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종목_한국" sheetId="3" state="visible" r:id="rId3"/>
    <sheet xmlns:r="http://schemas.openxmlformats.org/officeDocument/2006/relationships" name="종목_미국" sheetId="4" state="visible" r:id="rId4"/>
    <sheet xmlns:r="http://schemas.openxmlformats.org/officeDocument/2006/relationships" name="보유" sheetId="5" state="visible" r:id="rId5"/>
    <sheet xmlns:r="http://schemas.openxmlformats.org/officeDocument/2006/relationships" name="매수이유" sheetId="6" state="visible" r:id="rId6"/>
    <sheet xmlns:r="http://schemas.openxmlformats.org/officeDocument/2006/relationships" name="매수계획" sheetId="7" state="visible" r:id="rId7"/>
    <sheet xmlns:r="http://schemas.openxmlformats.org/officeDocument/2006/relationships" name="판단기록" sheetId="8" state="visible" r:id="rId8"/>
    <sheet xmlns:r="http://schemas.openxmlformats.org/officeDocument/2006/relationships" name="심리_미국" sheetId="9" state="visible" r:id="rId9"/>
    <sheet xmlns:r="http://schemas.openxmlformats.org/officeDocument/2006/relationships" name="심리_한국" sheetId="10" state="visible" r:id="rId10"/>
    <sheet xmlns:r="http://schemas.openxmlformats.org/officeDocument/2006/relationships" name="거시" sheetId="11" state="visible" r:id="rId11"/>
    <sheet xmlns:r="http://schemas.openxmlformats.org/officeDocument/2006/relationships" name="자료_미국심리" sheetId="12" state="visible" r:id="rId12"/>
    <sheet xmlns:r="http://schemas.openxmlformats.org/officeDocument/2006/relationships" name="자료_한국심리" sheetId="13" state="visible" r:id="rId13"/>
    <sheet xmlns:r="http://schemas.openxmlformats.org/officeDocument/2006/relationships" name="자료_거시" sheetId="14" state="visible" r:id="rId14"/>
    <sheet xmlns:r="http://schemas.openxmlformats.org/officeDocument/2006/relationships" name="설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0.00&quot;%p&quot;"/>
    <numFmt numFmtId="167" formatCode="0.0%"/>
    <numFmt numFmtId="168" formatCode="0.000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164" fontId="7" fillId="3" borderId="0" pivotButton="0" quotePrefix="0" xfId="0"/>
    <xf numFmtId="0" fontId="7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7" fillId="0" borderId="0" pivotButton="0" quotePrefix="0" xfId="0"/>
    <xf numFmtId="1" fontId="0" fillId="0" borderId="0" pivotButton="0" quotePrefix="0" xfId="0"/>
    <xf numFmtId="167" fontId="7" fillId="0" borderId="0" pivotButton="0" quotePrefix="0" xfId="0"/>
    <xf numFmtId="164" fontId="7" fillId="0" borderId="0" pivotButton="0" quotePrefix="0" xfId="0"/>
    <xf numFmtId="165" fontId="8" fillId="4" borderId="0" pivotButton="0" quotePrefix="0" xfId="0"/>
    <xf numFmtId="0" fontId="7" fillId="5" borderId="0" pivotButton="0" quotePrefix="0" xfId="0"/>
    <xf numFmtId="49" fontId="8" fillId="4" borderId="0" pivotButton="0" quotePrefix="0" xfId="0"/>
    <xf numFmtId="0" fontId="8" fillId="4" borderId="0" pivotButton="0" quotePrefix="0" xfId="0"/>
    <xf numFmtId="3" fontId="8" fillId="4" borderId="0" pivotButton="0" quotePrefix="0" xfId="0"/>
    <xf numFmtId="9" fontId="0" fillId="0" borderId="0" pivotButton="0" quotePrefix="0" xfId="0"/>
    <xf numFmtId="167" fontId="0" fillId="0" borderId="0" pivotButton="0" quotePrefix="0" xfId="0"/>
    <xf numFmtId="4" fontId="8" fillId="4" borderId="0" pivotButton="0" quotePrefix="0" xfId="0"/>
    <xf numFmtId="3" fontId="7" fillId="0" borderId="0" pivotButton="0" quotePrefix="0" xfId="0"/>
    <xf numFmtId="3" fontId="0" fillId="0" borderId="0" pivotButton="0" quotePrefix="0" xfId="0"/>
    <xf numFmtId="164" fontId="8" fillId="4" borderId="0" pivotButton="0" quotePrefix="0" xfId="0"/>
    <xf numFmtId="165" fontId="7" fillId="0" borderId="0" pivotButton="0" quotePrefix="0" xfId="0"/>
    <xf numFmtId="164" fontId="5" fillId="3" borderId="0" pivotButton="0" quotePrefix="0" xfId="0"/>
    <xf numFmtId="4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2" fontId="7" fillId="0" borderId="0" pivotButton="0" quotePrefix="0" xfId="0"/>
    <xf numFmtId="1" fontId="7" fillId="0" borderId="0" pivotButton="0" quotePrefix="0" xfId="0"/>
    <xf numFmtId="0" fontId="9" fillId="0" borderId="0" pivotButton="0" quotePrefix="0" xfId="0"/>
    <xf numFmtId="9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투자판단</author>
  </authors>
  <commentList>
    <comment ref="K3" authorId="0" shapeId="0">
      <text>
        <t>12개월 전·1개월 전 주가를 잡은 기준일(메모). 모든 종목이 같은 기준일이어야 한다.</t>
      </text>
    </comment>
    <comment ref="C5" authorId="0" shapeId="0">
      <text>
        <t>보유 중이면 Y. 보유 시트에도 같은 종목코드로 적는다.</t>
      </text>
    </comment>
    <comment ref="D5" authorId="0" shapeId="0">
      <text>
        <t>은행·보험·증권 등 금융업과 리츠면 Y. 후보에서 제외된다.</t>
      </text>
    </comment>
    <comment ref="F5" authorId="0" shapeId="0">
      <text>
        <t>연결 기준 당기순이익, 최근 4개 분기 합(TTM). 최근 보고서가 사업보고서면 그 연간 값.</t>
      </text>
    </comment>
    <comment ref="G5" authorId="0" shapeId="0">
      <text>
        <t>연결 자본총계(최근 분기말). ROE의 분모이자 부채비율의 분모.</t>
      </text>
    </comment>
    <comment ref="H5" authorId="0" shapeId="0">
      <text>
        <t>연결 부채총계(최근 분기말).</t>
      </text>
    </comment>
    <comment ref="I5" authorId="0" shapeId="0">
      <text>
        <t>연결 영업이익, 최근 4개 분기 합.</t>
      </text>
    </comment>
    <comment ref="J5" authorId="0" shapeId="0">
      <text>
        <t>연결 매출, 최근 4개 분기 합.</t>
      </text>
    </comment>
    <comment ref="K5" authorId="0" shapeId="0">
      <text>
        <t>J와 같은 기간을 3년 앞당긴 1년 매출. 3년 연평균 성장률 = (J/K)^(1/3) - 1.</t>
      </text>
    </comment>
    <comment ref="L5" authorId="0" shapeId="0">
      <text>
        <t>현재 시가총액(보통주).</t>
      </text>
    </comment>
    <comment ref="M5" authorId="0" shapeId="0">
      <text>
        <t>이자를 내는 부채: 단기차입금 + 유동성장기부채 + 사채 + 장기차입금. 리스부채 제외. 없으면 0.</t>
      </text>
    </comment>
    <comment ref="N5" authorId="0" shapeId="0">
      <text>
        <t>현금및현금성자산 + 단기금융상품(단기투자자산). 없으면 0.</t>
      </text>
    </comment>
    <comment ref="O5" authorId="0" shapeId="0">
      <text>
        <t>주가 기준일로부터 12개월 전 종가(수정주가).</t>
      </text>
    </comment>
    <comment ref="P5" authorId="0" shapeId="0">
      <text>
        <t>주가 기준일로부터 1개월 전 종가(수정주가). 12-1 수익률 = P/O - 1.</t>
      </text>
    </comment>
  </commentList>
</comments>
</file>

<file path=xl/comments/comment2.xml><?xml version="1.0" encoding="utf-8"?>
<comments xmlns="http://schemas.openxmlformats.org/spreadsheetml/2006/main">
  <authors>
    <author>투자판단</author>
  </authors>
  <commentList>
    <comment ref="K3" authorId="0" shapeId="0">
      <text>
        <t>12개월 전·1개월 전 주가를 잡은 기준일(메모). 모든 종목이 같은 기준일이어야 한다.</t>
      </text>
    </comment>
    <comment ref="C5" authorId="0" shapeId="0">
      <text>
        <t>보유 중이면 Y. 보유 시트에도 같은 종목코드로 적는다.</t>
      </text>
    </comment>
    <comment ref="D5" authorId="0" shapeId="0">
      <text>
        <t>은행·보험·증권 등 금융업과 리츠면 Y. 후보에서 제외된다.</t>
      </text>
    </comment>
    <comment ref="F5" authorId="0" shapeId="0">
      <text>
        <t>연결 기준 당기순이익, 최근 4개 분기 합(TTM). 최근 보고서가 사업보고서면 그 연간 값.</t>
      </text>
    </comment>
    <comment ref="G5" authorId="0" shapeId="0">
      <text>
        <t>연결 자본총계(최근 분기말). ROE의 분모이자 부채비율의 분모.</t>
      </text>
    </comment>
    <comment ref="H5" authorId="0" shapeId="0">
      <text>
        <t>연결 부채총계(최근 분기말).</t>
      </text>
    </comment>
    <comment ref="I5" authorId="0" shapeId="0">
      <text>
        <t>연결 영업이익, 최근 4개 분기 합.</t>
      </text>
    </comment>
    <comment ref="J5" authorId="0" shapeId="0">
      <text>
        <t>연결 매출, 최근 4개 분기 합.</t>
      </text>
    </comment>
    <comment ref="K5" authorId="0" shapeId="0">
      <text>
        <t>J와 같은 기간을 3년 앞당긴 1년 매출. 3년 연평균 성장률 = (J/K)^(1/3) - 1.</t>
      </text>
    </comment>
    <comment ref="L5" authorId="0" shapeId="0">
      <text>
        <t>현재 시가총액(보통주).</t>
      </text>
    </comment>
    <comment ref="M5" authorId="0" shapeId="0">
      <text>
        <t>이자를 내는 부채: 단기차입금 + 유동성장기부채 + 사채 + 장기차입금. 리스부채 제외. 없으면 0.</t>
      </text>
    </comment>
    <comment ref="N5" authorId="0" shapeId="0">
      <text>
        <t>현금및현금성자산 + 단기금융상품(단기투자자산). 없으면 0.</t>
      </text>
    </comment>
    <comment ref="O5" authorId="0" shapeId="0">
      <text>
        <t>주가 기준일로부터 12개월 전 종가(수정주가).</t>
      </text>
    </comment>
    <comment ref="P5" authorId="0" shapeId="0">
      <text>
        <t>주가 기준일로부터 1개월 전 종가(수정주가). 12-1 수익률 = P/O - 1.</t>
      </text>
    </comment>
  </commentList>
</comments>
</file>

<file path=xl/comments/comment3.xml><?xml version="1.0" encoding="utf-8"?>
<comments xmlns="http://schemas.openxmlformats.org/spreadsheetml/2006/main">
  <authors>
    <author>투자판단</author>
  </authors>
  <commentList>
    <comment ref="D3" authorId="0" shapeId="0">
      <text>
        <t>지수 몫, 개별 몫, 현금을 모두 합친 투자 계좌 전체 평가액. 손실 한도(2%)의 기준.</t>
      </text>
    </comment>
    <comment ref="D4" authorId="0" shapeId="0">
      <text>
        <t>개별 종목 몫으로 남겨 둔 현금. 비중 40% 계산에 들어간다.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투자 판단 보조 시트</t>
        </is>
      </c>
    </row>
    <row r="2">
      <c r="A2" t="inlineStr">
        <is>
          <t>판단 기준 명세(docs/spec.md)를 스프레드시트 수식으로 옮긴 1차 구현. 프로그램은 제안만 한다. 매매는 사람이 승인하고 직접 한다.</t>
        </is>
      </c>
    </row>
    <row r="3">
      <c r="A3" t="inlineStr"/>
    </row>
    <row r="4">
      <c r="A4" s="2" t="inlineStr">
        <is>
          <t>칸 색</t>
        </is>
      </c>
    </row>
    <row r="5">
      <c r="A5" t="inlineStr">
        <is>
          <t>노란 바탕 + 파란 글씨 = 입력하는 칸. 나머지는 수식이므로 고치지 않는다. 숨긴 열은 중간 계산이다(열 숨기기 해제로 볼 수 있음).</t>
        </is>
      </c>
    </row>
    <row r="6">
      <c r="A6" t="inlineStr"/>
    </row>
    <row r="7">
      <c r="A7" s="2" t="inlineStr">
        <is>
          <t>쓰는 순서</t>
        </is>
      </c>
    </row>
    <row r="8">
      <c r="A8" t="inlineStr">
        <is>
          <t>1. 종목_한국 / 종목_미국: 보유 종목과 후보의 재무·주가를 넣는다. → 거름망, 점수, 판정, 점수 설명 카드가 나온다.</t>
        </is>
      </c>
    </row>
    <row r="9">
      <c r="A9" t="inlineStr">
        <is>
          <t>2. 매수이유: 보유 종목과 살 종목의 이유(1~3개, 핵심 1개), 근거, 무너짐 기준, 점검 결과를 적는다.</t>
        </is>
      </c>
    </row>
    <row r="10">
      <c r="A10" t="inlineStr">
        <is>
          <t>3. 보유: 계좌 평가액, 대기 현금, 환율, 보유 종목을 넣는다. → 손실 한도·매도 판단을 우선순위대로 제안한다.</t>
        </is>
      </c>
    </row>
    <row r="11">
      <c r="A11" t="inlineStr">
        <is>
          <t>4. 자료_미국심리 / 자료_한국심리: 지표 원자료를 붙여 넣는다. → 심리_미국 / 심리_한국에서 점수와 분할 매수 방법이 나온다.</t>
        </is>
      </c>
    </row>
    <row r="12">
      <c r="A12" t="inlineStr">
        <is>
          <t>5. 매수계획: 새로 살 종목과 금액, 시작일을 넣는다. → 몇 회, 몇 주 간격, 1회 금액, 회차별 날짜가 나온다.</t>
        </is>
      </c>
    </row>
    <row r="13">
      <c r="A13" t="inlineStr">
        <is>
          <t>6. 자료_거시: FRED 원자료를 붙여 넣는다. → 거시 탭에 현재값과 10년 백분위가 표시된다(규칙에는 쓰지 않음).</t>
        </is>
      </c>
    </row>
    <row r="14">
      <c r="A14" t="inlineStr">
        <is>
          <t>7. 대시보드에서 한눈에 본다. 결정을 내리면 판단기록에 한 줄 남긴다.</t>
        </is>
      </c>
    </row>
    <row r="15">
      <c r="A15" t="inlineStr"/>
    </row>
    <row r="16">
      <c r="A16" s="2" t="inlineStr">
        <is>
          <t>갱신 주기(권장)</t>
        </is>
      </c>
    </row>
    <row r="17">
      <c r="A17" t="inlineStr">
        <is>
          <t>재무(종목 시트 F~N열): 분기 실적 발표 뒤. 주가·시총(L, O, P열): 판단할 때마다 같은 기준일로.</t>
        </is>
      </c>
    </row>
    <row r="18">
      <c r="A18" t="inlineStr">
        <is>
          <t>보유 현재가·환율·계좌 평가액: 월 1회, 그리고 매매 전.</t>
        </is>
      </c>
    </row>
    <row r="19">
      <c r="A19" t="inlineStr">
        <is>
          <t>심리 원자료: 신규 종목을 사기 직전. 거시 원자료: 월 1회.</t>
        </is>
      </c>
    </row>
    <row r="20">
      <c r="A20" t="inlineStr">
        <is>
          <t>매수 이유 점검: 실적 발표 때마다(보유 시트에 최근 실적 발표일을 넣으면 '점검 필요'를 알려 준다).</t>
        </is>
      </c>
    </row>
    <row r="21">
      <c r="A21" t="inlineStr"/>
    </row>
    <row r="22">
      <c r="A22" s="2" t="inlineStr">
        <is>
          <t>예외 처리(구현하는 쪽이 정한 것)</t>
        </is>
      </c>
    </row>
    <row r="23">
      <c r="A23" t="inlineStr">
        <is>
          <t>· 거름망 항목 자료가 비어 있으면 통과로 보지 않는다(점수 없음).</t>
        </is>
      </c>
    </row>
    <row r="24">
      <c r="A24" t="inlineStr">
        <is>
          <t>· 지표 4개 중 하나라도 계산할 수 없으면(자료 없음, 분모 0 이하) 점수를 매기지 않고 이유를 보여 준다.</t>
        </is>
      </c>
    </row>
    <row r="25">
      <c r="A25" t="inlineStr">
        <is>
          <t>· 동점은 평균 순위. 백분위 = (순위 − 1) ÷ (종목 수 − 1) × 100, 종목이 하나면 50.</t>
        </is>
      </c>
    </row>
    <row r="26">
      <c r="A26" t="inlineStr">
        <is>
          <t>· 교체 후보가 여럿 같은 점수면 시트 위쪽 종목을 보여 준다.</t>
        </is>
      </c>
    </row>
    <row r="27">
      <c r="A27" t="inlineStr">
        <is>
          <t>· 심리 지표는 그날 값이 없으면 직전 값을 쓴다. 최종 자료일이 7일 넘게 오래되면 '자료 지연'으로 알린다.</t>
        </is>
      </c>
    </row>
    <row r="28">
      <c r="A28" t="inlineStr">
        <is>
          <t>· 주가는 수정주가(분할·병합 반영)를 넣는다. 배당은 넣지 않는다(명세: 주가 수익률).</t>
        </is>
      </c>
    </row>
    <row r="29">
      <c r="A29" t="inlineStr"/>
    </row>
    <row r="30">
      <c r="A30" s="2" t="inlineStr">
        <is>
          <t>하지 않는 것</t>
        </is>
      </c>
    </row>
    <row r="31">
      <c r="A31" t="inlineStr">
        <is>
          <t>자동 매매 · 거시 지표로 규칙 바꾸기 · 시장 타이밍으로 현금 비중 조절 · 이벤트 점수 · 명세에 없는 지표 추가</t>
        </is>
      </c>
    </row>
    <row r="33">
      <c r="A33" s="3" t="inlineStr">
        <is>
          <t>이 파일은 가상 데이터로 채운 예시다. 종목·숫자·원자료는 모두 지어낸 값이다. 실제로 쓸 때는 빈 양식(투자판단.xlsx)을 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8" customWidth="1" min="4" max="4"/>
    <col width="11" customWidth="1" min="5" max="5"/>
    <col width="18" customWidth="1" min="6" max="6"/>
    <col width="38" customWidth="1" min="7" max="7"/>
  </cols>
  <sheetData>
    <row r="1">
      <c r="A1" s="4" t="inlineStr">
        <is>
          <t>대시보드</t>
        </is>
      </c>
    </row>
    <row r="2">
      <c r="A2" s="5" t="inlineStr">
        <is>
          <t>프로그램은 제안만 한다. 매매는 사람이 승인하고 직접 한다. 자동 매매 없음.</t>
        </is>
      </c>
    </row>
    <row r="4">
      <c r="A4" s="2" t="inlineStr">
        <is>
          <t>시장 심리 — 신규 종목 매수 분할에만 사용</t>
        </is>
      </c>
    </row>
    <row r="5">
      <c r="A5" s="6" t="inlineStr">
        <is>
          <t>시장</t>
        </is>
      </c>
      <c r="B5" s="6" t="inlineStr">
        <is>
          <t>점수</t>
        </is>
      </c>
      <c r="C5" s="6" t="inlineStr">
        <is>
          <t>구간</t>
        </is>
      </c>
      <c r="D5" s="6" t="inlineStr">
        <is>
          <t>신규 매수</t>
        </is>
      </c>
      <c r="E5" s="6" t="inlineStr">
        <is>
          <t>기준일</t>
        </is>
      </c>
      <c r="F5" s="6" t="inlineStr">
        <is>
          <t>점검</t>
        </is>
      </c>
    </row>
    <row r="6">
      <c r="A6" s="7" t="inlineStr">
        <is>
          <t>미국</t>
        </is>
      </c>
      <c r="B6" s="8">
        <f>'심리_미국'!$B$6</f>
        <v/>
      </c>
      <c r="C6" s="9">
        <f>'심리_미국'!$B$7</f>
        <v/>
      </c>
      <c r="D6" s="7">
        <f>'심리_미국'!$B$8</f>
        <v/>
      </c>
      <c r="E6" s="10">
        <f>'심리_미국'!$B$4</f>
        <v/>
      </c>
      <c r="F6">
        <f>'심리_미국'!$B$10</f>
        <v/>
      </c>
    </row>
    <row r="7">
      <c r="A7" s="7" t="inlineStr">
        <is>
          <t>한국</t>
        </is>
      </c>
      <c r="B7" s="8">
        <f>'심리_한국'!$B$6</f>
        <v/>
      </c>
      <c r="C7" s="9">
        <f>'심리_한국'!$B$7</f>
        <v/>
      </c>
      <c r="D7" s="7">
        <f>'심리_한국'!$B$8</f>
        <v/>
      </c>
      <c r="E7" s="10">
        <f>'심리_한국'!$B$4</f>
        <v/>
      </c>
      <c r="F7">
        <f>'심리_한국'!$B$10</f>
        <v/>
      </c>
    </row>
    <row r="9">
      <c r="A9" s="2" t="inlineStr">
        <is>
          <t>보유 종목 제안 — 우선순위 ① 손실 한도 ② 핵심 이유 붕괴 ③ 비중 초과 ④ 교체</t>
        </is>
      </c>
    </row>
    <row r="10">
      <c r="A10" s="6" t="inlineStr">
        <is>
          <t>국가</t>
        </is>
      </c>
      <c r="B10" s="6" t="inlineStr">
        <is>
          <t>종목코드</t>
        </is>
      </c>
      <c r="C10" s="6" t="inlineStr">
        <is>
          <t>종목명</t>
        </is>
      </c>
      <c r="D10" s="6" t="inlineStr">
        <is>
          <t>최종 제안</t>
        </is>
      </c>
      <c r="E10" s="6" t="inlineStr">
        <is>
          <t>점수</t>
        </is>
      </c>
      <c r="F10" s="6" t="inlineStr">
        <is>
          <t>매수 이유 기록</t>
        </is>
      </c>
      <c r="G10" s="6" t="inlineStr">
        <is>
          <t>실적 점검</t>
        </is>
      </c>
    </row>
    <row r="11">
      <c r="A11">
        <f>IF('보유'!$B11="","",'보유'!A11&amp;"")</f>
        <v/>
      </c>
      <c r="B11">
        <f>IF('보유'!$B11="","",'보유'!B11&amp;"")</f>
        <v/>
      </c>
      <c r="C11">
        <f>IF('보유'!$B11="","",'보유'!C11&amp;"")</f>
        <v/>
      </c>
      <c r="D11" s="7">
        <f>IF('보유'!$B11="","",'보유'!I11)</f>
        <v/>
      </c>
      <c r="E11" s="11">
        <f>IF('보유'!$B11="","",'보유'!U11)</f>
        <v/>
      </c>
      <c r="F11">
        <f>IF('보유'!$B11="","",'보유'!O11)</f>
        <v/>
      </c>
      <c r="G11">
        <f>IF('보유'!$B11="","",'보유'!Q11)</f>
        <v/>
      </c>
    </row>
    <row r="12">
      <c r="A12">
        <f>IF('보유'!$B12="","",'보유'!A12&amp;"")</f>
        <v/>
      </c>
      <c r="B12">
        <f>IF('보유'!$B12="","",'보유'!B12&amp;"")</f>
        <v/>
      </c>
      <c r="C12">
        <f>IF('보유'!$B12="","",'보유'!C12&amp;"")</f>
        <v/>
      </c>
      <c r="D12" s="7">
        <f>IF('보유'!$B12="","",'보유'!I12)</f>
        <v/>
      </c>
      <c r="E12" s="11">
        <f>IF('보유'!$B12="","",'보유'!U12)</f>
        <v/>
      </c>
      <c r="F12">
        <f>IF('보유'!$B12="","",'보유'!O12)</f>
        <v/>
      </c>
      <c r="G12">
        <f>IF('보유'!$B12="","",'보유'!Q12)</f>
        <v/>
      </c>
    </row>
    <row r="13">
      <c r="A13">
        <f>IF('보유'!$B13="","",'보유'!A13&amp;"")</f>
        <v/>
      </c>
      <c r="B13">
        <f>IF('보유'!$B13="","",'보유'!B13&amp;"")</f>
        <v/>
      </c>
      <c r="C13">
        <f>IF('보유'!$B13="","",'보유'!C13&amp;"")</f>
        <v/>
      </c>
      <c r="D13" s="7">
        <f>IF('보유'!$B13="","",'보유'!I13)</f>
        <v/>
      </c>
      <c r="E13" s="11">
        <f>IF('보유'!$B13="","",'보유'!U13)</f>
        <v/>
      </c>
      <c r="F13">
        <f>IF('보유'!$B13="","",'보유'!O13)</f>
        <v/>
      </c>
      <c r="G13">
        <f>IF('보유'!$B13="","",'보유'!Q13)</f>
        <v/>
      </c>
    </row>
    <row r="14">
      <c r="A14">
        <f>IF('보유'!$B14="","",'보유'!A14&amp;"")</f>
        <v/>
      </c>
      <c r="B14">
        <f>IF('보유'!$B14="","",'보유'!B14&amp;"")</f>
        <v/>
      </c>
      <c r="C14">
        <f>IF('보유'!$B14="","",'보유'!C14&amp;"")</f>
        <v/>
      </c>
      <c r="D14" s="7">
        <f>IF('보유'!$B14="","",'보유'!I14)</f>
        <v/>
      </c>
      <c r="E14" s="11">
        <f>IF('보유'!$B14="","",'보유'!U14)</f>
        <v/>
      </c>
      <c r="F14">
        <f>IF('보유'!$B14="","",'보유'!O14)</f>
        <v/>
      </c>
      <c r="G14">
        <f>IF('보유'!$B14="","",'보유'!Q14)</f>
        <v/>
      </c>
    </row>
    <row r="15">
      <c r="A15">
        <f>IF('보유'!$B15="","",'보유'!A15&amp;"")</f>
        <v/>
      </c>
      <c r="B15">
        <f>IF('보유'!$B15="","",'보유'!B15&amp;"")</f>
        <v/>
      </c>
      <c r="C15">
        <f>IF('보유'!$B15="","",'보유'!C15&amp;"")</f>
        <v/>
      </c>
      <c r="D15" s="7">
        <f>IF('보유'!$B15="","",'보유'!I15)</f>
        <v/>
      </c>
      <c r="E15" s="11">
        <f>IF('보유'!$B15="","",'보유'!U15)</f>
        <v/>
      </c>
      <c r="F15">
        <f>IF('보유'!$B15="","",'보유'!O15)</f>
        <v/>
      </c>
      <c r="G15">
        <f>IF('보유'!$B15="","",'보유'!Q15)</f>
        <v/>
      </c>
    </row>
    <row r="16">
      <c r="A16">
        <f>IF('보유'!$B16="","",'보유'!A16&amp;"")</f>
        <v/>
      </c>
      <c r="B16">
        <f>IF('보유'!$B16="","",'보유'!B16&amp;"")</f>
        <v/>
      </c>
      <c r="C16">
        <f>IF('보유'!$B16="","",'보유'!C16&amp;"")</f>
        <v/>
      </c>
      <c r="D16" s="7">
        <f>IF('보유'!$B16="","",'보유'!I16)</f>
        <v/>
      </c>
      <c r="E16" s="11">
        <f>IF('보유'!$B16="","",'보유'!U16)</f>
        <v/>
      </c>
      <c r="F16">
        <f>IF('보유'!$B16="","",'보유'!O16)</f>
        <v/>
      </c>
      <c r="G16">
        <f>IF('보유'!$B16="","",'보유'!Q16)</f>
        <v/>
      </c>
    </row>
    <row r="17">
      <c r="A17">
        <f>IF('보유'!$B17="","",'보유'!A17&amp;"")</f>
        <v/>
      </c>
      <c r="B17">
        <f>IF('보유'!$B17="","",'보유'!B17&amp;"")</f>
        <v/>
      </c>
      <c r="C17">
        <f>IF('보유'!$B17="","",'보유'!C17&amp;"")</f>
        <v/>
      </c>
      <c r="D17" s="7">
        <f>IF('보유'!$B17="","",'보유'!I17)</f>
        <v/>
      </c>
      <c r="E17" s="11">
        <f>IF('보유'!$B17="","",'보유'!U17)</f>
        <v/>
      </c>
      <c r="F17">
        <f>IF('보유'!$B17="","",'보유'!O17)</f>
        <v/>
      </c>
      <c r="G17">
        <f>IF('보유'!$B17="","",'보유'!Q17)</f>
        <v/>
      </c>
    </row>
    <row r="18">
      <c r="A18">
        <f>IF('보유'!$B18="","",'보유'!A18&amp;"")</f>
        <v/>
      </c>
      <c r="B18">
        <f>IF('보유'!$B18="","",'보유'!B18&amp;"")</f>
        <v/>
      </c>
      <c r="C18">
        <f>IF('보유'!$B18="","",'보유'!C18&amp;"")</f>
        <v/>
      </c>
      <c r="D18" s="7">
        <f>IF('보유'!$B18="","",'보유'!I18)</f>
        <v/>
      </c>
      <c r="E18" s="11">
        <f>IF('보유'!$B18="","",'보유'!U18)</f>
        <v/>
      </c>
      <c r="F18">
        <f>IF('보유'!$B18="","",'보유'!O18)</f>
        <v/>
      </c>
      <c r="G18">
        <f>IF('보유'!$B18="","",'보유'!Q18)</f>
        <v/>
      </c>
    </row>
    <row r="19">
      <c r="A19">
        <f>IF('보유'!$B19="","",'보유'!A19&amp;"")</f>
        <v/>
      </c>
      <c r="B19">
        <f>IF('보유'!$B19="","",'보유'!B19&amp;"")</f>
        <v/>
      </c>
      <c r="C19">
        <f>IF('보유'!$B19="","",'보유'!C19&amp;"")</f>
        <v/>
      </c>
      <c r="D19" s="7">
        <f>IF('보유'!$B19="","",'보유'!I19)</f>
        <v/>
      </c>
      <c r="E19" s="11">
        <f>IF('보유'!$B19="","",'보유'!U19)</f>
        <v/>
      </c>
      <c r="F19">
        <f>IF('보유'!$B19="","",'보유'!O19)</f>
        <v/>
      </c>
      <c r="G19">
        <f>IF('보유'!$B19="","",'보유'!Q19)</f>
        <v/>
      </c>
    </row>
    <row r="20">
      <c r="A20">
        <f>IF('보유'!$B20="","",'보유'!A20&amp;"")</f>
        <v/>
      </c>
      <c r="B20">
        <f>IF('보유'!$B20="","",'보유'!B20&amp;"")</f>
        <v/>
      </c>
      <c r="C20">
        <f>IF('보유'!$B20="","",'보유'!C20&amp;"")</f>
        <v/>
      </c>
      <c r="D20" s="7">
        <f>IF('보유'!$B20="","",'보유'!I20)</f>
        <v/>
      </c>
      <c r="E20" s="11">
        <f>IF('보유'!$B20="","",'보유'!U20)</f>
        <v/>
      </c>
      <c r="F20">
        <f>IF('보유'!$B20="","",'보유'!O20)</f>
        <v/>
      </c>
      <c r="G20">
        <f>IF('보유'!$B20="","",'보유'!Q20)</f>
        <v/>
      </c>
    </row>
    <row r="22">
      <c r="A22" s="2" t="inlineStr">
        <is>
          <t>편입 후보 — 점수 70 이상, 미보유 (점수순)</t>
        </is>
      </c>
    </row>
    <row r="23">
      <c r="A23" s="6" t="inlineStr">
        <is>
          <t>순위</t>
        </is>
      </c>
      <c r="B23" s="6" t="inlineStr">
        <is>
          <t>점수</t>
        </is>
      </c>
      <c r="C23" s="6" t="inlineStr">
        <is>
          <t>한국 종목</t>
        </is>
      </c>
      <c r="D23" s="6" t="inlineStr">
        <is>
          <t>한 줄 요약</t>
        </is>
      </c>
      <c r="E23" s="6" t="inlineStr">
        <is>
          <t>점수</t>
        </is>
      </c>
      <c r="F23" s="6" t="inlineStr">
        <is>
          <t>미국 종목</t>
        </is>
      </c>
      <c r="G23" s="6" t="inlineStr">
        <is>
          <t>한 줄 요약</t>
        </is>
      </c>
    </row>
    <row r="24">
      <c r="A24" t="n">
        <v>1</v>
      </c>
      <c r="B24" s="11">
        <f>IFERROR(INDEX('종목_한국'!$R$6:$R$105,MATCH(LARGE('종목_한국'!$AQ$6:$AQ$105,1),'종목_한국'!$AQ$6:$AQ$105,0)),"")</f>
        <v/>
      </c>
      <c r="C24">
        <f>IFERROR(INDEX('종목_한국'!$B$6:$B$105,MATCH(LARGE('종목_한국'!$AQ$6:$AQ$105,1),'종목_한국'!$AQ$6:$AQ$105,0))&amp;"","")</f>
        <v/>
      </c>
      <c r="D24">
        <f>IFERROR(INDEX('종목_한국'!$S$6:$S$105,MATCH(LARGE('종목_한국'!$AQ$6:$AQ$105,1),'종목_한국'!$AQ$6:$AQ$105,0))&amp;"","")</f>
        <v/>
      </c>
      <c r="E24" s="11">
        <f>IFERROR(INDEX('종목_미국'!$R$6:$R$105,MATCH(LARGE('종목_미국'!$AQ$6:$AQ$105,1),'종목_미국'!$AQ$6:$AQ$105,0)),"")</f>
        <v/>
      </c>
      <c r="F24">
        <f>IFERROR(INDEX('종목_미국'!$B$6:$B$105,MATCH(LARGE('종목_미국'!$AQ$6:$AQ$105,1),'종목_미국'!$AQ$6:$AQ$105,0))&amp;"","")</f>
        <v/>
      </c>
      <c r="G24">
        <f>IFERROR(INDEX('종목_미국'!$S$6:$S$105,MATCH(LARGE('종목_미국'!$AQ$6:$AQ$105,1),'종목_미국'!$AQ$6:$AQ$105,0))&amp;"","")</f>
        <v/>
      </c>
    </row>
    <row r="25">
      <c r="A25" t="n">
        <v>2</v>
      </c>
      <c r="B25" s="11">
        <f>IFERROR(INDEX('종목_한국'!$R$6:$R$105,MATCH(LARGE('종목_한국'!$AQ$6:$AQ$105,2),'종목_한국'!$AQ$6:$AQ$105,0)),"")</f>
        <v/>
      </c>
      <c r="C25">
        <f>IFERROR(INDEX('종목_한국'!$B$6:$B$105,MATCH(LARGE('종목_한국'!$AQ$6:$AQ$105,2),'종목_한국'!$AQ$6:$AQ$105,0))&amp;"","")</f>
        <v/>
      </c>
      <c r="D25">
        <f>IFERROR(INDEX('종목_한국'!$S$6:$S$105,MATCH(LARGE('종목_한국'!$AQ$6:$AQ$105,2),'종목_한국'!$AQ$6:$AQ$105,0))&amp;"","")</f>
        <v/>
      </c>
      <c r="E25" s="11">
        <f>IFERROR(INDEX('종목_미국'!$R$6:$R$105,MATCH(LARGE('종목_미국'!$AQ$6:$AQ$105,2),'종목_미국'!$AQ$6:$AQ$105,0)),"")</f>
        <v/>
      </c>
      <c r="F25">
        <f>IFERROR(INDEX('종목_미국'!$B$6:$B$105,MATCH(LARGE('종목_미국'!$AQ$6:$AQ$105,2),'종목_미국'!$AQ$6:$AQ$105,0))&amp;"","")</f>
        <v/>
      </c>
      <c r="G25">
        <f>IFERROR(INDEX('종목_미국'!$S$6:$S$105,MATCH(LARGE('종목_미국'!$AQ$6:$AQ$105,2),'종목_미국'!$AQ$6:$AQ$105,0))&amp;"","")</f>
        <v/>
      </c>
    </row>
    <row r="26">
      <c r="A26" t="n">
        <v>3</v>
      </c>
      <c r="B26" s="11">
        <f>IFERROR(INDEX('종목_한국'!$R$6:$R$105,MATCH(LARGE('종목_한국'!$AQ$6:$AQ$105,3),'종목_한국'!$AQ$6:$AQ$105,0)),"")</f>
        <v/>
      </c>
      <c r="C26">
        <f>IFERROR(INDEX('종목_한국'!$B$6:$B$105,MATCH(LARGE('종목_한국'!$AQ$6:$AQ$105,3),'종목_한국'!$AQ$6:$AQ$105,0))&amp;"","")</f>
        <v/>
      </c>
      <c r="D26">
        <f>IFERROR(INDEX('종목_한국'!$S$6:$S$105,MATCH(LARGE('종목_한국'!$AQ$6:$AQ$105,3),'종목_한국'!$AQ$6:$AQ$105,0))&amp;"","")</f>
        <v/>
      </c>
      <c r="E26" s="11">
        <f>IFERROR(INDEX('종목_미국'!$R$6:$R$105,MATCH(LARGE('종목_미국'!$AQ$6:$AQ$105,3),'종목_미국'!$AQ$6:$AQ$105,0)),"")</f>
        <v/>
      </c>
      <c r="F26">
        <f>IFERROR(INDEX('종목_미국'!$B$6:$B$105,MATCH(LARGE('종목_미국'!$AQ$6:$AQ$105,3),'종목_미국'!$AQ$6:$AQ$105,0))&amp;"","")</f>
        <v/>
      </c>
      <c r="G26">
        <f>IFERROR(INDEX('종목_미국'!$S$6:$S$105,MATCH(LARGE('종목_미국'!$AQ$6:$AQ$105,3),'종목_미국'!$AQ$6:$AQ$105,0))&amp;"","")</f>
        <v/>
      </c>
    </row>
    <row r="27">
      <c r="A27" t="n">
        <v>4</v>
      </c>
      <c r="B27" s="11">
        <f>IFERROR(INDEX('종목_한국'!$R$6:$R$105,MATCH(LARGE('종목_한국'!$AQ$6:$AQ$105,4),'종목_한국'!$AQ$6:$AQ$105,0)),"")</f>
        <v/>
      </c>
      <c r="C27">
        <f>IFERROR(INDEX('종목_한국'!$B$6:$B$105,MATCH(LARGE('종목_한국'!$AQ$6:$AQ$105,4),'종목_한국'!$AQ$6:$AQ$105,0))&amp;"","")</f>
        <v/>
      </c>
      <c r="D27">
        <f>IFERROR(INDEX('종목_한국'!$S$6:$S$105,MATCH(LARGE('종목_한국'!$AQ$6:$AQ$105,4),'종목_한국'!$AQ$6:$AQ$105,0))&amp;"","")</f>
        <v/>
      </c>
      <c r="E27" s="11">
        <f>IFERROR(INDEX('종목_미국'!$R$6:$R$105,MATCH(LARGE('종목_미국'!$AQ$6:$AQ$105,4),'종목_미국'!$AQ$6:$AQ$105,0)),"")</f>
        <v/>
      </c>
      <c r="F27">
        <f>IFERROR(INDEX('종목_미국'!$B$6:$B$105,MATCH(LARGE('종목_미국'!$AQ$6:$AQ$105,4),'종목_미국'!$AQ$6:$AQ$105,0))&amp;"","")</f>
        <v/>
      </c>
      <c r="G27">
        <f>IFERROR(INDEX('종목_미국'!$S$6:$S$105,MATCH(LARGE('종목_미국'!$AQ$6:$AQ$105,4),'종목_미국'!$AQ$6:$AQ$105,0))&amp;"","")</f>
        <v/>
      </c>
    </row>
    <row r="28">
      <c r="A28" t="n">
        <v>5</v>
      </c>
      <c r="B28" s="11">
        <f>IFERROR(INDEX('종목_한국'!$R$6:$R$105,MATCH(LARGE('종목_한국'!$AQ$6:$AQ$105,5),'종목_한국'!$AQ$6:$AQ$105,0)),"")</f>
        <v/>
      </c>
      <c r="C28">
        <f>IFERROR(INDEX('종목_한국'!$B$6:$B$105,MATCH(LARGE('종목_한국'!$AQ$6:$AQ$105,5),'종목_한국'!$AQ$6:$AQ$105,0))&amp;"","")</f>
        <v/>
      </c>
      <c r="D28">
        <f>IFERROR(INDEX('종목_한국'!$S$6:$S$105,MATCH(LARGE('종목_한국'!$AQ$6:$AQ$105,5),'종목_한국'!$AQ$6:$AQ$105,0))&amp;"","")</f>
        <v/>
      </c>
      <c r="E28" s="11">
        <f>IFERROR(INDEX('종목_미국'!$R$6:$R$105,MATCH(LARGE('종목_미국'!$AQ$6:$AQ$105,5),'종목_미국'!$AQ$6:$AQ$105,0)),"")</f>
        <v/>
      </c>
      <c r="F28">
        <f>IFERROR(INDEX('종목_미국'!$B$6:$B$105,MATCH(LARGE('종목_미국'!$AQ$6:$AQ$105,5),'종목_미국'!$AQ$6:$AQ$105,0))&amp;"","")</f>
        <v/>
      </c>
      <c r="G28">
        <f>IFERROR(INDEX('종목_미국'!$S$6:$S$105,MATCH(LARGE('종목_미국'!$AQ$6:$AQ$105,5),'종목_미국'!$AQ$6:$AQ$105,0))&amp;"","")</f>
        <v/>
      </c>
    </row>
    <row r="29">
      <c r="A29" t="n">
        <v>6</v>
      </c>
      <c r="B29" s="11">
        <f>IFERROR(INDEX('종목_한국'!$R$6:$R$105,MATCH(LARGE('종목_한국'!$AQ$6:$AQ$105,6),'종목_한국'!$AQ$6:$AQ$105,0)),"")</f>
        <v/>
      </c>
      <c r="C29">
        <f>IFERROR(INDEX('종목_한국'!$B$6:$B$105,MATCH(LARGE('종목_한국'!$AQ$6:$AQ$105,6),'종목_한국'!$AQ$6:$AQ$105,0))&amp;"","")</f>
        <v/>
      </c>
      <c r="D29">
        <f>IFERROR(INDEX('종목_한국'!$S$6:$S$105,MATCH(LARGE('종목_한국'!$AQ$6:$AQ$105,6),'종목_한국'!$AQ$6:$AQ$105,0))&amp;"","")</f>
        <v/>
      </c>
      <c r="E29" s="11">
        <f>IFERROR(INDEX('종목_미국'!$R$6:$R$105,MATCH(LARGE('종목_미국'!$AQ$6:$AQ$105,6),'종목_미국'!$AQ$6:$AQ$105,0)),"")</f>
        <v/>
      </c>
      <c r="F29">
        <f>IFERROR(INDEX('종목_미국'!$B$6:$B$105,MATCH(LARGE('종목_미국'!$AQ$6:$AQ$105,6),'종목_미국'!$AQ$6:$AQ$105,0))&amp;"","")</f>
        <v/>
      </c>
      <c r="G29">
        <f>IFERROR(INDEX('종목_미국'!$S$6:$S$105,MATCH(LARGE('종목_미국'!$AQ$6:$AQ$105,6),'종목_미국'!$AQ$6:$AQ$105,0))&amp;"","")</f>
        <v/>
      </c>
    </row>
    <row r="30">
      <c r="A30" t="n">
        <v>7</v>
      </c>
      <c r="B30" s="11">
        <f>IFERROR(INDEX('종목_한국'!$R$6:$R$105,MATCH(LARGE('종목_한국'!$AQ$6:$AQ$105,7),'종목_한국'!$AQ$6:$AQ$105,0)),"")</f>
        <v/>
      </c>
      <c r="C30">
        <f>IFERROR(INDEX('종목_한국'!$B$6:$B$105,MATCH(LARGE('종목_한국'!$AQ$6:$AQ$105,7),'종목_한국'!$AQ$6:$AQ$105,0))&amp;"","")</f>
        <v/>
      </c>
      <c r="D30">
        <f>IFERROR(INDEX('종목_한국'!$S$6:$S$105,MATCH(LARGE('종목_한국'!$AQ$6:$AQ$105,7),'종목_한국'!$AQ$6:$AQ$105,0))&amp;"","")</f>
        <v/>
      </c>
      <c r="E30" s="11">
        <f>IFERROR(INDEX('종목_미국'!$R$6:$R$105,MATCH(LARGE('종목_미국'!$AQ$6:$AQ$105,7),'종목_미국'!$AQ$6:$AQ$105,0)),"")</f>
        <v/>
      </c>
      <c r="F30">
        <f>IFERROR(INDEX('종목_미국'!$B$6:$B$105,MATCH(LARGE('종목_미국'!$AQ$6:$AQ$105,7),'종목_미국'!$AQ$6:$AQ$105,0))&amp;"","")</f>
        <v/>
      </c>
      <c r="G30">
        <f>IFERROR(INDEX('종목_미국'!$S$6:$S$105,MATCH(LARGE('종목_미국'!$AQ$6:$AQ$105,7),'종목_미국'!$AQ$6:$AQ$105,0))&amp;"","")</f>
        <v/>
      </c>
    </row>
    <row r="31">
      <c r="A31" t="n">
        <v>8</v>
      </c>
      <c r="B31" s="11">
        <f>IFERROR(INDEX('종목_한국'!$R$6:$R$105,MATCH(LARGE('종목_한국'!$AQ$6:$AQ$105,8),'종목_한국'!$AQ$6:$AQ$105,0)),"")</f>
        <v/>
      </c>
      <c r="C31">
        <f>IFERROR(INDEX('종목_한국'!$B$6:$B$105,MATCH(LARGE('종목_한국'!$AQ$6:$AQ$105,8),'종목_한국'!$AQ$6:$AQ$105,0))&amp;"","")</f>
        <v/>
      </c>
      <c r="D31">
        <f>IFERROR(INDEX('종목_한국'!$S$6:$S$105,MATCH(LARGE('종목_한국'!$AQ$6:$AQ$105,8),'종목_한국'!$AQ$6:$AQ$105,0))&amp;"","")</f>
        <v/>
      </c>
      <c r="E31" s="11">
        <f>IFERROR(INDEX('종목_미국'!$R$6:$R$105,MATCH(LARGE('종목_미국'!$AQ$6:$AQ$105,8),'종목_미국'!$AQ$6:$AQ$105,0)),"")</f>
        <v/>
      </c>
      <c r="F31">
        <f>IFERROR(INDEX('종목_미국'!$B$6:$B$105,MATCH(LARGE('종목_미국'!$AQ$6:$AQ$105,8),'종목_미국'!$AQ$6:$AQ$105,0))&amp;"","")</f>
        <v/>
      </c>
      <c r="G31">
        <f>IFERROR(INDEX('종목_미국'!$S$6:$S$105,MATCH(LARGE('종목_미국'!$AQ$6:$AQ$105,8),'종목_미국'!$AQ$6:$AQ$105,0))&amp;"","")</f>
        <v/>
      </c>
    </row>
    <row r="32">
      <c r="A32" t="n">
        <v>9</v>
      </c>
      <c r="B32" s="11">
        <f>IFERROR(INDEX('종목_한국'!$R$6:$R$105,MATCH(LARGE('종목_한국'!$AQ$6:$AQ$105,9),'종목_한국'!$AQ$6:$AQ$105,0)),"")</f>
        <v/>
      </c>
      <c r="C32">
        <f>IFERROR(INDEX('종목_한국'!$B$6:$B$105,MATCH(LARGE('종목_한국'!$AQ$6:$AQ$105,9),'종목_한국'!$AQ$6:$AQ$105,0))&amp;"","")</f>
        <v/>
      </c>
      <c r="D32">
        <f>IFERROR(INDEX('종목_한국'!$S$6:$S$105,MATCH(LARGE('종목_한국'!$AQ$6:$AQ$105,9),'종목_한국'!$AQ$6:$AQ$105,0))&amp;"","")</f>
        <v/>
      </c>
      <c r="E32" s="11">
        <f>IFERROR(INDEX('종목_미국'!$R$6:$R$105,MATCH(LARGE('종목_미국'!$AQ$6:$AQ$105,9),'종목_미국'!$AQ$6:$AQ$105,0)),"")</f>
        <v/>
      </c>
      <c r="F32">
        <f>IFERROR(INDEX('종목_미국'!$B$6:$B$105,MATCH(LARGE('종목_미국'!$AQ$6:$AQ$105,9),'종목_미국'!$AQ$6:$AQ$105,0))&amp;"","")</f>
        <v/>
      </c>
      <c r="G32">
        <f>IFERROR(INDEX('종목_미국'!$S$6:$S$105,MATCH(LARGE('종목_미국'!$AQ$6:$AQ$105,9),'종목_미국'!$AQ$6:$AQ$105,0))&amp;"","")</f>
        <v/>
      </c>
    </row>
    <row r="33">
      <c r="A33" t="n">
        <v>10</v>
      </c>
      <c r="B33" s="11">
        <f>IFERROR(INDEX('종목_한국'!$R$6:$R$105,MATCH(LARGE('종목_한국'!$AQ$6:$AQ$105,10),'종목_한국'!$AQ$6:$AQ$105,0)),"")</f>
        <v/>
      </c>
      <c r="C33">
        <f>IFERROR(INDEX('종목_한국'!$B$6:$B$105,MATCH(LARGE('종목_한국'!$AQ$6:$AQ$105,10),'종목_한국'!$AQ$6:$AQ$105,0))&amp;"","")</f>
        <v/>
      </c>
      <c r="D33">
        <f>IFERROR(INDEX('종목_한국'!$S$6:$S$105,MATCH(LARGE('종목_한국'!$AQ$6:$AQ$105,10),'종목_한국'!$AQ$6:$AQ$105,0))&amp;"","")</f>
        <v/>
      </c>
      <c r="E33" s="11">
        <f>IFERROR(INDEX('종목_미국'!$R$6:$R$105,MATCH(LARGE('종목_미국'!$AQ$6:$AQ$105,10),'종목_미국'!$AQ$6:$AQ$105,0)),"")</f>
        <v/>
      </c>
      <c r="F33">
        <f>IFERROR(INDEX('종목_미국'!$B$6:$B$105,MATCH(LARGE('종목_미국'!$AQ$6:$AQ$105,10),'종목_미국'!$AQ$6:$AQ$105,0))&amp;"","")</f>
        <v/>
      </c>
      <c r="G33">
        <f>IFERROR(INDEX('종목_미국'!$S$6:$S$105,MATCH(LARGE('종목_미국'!$AQ$6:$AQ$105,10),'종목_미국'!$AQ$6:$AQ$105,0))&amp;"","")</f>
        <v/>
      </c>
    </row>
    <row r="35">
      <c r="A35" s="2" t="inlineStr">
        <is>
          <t>거시 참고 패널 — 표시만, 어떤 규칙에도 쓰지 않음</t>
        </is>
      </c>
    </row>
    <row r="36">
      <c r="A36" s="6" t="inlineStr">
        <is>
          <t>지표</t>
        </is>
      </c>
      <c r="D36" s="6" t="inlineStr">
        <is>
          <t>보는 것</t>
        </is>
      </c>
      <c r="E36" s="6" t="inlineStr">
        <is>
          <t>현재값</t>
        </is>
      </c>
      <c r="F36" s="6" t="inlineStr">
        <is>
          <t>10년 백분위</t>
        </is>
      </c>
      <c r="G36" s="6" t="inlineStr">
        <is>
          <t>기준일 · 점검</t>
        </is>
      </c>
    </row>
    <row r="37">
      <c r="A37">
        <f>'거시'!A5</f>
        <v/>
      </c>
      <c r="D37">
        <f>'거시'!B5</f>
        <v/>
      </c>
      <c r="E37" s="12">
        <f>'거시'!C5</f>
        <v/>
      </c>
      <c r="F37" s="13">
        <f>'거시'!F5</f>
        <v/>
      </c>
      <c r="G37">
        <f>IF('거시'!E5="",'거시'!J5,TEXT('거시'!E5,"yyyy-mm-dd")&amp;" · "&amp;'거시'!J5)</f>
        <v/>
      </c>
    </row>
    <row r="38">
      <c r="A38">
        <f>'거시'!A6</f>
        <v/>
      </c>
      <c r="D38">
        <f>'거시'!B6</f>
        <v/>
      </c>
      <c r="E38" s="12">
        <f>'거시'!C6</f>
        <v/>
      </c>
      <c r="F38" s="13">
        <f>'거시'!F6</f>
        <v/>
      </c>
      <c r="G38">
        <f>IF('거시'!E6="",'거시'!J6,TEXT('거시'!E6,"yyyy-mm-dd")&amp;" · "&amp;'거시'!J6)</f>
        <v/>
      </c>
    </row>
    <row r="39">
      <c r="A39">
        <f>'거시'!A7</f>
        <v/>
      </c>
      <c r="D39">
        <f>'거시'!B7</f>
        <v/>
      </c>
      <c r="E39" s="12">
        <f>'거시'!C7</f>
        <v/>
      </c>
      <c r="F39" s="13">
        <f>'거시'!F7</f>
        <v/>
      </c>
      <c r="G39">
        <f>IF('거시'!E7="",'거시'!J7,TEXT('거시'!E7,"yyyy-mm-dd")&amp;" · "&amp;'거시'!J7)</f>
        <v/>
      </c>
    </row>
    <row r="40">
      <c r="A40">
        <f>'거시'!A8</f>
        <v/>
      </c>
      <c r="D40">
        <f>'거시'!B8</f>
        <v/>
      </c>
      <c r="E40" s="14">
        <f>'거시'!C8</f>
        <v/>
      </c>
      <c r="F40" s="13">
        <f>'거시'!F8</f>
        <v/>
      </c>
      <c r="G40">
        <f>IF('거시'!E8="",'거시'!J8,TEXT('거시'!E8,"yyyy-mm-dd")&amp;" · "&amp;'거시'!J8)</f>
        <v/>
      </c>
    </row>
    <row r="41">
      <c r="A41">
        <f>'거시'!A9</f>
        <v/>
      </c>
      <c r="D41">
        <f>'거시'!B9</f>
        <v/>
      </c>
      <c r="E41" s="14">
        <f>'거시'!C9</f>
        <v/>
      </c>
      <c r="F41" s="13">
        <f>'거시'!F9</f>
        <v/>
      </c>
      <c r="G41">
        <f>IF('거시'!E9="",'거시'!J9,TEXT('거시'!E9,"yyyy-mm-dd")&amp;" · "&amp;'거시'!J9)</f>
        <v/>
      </c>
    </row>
  </sheetData>
  <mergeCells count="6">
    <mergeCell ref="A41:C41"/>
    <mergeCell ref="A36:C36"/>
    <mergeCell ref="A37:C37"/>
    <mergeCell ref="A40:C40"/>
    <mergeCell ref="A39:C39"/>
    <mergeCell ref="A38:C38"/>
  </mergeCells>
  <conditionalFormatting sqref="D11:D20">
    <cfRule type="expression" priority="1" dxfId="0">
      <formula>LEFT(D11,1)="①"</formula>
    </cfRule>
    <cfRule type="expression" priority="2" dxfId="1">
      <formula>LEFT(D11,1)="②"</formula>
    </cfRule>
    <cfRule type="expression" priority="3" dxfId="2">
      <formula>LEFT(D11,1)="③"</formula>
    </cfRule>
    <cfRule type="expression" priority="4" dxfId="3">
      <formula>LEFT(D11,1)="④"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8" customWidth="1" min="18" max="18"/>
    <col width="40" customWidth="1" min="19" max="19"/>
    <col width="18" customWidth="1" min="20" max="20"/>
    <col width="18" customWidth="1" min="21" max="21"/>
    <col width="18" customWidth="1" min="22" max="22"/>
    <col width="18" customWidth="1" min="23" max="23"/>
    <col width="26" customWidth="1" min="24" max="24"/>
    <col width="9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4" t="inlineStr">
        <is>
          <t>종목 점수 — 한국</t>
        </is>
      </c>
    </row>
    <row r="2">
      <c r="A2" s="5" t="inlineStr">
        <is>
          <t>금액 단위: 억 원 · 주가: 원(수정주가) · 보유 종목과 후보를 모두 적는다. 순위는 이 시트(같은 국가) 안에서만 매긴다.</t>
        </is>
      </c>
    </row>
    <row r="3">
      <c r="A3" s="7" t="inlineStr">
        <is>
          <t>채점 종목 수</t>
        </is>
      </c>
      <c r="B3">
        <f>COUNT($AF$6:$AF$105)</f>
        <v/>
      </c>
      <c r="D3" s="7" t="inlineStr">
        <is>
          <t>최고 미보유 후보</t>
        </is>
      </c>
      <c r="E3" s="7">
        <f>IF(H3="","",INDEX($B$6:$B$105,MATCH(H3,$AP$6:$AP$105,0))&amp;"")</f>
        <v/>
      </c>
      <c r="G3" s="7" t="inlineStr">
        <is>
          <t>점수</t>
        </is>
      </c>
      <c r="H3" s="15">
        <f>IF(COUNT($AP$6:$AP$105)=0,"",MAX($AP$6:$AP$105))</f>
        <v/>
      </c>
      <c r="J3" s="7" t="inlineStr">
        <is>
          <t>주가 기준일</t>
        </is>
      </c>
      <c r="K3" s="16" t="n">
        <v>46295</v>
      </c>
    </row>
    <row r="4">
      <c r="A4" s="17" t="inlineStr">
        <is>
          <t>입력 (노란 칸)</t>
        </is>
      </c>
      <c r="Q4" s="9" t="inlineStr">
        <is>
          <t>결과 — 점수 설명 카드</t>
        </is>
      </c>
    </row>
    <row r="5" ht="42" customHeight="1">
      <c r="A5" s="6" t="inlineStr">
        <is>
          <t>종목코드</t>
        </is>
      </c>
      <c r="B5" s="6" t="inlineStr">
        <is>
          <t>종목명</t>
        </is>
      </c>
      <c r="C5" s="6" t="inlineStr">
        <is>
          <t>보유
(Y)</t>
        </is>
      </c>
      <c r="D5" s="6" t="inlineStr">
        <is>
          <t>금융·리츠
(Y)</t>
        </is>
      </c>
      <c r="E5" s="6" t="inlineStr">
        <is>
          <t>재무 기준
(메모)</t>
        </is>
      </c>
      <c r="F5" s="6" t="inlineStr">
        <is>
          <t>순이익
최근 1년</t>
        </is>
      </c>
      <c r="G5" s="6" t="inlineStr">
        <is>
          <t>자본총계</t>
        </is>
      </c>
      <c r="H5" s="6" t="inlineStr">
        <is>
          <t>부채총계</t>
        </is>
      </c>
      <c r="I5" s="6" t="inlineStr">
        <is>
          <t>영업이익
최근 1년</t>
        </is>
      </c>
      <c r="J5" s="6" t="inlineStr">
        <is>
          <t>매출
최근 1년</t>
        </is>
      </c>
      <c r="K5" s="6" t="inlineStr">
        <is>
          <t>매출
3년 전 1년</t>
        </is>
      </c>
      <c r="L5" s="6" t="inlineStr">
        <is>
          <t>시가총액</t>
        </is>
      </c>
      <c r="M5" s="6" t="inlineStr">
        <is>
          <t>이자부부채</t>
        </is>
      </c>
      <c r="N5" s="6" t="inlineStr">
        <is>
          <t>현금성자산</t>
        </is>
      </c>
      <c r="O5" s="6" t="inlineStr">
        <is>
          <t>주가
12개월 전</t>
        </is>
      </c>
      <c r="P5" s="6" t="inlineStr">
        <is>
          <t>주가
1개월 전</t>
        </is>
      </c>
      <c r="Q5" s="6" t="inlineStr">
        <is>
          <t>판정</t>
        </is>
      </c>
      <c r="R5" s="6" t="inlineStr">
        <is>
          <t>점수
(0~100)</t>
        </is>
      </c>
      <c r="S5" s="6" t="inlineStr">
        <is>
          <t>한 줄 요약</t>
        </is>
      </c>
      <c r="T5" s="6" t="inlineStr">
        <is>
          <t>ROE
값 · 풀 안 위치</t>
        </is>
      </c>
      <c r="U5" s="6" t="inlineStr">
        <is>
          <t>매출성장률(3년 연평균)
값 · 풀 안 위치</t>
        </is>
      </c>
      <c r="V5" s="6" t="inlineStr">
        <is>
          <t>이익수익률
값 · 풀 안 위치</t>
        </is>
      </c>
      <c r="W5" s="6" t="inlineStr">
        <is>
          <t>12-1개월 수익률
값 · 풀 안 위치</t>
        </is>
      </c>
      <c r="X5" s="6" t="inlineStr">
        <is>
          <t>거름망</t>
        </is>
      </c>
      <c r="Y5" s="6" t="inlineStr">
        <is>
          <t>부채비율</t>
        </is>
      </c>
      <c r="Z5" s="6" t="inlineStr">
        <is>
          <t>ROE</t>
        </is>
      </c>
      <c r="AA5" s="6" t="inlineStr">
        <is>
          <t>매출성장률</t>
        </is>
      </c>
      <c r="AB5" s="6" t="inlineStr">
        <is>
          <t>이익수익률</t>
        </is>
      </c>
      <c r="AC5" s="6" t="inlineStr">
        <is>
          <t>12-1 수익률</t>
        </is>
      </c>
      <c r="AD5" s="6" t="inlineStr">
        <is>
          <t>결측</t>
        </is>
      </c>
      <c r="AE5" s="6" t="inlineStr">
        <is>
          <t>상태</t>
        </is>
      </c>
      <c r="AF5" s="6" t="inlineStr">
        <is>
          <t>채점(1)</t>
        </is>
      </c>
      <c r="AG5" s="6" t="inlineStr">
        <is>
          <t>ROE(채점)</t>
        </is>
      </c>
      <c r="AH5" s="6" t="inlineStr">
        <is>
          <t>성장(채점)</t>
        </is>
      </c>
      <c r="AI5" s="6" t="inlineStr">
        <is>
          <t>이익수익률(채점)</t>
        </is>
      </c>
      <c r="AJ5" s="6" t="inlineStr">
        <is>
          <t>12-1(채점)</t>
        </is>
      </c>
      <c r="AK5" s="6" t="inlineStr">
        <is>
          <t>ROE 백분위</t>
        </is>
      </c>
      <c r="AL5" s="6" t="inlineStr">
        <is>
          <t>성장 백분위</t>
        </is>
      </c>
      <c r="AM5" s="6" t="inlineStr">
        <is>
          <t>이익수익률 백분위</t>
        </is>
      </c>
      <c r="AN5" s="6" t="inlineStr">
        <is>
          <t>12-1 백분위</t>
        </is>
      </c>
      <c r="AO5" s="6" t="inlineStr">
        <is>
          <t>평균 백분위</t>
        </is>
      </c>
      <c r="AP5" s="6" t="inlineStr">
        <is>
          <t>미보유 후보 점수</t>
        </is>
      </c>
      <c r="AQ5" s="6" t="inlineStr">
        <is>
          <t>대시보드 순위값</t>
        </is>
      </c>
      <c r="AR5" s="6" t="inlineStr">
        <is>
          <t>거름망 사유</t>
        </is>
      </c>
    </row>
    <row r="6">
      <c r="A6" s="18" t="inlineStr">
        <is>
          <t>K01</t>
        </is>
      </c>
      <c r="B6" s="19" t="inlineStr">
        <is>
          <t>예시전자</t>
        </is>
      </c>
      <c r="C6" s="19" t="inlineStr">
        <is>
          <t>Y</t>
        </is>
      </c>
      <c r="D6" s="19" t="n"/>
      <c r="E6" s="19" t="inlineStr">
        <is>
          <t>2026-2Q</t>
        </is>
      </c>
      <c r="F6" s="20" t="n">
        <v>1200</v>
      </c>
      <c r="G6" s="20" t="n">
        <v>8000</v>
      </c>
      <c r="H6" s="20" t="n">
        <v>4000</v>
      </c>
      <c r="I6" s="20" t="n">
        <v>1600</v>
      </c>
      <c r="J6" s="20" t="n">
        <v>12000</v>
      </c>
      <c r="K6" s="20" t="n">
        <v>8000</v>
      </c>
      <c r="L6" s="20" t="n">
        <v>15000</v>
      </c>
      <c r="M6" s="20" t="n">
        <v>1500</v>
      </c>
      <c r="N6" s="20" t="n">
        <v>2500</v>
      </c>
      <c r="O6" s="20" t="n">
        <v>50000</v>
      </c>
      <c r="P6" s="20" t="n">
        <v>62000</v>
      </c>
      <c r="Q6" s="7">
        <f>IF(A6="","",IF(C6="Y",IF(AF6=1,IF(AND(R6&lt;'설정'!$B$6,ISNUMBER($H$3)),IF(ROUND($H$3-R6,1)&gt;='설정'!$B$7,"교체 제안 → "&amp;$E$3&amp;" ("&amp;TEXT($H$3,"0.0")&amp;")","보유 유지"),"보유 유지"),"보유 · 점수 없음"),IF(AF6=1,IF(R6&gt;='설정'!$B$5,"편입 후보",""),"")))</f>
        <v/>
      </c>
      <c r="R6" s="15">
        <f>IF(AF6=1,ROUND(IF($B$3=1,50,(_xlfn.RANK.AVG(AO6,$AO$6:$AO$105,1)-1)/($B$3-1)*100),1),"")</f>
        <v/>
      </c>
      <c r="S6">
        <f>IF(A6="","",IF(AF6=1,_xlfn.TEXTJOIN(". ",TRUE,_xlfn.TEXTJOIN(", ",TRUE,IF(AK6&gt;='설정'!$B$20,"수익성 높음",""),IF(AL6&gt;='설정'!$B$20,"성장 빠름",""),IF(AM6&gt;='설정'!$B$20,"가격 쌈",""),IF(AN6&gt;='설정'!$B$20,"추세 좋음","")),_xlfn.TEXTJOIN(", ",TRUE,IF(AK6&lt;'설정'!$B$21,"수익성 낮음",""),IF(AL6&lt;'설정'!$B$21,"성장 느림",""),IF(AM6&lt;'설정'!$B$21,"가격 비쌈",""),IF(AN6&lt;'설정'!$B$21,"추세 약함","")),IF(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="","","보통: "&amp;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)),IF(X6="통과",AE6,X6)))</f>
        <v/>
      </c>
      <c r="T6">
        <f>IF(AF6=1,TEXT(Z6,"0.0%")&amp;" · 상위 "&amp;TEXT(($B$3-_xlfn.RANK.AVG(AG6,$AG$6:$AG$105,1)+1)/$B$3*100,"0")&amp;"%",IF(A6="","",IF(Z6="","결측",TEXT(Z6,"0.0%"))))</f>
        <v/>
      </c>
      <c r="U6">
        <f>IF(AF6=1,TEXT(AA6,"0.0%")&amp;" · 상위 "&amp;TEXT(($B$3-_xlfn.RANK.AVG(AH6,$AH$6:$AH$105,1)+1)/$B$3*100,"0")&amp;"%",IF(A6="","",IF(AA6="","결측",TEXT(AA6,"0.0%"))))</f>
        <v/>
      </c>
      <c r="V6">
        <f>IF(AF6=1,TEXT(AB6,"0.0%")&amp;" · 상위 "&amp;TEXT(($B$3-_xlfn.RANK.AVG(AI6,$AI$6:$AI$105,1)+1)/$B$3*100,"0")&amp;"%",IF(A6="","",IF(AB6="","결측",TEXT(AB6,"0.0%"))))</f>
        <v/>
      </c>
      <c r="W6">
        <f>IF(AF6=1,TEXT(AC6,"0.0%")&amp;" · 상위 "&amp;TEXT(($B$3-_xlfn.RANK.AVG(AJ6,$AJ$6:$AJ$105,1)+1)/$B$3*100,"0")&amp;"%",IF(A6="","",IF(AC6="","결측",TEXT(AC6,"0.0%"))))</f>
        <v/>
      </c>
      <c r="X6">
        <f>IF(A6="","",IF(AR6="","통과","제외: "&amp;AR6))</f>
        <v/>
      </c>
      <c r="Y6" s="21">
        <f>IF(AND(ISNUMBER(G6),ISNUMBER(H6)),IF(G6&gt;0,H6/G6,""),"")</f>
        <v/>
      </c>
      <c r="Z6" s="22">
        <f>IF(AND(ISNUMBER(F6),ISNUMBER(G6)),IF(G6&gt;0,F6/G6,""),"")</f>
        <v/>
      </c>
      <c r="AA6" s="22">
        <f>IF(AND(ISNUMBER(J6),ISNUMBER(K6)),IF(AND(J6&gt;0,K6&gt;0),(J6/K6)^(1/3)-1,""),"")</f>
        <v/>
      </c>
      <c r="AB6" s="22">
        <f>IF(AND(ISNUMBER(I6),ISNUMBER(L6),ISNUMBER(M6),ISNUMBER(N6)),IF((L6+M6-N6)&gt;0,I6/(L6+M6-N6),""),"")</f>
        <v/>
      </c>
      <c r="AC6" s="22">
        <f>IF(AND(ISNUMBER(O6),ISNUMBER(P6)),IF(AND(O6&gt;0,P6&gt;0),P6/O6-1,""),"")</f>
        <v/>
      </c>
      <c r="AD6">
        <f>_xlfn.TEXTJOIN(", ",TRUE,IF(Z6="","ROE",""),IF(AA6="","매출성장률",""),IF(AB6="","이익수익률",""),IF(AC6="","12-1 수익률",""))</f>
        <v/>
      </c>
      <c r="AE6">
        <f>IF(A6="","",IF(AR6&lt;&gt;"","점수 없음(거름망)",IF(AD6="","채점","점수 없음(결측: "&amp;AD6&amp;")")))</f>
        <v/>
      </c>
      <c r="AF6">
        <f>IF(AE6="채점",1,"")</f>
        <v/>
      </c>
      <c r="AG6">
        <f>IF(AF6=1,Z6,"")</f>
        <v/>
      </c>
      <c r="AH6">
        <f>IF(AF6=1,AA6,"")</f>
        <v/>
      </c>
      <c r="AI6">
        <f>IF(AF6=1,AB6,"")</f>
        <v/>
      </c>
      <c r="AJ6">
        <f>IF(AF6=1,AC6,"")</f>
        <v/>
      </c>
      <c r="AK6">
        <f>IF(AF6=1,IF($B$3=1,50,(_xlfn.RANK.AVG(AG6,$AG$6:$AG$105,1)-1)/($B$3-1)*100),"")</f>
        <v/>
      </c>
      <c r="AL6">
        <f>IF(AF6=1,IF($B$3=1,50,(_xlfn.RANK.AVG(AH6,$AH$6:$AH$105,1)-1)/($B$3-1)*100),"")</f>
        <v/>
      </c>
      <c r="AM6">
        <f>IF(AF6=1,IF($B$3=1,50,(_xlfn.RANK.AVG(AI6,$AI$6:$AI$105,1)-1)/($B$3-1)*100),"")</f>
        <v/>
      </c>
      <c r="AN6">
        <f>IF(AF6=1,IF($B$3=1,50,(_xlfn.RANK.AVG(AJ6,$AJ$6:$AJ$105,1)-1)/($B$3-1)*100),"")</f>
        <v/>
      </c>
      <c r="AO6">
        <f>IF(AF6=1,ROUND(AVERAGE(AK6:AN6),6),"")</f>
        <v/>
      </c>
      <c r="AP6">
        <f>IF(AND(AF6=1,C6&lt;&gt;"Y"),R6,"")</f>
        <v/>
      </c>
      <c r="AQ6">
        <f>IF(AND(ISNUMBER(AP6),Q6="편입 후보"),AP6+(1000-ROW())/1000000,"")</f>
        <v/>
      </c>
      <c r="AR6">
        <f>IF(A6="","",_xlfn.TEXTJOIN(", ",TRUE,IF(D6="Y","금융·리츠",""),IF(NOT(ISNUMBER(I6)),"영업이익 없음",IF(I6&lt;=0,"영업적자","")),IF(OR(NOT(ISNUMBER(G6)),NOT(ISNUMBER(H6))),"부채비율 자료 없음",IF(G6&lt;=0,"자본잠식",IF(H6/G6&gt;'설정'!$B$8,"부채비율 초과",""))),IF(NOT(ISNUMBER(L6)),"시총 없음",IF(L6&lt;'설정'!$B$9,"시총 미달",""))))</f>
        <v/>
      </c>
    </row>
    <row r="7">
      <c r="A7" s="18" t="inlineStr">
        <is>
          <t>K02</t>
        </is>
      </c>
      <c r="B7" s="19" t="inlineStr">
        <is>
          <t>예시화학</t>
        </is>
      </c>
      <c r="C7" s="19" t="inlineStr">
        <is>
          <t>Y</t>
        </is>
      </c>
      <c r="D7" s="19" t="n"/>
      <c r="E7" s="19" t="inlineStr">
        <is>
          <t>2026-2Q</t>
        </is>
      </c>
      <c r="F7" s="20" t="n">
        <v>150</v>
      </c>
      <c r="G7" s="20" t="n">
        <v>9000</v>
      </c>
      <c r="H7" s="20" t="n">
        <v>9000</v>
      </c>
      <c r="I7" s="20" t="n">
        <v>300</v>
      </c>
      <c r="J7" s="20" t="n">
        <v>7000</v>
      </c>
      <c r="K7" s="20" t="n">
        <v>7500</v>
      </c>
      <c r="L7" s="20" t="n">
        <v>6000</v>
      </c>
      <c r="M7" s="20" t="n">
        <v>4000</v>
      </c>
      <c r="N7" s="20" t="n">
        <v>500</v>
      </c>
      <c r="O7" s="20" t="n">
        <v>30000</v>
      </c>
      <c r="P7" s="20" t="n">
        <v>24000</v>
      </c>
      <c r="Q7" s="7">
        <f>IF(A7="","",IF(C7="Y",IF(AF7=1,IF(AND(R7&lt;'설정'!$B$6,ISNUMBER($H$3)),IF(ROUND($H$3-R7,1)&gt;='설정'!$B$7,"교체 제안 → "&amp;$E$3&amp;" ("&amp;TEXT($H$3,"0.0")&amp;")","보유 유지"),"보유 유지"),"보유 · 점수 없음"),IF(AF7=1,IF(R7&gt;='설정'!$B$5,"편입 후보",""),"")))</f>
        <v/>
      </c>
      <c r="R7" s="15">
        <f>IF(AF7=1,ROUND(IF($B$3=1,50,(_xlfn.RANK.AVG(AO7,$AO$6:$AO$105,1)-1)/($B$3-1)*100),1),"")</f>
        <v/>
      </c>
      <c r="S7">
        <f>IF(A7="","",IF(AF7=1,_xlfn.TEXTJOIN(". ",TRUE,_xlfn.TEXTJOIN(", ",TRUE,IF(AK7&gt;='설정'!$B$20,"수익성 높음",""),IF(AL7&gt;='설정'!$B$20,"성장 빠름",""),IF(AM7&gt;='설정'!$B$20,"가격 쌈",""),IF(AN7&gt;='설정'!$B$20,"추세 좋음","")),_xlfn.TEXTJOIN(", ",TRUE,IF(AK7&lt;'설정'!$B$21,"수익성 낮음",""),IF(AL7&lt;'설정'!$B$21,"성장 느림",""),IF(AM7&lt;'설정'!$B$21,"가격 비쌈",""),IF(AN7&lt;'설정'!$B$21,"추세 약함","")),IF(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="","","보통: "&amp;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)),IF(X7="통과",AE7,X7)))</f>
        <v/>
      </c>
      <c r="T7">
        <f>IF(AF7=1,TEXT(Z7,"0.0%")&amp;" · 상위 "&amp;TEXT(($B$3-_xlfn.RANK.AVG(AG7,$AG$6:$AG$105,1)+1)/$B$3*100,"0")&amp;"%",IF(A7="","",IF(Z7="","결측",TEXT(Z7,"0.0%"))))</f>
        <v/>
      </c>
      <c r="U7">
        <f>IF(AF7=1,TEXT(AA7,"0.0%")&amp;" · 상위 "&amp;TEXT(($B$3-_xlfn.RANK.AVG(AH7,$AH$6:$AH$105,1)+1)/$B$3*100,"0")&amp;"%",IF(A7="","",IF(AA7="","결측",TEXT(AA7,"0.0%"))))</f>
        <v/>
      </c>
      <c r="V7">
        <f>IF(AF7=1,TEXT(AB7,"0.0%")&amp;" · 상위 "&amp;TEXT(($B$3-_xlfn.RANK.AVG(AI7,$AI$6:$AI$105,1)+1)/$B$3*100,"0")&amp;"%",IF(A7="","",IF(AB7="","결측",TEXT(AB7,"0.0%"))))</f>
        <v/>
      </c>
      <c r="W7">
        <f>IF(AF7=1,TEXT(AC7,"0.0%")&amp;" · 상위 "&amp;TEXT(($B$3-_xlfn.RANK.AVG(AJ7,$AJ$6:$AJ$105,1)+1)/$B$3*100,"0")&amp;"%",IF(A7="","",IF(AC7="","결측",TEXT(AC7,"0.0%"))))</f>
        <v/>
      </c>
      <c r="X7">
        <f>IF(A7="","",IF(AR7="","통과","제외: "&amp;AR7))</f>
        <v/>
      </c>
      <c r="Y7" s="21">
        <f>IF(AND(ISNUMBER(G7),ISNUMBER(H7)),IF(G7&gt;0,H7/G7,""),"")</f>
        <v/>
      </c>
      <c r="Z7" s="22">
        <f>IF(AND(ISNUMBER(F7),ISNUMBER(G7)),IF(G7&gt;0,F7/G7,""),"")</f>
        <v/>
      </c>
      <c r="AA7" s="22">
        <f>IF(AND(ISNUMBER(J7),ISNUMBER(K7)),IF(AND(J7&gt;0,K7&gt;0),(J7/K7)^(1/3)-1,""),"")</f>
        <v/>
      </c>
      <c r="AB7" s="22">
        <f>IF(AND(ISNUMBER(I7),ISNUMBER(L7),ISNUMBER(M7),ISNUMBER(N7)),IF((L7+M7-N7)&gt;0,I7/(L7+M7-N7),""),"")</f>
        <v/>
      </c>
      <c r="AC7" s="22">
        <f>IF(AND(ISNUMBER(O7),ISNUMBER(P7)),IF(AND(O7&gt;0,P7&gt;0),P7/O7-1,""),"")</f>
        <v/>
      </c>
      <c r="AD7">
        <f>_xlfn.TEXTJOIN(", ",TRUE,IF(Z7="","ROE",""),IF(AA7="","매출성장률",""),IF(AB7="","이익수익률",""),IF(AC7="","12-1 수익률",""))</f>
        <v/>
      </c>
      <c r="AE7">
        <f>IF(A7="","",IF(AR7&lt;&gt;"","점수 없음(거름망)",IF(AD7="","채점","점수 없음(결측: "&amp;AD7&amp;")")))</f>
        <v/>
      </c>
      <c r="AF7">
        <f>IF(AE7="채점",1,"")</f>
        <v/>
      </c>
      <c r="AG7">
        <f>IF(AF7=1,Z7,"")</f>
        <v/>
      </c>
      <c r="AH7">
        <f>IF(AF7=1,AA7,"")</f>
        <v/>
      </c>
      <c r="AI7">
        <f>IF(AF7=1,AB7,"")</f>
        <v/>
      </c>
      <c r="AJ7">
        <f>IF(AF7=1,AC7,"")</f>
        <v/>
      </c>
      <c r="AK7">
        <f>IF(AF7=1,IF($B$3=1,50,(_xlfn.RANK.AVG(AG7,$AG$6:$AG$105,1)-1)/($B$3-1)*100),"")</f>
        <v/>
      </c>
      <c r="AL7">
        <f>IF(AF7=1,IF($B$3=1,50,(_xlfn.RANK.AVG(AH7,$AH$6:$AH$105,1)-1)/($B$3-1)*100),"")</f>
        <v/>
      </c>
      <c r="AM7">
        <f>IF(AF7=1,IF($B$3=1,50,(_xlfn.RANK.AVG(AI7,$AI$6:$AI$105,1)-1)/($B$3-1)*100),"")</f>
        <v/>
      </c>
      <c r="AN7">
        <f>IF(AF7=1,IF($B$3=1,50,(_xlfn.RANK.AVG(AJ7,$AJ$6:$AJ$105,1)-1)/($B$3-1)*100),"")</f>
        <v/>
      </c>
      <c r="AO7">
        <f>IF(AF7=1,ROUND(AVERAGE(AK7:AN7),6),"")</f>
        <v/>
      </c>
      <c r="AP7">
        <f>IF(AND(AF7=1,C7&lt;&gt;"Y"),R7,"")</f>
        <v/>
      </c>
      <c r="AQ7">
        <f>IF(AND(ISNUMBER(AP7),Q7="편입 후보"),AP7+(1000-ROW())/1000000,"")</f>
        <v/>
      </c>
      <c r="AR7">
        <f>IF(A7="","",_xlfn.TEXTJOIN(", ",TRUE,IF(D7="Y","금융·리츠",""),IF(NOT(ISNUMBER(I7)),"영업이익 없음",IF(I7&lt;=0,"영업적자","")),IF(OR(NOT(ISNUMBER(G7)),NOT(ISNUMBER(H7))),"부채비율 자료 없음",IF(G7&lt;=0,"자본잠식",IF(H7/G7&gt;'설정'!$B$8,"부채비율 초과",""))),IF(NOT(ISNUMBER(L7)),"시총 없음",IF(L7&lt;'설정'!$B$9,"시총 미달",""))))</f>
        <v/>
      </c>
    </row>
    <row r="8">
      <c r="A8" s="18" t="inlineStr">
        <is>
          <t>K03</t>
        </is>
      </c>
      <c r="B8" s="19" t="inlineStr">
        <is>
          <t>예시바이오</t>
        </is>
      </c>
      <c r="C8" s="19" t="n"/>
      <c r="D8" s="19" t="n"/>
      <c r="E8" s="19" t="inlineStr">
        <is>
          <t>2026-2Q</t>
        </is>
      </c>
      <c r="F8" s="20" t="n">
        <v>-250</v>
      </c>
      <c r="G8" s="20" t="n">
        <v>5000</v>
      </c>
      <c r="H8" s="20" t="n">
        <v>1000</v>
      </c>
      <c r="I8" s="20" t="n">
        <v>-200</v>
      </c>
      <c r="J8" s="20" t="n">
        <v>800</v>
      </c>
      <c r="K8" s="20" t="n">
        <v>300</v>
      </c>
      <c r="L8" s="20" t="n">
        <v>20000</v>
      </c>
      <c r="M8" s="20" t="n">
        <v>0</v>
      </c>
      <c r="N8" s="20" t="n">
        <v>3000</v>
      </c>
      <c r="O8" s="20" t="n">
        <v>40000</v>
      </c>
      <c r="P8" s="20" t="n">
        <v>52000</v>
      </c>
      <c r="Q8" s="7">
        <f>IF(A8="","",IF(C8="Y",IF(AF8=1,IF(AND(R8&lt;'설정'!$B$6,ISNUMBER($H$3)),IF(ROUND($H$3-R8,1)&gt;='설정'!$B$7,"교체 제안 → "&amp;$E$3&amp;" ("&amp;TEXT($H$3,"0.0")&amp;")","보유 유지"),"보유 유지"),"보유 · 점수 없음"),IF(AF8=1,IF(R8&gt;='설정'!$B$5,"편입 후보",""),"")))</f>
        <v/>
      </c>
      <c r="R8" s="15">
        <f>IF(AF8=1,ROUND(IF($B$3=1,50,(_xlfn.RANK.AVG(AO8,$AO$6:$AO$105,1)-1)/($B$3-1)*100),1),"")</f>
        <v/>
      </c>
      <c r="S8">
        <f>IF(A8="","",IF(AF8=1,_xlfn.TEXTJOIN(". ",TRUE,_xlfn.TEXTJOIN(", ",TRUE,IF(AK8&gt;='설정'!$B$20,"수익성 높음",""),IF(AL8&gt;='설정'!$B$20,"성장 빠름",""),IF(AM8&gt;='설정'!$B$20,"가격 쌈",""),IF(AN8&gt;='설정'!$B$20,"추세 좋음","")),_xlfn.TEXTJOIN(", ",TRUE,IF(AK8&lt;'설정'!$B$21,"수익성 낮음",""),IF(AL8&lt;'설정'!$B$21,"성장 느림",""),IF(AM8&lt;'설정'!$B$21,"가격 비쌈",""),IF(AN8&lt;'설정'!$B$21,"추세 약함","")),IF(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="","","보통: "&amp;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)),IF(X8="통과",AE8,X8)))</f>
        <v/>
      </c>
      <c r="T8">
        <f>IF(AF8=1,TEXT(Z8,"0.0%")&amp;" · 상위 "&amp;TEXT(($B$3-_xlfn.RANK.AVG(AG8,$AG$6:$AG$105,1)+1)/$B$3*100,"0")&amp;"%",IF(A8="","",IF(Z8="","결측",TEXT(Z8,"0.0%"))))</f>
        <v/>
      </c>
      <c r="U8">
        <f>IF(AF8=1,TEXT(AA8,"0.0%")&amp;" · 상위 "&amp;TEXT(($B$3-_xlfn.RANK.AVG(AH8,$AH$6:$AH$105,1)+1)/$B$3*100,"0")&amp;"%",IF(A8="","",IF(AA8="","결측",TEXT(AA8,"0.0%"))))</f>
        <v/>
      </c>
      <c r="V8">
        <f>IF(AF8=1,TEXT(AB8,"0.0%")&amp;" · 상위 "&amp;TEXT(($B$3-_xlfn.RANK.AVG(AI8,$AI$6:$AI$105,1)+1)/$B$3*100,"0")&amp;"%",IF(A8="","",IF(AB8="","결측",TEXT(AB8,"0.0%"))))</f>
        <v/>
      </c>
      <c r="W8">
        <f>IF(AF8=1,TEXT(AC8,"0.0%")&amp;" · 상위 "&amp;TEXT(($B$3-_xlfn.RANK.AVG(AJ8,$AJ$6:$AJ$105,1)+1)/$B$3*100,"0")&amp;"%",IF(A8="","",IF(AC8="","결측",TEXT(AC8,"0.0%"))))</f>
        <v/>
      </c>
      <c r="X8">
        <f>IF(A8="","",IF(AR8="","통과","제외: "&amp;AR8))</f>
        <v/>
      </c>
      <c r="Y8" s="21">
        <f>IF(AND(ISNUMBER(G8),ISNUMBER(H8)),IF(G8&gt;0,H8/G8,""),"")</f>
        <v/>
      </c>
      <c r="Z8" s="22">
        <f>IF(AND(ISNUMBER(F8),ISNUMBER(G8)),IF(G8&gt;0,F8/G8,""),"")</f>
        <v/>
      </c>
      <c r="AA8" s="22">
        <f>IF(AND(ISNUMBER(J8),ISNUMBER(K8)),IF(AND(J8&gt;0,K8&gt;0),(J8/K8)^(1/3)-1,""),"")</f>
        <v/>
      </c>
      <c r="AB8" s="22">
        <f>IF(AND(ISNUMBER(I8),ISNUMBER(L8),ISNUMBER(M8),ISNUMBER(N8)),IF((L8+M8-N8)&gt;0,I8/(L8+M8-N8),""),"")</f>
        <v/>
      </c>
      <c r="AC8" s="22">
        <f>IF(AND(ISNUMBER(O8),ISNUMBER(P8)),IF(AND(O8&gt;0,P8&gt;0),P8/O8-1,""),"")</f>
        <v/>
      </c>
      <c r="AD8">
        <f>_xlfn.TEXTJOIN(", ",TRUE,IF(Z8="","ROE",""),IF(AA8="","매출성장률",""),IF(AB8="","이익수익률",""),IF(AC8="","12-1 수익률",""))</f>
        <v/>
      </c>
      <c r="AE8">
        <f>IF(A8="","",IF(AR8&lt;&gt;"","점수 없음(거름망)",IF(AD8="","채점","점수 없음(결측: "&amp;AD8&amp;")")))</f>
        <v/>
      </c>
      <c r="AF8">
        <f>IF(AE8="채점",1,"")</f>
        <v/>
      </c>
      <c r="AG8">
        <f>IF(AF8=1,Z8,"")</f>
        <v/>
      </c>
      <c r="AH8">
        <f>IF(AF8=1,AA8,"")</f>
        <v/>
      </c>
      <c r="AI8">
        <f>IF(AF8=1,AB8,"")</f>
        <v/>
      </c>
      <c r="AJ8">
        <f>IF(AF8=1,AC8,"")</f>
        <v/>
      </c>
      <c r="AK8">
        <f>IF(AF8=1,IF($B$3=1,50,(_xlfn.RANK.AVG(AG8,$AG$6:$AG$105,1)-1)/($B$3-1)*100),"")</f>
        <v/>
      </c>
      <c r="AL8">
        <f>IF(AF8=1,IF($B$3=1,50,(_xlfn.RANK.AVG(AH8,$AH$6:$AH$105,1)-1)/($B$3-1)*100),"")</f>
        <v/>
      </c>
      <c r="AM8">
        <f>IF(AF8=1,IF($B$3=1,50,(_xlfn.RANK.AVG(AI8,$AI$6:$AI$105,1)-1)/($B$3-1)*100),"")</f>
        <v/>
      </c>
      <c r="AN8">
        <f>IF(AF8=1,IF($B$3=1,50,(_xlfn.RANK.AVG(AJ8,$AJ$6:$AJ$105,1)-1)/($B$3-1)*100),"")</f>
        <v/>
      </c>
      <c r="AO8">
        <f>IF(AF8=1,ROUND(AVERAGE(AK8:AN8),6),"")</f>
        <v/>
      </c>
      <c r="AP8">
        <f>IF(AND(AF8=1,C8&lt;&gt;"Y"),R8,"")</f>
        <v/>
      </c>
      <c r="AQ8">
        <f>IF(AND(ISNUMBER(AP8),Q8="편입 후보"),AP8+(1000-ROW())/1000000,"")</f>
        <v/>
      </c>
      <c r="AR8">
        <f>IF(A8="","",_xlfn.TEXTJOIN(", ",TRUE,IF(D8="Y","금융·리츠",""),IF(NOT(ISNUMBER(I8)),"영업이익 없음",IF(I8&lt;=0,"영업적자","")),IF(OR(NOT(ISNUMBER(G8)),NOT(ISNUMBER(H8))),"부채비율 자료 없음",IF(G8&lt;=0,"자본잠식",IF(H8/G8&gt;'설정'!$B$8,"부채비율 초과",""))),IF(NOT(ISNUMBER(L8)),"시총 없음",IF(L8&lt;'설정'!$B$9,"시총 미달",""))))</f>
        <v/>
      </c>
    </row>
    <row r="9">
      <c r="A9" s="18" t="inlineStr">
        <is>
          <t>K04</t>
        </is>
      </c>
      <c r="B9" s="19" t="inlineStr">
        <is>
          <t>예시은행</t>
        </is>
      </c>
      <c r="C9" s="19" t="n"/>
      <c r="D9" s="19" t="inlineStr">
        <is>
          <t>Y</t>
        </is>
      </c>
      <c r="E9" s="19" t="inlineStr">
        <is>
          <t>2026-2Q</t>
        </is>
      </c>
      <c r="F9" s="20" t="n">
        <v>3000</v>
      </c>
      <c r="G9" s="20" t="n">
        <v>30000</v>
      </c>
      <c r="H9" s="20" t="n">
        <v>300000</v>
      </c>
      <c r="I9" s="20" t="n">
        <v>4000</v>
      </c>
      <c r="J9" s="20" t="n">
        <v>20000</v>
      </c>
      <c r="K9" s="20" t="n">
        <v>17000</v>
      </c>
      <c r="L9" s="20" t="n">
        <v>25000</v>
      </c>
      <c r="M9" s="20" t="n">
        <v>0</v>
      </c>
      <c r="N9" s="20" t="n">
        <v>0</v>
      </c>
      <c r="O9" s="20" t="n">
        <v>10000</v>
      </c>
      <c r="P9" s="20" t="n">
        <v>11000</v>
      </c>
      <c r="Q9" s="7">
        <f>IF(A9="","",IF(C9="Y",IF(AF9=1,IF(AND(R9&lt;'설정'!$B$6,ISNUMBER($H$3)),IF(ROUND($H$3-R9,1)&gt;='설정'!$B$7,"교체 제안 → "&amp;$E$3&amp;" ("&amp;TEXT($H$3,"0.0")&amp;")","보유 유지"),"보유 유지"),"보유 · 점수 없음"),IF(AF9=1,IF(R9&gt;='설정'!$B$5,"편입 후보",""),"")))</f>
        <v/>
      </c>
      <c r="R9" s="15">
        <f>IF(AF9=1,ROUND(IF($B$3=1,50,(_xlfn.RANK.AVG(AO9,$AO$6:$AO$105,1)-1)/($B$3-1)*100),1),"")</f>
        <v/>
      </c>
      <c r="S9">
        <f>IF(A9="","",IF(AF9=1,_xlfn.TEXTJOIN(". ",TRUE,_xlfn.TEXTJOIN(", ",TRUE,IF(AK9&gt;='설정'!$B$20,"수익성 높음",""),IF(AL9&gt;='설정'!$B$20,"성장 빠름",""),IF(AM9&gt;='설정'!$B$20,"가격 쌈",""),IF(AN9&gt;='설정'!$B$20,"추세 좋음","")),_xlfn.TEXTJOIN(", ",TRUE,IF(AK9&lt;'설정'!$B$21,"수익성 낮음",""),IF(AL9&lt;'설정'!$B$21,"성장 느림",""),IF(AM9&lt;'설정'!$B$21,"가격 비쌈",""),IF(AN9&lt;'설정'!$B$21,"추세 약함","")),IF(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="","","보통: "&amp;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)),IF(X9="통과",AE9,X9)))</f>
        <v/>
      </c>
      <c r="T9">
        <f>IF(AF9=1,TEXT(Z9,"0.0%")&amp;" · 상위 "&amp;TEXT(($B$3-_xlfn.RANK.AVG(AG9,$AG$6:$AG$105,1)+1)/$B$3*100,"0")&amp;"%",IF(A9="","",IF(Z9="","결측",TEXT(Z9,"0.0%"))))</f>
        <v/>
      </c>
      <c r="U9">
        <f>IF(AF9=1,TEXT(AA9,"0.0%")&amp;" · 상위 "&amp;TEXT(($B$3-_xlfn.RANK.AVG(AH9,$AH$6:$AH$105,1)+1)/$B$3*100,"0")&amp;"%",IF(A9="","",IF(AA9="","결측",TEXT(AA9,"0.0%"))))</f>
        <v/>
      </c>
      <c r="V9">
        <f>IF(AF9=1,TEXT(AB9,"0.0%")&amp;" · 상위 "&amp;TEXT(($B$3-_xlfn.RANK.AVG(AI9,$AI$6:$AI$105,1)+1)/$B$3*100,"0")&amp;"%",IF(A9="","",IF(AB9="","결측",TEXT(AB9,"0.0%"))))</f>
        <v/>
      </c>
      <c r="W9">
        <f>IF(AF9=1,TEXT(AC9,"0.0%")&amp;" · 상위 "&amp;TEXT(($B$3-_xlfn.RANK.AVG(AJ9,$AJ$6:$AJ$105,1)+1)/$B$3*100,"0")&amp;"%",IF(A9="","",IF(AC9="","결측",TEXT(AC9,"0.0%"))))</f>
        <v/>
      </c>
      <c r="X9">
        <f>IF(A9="","",IF(AR9="","통과","제외: "&amp;AR9))</f>
        <v/>
      </c>
      <c r="Y9" s="21">
        <f>IF(AND(ISNUMBER(G9),ISNUMBER(H9)),IF(G9&gt;0,H9/G9,""),"")</f>
        <v/>
      </c>
      <c r="Z9" s="22">
        <f>IF(AND(ISNUMBER(F9),ISNUMBER(G9)),IF(G9&gt;0,F9/G9,""),"")</f>
        <v/>
      </c>
      <c r="AA9" s="22">
        <f>IF(AND(ISNUMBER(J9),ISNUMBER(K9)),IF(AND(J9&gt;0,K9&gt;0),(J9/K9)^(1/3)-1,""),"")</f>
        <v/>
      </c>
      <c r="AB9" s="22">
        <f>IF(AND(ISNUMBER(I9),ISNUMBER(L9),ISNUMBER(M9),ISNUMBER(N9)),IF((L9+M9-N9)&gt;0,I9/(L9+M9-N9),""),"")</f>
        <v/>
      </c>
      <c r="AC9" s="22">
        <f>IF(AND(ISNUMBER(O9),ISNUMBER(P9)),IF(AND(O9&gt;0,P9&gt;0),P9/O9-1,""),"")</f>
        <v/>
      </c>
      <c r="AD9">
        <f>_xlfn.TEXTJOIN(", ",TRUE,IF(Z9="","ROE",""),IF(AA9="","매출성장률",""),IF(AB9="","이익수익률",""),IF(AC9="","12-1 수익률",""))</f>
        <v/>
      </c>
      <c r="AE9">
        <f>IF(A9="","",IF(AR9&lt;&gt;"","점수 없음(거름망)",IF(AD9="","채점","점수 없음(결측: "&amp;AD9&amp;")")))</f>
        <v/>
      </c>
      <c r="AF9">
        <f>IF(AE9="채점",1,"")</f>
        <v/>
      </c>
      <c r="AG9">
        <f>IF(AF9=1,Z9,"")</f>
        <v/>
      </c>
      <c r="AH9">
        <f>IF(AF9=1,AA9,"")</f>
        <v/>
      </c>
      <c r="AI9">
        <f>IF(AF9=1,AB9,"")</f>
        <v/>
      </c>
      <c r="AJ9">
        <f>IF(AF9=1,AC9,"")</f>
        <v/>
      </c>
      <c r="AK9">
        <f>IF(AF9=1,IF($B$3=1,50,(_xlfn.RANK.AVG(AG9,$AG$6:$AG$105,1)-1)/($B$3-1)*100),"")</f>
        <v/>
      </c>
      <c r="AL9">
        <f>IF(AF9=1,IF($B$3=1,50,(_xlfn.RANK.AVG(AH9,$AH$6:$AH$105,1)-1)/($B$3-1)*100),"")</f>
        <v/>
      </c>
      <c r="AM9">
        <f>IF(AF9=1,IF($B$3=1,50,(_xlfn.RANK.AVG(AI9,$AI$6:$AI$105,1)-1)/($B$3-1)*100),"")</f>
        <v/>
      </c>
      <c r="AN9">
        <f>IF(AF9=1,IF($B$3=1,50,(_xlfn.RANK.AVG(AJ9,$AJ$6:$AJ$105,1)-1)/($B$3-1)*100),"")</f>
        <v/>
      </c>
      <c r="AO9">
        <f>IF(AF9=1,ROUND(AVERAGE(AK9:AN9),6),"")</f>
        <v/>
      </c>
      <c r="AP9">
        <f>IF(AND(AF9=1,C9&lt;&gt;"Y"),R9,"")</f>
        <v/>
      </c>
      <c r="AQ9">
        <f>IF(AND(ISNUMBER(AP9),Q9="편입 후보"),AP9+(1000-ROW())/1000000,"")</f>
        <v/>
      </c>
      <c r="AR9">
        <f>IF(A9="","",_xlfn.TEXTJOIN(", ",TRUE,IF(D9="Y","금융·리츠",""),IF(NOT(ISNUMBER(I9)),"영업이익 없음",IF(I9&lt;=0,"영업적자","")),IF(OR(NOT(ISNUMBER(G9)),NOT(ISNUMBER(H9))),"부채비율 자료 없음",IF(G9&lt;=0,"자본잠식",IF(H9/G9&gt;'설정'!$B$8,"부채비율 초과",""))),IF(NOT(ISNUMBER(L9)),"시총 없음",IF(L9&lt;'설정'!$B$9,"시총 미달",""))))</f>
        <v/>
      </c>
    </row>
    <row r="10">
      <c r="A10" s="18" t="inlineStr">
        <is>
          <t>K05</t>
        </is>
      </c>
      <c r="B10" s="19" t="inlineStr">
        <is>
          <t>예시건설</t>
        </is>
      </c>
      <c r="C10" s="19" t="n"/>
      <c r="D10" s="19" t="n"/>
      <c r="E10" s="19" t="inlineStr">
        <is>
          <t>2026-2Q</t>
        </is>
      </c>
      <c r="F10" s="20" t="n">
        <v>300</v>
      </c>
      <c r="G10" s="20" t="n">
        <v>5000</v>
      </c>
      <c r="H10" s="20" t="n">
        <v>13000</v>
      </c>
      <c r="I10" s="20" t="n">
        <v>700</v>
      </c>
      <c r="J10" s="20" t="n">
        <v>15000</v>
      </c>
      <c r="K10" s="20" t="n">
        <v>13000</v>
      </c>
      <c r="L10" s="20" t="n">
        <v>6000</v>
      </c>
      <c r="M10" s="20" t="n">
        <v>5000</v>
      </c>
      <c r="N10" s="20" t="n">
        <v>1500</v>
      </c>
      <c r="O10" s="20" t="n">
        <v>20000</v>
      </c>
      <c r="P10" s="20" t="n">
        <v>18000</v>
      </c>
      <c r="Q10" s="7">
        <f>IF(A10="","",IF(C10="Y",IF(AF10=1,IF(AND(R10&lt;'설정'!$B$6,ISNUMBER($H$3)),IF(ROUND($H$3-R10,1)&gt;='설정'!$B$7,"교체 제안 → "&amp;$E$3&amp;" ("&amp;TEXT($H$3,"0.0")&amp;")","보유 유지"),"보유 유지"),"보유 · 점수 없음"),IF(AF10=1,IF(R10&gt;='설정'!$B$5,"편입 후보",""),"")))</f>
        <v/>
      </c>
      <c r="R10" s="15">
        <f>IF(AF10=1,ROUND(IF($B$3=1,50,(_xlfn.RANK.AVG(AO10,$AO$6:$AO$105,1)-1)/($B$3-1)*100),1),"")</f>
        <v/>
      </c>
      <c r="S10">
        <f>IF(A10="","",IF(AF10=1,_xlfn.TEXTJOIN(". ",TRUE,_xlfn.TEXTJOIN(", ",TRUE,IF(AK10&gt;='설정'!$B$20,"수익성 높음",""),IF(AL10&gt;='설정'!$B$20,"성장 빠름",""),IF(AM10&gt;='설정'!$B$20,"가격 쌈",""),IF(AN10&gt;='설정'!$B$20,"추세 좋음","")),_xlfn.TEXTJOIN(", ",TRUE,IF(AK10&lt;'설정'!$B$21,"수익성 낮음",""),IF(AL10&lt;'설정'!$B$21,"성장 느림",""),IF(AM10&lt;'설정'!$B$21,"가격 비쌈",""),IF(AN10&lt;'설정'!$B$21,"추세 약함","")),IF(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="","","보통: "&amp;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)),IF(X10="통과",AE10,X10)))</f>
        <v/>
      </c>
      <c r="T10">
        <f>IF(AF10=1,TEXT(Z10,"0.0%")&amp;" · 상위 "&amp;TEXT(($B$3-_xlfn.RANK.AVG(AG10,$AG$6:$AG$105,1)+1)/$B$3*100,"0")&amp;"%",IF(A10="","",IF(Z10="","결측",TEXT(Z10,"0.0%"))))</f>
        <v/>
      </c>
      <c r="U10">
        <f>IF(AF10=1,TEXT(AA10,"0.0%")&amp;" · 상위 "&amp;TEXT(($B$3-_xlfn.RANK.AVG(AH10,$AH$6:$AH$105,1)+1)/$B$3*100,"0")&amp;"%",IF(A10="","",IF(AA10="","결측",TEXT(AA10,"0.0%"))))</f>
        <v/>
      </c>
      <c r="V10">
        <f>IF(AF10=1,TEXT(AB10,"0.0%")&amp;" · 상위 "&amp;TEXT(($B$3-_xlfn.RANK.AVG(AI10,$AI$6:$AI$105,1)+1)/$B$3*100,"0")&amp;"%",IF(A10="","",IF(AB10="","결측",TEXT(AB10,"0.0%"))))</f>
        <v/>
      </c>
      <c r="W10">
        <f>IF(AF10=1,TEXT(AC10,"0.0%")&amp;" · 상위 "&amp;TEXT(($B$3-_xlfn.RANK.AVG(AJ10,$AJ$6:$AJ$105,1)+1)/$B$3*100,"0")&amp;"%",IF(A10="","",IF(AC10="","결측",TEXT(AC10,"0.0%"))))</f>
        <v/>
      </c>
      <c r="X10">
        <f>IF(A10="","",IF(AR10="","통과","제외: "&amp;AR10))</f>
        <v/>
      </c>
      <c r="Y10" s="21">
        <f>IF(AND(ISNUMBER(G10),ISNUMBER(H10)),IF(G10&gt;0,H10/G10,""),"")</f>
        <v/>
      </c>
      <c r="Z10" s="22">
        <f>IF(AND(ISNUMBER(F10),ISNUMBER(G10)),IF(G10&gt;0,F10/G10,""),"")</f>
        <v/>
      </c>
      <c r="AA10" s="22">
        <f>IF(AND(ISNUMBER(J10),ISNUMBER(K10)),IF(AND(J10&gt;0,K10&gt;0),(J10/K10)^(1/3)-1,""),"")</f>
        <v/>
      </c>
      <c r="AB10" s="22">
        <f>IF(AND(ISNUMBER(I10),ISNUMBER(L10),ISNUMBER(M10),ISNUMBER(N10)),IF((L10+M10-N10)&gt;0,I10/(L10+M10-N10),""),"")</f>
        <v/>
      </c>
      <c r="AC10" s="22">
        <f>IF(AND(ISNUMBER(O10),ISNUMBER(P10)),IF(AND(O10&gt;0,P10&gt;0),P10/O10-1,""),"")</f>
        <v/>
      </c>
      <c r="AD10">
        <f>_xlfn.TEXTJOIN(", ",TRUE,IF(Z10="","ROE",""),IF(AA10="","매출성장률",""),IF(AB10="","이익수익률",""),IF(AC10="","12-1 수익률",""))</f>
        <v/>
      </c>
      <c r="AE10">
        <f>IF(A10="","",IF(AR10&lt;&gt;"","점수 없음(거름망)",IF(AD10="","채점","점수 없음(결측: "&amp;AD10&amp;")")))</f>
        <v/>
      </c>
      <c r="AF10">
        <f>IF(AE10="채점",1,"")</f>
        <v/>
      </c>
      <c r="AG10">
        <f>IF(AF10=1,Z10,"")</f>
        <v/>
      </c>
      <c r="AH10">
        <f>IF(AF10=1,AA10,"")</f>
        <v/>
      </c>
      <c r="AI10">
        <f>IF(AF10=1,AB10,"")</f>
        <v/>
      </c>
      <c r="AJ10">
        <f>IF(AF10=1,AC10,"")</f>
        <v/>
      </c>
      <c r="AK10">
        <f>IF(AF10=1,IF($B$3=1,50,(_xlfn.RANK.AVG(AG10,$AG$6:$AG$105,1)-1)/($B$3-1)*100),"")</f>
        <v/>
      </c>
      <c r="AL10">
        <f>IF(AF10=1,IF($B$3=1,50,(_xlfn.RANK.AVG(AH10,$AH$6:$AH$105,1)-1)/($B$3-1)*100),"")</f>
        <v/>
      </c>
      <c r="AM10">
        <f>IF(AF10=1,IF($B$3=1,50,(_xlfn.RANK.AVG(AI10,$AI$6:$AI$105,1)-1)/($B$3-1)*100),"")</f>
        <v/>
      </c>
      <c r="AN10">
        <f>IF(AF10=1,IF($B$3=1,50,(_xlfn.RANK.AVG(AJ10,$AJ$6:$AJ$105,1)-1)/($B$3-1)*100),"")</f>
        <v/>
      </c>
      <c r="AO10">
        <f>IF(AF10=1,ROUND(AVERAGE(AK10:AN10),6),"")</f>
        <v/>
      </c>
      <c r="AP10">
        <f>IF(AND(AF10=1,C10&lt;&gt;"Y"),R10,"")</f>
        <v/>
      </c>
      <c r="AQ10">
        <f>IF(AND(ISNUMBER(AP10),Q10="편입 후보"),AP10+(1000-ROW())/1000000,"")</f>
        <v/>
      </c>
      <c r="AR10">
        <f>IF(A10="","",_xlfn.TEXTJOIN(", ",TRUE,IF(D10="Y","금융·리츠",""),IF(NOT(ISNUMBER(I10)),"영업이익 없음",IF(I10&lt;=0,"영업적자","")),IF(OR(NOT(ISNUMBER(G10)),NOT(ISNUMBER(H10))),"부채비율 자료 없음",IF(G10&lt;=0,"자본잠식",IF(H10/G10&gt;'설정'!$B$8,"부채비율 초과",""))),IF(NOT(ISNUMBER(L10)),"시총 없음",IF(L10&lt;'설정'!$B$9,"시총 미달",""))))</f>
        <v/>
      </c>
    </row>
    <row r="11">
      <c r="A11" s="18" t="inlineStr">
        <is>
          <t>K06</t>
        </is>
      </c>
      <c r="B11" s="19" t="inlineStr">
        <is>
          <t>예시식품</t>
        </is>
      </c>
      <c r="C11" s="19" t="n"/>
      <c r="D11" s="19" t="n"/>
      <c r="E11" s="19" t="inlineStr">
        <is>
          <t>2026-2Q</t>
        </is>
      </c>
      <c r="F11" s="20" t="n">
        <v>200</v>
      </c>
      <c r="G11" s="20" t="n">
        <v>2000</v>
      </c>
      <c r="H11" s="20" t="n">
        <v>1000</v>
      </c>
      <c r="I11" s="20" t="n">
        <v>280</v>
      </c>
      <c r="J11" s="20" t="n">
        <v>4000</v>
      </c>
      <c r="K11" s="20" t="n">
        <v>3600</v>
      </c>
      <c r="L11" s="20" t="n">
        <v>3000</v>
      </c>
      <c r="M11" s="20" t="n">
        <v>300</v>
      </c>
      <c r="N11" s="20" t="n">
        <v>400</v>
      </c>
      <c r="O11" s="20" t="n">
        <v>15000</v>
      </c>
      <c r="P11" s="20" t="n">
        <v>16000</v>
      </c>
      <c r="Q11" s="7">
        <f>IF(A11="","",IF(C11="Y",IF(AF11=1,IF(AND(R11&lt;'설정'!$B$6,ISNUMBER($H$3)),IF(ROUND($H$3-R11,1)&gt;='설정'!$B$7,"교체 제안 → "&amp;$E$3&amp;" ("&amp;TEXT($H$3,"0.0")&amp;")","보유 유지"),"보유 유지"),"보유 · 점수 없음"),IF(AF11=1,IF(R11&gt;='설정'!$B$5,"편입 후보",""),"")))</f>
        <v/>
      </c>
      <c r="R11" s="15">
        <f>IF(AF11=1,ROUND(IF($B$3=1,50,(_xlfn.RANK.AVG(AO11,$AO$6:$AO$105,1)-1)/($B$3-1)*100),1),"")</f>
        <v/>
      </c>
      <c r="S11">
        <f>IF(A11="","",IF(AF11=1,_xlfn.TEXTJOIN(". ",TRUE,_xlfn.TEXTJOIN(", ",TRUE,IF(AK11&gt;='설정'!$B$20,"수익성 높음",""),IF(AL11&gt;='설정'!$B$20,"성장 빠름",""),IF(AM11&gt;='설정'!$B$20,"가격 쌈",""),IF(AN11&gt;='설정'!$B$20,"추세 좋음","")),_xlfn.TEXTJOIN(", ",TRUE,IF(AK11&lt;'설정'!$B$21,"수익성 낮음",""),IF(AL11&lt;'설정'!$B$21,"성장 느림",""),IF(AM11&lt;'설정'!$B$21,"가격 비쌈",""),IF(AN11&lt;'설정'!$B$21,"추세 약함","")),IF(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="","","보통: "&amp;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)),IF(X11="통과",AE11,X11)))</f>
        <v/>
      </c>
      <c r="T11">
        <f>IF(AF11=1,TEXT(Z11,"0.0%")&amp;" · 상위 "&amp;TEXT(($B$3-_xlfn.RANK.AVG(AG11,$AG$6:$AG$105,1)+1)/$B$3*100,"0")&amp;"%",IF(A11="","",IF(Z11="","결측",TEXT(Z11,"0.0%"))))</f>
        <v/>
      </c>
      <c r="U11">
        <f>IF(AF11=1,TEXT(AA11,"0.0%")&amp;" · 상위 "&amp;TEXT(($B$3-_xlfn.RANK.AVG(AH11,$AH$6:$AH$105,1)+1)/$B$3*100,"0")&amp;"%",IF(A11="","",IF(AA11="","결측",TEXT(AA11,"0.0%"))))</f>
        <v/>
      </c>
      <c r="V11">
        <f>IF(AF11=1,TEXT(AB11,"0.0%")&amp;" · 상위 "&amp;TEXT(($B$3-_xlfn.RANK.AVG(AI11,$AI$6:$AI$105,1)+1)/$B$3*100,"0")&amp;"%",IF(A11="","",IF(AB11="","결측",TEXT(AB11,"0.0%"))))</f>
        <v/>
      </c>
      <c r="W11">
        <f>IF(AF11=1,TEXT(AC11,"0.0%")&amp;" · 상위 "&amp;TEXT(($B$3-_xlfn.RANK.AVG(AJ11,$AJ$6:$AJ$105,1)+1)/$B$3*100,"0")&amp;"%",IF(A11="","",IF(AC11="","결측",TEXT(AC11,"0.0%"))))</f>
        <v/>
      </c>
      <c r="X11">
        <f>IF(A11="","",IF(AR11="","통과","제외: "&amp;AR11))</f>
        <v/>
      </c>
      <c r="Y11" s="21">
        <f>IF(AND(ISNUMBER(G11),ISNUMBER(H11)),IF(G11&gt;0,H11/G11,""),"")</f>
        <v/>
      </c>
      <c r="Z11" s="22">
        <f>IF(AND(ISNUMBER(F11),ISNUMBER(G11)),IF(G11&gt;0,F11/G11,""),"")</f>
        <v/>
      </c>
      <c r="AA11" s="22">
        <f>IF(AND(ISNUMBER(J11),ISNUMBER(K11)),IF(AND(J11&gt;0,K11&gt;0),(J11/K11)^(1/3)-1,""),"")</f>
        <v/>
      </c>
      <c r="AB11" s="22">
        <f>IF(AND(ISNUMBER(I11),ISNUMBER(L11),ISNUMBER(M11),ISNUMBER(N11)),IF((L11+M11-N11)&gt;0,I11/(L11+M11-N11),""),"")</f>
        <v/>
      </c>
      <c r="AC11" s="22">
        <f>IF(AND(ISNUMBER(O11),ISNUMBER(P11)),IF(AND(O11&gt;0,P11&gt;0),P11/O11-1,""),"")</f>
        <v/>
      </c>
      <c r="AD11">
        <f>_xlfn.TEXTJOIN(", ",TRUE,IF(Z11="","ROE",""),IF(AA11="","매출성장률",""),IF(AB11="","이익수익률",""),IF(AC11="","12-1 수익률",""))</f>
        <v/>
      </c>
      <c r="AE11">
        <f>IF(A11="","",IF(AR11&lt;&gt;"","점수 없음(거름망)",IF(AD11="","채점","점수 없음(결측: "&amp;AD11&amp;")")))</f>
        <v/>
      </c>
      <c r="AF11">
        <f>IF(AE11="채점",1,"")</f>
        <v/>
      </c>
      <c r="AG11">
        <f>IF(AF11=1,Z11,"")</f>
        <v/>
      </c>
      <c r="AH11">
        <f>IF(AF11=1,AA11,"")</f>
        <v/>
      </c>
      <c r="AI11">
        <f>IF(AF11=1,AB11,"")</f>
        <v/>
      </c>
      <c r="AJ11">
        <f>IF(AF11=1,AC11,"")</f>
        <v/>
      </c>
      <c r="AK11">
        <f>IF(AF11=1,IF($B$3=1,50,(_xlfn.RANK.AVG(AG11,$AG$6:$AG$105,1)-1)/($B$3-1)*100),"")</f>
        <v/>
      </c>
      <c r="AL11">
        <f>IF(AF11=1,IF($B$3=1,50,(_xlfn.RANK.AVG(AH11,$AH$6:$AH$105,1)-1)/($B$3-1)*100),"")</f>
        <v/>
      </c>
      <c r="AM11">
        <f>IF(AF11=1,IF($B$3=1,50,(_xlfn.RANK.AVG(AI11,$AI$6:$AI$105,1)-1)/($B$3-1)*100),"")</f>
        <v/>
      </c>
      <c r="AN11">
        <f>IF(AF11=1,IF($B$3=1,50,(_xlfn.RANK.AVG(AJ11,$AJ$6:$AJ$105,1)-1)/($B$3-1)*100),"")</f>
        <v/>
      </c>
      <c r="AO11">
        <f>IF(AF11=1,ROUND(AVERAGE(AK11:AN11),6),"")</f>
        <v/>
      </c>
      <c r="AP11">
        <f>IF(AND(AF11=1,C11&lt;&gt;"Y"),R11,"")</f>
        <v/>
      </c>
      <c r="AQ11">
        <f>IF(AND(ISNUMBER(AP11),Q11="편입 후보"),AP11+(1000-ROW())/1000000,"")</f>
        <v/>
      </c>
      <c r="AR11">
        <f>IF(A11="","",_xlfn.TEXTJOIN(", ",TRUE,IF(D11="Y","금융·리츠",""),IF(NOT(ISNUMBER(I11)),"영업이익 없음",IF(I11&lt;=0,"영업적자","")),IF(OR(NOT(ISNUMBER(G11)),NOT(ISNUMBER(H11))),"부채비율 자료 없음",IF(G11&lt;=0,"자본잠식",IF(H11/G11&gt;'설정'!$B$8,"부채비율 초과",""))),IF(NOT(ISNUMBER(L11)),"시총 없음",IF(L11&lt;'설정'!$B$9,"시총 미달",""))))</f>
        <v/>
      </c>
    </row>
    <row r="12">
      <c r="A12" s="18" t="inlineStr">
        <is>
          <t>K07</t>
        </is>
      </c>
      <c r="B12" s="19" t="inlineStr">
        <is>
          <t>예시소프트</t>
        </is>
      </c>
      <c r="C12" s="19" t="n"/>
      <c r="D12" s="19" t="n"/>
      <c r="E12" s="19" t="inlineStr">
        <is>
          <t>2026-2Q</t>
        </is>
      </c>
      <c r="F12" s="20" t="n">
        <v>900</v>
      </c>
      <c r="G12" s="20" t="n">
        <v>3000</v>
      </c>
      <c r="H12" s="20" t="n">
        <v>1200</v>
      </c>
      <c r="I12" s="20" t="n">
        <v>1100</v>
      </c>
      <c r="J12" s="20" t="n">
        <v>5000</v>
      </c>
      <c r="K12" s="20" t="n">
        <v>2500</v>
      </c>
      <c r="L12" s="20" t="n">
        <v>12000</v>
      </c>
      <c r="M12" s="20" t="n">
        <v>0</v>
      </c>
      <c r="N12" s="20" t="n">
        <v>1500</v>
      </c>
      <c r="O12" s="20" t="n">
        <v>20000</v>
      </c>
      <c r="P12" s="20" t="n">
        <v>31000</v>
      </c>
      <c r="Q12" s="7">
        <f>IF(A12="","",IF(C12="Y",IF(AF12=1,IF(AND(R12&lt;'설정'!$B$6,ISNUMBER($H$3)),IF(ROUND($H$3-R12,1)&gt;='설정'!$B$7,"교체 제안 → "&amp;$E$3&amp;" ("&amp;TEXT($H$3,"0.0")&amp;")","보유 유지"),"보유 유지"),"보유 · 점수 없음"),IF(AF12=1,IF(R12&gt;='설정'!$B$5,"편입 후보",""),"")))</f>
        <v/>
      </c>
      <c r="R12" s="15">
        <f>IF(AF12=1,ROUND(IF($B$3=1,50,(_xlfn.RANK.AVG(AO12,$AO$6:$AO$105,1)-1)/($B$3-1)*100),1),"")</f>
        <v/>
      </c>
      <c r="S12">
        <f>IF(A12="","",IF(AF12=1,_xlfn.TEXTJOIN(". ",TRUE,_xlfn.TEXTJOIN(", ",TRUE,IF(AK12&gt;='설정'!$B$20,"수익성 높음",""),IF(AL12&gt;='설정'!$B$20,"성장 빠름",""),IF(AM12&gt;='설정'!$B$20,"가격 쌈",""),IF(AN12&gt;='설정'!$B$20,"추세 좋음","")),_xlfn.TEXTJOIN(", ",TRUE,IF(AK12&lt;'설정'!$B$21,"수익성 낮음",""),IF(AL12&lt;'설정'!$B$21,"성장 느림",""),IF(AM12&lt;'설정'!$B$21,"가격 비쌈",""),IF(AN12&lt;'설정'!$B$21,"추세 약함","")),IF(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="","","보통: "&amp;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)),IF(X12="통과",AE12,X12)))</f>
        <v/>
      </c>
      <c r="T12">
        <f>IF(AF12=1,TEXT(Z12,"0.0%")&amp;" · 상위 "&amp;TEXT(($B$3-_xlfn.RANK.AVG(AG12,$AG$6:$AG$105,1)+1)/$B$3*100,"0")&amp;"%",IF(A12="","",IF(Z12="","결측",TEXT(Z12,"0.0%"))))</f>
        <v/>
      </c>
      <c r="U12">
        <f>IF(AF12=1,TEXT(AA12,"0.0%")&amp;" · 상위 "&amp;TEXT(($B$3-_xlfn.RANK.AVG(AH12,$AH$6:$AH$105,1)+1)/$B$3*100,"0")&amp;"%",IF(A12="","",IF(AA12="","결측",TEXT(AA12,"0.0%"))))</f>
        <v/>
      </c>
      <c r="V12">
        <f>IF(AF12=1,TEXT(AB12,"0.0%")&amp;" · 상위 "&amp;TEXT(($B$3-_xlfn.RANK.AVG(AI12,$AI$6:$AI$105,1)+1)/$B$3*100,"0")&amp;"%",IF(A12="","",IF(AB12="","결측",TEXT(AB12,"0.0%"))))</f>
        <v/>
      </c>
      <c r="W12">
        <f>IF(AF12=1,TEXT(AC12,"0.0%")&amp;" · 상위 "&amp;TEXT(($B$3-_xlfn.RANK.AVG(AJ12,$AJ$6:$AJ$105,1)+1)/$B$3*100,"0")&amp;"%",IF(A12="","",IF(AC12="","결측",TEXT(AC12,"0.0%"))))</f>
        <v/>
      </c>
      <c r="X12">
        <f>IF(A12="","",IF(AR12="","통과","제외: "&amp;AR12))</f>
        <v/>
      </c>
      <c r="Y12" s="21">
        <f>IF(AND(ISNUMBER(G12),ISNUMBER(H12)),IF(G12&gt;0,H12/G12,""),"")</f>
        <v/>
      </c>
      <c r="Z12" s="22">
        <f>IF(AND(ISNUMBER(F12),ISNUMBER(G12)),IF(G12&gt;0,F12/G12,""),"")</f>
        <v/>
      </c>
      <c r="AA12" s="22">
        <f>IF(AND(ISNUMBER(J12),ISNUMBER(K12)),IF(AND(J12&gt;0,K12&gt;0),(J12/K12)^(1/3)-1,""),"")</f>
        <v/>
      </c>
      <c r="AB12" s="22">
        <f>IF(AND(ISNUMBER(I12),ISNUMBER(L12),ISNUMBER(M12),ISNUMBER(N12)),IF((L12+M12-N12)&gt;0,I12/(L12+M12-N12),""),"")</f>
        <v/>
      </c>
      <c r="AC12" s="22">
        <f>IF(AND(ISNUMBER(O12),ISNUMBER(P12)),IF(AND(O12&gt;0,P12&gt;0),P12/O12-1,""),"")</f>
        <v/>
      </c>
      <c r="AD12">
        <f>_xlfn.TEXTJOIN(", ",TRUE,IF(Z12="","ROE",""),IF(AA12="","매출성장률",""),IF(AB12="","이익수익률",""),IF(AC12="","12-1 수익률",""))</f>
        <v/>
      </c>
      <c r="AE12">
        <f>IF(A12="","",IF(AR12&lt;&gt;"","점수 없음(거름망)",IF(AD12="","채점","점수 없음(결측: "&amp;AD12&amp;")")))</f>
        <v/>
      </c>
      <c r="AF12">
        <f>IF(AE12="채점",1,"")</f>
        <v/>
      </c>
      <c r="AG12">
        <f>IF(AF12=1,Z12,"")</f>
        <v/>
      </c>
      <c r="AH12">
        <f>IF(AF12=1,AA12,"")</f>
        <v/>
      </c>
      <c r="AI12">
        <f>IF(AF12=1,AB12,"")</f>
        <v/>
      </c>
      <c r="AJ12">
        <f>IF(AF12=1,AC12,"")</f>
        <v/>
      </c>
      <c r="AK12">
        <f>IF(AF12=1,IF($B$3=1,50,(_xlfn.RANK.AVG(AG12,$AG$6:$AG$105,1)-1)/($B$3-1)*100),"")</f>
        <v/>
      </c>
      <c r="AL12">
        <f>IF(AF12=1,IF($B$3=1,50,(_xlfn.RANK.AVG(AH12,$AH$6:$AH$105,1)-1)/($B$3-1)*100),"")</f>
        <v/>
      </c>
      <c r="AM12">
        <f>IF(AF12=1,IF($B$3=1,50,(_xlfn.RANK.AVG(AI12,$AI$6:$AI$105,1)-1)/($B$3-1)*100),"")</f>
        <v/>
      </c>
      <c r="AN12">
        <f>IF(AF12=1,IF($B$3=1,50,(_xlfn.RANK.AVG(AJ12,$AJ$6:$AJ$105,1)-1)/($B$3-1)*100),"")</f>
        <v/>
      </c>
      <c r="AO12">
        <f>IF(AF12=1,ROUND(AVERAGE(AK12:AN12),6),"")</f>
        <v/>
      </c>
      <c r="AP12">
        <f>IF(AND(AF12=1,C12&lt;&gt;"Y"),R12,"")</f>
        <v/>
      </c>
      <c r="AQ12">
        <f>IF(AND(ISNUMBER(AP12),Q12="편입 후보"),AP12+(1000-ROW())/1000000,"")</f>
        <v/>
      </c>
      <c r="AR12">
        <f>IF(A12="","",_xlfn.TEXTJOIN(", ",TRUE,IF(D12="Y","금융·리츠",""),IF(NOT(ISNUMBER(I12)),"영업이익 없음",IF(I12&lt;=0,"영업적자","")),IF(OR(NOT(ISNUMBER(G12)),NOT(ISNUMBER(H12))),"부채비율 자료 없음",IF(G12&lt;=0,"자본잠식",IF(H12/G12&gt;'설정'!$B$8,"부채비율 초과",""))),IF(NOT(ISNUMBER(L12)),"시총 없음",IF(L12&lt;'설정'!$B$9,"시총 미달",""))))</f>
        <v/>
      </c>
    </row>
    <row r="13">
      <c r="A13" s="18" t="inlineStr">
        <is>
          <t>K08</t>
        </is>
      </c>
      <c r="B13" s="19" t="inlineStr">
        <is>
          <t>예시기계</t>
        </is>
      </c>
      <c r="C13" s="19" t="n"/>
      <c r="D13" s="19" t="n"/>
      <c r="E13" s="19" t="inlineStr">
        <is>
          <t>2026-2Q</t>
        </is>
      </c>
      <c r="F13" s="20" t="n">
        <v>500</v>
      </c>
      <c r="G13" s="20" t="n">
        <v>6000</v>
      </c>
      <c r="H13" s="20" t="n">
        <v>5000</v>
      </c>
      <c r="I13" s="20" t="n">
        <v>750</v>
      </c>
      <c r="J13" s="20" t="n">
        <v>9000</v>
      </c>
      <c r="K13" s="20" t="n">
        <v>8000</v>
      </c>
      <c r="L13" s="20" t="n">
        <v>7000</v>
      </c>
      <c r="M13" s="20" t="n">
        <v>2000</v>
      </c>
      <c r="N13" s="20" t="n">
        <v>800</v>
      </c>
      <c r="O13" s="20" t="n">
        <v>25000</v>
      </c>
      <c r="P13" s="20" t="n">
        <v>26500</v>
      </c>
      <c r="Q13" s="7">
        <f>IF(A13="","",IF(C13="Y",IF(AF13=1,IF(AND(R13&lt;'설정'!$B$6,ISNUMBER($H$3)),IF(ROUND($H$3-R13,1)&gt;='설정'!$B$7,"교체 제안 → "&amp;$E$3&amp;" ("&amp;TEXT($H$3,"0.0")&amp;")","보유 유지"),"보유 유지"),"보유 · 점수 없음"),IF(AF13=1,IF(R13&gt;='설정'!$B$5,"편입 후보",""),"")))</f>
        <v/>
      </c>
      <c r="R13" s="15">
        <f>IF(AF13=1,ROUND(IF($B$3=1,50,(_xlfn.RANK.AVG(AO13,$AO$6:$AO$105,1)-1)/($B$3-1)*100),1),"")</f>
        <v/>
      </c>
      <c r="S13">
        <f>IF(A13="","",IF(AF13=1,_xlfn.TEXTJOIN(". ",TRUE,_xlfn.TEXTJOIN(", ",TRUE,IF(AK13&gt;='설정'!$B$20,"수익성 높음",""),IF(AL13&gt;='설정'!$B$20,"성장 빠름",""),IF(AM13&gt;='설정'!$B$20,"가격 쌈",""),IF(AN13&gt;='설정'!$B$20,"추세 좋음","")),_xlfn.TEXTJOIN(", ",TRUE,IF(AK13&lt;'설정'!$B$21,"수익성 낮음",""),IF(AL13&lt;'설정'!$B$21,"성장 느림",""),IF(AM13&lt;'설정'!$B$21,"가격 비쌈",""),IF(AN13&lt;'설정'!$B$21,"추세 약함","")),IF(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="","","보통: "&amp;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)),IF(X13="통과",AE13,X13)))</f>
        <v/>
      </c>
      <c r="T13">
        <f>IF(AF13=1,TEXT(Z13,"0.0%")&amp;" · 상위 "&amp;TEXT(($B$3-_xlfn.RANK.AVG(AG13,$AG$6:$AG$105,1)+1)/$B$3*100,"0")&amp;"%",IF(A13="","",IF(Z13="","결측",TEXT(Z13,"0.0%"))))</f>
        <v/>
      </c>
      <c r="U13">
        <f>IF(AF13=1,TEXT(AA13,"0.0%")&amp;" · 상위 "&amp;TEXT(($B$3-_xlfn.RANK.AVG(AH13,$AH$6:$AH$105,1)+1)/$B$3*100,"0")&amp;"%",IF(A13="","",IF(AA13="","결측",TEXT(AA13,"0.0%"))))</f>
        <v/>
      </c>
      <c r="V13">
        <f>IF(AF13=1,TEXT(AB13,"0.0%")&amp;" · 상위 "&amp;TEXT(($B$3-_xlfn.RANK.AVG(AI13,$AI$6:$AI$105,1)+1)/$B$3*100,"0")&amp;"%",IF(A13="","",IF(AB13="","결측",TEXT(AB13,"0.0%"))))</f>
        <v/>
      </c>
      <c r="W13">
        <f>IF(AF13=1,TEXT(AC13,"0.0%")&amp;" · 상위 "&amp;TEXT(($B$3-_xlfn.RANK.AVG(AJ13,$AJ$6:$AJ$105,1)+1)/$B$3*100,"0")&amp;"%",IF(A13="","",IF(AC13="","결측",TEXT(AC13,"0.0%"))))</f>
        <v/>
      </c>
      <c r="X13">
        <f>IF(A13="","",IF(AR13="","통과","제외: "&amp;AR13))</f>
        <v/>
      </c>
      <c r="Y13" s="21">
        <f>IF(AND(ISNUMBER(G13),ISNUMBER(H13)),IF(G13&gt;0,H13/G13,""),"")</f>
        <v/>
      </c>
      <c r="Z13" s="22">
        <f>IF(AND(ISNUMBER(F13),ISNUMBER(G13)),IF(G13&gt;0,F13/G13,""),"")</f>
        <v/>
      </c>
      <c r="AA13" s="22">
        <f>IF(AND(ISNUMBER(J13),ISNUMBER(K13)),IF(AND(J13&gt;0,K13&gt;0),(J13/K13)^(1/3)-1,""),"")</f>
        <v/>
      </c>
      <c r="AB13" s="22">
        <f>IF(AND(ISNUMBER(I13),ISNUMBER(L13),ISNUMBER(M13),ISNUMBER(N13)),IF((L13+M13-N13)&gt;0,I13/(L13+M13-N13),""),"")</f>
        <v/>
      </c>
      <c r="AC13" s="22">
        <f>IF(AND(ISNUMBER(O13),ISNUMBER(P13)),IF(AND(O13&gt;0,P13&gt;0),P13/O13-1,""),"")</f>
        <v/>
      </c>
      <c r="AD13">
        <f>_xlfn.TEXTJOIN(", ",TRUE,IF(Z13="","ROE",""),IF(AA13="","매출성장률",""),IF(AB13="","이익수익률",""),IF(AC13="","12-1 수익률",""))</f>
        <v/>
      </c>
      <c r="AE13">
        <f>IF(A13="","",IF(AR13&lt;&gt;"","점수 없음(거름망)",IF(AD13="","채점","점수 없음(결측: "&amp;AD13&amp;")")))</f>
        <v/>
      </c>
      <c r="AF13">
        <f>IF(AE13="채점",1,"")</f>
        <v/>
      </c>
      <c r="AG13">
        <f>IF(AF13=1,Z13,"")</f>
        <v/>
      </c>
      <c r="AH13">
        <f>IF(AF13=1,AA13,"")</f>
        <v/>
      </c>
      <c r="AI13">
        <f>IF(AF13=1,AB13,"")</f>
        <v/>
      </c>
      <c r="AJ13">
        <f>IF(AF13=1,AC13,"")</f>
        <v/>
      </c>
      <c r="AK13">
        <f>IF(AF13=1,IF($B$3=1,50,(_xlfn.RANK.AVG(AG13,$AG$6:$AG$105,1)-1)/($B$3-1)*100),"")</f>
        <v/>
      </c>
      <c r="AL13">
        <f>IF(AF13=1,IF($B$3=1,50,(_xlfn.RANK.AVG(AH13,$AH$6:$AH$105,1)-1)/($B$3-1)*100),"")</f>
        <v/>
      </c>
      <c r="AM13">
        <f>IF(AF13=1,IF($B$3=1,50,(_xlfn.RANK.AVG(AI13,$AI$6:$AI$105,1)-1)/($B$3-1)*100),"")</f>
        <v/>
      </c>
      <c r="AN13">
        <f>IF(AF13=1,IF($B$3=1,50,(_xlfn.RANK.AVG(AJ13,$AJ$6:$AJ$105,1)-1)/($B$3-1)*100),"")</f>
        <v/>
      </c>
      <c r="AO13">
        <f>IF(AF13=1,ROUND(AVERAGE(AK13:AN13),6),"")</f>
        <v/>
      </c>
      <c r="AP13">
        <f>IF(AND(AF13=1,C13&lt;&gt;"Y"),R13,"")</f>
        <v/>
      </c>
      <c r="AQ13">
        <f>IF(AND(ISNUMBER(AP13),Q13="편입 후보"),AP13+(1000-ROW())/1000000,"")</f>
        <v/>
      </c>
      <c r="AR13">
        <f>IF(A13="","",_xlfn.TEXTJOIN(", ",TRUE,IF(D13="Y","금융·리츠",""),IF(NOT(ISNUMBER(I13)),"영업이익 없음",IF(I13&lt;=0,"영업적자","")),IF(OR(NOT(ISNUMBER(G13)),NOT(ISNUMBER(H13))),"부채비율 자료 없음",IF(G13&lt;=0,"자본잠식",IF(H13/G13&gt;'설정'!$B$8,"부채비율 초과",""))),IF(NOT(ISNUMBER(L13)),"시총 없음",IF(L13&lt;'설정'!$B$9,"시총 미달",""))))</f>
        <v/>
      </c>
    </row>
    <row r="14">
      <c r="A14" s="18" t="inlineStr">
        <is>
          <t>K09</t>
        </is>
      </c>
      <c r="B14" s="19" t="inlineStr">
        <is>
          <t>예시에너지</t>
        </is>
      </c>
      <c r="C14" s="19" t="n"/>
      <c r="D14" s="19" t="n"/>
      <c r="E14" s="19" t="inlineStr">
        <is>
          <t>2026-2Q</t>
        </is>
      </c>
      <c r="F14" s="20" t="n">
        <v>700</v>
      </c>
      <c r="G14" s="20" t="n">
        <v>7000</v>
      </c>
      <c r="H14" s="20" t="n">
        <v>6000</v>
      </c>
      <c r="I14" s="20" t="n">
        <v>1000</v>
      </c>
      <c r="J14" s="20" t="n">
        <v>10000</v>
      </c>
      <c r="K14" s="20" t="n">
        <v>6000</v>
      </c>
      <c r="L14" s="20" t="n">
        <v>9000</v>
      </c>
      <c r="M14" s="20" t="n">
        <v>3000</v>
      </c>
      <c r="N14" s="20" t="n">
        <v>1000</v>
      </c>
      <c r="O14" s="20" t="n"/>
      <c r="P14" s="20" t="n">
        <v>33000</v>
      </c>
      <c r="Q14" s="7">
        <f>IF(A14="","",IF(C14="Y",IF(AF14=1,IF(AND(R14&lt;'설정'!$B$6,ISNUMBER($H$3)),IF(ROUND($H$3-R14,1)&gt;='설정'!$B$7,"교체 제안 → "&amp;$E$3&amp;" ("&amp;TEXT($H$3,"0.0")&amp;")","보유 유지"),"보유 유지"),"보유 · 점수 없음"),IF(AF14=1,IF(R14&gt;='설정'!$B$5,"편입 후보",""),"")))</f>
        <v/>
      </c>
      <c r="R14" s="15">
        <f>IF(AF14=1,ROUND(IF($B$3=1,50,(_xlfn.RANK.AVG(AO14,$AO$6:$AO$105,1)-1)/($B$3-1)*100),1),"")</f>
        <v/>
      </c>
      <c r="S14">
        <f>IF(A14="","",IF(AF14=1,_xlfn.TEXTJOIN(". ",TRUE,_xlfn.TEXTJOIN(", ",TRUE,IF(AK14&gt;='설정'!$B$20,"수익성 높음",""),IF(AL14&gt;='설정'!$B$20,"성장 빠름",""),IF(AM14&gt;='설정'!$B$20,"가격 쌈",""),IF(AN14&gt;='설정'!$B$20,"추세 좋음","")),_xlfn.TEXTJOIN(", ",TRUE,IF(AK14&lt;'설정'!$B$21,"수익성 낮음",""),IF(AL14&lt;'설정'!$B$21,"성장 느림",""),IF(AM14&lt;'설정'!$B$21,"가격 비쌈",""),IF(AN14&lt;'설정'!$B$21,"추세 약함","")),IF(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="","","보통: "&amp;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)),IF(X14="통과",AE14,X14)))</f>
        <v/>
      </c>
      <c r="T14">
        <f>IF(AF14=1,TEXT(Z14,"0.0%")&amp;" · 상위 "&amp;TEXT(($B$3-_xlfn.RANK.AVG(AG14,$AG$6:$AG$105,1)+1)/$B$3*100,"0")&amp;"%",IF(A14="","",IF(Z14="","결측",TEXT(Z14,"0.0%"))))</f>
        <v/>
      </c>
      <c r="U14">
        <f>IF(AF14=1,TEXT(AA14,"0.0%")&amp;" · 상위 "&amp;TEXT(($B$3-_xlfn.RANK.AVG(AH14,$AH$6:$AH$105,1)+1)/$B$3*100,"0")&amp;"%",IF(A14="","",IF(AA14="","결측",TEXT(AA14,"0.0%"))))</f>
        <v/>
      </c>
      <c r="V14">
        <f>IF(AF14=1,TEXT(AB14,"0.0%")&amp;" · 상위 "&amp;TEXT(($B$3-_xlfn.RANK.AVG(AI14,$AI$6:$AI$105,1)+1)/$B$3*100,"0")&amp;"%",IF(A14="","",IF(AB14="","결측",TEXT(AB14,"0.0%"))))</f>
        <v/>
      </c>
      <c r="W14">
        <f>IF(AF14=1,TEXT(AC14,"0.0%")&amp;" · 상위 "&amp;TEXT(($B$3-_xlfn.RANK.AVG(AJ14,$AJ$6:$AJ$105,1)+1)/$B$3*100,"0")&amp;"%",IF(A14="","",IF(AC14="","결측",TEXT(AC14,"0.0%"))))</f>
        <v/>
      </c>
      <c r="X14">
        <f>IF(A14="","",IF(AR14="","통과","제외: "&amp;AR14))</f>
        <v/>
      </c>
      <c r="Y14" s="21">
        <f>IF(AND(ISNUMBER(G14),ISNUMBER(H14)),IF(G14&gt;0,H14/G14,""),"")</f>
        <v/>
      </c>
      <c r="Z14" s="22">
        <f>IF(AND(ISNUMBER(F14),ISNUMBER(G14)),IF(G14&gt;0,F14/G14,""),"")</f>
        <v/>
      </c>
      <c r="AA14" s="22">
        <f>IF(AND(ISNUMBER(J14),ISNUMBER(K14)),IF(AND(J14&gt;0,K14&gt;0),(J14/K14)^(1/3)-1,""),"")</f>
        <v/>
      </c>
      <c r="AB14" s="22">
        <f>IF(AND(ISNUMBER(I14),ISNUMBER(L14),ISNUMBER(M14),ISNUMBER(N14)),IF((L14+M14-N14)&gt;0,I14/(L14+M14-N14),""),"")</f>
        <v/>
      </c>
      <c r="AC14" s="22">
        <f>IF(AND(ISNUMBER(O14),ISNUMBER(P14)),IF(AND(O14&gt;0,P14&gt;0),P14/O14-1,""),"")</f>
        <v/>
      </c>
      <c r="AD14">
        <f>_xlfn.TEXTJOIN(", ",TRUE,IF(Z14="","ROE",""),IF(AA14="","매출성장률",""),IF(AB14="","이익수익률",""),IF(AC14="","12-1 수익률",""))</f>
        <v/>
      </c>
      <c r="AE14">
        <f>IF(A14="","",IF(AR14&lt;&gt;"","점수 없음(거름망)",IF(AD14="","채점","점수 없음(결측: "&amp;AD14&amp;")")))</f>
        <v/>
      </c>
      <c r="AF14">
        <f>IF(AE14="채점",1,"")</f>
        <v/>
      </c>
      <c r="AG14">
        <f>IF(AF14=1,Z14,"")</f>
        <v/>
      </c>
      <c r="AH14">
        <f>IF(AF14=1,AA14,"")</f>
        <v/>
      </c>
      <c r="AI14">
        <f>IF(AF14=1,AB14,"")</f>
        <v/>
      </c>
      <c r="AJ14">
        <f>IF(AF14=1,AC14,"")</f>
        <v/>
      </c>
      <c r="AK14">
        <f>IF(AF14=1,IF($B$3=1,50,(_xlfn.RANK.AVG(AG14,$AG$6:$AG$105,1)-1)/($B$3-1)*100),"")</f>
        <v/>
      </c>
      <c r="AL14">
        <f>IF(AF14=1,IF($B$3=1,50,(_xlfn.RANK.AVG(AH14,$AH$6:$AH$105,1)-1)/($B$3-1)*100),"")</f>
        <v/>
      </c>
      <c r="AM14">
        <f>IF(AF14=1,IF($B$3=1,50,(_xlfn.RANK.AVG(AI14,$AI$6:$AI$105,1)-1)/($B$3-1)*100),"")</f>
        <v/>
      </c>
      <c r="AN14">
        <f>IF(AF14=1,IF($B$3=1,50,(_xlfn.RANK.AVG(AJ14,$AJ$6:$AJ$105,1)-1)/($B$3-1)*100),"")</f>
        <v/>
      </c>
      <c r="AO14">
        <f>IF(AF14=1,ROUND(AVERAGE(AK14:AN14),6),"")</f>
        <v/>
      </c>
      <c r="AP14">
        <f>IF(AND(AF14=1,C14&lt;&gt;"Y"),R14,"")</f>
        <v/>
      </c>
      <c r="AQ14">
        <f>IF(AND(ISNUMBER(AP14),Q14="편입 후보"),AP14+(1000-ROW())/1000000,"")</f>
        <v/>
      </c>
      <c r="AR14">
        <f>IF(A14="","",_xlfn.TEXTJOIN(", ",TRUE,IF(D14="Y","금융·리츠",""),IF(NOT(ISNUMBER(I14)),"영업이익 없음",IF(I14&lt;=0,"영업적자","")),IF(OR(NOT(ISNUMBER(G14)),NOT(ISNUMBER(H14))),"부채비율 자료 없음",IF(G14&lt;=0,"자본잠식",IF(H14/G14&gt;'설정'!$B$8,"부채비율 초과",""))),IF(NOT(ISNUMBER(L14)),"시총 없음",IF(L14&lt;'설정'!$B$9,"시총 미달",""))))</f>
        <v/>
      </c>
    </row>
    <row r="15">
      <c r="A15" s="18" t="inlineStr">
        <is>
          <t>K10</t>
        </is>
      </c>
      <c r="B15" s="19" t="inlineStr">
        <is>
          <t>예시소재</t>
        </is>
      </c>
      <c r="C15" s="19" t="n"/>
      <c r="D15" s="19" t="n"/>
      <c r="E15" s="19" t="inlineStr">
        <is>
          <t>2026-2Q</t>
        </is>
      </c>
      <c r="F15" s="20" t="n">
        <v>650</v>
      </c>
      <c r="G15" s="20" t="n">
        <v>4500</v>
      </c>
      <c r="H15" s="20" t="n">
        <v>3000</v>
      </c>
      <c r="I15" s="20" t="n">
        <v>900</v>
      </c>
      <c r="J15" s="20" t="n">
        <v>6500</v>
      </c>
      <c r="K15" s="20" t="n">
        <v>5000</v>
      </c>
      <c r="L15" s="20" t="n">
        <v>8000</v>
      </c>
      <c r="M15" s="20" t="n">
        <v>1200</v>
      </c>
      <c r="N15" s="20" t="n">
        <v>900</v>
      </c>
      <c r="O15" s="20" t="n">
        <v>18000</v>
      </c>
      <c r="P15" s="20" t="n">
        <v>21000</v>
      </c>
      <c r="Q15" s="7">
        <f>IF(A15="","",IF(C15="Y",IF(AF15=1,IF(AND(R15&lt;'설정'!$B$6,ISNUMBER($H$3)),IF(ROUND($H$3-R15,1)&gt;='설정'!$B$7,"교체 제안 → "&amp;$E$3&amp;" ("&amp;TEXT($H$3,"0.0")&amp;")","보유 유지"),"보유 유지"),"보유 · 점수 없음"),IF(AF15=1,IF(R15&gt;='설정'!$B$5,"편입 후보",""),"")))</f>
        <v/>
      </c>
      <c r="R15" s="15">
        <f>IF(AF15=1,ROUND(IF($B$3=1,50,(_xlfn.RANK.AVG(AO15,$AO$6:$AO$105,1)-1)/($B$3-1)*100),1),"")</f>
        <v/>
      </c>
      <c r="S15">
        <f>IF(A15="","",IF(AF15=1,_xlfn.TEXTJOIN(". ",TRUE,_xlfn.TEXTJOIN(", ",TRUE,IF(AK15&gt;='설정'!$B$20,"수익성 높음",""),IF(AL15&gt;='설정'!$B$20,"성장 빠름",""),IF(AM15&gt;='설정'!$B$20,"가격 쌈",""),IF(AN15&gt;='설정'!$B$20,"추세 좋음","")),_xlfn.TEXTJOIN(", ",TRUE,IF(AK15&lt;'설정'!$B$21,"수익성 낮음",""),IF(AL15&lt;'설정'!$B$21,"성장 느림",""),IF(AM15&lt;'설정'!$B$21,"가격 비쌈",""),IF(AN15&lt;'설정'!$B$21,"추세 약함","")),IF(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="","","보통: "&amp;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)),IF(X15="통과",AE15,X15)))</f>
        <v/>
      </c>
      <c r="T15">
        <f>IF(AF15=1,TEXT(Z15,"0.0%")&amp;" · 상위 "&amp;TEXT(($B$3-_xlfn.RANK.AVG(AG15,$AG$6:$AG$105,1)+1)/$B$3*100,"0")&amp;"%",IF(A15="","",IF(Z15="","결측",TEXT(Z15,"0.0%"))))</f>
        <v/>
      </c>
      <c r="U15">
        <f>IF(AF15=1,TEXT(AA15,"0.0%")&amp;" · 상위 "&amp;TEXT(($B$3-_xlfn.RANK.AVG(AH15,$AH$6:$AH$105,1)+1)/$B$3*100,"0")&amp;"%",IF(A15="","",IF(AA15="","결측",TEXT(AA15,"0.0%"))))</f>
        <v/>
      </c>
      <c r="V15">
        <f>IF(AF15=1,TEXT(AB15,"0.0%")&amp;" · 상위 "&amp;TEXT(($B$3-_xlfn.RANK.AVG(AI15,$AI$6:$AI$105,1)+1)/$B$3*100,"0")&amp;"%",IF(A15="","",IF(AB15="","결측",TEXT(AB15,"0.0%"))))</f>
        <v/>
      </c>
      <c r="W15">
        <f>IF(AF15=1,TEXT(AC15,"0.0%")&amp;" · 상위 "&amp;TEXT(($B$3-_xlfn.RANK.AVG(AJ15,$AJ$6:$AJ$105,1)+1)/$B$3*100,"0")&amp;"%",IF(A15="","",IF(AC15="","결측",TEXT(AC15,"0.0%"))))</f>
        <v/>
      </c>
      <c r="X15">
        <f>IF(A15="","",IF(AR15="","통과","제외: "&amp;AR15))</f>
        <v/>
      </c>
      <c r="Y15" s="21">
        <f>IF(AND(ISNUMBER(G15),ISNUMBER(H15)),IF(G15&gt;0,H15/G15,""),"")</f>
        <v/>
      </c>
      <c r="Z15" s="22">
        <f>IF(AND(ISNUMBER(F15),ISNUMBER(G15)),IF(G15&gt;0,F15/G15,""),"")</f>
        <v/>
      </c>
      <c r="AA15" s="22">
        <f>IF(AND(ISNUMBER(J15),ISNUMBER(K15)),IF(AND(J15&gt;0,K15&gt;0),(J15/K15)^(1/3)-1,""),"")</f>
        <v/>
      </c>
      <c r="AB15" s="22">
        <f>IF(AND(ISNUMBER(I15),ISNUMBER(L15),ISNUMBER(M15),ISNUMBER(N15)),IF((L15+M15-N15)&gt;0,I15/(L15+M15-N15),""),"")</f>
        <v/>
      </c>
      <c r="AC15" s="22">
        <f>IF(AND(ISNUMBER(O15),ISNUMBER(P15)),IF(AND(O15&gt;0,P15&gt;0),P15/O15-1,""),"")</f>
        <v/>
      </c>
      <c r="AD15">
        <f>_xlfn.TEXTJOIN(", ",TRUE,IF(Z15="","ROE",""),IF(AA15="","매출성장률",""),IF(AB15="","이익수익률",""),IF(AC15="","12-1 수익률",""))</f>
        <v/>
      </c>
      <c r="AE15">
        <f>IF(A15="","",IF(AR15&lt;&gt;"","점수 없음(거름망)",IF(AD15="","채점","점수 없음(결측: "&amp;AD15&amp;")")))</f>
        <v/>
      </c>
      <c r="AF15">
        <f>IF(AE15="채점",1,"")</f>
        <v/>
      </c>
      <c r="AG15">
        <f>IF(AF15=1,Z15,"")</f>
        <v/>
      </c>
      <c r="AH15">
        <f>IF(AF15=1,AA15,"")</f>
        <v/>
      </c>
      <c r="AI15">
        <f>IF(AF15=1,AB15,"")</f>
        <v/>
      </c>
      <c r="AJ15">
        <f>IF(AF15=1,AC15,"")</f>
        <v/>
      </c>
      <c r="AK15">
        <f>IF(AF15=1,IF($B$3=1,50,(_xlfn.RANK.AVG(AG15,$AG$6:$AG$105,1)-1)/($B$3-1)*100),"")</f>
        <v/>
      </c>
      <c r="AL15">
        <f>IF(AF15=1,IF($B$3=1,50,(_xlfn.RANK.AVG(AH15,$AH$6:$AH$105,1)-1)/($B$3-1)*100),"")</f>
        <v/>
      </c>
      <c r="AM15">
        <f>IF(AF15=1,IF($B$3=1,50,(_xlfn.RANK.AVG(AI15,$AI$6:$AI$105,1)-1)/($B$3-1)*100),"")</f>
        <v/>
      </c>
      <c r="AN15">
        <f>IF(AF15=1,IF($B$3=1,50,(_xlfn.RANK.AVG(AJ15,$AJ$6:$AJ$105,1)-1)/($B$3-1)*100),"")</f>
        <v/>
      </c>
      <c r="AO15">
        <f>IF(AF15=1,ROUND(AVERAGE(AK15:AN15),6),"")</f>
        <v/>
      </c>
      <c r="AP15">
        <f>IF(AND(AF15=1,C15&lt;&gt;"Y"),R15,"")</f>
        <v/>
      </c>
      <c r="AQ15">
        <f>IF(AND(ISNUMBER(AP15),Q15="편입 후보"),AP15+(1000-ROW())/1000000,"")</f>
        <v/>
      </c>
      <c r="AR15">
        <f>IF(A15="","",_xlfn.TEXTJOIN(", ",TRUE,IF(D15="Y","금융·리츠",""),IF(NOT(ISNUMBER(I15)),"영업이익 없음",IF(I15&lt;=0,"영업적자","")),IF(OR(NOT(ISNUMBER(G15)),NOT(ISNUMBER(H15))),"부채비율 자료 없음",IF(G15&lt;=0,"자본잠식",IF(H15/G15&gt;'설정'!$B$8,"부채비율 초과",""))),IF(NOT(ISNUMBER(L15)),"시총 없음",IF(L15&lt;'설정'!$B$9,"시총 미달",""))))</f>
        <v/>
      </c>
    </row>
    <row r="16">
      <c r="A16" s="18" t="inlineStr">
        <is>
          <t>K11</t>
        </is>
      </c>
      <c r="B16" s="19" t="inlineStr">
        <is>
          <t>예시로봇</t>
        </is>
      </c>
      <c r="C16" s="19" t="n"/>
      <c r="D16" s="19" t="n"/>
      <c r="E16" s="19" t="inlineStr">
        <is>
          <t>2026-2Q</t>
        </is>
      </c>
      <c r="F16" s="20" t="n">
        <v>300</v>
      </c>
      <c r="G16" s="20" t="n">
        <v>2500</v>
      </c>
      <c r="H16" s="20" t="n">
        <v>1500</v>
      </c>
      <c r="I16" s="20" t="n">
        <v>400</v>
      </c>
      <c r="J16" s="20" t="n">
        <v>3000</v>
      </c>
      <c r="K16" s="20" t="n">
        <v>1200</v>
      </c>
      <c r="L16" s="20" t="n">
        <v>18000</v>
      </c>
      <c r="M16" s="20" t="n">
        <v>500</v>
      </c>
      <c r="N16" s="20" t="n">
        <v>1200</v>
      </c>
      <c r="O16" s="20" t="n">
        <v>30000</v>
      </c>
      <c r="P16" s="20" t="n">
        <v>45000</v>
      </c>
      <c r="Q16" s="7">
        <f>IF(A16="","",IF(C16="Y",IF(AF16=1,IF(AND(R16&lt;'설정'!$B$6,ISNUMBER($H$3)),IF(ROUND($H$3-R16,1)&gt;='설정'!$B$7,"교체 제안 → "&amp;$E$3&amp;" ("&amp;TEXT($H$3,"0.0")&amp;")","보유 유지"),"보유 유지"),"보유 · 점수 없음"),IF(AF16=1,IF(R16&gt;='설정'!$B$5,"편입 후보",""),"")))</f>
        <v/>
      </c>
      <c r="R16" s="15">
        <f>IF(AF16=1,ROUND(IF($B$3=1,50,(_xlfn.RANK.AVG(AO16,$AO$6:$AO$105,1)-1)/($B$3-1)*100),1),"")</f>
        <v/>
      </c>
      <c r="S16">
        <f>IF(A16="","",IF(AF16=1,_xlfn.TEXTJOIN(". ",TRUE,_xlfn.TEXTJOIN(", ",TRUE,IF(AK16&gt;='설정'!$B$20,"수익성 높음",""),IF(AL16&gt;='설정'!$B$20,"성장 빠름",""),IF(AM16&gt;='설정'!$B$20,"가격 쌈",""),IF(AN16&gt;='설정'!$B$20,"추세 좋음","")),_xlfn.TEXTJOIN(", ",TRUE,IF(AK16&lt;'설정'!$B$21,"수익성 낮음",""),IF(AL16&lt;'설정'!$B$21,"성장 느림",""),IF(AM16&lt;'설정'!$B$21,"가격 비쌈",""),IF(AN16&lt;'설정'!$B$21,"추세 약함","")),IF(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="","","보통: "&amp;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)),IF(X16="통과",AE16,X16)))</f>
        <v/>
      </c>
      <c r="T16">
        <f>IF(AF16=1,TEXT(Z16,"0.0%")&amp;" · 상위 "&amp;TEXT(($B$3-_xlfn.RANK.AVG(AG16,$AG$6:$AG$105,1)+1)/$B$3*100,"0")&amp;"%",IF(A16="","",IF(Z16="","결측",TEXT(Z16,"0.0%"))))</f>
        <v/>
      </c>
      <c r="U16">
        <f>IF(AF16=1,TEXT(AA16,"0.0%")&amp;" · 상위 "&amp;TEXT(($B$3-_xlfn.RANK.AVG(AH16,$AH$6:$AH$105,1)+1)/$B$3*100,"0")&amp;"%",IF(A16="","",IF(AA16="","결측",TEXT(AA16,"0.0%"))))</f>
        <v/>
      </c>
      <c r="V16">
        <f>IF(AF16=1,TEXT(AB16,"0.0%")&amp;" · 상위 "&amp;TEXT(($B$3-_xlfn.RANK.AVG(AI16,$AI$6:$AI$105,1)+1)/$B$3*100,"0")&amp;"%",IF(A16="","",IF(AB16="","결측",TEXT(AB16,"0.0%"))))</f>
        <v/>
      </c>
      <c r="W16">
        <f>IF(AF16=1,TEXT(AC16,"0.0%")&amp;" · 상위 "&amp;TEXT(($B$3-_xlfn.RANK.AVG(AJ16,$AJ$6:$AJ$105,1)+1)/$B$3*100,"0")&amp;"%",IF(A16="","",IF(AC16="","결측",TEXT(AC16,"0.0%"))))</f>
        <v/>
      </c>
      <c r="X16">
        <f>IF(A16="","",IF(AR16="","통과","제외: "&amp;AR16))</f>
        <v/>
      </c>
      <c r="Y16" s="21">
        <f>IF(AND(ISNUMBER(G16),ISNUMBER(H16)),IF(G16&gt;0,H16/G16,""),"")</f>
        <v/>
      </c>
      <c r="Z16" s="22">
        <f>IF(AND(ISNUMBER(F16),ISNUMBER(G16)),IF(G16&gt;0,F16/G16,""),"")</f>
        <v/>
      </c>
      <c r="AA16" s="22">
        <f>IF(AND(ISNUMBER(J16),ISNUMBER(K16)),IF(AND(J16&gt;0,K16&gt;0),(J16/K16)^(1/3)-1,""),"")</f>
        <v/>
      </c>
      <c r="AB16" s="22">
        <f>IF(AND(ISNUMBER(I16),ISNUMBER(L16),ISNUMBER(M16),ISNUMBER(N16)),IF((L16+M16-N16)&gt;0,I16/(L16+M16-N16),""),"")</f>
        <v/>
      </c>
      <c r="AC16" s="22">
        <f>IF(AND(ISNUMBER(O16),ISNUMBER(P16)),IF(AND(O16&gt;0,P16&gt;0),P16/O16-1,""),"")</f>
        <v/>
      </c>
      <c r="AD16">
        <f>_xlfn.TEXTJOIN(", ",TRUE,IF(Z16="","ROE",""),IF(AA16="","매출성장률",""),IF(AB16="","이익수익률",""),IF(AC16="","12-1 수익률",""))</f>
        <v/>
      </c>
      <c r="AE16">
        <f>IF(A16="","",IF(AR16&lt;&gt;"","점수 없음(거름망)",IF(AD16="","채점","점수 없음(결측: "&amp;AD16&amp;")")))</f>
        <v/>
      </c>
      <c r="AF16">
        <f>IF(AE16="채점",1,"")</f>
        <v/>
      </c>
      <c r="AG16">
        <f>IF(AF16=1,Z16,"")</f>
        <v/>
      </c>
      <c r="AH16">
        <f>IF(AF16=1,AA16,"")</f>
        <v/>
      </c>
      <c r="AI16">
        <f>IF(AF16=1,AB16,"")</f>
        <v/>
      </c>
      <c r="AJ16">
        <f>IF(AF16=1,AC16,"")</f>
        <v/>
      </c>
      <c r="AK16">
        <f>IF(AF16=1,IF($B$3=1,50,(_xlfn.RANK.AVG(AG16,$AG$6:$AG$105,1)-1)/($B$3-1)*100),"")</f>
        <v/>
      </c>
      <c r="AL16">
        <f>IF(AF16=1,IF($B$3=1,50,(_xlfn.RANK.AVG(AH16,$AH$6:$AH$105,1)-1)/($B$3-1)*100),"")</f>
        <v/>
      </c>
      <c r="AM16">
        <f>IF(AF16=1,IF($B$3=1,50,(_xlfn.RANK.AVG(AI16,$AI$6:$AI$105,1)-1)/($B$3-1)*100),"")</f>
        <v/>
      </c>
      <c r="AN16">
        <f>IF(AF16=1,IF($B$3=1,50,(_xlfn.RANK.AVG(AJ16,$AJ$6:$AJ$105,1)-1)/($B$3-1)*100),"")</f>
        <v/>
      </c>
      <c r="AO16">
        <f>IF(AF16=1,ROUND(AVERAGE(AK16:AN16),6),"")</f>
        <v/>
      </c>
      <c r="AP16">
        <f>IF(AND(AF16=1,C16&lt;&gt;"Y"),R16,"")</f>
        <v/>
      </c>
      <c r="AQ16">
        <f>IF(AND(ISNUMBER(AP16),Q16="편입 후보"),AP16+(1000-ROW())/1000000,"")</f>
        <v/>
      </c>
      <c r="AR16">
        <f>IF(A16="","",_xlfn.TEXTJOIN(", ",TRUE,IF(D16="Y","금융·리츠",""),IF(NOT(ISNUMBER(I16)),"영업이익 없음",IF(I16&lt;=0,"영업적자","")),IF(OR(NOT(ISNUMBER(G16)),NOT(ISNUMBER(H16))),"부채비율 자료 없음",IF(G16&lt;=0,"자본잠식",IF(H16/G16&gt;'설정'!$B$8,"부채비율 초과",""))),IF(NOT(ISNUMBER(L16)),"시총 없음",IF(L16&lt;'설정'!$B$9,"시총 미달",""))))</f>
        <v/>
      </c>
    </row>
    <row r="17">
      <c r="A17" s="18" t="inlineStr">
        <is>
          <t>K12</t>
        </is>
      </c>
      <c r="B17" s="19" t="inlineStr">
        <is>
          <t>예시통신</t>
        </is>
      </c>
      <c r="C17" s="19" t="n"/>
      <c r="D17" s="19" t="n"/>
      <c r="E17" s="19" t="inlineStr">
        <is>
          <t>2026-2Q</t>
        </is>
      </c>
      <c r="F17" s="20" t="n">
        <v>1100</v>
      </c>
      <c r="G17" s="20" t="n">
        <v>12000</v>
      </c>
      <c r="H17" s="20" t="n">
        <v>14000</v>
      </c>
      <c r="I17" s="20" t="n">
        <v>1800</v>
      </c>
      <c r="J17" s="20" t="n">
        <v>30000</v>
      </c>
      <c r="K17" s="20" t="n">
        <v>29000</v>
      </c>
      <c r="L17" s="20" t="n">
        <v>10000</v>
      </c>
      <c r="M17" s="20" t="n">
        <v>7000</v>
      </c>
      <c r="N17" s="20" t="n">
        <v>1000</v>
      </c>
      <c r="O17" s="20" t="n">
        <v>32000</v>
      </c>
      <c r="P17" s="20" t="n">
        <v>31000</v>
      </c>
      <c r="Q17" s="7">
        <f>IF(A17="","",IF(C17="Y",IF(AF17=1,IF(AND(R17&lt;'설정'!$B$6,ISNUMBER($H$3)),IF(ROUND($H$3-R17,1)&gt;='설정'!$B$7,"교체 제안 → "&amp;$E$3&amp;" ("&amp;TEXT($H$3,"0.0")&amp;")","보유 유지"),"보유 유지"),"보유 · 점수 없음"),IF(AF17=1,IF(R17&gt;='설정'!$B$5,"편입 후보",""),"")))</f>
        <v/>
      </c>
      <c r="R17" s="15">
        <f>IF(AF17=1,ROUND(IF($B$3=1,50,(_xlfn.RANK.AVG(AO17,$AO$6:$AO$105,1)-1)/($B$3-1)*100),1),"")</f>
        <v/>
      </c>
      <c r="S17">
        <f>IF(A17="","",IF(AF17=1,_xlfn.TEXTJOIN(". ",TRUE,_xlfn.TEXTJOIN(", ",TRUE,IF(AK17&gt;='설정'!$B$20,"수익성 높음",""),IF(AL17&gt;='설정'!$B$20,"성장 빠름",""),IF(AM17&gt;='설정'!$B$20,"가격 쌈",""),IF(AN17&gt;='설정'!$B$20,"추세 좋음","")),_xlfn.TEXTJOIN(", ",TRUE,IF(AK17&lt;'설정'!$B$21,"수익성 낮음",""),IF(AL17&lt;'설정'!$B$21,"성장 느림",""),IF(AM17&lt;'설정'!$B$21,"가격 비쌈",""),IF(AN17&lt;'설정'!$B$21,"추세 약함","")),IF(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="","","보통: "&amp;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)),IF(X17="통과",AE17,X17)))</f>
        <v/>
      </c>
      <c r="T17">
        <f>IF(AF17=1,TEXT(Z17,"0.0%")&amp;" · 상위 "&amp;TEXT(($B$3-_xlfn.RANK.AVG(AG17,$AG$6:$AG$105,1)+1)/$B$3*100,"0")&amp;"%",IF(A17="","",IF(Z17="","결측",TEXT(Z17,"0.0%"))))</f>
        <v/>
      </c>
      <c r="U17">
        <f>IF(AF17=1,TEXT(AA17,"0.0%")&amp;" · 상위 "&amp;TEXT(($B$3-_xlfn.RANK.AVG(AH17,$AH$6:$AH$105,1)+1)/$B$3*100,"0")&amp;"%",IF(A17="","",IF(AA17="","결측",TEXT(AA17,"0.0%"))))</f>
        <v/>
      </c>
      <c r="V17">
        <f>IF(AF17=1,TEXT(AB17,"0.0%")&amp;" · 상위 "&amp;TEXT(($B$3-_xlfn.RANK.AVG(AI17,$AI$6:$AI$105,1)+1)/$B$3*100,"0")&amp;"%",IF(A17="","",IF(AB17="","결측",TEXT(AB17,"0.0%"))))</f>
        <v/>
      </c>
      <c r="W17">
        <f>IF(AF17=1,TEXT(AC17,"0.0%")&amp;" · 상위 "&amp;TEXT(($B$3-_xlfn.RANK.AVG(AJ17,$AJ$6:$AJ$105,1)+1)/$B$3*100,"0")&amp;"%",IF(A17="","",IF(AC17="","결측",TEXT(AC17,"0.0%"))))</f>
        <v/>
      </c>
      <c r="X17">
        <f>IF(A17="","",IF(AR17="","통과","제외: "&amp;AR17))</f>
        <v/>
      </c>
      <c r="Y17" s="21">
        <f>IF(AND(ISNUMBER(G17),ISNUMBER(H17)),IF(G17&gt;0,H17/G17,""),"")</f>
        <v/>
      </c>
      <c r="Z17" s="22">
        <f>IF(AND(ISNUMBER(F17),ISNUMBER(G17)),IF(G17&gt;0,F17/G17,""),"")</f>
        <v/>
      </c>
      <c r="AA17" s="22">
        <f>IF(AND(ISNUMBER(J17),ISNUMBER(K17)),IF(AND(J17&gt;0,K17&gt;0),(J17/K17)^(1/3)-1,""),"")</f>
        <v/>
      </c>
      <c r="AB17" s="22">
        <f>IF(AND(ISNUMBER(I17),ISNUMBER(L17),ISNUMBER(M17),ISNUMBER(N17)),IF((L17+M17-N17)&gt;0,I17/(L17+M17-N17),""),"")</f>
        <v/>
      </c>
      <c r="AC17" s="22">
        <f>IF(AND(ISNUMBER(O17),ISNUMBER(P17)),IF(AND(O17&gt;0,P17&gt;0),P17/O17-1,""),"")</f>
        <v/>
      </c>
      <c r="AD17">
        <f>_xlfn.TEXTJOIN(", ",TRUE,IF(Z17="","ROE",""),IF(AA17="","매출성장률",""),IF(AB17="","이익수익률",""),IF(AC17="","12-1 수익률",""))</f>
        <v/>
      </c>
      <c r="AE17">
        <f>IF(A17="","",IF(AR17&lt;&gt;"","점수 없음(거름망)",IF(AD17="","채점","점수 없음(결측: "&amp;AD17&amp;")")))</f>
        <v/>
      </c>
      <c r="AF17">
        <f>IF(AE17="채점",1,"")</f>
        <v/>
      </c>
      <c r="AG17">
        <f>IF(AF17=1,Z17,"")</f>
        <v/>
      </c>
      <c r="AH17">
        <f>IF(AF17=1,AA17,"")</f>
        <v/>
      </c>
      <c r="AI17">
        <f>IF(AF17=1,AB17,"")</f>
        <v/>
      </c>
      <c r="AJ17">
        <f>IF(AF17=1,AC17,"")</f>
        <v/>
      </c>
      <c r="AK17">
        <f>IF(AF17=1,IF($B$3=1,50,(_xlfn.RANK.AVG(AG17,$AG$6:$AG$105,1)-1)/($B$3-1)*100),"")</f>
        <v/>
      </c>
      <c r="AL17">
        <f>IF(AF17=1,IF($B$3=1,50,(_xlfn.RANK.AVG(AH17,$AH$6:$AH$105,1)-1)/($B$3-1)*100),"")</f>
        <v/>
      </c>
      <c r="AM17">
        <f>IF(AF17=1,IF($B$3=1,50,(_xlfn.RANK.AVG(AI17,$AI$6:$AI$105,1)-1)/($B$3-1)*100),"")</f>
        <v/>
      </c>
      <c r="AN17">
        <f>IF(AF17=1,IF($B$3=1,50,(_xlfn.RANK.AVG(AJ17,$AJ$6:$AJ$105,1)-1)/($B$3-1)*100),"")</f>
        <v/>
      </c>
      <c r="AO17">
        <f>IF(AF17=1,ROUND(AVERAGE(AK17:AN17),6),"")</f>
        <v/>
      </c>
      <c r="AP17">
        <f>IF(AND(AF17=1,C17&lt;&gt;"Y"),R17,"")</f>
        <v/>
      </c>
      <c r="AQ17">
        <f>IF(AND(ISNUMBER(AP17),Q17="편입 후보"),AP17+(1000-ROW())/1000000,"")</f>
        <v/>
      </c>
      <c r="AR17">
        <f>IF(A17="","",_xlfn.TEXTJOIN(", ",TRUE,IF(D17="Y","금융·리츠",""),IF(NOT(ISNUMBER(I17)),"영업이익 없음",IF(I17&lt;=0,"영업적자","")),IF(OR(NOT(ISNUMBER(G17)),NOT(ISNUMBER(H17))),"부채비율 자료 없음",IF(G17&lt;=0,"자본잠식",IF(H17/G17&gt;'설정'!$B$8,"부채비율 초과",""))),IF(NOT(ISNUMBER(L17)),"시총 없음",IF(L17&lt;'설정'!$B$9,"시총 미달",""))))</f>
        <v/>
      </c>
    </row>
    <row r="18">
      <c r="A18" s="18" t="n"/>
      <c r="B18" s="19" t="n"/>
      <c r="C18" s="19" t="n"/>
      <c r="D18" s="19" t="n"/>
      <c r="E18" s="19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7">
        <f>IF(A18="","",IF(C18="Y",IF(AF18=1,IF(AND(R18&lt;'설정'!$B$6,ISNUMBER($H$3)),IF(ROUND($H$3-R18,1)&gt;='설정'!$B$7,"교체 제안 → "&amp;$E$3&amp;" ("&amp;TEXT($H$3,"0.0")&amp;")","보유 유지"),"보유 유지"),"보유 · 점수 없음"),IF(AF18=1,IF(R18&gt;='설정'!$B$5,"편입 후보",""),"")))</f>
        <v/>
      </c>
      <c r="R18" s="15">
        <f>IF(AF18=1,ROUND(IF($B$3=1,50,(_xlfn.RANK.AVG(AO18,$AO$6:$AO$105,1)-1)/($B$3-1)*100),1),"")</f>
        <v/>
      </c>
      <c r="S18">
        <f>IF(A18="","",IF(AF18=1,_xlfn.TEXTJOIN(". ",TRUE,_xlfn.TEXTJOIN(", ",TRUE,IF(AK18&gt;='설정'!$B$20,"수익성 높음",""),IF(AL18&gt;='설정'!$B$20,"성장 빠름",""),IF(AM18&gt;='설정'!$B$20,"가격 쌈",""),IF(AN18&gt;='설정'!$B$20,"추세 좋음","")),_xlfn.TEXTJOIN(", ",TRUE,IF(AK18&lt;'설정'!$B$21,"수익성 낮음",""),IF(AL18&lt;'설정'!$B$21,"성장 느림",""),IF(AM18&lt;'설정'!$B$21,"가격 비쌈",""),IF(AN18&lt;'설정'!$B$21,"추세 약함","")),IF(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="","","보통: "&amp;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)),IF(X18="통과",AE18,X18)))</f>
        <v/>
      </c>
      <c r="T18">
        <f>IF(AF18=1,TEXT(Z18,"0.0%")&amp;" · 상위 "&amp;TEXT(($B$3-_xlfn.RANK.AVG(AG18,$AG$6:$AG$105,1)+1)/$B$3*100,"0")&amp;"%",IF(A18="","",IF(Z18="","결측",TEXT(Z18,"0.0%"))))</f>
        <v/>
      </c>
      <c r="U18">
        <f>IF(AF18=1,TEXT(AA18,"0.0%")&amp;" · 상위 "&amp;TEXT(($B$3-_xlfn.RANK.AVG(AH18,$AH$6:$AH$105,1)+1)/$B$3*100,"0")&amp;"%",IF(A18="","",IF(AA18="","결측",TEXT(AA18,"0.0%"))))</f>
        <v/>
      </c>
      <c r="V18">
        <f>IF(AF18=1,TEXT(AB18,"0.0%")&amp;" · 상위 "&amp;TEXT(($B$3-_xlfn.RANK.AVG(AI18,$AI$6:$AI$105,1)+1)/$B$3*100,"0")&amp;"%",IF(A18="","",IF(AB18="","결측",TEXT(AB18,"0.0%"))))</f>
        <v/>
      </c>
      <c r="W18">
        <f>IF(AF18=1,TEXT(AC18,"0.0%")&amp;" · 상위 "&amp;TEXT(($B$3-_xlfn.RANK.AVG(AJ18,$AJ$6:$AJ$105,1)+1)/$B$3*100,"0")&amp;"%",IF(A18="","",IF(AC18="","결측",TEXT(AC18,"0.0%"))))</f>
        <v/>
      </c>
      <c r="X18">
        <f>IF(A18="","",IF(AR18="","통과","제외: "&amp;AR18))</f>
        <v/>
      </c>
      <c r="Y18" s="21">
        <f>IF(AND(ISNUMBER(G18),ISNUMBER(H18)),IF(G18&gt;0,H18/G18,""),"")</f>
        <v/>
      </c>
      <c r="Z18" s="22">
        <f>IF(AND(ISNUMBER(F18),ISNUMBER(G18)),IF(G18&gt;0,F18/G18,""),"")</f>
        <v/>
      </c>
      <c r="AA18" s="22">
        <f>IF(AND(ISNUMBER(J18),ISNUMBER(K18)),IF(AND(J18&gt;0,K18&gt;0),(J18/K18)^(1/3)-1,""),"")</f>
        <v/>
      </c>
      <c r="AB18" s="22">
        <f>IF(AND(ISNUMBER(I18),ISNUMBER(L18),ISNUMBER(M18),ISNUMBER(N18)),IF((L18+M18-N18)&gt;0,I18/(L18+M18-N18),""),"")</f>
        <v/>
      </c>
      <c r="AC18" s="22">
        <f>IF(AND(ISNUMBER(O18),ISNUMBER(P18)),IF(AND(O18&gt;0,P18&gt;0),P18/O18-1,""),"")</f>
        <v/>
      </c>
      <c r="AD18">
        <f>_xlfn.TEXTJOIN(", ",TRUE,IF(Z18="","ROE",""),IF(AA18="","매출성장률",""),IF(AB18="","이익수익률",""),IF(AC18="","12-1 수익률",""))</f>
        <v/>
      </c>
      <c r="AE18">
        <f>IF(A18="","",IF(AR18&lt;&gt;"","점수 없음(거름망)",IF(AD18="","채점","점수 없음(결측: "&amp;AD18&amp;")")))</f>
        <v/>
      </c>
      <c r="AF18">
        <f>IF(AE18="채점",1,"")</f>
        <v/>
      </c>
      <c r="AG18">
        <f>IF(AF18=1,Z18,"")</f>
        <v/>
      </c>
      <c r="AH18">
        <f>IF(AF18=1,AA18,"")</f>
        <v/>
      </c>
      <c r="AI18">
        <f>IF(AF18=1,AB18,"")</f>
        <v/>
      </c>
      <c r="AJ18">
        <f>IF(AF18=1,AC18,"")</f>
        <v/>
      </c>
      <c r="AK18">
        <f>IF(AF18=1,IF($B$3=1,50,(_xlfn.RANK.AVG(AG18,$AG$6:$AG$105,1)-1)/($B$3-1)*100),"")</f>
        <v/>
      </c>
      <c r="AL18">
        <f>IF(AF18=1,IF($B$3=1,50,(_xlfn.RANK.AVG(AH18,$AH$6:$AH$105,1)-1)/($B$3-1)*100),"")</f>
        <v/>
      </c>
      <c r="AM18">
        <f>IF(AF18=1,IF($B$3=1,50,(_xlfn.RANK.AVG(AI18,$AI$6:$AI$105,1)-1)/($B$3-1)*100),"")</f>
        <v/>
      </c>
      <c r="AN18">
        <f>IF(AF18=1,IF($B$3=1,50,(_xlfn.RANK.AVG(AJ18,$AJ$6:$AJ$105,1)-1)/($B$3-1)*100),"")</f>
        <v/>
      </c>
      <c r="AO18">
        <f>IF(AF18=1,ROUND(AVERAGE(AK18:AN18),6),"")</f>
        <v/>
      </c>
      <c r="AP18">
        <f>IF(AND(AF18=1,C18&lt;&gt;"Y"),R18,"")</f>
        <v/>
      </c>
      <c r="AQ18">
        <f>IF(AND(ISNUMBER(AP18),Q18="편입 후보"),AP18+(1000-ROW())/1000000,"")</f>
        <v/>
      </c>
      <c r="AR18">
        <f>IF(A18="","",_xlfn.TEXTJOIN(", ",TRUE,IF(D18="Y","금융·리츠",""),IF(NOT(ISNUMBER(I18)),"영업이익 없음",IF(I18&lt;=0,"영업적자","")),IF(OR(NOT(ISNUMBER(G18)),NOT(ISNUMBER(H18))),"부채비율 자료 없음",IF(G18&lt;=0,"자본잠식",IF(H18/G18&gt;'설정'!$B$8,"부채비율 초과",""))),IF(NOT(ISNUMBER(L18)),"시총 없음",IF(L18&lt;'설정'!$B$9,"시총 미달",""))))</f>
        <v/>
      </c>
    </row>
    <row r="19">
      <c r="A19" s="18" t="n"/>
      <c r="B19" s="19" t="n"/>
      <c r="C19" s="19" t="n"/>
      <c r="D19" s="19" t="n"/>
      <c r="E19" s="19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7">
        <f>IF(A19="","",IF(C19="Y",IF(AF19=1,IF(AND(R19&lt;'설정'!$B$6,ISNUMBER($H$3)),IF(ROUND($H$3-R19,1)&gt;='설정'!$B$7,"교체 제안 → "&amp;$E$3&amp;" ("&amp;TEXT($H$3,"0.0")&amp;")","보유 유지"),"보유 유지"),"보유 · 점수 없음"),IF(AF19=1,IF(R19&gt;='설정'!$B$5,"편입 후보",""),"")))</f>
        <v/>
      </c>
      <c r="R19" s="15">
        <f>IF(AF19=1,ROUND(IF($B$3=1,50,(_xlfn.RANK.AVG(AO19,$AO$6:$AO$105,1)-1)/($B$3-1)*100),1),"")</f>
        <v/>
      </c>
      <c r="S19">
        <f>IF(A19="","",IF(AF19=1,_xlfn.TEXTJOIN(". ",TRUE,_xlfn.TEXTJOIN(", ",TRUE,IF(AK19&gt;='설정'!$B$20,"수익성 높음",""),IF(AL19&gt;='설정'!$B$20,"성장 빠름",""),IF(AM19&gt;='설정'!$B$20,"가격 쌈",""),IF(AN19&gt;='설정'!$B$20,"추세 좋음","")),_xlfn.TEXTJOIN(", ",TRUE,IF(AK19&lt;'설정'!$B$21,"수익성 낮음",""),IF(AL19&lt;'설정'!$B$21,"성장 느림",""),IF(AM19&lt;'설정'!$B$21,"가격 비쌈",""),IF(AN19&lt;'설정'!$B$21,"추세 약함","")),IF(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="","","보통: "&amp;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)),IF(X19="통과",AE19,X19)))</f>
        <v/>
      </c>
      <c r="T19">
        <f>IF(AF19=1,TEXT(Z19,"0.0%")&amp;" · 상위 "&amp;TEXT(($B$3-_xlfn.RANK.AVG(AG19,$AG$6:$AG$105,1)+1)/$B$3*100,"0")&amp;"%",IF(A19="","",IF(Z19="","결측",TEXT(Z19,"0.0%"))))</f>
        <v/>
      </c>
      <c r="U19">
        <f>IF(AF19=1,TEXT(AA19,"0.0%")&amp;" · 상위 "&amp;TEXT(($B$3-_xlfn.RANK.AVG(AH19,$AH$6:$AH$105,1)+1)/$B$3*100,"0")&amp;"%",IF(A19="","",IF(AA19="","결측",TEXT(AA19,"0.0%"))))</f>
        <v/>
      </c>
      <c r="V19">
        <f>IF(AF19=1,TEXT(AB19,"0.0%")&amp;" · 상위 "&amp;TEXT(($B$3-_xlfn.RANK.AVG(AI19,$AI$6:$AI$105,1)+1)/$B$3*100,"0")&amp;"%",IF(A19="","",IF(AB19="","결측",TEXT(AB19,"0.0%"))))</f>
        <v/>
      </c>
      <c r="W19">
        <f>IF(AF19=1,TEXT(AC19,"0.0%")&amp;" · 상위 "&amp;TEXT(($B$3-_xlfn.RANK.AVG(AJ19,$AJ$6:$AJ$105,1)+1)/$B$3*100,"0")&amp;"%",IF(A19="","",IF(AC19="","결측",TEXT(AC19,"0.0%"))))</f>
        <v/>
      </c>
      <c r="X19">
        <f>IF(A19="","",IF(AR19="","통과","제외: "&amp;AR19))</f>
        <v/>
      </c>
      <c r="Y19" s="21">
        <f>IF(AND(ISNUMBER(G19),ISNUMBER(H19)),IF(G19&gt;0,H19/G19,""),"")</f>
        <v/>
      </c>
      <c r="Z19" s="22">
        <f>IF(AND(ISNUMBER(F19),ISNUMBER(G19)),IF(G19&gt;0,F19/G19,""),"")</f>
        <v/>
      </c>
      <c r="AA19" s="22">
        <f>IF(AND(ISNUMBER(J19),ISNUMBER(K19)),IF(AND(J19&gt;0,K19&gt;0),(J19/K19)^(1/3)-1,""),"")</f>
        <v/>
      </c>
      <c r="AB19" s="22">
        <f>IF(AND(ISNUMBER(I19),ISNUMBER(L19),ISNUMBER(M19),ISNUMBER(N19)),IF((L19+M19-N19)&gt;0,I19/(L19+M19-N19),""),"")</f>
        <v/>
      </c>
      <c r="AC19" s="22">
        <f>IF(AND(ISNUMBER(O19),ISNUMBER(P19)),IF(AND(O19&gt;0,P19&gt;0),P19/O19-1,""),"")</f>
        <v/>
      </c>
      <c r="AD19">
        <f>_xlfn.TEXTJOIN(", ",TRUE,IF(Z19="","ROE",""),IF(AA19="","매출성장률",""),IF(AB19="","이익수익률",""),IF(AC19="","12-1 수익률",""))</f>
        <v/>
      </c>
      <c r="AE19">
        <f>IF(A19="","",IF(AR19&lt;&gt;"","점수 없음(거름망)",IF(AD19="","채점","점수 없음(결측: "&amp;AD19&amp;")")))</f>
        <v/>
      </c>
      <c r="AF19">
        <f>IF(AE19="채점",1,"")</f>
        <v/>
      </c>
      <c r="AG19">
        <f>IF(AF19=1,Z19,"")</f>
        <v/>
      </c>
      <c r="AH19">
        <f>IF(AF19=1,AA19,"")</f>
        <v/>
      </c>
      <c r="AI19">
        <f>IF(AF19=1,AB19,"")</f>
        <v/>
      </c>
      <c r="AJ19">
        <f>IF(AF19=1,AC19,"")</f>
        <v/>
      </c>
      <c r="AK19">
        <f>IF(AF19=1,IF($B$3=1,50,(_xlfn.RANK.AVG(AG19,$AG$6:$AG$105,1)-1)/($B$3-1)*100),"")</f>
        <v/>
      </c>
      <c r="AL19">
        <f>IF(AF19=1,IF($B$3=1,50,(_xlfn.RANK.AVG(AH19,$AH$6:$AH$105,1)-1)/($B$3-1)*100),"")</f>
        <v/>
      </c>
      <c r="AM19">
        <f>IF(AF19=1,IF($B$3=1,50,(_xlfn.RANK.AVG(AI19,$AI$6:$AI$105,1)-1)/($B$3-1)*100),"")</f>
        <v/>
      </c>
      <c r="AN19">
        <f>IF(AF19=1,IF($B$3=1,50,(_xlfn.RANK.AVG(AJ19,$AJ$6:$AJ$105,1)-1)/($B$3-1)*100),"")</f>
        <v/>
      </c>
      <c r="AO19">
        <f>IF(AF19=1,ROUND(AVERAGE(AK19:AN19),6),"")</f>
        <v/>
      </c>
      <c r="AP19">
        <f>IF(AND(AF19=1,C19&lt;&gt;"Y"),R19,"")</f>
        <v/>
      </c>
      <c r="AQ19">
        <f>IF(AND(ISNUMBER(AP19),Q19="편입 후보"),AP19+(1000-ROW())/1000000,"")</f>
        <v/>
      </c>
      <c r="AR19">
        <f>IF(A19="","",_xlfn.TEXTJOIN(", ",TRUE,IF(D19="Y","금융·리츠",""),IF(NOT(ISNUMBER(I19)),"영업이익 없음",IF(I19&lt;=0,"영업적자","")),IF(OR(NOT(ISNUMBER(G19)),NOT(ISNUMBER(H19))),"부채비율 자료 없음",IF(G19&lt;=0,"자본잠식",IF(H19/G19&gt;'설정'!$B$8,"부채비율 초과",""))),IF(NOT(ISNUMBER(L19)),"시총 없음",IF(L19&lt;'설정'!$B$9,"시총 미달",""))))</f>
        <v/>
      </c>
    </row>
    <row r="20">
      <c r="A20" s="18" t="n"/>
      <c r="B20" s="19" t="n"/>
      <c r="C20" s="19" t="n"/>
      <c r="D20" s="19" t="n"/>
      <c r="E20" s="19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7">
        <f>IF(A20="","",IF(C20="Y",IF(AF20=1,IF(AND(R20&lt;'설정'!$B$6,ISNUMBER($H$3)),IF(ROUND($H$3-R20,1)&gt;='설정'!$B$7,"교체 제안 → "&amp;$E$3&amp;" ("&amp;TEXT($H$3,"0.0")&amp;")","보유 유지"),"보유 유지"),"보유 · 점수 없음"),IF(AF20=1,IF(R20&gt;='설정'!$B$5,"편입 후보",""),"")))</f>
        <v/>
      </c>
      <c r="R20" s="15">
        <f>IF(AF20=1,ROUND(IF($B$3=1,50,(_xlfn.RANK.AVG(AO20,$AO$6:$AO$105,1)-1)/($B$3-1)*100),1),"")</f>
        <v/>
      </c>
      <c r="S20">
        <f>IF(A20="","",IF(AF20=1,_xlfn.TEXTJOIN(". ",TRUE,_xlfn.TEXTJOIN(", ",TRUE,IF(AK20&gt;='설정'!$B$20,"수익성 높음",""),IF(AL20&gt;='설정'!$B$20,"성장 빠름",""),IF(AM20&gt;='설정'!$B$20,"가격 쌈",""),IF(AN20&gt;='설정'!$B$20,"추세 좋음","")),_xlfn.TEXTJOIN(", ",TRUE,IF(AK20&lt;'설정'!$B$21,"수익성 낮음",""),IF(AL20&lt;'설정'!$B$21,"성장 느림",""),IF(AM20&lt;'설정'!$B$21,"가격 비쌈",""),IF(AN20&lt;'설정'!$B$21,"추세 약함","")),IF(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="","","보통: "&amp;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)),IF(X20="통과",AE20,X20)))</f>
        <v/>
      </c>
      <c r="T20">
        <f>IF(AF20=1,TEXT(Z20,"0.0%")&amp;" · 상위 "&amp;TEXT(($B$3-_xlfn.RANK.AVG(AG20,$AG$6:$AG$105,1)+1)/$B$3*100,"0")&amp;"%",IF(A20="","",IF(Z20="","결측",TEXT(Z20,"0.0%"))))</f>
        <v/>
      </c>
      <c r="U20">
        <f>IF(AF20=1,TEXT(AA20,"0.0%")&amp;" · 상위 "&amp;TEXT(($B$3-_xlfn.RANK.AVG(AH20,$AH$6:$AH$105,1)+1)/$B$3*100,"0")&amp;"%",IF(A20="","",IF(AA20="","결측",TEXT(AA20,"0.0%"))))</f>
        <v/>
      </c>
      <c r="V20">
        <f>IF(AF20=1,TEXT(AB20,"0.0%")&amp;" · 상위 "&amp;TEXT(($B$3-_xlfn.RANK.AVG(AI20,$AI$6:$AI$105,1)+1)/$B$3*100,"0")&amp;"%",IF(A20="","",IF(AB20="","결측",TEXT(AB20,"0.0%"))))</f>
        <v/>
      </c>
      <c r="W20">
        <f>IF(AF20=1,TEXT(AC20,"0.0%")&amp;" · 상위 "&amp;TEXT(($B$3-_xlfn.RANK.AVG(AJ20,$AJ$6:$AJ$105,1)+1)/$B$3*100,"0")&amp;"%",IF(A20="","",IF(AC20="","결측",TEXT(AC20,"0.0%"))))</f>
        <v/>
      </c>
      <c r="X20">
        <f>IF(A20="","",IF(AR20="","통과","제외: "&amp;AR20))</f>
        <v/>
      </c>
      <c r="Y20" s="21">
        <f>IF(AND(ISNUMBER(G20),ISNUMBER(H20)),IF(G20&gt;0,H20/G20,""),"")</f>
        <v/>
      </c>
      <c r="Z20" s="22">
        <f>IF(AND(ISNUMBER(F20),ISNUMBER(G20)),IF(G20&gt;0,F20/G20,""),"")</f>
        <v/>
      </c>
      <c r="AA20" s="22">
        <f>IF(AND(ISNUMBER(J20),ISNUMBER(K20)),IF(AND(J20&gt;0,K20&gt;0),(J20/K20)^(1/3)-1,""),"")</f>
        <v/>
      </c>
      <c r="AB20" s="22">
        <f>IF(AND(ISNUMBER(I20),ISNUMBER(L20),ISNUMBER(M20),ISNUMBER(N20)),IF((L20+M20-N20)&gt;0,I20/(L20+M20-N20),""),"")</f>
        <v/>
      </c>
      <c r="AC20" s="22">
        <f>IF(AND(ISNUMBER(O20),ISNUMBER(P20)),IF(AND(O20&gt;0,P20&gt;0),P20/O20-1,""),"")</f>
        <v/>
      </c>
      <c r="AD20">
        <f>_xlfn.TEXTJOIN(", ",TRUE,IF(Z20="","ROE",""),IF(AA20="","매출성장률",""),IF(AB20="","이익수익률",""),IF(AC20="","12-1 수익률",""))</f>
        <v/>
      </c>
      <c r="AE20">
        <f>IF(A20="","",IF(AR20&lt;&gt;"","점수 없음(거름망)",IF(AD20="","채점","점수 없음(결측: "&amp;AD20&amp;")")))</f>
        <v/>
      </c>
      <c r="AF20">
        <f>IF(AE20="채점",1,"")</f>
        <v/>
      </c>
      <c r="AG20">
        <f>IF(AF20=1,Z20,"")</f>
        <v/>
      </c>
      <c r="AH20">
        <f>IF(AF20=1,AA20,"")</f>
        <v/>
      </c>
      <c r="AI20">
        <f>IF(AF20=1,AB20,"")</f>
        <v/>
      </c>
      <c r="AJ20">
        <f>IF(AF20=1,AC20,"")</f>
        <v/>
      </c>
      <c r="AK20">
        <f>IF(AF20=1,IF($B$3=1,50,(_xlfn.RANK.AVG(AG20,$AG$6:$AG$105,1)-1)/($B$3-1)*100),"")</f>
        <v/>
      </c>
      <c r="AL20">
        <f>IF(AF20=1,IF($B$3=1,50,(_xlfn.RANK.AVG(AH20,$AH$6:$AH$105,1)-1)/($B$3-1)*100),"")</f>
        <v/>
      </c>
      <c r="AM20">
        <f>IF(AF20=1,IF($B$3=1,50,(_xlfn.RANK.AVG(AI20,$AI$6:$AI$105,1)-1)/($B$3-1)*100),"")</f>
        <v/>
      </c>
      <c r="AN20">
        <f>IF(AF20=1,IF($B$3=1,50,(_xlfn.RANK.AVG(AJ20,$AJ$6:$AJ$105,1)-1)/($B$3-1)*100),"")</f>
        <v/>
      </c>
      <c r="AO20">
        <f>IF(AF20=1,ROUND(AVERAGE(AK20:AN20),6),"")</f>
        <v/>
      </c>
      <c r="AP20">
        <f>IF(AND(AF20=1,C20&lt;&gt;"Y"),R20,"")</f>
        <v/>
      </c>
      <c r="AQ20">
        <f>IF(AND(ISNUMBER(AP20),Q20="편입 후보"),AP20+(1000-ROW())/1000000,"")</f>
        <v/>
      </c>
      <c r="AR20">
        <f>IF(A20="","",_xlfn.TEXTJOIN(", ",TRUE,IF(D20="Y","금융·리츠",""),IF(NOT(ISNUMBER(I20)),"영업이익 없음",IF(I20&lt;=0,"영업적자","")),IF(OR(NOT(ISNUMBER(G20)),NOT(ISNUMBER(H20))),"부채비율 자료 없음",IF(G20&lt;=0,"자본잠식",IF(H20/G20&gt;'설정'!$B$8,"부채비율 초과",""))),IF(NOT(ISNUMBER(L20)),"시총 없음",IF(L20&lt;'설정'!$B$9,"시총 미달",""))))</f>
        <v/>
      </c>
    </row>
    <row r="21">
      <c r="A21" s="18" t="n"/>
      <c r="B21" s="19" t="n"/>
      <c r="C21" s="19" t="n"/>
      <c r="D21" s="19" t="n"/>
      <c r="E21" s="19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7">
        <f>IF(A21="","",IF(C21="Y",IF(AF21=1,IF(AND(R21&lt;'설정'!$B$6,ISNUMBER($H$3)),IF(ROUND($H$3-R21,1)&gt;='설정'!$B$7,"교체 제안 → "&amp;$E$3&amp;" ("&amp;TEXT($H$3,"0.0")&amp;")","보유 유지"),"보유 유지"),"보유 · 점수 없음"),IF(AF21=1,IF(R21&gt;='설정'!$B$5,"편입 후보",""),"")))</f>
        <v/>
      </c>
      <c r="R21" s="15">
        <f>IF(AF21=1,ROUND(IF($B$3=1,50,(_xlfn.RANK.AVG(AO21,$AO$6:$AO$105,1)-1)/($B$3-1)*100),1),"")</f>
        <v/>
      </c>
      <c r="S21">
        <f>IF(A21="","",IF(AF21=1,_xlfn.TEXTJOIN(". ",TRUE,_xlfn.TEXTJOIN(", ",TRUE,IF(AK21&gt;='설정'!$B$20,"수익성 높음",""),IF(AL21&gt;='설정'!$B$20,"성장 빠름",""),IF(AM21&gt;='설정'!$B$20,"가격 쌈",""),IF(AN21&gt;='설정'!$B$20,"추세 좋음","")),_xlfn.TEXTJOIN(", ",TRUE,IF(AK21&lt;'설정'!$B$21,"수익성 낮음",""),IF(AL21&lt;'설정'!$B$21,"성장 느림",""),IF(AM21&lt;'설정'!$B$21,"가격 비쌈",""),IF(AN21&lt;'설정'!$B$21,"추세 약함","")),IF(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="","","보통: "&amp;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)),IF(X21="통과",AE21,X21)))</f>
        <v/>
      </c>
      <c r="T21">
        <f>IF(AF21=1,TEXT(Z21,"0.0%")&amp;" · 상위 "&amp;TEXT(($B$3-_xlfn.RANK.AVG(AG21,$AG$6:$AG$105,1)+1)/$B$3*100,"0")&amp;"%",IF(A21="","",IF(Z21="","결측",TEXT(Z21,"0.0%"))))</f>
        <v/>
      </c>
      <c r="U21">
        <f>IF(AF21=1,TEXT(AA21,"0.0%")&amp;" · 상위 "&amp;TEXT(($B$3-_xlfn.RANK.AVG(AH21,$AH$6:$AH$105,1)+1)/$B$3*100,"0")&amp;"%",IF(A21="","",IF(AA21="","결측",TEXT(AA21,"0.0%"))))</f>
        <v/>
      </c>
      <c r="V21">
        <f>IF(AF21=1,TEXT(AB21,"0.0%")&amp;" · 상위 "&amp;TEXT(($B$3-_xlfn.RANK.AVG(AI21,$AI$6:$AI$105,1)+1)/$B$3*100,"0")&amp;"%",IF(A21="","",IF(AB21="","결측",TEXT(AB21,"0.0%"))))</f>
        <v/>
      </c>
      <c r="W21">
        <f>IF(AF21=1,TEXT(AC21,"0.0%")&amp;" · 상위 "&amp;TEXT(($B$3-_xlfn.RANK.AVG(AJ21,$AJ$6:$AJ$105,1)+1)/$B$3*100,"0")&amp;"%",IF(A21="","",IF(AC21="","결측",TEXT(AC21,"0.0%"))))</f>
        <v/>
      </c>
      <c r="X21">
        <f>IF(A21="","",IF(AR21="","통과","제외: "&amp;AR21))</f>
        <v/>
      </c>
      <c r="Y21" s="21">
        <f>IF(AND(ISNUMBER(G21),ISNUMBER(H21)),IF(G21&gt;0,H21/G21,""),"")</f>
        <v/>
      </c>
      <c r="Z21" s="22">
        <f>IF(AND(ISNUMBER(F21),ISNUMBER(G21)),IF(G21&gt;0,F21/G21,""),"")</f>
        <v/>
      </c>
      <c r="AA21" s="22">
        <f>IF(AND(ISNUMBER(J21),ISNUMBER(K21)),IF(AND(J21&gt;0,K21&gt;0),(J21/K21)^(1/3)-1,""),"")</f>
        <v/>
      </c>
      <c r="AB21" s="22">
        <f>IF(AND(ISNUMBER(I21),ISNUMBER(L21),ISNUMBER(M21),ISNUMBER(N21)),IF((L21+M21-N21)&gt;0,I21/(L21+M21-N21),""),"")</f>
        <v/>
      </c>
      <c r="AC21" s="22">
        <f>IF(AND(ISNUMBER(O21),ISNUMBER(P21)),IF(AND(O21&gt;0,P21&gt;0),P21/O21-1,""),"")</f>
        <v/>
      </c>
      <c r="AD21">
        <f>_xlfn.TEXTJOIN(", ",TRUE,IF(Z21="","ROE",""),IF(AA21="","매출성장률",""),IF(AB21="","이익수익률",""),IF(AC21="","12-1 수익률",""))</f>
        <v/>
      </c>
      <c r="AE21">
        <f>IF(A21="","",IF(AR21&lt;&gt;"","점수 없음(거름망)",IF(AD21="","채점","점수 없음(결측: "&amp;AD21&amp;")")))</f>
        <v/>
      </c>
      <c r="AF21">
        <f>IF(AE21="채점",1,"")</f>
        <v/>
      </c>
      <c r="AG21">
        <f>IF(AF21=1,Z21,"")</f>
        <v/>
      </c>
      <c r="AH21">
        <f>IF(AF21=1,AA21,"")</f>
        <v/>
      </c>
      <c r="AI21">
        <f>IF(AF21=1,AB21,"")</f>
        <v/>
      </c>
      <c r="AJ21">
        <f>IF(AF21=1,AC21,"")</f>
        <v/>
      </c>
      <c r="AK21">
        <f>IF(AF21=1,IF($B$3=1,50,(_xlfn.RANK.AVG(AG21,$AG$6:$AG$105,1)-1)/($B$3-1)*100),"")</f>
        <v/>
      </c>
      <c r="AL21">
        <f>IF(AF21=1,IF($B$3=1,50,(_xlfn.RANK.AVG(AH21,$AH$6:$AH$105,1)-1)/($B$3-1)*100),"")</f>
        <v/>
      </c>
      <c r="AM21">
        <f>IF(AF21=1,IF($B$3=1,50,(_xlfn.RANK.AVG(AI21,$AI$6:$AI$105,1)-1)/($B$3-1)*100),"")</f>
        <v/>
      </c>
      <c r="AN21">
        <f>IF(AF21=1,IF($B$3=1,50,(_xlfn.RANK.AVG(AJ21,$AJ$6:$AJ$105,1)-1)/($B$3-1)*100),"")</f>
        <v/>
      </c>
      <c r="AO21">
        <f>IF(AF21=1,ROUND(AVERAGE(AK21:AN21),6),"")</f>
        <v/>
      </c>
      <c r="AP21">
        <f>IF(AND(AF21=1,C21&lt;&gt;"Y"),R21,"")</f>
        <v/>
      </c>
      <c r="AQ21">
        <f>IF(AND(ISNUMBER(AP21),Q21="편입 후보"),AP21+(1000-ROW())/1000000,"")</f>
        <v/>
      </c>
      <c r="AR21">
        <f>IF(A21="","",_xlfn.TEXTJOIN(", ",TRUE,IF(D21="Y","금융·리츠",""),IF(NOT(ISNUMBER(I21)),"영업이익 없음",IF(I21&lt;=0,"영업적자","")),IF(OR(NOT(ISNUMBER(G21)),NOT(ISNUMBER(H21))),"부채비율 자료 없음",IF(G21&lt;=0,"자본잠식",IF(H21/G21&gt;'설정'!$B$8,"부채비율 초과",""))),IF(NOT(ISNUMBER(L21)),"시총 없음",IF(L21&lt;'설정'!$B$9,"시총 미달",""))))</f>
        <v/>
      </c>
    </row>
    <row r="22">
      <c r="A22" s="18" t="n"/>
      <c r="B22" s="19" t="n"/>
      <c r="C22" s="19" t="n"/>
      <c r="D22" s="19" t="n"/>
      <c r="E22" s="19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7">
        <f>IF(A22="","",IF(C22="Y",IF(AF22=1,IF(AND(R22&lt;'설정'!$B$6,ISNUMBER($H$3)),IF(ROUND($H$3-R22,1)&gt;='설정'!$B$7,"교체 제안 → "&amp;$E$3&amp;" ("&amp;TEXT($H$3,"0.0")&amp;")","보유 유지"),"보유 유지"),"보유 · 점수 없음"),IF(AF22=1,IF(R22&gt;='설정'!$B$5,"편입 후보",""),"")))</f>
        <v/>
      </c>
      <c r="R22" s="15">
        <f>IF(AF22=1,ROUND(IF($B$3=1,50,(_xlfn.RANK.AVG(AO22,$AO$6:$AO$105,1)-1)/($B$3-1)*100),1),"")</f>
        <v/>
      </c>
      <c r="S22">
        <f>IF(A22="","",IF(AF22=1,_xlfn.TEXTJOIN(". ",TRUE,_xlfn.TEXTJOIN(", ",TRUE,IF(AK22&gt;='설정'!$B$20,"수익성 높음",""),IF(AL22&gt;='설정'!$B$20,"성장 빠름",""),IF(AM22&gt;='설정'!$B$20,"가격 쌈",""),IF(AN22&gt;='설정'!$B$20,"추세 좋음","")),_xlfn.TEXTJOIN(", ",TRUE,IF(AK22&lt;'설정'!$B$21,"수익성 낮음",""),IF(AL22&lt;'설정'!$B$21,"성장 느림",""),IF(AM22&lt;'설정'!$B$21,"가격 비쌈",""),IF(AN22&lt;'설정'!$B$21,"추세 약함","")),IF(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="","","보통: "&amp;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)),IF(X22="통과",AE22,X22)))</f>
        <v/>
      </c>
      <c r="T22">
        <f>IF(AF22=1,TEXT(Z22,"0.0%")&amp;" · 상위 "&amp;TEXT(($B$3-_xlfn.RANK.AVG(AG22,$AG$6:$AG$105,1)+1)/$B$3*100,"0")&amp;"%",IF(A22="","",IF(Z22="","결측",TEXT(Z22,"0.0%"))))</f>
        <v/>
      </c>
      <c r="U22">
        <f>IF(AF22=1,TEXT(AA22,"0.0%")&amp;" · 상위 "&amp;TEXT(($B$3-_xlfn.RANK.AVG(AH22,$AH$6:$AH$105,1)+1)/$B$3*100,"0")&amp;"%",IF(A22="","",IF(AA22="","결측",TEXT(AA22,"0.0%"))))</f>
        <v/>
      </c>
      <c r="V22">
        <f>IF(AF22=1,TEXT(AB22,"0.0%")&amp;" · 상위 "&amp;TEXT(($B$3-_xlfn.RANK.AVG(AI22,$AI$6:$AI$105,1)+1)/$B$3*100,"0")&amp;"%",IF(A22="","",IF(AB22="","결측",TEXT(AB22,"0.0%"))))</f>
        <v/>
      </c>
      <c r="W22">
        <f>IF(AF22=1,TEXT(AC22,"0.0%")&amp;" · 상위 "&amp;TEXT(($B$3-_xlfn.RANK.AVG(AJ22,$AJ$6:$AJ$105,1)+1)/$B$3*100,"0")&amp;"%",IF(A22="","",IF(AC22="","결측",TEXT(AC22,"0.0%"))))</f>
        <v/>
      </c>
      <c r="X22">
        <f>IF(A22="","",IF(AR22="","통과","제외: "&amp;AR22))</f>
        <v/>
      </c>
      <c r="Y22" s="21">
        <f>IF(AND(ISNUMBER(G22),ISNUMBER(H22)),IF(G22&gt;0,H22/G22,""),"")</f>
        <v/>
      </c>
      <c r="Z22" s="22">
        <f>IF(AND(ISNUMBER(F22),ISNUMBER(G22)),IF(G22&gt;0,F22/G22,""),"")</f>
        <v/>
      </c>
      <c r="AA22" s="22">
        <f>IF(AND(ISNUMBER(J22),ISNUMBER(K22)),IF(AND(J22&gt;0,K22&gt;0),(J22/K22)^(1/3)-1,""),"")</f>
        <v/>
      </c>
      <c r="AB22" s="22">
        <f>IF(AND(ISNUMBER(I22),ISNUMBER(L22),ISNUMBER(M22),ISNUMBER(N22)),IF((L22+M22-N22)&gt;0,I22/(L22+M22-N22),""),"")</f>
        <v/>
      </c>
      <c r="AC22" s="22">
        <f>IF(AND(ISNUMBER(O22),ISNUMBER(P22)),IF(AND(O22&gt;0,P22&gt;0),P22/O22-1,""),"")</f>
        <v/>
      </c>
      <c r="AD22">
        <f>_xlfn.TEXTJOIN(", ",TRUE,IF(Z22="","ROE",""),IF(AA22="","매출성장률",""),IF(AB22="","이익수익률",""),IF(AC22="","12-1 수익률",""))</f>
        <v/>
      </c>
      <c r="AE22">
        <f>IF(A22="","",IF(AR22&lt;&gt;"","점수 없음(거름망)",IF(AD22="","채점","점수 없음(결측: "&amp;AD22&amp;")")))</f>
        <v/>
      </c>
      <c r="AF22">
        <f>IF(AE22="채점",1,"")</f>
        <v/>
      </c>
      <c r="AG22">
        <f>IF(AF22=1,Z22,"")</f>
        <v/>
      </c>
      <c r="AH22">
        <f>IF(AF22=1,AA22,"")</f>
        <v/>
      </c>
      <c r="AI22">
        <f>IF(AF22=1,AB22,"")</f>
        <v/>
      </c>
      <c r="AJ22">
        <f>IF(AF22=1,AC22,"")</f>
        <v/>
      </c>
      <c r="AK22">
        <f>IF(AF22=1,IF($B$3=1,50,(_xlfn.RANK.AVG(AG22,$AG$6:$AG$105,1)-1)/($B$3-1)*100),"")</f>
        <v/>
      </c>
      <c r="AL22">
        <f>IF(AF22=1,IF($B$3=1,50,(_xlfn.RANK.AVG(AH22,$AH$6:$AH$105,1)-1)/($B$3-1)*100),"")</f>
        <v/>
      </c>
      <c r="AM22">
        <f>IF(AF22=1,IF($B$3=1,50,(_xlfn.RANK.AVG(AI22,$AI$6:$AI$105,1)-1)/($B$3-1)*100),"")</f>
        <v/>
      </c>
      <c r="AN22">
        <f>IF(AF22=1,IF($B$3=1,50,(_xlfn.RANK.AVG(AJ22,$AJ$6:$AJ$105,1)-1)/($B$3-1)*100),"")</f>
        <v/>
      </c>
      <c r="AO22">
        <f>IF(AF22=1,ROUND(AVERAGE(AK22:AN22),6),"")</f>
        <v/>
      </c>
      <c r="AP22">
        <f>IF(AND(AF22=1,C22&lt;&gt;"Y"),R22,"")</f>
        <v/>
      </c>
      <c r="AQ22">
        <f>IF(AND(ISNUMBER(AP22),Q22="편입 후보"),AP22+(1000-ROW())/1000000,"")</f>
        <v/>
      </c>
      <c r="AR22">
        <f>IF(A22="","",_xlfn.TEXTJOIN(", ",TRUE,IF(D22="Y","금융·리츠",""),IF(NOT(ISNUMBER(I22)),"영업이익 없음",IF(I22&lt;=0,"영업적자","")),IF(OR(NOT(ISNUMBER(G22)),NOT(ISNUMBER(H22))),"부채비율 자료 없음",IF(G22&lt;=0,"자본잠식",IF(H22/G22&gt;'설정'!$B$8,"부채비율 초과",""))),IF(NOT(ISNUMBER(L22)),"시총 없음",IF(L22&lt;'설정'!$B$9,"시총 미달",""))))</f>
        <v/>
      </c>
    </row>
    <row r="23">
      <c r="A23" s="18" t="n"/>
      <c r="B23" s="19" t="n"/>
      <c r="C23" s="19" t="n"/>
      <c r="D23" s="19" t="n"/>
      <c r="E23" s="19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7">
        <f>IF(A23="","",IF(C23="Y",IF(AF23=1,IF(AND(R23&lt;'설정'!$B$6,ISNUMBER($H$3)),IF(ROUND($H$3-R23,1)&gt;='설정'!$B$7,"교체 제안 → "&amp;$E$3&amp;" ("&amp;TEXT($H$3,"0.0")&amp;")","보유 유지"),"보유 유지"),"보유 · 점수 없음"),IF(AF23=1,IF(R23&gt;='설정'!$B$5,"편입 후보",""),"")))</f>
        <v/>
      </c>
      <c r="R23" s="15">
        <f>IF(AF23=1,ROUND(IF($B$3=1,50,(_xlfn.RANK.AVG(AO23,$AO$6:$AO$105,1)-1)/($B$3-1)*100),1),"")</f>
        <v/>
      </c>
      <c r="S23">
        <f>IF(A23="","",IF(AF23=1,_xlfn.TEXTJOIN(". ",TRUE,_xlfn.TEXTJOIN(", ",TRUE,IF(AK23&gt;='설정'!$B$20,"수익성 높음",""),IF(AL23&gt;='설정'!$B$20,"성장 빠름",""),IF(AM23&gt;='설정'!$B$20,"가격 쌈",""),IF(AN23&gt;='설정'!$B$20,"추세 좋음","")),_xlfn.TEXTJOIN(", ",TRUE,IF(AK23&lt;'설정'!$B$21,"수익성 낮음",""),IF(AL23&lt;'설정'!$B$21,"성장 느림",""),IF(AM23&lt;'설정'!$B$21,"가격 비쌈",""),IF(AN23&lt;'설정'!$B$21,"추세 약함","")),IF(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="","","보통: "&amp;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)),IF(X23="통과",AE23,X23)))</f>
        <v/>
      </c>
      <c r="T23">
        <f>IF(AF23=1,TEXT(Z23,"0.0%")&amp;" · 상위 "&amp;TEXT(($B$3-_xlfn.RANK.AVG(AG23,$AG$6:$AG$105,1)+1)/$B$3*100,"0")&amp;"%",IF(A23="","",IF(Z23="","결측",TEXT(Z23,"0.0%"))))</f>
        <v/>
      </c>
      <c r="U23">
        <f>IF(AF23=1,TEXT(AA23,"0.0%")&amp;" · 상위 "&amp;TEXT(($B$3-_xlfn.RANK.AVG(AH23,$AH$6:$AH$105,1)+1)/$B$3*100,"0")&amp;"%",IF(A23="","",IF(AA23="","결측",TEXT(AA23,"0.0%"))))</f>
        <v/>
      </c>
      <c r="V23">
        <f>IF(AF23=1,TEXT(AB23,"0.0%")&amp;" · 상위 "&amp;TEXT(($B$3-_xlfn.RANK.AVG(AI23,$AI$6:$AI$105,1)+1)/$B$3*100,"0")&amp;"%",IF(A23="","",IF(AB23="","결측",TEXT(AB23,"0.0%"))))</f>
        <v/>
      </c>
      <c r="W23">
        <f>IF(AF23=1,TEXT(AC23,"0.0%")&amp;" · 상위 "&amp;TEXT(($B$3-_xlfn.RANK.AVG(AJ23,$AJ$6:$AJ$105,1)+1)/$B$3*100,"0")&amp;"%",IF(A23="","",IF(AC23="","결측",TEXT(AC23,"0.0%"))))</f>
        <v/>
      </c>
      <c r="X23">
        <f>IF(A23="","",IF(AR23="","통과","제외: "&amp;AR23))</f>
        <v/>
      </c>
      <c r="Y23" s="21">
        <f>IF(AND(ISNUMBER(G23),ISNUMBER(H23)),IF(G23&gt;0,H23/G23,""),"")</f>
        <v/>
      </c>
      <c r="Z23" s="22">
        <f>IF(AND(ISNUMBER(F23),ISNUMBER(G23)),IF(G23&gt;0,F23/G23,""),"")</f>
        <v/>
      </c>
      <c r="AA23" s="22">
        <f>IF(AND(ISNUMBER(J23),ISNUMBER(K23)),IF(AND(J23&gt;0,K23&gt;0),(J23/K23)^(1/3)-1,""),"")</f>
        <v/>
      </c>
      <c r="AB23" s="22">
        <f>IF(AND(ISNUMBER(I23),ISNUMBER(L23),ISNUMBER(M23),ISNUMBER(N23)),IF((L23+M23-N23)&gt;0,I23/(L23+M23-N23),""),"")</f>
        <v/>
      </c>
      <c r="AC23" s="22">
        <f>IF(AND(ISNUMBER(O23),ISNUMBER(P23)),IF(AND(O23&gt;0,P23&gt;0),P23/O23-1,""),"")</f>
        <v/>
      </c>
      <c r="AD23">
        <f>_xlfn.TEXTJOIN(", ",TRUE,IF(Z23="","ROE",""),IF(AA23="","매출성장률",""),IF(AB23="","이익수익률",""),IF(AC23="","12-1 수익률",""))</f>
        <v/>
      </c>
      <c r="AE23">
        <f>IF(A23="","",IF(AR23&lt;&gt;"","점수 없음(거름망)",IF(AD23="","채점","점수 없음(결측: "&amp;AD23&amp;")")))</f>
        <v/>
      </c>
      <c r="AF23">
        <f>IF(AE23="채점",1,"")</f>
        <v/>
      </c>
      <c r="AG23">
        <f>IF(AF23=1,Z23,"")</f>
        <v/>
      </c>
      <c r="AH23">
        <f>IF(AF23=1,AA23,"")</f>
        <v/>
      </c>
      <c r="AI23">
        <f>IF(AF23=1,AB23,"")</f>
        <v/>
      </c>
      <c r="AJ23">
        <f>IF(AF23=1,AC23,"")</f>
        <v/>
      </c>
      <c r="AK23">
        <f>IF(AF23=1,IF($B$3=1,50,(_xlfn.RANK.AVG(AG23,$AG$6:$AG$105,1)-1)/($B$3-1)*100),"")</f>
        <v/>
      </c>
      <c r="AL23">
        <f>IF(AF23=1,IF($B$3=1,50,(_xlfn.RANK.AVG(AH23,$AH$6:$AH$105,1)-1)/($B$3-1)*100),"")</f>
        <v/>
      </c>
      <c r="AM23">
        <f>IF(AF23=1,IF($B$3=1,50,(_xlfn.RANK.AVG(AI23,$AI$6:$AI$105,1)-1)/($B$3-1)*100),"")</f>
        <v/>
      </c>
      <c r="AN23">
        <f>IF(AF23=1,IF($B$3=1,50,(_xlfn.RANK.AVG(AJ23,$AJ$6:$AJ$105,1)-1)/($B$3-1)*100),"")</f>
        <v/>
      </c>
      <c r="AO23">
        <f>IF(AF23=1,ROUND(AVERAGE(AK23:AN23),6),"")</f>
        <v/>
      </c>
      <c r="AP23">
        <f>IF(AND(AF23=1,C23&lt;&gt;"Y"),R23,"")</f>
        <v/>
      </c>
      <c r="AQ23">
        <f>IF(AND(ISNUMBER(AP23),Q23="편입 후보"),AP23+(1000-ROW())/1000000,"")</f>
        <v/>
      </c>
      <c r="AR23">
        <f>IF(A23="","",_xlfn.TEXTJOIN(", ",TRUE,IF(D23="Y","금융·리츠",""),IF(NOT(ISNUMBER(I23)),"영업이익 없음",IF(I23&lt;=0,"영업적자","")),IF(OR(NOT(ISNUMBER(G23)),NOT(ISNUMBER(H23))),"부채비율 자료 없음",IF(G23&lt;=0,"자본잠식",IF(H23/G23&gt;'설정'!$B$8,"부채비율 초과",""))),IF(NOT(ISNUMBER(L23)),"시총 없음",IF(L23&lt;'설정'!$B$9,"시총 미달",""))))</f>
        <v/>
      </c>
    </row>
    <row r="24">
      <c r="A24" s="18" t="n"/>
      <c r="B24" s="19" t="n"/>
      <c r="C24" s="19" t="n"/>
      <c r="D24" s="19" t="n"/>
      <c r="E24" s="19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7">
        <f>IF(A24="","",IF(C24="Y",IF(AF24=1,IF(AND(R24&lt;'설정'!$B$6,ISNUMBER($H$3)),IF(ROUND($H$3-R24,1)&gt;='설정'!$B$7,"교체 제안 → "&amp;$E$3&amp;" ("&amp;TEXT($H$3,"0.0")&amp;")","보유 유지"),"보유 유지"),"보유 · 점수 없음"),IF(AF24=1,IF(R24&gt;='설정'!$B$5,"편입 후보",""),"")))</f>
        <v/>
      </c>
      <c r="R24" s="15">
        <f>IF(AF24=1,ROUND(IF($B$3=1,50,(_xlfn.RANK.AVG(AO24,$AO$6:$AO$105,1)-1)/($B$3-1)*100),1),"")</f>
        <v/>
      </c>
      <c r="S24">
        <f>IF(A24="","",IF(AF24=1,_xlfn.TEXTJOIN(". ",TRUE,_xlfn.TEXTJOIN(", ",TRUE,IF(AK24&gt;='설정'!$B$20,"수익성 높음",""),IF(AL24&gt;='설정'!$B$20,"성장 빠름",""),IF(AM24&gt;='설정'!$B$20,"가격 쌈",""),IF(AN24&gt;='설정'!$B$20,"추세 좋음","")),_xlfn.TEXTJOIN(", ",TRUE,IF(AK24&lt;'설정'!$B$21,"수익성 낮음",""),IF(AL24&lt;'설정'!$B$21,"성장 느림",""),IF(AM24&lt;'설정'!$B$21,"가격 비쌈",""),IF(AN24&lt;'설정'!$B$21,"추세 약함","")),IF(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="","","보통: "&amp;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)),IF(X24="통과",AE24,X24)))</f>
        <v/>
      </c>
      <c r="T24">
        <f>IF(AF24=1,TEXT(Z24,"0.0%")&amp;" · 상위 "&amp;TEXT(($B$3-_xlfn.RANK.AVG(AG24,$AG$6:$AG$105,1)+1)/$B$3*100,"0")&amp;"%",IF(A24="","",IF(Z24="","결측",TEXT(Z24,"0.0%"))))</f>
        <v/>
      </c>
      <c r="U24">
        <f>IF(AF24=1,TEXT(AA24,"0.0%")&amp;" · 상위 "&amp;TEXT(($B$3-_xlfn.RANK.AVG(AH24,$AH$6:$AH$105,1)+1)/$B$3*100,"0")&amp;"%",IF(A24="","",IF(AA24="","결측",TEXT(AA24,"0.0%"))))</f>
        <v/>
      </c>
      <c r="V24">
        <f>IF(AF24=1,TEXT(AB24,"0.0%")&amp;" · 상위 "&amp;TEXT(($B$3-_xlfn.RANK.AVG(AI24,$AI$6:$AI$105,1)+1)/$B$3*100,"0")&amp;"%",IF(A24="","",IF(AB24="","결측",TEXT(AB24,"0.0%"))))</f>
        <v/>
      </c>
      <c r="W24">
        <f>IF(AF24=1,TEXT(AC24,"0.0%")&amp;" · 상위 "&amp;TEXT(($B$3-_xlfn.RANK.AVG(AJ24,$AJ$6:$AJ$105,1)+1)/$B$3*100,"0")&amp;"%",IF(A24="","",IF(AC24="","결측",TEXT(AC24,"0.0%"))))</f>
        <v/>
      </c>
      <c r="X24">
        <f>IF(A24="","",IF(AR24="","통과","제외: "&amp;AR24))</f>
        <v/>
      </c>
      <c r="Y24" s="21">
        <f>IF(AND(ISNUMBER(G24),ISNUMBER(H24)),IF(G24&gt;0,H24/G24,""),"")</f>
        <v/>
      </c>
      <c r="Z24" s="22">
        <f>IF(AND(ISNUMBER(F24),ISNUMBER(G24)),IF(G24&gt;0,F24/G24,""),"")</f>
        <v/>
      </c>
      <c r="AA24" s="22">
        <f>IF(AND(ISNUMBER(J24),ISNUMBER(K24)),IF(AND(J24&gt;0,K24&gt;0),(J24/K24)^(1/3)-1,""),"")</f>
        <v/>
      </c>
      <c r="AB24" s="22">
        <f>IF(AND(ISNUMBER(I24),ISNUMBER(L24),ISNUMBER(M24),ISNUMBER(N24)),IF((L24+M24-N24)&gt;0,I24/(L24+M24-N24),""),"")</f>
        <v/>
      </c>
      <c r="AC24" s="22">
        <f>IF(AND(ISNUMBER(O24),ISNUMBER(P24)),IF(AND(O24&gt;0,P24&gt;0),P24/O24-1,""),"")</f>
        <v/>
      </c>
      <c r="AD24">
        <f>_xlfn.TEXTJOIN(", ",TRUE,IF(Z24="","ROE",""),IF(AA24="","매출성장률",""),IF(AB24="","이익수익률",""),IF(AC24="","12-1 수익률",""))</f>
        <v/>
      </c>
      <c r="AE24">
        <f>IF(A24="","",IF(AR24&lt;&gt;"","점수 없음(거름망)",IF(AD24="","채점","점수 없음(결측: "&amp;AD24&amp;")")))</f>
        <v/>
      </c>
      <c r="AF24">
        <f>IF(AE24="채점",1,"")</f>
        <v/>
      </c>
      <c r="AG24">
        <f>IF(AF24=1,Z24,"")</f>
        <v/>
      </c>
      <c r="AH24">
        <f>IF(AF24=1,AA24,"")</f>
        <v/>
      </c>
      <c r="AI24">
        <f>IF(AF24=1,AB24,"")</f>
        <v/>
      </c>
      <c r="AJ24">
        <f>IF(AF24=1,AC24,"")</f>
        <v/>
      </c>
      <c r="AK24">
        <f>IF(AF24=1,IF($B$3=1,50,(_xlfn.RANK.AVG(AG24,$AG$6:$AG$105,1)-1)/($B$3-1)*100),"")</f>
        <v/>
      </c>
      <c r="AL24">
        <f>IF(AF24=1,IF($B$3=1,50,(_xlfn.RANK.AVG(AH24,$AH$6:$AH$105,1)-1)/($B$3-1)*100),"")</f>
        <v/>
      </c>
      <c r="AM24">
        <f>IF(AF24=1,IF($B$3=1,50,(_xlfn.RANK.AVG(AI24,$AI$6:$AI$105,1)-1)/($B$3-1)*100),"")</f>
        <v/>
      </c>
      <c r="AN24">
        <f>IF(AF24=1,IF($B$3=1,50,(_xlfn.RANK.AVG(AJ24,$AJ$6:$AJ$105,1)-1)/($B$3-1)*100),"")</f>
        <v/>
      </c>
      <c r="AO24">
        <f>IF(AF24=1,ROUND(AVERAGE(AK24:AN24),6),"")</f>
        <v/>
      </c>
      <c r="AP24">
        <f>IF(AND(AF24=1,C24&lt;&gt;"Y"),R24,"")</f>
        <v/>
      </c>
      <c r="AQ24">
        <f>IF(AND(ISNUMBER(AP24),Q24="편입 후보"),AP24+(1000-ROW())/1000000,"")</f>
        <v/>
      </c>
      <c r="AR24">
        <f>IF(A24="","",_xlfn.TEXTJOIN(", ",TRUE,IF(D24="Y","금융·리츠",""),IF(NOT(ISNUMBER(I24)),"영업이익 없음",IF(I24&lt;=0,"영업적자","")),IF(OR(NOT(ISNUMBER(G24)),NOT(ISNUMBER(H24))),"부채비율 자료 없음",IF(G24&lt;=0,"자본잠식",IF(H24/G24&gt;'설정'!$B$8,"부채비율 초과",""))),IF(NOT(ISNUMBER(L24)),"시총 없음",IF(L24&lt;'설정'!$B$9,"시총 미달",""))))</f>
        <v/>
      </c>
    </row>
    <row r="25">
      <c r="A25" s="18" t="n"/>
      <c r="B25" s="19" t="n"/>
      <c r="C25" s="19" t="n"/>
      <c r="D25" s="19" t="n"/>
      <c r="E25" s="19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7">
        <f>IF(A25="","",IF(C25="Y",IF(AF25=1,IF(AND(R25&lt;'설정'!$B$6,ISNUMBER($H$3)),IF(ROUND($H$3-R25,1)&gt;='설정'!$B$7,"교체 제안 → "&amp;$E$3&amp;" ("&amp;TEXT($H$3,"0.0")&amp;")","보유 유지"),"보유 유지"),"보유 · 점수 없음"),IF(AF25=1,IF(R25&gt;='설정'!$B$5,"편입 후보",""),"")))</f>
        <v/>
      </c>
      <c r="R25" s="15">
        <f>IF(AF25=1,ROUND(IF($B$3=1,50,(_xlfn.RANK.AVG(AO25,$AO$6:$AO$105,1)-1)/($B$3-1)*100),1),"")</f>
        <v/>
      </c>
      <c r="S25">
        <f>IF(A25="","",IF(AF25=1,_xlfn.TEXTJOIN(". ",TRUE,_xlfn.TEXTJOIN(", ",TRUE,IF(AK25&gt;='설정'!$B$20,"수익성 높음",""),IF(AL25&gt;='설정'!$B$20,"성장 빠름",""),IF(AM25&gt;='설정'!$B$20,"가격 쌈",""),IF(AN25&gt;='설정'!$B$20,"추세 좋음","")),_xlfn.TEXTJOIN(", ",TRUE,IF(AK25&lt;'설정'!$B$21,"수익성 낮음",""),IF(AL25&lt;'설정'!$B$21,"성장 느림",""),IF(AM25&lt;'설정'!$B$21,"가격 비쌈",""),IF(AN25&lt;'설정'!$B$21,"추세 약함","")),IF(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="","","보통: "&amp;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)),IF(X25="통과",AE25,X25)))</f>
        <v/>
      </c>
      <c r="T25">
        <f>IF(AF25=1,TEXT(Z25,"0.0%")&amp;" · 상위 "&amp;TEXT(($B$3-_xlfn.RANK.AVG(AG25,$AG$6:$AG$105,1)+1)/$B$3*100,"0")&amp;"%",IF(A25="","",IF(Z25="","결측",TEXT(Z25,"0.0%"))))</f>
        <v/>
      </c>
      <c r="U25">
        <f>IF(AF25=1,TEXT(AA25,"0.0%")&amp;" · 상위 "&amp;TEXT(($B$3-_xlfn.RANK.AVG(AH25,$AH$6:$AH$105,1)+1)/$B$3*100,"0")&amp;"%",IF(A25="","",IF(AA25="","결측",TEXT(AA25,"0.0%"))))</f>
        <v/>
      </c>
      <c r="V25">
        <f>IF(AF25=1,TEXT(AB25,"0.0%")&amp;" · 상위 "&amp;TEXT(($B$3-_xlfn.RANK.AVG(AI25,$AI$6:$AI$105,1)+1)/$B$3*100,"0")&amp;"%",IF(A25="","",IF(AB25="","결측",TEXT(AB25,"0.0%"))))</f>
        <v/>
      </c>
      <c r="W25">
        <f>IF(AF25=1,TEXT(AC25,"0.0%")&amp;" · 상위 "&amp;TEXT(($B$3-_xlfn.RANK.AVG(AJ25,$AJ$6:$AJ$105,1)+1)/$B$3*100,"0")&amp;"%",IF(A25="","",IF(AC25="","결측",TEXT(AC25,"0.0%"))))</f>
        <v/>
      </c>
      <c r="X25">
        <f>IF(A25="","",IF(AR25="","통과","제외: "&amp;AR25))</f>
        <v/>
      </c>
      <c r="Y25" s="21">
        <f>IF(AND(ISNUMBER(G25),ISNUMBER(H25)),IF(G25&gt;0,H25/G25,""),"")</f>
        <v/>
      </c>
      <c r="Z25" s="22">
        <f>IF(AND(ISNUMBER(F25),ISNUMBER(G25)),IF(G25&gt;0,F25/G25,""),"")</f>
        <v/>
      </c>
      <c r="AA25" s="22">
        <f>IF(AND(ISNUMBER(J25),ISNUMBER(K25)),IF(AND(J25&gt;0,K25&gt;0),(J25/K25)^(1/3)-1,""),"")</f>
        <v/>
      </c>
      <c r="AB25" s="22">
        <f>IF(AND(ISNUMBER(I25),ISNUMBER(L25),ISNUMBER(M25),ISNUMBER(N25)),IF((L25+M25-N25)&gt;0,I25/(L25+M25-N25),""),"")</f>
        <v/>
      </c>
      <c r="AC25" s="22">
        <f>IF(AND(ISNUMBER(O25),ISNUMBER(P25)),IF(AND(O25&gt;0,P25&gt;0),P25/O25-1,""),"")</f>
        <v/>
      </c>
      <c r="AD25">
        <f>_xlfn.TEXTJOIN(", ",TRUE,IF(Z25="","ROE",""),IF(AA25="","매출성장률",""),IF(AB25="","이익수익률",""),IF(AC25="","12-1 수익률",""))</f>
        <v/>
      </c>
      <c r="AE25">
        <f>IF(A25="","",IF(AR25&lt;&gt;"","점수 없음(거름망)",IF(AD25="","채점","점수 없음(결측: "&amp;AD25&amp;")")))</f>
        <v/>
      </c>
      <c r="AF25">
        <f>IF(AE25="채점",1,"")</f>
        <v/>
      </c>
      <c r="AG25">
        <f>IF(AF25=1,Z25,"")</f>
        <v/>
      </c>
      <c r="AH25">
        <f>IF(AF25=1,AA25,"")</f>
        <v/>
      </c>
      <c r="AI25">
        <f>IF(AF25=1,AB25,"")</f>
        <v/>
      </c>
      <c r="AJ25">
        <f>IF(AF25=1,AC25,"")</f>
        <v/>
      </c>
      <c r="AK25">
        <f>IF(AF25=1,IF($B$3=1,50,(_xlfn.RANK.AVG(AG25,$AG$6:$AG$105,1)-1)/($B$3-1)*100),"")</f>
        <v/>
      </c>
      <c r="AL25">
        <f>IF(AF25=1,IF($B$3=1,50,(_xlfn.RANK.AVG(AH25,$AH$6:$AH$105,1)-1)/($B$3-1)*100),"")</f>
        <v/>
      </c>
      <c r="AM25">
        <f>IF(AF25=1,IF($B$3=1,50,(_xlfn.RANK.AVG(AI25,$AI$6:$AI$105,1)-1)/($B$3-1)*100),"")</f>
        <v/>
      </c>
      <c r="AN25">
        <f>IF(AF25=1,IF($B$3=1,50,(_xlfn.RANK.AVG(AJ25,$AJ$6:$AJ$105,1)-1)/($B$3-1)*100),"")</f>
        <v/>
      </c>
      <c r="AO25">
        <f>IF(AF25=1,ROUND(AVERAGE(AK25:AN25),6),"")</f>
        <v/>
      </c>
      <c r="AP25">
        <f>IF(AND(AF25=1,C25&lt;&gt;"Y"),R25,"")</f>
        <v/>
      </c>
      <c r="AQ25">
        <f>IF(AND(ISNUMBER(AP25),Q25="편입 후보"),AP25+(1000-ROW())/1000000,"")</f>
        <v/>
      </c>
      <c r="AR25">
        <f>IF(A25="","",_xlfn.TEXTJOIN(", ",TRUE,IF(D25="Y","금융·리츠",""),IF(NOT(ISNUMBER(I25)),"영업이익 없음",IF(I25&lt;=0,"영업적자","")),IF(OR(NOT(ISNUMBER(G25)),NOT(ISNUMBER(H25))),"부채비율 자료 없음",IF(G25&lt;=0,"자본잠식",IF(H25/G25&gt;'설정'!$B$8,"부채비율 초과",""))),IF(NOT(ISNUMBER(L25)),"시총 없음",IF(L25&lt;'설정'!$B$9,"시총 미달",""))))</f>
        <v/>
      </c>
    </row>
    <row r="26">
      <c r="A26" s="18" t="n"/>
      <c r="B26" s="19" t="n"/>
      <c r="C26" s="19" t="n"/>
      <c r="D26" s="19" t="n"/>
      <c r="E26" s="19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7">
        <f>IF(A26="","",IF(C26="Y",IF(AF26=1,IF(AND(R26&lt;'설정'!$B$6,ISNUMBER($H$3)),IF(ROUND($H$3-R26,1)&gt;='설정'!$B$7,"교체 제안 → "&amp;$E$3&amp;" ("&amp;TEXT($H$3,"0.0")&amp;")","보유 유지"),"보유 유지"),"보유 · 점수 없음"),IF(AF26=1,IF(R26&gt;='설정'!$B$5,"편입 후보",""),"")))</f>
        <v/>
      </c>
      <c r="R26" s="15">
        <f>IF(AF26=1,ROUND(IF($B$3=1,50,(_xlfn.RANK.AVG(AO26,$AO$6:$AO$105,1)-1)/($B$3-1)*100),1),"")</f>
        <v/>
      </c>
      <c r="S26">
        <f>IF(A26="","",IF(AF26=1,_xlfn.TEXTJOIN(". ",TRUE,_xlfn.TEXTJOIN(", ",TRUE,IF(AK26&gt;='설정'!$B$20,"수익성 높음",""),IF(AL26&gt;='설정'!$B$20,"성장 빠름",""),IF(AM26&gt;='설정'!$B$20,"가격 쌈",""),IF(AN26&gt;='설정'!$B$20,"추세 좋음","")),_xlfn.TEXTJOIN(", ",TRUE,IF(AK26&lt;'설정'!$B$21,"수익성 낮음",""),IF(AL26&lt;'설정'!$B$21,"성장 느림",""),IF(AM26&lt;'설정'!$B$21,"가격 비쌈",""),IF(AN26&lt;'설정'!$B$21,"추세 약함","")),IF(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="","","보통: "&amp;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)),IF(X26="통과",AE26,X26)))</f>
        <v/>
      </c>
      <c r="T26">
        <f>IF(AF26=1,TEXT(Z26,"0.0%")&amp;" · 상위 "&amp;TEXT(($B$3-_xlfn.RANK.AVG(AG26,$AG$6:$AG$105,1)+1)/$B$3*100,"0")&amp;"%",IF(A26="","",IF(Z26="","결측",TEXT(Z26,"0.0%"))))</f>
        <v/>
      </c>
      <c r="U26">
        <f>IF(AF26=1,TEXT(AA26,"0.0%")&amp;" · 상위 "&amp;TEXT(($B$3-_xlfn.RANK.AVG(AH26,$AH$6:$AH$105,1)+1)/$B$3*100,"0")&amp;"%",IF(A26="","",IF(AA26="","결측",TEXT(AA26,"0.0%"))))</f>
        <v/>
      </c>
      <c r="V26">
        <f>IF(AF26=1,TEXT(AB26,"0.0%")&amp;" · 상위 "&amp;TEXT(($B$3-_xlfn.RANK.AVG(AI26,$AI$6:$AI$105,1)+1)/$B$3*100,"0")&amp;"%",IF(A26="","",IF(AB26="","결측",TEXT(AB26,"0.0%"))))</f>
        <v/>
      </c>
      <c r="W26">
        <f>IF(AF26=1,TEXT(AC26,"0.0%")&amp;" · 상위 "&amp;TEXT(($B$3-_xlfn.RANK.AVG(AJ26,$AJ$6:$AJ$105,1)+1)/$B$3*100,"0")&amp;"%",IF(A26="","",IF(AC26="","결측",TEXT(AC26,"0.0%"))))</f>
        <v/>
      </c>
      <c r="X26">
        <f>IF(A26="","",IF(AR26="","통과","제외: "&amp;AR26))</f>
        <v/>
      </c>
      <c r="Y26" s="21">
        <f>IF(AND(ISNUMBER(G26),ISNUMBER(H26)),IF(G26&gt;0,H26/G26,""),"")</f>
        <v/>
      </c>
      <c r="Z26" s="22">
        <f>IF(AND(ISNUMBER(F26),ISNUMBER(G26)),IF(G26&gt;0,F26/G26,""),"")</f>
        <v/>
      </c>
      <c r="AA26" s="22">
        <f>IF(AND(ISNUMBER(J26),ISNUMBER(K26)),IF(AND(J26&gt;0,K26&gt;0),(J26/K26)^(1/3)-1,""),"")</f>
        <v/>
      </c>
      <c r="AB26" s="22">
        <f>IF(AND(ISNUMBER(I26),ISNUMBER(L26),ISNUMBER(M26),ISNUMBER(N26)),IF((L26+M26-N26)&gt;0,I26/(L26+M26-N26),""),"")</f>
        <v/>
      </c>
      <c r="AC26" s="22">
        <f>IF(AND(ISNUMBER(O26),ISNUMBER(P26)),IF(AND(O26&gt;0,P26&gt;0),P26/O26-1,""),"")</f>
        <v/>
      </c>
      <c r="AD26">
        <f>_xlfn.TEXTJOIN(", ",TRUE,IF(Z26="","ROE",""),IF(AA26="","매출성장률",""),IF(AB26="","이익수익률",""),IF(AC26="","12-1 수익률",""))</f>
        <v/>
      </c>
      <c r="AE26">
        <f>IF(A26="","",IF(AR26&lt;&gt;"","점수 없음(거름망)",IF(AD26="","채점","점수 없음(결측: "&amp;AD26&amp;")")))</f>
        <v/>
      </c>
      <c r="AF26">
        <f>IF(AE26="채점",1,"")</f>
        <v/>
      </c>
      <c r="AG26">
        <f>IF(AF26=1,Z26,"")</f>
        <v/>
      </c>
      <c r="AH26">
        <f>IF(AF26=1,AA26,"")</f>
        <v/>
      </c>
      <c r="AI26">
        <f>IF(AF26=1,AB26,"")</f>
        <v/>
      </c>
      <c r="AJ26">
        <f>IF(AF26=1,AC26,"")</f>
        <v/>
      </c>
      <c r="AK26">
        <f>IF(AF26=1,IF($B$3=1,50,(_xlfn.RANK.AVG(AG26,$AG$6:$AG$105,1)-1)/($B$3-1)*100),"")</f>
        <v/>
      </c>
      <c r="AL26">
        <f>IF(AF26=1,IF($B$3=1,50,(_xlfn.RANK.AVG(AH26,$AH$6:$AH$105,1)-1)/($B$3-1)*100),"")</f>
        <v/>
      </c>
      <c r="AM26">
        <f>IF(AF26=1,IF($B$3=1,50,(_xlfn.RANK.AVG(AI26,$AI$6:$AI$105,1)-1)/($B$3-1)*100),"")</f>
        <v/>
      </c>
      <c r="AN26">
        <f>IF(AF26=1,IF($B$3=1,50,(_xlfn.RANK.AVG(AJ26,$AJ$6:$AJ$105,1)-1)/($B$3-1)*100),"")</f>
        <v/>
      </c>
      <c r="AO26">
        <f>IF(AF26=1,ROUND(AVERAGE(AK26:AN26),6),"")</f>
        <v/>
      </c>
      <c r="AP26">
        <f>IF(AND(AF26=1,C26&lt;&gt;"Y"),R26,"")</f>
        <v/>
      </c>
      <c r="AQ26">
        <f>IF(AND(ISNUMBER(AP26),Q26="편입 후보"),AP26+(1000-ROW())/1000000,"")</f>
        <v/>
      </c>
      <c r="AR26">
        <f>IF(A26="","",_xlfn.TEXTJOIN(", ",TRUE,IF(D26="Y","금융·리츠",""),IF(NOT(ISNUMBER(I26)),"영업이익 없음",IF(I26&lt;=0,"영업적자","")),IF(OR(NOT(ISNUMBER(G26)),NOT(ISNUMBER(H26))),"부채비율 자료 없음",IF(G26&lt;=0,"자본잠식",IF(H26/G26&gt;'설정'!$B$8,"부채비율 초과",""))),IF(NOT(ISNUMBER(L26)),"시총 없음",IF(L26&lt;'설정'!$B$9,"시총 미달",""))))</f>
        <v/>
      </c>
    </row>
    <row r="27">
      <c r="A27" s="18" t="n"/>
      <c r="B27" s="19" t="n"/>
      <c r="C27" s="19" t="n"/>
      <c r="D27" s="19" t="n"/>
      <c r="E27" s="19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7">
        <f>IF(A27="","",IF(C27="Y",IF(AF27=1,IF(AND(R27&lt;'설정'!$B$6,ISNUMBER($H$3)),IF(ROUND($H$3-R27,1)&gt;='설정'!$B$7,"교체 제안 → "&amp;$E$3&amp;" ("&amp;TEXT($H$3,"0.0")&amp;")","보유 유지"),"보유 유지"),"보유 · 점수 없음"),IF(AF27=1,IF(R27&gt;='설정'!$B$5,"편입 후보",""),"")))</f>
        <v/>
      </c>
      <c r="R27" s="15">
        <f>IF(AF27=1,ROUND(IF($B$3=1,50,(_xlfn.RANK.AVG(AO27,$AO$6:$AO$105,1)-1)/($B$3-1)*100),1),"")</f>
        <v/>
      </c>
      <c r="S27">
        <f>IF(A27="","",IF(AF27=1,_xlfn.TEXTJOIN(". ",TRUE,_xlfn.TEXTJOIN(", ",TRUE,IF(AK27&gt;='설정'!$B$20,"수익성 높음",""),IF(AL27&gt;='설정'!$B$20,"성장 빠름",""),IF(AM27&gt;='설정'!$B$20,"가격 쌈",""),IF(AN27&gt;='설정'!$B$20,"추세 좋음","")),_xlfn.TEXTJOIN(", ",TRUE,IF(AK27&lt;'설정'!$B$21,"수익성 낮음",""),IF(AL27&lt;'설정'!$B$21,"성장 느림",""),IF(AM27&lt;'설정'!$B$21,"가격 비쌈",""),IF(AN27&lt;'설정'!$B$21,"추세 약함","")),IF(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="","","보통: "&amp;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)),IF(X27="통과",AE27,X27)))</f>
        <v/>
      </c>
      <c r="T27">
        <f>IF(AF27=1,TEXT(Z27,"0.0%")&amp;" · 상위 "&amp;TEXT(($B$3-_xlfn.RANK.AVG(AG27,$AG$6:$AG$105,1)+1)/$B$3*100,"0")&amp;"%",IF(A27="","",IF(Z27="","결측",TEXT(Z27,"0.0%"))))</f>
        <v/>
      </c>
      <c r="U27">
        <f>IF(AF27=1,TEXT(AA27,"0.0%")&amp;" · 상위 "&amp;TEXT(($B$3-_xlfn.RANK.AVG(AH27,$AH$6:$AH$105,1)+1)/$B$3*100,"0")&amp;"%",IF(A27="","",IF(AA27="","결측",TEXT(AA27,"0.0%"))))</f>
        <v/>
      </c>
      <c r="V27">
        <f>IF(AF27=1,TEXT(AB27,"0.0%")&amp;" · 상위 "&amp;TEXT(($B$3-_xlfn.RANK.AVG(AI27,$AI$6:$AI$105,1)+1)/$B$3*100,"0")&amp;"%",IF(A27="","",IF(AB27="","결측",TEXT(AB27,"0.0%"))))</f>
        <v/>
      </c>
      <c r="W27">
        <f>IF(AF27=1,TEXT(AC27,"0.0%")&amp;" · 상위 "&amp;TEXT(($B$3-_xlfn.RANK.AVG(AJ27,$AJ$6:$AJ$105,1)+1)/$B$3*100,"0")&amp;"%",IF(A27="","",IF(AC27="","결측",TEXT(AC27,"0.0%"))))</f>
        <v/>
      </c>
      <c r="X27">
        <f>IF(A27="","",IF(AR27="","통과","제외: "&amp;AR27))</f>
        <v/>
      </c>
      <c r="Y27" s="21">
        <f>IF(AND(ISNUMBER(G27),ISNUMBER(H27)),IF(G27&gt;0,H27/G27,""),"")</f>
        <v/>
      </c>
      <c r="Z27" s="22">
        <f>IF(AND(ISNUMBER(F27),ISNUMBER(G27)),IF(G27&gt;0,F27/G27,""),"")</f>
        <v/>
      </c>
      <c r="AA27" s="22">
        <f>IF(AND(ISNUMBER(J27),ISNUMBER(K27)),IF(AND(J27&gt;0,K27&gt;0),(J27/K27)^(1/3)-1,""),"")</f>
        <v/>
      </c>
      <c r="AB27" s="22">
        <f>IF(AND(ISNUMBER(I27),ISNUMBER(L27),ISNUMBER(M27),ISNUMBER(N27)),IF((L27+M27-N27)&gt;0,I27/(L27+M27-N27),""),"")</f>
        <v/>
      </c>
      <c r="AC27" s="22">
        <f>IF(AND(ISNUMBER(O27),ISNUMBER(P27)),IF(AND(O27&gt;0,P27&gt;0),P27/O27-1,""),"")</f>
        <v/>
      </c>
      <c r="AD27">
        <f>_xlfn.TEXTJOIN(", ",TRUE,IF(Z27="","ROE",""),IF(AA27="","매출성장률",""),IF(AB27="","이익수익률",""),IF(AC27="","12-1 수익률",""))</f>
        <v/>
      </c>
      <c r="AE27">
        <f>IF(A27="","",IF(AR27&lt;&gt;"","점수 없음(거름망)",IF(AD27="","채점","점수 없음(결측: "&amp;AD27&amp;")")))</f>
        <v/>
      </c>
      <c r="AF27">
        <f>IF(AE27="채점",1,"")</f>
        <v/>
      </c>
      <c r="AG27">
        <f>IF(AF27=1,Z27,"")</f>
        <v/>
      </c>
      <c r="AH27">
        <f>IF(AF27=1,AA27,"")</f>
        <v/>
      </c>
      <c r="AI27">
        <f>IF(AF27=1,AB27,"")</f>
        <v/>
      </c>
      <c r="AJ27">
        <f>IF(AF27=1,AC27,"")</f>
        <v/>
      </c>
      <c r="AK27">
        <f>IF(AF27=1,IF($B$3=1,50,(_xlfn.RANK.AVG(AG27,$AG$6:$AG$105,1)-1)/($B$3-1)*100),"")</f>
        <v/>
      </c>
      <c r="AL27">
        <f>IF(AF27=1,IF($B$3=1,50,(_xlfn.RANK.AVG(AH27,$AH$6:$AH$105,1)-1)/($B$3-1)*100),"")</f>
        <v/>
      </c>
      <c r="AM27">
        <f>IF(AF27=1,IF($B$3=1,50,(_xlfn.RANK.AVG(AI27,$AI$6:$AI$105,1)-1)/($B$3-1)*100),"")</f>
        <v/>
      </c>
      <c r="AN27">
        <f>IF(AF27=1,IF($B$3=1,50,(_xlfn.RANK.AVG(AJ27,$AJ$6:$AJ$105,1)-1)/($B$3-1)*100),"")</f>
        <v/>
      </c>
      <c r="AO27">
        <f>IF(AF27=1,ROUND(AVERAGE(AK27:AN27),6),"")</f>
        <v/>
      </c>
      <c r="AP27">
        <f>IF(AND(AF27=1,C27&lt;&gt;"Y"),R27,"")</f>
        <v/>
      </c>
      <c r="AQ27">
        <f>IF(AND(ISNUMBER(AP27),Q27="편입 후보"),AP27+(1000-ROW())/1000000,"")</f>
        <v/>
      </c>
      <c r="AR27">
        <f>IF(A27="","",_xlfn.TEXTJOIN(", ",TRUE,IF(D27="Y","금융·리츠",""),IF(NOT(ISNUMBER(I27)),"영업이익 없음",IF(I27&lt;=0,"영업적자","")),IF(OR(NOT(ISNUMBER(G27)),NOT(ISNUMBER(H27))),"부채비율 자료 없음",IF(G27&lt;=0,"자본잠식",IF(H27/G27&gt;'설정'!$B$8,"부채비율 초과",""))),IF(NOT(ISNUMBER(L27)),"시총 없음",IF(L27&lt;'설정'!$B$9,"시총 미달",""))))</f>
        <v/>
      </c>
    </row>
    <row r="28">
      <c r="A28" s="18" t="n"/>
      <c r="B28" s="19" t="n"/>
      <c r="C28" s="19" t="n"/>
      <c r="D28" s="19" t="n"/>
      <c r="E28" s="19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7">
        <f>IF(A28="","",IF(C28="Y",IF(AF28=1,IF(AND(R28&lt;'설정'!$B$6,ISNUMBER($H$3)),IF(ROUND($H$3-R28,1)&gt;='설정'!$B$7,"교체 제안 → "&amp;$E$3&amp;" ("&amp;TEXT($H$3,"0.0")&amp;")","보유 유지"),"보유 유지"),"보유 · 점수 없음"),IF(AF28=1,IF(R28&gt;='설정'!$B$5,"편입 후보",""),"")))</f>
        <v/>
      </c>
      <c r="R28" s="15">
        <f>IF(AF28=1,ROUND(IF($B$3=1,50,(_xlfn.RANK.AVG(AO28,$AO$6:$AO$105,1)-1)/($B$3-1)*100),1),"")</f>
        <v/>
      </c>
      <c r="S28">
        <f>IF(A28="","",IF(AF28=1,_xlfn.TEXTJOIN(". ",TRUE,_xlfn.TEXTJOIN(", ",TRUE,IF(AK28&gt;='설정'!$B$20,"수익성 높음",""),IF(AL28&gt;='설정'!$B$20,"성장 빠름",""),IF(AM28&gt;='설정'!$B$20,"가격 쌈",""),IF(AN28&gt;='설정'!$B$20,"추세 좋음","")),_xlfn.TEXTJOIN(", ",TRUE,IF(AK28&lt;'설정'!$B$21,"수익성 낮음",""),IF(AL28&lt;'설정'!$B$21,"성장 느림",""),IF(AM28&lt;'설정'!$B$21,"가격 비쌈",""),IF(AN28&lt;'설정'!$B$21,"추세 약함","")),IF(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="","","보통: "&amp;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)),IF(X28="통과",AE28,X28)))</f>
        <v/>
      </c>
      <c r="T28">
        <f>IF(AF28=1,TEXT(Z28,"0.0%")&amp;" · 상위 "&amp;TEXT(($B$3-_xlfn.RANK.AVG(AG28,$AG$6:$AG$105,1)+1)/$B$3*100,"0")&amp;"%",IF(A28="","",IF(Z28="","결측",TEXT(Z28,"0.0%"))))</f>
        <v/>
      </c>
      <c r="U28">
        <f>IF(AF28=1,TEXT(AA28,"0.0%")&amp;" · 상위 "&amp;TEXT(($B$3-_xlfn.RANK.AVG(AH28,$AH$6:$AH$105,1)+1)/$B$3*100,"0")&amp;"%",IF(A28="","",IF(AA28="","결측",TEXT(AA28,"0.0%"))))</f>
        <v/>
      </c>
      <c r="V28">
        <f>IF(AF28=1,TEXT(AB28,"0.0%")&amp;" · 상위 "&amp;TEXT(($B$3-_xlfn.RANK.AVG(AI28,$AI$6:$AI$105,1)+1)/$B$3*100,"0")&amp;"%",IF(A28="","",IF(AB28="","결측",TEXT(AB28,"0.0%"))))</f>
        <v/>
      </c>
      <c r="W28">
        <f>IF(AF28=1,TEXT(AC28,"0.0%")&amp;" · 상위 "&amp;TEXT(($B$3-_xlfn.RANK.AVG(AJ28,$AJ$6:$AJ$105,1)+1)/$B$3*100,"0")&amp;"%",IF(A28="","",IF(AC28="","결측",TEXT(AC28,"0.0%"))))</f>
        <v/>
      </c>
      <c r="X28">
        <f>IF(A28="","",IF(AR28="","통과","제외: "&amp;AR28))</f>
        <v/>
      </c>
      <c r="Y28" s="21">
        <f>IF(AND(ISNUMBER(G28),ISNUMBER(H28)),IF(G28&gt;0,H28/G28,""),"")</f>
        <v/>
      </c>
      <c r="Z28" s="22">
        <f>IF(AND(ISNUMBER(F28),ISNUMBER(G28)),IF(G28&gt;0,F28/G28,""),"")</f>
        <v/>
      </c>
      <c r="AA28" s="22">
        <f>IF(AND(ISNUMBER(J28),ISNUMBER(K28)),IF(AND(J28&gt;0,K28&gt;0),(J28/K28)^(1/3)-1,""),"")</f>
        <v/>
      </c>
      <c r="AB28" s="22">
        <f>IF(AND(ISNUMBER(I28),ISNUMBER(L28),ISNUMBER(M28),ISNUMBER(N28)),IF((L28+M28-N28)&gt;0,I28/(L28+M28-N28),""),"")</f>
        <v/>
      </c>
      <c r="AC28" s="22">
        <f>IF(AND(ISNUMBER(O28),ISNUMBER(P28)),IF(AND(O28&gt;0,P28&gt;0),P28/O28-1,""),"")</f>
        <v/>
      </c>
      <c r="AD28">
        <f>_xlfn.TEXTJOIN(", ",TRUE,IF(Z28="","ROE",""),IF(AA28="","매출성장률",""),IF(AB28="","이익수익률",""),IF(AC28="","12-1 수익률",""))</f>
        <v/>
      </c>
      <c r="AE28">
        <f>IF(A28="","",IF(AR28&lt;&gt;"","점수 없음(거름망)",IF(AD28="","채점","점수 없음(결측: "&amp;AD28&amp;")")))</f>
        <v/>
      </c>
      <c r="AF28">
        <f>IF(AE28="채점",1,"")</f>
        <v/>
      </c>
      <c r="AG28">
        <f>IF(AF28=1,Z28,"")</f>
        <v/>
      </c>
      <c r="AH28">
        <f>IF(AF28=1,AA28,"")</f>
        <v/>
      </c>
      <c r="AI28">
        <f>IF(AF28=1,AB28,"")</f>
        <v/>
      </c>
      <c r="AJ28">
        <f>IF(AF28=1,AC28,"")</f>
        <v/>
      </c>
      <c r="AK28">
        <f>IF(AF28=1,IF($B$3=1,50,(_xlfn.RANK.AVG(AG28,$AG$6:$AG$105,1)-1)/($B$3-1)*100),"")</f>
        <v/>
      </c>
      <c r="AL28">
        <f>IF(AF28=1,IF($B$3=1,50,(_xlfn.RANK.AVG(AH28,$AH$6:$AH$105,1)-1)/($B$3-1)*100),"")</f>
        <v/>
      </c>
      <c r="AM28">
        <f>IF(AF28=1,IF($B$3=1,50,(_xlfn.RANK.AVG(AI28,$AI$6:$AI$105,1)-1)/($B$3-1)*100),"")</f>
        <v/>
      </c>
      <c r="AN28">
        <f>IF(AF28=1,IF($B$3=1,50,(_xlfn.RANK.AVG(AJ28,$AJ$6:$AJ$105,1)-1)/($B$3-1)*100),"")</f>
        <v/>
      </c>
      <c r="AO28">
        <f>IF(AF28=1,ROUND(AVERAGE(AK28:AN28),6),"")</f>
        <v/>
      </c>
      <c r="AP28">
        <f>IF(AND(AF28=1,C28&lt;&gt;"Y"),R28,"")</f>
        <v/>
      </c>
      <c r="AQ28">
        <f>IF(AND(ISNUMBER(AP28),Q28="편입 후보"),AP28+(1000-ROW())/1000000,"")</f>
        <v/>
      </c>
      <c r="AR28">
        <f>IF(A28="","",_xlfn.TEXTJOIN(", ",TRUE,IF(D28="Y","금융·리츠",""),IF(NOT(ISNUMBER(I28)),"영업이익 없음",IF(I28&lt;=0,"영업적자","")),IF(OR(NOT(ISNUMBER(G28)),NOT(ISNUMBER(H28))),"부채비율 자료 없음",IF(G28&lt;=0,"자본잠식",IF(H28/G28&gt;'설정'!$B$8,"부채비율 초과",""))),IF(NOT(ISNUMBER(L28)),"시총 없음",IF(L28&lt;'설정'!$B$9,"시총 미달",""))))</f>
        <v/>
      </c>
    </row>
    <row r="29">
      <c r="A29" s="18" t="n"/>
      <c r="B29" s="19" t="n"/>
      <c r="C29" s="19" t="n"/>
      <c r="D29" s="19" t="n"/>
      <c r="E29" s="19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7">
        <f>IF(A29="","",IF(C29="Y",IF(AF29=1,IF(AND(R29&lt;'설정'!$B$6,ISNUMBER($H$3)),IF(ROUND($H$3-R29,1)&gt;='설정'!$B$7,"교체 제안 → "&amp;$E$3&amp;" ("&amp;TEXT($H$3,"0.0")&amp;")","보유 유지"),"보유 유지"),"보유 · 점수 없음"),IF(AF29=1,IF(R29&gt;='설정'!$B$5,"편입 후보",""),"")))</f>
        <v/>
      </c>
      <c r="R29" s="15">
        <f>IF(AF29=1,ROUND(IF($B$3=1,50,(_xlfn.RANK.AVG(AO29,$AO$6:$AO$105,1)-1)/($B$3-1)*100),1),"")</f>
        <v/>
      </c>
      <c r="S29">
        <f>IF(A29="","",IF(AF29=1,_xlfn.TEXTJOIN(". ",TRUE,_xlfn.TEXTJOIN(", ",TRUE,IF(AK29&gt;='설정'!$B$20,"수익성 높음",""),IF(AL29&gt;='설정'!$B$20,"성장 빠름",""),IF(AM29&gt;='설정'!$B$20,"가격 쌈",""),IF(AN29&gt;='설정'!$B$20,"추세 좋음","")),_xlfn.TEXTJOIN(", ",TRUE,IF(AK29&lt;'설정'!$B$21,"수익성 낮음",""),IF(AL29&lt;'설정'!$B$21,"성장 느림",""),IF(AM29&lt;'설정'!$B$21,"가격 비쌈",""),IF(AN29&lt;'설정'!$B$21,"추세 약함","")),IF(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="","","보통: "&amp;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)),IF(X29="통과",AE29,X29)))</f>
        <v/>
      </c>
      <c r="T29">
        <f>IF(AF29=1,TEXT(Z29,"0.0%")&amp;" · 상위 "&amp;TEXT(($B$3-_xlfn.RANK.AVG(AG29,$AG$6:$AG$105,1)+1)/$B$3*100,"0")&amp;"%",IF(A29="","",IF(Z29="","결측",TEXT(Z29,"0.0%"))))</f>
        <v/>
      </c>
      <c r="U29">
        <f>IF(AF29=1,TEXT(AA29,"0.0%")&amp;" · 상위 "&amp;TEXT(($B$3-_xlfn.RANK.AVG(AH29,$AH$6:$AH$105,1)+1)/$B$3*100,"0")&amp;"%",IF(A29="","",IF(AA29="","결측",TEXT(AA29,"0.0%"))))</f>
        <v/>
      </c>
      <c r="V29">
        <f>IF(AF29=1,TEXT(AB29,"0.0%")&amp;" · 상위 "&amp;TEXT(($B$3-_xlfn.RANK.AVG(AI29,$AI$6:$AI$105,1)+1)/$B$3*100,"0")&amp;"%",IF(A29="","",IF(AB29="","결측",TEXT(AB29,"0.0%"))))</f>
        <v/>
      </c>
      <c r="W29">
        <f>IF(AF29=1,TEXT(AC29,"0.0%")&amp;" · 상위 "&amp;TEXT(($B$3-_xlfn.RANK.AVG(AJ29,$AJ$6:$AJ$105,1)+1)/$B$3*100,"0")&amp;"%",IF(A29="","",IF(AC29="","결측",TEXT(AC29,"0.0%"))))</f>
        <v/>
      </c>
      <c r="X29">
        <f>IF(A29="","",IF(AR29="","통과","제외: "&amp;AR29))</f>
        <v/>
      </c>
      <c r="Y29" s="21">
        <f>IF(AND(ISNUMBER(G29),ISNUMBER(H29)),IF(G29&gt;0,H29/G29,""),"")</f>
        <v/>
      </c>
      <c r="Z29" s="22">
        <f>IF(AND(ISNUMBER(F29),ISNUMBER(G29)),IF(G29&gt;0,F29/G29,""),"")</f>
        <v/>
      </c>
      <c r="AA29" s="22">
        <f>IF(AND(ISNUMBER(J29),ISNUMBER(K29)),IF(AND(J29&gt;0,K29&gt;0),(J29/K29)^(1/3)-1,""),"")</f>
        <v/>
      </c>
      <c r="AB29" s="22">
        <f>IF(AND(ISNUMBER(I29),ISNUMBER(L29),ISNUMBER(M29),ISNUMBER(N29)),IF((L29+M29-N29)&gt;0,I29/(L29+M29-N29),""),"")</f>
        <v/>
      </c>
      <c r="AC29" s="22">
        <f>IF(AND(ISNUMBER(O29),ISNUMBER(P29)),IF(AND(O29&gt;0,P29&gt;0),P29/O29-1,""),"")</f>
        <v/>
      </c>
      <c r="AD29">
        <f>_xlfn.TEXTJOIN(", ",TRUE,IF(Z29="","ROE",""),IF(AA29="","매출성장률",""),IF(AB29="","이익수익률",""),IF(AC29="","12-1 수익률",""))</f>
        <v/>
      </c>
      <c r="AE29">
        <f>IF(A29="","",IF(AR29&lt;&gt;"","점수 없음(거름망)",IF(AD29="","채점","점수 없음(결측: "&amp;AD29&amp;")")))</f>
        <v/>
      </c>
      <c r="AF29">
        <f>IF(AE29="채점",1,"")</f>
        <v/>
      </c>
      <c r="AG29">
        <f>IF(AF29=1,Z29,"")</f>
        <v/>
      </c>
      <c r="AH29">
        <f>IF(AF29=1,AA29,"")</f>
        <v/>
      </c>
      <c r="AI29">
        <f>IF(AF29=1,AB29,"")</f>
        <v/>
      </c>
      <c r="AJ29">
        <f>IF(AF29=1,AC29,"")</f>
        <v/>
      </c>
      <c r="AK29">
        <f>IF(AF29=1,IF($B$3=1,50,(_xlfn.RANK.AVG(AG29,$AG$6:$AG$105,1)-1)/($B$3-1)*100),"")</f>
        <v/>
      </c>
      <c r="AL29">
        <f>IF(AF29=1,IF($B$3=1,50,(_xlfn.RANK.AVG(AH29,$AH$6:$AH$105,1)-1)/($B$3-1)*100),"")</f>
        <v/>
      </c>
      <c r="AM29">
        <f>IF(AF29=1,IF($B$3=1,50,(_xlfn.RANK.AVG(AI29,$AI$6:$AI$105,1)-1)/($B$3-1)*100),"")</f>
        <v/>
      </c>
      <c r="AN29">
        <f>IF(AF29=1,IF($B$3=1,50,(_xlfn.RANK.AVG(AJ29,$AJ$6:$AJ$105,1)-1)/($B$3-1)*100),"")</f>
        <v/>
      </c>
      <c r="AO29">
        <f>IF(AF29=1,ROUND(AVERAGE(AK29:AN29),6),"")</f>
        <v/>
      </c>
      <c r="AP29">
        <f>IF(AND(AF29=1,C29&lt;&gt;"Y"),R29,"")</f>
        <v/>
      </c>
      <c r="AQ29">
        <f>IF(AND(ISNUMBER(AP29),Q29="편입 후보"),AP29+(1000-ROW())/1000000,"")</f>
        <v/>
      </c>
      <c r="AR29">
        <f>IF(A29="","",_xlfn.TEXTJOIN(", ",TRUE,IF(D29="Y","금융·리츠",""),IF(NOT(ISNUMBER(I29)),"영업이익 없음",IF(I29&lt;=0,"영업적자","")),IF(OR(NOT(ISNUMBER(G29)),NOT(ISNUMBER(H29))),"부채비율 자료 없음",IF(G29&lt;=0,"자본잠식",IF(H29/G29&gt;'설정'!$B$8,"부채비율 초과",""))),IF(NOT(ISNUMBER(L29)),"시총 없음",IF(L29&lt;'설정'!$B$9,"시총 미달",""))))</f>
        <v/>
      </c>
    </row>
    <row r="30">
      <c r="A30" s="18" t="n"/>
      <c r="B30" s="19" t="n"/>
      <c r="C30" s="19" t="n"/>
      <c r="D30" s="19" t="n"/>
      <c r="E30" s="19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7">
        <f>IF(A30="","",IF(C30="Y",IF(AF30=1,IF(AND(R30&lt;'설정'!$B$6,ISNUMBER($H$3)),IF(ROUND($H$3-R30,1)&gt;='설정'!$B$7,"교체 제안 → "&amp;$E$3&amp;" ("&amp;TEXT($H$3,"0.0")&amp;")","보유 유지"),"보유 유지"),"보유 · 점수 없음"),IF(AF30=1,IF(R30&gt;='설정'!$B$5,"편입 후보",""),"")))</f>
        <v/>
      </c>
      <c r="R30" s="15">
        <f>IF(AF30=1,ROUND(IF($B$3=1,50,(_xlfn.RANK.AVG(AO30,$AO$6:$AO$105,1)-1)/($B$3-1)*100),1),"")</f>
        <v/>
      </c>
      <c r="S30">
        <f>IF(A30="","",IF(AF30=1,_xlfn.TEXTJOIN(". ",TRUE,_xlfn.TEXTJOIN(", ",TRUE,IF(AK30&gt;='설정'!$B$20,"수익성 높음",""),IF(AL30&gt;='설정'!$B$20,"성장 빠름",""),IF(AM30&gt;='설정'!$B$20,"가격 쌈",""),IF(AN30&gt;='설정'!$B$20,"추세 좋음","")),_xlfn.TEXTJOIN(", ",TRUE,IF(AK30&lt;'설정'!$B$21,"수익성 낮음",""),IF(AL30&lt;'설정'!$B$21,"성장 느림",""),IF(AM30&lt;'설정'!$B$21,"가격 비쌈",""),IF(AN30&lt;'설정'!$B$21,"추세 약함","")),IF(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="","","보통: "&amp;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)),IF(X30="통과",AE30,X30)))</f>
        <v/>
      </c>
      <c r="T30">
        <f>IF(AF30=1,TEXT(Z30,"0.0%")&amp;" · 상위 "&amp;TEXT(($B$3-_xlfn.RANK.AVG(AG30,$AG$6:$AG$105,1)+1)/$B$3*100,"0")&amp;"%",IF(A30="","",IF(Z30="","결측",TEXT(Z30,"0.0%"))))</f>
        <v/>
      </c>
      <c r="U30">
        <f>IF(AF30=1,TEXT(AA30,"0.0%")&amp;" · 상위 "&amp;TEXT(($B$3-_xlfn.RANK.AVG(AH30,$AH$6:$AH$105,1)+1)/$B$3*100,"0")&amp;"%",IF(A30="","",IF(AA30="","결측",TEXT(AA30,"0.0%"))))</f>
        <v/>
      </c>
      <c r="V30">
        <f>IF(AF30=1,TEXT(AB30,"0.0%")&amp;" · 상위 "&amp;TEXT(($B$3-_xlfn.RANK.AVG(AI30,$AI$6:$AI$105,1)+1)/$B$3*100,"0")&amp;"%",IF(A30="","",IF(AB30="","결측",TEXT(AB30,"0.0%"))))</f>
        <v/>
      </c>
      <c r="W30">
        <f>IF(AF30=1,TEXT(AC30,"0.0%")&amp;" · 상위 "&amp;TEXT(($B$3-_xlfn.RANK.AVG(AJ30,$AJ$6:$AJ$105,1)+1)/$B$3*100,"0")&amp;"%",IF(A30="","",IF(AC30="","결측",TEXT(AC30,"0.0%"))))</f>
        <v/>
      </c>
      <c r="X30">
        <f>IF(A30="","",IF(AR30="","통과","제외: "&amp;AR30))</f>
        <v/>
      </c>
      <c r="Y30" s="21">
        <f>IF(AND(ISNUMBER(G30),ISNUMBER(H30)),IF(G30&gt;0,H30/G30,""),"")</f>
        <v/>
      </c>
      <c r="Z30" s="22">
        <f>IF(AND(ISNUMBER(F30),ISNUMBER(G30)),IF(G30&gt;0,F30/G30,""),"")</f>
        <v/>
      </c>
      <c r="AA30" s="22">
        <f>IF(AND(ISNUMBER(J30),ISNUMBER(K30)),IF(AND(J30&gt;0,K30&gt;0),(J30/K30)^(1/3)-1,""),"")</f>
        <v/>
      </c>
      <c r="AB30" s="22">
        <f>IF(AND(ISNUMBER(I30),ISNUMBER(L30),ISNUMBER(M30),ISNUMBER(N30)),IF((L30+M30-N30)&gt;0,I30/(L30+M30-N30),""),"")</f>
        <v/>
      </c>
      <c r="AC30" s="22">
        <f>IF(AND(ISNUMBER(O30),ISNUMBER(P30)),IF(AND(O30&gt;0,P30&gt;0),P30/O30-1,""),"")</f>
        <v/>
      </c>
      <c r="AD30">
        <f>_xlfn.TEXTJOIN(", ",TRUE,IF(Z30="","ROE",""),IF(AA30="","매출성장률",""),IF(AB30="","이익수익률",""),IF(AC30="","12-1 수익률",""))</f>
        <v/>
      </c>
      <c r="AE30">
        <f>IF(A30="","",IF(AR30&lt;&gt;"","점수 없음(거름망)",IF(AD30="","채점","점수 없음(결측: "&amp;AD30&amp;")")))</f>
        <v/>
      </c>
      <c r="AF30">
        <f>IF(AE30="채점",1,"")</f>
        <v/>
      </c>
      <c r="AG30">
        <f>IF(AF30=1,Z30,"")</f>
        <v/>
      </c>
      <c r="AH30">
        <f>IF(AF30=1,AA30,"")</f>
        <v/>
      </c>
      <c r="AI30">
        <f>IF(AF30=1,AB30,"")</f>
        <v/>
      </c>
      <c r="AJ30">
        <f>IF(AF30=1,AC30,"")</f>
        <v/>
      </c>
      <c r="AK30">
        <f>IF(AF30=1,IF($B$3=1,50,(_xlfn.RANK.AVG(AG30,$AG$6:$AG$105,1)-1)/($B$3-1)*100),"")</f>
        <v/>
      </c>
      <c r="AL30">
        <f>IF(AF30=1,IF($B$3=1,50,(_xlfn.RANK.AVG(AH30,$AH$6:$AH$105,1)-1)/($B$3-1)*100),"")</f>
        <v/>
      </c>
      <c r="AM30">
        <f>IF(AF30=1,IF($B$3=1,50,(_xlfn.RANK.AVG(AI30,$AI$6:$AI$105,1)-1)/($B$3-1)*100),"")</f>
        <v/>
      </c>
      <c r="AN30">
        <f>IF(AF30=1,IF($B$3=1,50,(_xlfn.RANK.AVG(AJ30,$AJ$6:$AJ$105,1)-1)/($B$3-1)*100),"")</f>
        <v/>
      </c>
      <c r="AO30">
        <f>IF(AF30=1,ROUND(AVERAGE(AK30:AN30),6),"")</f>
        <v/>
      </c>
      <c r="AP30">
        <f>IF(AND(AF30=1,C30&lt;&gt;"Y"),R30,"")</f>
        <v/>
      </c>
      <c r="AQ30">
        <f>IF(AND(ISNUMBER(AP30),Q30="편입 후보"),AP30+(1000-ROW())/1000000,"")</f>
        <v/>
      </c>
      <c r="AR30">
        <f>IF(A30="","",_xlfn.TEXTJOIN(", ",TRUE,IF(D30="Y","금융·리츠",""),IF(NOT(ISNUMBER(I30)),"영업이익 없음",IF(I30&lt;=0,"영업적자","")),IF(OR(NOT(ISNUMBER(G30)),NOT(ISNUMBER(H30))),"부채비율 자료 없음",IF(G30&lt;=0,"자본잠식",IF(H30/G30&gt;'설정'!$B$8,"부채비율 초과",""))),IF(NOT(ISNUMBER(L30)),"시총 없음",IF(L30&lt;'설정'!$B$9,"시총 미달",""))))</f>
        <v/>
      </c>
    </row>
    <row r="31">
      <c r="A31" s="18" t="n"/>
      <c r="B31" s="19" t="n"/>
      <c r="C31" s="19" t="n"/>
      <c r="D31" s="19" t="n"/>
      <c r="E31" s="19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7">
        <f>IF(A31="","",IF(C31="Y",IF(AF31=1,IF(AND(R31&lt;'설정'!$B$6,ISNUMBER($H$3)),IF(ROUND($H$3-R31,1)&gt;='설정'!$B$7,"교체 제안 → "&amp;$E$3&amp;" ("&amp;TEXT($H$3,"0.0")&amp;")","보유 유지"),"보유 유지"),"보유 · 점수 없음"),IF(AF31=1,IF(R31&gt;='설정'!$B$5,"편입 후보",""),"")))</f>
        <v/>
      </c>
      <c r="R31" s="15">
        <f>IF(AF31=1,ROUND(IF($B$3=1,50,(_xlfn.RANK.AVG(AO31,$AO$6:$AO$105,1)-1)/($B$3-1)*100),1),"")</f>
        <v/>
      </c>
      <c r="S31">
        <f>IF(A31="","",IF(AF31=1,_xlfn.TEXTJOIN(". ",TRUE,_xlfn.TEXTJOIN(", ",TRUE,IF(AK31&gt;='설정'!$B$20,"수익성 높음",""),IF(AL31&gt;='설정'!$B$20,"성장 빠름",""),IF(AM31&gt;='설정'!$B$20,"가격 쌈",""),IF(AN31&gt;='설정'!$B$20,"추세 좋음","")),_xlfn.TEXTJOIN(", ",TRUE,IF(AK31&lt;'설정'!$B$21,"수익성 낮음",""),IF(AL31&lt;'설정'!$B$21,"성장 느림",""),IF(AM31&lt;'설정'!$B$21,"가격 비쌈",""),IF(AN31&lt;'설정'!$B$21,"추세 약함","")),IF(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="","","보통: "&amp;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)),IF(X31="통과",AE31,X31)))</f>
        <v/>
      </c>
      <c r="T31">
        <f>IF(AF31=1,TEXT(Z31,"0.0%")&amp;" · 상위 "&amp;TEXT(($B$3-_xlfn.RANK.AVG(AG31,$AG$6:$AG$105,1)+1)/$B$3*100,"0")&amp;"%",IF(A31="","",IF(Z31="","결측",TEXT(Z31,"0.0%"))))</f>
        <v/>
      </c>
      <c r="U31">
        <f>IF(AF31=1,TEXT(AA31,"0.0%")&amp;" · 상위 "&amp;TEXT(($B$3-_xlfn.RANK.AVG(AH31,$AH$6:$AH$105,1)+1)/$B$3*100,"0")&amp;"%",IF(A31="","",IF(AA31="","결측",TEXT(AA31,"0.0%"))))</f>
        <v/>
      </c>
      <c r="V31">
        <f>IF(AF31=1,TEXT(AB31,"0.0%")&amp;" · 상위 "&amp;TEXT(($B$3-_xlfn.RANK.AVG(AI31,$AI$6:$AI$105,1)+1)/$B$3*100,"0")&amp;"%",IF(A31="","",IF(AB31="","결측",TEXT(AB31,"0.0%"))))</f>
        <v/>
      </c>
      <c r="W31">
        <f>IF(AF31=1,TEXT(AC31,"0.0%")&amp;" · 상위 "&amp;TEXT(($B$3-_xlfn.RANK.AVG(AJ31,$AJ$6:$AJ$105,1)+1)/$B$3*100,"0")&amp;"%",IF(A31="","",IF(AC31="","결측",TEXT(AC31,"0.0%"))))</f>
        <v/>
      </c>
      <c r="X31">
        <f>IF(A31="","",IF(AR31="","통과","제외: "&amp;AR31))</f>
        <v/>
      </c>
      <c r="Y31" s="21">
        <f>IF(AND(ISNUMBER(G31),ISNUMBER(H31)),IF(G31&gt;0,H31/G31,""),"")</f>
        <v/>
      </c>
      <c r="Z31" s="22">
        <f>IF(AND(ISNUMBER(F31),ISNUMBER(G31)),IF(G31&gt;0,F31/G31,""),"")</f>
        <v/>
      </c>
      <c r="AA31" s="22">
        <f>IF(AND(ISNUMBER(J31),ISNUMBER(K31)),IF(AND(J31&gt;0,K31&gt;0),(J31/K31)^(1/3)-1,""),"")</f>
        <v/>
      </c>
      <c r="AB31" s="22">
        <f>IF(AND(ISNUMBER(I31),ISNUMBER(L31),ISNUMBER(M31),ISNUMBER(N31)),IF((L31+M31-N31)&gt;0,I31/(L31+M31-N31),""),"")</f>
        <v/>
      </c>
      <c r="AC31" s="22">
        <f>IF(AND(ISNUMBER(O31),ISNUMBER(P31)),IF(AND(O31&gt;0,P31&gt;0),P31/O31-1,""),"")</f>
        <v/>
      </c>
      <c r="AD31">
        <f>_xlfn.TEXTJOIN(", ",TRUE,IF(Z31="","ROE",""),IF(AA31="","매출성장률",""),IF(AB31="","이익수익률",""),IF(AC31="","12-1 수익률",""))</f>
        <v/>
      </c>
      <c r="AE31">
        <f>IF(A31="","",IF(AR31&lt;&gt;"","점수 없음(거름망)",IF(AD31="","채점","점수 없음(결측: "&amp;AD31&amp;")")))</f>
        <v/>
      </c>
      <c r="AF31">
        <f>IF(AE31="채점",1,"")</f>
        <v/>
      </c>
      <c r="AG31">
        <f>IF(AF31=1,Z31,"")</f>
        <v/>
      </c>
      <c r="AH31">
        <f>IF(AF31=1,AA31,"")</f>
        <v/>
      </c>
      <c r="AI31">
        <f>IF(AF31=1,AB31,"")</f>
        <v/>
      </c>
      <c r="AJ31">
        <f>IF(AF31=1,AC31,"")</f>
        <v/>
      </c>
      <c r="AK31">
        <f>IF(AF31=1,IF($B$3=1,50,(_xlfn.RANK.AVG(AG31,$AG$6:$AG$105,1)-1)/($B$3-1)*100),"")</f>
        <v/>
      </c>
      <c r="AL31">
        <f>IF(AF31=1,IF($B$3=1,50,(_xlfn.RANK.AVG(AH31,$AH$6:$AH$105,1)-1)/($B$3-1)*100),"")</f>
        <v/>
      </c>
      <c r="AM31">
        <f>IF(AF31=1,IF($B$3=1,50,(_xlfn.RANK.AVG(AI31,$AI$6:$AI$105,1)-1)/($B$3-1)*100),"")</f>
        <v/>
      </c>
      <c r="AN31">
        <f>IF(AF31=1,IF($B$3=1,50,(_xlfn.RANK.AVG(AJ31,$AJ$6:$AJ$105,1)-1)/($B$3-1)*100),"")</f>
        <v/>
      </c>
      <c r="AO31">
        <f>IF(AF31=1,ROUND(AVERAGE(AK31:AN31),6),"")</f>
        <v/>
      </c>
      <c r="AP31">
        <f>IF(AND(AF31=1,C31&lt;&gt;"Y"),R31,"")</f>
        <v/>
      </c>
      <c r="AQ31">
        <f>IF(AND(ISNUMBER(AP31),Q31="편입 후보"),AP31+(1000-ROW())/1000000,"")</f>
        <v/>
      </c>
      <c r="AR31">
        <f>IF(A31="","",_xlfn.TEXTJOIN(", ",TRUE,IF(D31="Y","금융·리츠",""),IF(NOT(ISNUMBER(I31)),"영업이익 없음",IF(I31&lt;=0,"영업적자","")),IF(OR(NOT(ISNUMBER(G31)),NOT(ISNUMBER(H31))),"부채비율 자료 없음",IF(G31&lt;=0,"자본잠식",IF(H31/G31&gt;'설정'!$B$8,"부채비율 초과",""))),IF(NOT(ISNUMBER(L31)),"시총 없음",IF(L31&lt;'설정'!$B$9,"시총 미달",""))))</f>
        <v/>
      </c>
    </row>
    <row r="32">
      <c r="A32" s="18" t="n"/>
      <c r="B32" s="19" t="n"/>
      <c r="C32" s="19" t="n"/>
      <c r="D32" s="19" t="n"/>
      <c r="E32" s="19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7">
        <f>IF(A32="","",IF(C32="Y",IF(AF32=1,IF(AND(R32&lt;'설정'!$B$6,ISNUMBER($H$3)),IF(ROUND($H$3-R32,1)&gt;='설정'!$B$7,"교체 제안 → "&amp;$E$3&amp;" ("&amp;TEXT($H$3,"0.0")&amp;")","보유 유지"),"보유 유지"),"보유 · 점수 없음"),IF(AF32=1,IF(R32&gt;='설정'!$B$5,"편입 후보",""),"")))</f>
        <v/>
      </c>
      <c r="R32" s="15">
        <f>IF(AF32=1,ROUND(IF($B$3=1,50,(_xlfn.RANK.AVG(AO32,$AO$6:$AO$105,1)-1)/($B$3-1)*100),1),"")</f>
        <v/>
      </c>
      <c r="S32">
        <f>IF(A32="","",IF(AF32=1,_xlfn.TEXTJOIN(". ",TRUE,_xlfn.TEXTJOIN(", ",TRUE,IF(AK32&gt;='설정'!$B$20,"수익성 높음",""),IF(AL32&gt;='설정'!$B$20,"성장 빠름",""),IF(AM32&gt;='설정'!$B$20,"가격 쌈",""),IF(AN32&gt;='설정'!$B$20,"추세 좋음","")),_xlfn.TEXTJOIN(", ",TRUE,IF(AK32&lt;'설정'!$B$21,"수익성 낮음",""),IF(AL32&lt;'설정'!$B$21,"성장 느림",""),IF(AM32&lt;'설정'!$B$21,"가격 비쌈",""),IF(AN32&lt;'설정'!$B$21,"추세 약함","")),IF(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="","","보통: "&amp;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)),IF(X32="통과",AE32,X32)))</f>
        <v/>
      </c>
      <c r="T32">
        <f>IF(AF32=1,TEXT(Z32,"0.0%")&amp;" · 상위 "&amp;TEXT(($B$3-_xlfn.RANK.AVG(AG32,$AG$6:$AG$105,1)+1)/$B$3*100,"0")&amp;"%",IF(A32="","",IF(Z32="","결측",TEXT(Z32,"0.0%"))))</f>
        <v/>
      </c>
      <c r="U32">
        <f>IF(AF32=1,TEXT(AA32,"0.0%")&amp;" · 상위 "&amp;TEXT(($B$3-_xlfn.RANK.AVG(AH32,$AH$6:$AH$105,1)+1)/$B$3*100,"0")&amp;"%",IF(A32="","",IF(AA32="","결측",TEXT(AA32,"0.0%"))))</f>
        <v/>
      </c>
      <c r="V32">
        <f>IF(AF32=1,TEXT(AB32,"0.0%")&amp;" · 상위 "&amp;TEXT(($B$3-_xlfn.RANK.AVG(AI32,$AI$6:$AI$105,1)+1)/$B$3*100,"0")&amp;"%",IF(A32="","",IF(AB32="","결측",TEXT(AB32,"0.0%"))))</f>
        <v/>
      </c>
      <c r="W32">
        <f>IF(AF32=1,TEXT(AC32,"0.0%")&amp;" · 상위 "&amp;TEXT(($B$3-_xlfn.RANK.AVG(AJ32,$AJ$6:$AJ$105,1)+1)/$B$3*100,"0")&amp;"%",IF(A32="","",IF(AC32="","결측",TEXT(AC32,"0.0%"))))</f>
        <v/>
      </c>
      <c r="X32">
        <f>IF(A32="","",IF(AR32="","통과","제외: "&amp;AR32))</f>
        <v/>
      </c>
      <c r="Y32" s="21">
        <f>IF(AND(ISNUMBER(G32),ISNUMBER(H32)),IF(G32&gt;0,H32/G32,""),"")</f>
        <v/>
      </c>
      <c r="Z32" s="22">
        <f>IF(AND(ISNUMBER(F32),ISNUMBER(G32)),IF(G32&gt;0,F32/G32,""),"")</f>
        <v/>
      </c>
      <c r="AA32" s="22">
        <f>IF(AND(ISNUMBER(J32),ISNUMBER(K32)),IF(AND(J32&gt;0,K32&gt;0),(J32/K32)^(1/3)-1,""),"")</f>
        <v/>
      </c>
      <c r="AB32" s="22">
        <f>IF(AND(ISNUMBER(I32),ISNUMBER(L32),ISNUMBER(M32),ISNUMBER(N32)),IF((L32+M32-N32)&gt;0,I32/(L32+M32-N32),""),"")</f>
        <v/>
      </c>
      <c r="AC32" s="22">
        <f>IF(AND(ISNUMBER(O32),ISNUMBER(P32)),IF(AND(O32&gt;0,P32&gt;0),P32/O32-1,""),"")</f>
        <v/>
      </c>
      <c r="AD32">
        <f>_xlfn.TEXTJOIN(", ",TRUE,IF(Z32="","ROE",""),IF(AA32="","매출성장률",""),IF(AB32="","이익수익률",""),IF(AC32="","12-1 수익률",""))</f>
        <v/>
      </c>
      <c r="AE32">
        <f>IF(A32="","",IF(AR32&lt;&gt;"","점수 없음(거름망)",IF(AD32="","채점","점수 없음(결측: "&amp;AD32&amp;")")))</f>
        <v/>
      </c>
      <c r="AF32">
        <f>IF(AE32="채점",1,"")</f>
        <v/>
      </c>
      <c r="AG32">
        <f>IF(AF32=1,Z32,"")</f>
        <v/>
      </c>
      <c r="AH32">
        <f>IF(AF32=1,AA32,"")</f>
        <v/>
      </c>
      <c r="AI32">
        <f>IF(AF32=1,AB32,"")</f>
        <v/>
      </c>
      <c r="AJ32">
        <f>IF(AF32=1,AC32,"")</f>
        <v/>
      </c>
      <c r="AK32">
        <f>IF(AF32=1,IF($B$3=1,50,(_xlfn.RANK.AVG(AG32,$AG$6:$AG$105,1)-1)/($B$3-1)*100),"")</f>
        <v/>
      </c>
      <c r="AL32">
        <f>IF(AF32=1,IF($B$3=1,50,(_xlfn.RANK.AVG(AH32,$AH$6:$AH$105,1)-1)/($B$3-1)*100),"")</f>
        <v/>
      </c>
      <c r="AM32">
        <f>IF(AF32=1,IF($B$3=1,50,(_xlfn.RANK.AVG(AI32,$AI$6:$AI$105,1)-1)/($B$3-1)*100),"")</f>
        <v/>
      </c>
      <c r="AN32">
        <f>IF(AF32=1,IF($B$3=1,50,(_xlfn.RANK.AVG(AJ32,$AJ$6:$AJ$105,1)-1)/($B$3-1)*100),"")</f>
        <v/>
      </c>
      <c r="AO32">
        <f>IF(AF32=1,ROUND(AVERAGE(AK32:AN32),6),"")</f>
        <v/>
      </c>
      <c r="AP32">
        <f>IF(AND(AF32=1,C32&lt;&gt;"Y"),R32,"")</f>
        <v/>
      </c>
      <c r="AQ32">
        <f>IF(AND(ISNUMBER(AP32),Q32="편입 후보"),AP32+(1000-ROW())/1000000,"")</f>
        <v/>
      </c>
      <c r="AR32">
        <f>IF(A32="","",_xlfn.TEXTJOIN(", ",TRUE,IF(D32="Y","금융·리츠",""),IF(NOT(ISNUMBER(I32)),"영업이익 없음",IF(I32&lt;=0,"영업적자","")),IF(OR(NOT(ISNUMBER(G32)),NOT(ISNUMBER(H32))),"부채비율 자료 없음",IF(G32&lt;=0,"자본잠식",IF(H32/G32&gt;'설정'!$B$8,"부채비율 초과",""))),IF(NOT(ISNUMBER(L32)),"시총 없음",IF(L32&lt;'설정'!$B$9,"시총 미달",""))))</f>
        <v/>
      </c>
    </row>
    <row r="33">
      <c r="A33" s="18" t="n"/>
      <c r="B33" s="19" t="n"/>
      <c r="C33" s="19" t="n"/>
      <c r="D33" s="19" t="n"/>
      <c r="E33" s="19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7">
        <f>IF(A33="","",IF(C33="Y",IF(AF33=1,IF(AND(R33&lt;'설정'!$B$6,ISNUMBER($H$3)),IF(ROUND($H$3-R33,1)&gt;='설정'!$B$7,"교체 제안 → "&amp;$E$3&amp;" ("&amp;TEXT($H$3,"0.0")&amp;")","보유 유지"),"보유 유지"),"보유 · 점수 없음"),IF(AF33=1,IF(R33&gt;='설정'!$B$5,"편입 후보",""),"")))</f>
        <v/>
      </c>
      <c r="R33" s="15">
        <f>IF(AF33=1,ROUND(IF($B$3=1,50,(_xlfn.RANK.AVG(AO33,$AO$6:$AO$105,1)-1)/($B$3-1)*100),1),"")</f>
        <v/>
      </c>
      <c r="S33">
        <f>IF(A33="","",IF(AF33=1,_xlfn.TEXTJOIN(". ",TRUE,_xlfn.TEXTJOIN(", ",TRUE,IF(AK33&gt;='설정'!$B$20,"수익성 높음",""),IF(AL33&gt;='설정'!$B$20,"성장 빠름",""),IF(AM33&gt;='설정'!$B$20,"가격 쌈",""),IF(AN33&gt;='설정'!$B$20,"추세 좋음","")),_xlfn.TEXTJOIN(", ",TRUE,IF(AK33&lt;'설정'!$B$21,"수익성 낮음",""),IF(AL33&lt;'설정'!$B$21,"성장 느림",""),IF(AM33&lt;'설정'!$B$21,"가격 비쌈",""),IF(AN33&lt;'설정'!$B$21,"추세 약함","")),IF(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="","","보통: "&amp;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)),IF(X33="통과",AE33,X33)))</f>
        <v/>
      </c>
      <c r="T33">
        <f>IF(AF33=1,TEXT(Z33,"0.0%")&amp;" · 상위 "&amp;TEXT(($B$3-_xlfn.RANK.AVG(AG33,$AG$6:$AG$105,1)+1)/$B$3*100,"0")&amp;"%",IF(A33="","",IF(Z33="","결측",TEXT(Z33,"0.0%"))))</f>
        <v/>
      </c>
      <c r="U33">
        <f>IF(AF33=1,TEXT(AA33,"0.0%")&amp;" · 상위 "&amp;TEXT(($B$3-_xlfn.RANK.AVG(AH33,$AH$6:$AH$105,1)+1)/$B$3*100,"0")&amp;"%",IF(A33="","",IF(AA33="","결측",TEXT(AA33,"0.0%"))))</f>
        <v/>
      </c>
      <c r="V33">
        <f>IF(AF33=1,TEXT(AB33,"0.0%")&amp;" · 상위 "&amp;TEXT(($B$3-_xlfn.RANK.AVG(AI33,$AI$6:$AI$105,1)+1)/$B$3*100,"0")&amp;"%",IF(A33="","",IF(AB33="","결측",TEXT(AB33,"0.0%"))))</f>
        <v/>
      </c>
      <c r="W33">
        <f>IF(AF33=1,TEXT(AC33,"0.0%")&amp;" · 상위 "&amp;TEXT(($B$3-_xlfn.RANK.AVG(AJ33,$AJ$6:$AJ$105,1)+1)/$B$3*100,"0")&amp;"%",IF(A33="","",IF(AC33="","결측",TEXT(AC33,"0.0%"))))</f>
        <v/>
      </c>
      <c r="X33">
        <f>IF(A33="","",IF(AR33="","통과","제외: "&amp;AR33))</f>
        <v/>
      </c>
      <c r="Y33" s="21">
        <f>IF(AND(ISNUMBER(G33),ISNUMBER(H33)),IF(G33&gt;0,H33/G33,""),"")</f>
        <v/>
      </c>
      <c r="Z33" s="22">
        <f>IF(AND(ISNUMBER(F33),ISNUMBER(G33)),IF(G33&gt;0,F33/G33,""),"")</f>
        <v/>
      </c>
      <c r="AA33" s="22">
        <f>IF(AND(ISNUMBER(J33),ISNUMBER(K33)),IF(AND(J33&gt;0,K33&gt;0),(J33/K33)^(1/3)-1,""),"")</f>
        <v/>
      </c>
      <c r="AB33" s="22">
        <f>IF(AND(ISNUMBER(I33),ISNUMBER(L33),ISNUMBER(M33),ISNUMBER(N33)),IF((L33+M33-N33)&gt;0,I33/(L33+M33-N33),""),"")</f>
        <v/>
      </c>
      <c r="AC33" s="22">
        <f>IF(AND(ISNUMBER(O33),ISNUMBER(P33)),IF(AND(O33&gt;0,P33&gt;0),P33/O33-1,""),"")</f>
        <v/>
      </c>
      <c r="AD33">
        <f>_xlfn.TEXTJOIN(", ",TRUE,IF(Z33="","ROE",""),IF(AA33="","매출성장률",""),IF(AB33="","이익수익률",""),IF(AC33="","12-1 수익률",""))</f>
        <v/>
      </c>
      <c r="AE33">
        <f>IF(A33="","",IF(AR33&lt;&gt;"","점수 없음(거름망)",IF(AD33="","채점","점수 없음(결측: "&amp;AD33&amp;")")))</f>
        <v/>
      </c>
      <c r="AF33">
        <f>IF(AE33="채점",1,"")</f>
        <v/>
      </c>
      <c r="AG33">
        <f>IF(AF33=1,Z33,"")</f>
        <v/>
      </c>
      <c r="AH33">
        <f>IF(AF33=1,AA33,"")</f>
        <v/>
      </c>
      <c r="AI33">
        <f>IF(AF33=1,AB33,"")</f>
        <v/>
      </c>
      <c r="AJ33">
        <f>IF(AF33=1,AC33,"")</f>
        <v/>
      </c>
      <c r="AK33">
        <f>IF(AF33=1,IF($B$3=1,50,(_xlfn.RANK.AVG(AG33,$AG$6:$AG$105,1)-1)/($B$3-1)*100),"")</f>
        <v/>
      </c>
      <c r="AL33">
        <f>IF(AF33=1,IF($B$3=1,50,(_xlfn.RANK.AVG(AH33,$AH$6:$AH$105,1)-1)/($B$3-1)*100),"")</f>
        <v/>
      </c>
      <c r="AM33">
        <f>IF(AF33=1,IF($B$3=1,50,(_xlfn.RANK.AVG(AI33,$AI$6:$AI$105,1)-1)/($B$3-1)*100),"")</f>
        <v/>
      </c>
      <c r="AN33">
        <f>IF(AF33=1,IF($B$3=1,50,(_xlfn.RANK.AVG(AJ33,$AJ$6:$AJ$105,1)-1)/($B$3-1)*100),"")</f>
        <v/>
      </c>
      <c r="AO33">
        <f>IF(AF33=1,ROUND(AVERAGE(AK33:AN33),6),"")</f>
        <v/>
      </c>
      <c r="AP33">
        <f>IF(AND(AF33=1,C33&lt;&gt;"Y"),R33,"")</f>
        <v/>
      </c>
      <c r="AQ33">
        <f>IF(AND(ISNUMBER(AP33),Q33="편입 후보"),AP33+(1000-ROW())/1000000,"")</f>
        <v/>
      </c>
      <c r="AR33">
        <f>IF(A33="","",_xlfn.TEXTJOIN(", ",TRUE,IF(D33="Y","금융·리츠",""),IF(NOT(ISNUMBER(I33)),"영업이익 없음",IF(I33&lt;=0,"영업적자","")),IF(OR(NOT(ISNUMBER(G33)),NOT(ISNUMBER(H33))),"부채비율 자료 없음",IF(G33&lt;=0,"자본잠식",IF(H33/G33&gt;'설정'!$B$8,"부채비율 초과",""))),IF(NOT(ISNUMBER(L33)),"시총 없음",IF(L33&lt;'설정'!$B$9,"시총 미달",""))))</f>
        <v/>
      </c>
    </row>
    <row r="34">
      <c r="A34" s="18" t="n"/>
      <c r="B34" s="19" t="n"/>
      <c r="C34" s="19" t="n"/>
      <c r="D34" s="19" t="n"/>
      <c r="E34" s="19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7">
        <f>IF(A34="","",IF(C34="Y",IF(AF34=1,IF(AND(R34&lt;'설정'!$B$6,ISNUMBER($H$3)),IF(ROUND($H$3-R34,1)&gt;='설정'!$B$7,"교체 제안 → "&amp;$E$3&amp;" ("&amp;TEXT($H$3,"0.0")&amp;")","보유 유지"),"보유 유지"),"보유 · 점수 없음"),IF(AF34=1,IF(R34&gt;='설정'!$B$5,"편입 후보",""),"")))</f>
        <v/>
      </c>
      <c r="R34" s="15">
        <f>IF(AF34=1,ROUND(IF($B$3=1,50,(_xlfn.RANK.AVG(AO34,$AO$6:$AO$105,1)-1)/($B$3-1)*100),1),"")</f>
        <v/>
      </c>
      <c r="S34">
        <f>IF(A34="","",IF(AF34=1,_xlfn.TEXTJOIN(". ",TRUE,_xlfn.TEXTJOIN(", ",TRUE,IF(AK34&gt;='설정'!$B$20,"수익성 높음",""),IF(AL34&gt;='설정'!$B$20,"성장 빠름",""),IF(AM34&gt;='설정'!$B$20,"가격 쌈",""),IF(AN34&gt;='설정'!$B$20,"추세 좋음","")),_xlfn.TEXTJOIN(", ",TRUE,IF(AK34&lt;'설정'!$B$21,"수익성 낮음",""),IF(AL34&lt;'설정'!$B$21,"성장 느림",""),IF(AM34&lt;'설정'!$B$21,"가격 비쌈",""),IF(AN34&lt;'설정'!$B$21,"추세 약함","")),IF(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="","","보통: "&amp;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)),IF(X34="통과",AE34,X34)))</f>
        <v/>
      </c>
      <c r="T34">
        <f>IF(AF34=1,TEXT(Z34,"0.0%")&amp;" · 상위 "&amp;TEXT(($B$3-_xlfn.RANK.AVG(AG34,$AG$6:$AG$105,1)+1)/$B$3*100,"0")&amp;"%",IF(A34="","",IF(Z34="","결측",TEXT(Z34,"0.0%"))))</f>
        <v/>
      </c>
      <c r="U34">
        <f>IF(AF34=1,TEXT(AA34,"0.0%")&amp;" · 상위 "&amp;TEXT(($B$3-_xlfn.RANK.AVG(AH34,$AH$6:$AH$105,1)+1)/$B$3*100,"0")&amp;"%",IF(A34="","",IF(AA34="","결측",TEXT(AA34,"0.0%"))))</f>
        <v/>
      </c>
      <c r="V34">
        <f>IF(AF34=1,TEXT(AB34,"0.0%")&amp;" · 상위 "&amp;TEXT(($B$3-_xlfn.RANK.AVG(AI34,$AI$6:$AI$105,1)+1)/$B$3*100,"0")&amp;"%",IF(A34="","",IF(AB34="","결측",TEXT(AB34,"0.0%"))))</f>
        <v/>
      </c>
      <c r="W34">
        <f>IF(AF34=1,TEXT(AC34,"0.0%")&amp;" · 상위 "&amp;TEXT(($B$3-_xlfn.RANK.AVG(AJ34,$AJ$6:$AJ$105,1)+1)/$B$3*100,"0")&amp;"%",IF(A34="","",IF(AC34="","결측",TEXT(AC34,"0.0%"))))</f>
        <v/>
      </c>
      <c r="X34">
        <f>IF(A34="","",IF(AR34="","통과","제외: "&amp;AR34))</f>
        <v/>
      </c>
      <c r="Y34" s="21">
        <f>IF(AND(ISNUMBER(G34),ISNUMBER(H34)),IF(G34&gt;0,H34/G34,""),"")</f>
        <v/>
      </c>
      <c r="Z34" s="22">
        <f>IF(AND(ISNUMBER(F34),ISNUMBER(G34)),IF(G34&gt;0,F34/G34,""),"")</f>
        <v/>
      </c>
      <c r="AA34" s="22">
        <f>IF(AND(ISNUMBER(J34),ISNUMBER(K34)),IF(AND(J34&gt;0,K34&gt;0),(J34/K34)^(1/3)-1,""),"")</f>
        <v/>
      </c>
      <c r="AB34" s="22">
        <f>IF(AND(ISNUMBER(I34),ISNUMBER(L34),ISNUMBER(M34),ISNUMBER(N34)),IF((L34+M34-N34)&gt;0,I34/(L34+M34-N34),""),"")</f>
        <v/>
      </c>
      <c r="AC34" s="22">
        <f>IF(AND(ISNUMBER(O34),ISNUMBER(P34)),IF(AND(O34&gt;0,P34&gt;0),P34/O34-1,""),"")</f>
        <v/>
      </c>
      <c r="AD34">
        <f>_xlfn.TEXTJOIN(", ",TRUE,IF(Z34="","ROE",""),IF(AA34="","매출성장률",""),IF(AB34="","이익수익률",""),IF(AC34="","12-1 수익률",""))</f>
        <v/>
      </c>
      <c r="AE34">
        <f>IF(A34="","",IF(AR34&lt;&gt;"","점수 없음(거름망)",IF(AD34="","채점","점수 없음(결측: "&amp;AD34&amp;")")))</f>
        <v/>
      </c>
      <c r="AF34">
        <f>IF(AE34="채점",1,"")</f>
        <v/>
      </c>
      <c r="AG34">
        <f>IF(AF34=1,Z34,"")</f>
        <v/>
      </c>
      <c r="AH34">
        <f>IF(AF34=1,AA34,"")</f>
        <v/>
      </c>
      <c r="AI34">
        <f>IF(AF34=1,AB34,"")</f>
        <v/>
      </c>
      <c r="AJ34">
        <f>IF(AF34=1,AC34,"")</f>
        <v/>
      </c>
      <c r="AK34">
        <f>IF(AF34=1,IF($B$3=1,50,(_xlfn.RANK.AVG(AG34,$AG$6:$AG$105,1)-1)/($B$3-1)*100),"")</f>
        <v/>
      </c>
      <c r="AL34">
        <f>IF(AF34=1,IF($B$3=1,50,(_xlfn.RANK.AVG(AH34,$AH$6:$AH$105,1)-1)/($B$3-1)*100),"")</f>
        <v/>
      </c>
      <c r="AM34">
        <f>IF(AF34=1,IF($B$3=1,50,(_xlfn.RANK.AVG(AI34,$AI$6:$AI$105,1)-1)/($B$3-1)*100),"")</f>
        <v/>
      </c>
      <c r="AN34">
        <f>IF(AF34=1,IF($B$3=1,50,(_xlfn.RANK.AVG(AJ34,$AJ$6:$AJ$105,1)-1)/($B$3-1)*100),"")</f>
        <v/>
      </c>
      <c r="AO34">
        <f>IF(AF34=1,ROUND(AVERAGE(AK34:AN34),6),"")</f>
        <v/>
      </c>
      <c r="AP34">
        <f>IF(AND(AF34=1,C34&lt;&gt;"Y"),R34,"")</f>
        <v/>
      </c>
      <c r="AQ34">
        <f>IF(AND(ISNUMBER(AP34),Q34="편입 후보"),AP34+(1000-ROW())/1000000,"")</f>
        <v/>
      </c>
      <c r="AR34">
        <f>IF(A34="","",_xlfn.TEXTJOIN(", ",TRUE,IF(D34="Y","금융·리츠",""),IF(NOT(ISNUMBER(I34)),"영업이익 없음",IF(I34&lt;=0,"영업적자","")),IF(OR(NOT(ISNUMBER(G34)),NOT(ISNUMBER(H34))),"부채비율 자료 없음",IF(G34&lt;=0,"자본잠식",IF(H34/G34&gt;'설정'!$B$8,"부채비율 초과",""))),IF(NOT(ISNUMBER(L34)),"시총 없음",IF(L34&lt;'설정'!$B$9,"시총 미달",""))))</f>
        <v/>
      </c>
    </row>
    <row r="35">
      <c r="A35" s="18" t="n"/>
      <c r="B35" s="19" t="n"/>
      <c r="C35" s="19" t="n"/>
      <c r="D35" s="19" t="n"/>
      <c r="E35" s="19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7">
        <f>IF(A35="","",IF(C35="Y",IF(AF35=1,IF(AND(R35&lt;'설정'!$B$6,ISNUMBER($H$3)),IF(ROUND($H$3-R35,1)&gt;='설정'!$B$7,"교체 제안 → "&amp;$E$3&amp;" ("&amp;TEXT($H$3,"0.0")&amp;")","보유 유지"),"보유 유지"),"보유 · 점수 없음"),IF(AF35=1,IF(R35&gt;='설정'!$B$5,"편입 후보",""),"")))</f>
        <v/>
      </c>
      <c r="R35" s="15">
        <f>IF(AF35=1,ROUND(IF($B$3=1,50,(_xlfn.RANK.AVG(AO35,$AO$6:$AO$105,1)-1)/($B$3-1)*100),1),"")</f>
        <v/>
      </c>
      <c r="S35">
        <f>IF(A35="","",IF(AF35=1,_xlfn.TEXTJOIN(". ",TRUE,_xlfn.TEXTJOIN(", ",TRUE,IF(AK35&gt;='설정'!$B$20,"수익성 높음",""),IF(AL35&gt;='설정'!$B$20,"성장 빠름",""),IF(AM35&gt;='설정'!$B$20,"가격 쌈",""),IF(AN35&gt;='설정'!$B$20,"추세 좋음","")),_xlfn.TEXTJOIN(", ",TRUE,IF(AK35&lt;'설정'!$B$21,"수익성 낮음",""),IF(AL35&lt;'설정'!$B$21,"성장 느림",""),IF(AM35&lt;'설정'!$B$21,"가격 비쌈",""),IF(AN35&lt;'설정'!$B$21,"추세 약함","")),IF(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="","","보통: "&amp;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)),IF(X35="통과",AE35,X35)))</f>
        <v/>
      </c>
      <c r="T35">
        <f>IF(AF35=1,TEXT(Z35,"0.0%")&amp;" · 상위 "&amp;TEXT(($B$3-_xlfn.RANK.AVG(AG35,$AG$6:$AG$105,1)+1)/$B$3*100,"0")&amp;"%",IF(A35="","",IF(Z35="","결측",TEXT(Z35,"0.0%"))))</f>
        <v/>
      </c>
      <c r="U35">
        <f>IF(AF35=1,TEXT(AA35,"0.0%")&amp;" · 상위 "&amp;TEXT(($B$3-_xlfn.RANK.AVG(AH35,$AH$6:$AH$105,1)+1)/$B$3*100,"0")&amp;"%",IF(A35="","",IF(AA35="","결측",TEXT(AA35,"0.0%"))))</f>
        <v/>
      </c>
      <c r="V35">
        <f>IF(AF35=1,TEXT(AB35,"0.0%")&amp;" · 상위 "&amp;TEXT(($B$3-_xlfn.RANK.AVG(AI35,$AI$6:$AI$105,1)+1)/$B$3*100,"0")&amp;"%",IF(A35="","",IF(AB35="","결측",TEXT(AB35,"0.0%"))))</f>
        <v/>
      </c>
      <c r="W35">
        <f>IF(AF35=1,TEXT(AC35,"0.0%")&amp;" · 상위 "&amp;TEXT(($B$3-_xlfn.RANK.AVG(AJ35,$AJ$6:$AJ$105,1)+1)/$B$3*100,"0")&amp;"%",IF(A35="","",IF(AC35="","결측",TEXT(AC35,"0.0%"))))</f>
        <v/>
      </c>
      <c r="X35">
        <f>IF(A35="","",IF(AR35="","통과","제외: "&amp;AR35))</f>
        <v/>
      </c>
      <c r="Y35" s="21">
        <f>IF(AND(ISNUMBER(G35),ISNUMBER(H35)),IF(G35&gt;0,H35/G35,""),"")</f>
        <v/>
      </c>
      <c r="Z35" s="22">
        <f>IF(AND(ISNUMBER(F35),ISNUMBER(G35)),IF(G35&gt;0,F35/G35,""),"")</f>
        <v/>
      </c>
      <c r="AA35" s="22">
        <f>IF(AND(ISNUMBER(J35),ISNUMBER(K35)),IF(AND(J35&gt;0,K35&gt;0),(J35/K35)^(1/3)-1,""),"")</f>
        <v/>
      </c>
      <c r="AB35" s="22">
        <f>IF(AND(ISNUMBER(I35),ISNUMBER(L35),ISNUMBER(M35),ISNUMBER(N35)),IF((L35+M35-N35)&gt;0,I35/(L35+M35-N35),""),"")</f>
        <v/>
      </c>
      <c r="AC35" s="22">
        <f>IF(AND(ISNUMBER(O35),ISNUMBER(P35)),IF(AND(O35&gt;0,P35&gt;0),P35/O35-1,""),"")</f>
        <v/>
      </c>
      <c r="AD35">
        <f>_xlfn.TEXTJOIN(", ",TRUE,IF(Z35="","ROE",""),IF(AA35="","매출성장률",""),IF(AB35="","이익수익률",""),IF(AC35="","12-1 수익률",""))</f>
        <v/>
      </c>
      <c r="AE35">
        <f>IF(A35="","",IF(AR35&lt;&gt;"","점수 없음(거름망)",IF(AD35="","채점","점수 없음(결측: "&amp;AD35&amp;")")))</f>
        <v/>
      </c>
      <c r="AF35">
        <f>IF(AE35="채점",1,"")</f>
        <v/>
      </c>
      <c r="AG35">
        <f>IF(AF35=1,Z35,"")</f>
        <v/>
      </c>
      <c r="AH35">
        <f>IF(AF35=1,AA35,"")</f>
        <v/>
      </c>
      <c r="AI35">
        <f>IF(AF35=1,AB35,"")</f>
        <v/>
      </c>
      <c r="AJ35">
        <f>IF(AF35=1,AC35,"")</f>
        <v/>
      </c>
      <c r="AK35">
        <f>IF(AF35=1,IF($B$3=1,50,(_xlfn.RANK.AVG(AG35,$AG$6:$AG$105,1)-1)/($B$3-1)*100),"")</f>
        <v/>
      </c>
      <c r="AL35">
        <f>IF(AF35=1,IF($B$3=1,50,(_xlfn.RANK.AVG(AH35,$AH$6:$AH$105,1)-1)/($B$3-1)*100),"")</f>
        <v/>
      </c>
      <c r="AM35">
        <f>IF(AF35=1,IF($B$3=1,50,(_xlfn.RANK.AVG(AI35,$AI$6:$AI$105,1)-1)/($B$3-1)*100),"")</f>
        <v/>
      </c>
      <c r="AN35">
        <f>IF(AF35=1,IF($B$3=1,50,(_xlfn.RANK.AVG(AJ35,$AJ$6:$AJ$105,1)-1)/($B$3-1)*100),"")</f>
        <v/>
      </c>
      <c r="AO35">
        <f>IF(AF35=1,ROUND(AVERAGE(AK35:AN35),6),"")</f>
        <v/>
      </c>
      <c r="AP35">
        <f>IF(AND(AF35=1,C35&lt;&gt;"Y"),R35,"")</f>
        <v/>
      </c>
      <c r="AQ35">
        <f>IF(AND(ISNUMBER(AP35),Q35="편입 후보"),AP35+(1000-ROW())/1000000,"")</f>
        <v/>
      </c>
      <c r="AR35">
        <f>IF(A35="","",_xlfn.TEXTJOIN(", ",TRUE,IF(D35="Y","금융·리츠",""),IF(NOT(ISNUMBER(I35)),"영업이익 없음",IF(I35&lt;=0,"영업적자","")),IF(OR(NOT(ISNUMBER(G35)),NOT(ISNUMBER(H35))),"부채비율 자료 없음",IF(G35&lt;=0,"자본잠식",IF(H35/G35&gt;'설정'!$B$8,"부채비율 초과",""))),IF(NOT(ISNUMBER(L35)),"시총 없음",IF(L35&lt;'설정'!$B$9,"시총 미달",""))))</f>
        <v/>
      </c>
    </row>
    <row r="36">
      <c r="A36" s="18" t="n"/>
      <c r="B36" s="19" t="n"/>
      <c r="C36" s="19" t="n"/>
      <c r="D36" s="19" t="n"/>
      <c r="E36" s="19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7">
        <f>IF(A36="","",IF(C36="Y",IF(AF36=1,IF(AND(R36&lt;'설정'!$B$6,ISNUMBER($H$3)),IF(ROUND($H$3-R36,1)&gt;='설정'!$B$7,"교체 제안 → "&amp;$E$3&amp;" ("&amp;TEXT($H$3,"0.0")&amp;")","보유 유지"),"보유 유지"),"보유 · 점수 없음"),IF(AF36=1,IF(R36&gt;='설정'!$B$5,"편입 후보",""),"")))</f>
        <v/>
      </c>
      <c r="R36" s="15">
        <f>IF(AF36=1,ROUND(IF($B$3=1,50,(_xlfn.RANK.AVG(AO36,$AO$6:$AO$105,1)-1)/($B$3-1)*100),1),"")</f>
        <v/>
      </c>
      <c r="S36">
        <f>IF(A36="","",IF(AF36=1,_xlfn.TEXTJOIN(". ",TRUE,_xlfn.TEXTJOIN(", ",TRUE,IF(AK36&gt;='설정'!$B$20,"수익성 높음",""),IF(AL36&gt;='설정'!$B$20,"성장 빠름",""),IF(AM36&gt;='설정'!$B$20,"가격 쌈",""),IF(AN36&gt;='설정'!$B$20,"추세 좋음","")),_xlfn.TEXTJOIN(", ",TRUE,IF(AK36&lt;'설정'!$B$21,"수익성 낮음",""),IF(AL36&lt;'설정'!$B$21,"성장 느림",""),IF(AM36&lt;'설정'!$B$21,"가격 비쌈",""),IF(AN36&lt;'설정'!$B$21,"추세 약함","")),IF(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="","","보통: "&amp;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)),IF(X36="통과",AE36,X36)))</f>
        <v/>
      </c>
      <c r="T36">
        <f>IF(AF36=1,TEXT(Z36,"0.0%")&amp;" · 상위 "&amp;TEXT(($B$3-_xlfn.RANK.AVG(AG36,$AG$6:$AG$105,1)+1)/$B$3*100,"0")&amp;"%",IF(A36="","",IF(Z36="","결측",TEXT(Z36,"0.0%"))))</f>
        <v/>
      </c>
      <c r="U36">
        <f>IF(AF36=1,TEXT(AA36,"0.0%")&amp;" · 상위 "&amp;TEXT(($B$3-_xlfn.RANK.AVG(AH36,$AH$6:$AH$105,1)+1)/$B$3*100,"0")&amp;"%",IF(A36="","",IF(AA36="","결측",TEXT(AA36,"0.0%"))))</f>
        <v/>
      </c>
      <c r="V36">
        <f>IF(AF36=1,TEXT(AB36,"0.0%")&amp;" · 상위 "&amp;TEXT(($B$3-_xlfn.RANK.AVG(AI36,$AI$6:$AI$105,1)+1)/$B$3*100,"0")&amp;"%",IF(A36="","",IF(AB36="","결측",TEXT(AB36,"0.0%"))))</f>
        <v/>
      </c>
      <c r="W36">
        <f>IF(AF36=1,TEXT(AC36,"0.0%")&amp;" · 상위 "&amp;TEXT(($B$3-_xlfn.RANK.AVG(AJ36,$AJ$6:$AJ$105,1)+1)/$B$3*100,"0")&amp;"%",IF(A36="","",IF(AC36="","결측",TEXT(AC36,"0.0%"))))</f>
        <v/>
      </c>
      <c r="X36">
        <f>IF(A36="","",IF(AR36="","통과","제외: "&amp;AR36))</f>
        <v/>
      </c>
      <c r="Y36" s="21">
        <f>IF(AND(ISNUMBER(G36),ISNUMBER(H36)),IF(G36&gt;0,H36/G36,""),"")</f>
        <v/>
      </c>
      <c r="Z36" s="22">
        <f>IF(AND(ISNUMBER(F36),ISNUMBER(G36)),IF(G36&gt;0,F36/G36,""),"")</f>
        <v/>
      </c>
      <c r="AA36" s="22">
        <f>IF(AND(ISNUMBER(J36),ISNUMBER(K36)),IF(AND(J36&gt;0,K36&gt;0),(J36/K36)^(1/3)-1,""),"")</f>
        <v/>
      </c>
      <c r="AB36" s="22">
        <f>IF(AND(ISNUMBER(I36),ISNUMBER(L36),ISNUMBER(M36),ISNUMBER(N36)),IF((L36+M36-N36)&gt;0,I36/(L36+M36-N36),""),"")</f>
        <v/>
      </c>
      <c r="AC36" s="22">
        <f>IF(AND(ISNUMBER(O36),ISNUMBER(P36)),IF(AND(O36&gt;0,P36&gt;0),P36/O36-1,""),"")</f>
        <v/>
      </c>
      <c r="AD36">
        <f>_xlfn.TEXTJOIN(", ",TRUE,IF(Z36="","ROE",""),IF(AA36="","매출성장률",""),IF(AB36="","이익수익률",""),IF(AC36="","12-1 수익률",""))</f>
        <v/>
      </c>
      <c r="AE36">
        <f>IF(A36="","",IF(AR36&lt;&gt;"","점수 없음(거름망)",IF(AD36="","채점","점수 없음(결측: "&amp;AD36&amp;")")))</f>
        <v/>
      </c>
      <c r="AF36">
        <f>IF(AE36="채점",1,"")</f>
        <v/>
      </c>
      <c r="AG36">
        <f>IF(AF36=1,Z36,"")</f>
        <v/>
      </c>
      <c r="AH36">
        <f>IF(AF36=1,AA36,"")</f>
        <v/>
      </c>
      <c r="AI36">
        <f>IF(AF36=1,AB36,"")</f>
        <v/>
      </c>
      <c r="AJ36">
        <f>IF(AF36=1,AC36,"")</f>
        <v/>
      </c>
      <c r="AK36">
        <f>IF(AF36=1,IF($B$3=1,50,(_xlfn.RANK.AVG(AG36,$AG$6:$AG$105,1)-1)/($B$3-1)*100),"")</f>
        <v/>
      </c>
      <c r="AL36">
        <f>IF(AF36=1,IF($B$3=1,50,(_xlfn.RANK.AVG(AH36,$AH$6:$AH$105,1)-1)/($B$3-1)*100),"")</f>
        <v/>
      </c>
      <c r="AM36">
        <f>IF(AF36=1,IF($B$3=1,50,(_xlfn.RANK.AVG(AI36,$AI$6:$AI$105,1)-1)/($B$3-1)*100),"")</f>
        <v/>
      </c>
      <c r="AN36">
        <f>IF(AF36=1,IF($B$3=1,50,(_xlfn.RANK.AVG(AJ36,$AJ$6:$AJ$105,1)-1)/($B$3-1)*100),"")</f>
        <v/>
      </c>
      <c r="AO36">
        <f>IF(AF36=1,ROUND(AVERAGE(AK36:AN36),6),"")</f>
        <v/>
      </c>
      <c r="AP36">
        <f>IF(AND(AF36=1,C36&lt;&gt;"Y"),R36,"")</f>
        <v/>
      </c>
      <c r="AQ36">
        <f>IF(AND(ISNUMBER(AP36),Q36="편입 후보"),AP36+(1000-ROW())/1000000,"")</f>
        <v/>
      </c>
      <c r="AR36">
        <f>IF(A36="","",_xlfn.TEXTJOIN(", ",TRUE,IF(D36="Y","금융·리츠",""),IF(NOT(ISNUMBER(I36)),"영업이익 없음",IF(I36&lt;=0,"영업적자","")),IF(OR(NOT(ISNUMBER(G36)),NOT(ISNUMBER(H36))),"부채비율 자료 없음",IF(G36&lt;=0,"자본잠식",IF(H36/G36&gt;'설정'!$B$8,"부채비율 초과",""))),IF(NOT(ISNUMBER(L36)),"시총 없음",IF(L36&lt;'설정'!$B$9,"시총 미달",""))))</f>
        <v/>
      </c>
    </row>
    <row r="37">
      <c r="A37" s="18" t="n"/>
      <c r="B37" s="19" t="n"/>
      <c r="C37" s="19" t="n"/>
      <c r="D37" s="19" t="n"/>
      <c r="E37" s="19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7">
        <f>IF(A37="","",IF(C37="Y",IF(AF37=1,IF(AND(R37&lt;'설정'!$B$6,ISNUMBER($H$3)),IF(ROUND($H$3-R37,1)&gt;='설정'!$B$7,"교체 제안 → "&amp;$E$3&amp;" ("&amp;TEXT($H$3,"0.0")&amp;")","보유 유지"),"보유 유지"),"보유 · 점수 없음"),IF(AF37=1,IF(R37&gt;='설정'!$B$5,"편입 후보",""),"")))</f>
        <v/>
      </c>
      <c r="R37" s="15">
        <f>IF(AF37=1,ROUND(IF($B$3=1,50,(_xlfn.RANK.AVG(AO37,$AO$6:$AO$105,1)-1)/($B$3-1)*100),1),"")</f>
        <v/>
      </c>
      <c r="S37">
        <f>IF(A37="","",IF(AF37=1,_xlfn.TEXTJOIN(". ",TRUE,_xlfn.TEXTJOIN(", ",TRUE,IF(AK37&gt;='설정'!$B$20,"수익성 높음",""),IF(AL37&gt;='설정'!$B$20,"성장 빠름",""),IF(AM37&gt;='설정'!$B$20,"가격 쌈",""),IF(AN37&gt;='설정'!$B$20,"추세 좋음","")),_xlfn.TEXTJOIN(", ",TRUE,IF(AK37&lt;'설정'!$B$21,"수익성 낮음",""),IF(AL37&lt;'설정'!$B$21,"성장 느림",""),IF(AM37&lt;'설정'!$B$21,"가격 비쌈",""),IF(AN37&lt;'설정'!$B$21,"추세 약함","")),IF(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="","","보통: "&amp;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)),IF(X37="통과",AE37,X37)))</f>
        <v/>
      </c>
      <c r="T37">
        <f>IF(AF37=1,TEXT(Z37,"0.0%")&amp;" · 상위 "&amp;TEXT(($B$3-_xlfn.RANK.AVG(AG37,$AG$6:$AG$105,1)+1)/$B$3*100,"0")&amp;"%",IF(A37="","",IF(Z37="","결측",TEXT(Z37,"0.0%"))))</f>
        <v/>
      </c>
      <c r="U37">
        <f>IF(AF37=1,TEXT(AA37,"0.0%")&amp;" · 상위 "&amp;TEXT(($B$3-_xlfn.RANK.AVG(AH37,$AH$6:$AH$105,1)+1)/$B$3*100,"0")&amp;"%",IF(A37="","",IF(AA37="","결측",TEXT(AA37,"0.0%"))))</f>
        <v/>
      </c>
      <c r="V37">
        <f>IF(AF37=1,TEXT(AB37,"0.0%")&amp;" · 상위 "&amp;TEXT(($B$3-_xlfn.RANK.AVG(AI37,$AI$6:$AI$105,1)+1)/$B$3*100,"0")&amp;"%",IF(A37="","",IF(AB37="","결측",TEXT(AB37,"0.0%"))))</f>
        <v/>
      </c>
      <c r="W37">
        <f>IF(AF37=1,TEXT(AC37,"0.0%")&amp;" · 상위 "&amp;TEXT(($B$3-_xlfn.RANK.AVG(AJ37,$AJ$6:$AJ$105,1)+1)/$B$3*100,"0")&amp;"%",IF(A37="","",IF(AC37="","결측",TEXT(AC37,"0.0%"))))</f>
        <v/>
      </c>
      <c r="X37">
        <f>IF(A37="","",IF(AR37="","통과","제외: "&amp;AR37))</f>
        <v/>
      </c>
      <c r="Y37" s="21">
        <f>IF(AND(ISNUMBER(G37),ISNUMBER(H37)),IF(G37&gt;0,H37/G37,""),"")</f>
        <v/>
      </c>
      <c r="Z37" s="22">
        <f>IF(AND(ISNUMBER(F37),ISNUMBER(G37)),IF(G37&gt;0,F37/G37,""),"")</f>
        <v/>
      </c>
      <c r="AA37" s="22">
        <f>IF(AND(ISNUMBER(J37),ISNUMBER(K37)),IF(AND(J37&gt;0,K37&gt;0),(J37/K37)^(1/3)-1,""),"")</f>
        <v/>
      </c>
      <c r="AB37" s="22">
        <f>IF(AND(ISNUMBER(I37),ISNUMBER(L37),ISNUMBER(M37),ISNUMBER(N37)),IF((L37+M37-N37)&gt;0,I37/(L37+M37-N37),""),"")</f>
        <v/>
      </c>
      <c r="AC37" s="22">
        <f>IF(AND(ISNUMBER(O37),ISNUMBER(P37)),IF(AND(O37&gt;0,P37&gt;0),P37/O37-1,""),"")</f>
        <v/>
      </c>
      <c r="AD37">
        <f>_xlfn.TEXTJOIN(", ",TRUE,IF(Z37="","ROE",""),IF(AA37="","매출성장률",""),IF(AB37="","이익수익률",""),IF(AC37="","12-1 수익률",""))</f>
        <v/>
      </c>
      <c r="AE37">
        <f>IF(A37="","",IF(AR37&lt;&gt;"","점수 없음(거름망)",IF(AD37="","채점","점수 없음(결측: "&amp;AD37&amp;")")))</f>
        <v/>
      </c>
      <c r="AF37">
        <f>IF(AE37="채점",1,"")</f>
        <v/>
      </c>
      <c r="AG37">
        <f>IF(AF37=1,Z37,"")</f>
        <v/>
      </c>
      <c r="AH37">
        <f>IF(AF37=1,AA37,"")</f>
        <v/>
      </c>
      <c r="AI37">
        <f>IF(AF37=1,AB37,"")</f>
        <v/>
      </c>
      <c r="AJ37">
        <f>IF(AF37=1,AC37,"")</f>
        <v/>
      </c>
      <c r="AK37">
        <f>IF(AF37=1,IF($B$3=1,50,(_xlfn.RANK.AVG(AG37,$AG$6:$AG$105,1)-1)/($B$3-1)*100),"")</f>
        <v/>
      </c>
      <c r="AL37">
        <f>IF(AF37=1,IF($B$3=1,50,(_xlfn.RANK.AVG(AH37,$AH$6:$AH$105,1)-1)/($B$3-1)*100),"")</f>
        <v/>
      </c>
      <c r="AM37">
        <f>IF(AF37=1,IF($B$3=1,50,(_xlfn.RANK.AVG(AI37,$AI$6:$AI$105,1)-1)/($B$3-1)*100),"")</f>
        <v/>
      </c>
      <c r="AN37">
        <f>IF(AF37=1,IF($B$3=1,50,(_xlfn.RANK.AVG(AJ37,$AJ$6:$AJ$105,1)-1)/($B$3-1)*100),"")</f>
        <v/>
      </c>
      <c r="AO37">
        <f>IF(AF37=1,ROUND(AVERAGE(AK37:AN37),6),"")</f>
        <v/>
      </c>
      <c r="AP37">
        <f>IF(AND(AF37=1,C37&lt;&gt;"Y"),R37,"")</f>
        <v/>
      </c>
      <c r="AQ37">
        <f>IF(AND(ISNUMBER(AP37),Q37="편입 후보"),AP37+(1000-ROW())/1000000,"")</f>
        <v/>
      </c>
      <c r="AR37">
        <f>IF(A37="","",_xlfn.TEXTJOIN(", ",TRUE,IF(D37="Y","금융·리츠",""),IF(NOT(ISNUMBER(I37)),"영업이익 없음",IF(I37&lt;=0,"영업적자","")),IF(OR(NOT(ISNUMBER(G37)),NOT(ISNUMBER(H37))),"부채비율 자료 없음",IF(G37&lt;=0,"자본잠식",IF(H37/G37&gt;'설정'!$B$8,"부채비율 초과",""))),IF(NOT(ISNUMBER(L37)),"시총 없음",IF(L37&lt;'설정'!$B$9,"시총 미달",""))))</f>
        <v/>
      </c>
    </row>
    <row r="38">
      <c r="A38" s="18" t="n"/>
      <c r="B38" s="19" t="n"/>
      <c r="C38" s="19" t="n"/>
      <c r="D38" s="19" t="n"/>
      <c r="E38" s="19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7">
        <f>IF(A38="","",IF(C38="Y",IF(AF38=1,IF(AND(R38&lt;'설정'!$B$6,ISNUMBER($H$3)),IF(ROUND($H$3-R38,1)&gt;='설정'!$B$7,"교체 제안 → "&amp;$E$3&amp;" ("&amp;TEXT($H$3,"0.0")&amp;")","보유 유지"),"보유 유지"),"보유 · 점수 없음"),IF(AF38=1,IF(R38&gt;='설정'!$B$5,"편입 후보",""),"")))</f>
        <v/>
      </c>
      <c r="R38" s="15">
        <f>IF(AF38=1,ROUND(IF($B$3=1,50,(_xlfn.RANK.AVG(AO38,$AO$6:$AO$105,1)-1)/($B$3-1)*100),1),"")</f>
        <v/>
      </c>
      <c r="S38">
        <f>IF(A38="","",IF(AF38=1,_xlfn.TEXTJOIN(". ",TRUE,_xlfn.TEXTJOIN(", ",TRUE,IF(AK38&gt;='설정'!$B$20,"수익성 높음",""),IF(AL38&gt;='설정'!$B$20,"성장 빠름",""),IF(AM38&gt;='설정'!$B$20,"가격 쌈",""),IF(AN38&gt;='설정'!$B$20,"추세 좋음","")),_xlfn.TEXTJOIN(", ",TRUE,IF(AK38&lt;'설정'!$B$21,"수익성 낮음",""),IF(AL38&lt;'설정'!$B$21,"성장 느림",""),IF(AM38&lt;'설정'!$B$21,"가격 비쌈",""),IF(AN38&lt;'설정'!$B$21,"추세 약함","")),IF(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="","","보통: "&amp;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)),IF(X38="통과",AE38,X38)))</f>
        <v/>
      </c>
      <c r="T38">
        <f>IF(AF38=1,TEXT(Z38,"0.0%")&amp;" · 상위 "&amp;TEXT(($B$3-_xlfn.RANK.AVG(AG38,$AG$6:$AG$105,1)+1)/$B$3*100,"0")&amp;"%",IF(A38="","",IF(Z38="","결측",TEXT(Z38,"0.0%"))))</f>
        <v/>
      </c>
      <c r="U38">
        <f>IF(AF38=1,TEXT(AA38,"0.0%")&amp;" · 상위 "&amp;TEXT(($B$3-_xlfn.RANK.AVG(AH38,$AH$6:$AH$105,1)+1)/$B$3*100,"0")&amp;"%",IF(A38="","",IF(AA38="","결측",TEXT(AA38,"0.0%"))))</f>
        <v/>
      </c>
      <c r="V38">
        <f>IF(AF38=1,TEXT(AB38,"0.0%")&amp;" · 상위 "&amp;TEXT(($B$3-_xlfn.RANK.AVG(AI38,$AI$6:$AI$105,1)+1)/$B$3*100,"0")&amp;"%",IF(A38="","",IF(AB38="","결측",TEXT(AB38,"0.0%"))))</f>
        <v/>
      </c>
      <c r="W38">
        <f>IF(AF38=1,TEXT(AC38,"0.0%")&amp;" · 상위 "&amp;TEXT(($B$3-_xlfn.RANK.AVG(AJ38,$AJ$6:$AJ$105,1)+1)/$B$3*100,"0")&amp;"%",IF(A38="","",IF(AC38="","결측",TEXT(AC38,"0.0%"))))</f>
        <v/>
      </c>
      <c r="X38">
        <f>IF(A38="","",IF(AR38="","통과","제외: "&amp;AR38))</f>
        <v/>
      </c>
      <c r="Y38" s="21">
        <f>IF(AND(ISNUMBER(G38),ISNUMBER(H38)),IF(G38&gt;0,H38/G38,""),"")</f>
        <v/>
      </c>
      <c r="Z38" s="22">
        <f>IF(AND(ISNUMBER(F38),ISNUMBER(G38)),IF(G38&gt;0,F38/G38,""),"")</f>
        <v/>
      </c>
      <c r="AA38" s="22">
        <f>IF(AND(ISNUMBER(J38),ISNUMBER(K38)),IF(AND(J38&gt;0,K38&gt;0),(J38/K38)^(1/3)-1,""),"")</f>
        <v/>
      </c>
      <c r="AB38" s="22">
        <f>IF(AND(ISNUMBER(I38),ISNUMBER(L38),ISNUMBER(M38),ISNUMBER(N38)),IF((L38+M38-N38)&gt;0,I38/(L38+M38-N38),""),"")</f>
        <v/>
      </c>
      <c r="AC38" s="22">
        <f>IF(AND(ISNUMBER(O38),ISNUMBER(P38)),IF(AND(O38&gt;0,P38&gt;0),P38/O38-1,""),"")</f>
        <v/>
      </c>
      <c r="AD38">
        <f>_xlfn.TEXTJOIN(", ",TRUE,IF(Z38="","ROE",""),IF(AA38="","매출성장률",""),IF(AB38="","이익수익률",""),IF(AC38="","12-1 수익률",""))</f>
        <v/>
      </c>
      <c r="AE38">
        <f>IF(A38="","",IF(AR38&lt;&gt;"","점수 없음(거름망)",IF(AD38="","채점","점수 없음(결측: "&amp;AD38&amp;")")))</f>
        <v/>
      </c>
      <c r="AF38">
        <f>IF(AE38="채점",1,"")</f>
        <v/>
      </c>
      <c r="AG38">
        <f>IF(AF38=1,Z38,"")</f>
        <v/>
      </c>
      <c r="AH38">
        <f>IF(AF38=1,AA38,"")</f>
        <v/>
      </c>
      <c r="AI38">
        <f>IF(AF38=1,AB38,"")</f>
        <v/>
      </c>
      <c r="AJ38">
        <f>IF(AF38=1,AC38,"")</f>
        <v/>
      </c>
      <c r="AK38">
        <f>IF(AF38=1,IF($B$3=1,50,(_xlfn.RANK.AVG(AG38,$AG$6:$AG$105,1)-1)/($B$3-1)*100),"")</f>
        <v/>
      </c>
      <c r="AL38">
        <f>IF(AF38=1,IF($B$3=1,50,(_xlfn.RANK.AVG(AH38,$AH$6:$AH$105,1)-1)/($B$3-1)*100),"")</f>
        <v/>
      </c>
      <c r="AM38">
        <f>IF(AF38=1,IF($B$3=1,50,(_xlfn.RANK.AVG(AI38,$AI$6:$AI$105,1)-1)/($B$3-1)*100),"")</f>
        <v/>
      </c>
      <c r="AN38">
        <f>IF(AF38=1,IF($B$3=1,50,(_xlfn.RANK.AVG(AJ38,$AJ$6:$AJ$105,1)-1)/($B$3-1)*100),"")</f>
        <v/>
      </c>
      <c r="AO38">
        <f>IF(AF38=1,ROUND(AVERAGE(AK38:AN38),6),"")</f>
        <v/>
      </c>
      <c r="AP38">
        <f>IF(AND(AF38=1,C38&lt;&gt;"Y"),R38,"")</f>
        <v/>
      </c>
      <c r="AQ38">
        <f>IF(AND(ISNUMBER(AP38),Q38="편입 후보"),AP38+(1000-ROW())/1000000,"")</f>
        <v/>
      </c>
      <c r="AR38">
        <f>IF(A38="","",_xlfn.TEXTJOIN(", ",TRUE,IF(D38="Y","금융·리츠",""),IF(NOT(ISNUMBER(I38)),"영업이익 없음",IF(I38&lt;=0,"영업적자","")),IF(OR(NOT(ISNUMBER(G38)),NOT(ISNUMBER(H38))),"부채비율 자료 없음",IF(G38&lt;=0,"자본잠식",IF(H38/G38&gt;'설정'!$B$8,"부채비율 초과",""))),IF(NOT(ISNUMBER(L38)),"시총 없음",IF(L38&lt;'설정'!$B$9,"시총 미달",""))))</f>
        <v/>
      </c>
    </row>
    <row r="39">
      <c r="A39" s="18" t="n"/>
      <c r="B39" s="19" t="n"/>
      <c r="C39" s="19" t="n"/>
      <c r="D39" s="19" t="n"/>
      <c r="E39" s="19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7">
        <f>IF(A39="","",IF(C39="Y",IF(AF39=1,IF(AND(R39&lt;'설정'!$B$6,ISNUMBER($H$3)),IF(ROUND($H$3-R39,1)&gt;='설정'!$B$7,"교체 제안 → "&amp;$E$3&amp;" ("&amp;TEXT($H$3,"0.0")&amp;")","보유 유지"),"보유 유지"),"보유 · 점수 없음"),IF(AF39=1,IF(R39&gt;='설정'!$B$5,"편입 후보",""),"")))</f>
        <v/>
      </c>
      <c r="R39" s="15">
        <f>IF(AF39=1,ROUND(IF($B$3=1,50,(_xlfn.RANK.AVG(AO39,$AO$6:$AO$105,1)-1)/($B$3-1)*100),1),"")</f>
        <v/>
      </c>
      <c r="S39">
        <f>IF(A39="","",IF(AF39=1,_xlfn.TEXTJOIN(". ",TRUE,_xlfn.TEXTJOIN(", ",TRUE,IF(AK39&gt;='설정'!$B$20,"수익성 높음",""),IF(AL39&gt;='설정'!$B$20,"성장 빠름",""),IF(AM39&gt;='설정'!$B$20,"가격 쌈",""),IF(AN39&gt;='설정'!$B$20,"추세 좋음","")),_xlfn.TEXTJOIN(", ",TRUE,IF(AK39&lt;'설정'!$B$21,"수익성 낮음",""),IF(AL39&lt;'설정'!$B$21,"성장 느림",""),IF(AM39&lt;'설정'!$B$21,"가격 비쌈",""),IF(AN39&lt;'설정'!$B$21,"추세 약함","")),IF(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="","","보통: "&amp;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)),IF(X39="통과",AE39,X39)))</f>
        <v/>
      </c>
      <c r="T39">
        <f>IF(AF39=1,TEXT(Z39,"0.0%")&amp;" · 상위 "&amp;TEXT(($B$3-_xlfn.RANK.AVG(AG39,$AG$6:$AG$105,1)+1)/$B$3*100,"0")&amp;"%",IF(A39="","",IF(Z39="","결측",TEXT(Z39,"0.0%"))))</f>
        <v/>
      </c>
      <c r="U39">
        <f>IF(AF39=1,TEXT(AA39,"0.0%")&amp;" · 상위 "&amp;TEXT(($B$3-_xlfn.RANK.AVG(AH39,$AH$6:$AH$105,1)+1)/$B$3*100,"0")&amp;"%",IF(A39="","",IF(AA39="","결측",TEXT(AA39,"0.0%"))))</f>
        <v/>
      </c>
      <c r="V39">
        <f>IF(AF39=1,TEXT(AB39,"0.0%")&amp;" · 상위 "&amp;TEXT(($B$3-_xlfn.RANK.AVG(AI39,$AI$6:$AI$105,1)+1)/$B$3*100,"0")&amp;"%",IF(A39="","",IF(AB39="","결측",TEXT(AB39,"0.0%"))))</f>
        <v/>
      </c>
      <c r="W39">
        <f>IF(AF39=1,TEXT(AC39,"0.0%")&amp;" · 상위 "&amp;TEXT(($B$3-_xlfn.RANK.AVG(AJ39,$AJ$6:$AJ$105,1)+1)/$B$3*100,"0")&amp;"%",IF(A39="","",IF(AC39="","결측",TEXT(AC39,"0.0%"))))</f>
        <v/>
      </c>
      <c r="X39">
        <f>IF(A39="","",IF(AR39="","통과","제외: "&amp;AR39))</f>
        <v/>
      </c>
      <c r="Y39" s="21">
        <f>IF(AND(ISNUMBER(G39),ISNUMBER(H39)),IF(G39&gt;0,H39/G39,""),"")</f>
        <v/>
      </c>
      <c r="Z39" s="22">
        <f>IF(AND(ISNUMBER(F39),ISNUMBER(G39)),IF(G39&gt;0,F39/G39,""),"")</f>
        <v/>
      </c>
      <c r="AA39" s="22">
        <f>IF(AND(ISNUMBER(J39),ISNUMBER(K39)),IF(AND(J39&gt;0,K39&gt;0),(J39/K39)^(1/3)-1,""),"")</f>
        <v/>
      </c>
      <c r="AB39" s="22">
        <f>IF(AND(ISNUMBER(I39),ISNUMBER(L39),ISNUMBER(M39),ISNUMBER(N39)),IF((L39+M39-N39)&gt;0,I39/(L39+M39-N39),""),"")</f>
        <v/>
      </c>
      <c r="AC39" s="22">
        <f>IF(AND(ISNUMBER(O39),ISNUMBER(P39)),IF(AND(O39&gt;0,P39&gt;0),P39/O39-1,""),"")</f>
        <v/>
      </c>
      <c r="AD39">
        <f>_xlfn.TEXTJOIN(", ",TRUE,IF(Z39="","ROE",""),IF(AA39="","매출성장률",""),IF(AB39="","이익수익률",""),IF(AC39="","12-1 수익률",""))</f>
        <v/>
      </c>
      <c r="AE39">
        <f>IF(A39="","",IF(AR39&lt;&gt;"","점수 없음(거름망)",IF(AD39="","채점","점수 없음(결측: "&amp;AD39&amp;")")))</f>
        <v/>
      </c>
      <c r="AF39">
        <f>IF(AE39="채점",1,"")</f>
        <v/>
      </c>
      <c r="AG39">
        <f>IF(AF39=1,Z39,"")</f>
        <v/>
      </c>
      <c r="AH39">
        <f>IF(AF39=1,AA39,"")</f>
        <v/>
      </c>
      <c r="AI39">
        <f>IF(AF39=1,AB39,"")</f>
        <v/>
      </c>
      <c r="AJ39">
        <f>IF(AF39=1,AC39,"")</f>
        <v/>
      </c>
      <c r="AK39">
        <f>IF(AF39=1,IF($B$3=1,50,(_xlfn.RANK.AVG(AG39,$AG$6:$AG$105,1)-1)/($B$3-1)*100),"")</f>
        <v/>
      </c>
      <c r="AL39">
        <f>IF(AF39=1,IF($B$3=1,50,(_xlfn.RANK.AVG(AH39,$AH$6:$AH$105,1)-1)/($B$3-1)*100),"")</f>
        <v/>
      </c>
      <c r="AM39">
        <f>IF(AF39=1,IF($B$3=1,50,(_xlfn.RANK.AVG(AI39,$AI$6:$AI$105,1)-1)/($B$3-1)*100),"")</f>
        <v/>
      </c>
      <c r="AN39">
        <f>IF(AF39=1,IF($B$3=1,50,(_xlfn.RANK.AVG(AJ39,$AJ$6:$AJ$105,1)-1)/($B$3-1)*100),"")</f>
        <v/>
      </c>
      <c r="AO39">
        <f>IF(AF39=1,ROUND(AVERAGE(AK39:AN39),6),"")</f>
        <v/>
      </c>
      <c r="AP39">
        <f>IF(AND(AF39=1,C39&lt;&gt;"Y"),R39,"")</f>
        <v/>
      </c>
      <c r="AQ39">
        <f>IF(AND(ISNUMBER(AP39),Q39="편입 후보"),AP39+(1000-ROW())/1000000,"")</f>
        <v/>
      </c>
      <c r="AR39">
        <f>IF(A39="","",_xlfn.TEXTJOIN(", ",TRUE,IF(D39="Y","금융·리츠",""),IF(NOT(ISNUMBER(I39)),"영업이익 없음",IF(I39&lt;=0,"영업적자","")),IF(OR(NOT(ISNUMBER(G39)),NOT(ISNUMBER(H39))),"부채비율 자료 없음",IF(G39&lt;=0,"자본잠식",IF(H39/G39&gt;'설정'!$B$8,"부채비율 초과",""))),IF(NOT(ISNUMBER(L39)),"시총 없음",IF(L39&lt;'설정'!$B$9,"시총 미달",""))))</f>
        <v/>
      </c>
    </row>
    <row r="40">
      <c r="A40" s="18" t="n"/>
      <c r="B40" s="19" t="n"/>
      <c r="C40" s="19" t="n"/>
      <c r="D40" s="19" t="n"/>
      <c r="E40" s="19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7">
        <f>IF(A40="","",IF(C40="Y",IF(AF40=1,IF(AND(R40&lt;'설정'!$B$6,ISNUMBER($H$3)),IF(ROUND($H$3-R40,1)&gt;='설정'!$B$7,"교체 제안 → "&amp;$E$3&amp;" ("&amp;TEXT($H$3,"0.0")&amp;")","보유 유지"),"보유 유지"),"보유 · 점수 없음"),IF(AF40=1,IF(R40&gt;='설정'!$B$5,"편입 후보",""),"")))</f>
        <v/>
      </c>
      <c r="R40" s="15">
        <f>IF(AF40=1,ROUND(IF($B$3=1,50,(_xlfn.RANK.AVG(AO40,$AO$6:$AO$105,1)-1)/($B$3-1)*100),1),"")</f>
        <v/>
      </c>
      <c r="S40">
        <f>IF(A40="","",IF(AF40=1,_xlfn.TEXTJOIN(". ",TRUE,_xlfn.TEXTJOIN(", ",TRUE,IF(AK40&gt;='설정'!$B$20,"수익성 높음",""),IF(AL40&gt;='설정'!$B$20,"성장 빠름",""),IF(AM40&gt;='설정'!$B$20,"가격 쌈",""),IF(AN40&gt;='설정'!$B$20,"추세 좋음","")),_xlfn.TEXTJOIN(", ",TRUE,IF(AK40&lt;'설정'!$B$21,"수익성 낮음",""),IF(AL40&lt;'설정'!$B$21,"성장 느림",""),IF(AM40&lt;'설정'!$B$21,"가격 비쌈",""),IF(AN40&lt;'설정'!$B$21,"추세 약함","")),IF(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="","","보통: "&amp;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)),IF(X40="통과",AE40,X40)))</f>
        <v/>
      </c>
      <c r="T40">
        <f>IF(AF40=1,TEXT(Z40,"0.0%")&amp;" · 상위 "&amp;TEXT(($B$3-_xlfn.RANK.AVG(AG40,$AG$6:$AG$105,1)+1)/$B$3*100,"0")&amp;"%",IF(A40="","",IF(Z40="","결측",TEXT(Z40,"0.0%"))))</f>
        <v/>
      </c>
      <c r="U40">
        <f>IF(AF40=1,TEXT(AA40,"0.0%")&amp;" · 상위 "&amp;TEXT(($B$3-_xlfn.RANK.AVG(AH40,$AH$6:$AH$105,1)+1)/$B$3*100,"0")&amp;"%",IF(A40="","",IF(AA40="","결측",TEXT(AA40,"0.0%"))))</f>
        <v/>
      </c>
      <c r="V40">
        <f>IF(AF40=1,TEXT(AB40,"0.0%")&amp;" · 상위 "&amp;TEXT(($B$3-_xlfn.RANK.AVG(AI40,$AI$6:$AI$105,1)+1)/$B$3*100,"0")&amp;"%",IF(A40="","",IF(AB40="","결측",TEXT(AB40,"0.0%"))))</f>
        <v/>
      </c>
      <c r="W40">
        <f>IF(AF40=1,TEXT(AC40,"0.0%")&amp;" · 상위 "&amp;TEXT(($B$3-_xlfn.RANK.AVG(AJ40,$AJ$6:$AJ$105,1)+1)/$B$3*100,"0")&amp;"%",IF(A40="","",IF(AC40="","결측",TEXT(AC40,"0.0%"))))</f>
        <v/>
      </c>
      <c r="X40">
        <f>IF(A40="","",IF(AR40="","통과","제외: "&amp;AR40))</f>
        <v/>
      </c>
      <c r="Y40" s="21">
        <f>IF(AND(ISNUMBER(G40),ISNUMBER(H40)),IF(G40&gt;0,H40/G40,""),"")</f>
        <v/>
      </c>
      <c r="Z40" s="22">
        <f>IF(AND(ISNUMBER(F40),ISNUMBER(G40)),IF(G40&gt;0,F40/G40,""),"")</f>
        <v/>
      </c>
      <c r="AA40" s="22">
        <f>IF(AND(ISNUMBER(J40),ISNUMBER(K40)),IF(AND(J40&gt;0,K40&gt;0),(J40/K40)^(1/3)-1,""),"")</f>
        <v/>
      </c>
      <c r="AB40" s="22">
        <f>IF(AND(ISNUMBER(I40),ISNUMBER(L40),ISNUMBER(M40),ISNUMBER(N40)),IF((L40+M40-N40)&gt;0,I40/(L40+M40-N40),""),"")</f>
        <v/>
      </c>
      <c r="AC40" s="22">
        <f>IF(AND(ISNUMBER(O40),ISNUMBER(P40)),IF(AND(O40&gt;0,P40&gt;0),P40/O40-1,""),"")</f>
        <v/>
      </c>
      <c r="AD40">
        <f>_xlfn.TEXTJOIN(", ",TRUE,IF(Z40="","ROE",""),IF(AA40="","매출성장률",""),IF(AB40="","이익수익률",""),IF(AC40="","12-1 수익률",""))</f>
        <v/>
      </c>
      <c r="AE40">
        <f>IF(A40="","",IF(AR40&lt;&gt;"","점수 없음(거름망)",IF(AD40="","채점","점수 없음(결측: "&amp;AD40&amp;")")))</f>
        <v/>
      </c>
      <c r="AF40">
        <f>IF(AE40="채점",1,"")</f>
        <v/>
      </c>
      <c r="AG40">
        <f>IF(AF40=1,Z40,"")</f>
        <v/>
      </c>
      <c r="AH40">
        <f>IF(AF40=1,AA40,"")</f>
        <v/>
      </c>
      <c r="AI40">
        <f>IF(AF40=1,AB40,"")</f>
        <v/>
      </c>
      <c r="AJ40">
        <f>IF(AF40=1,AC40,"")</f>
        <v/>
      </c>
      <c r="AK40">
        <f>IF(AF40=1,IF($B$3=1,50,(_xlfn.RANK.AVG(AG40,$AG$6:$AG$105,1)-1)/($B$3-1)*100),"")</f>
        <v/>
      </c>
      <c r="AL40">
        <f>IF(AF40=1,IF($B$3=1,50,(_xlfn.RANK.AVG(AH40,$AH$6:$AH$105,1)-1)/($B$3-1)*100),"")</f>
        <v/>
      </c>
      <c r="AM40">
        <f>IF(AF40=1,IF($B$3=1,50,(_xlfn.RANK.AVG(AI40,$AI$6:$AI$105,1)-1)/($B$3-1)*100),"")</f>
        <v/>
      </c>
      <c r="AN40">
        <f>IF(AF40=1,IF($B$3=1,50,(_xlfn.RANK.AVG(AJ40,$AJ$6:$AJ$105,1)-1)/($B$3-1)*100),"")</f>
        <v/>
      </c>
      <c r="AO40">
        <f>IF(AF40=1,ROUND(AVERAGE(AK40:AN40),6),"")</f>
        <v/>
      </c>
      <c r="AP40">
        <f>IF(AND(AF40=1,C40&lt;&gt;"Y"),R40,"")</f>
        <v/>
      </c>
      <c r="AQ40">
        <f>IF(AND(ISNUMBER(AP40),Q40="편입 후보"),AP40+(1000-ROW())/1000000,"")</f>
        <v/>
      </c>
      <c r="AR40">
        <f>IF(A40="","",_xlfn.TEXTJOIN(", ",TRUE,IF(D40="Y","금융·리츠",""),IF(NOT(ISNUMBER(I40)),"영업이익 없음",IF(I40&lt;=0,"영업적자","")),IF(OR(NOT(ISNUMBER(G40)),NOT(ISNUMBER(H40))),"부채비율 자료 없음",IF(G40&lt;=0,"자본잠식",IF(H40/G40&gt;'설정'!$B$8,"부채비율 초과",""))),IF(NOT(ISNUMBER(L40)),"시총 없음",IF(L40&lt;'설정'!$B$9,"시총 미달",""))))</f>
        <v/>
      </c>
    </row>
    <row r="41">
      <c r="A41" s="18" t="n"/>
      <c r="B41" s="19" t="n"/>
      <c r="C41" s="19" t="n"/>
      <c r="D41" s="19" t="n"/>
      <c r="E41" s="19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7">
        <f>IF(A41="","",IF(C41="Y",IF(AF41=1,IF(AND(R41&lt;'설정'!$B$6,ISNUMBER($H$3)),IF(ROUND($H$3-R41,1)&gt;='설정'!$B$7,"교체 제안 → "&amp;$E$3&amp;" ("&amp;TEXT($H$3,"0.0")&amp;")","보유 유지"),"보유 유지"),"보유 · 점수 없음"),IF(AF41=1,IF(R41&gt;='설정'!$B$5,"편입 후보",""),"")))</f>
        <v/>
      </c>
      <c r="R41" s="15">
        <f>IF(AF41=1,ROUND(IF($B$3=1,50,(_xlfn.RANK.AVG(AO41,$AO$6:$AO$105,1)-1)/($B$3-1)*100),1),"")</f>
        <v/>
      </c>
      <c r="S41">
        <f>IF(A41="","",IF(AF41=1,_xlfn.TEXTJOIN(". ",TRUE,_xlfn.TEXTJOIN(", ",TRUE,IF(AK41&gt;='설정'!$B$20,"수익성 높음",""),IF(AL41&gt;='설정'!$B$20,"성장 빠름",""),IF(AM41&gt;='설정'!$B$20,"가격 쌈",""),IF(AN41&gt;='설정'!$B$20,"추세 좋음","")),_xlfn.TEXTJOIN(", ",TRUE,IF(AK41&lt;'설정'!$B$21,"수익성 낮음",""),IF(AL41&lt;'설정'!$B$21,"성장 느림",""),IF(AM41&lt;'설정'!$B$21,"가격 비쌈",""),IF(AN41&lt;'설정'!$B$21,"추세 약함","")),IF(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="","","보통: "&amp;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)),IF(X41="통과",AE41,X41)))</f>
        <v/>
      </c>
      <c r="T41">
        <f>IF(AF41=1,TEXT(Z41,"0.0%")&amp;" · 상위 "&amp;TEXT(($B$3-_xlfn.RANK.AVG(AG41,$AG$6:$AG$105,1)+1)/$B$3*100,"0")&amp;"%",IF(A41="","",IF(Z41="","결측",TEXT(Z41,"0.0%"))))</f>
        <v/>
      </c>
      <c r="U41">
        <f>IF(AF41=1,TEXT(AA41,"0.0%")&amp;" · 상위 "&amp;TEXT(($B$3-_xlfn.RANK.AVG(AH41,$AH$6:$AH$105,1)+1)/$B$3*100,"0")&amp;"%",IF(A41="","",IF(AA41="","결측",TEXT(AA41,"0.0%"))))</f>
        <v/>
      </c>
      <c r="V41">
        <f>IF(AF41=1,TEXT(AB41,"0.0%")&amp;" · 상위 "&amp;TEXT(($B$3-_xlfn.RANK.AVG(AI41,$AI$6:$AI$105,1)+1)/$B$3*100,"0")&amp;"%",IF(A41="","",IF(AB41="","결측",TEXT(AB41,"0.0%"))))</f>
        <v/>
      </c>
      <c r="W41">
        <f>IF(AF41=1,TEXT(AC41,"0.0%")&amp;" · 상위 "&amp;TEXT(($B$3-_xlfn.RANK.AVG(AJ41,$AJ$6:$AJ$105,1)+1)/$B$3*100,"0")&amp;"%",IF(A41="","",IF(AC41="","결측",TEXT(AC41,"0.0%"))))</f>
        <v/>
      </c>
      <c r="X41">
        <f>IF(A41="","",IF(AR41="","통과","제외: "&amp;AR41))</f>
        <v/>
      </c>
      <c r="Y41" s="21">
        <f>IF(AND(ISNUMBER(G41),ISNUMBER(H41)),IF(G41&gt;0,H41/G41,""),"")</f>
        <v/>
      </c>
      <c r="Z41" s="22">
        <f>IF(AND(ISNUMBER(F41),ISNUMBER(G41)),IF(G41&gt;0,F41/G41,""),"")</f>
        <v/>
      </c>
      <c r="AA41" s="22">
        <f>IF(AND(ISNUMBER(J41),ISNUMBER(K41)),IF(AND(J41&gt;0,K41&gt;0),(J41/K41)^(1/3)-1,""),"")</f>
        <v/>
      </c>
      <c r="AB41" s="22">
        <f>IF(AND(ISNUMBER(I41),ISNUMBER(L41),ISNUMBER(M41),ISNUMBER(N41)),IF((L41+M41-N41)&gt;0,I41/(L41+M41-N41),""),"")</f>
        <v/>
      </c>
      <c r="AC41" s="22">
        <f>IF(AND(ISNUMBER(O41),ISNUMBER(P41)),IF(AND(O41&gt;0,P41&gt;0),P41/O41-1,""),"")</f>
        <v/>
      </c>
      <c r="AD41">
        <f>_xlfn.TEXTJOIN(", ",TRUE,IF(Z41="","ROE",""),IF(AA41="","매출성장률",""),IF(AB41="","이익수익률",""),IF(AC41="","12-1 수익률",""))</f>
        <v/>
      </c>
      <c r="AE41">
        <f>IF(A41="","",IF(AR41&lt;&gt;"","점수 없음(거름망)",IF(AD41="","채점","점수 없음(결측: "&amp;AD41&amp;")")))</f>
        <v/>
      </c>
      <c r="AF41">
        <f>IF(AE41="채점",1,"")</f>
        <v/>
      </c>
      <c r="AG41">
        <f>IF(AF41=1,Z41,"")</f>
        <v/>
      </c>
      <c r="AH41">
        <f>IF(AF41=1,AA41,"")</f>
        <v/>
      </c>
      <c r="AI41">
        <f>IF(AF41=1,AB41,"")</f>
        <v/>
      </c>
      <c r="AJ41">
        <f>IF(AF41=1,AC41,"")</f>
        <v/>
      </c>
      <c r="AK41">
        <f>IF(AF41=1,IF($B$3=1,50,(_xlfn.RANK.AVG(AG41,$AG$6:$AG$105,1)-1)/($B$3-1)*100),"")</f>
        <v/>
      </c>
      <c r="AL41">
        <f>IF(AF41=1,IF($B$3=1,50,(_xlfn.RANK.AVG(AH41,$AH$6:$AH$105,1)-1)/($B$3-1)*100),"")</f>
        <v/>
      </c>
      <c r="AM41">
        <f>IF(AF41=1,IF($B$3=1,50,(_xlfn.RANK.AVG(AI41,$AI$6:$AI$105,1)-1)/($B$3-1)*100),"")</f>
        <v/>
      </c>
      <c r="AN41">
        <f>IF(AF41=1,IF($B$3=1,50,(_xlfn.RANK.AVG(AJ41,$AJ$6:$AJ$105,1)-1)/($B$3-1)*100),"")</f>
        <v/>
      </c>
      <c r="AO41">
        <f>IF(AF41=1,ROUND(AVERAGE(AK41:AN41),6),"")</f>
        <v/>
      </c>
      <c r="AP41">
        <f>IF(AND(AF41=1,C41&lt;&gt;"Y"),R41,"")</f>
        <v/>
      </c>
      <c r="AQ41">
        <f>IF(AND(ISNUMBER(AP41),Q41="편입 후보"),AP41+(1000-ROW())/1000000,"")</f>
        <v/>
      </c>
      <c r="AR41">
        <f>IF(A41="","",_xlfn.TEXTJOIN(", ",TRUE,IF(D41="Y","금융·리츠",""),IF(NOT(ISNUMBER(I41)),"영업이익 없음",IF(I41&lt;=0,"영업적자","")),IF(OR(NOT(ISNUMBER(G41)),NOT(ISNUMBER(H41))),"부채비율 자료 없음",IF(G41&lt;=0,"자본잠식",IF(H41/G41&gt;'설정'!$B$8,"부채비율 초과",""))),IF(NOT(ISNUMBER(L41)),"시총 없음",IF(L41&lt;'설정'!$B$9,"시총 미달",""))))</f>
        <v/>
      </c>
    </row>
    <row r="42">
      <c r="A42" s="18" t="n"/>
      <c r="B42" s="19" t="n"/>
      <c r="C42" s="19" t="n"/>
      <c r="D42" s="19" t="n"/>
      <c r="E42" s="19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7">
        <f>IF(A42="","",IF(C42="Y",IF(AF42=1,IF(AND(R42&lt;'설정'!$B$6,ISNUMBER($H$3)),IF(ROUND($H$3-R42,1)&gt;='설정'!$B$7,"교체 제안 → "&amp;$E$3&amp;" ("&amp;TEXT($H$3,"0.0")&amp;")","보유 유지"),"보유 유지"),"보유 · 점수 없음"),IF(AF42=1,IF(R42&gt;='설정'!$B$5,"편입 후보",""),"")))</f>
        <v/>
      </c>
      <c r="R42" s="15">
        <f>IF(AF42=1,ROUND(IF($B$3=1,50,(_xlfn.RANK.AVG(AO42,$AO$6:$AO$105,1)-1)/($B$3-1)*100),1),"")</f>
        <v/>
      </c>
      <c r="S42">
        <f>IF(A42="","",IF(AF42=1,_xlfn.TEXTJOIN(". ",TRUE,_xlfn.TEXTJOIN(", ",TRUE,IF(AK42&gt;='설정'!$B$20,"수익성 높음",""),IF(AL42&gt;='설정'!$B$20,"성장 빠름",""),IF(AM42&gt;='설정'!$B$20,"가격 쌈",""),IF(AN42&gt;='설정'!$B$20,"추세 좋음","")),_xlfn.TEXTJOIN(", ",TRUE,IF(AK42&lt;'설정'!$B$21,"수익성 낮음",""),IF(AL42&lt;'설정'!$B$21,"성장 느림",""),IF(AM42&lt;'설정'!$B$21,"가격 비쌈",""),IF(AN42&lt;'설정'!$B$21,"추세 약함","")),IF(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="","","보통: "&amp;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)),IF(X42="통과",AE42,X42)))</f>
        <v/>
      </c>
      <c r="T42">
        <f>IF(AF42=1,TEXT(Z42,"0.0%")&amp;" · 상위 "&amp;TEXT(($B$3-_xlfn.RANK.AVG(AG42,$AG$6:$AG$105,1)+1)/$B$3*100,"0")&amp;"%",IF(A42="","",IF(Z42="","결측",TEXT(Z42,"0.0%"))))</f>
        <v/>
      </c>
      <c r="U42">
        <f>IF(AF42=1,TEXT(AA42,"0.0%")&amp;" · 상위 "&amp;TEXT(($B$3-_xlfn.RANK.AVG(AH42,$AH$6:$AH$105,1)+1)/$B$3*100,"0")&amp;"%",IF(A42="","",IF(AA42="","결측",TEXT(AA42,"0.0%"))))</f>
        <v/>
      </c>
      <c r="V42">
        <f>IF(AF42=1,TEXT(AB42,"0.0%")&amp;" · 상위 "&amp;TEXT(($B$3-_xlfn.RANK.AVG(AI42,$AI$6:$AI$105,1)+1)/$B$3*100,"0")&amp;"%",IF(A42="","",IF(AB42="","결측",TEXT(AB42,"0.0%"))))</f>
        <v/>
      </c>
      <c r="W42">
        <f>IF(AF42=1,TEXT(AC42,"0.0%")&amp;" · 상위 "&amp;TEXT(($B$3-_xlfn.RANK.AVG(AJ42,$AJ$6:$AJ$105,1)+1)/$B$3*100,"0")&amp;"%",IF(A42="","",IF(AC42="","결측",TEXT(AC42,"0.0%"))))</f>
        <v/>
      </c>
      <c r="X42">
        <f>IF(A42="","",IF(AR42="","통과","제외: "&amp;AR42))</f>
        <v/>
      </c>
      <c r="Y42" s="21">
        <f>IF(AND(ISNUMBER(G42),ISNUMBER(H42)),IF(G42&gt;0,H42/G42,""),"")</f>
        <v/>
      </c>
      <c r="Z42" s="22">
        <f>IF(AND(ISNUMBER(F42),ISNUMBER(G42)),IF(G42&gt;0,F42/G42,""),"")</f>
        <v/>
      </c>
      <c r="AA42" s="22">
        <f>IF(AND(ISNUMBER(J42),ISNUMBER(K42)),IF(AND(J42&gt;0,K42&gt;0),(J42/K42)^(1/3)-1,""),"")</f>
        <v/>
      </c>
      <c r="AB42" s="22">
        <f>IF(AND(ISNUMBER(I42),ISNUMBER(L42),ISNUMBER(M42),ISNUMBER(N42)),IF((L42+M42-N42)&gt;0,I42/(L42+M42-N42),""),"")</f>
        <v/>
      </c>
      <c r="AC42" s="22">
        <f>IF(AND(ISNUMBER(O42),ISNUMBER(P42)),IF(AND(O42&gt;0,P42&gt;0),P42/O42-1,""),"")</f>
        <v/>
      </c>
      <c r="AD42">
        <f>_xlfn.TEXTJOIN(", ",TRUE,IF(Z42="","ROE",""),IF(AA42="","매출성장률",""),IF(AB42="","이익수익률",""),IF(AC42="","12-1 수익률",""))</f>
        <v/>
      </c>
      <c r="AE42">
        <f>IF(A42="","",IF(AR42&lt;&gt;"","점수 없음(거름망)",IF(AD42="","채점","점수 없음(결측: "&amp;AD42&amp;")")))</f>
        <v/>
      </c>
      <c r="AF42">
        <f>IF(AE42="채점",1,"")</f>
        <v/>
      </c>
      <c r="AG42">
        <f>IF(AF42=1,Z42,"")</f>
        <v/>
      </c>
      <c r="AH42">
        <f>IF(AF42=1,AA42,"")</f>
        <v/>
      </c>
      <c r="AI42">
        <f>IF(AF42=1,AB42,"")</f>
        <v/>
      </c>
      <c r="AJ42">
        <f>IF(AF42=1,AC42,"")</f>
        <v/>
      </c>
      <c r="AK42">
        <f>IF(AF42=1,IF($B$3=1,50,(_xlfn.RANK.AVG(AG42,$AG$6:$AG$105,1)-1)/($B$3-1)*100),"")</f>
        <v/>
      </c>
      <c r="AL42">
        <f>IF(AF42=1,IF($B$3=1,50,(_xlfn.RANK.AVG(AH42,$AH$6:$AH$105,1)-1)/($B$3-1)*100),"")</f>
        <v/>
      </c>
      <c r="AM42">
        <f>IF(AF42=1,IF($B$3=1,50,(_xlfn.RANK.AVG(AI42,$AI$6:$AI$105,1)-1)/($B$3-1)*100),"")</f>
        <v/>
      </c>
      <c r="AN42">
        <f>IF(AF42=1,IF($B$3=1,50,(_xlfn.RANK.AVG(AJ42,$AJ$6:$AJ$105,1)-1)/($B$3-1)*100),"")</f>
        <v/>
      </c>
      <c r="AO42">
        <f>IF(AF42=1,ROUND(AVERAGE(AK42:AN42),6),"")</f>
        <v/>
      </c>
      <c r="AP42">
        <f>IF(AND(AF42=1,C42&lt;&gt;"Y"),R42,"")</f>
        <v/>
      </c>
      <c r="AQ42">
        <f>IF(AND(ISNUMBER(AP42),Q42="편입 후보"),AP42+(1000-ROW())/1000000,"")</f>
        <v/>
      </c>
      <c r="AR42">
        <f>IF(A42="","",_xlfn.TEXTJOIN(", ",TRUE,IF(D42="Y","금융·리츠",""),IF(NOT(ISNUMBER(I42)),"영업이익 없음",IF(I42&lt;=0,"영업적자","")),IF(OR(NOT(ISNUMBER(G42)),NOT(ISNUMBER(H42))),"부채비율 자료 없음",IF(G42&lt;=0,"자본잠식",IF(H42/G42&gt;'설정'!$B$8,"부채비율 초과",""))),IF(NOT(ISNUMBER(L42)),"시총 없음",IF(L42&lt;'설정'!$B$9,"시총 미달",""))))</f>
        <v/>
      </c>
    </row>
    <row r="43">
      <c r="A43" s="18" t="n"/>
      <c r="B43" s="19" t="n"/>
      <c r="C43" s="19" t="n"/>
      <c r="D43" s="19" t="n"/>
      <c r="E43" s="19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7">
        <f>IF(A43="","",IF(C43="Y",IF(AF43=1,IF(AND(R43&lt;'설정'!$B$6,ISNUMBER($H$3)),IF(ROUND($H$3-R43,1)&gt;='설정'!$B$7,"교체 제안 → "&amp;$E$3&amp;" ("&amp;TEXT($H$3,"0.0")&amp;")","보유 유지"),"보유 유지"),"보유 · 점수 없음"),IF(AF43=1,IF(R43&gt;='설정'!$B$5,"편입 후보",""),"")))</f>
        <v/>
      </c>
      <c r="R43" s="15">
        <f>IF(AF43=1,ROUND(IF($B$3=1,50,(_xlfn.RANK.AVG(AO43,$AO$6:$AO$105,1)-1)/($B$3-1)*100),1),"")</f>
        <v/>
      </c>
      <c r="S43">
        <f>IF(A43="","",IF(AF43=1,_xlfn.TEXTJOIN(". ",TRUE,_xlfn.TEXTJOIN(", ",TRUE,IF(AK43&gt;='설정'!$B$20,"수익성 높음",""),IF(AL43&gt;='설정'!$B$20,"성장 빠름",""),IF(AM43&gt;='설정'!$B$20,"가격 쌈",""),IF(AN43&gt;='설정'!$B$20,"추세 좋음","")),_xlfn.TEXTJOIN(", ",TRUE,IF(AK43&lt;'설정'!$B$21,"수익성 낮음",""),IF(AL43&lt;'설정'!$B$21,"성장 느림",""),IF(AM43&lt;'설정'!$B$21,"가격 비쌈",""),IF(AN43&lt;'설정'!$B$21,"추세 약함","")),IF(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="","","보통: "&amp;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)),IF(X43="통과",AE43,X43)))</f>
        <v/>
      </c>
      <c r="T43">
        <f>IF(AF43=1,TEXT(Z43,"0.0%")&amp;" · 상위 "&amp;TEXT(($B$3-_xlfn.RANK.AVG(AG43,$AG$6:$AG$105,1)+1)/$B$3*100,"0")&amp;"%",IF(A43="","",IF(Z43="","결측",TEXT(Z43,"0.0%"))))</f>
        <v/>
      </c>
      <c r="U43">
        <f>IF(AF43=1,TEXT(AA43,"0.0%")&amp;" · 상위 "&amp;TEXT(($B$3-_xlfn.RANK.AVG(AH43,$AH$6:$AH$105,1)+1)/$B$3*100,"0")&amp;"%",IF(A43="","",IF(AA43="","결측",TEXT(AA43,"0.0%"))))</f>
        <v/>
      </c>
      <c r="V43">
        <f>IF(AF43=1,TEXT(AB43,"0.0%")&amp;" · 상위 "&amp;TEXT(($B$3-_xlfn.RANK.AVG(AI43,$AI$6:$AI$105,1)+1)/$B$3*100,"0")&amp;"%",IF(A43="","",IF(AB43="","결측",TEXT(AB43,"0.0%"))))</f>
        <v/>
      </c>
      <c r="W43">
        <f>IF(AF43=1,TEXT(AC43,"0.0%")&amp;" · 상위 "&amp;TEXT(($B$3-_xlfn.RANK.AVG(AJ43,$AJ$6:$AJ$105,1)+1)/$B$3*100,"0")&amp;"%",IF(A43="","",IF(AC43="","결측",TEXT(AC43,"0.0%"))))</f>
        <v/>
      </c>
      <c r="X43">
        <f>IF(A43="","",IF(AR43="","통과","제외: "&amp;AR43))</f>
        <v/>
      </c>
      <c r="Y43" s="21">
        <f>IF(AND(ISNUMBER(G43),ISNUMBER(H43)),IF(G43&gt;0,H43/G43,""),"")</f>
        <v/>
      </c>
      <c r="Z43" s="22">
        <f>IF(AND(ISNUMBER(F43),ISNUMBER(G43)),IF(G43&gt;0,F43/G43,""),"")</f>
        <v/>
      </c>
      <c r="AA43" s="22">
        <f>IF(AND(ISNUMBER(J43),ISNUMBER(K43)),IF(AND(J43&gt;0,K43&gt;0),(J43/K43)^(1/3)-1,""),"")</f>
        <v/>
      </c>
      <c r="AB43" s="22">
        <f>IF(AND(ISNUMBER(I43),ISNUMBER(L43),ISNUMBER(M43),ISNUMBER(N43)),IF((L43+M43-N43)&gt;0,I43/(L43+M43-N43),""),"")</f>
        <v/>
      </c>
      <c r="AC43" s="22">
        <f>IF(AND(ISNUMBER(O43),ISNUMBER(P43)),IF(AND(O43&gt;0,P43&gt;0),P43/O43-1,""),"")</f>
        <v/>
      </c>
      <c r="AD43">
        <f>_xlfn.TEXTJOIN(", ",TRUE,IF(Z43="","ROE",""),IF(AA43="","매출성장률",""),IF(AB43="","이익수익률",""),IF(AC43="","12-1 수익률",""))</f>
        <v/>
      </c>
      <c r="AE43">
        <f>IF(A43="","",IF(AR43&lt;&gt;"","점수 없음(거름망)",IF(AD43="","채점","점수 없음(결측: "&amp;AD43&amp;")")))</f>
        <v/>
      </c>
      <c r="AF43">
        <f>IF(AE43="채점",1,"")</f>
        <v/>
      </c>
      <c r="AG43">
        <f>IF(AF43=1,Z43,"")</f>
        <v/>
      </c>
      <c r="AH43">
        <f>IF(AF43=1,AA43,"")</f>
        <v/>
      </c>
      <c r="AI43">
        <f>IF(AF43=1,AB43,"")</f>
        <v/>
      </c>
      <c r="AJ43">
        <f>IF(AF43=1,AC43,"")</f>
        <v/>
      </c>
      <c r="AK43">
        <f>IF(AF43=1,IF($B$3=1,50,(_xlfn.RANK.AVG(AG43,$AG$6:$AG$105,1)-1)/($B$3-1)*100),"")</f>
        <v/>
      </c>
      <c r="AL43">
        <f>IF(AF43=1,IF($B$3=1,50,(_xlfn.RANK.AVG(AH43,$AH$6:$AH$105,1)-1)/($B$3-1)*100),"")</f>
        <v/>
      </c>
      <c r="AM43">
        <f>IF(AF43=1,IF($B$3=1,50,(_xlfn.RANK.AVG(AI43,$AI$6:$AI$105,1)-1)/($B$3-1)*100),"")</f>
        <v/>
      </c>
      <c r="AN43">
        <f>IF(AF43=1,IF($B$3=1,50,(_xlfn.RANK.AVG(AJ43,$AJ$6:$AJ$105,1)-1)/($B$3-1)*100),"")</f>
        <v/>
      </c>
      <c r="AO43">
        <f>IF(AF43=1,ROUND(AVERAGE(AK43:AN43),6),"")</f>
        <v/>
      </c>
      <c r="AP43">
        <f>IF(AND(AF43=1,C43&lt;&gt;"Y"),R43,"")</f>
        <v/>
      </c>
      <c r="AQ43">
        <f>IF(AND(ISNUMBER(AP43),Q43="편입 후보"),AP43+(1000-ROW())/1000000,"")</f>
        <v/>
      </c>
      <c r="AR43">
        <f>IF(A43="","",_xlfn.TEXTJOIN(", ",TRUE,IF(D43="Y","금융·리츠",""),IF(NOT(ISNUMBER(I43)),"영업이익 없음",IF(I43&lt;=0,"영업적자","")),IF(OR(NOT(ISNUMBER(G43)),NOT(ISNUMBER(H43))),"부채비율 자료 없음",IF(G43&lt;=0,"자본잠식",IF(H43/G43&gt;'설정'!$B$8,"부채비율 초과",""))),IF(NOT(ISNUMBER(L43)),"시총 없음",IF(L43&lt;'설정'!$B$9,"시총 미달",""))))</f>
        <v/>
      </c>
    </row>
    <row r="44">
      <c r="A44" s="18" t="n"/>
      <c r="B44" s="19" t="n"/>
      <c r="C44" s="19" t="n"/>
      <c r="D44" s="19" t="n"/>
      <c r="E44" s="19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7">
        <f>IF(A44="","",IF(C44="Y",IF(AF44=1,IF(AND(R44&lt;'설정'!$B$6,ISNUMBER($H$3)),IF(ROUND($H$3-R44,1)&gt;='설정'!$B$7,"교체 제안 → "&amp;$E$3&amp;" ("&amp;TEXT($H$3,"0.0")&amp;")","보유 유지"),"보유 유지"),"보유 · 점수 없음"),IF(AF44=1,IF(R44&gt;='설정'!$B$5,"편입 후보",""),"")))</f>
        <v/>
      </c>
      <c r="R44" s="15">
        <f>IF(AF44=1,ROUND(IF($B$3=1,50,(_xlfn.RANK.AVG(AO44,$AO$6:$AO$105,1)-1)/($B$3-1)*100),1),"")</f>
        <v/>
      </c>
      <c r="S44">
        <f>IF(A44="","",IF(AF44=1,_xlfn.TEXTJOIN(". ",TRUE,_xlfn.TEXTJOIN(", ",TRUE,IF(AK44&gt;='설정'!$B$20,"수익성 높음",""),IF(AL44&gt;='설정'!$B$20,"성장 빠름",""),IF(AM44&gt;='설정'!$B$20,"가격 쌈",""),IF(AN44&gt;='설정'!$B$20,"추세 좋음","")),_xlfn.TEXTJOIN(", ",TRUE,IF(AK44&lt;'설정'!$B$21,"수익성 낮음",""),IF(AL44&lt;'설정'!$B$21,"성장 느림",""),IF(AM44&lt;'설정'!$B$21,"가격 비쌈",""),IF(AN44&lt;'설정'!$B$21,"추세 약함","")),IF(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="","","보통: "&amp;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)),IF(X44="통과",AE44,X44)))</f>
        <v/>
      </c>
      <c r="T44">
        <f>IF(AF44=1,TEXT(Z44,"0.0%")&amp;" · 상위 "&amp;TEXT(($B$3-_xlfn.RANK.AVG(AG44,$AG$6:$AG$105,1)+1)/$B$3*100,"0")&amp;"%",IF(A44="","",IF(Z44="","결측",TEXT(Z44,"0.0%"))))</f>
        <v/>
      </c>
      <c r="U44">
        <f>IF(AF44=1,TEXT(AA44,"0.0%")&amp;" · 상위 "&amp;TEXT(($B$3-_xlfn.RANK.AVG(AH44,$AH$6:$AH$105,1)+1)/$B$3*100,"0")&amp;"%",IF(A44="","",IF(AA44="","결측",TEXT(AA44,"0.0%"))))</f>
        <v/>
      </c>
      <c r="V44">
        <f>IF(AF44=1,TEXT(AB44,"0.0%")&amp;" · 상위 "&amp;TEXT(($B$3-_xlfn.RANK.AVG(AI44,$AI$6:$AI$105,1)+1)/$B$3*100,"0")&amp;"%",IF(A44="","",IF(AB44="","결측",TEXT(AB44,"0.0%"))))</f>
        <v/>
      </c>
      <c r="W44">
        <f>IF(AF44=1,TEXT(AC44,"0.0%")&amp;" · 상위 "&amp;TEXT(($B$3-_xlfn.RANK.AVG(AJ44,$AJ$6:$AJ$105,1)+1)/$B$3*100,"0")&amp;"%",IF(A44="","",IF(AC44="","결측",TEXT(AC44,"0.0%"))))</f>
        <v/>
      </c>
      <c r="X44">
        <f>IF(A44="","",IF(AR44="","통과","제외: "&amp;AR44))</f>
        <v/>
      </c>
      <c r="Y44" s="21">
        <f>IF(AND(ISNUMBER(G44),ISNUMBER(H44)),IF(G44&gt;0,H44/G44,""),"")</f>
        <v/>
      </c>
      <c r="Z44" s="22">
        <f>IF(AND(ISNUMBER(F44),ISNUMBER(G44)),IF(G44&gt;0,F44/G44,""),"")</f>
        <v/>
      </c>
      <c r="AA44" s="22">
        <f>IF(AND(ISNUMBER(J44),ISNUMBER(K44)),IF(AND(J44&gt;0,K44&gt;0),(J44/K44)^(1/3)-1,""),"")</f>
        <v/>
      </c>
      <c r="AB44" s="22">
        <f>IF(AND(ISNUMBER(I44),ISNUMBER(L44),ISNUMBER(M44),ISNUMBER(N44)),IF((L44+M44-N44)&gt;0,I44/(L44+M44-N44),""),"")</f>
        <v/>
      </c>
      <c r="AC44" s="22">
        <f>IF(AND(ISNUMBER(O44),ISNUMBER(P44)),IF(AND(O44&gt;0,P44&gt;0),P44/O44-1,""),"")</f>
        <v/>
      </c>
      <c r="AD44">
        <f>_xlfn.TEXTJOIN(", ",TRUE,IF(Z44="","ROE",""),IF(AA44="","매출성장률",""),IF(AB44="","이익수익률",""),IF(AC44="","12-1 수익률",""))</f>
        <v/>
      </c>
      <c r="AE44">
        <f>IF(A44="","",IF(AR44&lt;&gt;"","점수 없음(거름망)",IF(AD44="","채점","점수 없음(결측: "&amp;AD44&amp;")")))</f>
        <v/>
      </c>
      <c r="AF44">
        <f>IF(AE44="채점",1,"")</f>
        <v/>
      </c>
      <c r="AG44">
        <f>IF(AF44=1,Z44,"")</f>
        <v/>
      </c>
      <c r="AH44">
        <f>IF(AF44=1,AA44,"")</f>
        <v/>
      </c>
      <c r="AI44">
        <f>IF(AF44=1,AB44,"")</f>
        <v/>
      </c>
      <c r="AJ44">
        <f>IF(AF44=1,AC44,"")</f>
        <v/>
      </c>
      <c r="AK44">
        <f>IF(AF44=1,IF($B$3=1,50,(_xlfn.RANK.AVG(AG44,$AG$6:$AG$105,1)-1)/($B$3-1)*100),"")</f>
        <v/>
      </c>
      <c r="AL44">
        <f>IF(AF44=1,IF($B$3=1,50,(_xlfn.RANK.AVG(AH44,$AH$6:$AH$105,1)-1)/($B$3-1)*100),"")</f>
        <v/>
      </c>
      <c r="AM44">
        <f>IF(AF44=1,IF($B$3=1,50,(_xlfn.RANK.AVG(AI44,$AI$6:$AI$105,1)-1)/($B$3-1)*100),"")</f>
        <v/>
      </c>
      <c r="AN44">
        <f>IF(AF44=1,IF($B$3=1,50,(_xlfn.RANK.AVG(AJ44,$AJ$6:$AJ$105,1)-1)/($B$3-1)*100),"")</f>
        <v/>
      </c>
      <c r="AO44">
        <f>IF(AF44=1,ROUND(AVERAGE(AK44:AN44),6),"")</f>
        <v/>
      </c>
      <c r="AP44">
        <f>IF(AND(AF44=1,C44&lt;&gt;"Y"),R44,"")</f>
        <v/>
      </c>
      <c r="AQ44">
        <f>IF(AND(ISNUMBER(AP44),Q44="편입 후보"),AP44+(1000-ROW())/1000000,"")</f>
        <v/>
      </c>
      <c r="AR44">
        <f>IF(A44="","",_xlfn.TEXTJOIN(", ",TRUE,IF(D44="Y","금융·리츠",""),IF(NOT(ISNUMBER(I44)),"영업이익 없음",IF(I44&lt;=0,"영업적자","")),IF(OR(NOT(ISNUMBER(G44)),NOT(ISNUMBER(H44))),"부채비율 자료 없음",IF(G44&lt;=0,"자본잠식",IF(H44/G44&gt;'설정'!$B$8,"부채비율 초과",""))),IF(NOT(ISNUMBER(L44)),"시총 없음",IF(L44&lt;'설정'!$B$9,"시총 미달",""))))</f>
        <v/>
      </c>
    </row>
    <row r="45">
      <c r="A45" s="18" t="n"/>
      <c r="B45" s="19" t="n"/>
      <c r="C45" s="19" t="n"/>
      <c r="D45" s="19" t="n"/>
      <c r="E45" s="19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7">
        <f>IF(A45="","",IF(C45="Y",IF(AF45=1,IF(AND(R45&lt;'설정'!$B$6,ISNUMBER($H$3)),IF(ROUND($H$3-R45,1)&gt;='설정'!$B$7,"교체 제안 → "&amp;$E$3&amp;" ("&amp;TEXT($H$3,"0.0")&amp;")","보유 유지"),"보유 유지"),"보유 · 점수 없음"),IF(AF45=1,IF(R45&gt;='설정'!$B$5,"편입 후보",""),"")))</f>
        <v/>
      </c>
      <c r="R45" s="15">
        <f>IF(AF45=1,ROUND(IF($B$3=1,50,(_xlfn.RANK.AVG(AO45,$AO$6:$AO$105,1)-1)/($B$3-1)*100),1),"")</f>
        <v/>
      </c>
      <c r="S45">
        <f>IF(A45="","",IF(AF45=1,_xlfn.TEXTJOIN(". ",TRUE,_xlfn.TEXTJOIN(", ",TRUE,IF(AK45&gt;='설정'!$B$20,"수익성 높음",""),IF(AL45&gt;='설정'!$B$20,"성장 빠름",""),IF(AM45&gt;='설정'!$B$20,"가격 쌈",""),IF(AN45&gt;='설정'!$B$20,"추세 좋음","")),_xlfn.TEXTJOIN(", ",TRUE,IF(AK45&lt;'설정'!$B$21,"수익성 낮음",""),IF(AL45&lt;'설정'!$B$21,"성장 느림",""),IF(AM45&lt;'설정'!$B$21,"가격 비쌈",""),IF(AN45&lt;'설정'!$B$21,"추세 약함","")),IF(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="","","보통: "&amp;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)),IF(X45="통과",AE45,X45)))</f>
        <v/>
      </c>
      <c r="T45">
        <f>IF(AF45=1,TEXT(Z45,"0.0%")&amp;" · 상위 "&amp;TEXT(($B$3-_xlfn.RANK.AVG(AG45,$AG$6:$AG$105,1)+1)/$B$3*100,"0")&amp;"%",IF(A45="","",IF(Z45="","결측",TEXT(Z45,"0.0%"))))</f>
        <v/>
      </c>
      <c r="U45">
        <f>IF(AF45=1,TEXT(AA45,"0.0%")&amp;" · 상위 "&amp;TEXT(($B$3-_xlfn.RANK.AVG(AH45,$AH$6:$AH$105,1)+1)/$B$3*100,"0")&amp;"%",IF(A45="","",IF(AA45="","결측",TEXT(AA45,"0.0%"))))</f>
        <v/>
      </c>
      <c r="V45">
        <f>IF(AF45=1,TEXT(AB45,"0.0%")&amp;" · 상위 "&amp;TEXT(($B$3-_xlfn.RANK.AVG(AI45,$AI$6:$AI$105,1)+1)/$B$3*100,"0")&amp;"%",IF(A45="","",IF(AB45="","결측",TEXT(AB45,"0.0%"))))</f>
        <v/>
      </c>
      <c r="W45">
        <f>IF(AF45=1,TEXT(AC45,"0.0%")&amp;" · 상위 "&amp;TEXT(($B$3-_xlfn.RANK.AVG(AJ45,$AJ$6:$AJ$105,1)+1)/$B$3*100,"0")&amp;"%",IF(A45="","",IF(AC45="","결측",TEXT(AC45,"0.0%"))))</f>
        <v/>
      </c>
      <c r="X45">
        <f>IF(A45="","",IF(AR45="","통과","제외: "&amp;AR45))</f>
        <v/>
      </c>
      <c r="Y45" s="21">
        <f>IF(AND(ISNUMBER(G45),ISNUMBER(H45)),IF(G45&gt;0,H45/G45,""),"")</f>
        <v/>
      </c>
      <c r="Z45" s="22">
        <f>IF(AND(ISNUMBER(F45),ISNUMBER(G45)),IF(G45&gt;0,F45/G45,""),"")</f>
        <v/>
      </c>
      <c r="AA45" s="22">
        <f>IF(AND(ISNUMBER(J45),ISNUMBER(K45)),IF(AND(J45&gt;0,K45&gt;0),(J45/K45)^(1/3)-1,""),"")</f>
        <v/>
      </c>
      <c r="AB45" s="22">
        <f>IF(AND(ISNUMBER(I45),ISNUMBER(L45),ISNUMBER(M45),ISNUMBER(N45)),IF((L45+M45-N45)&gt;0,I45/(L45+M45-N45),""),"")</f>
        <v/>
      </c>
      <c r="AC45" s="22">
        <f>IF(AND(ISNUMBER(O45),ISNUMBER(P45)),IF(AND(O45&gt;0,P45&gt;0),P45/O45-1,""),"")</f>
        <v/>
      </c>
      <c r="AD45">
        <f>_xlfn.TEXTJOIN(", ",TRUE,IF(Z45="","ROE",""),IF(AA45="","매출성장률",""),IF(AB45="","이익수익률",""),IF(AC45="","12-1 수익률",""))</f>
        <v/>
      </c>
      <c r="AE45">
        <f>IF(A45="","",IF(AR45&lt;&gt;"","점수 없음(거름망)",IF(AD45="","채점","점수 없음(결측: "&amp;AD45&amp;")")))</f>
        <v/>
      </c>
      <c r="AF45">
        <f>IF(AE45="채점",1,"")</f>
        <v/>
      </c>
      <c r="AG45">
        <f>IF(AF45=1,Z45,"")</f>
        <v/>
      </c>
      <c r="AH45">
        <f>IF(AF45=1,AA45,"")</f>
        <v/>
      </c>
      <c r="AI45">
        <f>IF(AF45=1,AB45,"")</f>
        <v/>
      </c>
      <c r="AJ45">
        <f>IF(AF45=1,AC45,"")</f>
        <v/>
      </c>
      <c r="AK45">
        <f>IF(AF45=1,IF($B$3=1,50,(_xlfn.RANK.AVG(AG45,$AG$6:$AG$105,1)-1)/($B$3-1)*100),"")</f>
        <v/>
      </c>
      <c r="AL45">
        <f>IF(AF45=1,IF($B$3=1,50,(_xlfn.RANK.AVG(AH45,$AH$6:$AH$105,1)-1)/($B$3-1)*100),"")</f>
        <v/>
      </c>
      <c r="AM45">
        <f>IF(AF45=1,IF($B$3=1,50,(_xlfn.RANK.AVG(AI45,$AI$6:$AI$105,1)-1)/($B$3-1)*100),"")</f>
        <v/>
      </c>
      <c r="AN45">
        <f>IF(AF45=1,IF($B$3=1,50,(_xlfn.RANK.AVG(AJ45,$AJ$6:$AJ$105,1)-1)/($B$3-1)*100),"")</f>
        <v/>
      </c>
      <c r="AO45">
        <f>IF(AF45=1,ROUND(AVERAGE(AK45:AN45),6),"")</f>
        <v/>
      </c>
      <c r="AP45">
        <f>IF(AND(AF45=1,C45&lt;&gt;"Y"),R45,"")</f>
        <v/>
      </c>
      <c r="AQ45">
        <f>IF(AND(ISNUMBER(AP45),Q45="편입 후보"),AP45+(1000-ROW())/1000000,"")</f>
        <v/>
      </c>
      <c r="AR45">
        <f>IF(A45="","",_xlfn.TEXTJOIN(", ",TRUE,IF(D45="Y","금융·리츠",""),IF(NOT(ISNUMBER(I45)),"영업이익 없음",IF(I45&lt;=0,"영업적자","")),IF(OR(NOT(ISNUMBER(G45)),NOT(ISNUMBER(H45))),"부채비율 자료 없음",IF(G45&lt;=0,"자본잠식",IF(H45/G45&gt;'설정'!$B$8,"부채비율 초과",""))),IF(NOT(ISNUMBER(L45)),"시총 없음",IF(L45&lt;'설정'!$B$9,"시총 미달",""))))</f>
        <v/>
      </c>
    </row>
    <row r="46">
      <c r="A46" s="18" t="n"/>
      <c r="B46" s="19" t="n"/>
      <c r="C46" s="19" t="n"/>
      <c r="D46" s="19" t="n"/>
      <c r="E46" s="19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7">
        <f>IF(A46="","",IF(C46="Y",IF(AF46=1,IF(AND(R46&lt;'설정'!$B$6,ISNUMBER($H$3)),IF(ROUND($H$3-R46,1)&gt;='설정'!$B$7,"교체 제안 → "&amp;$E$3&amp;" ("&amp;TEXT($H$3,"0.0")&amp;")","보유 유지"),"보유 유지"),"보유 · 점수 없음"),IF(AF46=1,IF(R46&gt;='설정'!$B$5,"편입 후보",""),"")))</f>
        <v/>
      </c>
      <c r="R46" s="15">
        <f>IF(AF46=1,ROUND(IF($B$3=1,50,(_xlfn.RANK.AVG(AO46,$AO$6:$AO$105,1)-1)/($B$3-1)*100),1),"")</f>
        <v/>
      </c>
      <c r="S46">
        <f>IF(A46="","",IF(AF46=1,_xlfn.TEXTJOIN(". ",TRUE,_xlfn.TEXTJOIN(", ",TRUE,IF(AK46&gt;='설정'!$B$20,"수익성 높음",""),IF(AL46&gt;='설정'!$B$20,"성장 빠름",""),IF(AM46&gt;='설정'!$B$20,"가격 쌈",""),IF(AN46&gt;='설정'!$B$20,"추세 좋음","")),_xlfn.TEXTJOIN(", ",TRUE,IF(AK46&lt;'설정'!$B$21,"수익성 낮음",""),IF(AL46&lt;'설정'!$B$21,"성장 느림",""),IF(AM46&lt;'설정'!$B$21,"가격 비쌈",""),IF(AN46&lt;'설정'!$B$21,"추세 약함","")),IF(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="","","보통: "&amp;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)),IF(X46="통과",AE46,X46)))</f>
        <v/>
      </c>
      <c r="T46">
        <f>IF(AF46=1,TEXT(Z46,"0.0%")&amp;" · 상위 "&amp;TEXT(($B$3-_xlfn.RANK.AVG(AG46,$AG$6:$AG$105,1)+1)/$B$3*100,"0")&amp;"%",IF(A46="","",IF(Z46="","결측",TEXT(Z46,"0.0%"))))</f>
        <v/>
      </c>
      <c r="U46">
        <f>IF(AF46=1,TEXT(AA46,"0.0%")&amp;" · 상위 "&amp;TEXT(($B$3-_xlfn.RANK.AVG(AH46,$AH$6:$AH$105,1)+1)/$B$3*100,"0")&amp;"%",IF(A46="","",IF(AA46="","결측",TEXT(AA46,"0.0%"))))</f>
        <v/>
      </c>
      <c r="V46">
        <f>IF(AF46=1,TEXT(AB46,"0.0%")&amp;" · 상위 "&amp;TEXT(($B$3-_xlfn.RANK.AVG(AI46,$AI$6:$AI$105,1)+1)/$B$3*100,"0")&amp;"%",IF(A46="","",IF(AB46="","결측",TEXT(AB46,"0.0%"))))</f>
        <v/>
      </c>
      <c r="W46">
        <f>IF(AF46=1,TEXT(AC46,"0.0%")&amp;" · 상위 "&amp;TEXT(($B$3-_xlfn.RANK.AVG(AJ46,$AJ$6:$AJ$105,1)+1)/$B$3*100,"0")&amp;"%",IF(A46="","",IF(AC46="","결측",TEXT(AC46,"0.0%"))))</f>
        <v/>
      </c>
      <c r="X46">
        <f>IF(A46="","",IF(AR46="","통과","제외: "&amp;AR46))</f>
        <v/>
      </c>
      <c r="Y46" s="21">
        <f>IF(AND(ISNUMBER(G46),ISNUMBER(H46)),IF(G46&gt;0,H46/G46,""),"")</f>
        <v/>
      </c>
      <c r="Z46" s="22">
        <f>IF(AND(ISNUMBER(F46),ISNUMBER(G46)),IF(G46&gt;0,F46/G46,""),"")</f>
        <v/>
      </c>
      <c r="AA46" s="22">
        <f>IF(AND(ISNUMBER(J46),ISNUMBER(K46)),IF(AND(J46&gt;0,K46&gt;0),(J46/K46)^(1/3)-1,""),"")</f>
        <v/>
      </c>
      <c r="AB46" s="22">
        <f>IF(AND(ISNUMBER(I46),ISNUMBER(L46),ISNUMBER(M46),ISNUMBER(N46)),IF((L46+M46-N46)&gt;0,I46/(L46+M46-N46),""),"")</f>
        <v/>
      </c>
      <c r="AC46" s="22">
        <f>IF(AND(ISNUMBER(O46),ISNUMBER(P46)),IF(AND(O46&gt;0,P46&gt;0),P46/O46-1,""),"")</f>
        <v/>
      </c>
      <c r="AD46">
        <f>_xlfn.TEXTJOIN(", ",TRUE,IF(Z46="","ROE",""),IF(AA46="","매출성장률",""),IF(AB46="","이익수익률",""),IF(AC46="","12-1 수익률",""))</f>
        <v/>
      </c>
      <c r="AE46">
        <f>IF(A46="","",IF(AR46&lt;&gt;"","점수 없음(거름망)",IF(AD46="","채점","점수 없음(결측: "&amp;AD46&amp;")")))</f>
        <v/>
      </c>
      <c r="AF46">
        <f>IF(AE46="채점",1,"")</f>
        <v/>
      </c>
      <c r="AG46">
        <f>IF(AF46=1,Z46,"")</f>
        <v/>
      </c>
      <c r="AH46">
        <f>IF(AF46=1,AA46,"")</f>
        <v/>
      </c>
      <c r="AI46">
        <f>IF(AF46=1,AB46,"")</f>
        <v/>
      </c>
      <c r="AJ46">
        <f>IF(AF46=1,AC46,"")</f>
        <v/>
      </c>
      <c r="AK46">
        <f>IF(AF46=1,IF($B$3=1,50,(_xlfn.RANK.AVG(AG46,$AG$6:$AG$105,1)-1)/($B$3-1)*100),"")</f>
        <v/>
      </c>
      <c r="AL46">
        <f>IF(AF46=1,IF($B$3=1,50,(_xlfn.RANK.AVG(AH46,$AH$6:$AH$105,1)-1)/($B$3-1)*100),"")</f>
        <v/>
      </c>
      <c r="AM46">
        <f>IF(AF46=1,IF($B$3=1,50,(_xlfn.RANK.AVG(AI46,$AI$6:$AI$105,1)-1)/($B$3-1)*100),"")</f>
        <v/>
      </c>
      <c r="AN46">
        <f>IF(AF46=1,IF($B$3=1,50,(_xlfn.RANK.AVG(AJ46,$AJ$6:$AJ$105,1)-1)/($B$3-1)*100),"")</f>
        <v/>
      </c>
      <c r="AO46">
        <f>IF(AF46=1,ROUND(AVERAGE(AK46:AN46),6),"")</f>
        <v/>
      </c>
      <c r="AP46">
        <f>IF(AND(AF46=1,C46&lt;&gt;"Y"),R46,"")</f>
        <v/>
      </c>
      <c r="AQ46">
        <f>IF(AND(ISNUMBER(AP46),Q46="편입 후보"),AP46+(1000-ROW())/1000000,"")</f>
        <v/>
      </c>
      <c r="AR46">
        <f>IF(A46="","",_xlfn.TEXTJOIN(", ",TRUE,IF(D46="Y","금융·리츠",""),IF(NOT(ISNUMBER(I46)),"영업이익 없음",IF(I46&lt;=0,"영업적자","")),IF(OR(NOT(ISNUMBER(G46)),NOT(ISNUMBER(H46))),"부채비율 자료 없음",IF(G46&lt;=0,"자본잠식",IF(H46/G46&gt;'설정'!$B$8,"부채비율 초과",""))),IF(NOT(ISNUMBER(L46)),"시총 없음",IF(L46&lt;'설정'!$B$9,"시총 미달",""))))</f>
        <v/>
      </c>
    </row>
    <row r="47">
      <c r="A47" s="18" t="n"/>
      <c r="B47" s="19" t="n"/>
      <c r="C47" s="19" t="n"/>
      <c r="D47" s="19" t="n"/>
      <c r="E47" s="19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7">
        <f>IF(A47="","",IF(C47="Y",IF(AF47=1,IF(AND(R47&lt;'설정'!$B$6,ISNUMBER($H$3)),IF(ROUND($H$3-R47,1)&gt;='설정'!$B$7,"교체 제안 → "&amp;$E$3&amp;" ("&amp;TEXT($H$3,"0.0")&amp;")","보유 유지"),"보유 유지"),"보유 · 점수 없음"),IF(AF47=1,IF(R47&gt;='설정'!$B$5,"편입 후보",""),"")))</f>
        <v/>
      </c>
      <c r="R47" s="15">
        <f>IF(AF47=1,ROUND(IF($B$3=1,50,(_xlfn.RANK.AVG(AO47,$AO$6:$AO$105,1)-1)/($B$3-1)*100),1),"")</f>
        <v/>
      </c>
      <c r="S47">
        <f>IF(A47="","",IF(AF47=1,_xlfn.TEXTJOIN(". ",TRUE,_xlfn.TEXTJOIN(", ",TRUE,IF(AK47&gt;='설정'!$B$20,"수익성 높음",""),IF(AL47&gt;='설정'!$B$20,"성장 빠름",""),IF(AM47&gt;='설정'!$B$20,"가격 쌈",""),IF(AN47&gt;='설정'!$B$20,"추세 좋음","")),_xlfn.TEXTJOIN(", ",TRUE,IF(AK47&lt;'설정'!$B$21,"수익성 낮음",""),IF(AL47&lt;'설정'!$B$21,"성장 느림",""),IF(AM47&lt;'설정'!$B$21,"가격 비쌈",""),IF(AN47&lt;'설정'!$B$21,"추세 약함","")),IF(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="","","보통: "&amp;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)),IF(X47="통과",AE47,X47)))</f>
        <v/>
      </c>
      <c r="T47">
        <f>IF(AF47=1,TEXT(Z47,"0.0%")&amp;" · 상위 "&amp;TEXT(($B$3-_xlfn.RANK.AVG(AG47,$AG$6:$AG$105,1)+1)/$B$3*100,"0")&amp;"%",IF(A47="","",IF(Z47="","결측",TEXT(Z47,"0.0%"))))</f>
        <v/>
      </c>
      <c r="U47">
        <f>IF(AF47=1,TEXT(AA47,"0.0%")&amp;" · 상위 "&amp;TEXT(($B$3-_xlfn.RANK.AVG(AH47,$AH$6:$AH$105,1)+1)/$B$3*100,"0")&amp;"%",IF(A47="","",IF(AA47="","결측",TEXT(AA47,"0.0%"))))</f>
        <v/>
      </c>
      <c r="V47">
        <f>IF(AF47=1,TEXT(AB47,"0.0%")&amp;" · 상위 "&amp;TEXT(($B$3-_xlfn.RANK.AVG(AI47,$AI$6:$AI$105,1)+1)/$B$3*100,"0")&amp;"%",IF(A47="","",IF(AB47="","결측",TEXT(AB47,"0.0%"))))</f>
        <v/>
      </c>
      <c r="W47">
        <f>IF(AF47=1,TEXT(AC47,"0.0%")&amp;" · 상위 "&amp;TEXT(($B$3-_xlfn.RANK.AVG(AJ47,$AJ$6:$AJ$105,1)+1)/$B$3*100,"0")&amp;"%",IF(A47="","",IF(AC47="","결측",TEXT(AC47,"0.0%"))))</f>
        <v/>
      </c>
      <c r="X47">
        <f>IF(A47="","",IF(AR47="","통과","제외: "&amp;AR47))</f>
        <v/>
      </c>
      <c r="Y47" s="21">
        <f>IF(AND(ISNUMBER(G47),ISNUMBER(H47)),IF(G47&gt;0,H47/G47,""),"")</f>
        <v/>
      </c>
      <c r="Z47" s="22">
        <f>IF(AND(ISNUMBER(F47),ISNUMBER(G47)),IF(G47&gt;0,F47/G47,""),"")</f>
        <v/>
      </c>
      <c r="AA47" s="22">
        <f>IF(AND(ISNUMBER(J47),ISNUMBER(K47)),IF(AND(J47&gt;0,K47&gt;0),(J47/K47)^(1/3)-1,""),"")</f>
        <v/>
      </c>
      <c r="AB47" s="22">
        <f>IF(AND(ISNUMBER(I47),ISNUMBER(L47),ISNUMBER(M47),ISNUMBER(N47)),IF((L47+M47-N47)&gt;0,I47/(L47+M47-N47),""),"")</f>
        <v/>
      </c>
      <c r="AC47" s="22">
        <f>IF(AND(ISNUMBER(O47),ISNUMBER(P47)),IF(AND(O47&gt;0,P47&gt;0),P47/O47-1,""),"")</f>
        <v/>
      </c>
      <c r="AD47">
        <f>_xlfn.TEXTJOIN(", ",TRUE,IF(Z47="","ROE",""),IF(AA47="","매출성장률",""),IF(AB47="","이익수익률",""),IF(AC47="","12-1 수익률",""))</f>
        <v/>
      </c>
      <c r="AE47">
        <f>IF(A47="","",IF(AR47&lt;&gt;"","점수 없음(거름망)",IF(AD47="","채점","점수 없음(결측: "&amp;AD47&amp;")")))</f>
        <v/>
      </c>
      <c r="AF47">
        <f>IF(AE47="채점",1,"")</f>
        <v/>
      </c>
      <c r="AG47">
        <f>IF(AF47=1,Z47,"")</f>
        <v/>
      </c>
      <c r="AH47">
        <f>IF(AF47=1,AA47,"")</f>
        <v/>
      </c>
      <c r="AI47">
        <f>IF(AF47=1,AB47,"")</f>
        <v/>
      </c>
      <c r="AJ47">
        <f>IF(AF47=1,AC47,"")</f>
        <v/>
      </c>
      <c r="AK47">
        <f>IF(AF47=1,IF($B$3=1,50,(_xlfn.RANK.AVG(AG47,$AG$6:$AG$105,1)-1)/($B$3-1)*100),"")</f>
        <v/>
      </c>
      <c r="AL47">
        <f>IF(AF47=1,IF($B$3=1,50,(_xlfn.RANK.AVG(AH47,$AH$6:$AH$105,1)-1)/($B$3-1)*100),"")</f>
        <v/>
      </c>
      <c r="AM47">
        <f>IF(AF47=1,IF($B$3=1,50,(_xlfn.RANK.AVG(AI47,$AI$6:$AI$105,1)-1)/($B$3-1)*100),"")</f>
        <v/>
      </c>
      <c r="AN47">
        <f>IF(AF47=1,IF($B$3=1,50,(_xlfn.RANK.AVG(AJ47,$AJ$6:$AJ$105,1)-1)/($B$3-1)*100),"")</f>
        <v/>
      </c>
      <c r="AO47">
        <f>IF(AF47=1,ROUND(AVERAGE(AK47:AN47),6),"")</f>
        <v/>
      </c>
      <c r="AP47">
        <f>IF(AND(AF47=1,C47&lt;&gt;"Y"),R47,"")</f>
        <v/>
      </c>
      <c r="AQ47">
        <f>IF(AND(ISNUMBER(AP47),Q47="편입 후보"),AP47+(1000-ROW())/1000000,"")</f>
        <v/>
      </c>
      <c r="AR47">
        <f>IF(A47="","",_xlfn.TEXTJOIN(", ",TRUE,IF(D47="Y","금융·리츠",""),IF(NOT(ISNUMBER(I47)),"영업이익 없음",IF(I47&lt;=0,"영업적자","")),IF(OR(NOT(ISNUMBER(G47)),NOT(ISNUMBER(H47))),"부채비율 자료 없음",IF(G47&lt;=0,"자본잠식",IF(H47/G47&gt;'설정'!$B$8,"부채비율 초과",""))),IF(NOT(ISNUMBER(L47)),"시총 없음",IF(L47&lt;'설정'!$B$9,"시총 미달",""))))</f>
        <v/>
      </c>
    </row>
    <row r="48">
      <c r="A48" s="18" t="n"/>
      <c r="B48" s="19" t="n"/>
      <c r="C48" s="19" t="n"/>
      <c r="D48" s="19" t="n"/>
      <c r="E48" s="19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7">
        <f>IF(A48="","",IF(C48="Y",IF(AF48=1,IF(AND(R48&lt;'설정'!$B$6,ISNUMBER($H$3)),IF(ROUND($H$3-R48,1)&gt;='설정'!$B$7,"교체 제안 → "&amp;$E$3&amp;" ("&amp;TEXT($H$3,"0.0")&amp;")","보유 유지"),"보유 유지"),"보유 · 점수 없음"),IF(AF48=1,IF(R48&gt;='설정'!$B$5,"편입 후보",""),"")))</f>
        <v/>
      </c>
      <c r="R48" s="15">
        <f>IF(AF48=1,ROUND(IF($B$3=1,50,(_xlfn.RANK.AVG(AO48,$AO$6:$AO$105,1)-1)/($B$3-1)*100),1),"")</f>
        <v/>
      </c>
      <c r="S48">
        <f>IF(A48="","",IF(AF48=1,_xlfn.TEXTJOIN(". ",TRUE,_xlfn.TEXTJOIN(", ",TRUE,IF(AK48&gt;='설정'!$B$20,"수익성 높음",""),IF(AL48&gt;='설정'!$B$20,"성장 빠름",""),IF(AM48&gt;='설정'!$B$20,"가격 쌈",""),IF(AN48&gt;='설정'!$B$20,"추세 좋음","")),_xlfn.TEXTJOIN(", ",TRUE,IF(AK48&lt;'설정'!$B$21,"수익성 낮음",""),IF(AL48&lt;'설정'!$B$21,"성장 느림",""),IF(AM48&lt;'설정'!$B$21,"가격 비쌈",""),IF(AN48&lt;'설정'!$B$21,"추세 약함","")),IF(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="","","보통: "&amp;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)),IF(X48="통과",AE48,X48)))</f>
        <v/>
      </c>
      <c r="T48">
        <f>IF(AF48=1,TEXT(Z48,"0.0%")&amp;" · 상위 "&amp;TEXT(($B$3-_xlfn.RANK.AVG(AG48,$AG$6:$AG$105,1)+1)/$B$3*100,"0")&amp;"%",IF(A48="","",IF(Z48="","결측",TEXT(Z48,"0.0%"))))</f>
        <v/>
      </c>
      <c r="U48">
        <f>IF(AF48=1,TEXT(AA48,"0.0%")&amp;" · 상위 "&amp;TEXT(($B$3-_xlfn.RANK.AVG(AH48,$AH$6:$AH$105,1)+1)/$B$3*100,"0")&amp;"%",IF(A48="","",IF(AA48="","결측",TEXT(AA48,"0.0%"))))</f>
        <v/>
      </c>
      <c r="V48">
        <f>IF(AF48=1,TEXT(AB48,"0.0%")&amp;" · 상위 "&amp;TEXT(($B$3-_xlfn.RANK.AVG(AI48,$AI$6:$AI$105,1)+1)/$B$3*100,"0")&amp;"%",IF(A48="","",IF(AB48="","결측",TEXT(AB48,"0.0%"))))</f>
        <v/>
      </c>
      <c r="W48">
        <f>IF(AF48=1,TEXT(AC48,"0.0%")&amp;" · 상위 "&amp;TEXT(($B$3-_xlfn.RANK.AVG(AJ48,$AJ$6:$AJ$105,1)+1)/$B$3*100,"0")&amp;"%",IF(A48="","",IF(AC48="","결측",TEXT(AC48,"0.0%"))))</f>
        <v/>
      </c>
      <c r="X48">
        <f>IF(A48="","",IF(AR48="","통과","제외: "&amp;AR48))</f>
        <v/>
      </c>
      <c r="Y48" s="21">
        <f>IF(AND(ISNUMBER(G48),ISNUMBER(H48)),IF(G48&gt;0,H48/G48,""),"")</f>
        <v/>
      </c>
      <c r="Z48" s="22">
        <f>IF(AND(ISNUMBER(F48),ISNUMBER(G48)),IF(G48&gt;0,F48/G48,""),"")</f>
        <v/>
      </c>
      <c r="AA48" s="22">
        <f>IF(AND(ISNUMBER(J48),ISNUMBER(K48)),IF(AND(J48&gt;0,K48&gt;0),(J48/K48)^(1/3)-1,""),"")</f>
        <v/>
      </c>
      <c r="AB48" s="22">
        <f>IF(AND(ISNUMBER(I48),ISNUMBER(L48),ISNUMBER(M48),ISNUMBER(N48)),IF((L48+M48-N48)&gt;0,I48/(L48+M48-N48),""),"")</f>
        <v/>
      </c>
      <c r="AC48" s="22">
        <f>IF(AND(ISNUMBER(O48),ISNUMBER(P48)),IF(AND(O48&gt;0,P48&gt;0),P48/O48-1,""),"")</f>
        <v/>
      </c>
      <c r="AD48">
        <f>_xlfn.TEXTJOIN(", ",TRUE,IF(Z48="","ROE",""),IF(AA48="","매출성장률",""),IF(AB48="","이익수익률",""),IF(AC48="","12-1 수익률",""))</f>
        <v/>
      </c>
      <c r="AE48">
        <f>IF(A48="","",IF(AR48&lt;&gt;"","점수 없음(거름망)",IF(AD48="","채점","점수 없음(결측: "&amp;AD48&amp;")")))</f>
        <v/>
      </c>
      <c r="AF48">
        <f>IF(AE48="채점",1,"")</f>
        <v/>
      </c>
      <c r="AG48">
        <f>IF(AF48=1,Z48,"")</f>
        <v/>
      </c>
      <c r="AH48">
        <f>IF(AF48=1,AA48,"")</f>
        <v/>
      </c>
      <c r="AI48">
        <f>IF(AF48=1,AB48,"")</f>
        <v/>
      </c>
      <c r="AJ48">
        <f>IF(AF48=1,AC48,"")</f>
        <v/>
      </c>
      <c r="AK48">
        <f>IF(AF48=1,IF($B$3=1,50,(_xlfn.RANK.AVG(AG48,$AG$6:$AG$105,1)-1)/($B$3-1)*100),"")</f>
        <v/>
      </c>
      <c r="AL48">
        <f>IF(AF48=1,IF($B$3=1,50,(_xlfn.RANK.AVG(AH48,$AH$6:$AH$105,1)-1)/($B$3-1)*100),"")</f>
        <v/>
      </c>
      <c r="AM48">
        <f>IF(AF48=1,IF($B$3=1,50,(_xlfn.RANK.AVG(AI48,$AI$6:$AI$105,1)-1)/($B$3-1)*100),"")</f>
        <v/>
      </c>
      <c r="AN48">
        <f>IF(AF48=1,IF($B$3=1,50,(_xlfn.RANK.AVG(AJ48,$AJ$6:$AJ$105,1)-1)/($B$3-1)*100),"")</f>
        <v/>
      </c>
      <c r="AO48">
        <f>IF(AF48=1,ROUND(AVERAGE(AK48:AN48),6),"")</f>
        <v/>
      </c>
      <c r="AP48">
        <f>IF(AND(AF48=1,C48&lt;&gt;"Y"),R48,"")</f>
        <v/>
      </c>
      <c r="AQ48">
        <f>IF(AND(ISNUMBER(AP48),Q48="편입 후보"),AP48+(1000-ROW())/1000000,"")</f>
        <v/>
      </c>
      <c r="AR48">
        <f>IF(A48="","",_xlfn.TEXTJOIN(", ",TRUE,IF(D48="Y","금융·리츠",""),IF(NOT(ISNUMBER(I48)),"영업이익 없음",IF(I48&lt;=0,"영업적자","")),IF(OR(NOT(ISNUMBER(G48)),NOT(ISNUMBER(H48))),"부채비율 자료 없음",IF(G48&lt;=0,"자본잠식",IF(H48/G48&gt;'설정'!$B$8,"부채비율 초과",""))),IF(NOT(ISNUMBER(L48)),"시총 없음",IF(L48&lt;'설정'!$B$9,"시총 미달",""))))</f>
        <v/>
      </c>
    </row>
    <row r="49">
      <c r="A49" s="18" t="n"/>
      <c r="B49" s="19" t="n"/>
      <c r="C49" s="19" t="n"/>
      <c r="D49" s="19" t="n"/>
      <c r="E49" s="19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7">
        <f>IF(A49="","",IF(C49="Y",IF(AF49=1,IF(AND(R49&lt;'설정'!$B$6,ISNUMBER($H$3)),IF(ROUND($H$3-R49,1)&gt;='설정'!$B$7,"교체 제안 → "&amp;$E$3&amp;" ("&amp;TEXT($H$3,"0.0")&amp;")","보유 유지"),"보유 유지"),"보유 · 점수 없음"),IF(AF49=1,IF(R49&gt;='설정'!$B$5,"편입 후보",""),"")))</f>
        <v/>
      </c>
      <c r="R49" s="15">
        <f>IF(AF49=1,ROUND(IF($B$3=1,50,(_xlfn.RANK.AVG(AO49,$AO$6:$AO$105,1)-1)/($B$3-1)*100),1),"")</f>
        <v/>
      </c>
      <c r="S49">
        <f>IF(A49="","",IF(AF49=1,_xlfn.TEXTJOIN(". ",TRUE,_xlfn.TEXTJOIN(", ",TRUE,IF(AK49&gt;='설정'!$B$20,"수익성 높음",""),IF(AL49&gt;='설정'!$B$20,"성장 빠름",""),IF(AM49&gt;='설정'!$B$20,"가격 쌈",""),IF(AN49&gt;='설정'!$B$20,"추세 좋음","")),_xlfn.TEXTJOIN(", ",TRUE,IF(AK49&lt;'설정'!$B$21,"수익성 낮음",""),IF(AL49&lt;'설정'!$B$21,"성장 느림",""),IF(AM49&lt;'설정'!$B$21,"가격 비쌈",""),IF(AN49&lt;'설정'!$B$21,"추세 약함","")),IF(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="","","보통: "&amp;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)),IF(X49="통과",AE49,X49)))</f>
        <v/>
      </c>
      <c r="T49">
        <f>IF(AF49=1,TEXT(Z49,"0.0%")&amp;" · 상위 "&amp;TEXT(($B$3-_xlfn.RANK.AVG(AG49,$AG$6:$AG$105,1)+1)/$B$3*100,"0")&amp;"%",IF(A49="","",IF(Z49="","결측",TEXT(Z49,"0.0%"))))</f>
        <v/>
      </c>
      <c r="U49">
        <f>IF(AF49=1,TEXT(AA49,"0.0%")&amp;" · 상위 "&amp;TEXT(($B$3-_xlfn.RANK.AVG(AH49,$AH$6:$AH$105,1)+1)/$B$3*100,"0")&amp;"%",IF(A49="","",IF(AA49="","결측",TEXT(AA49,"0.0%"))))</f>
        <v/>
      </c>
      <c r="V49">
        <f>IF(AF49=1,TEXT(AB49,"0.0%")&amp;" · 상위 "&amp;TEXT(($B$3-_xlfn.RANK.AVG(AI49,$AI$6:$AI$105,1)+1)/$B$3*100,"0")&amp;"%",IF(A49="","",IF(AB49="","결측",TEXT(AB49,"0.0%"))))</f>
        <v/>
      </c>
      <c r="W49">
        <f>IF(AF49=1,TEXT(AC49,"0.0%")&amp;" · 상위 "&amp;TEXT(($B$3-_xlfn.RANK.AVG(AJ49,$AJ$6:$AJ$105,1)+1)/$B$3*100,"0")&amp;"%",IF(A49="","",IF(AC49="","결측",TEXT(AC49,"0.0%"))))</f>
        <v/>
      </c>
      <c r="X49">
        <f>IF(A49="","",IF(AR49="","통과","제외: "&amp;AR49))</f>
        <v/>
      </c>
      <c r="Y49" s="21">
        <f>IF(AND(ISNUMBER(G49),ISNUMBER(H49)),IF(G49&gt;0,H49/G49,""),"")</f>
        <v/>
      </c>
      <c r="Z49" s="22">
        <f>IF(AND(ISNUMBER(F49),ISNUMBER(G49)),IF(G49&gt;0,F49/G49,""),"")</f>
        <v/>
      </c>
      <c r="AA49" s="22">
        <f>IF(AND(ISNUMBER(J49),ISNUMBER(K49)),IF(AND(J49&gt;0,K49&gt;0),(J49/K49)^(1/3)-1,""),"")</f>
        <v/>
      </c>
      <c r="AB49" s="22">
        <f>IF(AND(ISNUMBER(I49),ISNUMBER(L49),ISNUMBER(M49),ISNUMBER(N49)),IF((L49+M49-N49)&gt;0,I49/(L49+M49-N49),""),"")</f>
        <v/>
      </c>
      <c r="AC49" s="22">
        <f>IF(AND(ISNUMBER(O49),ISNUMBER(P49)),IF(AND(O49&gt;0,P49&gt;0),P49/O49-1,""),"")</f>
        <v/>
      </c>
      <c r="AD49">
        <f>_xlfn.TEXTJOIN(", ",TRUE,IF(Z49="","ROE",""),IF(AA49="","매출성장률",""),IF(AB49="","이익수익률",""),IF(AC49="","12-1 수익률",""))</f>
        <v/>
      </c>
      <c r="AE49">
        <f>IF(A49="","",IF(AR49&lt;&gt;"","점수 없음(거름망)",IF(AD49="","채점","점수 없음(결측: "&amp;AD49&amp;")")))</f>
        <v/>
      </c>
      <c r="AF49">
        <f>IF(AE49="채점",1,"")</f>
        <v/>
      </c>
      <c r="AG49">
        <f>IF(AF49=1,Z49,"")</f>
        <v/>
      </c>
      <c r="AH49">
        <f>IF(AF49=1,AA49,"")</f>
        <v/>
      </c>
      <c r="AI49">
        <f>IF(AF49=1,AB49,"")</f>
        <v/>
      </c>
      <c r="AJ49">
        <f>IF(AF49=1,AC49,"")</f>
        <v/>
      </c>
      <c r="AK49">
        <f>IF(AF49=1,IF($B$3=1,50,(_xlfn.RANK.AVG(AG49,$AG$6:$AG$105,1)-1)/($B$3-1)*100),"")</f>
        <v/>
      </c>
      <c r="AL49">
        <f>IF(AF49=1,IF($B$3=1,50,(_xlfn.RANK.AVG(AH49,$AH$6:$AH$105,1)-1)/($B$3-1)*100),"")</f>
        <v/>
      </c>
      <c r="AM49">
        <f>IF(AF49=1,IF($B$3=1,50,(_xlfn.RANK.AVG(AI49,$AI$6:$AI$105,1)-1)/($B$3-1)*100),"")</f>
        <v/>
      </c>
      <c r="AN49">
        <f>IF(AF49=1,IF($B$3=1,50,(_xlfn.RANK.AVG(AJ49,$AJ$6:$AJ$105,1)-1)/($B$3-1)*100),"")</f>
        <v/>
      </c>
      <c r="AO49">
        <f>IF(AF49=1,ROUND(AVERAGE(AK49:AN49),6),"")</f>
        <v/>
      </c>
      <c r="AP49">
        <f>IF(AND(AF49=1,C49&lt;&gt;"Y"),R49,"")</f>
        <v/>
      </c>
      <c r="AQ49">
        <f>IF(AND(ISNUMBER(AP49),Q49="편입 후보"),AP49+(1000-ROW())/1000000,"")</f>
        <v/>
      </c>
      <c r="AR49">
        <f>IF(A49="","",_xlfn.TEXTJOIN(", ",TRUE,IF(D49="Y","금융·리츠",""),IF(NOT(ISNUMBER(I49)),"영업이익 없음",IF(I49&lt;=0,"영업적자","")),IF(OR(NOT(ISNUMBER(G49)),NOT(ISNUMBER(H49))),"부채비율 자료 없음",IF(G49&lt;=0,"자본잠식",IF(H49/G49&gt;'설정'!$B$8,"부채비율 초과",""))),IF(NOT(ISNUMBER(L49)),"시총 없음",IF(L49&lt;'설정'!$B$9,"시총 미달",""))))</f>
        <v/>
      </c>
    </row>
    <row r="50">
      <c r="A50" s="18" t="n"/>
      <c r="B50" s="19" t="n"/>
      <c r="C50" s="19" t="n"/>
      <c r="D50" s="19" t="n"/>
      <c r="E50" s="19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7">
        <f>IF(A50="","",IF(C50="Y",IF(AF50=1,IF(AND(R50&lt;'설정'!$B$6,ISNUMBER($H$3)),IF(ROUND($H$3-R50,1)&gt;='설정'!$B$7,"교체 제안 → "&amp;$E$3&amp;" ("&amp;TEXT($H$3,"0.0")&amp;")","보유 유지"),"보유 유지"),"보유 · 점수 없음"),IF(AF50=1,IF(R50&gt;='설정'!$B$5,"편입 후보",""),"")))</f>
        <v/>
      </c>
      <c r="R50" s="15">
        <f>IF(AF50=1,ROUND(IF($B$3=1,50,(_xlfn.RANK.AVG(AO50,$AO$6:$AO$105,1)-1)/($B$3-1)*100),1),"")</f>
        <v/>
      </c>
      <c r="S50">
        <f>IF(A50="","",IF(AF50=1,_xlfn.TEXTJOIN(". ",TRUE,_xlfn.TEXTJOIN(", ",TRUE,IF(AK50&gt;='설정'!$B$20,"수익성 높음",""),IF(AL50&gt;='설정'!$B$20,"성장 빠름",""),IF(AM50&gt;='설정'!$B$20,"가격 쌈",""),IF(AN50&gt;='설정'!$B$20,"추세 좋음","")),_xlfn.TEXTJOIN(", ",TRUE,IF(AK50&lt;'설정'!$B$21,"수익성 낮음",""),IF(AL50&lt;'설정'!$B$21,"성장 느림",""),IF(AM50&lt;'설정'!$B$21,"가격 비쌈",""),IF(AN50&lt;'설정'!$B$21,"추세 약함","")),IF(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="","","보통: "&amp;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)),IF(X50="통과",AE50,X50)))</f>
        <v/>
      </c>
      <c r="T50">
        <f>IF(AF50=1,TEXT(Z50,"0.0%")&amp;" · 상위 "&amp;TEXT(($B$3-_xlfn.RANK.AVG(AG50,$AG$6:$AG$105,1)+1)/$B$3*100,"0")&amp;"%",IF(A50="","",IF(Z50="","결측",TEXT(Z50,"0.0%"))))</f>
        <v/>
      </c>
      <c r="U50">
        <f>IF(AF50=1,TEXT(AA50,"0.0%")&amp;" · 상위 "&amp;TEXT(($B$3-_xlfn.RANK.AVG(AH50,$AH$6:$AH$105,1)+1)/$B$3*100,"0")&amp;"%",IF(A50="","",IF(AA50="","결측",TEXT(AA50,"0.0%"))))</f>
        <v/>
      </c>
      <c r="V50">
        <f>IF(AF50=1,TEXT(AB50,"0.0%")&amp;" · 상위 "&amp;TEXT(($B$3-_xlfn.RANK.AVG(AI50,$AI$6:$AI$105,1)+1)/$B$3*100,"0")&amp;"%",IF(A50="","",IF(AB50="","결측",TEXT(AB50,"0.0%"))))</f>
        <v/>
      </c>
      <c r="W50">
        <f>IF(AF50=1,TEXT(AC50,"0.0%")&amp;" · 상위 "&amp;TEXT(($B$3-_xlfn.RANK.AVG(AJ50,$AJ$6:$AJ$105,1)+1)/$B$3*100,"0")&amp;"%",IF(A50="","",IF(AC50="","결측",TEXT(AC50,"0.0%"))))</f>
        <v/>
      </c>
      <c r="X50">
        <f>IF(A50="","",IF(AR50="","통과","제외: "&amp;AR50))</f>
        <v/>
      </c>
      <c r="Y50" s="21">
        <f>IF(AND(ISNUMBER(G50),ISNUMBER(H50)),IF(G50&gt;0,H50/G50,""),"")</f>
        <v/>
      </c>
      <c r="Z50" s="22">
        <f>IF(AND(ISNUMBER(F50),ISNUMBER(G50)),IF(G50&gt;0,F50/G50,""),"")</f>
        <v/>
      </c>
      <c r="AA50" s="22">
        <f>IF(AND(ISNUMBER(J50),ISNUMBER(K50)),IF(AND(J50&gt;0,K50&gt;0),(J50/K50)^(1/3)-1,""),"")</f>
        <v/>
      </c>
      <c r="AB50" s="22">
        <f>IF(AND(ISNUMBER(I50),ISNUMBER(L50),ISNUMBER(M50),ISNUMBER(N50)),IF((L50+M50-N50)&gt;0,I50/(L50+M50-N50),""),"")</f>
        <v/>
      </c>
      <c r="AC50" s="22">
        <f>IF(AND(ISNUMBER(O50),ISNUMBER(P50)),IF(AND(O50&gt;0,P50&gt;0),P50/O50-1,""),"")</f>
        <v/>
      </c>
      <c r="AD50">
        <f>_xlfn.TEXTJOIN(", ",TRUE,IF(Z50="","ROE",""),IF(AA50="","매출성장률",""),IF(AB50="","이익수익률",""),IF(AC50="","12-1 수익률",""))</f>
        <v/>
      </c>
      <c r="AE50">
        <f>IF(A50="","",IF(AR50&lt;&gt;"","점수 없음(거름망)",IF(AD50="","채점","점수 없음(결측: "&amp;AD50&amp;")")))</f>
        <v/>
      </c>
      <c r="AF50">
        <f>IF(AE50="채점",1,"")</f>
        <v/>
      </c>
      <c r="AG50">
        <f>IF(AF50=1,Z50,"")</f>
        <v/>
      </c>
      <c r="AH50">
        <f>IF(AF50=1,AA50,"")</f>
        <v/>
      </c>
      <c r="AI50">
        <f>IF(AF50=1,AB50,"")</f>
        <v/>
      </c>
      <c r="AJ50">
        <f>IF(AF50=1,AC50,"")</f>
        <v/>
      </c>
      <c r="AK50">
        <f>IF(AF50=1,IF($B$3=1,50,(_xlfn.RANK.AVG(AG50,$AG$6:$AG$105,1)-1)/($B$3-1)*100),"")</f>
        <v/>
      </c>
      <c r="AL50">
        <f>IF(AF50=1,IF($B$3=1,50,(_xlfn.RANK.AVG(AH50,$AH$6:$AH$105,1)-1)/($B$3-1)*100),"")</f>
        <v/>
      </c>
      <c r="AM50">
        <f>IF(AF50=1,IF($B$3=1,50,(_xlfn.RANK.AVG(AI50,$AI$6:$AI$105,1)-1)/($B$3-1)*100),"")</f>
        <v/>
      </c>
      <c r="AN50">
        <f>IF(AF50=1,IF($B$3=1,50,(_xlfn.RANK.AVG(AJ50,$AJ$6:$AJ$105,1)-1)/($B$3-1)*100),"")</f>
        <v/>
      </c>
      <c r="AO50">
        <f>IF(AF50=1,ROUND(AVERAGE(AK50:AN50),6),"")</f>
        <v/>
      </c>
      <c r="AP50">
        <f>IF(AND(AF50=1,C50&lt;&gt;"Y"),R50,"")</f>
        <v/>
      </c>
      <c r="AQ50">
        <f>IF(AND(ISNUMBER(AP50),Q50="편입 후보"),AP50+(1000-ROW())/1000000,"")</f>
        <v/>
      </c>
      <c r="AR50">
        <f>IF(A50="","",_xlfn.TEXTJOIN(", ",TRUE,IF(D50="Y","금융·리츠",""),IF(NOT(ISNUMBER(I50)),"영업이익 없음",IF(I50&lt;=0,"영업적자","")),IF(OR(NOT(ISNUMBER(G50)),NOT(ISNUMBER(H50))),"부채비율 자료 없음",IF(G50&lt;=0,"자본잠식",IF(H50/G50&gt;'설정'!$B$8,"부채비율 초과",""))),IF(NOT(ISNUMBER(L50)),"시총 없음",IF(L50&lt;'설정'!$B$9,"시총 미달",""))))</f>
        <v/>
      </c>
    </row>
    <row r="51">
      <c r="A51" s="18" t="n"/>
      <c r="B51" s="19" t="n"/>
      <c r="C51" s="19" t="n"/>
      <c r="D51" s="19" t="n"/>
      <c r="E51" s="19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7">
        <f>IF(A51="","",IF(C51="Y",IF(AF51=1,IF(AND(R51&lt;'설정'!$B$6,ISNUMBER($H$3)),IF(ROUND($H$3-R51,1)&gt;='설정'!$B$7,"교체 제안 → "&amp;$E$3&amp;" ("&amp;TEXT($H$3,"0.0")&amp;")","보유 유지"),"보유 유지"),"보유 · 점수 없음"),IF(AF51=1,IF(R51&gt;='설정'!$B$5,"편입 후보",""),"")))</f>
        <v/>
      </c>
      <c r="R51" s="15">
        <f>IF(AF51=1,ROUND(IF($B$3=1,50,(_xlfn.RANK.AVG(AO51,$AO$6:$AO$105,1)-1)/($B$3-1)*100),1),"")</f>
        <v/>
      </c>
      <c r="S51">
        <f>IF(A51="","",IF(AF51=1,_xlfn.TEXTJOIN(". ",TRUE,_xlfn.TEXTJOIN(", ",TRUE,IF(AK51&gt;='설정'!$B$20,"수익성 높음",""),IF(AL51&gt;='설정'!$B$20,"성장 빠름",""),IF(AM51&gt;='설정'!$B$20,"가격 쌈",""),IF(AN51&gt;='설정'!$B$20,"추세 좋음","")),_xlfn.TEXTJOIN(", ",TRUE,IF(AK51&lt;'설정'!$B$21,"수익성 낮음",""),IF(AL51&lt;'설정'!$B$21,"성장 느림",""),IF(AM51&lt;'설정'!$B$21,"가격 비쌈",""),IF(AN51&lt;'설정'!$B$21,"추세 약함","")),IF(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="","","보통: "&amp;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)),IF(X51="통과",AE51,X51)))</f>
        <v/>
      </c>
      <c r="T51">
        <f>IF(AF51=1,TEXT(Z51,"0.0%")&amp;" · 상위 "&amp;TEXT(($B$3-_xlfn.RANK.AVG(AG51,$AG$6:$AG$105,1)+1)/$B$3*100,"0")&amp;"%",IF(A51="","",IF(Z51="","결측",TEXT(Z51,"0.0%"))))</f>
        <v/>
      </c>
      <c r="U51">
        <f>IF(AF51=1,TEXT(AA51,"0.0%")&amp;" · 상위 "&amp;TEXT(($B$3-_xlfn.RANK.AVG(AH51,$AH$6:$AH$105,1)+1)/$B$3*100,"0")&amp;"%",IF(A51="","",IF(AA51="","결측",TEXT(AA51,"0.0%"))))</f>
        <v/>
      </c>
      <c r="V51">
        <f>IF(AF51=1,TEXT(AB51,"0.0%")&amp;" · 상위 "&amp;TEXT(($B$3-_xlfn.RANK.AVG(AI51,$AI$6:$AI$105,1)+1)/$B$3*100,"0")&amp;"%",IF(A51="","",IF(AB51="","결측",TEXT(AB51,"0.0%"))))</f>
        <v/>
      </c>
      <c r="W51">
        <f>IF(AF51=1,TEXT(AC51,"0.0%")&amp;" · 상위 "&amp;TEXT(($B$3-_xlfn.RANK.AVG(AJ51,$AJ$6:$AJ$105,1)+1)/$B$3*100,"0")&amp;"%",IF(A51="","",IF(AC51="","결측",TEXT(AC51,"0.0%"))))</f>
        <v/>
      </c>
      <c r="X51">
        <f>IF(A51="","",IF(AR51="","통과","제외: "&amp;AR51))</f>
        <v/>
      </c>
      <c r="Y51" s="21">
        <f>IF(AND(ISNUMBER(G51),ISNUMBER(H51)),IF(G51&gt;0,H51/G51,""),"")</f>
        <v/>
      </c>
      <c r="Z51" s="22">
        <f>IF(AND(ISNUMBER(F51),ISNUMBER(G51)),IF(G51&gt;0,F51/G51,""),"")</f>
        <v/>
      </c>
      <c r="AA51" s="22">
        <f>IF(AND(ISNUMBER(J51),ISNUMBER(K51)),IF(AND(J51&gt;0,K51&gt;0),(J51/K51)^(1/3)-1,""),"")</f>
        <v/>
      </c>
      <c r="AB51" s="22">
        <f>IF(AND(ISNUMBER(I51),ISNUMBER(L51),ISNUMBER(M51),ISNUMBER(N51)),IF((L51+M51-N51)&gt;0,I51/(L51+M51-N51),""),"")</f>
        <v/>
      </c>
      <c r="AC51" s="22">
        <f>IF(AND(ISNUMBER(O51),ISNUMBER(P51)),IF(AND(O51&gt;0,P51&gt;0),P51/O51-1,""),"")</f>
        <v/>
      </c>
      <c r="AD51">
        <f>_xlfn.TEXTJOIN(", ",TRUE,IF(Z51="","ROE",""),IF(AA51="","매출성장률",""),IF(AB51="","이익수익률",""),IF(AC51="","12-1 수익률",""))</f>
        <v/>
      </c>
      <c r="AE51">
        <f>IF(A51="","",IF(AR51&lt;&gt;"","점수 없음(거름망)",IF(AD51="","채점","점수 없음(결측: "&amp;AD51&amp;")")))</f>
        <v/>
      </c>
      <c r="AF51">
        <f>IF(AE51="채점",1,"")</f>
        <v/>
      </c>
      <c r="AG51">
        <f>IF(AF51=1,Z51,"")</f>
        <v/>
      </c>
      <c r="AH51">
        <f>IF(AF51=1,AA51,"")</f>
        <v/>
      </c>
      <c r="AI51">
        <f>IF(AF51=1,AB51,"")</f>
        <v/>
      </c>
      <c r="AJ51">
        <f>IF(AF51=1,AC51,"")</f>
        <v/>
      </c>
      <c r="AK51">
        <f>IF(AF51=1,IF($B$3=1,50,(_xlfn.RANK.AVG(AG51,$AG$6:$AG$105,1)-1)/($B$3-1)*100),"")</f>
        <v/>
      </c>
      <c r="AL51">
        <f>IF(AF51=1,IF($B$3=1,50,(_xlfn.RANK.AVG(AH51,$AH$6:$AH$105,1)-1)/($B$3-1)*100),"")</f>
        <v/>
      </c>
      <c r="AM51">
        <f>IF(AF51=1,IF($B$3=1,50,(_xlfn.RANK.AVG(AI51,$AI$6:$AI$105,1)-1)/($B$3-1)*100),"")</f>
        <v/>
      </c>
      <c r="AN51">
        <f>IF(AF51=1,IF($B$3=1,50,(_xlfn.RANK.AVG(AJ51,$AJ$6:$AJ$105,1)-1)/($B$3-1)*100),"")</f>
        <v/>
      </c>
      <c r="AO51">
        <f>IF(AF51=1,ROUND(AVERAGE(AK51:AN51),6),"")</f>
        <v/>
      </c>
      <c r="AP51">
        <f>IF(AND(AF51=1,C51&lt;&gt;"Y"),R51,"")</f>
        <v/>
      </c>
      <c r="AQ51">
        <f>IF(AND(ISNUMBER(AP51),Q51="편입 후보"),AP51+(1000-ROW())/1000000,"")</f>
        <v/>
      </c>
      <c r="AR51">
        <f>IF(A51="","",_xlfn.TEXTJOIN(", ",TRUE,IF(D51="Y","금융·리츠",""),IF(NOT(ISNUMBER(I51)),"영업이익 없음",IF(I51&lt;=0,"영업적자","")),IF(OR(NOT(ISNUMBER(G51)),NOT(ISNUMBER(H51))),"부채비율 자료 없음",IF(G51&lt;=0,"자본잠식",IF(H51/G51&gt;'설정'!$B$8,"부채비율 초과",""))),IF(NOT(ISNUMBER(L51)),"시총 없음",IF(L51&lt;'설정'!$B$9,"시총 미달",""))))</f>
        <v/>
      </c>
    </row>
    <row r="52">
      <c r="A52" s="18" t="n"/>
      <c r="B52" s="19" t="n"/>
      <c r="C52" s="19" t="n"/>
      <c r="D52" s="19" t="n"/>
      <c r="E52" s="19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7">
        <f>IF(A52="","",IF(C52="Y",IF(AF52=1,IF(AND(R52&lt;'설정'!$B$6,ISNUMBER($H$3)),IF(ROUND($H$3-R52,1)&gt;='설정'!$B$7,"교체 제안 → "&amp;$E$3&amp;" ("&amp;TEXT($H$3,"0.0")&amp;")","보유 유지"),"보유 유지"),"보유 · 점수 없음"),IF(AF52=1,IF(R52&gt;='설정'!$B$5,"편입 후보",""),"")))</f>
        <v/>
      </c>
      <c r="R52" s="15">
        <f>IF(AF52=1,ROUND(IF($B$3=1,50,(_xlfn.RANK.AVG(AO52,$AO$6:$AO$105,1)-1)/($B$3-1)*100),1),"")</f>
        <v/>
      </c>
      <c r="S52">
        <f>IF(A52="","",IF(AF52=1,_xlfn.TEXTJOIN(". ",TRUE,_xlfn.TEXTJOIN(", ",TRUE,IF(AK52&gt;='설정'!$B$20,"수익성 높음",""),IF(AL52&gt;='설정'!$B$20,"성장 빠름",""),IF(AM52&gt;='설정'!$B$20,"가격 쌈",""),IF(AN52&gt;='설정'!$B$20,"추세 좋음","")),_xlfn.TEXTJOIN(", ",TRUE,IF(AK52&lt;'설정'!$B$21,"수익성 낮음",""),IF(AL52&lt;'설정'!$B$21,"성장 느림",""),IF(AM52&lt;'설정'!$B$21,"가격 비쌈",""),IF(AN52&lt;'설정'!$B$21,"추세 약함","")),IF(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="","","보통: "&amp;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)),IF(X52="통과",AE52,X52)))</f>
        <v/>
      </c>
      <c r="T52">
        <f>IF(AF52=1,TEXT(Z52,"0.0%")&amp;" · 상위 "&amp;TEXT(($B$3-_xlfn.RANK.AVG(AG52,$AG$6:$AG$105,1)+1)/$B$3*100,"0")&amp;"%",IF(A52="","",IF(Z52="","결측",TEXT(Z52,"0.0%"))))</f>
        <v/>
      </c>
      <c r="U52">
        <f>IF(AF52=1,TEXT(AA52,"0.0%")&amp;" · 상위 "&amp;TEXT(($B$3-_xlfn.RANK.AVG(AH52,$AH$6:$AH$105,1)+1)/$B$3*100,"0")&amp;"%",IF(A52="","",IF(AA52="","결측",TEXT(AA52,"0.0%"))))</f>
        <v/>
      </c>
      <c r="V52">
        <f>IF(AF52=1,TEXT(AB52,"0.0%")&amp;" · 상위 "&amp;TEXT(($B$3-_xlfn.RANK.AVG(AI52,$AI$6:$AI$105,1)+1)/$B$3*100,"0")&amp;"%",IF(A52="","",IF(AB52="","결측",TEXT(AB52,"0.0%"))))</f>
        <v/>
      </c>
      <c r="W52">
        <f>IF(AF52=1,TEXT(AC52,"0.0%")&amp;" · 상위 "&amp;TEXT(($B$3-_xlfn.RANK.AVG(AJ52,$AJ$6:$AJ$105,1)+1)/$B$3*100,"0")&amp;"%",IF(A52="","",IF(AC52="","결측",TEXT(AC52,"0.0%"))))</f>
        <v/>
      </c>
      <c r="X52">
        <f>IF(A52="","",IF(AR52="","통과","제외: "&amp;AR52))</f>
        <v/>
      </c>
      <c r="Y52" s="21">
        <f>IF(AND(ISNUMBER(G52),ISNUMBER(H52)),IF(G52&gt;0,H52/G52,""),"")</f>
        <v/>
      </c>
      <c r="Z52" s="22">
        <f>IF(AND(ISNUMBER(F52),ISNUMBER(G52)),IF(G52&gt;0,F52/G52,""),"")</f>
        <v/>
      </c>
      <c r="AA52" s="22">
        <f>IF(AND(ISNUMBER(J52),ISNUMBER(K52)),IF(AND(J52&gt;0,K52&gt;0),(J52/K52)^(1/3)-1,""),"")</f>
        <v/>
      </c>
      <c r="AB52" s="22">
        <f>IF(AND(ISNUMBER(I52),ISNUMBER(L52),ISNUMBER(M52),ISNUMBER(N52)),IF((L52+M52-N52)&gt;0,I52/(L52+M52-N52),""),"")</f>
        <v/>
      </c>
      <c r="AC52" s="22">
        <f>IF(AND(ISNUMBER(O52),ISNUMBER(P52)),IF(AND(O52&gt;0,P52&gt;0),P52/O52-1,""),"")</f>
        <v/>
      </c>
      <c r="AD52">
        <f>_xlfn.TEXTJOIN(", ",TRUE,IF(Z52="","ROE",""),IF(AA52="","매출성장률",""),IF(AB52="","이익수익률",""),IF(AC52="","12-1 수익률",""))</f>
        <v/>
      </c>
      <c r="AE52">
        <f>IF(A52="","",IF(AR52&lt;&gt;"","점수 없음(거름망)",IF(AD52="","채점","점수 없음(결측: "&amp;AD52&amp;")")))</f>
        <v/>
      </c>
      <c r="AF52">
        <f>IF(AE52="채점",1,"")</f>
        <v/>
      </c>
      <c r="AG52">
        <f>IF(AF52=1,Z52,"")</f>
        <v/>
      </c>
      <c r="AH52">
        <f>IF(AF52=1,AA52,"")</f>
        <v/>
      </c>
      <c r="AI52">
        <f>IF(AF52=1,AB52,"")</f>
        <v/>
      </c>
      <c r="AJ52">
        <f>IF(AF52=1,AC52,"")</f>
        <v/>
      </c>
      <c r="AK52">
        <f>IF(AF52=1,IF($B$3=1,50,(_xlfn.RANK.AVG(AG52,$AG$6:$AG$105,1)-1)/($B$3-1)*100),"")</f>
        <v/>
      </c>
      <c r="AL52">
        <f>IF(AF52=1,IF($B$3=1,50,(_xlfn.RANK.AVG(AH52,$AH$6:$AH$105,1)-1)/($B$3-1)*100),"")</f>
        <v/>
      </c>
      <c r="AM52">
        <f>IF(AF52=1,IF($B$3=1,50,(_xlfn.RANK.AVG(AI52,$AI$6:$AI$105,1)-1)/($B$3-1)*100),"")</f>
        <v/>
      </c>
      <c r="AN52">
        <f>IF(AF52=1,IF($B$3=1,50,(_xlfn.RANK.AVG(AJ52,$AJ$6:$AJ$105,1)-1)/($B$3-1)*100),"")</f>
        <v/>
      </c>
      <c r="AO52">
        <f>IF(AF52=1,ROUND(AVERAGE(AK52:AN52),6),"")</f>
        <v/>
      </c>
      <c r="AP52">
        <f>IF(AND(AF52=1,C52&lt;&gt;"Y"),R52,"")</f>
        <v/>
      </c>
      <c r="AQ52">
        <f>IF(AND(ISNUMBER(AP52),Q52="편입 후보"),AP52+(1000-ROW())/1000000,"")</f>
        <v/>
      </c>
      <c r="AR52">
        <f>IF(A52="","",_xlfn.TEXTJOIN(", ",TRUE,IF(D52="Y","금융·리츠",""),IF(NOT(ISNUMBER(I52)),"영업이익 없음",IF(I52&lt;=0,"영업적자","")),IF(OR(NOT(ISNUMBER(G52)),NOT(ISNUMBER(H52))),"부채비율 자료 없음",IF(G52&lt;=0,"자본잠식",IF(H52/G52&gt;'설정'!$B$8,"부채비율 초과",""))),IF(NOT(ISNUMBER(L52)),"시총 없음",IF(L52&lt;'설정'!$B$9,"시총 미달",""))))</f>
        <v/>
      </c>
    </row>
    <row r="53">
      <c r="A53" s="18" t="n"/>
      <c r="B53" s="19" t="n"/>
      <c r="C53" s="19" t="n"/>
      <c r="D53" s="19" t="n"/>
      <c r="E53" s="19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7">
        <f>IF(A53="","",IF(C53="Y",IF(AF53=1,IF(AND(R53&lt;'설정'!$B$6,ISNUMBER($H$3)),IF(ROUND($H$3-R53,1)&gt;='설정'!$B$7,"교체 제안 → "&amp;$E$3&amp;" ("&amp;TEXT($H$3,"0.0")&amp;")","보유 유지"),"보유 유지"),"보유 · 점수 없음"),IF(AF53=1,IF(R53&gt;='설정'!$B$5,"편입 후보",""),"")))</f>
        <v/>
      </c>
      <c r="R53" s="15">
        <f>IF(AF53=1,ROUND(IF($B$3=1,50,(_xlfn.RANK.AVG(AO53,$AO$6:$AO$105,1)-1)/($B$3-1)*100),1),"")</f>
        <v/>
      </c>
      <c r="S53">
        <f>IF(A53="","",IF(AF53=1,_xlfn.TEXTJOIN(". ",TRUE,_xlfn.TEXTJOIN(", ",TRUE,IF(AK53&gt;='설정'!$B$20,"수익성 높음",""),IF(AL53&gt;='설정'!$B$20,"성장 빠름",""),IF(AM53&gt;='설정'!$B$20,"가격 쌈",""),IF(AN53&gt;='설정'!$B$20,"추세 좋음","")),_xlfn.TEXTJOIN(", ",TRUE,IF(AK53&lt;'설정'!$B$21,"수익성 낮음",""),IF(AL53&lt;'설정'!$B$21,"성장 느림",""),IF(AM53&lt;'설정'!$B$21,"가격 비쌈",""),IF(AN53&lt;'설정'!$B$21,"추세 약함","")),IF(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="","","보통: "&amp;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)),IF(X53="통과",AE53,X53)))</f>
        <v/>
      </c>
      <c r="T53">
        <f>IF(AF53=1,TEXT(Z53,"0.0%")&amp;" · 상위 "&amp;TEXT(($B$3-_xlfn.RANK.AVG(AG53,$AG$6:$AG$105,1)+1)/$B$3*100,"0")&amp;"%",IF(A53="","",IF(Z53="","결측",TEXT(Z53,"0.0%"))))</f>
        <v/>
      </c>
      <c r="U53">
        <f>IF(AF53=1,TEXT(AA53,"0.0%")&amp;" · 상위 "&amp;TEXT(($B$3-_xlfn.RANK.AVG(AH53,$AH$6:$AH$105,1)+1)/$B$3*100,"0")&amp;"%",IF(A53="","",IF(AA53="","결측",TEXT(AA53,"0.0%"))))</f>
        <v/>
      </c>
      <c r="V53">
        <f>IF(AF53=1,TEXT(AB53,"0.0%")&amp;" · 상위 "&amp;TEXT(($B$3-_xlfn.RANK.AVG(AI53,$AI$6:$AI$105,1)+1)/$B$3*100,"0")&amp;"%",IF(A53="","",IF(AB53="","결측",TEXT(AB53,"0.0%"))))</f>
        <v/>
      </c>
      <c r="W53">
        <f>IF(AF53=1,TEXT(AC53,"0.0%")&amp;" · 상위 "&amp;TEXT(($B$3-_xlfn.RANK.AVG(AJ53,$AJ$6:$AJ$105,1)+1)/$B$3*100,"0")&amp;"%",IF(A53="","",IF(AC53="","결측",TEXT(AC53,"0.0%"))))</f>
        <v/>
      </c>
      <c r="X53">
        <f>IF(A53="","",IF(AR53="","통과","제외: "&amp;AR53))</f>
        <v/>
      </c>
      <c r="Y53" s="21">
        <f>IF(AND(ISNUMBER(G53),ISNUMBER(H53)),IF(G53&gt;0,H53/G53,""),"")</f>
        <v/>
      </c>
      <c r="Z53" s="22">
        <f>IF(AND(ISNUMBER(F53),ISNUMBER(G53)),IF(G53&gt;0,F53/G53,""),"")</f>
        <v/>
      </c>
      <c r="AA53" s="22">
        <f>IF(AND(ISNUMBER(J53),ISNUMBER(K53)),IF(AND(J53&gt;0,K53&gt;0),(J53/K53)^(1/3)-1,""),"")</f>
        <v/>
      </c>
      <c r="AB53" s="22">
        <f>IF(AND(ISNUMBER(I53),ISNUMBER(L53),ISNUMBER(M53),ISNUMBER(N53)),IF((L53+M53-N53)&gt;0,I53/(L53+M53-N53),""),"")</f>
        <v/>
      </c>
      <c r="AC53" s="22">
        <f>IF(AND(ISNUMBER(O53),ISNUMBER(P53)),IF(AND(O53&gt;0,P53&gt;0),P53/O53-1,""),"")</f>
        <v/>
      </c>
      <c r="AD53">
        <f>_xlfn.TEXTJOIN(", ",TRUE,IF(Z53="","ROE",""),IF(AA53="","매출성장률",""),IF(AB53="","이익수익률",""),IF(AC53="","12-1 수익률",""))</f>
        <v/>
      </c>
      <c r="AE53">
        <f>IF(A53="","",IF(AR53&lt;&gt;"","점수 없음(거름망)",IF(AD53="","채점","점수 없음(결측: "&amp;AD53&amp;")")))</f>
        <v/>
      </c>
      <c r="AF53">
        <f>IF(AE53="채점",1,"")</f>
        <v/>
      </c>
      <c r="AG53">
        <f>IF(AF53=1,Z53,"")</f>
        <v/>
      </c>
      <c r="AH53">
        <f>IF(AF53=1,AA53,"")</f>
        <v/>
      </c>
      <c r="AI53">
        <f>IF(AF53=1,AB53,"")</f>
        <v/>
      </c>
      <c r="AJ53">
        <f>IF(AF53=1,AC53,"")</f>
        <v/>
      </c>
      <c r="AK53">
        <f>IF(AF53=1,IF($B$3=1,50,(_xlfn.RANK.AVG(AG53,$AG$6:$AG$105,1)-1)/($B$3-1)*100),"")</f>
        <v/>
      </c>
      <c r="AL53">
        <f>IF(AF53=1,IF($B$3=1,50,(_xlfn.RANK.AVG(AH53,$AH$6:$AH$105,1)-1)/($B$3-1)*100),"")</f>
        <v/>
      </c>
      <c r="AM53">
        <f>IF(AF53=1,IF($B$3=1,50,(_xlfn.RANK.AVG(AI53,$AI$6:$AI$105,1)-1)/($B$3-1)*100),"")</f>
        <v/>
      </c>
      <c r="AN53">
        <f>IF(AF53=1,IF($B$3=1,50,(_xlfn.RANK.AVG(AJ53,$AJ$6:$AJ$105,1)-1)/($B$3-1)*100),"")</f>
        <v/>
      </c>
      <c r="AO53">
        <f>IF(AF53=1,ROUND(AVERAGE(AK53:AN53),6),"")</f>
        <v/>
      </c>
      <c r="AP53">
        <f>IF(AND(AF53=1,C53&lt;&gt;"Y"),R53,"")</f>
        <v/>
      </c>
      <c r="AQ53">
        <f>IF(AND(ISNUMBER(AP53),Q53="편입 후보"),AP53+(1000-ROW())/1000000,"")</f>
        <v/>
      </c>
      <c r="AR53">
        <f>IF(A53="","",_xlfn.TEXTJOIN(", ",TRUE,IF(D53="Y","금융·리츠",""),IF(NOT(ISNUMBER(I53)),"영업이익 없음",IF(I53&lt;=0,"영업적자","")),IF(OR(NOT(ISNUMBER(G53)),NOT(ISNUMBER(H53))),"부채비율 자료 없음",IF(G53&lt;=0,"자본잠식",IF(H53/G53&gt;'설정'!$B$8,"부채비율 초과",""))),IF(NOT(ISNUMBER(L53)),"시총 없음",IF(L53&lt;'설정'!$B$9,"시총 미달",""))))</f>
        <v/>
      </c>
    </row>
    <row r="54">
      <c r="A54" s="18" t="n"/>
      <c r="B54" s="19" t="n"/>
      <c r="C54" s="19" t="n"/>
      <c r="D54" s="19" t="n"/>
      <c r="E54" s="19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7">
        <f>IF(A54="","",IF(C54="Y",IF(AF54=1,IF(AND(R54&lt;'설정'!$B$6,ISNUMBER($H$3)),IF(ROUND($H$3-R54,1)&gt;='설정'!$B$7,"교체 제안 → "&amp;$E$3&amp;" ("&amp;TEXT($H$3,"0.0")&amp;")","보유 유지"),"보유 유지"),"보유 · 점수 없음"),IF(AF54=1,IF(R54&gt;='설정'!$B$5,"편입 후보",""),"")))</f>
        <v/>
      </c>
      <c r="R54" s="15">
        <f>IF(AF54=1,ROUND(IF($B$3=1,50,(_xlfn.RANK.AVG(AO54,$AO$6:$AO$105,1)-1)/($B$3-1)*100),1),"")</f>
        <v/>
      </c>
      <c r="S54">
        <f>IF(A54="","",IF(AF54=1,_xlfn.TEXTJOIN(". ",TRUE,_xlfn.TEXTJOIN(", ",TRUE,IF(AK54&gt;='설정'!$B$20,"수익성 높음",""),IF(AL54&gt;='설정'!$B$20,"성장 빠름",""),IF(AM54&gt;='설정'!$B$20,"가격 쌈",""),IF(AN54&gt;='설정'!$B$20,"추세 좋음","")),_xlfn.TEXTJOIN(", ",TRUE,IF(AK54&lt;'설정'!$B$21,"수익성 낮음",""),IF(AL54&lt;'설정'!$B$21,"성장 느림",""),IF(AM54&lt;'설정'!$B$21,"가격 비쌈",""),IF(AN54&lt;'설정'!$B$21,"추세 약함","")),IF(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="","","보통: "&amp;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)),IF(X54="통과",AE54,X54)))</f>
        <v/>
      </c>
      <c r="T54">
        <f>IF(AF54=1,TEXT(Z54,"0.0%")&amp;" · 상위 "&amp;TEXT(($B$3-_xlfn.RANK.AVG(AG54,$AG$6:$AG$105,1)+1)/$B$3*100,"0")&amp;"%",IF(A54="","",IF(Z54="","결측",TEXT(Z54,"0.0%"))))</f>
        <v/>
      </c>
      <c r="U54">
        <f>IF(AF54=1,TEXT(AA54,"0.0%")&amp;" · 상위 "&amp;TEXT(($B$3-_xlfn.RANK.AVG(AH54,$AH$6:$AH$105,1)+1)/$B$3*100,"0")&amp;"%",IF(A54="","",IF(AA54="","결측",TEXT(AA54,"0.0%"))))</f>
        <v/>
      </c>
      <c r="V54">
        <f>IF(AF54=1,TEXT(AB54,"0.0%")&amp;" · 상위 "&amp;TEXT(($B$3-_xlfn.RANK.AVG(AI54,$AI$6:$AI$105,1)+1)/$B$3*100,"0")&amp;"%",IF(A54="","",IF(AB54="","결측",TEXT(AB54,"0.0%"))))</f>
        <v/>
      </c>
      <c r="W54">
        <f>IF(AF54=1,TEXT(AC54,"0.0%")&amp;" · 상위 "&amp;TEXT(($B$3-_xlfn.RANK.AVG(AJ54,$AJ$6:$AJ$105,1)+1)/$B$3*100,"0")&amp;"%",IF(A54="","",IF(AC54="","결측",TEXT(AC54,"0.0%"))))</f>
        <v/>
      </c>
      <c r="X54">
        <f>IF(A54="","",IF(AR54="","통과","제외: "&amp;AR54))</f>
        <v/>
      </c>
      <c r="Y54" s="21">
        <f>IF(AND(ISNUMBER(G54),ISNUMBER(H54)),IF(G54&gt;0,H54/G54,""),"")</f>
        <v/>
      </c>
      <c r="Z54" s="22">
        <f>IF(AND(ISNUMBER(F54),ISNUMBER(G54)),IF(G54&gt;0,F54/G54,""),"")</f>
        <v/>
      </c>
      <c r="AA54" s="22">
        <f>IF(AND(ISNUMBER(J54),ISNUMBER(K54)),IF(AND(J54&gt;0,K54&gt;0),(J54/K54)^(1/3)-1,""),"")</f>
        <v/>
      </c>
      <c r="AB54" s="22">
        <f>IF(AND(ISNUMBER(I54),ISNUMBER(L54),ISNUMBER(M54),ISNUMBER(N54)),IF((L54+M54-N54)&gt;0,I54/(L54+M54-N54),""),"")</f>
        <v/>
      </c>
      <c r="AC54" s="22">
        <f>IF(AND(ISNUMBER(O54),ISNUMBER(P54)),IF(AND(O54&gt;0,P54&gt;0),P54/O54-1,""),"")</f>
        <v/>
      </c>
      <c r="AD54">
        <f>_xlfn.TEXTJOIN(", ",TRUE,IF(Z54="","ROE",""),IF(AA54="","매출성장률",""),IF(AB54="","이익수익률",""),IF(AC54="","12-1 수익률",""))</f>
        <v/>
      </c>
      <c r="AE54">
        <f>IF(A54="","",IF(AR54&lt;&gt;"","점수 없음(거름망)",IF(AD54="","채점","점수 없음(결측: "&amp;AD54&amp;")")))</f>
        <v/>
      </c>
      <c r="AF54">
        <f>IF(AE54="채점",1,"")</f>
        <v/>
      </c>
      <c r="AG54">
        <f>IF(AF54=1,Z54,"")</f>
        <v/>
      </c>
      <c r="AH54">
        <f>IF(AF54=1,AA54,"")</f>
        <v/>
      </c>
      <c r="AI54">
        <f>IF(AF54=1,AB54,"")</f>
        <v/>
      </c>
      <c r="AJ54">
        <f>IF(AF54=1,AC54,"")</f>
        <v/>
      </c>
      <c r="AK54">
        <f>IF(AF54=1,IF($B$3=1,50,(_xlfn.RANK.AVG(AG54,$AG$6:$AG$105,1)-1)/($B$3-1)*100),"")</f>
        <v/>
      </c>
      <c r="AL54">
        <f>IF(AF54=1,IF($B$3=1,50,(_xlfn.RANK.AVG(AH54,$AH$6:$AH$105,1)-1)/($B$3-1)*100),"")</f>
        <v/>
      </c>
      <c r="AM54">
        <f>IF(AF54=1,IF($B$3=1,50,(_xlfn.RANK.AVG(AI54,$AI$6:$AI$105,1)-1)/($B$3-1)*100),"")</f>
        <v/>
      </c>
      <c r="AN54">
        <f>IF(AF54=1,IF($B$3=1,50,(_xlfn.RANK.AVG(AJ54,$AJ$6:$AJ$105,1)-1)/($B$3-1)*100),"")</f>
        <v/>
      </c>
      <c r="AO54">
        <f>IF(AF54=1,ROUND(AVERAGE(AK54:AN54),6),"")</f>
        <v/>
      </c>
      <c r="AP54">
        <f>IF(AND(AF54=1,C54&lt;&gt;"Y"),R54,"")</f>
        <v/>
      </c>
      <c r="AQ54">
        <f>IF(AND(ISNUMBER(AP54),Q54="편입 후보"),AP54+(1000-ROW())/1000000,"")</f>
        <v/>
      </c>
      <c r="AR54">
        <f>IF(A54="","",_xlfn.TEXTJOIN(", ",TRUE,IF(D54="Y","금융·리츠",""),IF(NOT(ISNUMBER(I54)),"영업이익 없음",IF(I54&lt;=0,"영업적자","")),IF(OR(NOT(ISNUMBER(G54)),NOT(ISNUMBER(H54))),"부채비율 자료 없음",IF(G54&lt;=0,"자본잠식",IF(H54/G54&gt;'설정'!$B$8,"부채비율 초과",""))),IF(NOT(ISNUMBER(L54)),"시총 없음",IF(L54&lt;'설정'!$B$9,"시총 미달",""))))</f>
        <v/>
      </c>
    </row>
    <row r="55">
      <c r="A55" s="18" t="n"/>
      <c r="B55" s="19" t="n"/>
      <c r="C55" s="19" t="n"/>
      <c r="D55" s="19" t="n"/>
      <c r="E55" s="19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7">
        <f>IF(A55="","",IF(C55="Y",IF(AF55=1,IF(AND(R55&lt;'설정'!$B$6,ISNUMBER($H$3)),IF(ROUND($H$3-R55,1)&gt;='설정'!$B$7,"교체 제안 → "&amp;$E$3&amp;" ("&amp;TEXT($H$3,"0.0")&amp;")","보유 유지"),"보유 유지"),"보유 · 점수 없음"),IF(AF55=1,IF(R55&gt;='설정'!$B$5,"편입 후보",""),"")))</f>
        <v/>
      </c>
      <c r="R55" s="15">
        <f>IF(AF55=1,ROUND(IF($B$3=1,50,(_xlfn.RANK.AVG(AO55,$AO$6:$AO$105,1)-1)/($B$3-1)*100),1),"")</f>
        <v/>
      </c>
      <c r="S55">
        <f>IF(A55="","",IF(AF55=1,_xlfn.TEXTJOIN(". ",TRUE,_xlfn.TEXTJOIN(", ",TRUE,IF(AK55&gt;='설정'!$B$20,"수익성 높음",""),IF(AL55&gt;='설정'!$B$20,"성장 빠름",""),IF(AM55&gt;='설정'!$B$20,"가격 쌈",""),IF(AN55&gt;='설정'!$B$20,"추세 좋음","")),_xlfn.TEXTJOIN(", ",TRUE,IF(AK55&lt;'설정'!$B$21,"수익성 낮음",""),IF(AL55&lt;'설정'!$B$21,"성장 느림",""),IF(AM55&lt;'설정'!$B$21,"가격 비쌈",""),IF(AN55&lt;'설정'!$B$21,"추세 약함","")),IF(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="","","보통: "&amp;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)),IF(X55="통과",AE55,X55)))</f>
        <v/>
      </c>
      <c r="T55">
        <f>IF(AF55=1,TEXT(Z55,"0.0%")&amp;" · 상위 "&amp;TEXT(($B$3-_xlfn.RANK.AVG(AG55,$AG$6:$AG$105,1)+1)/$B$3*100,"0")&amp;"%",IF(A55="","",IF(Z55="","결측",TEXT(Z55,"0.0%"))))</f>
        <v/>
      </c>
      <c r="U55">
        <f>IF(AF55=1,TEXT(AA55,"0.0%")&amp;" · 상위 "&amp;TEXT(($B$3-_xlfn.RANK.AVG(AH55,$AH$6:$AH$105,1)+1)/$B$3*100,"0")&amp;"%",IF(A55="","",IF(AA55="","결측",TEXT(AA55,"0.0%"))))</f>
        <v/>
      </c>
      <c r="V55">
        <f>IF(AF55=1,TEXT(AB55,"0.0%")&amp;" · 상위 "&amp;TEXT(($B$3-_xlfn.RANK.AVG(AI55,$AI$6:$AI$105,1)+1)/$B$3*100,"0")&amp;"%",IF(A55="","",IF(AB55="","결측",TEXT(AB55,"0.0%"))))</f>
        <v/>
      </c>
      <c r="W55">
        <f>IF(AF55=1,TEXT(AC55,"0.0%")&amp;" · 상위 "&amp;TEXT(($B$3-_xlfn.RANK.AVG(AJ55,$AJ$6:$AJ$105,1)+1)/$B$3*100,"0")&amp;"%",IF(A55="","",IF(AC55="","결측",TEXT(AC55,"0.0%"))))</f>
        <v/>
      </c>
      <c r="X55">
        <f>IF(A55="","",IF(AR55="","통과","제외: "&amp;AR55))</f>
        <v/>
      </c>
      <c r="Y55" s="21">
        <f>IF(AND(ISNUMBER(G55),ISNUMBER(H55)),IF(G55&gt;0,H55/G55,""),"")</f>
        <v/>
      </c>
      <c r="Z55" s="22">
        <f>IF(AND(ISNUMBER(F55),ISNUMBER(G55)),IF(G55&gt;0,F55/G55,""),"")</f>
        <v/>
      </c>
      <c r="AA55" s="22">
        <f>IF(AND(ISNUMBER(J55),ISNUMBER(K55)),IF(AND(J55&gt;0,K55&gt;0),(J55/K55)^(1/3)-1,""),"")</f>
        <v/>
      </c>
      <c r="AB55" s="22">
        <f>IF(AND(ISNUMBER(I55),ISNUMBER(L55),ISNUMBER(M55),ISNUMBER(N55)),IF((L55+M55-N55)&gt;0,I55/(L55+M55-N55),""),"")</f>
        <v/>
      </c>
      <c r="AC55" s="22">
        <f>IF(AND(ISNUMBER(O55),ISNUMBER(P55)),IF(AND(O55&gt;0,P55&gt;0),P55/O55-1,""),"")</f>
        <v/>
      </c>
      <c r="AD55">
        <f>_xlfn.TEXTJOIN(", ",TRUE,IF(Z55="","ROE",""),IF(AA55="","매출성장률",""),IF(AB55="","이익수익률",""),IF(AC55="","12-1 수익률",""))</f>
        <v/>
      </c>
      <c r="AE55">
        <f>IF(A55="","",IF(AR55&lt;&gt;"","점수 없음(거름망)",IF(AD55="","채점","점수 없음(결측: "&amp;AD55&amp;")")))</f>
        <v/>
      </c>
      <c r="AF55">
        <f>IF(AE55="채점",1,"")</f>
        <v/>
      </c>
      <c r="AG55">
        <f>IF(AF55=1,Z55,"")</f>
        <v/>
      </c>
      <c r="AH55">
        <f>IF(AF55=1,AA55,"")</f>
        <v/>
      </c>
      <c r="AI55">
        <f>IF(AF55=1,AB55,"")</f>
        <v/>
      </c>
      <c r="AJ55">
        <f>IF(AF55=1,AC55,"")</f>
        <v/>
      </c>
      <c r="AK55">
        <f>IF(AF55=1,IF($B$3=1,50,(_xlfn.RANK.AVG(AG55,$AG$6:$AG$105,1)-1)/($B$3-1)*100),"")</f>
        <v/>
      </c>
      <c r="AL55">
        <f>IF(AF55=1,IF($B$3=1,50,(_xlfn.RANK.AVG(AH55,$AH$6:$AH$105,1)-1)/($B$3-1)*100),"")</f>
        <v/>
      </c>
      <c r="AM55">
        <f>IF(AF55=1,IF($B$3=1,50,(_xlfn.RANK.AVG(AI55,$AI$6:$AI$105,1)-1)/($B$3-1)*100),"")</f>
        <v/>
      </c>
      <c r="AN55">
        <f>IF(AF55=1,IF($B$3=1,50,(_xlfn.RANK.AVG(AJ55,$AJ$6:$AJ$105,1)-1)/($B$3-1)*100),"")</f>
        <v/>
      </c>
      <c r="AO55">
        <f>IF(AF55=1,ROUND(AVERAGE(AK55:AN55),6),"")</f>
        <v/>
      </c>
      <c r="AP55">
        <f>IF(AND(AF55=1,C55&lt;&gt;"Y"),R55,"")</f>
        <v/>
      </c>
      <c r="AQ55">
        <f>IF(AND(ISNUMBER(AP55),Q55="편입 후보"),AP55+(1000-ROW())/1000000,"")</f>
        <v/>
      </c>
      <c r="AR55">
        <f>IF(A55="","",_xlfn.TEXTJOIN(", ",TRUE,IF(D55="Y","금융·리츠",""),IF(NOT(ISNUMBER(I55)),"영업이익 없음",IF(I55&lt;=0,"영업적자","")),IF(OR(NOT(ISNUMBER(G55)),NOT(ISNUMBER(H55))),"부채비율 자료 없음",IF(G55&lt;=0,"자본잠식",IF(H55/G55&gt;'설정'!$B$8,"부채비율 초과",""))),IF(NOT(ISNUMBER(L55)),"시총 없음",IF(L55&lt;'설정'!$B$9,"시총 미달",""))))</f>
        <v/>
      </c>
    </row>
    <row r="56">
      <c r="A56" s="18" t="n"/>
      <c r="B56" s="19" t="n"/>
      <c r="C56" s="19" t="n"/>
      <c r="D56" s="19" t="n"/>
      <c r="E56" s="19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7">
        <f>IF(A56="","",IF(C56="Y",IF(AF56=1,IF(AND(R56&lt;'설정'!$B$6,ISNUMBER($H$3)),IF(ROUND($H$3-R56,1)&gt;='설정'!$B$7,"교체 제안 → "&amp;$E$3&amp;" ("&amp;TEXT($H$3,"0.0")&amp;")","보유 유지"),"보유 유지"),"보유 · 점수 없음"),IF(AF56=1,IF(R56&gt;='설정'!$B$5,"편입 후보",""),"")))</f>
        <v/>
      </c>
      <c r="R56" s="15">
        <f>IF(AF56=1,ROUND(IF($B$3=1,50,(_xlfn.RANK.AVG(AO56,$AO$6:$AO$105,1)-1)/($B$3-1)*100),1),"")</f>
        <v/>
      </c>
      <c r="S56">
        <f>IF(A56="","",IF(AF56=1,_xlfn.TEXTJOIN(". ",TRUE,_xlfn.TEXTJOIN(", ",TRUE,IF(AK56&gt;='설정'!$B$20,"수익성 높음",""),IF(AL56&gt;='설정'!$B$20,"성장 빠름",""),IF(AM56&gt;='설정'!$B$20,"가격 쌈",""),IF(AN56&gt;='설정'!$B$20,"추세 좋음","")),_xlfn.TEXTJOIN(", ",TRUE,IF(AK56&lt;'설정'!$B$21,"수익성 낮음",""),IF(AL56&lt;'설정'!$B$21,"성장 느림",""),IF(AM56&lt;'설정'!$B$21,"가격 비쌈",""),IF(AN56&lt;'설정'!$B$21,"추세 약함","")),IF(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="","","보통: "&amp;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)),IF(X56="통과",AE56,X56)))</f>
        <v/>
      </c>
      <c r="T56">
        <f>IF(AF56=1,TEXT(Z56,"0.0%")&amp;" · 상위 "&amp;TEXT(($B$3-_xlfn.RANK.AVG(AG56,$AG$6:$AG$105,1)+1)/$B$3*100,"0")&amp;"%",IF(A56="","",IF(Z56="","결측",TEXT(Z56,"0.0%"))))</f>
        <v/>
      </c>
      <c r="U56">
        <f>IF(AF56=1,TEXT(AA56,"0.0%")&amp;" · 상위 "&amp;TEXT(($B$3-_xlfn.RANK.AVG(AH56,$AH$6:$AH$105,1)+1)/$B$3*100,"0")&amp;"%",IF(A56="","",IF(AA56="","결측",TEXT(AA56,"0.0%"))))</f>
        <v/>
      </c>
      <c r="V56">
        <f>IF(AF56=1,TEXT(AB56,"0.0%")&amp;" · 상위 "&amp;TEXT(($B$3-_xlfn.RANK.AVG(AI56,$AI$6:$AI$105,1)+1)/$B$3*100,"0")&amp;"%",IF(A56="","",IF(AB56="","결측",TEXT(AB56,"0.0%"))))</f>
        <v/>
      </c>
      <c r="W56">
        <f>IF(AF56=1,TEXT(AC56,"0.0%")&amp;" · 상위 "&amp;TEXT(($B$3-_xlfn.RANK.AVG(AJ56,$AJ$6:$AJ$105,1)+1)/$B$3*100,"0")&amp;"%",IF(A56="","",IF(AC56="","결측",TEXT(AC56,"0.0%"))))</f>
        <v/>
      </c>
      <c r="X56">
        <f>IF(A56="","",IF(AR56="","통과","제외: "&amp;AR56))</f>
        <v/>
      </c>
      <c r="Y56" s="21">
        <f>IF(AND(ISNUMBER(G56),ISNUMBER(H56)),IF(G56&gt;0,H56/G56,""),"")</f>
        <v/>
      </c>
      <c r="Z56" s="22">
        <f>IF(AND(ISNUMBER(F56),ISNUMBER(G56)),IF(G56&gt;0,F56/G56,""),"")</f>
        <v/>
      </c>
      <c r="AA56" s="22">
        <f>IF(AND(ISNUMBER(J56),ISNUMBER(K56)),IF(AND(J56&gt;0,K56&gt;0),(J56/K56)^(1/3)-1,""),"")</f>
        <v/>
      </c>
      <c r="AB56" s="22">
        <f>IF(AND(ISNUMBER(I56),ISNUMBER(L56),ISNUMBER(M56),ISNUMBER(N56)),IF((L56+M56-N56)&gt;0,I56/(L56+M56-N56),""),"")</f>
        <v/>
      </c>
      <c r="AC56" s="22">
        <f>IF(AND(ISNUMBER(O56),ISNUMBER(P56)),IF(AND(O56&gt;0,P56&gt;0),P56/O56-1,""),"")</f>
        <v/>
      </c>
      <c r="AD56">
        <f>_xlfn.TEXTJOIN(", ",TRUE,IF(Z56="","ROE",""),IF(AA56="","매출성장률",""),IF(AB56="","이익수익률",""),IF(AC56="","12-1 수익률",""))</f>
        <v/>
      </c>
      <c r="AE56">
        <f>IF(A56="","",IF(AR56&lt;&gt;"","점수 없음(거름망)",IF(AD56="","채점","점수 없음(결측: "&amp;AD56&amp;")")))</f>
        <v/>
      </c>
      <c r="AF56">
        <f>IF(AE56="채점",1,"")</f>
        <v/>
      </c>
      <c r="AG56">
        <f>IF(AF56=1,Z56,"")</f>
        <v/>
      </c>
      <c r="AH56">
        <f>IF(AF56=1,AA56,"")</f>
        <v/>
      </c>
      <c r="AI56">
        <f>IF(AF56=1,AB56,"")</f>
        <v/>
      </c>
      <c r="AJ56">
        <f>IF(AF56=1,AC56,"")</f>
        <v/>
      </c>
      <c r="AK56">
        <f>IF(AF56=1,IF($B$3=1,50,(_xlfn.RANK.AVG(AG56,$AG$6:$AG$105,1)-1)/($B$3-1)*100),"")</f>
        <v/>
      </c>
      <c r="AL56">
        <f>IF(AF56=1,IF($B$3=1,50,(_xlfn.RANK.AVG(AH56,$AH$6:$AH$105,1)-1)/($B$3-1)*100),"")</f>
        <v/>
      </c>
      <c r="AM56">
        <f>IF(AF56=1,IF($B$3=1,50,(_xlfn.RANK.AVG(AI56,$AI$6:$AI$105,1)-1)/($B$3-1)*100),"")</f>
        <v/>
      </c>
      <c r="AN56">
        <f>IF(AF56=1,IF($B$3=1,50,(_xlfn.RANK.AVG(AJ56,$AJ$6:$AJ$105,1)-1)/($B$3-1)*100),"")</f>
        <v/>
      </c>
      <c r="AO56">
        <f>IF(AF56=1,ROUND(AVERAGE(AK56:AN56),6),"")</f>
        <v/>
      </c>
      <c r="AP56">
        <f>IF(AND(AF56=1,C56&lt;&gt;"Y"),R56,"")</f>
        <v/>
      </c>
      <c r="AQ56">
        <f>IF(AND(ISNUMBER(AP56),Q56="편입 후보"),AP56+(1000-ROW())/1000000,"")</f>
        <v/>
      </c>
      <c r="AR56">
        <f>IF(A56="","",_xlfn.TEXTJOIN(", ",TRUE,IF(D56="Y","금융·리츠",""),IF(NOT(ISNUMBER(I56)),"영업이익 없음",IF(I56&lt;=0,"영업적자","")),IF(OR(NOT(ISNUMBER(G56)),NOT(ISNUMBER(H56))),"부채비율 자료 없음",IF(G56&lt;=0,"자본잠식",IF(H56/G56&gt;'설정'!$B$8,"부채비율 초과",""))),IF(NOT(ISNUMBER(L56)),"시총 없음",IF(L56&lt;'설정'!$B$9,"시총 미달",""))))</f>
        <v/>
      </c>
    </row>
    <row r="57">
      <c r="A57" s="18" t="n"/>
      <c r="B57" s="19" t="n"/>
      <c r="C57" s="19" t="n"/>
      <c r="D57" s="19" t="n"/>
      <c r="E57" s="19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7">
        <f>IF(A57="","",IF(C57="Y",IF(AF57=1,IF(AND(R57&lt;'설정'!$B$6,ISNUMBER($H$3)),IF(ROUND($H$3-R57,1)&gt;='설정'!$B$7,"교체 제안 → "&amp;$E$3&amp;" ("&amp;TEXT($H$3,"0.0")&amp;")","보유 유지"),"보유 유지"),"보유 · 점수 없음"),IF(AF57=1,IF(R57&gt;='설정'!$B$5,"편입 후보",""),"")))</f>
        <v/>
      </c>
      <c r="R57" s="15">
        <f>IF(AF57=1,ROUND(IF($B$3=1,50,(_xlfn.RANK.AVG(AO57,$AO$6:$AO$105,1)-1)/($B$3-1)*100),1),"")</f>
        <v/>
      </c>
      <c r="S57">
        <f>IF(A57="","",IF(AF57=1,_xlfn.TEXTJOIN(". ",TRUE,_xlfn.TEXTJOIN(", ",TRUE,IF(AK57&gt;='설정'!$B$20,"수익성 높음",""),IF(AL57&gt;='설정'!$B$20,"성장 빠름",""),IF(AM57&gt;='설정'!$B$20,"가격 쌈",""),IF(AN57&gt;='설정'!$B$20,"추세 좋음","")),_xlfn.TEXTJOIN(", ",TRUE,IF(AK57&lt;'설정'!$B$21,"수익성 낮음",""),IF(AL57&lt;'설정'!$B$21,"성장 느림",""),IF(AM57&lt;'설정'!$B$21,"가격 비쌈",""),IF(AN57&lt;'설정'!$B$21,"추세 약함","")),IF(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="","","보통: "&amp;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)),IF(X57="통과",AE57,X57)))</f>
        <v/>
      </c>
      <c r="T57">
        <f>IF(AF57=1,TEXT(Z57,"0.0%")&amp;" · 상위 "&amp;TEXT(($B$3-_xlfn.RANK.AVG(AG57,$AG$6:$AG$105,1)+1)/$B$3*100,"0")&amp;"%",IF(A57="","",IF(Z57="","결측",TEXT(Z57,"0.0%"))))</f>
        <v/>
      </c>
      <c r="U57">
        <f>IF(AF57=1,TEXT(AA57,"0.0%")&amp;" · 상위 "&amp;TEXT(($B$3-_xlfn.RANK.AVG(AH57,$AH$6:$AH$105,1)+1)/$B$3*100,"0")&amp;"%",IF(A57="","",IF(AA57="","결측",TEXT(AA57,"0.0%"))))</f>
        <v/>
      </c>
      <c r="V57">
        <f>IF(AF57=1,TEXT(AB57,"0.0%")&amp;" · 상위 "&amp;TEXT(($B$3-_xlfn.RANK.AVG(AI57,$AI$6:$AI$105,1)+1)/$B$3*100,"0")&amp;"%",IF(A57="","",IF(AB57="","결측",TEXT(AB57,"0.0%"))))</f>
        <v/>
      </c>
      <c r="W57">
        <f>IF(AF57=1,TEXT(AC57,"0.0%")&amp;" · 상위 "&amp;TEXT(($B$3-_xlfn.RANK.AVG(AJ57,$AJ$6:$AJ$105,1)+1)/$B$3*100,"0")&amp;"%",IF(A57="","",IF(AC57="","결측",TEXT(AC57,"0.0%"))))</f>
        <v/>
      </c>
      <c r="X57">
        <f>IF(A57="","",IF(AR57="","통과","제외: "&amp;AR57))</f>
        <v/>
      </c>
      <c r="Y57" s="21">
        <f>IF(AND(ISNUMBER(G57),ISNUMBER(H57)),IF(G57&gt;0,H57/G57,""),"")</f>
        <v/>
      </c>
      <c r="Z57" s="22">
        <f>IF(AND(ISNUMBER(F57),ISNUMBER(G57)),IF(G57&gt;0,F57/G57,""),"")</f>
        <v/>
      </c>
      <c r="AA57" s="22">
        <f>IF(AND(ISNUMBER(J57),ISNUMBER(K57)),IF(AND(J57&gt;0,K57&gt;0),(J57/K57)^(1/3)-1,""),"")</f>
        <v/>
      </c>
      <c r="AB57" s="22">
        <f>IF(AND(ISNUMBER(I57),ISNUMBER(L57),ISNUMBER(M57),ISNUMBER(N57)),IF((L57+M57-N57)&gt;0,I57/(L57+M57-N57),""),"")</f>
        <v/>
      </c>
      <c r="AC57" s="22">
        <f>IF(AND(ISNUMBER(O57),ISNUMBER(P57)),IF(AND(O57&gt;0,P57&gt;0),P57/O57-1,""),"")</f>
        <v/>
      </c>
      <c r="AD57">
        <f>_xlfn.TEXTJOIN(", ",TRUE,IF(Z57="","ROE",""),IF(AA57="","매출성장률",""),IF(AB57="","이익수익률",""),IF(AC57="","12-1 수익률",""))</f>
        <v/>
      </c>
      <c r="AE57">
        <f>IF(A57="","",IF(AR57&lt;&gt;"","점수 없음(거름망)",IF(AD57="","채점","점수 없음(결측: "&amp;AD57&amp;")")))</f>
        <v/>
      </c>
      <c r="AF57">
        <f>IF(AE57="채점",1,"")</f>
        <v/>
      </c>
      <c r="AG57">
        <f>IF(AF57=1,Z57,"")</f>
        <v/>
      </c>
      <c r="AH57">
        <f>IF(AF57=1,AA57,"")</f>
        <v/>
      </c>
      <c r="AI57">
        <f>IF(AF57=1,AB57,"")</f>
        <v/>
      </c>
      <c r="AJ57">
        <f>IF(AF57=1,AC57,"")</f>
        <v/>
      </c>
      <c r="AK57">
        <f>IF(AF57=1,IF($B$3=1,50,(_xlfn.RANK.AVG(AG57,$AG$6:$AG$105,1)-1)/($B$3-1)*100),"")</f>
        <v/>
      </c>
      <c r="AL57">
        <f>IF(AF57=1,IF($B$3=1,50,(_xlfn.RANK.AVG(AH57,$AH$6:$AH$105,1)-1)/($B$3-1)*100),"")</f>
        <v/>
      </c>
      <c r="AM57">
        <f>IF(AF57=1,IF($B$3=1,50,(_xlfn.RANK.AVG(AI57,$AI$6:$AI$105,1)-1)/($B$3-1)*100),"")</f>
        <v/>
      </c>
      <c r="AN57">
        <f>IF(AF57=1,IF($B$3=1,50,(_xlfn.RANK.AVG(AJ57,$AJ$6:$AJ$105,1)-1)/($B$3-1)*100),"")</f>
        <v/>
      </c>
      <c r="AO57">
        <f>IF(AF57=1,ROUND(AVERAGE(AK57:AN57),6),"")</f>
        <v/>
      </c>
      <c r="AP57">
        <f>IF(AND(AF57=1,C57&lt;&gt;"Y"),R57,"")</f>
        <v/>
      </c>
      <c r="AQ57">
        <f>IF(AND(ISNUMBER(AP57),Q57="편입 후보"),AP57+(1000-ROW())/1000000,"")</f>
        <v/>
      </c>
      <c r="AR57">
        <f>IF(A57="","",_xlfn.TEXTJOIN(", ",TRUE,IF(D57="Y","금융·리츠",""),IF(NOT(ISNUMBER(I57)),"영업이익 없음",IF(I57&lt;=0,"영업적자","")),IF(OR(NOT(ISNUMBER(G57)),NOT(ISNUMBER(H57))),"부채비율 자료 없음",IF(G57&lt;=0,"자본잠식",IF(H57/G57&gt;'설정'!$B$8,"부채비율 초과",""))),IF(NOT(ISNUMBER(L57)),"시총 없음",IF(L57&lt;'설정'!$B$9,"시총 미달",""))))</f>
        <v/>
      </c>
    </row>
    <row r="58">
      <c r="A58" s="18" t="n"/>
      <c r="B58" s="19" t="n"/>
      <c r="C58" s="19" t="n"/>
      <c r="D58" s="19" t="n"/>
      <c r="E58" s="19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7">
        <f>IF(A58="","",IF(C58="Y",IF(AF58=1,IF(AND(R58&lt;'설정'!$B$6,ISNUMBER($H$3)),IF(ROUND($H$3-R58,1)&gt;='설정'!$B$7,"교체 제안 → "&amp;$E$3&amp;" ("&amp;TEXT($H$3,"0.0")&amp;")","보유 유지"),"보유 유지"),"보유 · 점수 없음"),IF(AF58=1,IF(R58&gt;='설정'!$B$5,"편입 후보",""),"")))</f>
        <v/>
      </c>
      <c r="R58" s="15">
        <f>IF(AF58=1,ROUND(IF($B$3=1,50,(_xlfn.RANK.AVG(AO58,$AO$6:$AO$105,1)-1)/($B$3-1)*100),1),"")</f>
        <v/>
      </c>
      <c r="S58">
        <f>IF(A58="","",IF(AF58=1,_xlfn.TEXTJOIN(". ",TRUE,_xlfn.TEXTJOIN(", ",TRUE,IF(AK58&gt;='설정'!$B$20,"수익성 높음",""),IF(AL58&gt;='설정'!$B$20,"성장 빠름",""),IF(AM58&gt;='설정'!$B$20,"가격 쌈",""),IF(AN58&gt;='설정'!$B$20,"추세 좋음","")),_xlfn.TEXTJOIN(", ",TRUE,IF(AK58&lt;'설정'!$B$21,"수익성 낮음",""),IF(AL58&lt;'설정'!$B$21,"성장 느림",""),IF(AM58&lt;'설정'!$B$21,"가격 비쌈",""),IF(AN58&lt;'설정'!$B$21,"추세 약함","")),IF(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="","","보통: "&amp;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)),IF(X58="통과",AE58,X58)))</f>
        <v/>
      </c>
      <c r="T58">
        <f>IF(AF58=1,TEXT(Z58,"0.0%")&amp;" · 상위 "&amp;TEXT(($B$3-_xlfn.RANK.AVG(AG58,$AG$6:$AG$105,1)+1)/$B$3*100,"0")&amp;"%",IF(A58="","",IF(Z58="","결측",TEXT(Z58,"0.0%"))))</f>
        <v/>
      </c>
      <c r="U58">
        <f>IF(AF58=1,TEXT(AA58,"0.0%")&amp;" · 상위 "&amp;TEXT(($B$3-_xlfn.RANK.AVG(AH58,$AH$6:$AH$105,1)+1)/$B$3*100,"0")&amp;"%",IF(A58="","",IF(AA58="","결측",TEXT(AA58,"0.0%"))))</f>
        <v/>
      </c>
      <c r="V58">
        <f>IF(AF58=1,TEXT(AB58,"0.0%")&amp;" · 상위 "&amp;TEXT(($B$3-_xlfn.RANK.AVG(AI58,$AI$6:$AI$105,1)+1)/$B$3*100,"0")&amp;"%",IF(A58="","",IF(AB58="","결측",TEXT(AB58,"0.0%"))))</f>
        <v/>
      </c>
      <c r="W58">
        <f>IF(AF58=1,TEXT(AC58,"0.0%")&amp;" · 상위 "&amp;TEXT(($B$3-_xlfn.RANK.AVG(AJ58,$AJ$6:$AJ$105,1)+1)/$B$3*100,"0")&amp;"%",IF(A58="","",IF(AC58="","결측",TEXT(AC58,"0.0%"))))</f>
        <v/>
      </c>
      <c r="X58">
        <f>IF(A58="","",IF(AR58="","통과","제외: "&amp;AR58))</f>
        <v/>
      </c>
      <c r="Y58" s="21">
        <f>IF(AND(ISNUMBER(G58),ISNUMBER(H58)),IF(G58&gt;0,H58/G58,""),"")</f>
        <v/>
      </c>
      <c r="Z58" s="22">
        <f>IF(AND(ISNUMBER(F58),ISNUMBER(G58)),IF(G58&gt;0,F58/G58,""),"")</f>
        <v/>
      </c>
      <c r="AA58" s="22">
        <f>IF(AND(ISNUMBER(J58),ISNUMBER(K58)),IF(AND(J58&gt;0,K58&gt;0),(J58/K58)^(1/3)-1,""),"")</f>
        <v/>
      </c>
      <c r="AB58" s="22">
        <f>IF(AND(ISNUMBER(I58),ISNUMBER(L58),ISNUMBER(M58),ISNUMBER(N58)),IF((L58+M58-N58)&gt;0,I58/(L58+M58-N58),""),"")</f>
        <v/>
      </c>
      <c r="AC58" s="22">
        <f>IF(AND(ISNUMBER(O58),ISNUMBER(P58)),IF(AND(O58&gt;0,P58&gt;0),P58/O58-1,""),"")</f>
        <v/>
      </c>
      <c r="AD58">
        <f>_xlfn.TEXTJOIN(", ",TRUE,IF(Z58="","ROE",""),IF(AA58="","매출성장률",""),IF(AB58="","이익수익률",""),IF(AC58="","12-1 수익률",""))</f>
        <v/>
      </c>
      <c r="AE58">
        <f>IF(A58="","",IF(AR58&lt;&gt;"","점수 없음(거름망)",IF(AD58="","채점","점수 없음(결측: "&amp;AD58&amp;")")))</f>
        <v/>
      </c>
      <c r="AF58">
        <f>IF(AE58="채점",1,"")</f>
        <v/>
      </c>
      <c r="AG58">
        <f>IF(AF58=1,Z58,"")</f>
        <v/>
      </c>
      <c r="AH58">
        <f>IF(AF58=1,AA58,"")</f>
        <v/>
      </c>
      <c r="AI58">
        <f>IF(AF58=1,AB58,"")</f>
        <v/>
      </c>
      <c r="AJ58">
        <f>IF(AF58=1,AC58,"")</f>
        <v/>
      </c>
      <c r="AK58">
        <f>IF(AF58=1,IF($B$3=1,50,(_xlfn.RANK.AVG(AG58,$AG$6:$AG$105,1)-1)/($B$3-1)*100),"")</f>
        <v/>
      </c>
      <c r="AL58">
        <f>IF(AF58=1,IF($B$3=1,50,(_xlfn.RANK.AVG(AH58,$AH$6:$AH$105,1)-1)/($B$3-1)*100),"")</f>
        <v/>
      </c>
      <c r="AM58">
        <f>IF(AF58=1,IF($B$3=1,50,(_xlfn.RANK.AVG(AI58,$AI$6:$AI$105,1)-1)/($B$3-1)*100),"")</f>
        <v/>
      </c>
      <c r="AN58">
        <f>IF(AF58=1,IF($B$3=1,50,(_xlfn.RANK.AVG(AJ58,$AJ$6:$AJ$105,1)-1)/($B$3-1)*100),"")</f>
        <v/>
      </c>
      <c r="AO58">
        <f>IF(AF58=1,ROUND(AVERAGE(AK58:AN58),6),"")</f>
        <v/>
      </c>
      <c r="AP58">
        <f>IF(AND(AF58=1,C58&lt;&gt;"Y"),R58,"")</f>
        <v/>
      </c>
      <c r="AQ58">
        <f>IF(AND(ISNUMBER(AP58),Q58="편입 후보"),AP58+(1000-ROW())/1000000,"")</f>
        <v/>
      </c>
      <c r="AR58">
        <f>IF(A58="","",_xlfn.TEXTJOIN(", ",TRUE,IF(D58="Y","금융·리츠",""),IF(NOT(ISNUMBER(I58)),"영업이익 없음",IF(I58&lt;=0,"영업적자","")),IF(OR(NOT(ISNUMBER(G58)),NOT(ISNUMBER(H58))),"부채비율 자료 없음",IF(G58&lt;=0,"자본잠식",IF(H58/G58&gt;'설정'!$B$8,"부채비율 초과",""))),IF(NOT(ISNUMBER(L58)),"시총 없음",IF(L58&lt;'설정'!$B$9,"시총 미달",""))))</f>
        <v/>
      </c>
    </row>
    <row r="59">
      <c r="A59" s="18" t="n"/>
      <c r="B59" s="19" t="n"/>
      <c r="C59" s="19" t="n"/>
      <c r="D59" s="19" t="n"/>
      <c r="E59" s="19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7">
        <f>IF(A59="","",IF(C59="Y",IF(AF59=1,IF(AND(R59&lt;'설정'!$B$6,ISNUMBER($H$3)),IF(ROUND($H$3-R59,1)&gt;='설정'!$B$7,"교체 제안 → "&amp;$E$3&amp;" ("&amp;TEXT($H$3,"0.0")&amp;")","보유 유지"),"보유 유지"),"보유 · 점수 없음"),IF(AF59=1,IF(R59&gt;='설정'!$B$5,"편입 후보",""),"")))</f>
        <v/>
      </c>
      <c r="R59" s="15">
        <f>IF(AF59=1,ROUND(IF($B$3=1,50,(_xlfn.RANK.AVG(AO59,$AO$6:$AO$105,1)-1)/($B$3-1)*100),1),"")</f>
        <v/>
      </c>
      <c r="S59">
        <f>IF(A59="","",IF(AF59=1,_xlfn.TEXTJOIN(". ",TRUE,_xlfn.TEXTJOIN(", ",TRUE,IF(AK59&gt;='설정'!$B$20,"수익성 높음",""),IF(AL59&gt;='설정'!$B$20,"성장 빠름",""),IF(AM59&gt;='설정'!$B$20,"가격 쌈",""),IF(AN59&gt;='설정'!$B$20,"추세 좋음","")),_xlfn.TEXTJOIN(", ",TRUE,IF(AK59&lt;'설정'!$B$21,"수익성 낮음",""),IF(AL59&lt;'설정'!$B$21,"성장 느림",""),IF(AM59&lt;'설정'!$B$21,"가격 비쌈",""),IF(AN59&lt;'설정'!$B$21,"추세 약함","")),IF(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="","","보통: "&amp;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)),IF(X59="통과",AE59,X59)))</f>
        <v/>
      </c>
      <c r="T59">
        <f>IF(AF59=1,TEXT(Z59,"0.0%")&amp;" · 상위 "&amp;TEXT(($B$3-_xlfn.RANK.AVG(AG59,$AG$6:$AG$105,1)+1)/$B$3*100,"0")&amp;"%",IF(A59="","",IF(Z59="","결측",TEXT(Z59,"0.0%"))))</f>
        <v/>
      </c>
      <c r="U59">
        <f>IF(AF59=1,TEXT(AA59,"0.0%")&amp;" · 상위 "&amp;TEXT(($B$3-_xlfn.RANK.AVG(AH59,$AH$6:$AH$105,1)+1)/$B$3*100,"0")&amp;"%",IF(A59="","",IF(AA59="","결측",TEXT(AA59,"0.0%"))))</f>
        <v/>
      </c>
      <c r="V59">
        <f>IF(AF59=1,TEXT(AB59,"0.0%")&amp;" · 상위 "&amp;TEXT(($B$3-_xlfn.RANK.AVG(AI59,$AI$6:$AI$105,1)+1)/$B$3*100,"0")&amp;"%",IF(A59="","",IF(AB59="","결측",TEXT(AB59,"0.0%"))))</f>
        <v/>
      </c>
      <c r="W59">
        <f>IF(AF59=1,TEXT(AC59,"0.0%")&amp;" · 상위 "&amp;TEXT(($B$3-_xlfn.RANK.AVG(AJ59,$AJ$6:$AJ$105,1)+1)/$B$3*100,"0")&amp;"%",IF(A59="","",IF(AC59="","결측",TEXT(AC59,"0.0%"))))</f>
        <v/>
      </c>
      <c r="X59">
        <f>IF(A59="","",IF(AR59="","통과","제외: "&amp;AR59))</f>
        <v/>
      </c>
      <c r="Y59" s="21">
        <f>IF(AND(ISNUMBER(G59),ISNUMBER(H59)),IF(G59&gt;0,H59/G59,""),"")</f>
        <v/>
      </c>
      <c r="Z59" s="22">
        <f>IF(AND(ISNUMBER(F59),ISNUMBER(G59)),IF(G59&gt;0,F59/G59,""),"")</f>
        <v/>
      </c>
      <c r="AA59" s="22">
        <f>IF(AND(ISNUMBER(J59),ISNUMBER(K59)),IF(AND(J59&gt;0,K59&gt;0),(J59/K59)^(1/3)-1,""),"")</f>
        <v/>
      </c>
      <c r="AB59" s="22">
        <f>IF(AND(ISNUMBER(I59),ISNUMBER(L59),ISNUMBER(M59),ISNUMBER(N59)),IF((L59+M59-N59)&gt;0,I59/(L59+M59-N59),""),"")</f>
        <v/>
      </c>
      <c r="AC59" s="22">
        <f>IF(AND(ISNUMBER(O59),ISNUMBER(P59)),IF(AND(O59&gt;0,P59&gt;0),P59/O59-1,""),"")</f>
        <v/>
      </c>
      <c r="AD59">
        <f>_xlfn.TEXTJOIN(", ",TRUE,IF(Z59="","ROE",""),IF(AA59="","매출성장률",""),IF(AB59="","이익수익률",""),IF(AC59="","12-1 수익률",""))</f>
        <v/>
      </c>
      <c r="AE59">
        <f>IF(A59="","",IF(AR59&lt;&gt;"","점수 없음(거름망)",IF(AD59="","채점","점수 없음(결측: "&amp;AD59&amp;")")))</f>
        <v/>
      </c>
      <c r="AF59">
        <f>IF(AE59="채점",1,"")</f>
        <v/>
      </c>
      <c r="AG59">
        <f>IF(AF59=1,Z59,"")</f>
        <v/>
      </c>
      <c r="AH59">
        <f>IF(AF59=1,AA59,"")</f>
        <v/>
      </c>
      <c r="AI59">
        <f>IF(AF59=1,AB59,"")</f>
        <v/>
      </c>
      <c r="AJ59">
        <f>IF(AF59=1,AC59,"")</f>
        <v/>
      </c>
      <c r="AK59">
        <f>IF(AF59=1,IF($B$3=1,50,(_xlfn.RANK.AVG(AG59,$AG$6:$AG$105,1)-1)/($B$3-1)*100),"")</f>
        <v/>
      </c>
      <c r="AL59">
        <f>IF(AF59=1,IF($B$3=1,50,(_xlfn.RANK.AVG(AH59,$AH$6:$AH$105,1)-1)/($B$3-1)*100),"")</f>
        <v/>
      </c>
      <c r="AM59">
        <f>IF(AF59=1,IF($B$3=1,50,(_xlfn.RANK.AVG(AI59,$AI$6:$AI$105,1)-1)/($B$3-1)*100),"")</f>
        <v/>
      </c>
      <c r="AN59">
        <f>IF(AF59=1,IF($B$3=1,50,(_xlfn.RANK.AVG(AJ59,$AJ$6:$AJ$105,1)-1)/($B$3-1)*100),"")</f>
        <v/>
      </c>
      <c r="AO59">
        <f>IF(AF59=1,ROUND(AVERAGE(AK59:AN59),6),"")</f>
        <v/>
      </c>
      <c r="AP59">
        <f>IF(AND(AF59=1,C59&lt;&gt;"Y"),R59,"")</f>
        <v/>
      </c>
      <c r="AQ59">
        <f>IF(AND(ISNUMBER(AP59),Q59="편입 후보"),AP59+(1000-ROW())/1000000,"")</f>
        <v/>
      </c>
      <c r="AR59">
        <f>IF(A59="","",_xlfn.TEXTJOIN(", ",TRUE,IF(D59="Y","금융·리츠",""),IF(NOT(ISNUMBER(I59)),"영업이익 없음",IF(I59&lt;=0,"영업적자","")),IF(OR(NOT(ISNUMBER(G59)),NOT(ISNUMBER(H59))),"부채비율 자료 없음",IF(G59&lt;=0,"자본잠식",IF(H59/G59&gt;'설정'!$B$8,"부채비율 초과",""))),IF(NOT(ISNUMBER(L59)),"시총 없음",IF(L59&lt;'설정'!$B$9,"시총 미달",""))))</f>
        <v/>
      </c>
    </row>
    <row r="60">
      <c r="A60" s="18" t="n"/>
      <c r="B60" s="19" t="n"/>
      <c r="C60" s="19" t="n"/>
      <c r="D60" s="19" t="n"/>
      <c r="E60" s="19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7">
        <f>IF(A60="","",IF(C60="Y",IF(AF60=1,IF(AND(R60&lt;'설정'!$B$6,ISNUMBER($H$3)),IF(ROUND($H$3-R60,1)&gt;='설정'!$B$7,"교체 제안 → "&amp;$E$3&amp;" ("&amp;TEXT($H$3,"0.0")&amp;")","보유 유지"),"보유 유지"),"보유 · 점수 없음"),IF(AF60=1,IF(R60&gt;='설정'!$B$5,"편입 후보",""),"")))</f>
        <v/>
      </c>
      <c r="R60" s="15">
        <f>IF(AF60=1,ROUND(IF($B$3=1,50,(_xlfn.RANK.AVG(AO60,$AO$6:$AO$105,1)-1)/($B$3-1)*100),1),"")</f>
        <v/>
      </c>
      <c r="S60">
        <f>IF(A60="","",IF(AF60=1,_xlfn.TEXTJOIN(". ",TRUE,_xlfn.TEXTJOIN(", ",TRUE,IF(AK60&gt;='설정'!$B$20,"수익성 높음",""),IF(AL60&gt;='설정'!$B$20,"성장 빠름",""),IF(AM60&gt;='설정'!$B$20,"가격 쌈",""),IF(AN60&gt;='설정'!$B$20,"추세 좋음","")),_xlfn.TEXTJOIN(", ",TRUE,IF(AK60&lt;'설정'!$B$21,"수익성 낮음",""),IF(AL60&lt;'설정'!$B$21,"성장 느림",""),IF(AM60&lt;'설정'!$B$21,"가격 비쌈",""),IF(AN60&lt;'설정'!$B$21,"추세 약함","")),IF(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="","","보통: "&amp;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)),IF(X60="통과",AE60,X60)))</f>
        <v/>
      </c>
      <c r="T60">
        <f>IF(AF60=1,TEXT(Z60,"0.0%")&amp;" · 상위 "&amp;TEXT(($B$3-_xlfn.RANK.AVG(AG60,$AG$6:$AG$105,1)+1)/$B$3*100,"0")&amp;"%",IF(A60="","",IF(Z60="","결측",TEXT(Z60,"0.0%"))))</f>
        <v/>
      </c>
      <c r="U60">
        <f>IF(AF60=1,TEXT(AA60,"0.0%")&amp;" · 상위 "&amp;TEXT(($B$3-_xlfn.RANK.AVG(AH60,$AH$6:$AH$105,1)+1)/$B$3*100,"0")&amp;"%",IF(A60="","",IF(AA60="","결측",TEXT(AA60,"0.0%"))))</f>
        <v/>
      </c>
      <c r="V60">
        <f>IF(AF60=1,TEXT(AB60,"0.0%")&amp;" · 상위 "&amp;TEXT(($B$3-_xlfn.RANK.AVG(AI60,$AI$6:$AI$105,1)+1)/$B$3*100,"0")&amp;"%",IF(A60="","",IF(AB60="","결측",TEXT(AB60,"0.0%"))))</f>
        <v/>
      </c>
      <c r="W60">
        <f>IF(AF60=1,TEXT(AC60,"0.0%")&amp;" · 상위 "&amp;TEXT(($B$3-_xlfn.RANK.AVG(AJ60,$AJ$6:$AJ$105,1)+1)/$B$3*100,"0")&amp;"%",IF(A60="","",IF(AC60="","결측",TEXT(AC60,"0.0%"))))</f>
        <v/>
      </c>
      <c r="X60">
        <f>IF(A60="","",IF(AR60="","통과","제외: "&amp;AR60))</f>
        <v/>
      </c>
      <c r="Y60" s="21">
        <f>IF(AND(ISNUMBER(G60),ISNUMBER(H60)),IF(G60&gt;0,H60/G60,""),"")</f>
        <v/>
      </c>
      <c r="Z60" s="22">
        <f>IF(AND(ISNUMBER(F60),ISNUMBER(G60)),IF(G60&gt;0,F60/G60,""),"")</f>
        <v/>
      </c>
      <c r="AA60" s="22">
        <f>IF(AND(ISNUMBER(J60),ISNUMBER(K60)),IF(AND(J60&gt;0,K60&gt;0),(J60/K60)^(1/3)-1,""),"")</f>
        <v/>
      </c>
      <c r="AB60" s="22">
        <f>IF(AND(ISNUMBER(I60),ISNUMBER(L60),ISNUMBER(M60),ISNUMBER(N60)),IF((L60+M60-N60)&gt;0,I60/(L60+M60-N60),""),"")</f>
        <v/>
      </c>
      <c r="AC60" s="22">
        <f>IF(AND(ISNUMBER(O60),ISNUMBER(P60)),IF(AND(O60&gt;0,P60&gt;0),P60/O60-1,""),"")</f>
        <v/>
      </c>
      <c r="AD60">
        <f>_xlfn.TEXTJOIN(", ",TRUE,IF(Z60="","ROE",""),IF(AA60="","매출성장률",""),IF(AB60="","이익수익률",""),IF(AC60="","12-1 수익률",""))</f>
        <v/>
      </c>
      <c r="AE60">
        <f>IF(A60="","",IF(AR60&lt;&gt;"","점수 없음(거름망)",IF(AD60="","채점","점수 없음(결측: "&amp;AD60&amp;")")))</f>
        <v/>
      </c>
      <c r="AF60">
        <f>IF(AE60="채점",1,"")</f>
        <v/>
      </c>
      <c r="AG60">
        <f>IF(AF60=1,Z60,"")</f>
        <v/>
      </c>
      <c r="AH60">
        <f>IF(AF60=1,AA60,"")</f>
        <v/>
      </c>
      <c r="AI60">
        <f>IF(AF60=1,AB60,"")</f>
        <v/>
      </c>
      <c r="AJ60">
        <f>IF(AF60=1,AC60,"")</f>
        <v/>
      </c>
      <c r="AK60">
        <f>IF(AF60=1,IF($B$3=1,50,(_xlfn.RANK.AVG(AG60,$AG$6:$AG$105,1)-1)/($B$3-1)*100),"")</f>
        <v/>
      </c>
      <c r="AL60">
        <f>IF(AF60=1,IF($B$3=1,50,(_xlfn.RANK.AVG(AH60,$AH$6:$AH$105,1)-1)/($B$3-1)*100),"")</f>
        <v/>
      </c>
      <c r="AM60">
        <f>IF(AF60=1,IF($B$3=1,50,(_xlfn.RANK.AVG(AI60,$AI$6:$AI$105,1)-1)/($B$3-1)*100),"")</f>
        <v/>
      </c>
      <c r="AN60">
        <f>IF(AF60=1,IF($B$3=1,50,(_xlfn.RANK.AVG(AJ60,$AJ$6:$AJ$105,1)-1)/($B$3-1)*100),"")</f>
        <v/>
      </c>
      <c r="AO60">
        <f>IF(AF60=1,ROUND(AVERAGE(AK60:AN60),6),"")</f>
        <v/>
      </c>
      <c r="AP60">
        <f>IF(AND(AF60=1,C60&lt;&gt;"Y"),R60,"")</f>
        <v/>
      </c>
      <c r="AQ60">
        <f>IF(AND(ISNUMBER(AP60),Q60="편입 후보"),AP60+(1000-ROW())/1000000,"")</f>
        <v/>
      </c>
      <c r="AR60">
        <f>IF(A60="","",_xlfn.TEXTJOIN(", ",TRUE,IF(D60="Y","금융·리츠",""),IF(NOT(ISNUMBER(I60)),"영업이익 없음",IF(I60&lt;=0,"영업적자","")),IF(OR(NOT(ISNUMBER(G60)),NOT(ISNUMBER(H60))),"부채비율 자료 없음",IF(G60&lt;=0,"자본잠식",IF(H60/G60&gt;'설정'!$B$8,"부채비율 초과",""))),IF(NOT(ISNUMBER(L60)),"시총 없음",IF(L60&lt;'설정'!$B$9,"시총 미달",""))))</f>
        <v/>
      </c>
    </row>
    <row r="61">
      <c r="A61" s="18" t="n"/>
      <c r="B61" s="19" t="n"/>
      <c r="C61" s="19" t="n"/>
      <c r="D61" s="19" t="n"/>
      <c r="E61" s="19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7">
        <f>IF(A61="","",IF(C61="Y",IF(AF61=1,IF(AND(R61&lt;'설정'!$B$6,ISNUMBER($H$3)),IF(ROUND($H$3-R61,1)&gt;='설정'!$B$7,"교체 제안 → "&amp;$E$3&amp;" ("&amp;TEXT($H$3,"0.0")&amp;")","보유 유지"),"보유 유지"),"보유 · 점수 없음"),IF(AF61=1,IF(R61&gt;='설정'!$B$5,"편입 후보",""),"")))</f>
        <v/>
      </c>
      <c r="R61" s="15">
        <f>IF(AF61=1,ROUND(IF($B$3=1,50,(_xlfn.RANK.AVG(AO61,$AO$6:$AO$105,1)-1)/($B$3-1)*100),1),"")</f>
        <v/>
      </c>
      <c r="S61">
        <f>IF(A61="","",IF(AF61=1,_xlfn.TEXTJOIN(". ",TRUE,_xlfn.TEXTJOIN(", ",TRUE,IF(AK61&gt;='설정'!$B$20,"수익성 높음",""),IF(AL61&gt;='설정'!$B$20,"성장 빠름",""),IF(AM61&gt;='설정'!$B$20,"가격 쌈",""),IF(AN61&gt;='설정'!$B$20,"추세 좋음","")),_xlfn.TEXTJOIN(", ",TRUE,IF(AK61&lt;'설정'!$B$21,"수익성 낮음",""),IF(AL61&lt;'설정'!$B$21,"성장 느림",""),IF(AM61&lt;'설정'!$B$21,"가격 비쌈",""),IF(AN61&lt;'설정'!$B$21,"추세 약함","")),IF(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="","","보통: "&amp;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)),IF(X61="통과",AE61,X61)))</f>
        <v/>
      </c>
      <c r="T61">
        <f>IF(AF61=1,TEXT(Z61,"0.0%")&amp;" · 상위 "&amp;TEXT(($B$3-_xlfn.RANK.AVG(AG61,$AG$6:$AG$105,1)+1)/$B$3*100,"0")&amp;"%",IF(A61="","",IF(Z61="","결측",TEXT(Z61,"0.0%"))))</f>
        <v/>
      </c>
      <c r="U61">
        <f>IF(AF61=1,TEXT(AA61,"0.0%")&amp;" · 상위 "&amp;TEXT(($B$3-_xlfn.RANK.AVG(AH61,$AH$6:$AH$105,1)+1)/$B$3*100,"0")&amp;"%",IF(A61="","",IF(AA61="","결측",TEXT(AA61,"0.0%"))))</f>
        <v/>
      </c>
      <c r="V61">
        <f>IF(AF61=1,TEXT(AB61,"0.0%")&amp;" · 상위 "&amp;TEXT(($B$3-_xlfn.RANK.AVG(AI61,$AI$6:$AI$105,1)+1)/$B$3*100,"0")&amp;"%",IF(A61="","",IF(AB61="","결측",TEXT(AB61,"0.0%"))))</f>
        <v/>
      </c>
      <c r="W61">
        <f>IF(AF61=1,TEXT(AC61,"0.0%")&amp;" · 상위 "&amp;TEXT(($B$3-_xlfn.RANK.AVG(AJ61,$AJ$6:$AJ$105,1)+1)/$B$3*100,"0")&amp;"%",IF(A61="","",IF(AC61="","결측",TEXT(AC61,"0.0%"))))</f>
        <v/>
      </c>
      <c r="X61">
        <f>IF(A61="","",IF(AR61="","통과","제외: "&amp;AR61))</f>
        <v/>
      </c>
      <c r="Y61" s="21">
        <f>IF(AND(ISNUMBER(G61),ISNUMBER(H61)),IF(G61&gt;0,H61/G61,""),"")</f>
        <v/>
      </c>
      <c r="Z61" s="22">
        <f>IF(AND(ISNUMBER(F61),ISNUMBER(G61)),IF(G61&gt;0,F61/G61,""),"")</f>
        <v/>
      </c>
      <c r="AA61" s="22">
        <f>IF(AND(ISNUMBER(J61),ISNUMBER(K61)),IF(AND(J61&gt;0,K61&gt;0),(J61/K61)^(1/3)-1,""),"")</f>
        <v/>
      </c>
      <c r="AB61" s="22">
        <f>IF(AND(ISNUMBER(I61),ISNUMBER(L61),ISNUMBER(M61),ISNUMBER(N61)),IF((L61+M61-N61)&gt;0,I61/(L61+M61-N61),""),"")</f>
        <v/>
      </c>
      <c r="AC61" s="22">
        <f>IF(AND(ISNUMBER(O61),ISNUMBER(P61)),IF(AND(O61&gt;0,P61&gt;0),P61/O61-1,""),"")</f>
        <v/>
      </c>
      <c r="AD61">
        <f>_xlfn.TEXTJOIN(", ",TRUE,IF(Z61="","ROE",""),IF(AA61="","매출성장률",""),IF(AB61="","이익수익률",""),IF(AC61="","12-1 수익률",""))</f>
        <v/>
      </c>
      <c r="AE61">
        <f>IF(A61="","",IF(AR61&lt;&gt;"","점수 없음(거름망)",IF(AD61="","채점","점수 없음(결측: "&amp;AD61&amp;")")))</f>
        <v/>
      </c>
      <c r="AF61">
        <f>IF(AE61="채점",1,"")</f>
        <v/>
      </c>
      <c r="AG61">
        <f>IF(AF61=1,Z61,"")</f>
        <v/>
      </c>
      <c r="AH61">
        <f>IF(AF61=1,AA61,"")</f>
        <v/>
      </c>
      <c r="AI61">
        <f>IF(AF61=1,AB61,"")</f>
        <v/>
      </c>
      <c r="AJ61">
        <f>IF(AF61=1,AC61,"")</f>
        <v/>
      </c>
      <c r="AK61">
        <f>IF(AF61=1,IF($B$3=1,50,(_xlfn.RANK.AVG(AG61,$AG$6:$AG$105,1)-1)/($B$3-1)*100),"")</f>
        <v/>
      </c>
      <c r="AL61">
        <f>IF(AF61=1,IF($B$3=1,50,(_xlfn.RANK.AVG(AH61,$AH$6:$AH$105,1)-1)/($B$3-1)*100),"")</f>
        <v/>
      </c>
      <c r="AM61">
        <f>IF(AF61=1,IF($B$3=1,50,(_xlfn.RANK.AVG(AI61,$AI$6:$AI$105,1)-1)/($B$3-1)*100),"")</f>
        <v/>
      </c>
      <c r="AN61">
        <f>IF(AF61=1,IF($B$3=1,50,(_xlfn.RANK.AVG(AJ61,$AJ$6:$AJ$105,1)-1)/($B$3-1)*100),"")</f>
        <v/>
      </c>
      <c r="AO61">
        <f>IF(AF61=1,ROUND(AVERAGE(AK61:AN61),6),"")</f>
        <v/>
      </c>
      <c r="AP61">
        <f>IF(AND(AF61=1,C61&lt;&gt;"Y"),R61,"")</f>
        <v/>
      </c>
      <c r="AQ61">
        <f>IF(AND(ISNUMBER(AP61),Q61="편입 후보"),AP61+(1000-ROW())/1000000,"")</f>
        <v/>
      </c>
      <c r="AR61">
        <f>IF(A61="","",_xlfn.TEXTJOIN(", ",TRUE,IF(D61="Y","금융·리츠",""),IF(NOT(ISNUMBER(I61)),"영업이익 없음",IF(I61&lt;=0,"영업적자","")),IF(OR(NOT(ISNUMBER(G61)),NOT(ISNUMBER(H61))),"부채비율 자료 없음",IF(G61&lt;=0,"자본잠식",IF(H61/G61&gt;'설정'!$B$8,"부채비율 초과",""))),IF(NOT(ISNUMBER(L61)),"시총 없음",IF(L61&lt;'설정'!$B$9,"시총 미달",""))))</f>
        <v/>
      </c>
    </row>
    <row r="62">
      <c r="A62" s="18" t="n"/>
      <c r="B62" s="19" t="n"/>
      <c r="C62" s="19" t="n"/>
      <c r="D62" s="19" t="n"/>
      <c r="E62" s="19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7">
        <f>IF(A62="","",IF(C62="Y",IF(AF62=1,IF(AND(R62&lt;'설정'!$B$6,ISNUMBER($H$3)),IF(ROUND($H$3-R62,1)&gt;='설정'!$B$7,"교체 제안 → "&amp;$E$3&amp;" ("&amp;TEXT($H$3,"0.0")&amp;")","보유 유지"),"보유 유지"),"보유 · 점수 없음"),IF(AF62=1,IF(R62&gt;='설정'!$B$5,"편입 후보",""),"")))</f>
        <v/>
      </c>
      <c r="R62" s="15">
        <f>IF(AF62=1,ROUND(IF($B$3=1,50,(_xlfn.RANK.AVG(AO62,$AO$6:$AO$105,1)-1)/($B$3-1)*100),1),"")</f>
        <v/>
      </c>
      <c r="S62">
        <f>IF(A62="","",IF(AF62=1,_xlfn.TEXTJOIN(". ",TRUE,_xlfn.TEXTJOIN(", ",TRUE,IF(AK62&gt;='설정'!$B$20,"수익성 높음",""),IF(AL62&gt;='설정'!$B$20,"성장 빠름",""),IF(AM62&gt;='설정'!$B$20,"가격 쌈",""),IF(AN62&gt;='설정'!$B$20,"추세 좋음","")),_xlfn.TEXTJOIN(", ",TRUE,IF(AK62&lt;'설정'!$B$21,"수익성 낮음",""),IF(AL62&lt;'설정'!$B$21,"성장 느림",""),IF(AM62&lt;'설정'!$B$21,"가격 비쌈",""),IF(AN62&lt;'설정'!$B$21,"추세 약함","")),IF(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="","","보통: "&amp;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)),IF(X62="통과",AE62,X62)))</f>
        <v/>
      </c>
      <c r="T62">
        <f>IF(AF62=1,TEXT(Z62,"0.0%")&amp;" · 상위 "&amp;TEXT(($B$3-_xlfn.RANK.AVG(AG62,$AG$6:$AG$105,1)+1)/$B$3*100,"0")&amp;"%",IF(A62="","",IF(Z62="","결측",TEXT(Z62,"0.0%"))))</f>
        <v/>
      </c>
      <c r="U62">
        <f>IF(AF62=1,TEXT(AA62,"0.0%")&amp;" · 상위 "&amp;TEXT(($B$3-_xlfn.RANK.AVG(AH62,$AH$6:$AH$105,1)+1)/$B$3*100,"0")&amp;"%",IF(A62="","",IF(AA62="","결측",TEXT(AA62,"0.0%"))))</f>
        <v/>
      </c>
      <c r="V62">
        <f>IF(AF62=1,TEXT(AB62,"0.0%")&amp;" · 상위 "&amp;TEXT(($B$3-_xlfn.RANK.AVG(AI62,$AI$6:$AI$105,1)+1)/$B$3*100,"0")&amp;"%",IF(A62="","",IF(AB62="","결측",TEXT(AB62,"0.0%"))))</f>
        <v/>
      </c>
      <c r="W62">
        <f>IF(AF62=1,TEXT(AC62,"0.0%")&amp;" · 상위 "&amp;TEXT(($B$3-_xlfn.RANK.AVG(AJ62,$AJ$6:$AJ$105,1)+1)/$B$3*100,"0")&amp;"%",IF(A62="","",IF(AC62="","결측",TEXT(AC62,"0.0%"))))</f>
        <v/>
      </c>
      <c r="X62">
        <f>IF(A62="","",IF(AR62="","통과","제외: "&amp;AR62))</f>
        <v/>
      </c>
      <c r="Y62" s="21">
        <f>IF(AND(ISNUMBER(G62),ISNUMBER(H62)),IF(G62&gt;0,H62/G62,""),"")</f>
        <v/>
      </c>
      <c r="Z62" s="22">
        <f>IF(AND(ISNUMBER(F62),ISNUMBER(G62)),IF(G62&gt;0,F62/G62,""),"")</f>
        <v/>
      </c>
      <c r="AA62" s="22">
        <f>IF(AND(ISNUMBER(J62),ISNUMBER(K62)),IF(AND(J62&gt;0,K62&gt;0),(J62/K62)^(1/3)-1,""),"")</f>
        <v/>
      </c>
      <c r="AB62" s="22">
        <f>IF(AND(ISNUMBER(I62),ISNUMBER(L62),ISNUMBER(M62),ISNUMBER(N62)),IF((L62+M62-N62)&gt;0,I62/(L62+M62-N62),""),"")</f>
        <v/>
      </c>
      <c r="AC62" s="22">
        <f>IF(AND(ISNUMBER(O62),ISNUMBER(P62)),IF(AND(O62&gt;0,P62&gt;0),P62/O62-1,""),"")</f>
        <v/>
      </c>
      <c r="AD62">
        <f>_xlfn.TEXTJOIN(", ",TRUE,IF(Z62="","ROE",""),IF(AA62="","매출성장률",""),IF(AB62="","이익수익률",""),IF(AC62="","12-1 수익률",""))</f>
        <v/>
      </c>
      <c r="AE62">
        <f>IF(A62="","",IF(AR62&lt;&gt;"","점수 없음(거름망)",IF(AD62="","채점","점수 없음(결측: "&amp;AD62&amp;")")))</f>
        <v/>
      </c>
      <c r="AF62">
        <f>IF(AE62="채점",1,"")</f>
        <v/>
      </c>
      <c r="AG62">
        <f>IF(AF62=1,Z62,"")</f>
        <v/>
      </c>
      <c r="AH62">
        <f>IF(AF62=1,AA62,"")</f>
        <v/>
      </c>
      <c r="AI62">
        <f>IF(AF62=1,AB62,"")</f>
        <v/>
      </c>
      <c r="AJ62">
        <f>IF(AF62=1,AC62,"")</f>
        <v/>
      </c>
      <c r="AK62">
        <f>IF(AF62=1,IF($B$3=1,50,(_xlfn.RANK.AVG(AG62,$AG$6:$AG$105,1)-1)/($B$3-1)*100),"")</f>
        <v/>
      </c>
      <c r="AL62">
        <f>IF(AF62=1,IF($B$3=1,50,(_xlfn.RANK.AVG(AH62,$AH$6:$AH$105,1)-1)/($B$3-1)*100),"")</f>
        <v/>
      </c>
      <c r="AM62">
        <f>IF(AF62=1,IF($B$3=1,50,(_xlfn.RANK.AVG(AI62,$AI$6:$AI$105,1)-1)/($B$3-1)*100),"")</f>
        <v/>
      </c>
      <c r="AN62">
        <f>IF(AF62=1,IF($B$3=1,50,(_xlfn.RANK.AVG(AJ62,$AJ$6:$AJ$105,1)-1)/($B$3-1)*100),"")</f>
        <v/>
      </c>
      <c r="AO62">
        <f>IF(AF62=1,ROUND(AVERAGE(AK62:AN62),6),"")</f>
        <v/>
      </c>
      <c r="AP62">
        <f>IF(AND(AF62=1,C62&lt;&gt;"Y"),R62,"")</f>
        <v/>
      </c>
      <c r="AQ62">
        <f>IF(AND(ISNUMBER(AP62),Q62="편입 후보"),AP62+(1000-ROW())/1000000,"")</f>
        <v/>
      </c>
      <c r="AR62">
        <f>IF(A62="","",_xlfn.TEXTJOIN(", ",TRUE,IF(D62="Y","금융·리츠",""),IF(NOT(ISNUMBER(I62)),"영업이익 없음",IF(I62&lt;=0,"영업적자","")),IF(OR(NOT(ISNUMBER(G62)),NOT(ISNUMBER(H62))),"부채비율 자료 없음",IF(G62&lt;=0,"자본잠식",IF(H62/G62&gt;'설정'!$B$8,"부채비율 초과",""))),IF(NOT(ISNUMBER(L62)),"시총 없음",IF(L62&lt;'설정'!$B$9,"시총 미달",""))))</f>
        <v/>
      </c>
    </row>
    <row r="63">
      <c r="A63" s="18" t="n"/>
      <c r="B63" s="19" t="n"/>
      <c r="C63" s="19" t="n"/>
      <c r="D63" s="19" t="n"/>
      <c r="E63" s="19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7">
        <f>IF(A63="","",IF(C63="Y",IF(AF63=1,IF(AND(R63&lt;'설정'!$B$6,ISNUMBER($H$3)),IF(ROUND($H$3-R63,1)&gt;='설정'!$B$7,"교체 제안 → "&amp;$E$3&amp;" ("&amp;TEXT($H$3,"0.0")&amp;")","보유 유지"),"보유 유지"),"보유 · 점수 없음"),IF(AF63=1,IF(R63&gt;='설정'!$B$5,"편입 후보",""),"")))</f>
        <v/>
      </c>
      <c r="R63" s="15">
        <f>IF(AF63=1,ROUND(IF($B$3=1,50,(_xlfn.RANK.AVG(AO63,$AO$6:$AO$105,1)-1)/($B$3-1)*100),1),"")</f>
        <v/>
      </c>
      <c r="S63">
        <f>IF(A63="","",IF(AF63=1,_xlfn.TEXTJOIN(". ",TRUE,_xlfn.TEXTJOIN(", ",TRUE,IF(AK63&gt;='설정'!$B$20,"수익성 높음",""),IF(AL63&gt;='설정'!$B$20,"성장 빠름",""),IF(AM63&gt;='설정'!$B$20,"가격 쌈",""),IF(AN63&gt;='설정'!$B$20,"추세 좋음","")),_xlfn.TEXTJOIN(", ",TRUE,IF(AK63&lt;'설정'!$B$21,"수익성 낮음",""),IF(AL63&lt;'설정'!$B$21,"성장 느림",""),IF(AM63&lt;'설정'!$B$21,"가격 비쌈",""),IF(AN63&lt;'설정'!$B$21,"추세 약함","")),IF(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="","","보통: "&amp;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)),IF(X63="통과",AE63,X63)))</f>
        <v/>
      </c>
      <c r="T63">
        <f>IF(AF63=1,TEXT(Z63,"0.0%")&amp;" · 상위 "&amp;TEXT(($B$3-_xlfn.RANK.AVG(AG63,$AG$6:$AG$105,1)+1)/$B$3*100,"0")&amp;"%",IF(A63="","",IF(Z63="","결측",TEXT(Z63,"0.0%"))))</f>
        <v/>
      </c>
      <c r="U63">
        <f>IF(AF63=1,TEXT(AA63,"0.0%")&amp;" · 상위 "&amp;TEXT(($B$3-_xlfn.RANK.AVG(AH63,$AH$6:$AH$105,1)+1)/$B$3*100,"0")&amp;"%",IF(A63="","",IF(AA63="","결측",TEXT(AA63,"0.0%"))))</f>
        <v/>
      </c>
      <c r="V63">
        <f>IF(AF63=1,TEXT(AB63,"0.0%")&amp;" · 상위 "&amp;TEXT(($B$3-_xlfn.RANK.AVG(AI63,$AI$6:$AI$105,1)+1)/$B$3*100,"0")&amp;"%",IF(A63="","",IF(AB63="","결측",TEXT(AB63,"0.0%"))))</f>
        <v/>
      </c>
      <c r="W63">
        <f>IF(AF63=1,TEXT(AC63,"0.0%")&amp;" · 상위 "&amp;TEXT(($B$3-_xlfn.RANK.AVG(AJ63,$AJ$6:$AJ$105,1)+1)/$B$3*100,"0")&amp;"%",IF(A63="","",IF(AC63="","결측",TEXT(AC63,"0.0%"))))</f>
        <v/>
      </c>
      <c r="X63">
        <f>IF(A63="","",IF(AR63="","통과","제외: "&amp;AR63))</f>
        <v/>
      </c>
      <c r="Y63" s="21">
        <f>IF(AND(ISNUMBER(G63),ISNUMBER(H63)),IF(G63&gt;0,H63/G63,""),"")</f>
        <v/>
      </c>
      <c r="Z63" s="22">
        <f>IF(AND(ISNUMBER(F63),ISNUMBER(G63)),IF(G63&gt;0,F63/G63,""),"")</f>
        <v/>
      </c>
      <c r="AA63" s="22">
        <f>IF(AND(ISNUMBER(J63),ISNUMBER(K63)),IF(AND(J63&gt;0,K63&gt;0),(J63/K63)^(1/3)-1,""),"")</f>
        <v/>
      </c>
      <c r="AB63" s="22">
        <f>IF(AND(ISNUMBER(I63),ISNUMBER(L63),ISNUMBER(M63),ISNUMBER(N63)),IF((L63+M63-N63)&gt;0,I63/(L63+M63-N63),""),"")</f>
        <v/>
      </c>
      <c r="AC63" s="22">
        <f>IF(AND(ISNUMBER(O63),ISNUMBER(P63)),IF(AND(O63&gt;0,P63&gt;0),P63/O63-1,""),"")</f>
        <v/>
      </c>
      <c r="AD63">
        <f>_xlfn.TEXTJOIN(", ",TRUE,IF(Z63="","ROE",""),IF(AA63="","매출성장률",""),IF(AB63="","이익수익률",""),IF(AC63="","12-1 수익률",""))</f>
        <v/>
      </c>
      <c r="AE63">
        <f>IF(A63="","",IF(AR63&lt;&gt;"","점수 없음(거름망)",IF(AD63="","채점","점수 없음(결측: "&amp;AD63&amp;")")))</f>
        <v/>
      </c>
      <c r="AF63">
        <f>IF(AE63="채점",1,"")</f>
        <v/>
      </c>
      <c r="AG63">
        <f>IF(AF63=1,Z63,"")</f>
        <v/>
      </c>
      <c r="AH63">
        <f>IF(AF63=1,AA63,"")</f>
        <v/>
      </c>
      <c r="AI63">
        <f>IF(AF63=1,AB63,"")</f>
        <v/>
      </c>
      <c r="AJ63">
        <f>IF(AF63=1,AC63,"")</f>
        <v/>
      </c>
      <c r="AK63">
        <f>IF(AF63=1,IF($B$3=1,50,(_xlfn.RANK.AVG(AG63,$AG$6:$AG$105,1)-1)/($B$3-1)*100),"")</f>
        <v/>
      </c>
      <c r="AL63">
        <f>IF(AF63=1,IF($B$3=1,50,(_xlfn.RANK.AVG(AH63,$AH$6:$AH$105,1)-1)/($B$3-1)*100),"")</f>
        <v/>
      </c>
      <c r="AM63">
        <f>IF(AF63=1,IF($B$3=1,50,(_xlfn.RANK.AVG(AI63,$AI$6:$AI$105,1)-1)/($B$3-1)*100),"")</f>
        <v/>
      </c>
      <c r="AN63">
        <f>IF(AF63=1,IF($B$3=1,50,(_xlfn.RANK.AVG(AJ63,$AJ$6:$AJ$105,1)-1)/($B$3-1)*100),"")</f>
        <v/>
      </c>
      <c r="AO63">
        <f>IF(AF63=1,ROUND(AVERAGE(AK63:AN63),6),"")</f>
        <v/>
      </c>
      <c r="AP63">
        <f>IF(AND(AF63=1,C63&lt;&gt;"Y"),R63,"")</f>
        <v/>
      </c>
      <c r="AQ63">
        <f>IF(AND(ISNUMBER(AP63),Q63="편입 후보"),AP63+(1000-ROW())/1000000,"")</f>
        <v/>
      </c>
      <c r="AR63">
        <f>IF(A63="","",_xlfn.TEXTJOIN(", ",TRUE,IF(D63="Y","금융·리츠",""),IF(NOT(ISNUMBER(I63)),"영업이익 없음",IF(I63&lt;=0,"영업적자","")),IF(OR(NOT(ISNUMBER(G63)),NOT(ISNUMBER(H63))),"부채비율 자료 없음",IF(G63&lt;=0,"자본잠식",IF(H63/G63&gt;'설정'!$B$8,"부채비율 초과",""))),IF(NOT(ISNUMBER(L63)),"시총 없음",IF(L63&lt;'설정'!$B$9,"시총 미달",""))))</f>
        <v/>
      </c>
    </row>
    <row r="64">
      <c r="A64" s="18" t="n"/>
      <c r="B64" s="19" t="n"/>
      <c r="C64" s="19" t="n"/>
      <c r="D64" s="19" t="n"/>
      <c r="E64" s="19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7">
        <f>IF(A64="","",IF(C64="Y",IF(AF64=1,IF(AND(R64&lt;'설정'!$B$6,ISNUMBER($H$3)),IF(ROUND($H$3-R64,1)&gt;='설정'!$B$7,"교체 제안 → "&amp;$E$3&amp;" ("&amp;TEXT($H$3,"0.0")&amp;")","보유 유지"),"보유 유지"),"보유 · 점수 없음"),IF(AF64=1,IF(R64&gt;='설정'!$B$5,"편입 후보",""),"")))</f>
        <v/>
      </c>
      <c r="R64" s="15">
        <f>IF(AF64=1,ROUND(IF($B$3=1,50,(_xlfn.RANK.AVG(AO64,$AO$6:$AO$105,1)-1)/($B$3-1)*100),1),"")</f>
        <v/>
      </c>
      <c r="S64">
        <f>IF(A64="","",IF(AF64=1,_xlfn.TEXTJOIN(". ",TRUE,_xlfn.TEXTJOIN(", ",TRUE,IF(AK64&gt;='설정'!$B$20,"수익성 높음",""),IF(AL64&gt;='설정'!$B$20,"성장 빠름",""),IF(AM64&gt;='설정'!$B$20,"가격 쌈",""),IF(AN64&gt;='설정'!$B$20,"추세 좋음","")),_xlfn.TEXTJOIN(", ",TRUE,IF(AK64&lt;'설정'!$B$21,"수익성 낮음",""),IF(AL64&lt;'설정'!$B$21,"성장 느림",""),IF(AM64&lt;'설정'!$B$21,"가격 비쌈",""),IF(AN64&lt;'설정'!$B$21,"추세 약함","")),IF(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="","","보통: "&amp;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)),IF(X64="통과",AE64,X64)))</f>
        <v/>
      </c>
      <c r="T64">
        <f>IF(AF64=1,TEXT(Z64,"0.0%")&amp;" · 상위 "&amp;TEXT(($B$3-_xlfn.RANK.AVG(AG64,$AG$6:$AG$105,1)+1)/$B$3*100,"0")&amp;"%",IF(A64="","",IF(Z64="","결측",TEXT(Z64,"0.0%"))))</f>
        <v/>
      </c>
      <c r="U64">
        <f>IF(AF64=1,TEXT(AA64,"0.0%")&amp;" · 상위 "&amp;TEXT(($B$3-_xlfn.RANK.AVG(AH64,$AH$6:$AH$105,1)+1)/$B$3*100,"0")&amp;"%",IF(A64="","",IF(AA64="","결측",TEXT(AA64,"0.0%"))))</f>
        <v/>
      </c>
      <c r="V64">
        <f>IF(AF64=1,TEXT(AB64,"0.0%")&amp;" · 상위 "&amp;TEXT(($B$3-_xlfn.RANK.AVG(AI64,$AI$6:$AI$105,1)+1)/$B$3*100,"0")&amp;"%",IF(A64="","",IF(AB64="","결측",TEXT(AB64,"0.0%"))))</f>
        <v/>
      </c>
      <c r="W64">
        <f>IF(AF64=1,TEXT(AC64,"0.0%")&amp;" · 상위 "&amp;TEXT(($B$3-_xlfn.RANK.AVG(AJ64,$AJ$6:$AJ$105,1)+1)/$B$3*100,"0")&amp;"%",IF(A64="","",IF(AC64="","결측",TEXT(AC64,"0.0%"))))</f>
        <v/>
      </c>
      <c r="X64">
        <f>IF(A64="","",IF(AR64="","통과","제외: "&amp;AR64))</f>
        <v/>
      </c>
      <c r="Y64" s="21">
        <f>IF(AND(ISNUMBER(G64),ISNUMBER(H64)),IF(G64&gt;0,H64/G64,""),"")</f>
        <v/>
      </c>
      <c r="Z64" s="22">
        <f>IF(AND(ISNUMBER(F64),ISNUMBER(G64)),IF(G64&gt;0,F64/G64,""),"")</f>
        <v/>
      </c>
      <c r="AA64" s="22">
        <f>IF(AND(ISNUMBER(J64),ISNUMBER(K64)),IF(AND(J64&gt;0,K64&gt;0),(J64/K64)^(1/3)-1,""),"")</f>
        <v/>
      </c>
      <c r="AB64" s="22">
        <f>IF(AND(ISNUMBER(I64),ISNUMBER(L64),ISNUMBER(M64),ISNUMBER(N64)),IF((L64+M64-N64)&gt;0,I64/(L64+M64-N64),""),"")</f>
        <v/>
      </c>
      <c r="AC64" s="22">
        <f>IF(AND(ISNUMBER(O64),ISNUMBER(P64)),IF(AND(O64&gt;0,P64&gt;0),P64/O64-1,""),"")</f>
        <v/>
      </c>
      <c r="AD64">
        <f>_xlfn.TEXTJOIN(", ",TRUE,IF(Z64="","ROE",""),IF(AA64="","매출성장률",""),IF(AB64="","이익수익률",""),IF(AC64="","12-1 수익률",""))</f>
        <v/>
      </c>
      <c r="AE64">
        <f>IF(A64="","",IF(AR64&lt;&gt;"","점수 없음(거름망)",IF(AD64="","채점","점수 없음(결측: "&amp;AD64&amp;")")))</f>
        <v/>
      </c>
      <c r="AF64">
        <f>IF(AE64="채점",1,"")</f>
        <v/>
      </c>
      <c r="AG64">
        <f>IF(AF64=1,Z64,"")</f>
        <v/>
      </c>
      <c r="AH64">
        <f>IF(AF64=1,AA64,"")</f>
        <v/>
      </c>
      <c r="AI64">
        <f>IF(AF64=1,AB64,"")</f>
        <v/>
      </c>
      <c r="AJ64">
        <f>IF(AF64=1,AC64,"")</f>
        <v/>
      </c>
      <c r="AK64">
        <f>IF(AF64=1,IF($B$3=1,50,(_xlfn.RANK.AVG(AG64,$AG$6:$AG$105,1)-1)/($B$3-1)*100),"")</f>
        <v/>
      </c>
      <c r="AL64">
        <f>IF(AF64=1,IF($B$3=1,50,(_xlfn.RANK.AVG(AH64,$AH$6:$AH$105,1)-1)/($B$3-1)*100),"")</f>
        <v/>
      </c>
      <c r="AM64">
        <f>IF(AF64=1,IF($B$3=1,50,(_xlfn.RANK.AVG(AI64,$AI$6:$AI$105,1)-1)/($B$3-1)*100),"")</f>
        <v/>
      </c>
      <c r="AN64">
        <f>IF(AF64=1,IF($B$3=1,50,(_xlfn.RANK.AVG(AJ64,$AJ$6:$AJ$105,1)-1)/($B$3-1)*100),"")</f>
        <v/>
      </c>
      <c r="AO64">
        <f>IF(AF64=1,ROUND(AVERAGE(AK64:AN64),6),"")</f>
        <v/>
      </c>
      <c r="AP64">
        <f>IF(AND(AF64=1,C64&lt;&gt;"Y"),R64,"")</f>
        <v/>
      </c>
      <c r="AQ64">
        <f>IF(AND(ISNUMBER(AP64),Q64="편입 후보"),AP64+(1000-ROW())/1000000,"")</f>
        <v/>
      </c>
      <c r="AR64">
        <f>IF(A64="","",_xlfn.TEXTJOIN(", ",TRUE,IF(D64="Y","금융·리츠",""),IF(NOT(ISNUMBER(I64)),"영업이익 없음",IF(I64&lt;=0,"영업적자","")),IF(OR(NOT(ISNUMBER(G64)),NOT(ISNUMBER(H64))),"부채비율 자료 없음",IF(G64&lt;=0,"자본잠식",IF(H64/G64&gt;'설정'!$B$8,"부채비율 초과",""))),IF(NOT(ISNUMBER(L64)),"시총 없음",IF(L64&lt;'설정'!$B$9,"시총 미달",""))))</f>
        <v/>
      </c>
    </row>
    <row r="65">
      <c r="A65" s="18" t="n"/>
      <c r="B65" s="19" t="n"/>
      <c r="C65" s="19" t="n"/>
      <c r="D65" s="19" t="n"/>
      <c r="E65" s="19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7">
        <f>IF(A65="","",IF(C65="Y",IF(AF65=1,IF(AND(R65&lt;'설정'!$B$6,ISNUMBER($H$3)),IF(ROUND($H$3-R65,1)&gt;='설정'!$B$7,"교체 제안 → "&amp;$E$3&amp;" ("&amp;TEXT($H$3,"0.0")&amp;")","보유 유지"),"보유 유지"),"보유 · 점수 없음"),IF(AF65=1,IF(R65&gt;='설정'!$B$5,"편입 후보",""),"")))</f>
        <v/>
      </c>
      <c r="R65" s="15">
        <f>IF(AF65=1,ROUND(IF($B$3=1,50,(_xlfn.RANK.AVG(AO65,$AO$6:$AO$105,1)-1)/($B$3-1)*100),1),"")</f>
        <v/>
      </c>
      <c r="S65">
        <f>IF(A65="","",IF(AF65=1,_xlfn.TEXTJOIN(". ",TRUE,_xlfn.TEXTJOIN(", ",TRUE,IF(AK65&gt;='설정'!$B$20,"수익성 높음",""),IF(AL65&gt;='설정'!$B$20,"성장 빠름",""),IF(AM65&gt;='설정'!$B$20,"가격 쌈",""),IF(AN65&gt;='설정'!$B$20,"추세 좋음","")),_xlfn.TEXTJOIN(", ",TRUE,IF(AK65&lt;'설정'!$B$21,"수익성 낮음",""),IF(AL65&lt;'설정'!$B$21,"성장 느림",""),IF(AM65&lt;'설정'!$B$21,"가격 비쌈",""),IF(AN65&lt;'설정'!$B$21,"추세 약함","")),IF(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="","","보통: "&amp;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)),IF(X65="통과",AE65,X65)))</f>
        <v/>
      </c>
      <c r="T65">
        <f>IF(AF65=1,TEXT(Z65,"0.0%")&amp;" · 상위 "&amp;TEXT(($B$3-_xlfn.RANK.AVG(AG65,$AG$6:$AG$105,1)+1)/$B$3*100,"0")&amp;"%",IF(A65="","",IF(Z65="","결측",TEXT(Z65,"0.0%"))))</f>
        <v/>
      </c>
      <c r="U65">
        <f>IF(AF65=1,TEXT(AA65,"0.0%")&amp;" · 상위 "&amp;TEXT(($B$3-_xlfn.RANK.AVG(AH65,$AH$6:$AH$105,1)+1)/$B$3*100,"0")&amp;"%",IF(A65="","",IF(AA65="","결측",TEXT(AA65,"0.0%"))))</f>
        <v/>
      </c>
      <c r="V65">
        <f>IF(AF65=1,TEXT(AB65,"0.0%")&amp;" · 상위 "&amp;TEXT(($B$3-_xlfn.RANK.AVG(AI65,$AI$6:$AI$105,1)+1)/$B$3*100,"0")&amp;"%",IF(A65="","",IF(AB65="","결측",TEXT(AB65,"0.0%"))))</f>
        <v/>
      </c>
      <c r="W65">
        <f>IF(AF65=1,TEXT(AC65,"0.0%")&amp;" · 상위 "&amp;TEXT(($B$3-_xlfn.RANK.AVG(AJ65,$AJ$6:$AJ$105,1)+1)/$B$3*100,"0")&amp;"%",IF(A65="","",IF(AC65="","결측",TEXT(AC65,"0.0%"))))</f>
        <v/>
      </c>
      <c r="X65">
        <f>IF(A65="","",IF(AR65="","통과","제외: "&amp;AR65))</f>
        <v/>
      </c>
      <c r="Y65" s="21">
        <f>IF(AND(ISNUMBER(G65),ISNUMBER(H65)),IF(G65&gt;0,H65/G65,""),"")</f>
        <v/>
      </c>
      <c r="Z65" s="22">
        <f>IF(AND(ISNUMBER(F65),ISNUMBER(G65)),IF(G65&gt;0,F65/G65,""),"")</f>
        <v/>
      </c>
      <c r="AA65" s="22">
        <f>IF(AND(ISNUMBER(J65),ISNUMBER(K65)),IF(AND(J65&gt;0,K65&gt;0),(J65/K65)^(1/3)-1,""),"")</f>
        <v/>
      </c>
      <c r="AB65" s="22">
        <f>IF(AND(ISNUMBER(I65),ISNUMBER(L65),ISNUMBER(M65),ISNUMBER(N65)),IF((L65+M65-N65)&gt;0,I65/(L65+M65-N65),""),"")</f>
        <v/>
      </c>
      <c r="AC65" s="22">
        <f>IF(AND(ISNUMBER(O65),ISNUMBER(P65)),IF(AND(O65&gt;0,P65&gt;0),P65/O65-1,""),"")</f>
        <v/>
      </c>
      <c r="AD65">
        <f>_xlfn.TEXTJOIN(", ",TRUE,IF(Z65="","ROE",""),IF(AA65="","매출성장률",""),IF(AB65="","이익수익률",""),IF(AC65="","12-1 수익률",""))</f>
        <v/>
      </c>
      <c r="AE65">
        <f>IF(A65="","",IF(AR65&lt;&gt;"","점수 없음(거름망)",IF(AD65="","채점","점수 없음(결측: "&amp;AD65&amp;")")))</f>
        <v/>
      </c>
      <c r="AF65">
        <f>IF(AE65="채점",1,"")</f>
        <v/>
      </c>
      <c r="AG65">
        <f>IF(AF65=1,Z65,"")</f>
        <v/>
      </c>
      <c r="AH65">
        <f>IF(AF65=1,AA65,"")</f>
        <v/>
      </c>
      <c r="AI65">
        <f>IF(AF65=1,AB65,"")</f>
        <v/>
      </c>
      <c r="AJ65">
        <f>IF(AF65=1,AC65,"")</f>
        <v/>
      </c>
      <c r="AK65">
        <f>IF(AF65=1,IF($B$3=1,50,(_xlfn.RANK.AVG(AG65,$AG$6:$AG$105,1)-1)/($B$3-1)*100),"")</f>
        <v/>
      </c>
      <c r="AL65">
        <f>IF(AF65=1,IF($B$3=1,50,(_xlfn.RANK.AVG(AH65,$AH$6:$AH$105,1)-1)/($B$3-1)*100),"")</f>
        <v/>
      </c>
      <c r="AM65">
        <f>IF(AF65=1,IF($B$3=1,50,(_xlfn.RANK.AVG(AI65,$AI$6:$AI$105,1)-1)/($B$3-1)*100),"")</f>
        <v/>
      </c>
      <c r="AN65">
        <f>IF(AF65=1,IF($B$3=1,50,(_xlfn.RANK.AVG(AJ65,$AJ$6:$AJ$105,1)-1)/($B$3-1)*100),"")</f>
        <v/>
      </c>
      <c r="AO65">
        <f>IF(AF65=1,ROUND(AVERAGE(AK65:AN65),6),"")</f>
        <v/>
      </c>
      <c r="AP65">
        <f>IF(AND(AF65=1,C65&lt;&gt;"Y"),R65,"")</f>
        <v/>
      </c>
      <c r="AQ65">
        <f>IF(AND(ISNUMBER(AP65),Q65="편입 후보"),AP65+(1000-ROW())/1000000,"")</f>
        <v/>
      </c>
      <c r="AR65">
        <f>IF(A65="","",_xlfn.TEXTJOIN(", ",TRUE,IF(D65="Y","금융·리츠",""),IF(NOT(ISNUMBER(I65)),"영업이익 없음",IF(I65&lt;=0,"영업적자","")),IF(OR(NOT(ISNUMBER(G65)),NOT(ISNUMBER(H65))),"부채비율 자료 없음",IF(G65&lt;=0,"자본잠식",IF(H65/G65&gt;'설정'!$B$8,"부채비율 초과",""))),IF(NOT(ISNUMBER(L65)),"시총 없음",IF(L65&lt;'설정'!$B$9,"시총 미달",""))))</f>
        <v/>
      </c>
    </row>
    <row r="66">
      <c r="A66" s="18" t="n"/>
      <c r="B66" s="19" t="n"/>
      <c r="C66" s="19" t="n"/>
      <c r="D66" s="19" t="n"/>
      <c r="E66" s="19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7">
        <f>IF(A66="","",IF(C66="Y",IF(AF66=1,IF(AND(R66&lt;'설정'!$B$6,ISNUMBER($H$3)),IF(ROUND($H$3-R66,1)&gt;='설정'!$B$7,"교체 제안 → "&amp;$E$3&amp;" ("&amp;TEXT($H$3,"0.0")&amp;")","보유 유지"),"보유 유지"),"보유 · 점수 없음"),IF(AF66=1,IF(R66&gt;='설정'!$B$5,"편입 후보",""),"")))</f>
        <v/>
      </c>
      <c r="R66" s="15">
        <f>IF(AF66=1,ROUND(IF($B$3=1,50,(_xlfn.RANK.AVG(AO66,$AO$6:$AO$105,1)-1)/($B$3-1)*100),1),"")</f>
        <v/>
      </c>
      <c r="S66">
        <f>IF(A66="","",IF(AF66=1,_xlfn.TEXTJOIN(". ",TRUE,_xlfn.TEXTJOIN(", ",TRUE,IF(AK66&gt;='설정'!$B$20,"수익성 높음",""),IF(AL66&gt;='설정'!$B$20,"성장 빠름",""),IF(AM66&gt;='설정'!$B$20,"가격 쌈",""),IF(AN66&gt;='설정'!$B$20,"추세 좋음","")),_xlfn.TEXTJOIN(", ",TRUE,IF(AK66&lt;'설정'!$B$21,"수익성 낮음",""),IF(AL66&lt;'설정'!$B$21,"성장 느림",""),IF(AM66&lt;'설정'!$B$21,"가격 비쌈",""),IF(AN66&lt;'설정'!$B$21,"추세 약함","")),IF(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="","","보통: "&amp;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)),IF(X66="통과",AE66,X66)))</f>
        <v/>
      </c>
      <c r="T66">
        <f>IF(AF66=1,TEXT(Z66,"0.0%")&amp;" · 상위 "&amp;TEXT(($B$3-_xlfn.RANK.AVG(AG66,$AG$6:$AG$105,1)+1)/$B$3*100,"0")&amp;"%",IF(A66="","",IF(Z66="","결측",TEXT(Z66,"0.0%"))))</f>
        <v/>
      </c>
      <c r="U66">
        <f>IF(AF66=1,TEXT(AA66,"0.0%")&amp;" · 상위 "&amp;TEXT(($B$3-_xlfn.RANK.AVG(AH66,$AH$6:$AH$105,1)+1)/$B$3*100,"0")&amp;"%",IF(A66="","",IF(AA66="","결측",TEXT(AA66,"0.0%"))))</f>
        <v/>
      </c>
      <c r="V66">
        <f>IF(AF66=1,TEXT(AB66,"0.0%")&amp;" · 상위 "&amp;TEXT(($B$3-_xlfn.RANK.AVG(AI66,$AI$6:$AI$105,1)+1)/$B$3*100,"0")&amp;"%",IF(A66="","",IF(AB66="","결측",TEXT(AB66,"0.0%"))))</f>
        <v/>
      </c>
      <c r="W66">
        <f>IF(AF66=1,TEXT(AC66,"0.0%")&amp;" · 상위 "&amp;TEXT(($B$3-_xlfn.RANK.AVG(AJ66,$AJ$6:$AJ$105,1)+1)/$B$3*100,"0")&amp;"%",IF(A66="","",IF(AC66="","결측",TEXT(AC66,"0.0%"))))</f>
        <v/>
      </c>
      <c r="X66">
        <f>IF(A66="","",IF(AR66="","통과","제외: "&amp;AR66))</f>
        <v/>
      </c>
      <c r="Y66" s="21">
        <f>IF(AND(ISNUMBER(G66),ISNUMBER(H66)),IF(G66&gt;0,H66/G66,""),"")</f>
        <v/>
      </c>
      <c r="Z66" s="22">
        <f>IF(AND(ISNUMBER(F66),ISNUMBER(G66)),IF(G66&gt;0,F66/G66,""),"")</f>
        <v/>
      </c>
      <c r="AA66" s="22">
        <f>IF(AND(ISNUMBER(J66),ISNUMBER(K66)),IF(AND(J66&gt;0,K66&gt;0),(J66/K66)^(1/3)-1,""),"")</f>
        <v/>
      </c>
      <c r="AB66" s="22">
        <f>IF(AND(ISNUMBER(I66),ISNUMBER(L66),ISNUMBER(M66),ISNUMBER(N66)),IF((L66+M66-N66)&gt;0,I66/(L66+M66-N66),""),"")</f>
        <v/>
      </c>
      <c r="AC66" s="22">
        <f>IF(AND(ISNUMBER(O66),ISNUMBER(P66)),IF(AND(O66&gt;0,P66&gt;0),P66/O66-1,""),"")</f>
        <v/>
      </c>
      <c r="AD66">
        <f>_xlfn.TEXTJOIN(", ",TRUE,IF(Z66="","ROE",""),IF(AA66="","매출성장률",""),IF(AB66="","이익수익률",""),IF(AC66="","12-1 수익률",""))</f>
        <v/>
      </c>
      <c r="AE66">
        <f>IF(A66="","",IF(AR66&lt;&gt;"","점수 없음(거름망)",IF(AD66="","채점","점수 없음(결측: "&amp;AD66&amp;")")))</f>
        <v/>
      </c>
      <c r="AF66">
        <f>IF(AE66="채점",1,"")</f>
        <v/>
      </c>
      <c r="AG66">
        <f>IF(AF66=1,Z66,"")</f>
        <v/>
      </c>
      <c r="AH66">
        <f>IF(AF66=1,AA66,"")</f>
        <v/>
      </c>
      <c r="AI66">
        <f>IF(AF66=1,AB66,"")</f>
        <v/>
      </c>
      <c r="AJ66">
        <f>IF(AF66=1,AC66,"")</f>
        <v/>
      </c>
      <c r="AK66">
        <f>IF(AF66=1,IF($B$3=1,50,(_xlfn.RANK.AVG(AG66,$AG$6:$AG$105,1)-1)/($B$3-1)*100),"")</f>
        <v/>
      </c>
      <c r="AL66">
        <f>IF(AF66=1,IF($B$3=1,50,(_xlfn.RANK.AVG(AH66,$AH$6:$AH$105,1)-1)/($B$3-1)*100),"")</f>
        <v/>
      </c>
      <c r="AM66">
        <f>IF(AF66=1,IF($B$3=1,50,(_xlfn.RANK.AVG(AI66,$AI$6:$AI$105,1)-1)/($B$3-1)*100),"")</f>
        <v/>
      </c>
      <c r="AN66">
        <f>IF(AF66=1,IF($B$3=1,50,(_xlfn.RANK.AVG(AJ66,$AJ$6:$AJ$105,1)-1)/($B$3-1)*100),"")</f>
        <v/>
      </c>
      <c r="AO66">
        <f>IF(AF66=1,ROUND(AVERAGE(AK66:AN66),6),"")</f>
        <v/>
      </c>
      <c r="AP66">
        <f>IF(AND(AF66=1,C66&lt;&gt;"Y"),R66,"")</f>
        <v/>
      </c>
      <c r="AQ66">
        <f>IF(AND(ISNUMBER(AP66),Q66="편입 후보"),AP66+(1000-ROW())/1000000,"")</f>
        <v/>
      </c>
      <c r="AR66">
        <f>IF(A66="","",_xlfn.TEXTJOIN(", ",TRUE,IF(D66="Y","금융·리츠",""),IF(NOT(ISNUMBER(I66)),"영업이익 없음",IF(I66&lt;=0,"영업적자","")),IF(OR(NOT(ISNUMBER(G66)),NOT(ISNUMBER(H66))),"부채비율 자료 없음",IF(G66&lt;=0,"자본잠식",IF(H66/G66&gt;'설정'!$B$8,"부채비율 초과",""))),IF(NOT(ISNUMBER(L66)),"시총 없음",IF(L66&lt;'설정'!$B$9,"시총 미달",""))))</f>
        <v/>
      </c>
    </row>
    <row r="67">
      <c r="A67" s="18" t="n"/>
      <c r="B67" s="19" t="n"/>
      <c r="C67" s="19" t="n"/>
      <c r="D67" s="19" t="n"/>
      <c r="E67" s="19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7">
        <f>IF(A67="","",IF(C67="Y",IF(AF67=1,IF(AND(R67&lt;'설정'!$B$6,ISNUMBER($H$3)),IF(ROUND($H$3-R67,1)&gt;='설정'!$B$7,"교체 제안 → "&amp;$E$3&amp;" ("&amp;TEXT($H$3,"0.0")&amp;")","보유 유지"),"보유 유지"),"보유 · 점수 없음"),IF(AF67=1,IF(R67&gt;='설정'!$B$5,"편입 후보",""),"")))</f>
        <v/>
      </c>
      <c r="R67" s="15">
        <f>IF(AF67=1,ROUND(IF($B$3=1,50,(_xlfn.RANK.AVG(AO67,$AO$6:$AO$105,1)-1)/($B$3-1)*100),1),"")</f>
        <v/>
      </c>
      <c r="S67">
        <f>IF(A67="","",IF(AF67=1,_xlfn.TEXTJOIN(". ",TRUE,_xlfn.TEXTJOIN(", ",TRUE,IF(AK67&gt;='설정'!$B$20,"수익성 높음",""),IF(AL67&gt;='설정'!$B$20,"성장 빠름",""),IF(AM67&gt;='설정'!$B$20,"가격 쌈",""),IF(AN67&gt;='설정'!$B$20,"추세 좋음","")),_xlfn.TEXTJOIN(", ",TRUE,IF(AK67&lt;'설정'!$B$21,"수익성 낮음",""),IF(AL67&lt;'설정'!$B$21,"성장 느림",""),IF(AM67&lt;'설정'!$B$21,"가격 비쌈",""),IF(AN67&lt;'설정'!$B$21,"추세 약함","")),IF(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="","","보통: "&amp;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)),IF(X67="통과",AE67,X67)))</f>
        <v/>
      </c>
      <c r="T67">
        <f>IF(AF67=1,TEXT(Z67,"0.0%")&amp;" · 상위 "&amp;TEXT(($B$3-_xlfn.RANK.AVG(AG67,$AG$6:$AG$105,1)+1)/$B$3*100,"0")&amp;"%",IF(A67="","",IF(Z67="","결측",TEXT(Z67,"0.0%"))))</f>
        <v/>
      </c>
      <c r="U67">
        <f>IF(AF67=1,TEXT(AA67,"0.0%")&amp;" · 상위 "&amp;TEXT(($B$3-_xlfn.RANK.AVG(AH67,$AH$6:$AH$105,1)+1)/$B$3*100,"0")&amp;"%",IF(A67="","",IF(AA67="","결측",TEXT(AA67,"0.0%"))))</f>
        <v/>
      </c>
      <c r="V67">
        <f>IF(AF67=1,TEXT(AB67,"0.0%")&amp;" · 상위 "&amp;TEXT(($B$3-_xlfn.RANK.AVG(AI67,$AI$6:$AI$105,1)+1)/$B$3*100,"0")&amp;"%",IF(A67="","",IF(AB67="","결측",TEXT(AB67,"0.0%"))))</f>
        <v/>
      </c>
      <c r="W67">
        <f>IF(AF67=1,TEXT(AC67,"0.0%")&amp;" · 상위 "&amp;TEXT(($B$3-_xlfn.RANK.AVG(AJ67,$AJ$6:$AJ$105,1)+1)/$B$3*100,"0")&amp;"%",IF(A67="","",IF(AC67="","결측",TEXT(AC67,"0.0%"))))</f>
        <v/>
      </c>
      <c r="X67">
        <f>IF(A67="","",IF(AR67="","통과","제외: "&amp;AR67))</f>
        <v/>
      </c>
      <c r="Y67" s="21">
        <f>IF(AND(ISNUMBER(G67),ISNUMBER(H67)),IF(G67&gt;0,H67/G67,""),"")</f>
        <v/>
      </c>
      <c r="Z67" s="22">
        <f>IF(AND(ISNUMBER(F67),ISNUMBER(G67)),IF(G67&gt;0,F67/G67,""),"")</f>
        <v/>
      </c>
      <c r="AA67" s="22">
        <f>IF(AND(ISNUMBER(J67),ISNUMBER(K67)),IF(AND(J67&gt;0,K67&gt;0),(J67/K67)^(1/3)-1,""),"")</f>
        <v/>
      </c>
      <c r="AB67" s="22">
        <f>IF(AND(ISNUMBER(I67),ISNUMBER(L67),ISNUMBER(M67),ISNUMBER(N67)),IF((L67+M67-N67)&gt;0,I67/(L67+M67-N67),""),"")</f>
        <v/>
      </c>
      <c r="AC67" s="22">
        <f>IF(AND(ISNUMBER(O67),ISNUMBER(P67)),IF(AND(O67&gt;0,P67&gt;0),P67/O67-1,""),"")</f>
        <v/>
      </c>
      <c r="AD67">
        <f>_xlfn.TEXTJOIN(", ",TRUE,IF(Z67="","ROE",""),IF(AA67="","매출성장률",""),IF(AB67="","이익수익률",""),IF(AC67="","12-1 수익률",""))</f>
        <v/>
      </c>
      <c r="AE67">
        <f>IF(A67="","",IF(AR67&lt;&gt;"","점수 없음(거름망)",IF(AD67="","채점","점수 없음(결측: "&amp;AD67&amp;")")))</f>
        <v/>
      </c>
      <c r="AF67">
        <f>IF(AE67="채점",1,"")</f>
        <v/>
      </c>
      <c r="AG67">
        <f>IF(AF67=1,Z67,"")</f>
        <v/>
      </c>
      <c r="AH67">
        <f>IF(AF67=1,AA67,"")</f>
        <v/>
      </c>
      <c r="AI67">
        <f>IF(AF67=1,AB67,"")</f>
        <v/>
      </c>
      <c r="AJ67">
        <f>IF(AF67=1,AC67,"")</f>
        <v/>
      </c>
      <c r="AK67">
        <f>IF(AF67=1,IF($B$3=1,50,(_xlfn.RANK.AVG(AG67,$AG$6:$AG$105,1)-1)/($B$3-1)*100),"")</f>
        <v/>
      </c>
      <c r="AL67">
        <f>IF(AF67=1,IF($B$3=1,50,(_xlfn.RANK.AVG(AH67,$AH$6:$AH$105,1)-1)/($B$3-1)*100),"")</f>
        <v/>
      </c>
      <c r="AM67">
        <f>IF(AF67=1,IF($B$3=1,50,(_xlfn.RANK.AVG(AI67,$AI$6:$AI$105,1)-1)/($B$3-1)*100),"")</f>
        <v/>
      </c>
      <c r="AN67">
        <f>IF(AF67=1,IF($B$3=1,50,(_xlfn.RANK.AVG(AJ67,$AJ$6:$AJ$105,1)-1)/($B$3-1)*100),"")</f>
        <v/>
      </c>
      <c r="AO67">
        <f>IF(AF67=1,ROUND(AVERAGE(AK67:AN67),6),"")</f>
        <v/>
      </c>
      <c r="AP67">
        <f>IF(AND(AF67=1,C67&lt;&gt;"Y"),R67,"")</f>
        <v/>
      </c>
      <c r="AQ67">
        <f>IF(AND(ISNUMBER(AP67),Q67="편입 후보"),AP67+(1000-ROW())/1000000,"")</f>
        <v/>
      </c>
      <c r="AR67">
        <f>IF(A67="","",_xlfn.TEXTJOIN(", ",TRUE,IF(D67="Y","금융·리츠",""),IF(NOT(ISNUMBER(I67)),"영업이익 없음",IF(I67&lt;=0,"영업적자","")),IF(OR(NOT(ISNUMBER(G67)),NOT(ISNUMBER(H67))),"부채비율 자료 없음",IF(G67&lt;=0,"자본잠식",IF(H67/G67&gt;'설정'!$B$8,"부채비율 초과",""))),IF(NOT(ISNUMBER(L67)),"시총 없음",IF(L67&lt;'설정'!$B$9,"시총 미달",""))))</f>
        <v/>
      </c>
    </row>
    <row r="68">
      <c r="A68" s="18" t="n"/>
      <c r="B68" s="19" t="n"/>
      <c r="C68" s="19" t="n"/>
      <c r="D68" s="19" t="n"/>
      <c r="E68" s="19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7">
        <f>IF(A68="","",IF(C68="Y",IF(AF68=1,IF(AND(R68&lt;'설정'!$B$6,ISNUMBER($H$3)),IF(ROUND($H$3-R68,1)&gt;='설정'!$B$7,"교체 제안 → "&amp;$E$3&amp;" ("&amp;TEXT($H$3,"0.0")&amp;")","보유 유지"),"보유 유지"),"보유 · 점수 없음"),IF(AF68=1,IF(R68&gt;='설정'!$B$5,"편입 후보",""),"")))</f>
        <v/>
      </c>
      <c r="R68" s="15">
        <f>IF(AF68=1,ROUND(IF($B$3=1,50,(_xlfn.RANK.AVG(AO68,$AO$6:$AO$105,1)-1)/($B$3-1)*100),1),"")</f>
        <v/>
      </c>
      <c r="S68">
        <f>IF(A68="","",IF(AF68=1,_xlfn.TEXTJOIN(". ",TRUE,_xlfn.TEXTJOIN(", ",TRUE,IF(AK68&gt;='설정'!$B$20,"수익성 높음",""),IF(AL68&gt;='설정'!$B$20,"성장 빠름",""),IF(AM68&gt;='설정'!$B$20,"가격 쌈",""),IF(AN68&gt;='설정'!$B$20,"추세 좋음","")),_xlfn.TEXTJOIN(", ",TRUE,IF(AK68&lt;'설정'!$B$21,"수익성 낮음",""),IF(AL68&lt;'설정'!$B$21,"성장 느림",""),IF(AM68&lt;'설정'!$B$21,"가격 비쌈",""),IF(AN68&lt;'설정'!$B$21,"추세 약함","")),IF(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="","","보통: "&amp;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)),IF(X68="통과",AE68,X68)))</f>
        <v/>
      </c>
      <c r="T68">
        <f>IF(AF68=1,TEXT(Z68,"0.0%")&amp;" · 상위 "&amp;TEXT(($B$3-_xlfn.RANK.AVG(AG68,$AG$6:$AG$105,1)+1)/$B$3*100,"0")&amp;"%",IF(A68="","",IF(Z68="","결측",TEXT(Z68,"0.0%"))))</f>
        <v/>
      </c>
      <c r="U68">
        <f>IF(AF68=1,TEXT(AA68,"0.0%")&amp;" · 상위 "&amp;TEXT(($B$3-_xlfn.RANK.AVG(AH68,$AH$6:$AH$105,1)+1)/$B$3*100,"0")&amp;"%",IF(A68="","",IF(AA68="","결측",TEXT(AA68,"0.0%"))))</f>
        <v/>
      </c>
      <c r="V68">
        <f>IF(AF68=1,TEXT(AB68,"0.0%")&amp;" · 상위 "&amp;TEXT(($B$3-_xlfn.RANK.AVG(AI68,$AI$6:$AI$105,1)+1)/$B$3*100,"0")&amp;"%",IF(A68="","",IF(AB68="","결측",TEXT(AB68,"0.0%"))))</f>
        <v/>
      </c>
      <c r="W68">
        <f>IF(AF68=1,TEXT(AC68,"0.0%")&amp;" · 상위 "&amp;TEXT(($B$3-_xlfn.RANK.AVG(AJ68,$AJ$6:$AJ$105,1)+1)/$B$3*100,"0")&amp;"%",IF(A68="","",IF(AC68="","결측",TEXT(AC68,"0.0%"))))</f>
        <v/>
      </c>
      <c r="X68">
        <f>IF(A68="","",IF(AR68="","통과","제외: "&amp;AR68))</f>
        <v/>
      </c>
      <c r="Y68" s="21">
        <f>IF(AND(ISNUMBER(G68),ISNUMBER(H68)),IF(G68&gt;0,H68/G68,""),"")</f>
        <v/>
      </c>
      <c r="Z68" s="22">
        <f>IF(AND(ISNUMBER(F68),ISNUMBER(G68)),IF(G68&gt;0,F68/G68,""),"")</f>
        <v/>
      </c>
      <c r="AA68" s="22">
        <f>IF(AND(ISNUMBER(J68),ISNUMBER(K68)),IF(AND(J68&gt;0,K68&gt;0),(J68/K68)^(1/3)-1,""),"")</f>
        <v/>
      </c>
      <c r="AB68" s="22">
        <f>IF(AND(ISNUMBER(I68),ISNUMBER(L68),ISNUMBER(M68),ISNUMBER(N68)),IF((L68+M68-N68)&gt;0,I68/(L68+M68-N68),""),"")</f>
        <v/>
      </c>
      <c r="AC68" s="22">
        <f>IF(AND(ISNUMBER(O68),ISNUMBER(P68)),IF(AND(O68&gt;0,P68&gt;0),P68/O68-1,""),"")</f>
        <v/>
      </c>
      <c r="AD68">
        <f>_xlfn.TEXTJOIN(", ",TRUE,IF(Z68="","ROE",""),IF(AA68="","매출성장률",""),IF(AB68="","이익수익률",""),IF(AC68="","12-1 수익률",""))</f>
        <v/>
      </c>
      <c r="AE68">
        <f>IF(A68="","",IF(AR68&lt;&gt;"","점수 없음(거름망)",IF(AD68="","채점","점수 없음(결측: "&amp;AD68&amp;")")))</f>
        <v/>
      </c>
      <c r="AF68">
        <f>IF(AE68="채점",1,"")</f>
        <v/>
      </c>
      <c r="AG68">
        <f>IF(AF68=1,Z68,"")</f>
        <v/>
      </c>
      <c r="AH68">
        <f>IF(AF68=1,AA68,"")</f>
        <v/>
      </c>
      <c r="AI68">
        <f>IF(AF68=1,AB68,"")</f>
        <v/>
      </c>
      <c r="AJ68">
        <f>IF(AF68=1,AC68,"")</f>
        <v/>
      </c>
      <c r="AK68">
        <f>IF(AF68=1,IF($B$3=1,50,(_xlfn.RANK.AVG(AG68,$AG$6:$AG$105,1)-1)/($B$3-1)*100),"")</f>
        <v/>
      </c>
      <c r="AL68">
        <f>IF(AF68=1,IF($B$3=1,50,(_xlfn.RANK.AVG(AH68,$AH$6:$AH$105,1)-1)/($B$3-1)*100),"")</f>
        <v/>
      </c>
      <c r="AM68">
        <f>IF(AF68=1,IF($B$3=1,50,(_xlfn.RANK.AVG(AI68,$AI$6:$AI$105,1)-1)/($B$3-1)*100),"")</f>
        <v/>
      </c>
      <c r="AN68">
        <f>IF(AF68=1,IF($B$3=1,50,(_xlfn.RANK.AVG(AJ68,$AJ$6:$AJ$105,1)-1)/($B$3-1)*100),"")</f>
        <v/>
      </c>
      <c r="AO68">
        <f>IF(AF68=1,ROUND(AVERAGE(AK68:AN68),6),"")</f>
        <v/>
      </c>
      <c r="AP68">
        <f>IF(AND(AF68=1,C68&lt;&gt;"Y"),R68,"")</f>
        <v/>
      </c>
      <c r="AQ68">
        <f>IF(AND(ISNUMBER(AP68),Q68="편입 후보"),AP68+(1000-ROW())/1000000,"")</f>
        <v/>
      </c>
      <c r="AR68">
        <f>IF(A68="","",_xlfn.TEXTJOIN(", ",TRUE,IF(D68="Y","금융·리츠",""),IF(NOT(ISNUMBER(I68)),"영업이익 없음",IF(I68&lt;=0,"영업적자","")),IF(OR(NOT(ISNUMBER(G68)),NOT(ISNUMBER(H68))),"부채비율 자료 없음",IF(G68&lt;=0,"자본잠식",IF(H68/G68&gt;'설정'!$B$8,"부채비율 초과",""))),IF(NOT(ISNUMBER(L68)),"시총 없음",IF(L68&lt;'설정'!$B$9,"시총 미달",""))))</f>
        <v/>
      </c>
    </row>
    <row r="69">
      <c r="A69" s="18" t="n"/>
      <c r="B69" s="19" t="n"/>
      <c r="C69" s="19" t="n"/>
      <c r="D69" s="19" t="n"/>
      <c r="E69" s="19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7">
        <f>IF(A69="","",IF(C69="Y",IF(AF69=1,IF(AND(R69&lt;'설정'!$B$6,ISNUMBER($H$3)),IF(ROUND($H$3-R69,1)&gt;='설정'!$B$7,"교체 제안 → "&amp;$E$3&amp;" ("&amp;TEXT($H$3,"0.0")&amp;")","보유 유지"),"보유 유지"),"보유 · 점수 없음"),IF(AF69=1,IF(R69&gt;='설정'!$B$5,"편입 후보",""),"")))</f>
        <v/>
      </c>
      <c r="R69" s="15">
        <f>IF(AF69=1,ROUND(IF($B$3=1,50,(_xlfn.RANK.AVG(AO69,$AO$6:$AO$105,1)-1)/($B$3-1)*100),1),"")</f>
        <v/>
      </c>
      <c r="S69">
        <f>IF(A69="","",IF(AF69=1,_xlfn.TEXTJOIN(". ",TRUE,_xlfn.TEXTJOIN(", ",TRUE,IF(AK69&gt;='설정'!$B$20,"수익성 높음",""),IF(AL69&gt;='설정'!$B$20,"성장 빠름",""),IF(AM69&gt;='설정'!$B$20,"가격 쌈",""),IF(AN69&gt;='설정'!$B$20,"추세 좋음","")),_xlfn.TEXTJOIN(", ",TRUE,IF(AK69&lt;'설정'!$B$21,"수익성 낮음",""),IF(AL69&lt;'설정'!$B$21,"성장 느림",""),IF(AM69&lt;'설정'!$B$21,"가격 비쌈",""),IF(AN69&lt;'설정'!$B$21,"추세 약함","")),IF(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="","","보통: "&amp;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)),IF(X69="통과",AE69,X69)))</f>
        <v/>
      </c>
      <c r="T69">
        <f>IF(AF69=1,TEXT(Z69,"0.0%")&amp;" · 상위 "&amp;TEXT(($B$3-_xlfn.RANK.AVG(AG69,$AG$6:$AG$105,1)+1)/$B$3*100,"0")&amp;"%",IF(A69="","",IF(Z69="","결측",TEXT(Z69,"0.0%"))))</f>
        <v/>
      </c>
      <c r="U69">
        <f>IF(AF69=1,TEXT(AA69,"0.0%")&amp;" · 상위 "&amp;TEXT(($B$3-_xlfn.RANK.AVG(AH69,$AH$6:$AH$105,1)+1)/$B$3*100,"0")&amp;"%",IF(A69="","",IF(AA69="","결측",TEXT(AA69,"0.0%"))))</f>
        <v/>
      </c>
      <c r="V69">
        <f>IF(AF69=1,TEXT(AB69,"0.0%")&amp;" · 상위 "&amp;TEXT(($B$3-_xlfn.RANK.AVG(AI69,$AI$6:$AI$105,1)+1)/$B$3*100,"0")&amp;"%",IF(A69="","",IF(AB69="","결측",TEXT(AB69,"0.0%"))))</f>
        <v/>
      </c>
      <c r="W69">
        <f>IF(AF69=1,TEXT(AC69,"0.0%")&amp;" · 상위 "&amp;TEXT(($B$3-_xlfn.RANK.AVG(AJ69,$AJ$6:$AJ$105,1)+1)/$B$3*100,"0")&amp;"%",IF(A69="","",IF(AC69="","결측",TEXT(AC69,"0.0%"))))</f>
        <v/>
      </c>
      <c r="X69">
        <f>IF(A69="","",IF(AR69="","통과","제외: "&amp;AR69))</f>
        <v/>
      </c>
      <c r="Y69" s="21">
        <f>IF(AND(ISNUMBER(G69),ISNUMBER(H69)),IF(G69&gt;0,H69/G69,""),"")</f>
        <v/>
      </c>
      <c r="Z69" s="22">
        <f>IF(AND(ISNUMBER(F69),ISNUMBER(G69)),IF(G69&gt;0,F69/G69,""),"")</f>
        <v/>
      </c>
      <c r="AA69" s="22">
        <f>IF(AND(ISNUMBER(J69),ISNUMBER(K69)),IF(AND(J69&gt;0,K69&gt;0),(J69/K69)^(1/3)-1,""),"")</f>
        <v/>
      </c>
      <c r="AB69" s="22">
        <f>IF(AND(ISNUMBER(I69),ISNUMBER(L69),ISNUMBER(M69),ISNUMBER(N69)),IF((L69+M69-N69)&gt;0,I69/(L69+M69-N69),""),"")</f>
        <v/>
      </c>
      <c r="AC69" s="22">
        <f>IF(AND(ISNUMBER(O69),ISNUMBER(P69)),IF(AND(O69&gt;0,P69&gt;0),P69/O69-1,""),"")</f>
        <v/>
      </c>
      <c r="AD69">
        <f>_xlfn.TEXTJOIN(", ",TRUE,IF(Z69="","ROE",""),IF(AA69="","매출성장률",""),IF(AB69="","이익수익률",""),IF(AC69="","12-1 수익률",""))</f>
        <v/>
      </c>
      <c r="AE69">
        <f>IF(A69="","",IF(AR69&lt;&gt;"","점수 없음(거름망)",IF(AD69="","채점","점수 없음(결측: "&amp;AD69&amp;")")))</f>
        <v/>
      </c>
      <c r="AF69">
        <f>IF(AE69="채점",1,"")</f>
        <v/>
      </c>
      <c r="AG69">
        <f>IF(AF69=1,Z69,"")</f>
        <v/>
      </c>
      <c r="AH69">
        <f>IF(AF69=1,AA69,"")</f>
        <v/>
      </c>
      <c r="AI69">
        <f>IF(AF69=1,AB69,"")</f>
        <v/>
      </c>
      <c r="AJ69">
        <f>IF(AF69=1,AC69,"")</f>
        <v/>
      </c>
      <c r="AK69">
        <f>IF(AF69=1,IF($B$3=1,50,(_xlfn.RANK.AVG(AG69,$AG$6:$AG$105,1)-1)/($B$3-1)*100),"")</f>
        <v/>
      </c>
      <c r="AL69">
        <f>IF(AF69=1,IF($B$3=1,50,(_xlfn.RANK.AVG(AH69,$AH$6:$AH$105,1)-1)/($B$3-1)*100),"")</f>
        <v/>
      </c>
      <c r="AM69">
        <f>IF(AF69=1,IF($B$3=1,50,(_xlfn.RANK.AVG(AI69,$AI$6:$AI$105,1)-1)/($B$3-1)*100),"")</f>
        <v/>
      </c>
      <c r="AN69">
        <f>IF(AF69=1,IF($B$3=1,50,(_xlfn.RANK.AVG(AJ69,$AJ$6:$AJ$105,1)-1)/($B$3-1)*100),"")</f>
        <v/>
      </c>
      <c r="AO69">
        <f>IF(AF69=1,ROUND(AVERAGE(AK69:AN69),6),"")</f>
        <v/>
      </c>
      <c r="AP69">
        <f>IF(AND(AF69=1,C69&lt;&gt;"Y"),R69,"")</f>
        <v/>
      </c>
      <c r="AQ69">
        <f>IF(AND(ISNUMBER(AP69),Q69="편입 후보"),AP69+(1000-ROW())/1000000,"")</f>
        <v/>
      </c>
      <c r="AR69">
        <f>IF(A69="","",_xlfn.TEXTJOIN(", ",TRUE,IF(D69="Y","금융·리츠",""),IF(NOT(ISNUMBER(I69)),"영업이익 없음",IF(I69&lt;=0,"영업적자","")),IF(OR(NOT(ISNUMBER(G69)),NOT(ISNUMBER(H69))),"부채비율 자료 없음",IF(G69&lt;=0,"자본잠식",IF(H69/G69&gt;'설정'!$B$8,"부채비율 초과",""))),IF(NOT(ISNUMBER(L69)),"시총 없음",IF(L69&lt;'설정'!$B$9,"시총 미달",""))))</f>
        <v/>
      </c>
    </row>
    <row r="70">
      <c r="A70" s="18" t="n"/>
      <c r="B70" s="19" t="n"/>
      <c r="C70" s="19" t="n"/>
      <c r="D70" s="19" t="n"/>
      <c r="E70" s="19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7">
        <f>IF(A70="","",IF(C70="Y",IF(AF70=1,IF(AND(R70&lt;'설정'!$B$6,ISNUMBER($H$3)),IF(ROUND($H$3-R70,1)&gt;='설정'!$B$7,"교체 제안 → "&amp;$E$3&amp;" ("&amp;TEXT($H$3,"0.0")&amp;")","보유 유지"),"보유 유지"),"보유 · 점수 없음"),IF(AF70=1,IF(R70&gt;='설정'!$B$5,"편입 후보",""),"")))</f>
        <v/>
      </c>
      <c r="R70" s="15">
        <f>IF(AF70=1,ROUND(IF($B$3=1,50,(_xlfn.RANK.AVG(AO70,$AO$6:$AO$105,1)-1)/($B$3-1)*100),1),"")</f>
        <v/>
      </c>
      <c r="S70">
        <f>IF(A70="","",IF(AF70=1,_xlfn.TEXTJOIN(". ",TRUE,_xlfn.TEXTJOIN(", ",TRUE,IF(AK70&gt;='설정'!$B$20,"수익성 높음",""),IF(AL70&gt;='설정'!$B$20,"성장 빠름",""),IF(AM70&gt;='설정'!$B$20,"가격 쌈",""),IF(AN70&gt;='설정'!$B$20,"추세 좋음","")),_xlfn.TEXTJOIN(", ",TRUE,IF(AK70&lt;'설정'!$B$21,"수익성 낮음",""),IF(AL70&lt;'설정'!$B$21,"성장 느림",""),IF(AM70&lt;'설정'!$B$21,"가격 비쌈",""),IF(AN70&lt;'설정'!$B$21,"추세 약함","")),IF(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="","","보통: "&amp;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)),IF(X70="통과",AE70,X70)))</f>
        <v/>
      </c>
      <c r="T70">
        <f>IF(AF70=1,TEXT(Z70,"0.0%")&amp;" · 상위 "&amp;TEXT(($B$3-_xlfn.RANK.AVG(AG70,$AG$6:$AG$105,1)+1)/$B$3*100,"0")&amp;"%",IF(A70="","",IF(Z70="","결측",TEXT(Z70,"0.0%"))))</f>
        <v/>
      </c>
      <c r="U70">
        <f>IF(AF70=1,TEXT(AA70,"0.0%")&amp;" · 상위 "&amp;TEXT(($B$3-_xlfn.RANK.AVG(AH70,$AH$6:$AH$105,1)+1)/$B$3*100,"0")&amp;"%",IF(A70="","",IF(AA70="","결측",TEXT(AA70,"0.0%"))))</f>
        <v/>
      </c>
      <c r="V70">
        <f>IF(AF70=1,TEXT(AB70,"0.0%")&amp;" · 상위 "&amp;TEXT(($B$3-_xlfn.RANK.AVG(AI70,$AI$6:$AI$105,1)+1)/$B$3*100,"0")&amp;"%",IF(A70="","",IF(AB70="","결측",TEXT(AB70,"0.0%"))))</f>
        <v/>
      </c>
      <c r="W70">
        <f>IF(AF70=1,TEXT(AC70,"0.0%")&amp;" · 상위 "&amp;TEXT(($B$3-_xlfn.RANK.AVG(AJ70,$AJ$6:$AJ$105,1)+1)/$B$3*100,"0")&amp;"%",IF(A70="","",IF(AC70="","결측",TEXT(AC70,"0.0%"))))</f>
        <v/>
      </c>
      <c r="X70">
        <f>IF(A70="","",IF(AR70="","통과","제외: "&amp;AR70))</f>
        <v/>
      </c>
      <c r="Y70" s="21">
        <f>IF(AND(ISNUMBER(G70),ISNUMBER(H70)),IF(G70&gt;0,H70/G70,""),"")</f>
        <v/>
      </c>
      <c r="Z70" s="22">
        <f>IF(AND(ISNUMBER(F70),ISNUMBER(G70)),IF(G70&gt;0,F70/G70,""),"")</f>
        <v/>
      </c>
      <c r="AA70" s="22">
        <f>IF(AND(ISNUMBER(J70),ISNUMBER(K70)),IF(AND(J70&gt;0,K70&gt;0),(J70/K70)^(1/3)-1,""),"")</f>
        <v/>
      </c>
      <c r="AB70" s="22">
        <f>IF(AND(ISNUMBER(I70),ISNUMBER(L70),ISNUMBER(M70),ISNUMBER(N70)),IF((L70+M70-N70)&gt;0,I70/(L70+M70-N70),""),"")</f>
        <v/>
      </c>
      <c r="AC70" s="22">
        <f>IF(AND(ISNUMBER(O70),ISNUMBER(P70)),IF(AND(O70&gt;0,P70&gt;0),P70/O70-1,""),"")</f>
        <v/>
      </c>
      <c r="AD70">
        <f>_xlfn.TEXTJOIN(", ",TRUE,IF(Z70="","ROE",""),IF(AA70="","매출성장률",""),IF(AB70="","이익수익률",""),IF(AC70="","12-1 수익률",""))</f>
        <v/>
      </c>
      <c r="AE70">
        <f>IF(A70="","",IF(AR70&lt;&gt;"","점수 없음(거름망)",IF(AD70="","채점","점수 없음(결측: "&amp;AD70&amp;")")))</f>
        <v/>
      </c>
      <c r="AF70">
        <f>IF(AE70="채점",1,"")</f>
        <v/>
      </c>
      <c r="AG70">
        <f>IF(AF70=1,Z70,"")</f>
        <v/>
      </c>
      <c r="AH70">
        <f>IF(AF70=1,AA70,"")</f>
        <v/>
      </c>
      <c r="AI70">
        <f>IF(AF70=1,AB70,"")</f>
        <v/>
      </c>
      <c r="AJ70">
        <f>IF(AF70=1,AC70,"")</f>
        <v/>
      </c>
      <c r="AK70">
        <f>IF(AF70=1,IF($B$3=1,50,(_xlfn.RANK.AVG(AG70,$AG$6:$AG$105,1)-1)/($B$3-1)*100),"")</f>
        <v/>
      </c>
      <c r="AL70">
        <f>IF(AF70=1,IF($B$3=1,50,(_xlfn.RANK.AVG(AH70,$AH$6:$AH$105,1)-1)/($B$3-1)*100),"")</f>
        <v/>
      </c>
      <c r="AM70">
        <f>IF(AF70=1,IF($B$3=1,50,(_xlfn.RANK.AVG(AI70,$AI$6:$AI$105,1)-1)/($B$3-1)*100),"")</f>
        <v/>
      </c>
      <c r="AN70">
        <f>IF(AF70=1,IF($B$3=1,50,(_xlfn.RANK.AVG(AJ70,$AJ$6:$AJ$105,1)-1)/($B$3-1)*100),"")</f>
        <v/>
      </c>
      <c r="AO70">
        <f>IF(AF70=1,ROUND(AVERAGE(AK70:AN70),6),"")</f>
        <v/>
      </c>
      <c r="AP70">
        <f>IF(AND(AF70=1,C70&lt;&gt;"Y"),R70,"")</f>
        <v/>
      </c>
      <c r="AQ70">
        <f>IF(AND(ISNUMBER(AP70),Q70="편입 후보"),AP70+(1000-ROW())/1000000,"")</f>
        <v/>
      </c>
      <c r="AR70">
        <f>IF(A70="","",_xlfn.TEXTJOIN(", ",TRUE,IF(D70="Y","금융·리츠",""),IF(NOT(ISNUMBER(I70)),"영업이익 없음",IF(I70&lt;=0,"영업적자","")),IF(OR(NOT(ISNUMBER(G70)),NOT(ISNUMBER(H70))),"부채비율 자료 없음",IF(G70&lt;=0,"자본잠식",IF(H70/G70&gt;'설정'!$B$8,"부채비율 초과",""))),IF(NOT(ISNUMBER(L70)),"시총 없음",IF(L70&lt;'설정'!$B$9,"시총 미달",""))))</f>
        <v/>
      </c>
    </row>
    <row r="71">
      <c r="A71" s="18" t="n"/>
      <c r="B71" s="19" t="n"/>
      <c r="C71" s="19" t="n"/>
      <c r="D71" s="19" t="n"/>
      <c r="E71" s="19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7">
        <f>IF(A71="","",IF(C71="Y",IF(AF71=1,IF(AND(R71&lt;'설정'!$B$6,ISNUMBER($H$3)),IF(ROUND($H$3-R71,1)&gt;='설정'!$B$7,"교체 제안 → "&amp;$E$3&amp;" ("&amp;TEXT($H$3,"0.0")&amp;")","보유 유지"),"보유 유지"),"보유 · 점수 없음"),IF(AF71=1,IF(R71&gt;='설정'!$B$5,"편입 후보",""),"")))</f>
        <v/>
      </c>
      <c r="R71" s="15">
        <f>IF(AF71=1,ROUND(IF($B$3=1,50,(_xlfn.RANK.AVG(AO71,$AO$6:$AO$105,1)-1)/($B$3-1)*100),1),"")</f>
        <v/>
      </c>
      <c r="S71">
        <f>IF(A71="","",IF(AF71=1,_xlfn.TEXTJOIN(". ",TRUE,_xlfn.TEXTJOIN(", ",TRUE,IF(AK71&gt;='설정'!$B$20,"수익성 높음",""),IF(AL71&gt;='설정'!$B$20,"성장 빠름",""),IF(AM71&gt;='설정'!$B$20,"가격 쌈",""),IF(AN71&gt;='설정'!$B$20,"추세 좋음","")),_xlfn.TEXTJOIN(", ",TRUE,IF(AK71&lt;'설정'!$B$21,"수익성 낮음",""),IF(AL71&lt;'설정'!$B$21,"성장 느림",""),IF(AM71&lt;'설정'!$B$21,"가격 비쌈",""),IF(AN71&lt;'설정'!$B$21,"추세 약함","")),IF(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="","","보통: "&amp;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)),IF(X71="통과",AE71,X71)))</f>
        <v/>
      </c>
      <c r="T71">
        <f>IF(AF71=1,TEXT(Z71,"0.0%")&amp;" · 상위 "&amp;TEXT(($B$3-_xlfn.RANK.AVG(AG71,$AG$6:$AG$105,1)+1)/$B$3*100,"0")&amp;"%",IF(A71="","",IF(Z71="","결측",TEXT(Z71,"0.0%"))))</f>
        <v/>
      </c>
      <c r="U71">
        <f>IF(AF71=1,TEXT(AA71,"0.0%")&amp;" · 상위 "&amp;TEXT(($B$3-_xlfn.RANK.AVG(AH71,$AH$6:$AH$105,1)+1)/$B$3*100,"0")&amp;"%",IF(A71="","",IF(AA71="","결측",TEXT(AA71,"0.0%"))))</f>
        <v/>
      </c>
      <c r="V71">
        <f>IF(AF71=1,TEXT(AB71,"0.0%")&amp;" · 상위 "&amp;TEXT(($B$3-_xlfn.RANK.AVG(AI71,$AI$6:$AI$105,1)+1)/$B$3*100,"0")&amp;"%",IF(A71="","",IF(AB71="","결측",TEXT(AB71,"0.0%"))))</f>
        <v/>
      </c>
      <c r="W71">
        <f>IF(AF71=1,TEXT(AC71,"0.0%")&amp;" · 상위 "&amp;TEXT(($B$3-_xlfn.RANK.AVG(AJ71,$AJ$6:$AJ$105,1)+1)/$B$3*100,"0")&amp;"%",IF(A71="","",IF(AC71="","결측",TEXT(AC71,"0.0%"))))</f>
        <v/>
      </c>
      <c r="X71">
        <f>IF(A71="","",IF(AR71="","통과","제외: "&amp;AR71))</f>
        <v/>
      </c>
      <c r="Y71" s="21">
        <f>IF(AND(ISNUMBER(G71),ISNUMBER(H71)),IF(G71&gt;0,H71/G71,""),"")</f>
        <v/>
      </c>
      <c r="Z71" s="22">
        <f>IF(AND(ISNUMBER(F71),ISNUMBER(G71)),IF(G71&gt;0,F71/G71,""),"")</f>
        <v/>
      </c>
      <c r="AA71" s="22">
        <f>IF(AND(ISNUMBER(J71),ISNUMBER(K71)),IF(AND(J71&gt;0,K71&gt;0),(J71/K71)^(1/3)-1,""),"")</f>
        <v/>
      </c>
      <c r="AB71" s="22">
        <f>IF(AND(ISNUMBER(I71),ISNUMBER(L71),ISNUMBER(M71),ISNUMBER(N71)),IF((L71+M71-N71)&gt;0,I71/(L71+M71-N71),""),"")</f>
        <v/>
      </c>
      <c r="AC71" s="22">
        <f>IF(AND(ISNUMBER(O71),ISNUMBER(P71)),IF(AND(O71&gt;0,P71&gt;0),P71/O71-1,""),"")</f>
        <v/>
      </c>
      <c r="AD71">
        <f>_xlfn.TEXTJOIN(", ",TRUE,IF(Z71="","ROE",""),IF(AA71="","매출성장률",""),IF(AB71="","이익수익률",""),IF(AC71="","12-1 수익률",""))</f>
        <v/>
      </c>
      <c r="AE71">
        <f>IF(A71="","",IF(AR71&lt;&gt;"","점수 없음(거름망)",IF(AD71="","채점","점수 없음(결측: "&amp;AD71&amp;")")))</f>
        <v/>
      </c>
      <c r="AF71">
        <f>IF(AE71="채점",1,"")</f>
        <v/>
      </c>
      <c r="AG71">
        <f>IF(AF71=1,Z71,"")</f>
        <v/>
      </c>
      <c r="AH71">
        <f>IF(AF71=1,AA71,"")</f>
        <v/>
      </c>
      <c r="AI71">
        <f>IF(AF71=1,AB71,"")</f>
        <v/>
      </c>
      <c r="AJ71">
        <f>IF(AF71=1,AC71,"")</f>
        <v/>
      </c>
      <c r="AK71">
        <f>IF(AF71=1,IF($B$3=1,50,(_xlfn.RANK.AVG(AG71,$AG$6:$AG$105,1)-1)/($B$3-1)*100),"")</f>
        <v/>
      </c>
      <c r="AL71">
        <f>IF(AF71=1,IF($B$3=1,50,(_xlfn.RANK.AVG(AH71,$AH$6:$AH$105,1)-1)/($B$3-1)*100),"")</f>
        <v/>
      </c>
      <c r="AM71">
        <f>IF(AF71=1,IF($B$3=1,50,(_xlfn.RANK.AVG(AI71,$AI$6:$AI$105,1)-1)/($B$3-1)*100),"")</f>
        <v/>
      </c>
      <c r="AN71">
        <f>IF(AF71=1,IF($B$3=1,50,(_xlfn.RANK.AVG(AJ71,$AJ$6:$AJ$105,1)-1)/($B$3-1)*100),"")</f>
        <v/>
      </c>
      <c r="AO71">
        <f>IF(AF71=1,ROUND(AVERAGE(AK71:AN71),6),"")</f>
        <v/>
      </c>
      <c r="AP71">
        <f>IF(AND(AF71=1,C71&lt;&gt;"Y"),R71,"")</f>
        <v/>
      </c>
      <c r="AQ71">
        <f>IF(AND(ISNUMBER(AP71),Q71="편입 후보"),AP71+(1000-ROW())/1000000,"")</f>
        <v/>
      </c>
      <c r="AR71">
        <f>IF(A71="","",_xlfn.TEXTJOIN(", ",TRUE,IF(D71="Y","금융·리츠",""),IF(NOT(ISNUMBER(I71)),"영업이익 없음",IF(I71&lt;=0,"영업적자","")),IF(OR(NOT(ISNUMBER(G71)),NOT(ISNUMBER(H71))),"부채비율 자료 없음",IF(G71&lt;=0,"자본잠식",IF(H71/G71&gt;'설정'!$B$8,"부채비율 초과",""))),IF(NOT(ISNUMBER(L71)),"시총 없음",IF(L71&lt;'설정'!$B$9,"시총 미달",""))))</f>
        <v/>
      </c>
    </row>
    <row r="72">
      <c r="A72" s="18" t="n"/>
      <c r="B72" s="19" t="n"/>
      <c r="C72" s="19" t="n"/>
      <c r="D72" s="19" t="n"/>
      <c r="E72" s="19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7">
        <f>IF(A72="","",IF(C72="Y",IF(AF72=1,IF(AND(R72&lt;'설정'!$B$6,ISNUMBER($H$3)),IF(ROUND($H$3-R72,1)&gt;='설정'!$B$7,"교체 제안 → "&amp;$E$3&amp;" ("&amp;TEXT($H$3,"0.0")&amp;")","보유 유지"),"보유 유지"),"보유 · 점수 없음"),IF(AF72=1,IF(R72&gt;='설정'!$B$5,"편입 후보",""),"")))</f>
        <v/>
      </c>
      <c r="R72" s="15">
        <f>IF(AF72=1,ROUND(IF($B$3=1,50,(_xlfn.RANK.AVG(AO72,$AO$6:$AO$105,1)-1)/($B$3-1)*100),1),"")</f>
        <v/>
      </c>
      <c r="S72">
        <f>IF(A72="","",IF(AF72=1,_xlfn.TEXTJOIN(". ",TRUE,_xlfn.TEXTJOIN(", ",TRUE,IF(AK72&gt;='설정'!$B$20,"수익성 높음",""),IF(AL72&gt;='설정'!$B$20,"성장 빠름",""),IF(AM72&gt;='설정'!$B$20,"가격 쌈",""),IF(AN72&gt;='설정'!$B$20,"추세 좋음","")),_xlfn.TEXTJOIN(", ",TRUE,IF(AK72&lt;'설정'!$B$21,"수익성 낮음",""),IF(AL72&lt;'설정'!$B$21,"성장 느림",""),IF(AM72&lt;'설정'!$B$21,"가격 비쌈",""),IF(AN72&lt;'설정'!$B$21,"추세 약함","")),IF(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="","","보통: "&amp;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)),IF(X72="통과",AE72,X72)))</f>
        <v/>
      </c>
      <c r="T72">
        <f>IF(AF72=1,TEXT(Z72,"0.0%")&amp;" · 상위 "&amp;TEXT(($B$3-_xlfn.RANK.AVG(AG72,$AG$6:$AG$105,1)+1)/$B$3*100,"0")&amp;"%",IF(A72="","",IF(Z72="","결측",TEXT(Z72,"0.0%"))))</f>
        <v/>
      </c>
      <c r="U72">
        <f>IF(AF72=1,TEXT(AA72,"0.0%")&amp;" · 상위 "&amp;TEXT(($B$3-_xlfn.RANK.AVG(AH72,$AH$6:$AH$105,1)+1)/$B$3*100,"0")&amp;"%",IF(A72="","",IF(AA72="","결측",TEXT(AA72,"0.0%"))))</f>
        <v/>
      </c>
      <c r="V72">
        <f>IF(AF72=1,TEXT(AB72,"0.0%")&amp;" · 상위 "&amp;TEXT(($B$3-_xlfn.RANK.AVG(AI72,$AI$6:$AI$105,1)+1)/$B$3*100,"0")&amp;"%",IF(A72="","",IF(AB72="","결측",TEXT(AB72,"0.0%"))))</f>
        <v/>
      </c>
      <c r="W72">
        <f>IF(AF72=1,TEXT(AC72,"0.0%")&amp;" · 상위 "&amp;TEXT(($B$3-_xlfn.RANK.AVG(AJ72,$AJ$6:$AJ$105,1)+1)/$B$3*100,"0")&amp;"%",IF(A72="","",IF(AC72="","결측",TEXT(AC72,"0.0%"))))</f>
        <v/>
      </c>
      <c r="X72">
        <f>IF(A72="","",IF(AR72="","통과","제외: "&amp;AR72))</f>
        <v/>
      </c>
      <c r="Y72" s="21">
        <f>IF(AND(ISNUMBER(G72),ISNUMBER(H72)),IF(G72&gt;0,H72/G72,""),"")</f>
        <v/>
      </c>
      <c r="Z72" s="22">
        <f>IF(AND(ISNUMBER(F72),ISNUMBER(G72)),IF(G72&gt;0,F72/G72,""),"")</f>
        <v/>
      </c>
      <c r="AA72" s="22">
        <f>IF(AND(ISNUMBER(J72),ISNUMBER(K72)),IF(AND(J72&gt;0,K72&gt;0),(J72/K72)^(1/3)-1,""),"")</f>
        <v/>
      </c>
      <c r="AB72" s="22">
        <f>IF(AND(ISNUMBER(I72),ISNUMBER(L72),ISNUMBER(M72),ISNUMBER(N72)),IF((L72+M72-N72)&gt;0,I72/(L72+M72-N72),""),"")</f>
        <v/>
      </c>
      <c r="AC72" s="22">
        <f>IF(AND(ISNUMBER(O72),ISNUMBER(P72)),IF(AND(O72&gt;0,P72&gt;0),P72/O72-1,""),"")</f>
        <v/>
      </c>
      <c r="AD72">
        <f>_xlfn.TEXTJOIN(", ",TRUE,IF(Z72="","ROE",""),IF(AA72="","매출성장률",""),IF(AB72="","이익수익률",""),IF(AC72="","12-1 수익률",""))</f>
        <v/>
      </c>
      <c r="AE72">
        <f>IF(A72="","",IF(AR72&lt;&gt;"","점수 없음(거름망)",IF(AD72="","채점","점수 없음(결측: "&amp;AD72&amp;")")))</f>
        <v/>
      </c>
      <c r="AF72">
        <f>IF(AE72="채점",1,"")</f>
        <v/>
      </c>
      <c r="AG72">
        <f>IF(AF72=1,Z72,"")</f>
        <v/>
      </c>
      <c r="AH72">
        <f>IF(AF72=1,AA72,"")</f>
        <v/>
      </c>
      <c r="AI72">
        <f>IF(AF72=1,AB72,"")</f>
        <v/>
      </c>
      <c r="AJ72">
        <f>IF(AF72=1,AC72,"")</f>
        <v/>
      </c>
      <c r="AK72">
        <f>IF(AF72=1,IF($B$3=1,50,(_xlfn.RANK.AVG(AG72,$AG$6:$AG$105,1)-1)/($B$3-1)*100),"")</f>
        <v/>
      </c>
      <c r="AL72">
        <f>IF(AF72=1,IF($B$3=1,50,(_xlfn.RANK.AVG(AH72,$AH$6:$AH$105,1)-1)/($B$3-1)*100),"")</f>
        <v/>
      </c>
      <c r="AM72">
        <f>IF(AF72=1,IF($B$3=1,50,(_xlfn.RANK.AVG(AI72,$AI$6:$AI$105,1)-1)/($B$3-1)*100),"")</f>
        <v/>
      </c>
      <c r="AN72">
        <f>IF(AF72=1,IF($B$3=1,50,(_xlfn.RANK.AVG(AJ72,$AJ$6:$AJ$105,1)-1)/($B$3-1)*100),"")</f>
        <v/>
      </c>
      <c r="AO72">
        <f>IF(AF72=1,ROUND(AVERAGE(AK72:AN72),6),"")</f>
        <v/>
      </c>
      <c r="AP72">
        <f>IF(AND(AF72=1,C72&lt;&gt;"Y"),R72,"")</f>
        <v/>
      </c>
      <c r="AQ72">
        <f>IF(AND(ISNUMBER(AP72),Q72="편입 후보"),AP72+(1000-ROW())/1000000,"")</f>
        <v/>
      </c>
      <c r="AR72">
        <f>IF(A72="","",_xlfn.TEXTJOIN(", ",TRUE,IF(D72="Y","금융·리츠",""),IF(NOT(ISNUMBER(I72)),"영업이익 없음",IF(I72&lt;=0,"영업적자","")),IF(OR(NOT(ISNUMBER(G72)),NOT(ISNUMBER(H72))),"부채비율 자료 없음",IF(G72&lt;=0,"자본잠식",IF(H72/G72&gt;'설정'!$B$8,"부채비율 초과",""))),IF(NOT(ISNUMBER(L72)),"시총 없음",IF(L72&lt;'설정'!$B$9,"시총 미달",""))))</f>
        <v/>
      </c>
    </row>
    <row r="73">
      <c r="A73" s="18" t="n"/>
      <c r="B73" s="19" t="n"/>
      <c r="C73" s="19" t="n"/>
      <c r="D73" s="19" t="n"/>
      <c r="E73" s="19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7">
        <f>IF(A73="","",IF(C73="Y",IF(AF73=1,IF(AND(R73&lt;'설정'!$B$6,ISNUMBER($H$3)),IF(ROUND($H$3-R73,1)&gt;='설정'!$B$7,"교체 제안 → "&amp;$E$3&amp;" ("&amp;TEXT($H$3,"0.0")&amp;")","보유 유지"),"보유 유지"),"보유 · 점수 없음"),IF(AF73=1,IF(R73&gt;='설정'!$B$5,"편입 후보",""),"")))</f>
        <v/>
      </c>
      <c r="R73" s="15">
        <f>IF(AF73=1,ROUND(IF($B$3=1,50,(_xlfn.RANK.AVG(AO73,$AO$6:$AO$105,1)-1)/($B$3-1)*100),1),"")</f>
        <v/>
      </c>
      <c r="S73">
        <f>IF(A73="","",IF(AF73=1,_xlfn.TEXTJOIN(". ",TRUE,_xlfn.TEXTJOIN(", ",TRUE,IF(AK73&gt;='설정'!$B$20,"수익성 높음",""),IF(AL73&gt;='설정'!$B$20,"성장 빠름",""),IF(AM73&gt;='설정'!$B$20,"가격 쌈",""),IF(AN73&gt;='설정'!$B$20,"추세 좋음","")),_xlfn.TEXTJOIN(", ",TRUE,IF(AK73&lt;'설정'!$B$21,"수익성 낮음",""),IF(AL73&lt;'설정'!$B$21,"성장 느림",""),IF(AM73&lt;'설정'!$B$21,"가격 비쌈",""),IF(AN73&lt;'설정'!$B$21,"추세 약함","")),IF(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="","","보통: "&amp;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)),IF(X73="통과",AE73,X73)))</f>
        <v/>
      </c>
      <c r="T73">
        <f>IF(AF73=1,TEXT(Z73,"0.0%")&amp;" · 상위 "&amp;TEXT(($B$3-_xlfn.RANK.AVG(AG73,$AG$6:$AG$105,1)+1)/$B$3*100,"0")&amp;"%",IF(A73="","",IF(Z73="","결측",TEXT(Z73,"0.0%"))))</f>
        <v/>
      </c>
      <c r="U73">
        <f>IF(AF73=1,TEXT(AA73,"0.0%")&amp;" · 상위 "&amp;TEXT(($B$3-_xlfn.RANK.AVG(AH73,$AH$6:$AH$105,1)+1)/$B$3*100,"0")&amp;"%",IF(A73="","",IF(AA73="","결측",TEXT(AA73,"0.0%"))))</f>
        <v/>
      </c>
      <c r="V73">
        <f>IF(AF73=1,TEXT(AB73,"0.0%")&amp;" · 상위 "&amp;TEXT(($B$3-_xlfn.RANK.AVG(AI73,$AI$6:$AI$105,1)+1)/$B$3*100,"0")&amp;"%",IF(A73="","",IF(AB73="","결측",TEXT(AB73,"0.0%"))))</f>
        <v/>
      </c>
      <c r="W73">
        <f>IF(AF73=1,TEXT(AC73,"0.0%")&amp;" · 상위 "&amp;TEXT(($B$3-_xlfn.RANK.AVG(AJ73,$AJ$6:$AJ$105,1)+1)/$B$3*100,"0")&amp;"%",IF(A73="","",IF(AC73="","결측",TEXT(AC73,"0.0%"))))</f>
        <v/>
      </c>
      <c r="X73">
        <f>IF(A73="","",IF(AR73="","통과","제외: "&amp;AR73))</f>
        <v/>
      </c>
      <c r="Y73" s="21">
        <f>IF(AND(ISNUMBER(G73),ISNUMBER(H73)),IF(G73&gt;0,H73/G73,""),"")</f>
        <v/>
      </c>
      <c r="Z73" s="22">
        <f>IF(AND(ISNUMBER(F73),ISNUMBER(G73)),IF(G73&gt;0,F73/G73,""),"")</f>
        <v/>
      </c>
      <c r="AA73" s="22">
        <f>IF(AND(ISNUMBER(J73),ISNUMBER(K73)),IF(AND(J73&gt;0,K73&gt;0),(J73/K73)^(1/3)-1,""),"")</f>
        <v/>
      </c>
      <c r="AB73" s="22">
        <f>IF(AND(ISNUMBER(I73),ISNUMBER(L73),ISNUMBER(M73),ISNUMBER(N73)),IF((L73+M73-N73)&gt;0,I73/(L73+M73-N73),""),"")</f>
        <v/>
      </c>
      <c r="AC73" s="22">
        <f>IF(AND(ISNUMBER(O73),ISNUMBER(P73)),IF(AND(O73&gt;0,P73&gt;0),P73/O73-1,""),"")</f>
        <v/>
      </c>
      <c r="AD73">
        <f>_xlfn.TEXTJOIN(", ",TRUE,IF(Z73="","ROE",""),IF(AA73="","매출성장률",""),IF(AB73="","이익수익률",""),IF(AC73="","12-1 수익률",""))</f>
        <v/>
      </c>
      <c r="AE73">
        <f>IF(A73="","",IF(AR73&lt;&gt;"","점수 없음(거름망)",IF(AD73="","채점","점수 없음(결측: "&amp;AD73&amp;")")))</f>
        <v/>
      </c>
      <c r="AF73">
        <f>IF(AE73="채점",1,"")</f>
        <v/>
      </c>
      <c r="AG73">
        <f>IF(AF73=1,Z73,"")</f>
        <v/>
      </c>
      <c r="AH73">
        <f>IF(AF73=1,AA73,"")</f>
        <v/>
      </c>
      <c r="AI73">
        <f>IF(AF73=1,AB73,"")</f>
        <v/>
      </c>
      <c r="AJ73">
        <f>IF(AF73=1,AC73,"")</f>
        <v/>
      </c>
      <c r="AK73">
        <f>IF(AF73=1,IF($B$3=1,50,(_xlfn.RANK.AVG(AG73,$AG$6:$AG$105,1)-1)/($B$3-1)*100),"")</f>
        <v/>
      </c>
      <c r="AL73">
        <f>IF(AF73=1,IF($B$3=1,50,(_xlfn.RANK.AVG(AH73,$AH$6:$AH$105,1)-1)/($B$3-1)*100),"")</f>
        <v/>
      </c>
      <c r="AM73">
        <f>IF(AF73=1,IF($B$3=1,50,(_xlfn.RANK.AVG(AI73,$AI$6:$AI$105,1)-1)/($B$3-1)*100),"")</f>
        <v/>
      </c>
      <c r="AN73">
        <f>IF(AF73=1,IF($B$3=1,50,(_xlfn.RANK.AVG(AJ73,$AJ$6:$AJ$105,1)-1)/($B$3-1)*100),"")</f>
        <v/>
      </c>
      <c r="AO73">
        <f>IF(AF73=1,ROUND(AVERAGE(AK73:AN73),6),"")</f>
        <v/>
      </c>
      <c r="AP73">
        <f>IF(AND(AF73=1,C73&lt;&gt;"Y"),R73,"")</f>
        <v/>
      </c>
      <c r="AQ73">
        <f>IF(AND(ISNUMBER(AP73),Q73="편입 후보"),AP73+(1000-ROW())/1000000,"")</f>
        <v/>
      </c>
      <c r="AR73">
        <f>IF(A73="","",_xlfn.TEXTJOIN(", ",TRUE,IF(D73="Y","금융·리츠",""),IF(NOT(ISNUMBER(I73)),"영업이익 없음",IF(I73&lt;=0,"영업적자","")),IF(OR(NOT(ISNUMBER(G73)),NOT(ISNUMBER(H73))),"부채비율 자료 없음",IF(G73&lt;=0,"자본잠식",IF(H73/G73&gt;'설정'!$B$8,"부채비율 초과",""))),IF(NOT(ISNUMBER(L73)),"시총 없음",IF(L73&lt;'설정'!$B$9,"시총 미달",""))))</f>
        <v/>
      </c>
    </row>
    <row r="74">
      <c r="A74" s="18" t="n"/>
      <c r="B74" s="19" t="n"/>
      <c r="C74" s="19" t="n"/>
      <c r="D74" s="19" t="n"/>
      <c r="E74" s="19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7">
        <f>IF(A74="","",IF(C74="Y",IF(AF74=1,IF(AND(R74&lt;'설정'!$B$6,ISNUMBER($H$3)),IF(ROUND($H$3-R74,1)&gt;='설정'!$B$7,"교체 제안 → "&amp;$E$3&amp;" ("&amp;TEXT($H$3,"0.0")&amp;")","보유 유지"),"보유 유지"),"보유 · 점수 없음"),IF(AF74=1,IF(R74&gt;='설정'!$B$5,"편입 후보",""),"")))</f>
        <v/>
      </c>
      <c r="R74" s="15">
        <f>IF(AF74=1,ROUND(IF($B$3=1,50,(_xlfn.RANK.AVG(AO74,$AO$6:$AO$105,1)-1)/($B$3-1)*100),1),"")</f>
        <v/>
      </c>
      <c r="S74">
        <f>IF(A74="","",IF(AF74=1,_xlfn.TEXTJOIN(". ",TRUE,_xlfn.TEXTJOIN(", ",TRUE,IF(AK74&gt;='설정'!$B$20,"수익성 높음",""),IF(AL74&gt;='설정'!$B$20,"성장 빠름",""),IF(AM74&gt;='설정'!$B$20,"가격 쌈",""),IF(AN74&gt;='설정'!$B$20,"추세 좋음","")),_xlfn.TEXTJOIN(", ",TRUE,IF(AK74&lt;'설정'!$B$21,"수익성 낮음",""),IF(AL74&lt;'설정'!$B$21,"성장 느림",""),IF(AM74&lt;'설정'!$B$21,"가격 비쌈",""),IF(AN74&lt;'설정'!$B$21,"추세 약함","")),IF(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="","","보통: "&amp;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)),IF(X74="통과",AE74,X74)))</f>
        <v/>
      </c>
      <c r="T74">
        <f>IF(AF74=1,TEXT(Z74,"0.0%")&amp;" · 상위 "&amp;TEXT(($B$3-_xlfn.RANK.AVG(AG74,$AG$6:$AG$105,1)+1)/$B$3*100,"0")&amp;"%",IF(A74="","",IF(Z74="","결측",TEXT(Z74,"0.0%"))))</f>
        <v/>
      </c>
      <c r="U74">
        <f>IF(AF74=1,TEXT(AA74,"0.0%")&amp;" · 상위 "&amp;TEXT(($B$3-_xlfn.RANK.AVG(AH74,$AH$6:$AH$105,1)+1)/$B$3*100,"0")&amp;"%",IF(A74="","",IF(AA74="","결측",TEXT(AA74,"0.0%"))))</f>
        <v/>
      </c>
      <c r="V74">
        <f>IF(AF74=1,TEXT(AB74,"0.0%")&amp;" · 상위 "&amp;TEXT(($B$3-_xlfn.RANK.AVG(AI74,$AI$6:$AI$105,1)+1)/$B$3*100,"0")&amp;"%",IF(A74="","",IF(AB74="","결측",TEXT(AB74,"0.0%"))))</f>
        <v/>
      </c>
      <c r="W74">
        <f>IF(AF74=1,TEXT(AC74,"0.0%")&amp;" · 상위 "&amp;TEXT(($B$3-_xlfn.RANK.AVG(AJ74,$AJ$6:$AJ$105,1)+1)/$B$3*100,"0")&amp;"%",IF(A74="","",IF(AC74="","결측",TEXT(AC74,"0.0%"))))</f>
        <v/>
      </c>
      <c r="X74">
        <f>IF(A74="","",IF(AR74="","통과","제외: "&amp;AR74))</f>
        <v/>
      </c>
      <c r="Y74" s="21">
        <f>IF(AND(ISNUMBER(G74),ISNUMBER(H74)),IF(G74&gt;0,H74/G74,""),"")</f>
        <v/>
      </c>
      <c r="Z74" s="22">
        <f>IF(AND(ISNUMBER(F74),ISNUMBER(G74)),IF(G74&gt;0,F74/G74,""),"")</f>
        <v/>
      </c>
      <c r="AA74" s="22">
        <f>IF(AND(ISNUMBER(J74),ISNUMBER(K74)),IF(AND(J74&gt;0,K74&gt;0),(J74/K74)^(1/3)-1,""),"")</f>
        <v/>
      </c>
      <c r="AB74" s="22">
        <f>IF(AND(ISNUMBER(I74),ISNUMBER(L74),ISNUMBER(M74),ISNUMBER(N74)),IF((L74+M74-N74)&gt;0,I74/(L74+M74-N74),""),"")</f>
        <v/>
      </c>
      <c r="AC74" s="22">
        <f>IF(AND(ISNUMBER(O74),ISNUMBER(P74)),IF(AND(O74&gt;0,P74&gt;0),P74/O74-1,""),"")</f>
        <v/>
      </c>
      <c r="AD74">
        <f>_xlfn.TEXTJOIN(", ",TRUE,IF(Z74="","ROE",""),IF(AA74="","매출성장률",""),IF(AB74="","이익수익률",""),IF(AC74="","12-1 수익률",""))</f>
        <v/>
      </c>
      <c r="AE74">
        <f>IF(A74="","",IF(AR74&lt;&gt;"","점수 없음(거름망)",IF(AD74="","채점","점수 없음(결측: "&amp;AD74&amp;")")))</f>
        <v/>
      </c>
      <c r="AF74">
        <f>IF(AE74="채점",1,"")</f>
        <v/>
      </c>
      <c r="AG74">
        <f>IF(AF74=1,Z74,"")</f>
        <v/>
      </c>
      <c r="AH74">
        <f>IF(AF74=1,AA74,"")</f>
        <v/>
      </c>
      <c r="AI74">
        <f>IF(AF74=1,AB74,"")</f>
        <v/>
      </c>
      <c r="AJ74">
        <f>IF(AF74=1,AC74,"")</f>
        <v/>
      </c>
      <c r="AK74">
        <f>IF(AF74=1,IF($B$3=1,50,(_xlfn.RANK.AVG(AG74,$AG$6:$AG$105,1)-1)/($B$3-1)*100),"")</f>
        <v/>
      </c>
      <c r="AL74">
        <f>IF(AF74=1,IF($B$3=1,50,(_xlfn.RANK.AVG(AH74,$AH$6:$AH$105,1)-1)/($B$3-1)*100),"")</f>
        <v/>
      </c>
      <c r="AM74">
        <f>IF(AF74=1,IF($B$3=1,50,(_xlfn.RANK.AVG(AI74,$AI$6:$AI$105,1)-1)/($B$3-1)*100),"")</f>
        <v/>
      </c>
      <c r="AN74">
        <f>IF(AF74=1,IF($B$3=1,50,(_xlfn.RANK.AVG(AJ74,$AJ$6:$AJ$105,1)-1)/($B$3-1)*100),"")</f>
        <v/>
      </c>
      <c r="AO74">
        <f>IF(AF74=1,ROUND(AVERAGE(AK74:AN74),6),"")</f>
        <v/>
      </c>
      <c r="AP74">
        <f>IF(AND(AF74=1,C74&lt;&gt;"Y"),R74,"")</f>
        <v/>
      </c>
      <c r="AQ74">
        <f>IF(AND(ISNUMBER(AP74),Q74="편입 후보"),AP74+(1000-ROW())/1000000,"")</f>
        <v/>
      </c>
      <c r="AR74">
        <f>IF(A74="","",_xlfn.TEXTJOIN(", ",TRUE,IF(D74="Y","금융·리츠",""),IF(NOT(ISNUMBER(I74)),"영업이익 없음",IF(I74&lt;=0,"영업적자","")),IF(OR(NOT(ISNUMBER(G74)),NOT(ISNUMBER(H74))),"부채비율 자료 없음",IF(G74&lt;=0,"자본잠식",IF(H74/G74&gt;'설정'!$B$8,"부채비율 초과",""))),IF(NOT(ISNUMBER(L74)),"시총 없음",IF(L74&lt;'설정'!$B$9,"시총 미달",""))))</f>
        <v/>
      </c>
    </row>
    <row r="75">
      <c r="A75" s="18" t="n"/>
      <c r="B75" s="19" t="n"/>
      <c r="C75" s="19" t="n"/>
      <c r="D75" s="19" t="n"/>
      <c r="E75" s="19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7">
        <f>IF(A75="","",IF(C75="Y",IF(AF75=1,IF(AND(R75&lt;'설정'!$B$6,ISNUMBER($H$3)),IF(ROUND($H$3-R75,1)&gt;='설정'!$B$7,"교체 제안 → "&amp;$E$3&amp;" ("&amp;TEXT($H$3,"0.0")&amp;")","보유 유지"),"보유 유지"),"보유 · 점수 없음"),IF(AF75=1,IF(R75&gt;='설정'!$B$5,"편입 후보",""),"")))</f>
        <v/>
      </c>
      <c r="R75" s="15">
        <f>IF(AF75=1,ROUND(IF($B$3=1,50,(_xlfn.RANK.AVG(AO75,$AO$6:$AO$105,1)-1)/($B$3-1)*100),1),"")</f>
        <v/>
      </c>
      <c r="S75">
        <f>IF(A75="","",IF(AF75=1,_xlfn.TEXTJOIN(". ",TRUE,_xlfn.TEXTJOIN(", ",TRUE,IF(AK75&gt;='설정'!$B$20,"수익성 높음",""),IF(AL75&gt;='설정'!$B$20,"성장 빠름",""),IF(AM75&gt;='설정'!$B$20,"가격 쌈",""),IF(AN75&gt;='설정'!$B$20,"추세 좋음","")),_xlfn.TEXTJOIN(", ",TRUE,IF(AK75&lt;'설정'!$B$21,"수익성 낮음",""),IF(AL75&lt;'설정'!$B$21,"성장 느림",""),IF(AM75&lt;'설정'!$B$21,"가격 비쌈",""),IF(AN75&lt;'설정'!$B$21,"추세 약함","")),IF(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="","","보통: "&amp;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)),IF(X75="통과",AE75,X75)))</f>
        <v/>
      </c>
      <c r="T75">
        <f>IF(AF75=1,TEXT(Z75,"0.0%")&amp;" · 상위 "&amp;TEXT(($B$3-_xlfn.RANK.AVG(AG75,$AG$6:$AG$105,1)+1)/$B$3*100,"0")&amp;"%",IF(A75="","",IF(Z75="","결측",TEXT(Z75,"0.0%"))))</f>
        <v/>
      </c>
      <c r="U75">
        <f>IF(AF75=1,TEXT(AA75,"0.0%")&amp;" · 상위 "&amp;TEXT(($B$3-_xlfn.RANK.AVG(AH75,$AH$6:$AH$105,1)+1)/$B$3*100,"0")&amp;"%",IF(A75="","",IF(AA75="","결측",TEXT(AA75,"0.0%"))))</f>
        <v/>
      </c>
      <c r="V75">
        <f>IF(AF75=1,TEXT(AB75,"0.0%")&amp;" · 상위 "&amp;TEXT(($B$3-_xlfn.RANK.AVG(AI75,$AI$6:$AI$105,1)+1)/$B$3*100,"0")&amp;"%",IF(A75="","",IF(AB75="","결측",TEXT(AB75,"0.0%"))))</f>
        <v/>
      </c>
      <c r="W75">
        <f>IF(AF75=1,TEXT(AC75,"0.0%")&amp;" · 상위 "&amp;TEXT(($B$3-_xlfn.RANK.AVG(AJ75,$AJ$6:$AJ$105,1)+1)/$B$3*100,"0")&amp;"%",IF(A75="","",IF(AC75="","결측",TEXT(AC75,"0.0%"))))</f>
        <v/>
      </c>
      <c r="X75">
        <f>IF(A75="","",IF(AR75="","통과","제외: "&amp;AR75))</f>
        <v/>
      </c>
      <c r="Y75" s="21">
        <f>IF(AND(ISNUMBER(G75),ISNUMBER(H75)),IF(G75&gt;0,H75/G75,""),"")</f>
        <v/>
      </c>
      <c r="Z75" s="22">
        <f>IF(AND(ISNUMBER(F75),ISNUMBER(G75)),IF(G75&gt;0,F75/G75,""),"")</f>
        <v/>
      </c>
      <c r="AA75" s="22">
        <f>IF(AND(ISNUMBER(J75),ISNUMBER(K75)),IF(AND(J75&gt;0,K75&gt;0),(J75/K75)^(1/3)-1,""),"")</f>
        <v/>
      </c>
      <c r="AB75" s="22">
        <f>IF(AND(ISNUMBER(I75),ISNUMBER(L75),ISNUMBER(M75),ISNUMBER(N75)),IF((L75+M75-N75)&gt;0,I75/(L75+M75-N75),""),"")</f>
        <v/>
      </c>
      <c r="AC75" s="22">
        <f>IF(AND(ISNUMBER(O75),ISNUMBER(P75)),IF(AND(O75&gt;0,P75&gt;0),P75/O75-1,""),"")</f>
        <v/>
      </c>
      <c r="AD75">
        <f>_xlfn.TEXTJOIN(", ",TRUE,IF(Z75="","ROE",""),IF(AA75="","매출성장률",""),IF(AB75="","이익수익률",""),IF(AC75="","12-1 수익률",""))</f>
        <v/>
      </c>
      <c r="AE75">
        <f>IF(A75="","",IF(AR75&lt;&gt;"","점수 없음(거름망)",IF(AD75="","채점","점수 없음(결측: "&amp;AD75&amp;")")))</f>
        <v/>
      </c>
      <c r="AF75">
        <f>IF(AE75="채점",1,"")</f>
        <v/>
      </c>
      <c r="AG75">
        <f>IF(AF75=1,Z75,"")</f>
        <v/>
      </c>
      <c r="AH75">
        <f>IF(AF75=1,AA75,"")</f>
        <v/>
      </c>
      <c r="AI75">
        <f>IF(AF75=1,AB75,"")</f>
        <v/>
      </c>
      <c r="AJ75">
        <f>IF(AF75=1,AC75,"")</f>
        <v/>
      </c>
      <c r="AK75">
        <f>IF(AF75=1,IF($B$3=1,50,(_xlfn.RANK.AVG(AG75,$AG$6:$AG$105,1)-1)/($B$3-1)*100),"")</f>
        <v/>
      </c>
      <c r="AL75">
        <f>IF(AF75=1,IF($B$3=1,50,(_xlfn.RANK.AVG(AH75,$AH$6:$AH$105,1)-1)/($B$3-1)*100),"")</f>
        <v/>
      </c>
      <c r="AM75">
        <f>IF(AF75=1,IF($B$3=1,50,(_xlfn.RANK.AVG(AI75,$AI$6:$AI$105,1)-1)/($B$3-1)*100),"")</f>
        <v/>
      </c>
      <c r="AN75">
        <f>IF(AF75=1,IF($B$3=1,50,(_xlfn.RANK.AVG(AJ75,$AJ$6:$AJ$105,1)-1)/($B$3-1)*100),"")</f>
        <v/>
      </c>
      <c r="AO75">
        <f>IF(AF75=1,ROUND(AVERAGE(AK75:AN75),6),"")</f>
        <v/>
      </c>
      <c r="AP75">
        <f>IF(AND(AF75=1,C75&lt;&gt;"Y"),R75,"")</f>
        <v/>
      </c>
      <c r="AQ75">
        <f>IF(AND(ISNUMBER(AP75),Q75="편입 후보"),AP75+(1000-ROW())/1000000,"")</f>
        <v/>
      </c>
      <c r="AR75">
        <f>IF(A75="","",_xlfn.TEXTJOIN(", ",TRUE,IF(D75="Y","금융·리츠",""),IF(NOT(ISNUMBER(I75)),"영업이익 없음",IF(I75&lt;=0,"영업적자","")),IF(OR(NOT(ISNUMBER(G75)),NOT(ISNUMBER(H75))),"부채비율 자료 없음",IF(G75&lt;=0,"자본잠식",IF(H75/G75&gt;'설정'!$B$8,"부채비율 초과",""))),IF(NOT(ISNUMBER(L75)),"시총 없음",IF(L75&lt;'설정'!$B$9,"시총 미달",""))))</f>
        <v/>
      </c>
    </row>
    <row r="76">
      <c r="A76" s="18" t="n"/>
      <c r="B76" s="19" t="n"/>
      <c r="C76" s="19" t="n"/>
      <c r="D76" s="19" t="n"/>
      <c r="E76" s="19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7">
        <f>IF(A76="","",IF(C76="Y",IF(AF76=1,IF(AND(R76&lt;'설정'!$B$6,ISNUMBER($H$3)),IF(ROUND($H$3-R76,1)&gt;='설정'!$B$7,"교체 제안 → "&amp;$E$3&amp;" ("&amp;TEXT($H$3,"0.0")&amp;")","보유 유지"),"보유 유지"),"보유 · 점수 없음"),IF(AF76=1,IF(R76&gt;='설정'!$B$5,"편입 후보",""),"")))</f>
        <v/>
      </c>
      <c r="R76" s="15">
        <f>IF(AF76=1,ROUND(IF($B$3=1,50,(_xlfn.RANK.AVG(AO76,$AO$6:$AO$105,1)-1)/($B$3-1)*100),1),"")</f>
        <v/>
      </c>
      <c r="S76">
        <f>IF(A76="","",IF(AF76=1,_xlfn.TEXTJOIN(". ",TRUE,_xlfn.TEXTJOIN(", ",TRUE,IF(AK76&gt;='설정'!$B$20,"수익성 높음",""),IF(AL76&gt;='설정'!$B$20,"성장 빠름",""),IF(AM76&gt;='설정'!$B$20,"가격 쌈",""),IF(AN76&gt;='설정'!$B$20,"추세 좋음","")),_xlfn.TEXTJOIN(", ",TRUE,IF(AK76&lt;'설정'!$B$21,"수익성 낮음",""),IF(AL76&lt;'설정'!$B$21,"성장 느림",""),IF(AM76&lt;'설정'!$B$21,"가격 비쌈",""),IF(AN76&lt;'설정'!$B$21,"추세 약함","")),IF(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="","","보통: "&amp;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)),IF(X76="통과",AE76,X76)))</f>
        <v/>
      </c>
      <c r="T76">
        <f>IF(AF76=1,TEXT(Z76,"0.0%")&amp;" · 상위 "&amp;TEXT(($B$3-_xlfn.RANK.AVG(AG76,$AG$6:$AG$105,1)+1)/$B$3*100,"0")&amp;"%",IF(A76="","",IF(Z76="","결측",TEXT(Z76,"0.0%"))))</f>
        <v/>
      </c>
      <c r="U76">
        <f>IF(AF76=1,TEXT(AA76,"0.0%")&amp;" · 상위 "&amp;TEXT(($B$3-_xlfn.RANK.AVG(AH76,$AH$6:$AH$105,1)+1)/$B$3*100,"0")&amp;"%",IF(A76="","",IF(AA76="","결측",TEXT(AA76,"0.0%"))))</f>
        <v/>
      </c>
      <c r="V76">
        <f>IF(AF76=1,TEXT(AB76,"0.0%")&amp;" · 상위 "&amp;TEXT(($B$3-_xlfn.RANK.AVG(AI76,$AI$6:$AI$105,1)+1)/$B$3*100,"0")&amp;"%",IF(A76="","",IF(AB76="","결측",TEXT(AB76,"0.0%"))))</f>
        <v/>
      </c>
      <c r="W76">
        <f>IF(AF76=1,TEXT(AC76,"0.0%")&amp;" · 상위 "&amp;TEXT(($B$3-_xlfn.RANK.AVG(AJ76,$AJ$6:$AJ$105,1)+1)/$B$3*100,"0")&amp;"%",IF(A76="","",IF(AC76="","결측",TEXT(AC76,"0.0%"))))</f>
        <v/>
      </c>
      <c r="X76">
        <f>IF(A76="","",IF(AR76="","통과","제외: "&amp;AR76))</f>
        <v/>
      </c>
      <c r="Y76" s="21">
        <f>IF(AND(ISNUMBER(G76),ISNUMBER(H76)),IF(G76&gt;0,H76/G76,""),"")</f>
        <v/>
      </c>
      <c r="Z76" s="22">
        <f>IF(AND(ISNUMBER(F76),ISNUMBER(G76)),IF(G76&gt;0,F76/G76,""),"")</f>
        <v/>
      </c>
      <c r="AA76" s="22">
        <f>IF(AND(ISNUMBER(J76),ISNUMBER(K76)),IF(AND(J76&gt;0,K76&gt;0),(J76/K76)^(1/3)-1,""),"")</f>
        <v/>
      </c>
      <c r="AB76" s="22">
        <f>IF(AND(ISNUMBER(I76),ISNUMBER(L76),ISNUMBER(M76),ISNUMBER(N76)),IF((L76+M76-N76)&gt;0,I76/(L76+M76-N76),""),"")</f>
        <v/>
      </c>
      <c r="AC76" s="22">
        <f>IF(AND(ISNUMBER(O76),ISNUMBER(P76)),IF(AND(O76&gt;0,P76&gt;0),P76/O76-1,""),"")</f>
        <v/>
      </c>
      <c r="AD76">
        <f>_xlfn.TEXTJOIN(", ",TRUE,IF(Z76="","ROE",""),IF(AA76="","매출성장률",""),IF(AB76="","이익수익률",""),IF(AC76="","12-1 수익률",""))</f>
        <v/>
      </c>
      <c r="AE76">
        <f>IF(A76="","",IF(AR76&lt;&gt;"","점수 없음(거름망)",IF(AD76="","채점","점수 없음(결측: "&amp;AD76&amp;")")))</f>
        <v/>
      </c>
      <c r="AF76">
        <f>IF(AE76="채점",1,"")</f>
        <v/>
      </c>
      <c r="AG76">
        <f>IF(AF76=1,Z76,"")</f>
        <v/>
      </c>
      <c r="AH76">
        <f>IF(AF76=1,AA76,"")</f>
        <v/>
      </c>
      <c r="AI76">
        <f>IF(AF76=1,AB76,"")</f>
        <v/>
      </c>
      <c r="AJ76">
        <f>IF(AF76=1,AC76,"")</f>
        <v/>
      </c>
      <c r="AK76">
        <f>IF(AF76=1,IF($B$3=1,50,(_xlfn.RANK.AVG(AG76,$AG$6:$AG$105,1)-1)/($B$3-1)*100),"")</f>
        <v/>
      </c>
      <c r="AL76">
        <f>IF(AF76=1,IF($B$3=1,50,(_xlfn.RANK.AVG(AH76,$AH$6:$AH$105,1)-1)/($B$3-1)*100),"")</f>
        <v/>
      </c>
      <c r="AM76">
        <f>IF(AF76=1,IF($B$3=1,50,(_xlfn.RANK.AVG(AI76,$AI$6:$AI$105,1)-1)/($B$3-1)*100),"")</f>
        <v/>
      </c>
      <c r="AN76">
        <f>IF(AF76=1,IF($B$3=1,50,(_xlfn.RANK.AVG(AJ76,$AJ$6:$AJ$105,1)-1)/($B$3-1)*100),"")</f>
        <v/>
      </c>
      <c r="AO76">
        <f>IF(AF76=1,ROUND(AVERAGE(AK76:AN76),6),"")</f>
        <v/>
      </c>
      <c r="AP76">
        <f>IF(AND(AF76=1,C76&lt;&gt;"Y"),R76,"")</f>
        <v/>
      </c>
      <c r="AQ76">
        <f>IF(AND(ISNUMBER(AP76),Q76="편입 후보"),AP76+(1000-ROW())/1000000,"")</f>
        <v/>
      </c>
      <c r="AR76">
        <f>IF(A76="","",_xlfn.TEXTJOIN(", ",TRUE,IF(D76="Y","금융·리츠",""),IF(NOT(ISNUMBER(I76)),"영업이익 없음",IF(I76&lt;=0,"영업적자","")),IF(OR(NOT(ISNUMBER(G76)),NOT(ISNUMBER(H76))),"부채비율 자료 없음",IF(G76&lt;=0,"자본잠식",IF(H76/G76&gt;'설정'!$B$8,"부채비율 초과",""))),IF(NOT(ISNUMBER(L76)),"시총 없음",IF(L76&lt;'설정'!$B$9,"시총 미달",""))))</f>
        <v/>
      </c>
    </row>
    <row r="77">
      <c r="A77" s="18" t="n"/>
      <c r="B77" s="19" t="n"/>
      <c r="C77" s="19" t="n"/>
      <c r="D77" s="19" t="n"/>
      <c r="E77" s="19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7">
        <f>IF(A77="","",IF(C77="Y",IF(AF77=1,IF(AND(R77&lt;'설정'!$B$6,ISNUMBER($H$3)),IF(ROUND($H$3-R77,1)&gt;='설정'!$B$7,"교체 제안 → "&amp;$E$3&amp;" ("&amp;TEXT($H$3,"0.0")&amp;")","보유 유지"),"보유 유지"),"보유 · 점수 없음"),IF(AF77=1,IF(R77&gt;='설정'!$B$5,"편입 후보",""),"")))</f>
        <v/>
      </c>
      <c r="R77" s="15">
        <f>IF(AF77=1,ROUND(IF($B$3=1,50,(_xlfn.RANK.AVG(AO77,$AO$6:$AO$105,1)-1)/($B$3-1)*100),1),"")</f>
        <v/>
      </c>
      <c r="S77">
        <f>IF(A77="","",IF(AF77=1,_xlfn.TEXTJOIN(". ",TRUE,_xlfn.TEXTJOIN(", ",TRUE,IF(AK77&gt;='설정'!$B$20,"수익성 높음",""),IF(AL77&gt;='설정'!$B$20,"성장 빠름",""),IF(AM77&gt;='설정'!$B$20,"가격 쌈",""),IF(AN77&gt;='설정'!$B$20,"추세 좋음","")),_xlfn.TEXTJOIN(", ",TRUE,IF(AK77&lt;'설정'!$B$21,"수익성 낮음",""),IF(AL77&lt;'설정'!$B$21,"성장 느림",""),IF(AM77&lt;'설정'!$B$21,"가격 비쌈",""),IF(AN77&lt;'설정'!$B$21,"추세 약함","")),IF(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="","","보통: "&amp;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)),IF(X77="통과",AE77,X77)))</f>
        <v/>
      </c>
      <c r="T77">
        <f>IF(AF77=1,TEXT(Z77,"0.0%")&amp;" · 상위 "&amp;TEXT(($B$3-_xlfn.RANK.AVG(AG77,$AG$6:$AG$105,1)+1)/$B$3*100,"0")&amp;"%",IF(A77="","",IF(Z77="","결측",TEXT(Z77,"0.0%"))))</f>
        <v/>
      </c>
      <c r="U77">
        <f>IF(AF77=1,TEXT(AA77,"0.0%")&amp;" · 상위 "&amp;TEXT(($B$3-_xlfn.RANK.AVG(AH77,$AH$6:$AH$105,1)+1)/$B$3*100,"0")&amp;"%",IF(A77="","",IF(AA77="","결측",TEXT(AA77,"0.0%"))))</f>
        <v/>
      </c>
      <c r="V77">
        <f>IF(AF77=1,TEXT(AB77,"0.0%")&amp;" · 상위 "&amp;TEXT(($B$3-_xlfn.RANK.AVG(AI77,$AI$6:$AI$105,1)+1)/$B$3*100,"0")&amp;"%",IF(A77="","",IF(AB77="","결측",TEXT(AB77,"0.0%"))))</f>
        <v/>
      </c>
      <c r="W77">
        <f>IF(AF77=1,TEXT(AC77,"0.0%")&amp;" · 상위 "&amp;TEXT(($B$3-_xlfn.RANK.AVG(AJ77,$AJ$6:$AJ$105,1)+1)/$B$3*100,"0")&amp;"%",IF(A77="","",IF(AC77="","결측",TEXT(AC77,"0.0%"))))</f>
        <v/>
      </c>
      <c r="X77">
        <f>IF(A77="","",IF(AR77="","통과","제외: "&amp;AR77))</f>
        <v/>
      </c>
      <c r="Y77" s="21">
        <f>IF(AND(ISNUMBER(G77),ISNUMBER(H77)),IF(G77&gt;0,H77/G77,""),"")</f>
        <v/>
      </c>
      <c r="Z77" s="22">
        <f>IF(AND(ISNUMBER(F77),ISNUMBER(G77)),IF(G77&gt;0,F77/G77,""),"")</f>
        <v/>
      </c>
      <c r="AA77" s="22">
        <f>IF(AND(ISNUMBER(J77),ISNUMBER(K77)),IF(AND(J77&gt;0,K77&gt;0),(J77/K77)^(1/3)-1,""),"")</f>
        <v/>
      </c>
      <c r="AB77" s="22">
        <f>IF(AND(ISNUMBER(I77),ISNUMBER(L77),ISNUMBER(M77),ISNUMBER(N77)),IF((L77+M77-N77)&gt;0,I77/(L77+M77-N77),""),"")</f>
        <v/>
      </c>
      <c r="AC77" s="22">
        <f>IF(AND(ISNUMBER(O77),ISNUMBER(P77)),IF(AND(O77&gt;0,P77&gt;0),P77/O77-1,""),"")</f>
        <v/>
      </c>
      <c r="AD77">
        <f>_xlfn.TEXTJOIN(", ",TRUE,IF(Z77="","ROE",""),IF(AA77="","매출성장률",""),IF(AB77="","이익수익률",""),IF(AC77="","12-1 수익률",""))</f>
        <v/>
      </c>
      <c r="AE77">
        <f>IF(A77="","",IF(AR77&lt;&gt;"","점수 없음(거름망)",IF(AD77="","채점","점수 없음(결측: "&amp;AD77&amp;")")))</f>
        <v/>
      </c>
      <c r="AF77">
        <f>IF(AE77="채점",1,"")</f>
        <v/>
      </c>
      <c r="AG77">
        <f>IF(AF77=1,Z77,"")</f>
        <v/>
      </c>
      <c r="AH77">
        <f>IF(AF77=1,AA77,"")</f>
        <v/>
      </c>
      <c r="AI77">
        <f>IF(AF77=1,AB77,"")</f>
        <v/>
      </c>
      <c r="AJ77">
        <f>IF(AF77=1,AC77,"")</f>
        <v/>
      </c>
      <c r="AK77">
        <f>IF(AF77=1,IF($B$3=1,50,(_xlfn.RANK.AVG(AG77,$AG$6:$AG$105,1)-1)/($B$3-1)*100),"")</f>
        <v/>
      </c>
      <c r="AL77">
        <f>IF(AF77=1,IF($B$3=1,50,(_xlfn.RANK.AVG(AH77,$AH$6:$AH$105,1)-1)/($B$3-1)*100),"")</f>
        <v/>
      </c>
      <c r="AM77">
        <f>IF(AF77=1,IF($B$3=1,50,(_xlfn.RANK.AVG(AI77,$AI$6:$AI$105,1)-1)/($B$3-1)*100),"")</f>
        <v/>
      </c>
      <c r="AN77">
        <f>IF(AF77=1,IF($B$3=1,50,(_xlfn.RANK.AVG(AJ77,$AJ$6:$AJ$105,1)-1)/($B$3-1)*100),"")</f>
        <v/>
      </c>
      <c r="AO77">
        <f>IF(AF77=1,ROUND(AVERAGE(AK77:AN77),6),"")</f>
        <v/>
      </c>
      <c r="AP77">
        <f>IF(AND(AF77=1,C77&lt;&gt;"Y"),R77,"")</f>
        <v/>
      </c>
      <c r="AQ77">
        <f>IF(AND(ISNUMBER(AP77),Q77="편입 후보"),AP77+(1000-ROW())/1000000,"")</f>
        <v/>
      </c>
      <c r="AR77">
        <f>IF(A77="","",_xlfn.TEXTJOIN(", ",TRUE,IF(D77="Y","금융·리츠",""),IF(NOT(ISNUMBER(I77)),"영업이익 없음",IF(I77&lt;=0,"영업적자","")),IF(OR(NOT(ISNUMBER(G77)),NOT(ISNUMBER(H77))),"부채비율 자료 없음",IF(G77&lt;=0,"자본잠식",IF(H77/G77&gt;'설정'!$B$8,"부채비율 초과",""))),IF(NOT(ISNUMBER(L77)),"시총 없음",IF(L77&lt;'설정'!$B$9,"시총 미달",""))))</f>
        <v/>
      </c>
    </row>
    <row r="78">
      <c r="A78" s="18" t="n"/>
      <c r="B78" s="19" t="n"/>
      <c r="C78" s="19" t="n"/>
      <c r="D78" s="19" t="n"/>
      <c r="E78" s="19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7">
        <f>IF(A78="","",IF(C78="Y",IF(AF78=1,IF(AND(R78&lt;'설정'!$B$6,ISNUMBER($H$3)),IF(ROUND($H$3-R78,1)&gt;='설정'!$B$7,"교체 제안 → "&amp;$E$3&amp;" ("&amp;TEXT($H$3,"0.0")&amp;")","보유 유지"),"보유 유지"),"보유 · 점수 없음"),IF(AF78=1,IF(R78&gt;='설정'!$B$5,"편입 후보",""),"")))</f>
        <v/>
      </c>
      <c r="R78" s="15">
        <f>IF(AF78=1,ROUND(IF($B$3=1,50,(_xlfn.RANK.AVG(AO78,$AO$6:$AO$105,1)-1)/($B$3-1)*100),1),"")</f>
        <v/>
      </c>
      <c r="S78">
        <f>IF(A78="","",IF(AF78=1,_xlfn.TEXTJOIN(". ",TRUE,_xlfn.TEXTJOIN(", ",TRUE,IF(AK78&gt;='설정'!$B$20,"수익성 높음",""),IF(AL78&gt;='설정'!$B$20,"성장 빠름",""),IF(AM78&gt;='설정'!$B$20,"가격 쌈",""),IF(AN78&gt;='설정'!$B$20,"추세 좋음","")),_xlfn.TEXTJOIN(", ",TRUE,IF(AK78&lt;'설정'!$B$21,"수익성 낮음",""),IF(AL78&lt;'설정'!$B$21,"성장 느림",""),IF(AM78&lt;'설정'!$B$21,"가격 비쌈",""),IF(AN78&lt;'설정'!$B$21,"추세 약함","")),IF(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="","","보통: "&amp;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)),IF(X78="통과",AE78,X78)))</f>
        <v/>
      </c>
      <c r="T78">
        <f>IF(AF78=1,TEXT(Z78,"0.0%")&amp;" · 상위 "&amp;TEXT(($B$3-_xlfn.RANK.AVG(AG78,$AG$6:$AG$105,1)+1)/$B$3*100,"0")&amp;"%",IF(A78="","",IF(Z78="","결측",TEXT(Z78,"0.0%"))))</f>
        <v/>
      </c>
      <c r="U78">
        <f>IF(AF78=1,TEXT(AA78,"0.0%")&amp;" · 상위 "&amp;TEXT(($B$3-_xlfn.RANK.AVG(AH78,$AH$6:$AH$105,1)+1)/$B$3*100,"0")&amp;"%",IF(A78="","",IF(AA78="","결측",TEXT(AA78,"0.0%"))))</f>
        <v/>
      </c>
      <c r="V78">
        <f>IF(AF78=1,TEXT(AB78,"0.0%")&amp;" · 상위 "&amp;TEXT(($B$3-_xlfn.RANK.AVG(AI78,$AI$6:$AI$105,1)+1)/$B$3*100,"0")&amp;"%",IF(A78="","",IF(AB78="","결측",TEXT(AB78,"0.0%"))))</f>
        <v/>
      </c>
      <c r="W78">
        <f>IF(AF78=1,TEXT(AC78,"0.0%")&amp;" · 상위 "&amp;TEXT(($B$3-_xlfn.RANK.AVG(AJ78,$AJ$6:$AJ$105,1)+1)/$B$3*100,"0")&amp;"%",IF(A78="","",IF(AC78="","결측",TEXT(AC78,"0.0%"))))</f>
        <v/>
      </c>
      <c r="X78">
        <f>IF(A78="","",IF(AR78="","통과","제외: "&amp;AR78))</f>
        <v/>
      </c>
      <c r="Y78" s="21">
        <f>IF(AND(ISNUMBER(G78),ISNUMBER(H78)),IF(G78&gt;0,H78/G78,""),"")</f>
        <v/>
      </c>
      <c r="Z78" s="22">
        <f>IF(AND(ISNUMBER(F78),ISNUMBER(G78)),IF(G78&gt;0,F78/G78,""),"")</f>
        <v/>
      </c>
      <c r="AA78" s="22">
        <f>IF(AND(ISNUMBER(J78),ISNUMBER(K78)),IF(AND(J78&gt;0,K78&gt;0),(J78/K78)^(1/3)-1,""),"")</f>
        <v/>
      </c>
      <c r="AB78" s="22">
        <f>IF(AND(ISNUMBER(I78),ISNUMBER(L78),ISNUMBER(M78),ISNUMBER(N78)),IF((L78+M78-N78)&gt;0,I78/(L78+M78-N78),""),"")</f>
        <v/>
      </c>
      <c r="AC78" s="22">
        <f>IF(AND(ISNUMBER(O78),ISNUMBER(P78)),IF(AND(O78&gt;0,P78&gt;0),P78/O78-1,""),"")</f>
        <v/>
      </c>
      <c r="AD78">
        <f>_xlfn.TEXTJOIN(", ",TRUE,IF(Z78="","ROE",""),IF(AA78="","매출성장률",""),IF(AB78="","이익수익률",""),IF(AC78="","12-1 수익률",""))</f>
        <v/>
      </c>
      <c r="AE78">
        <f>IF(A78="","",IF(AR78&lt;&gt;"","점수 없음(거름망)",IF(AD78="","채점","점수 없음(결측: "&amp;AD78&amp;")")))</f>
        <v/>
      </c>
      <c r="AF78">
        <f>IF(AE78="채점",1,"")</f>
        <v/>
      </c>
      <c r="AG78">
        <f>IF(AF78=1,Z78,"")</f>
        <v/>
      </c>
      <c r="AH78">
        <f>IF(AF78=1,AA78,"")</f>
        <v/>
      </c>
      <c r="AI78">
        <f>IF(AF78=1,AB78,"")</f>
        <v/>
      </c>
      <c r="AJ78">
        <f>IF(AF78=1,AC78,"")</f>
        <v/>
      </c>
      <c r="AK78">
        <f>IF(AF78=1,IF($B$3=1,50,(_xlfn.RANK.AVG(AG78,$AG$6:$AG$105,1)-1)/($B$3-1)*100),"")</f>
        <v/>
      </c>
      <c r="AL78">
        <f>IF(AF78=1,IF($B$3=1,50,(_xlfn.RANK.AVG(AH78,$AH$6:$AH$105,1)-1)/($B$3-1)*100),"")</f>
        <v/>
      </c>
      <c r="AM78">
        <f>IF(AF78=1,IF($B$3=1,50,(_xlfn.RANK.AVG(AI78,$AI$6:$AI$105,1)-1)/($B$3-1)*100),"")</f>
        <v/>
      </c>
      <c r="AN78">
        <f>IF(AF78=1,IF($B$3=1,50,(_xlfn.RANK.AVG(AJ78,$AJ$6:$AJ$105,1)-1)/($B$3-1)*100),"")</f>
        <v/>
      </c>
      <c r="AO78">
        <f>IF(AF78=1,ROUND(AVERAGE(AK78:AN78),6),"")</f>
        <v/>
      </c>
      <c r="AP78">
        <f>IF(AND(AF78=1,C78&lt;&gt;"Y"),R78,"")</f>
        <v/>
      </c>
      <c r="AQ78">
        <f>IF(AND(ISNUMBER(AP78),Q78="편입 후보"),AP78+(1000-ROW())/1000000,"")</f>
        <v/>
      </c>
      <c r="AR78">
        <f>IF(A78="","",_xlfn.TEXTJOIN(", ",TRUE,IF(D78="Y","금융·리츠",""),IF(NOT(ISNUMBER(I78)),"영업이익 없음",IF(I78&lt;=0,"영업적자","")),IF(OR(NOT(ISNUMBER(G78)),NOT(ISNUMBER(H78))),"부채비율 자료 없음",IF(G78&lt;=0,"자본잠식",IF(H78/G78&gt;'설정'!$B$8,"부채비율 초과",""))),IF(NOT(ISNUMBER(L78)),"시총 없음",IF(L78&lt;'설정'!$B$9,"시총 미달",""))))</f>
        <v/>
      </c>
    </row>
    <row r="79">
      <c r="A79" s="18" t="n"/>
      <c r="B79" s="19" t="n"/>
      <c r="C79" s="19" t="n"/>
      <c r="D79" s="19" t="n"/>
      <c r="E79" s="19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7">
        <f>IF(A79="","",IF(C79="Y",IF(AF79=1,IF(AND(R79&lt;'설정'!$B$6,ISNUMBER($H$3)),IF(ROUND($H$3-R79,1)&gt;='설정'!$B$7,"교체 제안 → "&amp;$E$3&amp;" ("&amp;TEXT($H$3,"0.0")&amp;")","보유 유지"),"보유 유지"),"보유 · 점수 없음"),IF(AF79=1,IF(R79&gt;='설정'!$B$5,"편입 후보",""),"")))</f>
        <v/>
      </c>
      <c r="R79" s="15">
        <f>IF(AF79=1,ROUND(IF($B$3=1,50,(_xlfn.RANK.AVG(AO79,$AO$6:$AO$105,1)-1)/($B$3-1)*100),1),"")</f>
        <v/>
      </c>
      <c r="S79">
        <f>IF(A79="","",IF(AF79=1,_xlfn.TEXTJOIN(". ",TRUE,_xlfn.TEXTJOIN(", ",TRUE,IF(AK79&gt;='설정'!$B$20,"수익성 높음",""),IF(AL79&gt;='설정'!$B$20,"성장 빠름",""),IF(AM79&gt;='설정'!$B$20,"가격 쌈",""),IF(AN79&gt;='설정'!$B$20,"추세 좋음","")),_xlfn.TEXTJOIN(", ",TRUE,IF(AK79&lt;'설정'!$B$21,"수익성 낮음",""),IF(AL79&lt;'설정'!$B$21,"성장 느림",""),IF(AM79&lt;'설정'!$B$21,"가격 비쌈",""),IF(AN79&lt;'설정'!$B$21,"추세 약함","")),IF(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="","","보통: "&amp;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)),IF(X79="통과",AE79,X79)))</f>
        <v/>
      </c>
      <c r="T79">
        <f>IF(AF79=1,TEXT(Z79,"0.0%")&amp;" · 상위 "&amp;TEXT(($B$3-_xlfn.RANK.AVG(AG79,$AG$6:$AG$105,1)+1)/$B$3*100,"0")&amp;"%",IF(A79="","",IF(Z79="","결측",TEXT(Z79,"0.0%"))))</f>
        <v/>
      </c>
      <c r="U79">
        <f>IF(AF79=1,TEXT(AA79,"0.0%")&amp;" · 상위 "&amp;TEXT(($B$3-_xlfn.RANK.AVG(AH79,$AH$6:$AH$105,1)+1)/$B$3*100,"0")&amp;"%",IF(A79="","",IF(AA79="","결측",TEXT(AA79,"0.0%"))))</f>
        <v/>
      </c>
      <c r="V79">
        <f>IF(AF79=1,TEXT(AB79,"0.0%")&amp;" · 상위 "&amp;TEXT(($B$3-_xlfn.RANK.AVG(AI79,$AI$6:$AI$105,1)+1)/$B$3*100,"0")&amp;"%",IF(A79="","",IF(AB79="","결측",TEXT(AB79,"0.0%"))))</f>
        <v/>
      </c>
      <c r="W79">
        <f>IF(AF79=1,TEXT(AC79,"0.0%")&amp;" · 상위 "&amp;TEXT(($B$3-_xlfn.RANK.AVG(AJ79,$AJ$6:$AJ$105,1)+1)/$B$3*100,"0")&amp;"%",IF(A79="","",IF(AC79="","결측",TEXT(AC79,"0.0%"))))</f>
        <v/>
      </c>
      <c r="X79">
        <f>IF(A79="","",IF(AR79="","통과","제외: "&amp;AR79))</f>
        <v/>
      </c>
      <c r="Y79" s="21">
        <f>IF(AND(ISNUMBER(G79),ISNUMBER(H79)),IF(G79&gt;0,H79/G79,""),"")</f>
        <v/>
      </c>
      <c r="Z79" s="22">
        <f>IF(AND(ISNUMBER(F79),ISNUMBER(G79)),IF(G79&gt;0,F79/G79,""),"")</f>
        <v/>
      </c>
      <c r="AA79" s="22">
        <f>IF(AND(ISNUMBER(J79),ISNUMBER(K79)),IF(AND(J79&gt;0,K79&gt;0),(J79/K79)^(1/3)-1,""),"")</f>
        <v/>
      </c>
      <c r="AB79" s="22">
        <f>IF(AND(ISNUMBER(I79),ISNUMBER(L79),ISNUMBER(M79),ISNUMBER(N79)),IF((L79+M79-N79)&gt;0,I79/(L79+M79-N79),""),"")</f>
        <v/>
      </c>
      <c r="AC79" s="22">
        <f>IF(AND(ISNUMBER(O79),ISNUMBER(P79)),IF(AND(O79&gt;0,P79&gt;0),P79/O79-1,""),"")</f>
        <v/>
      </c>
      <c r="AD79">
        <f>_xlfn.TEXTJOIN(", ",TRUE,IF(Z79="","ROE",""),IF(AA79="","매출성장률",""),IF(AB79="","이익수익률",""),IF(AC79="","12-1 수익률",""))</f>
        <v/>
      </c>
      <c r="AE79">
        <f>IF(A79="","",IF(AR79&lt;&gt;"","점수 없음(거름망)",IF(AD79="","채점","점수 없음(결측: "&amp;AD79&amp;")")))</f>
        <v/>
      </c>
      <c r="AF79">
        <f>IF(AE79="채점",1,"")</f>
        <v/>
      </c>
      <c r="AG79">
        <f>IF(AF79=1,Z79,"")</f>
        <v/>
      </c>
      <c r="AH79">
        <f>IF(AF79=1,AA79,"")</f>
        <v/>
      </c>
      <c r="AI79">
        <f>IF(AF79=1,AB79,"")</f>
        <v/>
      </c>
      <c r="AJ79">
        <f>IF(AF79=1,AC79,"")</f>
        <v/>
      </c>
      <c r="AK79">
        <f>IF(AF79=1,IF($B$3=1,50,(_xlfn.RANK.AVG(AG79,$AG$6:$AG$105,1)-1)/($B$3-1)*100),"")</f>
        <v/>
      </c>
      <c r="AL79">
        <f>IF(AF79=1,IF($B$3=1,50,(_xlfn.RANK.AVG(AH79,$AH$6:$AH$105,1)-1)/($B$3-1)*100),"")</f>
        <v/>
      </c>
      <c r="AM79">
        <f>IF(AF79=1,IF($B$3=1,50,(_xlfn.RANK.AVG(AI79,$AI$6:$AI$105,1)-1)/($B$3-1)*100),"")</f>
        <v/>
      </c>
      <c r="AN79">
        <f>IF(AF79=1,IF($B$3=1,50,(_xlfn.RANK.AVG(AJ79,$AJ$6:$AJ$105,1)-1)/($B$3-1)*100),"")</f>
        <v/>
      </c>
      <c r="AO79">
        <f>IF(AF79=1,ROUND(AVERAGE(AK79:AN79),6),"")</f>
        <v/>
      </c>
      <c r="AP79">
        <f>IF(AND(AF79=1,C79&lt;&gt;"Y"),R79,"")</f>
        <v/>
      </c>
      <c r="AQ79">
        <f>IF(AND(ISNUMBER(AP79),Q79="편입 후보"),AP79+(1000-ROW())/1000000,"")</f>
        <v/>
      </c>
      <c r="AR79">
        <f>IF(A79="","",_xlfn.TEXTJOIN(", ",TRUE,IF(D79="Y","금융·리츠",""),IF(NOT(ISNUMBER(I79)),"영업이익 없음",IF(I79&lt;=0,"영업적자","")),IF(OR(NOT(ISNUMBER(G79)),NOT(ISNUMBER(H79))),"부채비율 자료 없음",IF(G79&lt;=0,"자본잠식",IF(H79/G79&gt;'설정'!$B$8,"부채비율 초과",""))),IF(NOT(ISNUMBER(L79)),"시총 없음",IF(L79&lt;'설정'!$B$9,"시총 미달",""))))</f>
        <v/>
      </c>
    </row>
    <row r="80">
      <c r="A80" s="18" t="n"/>
      <c r="B80" s="19" t="n"/>
      <c r="C80" s="19" t="n"/>
      <c r="D80" s="19" t="n"/>
      <c r="E80" s="19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7">
        <f>IF(A80="","",IF(C80="Y",IF(AF80=1,IF(AND(R80&lt;'설정'!$B$6,ISNUMBER($H$3)),IF(ROUND($H$3-R80,1)&gt;='설정'!$B$7,"교체 제안 → "&amp;$E$3&amp;" ("&amp;TEXT($H$3,"0.0")&amp;")","보유 유지"),"보유 유지"),"보유 · 점수 없음"),IF(AF80=1,IF(R80&gt;='설정'!$B$5,"편입 후보",""),"")))</f>
        <v/>
      </c>
      <c r="R80" s="15">
        <f>IF(AF80=1,ROUND(IF($B$3=1,50,(_xlfn.RANK.AVG(AO80,$AO$6:$AO$105,1)-1)/($B$3-1)*100),1),"")</f>
        <v/>
      </c>
      <c r="S80">
        <f>IF(A80="","",IF(AF80=1,_xlfn.TEXTJOIN(". ",TRUE,_xlfn.TEXTJOIN(", ",TRUE,IF(AK80&gt;='설정'!$B$20,"수익성 높음",""),IF(AL80&gt;='설정'!$B$20,"성장 빠름",""),IF(AM80&gt;='설정'!$B$20,"가격 쌈",""),IF(AN80&gt;='설정'!$B$20,"추세 좋음","")),_xlfn.TEXTJOIN(", ",TRUE,IF(AK80&lt;'설정'!$B$21,"수익성 낮음",""),IF(AL80&lt;'설정'!$B$21,"성장 느림",""),IF(AM80&lt;'설정'!$B$21,"가격 비쌈",""),IF(AN80&lt;'설정'!$B$21,"추세 약함","")),IF(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="","","보통: "&amp;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)),IF(X80="통과",AE80,X80)))</f>
        <v/>
      </c>
      <c r="T80">
        <f>IF(AF80=1,TEXT(Z80,"0.0%")&amp;" · 상위 "&amp;TEXT(($B$3-_xlfn.RANK.AVG(AG80,$AG$6:$AG$105,1)+1)/$B$3*100,"0")&amp;"%",IF(A80="","",IF(Z80="","결측",TEXT(Z80,"0.0%"))))</f>
        <v/>
      </c>
      <c r="U80">
        <f>IF(AF80=1,TEXT(AA80,"0.0%")&amp;" · 상위 "&amp;TEXT(($B$3-_xlfn.RANK.AVG(AH80,$AH$6:$AH$105,1)+1)/$B$3*100,"0")&amp;"%",IF(A80="","",IF(AA80="","결측",TEXT(AA80,"0.0%"))))</f>
        <v/>
      </c>
      <c r="V80">
        <f>IF(AF80=1,TEXT(AB80,"0.0%")&amp;" · 상위 "&amp;TEXT(($B$3-_xlfn.RANK.AVG(AI80,$AI$6:$AI$105,1)+1)/$B$3*100,"0")&amp;"%",IF(A80="","",IF(AB80="","결측",TEXT(AB80,"0.0%"))))</f>
        <v/>
      </c>
      <c r="W80">
        <f>IF(AF80=1,TEXT(AC80,"0.0%")&amp;" · 상위 "&amp;TEXT(($B$3-_xlfn.RANK.AVG(AJ80,$AJ$6:$AJ$105,1)+1)/$B$3*100,"0")&amp;"%",IF(A80="","",IF(AC80="","결측",TEXT(AC80,"0.0%"))))</f>
        <v/>
      </c>
      <c r="X80">
        <f>IF(A80="","",IF(AR80="","통과","제외: "&amp;AR80))</f>
        <v/>
      </c>
      <c r="Y80" s="21">
        <f>IF(AND(ISNUMBER(G80),ISNUMBER(H80)),IF(G80&gt;0,H80/G80,""),"")</f>
        <v/>
      </c>
      <c r="Z80" s="22">
        <f>IF(AND(ISNUMBER(F80),ISNUMBER(G80)),IF(G80&gt;0,F80/G80,""),"")</f>
        <v/>
      </c>
      <c r="AA80" s="22">
        <f>IF(AND(ISNUMBER(J80),ISNUMBER(K80)),IF(AND(J80&gt;0,K80&gt;0),(J80/K80)^(1/3)-1,""),"")</f>
        <v/>
      </c>
      <c r="AB80" s="22">
        <f>IF(AND(ISNUMBER(I80),ISNUMBER(L80),ISNUMBER(M80),ISNUMBER(N80)),IF((L80+M80-N80)&gt;0,I80/(L80+M80-N80),""),"")</f>
        <v/>
      </c>
      <c r="AC80" s="22">
        <f>IF(AND(ISNUMBER(O80),ISNUMBER(P80)),IF(AND(O80&gt;0,P80&gt;0),P80/O80-1,""),"")</f>
        <v/>
      </c>
      <c r="AD80">
        <f>_xlfn.TEXTJOIN(", ",TRUE,IF(Z80="","ROE",""),IF(AA80="","매출성장률",""),IF(AB80="","이익수익률",""),IF(AC80="","12-1 수익률",""))</f>
        <v/>
      </c>
      <c r="AE80">
        <f>IF(A80="","",IF(AR80&lt;&gt;"","점수 없음(거름망)",IF(AD80="","채점","점수 없음(결측: "&amp;AD80&amp;")")))</f>
        <v/>
      </c>
      <c r="AF80">
        <f>IF(AE80="채점",1,"")</f>
        <v/>
      </c>
      <c r="AG80">
        <f>IF(AF80=1,Z80,"")</f>
        <v/>
      </c>
      <c r="AH80">
        <f>IF(AF80=1,AA80,"")</f>
        <v/>
      </c>
      <c r="AI80">
        <f>IF(AF80=1,AB80,"")</f>
        <v/>
      </c>
      <c r="AJ80">
        <f>IF(AF80=1,AC80,"")</f>
        <v/>
      </c>
      <c r="AK80">
        <f>IF(AF80=1,IF($B$3=1,50,(_xlfn.RANK.AVG(AG80,$AG$6:$AG$105,1)-1)/($B$3-1)*100),"")</f>
        <v/>
      </c>
      <c r="AL80">
        <f>IF(AF80=1,IF($B$3=1,50,(_xlfn.RANK.AVG(AH80,$AH$6:$AH$105,1)-1)/($B$3-1)*100),"")</f>
        <v/>
      </c>
      <c r="AM80">
        <f>IF(AF80=1,IF($B$3=1,50,(_xlfn.RANK.AVG(AI80,$AI$6:$AI$105,1)-1)/($B$3-1)*100),"")</f>
        <v/>
      </c>
      <c r="AN80">
        <f>IF(AF80=1,IF($B$3=1,50,(_xlfn.RANK.AVG(AJ80,$AJ$6:$AJ$105,1)-1)/($B$3-1)*100),"")</f>
        <v/>
      </c>
      <c r="AO80">
        <f>IF(AF80=1,ROUND(AVERAGE(AK80:AN80),6),"")</f>
        <v/>
      </c>
      <c r="AP80">
        <f>IF(AND(AF80=1,C80&lt;&gt;"Y"),R80,"")</f>
        <v/>
      </c>
      <c r="AQ80">
        <f>IF(AND(ISNUMBER(AP80),Q80="편입 후보"),AP80+(1000-ROW())/1000000,"")</f>
        <v/>
      </c>
      <c r="AR80">
        <f>IF(A80="","",_xlfn.TEXTJOIN(", ",TRUE,IF(D80="Y","금융·리츠",""),IF(NOT(ISNUMBER(I80)),"영업이익 없음",IF(I80&lt;=0,"영업적자","")),IF(OR(NOT(ISNUMBER(G80)),NOT(ISNUMBER(H80))),"부채비율 자료 없음",IF(G80&lt;=0,"자본잠식",IF(H80/G80&gt;'설정'!$B$8,"부채비율 초과",""))),IF(NOT(ISNUMBER(L80)),"시총 없음",IF(L80&lt;'설정'!$B$9,"시총 미달",""))))</f>
        <v/>
      </c>
    </row>
    <row r="81">
      <c r="A81" s="18" t="n"/>
      <c r="B81" s="19" t="n"/>
      <c r="C81" s="19" t="n"/>
      <c r="D81" s="19" t="n"/>
      <c r="E81" s="19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7">
        <f>IF(A81="","",IF(C81="Y",IF(AF81=1,IF(AND(R81&lt;'설정'!$B$6,ISNUMBER($H$3)),IF(ROUND($H$3-R81,1)&gt;='설정'!$B$7,"교체 제안 → "&amp;$E$3&amp;" ("&amp;TEXT($H$3,"0.0")&amp;")","보유 유지"),"보유 유지"),"보유 · 점수 없음"),IF(AF81=1,IF(R81&gt;='설정'!$B$5,"편입 후보",""),"")))</f>
        <v/>
      </c>
      <c r="R81" s="15">
        <f>IF(AF81=1,ROUND(IF($B$3=1,50,(_xlfn.RANK.AVG(AO81,$AO$6:$AO$105,1)-1)/($B$3-1)*100),1),"")</f>
        <v/>
      </c>
      <c r="S81">
        <f>IF(A81="","",IF(AF81=1,_xlfn.TEXTJOIN(". ",TRUE,_xlfn.TEXTJOIN(", ",TRUE,IF(AK81&gt;='설정'!$B$20,"수익성 높음",""),IF(AL81&gt;='설정'!$B$20,"성장 빠름",""),IF(AM81&gt;='설정'!$B$20,"가격 쌈",""),IF(AN81&gt;='설정'!$B$20,"추세 좋음","")),_xlfn.TEXTJOIN(", ",TRUE,IF(AK81&lt;'설정'!$B$21,"수익성 낮음",""),IF(AL81&lt;'설정'!$B$21,"성장 느림",""),IF(AM81&lt;'설정'!$B$21,"가격 비쌈",""),IF(AN81&lt;'설정'!$B$21,"추세 약함","")),IF(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="","","보통: "&amp;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)),IF(X81="통과",AE81,X81)))</f>
        <v/>
      </c>
      <c r="T81">
        <f>IF(AF81=1,TEXT(Z81,"0.0%")&amp;" · 상위 "&amp;TEXT(($B$3-_xlfn.RANK.AVG(AG81,$AG$6:$AG$105,1)+1)/$B$3*100,"0")&amp;"%",IF(A81="","",IF(Z81="","결측",TEXT(Z81,"0.0%"))))</f>
        <v/>
      </c>
      <c r="U81">
        <f>IF(AF81=1,TEXT(AA81,"0.0%")&amp;" · 상위 "&amp;TEXT(($B$3-_xlfn.RANK.AVG(AH81,$AH$6:$AH$105,1)+1)/$B$3*100,"0")&amp;"%",IF(A81="","",IF(AA81="","결측",TEXT(AA81,"0.0%"))))</f>
        <v/>
      </c>
      <c r="V81">
        <f>IF(AF81=1,TEXT(AB81,"0.0%")&amp;" · 상위 "&amp;TEXT(($B$3-_xlfn.RANK.AVG(AI81,$AI$6:$AI$105,1)+1)/$B$3*100,"0")&amp;"%",IF(A81="","",IF(AB81="","결측",TEXT(AB81,"0.0%"))))</f>
        <v/>
      </c>
      <c r="W81">
        <f>IF(AF81=1,TEXT(AC81,"0.0%")&amp;" · 상위 "&amp;TEXT(($B$3-_xlfn.RANK.AVG(AJ81,$AJ$6:$AJ$105,1)+1)/$B$3*100,"0")&amp;"%",IF(A81="","",IF(AC81="","결측",TEXT(AC81,"0.0%"))))</f>
        <v/>
      </c>
      <c r="X81">
        <f>IF(A81="","",IF(AR81="","통과","제외: "&amp;AR81))</f>
        <v/>
      </c>
      <c r="Y81" s="21">
        <f>IF(AND(ISNUMBER(G81),ISNUMBER(H81)),IF(G81&gt;0,H81/G81,""),"")</f>
        <v/>
      </c>
      <c r="Z81" s="22">
        <f>IF(AND(ISNUMBER(F81),ISNUMBER(G81)),IF(G81&gt;0,F81/G81,""),"")</f>
        <v/>
      </c>
      <c r="AA81" s="22">
        <f>IF(AND(ISNUMBER(J81),ISNUMBER(K81)),IF(AND(J81&gt;0,K81&gt;0),(J81/K81)^(1/3)-1,""),"")</f>
        <v/>
      </c>
      <c r="AB81" s="22">
        <f>IF(AND(ISNUMBER(I81),ISNUMBER(L81),ISNUMBER(M81),ISNUMBER(N81)),IF((L81+M81-N81)&gt;0,I81/(L81+M81-N81),""),"")</f>
        <v/>
      </c>
      <c r="AC81" s="22">
        <f>IF(AND(ISNUMBER(O81),ISNUMBER(P81)),IF(AND(O81&gt;0,P81&gt;0),P81/O81-1,""),"")</f>
        <v/>
      </c>
      <c r="AD81">
        <f>_xlfn.TEXTJOIN(", ",TRUE,IF(Z81="","ROE",""),IF(AA81="","매출성장률",""),IF(AB81="","이익수익률",""),IF(AC81="","12-1 수익률",""))</f>
        <v/>
      </c>
      <c r="AE81">
        <f>IF(A81="","",IF(AR81&lt;&gt;"","점수 없음(거름망)",IF(AD81="","채점","점수 없음(결측: "&amp;AD81&amp;")")))</f>
        <v/>
      </c>
      <c r="AF81">
        <f>IF(AE81="채점",1,"")</f>
        <v/>
      </c>
      <c r="AG81">
        <f>IF(AF81=1,Z81,"")</f>
        <v/>
      </c>
      <c r="AH81">
        <f>IF(AF81=1,AA81,"")</f>
        <v/>
      </c>
      <c r="AI81">
        <f>IF(AF81=1,AB81,"")</f>
        <v/>
      </c>
      <c r="AJ81">
        <f>IF(AF81=1,AC81,"")</f>
        <v/>
      </c>
      <c r="AK81">
        <f>IF(AF81=1,IF($B$3=1,50,(_xlfn.RANK.AVG(AG81,$AG$6:$AG$105,1)-1)/($B$3-1)*100),"")</f>
        <v/>
      </c>
      <c r="AL81">
        <f>IF(AF81=1,IF($B$3=1,50,(_xlfn.RANK.AVG(AH81,$AH$6:$AH$105,1)-1)/($B$3-1)*100),"")</f>
        <v/>
      </c>
      <c r="AM81">
        <f>IF(AF81=1,IF($B$3=1,50,(_xlfn.RANK.AVG(AI81,$AI$6:$AI$105,1)-1)/($B$3-1)*100),"")</f>
        <v/>
      </c>
      <c r="AN81">
        <f>IF(AF81=1,IF($B$3=1,50,(_xlfn.RANK.AVG(AJ81,$AJ$6:$AJ$105,1)-1)/($B$3-1)*100),"")</f>
        <v/>
      </c>
      <c r="AO81">
        <f>IF(AF81=1,ROUND(AVERAGE(AK81:AN81),6),"")</f>
        <v/>
      </c>
      <c r="AP81">
        <f>IF(AND(AF81=1,C81&lt;&gt;"Y"),R81,"")</f>
        <v/>
      </c>
      <c r="AQ81">
        <f>IF(AND(ISNUMBER(AP81),Q81="편입 후보"),AP81+(1000-ROW())/1000000,"")</f>
        <v/>
      </c>
      <c r="AR81">
        <f>IF(A81="","",_xlfn.TEXTJOIN(", ",TRUE,IF(D81="Y","금융·리츠",""),IF(NOT(ISNUMBER(I81)),"영업이익 없음",IF(I81&lt;=0,"영업적자","")),IF(OR(NOT(ISNUMBER(G81)),NOT(ISNUMBER(H81))),"부채비율 자료 없음",IF(G81&lt;=0,"자본잠식",IF(H81/G81&gt;'설정'!$B$8,"부채비율 초과",""))),IF(NOT(ISNUMBER(L81)),"시총 없음",IF(L81&lt;'설정'!$B$9,"시총 미달",""))))</f>
        <v/>
      </c>
    </row>
    <row r="82">
      <c r="A82" s="18" t="n"/>
      <c r="B82" s="19" t="n"/>
      <c r="C82" s="19" t="n"/>
      <c r="D82" s="19" t="n"/>
      <c r="E82" s="19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7">
        <f>IF(A82="","",IF(C82="Y",IF(AF82=1,IF(AND(R82&lt;'설정'!$B$6,ISNUMBER($H$3)),IF(ROUND($H$3-R82,1)&gt;='설정'!$B$7,"교체 제안 → "&amp;$E$3&amp;" ("&amp;TEXT($H$3,"0.0")&amp;")","보유 유지"),"보유 유지"),"보유 · 점수 없음"),IF(AF82=1,IF(R82&gt;='설정'!$B$5,"편입 후보",""),"")))</f>
        <v/>
      </c>
      <c r="R82" s="15">
        <f>IF(AF82=1,ROUND(IF($B$3=1,50,(_xlfn.RANK.AVG(AO82,$AO$6:$AO$105,1)-1)/($B$3-1)*100),1),"")</f>
        <v/>
      </c>
      <c r="S82">
        <f>IF(A82="","",IF(AF82=1,_xlfn.TEXTJOIN(". ",TRUE,_xlfn.TEXTJOIN(", ",TRUE,IF(AK82&gt;='설정'!$B$20,"수익성 높음",""),IF(AL82&gt;='설정'!$B$20,"성장 빠름",""),IF(AM82&gt;='설정'!$B$20,"가격 쌈",""),IF(AN82&gt;='설정'!$B$20,"추세 좋음","")),_xlfn.TEXTJOIN(", ",TRUE,IF(AK82&lt;'설정'!$B$21,"수익성 낮음",""),IF(AL82&lt;'설정'!$B$21,"성장 느림",""),IF(AM82&lt;'설정'!$B$21,"가격 비쌈",""),IF(AN82&lt;'설정'!$B$21,"추세 약함","")),IF(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="","","보통: "&amp;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)),IF(X82="통과",AE82,X82)))</f>
        <v/>
      </c>
      <c r="T82">
        <f>IF(AF82=1,TEXT(Z82,"0.0%")&amp;" · 상위 "&amp;TEXT(($B$3-_xlfn.RANK.AVG(AG82,$AG$6:$AG$105,1)+1)/$B$3*100,"0")&amp;"%",IF(A82="","",IF(Z82="","결측",TEXT(Z82,"0.0%"))))</f>
        <v/>
      </c>
      <c r="U82">
        <f>IF(AF82=1,TEXT(AA82,"0.0%")&amp;" · 상위 "&amp;TEXT(($B$3-_xlfn.RANK.AVG(AH82,$AH$6:$AH$105,1)+1)/$B$3*100,"0")&amp;"%",IF(A82="","",IF(AA82="","결측",TEXT(AA82,"0.0%"))))</f>
        <v/>
      </c>
      <c r="V82">
        <f>IF(AF82=1,TEXT(AB82,"0.0%")&amp;" · 상위 "&amp;TEXT(($B$3-_xlfn.RANK.AVG(AI82,$AI$6:$AI$105,1)+1)/$B$3*100,"0")&amp;"%",IF(A82="","",IF(AB82="","결측",TEXT(AB82,"0.0%"))))</f>
        <v/>
      </c>
      <c r="W82">
        <f>IF(AF82=1,TEXT(AC82,"0.0%")&amp;" · 상위 "&amp;TEXT(($B$3-_xlfn.RANK.AVG(AJ82,$AJ$6:$AJ$105,1)+1)/$B$3*100,"0")&amp;"%",IF(A82="","",IF(AC82="","결측",TEXT(AC82,"0.0%"))))</f>
        <v/>
      </c>
      <c r="X82">
        <f>IF(A82="","",IF(AR82="","통과","제외: "&amp;AR82))</f>
        <v/>
      </c>
      <c r="Y82" s="21">
        <f>IF(AND(ISNUMBER(G82),ISNUMBER(H82)),IF(G82&gt;0,H82/G82,""),"")</f>
        <v/>
      </c>
      <c r="Z82" s="22">
        <f>IF(AND(ISNUMBER(F82),ISNUMBER(G82)),IF(G82&gt;0,F82/G82,""),"")</f>
        <v/>
      </c>
      <c r="AA82" s="22">
        <f>IF(AND(ISNUMBER(J82),ISNUMBER(K82)),IF(AND(J82&gt;0,K82&gt;0),(J82/K82)^(1/3)-1,""),"")</f>
        <v/>
      </c>
      <c r="AB82" s="22">
        <f>IF(AND(ISNUMBER(I82),ISNUMBER(L82),ISNUMBER(M82),ISNUMBER(N82)),IF((L82+M82-N82)&gt;0,I82/(L82+M82-N82),""),"")</f>
        <v/>
      </c>
      <c r="AC82" s="22">
        <f>IF(AND(ISNUMBER(O82),ISNUMBER(P82)),IF(AND(O82&gt;0,P82&gt;0),P82/O82-1,""),"")</f>
        <v/>
      </c>
      <c r="AD82">
        <f>_xlfn.TEXTJOIN(", ",TRUE,IF(Z82="","ROE",""),IF(AA82="","매출성장률",""),IF(AB82="","이익수익률",""),IF(AC82="","12-1 수익률",""))</f>
        <v/>
      </c>
      <c r="AE82">
        <f>IF(A82="","",IF(AR82&lt;&gt;"","점수 없음(거름망)",IF(AD82="","채점","점수 없음(결측: "&amp;AD82&amp;")")))</f>
        <v/>
      </c>
      <c r="AF82">
        <f>IF(AE82="채점",1,"")</f>
        <v/>
      </c>
      <c r="AG82">
        <f>IF(AF82=1,Z82,"")</f>
        <v/>
      </c>
      <c r="AH82">
        <f>IF(AF82=1,AA82,"")</f>
        <v/>
      </c>
      <c r="AI82">
        <f>IF(AF82=1,AB82,"")</f>
        <v/>
      </c>
      <c r="AJ82">
        <f>IF(AF82=1,AC82,"")</f>
        <v/>
      </c>
      <c r="AK82">
        <f>IF(AF82=1,IF($B$3=1,50,(_xlfn.RANK.AVG(AG82,$AG$6:$AG$105,1)-1)/($B$3-1)*100),"")</f>
        <v/>
      </c>
      <c r="AL82">
        <f>IF(AF82=1,IF($B$3=1,50,(_xlfn.RANK.AVG(AH82,$AH$6:$AH$105,1)-1)/($B$3-1)*100),"")</f>
        <v/>
      </c>
      <c r="AM82">
        <f>IF(AF82=1,IF($B$3=1,50,(_xlfn.RANK.AVG(AI82,$AI$6:$AI$105,1)-1)/($B$3-1)*100),"")</f>
        <v/>
      </c>
      <c r="AN82">
        <f>IF(AF82=1,IF($B$3=1,50,(_xlfn.RANK.AVG(AJ82,$AJ$6:$AJ$105,1)-1)/($B$3-1)*100),"")</f>
        <v/>
      </c>
      <c r="AO82">
        <f>IF(AF82=1,ROUND(AVERAGE(AK82:AN82),6),"")</f>
        <v/>
      </c>
      <c r="AP82">
        <f>IF(AND(AF82=1,C82&lt;&gt;"Y"),R82,"")</f>
        <v/>
      </c>
      <c r="AQ82">
        <f>IF(AND(ISNUMBER(AP82),Q82="편입 후보"),AP82+(1000-ROW())/1000000,"")</f>
        <v/>
      </c>
      <c r="AR82">
        <f>IF(A82="","",_xlfn.TEXTJOIN(", ",TRUE,IF(D82="Y","금융·리츠",""),IF(NOT(ISNUMBER(I82)),"영업이익 없음",IF(I82&lt;=0,"영업적자","")),IF(OR(NOT(ISNUMBER(G82)),NOT(ISNUMBER(H82))),"부채비율 자료 없음",IF(G82&lt;=0,"자본잠식",IF(H82/G82&gt;'설정'!$B$8,"부채비율 초과",""))),IF(NOT(ISNUMBER(L82)),"시총 없음",IF(L82&lt;'설정'!$B$9,"시총 미달",""))))</f>
        <v/>
      </c>
    </row>
    <row r="83">
      <c r="A83" s="18" t="n"/>
      <c r="B83" s="19" t="n"/>
      <c r="C83" s="19" t="n"/>
      <c r="D83" s="19" t="n"/>
      <c r="E83" s="19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7">
        <f>IF(A83="","",IF(C83="Y",IF(AF83=1,IF(AND(R83&lt;'설정'!$B$6,ISNUMBER($H$3)),IF(ROUND($H$3-R83,1)&gt;='설정'!$B$7,"교체 제안 → "&amp;$E$3&amp;" ("&amp;TEXT($H$3,"0.0")&amp;")","보유 유지"),"보유 유지"),"보유 · 점수 없음"),IF(AF83=1,IF(R83&gt;='설정'!$B$5,"편입 후보",""),"")))</f>
        <v/>
      </c>
      <c r="R83" s="15">
        <f>IF(AF83=1,ROUND(IF($B$3=1,50,(_xlfn.RANK.AVG(AO83,$AO$6:$AO$105,1)-1)/($B$3-1)*100),1),"")</f>
        <v/>
      </c>
      <c r="S83">
        <f>IF(A83="","",IF(AF83=1,_xlfn.TEXTJOIN(". ",TRUE,_xlfn.TEXTJOIN(", ",TRUE,IF(AK83&gt;='설정'!$B$20,"수익성 높음",""),IF(AL83&gt;='설정'!$B$20,"성장 빠름",""),IF(AM83&gt;='설정'!$B$20,"가격 쌈",""),IF(AN83&gt;='설정'!$B$20,"추세 좋음","")),_xlfn.TEXTJOIN(", ",TRUE,IF(AK83&lt;'설정'!$B$21,"수익성 낮음",""),IF(AL83&lt;'설정'!$B$21,"성장 느림",""),IF(AM83&lt;'설정'!$B$21,"가격 비쌈",""),IF(AN83&lt;'설정'!$B$21,"추세 약함","")),IF(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="","","보통: "&amp;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)),IF(X83="통과",AE83,X83)))</f>
        <v/>
      </c>
      <c r="T83">
        <f>IF(AF83=1,TEXT(Z83,"0.0%")&amp;" · 상위 "&amp;TEXT(($B$3-_xlfn.RANK.AVG(AG83,$AG$6:$AG$105,1)+1)/$B$3*100,"0")&amp;"%",IF(A83="","",IF(Z83="","결측",TEXT(Z83,"0.0%"))))</f>
        <v/>
      </c>
      <c r="U83">
        <f>IF(AF83=1,TEXT(AA83,"0.0%")&amp;" · 상위 "&amp;TEXT(($B$3-_xlfn.RANK.AVG(AH83,$AH$6:$AH$105,1)+1)/$B$3*100,"0")&amp;"%",IF(A83="","",IF(AA83="","결측",TEXT(AA83,"0.0%"))))</f>
        <v/>
      </c>
      <c r="V83">
        <f>IF(AF83=1,TEXT(AB83,"0.0%")&amp;" · 상위 "&amp;TEXT(($B$3-_xlfn.RANK.AVG(AI83,$AI$6:$AI$105,1)+1)/$B$3*100,"0")&amp;"%",IF(A83="","",IF(AB83="","결측",TEXT(AB83,"0.0%"))))</f>
        <v/>
      </c>
      <c r="W83">
        <f>IF(AF83=1,TEXT(AC83,"0.0%")&amp;" · 상위 "&amp;TEXT(($B$3-_xlfn.RANK.AVG(AJ83,$AJ$6:$AJ$105,1)+1)/$B$3*100,"0")&amp;"%",IF(A83="","",IF(AC83="","결측",TEXT(AC83,"0.0%"))))</f>
        <v/>
      </c>
      <c r="X83">
        <f>IF(A83="","",IF(AR83="","통과","제외: "&amp;AR83))</f>
        <v/>
      </c>
      <c r="Y83" s="21">
        <f>IF(AND(ISNUMBER(G83),ISNUMBER(H83)),IF(G83&gt;0,H83/G83,""),"")</f>
        <v/>
      </c>
      <c r="Z83" s="22">
        <f>IF(AND(ISNUMBER(F83),ISNUMBER(G83)),IF(G83&gt;0,F83/G83,""),"")</f>
        <v/>
      </c>
      <c r="AA83" s="22">
        <f>IF(AND(ISNUMBER(J83),ISNUMBER(K83)),IF(AND(J83&gt;0,K83&gt;0),(J83/K83)^(1/3)-1,""),"")</f>
        <v/>
      </c>
      <c r="AB83" s="22">
        <f>IF(AND(ISNUMBER(I83),ISNUMBER(L83),ISNUMBER(M83),ISNUMBER(N83)),IF((L83+M83-N83)&gt;0,I83/(L83+M83-N83),""),"")</f>
        <v/>
      </c>
      <c r="AC83" s="22">
        <f>IF(AND(ISNUMBER(O83),ISNUMBER(P83)),IF(AND(O83&gt;0,P83&gt;0),P83/O83-1,""),"")</f>
        <v/>
      </c>
      <c r="AD83">
        <f>_xlfn.TEXTJOIN(", ",TRUE,IF(Z83="","ROE",""),IF(AA83="","매출성장률",""),IF(AB83="","이익수익률",""),IF(AC83="","12-1 수익률",""))</f>
        <v/>
      </c>
      <c r="AE83">
        <f>IF(A83="","",IF(AR83&lt;&gt;"","점수 없음(거름망)",IF(AD83="","채점","점수 없음(결측: "&amp;AD83&amp;")")))</f>
        <v/>
      </c>
      <c r="AF83">
        <f>IF(AE83="채점",1,"")</f>
        <v/>
      </c>
      <c r="AG83">
        <f>IF(AF83=1,Z83,"")</f>
        <v/>
      </c>
      <c r="AH83">
        <f>IF(AF83=1,AA83,"")</f>
        <v/>
      </c>
      <c r="AI83">
        <f>IF(AF83=1,AB83,"")</f>
        <v/>
      </c>
      <c r="AJ83">
        <f>IF(AF83=1,AC83,"")</f>
        <v/>
      </c>
      <c r="AK83">
        <f>IF(AF83=1,IF($B$3=1,50,(_xlfn.RANK.AVG(AG83,$AG$6:$AG$105,1)-1)/($B$3-1)*100),"")</f>
        <v/>
      </c>
      <c r="AL83">
        <f>IF(AF83=1,IF($B$3=1,50,(_xlfn.RANK.AVG(AH83,$AH$6:$AH$105,1)-1)/($B$3-1)*100),"")</f>
        <v/>
      </c>
      <c r="AM83">
        <f>IF(AF83=1,IF($B$3=1,50,(_xlfn.RANK.AVG(AI83,$AI$6:$AI$105,1)-1)/($B$3-1)*100),"")</f>
        <v/>
      </c>
      <c r="AN83">
        <f>IF(AF83=1,IF($B$3=1,50,(_xlfn.RANK.AVG(AJ83,$AJ$6:$AJ$105,1)-1)/($B$3-1)*100),"")</f>
        <v/>
      </c>
      <c r="AO83">
        <f>IF(AF83=1,ROUND(AVERAGE(AK83:AN83),6),"")</f>
        <v/>
      </c>
      <c r="AP83">
        <f>IF(AND(AF83=1,C83&lt;&gt;"Y"),R83,"")</f>
        <v/>
      </c>
      <c r="AQ83">
        <f>IF(AND(ISNUMBER(AP83),Q83="편입 후보"),AP83+(1000-ROW())/1000000,"")</f>
        <v/>
      </c>
      <c r="AR83">
        <f>IF(A83="","",_xlfn.TEXTJOIN(", ",TRUE,IF(D83="Y","금융·리츠",""),IF(NOT(ISNUMBER(I83)),"영업이익 없음",IF(I83&lt;=0,"영업적자","")),IF(OR(NOT(ISNUMBER(G83)),NOT(ISNUMBER(H83))),"부채비율 자료 없음",IF(G83&lt;=0,"자본잠식",IF(H83/G83&gt;'설정'!$B$8,"부채비율 초과",""))),IF(NOT(ISNUMBER(L83)),"시총 없음",IF(L83&lt;'설정'!$B$9,"시총 미달",""))))</f>
        <v/>
      </c>
    </row>
    <row r="84">
      <c r="A84" s="18" t="n"/>
      <c r="B84" s="19" t="n"/>
      <c r="C84" s="19" t="n"/>
      <c r="D84" s="19" t="n"/>
      <c r="E84" s="19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7">
        <f>IF(A84="","",IF(C84="Y",IF(AF84=1,IF(AND(R84&lt;'설정'!$B$6,ISNUMBER($H$3)),IF(ROUND($H$3-R84,1)&gt;='설정'!$B$7,"교체 제안 → "&amp;$E$3&amp;" ("&amp;TEXT($H$3,"0.0")&amp;")","보유 유지"),"보유 유지"),"보유 · 점수 없음"),IF(AF84=1,IF(R84&gt;='설정'!$B$5,"편입 후보",""),"")))</f>
        <v/>
      </c>
      <c r="R84" s="15">
        <f>IF(AF84=1,ROUND(IF($B$3=1,50,(_xlfn.RANK.AVG(AO84,$AO$6:$AO$105,1)-1)/($B$3-1)*100),1),"")</f>
        <v/>
      </c>
      <c r="S84">
        <f>IF(A84="","",IF(AF84=1,_xlfn.TEXTJOIN(". ",TRUE,_xlfn.TEXTJOIN(", ",TRUE,IF(AK84&gt;='설정'!$B$20,"수익성 높음",""),IF(AL84&gt;='설정'!$B$20,"성장 빠름",""),IF(AM84&gt;='설정'!$B$20,"가격 쌈",""),IF(AN84&gt;='설정'!$B$20,"추세 좋음","")),_xlfn.TEXTJOIN(", ",TRUE,IF(AK84&lt;'설정'!$B$21,"수익성 낮음",""),IF(AL84&lt;'설정'!$B$21,"성장 느림",""),IF(AM84&lt;'설정'!$B$21,"가격 비쌈",""),IF(AN84&lt;'설정'!$B$21,"추세 약함","")),IF(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="","","보통: "&amp;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)),IF(X84="통과",AE84,X84)))</f>
        <v/>
      </c>
      <c r="T84">
        <f>IF(AF84=1,TEXT(Z84,"0.0%")&amp;" · 상위 "&amp;TEXT(($B$3-_xlfn.RANK.AVG(AG84,$AG$6:$AG$105,1)+1)/$B$3*100,"0")&amp;"%",IF(A84="","",IF(Z84="","결측",TEXT(Z84,"0.0%"))))</f>
        <v/>
      </c>
      <c r="U84">
        <f>IF(AF84=1,TEXT(AA84,"0.0%")&amp;" · 상위 "&amp;TEXT(($B$3-_xlfn.RANK.AVG(AH84,$AH$6:$AH$105,1)+1)/$B$3*100,"0")&amp;"%",IF(A84="","",IF(AA84="","결측",TEXT(AA84,"0.0%"))))</f>
        <v/>
      </c>
      <c r="V84">
        <f>IF(AF84=1,TEXT(AB84,"0.0%")&amp;" · 상위 "&amp;TEXT(($B$3-_xlfn.RANK.AVG(AI84,$AI$6:$AI$105,1)+1)/$B$3*100,"0")&amp;"%",IF(A84="","",IF(AB84="","결측",TEXT(AB84,"0.0%"))))</f>
        <v/>
      </c>
      <c r="W84">
        <f>IF(AF84=1,TEXT(AC84,"0.0%")&amp;" · 상위 "&amp;TEXT(($B$3-_xlfn.RANK.AVG(AJ84,$AJ$6:$AJ$105,1)+1)/$B$3*100,"0")&amp;"%",IF(A84="","",IF(AC84="","결측",TEXT(AC84,"0.0%"))))</f>
        <v/>
      </c>
      <c r="X84">
        <f>IF(A84="","",IF(AR84="","통과","제외: "&amp;AR84))</f>
        <v/>
      </c>
      <c r="Y84" s="21">
        <f>IF(AND(ISNUMBER(G84),ISNUMBER(H84)),IF(G84&gt;0,H84/G84,""),"")</f>
        <v/>
      </c>
      <c r="Z84" s="22">
        <f>IF(AND(ISNUMBER(F84),ISNUMBER(G84)),IF(G84&gt;0,F84/G84,""),"")</f>
        <v/>
      </c>
      <c r="AA84" s="22">
        <f>IF(AND(ISNUMBER(J84),ISNUMBER(K84)),IF(AND(J84&gt;0,K84&gt;0),(J84/K84)^(1/3)-1,""),"")</f>
        <v/>
      </c>
      <c r="AB84" s="22">
        <f>IF(AND(ISNUMBER(I84),ISNUMBER(L84),ISNUMBER(M84),ISNUMBER(N84)),IF((L84+M84-N84)&gt;0,I84/(L84+M84-N84),""),"")</f>
        <v/>
      </c>
      <c r="AC84" s="22">
        <f>IF(AND(ISNUMBER(O84),ISNUMBER(P84)),IF(AND(O84&gt;0,P84&gt;0),P84/O84-1,""),"")</f>
        <v/>
      </c>
      <c r="AD84">
        <f>_xlfn.TEXTJOIN(", ",TRUE,IF(Z84="","ROE",""),IF(AA84="","매출성장률",""),IF(AB84="","이익수익률",""),IF(AC84="","12-1 수익률",""))</f>
        <v/>
      </c>
      <c r="AE84">
        <f>IF(A84="","",IF(AR84&lt;&gt;"","점수 없음(거름망)",IF(AD84="","채점","점수 없음(결측: "&amp;AD84&amp;")")))</f>
        <v/>
      </c>
      <c r="AF84">
        <f>IF(AE84="채점",1,"")</f>
        <v/>
      </c>
      <c r="AG84">
        <f>IF(AF84=1,Z84,"")</f>
        <v/>
      </c>
      <c r="AH84">
        <f>IF(AF84=1,AA84,"")</f>
        <v/>
      </c>
      <c r="AI84">
        <f>IF(AF84=1,AB84,"")</f>
        <v/>
      </c>
      <c r="AJ84">
        <f>IF(AF84=1,AC84,"")</f>
        <v/>
      </c>
      <c r="AK84">
        <f>IF(AF84=1,IF($B$3=1,50,(_xlfn.RANK.AVG(AG84,$AG$6:$AG$105,1)-1)/($B$3-1)*100),"")</f>
        <v/>
      </c>
      <c r="AL84">
        <f>IF(AF84=1,IF($B$3=1,50,(_xlfn.RANK.AVG(AH84,$AH$6:$AH$105,1)-1)/($B$3-1)*100),"")</f>
        <v/>
      </c>
      <c r="AM84">
        <f>IF(AF84=1,IF($B$3=1,50,(_xlfn.RANK.AVG(AI84,$AI$6:$AI$105,1)-1)/($B$3-1)*100),"")</f>
        <v/>
      </c>
      <c r="AN84">
        <f>IF(AF84=1,IF($B$3=1,50,(_xlfn.RANK.AVG(AJ84,$AJ$6:$AJ$105,1)-1)/($B$3-1)*100),"")</f>
        <v/>
      </c>
      <c r="AO84">
        <f>IF(AF84=1,ROUND(AVERAGE(AK84:AN84),6),"")</f>
        <v/>
      </c>
      <c r="AP84">
        <f>IF(AND(AF84=1,C84&lt;&gt;"Y"),R84,"")</f>
        <v/>
      </c>
      <c r="AQ84">
        <f>IF(AND(ISNUMBER(AP84),Q84="편입 후보"),AP84+(1000-ROW())/1000000,"")</f>
        <v/>
      </c>
      <c r="AR84">
        <f>IF(A84="","",_xlfn.TEXTJOIN(", ",TRUE,IF(D84="Y","금융·리츠",""),IF(NOT(ISNUMBER(I84)),"영업이익 없음",IF(I84&lt;=0,"영업적자","")),IF(OR(NOT(ISNUMBER(G84)),NOT(ISNUMBER(H84))),"부채비율 자료 없음",IF(G84&lt;=0,"자본잠식",IF(H84/G84&gt;'설정'!$B$8,"부채비율 초과",""))),IF(NOT(ISNUMBER(L84)),"시총 없음",IF(L84&lt;'설정'!$B$9,"시총 미달",""))))</f>
        <v/>
      </c>
    </row>
    <row r="85">
      <c r="A85" s="18" t="n"/>
      <c r="B85" s="19" t="n"/>
      <c r="C85" s="19" t="n"/>
      <c r="D85" s="19" t="n"/>
      <c r="E85" s="19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7">
        <f>IF(A85="","",IF(C85="Y",IF(AF85=1,IF(AND(R85&lt;'설정'!$B$6,ISNUMBER($H$3)),IF(ROUND($H$3-R85,1)&gt;='설정'!$B$7,"교체 제안 → "&amp;$E$3&amp;" ("&amp;TEXT($H$3,"0.0")&amp;")","보유 유지"),"보유 유지"),"보유 · 점수 없음"),IF(AF85=1,IF(R85&gt;='설정'!$B$5,"편입 후보",""),"")))</f>
        <v/>
      </c>
      <c r="R85" s="15">
        <f>IF(AF85=1,ROUND(IF($B$3=1,50,(_xlfn.RANK.AVG(AO85,$AO$6:$AO$105,1)-1)/($B$3-1)*100),1),"")</f>
        <v/>
      </c>
      <c r="S85">
        <f>IF(A85="","",IF(AF85=1,_xlfn.TEXTJOIN(". ",TRUE,_xlfn.TEXTJOIN(", ",TRUE,IF(AK85&gt;='설정'!$B$20,"수익성 높음",""),IF(AL85&gt;='설정'!$B$20,"성장 빠름",""),IF(AM85&gt;='설정'!$B$20,"가격 쌈",""),IF(AN85&gt;='설정'!$B$20,"추세 좋음","")),_xlfn.TEXTJOIN(", ",TRUE,IF(AK85&lt;'설정'!$B$21,"수익성 낮음",""),IF(AL85&lt;'설정'!$B$21,"성장 느림",""),IF(AM85&lt;'설정'!$B$21,"가격 비쌈",""),IF(AN85&lt;'설정'!$B$21,"추세 약함","")),IF(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="","","보통: "&amp;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)),IF(X85="통과",AE85,X85)))</f>
        <v/>
      </c>
      <c r="T85">
        <f>IF(AF85=1,TEXT(Z85,"0.0%")&amp;" · 상위 "&amp;TEXT(($B$3-_xlfn.RANK.AVG(AG85,$AG$6:$AG$105,1)+1)/$B$3*100,"0")&amp;"%",IF(A85="","",IF(Z85="","결측",TEXT(Z85,"0.0%"))))</f>
        <v/>
      </c>
      <c r="U85">
        <f>IF(AF85=1,TEXT(AA85,"0.0%")&amp;" · 상위 "&amp;TEXT(($B$3-_xlfn.RANK.AVG(AH85,$AH$6:$AH$105,1)+1)/$B$3*100,"0")&amp;"%",IF(A85="","",IF(AA85="","결측",TEXT(AA85,"0.0%"))))</f>
        <v/>
      </c>
      <c r="V85">
        <f>IF(AF85=1,TEXT(AB85,"0.0%")&amp;" · 상위 "&amp;TEXT(($B$3-_xlfn.RANK.AVG(AI85,$AI$6:$AI$105,1)+1)/$B$3*100,"0")&amp;"%",IF(A85="","",IF(AB85="","결측",TEXT(AB85,"0.0%"))))</f>
        <v/>
      </c>
      <c r="W85">
        <f>IF(AF85=1,TEXT(AC85,"0.0%")&amp;" · 상위 "&amp;TEXT(($B$3-_xlfn.RANK.AVG(AJ85,$AJ$6:$AJ$105,1)+1)/$B$3*100,"0")&amp;"%",IF(A85="","",IF(AC85="","결측",TEXT(AC85,"0.0%"))))</f>
        <v/>
      </c>
      <c r="X85">
        <f>IF(A85="","",IF(AR85="","통과","제외: "&amp;AR85))</f>
        <v/>
      </c>
      <c r="Y85" s="21">
        <f>IF(AND(ISNUMBER(G85),ISNUMBER(H85)),IF(G85&gt;0,H85/G85,""),"")</f>
        <v/>
      </c>
      <c r="Z85" s="22">
        <f>IF(AND(ISNUMBER(F85),ISNUMBER(G85)),IF(G85&gt;0,F85/G85,""),"")</f>
        <v/>
      </c>
      <c r="AA85" s="22">
        <f>IF(AND(ISNUMBER(J85),ISNUMBER(K85)),IF(AND(J85&gt;0,K85&gt;0),(J85/K85)^(1/3)-1,""),"")</f>
        <v/>
      </c>
      <c r="AB85" s="22">
        <f>IF(AND(ISNUMBER(I85),ISNUMBER(L85),ISNUMBER(M85),ISNUMBER(N85)),IF((L85+M85-N85)&gt;0,I85/(L85+M85-N85),""),"")</f>
        <v/>
      </c>
      <c r="AC85" s="22">
        <f>IF(AND(ISNUMBER(O85),ISNUMBER(P85)),IF(AND(O85&gt;0,P85&gt;0),P85/O85-1,""),"")</f>
        <v/>
      </c>
      <c r="AD85">
        <f>_xlfn.TEXTJOIN(", ",TRUE,IF(Z85="","ROE",""),IF(AA85="","매출성장률",""),IF(AB85="","이익수익률",""),IF(AC85="","12-1 수익률",""))</f>
        <v/>
      </c>
      <c r="AE85">
        <f>IF(A85="","",IF(AR85&lt;&gt;"","점수 없음(거름망)",IF(AD85="","채점","점수 없음(결측: "&amp;AD85&amp;")")))</f>
        <v/>
      </c>
      <c r="AF85">
        <f>IF(AE85="채점",1,"")</f>
        <v/>
      </c>
      <c r="AG85">
        <f>IF(AF85=1,Z85,"")</f>
        <v/>
      </c>
      <c r="AH85">
        <f>IF(AF85=1,AA85,"")</f>
        <v/>
      </c>
      <c r="AI85">
        <f>IF(AF85=1,AB85,"")</f>
        <v/>
      </c>
      <c r="AJ85">
        <f>IF(AF85=1,AC85,"")</f>
        <v/>
      </c>
      <c r="AK85">
        <f>IF(AF85=1,IF($B$3=1,50,(_xlfn.RANK.AVG(AG85,$AG$6:$AG$105,1)-1)/($B$3-1)*100),"")</f>
        <v/>
      </c>
      <c r="AL85">
        <f>IF(AF85=1,IF($B$3=1,50,(_xlfn.RANK.AVG(AH85,$AH$6:$AH$105,1)-1)/($B$3-1)*100),"")</f>
        <v/>
      </c>
      <c r="AM85">
        <f>IF(AF85=1,IF($B$3=1,50,(_xlfn.RANK.AVG(AI85,$AI$6:$AI$105,1)-1)/($B$3-1)*100),"")</f>
        <v/>
      </c>
      <c r="AN85">
        <f>IF(AF85=1,IF($B$3=1,50,(_xlfn.RANK.AVG(AJ85,$AJ$6:$AJ$105,1)-1)/($B$3-1)*100),"")</f>
        <v/>
      </c>
      <c r="AO85">
        <f>IF(AF85=1,ROUND(AVERAGE(AK85:AN85),6),"")</f>
        <v/>
      </c>
      <c r="AP85">
        <f>IF(AND(AF85=1,C85&lt;&gt;"Y"),R85,"")</f>
        <v/>
      </c>
      <c r="AQ85">
        <f>IF(AND(ISNUMBER(AP85),Q85="편입 후보"),AP85+(1000-ROW())/1000000,"")</f>
        <v/>
      </c>
      <c r="AR85">
        <f>IF(A85="","",_xlfn.TEXTJOIN(", ",TRUE,IF(D85="Y","금융·리츠",""),IF(NOT(ISNUMBER(I85)),"영업이익 없음",IF(I85&lt;=0,"영업적자","")),IF(OR(NOT(ISNUMBER(G85)),NOT(ISNUMBER(H85))),"부채비율 자료 없음",IF(G85&lt;=0,"자본잠식",IF(H85/G85&gt;'설정'!$B$8,"부채비율 초과",""))),IF(NOT(ISNUMBER(L85)),"시총 없음",IF(L85&lt;'설정'!$B$9,"시총 미달",""))))</f>
        <v/>
      </c>
    </row>
    <row r="86">
      <c r="A86" s="18" t="n"/>
      <c r="B86" s="19" t="n"/>
      <c r="C86" s="19" t="n"/>
      <c r="D86" s="19" t="n"/>
      <c r="E86" s="19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7">
        <f>IF(A86="","",IF(C86="Y",IF(AF86=1,IF(AND(R86&lt;'설정'!$B$6,ISNUMBER($H$3)),IF(ROUND($H$3-R86,1)&gt;='설정'!$B$7,"교체 제안 → "&amp;$E$3&amp;" ("&amp;TEXT($H$3,"0.0")&amp;")","보유 유지"),"보유 유지"),"보유 · 점수 없음"),IF(AF86=1,IF(R86&gt;='설정'!$B$5,"편입 후보",""),"")))</f>
        <v/>
      </c>
      <c r="R86" s="15">
        <f>IF(AF86=1,ROUND(IF($B$3=1,50,(_xlfn.RANK.AVG(AO86,$AO$6:$AO$105,1)-1)/($B$3-1)*100),1),"")</f>
        <v/>
      </c>
      <c r="S86">
        <f>IF(A86="","",IF(AF86=1,_xlfn.TEXTJOIN(". ",TRUE,_xlfn.TEXTJOIN(", ",TRUE,IF(AK86&gt;='설정'!$B$20,"수익성 높음",""),IF(AL86&gt;='설정'!$B$20,"성장 빠름",""),IF(AM86&gt;='설정'!$B$20,"가격 쌈",""),IF(AN86&gt;='설정'!$B$20,"추세 좋음","")),_xlfn.TEXTJOIN(", ",TRUE,IF(AK86&lt;'설정'!$B$21,"수익성 낮음",""),IF(AL86&lt;'설정'!$B$21,"성장 느림",""),IF(AM86&lt;'설정'!$B$21,"가격 비쌈",""),IF(AN86&lt;'설정'!$B$21,"추세 약함","")),IF(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="","","보통: "&amp;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)),IF(X86="통과",AE86,X86)))</f>
        <v/>
      </c>
      <c r="T86">
        <f>IF(AF86=1,TEXT(Z86,"0.0%")&amp;" · 상위 "&amp;TEXT(($B$3-_xlfn.RANK.AVG(AG86,$AG$6:$AG$105,1)+1)/$B$3*100,"0")&amp;"%",IF(A86="","",IF(Z86="","결측",TEXT(Z86,"0.0%"))))</f>
        <v/>
      </c>
      <c r="U86">
        <f>IF(AF86=1,TEXT(AA86,"0.0%")&amp;" · 상위 "&amp;TEXT(($B$3-_xlfn.RANK.AVG(AH86,$AH$6:$AH$105,1)+1)/$B$3*100,"0")&amp;"%",IF(A86="","",IF(AA86="","결측",TEXT(AA86,"0.0%"))))</f>
        <v/>
      </c>
      <c r="V86">
        <f>IF(AF86=1,TEXT(AB86,"0.0%")&amp;" · 상위 "&amp;TEXT(($B$3-_xlfn.RANK.AVG(AI86,$AI$6:$AI$105,1)+1)/$B$3*100,"0")&amp;"%",IF(A86="","",IF(AB86="","결측",TEXT(AB86,"0.0%"))))</f>
        <v/>
      </c>
      <c r="W86">
        <f>IF(AF86=1,TEXT(AC86,"0.0%")&amp;" · 상위 "&amp;TEXT(($B$3-_xlfn.RANK.AVG(AJ86,$AJ$6:$AJ$105,1)+1)/$B$3*100,"0")&amp;"%",IF(A86="","",IF(AC86="","결측",TEXT(AC86,"0.0%"))))</f>
        <v/>
      </c>
      <c r="X86">
        <f>IF(A86="","",IF(AR86="","통과","제외: "&amp;AR86))</f>
        <v/>
      </c>
      <c r="Y86" s="21">
        <f>IF(AND(ISNUMBER(G86),ISNUMBER(H86)),IF(G86&gt;0,H86/G86,""),"")</f>
        <v/>
      </c>
      <c r="Z86" s="22">
        <f>IF(AND(ISNUMBER(F86),ISNUMBER(G86)),IF(G86&gt;0,F86/G86,""),"")</f>
        <v/>
      </c>
      <c r="AA86" s="22">
        <f>IF(AND(ISNUMBER(J86),ISNUMBER(K86)),IF(AND(J86&gt;0,K86&gt;0),(J86/K86)^(1/3)-1,""),"")</f>
        <v/>
      </c>
      <c r="AB86" s="22">
        <f>IF(AND(ISNUMBER(I86),ISNUMBER(L86),ISNUMBER(M86),ISNUMBER(N86)),IF((L86+M86-N86)&gt;0,I86/(L86+M86-N86),""),"")</f>
        <v/>
      </c>
      <c r="AC86" s="22">
        <f>IF(AND(ISNUMBER(O86),ISNUMBER(P86)),IF(AND(O86&gt;0,P86&gt;0),P86/O86-1,""),"")</f>
        <v/>
      </c>
      <c r="AD86">
        <f>_xlfn.TEXTJOIN(", ",TRUE,IF(Z86="","ROE",""),IF(AA86="","매출성장률",""),IF(AB86="","이익수익률",""),IF(AC86="","12-1 수익률",""))</f>
        <v/>
      </c>
      <c r="AE86">
        <f>IF(A86="","",IF(AR86&lt;&gt;"","점수 없음(거름망)",IF(AD86="","채점","점수 없음(결측: "&amp;AD86&amp;")")))</f>
        <v/>
      </c>
      <c r="AF86">
        <f>IF(AE86="채점",1,"")</f>
        <v/>
      </c>
      <c r="AG86">
        <f>IF(AF86=1,Z86,"")</f>
        <v/>
      </c>
      <c r="AH86">
        <f>IF(AF86=1,AA86,"")</f>
        <v/>
      </c>
      <c r="AI86">
        <f>IF(AF86=1,AB86,"")</f>
        <v/>
      </c>
      <c r="AJ86">
        <f>IF(AF86=1,AC86,"")</f>
        <v/>
      </c>
      <c r="AK86">
        <f>IF(AF86=1,IF($B$3=1,50,(_xlfn.RANK.AVG(AG86,$AG$6:$AG$105,1)-1)/($B$3-1)*100),"")</f>
        <v/>
      </c>
      <c r="AL86">
        <f>IF(AF86=1,IF($B$3=1,50,(_xlfn.RANK.AVG(AH86,$AH$6:$AH$105,1)-1)/($B$3-1)*100),"")</f>
        <v/>
      </c>
      <c r="AM86">
        <f>IF(AF86=1,IF($B$3=1,50,(_xlfn.RANK.AVG(AI86,$AI$6:$AI$105,1)-1)/($B$3-1)*100),"")</f>
        <v/>
      </c>
      <c r="AN86">
        <f>IF(AF86=1,IF($B$3=1,50,(_xlfn.RANK.AVG(AJ86,$AJ$6:$AJ$105,1)-1)/($B$3-1)*100),"")</f>
        <v/>
      </c>
      <c r="AO86">
        <f>IF(AF86=1,ROUND(AVERAGE(AK86:AN86),6),"")</f>
        <v/>
      </c>
      <c r="AP86">
        <f>IF(AND(AF86=1,C86&lt;&gt;"Y"),R86,"")</f>
        <v/>
      </c>
      <c r="AQ86">
        <f>IF(AND(ISNUMBER(AP86),Q86="편입 후보"),AP86+(1000-ROW())/1000000,"")</f>
        <v/>
      </c>
      <c r="AR86">
        <f>IF(A86="","",_xlfn.TEXTJOIN(", ",TRUE,IF(D86="Y","금융·리츠",""),IF(NOT(ISNUMBER(I86)),"영업이익 없음",IF(I86&lt;=0,"영업적자","")),IF(OR(NOT(ISNUMBER(G86)),NOT(ISNUMBER(H86))),"부채비율 자료 없음",IF(G86&lt;=0,"자본잠식",IF(H86/G86&gt;'설정'!$B$8,"부채비율 초과",""))),IF(NOT(ISNUMBER(L86)),"시총 없음",IF(L86&lt;'설정'!$B$9,"시총 미달",""))))</f>
        <v/>
      </c>
    </row>
    <row r="87">
      <c r="A87" s="18" t="n"/>
      <c r="B87" s="19" t="n"/>
      <c r="C87" s="19" t="n"/>
      <c r="D87" s="19" t="n"/>
      <c r="E87" s="19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7">
        <f>IF(A87="","",IF(C87="Y",IF(AF87=1,IF(AND(R87&lt;'설정'!$B$6,ISNUMBER($H$3)),IF(ROUND($H$3-R87,1)&gt;='설정'!$B$7,"교체 제안 → "&amp;$E$3&amp;" ("&amp;TEXT($H$3,"0.0")&amp;")","보유 유지"),"보유 유지"),"보유 · 점수 없음"),IF(AF87=1,IF(R87&gt;='설정'!$B$5,"편입 후보",""),"")))</f>
        <v/>
      </c>
      <c r="R87" s="15">
        <f>IF(AF87=1,ROUND(IF($B$3=1,50,(_xlfn.RANK.AVG(AO87,$AO$6:$AO$105,1)-1)/($B$3-1)*100),1),"")</f>
        <v/>
      </c>
      <c r="S87">
        <f>IF(A87="","",IF(AF87=1,_xlfn.TEXTJOIN(". ",TRUE,_xlfn.TEXTJOIN(", ",TRUE,IF(AK87&gt;='설정'!$B$20,"수익성 높음",""),IF(AL87&gt;='설정'!$B$20,"성장 빠름",""),IF(AM87&gt;='설정'!$B$20,"가격 쌈",""),IF(AN87&gt;='설정'!$B$20,"추세 좋음","")),_xlfn.TEXTJOIN(", ",TRUE,IF(AK87&lt;'설정'!$B$21,"수익성 낮음",""),IF(AL87&lt;'설정'!$B$21,"성장 느림",""),IF(AM87&lt;'설정'!$B$21,"가격 비쌈",""),IF(AN87&lt;'설정'!$B$21,"추세 약함","")),IF(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="","","보통: "&amp;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)),IF(X87="통과",AE87,X87)))</f>
        <v/>
      </c>
      <c r="T87">
        <f>IF(AF87=1,TEXT(Z87,"0.0%")&amp;" · 상위 "&amp;TEXT(($B$3-_xlfn.RANK.AVG(AG87,$AG$6:$AG$105,1)+1)/$B$3*100,"0")&amp;"%",IF(A87="","",IF(Z87="","결측",TEXT(Z87,"0.0%"))))</f>
        <v/>
      </c>
      <c r="U87">
        <f>IF(AF87=1,TEXT(AA87,"0.0%")&amp;" · 상위 "&amp;TEXT(($B$3-_xlfn.RANK.AVG(AH87,$AH$6:$AH$105,1)+1)/$B$3*100,"0")&amp;"%",IF(A87="","",IF(AA87="","결측",TEXT(AA87,"0.0%"))))</f>
        <v/>
      </c>
      <c r="V87">
        <f>IF(AF87=1,TEXT(AB87,"0.0%")&amp;" · 상위 "&amp;TEXT(($B$3-_xlfn.RANK.AVG(AI87,$AI$6:$AI$105,1)+1)/$B$3*100,"0")&amp;"%",IF(A87="","",IF(AB87="","결측",TEXT(AB87,"0.0%"))))</f>
        <v/>
      </c>
      <c r="W87">
        <f>IF(AF87=1,TEXT(AC87,"0.0%")&amp;" · 상위 "&amp;TEXT(($B$3-_xlfn.RANK.AVG(AJ87,$AJ$6:$AJ$105,1)+1)/$B$3*100,"0")&amp;"%",IF(A87="","",IF(AC87="","결측",TEXT(AC87,"0.0%"))))</f>
        <v/>
      </c>
      <c r="X87">
        <f>IF(A87="","",IF(AR87="","통과","제외: "&amp;AR87))</f>
        <v/>
      </c>
      <c r="Y87" s="21">
        <f>IF(AND(ISNUMBER(G87),ISNUMBER(H87)),IF(G87&gt;0,H87/G87,""),"")</f>
        <v/>
      </c>
      <c r="Z87" s="22">
        <f>IF(AND(ISNUMBER(F87),ISNUMBER(G87)),IF(G87&gt;0,F87/G87,""),"")</f>
        <v/>
      </c>
      <c r="AA87" s="22">
        <f>IF(AND(ISNUMBER(J87),ISNUMBER(K87)),IF(AND(J87&gt;0,K87&gt;0),(J87/K87)^(1/3)-1,""),"")</f>
        <v/>
      </c>
      <c r="AB87" s="22">
        <f>IF(AND(ISNUMBER(I87),ISNUMBER(L87),ISNUMBER(M87),ISNUMBER(N87)),IF((L87+M87-N87)&gt;0,I87/(L87+M87-N87),""),"")</f>
        <v/>
      </c>
      <c r="AC87" s="22">
        <f>IF(AND(ISNUMBER(O87),ISNUMBER(P87)),IF(AND(O87&gt;0,P87&gt;0),P87/O87-1,""),"")</f>
        <v/>
      </c>
      <c r="AD87">
        <f>_xlfn.TEXTJOIN(", ",TRUE,IF(Z87="","ROE",""),IF(AA87="","매출성장률",""),IF(AB87="","이익수익률",""),IF(AC87="","12-1 수익률",""))</f>
        <v/>
      </c>
      <c r="AE87">
        <f>IF(A87="","",IF(AR87&lt;&gt;"","점수 없음(거름망)",IF(AD87="","채점","점수 없음(결측: "&amp;AD87&amp;")")))</f>
        <v/>
      </c>
      <c r="AF87">
        <f>IF(AE87="채점",1,"")</f>
        <v/>
      </c>
      <c r="AG87">
        <f>IF(AF87=1,Z87,"")</f>
        <v/>
      </c>
      <c r="AH87">
        <f>IF(AF87=1,AA87,"")</f>
        <v/>
      </c>
      <c r="AI87">
        <f>IF(AF87=1,AB87,"")</f>
        <v/>
      </c>
      <c r="AJ87">
        <f>IF(AF87=1,AC87,"")</f>
        <v/>
      </c>
      <c r="AK87">
        <f>IF(AF87=1,IF($B$3=1,50,(_xlfn.RANK.AVG(AG87,$AG$6:$AG$105,1)-1)/($B$3-1)*100),"")</f>
        <v/>
      </c>
      <c r="AL87">
        <f>IF(AF87=1,IF($B$3=1,50,(_xlfn.RANK.AVG(AH87,$AH$6:$AH$105,1)-1)/($B$3-1)*100),"")</f>
        <v/>
      </c>
      <c r="AM87">
        <f>IF(AF87=1,IF($B$3=1,50,(_xlfn.RANK.AVG(AI87,$AI$6:$AI$105,1)-1)/($B$3-1)*100),"")</f>
        <v/>
      </c>
      <c r="AN87">
        <f>IF(AF87=1,IF($B$3=1,50,(_xlfn.RANK.AVG(AJ87,$AJ$6:$AJ$105,1)-1)/($B$3-1)*100),"")</f>
        <v/>
      </c>
      <c r="AO87">
        <f>IF(AF87=1,ROUND(AVERAGE(AK87:AN87),6),"")</f>
        <v/>
      </c>
      <c r="AP87">
        <f>IF(AND(AF87=1,C87&lt;&gt;"Y"),R87,"")</f>
        <v/>
      </c>
      <c r="AQ87">
        <f>IF(AND(ISNUMBER(AP87),Q87="편입 후보"),AP87+(1000-ROW())/1000000,"")</f>
        <v/>
      </c>
      <c r="AR87">
        <f>IF(A87="","",_xlfn.TEXTJOIN(", ",TRUE,IF(D87="Y","금융·리츠",""),IF(NOT(ISNUMBER(I87)),"영업이익 없음",IF(I87&lt;=0,"영업적자","")),IF(OR(NOT(ISNUMBER(G87)),NOT(ISNUMBER(H87))),"부채비율 자료 없음",IF(G87&lt;=0,"자본잠식",IF(H87/G87&gt;'설정'!$B$8,"부채비율 초과",""))),IF(NOT(ISNUMBER(L87)),"시총 없음",IF(L87&lt;'설정'!$B$9,"시총 미달",""))))</f>
        <v/>
      </c>
    </row>
    <row r="88">
      <c r="A88" s="18" t="n"/>
      <c r="B88" s="19" t="n"/>
      <c r="C88" s="19" t="n"/>
      <c r="D88" s="19" t="n"/>
      <c r="E88" s="19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7">
        <f>IF(A88="","",IF(C88="Y",IF(AF88=1,IF(AND(R88&lt;'설정'!$B$6,ISNUMBER($H$3)),IF(ROUND($H$3-R88,1)&gt;='설정'!$B$7,"교체 제안 → "&amp;$E$3&amp;" ("&amp;TEXT($H$3,"0.0")&amp;")","보유 유지"),"보유 유지"),"보유 · 점수 없음"),IF(AF88=1,IF(R88&gt;='설정'!$B$5,"편입 후보",""),"")))</f>
        <v/>
      </c>
      <c r="R88" s="15">
        <f>IF(AF88=1,ROUND(IF($B$3=1,50,(_xlfn.RANK.AVG(AO88,$AO$6:$AO$105,1)-1)/($B$3-1)*100),1),"")</f>
        <v/>
      </c>
      <c r="S88">
        <f>IF(A88="","",IF(AF88=1,_xlfn.TEXTJOIN(". ",TRUE,_xlfn.TEXTJOIN(", ",TRUE,IF(AK88&gt;='설정'!$B$20,"수익성 높음",""),IF(AL88&gt;='설정'!$B$20,"성장 빠름",""),IF(AM88&gt;='설정'!$B$20,"가격 쌈",""),IF(AN88&gt;='설정'!$B$20,"추세 좋음","")),_xlfn.TEXTJOIN(", ",TRUE,IF(AK88&lt;'설정'!$B$21,"수익성 낮음",""),IF(AL88&lt;'설정'!$B$21,"성장 느림",""),IF(AM88&lt;'설정'!$B$21,"가격 비쌈",""),IF(AN88&lt;'설정'!$B$21,"추세 약함","")),IF(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="","","보통: "&amp;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)),IF(X88="통과",AE88,X88)))</f>
        <v/>
      </c>
      <c r="T88">
        <f>IF(AF88=1,TEXT(Z88,"0.0%")&amp;" · 상위 "&amp;TEXT(($B$3-_xlfn.RANK.AVG(AG88,$AG$6:$AG$105,1)+1)/$B$3*100,"0")&amp;"%",IF(A88="","",IF(Z88="","결측",TEXT(Z88,"0.0%"))))</f>
        <v/>
      </c>
      <c r="U88">
        <f>IF(AF88=1,TEXT(AA88,"0.0%")&amp;" · 상위 "&amp;TEXT(($B$3-_xlfn.RANK.AVG(AH88,$AH$6:$AH$105,1)+1)/$B$3*100,"0")&amp;"%",IF(A88="","",IF(AA88="","결측",TEXT(AA88,"0.0%"))))</f>
        <v/>
      </c>
      <c r="V88">
        <f>IF(AF88=1,TEXT(AB88,"0.0%")&amp;" · 상위 "&amp;TEXT(($B$3-_xlfn.RANK.AVG(AI88,$AI$6:$AI$105,1)+1)/$B$3*100,"0")&amp;"%",IF(A88="","",IF(AB88="","결측",TEXT(AB88,"0.0%"))))</f>
        <v/>
      </c>
      <c r="W88">
        <f>IF(AF88=1,TEXT(AC88,"0.0%")&amp;" · 상위 "&amp;TEXT(($B$3-_xlfn.RANK.AVG(AJ88,$AJ$6:$AJ$105,1)+1)/$B$3*100,"0")&amp;"%",IF(A88="","",IF(AC88="","결측",TEXT(AC88,"0.0%"))))</f>
        <v/>
      </c>
      <c r="X88">
        <f>IF(A88="","",IF(AR88="","통과","제외: "&amp;AR88))</f>
        <v/>
      </c>
      <c r="Y88" s="21">
        <f>IF(AND(ISNUMBER(G88),ISNUMBER(H88)),IF(G88&gt;0,H88/G88,""),"")</f>
        <v/>
      </c>
      <c r="Z88" s="22">
        <f>IF(AND(ISNUMBER(F88),ISNUMBER(G88)),IF(G88&gt;0,F88/G88,""),"")</f>
        <v/>
      </c>
      <c r="AA88" s="22">
        <f>IF(AND(ISNUMBER(J88),ISNUMBER(K88)),IF(AND(J88&gt;0,K88&gt;0),(J88/K88)^(1/3)-1,""),"")</f>
        <v/>
      </c>
      <c r="AB88" s="22">
        <f>IF(AND(ISNUMBER(I88),ISNUMBER(L88),ISNUMBER(M88),ISNUMBER(N88)),IF((L88+M88-N88)&gt;0,I88/(L88+M88-N88),""),"")</f>
        <v/>
      </c>
      <c r="AC88" s="22">
        <f>IF(AND(ISNUMBER(O88),ISNUMBER(P88)),IF(AND(O88&gt;0,P88&gt;0),P88/O88-1,""),"")</f>
        <v/>
      </c>
      <c r="AD88">
        <f>_xlfn.TEXTJOIN(", ",TRUE,IF(Z88="","ROE",""),IF(AA88="","매출성장률",""),IF(AB88="","이익수익률",""),IF(AC88="","12-1 수익률",""))</f>
        <v/>
      </c>
      <c r="AE88">
        <f>IF(A88="","",IF(AR88&lt;&gt;"","점수 없음(거름망)",IF(AD88="","채점","점수 없음(결측: "&amp;AD88&amp;")")))</f>
        <v/>
      </c>
      <c r="AF88">
        <f>IF(AE88="채점",1,"")</f>
        <v/>
      </c>
      <c r="AG88">
        <f>IF(AF88=1,Z88,"")</f>
        <v/>
      </c>
      <c r="AH88">
        <f>IF(AF88=1,AA88,"")</f>
        <v/>
      </c>
      <c r="AI88">
        <f>IF(AF88=1,AB88,"")</f>
        <v/>
      </c>
      <c r="AJ88">
        <f>IF(AF88=1,AC88,"")</f>
        <v/>
      </c>
      <c r="AK88">
        <f>IF(AF88=1,IF($B$3=1,50,(_xlfn.RANK.AVG(AG88,$AG$6:$AG$105,1)-1)/($B$3-1)*100),"")</f>
        <v/>
      </c>
      <c r="AL88">
        <f>IF(AF88=1,IF($B$3=1,50,(_xlfn.RANK.AVG(AH88,$AH$6:$AH$105,1)-1)/($B$3-1)*100),"")</f>
        <v/>
      </c>
      <c r="AM88">
        <f>IF(AF88=1,IF($B$3=1,50,(_xlfn.RANK.AVG(AI88,$AI$6:$AI$105,1)-1)/($B$3-1)*100),"")</f>
        <v/>
      </c>
      <c r="AN88">
        <f>IF(AF88=1,IF($B$3=1,50,(_xlfn.RANK.AVG(AJ88,$AJ$6:$AJ$105,1)-1)/($B$3-1)*100),"")</f>
        <v/>
      </c>
      <c r="AO88">
        <f>IF(AF88=1,ROUND(AVERAGE(AK88:AN88),6),"")</f>
        <v/>
      </c>
      <c r="AP88">
        <f>IF(AND(AF88=1,C88&lt;&gt;"Y"),R88,"")</f>
        <v/>
      </c>
      <c r="AQ88">
        <f>IF(AND(ISNUMBER(AP88),Q88="편입 후보"),AP88+(1000-ROW())/1000000,"")</f>
        <v/>
      </c>
      <c r="AR88">
        <f>IF(A88="","",_xlfn.TEXTJOIN(", ",TRUE,IF(D88="Y","금융·리츠",""),IF(NOT(ISNUMBER(I88)),"영업이익 없음",IF(I88&lt;=0,"영업적자","")),IF(OR(NOT(ISNUMBER(G88)),NOT(ISNUMBER(H88))),"부채비율 자료 없음",IF(G88&lt;=0,"자본잠식",IF(H88/G88&gt;'설정'!$B$8,"부채비율 초과",""))),IF(NOT(ISNUMBER(L88)),"시총 없음",IF(L88&lt;'설정'!$B$9,"시총 미달",""))))</f>
        <v/>
      </c>
    </row>
    <row r="89">
      <c r="A89" s="18" t="n"/>
      <c r="B89" s="19" t="n"/>
      <c r="C89" s="19" t="n"/>
      <c r="D89" s="19" t="n"/>
      <c r="E89" s="19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7">
        <f>IF(A89="","",IF(C89="Y",IF(AF89=1,IF(AND(R89&lt;'설정'!$B$6,ISNUMBER($H$3)),IF(ROUND($H$3-R89,1)&gt;='설정'!$B$7,"교체 제안 → "&amp;$E$3&amp;" ("&amp;TEXT($H$3,"0.0")&amp;")","보유 유지"),"보유 유지"),"보유 · 점수 없음"),IF(AF89=1,IF(R89&gt;='설정'!$B$5,"편입 후보",""),"")))</f>
        <v/>
      </c>
      <c r="R89" s="15">
        <f>IF(AF89=1,ROUND(IF($B$3=1,50,(_xlfn.RANK.AVG(AO89,$AO$6:$AO$105,1)-1)/($B$3-1)*100),1),"")</f>
        <v/>
      </c>
      <c r="S89">
        <f>IF(A89="","",IF(AF89=1,_xlfn.TEXTJOIN(". ",TRUE,_xlfn.TEXTJOIN(", ",TRUE,IF(AK89&gt;='설정'!$B$20,"수익성 높음",""),IF(AL89&gt;='설정'!$B$20,"성장 빠름",""),IF(AM89&gt;='설정'!$B$20,"가격 쌈",""),IF(AN89&gt;='설정'!$B$20,"추세 좋음","")),_xlfn.TEXTJOIN(", ",TRUE,IF(AK89&lt;'설정'!$B$21,"수익성 낮음",""),IF(AL89&lt;'설정'!$B$21,"성장 느림",""),IF(AM89&lt;'설정'!$B$21,"가격 비쌈",""),IF(AN89&lt;'설정'!$B$21,"추세 약함","")),IF(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="","","보통: "&amp;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)),IF(X89="통과",AE89,X89)))</f>
        <v/>
      </c>
      <c r="T89">
        <f>IF(AF89=1,TEXT(Z89,"0.0%")&amp;" · 상위 "&amp;TEXT(($B$3-_xlfn.RANK.AVG(AG89,$AG$6:$AG$105,1)+1)/$B$3*100,"0")&amp;"%",IF(A89="","",IF(Z89="","결측",TEXT(Z89,"0.0%"))))</f>
        <v/>
      </c>
      <c r="U89">
        <f>IF(AF89=1,TEXT(AA89,"0.0%")&amp;" · 상위 "&amp;TEXT(($B$3-_xlfn.RANK.AVG(AH89,$AH$6:$AH$105,1)+1)/$B$3*100,"0")&amp;"%",IF(A89="","",IF(AA89="","결측",TEXT(AA89,"0.0%"))))</f>
        <v/>
      </c>
      <c r="V89">
        <f>IF(AF89=1,TEXT(AB89,"0.0%")&amp;" · 상위 "&amp;TEXT(($B$3-_xlfn.RANK.AVG(AI89,$AI$6:$AI$105,1)+1)/$B$3*100,"0")&amp;"%",IF(A89="","",IF(AB89="","결측",TEXT(AB89,"0.0%"))))</f>
        <v/>
      </c>
      <c r="W89">
        <f>IF(AF89=1,TEXT(AC89,"0.0%")&amp;" · 상위 "&amp;TEXT(($B$3-_xlfn.RANK.AVG(AJ89,$AJ$6:$AJ$105,1)+1)/$B$3*100,"0")&amp;"%",IF(A89="","",IF(AC89="","결측",TEXT(AC89,"0.0%"))))</f>
        <v/>
      </c>
      <c r="X89">
        <f>IF(A89="","",IF(AR89="","통과","제외: "&amp;AR89))</f>
        <v/>
      </c>
      <c r="Y89" s="21">
        <f>IF(AND(ISNUMBER(G89),ISNUMBER(H89)),IF(G89&gt;0,H89/G89,""),"")</f>
        <v/>
      </c>
      <c r="Z89" s="22">
        <f>IF(AND(ISNUMBER(F89),ISNUMBER(G89)),IF(G89&gt;0,F89/G89,""),"")</f>
        <v/>
      </c>
      <c r="AA89" s="22">
        <f>IF(AND(ISNUMBER(J89),ISNUMBER(K89)),IF(AND(J89&gt;0,K89&gt;0),(J89/K89)^(1/3)-1,""),"")</f>
        <v/>
      </c>
      <c r="AB89" s="22">
        <f>IF(AND(ISNUMBER(I89),ISNUMBER(L89),ISNUMBER(M89),ISNUMBER(N89)),IF((L89+M89-N89)&gt;0,I89/(L89+M89-N89),""),"")</f>
        <v/>
      </c>
      <c r="AC89" s="22">
        <f>IF(AND(ISNUMBER(O89),ISNUMBER(P89)),IF(AND(O89&gt;0,P89&gt;0),P89/O89-1,""),"")</f>
        <v/>
      </c>
      <c r="AD89">
        <f>_xlfn.TEXTJOIN(", ",TRUE,IF(Z89="","ROE",""),IF(AA89="","매출성장률",""),IF(AB89="","이익수익률",""),IF(AC89="","12-1 수익률",""))</f>
        <v/>
      </c>
      <c r="AE89">
        <f>IF(A89="","",IF(AR89&lt;&gt;"","점수 없음(거름망)",IF(AD89="","채점","점수 없음(결측: "&amp;AD89&amp;")")))</f>
        <v/>
      </c>
      <c r="AF89">
        <f>IF(AE89="채점",1,"")</f>
        <v/>
      </c>
      <c r="AG89">
        <f>IF(AF89=1,Z89,"")</f>
        <v/>
      </c>
      <c r="AH89">
        <f>IF(AF89=1,AA89,"")</f>
        <v/>
      </c>
      <c r="AI89">
        <f>IF(AF89=1,AB89,"")</f>
        <v/>
      </c>
      <c r="AJ89">
        <f>IF(AF89=1,AC89,"")</f>
        <v/>
      </c>
      <c r="AK89">
        <f>IF(AF89=1,IF($B$3=1,50,(_xlfn.RANK.AVG(AG89,$AG$6:$AG$105,1)-1)/($B$3-1)*100),"")</f>
        <v/>
      </c>
      <c r="AL89">
        <f>IF(AF89=1,IF($B$3=1,50,(_xlfn.RANK.AVG(AH89,$AH$6:$AH$105,1)-1)/($B$3-1)*100),"")</f>
        <v/>
      </c>
      <c r="AM89">
        <f>IF(AF89=1,IF($B$3=1,50,(_xlfn.RANK.AVG(AI89,$AI$6:$AI$105,1)-1)/($B$3-1)*100),"")</f>
        <v/>
      </c>
      <c r="AN89">
        <f>IF(AF89=1,IF($B$3=1,50,(_xlfn.RANK.AVG(AJ89,$AJ$6:$AJ$105,1)-1)/($B$3-1)*100),"")</f>
        <v/>
      </c>
      <c r="AO89">
        <f>IF(AF89=1,ROUND(AVERAGE(AK89:AN89),6),"")</f>
        <v/>
      </c>
      <c r="AP89">
        <f>IF(AND(AF89=1,C89&lt;&gt;"Y"),R89,"")</f>
        <v/>
      </c>
      <c r="AQ89">
        <f>IF(AND(ISNUMBER(AP89),Q89="편입 후보"),AP89+(1000-ROW())/1000000,"")</f>
        <v/>
      </c>
      <c r="AR89">
        <f>IF(A89="","",_xlfn.TEXTJOIN(", ",TRUE,IF(D89="Y","금융·리츠",""),IF(NOT(ISNUMBER(I89)),"영업이익 없음",IF(I89&lt;=0,"영업적자","")),IF(OR(NOT(ISNUMBER(G89)),NOT(ISNUMBER(H89))),"부채비율 자료 없음",IF(G89&lt;=0,"자본잠식",IF(H89/G89&gt;'설정'!$B$8,"부채비율 초과",""))),IF(NOT(ISNUMBER(L89)),"시총 없음",IF(L89&lt;'설정'!$B$9,"시총 미달",""))))</f>
        <v/>
      </c>
    </row>
    <row r="90">
      <c r="A90" s="18" t="n"/>
      <c r="B90" s="19" t="n"/>
      <c r="C90" s="19" t="n"/>
      <c r="D90" s="19" t="n"/>
      <c r="E90" s="19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7">
        <f>IF(A90="","",IF(C90="Y",IF(AF90=1,IF(AND(R90&lt;'설정'!$B$6,ISNUMBER($H$3)),IF(ROUND($H$3-R90,1)&gt;='설정'!$B$7,"교체 제안 → "&amp;$E$3&amp;" ("&amp;TEXT($H$3,"0.0")&amp;")","보유 유지"),"보유 유지"),"보유 · 점수 없음"),IF(AF90=1,IF(R90&gt;='설정'!$B$5,"편입 후보",""),"")))</f>
        <v/>
      </c>
      <c r="R90" s="15">
        <f>IF(AF90=1,ROUND(IF($B$3=1,50,(_xlfn.RANK.AVG(AO90,$AO$6:$AO$105,1)-1)/($B$3-1)*100),1),"")</f>
        <v/>
      </c>
      <c r="S90">
        <f>IF(A90="","",IF(AF90=1,_xlfn.TEXTJOIN(". ",TRUE,_xlfn.TEXTJOIN(", ",TRUE,IF(AK90&gt;='설정'!$B$20,"수익성 높음",""),IF(AL90&gt;='설정'!$B$20,"성장 빠름",""),IF(AM90&gt;='설정'!$B$20,"가격 쌈",""),IF(AN90&gt;='설정'!$B$20,"추세 좋음","")),_xlfn.TEXTJOIN(", ",TRUE,IF(AK90&lt;'설정'!$B$21,"수익성 낮음",""),IF(AL90&lt;'설정'!$B$21,"성장 느림",""),IF(AM90&lt;'설정'!$B$21,"가격 비쌈",""),IF(AN90&lt;'설정'!$B$21,"추세 약함","")),IF(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="","","보통: "&amp;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)),IF(X90="통과",AE90,X90)))</f>
        <v/>
      </c>
      <c r="T90">
        <f>IF(AF90=1,TEXT(Z90,"0.0%")&amp;" · 상위 "&amp;TEXT(($B$3-_xlfn.RANK.AVG(AG90,$AG$6:$AG$105,1)+1)/$B$3*100,"0")&amp;"%",IF(A90="","",IF(Z90="","결측",TEXT(Z90,"0.0%"))))</f>
        <v/>
      </c>
      <c r="U90">
        <f>IF(AF90=1,TEXT(AA90,"0.0%")&amp;" · 상위 "&amp;TEXT(($B$3-_xlfn.RANK.AVG(AH90,$AH$6:$AH$105,1)+1)/$B$3*100,"0")&amp;"%",IF(A90="","",IF(AA90="","결측",TEXT(AA90,"0.0%"))))</f>
        <v/>
      </c>
      <c r="V90">
        <f>IF(AF90=1,TEXT(AB90,"0.0%")&amp;" · 상위 "&amp;TEXT(($B$3-_xlfn.RANK.AVG(AI90,$AI$6:$AI$105,1)+1)/$B$3*100,"0")&amp;"%",IF(A90="","",IF(AB90="","결측",TEXT(AB90,"0.0%"))))</f>
        <v/>
      </c>
      <c r="W90">
        <f>IF(AF90=1,TEXT(AC90,"0.0%")&amp;" · 상위 "&amp;TEXT(($B$3-_xlfn.RANK.AVG(AJ90,$AJ$6:$AJ$105,1)+1)/$B$3*100,"0")&amp;"%",IF(A90="","",IF(AC90="","결측",TEXT(AC90,"0.0%"))))</f>
        <v/>
      </c>
      <c r="X90">
        <f>IF(A90="","",IF(AR90="","통과","제외: "&amp;AR90))</f>
        <v/>
      </c>
      <c r="Y90" s="21">
        <f>IF(AND(ISNUMBER(G90),ISNUMBER(H90)),IF(G90&gt;0,H90/G90,""),"")</f>
        <v/>
      </c>
      <c r="Z90" s="22">
        <f>IF(AND(ISNUMBER(F90),ISNUMBER(G90)),IF(G90&gt;0,F90/G90,""),"")</f>
        <v/>
      </c>
      <c r="AA90" s="22">
        <f>IF(AND(ISNUMBER(J90),ISNUMBER(K90)),IF(AND(J90&gt;0,K90&gt;0),(J90/K90)^(1/3)-1,""),"")</f>
        <v/>
      </c>
      <c r="AB90" s="22">
        <f>IF(AND(ISNUMBER(I90),ISNUMBER(L90),ISNUMBER(M90),ISNUMBER(N90)),IF((L90+M90-N90)&gt;0,I90/(L90+M90-N90),""),"")</f>
        <v/>
      </c>
      <c r="AC90" s="22">
        <f>IF(AND(ISNUMBER(O90),ISNUMBER(P90)),IF(AND(O90&gt;0,P90&gt;0),P90/O90-1,""),"")</f>
        <v/>
      </c>
      <c r="AD90">
        <f>_xlfn.TEXTJOIN(", ",TRUE,IF(Z90="","ROE",""),IF(AA90="","매출성장률",""),IF(AB90="","이익수익률",""),IF(AC90="","12-1 수익률",""))</f>
        <v/>
      </c>
      <c r="AE90">
        <f>IF(A90="","",IF(AR90&lt;&gt;"","점수 없음(거름망)",IF(AD90="","채점","점수 없음(결측: "&amp;AD90&amp;")")))</f>
        <v/>
      </c>
      <c r="AF90">
        <f>IF(AE90="채점",1,"")</f>
        <v/>
      </c>
      <c r="AG90">
        <f>IF(AF90=1,Z90,"")</f>
        <v/>
      </c>
      <c r="AH90">
        <f>IF(AF90=1,AA90,"")</f>
        <v/>
      </c>
      <c r="AI90">
        <f>IF(AF90=1,AB90,"")</f>
        <v/>
      </c>
      <c r="AJ90">
        <f>IF(AF90=1,AC90,"")</f>
        <v/>
      </c>
      <c r="AK90">
        <f>IF(AF90=1,IF($B$3=1,50,(_xlfn.RANK.AVG(AG90,$AG$6:$AG$105,1)-1)/($B$3-1)*100),"")</f>
        <v/>
      </c>
      <c r="AL90">
        <f>IF(AF90=1,IF($B$3=1,50,(_xlfn.RANK.AVG(AH90,$AH$6:$AH$105,1)-1)/($B$3-1)*100),"")</f>
        <v/>
      </c>
      <c r="AM90">
        <f>IF(AF90=1,IF($B$3=1,50,(_xlfn.RANK.AVG(AI90,$AI$6:$AI$105,1)-1)/($B$3-1)*100),"")</f>
        <v/>
      </c>
      <c r="AN90">
        <f>IF(AF90=1,IF($B$3=1,50,(_xlfn.RANK.AVG(AJ90,$AJ$6:$AJ$105,1)-1)/($B$3-1)*100),"")</f>
        <v/>
      </c>
      <c r="AO90">
        <f>IF(AF90=1,ROUND(AVERAGE(AK90:AN90),6),"")</f>
        <v/>
      </c>
      <c r="AP90">
        <f>IF(AND(AF90=1,C90&lt;&gt;"Y"),R90,"")</f>
        <v/>
      </c>
      <c r="AQ90">
        <f>IF(AND(ISNUMBER(AP90),Q90="편입 후보"),AP90+(1000-ROW())/1000000,"")</f>
        <v/>
      </c>
      <c r="AR90">
        <f>IF(A90="","",_xlfn.TEXTJOIN(", ",TRUE,IF(D90="Y","금융·리츠",""),IF(NOT(ISNUMBER(I90)),"영업이익 없음",IF(I90&lt;=0,"영업적자","")),IF(OR(NOT(ISNUMBER(G90)),NOT(ISNUMBER(H90))),"부채비율 자료 없음",IF(G90&lt;=0,"자본잠식",IF(H90/G90&gt;'설정'!$B$8,"부채비율 초과",""))),IF(NOT(ISNUMBER(L90)),"시총 없음",IF(L90&lt;'설정'!$B$9,"시총 미달",""))))</f>
        <v/>
      </c>
    </row>
    <row r="91">
      <c r="A91" s="18" t="n"/>
      <c r="B91" s="19" t="n"/>
      <c r="C91" s="19" t="n"/>
      <c r="D91" s="19" t="n"/>
      <c r="E91" s="19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7">
        <f>IF(A91="","",IF(C91="Y",IF(AF91=1,IF(AND(R91&lt;'설정'!$B$6,ISNUMBER($H$3)),IF(ROUND($H$3-R91,1)&gt;='설정'!$B$7,"교체 제안 → "&amp;$E$3&amp;" ("&amp;TEXT($H$3,"0.0")&amp;")","보유 유지"),"보유 유지"),"보유 · 점수 없음"),IF(AF91=1,IF(R91&gt;='설정'!$B$5,"편입 후보",""),"")))</f>
        <v/>
      </c>
      <c r="R91" s="15">
        <f>IF(AF91=1,ROUND(IF($B$3=1,50,(_xlfn.RANK.AVG(AO91,$AO$6:$AO$105,1)-1)/($B$3-1)*100),1),"")</f>
        <v/>
      </c>
      <c r="S91">
        <f>IF(A91="","",IF(AF91=1,_xlfn.TEXTJOIN(". ",TRUE,_xlfn.TEXTJOIN(", ",TRUE,IF(AK91&gt;='설정'!$B$20,"수익성 높음",""),IF(AL91&gt;='설정'!$B$20,"성장 빠름",""),IF(AM91&gt;='설정'!$B$20,"가격 쌈",""),IF(AN91&gt;='설정'!$B$20,"추세 좋음","")),_xlfn.TEXTJOIN(", ",TRUE,IF(AK91&lt;'설정'!$B$21,"수익성 낮음",""),IF(AL91&lt;'설정'!$B$21,"성장 느림",""),IF(AM91&lt;'설정'!$B$21,"가격 비쌈",""),IF(AN91&lt;'설정'!$B$21,"추세 약함","")),IF(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="","","보통: "&amp;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)),IF(X91="통과",AE91,X91)))</f>
        <v/>
      </c>
      <c r="T91">
        <f>IF(AF91=1,TEXT(Z91,"0.0%")&amp;" · 상위 "&amp;TEXT(($B$3-_xlfn.RANK.AVG(AG91,$AG$6:$AG$105,1)+1)/$B$3*100,"0")&amp;"%",IF(A91="","",IF(Z91="","결측",TEXT(Z91,"0.0%"))))</f>
        <v/>
      </c>
      <c r="U91">
        <f>IF(AF91=1,TEXT(AA91,"0.0%")&amp;" · 상위 "&amp;TEXT(($B$3-_xlfn.RANK.AVG(AH91,$AH$6:$AH$105,1)+1)/$B$3*100,"0")&amp;"%",IF(A91="","",IF(AA91="","결측",TEXT(AA91,"0.0%"))))</f>
        <v/>
      </c>
      <c r="V91">
        <f>IF(AF91=1,TEXT(AB91,"0.0%")&amp;" · 상위 "&amp;TEXT(($B$3-_xlfn.RANK.AVG(AI91,$AI$6:$AI$105,1)+1)/$B$3*100,"0")&amp;"%",IF(A91="","",IF(AB91="","결측",TEXT(AB91,"0.0%"))))</f>
        <v/>
      </c>
      <c r="W91">
        <f>IF(AF91=1,TEXT(AC91,"0.0%")&amp;" · 상위 "&amp;TEXT(($B$3-_xlfn.RANK.AVG(AJ91,$AJ$6:$AJ$105,1)+1)/$B$3*100,"0")&amp;"%",IF(A91="","",IF(AC91="","결측",TEXT(AC91,"0.0%"))))</f>
        <v/>
      </c>
      <c r="X91">
        <f>IF(A91="","",IF(AR91="","통과","제외: "&amp;AR91))</f>
        <v/>
      </c>
      <c r="Y91" s="21">
        <f>IF(AND(ISNUMBER(G91),ISNUMBER(H91)),IF(G91&gt;0,H91/G91,""),"")</f>
        <v/>
      </c>
      <c r="Z91" s="22">
        <f>IF(AND(ISNUMBER(F91),ISNUMBER(G91)),IF(G91&gt;0,F91/G91,""),"")</f>
        <v/>
      </c>
      <c r="AA91" s="22">
        <f>IF(AND(ISNUMBER(J91),ISNUMBER(K91)),IF(AND(J91&gt;0,K91&gt;0),(J91/K91)^(1/3)-1,""),"")</f>
        <v/>
      </c>
      <c r="AB91" s="22">
        <f>IF(AND(ISNUMBER(I91),ISNUMBER(L91),ISNUMBER(M91),ISNUMBER(N91)),IF((L91+M91-N91)&gt;0,I91/(L91+M91-N91),""),"")</f>
        <v/>
      </c>
      <c r="AC91" s="22">
        <f>IF(AND(ISNUMBER(O91),ISNUMBER(P91)),IF(AND(O91&gt;0,P91&gt;0),P91/O91-1,""),"")</f>
        <v/>
      </c>
      <c r="AD91">
        <f>_xlfn.TEXTJOIN(", ",TRUE,IF(Z91="","ROE",""),IF(AA91="","매출성장률",""),IF(AB91="","이익수익률",""),IF(AC91="","12-1 수익률",""))</f>
        <v/>
      </c>
      <c r="AE91">
        <f>IF(A91="","",IF(AR91&lt;&gt;"","점수 없음(거름망)",IF(AD91="","채점","점수 없음(결측: "&amp;AD91&amp;")")))</f>
        <v/>
      </c>
      <c r="AF91">
        <f>IF(AE91="채점",1,"")</f>
        <v/>
      </c>
      <c r="AG91">
        <f>IF(AF91=1,Z91,"")</f>
        <v/>
      </c>
      <c r="AH91">
        <f>IF(AF91=1,AA91,"")</f>
        <v/>
      </c>
      <c r="AI91">
        <f>IF(AF91=1,AB91,"")</f>
        <v/>
      </c>
      <c r="AJ91">
        <f>IF(AF91=1,AC91,"")</f>
        <v/>
      </c>
      <c r="AK91">
        <f>IF(AF91=1,IF($B$3=1,50,(_xlfn.RANK.AVG(AG91,$AG$6:$AG$105,1)-1)/($B$3-1)*100),"")</f>
        <v/>
      </c>
      <c r="AL91">
        <f>IF(AF91=1,IF($B$3=1,50,(_xlfn.RANK.AVG(AH91,$AH$6:$AH$105,1)-1)/($B$3-1)*100),"")</f>
        <v/>
      </c>
      <c r="AM91">
        <f>IF(AF91=1,IF($B$3=1,50,(_xlfn.RANK.AVG(AI91,$AI$6:$AI$105,1)-1)/($B$3-1)*100),"")</f>
        <v/>
      </c>
      <c r="AN91">
        <f>IF(AF91=1,IF($B$3=1,50,(_xlfn.RANK.AVG(AJ91,$AJ$6:$AJ$105,1)-1)/($B$3-1)*100),"")</f>
        <v/>
      </c>
      <c r="AO91">
        <f>IF(AF91=1,ROUND(AVERAGE(AK91:AN91),6),"")</f>
        <v/>
      </c>
      <c r="AP91">
        <f>IF(AND(AF91=1,C91&lt;&gt;"Y"),R91,"")</f>
        <v/>
      </c>
      <c r="AQ91">
        <f>IF(AND(ISNUMBER(AP91),Q91="편입 후보"),AP91+(1000-ROW())/1000000,"")</f>
        <v/>
      </c>
      <c r="AR91">
        <f>IF(A91="","",_xlfn.TEXTJOIN(", ",TRUE,IF(D91="Y","금융·리츠",""),IF(NOT(ISNUMBER(I91)),"영업이익 없음",IF(I91&lt;=0,"영업적자","")),IF(OR(NOT(ISNUMBER(G91)),NOT(ISNUMBER(H91))),"부채비율 자료 없음",IF(G91&lt;=0,"자본잠식",IF(H91/G91&gt;'설정'!$B$8,"부채비율 초과",""))),IF(NOT(ISNUMBER(L91)),"시총 없음",IF(L91&lt;'설정'!$B$9,"시총 미달",""))))</f>
        <v/>
      </c>
    </row>
    <row r="92">
      <c r="A92" s="18" t="n"/>
      <c r="B92" s="19" t="n"/>
      <c r="C92" s="19" t="n"/>
      <c r="D92" s="19" t="n"/>
      <c r="E92" s="19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7">
        <f>IF(A92="","",IF(C92="Y",IF(AF92=1,IF(AND(R92&lt;'설정'!$B$6,ISNUMBER($H$3)),IF(ROUND($H$3-R92,1)&gt;='설정'!$B$7,"교체 제안 → "&amp;$E$3&amp;" ("&amp;TEXT($H$3,"0.0")&amp;")","보유 유지"),"보유 유지"),"보유 · 점수 없음"),IF(AF92=1,IF(R92&gt;='설정'!$B$5,"편입 후보",""),"")))</f>
        <v/>
      </c>
      <c r="R92" s="15">
        <f>IF(AF92=1,ROUND(IF($B$3=1,50,(_xlfn.RANK.AVG(AO92,$AO$6:$AO$105,1)-1)/($B$3-1)*100),1),"")</f>
        <v/>
      </c>
      <c r="S92">
        <f>IF(A92="","",IF(AF92=1,_xlfn.TEXTJOIN(". ",TRUE,_xlfn.TEXTJOIN(", ",TRUE,IF(AK92&gt;='설정'!$B$20,"수익성 높음",""),IF(AL92&gt;='설정'!$B$20,"성장 빠름",""),IF(AM92&gt;='설정'!$B$20,"가격 쌈",""),IF(AN92&gt;='설정'!$B$20,"추세 좋음","")),_xlfn.TEXTJOIN(", ",TRUE,IF(AK92&lt;'설정'!$B$21,"수익성 낮음",""),IF(AL92&lt;'설정'!$B$21,"성장 느림",""),IF(AM92&lt;'설정'!$B$21,"가격 비쌈",""),IF(AN92&lt;'설정'!$B$21,"추세 약함","")),IF(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="","","보통: "&amp;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)),IF(X92="통과",AE92,X92)))</f>
        <v/>
      </c>
      <c r="T92">
        <f>IF(AF92=1,TEXT(Z92,"0.0%")&amp;" · 상위 "&amp;TEXT(($B$3-_xlfn.RANK.AVG(AG92,$AG$6:$AG$105,1)+1)/$B$3*100,"0")&amp;"%",IF(A92="","",IF(Z92="","결측",TEXT(Z92,"0.0%"))))</f>
        <v/>
      </c>
      <c r="U92">
        <f>IF(AF92=1,TEXT(AA92,"0.0%")&amp;" · 상위 "&amp;TEXT(($B$3-_xlfn.RANK.AVG(AH92,$AH$6:$AH$105,1)+1)/$B$3*100,"0")&amp;"%",IF(A92="","",IF(AA92="","결측",TEXT(AA92,"0.0%"))))</f>
        <v/>
      </c>
      <c r="V92">
        <f>IF(AF92=1,TEXT(AB92,"0.0%")&amp;" · 상위 "&amp;TEXT(($B$3-_xlfn.RANK.AVG(AI92,$AI$6:$AI$105,1)+1)/$B$3*100,"0")&amp;"%",IF(A92="","",IF(AB92="","결측",TEXT(AB92,"0.0%"))))</f>
        <v/>
      </c>
      <c r="W92">
        <f>IF(AF92=1,TEXT(AC92,"0.0%")&amp;" · 상위 "&amp;TEXT(($B$3-_xlfn.RANK.AVG(AJ92,$AJ$6:$AJ$105,1)+1)/$B$3*100,"0")&amp;"%",IF(A92="","",IF(AC92="","결측",TEXT(AC92,"0.0%"))))</f>
        <v/>
      </c>
      <c r="X92">
        <f>IF(A92="","",IF(AR92="","통과","제외: "&amp;AR92))</f>
        <v/>
      </c>
      <c r="Y92" s="21">
        <f>IF(AND(ISNUMBER(G92),ISNUMBER(H92)),IF(G92&gt;0,H92/G92,""),"")</f>
        <v/>
      </c>
      <c r="Z92" s="22">
        <f>IF(AND(ISNUMBER(F92),ISNUMBER(G92)),IF(G92&gt;0,F92/G92,""),"")</f>
        <v/>
      </c>
      <c r="AA92" s="22">
        <f>IF(AND(ISNUMBER(J92),ISNUMBER(K92)),IF(AND(J92&gt;0,K92&gt;0),(J92/K92)^(1/3)-1,""),"")</f>
        <v/>
      </c>
      <c r="AB92" s="22">
        <f>IF(AND(ISNUMBER(I92),ISNUMBER(L92),ISNUMBER(M92),ISNUMBER(N92)),IF((L92+M92-N92)&gt;0,I92/(L92+M92-N92),""),"")</f>
        <v/>
      </c>
      <c r="AC92" s="22">
        <f>IF(AND(ISNUMBER(O92),ISNUMBER(P92)),IF(AND(O92&gt;0,P92&gt;0),P92/O92-1,""),"")</f>
        <v/>
      </c>
      <c r="AD92">
        <f>_xlfn.TEXTJOIN(", ",TRUE,IF(Z92="","ROE",""),IF(AA92="","매출성장률",""),IF(AB92="","이익수익률",""),IF(AC92="","12-1 수익률",""))</f>
        <v/>
      </c>
      <c r="AE92">
        <f>IF(A92="","",IF(AR92&lt;&gt;"","점수 없음(거름망)",IF(AD92="","채점","점수 없음(결측: "&amp;AD92&amp;")")))</f>
        <v/>
      </c>
      <c r="AF92">
        <f>IF(AE92="채점",1,"")</f>
        <v/>
      </c>
      <c r="AG92">
        <f>IF(AF92=1,Z92,"")</f>
        <v/>
      </c>
      <c r="AH92">
        <f>IF(AF92=1,AA92,"")</f>
        <v/>
      </c>
      <c r="AI92">
        <f>IF(AF92=1,AB92,"")</f>
        <v/>
      </c>
      <c r="AJ92">
        <f>IF(AF92=1,AC92,"")</f>
        <v/>
      </c>
      <c r="AK92">
        <f>IF(AF92=1,IF($B$3=1,50,(_xlfn.RANK.AVG(AG92,$AG$6:$AG$105,1)-1)/($B$3-1)*100),"")</f>
        <v/>
      </c>
      <c r="AL92">
        <f>IF(AF92=1,IF($B$3=1,50,(_xlfn.RANK.AVG(AH92,$AH$6:$AH$105,1)-1)/($B$3-1)*100),"")</f>
        <v/>
      </c>
      <c r="AM92">
        <f>IF(AF92=1,IF($B$3=1,50,(_xlfn.RANK.AVG(AI92,$AI$6:$AI$105,1)-1)/($B$3-1)*100),"")</f>
        <v/>
      </c>
      <c r="AN92">
        <f>IF(AF92=1,IF($B$3=1,50,(_xlfn.RANK.AVG(AJ92,$AJ$6:$AJ$105,1)-1)/($B$3-1)*100),"")</f>
        <v/>
      </c>
      <c r="AO92">
        <f>IF(AF92=1,ROUND(AVERAGE(AK92:AN92),6),"")</f>
        <v/>
      </c>
      <c r="AP92">
        <f>IF(AND(AF92=1,C92&lt;&gt;"Y"),R92,"")</f>
        <v/>
      </c>
      <c r="AQ92">
        <f>IF(AND(ISNUMBER(AP92),Q92="편입 후보"),AP92+(1000-ROW())/1000000,"")</f>
        <v/>
      </c>
      <c r="AR92">
        <f>IF(A92="","",_xlfn.TEXTJOIN(", ",TRUE,IF(D92="Y","금융·리츠",""),IF(NOT(ISNUMBER(I92)),"영업이익 없음",IF(I92&lt;=0,"영업적자","")),IF(OR(NOT(ISNUMBER(G92)),NOT(ISNUMBER(H92))),"부채비율 자료 없음",IF(G92&lt;=0,"자본잠식",IF(H92/G92&gt;'설정'!$B$8,"부채비율 초과",""))),IF(NOT(ISNUMBER(L92)),"시총 없음",IF(L92&lt;'설정'!$B$9,"시총 미달",""))))</f>
        <v/>
      </c>
    </row>
    <row r="93">
      <c r="A93" s="18" t="n"/>
      <c r="B93" s="19" t="n"/>
      <c r="C93" s="19" t="n"/>
      <c r="D93" s="19" t="n"/>
      <c r="E93" s="19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7">
        <f>IF(A93="","",IF(C93="Y",IF(AF93=1,IF(AND(R93&lt;'설정'!$B$6,ISNUMBER($H$3)),IF(ROUND($H$3-R93,1)&gt;='설정'!$B$7,"교체 제안 → "&amp;$E$3&amp;" ("&amp;TEXT($H$3,"0.0")&amp;")","보유 유지"),"보유 유지"),"보유 · 점수 없음"),IF(AF93=1,IF(R93&gt;='설정'!$B$5,"편입 후보",""),"")))</f>
        <v/>
      </c>
      <c r="R93" s="15">
        <f>IF(AF93=1,ROUND(IF($B$3=1,50,(_xlfn.RANK.AVG(AO93,$AO$6:$AO$105,1)-1)/($B$3-1)*100),1),"")</f>
        <v/>
      </c>
      <c r="S93">
        <f>IF(A93="","",IF(AF93=1,_xlfn.TEXTJOIN(". ",TRUE,_xlfn.TEXTJOIN(", ",TRUE,IF(AK93&gt;='설정'!$B$20,"수익성 높음",""),IF(AL93&gt;='설정'!$B$20,"성장 빠름",""),IF(AM93&gt;='설정'!$B$20,"가격 쌈",""),IF(AN93&gt;='설정'!$B$20,"추세 좋음","")),_xlfn.TEXTJOIN(", ",TRUE,IF(AK93&lt;'설정'!$B$21,"수익성 낮음",""),IF(AL93&lt;'설정'!$B$21,"성장 느림",""),IF(AM93&lt;'설정'!$B$21,"가격 비쌈",""),IF(AN93&lt;'설정'!$B$21,"추세 약함","")),IF(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="","","보통: "&amp;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)),IF(X93="통과",AE93,X93)))</f>
        <v/>
      </c>
      <c r="T93">
        <f>IF(AF93=1,TEXT(Z93,"0.0%")&amp;" · 상위 "&amp;TEXT(($B$3-_xlfn.RANK.AVG(AG93,$AG$6:$AG$105,1)+1)/$B$3*100,"0")&amp;"%",IF(A93="","",IF(Z93="","결측",TEXT(Z93,"0.0%"))))</f>
        <v/>
      </c>
      <c r="U93">
        <f>IF(AF93=1,TEXT(AA93,"0.0%")&amp;" · 상위 "&amp;TEXT(($B$3-_xlfn.RANK.AVG(AH93,$AH$6:$AH$105,1)+1)/$B$3*100,"0")&amp;"%",IF(A93="","",IF(AA93="","결측",TEXT(AA93,"0.0%"))))</f>
        <v/>
      </c>
      <c r="V93">
        <f>IF(AF93=1,TEXT(AB93,"0.0%")&amp;" · 상위 "&amp;TEXT(($B$3-_xlfn.RANK.AVG(AI93,$AI$6:$AI$105,1)+1)/$B$3*100,"0")&amp;"%",IF(A93="","",IF(AB93="","결측",TEXT(AB93,"0.0%"))))</f>
        <v/>
      </c>
      <c r="W93">
        <f>IF(AF93=1,TEXT(AC93,"0.0%")&amp;" · 상위 "&amp;TEXT(($B$3-_xlfn.RANK.AVG(AJ93,$AJ$6:$AJ$105,1)+1)/$B$3*100,"0")&amp;"%",IF(A93="","",IF(AC93="","결측",TEXT(AC93,"0.0%"))))</f>
        <v/>
      </c>
      <c r="X93">
        <f>IF(A93="","",IF(AR93="","통과","제외: "&amp;AR93))</f>
        <v/>
      </c>
      <c r="Y93" s="21">
        <f>IF(AND(ISNUMBER(G93),ISNUMBER(H93)),IF(G93&gt;0,H93/G93,""),"")</f>
        <v/>
      </c>
      <c r="Z93" s="22">
        <f>IF(AND(ISNUMBER(F93),ISNUMBER(G93)),IF(G93&gt;0,F93/G93,""),"")</f>
        <v/>
      </c>
      <c r="AA93" s="22">
        <f>IF(AND(ISNUMBER(J93),ISNUMBER(K93)),IF(AND(J93&gt;0,K93&gt;0),(J93/K93)^(1/3)-1,""),"")</f>
        <v/>
      </c>
      <c r="AB93" s="22">
        <f>IF(AND(ISNUMBER(I93),ISNUMBER(L93),ISNUMBER(M93),ISNUMBER(N93)),IF((L93+M93-N93)&gt;0,I93/(L93+M93-N93),""),"")</f>
        <v/>
      </c>
      <c r="AC93" s="22">
        <f>IF(AND(ISNUMBER(O93),ISNUMBER(P93)),IF(AND(O93&gt;0,P93&gt;0),P93/O93-1,""),"")</f>
        <v/>
      </c>
      <c r="AD93">
        <f>_xlfn.TEXTJOIN(", ",TRUE,IF(Z93="","ROE",""),IF(AA93="","매출성장률",""),IF(AB93="","이익수익률",""),IF(AC93="","12-1 수익률",""))</f>
        <v/>
      </c>
      <c r="AE93">
        <f>IF(A93="","",IF(AR93&lt;&gt;"","점수 없음(거름망)",IF(AD93="","채점","점수 없음(결측: "&amp;AD93&amp;")")))</f>
        <v/>
      </c>
      <c r="AF93">
        <f>IF(AE93="채점",1,"")</f>
        <v/>
      </c>
      <c r="AG93">
        <f>IF(AF93=1,Z93,"")</f>
        <v/>
      </c>
      <c r="AH93">
        <f>IF(AF93=1,AA93,"")</f>
        <v/>
      </c>
      <c r="AI93">
        <f>IF(AF93=1,AB93,"")</f>
        <v/>
      </c>
      <c r="AJ93">
        <f>IF(AF93=1,AC93,"")</f>
        <v/>
      </c>
      <c r="AK93">
        <f>IF(AF93=1,IF($B$3=1,50,(_xlfn.RANK.AVG(AG93,$AG$6:$AG$105,1)-1)/($B$3-1)*100),"")</f>
        <v/>
      </c>
      <c r="AL93">
        <f>IF(AF93=1,IF($B$3=1,50,(_xlfn.RANK.AVG(AH93,$AH$6:$AH$105,1)-1)/($B$3-1)*100),"")</f>
        <v/>
      </c>
      <c r="AM93">
        <f>IF(AF93=1,IF($B$3=1,50,(_xlfn.RANK.AVG(AI93,$AI$6:$AI$105,1)-1)/($B$3-1)*100),"")</f>
        <v/>
      </c>
      <c r="AN93">
        <f>IF(AF93=1,IF($B$3=1,50,(_xlfn.RANK.AVG(AJ93,$AJ$6:$AJ$105,1)-1)/($B$3-1)*100),"")</f>
        <v/>
      </c>
      <c r="AO93">
        <f>IF(AF93=1,ROUND(AVERAGE(AK93:AN93),6),"")</f>
        <v/>
      </c>
      <c r="AP93">
        <f>IF(AND(AF93=1,C93&lt;&gt;"Y"),R93,"")</f>
        <v/>
      </c>
      <c r="AQ93">
        <f>IF(AND(ISNUMBER(AP93),Q93="편입 후보"),AP93+(1000-ROW())/1000000,"")</f>
        <v/>
      </c>
      <c r="AR93">
        <f>IF(A93="","",_xlfn.TEXTJOIN(", ",TRUE,IF(D93="Y","금융·리츠",""),IF(NOT(ISNUMBER(I93)),"영업이익 없음",IF(I93&lt;=0,"영업적자","")),IF(OR(NOT(ISNUMBER(G93)),NOT(ISNUMBER(H93))),"부채비율 자료 없음",IF(G93&lt;=0,"자본잠식",IF(H93/G93&gt;'설정'!$B$8,"부채비율 초과",""))),IF(NOT(ISNUMBER(L93)),"시총 없음",IF(L93&lt;'설정'!$B$9,"시총 미달",""))))</f>
        <v/>
      </c>
    </row>
    <row r="94">
      <c r="A94" s="18" t="n"/>
      <c r="B94" s="19" t="n"/>
      <c r="C94" s="19" t="n"/>
      <c r="D94" s="19" t="n"/>
      <c r="E94" s="19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7">
        <f>IF(A94="","",IF(C94="Y",IF(AF94=1,IF(AND(R94&lt;'설정'!$B$6,ISNUMBER($H$3)),IF(ROUND($H$3-R94,1)&gt;='설정'!$B$7,"교체 제안 → "&amp;$E$3&amp;" ("&amp;TEXT($H$3,"0.0")&amp;")","보유 유지"),"보유 유지"),"보유 · 점수 없음"),IF(AF94=1,IF(R94&gt;='설정'!$B$5,"편입 후보",""),"")))</f>
        <v/>
      </c>
      <c r="R94" s="15">
        <f>IF(AF94=1,ROUND(IF($B$3=1,50,(_xlfn.RANK.AVG(AO94,$AO$6:$AO$105,1)-1)/($B$3-1)*100),1),"")</f>
        <v/>
      </c>
      <c r="S94">
        <f>IF(A94="","",IF(AF94=1,_xlfn.TEXTJOIN(". ",TRUE,_xlfn.TEXTJOIN(", ",TRUE,IF(AK94&gt;='설정'!$B$20,"수익성 높음",""),IF(AL94&gt;='설정'!$B$20,"성장 빠름",""),IF(AM94&gt;='설정'!$B$20,"가격 쌈",""),IF(AN94&gt;='설정'!$B$20,"추세 좋음","")),_xlfn.TEXTJOIN(", ",TRUE,IF(AK94&lt;'설정'!$B$21,"수익성 낮음",""),IF(AL94&lt;'설정'!$B$21,"성장 느림",""),IF(AM94&lt;'설정'!$B$21,"가격 비쌈",""),IF(AN94&lt;'설정'!$B$21,"추세 약함","")),IF(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="","","보통: "&amp;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)),IF(X94="통과",AE94,X94)))</f>
        <v/>
      </c>
      <c r="T94">
        <f>IF(AF94=1,TEXT(Z94,"0.0%")&amp;" · 상위 "&amp;TEXT(($B$3-_xlfn.RANK.AVG(AG94,$AG$6:$AG$105,1)+1)/$B$3*100,"0")&amp;"%",IF(A94="","",IF(Z94="","결측",TEXT(Z94,"0.0%"))))</f>
        <v/>
      </c>
      <c r="U94">
        <f>IF(AF94=1,TEXT(AA94,"0.0%")&amp;" · 상위 "&amp;TEXT(($B$3-_xlfn.RANK.AVG(AH94,$AH$6:$AH$105,1)+1)/$B$3*100,"0")&amp;"%",IF(A94="","",IF(AA94="","결측",TEXT(AA94,"0.0%"))))</f>
        <v/>
      </c>
      <c r="V94">
        <f>IF(AF94=1,TEXT(AB94,"0.0%")&amp;" · 상위 "&amp;TEXT(($B$3-_xlfn.RANK.AVG(AI94,$AI$6:$AI$105,1)+1)/$B$3*100,"0")&amp;"%",IF(A94="","",IF(AB94="","결측",TEXT(AB94,"0.0%"))))</f>
        <v/>
      </c>
      <c r="W94">
        <f>IF(AF94=1,TEXT(AC94,"0.0%")&amp;" · 상위 "&amp;TEXT(($B$3-_xlfn.RANK.AVG(AJ94,$AJ$6:$AJ$105,1)+1)/$B$3*100,"0")&amp;"%",IF(A94="","",IF(AC94="","결측",TEXT(AC94,"0.0%"))))</f>
        <v/>
      </c>
      <c r="X94">
        <f>IF(A94="","",IF(AR94="","통과","제외: "&amp;AR94))</f>
        <v/>
      </c>
      <c r="Y94" s="21">
        <f>IF(AND(ISNUMBER(G94),ISNUMBER(H94)),IF(G94&gt;0,H94/G94,""),"")</f>
        <v/>
      </c>
      <c r="Z94" s="22">
        <f>IF(AND(ISNUMBER(F94),ISNUMBER(G94)),IF(G94&gt;0,F94/G94,""),"")</f>
        <v/>
      </c>
      <c r="AA94" s="22">
        <f>IF(AND(ISNUMBER(J94),ISNUMBER(K94)),IF(AND(J94&gt;0,K94&gt;0),(J94/K94)^(1/3)-1,""),"")</f>
        <v/>
      </c>
      <c r="AB94" s="22">
        <f>IF(AND(ISNUMBER(I94),ISNUMBER(L94),ISNUMBER(M94),ISNUMBER(N94)),IF((L94+M94-N94)&gt;0,I94/(L94+M94-N94),""),"")</f>
        <v/>
      </c>
      <c r="AC94" s="22">
        <f>IF(AND(ISNUMBER(O94),ISNUMBER(P94)),IF(AND(O94&gt;0,P94&gt;0),P94/O94-1,""),"")</f>
        <v/>
      </c>
      <c r="AD94">
        <f>_xlfn.TEXTJOIN(", ",TRUE,IF(Z94="","ROE",""),IF(AA94="","매출성장률",""),IF(AB94="","이익수익률",""),IF(AC94="","12-1 수익률",""))</f>
        <v/>
      </c>
      <c r="AE94">
        <f>IF(A94="","",IF(AR94&lt;&gt;"","점수 없음(거름망)",IF(AD94="","채점","점수 없음(결측: "&amp;AD94&amp;")")))</f>
        <v/>
      </c>
      <c r="AF94">
        <f>IF(AE94="채점",1,"")</f>
        <v/>
      </c>
      <c r="AG94">
        <f>IF(AF94=1,Z94,"")</f>
        <v/>
      </c>
      <c r="AH94">
        <f>IF(AF94=1,AA94,"")</f>
        <v/>
      </c>
      <c r="AI94">
        <f>IF(AF94=1,AB94,"")</f>
        <v/>
      </c>
      <c r="AJ94">
        <f>IF(AF94=1,AC94,"")</f>
        <v/>
      </c>
      <c r="AK94">
        <f>IF(AF94=1,IF($B$3=1,50,(_xlfn.RANK.AVG(AG94,$AG$6:$AG$105,1)-1)/($B$3-1)*100),"")</f>
        <v/>
      </c>
      <c r="AL94">
        <f>IF(AF94=1,IF($B$3=1,50,(_xlfn.RANK.AVG(AH94,$AH$6:$AH$105,1)-1)/($B$3-1)*100),"")</f>
        <v/>
      </c>
      <c r="AM94">
        <f>IF(AF94=1,IF($B$3=1,50,(_xlfn.RANK.AVG(AI94,$AI$6:$AI$105,1)-1)/($B$3-1)*100),"")</f>
        <v/>
      </c>
      <c r="AN94">
        <f>IF(AF94=1,IF($B$3=1,50,(_xlfn.RANK.AVG(AJ94,$AJ$6:$AJ$105,1)-1)/($B$3-1)*100),"")</f>
        <v/>
      </c>
      <c r="AO94">
        <f>IF(AF94=1,ROUND(AVERAGE(AK94:AN94),6),"")</f>
        <v/>
      </c>
      <c r="AP94">
        <f>IF(AND(AF94=1,C94&lt;&gt;"Y"),R94,"")</f>
        <v/>
      </c>
      <c r="AQ94">
        <f>IF(AND(ISNUMBER(AP94),Q94="편입 후보"),AP94+(1000-ROW())/1000000,"")</f>
        <v/>
      </c>
      <c r="AR94">
        <f>IF(A94="","",_xlfn.TEXTJOIN(", ",TRUE,IF(D94="Y","금융·리츠",""),IF(NOT(ISNUMBER(I94)),"영업이익 없음",IF(I94&lt;=0,"영업적자","")),IF(OR(NOT(ISNUMBER(G94)),NOT(ISNUMBER(H94))),"부채비율 자료 없음",IF(G94&lt;=0,"자본잠식",IF(H94/G94&gt;'설정'!$B$8,"부채비율 초과",""))),IF(NOT(ISNUMBER(L94)),"시총 없음",IF(L94&lt;'설정'!$B$9,"시총 미달",""))))</f>
        <v/>
      </c>
    </row>
    <row r="95">
      <c r="A95" s="18" t="n"/>
      <c r="B95" s="19" t="n"/>
      <c r="C95" s="19" t="n"/>
      <c r="D95" s="19" t="n"/>
      <c r="E95" s="19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7">
        <f>IF(A95="","",IF(C95="Y",IF(AF95=1,IF(AND(R95&lt;'설정'!$B$6,ISNUMBER($H$3)),IF(ROUND($H$3-R95,1)&gt;='설정'!$B$7,"교체 제안 → "&amp;$E$3&amp;" ("&amp;TEXT($H$3,"0.0")&amp;")","보유 유지"),"보유 유지"),"보유 · 점수 없음"),IF(AF95=1,IF(R95&gt;='설정'!$B$5,"편입 후보",""),"")))</f>
        <v/>
      </c>
      <c r="R95" s="15">
        <f>IF(AF95=1,ROUND(IF($B$3=1,50,(_xlfn.RANK.AVG(AO95,$AO$6:$AO$105,1)-1)/($B$3-1)*100),1),"")</f>
        <v/>
      </c>
      <c r="S95">
        <f>IF(A95="","",IF(AF95=1,_xlfn.TEXTJOIN(". ",TRUE,_xlfn.TEXTJOIN(", ",TRUE,IF(AK95&gt;='설정'!$B$20,"수익성 높음",""),IF(AL95&gt;='설정'!$B$20,"성장 빠름",""),IF(AM95&gt;='설정'!$B$20,"가격 쌈",""),IF(AN95&gt;='설정'!$B$20,"추세 좋음","")),_xlfn.TEXTJOIN(", ",TRUE,IF(AK95&lt;'설정'!$B$21,"수익성 낮음",""),IF(AL95&lt;'설정'!$B$21,"성장 느림",""),IF(AM95&lt;'설정'!$B$21,"가격 비쌈",""),IF(AN95&lt;'설정'!$B$21,"추세 약함","")),IF(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="","","보통: "&amp;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)),IF(X95="통과",AE95,X95)))</f>
        <v/>
      </c>
      <c r="T95">
        <f>IF(AF95=1,TEXT(Z95,"0.0%")&amp;" · 상위 "&amp;TEXT(($B$3-_xlfn.RANK.AVG(AG95,$AG$6:$AG$105,1)+1)/$B$3*100,"0")&amp;"%",IF(A95="","",IF(Z95="","결측",TEXT(Z95,"0.0%"))))</f>
        <v/>
      </c>
      <c r="U95">
        <f>IF(AF95=1,TEXT(AA95,"0.0%")&amp;" · 상위 "&amp;TEXT(($B$3-_xlfn.RANK.AVG(AH95,$AH$6:$AH$105,1)+1)/$B$3*100,"0")&amp;"%",IF(A95="","",IF(AA95="","결측",TEXT(AA95,"0.0%"))))</f>
        <v/>
      </c>
      <c r="V95">
        <f>IF(AF95=1,TEXT(AB95,"0.0%")&amp;" · 상위 "&amp;TEXT(($B$3-_xlfn.RANK.AVG(AI95,$AI$6:$AI$105,1)+1)/$B$3*100,"0")&amp;"%",IF(A95="","",IF(AB95="","결측",TEXT(AB95,"0.0%"))))</f>
        <v/>
      </c>
      <c r="W95">
        <f>IF(AF95=1,TEXT(AC95,"0.0%")&amp;" · 상위 "&amp;TEXT(($B$3-_xlfn.RANK.AVG(AJ95,$AJ$6:$AJ$105,1)+1)/$B$3*100,"0")&amp;"%",IF(A95="","",IF(AC95="","결측",TEXT(AC95,"0.0%"))))</f>
        <v/>
      </c>
      <c r="X95">
        <f>IF(A95="","",IF(AR95="","통과","제외: "&amp;AR95))</f>
        <v/>
      </c>
      <c r="Y95" s="21">
        <f>IF(AND(ISNUMBER(G95),ISNUMBER(H95)),IF(G95&gt;0,H95/G95,""),"")</f>
        <v/>
      </c>
      <c r="Z95" s="22">
        <f>IF(AND(ISNUMBER(F95),ISNUMBER(G95)),IF(G95&gt;0,F95/G95,""),"")</f>
        <v/>
      </c>
      <c r="AA95" s="22">
        <f>IF(AND(ISNUMBER(J95),ISNUMBER(K95)),IF(AND(J95&gt;0,K95&gt;0),(J95/K95)^(1/3)-1,""),"")</f>
        <v/>
      </c>
      <c r="AB95" s="22">
        <f>IF(AND(ISNUMBER(I95),ISNUMBER(L95),ISNUMBER(M95),ISNUMBER(N95)),IF((L95+M95-N95)&gt;0,I95/(L95+M95-N95),""),"")</f>
        <v/>
      </c>
      <c r="AC95" s="22">
        <f>IF(AND(ISNUMBER(O95),ISNUMBER(P95)),IF(AND(O95&gt;0,P95&gt;0),P95/O95-1,""),"")</f>
        <v/>
      </c>
      <c r="AD95">
        <f>_xlfn.TEXTJOIN(", ",TRUE,IF(Z95="","ROE",""),IF(AA95="","매출성장률",""),IF(AB95="","이익수익률",""),IF(AC95="","12-1 수익률",""))</f>
        <v/>
      </c>
      <c r="AE95">
        <f>IF(A95="","",IF(AR95&lt;&gt;"","점수 없음(거름망)",IF(AD95="","채점","점수 없음(결측: "&amp;AD95&amp;")")))</f>
        <v/>
      </c>
      <c r="AF95">
        <f>IF(AE95="채점",1,"")</f>
        <v/>
      </c>
      <c r="AG95">
        <f>IF(AF95=1,Z95,"")</f>
        <v/>
      </c>
      <c r="AH95">
        <f>IF(AF95=1,AA95,"")</f>
        <v/>
      </c>
      <c r="AI95">
        <f>IF(AF95=1,AB95,"")</f>
        <v/>
      </c>
      <c r="AJ95">
        <f>IF(AF95=1,AC95,"")</f>
        <v/>
      </c>
      <c r="AK95">
        <f>IF(AF95=1,IF($B$3=1,50,(_xlfn.RANK.AVG(AG95,$AG$6:$AG$105,1)-1)/($B$3-1)*100),"")</f>
        <v/>
      </c>
      <c r="AL95">
        <f>IF(AF95=1,IF($B$3=1,50,(_xlfn.RANK.AVG(AH95,$AH$6:$AH$105,1)-1)/($B$3-1)*100),"")</f>
        <v/>
      </c>
      <c r="AM95">
        <f>IF(AF95=1,IF($B$3=1,50,(_xlfn.RANK.AVG(AI95,$AI$6:$AI$105,1)-1)/($B$3-1)*100),"")</f>
        <v/>
      </c>
      <c r="AN95">
        <f>IF(AF95=1,IF($B$3=1,50,(_xlfn.RANK.AVG(AJ95,$AJ$6:$AJ$105,1)-1)/($B$3-1)*100),"")</f>
        <v/>
      </c>
      <c r="AO95">
        <f>IF(AF95=1,ROUND(AVERAGE(AK95:AN95),6),"")</f>
        <v/>
      </c>
      <c r="AP95">
        <f>IF(AND(AF95=1,C95&lt;&gt;"Y"),R95,"")</f>
        <v/>
      </c>
      <c r="AQ95">
        <f>IF(AND(ISNUMBER(AP95),Q95="편입 후보"),AP95+(1000-ROW())/1000000,"")</f>
        <v/>
      </c>
      <c r="AR95">
        <f>IF(A95="","",_xlfn.TEXTJOIN(", ",TRUE,IF(D95="Y","금융·리츠",""),IF(NOT(ISNUMBER(I95)),"영업이익 없음",IF(I95&lt;=0,"영업적자","")),IF(OR(NOT(ISNUMBER(G95)),NOT(ISNUMBER(H95))),"부채비율 자료 없음",IF(G95&lt;=0,"자본잠식",IF(H95/G95&gt;'설정'!$B$8,"부채비율 초과",""))),IF(NOT(ISNUMBER(L95)),"시총 없음",IF(L95&lt;'설정'!$B$9,"시총 미달",""))))</f>
        <v/>
      </c>
    </row>
    <row r="96">
      <c r="A96" s="18" t="n"/>
      <c r="B96" s="19" t="n"/>
      <c r="C96" s="19" t="n"/>
      <c r="D96" s="19" t="n"/>
      <c r="E96" s="19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7">
        <f>IF(A96="","",IF(C96="Y",IF(AF96=1,IF(AND(R96&lt;'설정'!$B$6,ISNUMBER($H$3)),IF(ROUND($H$3-R96,1)&gt;='설정'!$B$7,"교체 제안 → "&amp;$E$3&amp;" ("&amp;TEXT($H$3,"0.0")&amp;")","보유 유지"),"보유 유지"),"보유 · 점수 없음"),IF(AF96=1,IF(R96&gt;='설정'!$B$5,"편입 후보",""),"")))</f>
        <v/>
      </c>
      <c r="R96" s="15">
        <f>IF(AF96=1,ROUND(IF($B$3=1,50,(_xlfn.RANK.AVG(AO96,$AO$6:$AO$105,1)-1)/($B$3-1)*100),1),"")</f>
        <v/>
      </c>
      <c r="S96">
        <f>IF(A96="","",IF(AF96=1,_xlfn.TEXTJOIN(". ",TRUE,_xlfn.TEXTJOIN(", ",TRUE,IF(AK96&gt;='설정'!$B$20,"수익성 높음",""),IF(AL96&gt;='설정'!$B$20,"성장 빠름",""),IF(AM96&gt;='설정'!$B$20,"가격 쌈",""),IF(AN96&gt;='설정'!$B$20,"추세 좋음","")),_xlfn.TEXTJOIN(", ",TRUE,IF(AK96&lt;'설정'!$B$21,"수익성 낮음",""),IF(AL96&lt;'설정'!$B$21,"성장 느림",""),IF(AM96&lt;'설정'!$B$21,"가격 비쌈",""),IF(AN96&lt;'설정'!$B$21,"추세 약함","")),IF(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="","","보통: "&amp;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)),IF(X96="통과",AE96,X96)))</f>
        <v/>
      </c>
      <c r="T96">
        <f>IF(AF96=1,TEXT(Z96,"0.0%")&amp;" · 상위 "&amp;TEXT(($B$3-_xlfn.RANK.AVG(AG96,$AG$6:$AG$105,1)+1)/$B$3*100,"0")&amp;"%",IF(A96="","",IF(Z96="","결측",TEXT(Z96,"0.0%"))))</f>
        <v/>
      </c>
      <c r="U96">
        <f>IF(AF96=1,TEXT(AA96,"0.0%")&amp;" · 상위 "&amp;TEXT(($B$3-_xlfn.RANK.AVG(AH96,$AH$6:$AH$105,1)+1)/$B$3*100,"0")&amp;"%",IF(A96="","",IF(AA96="","결측",TEXT(AA96,"0.0%"))))</f>
        <v/>
      </c>
      <c r="V96">
        <f>IF(AF96=1,TEXT(AB96,"0.0%")&amp;" · 상위 "&amp;TEXT(($B$3-_xlfn.RANK.AVG(AI96,$AI$6:$AI$105,1)+1)/$B$3*100,"0")&amp;"%",IF(A96="","",IF(AB96="","결측",TEXT(AB96,"0.0%"))))</f>
        <v/>
      </c>
      <c r="W96">
        <f>IF(AF96=1,TEXT(AC96,"0.0%")&amp;" · 상위 "&amp;TEXT(($B$3-_xlfn.RANK.AVG(AJ96,$AJ$6:$AJ$105,1)+1)/$B$3*100,"0")&amp;"%",IF(A96="","",IF(AC96="","결측",TEXT(AC96,"0.0%"))))</f>
        <v/>
      </c>
      <c r="X96">
        <f>IF(A96="","",IF(AR96="","통과","제외: "&amp;AR96))</f>
        <v/>
      </c>
      <c r="Y96" s="21">
        <f>IF(AND(ISNUMBER(G96),ISNUMBER(H96)),IF(G96&gt;0,H96/G96,""),"")</f>
        <v/>
      </c>
      <c r="Z96" s="22">
        <f>IF(AND(ISNUMBER(F96),ISNUMBER(G96)),IF(G96&gt;0,F96/G96,""),"")</f>
        <v/>
      </c>
      <c r="AA96" s="22">
        <f>IF(AND(ISNUMBER(J96),ISNUMBER(K96)),IF(AND(J96&gt;0,K96&gt;0),(J96/K96)^(1/3)-1,""),"")</f>
        <v/>
      </c>
      <c r="AB96" s="22">
        <f>IF(AND(ISNUMBER(I96),ISNUMBER(L96),ISNUMBER(M96),ISNUMBER(N96)),IF((L96+M96-N96)&gt;0,I96/(L96+M96-N96),""),"")</f>
        <v/>
      </c>
      <c r="AC96" s="22">
        <f>IF(AND(ISNUMBER(O96),ISNUMBER(P96)),IF(AND(O96&gt;0,P96&gt;0),P96/O96-1,""),"")</f>
        <v/>
      </c>
      <c r="AD96">
        <f>_xlfn.TEXTJOIN(", ",TRUE,IF(Z96="","ROE",""),IF(AA96="","매출성장률",""),IF(AB96="","이익수익률",""),IF(AC96="","12-1 수익률",""))</f>
        <v/>
      </c>
      <c r="AE96">
        <f>IF(A96="","",IF(AR96&lt;&gt;"","점수 없음(거름망)",IF(AD96="","채점","점수 없음(결측: "&amp;AD96&amp;")")))</f>
        <v/>
      </c>
      <c r="AF96">
        <f>IF(AE96="채점",1,"")</f>
        <v/>
      </c>
      <c r="AG96">
        <f>IF(AF96=1,Z96,"")</f>
        <v/>
      </c>
      <c r="AH96">
        <f>IF(AF96=1,AA96,"")</f>
        <v/>
      </c>
      <c r="AI96">
        <f>IF(AF96=1,AB96,"")</f>
        <v/>
      </c>
      <c r="AJ96">
        <f>IF(AF96=1,AC96,"")</f>
        <v/>
      </c>
      <c r="AK96">
        <f>IF(AF96=1,IF($B$3=1,50,(_xlfn.RANK.AVG(AG96,$AG$6:$AG$105,1)-1)/($B$3-1)*100),"")</f>
        <v/>
      </c>
      <c r="AL96">
        <f>IF(AF96=1,IF($B$3=1,50,(_xlfn.RANK.AVG(AH96,$AH$6:$AH$105,1)-1)/($B$3-1)*100),"")</f>
        <v/>
      </c>
      <c r="AM96">
        <f>IF(AF96=1,IF($B$3=1,50,(_xlfn.RANK.AVG(AI96,$AI$6:$AI$105,1)-1)/($B$3-1)*100),"")</f>
        <v/>
      </c>
      <c r="AN96">
        <f>IF(AF96=1,IF($B$3=1,50,(_xlfn.RANK.AVG(AJ96,$AJ$6:$AJ$105,1)-1)/($B$3-1)*100),"")</f>
        <v/>
      </c>
      <c r="AO96">
        <f>IF(AF96=1,ROUND(AVERAGE(AK96:AN96),6),"")</f>
        <v/>
      </c>
      <c r="AP96">
        <f>IF(AND(AF96=1,C96&lt;&gt;"Y"),R96,"")</f>
        <v/>
      </c>
      <c r="AQ96">
        <f>IF(AND(ISNUMBER(AP96),Q96="편입 후보"),AP96+(1000-ROW())/1000000,"")</f>
        <v/>
      </c>
      <c r="AR96">
        <f>IF(A96="","",_xlfn.TEXTJOIN(", ",TRUE,IF(D96="Y","금융·리츠",""),IF(NOT(ISNUMBER(I96)),"영업이익 없음",IF(I96&lt;=0,"영업적자","")),IF(OR(NOT(ISNUMBER(G96)),NOT(ISNUMBER(H96))),"부채비율 자료 없음",IF(G96&lt;=0,"자본잠식",IF(H96/G96&gt;'설정'!$B$8,"부채비율 초과",""))),IF(NOT(ISNUMBER(L96)),"시총 없음",IF(L96&lt;'설정'!$B$9,"시총 미달",""))))</f>
        <v/>
      </c>
    </row>
    <row r="97">
      <c r="A97" s="18" t="n"/>
      <c r="B97" s="19" t="n"/>
      <c r="C97" s="19" t="n"/>
      <c r="D97" s="19" t="n"/>
      <c r="E97" s="19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7">
        <f>IF(A97="","",IF(C97="Y",IF(AF97=1,IF(AND(R97&lt;'설정'!$B$6,ISNUMBER($H$3)),IF(ROUND($H$3-R97,1)&gt;='설정'!$B$7,"교체 제안 → "&amp;$E$3&amp;" ("&amp;TEXT($H$3,"0.0")&amp;")","보유 유지"),"보유 유지"),"보유 · 점수 없음"),IF(AF97=1,IF(R97&gt;='설정'!$B$5,"편입 후보",""),"")))</f>
        <v/>
      </c>
      <c r="R97" s="15">
        <f>IF(AF97=1,ROUND(IF($B$3=1,50,(_xlfn.RANK.AVG(AO97,$AO$6:$AO$105,1)-1)/($B$3-1)*100),1),"")</f>
        <v/>
      </c>
      <c r="S97">
        <f>IF(A97="","",IF(AF97=1,_xlfn.TEXTJOIN(". ",TRUE,_xlfn.TEXTJOIN(", ",TRUE,IF(AK97&gt;='설정'!$B$20,"수익성 높음",""),IF(AL97&gt;='설정'!$B$20,"성장 빠름",""),IF(AM97&gt;='설정'!$B$20,"가격 쌈",""),IF(AN97&gt;='설정'!$B$20,"추세 좋음","")),_xlfn.TEXTJOIN(", ",TRUE,IF(AK97&lt;'설정'!$B$21,"수익성 낮음",""),IF(AL97&lt;'설정'!$B$21,"성장 느림",""),IF(AM97&lt;'설정'!$B$21,"가격 비쌈",""),IF(AN97&lt;'설정'!$B$21,"추세 약함","")),IF(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="","","보통: "&amp;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)),IF(X97="통과",AE97,X97)))</f>
        <v/>
      </c>
      <c r="T97">
        <f>IF(AF97=1,TEXT(Z97,"0.0%")&amp;" · 상위 "&amp;TEXT(($B$3-_xlfn.RANK.AVG(AG97,$AG$6:$AG$105,1)+1)/$B$3*100,"0")&amp;"%",IF(A97="","",IF(Z97="","결측",TEXT(Z97,"0.0%"))))</f>
        <v/>
      </c>
      <c r="U97">
        <f>IF(AF97=1,TEXT(AA97,"0.0%")&amp;" · 상위 "&amp;TEXT(($B$3-_xlfn.RANK.AVG(AH97,$AH$6:$AH$105,1)+1)/$B$3*100,"0")&amp;"%",IF(A97="","",IF(AA97="","결측",TEXT(AA97,"0.0%"))))</f>
        <v/>
      </c>
      <c r="V97">
        <f>IF(AF97=1,TEXT(AB97,"0.0%")&amp;" · 상위 "&amp;TEXT(($B$3-_xlfn.RANK.AVG(AI97,$AI$6:$AI$105,1)+1)/$B$3*100,"0")&amp;"%",IF(A97="","",IF(AB97="","결측",TEXT(AB97,"0.0%"))))</f>
        <v/>
      </c>
      <c r="W97">
        <f>IF(AF97=1,TEXT(AC97,"0.0%")&amp;" · 상위 "&amp;TEXT(($B$3-_xlfn.RANK.AVG(AJ97,$AJ$6:$AJ$105,1)+1)/$B$3*100,"0")&amp;"%",IF(A97="","",IF(AC97="","결측",TEXT(AC97,"0.0%"))))</f>
        <v/>
      </c>
      <c r="X97">
        <f>IF(A97="","",IF(AR97="","통과","제외: "&amp;AR97))</f>
        <v/>
      </c>
      <c r="Y97" s="21">
        <f>IF(AND(ISNUMBER(G97),ISNUMBER(H97)),IF(G97&gt;0,H97/G97,""),"")</f>
        <v/>
      </c>
      <c r="Z97" s="22">
        <f>IF(AND(ISNUMBER(F97),ISNUMBER(G97)),IF(G97&gt;0,F97/G97,""),"")</f>
        <v/>
      </c>
      <c r="AA97" s="22">
        <f>IF(AND(ISNUMBER(J97),ISNUMBER(K97)),IF(AND(J97&gt;0,K97&gt;0),(J97/K97)^(1/3)-1,""),"")</f>
        <v/>
      </c>
      <c r="AB97" s="22">
        <f>IF(AND(ISNUMBER(I97),ISNUMBER(L97),ISNUMBER(M97),ISNUMBER(N97)),IF((L97+M97-N97)&gt;0,I97/(L97+M97-N97),""),"")</f>
        <v/>
      </c>
      <c r="AC97" s="22">
        <f>IF(AND(ISNUMBER(O97),ISNUMBER(P97)),IF(AND(O97&gt;0,P97&gt;0),P97/O97-1,""),"")</f>
        <v/>
      </c>
      <c r="AD97">
        <f>_xlfn.TEXTJOIN(", ",TRUE,IF(Z97="","ROE",""),IF(AA97="","매출성장률",""),IF(AB97="","이익수익률",""),IF(AC97="","12-1 수익률",""))</f>
        <v/>
      </c>
      <c r="AE97">
        <f>IF(A97="","",IF(AR97&lt;&gt;"","점수 없음(거름망)",IF(AD97="","채점","점수 없음(결측: "&amp;AD97&amp;")")))</f>
        <v/>
      </c>
      <c r="AF97">
        <f>IF(AE97="채점",1,"")</f>
        <v/>
      </c>
      <c r="AG97">
        <f>IF(AF97=1,Z97,"")</f>
        <v/>
      </c>
      <c r="AH97">
        <f>IF(AF97=1,AA97,"")</f>
        <v/>
      </c>
      <c r="AI97">
        <f>IF(AF97=1,AB97,"")</f>
        <v/>
      </c>
      <c r="AJ97">
        <f>IF(AF97=1,AC97,"")</f>
        <v/>
      </c>
      <c r="AK97">
        <f>IF(AF97=1,IF($B$3=1,50,(_xlfn.RANK.AVG(AG97,$AG$6:$AG$105,1)-1)/($B$3-1)*100),"")</f>
        <v/>
      </c>
      <c r="AL97">
        <f>IF(AF97=1,IF($B$3=1,50,(_xlfn.RANK.AVG(AH97,$AH$6:$AH$105,1)-1)/($B$3-1)*100),"")</f>
        <v/>
      </c>
      <c r="AM97">
        <f>IF(AF97=1,IF($B$3=1,50,(_xlfn.RANK.AVG(AI97,$AI$6:$AI$105,1)-1)/($B$3-1)*100),"")</f>
        <v/>
      </c>
      <c r="AN97">
        <f>IF(AF97=1,IF($B$3=1,50,(_xlfn.RANK.AVG(AJ97,$AJ$6:$AJ$105,1)-1)/($B$3-1)*100),"")</f>
        <v/>
      </c>
      <c r="AO97">
        <f>IF(AF97=1,ROUND(AVERAGE(AK97:AN97),6),"")</f>
        <v/>
      </c>
      <c r="AP97">
        <f>IF(AND(AF97=1,C97&lt;&gt;"Y"),R97,"")</f>
        <v/>
      </c>
      <c r="AQ97">
        <f>IF(AND(ISNUMBER(AP97),Q97="편입 후보"),AP97+(1000-ROW())/1000000,"")</f>
        <v/>
      </c>
      <c r="AR97">
        <f>IF(A97="","",_xlfn.TEXTJOIN(", ",TRUE,IF(D97="Y","금융·리츠",""),IF(NOT(ISNUMBER(I97)),"영업이익 없음",IF(I97&lt;=0,"영업적자","")),IF(OR(NOT(ISNUMBER(G97)),NOT(ISNUMBER(H97))),"부채비율 자료 없음",IF(G97&lt;=0,"자본잠식",IF(H97/G97&gt;'설정'!$B$8,"부채비율 초과",""))),IF(NOT(ISNUMBER(L97)),"시총 없음",IF(L97&lt;'설정'!$B$9,"시총 미달",""))))</f>
        <v/>
      </c>
    </row>
    <row r="98">
      <c r="A98" s="18" t="n"/>
      <c r="B98" s="19" t="n"/>
      <c r="C98" s="19" t="n"/>
      <c r="D98" s="19" t="n"/>
      <c r="E98" s="19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7">
        <f>IF(A98="","",IF(C98="Y",IF(AF98=1,IF(AND(R98&lt;'설정'!$B$6,ISNUMBER($H$3)),IF(ROUND($H$3-R98,1)&gt;='설정'!$B$7,"교체 제안 → "&amp;$E$3&amp;" ("&amp;TEXT($H$3,"0.0")&amp;")","보유 유지"),"보유 유지"),"보유 · 점수 없음"),IF(AF98=1,IF(R98&gt;='설정'!$B$5,"편입 후보",""),"")))</f>
        <v/>
      </c>
      <c r="R98" s="15">
        <f>IF(AF98=1,ROUND(IF($B$3=1,50,(_xlfn.RANK.AVG(AO98,$AO$6:$AO$105,1)-1)/($B$3-1)*100),1),"")</f>
        <v/>
      </c>
      <c r="S98">
        <f>IF(A98="","",IF(AF98=1,_xlfn.TEXTJOIN(". ",TRUE,_xlfn.TEXTJOIN(", ",TRUE,IF(AK98&gt;='설정'!$B$20,"수익성 높음",""),IF(AL98&gt;='설정'!$B$20,"성장 빠름",""),IF(AM98&gt;='설정'!$B$20,"가격 쌈",""),IF(AN98&gt;='설정'!$B$20,"추세 좋음","")),_xlfn.TEXTJOIN(", ",TRUE,IF(AK98&lt;'설정'!$B$21,"수익성 낮음",""),IF(AL98&lt;'설정'!$B$21,"성장 느림",""),IF(AM98&lt;'설정'!$B$21,"가격 비쌈",""),IF(AN98&lt;'설정'!$B$21,"추세 약함","")),IF(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="","","보통: "&amp;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)),IF(X98="통과",AE98,X98)))</f>
        <v/>
      </c>
      <c r="T98">
        <f>IF(AF98=1,TEXT(Z98,"0.0%")&amp;" · 상위 "&amp;TEXT(($B$3-_xlfn.RANK.AVG(AG98,$AG$6:$AG$105,1)+1)/$B$3*100,"0")&amp;"%",IF(A98="","",IF(Z98="","결측",TEXT(Z98,"0.0%"))))</f>
        <v/>
      </c>
      <c r="U98">
        <f>IF(AF98=1,TEXT(AA98,"0.0%")&amp;" · 상위 "&amp;TEXT(($B$3-_xlfn.RANK.AVG(AH98,$AH$6:$AH$105,1)+1)/$B$3*100,"0")&amp;"%",IF(A98="","",IF(AA98="","결측",TEXT(AA98,"0.0%"))))</f>
        <v/>
      </c>
      <c r="V98">
        <f>IF(AF98=1,TEXT(AB98,"0.0%")&amp;" · 상위 "&amp;TEXT(($B$3-_xlfn.RANK.AVG(AI98,$AI$6:$AI$105,1)+1)/$B$3*100,"0")&amp;"%",IF(A98="","",IF(AB98="","결측",TEXT(AB98,"0.0%"))))</f>
        <v/>
      </c>
      <c r="W98">
        <f>IF(AF98=1,TEXT(AC98,"0.0%")&amp;" · 상위 "&amp;TEXT(($B$3-_xlfn.RANK.AVG(AJ98,$AJ$6:$AJ$105,1)+1)/$B$3*100,"0")&amp;"%",IF(A98="","",IF(AC98="","결측",TEXT(AC98,"0.0%"))))</f>
        <v/>
      </c>
      <c r="X98">
        <f>IF(A98="","",IF(AR98="","통과","제외: "&amp;AR98))</f>
        <v/>
      </c>
      <c r="Y98" s="21">
        <f>IF(AND(ISNUMBER(G98),ISNUMBER(H98)),IF(G98&gt;0,H98/G98,""),"")</f>
        <v/>
      </c>
      <c r="Z98" s="22">
        <f>IF(AND(ISNUMBER(F98),ISNUMBER(G98)),IF(G98&gt;0,F98/G98,""),"")</f>
        <v/>
      </c>
      <c r="AA98" s="22">
        <f>IF(AND(ISNUMBER(J98),ISNUMBER(K98)),IF(AND(J98&gt;0,K98&gt;0),(J98/K98)^(1/3)-1,""),"")</f>
        <v/>
      </c>
      <c r="AB98" s="22">
        <f>IF(AND(ISNUMBER(I98),ISNUMBER(L98),ISNUMBER(M98),ISNUMBER(N98)),IF((L98+M98-N98)&gt;0,I98/(L98+M98-N98),""),"")</f>
        <v/>
      </c>
      <c r="AC98" s="22">
        <f>IF(AND(ISNUMBER(O98),ISNUMBER(P98)),IF(AND(O98&gt;0,P98&gt;0),P98/O98-1,""),"")</f>
        <v/>
      </c>
      <c r="AD98">
        <f>_xlfn.TEXTJOIN(", ",TRUE,IF(Z98="","ROE",""),IF(AA98="","매출성장률",""),IF(AB98="","이익수익률",""),IF(AC98="","12-1 수익률",""))</f>
        <v/>
      </c>
      <c r="AE98">
        <f>IF(A98="","",IF(AR98&lt;&gt;"","점수 없음(거름망)",IF(AD98="","채점","점수 없음(결측: "&amp;AD98&amp;")")))</f>
        <v/>
      </c>
      <c r="AF98">
        <f>IF(AE98="채점",1,"")</f>
        <v/>
      </c>
      <c r="AG98">
        <f>IF(AF98=1,Z98,"")</f>
        <v/>
      </c>
      <c r="AH98">
        <f>IF(AF98=1,AA98,"")</f>
        <v/>
      </c>
      <c r="AI98">
        <f>IF(AF98=1,AB98,"")</f>
        <v/>
      </c>
      <c r="AJ98">
        <f>IF(AF98=1,AC98,"")</f>
        <v/>
      </c>
      <c r="AK98">
        <f>IF(AF98=1,IF($B$3=1,50,(_xlfn.RANK.AVG(AG98,$AG$6:$AG$105,1)-1)/($B$3-1)*100),"")</f>
        <v/>
      </c>
      <c r="AL98">
        <f>IF(AF98=1,IF($B$3=1,50,(_xlfn.RANK.AVG(AH98,$AH$6:$AH$105,1)-1)/($B$3-1)*100),"")</f>
        <v/>
      </c>
      <c r="AM98">
        <f>IF(AF98=1,IF($B$3=1,50,(_xlfn.RANK.AVG(AI98,$AI$6:$AI$105,1)-1)/($B$3-1)*100),"")</f>
        <v/>
      </c>
      <c r="AN98">
        <f>IF(AF98=1,IF($B$3=1,50,(_xlfn.RANK.AVG(AJ98,$AJ$6:$AJ$105,1)-1)/($B$3-1)*100),"")</f>
        <v/>
      </c>
      <c r="AO98">
        <f>IF(AF98=1,ROUND(AVERAGE(AK98:AN98),6),"")</f>
        <v/>
      </c>
      <c r="AP98">
        <f>IF(AND(AF98=1,C98&lt;&gt;"Y"),R98,"")</f>
        <v/>
      </c>
      <c r="AQ98">
        <f>IF(AND(ISNUMBER(AP98),Q98="편입 후보"),AP98+(1000-ROW())/1000000,"")</f>
        <v/>
      </c>
      <c r="AR98">
        <f>IF(A98="","",_xlfn.TEXTJOIN(", ",TRUE,IF(D98="Y","금융·리츠",""),IF(NOT(ISNUMBER(I98)),"영업이익 없음",IF(I98&lt;=0,"영업적자","")),IF(OR(NOT(ISNUMBER(G98)),NOT(ISNUMBER(H98))),"부채비율 자료 없음",IF(G98&lt;=0,"자본잠식",IF(H98/G98&gt;'설정'!$B$8,"부채비율 초과",""))),IF(NOT(ISNUMBER(L98)),"시총 없음",IF(L98&lt;'설정'!$B$9,"시총 미달",""))))</f>
        <v/>
      </c>
    </row>
    <row r="99">
      <c r="A99" s="18" t="n"/>
      <c r="B99" s="19" t="n"/>
      <c r="C99" s="19" t="n"/>
      <c r="D99" s="19" t="n"/>
      <c r="E99" s="19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7">
        <f>IF(A99="","",IF(C99="Y",IF(AF99=1,IF(AND(R99&lt;'설정'!$B$6,ISNUMBER($H$3)),IF(ROUND($H$3-R99,1)&gt;='설정'!$B$7,"교체 제안 → "&amp;$E$3&amp;" ("&amp;TEXT($H$3,"0.0")&amp;")","보유 유지"),"보유 유지"),"보유 · 점수 없음"),IF(AF99=1,IF(R99&gt;='설정'!$B$5,"편입 후보",""),"")))</f>
        <v/>
      </c>
      <c r="R99" s="15">
        <f>IF(AF99=1,ROUND(IF($B$3=1,50,(_xlfn.RANK.AVG(AO99,$AO$6:$AO$105,1)-1)/($B$3-1)*100),1),"")</f>
        <v/>
      </c>
      <c r="S99">
        <f>IF(A99="","",IF(AF99=1,_xlfn.TEXTJOIN(". ",TRUE,_xlfn.TEXTJOIN(", ",TRUE,IF(AK99&gt;='설정'!$B$20,"수익성 높음",""),IF(AL99&gt;='설정'!$B$20,"성장 빠름",""),IF(AM99&gt;='설정'!$B$20,"가격 쌈",""),IF(AN99&gt;='설정'!$B$20,"추세 좋음","")),_xlfn.TEXTJOIN(", ",TRUE,IF(AK99&lt;'설정'!$B$21,"수익성 낮음",""),IF(AL99&lt;'설정'!$B$21,"성장 느림",""),IF(AM99&lt;'설정'!$B$21,"가격 비쌈",""),IF(AN99&lt;'설정'!$B$21,"추세 약함","")),IF(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="","","보통: "&amp;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)),IF(X99="통과",AE99,X99)))</f>
        <v/>
      </c>
      <c r="T99">
        <f>IF(AF99=1,TEXT(Z99,"0.0%")&amp;" · 상위 "&amp;TEXT(($B$3-_xlfn.RANK.AVG(AG99,$AG$6:$AG$105,1)+1)/$B$3*100,"0")&amp;"%",IF(A99="","",IF(Z99="","결측",TEXT(Z99,"0.0%"))))</f>
        <v/>
      </c>
      <c r="U99">
        <f>IF(AF99=1,TEXT(AA99,"0.0%")&amp;" · 상위 "&amp;TEXT(($B$3-_xlfn.RANK.AVG(AH99,$AH$6:$AH$105,1)+1)/$B$3*100,"0")&amp;"%",IF(A99="","",IF(AA99="","결측",TEXT(AA99,"0.0%"))))</f>
        <v/>
      </c>
      <c r="V99">
        <f>IF(AF99=1,TEXT(AB99,"0.0%")&amp;" · 상위 "&amp;TEXT(($B$3-_xlfn.RANK.AVG(AI99,$AI$6:$AI$105,1)+1)/$B$3*100,"0")&amp;"%",IF(A99="","",IF(AB99="","결측",TEXT(AB99,"0.0%"))))</f>
        <v/>
      </c>
      <c r="W99">
        <f>IF(AF99=1,TEXT(AC99,"0.0%")&amp;" · 상위 "&amp;TEXT(($B$3-_xlfn.RANK.AVG(AJ99,$AJ$6:$AJ$105,1)+1)/$B$3*100,"0")&amp;"%",IF(A99="","",IF(AC99="","결측",TEXT(AC99,"0.0%"))))</f>
        <v/>
      </c>
      <c r="X99">
        <f>IF(A99="","",IF(AR99="","통과","제외: "&amp;AR99))</f>
        <v/>
      </c>
      <c r="Y99" s="21">
        <f>IF(AND(ISNUMBER(G99),ISNUMBER(H99)),IF(G99&gt;0,H99/G99,""),"")</f>
        <v/>
      </c>
      <c r="Z99" s="22">
        <f>IF(AND(ISNUMBER(F99),ISNUMBER(G99)),IF(G99&gt;0,F99/G99,""),"")</f>
        <v/>
      </c>
      <c r="AA99" s="22">
        <f>IF(AND(ISNUMBER(J99),ISNUMBER(K99)),IF(AND(J99&gt;0,K99&gt;0),(J99/K99)^(1/3)-1,""),"")</f>
        <v/>
      </c>
      <c r="AB99" s="22">
        <f>IF(AND(ISNUMBER(I99),ISNUMBER(L99),ISNUMBER(M99),ISNUMBER(N99)),IF((L99+M99-N99)&gt;0,I99/(L99+M99-N99),""),"")</f>
        <v/>
      </c>
      <c r="AC99" s="22">
        <f>IF(AND(ISNUMBER(O99),ISNUMBER(P99)),IF(AND(O99&gt;0,P99&gt;0),P99/O99-1,""),"")</f>
        <v/>
      </c>
      <c r="AD99">
        <f>_xlfn.TEXTJOIN(", ",TRUE,IF(Z99="","ROE",""),IF(AA99="","매출성장률",""),IF(AB99="","이익수익률",""),IF(AC99="","12-1 수익률",""))</f>
        <v/>
      </c>
      <c r="AE99">
        <f>IF(A99="","",IF(AR99&lt;&gt;"","점수 없음(거름망)",IF(AD99="","채점","점수 없음(결측: "&amp;AD99&amp;")")))</f>
        <v/>
      </c>
      <c r="AF99">
        <f>IF(AE99="채점",1,"")</f>
        <v/>
      </c>
      <c r="AG99">
        <f>IF(AF99=1,Z99,"")</f>
        <v/>
      </c>
      <c r="AH99">
        <f>IF(AF99=1,AA99,"")</f>
        <v/>
      </c>
      <c r="AI99">
        <f>IF(AF99=1,AB99,"")</f>
        <v/>
      </c>
      <c r="AJ99">
        <f>IF(AF99=1,AC99,"")</f>
        <v/>
      </c>
      <c r="AK99">
        <f>IF(AF99=1,IF($B$3=1,50,(_xlfn.RANK.AVG(AG99,$AG$6:$AG$105,1)-1)/($B$3-1)*100),"")</f>
        <v/>
      </c>
      <c r="AL99">
        <f>IF(AF99=1,IF($B$3=1,50,(_xlfn.RANK.AVG(AH99,$AH$6:$AH$105,1)-1)/($B$3-1)*100),"")</f>
        <v/>
      </c>
      <c r="AM99">
        <f>IF(AF99=1,IF($B$3=1,50,(_xlfn.RANK.AVG(AI99,$AI$6:$AI$105,1)-1)/($B$3-1)*100),"")</f>
        <v/>
      </c>
      <c r="AN99">
        <f>IF(AF99=1,IF($B$3=1,50,(_xlfn.RANK.AVG(AJ99,$AJ$6:$AJ$105,1)-1)/($B$3-1)*100),"")</f>
        <v/>
      </c>
      <c r="AO99">
        <f>IF(AF99=1,ROUND(AVERAGE(AK99:AN99),6),"")</f>
        <v/>
      </c>
      <c r="AP99">
        <f>IF(AND(AF99=1,C99&lt;&gt;"Y"),R99,"")</f>
        <v/>
      </c>
      <c r="AQ99">
        <f>IF(AND(ISNUMBER(AP99),Q99="편입 후보"),AP99+(1000-ROW())/1000000,"")</f>
        <v/>
      </c>
      <c r="AR99">
        <f>IF(A99="","",_xlfn.TEXTJOIN(", ",TRUE,IF(D99="Y","금융·리츠",""),IF(NOT(ISNUMBER(I99)),"영업이익 없음",IF(I99&lt;=0,"영업적자","")),IF(OR(NOT(ISNUMBER(G99)),NOT(ISNUMBER(H99))),"부채비율 자료 없음",IF(G99&lt;=0,"자본잠식",IF(H99/G99&gt;'설정'!$B$8,"부채비율 초과",""))),IF(NOT(ISNUMBER(L99)),"시총 없음",IF(L99&lt;'설정'!$B$9,"시총 미달",""))))</f>
        <v/>
      </c>
    </row>
    <row r="100">
      <c r="A100" s="18" t="n"/>
      <c r="B100" s="19" t="n"/>
      <c r="C100" s="19" t="n"/>
      <c r="D100" s="19" t="n"/>
      <c r="E100" s="19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7">
        <f>IF(A100="","",IF(C100="Y",IF(AF100=1,IF(AND(R100&lt;'설정'!$B$6,ISNUMBER($H$3)),IF(ROUND($H$3-R100,1)&gt;='설정'!$B$7,"교체 제안 → "&amp;$E$3&amp;" ("&amp;TEXT($H$3,"0.0")&amp;")","보유 유지"),"보유 유지"),"보유 · 점수 없음"),IF(AF100=1,IF(R100&gt;='설정'!$B$5,"편입 후보",""),"")))</f>
        <v/>
      </c>
      <c r="R100" s="15">
        <f>IF(AF100=1,ROUND(IF($B$3=1,50,(_xlfn.RANK.AVG(AO100,$AO$6:$AO$105,1)-1)/($B$3-1)*100),1),"")</f>
        <v/>
      </c>
      <c r="S100">
        <f>IF(A100="","",IF(AF100=1,_xlfn.TEXTJOIN(". ",TRUE,_xlfn.TEXTJOIN(", ",TRUE,IF(AK100&gt;='설정'!$B$20,"수익성 높음",""),IF(AL100&gt;='설정'!$B$20,"성장 빠름",""),IF(AM100&gt;='설정'!$B$20,"가격 쌈",""),IF(AN100&gt;='설정'!$B$20,"추세 좋음","")),_xlfn.TEXTJOIN(", ",TRUE,IF(AK100&lt;'설정'!$B$21,"수익성 낮음",""),IF(AL100&lt;'설정'!$B$21,"성장 느림",""),IF(AM100&lt;'설정'!$B$21,"가격 비쌈",""),IF(AN100&lt;'설정'!$B$21,"추세 약함","")),IF(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="","","보통: "&amp;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)),IF(X100="통과",AE100,X100)))</f>
        <v/>
      </c>
      <c r="T100">
        <f>IF(AF100=1,TEXT(Z100,"0.0%")&amp;" · 상위 "&amp;TEXT(($B$3-_xlfn.RANK.AVG(AG100,$AG$6:$AG$105,1)+1)/$B$3*100,"0")&amp;"%",IF(A100="","",IF(Z100="","결측",TEXT(Z100,"0.0%"))))</f>
        <v/>
      </c>
      <c r="U100">
        <f>IF(AF100=1,TEXT(AA100,"0.0%")&amp;" · 상위 "&amp;TEXT(($B$3-_xlfn.RANK.AVG(AH100,$AH$6:$AH$105,1)+1)/$B$3*100,"0")&amp;"%",IF(A100="","",IF(AA100="","결측",TEXT(AA100,"0.0%"))))</f>
        <v/>
      </c>
      <c r="V100">
        <f>IF(AF100=1,TEXT(AB100,"0.0%")&amp;" · 상위 "&amp;TEXT(($B$3-_xlfn.RANK.AVG(AI100,$AI$6:$AI$105,1)+1)/$B$3*100,"0")&amp;"%",IF(A100="","",IF(AB100="","결측",TEXT(AB100,"0.0%"))))</f>
        <v/>
      </c>
      <c r="W100">
        <f>IF(AF100=1,TEXT(AC100,"0.0%")&amp;" · 상위 "&amp;TEXT(($B$3-_xlfn.RANK.AVG(AJ100,$AJ$6:$AJ$105,1)+1)/$B$3*100,"0")&amp;"%",IF(A100="","",IF(AC100="","결측",TEXT(AC100,"0.0%"))))</f>
        <v/>
      </c>
      <c r="X100">
        <f>IF(A100="","",IF(AR100="","통과","제외: "&amp;AR100))</f>
        <v/>
      </c>
      <c r="Y100" s="21">
        <f>IF(AND(ISNUMBER(G100),ISNUMBER(H100)),IF(G100&gt;0,H100/G100,""),"")</f>
        <v/>
      </c>
      <c r="Z100" s="22">
        <f>IF(AND(ISNUMBER(F100),ISNUMBER(G100)),IF(G100&gt;0,F100/G100,""),"")</f>
        <v/>
      </c>
      <c r="AA100" s="22">
        <f>IF(AND(ISNUMBER(J100),ISNUMBER(K100)),IF(AND(J100&gt;0,K100&gt;0),(J100/K100)^(1/3)-1,""),"")</f>
        <v/>
      </c>
      <c r="AB100" s="22">
        <f>IF(AND(ISNUMBER(I100),ISNUMBER(L100),ISNUMBER(M100),ISNUMBER(N100)),IF((L100+M100-N100)&gt;0,I100/(L100+M100-N100),""),"")</f>
        <v/>
      </c>
      <c r="AC100" s="22">
        <f>IF(AND(ISNUMBER(O100),ISNUMBER(P100)),IF(AND(O100&gt;0,P100&gt;0),P100/O100-1,""),"")</f>
        <v/>
      </c>
      <c r="AD100">
        <f>_xlfn.TEXTJOIN(", ",TRUE,IF(Z100="","ROE",""),IF(AA100="","매출성장률",""),IF(AB100="","이익수익률",""),IF(AC100="","12-1 수익률",""))</f>
        <v/>
      </c>
      <c r="AE100">
        <f>IF(A100="","",IF(AR100&lt;&gt;"","점수 없음(거름망)",IF(AD100="","채점","점수 없음(결측: "&amp;AD100&amp;")")))</f>
        <v/>
      </c>
      <c r="AF100">
        <f>IF(AE100="채점",1,"")</f>
        <v/>
      </c>
      <c r="AG100">
        <f>IF(AF100=1,Z100,"")</f>
        <v/>
      </c>
      <c r="AH100">
        <f>IF(AF100=1,AA100,"")</f>
        <v/>
      </c>
      <c r="AI100">
        <f>IF(AF100=1,AB100,"")</f>
        <v/>
      </c>
      <c r="AJ100">
        <f>IF(AF100=1,AC100,"")</f>
        <v/>
      </c>
      <c r="AK100">
        <f>IF(AF100=1,IF($B$3=1,50,(_xlfn.RANK.AVG(AG100,$AG$6:$AG$105,1)-1)/($B$3-1)*100),"")</f>
        <v/>
      </c>
      <c r="AL100">
        <f>IF(AF100=1,IF($B$3=1,50,(_xlfn.RANK.AVG(AH100,$AH$6:$AH$105,1)-1)/($B$3-1)*100),"")</f>
        <v/>
      </c>
      <c r="AM100">
        <f>IF(AF100=1,IF($B$3=1,50,(_xlfn.RANK.AVG(AI100,$AI$6:$AI$105,1)-1)/($B$3-1)*100),"")</f>
        <v/>
      </c>
      <c r="AN100">
        <f>IF(AF100=1,IF($B$3=1,50,(_xlfn.RANK.AVG(AJ100,$AJ$6:$AJ$105,1)-1)/($B$3-1)*100),"")</f>
        <v/>
      </c>
      <c r="AO100">
        <f>IF(AF100=1,ROUND(AVERAGE(AK100:AN100),6),"")</f>
        <v/>
      </c>
      <c r="AP100">
        <f>IF(AND(AF100=1,C100&lt;&gt;"Y"),R100,"")</f>
        <v/>
      </c>
      <c r="AQ100">
        <f>IF(AND(ISNUMBER(AP100),Q100="편입 후보"),AP100+(1000-ROW())/1000000,"")</f>
        <v/>
      </c>
      <c r="AR100">
        <f>IF(A100="","",_xlfn.TEXTJOIN(", ",TRUE,IF(D100="Y","금융·리츠",""),IF(NOT(ISNUMBER(I100)),"영업이익 없음",IF(I100&lt;=0,"영업적자","")),IF(OR(NOT(ISNUMBER(G100)),NOT(ISNUMBER(H100))),"부채비율 자료 없음",IF(G100&lt;=0,"자본잠식",IF(H100/G100&gt;'설정'!$B$8,"부채비율 초과",""))),IF(NOT(ISNUMBER(L100)),"시총 없음",IF(L100&lt;'설정'!$B$9,"시총 미달",""))))</f>
        <v/>
      </c>
    </row>
    <row r="101">
      <c r="A101" s="18" t="n"/>
      <c r="B101" s="19" t="n"/>
      <c r="C101" s="19" t="n"/>
      <c r="D101" s="19" t="n"/>
      <c r="E101" s="19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7">
        <f>IF(A101="","",IF(C101="Y",IF(AF101=1,IF(AND(R101&lt;'설정'!$B$6,ISNUMBER($H$3)),IF(ROUND($H$3-R101,1)&gt;='설정'!$B$7,"교체 제안 → "&amp;$E$3&amp;" ("&amp;TEXT($H$3,"0.0")&amp;")","보유 유지"),"보유 유지"),"보유 · 점수 없음"),IF(AF101=1,IF(R101&gt;='설정'!$B$5,"편입 후보",""),"")))</f>
        <v/>
      </c>
      <c r="R101" s="15">
        <f>IF(AF101=1,ROUND(IF($B$3=1,50,(_xlfn.RANK.AVG(AO101,$AO$6:$AO$105,1)-1)/($B$3-1)*100),1),"")</f>
        <v/>
      </c>
      <c r="S101">
        <f>IF(A101="","",IF(AF101=1,_xlfn.TEXTJOIN(". ",TRUE,_xlfn.TEXTJOIN(", ",TRUE,IF(AK101&gt;='설정'!$B$20,"수익성 높음",""),IF(AL101&gt;='설정'!$B$20,"성장 빠름",""),IF(AM101&gt;='설정'!$B$20,"가격 쌈",""),IF(AN101&gt;='설정'!$B$20,"추세 좋음","")),_xlfn.TEXTJOIN(", ",TRUE,IF(AK101&lt;'설정'!$B$21,"수익성 낮음",""),IF(AL101&lt;'설정'!$B$21,"성장 느림",""),IF(AM101&lt;'설정'!$B$21,"가격 비쌈",""),IF(AN101&lt;'설정'!$B$21,"추세 약함","")),IF(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="","","보통: "&amp;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)),IF(X101="통과",AE101,X101)))</f>
        <v/>
      </c>
      <c r="T101">
        <f>IF(AF101=1,TEXT(Z101,"0.0%")&amp;" · 상위 "&amp;TEXT(($B$3-_xlfn.RANK.AVG(AG101,$AG$6:$AG$105,1)+1)/$B$3*100,"0")&amp;"%",IF(A101="","",IF(Z101="","결측",TEXT(Z101,"0.0%"))))</f>
        <v/>
      </c>
      <c r="U101">
        <f>IF(AF101=1,TEXT(AA101,"0.0%")&amp;" · 상위 "&amp;TEXT(($B$3-_xlfn.RANK.AVG(AH101,$AH$6:$AH$105,1)+1)/$B$3*100,"0")&amp;"%",IF(A101="","",IF(AA101="","결측",TEXT(AA101,"0.0%"))))</f>
        <v/>
      </c>
      <c r="V101">
        <f>IF(AF101=1,TEXT(AB101,"0.0%")&amp;" · 상위 "&amp;TEXT(($B$3-_xlfn.RANK.AVG(AI101,$AI$6:$AI$105,1)+1)/$B$3*100,"0")&amp;"%",IF(A101="","",IF(AB101="","결측",TEXT(AB101,"0.0%"))))</f>
        <v/>
      </c>
      <c r="W101">
        <f>IF(AF101=1,TEXT(AC101,"0.0%")&amp;" · 상위 "&amp;TEXT(($B$3-_xlfn.RANK.AVG(AJ101,$AJ$6:$AJ$105,1)+1)/$B$3*100,"0")&amp;"%",IF(A101="","",IF(AC101="","결측",TEXT(AC101,"0.0%"))))</f>
        <v/>
      </c>
      <c r="X101">
        <f>IF(A101="","",IF(AR101="","통과","제외: "&amp;AR101))</f>
        <v/>
      </c>
      <c r="Y101" s="21">
        <f>IF(AND(ISNUMBER(G101),ISNUMBER(H101)),IF(G101&gt;0,H101/G101,""),"")</f>
        <v/>
      </c>
      <c r="Z101" s="22">
        <f>IF(AND(ISNUMBER(F101),ISNUMBER(G101)),IF(G101&gt;0,F101/G101,""),"")</f>
        <v/>
      </c>
      <c r="AA101" s="22">
        <f>IF(AND(ISNUMBER(J101),ISNUMBER(K101)),IF(AND(J101&gt;0,K101&gt;0),(J101/K101)^(1/3)-1,""),"")</f>
        <v/>
      </c>
      <c r="AB101" s="22">
        <f>IF(AND(ISNUMBER(I101),ISNUMBER(L101),ISNUMBER(M101),ISNUMBER(N101)),IF((L101+M101-N101)&gt;0,I101/(L101+M101-N101),""),"")</f>
        <v/>
      </c>
      <c r="AC101" s="22">
        <f>IF(AND(ISNUMBER(O101),ISNUMBER(P101)),IF(AND(O101&gt;0,P101&gt;0),P101/O101-1,""),"")</f>
        <v/>
      </c>
      <c r="AD101">
        <f>_xlfn.TEXTJOIN(", ",TRUE,IF(Z101="","ROE",""),IF(AA101="","매출성장률",""),IF(AB101="","이익수익률",""),IF(AC101="","12-1 수익률",""))</f>
        <v/>
      </c>
      <c r="AE101">
        <f>IF(A101="","",IF(AR101&lt;&gt;"","점수 없음(거름망)",IF(AD101="","채점","점수 없음(결측: "&amp;AD101&amp;")")))</f>
        <v/>
      </c>
      <c r="AF101">
        <f>IF(AE101="채점",1,"")</f>
        <v/>
      </c>
      <c r="AG101">
        <f>IF(AF101=1,Z101,"")</f>
        <v/>
      </c>
      <c r="AH101">
        <f>IF(AF101=1,AA101,"")</f>
        <v/>
      </c>
      <c r="AI101">
        <f>IF(AF101=1,AB101,"")</f>
        <v/>
      </c>
      <c r="AJ101">
        <f>IF(AF101=1,AC101,"")</f>
        <v/>
      </c>
      <c r="AK101">
        <f>IF(AF101=1,IF($B$3=1,50,(_xlfn.RANK.AVG(AG101,$AG$6:$AG$105,1)-1)/($B$3-1)*100),"")</f>
        <v/>
      </c>
      <c r="AL101">
        <f>IF(AF101=1,IF($B$3=1,50,(_xlfn.RANK.AVG(AH101,$AH$6:$AH$105,1)-1)/($B$3-1)*100),"")</f>
        <v/>
      </c>
      <c r="AM101">
        <f>IF(AF101=1,IF($B$3=1,50,(_xlfn.RANK.AVG(AI101,$AI$6:$AI$105,1)-1)/($B$3-1)*100),"")</f>
        <v/>
      </c>
      <c r="AN101">
        <f>IF(AF101=1,IF($B$3=1,50,(_xlfn.RANK.AVG(AJ101,$AJ$6:$AJ$105,1)-1)/($B$3-1)*100),"")</f>
        <v/>
      </c>
      <c r="AO101">
        <f>IF(AF101=1,ROUND(AVERAGE(AK101:AN101),6),"")</f>
        <v/>
      </c>
      <c r="AP101">
        <f>IF(AND(AF101=1,C101&lt;&gt;"Y"),R101,"")</f>
        <v/>
      </c>
      <c r="AQ101">
        <f>IF(AND(ISNUMBER(AP101),Q101="편입 후보"),AP101+(1000-ROW())/1000000,"")</f>
        <v/>
      </c>
      <c r="AR101">
        <f>IF(A101="","",_xlfn.TEXTJOIN(", ",TRUE,IF(D101="Y","금융·리츠",""),IF(NOT(ISNUMBER(I101)),"영업이익 없음",IF(I101&lt;=0,"영업적자","")),IF(OR(NOT(ISNUMBER(G101)),NOT(ISNUMBER(H101))),"부채비율 자료 없음",IF(G101&lt;=0,"자본잠식",IF(H101/G101&gt;'설정'!$B$8,"부채비율 초과",""))),IF(NOT(ISNUMBER(L101)),"시총 없음",IF(L101&lt;'설정'!$B$9,"시총 미달",""))))</f>
        <v/>
      </c>
    </row>
    <row r="102">
      <c r="A102" s="18" t="n"/>
      <c r="B102" s="19" t="n"/>
      <c r="C102" s="19" t="n"/>
      <c r="D102" s="19" t="n"/>
      <c r="E102" s="19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7">
        <f>IF(A102="","",IF(C102="Y",IF(AF102=1,IF(AND(R102&lt;'설정'!$B$6,ISNUMBER($H$3)),IF(ROUND($H$3-R102,1)&gt;='설정'!$B$7,"교체 제안 → "&amp;$E$3&amp;" ("&amp;TEXT($H$3,"0.0")&amp;")","보유 유지"),"보유 유지"),"보유 · 점수 없음"),IF(AF102=1,IF(R102&gt;='설정'!$B$5,"편입 후보",""),"")))</f>
        <v/>
      </c>
      <c r="R102" s="15">
        <f>IF(AF102=1,ROUND(IF($B$3=1,50,(_xlfn.RANK.AVG(AO102,$AO$6:$AO$105,1)-1)/($B$3-1)*100),1),"")</f>
        <v/>
      </c>
      <c r="S102">
        <f>IF(A102="","",IF(AF102=1,_xlfn.TEXTJOIN(". ",TRUE,_xlfn.TEXTJOIN(", ",TRUE,IF(AK102&gt;='설정'!$B$20,"수익성 높음",""),IF(AL102&gt;='설정'!$B$20,"성장 빠름",""),IF(AM102&gt;='설정'!$B$20,"가격 쌈",""),IF(AN102&gt;='설정'!$B$20,"추세 좋음","")),_xlfn.TEXTJOIN(", ",TRUE,IF(AK102&lt;'설정'!$B$21,"수익성 낮음",""),IF(AL102&lt;'설정'!$B$21,"성장 느림",""),IF(AM102&lt;'설정'!$B$21,"가격 비쌈",""),IF(AN102&lt;'설정'!$B$21,"추세 약함","")),IF(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="","","보통: "&amp;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)),IF(X102="통과",AE102,X102)))</f>
        <v/>
      </c>
      <c r="T102">
        <f>IF(AF102=1,TEXT(Z102,"0.0%")&amp;" · 상위 "&amp;TEXT(($B$3-_xlfn.RANK.AVG(AG102,$AG$6:$AG$105,1)+1)/$B$3*100,"0")&amp;"%",IF(A102="","",IF(Z102="","결측",TEXT(Z102,"0.0%"))))</f>
        <v/>
      </c>
      <c r="U102">
        <f>IF(AF102=1,TEXT(AA102,"0.0%")&amp;" · 상위 "&amp;TEXT(($B$3-_xlfn.RANK.AVG(AH102,$AH$6:$AH$105,1)+1)/$B$3*100,"0")&amp;"%",IF(A102="","",IF(AA102="","결측",TEXT(AA102,"0.0%"))))</f>
        <v/>
      </c>
      <c r="V102">
        <f>IF(AF102=1,TEXT(AB102,"0.0%")&amp;" · 상위 "&amp;TEXT(($B$3-_xlfn.RANK.AVG(AI102,$AI$6:$AI$105,1)+1)/$B$3*100,"0")&amp;"%",IF(A102="","",IF(AB102="","결측",TEXT(AB102,"0.0%"))))</f>
        <v/>
      </c>
      <c r="W102">
        <f>IF(AF102=1,TEXT(AC102,"0.0%")&amp;" · 상위 "&amp;TEXT(($B$3-_xlfn.RANK.AVG(AJ102,$AJ$6:$AJ$105,1)+1)/$B$3*100,"0")&amp;"%",IF(A102="","",IF(AC102="","결측",TEXT(AC102,"0.0%"))))</f>
        <v/>
      </c>
      <c r="X102">
        <f>IF(A102="","",IF(AR102="","통과","제외: "&amp;AR102))</f>
        <v/>
      </c>
      <c r="Y102" s="21">
        <f>IF(AND(ISNUMBER(G102),ISNUMBER(H102)),IF(G102&gt;0,H102/G102,""),"")</f>
        <v/>
      </c>
      <c r="Z102" s="22">
        <f>IF(AND(ISNUMBER(F102),ISNUMBER(G102)),IF(G102&gt;0,F102/G102,""),"")</f>
        <v/>
      </c>
      <c r="AA102" s="22">
        <f>IF(AND(ISNUMBER(J102),ISNUMBER(K102)),IF(AND(J102&gt;0,K102&gt;0),(J102/K102)^(1/3)-1,""),"")</f>
        <v/>
      </c>
      <c r="AB102" s="22">
        <f>IF(AND(ISNUMBER(I102),ISNUMBER(L102),ISNUMBER(M102),ISNUMBER(N102)),IF((L102+M102-N102)&gt;0,I102/(L102+M102-N102),""),"")</f>
        <v/>
      </c>
      <c r="AC102" s="22">
        <f>IF(AND(ISNUMBER(O102),ISNUMBER(P102)),IF(AND(O102&gt;0,P102&gt;0),P102/O102-1,""),"")</f>
        <v/>
      </c>
      <c r="AD102">
        <f>_xlfn.TEXTJOIN(", ",TRUE,IF(Z102="","ROE",""),IF(AA102="","매출성장률",""),IF(AB102="","이익수익률",""),IF(AC102="","12-1 수익률",""))</f>
        <v/>
      </c>
      <c r="AE102">
        <f>IF(A102="","",IF(AR102&lt;&gt;"","점수 없음(거름망)",IF(AD102="","채점","점수 없음(결측: "&amp;AD102&amp;")")))</f>
        <v/>
      </c>
      <c r="AF102">
        <f>IF(AE102="채점",1,"")</f>
        <v/>
      </c>
      <c r="AG102">
        <f>IF(AF102=1,Z102,"")</f>
        <v/>
      </c>
      <c r="AH102">
        <f>IF(AF102=1,AA102,"")</f>
        <v/>
      </c>
      <c r="AI102">
        <f>IF(AF102=1,AB102,"")</f>
        <v/>
      </c>
      <c r="AJ102">
        <f>IF(AF102=1,AC102,"")</f>
        <v/>
      </c>
      <c r="AK102">
        <f>IF(AF102=1,IF($B$3=1,50,(_xlfn.RANK.AVG(AG102,$AG$6:$AG$105,1)-1)/($B$3-1)*100),"")</f>
        <v/>
      </c>
      <c r="AL102">
        <f>IF(AF102=1,IF($B$3=1,50,(_xlfn.RANK.AVG(AH102,$AH$6:$AH$105,1)-1)/($B$3-1)*100),"")</f>
        <v/>
      </c>
      <c r="AM102">
        <f>IF(AF102=1,IF($B$3=1,50,(_xlfn.RANK.AVG(AI102,$AI$6:$AI$105,1)-1)/($B$3-1)*100),"")</f>
        <v/>
      </c>
      <c r="AN102">
        <f>IF(AF102=1,IF($B$3=1,50,(_xlfn.RANK.AVG(AJ102,$AJ$6:$AJ$105,1)-1)/($B$3-1)*100),"")</f>
        <v/>
      </c>
      <c r="AO102">
        <f>IF(AF102=1,ROUND(AVERAGE(AK102:AN102),6),"")</f>
        <v/>
      </c>
      <c r="AP102">
        <f>IF(AND(AF102=1,C102&lt;&gt;"Y"),R102,"")</f>
        <v/>
      </c>
      <c r="AQ102">
        <f>IF(AND(ISNUMBER(AP102),Q102="편입 후보"),AP102+(1000-ROW())/1000000,"")</f>
        <v/>
      </c>
      <c r="AR102">
        <f>IF(A102="","",_xlfn.TEXTJOIN(", ",TRUE,IF(D102="Y","금융·리츠",""),IF(NOT(ISNUMBER(I102)),"영업이익 없음",IF(I102&lt;=0,"영업적자","")),IF(OR(NOT(ISNUMBER(G102)),NOT(ISNUMBER(H102))),"부채비율 자료 없음",IF(G102&lt;=0,"자본잠식",IF(H102/G102&gt;'설정'!$B$8,"부채비율 초과",""))),IF(NOT(ISNUMBER(L102)),"시총 없음",IF(L102&lt;'설정'!$B$9,"시총 미달",""))))</f>
        <v/>
      </c>
    </row>
    <row r="103">
      <c r="A103" s="18" t="n"/>
      <c r="B103" s="19" t="n"/>
      <c r="C103" s="19" t="n"/>
      <c r="D103" s="19" t="n"/>
      <c r="E103" s="19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7">
        <f>IF(A103="","",IF(C103="Y",IF(AF103=1,IF(AND(R103&lt;'설정'!$B$6,ISNUMBER($H$3)),IF(ROUND($H$3-R103,1)&gt;='설정'!$B$7,"교체 제안 → "&amp;$E$3&amp;" ("&amp;TEXT($H$3,"0.0")&amp;")","보유 유지"),"보유 유지"),"보유 · 점수 없음"),IF(AF103=1,IF(R103&gt;='설정'!$B$5,"편입 후보",""),"")))</f>
        <v/>
      </c>
      <c r="R103" s="15">
        <f>IF(AF103=1,ROUND(IF($B$3=1,50,(_xlfn.RANK.AVG(AO103,$AO$6:$AO$105,1)-1)/($B$3-1)*100),1),"")</f>
        <v/>
      </c>
      <c r="S103">
        <f>IF(A103="","",IF(AF103=1,_xlfn.TEXTJOIN(". ",TRUE,_xlfn.TEXTJOIN(", ",TRUE,IF(AK103&gt;='설정'!$B$20,"수익성 높음",""),IF(AL103&gt;='설정'!$B$20,"성장 빠름",""),IF(AM103&gt;='설정'!$B$20,"가격 쌈",""),IF(AN103&gt;='설정'!$B$20,"추세 좋음","")),_xlfn.TEXTJOIN(", ",TRUE,IF(AK103&lt;'설정'!$B$21,"수익성 낮음",""),IF(AL103&lt;'설정'!$B$21,"성장 느림",""),IF(AM103&lt;'설정'!$B$21,"가격 비쌈",""),IF(AN103&lt;'설정'!$B$21,"추세 약함","")),IF(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="","","보통: "&amp;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)),IF(X103="통과",AE103,X103)))</f>
        <v/>
      </c>
      <c r="T103">
        <f>IF(AF103=1,TEXT(Z103,"0.0%")&amp;" · 상위 "&amp;TEXT(($B$3-_xlfn.RANK.AVG(AG103,$AG$6:$AG$105,1)+1)/$B$3*100,"0")&amp;"%",IF(A103="","",IF(Z103="","결측",TEXT(Z103,"0.0%"))))</f>
        <v/>
      </c>
      <c r="U103">
        <f>IF(AF103=1,TEXT(AA103,"0.0%")&amp;" · 상위 "&amp;TEXT(($B$3-_xlfn.RANK.AVG(AH103,$AH$6:$AH$105,1)+1)/$B$3*100,"0")&amp;"%",IF(A103="","",IF(AA103="","결측",TEXT(AA103,"0.0%"))))</f>
        <v/>
      </c>
      <c r="V103">
        <f>IF(AF103=1,TEXT(AB103,"0.0%")&amp;" · 상위 "&amp;TEXT(($B$3-_xlfn.RANK.AVG(AI103,$AI$6:$AI$105,1)+1)/$B$3*100,"0")&amp;"%",IF(A103="","",IF(AB103="","결측",TEXT(AB103,"0.0%"))))</f>
        <v/>
      </c>
      <c r="W103">
        <f>IF(AF103=1,TEXT(AC103,"0.0%")&amp;" · 상위 "&amp;TEXT(($B$3-_xlfn.RANK.AVG(AJ103,$AJ$6:$AJ$105,1)+1)/$B$3*100,"0")&amp;"%",IF(A103="","",IF(AC103="","결측",TEXT(AC103,"0.0%"))))</f>
        <v/>
      </c>
      <c r="X103">
        <f>IF(A103="","",IF(AR103="","통과","제외: "&amp;AR103))</f>
        <v/>
      </c>
      <c r="Y103" s="21">
        <f>IF(AND(ISNUMBER(G103),ISNUMBER(H103)),IF(G103&gt;0,H103/G103,""),"")</f>
        <v/>
      </c>
      <c r="Z103" s="22">
        <f>IF(AND(ISNUMBER(F103),ISNUMBER(G103)),IF(G103&gt;0,F103/G103,""),"")</f>
        <v/>
      </c>
      <c r="AA103" s="22">
        <f>IF(AND(ISNUMBER(J103),ISNUMBER(K103)),IF(AND(J103&gt;0,K103&gt;0),(J103/K103)^(1/3)-1,""),"")</f>
        <v/>
      </c>
      <c r="AB103" s="22">
        <f>IF(AND(ISNUMBER(I103),ISNUMBER(L103),ISNUMBER(M103),ISNUMBER(N103)),IF((L103+M103-N103)&gt;0,I103/(L103+M103-N103),""),"")</f>
        <v/>
      </c>
      <c r="AC103" s="22">
        <f>IF(AND(ISNUMBER(O103),ISNUMBER(P103)),IF(AND(O103&gt;0,P103&gt;0),P103/O103-1,""),"")</f>
        <v/>
      </c>
      <c r="AD103">
        <f>_xlfn.TEXTJOIN(", ",TRUE,IF(Z103="","ROE",""),IF(AA103="","매출성장률",""),IF(AB103="","이익수익률",""),IF(AC103="","12-1 수익률",""))</f>
        <v/>
      </c>
      <c r="AE103">
        <f>IF(A103="","",IF(AR103&lt;&gt;"","점수 없음(거름망)",IF(AD103="","채점","점수 없음(결측: "&amp;AD103&amp;")")))</f>
        <v/>
      </c>
      <c r="AF103">
        <f>IF(AE103="채점",1,"")</f>
        <v/>
      </c>
      <c r="AG103">
        <f>IF(AF103=1,Z103,"")</f>
        <v/>
      </c>
      <c r="AH103">
        <f>IF(AF103=1,AA103,"")</f>
        <v/>
      </c>
      <c r="AI103">
        <f>IF(AF103=1,AB103,"")</f>
        <v/>
      </c>
      <c r="AJ103">
        <f>IF(AF103=1,AC103,"")</f>
        <v/>
      </c>
      <c r="AK103">
        <f>IF(AF103=1,IF($B$3=1,50,(_xlfn.RANK.AVG(AG103,$AG$6:$AG$105,1)-1)/($B$3-1)*100),"")</f>
        <v/>
      </c>
      <c r="AL103">
        <f>IF(AF103=1,IF($B$3=1,50,(_xlfn.RANK.AVG(AH103,$AH$6:$AH$105,1)-1)/($B$3-1)*100),"")</f>
        <v/>
      </c>
      <c r="AM103">
        <f>IF(AF103=1,IF($B$3=1,50,(_xlfn.RANK.AVG(AI103,$AI$6:$AI$105,1)-1)/($B$3-1)*100),"")</f>
        <v/>
      </c>
      <c r="AN103">
        <f>IF(AF103=1,IF($B$3=1,50,(_xlfn.RANK.AVG(AJ103,$AJ$6:$AJ$105,1)-1)/($B$3-1)*100),"")</f>
        <v/>
      </c>
      <c r="AO103">
        <f>IF(AF103=1,ROUND(AVERAGE(AK103:AN103),6),"")</f>
        <v/>
      </c>
      <c r="AP103">
        <f>IF(AND(AF103=1,C103&lt;&gt;"Y"),R103,"")</f>
        <v/>
      </c>
      <c r="AQ103">
        <f>IF(AND(ISNUMBER(AP103),Q103="편입 후보"),AP103+(1000-ROW())/1000000,"")</f>
        <v/>
      </c>
      <c r="AR103">
        <f>IF(A103="","",_xlfn.TEXTJOIN(", ",TRUE,IF(D103="Y","금융·리츠",""),IF(NOT(ISNUMBER(I103)),"영업이익 없음",IF(I103&lt;=0,"영업적자","")),IF(OR(NOT(ISNUMBER(G103)),NOT(ISNUMBER(H103))),"부채비율 자료 없음",IF(G103&lt;=0,"자본잠식",IF(H103/G103&gt;'설정'!$B$8,"부채비율 초과",""))),IF(NOT(ISNUMBER(L103)),"시총 없음",IF(L103&lt;'설정'!$B$9,"시총 미달",""))))</f>
        <v/>
      </c>
    </row>
    <row r="104">
      <c r="A104" s="18" t="n"/>
      <c r="B104" s="19" t="n"/>
      <c r="C104" s="19" t="n"/>
      <c r="D104" s="19" t="n"/>
      <c r="E104" s="19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7">
        <f>IF(A104="","",IF(C104="Y",IF(AF104=1,IF(AND(R104&lt;'설정'!$B$6,ISNUMBER($H$3)),IF(ROUND($H$3-R104,1)&gt;='설정'!$B$7,"교체 제안 → "&amp;$E$3&amp;" ("&amp;TEXT($H$3,"0.0")&amp;")","보유 유지"),"보유 유지"),"보유 · 점수 없음"),IF(AF104=1,IF(R104&gt;='설정'!$B$5,"편입 후보",""),"")))</f>
        <v/>
      </c>
      <c r="R104" s="15">
        <f>IF(AF104=1,ROUND(IF($B$3=1,50,(_xlfn.RANK.AVG(AO104,$AO$6:$AO$105,1)-1)/($B$3-1)*100),1),"")</f>
        <v/>
      </c>
      <c r="S104">
        <f>IF(A104="","",IF(AF104=1,_xlfn.TEXTJOIN(". ",TRUE,_xlfn.TEXTJOIN(", ",TRUE,IF(AK104&gt;='설정'!$B$20,"수익성 높음",""),IF(AL104&gt;='설정'!$B$20,"성장 빠름",""),IF(AM104&gt;='설정'!$B$20,"가격 쌈",""),IF(AN104&gt;='설정'!$B$20,"추세 좋음","")),_xlfn.TEXTJOIN(", ",TRUE,IF(AK104&lt;'설정'!$B$21,"수익성 낮음",""),IF(AL104&lt;'설정'!$B$21,"성장 느림",""),IF(AM104&lt;'설정'!$B$21,"가격 비쌈",""),IF(AN104&lt;'설정'!$B$21,"추세 약함","")),IF(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="","","보통: "&amp;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)),IF(X104="통과",AE104,X104)))</f>
        <v/>
      </c>
      <c r="T104">
        <f>IF(AF104=1,TEXT(Z104,"0.0%")&amp;" · 상위 "&amp;TEXT(($B$3-_xlfn.RANK.AVG(AG104,$AG$6:$AG$105,1)+1)/$B$3*100,"0")&amp;"%",IF(A104="","",IF(Z104="","결측",TEXT(Z104,"0.0%"))))</f>
        <v/>
      </c>
      <c r="U104">
        <f>IF(AF104=1,TEXT(AA104,"0.0%")&amp;" · 상위 "&amp;TEXT(($B$3-_xlfn.RANK.AVG(AH104,$AH$6:$AH$105,1)+1)/$B$3*100,"0")&amp;"%",IF(A104="","",IF(AA104="","결측",TEXT(AA104,"0.0%"))))</f>
        <v/>
      </c>
      <c r="V104">
        <f>IF(AF104=1,TEXT(AB104,"0.0%")&amp;" · 상위 "&amp;TEXT(($B$3-_xlfn.RANK.AVG(AI104,$AI$6:$AI$105,1)+1)/$B$3*100,"0")&amp;"%",IF(A104="","",IF(AB104="","결측",TEXT(AB104,"0.0%"))))</f>
        <v/>
      </c>
      <c r="W104">
        <f>IF(AF104=1,TEXT(AC104,"0.0%")&amp;" · 상위 "&amp;TEXT(($B$3-_xlfn.RANK.AVG(AJ104,$AJ$6:$AJ$105,1)+1)/$B$3*100,"0")&amp;"%",IF(A104="","",IF(AC104="","결측",TEXT(AC104,"0.0%"))))</f>
        <v/>
      </c>
      <c r="X104">
        <f>IF(A104="","",IF(AR104="","통과","제외: "&amp;AR104))</f>
        <v/>
      </c>
      <c r="Y104" s="21">
        <f>IF(AND(ISNUMBER(G104),ISNUMBER(H104)),IF(G104&gt;0,H104/G104,""),"")</f>
        <v/>
      </c>
      <c r="Z104" s="22">
        <f>IF(AND(ISNUMBER(F104),ISNUMBER(G104)),IF(G104&gt;0,F104/G104,""),"")</f>
        <v/>
      </c>
      <c r="AA104" s="22">
        <f>IF(AND(ISNUMBER(J104),ISNUMBER(K104)),IF(AND(J104&gt;0,K104&gt;0),(J104/K104)^(1/3)-1,""),"")</f>
        <v/>
      </c>
      <c r="AB104" s="22">
        <f>IF(AND(ISNUMBER(I104),ISNUMBER(L104),ISNUMBER(M104),ISNUMBER(N104)),IF((L104+M104-N104)&gt;0,I104/(L104+M104-N104),""),"")</f>
        <v/>
      </c>
      <c r="AC104" s="22">
        <f>IF(AND(ISNUMBER(O104),ISNUMBER(P104)),IF(AND(O104&gt;0,P104&gt;0),P104/O104-1,""),"")</f>
        <v/>
      </c>
      <c r="AD104">
        <f>_xlfn.TEXTJOIN(", ",TRUE,IF(Z104="","ROE",""),IF(AA104="","매출성장률",""),IF(AB104="","이익수익률",""),IF(AC104="","12-1 수익률",""))</f>
        <v/>
      </c>
      <c r="AE104">
        <f>IF(A104="","",IF(AR104&lt;&gt;"","점수 없음(거름망)",IF(AD104="","채점","점수 없음(결측: "&amp;AD104&amp;")")))</f>
        <v/>
      </c>
      <c r="AF104">
        <f>IF(AE104="채점",1,"")</f>
        <v/>
      </c>
      <c r="AG104">
        <f>IF(AF104=1,Z104,"")</f>
        <v/>
      </c>
      <c r="AH104">
        <f>IF(AF104=1,AA104,"")</f>
        <v/>
      </c>
      <c r="AI104">
        <f>IF(AF104=1,AB104,"")</f>
        <v/>
      </c>
      <c r="AJ104">
        <f>IF(AF104=1,AC104,"")</f>
        <v/>
      </c>
      <c r="AK104">
        <f>IF(AF104=1,IF($B$3=1,50,(_xlfn.RANK.AVG(AG104,$AG$6:$AG$105,1)-1)/($B$3-1)*100),"")</f>
        <v/>
      </c>
      <c r="AL104">
        <f>IF(AF104=1,IF($B$3=1,50,(_xlfn.RANK.AVG(AH104,$AH$6:$AH$105,1)-1)/($B$3-1)*100),"")</f>
        <v/>
      </c>
      <c r="AM104">
        <f>IF(AF104=1,IF($B$3=1,50,(_xlfn.RANK.AVG(AI104,$AI$6:$AI$105,1)-1)/($B$3-1)*100),"")</f>
        <v/>
      </c>
      <c r="AN104">
        <f>IF(AF104=1,IF($B$3=1,50,(_xlfn.RANK.AVG(AJ104,$AJ$6:$AJ$105,1)-1)/($B$3-1)*100),"")</f>
        <v/>
      </c>
      <c r="AO104">
        <f>IF(AF104=1,ROUND(AVERAGE(AK104:AN104),6),"")</f>
        <v/>
      </c>
      <c r="AP104">
        <f>IF(AND(AF104=1,C104&lt;&gt;"Y"),R104,"")</f>
        <v/>
      </c>
      <c r="AQ104">
        <f>IF(AND(ISNUMBER(AP104),Q104="편입 후보"),AP104+(1000-ROW())/1000000,"")</f>
        <v/>
      </c>
      <c r="AR104">
        <f>IF(A104="","",_xlfn.TEXTJOIN(", ",TRUE,IF(D104="Y","금융·리츠",""),IF(NOT(ISNUMBER(I104)),"영업이익 없음",IF(I104&lt;=0,"영업적자","")),IF(OR(NOT(ISNUMBER(G104)),NOT(ISNUMBER(H104))),"부채비율 자료 없음",IF(G104&lt;=0,"자본잠식",IF(H104/G104&gt;'설정'!$B$8,"부채비율 초과",""))),IF(NOT(ISNUMBER(L104)),"시총 없음",IF(L104&lt;'설정'!$B$9,"시총 미달",""))))</f>
        <v/>
      </c>
    </row>
    <row r="105">
      <c r="A105" s="18" t="n"/>
      <c r="B105" s="19" t="n"/>
      <c r="C105" s="19" t="n"/>
      <c r="D105" s="19" t="n"/>
      <c r="E105" s="19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7">
        <f>IF(A105="","",IF(C105="Y",IF(AF105=1,IF(AND(R105&lt;'설정'!$B$6,ISNUMBER($H$3)),IF(ROUND($H$3-R105,1)&gt;='설정'!$B$7,"교체 제안 → "&amp;$E$3&amp;" ("&amp;TEXT($H$3,"0.0")&amp;")","보유 유지"),"보유 유지"),"보유 · 점수 없음"),IF(AF105=1,IF(R105&gt;='설정'!$B$5,"편입 후보",""),"")))</f>
        <v/>
      </c>
      <c r="R105" s="15">
        <f>IF(AF105=1,ROUND(IF($B$3=1,50,(_xlfn.RANK.AVG(AO105,$AO$6:$AO$105,1)-1)/($B$3-1)*100),1),"")</f>
        <v/>
      </c>
      <c r="S105">
        <f>IF(A105="","",IF(AF105=1,_xlfn.TEXTJOIN(". ",TRUE,_xlfn.TEXTJOIN(", ",TRUE,IF(AK105&gt;='설정'!$B$20,"수익성 높음",""),IF(AL105&gt;='설정'!$B$20,"성장 빠름",""),IF(AM105&gt;='설정'!$B$20,"가격 쌈",""),IF(AN105&gt;='설정'!$B$20,"추세 좋음","")),_xlfn.TEXTJOIN(", ",TRUE,IF(AK105&lt;'설정'!$B$21,"수익성 낮음",""),IF(AL105&lt;'설정'!$B$21,"성장 느림",""),IF(AM105&lt;'설정'!$B$21,"가격 비쌈",""),IF(AN105&lt;'설정'!$B$21,"추세 약함","")),IF(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="","","보통: "&amp;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)),IF(X105="통과",AE105,X105)))</f>
        <v/>
      </c>
      <c r="T105">
        <f>IF(AF105=1,TEXT(Z105,"0.0%")&amp;" · 상위 "&amp;TEXT(($B$3-_xlfn.RANK.AVG(AG105,$AG$6:$AG$105,1)+1)/$B$3*100,"0")&amp;"%",IF(A105="","",IF(Z105="","결측",TEXT(Z105,"0.0%"))))</f>
        <v/>
      </c>
      <c r="U105">
        <f>IF(AF105=1,TEXT(AA105,"0.0%")&amp;" · 상위 "&amp;TEXT(($B$3-_xlfn.RANK.AVG(AH105,$AH$6:$AH$105,1)+1)/$B$3*100,"0")&amp;"%",IF(A105="","",IF(AA105="","결측",TEXT(AA105,"0.0%"))))</f>
        <v/>
      </c>
      <c r="V105">
        <f>IF(AF105=1,TEXT(AB105,"0.0%")&amp;" · 상위 "&amp;TEXT(($B$3-_xlfn.RANK.AVG(AI105,$AI$6:$AI$105,1)+1)/$B$3*100,"0")&amp;"%",IF(A105="","",IF(AB105="","결측",TEXT(AB105,"0.0%"))))</f>
        <v/>
      </c>
      <c r="W105">
        <f>IF(AF105=1,TEXT(AC105,"0.0%")&amp;" · 상위 "&amp;TEXT(($B$3-_xlfn.RANK.AVG(AJ105,$AJ$6:$AJ$105,1)+1)/$B$3*100,"0")&amp;"%",IF(A105="","",IF(AC105="","결측",TEXT(AC105,"0.0%"))))</f>
        <v/>
      </c>
      <c r="X105">
        <f>IF(A105="","",IF(AR105="","통과","제외: "&amp;AR105))</f>
        <v/>
      </c>
      <c r="Y105" s="21">
        <f>IF(AND(ISNUMBER(G105),ISNUMBER(H105)),IF(G105&gt;0,H105/G105,""),"")</f>
        <v/>
      </c>
      <c r="Z105" s="22">
        <f>IF(AND(ISNUMBER(F105),ISNUMBER(G105)),IF(G105&gt;0,F105/G105,""),"")</f>
        <v/>
      </c>
      <c r="AA105" s="22">
        <f>IF(AND(ISNUMBER(J105),ISNUMBER(K105)),IF(AND(J105&gt;0,K105&gt;0),(J105/K105)^(1/3)-1,""),"")</f>
        <v/>
      </c>
      <c r="AB105" s="22">
        <f>IF(AND(ISNUMBER(I105),ISNUMBER(L105),ISNUMBER(M105),ISNUMBER(N105)),IF((L105+M105-N105)&gt;0,I105/(L105+M105-N105),""),"")</f>
        <v/>
      </c>
      <c r="AC105" s="22">
        <f>IF(AND(ISNUMBER(O105),ISNUMBER(P105)),IF(AND(O105&gt;0,P105&gt;0),P105/O105-1,""),"")</f>
        <v/>
      </c>
      <c r="AD105">
        <f>_xlfn.TEXTJOIN(", ",TRUE,IF(Z105="","ROE",""),IF(AA105="","매출성장률",""),IF(AB105="","이익수익률",""),IF(AC105="","12-1 수익률",""))</f>
        <v/>
      </c>
      <c r="AE105">
        <f>IF(A105="","",IF(AR105&lt;&gt;"","점수 없음(거름망)",IF(AD105="","채점","점수 없음(결측: "&amp;AD105&amp;")")))</f>
        <v/>
      </c>
      <c r="AF105">
        <f>IF(AE105="채점",1,"")</f>
        <v/>
      </c>
      <c r="AG105">
        <f>IF(AF105=1,Z105,"")</f>
        <v/>
      </c>
      <c r="AH105">
        <f>IF(AF105=1,AA105,"")</f>
        <v/>
      </c>
      <c r="AI105">
        <f>IF(AF105=1,AB105,"")</f>
        <v/>
      </c>
      <c r="AJ105">
        <f>IF(AF105=1,AC105,"")</f>
        <v/>
      </c>
      <c r="AK105">
        <f>IF(AF105=1,IF($B$3=1,50,(_xlfn.RANK.AVG(AG105,$AG$6:$AG$105,1)-1)/($B$3-1)*100),"")</f>
        <v/>
      </c>
      <c r="AL105">
        <f>IF(AF105=1,IF($B$3=1,50,(_xlfn.RANK.AVG(AH105,$AH$6:$AH$105,1)-1)/($B$3-1)*100),"")</f>
        <v/>
      </c>
      <c r="AM105">
        <f>IF(AF105=1,IF($B$3=1,50,(_xlfn.RANK.AVG(AI105,$AI$6:$AI$105,1)-1)/($B$3-1)*100),"")</f>
        <v/>
      </c>
      <c r="AN105">
        <f>IF(AF105=1,IF($B$3=1,50,(_xlfn.RANK.AVG(AJ105,$AJ$6:$AJ$105,1)-1)/($B$3-1)*100),"")</f>
        <v/>
      </c>
      <c r="AO105">
        <f>IF(AF105=1,ROUND(AVERAGE(AK105:AN105),6),"")</f>
        <v/>
      </c>
      <c r="AP105">
        <f>IF(AND(AF105=1,C105&lt;&gt;"Y"),R105,"")</f>
        <v/>
      </c>
      <c r="AQ105">
        <f>IF(AND(ISNUMBER(AP105),Q105="편입 후보"),AP105+(1000-ROW())/1000000,"")</f>
        <v/>
      </c>
      <c r="AR105">
        <f>IF(A105="","",_xlfn.TEXTJOIN(", ",TRUE,IF(D105="Y","금융·리츠",""),IF(NOT(ISNUMBER(I105)),"영업이익 없음",IF(I105&lt;=0,"영업적자","")),IF(OR(NOT(ISNUMBER(G105)),NOT(ISNUMBER(H105))),"부채비율 자료 없음",IF(G105&lt;=0,"자본잠식",IF(H105/G105&gt;'설정'!$B$8,"부채비율 초과",""))),IF(NOT(ISNUMBER(L105)),"시총 없음",IF(L105&lt;'설정'!$B$9,"시총 미달",""))))</f>
        <v/>
      </c>
    </row>
  </sheetData>
  <mergeCells count="2">
    <mergeCell ref="A4:P4"/>
    <mergeCell ref="Q4:Y4"/>
  </mergeCells>
  <conditionalFormatting sqref="Q6:Q105">
    <cfRule type="expression" priority="1" dxfId="4">
      <formula>Q6="편입 후보"</formula>
    </cfRule>
    <cfRule type="expression" priority="2" dxfId="1">
      <formula>LEFT(Q6,2)="교체"</formula>
    </cfRule>
  </conditionalFormatting>
  <dataValidations count="1">
    <dataValidation sqref="C6:D105" showDropDown="0" showInputMessage="0" showErrorMessage="0" allowBlank="1" type="list">
      <formula1>"Y"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8" customWidth="1" min="18" max="18"/>
    <col width="40" customWidth="1" min="19" max="19"/>
    <col width="18" customWidth="1" min="20" max="20"/>
    <col width="18" customWidth="1" min="21" max="21"/>
    <col width="18" customWidth="1" min="22" max="22"/>
    <col width="18" customWidth="1" min="23" max="23"/>
    <col width="26" customWidth="1" min="24" max="24"/>
    <col width="9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4" t="inlineStr">
        <is>
          <t>종목 점수 — 미국</t>
        </is>
      </c>
    </row>
    <row r="2">
      <c r="A2" s="5" t="inlineStr">
        <is>
          <t>금액 단위: 백만 달러 · 주가: 달러(수정주가) · 보유 종목과 후보를 모두 적는다. 순위는 이 시트(같은 국가) 안에서만 매긴다.</t>
        </is>
      </c>
    </row>
    <row r="3">
      <c r="A3" s="7" t="inlineStr">
        <is>
          <t>채점 종목 수</t>
        </is>
      </c>
      <c r="B3">
        <f>COUNT($AF$6:$AF$105)</f>
        <v/>
      </c>
      <c r="D3" s="7" t="inlineStr">
        <is>
          <t>최고 미보유 후보</t>
        </is>
      </c>
      <c r="E3" s="7">
        <f>IF(H3="","",INDEX($B$6:$B$105,MATCH(H3,$AP$6:$AP$105,0))&amp;"")</f>
        <v/>
      </c>
      <c r="G3" s="7" t="inlineStr">
        <is>
          <t>점수</t>
        </is>
      </c>
      <c r="H3" s="15">
        <f>IF(COUNT($AP$6:$AP$105)=0,"",MAX($AP$6:$AP$105))</f>
        <v/>
      </c>
      <c r="J3" s="7" t="inlineStr">
        <is>
          <t>주가 기준일</t>
        </is>
      </c>
      <c r="K3" s="16" t="n">
        <v>46295</v>
      </c>
    </row>
    <row r="4">
      <c r="A4" s="17" t="inlineStr">
        <is>
          <t>입력 (노란 칸)</t>
        </is>
      </c>
      <c r="Q4" s="9" t="inlineStr">
        <is>
          <t>결과 — 점수 설명 카드</t>
        </is>
      </c>
    </row>
    <row r="5" ht="42" customHeight="1">
      <c r="A5" s="6" t="inlineStr">
        <is>
          <t>종목코드</t>
        </is>
      </c>
      <c r="B5" s="6" t="inlineStr">
        <is>
          <t>종목명</t>
        </is>
      </c>
      <c r="C5" s="6" t="inlineStr">
        <is>
          <t>보유
(Y)</t>
        </is>
      </c>
      <c r="D5" s="6" t="inlineStr">
        <is>
          <t>금융·리츠
(Y)</t>
        </is>
      </c>
      <c r="E5" s="6" t="inlineStr">
        <is>
          <t>재무 기준
(메모)</t>
        </is>
      </c>
      <c r="F5" s="6" t="inlineStr">
        <is>
          <t>순이익
최근 1년</t>
        </is>
      </c>
      <c r="G5" s="6" t="inlineStr">
        <is>
          <t>자본총계</t>
        </is>
      </c>
      <c r="H5" s="6" t="inlineStr">
        <is>
          <t>부채총계</t>
        </is>
      </c>
      <c r="I5" s="6" t="inlineStr">
        <is>
          <t>영업이익
최근 1년</t>
        </is>
      </c>
      <c r="J5" s="6" t="inlineStr">
        <is>
          <t>매출
최근 1년</t>
        </is>
      </c>
      <c r="K5" s="6" t="inlineStr">
        <is>
          <t>매출
3년 전 1년</t>
        </is>
      </c>
      <c r="L5" s="6" t="inlineStr">
        <is>
          <t>시가총액</t>
        </is>
      </c>
      <c r="M5" s="6" t="inlineStr">
        <is>
          <t>이자부부채</t>
        </is>
      </c>
      <c r="N5" s="6" t="inlineStr">
        <is>
          <t>현금성자산</t>
        </is>
      </c>
      <c r="O5" s="6" t="inlineStr">
        <is>
          <t>주가
12개월 전</t>
        </is>
      </c>
      <c r="P5" s="6" t="inlineStr">
        <is>
          <t>주가
1개월 전</t>
        </is>
      </c>
      <c r="Q5" s="6" t="inlineStr">
        <is>
          <t>판정</t>
        </is>
      </c>
      <c r="R5" s="6" t="inlineStr">
        <is>
          <t>점수
(0~100)</t>
        </is>
      </c>
      <c r="S5" s="6" t="inlineStr">
        <is>
          <t>한 줄 요약</t>
        </is>
      </c>
      <c r="T5" s="6" t="inlineStr">
        <is>
          <t>ROE
값 · 풀 안 위치</t>
        </is>
      </c>
      <c r="U5" s="6" t="inlineStr">
        <is>
          <t>매출성장률(3년 연평균)
값 · 풀 안 위치</t>
        </is>
      </c>
      <c r="V5" s="6" t="inlineStr">
        <is>
          <t>이익수익률
값 · 풀 안 위치</t>
        </is>
      </c>
      <c r="W5" s="6" t="inlineStr">
        <is>
          <t>12-1개월 수익률
값 · 풀 안 위치</t>
        </is>
      </c>
      <c r="X5" s="6" t="inlineStr">
        <is>
          <t>거름망</t>
        </is>
      </c>
      <c r="Y5" s="6" t="inlineStr">
        <is>
          <t>부채비율</t>
        </is>
      </c>
      <c r="Z5" s="6" t="inlineStr">
        <is>
          <t>ROE</t>
        </is>
      </c>
      <c r="AA5" s="6" t="inlineStr">
        <is>
          <t>매출성장률</t>
        </is>
      </c>
      <c r="AB5" s="6" t="inlineStr">
        <is>
          <t>이익수익률</t>
        </is>
      </c>
      <c r="AC5" s="6" t="inlineStr">
        <is>
          <t>12-1 수익률</t>
        </is>
      </c>
      <c r="AD5" s="6" t="inlineStr">
        <is>
          <t>결측</t>
        </is>
      </c>
      <c r="AE5" s="6" t="inlineStr">
        <is>
          <t>상태</t>
        </is>
      </c>
      <c r="AF5" s="6" t="inlineStr">
        <is>
          <t>채점(1)</t>
        </is>
      </c>
      <c r="AG5" s="6" t="inlineStr">
        <is>
          <t>ROE(채점)</t>
        </is>
      </c>
      <c r="AH5" s="6" t="inlineStr">
        <is>
          <t>성장(채점)</t>
        </is>
      </c>
      <c r="AI5" s="6" t="inlineStr">
        <is>
          <t>이익수익률(채점)</t>
        </is>
      </c>
      <c r="AJ5" s="6" t="inlineStr">
        <is>
          <t>12-1(채점)</t>
        </is>
      </c>
      <c r="AK5" s="6" t="inlineStr">
        <is>
          <t>ROE 백분위</t>
        </is>
      </c>
      <c r="AL5" s="6" t="inlineStr">
        <is>
          <t>성장 백분위</t>
        </is>
      </c>
      <c r="AM5" s="6" t="inlineStr">
        <is>
          <t>이익수익률 백분위</t>
        </is>
      </c>
      <c r="AN5" s="6" t="inlineStr">
        <is>
          <t>12-1 백분위</t>
        </is>
      </c>
      <c r="AO5" s="6" t="inlineStr">
        <is>
          <t>평균 백분위</t>
        </is>
      </c>
      <c r="AP5" s="6" t="inlineStr">
        <is>
          <t>미보유 후보 점수</t>
        </is>
      </c>
      <c r="AQ5" s="6" t="inlineStr">
        <is>
          <t>대시보드 순위값</t>
        </is>
      </c>
      <c r="AR5" s="6" t="inlineStr">
        <is>
          <t>거름망 사유</t>
        </is>
      </c>
    </row>
    <row r="6">
      <c r="A6" s="18" t="inlineStr">
        <is>
          <t>U01</t>
        </is>
      </c>
      <c r="B6" s="19" t="inlineStr">
        <is>
          <t>예시반도체</t>
        </is>
      </c>
      <c r="C6" s="19" t="inlineStr">
        <is>
          <t>Y</t>
        </is>
      </c>
      <c r="D6" s="19" t="n"/>
      <c r="E6" s="19" t="inlineStr">
        <is>
          <t>2026-2Q</t>
        </is>
      </c>
      <c r="F6" s="20" t="n">
        <v>9000</v>
      </c>
      <c r="G6" s="20" t="n">
        <v>30000</v>
      </c>
      <c r="H6" s="20" t="n">
        <v>20000</v>
      </c>
      <c r="I6" s="20" t="n">
        <v>11000</v>
      </c>
      <c r="J6" s="20" t="n">
        <v>50000</v>
      </c>
      <c r="K6" s="20" t="n">
        <v>30000</v>
      </c>
      <c r="L6" s="20" t="n">
        <v>300000</v>
      </c>
      <c r="M6" s="20" t="n">
        <v>8000</v>
      </c>
      <c r="N6" s="20" t="n">
        <v>15000</v>
      </c>
      <c r="O6" s="23" t="n">
        <v>120</v>
      </c>
      <c r="P6" s="23" t="n">
        <v>165</v>
      </c>
      <c r="Q6" s="7">
        <f>IF(A6="","",IF(C6="Y",IF(AF6=1,IF(AND(R6&lt;'설정'!$B$6,ISNUMBER($H$3)),IF(ROUND($H$3-R6,1)&gt;='설정'!$B$7,"교체 제안 → "&amp;$E$3&amp;" ("&amp;TEXT($H$3,"0.0")&amp;")","보유 유지"),"보유 유지"),"보유 · 점수 없음"),IF(AF6=1,IF(R6&gt;='설정'!$B$5,"편입 후보",""),"")))</f>
        <v/>
      </c>
      <c r="R6" s="15">
        <f>IF(AF6=1,ROUND(IF($B$3=1,50,(_xlfn.RANK.AVG(AO6,$AO$6:$AO$105,1)-1)/($B$3-1)*100),1),"")</f>
        <v/>
      </c>
      <c r="S6">
        <f>IF(A6="","",IF(AF6=1,_xlfn.TEXTJOIN(". ",TRUE,_xlfn.TEXTJOIN(", ",TRUE,IF(AK6&gt;='설정'!$B$20,"수익성 높음",""),IF(AL6&gt;='설정'!$B$20,"성장 빠름",""),IF(AM6&gt;='설정'!$B$20,"가격 쌈",""),IF(AN6&gt;='설정'!$B$20,"추세 좋음","")),_xlfn.TEXTJOIN(", ",TRUE,IF(AK6&lt;'설정'!$B$21,"수익성 낮음",""),IF(AL6&lt;'설정'!$B$21,"성장 느림",""),IF(AM6&lt;'설정'!$B$21,"가격 비쌈",""),IF(AN6&lt;'설정'!$B$21,"추세 약함","")),IF(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="","","보통: "&amp;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)),IF(X6="통과",AE6,X6)))</f>
        <v/>
      </c>
      <c r="T6">
        <f>IF(AF6=1,TEXT(Z6,"0.0%")&amp;" · 상위 "&amp;TEXT(($B$3-_xlfn.RANK.AVG(AG6,$AG$6:$AG$105,1)+1)/$B$3*100,"0")&amp;"%",IF(A6="","",IF(Z6="","결측",TEXT(Z6,"0.0%"))))</f>
        <v/>
      </c>
      <c r="U6">
        <f>IF(AF6=1,TEXT(AA6,"0.0%")&amp;" · 상위 "&amp;TEXT(($B$3-_xlfn.RANK.AVG(AH6,$AH$6:$AH$105,1)+1)/$B$3*100,"0")&amp;"%",IF(A6="","",IF(AA6="","결측",TEXT(AA6,"0.0%"))))</f>
        <v/>
      </c>
      <c r="V6">
        <f>IF(AF6=1,TEXT(AB6,"0.0%")&amp;" · 상위 "&amp;TEXT(($B$3-_xlfn.RANK.AVG(AI6,$AI$6:$AI$105,1)+1)/$B$3*100,"0")&amp;"%",IF(A6="","",IF(AB6="","결측",TEXT(AB6,"0.0%"))))</f>
        <v/>
      </c>
      <c r="W6">
        <f>IF(AF6=1,TEXT(AC6,"0.0%")&amp;" · 상위 "&amp;TEXT(($B$3-_xlfn.RANK.AVG(AJ6,$AJ$6:$AJ$105,1)+1)/$B$3*100,"0")&amp;"%",IF(A6="","",IF(AC6="","결측",TEXT(AC6,"0.0%"))))</f>
        <v/>
      </c>
      <c r="X6">
        <f>IF(A6="","",IF(AR6="","통과","제외: "&amp;AR6))</f>
        <v/>
      </c>
      <c r="Y6" s="21">
        <f>IF(AND(ISNUMBER(G6),ISNUMBER(H6)),IF(G6&gt;0,H6/G6,""),"")</f>
        <v/>
      </c>
      <c r="Z6" s="22">
        <f>IF(AND(ISNUMBER(F6),ISNUMBER(G6)),IF(G6&gt;0,F6/G6,""),"")</f>
        <v/>
      </c>
      <c r="AA6" s="22">
        <f>IF(AND(ISNUMBER(J6),ISNUMBER(K6)),IF(AND(J6&gt;0,K6&gt;0),(J6/K6)^(1/3)-1,""),"")</f>
        <v/>
      </c>
      <c r="AB6" s="22">
        <f>IF(AND(ISNUMBER(I6),ISNUMBER(L6),ISNUMBER(M6),ISNUMBER(N6)),IF((L6+M6-N6)&gt;0,I6/(L6+M6-N6),""),"")</f>
        <v/>
      </c>
      <c r="AC6" s="22">
        <f>IF(AND(ISNUMBER(O6),ISNUMBER(P6)),IF(AND(O6&gt;0,P6&gt;0),P6/O6-1,""),"")</f>
        <v/>
      </c>
      <c r="AD6">
        <f>_xlfn.TEXTJOIN(", ",TRUE,IF(Z6="","ROE",""),IF(AA6="","매출성장률",""),IF(AB6="","이익수익률",""),IF(AC6="","12-1 수익률",""))</f>
        <v/>
      </c>
      <c r="AE6">
        <f>IF(A6="","",IF(AR6&lt;&gt;"","점수 없음(거름망)",IF(AD6="","채점","점수 없음(결측: "&amp;AD6&amp;")")))</f>
        <v/>
      </c>
      <c r="AF6">
        <f>IF(AE6="채점",1,"")</f>
        <v/>
      </c>
      <c r="AG6">
        <f>IF(AF6=1,Z6,"")</f>
        <v/>
      </c>
      <c r="AH6">
        <f>IF(AF6=1,AA6,"")</f>
        <v/>
      </c>
      <c r="AI6">
        <f>IF(AF6=1,AB6,"")</f>
        <v/>
      </c>
      <c r="AJ6">
        <f>IF(AF6=1,AC6,"")</f>
        <v/>
      </c>
      <c r="AK6">
        <f>IF(AF6=1,IF($B$3=1,50,(_xlfn.RANK.AVG(AG6,$AG$6:$AG$105,1)-1)/($B$3-1)*100),"")</f>
        <v/>
      </c>
      <c r="AL6">
        <f>IF(AF6=1,IF($B$3=1,50,(_xlfn.RANK.AVG(AH6,$AH$6:$AH$105,1)-1)/($B$3-1)*100),"")</f>
        <v/>
      </c>
      <c r="AM6">
        <f>IF(AF6=1,IF($B$3=1,50,(_xlfn.RANK.AVG(AI6,$AI$6:$AI$105,1)-1)/($B$3-1)*100),"")</f>
        <v/>
      </c>
      <c r="AN6">
        <f>IF(AF6=1,IF($B$3=1,50,(_xlfn.RANK.AVG(AJ6,$AJ$6:$AJ$105,1)-1)/($B$3-1)*100),"")</f>
        <v/>
      </c>
      <c r="AO6">
        <f>IF(AF6=1,ROUND(AVERAGE(AK6:AN6),6),"")</f>
        <v/>
      </c>
      <c r="AP6">
        <f>IF(AND(AF6=1,C6&lt;&gt;"Y"),R6,"")</f>
        <v/>
      </c>
      <c r="AQ6">
        <f>IF(AND(ISNUMBER(AP6),Q6="편입 후보"),AP6+(1000-ROW())/1000000,"")</f>
        <v/>
      </c>
      <c r="AR6">
        <f>IF(A6="","",_xlfn.TEXTJOIN(", ",TRUE,IF(D6="Y","금융·리츠",""),IF(NOT(ISNUMBER(I6)),"영업이익 없음",IF(I6&lt;=0,"영업적자","")),IF(OR(NOT(ISNUMBER(G6)),NOT(ISNUMBER(H6))),"부채비율 자료 없음",IF(G6&lt;=0,"자본잠식",IF(H6/G6&gt;'설정'!$B$8,"부채비율 초과",""))),IF(NOT(ISNUMBER(L6)),"시총 없음",IF(L6&lt;'설정'!$B$10,"시총 미달",""))))</f>
        <v/>
      </c>
    </row>
    <row r="7">
      <c r="A7" s="18" t="inlineStr">
        <is>
          <t>U02</t>
        </is>
      </c>
      <c r="B7" s="19" t="inlineStr">
        <is>
          <t>예시리테일</t>
        </is>
      </c>
      <c r="C7" s="19" t="inlineStr">
        <is>
          <t>Y</t>
        </is>
      </c>
      <c r="D7" s="19" t="n"/>
      <c r="E7" s="19" t="inlineStr">
        <is>
          <t>2026-2Q</t>
        </is>
      </c>
      <c r="F7" s="20" t="n">
        <v>800</v>
      </c>
      <c r="G7" s="20" t="n">
        <v>6000</v>
      </c>
      <c r="H7" s="20" t="n">
        <v>9000</v>
      </c>
      <c r="I7" s="20" t="n">
        <v>1300</v>
      </c>
      <c r="J7" s="20" t="n">
        <v>30000</v>
      </c>
      <c r="K7" s="20" t="n">
        <v>27000</v>
      </c>
      <c r="L7" s="20" t="n">
        <v>9000</v>
      </c>
      <c r="M7" s="20" t="n">
        <v>3000</v>
      </c>
      <c r="N7" s="20" t="n">
        <v>700</v>
      </c>
      <c r="O7" s="23" t="n">
        <v>80</v>
      </c>
      <c r="P7" s="23" t="n">
        <v>55</v>
      </c>
      <c r="Q7" s="7">
        <f>IF(A7="","",IF(C7="Y",IF(AF7=1,IF(AND(R7&lt;'설정'!$B$6,ISNUMBER($H$3)),IF(ROUND($H$3-R7,1)&gt;='설정'!$B$7,"교체 제안 → "&amp;$E$3&amp;" ("&amp;TEXT($H$3,"0.0")&amp;")","보유 유지"),"보유 유지"),"보유 · 점수 없음"),IF(AF7=1,IF(R7&gt;='설정'!$B$5,"편입 후보",""),"")))</f>
        <v/>
      </c>
      <c r="R7" s="15">
        <f>IF(AF7=1,ROUND(IF($B$3=1,50,(_xlfn.RANK.AVG(AO7,$AO$6:$AO$105,1)-1)/($B$3-1)*100),1),"")</f>
        <v/>
      </c>
      <c r="S7">
        <f>IF(A7="","",IF(AF7=1,_xlfn.TEXTJOIN(". ",TRUE,_xlfn.TEXTJOIN(", ",TRUE,IF(AK7&gt;='설정'!$B$20,"수익성 높음",""),IF(AL7&gt;='설정'!$B$20,"성장 빠름",""),IF(AM7&gt;='설정'!$B$20,"가격 쌈",""),IF(AN7&gt;='설정'!$B$20,"추세 좋음","")),_xlfn.TEXTJOIN(", ",TRUE,IF(AK7&lt;'설정'!$B$21,"수익성 낮음",""),IF(AL7&lt;'설정'!$B$21,"성장 느림",""),IF(AM7&lt;'설정'!$B$21,"가격 비쌈",""),IF(AN7&lt;'설정'!$B$21,"추세 약함","")),IF(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="","","보통: "&amp;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)),IF(X7="통과",AE7,X7)))</f>
        <v/>
      </c>
      <c r="T7">
        <f>IF(AF7=1,TEXT(Z7,"0.0%")&amp;" · 상위 "&amp;TEXT(($B$3-_xlfn.RANK.AVG(AG7,$AG$6:$AG$105,1)+1)/$B$3*100,"0")&amp;"%",IF(A7="","",IF(Z7="","결측",TEXT(Z7,"0.0%"))))</f>
        <v/>
      </c>
      <c r="U7">
        <f>IF(AF7=1,TEXT(AA7,"0.0%")&amp;" · 상위 "&amp;TEXT(($B$3-_xlfn.RANK.AVG(AH7,$AH$6:$AH$105,1)+1)/$B$3*100,"0")&amp;"%",IF(A7="","",IF(AA7="","결측",TEXT(AA7,"0.0%"))))</f>
        <v/>
      </c>
      <c r="V7">
        <f>IF(AF7=1,TEXT(AB7,"0.0%")&amp;" · 상위 "&amp;TEXT(($B$3-_xlfn.RANK.AVG(AI7,$AI$6:$AI$105,1)+1)/$B$3*100,"0")&amp;"%",IF(A7="","",IF(AB7="","결측",TEXT(AB7,"0.0%"))))</f>
        <v/>
      </c>
      <c r="W7">
        <f>IF(AF7=1,TEXT(AC7,"0.0%")&amp;" · 상위 "&amp;TEXT(($B$3-_xlfn.RANK.AVG(AJ7,$AJ$6:$AJ$105,1)+1)/$B$3*100,"0")&amp;"%",IF(A7="","",IF(AC7="","결측",TEXT(AC7,"0.0%"))))</f>
        <v/>
      </c>
      <c r="X7">
        <f>IF(A7="","",IF(AR7="","통과","제외: "&amp;AR7))</f>
        <v/>
      </c>
      <c r="Y7" s="21">
        <f>IF(AND(ISNUMBER(G7),ISNUMBER(H7)),IF(G7&gt;0,H7/G7,""),"")</f>
        <v/>
      </c>
      <c r="Z7" s="22">
        <f>IF(AND(ISNUMBER(F7),ISNUMBER(G7)),IF(G7&gt;0,F7/G7,""),"")</f>
        <v/>
      </c>
      <c r="AA7" s="22">
        <f>IF(AND(ISNUMBER(J7),ISNUMBER(K7)),IF(AND(J7&gt;0,K7&gt;0),(J7/K7)^(1/3)-1,""),"")</f>
        <v/>
      </c>
      <c r="AB7" s="22">
        <f>IF(AND(ISNUMBER(I7),ISNUMBER(L7),ISNUMBER(M7),ISNUMBER(N7)),IF((L7+M7-N7)&gt;0,I7/(L7+M7-N7),""),"")</f>
        <v/>
      </c>
      <c r="AC7" s="22">
        <f>IF(AND(ISNUMBER(O7),ISNUMBER(P7)),IF(AND(O7&gt;0,P7&gt;0),P7/O7-1,""),"")</f>
        <v/>
      </c>
      <c r="AD7">
        <f>_xlfn.TEXTJOIN(", ",TRUE,IF(Z7="","ROE",""),IF(AA7="","매출성장률",""),IF(AB7="","이익수익률",""),IF(AC7="","12-1 수익률",""))</f>
        <v/>
      </c>
      <c r="AE7">
        <f>IF(A7="","",IF(AR7&lt;&gt;"","점수 없음(거름망)",IF(AD7="","채점","점수 없음(결측: "&amp;AD7&amp;")")))</f>
        <v/>
      </c>
      <c r="AF7">
        <f>IF(AE7="채점",1,"")</f>
        <v/>
      </c>
      <c r="AG7">
        <f>IF(AF7=1,Z7,"")</f>
        <v/>
      </c>
      <c r="AH7">
        <f>IF(AF7=1,AA7,"")</f>
        <v/>
      </c>
      <c r="AI7">
        <f>IF(AF7=1,AB7,"")</f>
        <v/>
      </c>
      <c r="AJ7">
        <f>IF(AF7=1,AC7,"")</f>
        <v/>
      </c>
      <c r="AK7">
        <f>IF(AF7=1,IF($B$3=1,50,(_xlfn.RANK.AVG(AG7,$AG$6:$AG$105,1)-1)/($B$3-1)*100),"")</f>
        <v/>
      </c>
      <c r="AL7">
        <f>IF(AF7=1,IF($B$3=1,50,(_xlfn.RANK.AVG(AH7,$AH$6:$AH$105,1)-1)/($B$3-1)*100),"")</f>
        <v/>
      </c>
      <c r="AM7">
        <f>IF(AF7=1,IF($B$3=1,50,(_xlfn.RANK.AVG(AI7,$AI$6:$AI$105,1)-1)/($B$3-1)*100),"")</f>
        <v/>
      </c>
      <c r="AN7">
        <f>IF(AF7=1,IF($B$3=1,50,(_xlfn.RANK.AVG(AJ7,$AJ$6:$AJ$105,1)-1)/($B$3-1)*100),"")</f>
        <v/>
      </c>
      <c r="AO7">
        <f>IF(AF7=1,ROUND(AVERAGE(AK7:AN7),6),"")</f>
        <v/>
      </c>
      <c r="AP7">
        <f>IF(AND(AF7=1,C7&lt;&gt;"Y"),R7,"")</f>
        <v/>
      </c>
      <c r="AQ7">
        <f>IF(AND(ISNUMBER(AP7),Q7="편입 후보"),AP7+(1000-ROW())/1000000,"")</f>
        <v/>
      </c>
      <c r="AR7">
        <f>IF(A7="","",_xlfn.TEXTJOIN(", ",TRUE,IF(D7="Y","금융·리츠",""),IF(NOT(ISNUMBER(I7)),"영업이익 없음",IF(I7&lt;=0,"영업적자","")),IF(OR(NOT(ISNUMBER(G7)),NOT(ISNUMBER(H7))),"부채비율 자료 없음",IF(G7&lt;=0,"자본잠식",IF(H7/G7&gt;'설정'!$B$8,"부채비율 초과",""))),IF(NOT(ISNUMBER(L7)),"시총 없음",IF(L7&lt;'설정'!$B$10,"시총 미달",""))))</f>
        <v/>
      </c>
    </row>
    <row r="8">
      <c r="A8" s="18" t="inlineStr">
        <is>
          <t>U03</t>
        </is>
      </c>
      <c r="B8" s="19" t="inlineStr">
        <is>
          <t>예시클라우드</t>
        </is>
      </c>
      <c r="C8" s="19" t="n"/>
      <c r="D8" s="19" t="n"/>
      <c r="E8" s="19" t="inlineStr">
        <is>
          <t>2026-2Q</t>
        </is>
      </c>
      <c r="F8" s="20" t="n">
        <v>2500</v>
      </c>
      <c r="G8" s="20" t="n">
        <v>10000</v>
      </c>
      <c r="H8" s="20" t="n">
        <v>6000</v>
      </c>
      <c r="I8" s="20" t="n">
        <v>3200</v>
      </c>
      <c r="J8" s="20" t="n">
        <v>15000</v>
      </c>
      <c r="K8" s="20" t="n">
        <v>8000</v>
      </c>
      <c r="L8" s="20" t="n">
        <v>90000</v>
      </c>
      <c r="M8" s="20" t="n">
        <v>2000</v>
      </c>
      <c r="N8" s="20" t="n">
        <v>6000</v>
      </c>
      <c r="O8" s="23" t="n">
        <v>200</v>
      </c>
      <c r="P8" s="23" t="n">
        <v>260</v>
      </c>
      <c r="Q8" s="7">
        <f>IF(A8="","",IF(C8="Y",IF(AF8=1,IF(AND(R8&lt;'설정'!$B$6,ISNUMBER($H$3)),IF(ROUND($H$3-R8,1)&gt;='설정'!$B$7,"교체 제안 → "&amp;$E$3&amp;" ("&amp;TEXT($H$3,"0.0")&amp;")","보유 유지"),"보유 유지"),"보유 · 점수 없음"),IF(AF8=1,IF(R8&gt;='설정'!$B$5,"편입 후보",""),"")))</f>
        <v/>
      </c>
      <c r="R8" s="15">
        <f>IF(AF8=1,ROUND(IF($B$3=1,50,(_xlfn.RANK.AVG(AO8,$AO$6:$AO$105,1)-1)/($B$3-1)*100),1),"")</f>
        <v/>
      </c>
      <c r="S8">
        <f>IF(A8="","",IF(AF8=1,_xlfn.TEXTJOIN(". ",TRUE,_xlfn.TEXTJOIN(", ",TRUE,IF(AK8&gt;='설정'!$B$20,"수익성 높음",""),IF(AL8&gt;='설정'!$B$20,"성장 빠름",""),IF(AM8&gt;='설정'!$B$20,"가격 쌈",""),IF(AN8&gt;='설정'!$B$20,"추세 좋음","")),_xlfn.TEXTJOIN(", ",TRUE,IF(AK8&lt;'설정'!$B$21,"수익성 낮음",""),IF(AL8&lt;'설정'!$B$21,"성장 느림",""),IF(AM8&lt;'설정'!$B$21,"가격 비쌈",""),IF(AN8&lt;'설정'!$B$21,"추세 약함","")),IF(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="","","보통: "&amp;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)),IF(X8="통과",AE8,X8)))</f>
        <v/>
      </c>
      <c r="T8">
        <f>IF(AF8=1,TEXT(Z8,"0.0%")&amp;" · 상위 "&amp;TEXT(($B$3-_xlfn.RANK.AVG(AG8,$AG$6:$AG$105,1)+1)/$B$3*100,"0")&amp;"%",IF(A8="","",IF(Z8="","결측",TEXT(Z8,"0.0%"))))</f>
        <v/>
      </c>
      <c r="U8">
        <f>IF(AF8=1,TEXT(AA8,"0.0%")&amp;" · 상위 "&amp;TEXT(($B$3-_xlfn.RANK.AVG(AH8,$AH$6:$AH$105,1)+1)/$B$3*100,"0")&amp;"%",IF(A8="","",IF(AA8="","결측",TEXT(AA8,"0.0%"))))</f>
        <v/>
      </c>
      <c r="V8">
        <f>IF(AF8=1,TEXT(AB8,"0.0%")&amp;" · 상위 "&amp;TEXT(($B$3-_xlfn.RANK.AVG(AI8,$AI$6:$AI$105,1)+1)/$B$3*100,"0")&amp;"%",IF(A8="","",IF(AB8="","결측",TEXT(AB8,"0.0%"))))</f>
        <v/>
      </c>
      <c r="W8">
        <f>IF(AF8=1,TEXT(AC8,"0.0%")&amp;" · 상위 "&amp;TEXT(($B$3-_xlfn.RANK.AVG(AJ8,$AJ$6:$AJ$105,1)+1)/$B$3*100,"0")&amp;"%",IF(A8="","",IF(AC8="","결측",TEXT(AC8,"0.0%"))))</f>
        <v/>
      </c>
      <c r="X8">
        <f>IF(A8="","",IF(AR8="","통과","제외: "&amp;AR8))</f>
        <v/>
      </c>
      <c r="Y8" s="21">
        <f>IF(AND(ISNUMBER(G8),ISNUMBER(H8)),IF(G8&gt;0,H8/G8,""),"")</f>
        <v/>
      </c>
      <c r="Z8" s="22">
        <f>IF(AND(ISNUMBER(F8),ISNUMBER(G8)),IF(G8&gt;0,F8/G8,""),"")</f>
        <v/>
      </c>
      <c r="AA8" s="22">
        <f>IF(AND(ISNUMBER(J8),ISNUMBER(K8)),IF(AND(J8&gt;0,K8&gt;0),(J8/K8)^(1/3)-1,""),"")</f>
        <v/>
      </c>
      <c r="AB8" s="22">
        <f>IF(AND(ISNUMBER(I8),ISNUMBER(L8),ISNUMBER(M8),ISNUMBER(N8)),IF((L8+M8-N8)&gt;0,I8/(L8+M8-N8),""),"")</f>
        <v/>
      </c>
      <c r="AC8" s="22">
        <f>IF(AND(ISNUMBER(O8),ISNUMBER(P8)),IF(AND(O8&gt;0,P8&gt;0),P8/O8-1,""),"")</f>
        <v/>
      </c>
      <c r="AD8">
        <f>_xlfn.TEXTJOIN(", ",TRUE,IF(Z8="","ROE",""),IF(AA8="","매출성장률",""),IF(AB8="","이익수익률",""),IF(AC8="","12-1 수익률",""))</f>
        <v/>
      </c>
      <c r="AE8">
        <f>IF(A8="","",IF(AR8&lt;&gt;"","점수 없음(거름망)",IF(AD8="","채점","점수 없음(결측: "&amp;AD8&amp;")")))</f>
        <v/>
      </c>
      <c r="AF8">
        <f>IF(AE8="채점",1,"")</f>
        <v/>
      </c>
      <c r="AG8">
        <f>IF(AF8=1,Z8,"")</f>
        <v/>
      </c>
      <c r="AH8">
        <f>IF(AF8=1,AA8,"")</f>
        <v/>
      </c>
      <c r="AI8">
        <f>IF(AF8=1,AB8,"")</f>
        <v/>
      </c>
      <c r="AJ8">
        <f>IF(AF8=1,AC8,"")</f>
        <v/>
      </c>
      <c r="AK8">
        <f>IF(AF8=1,IF($B$3=1,50,(_xlfn.RANK.AVG(AG8,$AG$6:$AG$105,1)-1)/($B$3-1)*100),"")</f>
        <v/>
      </c>
      <c r="AL8">
        <f>IF(AF8=1,IF($B$3=1,50,(_xlfn.RANK.AVG(AH8,$AH$6:$AH$105,1)-1)/($B$3-1)*100),"")</f>
        <v/>
      </c>
      <c r="AM8">
        <f>IF(AF8=1,IF($B$3=1,50,(_xlfn.RANK.AVG(AI8,$AI$6:$AI$105,1)-1)/($B$3-1)*100),"")</f>
        <v/>
      </c>
      <c r="AN8">
        <f>IF(AF8=1,IF($B$3=1,50,(_xlfn.RANK.AVG(AJ8,$AJ$6:$AJ$105,1)-1)/($B$3-1)*100),"")</f>
        <v/>
      </c>
      <c r="AO8">
        <f>IF(AF8=1,ROUND(AVERAGE(AK8:AN8),6),"")</f>
        <v/>
      </c>
      <c r="AP8">
        <f>IF(AND(AF8=1,C8&lt;&gt;"Y"),R8,"")</f>
        <v/>
      </c>
      <c r="AQ8">
        <f>IF(AND(ISNUMBER(AP8),Q8="편입 후보"),AP8+(1000-ROW())/1000000,"")</f>
        <v/>
      </c>
      <c r="AR8">
        <f>IF(A8="","",_xlfn.TEXTJOIN(", ",TRUE,IF(D8="Y","금융·리츠",""),IF(NOT(ISNUMBER(I8)),"영업이익 없음",IF(I8&lt;=0,"영업적자","")),IF(OR(NOT(ISNUMBER(G8)),NOT(ISNUMBER(H8))),"부채비율 자료 없음",IF(G8&lt;=0,"자본잠식",IF(H8/G8&gt;'설정'!$B$8,"부채비율 초과",""))),IF(NOT(ISNUMBER(L8)),"시총 없음",IF(L8&lt;'설정'!$B$10,"시총 미달",""))))</f>
        <v/>
      </c>
    </row>
    <row r="9">
      <c r="A9" s="18" t="inlineStr">
        <is>
          <t>U04</t>
        </is>
      </c>
      <c r="B9" s="19" t="inlineStr">
        <is>
          <t>예시보험</t>
        </is>
      </c>
      <c r="C9" s="19" t="n"/>
      <c r="D9" s="19" t="inlineStr">
        <is>
          <t>Y</t>
        </is>
      </c>
      <c r="E9" s="19" t="inlineStr">
        <is>
          <t>2026-2Q</t>
        </is>
      </c>
      <c r="F9" s="20" t="n">
        <v>2000</v>
      </c>
      <c r="G9" s="20" t="n">
        <v>20000</v>
      </c>
      <c r="H9" s="20" t="n">
        <v>100000</v>
      </c>
      <c r="I9" s="20" t="n">
        <v>2500</v>
      </c>
      <c r="J9" s="20" t="n">
        <v>25000</v>
      </c>
      <c r="K9" s="20" t="n">
        <v>22000</v>
      </c>
      <c r="L9" s="20" t="n">
        <v>30000</v>
      </c>
      <c r="M9" s="20" t="n">
        <v>5000</v>
      </c>
      <c r="N9" s="20" t="n">
        <v>3000</v>
      </c>
      <c r="O9" s="23" t="n">
        <v>50</v>
      </c>
      <c r="P9" s="23" t="n">
        <v>55</v>
      </c>
      <c r="Q9" s="7">
        <f>IF(A9="","",IF(C9="Y",IF(AF9=1,IF(AND(R9&lt;'설정'!$B$6,ISNUMBER($H$3)),IF(ROUND($H$3-R9,1)&gt;='설정'!$B$7,"교체 제안 → "&amp;$E$3&amp;" ("&amp;TEXT($H$3,"0.0")&amp;")","보유 유지"),"보유 유지"),"보유 · 점수 없음"),IF(AF9=1,IF(R9&gt;='설정'!$B$5,"편입 후보",""),"")))</f>
        <v/>
      </c>
      <c r="R9" s="15">
        <f>IF(AF9=1,ROUND(IF($B$3=1,50,(_xlfn.RANK.AVG(AO9,$AO$6:$AO$105,1)-1)/($B$3-1)*100),1),"")</f>
        <v/>
      </c>
      <c r="S9">
        <f>IF(A9="","",IF(AF9=1,_xlfn.TEXTJOIN(". ",TRUE,_xlfn.TEXTJOIN(", ",TRUE,IF(AK9&gt;='설정'!$B$20,"수익성 높음",""),IF(AL9&gt;='설정'!$B$20,"성장 빠름",""),IF(AM9&gt;='설정'!$B$20,"가격 쌈",""),IF(AN9&gt;='설정'!$B$20,"추세 좋음","")),_xlfn.TEXTJOIN(", ",TRUE,IF(AK9&lt;'설정'!$B$21,"수익성 낮음",""),IF(AL9&lt;'설정'!$B$21,"성장 느림",""),IF(AM9&lt;'설정'!$B$21,"가격 비쌈",""),IF(AN9&lt;'설정'!$B$21,"추세 약함","")),IF(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="","","보통: "&amp;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)),IF(X9="통과",AE9,X9)))</f>
        <v/>
      </c>
      <c r="T9">
        <f>IF(AF9=1,TEXT(Z9,"0.0%")&amp;" · 상위 "&amp;TEXT(($B$3-_xlfn.RANK.AVG(AG9,$AG$6:$AG$105,1)+1)/$B$3*100,"0")&amp;"%",IF(A9="","",IF(Z9="","결측",TEXT(Z9,"0.0%"))))</f>
        <v/>
      </c>
      <c r="U9">
        <f>IF(AF9=1,TEXT(AA9,"0.0%")&amp;" · 상위 "&amp;TEXT(($B$3-_xlfn.RANK.AVG(AH9,$AH$6:$AH$105,1)+1)/$B$3*100,"0")&amp;"%",IF(A9="","",IF(AA9="","결측",TEXT(AA9,"0.0%"))))</f>
        <v/>
      </c>
      <c r="V9">
        <f>IF(AF9=1,TEXT(AB9,"0.0%")&amp;" · 상위 "&amp;TEXT(($B$3-_xlfn.RANK.AVG(AI9,$AI$6:$AI$105,1)+1)/$B$3*100,"0")&amp;"%",IF(A9="","",IF(AB9="","결측",TEXT(AB9,"0.0%"))))</f>
        <v/>
      </c>
      <c r="W9">
        <f>IF(AF9=1,TEXT(AC9,"0.0%")&amp;" · 상위 "&amp;TEXT(($B$3-_xlfn.RANK.AVG(AJ9,$AJ$6:$AJ$105,1)+1)/$B$3*100,"0")&amp;"%",IF(A9="","",IF(AC9="","결측",TEXT(AC9,"0.0%"))))</f>
        <v/>
      </c>
      <c r="X9">
        <f>IF(A9="","",IF(AR9="","통과","제외: "&amp;AR9))</f>
        <v/>
      </c>
      <c r="Y9" s="21">
        <f>IF(AND(ISNUMBER(G9),ISNUMBER(H9)),IF(G9&gt;0,H9/G9,""),"")</f>
        <v/>
      </c>
      <c r="Z9" s="22">
        <f>IF(AND(ISNUMBER(F9),ISNUMBER(G9)),IF(G9&gt;0,F9/G9,""),"")</f>
        <v/>
      </c>
      <c r="AA9" s="22">
        <f>IF(AND(ISNUMBER(J9),ISNUMBER(K9)),IF(AND(J9&gt;0,K9&gt;0),(J9/K9)^(1/3)-1,""),"")</f>
        <v/>
      </c>
      <c r="AB9" s="22">
        <f>IF(AND(ISNUMBER(I9),ISNUMBER(L9),ISNUMBER(M9),ISNUMBER(N9)),IF((L9+M9-N9)&gt;0,I9/(L9+M9-N9),""),"")</f>
        <v/>
      </c>
      <c r="AC9" s="22">
        <f>IF(AND(ISNUMBER(O9),ISNUMBER(P9)),IF(AND(O9&gt;0,P9&gt;0),P9/O9-1,""),"")</f>
        <v/>
      </c>
      <c r="AD9">
        <f>_xlfn.TEXTJOIN(", ",TRUE,IF(Z9="","ROE",""),IF(AA9="","매출성장률",""),IF(AB9="","이익수익률",""),IF(AC9="","12-1 수익률",""))</f>
        <v/>
      </c>
      <c r="AE9">
        <f>IF(A9="","",IF(AR9&lt;&gt;"","점수 없음(거름망)",IF(AD9="","채점","점수 없음(결측: "&amp;AD9&amp;")")))</f>
        <v/>
      </c>
      <c r="AF9">
        <f>IF(AE9="채점",1,"")</f>
        <v/>
      </c>
      <c r="AG9">
        <f>IF(AF9=1,Z9,"")</f>
        <v/>
      </c>
      <c r="AH9">
        <f>IF(AF9=1,AA9,"")</f>
        <v/>
      </c>
      <c r="AI9">
        <f>IF(AF9=1,AB9,"")</f>
        <v/>
      </c>
      <c r="AJ9">
        <f>IF(AF9=1,AC9,"")</f>
        <v/>
      </c>
      <c r="AK9">
        <f>IF(AF9=1,IF($B$3=1,50,(_xlfn.RANK.AVG(AG9,$AG$6:$AG$105,1)-1)/($B$3-1)*100),"")</f>
        <v/>
      </c>
      <c r="AL9">
        <f>IF(AF9=1,IF($B$3=1,50,(_xlfn.RANK.AVG(AH9,$AH$6:$AH$105,1)-1)/($B$3-1)*100),"")</f>
        <v/>
      </c>
      <c r="AM9">
        <f>IF(AF9=1,IF($B$3=1,50,(_xlfn.RANK.AVG(AI9,$AI$6:$AI$105,1)-1)/($B$3-1)*100),"")</f>
        <v/>
      </c>
      <c r="AN9">
        <f>IF(AF9=1,IF($B$3=1,50,(_xlfn.RANK.AVG(AJ9,$AJ$6:$AJ$105,1)-1)/($B$3-1)*100),"")</f>
        <v/>
      </c>
      <c r="AO9">
        <f>IF(AF9=1,ROUND(AVERAGE(AK9:AN9),6),"")</f>
        <v/>
      </c>
      <c r="AP9">
        <f>IF(AND(AF9=1,C9&lt;&gt;"Y"),R9,"")</f>
        <v/>
      </c>
      <c r="AQ9">
        <f>IF(AND(ISNUMBER(AP9),Q9="편입 후보"),AP9+(1000-ROW())/1000000,"")</f>
        <v/>
      </c>
      <c r="AR9">
        <f>IF(A9="","",_xlfn.TEXTJOIN(", ",TRUE,IF(D9="Y","금융·리츠",""),IF(NOT(ISNUMBER(I9)),"영업이익 없음",IF(I9&lt;=0,"영업적자","")),IF(OR(NOT(ISNUMBER(G9)),NOT(ISNUMBER(H9))),"부채비율 자료 없음",IF(G9&lt;=0,"자본잠식",IF(H9/G9&gt;'설정'!$B$8,"부채비율 초과",""))),IF(NOT(ISNUMBER(L9)),"시총 없음",IF(L9&lt;'설정'!$B$10,"시총 미달",""))))</f>
        <v/>
      </c>
    </row>
    <row r="10">
      <c r="A10" s="18" t="inlineStr">
        <is>
          <t>U05</t>
        </is>
      </c>
      <c r="B10" s="19" t="inlineStr">
        <is>
          <t>예시제약</t>
        </is>
      </c>
      <c r="C10" s="19" t="n"/>
      <c r="D10" s="19" t="n"/>
      <c r="E10" s="19" t="inlineStr">
        <is>
          <t>2026-2Q</t>
        </is>
      </c>
      <c r="F10" s="20" t="n">
        <v>4000</v>
      </c>
      <c r="G10" s="20" t="n">
        <v>25000</v>
      </c>
      <c r="H10" s="20" t="n">
        <v>15000</v>
      </c>
      <c r="I10" s="20" t="n">
        <v>5000</v>
      </c>
      <c r="J10" s="20" t="n">
        <v>40000</v>
      </c>
      <c r="K10" s="20" t="n">
        <v>36000</v>
      </c>
      <c r="L10" s="20" t="n">
        <v>60000</v>
      </c>
      <c r="M10" s="20" t="n">
        <v>10000</v>
      </c>
      <c r="N10" s="20" t="n">
        <v>8000</v>
      </c>
      <c r="O10" s="23" t="n">
        <v>90</v>
      </c>
      <c r="P10" s="23" t="n">
        <v>92</v>
      </c>
      <c r="Q10" s="7">
        <f>IF(A10="","",IF(C10="Y",IF(AF10=1,IF(AND(R10&lt;'설정'!$B$6,ISNUMBER($H$3)),IF(ROUND($H$3-R10,1)&gt;='설정'!$B$7,"교체 제안 → "&amp;$E$3&amp;" ("&amp;TEXT($H$3,"0.0")&amp;")","보유 유지"),"보유 유지"),"보유 · 점수 없음"),IF(AF10=1,IF(R10&gt;='설정'!$B$5,"편입 후보",""),"")))</f>
        <v/>
      </c>
      <c r="R10" s="15">
        <f>IF(AF10=1,ROUND(IF($B$3=1,50,(_xlfn.RANK.AVG(AO10,$AO$6:$AO$105,1)-1)/($B$3-1)*100),1),"")</f>
        <v/>
      </c>
      <c r="S10">
        <f>IF(A10="","",IF(AF10=1,_xlfn.TEXTJOIN(". ",TRUE,_xlfn.TEXTJOIN(", ",TRUE,IF(AK10&gt;='설정'!$B$20,"수익성 높음",""),IF(AL10&gt;='설정'!$B$20,"성장 빠름",""),IF(AM10&gt;='설정'!$B$20,"가격 쌈",""),IF(AN10&gt;='설정'!$B$20,"추세 좋음","")),_xlfn.TEXTJOIN(", ",TRUE,IF(AK10&lt;'설정'!$B$21,"수익성 낮음",""),IF(AL10&lt;'설정'!$B$21,"성장 느림",""),IF(AM10&lt;'설정'!$B$21,"가격 비쌈",""),IF(AN10&lt;'설정'!$B$21,"추세 약함","")),IF(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="","","보통: "&amp;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)),IF(X10="통과",AE10,X10)))</f>
        <v/>
      </c>
      <c r="T10">
        <f>IF(AF10=1,TEXT(Z10,"0.0%")&amp;" · 상위 "&amp;TEXT(($B$3-_xlfn.RANK.AVG(AG10,$AG$6:$AG$105,1)+1)/$B$3*100,"0")&amp;"%",IF(A10="","",IF(Z10="","결측",TEXT(Z10,"0.0%"))))</f>
        <v/>
      </c>
      <c r="U10">
        <f>IF(AF10=1,TEXT(AA10,"0.0%")&amp;" · 상위 "&amp;TEXT(($B$3-_xlfn.RANK.AVG(AH10,$AH$6:$AH$105,1)+1)/$B$3*100,"0")&amp;"%",IF(A10="","",IF(AA10="","결측",TEXT(AA10,"0.0%"))))</f>
        <v/>
      </c>
      <c r="V10">
        <f>IF(AF10=1,TEXT(AB10,"0.0%")&amp;" · 상위 "&amp;TEXT(($B$3-_xlfn.RANK.AVG(AI10,$AI$6:$AI$105,1)+1)/$B$3*100,"0")&amp;"%",IF(A10="","",IF(AB10="","결측",TEXT(AB10,"0.0%"))))</f>
        <v/>
      </c>
      <c r="W10">
        <f>IF(AF10=1,TEXT(AC10,"0.0%")&amp;" · 상위 "&amp;TEXT(($B$3-_xlfn.RANK.AVG(AJ10,$AJ$6:$AJ$105,1)+1)/$B$3*100,"0")&amp;"%",IF(A10="","",IF(AC10="","결측",TEXT(AC10,"0.0%"))))</f>
        <v/>
      </c>
      <c r="X10">
        <f>IF(A10="","",IF(AR10="","통과","제외: "&amp;AR10))</f>
        <v/>
      </c>
      <c r="Y10" s="21">
        <f>IF(AND(ISNUMBER(G10),ISNUMBER(H10)),IF(G10&gt;0,H10/G10,""),"")</f>
        <v/>
      </c>
      <c r="Z10" s="22">
        <f>IF(AND(ISNUMBER(F10),ISNUMBER(G10)),IF(G10&gt;0,F10/G10,""),"")</f>
        <v/>
      </c>
      <c r="AA10" s="22">
        <f>IF(AND(ISNUMBER(J10),ISNUMBER(K10)),IF(AND(J10&gt;0,K10&gt;0),(J10/K10)^(1/3)-1,""),"")</f>
        <v/>
      </c>
      <c r="AB10" s="22">
        <f>IF(AND(ISNUMBER(I10),ISNUMBER(L10),ISNUMBER(M10),ISNUMBER(N10)),IF((L10+M10-N10)&gt;0,I10/(L10+M10-N10),""),"")</f>
        <v/>
      </c>
      <c r="AC10" s="22">
        <f>IF(AND(ISNUMBER(O10),ISNUMBER(P10)),IF(AND(O10&gt;0,P10&gt;0),P10/O10-1,""),"")</f>
        <v/>
      </c>
      <c r="AD10">
        <f>_xlfn.TEXTJOIN(", ",TRUE,IF(Z10="","ROE",""),IF(AA10="","매출성장률",""),IF(AB10="","이익수익률",""),IF(AC10="","12-1 수익률",""))</f>
        <v/>
      </c>
      <c r="AE10">
        <f>IF(A10="","",IF(AR10&lt;&gt;"","점수 없음(거름망)",IF(AD10="","채점","점수 없음(결측: "&amp;AD10&amp;")")))</f>
        <v/>
      </c>
      <c r="AF10">
        <f>IF(AE10="채점",1,"")</f>
        <v/>
      </c>
      <c r="AG10">
        <f>IF(AF10=1,Z10,"")</f>
        <v/>
      </c>
      <c r="AH10">
        <f>IF(AF10=1,AA10,"")</f>
        <v/>
      </c>
      <c r="AI10">
        <f>IF(AF10=1,AB10,"")</f>
        <v/>
      </c>
      <c r="AJ10">
        <f>IF(AF10=1,AC10,"")</f>
        <v/>
      </c>
      <c r="AK10">
        <f>IF(AF10=1,IF($B$3=1,50,(_xlfn.RANK.AVG(AG10,$AG$6:$AG$105,1)-1)/($B$3-1)*100),"")</f>
        <v/>
      </c>
      <c r="AL10">
        <f>IF(AF10=1,IF($B$3=1,50,(_xlfn.RANK.AVG(AH10,$AH$6:$AH$105,1)-1)/($B$3-1)*100),"")</f>
        <v/>
      </c>
      <c r="AM10">
        <f>IF(AF10=1,IF($B$3=1,50,(_xlfn.RANK.AVG(AI10,$AI$6:$AI$105,1)-1)/($B$3-1)*100),"")</f>
        <v/>
      </c>
      <c r="AN10">
        <f>IF(AF10=1,IF($B$3=1,50,(_xlfn.RANK.AVG(AJ10,$AJ$6:$AJ$105,1)-1)/($B$3-1)*100),"")</f>
        <v/>
      </c>
      <c r="AO10">
        <f>IF(AF10=1,ROUND(AVERAGE(AK10:AN10),6),"")</f>
        <v/>
      </c>
      <c r="AP10">
        <f>IF(AND(AF10=1,C10&lt;&gt;"Y"),R10,"")</f>
        <v/>
      </c>
      <c r="AQ10">
        <f>IF(AND(ISNUMBER(AP10),Q10="편입 후보"),AP10+(1000-ROW())/1000000,"")</f>
        <v/>
      </c>
      <c r="AR10">
        <f>IF(A10="","",_xlfn.TEXTJOIN(", ",TRUE,IF(D10="Y","금융·리츠",""),IF(NOT(ISNUMBER(I10)),"영업이익 없음",IF(I10&lt;=0,"영업적자","")),IF(OR(NOT(ISNUMBER(G10)),NOT(ISNUMBER(H10))),"부채비율 자료 없음",IF(G10&lt;=0,"자본잠식",IF(H10/G10&gt;'설정'!$B$8,"부채비율 초과",""))),IF(NOT(ISNUMBER(L10)),"시총 없음",IF(L10&lt;'설정'!$B$10,"시총 미달",""))))</f>
        <v/>
      </c>
    </row>
    <row r="11">
      <c r="A11" s="18" t="inlineStr">
        <is>
          <t>U06</t>
        </is>
      </c>
      <c r="B11" s="19" t="inlineStr">
        <is>
          <t>예시산업재</t>
        </is>
      </c>
      <c r="C11" s="19" t="n"/>
      <c r="D11" s="19" t="n"/>
      <c r="E11" s="19" t="inlineStr">
        <is>
          <t>2026-2Q</t>
        </is>
      </c>
      <c r="F11" s="20" t="n">
        <v>1500</v>
      </c>
      <c r="G11" s="20" t="n">
        <v>9000</v>
      </c>
      <c r="H11" s="20" t="n">
        <v>8000</v>
      </c>
      <c r="I11" s="20" t="n">
        <v>2200</v>
      </c>
      <c r="J11" s="20" t="n">
        <v>20000</v>
      </c>
      <c r="K11" s="20" t="n">
        <v>16000</v>
      </c>
      <c r="L11" s="20" t="n">
        <v>25000</v>
      </c>
      <c r="M11" s="20" t="n">
        <v>4000</v>
      </c>
      <c r="N11" s="20" t="n">
        <v>1500</v>
      </c>
      <c r="O11" s="23" t="n">
        <v>60</v>
      </c>
      <c r="P11" s="23" t="n">
        <v>70</v>
      </c>
      <c r="Q11" s="7">
        <f>IF(A11="","",IF(C11="Y",IF(AF11=1,IF(AND(R11&lt;'설정'!$B$6,ISNUMBER($H$3)),IF(ROUND($H$3-R11,1)&gt;='설정'!$B$7,"교체 제안 → "&amp;$E$3&amp;" ("&amp;TEXT($H$3,"0.0")&amp;")","보유 유지"),"보유 유지"),"보유 · 점수 없음"),IF(AF11=1,IF(R11&gt;='설정'!$B$5,"편입 후보",""),"")))</f>
        <v/>
      </c>
      <c r="R11" s="15">
        <f>IF(AF11=1,ROUND(IF($B$3=1,50,(_xlfn.RANK.AVG(AO11,$AO$6:$AO$105,1)-1)/($B$3-1)*100),1),"")</f>
        <v/>
      </c>
      <c r="S11">
        <f>IF(A11="","",IF(AF11=1,_xlfn.TEXTJOIN(". ",TRUE,_xlfn.TEXTJOIN(", ",TRUE,IF(AK11&gt;='설정'!$B$20,"수익성 높음",""),IF(AL11&gt;='설정'!$B$20,"성장 빠름",""),IF(AM11&gt;='설정'!$B$20,"가격 쌈",""),IF(AN11&gt;='설정'!$B$20,"추세 좋음","")),_xlfn.TEXTJOIN(", ",TRUE,IF(AK11&lt;'설정'!$B$21,"수익성 낮음",""),IF(AL11&lt;'설정'!$B$21,"성장 느림",""),IF(AM11&lt;'설정'!$B$21,"가격 비쌈",""),IF(AN11&lt;'설정'!$B$21,"추세 약함","")),IF(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="","","보통: "&amp;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)),IF(X11="통과",AE11,X11)))</f>
        <v/>
      </c>
      <c r="T11">
        <f>IF(AF11=1,TEXT(Z11,"0.0%")&amp;" · 상위 "&amp;TEXT(($B$3-_xlfn.RANK.AVG(AG11,$AG$6:$AG$105,1)+1)/$B$3*100,"0")&amp;"%",IF(A11="","",IF(Z11="","결측",TEXT(Z11,"0.0%"))))</f>
        <v/>
      </c>
      <c r="U11">
        <f>IF(AF11=1,TEXT(AA11,"0.0%")&amp;" · 상위 "&amp;TEXT(($B$3-_xlfn.RANK.AVG(AH11,$AH$6:$AH$105,1)+1)/$B$3*100,"0")&amp;"%",IF(A11="","",IF(AA11="","결측",TEXT(AA11,"0.0%"))))</f>
        <v/>
      </c>
      <c r="V11">
        <f>IF(AF11=1,TEXT(AB11,"0.0%")&amp;" · 상위 "&amp;TEXT(($B$3-_xlfn.RANK.AVG(AI11,$AI$6:$AI$105,1)+1)/$B$3*100,"0")&amp;"%",IF(A11="","",IF(AB11="","결측",TEXT(AB11,"0.0%"))))</f>
        <v/>
      </c>
      <c r="W11">
        <f>IF(AF11=1,TEXT(AC11,"0.0%")&amp;" · 상위 "&amp;TEXT(($B$3-_xlfn.RANK.AVG(AJ11,$AJ$6:$AJ$105,1)+1)/$B$3*100,"0")&amp;"%",IF(A11="","",IF(AC11="","결측",TEXT(AC11,"0.0%"))))</f>
        <v/>
      </c>
      <c r="X11">
        <f>IF(A11="","",IF(AR11="","통과","제외: "&amp;AR11))</f>
        <v/>
      </c>
      <c r="Y11" s="21">
        <f>IF(AND(ISNUMBER(G11),ISNUMBER(H11)),IF(G11&gt;0,H11/G11,""),"")</f>
        <v/>
      </c>
      <c r="Z11" s="22">
        <f>IF(AND(ISNUMBER(F11),ISNUMBER(G11)),IF(G11&gt;0,F11/G11,""),"")</f>
        <v/>
      </c>
      <c r="AA11" s="22">
        <f>IF(AND(ISNUMBER(J11),ISNUMBER(K11)),IF(AND(J11&gt;0,K11&gt;0),(J11/K11)^(1/3)-1,""),"")</f>
        <v/>
      </c>
      <c r="AB11" s="22">
        <f>IF(AND(ISNUMBER(I11),ISNUMBER(L11),ISNUMBER(M11),ISNUMBER(N11)),IF((L11+M11-N11)&gt;0,I11/(L11+M11-N11),""),"")</f>
        <v/>
      </c>
      <c r="AC11" s="22">
        <f>IF(AND(ISNUMBER(O11),ISNUMBER(P11)),IF(AND(O11&gt;0,P11&gt;0),P11/O11-1,""),"")</f>
        <v/>
      </c>
      <c r="AD11">
        <f>_xlfn.TEXTJOIN(", ",TRUE,IF(Z11="","ROE",""),IF(AA11="","매출성장률",""),IF(AB11="","이익수익률",""),IF(AC11="","12-1 수익률",""))</f>
        <v/>
      </c>
      <c r="AE11">
        <f>IF(A11="","",IF(AR11&lt;&gt;"","점수 없음(거름망)",IF(AD11="","채점","점수 없음(결측: "&amp;AD11&amp;")")))</f>
        <v/>
      </c>
      <c r="AF11">
        <f>IF(AE11="채점",1,"")</f>
        <v/>
      </c>
      <c r="AG11">
        <f>IF(AF11=1,Z11,"")</f>
        <v/>
      </c>
      <c r="AH11">
        <f>IF(AF11=1,AA11,"")</f>
        <v/>
      </c>
      <c r="AI11">
        <f>IF(AF11=1,AB11,"")</f>
        <v/>
      </c>
      <c r="AJ11">
        <f>IF(AF11=1,AC11,"")</f>
        <v/>
      </c>
      <c r="AK11">
        <f>IF(AF11=1,IF($B$3=1,50,(_xlfn.RANK.AVG(AG11,$AG$6:$AG$105,1)-1)/($B$3-1)*100),"")</f>
        <v/>
      </c>
      <c r="AL11">
        <f>IF(AF11=1,IF($B$3=1,50,(_xlfn.RANK.AVG(AH11,$AH$6:$AH$105,1)-1)/($B$3-1)*100),"")</f>
        <v/>
      </c>
      <c r="AM11">
        <f>IF(AF11=1,IF($B$3=1,50,(_xlfn.RANK.AVG(AI11,$AI$6:$AI$105,1)-1)/($B$3-1)*100),"")</f>
        <v/>
      </c>
      <c r="AN11">
        <f>IF(AF11=1,IF($B$3=1,50,(_xlfn.RANK.AVG(AJ11,$AJ$6:$AJ$105,1)-1)/($B$3-1)*100),"")</f>
        <v/>
      </c>
      <c r="AO11">
        <f>IF(AF11=1,ROUND(AVERAGE(AK11:AN11),6),"")</f>
        <v/>
      </c>
      <c r="AP11">
        <f>IF(AND(AF11=1,C11&lt;&gt;"Y"),R11,"")</f>
        <v/>
      </c>
      <c r="AQ11">
        <f>IF(AND(ISNUMBER(AP11),Q11="편입 후보"),AP11+(1000-ROW())/1000000,"")</f>
        <v/>
      </c>
      <c r="AR11">
        <f>IF(A11="","",_xlfn.TEXTJOIN(", ",TRUE,IF(D11="Y","금융·리츠",""),IF(NOT(ISNUMBER(I11)),"영업이익 없음",IF(I11&lt;=0,"영업적자","")),IF(OR(NOT(ISNUMBER(G11)),NOT(ISNUMBER(H11))),"부채비율 자료 없음",IF(G11&lt;=0,"자본잠식",IF(H11/G11&gt;'설정'!$B$8,"부채비율 초과",""))),IF(NOT(ISNUMBER(L11)),"시총 없음",IF(L11&lt;'설정'!$B$10,"시총 미달",""))))</f>
        <v/>
      </c>
    </row>
    <row r="12">
      <c r="A12" s="18" t="inlineStr">
        <is>
          <t>U07</t>
        </is>
      </c>
      <c r="B12" s="19" t="inlineStr">
        <is>
          <t>예시소형주</t>
        </is>
      </c>
      <c r="C12" s="19" t="n"/>
      <c r="D12" s="19" t="n"/>
      <c r="E12" s="19" t="inlineStr">
        <is>
          <t>2026-2Q</t>
        </is>
      </c>
      <c r="F12" s="20" t="n">
        <v>100</v>
      </c>
      <c r="G12" s="20" t="n">
        <v>800</v>
      </c>
      <c r="H12" s="20" t="n">
        <v>500</v>
      </c>
      <c r="I12" s="20" t="n">
        <v>150</v>
      </c>
      <c r="J12" s="20" t="n">
        <v>1200</v>
      </c>
      <c r="K12" s="20" t="n">
        <v>900</v>
      </c>
      <c r="L12" s="20" t="n">
        <v>1500</v>
      </c>
      <c r="M12" s="20" t="n">
        <v>100</v>
      </c>
      <c r="N12" s="20" t="n">
        <v>200</v>
      </c>
      <c r="O12" s="23" t="n">
        <v>20</v>
      </c>
      <c r="P12" s="23" t="n">
        <v>24</v>
      </c>
      <c r="Q12" s="7">
        <f>IF(A12="","",IF(C12="Y",IF(AF12=1,IF(AND(R12&lt;'설정'!$B$6,ISNUMBER($H$3)),IF(ROUND($H$3-R12,1)&gt;='설정'!$B$7,"교체 제안 → "&amp;$E$3&amp;" ("&amp;TEXT($H$3,"0.0")&amp;")","보유 유지"),"보유 유지"),"보유 · 점수 없음"),IF(AF12=1,IF(R12&gt;='설정'!$B$5,"편입 후보",""),"")))</f>
        <v/>
      </c>
      <c r="R12" s="15">
        <f>IF(AF12=1,ROUND(IF($B$3=1,50,(_xlfn.RANK.AVG(AO12,$AO$6:$AO$105,1)-1)/($B$3-1)*100),1),"")</f>
        <v/>
      </c>
      <c r="S12">
        <f>IF(A12="","",IF(AF12=1,_xlfn.TEXTJOIN(". ",TRUE,_xlfn.TEXTJOIN(", ",TRUE,IF(AK12&gt;='설정'!$B$20,"수익성 높음",""),IF(AL12&gt;='설정'!$B$20,"성장 빠름",""),IF(AM12&gt;='설정'!$B$20,"가격 쌈",""),IF(AN12&gt;='설정'!$B$20,"추세 좋음","")),_xlfn.TEXTJOIN(", ",TRUE,IF(AK12&lt;'설정'!$B$21,"수익성 낮음",""),IF(AL12&lt;'설정'!$B$21,"성장 느림",""),IF(AM12&lt;'설정'!$B$21,"가격 비쌈",""),IF(AN12&lt;'설정'!$B$21,"추세 약함","")),IF(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="","","보통: "&amp;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)),IF(X12="통과",AE12,X12)))</f>
        <v/>
      </c>
      <c r="T12">
        <f>IF(AF12=1,TEXT(Z12,"0.0%")&amp;" · 상위 "&amp;TEXT(($B$3-_xlfn.RANK.AVG(AG12,$AG$6:$AG$105,1)+1)/$B$3*100,"0")&amp;"%",IF(A12="","",IF(Z12="","결측",TEXT(Z12,"0.0%"))))</f>
        <v/>
      </c>
      <c r="U12">
        <f>IF(AF12=1,TEXT(AA12,"0.0%")&amp;" · 상위 "&amp;TEXT(($B$3-_xlfn.RANK.AVG(AH12,$AH$6:$AH$105,1)+1)/$B$3*100,"0")&amp;"%",IF(A12="","",IF(AA12="","결측",TEXT(AA12,"0.0%"))))</f>
        <v/>
      </c>
      <c r="V12">
        <f>IF(AF12=1,TEXT(AB12,"0.0%")&amp;" · 상위 "&amp;TEXT(($B$3-_xlfn.RANK.AVG(AI12,$AI$6:$AI$105,1)+1)/$B$3*100,"0")&amp;"%",IF(A12="","",IF(AB12="","결측",TEXT(AB12,"0.0%"))))</f>
        <v/>
      </c>
      <c r="W12">
        <f>IF(AF12=1,TEXT(AC12,"0.0%")&amp;" · 상위 "&amp;TEXT(($B$3-_xlfn.RANK.AVG(AJ12,$AJ$6:$AJ$105,1)+1)/$B$3*100,"0")&amp;"%",IF(A12="","",IF(AC12="","결측",TEXT(AC12,"0.0%"))))</f>
        <v/>
      </c>
      <c r="X12">
        <f>IF(A12="","",IF(AR12="","통과","제외: "&amp;AR12))</f>
        <v/>
      </c>
      <c r="Y12" s="21">
        <f>IF(AND(ISNUMBER(G12),ISNUMBER(H12)),IF(G12&gt;0,H12/G12,""),"")</f>
        <v/>
      </c>
      <c r="Z12" s="22">
        <f>IF(AND(ISNUMBER(F12),ISNUMBER(G12)),IF(G12&gt;0,F12/G12,""),"")</f>
        <v/>
      </c>
      <c r="AA12" s="22">
        <f>IF(AND(ISNUMBER(J12),ISNUMBER(K12)),IF(AND(J12&gt;0,K12&gt;0),(J12/K12)^(1/3)-1,""),"")</f>
        <v/>
      </c>
      <c r="AB12" s="22">
        <f>IF(AND(ISNUMBER(I12),ISNUMBER(L12),ISNUMBER(M12),ISNUMBER(N12)),IF((L12+M12-N12)&gt;0,I12/(L12+M12-N12),""),"")</f>
        <v/>
      </c>
      <c r="AC12" s="22">
        <f>IF(AND(ISNUMBER(O12),ISNUMBER(P12)),IF(AND(O12&gt;0,P12&gt;0),P12/O12-1,""),"")</f>
        <v/>
      </c>
      <c r="AD12">
        <f>_xlfn.TEXTJOIN(", ",TRUE,IF(Z12="","ROE",""),IF(AA12="","매출성장률",""),IF(AB12="","이익수익률",""),IF(AC12="","12-1 수익률",""))</f>
        <v/>
      </c>
      <c r="AE12">
        <f>IF(A12="","",IF(AR12&lt;&gt;"","점수 없음(거름망)",IF(AD12="","채점","점수 없음(결측: "&amp;AD12&amp;")")))</f>
        <v/>
      </c>
      <c r="AF12">
        <f>IF(AE12="채점",1,"")</f>
        <v/>
      </c>
      <c r="AG12">
        <f>IF(AF12=1,Z12,"")</f>
        <v/>
      </c>
      <c r="AH12">
        <f>IF(AF12=1,AA12,"")</f>
        <v/>
      </c>
      <c r="AI12">
        <f>IF(AF12=1,AB12,"")</f>
        <v/>
      </c>
      <c r="AJ12">
        <f>IF(AF12=1,AC12,"")</f>
        <v/>
      </c>
      <c r="AK12">
        <f>IF(AF12=1,IF($B$3=1,50,(_xlfn.RANK.AVG(AG12,$AG$6:$AG$105,1)-1)/($B$3-1)*100),"")</f>
        <v/>
      </c>
      <c r="AL12">
        <f>IF(AF12=1,IF($B$3=1,50,(_xlfn.RANK.AVG(AH12,$AH$6:$AH$105,1)-1)/($B$3-1)*100),"")</f>
        <v/>
      </c>
      <c r="AM12">
        <f>IF(AF12=1,IF($B$3=1,50,(_xlfn.RANK.AVG(AI12,$AI$6:$AI$105,1)-1)/($B$3-1)*100),"")</f>
        <v/>
      </c>
      <c r="AN12">
        <f>IF(AF12=1,IF($B$3=1,50,(_xlfn.RANK.AVG(AJ12,$AJ$6:$AJ$105,1)-1)/($B$3-1)*100),"")</f>
        <v/>
      </c>
      <c r="AO12">
        <f>IF(AF12=1,ROUND(AVERAGE(AK12:AN12),6),"")</f>
        <v/>
      </c>
      <c r="AP12">
        <f>IF(AND(AF12=1,C12&lt;&gt;"Y"),R12,"")</f>
        <v/>
      </c>
      <c r="AQ12">
        <f>IF(AND(ISNUMBER(AP12),Q12="편입 후보"),AP12+(1000-ROW())/1000000,"")</f>
        <v/>
      </c>
      <c r="AR12">
        <f>IF(A12="","",_xlfn.TEXTJOIN(", ",TRUE,IF(D12="Y","금융·리츠",""),IF(NOT(ISNUMBER(I12)),"영업이익 없음",IF(I12&lt;=0,"영업적자","")),IF(OR(NOT(ISNUMBER(G12)),NOT(ISNUMBER(H12))),"부채비율 자료 없음",IF(G12&lt;=0,"자본잠식",IF(H12/G12&gt;'설정'!$B$8,"부채비율 초과",""))),IF(NOT(ISNUMBER(L12)),"시총 없음",IF(L12&lt;'설정'!$B$10,"시총 미달",""))))</f>
        <v/>
      </c>
    </row>
    <row r="13">
      <c r="A13" s="18" t="inlineStr">
        <is>
          <t>U08</t>
        </is>
      </c>
      <c r="B13" s="19" t="inlineStr">
        <is>
          <t>예시에너지</t>
        </is>
      </c>
      <c r="C13" s="19" t="n"/>
      <c r="D13" s="19" t="n"/>
      <c r="E13" s="19" t="inlineStr">
        <is>
          <t>2026-2Q</t>
        </is>
      </c>
      <c r="F13" s="20" t="n">
        <v>3000</v>
      </c>
      <c r="G13" s="20" t="n">
        <v>20000</v>
      </c>
      <c r="H13" s="20" t="n">
        <v>18000</v>
      </c>
      <c r="I13" s="20" t="n">
        <v>4500</v>
      </c>
      <c r="J13" s="20" t="n">
        <v>35000</v>
      </c>
      <c r="K13" s="20" t="n">
        <v>38000</v>
      </c>
      <c r="L13" s="20" t="n">
        <v>30000</v>
      </c>
      <c r="M13" s="20" t="n">
        <v>9000</v>
      </c>
      <c r="N13" s="20" t="n">
        <v>2000</v>
      </c>
      <c r="O13" s="23" t="n">
        <v>45</v>
      </c>
      <c r="P13" s="23" t="n">
        <v>48</v>
      </c>
      <c r="Q13" s="7">
        <f>IF(A13="","",IF(C13="Y",IF(AF13=1,IF(AND(R13&lt;'설정'!$B$6,ISNUMBER($H$3)),IF(ROUND($H$3-R13,1)&gt;='설정'!$B$7,"교체 제안 → "&amp;$E$3&amp;" ("&amp;TEXT($H$3,"0.0")&amp;")","보유 유지"),"보유 유지"),"보유 · 점수 없음"),IF(AF13=1,IF(R13&gt;='설정'!$B$5,"편입 후보",""),"")))</f>
        <v/>
      </c>
      <c r="R13" s="15">
        <f>IF(AF13=1,ROUND(IF($B$3=1,50,(_xlfn.RANK.AVG(AO13,$AO$6:$AO$105,1)-1)/($B$3-1)*100),1),"")</f>
        <v/>
      </c>
      <c r="S13">
        <f>IF(A13="","",IF(AF13=1,_xlfn.TEXTJOIN(". ",TRUE,_xlfn.TEXTJOIN(", ",TRUE,IF(AK13&gt;='설정'!$B$20,"수익성 높음",""),IF(AL13&gt;='설정'!$B$20,"성장 빠름",""),IF(AM13&gt;='설정'!$B$20,"가격 쌈",""),IF(AN13&gt;='설정'!$B$20,"추세 좋음","")),_xlfn.TEXTJOIN(", ",TRUE,IF(AK13&lt;'설정'!$B$21,"수익성 낮음",""),IF(AL13&lt;'설정'!$B$21,"성장 느림",""),IF(AM13&lt;'설정'!$B$21,"가격 비쌈",""),IF(AN13&lt;'설정'!$B$21,"추세 약함","")),IF(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="","","보통: "&amp;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)),IF(X13="통과",AE13,X13)))</f>
        <v/>
      </c>
      <c r="T13">
        <f>IF(AF13=1,TEXT(Z13,"0.0%")&amp;" · 상위 "&amp;TEXT(($B$3-_xlfn.RANK.AVG(AG13,$AG$6:$AG$105,1)+1)/$B$3*100,"0")&amp;"%",IF(A13="","",IF(Z13="","결측",TEXT(Z13,"0.0%"))))</f>
        <v/>
      </c>
      <c r="U13">
        <f>IF(AF13=1,TEXT(AA13,"0.0%")&amp;" · 상위 "&amp;TEXT(($B$3-_xlfn.RANK.AVG(AH13,$AH$6:$AH$105,1)+1)/$B$3*100,"0")&amp;"%",IF(A13="","",IF(AA13="","결측",TEXT(AA13,"0.0%"))))</f>
        <v/>
      </c>
      <c r="V13">
        <f>IF(AF13=1,TEXT(AB13,"0.0%")&amp;" · 상위 "&amp;TEXT(($B$3-_xlfn.RANK.AVG(AI13,$AI$6:$AI$105,1)+1)/$B$3*100,"0")&amp;"%",IF(A13="","",IF(AB13="","결측",TEXT(AB13,"0.0%"))))</f>
        <v/>
      </c>
      <c r="W13">
        <f>IF(AF13=1,TEXT(AC13,"0.0%")&amp;" · 상위 "&amp;TEXT(($B$3-_xlfn.RANK.AVG(AJ13,$AJ$6:$AJ$105,1)+1)/$B$3*100,"0")&amp;"%",IF(A13="","",IF(AC13="","결측",TEXT(AC13,"0.0%"))))</f>
        <v/>
      </c>
      <c r="X13">
        <f>IF(A13="","",IF(AR13="","통과","제외: "&amp;AR13))</f>
        <v/>
      </c>
      <c r="Y13" s="21">
        <f>IF(AND(ISNUMBER(G13),ISNUMBER(H13)),IF(G13&gt;0,H13/G13,""),"")</f>
        <v/>
      </c>
      <c r="Z13" s="22">
        <f>IF(AND(ISNUMBER(F13),ISNUMBER(G13)),IF(G13&gt;0,F13/G13,""),"")</f>
        <v/>
      </c>
      <c r="AA13" s="22">
        <f>IF(AND(ISNUMBER(J13),ISNUMBER(K13)),IF(AND(J13&gt;0,K13&gt;0),(J13/K13)^(1/3)-1,""),"")</f>
        <v/>
      </c>
      <c r="AB13" s="22">
        <f>IF(AND(ISNUMBER(I13),ISNUMBER(L13),ISNUMBER(M13),ISNUMBER(N13)),IF((L13+M13-N13)&gt;0,I13/(L13+M13-N13),""),"")</f>
        <v/>
      </c>
      <c r="AC13" s="22">
        <f>IF(AND(ISNUMBER(O13),ISNUMBER(P13)),IF(AND(O13&gt;0,P13&gt;0),P13/O13-1,""),"")</f>
        <v/>
      </c>
      <c r="AD13">
        <f>_xlfn.TEXTJOIN(", ",TRUE,IF(Z13="","ROE",""),IF(AA13="","매출성장률",""),IF(AB13="","이익수익률",""),IF(AC13="","12-1 수익률",""))</f>
        <v/>
      </c>
      <c r="AE13">
        <f>IF(A13="","",IF(AR13&lt;&gt;"","점수 없음(거름망)",IF(AD13="","채점","점수 없음(결측: "&amp;AD13&amp;")")))</f>
        <v/>
      </c>
      <c r="AF13">
        <f>IF(AE13="채점",1,"")</f>
        <v/>
      </c>
      <c r="AG13">
        <f>IF(AF13=1,Z13,"")</f>
        <v/>
      </c>
      <c r="AH13">
        <f>IF(AF13=1,AA13,"")</f>
        <v/>
      </c>
      <c r="AI13">
        <f>IF(AF13=1,AB13,"")</f>
        <v/>
      </c>
      <c r="AJ13">
        <f>IF(AF13=1,AC13,"")</f>
        <v/>
      </c>
      <c r="AK13">
        <f>IF(AF13=1,IF($B$3=1,50,(_xlfn.RANK.AVG(AG13,$AG$6:$AG$105,1)-1)/($B$3-1)*100),"")</f>
        <v/>
      </c>
      <c r="AL13">
        <f>IF(AF13=1,IF($B$3=1,50,(_xlfn.RANK.AVG(AH13,$AH$6:$AH$105,1)-1)/($B$3-1)*100),"")</f>
        <v/>
      </c>
      <c r="AM13">
        <f>IF(AF13=1,IF($B$3=1,50,(_xlfn.RANK.AVG(AI13,$AI$6:$AI$105,1)-1)/($B$3-1)*100),"")</f>
        <v/>
      </c>
      <c r="AN13">
        <f>IF(AF13=1,IF($B$3=1,50,(_xlfn.RANK.AVG(AJ13,$AJ$6:$AJ$105,1)-1)/($B$3-1)*100),"")</f>
        <v/>
      </c>
      <c r="AO13">
        <f>IF(AF13=1,ROUND(AVERAGE(AK13:AN13),6),"")</f>
        <v/>
      </c>
      <c r="AP13">
        <f>IF(AND(AF13=1,C13&lt;&gt;"Y"),R13,"")</f>
        <v/>
      </c>
      <c r="AQ13">
        <f>IF(AND(ISNUMBER(AP13),Q13="편입 후보"),AP13+(1000-ROW())/1000000,"")</f>
        <v/>
      </c>
      <c r="AR13">
        <f>IF(A13="","",_xlfn.TEXTJOIN(", ",TRUE,IF(D13="Y","금융·리츠",""),IF(NOT(ISNUMBER(I13)),"영업이익 없음",IF(I13&lt;=0,"영업적자","")),IF(OR(NOT(ISNUMBER(G13)),NOT(ISNUMBER(H13))),"부채비율 자료 없음",IF(G13&lt;=0,"자본잠식",IF(H13/G13&gt;'설정'!$B$8,"부채비율 초과",""))),IF(NOT(ISNUMBER(L13)),"시총 없음",IF(L13&lt;'설정'!$B$10,"시총 미달",""))))</f>
        <v/>
      </c>
    </row>
    <row r="14">
      <c r="A14" s="18" t="inlineStr">
        <is>
          <t>U09</t>
        </is>
      </c>
      <c r="B14" s="19" t="inlineStr">
        <is>
          <t>예시미디어</t>
        </is>
      </c>
      <c r="C14" s="19" t="n"/>
      <c r="D14" s="19" t="n"/>
      <c r="E14" s="19" t="inlineStr">
        <is>
          <t>2026-2Q</t>
        </is>
      </c>
      <c r="F14" s="20" t="n">
        <v>-120</v>
      </c>
      <c r="G14" s="20" t="n">
        <v>4000</v>
      </c>
      <c r="H14" s="20" t="n">
        <v>3000</v>
      </c>
      <c r="I14" s="20" t="n">
        <v>-50</v>
      </c>
      <c r="J14" s="20" t="n">
        <v>5000</v>
      </c>
      <c r="K14" s="20" t="n">
        <v>5200</v>
      </c>
      <c r="L14" s="20" t="n">
        <v>3500</v>
      </c>
      <c r="M14" s="20" t="n">
        <v>1500</v>
      </c>
      <c r="N14" s="20" t="n">
        <v>300</v>
      </c>
      <c r="O14" s="23" t="n">
        <v>30</v>
      </c>
      <c r="P14" s="23" t="n">
        <v>22</v>
      </c>
      <c r="Q14" s="7">
        <f>IF(A14="","",IF(C14="Y",IF(AF14=1,IF(AND(R14&lt;'설정'!$B$6,ISNUMBER($H$3)),IF(ROUND($H$3-R14,1)&gt;='설정'!$B$7,"교체 제안 → "&amp;$E$3&amp;" ("&amp;TEXT($H$3,"0.0")&amp;")","보유 유지"),"보유 유지"),"보유 · 점수 없음"),IF(AF14=1,IF(R14&gt;='설정'!$B$5,"편입 후보",""),"")))</f>
        <v/>
      </c>
      <c r="R14" s="15">
        <f>IF(AF14=1,ROUND(IF($B$3=1,50,(_xlfn.RANK.AVG(AO14,$AO$6:$AO$105,1)-1)/($B$3-1)*100),1),"")</f>
        <v/>
      </c>
      <c r="S14">
        <f>IF(A14="","",IF(AF14=1,_xlfn.TEXTJOIN(". ",TRUE,_xlfn.TEXTJOIN(", ",TRUE,IF(AK14&gt;='설정'!$B$20,"수익성 높음",""),IF(AL14&gt;='설정'!$B$20,"성장 빠름",""),IF(AM14&gt;='설정'!$B$20,"가격 쌈",""),IF(AN14&gt;='설정'!$B$20,"추세 좋음","")),_xlfn.TEXTJOIN(", ",TRUE,IF(AK14&lt;'설정'!$B$21,"수익성 낮음",""),IF(AL14&lt;'설정'!$B$21,"성장 느림",""),IF(AM14&lt;'설정'!$B$21,"가격 비쌈",""),IF(AN14&lt;'설정'!$B$21,"추세 약함","")),IF(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="","","보통: "&amp;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)),IF(X14="통과",AE14,X14)))</f>
        <v/>
      </c>
      <c r="T14">
        <f>IF(AF14=1,TEXT(Z14,"0.0%")&amp;" · 상위 "&amp;TEXT(($B$3-_xlfn.RANK.AVG(AG14,$AG$6:$AG$105,1)+1)/$B$3*100,"0")&amp;"%",IF(A14="","",IF(Z14="","결측",TEXT(Z14,"0.0%"))))</f>
        <v/>
      </c>
      <c r="U14">
        <f>IF(AF14=1,TEXT(AA14,"0.0%")&amp;" · 상위 "&amp;TEXT(($B$3-_xlfn.RANK.AVG(AH14,$AH$6:$AH$105,1)+1)/$B$3*100,"0")&amp;"%",IF(A14="","",IF(AA14="","결측",TEXT(AA14,"0.0%"))))</f>
        <v/>
      </c>
      <c r="V14">
        <f>IF(AF14=1,TEXT(AB14,"0.0%")&amp;" · 상위 "&amp;TEXT(($B$3-_xlfn.RANK.AVG(AI14,$AI$6:$AI$105,1)+1)/$B$3*100,"0")&amp;"%",IF(A14="","",IF(AB14="","결측",TEXT(AB14,"0.0%"))))</f>
        <v/>
      </c>
      <c r="W14">
        <f>IF(AF14=1,TEXT(AC14,"0.0%")&amp;" · 상위 "&amp;TEXT(($B$3-_xlfn.RANK.AVG(AJ14,$AJ$6:$AJ$105,1)+1)/$B$3*100,"0")&amp;"%",IF(A14="","",IF(AC14="","결측",TEXT(AC14,"0.0%"))))</f>
        <v/>
      </c>
      <c r="X14">
        <f>IF(A14="","",IF(AR14="","통과","제외: "&amp;AR14))</f>
        <v/>
      </c>
      <c r="Y14" s="21">
        <f>IF(AND(ISNUMBER(G14),ISNUMBER(H14)),IF(G14&gt;0,H14/G14,""),"")</f>
        <v/>
      </c>
      <c r="Z14" s="22">
        <f>IF(AND(ISNUMBER(F14),ISNUMBER(G14)),IF(G14&gt;0,F14/G14,""),"")</f>
        <v/>
      </c>
      <c r="AA14" s="22">
        <f>IF(AND(ISNUMBER(J14),ISNUMBER(K14)),IF(AND(J14&gt;0,K14&gt;0),(J14/K14)^(1/3)-1,""),"")</f>
        <v/>
      </c>
      <c r="AB14" s="22">
        <f>IF(AND(ISNUMBER(I14),ISNUMBER(L14),ISNUMBER(M14),ISNUMBER(N14)),IF((L14+M14-N14)&gt;0,I14/(L14+M14-N14),""),"")</f>
        <v/>
      </c>
      <c r="AC14" s="22">
        <f>IF(AND(ISNUMBER(O14),ISNUMBER(P14)),IF(AND(O14&gt;0,P14&gt;0),P14/O14-1,""),"")</f>
        <v/>
      </c>
      <c r="AD14">
        <f>_xlfn.TEXTJOIN(", ",TRUE,IF(Z14="","ROE",""),IF(AA14="","매출성장률",""),IF(AB14="","이익수익률",""),IF(AC14="","12-1 수익률",""))</f>
        <v/>
      </c>
      <c r="AE14">
        <f>IF(A14="","",IF(AR14&lt;&gt;"","점수 없음(거름망)",IF(AD14="","채점","점수 없음(결측: "&amp;AD14&amp;")")))</f>
        <v/>
      </c>
      <c r="AF14">
        <f>IF(AE14="채점",1,"")</f>
        <v/>
      </c>
      <c r="AG14">
        <f>IF(AF14=1,Z14,"")</f>
        <v/>
      </c>
      <c r="AH14">
        <f>IF(AF14=1,AA14,"")</f>
        <v/>
      </c>
      <c r="AI14">
        <f>IF(AF14=1,AB14,"")</f>
        <v/>
      </c>
      <c r="AJ14">
        <f>IF(AF14=1,AC14,"")</f>
        <v/>
      </c>
      <c r="AK14">
        <f>IF(AF14=1,IF($B$3=1,50,(_xlfn.RANK.AVG(AG14,$AG$6:$AG$105,1)-1)/($B$3-1)*100),"")</f>
        <v/>
      </c>
      <c r="AL14">
        <f>IF(AF14=1,IF($B$3=1,50,(_xlfn.RANK.AVG(AH14,$AH$6:$AH$105,1)-1)/($B$3-1)*100),"")</f>
        <v/>
      </c>
      <c r="AM14">
        <f>IF(AF14=1,IF($B$3=1,50,(_xlfn.RANK.AVG(AI14,$AI$6:$AI$105,1)-1)/($B$3-1)*100),"")</f>
        <v/>
      </c>
      <c r="AN14">
        <f>IF(AF14=1,IF($B$3=1,50,(_xlfn.RANK.AVG(AJ14,$AJ$6:$AJ$105,1)-1)/($B$3-1)*100),"")</f>
        <v/>
      </c>
      <c r="AO14">
        <f>IF(AF14=1,ROUND(AVERAGE(AK14:AN14),6),"")</f>
        <v/>
      </c>
      <c r="AP14">
        <f>IF(AND(AF14=1,C14&lt;&gt;"Y"),R14,"")</f>
        <v/>
      </c>
      <c r="AQ14">
        <f>IF(AND(ISNUMBER(AP14),Q14="편입 후보"),AP14+(1000-ROW())/1000000,"")</f>
        <v/>
      </c>
      <c r="AR14">
        <f>IF(A14="","",_xlfn.TEXTJOIN(", ",TRUE,IF(D14="Y","금융·리츠",""),IF(NOT(ISNUMBER(I14)),"영업이익 없음",IF(I14&lt;=0,"영업적자","")),IF(OR(NOT(ISNUMBER(G14)),NOT(ISNUMBER(H14))),"부채비율 자료 없음",IF(G14&lt;=0,"자본잠식",IF(H14/G14&gt;'설정'!$B$8,"부채비율 초과",""))),IF(NOT(ISNUMBER(L14)),"시총 없음",IF(L14&lt;'설정'!$B$10,"시총 미달",""))))</f>
        <v/>
      </c>
    </row>
    <row r="15">
      <c r="A15" s="18" t="n"/>
      <c r="B15" s="19" t="n"/>
      <c r="C15" s="19" t="n"/>
      <c r="D15" s="19" t="n"/>
      <c r="E15" s="19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3" t="n"/>
      <c r="P15" s="23" t="n"/>
      <c r="Q15" s="7">
        <f>IF(A15="","",IF(C15="Y",IF(AF15=1,IF(AND(R15&lt;'설정'!$B$6,ISNUMBER($H$3)),IF(ROUND($H$3-R15,1)&gt;='설정'!$B$7,"교체 제안 → "&amp;$E$3&amp;" ("&amp;TEXT($H$3,"0.0")&amp;")","보유 유지"),"보유 유지"),"보유 · 점수 없음"),IF(AF15=1,IF(R15&gt;='설정'!$B$5,"편입 후보",""),"")))</f>
        <v/>
      </c>
      <c r="R15" s="15">
        <f>IF(AF15=1,ROUND(IF($B$3=1,50,(_xlfn.RANK.AVG(AO15,$AO$6:$AO$105,1)-1)/($B$3-1)*100),1),"")</f>
        <v/>
      </c>
      <c r="S15">
        <f>IF(A15="","",IF(AF15=1,_xlfn.TEXTJOIN(". ",TRUE,_xlfn.TEXTJOIN(", ",TRUE,IF(AK15&gt;='설정'!$B$20,"수익성 높음",""),IF(AL15&gt;='설정'!$B$20,"성장 빠름",""),IF(AM15&gt;='설정'!$B$20,"가격 쌈",""),IF(AN15&gt;='설정'!$B$20,"추세 좋음","")),_xlfn.TEXTJOIN(", ",TRUE,IF(AK15&lt;'설정'!$B$21,"수익성 낮음",""),IF(AL15&lt;'설정'!$B$21,"성장 느림",""),IF(AM15&lt;'설정'!$B$21,"가격 비쌈",""),IF(AN15&lt;'설정'!$B$21,"추세 약함","")),IF(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="","","보통: "&amp;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)),IF(X15="통과",AE15,X15)))</f>
        <v/>
      </c>
      <c r="T15">
        <f>IF(AF15=1,TEXT(Z15,"0.0%")&amp;" · 상위 "&amp;TEXT(($B$3-_xlfn.RANK.AVG(AG15,$AG$6:$AG$105,1)+1)/$B$3*100,"0")&amp;"%",IF(A15="","",IF(Z15="","결측",TEXT(Z15,"0.0%"))))</f>
        <v/>
      </c>
      <c r="U15">
        <f>IF(AF15=1,TEXT(AA15,"0.0%")&amp;" · 상위 "&amp;TEXT(($B$3-_xlfn.RANK.AVG(AH15,$AH$6:$AH$105,1)+1)/$B$3*100,"0")&amp;"%",IF(A15="","",IF(AA15="","결측",TEXT(AA15,"0.0%"))))</f>
        <v/>
      </c>
      <c r="V15">
        <f>IF(AF15=1,TEXT(AB15,"0.0%")&amp;" · 상위 "&amp;TEXT(($B$3-_xlfn.RANK.AVG(AI15,$AI$6:$AI$105,1)+1)/$B$3*100,"0")&amp;"%",IF(A15="","",IF(AB15="","결측",TEXT(AB15,"0.0%"))))</f>
        <v/>
      </c>
      <c r="W15">
        <f>IF(AF15=1,TEXT(AC15,"0.0%")&amp;" · 상위 "&amp;TEXT(($B$3-_xlfn.RANK.AVG(AJ15,$AJ$6:$AJ$105,1)+1)/$B$3*100,"0")&amp;"%",IF(A15="","",IF(AC15="","결측",TEXT(AC15,"0.0%"))))</f>
        <v/>
      </c>
      <c r="X15">
        <f>IF(A15="","",IF(AR15="","통과","제외: "&amp;AR15))</f>
        <v/>
      </c>
      <c r="Y15" s="21">
        <f>IF(AND(ISNUMBER(G15),ISNUMBER(H15)),IF(G15&gt;0,H15/G15,""),"")</f>
        <v/>
      </c>
      <c r="Z15" s="22">
        <f>IF(AND(ISNUMBER(F15),ISNUMBER(G15)),IF(G15&gt;0,F15/G15,""),"")</f>
        <v/>
      </c>
      <c r="AA15" s="22">
        <f>IF(AND(ISNUMBER(J15),ISNUMBER(K15)),IF(AND(J15&gt;0,K15&gt;0),(J15/K15)^(1/3)-1,""),"")</f>
        <v/>
      </c>
      <c r="AB15" s="22">
        <f>IF(AND(ISNUMBER(I15),ISNUMBER(L15),ISNUMBER(M15),ISNUMBER(N15)),IF((L15+M15-N15)&gt;0,I15/(L15+M15-N15),""),"")</f>
        <v/>
      </c>
      <c r="AC15" s="22">
        <f>IF(AND(ISNUMBER(O15),ISNUMBER(P15)),IF(AND(O15&gt;0,P15&gt;0),P15/O15-1,""),"")</f>
        <v/>
      </c>
      <c r="AD15">
        <f>_xlfn.TEXTJOIN(", ",TRUE,IF(Z15="","ROE",""),IF(AA15="","매출성장률",""),IF(AB15="","이익수익률",""),IF(AC15="","12-1 수익률",""))</f>
        <v/>
      </c>
      <c r="AE15">
        <f>IF(A15="","",IF(AR15&lt;&gt;"","점수 없음(거름망)",IF(AD15="","채점","점수 없음(결측: "&amp;AD15&amp;")")))</f>
        <v/>
      </c>
      <c r="AF15">
        <f>IF(AE15="채점",1,"")</f>
        <v/>
      </c>
      <c r="AG15">
        <f>IF(AF15=1,Z15,"")</f>
        <v/>
      </c>
      <c r="AH15">
        <f>IF(AF15=1,AA15,"")</f>
        <v/>
      </c>
      <c r="AI15">
        <f>IF(AF15=1,AB15,"")</f>
        <v/>
      </c>
      <c r="AJ15">
        <f>IF(AF15=1,AC15,"")</f>
        <v/>
      </c>
      <c r="AK15">
        <f>IF(AF15=1,IF($B$3=1,50,(_xlfn.RANK.AVG(AG15,$AG$6:$AG$105,1)-1)/($B$3-1)*100),"")</f>
        <v/>
      </c>
      <c r="AL15">
        <f>IF(AF15=1,IF($B$3=1,50,(_xlfn.RANK.AVG(AH15,$AH$6:$AH$105,1)-1)/($B$3-1)*100),"")</f>
        <v/>
      </c>
      <c r="AM15">
        <f>IF(AF15=1,IF($B$3=1,50,(_xlfn.RANK.AVG(AI15,$AI$6:$AI$105,1)-1)/($B$3-1)*100),"")</f>
        <v/>
      </c>
      <c r="AN15">
        <f>IF(AF15=1,IF($B$3=1,50,(_xlfn.RANK.AVG(AJ15,$AJ$6:$AJ$105,1)-1)/($B$3-1)*100),"")</f>
        <v/>
      </c>
      <c r="AO15">
        <f>IF(AF15=1,ROUND(AVERAGE(AK15:AN15),6),"")</f>
        <v/>
      </c>
      <c r="AP15">
        <f>IF(AND(AF15=1,C15&lt;&gt;"Y"),R15,"")</f>
        <v/>
      </c>
      <c r="AQ15">
        <f>IF(AND(ISNUMBER(AP15),Q15="편입 후보"),AP15+(1000-ROW())/1000000,"")</f>
        <v/>
      </c>
      <c r="AR15">
        <f>IF(A15="","",_xlfn.TEXTJOIN(", ",TRUE,IF(D15="Y","금융·리츠",""),IF(NOT(ISNUMBER(I15)),"영업이익 없음",IF(I15&lt;=0,"영업적자","")),IF(OR(NOT(ISNUMBER(G15)),NOT(ISNUMBER(H15))),"부채비율 자료 없음",IF(G15&lt;=0,"자본잠식",IF(H15/G15&gt;'설정'!$B$8,"부채비율 초과",""))),IF(NOT(ISNUMBER(L15)),"시총 없음",IF(L15&lt;'설정'!$B$10,"시총 미달",""))))</f>
        <v/>
      </c>
    </row>
    <row r="16">
      <c r="A16" s="18" t="n"/>
      <c r="B16" s="19" t="n"/>
      <c r="C16" s="19" t="n"/>
      <c r="D16" s="19" t="n"/>
      <c r="E16" s="19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3" t="n"/>
      <c r="P16" s="23" t="n"/>
      <c r="Q16" s="7">
        <f>IF(A16="","",IF(C16="Y",IF(AF16=1,IF(AND(R16&lt;'설정'!$B$6,ISNUMBER($H$3)),IF(ROUND($H$3-R16,1)&gt;='설정'!$B$7,"교체 제안 → "&amp;$E$3&amp;" ("&amp;TEXT($H$3,"0.0")&amp;")","보유 유지"),"보유 유지"),"보유 · 점수 없음"),IF(AF16=1,IF(R16&gt;='설정'!$B$5,"편입 후보",""),"")))</f>
        <v/>
      </c>
      <c r="R16" s="15">
        <f>IF(AF16=1,ROUND(IF($B$3=1,50,(_xlfn.RANK.AVG(AO16,$AO$6:$AO$105,1)-1)/($B$3-1)*100),1),"")</f>
        <v/>
      </c>
      <c r="S16">
        <f>IF(A16="","",IF(AF16=1,_xlfn.TEXTJOIN(". ",TRUE,_xlfn.TEXTJOIN(", ",TRUE,IF(AK16&gt;='설정'!$B$20,"수익성 높음",""),IF(AL16&gt;='설정'!$B$20,"성장 빠름",""),IF(AM16&gt;='설정'!$B$20,"가격 쌈",""),IF(AN16&gt;='설정'!$B$20,"추세 좋음","")),_xlfn.TEXTJOIN(", ",TRUE,IF(AK16&lt;'설정'!$B$21,"수익성 낮음",""),IF(AL16&lt;'설정'!$B$21,"성장 느림",""),IF(AM16&lt;'설정'!$B$21,"가격 비쌈",""),IF(AN16&lt;'설정'!$B$21,"추세 약함","")),IF(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="","","보통: "&amp;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)),IF(X16="통과",AE16,X16)))</f>
        <v/>
      </c>
      <c r="T16">
        <f>IF(AF16=1,TEXT(Z16,"0.0%")&amp;" · 상위 "&amp;TEXT(($B$3-_xlfn.RANK.AVG(AG16,$AG$6:$AG$105,1)+1)/$B$3*100,"0")&amp;"%",IF(A16="","",IF(Z16="","결측",TEXT(Z16,"0.0%"))))</f>
        <v/>
      </c>
      <c r="U16">
        <f>IF(AF16=1,TEXT(AA16,"0.0%")&amp;" · 상위 "&amp;TEXT(($B$3-_xlfn.RANK.AVG(AH16,$AH$6:$AH$105,1)+1)/$B$3*100,"0")&amp;"%",IF(A16="","",IF(AA16="","결측",TEXT(AA16,"0.0%"))))</f>
        <v/>
      </c>
      <c r="V16">
        <f>IF(AF16=1,TEXT(AB16,"0.0%")&amp;" · 상위 "&amp;TEXT(($B$3-_xlfn.RANK.AVG(AI16,$AI$6:$AI$105,1)+1)/$B$3*100,"0")&amp;"%",IF(A16="","",IF(AB16="","결측",TEXT(AB16,"0.0%"))))</f>
        <v/>
      </c>
      <c r="W16">
        <f>IF(AF16=1,TEXT(AC16,"0.0%")&amp;" · 상위 "&amp;TEXT(($B$3-_xlfn.RANK.AVG(AJ16,$AJ$6:$AJ$105,1)+1)/$B$3*100,"0")&amp;"%",IF(A16="","",IF(AC16="","결측",TEXT(AC16,"0.0%"))))</f>
        <v/>
      </c>
      <c r="X16">
        <f>IF(A16="","",IF(AR16="","통과","제외: "&amp;AR16))</f>
        <v/>
      </c>
      <c r="Y16" s="21">
        <f>IF(AND(ISNUMBER(G16),ISNUMBER(H16)),IF(G16&gt;0,H16/G16,""),"")</f>
        <v/>
      </c>
      <c r="Z16" s="22">
        <f>IF(AND(ISNUMBER(F16),ISNUMBER(G16)),IF(G16&gt;0,F16/G16,""),"")</f>
        <v/>
      </c>
      <c r="AA16" s="22">
        <f>IF(AND(ISNUMBER(J16),ISNUMBER(K16)),IF(AND(J16&gt;0,K16&gt;0),(J16/K16)^(1/3)-1,""),"")</f>
        <v/>
      </c>
      <c r="AB16" s="22">
        <f>IF(AND(ISNUMBER(I16),ISNUMBER(L16),ISNUMBER(M16),ISNUMBER(N16)),IF((L16+M16-N16)&gt;0,I16/(L16+M16-N16),""),"")</f>
        <v/>
      </c>
      <c r="AC16" s="22">
        <f>IF(AND(ISNUMBER(O16),ISNUMBER(P16)),IF(AND(O16&gt;0,P16&gt;0),P16/O16-1,""),"")</f>
        <v/>
      </c>
      <c r="AD16">
        <f>_xlfn.TEXTJOIN(", ",TRUE,IF(Z16="","ROE",""),IF(AA16="","매출성장률",""),IF(AB16="","이익수익률",""),IF(AC16="","12-1 수익률",""))</f>
        <v/>
      </c>
      <c r="AE16">
        <f>IF(A16="","",IF(AR16&lt;&gt;"","점수 없음(거름망)",IF(AD16="","채점","점수 없음(결측: "&amp;AD16&amp;")")))</f>
        <v/>
      </c>
      <c r="AF16">
        <f>IF(AE16="채점",1,"")</f>
        <v/>
      </c>
      <c r="AG16">
        <f>IF(AF16=1,Z16,"")</f>
        <v/>
      </c>
      <c r="AH16">
        <f>IF(AF16=1,AA16,"")</f>
        <v/>
      </c>
      <c r="AI16">
        <f>IF(AF16=1,AB16,"")</f>
        <v/>
      </c>
      <c r="AJ16">
        <f>IF(AF16=1,AC16,"")</f>
        <v/>
      </c>
      <c r="AK16">
        <f>IF(AF16=1,IF($B$3=1,50,(_xlfn.RANK.AVG(AG16,$AG$6:$AG$105,1)-1)/($B$3-1)*100),"")</f>
        <v/>
      </c>
      <c r="AL16">
        <f>IF(AF16=1,IF($B$3=1,50,(_xlfn.RANK.AVG(AH16,$AH$6:$AH$105,1)-1)/($B$3-1)*100),"")</f>
        <v/>
      </c>
      <c r="AM16">
        <f>IF(AF16=1,IF($B$3=1,50,(_xlfn.RANK.AVG(AI16,$AI$6:$AI$105,1)-1)/($B$3-1)*100),"")</f>
        <v/>
      </c>
      <c r="AN16">
        <f>IF(AF16=1,IF($B$3=1,50,(_xlfn.RANK.AVG(AJ16,$AJ$6:$AJ$105,1)-1)/($B$3-1)*100),"")</f>
        <v/>
      </c>
      <c r="AO16">
        <f>IF(AF16=1,ROUND(AVERAGE(AK16:AN16),6),"")</f>
        <v/>
      </c>
      <c r="AP16">
        <f>IF(AND(AF16=1,C16&lt;&gt;"Y"),R16,"")</f>
        <v/>
      </c>
      <c r="AQ16">
        <f>IF(AND(ISNUMBER(AP16),Q16="편입 후보"),AP16+(1000-ROW())/1000000,"")</f>
        <v/>
      </c>
      <c r="AR16">
        <f>IF(A16="","",_xlfn.TEXTJOIN(", ",TRUE,IF(D16="Y","금융·리츠",""),IF(NOT(ISNUMBER(I16)),"영업이익 없음",IF(I16&lt;=0,"영업적자","")),IF(OR(NOT(ISNUMBER(G16)),NOT(ISNUMBER(H16))),"부채비율 자료 없음",IF(G16&lt;=0,"자본잠식",IF(H16/G16&gt;'설정'!$B$8,"부채비율 초과",""))),IF(NOT(ISNUMBER(L16)),"시총 없음",IF(L16&lt;'설정'!$B$10,"시총 미달",""))))</f>
        <v/>
      </c>
    </row>
    <row r="17">
      <c r="A17" s="18" t="n"/>
      <c r="B17" s="19" t="n"/>
      <c r="C17" s="19" t="n"/>
      <c r="D17" s="19" t="n"/>
      <c r="E17" s="19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3" t="n"/>
      <c r="P17" s="23" t="n"/>
      <c r="Q17" s="7">
        <f>IF(A17="","",IF(C17="Y",IF(AF17=1,IF(AND(R17&lt;'설정'!$B$6,ISNUMBER($H$3)),IF(ROUND($H$3-R17,1)&gt;='설정'!$B$7,"교체 제안 → "&amp;$E$3&amp;" ("&amp;TEXT($H$3,"0.0")&amp;")","보유 유지"),"보유 유지"),"보유 · 점수 없음"),IF(AF17=1,IF(R17&gt;='설정'!$B$5,"편입 후보",""),"")))</f>
        <v/>
      </c>
      <c r="R17" s="15">
        <f>IF(AF17=1,ROUND(IF($B$3=1,50,(_xlfn.RANK.AVG(AO17,$AO$6:$AO$105,1)-1)/($B$3-1)*100),1),"")</f>
        <v/>
      </c>
      <c r="S17">
        <f>IF(A17="","",IF(AF17=1,_xlfn.TEXTJOIN(". ",TRUE,_xlfn.TEXTJOIN(", ",TRUE,IF(AK17&gt;='설정'!$B$20,"수익성 높음",""),IF(AL17&gt;='설정'!$B$20,"성장 빠름",""),IF(AM17&gt;='설정'!$B$20,"가격 쌈",""),IF(AN17&gt;='설정'!$B$20,"추세 좋음","")),_xlfn.TEXTJOIN(", ",TRUE,IF(AK17&lt;'설정'!$B$21,"수익성 낮음",""),IF(AL17&lt;'설정'!$B$21,"성장 느림",""),IF(AM17&lt;'설정'!$B$21,"가격 비쌈",""),IF(AN17&lt;'설정'!$B$21,"추세 약함","")),IF(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="","","보통: "&amp;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)),IF(X17="통과",AE17,X17)))</f>
        <v/>
      </c>
      <c r="T17">
        <f>IF(AF17=1,TEXT(Z17,"0.0%")&amp;" · 상위 "&amp;TEXT(($B$3-_xlfn.RANK.AVG(AG17,$AG$6:$AG$105,1)+1)/$B$3*100,"0")&amp;"%",IF(A17="","",IF(Z17="","결측",TEXT(Z17,"0.0%"))))</f>
        <v/>
      </c>
      <c r="U17">
        <f>IF(AF17=1,TEXT(AA17,"0.0%")&amp;" · 상위 "&amp;TEXT(($B$3-_xlfn.RANK.AVG(AH17,$AH$6:$AH$105,1)+1)/$B$3*100,"0")&amp;"%",IF(A17="","",IF(AA17="","결측",TEXT(AA17,"0.0%"))))</f>
        <v/>
      </c>
      <c r="V17">
        <f>IF(AF17=1,TEXT(AB17,"0.0%")&amp;" · 상위 "&amp;TEXT(($B$3-_xlfn.RANK.AVG(AI17,$AI$6:$AI$105,1)+1)/$B$3*100,"0")&amp;"%",IF(A17="","",IF(AB17="","결측",TEXT(AB17,"0.0%"))))</f>
        <v/>
      </c>
      <c r="W17">
        <f>IF(AF17=1,TEXT(AC17,"0.0%")&amp;" · 상위 "&amp;TEXT(($B$3-_xlfn.RANK.AVG(AJ17,$AJ$6:$AJ$105,1)+1)/$B$3*100,"0")&amp;"%",IF(A17="","",IF(AC17="","결측",TEXT(AC17,"0.0%"))))</f>
        <v/>
      </c>
      <c r="X17">
        <f>IF(A17="","",IF(AR17="","통과","제외: "&amp;AR17))</f>
        <v/>
      </c>
      <c r="Y17" s="21">
        <f>IF(AND(ISNUMBER(G17),ISNUMBER(H17)),IF(G17&gt;0,H17/G17,""),"")</f>
        <v/>
      </c>
      <c r="Z17" s="22">
        <f>IF(AND(ISNUMBER(F17),ISNUMBER(G17)),IF(G17&gt;0,F17/G17,""),"")</f>
        <v/>
      </c>
      <c r="AA17" s="22">
        <f>IF(AND(ISNUMBER(J17),ISNUMBER(K17)),IF(AND(J17&gt;0,K17&gt;0),(J17/K17)^(1/3)-1,""),"")</f>
        <v/>
      </c>
      <c r="AB17" s="22">
        <f>IF(AND(ISNUMBER(I17),ISNUMBER(L17),ISNUMBER(M17),ISNUMBER(N17)),IF((L17+M17-N17)&gt;0,I17/(L17+M17-N17),""),"")</f>
        <v/>
      </c>
      <c r="AC17" s="22">
        <f>IF(AND(ISNUMBER(O17),ISNUMBER(P17)),IF(AND(O17&gt;0,P17&gt;0),P17/O17-1,""),"")</f>
        <v/>
      </c>
      <c r="AD17">
        <f>_xlfn.TEXTJOIN(", ",TRUE,IF(Z17="","ROE",""),IF(AA17="","매출성장률",""),IF(AB17="","이익수익률",""),IF(AC17="","12-1 수익률",""))</f>
        <v/>
      </c>
      <c r="AE17">
        <f>IF(A17="","",IF(AR17&lt;&gt;"","점수 없음(거름망)",IF(AD17="","채점","점수 없음(결측: "&amp;AD17&amp;")")))</f>
        <v/>
      </c>
      <c r="AF17">
        <f>IF(AE17="채점",1,"")</f>
        <v/>
      </c>
      <c r="AG17">
        <f>IF(AF17=1,Z17,"")</f>
        <v/>
      </c>
      <c r="AH17">
        <f>IF(AF17=1,AA17,"")</f>
        <v/>
      </c>
      <c r="AI17">
        <f>IF(AF17=1,AB17,"")</f>
        <v/>
      </c>
      <c r="AJ17">
        <f>IF(AF17=1,AC17,"")</f>
        <v/>
      </c>
      <c r="AK17">
        <f>IF(AF17=1,IF($B$3=1,50,(_xlfn.RANK.AVG(AG17,$AG$6:$AG$105,1)-1)/($B$3-1)*100),"")</f>
        <v/>
      </c>
      <c r="AL17">
        <f>IF(AF17=1,IF($B$3=1,50,(_xlfn.RANK.AVG(AH17,$AH$6:$AH$105,1)-1)/($B$3-1)*100),"")</f>
        <v/>
      </c>
      <c r="AM17">
        <f>IF(AF17=1,IF($B$3=1,50,(_xlfn.RANK.AVG(AI17,$AI$6:$AI$105,1)-1)/($B$3-1)*100),"")</f>
        <v/>
      </c>
      <c r="AN17">
        <f>IF(AF17=1,IF($B$3=1,50,(_xlfn.RANK.AVG(AJ17,$AJ$6:$AJ$105,1)-1)/($B$3-1)*100),"")</f>
        <v/>
      </c>
      <c r="AO17">
        <f>IF(AF17=1,ROUND(AVERAGE(AK17:AN17),6),"")</f>
        <v/>
      </c>
      <c r="AP17">
        <f>IF(AND(AF17=1,C17&lt;&gt;"Y"),R17,"")</f>
        <v/>
      </c>
      <c r="AQ17">
        <f>IF(AND(ISNUMBER(AP17),Q17="편입 후보"),AP17+(1000-ROW())/1000000,"")</f>
        <v/>
      </c>
      <c r="AR17">
        <f>IF(A17="","",_xlfn.TEXTJOIN(", ",TRUE,IF(D17="Y","금융·리츠",""),IF(NOT(ISNUMBER(I17)),"영업이익 없음",IF(I17&lt;=0,"영업적자","")),IF(OR(NOT(ISNUMBER(G17)),NOT(ISNUMBER(H17))),"부채비율 자료 없음",IF(G17&lt;=0,"자본잠식",IF(H17/G17&gt;'설정'!$B$8,"부채비율 초과",""))),IF(NOT(ISNUMBER(L17)),"시총 없음",IF(L17&lt;'설정'!$B$10,"시총 미달",""))))</f>
        <v/>
      </c>
    </row>
    <row r="18">
      <c r="A18" s="18" t="n"/>
      <c r="B18" s="19" t="n"/>
      <c r="C18" s="19" t="n"/>
      <c r="D18" s="19" t="n"/>
      <c r="E18" s="19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3" t="n"/>
      <c r="P18" s="23" t="n"/>
      <c r="Q18" s="7">
        <f>IF(A18="","",IF(C18="Y",IF(AF18=1,IF(AND(R18&lt;'설정'!$B$6,ISNUMBER($H$3)),IF(ROUND($H$3-R18,1)&gt;='설정'!$B$7,"교체 제안 → "&amp;$E$3&amp;" ("&amp;TEXT($H$3,"0.0")&amp;")","보유 유지"),"보유 유지"),"보유 · 점수 없음"),IF(AF18=1,IF(R18&gt;='설정'!$B$5,"편입 후보",""),"")))</f>
        <v/>
      </c>
      <c r="R18" s="15">
        <f>IF(AF18=1,ROUND(IF($B$3=1,50,(_xlfn.RANK.AVG(AO18,$AO$6:$AO$105,1)-1)/($B$3-1)*100),1),"")</f>
        <v/>
      </c>
      <c r="S18">
        <f>IF(A18="","",IF(AF18=1,_xlfn.TEXTJOIN(". ",TRUE,_xlfn.TEXTJOIN(", ",TRUE,IF(AK18&gt;='설정'!$B$20,"수익성 높음",""),IF(AL18&gt;='설정'!$B$20,"성장 빠름",""),IF(AM18&gt;='설정'!$B$20,"가격 쌈",""),IF(AN18&gt;='설정'!$B$20,"추세 좋음","")),_xlfn.TEXTJOIN(", ",TRUE,IF(AK18&lt;'설정'!$B$21,"수익성 낮음",""),IF(AL18&lt;'설정'!$B$21,"성장 느림",""),IF(AM18&lt;'설정'!$B$21,"가격 비쌈",""),IF(AN18&lt;'설정'!$B$21,"추세 약함","")),IF(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="","","보통: "&amp;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)),IF(X18="통과",AE18,X18)))</f>
        <v/>
      </c>
      <c r="T18">
        <f>IF(AF18=1,TEXT(Z18,"0.0%")&amp;" · 상위 "&amp;TEXT(($B$3-_xlfn.RANK.AVG(AG18,$AG$6:$AG$105,1)+1)/$B$3*100,"0")&amp;"%",IF(A18="","",IF(Z18="","결측",TEXT(Z18,"0.0%"))))</f>
        <v/>
      </c>
      <c r="U18">
        <f>IF(AF18=1,TEXT(AA18,"0.0%")&amp;" · 상위 "&amp;TEXT(($B$3-_xlfn.RANK.AVG(AH18,$AH$6:$AH$105,1)+1)/$B$3*100,"0")&amp;"%",IF(A18="","",IF(AA18="","결측",TEXT(AA18,"0.0%"))))</f>
        <v/>
      </c>
      <c r="V18">
        <f>IF(AF18=1,TEXT(AB18,"0.0%")&amp;" · 상위 "&amp;TEXT(($B$3-_xlfn.RANK.AVG(AI18,$AI$6:$AI$105,1)+1)/$B$3*100,"0")&amp;"%",IF(A18="","",IF(AB18="","결측",TEXT(AB18,"0.0%"))))</f>
        <v/>
      </c>
      <c r="W18">
        <f>IF(AF18=1,TEXT(AC18,"0.0%")&amp;" · 상위 "&amp;TEXT(($B$3-_xlfn.RANK.AVG(AJ18,$AJ$6:$AJ$105,1)+1)/$B$3*100,"0")&amp;"%",IF(A18="","",IF(AC18="","결측",TEXT(AC18,"0.0%"))))</f>
        <v/>
      </c>
      <c r="X18">
        <f>IF(A18="","",IF(AR18="","통과","제외: "&amp;AR18))</f>
        <v/>
      </c>
      <c r="Y18" s="21">
        <f>IF(AND(ISNUMBER(G18),ISNUMBER(H18)),IF(G18&gt;0,H18/G18,""),"")</f>
        <v/>
      </c>
      <c r="Z18" s="22">
        <f>IF(AND(ISNUMBER(F18),ISNUMBER(G18)),IF(G18&gt;0,F18/G18,""),"")</f>
        <v/>
      </c>
      <c r="AA18" s="22">
        <f>IF(AND(ISNUMBER(J18),ISNUMBER(K18)),IF(AND(J18&gt;0,K18&gt;0),(J18/K18)^(1/3)-1,""),"")</f>
        <v/>
      </c>
      <c r="AB18" s="22">
        <f>IF(AND(ISNUMBER(I18),ISNUMBER(L18),ISNUMBER(M18),ISNUMBER(N18)),IF((L18+M18-N18)&gt;0,I18/(L18+M18-N18),""),"")</f>
        <v/>
      </c>
      <c r="AC18" s="22">
        <f>IF(AND(ISNUMBER(O18),ISNUMBER(P18)),IF(AND(O18&gt;0,P18&gt;0),P18/O18-1,""),"")</f>
        <v/>
      </c>
      <c r="AD18">
        <f>_xlfn.TEXTJOIN(", ",TRUE,IF(Z18="","ROE",""),IF(AA18="","매출성장률",""),IF(AB18="","이익수익률",""),IF(AC18="","12-1 수익률",""))</f>
        <v/>
      </c>
      <c r="AE18">
        <f>IF(A18="","",IF(AR18&lt;&gt;"","점수 없음(거름망)",IF(AD18="","채점","점수 없음(결측: "&amp;AD18&amp;")")))</f>
        <v/>
      </c>
      <c r="AF18">
        <f>IF(AE18="채점",1,"")</f>
        <v/>
      </c>
      <c r="AG18">
        <f>IF(AF18=1,Z18,"")</f>
        <v/>
      </c>
      <c r="AH18">
        <f>IF(AF18=1,AA18,"")</f>
        <v/>
      </c>
      <c r="AI18">
        <f>IF(AF18=1,AB18,"")</f>
        <v/>
      </c>
      <c r="AJ18">
        <f>IF(AF18=1,AC18,"")</f>
        <v/>
      </c>
      <c r="AK18">
        <f>IF(AF18=1,IF($B$3=1,50,(_xlfn.RANK.AVG(AG18,$AG$6:$AG$105,1)-1)/($B$3-1)*100),"")</f>
        <v/>
      </c>
      <c r="AL18">
        <f>IF(AF18=1,IF($B$3=1,50,(_xlfn.RANK.AVG(AH18,$AH$6:$AH$105,1)-1)/($B$3-1)*100),"")</f>
        <v/>
      </c>
      <c r="AM18">
        <f>IF(AF18=1,IF($B$3=1,50,(_xlfn.RANK.AVG(AI18,$AI$6:$AI$105,1)-1)/($B$3-1)*100),"")</f>
        <v/>
      </c>
      <c r="AN18">
        <f>IF(AF18=1,IF($B$3=1,50,(_xlfn.RANK.AVG(AJ18,$AJ$6:$AJ$105,1)-1)/($B$3-1)*100),"")</f>
        <v/>
      </c>
      <c r="AO18">
        <f>IF(AF18=1,ROUND(AVERAGE(AK18:AN18),6),"")</f>
        <v/>
      </c>
      <c r="AP18">
        <f>IF(AND(AF18=1,C18&lt;&gt;"Y"),R18,"")</f>
        <v/>
      </c>
      <c r="AQ18">
        <f>IF(AND(ISNUMBER(AP18),Q18="편입 후보"),AP18+(1000-ROW())/1000000,"")</f>
        <v/>
      </c>
      <c r="AR18">
        <f>IF(A18="","",_xlfn.TEXTJOIN(", ",TRUE,IF(D18="Y","금융·리츠",""),IF(NOT(ISNUMBER(I18)),"영업이익 없음",IF(I18&lt;=0,"영업적자","")),IF(OR(NOT(ISNUMBER(G18)),NOT(ISNUMBER(H18))),"부채비율 자료 없음",IF(G18&lt;=0,"자본잠식",IF(H18/G18&gt;'설정'!$B$8,"부채비율 초과",""))),IF(NOT(ISNUMBER(L18)),"시총 없음",IF(L18&lt;'설정'!$B$10,"시총 미달",""))))</f>
        <v/>
      </c>
    </row>
    <row r="19">
      <c r="A19" s="18" t="n"/>
      <c r="B19" s="19" t="n"/>
      <c r="C19" s="19" t="n"/>
      <c r="D19" s="19" t="n"/>
      <c r="E19" s="19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3" t="n"/>
      <c r="P19" s="23" t="n"/>
      <c r="Q19" s="7">
        <f>IF(A19="","",IF(C19="Y",IF(AF19=1,IF(AND(R19&lt;'설정'!$B$6,ISNUMBER($H$3)),IF(ROUND($H$3-R19,1)&gt;='설정'!$B$7,"교체 제안 → "&amp;$E$3&amp;" ("&amp;TEXT($H$3,"0.0")&amp;")","보유 유지"),"보유 유지"),"보유 · 점수 없음"),IF(AF19=1,IF(R19&gt;='설정'!$B$5,"편입 후보",""),"")))</f>
        <v/>
      </c>
      <c r="R19" s="15">
        <f>IF(AF19=1,ROUND(IF($B$3=1,50,(_xlfn.RANK.AVG(AO19,$AO$6:$AO$105,1)-1)/($B$3-1)*100),1),"")</f>
        <v/>
      </c>
      <c r="S19">
        <f>IF(A19="","",IF(AF19=1,_xlfn.TEXTJOIN(". ",TRUE,_xlfn.TEXTJOIN(", ",TRUE,IF(AK19&gt;='설정'!$B$20,"수익성 높음",""),IF(AL19&gt;='설정'!$B$20,"성장 빠름",""),IF(AM19&gt;='설정'!$B$20,"가격 쌈",""),IF(AN19&gt;='설정'!$B$20,"추세 좋음","")),_xlfn.TEXTJOIN(", ",TRUE,IF(AK19&lt;'설정'!$B$21,"수익성 낮음",""),IF(AL19&lt;'설정'!$B$21,"성장 느림",""),IF(AM19&lt;'설정'!$B$21,"가격 비쌈",""),IF(AN19&lt;'설정'!$B$21,"추세 약함","")),IF(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="","","보통: "&amp;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)),IF(X19="통과",AE19,X19)))</f>
        <v/>
      </c>
      <c r="T19">
        <f>IF(AF19=1,TEXT(Z19,"0.0%")&amp;" · 상위 "&amp;TEXT(($B$3-_xlfn.RANK.AVG(AG19,$AG$6:$AG$105,1)+1)/$B$3*100,"0")&amp;"%",IF(A19="","",IF(Z19="","결측",TEXT(Z19,"0.0%"))))</f>
        <v/>
      </c>
      <c r="U19">
        <f>IF(AF19=1,TEXT(AA19,"0.0%")&amp;" · 상위 "&amp;TEXT(($B$3-_xlfn.RANK.AVG(AH19,$AH$6:$AH$105,1)+1)/$B$3*100,"0")&amp;"%",IF(A19="","",IF(AA19="","결측",TEXT(AA19,"0.0%"))))</f>
        <v/>
      </c>
      <c r="V19">
        <f>IF(AF19=1,TEXT(AB19,"0.0%")&amp;" · 상위 "&amp;TEXT(($B$3-_xlfn.RANK.AVG(AI19,$AI$6:$AI$105,1)+1)/$B$3*100,"0")&amp;"%",IF(A19="","",IF(AB19="","결측",TEXT(AB19,"0.0%"))))</f>
        <v/>
      </c>
      <c r="W19">
        <f>IF(AF19=1,TEXT(AC19,"0.0%")&amp;" · 상위 "&amp;TEXT(($B$3-_xlfn.RANK.AVG(AJ19,$AJ$6:$AJ$105,1)+1)/$B$3*100,"0")&amp;"%",IF(A19="","",IF(AC19="","결측",TEXT(AC19,"0.0%"))))</f>
        <v/>
      </c>
      <c r="X19">
        <f>IF(A19="","",IF(AR19="","통과","제외: "&amp;AR19))</f>
        <v/>
      </c>
      <c r="Y19" s="21">
        <f>IF(AND(ISNUMBER(G19),ISNUMBER(H19)),IF(G19&gt;0,H19/G19,""),"")</f>
        <v/>
      </c>
      <c r="Z19" s="22">
        <f>IF(AND(ISNUMBER(F19),ISNUMBER(G19)),IF(G19&gt;0,F19/G19,""),"")</f>
        <v/>
      </c>
      <c r="AA19" s="22">
        <f>IF(AND(ISNUMBER(J19),ISNUMBER(K19)),IF(AND(J19&gt;0,K19&gt;0),(J19/K19)^(1/3)-1,""),"")</f>
        <v/>
      </c>
      <c r="AB19" s="22">
        <f>IF(AND(ISNUMBER(I19),ISNUMBER(L19),ISNUMBER(M19),ISNUMBER(N19)),IF((L19+M19-N19)&gt;0,I19/(L19+M19-N19),""),"")</f>
        <v/>
      </c>
      <c r="AC19" s="22">
        <f>IF(AND(ISNUMBER(O19),ISNUMBER(P19)),IF(AND(O19&gt;0,P19&gt;0),P19/O19-1,""),"")</f>
        <v/>
      </c>
      <c r="AD19">
        <f>_xlfn.TEXTJOIN(", ",TRUE,IF(Z19="","ROE",""),IF(AA19="","매출성장률",""),IF(AB19="","이익수익률",""),IF(AC19="","12-1 수익률",""))</f>
        <v/>
      </c>
      <c r="AE19">
        <f>IF(A19="","",IF(AR19&lt;&gt;"","점수 없음(거름망)",IF(AD19="","채점","점수 없음(결측: "&amp;AD19&amp;")")))</f>
        <v/>
      </c>
      <c r="AF19">
        <f>IF(AE19="채점",1,"")</f>
        <v/>
      </c>
      <c r="AG19">
        <f>IF(AF19=1,Z19,"")</f>
        <v/>
      </c>
      <c r="AH19">
        <f>IF(AF19=1,AA19,"")</f>
        <v/>
      </c>
      <c r="AI19">
        <f>IF(AF19=1,AB19,"")</f>
        <v/>
      </c>
      <c r="AJ19">
        <f>IF(AF19=1,AC19,"")</f>
        <v/>
      </c>
      <c r="AK19">
        <f>IF(AF19=1,IF($B$3=1,50,(_xlfn.RANK.AVG(AG19,$AG$6:$AG$105,1)-1)/($B$3-1)*100),"")</f>
        <v/>
      </c>
      <c r="AL19">
        <f>IF(AF19=1,IF($B$3=1,50,(_xlfn.RANK.AVG(AH19,$AH$6:$AH$105,1)-1)/($B$3-1)*100),"")</f>
        <v/>
      </c>
      <c r="AM19">
        <f>IF(AF19=1,IF($B$3=1,50,(_xlfn.RANK.AVG(AI19,$AI$6:$AI$105,1)-1)/($B$3-1)*100),"")</f>
        <v/>
      </c>
      <c r="AN19">
        <f>IF(AF19=1,IF($B$3=1,50,(_xlfn.RANK.AVG(AJ19,$AJ$6:$AJ$105,1)-1)/($B$3-1)*100),"")</f>
        <v/>
      </c>
      <c r="AO19">
        <f>IF(AF19=1,ROUND(AVERAGE(AK19:AN19),6),"")</f>
        <v/>
      </c>
      <c r="AP19">
        <f>IF(AND(AF19=1,C19&lt;&gt;"Y"),R19,"")</f>
        <v/>
      </c>
      <c r="AQ19">
        <f>IF(AND(ISNUMBER(AP19),Q19="편입 후보"),AP19+(1000-ROW())/1000000,"")</f>
        <v/>
      </c>
      <c r="AR19">
        <f>IF(A19="","",_xlfn.TEXTJOIN(", ",TRUE,IF(D19="Y","금융·리츠",""),IF(NOT(ISNUMBER(I19)),"영업이익 없음",IF(I19&lt;=0,"영업적자","")),IF(OR(NOT(ISNUMBER(G19)),NOT(ISNUMBER(H19))),"부채비율 자료 없음",IF(G19&lt;=0,"자본잠식",IF(H19/G19&gt;'설정'!$B$8,"부채비율 초과",""))),IF(NOT(ISNUMBER(L19)),"시총 없음",IF(L19&lt;'설정'!$B$10,"시총 미달",""))))</f>
        <v/>
      </c>
    </row>
    <row r="20">
      <c r="A20" s="18" t="n"/>
      <c r="B20" s="19" t="n"/>
      <c r="C20" s="19" t="n"/>
      <c r="D20" s="19" t="n"/>
      <c r="E20" s="19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3" t="n"/>
      <c r="P20" s="23" t="n"/>
      <c r="Q20" s="7">
        <f>IF(A20="","",IF(C20="Y",IF(AF20=1,IF(AND(R20&lt;'설정'!$B$6,ISNUMBER($H$3)),IF(ROUND($H$3-R20,1)&gt;='설정'!$B$7,"교체 제안 → "&amp;$E$3&amp;" ("&amp;TEXT($H$3,"0.0")&amp;")","보유 유지"),"보유 유지"),"보유 · 점수 없음"),IF(AF20=1,IF(R20&gt;='설정'!$B$5,"편입 후보",""),"")))</f>
        <v/>
      </c>
      <c r="R20" s="15">
        <f>IF(AF20=1,ROUND(IF($B$3=1,50,(_xlfn.RANK.AVG(AO20,$AO$6:$AO$105,1)-1)/($B$3-1)*100),1),"")</f>
        <v/>
      </c>
      <c r="S20">
        <f>IF(A20="","",IF(AF20=1,_xlfn.TEXTJOIN(". ",TRUE,_xlfn.TEXTJOIN(", ",TRUE,IF(AK20&gt;='설정'!$B$20,"수익성 높음",""),IF(AL20&gt;='설정'!$B$20,"성장 빠름",""),IF(AM20&gt;='설정'!$B$20,"가격 쌈",""),IF(AN20&gt;='설정'!$B$20,"추세 좋음","")),_xlfn.TEXTJOIN(", ",TRUE,IF(AK20&lt;'설정'!$B$21,"수익성 낮음",""),IF(AL20&lt;'설정'!$B$21,"성장 느림",""),IF(AM20&lt;'설정'!$B$21,"가격 비쌈",""),IF(AN20&lt;'설정'!$B$21,"추세 약함","")),IF(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="","","보통: "&amp;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)),IF(X20="통과",AE20,X20)))</f>
        <v/>
      </c>
      <c r="T20">
        <f>IF(AF20=1,TEXT(Z20,"0.0%")&amp;" · 상위 "&amp;TEXT(($B$3-_xlfn.RANK.AVG(AG20,$AG$6:$AG$105,1)+1)/$B$3*100,"0")&amp;"%",IF(A20="","",IF(Z20="","결측",TEXT(Z20,"0.0%"))))</f>
        <v/>
      </c>
      <c r="U20">
        <f>IF(AF20=1,TEXT(AA20,"0.0%")&amp;" · 상위 "&amp;TEXT(($B$3-_xlfn.RANK.AVG(AH20,$AH$6:$AH$105,1)+1)/$B$3*100,"0")&amp;"%",IF(A20="","",IF(AA20="","결측",TEXT(AA20,"0.0%"))))</f>
        <v/>
      </c>
      <c r="V20">
        <f>IF(AF20=1,TEXT(AB20,"0.0%")&amp;" · 상위 "&amp;TEXT(($B$3-_xlfn.RANK.AVG(AI20,$AI$6:$AI$105,1)+1)/$B$3*100,"0")&amp;"%",IF(A20="","",IF(AB20="","결측",TEXT(AB20,"0.0%"))))</f>
        <v/>
      </c>
      <c r="W20">
        <f>IF(AF20=1,TEXT(AC20,"0.0%")&amp;" · 상위 "&amp;TEXT(($B$3-_xlfn.RANK.AVG(AJ20,$AJ$6:$AJ$105,1)+1)/$B$3*100,"0")&amp;"%",IF(A20="","",IF(AC20="","결측",TEXT(AC20,"0.0%"))))</f>
        <v/>
      </c>
      <c r="X20">
        <f>IF(A20="","",IF(AR20="","통과","제외: "&amp;AR20))</f>
        <v/>
      </c>
      <c r="Y20" s="21">
        <f>IF(AND(ISNUMBER(G20),ISNUMBER(H20)),IF(G20&gt;0,H20/G20,""),"")</f>
        <v/>
      </c>
      <c r="Z20" s="22">
        <f>IF(AND(ISNUMBER(F20),ISNUMBER(G20)),IF(G20&gt;0,F20/G20,""),"")</f>
        <v/>
      </c>
      <c r="AA20" s="22">
        <f>IF(AND(ISNUMBER(J20),ISNUMBER(K20)),IF(AND(J20&gt;0,K20&gt;0),(J20/K20)^(1/3)-1,""),"")</f>
        <v/>
      </c>
      <c r="AB20" s="22">
        <f>IF(AND(ISNUMBER(I20),ISNUMBER(L20),ISNUMBER(M20),ISNUMBER(N20)),IF((L20+M20-N20)&gt;0,I20/(L20+M20-N20),""),"")</f>
        <v/>
      </c>
      <c r="AC20" s="22">
        <f>IF(AND(ISNUMBER(O20),ISNUMBER(P20)),IF(AND(O20&gt;0,P20&gt;0),P20/O20-1,""),"")</f>
        <v/>
      </c>
      <c r="AD20">
        <f>_xlfn.TEXTJOIN(", ",TRUE,IF(Z20="","ROE",""),IF(AA20="","매출성장률",""),IF(AB20="","이익수익률",""),IF(AC20="","12-1 수익률",""))</f>
        <v/>
      </c>
      <c r="AE20">
        <f>IF(A20="","",IF(AR20&lt;&gt;"","점수 없음(거름망)",IF(AD20="","채점","점수 없음(결측: "&amp;AD20&amp;")")))</f>
        <v/>
      </c>
      <c r="AF20">
        <f>IF(AE20="채점",1,"")</f>
        <v/>
      </c>
      <c r="AG20">
        <f>IF(AF20=1,Z20,"")</f>
        <v/>
      </c>
      <c r="AH20">
        <f>IF(AF20=1,AA20,"")</f>
        <v/>
      </c>
      <c r="AI20">
        <f>IF(AF20=1,AB20,"")</f>
        <v/>
      </c>
      <c r="AJ20">
        <f>IF(AF20=1,AC20,"")</f>
        <v/>
      </c>
      <c r="AK20">
        <f>IF(AF20=1,IF($B$3=1,50,(_xlfn.RANK.AVG(AG20,$AG$6:$AG$105,1)-1)/($B$3-1)*100),"")</f>
        <v/>
      </c>
      <c r="AL20">
        <f>IF(AF20=1,IF($B$3=1,50,(_xlfn.RANK.AVG(AH20,$AH$6:$AH$105,1)-1)/($B$3-1)*100),"")</f>
        <v/>
      </c>
      <c r="AM20">
        <f>IF(AF20=1,IF($B$3=1,50,(_xlfn.RANK.AVG(AI20,$AI$6:$AI$105,1)-1)/($B$3-1)*100),"")</f>
        <v/>
      </c>
      <c r="AN20">
        <f>IF(AF20=1,IF($B$3=1,50,(_xlfn.RANK.AVG(AJ20,$AJ$6:$AJ$105,1)-1)/($B$3-1)*100),"")</f>
        <v/>
      </c>
      <c r="AO20">
        <f>IF(AF20=1,ROUND(AVERAGE(AK20:AN20),6),"")</f>
        <v/>
      </c>
      <c r="AP20">
        <f>IF(AND(AF20=1,C20&lt;&gt;"Y"),R20,"")</f>
        <v/>
      </c>
      <c r="AQ20">
        <f>IF(AND(ISNUMBER(AP20),Q20="편입 후보"),AP20+(1000-ROW())/1000000,"")</f>
        <v/>
      </c>
      <c r="AR20">
        <f>IF(A20="","",_xlfn.TEXTJOIN(", ",TRUE,IF(D20="Y","금융·리츠",""),IF(NOT(ISNUMBER(I20)),"영업이익 없음",IF(I20&lt;=0,"영업적자","")),IF(OR(NOT(ISNUMBER(G20)),NOT(ISNUMBER(H20))),"부채비율 자료 없음",IF(G20&lt;=0,"자본잠식",IF(H20/G20&gt;'설정'!$B$8,"부채비율 초과",""))),IF(NOT(ISNUMBER(L20)),"시총 없음",IF(L20&lt;'설정'!$B$10,"시총 미달",""))))</f>
        <v/>
      </c>
    </row>
    <row r="21">
      <c r="A21" s="18" t="n"/>
      <c r="B21" s="19" t="n"/>
      <c r="C21" s="19" t="n"/>
      <c r="D21" s="19" t="n"/>
      <c r="E21" s="19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3" t="n"/>
      <c r="P21" s="23" t="n"/>
      <c r="Q21" s="7">
        <f>IF(A21="","",IF(C21="Y",IF(AF21=1,IF(AND(R21&lt;'설정'!$B$6,ISNUMBER($H$3)),IF(ROUND($H$3-R21,1)&gt;='설정'!$B$7,"교체 제안 → "&amp;$E$3&amp;" ("&amp;TEXT($H$3,"0.0")&amp;")","보유 유지"),"보유 유지"),"보유 · 점수 없음"),IF(AF21=1,IF(R21&gt;='설정'!$B$5,"편입 후보",""),"")))</f>
        <v/>
      </c>
      <c r="R21" s="15">
        <f>IF(AF21=1,ROUND(IF($B$3=1,50,(_xlfn.RANK.AVG(AO21,$AO$6:$AO$105,1)-1)/($B$3-1)*100),1),"")</f>
        <v/>
      </c>
      <c r="S21">
        <f>IF(A21="","",IF(AF21=1,_xlfn.TEXTJOIN(". ",TRUE,_xlfn.TEXTJOIN(", ",TRUE,IF(AK21&gt;='설정'!$B$20,"수익성 높음",""),IF(AL21&gt;='설정'!$B$20,"성장 빠름",""),IF(AM21&gt;='설정'!$B$20,"가격 쌈",""),IF(AN21&gt;='설정'!$B$20,"추세 좋음","")),_xlfn.TEXTJOIN(", ",TRUE,IF(AK21&lt;'설정'!$B$21,"수익성 낮음",""),IF(AL21&lt;'설정'!$B$21,"성장 느림",""),IF(AM21&lt;'설정'!$B$21,"가격 비쌈",""),IF(AN21&lt;'설정'!$B$21,"추세 약함","")),IF(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="","","보통: "&amp;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)),IF(X21="통과",AE21,X21)))</f>
        <v/>
      </c>
      <c r="T21">
        <f>IF(AF21=1,TEXT(Z21,"0.0%")&amp;" · 상위 "&amp;TEXT(($B$3-_xlfn.RANK.AVG(AG21,$AG$6:$AG$105,1)+1)/$B$3*100,"0")&amp;"%",IF(A21="","",IF(Z21="","결측",TEXT(Z21,"0.0%"))))</f>
        <v/>
      </c>
      <c r="U21">
        <f>IF(AF21=1,TEXT(AA21,"0.0%")&amp;" · 상위 "&amp;TEXT(($B$3-_xlfn.RANK.AVG(AH21,$AH$6:$AH$105,1)+1)/$B$3*100,"0")&amp;"%",IF(A21="","",IF(AA21="","결측",TEXT(AA21,"0.0%"))))</f>
        <v/>
      </c>
      <c r="V21">
        <f>IF(AF21=1,TEXT(AB21,"0.0%")&amp;" · 상위 "&amp;TEXT(($B$3-_xlfn.RANK.AVG(AI21,$AI$6:$AI$105,1)+1)/$B$3*100,"0")&amp;"%",IF(A21="","",IF(AB21="","결측",TEXT(AB21,"0.0%"))))</f>
        <v/>
      </c>
      <c r="W21">
        <f>IF(AF21=1,TEXT(AC21,"0.0%")&amp;" · 상위 "&amp;TEXT(($B$3-_xlfn.RANK.AVG(AJ21,$AJ$6:$AJ$105,1)+1)/$B$3*100,"0")&amp;"%",IF(A21="","",IF(AC21="","결측",TEXT(AC21,"0.0%"))))</f>
        <v/>
      </c>
      <c r="X21">
        <f>IF(A21="","",IF(AR21="","통과","제외: "&amp;AR21))</f>
        <v/>
      </c>
      <c r="Y21" s="21">
        <f>IF(AND(ISNUMBER(G21),ISNUMBER(H21)),IF(G21&gt;0,H21/G21,""),"")</f>
        <v/>
      </c>
      <c r="Z21" s="22">
        <f>IF(AND(ISNUMBER(F21),ISNUMBER(G21)),IF(G21&gt;0,F21/G21,""),"")</f>
        <v/>
      </c>
      <c r="AA21" s="22">
        <f>IF(AND(ISNUMBER(J21),ISNUMBER(K21)),IF(AND(J21&gt;0,K21&gt;0),(J21/K21)^(1/3)-1,""),"")</f>
        <v/>
      </c>
      <c r="AB21" s="22">
        <f>IF(AND(ISNUMBER(I21),ISNUMBER(L21),ISNUMBER(M21),ISNUMBER(N21)),IF((L21+M21-N21)&gt;0,I21/(L21+M21-N21),""),"")</f>
        <v/>
      </c>
      <c r="AC21" s="22">
        <f>IF(AND(ISNUMBER(O21),ISNUMBER(P21)),IF(AND(O21&gt;0,P21&gt;0),P21/O21-1,""),"")</f>
        <v/>
      </c>
      <c r="AD21">
        <f>_xlfn.TEXTJOIN(", ",TRUE,IF(Z21="","ROE",""),IF(AA21="","매출성장률",""),IF(AB21="","이익수익률",""),IF(AC21="","12-1 수익률",""))</f>
        <v/>
      </c>
      <c r="AE21">
        <f>IF(A21="","",IF(AR21&lt;&gt;"","점수 없음(거름망)",IF(AD21="","채점","점수 없음(결측: "&amp;AD21&amp;")")))</f>
        <v/>
      </c>
      <c r="AF21">
        <f>IF(AE21="채점",1,"")</f>
        <v/>
      </c>
      <c r="AG21">
        <f>IF(AF21=1,Z21,"")</f>
        <v/>
      </c>
      <c r="AH21">
        <f>IF(AF21=1,AA21,"")</f>
        <v/>
      </c>
      <c r="AI21">
        <f>IF(AF21=1,AB21,"")</f>
        <v/>
      </c>
      <c r="AJ21">
        <f>IF(AF21=1,AC21,"")</f>
        <v/>
      </c>
      <c r="AK21">
        <f>IF(AF21=1,IF($B$3=1,50,(_xlfn.RANK.AVG(AG21,$AG$6:$AG$105,1)-1)/($B$3-1)*100),"")</f>
        <v/>
      </c>
      <c r="AL21">
        <f>IF(AF21=1,IF($B$3=1,50,(_xlfn.RANK.AVG(AH21,$AH$6:$AH$105,1)-1)/($B$3-1)*100),"")</f>
        <v/>
      </c>
      <c r="AM21">
        <f>IF(AF21=1,IF($B$3=1,50,(_xlfn.RANK.AVG(AI21,$AI$6:$AI$105,1)-1)/($B$3-1)*100),"")</f>
        <v/>
      </c>
      <c r="AN21">
        <f>IF(AF21=1,IF($B$3=1,50,(_xlfn.RANK.AVG(AJ21,$AJ$6:$AJ$105,1)-1)/($B$3-1)*100),"")</f>
        <v/>
      </c>
      <c r="AO21">
        <f>IF(AF21=1,ROUND(AVERAGE(AK21:AN21),6),"")</f>
        <v/>
      </c>
      <c r="AP21">
        <f>IF(AND(AF21=1,C21&lt;&gt;"Y"),R21,"")</f>
        <v/>
      </c>
      <c r="AQ21">
        <f>IF(AND(ISNUMBER(AP21),Q21="편입 후보"),AP21+(1000-ROW())/1000000,"")</f>
        <v/>
      </c>
      <c r="AR21">
        <f>IF(A21="","",_xlfn.TEXTJOIN(", ",TRUE,IF(D21="Y","금융·리츠",""),IF(NOT(ISNUMBER(I21)),"영업이익 없음",IF(I21&lt;=0,"영업적자","")),IF(OR(NOT(ISNUMBER(G21)),NOT(ISNUMBER(H21))),"부채비율 자료 없음",IF(G21&lt;=0,"자본잠식",IF(H21/G21&gt;'설정'!$B$8,"부채비율 초과",""))),IF(NOT(ISNUMBER(L21)),"시총 없음",IF(L21&lt;'설정'!$B$10,"시총 미달",""))))</f>
        <v/>
      </c>
    </row>
    <row r="22">
      <c r="A22" s="18" t="n"/>
      <c r="B22" s="19" t="n"/>
      <c r="C22" s="19" t="n"/>
      <c r="D22" s="19" t="n"/>
      <c r="E22" s="19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3" t="n"/>
      <c r="P22" s="23" t="n"/>
      <c r="Q22" s="7">
        <f>IF(A22="","",IF(C22="Y",IF(AF22=1,IF(AND(R22&lt;'설정'!$B$6,ISNUMBER($H$3)),IF(ROUND($H$3-R22,1)&gt;='설정'!$B$7,"교체 제안 → "&amp;$E$3&amp;" ("&amp;TEXT($H$3,"0.0")&amp;")","보유 유지"),"보유 유지"),"보유 · 점수 없음"),IF(AF22=1,IF(R22&gt;='설정'!$B$5,"편입 후보",""),"")))</f>
        <v/>
      </c>
      <c r="R22" s="15">
        <f>IF(AF22=1,ROUND(IF($B$3=1,50,(_xlfn.RANK.AVG(AO22,$AO$6:$AO$105,1)-1)/($B$3-1)*100),1),"")</f>
        <v/>
      </c>
      <c r="S22">
        <f>IF(A22="","",IF(AF22=1,_xlfn.TEXTJOIN(". ",TRUE,_xlfn.TEXTJOIN(", ",TRUE,IF(AK22&gt;='설정'!$B$20,"수익성 높음",""),IF(AL22&gt;='설정'!$B$20,"성장 빠름",""),IF(AM22&gt;='설정'!$B$20,"가격 쌈",""),IF(AN22&gt;='설정'!$B$20,"추세 좋음","")),_xlfn.TEXTJOIN(", ",TRUE,IF(AK22&lt;'설정'!$B$21,"수익성 낮음",""),IF(AL22&lt;'설정'!$B$21,"성장 느림",""),IF(AM22&lt;'설정'!$B$21,"가격 비쌈",""),IF(AN22&lt;'설정'!$B$21,"추세 약함","")),IF(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="","","보통: "&amp;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)),IF(X22="통과",AE22,X22)))</f>
        <v/>
      </c>
      <c r="T22">
        <f>IF(AF22=1,TEXT(Z22,"0.0%")&amp;" · 상위 "&amp;TEXT(($B$3-_xlfn.RANK.AVG(AG22,$AG$6:$AG$105,1)+1)/$B$3*100,"0")&amp;"%",IF(A22="","",IF(Z22="","결측",TEXT(Z22,"0.0%"))))</f>
        <v/>
      </c>
      <c r="U22">
        <f>IF(AF22=1,TEXT(AA22,"0.0%")&amp;" · 상위 "&amp;TEXT(($B$3-_xlfn.RANK.AVG(AH22,$AH$6:$AH$105,1)+1)/$B$3*100,"0")&amp;"%",IF(A22="","",IF(AA22="","결측",TEXT(AA22,"0.0%"))))</f>
        <v/>
      </c>
      <c r="V22">
        <f>IF(AF22=1,TEXT(AB22,"0.0%")&amp;" · 상위 "&amp;TEXT(($B$3-_xlfn.RANK.AVG(AI22,$AI$6:$AI$105,1)+1)/$B$3*100,"0")&amp;"%",IF(A22="","",IF(AB22="","결측",TEXT(AB22,"0.0%"))))</f>
        <v/>
      </c>
      <c r="W22">
        <f>IF(AF22=1,TEXT(AC22,"0.0%")&amp;" · 상위 "&amp;TEXT(($B$3-_xlfn.RANK.AVG(AJ22,$AJ$6:$AJ$105,1)+1)/$B$3*100,"0")&amp;"%",IF(A22="","",IF(AC22="","결측",TEXT(AC22,"0.0%"))))</f>
        <v/>
      </c>
      <c r="X22">
        <f>IF(A22="","",IF(AR22="","통과","제외: "&amp;AR22))</f>
        <v/>
      </c>
      <c r="Y22" s="21">
        <f>IF(AND(ISNUMBER(G22),ISNUMBER(H22)),IF(G22&gt;0,H22/G22,""),"")</f>
        <v/>
      </c>
      <c r="Z22" s="22">
        <f>IF(AND(ISNUMBER(F22),ISNUMBER(G22)),IF(G22&gt;0,F22/G22,""),"")</f>
        <v/>
      </c>
      <c r="AA22" s="22">
        <f>IF(AND(ISNUMBER(J22),ISNUMBER(K22)),IF(AND(J22&gt;0,K22&gt;0),(J22/K22)^(1/3)-1,""),"")</f>
        <v/>
      </c>
      <c r="AB22" s="22">
        <f>IF(AND(ISNUMBER(I22),ISNUMBER(L22),ISNUMBER(M22),ISNUMBER(N22)),IF((L22+M22-N22)&gt;0,I22/(L22+M22-N22),""),"")</f>
        <v/>
      </c>
      <c r="AC22" s="22">
        <f>IF(AND(ISNUMBER(O22),ISNUMBER(P22)),IF(AND(O22&gt;0,P22&gt;0),P22/O22-1,""),"")</f>
        <v/>
      </c>
      <c r="AD22">
        <f>_xlfn.TEXTJOIN(", ",TRUE,IF(Z22="","ROE",""),IF(AA22="","매출성장률",""),IF(AB22="","이익수익률",""),IF(AC22="","12-1 수익률",""))</f>
        <v/>
      </c>
      <c r="AE22">
        <f>IF(A22="","",IF(AR22&lt;&gt;"","점수 없음(거름망)",IF(AD22="","채점","점수 없음(결측: "&amp;AD22&amp;")")))</f>
        <v/>
      </c>
      <c r="AF22">
        <f>IF(AE22="채점",1,"")</f>
        <v/>
      </c>
      <c r="AG22">
        <f>IF(AF22=1,Z22,"")</f>
        <v/>
      </c>
      <c r="AH22">
        <f>IF(AF22=1,AA22,"")</f>
        <v/>
      </c>
      <c r="AI22">
        <f>IF(AF22=1,AB22,"")</f>
        <v/>
      </c>
      <c r="AJ22">
        <f>IF(AF22=1,AC22,"")</f>
        <v/>
      </c>
      <c r="AK22">
        <f>IF(AF22=1,IF($B$3=1,50,(_xlfn.RANK.AVG(AG22,$AG$6:$AG$105,1)-1)/($B$3-1)*100),"")</f>
        <v/>
      </c>
      <c r="AL22">
        <f>IF(AF22=1,IF($B$3=1,50,(_xlfn.RANK.AVG(AH22,$AH$6:$AH$105,1)-1)/($B$3-1)*100),"")</f>
        <v/>
      </c>
      <c r="AM22">
        <f>IF(AF22=1,IF($B$3=1,50,(_xlfn.RANK.AVG(AI22,$AI$6:$AI$105,1)-1)/($B$3-1)*100),"")</f>
        <v/>
      </c>
      <c r="AN22">
        <f>IF(AF22=1,IF($B$3=1,50,(_xlfn.RANK.AVG(AJ22,$AJ$6:$AJ$105,1)-1)/($B$3-1)*100),"")</f>
        <v/>
      </c>
      <c r="AO22">
        <f>IF(AF22=1,ROUND(AVERAGE(AK22:AN22),6),"")</f>
        <v/>
      </c>
      <c r="AP22">
        <f>IF(AND(AF22=1,C22&lt;&gt;"Y"),R22,"")</f>
        <v/>
      </c>
      <c r="AQ22">
        <f>IF(AND(ISNUMBER(AP22),Q22="편입 후보"),AP22+(1000-ROW())/1000000,"")</f>
        <v/>
      </c>
      <c r="AR22">
        <f>IF(A22="","",_xlfn.TEXTJOIN(", ",TRUE,IF(D22="Y","금융·리츠",""),IF(NOT(ISNUMBER(I22)),"영업이익 없음",IF(I22&lt;=0,"영업적자","")),IF(OR(NOT(ISNUMBER(G22)),NOT(ISNUMBER(H22))),"부채비율 자료 없음",IF(G22&lt;=0,"자본잠식",IF(H22/G22&gt;'설정'!$B$8,"부채비율 초과",""))),IF(NOT(ISNUMBER(L22)),"시총 없음",IF(L22&lt;'설정'!$B$10,"시총 미달",""))))</f>
        <v/>
      </c>
    </row>
    <row r="23">
      <c r="A23" s="18" t="n"/>
      <c r="B23" s="19" t="n"/>
      <c r="C23" s="19" t="n"/>
      <c r="D23" s="19" t="n"/>
      <c r="E23" s="19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3" t="n"/>
      <c r="P23" s="23" t="n"/>
      <c r="Q23" s="7">
        <f>IF(A23="","",IF(C23="Y",IF(AF23=1,IF(AND(R23&lt;'설정'!$B$6,ISNUMBER($H$3)),IF(ROUND($H$3-R23,1)&gt;='설정'!$B$7,"교체 제안 → "&amp;$E$3&amp;" ("&amp;TEXT($H$3,"0.0")&amp;")","보유 유지"),"보유 유지"),"보유 · 점수 없음"),IF(AF23=1,IF(R23&gt;='설정'!$B$5,"편입 후보",""),"")))</f>
        <v/>
      </c>
      <c r="R23" s="15">
        <f>IF(AF23=1,ROUND(IF($B$3=1,50,(_xlfn.RANK.AVG(AO23,$AO$6:$AO$105,1)-1)/($B$3-1)*100),1),"")</f>
        <v/>
      </c>
      <c r="S23">
        <f>IF(A23="","",IF(AF23=1,_xlfn.TEXTJOIN(". ",TRUE,_xlfn.TEXTJOIN(", ",TRUE,IF(AK23&gt;='설정'!$B$20,"수익성 높음",""),IF(AL23&gt;='설정'!$B$20,"성장 빠름",""),IF(AM23&gt;='설정'!$B$20,"가격 쌈",""),IF(AN23&gt;='설정'!$B$20,"추세 좋음","")),_xlfn.TEXTJOIN(", ",TRUE,IF(AK23&lt;'설정'!$B$21,"수익성 낮음",""),IF(AL23&lt;'설정'!$B$21,"성장 느림",""),IF(AM23&lt;'설정'!$B$21,"가격 비쌈",""),IF(AN23&lt;'설정'!$B$21,"추세 약함","")),IF(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="","","보통: "&amp;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)),IF(X23="통과",AE23,X23)))</f>
        <v/>
      </c>
      <c r="T23">
        <f>IF(AF23=1,TEXT(Z23,"0.0%")&amp;" · 상위 "&amp;TEXT(($B$3-_xlfn.RANK.AVG(AG23,$AG$6:$AG$105,1)+1)/$B$3*100,"0")&amp;"%",IF(A23="","",IF(Z23="","결측",TEXT(Z23,"0.0%"))))</f>
        <v/>
      </c>
      <c r="U23">
        <f>IF(AF23=1,TEXT(AA23,"0.0%")&amp;" · 상위 "&amp;TEXT(($B$3-_xlfn.RANK.AVG(AH23,$AH$6:$AH$105,1)+1)/$B$3*100,"0")&amp;"%",IF(A23="","",IF(AA23="","결측",TEXT(AA23,"0.0%"))))</f>
        <v/>
      </c>
      <c r="V23">
        <f>IF(AF23=1,TEXT(AB23,"0.0%")&amp;" · 상위 "&amp;TEXT(($B$3-_xlfn.RANK.AVG(AI23,$AI$6:$AI$105,1)+1)/$B$3*100,"0")&amp;"%",IF(A23="","",IF(AB23="","결측",TEXT(AB23,"0.0%"))))</f>
        <v/>
      </c>
      <c r="W23">
        <f>IF(AF23=1,TEXT(AC23,"0.0%")&amp;" · 상위 "&amp;TEXT(($B$3-_xlfn.RANK.AVG(AJ23,$AJ$6:$AJ$105,1)+1)/$B$3*100,"0")&amp;"%",IF(A23="","",IF(AC23="","결측",TEXT(AC23,"0.0%"))))</f>
        <v/>
      </c>
      <c r="X23">
        <f>IF(A23="","",IF(AR23="","통과","제외: "&amp;AR23))</f>
        <v/>
      </c>
      <c r="Y23" s="21">
        <f>IF(AND(ISNUMBER(G23),ISNUMBER(H23)),IF(G23&gt;0,H23/G23,""),"")</f>
        <v/>
      </c>
      <c r="Z23" s="22">
        <f>IF(AND(ISNUMBER(F23),ISNUMBER(G23)),IF(G23&gt;0,F23/G23,""),"")</f>
        <v/>
      </c>
      <c r="AA23" s="22">
        <f>IF(AND(ISNUMBER(J23),ISNUMBER(K23)),IF(AND(J23&gt;0,K23&gt;0),(J23/K23)^(1/3)-1,""),"")</f>
        <v/>
      </c>
      <c r="AB23" s="22">
        <f>IF(AND(ISNUMBER(I23),ISNUMBER(L23),ISNUMBER(M23),ISNUMBER(N23)),IF((L23+M23-N23)&gt;0,I23/(L23+M23-N23),""),"")</f>
        <v/>
      </c>
      <c r="AC23" s="22">
        <f>IF(AND(ISNUMBER(O23),ISNUMBER(P23)),IF(AND(O23&gt;0,P23&gt;0),P23/O23-1,""),"")</f>
        <v/>
      </c>
      <c r="AD23">
        <f>_xlfn.TEXTJOIN(", ",TRUE,IF(Z23="","ROE",""),IF(AA23="","매출성장률",""),IF(AB23="","이익수익률",""),IF(AC23="","12-1 수익률",""))</f>
        <v/>
      </c>
      <c r="AE23">
        <f>IF(A23="","",IF(AR23&lt;&gt;"","점수 없음(거름망)",IF(AD23="","채점","점수 없음(결측: "&amp;AD23&amp;")")))</f>
        <v/>
      </c>
      <c r="AF23">
        <f>IF(AE23="채점",1,"")</f>
        <v/>
      </c>
      <c r="AG23">
        <f>IF(AF23=1,Z23,"")</f>
        <v/>
      </c>
      <c r="AH23">
        <f>IF(AF23=1,AA23,"")</f>
        <v/>
      </c>
      <c r="AI23">
        <f>IF(AF23=1,AB23,"")</f>
        <v/>
      </c>
      <c r="AJ23">
        <f>IF(AF23=1,AC23,"")</f>
        <v/>
      </c>
      <c r="AK23">
        <f>IF(AF23=1,IF($B$3=1,50,(_xlfn.RANK.AVG(AG23,$AG$6:$AG$105,1)-1)/($B$3-1)*100),"")</f>
        <v/>
      </c>
      <c r="AL23">
        <f>IF(AF23=1,IF($B$3=1,50,(_xlfn.RANK.AVG(AH23,$AH$6:$AH$105,1)-1)/($B$3-1)*100),"")</f>
        <v/>
      </c>
      <c r="AM23">
        <f>IF(AF23=1,IF($B$3=1,50,(_xlfn.RANK.AVG(AI23,$AI$6:$AI$105,1)-1)/($B$3-1)*100),"")</f>
        <v/>
      </c>
      <c r="AN23">
        <f>IF(AF23=1,IF($B$3=1,50,(_xlfn.RANK.AVG(AJ23,$AJ$6:$AJ$105,1)-1)/($B$3-1)*100),"")</f>
        <v/>
      </c>
      <c r="AO23">
        <f>IF(AF23=1,ROUND(AVERAGE(AK23:AN23),6),"")</f>
        <v/>
      </c>
      <c r="AP23">
        <f>IF(AND(AF23=1,C23&lt;&gt;"Y"),R23,"")</f>
        <v/>
      </c>
      <c r="AQ23">
        <f>IF(AND(ISNUMBER(AP23),Q23="편입 후보"),AP23+(1000-ROW())/1000000,"")</f>
        <v/>
      </c>
      <c r="AR23">
        <f>IF(A23="","",_xlfn.TEXTJOIN(", ",TRUE,IF(D23="Y","금융·리츠",""),IF(NOT(ISNUMBER(I23)),"영업이익 없음",IF(I23&lt;=0,"영업적자","")),IF(OR(NOT(ISNUMBER(G23)),NOT(ISNUMBER(H23))),"부채비율 자료 없음",IF(G23&lt;=0,"자본잠식",IF(H23/G23&gt;'설정'!$B$8,"부채비율 초과",""))),IF(NOT(ISNUMBER(L23)),"시총 없음",IF(L23&lt;'설정'!$B$10,"시총 미달",""))))</f>
        <v/>
      </c>
    </row>
    <row r="24">
      <c r="A24" s="18" t="n"/>
      <c r="B24" s="19" t="n"/>
      <c r="C24" s="19" t="n"/>
      <c r="D24" s="19" t="n"/>
      <c r="E24" s="19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3" t="n"/>
      <c r="P24" s="23" t="n"/>
      <c r="Q24" s="7">
        <f>IF(A24="","",IF(C24="Y",IF(AF24=1,IF(AND(R24&lt;'설정'!$B$6,ISNUMBER($H$3)),IF(ROUND($H$3-R24,1)&gt;='설정'!$B$7,"교체 제안 → "&amp;$E$3&amp;" ("&amp;TEXT($H$3,"0.0")&amp;")","보유 유지"),"보유 유지"),"보유 · 점수 없음"),IF(AF24=1,IF(R24&gt;='설정'!$B$5,"편입 후보",""),"")))</f>
        <v/>
      </c>
      <c r="R24" s="15">
        <f>IF(AF24=1,ROUND(IF($B$3=1,50,(_xlfn.RANK.AVG(AO24,$AO$6:$AO$105,1)-1)/($B$3-1)*100),1),"")</f>
        <v/>
      </c>
      <c r="S24">
        <f>IF(A24="","",IF(AF24=1,_xlfn.TEXTJOIN(". ",TRUE,_xlfn.TEXTJOIN(", ",TRUE,IF(AK24&gt;='설정'!$B$20,"수익성 높음",""),IF(AL24&gt;='설정'!$B$20,"성장 빠름",""),IF(AM24&gt;='설정'!$B$20,"가격 쌈",""),IF(AN24&gt;='설정'!$B$20,"추세 좋음","")),_xlfn.TEXTJOIN(", ",TRUE,IF(AK24&lt;'설정'!$B$21,"수익성 낮음",""),IF(AL24&lt;'설정'!$B$21,"성장 느림",""),IF(AM24&lt;'설정'!$B$21,"가격 비쌈",""),IF(AN24&lt;'설정'!$B$21,"추세 약함","")),IF(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="","","보통: "&amp;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)),IF(X24="통과",AE24,X24)))</f>
        <v/>
      </c>
      <c r="T24">
        <f>IF(AF24=1,TEXT(Z24,"0.0%")&amp;" · 상위 "&amp;TEXT(($B$3-_xlfn.RANK.AVG(AG24,$AG$6:$AG$105,1)+1)/$B$3*100,"0")&amp;"%",IF(A24="","",IF(Z24="","결측",TEXT(Z24,"0.0%"))))</f>
        <v/>
      </c>
      <c r="U24">
        <f>IF(AF24=1,TEXT(AA24,"0.0%")&amp;" · 상위 "&amp;TEXT(($B$3-_xlfn.RANK.AVG(AH24,$AH$6:$AH$105,1)+1)/$B$3*100,"0")&amp;"%",IF(A24="","",IF(AA24="","결측",TEXT(AA24,"0.0%"))))</f>
        <v/>
      </c>
      <c r="V24">
        <f>IF(AF24=1,TEXT(AB24,"0.0%")&amp;" · 상위 "&amp;TEXT(($B$3-_xlfn.RANK.AVG(AI24,$AI$6:$AI$105,1)+1)/$B$3*100,"0")&amp;"%",IF(A24="","",IF(AB24="","결측",TEXT(AB24,"0.0%"))))</f>
        <v/>
      </c>
      <c r="W24">
        <f>IF(AF24=1,TEXT(AC24,"0.0%")&amp;" · 상위 "&amp;TEXT(($B$3-_xlfn.RANK.AVG(AJ24,$AJ$6:$AJ$105,1)+1)/$B$3*100,"0")&amp;"%",IF(A24="","",IF(AC24="","결측",TEXT(AC24,"0.0%"))))</f>
        <v/>
      </c>
      <c r="X24">
        <f>IF(A24="","",IF(AR24="","통과","제외: "&amp;AR24))</f>
        <v/>
      </c>
      <c r="Y24" s="21">
        <f>IF(AND(ISNUMBER(G24),ISNUMBER(H24)),IF(G24&gt;0,H24/G24,""),"")</f>
        <v/>
      </c>
      <c r="Z24" s="22">
        <f>IF(AND(ISNUMBER(F24),ISNUMBER(G24)),IF(G24&gt;0,F24/G24,""),"")</f>
        <v/>
      </c>
      <c r="AA24" s="22">
        <f>IF(AND(ISNUMBER(J24),ISNUMBER(K24)),IF(AND(J24&gt;0,K24&gt;0),(J24/K24)^(1/3)-1,""),"")</f>
        <v/>
      </c>
      <c r="AB24" s="22">
        <f>IF(AND(ISNUMBER(I24),ISNUMBER(L24),ISNUMBER(M24),ISNUMBER(N24)),IF((L24+M24-N24)&gt;0,I24/(L24+M24-N24),""),"")</f>
        <v/>
      </c>
      <c r="AC24" s="22">
        <f>IF(AND(ISNUMBER(O24),ISNUMBER(P24)),IF(AND(O24&gt;0,P24&gt;0),P24/O24-1,""),"")</f>
        <v/>
      </c>
      <c r="AD24">
        <f>_xlfn.TEXTJOIN(", ",TRUE,IF(Z24="","ROE",""),IF(AA24="","매출성장률",""),IF(AB24="","이익수익률",""),IF(AC24="","12-1 수익률",""))</f>
        <v/>
      </c>
      <c r="AE24">
        <f>IF(A24="","",IF(AR24&lt;&gt;"","점수 없음(거름망)",IF(AD24="","채점","점수 없음(결측: "&amp;AD24&amp;")")))</f>
        <v/>
      </c>
      <c r="AF24">
        <f>IF(AE24="채점",1,"")</f>
        <v/>
      </c>
      <c r="AG24">
        <f>IF(AF24=1,Z24,"")</f>
        <v/>
      </c>
      <c r="AH24">
        <f>IF(AF24=1,AA24,"")</f>
        <v/>
      </c>
      <c r="AI24">
        <f>IF(AF24=1,AB24,"")</f>
        <v/>
      </c>
      <c r="AJ24">
        <f>IF(AF24=1,AC24,"")</f>
        <v/>
      </c>
      <c r="AK24">
        <f>IF(AF24=1,IF($B$3=1,50,(_xlfn.RANK.AVG(AG24,$AG$6:$AG$105,1)-1)/($B$3-1)*100),"")</f>
        <v/>
      </c>
      <c r="AL24">
        <f>IF(AF24=1,IF($B$3=1,50,(_xlfn.RANK.AVG(AH24,$AH$6:$AH$105,1)-1)/($B$3-1)*100),"")</f>
        <v/>
      </c>
      <c r="AM24">
        <f>IF(AF24=1,IF($B$3=1,50,(_xlfn.RANK.AVG(AI24,$AI$6:$AI$105,1)-1)/($B$3-1)*100),"")</f>
        <v/>
      </c>
      <c r="AN24">
        <f>IF(AF24=1,IF($B$3=1,50,(_xlfn.RANK.AVG(AJ24,$AJ$6:$AJ$105,1)-1)/($B$3-1)*100),"")</f>
        <v/>
      </c>
      <c r="AO24">
        <f>IF(AF24=1,ROUND(AVERAGE(AK24:AN24),6),"")</f>
        <v/>
      </c>
      <c r="AP24">
        <f>IF(AND(AF24=1,C24&lt;&gt;"Y"),R24,"")</f>
        <v/>
      </c>
      <c r="AQ24">
        <f>IF(AND(ISNUMBER(AP24),Q24="편입 후보"),AP24+(1000-ROW())/1000000,"")</f>
        <v/>
      </c>
      <c r="AR24">
        <f>IF(A24="","",_xlfn.TEXTJOIN(", ",TRUE,IF(D24="Y","금융·리츠",""),IF(NOT(ISNUMBER(I24)),"영업이익 없음",IF(I24&lt;=0,"영업적자","")),IF(OR(NOT(ISNUMBER(G24)),NOT(ISNUMBER(H24))),"부채비율 자료 없음",IF(G24&lt;=0,"자본잠식",IF(H24/G24&gt;'설정'!$B$8,"부채비율 초과",""))),IF(NOT(ISNUMBER(L24)),"시총 없음",IF(L24&lt;'설정'!$B$10,"시총 미달",""))))</f>
        <v/>
      </c>
    </row>
    <row r="25">
      <c r="A25" s="18" t="n"/>
      <c r="B25" s="19" t="n"/>
      <c r="C25" s="19" t="n"/>
      <c r="D25" s="19" t="n"/>
      <c r="E25" s="19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3" t="n"/>
      <c r="P25" s="23" t="n"/>
      <c r="Q25" s="7">
        <f>IF(A25="","",IF(C25="Y",IF(AF25=1,IF(AND(R25&lt;'설정'!$B$6,ISNUMBER($H$3)),IF(ROUND($H$3-R25,1)&gt;='설정'!$B$7,"교체 제안 → "&amp;$E$3&amp;" ("&amp;TEXT($H$3,"0.0")&amp;")","보유 유지"),"보유 유지"),"보유 · 점수 없음"),IF(AF25=1,IF(R25&gt;='설정'!$B$5,"편입 후보",""),"")))</f>
        <v/>
      </c>
      <c r="R25" s="15">
        <f>IF(AF25=1,ROUND(IF($B$3=1,50,(_xlfn.RANK.AVG(AO25,$AO$6:$AO$105,1)-1)/($B$3-1)*100),1),"")</f>
        <v/>
      </c>
      <c r="S25">
        <f>IF(A25="","",IF(AF25=1,_xlfn.TEXTJOIN(". ",TRUE,_xlfn.TEXTJOIN(", ",TRUE,IF(AK25&gt;='설정'!$B$20,"수익성 높음",""),IF(AL25&gt;='설정'!$B$20,"성장 빠름",""),IF(AM25&gt;='설정'!$B$20,"가격 쌈",""),IF(AN25&gt;='설정'!$B$20,"추세 좋음","")),_xlfn.TEXTJOIN(", ",TRUE,IF(AK25&lt;'설정'!$B$21,"수익성 낮음",""),IF(AL25&lt;'설정'!$B$21,"성장 느림",""),IF(AM25&lt;'설정'!$B$21,"가격 비쌈",""),IF(AN25&lt;'설정'!$B$21,"추세 약함","")),IF(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="","","보통: "&amp;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)),IF(X25="통과",AE25,X25)))</f>
        <v/>
      </c>
      <c r="T25">
        <f>IF(AF25=1,TEXT(Z25,"0.0%")&amp;" · 상위 "&amp;TEXT(($B$3-_xlfn.RANK.AVG(AG25,$AG$6:$AG$105,1)+1)/$B$3*100,"0")&amp;"%",IF(A25="","",IF(Z25="","결측",TEXT(Z25,"0.0%"))))</f>
        <v/>
      </c>
      <c r="U25">
        <f>IF(AF25=1,TEXT(AA25,"0.0%")&amp;" · 상위 "&amp;TEXT(($B$3-_xlfn.RANK.AVG(AH25,$AH$6:$AH$105,1)+1)/$B$3*100,"0")&amp;"%",IF(A25="","",IF(AA25="","결측",TEXT(AA25,"0.0%"))))</f>
        <v/>
      </c>
      <c r="V25">
        <f>IF(AF25=1,TEXT(AB25,"0.0%")&amp;" · 상위 "&amp;TEXT(($B$3-_xlfn.RANK.AVG(AI25,$AI$6:$AI$105,1)+1)/$B$3*100,"0")&amp;"%",IF(A25="","",IF(AB25="","결측",TEXT(AB25,"0.0%"))))</f>
        <v/>
      </c>
      <c r="W25">
        <f>IF(AF25=1,TEXT(AC25,"0.0%")&amp;" · 상위 "&amp;TEXT(($B$3-_xlfn.RANK.AVG(AJ25,$AJ$6:$AJ$105,1)+1)/$B$3*100,"0")&amp;"%",IF(A25="","",IF(AC25="","결측",TEXT(AC25,"0.0%"))))</f>
        <v/>
      </c>
      <c r="X25">
        <f>IF(A25="","",IF(AR25="","통과","제외: "&amp;AR25))</f>
        <v/>
      </c>
      <c r="Y25" s="21">
        <f>IF(AND(ISNUMBER(G25),ISNUMBER(H25)),IF(G25&gt;0,H25/G25,""),"")</f>
        <v/>
      </c>
      <c r="Z25" s="22">
        <f>IF(AND(ISNUMBER(F25),ISNUMBER(G25)),IF(G25&gt;0,F25/G25,""),"")</f>
        <v/>
      </c>
      <c r="AA25" s="22">
        <f>IF(AND(ISNUMBER(J25),ISNUMBER(K25)),IF(AND(J25&gt;0,K25&gt;0),(J25/K25)^(1/3)-1,""),"")</f>
        <v/>
      </c>
      <c r="AB25" s="22">
        <f>IF(AND(ISNUMBER(I25),ISNUMBER(L25),ISNUMBER(M25),ISNUMBER(N25)),IF((L25+M25-N25)&gt;0,I25/(L25+M25-N25),""),"")</f>
        <v/>
      </c>
      <c r="AC25" s="22">
        <f>IF(AND(ISNUMBER(O25),ISNUMBER(P25)),IF(AND(O25&gt;0,P25&gt;0),P25/O25-1,""),"")</f>
        <v/>
      </c>
      <c r="AD25">
        <f>_xlfn.TEXTJOIN(", ",TRUE,IF(Z25="","ROE",""),IF(AA25="","매출성장률",""),IF(AB25="","이익수익률",""),IF(AC25="","12-1 수익률",""))</f>
        <v/>
      </c>
      <c r="AE25">
        <f>IF(A25="","",IF(AR25&lt;&gt;"","점수 없음(거름망)",IF(AD25="","채점","점수 없음(결측: "&amp;AD25&amp;")")))</f>
        <v/>
      </c>
      <c r="AF25">
        <f>IF(AE25="채점",1,"")</f>
        <v/>
      </c>
      <c r="AG25">
        <f>IF(AF25=1,Z25,"")</f>
        <v/>
      </c>
      <c r="AH25">
        <f>IF(AF25=1,AA25,"")</f>
        <v/>
      </c>
      <c r="AI25">
        <f>IF(AF25=1,AB25,"")</f>
        <v/>
      </c>
      <c r="AJ25">
        <f>IF(AF25=1,AC25,"")</f>
        <v/>
      </c>
      <c r="AK25">
        <f>IF(AF25=1,IF($B$3=1,50,(_xlfn.RANK.AVG(AG25,$AG$6:$AG$105,1)-1)/($B$3-1)*100),"")</f>
        <v/>
      </c>
      <c r="AL25">
        <f>IF(AF25=1,IF($B$3=1,50,(_xlfn.RANK.AVG(AH25,$AH$6:$AH$105,1)-1)/($B$3-1)*100),"")</f>
        <v/>
      </c>
      <c r="AM25">
        <f>IF(AF25=1,IF($B$3=1,50,(_xlfn.RANK.AVG(AI25,$AI$6:$AI$105,1)-1)/($B$3-1)*100),"")</f>
        <v/>
      </c>
      <c r="AN25">
        <f>IF(AF25=1,IF($B$3=1,50,(_xlfn.RANK.AVG(AJ25,$AJ$6:$AJ$105,1)-1)/($B$3-1)*100),"")</f>
        <v/>
      </c>
      <c r="AO25">
        <f>IF(AF25=1,ROUND(AVERAGE(AK25:AN25),6),"")</f>
        <v/>
      </c>
      <c r="AP25">
        <f>IF(AND(AF25=1,C25&lt;&gt;"Y"),R25,"")</f>
        <v/>
      </c>
      <c r="AQ25">
        <f>IF(AND(ISNUMBER(AP25),Q25="편입 후보"),AP25+(1000-ROW())/1000000,"")</f>
        <v/>
      </c>
      <c r="AR25">
        <f>IF(A25="","",_xlfn.TEXTJOIN(", ",TRUE,IF(D25="Y","금융·리츠",""),IF(NOT(ISNUMBER(I25)),"영업이익 없음",IF(I25&lt;=0,"영업적자","")),IF(OR(NOT(ISNUMBER(G25)),NOT(ISNUMBER(H25))),"부채비율 자료 없음",IF(G25&lt;=0,"자본잠식",IF(H25/G25&gt;'설정'!$B$8,"부채비율 초과",""))),IF(NOT(ISNUMBER(L25)),"시총 없음",IF(L25&lt;'설정'!$B$10,"시총 미달",""))))</f>
        <v/>
      </c>
    </row>
    <row r="26">
      <c r="A26" s="18" t="n"/>
      <c r="B26" s="19" t="n"/>
      <c r="C26" s="19" t="n"/>
      <c r="D26" s="19" t="n"/>
      <c r="E26" s="19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3" t="n"/>
      <c r="P26" s="23" t="n"/>
      <c r="Q26" s="7">
        <f>IF(A26="","",IF(C26="Y",IF(AF26=1,IF(AND(R26&lt;'설정'!$B$6,ISNUMBER($H$3)),IF(ROUND($H$3-R26,1)&gt;='설정'!$B$7,"교체 제안 → "&amp;$E$3&amp;" ("&amp;TEXT($H$3,"0.0")&amp;")","보유 유지"),"보유 유지"),"보유 · 점수 없음"),IF(AF26=1,IF(R26&gt;='설정'!$B$5,"편입 후보",""),"")))</f>
        <v/>
      </c>
      <c r="R26" s="15">
        <f>IF(AF26=1,ROUND(IF($B$3=1,50,(_xlfn.RANK.AVG(AO26,$AO$6:$AO$105,1)-1)/($B$3-1)*100),1),"")</f>
        <v/>
      </c>
      <c r="S26">
        <f>IF(A26="","",IF(AF26=1,_xlfn.TEXTJOIN(". ",TRUE,_xlfn.TEXTJOIN(", ",TRUE,IF(AK26&gt;='설정'!$B$20,"수익성 높음",""),IF(AL26&gt;='설정'!$B$20,"성장 빠름",""),IF(AM26&gt;='설정'!$B$20,"가격 쌈",""),IF(AN26&gt;='설정'!$B$20,"추세 좋음","")),_xlfn.TEXTJOIN(", ",TRUE,IF(AK26&lt;'설정'!$B$21,"수익성 낮음",""),IF(AL26&lt;'설정'!$B$21,"성장 느림",""),IF(AM26&lt;'설정'!$B$21,"가격 비쌈",""),IF(AN26&lt;'설정'!$B$21,"추세 약함","")),IF(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="","","보통: "&amp;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)),IF(X26="통과",AE26,X26)))</f>
        <v/>
      </c>
      <c r="T26">
        <f>IF(AF26=1,TEXT(Z26,"0.0%")&amp;" · 상위 "&amp;TEXT(($B$3-_xlfn.RANK.AVG(AG26,$AG$6:$AG$105,1)+1)/$B$3*100,"0")&amp;"%",IF(A26="","",IF(Z26="","결측",TEXT(Z26,"0.0%"))))</f>
        <v/>
      </c>
      <c r="U26">
        <f>IF(AF26=1,TEXT(AA26,"0.0%")&amp;" · 상위 "&amp;TEXT(($B$3-_xlfn.RANK.AVG(AH26,$AH$6:$AH$105,1)+1)/$B$3*100,"0")&amp;"%",IF(A26="","",IF(AA26="","결측",TEXT(AA26,"0.0%"))))</f>
        <v/>
      </c>
      <c r="V26">
        <f>IF(AF26=1,TEXT(AB26,"0.0%")&amp;" · 상위 "&amp;TEXT(($B$3-_xlfn.RANK.AVG(AI26,$AI$6:$AI$105,1)+1)/$B$3*100,"0")&amp;"%",IF(A26="","",IF(AB26="","결측",TEXT(AB26,"0.0%"))))</f>
        <v/>
      </c>
      <c r="W26">
        <f>IF(AF26=1,TEXT(AC26,"0.0%")&amp;" · 상위 "&amp;TEXT(($B$3-_xlfn.RANK.AVG(AJ26,$AJ$6:$AJ$105,1)+1)/$B$3*100,"0")&amp;"%",IF(A26="","",IF(AC26="","결측",TEXT(AC26,"0.0%"))))</f>
        <v/>
      </c>
      <c r="X26">
        <f>IF(A26="","",IF(AR26="","통과","제외: "&amp;AR26))</f>
        <v/>
      </c>
      <c r="Y26" s="21">
        <f>IF(AND(ISNUMBER(G26),ISNUMBER(H26)),IF(G26&gt;0,H26/G26,""),"")</f>
        <v/>
      </c>
      <c r="Z26" s="22">
        <f>IF(AND(ISNUMBER(F26),ISNUMBER(G26)),IF(G26&gt;0,F26/G26,""),"")</f>
        <v/>
      </c>
      <c r="AA26" s="22">
        <f>IF(AND(ISNUMBER(J26),ISNUMBER(K26)),IF(AND(J26&gt;0,K26&gt;0),(J26/K26)^(1/3)-1,""),"")</f>
        <v/>
      </c>
      <c r="AB26" s="22">
        <f>IF(AND(ISNUMBER(I26),ISNUMBER(L26),ISNUMBER(M26),ISNUMBER(N26)),IF((L26+M26-N26)&gt;0,I26/(L26+M26-N26),""),"")</f>
        <v/>
      </c>
      <c r="AC26" s="22">
        <f>IF(AND(ISNUMBER(O26),ISNUMBER(P26)),IF(AND(O26&gt;0,P26&gt;0),P26/O26-1,""),"")</f>
        <v/>
      </c>
      <c r="AD26">
        <f>_xlfn.TEXTJOIN(", ",TRUE,IF(Z26="","ROE",""),IF(AA26="","매출성장률",""),IF(AB26="","이익수익률",""),IF(AC26="","12-1 수익률",""))</f>
        <v/>
      </c>
      <c r="AE26">
        <f>IF(A26="","",IF(AR26&lt;&gt;"","점수 없음(거름망)",IF(AD26="","채점","점수 없음(결측: "&amp;AD26&amp;")")))</f>
        <v/>
      </c>
      <c r="AF26">
        <f>IF(AE26="채점",1,"")</f>
        <v/>
      </c>
      <c r="AG26">
        <f>IF(AF26=1,Z26,"")</f>
        <v/>
      </c>
      <c r="AH26">
        <f>IF(AF26=1,AA26,"")</f>
        <v/>
      </c>
      <c r="AI26">
        <f>IF(AF26=1,AB26,"")</f>
        <v/>
      </c>
      <c r="AJ26">
        <f>IF(AF26=1,AC26,"")</f>
        <v/>
      </c>
      <c r="AK26">
        <f>IF(AF26=1,IF($B$3=1,50,(_xlfn.RANK.AVG(AG26,$AG$6:$AG$105,1)-1)/($B$3-1)*100),"")</f>
        <v/>
      </c>
      <c r="AL26">
        <f>IF(AF26=1,IF($B$3=1,50,(_xlfn.RANK.AVG(AH26,$AH$6:$AH$105,1)-1)/($B$3-1)*100),"")</f>
        <v/>
      </c>
      <c r="AM26">
        <f>IF(AF26=1,IF($B$3=1,50,(_xlfn.RANK.AVG(AI26,$AI$6:$AI$105,1)-1)/($B$3-1)*100),"")</f>
        <v/>
      </c>
      <c r="AN26">
        <f>IF(AF26=1,IF($B$3=1,50,(_xlfn.RANK.AVG(AJ26,$AJ$6:$AJ$105,1)-1)/($B$3-1)*100),"")</f>
        <v/>
      </c>
      <c r="AO26">
        <f>IF(AF26=1,ROUND(AVERAGE(AK26:AN26),6),"")</f>
        <v/>
      </c>
      <c r="AP26">
        <f>IF(AND(AF26=1,C26&lt;&gt;"Y"),R26,"")</f>
        <v/>
      </c>
      <c r="AQ26">
        <f>IF(AND(ISNUMBER(AP26),Q26="편입 후보"),AP26+(1000-ROW())/1000000,"")</f>
        <v/>
      </c>
      <c r="AR26">
        <f>IF(A26="","",_xlfn.TEXTJOIN(", ",TRUE,IF(D26="Y","금융·리츠",""),IF(NOT(ISNUMBER(I26)),"영업이익 없음",IF(I26&lt;=0,"영업적자","")),IF(OR(NOT(ISNUMBER(G26)),NOT(ISNUMBER(H26))),"부채비율 자료 없음",IF(G26&lt;=0,"자본잠식",IF(H26/G26&gt;'설정'!$B$8,"부채비율 초과",""))),IF(NOT(ISNUMBER(L26)),"시총 없음",IF(L26&lt;'설정'!$B$10,"시총 미달",""))))</f>
        <v/>
      </c>
    </row>
    <row r="27">
      <c r="A27" s="18" t="n"/>
      <c r="B27" s="19" t="n"/>
      <c r="C27" s="19" t="n"/>
      <c r="D27" s="19" t="n"/>
      <c r="E27" s="19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3" t="n"/>
      <c r="P27" s="23" t="n"/>
      <c r="Q27" s="7">
        <f>IF(A27="","",IF(C27="Y",IF(AF27=1,IF(AND(R27&lt;'설정'!$B$6,ISNUMBER($H$3)),IF(ROUND($H$3-R27,1)&gt;='설정'!$B$7,"교체 제안 → "&amp;$E$3&amp;" ("&amp;TEXT($H$3,"0.0")&amp;")","보유 유지"),"보유 유지"),"보유 · 점수 없음"),IF(AF27=1,IF(R27&gt;='설정'!$B$5,"편입 후보",""),"")))</f>
        <v/>
      </c>
      <c r="R27" s="15">
        <f>IF(AF27=1,ROUND(IF($B$3=1,50,(_xlfn.RANK.AVG(AO27,$AO$6:$AO$105,1)-1)/($B$3-1)*100),1),"")</f>
        <v/>
      </c>
      <c r="S27">
        <f>IF(A27="","",IF(AF27=1,_xlfn.TEXTJOIN(". ",TRUE,_xlfn.TEXTJOIN(", ",TRUE,IF(AK27&gt;='설정'!$B$20,"수익성 높음",""),IF(AL27&gt;='설정'!$B$20,"성장 빠름",""),IF(AM27&gt;='설정'!$B$20,"가격 쌈",""),IF(AN27&gt;='설정'!$B$20,"추세 좋음","")),_xlfn.TEXTJOIN(", ",TRUE,IF(AK27&lt;'설정'!$B$21,"수익성 낮음",""),IF(AL27&lt;'설정'!$B$21,"성장 느림",""),IF(AM27&lt;'설정'!$B$21,"가격 비쌈",""),IF(AN27&lt;'설정'!$B$21,"추세 약함","")),IF(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="","","보통: "&amp;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)),IF(X27="통과",AE27,X27)))</f>
        <v/>
      </c>
      <c r="T27">
        <f>IF(AF27=1,TEXT(Z27,"0.0%")&amp;" · 상위 "&amp;TEXT(($B$3-_xlfn.RANK.AVG(AG27,$AG$6:$AG$105,1)+1)/$B$3*100,"0")&amp;"%",IF(A27="","",IF(Z27="","결측",TEXT(Z27,"0.0%"))))</f>
        <v/>
      </c>
      <c r="U27">
        <f>IF(AF27=1,TEXT(AA27,"0.0%")&amp;" · 상위 "&amp;TEXT(($B$3-_xlfn.RANK.AVG(AH27,$AH$6:$AH$105,1)+1)/$B$3*100,"0")&amp;"%",IF(A27="","",IF(AA27="","결측",TEXT(AA27,"0.0%"))))</f>
        <v/>
      </c>
      <c r="V27">
        <f>IF(AF27=1,TEXT(AB27,"0.0%")&amp;" · 상위 "&amp;TEXT(($B$3-_xlfn.RANK.AVG(AI27,$AI$6:$AI$105,1)+1)/$B$3*100,"0")&amp;"%",IF(A27="","",IF(AB27="","결측",TEXT(AB27,"0.0%"))))</f>
        <v/>
      </c>
      <c r="W27">
        <f>IF(AF27=1,TEXT(AC27,"0.0%")&amp;" · 상위 "&amp;TEXT(($B$3-_xlfn.RANK.AVG(AJ27,$AJ$6:$AJ$105,1)+1)/$B$3*100,"0")&amp;"%",IF(A27="","",IF(AC27="","결측",TEXT(AC27,"0.0%"))))</f>
        <v/>
      </c>
      <c r="X27">
        <f>IF(A27="","",IF(AR27="","통과","제외: "&amp;AR27))</f>
        <v/>
      </c>
      <c r="Y27" s="21">
        <f>IF(AND(ISNUMBER(G27),ISNUMBER(H27)),IF(G27&gt;0,H27/G27,""),"")</f>
        <v/>
      </c>
      <c r="Z27" s="22">
        <f>IF(AND(ISNUMBER(F27),ISNUMBER(G27)),IF(G27&gt;0,F27/G27,""),"")</f>
        <v/>
      </c>
      <c r="AA27" s="22">
        <f>IF(AND(ISNUMBER(J27),ISNUMBER(K27)),IF(AND(J27&gt;0,K27&gt;0),(J27/K27)^(1/3)-1,""),"")</f>
        <v/>
      </c>
      <c r="AB27" s="22">
        <f>IF(AND(ISNUMBER(I27),ISNUMBER(L27),ISNUMBER(M27),ISNUMBER(N27)),IF((L27+M27-N27)&gt;0,I27/(L27+M27-N27),""),"")</f>
        <v/>
      </c>
      <c r="AC27" s="22">
        <f>IF(AND(ISNUMBER(O27),ISNUMBER(P27)),IF(AND(O27&gt;0,P27&gt;0),P27/O27-1,""),"")</f>
        <v/>
      </c>
      <c r="AD27">
        <f>_xlfn.TEXTJOIN(", ",TRUE,IF(Z27="","ROE",""),IF(AA27="","매출성장률",""),IF(AB27="","이익수익률",""),IF(AC27="","12-1 수익률",""))</f>
        <v/>
      </c>
      <c r="AE27">
        <f>IF(A27="","",IF(AR27&lt;&gt;"","점수 없음(거름망)",IF(AD27="","채점","점수 없음(결측: "&amp;AD27&amp;")")))</f>
        <v/>
      </c>
      <c r="AF27">
        <f>IF(AE27="채점",1,"")</f>
        <v/>
      </c>
      <c r="AG27">
        <f>IF(AF27=1,Z27,"")</f>
        <v/>
      </c>
      <c r="AH27">
        <f>IF(AF27=1,AA27,"")</f>
        <v/>
      </c>
      <c r="AI27">
        <f>IF(AF27=1,AB27,"")</f>
        <v/>
      </c>
      <c r="AJ27">
        <f>IF(AF27=1,AC27,"")</f>
        <v/>
      </c>
      <c r="AK27">
        <f>IF(AF27=1,IF($B$3=1,50,(_xlfn.RANK.AVG(AG27,$AG$6:$AG$105,1)-1)/($B$3-1)*100),"")</f>
        <v/>
      </c>
      <c r="AL27">
        <f>IF(AF27=1,IF($B$3=1,50,(_xlfn.RANK.AVG(AH27,$AH$6:$AH$105,1)-1)/($B$3-1)*100),"")</f>
        <v/>
      </c>
      <c r="AM27">
        <f>IF(AF27=1,IF($B$3=1,50,(_xlfn.RANK.AVG(AI27,$AI$6:$AI$105,1)-1)/($B$3-1)*100),"")</f>
        <v/>
      </c>
      <c r="AN27">
        <f>IF(AF27=1,IF($B$3=1,50,(_xlfn.RANK.AVG(AJ27,$AJ$6:$AJ$105,1)-1)/($B$3-1)*100),"")</f>
        <v/>
      </c>
      <c r="AO27">
        <f>IF(AF27=1,ROUND(AVERAGE(AK27:AN27),6),"")</f>
        <v/>
      </c>
      <c r="AP27">
        <f>IF(AND(AF27=1,C27&lt;&gt;"Y"),R27,"")</f>
        <v/>
      </c>
      <c r="AQ27">
        <f>IF(AND(ISNUMBER(AP27),Q27="편입 후보"),AP27+(1000-ROW())/1000000,"")</f>
        <v/>
      </c>
      <c r="AR27">
        <f>IF(A27="","",_xlfn.TEXTJOIN(", ",TRUE,IF(D27="Y","금융·리츠",""),IF(NOT(ISNUMBER(I27)),"영업이익 없음",IF(I27&lt;=0,"영업적자","")),IF(OR(NOT(ISNUMBER(G27)),NOT(ISNUMBER(H27))),"부채비율 자료 없음",IF(G27&lt;=0,"자본잠식",IF(H27/G27&gt;'설정'!$B$8,"부채비율 초과",""))),IF(NOT(ISNUMBER(L27)),"시총 없음",IF(L27&lt;'설정'!$B$10,"시총 미달",""))))</f>
        <v/>
      </c>
    </row>
    <row r="28">
      <c r="A28" s="18" t="n"/>
      <c r="B28" s="19" t="n"/>
      <c r="C28" s="19" t="n"/>
      <c r="D28" s="19" t="n"/>
      <c r="E28" s="19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3" t="n"/>
      <c r="P28" s="23" t="n"/>
      <c r="Q28" s="7">
        <f>IF(A28="","",IF(C28="Y",IF(AF28=1,IF(AND(R28&lt;'설정'!$B$6,ISNUMBER($H$3)),IF(ROUND($H$3-R28,1)&gt;='설정'!$B$7,"교체 제안 → "&amp;$E$3&amp;" ("&amp;TEXT($H$3,"0.0")&amp;")","보유 유지"),"보유 유지"),"보유 · 점수 없음"),IF(AF28=1,IF(R28&gt;='설정'!$B$5,"편입 후보",""),"")))</f>
        <v/>
      </c>
      <c r="R28" s="15">
        <f>IF(AF28=1,ROUND(IF($B$3=1,50,(_xlfn.RANK.AVG(AO28,$AO$6:$AO$105,1)-1)/($B$3-1)*100),1),"")</f>
        <v/>
      </c>
      <c r="S28">
        <f>IF(A28="","",IF(AF28=1,_xlfn.TEXTJOIN(". ",TRUE,_xlfn.TEXTJOIN(", ",TRUE,IF(AK28&gt;='설정'!$B$20,"수익성 높음",""),IF(AL28&gt;='설정'!$B$20,"성장 빠름",""),IF(AM28&gt;='설정'!$B$20,"가격 쌈",""),IF(AN28&gt;='설정'!$B$20,"추세 좋음","")),_xlfn.TEXTJOIN(", ",TRUE,IF(AK28&lt;'설정'!$B$21,"수익성 낮음",""),IF(AL28&lt;'설정'!$B$21,"성장 느림",""),IF(AM28&lt;'설정'!$B$21,"가격 비쌈",""),IF(AN28&lt;'설정'!$B$21,"추세 약함","")),IF(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="","","보통: "&amp;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)),IF(X28="통과",AE28,X28)))</f>
        <v/>
      </c>
      <c r="T28">
        <f>IF(AF28=1,TEXT(Z28,"0.0%")&amp;" · 상위 "&amp;TEXT(($B$3-_xlfn.RANK.AVG(AG28,$AG$6:$AG$105,1)+1)/$B$3*100,"0")&amp;"%",IF(A28="","",IF(Z28="","결측",TEXT(Z28,"0.0%"))))</f>
        <v/>
      </c>
      <c r="U28">
        <f>IF(AF28=1,TEXT(AA28,"0.0%")&amp;" · 상위 "&amp;TEXT(($B$3-_xlfn.RANK.AVG(AH28,$AH$6:$AH$105,1)+1)/$B$3*100,"0")&amp;"%",IF(A28="","",IF(AA28="","결측",TEXT(AA28,"0.0%"))))</f>
        <v/>
      </c>
      <c r="V28">
        <f>IF(AF28=1,TEXT(AB28,"0.0%")&amp;" · 상위 "&amp;TEXT(($B$3-_xlfn.RANK.AVG(AI28,$AI$6:$AI$105,1)+1)/$B$3*100,"0")&amp;"%",IF(A28="","",IF(AB28="","결측",TEXT(AB28,"0.0%"))))</f>
        <v/>
      </c>
      <c r="W28">
        <f>IF(AF28=1,TEXT(AC28,"0.0%")&amp;" · 상위 "&amp;TEXT(($B$3-_xlfn.RANK.AVG(AJ28,$AJ$6:$AJ$105,1)+1)/$B$3*100,"0")&amp;"%",IF(A28="","",IF(AC28="","결측",TEXT(AC28,"0.0%"))))</f>
        <v/>
      </c>
      <c r="X28">
        <f>IF(A28="","",IF(AR28="","통과","제외: "&amp;AR28))</f>
        <v/>
      </c>
      <c r="Y28" s="21">
        <f>IF(AND(ISNUMBER(G28),ISNUMBER(H28)),IF(G28&gt;0,H28/G28,""),"")</f>
        <v/>
      </c>
      <c r="Z28" s="22">
        <f>IF(AND(ISNUMBER(F28),ISNUMBER(G28)),IF(G28&gt;0,F28/G28,""),"")</f>
        <v/>
      </c>
      <c r="AA28" s="22">
        <f>IF(AND(ISNUMBER(J28),ISNUMBER(K28)),IF(AND(J28&gt;0,K28&gt;0),(J28/K28)^(1/3)-1,""),"")</f>
        <v/>
      </c>
      <c r="AB28" s="22">
        <f>IF(AND(ISNUMBER(I28),ISNUMBER(L28),ISNUMBER(M28),ISNUMBER(N28)),IF((L28+M28-N28)&gt;0,I28/(L28+M28-N28),""),"")</f>
        <v/>
      </c>
      <c r="AC28" s="22">
        <f>IF(AND(ISNUMBER(O28),ISNUMBER(P28)),IF(AND(O28&gt;0,P28&gt;0),P28/O28-1,""),"")</f>
        <v/>
      </c>
      <c r="AD28">
        <f>_xlfn.TEXTJOIN(", ",TRUE,IF(Z28="","ROE",""),IF(AA28="","매출성장률",""),IF(AB28="","이익수익률",""),IF(AC28="","12-1 수익률",""))</f>
        <v/>
      </c>
      <c r="AE28">
        <f>IF(A28="","",IF(AR28&lt;&gt;"","점수 없음(거름망)",IF(AD28="","채점","점수 없음(결측: "&amp;AD28&amp;")")))</f>
        <v/>
      </c>
      <c r="AF28">
        <f>IF(AE28="채점",1,"")</f>
        <v/>
      </c>
      <c r="AG28">
        <f>IF(AF28=1,Z28,"")</f>
        <v/>
      </c>
      <c r="AH28">
        <f>IF(AF28=1,AA28,"")</f>
        <v/>
      </c>
      <c r="AI28">
        <f>IF(AF28=1,AB28,"")</f>
        <v/>
      </c>
      <c r="AJ28">
        <f>IF(AF28=1,AC28,"")</f>
        <v/>
      </c>
      <c r="AK28">
        <f>IF(AF28=1,IF($B$3=1,50,(_xlfn.RANK.AVG(AG28,$AG$6:$AG$105,1)-1)/($B$3-1)*100),"")</f>
        <v/>
      </c>
      <c r="AL28">
        <f>IF(AF28=1,IF($B$3=1,50,(_xlfn.RANK.AVG(AH28,$AH$6:$AH$105,1)-1)/($B$3-1)*100),"")</f>
        <v/>
      </c>
      <c r="AM28">
        <f>IF(AF28=1,IF($B$3=1,50,(_xlfn.RANK.AVG(AI28,$AI$6:$AI$105,1)-1)/($B$3-1)*100),"")</f>
        <v/>
      </c>
      <c r="AN28">
        <f>IF(AF28=1,IF($B$3=1,50,(_xlfn.RANK.AVG(AJ28,$AJ$6:$AJ$105,1)-1)/($B$3-1)*100),"")</f>
        <v/>
      </c>
      <c r="AO28">
        <f>IF(AF28=1,ROUND(AVERAGE(AK28:AN28),6),"")</f>
        <v/>
      </c>
      <c r="AP28">
        <f>IF(AND(AF28=1,C28&lt;&gt;"Y"),R28,"")</f>
        <v/>
      </c>
      <c r="AQ28">
        <f>IF(AND(ISNUMBER(AP28),Q28="편입 후보"),AP28+(1000-ROW())/1000000,"")</f>
        <v/>
      </c>
      <c r="AR28">
        <f>IF(A28="","",_xlfn.TEXTJOIN(", ",TRUE,IF(D28="Y","금융·리츠",""),IF(NOT(ISNUMBER(I28)),"영업이익 없음",IF(I28&lt;=0,"영업적자","")),IF(OR(NOT(ISNUMBER(G28)),NOT(ISNUMBER(H28))),"부채비율 자료 없음",IF(G28&lt;=0,"자본잠식",IF(H28/G28&gt;'설정'!$B$8,"부채비율 초과",""))),IF(NOT(ISNUMBER(L28)),"시총 없음",IF(L28&lt;'설정'!$B$10,"시총 미달",""))))</f>
        <v/>
      </c>
    </row>
    <row r="29">
      <c r="A29" s="18" t="n"/>
      <c r="B29" s="19" t="n"/>
      <c r="C29" s="19" t="n"/>
      <c r="D29" s="19" t="n"/>
      <c r="E29" s="19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3" t="n"/>
      <c r="P29" s="23" t="n"/>
      <c r="Q29" s="7">
        <f>IF(A29="","",IF(C29="Y",IF(AF29=1,IF(AND(R29&lt;'설정'!$B$6,ISNUMBER($H$3)),IF(ROUND($H$3-R29,1)&gt;='설정'!$B$7,"교체 제안 → "&amp;$E$3&amp;" ("&amp;TEXT($H$3,"0.0")&amp;")","보유 유지"),"보유 유지"),"보유 · 점수 없음"),IF(AF29=1,IF(R29&gt;='설정'!$B$5,"편입 후보",""),"")))</f>
        <v/>
      </c>
      <c r="R29" s="15">
        <f>IF(AF29=1,ROUND(IF($B$3=1,50,(_xlfn.RANK.AVG(AO29,$AO$6:$AO$105,1)-1)/($B$3-1)*100),1),"")</f>
        <v/>
      </c>
      <c r="S29">
        <f>IF(A29="","",IF(AF29=1,_xlfn.TEXTJOIN(". ",TRUE,_xlfn.TEXTJOIN(", ",TRUE,IF(AK29&gt;='설정'!$B$20,"수익성 높음",""),IF(AL29&gt;='설정'!$B$20,"성장 빠름",""),IF(AM29&gt;='설정'!$B$20,"가격 쌈",""),IF(AN29&gt;='설정'!$B$20,"추세 좋음","")),_xlfn.TEXTJOIN(", ",TRUE,IF(AK29&lt;'설정'!$B$21,"수익성 낮음",""),IF(AL29&lt;'설정'!$B$21,"성장 느림",""),IF(AM29&lt;'설정'!$B$21,"가격 비쌈",""),IF(AN29&lt;'설정'!$B$21,"추세 약함","")),IF(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="","","보통: "&amp;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)),IF(X29="통과",AE29,X29)))</f>
        <v/>
      </c>
      <c r="T29">
        <f>IF(AF29=1,TEXT(Z29,"0.0%")&amp;" · 상위 "&amp;TEXT(($B$3-_xlfn.RANK.AVG(AG29,$AG$6:$AG$105,1)+1)/$B$3*100,"0")&amp;"%",IF(A29="","",IF(Z29="","결측",TEXT(Z29,"0.0%"))))</f>
        <v/>
      </c>
      <c r="U29">
        <f>IF(AF29=1,TEXT(AA29,"0.0%")&amp;" · 상위 "&amp;TEXT(($B$3-_xlfn.RANK.AVG(AH29,$AH$6:$AH$105,1)+1)/$B$3*100,"0")&amp;"%",IF(A29="","",IF(AA29="","결측",TEXT(AA29,"0.0%"))))</f>
        <v/>
      </c>
      <c r="V29">
        <f>IF(AF29=1,TEXT(AB29,"0.0%")&amp;" · 상위 "&amp;TEXT(($B$3-_xlfn.RANK.AVG(AI29,$AI$6:$AI$105,1)+1)/$B$3*100,"0")&amp;"%",IF(A29="","",IF(AB29="","결측",TEXT(AB29,"0.0%"))))</f>
        <v/>
      </c>
      <c r="W29">
        <f>IF(AF29=1,TEXT(AC29,"0.0%")&amp;" · 상위 "&amp;TEXT(($B$3-_xlfn.RANK.AVG(AJ29,$AJ$6:$AJ$105,1)+1)/$B$3*100,"0")&amp;"%",IF(A29="","",IF(AC29="","결측",TEXT(AC29,"0.0%"))))</f>
        <v/>
      </c>
      <c r="X29">
        <f>IF(A29="","",IF(AR29="","통과","제외: "&amp;AR29))</f>
        <v/>
      </c>
      <c r="Y29" s="21">
        <f>IF(AND(ISNUMBER(G29),ISNUMBER(H29)),IF(G29&gt;0,H29/G29,""),"")</f>
        <v/>
      </c>
      <c r="Z29" s="22">
        <f>IF(AND(ISNUMBER(F29),ISNUMBER(G29)),IF(G29&gt;0,F29/G29,""),"")</f>
        <v/>
      </c>
      <c r="AA29" s="22">
        <f>IF(AND(ISNUMBER(J29),ISNUMBER(K29)),IF(AND(J29&gt;0,K29&gt;0),(J29/K29)^(1/3)-1,""),"")</f>
        <v/>
      </c>
      <c r="AB29" s="22">
        <f>IF(AND(ISNUMBER(I29),ISNUMBER(L29),ISNUMBER(M29),ISNUMBER(N29)),IF((L29+M29-N29)&gt;0,I29/(L29+M29-N29),""),"")</f>
        <v/>
      </c>
      <c r="AC29" s="22">
        <f>IF(AND(ISNUMBER(O29),ISNUMBER(P29)),IF(AND(O29&gt;0,P29&gt;0),P29/O29-1,""),"")</f>
        <v/>
      </c>
      <c r="AD29">
        <f>_xlfn.TEXTJOIN(", ",TRUE,IF(Z29="","ROE",""),IF(AA29="","매출성장률",""),IF(AB29="","이익수익률",""),IF(AC29="","12-1 수익률",""))</f>
        <v/>
      </c>
      <c r="AE29">
        <f>IF(A29="","",IF(AR29&lt;&gt;"","점수 없음(거름망)",IF(AD29="","채점","점수 없음(결측: "&amp;AD29&amp;")")))</f>
        <v/>
      </c>
      <c r="AF29">
        <f>IF(AE29="채점",1,"")</f>
        <v/>
      </c>
      <c r="AG29">
        <f>IF(AF29=1,Z29,"")</f>
        <v/>
      </c>
      <c r="AH29">
        <f>IF(AF29=1,AA29,"")</f>
        <v/>
      </c>
      <c r="AI29">
        <f>IF(AF29=1,AB29,"")</f>
        <v/>
      </c>
      <c r="AJ29">
        <f>IF(AF29=1,AC29,"")</f>
        <v/>
      </c>
      <c r="AK29">
        <f>IF(AF29=1,IF($B$3=1,50,(_xlfn.RANK.AVG(AG29,$AG$6:$AG$105,1)-1)/($B$3-1)*100),"")</f>
        <v/>
      </c>
      <c r="AL29">
        <f>IF(AF29=1,IF($B$3=1,50,(_xlfn.RANK.AVG(AH29,$AH$6:$AH$105,1)-1)/($B$3-1)*100),"")</f>
        <v/>
      </c>
      <c r="AM29">
        <f>IF(AF29=1,IF($B$3=1,50,(_xlfn.RANK.AVG(AI29,$AI$6:$AI$105,1)-1)/($B$3-1)*100),"")</f>
        <v/>
      </c>
      <c r="AN29">
        <f>IF(AF29=1,IF($B$3=1,50,(_xlfn.RANK.AVG(AJ29,$AJ$6:$AJ$105,1)-1)/($B$3-1)*100),"")</f>
        <v/>
      </c>
      <c r="AO29">
        <f>IF(AF29=1,ROUND(AVERAGE(AK29:AN29),6),"")</f>
        <v/>
      </c>
      <c r="AP29">
        <f>IF(AND(AF29=1,C29&lt;&gt;"Y"),R29,"")</f>
        <v/>
      </c>
      <c r="AQ29">
        <f>IF(AND(ISNUMBER(AP29),Q29="편입 후보"),AP29+(1000-ROW())/1000000,"")</f>
        <v/>
      </c>
      <c r="AR29">
        <f>IF(A29="","",_xlfn.TEXTJOIN(", ",TRUE,IF(D29="Y","금융·리츠",""),IF(NOT(ISNUMBER(I29)),"영업이익 없음",IF(I29&lt;=0,"영업적자","")),IF(OR(NOT(ISNUMBER(G29)),NOT(ISNUMBER(H29))),"부채비율 자료 없음",IF(G29&lt;=0,"자본잠식",IF(H29/G29&gt;'설정'!$B$8,"부채비율 초과",""))),IF(NOT(ISNUMBER(L29)),"시총 없음",IF(L29&lt;'설정'!$B$10,"시총 미달",""))))</f>
        <v/>
      </c>
    </row>
    <row r="30">
      <c r="A30" s="18" t="n"/>
      <c r="B30" s="19" t="n"/>
      <c r="C30" s="19" t="n"/>
      <c r="D30" s="19" t="n"/>
      <c r="E30" s="19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3" t="n"/>
      <c r="P30" s="23" t="n"/>
      <c r="Q30" s="7">
        <f>IF(A30="","",IF(C30="Y",IF(AF30=1,IF(AND(R30&lt;'설정'!$B$6,ISNUMBER($H$3)),IF(ROUND($H$3-R30,1)&gt;='설정'!$B$7,"교체 제안 → "&amp;$E$3&amp;" ("&amp;TEXT($H$3,"0.0")&amp;")","보유 유지"),"보유 유지"),"보유 · 점수 없음"),IF(AF30=1,IF(R30&gt;='설정'!$B$5,"편입 후보",""),"")))</f>
        <v/>
      </c>
      <c r="R30" s="15">
        <f>IF(AF30=1,ROUND(IF($B$3=1,50,(_xlfn.RANK.AVG(AO30,$AO$6:$AO$105,1)-1)/($B$3-1)*100),1),"")</f>
        <v/>
      </c>
      <c r="S30">
        <f>IF(A30="","",IF(AF30=1,_xlfn.TEXTJOIN(". ",TRUE,_xlfn.TEXTJOIN(", ",TRUE,IF(AK30&gt;='설정'!$B$20,"수익성 높음",""),IF(AL30&gt;='설정'!$B$20,"성장 빠름",""),IF(AM30&gt;='설정'!$B$20,"가격 쌈",""),IF(AN30&gt;='설정'!$B$20,"추세 좋음","")),_xlfn.TEXTJOIN(", ",TRUE,IF(AK30&lt;'설정'!$B$21,"수익성 낮음",""),IF(AL30&lt;'설정'!$B$21,"성장 느림",""),IF(AM30&lt;'설정'!$B$21,"가격 비쌈",""),IF(AN30&lt;'설정'!$B$21,"추세 약함","")),IF(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="","","보통: "&amp;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)),IF(X30="통과",AE30,X30)))</f>
        <v/>
      </c>
      <c r="T30">
        <f>IF(AF30=1,TEXT(Z30,"0.0%")&amp;" · 상위 "&amp;TEXT(($B$3-_xlfn.RANK.AVG(AG30,$AG$6:$AG$105,1)+1)/$B$3*100,"0")&amp;"%",IF(A30="","",IF(Z30="","결측",TEXT(Z30,"0.0%"))))</f>
        <v/>
      </c>
      <c r="U30">
        <f>IF(AF30=1,TEXT(AA30,"0.0%")&amp;" · 상위 "&amp;TEXT(($B$3-_xlfn.RANK.AVG(AH30,$AH$6:$AH$105,1)+1)/$B$3*100,"0")&amp;"%",IF(A30="","",IF(AA30="","결측",TEXT(AA30,"0.0%"))))</f>
        <v/>
      </c>
      <c r="V30">
        <f>IF(AF30=1,TEXT(AB30,"0.0%")&amp;" · 상위 "&amp;TEXT(($B$3-_xlfn.RANK.AVG(AI30,$AI$6:$AI$105,1)+1)/$B$3*100,"0")&amp;"%",IF(A30="","",IF(AB30="","결측",TEXT(AB30,"0.0%"))))</f>
        <v/>
      </c>
      <c r="W30">
        <f>IF(AF30=1,TEXT(AC30,"0.0%")&amp;" · 상위 "&amp;TEXT(($B$3-_xlfn.RANK.AVG(AJ30,$AJ$6:$AJ$105,1)+1)/$B$3*100,"0")&amp;"%",IF(A30="","",IF(AC30="","결측",TEXT(AC30,"0.0%"))))</f>
        <v/>
      </c>
      <c r="X30">
        <f>IF(A30="","",IF(AR30="","통과","제외: "&amp;AR30))</f>
        <v/>
      </c>
      <c r="Y30" s="21">
        <f>IF(AND(ISNUMBER(G30),ISNUMBER(H30)),IF(G30&gt;0,H30/G30,""),"")</f>
        <v/>
      </c>
      <c r="Z30" s="22">
        <f>IF(AND(ISNUMBER(F30),ISNUMBER(G30)),IF(G30&gt;0,F30/G30,""),"")</f>
        <v/>
      </c>
      <c r="AA30" s="22">
        <f>IF(AND(ISNUMBER(J30),ISNUMBER(K30)),IF(AND(J30&gt;0,K30&gt;0),(J30/K30)^(1/3)-1,""),"")</f>
        <v/>
      </c>
      <c r="AB30" s="22">
        <f>IF(AND(ISNUMBER(I30),ISNUMBER(L30),ISNUMBER(M30),ISNUMBER(N30)),IF((L30+M30-N30)&gt;0,I30/(L30+M30-N30),""),"")</f>
        <v/>
      </c>
      <c r="AC30" s="22">
        <f>IF(AND(ISNUMBER(O30),ISNUMBER(P30)),IF(AND(O30&gt;0,P30&gt;0),P30/O30-1,""),"")</f>
        <v/>
      </c>
      <c r="AD30">
        <f>_xlfn.TEXTJOIN(", ",TRUE,IF(Z30="","ROE",""),IF(AA30="","매출성장률",""),IF(AB30="","이익수익률",""),IF(AC30="","12-1 수익률",""))</f>
        <v/>
      </c>
      <c r="AE30">
        <f>IF(A30="","",IF(AR30&lt;&gt;"","점수 없음(거름망)",IF(AD30="","채점","점수 없음(결측: "&amp;AD30&amp;")")))</f>
        <v/>
      </c>
      <c r="AF30">
        <f>IF(AE30="채점",1,"")</f>
        <v/>
      </c>
      <c r="AG30">
        <f>IF(AF30=1,Z30,"")</f>
        <v/>
      </c>
      <c r="AH30">
        <f>IF(AF30=1,AA30,"")</f>
        <v/>
      </c>
      <c r="AI30">
        <f>IF(AF30=1,AB30,"")</f>
        <v/>
      </c>
      <c r="AJ30">
        <f>IF(AF30=1,AC30,"")</f>
        <v/>
      </c>
      <c r="AK30">
        <f>IF(AF30=1,IF($B$3=1,50,(_xlfn.RANK.AVG(AG30,$AG$6:$AG$105,1)-1)/($B$3-1)*100),"")</f>
        <v/>
      </c>
      <c r="AL30">
        <f>IF(AF30=1,IF($B$3=1,50,(_xlfn.RANK.AVG(AH30,$AH$6:$AH$105,1)-1)/($B$3-1)*100),"")</f>
        <v/>
      </c>
      <c r="AM30">
        <f>IF(AF30=1,IF($B$3=1,50,(_xlfn.RANK.AVG(AI30,$AI$6:$AI$105,1)-1)/($B$3-1)*100),"")</f>
        <v/>
      </c>
      <c r="AN30">
        <f>IF(AF30=1,IF($B$3=1,50,(_xlfn.RANK.AVG(AJ30,$AJ$6:$AJ$105,1)-1)/($B$3-1)*100),"")</f>
        <v/>
      </c>
      <c r="AO30">
        <f>IF(AF30=1,ROUND(AVERAGE(AK30:AN30),6),"")</f>
        <v/>
      </c>
      <c r="AP30">
        <f>IF(AND(AF30=1,C30&lt;&gt;"Y"),R30,"")</f>
        <v/>
      </c>
      <c r="AQ30">
        <f>IF(AND(ISNUMBER(AP30),Q30="편입 후보"),AP30+(1000-ROW())/1000000,"")</f>
        <v/>
      </c>
      <c r="AR30">
        <f>IF(A30="","",_xlfn.TEXTJOIN(", ",TRUE,IF(D30="Y","금융·리츠",""),IF(NOT(ISNUMBER(I30)),"영업이익 없음",IF(I30&lt;=0,"영업적자","")),IF(OR(NOT(ISNUMBER(G30)),NOT(ISNUMBER(H30))),"부채비율 자료 없음",IF(G30&lt;=0,"자본잠식",IF(H30/G30&gt;'설정'!$B$8,"부채비율 초과",""))),IF(NOT(ISNUMBER(L30)),"시총 없음",IF(L30&lt;'설정'!$B$10,"시총 미달",""))))</f>
        <v/>
      </c>
    </row>
    <row r="31">
      <c r="A31" s="18" t="n"/>
      <c r="B31" s="19" t="n"/>
      <c r="C31" s="19" t="n"/>
      <c r="D31" s="19" t="n"/>
      <c r="E31" s="19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3" t="n"/>
      <c r="P31" s="23" t="n"/>
      <c r="Q31" s="7">
        <f>IF(A31="","",IF(C31="Y",IF(AF31=1,IF(AND(R31&lt;'설정'!$B$6,ISNUMBER($H$3)),IF(ROUND($H$3-R31,1)&gt;='설정'!$B$7,"교체 제안 → "&amp;$E$3&amp;" ("&amp;TEXT($H$3,"0.0")&amp;")","보유 유지"),"보유 유지"),"보유 · 점수 없음"),IF(AF31=1,IF(R31&gt;='설정'!$B$5,"편입 후보",""),"")))</f>
        <v/>
      </c>
      <c r="R31" s="15">
        <f>IF(AF31=1,ROUND(IF($B$3=1,50,(_xlfn.RANK.AVG(AO31,$AO$6:$AO$105,1)-1)/($B$3-1)*100),1),"")</f>
        <v/>
      </c>
      <c r="S31">
        <f>IF(A31="","",IF(AF31=1,_xlfn.TEXTJOIN(". ",TRUE,_xlfn.TEXTJOIN(", ",TRUE,IF(AK31&gt;='설정'!$B$20,"수익성 높음",""),IF(AL31&gt;='설정'!$B$20,"성장 빠름",""),IF(AM31&gt;='설정'!$B$20,"가격 쌈",""),IF(AN31&gt;='설정'!$B$20,"추세 좋음","")),_xlfn.TEXTJOIN(", ",TRUE,IF(AK31&lt;'설정'!$B$21,"수익성 낮음",""),IF(AL31&lt;'설정'!$B$21,"성장 느림",""),IF(AM31&lt;'설정'!$B$21,"가격 비쌈",""),IF(AN31&lt;'설정'!$B$21,"추세 약함","")),IF(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="","","보통: "&amp;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)),IF(X31="통과",AE31,X31)))</f>
        <v/>
      </c>
      <c r="T31">
        <f>IF(AF31=1,TEXT(Z31,"0.0%")&amp;" · 상위 "&amp;TEXT(($B$3-_xlfn.RANK.AVG(AG31,$AG$6:$AG$105,1)+1)/$B$3*100,"0")&amp;"%",IF(A31="","",IF(Z31="","결측",TEXT(Z31,"0.0%"))))</f>
        <v/>
      </c>
      <c r="U31">
        <f>IF(AF31=1,TEXT(AA31,"0.0%")&amp;" · 상위 "&amp;TEXT(($B$3-_xlfn.RANK.AVG(AH31,$AH$6:$AH$105,1)+1)/$B$3*100,"0")&amp;"%",IF(A31="","",IF(AA31="","결측",TEXT(AA31,"0.0%"))))</f>
        <v/>
      </c>
      <c r="V31">
        <f>IF(AF31=1,TEXT(AB31,"0.0%")&amp;" · 상위 "&amp;TEXT(($B$3-_xlfn.RANK.AVG(AI31,$AI$6:$AI$105,1)+1)/$B$3*100,"0")&amp;"%",IF(A31="","",IF(AB31="","결측",TEXT(AB31,"0.0%"))))</f>
        <v/>
      </c>
      <c r="W31">
        <f>IF(AF31=1,TEXT(AC31,"0.0%")&amp;" · 상위 "&amp;TEXT(($B$3-_xlfn.RANK.AVG(AJ31,$AJ$6:$AJ$105,1)+1)/$B$3*100,"0")&amp;"%",IF(A31="","",IF(AC31="","결측",TEXT(AC31,"0.0%"))))</f>
        <v/>
      </c>
      <c r="X31">
        <f>IF(A31="","",IF(AR31="","통과","제외: "&amp;AR31))</f>
        <v/>
      </c>
      <c r="Y31" s="21">
        <f>IF(AND(ISNUMBER(G31),ISNUMBER(H31)),IF(G31&gt;0,H31/G31,""),"")</f>
        <v/>
      </c>
      <c r="Z31" s="22">
        <f>IF(AND(ISNUMBER(F31),ISNUMBER(G31)),IF(G31&gt;0,F31/G31,""),"")</f>
        <v/>
      </c>
      <c r="AA31" s="22">
        <f>IF(AND(ISNUMBER(J31),ISNUMBER(K31)),IF(AND(J31&gt;0,K31&gt;0),(J31/K31)^(1/3)-1,""),"")</f>
        <v/>
      </c>
      <c r="AB31" s="22">
        <f>IF(AND(ISNUMBER(I31),ISNUMBER(L31),ISNUMBER(M31),ISNUMBER(N31)),IF((L31+M31-N31)&gt;0,I31/(L31+M31-N31),""),"")</f>
        <v/>
      </c>
      <c r="AC31" s="22">
        <f>IF(AND(ISNUMBER(O31),ISNUMBER(P31)),IF(AND(O31&gt;0,P31&gt;0),P31/O31-1,""),"")</f>
        <v/>
      </c>
      <c r="AD31">
        <f>_xlfn.TEXTJOIN(", ",TRUE,IF(Z31="","ROE",""),IF(AA31="","매출성장률",""),IF(AB31="","이익수익률",""),IF(AC31="","12-1 수익률",""))</f>
        <v/>
      </c>
      <c r="AE31">
        <f>IF(A31="","",IF(AR31&lt;&gt;"","점수 없음(거름망)",IF(AD31="","채점","점수 없음(결측: "&amp;AD31&amp;")")))</f>
        <v/>
      </c>
      <c r="AF31">
        <f>IF(AE31="채점",1,"")</f>
        <v/>
      </c>
      <c r="AG31">
        <f>IF(AF31=1,Z31,"")</f>
        <v/>
      </c>
      <c r="AH31">
        <f>IF(AF31=1,AA31,"")</f>
        <v/>
      </c>
      <c r="AI31">
        <f>IF(AF31=1,AB31,"")</f>
        <v/>
      </c>
      <c r="AJ31">
        <f>IF(AF31=1,AC31,"")</f>
        <v/>
      </c>
      <c r="AK31">
        <f>IF(AF31=1,IF($B$3=1,50,(_xlfn.RANK.AVG(AG31,$AG$6:$AG$105,1)-1)/($B$3-1)*100),"")</f>
        <v/>
      </c>
      <c r="AL31">
        <f>IF(AF31=1,IF($B$3=1,50,(_xlfn.RANK.AVG(AH31,$AH$6:$AH$105,1)-1)/($B$3-1)*100),"")</f>
        <v/>
      </c>
      <c r="AM31">
        <f>IF(AF31=1,IF($B$3=1,50,(_xlfn.RANK.AVG(AI31,$AI$6:$AI$105,1)-1)/($B$3-1)*100),"")</f>
        <v/>
      </c>
      <c r="AN31">
        <f>IF(AF31=1,IF($B$3=1,50,(_xlfn.RANK.AVG(AJ31,$AJ$6:$AJ$105,1)-1)/($B$3-1)*100),"")</f>
        <v/>
      </c>
      <c r="AO31">
        <f>IF(AF31=1,ROUND(AVERAGE(AK31:AN31),6),"")</f>
        <v/>
      </c>
      <c r="AP31">
        <f>IF(AND(AF31=1,C31&lt;&gt;"Y"),R31,"")</f>
        <v/>
      </c>
      <c r="AQ31">
        <f>IF(AND(ISNUMBER(AP31),Q31="편입 후보"),AP31+(1000-ROW())/1000000,"")</f>
        <v/>
      </c>
      <c r="AR31">
        <f>IF(A31="","",_xlfn.TEXTJOIN(", ",TRUE,IF(D31="Y","금융·리츠",""),IF(NOT(ISNUMBER(I31)),"영업이익 없음",IF(I31&lt;=0,"영업적자","")),IF(OR(NOT(ISNUMBER(G31)),NOT(ISNUMBER(H31))),"부채비율 자료 없음",IF(G31&lt;=0,"자본잠식",IF(H31/G31&gt;'설정'!$B$8,"부채비율 초과",""))),IF(NOT(ISNUMBER(L31)),"시총 없음",IF(L31&lt;'설정'!$B$10,"시총 미달",""))))</f>
        <v/>
      </c>
    </row>
    <row r="32">
      <c r="A32" s="18" t="n"/>
      <c r="B32" s="19" t="n"/>
      <c r="C32" s="19" t="n"/>
      <c r="D32" s="19" t="n"/>
      <c r="E32" s="19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3" t="n"/>
      <c r="P32" s="23" t="n"/>
      <c r="Q32" s="7">
        <f>IF(A32="","",IF(C32="Y",IF(AF32=1,IF(AND(R32&lt;'설정'!$B$6,ISNUMBER($H$3)),IF(ROUND($H$3-R32,1)&gt;='설정'!$B$7,"교체 제안 → "&amp;$E$3&amp;" ("&amp;TEXT($H$3,"0.0")&amp;")","보유 유지"),"보유 유지"),"보유 · 점수 없음"),IF(AF32=1,IF(R32&gt;='설정'!$B$5,"편입 후보",""),"")))</f>
        <v/>
      </c>
      <c r="R32" s="15">
        <f>IF(AF32=1,ROUND(IF($B$3=1,50,(_xlfn.RANK.AVG(AO32,$AO$6:$AO$105,1)-1)/($B$3-1)*100),1),"")</f>
        <v/>
      </c>
      <c r="S32">
        <f>IF(A32="","",IF(AF32=1,_xlfn.TEXTJOIN(". ",TRUE,_xlfn.TEXTJOIN(", ",TRUE,IF(AK32&gt;='설정'!$B$20,"수익성 높음",""),IF(AL32&gt;='설정'!$B$20,"성장 빠름",""),IF(AM32&gt;='설정'!$B$20,"가격 쌈",""),IF(AN32&gt;='설정'!$B$20,"추세 좋음","")),_xlfn.TEXTJOIN(", ",TRUE,IF(AK32&lt;'설정'!$B$21,"수익성 낮음",""),IF(AL32&lt;'설정'!$B$21,"성장 느림",""),IF(AM32&lt;'설정'!$B$21,"가격 비쌈",""),IF(AN32&lt;'설정'!$B$21,"추세 약함","")),IF(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="","","보통: "&amp;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)),IF(X32="통과",AE32,X32)))</f>
        <v/>
      </c>
      <c r="T32">
        <f>IF(AF32=1,TEXT(Z32,"0.0%")&amp;" · 상위 "&amp;TEXT(($B$3-_xlfn.RANK.AVG(AG32,$AG$6:$AG$105,1)+1)/$B$3*100,"0")&amp;"%",IF(A32="","",IF(Z32="","결측",TEXT(Z32,"0.0%"))))</f>
        <v/>
      </c>
      <c r="U32">
        <f>IF(AF32=1,TEXT(AA32,"0.0%")&amp;" · 상위 "&amp;TEXT(($B$3-_xlfn.RANK.AVG(AH32,$AH$6:$AH$105,1)+1)/$B$3*100,"0")&amp;"%",IF(A32="","",IF(AA32="","결측",TEXT(AA32,"0.0%"))))</f>
        <v/>
      </c>
      <c r="V32">
        <f>IF(AF32=1,TEXT(AB32,"0.0%")&amp;" · 상위 "&amp;TEXT(($B$3-_xlfn.RANK.AVG(AI32,$AI$6:$AI$105,1)+1)/$B$3*100,"0")&amp;"%",IF(A32="","",IF(AB32="","결측",TEXT(AB32,"0.0%"))))</f>
        <v/>
      </c>
      <c r="W32">
        <f>IF(AF32=1,TEXT(AC32,"0.0%")&amp;" · 상위 "&amp;TEXT(($B$3-_xlfn.RANK.AVG(AJ32,$AJ$6:$AJ$105,1)+1)/$B$3*100,"0")&amp;"%",IF(A32="","",IF(AC32="","결측",TEXT(AC32,"0.0%"))))</f>
        <v/>
      </c>
      <c r="X32">
        <f>IF(A32="","",IF(AR32="","통과","제외: "&amp;AR32))</f>
        <v/>
      </c>
      <c r="Y32" s="21">
        <f>IF(AND(ISNUMBER(G32),ISNUMBER(H32)),IF(G32&gt;0,H32/G32,""),"")</f>
        <v/>
      </c>
      <c r="Z32" s="22">
        <f>IF(AND(ISNUMBER(F32),ISNUMBER(G32)),IF(G32&gt;0,F32/G32,""),"")</f>
        <v/>
      </c>
      <c r="AA32" s="22">
        <f>IF(AND(ISNUMBER(J32),ISNUMBER(K32)),IF(AND(J32&gt;0,K32&gt;0),(J32/K32)^(1/3)-1,""),"")</f>
        <v/>
      </c>
      <c r="AB32" s="22">
        <f>IF(AND(ISNUMBER(I32),ISNUMBER(L32),ISNUMBER(M32),ISNUMBER(N32)),IF((L32+M32-N32)&gt;0,I32/(L32+M32-N32),""),"")</f>
        <v/>
      </c>
      <c r="AC32" s="22">
        <f>IF(AND(ISNUMBER(O32),ISNUMBER(P32)),IF(AND(O32&gt;0,P32&gt;0),P32/O32-1,""),"")</f>
        <v/>
      </c>
      <c r="AD32">
        <f>_xlfn.TEXTJOIN(", ",TRUE,IF(Z32="","ROE",""),IF(AA32="","매출성장률",""),IF(AB32="","이익수익률",""),IF(AC32="","12-1 수익률",""))</f>
        <v/>
      </c>
      <c r="AE32">
        <f>IF(A32="","",IF(AR32&lt;&gt;"","점수 없음(거름망)",IF(AD32="","채점","점수 없음(결측: "&amp;AD32&amp;")")))</f>
        <v/>
      </c>
      <c r="AF32">
        <f>IF(AE32="채점",1,"")</f>
        <v/>
      </c>
      <c r="AG32">
        <f>IF(AF32=1,Z32,"")</f>
        <v/>
      </c>
      <c r="AH32">
        <f>IF(AF32=1,AA32,"")</f>
        <v/>
      </c>
      <c r="AI32">
        <f>IF(AF32=1,AB32,"")</f>
        <v/>
      </c>
      <c r="AJ32">
        <f>IF(AF32=1,AC32,"")</f>
        <v/>
      </c>
      <c r="AK32">
        <f>IF(AF32=1,IF($B$3=1,50,(_xlfn.RANK.AVG(AG32,$AG$6:$AG$105,1)-1)/($B$3-1)*100),"")</f>
        <v/>
      </c>
      <c r="AL32">
        <f>IF(AF32=1,IF($B$3=1,50,(_xlfn.RANK.AVG(AH32,$AH$6:$AH$105,1)-1)/($B$3-1)*100),"")</f>
        <v/>
      </c>
      <c r="AM32">
        <f>IF(AF32=1,IF($B$3=1,50,(_xlfn.RANK.AVG(AI32,$AI$6:$AI$105,1)-1)/($B$3-1)*100),"")</f>
        <v/>
      </c>
      <c r="AN32">
        <f>IF(AF32=1,IF($B$3=1,50,(_xlfn.RANK.AVG(AJ32,$AJ$6:$AJ$105,1)-1)/($B$3-1)*100),"")</f>
        <v/>
      </c>
      <c r="AO32">
        <f>IF(AF32=1,ROUND(AVERAGE(AK32:AN32),6),"")</f>
        <v/>
      </c>
      <c r="AP32">
        <f>IF(AND(AF32=1,C32&lt;&gt;"Y"),R32,"")</f>
        <v/>
      </c>
      <c r="AQ32">
        <f>IF(AND(ISNUMBER(AP32),Q32="편입 후보"),AP32+(1000-ROW())/1000000,"")</f>
        <v/>
      </c>
      <c r="AR32">
        <f>IF(A32="","",_xlfn.TEXTJOIN(", ",TRUE,IF(D32="Y","금융·리츠",""),IF(NOT(ISNUMBER(I32)),"영업이익 없음",IF(I32&lt;=0,"영업적자","")),IF(OR(NOT(ISNUMBER(G32)),NOT(ISNUMBER(H32))),"부채비율 자료 없음",IF(G32&lt;=0,"자본잠식",IF(H32/G32&gt;'설정'!$B$8,"부채비율 초과",""))),IF(NOT(ISNUMBER(L32)),"시총 없음",IF(L32&lt;'설정'!$B$10,"시총 미달",""))))</f>
        <v/>
      </c>
    </row>
    <row r="33">
      <c r="A33" s="18" t="n"/>
      <c r="B33" s="19" t="n"/>
      <c r="C33" s="19" t="n"/>
      <c r="D33" s="19" t="n"/>
      <c r="E33" s="19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3" t="n"/>
      <c r="P33" s="23" t="n"/>
      <c r="Q33" s="7">
        <f>IF(A33="","",IF(C33="Y",IF(AF33=1,IF(AND(R33&lt;'설정'!$B$6,ISNUMBER($H$3)),IF(ROUND($H$3-R33,1)&gt;='설정'!$B$7,"교체 제안 → "&amp;$E$3&amp;" ("&amp;TEXT($H$3,"0.0")&amp;")","보유 유지"),"보유 유지"),"보유 · 점수 없음"),IF(AF33=1,IF(R33&gt;='설정'!$B$5,"편입 후보",""),"")))</f>
        <v/>
      </c>
      <c r="R33" s="15">
        <f>IF(AF33=1,ROUND(IF($B$3=1,50,(_xlfn.RANK.AVG(AO33,$AO$6:$AO$105,1)-1)/($B$3-1)*100),1),"")</f>
        <v/>
      </c>
      <c r="S33">
        <f>IF(A33="","",IF(AF33=1,_xlfn.TEXTJOIN(". ",TRUE,_xlfn.TEXTJOIN(", ",TRUE,IF(AK33&gt;='설정'!$B$20,"수익성 높음",""),IF(AL33&gt;='설정'!$B$20,"성장 빠름",""),IF(AM33&gt;='설정'!$B$20,"가격 쌈",""),IF(AN33&gt;='설정'!$B$20,"추세 좋음","")),_xlfn.TEXTJOIN(", ",TRUE,IF(AK33&lt;'설정'!$B$21,"수익성 낮음",""),IF(AL33&lt;'설정'!$B$21,"성장 느림",""),IF(AM33&lt;'설정'!$B$21,"가격 비쌈",""),IF(AN33&lt;'설정'!$B$21,"추세 약함","")),IF(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="","","보통: "&amp;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)),IF(X33="통과",AE33,X33)))</f>
        <v/>
      </c>
      <c r="T33">
        <f>IF(AF33=1,TEXT(Z33,"0.0%")&amp;" · 상위 "&amp;TEXT(($B$3-_xlfn.RANK.AVG(AG33,$AG$6:$AG$105,1)+1)/$B$3*100,"0")&amp;"%",IF(A33="","",IF(Z33="","결측",TEXT(Z33,"0.0%"))))</f>
        <v/>
      </c>
      <c r="U33">
        <f>IF(AF33=1,TEXT(AA33,"0.0%")&amp;" · 상위 "&amp;TEXT(($B$3-_xlfn.RANK.AVG(AH33,$AH$6:$AH$105,1)+1)/$B$3*100,"0")&amp;"%",IF(A33="","",IF(AA33="","결측",TEXT(AA33,"0.0%"))))</f>
        <v/>
      </c>
      <c r="V33">
        <f>IF(AF33=1,TEXT(AB33,"0.0%")&amp;" · 상위 "&amp;TEXT(($B$3-_xlfn.RANK.AVG(AI33,$AI$6:$AI$105,1)+1)/$B$3*100,"0")&amp;"%",IF(A33="","",IF(AB33="","결측",TEXT(AB33,"0.0%"))))</f>
        <v/>
      </c>
      <c r="W33">
        <f>IF(AF33=1,TEXT(AC33,"0.0%")&amp;" · 상위 "&amp;TEXT(($B$3-_xlfn.RANK.AVG(AJ33,$AJ$6:$AJ$105,1)+1)/$B$3*100,"0")&amp;"%",IF(A33="","",IF(AC33="","결측",TEXT(AC33,"0.0%"))))</f>
        <v/>
      </c>
      <c r="X33">
        <f>IF(A33="","",IF(AR33="","통과","제외: "&amp;AR33))</f>
        <v/>
      </c>
      <c r="Y33" s="21">
        <f>IF(AND(ISNUMBER(G33),ISNUMBER(H33)),IF(G33&gt;0,H33/G33,""),"")</f>
        <v/>
      </c>
      <c r="Z33" s="22">
        <f>IF(AND(ISNUMBER(F33),ISNUMBER(G33)),IF(G33&gt;0,F33/G33,""),"")</f>
        <v/>
      </c>
      <c r="AA33" s="22">
        <f>IF(AND(ISNUMBER(J33),ISNUMBER(K33)),IF(AND(J33&gt;0,K33&gt;0),(J33/K33)^(1/3)-1,""),"")</f>
        <v/>
      </c>
      <c r="AB33" s="22">
        <f>IF(AND(ISNUMBER(I33),ISNUMBER(L33),ISNUMBER(M33),ISNUMBER(N33)),IF((L33+M33-N33)&gt;0,I33/(L33+M33-N33),""),"")</f>
        <v/>
      </c>
      <c r="AC33" s="22">
        <f>IF(AND(ISNUMBER(O33),ISNUMBER(P33)),IF(AND(O33&gt;0,P33&gt;0),P33/O33-1,""),"")</f>
        <v/>
      </c>
      <c r="AD33">
        <f>_xlfn.TEXTJOIN(", ",TRUE,IF(Z33="","ROE",""),IF(AA33="","매출성장률",""),IF(AB33="","이익수익률",""),IF(AC33="","12-1 수익률",""))</f>
        <v/>
      </c>
      <c r="AE33">
        <f>IF(A33="","",IF(AR33&lt;&gt;"","점수 없음(거름망)",IF(AD33="","채점","점수 없음(결측: "&amp;AD33&amp;")")))</f>
        <v/>
      </c>
      <c r="AF33">
        <f>IF(AE33="채점",1,"")</f>
        <v/>
      </c>
      <c r="AG33">
        <f>IF(AF33=1,Z33,"")</f>
        <v/>
      </c>
      <c r="AH33">
        <f>IF(AF33=1,AA33,"")</f>
        <v/>
      </c>
      <c r="AI33">
        <f>IF(AF33=1,AB33,"")</f>
        <v/>
      </c>
      <c r="AJ33">
        <f>IF(AF33=1,AC33,"")</f>
        <v/>
      </c>
      <c r="AK33">
        <f>IF(AF33=1,IF($B$3=1,50,(_xlfn.RANK.AVG(AG33,$AG$6:$AG$105,1)-1)/($B$3-1)*100),"")</f>
        <v/>
      </c>
      <c r="AL33">
        <f>IF(AF33=1,IF($B$3=1,50,(_xlfn.RANK.AVG(AH33,$AH$6:$AH$105,1)-1)/($B$3-1)*100),"")</f>
        <v/>
      </c>
      <c r="AM33">
        <f>IF(AF33=1,IF($B$3=1,50,(_xlfn.RANK.AVG(AI33,$AI$6:$AI$105,1)-1)/($B$3-1)*100),"")</f>
        <v/>
      </c>
      <c r="AN33">
        <f>IF(AF33=1,IF($B$3=1,50,(_xlfn.RANK.AVG(AJ33,$AJ$6:$AJ$105,1)-1)/($B$3-1)*100),"")</f>
        <v/>
      </c>
      <c r="AO33">
        <f>IF(AF33=1,ROUND(AVERAGE(AK33:AN33),6),"")</f>
        <v/>
      </c>
      <c r="AP33">
        <f>IF(AND(AF33=1,C33&lt;&gt;"Y"),R33,"")</f>
        <v/>
      </c>
      <c r="AQ33">
        <f>IF(AND(ISNUMBER(AP33),Q33="편입 후보"),AP33+(1000-ROW())/1000000,"")</f>
        <v/>
      </c>
      <c r="AR33">
        <f>IF(A33="","",_xlfn.TEXTJOIN(", ",TRUE,IF(D33="Y","금융·리츠",""),IF(NOT(ISNUMBER(I33)),"영업이익 없음",IF(I33&lt;=0,"영업적자","")),IF(OR(NOT(ISNUMBER(G33)),NOT(ISNUMBER(H33))),"부채비율 자료 없음",IF(G33&lt;=0,"자본잠식",IF(H33/G33&gt;'설정'!$B$8,"부채비율 초과",""))),IF(NOT(ISNUMBER(L33)),"시총 없음",IF(L33&lt;'설정'!$B$10,"시총 미달",""))))</f>
        <v/>
      </c>
    </row>
    <row r="34">
      <c r="A34" s="18" t="n"/>
      <c r="B34" s="19" t="n"/>
      <c r="C34" s="19" t="n"/>
      <c r="D34" s="19" t="n"/>
      <c r="E34" s="19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3" t="n"/>
      <c r="P34" s="23" t="n"/>
      <c r="Q34" s="7">
        <f>IF(A34="","",IF(C34="Y",IF(AF34=1,IF(AND(R34&lt;'설정'!$B$6,ISNUMBER($H$3)),IF(ROUND($H$3-R34,1)&gt;='설정'!$B$7,"교체 제안 → "&amp;$E$3&amp;" ("&amp;TEXT($H$3,"0.0")&amp;")","보유 유지"),"보유 유지"),"보유 · 점수 없음"),IF(AF34=1,IF(R34&gt;='설정'!$B$5,"편입 후보",""),"")))</f>
        <v/>
      </c>
      <c r="R34" s="15">
        <f>IF(AF34=1,ROUND(IF($B$3=1,50,(_xlfn.RANK.AVG(AO34,$AO$6:$AO$105,1)-1)/($B$3-1)*100),1),"")</f>
        <v/>
      </c>
      <c r="S34">
        <f>IF(A34="","",IF(AF34=1,_xlfn.TEXTJOIN(". ",TRUE,_xlfn.TEXTJOIN(", ",TRUE,IF(AK34&gt;='설정'!$B$20,"수익성 높음",""),IF(AL34&gt;='설정'!$B$20,"성장 빠름",""),IF(AM34&gt;='설정'!$B$20,"가격 쌈",""),IF(AN34&gt;='설정'!$B$20,"추세 좋음","")),_xlfn.TEXTJOIN(", ",TRUE,IF(AK34&lt;'설정'!$B$21,"수익성 낮음",""),IF(AL34&lt;'설정'!$B$21,"성장 느림",""),IF(AM34&lt;'설정'!$B$21,"가격 비쌈",""),IF(AN34&lt;'설정'!$B$21,"추세 약함","")),IF(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="","","보통: "&amp;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)),IF(X34="통과",AE34,X34)))</f>
        <v/>
      </c>
      <c r="T34">
        <f>IF(AF34=1,TEXT(Z34,"0.0%")&amp;" · 상위 "&amp;TEXT(($B$3-_xlfn.RANK.AVG(AG34,$AG$6:$AG$105,1)+1)/$B$3*100,"0")&amp;"%",IF(A34="","",IF(Z34="","결측",TEXT(Z34,"0.0%"))))</f>
        <v/>
      </c>
      <c r="U34">
        <f>IF(AF34=1,TEXT(AA34,"0.0%")&amp;" · 상위 "&amp;TEXT(($B$3-_xlfn.RANK.AVG(AH34,$AH$6:$AH$105,1)+1)/$B$3*100,"0")&amp;"%",IF(A34="","",IF(AA34="","결측",TEXT(AA34,"0.0%"))))</f>
        <v/>
      </c>
      <c r="V34">
        <f>IF(AF34=1,TEXT(AB34,"0.0%")&amp;" · 상위 "&amp;TEXT(($B$3-_xlfn.RANK.AVG(AI34,$AI$6:$AI$105,1)+1)/$B$3*100,"0")&amp;"%",IF(A34="","",IF(AB34="","결측",TEXT(AB34,"0.0%"))))</f>
        <v/>
      </c>
      <c r="W34">
        <f>IF(AF34=1,TEXT(AC34,"0.0%")&amp;" · 상위 "&amp;TEXT(($B$3-_xlfn.RANK.AVG(AJ34,$AJ$6:$AJ$105,1)+1)/$B$3*100,"0")&amp;"%",IF(A34="","",IF(AC34="","결측",TEXT(AC34,"0.0%"))))</f>
        <v/>
      </c>
      <c r="X34">
        <f>IF(A34="","",IF(AR34="","통과","제외: "&amp;AR34))</f>
        <v/>
      </c>
      <c r="Y34" s="21">
        <f>IF(AND(ISNUMBER(G34),ISNUMBER(H34)),IF(G34&gt;0,H34/G34,""),"")</f>
        <v/>
      </c>
      <c r="Z34" s="22">
        <f>IF(AND(ISNUMBER(F34),ISNUMBER(G34)),IF(G34&gt;0,F34/G34,""),"")</f>
        <v/>
      </c>
      <c r="AA34" s="22">
        <f>IF(AND(ISNUMBER(J34),ISNUMBER(K34)),IF(AND(J34&gt;0,K34&gt;0),(J34/K34)^(1/3)-1,""),"")</f>
        <v/>
      </c>
      <c r="AB34" s="22">
        <f>IF(AND(ISNUMBER(I34),ISNUMBER(L34),ISNUMBER(M34),ISNUMBER(N34)),IF((L34+M34-N34)&gt;0,I34/(L34+M34-N34),""),"")</f>
        <v/>
      </c>
      <c r="AC34" s="22">
        <f>IF(AND(ISNUMBER(O34),ISNUMBER(P34)),IF(AND(O34&gt;0,P34&gt;0),P34/O34-1,""),"")</f>
        <v/>
      </c>
      <c r="AD34">
        <f>_xlfn.TEXTJOIN(", ",TRUE,IF(Z34="","ROE",""),IF(AA34="","매출성장률",""),IF(AB34="","이익수익률",""),IF(AC34="","12-1 수익률",""))</f>
        <v/>
      </c>
      <c r="AE34">
        <f>IF(A34="","",IF(AR34&lt;&gt;"","점수 없음(거름망)",IF(AD34="","채점","점수 없음(결측: "&amp;AD34&amp;")")))</f>
        <v/>
      </c>
      <c r="AF34">
        <f>IF(AE34="채점",1,"")</f>
        <v/>
      </c>
      <c r="AG34">
        <f>IF(AF34=1,Z34,"")</f>
        <v/>
      </c>
      <c r="AH34">
        <f>IF(AF34=1,AA34,"")</f>
        <v/>
      </c>
      <c r="AI34">
        <f>IF(AF34=1,AB34,"")</f>
        <v/>
      </c>
      <c r="AJ34">
        <f>IF(AF34=1,AC34,"")</f>
        <v/>
      </c>
      <c r="AK34">
        <f>IF(AF34=1,IF($B$3=1,50,(_xlfn.RANK.AVG(AG34,$AG$6:$AG$105,1)-1)/($B$3-1)*100),"")</f>
        <v/>
      </c>
      <c r="AL34">
        <f>IF(AF34=1,IF($B$3=1,50,(_xlfn.RANK.AVG(AH34,$AH$6:$AH$105,1)-1)/($B$3-1)*100),"")</f>
        <v/>
      </c>
      <c r="AM34">
        <f>IF(AF34=1,IF($B$3=1,50,(_xlfn.RANK.AVG(AI34,$AI$6:$AI$105,1)-1)/($B$3-1)*100),"")</f>
        <v/>
      </c>
      <c r="AN34">
        <f>IF(AF34=1,IF($B$3=1,50,(_xlfn.RANK.AVG(AJ34,$AJ$6:$AJ$105,1)-1)/($B$3-1)*100),"")</f>
        <v/>
      </c>
      <c r="AO34">
        <f>IF(AF34=1,ROUND(AVERAGE(AK34:AN34),6),"")</f>
        <v/>
      </c>
      <c r="AP34">
        <f>IF(AND(AF34=1,C34&lt;&gt;"Y"),R34,"")</f>
        <v/>
      </c>
      <c r="AQ34">
        <f>IF(AND(ISNUMBER(AP34),Q34="편입 후보"),AP34+(1000-ROW())/1000000,"")</f>
        <v/>
      </c>
      <c r="AR34">
        <f>IF(A34="","",_xlfn.TEXTJOIN(", ",TRUE,IF(D34="Y","금융·리츠",""),IF(NOT(ISNUMBER(I34)),"영업이익 없음",IF(I34&lt;=0,"영업적자","")),IF(OR(NOT(ISNUMBER(G34)),NOT(ISNUMBER(H34))),"부채비율 자료 없음",IF(G34&lt;=0,"자본잠식",IF(H34/G34&gt;'설정'!$B$8,"부채비율 초과",""))),IF(NOT(ISNUMBER(L34)),"시총 없음",IF(L34&lt;'설정'!$B$10,"시총 미달",""))))</f>
        <v/>
      </c>
    </row>
    <row r="35">
      <c r="A35" s="18" t="n"/>
      <c r="B35" s="19" t="n"/>
      <c r="C35" s="19" t="n"/>
      <c r="D35" s="19" t="n"/>
      <c r="E35" s="19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3" t="n"/>
      <c r="P35" s="23" t="n"/>
      <c r="Q35" s="7">
        <f>IF(A35="","",IF(C35="Y",IF(AF35=1,IF(AND(R35&lt;'설정'!$B$6,ISNUMBER($H$3)),IF(ROUND($H$3-R35,1)&gt;='설정'!$B$7,"교체 제안 → "&amp;$E$3&amp;" ("&amp;TEXT($H$3,"0.0")&amp;")","보유 유지"),"보유 유지"),"보유 · 점수 없음"),IF(AF35=1,IF(R35&gt;='설정'!$B$5,"편입 후보",""),"")))</f>
        <v/>
      </c>
      <c r="R35" s="15">
        <f>IF(AF35=1,ROUND(IF($B$3=1,50,(_xlfn.RANK.AVG(AO35,$AO$6:$AO$105,1)-1)/($B$3-1)*100),1),"")</f>
        <v/>
      </c>
      <c r="S35">
        <f>IF(A35="","",IF(AF35=1,_xlfn.TEXTJOIN(". ",TRUE,_xlfn.TEXTJOIN(", ",TRUE,IF(AK35&gt;='설정'!$B$20,"수익성 높음",""),IF(AL35&gt;='설정'!$B$20,"성장 빠름",""),IF(AM35&gt;='설정'!$B$20,"가격 쌈",""),IF(AN35&gt;='설정'!$B$20,"추세 좋음","")),_xlfn.TEXTJOIN(", ",TRUE,IF(AK35&lt;'설정'!$B$21,"수익성 낮음",""),IF(AL35&lt;'설정'!$B$21,"성장 느림",""),IF(AM35&lt;'설정'!$B$21,"가격 비쌈",""),IF(AN35&lt;'설정'!$B$21,"추세 약함","")),IF(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="","","보통: "&amp;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)),IF(X35="통과",AE35,X35)))</f>
        <v/>
      </c>
      <c r="T35">
        <f>IF(AF35=1,TEXT(Z35,"0.0%")&amp;" · 상위 "&amp;TEXT(($B$3-_xlfn.RANK.AVG(AG35,$AG$6:$AG$105,1)+1)/$B$3*100,"0")&amp;"%",IF(A35="","",IF(Z35="","결측",TEXT(Z35,"0.0%"))))</f>
        <v/>
      </c>
      <c r="U35">
        <f>IF(AF35=1,TEXT(AA35,"0.0%")&amp;" · 상위 "&amp;TEXT(($B$3-_xlfn.RANK.AVG(AH35,$AH$6:$AH$105,1)+1)/$B$3*100,"0")&amp;"%",IF(A35="","",IF(AA35="","결측",TEXT(AA35,"0.0%"))))</f>
        <v/>
      </c>
      <c r="V35">
        <f>IF(AF35=1,TEXT(AB35,"0.0%")&amp;" · 상위 "&amp;TEXT(($B$3-_xlfn.RANK.AVG(AI35,$AI$6:$AI$105,1)+1)/$B$3*100,"0")&amp;"%",IF(A35="","",IF(AB35="","결측",TEXT(AB35,"0.0%"))))</f>
        <v/>
      </c>
      <c r="W35">
        <f>IF(AF35=1,TEXT(AC35,"0.0%")&amp;" · 상위 "&amp;TEXT(($B$3-_xlfn.RANK.AVG(AJ35,$AJ$6:$AJ$105,1)+1)/$B$3*100,"0")&amp;"%",IF(A35="","",IF(AC35="","결측",TEXT(AC35,"0.0%"))))</f>
        <v/>
      </c>
      <c r="X35">
        <f>IF(A35="","",IF(AR35="","통과","제외: "&amp;AR35))</f>
        <v/>
      </c>
      <c r="Y35" s="21">
        <f>IF(AND(ISNUMBER(G35),ISNUMBER(H35)),IF(G35&gt;0,H35/G35,""),"")</f>
        <v/>
      </c>
      <c r="Z35" s="22">
        <f>IF(AND(ISNUMBER(F35),ISNUMBER(G35)),IF(G35&gt;0,F35/G35,""),"")</f>
        <v/>
      </c>
      <c r="AA35" s="22">
        <f>IF(AND(ISNUMBER(J35),ISNUMBER(K35)),IF(AND(J35&gt;0,K35&gt;0),(J35/K35)^(1/3)-1,""),"")</f>
        <v/>
      </c>
      <c r="AB35" s="22">
        <f>IF(AND(ISNUMBER(I35),ISNUMBER(L35),ISNUMBER(M35),ISNUMBER(N35)),IF((L35+M35-N35)&gt;0,I35/(L35+M35-N35),""),"")</f>
        <v/>
      </c>
      <c r="AC35" s="22">
        <f>IF(AND(ISNUMBER(O35),ISNUMBER(P35)),IF(AND(O35&gt;0,P35&gt;0),P35/O35-1,""),"")</f>
        <v/>
      </c>
      <c r="AD35">
        <f>_xlfn.TEXTJOIN(", ",TRUE,IF(Z35="","ROE",""),IF(AA35="","매출성장률",""),IF(AB35="","이익수익률",""),IF(AC35="","12-1 수익률",""))</f>
        <v/>
      </c>
      <c r="AE35">
        <f>IF(A35="","",IF(AR35&lt;&gt;"","점수 없음(거름망)",IF(AD35="","채점","점수 없음(결측: "&amp;AD35&amp;")")))</f>
        <v/>
      </c>
      <c r="AF35">
        <f>IF(AE35="채점",1,"")</f>
        <v/>
      </c>
      <c r="AG35">
        <f>IF(AF35=1,Z35,"")</f>
        <v/>
      </c>
      <c r="AH35">
        <f>IF(AF35=1,AA35,"")</f>
        <v/>
      </c>
      <c r="AI35">
        <f>IF(AF35=1,AB35,"")</f>
        <v/>
      </c>
      <c r="AJ35">
        <f>IF(AF35=1,AC35,"")</f>
        <v/>
      </c>
      <c r="AK35">
        <f>IF(AF35=1,IF($B$3=1,50,(_xlfn.RANK.AVG(AG35,$AG$6:$AG$105,1)-1)/($B$3-1)*100),"")</f>
        <v/>
      </c>
      <c r="AL35">
        <f>IF(AF35=1,IF($B$3=1,50,(_xlfn.RANK.AVG(AH35,$AH$6:$AH$105,1)-1)/($B$3-1)*100),"")</f>
        <v/>
      </c>
      <c r="AM35">
        <f>IF(AF35=1,IF($B$3=1,50,(_xlfn.RANK.AVG(AI35,$AI$6:$AI$105,1)-1)/($B$3-1)*100),"")</f>
        <v/>
      </c>
      <c r="AN35">
        <f>IF(AF35=1,IF($B$3=1,50,(_xlfn.RANK.AVG(AJ35,$AJ$6:$AJ$105,1)-1)/($B$3-1)*100),"")</f>
        <v/>
      </c>
      <c r="AO35">
        <f>IF(AF35=1,ROUND(AVERAGE(AK35:AN35),6),"")</f>
        <v/>
      </c>
      <c r="AP35">
        <f>IF(AND(AF35=1,C35&lt;&gt;"Y"),R35,"")</f>
        <v/>
      </c>
      <c r="AQ35">
        <f>IF(AND(ISNUMBER(AP35),Q35="편입 후보"),AP35+(1000-ROW())/1000000,"")</f>
        <v/>
      </c>
      <c r="AR35">
        <f>IF(A35="","",_xlfn.TEXTJOIN(", ",TRUE,IF(D35="Y","금융·리츠",""),IF(NOT(ISNUMBER(I35)),"영업이익 없음",IF(I35&lt;=0,"영업적자","")),IF(OR(NOT(ISNUMBER(G35)),NOT(ISNUMBER(H35))),"부채비율 자료 없음",IF(G35&lt;=0,"자본잠식",IF(H35/G35&gt;'설정'!$B$8,"부채비율 초과",""))),IF(NOT(ISNUMBER(L35)),"시총 없음",IF(L35&lt;'설정'!$B$10,"시총 미달",""))))</f>
        <v/>
      </c>
    </row>
    <row r="36">
      <c r="A36" s="18" t="n"/>
      <c r="B36" s="19" t="n"/>
      <c r="C36" s="19" t="n"/>
      <c r="D36" s="19" t="n"/>
      <c r="E36" s="19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3" t="n"/>
      <c r="P36" s="23" t="n"/>
      <c r="Q36" s="7">
        <f>IF(A36="","",IF(C36="Y",IF(AF36=1,IF(AND(R36&lt;'설정'!$B$6,ISNUMBER($H$3)),IF(ROUND($H$3-R36,1)&gt;='설정'!$B$7,"교체 제안 → "&amp;$E$3&amp;" ("&amp;TEXT($H$3,"0.0")&amp;")","보유 유지"),"보유 유지"),"보유 · 점수 없음"),IF(AF36=1,IF(R36&gt;='설정'!$B$5,"편입 후보",""),"")))</f>
        <v/>
      </c>
      <c r="R36" s="15">
        <f>IF(AF36=1,ROUND(IF($B$3=1,50,(_xlfn.RANK.AVG(AO36,$AO$6:$AO$105,1)-1)/($B$3-1)*100),1),"")</f>
        <v/>
      </c>
      <c r="S36">
        <f>IF(A36="","",IF(AF36=1,_xlfn.TEXTJOIN(". ",TRUE,_xlfn.TEXTJOIN(", ",TRUE,IF(AK36&gt;='설정'!$B$20,"수익성 높음",""),IF(AL36&gt;='설정'!$B$20,"성장 빠름",""),IF(AM36&gt;='설정'!$B$20,"가격 쌈",""),IF(AN36&gt;='설정'!$B$20,"추세 좋음","")),_xlfn.TEXTJOIN(", ",TRUE,IF(AK36&lt;'설정'!$B$21,"수익성 낮음",""),IF(AL36&lt;'설정'!$B$21,"성장 느림",""),IF(AM36&lt;'설정'!$B$21,"가격 비쌈",""),IF(AN36&lt;'설정'!$B$21,"추세 약함","")),IF(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="","","보통: "&amp;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)),IF(X36="통과",AE36,X36)))</f>
        <v/>
      </c>
      <c r="T36">
        <f>IF(AF36=1,TEXT(Z36,"0.0%")&amp;" · 상위 "&amp;TEXT(($B$3-_xlfn.RANK.AVG(AG36,$AG$6:$AG$105,1)+1)/$B$3*100,"0")&amp;"%",IF(A36="","",IF(Z36="","결측",TEXT(Z36,"0.0%"))))</f>
        <v/>
      </c>
      <c r="U36">
        <f>IF(AF36=1,TEXT(AA36,"0.0%")&amp;" · 상위 "&amp;TEXT(($B$3-_xlfn.RANK.AVG(AH36,$AH$6:$AH$105,1)+1)/$B$3*100,"0")&amp;"%",IF(A36="","",IF(AA36="","결측",TEXT(AA36,"0.0%"))))</f>
        <v/>
      </c>
      <c r="V36">
        <f>IF(AF36=1,TEXT(AB36,"0.0%")&amp;" · 상위 "&amp;TEXT(($B$3-_xlfn.RANK.AVG(AI36,$AI$6:$AI$105,1)+1)/$B$3*100,"0")&amp;"%",IF(A36="","",IF(AB36="","결측",TEXT(AB36,"0.0%"))))</f>
        <v/>
      </c>
      <c r="W36">
        <f>IF(AF36=1,TEXT(AC36,"0.0%")&amp;" · 상위 "&amp;TEXT(($B$3-_xlfn.RANK.AVG(AJ36,$AJ$6:$AJ$105,1)+1)/$B$3*100,"0")&amp;"%",IF(A36="","",IF(AC36="","결측",TEXT(AC36,"0.0%"))))</f>
        <v/>
      </c>
      <c r="X36">
        <f>IF(A36="","",IF(AR36="","통과","제외: "&amp;AR36))</f>
        <v/>
      </c>
      <c r="Y36" s="21">
        <f>IF(AND(ISNUMBER(G36),ISNUMBER(H36)),IF(G36&gt;0,H36/G36,""),"")</f>
        <v/>
      </c>
      <c r="Z36" s="22">
        <f>IF(AND(ISNUMBER(F36),ISNUMBER(G36)),IF(G36&gt;0,F36/G36,""),"")</f>
        <v/>
      </c>
      <c r="AA36" s="22">
        <f>IF(AND(ISNUMBER(J36),ISNUMBER(K36)),IF(AND(J36&gt;0,K36&gt;0),(J36/K36)^(1/3)-1,""),"")</f>
        <v/>
      </c>
      <c r="AB36" s="22">
        <f>IF(AND(ISNUMBER(I36),ISNUMBER(L36),ISNUMBER(M36),ISNUMBER(N36)),IF((L36+M36-N36)&gt;0,I36/(L36+M36-N36),""),"")</f>
        <v/>
      </c>
      <c r="AC36" s="22">
        <f>IF(AND(ISNUMBER(O36),ISNUMBER(P36)),IF(AND(O36&gt;0,P36&gt;0),P36/O36-1,""),"")</f>
        <v/>
      </c>
      <c r="AD36">
        <f>_xlfn.TEXTJOIN(", ",TRUE,IF(Z36="","ROE",""),IF(AA36="","매출성장률",""),IF(AB36="","이익수익률",""),IF(AC36="","12-1 수익률",""))</f>
        <v/>
      </c>
      <c r="AE36">
        <f>IF(A36="","",IF(AR36&lt;&gt;"","점수 없음(거름망)",IF(AD36="","채점","점수 없음(결측: "&amp;AD36&amp;")")))</f>
        <v/>
      </c>
      <c r="AF36">
        <f>IF(AE36="채점",1,"")</f>
        <v/>
      </c>
      <c r="AG36">
        <f>IF(AF36=1,Z36,"")</f>
        <v/>
      </c>
      <c r="AH36">
        <f>IF(AF36=1,AA36,"")</f>
        <v/>
      </c>
      <c r="AI36">
        <f>IF(AF36=1,AB36,"")</f>
        <v/>
      </c>
      <c r="AJ36">
        <f>IF(AF36=1,AC36,"")</f>
        <v/>
      </c>
      <c r="AK36">
        <f>IF(AF36=1,IF($B$3=1,50,(_xlfn.RANK.AVG(AG36,$AG$6:$AG$105,1)-1)/($B$3-1)*100),"")</f>
        <v/>
      </c>
      <c r="AL36">
        <f>IF(AF36=1,IF($B$3=1,50,(_xlfn.RANK.AVG(AH36,$AH$6:$AH$105,1)-1)/($B$3-1)*100),"")</f>
        <v/>
      </c>
      <c r="AM36">
        <f>IF(AF36=1,IF($B$3=1,50,(_xlfn.RANK.AVG(AI36,$AI$6:$AI$105,1)-1)/($B$3-1)*100),"")</f>
        <v/>
      </c>
      <c r="AN36">
        <f>IF(AF36=1,IF($B$3=1,50,(_xlfn.RANK.AVG(AJ36,$AJ$6:$AJ$105,1)-1)/($B$3-1)*100),"")</f>
        <v/>
      </c>
      <c r="AO36">
        <f>IF(AF36=1,ROUND(AVERAGE(AK36:AN36),6),"")</f>
        <v/>
      </c>
      <c r="AP36">
        <f>IF(AND(AF36=1,C36&lt;&gt;"Y"),R36,"")</f>
        <v/>
      </c>
      <c r="AQ36">
        <f>IF(AND(ISNUMBER(AP36),Q36="편입 후보"),AP36+(1000-ROW())/1000000,"")</f>
        <v/>
      </c>
      <c r="AR36">
        <f>IF(A36="","",_xlfn.TEXTJOIN(", ",TRUE,IF(D36="Y","금융·리츠",""),IF(NOT(ISNUMBER(I36)),"영업이익 없음",IF(I36&lt;=0,"영업적자","")),IF(OR(NOT(ISNUMBER(G36)),NOT(ISNUMBER(H36))),"부채비율 자료 없음",IF(G36&lt;=0,"자본잠식",IF(H36/G36&gt;'설정'!$B$8,"부채비율 초과",""))),IF(NOT(ISNUMBER(L36)),"시총 없음",IF(L36&lt;'설정'!$B$10,"시총 미달",""))))</f>
        <v/>
      </c>
    </row>
    <row r="37">
      <c r="A37" s="18" t="n"/>
      <c r="B37" s="19" t="n"/>
      <c r="C37" s="19" t="n"/>
      <c r="D37" s="19" t="n"/>
      <c r="E37" s="19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3" t="n"/>
      <c r="P37" s="23" t="n"/>
      <c r="Q37" s="7">
        <f>IF(A37="","",IF(C37="Y",IF(AF37=1,IF(AND(R37&lt;'설정'!$B$6,ISNUMBER($H$3)),IF(ROUND($H$3-R37,1)&gt;='설정'!$B$7,"교체 제안 → "&amp;$E$3&amp;" ("&amp;TEXT($H$3,"0.0")&amp;")","보유 유지"),"보유 유지"),"보유 · 점수 없음"),IF(AF37=1,IF(R37&gt;='설정'!$B$5,"편입 후보",""),"")))</f>
        <v/>
      </c>
      <c r="R37" s="15">
        <f>IF(AF37=1,ROUND(IF($B$3=1,50,(_xlfn.RANK.AVG(AO37,$AO$6:$AO$105,1)-1)/($B$3-1)*100),1),"")</f>
        <v/>
      </c>
      <c r="S37">
        <f>IF(A37="","",IF(AF37=1,_xlfn.TEXTJOIN(". ",TRUE,_xlfn.TEXTJOIN(", ",TRUE,IF(AK37&gt;='설정'!$B$20,"수익성 높음",""),IF(AL37&gt;='설정'!$B$20,"성장 빠름",""),IF(AM37&gt;='설정'!$B$20,"가격 쌈",""),IF(AN37&gt;='설정'!$B$20,"추세 좋음","")),_xlfn.TEXTJOIN(", ",TRUE,IF(AK37&lt;'설정'!$B$21,"수익성 낮음",""),IF(AL37&lt;'설정'!$B$21,"성장 느림",""),IF(AM37&lt;'설정'!$B$21,"가격 비쌈",""),IF(AN37&lt;'설정'!$B$21,"추세 약함","")),IF(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="","","보통: "&amp;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)),IF(X37="통과",AE37,X37)))</f>
        <v/>
      </c>
      <c r="T37">
        <f>IF(AF37=1,TEXT(Z37,"0.0%")&amp;" · 상위 "&amp;TEXT(($B$3-_xlfn.RANK.AVG(AG37,$AG$6:$AG$105,1)+1)/$B$3*100,"0")&amp;"%",IF(A37="","",IF(Z37="","결측",TEXT(Z37,"0.0%"))))</f>
        <v/>
      </c>
      <c r="U37">
        <f>IF(AF37=1,TEXT(AA37,"0.0%")&amp;" · 상위 "&amp;TEXT(($B$3-_xlfn.RANK.AVG(AH37,$AH$6:$AH$105,1)+1)/$B$3*100,"0")&amp;"%",IF(A37="","",IF(AA37="","결측",TEXT(AA37,"0.0%"))))</f>
        <v/>
      </c>
      <c r="V37">
        <f>IF(AF37=1,TEXT(AB37,"0.0%")&amp;" · 상위 "&amp;TEXT(($B$3-_xlfn.RANK.AVG(AI37,$AI$6:$AI$105,1)+1)/$B$3*100,"0")&amp;"%",IF(A37="","",IF(AB37="","결측",TEXT(AB37,"0.0%"))))</f>
        <v/>
      </c>
      <c r="W37">
        <f>IF(AF37=1,TEXT(AC37,"0.0%")&amp;" · 상위 "&amp;TEXT(($B$3-_xlfn.RANK.AVG(AJ37,$AJ$6:$AJ$105,1)+1)/$B$3*100,"0")&amp;"%",IF(A37="","",IF(AC37="","결측",TEXT(AC37,"0.0%"))))</f>
        <v/>
      </c>
      <c r="X37">
        <f>IF(A37="","",IF(AR37="","통과","제외: "&amp;AR37))</f>
        <v/>
      </c>
      <c r="Y37" s="21">
        <f>IF(AND(ISNUMBER(G37),ISNUMBER(H37)),IF(G37&gt;0,H37/G37,""),"")</f>
        <v/>
      </c>
      <c r="Z37" s="22">
        <f>IF(AND(ISNUMBER(F37),ISNUMBER(G37)),IF(G37&gt;0,F37/G37,""),"")</f>
        <v/>
      </c>
      <c r="AA37" s="22">
        <f>IF(AND(ISNUMBER(J37),ISNUMBER(K37)),IF(AND(J37&gt;0,K37&gt;0),(J37/K37)^(1/3)-1,""),"")</f>
        <v/>
      </c>
      <c r="AB37" s="22">
        <f>IF(AND(ISNUMBER(I37),ISNUMBER(L37),ISNUMBER(M37),ISNUMBER(N37)),IF((L37+M37-N37)&gt;0,I37/(L37+M37-N37),""),"")</f>
        <v/>
      </c>
      <c r="AC37" s="22">
        <f>IF(AND(ISNUMBER(O37),ISNUMBER(P37)),IF(AND(O37&gt;0,P37&gt;0),P37/O37-1,""),"")</f>
        <v/>
      </c>
      <c r="AD37">
        <f>_xlfn.TEXTJOIN(", ",TRUE,IF(Z37="","ROE",""),IF(AA37="","매출성장률",""),IF(AB37="","이익수익률",""),IF(AC37="","12-1 수익률",""))</f>
        <v/>
      </c>
      <c r="AE37">
        <f>IF(A37="","",IF(AR37&lt;&gt;"","점수 없음(거름망)",IF(AD37="","채점","점수 없음(결측: "&amp;AD37&amp;")")))</f>
        <v/>
      </c>
      <c r="AF37">
        <f>IF(AE37="채점",1,"")</f>
        <v/>
      </c>
      <c r="AG37">
        <f>IF(AF37=1,Z37,"")</f>
        <v/>
      </c>
      <c r="AH37">
        <f>IF(AF37=1,AA37,"")</f>
        <v/>
      </c>
      <c r="AI37">
        <f>IF(AF37=1,AB37,"")</f>
        <v/>
      </c>
      <c r="AJ37">
        <f>IF(AF37=1,AC37,"")</f>
        <v/>
      </c>
      <c r="AK37">
        <f>IF(AF37=1,IF($B$3=1,50,(_xlfn.RANK.AVG(AG37,$AG$6:$AG$105,1)-1)/($B$3-1)*100),"")</f>
        <v/>
      </c>
      <c r="AL37">
        <f>IF(AF37=1,IF($B$3=1,50,(_xlfn.RANK.AVG(AH37,$AH$6:$AH$105,1)-1)/($B$3-1)*100),"")</f>
        <v/>
      </c>
      <c r="AM37">
        <f>IF(AF37=1,IF($B$3=1,50,(_xlfn.RANK.AVG(AI37,$AI$6:$AI$105,1)-1)/($B$3-1)*100),"")</f>
        <v/>
      </c>
      <c r="AN37">
        <f>IF(AF37=1,IF($B$3=1,50,(_xlfn.RANK.AVG(AJ37,$AJ$6:$AJ$105,1)-1)/($B$3-1)*100),"")</f>
        <v/>
      </c>
      <c r="AO37">
        <f>IF(AF37=1,ROUND(AVERAGE(AK37:AN37),6),"")</f>
        <v/>
      </c>
      <c r="AP37">
        <f>IF(AND(AF37=1,C37&lt;&gt;"Y"),R37,"")</f>
        <v/>
      </c>
      <c r="AQ37">
        <f>IF(AND(ISNUMBER(AP37),Q37="편입 후보"),AP37+(1000-ROW())/1000000,"")</f>
        <v/>
      </c>
      <c r="AR37">
        <f>IF(A37="","",_xlfn.TEXTJOIN(", ",TRUE,IF(D37="Y","금융·리츠",""),IF(NOT(ISNUMBER(I37)),"영업이익 없음",IF(I37&lt;=0,"영업적자","")),IF(OR(NOT(ISNUMBER(G37)),NOT(ISNUMBER(H37))),"부채비율 자료 없음",IF(G37&lt;=0,"자본잠식",IF(H37/G37&gt;'설정'!$B$8,"부채비율 초과",""))),IF(NOT(ISNUMBER(L37)),"시총 없음",IF(L37&lt;'설정'!$B$10,"시총 미달",""))))</f>
        <v/>
      </c>
    </row>
    <row r="38">
      <c r="A38" s="18" t="n"/>
      <c r="B38" s="19" t="n"/>
      <c r="C38" s="19" t="n"/>
      <c r="D38" s="19" t="n"/>
      <c r="E38" s="19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3" t="n"/>
      <c r="P38" s="23" t="n"/>
      <c r="Q38" s="7">
        <f>IF(A38="","",IF(C38="Y",IF(AF38=1,IF(AND(R38&lt;'설정'!$B$6,ISNUMBER($H$3)),IF(ROUND($H$3-R38,1)&gt;='설정'!$B$7,"교체 제안 → "&amp;$E$3&amp;" ("&amp;TEXT($H$3,"0.0")&amp;")","보유 유지"),"보유 유지"),"보유 · 점수 없음"),IF(AF38=1,IF(R38&gt;='설정'!$B$5,"편입 후보",""),"")))</f>
        <v/>
      </c>
      <c r="R38" s="15">
        <f>IF(AF38=1,ROUND(IF($B$3=1,50,(_xlfn.RANK.AVG(AO38,$AO$6:$AO$105,1)-1)/($B$3-1)*100),1),"")</f>
        <v/>
      </c>
      <c r="S38">
        <f>IF(A38="","",IF(AF38=1,_xlfn.TEXTJOIN(". ",TRUE,_xlfn.TEXTJOIN(", ",TRUE,IF(AK38&gt;='설정'!$B$20,"수익성 높음",""),IF(AL38&gt;='설정'!$B$20,"성장 빠름",""),IF(AM38&gt;='설정'!$B$20,"가격 쌈",""),IF(AN38&gt;='설정'!$B$20,"추세 좋음","")),_xlfn.TEXTJOIN(", ",TRUE,IF(AK38&lt;'설정'!$B$21,"수익성 낮음",""),IF(AL38&lt;'설정'!$B$21,"성장 느림",""),IF(AM38&lt;'설정'!$B$21,"가격 비쌈",""),IF(AN38&lt;'설정'!$B$21,"추세 약함","")),IF(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="","","보통: "&amp;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)),IF(X38="통과",AE38,X38)))</f>
        <v/>
      </c>
      <c r="T38">
        <f>IF(AF38=1,TEXT(Z38,"0.0%")&amp;" · 상위 "&amp;TEXT(($B$3-_xlfn.RANK.AVG(AG38,$AG$6:$AG$105,1)+1)/$B$3*100,"0")&amp;"%",IF(A38="","",IF(Z38="","결측",TEXT(Z38,"0.0%"))))</f>
        <v/>
      </c>
      <c r="U38">
        <f>IF(AF38=1,TEXT(AA38,"0.0%")&amp;" · 상위 "&amp;TEXT(($B$3-_xlfn.RANK.AVG(AH38,$AH$6:$AH$105,1)+1)/$B$3*100,"0")&amp;"%",IF(A38="","",IF(AA38="","결측",TEXT(AA38,"0.0%"))))</f>
        <v/>
      </c>
      <c r="V38">
        <f>IF(AF38=1,TEXT(AB38,"0.0%")&amp;" · 상위 "&amp;TEXT(($B$3-_xlfn.RANK.AVG(AI38,$AI$6:$AI$105,1)+1)/$B$3*100,"0")&amp;"%",IF(A38="","",IF(AB38="","결측",TEXT(AB38,"0.0%"))))</f>
        <v/>
      </c>
      <c r="W38">
        <f>IF(AF38=1,TEXT(AC38,"0.0%")&amp;" · 상위 "&amp;TEXT(($B$3-_xlfn.RANK.AVG(AJ38,$AJ$6:$AJ$105,1)+1)/$B$3*100,"0")&amp;"%",IF(A38="","",IF(AC38="","결측",TEXT(AC38,"0.0%"))))</f>
        <v/>
      </c>
      <c r="X38">
        <f>IF(A38="","",IF(AR38="","통과","제외: "&amp;AR38))</f>
        <v/>
      </c>
      <c r="Y38" s="21">
        <f>IF(AND(ISNUMBER(G38),ISNUMBER(H38)),IF(G38&gt;0,H38/G38,""),"")</f>
        <v/>
      </c>
      <c r="Z38" s="22">
        <f>IF(AND(ISNUMBER(F38),ISNUMBER(G38)),IF(G38&gt;0,F38/G38,""),"")</f>
        <v/>
      </c>
      <c r="AA38" s="22">
        <f>IF(AND(ISNUMBER(J38),ISNUMBER(K38)),IF(AND(J38&gt;0,K38&gt;0),(J38/K38)^(1/3)-1,""),"")</f>
        <v/>
      </c>
      <c r="AB38" s="22">
        <f>IF(AND(ISNUMBER(I38),ISNUMBER(L38),ISNUMBER(M38),ISNUMBER(N38)),IF((L38+M38-N38)&gt;0,I38/(L38+M38-N38),""),"")</f>
        <v/>
      </c>
      <c r="AC38" s="22">
        <f>IF(AND(ISNUMBER(O38),ISNUMBER(P38)),IF(AND(O38&gt;0,P38&gt;0),P38/O38-1,""),"")</f>
        <v/>
      </c>
      <c r="AD38">
        <f>_xlfn.TEXTJOIN(", ",TRUE,IF(Z38="","ROE",""),IF(AA38="","매출성장률",""),IF(AB38="","이익수익률",""),IF(AC38="","12-1 수익률",""))</f>
        <v/>
      </c>
      <c r="AE38">
        <f>IF(A38="","",IF(AR38&lt;&gt;"","점수 없음(거름망)",IF(AD38="","채점","점수 없음(결측: "&amp;AD38&amp;")")))</f>
        <v/>
      </c>
      <c r="AF38">
        <f>IF(AE38="채점",1,"")</f>
        <v/>
      </c>
      <c r="AG38">
        <f>IF(AF38=1,Z38,"")</f>
        <v/>
      </c>
      <c r="AH38">
        <f>IF(AF38=1,AA38,"")</f>
        <v/>
      </c>
      <c r="AI38">
        <f>IF(AF38=1,AB38,"")</f>
        <v/>
      </c>
      <c r="AJ38">
        <f>IF(AF38=1,AC38,"")</f>
        <v/>
      </c>
      <c r="AK38">
        <f>IF(AF38=1,IF($B$3=1,50,(_xlfn.RANK.AVG(AG38,$AG$6:$AG$105,1)-1)/($B$3-1)*100),"")</f>
        <v/>
      </c>
      <c r="AL38">
        <f>IF(AF38=1,IF($B$3=1,50,(_xlfn.RANK.AVG(AH38,$AH$6:$AH$105,1)-1)/($B$3-1)*100),"")</f>
        <v/>
      </c>
      <c r="AM38">
        <f>IF(AF38=1,IF($B$3=1,50,(_xlfn.RANK.AVG(AI38,$AI$6:$AI$105,1)-1)/($B$3-1)*100),"")</f>
        <v/>
      </c>
      <c r="AN38">
        <f>IF(AF38=1,IF($B$3=1,50,(_xlfn.RANK.AVG(AJ38,$AJ$6:$AJ$105,1)-1)/($B$3-1)*100),"")</f>
        <v/>
      </c>
      <c r="AO38">
        <f>IF(AF38=1,ROUND(AVERAGE(AK38:AN38),6),"")</f>
        <v/>
      </c>
      <c r="AP38">
        <f>IF(AND(AF38=1,C38&lt;&gt;"Y"),R38,"")</f>
        <v/>
      </c>
      <c r="AQ38">
        <f>IF(AND(ISNUMBER(AP38),Q38="편입 후보"),AP38+(1000-ROW())/1000000,"")</f>
        <v/>
      </c>
      <c r="AR38">
        <f>IF(A38="","",_xlfn.TEXTJOIN(", ",TRUE,IF(D38="Y","금융·리츠",""),IF(NOT(ISNUMBER(I38)),"영업이익 없음",IF(I38&lt;=0,"영업적자","")),IF(OR(NOT(ISNUMBER(G38)),NOT(ISNUMBER(H38))),"부채비율 자료 없음",IF(G38&lt;=0,"자본잠식",IF(H38/G38&gt;'설정'!$B$8,"부채비율 초과",""))),IF(NOT(ISNUMBER(L38)),"시총 없음",IF(L38&lt;'설정'!$B$10,"시총 미달",""))))</f>
        <v/>
      </c>
    </row>
    <row r="39">
      <c r="A39" s="18" t="n"/>
      <c r="B39" s="19" t="n"/>
      <c r="C39" s="19" t="n"/>
      <c r="D39" s="19" t="n"/>
      <c r="E39" s="19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3" t="n"/>
      <c r="P39" s="23" t="n"/>
      <c r="Q39" s="7">
        <f>IF(A39="","",IF(C39="Y",IF(AF39=1,IF(AND(R39&lt;'설정'!$B$6,ISNUMBER($H$3)),IF(ROUND($H$3-R39,1)&gt;='설정'!$B$7,"교체 제안 → "&amp;$E$3&amp;" ("&amp;TEXT($H$3,"0.0")&amp;")","보유 유지"),"보유 유지"),"보유 · 점수 없음"),IF(AF39=1,IF(R39&gt;='설정'!$B$5,"편입 후보",""),"")))</f>
        <v/>
      </c>
      <c r="R39" s="15">
        <f>IF(AF39=1,ROUND(IF($B$3=1,50,(_xlfn.RANK.AVG(AO39,$AO$6:$AO$105,1)-1)/($B$3-1)*100),1),"")</f>
        <v/>
      </c>
      <c r="S39">
        <f>IF(A39="","",IF(AF39=1,_xlfn.TEXTJOIN(". ",TRUE,_xlfn.TEXTJOIN(", ",TRUE,IF(AK39&gt;='설정'!$B$20,"수익성 높음",""),IF(AL39&gt;='설정'!$B$20,"성장 빠름",""),IF(AM39&gt;='설정'!$B$20,"가격 쌈",""),IF(AN39&gt;='설정'!$B$20,"추세 좋음","")),_xlfn.TEXTJOIN(", ",TRUE,IF(AK39&lt;'설정'!$B$21,"수익성 낮음",""),IF(AL39&lt;'설정'!$B$21,"성장 느림",""),IF(AM39&lt;'설정'!$B$21,"가격 비쌈",""),IF(AN39&lt;'설정'!$B$21,"추세 약함","")),IF(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="","","보통: "&amp;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)),IF(X39="통과",AE39,X39)))</f>
        <v/>
      </c>
      <c r="T39">
        <f>IF(AF39=1,TEXT(Z39,"0.0%")&amp;" · 상위 "&amp;TEXT(($B$3-_xlfn.RANK.AVG(AG39,$AG$6:$AG$105,1)+1)/$B$3*100,"0")&amp;"%",IF(A39="","",IF(Z39="","결측",TEXT(Z39,"0.0%"))))</f>
        <v/>
      </c>
      <c r="U39">
        <f>IF(AF39=1,TEXT(AA39,"0.0%")&amp;" · 상위 "&amp;TEXT(($B$3-_xlfn.RANK.AVG(AH39,$AH$6:$AH$105,1)+1)/$B$3*100,"0")&amp;"%",IF(A39="","",IF(AA39="","결측",TEXT(AA39,"0.0%"))))</f>
        <v/>
      </c>
      <c r="V39">
        <f>IF(AF39=1,TEXT(AB39,"0.0%")&amp;" · 상위 "&amp;TEXT(($B$3-_xlfn.RANK.AVG(AI39,$AI$6:$AI$105,1)+1)/$B$3*100,"0")&amp;"%",IF(A39="","",IF(AB39="","결측",TEXT(AB39,"0.0%"))))</f>
        <v/>
      </c>
      <c r="W39">
        <f>IF(AF39=1,TEXT(AC39,"0.0%")&amp;" · 상위 "&amp;TEXT(($B$3-_xlfn.RANK.AVG(AJ39,$AJ$6:$AJ$105,1)+1)/$B$3*100,"0")&amp;"%",IF(A39="","",IF(AC39="","결측",TEXT(AC39,"0.0%"))))</f>
        <v/>
      </c>
      <c r="X39">
        <f>IF(A39="","",IF(AR39="","통과","제외: "&amp;AR39))</f>
        <v/>
      </c>
      <c r="Y39" s="21">
        <f>IF(AND(ISNUMBER(G39),ISNUMBER(H39)),IF(G39&gt;0,H39/G39,""),"")</f>
        <v/>
      </c>
      <c r="Z39" s="22">
        <f>IF(AND(ISNUMBER(F39),ISNUMBER(G39)),IF(G39&gt;0,F39/G39,""),"")</f>
        <v/>
      </c>
      <c r="AA39" s="22">
        <f>IF(AND(ISNUMBER(J39),ISNUMBER(K39)),IF(AND(J39&gt;0,K39&gt;0),(J39/K39)^(1/3)-1,""),"")</f>
        <v/>
      </c>
      <c r="AB39" s="22">
        <f>IF(AND(ISNUMBER(I39),ISNUMBER(L39),ISNUMBER(M39),ISNUMBER(N39)),IF((L39+M39-N39)&gt;0,I39/(L39+M39-N39),""),"")</f>
        <v/>
      </c>
      <c r="AC39" s="22">
        <f>IF(AND(ISNUMBER(O39),ISNUMBER(P39)),IF(AND(O39&gt;0,P39&gt;0),P39/O39-1,""),"")</f>
        <v/>
      </c>
      <c r="AD39">
        <f>_xlfn.TEXTJOIN(", ",TRUE,IF(Z39="","ROE",""),IF(AA39="","매출성장률",""),IF(AB39="","이익수익률",""),IF(AC39="","12-1 수익률",""))</f>
        <v/>
      </c>
      <c r="AE39">
        <f>IF(A39="","",IF(AR39&lt;&gt;"","점수 없음(거름망)",IF(AD39="","채점","점수 없음(결측: "&amp;AD39&amp;")")))</f>
        <v/>
      </c>
      <c r="AF39">
        <f>IF(AE39="채점",1,"")</f>
        <v/>
      </c>
      <c r="AG39">
        <f>IF(AF39=1,Z39,"")</f>
        <v/>
      </c>
      <c r="AH39">
        <f>IF(AF39=1,AA39,"")</f>
        <v/>
      </c>
      <c r="AI39">
        <f>IF(AF39=1,AB39,"")</f>
        <v/>
      </c>
      <c r="AJ39">
        <f>IF(AF39=1,AC39,"")</f>
        <v/>
      </c>
      <c r="AK39">
        <f>IF(AF39=1,IF($B$3=1,50,(_xlfn.RANK.AVG(AG39,$AG$6:$AG$105,1)-1)/($B$3-1)*100),"")</f>
        <v/>
      </c>
      <c r="AL39">
        <f>IF(AF39=1,IF($B$3=1,50,(_xlfn.RANK.AVG(AH39,$AH$6:$AH$105,1)-1)/($B$3-1)*100),"")</f>
        <v/>
      </c>
      <c r="AM39">
        <f>IF(AF39=1,IF($B$3=1,50,(_xlfn.RANK.AVG(AI39,$AI$6:$AI$105,1)-1)/($B$3-1)*100),"")</f>
        <v/>
      </c>
      <c r="AN39">
        <f>IF(AF39=1,IF($B$3=1,50,(_xlfn.RANK.AVG(AJ39,$AJ$6:$AJ$105,1)-1)/($B$3-1)*100),"")</f>
        <v/>
      </c>
      <c r="AO39">
        <f>IF(AF39=1,ROUND(AVERAGE(AK39:AN39),6),"")</f>
        <v/>
      </c>
      <c r="AP39">
        <f>IF(AND(AF39=1,C39&lt;&gt;"Y"),R39,"")</f>
        <v/>
      </c>
      <c r="AQ39">
        <f>IF(AND(ISNUMBER(AP39),Q39="편입 후보"),AP39+(1000-ROW())/1000000,"")</f>
        <v/>
      </c>
      <c r="AR39">
        <f>IF(A39="","",_xlfn.TEXTJOIN(", ",TRUE,IF(D39="Y","금융·리츠",""),IF(NOT(ISNUMBER(I39)),"영업이익 없음",IF(I39&lt;=0,"영업적자","")),IF(OR(NOT(ISNUMBER(G39)),NOT(ISNUMBER(H39))),"부채비율 자료 없음",IF(G39&lt;=0,"자본잠식",IF(H39/G39&gt;'설정'!$B$8,"부채비율 초과",""))),IF(NOT(ISNUMBER(L39)),"시총 없음",IF(L39&lt;'설정'!$B$10,"시총 미달",""))))</f>
        <v/>
      </c>
    </row>
    <row r="40">
      <c r="A40" s="18" t="n"/>
      <c r="B40" s="19" t="n"/>
      <c r="C40" s="19" t="n"/>
      <c r="D40" s="19" t="n"/>
      <c r="E40" s="19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3" t="n"/>
      <c r="P40" s="23" t="n"/>
      <c r="Q40" s="7">
        <f>IF(A40="","",IF(C40="Y",IF(AF40=1,IF(AND(R40&lt;'설정'!$B$6,ISNUMBER($H$3)),IF(ROUND($H$3-R40,1)&gt;='설정'!$B$7,"교체 제안 → "&amp;$E$3&amp;" ("&amp;TEXT($H$3,"0.0")&amp;")","보유 유지"),"보유 유지"),"보유 · 점수 없음"),IF(AF40=1,IF(R40&gt;='설정'!$B$5,"편입 후보",""),"")))</f>
        <v/>
      </c>
      <c r="R40" s="15">
        <f>IF(AF40=1,ROUND(IF($B$3=1,50,(_xlfn.RANK.AVG(AO40,$AO$6:$AO$105,1)-1)/($B$3-1)*100),1),"")</f>
        <v/>
      </c>
      <c r="S40">
        <f>IF(A40="","",IF(AF40=1,_xlfn.TEXTJOIN(". ",TRUE,_xlfn.TEXTJOIN(", ",TRUE,IF(AK40&gt;='설정'!$B$20,"수익성 높음",""),IF(AL40&gt;='설정'!$B$20,"성장 빠름",""),IF(AM40&gt;='설정'!$B$20,"가격 쌈",""),IF(AN40&gt;='설정'!$B$20,"추세 좋음","")),_xlfn.TEXTJOIN(", ",TRUE,IF(AK40&lt;'설정'!$B$21,"수익성 낮음",""),IF(AL40&lt;'설정'!$B$21,"성장 느림",""),IF(AM40&lt;'설정'!$B$21,"가격 비쌈",""),IF(AN40&lt;'설정'!$B$21,"추세 약함","")),IF(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="","","보통: "&amp;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)),IF(X40="통과",AE40,X40)))</f>
        <v/>
      </c>
      <c r="T40">
        <f>IF(AF40=1,TEXT(Z40,"0.0%")&amp;" · 상위 "&amp;TEXT(($B$3-_xlfn.RANK.AVG(AG40,$AG$6:$AG$105,1)+1)/$B$3*100,"0")&amp;"%",IF(A40="","",IF(Z40="","결측",TEXT(Z40,"0.0%"))))</f>
        <v/>
      </c>
      <c r="U40">
        <f>IF(AF40=1,TEXT(AA40,"0.0%")&amp;" · 상위 "&amp;TEXT(($B$3-_xlfn.RANK.AVG(AH40,$AH$6:$AH$105,1)+1)/$B$3*100,"0")&amp;"%",IF(A40="","",IF(AA40="","결측",TEXT(AA40,"0.0%"))))</f>
        <v/>
      </c>
      <c r="V40">
        <f>IF(AF40=1,TEXT(AB40,"0.0%")&amp;" · 상위 "&amp;TEXT(($B$3-_xlfn.RANK.AVG(AI40,$AI$6:$AI$105,1)+1)/$B$3*100,"0")&amp;"%",IF(A40="","",IF(AB40="","결측",TEXT(AB40,"0.0%"))))</f>
        <v/>
      </c>
      <c r="W40">
        <f>IF(AF40=1,TEXT(AC40,"0.0%")&amp;" · 상위 "&amp;TEXT(($B$3-_xlfn.RANK.AVG(AJ40,$AJ$6:$AJ$105,1)+1)/$B$3*100,"0")&amp;"%",IF(A40="","",IF(AC40="","결측",TEXT(AC40,"0.0%"))))</f>
        <v/>
      </c>
      <c r="X40">
        <f>IF(A40="","",IF(AR40="","통과","제외: "&amp;AR40))</f>
        <v/>
      </c>
      <c r="Y40" s="21">
        <f>IF(AND(ISNUMBER(G40),ISNUMBER(H40)),IF(G40&gt;0,H40/G40,""),"")</f>
        <v/>
      </c>
      <c r="Z40" s="22">
        <f>IF(AND(ISNUMBER(F40),ISNUMBER(G40)),IF(G40&gt;0,F40/G40,""),"")</f>
        <v/>
      </c>
      <c r="AA40" s="22">
        <f>IF(AND(ISNUMBER(J40),ISNUMBER(K40)),IF(AND(J40&gt;0,K40&gt;0),(J40/K40)^(1/3)-1,""),"")</f>
        <v/>
      </c>
      <c r="AB40" s="22">
        <f>IF(AND(ISNUMBER(I40),ISNUMBER(L40),ISNUMBER(M40),ISNUMBER(N40)),IF((L40+M40-N40)&gt;0,I40/(L40+M40-N40),""),"")</f>
        <v/>
      </c>
      <c r="AC40" s="22">
        <f>IF(AND(ISNUMBER(O40),ISNUMBER(P40)),IF(AND(O40&gt;0,P40&gt;0),P40/O40-1,""),"")</f>
        <v/>
      </c>
      <c r="AD40">
        <f>_xlfn.TEXTJOIN(", ",TRUE,IF(Z40="","ROE",""),IF(AA40="","매출성장률",""),IF(AB40="","이익수익률",""),IF(AC40="","12-1 수익률",""))</f>
        <v/>
      </c>
      <c r="AE40">
        <f>IF(A40="","",IF(AR40&lt;&gt;"","점수 없음(거름망)",IF(AD40="","채점","점수 없음(결측: "&amp;AD40&amp;")")))</f>
        <v/>
      </c>
      <c r="AF40">
        <f>IF(AE40="채점",1,"")</f>
        <v/>
      </c>
      <c r="AG40">
        <f>IF(AF40=1,Z40,"")</f>
        <v/>
      </c>
      <c r="AH40">
        <f>IF(AF40=1,AA40,"")</f>
        <v/>
      </c>
      <c r="AI40">
        <f>IF(AF40=1,AB40,"")</f>
        <v/>
      </c>
      <c r="AJ40">
        <f>IF(AF40=1,AC40,"")</f>
        <v/>
      </c>
      <c r="AK40">
        <f>IF(AF40=1,IF($B$3=1,50,(_xlfn.RANK.AVG(AG40,$AG$6:$AG$105,1)-1)/($B$3-1)*100),"")</f>
        <v/>
      </c>
      <c r="AL40">
        <f>IF(AF40=1,IF($B$3=1,50,(_xlfn.RANK.AVG(AH40,$AH$6:$AH$105,1)-1)/($B$3-1)*100),"")</f>
        <v/>
      </c>
      <c r="AM40">
        <f>IF(AF40=1,IF($B$3=1,50,(_xlfn.RANK.AVG(AI40,$AI$6:$AI$105,1)-1)/($B$3-1)*100),"")</f>
        <v/>
      </c>
      <c r="AN40">
        <f>IF(AF40=1,IF($B$3=1,50,(_xlfn.RANK.AVG(AJ40,$AJ$6:$AJ$105,1)-1)/($B$3-1)*100),"")</f>
        <v/>
      </c>
      <c r="AO40">
        <f>IF(AF40=1,ROUND(AVERAGE(AK40:AN40),6),"")</f>
        <v/>
      </c>
      <c r="AP40">
        <f>IF(AND(AF40=1,C40&lt;&gt;"Y"),R40,"")</f>
        <v/>
      </c>
      <c r="AQ40">
        <f>IF(AND(ISNUMBER(AP40),Q40="편입 후보"),AP40+(1000-ROW())/1000000,"")</f>
        <v/>
      </c>
      <c r="AR40">
        <f>IF(A40="","",_xlfn.TEXTJOIN(", ",TRUE,IF(D40="Y","금융·리츠",""),IF(NOT(ISNUMBER(I40)),"영업이익 없음",IF(I40&lt;=0,"영업적자","")),IF(OR(NOT(ISNUMBER(G40)),NOT(ISNUMBER(H40))),"부채비율 자료 없음",IF(G40&lt;=0,"자본잠식",IF(H40/G40&gt;'설정'!$B$8,"부채비율 초과",""))),IF(NOT(ISNUMBER(L40)),"시총 없음",IF(L40&lt;'설정'!$B$10,"시총 미달",""))))</f>
        <v/>
      </c>
    </row>
    <row r="41">
      <c r="A41" s="18" t="n"/>
      <c r="B41" s="19" t="n"/>
      <c r="C41" s="19" t="n"/>
      <c r="D41" s="19" t="n"/>
      <c r="E41" s="19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3" t="n"/>
      <c r="P41" s="23" t="n"/>
      <c r="Q41" s="7">
        <f>IF(A41="","",IF(C41="Y",IF(AF41=1,IF(AND(R41&lt;'설정'!$B$6,ISNUMBER($H$3)),IF(ROUND($H$3-R41,1)&gt;='설정'!$B$7,"교체 제안 → "&amp;$E$3&amp;" ("&amp;TEXT($H$3,"0.0")&amp;")","보유 유지"),"보유 유지"),"보유 · 점수 없음"),IF(AF41=1,IF(R41&gt;='설정'!$B$5,"편입 후보",""),"")))</f>
        <v/>
      </c>
      <c r="R41" s="15">
        <f>IF(AF41=1,ROUND(IF($B$3=1,50,(_xlfn.RANK.AVG(AO41,$AO$6:$AO$105,1)-1)/($B$3-1)*100),1),"")</f>
        <v/>
      </c>
      <c r="S41">
        <f>IF(A41="","",IF(AF41=1,_xlfn.TEXTJOIN(". ",TRUE,_xlfn.TEXTJOIN(", ",TRUE,IF(AK41&gt;='설정'!$B$20,"수익성 높음",""),IF(AL41&gt;='설정'!$B$20,"성장 빠름",""),IF(AM41&gt;='설정'!$B$20,"가격 쌈",""),IF(AN41&gt;='설정'!$B$20,"추세 좋음","")),_xlfn.TEXTJOIN(", ",TRUE,IF(AK41&lt;'설정'!$B$21,"수익성 낮음",""),IF(AL41&lt;'설정'!$B$21,"성장 느림",""),IF(AM41&lt;'설정'!$B$21,"가격 비쌈",""),IF(AN41&lt;'설정'!$B$21,"추세 약함","")),IF(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="","","보통: "&amp;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)),IF(X41="통과",AE41,X41)))</f>
        <v/>
      </c>
      <c r="T41">
        <f>IF(AF41=1,TEXT(Z41,"0.0%")&amp;" · 상위 "&amp;TEXT(($B$3-_xlfn.RANK.AVG(AG41,$AG$6:$AG$105,1)+1)/$B$3*100,"0")&amp;"%",IF(A41="","",IF(Z41="","결측",TEXT(Z41,"0.0%"))))</f>
        <v/>
      </c>
      <c r="U41">
        <f>IF(AF41=1,TEXT(AA41,"0.0%")&amp;" · 상위 "&amp;TEXT(($B$3-_xlfn.RANK.AVG(AH41,$AH$6:$AH$105,1)+1)/$B$3*100,"0")&amp;"%",IF(A41="","",IF(AA41="","결측",TEXT(AA41,"0.0%"))))</f>
        <v/>
      </c>
      <c r="V41">
        <f>IF(AF41=1,TEXT(AB41,"0.0%")&amp;" · 상위 "&amp;TEXT(($B$3-_xlfn.RANK.AVG(AI41,$AI$6:$AI$105,1)+1)/$B$3*100,"0")&amp;"%",IF(A41="","",IF(AB41="","결측",TEXT(AB41,"0.0%"))))</f>
        <v/>
      </c>
      <c r="W41">
        <f>IF(AF41=1,TEXT(AC41,"0.0%")&amp;" · 상위 "&amp;TEXT(($B$3-_xlfn.RANK.AVG(AJ41,$AJ$6:$AJ$105,1)+1)/$B$3*100,"0")&amp;"%",IF(A41="","",IF(AC41="","결측",TEXT(AC41,"0.0%"))))</f>
        <v/>
      </c>
      <c r="X41">
        <f>IF(A41="","",IF(AR41="","통과","제외: "&amp;AR41))</f>
        <v/>
      </c>
      <c r="Y41" s="21">
        <f>IF(AND(ISNUMBER(G41),ISNUMBER(H41)),IF(G41&gt;0,H41/G41,""),"")</f>
        <v/>
      </c>
      <c r="Z41" s="22">
        <f>IF(AND(ISNUMBER(F41),ISNUMBER(G41)),IF(G41&gt;0,F41/G41,""),"")</f>
        <v/>
      </c>
      <c r="AA41" s="22">
        <f>IF(AND(ISNUMBER(J41),ISNUMBER(K41)),IF(AND(J41&gt;0,K41&gt;0),(J41/K41)^(1/3)-1,""),"")</f>
        <v/>
      </c>
      <c r="AB41" s="22">
        <f>IF(AND(ISNUMBER(I41),ISNUMBER(L41),ISNUMBER(M41),ISNUMBER(N41)),IF((L41+M41-N41)&gt;0,I41/(L41+M41-N41),""),"")</f>
        <v/>
      </c>
      <c r="AC41" s="22">
        <f>IF(AND(ISNUMBER(O41),ISNUMBER(P41)),IF(AND(O41&gt;0,P41&gt;0),P41/O41-1,""),"")</f>
        <v/>
      </c>
      <c r="AD41">
        <f>_xlfn.TEXTJOIN(", ",TRUE,IF(Z41="","ROE",""),IF(AA41="","매출성장률",""),IF(AB41="","이익수익률",""),IF(AC41="","12-1 수익률",""))</f>
        <v/>
      </c>
      <c r="AE41">
        <f>IF(A41="","",IF(AR41&lt;&gt;"","점수 없음(거름망)",IF(AD41="","채점","점수 없음(결측: "&amp;AD41&amp;")")))</f>
        <v/>
      </c>
      <c r="AF41">
        <f>IF(AE41="채점",1,"")</f>
        <v/>
      </c>
      <c r="AG41">
        <f>IF(AF41=1,Z41,"")</f>
        <v/>
      </c>
      <c r="AH41">
        <f>IF(AF41=1,AA41,"")</f>
        <v/>
      </c>
      <c r="AI41">
        <f>IF(AF41=1,AB41,"")</f>
        <v/>
      </c>
      <c r="AJ41">
        <f>IF(AF41=1,AC41,"")</f>
        <v/>
      </c>
      <c r="AK41">
        <f>IF(AF41=1,IF($B$3=1,50,(_xlfn.RANK.AVG(AG41,$AG$6:$AG$105,1)-1)/($B$3-1)*100),"")</f>
        <v/>
      </c>
      <c r="AL41">
        <f>IF(AF41=1,IF($B$3=1,50,(_xlfn.RANK.AVG(AH41,$AH$6:$AH$105,1)-1)/($B$3-1)*100),"")</f>
        <v/>
      </c>
      <c r="AM41">
        <f>IF(AF41=1,IF($B$3=1,50,(_xlfn.RANK.AVG(AI41,$AI$6:$AI$105,1)-1)/($B$3-1)*100),"")</f>
        <v/>
      </c>
      <c r="AN41">
        <f>IF(AF41=1,IF($B$3=1,50,(_xlfn.RANK.AVG(AJ41,$AJ$6:$AJ$105,1)-1)/($B$3-1)*100),"")</f>
        <v/>
      </c>
      <c r="AO41">
        <f>IF(AF41=1,ROUND(AVERAGE(AK41:AN41),6),"")</f>
        <v/>
      </c>
      <c r="AP41">
        <f>IF(AND(AF41=1,C41&lt;&gt;"Y"),R41,"")</f>
        <v/>
      </c>
      <c r="AQ41">
        <f>IF(AND(ISNUMBER(AP41),Q41="편입 후보"),AP41+(1000-ROW())/1000000,"")</f>
        <v/>
      </c>
      <c r="AR41">
        <f>IF(A41="","",_xlfn.TEXTJOIN(", ",TRUE,IF(D41="Y","금융·리츠",""),IF(NOT(ISNUMBER(I41)),"영업이익 없음",IF(I41&lt;=0,"영업적자","")),IF(OR(NOT(ISNUMBER(G41)),NOT(ISNUMBER(H41))),"부채비율 자료 없음",IF(G41&lt;=0,"자본잠식",IF(H41/G41&gt;'설정'!$B$8,"부채비율 초과",""))),IF(NOT(ISNUMBER(L41)),"시총 없음",IF(L41&lt;'설정'!$B$10,"시총 미달",""))))</f>
        <v/>
      </c>
    </row>
    <row r="42">
      <c r="A42" s="18" t="n"/>
      <c r="B42" s="19" t="n"/>
      <c r="C42" s="19" t="n"/>
      <c r="D42" s="19" t="n"/>
      <c r="E42" s="19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3" t="n"/>
      <c r="P42" s="23" t="n"/>
      <c r="Q42" s="7">
        <f>IF(A42="","",IF(C42="Y",IF(AF42=1,IF(AND(R42&lt;'설정'!$B$6,ISNUMBER($H$3)),IF(ROUND($H$3-R42,1)&gt;='설정'!$B$7,"교체 제안 → "&amp;$E$3&amp;" ("&amp;TEXT($H$3,"0.0")&amp;")","보유 유지"),"보유 유지"),"보유 · 점수 없음"),IF(AF42=1,IF(R42&gt;='설정'!$B$5,"편입 후보",""),"")))</f>
        <v/>
      </c>
      <c r="R42" s="15">
        <f>IF(AF42=1,ROUND(IF($B$3=1,50,(_xlfn.RANK.AVG(AO42,$AO$6:$AO$105,1)-1)/($B$3-1)*100),1),"")</f>
        <v/>
      </c>
      <c r="S42">
        <f>IF(A42="","",IF(AF42=1,_xlfn.TEXTJOIN(". ",TRUE,_xlfn.TEXTJOIN(", ",TRUE,IF(AK42&gt;='설정'!$B$20,"수익성 높음",""),IF(AL42&gt;='설정'!$B$20,"성장 빠름",""),IF(AM42&gt;='설정'!$B$20,"가격 쌈",""),IF(AN42&gt;='설정'!$B$20,"추세 좋음","")),_xlfn.TEXTJOIN(", ",TRUE,IF(AK42&lt;'설정'!$B$21,"수익성 낮음",""),IF(AL42&lt;'설정'!$B$21,"성장 느림",""),IF(AM42&lt;'설정'!$B$21,"가격 비쌈",""),IF(AN42&lt;'설정'!$B$21,"추세 약함","")),IF(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="","","보통: "&amp;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)),IF(X42="통과",AE42,X42)))</f>
        <v/>
      </c>
      <c r="T42">
        <f>IF(AF42=1,TEXT(Z42,"0.0%")&amp;" · 상위 "&amp;TEXT(($B$3-_xlfn.RANK.AVG(AG42,$AG$6:$AG$105,1)+1)/$B$3*100,"0")&amp;"%",IF(A42="","",IF(Z42="","결측",TEXT(Z42,"0.0%"))))</f>
        <v/>
      </c>
      <c r="U42">
        <f>IF(AF42=1,TEXT(AA42,"0.0%")&amp;" · 상위 "&amp;TEXT(($B$3-_xlfn.RANK.AVG(AH42,$AH$6:$AH$105,1)+1)/$B$3*100,"0")&amp;"%",IF(A42="","",IF(AA42="","결측",TEXT(AA42,"0.0%"))))</f>
        <v/>
      </c>
      <c r="V42">
        <f>IF(AF42=1,TEXT(AB42,"0.0%")&amp;" · 상위 "&amp;TEXT(($B$3-_xlfn.RANK.AVG(AI42,$AI$6:$AI$105,1)+1)/$B$3*100,"0")&amp;"%",IF(A42="","",IF(AB42="","결측",TEXT(AB42,"0.0%"))))</f>
        <v/>
      </c>
      <c r="W42">
        <f>IF(AF42=1,TEXT(AC42,"0.0%")&amp;" · 상위 "&amp;TEXT(($B$3-_xlfn.RANK.AVG(AJ42,$AJ$6:$AJ$105,1)+1)/$B$3*100,"0")&amp;"%",IF(A42="","",IF(AC42="","결측",TEXT(AC42,"0.0%"))))</f>
        <v/>
      </c>
      <c r="X42">
        <f>IF(A42="","",IF(AR42="","통과","제외: "&amp;AR42))</f>
        <v/>
      </c>
      <c r="Y42" s="21">
        <f>IF(AND(ISNUMBER(G42),ISNUMBER(H42)),IF(G42&gt;0,H42/G42,""),"")</f>
        <v/>
      </c>
      <c r="Z42" s="22">
        <f>IF(AND(ISNUMBER(F42),ISNUMBER(G42)),IF(G42&gt;0,F42/G42,""),"")</f>
        <v/>
      </c>
      <c r="AA42" s="22">
        <f>IF(AND(ISNUMBER(J42),ISNUMBER(K42)),IF(AND(J42&gt;0,K42&gt;0),(J42/K42)^(1/3)-1,""),"")</f>
        <v/>
      </c>
      <c r="AB42" s="22">
        <f>IF(AND(ISNUMBER(I42),ISNUMBER(L42),ISNUMBER(M42),ISNUMBER(N42)),IF((L42+M42-N42)&gt;0,I42/(L42+M42-N42),""),"")</f>
        <v/>
      </c>
      <c r="AC42" s="22">
        <f>IF(AND(ISNUMBER(O42),ISNUMBER(P42)),IF(AND(O42&gt;0,P42&gt;0),P42/O42-1,""),"")</f>
        <v/>
      </c>
      <c r="AD42">
        <f>_xlfn.TEXTJOIN(", ",TRUE,IF(Z42="","ROE",""),IF(AA42="","매출성장률",""),IF(AB42="","이익수익률",""),IF(AC42="","12-1 수익률",""))</f>
        <v/>
      </c>
      <c r="AE42">
        <f>IF(A42="","",IF(AR42&lt;&gt;"","점수 없음(거름망)",IF(AD42="","채점","점수 없음(결측: "&amp;AD42&amp;")")))</f>
        <v/>
      </c>
      <c r="AF42">
        <f>IF(AE42="채점",1,"")</f>
        <v/>
      </c>
      <c r="AG42">
        <f>IF(AF42=1,Z42,"")</f>
        <v/>
      </c>
      <c r="AH42">
        <f>IF(AF42=1,AA42,"")</f>
        <v/>
      </c>
      <c r="AI42">
        <f>IF(AF42=1,AB42,"")</f>
        <v/>
      </c>
      <c r="AJ42">
        <f>IF(AF42=1,AC42,"")</f>
        <v/>
      </c>
      <c r="AK42">
        <f>IF(AF42=1,IF($B$3=1,50,(_xlfn.RANK.AVG(AG42,$AG$6:$AG$105,1)-1)/($B$3-1)*100),"")</f>
        <v/>
      </c>
      <c r="AL42">
        <f>IF(AF42=1,IF($B$3=1,50,(_xlfn.RANK.AVG(AH42,$AH$6:$AH$105,1)-1)/($B$3-1)*100),"")</f>
        <v/>
      </c>
      <c r="AM42">
        <f>IF(AF42=1,IF($B$3=1,50,(_xlfn.RANK.AVG(AI42,$AI$6:$AI$105,1)-1)/($B$3-1)*100),"")</f>
        <v/>
      </c>
      <c r="AN42">
        <f>IF(AF42=1,IF($B$3=1,50,(_xlfn.RANK.AVG(AJ42,$AJ$6:$AJ$105,1)-1)/($B$3-1)*100),"")</f>
        <v/>
      </c>
      <c r="AO42">
        <f>IF(AF42=1,ROUND(AVERAGE(AK42:AN42),6),"")</f>
        <v/>
      </c>
      <c r="AP42">
        <f>IF(AND(AF42=1,C42&lt;&gt;"Y"),R42,"")</f>
        <v/>
      </c>
      <c r="AQ42">
        <f>IF(AND(ISNUMBER(AP42),Q42="편입 후보"),AP42+(1000-ROW())/1000000,"")</f>
        <v/>
      </c>
      <c r="AR42">
        <f>IF(A42="","",_xlfn.TEXTJOIN(", ",TRUE,IF(D42="Y","금융·리츠",""),IF(NOT(ISNUMBER(I42)),"영업이익 없음",IF(I42&lt;=0,"영업적자","")),IF(OR(NOT(ISNUMBER(G42)),NOT(ISNUMBER(H42))),"부채비율 자료 없음",IF(G42&lt;=0,"자본잠식",IF(H42/G42&gt;'설정'!$B$8,"부채비율 초과",""))),IF(NOT(ISNUMBER(L42)),"시총 없음",IF(L42&lt;'설정'!$B$10,"시총 미달",""))))</f>
        <v/>
      </c>
    </row>
    <row r="43">
      <c r="A43" s="18" t="n"/>
      <c r="B43" s="19" t="n"/>
      <c r="C43" s="19" t="n"/>
      <c r="D43" s="19" t="n"/>
      <c r="E43" s="19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3" t="n"/>
      <c r="P43" s="23" t="n"/>
      <c r="Q43" s="7">
        <f>IF(A43="","",IF(C43="Y",IF(AF43=1,IF(AND(R43&lt;'설정'!$B$6,ISNUMBER($H$3)),IF(ROUND($H$3-R43,1)&gt;='설정'!$B$7,"교체 제안 → "&amp;$E$3&amp;" ("&amp;TEXT($H$3,"0.0")&amp;")","보유 유지"),"보유 유지"),"보유 · 점수 없음"),IF(AF43=1,IF(R43&gt;='설정'!$B$5,"편입 후보",""),"")))</f>
        <v/>
      </c>
      <c r="R43" s="15">
        <f>IF(AF43=1,ROUND(IF($B$3=1,50,(_xlfn.RANK.AVG(AO43,$AO$6:$AO$105,1)-1)/($B$3-1)*100),1),"")</f>
        <v/>
      </c>
      <c r="S43">
        <f>IF(A43="","",IF(AF43=1,_xlfn.TEXTJOIN(". ",TRUE,_xlfn.TEXTJOIN(", ",TRUE,IF(AK43&gt;='설정'!$B$20,"수익성 높음",""),IF(AL43&gt;='설정'!$B$20,"성장 빠름",""),IF(AM43&gt;='설정'!$B$20,"가격 쌈",""),IF(AN43&gt;='설정'!$B$20,"추세 좋음","")),_xlfn.TEXTJOIN(", ",TRUE,IF(AK43&lt;'설정'!$B$21,"수익성 낮음",""),IF(AL43&lt;'설정'!$B$21,"성장 느림",""),IF(AM43&lt;'설정'!$B$21,"가격 비쌈",""),IF(AN43&lt;'설정'!$B$21,"추세 약함","")),IF(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="","","보통: "&amp;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)),IF(X43="통과",AE43,X43)))</f>
        <v/>
      </c>
      <c r="T43">
        <f>IF(AF43=1,TEXT(Z43,"0.0%")&amp;" · 상위 "&amp;TEXT(($B$3-_xlfn.RANK.AVG(AG43,$AG$6:$AG$105,1)+1)/$B$3*100,"0")&amp;"%",IF(A43="","",IF(Z43="","결측",TEXT(Z43,"0.0%"))))</f>
        <v/>
      </c>
      <c r="U43">
        <f>IF(AF43=1,TEXT(AA43,"0.0%")&amp;" · 상위 "&amp;TEXT(($B$3-_xlfn.RANK.AVG(AH43,$AH$6:$AH$105,1)+1)/$B$3*100,"0")&amp;"%",IF(A43="","",IF(AA43="","결측",TEXT(AA43,"0.0%"))))</f>
        <v/>
      </c>
      <c r="V43">
        <f>IF(AF43=1,TEXT(AB43,"0.0%")&amp;" · 상위 "&amp;TEXT(($B$3-_xlfn.RANK.AVG(AI43,$AI$6:$AI$105,1)+1)/$B$3*100,"0")&amp;"%",IF(A43="","",IF(AB43="","결측",TEXT(AB43,"0.0%"))))</f>
        <v/>
      </c>
      <c r="W43">
        <f>IF(AF43=1,TEXT(AC43,"0.0%")&amp;" · 상위 "&amp;TEXT(($B$3-_xlfn.RANK.AVG(AJ43,$AJ$6:$AJ$105,1)+1)/$B$3*100,"0")&amp;"%",IF(A43="","",IF(AC43="","결측",TEXT(AC43,"0.0%"))))</f>
        <v/>
      </c>
      <c r="X43">
        <f>IF(A43="","",IF(AR43="","통과","제외: "&amp;AR43))</f>
        <v/>
      </c>
      <c r="Y43" s="21">
        <f>IF(AND(ISNUMBER(G43),ISNUMBER(H43)),IF(G43&gt;0,H43/G43,""),"")</f>
        <v/>
      </c>
      <c r="Z43" s="22">
        <f>IF(AND(ISNUMBER(F43),ISNUMBER(G43)),IF(G43&gt;0,F43/G43,""),"")</f>
        <v/>
      </c>
      <c r="AA43" s="22">
        <f>IF(AND(ISNUMBER(J43),ISNUMBER(K43)),IF(AND(J43&gt;0,K43&gt;0),(J43/K43)^(1/3)-1,""),"")</f>
        <v/>
      </c>
      <c r="AB43" s="22">
        <f>IF(AND(ISNUMBER(I43),ISNUMBER(L43),ISNUMBER(M43),ISNUMBER(N43)),IF((L43+M43-N43)&gt;0,I43/(L43+M43-N43),""),"")</f>
        <v/>
      </c>
      <c r="AC43" s="22">
        <f>IF(AND(ISNUMBER(O43),ISNUMBER(P43)),IF(AND(O43&gt;0,P43&gt;0),P43/O43-1,""),"")</f>
        <v/>
      </c>
      <c r="AD43">
        <f>_xlfn.TEXTJOIN(", ",TRUE,IF(Z43="","ROE",""),IF(AA43="","매출성장률",""),IF(AB43="","이익수익률",""),IF(AC43="","12-1 수익률",""))</f>
        <v/>
      </c>
      <c r="AE43">
        <f>IF(A43="","",IF(AR43&lt;&gt;"","점수 없음(거름망)",IF(AD43="","채점","점수 없음(결측: "&amp;AD43&amp;")")))</f>
        <v/>
      </c>
      <c r="AF43">
        <f>IF(AE43="채점",1,"")</f>
        <v/>
      </c>
      <c r="AG43">
        <f>IF(AF43=1,Z43,"")</f>
        <v/>
      </c>
      <c r="AH43">
        <f>IF(AF43=1,AA43,"")</f>
        <v/>
      </c>
      <c r="AI43">
        <f>IF(AF43=1,AB43,"")</f>
        <v/>
      </c>
      <c r="AJ43">
        <f>IF(AF43=1,AC43,"")</f>
        <v/>
      </c>
      <c r="AK43">
        <f>IF(AF43=1,IF($B$3=1,50,(_xlfn.RANK.AVG(AG43,$AG$6:$AG$105,1)-1)/($B$3-1)*100),"")</f>
        <v/>
      </c>
      <c r="AL43">
        <f>IF(AF43=1,IF($B$3=1,50,(_xlfn.RANK.AVG(AH43,$AH$6:$AH$105,1)-1)/($B$3-1)*100),"")</f>
        <v/>
      </c>
      <c r="AM43">
        <f>IF(AF43=1,IF($B$3=1,50,(_xlfn.RANK.AVG(AI43,$AI$6:$AI$105,1)-1)/($B$3-1)*100),"")</f>
        <v/>
      </c>
      <c r="AN43">
        <f>IF(AF43=1,IF($B$3=1,50,(_xlfn.RANK.AVG(AJ43,$AJ$6:$AJ$105,1)-1)/($B$3-1)*100),"")</f>
        <v/>
      </c>
      <c r="AO43">
        <f>IF(AF43=1,ROUND(AVERAGE(AK43:AN43),6),"")</f>
        <v/>
      </c>
      <c r="AP43">
        <f>IF(AND(AF43=1,C43&lt;&gt;"Y"),R43,"")</f>
        <v/>
      </c>
      <c r="AQ43">
        <f>IF(AND(ISNUMBER(AP43),Q43="편입 후보"),AP43+(1000-ROW())/1000000,"")</f>
        <v/>
      </c>
      <c r="AR43">
        <f>IF(A43="","",_xlfn.TEXTJOIN(", ",TRUE,IF(D43="Y","금융·리츠",""),IF(NOT(ISNUMBER(I43)),"영업이익 없음",IF(I43&lt;=0,"영업적자","")),IF(OR(NOT(ISNUMBER(G43)),NOT(ISNUMBER(H43))),"부채비율 자료 없음",IF(G43&lt;=0,"자본잠식",IF(H43/G43&gt;'설정'!$B$8,"부채비율 초과",""))),IF(NOT(ISNUMBER(L43)),"시총 없음",IF(L43&lt;'설정'!$B$10,"시총 미달",""))))</f>
        <v/>
      </c>
    </row>
    <row r="44">
      <c r="A44" s="18" t="n"/>
      <c r="B44" s="19" t="n"/>
      <c r="C44" s="19" t="n"/>
      <c r="D44" s="19" t="n"/>
      <c r="E44" s="19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3" t="n"/>
      <c r="P44" s="23" t="n"/>
      <c r="Q44" s="7">
        <f>IF(A44="","",IF(C44="Y",IF(AF44=1,IF(AND(R44&lt;'설정'!$B$6,ISNUMBER($H$3)),IF(ROUND($H$3-R44,1)&gt;='설정'!$B$7,"교체 제안 → "&amp;$E$3&amp;" ("&amp;TEXT($H$3,"0.0")&amp;")","보유 유지"),"보유 유지"),"보유 · 점수 없음"),IF(AF44=1,IF(R44&gt;='설정'!$B$5,"편입 후보",""),"")))</f>
        <v/>
      </c>
      <c r="R44" s="15">
        <f>IF(AF44=1,ROUND(IF($B$3=1,50,(_xlfn.RANK.AVG(AO44,$AO$6:$AO$105,1)-1)/($B$3-1)*100),1),"")</f>
        <v/>
      </c>
      <c r="S44">
        <f>IF(A44="","",IF(AF44=1,_xlfn.TEXTJOIN(". ",TRUE,_xlfn.TEXTJOIN(", ",TRUE,IF(AK44&gt;='설정'!$B$20,"수익성 높음",""),IF(AL44&gt;='설정'!$B$20,"성장 빠름",""),IF(AM44&gt;='설정'!$B$20,"가격 쌈",""),IF(AN44&gt;='설정'!$B$20,"추세 좋음","")),_xlfn.TEXTJOIN(", ",TRUE,IF(AK44&lt;'설정'!$B$21,"수익성 낮음",""),IF(AL44&lt;'설정'!$B$21,"성장 느림",""),IF(AM44&lt;'설정'!$B$21,"가격 비쌈",""),IF(AN44&lt;'설정'!$B$21,"추세 약함","")),IF(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="","","보통: "&amp;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)),IF(X44="통과",AE44,X44)))</f>
        <v/>
      </c>
      <c r="T44">
        <f>IF(AF44=1,TEXT(Z44,"0.0%")&amp;" · 상위 "&amp;TEXT(($B$3-_xlfn.RANK.AVG(AG44,$AG$6:$AG$105,1)+1)/$B$3*100,"0")&amp;"%",IF(A44="","",IF(Z44="","결측",TEXT(Z44,"0.0%"))))</f>
        <v/>
      </c>
      <c r="U44">
        <f>IF(AF44=1,TEXT(AA44,"0.0%")&amp;" · 상위 "&amp;TEXT(($B$3-_xlfn.RANK.AVG(AH44,$AH$6:$AH$105,1)+1)/$B$3*100,"0")&amp;"%",IF(A44="","",IF(AA44="","결측",TEXT(AA44,"0.0%"))))</f>
        <v/>
      </c>
      <c r="V44">
        <f>IF(AF44=1,TEXT(AB44,"0.0%")&amp;" · 상위 "&amp;TEXT(($B$3-_xlfn.RANK.AVG(AI44,$AI$6:$AI$105,1)+1)/$B$3*100,"0")&amp;"%",IF(A44="","",IF(AB44="","결측",TEXT(AB44,"0.0%"))))</f>
        <v/>
      </c>
      <c r="W44">
        <f>IF(AF44=1,TEXT(AC44,"0.0%")&amp;" · 상위 "&amp;TEXT(($B$3-_xlfn.RANK.AVG(AJ44,$AJ$6:$AJ$105,1)+1)/$B$3*100,"0")&amp;"%",IF(A44="","",IF(AC44="","결측",TEXT(AC44,"0.0%"))))</f>
        <v/>
      </c>
      <c r="X44">
        <f>IF(A44="","",IF(AR44="","통과","제외: "&amp;AR44))</f>
        <v/>
      </c>
      <c r="Y44" s="21">
        <f>IF(AND(ISNUMBER(G44),ISNUMBER(H44)),IF(G44&gt;0,H44/G44,""),"")</f>
        <v/>
      </c>
      <c r="Z44" s="22">
        <f>IF(AND(ISNUMBER(F44),ISNUMBER(G44)),IF(G44&gt;0,F44/G44,""),"")</f>
        <v/>
      </c>
      <c r="AA44" s="22">
        <f>IF(AND(ISNUMBER(J44),ISNUMBER(K44)),IF(AND(J44&gt;0,K44&gt;0),(J44/K44)^(1/3)-1,""),"")</f>
        <v/>
      </c>
      <c r="AB44" s="22">
        <f>IF(AND(ISNUMBER(I44),ISNUMBER(L44),ISNUMBER(M44),ISNUMBER(N44)),IF((L44+M44-N44)&gt;0,I44/(L44+M44-N44),""),"")</f>
        <v/>
      </c>
      <c r="AC44" s="22">
        <f>IF(AND(ISNUMBER(O44),ISNUMBER(P44)),IF(AND(O44&gt;0,P44&gt;0),P44/O44-1,""),"")</f>
        <v/>
      </c>
      <c r="AD44">
        <f>_xlfn.TEXTJOIN(", ",TRUE,IF(Z44="","ROE",""),IF(AA44="","매출성장률",""),IF(AB44="","이익수익률",""),IF(AC44="","12-1 수익률",""))</f>
        <v/>
      </c>
      <c r="AE44">
        <f>IF(A44="","",IF(AR44&lt;&gt;"","점수 없음(거름망)",IF(AD44="","채점","점수 없음(결측: "&amp;AD44&amp;")")))</f>
        <v/>
      </c>
      <c r="AF44">
        <f>IF(AE44="채점",1,"")</f>
        <v/>
      </c>
      <c r="AG44">
        <f>IF(AF44=1,Z44,"")</f>
        <v/>
      </c>
      <c r="AH44">
        <f>IF(AF44=1,AA44,"")</f>
        <v/>
      </c>
      <c r="AI44">
        <f>IF(AF44=1,AB44,"")</f>
        <v/>
      </c>
      <c r="AJ44">
        <f>IF(AF44=1,AC44,"")</f>
        <v/>
      </c>
      <c r="AK44">
        <f>IF(AF44=1,IF($B$3=1,50,(_xlfn.RANK.AVG(AG44,$AG$6:$AG$105,1)-1)/($B$3-1)*100),"")</f>
        <v/>
      </c>
      <c r="AL44">
        <f>IF(AF44=1,IF($B$3=1,50,(_xlfn.RANK.AVG(AH44,$AH$6:$AH$105,1)-1)/($B$3-1)*100),"")</f>
        <v/>
      </c>
      <c r="AM44">
        <f>IF(AF44=1,IF($B$3=1,50,(_xlfn.RANK.AVG(AI44,$AI$6:$AI$105,1)-1)/($B$3-1)*100),"")</f>
        <v/>
      </c>
      <c r="AN44">
        <f>IF(AF44=1,IF($B$3=1,50,(_xlfn.RANK.AVG(AJ44,$AJ$6:$AJ$105,1)-1)/($B$3-1)*100),"")</f>
        <v/>
      </c>
      <c r="AO44">
        <f>IF(AF44=1,ROUND(AVERAGE(AK44:AN44),6),"")</f>
        <v/>
      </c>
      <c r="AP44">
        <f>IF(AND(AF44=1,C44&lt;&gt;"Y"),R44,"")</f>
        <v/>
      </c>
      <c r="AQ44">
        <f>IF(AND(ISNUMBER(AP44),Q44="편입 후보"),AP44+(1000-ROW())/1000000,"")</f>
        <v/>
      </c>
      <c r="AR44">
        <f>IF(A44="","",_xlfn.TEXTJOIN(", ",TRUE,IF(D44="Y","금융·리츠",""),IF(NOT(ISNUMBER(I44)),"영업이익 없음",IF(I44&lt;=0,"영업적자","")),IF(OR(NOT(ISNUMBER(G44)),NOT(ISNUMBER(H44))),"부채비율 자료 없음",IF(G44&lt;=0,"자본잠식",IF(H44/G44&gt;'설정'!$B$8,"부채비율 초과",""))),IF(NOT(ISNUMBER(L44)),"시총 없음",IF(L44&lt;'설정'!$B$10,"시총 미달",""))))</f>
        <v/>
      </c>
    </row>
    <row r="45">
      <c r="A45" s="18" t="n"/>
      <c r="B45" s="19" t="n"/>
      <c r="C45" s="19" t="n"/>
      <c r="D45" s="19" t="n"/>
      <c r="E45" s="19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3" t="n"/>
      <c r="P45" s="23" t="n"/>
      <c r="Q45" s="7">
        <f>IF(A45="","",IF(C45="Y",IF(AF45=1,IF(AND(R45&lt;'설정'!$B$6,ISNUMBER($H$3)),IF(ROUND($H$3-R45,1)&gt;='설정'!$B$7,"교체 제안 → "&amp;$E$3&amp;" ("&amp;TEXT($H$3,"0.0")&amp;")","보유 유지"),"보유 유지"),"보유 · 점수 없음"),IF(AF45=1,IF(R45&gt;='설정'!$B$5,"편입 후보",""),"")))</f>
        <v/>
      </c>
      <c r="R45" s="15">
        <f>IF(AF45=1,ROUND(IF($B$3=1,50,(_xlfn.RANK.AVG(AO45,$AO$6:$AO$105,1)-1)/($B$3-1)*100),1),"")</f>
        <v/>
      </c>
      <c r="S45">
        <f>IF(A45="","",IF(AF45=1,_xlfn.TEXTJOIN(". ",TRUE,_xlfn.TEXTJOIN(", ",TRUE,IF(AK45&gt;='설정'!$B$20,"수익성 높음",""),IF(AL45&gt;='설정'!$B$20,"성장 빠름",""),IF(AM45&gt;='설정'!$B$20,"가격 쌈",""),IF(AN45&gt;='설정'!$B$20,"추세 좋음","")),_xlfn.TEXTJOIN(", ",TRUE,IF(AK45&lt;'설정'!$B$21,"수익성 낮음",""),IF(AL45&lt;'설정'!$B$21,"성장 느림",""),IF(AM45&lt;'설정'!$B$21,"가격 비쌈",""),IF(AN45&lt;'설정'!$B$21,"추세 약함","")),IF(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="","","보통: "&amp;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)),IF(X45="통과",AE45,X45)))</f>
        <v/>
      </c>
      <c r="T45">
        <f>IF(AF45=1,TEXT(Z45,"0.0%")&amp;" · 상위 "&amp;TEXT(($B$3-_xlfn.RANK.AVG(AG45,$AG$6:$AG$105,1)+1)/$B$3*100,"0")&amp;"%",IF(A45="","",IF(Z45="","결측",TEXT(Z45,"0.0%"))))</f>
        <v/>
      </c>
      <c r="U45">
        <f>IF(AF45=1,TEXT(AA45,"0.0%")&amp;" · 상위 "&amp;TEXT(($B$3-_xlfn.RANK.AVG(AH45,$AH$6:$AH$105,1)+1)/$B$3*100,"0")&amp;"%",IF(A45="","",IF(AA45="","결측",TEXT(AA45,"0.0%"))))</f>
        <v/>
      </c>
      <c r="V45">
        <f>IF(AF45=1,TEXT(AB45,"0.0%")&amp;" · 상위 "&amp;TEXT(($B$3-_xlfn.RANK.AVG(AI45,$AI$6:$AI$105,1)+1)/$B$3*100,"0")&amp;"%",IF(A45="","",IF(AB45="","결측",TEXT(AB45,"0.0%"))))</f>
        <v/>
      </c>
      <c r="W45">
        <f>IF(AF45=1,TEXT(AC45,"0.0%")&amp;" · 상위 "&amp;TEXT(($B$3-_xlfn.RANK.AVG(AJ45,$AJ$6:$AJ$105,1)+1)/$B$3*100,"0")&amp;"%",IF(A45="","",IF(AC45="","결측",TEXT(AC45,"0.0%"))))</f>
        <v/>
      </c>
      <c r="X45">
        <f>IF(A45="","",IF(AR45="","통과","제외: "&amp;AR45))</f>
        <v/>
      </c>
      <c r="Y45" s="21">
        <f>IF(AND(ISNUMBER(G45),ISNUMBER(H45)),IF(G45&gt;0,H45/G45,""),"")</f>
        <v/>
      </c>
      <c r="Z45" s="22">
        <f>IF(AND(ISNUMBER(F45),ISNUMBER(G45)),IF(G45&gt;0,F45/G45,""),"")</f>
        <v/>
      </c>
      <c r="AA45" s="22">
        <f>IF(AND(ISNUMBER(J45),ISNUMBER(K45)),IF(AND(J45&gt;0,K45&gt;0),(J45/K45)^(1/3)-1,""),"")</f>
        <v/>
      </c>
      <c r="AB45" s="22">
        <f>IF(AND(ISNUMBER(I45),ISNUMBER(L45),ISNUMBER(M45),ISNUMBER(N45)),IF((L45+M45-N45)&gt;0,I45/(L45+M45-N45),""),"")</f>
        <v/>
      </c>
      <c r="AC45" s="22">
        <f>IF(AND(ISNUMBER(O45),ISNUMBER(P45)),IF(AND(O45&gt;0,P45&gt;0),P45/O45-1,""),"")</f>
        <v/>
      </c>
      <c r="AD45">
        <f>_xlfn.TEXTJOIN(", ",TRUE,IF(Z45="","ROE",""),IF(AA45="","매출성장률",""),IF(AB45="","이익수익률",""),IF(AC45="","12-1 수익률",""))</f>
        <v/>
      </c>
      <c r="AE45">
        <f>IF(A45="","",IF(AR45&lt;&gt;"","점수 없음(거름망)",IF(AD45="","채점","점수 없음(결측: "&amp;AD45&amp;")")))</f>
        <v/>
      </c>
      <c r="AF45">
        <f>IF(AE45="채점",1,"")</f>
        <v/>
      </c>
      <c r="AG45">
        <f>IF(AF45=1,Z45,"")</f>
        <v/>
      </c>
      <c r="AH45">
        <f>IF(AF45=1,AA45,"")</f>
        <v/>
      </c>
      <c r="AI45">
        <f>IF(AF45=1,AB45,"")</f>
        <v/>
      </c>
      <c r="AJ45">
        <f>IF(AF45=1,AC45,"")</f>
        <v/>
      </c>
      <c r="AK45">
        <f>IF(AF45=1,IF($B$3=1,50,(_xlfn.RANK.AVG(AG45,$AG$6:$AG$105,1)-1)/($B$3-1)*100),"")</f>
        <v/>
      </c>
      <c r="AL45">
        <f>IF(AF45=1,IF($B$3=1,50,(_xlfn.RANK.AVG(AH45,$AH$6:$AH$105,1)-1)/($B$3-1)*100),"")</f>
        <v/>
      </c>
      <c r="AM45">
        <f>IF(AF45=1,IF($B$3=1,50,(_xlfn.RANK.AVG(AI45,$AI$6:$AI$105,1)-1)/($B$3-1)*100),"")</f>
        <v/>
      </c>
      <c r="AN45">
        <f>IF(AF45=1,IF($B$3=1,50,(_xlfn.RANK.AVG(AJ45,$AJ$6:$AJ$105,1)-1)/($B$3-1)*100),"")</f>
        <v/>
      </c>
      <c r="AO45">
        <f>IF(AF45=1,ROUND(AVERAGE(AK45:AN45),6),"")</f>
        <v/>
      </c>
      <c r="AP45">
        <f>IF(AND(AF45=1,C45&lt;&gt;"Y"),R45,"")</f>
        <v/>
      </c>
      <c r="AQ45">
        <f>IF(AND(ISNUMBER(AP45),Q45="편입 후보"),AP45+(1000-ROW())/1000000,"")</f>
        <v/>
      </c>
      <c r="AR45">
        <f>IF(A45="","",_xlfn.TEXTJOIN(", ",TRUE,IF(D45="Y","금융·리츠",""),IF(NOT(ISNUMBER(I45)),"영업이익 없음",IF(I45&lt;=0,"영업적자","")),IF(OR(NOT(ISNUMBER(G45)),NOT(ISNUMBER(H45))),"부채비율 자료 없음",IF(G45&lt;=0,"자본잠식",IF(H45/G45&gt;'설정'!$B$8,"부채비율 초과",""))),IF(NOT(ISNUMBER(L45)),"시총 없음",IF(L45&lt;'설정'!$B$10,"시총 미달",""))))</f>
        <v/>
      </c>
    </row>
    <row r="46">
      <c r="A46" s="18" t="n"/>
      <c r="B46" s="19" t="n"/>
      <c r="C46" s="19" t="n"/>
      <c r="D46" s="19" t="n"/>
      <c r="E46" s="19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3" t="n"/>
      <c r="P46" s="23" t="n"/>
      <c r="Q46" s="7">
        <f>IF(A46="","",IF(C46="Y",IF(AF46=1,IF(AND(R46&lt;'설정'!$B$6,ISNUMBER($H$3)),IF(ROUND($H$3-R46,1)&gt;='설정'!$B$7,"교체 제안 → "&amp;$E$3&amp;" ("&amp;TEXT($H$3,"0.0")&amp;")","보유 유지"),"보유 유지"),"보유 · 점수 없음"),IF(AF46=1,IF(R46&gt;='설정'!$B$5,"편입 후보",""),"")))</f>
        <v/>
      </c>
      <c r="R46" s="15">
        <f>IF(AF46=1,ROUND(IF($B$3=1,50,(_xlfn.RANK.AVG(AO46,$AO$6:$AO$105,1)-1)/($B$3-1)*100),1),"")</f>
        <v/>
      </c>
      <c r="S46">
        <f>IF(A46="","",IF(AF46=1,_xlfn.TEXTJOIN(". ",TRUE,_xlfn.TEXTJOIN(", ",TRUE,IF(AK46&gt;='설정'!$B$20,"수익성 높음",""),IF(AL46&gt;='설정'!$B$20,"성장 빠름",""),IF(AM46&gt;='설정'!$B$20,"가격 쌈",""),IF(AN46&gt;='설정'!$B$20,"추세 좋음","")),_xlfn.TEXTJOIN(", ",TRUE,IF(AK46&lt;'설정'!$B$21,"수익성 낮음",""),IF(AL46&lt;'설정'!$B$21,"성장 느림",""),IF(AM46&lt;'설정'!$B$21,"가격 비쌈",""),IF(AN46&lt;'설정'!$B$21,"추세 약함","")),IF(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="","","보통: "&amp;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)),IF(X46="통과",AE46,X46)))</f>
        <v/>
      </c>
      <c r="T46">
        <f>IF(AF46=1,TEXT(Z46,"0.0%")&amp;" · 상위 "&amp;TEXT(($B$3-_xlfn.RANK.AVG(AG46,$AG$6:$AG$105,1)+1)/$B$3*100,"0")&amp;"%",IF(A46="","",IF(Z46="","결측",TEXT(Z46,"0.0%"))))</f>
        <v/>
      </c>
      <c r="U46">
        <f>IF(AF46=1,TEXT(AA46,"0.0%")&amp;" · 상위 "&amp;TEXT(($B$3-_xlfn.RANK.AVG(AH46,$AH$6:$AH$105,1)+1)/$B$3*100,"0")&amp;"%",IF(A46="","",IF(AA46="","결측",TEXT(AA46,"0.0%"))))</f>
        <v/>
      </c>
      <c r="V46">
        <f>IF(AF46=1,TEXT(AB46,"0.0%")&amp;" · 상위 "&amp;TEXT(($B$3-_xlfn.RANK.AVG(AI46,$AI$6:$AI$105,1)+1)/$B$3*100,"0")&amp;"%",IF(A46="","",IF(AB46="","결측",TEXT(AB46,"0.0%"))))</f>
        <v/>
      </c>
      <c r="W46">
        <f>IF(AF46=1,TEXT(AC46,"0.0%")&amp;" · 상위 "&amp;TEXT(($B$3-_xlfn.RANK.AVG(AJ46,$AJ$6:$AJ$105,1)+1)/$B$3*100,"0")&amp;"%",IF(A46="","",IF(AC46="","결측",TEXT(AC46,"0.0%"))))</f>
        <v/>
      </c>
      <c r="X46">
        <f>IF(A46="","",IF(AR46="","통과","제외: "&amp;AR46))</f>
        <v/>
      </c>
      <c r="Y46" s="21">
        <f>IF(AND(ISNUMBER(G46),ISNUMBER(H46)),IF(G46&gt;0,H46/G46,""),"")</f>
        <v/>
      </c>
      <c r="Z46" s="22">
        <f>IF(AND(ISNUMBER(F46),ISNUMBER(G46)),IF(G46&gt;0,F46/G46,""),"")</f>
        <v/>
      </c>
      <c r="AA46" s="22">
        <f>IF(AND(ISNUMBER(J46),ISNUMBER(K46)),IF(AND(J46&gt;0,K46&gt;0),(J46/K46)^(1/3)-1,""),"")</f>
        <v/>
      </c>
      <c r="AB46" s="22">
        <f>IF(AND(ISNUMBER(I46),ISNUMBER(L46),ISNUMBER(M46),ISNUMBER(N46)),IF((L46+M46-N46)&gt;0,I46/(L46+M46-N46),""),"")</f>
        <v/>
      </c>
      <c r="AC46" s="22">
        <f>IF(AND(ISNUMBER(O46),ISNUMBER(P46)),IF(AND(O46&gt;0,P46&gt;0),P46/O46-1,""),"")</f>
        <v/>
      </c>
      <c r="AD46">
        <f>_xlfn.TEXTJOIN(", ",TRUE,IF(Z46="","ROE",""),IF(AA46="","매출성장률",""),IF(AB46="","이익수익률",""),IF(AC46="","12-1 수익률",""))</f>
        <v/>
      </c>
      <c r="AE46">
        <f>IF(A46="","",IF(AR46&lt;&gt;"","점수 없음(거름망)",IF(AD46="","채점","점수 없음(결측: "&amp;AD46&amp;")")))</f>
        <v/>
      </c>
      <c r="AF46">
        <f>IF(AE46="채점",1,"")</f>
        <v/>
      </c>
      <c r="AG46">
        <f>IF(AF46=1,Z46,"")</f>
        <v/>
      </c>
      <c r="AH46">
        <f>IF(AF46=1,AA46,"")</f>
        <v/>
      </c>
      <c r="AI46">
        <f>IF(AF46=1,AB46,"")</f>
        <v/>
      </c>
      <c r="AJ46">
        <f>IF(AF46=1,AC46,"")</f>
        <v/>
      </c>
      <c r="AK46">
        <f>IF(AF46=1,IF($B$3=1,50,(_xlfn.RANK.AVG(AG46,$AG$6:$AG$105,1)-1)/($B$3-1)*100),"")</f>
        <v/>
      </c>
      <c r="AL46">
        <f>IF(AF46=1,IF($B$3=1,50,(_xlfn.RANK.AVG(AH46,$AH$6:$AH$105,1)-1)/($B$3-1)*100),"")</f>
        <v/>
      </c>
      <c r="AM46">
        <f>IF(AF46=1,IF($B$3=1,50,(_xlfn.RANK.AVG(AI46,$AI$6:$AI$105,1)-1)/($B$3-1)*100),"")</f>
        <v/>
      </c>
      <c r="AN46">
        <f>IF(AF46=1,IF($B$3=1,50,(_xlfn.RANK.AVG(AJ46,$AJ$6:$AJ$105,1)-1)/($B$3-1)*100),"")</f>
        <v/>
      </c>
      <c r="AO46">
        <f>IF(AF46=1,ROUND(AVERAGE(AK46:AN46),6),"")</f>
        <v/>
      </c>
      <c r="AP46">
        <f>IF(AND(AF46=1,C46&lt;&gt;"Y"),R46,"")</f>
        <v/>
      </c>
      <c r="AQ46">
        <f>IF(AND(ISNUMBER(AP46),Q46="편입 후보"),AP46+(1000-ROW())/1000000,"")</f>
        <v/>
      </c>
      <c r="AR46">
        <f>IF(A46="","",_xlfn.TEXTJOIN(", ",TRUE,IF(D46="Y","금융·리츠",""),IF(NOT(ISNUMBER(I46)),"영업이익 없음",IF(I46&lt;=0,"영업적자","")),IF(OR(NOT(ISNUMBER(G46)),NOT(ISNUMBER(H46))),"부채비율 자료 없음",IF(G46&lt;=0,"자본잠식",IF(H46/G46&gt;'설정'!$B$8,"부채비율 초과",""))),IF(NOT(ISNUMBER(L46)),"시총 없음",IF(L46&lt;'설정'!$B$10,"시총 미달",""))))</f>
        <v/>
      </c>
    </row>
    <row r="47">
      <c r="A47" s="18" t="n"/>
      <c r="B47" s="19" t="n"/>
      <c r="C47" s="19" t="n"/>
      <c r="D47" s="19" t="n"/>
      <c r="E47" s="19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3" t="n"/>
      <c r="P47" s="23" t="n"/>
      <c r="Q47" s="7">
        <f>IF(A47="","",IF(C47="Y",IF(AF47=1,IF(AND(R47&lt;'설정'!$B$6,ISNUMBER($H$3)),IF(ROUND($H$3-R47,1)&gt;='설정'!$B$7,"교체 제안 → "&amp;$E$3&amp;" ("&amp;TEXT($H$3,"0.0")&amp;")","보유 유지"),"보유 유지"),"보유 · 점수 없음"),IF(AF47=1,IF(R47&gt;='설정'!$B$5,"편입 후보",""),"")))</f>
        <v/>
      </c>
      <c r="R47" s="15">
        <f>IF(AF47=1,ROUND(IF($B$3=1,50,(_xlfn.RANK.AVG(AO47,$AO$6:$AO$105,1)-1)/($B$3-1)*100),1),"")</f>
        <v/>
      </c>
      <c r="S47">
        <f>IF(A47="","",IF(AF47=1,_xlfn.TEXTJOIN(". ",TRUE,_xlfn.TEXTJOIN(", ",TRUE,IF(AK47&gt;='설정'!$B$20,"수익성 높음",""),IF(AL47&gt;='설정'!$B$20,"성장 빠름",""),IF(AM47&gt;='설정'!$B$20,"가격 쌈",""),IF(AN47&gt;='설정'!$B$20,"추세 좋음","")),_xlfn.TEXTJOIN(", ",TRUE,IF(AK47&lt;'설정'!$B$21,"수익성 낮음",""),IF(AL47&lt;'설정'!$B$21,"성장 느림",""),IF(AM47&lt;'설정'!$B$21,"가격 비쌈",""),IF(AN47&lt;'설정'!$B$21,"추세 약함","")),IF(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="","","보통: "&amp;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)),IF(X47="통과",AE47,X47)))</f>
        <v/>
      </c>
      <c r="T47">
        <f>IF(AF47=1,TEXT(Z47,"0.0%")&amp;" · 상위 "&amp;TEXT(($B$3-_xlfn.RANK.AVG(AG47,$AG$6:$AG$105,1)+1)/$B$3*100,"0")&amp;"%",IF(A47="","",IF(Z47="","결측",TEXT(Z47,"0.0%"))))</f>
        <v/>
      </c>
      <c r="U47">
        <f>IF(AF47=1,TEXT(AA47,"0.0%")&amp;" · 상위 "&amp;TEXT(($B$3-_xlfn.RANK.AVG(AH47,$AH$6:$AH$105,1)+1)/$B$3*100,"0")&amp;"%",IF(A47="","",IF(AA47="","결측",TEXT(AA47,"0.0%"))))</f>
        <v/>
      </c>
      <c r="V47">
        <f>IF(AF47=1,TEXT(AB47,"0.0%")&amp;" · 상위 "&amp;TEXT(($B$3-_xlfn.RANK.AVG(AI47,$AI$6:$AI$105,1)+1)/$B$3*100,"0")&amp;"%",IF(A47="","",IF(AB47="","결측",TEXT(AB47,"0.0%"))))</f>
        <v/>
      </c>
      <c r="W47">
        <f>IF(AF47=1,TEXT(AC47,"0.0%")&amp;" · 상위 "&amp;TEXT(($B$3-_xlfn.RANK.AVG(AJ47,$AJ$6:$AJ$105,1)+1)/$B$3*100,"0")&amp;"%",IF(A47="","",IF(AC47="","결측",TEXT(AC47,"0.0%"))))</f>
        <v/>
      </c>
      <c r="X47">
        <f>IF(A47="","",IF(AR47="","통과","제외: "&amp;AR47))</f>
        <v/>
      </c>
      <c r="Y47" s="21">
        <f>IF(AND(ISNUMBER(G47),ISNUMBER(H47)),IF(G47&gt;0,H47/G47,""),"")</f>
        <v/>
      </c>
      <c r="Z47" s="22">
        <f>IF(AND(ISNUMBER(F47),ISNUMBER(G47)),IF(G47&gt;0,F47/G47,""),"")</f>
        <v/>
      </c>
      <c r="AA47" s="22">
        <f>IF(AND(ISNUMBER(J47),ISNUMBER(K47)),IF(AND(J47&gt;0,K47&gt;0),(J47/K47)^(1/3)-1,""),"")</f>
        <v/>
      </c>
      <c r="AB47" s="22">
        <f>IF(AND(ISNUMBER(I47),ISNUMBER(L47),ISNUMBER(M47),ISNUMBER(N47)),IF((L47+M47-N47)&gt;0,I47/(L47+M47-N47),""),"")</f>
        <v/>
      </c>
      <c r="AC47" s="22">
        <f>IF(AND(ISNUMBER(O47),ISNUMBER(P47)),IF(AND(O47&gt;0,P47&gt;0),P47/O47-1,""),"")</f>
        <v/>
      </c>
      <c r="AD47">
        <f>_xlfn.TEXTJOIN(", ",TRUE,IF(Z47="","ROE",""),IF(AA47="","매출성장률",""),IF(AB47="","이익수익률",""),IF(AC47="","12-1 수익률",""))</f>
        <v/>
      </c>
      <c r="AE47">
        <f>IF(A47="","",IF(AR47&lt;&gt;"","점수 없음(거름망)",IF(AD47="","채점","점수 없음(결측: "&amp;AD47&amp;")")))</f>
        <v/>
      </c>
      <c r="AF47">
        <f>IF(AE47="채점",1,"")</f>
        <v/>
      </c>
      <c r="AG47">
        <f>IF(AF47=1,Z47,"")</f>
        <v/>
      </c>
      <c r="AH47">
        <f>IF(AF47=1,AA47,"")</f>
        <v/>
      </c>
      <c r="AI47">
        <f>IF(AF47=1,AB47,"")</f>
        <v/>
      </c>
      <c r="AJ47">
        <f>IF(AF47=1,AC47,"")</f>
        <v/>
      </c>
      <c r="AK47">
        <f>IF(AF47=1,IF($B$3=1,50,(_xlfn.RANK.AVG(AG47,$AG$6:$AG$105,1)-1)/($B$3-1)*100),"")</f>
        <v/>
      </c>
      <c r="AL47">
        <f>IF(AF47=1,IF($B$3=1,50,(_xlfn.RANK.AVG(AH47,$AH$6:$AH$105,1)-1)/($B$3-1)*100),"")</f>
        <v/>
      </c>
      <c r="AM47">
        <f>IF(AF47=1,IF($B$3=1,50,(_xlfn.RANK.AVG(AI47,$AI$6:$AI$105,1)-1)/($B$3-1)*100),"")</f>
        <v/>
      </c>
      <c r="AN47">
        <f>IF(AF47=1,IF($B$3=1,50,(_xlfn.RANK.AVG(AJ47,$AJ$6:$AJ$105,1)-1)/($B$3-1)*100),"")</f>
        <v/>
      </c>
      <c r="AO47">
        <f>IF(AF47=1,ROUND(AVERAGE(AK47:AN47),6),"")</f>
        <v/>
      </c>
      <c r="AP47">
        <f>IF(AND(AF47=1,C47&lt;&gt;"Y"),R47,"")</f>
        <v/>
      </c>
      <c r="AQ47">
        <f>IF(AND(ISNUMBER(AP47),Q47="편입 후보"),AP47+(1000-ROW())/1000000,"")</f>
        <v/>
      </c>
      <c r="AR47">
        <f>IF(A47="","",_xlfn.TEXTJOIN(", ",TRUE,IF(D47="Y","금융·리츠",""),IF(NOT(ISNUMBER(I47)),"영업이익 없음",IF(I47&lt;=0,"영업적자","")),IF(OR(NOT(ISNUMBER(G47)),NOT(ISNUMBER(H47))),"부채비율 자료 없음",IF(G47&lt;=0,"자본잠식",IF(H47/G47&gt;'설정'!$B$8,"부채비율 초과",""))),IF(NOT(ISNUMBER(L47)),"시총 없음",IF(L47&lt;'설정'!$B$10,"시총 미달",""))))</f>
        <v/>
      </c>
    </row>
    <row r="48">
      <c r="A48" s="18" t="n"/>
      <c r="B48" s="19" t="n"/>
      <c r="C48" s="19" t="n"/>
      <c r="D48" s="19" t="n"/>
      <c r="E48" s="19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3" t="n"/>
      <c r="P48" s="23" t="n"/>
      <c r="Q48" s="7">
        <f>IF(A48="","",IF(C48="Y",IF(AF48=1,IF(AND(R48&lt;'설정'!$B$6,ISNUMBER($H$3)),IF(ROUND($H$3-R48,1)&gt;='설정'!$B$7,"교체 제안 → "&amp;$E$3&amp;" ("&amp;TEXT($H$3,"0.0")&amp;")","보유 유지"),"보유 유지"),"보유 · 점수 없음"),IF(AF48=1,IF(R48&gt;='설정'!$B$5,"편입 후보",""),"")))</f>
        <v/>
      </c>
      <c r="R48" s="15">
        <f>IF(AF48=1,ROUND(IF($B$3=1,50,(_xlfn.RANK.AVG(AO48,$AO$6:$AO$105,1)-1)/($B$3-1)*100),1),"")</f>
        <v/>
      </c>
      <c r="S48">
        <f>IF(A48="","",IF(AF48=1,_xlfn.TEXTJOIN(". ",TRUE,_xlfn.TEXTJOIN(", ",TRUE,IF(AK48&gt;='설정'!$B$20,"수익성 높음",""),IF(AL48&gt;='설정'!$B$20,"성장 빠름",""),IF(AM48&gt;='설정'!$B$20,"가격 쌈",""),IF(AN48&gt;='설정'!$B$20,"추세 좋음","")),_xlfn.TEXTJOIN(", ",TRUE,IF(AK48&lt;'설정'!$B$21,"수익성 낮음",""),IF(AL48&lt;'설정'!$B$21,"성장 느림",""),IF(AM48&lt;'설정'!$B$21,"가격 비쌈",""),IF(AN48&lt;'설정'!$B$21,"추세 약함","")),IF(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="","","보통: "&amp;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)),IF(X48="통과",AE48,X48)))</f>
        <v/>
      </c>
      <c r="T48">
        <f>IF(AF48=1,TEXT(Z48,"0.0%")&amp;" · 상위 "&amp;TEXT(($B$3-_xlfn.RANK.AVG(AG48,$AG$6:$AG$105,1)+1)/$B$3*100,"0")&amp;"%",IF(A48="","",IF(Z48="","결측",TEXT(Z48,"0.0%"))))</f>
        <v/>
      </c>
      <c r="U48">
        <f>IF(AF48=1,TEXT(AA48,"0.0%")&amp;" · 상위 "&amp;TEXT(($B$3-_xlfn.RANK.AVG(AH48,$AH$6:$AH$105,1)+1)/$B$3*100,"0")&amp;"%",IF(A48="","",IF(AA48="","결측",TEXT(AA48,"0.0%"))))</f>
        <v/>
      </c>
      <c r="V48">
        <f>IF(AF48=1,TEXT(AB48,"0.0%")&amp;" · 상위 "&amp;TEXT(($B$3-_xlfn.RANK.AVG(AI48,$AI$6:$AI$105,1)+1)/$B$3*100,"0")&amp;"%",IF(A48="","",IF(AB48="","결측",TEXT(AB48,"0.0%"))))</f>
        <v/>
      </c>
      <c r="W48">
        <f>IF(AF48=1,TEXT(AC48,"0.0%")&amp;" · 상위 "&amp;TEXT(($B$3-_xlfn.RANK.AVG(AJ48,$AJ$6:$AJ$105,1)+1)/$B$3*100,"0")&amp;"%",IF(A48="","",IF(AC48="","결측",TEXT(AC48,"0.0%"))))</f>
        <v/>
      </c>
      <c r="X48">
        <f>IF(A48="","",IF(AR48="","통과","제외: "&amp;AR48))</f>
        <v/>
      </c>
      <c r="Y48" s="21">
        <f>IF(AND(ISNUMBER(G48),ISNUMBER(H48)),IF(G48&gt;0,H48/G48,""),"")</f>
        <v/>
      </c>
      <c r="Z48" s="22">
        <f>IF(AND(ISNUMBER(F48),ISNUMBER(G48)),IF(G48&gt;0,F48/G48,""),"")</f>
        <v/>
      </c>
      <c r="AA48" s="22">
        <f>IF(AND(ISNUMBER(J48),ISNUMBER(K48)),IF(AND(J48&gt;0,K48&gt;0),(J48/K48)^(1/3)-1,""),"")</f>
        <v/>
      </c>
      <c r="AB48" s="22">
        <f>IF(AND(ISNUMBER(I48),ISNUMBER(L48),ISNUMBER(M48),ISNUMBER(N48)),IF((L48+M48-N48)&gt;0,I48/(L48+M48-N48),""),"")</f>
        <v/>
      </c>
      <c r="AC48" s="22">
        <f>IF(AND(ISNUMBER(O48),ISNUMBER(P48)),IF(AND(O48&gt;0,P48&gt;0),P48/O48-1,""),"")</f>
        <v/>
      </c>
      <c r="AD48">
        <f>_xlfn.TEXTJOIN(", ",TRUE,IF(Z48="","ROE",""),IF(AA48="","매출성장률",""),IF(AB48="","이익수익률",""),IF(AC48="","12-1 수익률",""))</f>
        <v/>
      </c>
      <c r="AE48">
        <f>IF(A48="","",IF(AR48&lt;&gt;"","점수 없음(거름망)",IF(AD48="","채점","점수 없음(결측: "&amp;AD48&amp;")")))</f>
        <v/>
      </c>
      <c r="AF48">
        <f>IF(AE48="채점",1,"")</f>
        <v/>
      </c>
      <c r="AG48">
        <f>IF(AF48=1,Z48,"")</f>
        <v/>
      </c>
      <c r="AH48">
        <f>IF(AF48=1,AA48,"")</f>
        <v/>
      </c>
      <c r="AI48">
        <f>IF(AF48=1,AB48,"")</f>
        <v/>
      </c>
      <c r="AJ48">
        <f>IF(AF48=1,AC48,"")</f>
        <v/>
      </c>
      <c r="AK48">
        <f>IF(AF48=1,IF($B$3=1,50,(_xlfn.RANK.AVG(AG48,$AG$6:$AG$105,1)-1)/($B$3-1)*100),"")</f>
        <v/>
      </c>
      <c r="AL48">
        <f>IF(AF48=1,IF($B$3=1,50,(_xlfn.RANK.AVG(AH48,$AH$6:$AH$105,1)-1)/($B$3-1)*100),"")</f>
        <v/>
      </c>
      <c r="AM48">
        <f>IF(AF48=1,IF($B$3=1,50,(_xlfn.RANK.AVG(AI48,$AI$6:$AI$105,1)-1)/($B$3-1)*100),"")</f>
        <v/>
      </c>
      <c r="AN48">
        <f>IF(AF48=1,IF($B$3=1,50,(_xlfn.RANK.AVG(AJ48,$AJ$6:$AJ$105,1)-1)/($B$3-1)*100),"")</f>
        <v/>
      </c>
      <c r="AO48">
        <f>IF(AF48=1,ROUND(AVERAGE(AK48:AN48),6),"")</f>
        <v/>
      </c>
      <c r="AP48">
        <f>IF(AND(AF48=1,C48&lt;&gt;"Y"),R48,"")</f>
        <v/>
      </c>
      <c r="AQ48">
        <f>IF(AND(ISNUMBER(AP48),Q48="편입 후보"),AP48+(1000-ROW())/1000000,"")</f>
        <v/>
      </c>
      <c r="AR48">
        <f>IF(A48="","",_xlfn.TEXTJOIN(", ",TRUE,IF(D48="Y","금융·리츠",""),IF(NOT(ISNUMBER(I48)),"영업이익 없음",IF(I48&lt;=0,"영업적자","")),IF(OR(NOT(ISNUMBER(G48)),NOT(ISNUMBER(H48))),"부채비율 자료 없음",IF(G48&lt;=0,"자본잠식",IF(H48/G48&gt;'설정'!$B$8,"부채비율 초과",""))),IF(NOT(ISNUMBER(L48)),"시총 없음",IF(L48&lt;'설정'!$B$10,"시총 미달",""))))</f>
        <v/>
      </c>
    </row>
    <row r="49">
      <c r="A49" s="18" t="n"/>
      <c r="B49" s="19" t="n"/>
      <c r="C49" s="19" t="n"/>
      <c r="D49" s="19" t="n"/>
      <c r="E49" s="19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3" t="n"/>
      <c r="P49" s="23" t="n"/>
      <c r="Q49" s="7">
        <f>IF(A49="","",IF(C49="Y",IF(AF49=1,IF(AND(R49&lt;'설정'!$B$6,ISNUMBER($H$3)),IF(ROUND($H$3-R49,1)&gt;='설정'!$B$7,"교체 제안 → "&amp;$E$3&amp;" ("&amp;TEXT($H$3,"0.0")&amp;")","보유 유지"),"보유 유지"),"보유 · 점수 없음"),IF(AF49=1,IF(R49&gt;='설정'!$B$5,"편입 후보",""),"")))</f>
        <v/>
      </c>
      <c r="R49" s="15">
        <f>IF(AF49=1,ROUND(IF($B$3=1,50,(_xlfn.RANK.AVG(AO49,$AO$6:$AO$105,1)-1)/($B$3-1)*100),1),"")</f>
        <v/>
      </c>
      <c r="S49">
        <f>IF(A49="","",IF(AF49=1,_xlfn.TEXTJOIN(". ",TRUE,_xlfn.TEXTJOIN(", ",TRUE,IF(AK49&gt;='설정'!$B$20,"수익성 높음",""),IF(AL49&gt;='설정'!$B$20,"성장 빠름",""),IF(AM49&gt;='설정'!$B$20,"가격 쌈",""),IF(AN49&gt;='설정'!$B$20,"추세 좋음","")),_xlfn.TEXTJOIN(", ",TRUE,IF(AK49&lt;'설정'!$B$21,"수익성 낮음",""),IF(AL49&lt;'설정'!$B$21,"성장 느림",""),IF(AM49&lt;'설정'!$B$21,"가격 비쌈",""),IF(AN49&lt;'설정'!$B$21,"추세 약함","")),IF(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="","","보통: "&amp;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)),IF(X49="통과",AE49,X49)))</f>
        <v/>
      </c>
      <c r="T49">
        <f>IF(AF49=1,TEXT(Z49,"0.0%")&amp;" · 상위 "&amp;TEXT(($B$3-_xlfn.RANK.AVG(AG49,$AG$6:$AG$105,1)+1)/$B$3*100,"0")&amp;"%",IF(A49="","",IF(Z49="","결측",TEXT(Z49,"0.0%"))))</f>
        <v/>
      </c>
      <c r="U49">
        <f>IF(AF49=1,TEXT(AA49,"0.0%")&amp;" · 상위 "&amp;TEXT(($B$3-_xlfn.RANK.AVG(AH49,$AH$6:$AH$105,1)+1)/$B$3*100,"0")&amp;"%",IF(A49="","",IF(AA49="","결측",TEXT(AA49,"0.0%"))))</f>
        <v/>
      </c>
      <c r="V49">
        <f>IF(AF49=1,TEXT(AB49,"0.0%")&amp;" · 상위 "&amp;TEXT(($B$3-_xlfn.RANK.AVG(AI49,$AI$6:$AI$105,1)+1)/$B$3*100,"0")&amp;"%",IF(A49="","",IF(AB49="","결측",TEXT(AB49,"0.0%"))))</f>
        <v/>
      </c>
      <c r="W49">
        <f>IF(AF49=1,TEXT(AC49,"0.0%")&amp;" · 상위 "&amp;TEXT(($B$3-_xlfn.RANK.AVG(AJ49,$AJ$6:$AJ$105,1)+1)/$B$3*100,"0")&amp;"%",IF(A49="","",IF(AC49="","결측",TEXT(AC49,"0.0%"))))</f>
        <v/>
      </c>
      <c r="X49">
        <f>IF(A49="","",IF(AR49="","통과","제외: "&amp;AR49))</f>
        <v/>
      </c>
      <c r="Y49" s="21">
        <f>IF(AND(ISNUMBER(G49),ISNUMBER(H49)),IF(G49&gt;0,H49/G49,""),"")</f>
        <v/>
      </c>
      <c r="Z49" s="22">
        <f>IF(AND(ISNUMBER(F49),ISNUMBER(G49)),IF(G49&gt;0,F49/G49,""),"")</f>
        <v/>
      </c>
      <c r="AA49" s="22">
        <f>IF(AND(ISNUMBER(J49),ISNUMBER(K49)),IF(AND(J49&gt;0,K49&gt;0),(J49/K49)^(1/3)-1,""),"")</f>
        <v/>
      </c>
      <c r="AB49" s="22">
        <f>IF(AND(ISNUMBER(I49),ISNUMBER(L49),ISNUMBER(M49),ISNUMBER(N49)),IF((L49+M49-N49)&gt;0,I49/(L49+M49-N49),""),"")</f>
        <v/>
      </c>
      <c r="AC49" s="22">
        <f>IF(AND(ISNUMBER(O49),ISNUMBER(P49)),IF(AND(O49&gt;0,P49&gt;0),P49/O49-1,""),"")</f>
        <v/>
      </c>
      <c r="AD49">
        <f>_xlfn.TEXTJOIN(", ",TRUE,IF(Z49="","ROE",""),IF(AA49="","매출성장률",""),IF(AB49="","이익수익률",""),IF(AC49="","12-1 수익률",""))</f>
        <v/>
      </c>
      <c r="AE49">
        <f>IF(A49="","",IF(AR49&lt;&gt;"","점수 없음(거름망)",IF(AD49="","채점","점수 없음(결측: "&amp;AD49&amp;")")))</f>
        <v/>
      </c>
      <c r="AF49">
        <f>IF(AE49="채점",1,"")</f>
        <v/>
      </c>
      <c r="AG49">
        <f>IF(AF49=1,Z49,"")</f>
        <v/>
      </c>
      <c r="AH49">
        <f>IF(AF49=1,AA49,"")</f>
        <v/>
      </c>
      <c r="AI49">
        <f>IF(AF49=1,AB49,"")</f>
        <v/>
      </c>
      <c r="AJ49">
        <f>IF(AF49=1,AC49,"")</f>
        <v/>
      </c>
      <c r="AK49">
        <f>IF(AF49=1,IF($B$3=1,50,(_xlfn.RANK.AVG(AG49,$AG$6:$AG$105,1)-1)/($B$3-1)*100),"")</f>
        <v/>
      </c>
      <c r="AL49">
        <f>IF(AF49=1,IF($B$3=1,50,(_xlfn.RANK.AVG(AH49,$AH$6:$AH$105,1)-1)/($B$3-1)*100),"")</f>
        <v/>
      </c>
      <c r="AM49">
        <f>IF(AF49=1,IF($B$3=1,50,(_xlfn.RANK.AVG(AI49,$AI$6:$AI$105,1)-1)/($B$3-1)*100),"")</f>
        <v/>
      </c>
      <c r="AN49">
        <f>IF(AF49=1,IF($B$3=1,50,(_xlfn.RANK.AVG(AJ49,$AJ$6:$AJ$105,1)-1)/($B$3-1)*100),"")</f>
        <v/>
      </c>
      <c r="AO49">
        <f>IF(AF49=1,ROUND(AVERAGE(AK49:AN49),6),"")</f>
        <v/>
      </c>
      <c r="AP49">
        <f>IF(AND(AF49=1,C49&lt;&gt;"Y"),R49,"")</f>
        <v/>
      </c>
      <c r="AQ49">
        <f>IF(AND(ISNUMBER(AP49),Q49="편입 후보"),AP49+(1000-ROW())/1000000,"")</f>
        <v/>
      </c>
      <c r="AR49">
        <f>IF(A49="","",_xlfn.TEXTJOIN(", ",TRUE,IF(D49="Y","금융·리츠",""),IF(NOT(ISNUMBER(I49)),"영업이익 없음",IF(I49&lt;=0,"영업적자","")),IF(OR(NOT(ISNUMBER(G49)),NOT(ISNUMBER(H49))),"부채비율 자료 없음",IF(G49&lt;=0,"자본잠식",IF(H49/G49&gt;'설정'!$B$8,"부채비율 초과",""))),IF(NOT(ISNUMBER(L49)),"시총 없음",IF(L49&lt;'설정'!$B$10,"시총 미달",""))))</f>
        <v/>
      </c>
    </row>
    <row r="50">
      <c r="A50" s="18" t="n"/>
      <c r="B50" s="19" t="n"/>
      <c r="C50" s="19" t="n"/>
      <c r="D50" s="19" t="n"/>
      <c r="E50" s="19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3" t="n"/>
      <c r="P50" s="23" t="n"/>
      <c r="Q50" s="7">
        <f>IF(A50="","",IF(C50="Y",IF(AF50=1,IF(AND(R50&lt;'설정'!$B$6,ISNUMBER($H$3)),IF(ROUND($H$3-R50,1)&gt;='설정'!$B$7,"교체 제안 → "&amp;$E$3&amp;" ("&amp;TEXT($H$3,"0.0")&amp;")","보유 유지"),"보유 유지"),"보유 · 점수 없음"),IF(AF50=1,IF(R50&gt;='설정'!$B$5,"편입 후보",""),"")))</f>
        <v/>
      </c>
      <c r="R50" s="15">
        <f>IF(AF50=1,ROUND(IF($B$3=1,50,(_xlfn.RANK.AVG(AO50,$AO$6:$AO$105,1)-1)/($B$3-1)*100),1),"")</f>
        <v/>
      </c>
      <c r="S50">
        <f>IF(A50="","",IF(AF50=1,_xlfn.TEXTJOIN(". ",TRUE,_xlfn.TEXTJOIN(", ",TRUE,IF(AK50&gt;='설정'!$B$20,"수익성 높음",""),IF(AL50&gt;='설정'!$B$20,"성장 빠름",""),IF(AM50&gt;='설정'!$B$20,"가격 쌈",""),IF(AN50&gt;='설정'!$B$20,"추세 좋음","")),_xlfn.TEXTJOIN(", ",TRUE,IF(AK50&lt;'설정'!$B$21,"수익성 낮음",""),IF(AL50&lt;'설정'!$B$21,"성장 느림",""),IF(AM50&lt;'설정'!$B$21,"가격 비쌈",""),IF(AN50&lt;'설정'!$B$21,"추세 약함","")),IF(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="","","보통: "&amp;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)),IF(X50="통과",AE50,X50)))</f>
        <v/>
      </c>
      <c r="T50">
        <f>IF(AF50=1,TEXT(Z50,"0.0%")&amp;" · 상위 "&amp;TEXT(($B$3-_xlfn.RANK.AVG(AG50,$AG$6:$AG$105,1)+1)/$B$3*100,"0")&amp;"%",IF(A50="","",IF(Z50="","결측",TEXT(Z50,"0.0%"))))</f>
        <v/>
      </c>
      <c r="U50">
        <f>IF(AF50=1,TEXT(AA50,"0.0%")&amp;" · 상위 "&amp;TEXT(($B$3-_xlfn.RANK.AVG(AH50,$AH$6:$AH$105,1)+1)/$B$3*100,"0")&amp;"%",IF(A50="","",IF(AA50="","결측",TEXT(AA50,"0.0%"))))</f>
        <v/>
      </c>
      <c r="V50">
        <f>IF(AF50=1,TEXT(AB50,"0.0%")&amp;" · 상위 "&amp;TEXT(($B$3-_xlfn.RANK.AVG(AI50,$AI$6:$AI$105,1)+1)/$B$3*100,"0")&amp;"%",IF(A50="","",IF(AB50="","결측",TEXT(AB50,"0.0%"))))</f>
        <v/>
      </c>
      <c r="W50">
        <f>IF(AF50=1,TEXT(AC50,"0.0%")&amp;" · 상위 "&amp;TEXT(($B$3-_xlfn.RANK.AVG(AJ50,$AJ$6:$AJ$105,1)+1)/$B$3*100,"0")&amp;"%",IF(A50="","",IF(AC50="","결측",TEXT(AC50,"0.0%"))))</f>
        <v/>
      </c>
      <c r="X50">
        <f>IF(A50="","",IF(AR50="","통과","제외: "&amp;AR50))</f>
        <v/>
      </c>
      <c r="Y50" s="21">
        <f>IF(AND(ISNUMBER(G50),ISNUMBER(H50)),IF(G50&gt;0,H50/G50,""),"")</f>
        <v/>
      </c>
      <c r="Z50" s="22">
        <f>IF(AND(ISNUMBER(F50),ISNUMBER(G50)),IF(G50&gt;0,F50/G50,""),"")</f>
        <v/>
      </c>
      <c r="AA50" s="22">
        <f>IF(AND(ISNUMBER(J50),ISNUMBER(K50)),IF(AND(J50&gt;0,K50&gt;0),(J50/K50)^(1/3)-1,""),"")</f>
        <v/>
      </c>
      <c r="AB50" s="22">
        <f>IF(AND(ISNUMBER(I50),ISNUMBER(L50),ISNUMBER(M50),ISNUMBER(N50)),IF((L50+M50-N50)&gt;0,I50/(L50+M50-N50),""),"")</f>
        <v/>
      </c>
      <c r="AC50" s="22">
        <f>IF(AND(ISNUMBER(O50),ISNUMBER(P50)),IF(AND(O50&gt;0,P50&gt;0),P50/O50-1,""),"")</f>
        <v/>
      </c>
      <c r="AD50">
        <f>_xlfn.TEXTJOIN(", ",TRUE,IF(Z50="","ROE",""),IF(AA50="","매출성장률",""),IF(AB50="","이익수익률",""),IF(AC50="","12-1 수익률",""))</f>
        <v/>
      </c>
      <c r="AE50">
        <f>IF(A50="","",IF(AR50&lt;&gt;"","점수 없음(거름망)",IF(AD50="","채점","점수 없음(결측: "&amp;AD50&amp;")")))</f>
        <v/>
      </c>
      <c r="AF50">
        <f>IF(AE50="채점",1,"")</f>
        <v/>
      </c>
      <c r="AG50">
        <f>IF(AF50=1,Z50,"")</f>
        <v/>
      </c>
      <c r="AH50">
        <f>IF(AF50=1,AA50,"")</f>
        <v/>
      </c>
      <c r="AI50">
        <f>IF(AF50=1,AB50,"")</f>
        <v/>
      </c>
      <c r="AJ50">
        <f>IF(AF50=1,AC50,"")</f>
        <v/>
      </c>
      <c r="AK50">
        <f>IF(AF50=1,IF($B$3=1,50,(_xlfn.RANK.AVG(AG50,$AG$6:$AG$105,1)-1)/($B$3-1)*100),"")</f>
        <v/>
      </c>
      <c r="AL50">
        <f>IF(AF50=1,IF($B$3=1,50,(_xlfn.RANK.AVG(AH50,$AH$6:$AH$105,1)-1)/($B$3-1)*100),"")</f>
        <v/>
      </c>
      <c r="AM50">
        <f>IF(AF50=1,IF($B$3=1,50,(_xlfn.RANK.AVG(AI50,$AI$6:$AI$105,1)-1)/($B$3-1)*100),"")</f>
        <v/>
      </c>
      <c r="AN50">
        <f>IF(AF50=1,IF($B$3=1,50,(_xlfn.RANK.AVG(AJ50,$AJ$6:$AJ$105,1)-1)/($B$3-1)*100),"")</f>
        <v/>
      </c>
      <c r="AO50">
        <f>IF(AF50=1,ROUND(AVERAGE(AK50:AN50),6),"")</f>
        <v/>
      </c>
      <c r="AP50">
        <f>IF(AND(AF50=1,C50&lt;&gt;"Y"),R50,"")</f>
        <v/>
      </c>
      <c r="AQ50">
        <f>IF(AND(ISNUMBER(AP50),Q50="편입 후보"),AP50+(1000-ROW())/1000000,"")</f>
        <v/>
      </c>
      <c r="AR50">
        <f>IF(A50="","",_xlfn.TEXTJOIN(", ",TRUE,IF(D50="Y","금융·리츠",""),IF(NOT(ISNUMBER(I50)),"영업이익 없음",IF(I50&lt;=0,"영업적자","")),IF(OR(NOT(ISNUMBER(G50)),NOT(ISNUMBER(H50))),"부채비율 자료 없음",IF(G50&lt;=0,"자본잠식",IF(H50/G50&gt;'설정'!$B$8,"부채비율 초과",""))),IF(NOT(ISNUMBER(L50)),"시총 없음",IF(L50&lt;'설정'!$B$10,"시총 미달",""))))</f>
        <v/>
      </c>
    </row>
    <row r="51">
      <c r="A51" s="18" t="n"/>
      <c r="B51" s="19" t="n"/>
      <c r="C51" s="19" t="n"/>
      <c r="D51" s="19" t="n"/>
      <c r="E51" s="19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3" t="n"/>
      <c r="P51" s="23" t="n"/>
      <c r="Q51" s="7">
        <f>IF(A51="","",IF(C51="Y",IF(AF51=1,IF(AND(R51&lt;'설정'!$B$6,ISNUMBER($H$3)),IF(ROUND($H$3-R51,1)&gt;='설정'!$B$7,"교체 제안 → "&amp;$E$3&amp;" ("&amp;TEXT($H$3,"0.0")&amp;")","보유 유지"),"보유 유지"),"보유 · 점수 없음"),IF(AF51=1,IF(R51&gt;='설정'!$B$5,"편입 후보",""),"")))</f>
        <v/>
      </c>
      <c r="R51" s="15">
        <f>IF(AF51=1,ROUND(IF($B$3=1,50,(_xlfn.RANK.AVG(AO51,$AO$6:$AO$105,1)-1)/($B$3-1)*100),1),"")</f>
        <v/>
      </c>
      <c r="S51">
        <f>IF(A51="","",IF(AF51=1,_xlfn.TEXTJOIN(". ",TRUE,_xlfn.TEXTJOIN(", ",TRUE,IF(AK51&gt;='설정'!$B$20,"수익성 높음",""),IF(AL51&gt;='설정'!$B$20,"성장 빠름",""),IF(AM51&gt;='설정'!$B$20,"가격 쌈",""),IF(AN51&gt;='설정'!$B$20,"추세 좋음","")),_xlfn.TEXTJOIN(", ",TRUE,IF(AK51&lt;'설정'!$B$21,"수익성 낮음",""),IF(AL51&lt;'설정'!$B$21,"성장 느림",""),IF(AM51&lt;'설정'!$B$21,"가격 비쌈",""),IF(AN51&lt;'설정'!$B$21,"추세 약함","")),IF(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="","","보통: "&amp;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)),IF(X51="통과",AE51,X51)))</f>
        <v/>
      </c>
      <c r="T51">
        <f>IF(AF51=1,TEXT(Z51,"0.0%")&amp;" · 상위 "&amp;TEXT(($B$3-_xlfn.RANK.AVG(AG51,$AG$6:$AG$105,1)+1)/$B$3*100,"0")&amp;"%",IF(A51="","",IF(Z51="","결측",TEXT(Z51,"0.0%"))))</f>
        <v/>
      </c>
      <c r="U51">
        <f>IF(AF51=1,TEXT(AA51,"0.0%")&amp;" · 상위 "&amp;TEXT(($B$3-_xlfn.RANK.AVG(AH51,$AH$6:$AH$105,1)+1)/$B$3*100,"0")&amp;"%",IF(A51="","",IF(AA51="","결측",TEXT(AA51,"0.0%"))))</f>
        <v/>
      </c>
      <c r="V51">
        <f>IF(AF51=1,TEXT(AB51,"0.0%")&amp;" · 상위 "&amp;TEXT(($B$3-_xlfn.RANK.AVG(AI51,$AI$6:$AI$105,1)+1)/$B$3*100,"0")&amp;"%",IF(A51="","",IF(AB51="","결측",TEXT(AB51,"0.0%"))))</f>
        <v/>
      </c>
      <c r="W51">
        <f>IF(AF51=1,TEXT(AC51,"0.0%")&amp;" · 상위 "&amp;TEXT(($B$3-_xlfn.RANK.AVG(AJ51,$AJ$6:$AJ$105,1)+1)/$B$3*100,"0")&amp;"%",IF(A51="","",IF(AC51="","결측",TEXT(AC51,"0.0%"))))</f>
        <v/>
      </c>
      <c r="X51">
        <f>IF(A51="","",IF(AR51="","통과","제외: "&amp;AR51))</f>
        <v/>
      </c>
      <c r="Y51" s="21">
        <f>IF(AND(ISNUMBER(G51),ISNUMBER(H51)),IF(G51&gt;0,H51/G51,""),"")</f>
        <v/>
      </c>
      <c r="Z51" s="22">
        <f>IF(AND(ISNUMBER(F51),ISNUMBER(G51)),IF(G51&gt;0,F51/G51,""),"")</f>
        <v/>
      </c>
      <c r="AA51" s="22">
        <f>IF(AND(ISNUMBER(J51),ISNUMBER(K51)),IF(AND(J51&gt;0,K51&gt;0),(J51/K51)^(1/3)-1,""),"")</f>
        <v/>
      </c>
      <c r="AB51" s="22">
        <f>IF(AND(ISNUMBER(I51),ISNUMBER(L51),ISNUMBER(M51),ISNUMBER(N51)),IF((L51+M51-N51)&gt;0,I51/(L51+M51-N51),""),"")</f>
        <v/>
      </c>
      <c r="AC51" s="22">
        <f>IF(AND(ISNUMBER(O51),ISNUMBER(P51)),IF(AND(O51&gt;0,P51&gt;0),P51/O51-1,""),"")</f>
        <v/>
      </c>
      <c r="AD51">
        <f>_xlfn.TEXTJOIN(", ",TRUE,IF(Z51="","ROE",""),IF(AA51="","매출성장률",""),IF(AB51="","이익수익률",""),IF(AC51="","12-1 수익률",""))</f>
        <v/>
      </c>
      <c r="AE51">
        <f>IF(A51="","",IF(AR51&lt;&gt;"","점수 없음(거름망)",IF(AD51="","채점","점수 없음(결측: "&amp;AD51&amp;")")))</f>
        <v/>
      </c>
      <c r="AF51">
        <f>IF(AE51="채점",1,"")</f>
        <v/>
      </c>
      <c r="AG51">
        <f>IF(AF51=1,Z51,"")</f>
        <v/>
      </c>
      <c r="AH51">
        <f>IF(AF51=1,AA51,"")</f>
        <v/>
      </c>
      <c r="AI51">
        <f>IF(AF51=1,AB51,"")</f>
        <v/>
      </c>
      <c r="AJ51">
        <f>IF(AF51=1,AC51,"")</f>
        <v/>
      </c>
      <c r="AK51">
        <f>IF(AF51=1,IF($B$3=1,50,(_xlfn.RANK.AVG(AG51,$AG$6:$AG$105,1)-1)/($B$3-1)*100),"")</f>
        <v/>
      </c>
      <c r="AL51">
        <f>IF(AF51=1,IF($B$3=1,50,(_xlfn.RANK.AVG(AH51,$AH$6:$AH$105,1)-1)/($B$3-1)*100),"")</f>
        <v/>
      </c>
      <c r="AM51">
        <f>IF(AF51=1,IF($B$3=1,50,(_xlfn.RANK.AVG(AI51,$AI$6:$AI$105,1)-1)/($B$3-1)*100),"")</f>
        <v/>
      </c>
      <c r="AN51">
        <f>IF(AF51=1,IF($B$3=1,50,(_xlfn.RANK.AVG(AJ51,$AJ$6:$AJ$105,1)-1)/($B$3-1)*100),"")</f>
        <v/>
      </c>
      <c r="AO51">
        <f>IF(AF51=1,ROUND(AVERAGE(AK51:AN51),6),"")</f>
        <v/>
      </c>
      <c r="AP51">
        <f>IF(AND(AF51=1,C51&lt;&gt;"Y"),R51,"")</f>
        <v/>
      </c>
      <c r="AQ51">
        <f>IF(AND(ISNUMBER(AP51),Q51="편입 후보"),AP51+(1000-ROW())/1000000,"")</f>
        <v/>
      </c>
      <c r="AR51">
        <f>IF(A51="","",_xlfn.TEXTJOIN(", ",TRUE,IF(D51="Y","금융·리츠",""),IF(NOT(ISNUMBER(I51)),"영업이익 없음",IF(I51&lt;=0,"영업적자","")),IF(OR(NOT(ISNUMBER(G51)),NOT(ISNUMBER(H51))),"부채비율 자료 없음",IF(G51&lt;=0,"자본잠식",IF(H51/G51&gt;'설정'!$B$8,"부채비율 초과",""))),IF(NOT(ISNUMBER(L51)),"시총 없음",IF(L51&lt;'설정'!$B$10,"시총 미달",""))))</f>
        <v/>
      </c>
    </row>
    <row r="52">
      <c r="A52" s="18" t="n"/>
      <c r="B52" s="19" t="n"/>
      <c r="C52" s="19" t="n"/>
      <c r="D52" s="19" t="n"/>
      <c r="E52" s="19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3" t="n"/>
      <c r="P52" s="23" t="n"/>
      <c r="Q52" s="7">
        <f>IF(A52="","",IF(C52="Y",IF(AF52=1,IF(AND(R52&lt;'설정'!$B$6,ISNUMBER($H$3)),IF(ROUND($H$3-R52,1)&gt;='설정'!$B$7,"교체 제안 → "&amp;$E$3&amp;" ("&amp;TEXT($H$3,"0.0")&amp;")","보유 유지"),"보유 유지"),"보유 · 점수 없음"),IF(AF52=1,IF(R52&gt;='설정'!$B$5,"편입 후보",""),"")))</f>
        <v/>
      </c>
      <c r="R52" s="15">
        <f>IF(AF52=1,ROUND(IF($B$3=1,50,(_xlfn.RANK.AVG(AO52,$AO$6:$AO$105,1)-1)/($B$3-1)*100),1),"")</f>
        <v/>
      </c>
      <c r="S52">
        <f>IF(A52="","",IF(AF52=1,_xlfn.TEXTJOIN(". ",TRUE,_xlfn.TEXTJOIN(", ",TRUE,IF(AK52&gt;='설정'!$B$20,"수익성 높음",""),IF(AL52&gt;='설정'!$B$20,"성장 빠름",""),IF(AM52&gt;='설정'!$B$20,"가격 쌈",""),IF(AN52&gt;='설정'!$B$20,"추세 좋음","")),_xlfn.TEXTJOIN(", ",TRUE,IF(AK52&lt;'설정'!$B$21,"수익성 낮음",""),IF(AL52&lt;'설정'!$B$21,"성장 느림",""),IF(AM52&lt;'설정'!$B$21,"가격 비쌈",""),IF(AN52&lt;'설정'!$B$21,"추세 약함","")),IF(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="","","보통: "&amp;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)),IF(X52="통과",AE52,X52)))</f>
        <v/>
      </c>
      <c r="T52">
        <f>IF(AF52=1,TEXT(Z52,"0.0%")&amp;" · 상위 "&amp;TEXT(($B$3-_xlfn.RANK.AVG(AG52,$AG$6:$AG$105,1)+1)/$B$3*100,"0")&amp;"%",IF(A52="","",IF(Z52="","결측",TEXT(Z52,"0.0%"))))</f>
        <v/>
      </c>
      <c r="U52">
        <f>IF(AF52=1,TEXT(AA52,"0.0%")&amp;" · 상위 "&amp;TEXT(($B$3-_xlfn.RANK.AVG(AH52,$AH$6:$AH$105,1)+1)/$B$3*100,"0")&amp;"%",IF(A52="","",IF(AA52="","결측",TEXT(AA52,"0.0%"))))</f>
        <v/>
      </c>
      <c r="V52">
        <f>IF(AF52=1,TEXT(AB52,"0.0%")&amp;" · 상위 "&amp;TEXT(($B$3-_xlfn.RANK.AVG(AI52,$AI$6:$AI$105,1)+1)/$B$3*100,"0")&amp;"%",IF(A52="","",IF(AB52="","결측",TEXT(AB52,"0.0%"))))</f>
        <v/>
      </c>
      <c r="W52">
        <f>IF(AF52=1,TEXT(AC52,"0.0%")&amp;" · 상위 "&amp;TEXT(($B$3-_xlfn.RANK.AVG(AJ52,$AJ$6:$AJ$105,1)+1)/$B$3*100,"0")&amp;"%",IF(A52="","",IF(AC52="","결측",TEXT(AC52,"0.0%"))))</f>
        <v/>
      </c>
      <c r="X52">
        <f>IF(A52="","",IF(AR52="","통과","제외: "&amp;AR52))</f>
        <v/>
      </c>
      <c r="Y52" s="21">
        <f>IF(AND(ISNUMBER(G52),ISNUMBER(H52)),IF(G52&gt;0,H52/G52,""),"")</f>
        <v/>
      </c>
      <c r="Z52" s="22">
        <f>IF(AND(ISNUMBER(F52),ISNUMBER(G52)),IF(G52&gt;0,F52/G52,""),"")</f>
        <v/>
      </c>
      <c r="AA52" s="22">
        <f>IF(AND(ISNUMBER(J52),ISNUMBER(K52)),IF(AND(J52&gt;0,K52&gt;0),(J52/K52)^(1/3)-1,""),"")</f>
        <v/>
      </c>
      <c r="AB52" s="22">
        <f>IF(AND(ISNUMBER(I52),ISNUMBER(L52),ISNUMBER(M52),ISNUMBER(N52)),IF((L52+M52-N52)&gt;0,I52/(L52+M52-N52),""),"")</f>
        <v/>
      </c>
      <c r="AC52" s="22">
        <f>IF(AND(ISNUMBER(O52),ISNUMBER(P52)),IF(AND(O52&gt;0,P52&gt;0),P52/O52-1,""),"")</f>
        <v/>
      </c>
      <c r="AD52">
        <f>_xlfn.TEXTJOIN(", ",TRUE,IF(Z52="","ROE",""),IF(AA52="","매출성장률",""),IF(AB52="","이익수익률",""),IF(AC52="","12-1 수익률",""))</f>
        <v/>
      </c>
      <c r="AE52">
        <f>IF(A52="","",IF(AR52&lt;&gt;"","점수 없음(거름망)",IF(AD52="","채점","점수 없음(결측: "&amp;AD52&amp;")")))</f>
        <v/>
      </c>
      <c r="AF52">
        <f>IF(AE52="채점",1,"")</f>
        <v/>
      </c>
      <c r="AG52">
        <f>IF(AF52=1,Z52,"")</f>
        <v/>
      </c>
      <c r="AH52">
        <f>IF(AF52=1,AA52,"")</f>
        <v/>
      </c>
      <c r="AI52">
        <f>IF(AF52=1,AB52,"")</f>
        <v/>
      </c>
      <c r="AJ52">
        <f>IF(AF52=1,AC52,"")</f>
        <v/>
      </c>
      <c r="AK52">
        <f>IF(AF52=1,IF($B$3=1,50,(_xlfn.RANK.AVG(AG52,$AG$6:$AG$105,1)-1)/($B$3-1)*100),"")</f>
        <v/>
      </c>
      <c r="AL52">
        <f>IF(AF52=1,IF($B$3=1,50,(_xlfn.RANK.AVG(AH52,$AH$6:$AH$105,1)-1)/($B$3-1)*100),"")</f>
        <v/>
      </c>
      <c r="AM52">
        <f>IF(AF52=1,IF($B$3=1,50,(_xlfn.RANK.AVG(AI52,$AI$6:$AI$105,1)-1)/($B$3-1)*100),"")</f>
        <v/>
      </c>
      <c r="AN52">
        <f>IF(AF52=1,IF($B$3=1,50,(_xlfn.RANK.AVG(AJ52,$AJ$6:$AJ$105,1)-1)/($B$3-1)*100),"")</f>
        <v/>
      </c>
      <c r="AO52">
        <f>IF(AF52=1,ROUND(AVERAGE(AK52:AN52),6),"")</f>
        <v/>
      </c>
      <c r="AP52">
        <f>IF(AND(AF52=1,C52&lt;&gt;"Y"),R52,"")</f>
        <v/>
      </c>
      <c r="AQ52">
        <f>IF(AND(ISNUMBER(AP52),Q52="편입 후보"),AP52+(1000-ROW())/1000000,"")</f>
        <v/>
      </c>
      <c r="AR52">
        <f>IF(A52="","",_xlfn.TEXTJOIN(", ",TRUE,IF(D52="Y","금융·리츠",""),IF(NOT(ISNUMBER(I52)),"영업이익 없음",IF(I52&lt;=0,"영업적자","")),IF(OR(NOT(ISNUMBER(G52)),NOT(ISNUMBER(H52))),"부채비율 자료 없음",IF(G52&lt;=0,"자본잠식",IF(H52/G52&gt;'설정'!$B$8,"부채비율 초과",""))),IF(NOT(ISNUMBER(L52)),"시총 없음",IF(L52&lt;'설정'!$B$10,"시총 미달",""))))</f>
        <v/>
      </c>
    </row>
    <row r="53">
      <c r="A53" s="18" t="n"/>
      <c r="B53" s="19" t="n"/>
      <c r="C53" s="19" t="n"/>
      <c r="D53" s="19" t="n"/>
      <c r="E53" s="19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3" t="n"/>
      <c r="P53" s="23" t="n"/>
      <c r="Q53" s="7">
        <f>IF(A53="","",IF(C53="Y",IF(AF53=1,IF(AND(R53&lt;'설정'!$B$6,ISNUMBER($H$3)),IF(ROUND($H$3-R53,1)&gt;='설정'!$B$7,"교체 제안 → "&amp;$E$3&amp;" ("&amp;TEXT($H$3,"0.0")&amp;")","보유 유지"),"보유 유지"),"보유 · 점수 없음"),IF(AF53=1,IF(R53&gt;='설정'!$B$5,"편입 후보",""),"")))</f>
        <v/>
      </c>
      <c r="R53" s="15">
        <f>IF(AF53=1,ROUND(IF($B$3=1,50,(_xlfn.RANK.AVG(AO53,$AO$6:$AO$105,1)-1)/($B$3-1)*100),1),"")</f>
        <v/>
      </c>
      <c r="S53">
        <f>IF(A53="","",IF(AF53=1,_xlfn.TEXTJOIN(". ",TRUE,_xlfn.TEXTJOIN(", ",TRUE,IF(AK53&gt;='설정'!$B$20,"수익성 높음",""),IF(AL53&gt;='설정'!$B$20,"성장 빠름",""),IF(AM53&gt;='설정'!$B$20,"가격 쌈",""),IF(AN53&gt;='설정'!$B$20,"추세 좋음","")),_xlfn.TEXTJOIN(", ",TRUE,IF(AK53&lt;'설정'!$B$21,"수익성 낮음",""),IF(AL53&lt;'설정'!$B$21,"성장 느림",""),IF(AM53&lt;'설정'!$B$21,"가격 비쌈",""),IF(AN53&lt;'설정'!$B$21,"추세 약함","")),IF(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="","","보통: "&amp;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)),IF(X53="통과",AE53,X53)))</f>
        <v/>
      </c>
      <c r="T53">
        <f>IF(AF53=1,TEXT(Z53,"0.0%")&amp;" · 상위 "&amp;TEXT(($B$3-_xlfn.RANK.AVG(AG53,$AG$6:$AG$105,1)+1)/$B$3*100,"0")&amp;"%",IF(A53="","",IF(Z53="","결측",TEXT(Z53,"0.0%"))))</f>
        <v/>
      </c>
      <c r="U53">
        <f>IF(AF53=1,TEXT(AA53,"0.0%")&amp;" · 상위 "&amp;TEXT(($B$3-_xlfn.RANK.AVG(AH53,$AH$6:$AH$105,1)+1)/$B$3*100,"0")&amp;"%",IF(A53="","",IF(AA53="","결측",TEXT(AA53,"0.0%"))))</f>
        <v/>
      </c>
      <c r="V53">
        <f>IF(AF53=1,TEXT(AB53,"0.0%")&amp;" · 상위 "&amp;TEXT(($B$3-_xlfn.RANK.AVG(AI53,$AI$6:$AI$105,1)+1)/$B$3*100,"0")&amp;"%",IF(A53="","",IF(AB53="","결측",TEXT(AB53,"0.0%"))))</f>
        <v/>
      </c>
      <c r="W53">
        <f>IF(AF53=1,TEXT(AC53,"0.0%")&amp;" · 상위 "&amp;TEXT(($B$3-_xlfn.RANK.AVG(AJ53,$AJ$6:$AJ$105,1)+1)/$B$3*100,"0")&amp;"%",IF(A53="","",IF(AC53="","결측",TEXT(AC53,"0.0%"))))</f>
        <v/>
      </c>
      <c r="X53">
        <f>IF(A53="","",IF(AR53="","통과","제외: "&amp;AR53))</f>
        <v/>
      </c>
      <c r="Y53" s="21">
        <f>IF(AND(ISNUMBER(G53),ISNUMBER(H53)),IF(G53&gt;0,H53/G53,""),"")</f>
        <v/>
      </c>
      <c r="Z53" s="22">
        <f>IF(AND(ISNUMBER(F53),ISNUMBER(G53)),IF(G53&gt;0,F53/G53,""),"")</f>
        <v/>
      </c>
      <c r="AA53" s="22">
        <f>IF(AND(ISNUMBER(J53),ISNUMBER(K53)),IF(AND(J53&gt;0,K53&gt;0),(J53/K53)^(1/3)-1,""),"")</f>
        <v/>
      </c>
      <c r="AB53" s="22">
        <f>IF(AND(ISNUMBER(I53),ISNUMBER(L53),ISNUMBER(M53),ISNUMBER(N53)),IF((L53+M53-N53)&gt;0,I53/(L53+M53-N53),""),"")</f>
        <v/>
      </c>
      <c r="AC53" s="22">
        <f>IF(AND(ISNUMBER(O53),ISNUMBER(P53)),IF(AND(O53&gt;0,P53&gt;0),P53/O53-1,""),"")</f>
        <v/>
      </c>
      <c r="AD53">
        <f>_xlfn.TEXTJOIN(", ",TRUE,IF(Z53="","ROE",""),IF(AA53="","매출성장률",""),IF(AB53="","이익수익률",""),IF(AC53="","12-1 수익률",""))</f>
        <v/>
      </c>
      <c r="AE53">
        <f>IF(A53="","",IF(AR53&lt;&gt;"","점수 없음(거름망)",IF(AD53="","채점","점수 없음(결측: "&amp;AD53&amp;")")))</f>
        <v/>
      </c>
      <c r="AF53">
        <f>IF(AE53="채점",1,"")</f>
        <v/>
      </c>
      <c r="AG53">
        <f>IF(AF53=1,Z53,"")</f>
        <v/>
      </c>
      <c r="AH53">
        <f>IF(AF53=1,AA53,"")</f>
        <v/>
      </c>
      <c r="AI53">
        <f>IF(AF53=1,AB53,"")</f>
        <v/>
      </c>
      <c r="AJ53">
        <f>IF(AF53=1,AC53,"")</f>
        <v/>
      </c>
      <c r="AK53">
        <f>IF(AF53=1,IF($B$3=1,50,(_xlfn.RANK.AVG(AG53,$AG$6:$AG$105,1)-1)/($B$3-1)*100),"")</f>
        <v/>
      </c>
      <c r="AL53">
        <f>IF(AF53=1,IF($B$3=1,50,(_xlfn.RANK.AVG(AH53,$AH$6:$AH$105,1)-1)/($B$3-1)*100),"")</f>
        <v/>
      </c>
      <c r="AM53">
        <f>IF(AF53=1,IF($B$3=1,50,(_xlfn.RANK.AVG(AI53,$AI$6:$AI$105,1)-1)/($B$3-1)*100),"")</f>
        <v/>
      </c>
      <c r="AN53">
        <f>IF(AF53=1,IF($B$3=1,50,(_xlfn.RANK.AVG(AJ53,$AJ$6:$AJ$105,1)-1)/($B$3-1)*100),"")</f>
        <v/>
      </c>
      <c r="AO53">
        <f>IF(AF53=1,ROUND(AVERAGE(AK53:AN53),6),"")</f>
        <v/>
      </c>
      <c r="AP53">
        <f>IF(AND(AF53=1,C53&lt;&gt;"Y"),R53,"")</f>
        <v/>
      </c>
      <c r="AQ53">
        <f>IF(AND(ISNUMBER(AP53),Q53="편입 후보"),AP53+(1000-ROW())/1000000,"")</f>
        <v/>
      </c>
      <c r="AR53">
        <f>IF(A53="","",_xlfn.TEXTJOIN(", ",TRUE,IF(D53="Y","금융·리츠",""),IF(NOT(ISNUMBER(I53)),"영업이익 없음",IF(I53&lt;=0,"영업적자","")),IF(OR(NOT(ISNUMBER(G53)),NOT(ISNUMBER(H53))),"부채비율 자료 없음",IF(G53&lt;=0,"자본잠식",IF(H53/G53&gt;'설정'!$B$8,"부채비율 초과",""))),IF(NOT(ISNUMBER(L53)),"시총 없음",IF(L53&lt;'설정'!$B$10,"시총 미달",""))))</f>
        <v/>
      </c>
    </row>
    <row r="54">
      <c r="A54" s="18" t="n"/>
      <c r="B54" s="19" t="n"/>
      <c r="C54" s="19" t="n"/>
      <c r="D54" s="19" t="n"/>
      <c r="E54" s="19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3" t="n"/>
      <c r="P54" s="23" t="n"/>
      <c r="Q54" s="7">
        <f>IF(A54="","",IF(C54="Y",IF(AF54=1,IF(AND(R54&lt;'설정'!$B$6,ISNUMBER($H$3)),IF(ROUND($H$3-R54,1)&gt;='설정'!$B$7,"교체 제안 → "&amp;$E$3&amp;" ("&amp;TEXT($H$3,"0.0")&amp;")","보유 유지"),"보유 유지"),"보유 · 점수 없음"),IF(AF54=1,IF(R54&gt;='설정'!$B$5,"편입 후보",""),"")))</f>
        <v/>
      </c>
      <c r="R54" s="15">
        <f>IF(AF54=1,ROUND(IF($B$3=1,50,(_xlfn.RANK.AVG(AO54,$AO$6:$AO$105,1)-1)/($B$3-1)*100),1),"")</f>
        <v/>
      </c>
      <c r="S54">
        <f>IF(A54="","",IF(AF54=1,_xlfn.TEXTJOIN(". ",TRUE,_xlfn.TEXTJOIN(", ",TRUE,IF(AK54&gt;='설정'!$B$20,"수익성 높음",""),IF(AL54&gt;='설정'!$B$20,"성장 빠름",""),IF(AM54&gt;='설정'!$B$20,"가격 쌈",""),IF(AN54&gt;='설정'!$B$20,"추세 좋음","")),_xlfn.TEXTJOIN(", ",TRUE,IF(AK54&lt;'설정'!$B$21,"수익성 낮음",""),IF(AL54&lt;'설정'!$B$21,"성장 느림",""),IF(AM54&lt;'설정'!$B$21,"가격 비쌈",""),IF(AN54&lt;'설정'!$B$21,"추세 약함","")),IF(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="","","보통: "&amp;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)),IF(X54="통과",AE54,X54)))</f>
        <v/>
      </c>
      <c r="T54">
        <f>IF(AF54=1,TEXT(Z54,"0.0%")&amp;" · 상위 "&amp;TEXT(($B$3-_xlfn.RANK.AVG(AG54,$AG$6:$AG$105,1)+1)/$B$3*100,"0")&amp;"%",IF(A54="","",IF(Z54="","결측",TEXT(Z54,"0.0%"))))</f>
        <v/>
      </c>
      <c r="U54">
        <f>IF(AF54=1,TEXT(AA54,"0.0%")&amp;" · 상위 "&amp;TEXT(($B$3-_xlfn.RANK.AVG(AH54,$AH$6:$AH$105,1)+1)/$B$3*100,"0")&amp;"%",IF(A54="","",IF(AA54="","결측",TEXT(AA54,"0.0%"))))</f>
        <v/>
      </c>
      <c r="V54">
        <f>IF(AF54=1,TEXT(AB54,"0.0%")&amp;" · 상위 "&amp;TEXT(($B$3-_xlfn.RANK.AVG(AI54,$AI$6:$AI$105,1)+1)/$B$3*100,"0")&amp;"%",IF(A54="","",IF(AB54="","결측",TEXT(AB54,"0.0%"))))</f>
        <v/>
      </c>
      <c r="W54">
        <f>IF(AF54=1,TEXT(AC54,"0.0%")&amp;" · 상위 "&amp;TEXT(($B$3-_xlfn.RANK.AVG(AJ54,$AJ$6:$AJ$105,1)+1)/$B$3*100,"0")&amp;"%",IF(A54="","",IF(AC54="","결측",TEXT(AC54,"0.0%"))))</f>
        <v/>
      </c>
      <c r="X54">
        <f>IF(A54="","",IF(AR54="","통과","제외: "&amp;AR54))</f>
        <v/>
      </c>
      <c r="Y54" s="21">
        <f>IF(AND(ISNUMBER(G54),ISNUMBER(H54)),IF(G54&gt;0,H54/G54,""),"")</f>
        <v/>
      </c>
      <c r="Z54" s="22">
        <f>IF(AND(ISNUMBER(F54),ISNUMBER(G54)),IF(G54&gt;0,F54/G54,""),"")</f>
        <v/>
      </c>
      <c r="AA54" s="22">
        <f>IF(AND(ISNUMBER(J54),ISNUMBER(K54)),IF(AND(J54&gt;0,K54&gt;0),(J54/K54)^(1/3)-1,""),"")</f>
        <v/>
      </c>
      <c r="AB54" s="22">
        <f>IF(AND(ISNUMBER(I54),ISNUMBER(L54),ISNUMBER(M54),ISNUMBER(N54)),IF((L54+M54-N54)&gt;0,I54/(L54+M54-N54),""),"")</f>
        <v/>
      </c>
      <c r="AC54" s="22">
        <f>IF(AND(ISNUMBER(O54),ISNUMBER(P54)),IF(AND(O54&gt;0,P54&gt;0),P54/O54-1,""),"")</f>
        <v/>
      </c>
      <c r="AD54">
        <f>_xlfn.TEXTJOIN(", ",TRUE,IF(Z54="","ROE",""),IF(AA54="","매출성장률",""),IF(AB54="","이익수익률",""),IF(AC54="","12-1 수익률",""))</f>
        <v/>
      </c>
      <c r="AE54">
        <f>IF(A54="","",IF(AR54&lt;&gt;"","점수 없음(거름망)",IF(AD54="","채점","점수 없음(결측: "&amp;AD54&amp;")")))</f>
        <v/>
      </c>
      <c r="AF54">
        <f>IF(AE54="채점",1,"")</f>
        <v/>
      </c>
      <c r="AG54">
        <f>IF(AF54=1,Z54,"")</f>
        <v/>
      </c>
      <c r="AH54">
        <f>IF(AF54=1,AA54,"")</f>
        <v/>
      </c>
      <c r="AI54">
        <f>IF(AF54=1,AB54,"")</f>
        <v/>
      </c>
      <c r="AJ54">
        <f>IF(AF54=1,AC54,"")</f>
        <v/>
      </c>
      <c r="AK54">
        <f>IF(AF54=1,IF($B$3=1,50,(_xlfn.RANK.AVG(AG54,$AG$6:$AG$105,1)-1)/($B$3-1)*100),"")</f>
        <v/>
      </c>
      <c r="AL54">
        <f>IF(AF54=1,IF($B$3=1,50,(_xlfn.RANK.AVG(AH54,$AH$6:$AH$105,1)-1)/($B$3-1)*100),"")</f>
        <v/>
      </c>
      <c r="AM54">
        <f>IF(AF54=1,IF($B$3=1,50,(_xlfn.RANK.AVG(AI54,$AI$6:$AI$105,1)-1)/($B$3-1)*100),"")</f>
        <v/>
      </c>
      <c r="AN54">
        <f>IF(AF54=1,IF($B$3=1,50,(_xlfn.RANK.AVG(AJ54,$AJ$6:$AJ$105,1)-1)/($B$3-1)*100),"")</f>
        <v/>
      </c>
      <c r="AO54">
        <f>IF(AF54=1,ROUND(AVERAGE(AK54:AN54),6),"")</f>
        <v/>
      </c>
      <c r="AP54">
        <f>IF(AND(AF54=1,C54&lt;&gt;"Y"),R54,"")</f>
        <v/>
      </c>
      <c r="AQ54">
        <f>IF(AND(ISNUMBER(AP54),Q54="편입 후보"),AP54+(1000-ROW())/1000000,"")</f>
        <v/>
      </c>
      <c r="AR54">
        <f>IF(A54="","",_xlfn.TEXTJOIN(", ",TRUE,IF(D54="Y","금융·리츠",""),IF(NOT(ISNUMBER(I54)),"영업이익 없음",IF(I54&lt;=0,"영업적자","")),IF(OR(NOT(ISNUMBER(G54)),NOT(ISNUMBER(H54))),"부채비율 자료 없음",IF(G54&lt;=0,"자본잠식",IF(H54/G54&gt;'설정'!$B$8,"부채비율 초과",""))),IF(NOT(ISNUMBER(L54)),"시총 없음",IF(L54&lt;'설정'!$B$10,"시총 미달",""))))</f>
        <v/>
      </c>
    </row>
    <row r="55">
      <c r="A55" s="18" t="n"/>
      <c r="B55" s="19" t="n"/>
      <c r="C55" s="19" t="n"/>
      <c r="D55" s="19" t="n"/>
      <c r="E55" s="19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3" t="n"/>
      <c r="P55" s="23" t="n"/>
      <c r="Q55" s="7">
        <f>IF(A55="","",IF(C55="Y",IF(AF55=1,IF(AND(R55&lt;'설정'!$B$6,ISNUMBER($H$3)),IF(ROUND($H$3-R55,1)&gt;='설정'!$B$7,"교체 제안 → "&amp;$E$3&amp;" ("&amp;TEXT($H$3,"0.0")&amp;")","보유 유지"),"보유 유지"),"보유 · 점수 없음"),IF(AF55=1,IF(R55&gt;='설정'!$B$5,"편입 후보",""),"")))</f>
        <v/>
      </c>
      <c r="R55" s="15">
        <f>IF(AF55=1,ROUND(IF($B$3=1,50,(_xlfn.RANK.AVG(AO55,$AO$6:$AO$105,1)-1)/($B$3-1)*100),1),"")</f>
        <v/>
      </c>
      <c r="S55">
        <f>IF(A55="","",IF(AF55=1,_xlfn.TEXTJOIN(". ",TRUE,_xlfn.TEXTJOIN(", ",TRUE,IF(AK55&gt;='설정'!$B$20,"수익성 높음",""),IF(AL55&gt;='설정'!$B$20,"성장 빠름",""),IF(AM55&gt;='설정'!$B$20,"가격 쌈",""),IF(AN55&gt;='설정'!$B$20,"추세 좋음","")),_xlfn.TEXTJOIN(", ",TRUE,IF(AK55&lt;'설정'!$B$21,"수익성 낮음",""),IF(AL55&lt;'설정'!$B$21,"성장 느림",""),IF(AM55&lt;'설정'!$B$21,"가격 비쌈",""),IF(AN55&lt;'설정'!$B$21,"추세 약함","")),IF(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="","","보통: "&amp;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)),IF(X55="통과",AE55,X55)))</f>
        <v/>
      </c>
      <c r="T55">
        <f>IF(AF55=1,TEXT(Z55,"0.0%")&amp;" · 상위 "&amp;TEXT(($B$3-_xlfn.RANK.AVG(AG55,$AG$6:$AG$105,1)+1)/$B$3*100,"0")&amp;"%",IF(A55="","",IF(Z55="","결측",TEXT(Z55,"0.0%"))))</f>
        <v/>
      </c>
      <c r="U55">
        <f>IF(AF55=1,TEXT(AA55,"0.0%")&amp;" · 상위 "&amp;TEXT(($B$3-_xlfn.RANK.AVG(AH55,$AH$6:$AH$105,1)+1)/$B$3*100,"0")&amp;"%",IF(A55="","",IF(AA55="","결측",TEXT(AA55,"0.0%"))))</f>
        <v/>
      </c>
      <c r="V55">
        <f>IF(AF55=1,TEXT(AB55,"0.0%")&amp;" · 상위 "&amp;TEXT(($B$3-_xlfn.RANK.AVG(AI55,$AI$6:$AI$105,1)+1)/$B$3*100,"0")&amp;"%",IF(A55="","",IF(AB55="","결측",TEXT(AB55,"0.0%"))))</f>
        <v/>
      </c>
      <c r="W55">
        <f>IF(AF55=1,TEXT(AC55,"0.0%")&amp;" · 상위 "&amp;TEXT(($B$3-_xlfn.RANK.AVG(AJ55,$AJ$6:$AJ$105,1)+1)/$B$3*100,"0")&amp;"%",IF(A55="","",IF(AC55="","결측",TEXT(AC55,"0.0%"))))</f>
        <v/>
      </c>
      <c r="X55">
        <f>IF(A55="","",IF(AR55="","통과","제외: "&amp;AR55))</f>
        <v/>
      </c>
      <c r="Y55" s="21">
        <f>IF(AND(ISNUMBER(G55),ISNUMBER(H55)),IF(G55&gt;0,H55/G55,""),"")</f>
        <v/>
      </c>
      <c r="Z55" s="22">
        <f>IF(AND(ISNUMBER(F55),ISNUMBER(G55)),IF(G55&gt;0,F55/G55,""),"")</f>
        <v/>
      </c>
      <c r="AA55" s="22">
        <f>IF(AND(ISNUMBER(J55),ISNUMBER(K55)),IF(AND(J55&gt;0,K55&gt;0),(J55/K55)^(1/3)-1,""),"")</f>
        <v/>
      </c>
      <c r="AB55" s="22">
        <f>IF(AND(ISNUMBER(I55),ISNUMBER(L55),ISNUMBER(M55),ISNUMBER(N55)),IF((L55+M55-N55)&gt;0,I55/(L55+M55-N55),""),"")</f>
        <v/>
      </c>
      <c r="AC55" s="22">
        <f>IF(AND(ISNUMBER(O55),ISNUMBER(P55)),IF(AND(O55&gt;0,P55&gt;0),P55/O55-1,""),"")</f>
        <v/>
      </c>
      <c r="AD55">
        <f>_xlfn.TEXTJOIN(", ",TRUE,IF(Z55="","ROE",""),IF(AA55="","매출성장률",""),IF(AB55="","이익수익률",""),IF(AC55="","12-1 수익률",""))</f>
        <v/>
      </c>
      <c r="AE55">
        <f>IF(A55="","",IF(AR55&lt;&gt;"","점수 없음(거름망)",IF(AD55="","채점","점수 없음(결측: "&amp;AD55&amp;")")))</f>
        <v/>
      </c>
      <c r="AF55">
        <f>IF(AE55="채점",1,"")</f>
        <v/>
      </c>
      <c r="AG55">
        <f>IF(AF55=1,Z55,"")</f>
        <v/>
      </c>
      <c r="AH55">
        <f>IF(AF55=1,AA55,"")</f>
        <v/>
      </c>
      <c r="AI55">
        <f>IF(AF55=1,AB55,"")</f>
        <v/>
      </c>
      <c r="AJ55">
        <f>IF(AF55=1,AC55,"")</f>
        <v/>
      </c>
      <c r="AK55">
        <f>IF(AF55=1,IF($B$3=1,50,(_xlfn.RANK.AVG(AG55,$AG$6:$AG$105,1)-1)/($B$3-1)*100),"")</f>
        <v/>
      </c>
      <c r="AL55">
        <f>IF(AF55=1,IF($B$3=1,50,(_xlfn.RANK.AVG(AH55,$AH$6:$AH$105,1)-1)/($B$3-1)*100),"")</f>
        <v/>
      </c>
      <c r="AM55">
        <f>IF(AF55=1,IF($B$3=1,50,(_xlfn.RANK.AVG(AI55,$AI$6:$AI$105,1)-1)/($B$3-1)*100),"")</f>
        <v/>
      </c>
      <c r="AN55">
        <f>IF(AF55=1,IF($B$3=1,50,(_xlfn.RANK.AVG(AJ55,$AJ$6:$AJ$105,1)-1)/($B$3-1)*100),"")</f>
        <v/>
      </c>
      <c r="AO55">
        <f>IF(AF55=1,ROUND(AVERAGE(AK55:AN55),6),"")</f>
        <v/>
      </c>
      <c r="AP55">
        <f>IF(AND(AF55=1,C55&lt;&gt;"Y"),R55,"")</f>
        <v/>
      </c>
      <c r="AQ55">
        <f>IF(AND(ISNUMBER(AP55),Q55="편입 후보"),AP55+(1000-ROW())/1000000,"")</f>
        <v/>
      </c>
      <c r="AR55">
        <f>IF(A55="","",_xlfn.TEXTJOIN(", ",TRUE,IF(D55="Y","금융·리츠",""),IF(NOT(ISNUMBER(I55)),"영업이익 없음",IF(I55&lt;=0,"영업적자","")),IF(OR(NOT(ISNUMBER(G55)),NOT(ISNUMBER(H55))),"부채비율 자료 없음",IF(G55&lt;=0,"자본잠식",IF(H55/G55&gt;'설정'!$B$8,"부채비율 초과",""))),IF(NOT(ISNUMBER(L55)),"시총 없음",IF(L55&lt;'설정'!$B$10,"시총 미달",""))))</f>
        <v/>
      </c>
    </row>
    <row r="56">
      <c r="A56" s="18" t="n"/>
      <c r="B56" s="19" t="n"/>
      <c r="C56" s="19" t="n"/>
      <c r="D56" s="19" t="n"/>
      <c r="E56" s="19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3" t="n"/>
      <c r="P56" s="23" t="n"/>
      <c r="Q56" s="7">
        <f>IF(A56="","",IF(C56="Y",IF(AF56=1,IF(AND(R56&lt;'설정'!$B$6,ISNUMBER($H$3)),IF(ROUND($H$3-R56,1)&gt;='설정'!$B$7,"교체 제안 → "&amp;$E$3&amp;" ("&amp;TEXT($H$3,"0.0")&amp;")","보유 유지"),"보유 유지"),"보유 · 점수 없음"),IF(AF56=1,IF(R56&gt;='설정'!$B$5,"편입 후보",""),"")))</f>
        <v/>
      </c>
      <c r="R56" s="15">
        <f>IF(AF56=1,ROUND(IF($B$3=1,50,(_xlfn.RANK.AVG(AO56,$AO$6:$AO$105,1)-1)/($B$3-1)*100),1),"")</f>
        <v/>
      </c>
      <c r="S56">
        <f>IF(A56="","",IF(AF56=1,_xlfn.TEXTJOIN(". ",TRUE,_xlfn.TEXTJOIN(", ",TRUE,IF(AK56&gt;='설정'!$B$20,"수익성 높음",""),IF(AL56&gt;='설정'!$B$20,"성장 빠름",""),IF(AM56&gt;='설정'!$B$20,"가격 쌈",""),IF(AN56&gt;='설정'!$B$20,"추세 좋음","")),_xlfn.TEXTJOIN(", ",TRUE,IF(AK56&lt;'설정'!$B$21,"수익성 낮음",""),IF(AL56&lt;'설정'!$B$21,"성장 느림",""),IF(AM56&lt;'설정'!$B$21,"가격 비쌈",""),IF(AN56&lt;'설정'!$B$21,"추세 약함","")),IF(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="","","보통: "&amp;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)),IF(X56="통과",AE56,X56)))</f>
        <v/>
      </c>
      <c r="T56">
        <f>IF(AF56=1,TEXT(Z56,"0.0%")&amp;" · 상위 "&amp;TEXT(($B$3-_xlfn.RANK.AVG(AG56,$AG$6:$AG$105,1)+1)/$B$3*100,"0")&amp;"%",IF(A56="","",IF(Z56="","결측",TEXT(Z56,"0.0%"))))</f>
        <v/>
      </c>
      <c r="U56">
        <f>IF(AF56=1,TEXT(AA56,"0.0%")&amp;" · 상위 "&amp;TEXT(($B$3-_xlfn.RANK.AVG(AH56,$AH$6:$AH$105,1)+1)/$B$3*100,"0")&amp;"%",IF(A56="","",IF(AA56="","결측",TEXT(AA56,"0.0%"))))</f>
        <v/>
      </c>
      <c r="V56">
        <f>IF(AF56=1,TEXT(AB56,"0.0%")&amp;" · 상위 "&amp;TEXT(($B$3-_xlfn.RANK.AVG(AI56,$AI$6:$AI$105,1)+1)/$B$3*100,"0")&amp;"%",IF(A56="","",IF(AB56="","결측",TEXT(AB56,"0.0%"))))</f>
        <v/>
      </c>
      <c r="W56">
        <f>IF(AF56=1,TEXT(AC56,"0.0%")&amp;" · 상위 "&amp;TEXT(($B$3-_xlfn.RANK.AVG(AJ56,$AJ$6:$AJ$105,1)+1)/$B$3*100,"0")&amp;"%",IF(A56="","",IF(AC56="","결측",TEXT(AC56,"0.0%"))))</f>
        <v/>
      </c>
      <c r="X56">
        <f>IF(A56="","",IF(AR56="","통과","제외: "&amp;AR56))</f>
        <v/>
      </c>
      <c r="Y56" s="21">
        <f>IF(AND(ISNUMBER(G56),ISNUMBER(H56)),IF(G56&gt;0,H56/G56,""),"")</f>
        <v/>
      </c>
      <c r="Z56" s="22">
        <f>IF(AND(ISNUMBER(F56),ISNUMBER(G56)),IF(G56&gt;0,F56/G56,""),"")</f>
        <v/>
      </c>
      <c r="AA56" s="22">
        <f>IF(AND(ISNUMBER(J56),ISNUMBER(K56)),IF(AND(J56&gt;0,K56&gt;0),(J56/K56)^(1/3)-1,""),"")</f>
        <v/>
      </c>
      <c r="AB56" s="22">
        <f>IF(AND(ISNUMBER(I56),ISNUMBER(L56),ISNUMBER(M56),ISNUMBER(N56)),IF((L56+M56-N56)&gt;0,I56/(L56+M56-N56),""),"")</f>
        <v/>
      </c>
      <c r="AC56" s="22">
        <f>IF(AND(ISNUMBER(O56),ISNUMBER(P56)),IF(AND(O56&gt;0,P56&gt;0),P56/O56-1,""),"")</f>
        <v/>
      </c>
      <c r="AD56">
        <f>_xlfn.TEXTJOIN(", ",TRUE,IF(Z56="","ROE",""),IF(AA56="","매출성장률",""),IF(AB56="","이익수익률",""),IF(AC56="","12-1 수익률",""))</f>
        <v/>
      </c>
      <c r="AE56">
        <f>IF(A56="","",IF(AR56&lt;&gt;"","점수 없음(거름망)",IF(AD56="","채점","점수 없음(결측: "&amp;AD56&amp;")")))</f>
        <v/>
      </c>
      <c r="AF56">
        <f>IF(AE56="채점",1,"")</f>
        <v/>
      </c>
      <c r="AG56">
        <f>IF(AF56=1,Z56,"")</f>
        <v/>
      </c>
      <c r="AH56">
        <f>IF(AF56=1,AA56,"")</f>
        <v/>
      </c>
      <c r="AI56">
        <f>IF(AF56=1,AB56,"")</f>
        <v/>
      </c>
      <c r="AJ56">
        <f>IF(AF56=1,AC56,"")</f>
        <v/>
      </c>
      <c r="AK56">
        <f>IF(AF56=1,IF($B$3=1,50,(_xlfn.RANK.AVG(AG56,$AG$6:$AG$105,1)-1)/($B$3-1)*100),"")</f>
        <v/>
      </c>
      <c r="AL56">
        <f>IF(AF56=1,IF($B$3=1,50,(_xlfn.RANK.AVG(AH56,$AH$6:$AH$105,1)-1)/($B$3-1)*100),"")</f>
        <v/>
      </c>
      <c r="AM56">
        <f>IF(AF56=1,IF($B$3=1,50,(_xlfn.RANK.AVG(AI56,$AI$6:$AI$105,1)-1)/($B$3-1)*100),"")</f>
        <v/>
      </c>
      <c r="AN56">
        <f>IF(AF56=1,IF($B$3=1,50,(_xlfn.RANK.AVG(AJ56,$AJ$6:$AJ$105,1)-1)/($B$3-1)*100),"")</f>
        <v/>
      </c>
      <c r="AO56">
        <f>IF(AF56=1,ROUND(AVERAGE(AK56:AN56),6),"")</f>
        <v/>
      </c>
      <c r="AP56">
        <f>IF(AND(AF56=1,C56&lt;&gt;"Y"),R56,"")</f>
        <v/>
      </c>
      <c r="AQ56">
        <f>IF(AND(ISNUMBER(AP56),Q56="편입 후보"),AP56+(1000-ROW())/1000000,"")</f>
        <v/>
      </c>
      <c r="AR56">
        <f>IF(A56="","",_xlfn.TEXTJOIN(", ",TRUE,IF(D56="Y","금융·리츠",""),IF(NOT(ISNUMBER(I56)),"영업이익 없음",IF(I56&lt;=0,"영업적자","")),IF(OR(NOT(ISNUMBER(G56)),NOT(ISNUMBER(H56))),"부채비율 자료 없음",IF(G56&lt;=0,"자본잠식",IF(H56/G56&gt;'설정'!$B$8,"부채비율 초과",""))),IF(NOT(ISNUMBER(L56)),"시총 없음",IF(L56&lt;'설정'!$B$10,"시총 미달",""))))</f>
        <v/>
      </c>
    </row>
    <row r="57">
      <c r="A57" s="18" t="n"/>
      <c r="B57" s="19" t="n"/>
      <c r="C57" s="19" t="n"/>
      <c r="D57" s="19" t="n"/>
      <c r="E57" s="19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3" t="n"/>
      <c r="P57" s="23" t="n"/>
      <c r="Q57" s="7">
        <f>IF(A57="","",IF(C57="Y",IF(AF57=1,IF(AND(R57&lt;'설정'!$B$6,ISNUMBER($H$3)),IF(ROUND($H$3-R57,1)&gt;='설정'!$B$7,"교체 제안 → "&amp;$E$3&amp;" ("&amp;TEXT($H$3,"0.0")&amp;")","보유 유지"),"보유 유지"),"보유 · 점수 없음"),IF(AF57=1,IF(R57&gt;='설정'!$B$5,"편입 후보",""),"")))</f>
        <v/>
      </c>
      <c r="R57" s="15">
        <f>IF(AF57=1,ROUND(IF($B$3=1,50,(_xlfn.RANK.AVG(AO57,$AO$6:$AO$105,1)-1)/($B$3-1)*100),1),"")</f>
        <v/>
      </c>
      <c r="S57">
        <f>IF(A57="","",IF(AF57=1,_xlfn.TEXTJOIN(". ",TRUE,_xlfn.TEXTJOIN(", ",TRUE,IF(AK57&gt;='설정'!$B$20,"수익성 높음",""),IF(AL57&gt;='설정'!$B$20,"성장 빠름",""),IF(AM57&gt;='설정'!$B$20,"가격 쌈",""),IF(AN57&gt;='설정'!$B$20,"추세 좋음","")),_xlfn.TEXTJOIN(", ",TRUE,IF(AK57&lt;'설정'!$B$21,"수익성 낮음",""),IF(AL57&lt;'설정'!$B$21,"성장 느림",""),IF(AM57&lt;'설정'!$B$21,"가격 비쌈",""),IF(AN57&lt;'설정'!$B$21,"추세 약함","")),IF(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="","","보통: "&amp;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)),IF(X57="통과",AE57,X57)))</f>
        <v/>
      </c>
      <c r="T57">
        <f>IF(AF57=1,TEXT(Z57,"0.0%")&amp;" · 상위 "&amp;TEXT(($B$3-_xlfn.RANK.AVG(AG57,$AG$6:$AG$105,1)+1)/$B$3*100,"0")&amp;"%",IF(A57="","",IF(Z57="","결측",TEXT(Z57,"0.0%"))))</f>
        <v/>
      </c>
      <c r="U57">
        <f>IF(AF57=1,TEXT(AA57,"0.0%")&amp;" · 상위 "&amp;TEXT(($B$3-_xlfn.RANK.AVG(AH57,$AH$6:$AH$105,1)+1)/$B$3*100,"0")&amp;"%",IF(A57="","",IF(AA57="","결측",TEXT(AA57,"0.0%"))))</f>
        <v/>
      </c>
      <c r="V57">
        <f>IF(AF57=1,TEXT(AB57,"0.0%")&amp;" · 상위 "&amp;TEXT(($B$3-_xlfn.RANK.AVG(AI57,$AI$6:$AI$105,1)+1)/$B$3*100,"0")&amp;"%",IF(A57="","",IF(AB57="","결측",TEXT(AB57,"0.0%"))))</f>
        <v/>
      </c>
      <c r="W57">
        <f>IF(AF57=1,TEXT(AC57,"0.0%")&amp;" · 상위 "&amp;TEXT(($B$3-_xlfn.RANK.AVG(AJ57,$AJ$6:$AJ$105,1)+1)/$B$3*100,"0")&amp;"%",IF(A57="","",IF(AC57="","결측",TEXT(AC57,"0.0%"))))</f>
        <v/>
      </c>
      <c r="X57">
        <f>IF(A57="","",IF(AR57="","통과","제외: "&amp;AR57))</f>
        <v/>
      </c>
      <c r="Y57" s="21">
        <f>IF(AND(ISNUMBER(G57),ISNUMBER(H57)),IF(G57&gt;0,H57/G57,""),"")</f>
        <v/>
      </c>
      <c r="Z57" s="22">
        <f>IF(AND(ISNUMBER(F57),ISNUMBER(G57)),IF(G57&gt;0,F57/G57,""),"")</f>
        <v/>
      </c>
      <c r="AA57" s="22">
        <f>IF(AND(ISNUMBER(J57),ISNUMBER(K57)),IF(AND(J57&gt;0,K57&gt;0),(J57/K57)^(1/3)-1,""),"")</f>
        <v/>
      </c>
      <c r="AB57" s="22">
        <f>IF(AND(ISNUMBER(I57),ISNUMBER(L57),ISNUMBER(M57),ISNUMBER(N57)),IF((L57+M57-N57)&gt;0,I57/(L57+M57-N57),""),"")</f>
        <v/>
      </c>
      <c r="AC57" s="22">
        <f>IF(AND(ISNUMBER(O57),ISNUMBER(P57)),IF(AND(O57&gt;0,P57&gt;0),P57/O57-1,""),"")</f>
        <v/>
      </c>
      <c r="AD57">
        <f>_xlfn.TEXTJOIN(", ",TRUE,IF(Z57="","ROE",""),IF(AA57="","매출성장률",""),IF(AB57="","이익수익률",""),IF(AC57="","12-1 수익률",""))</f>
        <v/>
      </c>
      <c r="AE57">
        <f>IF(A57="","",IF(AR57&lt;&gt;"","점수 없음(거름망)",IF(AD57="","채점","점수 없음(결측: "&amp;AD57&amp;")")))</f>
        <v/>
      </c>
      <c r="AF57">
        <f>IF(AE57="채점",1,"")</f>
        <v/>
      </c>
      <c r="AG57">
        <f>IF(AF57=1,Z57,"")</f>
        <v/>
      </c>
      <c r="AH57">
        <f>IF(AF57=1,AA57,"")</f>
        <v/>
      </c>
      <c r="AI57">
        <f>IF(AF57=1,AB57,"")</f>
        <v/>
      </c>
      <c r="AJ57">
        <f>IF(AF57=1,AC57,"")</f>
        <v/>
      </c>
      <c r="AK57">
        <f>IF(AF57=1,IF($B$3=1,50,(_xlfn.RANK.AVG(AG57,$AG$6:$AG$105,1)-1)/($B$3-1)*100),"")</f>
        <v/>
      </c>
      <c r="AL57">
        <f>IF(AF57=1,IF($B$3=1,50,(_xlfn.RANK.AVG(AH57,$AH$6:$AH$105,1)-1)/($B$3-1)*100),"")</f>
        <v/>
      </c>
      <c r="AM57">
        <f>IF(AF57=1,IF($B$3=1,50,(_xlfn.RANK.AVG(AI57,$AI$6:$AI$105,1)-1)/($B$3-1)*100),"")</f>
        <v/>
      </c>
      <c r="AN57">
        <f>IF(AF57=1,IF($B$3=1,50,(_xlfn.RANK.AVG(AJ57,$AJ$6:$AJ$105,1)-1)/($B$3-1)*100),"")</f>
        <v/>
      </c>
      <c r="AO57">
        <f>IF(AF57=1,ROUND(AVERAGE(AK57:AN57),6),"")</f>
        <v/>
      </c>
      <c r="AP57">
        <f>IF(AND(AF57=1,C57&lt;&gt;"Y"),R57,"")</f>
        <v/>
      </c>
      <c r="AQ57">
        <f>IF(AND(ISNUMBER(AP57),Q57="편입 후보"),AP57+(1000-ROW())/1000000,"")</f>
        <v/>
      </c>
      <c r="AR57">
        <f>IF(A57="","",_xlfn.TEXTJOIN(", ",TRUE,IF(D57="Y","금융·리츠",""),IF(NOT(ISNUMBER(I57)),"영업이익 없음",IF(I57&lt;=0,"영업적자","")),IF(OR(NOT(ISNUMBER(G57)),NOT(ISNUMBER(H57))),"부채비율 자료 없음",IF(G57&lt;=0,"자본잠식",IF(H57/G57&gt;'설정'!$B$8,"부채비율 초과",""))),IF(NOT(ISNUMBER(L57)),"시총 없음",IF(L57&lt;'설정'!$B$10,"시총 미달",""))))</f>
        <v/>
      </c>
    </row>
    <row r="58">
      <c r="A58" s="18" t="n"/>
      <c r="B58" s="19" t="n"/>
      <c r="C58" s="19" t="n"/>
      <c r="D58" s="19" t="n"/>
      <c r="E58" s="19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3" t="n"/>
      <c r="P58" s="23" t="n"/>
      <c r="Q58" s="7">
        <f>IF(A58="","",IF(C58="Y",IF(AF58=1,IF(AND(R58&lt;'설정'!$B$6,ISNUMBER($H$3)),IF(ROUND($H$3-R58,1)&gt;='설정'!$B$7,"교체 제안 → "&amp;$E$3&amp;" ("&amp;TEXT($H$3,"0.0")&amp;")","보유 유지"),"보유 유지"),"보유 · 점수 없음"),IF(AF58=1,IF(R58&gt;='설정'!$B$5,"편입 후보",""),"")))</f>
        <v/>
      </c>
      <c r="R58" s="15">
        <f>IF(AF58=1,ROUND(IF($B$3=1,50,(_xlfn.RANK.AVG(AO58,$AO$6:$AO$105,1)-1)/($B$3-1)*100),1),"")</f>
        <v/>
      </c>
      <c r="S58">
        <f>IF(A58="","",IF(AF58=1,_xlfn.TEXTJOIN(". ",TRUE,_xlfn.TEXTJOIN(", ",TRUE,IF(AK58&gt;='설정'!$B$20,"수익성 높음",""),IF(AL58&gt;='설정'!$B$20,"성장 빠름",""),IF(AM58&gt;='설정'!$B$20,"가격 쌈",""),IF(AN58&gt;='설정'!$B$20,"추세 좋음","")),_xlfn.TEXTJOIN(", ",TRUE,IF(AK58&lt;'설정'!$B$21,"수익성 낮음",""),IF(AL58&lt;'설정'!$B$21,"성장 느림",""),IF(AM58&lt;'설정'!$B$21,"가격 비쌈",""),IF(AN58&lt;'설정'!$B$21,"추세 약함","")),IF(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="","","보통: "&amp;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)),IF(X58="통과",AE58,X58)))</f>
        <v/>
      </c>
      <c r="T58">
        <f>IF(AF58=1,TEXT(Z58,"0.0%")&amp;" · 상위 "&amp;TEXT(($B$3-_xlfn.RANK.AVG(AG58,$AG$6:$AG$105,1)+1)/$B$3*100,"0")&amp;"%",IF(A58="","",IF(Z58="","결측",TEXT(Z58,"0.0%"))))</f>
        <v/>
      </c>
      <c r="U58">
        <f>IF(AF58=1,TEXT(AA58,"0.0%")&amp;" · 상위 "&amp;TEXT(($B$3-_xlfn.RANK.AVG(AH58,$AH$6:$AH$105,1)+1)/$B$3*100,"0")&amp;"%",IF(A58="","",IF(AA58="","결측",TEXT(AA58,"0.0%"))))</f>
        <v/>
      </c>
      <c r="V58">
        <f>IF(AF58=1,TEXT(AB58,"0.0%")&amp;" · 상위 "&amp;TEXT(($B$3-_xlfn.RANK.AVG(AI58,$AI$6:$AI$105,1)+1)/$B$3*100,"0")&amp;"%",IF(A58="","",IF(AB58="","결측",TEXT(AB58,"0.0%"))))</f>
        <v/>
      </c>
      <c r="W58">
        <f>IF(AF58=1,TEXT(AC58,"0.0%")&amp;" · 상위 "&amp;TEXT(($B$3-_xlfn.RANK.AVG(AJ58,$AJ$6:$AJ$105,1)+1)/$B$3*100,"0")&amp;"%",IF(A58="","",IF(AC58="","결측",TEXT(AC58,"0.0%"))))</f>
        <v/>
      </c>
      <c r="X58">
        <f>IF(A58="","",IF(AR58="","통과","제외: "&amp;AR58))</f>
        <v/>
      </c>
      <c r="Y58" s="21">
        <f>IF(AND(ISNUMBER(G58),ISNUMBER(H58)),IF(G58&gt;0,H58/G58,""),"")</f>
        <v/>
      </c>
      <c r="Z58" s="22">
        <f>IF(AND(ISNUMBER(F58),ISNUMBER(G58)),IF(G58&gt;0,F58/G58,""),"")</f>
        <v/>
      </c>
      <c r="AA58" s="22">
        <f>IF(AND(ISNUMBER(J58),ISNUMBER(K58)),IF(AND(J58&gt;0,K58&gt;0),(J58/K58)^(1/3)-1,""),"")</f>
        <v/>
      </c>
      <c r="AB58" s="22">
        <f>IF(AND(ISNUMBER(I58),ISNUMBER(L58),ISNUMBER(M58),ISNUMBER(N58)),IF((L58+M58-N58)&gt;0,I58/(L58+M58-N58),""),"")</f>
        <v/>
      </c>
      <c r="AC58" s="22">
        <f>IF(AND(ISNUMBER(O58),ISNUMBER(P58)),IF(AND(O58&gt;0,P58&gt;0),P58/O58-1,""),"")</f>
        <v/>
      </c>
      <c r="AD58">
        <f>_xlfn.TEXTJOIN(", ",TRUE,IF(Z58="","ROE",""),IF(AA58="","매출성장률",""),IF(AB58="","이익수익률",""),IF(AC58="","12-1 수익률",""))</f>
        <v/>
      </c>
      <c r="AE58">
        <f>IF(A58="","",IF(AR58&lt;&gt;"","점수 없음(거름망)",IF(AD58="","채점","점수 없음(결측: "&amp;AD58&amp;")")))</f>
        <v/>
      </c>
      <c r="AF58">
        <f>IF(AE58="채점",1,"")</f>
        <v/>
      </c>
      <c r="AG58">
        <f>IF(AF58=1,Z58,"")</f>
        <v/>
      </c>
      <c r="AH58">
        <f>IF(AF58=1,AA58,"")</f>
        <v/>
      </c>
      <c r="AI58">
        <f>IF(AF58=1,AB58,"")</f>
        <v/>
      </c>
      <c r="AJ58">
        <f>IF(AF58=1,AC58,"")</f>
        <v/>
      </c>
      <c r="AK58">
        <f>IF(AF58=1,IF($B$3=1,50,(_xlfn.RANK.AVG(AG58,$AG$6:$AG$105,1)-1)/($B$3-1)*100),"")</f>
        <v/>
      </c>
      <c r="AL58">
        <f>IF(AF58=1,IF($B$3=1,50,(_xlfn.RANK.AVG(AH58,$AH$6:$AH$105,1)-1)/($B$3-1)*100),"")</f>
        <v/>
      </c>
      <c r="AM58">
        <f>IF(AF58=1,IF($B$3=1,50,(_xlfn.RANK.AVG(AI58,$AI$6:$AI$105,1)-1)/($B$3-1)*100),"")</f>
        <v/>
      </c>
      <c r="AN58">
        <f>IF(AF58=1,IF($B$3=1,50,(_xlfn.RANK.AVG(AJ58,$AJ$6:$AJ$105,1)-1)/($B$3-1)*100),"")</f>
        <v/>
      </c>
      <c r="AO58">
        <f>IF(AF58=1,ROUND(AVERAGE(AK58:AN58),6),"")</f>
        <v/>
      </c>
      <c r="AP58">
        <f>IF(AND(AF58=1,C58&lt;&gt;"Y"),R58,"")</f>
        <v/>
      </c>
      <c r="AQ58">
        <f>IF(AND(ISNUMBER(AP58),Q58="편입 후보"),AP58+(1000-ROW())/1000000,"")</f>
        <v/>
      </c>
      <c r="AR58">
        <f>IF(A58="","",_xlfn.TEXTJOIN(", ",TRUE,IF(D58="Y","금융·리츠",""),IF(NOT(ISNUMBER(I58)),"영업이익 없음",IF(I58&lt;=0,"영업적자","")),IF(OR(NOT(ISNUMBER(G58)),NOT(ISNUMBER(H58))),"부채비율 자료 없음",IF(G58&lt;=0,"자본잠식",IF(H58/G58&gt;'설정'!$B$8,"부채비율 초과",""))),IF(NOT(ISNUMBER(L58)),"시총 없음",IF(L58&lt;'설정'!$B$10,"시총 미달",""))))</f>
        <v/>
      </c>
    </row>
    <row r="59">
      <c r="A59" s="18" t="n"/>
      <c r="B59" s="19" t="n"/>
      <c r="C59" s="19" t="n"/>
      <c r="D59" s="19" t="n"/>
      <c r="E59" s="19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3" t="n"/>
      <c r="P59" s="23" t="n"/>
      <c r="Q59" s="7">
        <f>IF(A59="","",IF(C59="Y",IF(AF59=1,IF(AND(R59&lt;'설정'!$B$6,ISNUMBER($H$3)),IF(ROUND($H$3-R59,1)&gt;='설정'!$B$7,"교체 제안 → "&amp;$E$3&amp;" ("&amp;TEXT($H$3,"0.0")&amp;")","보유 유지"),"보유 유지"),"보유 · 점수 없음"),IF(AF59=1,IF(R59&gt;='설정'!$B$5,"편입 후보",""),"")))</f>
        <v/>
      </c>
      <c r="R59" s="15">
        <f>IF(AF59=1,ROUND(IF($B$3=1,50,(_xlfn.RANK.AVG(AO59,$AO$6:$AO$105,1)-1)/($B$3-1)*100),1),"")</f>
        <v/>
      </c>
      <c r="S59">
        <f>IF(A59="","",IF(AF59=1,_xlfn.TEXTJOIN(". ",TRUE,_xlfn.TEXTJOIN(", ",TRUE,IF(AK59&gt;='설정'!$B$20,"수익성 높음",""),IF(AL59&gt;='설정'!$B$20,"성장 빠름",""),IF(AM59&gt;='설정'!$B$20,"가격 쌈",""),IF(AN59&gt;='설정'!$B$20,"추세 좋음","")),_xlfn.TEXTJOIN(", ",TRUE,IF(AK59&lt;'설정'!$B$21,"수익성 낮음",""),IF(AL59&lt;'설정'!$B$21,"성장 느림",""),IF(AM59&lt;'설정'!$B$21,"가격 비쌈",""),IF(AN59&lt;'설정'!$B$21,"추세 약함","")),IF(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="","","보통: "&amp;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)),IF(X59="통과",AE59,X59)))</f>
        <v/>
      </c>
      <c r="T59">
        <f>IF(AF59=1,TEXT(Z59,"0.0%")&amp;" · 상위 "&amp;TEXT(($B$3-_xlfn.RANK.AVG(AG59,$AG$6:$AG$105,1)+1)/$B$3*100,"0")&amp;"%",IF(A59="","",IF(Z59="","결측",TEXT(Z59,"0.0%"))))</f>
        <v/>
      </c>
      <c r="U59">
        <f>IF(AF59=1,TEXT(AA59,"0.0%")&amp;" · 상위 "&amp;TEXT(($B$3-_xlfn.RANK.AVG(AH59,$AH$6:$AH$105,1)+1)/$B$3*100,"0")&amp;"%",IF(A59="","",IF(AA59="","결측",TEXT(AA59,"0.0%"))))</f>
        <v/>
      </c>
      <c r="V59">
        <f>IF(AF59=1,TEXT(AB59,"0.0%")&amp;" · 상위 "&amp;TEXT(($B$3-_xlfn.RANK.AVG(AI59,$AI$6:$AI$105,1)+1)/$B$3*100,"0")&amp;"%",IF(A59="","",IF(AB59="","결측",TEXT(AB59,"0.0%"))))</f>
        <v/>
      </c>
      <c r="W59">
        <f>IF(AF59=1,TEXT(AC59,"0.0%")&amp;" · 상위 "&amp;TEXT(($B$3-_xlfn.RANK.AVG(AJ59,$AJ$6:$AJ$105,1)+1)/$B$3*100,"0")&amp;"%",IF(A59="","",IF(AC59="","결측",TEXT(AC59,"0.0%"))))</f>
        <v/>
      </c>
      <c r="X59">
        <f>IF(A59="","",IF(AR59="","통과","제외: "&amp;AR59))</f>
        <v/>
      </c>
      <c r="Y59" s="21">
        <f>IF(AND(ISNUMBER(G59),ISNUMBER(H59)),IF(G59&gt;0,H59/G59,""),"")</f>
        <v/>
      </c>
      <c r="Z59" s="22">
        <f>IF(AND(ISNUMBER(F59),ISNUMBER(G59)),IF(G59&gt;0,F59/G59,""),"")</f>
        <v/>
      </c>
      <c r="AA59" s="22">
        <f>IF(AND(ISNUMBER(J59),ISNUMBER(K59)),IF(AND(J59&gt;0,K59&gt;0),(J59/K59)^(1/3)-1,""),"")</f>
        <v/>
      </c>
      <c r="AB59" s="22">
        <f>IF(AND(ISNUMBER(I59),ISNUMBER(L59),ISNUMBER(M59),ISNUMBER(N59)),IF((L59+M59-N59)&gt;0,I59/(L59+M59-N59),""),"")</f>
        <v/>
      </c>
      <c r="AC59" s="22">
        <f>IF(AND(ISNUMBER(O59),ISNUMBER(P59)),IF(AND(O59&gt;0,P59&gt;0),P59/O59-1,""),"")</f>
        <v/>
      </c>
      <c r="AD59">
        <f>_xlfn.TEXTJOIN(", ",TRUE,IF(Z59="","ROE",""),IF(AA59="","매출성장률",""),IF(AB59="","이익수익률",""),IF(AC59="","12-1 수익률",""))</f>
        <v/>
      </c>
      <c r="AE59">
        <f>IF(A59="","",IF(AR59&lt;&gt;"","점수 없음(거름망)",IF(AD59="","채점","점수 없음(결측: "&amp;AD59&amp;")")))</f>
        <v/>
      </c>
      <c r="AF59">
        <f>IF(AE59="채점",1,"")</f>
        <v/>
      </c>
      <c r="AG59">
        <f>IF(AF59=1,Z59,"")</f>
        <v/>
      </c>
      <c r="AH59">
        <f>IF(AF59=1,AA59,"")</f>
        <v/>
      </c>
      <c r="AI59">
        <f>IF(AF59=1,AB59,"")</f>
        <v/>
      </c>
      <c r="AJ59">
        <f>IF(AF59=1,AC59,"")</f>
        <v/>
      </c>
      <c r="AK59">
        <f>IF(AF59=1,IF($B$3=1,50,(_xlfn.RANK.AVG(AG59,$AG$6:$AG$105,1)-1)/($B$3-1)*100),"")</f>
        <v/>
      </c>
      <c r="AL59">
        <f>IF(AF59=1,IF($B$3=1,50,(_xlfn.RANK.AVG(AH59,$AH$6:$AH$105,1)-1)/($B$3-1)*100),"")</f>
        <v/>
      </c>
      <c r="AM59">
        <f>IF(AF59=1,IF($B$3=1,50,(_xlfn.RANK.AVG(AI59,$AI$6:$AI$105,1)-1)/($B$3-1)*100),"")</f>
        <v/>
      </c>
      <c r="AN59">
        <f>IF(AF59=1,IF($B$3=1,50,(_xlfn.RANK.AVG(AJ59,$AJ$6:$AJ$105,1)-1)/($B$3-1)*100),"")</f>
        <v/>
      </c>
      <c r="AO59">
        <f>IF(AF59=1,ROUND(AVERAGE(AK59:AN59),6),"")</f>
        <v/>
      </c>
      <c r="AP59">
        <f>IF(AND(AF59=1,C59&lt;&gt;"Y"),R59,"")</f>
        <v/>
      </c>
      <c r="AQ59">
        <f>IF(AND(ISNUMBER(AP59),Q59="편입 후보"),AP59+(1000-ROW())/1000000,"")</f>
        <v/>
      </c>
      <c r="AR59">
        <f>IF(A59="","",_xlfn.TEXTJOIN(", ",TRUE,IF(D59="Y","금융·리츠",""),IF(NOT(ISNUMBER(I59)),"영업이익 없음",IF(I59&lt;=0,"영업적자","")),IF(OR(NOT(ISNUMBER(G59)),NOT(ISNUMBER(H59))),"부채비율 자료 없음",IF(G59&lt;=0,"자본잠식",IF(H59/G59&gt;'설정'!$B$8,"부채비율 초과",""))),IF(NOT(ISNUMBER(L59)),"시총 없음",IF(L59&lt;'설정'!$B$10,"시총 미달",""))))</f>
        <v/>
      </c>
    </row>
    <row r="60">
      <c r="A60" s="18" t="n"/>
      <c r="B60" s="19" t="n"/>
      <c r="C60" s="19" t="n"/>
      <c r="D60" s="19" t="n"/>
      <c r="E60" s="19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3" t="n"/>
      <c r="P60" s="23" t="n"/>
      <c r="Q60" s="7">
        <f>IF(A60="","",IF(C60="Y",IF(AF60=1,IF(AND(R60&lt;'설정'!$B$6,ISNUMBER($H$3)),IF(ROUND($H$3-R60,1)&gt;='설정'!$B$7,"교체 제안 → "&amp;$E$3&amp;" ("&amp;TEXT($H$3,"0.0")&amp;")","보유 유지"),"보유 유지"),"보유 · 점수 없음"),IF(AF60=1,IF(R60&gt;='설정'!$B$5,"편입 후보",""),"")))</f>
        <v/>
      </c>
      <c r="R60" s="15">
        <f>IF(AF60=1,ROUND(IF($B$3=1,50,(_xlfn.RANK.AVG(AO60,$AO$6:$AO$105,1)-1)/($B$3-1)*100),1),"")</f>
        <v/>
      </c>
      <c r="S60">
        <f>IF(A60="","",IF(AF60=1,_xlfn.TEXTJOIN(". ",TRUE,_xlfn.TEXTJOIN(", ",TRUE,IF(AK60&gt;='설정'!$B$20,"수익성 높음",""),IF(AL60&gt;='설정'!$B$20,"성장 빠름",""),IF(AM60&gt;='설정'!$B$20,"가격 쌈",""),IF(AN60&gt;='설정'!$B$20,"추세 좋음","")),_xlfn.TEXTJOIN(", ",TRUE,IF(AK60&lt;'설정'!$B$21,"수익성 낮음",""),IF(AL60&lt;'설정'!$B$21,"성장 느림",""),IF(AM60&lt;'설정'!$B$21,"가격 비쌈",""),IF(AN60&lt;'설정'!$B$21,"추세 약함","")),IF(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="","","보통: "&amp;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)),IF(X60="통과",AE60,X60)))</f>
        <v/>
      </c>
      <c r="T60">
        <f>IF(AF60=1,TEXT(Z60,"0.0%")&amp;" · 상위 "&amp;TEXT(($B$3-_xlfn.RANK.AVG(AG60,$AG$6:$AG$105,1)+1)/$B$3*100,"0")&amp;"%",IF(A60="","",IF(Z60="","결측",TEXT(Z60,"0.0%"))))</f>
        <v/>
      </c>
      <c r="U60">
        <f>IF(AF60=1,TEXT(AA60,"0.0%")&amp;" · 상위 "&amp;TEXT(($B$3-_xlfn.RANK.AVG(AH60,$AH$6:$AH$105,1)+1)/$B$3*100,"0")&amp;"%",IF(A60="","",IF(AA60="","결측",TEXT(AA60,"0.0%"))))</f>
        <v/>
      </c>
      <c r="V60">
        <f>IF(AF60=1,TEXT(AB60,"0.0%")&amp;" · 상위 "&amp;TEXT(($B$3-_xlfn.RANK.AVG(AI60,$AI$6:$AI$105,1)+1)/$B$3*100,"0")&amp;"%",IF(A60="","",IF(AB60="","결측",TEXT(AB60,"0.0%"))))</f>
        <v/>
      </c>
      <c r="W60">
        <f>IF(AF60=1,TEXT(AC60,"0.0%")&amp;" · 상위 "&amp;TEXT(($B$3-_xlfn.RANK.AVG(AJ60,$AJ$6:$AJ$105,1)+1)/$B$3*100,"0")&amp;"%",IF(A60="","",IF(AC60="","결측",TEXT(AC60,"0.0%"))))</f>
        <v/>
      </c>
      <c r="X60">
        <f>IF(A60="","",IF(AR60="","통과","제외: "&amp;AR60))</f>
        <v/>
      </c>
      <c r="Y60" s="21">
        <f>IF(AND(ISNUMBER(G60),ISNUMBER(H60)),IF(G60&gt;0,H60/G60,""),"")</f>
        <v/>
      </c>
      <c r="Z60" s="22">
        <f>IF(AND(ISNUMBER(F60),ISNUMBER(G60)),IF(G60&gt;0,F60/G60,""),"")</f>
        <v/>
      </c>
      <c r="AA60" s="22">
        <f>IF(AND(ISNUMBER(J60),ISNUMBER(K60)),IF(AND(J60&gt;0,K60&gt;0),(J60/K60)^(1/3)-1,""),"")</f>
        <v/>
      </c>
      <c r="AB60" s="22">
        <f>IF(AND(ISNUMBER(I60),ISNUMBER(L60),ISNUMBER(M60),ISNUMBER(N60)),IF((L60+M60-N60)&gt;0,I60/(L60+M60-N60),""),"")</f>
        <v/>
      </c>
      <c r="AC60" s="22">
        <f>IF(AND(ISNUMBER(O60),ISNUMBER(P60)),IF(AND(O60&gt;0,P60&gt;0),P60/O60-1,""),"")</f>
        <v/>
      </c>
      <c r="AD60">
        <f>_xlfn.TEXTJOIN(", ",TRUE,IF(Z60="","ROE",""),IF(AA60="","매출성장률",""),IF(AB60="","이익수익률",""),IF(AC60="","12-1 수익률",""))</f>
        <v/>
      </c>
      <c r="AE60">
        <f>IF(A60="","",IF(AR60&lt;&gt;"","점수 없음(거름망)",IF(AD60="","채점","점수 없음(결측: "&amp;AD60&amp;")")))</f>
        <v/>
      </c>
      <c r="AF60">
        <f>IF(AE60="채점",1,"")</f>
        <v/>
      </c>
      <c r="AG60">
        <f>IF(AF60=1,Z60,"")</f>
        <v/>
      </c>
      <c r="AH60">
        <f>IF(AF60=1,AA60,"")</f>
        <v/>
      </c>
      <c r="AI60">
        <f>IF(AF60=1,AB60,"")</f>
        <v/>
      </c>
      <c r="AJ60">
        <f>IF(AF60=1,AC60,"")</f>
        <v/>
      </c>
      <c r="AK60">
        <f>IF(AF60=1,IF($B$3=1,50,(_xlfn.RANK.AVG(AG60,$AG$6:$AG$105,1)-1)/($B$3-1)*100),"")</f>
        <v/>
      </c>
      <c r="AL60">
        <f>IF(AF60=1,IF($B$3=1,50,(_xlfn.RANK.AVG(AH60,$AH$6:$AH$105,1)-1)/($B$3-1)*100),"")</f>
        <v/>
      </c>
      <c r="AM60">
        <f>IF(AF60=1,IF($B$3=1,50,(_xlfn.RANK.AVG(AI60,$AI$6:$AI$105,1)-1)/($B$3-1)*100),"")</f>
        <v/>
      </c>
      <c r="AN60">
        <f>IF(AF60=1,IF($B$3=1,50,(_xlfn.RANK.AVG(AJ60,$AJ$6:$AJ$105,1)-1)/($B$3-1)*100),"")</f>
        <v/>
      </c>
      <c r="AO60">
        <f>IF(AF60=1,ROUND(AVERAGE(AK60:AN60),6),"")</f>
        <v/>
      </c>
      <c r="AP60">
        <f>IF(AND(AF60=1,C60&lt;&gt;"Y"),R60,"")</f>
        <v/>
      </c>
      <c r="AQ60">
        <f>IF(AND(ISNUMBER(AP60),Q60="편입 후보"),AP60+(1000-ROW())/1000000,"")</f>
        <v/>
      </c>
      <c r="AR60">
        <f>IF(A60="","",_xlfn.TEXTJOIN(", ",TRUE,IF(D60="Y","금융·리츠",""),IF(NOT(ISNUMBER(I60)),"영업이익 없음",IF(I60&lt;=0,"영업적자","")),IF(OR(NOT(ISNUMBER(G60)),NOT(ISNUMBER(H60))),"부채비율 자료 없음",IF(G60&lt;=0,"자본잠식",IF(H60/G60&gt;'설정'!$B$8,"부채비율 초과",""))),IF(NOT(ISNUMBER(L60)),"시총 없음",IF(L60&lt;'설정'!$B$10,"시총 미달",""))))</f>
        <v/>
      </c>
    </row>
    <row r="61">
      <c r="A61" s="18" t="n"/>
      <c r="B61" s="19" t="n"/>
      <c r="C61" s="19" t="n"/>
      <c r="D61" s="19" t="n"/>
      <c r="E61" s="19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3" t="n"/>
      <c r="P61" s="23" t="n"/>
      <c r="Q61" s="7">
        <f>IF(A61="","",IF(C61="Y",IF(AF61=1,IF(AND(R61&lt;'설정'!$B$6,ISNUMBER($H$3)),IF(ROUND($H$3-R61,1)&gt;='설정'!$B$7,"교체 제안 → "&amp;$E$3&amp;" ("&amp;TEXT($H$3,"0.0")&amp;")","보유 유지"),"보유 유지"),"보유 · 점수 없음"),IF(AF61=1,IF(R61&gt;='설정'!$B$5,"편입 후보",""),"")))</f>
        <v/>
      </c>
      <c r="R61" s="15">
        <f>IF(AF61=1,ROUND(IF($B$3=1,50,(_xlfn.RANK.AVG(AO61,$AO$6:$AO$105,1)-1)/($B$3-1)*100),1),"")</f>
        <v/>
      </c>
      <c r="S61">
        <f>IF(A61="","",IF(AF61=1,_xlfn.TEXTJOIN(". ",TRUE,_xlfn.TEXTJOIN(", ",TRUE,IF(AK61&gt;='설정'!$B$20,"수익성 높음",""),IF(AL61&gt;='설정'!$B$20,"성장 빠름",""),IF(AM61&gt;='설정'!$B$20,"가격 쌈",""),IF(AN61&gt;='설정'!$B$20,"추세 좋음","")),_xlfn.TEXTJOIN(", ",TRUE,IF(AK61&lt;'설정'!$B$21,"수익성 낮음",""),IF(AL61&lt;'설정'!$B$21,"성장 느림",""),IF(AM61&lt;'설정'!$B$21,"가격 비쌈",""),IF(AN61&lt;'설정'!$B$21,"추세 약함","")),IF(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="","","보통: "&amp;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)),IF(X61="통과",AE61,X61)))</f>
        <v/>
      </c>
      <c r="T61">
        <f>IF(AF61=1,TEXT(Z61,"0.0%")&amp;" · 상위 "&amp;TEXT(($B$3-_xlfn.RANK.AVG(AG61,$AG$6:$AG$105,1)+1)/$B$3*100,"0")&amp;"%",IF(A61="","",IF(Z61="","결측",TEXT(Z61,"0.0%"))))</f>
        <v/>
      </c>
      <c r="U61">
        <f>IF(AF61=1,TEXT(AA61,"0.0%")&amp;" · 상위 "&amp;TEXT(($B$3-_xlfn.RANK.AVG(AH61,$AH$6:$AH$105,1)+1)/$B$3*100,"0")&amp;"%",IF(A61="","",IF(AA61="","결측",TEXT(AA61,"0.0%"))))</f>
        <v/>
      </c>
      <c r="V61">
        <f>IF(AF61=1,TEXT(AB61,"0.0%")&amp;" · 상위 "&amp;TEXT(($B$3-_xlfn.RANK.AVG(AI61,$AI$6:$AI$105,1)+1)/$B$3*100,"0")&amp;"%",IF(A61="","",IF(AB61="","결측",TEXT(AB61,"0.0%"))))</f>
        <v/>
      </c>
      <c r="W61">
        <f>IF(AF61=1,TEXT(AC61,"0.0%")&amp;" · 상위 "&amp;TEXT(($B$3-_xlfn.RANK.AVG(AJ61,$AJ$6:$AJ$105,1)+1)/$B$3*100,"0")&amp;"%",IF(A61="","",IF(AC61="","결측",TEXT(AC61,"0.0%"))))</f>
        <v/>
      </c>
      <c r="X61">
        <f>IF(A61="","",IF(AR61="","통과","제외: "&amp;AR61))</f>
        <v/>
      </c>
      <c r="Y61" s="21">
        <f>IF(AND(ISNUMBER(G61),ISNUMBER(H61)),IF(G61&gt;0,H61/G61,""),"")</f>
        <v/>
      </c>
      <c r="Z61" s="22">
        <f>IF(AND(ISNUMBER(F61),ISNUMBER(G61)),IF(G61&gt;0,F61/G61,""),"")</f>
        <v/>
      </c>
      <c r="AA61" s="22">
        <f>IF(AND(ISNUMBER(J61),ISNUMBER(K61)),IF(AND(J61&gt;0,K61&gt;0),(J61/K61)^(1/3)-1,""),"")</f>
        <v/>
      </c>
      <c r="AB61" s="22">
        <f>IF(AND(ISNUMBER(I61),ISNUMBER(L61),ISNUMBER(M61),ISNUMBER(N61)),IF((L61+M61-N61)&gt;0,I61/(L61+M61-N61),""),"")</f>
        <v/>
      </c>
      <c r="AC61" s="22">
        <f>IF(AND(ISNUMBER(O61),ISNUMBER(P61)),IF(AND(O61&gt;0,P61&gt;0),P61/O61-1,""),"")</f>
        <v/>
      </c>
      <c r="AD61">
        <f>_xlfn.TEXTJOIN(", ",TRUE,IF(Z61="","ROE",""),IF(AA61="","매출성장률",""),IF(AB61="","이익수익률",""),IF(AC61="","12-1 수익률",""))</f>
        <v/>
      </c>
      <c r="AE61">
        <f>IF(A61="","",IF(AR61&lt;&gt;"","점수 없음(거름망)",IF(AD61="","채점","점수 없음(결측: "&amp;AD61&amp;")")))</f>
        <v/>
      </c>
      <c r="AF61">
        <f>IF(AE61="채점",1,"")</f>
        <v/>
      </c>
      <c r="AG61">
        <f>IF(AF61=1,Z61,"")</f>
        <v/>
      </c>
      <c r="AH61">
        <f>IF(AF61=1,AA61,"")</f>
        <v/>
      </c>
      <c r="AI61">
        <f>IF(AF61=1,AB61,"")</f>
        <v/>
      </c>
      <c r="AJ61">
        <f>IF(AF61=1,AC61,"")</f>
        <v/>
      </c>
      <c r="AK61">
        <f>IF(AF61=1,IF($B$3=1,50,(_xlfn.RANK.AVG(AG61,$AG$6:$AG$105,1)-1)/($B$3-1)*100),"")</f>
        <v/>
      </c>
      <c r="AL61">
        <f>IF(AF61=1,IF($B$3=1,50,(_xlfn.RANK.AVG(AH61,$AH$6:$AH$105,1)-1)/($B$3-1)*100),"")</f>
        <v/>
      </c>
      <c r="AM61">
        <f>IF(AF61=1,IF($B$3=1,50,(_xlfn.RANK.AVG(AI61,$AI$6:$AI$105,1)-1)/($B$3-1)*100),"")</f>
        <v/>
      </c>
      <c r="AN61">
        <f>IF(AF61=1,IF($B$3=1,50,(_xlfn.RANK.AVG(AJ61,$AJ$6:$AJ$105,1)-1)/($B$3-1)*100),"")</f>
        <v/>
      </c>
      <c r="AO61">
        <f>IF(AF61=1,ROUND(AVERAGE(AK61:AN61),6),"")</f>
        <v/>
      </c>
      <c r="AP61">
        <f>IF(AND(AF61=1,C61&lt;&gt;"Y"),R61,"")</f>
        <v/>
      </c>
      <c r="AQ61">
        <f>IF(AND(ISNUMBER(AP61),Q61="편입 후보"),AP61+(1000-ROW())/1000000,"")</f>
        <v/>
      </c>
      <c r="AR61">
        <f>IF(A61="","",_xlfn.TEXTJOIN(", ",TRUE,IF(D61="Y","금융·리츠",""),IF(NOT(ISNUMBER(I61)),"영업이익 없음",IF(I61&lt;=0,"영업적자","")),IF(OR(NOT(ISNUMBER(G61)),NOT(ISNUMBER(H61))),"부채비율 자료 없음",IF(G61&lt;=0,"자본잠식",IF(H61/G61&gt;'설정'!$B$8,"부채비율 초과",""))),IF(NOT(ISNUMBER(L61)),"시총 없음",IF(L61&lt;'설정'!$B$10,"시총 미달",""))))</f>
        <v/>
      </c>
    </row>
    <row r="62">
      <c r="A62" s="18" t="n"/>
      <c r="B62" s="19" t="n"/>
      <c r="C62" s="19" t="n"/>
      <c r="D62" s="19" t="n"/>
      <c r="E62" s="19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3" t="n"/>
      <c r="P62" s="23" t="n"/>
      <c r="Q62" s="7">
        <f>IF(A62="","",IF(C62="Y",IF(AF62=1,IF(AND(R62&lt;'설정'!$B$6,ISNUMBER($H$3)),IF(ROUND($H$3-R62,1)&gt;='설정'!$B$7,"교체 제안 → "&amp;$E$3&amp;" ("&amp;TEXT($H$3,"0.0")&amp;")","보유 유지"),"보유 유지"),"보유 · 점수 없음"),IF(AF62=1,IF(R62&gt;='설정'!$B$5,"편입 후보",""),"")))</f>
        <v/>
      </c>
      <c r="R62" s="15">
        <f>IF(AF62=1,ROUND(IF($B$3=1,50,(_xlfn.RANK.AVG(AO62,$AO$6:$AO$105,1)-1)/($B$3-1)*100),1),"")</f>
        <v/>
      </c>
      <c r="S62">
        <f>IF(A62="","",IF(AF62=1,_xlfn.TEXTJOIN(". ",TRUE,_xlfn.TEXTJOIN(", ",TRUE,IF(AK62&gt;='설정'!$B$20,"수익성 높음",""),IF(AL62&gt;='설정'!$B$20,"성장 빠름",""),IF(AM62&gt;='설정'!$B$20,"가격 쌈",""),IF(AN62&gt;='설정'!$B$20,"추세 좋음","")),_xlfn.TEXTJOIN(", ",TRUE,IF(AK62&lt;'설정'!$B$21,"수익성 낮음",""),IF(AL62&lt;'설정'!$B$21,"성장 느림",""),IF(AM62&lt;'설정'!$B$21,"가격 비쌈",""),IF(AN62&lt;'설정'!$B$21,"추세 약함","")),IF(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="","","보통: "&amp;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)),IF(X62="통과",AE62,X62)))</f>
        <v/>
      </c>
      <c r="T62">
        <f>IF(AF62=1,TEXT(Z62,"0.0%")&amp;" · 상위 "&amp;TEXT(($B$3-_xlfn.RANK.AVG(AG62,$AG$6:$AG$105,1)+1)/$B$3*100,"0")&amp;"%",IF(A62="","",IF(Z62="","결측",TEXT(Z62,"0.0%"))))</f>
        <v/>
      </c>
      <c r="U62">
        <f>IF(AF62=1,TEXT(AA62,"0.0%")&amp;" · 상위 "&amp;TEXT(($B$3-_xlfn.RANK.AVG(AH62,$AH$6:$AH$105,1)+1)/$B$3*100,"0")&amp;"%",IF(A62="","",IF(AA62="","결측",TEXT(AA62,"0.0%"))))</f>
        <v/>
      </c>
      <c r="V62">
        <f>IF(AF62=1,TEXT(AB62,"0.0%")&amp;" · 상위 "&amp;TEXT(($B$3-_xlfn.RANK.AVG(AI62,$AI$6:$AI$105,1)+1)/$B$3*100,"0")&amp;"%",IF(A62="","",IF(AB62="","결측",TEXT(AB62,"0.0%"))))</f>
        <v/>
      </c>
      <c r="W62">
        <f>IF(AF62=1,TEXT(AC62,"0.0%")&amp;" · 상위 "&amp;TEXT(($B$3-_xlfn.RANK.AVG(AJ62,$AJ$6:$AJ$105,1)+1)/$B$3*100,"0")&amp;"%",IF(A62="","",IF(AC62="","결측",TEXT(AC62,"0.0%"))))</f>
        <v/>
      </c>
      <c r="X62">
        <f>IF(A62="","",IF(AR62="","통과","제외: "&amp;AR62))</f>
        <v/>
      </c>
      <c r="Y62" s="21">
        <f>IF(AND(ISNUMBER(G62),ISNUMBER(H62)),IF(G62&gt;0,H62/G62,""),"")</f>
        <v/>
      </c>
      <c r="Z62" s="22">
        <f>IF(AND(ISNUMBER(F62),ISNUMBER(G62)),IF(G62&gt;0,F62/G62,""),"")</f>
        <v/>
      </c>
      <c r="AA62" s="22">
        <f>IF(AND(ISNUMBER(J62),ISNUMBER(K62)),IF(AND(J62&gt;0,K62&gt;0),(J62/K62)^(1/3)-1,""),"")</f>
        <v/>
      </c>
      <c r="AB62" s="22">
        <f>IF(AND(ISNUMBER(I62),ISNUMBER(L62),ISNUMBER(M62),ISNUMBER(N62)),IF((L62+M62-N62)&gt;0,I62/(L62+M62-N62),""),"")</f>
        <v/>
      </c>
      <c r="AC62" s="22">
        <f>IF(AND(ISNUMBER(O62),ISNUMBER(P62)),IF(AND(O62&gt;0,P62&gt;0),P62/O62-1,""),"")</f>
        <v/>
      </c>
      <c r="AD62">
        <f>_xlfn.TEXTJOIN(", ",TRUE,IF(Z62="","ROE",""),IF(AA62="","매출성장률",""),IF(AB62="","이익수익률",""),IF(AC62="","12-1 수익률",""))</f>
        <v/>
      </c>
      <c r="AE62">
        <f>IF(A62="","",IF(AR62&lt;&gt;"","점수 없음(거름망)",IF(AD62="","채점","점수 없음(결측: "&amp;AD62&amp;")")))</f>
        <v/>
      </c>
      <c r="AF62">
        <f>IF(AE62="채점",1,"")</f>
        <v/>
      </c>
      <c r="AG62">
        <f>IF(AF62=1,Z62,"")</f>
        <v/>
      </c>
      <c r="AH62">
        <f>IF(AF62=1,AA62,"")</f>
        <v/>
      </c>
      <c r="AI62">
        <f>IF(AF62=1,AB62,"")</f>
        <v/>
      </c>
      <c r="AJ62">
        <f>IF(AF62=1,AC62,"")</f>
        <v/>
      </c>
      <c r="AK62">
        <f>IF(AF62=1,IF($B$3=1,50,(_xlfn.RANK.AVG(AG62,$AG$6:$AG$105,1)-1)/($B$3-1)*100),"")</f>
        <v/>
      </c>
      <c r="AL62">
        <f>IF(AF62=1,IF($B$3=1,50,(_xlfn.RANK.AVG(AH62,$AH$6:$AH$105,1)-1)/($B$3-1)*100),"")</f>
        <v/>
      </c>
      <c r="AM62">
        <f>IF(AF62=1,IF($B$3=1,50,(_xlfn.RANK.AVG(AI62,$AI$6:$AI$105,1)-1)/($B$3-1)*100),"")</f>
        <v/>
      </c>
      <c r="AN62">
        <f>IF(AF62=1,IF($B$3=1,50,(_xlfn.RANK.AVG(AJ62,$AJ$6:$AJ$105,1)-1)/($B$3-1)*100),"")</f>
        <v/>
      </c>
      <c r="AO62">
        <f>IF(AF62=1,ROUND(AVERAGE(AK62:AN62),6),"")</f>
        <v/>
      </c>
      <c r="AP62">
        <f>IF(AND(AF62=1,C62&lt;&gt;"Y"),R62,"")</f>
        <v/>
      </c>
      <c r="AQ62">
        <f>IF(AND(ISNUMBER(AP62),Q62="편입 후보"),AP62+(1000-ROW())/1000000,"")</f>
        <v/>
      </c>
      <c r="AR62">
        <f>IF(A62="","",_xlfn.TEXTJOIN(", ",TRUE,IF(D62="Y","금융·리츠",""),IF(NOT(ISNUMBER(I62)),"영업이익 없음",IF(I62&lt;=0,"영업적자","")),IF(OR(NOT(ISNUMBER(G62)),NOT(ISNUMBER(H62))),"부채비율 자료 없음",IF(G62&lt;=0,"자본잠식",IF(H62/G62&gt;'설정'!$B$8,"부채비율 초과",""))),IF(NOT(ISNUMBER(L62)),"시총 없음",IF(L62&lt;'설정'!$B$10,"시총 미달",""))))</f>
        <v/>
      </c>
    </row>
    <row r="63">
      <c r="A63" s="18" t="n"/>
      <c r="B63" s="19" t="n"/>
      <c r="C63" s="19" t="n"/>
      <c r="D63" s="19" t="n"/>
      <c r="E63" s="19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3" t="n"/>
      <c r="P63" s="23" t="n"/>
      <c r="Q63" s="7">
        <f>IF(A63="","",IF(C63="Y",IF(AF63=1,IF(AND(R63&lt;'설정'!$B$6,ISNUMBER($H$3)),IF(ROUND($H$3-R63,1)&gt;='설정'!$B$7,"교체 제안 → "&amp;$E$3&amp;" ("&amp;TEXT($H$3,"0.0")&amp;")","보유 유지"),"보유 유지"),"보유 · 점수 없음"),IF(AF63=1,IF(R63&gt;='설정'!$B$5,"편입 후보",""),"")))</f>
        <v/>
      </c>
      <c r="R63" s="15">
        <f>IF(AF63=1,ROUND(IF($B$3=1,50,(_xlfn.RANK.AVG(AO63,$AO$6:$AO$105,1)-1)/($B$3-1)*100),1),"")</f>
        <v/>
      </c>
      <c r="S63">
        <f>IF(A63="","",IF(AF63=1,_xlfn.TEXTJOIN(". ",TRUE,_xlfn.TEXTJOIN(", ",TRUE,IF(AK63&gt;='설정'!$B$20,"수익성 높음",""),IF(AL63&gt;='설정'!$B$20,"성장 빠름",""),IF(AM63&gt;='설정'!$B$20,"가격 쌈",""),IF(AN63&gt;='설정'!$B$20,"추세 좋음","")),_xlfn.TEXTJOIN(", ",TRUE,IF(AK63&lt;'설정'!$B$21,"수익성 낮음",""),IF(AL63&lt;'설정'!$B$21,"성장 느림",""),IF(AM63&lt;'설정'!$B$21,"가격 비쌈",""),IF(AN63&lt;'설정'!$B$21,"추세 약함","")),IF(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="","","보통: "&amp;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)),IF(X63="통과",AE63,X63)))</f>
        <v/>
      </c>
      <c r="T63">
        <f>IF(AF63=1,TEXT(Z63,"0.0%")&amp;" · 상위 "&amp;TEXT(($B$3-_xlfn.RANK.AVG(AG63,$AG$6:$AG$105,1)+1)/$B$3*100,"0")&amp;"%",IF(A63="","",IF(Z63="","결측",TEXT(Z63,"0.0%"))))</f>
        <v/>
      </c>
      <c r="U63">
        <f>IF(AF63=1,TEXT(AA63,"0.0%")&amp;" · 상위 "&amp;TEXT(($B$3-_xlfn.RANK.AVG(AH63,$AH$6:$AH$105,1)+1)/$B$3*100,"0")&amp;"%",IF(A63="","",IF(AA63="","결측",TEXT(AA63,"0.0%"))))</f>
        <v/>
      </c>
      <c r="V63">
        <f>IF(AF63=1,TEXT(AB63,"0.0%")&amp;" · 상위 "&amp;TEXT(($B$3-_xlfn.RANK.AVG(AI63,$AI$6:$AI$105,1)+1)/$B$3*100,"0")&amp;"%",IF(A63="","",IF(AB63="","결측",TEXT(AB63,"0.0%"))))</f>
        <v/>
      </c>
      <c r="W63">
        <f>IF(AF63=1,TEXT(AC63,"0.0%")&amp;" · 상위 "&amp;TEXT(($B$3-_xlfn.RANK.AVG(AJ63,$AJ$6:$AJ$105,1)+1)/$B$3*100,"0")&amp;"%",IF(A63="","",IF(AC63="","결측",TEXT(AC63,"0.0%"))))</f>
        <v/>
      </c>
      <c r="X63">
        <f>IF(A63="","",IF(AR63="","통과","제외: "&amp;AR63))</f>
        <v/>
      </c>
      <c r="Y63" s="21">
        <f>IF(AND(ISNUMBER(G63),ISNUMBER(H63)),IF(G63&gt;0,H63/G63,""),"")</f>
        <v/>
      </c>
      <c r="Z63" s="22">
        <f>IF(AND(ISNUMBER(F63),ISNUMBER(G63)),IF(G63&gt;0,F63/G63,""),"")</f>
        <v/>
      </c>
      <c r="AA63" s="22">
        <f>IF(AND(ISNUMBER(J63),ISNUMBER(K63)),IF(AND(J63&gt;0,K63&gt;0),(J63/K63)^(1/3)-1,""),"")</f>
        <v/>
      </c>
      <c r="AB63" s="22">
        <f>IF(AND(ISNUMBER(I63),ISNUMBER(L63),ISNUMBER(M63),ISNUMBER(N63)),IF((L63+M63-N63)&gt;0,I63/(L63+M63-N63),""),"")</f>
        <v/>
      </c>
      <c r="AC63" s="22">
        <f>IF(AND(ISNUMBER(O63),ISNUMBER(P63)),IF(AND(O63&gt;0,P63&gt;0),P63/O63-1,""),"")</f>
        <v/>
      </c>
      <c r="AD63">
        <f>_xlfn.TEXTJOIN(", ",TRUE,IF(Z63="","ROE",""),IF(AA63="","매출성장률",""),IF(AB63="","이익수익률",""),IF(AC63="","12-1 수익률",""))</f>
        <v/>
      </c>
      <c r="AE63">
        <f>IF(A63="","",IF(AR63&lt;&gt;"","점수 없음(거름망)",IF(AD63="","채점","점수 없음(결측: "&amp;AD63&amp;")")))</f>
        <v/>
      </c>
      <c r="AF63">
        <f>IF(AE63="채점",1,"")</f>
        <v/>
      </c>
      <c r="AG63">
        <f>IF(AF63=1,Z63,"")</f>
        <v/>
      </c>
      <c r="AH63">
        <f>IF(AF63=1,AA63,"")</f>
        <v/>
      </c>
      <c r="AI63">
        <f>IF(AF63=1,AB63,"")</f>
        <v/>
      </c>
      <c r="AJ63">
        <f>IF(AF63=1,AC63,"")</f>
        <v/>
      </c>
      <c r="AK63">
        <f>IF(AF63=1,IF($B$3=1,50,(_xlfn.RANK.AVG(AG63,$AG$6:$AG$105,1)-1)/($B$3-1)*100),"")</f>
        <v/>
      </c>
      <c r="AL63">
        <f>IF(AF63=1,IF($B$3=1,50,(_xlfn.RANK.AVG(AH63,$AH$6:$AH$105,1)-1)/($B$3-1)*100),"")</f>
        <v/>
      </c>
      <c r="AM63">
        <f>IF(AF63=1,IF($B$3=1,50,(_xlfn.RANK.AVG(AI63,$AI$6:$AI$105,1)-1)/($B$3-1)*100),"")</f>
        <v/>
      </c>
      <c r="AN63">
        <f>IF(AF63=1,IF($B$3=1,50,(_xlfn.RANK.AVG(AJ63,$AJ$6:$AJ$105,1)-1)/($B$3-1)*100),"")</f>
        <v/>
      </c>
      <c r="AO63">
        <f>IF(AF63=1,ROUND(AVERAGE(AK63:AN63),6),"")</f>
        <v/>
      </c>
      <c r="AP63">
        <f>IF(AND(AF63=1,C63&lt;&gt;"Y"),R63,"")</f>
        <v/>
      </c>
      <c r="AQ63">
        <f>IF(AND(ISNUMBER(AP63),Q63="편입 후보"),AP63+(1000-ROW())/1000000,"")</f>
        <v/>
      </c>
      <c r="AR63">
        <f>IF(A63="","",_xlfn.TEXTJOIN(", ",TRUE,IF(D63="Y","금융·리츠",""),IF(NOT(ISNUMBER(I63)),"영업이익 없음",IF(I63&lt;=0,"영업적자","")),IF(OR(NOT(ISNUMBER(G63)),NOT(ISNUMBER(H63))),"부채비율 자료 없음",IF(G63&lt;=0,"자본잠식",IF(H63/G63&gt;'설정'!$B$8,"부채비율 초과",""))),IF(NOT(ISNUMBER(L63)),"시총 없음",IF(L63&lt;'설정'!$B$10,"시총 미달",""))))</f>
        <v/>
      </c>
    </row>
    <row r="64">
      <c r="A64" s="18" t="n"/>
      <c r="B64" s="19" t="n"/>
      <c r="C64" s="19" t="n"/>
      <c r="D64" s="19" t="n"/>
      <c r="E64" s="19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3" t="n"/>
      <c r="P64" s="23" t="n"/>
      <c r="Q64" s="7">
        <f>IF(A64="","",IF(C64="Y",IF(AF64=1,IF(AND(R64&lt;'설정'!$B$6,ISNUMBER($H$3)),IF(ROUND($H$3-R64,1)&gt;='설정'!$B$7,"교체 제안 → "&amp;$E$3&amp;" ("&amp;TEXT($H$3,"0.0")&amp;")","보유 유지"),"보유 유지"),"보유 · 점수 없음"),IF(AF64=1,IF(R64&gt;='설정'!$B$5,"편입 후보",""),"")))</f>
        <v/>
      </c>
      <c r="R64" s="15">
        <f>IF(AF64=1,ROUND(IF($B$3=1,50,(_xlfn.RANK.AVG(AO64,$AO$6:$AO$105,1)-1)/($B$3-1)*100),1),"")</f>
        <v/>
      </c>
      <c r="S64">
        <f>IF(A64="","",IF(AF64=1,_xlfn.TEXTJOIN(". ",TRUE,_xlfn.TEXTJOIN(", ",TRUE,IF(AK64&gt;='설정'!$B$20,"수익성 높음",""),IF(AL64&gt;='설정'!$B$20,"성장 빠름",""),IF(AM64&gt;='설정'!$B$20,"가격 쌈",""),IF(AN64&gt;='설정'!$B$20,"추세 좋음","")),_xlfn.TEXTJOIN(", ",TRUE,IF(AK64&lt;'설정'!$B$21,"수익성 낮음",""),IF(AL64&lt;'설정'!$B$21,"성장 느림",""),IF(AM64&lt;'설정'!$B$21,"가격 비쌈",""),IF(AN64&lt;'설정'!$B$21,"추세 약함","")),IF(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="","","보통: "&amp;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)),IF(X64="통과",AE64,X64)))</f>
        <v/>
      </c>
      <c r="T64">
        <f>IF(AF64=1,TEXT(Z64,"0.0%")&amp;" · 상위 "&amp;TEXT(($B$3-_xlfn.RANK.AVG(AG64,$AG$6:$AG$105,1)+1)/$B$3*100,"0")&amp;"%",IF(A64="","",IF(Z64="","결측",TEXT(Z64,"0.0%"))))</f>
        <v/>
      </c>
      <c r="U64">
        <f>IF(AF64=1,TEXT(AA64,"0.0%")&amp;" · 상위 "&amp;TEXT(($B$3-_xlfn.RANK.AVG(AH64,$AH$6:$AH$105,1)+1)/$B$3*100,"0")&amp;"%",IF(A64="","",IF(AA64="","결측",TEXT(AA64,"0.0%"))))</f>
        <v/>
      </c>
      <c r="V64">
        <f>IF(AF64=1,TEXT(AB64,"0.0%")&amp;" · 상위 "&amp;TEXT(($B$3-_xlfn.RANK.AVG(AI64,$AI$6:$AI$105,1)+1)/$B$3*100,"0")&amp;"%",IF(A64="","",IF(AB64="","결측",TEXT(AB64,"0.0%"))))</f>
        <v/>
      </c>
      <c r="W64">
        <f>IF(AF64=1,TEXT(AC64,"0.0%")&amp;" · 상위 "&amp;TEXT(($B$3-_xlfn.RANK.AVG(AJ64,$AJ$6:$AJ$105,1)+1)/$B$3*100,"0")&amp;"%",IF(A64="","",IF(AC64="","결측",TEXT(AC64,"0.0%"))))</f>
        <v/>
      </c>
      <c r="X64">
        <f>IF(A64="","",IF(AR64="","통과","제외: "&amp;AR64))</f>
        <v/>
      </c>
      <c r="Y64" s="21">
        <f>IF(AND(ISNUMBER(G64),ISNUMBER(H64)),IF(G64&gt;0,H64/G64,""),"")</f>
        <v/>
      </c>
      <c r="Z64" s="22">
        <f>IF(AND(ISNUMBER(F64),ISNUMBER(G64)),IF(G64&gt;0,F64/G64,""),"")</f>
        <v/>
      </c>
      <c r="AA64" s="22">
        <f>IF(AND(ISNUMBER(J64),ISNUMBER(K64)),IF(AND(J64&gt;0,K64&gt;0),(J64/K64)^(1/3)-1,""),"")</f>
        <v/>
      </c>
      <c r="AB64" s="22">
        <f>IF(AND(ISNUMBER(I64),ISNUMBER(L64),ISNUMBER(M64),ISNUMBER(N64)),IF((L64+M64-N64)&gt;0,I64/(L64+M64-N64),""),"")</f>
        <v/>
      </c>
      <c r="AC64" s="22">
        <f>IF(AND(ISNUMBER(O64),ISNUMBER(P64)),IF(AND(O64&gt;0,P64&gt;0),P64/O64-1,""),"")</f>
        <v/>
      </c>
      <c r="AD64">
        <f>_xlfn.TEXTJOIN(", ",TRUE,IF(Z64="","ROE",""),IF(AA64="","매출성장률",""),IF(AB64="","이익수익률",""),IF(AC64="","12-1 수익률",""))</f>
        <v/>
      </c>
      <c r="AE64">
        <f>IF(A64="","",IF(AR64&lt;&gt;"","점수 없음(거름망)",IF(AD64="","채점","점수 없음(결측: "&amp;AD64&amp;")")))</f>
        <v/>
      </c>
      <c r="AF64">
        <f>IF(AE64="채점",1,"")</f>
        <v/>
      </c>
      <c r="AG64">
        <f>IF(AF64=1,Z64,"")</f>
        <v/>
      </c>
      <c r="AH64">
        <f>IF(AF64=1,AA64,"")</f>
        <v/>
      </c>
      <c r="AI64">
        <f>IF(AF64=1,AB64,"")</f>
        <v/>
      </c>
      <c r="AJ64">
        <f>IF(AF64=1,AC64,"")</f>
        <v/>
      </c>
      <c r="AK64">
        <f>IF(AF64=1,IF($B$3=1,50,(_xlfn.RANK.AVG(AG64,$AG$6:$AG$105,1)-1)/($B$3-1)*100),"")</f>
        <v/>
      </c>
      <c r="AL64">
        <f>IF(AF64=1,IF($B$3=1,50,(_xlfn.RANK.AVG(AH64,$AH$6:$AH$105,1)-1)/($B$3-1)*100),"")</f>
        <v/>
      </c>
      <c r="AM64">
        <f>IF(AF64=1,IF($B$3=1,50,(_xlfn.RANK.AVG(AI64,$AI$6:$AI$105,1)-1)/($B$3-1)*100),"")</f>
        <v/>
      </c>
      <c r="AN64">
        <f>IF(AF64=1,IF($B$3=1,50,(_xlfn.RANK.AVG(AJ64,$AJ$6:$AJ$105,1)-1)/($B$3-1)*100),"")</f>
        <v/>
      </c>
      <c r="AO64">
        <f>IF(AF64=1,ROUND(AVERAGE(AK64:AN64),6),"")</f>
        <v/>
      </c>
      <c r="AP64">
        <f>IF(AND(AF64=1,C64&lt;&gt;"Y"),R64,"")</f>
        <v/>
      </c>
      <c r="AQ64">
        <f>IF(AND(ISNUMBER(AP64),Q64="편입 후보"),AP64+(1000-ROW())/1000000,"")</f>
        <v/>
      </c>
      <c r="AR64">
        <f>IF(A64="","",_xlfn.TEXTJOIN(", ",TRUE,IF(D64="Y","금융·리츠",""),IF(NOT(ISNUMBER(I64)),"영업이익 없음",IF(I64&lt;=0,"영업적자","")),IF(OR(NOT(ISNUMBER(G64)),NOT(ISNUMBER(H64))),"부채비율 자료 없음",IF(G64&lt;=0,"자본잠식",IF(H64/G64&gt;'설정'!$B$8,"부채비율 초과",""))),IF(NOT(ISNUMBER(L64)),"시총 없음",IF(L64&lt;'설정'!$B$10,"시총 미달",""))))</f>
        <v/>
      </c>
    </row>
    <row r="65">
      <c r="A65" s="18" t="n"/>
      <c r="B65" s="19" t="n"/>
      <c r="C65" s="19" t="n"/>
      <c r="D65" s="19" t="n"/>
      <c r="E65" s="19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3" t="n"/>
      <c r="P65" s="23" t="n"/>
      <c r="Q65" s="7">
        <f>IF(A65="","",IF(C65="Y",IF(AF65=1,IF(AND(R65&lt;'설정'!$B$6,ISNUMBER($H$3)),IF(ROUND($H$3-R65,1)&gt;='설정'!$B$7,"교체 제안 → "&amp;$E$3&amp;" ("&amp;TEXT($H$3,"0.0")&amp;")","보유 유지"),"보유 유지"),"보유 · 점수 없음"),IF(AF65=1,IF(R65&gt;='설정'!$B$5,"편입 후보",""),"")))</f>
        <v/>
      </c>
      <c r="R65" s="15">
        <f>IF(AF65=1,ROUND(IF($B$3=1,50,(_xlfn.RANK.AVG(AO65,$AO$6:$AO$105,1)-1)/($B$3-1)*100),1),"")</f>
        <v/>
      </c>
      <c r="S65">
        <f>IF(A65="","",IF(AF65=1,_xlfn.TEXTJOIN(". ",TRUE,_xlfn.TEXTJOIN(", ",TRUE,IF(AK65&gt;='설정'!$B$20,"수익성 높음",""),IF(AL65&gt;='설정'!$B$20,"성장 빠름",""),IF(AM65&gt;='설정'!$B$20,"가격 쌈",""),IF(AN65&gt;='설정'!$B$20,"추세 좋음","")),_xlfn.TEXTJOIN(", ",TRUE,IF(AK65&lt;'설정'!$B$21,"수익성 낮음",""),IF(AL65&lt;'설정'!$B$21,"성장 느림",""),IF(AM65&lt;'설정'!$B$21,"가격 비쌈",""),IF(AN65&lt;'설정'!$B$21,"추세 약함","")),IF(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="","","보통: "&amp;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)),IF(X65="통과",AE65,X65)))</f>
        <v/>
      </c>
      <c r="T65">
        <f>IF(AF65=1,TEXT(Z65,"0.0%")&amp;" · 상위 "&amp;TEXT(($B$3-_xlfn.RANK.AVG(AG65,$AG$6:$AG$105,1)+1)/$B$3*100,"0")&amp;"%",IF(A65="","",IF(Z65="","결측",TEXT(Z65,"0.0%"))))</f>
        <v/>
      </c>
      <c r="U65">
        <f>IF(AF65=1,TEXT(AA65,"0.0%")&amp;" · 상위 "&amp;TEXT(($B$3-_xlfn.RANK.AVG(AH65,$AH$6:$AH$105,1)+1)/$B$3*100,"0")&amp;"%",IF(A65="","",IF(AA65="","결측",TEXT(AA65,"0.0%"))))</f>
        <v/>
      </c>
      <c r="V65">
        <f>IF(AF65=1,TEXT(AB65,"0.0%")&amp;" · 상위 "&amp;TEXT(($B$3-_xlfn.RANK.AVG(AI65,$AI$6:$AI$105,1)+1)/$B$3*100,"0")&amp;"%",IF(A65="","",IF(AB65="","결측",TEXT(AB65,"0.0%"))))</f>
        <v/>
      </c>
      <c r="W65">
        <f>IF(AF65=1,TEXT(AC65,"0.0%")&amp;" · 상위 "&amp;TEXT(($B$3-_xlfn.RANK.AVG(AJ65,$AJ$6:$AJ$105,1)+1)/$B$3*100,"0")&amp;"%",IF(A65="","",IF(AC65="","결측",TEXT(AC65,"0.0%"))))</f>
        <v/>
      </c>
      <c r="X65">
        <f>IF(A65="","",IF(AR65="","통과","제외: "&amp;AR65))</f>
        <v/>
      </c>
      <c r="Y65" s="21">
        <f>IF(AND(ISNUMBER(G65),ISNUMBER(H65)),IF(G65&gt;0,H65/G65,""),"")</f>
        <v/>
      </c>
      <c r="Z65" s="22">
        <f>IF(AND(ISNUMBER(F65),ISNUMBER(G65)),IF(G65&gt;0,F65/G65,""),"")</f>
        <v/>
      </c>
      <c r="AA65" s="22">
        <f>IF(AND(ISNUMBER(J65),ISNUMBER(K65)),IF(AND(J65&gt;0,K65&gt;0),(J65/K65)^(1/3)-1,""),"")</f>
        <v/>
      </c>
      <c r="AB65" s="22">
        <f>IF(AND(ISNUMBER(I65),ISNUMBER(L65),ISNUMBER(M65),ISNUMBER(N65)),IF((L65+M65-N65)&gt;0,I65/(L65+M65-N65),""),"")</f>
        <v/>
      </c>
      <c r="AC65" s="22">
        <f>IF(AND(ISNUMBER(O65),ISNUMBER(P65)),IF(AND(O65&gt;0,P65&gt;0),P65/O65-1,""),"")</f>
        <v/>
      </c>
      <c r="AD65">
        <f>_xlfn.TEXTJOIN(", ",TRUE,IF(Z65="","ROE",""),IF(AA65="","매출성장률",""),IF(AB65="","이익수익률",""),IF(AC65="","12-1 수익률",""))</f>
        <v/>
      </c>
      <c r="AE65">
        <f>IF(A65="","",IF(AR65&lt;&gt;"","점수 없음(거름망)",IF(AD65="","채점","점수 없음(결측: "&amp;AD65&amp;")")))</f>
        <v/>
      </c>
      <c r="AF65">
        <f>IF(AE65="채점",1,"")</f>
        <v/>
      </c>
      <c r="AG65">
        <f>IF(AF65=1,Z65,"")</f>
        <v/>
      </c>
      <c r="AH65">
        <f>IF(AF65=1,AA65,"")</f>
        <v/>
      </c>
      <c r="AI65">
        <f>IF(AF65=1,AB65,"")</f>
        <v/>
      </c>
      <c r="AJ65">
        <f>IF(AF65=1,AC65,"")</f>
        <v/>
      </c>
      <c r="AK65">
        <f>IF(AF65=1,IF($B$3=1,50,(_xlfn.RANK.AVG(AG65,$AG$6:$AG$105,1)-1)/($B$3-1)*100),"")</f>
        <v/>
      </c>
      <c r="AL65">
        <f>IF(AF65=1,IF($B$3=1,50,(_xlfn.RANK.AVG(AH65,$AH$6:$AH$105,1)-1)/($B$3-1)*100),"")</f>
        <v/>
      </c>
      <c r="AM65">
        <f>IF(AF65=1,IF($B$3=1,50,(_xlfn.RANK.AVG(AI65,$AI$6:$AI$105,1)-1)/($B$3-1)*100),"")</f>
        <v/>
      </c>
      <c r="AN65">
        <f>IF(AF65=1,IF($B$3=1,50,(_xlfn.RANK.AVG(AJ65,$AJ$6:$AJ$105,1)-1)/($B$3-1)*100),"")</f>
        <v/>
      </c>
      <c r="AO65">
        <f>IF(AF65=1,ROUND(AVERAGE(AK65:AN65),6),"")</f>
        <v/>
      </c>
      <c r="AP65">
        <f>IF(AND(AF65=1,C65&lt;&gt;"Y"),R65,"")</f>
        <v/>
      </c>
      <c r="AQ65">
        <f>IF(AND(ISNUMBER(AP65),Q65="편입 후보"),AP65+(1000-ROW())/1000000,"")</f>
        <v/>
      </c>
      <c r="AR65">
        <f>IF(A65="","",_xlfn.TEXTJOIN(", ",TRUE,IF(D65="Y","금융·리츠",""),IF(NOT(ISNUMBER(I65)),"영업이익 없음",IF(I65&lt;=0,"영업적자","")),IF(OR(NOT(ISNUMBER(G65)),NOT(ISNUMBER(H65))),"부채비율 자료 없음",IF(G65&lt;=0,"자본잠식",IF(H65/G65&gt;'설정'!$B$8,"부채비율 초과",""))),IF(NOT(ISNUMBER(L65)),"시총 없음",IF(L65&lt;'설정'!$B$10,"시총 미달",""))))</f>
        <v/>
      </c>
    </row>
    <row r="66">
      <c r="A66" s="18" t="n"/>
      <c r="B66" s="19" t="n"/>
      <c r="C66" s="19" t="n"/>
      <c r="D66" s="19" t="n"/>
      <c r="E66" s="19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3" t="n"/>
      <c r="P66" s="23" t="n"/>
      <c r="Q66" s="7">
        <f>IF(A66="","",IF(C66="Y",IF(AF66=1,IF(AND(R66&lt;'설정'!$B$6,ISNUMBER($H$3)),IF(ROUND($H$3-R66,1)&gt;='설정'!$B$7,"교체 제안 → "&amp;$E$3&amp;" ("&amp;TEXT($H$3,"0.0")&amp;")","보유 유지"),"보유 유지"),"보유 · 점수 없음"),IF(AF66=1,IF(R66&gt;='설정'!$B$5,"편입 후보",""),"")))</f>
        <v/>
      </c>
      <c r="R66" s="15">
        <f>IF(AF66=1,ROUND(IF($B$3=1,50,(_xlfn.RANK.AVG(AO66,$AO$6:$AO$105,1)-1)/($B$3-1)*100),1),"")</f>
        <v/>
      </c>
      <c r="S66">
        <f>IF(A66="","",IF(AF66=1,_xlfn.TEXTJOIN(". ",TRUE,_xlfn.TEXTJOIN(", ",TRUE,IF(AK66&gt;='설정'!$B$20,"수익성 높음",""),IF(AL66&gt;='설정'!$B$20,"성장 빠름",""),IF(AM66&gt;='설정'!$B$20,"가격 쌈",""),IF(AN66&gt;='설정'!$B$20,"추세 좋음","")),_xlfn.TEXTJOIN(", ",TRUE,IF(AK66&lt;'설정'!$B$21,"수익성 낮음",""),IF(AL66&lt;'설정'!$B$21,"성장 느림",""),IF(AM66&lt;'설정'!$B$21,"가격 비쌈",""),IF(AN66&lt;'설정'!$B$21,"추세 약함","")),IF(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="","","보통: "&amp;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)),IF(X66="통과",AE66,X66)))</f>
        <v/>
      </c>
      <c r="T66">
        <f>IF(AF66=1,TEXT(Z66,"0.0%")&amp;" · 상위 "&amp;TEXT(($B$3-_xlfn.RANK.AVG(AG66,$AG$6:$AG$105,1)+1)/$B$3*100,"0")&amp;"%",IF(A66="","",IF(Z66="","결측",TEXT(Z66,"0.0%"))))</f>
        <v/>
      </c>
      <c r="U66">
        <f>IF(AF66=1,TEXT(AA66,"0.0%")&amp;" · 상위 "&amp;TEXT(($B$3-_xlfn.RANK.AVG(AH66,$AH$6:$AH$105,1)+1)/$B$3*100,"0")&amp;"%",IF(A66="","",IF(AA66="","결측",TEXT(AA66,"0.0%"))))</f>
        <v/>
      </c>
      <c r="V66">
        <f>IF(AF66=1,TEXT(AB66,"0.0%")&amp;" · 상위 "&amp;TEXT(($B$3-_xlfn.RANK.AVG(AI66,$AI$6:$AI$105,1)+1)/$B$3*100,"0")&amp;"%",IF(A66="","",IF(AB66="","결측",TEXT(AB66,"0.0%"))))</f>
        <v/>
      </c>
      <c r="W66">
        <f>IF(AF66=1,TEXT(AC66,"0.0%")&amp;" · 상위 "&amp;TEXT(($B$3-_xlfn.RANK.AVG(AJ66,$AJ$6:$AJ$105,1)+1)/$B$3*100,"0")&amp;"%",IF(A66="","",IF(AC66="","결측",TEXT(AC66,"0.0%"))))</f>
        <v/>
      </c>
      <c r="X66">
        <f>IF(A66="","",IF(AR66="","통과","제외: "&amp;AR66))</f>
        <v/>
      </c>
      <c r="Y66" s="21">
        <f>IF(AND(ISNUMBER(G66),ISNUMBER(H66)),IF(G66&gt;0,H66/G66,""),"")</f>
        <v/>
      </c>
      <c r="Z66" s="22">
        <f>IF(AND(ISNUMBER(F66),ISNUMBER(G66)),IF(G66&gt;0,F66/G66,""),"")</f>
        <v/>
      </c>
      <c r="AA66" s="22">
        <f>IF(AND(ISNUMBER(J66),ISNUMBER(K66)),IF(AND(J66&gt;0,K66&gt;0),(J66/K66)^(1/3)-1,""),"")</f>
        <v/>
      </c>
      <c r="AB66" s="22">
        <f>IF(AND(ISNUMBER(I66),ISNUMBER(L66),ISNUMBER(M66),ISNUMBER(N66)),IF((L66+M66-N66)&gt;0,I66/(L66+M66-N66),""),"")</f>
        <v/>
      </c>
      <c r="AC66" s="22">
        <f>IF(AND(ISNUMBER(O66),ISNUMBER(P66)),IF(AND(O66&gt;0,P66&gt;0),P66/O66-1,""),"")</f>
        <v/>
      </c>
      <c r="AD66">
        <f>_xlfn.TEXTJOIN(", ",TRUE,IF(Z66="","ROE",""),IF(AA66="","매출성장률",""),IF(AB66="","이익수익률",""),IF(AC66="","12-1 수익률",""))</f>
        <v/>
      </c>
      <c r="AE66">
        <f>IF(A66="","",IF(AR66&lt;&gt;"","점수 없음(거름망)",IF(AD66="","채점","점수 없음(결측: "&amp;AD66&amp;")")))</f>
        <v/>
      </c>
      <c r="AF66">
        <f>IF(AE66="채점",1,"")</f>
        <v/>
      </c>
      <c r="AG66">
        <f>IF(AF66=1,Z66,"")</f>
        <v/>
      </c>
      <c r="AH66">
        <f>IF(AF66=1,AA66,"")</f>
        <v/>
      </c>
      <c r="AI66">
        <f>IF(AF66=1,AB66,"")</f>
        <v/>
      </c>
      <c r="AJ66">
        <f>IF(AF66=1,AC66,"")</f>
        <v/>
      </c>
      <c r="AK66">
        <f>IF(AF66=1,IF($B$3=1,50,(_xlfn.RANK.AVG(AG66,$AG$6:$AG$105,1)-1)/($B$3-1)*100),"")</f>
        <v/>
      </c>
      <c r="AL66">
        <f>IF(AF66=1,IF($B$3=1,50,(_xlfn.RANK.AVG(AH66,$AH$6:$AH$105,1)-1)/($B$3-1)*100),"")</f>
        <v/>
      </c>
      <c r="AM66">
        <f>IF(AF66=1,IF($B$3=1,50,(_xlfn.RANK.AVG(AI66,$AI$6:$AI$105,1)-1)/($B$3-1)*100),"")</f>
        <v/>
      </c>
      <c r="AN66">
        <f>IF(AF66=1,IF($B$3=1,50,(_xlfn.RANK.AVG(AJ66,$AJ$6:$AJ$105,1)-1)/($B$3-1)*100),"")</f>
        <v/>
      </c>
      <c r="AO66">
        <f>IF(AF66=1,ROUND(AVERAGE(AK66:AN66),6),"")</f>
        <v/>
      </c>
      <c r="AP66">
        <f>IF(AND(AF66=1,C66&lt;&gt;"Y"),R66,"")</f>
        <v/>
      </c>
      <c r="AQ66">
        <f>IF(AND(ISNUMBER(AP66),Q66="편입 후보"),AP66+(1000-ROW())/1000000,"")</f>
        <v/>
      </c>
      <c r="AR66">
        <f>IF(A66="","",_xlfn.TEXTJOIN(", ",TRUE,IF(D66="Y","금융·리츠",""),IF(NOT(ISNUMBER(I66)),"영업이익 없음",IF(I66&lt;=0,"영업적자","")),IF(OR(NOT(ISNUMBER(G66)),NOT(ISNUMBER(H66))),"부채비율 자료 없음",IF(G66&lt;=0,"자본잠식",IF(H66/G66&gt;'설정'!$B$8,"부채비율 초과",""))),IF(NOT(ISNUMBER(L66)),"시총 없음",IF(L66&lt;'설정'!$B$10,"시총 미달",""))))</f>
        <v/>
      </c>
    </row>
    <row r="67">
      <c r="A67" s="18" t="n"/>
      <c r="B67" s="19" t="n"/>
      <c r="C67" s="19" t="n"/>
      <c r="D67" s="19" t="n"/>
      <c r="E67" s="19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3" t="n"/>
      <c r="P67" s="23" t="n"/>
      <c r="Q67" s="7">
        <f>IF(A67="","",IF(C67="Y",IF(AF67=1,IF(AND(R67&lt;'설정'!$B$6,ISNUMBER($H$3)),IF(ROUND($H$3-R67,1)&gt;='설정'!$B$7,"교체 제안 → "&amp;$E$3&amp;" ("&amp;TEXT($H$3,"0.0")&amp;")","보유 유지"),"보유 유지"),"보유 · 점수 없음"),IF(AF67=1,IF(R67&gt;='설정'!$B$5,"편입 후보",""),"")))</f>
        <v/>
      </c>
      <c r="R67" s="15">
        <f>IF(AF67=1,ROUND(IF($B$3=1,50,(_xlfn.RANK.AVG(AO67,$AO$6:$AO$105,1)-1)/($B$3-1)*100),1),"")</f>
        <v/>
      </c>
      <c r="S67">
        <f>IF(A67="","",IF(AF67=1,_xlfn.TEXTJOIN(". ",TRUE,_xlfn.TEXTJOIN(", ",TRUE,IF(AK67&gt;='설정'!$B$20,"수익성 높음",""),IF(AL67&gt;='설정'!$B$20,"성장 빠름",""),IF(AM67&gt;='설정'!$B$20,"가격 쌈",""),IF(AN67&gt;='설정'!$B$20,"추세 좋음","")),_xlfn.TEXTJOIN(", ",TRUE,IF(AK67&lt;'설정'!$B$21,"수익성 낮음",""),IF(AL67&lt;'설정'!$B$21,"성장 느림",""),IF(AM67&lt;'설정'!$B$21,"가격 비쌈",""),IF(AN67&lt;'설정'!$B$21,"추세 약함","")),IF(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="","","보통: "&amp;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)),IF(X67="통과",AE67,X67)))</f>
        <v/>
      </c>
      <c r="T67">
        <f>IF(AF67=1,TEXT(Z67,"0.0%")&amp;" · 상위 "&amp;TEXT(($B$3-_xlfn.RANK.AVG(AG67,$AG$6:$AG$105,1)+1)/$B$3*100,"0")&amp;"%",IF(A67="","",IF(Z67="","결측",TEXT(Z67,"0.0%"))))</f>
        <v/>
      </c>
      <c r="U67">
        <f>IF(AF67=1,TEXT(AA67,"0.0%")&amp;" · 상위 "&amp;TEXT(($B$3-_xlfn.RANK.AVG(AH67,$AH$6:$AH$105,1)+1)/$B$3*100,"0")&amp;"%",IF(A67="","",IF(AA67="","결측",TEXT(AA67,"0.0%"))))</f>
        <v/>
      </c>
      <c r="V67">
        <f>IF(AF67=1,TEXT(AB67,"0.0%")&amp;" · 상위 "&amp;TEXT(($B$3-_xlfn.RANK.AVG(AI67,$AI$6:$AI$105,1)+1)/$B$3*100,"0")&amp;"%",IF(A67="","",IF(AB67="","결측",TEXT(AB67,"0.0%"))))</f>
        <v/>
      </c>
      <c r="W67">
        <f>IF(AF67=1,TEXT(AC67,"0.0%")&amp;" · 상위 "&amp;TEXT(($B$3-_xlfn.RANK.AVG(AJ67,$AJ$6:$AJ$105,1)+1)/$B$3*100,"0")&amp;"%",IF(A67="","",IF(AC67="","결측",TEXT(AC67,"0.0%"))))</f>
        <v/>
      </c>
      <c r="X67">
        <f>IF(A67="","",IF(AR67="","통과","제외: "&amp;AR67))</f>
        <v/>
      </c>
      <c r="Y67" s="21">
        <f>IF(AND(ISNUMBER(G67),ISNUMBER(H67)),IF(G67&gt;0,H67/G67,""),"")</f>
        <v/>
      </c>
      <c r="Z67" s="22">
        <f>IF(AND(ISNUMBER(F67),ISNUMBER(G67)),IF(G67&gt;0,F67/G67,""),"")</f>
        <v/>
      </c>
      <c r="AA67" s="22">
        <f>IF(AND(ISNUMBER(J67),ISNUMBER(K67)),IF(AND(J67&gt;0,K67&gt;0),(J67/K67)^(1/3)-1,""),"")</f>
        <v/>
      </c>
      <c r="AB67" s="22">
        <f>IF(AND(ISNUMBER(I67),ISNUMBER(L67),ISNUMBER(M67),ISNUMBER(N67)),IF((L67+M67-N67)&gt;0,I67/(L67+M67-N67),""),"")</f>
        <v/>
      </c>
      <c r="AC67" s="22">
        <f>IF(AND(ISNUMBER(O67),ISNUMBER(P67)),IF(AND(O67&gt;0,P67&gt;0),P67/O67-1,""),"")</f>
        <v/>
      </c>
      <c r="AD67">
        <f>_xlfn.TEXTJOIN(", ",TRUE,IF(Z67="","ROE",""),IF(AA67="","매출성장률",""),IF(AB67="","이익수익률",""),IF(AC67="","12-1 수익률",""))</f>
        <v/>
      </c>
      <c r="AE67">
        <f>IF(A67="","",IF(AR67&lt;&gt;"","점수 없음(거름망)",IF(AD67="","채점","점수 없음(결측: "&amp;AD67&amp;")")))</f>
        <v/>
      </c>
      <c r="AF67">
        <f>IF(AE67="채점",1,"")</f>
        <v/>
      </c>
      <c r="AG67">
        <f>IF(AF67=1,Z67,"")</f>
        <v/>
      </c>
      <c r="AH67">
        <f>IF(AF67=1,AA67,"")</f>
        <v/>
      </c>
      <c r="AI67">
        <f>IF(AF67=1,AB67,"")</f>
        <v/>
      </c>
      <c r="AJ67">
        <f>IF(AF67=1,AC67,"")</f>
        <v/>
      </c>
      <c r="AK67">
        <f>IF(AF67=1,IF($B$3=1,50,(_xlfn.RANK.AVG(AG67,$AG$6:$AG$105,1)-1)/($B$3-1)*100),"")</f>
        <v/>
      </c>
      <c r="AL67">
        <f>IF(AF67=1,IF($B$3=1,50,(_xlfn.RANK.AVG(AH67,$AH$6:$AH$105,1)-1)/($B$3-1)*100),"")</f>
        <v/>
      </c>
      <c r="AM67">
        <f>IF(AF67=1,IF($B$3=1,50,(_xlfn.RANK.AVG(AI67,$AI$6:$AI$105,1)-1)/($B$3-1)*100),"")</f>
        <v/>
      </c>
      <c r="AN67">
        <f>IF(AF67=1,IF($B$3=1,50,(_xlfn.RANK.AVG(AJ67,$AJ$6:$AJ$105,1)-1)/($B$3-1)*100),"")</f>
        <v/>
      </c>
      <c r="AO67">
        <f>IF(AF67=1,ROUND(AVERAGE(AK67:AN67),6),"")</f>
        <v/>
      </c>
      <c r="AP67">
        <f>IF(AND(AF67=1,C67&lt;&gt;"Y"),R67,"")</f>
        <v/>
      </c>
      <c r="AQ67">
        <f>IF(AND(ISNUMBER(AP67),Q67="편입 후보"),AP67+(1000-ROW())/1000000,"")</f>
        <v/>
      </c>
      <c r="AR67">
        <f>IF(A67="","",_xlfn.TEXTJOIN(", ",TRUE,IF(D67="Y","금융·리츠",""),IF(NOT(ISNUMBER(I67)),"영업이익 없음",IF(I67&lt;=0,"영업적자","")),IF(OR(NOT(ISNUMBER(G67)),NOT(ISNUMBER(H67))),"부채비율 자료 없음",IF(G67&lt;=0,"자본잠식",IF(H67/G67&gt;'설정'!$B$8,"부채비율 초과",""))),IF(NOT(ISNUMBER(L67)),"시총 없음",IF(L67&lt;'설정'!$B$10,"시총 미달",""))))</f>
        <v/>
      </c>
    </row>
    <row r="68">
      <c r="A68" s="18" t="n"/>
      <c r="B68" s="19" t="n"/>
      <c r="C68" s="19" t="n"/>
      <c r="D68" s="19" t="n"/>
      <c r="E68" s="19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3" t="n"/>
      <c r="P68" s="23" t="n"/>
      <c r="Q68" s="7">
        <f>IF(A68="","",IF(C68="Y",IF(AF68=1,IF(AND(R68&lt;'설정'!$B$6,ISNUMBER($H$3)),IF(ROUND($H$3-R68,1)&gt;='설정'!$B$7,"교체 제안 → "&amp;$E$3&amp;" ("&amp;TEXT($H$3,"0.0")&amp;")","보유 유지"),"보유 유지"),"보유 · 점수 없음"),IF(AF68=1,IF(R68&gt;='설정'!$B$5,"편입 후보",""),"")))</f>
        <v/>
      </c>
      <c r="R68" s="15">
        <f>IF(AF68=1,ROUND(IF($B$3=1,50,(_xlfn.RANK.AVG(AO68,$AO$6:$AO$105,1)-1)/($B$3-1)*100),1),"")</f>
        <v/>
      </c>
      <c r="S68">
        <f>IF(A68="","",IF(AF68=1,_xlfn.TEXTJOIN(". ",TRUE,_xlfn.TEXTJOIN(", ",TRUE,IF(AK68&gt;='설정'!$B$20,"수익성 높음",""),IF(AL68&gt;='설정'!$B$20,"성장 빠름",""),IF(AM68&gt;='설정'!$B$20,"가격 쌈",""),IF(AN68&gt;='설정'!$B$20,"추세 좋음","")),_xlfn.TEXTJOIN(", ",TRUE,IF(AK68&lt;'설정'!$B$21,"수익성 낮음",""),IF(AL68&lt;'설정'!$B$21,"성장 느림",""),IF(AM68&lt;'설정'!$B$21,"가격 비쌈",""),IF(AN68&lt;'설정'!$B$21,"추세 약함","")),IF(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="","","보통: "&amp;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)),IF(X68="통과",AE68,X68)))</f>
        <v/>
      </c>
      <c r="T68">
        <f>IF(AF68=1,TEXT(Z68,"0.0%")&amp;" · 상위 "&amp;TEXT(($B$3-_xlfn.RANK.AVG(AG68,$AG$6:$AG$105,1)+1)/$B$3*100,"0")&amp;"%",IF(A68="","",IF(Z68="","결측",TEXT(Z68,"0.0%"))))</f>
        <v/>
      </c>
      <c r="U68">
        <f>IF(AF68=1,TEXT(AA68,"0.0%")&amp;" · 상위 "&amp;TEXT(($B$3-_xlfn.RANK.AVG(AH68,$AH$6:$AH$105,1)+1)/$B$3*100,"0")&amp;"%",IF(A68="","",IF(AA68="","결측",TEXT(AA68,"0.0%"))))</f>
        <v/>
      </c>
      <c r="V68">
        <f>IF(AF68=1,TEXT(AB68,"0.0%")&amp;" · 상위 "&amp;TEXT(($B$3-_xlfn.RANK.AVG(AI68,$AI$6:$AI$105,1)+1)/$B$3*100,"0")&amp;"%",IF(A68="","",IF(AB68="","결측",TEXT(AB68,"0.0%"))))</f>
        <v/>
      </c>
      <c r="W68">
        <f>IF(AF68=1,TEXT(AC68,"0.0%")&amp;" · 상위 "&amp;TEXT(($B$3-_xlfn.RANK.AVG(AJ68,$AJ$6:$AJ$105,1)+1)/$B$3*100,"0")&amp;"%",IF(A68="","",IF(AC68="","결측",TEXT(AC68,"0.0%"))))</f>
        <v/>
      </c>
      <c r="X68">
        <f>IF(A68="","",IF(AR68="","통과","제외: "&amp;AR68))</f>
        <v/>
      </c>
      <c r="Y68" s="21">
        <f>IF(AND(ISNUMBER(G68),ISNUMBER(H68)),IF(G68&gt;0,H68/G68,""),"")</f>
        <v/>
      </c>
      <c r="Z68" s="22">
        <f>IF(AND(ISNUMBER(F68),ISNUMBER(G68)),IF(G68&gt;0,F68/G68,""),"")</f>
        <v/>
      </c>
      <c r="AA68" s="22">
        <f>IF(AND(ISNUMBER(J68),ISNUMBER(K68)),IF(AND(J68&gt;0,K68&gt;0),(J68/K68)^(1/3)-1,""),"")</f>
        <v/>
      </c>
      <c r="AB68" s="22">
        <f>IF(AND(ISNUMBER(I68),ISNUMBER(L68),ISNUMBER(M68),ISNUMBER(N68)),IF((L68+M68-N68)&gt;0,I68/(L68+M68-N68),""),"")</f>
        <v/>
      </c>
      <c r="AC68" s="22">
        <f>IF(AND(ISNUMBER(O68),ISNUMBER(P68)),IF(AND(O68&gt;0,P68&gt;0),P68/O68-1,""),"")</f>
        <v/>
      </c>
      <c r="AD68">
        <f>_xlfn.TEXTJOIN(", ",TRUE,IF(Z68="","ROE",""),IF(AA68="","매출성장률",""),IF(AB68="","이익수익률",""),IF(AC68="","12-1 수익률",""))</f>
        <v/>
      </c>
      <c r="AE68">
        <f>IF(A68="","",IF(AR68&lt;&gt;"","점수 없음(거름망)",IF(AD68="","채점","점수 없음(결측: "&amp;AD68&amp;")")))</f>
        <v/>
      </c>
      <c r="AF68">
        <f>IF(AE68="채점",1,"")</f>
        <v/>
      </c>
      <c r="AG68">
        <f>IF(AF68=1,Z68,"")</f>
        <v/>
      </c>
      <c r="AH68">
        <f>IF(AF68=1,AA68,"")</f>
        <v/>
      </c>
      <c r="AI68">
        <f>IF(AF68=1,AB68,"")</f>
        <v/>
      </c>
      <c r="AJ68">
        <f>IF(AF68=1,AC68,"")</f>
        <v/>
      </c>
      <c r="AK68">
        <f>IF(AF68=1,IF($B$3=1,50,(_xlfn.RANK.AVG(AG68,$AG$6:$AG$105,1)-1)/($B$3-1)*100),"")</f>
        <v/>
      </c>
      <c r="AL68">
        <f>IF(AF68=1,IF($B$3=1,50,(_xlfn.RANK.AVG(AH68,$AH$6:$AH$105,1)-1)/($B$3-1)*100),"")</f>
        <v/>
      </c>
      <c r="AM68">
        <f>IF(AF68=1,IF($B$3=1,50,(_xlfn.RANK.AVG(AI68,$AI$6:$AI$105,1)-1)/($B$3-1)*100),"")</f>
        <v/>
      </c>
      <c r="AN68">
        <f>IF(AF68=1,IF($B$3=1,50,(_xlfn.RANK.AVG(AJ68,$AJ$6:$AJ$105,1)-1)/($B$3-1)*100),"")</f>
        <v/>
      </c>
      <c r="AO68">
        <f>IF(AF68=1,ROUND(AVERAGE(AK68:AN68),6),"")</f>
        <v/>
      </c>
      <c r="AP68">
        <f>IF(AND(AF68=1,C68&lt;&gt;"Y"),R68,"")</f>
        <v/>
      </c>
      <c r="AQ68">
        <f>IF(AND(ISNUMBER(AP68),Q68="편입 후보"),AP68+(1000-ROW())/1000000,"")</f>
        <v/>
      </c>
      <c r="AR68">
        <f>IF(A68="","",_xlfn.TEXTJOIN(", ",TRUE,IF(D68="Y","금융·리츠",""),IF(NOT(ISNUMBER(I68)),"영업이익 없음",IF(I68&lt;=0,"영업적자","")),IF(OR(NOT(ISNUMBER(G68)),NOT(ISNUMBER(H68))),"부채비율 자료 없음",IF(G68&lt;=0,"자본잠식",IF(H68/G68&gt;'설정'!$B$8,"부채비율 초과",""))),IF(NOT(ISNUMBER(L68)),"시총 없음",IF(L68&lt;'설정'!$B$10,"시총 미달",""))))</f>
        <v/>
      </c>
    </row>
    <row r="69">
      <c r="A69" s="18" t="n"/>
      <c r="B69" s="19" t="n"/>
      <c r="C69" s="19" t="n"/>
      <c r="D69" s="19" t="n"/>
      <c r="E69" s="19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3" t="n"/>
      <c r="P69" s="23" t="n"/>
      <c r="Q69" s="7">
        <f>IF(A69="","",IF(C69="Y",IF(AF69=1,IF(AND(R69&lt;'설정'!$B$6,ISNUMBER($H$3)),IF(ROUND($H$3-R69,1)&gt;='설정'!$B$7,"교체 제안 → "&amp;$E$3&amp;" ("&amp;TEXT($H$3,"0.0")&amp;")","보유 유지"),"보유 유지"),"보유 · 점수 없음"),IF(AF69=1,IF(R69&gt;='설정'!$B$5,"편입 후보",""),"")))</f>
        <v/>
      </c>
      <c r="R69" s="15">
        <f>IF(AF69=1,ROUND(IF($B$3=1,50,(_xlfn.RANK.AVG(AO69,$AO$6:$AO$105,1)-1)/($B$3-1)*100),1),"")</f>
        <v/>
      </c>
      <c r="S69">
        <f>IF(A69="","",IF(AF69=1,_xlfn.TEXTJOIN(". ",TRUE,_xlfn.TEXTJOIN(", ",TRUE,IF(AK69&gt;='설정'!$B$20,"수익성 높음",""),IF(AL69&gt;='설정'!$B$20,"성장 빠름",""),IF(AM69&gt;='설정'!$B$20,"가격 쌈",""),IF(AN69&gt;='설정'!$B$20,"추세 좋음","")),_xlfn.TEXTJOIN(", ",TRUE,IF(AK69&lt;'설정'!$B$21,"수익성 낮음",""),IF(AL69&lt;'설정'!$B$21,"성장 느림",""),IF(AM69&lt;'설정'!$B$21,"가격 비쌈",""),IF(AN69&lt;'설정'!$B$21,"추세 약함","")),IF(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="","","보통: "&amp;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)),IF(X69="통과",AE69,X69)))</f>
        <v/>
      </c>
      <c r="T69">
        <f>IF(AF69=1,TEXT(Z69,"0.0%")&amp;" · 상위 "&amp;TEXT(($B$3-_xlfn.RANK.AVG(AG69,$AG$6:$AG$105,1)+1)/$B$3*100,"0")&amp;"%",IF(A69="","",IF(Z69="","결측",TEXT(Z69,"0.0%"))))</f>
        <v/>
      </c>
      <c r="U69">
        <f>IF(AF69=1,TEXT(AA69,"0.0%")&amp;" · 상위 "&amp;TEXT(($B$3-_xlfn.RANK.AVG(AH69,$AH$6:$AH$105,1)+1)/$B$3*100,"0")&amp;"%",IF(A69="","",IF(AA69="","결측",TEXT(AA69,"0.0%"))))</f>
        <v/>
      </c>
      <c r="V69">
        <f>IF(AF69=1,TEXT(AB69,"0.0%")&amp;" · 상위 "&amp;TEXT(($B$3-_xlfn.RANK.AVG(AI69,$AI$6:$AI$105,1)+1)/$B$3*100,"0")&amp;"%",IF(A69="","",IF(AB69="","결측",TEXT(AB69,"0.0%"))))</f>
        <v/>
      </c>
      <c r="W69">
        <f>IF(AF69=1,TEXT(AC69,"0.0%")&amp;" · 상위 "&amp;TEXT(($B$3-_xlfn.RANK.AVG(AJ69,$AJ$6:$AJ$105,1)+1)/$B$3*100,"0")&amp;"%",IF(A69="","",IF(AC69="","결측",TEXT(AC69,"0.0%"))))</f>
        <v/>
      </c>
      <c r="X69">
        <f>IF(A69="","",IF(AR69="","통과","제외: "&amp;AR69))</f>
        <v/>
      </c>
      <c r="Y69" s="21">
        <f>IF(AND(ISNUMBER(G69),ISNUMBER(H69)),IF(G69&gt;0,H69/G69,""),"")</f>
        <v/>
      </c>
      <c r="Z69" s="22">
        <f>IF(AND(ISNUMBER(F69),ISNUMBER(G69)),IF(G69&gt;0,F69/G69,""),"")</f>
        <v/>
      </c>
      <c r="AA69" s="22">
        <f>IF(AND(ISNUMBER(J69),ISNUMBER(K69)),IF(AND(J69&gt;0,K69&gt;0),(J69/K69)^(1/3)-1,""),"")</f>
        <v/>
      </c>
      <c r="AB69" s="22">
        <f>IF(AND(ISNUMBER(I69),ISNUMBER(L69),ISNUMBER(M69),ISNUMBER(N69)),IF((L69+M69-N69)&gt;0,I69/(L69+M69-N69),""),"")</f>
        <v/>
      </c>
      <c r="AC69" s="22">
        <f>IF(AND(ISNUMBER(O69),ISNUMBER(P69)),IF(AND(O69&gt;0,P69&gt;0),P69/O69-1,""),"")</f>
        <v/>
      </c>
      <c r="AD69">
        <f>_xlfn.TEXTJOIN(", ",TRUE,IF(Z69="","ROE",""),IF(AA69="","매출성장률",""),IF(AB69="","이익수익률",""),IF(AC69="","12-1 수익률",""))</f>
        <v/>
      </c>
      <c r="AE69">
        <f>IF(A69="","",IF(AR69&lt;&gt;"","점수 없음(거름망)",IF(AD69="","채점","점수 없음(결측: "&amp;AD69&amp;")")))</f>
        <v/>
      </c>
      <c r="AF69">
        <f>IF(AE69="채점",1,"")</f>
        <v/>
      </c>
      <c r="AG69">
        <f>IF(AF69=1,Z69,"")</f>
        <v/>
      </c>
      <c r="AH69">
        <f>IF(AF69=1,AA69,"")</f>
        <v/>
      </c>
      <c r="AI69">
        <f>IF(AF69=1,AB69,"")</f>
        <v/>
      </c>
      <c r="AJ69">
        <f>IF(AF69=1,AC69,"")</f>
        <v/>
      </c>
      <c r="AK69">
        <f>IF(AF69=1,IF($B$3=1,50,(_xlfn.RANK.AVG(AG69,$AG$6:$AG$105,1)-1)/($B$3-1)*100),"")</f>
        <v/>
      </c>
      <c r="AL69">
        <f>IF(AF69=1,IF($B$3=1,50,(_xlfn.RANK.AVG(AH69,$AH$6:$AH$105,1)-1)/($B$3-1)*100),"")</f>
        <v/>
      </c>
      <c r="AM69">
        <f>IF(AF69=1,IF($B$3=1,50,(_xlfn.RANK.AVG(AI69,$AI$6:$AI$105,1)-1)/($B$3-1)*100),"")</f>
        <v/>
      </c>
      <c r="AN69">
        <f>IF(AF69=1,IF($B$3=1,50,(_xlfn.RANK.AVG(AJ69,$AJ$6:$AJ$105,1)-1)/($B$3-1)*100),"")</f>
        <v/>
      </c>
      <c r="AO69">
        <f>IF(AF69=1,ROUND(AVERAGE(AK69:AN69),6),"")</f>
        <v/>
      </c>
      <c r="AP69">
        <f>IF(AND(AF69=1,C69&lt;&gt;"Y"),R69,"")</f>
        <v/>
      </c>
      <c r="AQ69">
        <f>IF(AND(ISNUMBER(AP69),Q69="편입 후보"),AP69+(1000-ROW())/1000000,"")</f>
        <v/>
      </c>
      <c r="AR69">
        <f>IF(A69="","",_xlfn.TEXTJOIN(", ",TRUE,IF(D69="Y","금융·리츠",""),IF(NOT(ISNUMBER(I69)),"영업이익 없음",IF(I69&lt;=0,"영업적자","")),IF(OR(NOT(ISNUMBER(G69)),NOT(ISNUMBER(H69))),"부채비율 자료 없음",IF(G69&lt;=0,"자본잠식",IF(H69/G69&gt;'설정'!$B$8,"부채비율 초과",""))),IF(NOT(ISNUMBER(L69)),"시총 없음",IF(L69&lt;'설정'!$B$10,"시총 미달",""))))</f>
        <v/>
      </c>
    </row>
    <row r="70">
      <c r="A70" s="18" t="n"/>
      <c r="B70" s="19" t="n"/>
      <c r="C70" s="19" t="n"/>
      <c r="D70" s="19" t="n"/>
      <c r="E70" s="19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3" t="n"/>
      <c r="P70" s="23" t="n"/>
      <c r="Q70" s="7">
        <f>IF(A70="","",IF(C70="Y",IF(AF70=1,IF(AND(R70&lt;'설정'!$B$6,ISNUMBER($H$3)),IF(ROUND($H$3-R70,1)&gt;='설정'!$B$7,"교체 제안 → "&amp;$E$3&amp;" ("&amp;TEXT($H$3,"0.0")&amp;")","보유 유지"),"보유 유지"),"보유 · 점수 없음"),IF(AF70=1,IF(R70&gt;='설정'!$B$5,"편입 후보",""),"")))</f>
        <v/>
      </c>
      <c r="R70" s="15">
        <f>IF(AF70=1,ROUND(IF($B$3=1,50,(_xlfn.RANK.AVG(AO70,$AO$6:$AO$105,1)-1)/($B$3-1)*100),1),"")</f>
        <v/>
      </c>
      <c r="S70">
        <f>IF(A70="","",IF(AF70=1,_xlfn.TEXTJOIN(". ",TRUE,_xlfn.TEXTJOIN(", ",TRUE,IF(AK70&gt;='설정'!$B$20,"수익성 높음",""),IF(AL70&gt;='설정'!$B$20,"성장 빠름",""),IF(AM70&gt;='설정'!$B$20,"가격 쌈",""),IF(AN70&gt;='설정'!$B$20,"추세 좋음","")),_xlfn.TEXTJOIN(", ",TRUE,IF(AK70&lt;'설정'!$B$21,"수익성 낮음",""),IF(AL70&lt;'설정'!$B$21,"성장 느림",""),IF(AM70&lt;'설정'!$B$21,"가격 비쌈",""),IF(AN70&lt;'설정'!$B$21,"추세 약함","")),IF(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="","","보통: "&amp;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)),IF(X70="통과",AE70,X70)))</f>
        <v/>
      </c>
      <c r="T70">
        <f>IF(AF70=1,TEXT(Z70,"0.0%")&amp;" · 상위 "&amp;TEXT(($B$3-_xlfn.RANK.AVG(AG70,$AG$6:$AG$105,1)+1)/$B$3*100,"0")&amp;"%",IF(A70="","",IF(Z70="","결측",TEXT(Z70,"0.0%"))))</f>
        <v/>
      </c>
      <c r="U70">
        <f>IF(AF70=1,TEXT(AA70,"0.0%")&amp;" · 상위 "&amp;TEXT(($B$3-_xlfn.RANK.AVG(AH70,$AH$6:$AH$105,1)+1)/$B$3*100,"0")&amp;"%",IF(A70="","",IF(AA70="","결측",TEXT(AA70,"0.0%"))))</f>
        <v/>
      </c>
      <c r="V70">
        <f>IF(AF70=1,TEXT(AB70,"0.0%")&amp;" · 상위 "&amp;TEXT(($B$3-_xlfn.RANK.AVG(AI70,$AI$6:$AI$105,1)+1)/$B$3*100,"0")&amp;"%",IF(A70="","",IF(AB70="","결측",TEXT(AB70,"0.0%"))))</f>
        <v/>
      </c>
      <c r="W70">
        <f>IF(AF70=1,TEXT(AC70,"0.0%")&amp;" · 상위 "&amp;TEXT(($B$3-_xlfn.RANK.AVG(AJ70,$AJ$6:$AJ$105,1)+1)/$B$3*100,"0")&amp;"%",IF(A70="","",IF(AC70="","결측",TEXT(AC70,"0.0%"))))</f>
        <v/>
      </c>
      <c r="X70">
        <f>IF(A70="","",IF(AR70="","통과","제외: "&amp;AR70))</f>
        <v/>
      </c>
      <c r="Y70" s="21">
        <f>IF(AND(ISNUMBER(G70),ISNUMBER(H70)),IF(G70&gt;0,H70/G70,""),"")</f>
        <v/>
      </c>
      <c r="Z70" s="22">
        <f>IF(AND(ISNUMBER(F70),ISNUMBER(G70)),IF(G70&gt;0,F70/G70,""),"")</f>
        <v/>
      </c>
      <c r="AA70" s="22">
        <f>IF(AND(ISNUMBER(J70),ISNUMBER(K70)),IF(AND(J70&gt;0,K70&gt;0),(J70/K70)^(1/3)-1,""),"")</f>
        <v/>
      </c>
      <c r="AB70" s="22">
        <f>IF(AND(ISNUMBER(I70),ISNUMBER(L70),ISNUMBER(M70),ISNUMBER(N70)),IF((L70+M70-N70)&gt;0,I70/(L70+M70-N70),""),"")</f>
        <v/>
      </c>
      <c r="AC70" s="22">
        <f>IF(AND(ISNUMBER(O70),ISNUMBER(P70)),IF(AND(O70&gt;0,P70&gt;0),P70/O70-1,""),"")</f>
        <v/>
      </c>
      <c r="AD70">
        <f>_xlfn.TEXTJOIN(", ",TRUE,IF(Z70="","ROE",""),IF(AA70="","매출성장률",""),IF(AB70="","이익수익률",""),IF(AC70="","12-1 수익률",""))</f>
        <v/>
      </c>
      <c r="AE70">
        <f>IF(A70="","",IF(AR70&lt;&gt;"","점수 없음(거름망)",IF(AD70="","채점","점수 없음(결측: "&amp;AD70&amp;")")))</f>
        <v/>
      </c>
      <c r="AF70">
        <f>IF(AE70="채점",1,"")</f>
        <v/>
      </c>
      <c r="AG70">
        <f>IF(AF70=1,Z70,"")</f>
        <v/>
      </c>
      <c r="AH70">
        <f>IF(AF70=1,AA70,"")</f>
        <v/>
      </c>
      <c r="AI70">
        <f>IF(AF70=1,AB70,"")</f>
        <v/>
      </c>
      <c r="AJ70">
        <f>IF(AF70=1,AC70,"")</f>
        <v/>
      </c>
      <c r="AK70">
        <f>IF(AF70=1,IF($B$3=1,50,(_xlfn.RANK.AVG(AG70,$AG$6:$AG$105,1)-1)/($B$3-1)*100),"")</f>
        <v/>
      </c>
      <c r="AL70">
        <f>IF(AF70=1,IF($B$3=1,50,(_xlfn.RANK.AVG(AH70,$AH$6:$AH$105,1)-1)/($B$3-1)*100),"")</f>
        <v/>
      </c>
      <c r="AM70">
        <f>IF(AF70=1,IF($B$3=1,50,(_xlfn.RANK.AVG(AI70,$AI$6:$AI$105,1)-1)/($B$3-1)*100),"")</f>
        <v/>
      </c>
      <c r="AN70">
        <f>IF(AF70=1,IF($B$3=1,50,(_xlfn.RANK.AVG(AJ70,$AJ$6:$AJ$105,1)-1)/($B$3-1)*100),"")</f>
        <v/>
      </c>
      <c r="AO70">
        <f>IF(AF70=1,ROUND(AVERAGE(AK70:AN70),6),"")</f>
        <v/>
      </c>
      <c r="AP70">
        <f>IF(AND(AF70=1,C70&lt;&gt;"Y"),R70,"")</f>
        <v/>
      </c>
      <c r="AQ70">
        <f>IF(AND(ISNUMBER(AP70),Q70="편입 후보"),AP70+(1000-ROW())/1000000,"")</f>
        <v/>
      </c>
      <c r="AR70">
        <f>IF(A70="","",_xlfn.TEXTJOIN(", ",TRUE,IF(D70="Y","금융·리츠",""),IF(NOT(ISNUMBER(I70)),"영업이익 없음",IF(I70&lt;=0,"영업적자","")),IF(OR(NOT(ISNUMBER(G70)),NOT(ISNUMBER(H70))),"부채비율 자료 없음",IF(G70&lt;=0,"자본잠식",IF(H70/G70&gt;'설정'!$B$8,"부채비율 초과",""))),IF(NOT(ISNUMBER(L70)),"시총 없음",IF(L70&lt;'설정'!$B$10,"시총 미달",""))))</f>
        <v/>
      </c>
    </row>
    <row r="71">
      <c r="A71" s="18" t="n"/>
      <c r="B71" s="19" t="n"/>
      <c r="C71" s="19" t="n"/>
      <c r="D71" s="19" t="n"/>
      <c r="E71" s="19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3" t="n"/>
      <c r="P71" s="23" t="n"/>
      <c r="Q71" s="7">
        <f>IF(A71="","",IF(C71="Y",IF(AF71=1,IF(AND(R71&lt;'설정'!$B$6,ISNUMBER($H$3)),IF(ROUND($H$3-R71,1)&gt;='설정'!$B$7,"교체 제안 → "&amp;$E$3&amp;" ("&amp;TEXT($H$3,"0.0")&amp;")","보유 유지"),"보유 유지"),"보유 · 점수 없음"),IF(AF71=1,IF(R71&gt;='설정'!$B$5,"편입 후보",""),"")))</f>
        <v/>
      </c>
      <c r="R71" s="15">
        <f>IF(AF71=1,ROUND(IF($B$3=1,50,(_xlfn.RANK.AVG(AO71,$AO$6:$AO$105,1)-1)/($B$3-1)*100),1),"")</f>
        <v/>
      </c>
      <c r="S71">
        <f>IF(A71="","",IF(AF71=1,_xlfn.TEXTJOIN(". ",TRUE,_xlfn.TEXTJOIN(", ",TRUE,IF(AK71&gt;='설정'!$B$20,"수익성 높음",""),IF(AL71&gt;='설정'!$B$20,"성장 빠름",""),IF(AM71&gt;='설정'!$B$20,"가격 쌈",""),IF(AN71&gt;='설정'!$B$20,"추세 좋음","")),_xlfn.TEXTJOIN(", ",TRUE,IF(AK71&lt;'설정'!$B$21,"수익성 낮음",""),IF(AL71&lt;'설정'!$B$21,"성장 느림",""),IF(AM71&lt;'설정'!$B$21,"가격 비쌈",""),IF(AN71&lt;'설정'!$B$21,"추세 약함","")),IF(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="","","보통: "&amp;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)),IF(X71="통과",AE71,X71)))</f>
        <v/>
      </c>
      <c r="T71">
        <f>IF(AF71=1,TEXT(Z71,"0.0%")&amp;" · 상위 "&amp;TEXT(($B$3-_xlfn.RANK.AVG(AG71,$AG$6:$AG$105,1)+1)/$B$3*100,"0")&amp;"%",IF(A71="","",IF(Z71="","결측",TEXT(Z71,"0.0%"))))</f>
        <v/>
      </c>
      <c r="U71">
        <f>IF(AF71=1,TEXT(AA71,"0.0%")&amp;" · 상위 "&amp;TEXT(($B$3-_xlfn.RANK.AVG(AH71,$AH$6:$AH$105,1)+1)/$B$3*100,"0")&amp;"%",IF(A71="","",IF(AA71="","결측",TEXT(AA71,"0.0%"))))</f>
        <v/>
      </c>
      <c r="V71">
        <f>IF(AF71=1,TEXT(AB71,"0.0%")&amp;" · 상위 "&amp;TEXT(($B$3-_xlfn.RANK.AVG(AI71,$AI$6:$AI$105,1)+1)/$B$3*100,"0")&amp;"%",IF(A71="","",IF(AB71="","결측",TEXT(AB71,"0.0%"))))</f>
        <v/>
      </c>
      <c r="W71">
        <f>IF(AF71=1,TEXT(AC71,"0.0%")&amp;" · 상위 "&amp;TEXT(($B$3-_xlfn.RANK.AVG(AJ71,$AJ$6:$AJ$105,1)+1)/$B$3*100,"0")&amp;"%",IF(A71="","",IF(AC71="","결측",TEXT(AC71,"0.0%"))))</f>
        <v/>
      </c>
      <c r="X71">
        <f>IF(A71="","",IF(AR71="","통과","제외: "&amp;AR71))</f>
        <v/>
      </c>
      <c r="Y71" s="21">
        <f>IF(AND(ISNUMBER(G71),ISNUMBER(H71)),IF(G71&gt;0,H71/G71,""),"")</f>
        <v/>
      </c>
      <c r="Z71" s="22">
        <f>IF(AND(ISNUMBER(F71),ISNUMBER(G71)),IF(G71&gt;0,F71/G71,""),"")</f>
        <v/>
      </c>
      <c r="AA71" s="22">
        <f>IF(AND(ISNUMBER(J71),ISNUMBER(K71)),IF(AND(J71&gt;0,K71&gt;0),(J71/K71)^(1/3)-1,""),"")</f>
        <v/>
      </c>
      <c r="AB71" s="22">
        <f>IF(AND(ISNUMBER(I71),ISNUMBER(L71),ISNUMBER(M71),ISNUMBER(N71)),IF((L71+M71-N71)&gt;0,I71/(L71+M71-N71),""),"")</f>
        <v/>
      </c>
      <c r="AC71" s="22">
        <f>IF(AND(ISNUMBER(O71),ISNUMBER(P71)),IF(AND(O71&gt;0,P71&gt;0),P71/O71-1,""),"")</f>
        <v/>
      </c>
      <c r="AD71">
        <f>_xlfn.TEXTJOIN(", ",TRUE,IF(Z71="","ROE",""),IF(AA71="","매출성장률",""),IF(AB71="","이익수익률",""),IF(AC71="","12-1 수익률",""))</f>
        <v/>
      </c>
      <c r="AE71">
        <f>IF(A71="","",IF(AR71&lt;&gt;"","점수 없음(거름망)",IF(AD71="","채점","점수 없음(결측: "&amp;AD71&amp;")")))</f>
        <v/>
      </c>
      <c r="AF71">
        <f>IF(AE71="채점",1,"")</f>
        <v/>
      </c>
      <c r="AG71">
        <f>IF(AF71=1,Z71,"")</f>
        <v/>
      </c>
      <c r="AH71">
        <f>IF(AF71=1,AA71,"")</f>
        <v/>
      </c>
      <c r="AI71">
        <f>IF(AF71=1,AB71,"")</f>
        <v/>
      </c>
      <c r="AJ71">
        <f>IF(AF71=1,AC71,"")</f>
        <v/>
      </c>
      <c r="AK71">
        <f>IF(AF71=1,IF($B$3=1,50,(_xlfn.RANK.AVG(AG71,$AG$6:$AG$105,1)-1)/($B$3-1)*100),"")</f>
        <v/>
      </c>
      <c r="AL71">
        <f>IF(AF71=1,IF($B$3=1,50,(_xlfn.RANK.AVG(AH71,$AH$6:$AH$105,1)-1)/($B$3-1)*100),"")</f>
        <v/>
      </c>
      <c r="AM71">
        <f>IF(AF71=1,IF($B$3=1,50,(_xlfn.RANK.AVG(AI71,$AI$6:$AI$105,1)-1)/($B$3-1)*100),"")</f>
        <v/>
      </c>
      <c r="AN71">
        <f>IF(AF71=1,IF($B$3=1,50,(_xlfn.RANK.AVG(AJ71,$AJ$6:$AJ$105,1)-1)/($B$3-1)*100),"")</f>
        <v/>
      </c>
      <c r="AO71">
        <f>IF(AF71=1,ROUND(AVERAGE(AK71:AN71),6),"")</f>
        <v/>
      </c>
      <c r="AP71">
        <f>IF(AND(AF71=1,C71&lt;&gt;"Y"),R71,"")</f>
        <v/>
      </c>
      <c r="AQ71">
        <f>IF(AND(ISNUMBER(AP71),Q71="편입 후보"),AP71+(1000-ROW())/1000000,"")</f>
        <v/>
      </c>
      <c r="AR71">
        <f>IF(A71="","",_xlfn.TEXTJOIN(", ",TRUE,IF(D71="Y","금융·리츠",""),IF(NOT(ISNUMBER(I71)),"영업이익 없음",IF(I71&lt;=0,"영업적자","")),IF(OR(NOT(ISNUMBER(G71)),NOT(ISNUMBER(H71))),"부채비율 자료 없음",IF(G71&lt;=0,"자본잠식",IF(H71/G71&gt;'설정'!$B$8,"부채비율 초과",""))),IF(NOT(ISNUMBER(L71)),"시총 없음",IF(L71&lt;'설정'!$B$10,"시총 미달",""))))</f>
        <v/>
      </c>
    </row>
    <row r="72">
      <c r="A72" s="18" t="n"/>
      <c r="B72" s="19" t="n"/>
      <c r="C72" s="19" t="n"/>
      <c r="D72" s="19" t="n"/>
      <c r="E72" s="19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3" t="n"/>
      <c r="P72" s="23" t="n"/>
      <c r="Q72" s="7">
        <f>IF(A72="","",IF(C72="Y",IF(AF72=1,IF(AND(R72&lt;'설정'!$B$6,ISNUMBER($H$3)),IF(ROUND($H$3-R72,1)&gt;='설정'!$B$7,"교체 제안 → "&amp;$E$3&amp;" ("&amp;TEXT($H$3,"0.0")&amp;")","보유 유지"),"보유 유지"),"보유 · 점수 없음"),IF(AF72=1,IF(R72&gt;='설정'!$B$5,"편입 후보",""),"")))</f>
        <v/>
      </c>
      <c r="R72" s="15">
        <f>IF(AF72=1,ROUND(IF($B$3=1,50,(_xlfn.RANK.AVG(AO72,$AO$6:$AO$105,1)-1)/($B$3-1)*100),1),"")</f>
        <v/>
      </c>
      <c r="S72">
        <f>IF(A72="","",IF(AF72=1,_xlfn.TEXTJOIN(". ",TRUE,_xlfn.TEXTJOIN(", ",TRUE,IF(AK72&gt;='설정'!$B$20,"수익성 높음",""),IF(AL72&gt;='설정'!$B$20,"성장 빠름",""),IF(AM72&gt;='설정'!$B$20,"가격 쌈",""),IF(AN72&gt;='설정'!$B$20,"추세 좋음","")),_xlfn.TEXTJOIN(", ",TRUE,IF(AK72&lt;'설정'!$B$21,"수익성 낮음",""),IF(AL72&lt;'설정'!$B$21,"성장 느림",""),IF(AM72&lt;'설정'!$B$21,"가격 비쌈",""),IF(AN72&lt;'설정'!$B$21,"추세 약함","")),IF(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="","","보통: "&amp;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)),IF(X72="통과",AE72,X72)))</f>
        <v/>
      </c>
      <c r="T72">
        <f>IF(AF72=1,TEXT(Z72,"0.0%")&amp;" · 상위 "&amp;TEXT(($B$3-_xlfn.RANK.AVG(AG72,$AG$6:$AG$105,1)+1)/$B$3*100,"0")&amp;"%",IF(A72="","",IF(Z72="","결측",TEXT(Z72,"0.0%"))))</f>
        <v/>
      </c>
      <c r="U72">
        <f>IF(AF72=1,TEXT(AA72,"0.0%")&amp;" · 상위 "&amp;TEXT(($B$3-_xlfn.RANK.AVG(AH72,$AH$6:$AH$105,1)+1)/$B$3*100,"0")&amp;"%",IF(A72="","",IF(AA72="","결측",TEXT(AA72,"0.0%"))))</f>
        <v/>
      </c>
      <c r="V72">
        <f>IF(AF72=1,TEXT(AB72,"0.0%")&amp;" · 상위 "&amp;TEXT(($B$3-_xlfn.RANK.AVG(AI72,$AI$6:$AI$105,1)+1)/$B$3*100,"0")&amp;"%",IF(A72="","",IF(AB72="","결측",TEXT(AB72,"0.0%"))))</f>
        <v/>
      </c>
      <c r="W72">
        <f>IF(AF72=1,TEXT(AC72,"0.0%")&amp;" · 상위 "&amp;TEXT(($B$3-_xlfn.RANK.AVG(AJ72,$AJ$6:$AJ$105,1)+1)/$B$3*100,"0")&amp;"%",IF(A72="","",IF(AC72="","결측",TEXT(AC72,"0.0%"))))</f>
        <v/>
      </c>
      <c r="X72">
        <f>IF(A72="","",IF(AR72="","통과","제외: "&amp;AR72))</f>
        <v/>
      </c>
      <c r="Y72" s="21">
        <f>IF(AND(ISNUMBER(G72),ISNUMBER(H72)),IF(G72&gt;0,H72/G72,""),"")</f>
        <v/>
      </c>
      <c r="Z72" s="22">
        <f>IF(AND(ISNUMBER(F72),ISNUMBER(G72)),IF(G72&gt;0,F72/G72,""),"")</f>
        <v/>
      </c>
      <c r="AA72" s="22">
        <f>IF(AND(ISNUMBER(J72),ISNUMBER(K72)),IF(AND(J72&gt;0,K72&gt;0),(J72/K72)^(1/3)-1,""),"")</f>
        <v/>
      </c>
      <c r="AB72" s="22">
        <f>IF(AND(ISNUMBER(I72),ISNUMBER(L72),ISNUMBER(M72),ISNUMBER(N72)),IF((L72+M72-N72)&gt;0,I72/(L72+M72-N72),""),"")</f>
        <v/>
      </c>
      <c r="AC72" s="22">
        <f>IF(AND(ISNUMBER(O72),ISNUMBER(P72)),IF(AND(O72&gt;0,P72&gt;0),P72/O72-1,""),"")</f>
        <v/>
      </c>
      <c r="AD72">
        <f>_xlfn.TEXTJOIN(", ",TRUE,IF(Z72="","ROE",""),IF(AA72="","매출성장률",""),IF(AB72="","이익수익률",""),IF(AC72="","12-1 수익률",""))</f>
        <v/>
      </c>
      <c r="AE72">
        <f>IF(A72="","",IF(AR72&lt;&gt;"","점수 없음(거름망)",IF(AD72="","채점","점수 없음(결측: "&amp;AD72&amp;")")))</f>
        <v/>
      </c>
      <c r="AF72">
        <f>IF(AE72="채점",1,"")</f>
        <v/>
      </c>
      <c r="AG72">
        <f>IF(AF72=1,Z72,"")</f>
        <v/>
      </c>
      <c r="AH72">
        <f>IF(AF72=1,AA72,"")</f>
        <v/>
      </c>
      <c r="AI72">
        <f>IF(AF72=1,AB72,"")</f>
        <v/>
      </c>
      <c r="AJ72">
        <f>IF(AF72=1,AC72,"")</f>
        <v/>
      </c>
      <c r="AK72">
        <f>IF(AF72=1,IF($B$3=1,50,(_xlfn.RANK.AVG(AG72,$AG$6:$AG$105,1)-1)/($B$3-1)*100),"")</f>
        <v/>
      </c>
      <c r="AL72">
        <f>IF(AF72=1,IF($B$3=1,50,(_xlfn.RANK.AVG(AH72,$AH$6:$AH$105,1)-1)/($B$3-1)*100),"")</f>
        <v/>
      </c>
      <c r="AM72">
        <f>IF(AF72=1,IF($B$3=1,50,(_xlfn.RANK.AVG(AI72,$AI$6:$AI$105,1)-1)/($B$3-1)*100),"")</f>
        <v/>
      </c>
      <c r="AN72">
        <f>IF(AF72=1,IF($B$3=1,50,(_xlfn.RANK.AVG(AJ72,$AJ$6:$AJ$105,1)-1)/($B$3-1)*100),"")</f>
        <v/>
      </c>
      <c r="AO72">
        <f>IF(AF72=1,ROUND(AVERAGE(AK72:AN72),6),"")</f>
        <v/>
      </c>
      <c r="AP72">
        <f>IF(AND(AF72=1,C72&lt;&gt;"Y"),R72,"")</f>
        <v/>
      </c>
      <c r="AQ72">
        <f>IF(AND(ISNUMBER(AP72),Q72="편입 후보"),AP72+(1000-ROW())/1000000,"")</f>
        <v/>
      </c>
      <c r="AR72">
        <f>IF(A72="","",_xlfn.TEXTJOIN(", ",TRUE,IF(D72="Y","금융·리츠",""),IF(NOT(ISNUMBER(I72)),"영업이익 없음",IF(I72&lt;=0,"영업적자","")),IF(OR(NOT(ISNUMBER(G72)),NOT(ISNUMBER(H72))),"부채비율 자료 없음",IF(G72&lt;=0,"자본잠식",IF(H72/G72&gt;'설정'!$B$8,"부채비율 초과",""))),IF(NOT(ISNUMBER(L72)),"시총 없음",IF(L72&lt;'설정'!$B$10,"시총 미달",""))))</f>
        <v/>
      </c>
    </row>
    <row r="73">
      <c r="A73" s="18" t="n"/>
      <c r="B73" s="19" t="n"/>
      <c r="C73" s="19" t="n"/>
      <c r="D73" s="19" t="n"/>
      <c r="E73" s="19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3" t="n"/>
      <c r="P73" s="23" t="n"/>
      <c r="Q73" s="7">
        <f>IF(A73="","",IF(C73="Y",IF(AF73=1,IF(AND(R73&lt;'설정'!$B$6,ISNUMBER($H$3)),IF(ROUND($H$3-R73,1)&gt;='설정'!$B$7,"교체 제안 → "&amp;$E$3&amp;" ("&amp;TEXT($H$3,"0.0")&amp;")","보유 유지"),"보유 유지"),"보유 · 점수 없음"),IF(AF73=1,IF(R73&gt;='설정'!$B$5,"편입 후보",""),"")))</f>
        <v/>
      </c>
      <c r="R73" s="15">
        <f>IF(AF73=1,ROUND(IF($B$3=1,50,(_xlfn.RANK.AVG(AO73,$AO$6:$AO$105,1)-1)/($B$3-1)*100),1),"")</f>
        <v/>
      </c>
      <c r="S73">
        <f>IF(A73="","",IF(AF73=1,_xlfn.TEXTJOIN(". ",TRUE,_xlfn.TEXTJOIN(", ",TRUE,IF(AK73&gt;='설정'!$B$20,"수익성 높음",""),IF(AL73&gt;='설정'!$B$20,"성장 빠름",""),IF(AM73&gt;='설정'!$B$20,"가격 쌈",""),IF(AN73&gt;='설정'!$B$20,"추세 좋음","")),_xlfn.TEXTJOIN(", ",TRUE,IF(AK73&lt;'설정'!$B$21,"수익성 낮음",""),IF(AL73&lt;'설정'!$B$21,"성장 느림",""),IF(AM73&lt;'설정'!$B$21,"가격 비쌈",""),IF(AN73&lt;'설정'!$B$21,"추세 약함","")),IF(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="","","보통: "&amp;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)),IF(X73="통과",AE73,X73)))</f>
        <v/>
      </c>
      <c r="T73">
        <f>IF(AF73=1,TEXT(Z73,"0.0%")&amp;" · 상위 "&amp;TEXT(($B$3-_xlfn.RANK.AVG(AG73,$AG$6:$AG$105,1)+1)/$B$3*100,"0")&amp;"%",IF(A73="","",IF(Z73="","결측",TEXT(Z73,"0.0%"))))</f>
        <v/>
      </c>
      <c r="U73">
        <f>IF(AF73=1,TEXT(AA73,"0.0%")&amp;" · 상위 "&amp;TEXT(($B$3-_xlfn.RANK.AVG(AH73,$AH$6:$AH$105,1)+1)/$B$3*100,"0")&amp;"%",IF(A73="","",IF(AA73="","결측",TEXT(AA73,"0.0%"))))</f>
        <v/>
      </c>
      <c r="V73">
        <f>IF(AF73=1,TEXT(AB73,"0.0%")&amp;" · 상위 "&amp;TEXT(($B$3-_xlfn.RANK.AVG(AI73,$AI$6:$AI$105,1)+1)/$B$3*100,"0")&amp;"%",IF(A73="","",IF(AB73="","결측",TEXT(AB73,"0.0%"))))</f>
        <v/>
      </c>
      <c r="W73">
        <f>IF(AF73=1,TEXT(AC73,"0.0%")&amp;" · 상위 "&amp;TEXT(($B$3-_xlfn.RANK.AVG(AJ73,$AJ$6:$AJ$105,1)+1)/$B$3*100,"0")&amp;"%",IF(A73="","",IF(AC73="","결측",TEXT(AC73,"0.0%"))))</f>
        <v/>
      </c>
      <c r="X73">
        <f>IF(A73="","",IF(AR73="","통과","제외: "&amp;AR73))</f>
        <v/>
      </c>
      <c r="Y73" s="21">
        <f>IF(AND(ISNUMBER(G73),ISNUMBER(H73)),IF(G73&gt;0,H73/G73,""),"")</f>
        <v/>
      </c>
      <c r="Z73" s="22">
        <f>IF(AND(ISNUMBER(F73),ISNUMBER(G73)),IF(G73&gt;0,F73/G73,""),"")</f>
        <v/>
      </c>
      <c r="AA73" s="22">
        <f>IF(AND(ISNUMBER(J73),ISNUMBER(K73)),IF(AND(J73&gt;0,K73&gt;0),(J73/K73)^(1/3)-1,""),"")</f>
        <v/>
      </c>
      <c r="AB73" s="22">
        <f>IF(AND(ISNUMBER(I73),ISNUMBER(L73),ISNUMBER(M73),ISNUMBER(N73)),IF((L73+M73-N73)&gt;0,I73/(L73+M73-N73),""),"")</f>
        <v/>
      </c>
      <c r="AC73" s="22">
        <f>IF(AND(ISNUMBER(O73),ISNUMBER(P73)),IF(AND(O73&gt;0,P73&gt;0),P73/O73-1,""),"")</f>
        <v/>
      </c>
      <c r="AD73">
        <f>_xlfn.TEXTJOIN(", ",TRUE,IF(Z73="","ROE",""),IF(AA73="","매출성장률",""),IF(AB73="","이익수익률",""),IF(AC73="","12-1 수익률",""))</f>
        <v/>
      </c>
      <c r="AE73">
        <f>IF(A73="","",IF(AR73&lt;&gt;"","점수 없음(거름망)",IF(AD73="","채점","점수 없음(결측: "&amp;AD73&amp;")")))</f>
        <v/>
      </c>
      <c r="AF73">
        <f>IF(AE73="채점",1,"")</f>
        <v/>
      </c>
      <c r="AG73">
        <f>IF(AF73=1,Z73,"")</f>
        <v/>
      </c>
      <c r="AH73">
        <f>IF(AF73=1,AA73,"")</f>
        <v/>
      </c>
      <c r="AI73">
        <f>IF(AF73=1,AB73,"")</f>
        <v/>
      </c>
      <c r="AJ73">
        <f>IF(AF73=1,AC73,"")</f>
        <v/>
      </c>
      <c r="AK73">
        <f>IF(AF73=1,IF($B$3=1,50,(_xlfn.RANK.AVG(AG73,$AG$6:$AG$105,1)-1)/($B$3-1)*100),"")</f>
        <v/>
      </c>
      <c r="AL73">
        <f>IF(AF73=1,IF($B$3=1,50,(_xlfn.RANK.AVG(AH73,$AH$6:$AH$105,1)-1)/($B$3-1)*100),"")</f>
        <v/>
      </c>
      <c r="AM73">
        <f>IF(AF73=1,IF($B$3=1,50,(_xlfn.RANK.AVG(AI73,$AI$6:$AI$105,1)-1)/($B$3-1)*100),"")</f>
        <v/>
      </c>
      <c r="AN73">
        <f>IF(AF73=1,IF($B$3=1,50,(_xlfn.RANK.AVG(AJ73,$AJ$6:$AJ$105,1)-1)/($B$3-1)*100),"")</f>
        <v/>
      </c>
      <c r="AO73">
        <f>IF(AF73=1,ROUND(AVERAGE(AK73:AN73),6),"")</f>
        <v/>
      </c>
      <c r="AP73">
        <f>IF(AND(AF73=1,C73&lt;&gt;"Y"),R73,"")</f>
        <v/>
      </c>
      <c r="AQ73">
        <f>IF(AND(ISNUMBER(AP73),Q73="편입 후보"),AP73+(1000-ROW())/1000000,"")</f>
        <v/>
      </c>
      <c r="AR73">
        <f>IF(A73="","",_xlfn.TEXTJOIN(", ",TRUE,IF(D73="Y","금융·리츠",""),IF(NOT(ISNUMBER(I73)),"영업이익 없음",IF(I73&lt;=0,"영업적자","")),IF(OR(NOT(ISNUMBER(G73)),NOT(ISNUMBER(H73))),"부채비율 자료 없음",IF(G73&lt;=0,"자본잠식",IF(H73/G73&gt;'설정'!$B$8,"부채비율 초과",""))),IF(NOT(ISNUMBER(L73)),"시총 없음",IF(L73&lt;'설정'!$B$10,"시총 미달",""))))</f>
        <v/>
      </c>
    </row>
    <row r="74">
      <c r="A74" s="18" t="n"/>
      <c r="B74" s="19" t="n"/>
      <c r="C74" s="19" t="n"/>
      <c r="D74" s="19" t="n"/>
      <c r="E74" s="19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3" t="n"/>
      <c r="P74" s="23" t="n"/>
      <c r="Q74" s="7">
        <f>IF(A74="","",IF(C74="Y",IF(AF74=1,IF(AND(R74&lt;'설정'!$B$6,ISNUMBER($H$3)),IF(ROUND($H$3-R74,1)&gt;='설정'!$B$7,"교체 제안 → "&amp;$E$3&amp;" ("&amp;TEXT($H$3,"0.0")&amp;")","보유 유지"),"보유 유지"),"보유 · 점수 없음"),IF(AF74=1,IF(R74&gt;='설정'!$B$5,"편입 후보",""),"")))</f>
        <v/>
      </c>
      <c r="R74" s="15">
        <f>IF(AF74=1,ROUND(IF($B$3=1,50,(_xlfn.RANK.AVG(AO74,$AO$6:$AO$105,1)-1)/($B$3-1)*100),1),"")</f>
        <v/>
      </c>
      <c r="S74">
        <f>IF(A74="","",IF(AF74=1,_xlfn.TEXTJOIN(". ",TRUE,_xlfn.TEXTJOIN(", ",TRUE,IF(AK74&gt;='설정'!$B$20,"수익성 높음",""),IF(AL74&gt;='설정'!$B$20,"성장 빠름",""),IF(AM74&gt;='설정'!$B$20,"가격 쌈",""),IF(AN74&gt;='설정'!$B$20,"추세 좋음","")),_xlfn.TEXTJOIN(", ",TRUE,IF(AK74&lt;'설정'!$B$21,"수익성 낮음",""),IF(AL74&lt;'설정'!$B$21,"성장 느림",""),IF(AM74&lt;'설정'!$B$21,"가격 비쌈",""),IF(AN74&lt;'설정'!$B$21,"추세 약함","")),IF(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="","","보통: "&amp;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)),IF(X74="통과",AE74,X74)))</f>
        <v/>
      </c>
      <c r="T74">
        <f>IF(AF74=1,TEXT(Z74,"0.0%")&amp;" · 상위 "&amp;TEXT(($B$3-_xlfn.RANK.AVG(AG74,$AG$6:$AG$105,1)+1)/$B$3*100,"0")&amp;"%",IF(A74="","",IF(Z74="","결측",TEXT(Z74,"0.0%"))))</f>
        <v/>
      </c>
      <c r="U74">
        <f>IF(AF74=1,TEXT(AA74,"0.0%")&amp;" · 상위 "&amp;TEXT(($B$3-_xlfn.RANK.AVG(AH74,$AH$6:$AH$105,1)+1)/$B$3*100,"0")&amp;"%",IF(A74="","",IF(AA74="","결측",TEXT(AA74,"0.0%"))))</f>
        <v/>
      </c>
      <c r="V74">
        <f>IF(AF74=1,TEXT(AB74,"0.0%")&amp;" · 상위 "&amp;TEXT(($B$3-_xlfn.RANK.AVG(AI74,$AI$6:$AI$105,1)+1)/$B$3*100,"0")&amp;"%",IF(A74="","",IF(AB74="","결측",TEXT(AB74,"0.0%"))))</f>
        <v/>
      </c>
      <c r="W74">
        <f>IF(AF74=1,TEXT(AC74,"0.0%")&amp;" · 상위 "&amp;TEXT(($B$3-_xlfn.RANK.AVG(AJ74,$AJ$6:$AJ$105,1)+1)/$B$3*100,"0")&amp;"%",IF(A74="","",IF(AC74="","결측",TEXT(AC74,"0.0%"))))</f>
        <v/>
      </c>
      <c r="X74">
        <f>IF(A74="","",IF(AR74="","통과","제외: "&amp;AR74))</f>
        <v/>
      </c>
      <c r="Y74" s="21">
        <f>IF(AND(ISNUMBER(G74),ISNUMBER(H74)),IF(G74&gt;0,H74/G74,""),"")</f>
        <v/>
      </c>
      <c r="Z74" s="22">
        <f>IF(AND(ISNUMBER(F74),ISNUMBER(G74)),IF(G74&gt;0,F74/G74,""),"")</f>
        <v/>
      </c>
      <c r="AA74" s="22">
        <f>IF(AND(ISNUMBER(J74),ISNUMBER(K74)),IF(AND(J74&gt;0,K74&gt;0),(J74/K74)^(1/3)-1,""),"")</f>
        <v/>
      </c>
      <c r="AB74" s="22">
        <f>IF(AND(ISNUMBER(I74),ISNUMBER(L74),ISNUMBER(M74),ISNUMBER(N74)),IF((L74+M74-N74)&gt;0,I74/(L74+M74-N74),""),"")</f>
        <v/>
      </c>
      <c r="AC74" s="22">
        <f>IF(AND(ISNUMBER(O74),ISNUMBER(P74)),IF(AND(O74&gt;0,P74&gt;0),P74/O74-1,""),"")</f>
        <v/>
      </c>
      <c r="AD74">
        <f>_xlfn.TEXTJOIN(", ",TRUE,IF(Z74="","ROE",""),IF(AA74="","매출성장률",""),IF(AB74="","이익수익률",""),IF(AC74="","12-1 수익률",""))</f>
        <v/>
      </c>
      <c r="AE74">
        <f>IF(A74="","",IF(AR74&lt;&gt;"","점수 없음(거름망)",IF(AD74="","채점","점수 없음(결측: "&amp;AD74&amp;")")))</f>
        <v/>
      </c>
      <c r="AF74">
        <f>IF(AE74="채점",1,"")</f>
        <v/>
      </c>
      <c r="AG74">
        <f>IF(AF74=1,Z74,"")</f>
        <v/>
      </c>
      <c r="AH74">
        <f>IF(AF74=1,AA74,"")</f>
        <v/>
      </c>
      <c r="AI74">
        <f>IF(AF74=1,AB74,"")</f>
        <v/>
      </c>
      <c r="AJ74">
        <f>IF(AF74=1,AC74,"")</f>
        <v/>
      </c>
      <c r="AK74">
        <f>IF(AF74=1,IF($B$3=1,50,(_xlfn.RANK.AVG(AG74,$AG$6:$AG$105,1)-1)/($B$3-1)*100),"")</f>
        <v/>
      </c>
      <c r="AL74">
        <f>IF(AF74=1,IF($B$3=1,50,(_xlfn.RANK.AVG(AH74,$AH$6:$AH$105,1)-1)/($B$3-1)*100),"")</f>
        <v/>
      </c>
      <c r="AM74">
        <f>IF(AF74=1,IF($B$3=1,50,(_xlfn.RANK.AVG(AI74,$AI$6:$AI$105,1)-1)/($B$3-1)*100),"")</f>
        <v/>
      </c>
      <c r="AN74">
        <f>IF(AF74=1,IF($B$3=1,50,(_xlfn.RANK.AVG(AJ74,$AJ$6:$AJ$105,1)-1)/($B$3-1)*100),"")</f>
        <v/>
      </c>
      <c r="AO74">
        <f>IF(AF74=1,ROUND(AVERAGE(AK74:AN74),6),"")</f>
        <v/>
      </c>
      <c r="AP74">
        <f>IF(AND(AF74=1,C74&lt;&gt;"Y"),R74,"")</f>
        <v/>
      </c>
      <c r="AQ74">
        <f>IF(AND(ISNUMBER(AP74),Q74="편입 후보"),AP74+(1000-ROW())/1000000,"")</f>
        <v/>
      </c>
      <c r="AR74">
        <f>IF(A74="","",_xlfn.TEXTJOIN(", ",TRUE,IF(D74="Y","금융·리츠",""),IF(NOT(ISNUMBER(I74)),"영업이익 없음",IF(I74&lt;=0,"영업적자","")),IF(OR(NOT(ISNUMBER(G74)),NOT(ISNUMBER(H74))),"부채비율 자료 없음",IF(G74&lt;=0,"자본잠식",IF(H74/G74&gt;'설정'!$B$8,"부채비율 초과",""))),IF(NOT(ISNUMBER(L74)),"시총 없음",IF(L74&lt;'설정'!$B$10,"시총 미달",""))))</f>
        <v/>
      </c>
    </row>
    <row r="75">
      <c r="A75" s="18" t="n"/>
      <c r="B75" s="19" t="n"/>
      <c r="C75" s="19" t="n"/>
      <c r="D75" s="19" t="n"/>
      <c r="E75" s="19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3" t="n"/>
      <c r="P75" s="23" t="n"/>
      <c r="Q75" s="7">
        <f>IF(A75="","",IF(C75="Y",IF(AF75=1,IF(AND(R75&lt;'설정'!$B$6,ISNUMBER($H$3)),IF(ROUND($H$3-R75,1)&gt;='설정'!$B$7,"교체 제안 → "&amp;$E$3&amp;" ("&amp;TEXT($H$3,"0.0")&amp;")","보유 유지"),"보유 유지"),"보유 · 점수 없음"),IF(AF75=1,IF(R75&gt;='설정'!$B$5,"편입 후보",""),"")))</f>
        <v/>
      </c>
      <c r="R75" s="15">
        <f>IF(AF75=1,ROUND(IF($B$3=1,50,(_xlfn.RANK.AVG(AO75,$AO$6:$AO$105,1)-1)/($B$3-1)*100),1),"")</f>
        <v/>
      </c>
      <c r="S75">
        <f>IF(A75="","",IF(AF75=1,_xlfn.TEXTJOIN(". ",TRUE,_xlfn.TEXTJOIN(", ",TRUE,IF(AK75&gt;='설정'!$B$20,"수익성 높음",""),IF(AL75&gt;='설정'!$B$20,"성장 빠름",""),IF(AM75&gt;='설정'!$B$20,"가격 쌈",""),IF(AN75&gt;='설정'!$B$20,"추세 좋음","")),_xlfn.TEXTJOIN(", ",TRUE,IF(AK75&lt;'설정'!$B$21,"수익성 낮음",""),IF(AL75&lt;'설정'!$B$21,"성장 느림",""),IF(AM75&lt;'설정'!$B$21,"가격 비쌈",""),IF(AN75&lt;'설정'!$B$21,"추세 약함","")),IF(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="","","보통: "&amp;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)),IF(X75="통과",AE75,X75)))</f>
        <v/>
      </c>
      <c r="T75">
        <f>IF(AF75=1,TEXT(Z75,"0.0%")&amp;" · 상위 "&amp;TEXT(($B$3-_xlfn.RANK.AVG(AG75,$AG$6:$AG$105,1)+1)/$B$3*100,"0")&amp;"%",IF(A75="","",IF(Z75="","결측",TEXT(Z75,"0.0%"))))</f>
        <v/>
      </c>
      <c r="U75">
        <f>IF(AF75=1,TEXT(AA75,"0.0%")&amp;" · 상위 "&amp;TEXT(($B$3-_xlfn.RANK.AVG(AH75,$AH$6:$AH$105,1)+1)/$B$3*100,"0")&amp;"%",IF(A75="","",IF(AA75="","결측",TEXT(AA75,"0.0%"))))</f>
        <v/>
      </c>
      <c r="V75">
        <f>IF(AF75=1,TEXT(AB75,"0.0%")&amp;" · 상위 "&amp;TEXT(($B$3-_xlfn.RANK.AVG(AI75,$AI$6:$AI$105,1)+1)/$B$3*100,"0")&amp;"%",IF(A75="","",IF(AB75="","결측",TEXT(AB75,"0.0%"))))</f>
        <v/>
      </c>
      <c r="W75">
        <f>IF(AF75=1,TEXT(AC75,"0.0%")&amp;" · 상위 "&amp;TEXT(($B$3-_xlfn.RANK.AVG(AJ75,$AJ$6:$AJ$105,1)+1)/$B$3*100,"0")&amp;"%",IF(A75="","",IF(AC75="","결측",TEXT(AC75,"0.0%"))))</f>
        <v/>
      </c>
      <c r="X75">
        <f>IF(A75="","",IF(AR75="","통과","제외: "&amp;AR75))</f>
        <v/>
      </c>
      <c r="Y75" s="21">
        <f>IF(AND(ISNUMBER(G75),ISNUMBER(H75)),IF(G75&gt;0,H75/G75,""),"")</f>
        <v/>
      </c>
      <c r="Z75" s="22">
        <f>IF(AND(ISNUMBER(F75),ISNUMBER(G75)),IF(G75&gt;0,F75/G75,""),"")</f>
        <v/>
      </c>
      <c r="AA75" s="22">
        <f>IF(AND(ISNUMBER(J75),ISNUMBER(K75)),IF(AND(J75&gt;0,K75&gt;0),(J75/K75)^(1/3)-1,""),"")</f>
        <v/>
      </c>
      <c r="AB75" s="22">
        <f>IF(AND(ISNUMBER(I75),ISNUMBER(L75),ISNUMBER(M75),ISNUMBER(N75)),IF((L75+M75-N75)&gt;0,I75/(L75+M75-N75),""),"")</f>
        <v/>
      </c>
      <c r="AC75" s="22">
        <f>IF(AND(ISNUMBER(O75),ISNUMBER(P75)),IF(AND(O75&gt;0,P75&gt;0),P75/O75-1,""),"")</f>
        <v/>
      </c>
      <c r="AD75">
        <f>_xlfn.TEXTJOIN(", ",TRUE,IF(Z75="","ROE",""),IF(AA75="","매출성장률",""),IF(AB75="","이익수익률",""),IF(AC75="","12-1 수익률",""))</f>
        <v/>
      </c>
      <c r="AE75">
        <f>IF(A75="","",IF(AR75&lt;&gt;"","점수 없음(거름망)",IF(AD75="","채점","점수 없음(결측: "&amp;AD75&amp;")")))</f>
        <v/>
      </c>
      <c r="AF75">
        <f>IF(AE75="채점",1,"")</f>
        <v/>
      </c>
      <c r="AG75">
        <f>IF(AF75=1,Z75,"")</f>
        <v/>
      </c>
      <c r="AH75">
        <f>IF(AF75=1,AA75,"")</f>
        <v/>
      </c>
      <c r="AI75">
        <f>IF(AF75=1,AB75,"")</f>
        <v/>
      </c>
      <c r="AJ75">
        <f>IF(AF75=1,AC75,"")</f>
        <v/>
      </c>
      <c r="AK75">
        <f>IF(AF75=1,IF($B$3=1,50,(_xlfn.RANK.AVG(AG75,$AG$6:$AG$105,1)-1)/($B$3-1)*100),"")</f>
        <v/>
      </c>
      <c r="AL75">
        <f>IF(AF75=1,IF($B$3=1,50,(_xlfn.RANK.AVG(AH75,$AH$6:$AH$105,1)-1)/($B$3-1)*100),"")</f>
        <v/>
      </c>
      <c r="AM75">
        <f>IF(AF75=1,IF($B$3=1,50,(_xlfn.RANK.AVG(AI75,$AI$6:$AI$105,1)-1)/($B$3-1)*100),"")</f>
        <v/>
      </c>
      <c r="AN75">
        <f>IF(AF75=1,IF($B$3=1,50,(_xlfn.RANK.AVG(AJ75,$AJ$6:$AJ$105,1)-1)/($B$3-1)*100),"")</f>
        <v/>
      </c>
      <c r="AO75">
        <f>IF(AF75=1,ROUND(AVERAGE(AK75:AN75),6),"")</f>
        <v/>
      </c>
      <c r="AP75">
        <f>IF(AND(AF75=1,C75&lt;&gt;"Y"),R75,"")</f>
        <v/>
      </c>
      <c r="AQ75">
        <f>IF(AND(ISNUMBER(AP75),Q75="편입 후보"),AP75+(1000-ROW())/1000000,"")</f>
        <v/>
      </c>
      <c r="AR75">
        <f>IF(A75="","",_xlfn.TEXTJOIN(", ",TRUE,IF(D75="Y","금융·리츠",""),IF(NOT(ISNUMBER(I75)),"영업이익 없음",IF(I75&lt;=0,"영업적자","")),IF(OR(NOT(ISNUMBER(G75)),NOT(ISNUMBER(H75))),"부채비율 자료 없음",IF(G75&lt;=0,"자본잠식",IF(H75/G75&gt;'설정'!$B$8,"부채비율 초과",""))),IF(NOT(ISNUMBER(L75)),"시총 없음",IF(L75&lt;'설정'!$B$10,"시총 미달",""))))</f>
        <v/>
      </c>
    </row>
    <row r="76">
      <c r="A76" s="18" t="n"/>
      <c r="B76" s="19" t="n"/>
      <c r="C76" s="19" t="n"/>
      <c r="D76" s="19" t="n"/>
      <c r="E76" s="19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3" t="n"/>
      <c r="P76" s="23" t="n"/>
      <c r="Q76" s="7">
        <f>IF(A76="","",IF(C76="Y",IF(AF76=1,IF(AND(R76&lt;'설정'!$B$6,ISNUMBER($H$3)),IF(ROUND($H$3-R76,1)&gt;='설정'!$B$7,"교체 제안 → "&amp;$E$3&amp;" ("&amp;TEXT($H$3,"0.0")&amp;")","보유 유지"),"보유 유지"),"보유 · 점수 없음"),IF(AF76=1,IF(R76&gt;='설정'!$B$5,"편입 후보",""),"")))</f>
        <v/>
      </c>
      <c r="R76" s="15">
        <f>IF(AF76=1,ROUND(IF($B$3=1,50,(_xlfn.RANK.AVG(AO76,$AO$6:$AO$105,1)-1)/($B$3-1)*100),1),"")</f>
        <v/>
      </c>
      <c r="S76">
        <f>IF(A76="","",IF(AF76=1,_xlfn.TEXTJOIN(". ",TRUE,_xlfn.TEXTJOIN(", ",TRUE,IF(AK76&gt;='설정'!$B$20,"수익성 높음",""),IF(AL76&gt;='설정'!$B$20,"성장 빠름",""),IF(AM76&gt;='설정'!$B$20,"가격 쌈",""),IF(AN76&gt;='설정'!$B$20,"추세 좋음","")),_xlfn.TEXTJOIN(", ",TRUE,IF(AK76&lt;'설정'!$B$21,"수익성 낮음",""),IF(AL76&lt;'설정'!$B$21,"성장 느림",""),IF(AM76&lt;'설정'!$B$21,"가격 비쌈",""),IF(AN76&lt;'설정'!$B$21,"추세 약함","")),IF(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="","","보통: "&amp;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)),IF(X76="통과",AE76,X76)))</f>
        <v/>
      </c>
      <c r="T76">
        <f>IF(AF76=1,TEXT(Z76,"0.0%")&amp;" · 상위 "&amp;TEXT(($B$3-_xlfn.RANK.AVG(AG76,$AG$6:$AG$105,1)+1)/$B$3*100,"0")&amp;"%",IF(A76="","",IF(Z76="","결측",TEXT(Z76,"0.0%"))))</f>
        <v/>
      </c>
      <c r="U76">
        <f>IF(AF76=1,TEXT(AA76,"0.0%")&amp;" · 상위 "&amp;TEXT(($B$3-_xlfn.RANK.AVG(AH76,$AH$6:$AH$105,1)+1)/$B$3*100,"0")&amp;"%",IF(A76="","",IF(AA76="","결측",TEXT(AA76,"0.0%"))))</f>
        <v/>
      </c>
      <c r="V76">
        <f>IF(AF76=1,TEXT(AB76,"0.0%")&amp;" · 상위 "&amp;TEXT(($B$3-_xlfn.RANK.AVG(AI76,$AI$6:$AI$105,1)+1)/$B$3*100,"0")&amp;"%",IF(A76="","",IF(AB76="","결측",TEXT(AB76,"0.0%"))))</f>
        <v/>
      </c>
      <c r="W76">
        <f>IF(AF76=1,TEXT(AC76,"0.0%")&amp;" · 상위 "&amp;TEXT(($B$3-_xlfn.RANK.AVG(AJ76,$AJ$6:$AJ$105,1)+1)/$B$3*100,"0")&amp;"%",IF(A76="","",IF(AC76="","결측",TEXT(AC76,"0.0%"))))</f>
        <v/>
      </c>
      <c r="X76">
        <f>IF(A76="","",IF(AR76="","통과","제외: "&amp;AR76))</f>
        <v/>
      </c>
      <c r="Y76" s="21">
        <f>IF(AND(ISNUMBER(G76),ISNUMBER(H76)),IF(G76&gt;0,H76/G76,""),"")</f>
        <v/>
      </c>
      <c r="Z76" s="22">
        <f>IF(AND(ISNUMBER(F76),ISNUMBER(G76)),IF(G76&gt;0,F76/G76,""),"")</f>
        <v/>
      </c>
      <c r="AA76" s="22">
        <f>IF(AND(ISNUMBER(J76),ISNUMBER(K76)),IF(AND(J76&gt;0,K76&gt;0),(J76/K76)^(1/3)-1,""),"")</f>
        <v/>
      </c>
      <c r="AB76" s="22">
        <f>IF(AND(ISNUMBER(I76),ISNUMBER(L76),ISNUMBER(M76),ISNUMBER(N76)),IF((L76+M76-N76)&gt;0,I76/(L76+M76-N76),""),"")</f>
        <v/>
      </c>
      <c r="AC76" s="22">
        <f>IF(AND(ISNUMBER(O76),ISNUMBER(P76)),IF(AND(O76&gt;0,P76&gt;0),P76/O76-1,""),"")</f>
        <v/>
      </c>
      <c r="AD76">
        <f>_xlfn.TEXTJOIN(", ",TRUE,IF(Z76="","ROE",""),IF(AA76="","매출성장률",""),IF(AB76="","이익수익률",""),IF(AC76="","12-1 수익률",""))</f>
        <v/>
      </c>
      <c r="AE76">
        <f>IF(A76="","",IF(AR76&lt;&gt;"","점수 없음(거름망)",IF(AD76="","채점","점수 없음(결측: "&amp;AD76&amp;")")))</f>
        <v/>
      </c>
      <c r="AF76">
        <f>IF(AE76="채점",1,"")</f>
        <v/>
      </c>
      <c r="AG76">
        <f>IF(AF76=1,Z76,"")</f>
        <v/>
      </c>
      <c r="AH76">
        <f>IF(AF76=1,AA76,"")</f>
        <v/>
      </c>
      <c r="AI76">
        <f>IF(AF76=1,AB76,"")</f>
        <v/>
      </c>
      <c r="AJ76">
        <f>IF(AF76=1,AC76,"")</f>
        <v/>
      </c>
      <c r="AK76">
        <f>IF(AF76=1,IF($B$3=1,50,(_xlfn.RANK.AVG(AG76,$AG$6:$AG$105,1)-1)/($B$3-1)*100),"")</f>
        <v/>
      </c>
      <c r="AL76">
        <f>IF(AF76=1,IF($B$3=1,50,(_xlfn.RANK.AVG(AH76,$AH$6:$AH$105,1)-1)/($B$3-1)*100),"")</f>
        <v/>
      </c>
      <c r="AM76">
        <f>IF(AF76=1,IF($B$3=1,50,(_xlfn.RANK.AVG(AI76,$AI$6:$AI$105,1)-1)/($B$3-1)*100),"")</f>
        <v/>
      </c>
      <c r="AN76">
        <f>IF(AF76=1,IF($B$3=1,50,(_xlfn.RANK.AVG(AJ76,$AJ$6:$AJ$105,1)-1)/($B$3-1)*100),"")</f>
        <v/>
      </c>
      <c r="AO76">
        <f>IF(AF76=1,ROUND(AVERAGE(AK76:AN76),6),"")</f>
        <v/>
      </c>
      <c r="AP76">
        <f>IF(AND(AF76=1,C76&lt;&gt;"Y"),R76,"")</f>
        <v/>
      </c>
      <c r="AQ76">
        <f>IF(AND(ISNUMBER(AP76),Q76="편입 후보"),AP76+(1000-ROW())/1000000,"")</f>
        <v/>
      </c>
      <c r="AR76">
        <f>IF(A76="","",_xlfn.TEXTJOIN(", ",TRUE,IF(D76="Y","금융·리츠",""),IF(NOT(ISNUMBER(I76)),"영업이익 없음",IF(I76&lt;=0,"영업적자","")),IF(OR(NOT(ISNUMBER(G76)),NOT(ISNUMBER(H76))),"부채비율 자료 없음",IF(G76&lt;=0,"자본잠식",IF(H76/G76&gt;'설정'!$B$8,"부채비율 초과",""))),IF(NOT(ISNUMBER(L76)),"시총 없음",IF(L76&lt;'설정'!$B$10,"시총 미달",""))))</f>
        <v/>
      </c>
    </row>
    <row r="77">
      <c r="A77" s="18" t="n"/>
      <c r="B77" s="19" t="n"/>
      <c r="C77" s="19" t="n"/>
      <c r="D77" s="19" t="n"/>
      <c r="E77" s="19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3" t="n"/>
      <c r="P77" s="23" t="n"/>
      <c r="Q77" s="7">
        <f>IF(A77="","",IF(C77="Y",IF(AF77=1,IF(AND(R77&lt;'설정'!$B$6,ISNUMBER($H$3)),IF(ROUND($H$3-R77,1)&gt;='설정'!$B$7,"교체 제안 → "&amp;$E$3&amp;" ("&amp;TEXT($H$3,"0.0")&amp;")","보유 유지"),"보유 유지"),"보유 · 점수 없음"),IF(AF77=1,IF(R77&gt;='설정'!$B$5,"편입 후보",""),"")))</f>
        <v/>
      </c>
      <c r="R77" s="15">
        <f>IF(AF77=1,ROUND(IF($B$3=1,50,(_xlfn.RANK.AVG(AO77,$AO$6:$AO$105,1)-1)/($B$3-1)*100),1),"")</f>
        <v/>
      </c>
      <c r="S77">
        <f>IF(A77="","",IF(AF77=1,_xlfn.TEXTJOIN(". ",TRUE,_xlfn.TEXTJOIN(", ",TRUE,IF(AK77&gt;='설정'!$B$20,"수익성 높음",""),IF(AL77&gt;='설정'!$B$20,"성장 빠름",""),IF(AM77&gt;='설정'!$B$20,"가격 쌈",""),IF(AN77&gt;='설정'!$B$20,"추세 좋음","")),_xlfn.TEXTJOIN(", ",TRUE,IF(AK77&lt;'설정'!$B$21,"수익성 낮음",""),IF(AL77&lt;'설정'!$B$21,"성장 느림",""),IF(AM77&lt;'설정'!$B$21,"가격 비쌈",""),IF(AN77&lt;'설정'!$B$21,"추세 약함","")),IF(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="","","보통: "&amp;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)),IF(X77="통과",AE77,X77)))</f>
        <v/>
      </c>
      <c r="T77">
        <f>IF(AF77=1,TEXT(Z77,"0.0%")&amp;" · 상위 "&amp;TEXT(($B$3-_xlfn.RANK.AVG(AG77,$AG$6:$AG$105,1)+1)/$B$3*100,"0")&amp;"%",IF(A77="","",IF(Z77="","결측",TEXT(Z77,"0.0%"))))</f>
        <v/>
      </c>
      <c r="U77">
        <f>IF(AF77=1,TEXT(AA77,"0.0%")&amp;" · 상위 "&amp;TEXT(($B$3-_xlfn.RANK.AVG(AH77,$AH$6:$AH$105,1)+1)/$B$3*100,"0")&amp;"%",IF(A77="","",IF(AA77="","결측",TEXT(AA77,"0.0%"))))</f>
        <v/>
      </c>
      <c r="V77">
        <f>IF(AF77=1,TEXT(AB77,"0.0%")&amp;" · 상위 "&amp;TEXT(($B$3-_xlfn.RANK.AVG(AI77,$AI$6:$AI$105,1)+1)/$B$3*100,"0")&amp;"%",IF(A77="","",IF(AB77="","결측",TEXT(AB77,"0.0%"))))</f>
        <v/>
      </c>
      <c r="W77">
        <f>IF(AF77=1,TEXT(AC77,"0.0%")&amp;" · 상위 "&amp;TEXT(($B$3-_xlfn.RANK.AVG(AJ77,$AJ$6:$AJ$105,1)+1)/$B$3*100,"0")&amp;"%",IF(A77="","",IF(AC77="","결측",TEXT(AC77,"0.0%"))))</f>
        <v/>
      </c>
      <c r="X77">
        <f>IF(A77="","",IF(AR77="","통과","제외: "&amp;AR77))</f>
        <v/>
      </c>
      <c r="Y77" s="21">
        <f>IF(AND(ISNUMBER(G77),ISNUMBER(H77)),IF(G77&gt;0,H77/G77,""),"")</f>
        <v/>
      </c>
      <c r="Z77" s="22">
        <f>IF(AND(ISNUMBER(F77),ISNUMBER(G77)),IF(G77&gt;0,F77/G77,""),"")</f>
        <v/>
      </c>
      <c r="AA77" s="22">
        <f>IF(AND(ISNUMBER(J77),ISNUMBER(K77)),IF(AND(J77&gt;0,K77&gt;0),(J77/K77)^(1/3)-1,""),"")</f>
        <v/>
      </c>
      <c r="AB77" s="22">
        <f>IF(AND(ISNUMBER(I77),ISNUMBER(L77),ISNUMBER(M77),ISNUMBER(N77)),IF((L77+M77-N77)&gt;0,I77/(L77+M77-N77),""),"")</f>
        <v/>
      </c>
      <c r="AC77" s="22">
        <f>IF(AND(ISNUMBER(O77),ISNUMBER(P77)),IF(AND(O77&gt;0,P77&gt;0),P77/O77-1,""),"")</f>
        <v/>
      </c>
      <c r="AD77">
        <f>_xlfn.TEXTJOIN(", ",TRUE,IF(Z77="","ROE",""),IF(AA77="","매출성장률",""),IF(AB77="","이익수익률",""),IF(AC77="","12-1 수익률",""))</f>
        <v/>
      </c>
      <c r="AE77">
        <f>IF(A77="","",IF(AR77&lt;&gt;"","점수 없음(거름망)",IF(AD77="","채점","점수 없음(결측: "&amp;AD77&amp;")")))</f>
        <v/>
      </c>
      <c r="AF77">
        <f>IF(AE77="채점",1,"")</f>
        <v/>
      </c>
      <c r="AG77">
        <f>IF(AF77=1,Z77,"")</f>
        <v/>
      </c>
      <c r="AH77">
        <f>IF(AF77=1,AA77,"")</f>
        <v/>
      </c>
      <c r="AI77">
        <f>IF(AF77=1,AB77,"")</f>
        <v/>
      </c>
      <c r="AJ77">
        <f>IF(AF77=1,AC77,"")</f>
        <v/>
      </c>
      <c r="AK77">
        <f>IF(AF77=1,IF($B$3=1,50,(_xlfn.RANK.AVG(AG77,$AG$6:$AG$105,1)-1)/($B$3-1)*100),"")</f>
        <v/>
      </c>
      <c r="AL77">
        <f>IF(AF77=1,IF($B$3=1,50,(_xlfn.RANK.AVG(AH77,$AH$6:$AH$105,1)-1)/($B$3-1)*100),"")</f>
        <v/>
      </c>
      <c r="AM77">
        <f>IF(AF77=1,IF($B$3=1,50,(_xlfn.RANK.AVG(AI77,$AI$6:$AI$105,1)-1)/($B$3-1)*100),"")</f>
        <v/>
      </c>
      <c r="AN77">
        <f>IF(AF77=1,IF($B$3=1,50,(_xlfn.RANK.AVG(AJ77,$AJ$6:$AJ$105,1)-1)/($B$3-1)*100),"")</f>
        <v/>
      </c>
      <c r="AO77">
        <f>IF(AF77=1,ROUND(AVERAGE(AK77:AN77),6),"")</f>
        <v/>
      </c>
      <c r="AP77">
        <f>IF(AND(AF77=1,C77&lt;&gt;"Y"),R77,"")</f>
        <v/>
      </c>
      <c r="AQ77">
        <f>IF(AND(ISNUMBER(AP77),Q77="편입 후보"),AP77+(1000-ROW())/1000000,"")</f>
        <v/>
      </c>
      <c r="AR77">
        <f>IF(A77="","",_xlfn.TEXTJOIN(", ",TRUE,IF(D77="Y","금융·리츠",""),IF(NOT(ISNUMBER(I77)),"영업이익 없음",IF(I77&lt;=0,"영업적자","")),IF(OR(NOT(ISNUMBER(G77)),NOT(ISNUMBER(H77))),"부채비율 자료 없음",IF(G77&lt;=0,"자본잠식",IF(H77/G77&gt;'설정'!$B$8,"부채비율 초과",""))),IF(NOT(ISNUMBER(L77)),"시총 없음",IF(L77&lt;'설정'!$B$10,"시총 미달",""))))</f>
        <v/>
      </c>
    </row>
    <row r="78">
      <c r="A78" s="18" t="n"/>
      <c r="B78" s="19" t="n"/>
      <c r="C78" s="19" t="n"/>
      <c r="D78" s="19" t="n"/>
      <c r="E78" s="19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3" t="n"/>
      <c r="P78" s="23" t="n"/>
      <c r="Q78" s="7">
        <f>IF(A78="","",IF(C78="Y",IF(AF78=1,IF(AND(R78&lt;'설정'!$B$6,ISNUMBER($H$3)),IF(ROUND($H$3-R78,1)&gt;='설정'!$B$7,"교체 제안 → "&amp;$E$3&amp;" ("&amp;TEXT($H$3,"0.0")&amp;")","보유 유지"),"보유 유지"),"보유 · 점수 없음"),IF(AF78=1,IF(R78&gt;='설정'!$B$5,"편입 후보",""),"")))</f>
        <v/>
      </c>
      <c r="R78" s="15">
        <f>IF(AF78=1,ROUND(IF($B$3=1,50,(_xlfn.RANK.AVG(AO78,$AO$6:$AO$105,1)-1)/($B$3-1)*100),1),"")</f>
        <v/>
      </c>
      <c r="S78">
        <f>IF(A78="","",IF(AF78=1,_xlfn.TEXTJOIN(". ",TRUE,_xlfn.TEXTJOIN(", ",TRUE,IF(AK78&gt;='설정'!$B$20,"수익성 높음",""),IF(AL78&gt;='설정'!$B$20,"성장 빠름",""),IF(AM78&gt;='설정'!$B$20,"가격 쌈",""),IF(AN78&gt;='설정'!$B$20,"추세 좋음","")),_xlfn.TEXTJOIN(", ",TRUE,IF(AK78&lt;'설정'!$B$21,"수익성 낮음",""),IF(AL78&lt;'설정'!$B$21,"성장 느림",""),IF(AM78&lt;'설정'!$B$21,"가격 비쌈",""),IF(AN78&lt;'설정'!$B$21,"추세 약함","")),IF(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="","","보통: "&amp;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)),IF(X78="통과",AE78,X78)))</f>
        <v/>
      </c>
      <c r="T78">
        <f>IF(AF78=1,TEXT(Z78,"0.0%")&amp;" · 상위 "&amp;TEXT(($B$3-_xlfn.RANK.AVG(AG78,$AG$6:$AG$105,1)+1)/$B$3*100,"0")&amp;"%",IF(A78="","",IF(Z78="","결측",TEXT(Z78,"0.0%"))))</f>
        <v/>
      </c>
      <c r="U78">
        <f>IF(AF78=1,TEXT(AA78,"0.0%")&amp;" · 상위 "&amp;TEXT(($B$3-_xlfn.RANK.AVG(AH78,$AH$6:$AH$105,1)+1)/$B$3*100,"0")&amp;"%",IF(A78="","",IF(AA78="","결측",TEXT(AA78,"0.0%"))))</f>
        <v/>
      </c>
      <c r="V78">
        <f>IF(AF78=1,TEXT(AB78,"0.0%")&amp;" · 상위 "&amp;TEXT(($B$3-_xlfn.RANK.AVG(AI78,$AI$6:$AI$105,1)+1)/$B$3*100,"0")&amp;"%",IF(A78="","",IF(AB78="","결측",TEXT(AB78,"0.0%"))))</f>
        <v/>
      </c>
      <c r="W78">
        <f>IF(AF78=1,TEXT(AC78,"0.0%")&amp;" · 상위 "&amp;TEXT(($B$3-_xlfn.RANK.AVG(AJ78,$AJ$6:$AJ$105,1)+1)/$B$3*100,"0")&amp;"%",IF(A78="","",IF(AC78="","결측",TEXT(AC78,"0.0%"))))</f>
        <v/>
      </c>
      <c r="X78">
        <f>IF(A78="","",IF(AR78="","통과","제외: "&amp;AR78))</f>
        <v/>
      </c>
      <c r="Y78" s="21">
        <f>IF(AND(ISNUMBER(G78),ISNUMBER(H78)),IF(G78&gt;0,H78/G78,""),"")</f>
        <v/>
      </c>
      <c r="Z78" s="22">
        <f>IF(AND(ISNUMBER(F78),ISNUMBER(G78)),IF(G78&gt;0,F78/G78,""),"")</f>
        <v/>
      </c>
      <c r="AA78" s="22">
        <f>IF(AND(ISNUMBER(J78),ISNUMBER(K78)),IF(AND(J78&gt;0,K78&gt;0),(J78/K78)^(1/3)-1,""),"")</f>
        <v/>
      </c>
      <c r="AB78" s="22">
        <f>IF(AND(ISNUMBER(I78),ISNUMBER(L78),ISNUMBER(M78),ISNUMBER(N78)),IF((L78+M78-N78)&gt;0,I78/(L78+M78-N78),""),"")</f>
        <v/>
      </c>
      <c r="AC78" s="22">
        <f>IF(AND(ISNUMBER(O78),ISNUMBER(P78)),IF(AND(O78&gt;0,P78&gt;0),P78/O78-1,""),"")</f>
        <v/>
      </c>
      <c r="AD78">
        <f>_xlfn.TEXTJOIN(", ",TRUE,IF(Z78="","ROE",""),IF(AA78="","매출성장률",""),IF(AB78="","이익수익률",""),IF(AC78="","12-1 수익률",""))</f>
        <v/>
      </c>
      <c r="AE78">
        <f>IF(A78="","",IF(AR78&lt;&gt;"","점수 없음(거름망)",IF(AD78="","채점","점수 없음(결측: "&amp;AD78&amp;")")))</f>
        <v/>
      </c>
      <c r="AF78">
        <f>IF(AE78="채점",1,"")</f>
        <v/>
      </c>
      <c r="AG78">
        <f>IF(AF78=1,Z78,"")</f>
        <v/>
      </c>
      <c r="AH78">
        <f>IF(AF78=1,AA78,"")</f>
        <v/>
      </c>
      <c r="AI78">
        <f>IF(AF78=1,AB78,"")</f>
        <v/>
      </c>
      <c r="AJ78">
        <f>IF(AF78=1,AC78,"")</f>
        <v/>
      </c>
      <c r="AK78">
        <f>IF(AF78=1,IF($B$3=1,50,(_xlfn.RANK.AVG(AG78,$AG$6:$AG$105,1)-1)/($B$3-1)*100),"")</f>
        <v/>
      </c>
      <c r="AL78">
        <f>IF(AF78=1,IF($B$3=1,50,(_xlfn.RANK.AVG(AH78,$AH$6:$AH$105,1)-1)/($B$3-1)*100),"")</f>
        <v/>
      </c>
      <c r="AM78">
        <f>IF(AF78=1,IF($B$3=1,50,(_xlfn.RANK.AVG(AI78,$AI$6:$AI$105,1)-1)/($B$3-1)*100),"")</f>
        <v/>
      </c>
      <c r="AN78">
        <f>IF(AF78=1,IF($B$3=1,50,(_xlfn.RANK.AVG(AJ78,$AJ$6:$AJ$105,1)-1)/($B$3-1)*100),"")</f>
        <v/>
      </c>
      <c r="AO78">
        <f>IF(AF78=1,ROUND(AVERAGE(AK78:AN78),6),"")</f>
        <v/>
      </c>
      <c r="AP78">
        <f>IF(AND(AF78=1,C78&lt;&gt;"Y"),R78,"")</f>
        <v/>
      </c>
      <c r="AQ78">
        <f>IF(AND(ISNUMBER(AP78),Q78="편입 후보"),AP78+(1000-ROW())/1000000,"")</f>
        <v/>
      </c>
      <c r="AR78">
        <f>IF(A78="","",_xlfn.TEXTJOIN(", ",TRUE,IF(D78="Y","금융·리츠",""),IF(NOT(ISNUMBER(I78)),"영업이익 없음",IF(I78&lt;=0,"영업적자","")),IF(OR(NOT(ISNUMBER(G78)),NOT(ISNUMBER(H78))),"부채비율 자료 없음",IF(G78&lt;=0,"자본잠식",IF(H78/G78&gt;'설정'!$B$8,"부채비율 초과",""))),IF(NOT(ISNUMBER(L78)),"시총 없음",IF(L78&lt;'설정'!$B$10,"시총 미달",""))))</f>
        <v/>
      </c>
    </row>
    <row r="79">
      <c r="A79" s="18" t="n"/>
      <c r="B79" s="19" t="n"/>
      <c r="C79" s="19" t="n"/>
      <c r="D79" s="19" t="n"/>
      <c r="E79" s="19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3" t="n"/>
      <c r="P79" s="23" t="n"/>
      <c r="Q79" s="7">
        <f>IF(A79="","",IF(C79="Y",IF(AF79=1,IF(AND(R79&lt;'설정'!$B$6,ISNUMBER($H$3)),IF(ROUND($H$3-R79,1)&gt;='설정'!$B$7,"교체 제안 → "&amp;$E$3&amp;" ("&amp;TEXT($H$3,"0.0")&amp;")","보유 유지"),"보유 유지"),"보유 · 점수 없음"),IF(AF79=1,IF(R79&gt;='설정'!$B$5,"편입 후보",""),"")))</f>
        <v/>
      </c>
      <c r="R79" s="15">
        <f>IF(AF79=1,ROUND(IF($B$3=1,50,(_xlfn.RANK.AVG(AO79,$AO$6:$AO$105,1)-1)/($B$3-1)*100),1),"")</f>
        <v/>
      </c>
      <c r="S79">
        <f>IF(A79="","",IF(AF79=1,_xlfn.TEXTJOIN(". ",TRUE,_xlfn.TEXTJOIN(", ",TRUE,IF(AK79&gt;='설정'!$B$20,"수익성 높음",""),IF(AL79&gt;='설정'!$B$20,"성장 빠름",""),IF(AM79&gt;='설정'!$B$20,"가격 쌈",""),IF(AN79&gt;='설정'!$B$20,"추세 좋음","")),_xlfn.TEXTJOIN(", ",TRUE,IF(AK79&lt;'설정'!$B$21,"수익성 낮음",""),IF(AL79&lt;'설정'!$B$21,"성장 느림",""),IF(AM79&lt;'설정'!$B$21,"가격 비쌈",""),IF(AN79&lt;'설정'!$B$21,"추세 약함","")),IF(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="","","보통: "&amp;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)),IF(X79="통과",AE79,X79)))</f>
        <v/>
      </c>
      <c r="T79">
        <f>IF(AF79=1,TEXT(Z79,"0.0%")&amp;" · 상위 "&amp;TEXT(($B$3-_xlfn.RANK.AVG(AG79,$AG$6:$AG$105,1)+1)/$B$3*100,"0")&amp;"%",IF(A79="","",IF(Z79="","결측",TEXT(Z79,"0.0%"))))</f>
        <v/>
      </c>
      <c r="U79">
        <f>IF(AF79=1,TEXT(AA79,"0.0%")&amp;" · 상위 "&amp;TEXT(($B$3-_xlfn.RANK.AVG(AH79,$AH$6:$AH$105,1)+1)/$B$3*100,"0")&amp;"%",IF(A79="","",IF(AA79="","결측",TEXT(AA79,"0.0%"))))</f>
        <v/>
      </c>
      <c r="V79">
        <f>IF(AF79=1,TEXT(AB79,"0.0%")&amp;" · 상위 "&amp;TEXT(($B$3-_xlfn.RANK.AVG(AI79,$AI$6:$AI$105,1)+1)/$B$3*100,"0")&amp;"%",IF(A79="","",IF(AB79="","결측",TEXT(AB79,"0.0%"))))</f>
        <v/>
      </c>
      <c r="W79">
        <f>IF(AF79=1,TEXT(AC79,"0.0%")&amp;" · 상위 "&amp;TEXT(($B$3-_xlfn.RANK.AVG(AJ79,$AJ$6:$AJ$105,1)+1)/$B$3*100,"0")&amp;"%",IF(A79="","",IF(AC79="","결측",TEXT(AC79,"0.0%"))))</f>
        <v/>
      </c>
      <c r="X79">
        <f>IF(A79="","",IF(AR79="","통과","제외: "&amp;AR79))</f>
        <v/>
      </c>
      <c r="Y79" s="21">
        <f>IF(AND(ISNUMBER(G79),ISNUMBER(H79)),IF(G79&gt;0,H79/G79,""),"")</f>
        <v/>
      </c>
      <c r="Z79" s="22">
        <f>IF(AND(ISNUMBER(F79),ISNUMBER(G79)),IF(G79&gt;0,F79/G79,""),"")</f>
        <v/>
      </c>
      <c r="AA79" s="22">
        <f>IF(AND(ISNUMBER(J79),ISNUMBER(K79)),IF(AND(J79&gt;0,K79&gt;0),(J79/K79)^(1/3)-1,""),"")</f>
        <v/>
      </c>
      <c r="AB79" s="22">
        <f>IF(AND(ISNUMBER(I79),ISNUMBER(L79),ISNUMBER(M79),ISNUMBER(N79)),IF((L79+M79-N79)&gt;0,I79/(L79+M79-N79),""),"")</f>
        <v/>
      </c>
      <c r="AC79" s="22">
        <f>IF(AND(ISNUMBER(O79),ISNUMBER(P79)),IF(AND(O79&gt;0,P79&gt;0),P79/O79-1,""),"")</f>
        <v/>
      </c>
      <c r="AD79">
        <f>_xlfn.TEXTJOIN(", ",TRUE,IF(Z79="","ROE",""),IF(AA79="","매출성장률",""),IF(AB79="","이익수익률",""),IF(AC79="","12-1 수익률",""))</f>
        <v/>
      </c>
      <c r="AE79">
        <f>IF(A79="","",IF(AR79&lt;&gt;"","점수 없음(거름망)",IF(AD79="","채점","점수 없음(결측: "&amp;AD79&amp;")")))</f>
        <v/>
      </c>
      <c r="AF79">
        <f>IF(AE79="채점",1,"")</f>
        <v/>
      </c>
      <c r="AG79">
        <f>IF(AF79=1,Z79,"")</f>
        <v/>
      </c>
      <c r="AH79">
        <f>IF(AF79=1,AA79,"")</f>
        <v/>
      </c>
      <c r="AI79">
        <f>IF(AF79=1,AB79,"")</f>
        <v/>
      </c>
      <c r="AJ79">
        <f>IF(AF79=1,AC79,"")</f>
        <v/>
      </c>
      <c r="AK79">
        <f>IF(AF79=1,IF($B$3=1,50,(_xlfn.RANK.AVG(AG79,$AG$6:$AG$105,1)-1)/($B$3-1)*100),"")</f>
        <v/>
      </c>
      <c r="AL79">
        <f>IF(AF79=1,IF($B$3=1,50,(_xlfn.RANK.AVG(AH79,$AH$6:$AH$105,1)-1)/($B$3-1)*100),"")</f>
        <v/>
      </c>
      <c r="AM79">
        <f>IF(AF79=1,IF($B$3=1,50,(_xlfn.RANK.AVG(AI79,$AI$6:$AI$105,1)-1)/($B$3-1)*100),"")</f>
        <v/>
      </c>
      <c r="AN79">
        <f>IF(AF79=1,IF($B$3=1,50,(_xlfn.RANK.AVG(AJ79,$AJ$6:$AJ$105,1)-1)/($B$3-1)*100),"")</f>
        <v/>
      </c>
      <c r="AO79">
        <f>IF(AF79=1,ROUND(AVERAGE(AK79:AN79),6),"")</f>
        <v/>
      </c>
      <c r="AP79">
        <f>IF(AND(AF79=1,C79&lt;&gt;"Y"),R79,"")</f>
        <v/>
      </c>
      <c r="AQ79">
        <f>IF(AND(ISNUMBER(AP79),Q79="편입 후보"),AP79+(1000-ROW())/1000000,"")</f>
        <v/>
      </c>
      <c r="AR79">
        <f>IF(A79="","",_xlfn.TEXTJOIN(", ",TRUE,IF(D79="Y","금융·리츠",""),IF(NOT(ISNUMBER(I79)),"영업이익 없음",IF(I79&lt;=0,"영업적자","")),IF(OR(NOT(ISNUMBER(G79)),NOT(ISNUMBER(H79))),"부채비율 자료 없음",IF(G79&lt;=0,"자본잠식",IF(H79/G79&gt;'설정'!$B$8,"부채비율 초과",""))),IF(NOT(ISNUMBER(L79)),"시총 없음",IF(L79&lt;'설정'!$B$10,"시총 미달",""))))</f>
        <v/>
      </c>
    </row>
    <row r="80">
      <c r="A80" s="18" t="n"/>
      <c r="B80" s="19" t="n"/>
      <c r="C80" s="19" t="n"/>
      <c r="D80" s="19" t="n"/>
      <c r="E80" s="19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3" t="n"/>
      <c r="P80" s="23" t="n"/>
      <c r="Q80" s="7">
        <f>IF(A80="","",IF(C80="Y",IF(AF80=1,IF(AND(R80&lt;'설정'!$B$6,ISNUMBER($H$3)),IF(ROUND($H$3-R80,1)&gt;='설정'!$B$7,"교체 제안 → "&amp;$E$3&amp;" ("&amp;TEXT($H$3,"0.0")&amp;")","보유 유지"),"보유 유지"),"보유 · 점수 없음"),IF(AF80=1,IF(R80&gt;='설정'!$B$5,"편입 후보",""),"")))</f>
        <v/>
      </c>
      <c r="R80" s="15">
        <f>IF(AF80=1,ROUND(IF($B$3=1,50,(_xlfn.RANK.AVG(AO80,$AO$6:$AO$105,1)-1)/($B$3-1)*100),1),"")</f>
        <v/>
      </c>
      <c r="S80">
        <f>IF(A80="","",IF(AF80=1,_xlfn.TEXTJOIN(". ",TRUE,_xlfn.TEXTJOIN(", ",TRUE,IF(AK80&gt;='설정'!$B$20,"수익성 높음",""),IF(AL80&gt;='설정'!$B$20,"성장 빠름",""),IF(AM80&gt;='설정'!$B$20,"가격 쌈",""),IF(AN80&gt;='설정'!$B$20,"추세 좋음","")),_xlfn.TEXTJOIN(", ",TRUE,IF(AK80&lt;'설정'!$B$21,"수익성 낮음",""),IF(AL80&lt;'설정'!$B$21,"성장 느림",""),IF(AM80&lt;'설정'!$B$21,"가격 비쌈",""),IF(AN80&lt;'설정'!$B$21,"추세 약함","")),IF(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="","","보통: "&amp;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)),IF(X80="통과",AE80,X80)))</f>
        <v/>
      </c>
      <c r="T80">
        <f>IF(AF80=1,TEXT(Z80,"0.0%")&amp;" · 상위 "&amp;TEXT(($B$3-_xlfn.RANK.AVG(AG80,$AG$6:$AG$105,1)+1)/$B$3*100,"0")&amp;"%",IF(A80="","",IF(Z80="","결측",TEXT(Z80,"0.0%"))))</f>
        <v/>
      </c>
      <c r="U80">
        <f>IF(AF80=1,TEXT(AA80,"0.0%")&amp;" · 상위 "&amp;TEXT(($B$3-_xlfn.RANK.AVG(AH80,$AH$6:$AH$105,1)+1)/$B$3*100,"0")&amp;"%",IF(A80="","",IF(AA80="","결측",TEXT(AA80,"0.0%"))))</f>
        <v/>
      </c>
      <c r="V80">
        <f>IF(AF80=1,TEXT(AB80,"0.0%")&amp;" · 상위 "&amp;TEXT(($B$3-_xlfn.RANK.AVG(AI80,$AI$6:$AI$105,1)+1)/$B$3*100,"0")&amp;"%",IF(A80="","",IF(AB80="","결측",TEXT(AB80,"0.0%"))))</f>
        <v/>
      </c>
      <c r="W80">
        <f>IF(AF80=1,TEXT(AC80,"0.0%")&amp;" · 상위 "&amp;TEXT(($B$3-_xlfn.RANK.AVG(AJ80,$AJ$6:$AJ$105,1)+1)/$B$3*100,"0")&amp;"%",IF(A80="","",IF(AC80="","결측",TEXT(AC80,"0.0%"))))</f>
        <v/>
      </c>
      <c r="X80">
        <f>IF(A80="","",IF(AR80="","통과","제외: "&amp;AR80))</f>
        <v/>
      </c>
      <c r="Y80" s="21">
        <f>IF(AND(ISNUMBER(G80),ISNUMBER(H80)),IF(G80&gt;0,H80/G80,""),"")</f>
        <v/>
      </c>
      <c r="Z80" s="22">
        <f>IF(AND(ISNUMBER(F80),ISNUMBER(G80)),IF(G80&gt;0,F80/G80,""),"")</f>
        <v/>
      </c>
      <c r="AA80" s="22">
        <f>IF(AND(ISNUMBER(J80),ISNUMBER(K80)),IF(AND(J80&gt;0,K80&gt;0),(J80/K80)^(1/3)-1,""),"")</f>
        <v/>
      </c>
      <c r="AB80" s="22">
        <f>IF(AND(ISNUMBER(I80),ISNUMBER(L80),ISNUMBER(M80),ISNUMBER(N80)),IF((L80+M80-N80)&gt;0,I80/(L80+M80-N80),""),"")</f>
        <v/>
      </c>
      <c r="AC80" s="22">
        <f>IF(AND(ISNUMBER(O80),ISNUMBER(P80)),IF(AND(O80&gt;0,P80&gt;0),P80/O80-1,""),"")</f>
        <v/>
      </c>
      <c r="AD80">
        <f>_xlfn.TEXTJOIN(", ",TRUE,IF(Z80="","ROE",""),IF(AA80="","매출성장률",""),IF(AB80="","이익수익률",""),IF(AC80="","12-1 수익률",""))</f>
        <v/>
      </c>
      <c r="AE80">
        <f>IF(A80="","",IF(AR80&lt;&gt;"","점수 없음(거름망)",IF(AD80="","채점","점수 없음(결측: "&amp;AD80&amp;")")))</f>
        <v/>
      </c>
      <c r="AF80">
        <f>IF(AE80="채점",1,"")</f>
        <v/>
      </c>
      <c r="AG80">
        <f>IF(AF80=1,Z80,"")</f>
        <v/>
      </c>
      <c r="AH80">
        <f>IF(AF80=1,AA80,"")</f>
        <v/>
      </c>
      <c r="AI80">
        <f>IF(AF80=1,AB80,"")</f>
        <v/>
      </c>
      <c r="AJ80">
        <f>IF(AF80=1,AC80,"")</f>
        <v/>
      </c>
      <c r="AK80">
        <f>IF(AF80=1,IF($B$3=1,50,(_xlfn.RANK.AVG(AG80,$AG$6:$AG$105,1)-1)/($B$3-1)*100),"")</f>
        <v/>
      </c>
      <c r="AL80">
        <f>IF(AF80=1,IF($B$3=1,50,(_xlfn.RANK.AVG(AH80,$AH$6:$AH$105,1)-1)/($B$3-1)*100),"")</f>
        <v/>
      </c>
      <c r="AM80">
        <f>IF(AF80=1,IF($B$3=1,50,(_xlfn.RANK.AVG(AI80,$AI$6:$AI$105,1)-1)/($B$3-1)*100),"")</f>
        <v/>
      </c>
      <c r="AN80">
        <f>IF(AF80=1,IF($B$3=1,50,(_xlfn.RANK.AVG(AJ80,$AJ$6:$AJ$105,1)-1)/($B$3-1)*100),"")</f>
        <v/>
      </c>
      <c r="AO80">
        <f>IF(AF80=1,ROUND(AVERAGE(AK80:AN80),6),"")</f>
        <v/>
      </c>
      <c r="AP80">
        <f>IF(AND(AF80=1,C80&lt;&gt;"Y"),R80,"")</f>
        <v/>
      </c>
      <c r="AQ80">
        <f>IF(AND(ISNUMBER(AP80),Q80="편입 후보"),AP80+(1000-ROW())/1000000,"")</f>
        <v/>
      </c>
      <c r="AR80">
        <f>IF(A80="","",_xlfn.TEXTJOIN(", ",TRUE,IF(D80="Y","금융·리츠",""),IF(NOT(ISNUMBER(I80)),"영업이익 없음",IF(I80&lt;=0,"영업적자","")),IF(OR(NOT(ISNUMBER(G80)),NOT(ISNUMBER(H80))),"부채비율 자료 없음",IF(G80&lt;=0,"자본잠식",IF(H80/G80&gt;'설정'!$B$8,"부채비율 초과",""))),IF(NOT(ISNUMBER(L80)),"시총 없음",IF(L80&lt;'설정'!$B$10,"시총 미달",""))))</f>
        <v/>
      </c>
    </row>
    <row r="81">
      <c r="A81" s="18" t="n"/>
      <c r="B81" s="19" t="n"/>
      <c r="C81" s="19" t="n"/>
      <c r="D81" s="19" t="n"/>
      <c r="E81" s="19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3" t="n"/>
      <c r="P81" s="23" t="n"/>
      <c r="Q81" s="7">
        <f>IF(A81="","",IF(C81="Y",IF(AF81=1,IF(AND(R81&lt;'설정'!$B$6,ISNUMBER($H$3)),IF(ROUND($H$3-R81,1)&gt;='설정'!$B$7,"교체 제안 → "&amp;$E$3&amp;" ("&amp;TEXT($H$3,"0.0")&amp;")","보유 유지"),"보유 유지"),"보유 · 점수 없음"),IF(AF81=1,IF(R81&gt;='설정'!$B$5,"편입 후보",""),"")))</f>
        <v/>
      </c>
      <c r="R81" s="15">
        <f>IF(AF81=1,ROUND(IF($B$3=1,50,(_xlfn.RANK.AVG(AO81,$AO$6:$AO$105,1)-1)/($B$3-1)*100),1),"")</f>
        <v/>
      </c>
      <c r="S81">
        <f>IF(A81="","",IF(AF81=1,_xlfn.TEXTJOIN(". ",TRUE,_xlfn.TEXTJOIN(", ",TRUE,IF(AK81&gt;='설정'!$B$20,"수익성 높음",""),IF(AL81&gt;='설정'!$B$20,"성장 빠름",""),IF(AM81&gt;='설정'!$B$20,"가격 쌈",""),IF(AN81&gt;='설정'!$B$20,"추세 좋음","")),_xlfn.TEXTJOIN(", ",TRUE,IF(AK81&lt;'설정'!$B$21,"수익성 낮음",""),IF(AL81&lt;'설정'!$B$21,"성장 느림",""),IF(AM81&lt;'설정'!$B$21,"가격 비쌈",""),IF(AN81&lt;'설정'!$B$21,"추세 약함","")),IF(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="","","보통: "&amp;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)),IF(X81="통과",AE81,X81)))</f>
        <v/>
      </c>
      <c r="T81">
        <f>IF(AF81=1,TEXT(Z81,"0.0%")&amp;" · 상위 "&amp;TEXT(($B$3-_xlfn.RANK.AVG(AG81,$AG$6:$AG$105,1)+1)/$B$3*100,"0")&amp;"%",IF(A81="","",IF(Z81="","결측",TEXT(Z81,"0.0%"))))</f>
        <v/>
      </c>
      <c r="U81">
        <f>IF(AF81=1,TEXT(AA81,"0.0%")&amp;" · 상위 "&amp;TEXT(($B$3-_xlfn.RANK.AVG(AH81,$AH$6:$AH$105,1)+1)/$B$3*100,"0")&amp;"%",IF(A81="","",IF(AA81="","결측",TEXT(AA81,"0.0%"))))</f>
        <v/>
      </c>
      <c r="V81">
        <f>IF(AF81=1,TEXT(AB81,"0.0%")&amp;" · 상위 "&amp;TEXT(($B$3-_xlfn.RANK.AVG(AI81,$AI$6:$AI$105,1)+1)/$B$3*100,"0")&amp;"%",IF(A81="","",IF(AB81="","결측",TEXT(AB81,"0.0%"))))</f>
        <v/>
      </c>
      <c r="W81">
        <f>IF(AF81=1,TEXT(AC81,"0.0%")&amp;" · 상위 "&amp;TEXT(($B$3-_xlfn.RANK.AVG(AJ81,$AJ$6:$AJ$105,1)+1)/$B$3*100,"0")&amp;"%",IF(A81="","",IF(AC81="","결측",TEXT(AC81,"0.0%"))))</f>
        <v/>
      </c>
      <c r="X81">
        <f>IF(A81="","",IF(AR81="","통과","제외: "&amp;AR81))</f>
        <v/>
      </c>
      <c r="Y81" s="21">
        <f>IF(AND(ISNUMBER(G81),ISNUMBER(H81)),IF(G81&gt;0,H81/G81,""),"")</f>
        <v/>
      </c>
      <c r="Z81" s="22">
        <f>IF(AND(ISNUMBER(F81),ISNUMBER(G81)),IF(G81&gt;0,F81/G81,""),"")</f>
        <v/>
      </c>
      <c r="AA81" s="22">
        <f>IF(AND(ISNUMBER(J81),ISNUMBER(K81)),IF(AND(J81&gt;0,K81&gt;0),(J81/K81)^(1/3)-1,""),"")</f>
        <v/>
      </c>
      <c r="AB81" s="22">
        <f>IF(AND(ISNUMBER(I81),ISNUMBER(L81),ISNUMBER(M81),ISNUMBER(N81)),IF((L81+M81-N81)&gt;0,I81/(L81+M81-N81),""),"")</f>
        <v/>
      </c>
      <c r="AC81" s="22">
        <f>IF(AND(ISNUMBER(O81),ISNUMBER(P81)),IF(AND(O81&gt;0,P81&gt;0),P81/O81-1,""),"")</f>
        <v/>
      </c>
      <c r="AD81">
        <f>_xlfn.TEXTJOIN(", ",TRUE,IF(Z81="","ROE",""),IF(AA81="","매출성장률",""),IF(AB81="","이익수익률",""),IF(AC81="","12-1 수익률",""))</f>
        <v/>
      </c>
      <c r="AE81">
        <f>IF(A81="","",IF(AR81&lt;&gt;"","점수 없음(거름망)",IF(AD81="","채점","점수 없음(결측: "&amp;AD81&amp;")")))</f>
        <v/>
      </c>
      <c r="AF81">
        <f>IF(AE81="채점",1,"")</f>
        <v/>
      </c>
      <c r="AG81">
        <f>IF(AF81=1,Z81,"")</f>
        <v/>
      </c>
      <c r="AH81">
        <f>IF(AF81=1,AA81,"")</f>
        <v/>
      </c>
      <c r="AI81">
        <f>IF(AF81=1,AB81,"")</f>
        <v/>
      </c>
      <c r="AJ81">
        <f>IF(AF81=1,AC81,"")</f>
        <v/>
      </c>
      <c r="AK81">
        <f>IF(AF81=1,IF($B$3=1,50,(_xlfn.RANK.AVG(AG81,$AG$6:$AG$105,1)-1)/($B$3-1)*100),"")</f>
        <v/>
      </c>
      <c r="AL81">
        <f>IF(AF81=1,IF($B$3=1,50,(_xlfn.RANK.AVG(AH81,$AH$6:$AH$105,1)-1)/($B$3-1)*100),"")</f>
        <v/>
      </c>
      <c r="AM81">
        <f>IF(AF81=1,IF($B$3=1,50,(_xlfn.RANK.AVG(AI81,$AI$6:$AI$105,1)-1)/($B$3-1)*100),"")</f>
        <v/>
      </c>
      <c r="AN81">
        <f>IF(AF81=1,IF($B$3=1,50,(_xlfn.RANK.AVG(AJ81,$AJ$6:$AJ$105,1)-1)/($B$3-1)*100),"")</f>
        <v/>
      </c>
      <c r="AO81">
        <f>IF(AF81=1,ROUND(AVERAGE(AK81:AN81),6),"")</f>
        <v/>
      </c>
      <c r="AP81">
        <f>IF(AND(AF81=1,C81&lt;&gt;"Y"),R81,"")</f>
        <v/>
      </c>
      <c r="AQ81">
        <f>IF(AND(ISNUMBER(AP81),Q81="편입 후보"),AP81+(1000-ROW())/1000000,"")</f>
        <v/>
      </c>
      <c r="AR81">
        <f>IF(A81="","",_xlfn.TEXTJOIN(", ",TRUE,IF(D81="Y","금융·리츠",""),IF(NOT(ISNUMBER(I81)),"영업이익 없음",IF(I81&lt;=0,"영업적자","")),IF(OR(NOT(ISNUMBER(G81)),NOT(ISNUMBER(H81))),"부채비율 자료 없음",IF(G81&lt;=0,"자본잠식",IF(H81/G81&gt;'설정'!$B$8,"부채비율 초과",""))),IF(NOT(ISNUMBER(L81)),"시총 없음",IF(L81&lt;'설정'!$B$10,"시총 미달",""))))</f>
        <v/>
      </c>
    </row>
    <row r="82">
      <c r="A82" s="18" t="n"/>
      <c r="B82" s="19" t="n"/>
      <c r="C82" s="19" t="n"/>
      <c r="D82" s="19" t="n"/>
      <c r="E82" s="19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3" t="n"/>
      <c r="P82" s="23" t="n"/>
      <c r="Q82" s="7">
        <f>IF(A82="","",IF(C82="Y",IF(AF82=1,IF(AND(R82&lt;'설정'!$B$6,ISNUMBER($H$3)),IF(ROUND($H$3-R82,1)&gt;='설정'!$B$7,"교체 제안 → "&amp;$E$3&amp;" ("&amp;TEXT($H$3,"0.0")&amp;")","보유 유지"),"보유 유지"),"보유 · 점수 없음"),IF(AF82=1,IF(R82&gt;='설정'!$B$5,"편입 후보",""),"")))</f>
        <v/>
      </c>
      <c r="R82" s="15">
        <f>IF(AF82=1,ROUND(IF($B$3=1,50,(_xlfn.RANK.AVG(AO82,$AO$6:$AO$105,1)-1)/($B$3-1)*100),1),"")</f>
        <v/>
      </c>
      <c r="S82">
        <f>IF(A82="","",IF(AF82=1,_xlfn.TEXTJOIN(". ",TRUE,_xlfn.TEXTJOIN(", ",TRUE,IF(AK82&gt;='설정'!$B$20,"수익성 높음",""),IF(AL82&gt;='설정'!$B$20,"성장 빠름",""),IF(AM82&gt;='설정'!$B$20,"가격 쌈",""),IF(AN82&gt;='설정'!$B$20,"추세 좋음","")),_xlfn.TEXTJOIN(", ",TRUE,IF(AK82&lt;'설정'!$B$21,"수익성 낮음",""),IF(AL82&lt;'설정'!$B$21,"성장 느림",""),IF(AM82&lt;'설정'!$B$21,"가격 비쌈",""),IF(AN82&lt;'설정'!$B$21,"추세 약함","")),IF(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="","","보통: "&amp;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)),IF(X82="통과",AE82,X82)))</f>
        <v/>
      </c>
      <c r="T82">
        <f>IF(AF82=1,TEXT(Z82,"0.0%")&amp;" · 상위 "&amp;TEXT(($B$3-_xlfn.RANK.AVG(AG82,$AG$6:$AG$105,1)+1)/$B$3*100,"0")&amp;"%",IF(A82="","",IF(Z82="","결측",TEXT(Z82,"0.0%"))))</f>
        <v/>
      </c>
      <c r="U82">
        <f>IF(AF82=1,TEXT(AA82,"0.0%")&amp;" · 상위 "&amp;TEXT(($B$3-_xlfn.RANK.AVG(AH82,$AH$6:$AH$105,1)+1)/$B$3*100,"0")&amp;"%",IF(A82="","",IF(AA82="","결측",TEXT(AA82,"0.0%"))))</f>
        <v/>
      </c>
      <c r="V82">
        <f>IF(AF82=1,TEXT(AB82,"0.0%")&amp;" · 상위 "&amp;TEXT(($B$3-_xlfn.RANK.AVG(AI82,$AI$6:$AI$105,1)+1)/$B$3*100,"0")&amp;"%",IF(A82="","",IF(AB82="","결측",TEXT(AB82,"0.0%"))))</f>
        <v/>
      </c>
      <c r="W82">
        <f>IF(AF82=1,TEXT(AC82,"0.0%")&amp;" · 상위 "&amp;TEXT(($B$3-_xlfn.RANK.AVG(AJ82,$AJ$6:$AJ$105,1)+1)/$B$3*100,"0")&amp;"%",IF(A82="","",IF(AC82="","결측",TEXT(AC82,"0.0%"))))</f>
        <v/>
      </c>
      <c r="X82">
        <f>IF(A82="","",IF(AR82="","통과","제외: "&amp;AR82))</f>
        <v/>
      </c>
      <c r="Y82" s="21">
        <f>IF(AND(ISNUMBER(G82),ISNUMBER(H82)),IF(G82&gt;0,H82/G82,""),"")</f>
        <v/>
      </c>
      <c r="Z82" s="22">
        <f>IF(AND(ISNUMBER(F82),ISNUMBER(G82)),IF(G82&gt;0,F82/G82,""),"")</f>
        <v/>
      </c>
      <c r="AA82" s="22">
        <f>IF(AND(ISNUMBER(J82),ISNUMBER(K82)),IF(AND(J82&gt;0,K82&gt;0),(J82/K82)^(1/3)-1,""),"")</f>
        <v/>
      </c>
      <c r="AB82" s="22">
        <f>IF(AND(ISNUMBER(I82),ISNUMBER(L82),ISNUMBER(M82),ISNUMBER(N82)),IF((L82+M82-N82)&gt;0,I82/(L82+M82-N82),""),"")</f>
        <v/>
      </c>
      <c r="AC82" s="22">
        <f>IF(AND(ISNUMBER(O82),ISNUMBER(P82)),IF(AND(O82&gt;0,P82&gt;0),P82/O82-1,""),"")</f>
        <v/>
      </c>
      <c r="AD82">
        <f>_xlfn.TEXTJOIN(", ",TRUE,IF(Z82="","ROE",""),IF(AA82="","매출성장률",""),IF(AB82="","이익수익률",""),IF(AC82="","12-1 수익률",""))</f>
        <v/>
      </c>
      <c r="AE82">
        <f>IF(A82="","",IF(AR82&lt;&gt;"","점수 없음(거름망)",IF(AD82="","채점","점수 없음(결측: "&amp;AD82&amp;")")))</f>
        <v/>
      </c>
      <c r="AF82">
        <f>IF(AE82="채점",1,"")</f>
        <v/>
      </c>
      <c r="AG82">
        <f>IF(AF82=1,Z82,"")</f>
        <v/>
      </c>
      <c r="AH82">
        <f>IF(AF82=1,AA82,"")</f>
        <v/>
      </c>
      <c r="AI82">
        <f>IF(AF82=1,AB82,"")</f>
        <v/>
      </c>
      <c r="AJ82">
        <f>IF(AF82=1,AC82,"")</f>
        <v/>
      </c>
      <c r="AK82">
        <f>IF(AF82=1,IF($B$3=1,50,(_xlfn.RANK.AVG(AG82,$AG$6:$AG$105,1)-1)/($B$3-1)*100),"")</f>
        <v/>
      </c>
      <c r="AL82">
        <f>IF(AF82=1,IF($B$3=1,50,(_xlfn.RANK.AVG(AH82,$AH$6:$AH$105,1)-1)/($B$3-1)*100),"")</f>
        <v/>
      </c>
      <c r="AM82">
        <f>IF(AF82=1,IF($B$3=1,50,(_xlfn.RANK.AVG(AI82,$AI$6:$AI$105,1)-1)/($B$3-1)*100),"")</f>
        <v/>
      </c>
      <c r="AN82">
        <f>IF(AF82=1,IF($B$3=1,50,(_xlfn.RANK.AVG(AJ82,$AJ$6:$AJ$105,1)-1)/($B$3-1)*100),"")</f>
        <v/>
      </c>
      <c r="AO82">
        <f>IF(AF82=1,ROUND(AVERAGE(AK82:AN82),6),"")</f>
        <v/>
      </c>
      <c r="AP82">
        <f>IF(AND(AF82=1,C82&lt;&gt;"Y"),R82,"")</f>
        <v/>
      </c>
      <c r="AQ82">
        <f>IF(AND(ISNUMBER(AP82),Q82="편입 후보"),AP82+(1000-ROW())/1000000,"")</f>
        <v/>
      </c>
      <c r="AR82">
        <f>IF(A82="","",_xlfn.TEXTJOIN(", ",TRUE,IF(D82="Y","금융·리츠",""),IF(NOT(ISNUMBER(I82)),"영업이익 없음",IF(I82&lt;=0,"영업적자","")),IF(OR(NOT(ISNUMBER(G82)),NOT(ISNUMBER(H82))),"부채비율 자료 없음",IF(G82&lt;=0,"자본잠식",IF(H82/G82&gt;'설정'!$B$8,"부채비율 초과",""))),IF(NOT(ISNUMBER(L82)),"시총 없음",IF(L82&lt;'설정'!$B$10,"시총 미달",""))))</f>
        <v/>
      </c>
    </row>
    <row r="83">
      <c r="A83" s="18" t="n"/>
      <c r="B83" s="19" t="n"/>
      <c r="C83" s="19" t="n"/>
      <c r="D83" s="19" t="n"/>
      <c r="E83" s="19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3" t="n"/>
      <c r="P83" s="23" t="n"/>
      <c r="Q83" s="7">
        <f>IF(A83="","",IF(C83="Y",IF(AF83=1,IF(AND(R83&lt;'설정'!$B$6,ISNUMBER($H$3)),IF(ROUND($H$3-R83,1)&gt;='설정'!$B$7,"교체 제안 → "&amp;$E$3&amp;" ("&amp;TEXT($H$3,"0.0")&amp;")","보유 유지"),"보유 유지"),"보유 · 점수 없음"),IF(AF83=1,IF(R83&gt;='설정'!$B$5,"편입 후보",""),"")))</f>
        <v/>
      </c>
      <c r="R83" s="15">
        <f>IF(AF83=1,ROUND(IF($B$3=1,50,(_xlfn.RANK.AVG(AO83,$AO$6:$AO$105,1)-1)/($B$3-1)*100),1),"")</f>
        <v/>
      </c>
      <c r="S83">
        <f>IF(A83="","",IF(AF83=1,_xlfn.TEXTJOIN(". ",TRUE,_xlfn.TEXTJOIN(", ",TRUE,IF(AK83&gt;='설정'!$B$20,"수익성 높음",""),IF(AL83&gt;='설정'!$B$20,"성장 빠름",""),IF(AM83&gt;='설정'!$B$20,"가격 쌈",""),IF(AN83&gt;='설정'!$B$20,"추세 좋음","")),_xlfn.TEXTJOIN(", ",TRUE,IF(AK83&lt;'설정'!$B$21,"수익성 낮음",""),IF(AL83&lt;'설정'!$B$21,"성장 느림",""),IF(AM83&lt;'설정'!$B$21,"가격 비쌈",""),IF(AN83&lt;'설정'!$B$21,"추세 약함","")),IF(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="","","보통: "&amp;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)),IF(X83="통과",AE83,X83)))</f>
        <v/>
      </c>
      <c r="T83">
        <f>IF(AF83=1,TEXT(Z83,"0.0%")&amp;" · 상위 "&amp;TEXT(($B$3-_xlfn.RANK.AVG(AG83,$AG$6:$AG$105,1)+1)/$B$3*100,"0")&amp;"%",IF(A83="","",IF(Z83="","결측",TEXT(Z83,"0.0%"))))</f>
        <v/>
      </c>
      <c r="U83">
        <f>IF(AF83=1,TEXT(AA83,"0.0%")&amp;" · 상위 "&amp;TEXT(($B$3-_xlfn.RANK.AVG(AH83,$AH$6:$AH$105,1)+1)/$B$3*100,"0")&amp;"%",IF(A83="","",IF(AA83="","결측",TEXT(AA83,"0.0%"))))</f>
        <v/>
      </c>
      <c r="V83">
        <f>IF(AF83=1,TEXT(AB83,"0.0%")&amp;" · 상위 "&amp;TEXT(($B$3-_xlfn.RANK.AVG(AI83,$AI$6:$AI$105,1)+1)/$B$3*100,"0")&amp;"%",IF(A83="","",IF(AB83="","결측",TEXT(AB83,"0.0%"))))</f>
        <v/>
      </c>
      <c r="W83">
        <f>IF(AF83=1,TEXT(AC83,"0.0%")&amp;" · 상위 "&amp;TEXT(($B$3-_xlfn.RANK.AVG(AJ83,$AJ$6:$AJ$105,1)+1)/$B$3*100,"0")&amp;"%",IF(A83="","",IF(AC83="","결측",TEXT(AC83,"0.0%"))))</f>
        <v/>
      </c>
      <c r="X83">
        <f>IF(A83="","",IF(AR83="","통과","제외: "&amp;AR83))</f>
        <v/>
      </c>
      <c r="Y83" s="21">
        <f>IF(AND(ISNUMBER(G83),ISNUMBER(H83)),IF(G83&gt;0,H83/G83,""),"")</f>
        <v/>
      </c>
      <c r="Z83" s="22">
        <f>IF(AND(ISNUMBER(F83),ISNUMBER(G83)),IF(G83&gt;0,F83/G83,""),"")</f>
        <v/>
      </c>
      <c r="AA83" s="22">
        <f>IF(AND(ISNUMBER(J83),ISNUMBER(K83)),IF(AND(J83&gt;0,K83&gt;0),(J83/K83)^(1/3)-1,""),"")</f>
        <v/>
      </c>
      <c r="AB83" s="22">
        <f>IF(AND(ISNUMBER(I83),ISNUMBER(L83),ISNUMBER(M83),ISNUMBER(N83)),IF((L83+M83-N83)&gt;0,I83/(L83+M83-N83),""),"")</f>
        <v/>
      </c>
      <c r="AC83" s="22">
        <f>IF(AND(ISNUMBER(O83),ISNUMBER(P83)),IF(AND(O83&gt;0,P83&gt;0),P83/O83-1,""),"")</f>
        <v/>
      </c>
      <c r="AD83">
        <f>_xlfn.TEXTJOIN(", ",TRUE,IF(Z83="","ROE",""),IF(AA83="","매출성장률",""),IF(AB83="","이익수익률",""),IF(AC83="","12-1 수익률",""))</f>
        <v/>
      </c>
      <c r="AE83">
        <f>IF(A83="","",IF(AR83&lt;&gt;"","점수 없음(거름망)",IF(AD83="","채점","점수 없음(결측: "&amp;AD83&amp;")")))</f>
        <v/>
      </c>
      <c r="AF83">
        <f>IF(AE83="채점",1,"")</f>
        <v/>
      </c>
      <c r="AG83">
        <f>IF(AF83=1,Z83,"")</f>
        <v/>
      </c>
      <c r="AH83">
        <f>IF(AF83=1,AA83,"")</f>
        <v/>
      </c>
      <c r="AI83">
        <f>IF(AF83=1,AB83,"")</f>
        <v/>
      </c>
      <c r="AJ83">
        <f>IF(AF83=1,AC83,"")</f>
        <v/>
      </c>
      <c r="AK83">
        <f>IF(AF83=1,IF($B$3=1,50,(_xlfn.RANK.AVG(AG83,$AG$6:$AG$105,1)-1)/($B$3-1)*100),"")</f>
        <v/>
      </c>
      <c r="AL83">
        <f>IF(AF83=1,IF($B$3=1,50,(_xlfn.RANK.AVG(AH83,$AH$6:$AH$105,1)-1)/($B$3-1)*100),"")</f>
        <v/>
      </c>
      <c r="AM83">
        <f>IF(AF83=1,IF($B$3=1,50,(_xlfn.RANK.AVG(AI83,$AI$6:$AI$105,1)-1)/($B$3-1)*100),"")</f>
        <v/>
      </c>
      <c r="AN83">
        <f>IF(AF83=1,IF($B$3=1,50,(_xlfn.RANK.AVG(AJ83,$AJ$6:$AJ$105,1)-1)/($B$3-1)*100),"")</f>
        <v/>
      </c>
      <c r="AO83">
        <f>IF(AF83=1,ROUND(AVERAGE(AK83:AN83),6),"")</f>
        <v/>
      </c>
      <c r="AP83">
        <f>IF(AND(AF83=1,C83&lt;&gt;"Y"),R83,"")</f>
        <v/>
      </c>
      <c r="AQ83">
        <f>IF(AND(ISNUMBER(AP83),Q83="편입 후보"),AP83+(1000-ROW())/1000000,"")</f>
        <v/>
      </c>
      <c r="AR83">
        <f>IF(A83="","",_xlfn.TEXTJOIN(", ",TRUE,IF(D83="Y","금융·리츠",""),IF(NOT(ISNUMBER(I83)),"영업이익 없음",IF(I83&lt;=0,"영업적자","")),IF(OR(NOT(ISNUMBER(G83)),NOT(ISNUMBER(H83))),"부채비율 자료 없음",IF(G83&lt;=0,"자본잠식",IF(H83/G83&gt;'설정'!$B$8,"부채비율 초과",""))),IF(NOT(ISNUMBER(L83)),"시총 없음",IF(L83&lt;'설정'!$B$10,"시총 미달",""))))</f>
        <v/>
      </c>
    </row>
    <row r="84">
      <c r="A84" s="18" t="n"/>
      <c r="B84" s="19" t="n"/>
      <c r="C84" s="19" t="n"/>
      <c r="D84" s="19" t="n"/>
      <c r="E84" s="19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3" t="n"/>
      <c r="P84" s="23" t="n"/>
      <c r="Q84" s="7">
        <f>IF(A84="","",IF(C84="Y",IF(AF84=1,IF(AND(R84&lt;'설정'!$B$6,ISNUMBER($H$3)),IF(ROUND($H$3-R84,1)&gt;='설정'!$B$7,"교체 제안 → "&amp;$E$3&amp;" ("&amp;TEXT($H$3,"0.0")&amp;")","보유 유지"),"보유 유지"),"보유 · 점수 없음"),IF(AF84=1,IF(R84&gt;='설정'!$B$5,"편입 후보",""),"")))</f>
        <v/>
      </c>
      <c r="R84" s="15">
        <f>IF(AF84=1,ROUND(IF($B$3=1,50,(_xlfn.RANK.AVG(AO84,$AO$6:$AO$105,1)-1)/($B$3-1)*100),1),"")</f>
        <v/>
      </c>
      <c r="S84">
        <f>IF(A84="","",IF(AF84=1,_xlfn.TEXTJOIN(". ",TRUE,_xlfn.TEXTJOIN(", ",TRUE,IF(AK84&gt;='설정'!$B$20,"수익성 높음",""),IF(AL84&gt;='설정'!$B$20,"성장 빠름",""),IF(AM84&gt;='설정'!$B$20,"가격 쌈",""),IF(AN84&gt;='설정'!$B$20,"추세 좋음","")),_xlfn.TEXTJOIN(", ",TRUE,IF(AK84&lt;'설정'!$B$21,"수익성 낮음",""),IF(AL84&lt;'설정'!$B$21,"성장 느림",""),IF(AM84&lt;'설정'!$B$21,"가격 비쌈",""),IF(AN84&lt;'설정'!$B$21,"추세 약함","")),IF(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="","","보통: "&amp;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)),IF(X84="통과",AE84,X84)))</f>
        <v/>
      </c>
      <c r="T84">
        <f>IF(AF84=1,TEXT(Z84,"0.0%")&amp;" · 상위 "&amp;TEXT(($B$3-_xlfn.RANK.AVG(AG84,$AG$6:$AG$105,1)+1)/$B$3*100,"0")&amp;"%",IF(A84="","",IF(Z84="","결측",TEXT(Z84,"0.0%"))))</f>
        <v/>
      </c>
      <c r="U84">
        <f>IF(AF84=1,TEXT(AA84,"0.0%")&amp;" · 상위 "&amp;TEXT(($B$3-_xlfn.RANK.AVG(AH84,$AH$6:$AH$105,1)+1)/$B$3*100,"0")&amp;"%",IF(A84="","",IF(AA84="","결측",TEXT(AA84,"0.0%"))))</f>
        <v/>
      </c>
      <c r="V84">
        <f>IF(AF84=1,TEXT(AB84,"0.0%")&amp;" · 상위 "&amp;TEXT(($B$3-_xlfn.RANK.AVG(AI84,$AI$6:$AI$105,1)+1)/$B$3*100,"0")&amp;"%",IF(A84="","",IF(AB84="","결측",TEXT(AB84,"0.0%"))))</f>
        <v/>
      </c>
      <c r="W84">
        <f>IF(AF84=1,TEXT(AC84,"0.0%")&amp;" · 상위 "&amp;TEXT(($B$3-_xlfn.RANK.AVG(AJ84,$AJ$6:$AJ$105,1)+1)/$B$3*100,"0")&amp;"%",IF(A84="","",IF(AC84="","결측",TEXT(AC84,"0.0%"))))</f>
        <v/>
      </c>
      <c r="X84">
        <f>IF(A84="","",IF(AR84="","통과","제외: "&amp;AR84))</f>
        <v/>
      </c>
      <c r="Y84" s="21">
        <f>IF(AND(ISNUMBER(G84),ISNUMBER(H84)),IF(G84&gt;0,H84/G84,""),"")</f>
        <v/>
      </c>
      <c r="Z84" s="22">
        <f>IF(AND(ISNUMBER(F84),ISNUMBER(G84)),IF(G84&gt;0,F84/G84,""),"")</f>
        <v/>
      </c>
      <c r="AA84" s="22">
        <f>IF(AND(ISNUMBER(J84),ISNUMBER(K84)),IF(AND(J84&gt;0,K84&gt;0),(J84/K84)^(1/3)-1,""),"")</f>
        <v/>
      </c>
      <c r="AB84" s="22">
        <f>IF(AND(ISNUMBER(I84),ISNUMBER(L84),ISNUMBER(M84),ISNUMBER(N84)),IF((L84+M84-N84)&gt;0,I84/(L84+M84-N84),""),"")</f>
        <v/>
      </c>
      <c r="AC84" s="22">
        <f>IF(AND(ISNUMBER(O84),ISNUMBER(P84)),IF(AND(O84&gt;0,P84&gt;0),P84/O84-1,""),"")</f>
        <v/>
      </c>
      <c r="AD84">
        <f>_xlfn.TEXTJOIN(", ",TRUE,IF(Z84="","ROE",""),IF(AA84="","매출성장률",""),IF(AB84="","이익수익률",""),IF(AC84="","12-1 수익률",""))</f>
        <v/>
      </c>
      <c r="AE84">
        <f>IF(A84="","",IF(AR84&lt;&gt;"","점수 없음(거름망)",IF(AD84="","채점","점수 없음(결측: "&amp;AD84&amp;")")))</f>
        <v/>
      </c>
      <c r="AF84">
        <f>IF(AE84="채점",1,"")</f>
        <v/>
      </c>
      <c r="AG84">
        <f>IF(AF84=1,Z84,"")</f>
        <v/>
      </c>
      <c r="AH84">
        <f>IF(AF84=1,AA84,"")</f>
        <v/>
      </c>
      <c r="AI84">
        <f>IF(AF84=1,AB84,"")</f>
        <v/>
      </c>
      <c r="AJ84">
        <f>IF(AF84=1,AC84,"")</f>
        <v/>
      </c>
      <c r="AK84">
        <f>IF(AF84=1,IF($B$3=1,50,(_xlfn.RANK.AVG(AG84,$AG$6:$AG$105,1)-1)/($B$3-1)*100),"")</f>
        <v/>
      </c>
      <c r="AL84">
        <f>IF(AF84=1,IF($B$3=1,50,(_xlfn.RANK.AVG(AH84,$AH$6:$AH$105,1)-1)/($B$3-1)*100),"")</f>
        <v/>
      </c>
      <c r="AM84">
        <f>IF(AF84=1,IF($B$3=1,50,(_xlfn.RANK.AVG(AI84,$AI$6:$AI$105,1)-1)/($B$3-1)*100),"")</f>
        <v/>
      </c>
      <c r="AN84">
        <f>IF(AF84=1,IF($B$3=1,50,(_xlfn.RANK.AVG(AJ84,$AJ$6:$AJ$105,1)-1)/($B$3-1)*100),"")</f>
        <v/>
      </c>
      <c r="AO84">
        <f>IF(AF84=1,ROUND(AVERAGE(AK84:AN84),6),"")</f>
        <v/>
      </c>
      <c r="AP84">
        <f>IF(AND(AF84=1,C84&lt;&gt;"Y"),R84,"")</f>
        <v/>
      </c>
      <c r="AQ84">
        <f>IF(AND(ISNUMBER(AP84),Q84="편입 후보"),AP84+(1000-ROW())/1000000,"")</f>
        <v/>
      </c>
      <c r="AR84">
        <f>IF(A84="","",_xlfn.TEXTJOIN(", ",TRUE,IF(D84="Y","금융·리츠",""),IF(NOT(ISNUMBER(I84)),"영업이익 없음",IF(I84&lt;=0,"영업적자","")),IF(OR(NOT(ISNUMBER(G84)),NOT(ISNUMBER(H84))),"부채비율 자료 없음",IF(G84&lt;=0,"자본잠식",IF(H84/G84&gt;'설정'!$B$8,"부채비율 초과",""))),IF(NOT(ISNUMBER(L84)),"시총 없음",IF(L84&lt;'설정'!$B$10,"시총 미달",""))))</f>
        <v/>
      </c>
    </row>
    <row r="85">
      <c r="A85" s="18" t="n"/>
      <c r="B85" s="19" t="n"/>
      <c r="C85" s="19" t="n"/>
      <c r="D85" s="19" t="n"/>
      <c r="E85" s="19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3" t="n"/>
      <c r="P85" s="23" t="n"/>
      <c r="Q85" s="7">
        <f>IF(A85="","",IF(C85="Y",IF(AF85=1,IF(AND(R85&lt;'설정'!$B$6,ISNUMBER($H$3)),IF(ROUND($H$3-R85,1)&gt;='설정'!$B$7,"교체 제안 → "&amp;$E$3&amp;" ("&amp;TEXT($H$3,"0.0")&amp;")","보유 유지"),"보유 유지"),"보유 · 점수 없음"),IF(AF85=1,IF(R85&gt;='설정'!$B$5,"편입 후보",""),"")))</f>
        <v/>
      </c>
      <c r="R85" s="15">
        <f>IF(AF85=1,ROUND(IF($B$3=1,50,(_xlfn.RANK.AVG(AO85,$AO$6:$AO$105,1)-1)/($B$3-1)*100),1),"")</f>
        <v/>
      </c>
      <c r="S85">
        <f>IF(A85="","",IF(AF85=1,_xlfn.TEXTJOIN(". ",TRUE,_xlfn.TEXTJOIN(", ",TRUE,IF(AK85&gt;='설정'!$B$20,"수익성 높음",""),IF(AL85&gt;='설정'!$B$20,"성장 빠름",""),IF(AM85&gt;='설정'!$B$20,"가격 쌈",""),IF(AN85&gt;='설정'!$B$20,"추세 좋음","")),_xlfn.TEXTJOIN(", ",TRUE,IF(AK85&lt;'설정'!$B$21,"수익성 낮음",""),IF(AL85&lt;'설정'!$B$21,"성장 느림",""),IF(AM85&lt;'설정'!$B$21,"가격 비쌈",""),IF(AN85&lt;'설정'!$B$21,"추세 약함","")),IF(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="","","보통: "&amp;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)),IF(X85="통과",AE85,X85)))</f>
        <v/>
      </c>
      <c r="T85">
        <f>IF(AF85=1,TEXT(Z85,"0.0%")&amp;" · 상위 "&amp;TEXT(($B$3-_xlfn.RANK.AVG(AG85,$AG$6:$AG$105,1)+1)/$B$3*100,"0")&amp;"%",IF(A85="","",IF(Z85="","결측",TEXT(Z85,"0.0%"))))</f>
        <v/>
      </c>
      <c r="U85">
        <f>IF(AF85=1,TEXT(AA85,"0.0%")&amp;" · 상위 "&amp;TEXT(($B$3-_xlfn.RANK.AVG(AH85,$AH$6:$AH$105,1)+1)/$B$3*100,"0")&amp;"%",IF(A85="","",IF(AA85="","결측",TEXT(AA85,"0.0%"))))</f>
        <v/>
      </c>
      <c r="V85">
        <f>IF(AF85=1,TEXT(AB85,"0.0%")&amp;" · 상위 "&amp;TEXT(($B$3-_xlfn.RANK.AVG(AI85,$AI$6:$AI$105,1)+1)/$B$3*100,"0")&amp;"%",IF(A85="","",IF(AB85="","결측",TEXT(AB85,"0.0%"))))</f>
        <v/>
      </c>
      <c r="W85">
        <f>IF(AF85=1,TEXT(AC85,"0.0%")&amp;" · 상위 "&amp;TEXT(($B$3-_xlfn.RANK.AVG(AJ85,$AJ$6:$AJ$105,1)+1)/$B$3*100,"0")&amp;"%",IF(A85="","",IF(AC85="","결측",TEXT(AC85,"0.0%"))))</f>
        <v/>
      </c>
      <c r="X85">
        <f>IF(A85="","",IF(AR85="","통과","제외: "&amp;AR85))</f>
        <v/>
      </c>
      <c r="Y85" s="21">
        <f>IF(AND(ISNUMBER(G85),ISNUMBER(H85)),IF(G85&gt;0,H85/G85,""),"")</f>
        <v/>
      </c>
      <c r="Z85" s="22">
        <f>IF(AND(ISNUMBER(F85),ISNUMBER(G85)),IF(G85&gt;0,F85/G85,""),"")</f>
        <v/>
      </c>
      <c r="AA85" s="22">
        <f>IF(AND(ISNUMBER(J85),ISNUMBER(K85)),IF(AND(J85&gt;0,K85&gt;0),(J85/K85)^(1/3)-1,""),"")</f>
        <v/>
      </c>
      <c r="AB85" s="22">
        <f>IF(AND(ISNUMBER(I85),ISNUMBER(L85),ISNUMBER(M85),ISNUMBER(N85)),IF((L85+M85-N85)&gt;0,I85/(L85+M85-N85),""),"")</f>
        <v/>
      </c>
      <c r="AC85" s="22">
        <f>IF(AND(ISNUMBER(O85),ISNUMBER(P85)),IF(AND(O85&gt;0,P85&gt;0),P85/O85-1,""),"")</f>
        <v/>
      </c>
      <c r="AD85">
        <f>_xlfn.TEXTJOIN(", ",TRUE,IF(Z85="","ROE",""),IF(AA85="","매출성장률",""),IF(AB85="","이익수익률",""),IF(AC85="","12-1 수익률",""))</f>
        <v/>
      </c>
      <c r="AE85">
        <f>IF(A85="","",IF(AR85&lt;&gt;"","점수 없음(거름망)",IF(AD85="","채점","점수 없음(결측: "&amp;AD85&amp;")")))</f>
        <v/>
      </c>
      <c r="AF85">
        <f>IF(AE85="채점",1,"")</f>
        <v/>
      </c>
      <c r="AG85">
        <f>IF(AF85=1,Z85,"")</f>
        <v/>
      </c>
      <c r="AH85">
        <f>IF(AF85=1,AA85,"")</f>
        <v/>
      </c>
      <c r="AI85">
        <f>IF(AF85=1,AB85,"")</f>
        <v/>
      </c>
      <c r="AJ85">
        <f>IF(AF85=1,AC85,"")</f>
        <v/>
      </c>
      <c r="AK85">
        <f>IF(AF85=1,IF($B$3=1,50,(_xlfn.RANK.AVG(AG85,$AG$6:$AG$105,1)-1)/($B$3-1)*100),"")</f>
        <v/>
      </c>
      <c r="AL85">
        <f>IF(AF85=1,IF($B$3=1,50,(_xlfn.RANK.AVG(AH85,$AH$6:$AH$105,1)-1)/($B$3-1)*100),"")</f>
        <v/>
      </c>
      <c r="AM85">
        <f>IF(AF85=1,IF($B$3=1,50,(_xlfn.RANK.AVG(AI85,$AI$6:$AI$105,1)-1)/($B$3-1)*100),"")</f>
        <v/>
      </c>
      <c r="AN85">
        <f>IF(AF85=1,IF($B$3=1,50,(_xlfn.RANK.AVG(AJ85,$AJ$6:$AJ$105,1)-1)/($B$3-1)*100),"")</f>
        <v/>
      </c>
      <c r="AO85">
        <f>IF(AF85=1,ROUND(AVERAGE(AK85:AN85),6),"")</f>
        <v/>
      </c>
      <c r="AP85">
        <f>IF(AND(AF85=1,C85&lt;&gt;"Y"),R85,"")</f>
        <v/>
      </c>
      <c r="AQ85">
        <f>IF(AND(ISNUMBER(AP85),Q85="편입 후보"),AP85+(1000-ROW())/1000000,"")</f>
        <v/>
      </c>
      <c r="AR85">
        <f>IF(A85="","",_xlfn.TEXTJOIN(", ",TRUE,IF(D85="Y","금융·리츠",""),IF(NOT(ISNUMBER(I85)),"영업이익 없음",IF(I85&lt;=0,"영업적자","")),IF(OR(NOT(ISNUMBER(G85)),NOT(ISNUMBER(H85))),"부채비율 자료 없음",IF(G85&lt;=0,"자본잠식",IF(H85/G85&gt;'설정'!$B$8,"부채비율 초과",""))),IF(NOT(ISNUMBER(L85)),"시총 없음",IF(L85&lt;'설정'!$B$10,"시총 미달",""))))</f>
        <v/>
      </c>
    </row>
    <row r="86">
      <c r="A86" s="18" t="n"/>
      <c r="B86" s="19" t="n"/>
      <c r="C86" s="19" t="n"/>
      <c r="D86" s="19" t="n"/>
      <c r="E86" s="19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3" t="n"/>
      <c r="P86" s="23" t="n"/>
      <c r="Q86" s="7">
        <f>IF(A86="","",IF(C86="Y",IF(AF86=1,IF(AND(R86&lt;'설정'!$B$6,ISNUMBER($H$3)),IF(ROUND($H$3-R86,1)&gt;='설정'!$B$7,"교체 제안 → "&amp;$E$3&amp;" ("&amp;TEXT($H$3,"0.0")&amp;")","보유 유지"),"보유 유지"),"보유 · 점수 없음"),IF(AF86=1,IF(R86&gt;='설정'!$B$5,"편입 후보",""),"")))</f>
        <v/>
      </c>
      <c r="R86" s="15">
        <f>IF(AF86=1,ROUND(IF($B$3=1,50,(_xlfn.RANK.AVG(AO86,$AO$6:$AO$105,1)-1)/($B$3-1)*100),1),"")</f>
        <v/>
      </c>
      <c r="S86">
        <f>IF(A86="","",IF(AF86=1,_xlfn.TEXTJOIN(". ",TRUE,_xlfn.TEXTJOIN(", ",TRUE,IF(AK86&gt;='설정'!$B$20,"수익성 높음",""),IF(AL86&gt;='설정'!$B$20,"성장 빠름",""),IF(AM86&gt;='설정'!$B$20,"가격 쌈",""),IF(AN86&gt;='설정'!$B$20,"추세 좋음","")),_xlfn.TEXTJOIN(", ",TRUE,IF(AK86&lt;'설정'!$B$21,"수익성 낮음",""),IF(AL86&lt;'설정'!$B$21,"성장 느림",""),IF(AM86&lt;'설정'!$B$21,"가격 비쌈",""),IF(AN86&lt;'설정'!$B$21,"추세 약함","")),IF(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="","","보통: "&amp;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)),IF(X86="통과",AE86,X86)))</f>
        <v/>
      </c>
      <c r="T86">
        <f>IF(AF86=1,TEXT(Z86,"0.0%")&amp;" · 상위 "&amp;TEXT(($B$3-_xlfn.RANK.AVG(AG86,$AG$6:$AG$105,1)+1)/$B$3*100,"0")&amp;"%",IF(A86="","",IF(Z86="","결측",TEXT(Z86,"0.0%"))))</f>
        <v/>
      </c>
      <c r="U86">
        <f>IF(AF86=1,TEXT(AA86,"0.0%")&amp;" · 상위 "&amp;TEXT(($B$3-_xlfn.RANK.AVG(AH86,$AH$6:$AH$105,1)+1)/$B$3*100,"0")&amp;"%",IF(A86="","",IF(AA86="","결측",TEXT(AA86,"0.0%"))))</f>
        <v/>
      </c>
      <c r="V86">
        <f>IF(AF86=1,TEXT(AB86,"0.0%")&amp;" · 상위 "&amp;TEXT(($B$3-_xlfn.RANK.AVG(AI86,$AI$6:$AI$105,1)+1)/$B$3*100,"0")&amp;"%",IF(A86="","",IF(AB86="","결측",TEXT(AB86,"0.0%"))))</f>
        <v/>
      </c>
      <c r="W86">
        <f>IF(AF86=1,TEXT(AC86,"0.0%")&amp;" · 상위 "&amp;TEXT(($B$3-_xlfn.RANK.AVG(AJ86,$AJ$6:$AJ$105,1)+1)/$B$3*100,"0")&amp;"%",IF(A86="","",IF(AC86="","결측",TEXT(AC86,"0.0%"))))</f>
        <v/>
      </c>
      <c r="X86">
        <f>IF(A86="","",IF(AR86="","통과","제외: "&amp;AR86))</f>
        <v/>
      </c>
      <c r="Y86" s="21">
        <f>IF(AND(ISNUMBER(G86),ISNUMBER(H86)),IF(G86&gt;0,H86/G86,""),"")</f>
        <v/>
      </c>
      <c r="Z86" s="22">
        <f>IF(AND(ISNUMBER(F86),ISNUMBER(G86)),IF(G86&gt;0,F86/G86,""),"")</f>
        <v/>
      </c>
      <c r="AA86" s="22">
        <f>IF(AND(ISNUMBER(J86),ISNUMBER(K86)),IF(AND(J86&gt;0,K86&gt;0),(J86/K86)^(1/3)-1,""),"")</f>
        <v/>
      </c>
      <c r="AB86" s="22">
        <f>IF(AND(ISNUMBER(I86),ISNUMBER(L86),ISNUMBER(M86),ISNUMBER(N86)),IF((L86+M86-N86)&gt;0,I86/(L86+M86-N86),""),"")</f>
        <v/>
      </c>
      <c r="AC86" s="22">
        <f>IF(AND(ISNUMBER(O86),ISNUMBER(P86)),IF(AND(O86&gt;0,P86&gt;0),P86/O86-1,""),"")</f>
        <v/>
      </c>
      <c r="AD86">
        <f>_xlfn.TEXTJOIN(", ",TRUE,IF(Z86="","ROE",""),IF(AA86="","매출성장률",""),IF(AB86="","이익수익률",""),IF(AC86="","12-1 수익률",""))</f>
        <v/>
      </c>
      <c r="AE86">
        <f>IF(A86="","",IF(AR86&lt;&gt;"","점수 없음(거름망)",IF(AD86="","채점","점수 없음(결측: "&amp;AD86&amp;")")))</f>
        <v/>
      </c>
      <c r="AF86">
        <f>IF(AE86="채점",1,"")</f>
        <v/>
      </c>
      <c r="AG86">
        <f>IF(AF86=1,Z86,"")</f>
        <v/>
      </c>
      <c r="AH86">
        <f>IF(AF86=1,AA86,"")</f>
        <v/>
      </c>
      <c r="AI86">
        <f>IF(AF86=1,AB86,"")</f>
        <v/>
      </c>
      <c r="AJ86">
        <f>IF(AF86=1,AC86,"")</f>
        <v/>
      </c>
      <c r="AK86">
        <f>IF(AF86=1,IF($B$3=1,50,(_xlfn.RANK.AVG(AG86,$AG$6:$AG$105,1)-1)/($B$3-1)*100),"")</f>
        <v/>
      </c>
      <c r="AL86">
        <f>IF(AF86=1,IF($B$3=1,50,(_xlfn.RANK.AVG(AH86,$AH$6:$AH$105,1)-1)/($B$3-1)*100),"")</f>
        <v/>
      </c>
      <c r="AM86">
        <f>IF(AF86=1,IF($B$3=1,50,(_xlfn.RANK.AVG(AI86,$AI$6:$AI$105,1)-1)/($B$3-1)*100),"")</f>
        <v/>
      </c>
      <c r="AN86">
        <f>IF(AF86=1,IF($B$3=1,50,(_xlfn.RANK.AVG(AJ86,$AJ$6:$AJ$105,1)-1)/($B$3-1)*100),"")</f>
        <v/>
      </c>
      <c r="AO86">
        <f>IF(AF86=1,ROUND(AVERAGE(AK86:AN86),6),"")</f>
        <v/>
      </c>
      <c r="AP86">
        <f>IF(AND(AF86=1,C86&lt;&gt;"Y"),R86,"")</f>
        <v/>
      </c>
      <c r="AQ86">
        <f>IF(AND(ISNUMBER(AP86),Q86="편입 후보"),AP86+(1000-ROW())/1000000,"")</f>
        <v/>
      </c>
      <c r="AR86">
        <f>IF(A86="","",_xlfn.TEXTJOIN(", ",TRUE,IF(D86="Y","금융·리츠",""),IF(NOT(ISNUMBER(I86)),"영업이익 없음",IF(I86&lt;=0,"영업적자","")),IF(OR(NOT(ISNUMBER(G86)),NOT(ISNUMBER(H86))),"부채비율 자료 없음",IF(G86&lt;=0,"자본잠식",IF(H86/G86&gt;'설정'!$B$8,"부채비율 초과",""))),IF(NOT(ISNUMBER(L86)),"시총 없음",IF(L86&lt;'설정'!$B$10,"시총 미달",""))))</f>
        <v/>
      </c>
    </row>
    <row r="87">
      <c r="A87" s="18" t="n"/>
      <c r="B87" s="19" t="n"/>
      <c r="C87" s="19" t="n"/>
      <c r="D87" s="19" t="n"/>
      <c r="E87" s="19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3" t="n"/>
      <c r="P87" s="23" t="n"/>
      <c r="Q87" s="7">
        <f>IF(A87="","",IF(C87="Y",IF(AF87=1,IF(AND(R87&lt;'설정'!$B$6,ISNUMBER($H$3)),IF(ROUND($H$3-R87,1)&gt;='설정'!$B$7,"교체 제안 → "&amp;$E$3&amp;" ("&amp;TEXT($H$3,"0.0")&amp;")","보유 유지"),"보유 유지"),"보유 · 점수 없음"),IF(AF87=1,IF(R87&gt;='설정'!$B$5,"편입 후보",""),"")))</f>
        <v/>
      </c>
      <c r="R87" s="15">
        <f>IF(AF87=1,ROUND(IF($B$3=1,50,(_xlfn.RANK.AVG(AO87,$AO$6:$AO$105,1)-1)/($B$3-1)*100),1),"")</f>
        <v/>
      </c>
      <c r="S87">
        <f>IF(A87="","",IF(AF87=1,_xlfn.TEXTJOIN(". ",TRUE,_xlfn.TEXTJOIN(", ",TRUE,IF(AK87&gt;='설정'!$B$20,"수익성 높음",""),IF(AL87&gt;='설정'!$B$20,"성장 빠름",""),IF(AM87&gt;='설정'!$B$20,"가격 쌈",""),IF(AN87&gt;='설정'!$B$20,"추세 좋음","")),_xlfn.TEXTJOIN(", ",TRUE,IF(AK87&lt;'설정'!$B$21,"수익성 낮음",""),IF(AL87&lt;'설정'!$B$21,"성장 느림",""),IF(AM87&lt;'설정'!$B$21,"가격 비쌈",""),IF(AN87&lt;'설정'!$B$21,"추세 약함","")),IF(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="","","보통: "&amp;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)),IF(X87="통과",AE87,X87)))</f>
        <v/>
      </c>
      <c r="T87">
        <f>IF(AF87=1,TEXT(Z87,"0.0%")&amp;" · 상위 "&amp;TEXT(($B$3-_xlfn.RANK.AVG(AG87,$AG$6:$AG$105,1)+1)/$B$3*100,"0")&amp;"%",IF(A87="","",IF(Z87="","결측",TEXT(Z87,"0.0%"))))</f>
        <v/>
      </c>
      <c r="U87">
        <f>IF(AF87=1,TEXT(AA87,"0.0%")&amp;" · 상위 "&amp;TEXT(($B$3-_xlfn.RANK.AVG(AH87,$AH$6:$AH$105,1)+1)/$B$3*100,"0")&amp;"%",IF(A87="","",IF(AA87="","결측",TEXT(AA87,"0.0%"))))</f>
        <v/>
      </c>
      <c r="V87">
        <f>IF(AF87=1,TEXT(AB87,"0.0%")&amp;" · 상위 "&amp;TEXT(($B$3-_xlfn.RANK.AVG(AI87,$AI$6:$AI$105,1)+1)/$B$3*100,"0")&amp;"%",IF(A87="","",IF(AB87="","결측",TEXT(AB87,"0.0%"))))</f>
        <v/>
      </c>
      <c r="W87">
        <f>IF(AF87=1,TEXT(AC87,"0.0%")&amp;" · 상위 "&amp;TEXT(($B$3-_xlfn.RANK.AVG(AJ87,$AJ$6:$AJ$105,1)+1)/$B$3*100,"0")&amp;"%",IF(A87="","",IF(AC87="","결측",TEXT(AC87,"0.0%"))))</f>
        <v/>
      </c>
      <c r="X87">
        <f>IF(A87="","",IF(AR87="","통과","제외: "&amp;AR87))</f>
        <v/>
      </c>
      <c r="Y87" s="21">
        <f>IF(AND(ISNUMBER(G87),ISNUMBER(H87)),IF(G87&gt;0,H87/G87,""),"")</f>
        <v/>
      </c>
      <c r="Z87" s="22">
        <f>IF(AND(ISNUMBER(F87),ISNUMBER(G87)),IF(G87&gt;0,F87/G87,""),"")</f>
        <v/>
      </c>
      <c r="AA87" s="22">
        <f>IF(AND(ISNUMBER(J87),ISNUMBER(K87)),IF(AND(J87&gt;0,K87&gt;0),(J87/K87)^(1/3)-1,""),"")</f>
        <v/>
      </c>
      <c r="AB87" s="22">
        <f>IF(AND(ISNUMBER(I87),ISNUMBER(L87),ISNUMBER(M87),ISNUMBER(N87)),IF((L87+M87-N87)&gt;0,I87/(L87+M87-N87),""),"")</f>
        <v/>
      </c>
      <c r="AC87" s="22">
        <f>IF(AND(ISNUMBER(O87),ISNUMBER(P87)),IF(AND(O87&gt;0,P87&gt;0),P87/O87-1,""),"")</f>
        <v/>
      </c>
      <c r="AD87">
        <f>_xlfn.TEXTJOIN(", ",TRUE,IF(Z87="","ROE",""),IF(AA87="","매출성장률",""),IF(AB87="","이익수익률",""),IF(AC87="","12-1 수익률",""))</f>
        <v/>
      </c>
      <c r="AE87">
        <f>IF(A87="","",IF(AR87&lt;&gt;"","점수 없음(거름망)",IF(AD87="","채점","점수 없음(결측: "&amp;AD87&amp;")")))</f>
        <v/>
      </c>
      <c r="AF87">
        <f>IF(AE87="채점",1,"")</f>
        <v/>
      </c>
      <c r="AG87">
        <f>IF(AF87=1,Z87,"")</f>
        <v/>
      </c>
      <c r="AH87">
        <f>IF(AF87=1,AA87,"")</f>
        <v/>
      </c>
      <c r="AI87">
        <f>IF(AF87=1,AB87,"")</f>
        <v/>
      </c>
      <c r="AJ87">
        <f>IF(AF87=1,AC87,"")</f>
        <v/>
      </c>
      <c r="AK87">
        <f>IF(AF87=1,IF($B$3=1,50,(_xlfn.RANK.AVG(AG87,$AG$6:$AG$105,1)-1)/($B$3-1)*100),"")</f>
        <v/>
      </c>
      <c r="AL87">
        <f>IF(AF87=1,IF($B$3=1,50,(_xlfn.RANK.AVG(AH87,$AH$6:$AH$105,1)-1)/($B$3-1)*100),"")</f>
        <v/>
      </c>
      <c r="AM87">
        <f>IF(AF87=1,IF($B$3=1,50,(_xlfn.RANK.AVG(AI87,$AI$6:$AI$105,1)-1)/($B$3-1)*100),"")</f>
        <v/>
      </c>
      <c r="AN87">
        <f>IF(AF87=1,IF($B$3=1,50,(_xlfn.RANK.AVG(AJ87,$AJ$6:$AJ$105,1)-1)/($B$3-1)*100),"")</f>
        <v/>
      </c>
      <c r="AO87">
        <f>IF(AF87=1,ROUND(AVERAGE(AK87:AN87),6),"")</f>
        <v/>
      </c>
      <c r="AP87">
        <f>IF(AND(AF87=1,C87&lt;&gt;"Y"),R87,"")</f>
        <v/>
      </c>
      <c r="AQ87">
        <f>IF(AND(ISNUMBER(AP87),Q87="편입 후보"),AP87+(1000-ROW())/1000000,"")</f>
        <v/>
      </c>
      <c r="AR87">
        <f>IF(A87="","",_xlfn.TEXTJOIN(", ",TRUE,IF(D87="Y","금융·리츠",""),IF(NOT(ISNUMBER(I87)),"영업이익 없음",IF(I87&lt;=0,"영업적자","")),IF(OR(NOT(ISNUMBER(G87)),NOT(ISNUMBER(H87))),"부채비율 자료 없음",IF(G87&lt;=0,"자본잠식",IF(H87/G87&gt;'설정'!$B$8,"부채비율 초과",""))),IF(NOT(ISNUMBER(L87)),"시총 없음",IF(L87&lt;'설정'!$B$10,"시총 미달",""))))</f>
        <v/>
      </c>
    </row>
    <row r="88">
      <c r="A88" s="18" t="n"/>
      <c r="B88" s="19" t="n"/>
      <c r="C88" s="19" t="n"/>
      <c r="D88" s="19" t="n"/>
      <c r="E88" s="19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3" t="n"/>
      <c r="P88" s="23" t="n"/>
      <c r="Q88" s="7">
        <f>IF(A88="","",IF(C88="Y",IF(AF88=1,IF(AND(R88&lt;'설정'!$B$6,ISNUMBER($H$3)),IF(ROUND($H$3-R88,1)&gt;='설정'!$B$7,"교체 제안 → "&amp;$E$3&amp;" ("&amp;TEXT($H$3,"0.0")&amp;")","보유 유지"),"보유 유지"),"보유 · 점수 없음"),IF(AF88=1,IF(R88&gt;='설정'!$B$5,"편입 후보",""),"")))</f>
        <v/>
      </c>
      <c r="R88" s="15">
        <f>IF(AF88=1,ROUND(IF($B$3=1,50,(_xlfn.RANK.AVG(AO88,$AO$6:$AO$105,1)-1)/($B$3-1)*100),1),"")</f>
        <v/>
      </c>
      <c r="S88">
        <f>IF(A88="","",IF(AF88=1,_xlfn.TEXTJOIN(". ",TRUE,_xlfn.TEXTJOIN(", ",TRUE,IF(AK88&gt;='설정'!$B$20,"수익성 높음",""),IF(AL88&gt;='설정'!$B$20,"성장 빠름",""),IF(AM88&gt;='설정'!$B$20,"가격 쌈",""),IF(AN88&gt;='설정'!$B$20,"추세 좋음","")),_xlfn.TEXTJOIN(", ",TRUE,IF(AK88&lt;'설정'!$B$21,"수익성 낮음",""),IF(AL88&lt;'설정'!$B$21,"성장 느림",""),IF(AM88&lt;'설정'!$B$21,"가격 비쌈",""),IF(AN88&lt;'설정'!$B$21,"추세 약함","")),IF(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="","","보통: "&amp;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)),IF(X88="통과",AE88,X88)))</f>
        <v/>
      </c>
      <c r="T88">
        <f>IF(AF88=1,TEXT(Z88,"0.0%")&amp;" · 상위 "&amp;TEXT(($B$3-_xlfn.RANK.AVG(AG88,$AG$6:$AG$105,1)+1)/$B$3*100,"0")&amp;"%",IF(A88="","",IF(Z88="","결측",TEXT(Z88,"0.0%"))))</f>
        <v/>
      </c>
      <c r="U88">
        <f>IF(AF88=1,TEXT(AA88,"0.0%")&amp;" · 상위 "&amp;TEXT(($B$3-_xlfn.RANK.AVG(AH88,$AH$6:$AH$105,1)+1)/$B$3*100,"0")&amp;"%",IF(A88="","",IF(AA88="","결측",TEXT(AA88,"0.0%"))))</f>
        <v/>
      </c>
      <c r="V88">
        <f>IF(AF88=1,TEXT(AB88,"0.0%")&amp;" · 상위 "&amp;TEXT(($B$3-_xlfn.RANK.AVG(AI88,$AI$6:$AI$105,1)+1)/$B$3*100,"0")&amp;"%",IF(A88="","",IF(AB88="","결측",TEXT(AB88,"0.0%"))))</f>
        <v/>
      </c>
      <c r="W88">
        <f>IF(AF88=1,TEXT(AC88,"0.0%")&amp;" · 상위 "&amp;TEXT(($B$3-_xlfn.RANK.AVG(AJ88,$AJ$6:$AJ$105,1)+1)/$B$3*100,"0")&amp;"%",IF(A88="","",IF(AC88="","결측",TEXT(AC88,"0.0%"))))</f>
        <v/>
      </c>
      <c r="X88">
        <f>IF(A88="","",IF(AR88="","통과","제외: "&amp;AR88))</f>
        <v/>
      </c>
      <c r="Y88" s="21">
        <f>IF(AND(ISNUMBER(G88),ISNUMBER(H88)),IF(G88&gt;0,H88/G88,""),"")</f>
        <v/>
      </c>
      <c r="Z88" s="22">
        <f>IF(AND(ISNUMBER(F88),ISNUMBER(G88)),IF(G88&gt;0,F88/G88,""),"")</f>
        <v/>
      </c>
      <c r="AA88" s="22">
        <f>IF(AND(ISNUMBER(J88),ISNUMBER(K88)),IF(AND(J88&gt;0,K88&gt;0),(J88/K88)^(1/3)-1,""),"")</f>
        <v/>
      </c>
      <c r="AB88" s="22">
        <f>IF(AND(ISNUMBER(I88),ISNUMBER(L88),ISNUMBER(M88),ISNUMBER(N88)),IF((L88+M88-N88)&gt;0,I88/(L88+M88-N88),""),"")</f>
        <v/>
      </c>
      <c r="AC88" s="22">
        <f>IF(AND(ISNUMBER(O88),ISNUMBER(P88)),IF(AND(O88&gt;0,P88&gt;0),P88/O88-1,""),"")</f>
        <v/>
      </c>
      <c r="AD88">
        <f>_xlfn.TEXTJOIN(", ",TRUE,IF(Z88="","ROE",""),IF(AA88="","매출성장률",""),IF(AB88="","이익수익률",""),IF(AC88="","12-1 수익률",""))</f>
        <v/>
      </c>
      <c r="AE88">
        <f>IF(A88="","",IF(AR88&lt;&gt;"","점수 없음(거름망)",IF(AD88="","채점","점수 없음(결측: "&amp;AD88&amp;")")))</f>
        <v/>
      </c>
      <c r="AF88">
        <f>IF(AE88="채점",1,"")</f>
        <v/>
      </c>
      <c r="AG88">
        <f>IF(AF88=1,Z88,"")</f>
        <v/>
      </c>
      <c r="AH88">
        <f>IF(AF88=1,AA88,"")</f>
        <v/>
      </c>
      <c r="AI88">
        <f>IF(AF88=1,AB88,"")</f>
        <v/>
      </c>
      <c r="AJ88">
        <f>IF(AF88=1,AC88,"")</f>
        <v/>
      </c>
      <c r="AK88">
        <f>IF(AF88=1,IF($B$3=1,50,(_xlfn.RANK.AVG(AG88,$AG$6:$AG$105,1)-1)/($B$3-1)*100),"")</f>
        <v/>
      </c>
      <c r="AL88">
        <f>IF(AF88=1,IF($B$3=1,50,(_xlfn.RANK.AVG(AH88,$AH$6:$AH$105,1)-1)/($B$3-1)*100),"")</f>
        <v/>
      </c>
      <c r="AM88">
        <f>IF(AF88=1,IF($B$3=1,50,(_xlfn.RANK.AVG(AI88,$AI$6:$AI$105,1)-1)/($B$3-1)*100),"")</f>
        <v/>
      </c>
      <c r="AN88">
        <f>IF(AF88=1,IF($B$3=1,50,(_xlfn.RANK.AVG(AJ88,$AJ$6:$AJ$105,1)-1)/($B$3-1)*100),"")</f>
        <v/>
      </c>
      <c r="AO88">
        <f>IF(AF88=1,ROUND(AVERAGE(AK88:AN88),6),"")</f>
        <v/>
      </c>
      <c r="AP88">
        <f>IF(AND(AF88=1,C88&lt;&gt;"Y"),R88,"")</f>
        <v/>
      </c>
      <c r="AQ88">
        <f>IF(AND(ISNUMBER(AP88),Q88="편입 후보"),AP88+(1000-ROW())/1000000,"")</f>
        <v/>
      </c>
      <c r="AR88">
        <f>IF(A88="","",_xlfn.TEXTJOIN(", ",TRUE,IF(D88="Y","금융·리츠",""),IF(NOT(ISNUMBER(I88)),"영업이익 없음",IF(I88&lt;=0,"영업적자","")),IF(OR(NOT(ISNUMBER(G88)),NOT(ISNUMBER(H88))),"부채비율 자료 없음",IF(G88&lt;=0,"자본잠식",IF(H88/G88&gt;'설정'!$B$8,"부채비율 초과",""))),IF(NOT(ISNUMBER(L88)),"시총 없음",IF(L88&lt;'설정'!$B$10,"시총 미달",""))))</f>
        <v/>
      </c>
    </row>
    <row r="89">
      <c r="A89" s="18" t="n"/>
      <c r="B89" s="19" t="n"/>
      <c r="C89" s="19" t="n"/>
      <c r="D89" s="19" t="n"/>
      <c r="E89" s="19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3" t="n"/>
      <c r="P89" s="23" t="n"/>
      <c r="Q89" s="7">
        <f>IF(A89="","",IF(C89="Y",IF(AF89=1,IF(AND(R89&lt;'설정'!$B$6,ISNUMBER($H$3)),IF(ROUND($H$3-R89,1)&gt;='설정'!$B$7,"교체 제안 → "&amp;$E$3&amp;" ("&amp;TEXT($H$3,"0.0")&amp;")","보유 유지"),"보유 유지"),"보유 · 점수 없음"),IF(AF89=1,IF(R89&gt;='설정'!$B$5,"편입 후보",""),"")))</f>
        <v/>
      </c>
      <c r="R89" s="15">
        <f>IF(AF89=1,ROUND(IF($B$3=1,50,(_xlfn.RANK.AVG(AO89,$AO$6:$AO$105,1)-1)/($B$3-1)*100),1),"")</f>
        <v/>
      </c>
      <c r="S89">
        <f>IF(A89="","",IF(AF89=1,_xlfn.TEXTJOIN(". ",TRUE,_xlfn.TEXTJOIN(", ",TRUE,IF(AK89&gt;='설정'!$B$20,"수익성 높음",""),IF(AL89&gt;='설정'!$B$20,"성장 빠름",""),IF(AM89&gt;='설정'!$B$20,"가격 쌈",""),IF(AN89&gt;='설정'!$B$20,"추세 좋음","")),_xlfn.TEXTJOIN(", ",TRUE,IF(AK89&lt;'설정'!$B$21,"수익성 낮음",""),IF(AL89&lt;'설정'!$B$21,"성장 느림",""),IF(AM89&lt;'설정'!$B$21,"가격 비쌈",""),IF(AN89&lt;'설정'!$B$21,"추세 약함","")),IF(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="","","보통: "&amp;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)),IF(X89="통과",AE89,X89)))</f>
        <v/>
      </c>
      <c r="T89">
        <f>IF(AF89=1,TEXT(Z89,"0.0%")&amp;" · 상위 "&amp;TEXT(($B$3-_xlfn.RANK.AVG(AG89,$AG$6:$AG$105,1)+1)/$B$3*100,"0")&amp;"%",IF(A89="","",IF(Z89="","결측",TEXT(Z89,"0.0%"))))</f>
        <v/>
      </c>
      <c r="U89">
        <f>IF(AF89=1,TEXT(AA89,"0.0%")&amp;" · 상위 "&amp;TEXT(($B$3-_xlfn.RANK.AVG(AH89,$AH$6:$AH$105,1)+1)/$B$3*100,"0")&amp;"%",IF(A89="","",IF(AA89="","결측",TEXT(AA89,"0.0%"))))</f>
        <v/>
      </c>
      <c r="V89">
        <f>IF(AF89=1,TEXT(AB89,"0.0%")&amp;" · 상위 "&amp;TEXT(($B$3-_xlfn.RANK.AVG(AI89,$AI$6:$AI$105,1)+1)/$B$3*100,"0")&amp;"%",IF(A89="","",IF(AB89="","결측",TEXT(AB89,"0.0%"))))</f>
        <v/>
      </c>
      <c r="W89">
        <f>IF(AF89=1,TEXT(AC89,"0.0%")&amp;" · 상위 "&amp;TEXT(($B$3-_xlfn.RANK.AVG(AJ89,$AJ$6:$AJ$105,1)+1)/$B$3*100,"0")&amp;"%",IF(A89="","",IF(AC89="","결측",TEXT(AC89,"0.0%"))))</f>
        <v/>
      </c>
      <c r="X89">
        <f>IF(A89="","",IF(AR89="","통과","제외: "&amp;AR89))</f>
        <v/>
      </c>
      <c r="Y89" s="21">
        <f>IF(AND(ISNUMBER(G89),ISNUMBER(H89)),IF(G89&gt;0,H89/G89,""),"")</f>
        <v/>
      </c>
      <c r="Z89" s="22">
        <f>IF(AND(ISNUMBER(F89),ISNUMBER(G89)),IF(G89&gt;0,F89/G89,""),"")</f>
        <v/>
      </c>
      <c r="AA89" s="22">
        <f>IF(AND(ISNUMBER(J89),ISNUMBER(K89)),IF(AND(J89&gt;0,K89&gt;0),(J89/K89)^(1/3)-1,""),"")</f>
        <v/>
      </c>
      <c r="AB89" s="22">
        <f>IF(AND(ISNUMBER(I89),ISNUMBER(L89),ISNUMBER(M89),ISNUMBER(N89)),IF((L89+M89-N89)&gt;0,I89/(L89+M89-N89),""),"")</f>
        <v/>
      </c>
      <c r="AC89" s="22">
        <f>IF(AND(ISNUMBER(O89),ISNUMBER(P89)),IF(AND(O89&gt;0,P89&gt;0),P89/O89-1,""),"")</f>
        <v/>
      </c>
      <c r="AD89">
        <f>_xlfn.TEXTJOIN(", ",TRUE,IF(Z89="","ROE",""),IF(AA89="","매출성장률",""),IF(AB89="","이익수익률",""),IF(AC89="","12-1 수익률",""))</f>
        <v/>
      </c>
      <c r="AE89">
        <f>IF(A89="","",IF(AR89&lt;&gt;"","점수 없음(거름망)",IF(AD89="","채점","점수 없음(결측: "&amp;AD89&amp;")")))</f>
        <v/>
      </c>
      <c r="AF89">
        <f>IF(AE89="채점",1,"")</f>
        <v/>
      </c>
      <c r="AG89">
        <f>IF(AF89=1,Z89,"")</f>
        <v/>
      </c>
      <c r="AH89">
        <f>IF(AF89=1,AA89,"")</f>
        <v/>
      </c>
      <c r="AI89">
        <f>IF(AF89=1,AB89,"")</f>
        <v/>
      </c>
      <c r="AJ89">
        <f>IF(AF89=1,AC89,"")</f>
        <v/>
      </c>
      <c r="AK89">
        <f>IF(AF89=1,IF($B$3=1,50,(_xlfn.RANK.AVG(AG89,$AG$6:$AG$105,1)-1)/($B$3-1)*100),"")</f>
        <v/>
      </c>
      <c r="AL89">
        <f>IF(AF89=1,IF($B$3=1,50,(_xlfn.RANK.AVG(AH89,$AH$6:$AH$105,1)-1)/($B$3-1)*100),"")</f>
        <v/>
      </c>
      <c r="AM89">
        <f>IF(AF89=1,IF($B$3=1,50,(_xlfn.RANK.AVG(AI89,$AI$6:$AI$105,1)-1)/($B$3-1)*100),"")</f>
        <v/>
      </c>
      <c r="AN89">
        <f>IF(AF89=1,IF($B$3=1,50,(_xlfn.RANK.AVG(AJ89,$AJ$6:$AJ$105,1)-1)/($B$3-1)*100),"")</f>
        <v/>
      </c>
      <c r="AO89">
        <f>IF(AF89=1,ROUND(AVERAGE(AK89:AN89),6),"")</f>
        <v/>
      </c>
      <c r="AP89">
        <f>IF(AND(AF89=1,C89&lt;&gt;"Y"),R89,"")</f>
        <v/>
      </c>
      <c r="AQ89">
        <f>IF(AND(ISNUMBER(AP89),Q89="편입 후보"),AP89+(1000-ROW())/1000000,"")</f>
        <v/>
      </c>
      <c r="AR89">
        <f>IF(A89="","",_xlfn.TEXTJOIN(", ",TRUE,IF(D89="Y","금융·리츠",""),IF(NOT(ISNUMBER(I89)),"영업이익 없음",IF(I89&lt;=0,"영업적자","")),IF(OR(NOT(ISNUMBER(G89)),NOT(ISNUMBER(H89))),"부채비율 자료 없음",IF(G89&lt;=0,"자본잠식",IF(H89/G89&gt;'설정'!$B$8,"부채비율 초과",""))),IF(NOT(ISNUMBER(L89)),"시총 없음",IF(L89&lt;'설정'!$B$10,"시총 미달",""))))</f>
        <v/>
      </c>
    </row>
    <row r="90">
      <c r="A90" s="18" t="n"/>
      <c r="B90" s="19" t="n"/>
      <c r="C90" s="19" t="n"/>
      <c r="D90" s="19" t="n"/>
      <c r="E90" s="19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3" t="n"/>
      <c r="P90" s="23" t="n"/>
      <c r="Q90" s="7">
        <f>IF(A90="","",IF(C90="Y",IF(AF90=1,IF(AND(R90&lt;'설정'!$B$6,ISNUMBER($H$3)),IF(ROUND($H$3-R90,1)&gt;='설정'!$B$7,"교체 제안 → "&amp;$E$3&amp;" ("&amp;TEXT($H$3,"0.0")&amp;")","보유 유지"),"보유 유지"),"보유 · 점수 없음"),IF(AF90=1,IF(R90&gt;='설정'!$B$5,"편입 후보",""),"")))</f>
        <v/>
      </c>
      <c r="R90" s="15">
        <f>IF(AF90=1,ROUND(IF($B$3=1,50,(_xlfn.RANK.AVG(AO90,$AO$6:$AO$105,1)-1)/($B$3-1)*100),1),"")</f>
        <v/>
      </c>
      <c r="S90">
        <f>IF(A90="","",IF(AF90=1,_xlfn.TEXTJOIN(". ",TRUE,_xlfn.TEXTJOIN(", ",TRUE,IF(AK90&gt;='설정'!$B$20,"수익성 높음",""),IF(AL90&gt;='설정'!$B$20,"성장 빠름",""),IF(AM90&gt;='설정'!$B$20,"가격 쌈",""),IF(AN90&gt;='설정'!$B$20,"추세 좋음","")),_xlfn.TEXTJOIN(", ",TRUE,IF(AK90&lt;'설정'!$B$21,"수익성 낮음",""),IF(AL90&lt;'설정'!$B$21,"성장 느림",""),IF(AM90&lt;'설정'!$B$21,"가격 비쌈",""),IF(AN90&lt;'설정'!$B$21,"추세 약함","")),IF(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="","","보통: "&amp;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)),IF(X90="통과",AE90,X90)))</f>
        <v/>
      </c>
      <c r="T90">
        <f>IF(AF90=1,TEXT(Z90,"0.0%")&amp;" · 상위 "&amp;TEXT(($B$3-_xlfn.RANK.AVG(AG90,$AG$6:$AG$105,1)+1)/$B$3*100,"0")&amp;"%",IF(A90="","",IF(Z90="","결측",TEXT(Z90,"0.0%"))))</f>
        <v/>
      </c>
      <c r="U90">
        <f>IF(AF90=1,TEXT(AA90,"0.0%")&amp;" · 상위 "&amp;TEXT(($B$3-_xlfn.RANK.AVG(AH90,$AH$6:$AH$105,1)+1)/$B$3*100,"0")&amp;"%",IF(A90="","",IF(AA90="","결측",TEXT(AA90,"0.0%"))))</f>
        <v/>
      </c>
      <c r="V90">
        <f>IF(AF90=1,TEXT(AB90,"0.0%")&amp;" · 상위 "&amp;TEXT(($B$3-_xlfn.RANK.AVG(AI90,$AI$6:$AI$105,1)+1)/$B$3*100,"0")&amp;"%",IF(A90="","",IF(AB90="","결측",TEXT(AB90,"0.0%"))))</f>
        <v/>
      </c>
      <c r="W90">
        <f>IF(AF90=1,TEXT(AC90,"0.0%")&amp;" · 상위 "&amp;TEXT(($B$3-_xlfn.RANK.AVG(AJ90,$AJ$6:$AJ$105,1)+1)/$B$3*100,"0")&amp;"%",IF(A90="","",IF(AC90="","결측",TEXT(AC90,"0.0%"))))</f>
        <v/>
      </c>
      <c r="X90">
        <f>IF(A90="","",IF(AR90="","통과","제외: "&amp;AR90))</f>
        <v/>
      </c>
      <c r="Y90" s="21">
        <f>IF(AND(ISNUMBER(G90),ISNUMBER(H90)),IF(G90&gt;0,H90/G90,""),"")</f>
        <v/>
      </c>
      <c r="Z90" s="22">
        <f>IF(AND(ISNUMBER(F90),ISNUMBER(G90)),IF(G90&gt;0,F90/G90,""),"")</f>
        <v/>
      </c>
      <c r="AA90" s="22">
        <f>IF(AND(ISNUMBER(J90),ISNUMBER(K90)),IF(AND(J90&gt;0,K90&gt;0),(J90/K90)^(1/3)-1,""),"")</f>
        <v/>
      </c>
      <c r="AB90" s="22">
        <f>IF(AND(ISNUMBER(I90),ISNUMBER(L90),ISNUMBER(M90),ISNUMBER(N90)),IF((L90+M90-N90)&gt;0,I90/(L90+M90-N90),""),"")</f>
        <v/>
      </c>
      <c r="AC90" s="22">
        <f>IF(AND(ISNUMBER(O90),ISNUMBER(P90)),IF(AND(O90&gt;0,P90&gt;0),P90/O90-1,""),"")</f>
        <v/>
      </c>
      <c r="AD90">
        <f>_xlfn.TEXTJOIN(", ",TRUE,IF(Z90="","ROE",""),IF(AA90="","매출성장률",""),IF(AB90="","이익수익률",""),IF(AC90="","12-1 수익률",""))</f>
        <v/>
      </c>
      <c r="AE90">
        <f>IF(A90="","",IF(AR90&lt;&gt;"","점수 없음(거름망)",IF(AD90="","채점","점수 없음(결측: "&amp;AD90&amp;")")))</f>
        <v/>
      </c>
      <c r="AF90">
        <f>IF(AE90="채점",1,"")</f>
        <v/>
      </c>
      <c r="AG90">
        <f>IF(AF90=1,Z90,"")</f>
        <v/>
      </c>
      <c r="AH90">
        <f>IF(AF90=1,AA90,"")</f>
        <v/>
      </c>
      <c r="AI90">
        <f>IF(AF90=1,AB90,"")</f>
        <v/>
      </c>
      <c r="AJ90">
        <f>IF(AF90=1,AC90,"")</f>
        <v/>
      </c>
      <c r="AK90">
        <f>IF(AF90=1,IF($B$3=1,50,(_xlfn.RANK.AVG(AG90,$AG$6:$AG$105,1)-1)/($B$3-1)*100),"")</f>
        <v/>
      </c>
      <c r="AL90">
        <f>IF(AF90=1,IF($B$3=1,50,(_xlfn.RANK.AVG(AH90,$AH$6:$AH$105,1)-1)/($B$3-1)*100),"")</f>
        <v/>
      </c>
      <c r="AM90">
        <f>IF(AF90=1,IF($B$3=1,50,(_xlfn.RANK.AVG(AI90,$AI$6:$AI$105,1)-1)/($B$3-1)*100),"")</f>
        <v/>
      </c>
      <c r="AN90">
        <f>IF(AF90=1,IF($B$3=1,50,(_xlfn.RANK.AVG(AJ90,$AJ$6:$AJ$105,1)-1)/($B$3-1)*100),"")</f>
        <v/>
      </c>
      <c r="AO90">
        <f>IF(AF90=1,ROUND(AVERAGE(AK90:AN90),6),"")</f>
        <v/>
      </c>
      <c r="AP90">
        <f>IF(AND(AF90=1,C90&lt;&gt;"Y"),R90,"")</f>
        <v/>
      </c>
      <c r="AQ90">
        <f>IF(AND(ISNUMBER(AP90),Q90="편입 후보"),AP90+(1000-ROW())/1000000,"")</f>
        <v/>
      </c>
      <c r="AR90">
        <f>IF(A90="","",_xlfn.TEXTJOIN(", ",TRUE,IF(D90="Y","금융·리츠",""),IF(NOT(ISNUMBER(I90)),"영업이익 없음",IF(I90&lt;=0,"영업적자","")),IF(OR(NOT(ISNUMBER(G90)),NOT(ISNUMBER(H90))),"부채비율 자료 없음",IF(G90&lt;=0,"자본잠식",IF(H90/G90&gt;'설정'!$B$8,"부채비율 초과",""))),IF(NOT(ISNUMBER(L90)),"시총 없음",IF(L90&lt;'설정'!$B$10,"시총 미달",""))))</f>
        <v/>
      </c>
    </row>
    <row r="91">
      <c r="A91" s="18" t="n"/>
      <c r="B91" s="19" t="n"/>
      <c r="C91" s="19" t="n"/>
      <c r="D91" s="19" t="n"/>
      <c r="E91" s="19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3" t="n"/>
      <c r="P91" s="23" t="n"/>
      <c r="Q91" s="7">
        <f>IF(A91="","",IF(C91="Y",IF(AF91=1,IF(AND(R91&lt;'설정'!$B$6,ISNUMBER($H$3)),IF(ROUND($H$3-R91,1)&gt;='설정'!$B$7,"교체 제안 → "&amp;$E$3&amp;" ("&amp;TEXT($H$3,"0.0")&amp;")","보유 유지"),"보유 유지"),"보유 · 점수 없음"),IF(AF91=1,IF(R91&gt;='설정'!$B$5,"편입 후보",""),"")))</f>
        <v/>
      </c>
      <c r="R91" s="15">
        <f>IF(AF91=1,ROUND(IF($B$3=1,50,(_xlfn.RANK.AVG(AO91,$AO$6:$AO$105,1)-1)/($B$3-1)*100),1),"")</f>
        <v/>
      </c>
      <c r="S91">
        <f>IF(A91="","",IF(AF91=1,_xlfn.TEXTJOIN(". ",TRUE,_xlfn.TEXTJOIN(", ",TRUE,IF(AK91&gt;='설정'!$B$20,"수익성 높음",""),IF(AL91&gt;='설정'!$B$20,"성장 빠름",""),IF(AM91&gt;='설정'!$B$20,"가격 쌈",""),IF(AN91&gt;='설정'!$B$20,"추세 좋음","")),_xlfn.TEXTJOIN(", ",TRUE,IF(AK91&lt;'설정'!$B$21,"수익성 낮음",""),IF(AL91&lt;'설정'!$B$21,"성장 느림",""),IF(AM91&lt;'설정'!$B$21,"가격 비쌈",""),IF(AN91&lt;'설정'!$B$21,"추세 약함","")),IF(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="","","보통: "&amp;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)),IF(X91="통과",AE91,X91)))</f>
        <v/>
      </c>
      <c r="T91">
        <f>IF(AF91=1,TEXT(Z91,"0.0%")&amp;" · 상위 "&amp;TEXT(($B$3-_xlfn.RANK.AVG(AG91,$AG$6:$AG$105,1)+1)/$B$3*100,"0")&amp;"%",IF(A91="","",IF(Z91="","결측",TEXT(Z91,"0.0%"))))</f>
        <v/>
      </c>
      <c r="U91">
        <f>IF(AF91=1,TEXT(AA91,"0.0%")&amp;" · 상위 "&amp;TEXT(($B$3-_xlfn.RANK.AVG(AH91,$AH$6:$AH$105,1)+1)/$B$3*100,"0")&amp;"%",IF(A91="","",IF(AA91="","결측",TEXT(AA91,"0.0%"))))</f>
        <v/>
      </c>
      <c r="V91">
        <f>IF(AF91=1,TEXT(AB91,"0.0%")&amp;" · 상위 "&amp;TEXT(($B$3-_xlfn.RANK.AVG(AI91,$AI$6:$AI$105,1)+1)/$B$3*100,"0")&amp;"%",IF(A91="","",IF(AB91="","결측",TEXT(AB91,"0.0%"))))</f>
        <v/>
      </c>
      <c r="W91">
        <f>IF(AF91=1,TEXT(AC91,"0.0%")&amp;" · 상위 "&amp;TEXT(($B$3-_xlfn.RANK.AVG(AJ91,$AJ$6:$AJ$105,1)+1)/$B$3*100,"0")&amp;"%",IF(A91="","",IF(AC91="","결측",TEXT(AC91,"0.0%"))))</f>
        <v/>
      </c>
      <c r="X91">
        <f>IF(A91="","",IF(AR91="","통과","제외: "&amp;AR91))</f>
        <v/>
      </c>
      <c r="Y91" s="21">
        <f>IF(AND(ISNUMBER(G91),ISNUMBER(H91)),IF(G91&gt;0,H91/G91,""),"")</f>
        <v/>
      </c>
      <c r="Z91" s="22">
        <f>IF(AND(ISNUMBER(F91),ISNUMBER(G91)),IF(G91&gt;0,F91/G91,""),"")</f>
        <v/>
      </c>
      <c r="AA91" s="22">
        <f>IF(AND(ISNUMBER(J91),ISNUMBER(K91)),IF(AND(J91&gt;0,K91&gt;0),(J91/K91)^(1/3)-1,""),"")</f>
        <v/>
      </c>
      <c r="AB91" s="22">
        <f>IF(AND(ISNUMBER(I91),ISNUMBER(L91),ISNUMBER(M91),ISNUMBER(N91)),IF((L91+M91-N91)&gt;0,I91/(L91+M91-N91),""),"")</f>
        <v/>
      </c>
      <c r="AC91" s="22">
        <f>IF(AND(ISNUMBER(O91),ISNUMBER(P91)),IF(AND(O91&gt;0,P91&gt;0),P91/O91-1,""),"")</f>
        <v/>
      </c>
      <c r="AD91">
        <f>_xlfn.TEXTJOIN(", ",TRUE,IF(Z91="","ROE",""),IF(AA91="","매출성장률",""),IF(AB91="","이익수익률",""),IF(AC91="","12-1 수익률",""))</f>
        <v/>
      </c>
      <c r="AE91">
        <f>IF(A91="","",IF(AR91&lt;&gt;"","점수 없음(거름망)",IF(AD91="","채점","점수 없음(결측: "&amp;AD91&amp;")")))</f>
        <v/>
      </c>
      <c r="AF91">
        <f>IF(AE91="채점",1,"")</f>
        <v/>
      </c>
      <c r="AG91">
        <f>IF(AF91=1,Z91,"")</f>
        <v/>
      </c>
      <c r="AH91">
        <f>IF(AF91=1,AA91,"")</f>
        <v/>
      </c>
      <c r="AI91">
        <f>IF(AF91=1,AB91,"")</f>
        <v/>
      </c>
      <c r="AJ91">
        <f>IF(AF91=1,AC91,"")</f>
        <v/>
      </c>
      <c r="AK91">
        <f>IF(AF91=1,IF($B$3=1,50,(_xlfn.RANK.AVG(AG91,$AG$6:$AG$105,1)-1)/($B$3-1)*100),"")</f>
        <v/>
      </c>
      <c r="AL91">
        <f>IF(AF91=1,IF($B$3=1,50,(_xlfn.RANK.AVG(AH91,$AH$6:$AH$105,1)-1)/($B$3-1)*100),"")</f>
        <v/>
      </c>
      <c r="AM91">
        <f>IF(AF91=1,IF($B$3=1,50,(_xlfn.RANK.AVG(AI91,$AI$6:$AI$105,1)-1)/($B$3-1)*100),"")</f>
        <v/>
      </c>
      <c r="AN91">
        <f>IF(AF91=1,IF($B$3=1,50,(_xlfn.RANK.AVG(AJ91,$AJ$6:$AJ$105,1)-1)/($B$3-1)*100),"")</f>
        <v/>
      </c>
      <c r="AO91">
        <f>IF(AF91=1,ROUND(AVERAGE(AK91:AN91),6),"")</f>
        <v/>
      </c>
      <c r="AP91">
        <f>IF(AND(AF91=1,C91&lt;&gt;"Y"),R91,"")</f>
        <v/>
      </c>
      <c r="AQ91">
        <f>IF(AND(ISNUMBER(AP91),Q91="편입 후보"),AP91+(1000-ROW())/1000000,"")</f>
        <v/>
      </c>
      <c r="AR91">
        <f>IF(A91="","",_xlfn.TEXTJOIN(", ",TRUE,IF(D91="Y","금융·리츠",""),IF(NOT(ISNUMBER(I91)),"영업이익 없음",IF(I91&lt;=0,"영업적자","")),IF(OR(NOT(ISNUMBER(G91)),NOT(ISNUMBER(H91))),"부채비율 자료 없음",IF(G91&lt;=0,"자본잠식",IF(H91/G91&gt;'설정'!$B$8,"부채비율 초과",""))),IF(NOT(ISNUMBER(L91)),"시총 없음",IF(L91&lt;'설정'!$B$10,"시총 미달",""))))</f>
        <v/>
      </c>
    </row>
    <row r="92">
      <c r="A92" s="18" t="n"/>
      <c r="B92" s="19" t="n"/>
      <c r="C92" s="19" t="n"/>
      <c r="D92" s="19" t="n"/>
      <c r="E92" s="19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3" t="n"/>
      <c r="P92" s="23" t="n"/>
      <c r="Q92" s="7">
        <f>IF(A92="","",IF(C92="Y",IF(AF92=1,IF(AND(R92&lt;'설정'!$B$6,ISNUMBER($H$3)),IF(ROUND($H$3-R92,1)&gt;='설정'!$B$7,"교체 제안 → "&amp;$E$3&amp;" ("&amp;TEXT($H$3,"0.0")&amp;")","보유 유지"),"보유 유지"),"보유 · 점수 없음"),IF(AF92=1,IF(R92&gt;='설정'!$B$5,"편입 후보",""),"")))</f>
        <v/>
      </c>
      <c r="R92" s="15">
        <f>IF(AF92=1,ROUND(IF($B$3=1,50,(_xlfn.RANK.AVG(AO92,$AO$6:$AO$105,1)-1)/($B$3-1)*100),1),"")</f>
        <v/>
      </c>
      <c r="S92">
        <f>IF(A92="","",IF(AF92=1,_xlfn.TEXTJOIN(". ",TRUE,_xlfn.TEXTJOIN(", ",TRUE,IF(AK92&gt;='설정'!$B$20,"수익성 높음",""),IF(AL92&gt;='설정'!$B$20,"성장 빠름",""),IF(AM92&gt;='설정'!$B$20,"가격 쌈",""),IF(AN92&gt;='설정'!$B$20,"추세 좋음","")),_xlfn.TEXTJOIN(", ",TRUE,IF(AK92&lt;'설정'!$B$21,"수익성 낮음",""),IF(AL92&lt;'설정'!$B$21,"성장 느림",""),IF(AM92&lt;'설정'!$B$21,"가격 비쌈",""),IF(AN92&lt;'설정'!$B$21,"추세 약함","")),IF(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="","","보통: "&amp;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)),IF(X92="통과",AE92,X92)))</f>
        <v/>
      </c>
      <c r="T92">
        <f>IF(AF92=1,TEXT(Z92,"0.0%")&amp;" · 상위 "&amp;TEXT(($B$3-_xlfn.RANK.AVG(AG92,$AG$6:$AG$105,1)+1)/$B$3*100,"0")&amp;"%",IF(A92="","",IF(Z92="","결측",TEXT(Z92,"0.0%"))))</f>
        <v/>
      </c>
      <c r="U92">
        <f>IF(AF92=1,TEXT(AA92,"0.0%")&amp;" · 상위 "&amp;TEXT(($B$3-_xlfn.RANK.AVG(AH92,$AH$6:$AH$105,1)+1)/$B$3*100,"0")&amp;"%",IF(A92="","",IF(AA92="","결측",TEXT(AA92,"0.0%"))))</f>
        <v/>
      </c>
      <c r="V92">
        <f>IF(AF92=1,TEXT(AB92,"0.0%")&amp;" · 상위 "&amp;TEXT(($B$3-_xlfn.RANK.AVG(AI92,$AI$6:$AI$105,1)+1)/$B$3*100,"0")&amp;"%",IF(A92="","",IF(AB92="","결측",TEXT(AB92,"0.0%"))))</f>
        <v/>
      </c>
      <c r="W92">
        <f>IF(AF92=1,TEXT(AC92,"0.0%")&amp;" · 상위 "&amp;TEXT(($B$3-_xlfn.RANK.AVG(AJ92,$AJ$6:$AJ$105,1)+1)/$B$3*100,"0")&amp;"%",IF(A92="","",IF(AC92="","결측",TEXT(AC92,"0.0%"))))</f>
        <v/>
      </c>
      <c r="X92">
        <f>IF(A92="","",IF(AR92="","통과","제외: "&amp;AR92))</f>
        <v/>
      </c>
      <c r="Y92" s="21">
        <f>IF(AND(ISNUMBER(G92),ISNUMBER(H92)),IF(G92&gt;0,H92/G92,""),"")</f>
        <v/>
      </c>
      <c r="Z92" s="22">
        <f>IF(AND(ISNUMBER(F92),ISNUMBER(G92)),IF(G92&gt;0,F92/G92,""),"")</f>
        <v/>
      </c>
      <c r="AA92" s="22">
        <f>IF(AND(ISNUMBER(J92),ISNUMBER(K92)),IF(AND(J92&gt;0,K92&gt;0),(J92/K92)^(1/3)-1,""),"")</f>
        <v/>
      </c>
      <c r="AB92" s="22">
        <f>IF(AND(ISNUMBER(I92),ISNUMBER(L92),ISNUMBER(M92),ISNUMBER(N92)),IF((L92+M92-N92)&gt;0,I92/(L92+M92-N92),""),"")</f>
        <v/>
      </c>
      <c r="AC92" s="22">
        <f>IF(AND(ISNUMBER(O92),ISNUMBER(P92)),IF(AND(O92&gt;0,P92&gt;0),P92/O92-1,""),"")</f>
        <v/>
      </c>
      <c r="AD92">
        <f>_xlfn.TEXTJOIN(", ",TRUE,IF(Z92="","ROE",""),IF(AA92="","매출성장률",""),IF(AB92="","이익수익률",""),IF(AC92="","12-1 수익률",""))</f>
        <v/>
      </c>
      <c r="AE92">
        <f>IF(A92="","",IF(AR92&lt;&gt;"","점수 없음(거름망)",IF(AD92="","채점","점수 없음(결측: "&amp;AD92&amp;")")))</f>
        <v/>
      </c>
      <c r="AF92">
        <f>IF(AE92="채점",1,"")</f>
        <v/>
      </c>
      <c r="AG92">
        <f>IF(AF92=1,Z92,"")</f>
        <v/>
      </c>
      <c r="AH92">
        <f>IF(AF92=1,AA92,"")</f>
        <v/>
      </c>
      <c r="AI92">
        <f>IF(AF92=1,AB92,"")</f>
        <v/>
      </c>
      <c r="AJ92">
        <f>IF(AF92=1,AC92,"")</f>
        <v/>
      </c>
      <c r="AK92">
        <f>IF(AF92=1,IF($B$3=1,50,(_xlfn.RANK.AVG(AG92,$AG$6:$AG$105,1)-1)/($B$3-1)*100),"")</f>
        <v/>
      </c>
      <c r="AL92">
        <f>IF(AF92=1,IF($B$3=1,50,(_xlfn.RANK.AVG(AH92,$AH$6:$AH$105,1)-1)/($B$3-1)*100),"")</f>
        <v/>
      </c>
      <c r="AM92">
        <f>IF(AF92=1,IF($B$3=1,50,(_xlfn.RANK.AVG(AI92,$AI$6:$AI$105,1)-1)/($B$3-1)*100),"")</f>
        <v/>
      </c>
      <c r="AN92">
        <f>IF(AF92=1,IF($B$3=1,50,(_xlfn.RANK.AVG(AJ92,$AJ$6:$AJ$105,1)-1)/($B$3-1)*100),"")</f>
        <v/>
      </c>
      <c r="AO92">
        <f>IF(AF92=1,ROUND(AVERAGE(AK92:AN92),6),"")</f>
        <v/>
      </c>
      <c r="AP92">
        <f>IF(AND(AF92=1,C92&lt;&gt;"Y"),R92,"")</f>
        <v/>
      </c>
      <c r="AQ92">
        <f>IF(AND(ISNUMBER(AP92),Q92="편입 후보"),AP92+(1000-ROW())/1000000,"")</f>
        <v/>
      </c>
      <c r="AR92">
        <f>IF(A92="","",_xlfn.TEXTJOIN(", ",TRUE,IF(D92="Y","금융·리츠",""),IF(NOT(ISNUMBER(I92)),"영업이익 없음",IF(I92&lt;=0,"영업적자","")),IF(OR(NOT(ISNUMBER(G92)),NOT(ISNUMBER(H92))),"부채비율 자료 없음",IF(G92&lt;=0,"자본잠식",IF(H92/G92&gt;'설정'!$B$8,"부채비율 초과",""))),IF(NOT(ISNUMBER(L92)),"시총 없음",IF(L92&lt;'설정'!$B$10,"시총 미달",""))))</f>
        <v/>
      </c>
    </row>
    <row r="93">
      <c r="A93" s="18" t="n"/>
      <c r="B93" s="19" t="n"/>
      <c r="C93" s="19" t="n"/>
      <c r="D93" s="19" t="n"/>
      <c r="E93" s="19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3" t="n"/>
      <c r="P93" s="23" t="n"/>
      <c r="Q93" s="7">
        <f>IF(A93="","",IF(C93="Y",IF(AF93=1,IF(AND(R93&lt;'설정'!$B$6,ISNUMBER($H$3)),IF(ROUND($H$3-R93,1)&gt;='설정'!$B$7,"교체 제안 → "&amp;$E$3&amp;" ("&amp;TEXT($H$3,"0.0")&amp;")","보유 유지"),"보유 유지"),"보유 · 점수 없음"),IF(AF93=1,IF(R93&gt;='설정'!$B$5,"편입 후보",""),"")))</f>
        <v/>
      </c>
      <c r="R93" s="15">
        <f>IF(AF93=1,ROUND(IF($B$3=1,50,(_xlfn.RANK.AVG(AO93,$AO$6:$AO$105,1)-1)/($B$3-1)*100),1),"")</f>
        <v/>
      </c>
      <c r="S93">
        <f>IF(A93="","",IF(AF93=1,_xlfn.TEXTJOIN(". ",TRUE,_xlfn.TEXTJOIN(", ",TRUE,IF(AK93&gt;='설정'!$B$20,"수익성 높음",""),IF(AL93&gt;='설정'!$B$20,"성장 빠름",""),IF(AM93&gt;='설정'!$B$20,"가격 쌈",""),IF(AN93&gt;='설정'!$B$20,"추세 좋음","")),_xlfn.TEXTJOIN(", ",TRUE,IF(AK93&lt;'설정'!$B$21,"수익성 낮음",""),IF(AL93&lt;'설정'!$B$21,"성장 느림",""),IF(AM93&lt;'설정'!$B$21,"가격 비쌈",""),IF(AN93&lt;'설정'!$B$21,"추세 약함","")),IF(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="","","보통: "&amp;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)),IF(X93="통과",AE93,X93)))</f>
        <v/>
      </c>
      <c r="T93">
        <f>IF(AF93=1,TEXT(Z93,"0.0%")&amp;" · 상위 "&amp;TEXT(($B$3-_xlfn.RANK.AVG(AG93,$AG$6:$AG$105,1)+1)/$B$3*100,"0")&amp;"%",IF(A93="","",IF(Z93="","결측",TEXT(Z93,"0.0%"))))</f>
        <v/>
      </c>
      <c r="U93">
        <f>IF(AF93=1,TEXT(AA93,"0.0%")&amp;" · 상위 "&amp;TEXT(($B$3-_xlfn.RANK.AVG(AH93,$AH$6:$AH$105,1)+1)/$B$3*100,"0")&amp;"%",IF(A93="","",IF(AA93="","결측",TEXT(AA93,"0.0%"))))</f>
        <v/>
      </c>
      <c r="V93">
        <f>IF(AF93=1,TEXT(AB93,"0.0%")&amp;" · 상위 "&amp;TEXT(($B$3-_xlfn.RANK.AVG(AI93,$AI$6:$AI$105,1)+1)/$B$3*100,"0")&amp;"%",IF(A93="","",IF(AB93="","결측",TEXT(AB93,"0.0%"))))</f>
        <v/>
      </c>
      <c r="W93">
        <f>IF(AF93=1,TEXT(AC93,"0.0%")&amp;" · 상위 "&amp;TEXT(($B$3-_xlfn.RANK.AVG(AJ93,$AJ$6:$AJ$105,1)+1)/$B$3*100,"0")&amp;"%",IF(A93="","",IF(AC93="","결측",TEXT(AC93,"0.0%"))))</f>
        <v/>
      </c>
      <c r="X93">
        <f>IF(A93="","",IF(AR93="","통과","제외: "&amp;AR93))</f>
        <v/>
      </c>
      <c r="Y93" s="21">
        <f>IF(AND(ISNUMBER(G93),ISNUMBER(H93)),IF(G93&gt;0,H93/G93,""),"")</f>
        <v/>
      </c>
      <c r="Z93" s="22">
        <f>IF(AND(ISNUMBER(F93),ISNUMBER(G93)),IF(G93&gt;0,F93/G93,""),"")</f>
        <v/>
      </c>
      <c r="AA93" s="22">
        <f>IF(AND(ISNUMBER(J93),ISNUMBER(K93)),IF(AND(J93&gt;0,K93&gt;0),(J93/K93)^(1/3)-1,""),"")</f>
        <v/>
      </c>
      <c r="AB93" s="22">
        <f>IF(AND(ISNUMBER(I93),ISNUMBER(L93),ISNUMBER(M93),ISNUMBER(N93)),IF((L93+M93-N93)&gt;0,I93/(L93+M93-N93),""),"")</f>
        <v/>
      </c>
      <c r="AC93" s="22">
        <f>IF(AND(ISNUMBER(O93),ISNUMBER(P93)),IF(AND(O93&gt;0,P93&gt;0),P93/O93-1,""),"")</f>
        <v/>
      </c>
      <c r="AD93">
        <f>_xlfn.TEXTJOIN(", ",TRUE,IF(Z93="","ROE",""),IF(AA93="","매출성장률",""),IF(AB93="","이익수익률",""),IF(AC93="","12-1 수익률",""))</f>
        <v/>
      </c>
      <c r="AE93">
        <f>IF(A93="","",IF(AR93&lt;&gt;"","점수 없음(거름망)",IF(AD93="","채점","점수 없음(결측: "&amp;AD93&amp;")")))</f>
        <v/>
      </c>
      <c r="AF93">
        <f>IF(AE93="채점",1,"")</f>
        <v/>
      </c>
      <c r="AG93">
        <f>IF(AF93=1,Z93,"")</f>
        <v/>
      </c>
      <c r="AH93">
        <f>IF(AF93=1,AA93,"")</f>
        <v/>
      </c>
      <c r="AI93">
        <f>IF(AF93=1,AB93,"")</f>
        <v/>
      </c>
      <c r="AJ93">
        <f>IF(AF93=1,AC93,"")</f>
        <v/>
      </c>
      <c r="AK93">
        <f>IF(AF93=1,IF($B$3=1,50,(_xlfn.RANK.AVG(AG93,$AG$6:$AG$105,1)-1)/($B$3-1)*100),"")</f>
        <v/>
      </c>
      <c r="AL93">
        <f>IF(AF93=1,IF($B$3=1,50,(_xlfn.RANK.AVG(AH93,$AH$6:$AH$105,1)-1)/($B$3-1)*100),"")</f>
        <v/>
      </c>
      <c r="AM93">
        <f>IF(AF93=1,IF($B$3=1,50,(_xlfn.RANK.AVG(AI93,$AI$6:$AI$105,1)-1)/($B$3-1)*100),"")</f>
        <v/>
      </c>
      <c r="AN93">
        <f>IF(AF93=1,IF($B$3=1,50,(_xlfn.RANK.AVG(AJ93,$AJ$6:$AJ$105,1)-1)/($B$3-1)*100),"")</f>
        <v/>
      </c>
      <c r="AO93">
        <f>IF(AF93=1,ROUND(AVERAGE(AK93:AN93),6),"")</f>
        <v/>
      </c>
      <c r="AP93">
        <f>IF(AND(AF93=1,C93&lt;&gt;"Y"),R93,"")</f>
        <v/>
      </c>
      <c r="AQ93">
        <f>IF(AND(ISNUMBER(AP93),Q93="편입 후보"),AP93+(1000-ROW())/1000000,"")</f>
        <v/>
      </c>
      <c r="AR93">
        <f>IF(A93="","",_xlfn.TEXTJOIN(", ",TRUE,IF(D93="Y","금융·리츠",""),IF(NOT(ISNUMBER(I93)),"영업이익 없음",IF(I93&lt;=0,"영업적자","")),IF(OR(NOT(ISNUMBER(G93)),NOT(ISNUMBER(H93))),"부채비율 자료 없음",IF(G93&lt;=0,"자본잠식",IF(H93/G93&gt;'설정'!$B$8,"부채비율 초과",""))),IF(NOT(ISNUMBER(L93)),"시총 없음",IF(L93&lt;'설정'!$B$10,"시총 미달",""))))</f>
        <v/>
      </c>
    </row>
    <row r="94">
      <c r="A94" s="18" t="n"/>
      <c r="B94" s="19" t="n"/>
      <c r="C94" s="19" t="n"/>
      <c r="D94" s="19" t="n"/>
      <c r="E94" s="19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3" t="n"/>
      <c r="P94" s="23" t="n"/>
      <c r="Q94" s="7">
        <f>IF(A94="","",IF(C94="Y",IF(AF94=1,IF(AND(R94&lt;'설정'!$B$6,ISNUMBER($H$3)),IF(ROUND($H$3-R94,1)&gt;='설정'!$B$7,"교체 제안 → "&amp;$E$3&amp;" ("&amp;TEXT($H$3,"0.0")&amp;")","보유 유지"),"보유 유지"),"보유 · 점수 없음"),IF(AF94=1,IF(R94&gt;='설정'!$B$5,"편입 후보",""),"")))</f>
        <v/>
      </c>
      <c r="R94" s="15">
        <f>IF(AF94=1,ROUND(IF($B$3=1,50,(_xlfn.RANK.AVG(AO94,$AO$6:$AO$105,1)-1)/($B$3-1)*100),1),"")</f>
        <v/>
      </c>
      <c r="S94">
        <f>IF(A94="","",IF(AF94=1,_xlfn.TEXTJOIN(". ",TRUE,_xlfn.TEXTJOIN(", ",TRUE,IF(AK94&gt;='설정'!$B$20,"수익성 높음",""),IF(AL94&gt;='설정'!$B$20,"성장 빠름",""),IF(AM94&gt;='설정'!$B$20,"가격 쌈",""),IF(AN94&gt;='설정'!$B$20,"추세 좋음","")),_xlfn.TEXTJOIN(", ",TRUE,IF(AK94&lt;'설정'!$B$21,"수익성 낮음",""),IF(AL94&lt;'설정'!$B$21,"성장 느림",""),IF(AM94&lt;'설정'!$B$21,"가격 비쌈",""),IF(AN94&lt;'설정'!$B$21,"추세 약함","")),IF(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="","","보통: "&amp;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)),IF(X94="통과",AE94,X94)))</f>
        <v/>
      </c>
      <c r="T94">
        <f>IF(AF94=1,TEXT(Z94,"0.0%")&amp;" · 상위 "&amp;TEXT(($B$3-_xlfn.RANK.AVG(AG94,$AG$6:$AG$105,1)+1)/$B$3*100,"0")&amp;"%",IF(A94="","",IF(Z94="","결측",TEXT(Z94,"0.0%"))))</f>
        <v/>
      </c>
      <c r="U94">
        <f>IF(AF94=1,TEXT(AA94,"0.0%")&amp;" · 상위 "&amp;TEXT(($B$3-_xlfn.RANK.AVG(AH94,$AH$6:$AH$105,1)+1)/$B$3*100,"0")&amp;"%",IF(A94="","",IF(AA94="","결측",TEXT(AA94,"0.0%"))))</f>
        <v/>
      </c>
      <c r="V94">
        <f>IF(AF94=1,TEXT(AB94,"0.0%")&amp;" · 상위 "&amp;TEXT(($B$3-_xlfn.RANK.AVG(AI94,$AI$6:$AI$105,1)+1)/$B$3*100,"0")&amp;"%",IF(A94="","",IF(AB94="","결측",TEXT(AB94,"0.0%"))))</f>
        <v/>
      </c>
      <c r="W94">
        <f>IF(AF94=1,TEXT(AC94,"0.0%")&amp;" · 상위 "&amp;TEXT(($B$3-_xlfn.RANK.AVG(AJ94,$AJ$6:$AJ$105,1)+1)/$B$3*100,"0")&amp;"%",IF(A94="","",IF(AC94="","결측",TEXT(AC94,"0.0%"))))</f>
        <v/>
      </c>
      <c r="X94">
        <f>IF(A94="","",IF(AR94="","통과","제외: "&amp;AR94))</f>
        <v/>
      </c>
      <c r="Y94" s="21">
        <f>IF(AND(ISNUMBER(G94),ISNUMBER(H94)),IF(G94&gt;0,H94/G94,""),"")</f>
        <v/>
      </c>
      <c r="Z94" s="22">
        <f>IF(AND(ISNUMBER(F94),ISNUMBER(G94)),IF(G94&gt;0,F94/G94,""),"")</f>
        <v/>
      </c>
      <c r="AA94" s="22">
        <f>IF(AND(ISNUMBER(J94),ISNUMBER(K94)),IF(AND(J94&gt;0,K94&gt;0),(J94/K94)^(1/3)-1,""),"")</f>
        <v/>
      </c>
      <c r="AB94" s="22">
        <f>IF(AND(ISNUMBER(I94),ISNUMBER(L94),ISNUMBER(M94),ISNUMBER(N94)),IF((L94+M94-N94)&gt;0,I94/(L94+M94-N94),""),"")</f>
        <v/>
      </c>
      <c r="AC94" s="22">
        <f>IF(AND(ISNUMBER(O94),ISNUMBER(P94)),IF(AND(O94&gt;0,P94&gt;0),P94/O94-1,""),"")</f>
        <v/>
      </c>
      <c r="AD94">
        <f>_xlfn.TEXTJOIN(", ",TRUE,IF(Z94="","ROE",""),IF(AA94="","매출성장률",""),IF(AB94="","이익수익률",""),IF(AC94="","12-1 수익률",""))</f>
        <v/>
      </c>
      <c r="AE94">
        <f>IF(A94="","",IF(AR94&lt;&gt;"","점수 없음(거름망)",IF(AD94="","채점","점수 없음(결측: "&amp;AD94&amp;")")))</f>
        <v/>
      </c>
      <c r="AF94">
        <f>IF(AE94="채점",1,"")</f>
        <v/>
      </c>
      <c r="AG94">
        <f>IF(AF94=1,Z94,"")</f>
        <v/>
      </c>
      <c r="AH94">
        <f>IF(AF94=1,AA94,"")</f>
        <v/>
      </c>
      <c r="AI94">
        <f>IF(AF94=1,AB94,"")</f>
        <v/>
      </c>
      <c r="AJ94">
        <f>IF(AF94=1,AC94,"")</f>
        <v/>
      </c>
      <c r="AK94">
        <f>IF(AF94=1,IF($B$3=1,50,(_xlfn.RANK.AVG(AG94,$AG$6:$AG$105,1)-1)/($B$3-1)*100),"")</f>
        <v/>
      </c>
      <c r="AL94">
        <f>IF(AF94=1,IF($B$3=1,50,(_xlfn.RANK.AVG(AH94,$AH$6:$AH$105,1)-1)/($B$3-1)*100),"")</f>
        <v/>
      </c>
      <c r="AM94">
        <f>IF(AF94=1,IF($B$3=1,50,(_xlfn.RANK.AVG(AI94,$AI$6:$AI$105,1)-1)/($B$3-1)*100),"")</f>
        <v/>
      </c>
      <c r="AN94">
        <f>IF(AF94=1,IF($B$3=1,50,(_xlfn.RANK.AVG(AJ94,$AJ$6:$AJ$105,1)-1)/($B$3-1)*100),"")</f>
        <v/>
      </c>
      <c r="AO94">
        <f>IF(AF94=1,ROUND(AVERAGE(AK94:AN94),6),"")</f>
        <v/>
      </c>
      <c r="AP94">
        <f>IF(AND(AF94=1,C94&lt;&gt;"Y"),R94,"")</f>
        <v/>
      </c>
      <c r="AQ94">
        <f>IF(AND(ISNUMBER(AP94),Q94="편입 후보"),AP94+(1000-ROW())/1000000,"")</f>
        <v/>
      </c>
      <c r="AR94">
        <f>IF(A94="","",_xlfn.TEXTJOIN(", ",TRUE,IF(D94="Y","금융·리츠",""),IF(NOT(ISNUMBER(I94)),"영업이익 없음",IF(I94&lt;=0,"영업적자","")),IF(OR(NOT(ISNUMBER(G94)),NOT(ISNUMBER(H94))),"부채비율 자료 없음",IF(G94&lt;=0,"자본잠식",IF(H94/G94&gt;'설정'!$B$8,"부채비율 초과",""))),IF(NOT(ISNUMBER(L94)),"시총 없음",IF(L94&lt;'설정'!$B$10,"시총 미달",""))))</f>
        <v/>
      </c>
    </row>
    <row r="95">
      <c r="A95" s="18" t="n"/>
      <c r="B95" s="19" t="n"/>
      <c r="C95" s="19" t="n"/>
      <c r="D95" s="19" t="n"/>
      <c r="E95" s="19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3" t="n"/>
      <c r="P95" s="23" t="n"/>
      <c r="Q95" s="7">
        <f>IF(A95="","",IF(C95="Y",IF(AF95=1,IF(AND(R95&lt;'설정'!$B$6,ISNUMBER($H$3)),IF(ROUND($H$3-R95,1)&gt;='설정'!$B$7,"교체 제안 → "&amp;$E$3&amp;" ("&amp;TEXT($H$3,"0.0")&amp;")","보유 유지"),"보유 유지"),"보유 · 점수 없음"),IF(AF95=1,IF(R95&gt;='설정'!$B$5,"편입 후보",""),"")))</f>
        <v/>
      </c>
      <c r="R95" s="15">
        <f>IF(AF95=1,ROUND(IF($B$3=1,50,(_xlfn.RANK.AVG(AO95,$AO$6:$AO$105,1)-1)/($B$3-1)*100),1),"")</f>
        <v/>
      </c>
      <c r="S95">
        <f>IF(A95="","",IF(AF95=1,_xlfn.TEXTJOIN(". ",TRUE,_xlfn.TEXTJOIN(", ",TRUE,IF(AK95&gt;='설정'!$B$20,"수익성 높음",""),IF(AL95&gt;='설정'!$B$20,"성장 빠름",""),IF(AM95&gt;='설정'!$B$20,"가격 쌈",""),IF(AN95&gt;='설정'!$B$20,"추세 좋음","")),_xlfn.TEXTJOIN(", ",TRUE,IF(AK95&lt;'설정'!$B$21,"수익성 낮음",""),IF(AL95&lt;'설정'!$B$21,"성장 느림",""),IF(AM95&lt;'설정'!$B$21,"가격 비쌈",""),IF(AN95&lt;'설정'!$B$21,"추세 약함","")),IF(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="","","보통: "&amp;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)),IF(X95="통과",AE95,X95)))</f>
        <v/>
      </c>
      <c r="T95">
        <f>IF(AF95=1,TEXT(Z95,"0.0%")&amp;" · 상위 "&amp;TEXT(($B$3-_xlfn.RANK.AVG(AG95,$AG$6:$AG$105,1)+1)/$B$3*100,"0")&amp;"%",IF(A95="","",IF(Z95="","결측",TEXT(Z95,"0.0%"))))</f>
        <v/>
      </c>
      <c r="U95">
        <f>IF(AF95=1,TEXT(AA95,"0.0%")&amp;" · 상위 "&amp;TEXT(($B$3-_xlfn.RANK.AVG(AH95,$AH$6:$AH$105,1)+1)/$B$3*100,"0")&amp;"%",IF(A95="","",IF(AA95="","결측",TEXT(AA95,"0.0%"))))</f>
        <v/>
      </c>
      <c r="V95">
        <f>IF(AF95=1,TEXT(AB95,"0.0%")&amp;" · 상위 "&amp;TEXT(($B$3-_xlfn.RANK.AVG(AI95,$AI$6:$AI$105,1)+1)/$B$3*100,"0")&amp;"%",IF(A95="","",IF(AB95="","결측",TEXT(AB95,"0.0%"))))</f>
        <v/>
      </c>
      <c r="W95">
        <f>IF(AF95=1,TEXT(AC95,"0.0%")&amp;" · 상위 "&amp;TEXT(($B$3-_xlfn.RANK.AVG(AJ95,$AJ$6:$AJ$105,1)+1)/$B$3*100,"0")&amp;"%",IF(A95="","",IF(AC95="","결측",TEXT(AC95,"0.0%"))))</f>
        <v/>
      </c>
      <c r="X95">
        <f>IF(A95="","",IF(AR95="","통과","제외: "&amp;AR95))</f>
        <v/>
      </c>
      <c r="Y95" s="21">
        <f>IF(AND(ISNUMBER(G95),ISNUMBER(H95)),IF(G95&gt;0,H95/G95,""),"")</f>
        <v/>
      </c>
      <c r="Z95" s="22">
        <f>IF(AND(ISNUMBER(F95),ISNUMBER(G95)),IF(G95&gt;0,F95/G95,""),"")</f>
        <v/>
      </c>
      <c r="AA95" s="22">
        <f>IF(AND(ISNUMBER(J95),ISNUMBER(K95)),IF(AND(J95&gt;0,K95&gt;0),(J95/K95)^(1/3)-1,""),"")</f>
        <v/>
      </c>
      <c r="AB95" s="22">
        <f>IF(AND(ISNUMBER(I95),ISNUMBER(L95),ISNUMBER(M95),ISNUMBER(N95)),IF((L95+M95-N95)&gt;0,I95/(L95+M95-N95),""),"")</f>
        <v/>
      </c>
      <c r="AC95" s="22">
        <f>IF(AND(ISNUMBER(O95),ISNUMBER(P95)),IF(AND(O95&gt;0,P95&gt;0),P95/O95-1,""),"")</f>
        <v/>
      </c>
      <c r="AD95">
        <f>_xlfn.TEXTJOIN(", ",TRUE,IF(Z95="","ROE",""),IF(AA95="","매출성장률",""),IF(AB95="","이익수익률",""),IF(AC95="","12-1 수익률",""))</f>
        <v/>
      </c>
      <c r="AE95">
        <f>IF(A95="","",IF(AR95&lt;&gt;"","점수 없음(거름망)",IF(AD95="","채점","점수 없음(결측: "&amp;AD95&amp;")")))</f>
        <v/>
      </c>
      <c r="AF95">
        <f>IF(AE95="채점",1,"")</f>
        <v/>
      </c>
      <c r="AG95">
        <f>IF(AF95=1,Z95,"")</f>
        <v/>
      </c>
      <c r="AH95">
        <f>IF(AF95=1,AA95,"")</f>
        <v/>
      </c>
      <c r="AI95">
        <f>IF(AF95=1,AB95,"")</f>
        <v/>
      </c>
      <c r="AJ95">
        <f>IF(AF95=1,AC95,"")</f>
        <v/>
      </c>
      <c r="AK95">
        <f>IF(AF95=1,IF($B$3=1,50,(_xlfn.RANK.AVG(AG95,$AG$6:$AG$105,1)-1)/($B$3-1)*100),"")</f>
        <v/>
      </c>
      <c r="AL95">
        <f>IF(AF95=1,IF($B$3=1,50,(_xlfn.RANK.AVG(AH95,$AH$6:$AH$105,1)-1)/($B$3-1)*100),"")</f>
        <v/>
      </c>
      <c r="AM95">
        <f>IF(AF95=1,IF($B$3=1,50,(_xlfn.RANK.AVG(AI95,$AI$6:$AI$105,1)-1)/($B$3-1)*100),"")</f>
        <v/>
      </c>
      <c r="AN95">
        <f>IF(AF95=1,IF($B$3=1,50,(_xlfn.RANK.AVG(AJ95,$AJ$6:$AJ$105,1)-1)/($B$3-1)*100),"")</f>
        <v/>
      </c>
      <c r="AO95">
        <f>IF(AF95=1,ROUND(AVERAGE(AK95:AN95),6),"")</f>
        <v/>
      </c>
      <c r="AP95">
        <f>IF(AND(AF95=1,C95&lt;&gt;"Y"),R95,"")</f>
        <v/>
      </c>
      <c r="AQ95">
        <f>IF(AND(ISNUMBER(AP95),Q95="편입 후보"),AP95+(1000-ROW())/1000000,"")</f>
        <v/>
      </c>
      <c r="AR95">
        <f>IF(A95="","",_xlfn.TEXTJOIN(", ",TRUE,IF(D95="Y","금융·리츠",""),IF(NOT(ISNUMBER(I95)),"영업이익 없음",IF(I95&lt;=0,"영업적자","")),IF(OR(NOT(ISNUMBER(G95)),NOT(ISNUMBER(H95))),"부채비율 자료 없음",IF(G95&lt;=0,"자본잠식",IF(H95/G95&gt;'설정'!$B$8,"부채비율 초과",""))),IF(NOT(ISNUMBER(L95)),"시총 없음",IF(L95&lt;'설정'!$B$10,"시총 미달",""))))</f>
        <v/>
      </c>
    </row>
    <row r="96">
      <c r="A96" s="18" t="n"/>
      <c r="B96" s="19" t="n"/>
      <c r="C96" s="19" t="n"/>
      <c r="D96" s="19" t="n"/>
      <c r="E96" s="19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3" t="n"/>
      <c r="P96" s="23" t="n"/>
      <c r="Q96" s="7">
        <f>IF(A96="","",IF(C96="Y",IF(AF96=1,IF(AND(R96&lt;'설정'!$B$6,ISNUMBER($H$3)),IF(ROUND($H$3-R96,1)&gt;='설정'!$B$7,"교체 제안 → "&amp;$E$3&amp;" ("&amp;TEXT($H$3,"0.0")&amp;")","보유 유지"),"보유 유지"),"보유 · 점수 없음"),IF(AF96=1,IF(R96&gt;='설정'!$B$5,"편입 후보",""),"")))</f>
        <v/>
      </c>
      <c r="R96" s="15">
        <f>IF(AF96=1,ROUND(IF($B$3=1,50,(_xlfn.RANK.AVG(AO96,$AO$6:$AO$105,1)-1)/($B$3-1)*100),1),"")</f>
        <v/>
      </c>
      <c r="S96">
        <f>IF(A96="","",IF(AF96=1,_xlfn.TEXTJOIN(". ",TRUE,_xlfn.TEXTJOIN(", ",TRUE,IF(AK96&gt;='설정'!$B$20,"수익성 높음",""),IF(AL96&gt;='설정'!$B$20,"성장 빠름",""),IF(AM96&gt;='설정'!$B$20,"가격 쌈",""),IF(AN96&gt;='설정'!$B$20,"추세 좋음","")),_xlfn.TEXTJOIN(", ",TRUE,IF(AK96&lt;'설정'!$B$21,"수익성 낮음",""),IF(AL96&lt;'설정'!$B$21,"성장 느림",""),IF(AM96&lt;'설정'!$B$21,"가격 비쌈",""),IF(AN96&lt;'설정'!$B$21,"추세 약함","")),IF(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="","","보통: "&amp;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)),IF(X96="통과",AE96,X96)))</f>
        <v/>
      </c>
      <c r="T96">
        <f>IF(AF96=1,TEXT(Z96,"0.0%")&amp;" · 상위 "&amp;TEXT(($B$3-_xlfn.RANK.AVG(AG96,$AG$6:$AG$105,1)+1)/$B$3*100,"0")&amp;"%",IF(A96="","",IF(Z96="","결측",TEXT(Z96,"0.0%"))))</f>
        <v/>
      </c>
      <c r="U96">
        <f>IF(AF96=1,TEXT(AA96,"0.0%")&amp;" · 상위 "&amp;TEXT(($B$3-_xlfn.RANK.AVG(AH96,$AH$6:$AH$105,1)+1)/$B$3*100,"0")&amp;"%",IF(A96="","",IF(AA96="","결측",TEXT(AA96,"0.0%"))))</f>
        <v/>
      </c>
      <c r="V96">
        <f>IF(AF96=1,TEXT(AB96,"0.0%")&amp;" · 상위 "&amp;TEXT(($B$3-_xlfn.RANK.AVG(AI96,$AI$6:$AI$105,1)+1)/$B$3*100,"0")&amp;"%",IF(A96="","",IF(AB96="","결측",TEXT(AB96,"0.0%"))))</f>
        <v/>
      </c>
      <c r="W96">
        <f>IF(AF96=1,TEXT(AC96,"0.0%")&amp;" · 상위 "&amp;TEXT(($B$3-_xlfn.RANK.AVG(AJ96,$AJ$6:$AJ$105,1)+1)/$B$3*100,"0")&amp;"%",IF(A96="","",IF(AC96="","결측",TEXT(AC96,"0.0%"))))</f>
        <v/>
      </c>
      <c r="X96">
        <f>IF(A96="","",IF(AR96="","통과","제외: "&amp;AR96))</f>
        <v/>
      </c>
      <c r="Y96" s="21">
        <f>IF(AND(ISNUMBER(G96),ISNUMBER(H96)),IF(G96&gt;0,H96/G96,""),"")</f>
        <v/>
      </c>
      <c r="Z96" s="22">
        <f>IF(AND(ISNUMBER(F96),ISNUMBER(G96)),IF(G96&gt;0,F96/G96,""),"")</f>
        <v/>
      </c>
      <c r="AA96" s="22">
        <f>IF(AND(ISNUMBER(J96),ISNUMBER(K96)),IF(AND(J96&gt;0,K96&gt;0),(J96/K96)^(1/3)-1,""),"")</f>
        <v/>
      </c>
      <c r="AB96" s="22">
        <f>IF(AND(ISNUMBER(I96),ISNUMBER(L96),ISNUMBER(M96),ISNUMBER(N96)),IF((L96+M96-N96)&gt;0,I96/(L96+M96-N96),""),"")</f>
        <v/>
      </c>
      <c r="AC96" s="22">
        <f>IF(AND(ISNUMBER(O96),ISNUMBER(P96)),IF(AND(O96&gt;0,P96&gt;0),P96/O96-1,""),"")</f>
        <v/>
      </c>
      <c r="AD96">
        <f>_xlfn.TEXTJOIN(", ",TRUE,IF(Z96="","ROE",""),IF(AA96="","매출성장률",""),IF(AB96="","이익수익률",""),IF(AC96="","12-1 수익률",""))</f>
        <v/>
      </c>
      <c r="AE96">
        <f>IF(A96="","",IF(AR96&lt;&gt;"","점수 없음(거름망)",IF(AD96="","채점","점수 없음(결측: "&amp;AD96&amp;")")))</f>
        <v/>
      </c>
      <c r="AF96">
        <f>IF(AE96="채점",1,"")</f>
        <v/>
      </c>
      <c r="AG96">
        <f>IF(AF96=1,Z96,"")</f>
        <v/>
      </c>
      <c r="AH96">
        <f>IF(AF96=1,AA96,"")</f>
        <v/>
      </c>
      <c r="AI96">
        <f>IF(AF96=1,AB96,"")</f>
        <v/>
      </c>
      <c r="AJ96">
        <f>IF(AF96=1,AC96,"")</f>
        <v/>
      </c>
      <c r="AK96">
        <f>IF(AF96=1,IF($B$3=1,50,(_xlfn.RANK.AVG(AG96,$AG$6:$AG$105,1)-1)/($B$3-1)*100),"")</f>
        <v/>
      </c>
      <c r="AL96">
        <f>IF(AF96=1,IF($B$3=1,50,(_xlfn.RANK.AVG(AH96,$AH$6:$AH$105,1)-1)/($B$3-1)*100),"")</f>
        <v/>
      </c>
      <c r="AM96">
        <f>IF(AF96=1,IF($B$3=1,50,(_xlfn.RANK.AVG(AI96,$AI$6:$AI$105,1)-1)/($B$3-1)*100),"")</f>
        <v/>
      </c>
      <c r="AN96">
        <f>IF(AF96=1,IF($B$3=1,50,(_xlfn.RANK.AVG(AJ96,$AJ$6:$AJ$105,1)-1)/($B$3-1)*100),"")</f>
        <v/>
      </c>
      <c r="AO96">
        <f>IF(AF96=1,ROUND(AVERAGE(AK96:AN96),6),"")</f>
        <v/>
      </c>
      <c r="AP96">
        <f>IF(AND(AF96=1,C96&lt;&gt;"Y"),R96,"")</f>
        <v/>
      </c>
      <c r="AQ96">
        <f>IF(AND(ISNUMBER(AP96),Q96="편입 후보"),AP96+(1000-ROW())/1000000,"")</f>
        <v/>
      </c>
      <c r="AR96">
        <f>IF(A96="","",_xlfn.TEXTJOIN(", ",TRUE,IF(D96="Y","금융·리츠",""),IF(NOT(ISNUMBER(I96)),"영업이익 없음",IF(I96&lt;=0,"영업적자","")),IF(OR(NOT(ISNUMBER(G96)),NOT(ISNUMBER(H96))),"부채비율 자료 없음",IF(G96&lt;=0,"자본잠식",IF(H96/G96&gt;'설정'!$B$8,"부채비율 초과",""))),IF(NOT(ISNUMBER(L96)),"시총 없음",IF(L96&lt;'설정'!$B$10,"시총 미달",""))))</f>
        <v/>
      </c>
    </row>
    <row r="97">
      <c r="A97" s="18" t="n"/>
      <c r="B97" s="19" t="n"/>
      <c r="C97" s="19" t="n"/>
      <c r="D97" s="19" t="n"/>
      <c r="E97" s="19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3" t="n"/>
      <c r="P97" s="23" t="n"/>
      <c r="Q97" s="7">
        <f>IF(A97="","",IF(C97="Y",IF(AF97=1,IF(AND(R97&lt;'설정'!$B$6,ISNUMBER($H$3)),IF(ROUND($H$3-R97,1)&gt;='설정'!$B$7,"교체 제안 → "&amp;$E$3&amp;" ("&amp;TEXT($H$3,"0.0")&amp;")","보유 유지"),"보유 유지"),"보유 · 점수 없음"),IF(AF97=1,IF(R97&gt;='설정'!$B$5,"편입 후보",""),"")))</f>
        <v/>
      </c>
      <c r="R97" s="15">
        <f>IF(AF97=1,ROUND(IF($B$3=1,50,(_xlfn.RANK.AVG(AO97,$AO$6:$AO$105,1)-1)/($B$3-1)*100),1),"")</f>
        <v/>
      </c>
      <c r="S97">
        <f>IF(A97="","",IF(AF97=1,_xlfn.TEXTJOIN(". ",TRUE,_xlfn.TEXTJOIN(", ",TRUE,IF(AK97&gt;='설정'!$B$20,"수익성 높음",""),IF(AL97&gt;='설정'!$B$20,"성장 빠름",""),IF(AM97&gt;='설정'!$B$20,"가격 쌈",""),IF(AN97&gt;='설정'!$B$20,"추세 좋음","")),_xlfn.TEXTJOIN(", ",TRUE,IF(AK97&lt;'설정'!$B$21,"수익성 낮음",""),IF(AL97&lt;'설정'!$B$21,"성장 느림",""),IF(AM97&lt;'설정'!$B$21,"가격 비쌈",""),IF(AN97&lt;'설정'!$B$21,"추세 약함","")),IF(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="","","보통: "&amp;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)),IF(X97="통과",AE97,X97)))</f>
        <v/>
      </c>
      <c r="T97">
        <f>IF(AF97=1,TEXT(Z97,"0.0%")&amp;" · 상위 "&amp;TEXT(($B$3-_xlfn.RANK.AVG(AG97,$AG$6:$AG$105,1)+1)/$B$3*100,"0")&amp;"%",IF(A97="","",IF(Z97="","결측",TEXT(Z97,"0.0%"))))</f>
        <v/>
      </c>
      <c r="U97">
        <f>IF(AF97=1,TEXT(AA97,"0.0%")&amp;" · 상위 "&amp;TEXT(($B$3-_xlfn.RANK.AVG(AH97,$AH$6:$AH$105,1)+1)/$B$3*100,"0")&amp;"%",IF(A97="","",IF(AA97="","결측",TEXT(AA97,"0.0%"))))</f>
        <v/>
      </c>
      <c r="V97">
        <f>IF(AF97=1,TEXT(AB97,"0.0%")&amp;" · 상위 "&amp;TEXT(($B$3-_xlfn.RANK.AVG(AI97,$AI$6:$AI$105,1)+1)/$B$3*100,"0")&amp;"%",IF(A97="","",IF(AB97="","결측",TEXT(AB97,"0.0%"))))</f>
        <v/>
      </c>
      <c r="W97">
        <f>IF(AF97=1,TEXT(AC97,"0.0%")&amp;" · 상위 "&amp;TEXT(($B$3-_xlfn.RANK.AVG(AJ97,$AJ$6:$AJ$105,1)+1)/$B$3*100,"0")&amp;"%",IF(A97="","",IF(AC97="","결측",TEXT(AC97,"0.0%"))))</f>
        <v/>
      </c>
      <c r="X97">
        <f>IF(A97="","",IF(AR97="","통과","제외: "&amp;AR97))</f>
        <v/>
      </c>
      <c r="Y97" s="21">
        <f>IF(AND(ISNUMBER(G97),ISNUMBER(H97)),IF(G97&gt;0,H97/G97,""),"")</f>
        <v/>
      </c>
      <c r="Z97" s="22">
        <f>IF(AND(ISNUMBER(F97),ISNUMBER(G97)),IF(G97&gt;0,F97/G97,""),"")</f>
        <v/>
      </c>
      <c r="AA97" s="22">
        <f>IF(AND(ISNUMBER(J97),ISNUMBER(K97)),IF(AND(J97&gt;0,K97&gt;0),(J97/K97)^(1/3)-1,""),"")</f>
        <v/>
      </c>
      <c r="AB97" s="22">
        <f>IF(AND(ISNUMBER(I97),ISNUMBER(L97),ISNUMBER(M97),ISNUMBER(N97)),IF((L97+M97-N97)&gt;0,I97/(L97+M97-N97),""),"")</f>
        <v/>
      </c>
      <c r="AC97" s="22">
        <f>IF(AND(ISNUMBER(O97),ISNUMBER(P97)),IF(AND(O97&gt;0,P97&gt;0),P97/O97-1,""),"")</f>
        <v/>
      </c>
      <c r="AD97">
        <f>_xlfn.TEXTJOIN(", ",TRUE,IF(Z97="","ROE",""),IF(AA97="","매출성장률",""),IF(AB97="","이익수익률",""),IF(AC97="","12-1 수익률",""))</f>
        <v/>
      </c>
      <c r="AE97">
        <f>IF(A97="","",IF(AR97&lt;&gt;"","점수 없음(거름망)",IF(AD97="","채점","점수 없음(결측: "&amp;AD97&amp;")")))</f>
        <v/>
      </c>
      <c r="AF97">
        <f>IF(AE97="채점",1,"")</f>
        <v/>
      </c>
      <c r="AG97">
        <f>IF(AF97=1,Z97,"")</f>
        <v/>
      </c>
      <c r="AH97">
        <f>IF(AF97=1,AA97,"")</f>
        <v/>
      </c>
      <c r="AI97">
        <f>IF(AF97=1,AB97,"")</f>
        <v/>
      </c>
      <c r="AJ97">
        <f>IF(AF97=1,AC97,"")</f>
        <v/>
      </c>
      <c r="AK97">
        <f>IF(AF97=1,IF($B$3=1,50,(_xlfn.RANK.AVG(AG97,$AG$6:$AG$105,1)-1)/($B$3-1)*100),"")</f>
        <v/>
      </c>
      <c r="AL97">
        <f>IF(AF97=1,IF($B$3=1,50,(_xlfn.RANK.AVG(AH97,$AH$6:$AH$105,1)-1)/($B$3-1)*100),"")</f>
        <v/>
      </c>
      <c r="AM97">
        <f>IF(AF97=1,IF($B$3=1,50,(_xlfn.RANK.AVG(AI97,$AI$6:$AI$105,1)-1)/($B$3-1)*100),"")</f>
        <v/>
      </c>
      <c r="AN97">
        <f>IF(AF97=1,IF($B$3=1,50,(_xlfn.RANK.AVG(AJ97,$AJ$6:$AJ$105,1)-1)/($B$3-1)*100),"")</f>
        <v/>
      </c>
      <c r="AO97">
        <f>IF(AF97=1,ROUND(AVERAGE(AK97:AN97),6),"")</f>
        <v/>
      </c>
      <c r="AP97">
        <f>IF(AND(AF97=1,C97&lt;&gt;"Y"),R97,"")</f>
        <v/>
      </c>
      <c r="AQ97">
        <f>IF(AND(ISNUMBER(AP97),Q97="편입 후보"),AP97+(1000-ROW())/1000000,"")</f>
        <v/>
      </c>
      <c r="AR97">
        <f>IF(A97="","",_xlfn.TEXTJOIN(", ",TRUE,IF(D97="Y","금융·리츠",""),IF(NOT(ISNUMBER(I97)),"영업이익 없음",IF(I97&lt;=0,"영업적자","")),IF(OR(NOT(ISNUMBER(G97)),NOT(ISNUMBER(H97))),"부채비율 자료 없음",IF(G97&lt;=0,"자본잠식",IF(H97/G97&gt;'설정'!$B$8,"부채비율 초과",""))),IF(NOT(ISNUMBER(L97)),"시총 없음",IF(L97&lt;'설정'!$B$10,"시총 미달",""))))</f>
        <v/>
      </c>
    </row>
    <row r="98">
      <c r="A98" s="18" t="n"/>
      <c r="B98" s="19" t="n"/>
      <c r="C98" s="19" t="n"/>
      <c r="D98" s="19" t="n"/>
      <c r="E98" s="19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3" t="n"/>
      <c r="P98" s="23" t="n"/>
      <c r="Q98" s="7">
        <f>IF(A98="","",IF(C98="Y",IF(AF98=1,IF(AND(R98&lt;'설정'!$B$6,ISNUMBER($H$3)),IF(ROUND($H$3-R98,1)&gt;='설정'!$B$7,"교체 제안 → "&amp;$E$3&amp;" ("&amp;TEXT($H$3,"0.0")&amp;")","보유 유지"),"보유 유지"),"보유 · 점수 없음"),IF(AF98=1,IF(R98&gt;='설정'!$B$5,"편입 후보",""),"")))</f>
        <v/>
      </c>
      <c r="R98" s="15">
        <f>IF(AF98=1,ROUND(IF($B$3=1,50,(_xlfn.RANK.AVG(AO98,$AO$6:$AO$105,1)-1)/($B$3-1)*100),1),"")</f>
        <v/>
      </c>
      <c r="S98">
        <f>IF(A98="","",IF(AF98=1,_xlfn.TEXTJOIN(". ",TRUE,_xlfn.TEXTJOIN(", ",TRUE,IF(AK98&gt;='설정'!$B$20,"수익성 높음",""),IF(AL98&gt;='설정'!$B$20,"성장 빠름",""),IF(AM98&gt;='설정'!$B$20,"가격 쌈",""),IF(AN98&gt;='설정'!$B$20,"추세 좋음","")),_xlfn.TEXTJOIN(", ",TRUE,IF(AK98&lt;'설정'!$B$21,"수익성 낮음",""),IF(AL98&lt;'설정'!$B$21,"성장 느림",""),IF(AM98&lt;'설정'!$B$21,"가격 비쌈",""),IF(AN98&lt;'설정'!$B$21,"추세 약함","")),IF(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="","","보통: "&amp;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)),IF(X98="통과",AE98,X98)))</f>
        <v/>
      </c>
      <c r="T98">
        <f>IF(AF98=1,TEXT(Z98,"0.0%")&amp;" · 상위 "&amp;TEXT(($B$3-_xlfn.RANK.AVG(AG98,$AG$6:$AG$105,1)+1)/$B$3*100,"0")&amp;"%",IF(A98="","",IF(Z98="","결측",TEXT(Z98,"0.0%"))))</f>
        <v/>
      </c>
      <c r="U98">
        <f>IF(AF98=1,TEXT(AA98,"0.0%")&amp;" · 상위 "&amp;TEXT(($B$3-_xlfn.RANK.AVG(AH98,$AH$6:$AH$105,1)+1)/$B$3*100,"0")&amp;"%",IF(A98="","",IF(AA98="","결측",TEXT(AA98,"0.0%"))))</f>
        <v/>
      </c>
      <c r="V98">
        <f>IF(AF98=1,TEXT(AB98,"0.0%")&amp;" · 상위 "&amp;TEXT(($B$3-_xlfn.RANK.AVG(AI98,$AI$6:$AI$105,1)+1)/$B$3*100,"0")&amp;"%",IF(A98="","",IF(AB98="","결측",TEXT(AB98,"0.0%"))))</f>
        <v/>
      </c>
      <c r="W98">
        <f>IF(AF98=1,TEXT(AC98,"0.0%")&amp;" · 상위 "&amp;TEXT(($B$3-_xlfn.RANK.AVG(AJ98,$AJ$6:$AJ$105,1)+1)/$B$3*100,"0")&amp;"%",IF(A98="","",IF(AC98="","결측",TEXT(AC98,"0.0%"))))</f>
        <v/>
      </c>
      <c r="X98">
        <f>IF(A98="","",IF(AR98="","통과","제외: "&amp;AR98))</f>
        <v/>
      </c>
      <c r="Y98" s="21">
        <f>IF(AND(ISNUMBER(G98),ISNUMBER(H98)),IF(G98&gt;0,H98/G98,""),"")</f>
        <v/>
      </c>
      <c r="Z98" s="22">
        <f>IF(AND(ISNUMBER(F98),ISNUMBER(G98)),IF(G98&gt;0,F98/G98,""),"")</f>
        <v/>
      </c>
      <c r="AA98" s="22">
        <f>IF(AND(ISNUMBER(J98),ISNUMBER(K98)),IF(AND(J98&gt;0,K98&gt;0),(J98/K98)^(1/3)-1,""),"")</f>
        <v/>
      </c>
      <c r="AB98" s="22">
        <f>IF(AND(ISNUMBER(I98),ISNUMBER(L98),ISNUMBER(M98),ISNUMBER(N98)),IF((L98+M98-N98)&gt;0,I98/(L98+M98-N98),""),"")</f>
        <v/>
      </c>
      <c r="AC98" s="22">
        <f>IF(AND(ISNUMBER(O98),ISNUMBER(P98)),IF(AND(O98&gt;0,P98&gt;0),P98/O98-1,""),"")</f>
        <v/>
      </c>
      <c r="AD98">
        <f>_xlfn.TEXTJOIN(", ",TRUE,IF(Z98="","ROE",""),IF(AA98="","매출성장률",""),IF(AB98="","이익수익률",""),IF(AC98="","12-1 수익률",""))</f>
        <v/>
      </c>
      <c r="AE98">
        <f>IF(A98="","",IF(AR98&lt;&gt;"","점수 없음(거름망)",IF(AD98="","채점","점수 없음(결측: "&amp;AD98&amp;")")))</f>
        <v/>
      </c>
      <c r="AF98">
        <f>IF(AE98="채점",1,"")</f>
        <v/>
      </c>
      <c r="AG98">
        <f>IF(AF98=1,Z98,"")</f>
        <v/>
      </c>
      <c r="AH98">
        <f>IF(AF98=1,AA98,"")</f>
        <v/>
      </c>
      <c r="AI98">
        <f>IF(AF98=1,AB98,"")</f>
        <v/>
      </c>
      <c r="AJ98">
        <f>IF(AF98=1,AC98,"")</f>
        <v/>
      </c>
      <c r="AK98">
        <f>IF(AF98=1,IF($B$3=1,50,(_xlfn.RANK.AVG(AG98,$AG$6:$AG$105,1)-1)/($B$3-1)*100),"")</f>
        <v/>
      </c>
      <c r="AL98">
        <f>IF(AF98=1,IF($B$3=1,50,(_xlfn.RANK.AVG(AH98,$AH$6:$AH$105,1)-1)/($B$3-1)*100),"")</f>
        <v/>
      </c>
      <c r="AM98">
        <f>IF(AF98=1,IF($B$3=1,50,(_xlfn.RANK.AVG(AI98,$AI$6:$AI$105,1)-1)/($B$3-1)*100),"")</f>
        <v/>
      </c>
      <c r="AN98">
        <f>IF(AF98=1,IF($B$3=1,50,(_xlfn.RANK.AVG(AJ98,$AJ$6:$AJ$105,1)-1)/($B$3-1)*100),"")</f>
        <v/>
      </c>
      <c r="AO98">
        <f>IF(AF98=1,ROUND(AVERAGE(AK98:AN98),6),"")</f>
        <v/>
      </c>
      <c r="AP98">
        <f>IF(AND(AF98=1,C98&lt;&gt;"Y"),R98,"")</f>
        <v/>
      </c>
      <c r="AQ98">
        <f>IF(AND(ISNUMBER(AP98),Q98="편입 후보"),AP98+(1000-ROW())/1000000,"")</f>
        <v/>
      </c>
      <c r="AR98">
        <f>IF(A98="","",_xlfn.TEXTJOIN(", ",TRUE,IF(D98="Y","금융·리츠",""),IF(NOT(ISNUMBER(I98)),"영업이익 없음",IF(I98&lt;=0,"영업적자","")),IF(OR(NOT(ISNUMBER(G98)),NOT(ISNUMBER(H98))),"부채비율 자료 없음",IF(G98&lt;=0,"자본잠식",IF(H98/G98&gt;'설정'!$B$8,"부채비율 초과",""))),IF(NOT(ISNUMBER(L98)),"시총 없음",IF(L98&lt;'설정'!$B$10,"시총 미달",""))))</f>
        <v/>
      </c>
    </row>
    <row r="99">
      <c r="A99" s="18" t="n"/>
      <c r="B99" s="19" t="n"/>
      <c r="C99" s="19" t="n"/>
      <c r="D99" s="19" t="n"/>
      <c r="E99" s="19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3" t="n"/>
      <c r="P99" s="23" t="n"/>
      <c r="Q99" s="7">
        <f>IF(A99="","",IF(C99="Y",IF(AF99=1,IF(AND(R99&lt;'설정'!$B$6,ISNUMBER($H$3)),IF(ROUND($H$3-R99,1)&gt;='설정'!$B$7,"교체 제안 → "&amp;$E$3&amp;" ("&amp;TEXT($H$3,"0.0")&amp;")","보유 유지"),"보유 유지"),"보유 · 점수 없음"),IF(AF99=1,IF(R99&gt;='설정'!$B$5,"편입 후보",""),"")))</f>
        <v/>
      </c>
      <c r="R99" s="15">
        <f>IF(AF99=1,ROUND(IF($B$3=1,50,(_xlfn.RANK.AVG(AO99,$AO$6:$AO$105,1)-1)/($B$3-1)*100),1),"")</f>
        <v/>
      </c>
      <c r="S99">
        <f>IF(A99="","",IF(AF99=1,_xlfn.TEXTJOIN(". ",TRUE,_xlfn.TEXTJOIN(", ",TRUE,IF(AK99&gt;='설정'!$B$20,"수익성 높음",""),IF(AL99&gt;='설정'!$B$20,"성장 빠름",""),IF(AM99&gt;='설정'!$B$20,"가격 쌈",""),IF(AN99&gt;='설정'!$B$20,"추세 좋음","")),_xlfn.TEXTJOIN(", ",TRUE,IF(AK99&lt;'설정'!$B$21,"수익성 낮음",""),IF(AL99&lt;'설정'!$B$21,"성장 느림",""),IF(AM99&lt;'설정'!$B$21,"가격 비쌈",""),IF(AN99&lt;'설정'!$B$21,"추세 약함","")),IF(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="","","보통: "&amp;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)),IF(X99="통과",AE99,X99)))</f>
        <v/>
      </c>
      <c r="T99">
        <f>IF(AF99=1,TEXT(Z99,"0.0%")&amp;" · 상위 "&amp;TEXT(($B$3-_xlfn.RANK.AVG(AG99,$AG$6:$AG$105,1)+1)/$B$3*100,"0")&amp;"%",IF(A99="","",IF(Z99="","결측",TEXT(Z99,"0.0%"))))</f>
        <v/>
      </c>
      <c r="U99">
        <f>IF(AF99=1,TEXT(AA99,"0.0%")&amp;" · 상위 "&amp;TEXT(($B$3-_xlfn.RANK.AVG(AH99,$AH$6:$AH$105,1)+1)/$B$3*100,"0")&amp;"%",IF(A99="","",IF(AA99="","결측",TEXT(AA99,"0.0%"))))</f>
        <v/>
      </c>
      <c r="V99">
        <f>IF(AF99=1,TEXT(AB99,"0.0%")&amp;" · 상위 "&amp;TEXT(($B$3-_xlfn.RANK.AVG(AI99,$AI$6:$AI$105,1)+1)/$B$3*100,"0")&amp;"%",IF(A99="","",IF(AB99="","결측",TEXT(AB99,"0.0%"))))</f>
        <v/>
      </c>
      <c r="W99">
        <f>IF(AF99=1,TEXT(AC99,"0.0%")&amp;" · 상위 "&amp;TEXT(($B$3-_xlfn.RANK.AVG(AJ99,$AJ$6:$AJ$105,1)+1)/$B$3*100,"0")&amp;"%",IF(A99="","",IF(AC99="","결측",TEXT(AC99,"0.0%"))))</f>
        <v/>
      </c>
      <c r="X99">
        <f>IF(A99="","",IF(AR99="","통과","제외: "&amp;AR99))</f>
        <v/>
      </c>
      <c r="Y99" s="21">
        <f>IF(AND(ISNUMBER(G99),ISNUMBER(H99)),IF(G99&gt;0,H99/G99,""),"")</f>
        <v/>
      </c>
      <c r="Z99" s="22">
        <f>IF(AND(ISNUMBER(F99),ISNUMBER(G99)),IF(G99&gt;0,F99/G99,""),"")</f>
        <v/>
      </c>
      <c r="AA99" s="22">
        <f>IF(AND(ISNUMBER(J99),ISNUMBER(K99)),IF(AND(J99&gt;0,K99&gt;0),(J99/K99)^(1/3)-1,""),"")</f>
        <v/>
      </c>
      <c r="AB99" s="22">
        <f>IF(AND(ISNUMBER(I99),ISNUMBER(L99),ISNUMBER(M99),ISNUMBER(N99)),IF((L99+M99-N99)&gt;0,I99/(L99+M99-N99),""),"")</f>
        <v/>
      </c>
      <c r="AC99" s="22">
        <f>IF(AND(ISNUMBER(O99),ISNUMBER(P99)),IF(AND(O99&gt;0,P99&gt;0),P99/O99-1,""),"")</f>
        <v/>
      </c>
      <c r="AD99">
        <f>_xlfn.TEXTJOIN(", ",TRUE,IF(Z99="","ROE",""),IF(AA99="","매출성장률",""),IF(AB99="","이익수익률",""),IF(AC99="","12-1 수익률",""))</f>
        <v/>
      </c>
      <c r="AE99">
        <f>IF(A99="","",IF(AR99&lt;&gt;"","점수 없음(거름망)",IF(AD99="","채점","점수 없음(결측: "&amp;AD99&amp;")")))</f>
        <v/>
      </c>
      <c r="AF99">
        <f>IF(AE99="채점",1,"")</f>
        <v/>
      </c>
      <c r="AG99">
        <f>IF(AF99=1,Z99,"")</f>
        <v/>
      </c>
      <c r="AH99">
        <f>IF(AF99=1,AA99,"")</f>
        <v/>
      </c>
      <c r="AI99">
        <f>IF(AF99=1,AB99,"")</f>
        <v/>
      </c>
      <c r="AJ99">
        <f>IF(AF99=1,AC99,"")</f>
        <v/>
      </c>
      <c r="AK99">
        <f>IF(AF99=1,IF($B$3=1,50,(_xlfn.RANK.AVG(AG99,$AG$6:$AG$105,1)-1)/($B$3-1)*100),"")</f>
        <v/>
      </c>
      <c r="AL99">
        <f>IF(AF99=1,IF($B$3=1,50,(_xlfn.RANK.AVG(AH99,$AH$6:$AH$105,1)-1)/($B$3-1)*100),"")</f>
        <v/>
      </c>
      <c r="AM99">
        <f>IF(AF99=1,IF($B$3=1,50,(_xlfn.RANK.AVG(AI99,$AI$6:$AI$105,1)-1)/($B$3-1)*100),"")</f>
        <v/>
      </c>
      <c r="AN99">
        <f>IF(AF99=1,IF($B$3=1,50,(_xlfn.RANK.AVG(AJ99,$AJ$6:$AJ$105,1)-1)/($B$3-1)*100),"")</f>
        <v/>
      </c>
      <c r="AO99">
        <f>IF(AF99=1,ROUND(AVERAGE(AK99:AN99),6),"")</f>
        <v/>
      </c>
      <c r="AP99">
        <f>IF(AND(AF99=1,C99&lt;&gt;"Y"),R99,"")</f>
        <v/>
      </c>
      <c r="AQ99">
        <f>IF(AND(ISNUMBER(AP99),Q99="편입 후보"),AP99+(1000-ROW())/1000000,"")</f>
        <v/>
      </c>
      <c r="AR99">
        <f>IF(A99="","",_xlfn.TEXTJOIN(", ",TRUE,IF(D99="Y","금융·리츠",""),IF(NOT(ISNUMBER(I99)),"영업이익 없음",IF(I99&lt;=0,"영업적자","")),IF(OR(NOT(ISNUMBER(G99)),NOT(ISNUMBER(H99))),"부채비율 자료 없음",IF(G99&lt;=0,"자본잠식",IF(H99/G99&gt;'설정'!$B$8,"부채비율 초과",""))),IF(NOT(ISNUMBER(L99)),"시총 없음",IF(L99&lt;'설정'!$B$10,"시총 미달",""))))</f>
        <v/>
      </c>
    </row>
    <row r="100">
      <c r="A100" s="18" t="n"/>
      <c r="B100" s="19" t="n"/>
      <c r="C100" s="19" t="n"/>
      <c r="D100" s="19" t="n"/>
      <c r="E100" s="19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3" t="n"/>
      <c r="P100" s="23" t="n"/>
      <c r="Q100" s="7">
        <f>IF(A100="","",IF(C100="Y",IF(AF100=1,IF(AND(R100&lt;'설정'!$B$6,ISNUMBER($H$3)),IF(ROUND($H$3-R100,1)&gt;='설정'!$B$7,"교체 제안 → "&amp;$E$3&amp;" ("&amp;TEXT($H$3,"0.0")&amp;")","보유 유지"),"보유 유지"),"보유 · 점수 없음"),IF(AF100=1,IF(R100&gt;='설정'!$B$5,"편입 후보",""),"")))</f>
        <v/>
      </c>
      <c r="R100" s="15">
        <f>IF(AF100=1,ROUND(IF($B$3=1,50,(_xlfn.RANK.AVG(AO100,$AO$6:$AO$105,1)-1)/($B$3-1)*100),1),"")</f>
        <v/>
      </c>
      <c r="S100">
        <f>IF(A100="","",IF(AF100=1,_xlfn.TEXTJOIN(". ",TRUE,_xlfn.TEXTJOIN(", ",TRUE,IF(AK100&gt;='설정'!$B$20,"수익성 높음",""),IF(AL100&gt;='설정'!$B$20,"성장 빠름",""),IF(AM100&gt;='설정'!$B$20,"가격 쌈",""),IF(AN100&gt;='설정'!$B$20,"추세 좋음","")),_xlfn.TEXTJOIN(", ",TRUE,IF(AK100&lt;'설정'!$B$21,"수익성 낮음",""),IF(AL100&lt;'설정'!$B$21,"성장 느림",""),IF(AM100&lt;'설정'!$B$21,"가격 비쌈",""),IF(AN100&lt;'설정'!$B$21,"추세 약함","")),IF(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="","","보통: "&amp;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)),IF(X100="통과",AE100,X100)))</f>
        <v/>
      </c>
      <c r="T100">
        <f>IF(AF100=1,TEXT(Z100,"0.0%")&amp;" · 상위 "&amp;TEXT(($B$3-_xlfn.RANK.AVG(AG100,$AG$6:$AG$105,1)+1)/$B$3*100,"0")&amp;"%",IF(A100="","",IF(Z100="","결측",TEXT(Z100,"0.0%"))))</f>
        <v/>
      </c>
      <c r="U100">
        <f>IF(AF100=1,TEXT(AA100,"0.0%")&amp;" · 상위 "&amp;TEXT(($B$3-_xlfn.RANK.AVG(AH100,$AH$6:$AH$105,1)+1)/$B$3*100,"0")&amp;"%",IF(A100="","",IF(AA100="","결측",TEXT(AA100,"0.0%"))))</f>
        <v/>
      </c>
      <c r="V100">
        <f>IF(AF100=1,TEXT(AB100,"0.0%")&amp;" · 상위 "&amp;TEXT(($B$3-_xlfn.RANK.AVG(AI100,$AI$6:$AI$105,1)+1)/$B$3*100,"0")&amp;"%",IF(A100="","",IF(AB100="","결측",TEXT(AB100,"0.0%"))))</f>
        <v/>
      </c>
      <c r="W100">
        <f>IF(AF100=1,TEXT(AC100,"0.0%")&amp;" · 상위 "&amp;TEXT(($B$3-_xlfn.RANK.AVG(AJ100,$AJ$6:$AJ$105,1)+1)/$B$3*100,"0")&amp;"%",IF(A100="","",IF(AC100="","결측",TEXT(AC100,"0.0%"))))</f>
        <v/>
      </c>
      <c r="X100">
        <f>IF(A100="","",IF(AR100="","통과","제외: "&amp;AR100))</f>
        <v/>
      </c>
      <c r="Y100" s="21">
        <f>IF(AND(ISNUMBER(G100),ISNUMBER(H100)),IF(G100&gt;0,H100/G100,""),"")</f>
        <v/>
      </c>
      <c r="Z100" s="22">
        <f>IF(AND(ISNUMBER(F100),ISNUMBER(G100)),IF(G100&gt;0,F100/G100,""),"")</f>
        <v/>
      </c>
      <c r="AA100" s="22">
        <f>IF(AND(ISNUMBER(J100),ISNUMBER(K100)),IF(AND(J100&gt;0,K100&gt;0),(J100/K100)^(1/3)-1,""),"")</f>
        <v/>
      </c>
      <c r="AB100" s="22">
        <f>IF(AND(ISNUMBER(I100),ISNUMBER(L100),ISNUMBER(M100),ISNUMBER(N100)),IF((L100+M100-N100)&gt;0,I100/(L100+M100-N100),""),"")</f>
        <v/>
      </c>
      <c r="AC100" s="22">
        <f>IF(AND(ISNUMBER(O100),ISNUMBER(P100)),IF(AND(O100&gt;0,P100&gt;0),P100/O100-1,""),"")</f>
        <v/>
      </c>
      <c r="AD100">
        <f>_xlfn.TEXTJOIN(", ",TRUE,IF(Z100="","ROE",""),IF(AA100="","매출성장률",""),IF(AB100="","이익수익률",""),IF(AC100="","12-1 수익률",""))</f>
        <v/>
      </c>
      <c r="AE100">
        <f>IF(A100="","",IF(AR100&lt;&gt;"","점수 없음(거름망)",IF(AD100="","채점","점수 없음(결측: "&amp;AD100&amp;")")))</f>
        <v/>
      </c>
      <c r="AF100">
        <f>IF(AE100="채점",1,"")</f>
        <v/>
      </c>
      <c r="AG100">
        <f>IF(AF100=1,Z100,"")</f>
        <v/>
      </c>
      <c r="AH100">
        <f>IF(AF100=1,AA100,"")</f>
        <v/>
      </c>
      <c r="AI100">
        <f>IF(AF100=1,AB100,"")</f>
        <v/>
      </c>
      <c r="AJ100">
        <f>IF(AF100=1,AC100,"")</f>
        <v/>
      </c>
      <c r="AK100">
        <f>IF(AF100=1,IF($B$3=1,50,(_xlfn.RANK.AVG(AG100,$AG$6:$AG$105,1)-1)/($B$3-1)*100),"")</f>
        <v/>
      </c>
      <c r="AL100">
        <f>IF(AF100=1,IF($B$3=1,50,(_xlfn.RANK.AVG(AH100,$AH$6:$AH$105,1)-1)/($B$3-1)*100),"")</f>
        <v/>
      </c>
      <c r="AM100">
        <f>IF(AF100=1,IF($B$3=1,50,(_xlfn.RANK.AVG(AI100,$AI$6:$AI$105,1)-1)/($B$3-1)*100),"")</f>
        <v/>
      </c>
      <c r="AN100">
        <f>IF(AF100=1,IF($B$3=1,50,(_xlfn.RANK.AVG(AJ100,$AJ$6:$AJ$105,1)-1)/($B$3-1)*100),"")</f>
        <v/>
      </c>
      <c r="AO100">
        <f>IF(AF100=1,ROUND(AVERAGE(AK100:AN100),6),"")</f>
        <v/>
      </c>
      <c r="AP100">
        <f>IF(AND(AF100=1,C100&lt;&gt;"Y"),R100,"")</f>
        <v/>
      </c>
      <c r="AQ100">
        <f>IF(AND(ISNUMBER(AP100),Q100="편입 후보"),AP100+(1000-ROW())/1000000,"")</f>
        <v/>
      </c>
      <c r="AR100">
        <f>IF(A100="","",_xlfn.TEXTJOIN(", ",TRUE,IF(D100="Y","금융·리츠",""),IF(NOT(ISNUMBER(I100)),"영업이익 없음",IF(I100&lt;=0,"영업적자","")),IF(OR(NOT(ISNUMBER(G100)),NOT(ISNUMBER(H100))),"부채비율 자료 없음",IF(G100&lt;=0,"자본잠식",IF(H100/G100&gt;'설정'!$B$8,"부채비율 초과",""))),IF(NOT(ISNUMBER(L100)),"시총 없음",IF(L100&lt;'설정'!$B$10,"시총 미달",""))))</f>
        <v/>
      </c>
    </row>
    <row r="101">
      <c r="A101" s="18" t="n"/>
      <c r="B101" s="19" t="n"/>
      <c r="C101" s="19" t="n"/>
      <c r="D101" s="19" t="n"/>
      <c r="E101" s="19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3" t="n"/>
      <c r="P101" s="23" t="n"/>
      <c r="Q101" s="7">
        <f>IF(A101="","",IF(C101="Y",IF(AF101=1,IF(AND(R101&lt;'설정'!$B$6,ISNUMBER($H$3)),IF(ROUND($H$3-R101,1)&gt;='설정'!$B$7,"교체 제안 → "&amp;$E$3&amp;" ("&amp;TEXT($H$3,"0.0")&amp;")","보유 유지"),"보유 유지"),"보유 · 점수 없음"),IF(AF101=1,IF(R101&gt;='설정'!$B$5,"편입 후보",""),"")))</f>
        <v/>
      </c>
      <c r="R101" s="15">
        <f>IF(AF101=1,ROUND(IF($B$3=1,50,(_xlfn.RANK.AVG(AO101,$AO$6:$AO$105,1)-1)/($B$3-1)*100),1),"")</f>
        <v/>
      </c>
      <c r="S101">
        <f>IF(A101="","",IF(AF101=1,_xlfn.TEXTJOIN(". ",TRUE,_xlfn.TEXTJOIN(", ",TRUE,IF(AK101&gt;='설정'!$B$20,"수익성 높음",""),IF(AL101&gt;='설정'!$B$20,"성장 빠름",""),IF(AM101&gt;='설정'!$B$20,"가격 쌈",""),IF(AN101&gt;='설정'!$B$20,"추세 좋음","")),_xlfn.TEXTJOIN(", ",TRUE,IF(AK101&lt;'설정'!$B$21,"수익성 낮음",""),IF(AL101&lt;'설정'!$B$21,"성장 느림",""),IF(AM101&lt;'설정'!$B$21,"가격 비쌈",""),IF(AN101&lt;'설정'!$B$21,"추세 약함","")),IF(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="","","보통: "&amp;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)),IF(X101="통과",AE101,X101)))</f>
        <v/>
      </c>
      <c r="T101">
        <f>IF(AF101=1,TEXT(Z101,"0.0%")&amp;" · 상위 "&amp;TEXT(($B$3-_xlfn.RANK.AVG(AG101,$AG$6:$AG$105,1)+1)/$B$3*100,"0")&amp;"%",IF(A101="","",IF(Z101="","결측",TEXT(Z101,"0.0%"))))</f>
        <v/>
      </c>
      <c r="U101">
        <f>IF(AF101=1,TEXT(AA101,"0.0%")&amp;" · 상위 "&amp;TEXT(($B$3-_xlfn.RANK.AVG(AH101,$AH$6:$AH$105,1)+1)/$B$3*100,"0")&amp;"%",IF(A101="","",IF(AA101="","결측",TEXT(AA101,"0.0%"))))</f>
        <v/>
      </c>
      <c r="V101">
        <f>IF(AF101=1,TEXT(AB101,"0.0%")&amp;" · 상위 "&amp;TEXT(($B$3-_xlfn.RANK.AVG(AI101,$AI$6:$AI$105,1)+1)/$B$3*100,"0")&amp;"%",IF(A101="","",IF(AB101="","결측",TEXT(AB101,"0.0%"))))</f>
        <v/>
      </c>
      <c r="W101">
        <f>IF(AF101=1,TEXT(AC101,"0.0%")&amp;" · 상위 "&amp;TEXT(($B$3-_xlfn.RANK.AVG(AJ101,$AJ$6:$AJ$105,1)+1)/$B$3*100,"0")&amp;"%",IF(A101="","",IF(AC101="","결측",TEXT(AC101,"0.0%"))))</f>
        <v/>
      </c>
      <c r="X101">
        <f>IF(A101="","",IF(AR101="","통과","제외: "&amp;AR101))</f>
        <v/>
      </c>
      <c r="Y101" s="21">
        <f>IF(AND(ISNUMBER(G101),ISNUMBER(H101)),IF(G101&gt;0,H101/G101,""),"")</f>
        <v/>
      </c>
      <c r="Z101" s="22">
        <f>IF(AND(ISNUMBER(F101),ISNUMBER(G101)),IF(G101&gt;0,F101/G101,""),"")</f>
        <v/>
      </c>
      <c r="AA101" s="22">
        <f>IF(AND(ISNUMBER(J101),ISNUMBER(K101)),IF(AND(J101&gt;0,K101&gt;0),(J101/K101)^(1/3)-1,""),"")</f>
        <v/>
      </c>
      <c r="AB101" s="22">
        <f>IF(AND(ISNUMBER(I101),ISNUMBER(L101),ISNUMBER(M101),ISNUMBER(N101)),IF((L101+M101-N101)&gt;0,I101/(L101+M101-N101),""),"")</f>
        <v/>
      </c>
      <c r="AC101" s="22">
        <f>IF(AND(ISNUMBER(O101),ISNUMBER(P101)),IF(AND(O101&gt;0,P101&gt;0),P101/O101-1,""),"")</f>
        <v/>
      </c>
      <c r="AD101">
        <f>_xlfn.TEXTJOIN(", ",TRUE,IF(Z101="","ROE",""),IF(AA101="","매출성장률",""),IF(AB101="","이익수익률",""),IF(AC101="","12-1 수익률",""))</f>
        <v/>
      </c>
      <c r="AE101">
        <f>IF(A101="","",IF(AR101&lt;&gt;"","점수 없음(거름망)",IF(AD101="","채점","점수 없음(결측: "&amp;AD101&amp;")")))</f>
        <v/>
      </c>
      <c r="AF101">
        <f>IF(AE101="채점",1,"")</f>
        <v/>
      </c>
      <c r="AG101">
        <f>IF(AF101=1,Z101,"")</f>
        <v/>
      </c>
      <c r="AH101">
        <f>IF(AF101=1,AA101,"")</f>
        <v/>
      </c>
      <c r="AI101">
        <f>IF(AF101=1,AB101,"")</f>
        <v/>
      </c>
      <c r="AJ101">
        <f>IF(AF101=1,AC101,"")</f>
        <v/>
      </c>
      <c r="AK101">
        <f>IF(AF101=1,IF($B$3=1,50,(_xlfn.RANK.AVG(AG101,$AG$6:$AG$105,1)-1)/($B$3-1)*100),"")</f>
        <v/>
      </c>
      <c r="AL101">
        <f>IF(AF101=1,IF($B$3=1,50,(_xlfn.RANK.AVG(AH101,$AH$6:$AH$105,1)-1)/($B$3-1)*100),"")</f>
        <v/>
      </c>
      <c r="AM101">
        <f>IF(AF101=1,IF($B$3=1,50,(_xlfn.RANK.AVG(AI101,$AI$6:$AI$105,1)-1)/($B$3-1)*100),"")</f>
        <v/>
      </c>
      <c r="AN101">
        <f>IF(AF101=1,IF($B$3=1,50,(_xlfn.RANK.AVG(AJ101,$AJ$6:$AJ$105,1)-1)/($B$3-1)*100),"")</f>
        <v/>
      </c>
      <c r="AO101">
        <f>IF(AF101=1,ROUND(AVERAGE(AK101:AN101),6),"")</f>
        <v/>
      </c>
      <c r="AP101">
        <f>IF(AND(AF101=1,C101&lt;&gt;"Y"),R101,"")</f>
        <v/>
      </c>
      <c r="AQ101">
        <f>IF(AND(ISNUMBER(AP101),Q101="편입 후보"),AP101+(1000-ROW())/1000000,"")</f>
        <v/>
      </c>
      <c r="AR101">
        <f>IF(A101="","",_xlfn.TEXTJOIN(", ",TRUE,IF(D101="Y","금융·리츠",""),IF(NOT(ISNUMBER(I101)),"영업이익 없음",IF(I101&lt;=0,"영업적자","")),IF(OR(NOT(ISNUMBER(G101)),NOT(ISNUMBER(H101))),"부채비율 자료 없음",IF(G101&lt;=0,"자본잠식",IF(H101/G101&gt;'설정'!$B$8,"부채비율 초과",""))),IF(NOT(ISNUMBER(L101)),"시총 없음",IF(L101&lt;'설정'!$B$10,"시총 미달",""))))</f>
        <v/>
      </c>
    </row>
    <row r="102">
      <c r="A102" s="18" t="n"/>
      <c r="B102" s="19" t="n"/>
      <c r="C102" s="19" t="n"/>
      <c r="D102" s="19" t="n"/>
      <c r="E102" s="19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3" t="n"/>
      <c r="P102" s="23" t="n"/>
      <c r="Q102" s="7">
        <f>IF(A102="","",IF(C102="Y",IF(AF102=1,IF(AND(R102&lt;'설정'!$B$6,ISNUMBER($H$3)),IF(ROUND($H$3-R102,1)&gt;='설정'!$B$7,"교체 제안 → "&amp;$E$3&amp;" ("&amp;TEXT($H$3,"0.0")&amp;")","보유 유지"),"보유 유지"),"보유 · 점수 없음"),IF(AF102=1,IF(R102&gt;='설정'!$B$5,"편입 후보",""),"")))</f>
        <v/>
      </c>
      <c r="R102" s="15">
        <f>IF(AF102=1,ROUND(IF($B$3=1,50,(_xlfn.RANK.AVG(AO102,$AO$6:$AO$105,1)-1)/($B$3-1)*100),1),"")</f>
        <v/>
      </c>
      <c r="S102">
        <f>IF(A102="","",IF(AF102=1,_xlfn.TEXTJOIN(". ",TRUE,_xlfn.TEXTJOIN(", ",TRUE,IF(AK102&gt;='설정'!$B$20,"수익성 높음",""),IF(AL102&gt;='설정'!$B$20,"성장 빠름",""),IF(AM102&gt;='설정'!$B$20,"가격 쌈",""),IF(AN102&gt;='설정'!$B$20,"추세 좋음","")),_xlfn.TEXTJOIN(", ",TRUE,IF(AK102&lt;'설정'!$B$21,"수익성 낮음",""),IF(AL102&lt;'설정'!$B$21,"성장 느림",""),IF(AM102&lt;'설정'!$B$21,"가격 비쌈",""),IF(AN102&lt;'설정'!$B$21,"추세 약함","")),IF(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="","","보통: "&amp;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)),IF(X102="통과",AE102,X102)))</f>
        <v/>
      </c>
      <c r="T102">
        <f>IF(AF102=1,TEXT(Z102,"0.0%")&amp;" · 상위 "&amp;TEXT(($B$3-_xlfn.RANK.AVG(AG102,$AG$6:$AG$105,1)+1)/$B$3*100,"0")&amp;"%",IF(A102="","",IF(Z102="","결측",TEXT(Z102,"0.0%"))))</f>
        <v/>
      </c>
      <c r="U102">
        <f>IF(AF102=1,TEXT(AA102,"0.0%")&amp;" · 상위 "&amp;TEXT(($B$3-_xlfn.RANK.AVG(AH102,$AH$6:$AH$105,1)+1)/$B$3*100,"0")&amp;"%",IF(A102="","",IF(AA102="","결측",TEXT(AA102,"0.0%"))))</f>
        <v/>
      </c>
      <c r="V102">
        <f>IF(AF102=1,TEXT(AB102,"0.0%")&amp;" · 상위 "&amp;TEXT(($B$3-_xlfn.RANK.AVG(AI102,$AI$6:$AI$105,1)+1)/$B$3*100,"0")&amp;"%",IF(A102="","",IF(AB102="","결측",TEXT(AB102,"0.0%"))))</f>
        <v/>
      </c>
      <c r="W102">
        <f>IF(AF102=1,TEXT(AC102,"0.0%")&amp;" · 상위 "&amp;TEXT(($B$3-_xlfn.RANK.AVG(AJ102,$AJ$6:$AJ$105,1)+1)/$B$3*100,"0")&amp;"%",IF(A102="","",IF(AC102="","결측",TEXT(AC102,"0.0%"))))</f>
        <v/>
      </c>
      <c r="X102">
        <f>IF(A102="","",IF(AR102="","통과","제외: "&amp;AR102))</f>
        <v/>
      </c>
      <c r="Y102" s="21">
        <f>IF(AND(ISNUMBER(G102),ISNUMBER(H102)),IF(G102&gt;0,H102/G102,""),"")</f>
        <v/>
      </c>
      <c r="Z102" s="22">
        <f>IF(AND(ISNUMBER(F102),ISNUMBER(G102)),IF(G102&gt;0,F102/G102,""),"")</f>
        <v/>
      </c>
      <c r="AA102" s="22">
        <f>IF(AND(ISNUMBER(J102),ISNUMBER(K102)),IF(AND(J102&gt;0,K102&gt;0),(J102/K102)^(1/3)-1,""),"")</f>
        <v/>
      </c>
      <c r="AB102" s="22">
        <f>IF(AND(ISNUMBER(I102),ISNUMBER(L102),ISNUMBER(M102),ISNUMBER(N102)),IF((L102+M102-N102)&gt;0,I102/(L102+M102-N102),""),"")</f>
        <v/>
      </c>
      <c r="AC102" s="22">
        <f>IF(AND(ISNUMBER(O102),ISNUMBER(P102)),IF(AND(O102&gt;0,P102&gt;0),P102/O102-1,""),"")</f>
        <v/>
      </c>
      <c r="AD102">
        <f>_xlfn.TEXTJOIN(", ",TRUE,IF(Z102="","ROE",""),IF(AA102="","매출성장률",""),IF(AB102="","이익수익률",""),IF(AC102="","12-1 수익률",""))</f>
        <v/>
      </c>
      <c r="AE102">
        <f>IF(A102="","",IF(AR102&lt;&gt;"","점수 없음(거름망)",IF(AD102="","채점","점수 없음(결측: "&amp;AD102&amp;")")))</f>
        <v/>
      </c>
      <c r="AF102">
        <f>IF(AE102="채점",1,"")</f>
        <v/>
      </c>
      <c r="AG102">
        <f>IF(AF102=1,Z102,"")</f>
        <v/>
      </c>
      <c r="AH102">
        <f>IF(AF102=1,AA102,"")</f>
        <v/>
      </c>
      <c r="AI102">
        <f>IF(AF102=1,AB102,"")</f>
        <v/>
      </c>
      <c r="AJ102">
        <f>IF(AF102=1,AC102,"")</f>
        <v/>
      </c>
      <c r="AK102">
        <f>IF(AF102=1,IF($B$3=1,50,(_xlfn.RANK.AVG(AG102,$AG$6:$AG$105,1)-1)/($B$3-1)*100),"")</f>
        <v/>
      </c>
      <c r="AL102">
        <f>IF(AF102=1,IF($B$3=1,50,(_xlfn.RANK.AVG(AH102,$AH$6:$AH$105,1)-1)/($B$3-1)*100),"")</f>
        <v/>
      </c>
      <c r="AM102">
        <f>IF(AF102=1,IF($B$3=1,50,(_xlfn.RANK.AVG(AI102,$AI$6:$AI$105,1)-1)/($B$3-1)*100),"")</f>
        <v/>
      </c>
      <c r="AN102">
        <f>IF(AF102=1,IF($B$3=1,50,(_xlfn.RANK.AVG(AJ102,$AJ$6:$AJ$105,1)-1)/($B$3-1)*100),"")</f>
        <v/>
      </c>
      <c r="AO102">
        <f>IF(AF102=1,ROUND(AVERAGE(AK102:AN102),6),"")</f>
        <v/>
      </c>
      <c r="AP102">
        <f>IF(AND(AF102=1,C102&lt;&gt;"Y"),R102,"")</f>
        <v/>
      </c>
      <c r="AQ102">
        <f>IF(AND(ISNUMBER(AP102),Q102="편입 후보"),AP102+(1000-ROW())/1000000,"")</f>
        <v/>
      </c>
      <c r="AR102">
        <f>IF(A102="","",_xlfn.TEXTJOIN(", ",TRUE,IF(D102="Y","금융·리츠",""),IF(NOT(ISNUMBER(I102)),"영업이익 없음",IF(I102&lt;=0,"영업적자","")),IF(OR(NOT(ISNUMBER(G102)),NOT(ISNUMBER(H102))),"부채비율 자료 없음",IF(G102&lt;=0,"자본잠식",IF(H102/G102&gt;'설정'!$B$8,"부채비율 초과",""))),IF(NOT(ISNUMBER(L102)),"시총 없음",IF(L102&lt;'설정'!$B$10,"시총 미달",""))))</f>
        <v/>
      </c>
    </row>
    <row r="103">
      <c r="A103" s="18" t="n"/>
      <c r="B103" s="19" t="n"/>
      <c r="C103" s="19" t="n"/>
      <c r="D103" s="19" t="n"/>
      <c r="E103" s="19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3" t="n"/>
      <c r="P103" s="23" t="n"/>
      <c r="Q103" s="7">
        <f>IF(A103="","",IF(C103="Y",IF(AF103=1,IF(AND(R103&lt;'설정'!$B$6,ISNUMBER($H$3)),IF(ROUND($H$3-R103,1)&gt;='설정'!$B$7,"교체 제안 → "&amp;$E$3&amp;" ("&amp;TEXT($H$3,"0.0")&amp;")","보유 유지"),"보유 유지"),"보유 · 점수 없음"),IF(AF103=1,IF(R103&gt;='설정'!$B$5,"편입 후보",""),"")))</f>
        <v/>
      </c>
      <c r="R103" s="15">
        <f>IF(AF103=1,ROUND(IF($B$3=1,50,(_xlfn.RANK.AVG(AO103,$AO$6:$AO$105,1)-1)/($B$3-1)*100),1),"")</f>
        <v/>
      </c>
      <c r="S103">
        <f>IF(A103="","",IF(AF103=1,_xlfn.TEXTJOIN(". ",TRUE,_xlfn.TEXTJOIN(", ",TRUE,IF(AK103&gt;='설정'!$B$20,"수익성 높음",""),IF(AL103&gt;='설정'!$B$20,"성장 빠름",""),IF(AM103&gt;='설정'!$B$20,"가격 쌈",""),IF(AN103&gt;='설정'!$B$20,"추세 좋음","")),_xlfn.TEXTJOIN(", ",TRUE,IF(AK103&lt;'설정'!$B$21,"수익성 낮음",""),IF(AL103&lt;'설정'!$B$21,"성장 느림",""),IF(AM103&lt;'설정'!$B$21,"가격 비쌈",""),IF(AN103&lt;'설정'!$B$21,"추세 약함","")),IF(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="","","보통: "&amp;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)),IF(X103="통과",AE103,X103)))</f>
        <v/>
      </c>
      <c r="T103">
        <f>IF(AF103=1,TEXT(Z103,"0.0%")&amp;" · 상위 "&amp;TEXT(($B$3-_xlfn.RANK.AVG(AG103,$AG$6:$AG$105,1)+1)/$B$3*100,"0")&amp;"%",IF(A103="","",IF(Z103="","결측",TEXT(Z103,"0.0%"))))</f>
        <v/>
      </c>
      <c r="U103">
        <f>IF(AF103=1,TEXT(AA103,"0.0%")&amp;" · 상위 "&amp;TEXT(($B$3-_xlfn.RANK.AVG(AH103,$AH$6:$AH$105,1)+1)/$B$3*100,"0")&amp;"%",IF(A103="","",IF(AA103="","결측",TEXT(AA103,"0.0%"))))</f>
        <v/>
      </c>
      <c r="V103">
        <f>IF(AF103=1,TEXT(AB103,"0.0%")&amp;" · 상위 "&amp;TEXT(($B$3-_xlfn.RANK.AVG(AI103,$AI$6:$AI$105,1)+1)/$B$3*100,"0")&amp;"%",IF(A103="","",IF(AB103="","결측",TEXT(AB103,"0.0%"))))</f>
        <v/>
      </c>
      <c r="W103">
        <f>IF(AF103=1,TEXT(AC103,"0.0%")&amp;" · 상위 "&amp;TEXT(($B$3-_xlfn.RANK.AVG(AJ103,$AJ$6:$AJ$105,1)+1)/$B$3*100,"0")&amp;"%",IF(A103="","",IF(AC103="","결측",TEXT(AC103,"0.0%"))))</f>
        <v/>
      </c>
      <c r="X103">
        <f>IF(A103="","",IF(AR103="","통과","제외: "&amp;AR103))</f>
        <v/>
      </c>
      <c r="Y103" s="21">
        <f>IF(AND(ISNUMBER(G103),ISNUMBER(H103)),IF(G103&gt;0,H103/G103,""),"")</f>
        <v/>
      </c>
      <c r="Z103" s="22">
        <f>IF(AND(ISNUMBER(F103),ISNUMBER(G103)),IF(G103&gt;0,F103/G103,""),"")</f>
        <v/>
      </c>
      <c r="AA103" s="22">
        <f>IF(AND(ISNUMBER(J103),ISNUMBER(K103)),IF(AND(J103&gt;0,K103&gt;0),(J103/K103)^(1/3)-1,""),"")</f>
        <v/>
      </c>
      <c r="AB103" s="22">
        <f>IF(AND(ISNUMBER(I103),ISNUMBER(L103),ISNUMBER(M103),ISNUMBER(N103)),IF((L103+M103-N103)&gt;0,I103/(L103+M103-N103),""),"")</f>
        <v/>
      </c>
      <c r="AC103" s="22">
        <f>IF(AND(ISNUMBER(O103),ISNUMBER(P103)),IF(AND(O103&gt;0,P103&gt;0),P103/O103-1,""),"")</f>
        <v/>
      </c>
      <c r="AD103">
        <f>_xlfn.TEXTJOIN(", ",TRUE,IF(Z103="","ROE",""),IF(AA103="","매출성장률",""),IF(AB103="","이익수익률",""),IF(AC103="","12-1 수익률",""))</f>
        <v/>
      </c>
      <c r="AE103">
        <f>IF(A103="","",IF(AR103&lt;&gt;"","점수 없음(거름망)",IF(AD103="","채점","점수 없음(결측: "&amp;AD103&amp;")")))</f>
        <v/>
      </c>
      <c r="AF103">
        <f>IF(AE103="채점",1,"")</f>
        <v/>
      </c>
      <c r="AG103">
        <f>IF(AF103=1,Z103,"")</f>
        <v/>
      </c>
      <c r="AH103">
        <f>IF(AF103=1,AA103,"")</f>
        <v/>
      </c>
      <c r="AI103">
        <f>IF(AF103=1,AB103,"")</f>
        <v/>
      </c>
      <c r="AJ103">
        <f>IF(AF103=1,AC103,"")</f>
        <v/>
      </c>
      <c r="AK103">
        <f>IF(AF103=1,IF($B$3=1,50,(_xlfn.RANK.AVG(AG103,$AG$6:$AG$105,1)-1)/($B$3-1)*100),"")</f>
        <v/>
      </c>
      <c r="AL103">
        <f>IF(AF103=1,IF($B$3=1,50,(_xlfn.RANK.AVG(AH103,$AH$6:$AH$105,1)-1)/($B$3-1)*100),"")</f>
        <v/>
      </c>
      <c r="AM103">
        <f>IF(AF103=1,IF($B$3=1,50,(_xlfn.RANK.AVG(AI103,$AI$6:$AI$105,1)-1)/($B$3-1)*100),"")</f>
        <v/>
      </c>
      <c r="AN103">
        <f>IF(AF103=1,IF($B$3=1,50,(_xlfn.RANK.AVG(AJ103,$AJ$6:$AJ$105,1)-1)/($B$3-1)*100),"")</f>
        <v/>
      </c>
      <c r="AO103">
        <f>IF(AF103=1,ROUND(AVERAGE(AK103:AN103),6),"")</f>
        <v/>
      </c>
      <c r="AP103">
        <f>IF(AND(AF103=1,C103&lt;&gt;"Y"),R103,"")</f>
        <v/>
      </c>
      <c r="AQ103">
        <f>IF(AND(ISNUMBER(AP103),Q103="편입 후보"),AP103+(1000-ROW())/1000000,"")</f>
        <v/>
      </c>
      <c r="AR103">
        <f>IF(A103="","",_xlfn.TEXTJOIN(", ",TRUE,IF(D103="Y","금융·리츠",""),IF(NOT(ISNUMBER(I103)),"영업이익 없음",IF(I103&lt;=0,"영업적자","")),IF(OR(NOT(ISNUMBER(G103)),NOT(ISNUMBER(H103))),"부채비율 자료 없음",IF(G103&lt;=0,"자본잠식",IF(H103/G103&gt;'설정'!$B$8,"부채비율 초과",""))),IF(NOT(ISNUMBER(L103)),"시총 없음",IF(L103&lt;'설정'!$B$10,"시총 미달",""))))</f>
        <v/>
      </c>
    </row>
    <row r="104">
      <c r="A104" s="18" t="n"/>
      <c r="B104" s="19" t="n"/>
      <c r="C104" s="19" t="n"/>
      <c r="D104" s="19" t="n"/>
      <c r="E104" s="19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3" t="n"/>
      <c r="P104" s="23" t="n"/>
      <c r="Q104" s="7">
        <f>IF(A104="","",IF(C104="Y",IF(AF104=1,IF(AND(R104&lt;'설정'!$B$6,ISNUMBER($H$3)),IF(ROUND($H$3-R104,1)&gt;='설정'!$B$7,"교체 제안 → "&amp;$E$3&amp;" ("&amp;TEXT($H$3,"0.0")&amp;")","보유 유지"),"보유 유지"),"보유 · 점수 없음"),IF(AF104=1,IF(R104&gt;='설정'!$B$5,"편입 후보",""),"")))</f>
        <v/>
      </c>
      <c r="R104" s="15">
        <f>IF(AF104=1,ROUND(IF($B$3=1,50,(_xlfn.RANK.AVG(AO104,$AO$6:$AO$105,1)-1)/($B$3-1)*100),1),"")</f>
        <v/>
      </c>
      <c r="S104">
        <f>IF(A104="","",IF(AF104=1,_xlfn.TEXTJOIN(". ",TRUE,_xlfn.TEXTJOIN(", ",TRUE,IF(AK104&gt;='설정'!$B$20,"수익성 높음",""),IF(AL104&gt;='설정'!$B$20,"성장 빠름",""),IF(AM104&gt;='설정'!$B$20,"가격 쌈",""),IF(AN104&gt;='설정'!$B$20,"추세 좋음","")),_xlfn.TEXTJOIN(", ",TRUE,IF(AK104&lt;'설정'!$B$21,"수익성 낮음",""),IF(AL104&lt;'설정'!$B$21,"성장 느림",""),IF(AM104&lt;'설정'!$B$21,"가격 비쌈",""),IF(AN104&lt;'설정'!$B$21,"추세 약함","")),IF(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="","","보통: "&amp;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)),IF(X104="통과",AE104,X104)))</f>
        <v/>
      </c>
      <c r="T104">
        <f>IF(AF104=1,TEXT(Z104,"0.0%")&amp;" · 상위 "&amp;TEXT(($B$3-_xlfn.RANK.AVG(AG104,$AG$6:$AG$105,1)+1)/$B$3*100,"0")&amp;"%",IF(A104="","",IF(Z104="","결측",TEXT(Z104,"0.0%"))))</f>
        <v/>
      </c>
      <c r="U104">
        <f>IF(AF104=1,TEXT(AA104,"0.0%")&amp;" · 상위 "&amp;TEXT(($B$3-_xlfn.RANK.AVG(AH104,$AH$6:$AH$105,1)+1)/$B$3*100,"0")&amp;"%",IF(A104="","",IF(AA104="","결측",TEXT(AA104,"0.0%"))))</f>
        <v/>
      </c>
      <c r="V104">
        <f>IF(AF104=1,TEXT(AB104,"0.0%")&amp;" · 상위 "&amp;TEXT(($B$3-_xlfn.RANK.AVG(AI104,$AI$6:$AI$105,1)+1)/$B$3*100,"0")&amp;"%",IF(A104="","",IF(AB104="","결측",TEXT(AB104,"0.0%"))))</f>
        <v/>
      </c>
      <c r="W104">
        <f>IF(AF104=1,TEXT(AC104,"0.0%")&amp;" · 상위 "&amp;TEXT(($B$3-_xlfn.RANK.AVG(AJ104,$AJ$6:$AJ$105,1)+1)/$B$3*100,"0")&amp;"%",IF(A104="","",IF(AC104="","결측",TEXT(AC104,"0.0%"))))</f>
        <v/>
      </c>
      <c r="X104">
        <f>IF(A104="","",IF(AR104="","통과","제외: "&amp;AR104))</f>
        <v/>
      </c>
      <c r="Y104" s="21">
        <f>IF(AND(ISNUMBER(G104),ISNUMBER(H104)),IF(G104&gt;0,H104/G104,""),"")</f>
        <v/>
      </c>
      <c r="Z104" s="22">
        <f>IF(AND(ISNUMBER(F104),ISNUMBER(G104)),IF(G104&gt;0,F104/G104,""),"")</f>
        <v/>
      </c>
      <c r="AA104" s="22">
        <f>IF(AND(ISNUMBER(J104),ISNUMBER(K104)),IF(AND(J104&gt;0,K104&gt;0),(J104/K104)^(1/3)-1,""),"")</f>
        <v/>
      </c>
      <c r="AB104" s="22">
        <f>IF(AND(ISNUMBER(I104),ISNUMBER(L104),ISNUMBER(M104),ISNUMBER(N104)),IF((L104+M104-N104)&gt;0,I104/(L104+M104-N104),""),"")</f>
        <v/>
      </c>
      <c r="AC104" s="22">
        <f>IF(AND(ISNUMBER(O104),ISNUMBER(P104)),IF(AND(O104&gt;0,P104&gt;0),P104/O104-1,""),"")</f>
        <v/>
      </c>
      <c r="AD104">
        <f>_xlfn.TEXTJOIN(", ",TRUE,IF(Z104="","ROE",""),IF(AA104="","매출성장률",""),IF(AB104="","이익수익률",""),IF(AC104="","12-1 수익률",""))</f>
        <v/>
      </c>
      <c r="AE104">
        <f>IF(A104="","",IF(AR104&lt;&gt;"","점수 없음(거름망)",IF(AD104="","채점","점수 없음(결측: "&amp;AD104&amp;")")))</f>
        <v/>
      </c>
      <c r="AF104">
        <f>IF(AE104="채점",1,"")</f>
        <v/>
      </c>
      <c r="AG104">
        <f>IF(AF104=1,Z104,"")</f>
        <v/>
      </c>
      <c r="AH104">
        <f>IF(AF104=1,AA104,"")</f>
        <v/>
      </c>
      <c r="AI104">
        <f>IF(AF104=1,AB104,"")</f>
        <v/>
      </c>
      <c r="AJ104">
        <f>IF(AF104=1,AC104,"")</f>
        <v/>
      </c>
      <c r="AK104">
        <f>IF(AF104=1,IF($B$3=1,50,(_xlfn.RANK.AVG(AG104,$AG$6:$AG$105,1)-1)/($B$3-1)*100),"")</f>
        <v/>
      </c>
      <c r="AL104">
        <f>IF(AF104=1,IF($B$3=1,50,(_xlfn.RANK.AVG(AH104,$AH$6:$AH$105,1)-1)/($B$3-1)*100),"")</f>
        <v/>
      </c>
      <c r="AM104">
        <f>IF(AF104=1,IF($B$3=1,50,(_xlfn.RANK.AVG(AI104,$AI$6:$AI$105,1)-1)/($B$3-1)*100),"")</f>
        <v/>
      </c>
      <c r="AN104">
        <f>IF(AF104=1,IF($B$3=1,50,(_xlfn.RANK.AVG(AJ104,$AJ$6:$AJ$105,1)-1)/($B$3-1)*100),"")</f>
        <v/>
      </c>
      <c r="AO104">
        <f>IF(AF104=1,ROUND(AVERAGE(AK104:AN104),6),"")</f>
        <v/>
      </c>
      <c r="AP104">
        <f>IF(AND(AF104=1,C104&lt;&gt;"Y"),R104,"")</f>
        <v/>
      </c>
      <c r="AQ104">
        <f>IF(AND(ISNUMBER(AP104),Q104="편입 후보"),AP104+(1000-ROW())/1000000,"")</f>
        <v/>
      </c>
      <c r="AR104">
        <f>IF(A104="","",_xlfn.TEXTJOIN(", ",TRUE,IF(D104="Y","금융·리츠",""),IF(NOT(ISNUMBER(I104)),"영업이익 없음",IF(I104&lt;=0,"영업적자","")),IF(OR(NOT(ISNUMBER(G104)),NOT(ISNUMBER(H104))),"부채비율 자료 없음",IF(G104&lt;=0,"자본잠식",IF(H104/G104&gt;'설정'!$B$8,"부채비율 초과",""))),IF(NOT(ISNUMBER(L104)),"시총 없음",IF(L104&lt;'설정'!$B$10,"시총 미달",""))))</f>
        <v/>
      </c>
    </row>
    <row r="105">
      <c r="A105" s="18" t="n"/>
      <c r="B105" s="19" t="n"/>
      <c r="C105" s="19" t="n"/>
      <c r="D105" s="19" t="n"/>
      <c r="E105" s="19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3" t="n"/>
      <c r="P105" s="23" t="n"/>
      <c r="Q105" s="7">
        <f>IF(A105="","",IF(C105="Y",IF(AF105=1,IF(AND(R105&lt;'설정'!$B$6,ISNUMBER($H$3)),IF(ROUND($H$3-R105,1)&gt;='설정'!$B$7,"교체 제안 → "&amp;$E$3&amp;" ("&amp;TEXT($H$3,"0.0")&amp;")","보유 유지"),"보유 유지"),"보유 · 점수 없음"),IF(AF105=1,IF(R105&gt;='설정'!$B$5,"편입 후보",""),"")))</f>
        <v/>
      </c>
      <c r="R105" s="15">
        <f>IF(AF105=1,ROUND(IF($B$3=1,50,(_xlfn.RANK.AVG(AO105,$AO$6:$AO$105,1)-1)/($B$3-1)*100),1),"")</f>
        <v/>
      </c>
      <c r="S105">
        <f>IF(A105="","",IF(AF105=1,_xlfn.TEXTJOIN(". ",TRUE,_xlfn.TEXTJOIN(", ",TRUE,IF(AK105&gt;='설정'!$B$20,"수익성 높음",""),IF(AL105&gt;='설정'!$B$20,"성장 빠름",""),IF(AM105&gt;='설정'!$B$20,"가격 쌈",""),IF(AN105&gt;='설정'!$B$20,"추세 좋음","")),_xlfn.TEXTJOIN(", ",TRUE,IF(AK105&lt;'설정'!$B$21,"수익성 낮음",""),IF(AL105&lt;'설정'!$B$21,"성장 느림",""),IF(AM105&lt;'설정'!$B$21,"가격 비쌈",""),IF(AN105&lt;'설정'!$B$21,"추세 약함","")),IF(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="","","보통: "&amp;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)),IF(X105="통과",AE105,X105)))</f>
        <v/>
      </c>
      <c r="T105">
        <f>IF(AF105=1,TEXT(Z105,"0.0%")&amp;" · 상위 "&amp;TEXT(($B$3-_xlfn.RANK.AVG(AG105,$AG$6:$AG$105,1)+1)/$B$3*100,"0")&amp;"%",IF(A105="","",IF(Z105="","결측",TEXT(Z105,"0.0%"))))</f>
        <v/>
      </c>
      <c r="U105">
        <f>IF(AF105=1,TEXT(AA105,"0.0%")&amp;" · 상위 "&amp;TEXT(($B$3-_xlfn.RANK.AVG(AH105,$AH$6:$AH$105,1)+1)/$B$3*100,"0")&amp;"%",IF(A105="","",IF(AA105="","결측",TEXT(AA105,"0.0%"))))</f>
        <v/>
      </c>
      <c r="V105">
        <f>IF(AF105=1,TEXT(AB105,"0.0%")&amp;" · 상위 "&amp;TEXT(($B$3-_xlfn.RANK.AVG(AI105,$AI$6:$AI$105,1)+1)/$B$3*100,"0")&amp;"%",IF(A105="","",IF(AB105="","결측",TEXT(AB105,"0.0%"))))</f>
        <v/>
      </c>
      <c r="W105">
        <f>IF(AF105=1,TEXT(AC105,"0.0%")&amp;" · 상위 "&amp;TEXT(($B$3-_xlfn.RANK.AVG(AJ105,$AJ$6:$AJ$105,1)+1)/$B$3*100,"0")&amp;"%",IF(A105="","",IF(AC105="","결측",TEXT(AC105,"0.0%"))))</f>
        <v/>
      </c>
      <c r="X105">
        <f>IF(A105="","",IF(AR105="","통과","제외: "&amp;AR105))</f>
        <v/>
      </c>
      <c r="Y105" s="21">
        <f>IF(AND(ISNUMBER(G105),ISNUMBER(H105)),IF(G105&gt;0,H105/G105,""),"")</f>
        <v/>
      </c>
      <c r="Z105" s="22">
        <f>IF(AND(ISNUMBER(F105),ISNUMBER(G105)),IF(G105&gt;0,F105/G105,""),"")</f>
        <v/>
      </c>
      <c r="AA105" s="22">
        <f>IF(AND(ISNUMBER(J105),ISNUMBER(K105)),IF(AND(J105&gt;0,K105&gt;0),(J105/K105)^(1/3)-1,""),"")</f>
        <v/>
      </c>
      <c r="AB105" s="22">
        <f>IF(AND(ISNUMBER(I105),ISNUMBER(L105),ISNUMBER(M105),ISNUMBER(N105)),IF((L105+M105-N105)&gt;0,I105/(L105+M105-N105),""),"")</f>
        <v/>
      </c>
      <c r="AC105" s="22">
        <f>IF(AND(ISNUMBER(O105),ISNUMBER(P105)),IF(AND(O105&gt;0,P105&gt;0),P105/O105-1,""),"")</f>
        <v/>
      </c>
      <c r="AD105">
        <f>_xlfn.TEXTJOIN(", ",TRUE,IF(Z105="","ROE",""),IF(AA105="","매출성장률",""),IF(AB105="","이익수익률",""),IF(AC105="","12-1 수익률",""))</f>
        <v/>
      </c>
      <c r="AE105">
        <f>IF(A105="","",IF(AR105&lt;&gt;"","점수 없음(거름망)",IF(AD105="","채점","점수 없음(결측: "&amp;AD105&amp;")")))</f>
        <v/>
      </c>
      <c r="AF105">
        <f>IF(AE105="채점",1,"")</f>
        <v/>
      </c>
      <c r="AG105">
        <f>IF(AF105=1,Z105,"")</f>
        <v/>
      </c>
      <c r="AH105">
        <f>IF(AF105=1,AA105,"")</f>
        <v/>
      </c>
      <c r="AI105">
        <f>IF(AF105=1,AB105,"")</f>
        <v/>
      </c>
      <c r="AJ105">
        <f>IF(AF105=1,AC105,"")</f>
        <v/>
      </c>
      <c r="AK105">
        <f>IF(AF105=1,IF($B$3=1,50,(_xlfn.RANK.AVG(AG105,$AG$6:$AG$105,1)-1)/($B$3-1)*100),"")</f>
        <v/>
      </c>
      <c r="AL105">
        <f>IF(AF105=1,IF($B$3=1,50,(_xlfn.RANK.AVG(AH105,$AH$6:$AH$105,1)-1)/($B$3-1)*100),"")</f>
        <v/>
      </c>
      <c r="AM105">
        <f>IF(AF105=1,IF($B$3=1,50,(_xlfn.RANK.AVG(AI105,$AI$6:$AI$105,1)-1)/($B$3-1)*100),"")</f>
        <v/>
      </c>
      <c r="AN105">
        <f>IF(AF105=1,IF($B$3=1,50,(_xlfn.RANK.AVG(AJ105,$AJ$6:$AJ$105,1)-1)/($B$3-1)*100),"")</f>
        <v/>
      </c>
      <c r="AO105">
        <f>IF(AF105=1,ROUND(AVERAGE(AK105:AN105),6),"")</f>
        <v/>
      </c>
      <c r="AP105">
        <f>IF(AND(AF105=1,C105&lt;&gt;"Y"),R105,"")</f>
        <v/>
      </c>
      <c r="AQ105">
        <f>IF(AND(ISNUMBER(AP105),Q105="편입 후보"),AP105+(1000-ROW())/1000000,"")</f>
        <v/>
      </c>
      <c r="AR105">
        <f>IF(A105="","",_xlfn.TEXTJOIN(", ",TRUE,IF(D105="Y","금융·리츠",""),IF(NOT(ISNUMBER(I105)),"영업이익 없음",IF(I105&lt;=0,"영업적자","")),IF(OR(NOT(ISNUMBER(G105)),NOT(ISNUMBER(H105))),"부채비율 자료 없음",IF(G105&lt;=0,"자본잠식",IF(H105/G105&gt;'설정'!$B$8,"부채비율 초과",""))),IF(NOT(ISNUMBER(L105)),"시총 없음",IF(L105&lt;'설정'!$B$10,"시총 미달",""))))</f>
        <v/>
      </c>
    </row>
  </sheetData>
  <mergeCells count="2">
    <mergeCell ref="A4:P4"/>
    <mergeCell ref="Q4:Y4"/>
  </mergeCells>
  <conditionalFormatting sqref="Q6:Q105">
    <cfRule type="expression" priority="1" dxfId="4">
      <formula>Q6="편입 후보"</formula>
    </cfRule>
    <cfRule type="expression" priority="2" dxfId="1">
      <formula>LEFT(Q6,2)="교체"</formula>
    </cfRule>
  </conditionalFormatting>
  <dataValidations count="1">
    <dataValidation sqref="C6:D105" showDropDown="0" showInputMessage="0" showErrorMessage="0" allowBlank="1" type="list">
      <formula1>"Y"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8" customWidth="1" min="4" max="4"/>
    <col width="11" customWidth="1" min="5" max="5"/>
    <col width="14" customWidth="1" min="6" max="6"/>
    <col width="11" customWidth="1" min="7" max="7"/>
    <col width="11" customWidth="1" min="8" max="8"/>
    <col width="36" customWidth="1" min="9" max="9"/>
    <col width="13" customWidth="1" min="10" max="10"/>
    <col width="12" customWidth="1" min="11" max="11"/>
    <col width="8" customWidth="1" min="12" max="12"/>
    <col width="9" customWidth="1" min="13" max="13"/>
    <col width="9" customWidth="1" min="14" max="14"/>
    <col width="16" customWidth="1" min="15" max="15"/>
    <col width="9" customWidth="1" min="16" max="16"/>
    <col width="10" customWidth="1" min="17" max="17"/>
    <col width="8" customWidth="1" min="18" max="18"/>
    <col width="9" customWidth="1" min="19" max="19"/>
    <col width="12" customWidth="1" min="20" max="20"/>
    <col width="7" customWidth="1" min="21" max="21"/>
    <col width="20" customWidth="1" min="22" max="22"/>
    <col width="7" customWidth="1" min="23" max="23"/>
  </cols>
  <sheetData>
    <row r="1">
      <c r="A1" s="4" t="inlineStr">
        <is>
          <t>보유 종목 · 매도 판단 (명세 5·6)</t>
        </is>
      </c>
    </row>
    <row r="2">
      <c r="A2" s="5" t="inlineStr">
        <is>
          <t>프로그램은 제안만 한다. '많이 올랐다'는 매도 신호가 아니다.</t>
        </is>
      </c>
    </row>
    <row r="3">
      <c r="A3" s="7" t="inlineStr">
        <is>
          <t>전체 투자 계좌 평가액(원)</t>
        </is>
      </c>
      <c r="D3" s="20" t="n">
        <v>200000000</v>
      </c>
      <c r="G3" s="7" t="inlineStr">
        <is>
          <t>매도 판단 우선순위(먼저 걸린 것 하나를 제안)</t>
        </is>
      </c>
    </row>
    <row r="4">
      <c r="A4" s="7" t="inlineStr">
        <is>
          <t>개별 몫 대기 현금(원)</t>
        </is>
      </c>
      <c r="D4" s="20" t="n">
        <v>7000000</v>
      </c>
      <c r="G4" t="inlineStr">
        <is>
          <t>① 손실 한도: 손실액(원화 원가 − 원화 평가액) ≥ 계좌 평가액의 2%, 또는 현지 통화 가격 ≤ 매수 평균가 −25% → 매도</t>
        </is>
      </c>
    </row>
    <row r="5">
      <c r="A5" s="7" t="inlineStr">
        <is>
          <t>현재 원/달러 환율</t>
        </is>
      </c>
      <c r="D5" s="23" t="n">
        <v>1380</v>
      </c>
      <c r="G5" t="inlineStr">
        <is>
          <t>② 핵심 매수 이유가 무너짐(매수이유 시트) → 매도 검토</t>
        </is>
      </c>
    </row>
    <row r="6">
      <c r="A6" s="7" t="inlineStr">
        <is>
          <t>보유 개별 종목 수</t>
        </is>
      </c>
      <c r="D6" s="7">
        <f>COUNT(J11:J20)</f>
        <v/>
      </c>
      <c r="G6" t="inlineStr">
        <is>
          <t>③ 3종목 이상 보유 중 한 종목이 개별 몫의 40% 초과 → 초과분만 매도</t>
        </is>
      </c>
    </row>
    <row r="7">
      <c r="A7" s="7" t="inlineStr">
        <is>
          <t>개별 몫 합계(주식 + 대기 현금, 원)</t>
        </is>
      </c>
      <c r="D7" s="24">
        <f>SUM(J11:J20)+N(D4)</f>
        <v/>
      </c>
      <c r="G7" t="inlineStr">
        <is>
          <t>④ 점수 50 미만이고 같은 국가에 10점 이상 높은 후보 → 교체 제안</t>
        </is>
      </c>
    </row>
    <row r="9">
      <c r="A9" s="17" t="inlineStr">
        <is>
          <t>입력 (노란 칸)</t>
        </is>
      </c>
      <c r="I9" s="9" t="inlineStr">
        <is>
          <t>결과</t>
        </is>
      </c>
    </row>
    <row r="10" ht="42" customHeight="1">
      <c r="A10" s="6" t="inlineStr">
        <is>
          <t>국가</t>
        </is>
      </c>
      <c r="B10" s="6" t="inlineStr">
        <is>
          <t>종목코드</t>
        </is>
      </c>
      <c r="C10" s="6" t="inlineStr">
        <is>
          <t>종목명</t>
        </is>
      </c>
      <c r="D10" s="6" t="inlineStr">
        <is>
          <t>수량</t>
        </is>
      </c>
      <c r="E10" s="6" t="inlineStr">
        <is>
          <t>매수 평균가
(현지 통화)</t>
        </is>
      </c>
      <c r="F10" s="6" t="inlineStr">
        <is>
          <t>원화 매수원가
합계(원)</t>
        </is>
      </c>
      <c r="G10" s="6" t="inlineStr">
        <is>
          <t>현재가
(현지 통화)</t>
        </is>
      </c>
      <c r="H10" s="6" t="inlineStr">
        <is>
          <t>최근 실적
발표일</t>
        </is>
      </c>
      <c r="I10" s="6" t="inlineStr">
        <is>
          <t>최종 제안</t>
        </is>
      </c>
      <c r="J10" s="6" t="inlineStr">
        <is>
          <t>원화 평가액</t>
        </is>
      </c>
      <c r="K10" s="6" t="inlineStr">
        <is>
          <t>손실액(원)</t>
        </is>
      </c>
      <c r="L10" s="6" t="inlineStr">
        <is>
          <t>손실액
/ 계좌</t>
        </is>
      </c>
      <c r="M10" s="6" t="inlineStr">
        <is>
          <t>매수가 대비</t>
        </is>
      </c>
      <c r="N10" s="6" t="inlineStr">
        <is>
          <t>① 손실 한도</t>
        </is>
      </c>
      <c r="O10" s="6" t="inlineStr">
        <is>
          <t>매수 이유 기록</t>
        </is>
      </c>
      <c r="P10" s="6" t="inlineStr">
        <is>
          <t>② 핵심 이유</t>
        </is>
      </c>
      <c r="Q10" s="6" t="inlineStr">
        <is>
          <t>실적 점검</t>
        </is>
      </c>
      <c r="R10" s="6" t="inlineStr">
        <is>
          <t>비중
(개별 몫)</t>
        </is>
      </c>
      <c r="S10" s="6" t="inlineStr">
        <is>
          <t>③ 비중 초과</t>
        </is>
      </c>
      <c r="T10" s="6" t="inlineStr">
        <is>
          <t>초과분(원)</t>
        </is>
      </c>
      <c r="U10" s="6" t="inlineStr">
        <is>
          <t>점수</t>
        </is>
      </c>
      <c r="V10" s="6" t="inlineStr">
        <is>
          <t>같은 국가
최고 후보</t>
        </is>
      </c>
      <c r="W10" s="6" t="inlineStr">
        <is>
          <t>④ 교체</t>
        </is>
      </c>
    </row>
    <row r="11">
      <c r="A11" s="19" t="inlineStr">
        <is>
          <t>미국</t>
        </is>
      </c>
      <c r="B11" s="18" t="inlineStr">
        <is>
          <t>U01</t>
        </is>
      </c>
      <c r="C11" s="19" t="inlineStr">
        <is>
          <t>예시반도체</t>
        </is>
      </c>
      <c r="D11" s="20" t="n">
        <v>120</v>
      </c>
      <c r="E11" s="23" t="n">
        <v>110</v>
      </c>
      <c r="F11" s="20" t="n">
        <v>17160000</v>
      </c>
      <c r="G11" s="23" t="n">
        <v>170</v>
      </c>
      <c r="H11" s="16" t="n">
        <v>46261</v>
      </c>
      <c r="I11" s="7">
        <f>IF(B11="","",IF(N11="도달","① 손실 한도 도달 → 매도",IF(P11="무너짐","② 핵심 매수 이유 붕괴 → 매도 검토",IF(S11="초과","③ 비중 초과 → 초과분 "&amp;TEXT(T11,"#,##0")&amp;"원 매도",IF(W11="제안","④ 교체 제안 → "&amp;IF(A11="한국",'종목_한국'!$E$3,'종목_미국'!$E$3),"유지")))))</f>
        <v/>
      </c>
      <c r="J11" s="25">
        <f>IF(AND(ISNUMBER(D11),ISNUMBER(G11),OR(A11&lt;&gt;"미국",ISNUMBER($D$5))),D11*G11*IF(A11="미국",$D$5,1),"")</f>
        <v/>
      </c>
      <c r="K11" s="25">
        <f>IF(AND(ISNUMBER(F11),ISNUMBER(J11)),F11-J11,"")</f>
        <v/>
      </c>
      <c r="L11" s="22">
        <f>IF(AND(ISNUMBER(K11),ISNUMBER($D$3)),IF($D$3&gt;0,K11/$D$3,""),"")</f>
        <v/>
      </c>
      <c r="M11" s="22">
        <f>IF(AND(ISNUMBER(G11),ISNUMBER(E11)),IF(E11&gt;0,G11/E11-1,""),"")</f>
        <v/>
      </c>
      <c r="N11">
        <f>IF(B11="","",IF(OR(AND(ISNUMBER(L11),L11&gt;='설정'!$B$11),AND(ISNUMBER(M11),M11&lt;='설정'!$B$12)),"도달",""))</f>
        <v/>
      </c>
      <c r="O11">
        <f>IF(B11="","",IF(COUNTIF('매수이유'!$A$6:$A$205,B11)=0,"기록 없음",IF(COUNTIF('매수이유'!$A$6:$A$205,B11)&gt;3,"이유 3개 초과",IF(COUNTIFS('매수이유'!$A$6:$A$205,B11,'매수이유'!$E$6:$E$205,"Y")&lt;&gt;1,"핵심 1개 표시 필요",IF(SUMIFS('매수이유'!$L$6:$L$205,'매수이유'!$A$6:$A$205,B11)&gt;0,"근거·기준 미기재","기록 완료")))))</f>
        <v/>
      </c>
      <c r="P11">
        <f>IF(B11="","",IF(SUMIFS('매수이유'!$M$6:$M$205,'매수이유'!$A$6:$A$205,B11)&gt;0,"무너짐",""))</f>
        <v/>
      </c>
      <c r="Q11">
        <f>IF(OR(B11="",H11=""),"",IF(COUNTIF('매수이유'!$A$6:$A$205,B11)=0,"이유 기록 없음",IF(SUMIFS('매수이유'!$O$6:$O$205,'매수이유'!$A$6:$A$205,B11)&gt;0,"점검 필요","점검 완료")))</f>
        <v/>
      </c>
      <c r="R11" s="22">
        <f>IF(AND(ISNUMBER(J11),$D$7&gt;0),J11/$D$7,"")</f>
        <v/>
      </c>
      <c r="S11">
        <f>IF(AND($D$6&gt;='설정'!$B$14,ISNUMBER(R11)),IF(R11&gt;'설정'!$B$13,"초과",""),"")</f>
        <v/>
      </c>
      <c r="T11" s="25">
        <f>IF(S11="초과",J11-'설정'!$B$13*$D$7,"")</f>
        <v/>
      </c>
      <c r="U11" s="11">
        <f>IF(A11="한국",IFERROR(INDEX('종목_한국'!$R$6:$R$105,MATCH(B11,'종목_한국'!$A$6:$A$105,0)),""),IF(A11="미국",IFERROR(INDEX('종목_미국'!$R$6:$R$105,MATCH(B11,'종목_미국'!$A$6:$A$105,0)),""),""))</f>
        <v/>
      </c>
      <c r="V11">
        <f>IF(B11="","",IF(ISNUMBER(IF(A11="한국",'종목_한국'!$H$3,'종목_미국'!$H$3)),IF(A11="한국",'종목_한국'!$E$3,'종목_미국'!$E$3)&amp;" ("&amp;TEXT(IF(A11="한국",'종목_한국'!$H$3,'종목_미국'!$H$3),"0.0")&amp;")",""))</f>
        <v/>
      </c>
      <c r="W11">
        <f>IF(AND(ISNUMBER(U11),ISNUMBER(IF(A11="한국",'종목_한국'!$H$3,'종목_미국'!$H$3))),IF(AND(U11&lt;'설정'!$B$6,ROUND(IF(A11="한국",'종목_한국'!$H$3,'종목_미국'!$H$3)-U11,1)&gt;='설정'!$B$7),"제안",""),"")</f>
        <v/>
      </c>
    </row>
    <row r="12">
      <c r="A12" s="19" t="inlineStr">
        <is>
          <t>한국</t>
        </is>
      </c>
      <c r="B12" s="18" t="inlineStr">
        <is>
          <t>K01</t>
        </is>
      </c>
      <c r="C12" s="19" t="inlineStr">
        <is>
          <t>예시전자</t>
        </is>
      </c>
      <c r="D12" s="20" t="n">
        <v>200</v>
      </c>
      <c r="E12" s="23" t="n">
        <v>52000</v>
      </c>
      <c r="F12" s="20" t="n">
        <v>10400000</v>
      </c>
      <c r="G12" s="23" t="n">
        <v>61000</v>
      </c>
      <c r="H12" s="16" t="n">
        <v>46233</v>
      </c>
      <c r="I12" s="7">
        <f>IF(B12="","",IF(N12="도달","① 손실 한도 도달 → 매도",IF(P12="무너짐","② 핵심 매수 이유 붕괴 → 매도 검토",IF(S12="초과","③ 비중 초과 → 초과분 "&amp;TEXT(T12,"#,##0")&amp;"원 매도",IF(W12="제안","④ 교체 제안 → "&amp;IF(A12="한국",'종목_한국'!$E$3,'종목_미국'!$E$3),"유지")))))</f>
        <v/>
      </c>
      <c r="J12" s="25">
        <f>IF(AND(ISNUMBER(D12),ISNUMBER(G12),OR(A12&lt;&gt;"미국",ISNUMBER($D$5))),D12*G12*IF(A12="미국",$D$5,1),"")</f>
        <v/>
      </c>
      <c r="K12" s="25">
        <f>IF(AND(ISNUMBER(F12),ISNUMBER(J12)),F12-J12,"")</f>
        <v/>
      </c>
      <c r="L12" s="22">
        <f>IF(AND(ISNUMBER(K12),ISNUMBER($D$3)),IF($D$3&gt;0,K12/$D$3,""),"")</f>
        <v/>
      </c>
      <c r="M12" s="22">
        <f>IF(AND(ISNUMBER(G12),ISNUMBER(E12)),IF(E12&gt;0,G12/E12-1,""),"")</f>
        <v/>
      </c>
      <c r="N12">
        <f>IF(B12="","",IF(OR(AND(ISNUMBER(L12),L12&gt;='설정'!$B$11),AND(ISNUMBER(M12),M12&lt;='설정'!$B$12)),"도달",""))</f>
        <v/>
      </c>
      <c r="O12">
        <f>IF(B12="","",IF(COUNTIF('매수이유'!$A$6:$A$205,B12)=0,"기록 없음",IF(COUNTIF('매수이유'!$A$6:$A$205,B12)&gt;3,"이유 3개 초과",IF(COUNTIFS('매수이유'!$A$6:$A$205,B12,'매수이유'!$E$6:$E$205,"Y")&lt;&gt;1,"핵심 1개 표시 필요",IF(SUMIFS('매수이유'!$L$6:$L$205,'매수이유'!$A$6:$A$205,B12)&gt;0,"근거·기준 미기재","기록 완료")))))</f>
        <v/>
      </c>
      <c r="P12">
        <f>IF(B12="","",IF(SUMIFS('매수이유'!$M$6:$M$205,'매수이유'!$A$6:$A$205,B12)&gt;0,"무너짐",""))</f>
        <v/>
      </c>
      <c r="Q12">
        <f>IF(OR(B12="",H12=""),"",IF(COUNTIF('매수이유'!$A$6:$A$205,B12)=0,"이유 기록 없음",IF(SUMIFS('매수이유'!$O$6:$O$205,'매수이유'!$A$6:$A$205,B12)&gt;0,"점검 필요","점검 완료")))</f>
        <v/>
      </c>
      <c r="R12" s="22">
        <f>IF(AND(ISNUMBER(J12),$D$7&gt;0),J12/$D$7,"")</f>
        <v/>
      </c>
      <c r="S12">
        <f>IF(AND($D$6&gt;='설정'!$B$14,ISNUMBER(R12)),IF(R12&gt;'설정'!$B$13,"초과",""),"")</f>
        <v/>
      </c>
      <c r="T12" s="25">
        <f>IF(S12="초과",J12-'설정'!$B$13*$D$7,"")</f>
        <v/>
      </c>
      <c r="U12" s="11">
        <f>IF(A12="한국",IFERROR(INDEX('종목_한국'!$R$6:$R$105,MATCH(B12,'종목_한국'!$A$6:$A$105,0)),""),IF(A12="미국",IFERROR(INDEX('종목_미국'!$R$6:$R$105,MATCH(B12,'종목_미국'!$A$6:$A$105,0)),""),""))</f>
        <v/>
      </c>
      <c r="V12">
        <f>IF(B12="","",IF(ISNUMBER(IF(A12="한국",'종목_한국'!$H$3,'종목_미국'!$H$3)),IF(A12="한국",'종목_한국'!$E$3,'종목_미국'!$E$3)&amp;" ("&amp;TEXT(IF(A12="한국",'종목_한국'!$H$3,'종목_미국'!$H$3),"0.0")&amp;")",""))</f>
        <v/>
      </c>
      <c r="W12">
        <f>IF(AND(ISNUMBER(U12),ISNUMBER(IF(A12="한국",'종목_한국'!$H$3,'종목_미국'!$H$3))),IF(AND(U12&lt;'설정'!$B$6,ROUND(IF(A12="한국",'종목_한국'!$H$3,'종목_미국'!$H$3)-U12,1)&gt;='설정'!$B$7),"제안",""),"")</f>
        <v/>
      </c>
    </row>
    <row r="13">
      <c r="A13" s="19" t="inlineStr">
        <is>
          <t>한국</t>
        </is>
      </c>
      <c r="B13" s="18" t="inlineStr">
        <is>
          <t>K02</t>
        </is>
      </c>
      <c r="C13" s="19" t="inlineStr">
        <is>
          <t>예시화학</t>
        </is>
      </c>
      <c r="D13" s="20" t="n">
        <v>300</v>
      </c>
      <c r="E13" s="23" t="n">
        <v>27000</v>
      </c>
      <c r="F13" s="20" t="n">
        <v>8100000</v>
      </c>
      <c r="G13" s="23" t="n">
        <v>25000</v>
      </c>
      <c r="H13" s="16" t="n">
        <v>46244</v>
      </c>
      <c r="I13" s="7">
        <f>IF(B13="","",IF(N13="도달","① 손실 한도 도달 → 매도",IF(P13="무너짐","② 핵심 매수 이유 붕괴 → 매도 검토",IF(S13="초과","③ 비중 초과 → 초과분 "&amp;TEXT(T13,"#,##0")&amp;"원 매도",IF(W13="제안","④ 교체 제안 → "&amp;IF(A13="한국",'종목_한국'!$E$3,'종목_미국'!$E$3),"유지")))))</f>
        <v/>
      </c>
      <c r="J13" s="25">
        <f>IF(AND(ISNUMBER(D13),ISNUMBER(G13),OR(A13&lt;&gt;"미국",ISNUMBER($D$5))),D13*G13*IF(A13="미국",$D$5,1),"")</f>
        <v/>
      </c>
      <c r="K13" s="25">
        <f>IF(AND(ISNUMBER(F13),ISNUMBER(J13)),F13-J13,"")</f>
        <v/>
      </c>
      <c r="L13" s="22">
        <f>IF(AND(ISNUMBER(K13),ISNUMBER($D$3)),IF($D$3&gt;0,K13/$D$3,""),"")</f>
        <v/>
      </c>
      <c r="M13" s="22">
        <f>IF(AND(ISNUMBER(G13),ISNUMBER(E13)),IF(E13&gt;0,G13/E13-1,""),"")</f>
        <v/>
      </c>
      <c r="N13">
        <f>IF(B13="","",IF(OR(AND(ISNUMBER(L13),L13&gt;='설정'!$B$11),AND(ISNUMBER(M13),M13&lt;='설정'!$B$12)),"도달",""))</f>
        <v/>
      </c>
      <c r="O13">
        <f>IF(B13="","",IF(COUNTIF('매수이유'!$A$6:$A$205,B13)=0,"기록 없음",IF(COUNTIF('매수이유'!$A$6:$A$205,B13)&gt;3,"이유 3개 초과",IF(COUNTIFS('매수이유'!$A$6:$A$205,B13,'매수이유'!$E$6:$E$205,"Y")&lt;&gt;1,"핵심 1개 표시 필요",IF(SUMIFS('매수이유'!$L$6:$L$205,'매수이유'!$A$6:$A$205,B13)&gt;0,"근거·기준 미기재","기록 완료")))))</f>
        <v/>
      </c>
      <c r="P13">
        <f>IF(B13="","",IF(SUMIFS('매수이유'!$M$6:$M$205,'매수이유'!$A$6:$A$205,B13)&gt;0,"무너짐",""))</f>
        <v/>
      </c>
      <c r="Q13">
        <f>IF(OR(B13="",H13=""),"",IF(COUNTIF('매수이유'!$A$6:$A$205,B13)=0,"이유 기록 없음",IF(SUMIFS('매수이유'!$O$6:$O$205,'매수이유'!$A$6:$A$205,B13)&gt;0,"점검 필요","점검 완료")))</f>
        <v/>
      </c>
      <c r="R13" s="22">
        <f>IF(AND(ISNUMBER(J13),$D$7&gt;0),J13/$D$7,"")</f>
        <v/>
      </c>
      <c r="S13">
        <f>IF(AND($D$6&gt;='설정'!$B$14,ISNUMBER(R13)),IF(R13&gt;'설정'!$B$13,"초과",""),"")</f>
        <v/>
      </c>
      <c r="T13" s="25">
        <f>IF(S13="초과",J13-'설정'!$B$13*$D$7,"")</f>
        <v/>
      </c>
      <c r="U13" s="11">
        <f>IF(A13="한국",IFERROR(INDEX('종목_한국'!$R$6:$R$105,MATCH(B13,'종목_한국'!$A$6:$A$105,0)),""),IF(A13="미국",IFERROR(INDEX('종목_미국'!$R$6:$R$105,MATCH(B13,'종목_미국'!$A$6:$A$105,0)),""),""))</f>
        <v/>
      </c>
      <c r="V13">
        <f>IF(B13="","",IF(ISNUMBER(IF(A13="한국",'종목_한국'!$H$3,'종목_미국'!$H$3)),IF(A13="한국",'종목_한국'!$E$3,'종목_미국'!$E$3)&amp;" ("&amp;TEXT(IF(A13="한국",'종목_한국'!$H$3,'종목_미국'!$H$3),"0.0")&amp;")",""))</f>
        <v/>
      </c>
      <c r="W13">
        <f>IF(AND(ISNUMBER(U13),ISNUMBER(IF(A13="한국",'종목_한국'!$H$3,'종목_미국'!$H$3))),IF(AND(U13&lt;'설정'!$B$6,ROUND(IF(A13="한국",'종목_한국'!$H$3,'종목_미국'!$H$3)-U13,1)&gt;='설정'!$B$7),"제안",""),"")</f>
        <v/>
      </c>
    </row>
    <row r="14">
      <c r="A14" s="19" t="inlineStr">
        <is>
          <t>미국</t>
        </is>
      </c>
      <c r="B14" s="18" t="inlineStr">
        <is>
          <t>U02</t>
        </is>
      </c>
      <c r="C14" s="19" t="inlineStr">
        <is>
          <t>예시리테일</t>
        </is>
      </c>
      <c r="D14" s="20" t="n">
        <v>70</v>
      </c>
      <c r="E14" s="23" t="n">
        <v>80</v>
      </c>
      <c r="F14" s="20" t="n">
        <v>7504000</v>
      </c>
      <c r="G14" s="23" t="n">
        <v>55</v>
      </c>
      <c r="H14" s="16" t="n">
        <v>46254</v>
      </c>
      <c r="I14" s="7">
        <f>IF(B14="","",IF(N14="도달","① 손실 한도 도달 → 매도",IF(P14="무너짐","② 핵심 매수 이유 붕괴 → 매도 검토",IF(S14="초과","③ 비중 초과 → 초과분 "&amp;TEXT(T14,"#,##0")&amp;"원 매도",IF(W14="제안","④ 교체 제안 → "&amp;IF(A14="한국",'종목_한국'!$E$3,'종목_미국'!$E$3),"유지")))))</f>
        <v/>
      </c>
      <c r="J14" s="25">
        <f>IF(AND(ISNUMBER(D14),ISNUMBER(G14),OR(A14&lt;&gt;"미국",ISNUMBER($D$5))),D14*G14*IF(A14="미국",$D$5,1),"")</f>
        <v/>
      </c>
      <c r="K14" s="25">
        <f>IF(AND(ISNUMBER(F14),ISNUMBER(J14)),F14-J14,"")</f>
        <v/>
      </c>
      <c r="L14" s="22">
        <f>IF(AND(ISNUMBER(K14),ISNUMBER($D$3)),IF($D$3&gt;0,K14/$D$3,""),"")</f>
        <v/>
      </c>
      <c r="M14" s="22">
        <f>IF(AND(ISNUMBER(G14),ISNUMBER(E14)),IF(E14&gt;0,G14/E14-1,""),"")</f>
        <v/>
      </c>
      <c r="N14">
        <f>IF(B14="","",IF(OR(AND(ISNUMBER(L14),L14&gt;='설정'!$B$11),AND(ISNUMBER(M14),M14&lt;='설정'!$B$12)),"도달",""))</f>
        <v/>
      </c>
      <c r="O14">
        <f>IF(B14="","",IF(COUNTIF('매수이유'!$A$6:$A$205,B14)=0,"기록 없음",IF(COUNTIF('매수이유'!$A$6:$A$205,B14)&gt;3,"이유 3개 초과",IF(COUNTIFS('매수이유'!$A$6:$A$205,B14,'매수이유'!$E$6:$E$205,"Y")&lt;&gt;1,"핵심 1개 표시 필요",IF(SUMIFS('매수이유'!$L$6:$L$205,'매수이유'!$A$6:$A$205,B14)&gt;0,"근거·기준 미기재","기록 완료")))))</f>
        <v/>
      </c>
      <c r="P14">
        <f>IF(B14="","",IF(SUMIFS('매수이유'!$M$6:$M$205,'매수이유'!$A$6:$A$205,B14)&gt;0,"무너짐",""))</f>
        <v/>
      </c>
      <c r="Q14">
        <f>IF(OR(B14="",H14=""),"",IF(COUNTIF('매수이유'!$A$6:$A$205,B14)=0,"이유 기록 없음",IF(SUMIFS('매수이유'!$O$6:$O$205,'매수이유'!$A$6:$A$205,B14)&gt;0,"점검 필요","점검 완료")))</f>
        <v/>
      </c>
      <c r="R14" s="22">
        <f>IF(AND(ISNUMBER(J14),$D$7&gt;0),J14/$D$7,"")</f>
        <v/>
      </c>
      <c r="S14">
        <f>IF(AND($D$6&gt;='설정'!$B$14,ISNUMBER(R14)),IF(R14&gt;'설정'!$B$13,"초과",""),"")</f>
        <v/>
      </c>
      <c r="T14" s="25">
        <f>IF(S14="초과",J14-'설정'!$B$13*$D$7,"")</f>
        <v/>
      </c>
      <c r="U14" s="11">
        <f>IF(A14="한국",IFERROR(INDEX('종목_한국'!$R$6:$R$105,MATCH(B14,'종목_한국'!$A$6:$A$105,0)),""),IF(A14="미국",IFERROR(INDEX('종목_미국'!$R$6:$R$105,MATCH(B14,'종목_미국'!$A$6:$A$105,0)),""),""))</f>
        <v/>
      </c>
      <c r="V14">
        <f>IF(B14="","",IF(ISNUMBER(IF(A14="한국",'종목_한국'!$H$3,'종목_미국'!$H$3)),IF(A14="한국",'종목_한국'!$E$3,'종목_미국'!$E$3)&amp;" ("&amp;TEXT(IF(A14="한국",'종목_한국'!$H$3,'종목_미국'!$H$3),"0.0")&amp;")",""))</f>
        <v/>
      </c>
      <c r="W14">
        <f>IF(AND(ISNUMBER(U14),ISNUMBER(IF(A14="한국",'종목_한국'!$H$3,'종목_미국'!$H$3))),IF(AND(U14&lt;'설정'!$B$6,ROUND(IF(A14="한국",'종목_한국'!$H$3,'종목_미국'!$H$3)-U14,1)&gt;='설정'!$B$7),"제안",""),"")</f>
        <v/>
      </c>
    </row>
    <row r="15">
      <c r="A15" s="19" t="n"/>
      <c r="B15" s="18" t="n"/>
      <c r="C15" s="19" t="n"/>
      <c r="D15" s="20" t="n"/>
      <c r="E15" s="23" t="n"/>
      <c r="F15" s="20" t="n"/>
      <c r="G15" s="23" t="n"/>
      <c r="H15" s="16" t="n"/>
      <c r="I15" s="7">
        <f>IF(B15="","",IF(N15="도달","① 손실 한도 도달 → 매도",IF(P15="무너짐","② 핵심 매수 이유 붕괴 → 매도 검토",IF(S15="초과","③ 비중 초과 → 초과분 "&amp;TEXT(T15,"#,##0")&amp;"원 매도",IF(W15="제안","④ 교체 제안 → "&amp;IF(A15="한국",'종목_한국'!$E$3,'종목_미국'!$E$3),"유지")))))</f>
        <v/>
      </c>
      <c r="J15" s="25">
        <f>IF(AND(ISNUMBER(D15),ISNUMBER(G15),OR(A15&lt;&gt;"미국",ISNUMBER($D$5))),D15*G15*IF(A15="미국",$D$5,1),"")</f>
        <v/>
      </c>
      <c r="K15" s="25">
        <f>IF(AND(ISNUMBER(F15),ISNUMBER(J15)),F15-J15,"")</f>
        <v/>
      </c>
      <c r="L15" s="22">
        <f>IF(AND(ISNUMBER(K15),ISNUMBER($D$3)),IF($D$3&gt;0,K15/$D$3,""),"")</f>
        <v/>
      </c>
      <c r="M15" s="22">
        <f>IF(AND(ISNUMBER(G15),ISNUMBER(E15)),IF(E15&gt;0,G15/E15-1,""),"")</f>
        <v/>
      </c>
      <c r="N15">
        <f>IF(B15="","",IF(OR(AND(ISNUMBER(L15),L15&gt;='설정'!$B$11),AND(ISNUMBER(M15),M15&lt;='설정'!$B$12)),"도달",""))</f>
        <v/>
      </c>
      <c r="O15">
        <f>IF(B15="","",IF(COUNTIF('매수이유'!$A$6:$A$205,B15)=0,"기록 없음",IF(COUNTIF('매수이유'!$A$6:$A$205,B15)&gt;3,"이유 3개 초과",IF(COUNTIFS('매수이유'!$A$6:$A$205,B15,'매수이유'!$E$6:$E$205,"Y")&lt;&gt;1,"핵심 1개 표시 필요",IF(SUMIFS('매수이유'!$L$6:$L$205,'매수이유'!$A$6:$A$205,B15)&gt;0,"근거·기준 미기재","기록 완료")))))</f>
        <v/>
      </c>
      <c r="P15">
        <f>IF(B15="","",IF(SUMIFS('매수이유'!$M$6:$M$205,'매수이유'!$A$6:$A$205,B15)&gt;0,"무너짐",""))</f>
        <v/>
      </c>
      <c r="Q15">
        <f>IF(OR(B15="",H15=""),"",IF(COUNTIF('매수이유'!$A$6:$A$205,B15)=0,"이유 기록 없음",IF(SUMIFS('매수이유'!$O$6:$O$205,'매수이유'!$A$6:$A$205,B15)&gt;0,"점검 필요","점검 완료")))</f>
        <v/>
      </c>
      <c r="R15" s="22">
        <f>IF(AND(ISNUMBER(J15),$D$7&gt;0),J15/$D$7,"")</f>
        <v/>
      </c>
      <c r="S15">
        <f>IF(AND($D$6&gt;='설정'!$B$14,ISNUMBER(R15)),IF(R15&gt;'설정'!$B$13,"초과",""),"")</f>
        <v/>
      </c>
      <c r="T15" s="25">
        <f>IF(S15="초과",J15-'설정'!$B$13*$D$7,"")</f>
        <v/>
      </c>
      <c r="U15" s="11">
        <f>IF(A15="한국",IFERROR(INDEX('종목_한국'!$R$6:$R$105,MATCH(B15,'종목_한국'!$A$6:$A$105,0)),""),IF(A15="미국",IFERROR(INDEX('종목_미국'!$R$6:$R$105,MATCH(B15,'종목_미국'!$A$6:$A$105,0)),""),""))</f>
        <v/>
      </c>
      <c r="V15">
        <f>IF(B15="","",IF(ISNUMBER(IF(A15="한국",'종목_한국'!$H$3,'종목_미국'!$H$3)),IF(A15="한국",'종목_한국'!$E$3,'종목_미국'!$E$3)&amp;" ("&amp;TEXT(IF(A15="한국",'종목_한국'!$H$3,'종목_미국'!$H$3),"0.0")&amp;")",""))</f>
        <v/>
      </c>
      <c r="W15">
        <f>IF(AND(ISNUMBER(U15),ISNUMBER(IF(A15="한국",'종목_한국'!$H$3,'종목_미국'!$H$3))),IF(AND(U15&lt;'설정'!$B$6,ROUND(IF(A15="한국",'종목_한국'!$H$3,'종목_미국'!$H$3)-U15,1)&gt;='설정'!$B$7),"제안",""),"")</f>
        <v/>
      </c>
    </row>
    <row r="16">
      <c r="A16" s="19" t="n"/>
      <c r="B16" s="18" t="n"/>
      <c r="C16" s="19" t="n"/>
      <c r="D16" s="20" t="n"/>
      <c r="E16" s="23" t="n"/>
      <c r="F16" s="20" t="n"/>
      <c r="G16" s="23" t="n"/>
      <c r="H16" s="16" t="n"/>
      <c r="I16" s="7">
        <f>IF(B16="","",IF(N16="도달","① 손실 한도 도달 → 매도",IF(P16="무너짐","② 핵심 매수 이유 붕괴 → 매도 검토",IF(S16="초과","③ 비중 초과 → 초과분 "&amp;TEXT(T16,"#,##0")&amp;"원 매도",IF(W16="제안","④ 교체 제안 → "&amp;IF(A16="한국",'종목_한국'!$E$3,'종목_미국'!$E$3),"유지")))))</f>
        <v/>
      </c>
      <c r="J16" s="25">
        <f>IF(AND(ISNUMBER(D16),ISNUMBER(G16),OR(A16&lt;&gt;"미국",ISNUMBER($D$5))),D16*G16*IF(A16="미국",$D$5,1),"")</f>
        <v/>
      </c>
      <c r="K16" s="25">
        <f>IF(AND(ISNUMBER(F16),ISNUMBER(J16)),F16-J16,"")</f>
        <v/>
      </c>
      <c r="L16" s="22">
        <f>IF(AND(ISNUMBER(K16),ISNUMBER($D$3)),IF($D$3&gt;0,K16/$D$3,""),"")</f>
        <v/>
      </c>
      <c r="M16" s="22">
        <f>IF(AND(ISNUMBER(G16),ISNUMBER(E16)),IF(E16&gt;0,G16/E16-1,""),"")</f>
        <v/>
      </c>
      <c r="N16">
        <f>IF(B16="","",IF(OR(AND(ISNUMBER(L16),L16&gt;='설정'!$B$11),AND(ISNUMBER(M16),M16&lt;='설정'!$B$12)),"도달",""))</f>
        <v/>
      </c>
      <c r="O16">
        <f>IF(B16="","",IF(COUNTIF('매수이유'!$A$6:$A$205,B16)=0,"기록 없음",IF(COUNTIF('매수이유'!$A$6:$A$205,B16)&gt;3,"이유 3개 초과",IF(COUNTIFS('매수이유'!$A$6:$A$205,B16,'매수이유'!$E$6:$E$205,"Y")&lt;&gt;1,"핵심 1개 표시 필요",IF(SUMIFS('매수이유'!$L$6:$L$205,'매수이유'!$A$6:$A$205,B16)&gt;0,"근거·기준 미기재","기록 완료")))))</f>
        <v/>
      </c>
      <c r="P16">
        <f>IF(B16="","",IF(SUMIFS('매수이유'!$M$6:$M$205,'매수이유'!$A$6:$A$205,B16)&gt;0,"무너짐",""))</f>
        <v/>
      </c>
      <c r="Q16">
        <f>IF(OR(B16="",H16=""),"",IF(COUNTIF('매수이유'!$A$6:$A$205,B16)=0,"이유 기록 없음",IF(SUMIFS('매수이유'!$O$6:$O$205,'매수이유'!$A$6:$A$205,B16)&gt;0,"점검 필요","점검 완료")))</f>
        <v/>
      </c>
      <c r="R16" s="22">
        <f>IF(AND(ISNUMBER(J16),$D$7&gt;0),J16/$D$7,"")</f>
        <v/>
      </c>
      <c r="S16">
        <f>IF(AND($D$6&gt;='설정'!$B$14,ISNUMBER(R16)),IF(R16&gt;'설정'!$B$13,"초과",""),"")</f>
        <v/>
      </c>
      <c r="T16" s="25">
        <f>IF(S16="초과",J16-'설정'!$B$13*$D$7,"")</f>
        <v/>
      </c>
      <c r="U16" s="11">
        <f>IF(A16="한국",IFERROR(INDEX('종목_한국'!$R$6:$R$105,MATCH(B16,'종목_한국'!$A$6:$A$105,0)),""),IF(A16="미국",IFERROR(INDEX('종목_미국'!$R$6:$R$105,MATCH(B16,'종목_미국'!$A$6:$A$105,0)),""),""))</f>
        <v/>
      </c>
      <c r="V16">
        <f>IF(B16="","",IF(ISNUMBER(IF(A16="한국",'종목_한국'!$H$3,'종목_미국'!$H$3)),IF(A16="한국",'종목_한국'!$E$3,'종목_미국'!$E$3)&amp;" ("&amp;TEXT(IF(A16="한국",'종목_한국'!$H$3,'종목_미국'!$H$3),"0.0")&amp;")",""))</f>
        <v/>
      </c>
      <c r="W16">
        <f>IF(AND(ISNUMBER(U16),ISNUMBER(IF(A16="한국",'종목_한국'!$H$3,'종목_미국'!$H$3))),IF(AND(U16&lt;'설정'!$B$6,ROUND(IF(A16="한국",'종목_한국'!$H$3,'종목_미국'!$H$3)-U16,1)&gt;='설정'!$B$7),"제안",""),"")</f>
        <v/>
      </c>
    </row>
    <row r="17">
      <c r="A17" s="19" t="n"/>
      <c r="B17" s="18" t="n"/>
      <c r="C17" s="19" t="n"/>
      <c r="D17" s="20" t="n"/>
      <c r="E17" s="23" t="n"/>
      <c r="F17" s="20" t="n"/>
      <c r="G17" s="23" t="n"/>
      <c r="H17" s="16" t="n"/>
      <c r="I17" s="7">
        <f>IF(B17="","",IF(N17="도달","① 손실 한도 도달 → 매도",IF(P17="무너짐","② 핵심 매수 이유 붕괴 → 매도 검토",IF(S17="초과","③ 비중 초과 → 초과분 "&amp;TEXT(T17,"#,##0")&amp;"원 매도",IF(W17="제안","④ 교체 제안 → "&amp;IF(A17="한국",'종목_한국'!$E$3,'종목_미국'!$E$3),"유지")))))</f>
        <v/>
      </c>
      <c r="J17" s="25">
        <f>IF(AND(ISNUMBER(D17),ISNUMBER(G17),OR(A17&lt;&gt;"미국",ISNUMBER($D$5))),D17*G17*IF(A17="미국",$D$5,1),"")</f>
        <v/>
      </c>
      <c r="K17" s="25">
        <f>IF(AND(ISNUMBER(F17),ISNUMBER(J17)),F17-J17,"")</f>
        <v/>
      </c>
      <c r="L17" s="22">
        <f>IF(AND(ISNUMBER(K17),ISNUMBER($D$3)),IF($D$3&gt;0,K17/$D$3,""),"")</f>
        <v/>
      </c>
      <c r="M17" s="22">
        <f>IF(AND(ISNUMBER(G17),ISNUMBER(E17)),IF(E17&gt;0,G17/E17-1,""),"")</f>
        <v/>
      </c>
      <c r="N17">
        <f>IF(B17="","",IF(OR(AND(ISNUMBER(L17),L17&gt;='설정'!$B$11),AND(ISNUMBER(M17),M17&lt;='설정'!$B$12)),"도달",""))</f>
        <v/>
      </c>
      <c r="O17">
        <f>IF(B17="","",IF(COUNTIF('매수이유'!$A$6:$A$205,B17)=0,"기록 없음",IF(COUNTIF('매수이유'!$A$6:$A$205,B17)&gt;3,"이유 3개 초과",IF(COUNTIFS('매수이유'!$A$6:$A$205,B17,'매수이유'!$E$6:$E$205,"Y")&lt;&gt;1,"핵심 1개 표시 필요",IF(SUMIFS('매수이유'!$L$6:$L$205,'매수이유'!$A$6:$A$205,B17)&gt;0,"근거·기준 미기재","기록 완료")))))</f>
        <v/>
      </c>
      <c r="P17">
        <f>IF(B17="","",IF(SUMIFS('매수이유'!$M$6:$M$205,'매수이유'!$A$6:$A$205,B17)&gt;0,"무너짐",""))</f>
        <v/>
      </c>
      <c r="Q17">
        <f>IF(OR(B17="",H17=""),"",IF(COUNTIF('매수이유'!$A$6:$A$205,B17)=0,"이유 기록 없음",IF(SUMIFS('매수이유'!$O$6:$O$205,'매수이유'!$A$6:$A$205,B17)&gt;0,"점검 필요","점검 완료")))</f>
        <v/>
      </c>
      <c r="R17" s="22">
        <f>IF(AND(ISNUMBER(J17),$D$7&gt;0),J17/$D$7,"")</f>
        <v/>
      </c>
      <c r="S17">
        <f>IF(AND($D$6&gt;='설정'!$B$14,ISNUMBER(R17)),IF(R17&gt;'설정'!$B$13,"초과",""),"")</f>
        <v/>
      </c>
      <c r="T17" s="25">
        <f>IF(S17="초과",J17-'설정'!$B$13*$D$7,"")</f>
        <v/>
      </c>
      <c r="U17" s="11">
        <f>IF(A17="한국",IFERROR(INDEX('종목_한국'!$R$6:$R$105,MATCH(B17,'종목_한국'!$A$6:$A$105,0)),""),IF(A17="미국",IFERROR(INDEX('종목_미국'!$R$6:$R$105,MATCH(B17,'종목_미국'!$A$6:$A$105,0)),""),""))</f>
        <v/>
      </c>
      <c r="V17">
        <f>IF(B17="","",IF(ISNUMBER(IF(A17="한국",'종목_한국'!$H$3,'종목_미국'!$H$3)),IF(A17="한국",'종목_한국'!$E$3,'종목_미국'!$E$3)&amp;" ("&amp;TEXT(IF(A17="한국",'종목_한국'!$H$3,'종목_미국'!$H$3),"0.0")&amp;")",""))</f>
        <v/>
      </c>
      <c r="W17">
        <f>IF(AND(ISNUMBER(U17),ISNUMBER(IF(A17="한국",'종목_한국'!$H$3,'종목_미국'!$H$3))),IF(AND(U17&lt;'설정'!$B$6,ROUND(IF(A17="한국",'종목_한국'!$H$3,'종목_미국'!$H$3)-U17,1)&gt;='설정'!$B$7),"제안",""),"")</f>
        <v/>
      </c>
    </row>
    <row r="18">
      <c r="A18" s="19" t="n"/>
      <c r="B18" s="18" t="n"/>
      <c r="C18" s="19" t="n"/>
      <c r="D18" s="20" t="n"/>
      <c r="E18" s="23" t="n"/>
      <c r="F18" s="20" t="n"/>
      <c r="G18" s="23" t="n"/>
      <c r="H18" s="16" t="n"/>
      <c r="I18" s="7">
        <f>IF(B18="","",IF(N18="도달","① 손실 한도 도달 → 매도",IF(P18="무너짐","② 핵심 매수 이유 붕괴 → 매도 검토",IF(S18="초과","③ 비중 초과 → 초과분 "&amp;TEXT(T18,"#,##0")&amp;"원 매도",IF(W18="제안","④ 교체 제안 → "&amp;IF(A18="한국",'종목_한국'!$E$3,'종목_미국'!$E$3),"유지")))))</f>
        <v/>
      </c>
      <c r="J18" s="25">
        <f>IF(AND(ISNUMBER(D18),ISNUMBER(G18),OR(A18&lt;&gt;"미국",ISNUMBER($D$5))),D18*G18*IF(A18="미국",$D$5,1),"")</f>
        <v/>
      </c>
      <c r="K18" s="25">
        <f>IF(AND(ISNUMBER(F18),ISNUMBER(J18)),F18-J18,"")</f>
        <v/>
      </c>
      <c r="L18" s="22">
        <f>IF(AND(ISNUMBER(K18),ISNUMBER($D$3)),IF($D$3&gt;0,K18/$D$3,""),"")</f>
        <v/>
      </c>
      <c r="M18" s="22">
        <f>IF(AND(ISNUMBER(G18),ISNUMBER(E18)),IF(E18&gt;0,G18/E18-1,""),"")</f>
        <v/>
      </c>
      <c r="N18">
        <f>IF(B18="","",IF(OR(AND(ISNUMBER(L18),L18&gt;='설정'!$B$11),AND(ISNUMBER(M18),M18&lt;='설정'!$B$12)),"도달",""))</f>
        <v/>
      </c>
      <c r="O18">
        <f>IF(B18="","",IF(COUNTIF('매수이유'!$A$6:$A$205,B18)=0,"기록 없음",IF(COUNTIF('매수이유'!$A$6:$A$205,B18)&gt;3,"이유 3개 초과",IF(COUNTIFS('매수이유'!$A$6:$A$205,B18,'매수이유'!$E$6:$E$205,"Y")&lt;&gt;1,"핵심 1개 표시 필요",IF(SUMIFS('매수이유'!$L$6:$L$205,'매수이유'!$A$6:$A$205,B18)&gt;0,"근거·기준 미기재","기록 완료")))))</f>
        <v/>
      </c>
      <c r="P18">
        <f>IF(B18="","",IF(SUMIFS('매수이유'!$M$6:$M$205,'매수이유'!$A$6:$A$205,B18)&gt;0,"무너짐",""))</f>
        <v/>
      </c>
      <c r="Q18">
        <f>IF(OR(B18="",H18=""),"",IF(COUNTIF('매수이유'!$A$6:$A$205,B18)=0,"이유 기록 없음",IF(SUMIFS('매수이유'!$O$6:$O$205,'매수이유'!$A$6:$A$205,B18)&gt;0,"점검 필요","점검 완료")))</f>
        <v/>
      </c>
      <c r="R18" s="22">
        <f>IF(AND(ISNUMBER(J18),$D$7&gt;0),J18/$D$7,"")</f>
        <v/>
      </c>
      <c r="S18">
        <f>IF(AND($D$6&gt;='설정'!$B$14,ISNUMBER(R18)),IF(R18&gt;'설정'!$B$13,"초과",""),"")</f>
        <v/>
      </c>
      <c r="T18" s="25">
        <f>IF(S18="초과",J18-'설정'!$B$13*$D$7,"")</f>
        <v/>
      </c>
      <c r="U18" s="11">
        <f>IF(A18="한국",IFERROR(INDEX('종목_한국'!$R$6:$R$105,MATCH(B18,'종목_한국'!$A$6:$A$105,0)),""),IF(A18="미국",IFERROR(INDEX('종목_미국'!$R$6:$R$105,MATCH(B18,'종목_미국'!$A$6:$A$105,0)),""),""))</f>
        <v/>
      </c>
      <c r="V18">
        <f>IF(B18="","",IF(ISNUMBER(IF(A18="한국",'종목_한국'!$H$3,'종목_미국'!$H$3)),IF(A18="한국",'종목_한국'!$E$3,'종목_미국'!$E$3)&amp;" ("&amp;TEXT(IF(A18="한국",'종목_한국'!$H$3,'종목_미국'!$H$3),"0.0")&amp;")",""))</f>
        <v/>
      </c>
      <c r="W18">
        <f>IF(AND(ISNUMBER(U18),ISNUMBER(IF(A18="한국",'종목_한국'!$H$3,'종목_미국'!$H$3))),IF(AND(U18&lt;'설정'!$B$6,ROUND(IF(A18="한국",'종목_한국'!$H$3,'종목_미국'!$H$3)-U18,1)&gt;='설정'!$B$7),"제안",""),"")</f>
        <v/>
      </c>
    </row>
    <row r="19">
      <c r="A19" s="19" t="n"/>
      <c r="B19" s="18" t="n"/>
      <c r="C19" s="19" t="n"/>
      <c r="D19" s="20" t="n"/>
      <c r="E19" s="23" t="n"/>
      <c r="F19" s="20" t="n"/>
      <c r="G19" s="23" t="n"/>
      <c r="H19" s="16" t="n"/>
      <c r="I19" s="7">
        <f>IF(B19="","",IF(N19="도달","① 손실 한도 도달 → 매도",IF(P19="무너짐","② 핵심 매수 이유 붕괴 → 매도 검토",IF(S19="초과","③ 비중 초과 → 초과분 "&amp;TEXT(T19,"#,##0")&amp;"원 매도",IF(W19="제안","④ 교체 제안 → "&amp;IF(A19="한국",'종목_한국'!$E$3,'종목_미국'!$E$3),"유지")))))</f>
        <v/>
      </c>
      <c r="J19" s="25">
        <f>IF(AND(ISNUMBER(D19),ISNUMBER(G19),OR(A19&lt;&gt;"미국",ISNUMBER($D$5))),D19*G19*IF(A19="미국",$D$5,1),"")</f>
        <v/>
      </c>
      <c r="K19" s="25">
        <f>IF(AND(ISNUMBER(F19),ISNUMBER(J19)),F19-J19,"")</f>
        <v/>
      </c>
      <c r="L19" s="22">
        <f>IF(AND(ISNUMBER(K19),ISNUMBER($D$3)),IF($D$3&gt;0,K19/$D$3,""),"")</f>
        <v/>
      </c>
      <c r="M19" s="22">
        <f>IF(AND(ISNUMBER(G19),ISNUMBER(E19)),IF(E19&gt;0,G19/E19-1,""),"")</f>
        <v/>
      </c>
      <c r="N19">
        <f>IF(B19="","",IF(OR(AND(ISNUMBER(L19),L19&gt;='설정'!$B$11),AND(ISNUMBER(M19),M19&lt;='설정'!$B$12)),"도달",""))</f>
        <v/>
      </c>
      <c r="O19">
        <f>IF(B19="","",IF(COUNTIF('매수이유'!$A$6:$A$205,B19)=0,"기록 없음",IF(COUNTIF('매수이유'!$A$6:$A$205,B19)&gt;3,"이유 3개 초과",IF(COUNTIFS('매수이유'!$A$6:$A$205,B19,'매수이유'!$E$6:$E$205,"Y")&lt;&gt;1,"핵심 1개 표시 필요",IF(SUMIFS('매수이유'!$L$6:$L$205,'매수이유'!$A$6:$A$205,B19)&gt;0,"근거·기준 미기재","기록 완료")))))</f>
        <v/>
      </c>
      <c r="P19">
        <f>IF(B19="","",IF(SUMIFS('매수이유'!$M$6:$M$205,'매수이유'!$A$6:$A$205,B19)&gt;0,"무너짐",""))</f>
        <v/>
      </c>
      <c r="Q19">
        <f>IF(OR(B19="",H19=""),"",IF(COUNTIF('매수이유'!$A$6:$A$205,B19)=0,"이유 기록 없음",IF(SUMIFS('매수이유'!$O$6:$O$205,'매수이유'!$A$6:$A$205,B19)&gt;0,"점검 필요","점검 완료")))</f>
        <v/>
      </c>
      <c r="R19" s="22">
        <f>IF(AND(ISNUMBER(J19),$D$7&gt;0),J19/$D$7,"")</f>
        <v/>
      </c>
      <c r="S19">
        <f>IF(AND($D$6&gt;='설정'!$B$14,ISNUMBER(R19)),IF(R19&gt;'설정'!$B$13,"초과",""),"")</f>
        <v/>
      </c>
      <c r="T19" s="25">
        <f>IF(S19="초과",J19-'설정'!$B$13*$D$7,"")</f>
        <v/>
      </c>
      <c r="U19" s="11">
        <f>IF(A19="한국",IFERROR(INDEX('종목_한국'!$R$6:$R$105,MATCH(B19,'종목_한국'!$A$6:$A$105,0)),""),IF(A19="미국",IFERROR(INDEX('종목_미국'!$R$6:$R$105,MATCH(B19,'종목_미국'!$A$6:$A$105,0)),""),""))</f>
        <v/>
      </c>
      <c r="V19">
        <f>IF(B19="","",IF(ISNUMBER(IF(A19="한국",'종목_한국'!$H$3,'종목_미국'!$H$3)),IF(A19="한국",'종목_한국'!$E$3,'종목_미국'!$E$3)&amp;" ("&amp;TEXT(IF(A19="한국",'종목_한국'!$H$3,'종목_미국'!$H$3),"0.0")&amp;")",""))</f>
        <v/>
      </c>
      <c r="W19">
        <f>IF(AND(ISNUMBER(U19),ISNUMBER(IF(A19="한국",'종목_한국'!$H$3,'종목_미국'!$H$3))),IF(AND(U19&lt;'설정'!$B$6,ROUND(IF(A19="한국",'종목_한국'!$H$3,'종목_미국'!$H$3)-U19,1)&gt;='설정'!$B$7),"제안",""),"")</f>
        <v/>
      </c>
    </row>
    <row r="20">
      <c r="A20" s="19" t="n"/>
      <c r="B20" s="18" t="n"/>
      <c r="C20" s="19" t="n"/>
      <c r="D20" s="20" t="n"/>
      <c r="E20" s="23" t="n"/>
      <c r="F20" s="20" t="n"/>
      <c r="G20" s="23" t="n"/>
      <c r="H20" s="16" t="n"/>
      <c r="I20" s="7">
        <f>IF(B20="","",IF(N20="도달","① 손실 한도 도달 → 매도",IF(P20="무너짐","② 핵심 매수 이유 붕괴 → 매도 검토",IF(S20="초과","③ 비중 초과 → 초과분 "&amp;TEXT(T20,"#,##0")&amp;"원 매도",IF(W20="제안","④ 교체 제안 → "&amp;IF(A20="한국",'종목_한국'!$E$3,'종목_미국'!$E$3),"유지")))))</f>
        <v/>
      </c>
      <c r="J20" s="25">
        <f>IF(AND(ISNUMBER(D20),ISNUMBER(G20),OR(A20&lt;&gt;"미국",ISNUMBER($D$5))),D20*G20*IF(A20="미국",$D$5,1),"")</f>
        <v/>
      </c>
      <c r="K20" s="25">
        <f>IF(AND(ISNUMBER(F20),ISNUMBER(J20)),F20-J20,"")</f>
        <v/>
      </c>
      <c r="L20" s="22">
        <f>IF(AND(ISNUMBER(K20),ISNUMBER($D$3)),IF($D$3&gt;0,K20/$D$3,""),"")</f>
        <v/>
      </c>
      <c r="M20" s="22">
        <f>IF(AND(ISNUMBER(G20),ISNUMBER(E20)),IF(E20&gt;0,G20/E20-1,""),"")</f>
        <v/>
      </c>
      <c r="N20">
        <f>IF(B20="","",IF(OR(AND(ISNUMBER(L20),L20&gt;='설정'!$B$11),AND(ISNUMBER(M20),M20&lt;='설정'!$B$12)),"도달",""))</f>
        <v/>
      </c>
      <c r="O20">
        <f>IF(B20="","",IF(COUNTIF('매수이유'!$A$6:$A$205,B20)=0,"기록 없음",IF(COUNTIF('매수이유'!$A$6:$A$205,B20)&gt;3,"이유 3개 초과",IF(COUNTIFS('매수이유'!$A$6:$A$205,B20,'매수이유'!$E$6:$E$205,"Y")&lt;&gt;1,"핵심 1개 표시 필요",IF(SUMIFS('매수이유'!$L$6:$L$205,'매수이유'!$A$6:$A$205,B20)&gt;0,"근거·기준 미기재","기록 완료")))))</f>
        <v/>
      </c>
      <c r="P20">
        <f>IF(B20="","",IF(SUMIFS('매수이유'!$M$6:$M$205,'매수이유'!$A$6:$A$205,B20)&gt;0,"무너짐",""))</f>
        <v/>
      </c>
      <c r="Q20">
        <f>IF(OR(B20="",H20=""),"",IF(COUNTIF('매수이유'!$A$6:$A$205,B20)=0,"이유 기록 없음",IF(SUMIFS('매수이유'!$O$6:$O$205,'매수이유'!$A$6:$A$205,B20)&gt;0,"점검 필요","점검 완료")))</f>
        <v/>
      </c>
      <c r="R20" s="22">
        <f>IF(AND(ISNUMBER(J20),$D$7&gt;0),J20/$D$7,"")</f>
        <v/>
      </c>
      <c r="S20">
        <f>IF(AND($D$6&gt;='설정'!$B$14,ISNUMBER(R20)),IF(R20&gt;'설정'!$B$13,"초과",""),"")</f>
        <v/>
      </c>
      <c r="T20" s="25">
        <f>IF(S20="초과",J20-'설정'!$B$13*$D$7,"")</f>
        <v/>
      </c>
      <c r="U20" s="11">
        <f>IF(A20="한국",IFERROR(INDEX('종목_한국'!$R$6:$R$105,MATCH(B20,'종목_한국'!$A$6:$A$105,0)),""),IF(A20="미국",IFERROR(INDEX('종목_미국'!$R$6:$R$105,MATCH(B20,'종목_미국'!$A$6:$A$105,0)),""),""))</f>
        <v/>
      </c>
      <c r="V20">
        <f>IF(B20="","",IF(ISNUMBER(IF(A20="한국",'종목_한국'!$H$3,'종목_미국'!$H$3)),IF(A20="한국",'종목_한국'!$E$3,'종목_미국'!$E$3)&amp;" ("&amp;TEXT(IF(A20="한국",'종목_한국'!$H$3,'종목_미국'!$H$3),"0.0")&amp;")",""))</f>
        <v/>
      </c>
      <c r="W20">
        <f>IF(AND(ISNUMBER(U20),ISNUMBER(IF(A20="한국",'종목_한국'!$H$3,'종목_미국'!$H$3))),IF(AND(U20&lt;'설정'!$B$6,ROUND(IF(A20="한국",'종목_한국'!$H$3,'종목_미국'!$H$3)-U20,1)&gt;='설정'!$B$7),"제안",""),"")</f>
        <v/>
      </c>
    </row>
  </sheetData>
  <mergeCells count="12">
    <mergeCell ref="A9:H9"/>
    <mergeCell ref="D6:E6"/>
    <mergeCell ref="D7:E7"/>
    <mergeCell ref="A5:C5"/>
    <mergeCell ref="D5:E5"/>
    <mergeCell ref="A6:C6"/>
    <mergeCell ref="A3:C3"/>
    <mergeCell ref="D4:E4"/>
    <mergeCell ref="A7:C7"/>
    <mergeCell ref="I9:W9"/>
    <mergeCell ref="A4:C4"/>
    <mergeCell ref="D3:E3"/>
  </mergeCells>
  <conditionalFormatting sqref="I11:I20">
    <cfRule type="expression" priority="1" dxfId="0">
      <formula>LEFT(I11,1)="①"</formula>
    </cfRule>
    <cfRule type="expression" priority="2" dxfId="1">
      <formula>LEFT(I11,1)="②"</formula>
    </cfRule>
    <cfRule type="expression" priority="3" dxfId="2">
      <formula>LEFT(I11,1)="③"</formula>
    </cfRule>
    <cfRule type="expression" priority="4" dxfId="3">
      <formula>LEFT(I11,1)="④"</formula>
    </cfRule>
  </conditionalFormatting>
  <dataValidations count="1">
    <dataValidation sqref="A11:A20" showDropDown="0" showInputMessage="0" showErrorMessage="0" allowBlank="1" type="list">
      <formula1>"한국,미국"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34" customWidth="1" min="4" max="4"/>
    <col width="6" customWidth="1" min="5" max="5"/>
    <col width="28" customWidth="1" min="6" max="6"/>
    <col width="24" customWidth="1" min="7" max="7"/>
    <col width="11" customWidth="1" min="8" max="8"/>
    <col width="9" customWidth="1" min="9" max="9"/>
    <col width="24" customWidth="1" min="10" max="10"/>
    <col width="28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4" t="inlineStr">
        <is>
          <t>매수 이유 기록 (명세 7)</t>
        </is>
      </c>
    </row>
    <row r="2">
      <c r="A2" s="5" t="inlineStr">
        <is>
          <t>매수 전에 이유 1~3개, 그중 핵심 1개(Y). 이유마다 확인할 근거와 무너짐 기준을 함께 쓴다. 근거를 하나도 쓸 수 없으면 사지 않는다.</t>
        </is>
      </c>
    </row>
    <row r="3">
      <c r="A3" s="5" t="inlineStr">
        <is>
          <t>예) 데이터센터 매출이 빠르게 는다 / 부문 매출 전년비 / 2회 연속 10% 미만 · 핵심 고객과 장기 계약 / 계약 유지 공시 / 해지·미갱신</t>
        </is>
      </c>
    </row>
    <row r="5" ht="32" customHeight="1">
      <c r="A5" s="6" t="inlineStr">
        <is>
          <t>종목코드</t>
        </is>
      </c>
      <c r="B5" s="6" t="inlineStr">
        <is>
          <t>종목명</t>
        </is>
      </c>
      <c r="C5" s="6" t="inlineStr">
        <is>
          <t>이유
번호</t>
        </is>
      </c>
      <c r="D5" s="6" t="inlineStr">
        <is>
          <t>매수 이유</t>
        </is>
      </c>
      <c r="E5" s="6" t="inlineStr">
        <is>
          <t>핵심
(Y)</t>
        </is>
      </c>
      <c r="F5" s="6" t="inlineStr">
        <is>
          <t>확인할 근거</t>
        </is>
      </c>
      <c r="G5" s="6" t="inlineStr">
        <is>
          <t>무너짐 기준</t>
        </is>
      </c>
      <c r="H5" s="6" t="inlineStr">
        <is>
          <t>최근
점검일</t>
        </is>
      </c>
      <c r="I5" s="6" t="inlineStr">
        <is>
          <t>점검 결과</t>
        </is>
      </c>
      <c r="J5" s="6" t="inlineStr">
        <is>
          <t>메모</t>
        </is>
      </c>
      <c r="K5" s="6" t="inlineStr">
        <is>
          <t>안내</t>
        </is>
      </c>
      <c r="L5" s="6" t="inlineStr">
        <is>
          <t>미기재</t>
        </is>
      </c>
      <c r="M5" s="6" t="inlineStr">
        <is>
          <t>핵심 붕괴</t>
        </is>
      </c>
      <c r="N5" s="6" t="inlineStr">
        <is>
          <t>실적 발표일</t>
        </is>
      </c>
      <c r="O5" s="6" t="inlineStr">
        <is>
          <t>점검 필요</t>
        </is>
      </c>
    </row>
    <row r="6">
      <c r="A6" s="18" t="inlineStr">
        <is>
          <t>K01</t>
        </is>
      </c>
      <c r="B6" s="19" t="inlineStr">
        <is>
          <t>예시전자</t>
        </is>
      </c>
      <c r="C6" s="19" t="n">
        <v>1</v>
      </c>
      <c r="D6" s="19" t="inlineStr">
        <is>
          <t>핵심 고객과 장기 공급 계약</t>
        </is>
      </c>
      <c r="E6" s="19" t="inlineStr">
        <is>
          <t>Y</t>
        </is>
      </c>
      <c r="F6" s="19" t="inlineStr">
        <is>
          <t>계약 유지 공시</t>
        </is>
      </c>
      <c r="G6" s="19" t="inlineStr">
        <is>
          <t>해지·미갱신</t>
        </is>
      </c>
      <c r="H6" s="16" t="n">
        <v>46237</v>
      </c>
      <c r="I6" s="19" t="inlineStr">
        <is>
          <t>무너짐</t>
        </is>
      </c>
      <c r="J6" s="19" t="n"/>
      <c r="K6">
        <f>IF(A6="","",IF(L6=1,"근거·무너짐 기준을 채우세요",IF(M6=1,"핵심 이유 무너짐 → 매도 검토",IF(O6=1,"실적 발표 뒤 점검 필요",""))))</f>
        <v/>
      </c>
      <c r="L6">
        <f>IF(AND(A6&lt;&gt;"",OR(F6="",G6="")),1,0)</f>
        <v/>
      </c>
      <c r="M6">
        <f>IF(AND(A6&lt;&gt;"",E6="Y",I6="무너짐"),1,0)</f>
        <v/>
      </c>
      <c r="N6">
        <f>IF(A6="","",IFERROR(IF(INDEX('보유'!$H$11:$H$20,MATCH(A6,'보유'!$B$11:$B$20,0))="","",INDEX('보유'!$H$11:$H$20,MATCH(A6,'보유'!$B$11:$B$20,0))),""))</f>
        <v/>
      </c>
      <c r="O6">
        <f>IF(ISNUMBER(N6),IF(OR(NOT(ISNUMBER(H6)),H6&lt;N6),1,0),0)</f>
        <v/>
      </c>
    </row>
    <row r="7">
      <c r="A7" s="18" t="inlineStr">
        <is>
          <t>K01</t>
        </is>
      </c>
      <c r="B7" s="19" t="inlineStr">
        <is>
          <t>예시전자</t>
        </is>
      </c>
      <c r="C7" s="19" t="n">
        <v>2</v>
      </c>
      <c r="D7" s="19" t="inlineStr">
        <is>
          <t>고부가 메모리 매출 비중 확대</t>
        </is>
      </c>
      <c r="E7" s="19" t="n"/>
      <c r="F7" s="19" t="inlineStr">
        <is>
          <t>부문 매출 전년비</t>
        </is>
      </c>
      <c r="G7" s="19" t="inlineStr">
        <is>
          <t>2회 연속 10% 미만</t>
        </is>
      </c>
      <c r="H7" s="16" t="n">
        <v>46237</v>
      </c>
      <c r="I7" s="19" t="inlineStr">
        <is>
          <t>유지</t>
        </is>
      </c>
      <c r="J7" s="19" t="n"/>
      <c r="K7">
        <f>IF(A7="","",IF(L7=1,"근거·무너짐 기준을 채우세요",IF(M7=1,"핵심 이유 무너짐 → 매도 검토",IF(O7=1,"실적 발표 뒤 점검 필요",""))))</f>
        <v/>
      </c>
      <c r="L7">
        <f>IF(AND(A7&lt;&gt;"",OR(F7="",G7="")),1,0)</f>
        <v/>
      </c>
      <c r="M7">
        <f>IF(AND(A7&lt;&gt;"",E7="Y",I7="무너짐"),1,0)</f>
        <v/>
      </c>
      <c r="N7">
        <f>IF(A7="","",IFERROR(IF(INDEX('보유'!$H$11:$H$20,MATCH(A7,'보유'!$B$11:$B$20,0))="","",INDEX('보유'!$H$11:$H$20,MATCH(A7,'보유'!$B$11:$B$20,0))),""))</f>
        <v/>
      </c>
      <c r="O7">
        <f>IF(ISNUMBER(N7),IF(OR(NOT(ISNUMBER(H7)),H7&lt;N7),1,0),0)</f>
        <v/>
      </c>
    </row>
    <row r="8">
      <c r="A8" s="18" t="inlineStr">
        <is>
          <t>K02</t>
        </is>
      </c>
      <c r="B8" s="19" t="inlineStr">
        <is>
          <t>예시화학</t>
        </is>
      </c>
      <c r="C8" s="19" t="n">
        <v>1</v>
      </c>
      <c r="D8" s="19" t="inlineStr">
        <is>
          <t>스페셜티 제품 비중 확대</t>
        </is>
      </c>
      <c r="E8" s="19" t="inlineStr">
        <is>
          <t>Y</t>
        </is>
      </c>
      <c r="F8" s="19" t="inlineStr">
        <is>
          <t>스페셜티 매출 비중(분기)</t>
        </is>
      </c>
      <c r="G8" s="19" t="inlineStr">
        <is>
          <t>2분기 연속 감소</t>
        </is>
      </c>
      <c r="H8" s="16" t="n">
        <v>46246</v>
      </c>
      <c r="I8" s="19" t="inlineStr">
        <is>
          <t>유지</t>
        </is>
      </c>
      <c r="J8" s="19" t="n"/>
      <c r="K8">
        <f>IF(A8="","",IF(L8=1,"근거·무너짐 기준을 채우세요",IF(M8=1,"핵심 이유 무너짐 → 매도 검토",IF(O8=1,"실적 발표 뒤 점검 필요",""))))</f>
        <v/>
      </c>
      <c r="L8">
        <f>IF(AND(A8&lt;&gt;"",OR(F8="",G8="")),1,0)</f>
        <v/>
      </c>
      <c r="M8">
        <f>IF(AND(A8&lt;&gt;"",E8="Y",I8="무너짐"),1,0)</f>
        <v/>
      </c>
      <c r="N8">
        <f>IF(A8="","",IFERROR(IF(INDEX('보유'!$H$11:$H$20,MATCH(A8,'보유'!$B$11:$B$20,0))="","",INDEX('보유'!$H$11:$H$20,MATCH(A8,'보유'!$B$11:$B$20,0))),""))</f>
        <v/>
      </c>
      <c r="O8">
        <f>IF(ISNUMBER(N8),IF(OR(NOT(ISNUMBER(H8)),H8&lt;N8),1,0),0)</f>
        <v/>
      </c>
    </row>
    <row r="9">
      <c r="A9" s="18" t="inlineStr">
        <is>
          <t>U01</t>
        </is>
      </c>
      <c r="B9" s="19" t="inlineStr">
        <is>
          <t>예시반도체</t>
        </is>
      </c>
      <c r="C9" s="19" t="n">
        <v>1</v>
      </c>
      <c r="D9" s="19" t="inlineStr">
        <is>
          <t>데이터센터 매출이 빠르게 는다</t>
        </is>
      </c>
      <c r="E9" s="19" t="inlineStr">
        <is>
          <t>Y</t>
        </is>
      </c>
      <c r="F9" s="19" t="inlineStr">
        <is>
          <t>부문 매출 전년비</t>
        </is>
      </c>
      <c r="G9" s="19" t="inlineStr">
        <is>
          <t>2회 연속 10% 미만</t>
        </is>
      </c>
      <c r="H9" s="16" t="n">
        <v>46174</v>
      </c>
      <c r="I9" s="19" t="inlineStr">
        <is>
          <t>유지</t>
        </is>
      </c>
      <c r="J9" s="19" t="n"/>
      <c r="K9">
        <f>IF(A9="","",IF(L9=1,"근거·무너짐 기준을 채우세요",IF(M9=1,"핵심 이유 무너짐 → 매도 검토",IF(O9=1,"실적 발표 뒤 점검 필요",""))))</f>
        <v/>
      </c>
      <c r="L9">
        <f>IF(AND(A9&lt;&gt;"",OR(F9="",G9="")),1,0)</f>
        <v/>
      </c>
      <c r="M9">
        <f>IF(AND(A9&lt;&gt;"",E9="Y",I9="무너짐"),1,0)</f>
        <v/>
      </c>
      <c r="N9">
        <f>IF(A9="","",IFERROR(IF(INDEX('보유'!$H$11:$H$20,MATCH(A9,'보유'!$B$11:$B$20,0))="","",INDEX('보유'!$H$11:$H$20,MATCH(A9,'보유'!$B$11:$B$20,0))),""))</f>
        <v/>
      </c>
      <c r="O9">
        <f>IF(ISNUMBER(N9),IF(OR(NOT(ISNUMBER(H9)),H9&lt;N9),1,0),0)</f>
        <v/>
      </c>
    </row>
    <row r="10">
      <c r="A10" s="18" t="inlineStr">
        <is>
          <t>U01</t>
        </is>
      </c>
      <c r="B10" s="19" t="inlineStr">
        <is>
          <t>예시반도체</t>
        </is>
      </c>
      <c r="C10" s="19" t="n">
        <v>2</v>
      </c>
      <c r="D10" s="19" t="inlineStr">
        <is>
          <t>높은 영업이익률 유지</t>
        </is>
      </c>
      <c r="E10" s="19" t="n"/>
      <c r="F10" s="19" t="inlineStr">
        <is>
          <t>영업이익률</t>
        </is>
      </c>
      <c r="G10" s="19" t="inlineStr">
        <is>
          <t>2분기 연속 30% 미만</t>
        </is>
      </c>
      <c r="H10" s="16" t="n">
        <v>46174</v>
      </c>
      <c r="I10" s="19" t="inlineStr">
        <is>
          <t>유지</t>
        </is>
      </c>
      <c r="J10" s="19" t="n"/>
      <c r="K10">
        <f>IF(A10="","",IF(L10=1,"근거·무너짐 기준을 채우세요",IF(M10=1,"핵심 이유 무너짐 → 매도 검토",IF(O10=1,"실적 발표 뒤 점검 필요",""))))</f>
        <v/>
      </c>
      <c r="L10">
        <f>IF(AND(A10&lt;&gt;"",OR(F10="",G10="")),1,0)</f>
        <v/>
      </c>
      <c r="M10">
        <f>IF(AND(A10&lt;&gt;"",E10="Y",I10="무너짐"),1,0)</f>
        <v/>
      </c>
      <c r="N10">
        <f>IF(A10="","",IFERROR(IF(INDEX('보유'!$H$11:$H$20,MATCH(A10,'보유'!$B$11:$B$20,0))="","",INDEX('보유'!$H$11:$H$20,MATCH(A10,'보유'!$B$11:$B$20,0))),""))</f>
        <v/>
      </c>
      <c r="O10">
        <f>IF(ISNUMBER(N10),IF(OR(NOT(ISNUMBER(H10)),H10&lt;N10),1,0),0)</f>
        <v/>
      </c>
    </row>
    <row r="11">
      <c r="A11" s="18" t="inlineStr">
        <is>
          <t>U02</t>
        </is>
      </c>
      <c r="B11" s="19" t="inlineStr">
        <is>
          <t>예시리테일</t>
        </is>
      </c>
      <c r="C11" s="19" t="n">
        <v>1</v>
      </c>
      <c r="D11" s="19" t="inlineStr">
        <is>
          <t>온라인 매출 성장</t>
        </is>
      </c>
      <c r="E11" s="19" t="inlineStr">
        <is>
          <t>Y</t>
        </is>
      </c>
      <c r="F11" s="19" t="inlineStr">
        <is>
          <t>온라인 매출 전년비</t>
        </is>
      </c>
      <c r="G11" s="19" t="inlineStr">
        <is>
          <t>2분기 연속 감소</t>
        </is>
      </c>
      <c r="H11" s="16" t="n">
        <v>46259</v>
      </c>
      <c r="I11" s="19" t="inlineStr">
        <is>
          <t>유지</t>
        </is>
      </c>
      <c r="J11" s="19" t="n"/>
      <c r="K11">
        <f>IF(A11="","",IF(L11=1,"근거·무너짐 기준을 채우세요",IF(M11=1,"핵심 이유 무너짐 → 매도 검토",IF(O11=1,"실적 발표 뒤 점검 필요",""))))</f>
        <v/>
      </c>
      <c r="L11">
        <f>IF(AND(A11&lt;&gt;"",OR(F11="",G11="")),1,0)</f>
        <v/>
      </c>
      <c r="M11">
        <f>IF(AND(A11&lt;&gt;"",E11="Y",I11="무너짐"),1,0)</f>
        <v/>
      </c>
      <c r="N11">
        <f>IF(A11="","",IFERROR(IF(INDEX('보유'!$H$11:$H$20,MATCH(A11,'보유'!$B$11:$B$20,0))="","",INDEX('보유'!$H$11:$H$20,MATCH(A11,'보유'!$B$11:$B$20,0))),""))</f>
        <v/>
      </c>
      <c r="O11">
        <f>IF(ISNUMBER(N11),IF(OR(NOT(ISNUMBER(H11)),H11&lt;N11),1,0),0)</f>
        <v/>
      </c>
    </row>
    <row r="12">
      <c r="A12" s="18" t="inlineStr">
        <is>
          <t>K07</t>
        </is>
      </c>
      <c r="B12" s="19" t="inlineStr">
        <is>
          <t>예시소프트</t>
        </is>
      </c>
      <c r="C12" s="19" t="n">
        <v>1</v>
      </c>
      <c r="D12" s="19" t="inlineStr">
        <is>
          <t>구독 매출 전환</t>
        </is>
      </c>
      <c r="E12" s="19" t="inlineStr">
        <is>
          <t>Y</t>
        </is>
      </c>
      <c r="F12" s="19" t="inlineStr">
        <is>
          <t>구독 매출 비중</t>
        </is>
      </c>
      <c r="G12" s="19" t="inlineStr">
        <is>
          <t>2분기 연속 하락</t>
        </is>
      </c>
      <c r="H12" s="16" t="n"/>
      <c r="I12" s="19" t="n"/>
      <c r="J12" s="19" t="n"/>
      <c r="K12">
        <f>IF(A12="","",IF(L12=1,"근거·무너짐 기준을 채우세요",IF(M12=1,"핵심 이유 무너짐 → 매도 검토",IF(O12=1,"실적 발표 뒤 점검 필요",""))))</f>
        <v/>
      </c>
      <c r="L12">
        <f>IF(AND(A12&lt;&gt;"",OR(F12="",G12="")),1,0)</f>
        <v/>
      </c>
      <c r="M12">
        <f>IF(AND(A12&lt;&gt;"",E12="Y",I12="무너짐"),1,0)</f>
        <v/>
      </c>
      <c r="N12">
        <f>IF(A12="","",IFERROR(IF(INDEX('보유'!$H$11:$H$20,MATCH(A12,'보유'!$B$11:$B$20,0))="","",INDEX('보유'!$H$11:$H$20,MATCH(A12,'보유'!$B$11:$B$20,0))),""))</f>
        <v/>
      </c>
      <c r="O12">
        <f>IF(ISNUMBER(N12),IF(OR(NOT(ISNUMBER(H12)),H12&lt;N12),1,0),0)</f>
        <v/>
      </c>
    </row>
    <row r="13">
      <c r="A13" s="18" t="inlineStr">
        <is>
          <t>K07</t>
        </is>
      </c>
      <c r="B13" s="19" t="inlineStr">
        <is>
          <t>예시소프트</t>
        </is>
      </c>
      <c r="C13" s="19" t="n">
        <v>2</v>
      </c>
      <c r="D13" s="19" t="inlineStr">
        <is>
          <t>해외 매출 확대</t>
        </is>
      </c>
      <c r="E13" s="19" t="n"/>
      <c r="F13" s="19" t="inlineStr">
        <is>
          <t>해외 매출 전년비</t>
        </is>
      </c>
      <c r="G13" s="19" t="inlineStr">
        <is>
          <t>2분기 연속 0% 미만</t>
        </is>
      </c>
      <c r="H13" s="16" t="n"/>
      <c r="I13" s="19" t="n"/>
      <c r="J13" s="19" t="n"/>
      <c r="K13">
        <f>IF(A13="","",IF(L13=1,"근거·무너짐 기준을 채우세요",IF(M13=1,"핵심 이유 무너짐 → 매도 검토",IF(O13=1,"실적 발표 뒤 점검 필요",""))))</f>
        <v/>
      </c>
      <c r="L13">
        <f>IF(AND(A13&lt;&gt;"",OR(F13="",G13="")),1,0)</f>
        <v/>
      </c>
      <c r="M13">
        <f>IF(AND(A13&lt;&gt;"",E13="Y",I13="무너짐"),1,0)</f>
        <v/>
      </c>
      <c r="N13">
        <f>IF(A13="","",IFERROR(IF(INDEX('보유'!$H$11:$H$20,MATCH(A13,'보유'!$B$11:$B$20,0))="","",INDEX('보유'!$H$11:$H$20,MATCH(A13,'보유'!$B$11:$B$20,0))),""))</f>
        <v/>
      </c>
      <c r="O13">
        <f>IF(ISNUMBER(N13),IF(OR(NOT(ISNUMBER(H13)),H13&lt;N13),1,0),0)</f>
        <v/>
      </c>
    </row>
    <row r="14">
      <c r="A14" s="18" t="inlineStr">
        <is>
          <t>U03</t>
        </is>
      </c>
      <c r="B14" s="19" t="inlineStr">
        <is>
          <t>예시클라우드</t>
        </is>
      </c>
      <c r="C14" s="19" t="n">
        <v>1</v>
      </c>
      <c r="D14" s="19" t="inlineStr">
        <is>
          <t>AI 작업 수요 증가</t>
        </is>
      </c>
      <c r="E14" s="19" t="inlineStr">
        <is>
          <t>Y</t>
        </is>
      </c>
      <c r="F14" s="19" t="inlineStr">
        <is>
          <t>클라우드 매출 전년비</t>
        </is>
      </c>
      <c r="G14" s="19" t="n"/>
      <c r="H14" s="16" t="n"/>
      <c r="I14" s="19" t="n"/>
      <c r="J14" s="19" t="n"/>
      <c r="K14">
        <f>IF(A14="","",IF(L14=1,"근거·무너짐 기준을 채우세요",IF(M14=1,"핵심 이유 무너짐 → 매도 검토",IF(O14=1,"실적 발표 뒤 점검 필요",""))))</f>
        <v/>
      </c>
      <c r="L14">
        <f>IF(AND(A14&lt;&gt;"",OR(F14="",G14="")),1,0)</f>
        <v/>
      </c>
      <c r="M14">
        <f>IF(AND(A14&lt;&gt;"",E14="Y",I14="무너짐"),1,0)</f>
        <v/>
      </c>
      <c r="N14">
        <f>IF(A14="","",IFERROR(IF(INDEX('보유'!$H$11:$H$20,MATCH(A14,'보유'!$B$11:$B$20,0))="","",INDEX('보유'!$H$11:$H$20,MATCH(A14,'보유'!$B$11:$B$20,0))),""))</f>
        <v/>
      </c>
      <c r="O14">
        <f>IF(ISNUMBER(N14),IF(OR(NOT(ISNUMBER(H14)),H14&lt;N14),1,0),0)</f>
        <v/>
      </c>
    </row>
    <row r="15">
      <c r="A15" s="18" t="n"/>
      <c r="B15" s="19" t="n"/>
      <c r="C15" s="19" t="n"/>
      <c r="D15" s="19" t="n"/>
      <c r="E15" s="19" t="n"/>
      <c r="F15" s="19" t="n"/>
      <c r="G15" s="19" t="n"/>
      <c r="H15" s="16" t="n"/>
      <c r="I15" s="19" t="n"/>
      <c r="J15" s="19" t="n"/>
      <c r="K15">
        <f>IF(A15="","",IF(L15=1,"근거·무너짐 기준을 채우세요",IF(M15=1,"핵심 이유 무너짐 → 매도 검토",IF(O15=1,"실적 발표 뒤 점검 필요",""))))</f>
        <v/>
      </c>
      <c r="L15">
        <f>IF(AND(A15&lt;&gt;"",OR(F15="",G15="")),1,0)</f>
        <v/>
      </c>
      <c r="M15">
        <f>IF(AND(A15&lt;&gt;"",E15="Y",I15="무너짐"),1,0)</f>
        <v/>
      </c>
      <c r="N15">
        <f>IF(A15="","",IFERROR(IF(INDEX('보유'!$H$11:$H$20,MATCH(A15,'보유'!$B$11:$B$20,0))="","",INDEX('보유'!$H$11:$H$20,MATCH(A15,'보유'!$B$11:$B$20,0))),""))</f>
        <v/>
      </c>
      <c r="O15">
        <f>IF(ISNUMBER(N15),IF(OR(NOT(ISNUMBER(H15)),H15&lt;N15),1,0),0)</f>
        <v/>
      </c>
    </row>
    <row r="16">
      <c r="A16" s="18" t="n"/>
      <c r="B16" s="19" t="n"/>
      <c r="C16" s="19" t="n"/>
      <c r="D16" s="19" t="n"/>
      <c r="E16" s="19" t="n"/>
      <c r="F16" s="19" t="n"/>
      <c r="G16" s="19" t="n"/>
      <c r="H16" s="16" t="n"/>
      <c r="I16" s="19" t="n"/>
      <c r="J16" s="19" t="n"/>
      <c r="K16">
        <f>IF(A16="","",IF(L16=1,"근거·무너짐 기준을 채우세요",IF(M16=1,"핵심 이유 무너짐 → 매도 검토",IF(O16=1,"실적 발표 뒤 점검 필요",""))))</f>
        <v/>
      </c>
      <c r="L16">
        <f>IF(AND(A16&lt;&gt;"",OR(F16="",G16="")),1,0)</f>
        <v/>
      </c>
      <c r="M16">
        <f>IF(AND(A16&lt;&gt;"",E16="Y",I16="무너짐"),1,0)</f>
        <v/>
      </c>
      <c r="N16">
        <f>IF(A16="","",IFERROR(IF(INDEX('보유'!$H$11:$H$20,MATCH(A16,'보유'!$B$11:$B$20,0))="","",INDEX('보유'!$H$11:$H$20,MATCH(A16,'보유'!$B$11:$B$20,0))),""))</f>
        <v/>
      </c>
      <c r="O16">
        <f>IF(ISNUMBER(N16),IF(OR(NOT(ISNUMBER(H16)),H16&lt;N16),1,0),0)</f>
        <v/>
      </c>
    </row>
    <row r="17">
      <c r="A17" s="18" t="n"/>
      <c r="B17" s="19" t="n"/>
      <c r="C17" s="19" t="n"/>
      <c r="D17" s="19" t="n"/>
      <c r="E17" s="19" t="n"/>
      <c r="F17" s="19" t="n"/>
      <c r="G17" s="19" t="n"/>
      <c r="H17" s="16" t="n"/>
      <c r="I17" s="19" t="n"/>
      <c r="J17" s="19" t="n"/>
      <c r="K17">
        <f>IF(A17="","",IF(L17=1,"근거·무너짐 기준을 채우세요",IF(M17=1,"핵심 이유 무너짐 → 매도 검토",IF(O17=1,"실적 발표 뒤 점검 필요",""))))</f>
        <v/>
      </c>
      <c r="L17">
        <f>IF(AND(A17&lt;&gt;"",OR(F17="",G17="")),1,0)</f>
        <v/>
      </c>
      <c r="M17">
        <f>IF(AND(A17&lt;&gt;"",E17="Y",I17="무너짐"),1,0)</f>
        <v/>
      </c>
      <c r="N17">
        <f>IF(A17="","",IFERROR(IF(INDEX('보유'!$H$11:$H$20,MATCH(A17,'보유'!$B$11:$B$20,0))="","",INDEX('보유'!$H$11:$H$20,MATCH(A17,'보유'!$B$11:$B$20,0))),""))</f>
        <v/>
      </c>
      <c r="O17">
        <f>IF(ISNUMBER(N17),IF(OR(NOT(ISNUMBER(H17)),H17&lt;N17),1,0),0)</f>
        <v/>
      </c>
    </row>
    <row r="18">
      <c r="A18" s="18" t="n"/>
      <c r="B18" s="19" t="n"/>
      <c r="C18" s="19" t="n"/>
      <c r="D18" s="19" t="n"/>
      <c r="E18" s="19" t="n"/>
      <c r="F18" s="19" t="n"/>
      <c r="G18" s="19" t="n"/>
      <c r="H18" s="16" t="n"/>
      <c r="I18" s="19" t="n"/>
      <c r="J18" s="19" t="n"/>
      <c r="K18">
        <f>IF(A18="","",IF(L18=1,"근거·무너짐 기준을 채우세요",IF(M18=1,"핵심 이유 무너짐 → 매도 검토",IF(O18=1,"실적 발표 뒤 점검 필요",""))))</f>
        <v/>
      </c>
      <c r="L18">
        <f>IF(AND(A18&lt;&gt;"",OR(F18="",G18="")),1,0)</f>
        <v/>
      </c>
      <c r="M18">
        <f>IF(AND(A18&lt;&gt;"",E18="Y",I18="무너짐"),1,0)</f>
        <v/>
      </c>
      <c r="N18">
        <f>IF(A18="","",IFERROR(IF(INDEX('보유'!$H$11:$H$20,MATCH(A18,'보유'!$B$11:$B$20,0))="","",INDEX('보유'!$H$11:$H$20,MATCH(A18,'보유'!$B$11:$B$20,0))),""))</f>
        <v/>
      </c>
      <c r="O18">
        <f>IF(ISNUMBER(N18),IF(OR(NOT(ISNUMBER(H18)),H18&lt;N18),1,0),0)</f>
        <v/>
      </c>
    </row>
    <row r="19">
      <c r="A19" s="18" t="n"/>
      <c r="B19" s="19" t="n"/>
      <c r="C19" s="19" t="n"/>
      <c r="D19" s="19" t="n"/>
      <c r="E19" s="19" t="n"/>
      <c r="F19" s="19" t="n"/>
      <c r="G19" s="19" t="n"/>
      <c r="H19" s="16" t="n"/>
      <c r="I19" s="19" t="n"/>
      <c r="J19" s="19" t="n"/>
      <c r="K19">
        <f>IF(A19="","",IF(L19=1,"근거·무너짐 기준을 채우세요",IF(M19=1,"핵심 이유 무너짐 → 매도 검토",IF(O19=1,"실적 발표 뒤 점검 필요",""))))</f>
        <v/>
      </c>
      <c r="L19">
        <f>IF(AND(A19&lt;&gt;"",OR(F19="",G19="")),1,0)</f>
        <v/>
      </c>
      <c r="M19">
        <f>IF(AND(A19&lt;&gt;"",E19="Y",I19="무너짐"),1,0)</f>
        <v/>
      </c>
      <c r="N19">
        <f>IF(A19="","",IFERROR(IF(INDEX('보유'!$H$11:$H$20,MATCH(A19,'보유'!$B$11:$B$20,0))="","",INDEX('보유'!$H$11:$H$20,MATCH(A19,'보유'!$B$11:$B$20,0))),""))</f>
        <v/>
      </c>
      <c r="O19">
        <f>IF(ISNUMBER(N19),IF(OR(NOT(ISNUMBER(H19)),H19&lt;N19),1,0),0)</f>
        <v/>
      </c>
    </row>
    <row r="20">
      <c r="A20" s="18" t="n"/>
      <c r="B20" s="19" t="n"/>
      <c r="C20" s="19" t="n"/>
      <c r="D20" s="19" t="n"/>
      <c r="E20" s="19" t="n"/>
      <c r="F20" s="19" t="n"/>
      <c r="G20" s="19" t="n"/>
      <c r="H20" s="16" t="n"/>
      <c r="I20" s="19" t="n"/>
      <c r="J20" s="19" t="n"/>
      <c r="K20">
        <f>IF(A20="","",IF(L20=1,"근거·무너짐 기준을 채우세요",IF(M20=1,"핵심 이유 무너짐 → 매도 검토",IF(O20=1,"실적 발표 뒤 점검 필요",""))))</f>
        <v/>
      </c>
      <c r="L20">
        <f>IF(AND(A20&lt;&gt;"",OR(F20="",G20="")),1,0)</f>
        <v/>
      </c>
      <c r="M20">
        <f>IF(AND(A20&lt;&gt;"",E20="Y",I20="무너짐"),1,0)</f>
        <v/>
      </c>
      <c r="N20">
        <f>IF(A20="","",IFERROR(IF(INDEX('보유'!$H$11:$H$20,MATCH(A20,'보유'!$B$11:$B$20,0))="","",INDEX('보유'!$H$11:$H$20,MATCH(A20,'보유'!$B$11:$B$20,0))),""))</f>
        <v/>
      </c>
      <c r="O20">
        <f>IF(ISNUMBER(N20),IF(OR(NOT(ISNUMBER(H20)),H20&lt;N20),1,0),0)</f>
        <v/>
      </c>
    </row>
    <row r="21">
      <c r="A21" s="18" t="n"/>
      <c r="B21" s="19" t="n"/>
      <c r="C21" s="19" t="n"/>
      <c r="D21" s="19" t="n"/>
      <c r="E21" s="19" t="n"/>
      <c r="F21" s="19" t="n"/>
      <c r="G21" s="19" t="n"/>
      <c r="H21" s="16" t="n"/>
      <c r="I21" s="19" t="n"/>
      <c r="J21" s="19" t="n"/>
      <c r="K21">
        <f>IF(A21="","",IF(L21=1,"근거·무너짐 기준을 채우세요",IF(M21=1,"핵심 이유 무너짐 → 매도 검토",IF(O21=1,"실적 발표 뒤 점검 필요",""))))</f>
        <v/>
      </c>
      <c r="L21">
        <f>IF(AND(A21&lt;&gt;"",OR(F21="",G21="")),1,0)</f>
        <v/>
      </c>
      <c r="M21">
        <f>IF(AND(A21&lt;&gt;"",E21="Y",I21="무너짐"),1,0)</f>
        <v/>
      </c>
      <c r="N21">
        <f>IF(A21="","",IFERROR(IF(INDEX('보유'!$H$11:$H$20,MATCH(A21,'보유'!$B$11:$B$20,0))="","",INDEX('보유'!$H$11:$H$20,MATCH(A21,'보유'!$B$11:$B$20,0))),""))</f>
        <v/>
      </c>
      <c r="O21">
        <f>IF(ISNUMBER(N21),IF(OR(NOT(ISNUMBER(H21)),H21&lt;N21),1,0),0)</f>
        <v/>
      </c>
    </row>
    <row r="22">
      <c r="A22" s="18" t="n"/>
      <c r="B22" s="19" t="n"/>
      <c r="C22" s="19" t="n"/>
      <c r="D22" s="19" t="n"/>
      <c r="E22" s="19" t="n"/>
      <c r="F22" s="19" t="n"/>
      <c r="G22" s="19" t="n"/>
      <c r="H22" s="16" t="n"/>
      <c r="I22" s="19" t="n"/>
      <c r="J22" s="19" t="n"/>
      <c r="K22">
        <f>IF(A22="","",IF(L22=1,"근거·무너짐 기준을 채우세요",IF(M22=1,"핵심 이유 무너짐 → 매도 검토",IF(O22=1,"실적 발표 뒤 점검 필요",""))))</f>
        <v/>
      </c>
      <c r="L22">
        <f>IF(AND(A22&lt;&gt;"",OR(F22="",G22="")),1,0)</f>
        <v/>
      </c>
      <c r="M22">
        <f>IF(AND(A22&lt;&gt;"",E22="Y",I22="무너짐"),1,0)</f>
        <v/>
      </c>
      <c r="N22">
        <f>IF(A22="","",IFERROR(IF(INDEX('보유'!$H$11:$H$20,MATCH(A22,'보유'!$B$11:$B$20,0))="","",INDEX('보유'!$H$11:$H$20,MATCH(A22,'보유'!$B$11:$B$20,0))),""))</f>
        <v/>
      </c>
      <c r="O22">
        <f>IF(ISNUMBER(N22),IF(OR(NOT(ISNUMBER(H22)),H22&lt;N22),1,0),0)</f>
        <v/>
      </c>
    </row>
    <row r="23">
      <c r="A23" s="18" t="n"/>
      <c r="B23" s="19" t="n"/>
      <c r="C23" s="19" t="n"/>
      <c r="D23" s="19" t="n"/>
      <c r="E23" s="19" t="n"/>
      <c r="F23" s="19" t="n"/>
      <c r="G23" s="19" t="n"/>
      <c r="H23" s="16" t="n"/>
      <c r="I23" s="19" t="n"/>
      <c r="J23" s="19" t="n"/>
      <c r="K23">
        <f>IF(A23="","",IF(L23=1,"근거·무너짐 기준을 채우세요",IF(M23=1,"핵심 이유 무너짐 → 매도 검토",IF(O23=1,"실적 발표 뒤 점검 필요",""))))</f>
        <v/>
      </c>
      <c r="L23">
        <f>IF(AND(A23&lt;&gt;"",OR(F23="",G23="")),1,0)</f>
        <v/>
      </c>
      <c r="M23">
        <f>IF(AND(A23&lt;&gt;"",E23="Y",I23="무너짐"),1,0)</f>
        <v/>
      </c>
      <c r="N23">
        <f>IF(A23="","",IFERROR(IF(INDEX('보유'!$H$11:$H$20,MATCH(A23,'보유'!$B$11:$B$20,0))="","",INDEX('보유'!$H$11:$H$20,MATCH(A23,'보유'!$B$11:$B$20,0))),""))</f>
        <v/>
      </c>
      <c r="O23">
        <f>IF(ISNUMBER(N23),IF(OR(NOT(ISNUMBER(H23)),H23&lt;N23),1,0),0)</f>
        <v/>
      </c>
    </row>
    <row r="24">
      <c r="A24" s="18" t="n"/>
      <c r="B24" s="19" t="n"/>
      <c r="C24" s="19" t="n"/>
      <c r="D24" s="19" t="n"/>
      <c r="E24" s="19" t="n"/>
      <c r="F24" s="19" t="n"/>
      <c r="G24" s="19" t="n"/>
      <c r="H24" s="16" t="n"/>
      <c r="I24" s="19" t="n"/>
      <c r="J24" s="19" t="n"/>
      <c r="K24">
        <f>IF(A24="","",IF(L24=1,"근거·무너짐 기준을 채우세요",IF(M24=1,"핵심 이유 무너짐 → 매도 검토",IF(O24=1,"실적 발표 뒤 점검 필요",""))))</f>
        <v/>
      </c>
      <c r="L24">
        <f>IF(AND(A24&lt;&gt;"",OR(F24="",G24="")),1,0)</f>
        <v/>
      </c>
      <c r="M24">
        <f>IF(AND(A24&lt;&gt;"",E24="Y",I24="무너짐"),1,0)</f>
        <v/>
      </c>
      <c r="N24">
        <f>IF(A24="","",IFERROR(IF(INDEX('보유'!$H$11:$H$20,MATCH(A24,'보유'!$B$11:$B$20,0))="","",INDEX('보유'!$H$11:$H$20,MATCH(A24,'보유'!$B$11:$B$20,0))),""))</f>
        <v/>
      </c>
      <c r="O24">
        <f>IF(ISNUMBER(N24),IF(OR(NOT(ISNUMBER(H24)),H24&lt;N24),1,0),0)</f>
        <v/>
      </c>
    </row>
    <row r="25">
      <c r="A25" s="18" t="n"/>
      <c r="B25" s="19" t="n"/>
      <c r="C25" s="19" t="n"/>
      <c r="D25" s="19" t="n"/>
      <c r="E25" s="19" t="n"/>
      <c r="F25" s="19" t="n"/>
      <c r="G25" s="19" t="n"/>
      <c r="H25" s="16" t="n"/>
      <c r="I25" s="19" t="n"/>
      <c r="J25" s="19" t="n"/>
      <c r="K25">
        <f>IF(A25="","",IF(L25=1,"근거·무너짐 기준을 채우세요",IF(M25=1,"핵심 이유 무너짐 → 매도 검토",IF(O25=1,"실적 발표 뒤 점검 필요",""))))</f>
        <v/>
      </c>
      <c r="L25">
        <f>IF(AND(A25&lt;&gt;"",OR(F25="",G25="")),1,0)</f>
        <v/>
      </c>
      <c r="M25">
        <f>IF(AND(A25&lt;&gt;"",E25="Y",I25="무너짐"),1,0)</f>
        <v/>
      </c>
      <c r="N25">
        <f>IF(A25="","",IFERROR(IF(INDEX('보유'!$H$11:$H$20,MATCH(A25,'보유'!$B$11:$B$20,0))="","",INDEX('보유'!$H$11:$H$20,MATCH(A25,'보유'!$B$11:$B$20,0))),""))</f>
        <v/>
      </c>
      <c r="O25">
        <f>IF(ISNUMBER(N25),IF(OR(NOT(ISNUMBER(H25)),H25&lt;N25),1,0),0)</f>
        <v/>
      </c>
    </row>
    <row r="26">
      <c r="A26" s="18" t="n"/>
      <c r="B26" s="19" t="n"/>
      <c r="C26" s="19" t="n"/>
      <c r="D26" s="19" t="n"/>
      <c r="E26" s="19" t="n"/>
      <c r="F26" s="19" t="n"/>
      <c r="G26" s="19" t="n"/>
      <c r="H26" s="16" t="n"/>
      <c r="I26" s="19" t="n"/>
      <c r="J26" s="19" t="n"/>
      <c r="K26">
        <f>IF(A26="","",IF(L26=1,"근거·무너짐 기준을 채우세요",IF(M26=1,"핵심 이유 무너짐 → 매도 검토",IF(O26=1,"실적 발표 뒤 점검 필요",""))))</f>
        <v/>
      </c>
      <c r="L26">
        <f>IF(AND(A26&lt;&gt;"",OR(F26="",G26="")),1,0)</f>
        <v/>
      </c>
      <c r="M26">
        <f>IF(AND(A26&lt;&gt;"",E26="Y",I26="무너짐"),1,0)</f>
        <v/>
      </c>
      <c r="N26">
        <f>IF(A26="","",IFERROR(IF(INDEX('보유'!$H$11:$H$20,MATCH(A26,'보유'!$B$11:$B$20,0))="","",INDEX('보유'!$H$11:$H$20,MATCH(A26,'보유'!$B$11:$B$20,0))),""))</f>
        <v/>
      </c>
      <c r="O26">
        <f>IF(ISNUMBER(N26),IF(OR(NOT(ISNUMBER(H26)),H26&lt;N26),1,0),0)</f>
        <v/>
      </c>
    </row>
    <row r="27">
      <c r="A27" s="18" t="n"/>
      <c r="B27" s="19" t="n"/>
      <c r="C27" s="19" t="n"/>
      <c r="D27" s="19" t="n"/>
      <c r="E27" s="19" t="n"/>
      <c r="F27" s="19" t="n"/>
      <c r="G27" s="19" t="n"/>
      <c r="H27" s="16" t="n"/>
      <c r="I27" s="19" t="n"/>
      <c r="J27" s="19" t="n"/>
      <c r="K27">
        <f>IF(A27="","",IF(L27=1,"근거·무너짐 기준을 채우세요",IF(M27=1,"핵심 이유 무너짐 → 매도 검토",IF(O27=1,"실적 발표 뒤 점검 필요",""))))</f>
        <v/>
      </c>
      <c r="L27">
        <f>IF(AND(A27&lt;&gt;"",OR(F27="",G27="")),1,0)</f>
        <v/>
      </c>
      <c r="M27">
        <f>IF(AND(A27&lt;&gt;"",E27="Y",I27="무너짐"),1,0)</f>
        <v/>
      </c>
      <c r="N27">
        <f>IF(A27="","",IFERROR(IF(INDEX('보유'!$H$11:$H$20,MATCH(A27,'보유'!$B$11:$B$20,0))="","",INDEX('보유'!$H$11:$H$20,MATCH(A27,'보유'!$B$11:$B$20,0))),""))</f>
        <v/>
      </c>
      <c r="O27">
        <f>IF(ISNUMBER(N27),IF(OR(NOT(ISNUMBER(H27)),H27&lt;N27),1,0),0)</f>
        <v/>
      </c>
    </row>
    <row r="28">
      <c r="A28" s="18" t="n"/>
      <c r="B28" s="19" t="n"/>
      <c r="C28" s="19" t="n"/>
      <c r="D28" s="19" t="n"/>
      <c r="E28" s="19" t="n"/>
      <c r="F28" s="19" t="n"/>
      <c r="G28" s="19" t="n"/>
      <c r="H28" s="16" t="n"/>
      <c r="I28" s="19" t="n"/>
      <c r="J28" s="19" t="n"/>
      <c r="K28">
        <f>IF(A28="","",IF(L28=1,"근거·무너짐 기준을 채우세요",IF(M28=1,"핵심 이유 무너짐 → 매도 검토",IF(O28=1,"실적 발표 뒤 점검 필요",""))))</f>
        <v/>
      </c>
      <c r="L28">
        <f>IF(AND(A28&lt;&gt;"",OR(F28="",G28="")),1,0)</f>
        <v/>
      </c>
      <c r="M28">
        <f>IF(AND(A28&lt;&gt;"",E28="Y",I28="무너짐"),1,0)</f>
        <v/>
      </c>
      <c r="N28">
        <f>IF(A28="","",IFERROR(IF(INDEX('보유'!$H$11:$H$20,MATCH(A28,'보유'!$B$11:$B$20,0))="","",INDEX('보유'!$H$11:$H$20,MATCH(A28,'보유'!$B$11:$B$20,0))),""))</f>
        <v/>
      </c>
      <c r="O28">
        <f>IF(ISNUMBER(N28),IF(OR(NOT(ISNUMBER(H28)),H28&lt;N28),1,0),0)</f>
        <v/>
      </c>
    </row>
    <row r="29">
      <c r="A29" s="18" t="n"/>
      <c r="B29" s="19" t="n"/>
      <c r="C29" s="19" t="n"/>
      <c r="D29" s="19" t="n"/>
      <c r="E29" s="19" t="n"/>
      <c r="F29" s="19" t="n"/>
      <c r="G29" s="19" t="n"/>
      <c r="H29" s="16" t="n"/>
      <c r="I29" s="19" t="n"/>
      <c r="J29" s="19" t="n"/>
      <c r="K29">
        <f>IF(A29="","",IF(L29=1,"근거·무너짐 기준을 채우세요",IF(M29=1,"핵심 이유 무너짐 → 매도 검토",IF(O29=1,"실적 발표 뒤 점검 필요",""))))</f>
        <v/>
      </c>
      <c r="L29">
        <f>IF(AND(A29&lt;&gt;"",OR(F29="",G29="")),1,0)</f>
        <v/>
      </c>
      <c r="M29">
        <f>IF(AND(A29&lt;&gt;"",E29="Y",I29="무너짐"),1,0)</f>
        <v/>
      </c>
      <c r="N29">
        <f>IF(A29="","",IFERROR(IF(INDEX('보유'!$H$11:$H$20,MATCH(A29,'보유'!$B$11:$B$20,0))="","",INDEX('보유'!$H$11:$H$20,MATCH(A29,'보유'!$B$11:$B$20,0))),""))</f>
        <v/>
      </c>
      <c r="O29">
        <f>IF(ISNUMBER(N29),IF(OR(NOT(ISNUMBER(H29)),H29&lt;N29),1,0),0)</f>
        <v/>
      </c>
    </row>
    <row r="30">
      <c r="A30" s="18" t="n"/>
      <c r="B30" s="19" t="n"/>
      <c r="C30" s="19" t="n"/>
      <c r="D30" s="19" t="n"/>
      <c r="E30" s="19" t="n"/>
      <c r="F30" s="19" t="n"/>
      <c r="G30" s="19" t="n"/>
      <c r="H30" s="16" t="n"/>
      <c r="I30" s="19" t="n"/>
      <c r="J30" s="19" t="n"/>
      <c r="K30">
        <f>IF(A30="","",IF(L30=1,"근거·무너짐 기준을 채우세요",IF(M30=1,"핵심 이유 무너짐 → 매도 검토",IF(O30=1,"실적 발표 뒤 점검 필요",""))))</f>
        <v/>
      </c>
      <c r="L30">
        <f>IF(AND(A30&lt;&gt;"",OR(F30="",G30="")),1,0)</f>
        <v/>
      </c>
      <c r="M30">
        <f>IF(AND(A30&lt;&gt;"",E30="Y",I30="무너짐"),1,0)</f>
        <v/>
      </c>
      <c r="N30">
        <f>IF(A30="","",IFERROR(IF(INDEX('보유'!$H$11:$H$20,MATCH(A30,'보유'!$B$11:$B$20,0))="","",INDEX('보유'!$H$11:$H$20,MATCH(A30,'보유'!$B$11:$B$20,0))),""))</f>
        <v/>
      </c>
      <c r="O30">
        <f>IF(ISNUMBER(N30),IF(OR(NOT(ISNUMBER(H30)),H30&lt;N30),1,0),0)</f>
        <v/>
      </c>
    </row>
    <row r="31">
      <c r="A31" s="18" t="n"/>
      <c r="B31" s="19" t="n"/>
      <c r="C31" s="19" t="n"/>
      <c r="D31" s="19" t="n"/>
      <c r="E31" s="19" t="n"/>
      <c r="F31" s="19" t="n"/>
      <c r="G31" s="19" t="n"/>
      <c r="H31" s="16" t="n"/>
      <c r="I31" s="19" t="n"/>
      <c r="J31" s="19" t="n"/>
      <c r="K31">
        <f>IF(A31="","",IF(L31=1,"근거·무너짐 기준을 채우세요",IF(M31=1,"핵심 이유 무너짐 → 매도 검토",IF(O31=1,"실적 발표 뒤 점검 필요",""))))</f>
        <v/>
      </c>
      <c r="L31">
        <f>IF(AND(A31&lt;&gt;"",OR(F31="",G31="")),1,0)</f>
        <v/>
      </c>
      <c r="M31">
        <f>IF(AND(A31&lt;&gt;"",E31="Y",I31="무너짐"),1,0)</f>
        <v/>
      </c>
      <c r="N31">
        <f>IF(A31="","",IFERROR(IF(INDEX('보유'!$H$11:$H$20,MATCH(A31,'보유'!$B$11:$B$20,0))="","",INDEX('보유'!$H$11:$H$20,MATCH(A31,'보유'!$B$11:$B$20,0))),""))</f>
        <v/>
      </c>
      <c r="O31">
        <f>IF(ISNUMBER(N31),IF(OR(NOT(ISNUMBER(H31)),H31&lt;N31),1,0),0)</f>
        <v/>
      </c>
    </row>
    <row r="32">
      <c r="A32" s="18" t="n"/>
      <c r="B32" s="19" t="n"/>
      <c r="C32" s="19" t="n"/>
      <c r="D32" s="19" t="n"/>
      <c r="E32" s="19" t="n"/>
      <c r="F32" s="19" t="n"/>
      <c r="G32" s="19" t="n"/>
      <c r="H32" s="16" t="n"/>
      <c r="I32" s="19" t="n"/>
      <c r="J32" s="19" t="n"/>
      <c r="K32">
        <f>IF(A32="","",IF(L32=1,"근거·무너짐 기준을 채우세요",IF(M32=1,"핵심 이유 무너짐 → 매도 검토",IF(O32=1,"실적 발표 뒤 점검 필요",""))))</f>
        <v/>
      </c>
      <c r="L32">
        <f>IF(AND(A32&lt;&gt;"",OR(F32="",G32="")),1,0)</f>
        <v/>
      </c>
      <c r="M32">
        <f>IF(AND(A32&lt;&gt;"",E32="Y",I32="무너짐"),1,0)</f>
        <v/>
      </c>
      <c r="N32">
        <f>IF(A32="","",IFERROR(IF(INDEX('보유'!$H$11:$H$20,MATCH(A32,'보유'!$B$11:$B$20,0))="","",INDEX('보유'!$H$11:$H$20,MATCH(A32,'보유'!$B$11:$B$20,0))),""))</f>
        <v/>
      </c>
      <c r="O32">
        <f>IF(ISNUMBER(N32),IF(OR(NOT(ISNUMBER(H32)),H32&lt;N32),1,0),0)</f>
        <v/>
      </c>
    </row>
    <row r="33">
      <c r="A33" s="18" t="n"/>
      <c r="B33" s="19" t="n"/>
      <c r="C33" s="19" t="n"/>
      <c r="D33" s="19" t="n"/>
      <c r="E33" s="19" t="n"/>
      <c r="F33" s="19" t="n"/>
      <c r="G33" s="19" t="n"/>
      <c r="H33" s="16" t="n"/>
      <c r="I33" s="19" t="n"/>
      <c r="J33" s="19" t="n"/>
      <c r="K33">
        <f>IF(A33="","",IF(L33=1,"근거·무너짐 기준을 채우세요",IF(M33=1,"핵심 이유 무너짐 → 매도 검토",IF(O33=1,"실적 발표 뒤 점검 필요",""))))</f>
        <v/>
      </c>
      <c r="L33">
        <f>IF(AND(A33&lt;&gt;"",OR(F33="",G33="")),1,0)</f>
        <v/>
      </c>
      <c r="M33">
        <f>IF(AND(A33&lt;&gt;"",E33="Y",I33="무너짐"),1,0)</f>
        <v/>
      </c>
      <c r="N33">
        <f>IF(A33="","",IFERROR(IF(INDEX('보유'!$H$11:$H$20,MATCH(A33,'보유'!$B$11:$B$20,0))="","",INDEX('보유'!$H$11:$H$20,MATCH(A33,'보유'!$B$11:$B$20,0))),""))</f>
        <v/>
      </c>
      <c r="O33">
        <f>IF(ISNUMBER(N33),IF(OR(NOT(ISNUMBER(H33)),H33&lt;N33),1,0),0)</f>
        <v/>
      </c>
    </row>
    <row r="34">
      <c r="A34" s="18" t="n"/>
      <c r="B34" s="19" t="n"/>
      <c r="C34" s="19" t="n"/>
      <c r="D34" s="19" t="n"/>
      <c r="E34" s="19" t="n"/>
      <c r="F34" s="19" t="n"/>
      <c r="G34" s="19" t="n"/>
      <c r="H34" s="16" t="n"/>
      <c r="I34" s="19" t="n"/>
      <c r="J34" s="19" t="n"/>
      <c r="K34">
        <f>IF(A34="","",IF(L34=1,"근거·무너짐 기준을 채우세요",IF(M34=1,"핵심 이유 무너짐 → 매도 검토",IF(O34=1,"실적 발표 뒤 점검 필요",""))))</f>
        <v/>
      </c>
      <c r="L34">
        <f>IF(AND(A34&lt;&gt;"",OR(F34="",G34="")),1,0)</f>
        <v/>
      </c>
      <c r="M34">
        <f>IF(AND(A34&lt;&gt;"",E34="Y",I34="무너짐"),1,0)</f>
        <v/>
      </c>
      <c r="N34">
        <f>IF(A34="","",IFERROR(IF(INDEX('보유'!$H$11:$H$20,MATCH(A34,'보유'!$B$11:$B$20,0))="","",INDEX('보유'!$H$11:$H$20,MATCH(A34,'보유'!$B$11:$B$20,0))),""))</f>
        <v/>
      </c>
      <c r="O34">
        <f>IF(ISNUMBER(N34),IF(OR(NOT(ISNUMBER(H34)),H34&lt;N34),1,0),0)</f>
        <v/>
      </c>
    </row>
    <row r="35">
      <c r="A35" s="18" t="n"/>
      <c r="B35" s="19" t="n"/>
      <c r="C35" s="19" t="n"/>
      <c r="D35" s="19" t="n"/>
      <c r="E35" s="19" t="n"/>
      <c r="F35" s="19" t="n"/>
      <c r="G35" s="19" t="n"/>
      <c r="H35" s="16" t="n"/>
      <c r="I35" s="19" t="n"/>
      <c r="J35" s="19" t="n"/>
      <c r="K35">
        <f>IF(A35="","",IF(L35=1,"근거·무너짐 기준을 채우세요",IF(M35=1,"핵심 이유 무너짐 → 매도 검토",IF(O35=1,"실적 발표 뒤 점검 필요",""))))</f>
        <v/>
      </c>
      <c r="L35">
        <f>IF(AND(A35&lt;&gt;"",OR(F35="",G35="")),1,0)</f>
        <v/>
      </c>
      <c r="M35">
        <f>IF(AND(A35&lt;&gt;"",E35="Y",I35="무너짐"),1,0)</f>
        <v/>
      </c>
      <c r="N35">
        <f>IF(A35="","",IFERROR(IF(INDEX('보유'!$H$11:$H$20,MATCH(A35,'보유'!$B$11:$B$20,0))="","",INDEX('보유'!$H$11:$H$20,MATCH(A35,'보유'!$B$11:$B$20,0))),""))</f>
        <v/>
      </c>
      <c r="O35">
        <f>IF(ISNUMBER(N35),IF(OR(NOT(ISNUMBER(H35)),H35&lt;N35),1,0),0)</f>
        <v/>
      </c>
    </row>
    <row r="36">
      <c r="A36" s="18" t="n"/>
      <c r="B36" s="19" t="n"/>
      <c r="C36" s="19" t="n"/>
      <c r="D36" s="19" t="n"/>
      <c r="E36" s="19" t="n"/>
      <c r="F36" s="19" t="n"/>
      <c r="G36" s="19" t="n"/>
      <c r="H36" s="16" t="n"/>
      <c r="I36" s="19" t="n"/>
      <c r="J36" s="19" t="n"/>
      <c r="K36">
        <f>IF(A36="","",IF(L36=1,"근거·무너짐 기준을 채우세요",IF(M36=1,"핵심 이유 무너짐 → 매도 검토",IF(O36=1,"실적 발표 뒤 점검 필요",""))))</f>
        <v/>
      </c>
      <c r="L36">
        <f>IF(AND(A36&lt;&gt;"",OR(F36="",G36="")),1,0)</f>
        <v/>
      </c>
      <c r="M36">
        <f>IF(AND(A36&lt;&gt;"",E36="Y",I36="무너짐"),1,0)</f>
        <v/>
      </c>
      <c r="N36">
        <f>IF(A36="","",IFERROR(IF(INDEX('보유'!$H$11:$H$20,MATCH(A36,'보유'!$B$11:$B$20,0))="","",INDEX('보유'!$H$11:$H$20,MATCH(A36,'보유'!$B$11:$B$20,0))),""))</f>
        <v/>
      </c>
      <c r="O36">
        <f>IF(ISNUMBER(N36),IF(OR(NOT(ISNUMBER(H36)),H36&lt;N36),1,0),0)</f>
        <v/>
      </c>
    </row>
    <row r="37">
      <c r="A37" s="18" t="n"/>
      <c r="B37" s="19" t="n"/>
      <c r="C37" s="19" t="n"/>
      <c r="D37" s="19" t="n"/>
      <c r="E37" s="19" t="n"/>
      <c r="F37" s="19" t="n"/>
      <c r="G37" s="19" t="n"/>
      <c r="H37" s="16" t="n"/>
      <c r="I37" s="19" t="n"/>
      <c r="J37" s="19" t="n"/>
      <c r="K37">
        <f>IF(A37="","",IF(L37=1,"근거·무너짐 기준을 채우세요",IF(M37=1,"핵심 이유 무너짐 → 매도 검토",IF(O37=1,"실적 발표 뒤 점검 필요",""))))</f>
        <v/>
      </c>
      <c r="L37">
        <f>IF(AND(A37&lt;&gt;"",OR(F37="",G37="")),1,0)</f>
        <v/>
      </c>
      <c r="M37">
        <f>IF(AND(A37&lt;&gt;"",E37="Y",I37="무너짐"),1,0)</f>
        <v/>
      </c>
      <c r="N37">
        <f>IF(A37="","",IFERROR(IF(INDEX('보유'!$H$11:$H$20,MATCH(A37,'보유'!$B$11:$B$20,0))="","",INDEX('보유'!$H$11:$H$20,MATCH(A37,'보유'!$B$11:$B$20,0))),""))</f>
        <v/>
      </c>
      <c r="O37">
        <f>IF(ISNUMBER(N37),IF(OR(NOT(ISNUMBER(H37)),H37&lt;N37),1,0),0)</f>
        <v/>
      </c>
    </row>
    <row r="38">
      <c r="A38" s="18" t="n"/>
      <c r="B38" s="19" t="n"/>
      <c r="C38" s="19" t="n"/>
      <c r="D38" s="19" t="n"/>
      <c r="E38" s="19" t="n"/>
      <c r="F38" s="19" t="n"/>
      <c r="G38" s="19" t="n"/>
      <c r="H38" s="16" t="n"/>
      <c r="I38" s="19" t="n"/>
      <c r="J38" s="19" t="n"/>
      <c r="K38">
        <f>IF(A38="","",IF(L38=1,"근거·무너짐 기준을 채우세요",IF(M38=1,"핵심 이유 무너짐 → 매도 검토",IF(O38=1,"실적 발표 뒤 점검 필요",""))))</f>
        <v/>
      </c>
      <c r="L38">
        <f>IF(AND(A38&lt;&gt;"",OR(F38="",G38="")),1,0)</f>
        <v/>
      </c>
      <c r="M38">
        <f>IF(AND(A38&lt;&gt;"",E38="Y",I38="무너짐"),1,0)</f>
        <v/>
      </c>
      <c r="N38">
        <f>IF(A38="","",IFERROR(IF(INDEX('보유'!$H$11:$H$20,MATCH(A38,'보유'!$B$11:$B$20,0))="","",INDEX('보유'!$H$11:$H$20,MATCH(A38,'보유'!$B$11:$B$20,0))),""))</f>
        <v/>
      </c>
      <c r="O38">
        <f>IF(ISNUMBER(N38),IF(OR(NOT(ISNUMBER(H38)),H38&lt;N38),1,0),0)</f>
        <v/>
      </c>
    </row>
    <row r="39">
      <c r="A39" s="18" t="n"/>
      <c r="B39" s="19" t="n"/>
      <c r="C39" s="19" t="n"/>
      <c r="D39" s="19" t="n"/>
      <c r="E39" s="19" t="n"/>
      <c r="F39" s="19" t="n"/>
      <c r="G39" s="19" t="n"/>
      <c r="H39" s="16" t="n"/>
      <c r="I39" s="19" t="n"/>
      <c r="J39" s="19" t="n"/>
      <c r="K39">
        <f>IF(A39="","",IF(L39=1,"근거·무너짐 기준을 채우세요",IF(M39=1,"핵심 이유 무너짐 → 매도 검토",IF(O39=1,"실적 발표 뒤 점검 필요",""))))</f>
        <v/>
      </c>
      <c r="L39">
        <f>IF(AND(A39&lt;&gt;"",OR(F39="",G39="")),1,0)</f>
        <v/>
      </c>
      <c r="M39">
        <f>IF(AND(A39&lt;&gt;"",E39="Y",I39="무너짐"),1,0)</f>
        <v/>
      </c>
      <c r="N39">
        <f>IF(A39="","",IFERROR(IF(INDEX('보유'!$H$11:$H$20,MATCH(A39,'보유'!$B$11:$B$20,0))="","",INDEX('보유'!$H$11:$H$20,MATCH(A39,'보유'!$B$11:$B$20,0))),""))</f>
        <v/>
      </c>
      <c r="O39">
        <f>IF(ISNUMBER(N39),IF(OR(NOT(ISNUMBER(H39)),H39&lt;N39),1,0),0)</f>
        <v/>
      </c>
    </row>
    <row r="40">
      <c r="A40" s="18" t="n"/>
      <c r="B40" s="19" t="n"/>
      <c r="C40" s="19" t="n"/>
      <c r="D40" s="19" t="n"/>
      <c r="E40" s="19" t="n"/>
      <c r="F40" s="19" t="n"/>
      <c r="G40" s="19" t="n"/>
      <c r="H40" s="16" t="n"/>
      <c r="I40" s="19" t="n"/>
      <c r="J40" s="19" t="n"/>
      <c r="K40">
        <f>IF(A40="","",IF(L40=1,"근거·무너짐 기준을 채우세요",IF(M40=1,"핵심 이유 무너짐 → 매도 검토",IF(O40=1,"실적 발표 뒤 점검 필요",""))))</f>
        <v/>
      </c>
      <c r="L40">
        <f>IF(AND(A40&lt;&gt;"",OR(F40="",G40="")),1,0)</f>
        <v/>
      </c>
      <c r="M40">
        <f>IF(AND(A40&lt;&gt;"",E40="Y",I40="무너짐"),1,0)</f>
        <v/>
      </c>
      <c r="N40">
        <f>IF(A40="","",IFERROR(IF(INDEX('보유'!$H$11:$H$20,MATCH(A40,'보유'!$B$11:$B$20,0))="","",INDEX('보유'!$H$11:$H$20,MATCH(A40,'보유'!$B$11:$B$20,0))),""))</f>
        <v/>
      </c>
      <c r="O40">
        <f>IF(ISNUMBER(N40),IF(OR(NOT(ISNUMBER(H40)),H40&lt;N40),1,0),0)</f>
        <v/>
      </c>
    </row>
    <row r="41">
      <c r="A41" s="18" t="n"/>
      <c r="B41" s="19" t="n"/>
      <c r="C41" s="19" t="n"/>
      <c r="D41" s="19" t="n"/>
      <c r="E41" s="19" t="n"/>
      <c r="F41" s="19" t="n"/>
      <c r="G41" s="19" t="n"/>
      <c r="H41" s="16" t="n"/>
      <c r="I41" s="19" t="n"/>
      <c r="J41" s="19" t="n"/>
      <c r="K41">
        <f>IF(A41="","",IF(L41=1,"근거·무너짐 기준을 채우세요",IF(M41=1,"핵심 이유 무너짐 → 매도 검토",IF(O41=1,"실적 발표 뒤 점검 필요",""))))</f>
        <v/>
      </c>
      <c r="L41">
        <f>IF(AND(A41&lt;&gt;"",OR(F41="",G41="")),1,0)</f>
        <v/>
      </c>
      <c r="M41">
        <f>IF(AND(A41&lt;&gt;"",E41="Y",I41="무너짐"),1,0)</f>
        <v/>
      </c>
      <c r="N41">
        <f>IF(A41="","",IFERROR(IF(INDEX('보유'!$H$11:$H$20,MATCH(A41,'보유'!$B$11:$B$20,0))="","",INDEX('보유'!$H$11:$H$20,MATCH(A41,'보유'!$B$11:$B$20,0))),""))</f>
        <v/>
      </c>
      <c r="O41">
        <f>IF(ISNUMBER(N41),IF(OR(NOT(ISNUMBER(H41)),H41&lt;N41),1,0),0)</f>
        <v/>
      </c>
    </row>
    <row r="42">
      <c r="A42" s="18" t="n"/>
      <c r="B42" s="19" t="n"/>
      <c r="C42" s="19" t="n"/>
      <c r="D42" s="19" t="n"/>
      <c r="E42" s="19" t="n"/>
      <c r="F42" s="19" t="n"/>
      <c r="G42" s="19" t="n"/>
      <c r="H42" s="16" t="n"/>
      <c r="I42" s="19" t="n"/>
      <c r="J42" s="19" t="n"/>
      <c r="K42">
        <f>IF(A42="","",IF(L42=1,"근거·무너짐 기준을 채우세요",IF(M42=1,"핵심 이유 무너짐 → 매도 검토",IF(O42=1,"실적 발표 뒤 점검 필요",""))))</f>
        <v/>
      </c>
      <c r="L42">
        <f>IF(AND(A42&lt;&gt;"",OR(F42="",G42="")),1,0)</f>
        <v/>
      </c>
      <c r="M42">
        <f>IF(AND(A42&lt;&gt;"",E42="Y",I42="무너짐"),1,0)</f>
        <v/>
      </c>
      <c r="N42">
        <f>IF(A42="","",IFERROR(IF(INDEX('보유'!$H$11:$H$20,MATCH(A42,'보유'!$B$11:$B$20,0))="","",INDEX('보유'!$H$11:$H$20,MATCH(A42,'보유'!$B$11:$B$20,0))),""))</f>
        <v/>
      </c>
      <c r="O42">
        <f>IF(ISNUMBER(N42),IF(OR(NOT(ISNUMBER(H42)),H42&lt;N42),1,0),0)</f>
        <v/>
      </c>
    </row>
    <row r="43">
      <c r="A43" s="18" t="n"/>
      <c r="B43" s="19" t="n"/>
      <c r="C43" s="19" t="n"/>
      <c r="D43" s="19" t="n"/>
      <c r="E43" s="19" t="n"/>
      <c r="F43" s="19" t="n"/>
      <c r="G43" s="19" t="n"/>
      <c r="H43" s="16" t="n"/>
      <c r="I43" s="19" t="n"/>
      <c r="J43" s="19" t="n"/>
      <c r="K43">
        <f>IF(A43="","",IF(L43=1,"근거·무너짐 기준을 채우세요",IF(M43=1,"핵심 이유 무너짐 → 매도 검토",IF(O43=1,"실적 발표 뒤 점검 필요",""))))</f>
        <v/>
      </c>
      <c r="L43">
        <f>IF(AND(A43&lt;&gt;"",OR(F43="",G43="")),1,0)</f>
        <v/>
      </c>
      <c r="M43">
        <f>IF(AND(A43&lt;&gt;"",E43="Y",I43="무너짐"),1,0)</f>
        <v/>
      </c>
      <c r="N43">
        <f>IF(A43="","",IFERROR(IF(INDEX('보유'!$H$11:$H$20,MATCH(A43,'보유'!$B$11:$B$20,0))="","",INDEX('보유'!$H$11:$H$20,MATCH(A43,'보유'!$B$11:$B$20,0))),""))</f>
        <v/>
      </c>
      <c r="O43">
        <f>IF(ISNUMBER(N43),IF(OR(NOT(ISNUMBER(H43)),H43&lt;N43),1,0),0)</f>
        <v/>
      </c>
    </row>
    <row r="44">
      <c r="A44" s="18" t="n"/>
      <c r="B44" s="19" t="n"/>
      <c r="C44" s="19" t="n"/>
      <c r="D44" s="19" t="n"/>
      <c r="E44" s="19" t="n"/>
      <c r="F44" s="19" t="n"/>
      <c r="G44" s="19" t="n"/>
      <c r="H44" s="16" t="n"/>
      <c r="I44" s="19" t="n"/>
      <c r="J44" s="19" t="n"/>
      <c r="K44">
        <f>IF(A44="","",IF(L44=1,"근거·무너짐 기준을 채우세요",IF(M44=1,"핵심 이유 무너짐 → 매도 검토",IF(O44=1,"실적 발표 뒤 점검 필요",""))))</f>
        <v/>
      </c>
      <c r="L44">
        <f>IF(AND(A44&lt;&gt;"",OR(F44="",G44="")),1,0)</f>
        <v/>
      </c>
      <c r="M44">
        <f>IF(AND(A44&lt;&gt;"",E44="Y",I44="무너짐"),1,0)</f>
        <v/>
      </c>
      <c r="N44">
        <f>IF(A44="","",IFERROR(IF(INDEX('보유'!$H$11:$H$20,MATCH(A44,'보유'!$B$11:$B$20,0))="","",INDEX('보유'!$H$11:$H$20,MATCH(A44,'보유'!$B$11:$B$20,0))),""))</f>
        <v/>
      </c>
      <c r="O44">
        <f>IF(ISNUMBER(N44),IF(OR(NOT(ISNUMBER(H44)),H44&lt;N44),1,0),0)</f>
        <v/>
      </c>
    </row>
    <row r="45">
      <c r="A45" s="18" t="n"/>
      <c r="B45" s="19" t="n"/>
      <c r="C45" s="19" t="n"/>
      <c r="D45" s="19" t="n"/>
      <c r="E45" s="19" t="n"/>
      <c r="F45" s="19" t="n"/>
      <c r="G45" s="19" t="n"/>
      <c r="H45" s="16" t="n"/>
      <c r="I45" s="19" t="n"/>
      <c r="J45" s="19" t="n"/>
      <c r="K45">
        <f>IF(A45="","",IF(L45=1,"근거·무너짐 기준을 채우세요",IF(M45=1,"핵심 이유 무너짐 → 매도 검토",IF(O45=1,"실적 발표 뒤 점검 필요",""))))</f>
        <v/>
      </c>
      <c r="L45">
        <f>IF(AND(A45&lt;&gt;"",OR(F45="",G45="")),1,0)</f>
        <v/>
      </c>
      <c r="M45">
        <f>IF(AND(A45&lt;&gt;"",E45="Y",I45="무너짐"),1,0)</f>
        <v/>
      </c>
      <c r="N45">
        <f>IF(A45="","",IFERROR(IF(INDEX('보유'!$H$11:$H$20,MATCH(A45,'보유'!$B$11:$B$20,0))="","",INDEX('보유'!$H$11:$H$20,MATCH(A45,'보유'!$B$11:$B$20,0))),""))</f>
        <v/>
      </c>
      <c r="O45">
        <f>IF(ISNUMBER(N45),IF(OR(NOT(ISNUMBER(H45)),H45&lt;N45),1,0),0)</f>
        <v/>
      </c>
    </row>
    <row r="46">
      <c r="A46" s="18" t="n"/>
      <c r="B46" s="19" t="n"/>
      <c r="C46" s="19" t="n"/>
      <c r="D46" s="19" t="n"/>
      <c r="E46" s="19" t="n"/>
      <c r="F46" s="19" t="n"/>
      <c r="G46" s="19" t="n"/>
      <c r="H46" s="16" t="n"/>
      <c r="I46" s="19" t="n"/>
      <c r="J46" s="19" t="n"/>
      <c r="K46">
        <f>IF(A46="","",IF(L46=1,"근거·무너짐 기준을 채우세요",IF(M46=1,"핵심 이유 무너짐 → 매도 검토",IF(O46=1,"실적 발표 뒤 점검 필요",""))))</f>
        <v/>
      </c>
      <c r="L46">
        <f>IF(AND(A46&lt;&gt;"",OR(F46="",G46="")),1,0)</f>
        <v/>
      </c>
      <c r="M46">
        <f>IF(AND(A46&lt;&gt;"",E46="Y",I46="무너짐"),1,0)</f>
        <v/>
      </c>
      <c r="N46">
        <f>IF(A46="","",IFERROR(IF(INDEX('보유'!$H$11:$H$20,MATCH(A46,'보유'!$B$11:$B$20,0))="","",INDEX('보유'!$H$11:$H$20,MATCH(A46,'보유'!$B$11:$B$20,0))),""))</f>
        <v/>
      </c>
      <c r="O46">
        <f>IF(ISNUMBER(N46),IF(OR(NOT(ISNUMBER(H46)),H46&lt;N46),1,0),0)</f>
        <v/>
      </c>
    </row>
    <row r="47">
      <c r="A47" s="18" t="n"/>
      <c r="B47" s="19" t="n"/>
      <c r="C47" s="19" t="n"/>
      <c r="D47" s="19" t="n"/>
      <c r="E47" s="19" t="n"/>
      <c r="F47" s="19" t="n"/>
      <c r="G47" s="19" t="n"/>
      <c r="H47" s="16" t="n"/>
      <c r="I47" s="19" t="n"/>
      <c r="J47" s="19" t="n"/>
      <c r="K47">
        <f>IF(A47="","",IF(L47=1,"근거·무너짐 기준을 채우세요",IF(M47=1,"핵심 이유 무너짐 → 매도 검토",IF(O47=1,"실적 발표 뒤 점검 필요",""))))</f>
        <v/>
      </c>
      <c r="L47">
        <f>IF(AND(A47&lt;&gt;"",OR(F47="",G47="")),1,0)</f>
        <v/>
      </c>
      <c r="M47">
        <f>IF(AND(A47&lt;&gt;"",E47="Y",I47="무너짐"),1,0)</f>
        <v/>
      </c>
      <c r="N47">
        <f>IF(A47="","",IFERROR(IF(INDEX('보유'!$H$11:$H$20,MATCH(A47,'보유'!$B$11:$B$20,0))="","",INDEX('보유'!$H$11:$H$20,MATCH(A47,'보유'!$B$11:$B$20,0))),""))</f>
        <v/>
      </c>
      <c r="O47">
        <f>IF(ISNUMBER(N47),IF(OR(NOT(ISNUMBER(H47)),H47&lt;N47),1,0),0)</f>
        <v/>
      </c>
    </row>
    <row r="48">
      <c r="A48" s="18" t="n"/>
      <c r="B48" s="19" t="n"/>
      <c r="C48" s="19" t="n"/>
      <c r="D48" s="19" t="n"/>
      <c r="E48" s="19" t="n"/>
      <c r="F48" s="19" t="n"/>
      <c r="G48" s="19" t="n"/>
      <c r="H48" s="16" t="n"/>
      <c r="I48" s="19" t="n"/>
      <c r="J48" s="19" t="n"/>
      <c r="K48">
        <f>IF(A48="","",IF(L48=1,"근거·무너짐 기준을 채우세요",IF(M48=1,"핵심 이유 무너짐 → 매도 검토",IF(O48=1,"실적 발표 뒤 점검 필요",""))))</f>
        <v/>
      </c>
      <c r="L48">
        <f>IF(AND(A48&lt;&gt;"",OR(F48="",G48="")),1,0)</f>
        <v/>
      </c>
      <c r="M48">
        <f>IF(AND(A48&lt;&gt;"",E48="Y",I48="무너짐"),1,0)</f>
        <v/>
      </c>
      <c r="N48">
        <f>IF(A48="","",IFERROR(IF(INDEX('보유'!$H$11:$H$20,MATCH(A48,'보유'!$B$11:$B$20,0))="","",INDEX('보유'!$H$11:$H$20,MATCH(A48,'보유'!$B$11:$B$20,0))),""))</f>
        <v/>
      </c>
      <c r="O48">
        <f>IF(ISNUMBER(N48),IF(OR(NOT(ISNUMBER(H48)),H48&lt;N48),1,0),0)</f>
        <v/>
      </c>
    </row>
    <row r="49">
      <c r="A49" s="18" t="n"/>
      <c r="B49" s="19" t="n"/>
      <c r="C49" s="19" t="n"/>
      <c r="D49" s="19" t="n"/>
      <c r="E49" s="19" t="n"/>
      <c r="F49" s="19" t="n"/>
      <c r="G49" s="19" t="n"/>
      <c r="H49" s="16" t="n"/>
      <c r="I49" s="19" t="n"/>
      <c r="J49" s="19" t="n"/>
      <c r="K49">
        <f>IF(A49="","",IF(L49=1,"근거·무너짐 기준을 채우세요",IF(M49=1,"핵심 이유 무너짐 → 매도 검토",IF(O49=1,"실적 발표 뒤 점검 필요",""))))</f>
        <v/>
      </c>
      <c r="L49">
        <f>IF(AND(A49&lt;&gt;"",OR(F49="",G49="")),1,0)</f>
        <v/>
      </c>
      <c r="M49">
        <f>IF(AND(A49&lt;&gt;"",E49="Y",I49="무너짐"),1,0)</f>
        <v/>
      </c>
      <c r="N49">
        <f>IF(A49="","",IFERROR(IF(INDEX('보유'!$H$11:$H$20,MATCH(A49,'보유'!$B$11:$B$20,0))="","",INDEX('보유'!$H$11:$H$20,MATCH(A49,'보유'!$B$11:$B$20,0))),""))</f>
        <v/>
      </c>
      <c r="O49">
        <f>IF(ISNUMBER(N49),IF(OR(NOT(ISNUMBER(H49)),H49&lt;N49),1,0),0)</f>
        <v/>
      </c>
    </row>
    <row r="50">
      <c r="A50" s="18" t="n"/>
      <c r="B50" s="19" t="n"/>
      <c r="C50" s="19" t="n"/>
      <c r="D50" s="19" t="n"/>
      <c r="E50" s="19" t="n"/>
      <c r="F50" s="19" t="n"/>
      <c r="G50" s="19" t="n"/>
      <c r="H50" s="16" t="n"/>
      <c r="I50" s="19" t="n"/>
      <c r="J50" s="19" t="n"/>
      <c r="K50">
        <f>IF(A50="","",IF(L50=1,"근거·무너짐 기준을 채우세요",IF(M50=1,"핵심 이유 무너짐 → 매도 검토",IF(O50=1,"실적 발표 뒤 점검 필요",""))))</f>
        <v/>
      </c>
      <c r="L50">
        <f>IF(AND(A50&lt;&gt;"",OR(F50="",G50="")),1,0)</f>
        <v/>
      </c>
      <c r="M50">
        <f>IF(AND(A50&lt;&gt;"",E50="Y",I50="무너짐"),1,0)</f>
        <v/>
      </c>
      <c r="N50">
        <f>IF(A50="","",IFERROR(IF(INDEX('보유'!$H$11:$H$20,MATCH(A50,'보유'!$B$11:$B$20,0))="","",INDEX('보유'!$H$11:$H$20,MATCH(A50,'보유'!$B$11:$B$20,0))),""))</f>
        <v/>
      </c>
      <c r="O50">
        <f>IF(ISNUMBER(N50),IF(OR(NOT(ISNUMBER(H50)),H50&lt;N50),1,0),0)</f>
        <v/>
      </c>
    </row>
    <row r="51">
      <c r="A51" s="18" t="n"/>
      <c r="B51" s="19" t="n"/>
      <c r="C51" s="19" t="n"/>
      <c r="D51" s="19" t="n"/>
      <c r="E51" s="19" t="n"/>
      <c r="F51" s="19" t="n"/>
      <c r="G51" s="19" t="n"/>
      <c r="H51" s="16" t="n"/>
      <c r="I51" s="19" t="n"/>
      <c r="J51" s="19" t="n"/>
      <c r="K51">
        <f>IF(A51="","",IF(L51=1,"근거·무너짐 기준을 채우세요",IF(M51=1,"핵심 이유 무너짐 → 매도 검토",IF(O51=1,"실적 발표 뒤 점검 필요",""))))</f>
        <v/>
      </c>
      <c r="L51">
        <f>IF(AND(A51&lt;&gt;"",OR(F51="",G51="")),1,0)</f>
        <v/>
      </c>
      <c r="M51">
        <f>IF(AND(A51&lt;&gt;"",E51="Y",I51="무너짐"),1,0)</f>
        <v/>
      </c>
      <c r="N51">
        <f>IF(A51="","",IFERROR(IF(INDEX('보유'!$H$11:$H$20,MATCH(A51,'보유'!$B$11:$B$20,0))="","",INDEX('보유'!$H$11:$H$20,MATCH(A51,'보유'!$B$11:$B$20,0))),""))</f>
        <v/>
      </c>
      <c r="O51">
        <f>IF(ISNUMBER(N51),IF(OR(NOT(ISNUMBER(H51)),H51&lt;N51),1,0),0)</f>
        <v/>
      </c>
    </row>
    <row r="52">
      <c r="A52" s="18" t="n"/>
      <c r="B52" s="19" t="n"/>
      <c r="C52" s="19" t="n"/>
      <c r="D52" s="19" t="n"/>
      <c r="E52" s="19" t="n"/>
      <c r="F52" s="19" t="n"/>
      <c r="G52" s="19" t="n"/>
      <c r="H52" s="16" t="n"/>
      <c r="I52" s="19" t="n"/>
      <c r="J52" s="19" t="n"/>
      <c r="K52">
        <f>IF(A52="","",IF(L52=1,"근거·무너짐 기준을 채우세요",IF(M52=1,"핵심 이유 무너짐 → 매도 검토",IF(O52=1,"실적 발표 뒤 점검 필요",""))))</f>
        <v/>
      </c>
      <c r="L52">
        <f>IF(AND(A52&lt;&gt;"",OR(F52="",G52="")),1,0)</f>
        <v/>
      </c>
      <c r="M52">
        <f>IF(AND(A52&lt;&gt;"",E52="Y",I52="무너짐"),1,0)</f>
        <v/>
      </c>
      <c r="N52">
        <f>IF(A52="","",IFERROR(IF(INDEX('보유'!$H$11:$H$20,MATCH(A52,'보유'!$B$11:$B$20,0))="","",INDEX('보유'!$H$11:$H$20,MATCH(A52,'보유'!$B$11:$B$20,0))),""))</f>
        <v/>
      </c>
      <c r="O52">
        <f>IF(ISNUMBER(N52),IF(OR(NOT(ISNUMBER(H52)),H52&lt;N52),1,0),0)</f>
        <v/>
      </c>
    </row>
    <row r="53">
      <c r="A53" s="18" t="n"/>
      <c r="B53" s="19" t="n"/>
      <c r="C53" s="19" t="n"/>
      <c r="D53" s="19" t="n"/>
      <c r="E53" s="19" t="n"/>
      <c r="F53" s="19" t="n"/>
      <c r="G53" s="19" t="n"/>
      <c r="H53" s="16" t="n"/>
      <c r="I53" s="19" t="n"/>
      <c r="J53" s="19" t="n"/>
      <c r="K53">
        <f>IF(A53="","",IF(L53=1,"근거·무너짐 기준을 채우세요",IF(M53=1,"핵심 이유 무너짐 → 매도 검토",IF(O53=1,"실적 발표 뒤 점검 필요",""))))</f>
        <v/>
      </c>
      <c r="L53">
        <f>IF(AND(A53&lt;&gt;"",OR(F53="",G53="")),1,0)</f>
        <v/>
      </c>
      <c r="M53">
        <f>IF(AND(A53&lt;&gt;"",E53="Y",I53="무너짐"),1,0)</f>
        <v/>
      </c>
      <c r="N53">
        <f>IF(A53="","",IFERROR(IF(INDEX('보유'!$H$11:$H$20,MATCH(A53,'보유'!$B$11:$B$20,0))="","",INDEX('보유'!$H$11:$H$20,MATCH(A53,'보유'!$B$11:$B$20,0))),""))</f>
        <v/>
      </c>
      <c r="O53">
        <f>IF(ISNUMBER(N53),IF(OR(NOT(ISNUMBER(H53)),H53&lt;N53),1,0),0)</f>
        <v/>
      </c>
    </row>
    <row r="54">
      <c r="A54" s="18" t="n"/>
      <c r="B54" s="19" t="n"/>
      <c r="C54" s="19" t="n"/>
      <c r="D54" s="19" t="n"/>
      <c r="E54" s="19" t="n"/>
      <c r="F54" s="19" t="n"/>
      <c r="G54" s="19" t="n"/>
      <c r="H54" s="16" t="n"/>
      <c r="I54" s="19" t="n"/>
      <c r="J54" s="19" t="n"/>
      <c r="K54">
        <f>IF(A54="","",IF(L54=1,"근거·무너짐 기준을 채우세요",IF(M54=1,"핵심 이유 무너짐 → 매도 검토",IF(O54=1,"실적 발표 뒤 점검 필요",""))))</f>
        <v/>
      </c>
      <c r="L54">
        <f>IF(AND(A54&lt;&gt;"",OR(F54="",G54="")),1,0)</f>
        <v/>
      </c>
      <c r="M54">
        <f>IF(AND(A54&lt;&gt;"",E54="Y",I54="무너짐"),1,0)</f>
        <v/>
      </c>
      <c r="N54">
        <f>IF(A54="","",IFERROR(IF(INDEX('보유'!$H$11:$H$20,MATCH(A54,'보유'!$B$11:$B$20,0))="","",INDEX('보유'!$H$11:$H$20,MATCH(A54,'보유'!$B$11:$B$20,0))),""))</f>
        <v/>
      </c>
      <c r="O54">
        <f>IF(ISNUMBER(N54),IF(OR(NOT(ISNUMBER(H54)),H54&lt;N54),1,0),0)</f>
        <v/>
      </c>
    </row>
    <row r="55">
      <c r="A55" s="18" t="n"/>
      <c r="B55" s="19" t="n"/>
      <c r="C55" s="19" t="n"/>
      <c r="D55" s="19" t="n"/>
      <c r="E55" s="19" t="n"/>
      <c r="F55" s="19" t="n"/>
      <c r="G55" s="19" t="n"/>
      <c r="H55" s="16" t="n"/>
      <c r="I55" s="19" t="n"/>
      <c r="J55" s="19" t="n"/>
      <c r="K55">
        <f>IF(A55="","",IF(L55=1,"근거·무너짐 기준을 채우세요",IF(M55=1,"핵심 이유 무너짐 → 매도 검토",IF(O55=1,"실적 발표 뒤 점검 필요",""))))</f>
        <v/>
      </c>
      <c r="L55">
        <f>IF(AND(A55&lt;&gt;"",OR(F55="",G55="")),1,0)</f>
        <v/>
      </c>
      <c r="M55">
        <f>IF(AND(A55&lt;&gt;"",E55="Y",I55="무너짐"),1,0)</f>
        <v/>
      </c>
      <c r="N55">
        <f>IF(A55="","",IFERROR(IF(INDEX('보유'!$H$11:$H$20,MATCH(A55,'보유'!$B$11:$B$20,0))="","",INDEX('보유'!$H$11:$H$20,MATCH(A55,'보유'!$B$11:$B$20,0))),""))</f>
        <v/>
      </c>
      <c r="O55">
        <f>IF(ISNUMBER(N55),IF(OR(NOT(ISNUMBER(H55)),H55&lt;N55),1,0),0)</f>
        <v/>
      </c>
    </row>
    <row r="56">
      <c r="A56" s="18" t="n"/>
      <c r="B56" s="19" t="n"/>
      <c r="C56" s="19" t="n"/>
      <c r="D56" s="19" t="n"/>
      <c r="E56" s="19" t="n"/>
      <c r="F56" s="19" t="n"/>
      <c r="G56" s="19" t="n"/>
      <c r="H56" s="16" t="n"/>
      <c r="I56" s="19" t="n"/>
      <c r="J56" s="19" t="n"/>
      <c r="K56">
        <f>IF(A56="","",IF(L56=1,"근거·무너짐 기준을 채우세요",IF(M56=1,"핵심 이유 무너짐 → 매도 검토",IF(O56=1,"실적 발표 뒤 점검 필요",""))))</f>
        <v/>
      </c>
      <c r="L56">
        <f>IF(AND(A56&lt;&gt;"",OR(F56="",G56="")),1,0)</f>
        <v/>
      </c>
      <c r="M56">
        <f>IF(AND(A56&lt;&gt;"",E56="Y",I56="무너짐"),1,0)</f>
        <v/>
      </c>
      <c r="N56">
        <f>IF(A56="","",IFERROR(IF(INDEX('보유'!$H$11:$H$20,MATCH(A56,'보유'!$B$11:$B$20,0))="","",INDEX('보유'!$H$11:$H$20,MATCH(A56,'보유'!$B$11:$B$20,0))),""))</f>
        <v/>
      </c>
      <c r="O56">
        <f>IF(ISNUMBER(N56),IF(OR(NOT(ISNUMBER(H56)),H56&lt;N56),1,0),0)</f>
        <v/>
      </c>
    </row>
    <row r="57">
      <c r="A57" s="18" t="n"/>
      <c r="B57" s="19" t="n"/>
      <c r="C57" s="19" t="n"/>
      <c r="D57" s="19" t="n"/>
      <c r="E57" s="19" t="n"/>
      <c r="F57" s="19" t="n"/>
      <c r="G57" s="19" t="n"/>
      <c r="H57" s="16" t="n"/>
      <c r="I57" s="19" t="n"/>
      <c r="J57" s="19" t="n"/>
      <c r="K57">
        <f>IF(A57="","",IF(L57=1,"근거·무너짐 기준을 채우세요",IF(M57=1,"핵심 이유 무너짐 → 매도 검토",IF(O57=1,"실적 발표 뒤 점검 필요",""))))</f>
        <v/>
      </c>
      <c r="L57">
        <f>IF(AND(A57&lt;&gt;"",OR(F57="",G57="")),1,0)</f>
        <v/>
      </c>
      <c r="M57">
        <f>IF(AND(A57&lt;&gt;"",E57="Y",I57="무너짐"),1,0)</f>
        <v/>
      </c>
      <c r="N57">
        <f>IF(A57="","",IFERROR(IF(INDEX('보유'!$H$11:$H$20,MATCH(A57,'보유'!$B$11:$B$20,0))="","",INDEX('보유'!$H$11:$H$20,MATCH(A57,'보유'!$B$11:$B$20,0))),""))</f>
        <v/>
      </c>
      <c r="O57">
        <f>IF(ISNUMBER(N57),IF(OR(NOT(ISNUMBER(H57)),H57&lt;N57),1,0),0)</f>
        <v/>
      </c>
    </row>
    <row r="58">
      <c r="A58" s="18" t="n"/>
      <c r="B58" s="19" t="n"/>
      <c r="C58" s="19" t="n"/>
      <c r="D58" s="19" t="n"/>
      <c r="E58" s="19" t="n"/>
      <c r="F58" s="19" t="n"/>
      <c r="G58" s="19" t="n"/>
      <c r="H58" s="16" t="n"/>
      <c r="I58" s="19" t="n"/>
      <c r="J58" s="19" t="n"/>
      <c r="K58">
        <f>IF(A58="","",IF(L58=1,"근거·무너짐 기준을 채우세요",IF(M58=1,"핵심 이유 무너짐 → 매도 검토",IF(O58=1,"실적 발표 뒤 점검 필요",""))))</f>
        <v/>
      </c>
      <c r="L58">
        <f>IF(AND(A58&lt;&gt;"",OR(F58="",G58="")),1,0)</f>
        <v/>
      </c>
      <c r="M58">
        <f>IF(AND(A58&lt;&gt;"",E58="Y",I58="무너짐"),1,0)</f>
        <v/>
      </c>
      <c r="N58">
        <f>IF(A58="","",IFERROR(IF(INDEX('보유'!$H$11:$H$20,MATCH(A58,'보유'!$B$11:$B$20,0))="","",INDEX('보유'!$H$11:$H$20,MATCH(A58,'보유'!$B$11:$B$20,0))),""))</f>
        <v/>
      </c>
      <c r="O58">
        <f>IF(ISNUMBER(N58),IF(OR(NOT(ISNUMBER(H58)),H58&lt;N58),1,0),0)</f>
        <v/>
      </c>
    </row>
    <row r="59">
      <c r="A59" s="18" t="n"/>
      <c r="B59" s="19" t="n"/>
      <c r="C59" s="19" t="n"/>
      <c r="D59" s="19" t="n"/>
      <c r="E59" s="19" t="n"/>
      <c r="F59" s="19" t="n"/>
      <c r="G59" s="19" t="n"/>
      <c r="H59" s="16" t="n"/>
      <c r="I59" s="19" t="n"/>
      <c r="J59" s="19" t="n"/>
      <c r="K59">
        <f>IF(A59="","",IF(L59=1,"근거·무너짐 기준을 채우세요",IF(M59=1,"핵심 이유 무너짐 → 매도 검토",IF(O59=1,"실적 발표 뒤 점검 필요",""))))</f>
        <v/>
      </c>
      <c r="L59">
        <f>IF(AND(A59&lt;&gt;"",OR(F59="",G59="")),1,0)</f>
        <v/>
      </c>
      <c r="M59">
        <f>IF(AND(A59&lt;&gt;"",E59="Y",I59="무너짐"),1,0)</f>
        <v/>
      </c>
      <c r="N59">
        <f>IF(A59="","",IFERROR(IF(INDEX('보유'!$H$11:$H$20,MATCH(A59,'보유'!$B$11:$B$20,0))="","",INDEX('보유'!$H$11:$H$20,MATCH(A59,'보유'!$B$11:$B$20,0))),""))</f>
        <v/>
      </c>
      <c r="O59">
        <f>IF(ISNUMBER(N59),IF(OR(NOT(ISNUMBER(H59)),H59&lt;N59),1,0),0)</f>
        <v/>
      </c>
    </row>
    <row r="60">
      <c r="A60" s="18" t="n"/>
      <c r="B60" s="19" t="n"/>
      <c r="C60" s="19" t="n"/>
      <c r="D60" s="19" t="n"/>
      <c r="E60" s="19" t="n"/>
      <c r="F60" s="19" t="n"/>
      <c r="G60" s="19" t="n"/>
      <c r="H60" s="16" t="n"/>
      <c r="I60" s="19" t="n"/>
      <c r="J60" s="19" t="n"/>
      <c r="K60">
        <f>IF(A60="","",IF(L60=1,"근거·무너짐 기준을 채우세요",IF(M60=1,"핵심 이유 무너짐 → 매도 검토",IF(O60=1,"실적 발표 뒤 점검 필요",""))))</f>
        <v/>
      </c>
      <c r="L60">
        <f>IF(AND(A60&lt;&gt;"",OR(F60="",G60="")),1,0)</f>
        <v/>
      </c>
      <c r="M60">
        <f>IF(AND(A60&lt;&gt;"",E60="Y",I60="무너짐"),1,0)</f>
        <v/>
      </c>
      <c r="N60">
        <f>IF(A60="","",IFERROR(IF(INDEX('보유'!$H$11:$H$20,MATCH(A60,'보유'!$B$11:$B$20,0))="","",INDEX('보유'!$H$11:$H$20,MATCH(A60,'보유'!$B$11:$B$20,0))),""))</f>
        <v/>
      </c>
      <c r="O60">
        <f>IF(ISNUMBER(N60),IF(OR(NOT(ISNUMBER(H60)),H60&lt;N60),1,0),0)</f>
        <v/>
      </c>
    </row>
    <row r="61">
      <c r="A61" s="18" t="n"/>
      <c r="B61" s="19" t="n"/>
      <c r="C61" s="19" t="n"/>
      <c r="D61" s="19" t="n"/>
      <c r="E61" s="19" t="n"/>
      <c r="F61" s="19" t="n"/>
      <c r="G61" s="19" t="n"/>
      <c r="H61" s="16" t="n"/>
      <c r="I61" s="19" t="n"/>
      <c r="J61" s="19" t="n"/>
      <c r="K61">
        <f>IF(A61="","",IF(L61=1,"근거·무너짐 기준을 채우세요",IF(M61=1,"핵심 이유 무너짐 → 매도 검토",IF(O61=1,"실적 발표 뒤 점검 필요",""))))</f>
        <v/>
      </c>
      <c r="L61">
        <f>IF(AND(A61&lt;&gt;"",OR(F61="",G61="")),1,0)</f>
        <v/>
      </c>
      <c r="M61">
        <f>IF(AND(A61&lt;&gt;"",E61="Y",I61="무너짐"),1,0)</f>
        <v/>
      </c>
      <c r="N61">
        <f>IF(A61="","",IFERROR(IF(INDEX('보유'!$H$11:$H$20,MATCH(A61,'보유'!$B$11:$B$20,0))="","",INDEX('보유'!$H$11:$H$20,MATCH(A61,'보유'!$B$11:$B$20,0))),""))</f>
        <v/>
      </c>
      <c r="O61">
        <f>IF(ISNUMBER(N61),IF(OR(NOT(ISNUMBER(H61)),H61&lt;N61),1,0),0)</f>
        <v/>
      </c>
    </row>
    <row r="62">
      <c r="A62" s="18" t="n"/>
      <c r="B62" s="19" t="n"/>
      <c r="C62" s="19" t="n"/>
      <c r="D62" s="19" t="n"/>
      <c r="E62" s="19" t="n"/>
      <c r="F62" s="19" t="n"/>
      <c r="G62" s="19" t="n"/>
      <c r="H62" s="16" t="n"/>
      <c r="I62" s="19" t="n"/>
      <c r="J62" s="19" t="n"/>
      <c r="K62">
        <f>IF(A62="","",IF(L62=1,"근거·무너짐 기준을 채우세요",IF(M62=1,"핵심 이유 무너짐 → 매도 검토",IF(O62=1,"실적 발표 뒤 점검 필요",""))))</f>
        <v/>
      </c>
      <c r="L62">
        <f>IF(AND(A62&lt;&gt;"",OR(F62="",G62="")),1,0)</f>
        <v/>
      </c>
      <c r="M62">
        <f>IF(AND(A62&lt;&gt;"",E62="Y",I62="무너짐"),1,0)</f>
        <v/>
      </c>
      <c r="N62">
        <f>IF(A62="","",IFERROR(IF(INDEX('보유'!$H$11:$H$20,MATCH(A62,'보유'!$B$11:$B$20,0))="","",INDEX('보유'!$H$11:$H$20,MATCH(A62,'보유'!$B$11:$B$20,0))),""))</f>
        <v/>
      </c>
      <c r="O62">
        <f>IF(ISNUMBER(N62),IF(OR(NOT(ISNUMBER(H62)),H62&lt;N62),1,0),0)</f>
        <v/>
      </c>
    </row>
    <row r="63">
      <c r="A63" s="18" t="n"/>
      <c r="B63" s="19" t="n"/>
      <c r="C63" s="19" t="n"/>
      <c r="D63" s="19" t="n"/>
      <c r="E63" s="19" t="n"/>
      <c r="F63" s="19" t="n"/>
      <c r="G63" s="19" t="n"/>
      <c r="H63" s="16" t="n"/>
      <c r="I63" s="19" t="n"/>
      <c r="J63" s="19" t="n"/>
      <c r="K63">
        <f>IF(A63="","",IF(L63=1,"근거·무너짐 기준을 채우세요",IF(M63=1,"핵심 이유 무너짐 → 매도 검토",IF(O63=1,"실적 발표 뒤 점검 필요",""))))</f>
        <v/>
      </c>
      <c r="L63">
        <f>IF(AND(A63&lt;&gt;"",OR(F63="",G63="")),1,0)</f>
        <v/>
      </c>
      <c r="M63">
        <f>IF(AND(A63&lt;&gt;"",E63="Y",I63="무너짐"),1,0)</f>
        <v/>
      </c>
      <c r="N63">
        <f>IF(A63="","",IFERROR(IF(INDEX('보유'!$H$11:$H$20,MATCH(A63,'보유'!$B$11:$B$20,0))="","",INDEX('보유'!$H$11:$H$20,MATCH(A63,'보유'!$B$11:$B$20,0))),""))</f>
        <v/>
      </c>
      <c r="O63">
        <f>IF(ISNUMBER(N63),IF(OR(NOT(ISNUMBER(H63)),H63&lt;N63),1,0),0)</f>
        <v/>
      </c>
    </row>
    <row r="64">
      <c r="A64" s="18" t="n"/>
      <c r="B64" s="19" t="n"/>
      <c r="C64" s="19" t="n"/>
      <c r="D64" s="19" t="n"/>
      <c r="E64" s="19" t="n"/>
      <c r="F64" s="19" t="n"/>
      <c r="G64" s="19" t="n"/>
      <c r="H64" s="16" t="n"/>
      <c r="I64" s="19" t="n"/>
      <c r="J64" s="19" t="n"/>
      <c r="K64">
        <f>IF(A64="","",IF(L64=1,"근거·무너짐 기준을 채우세요",IF(M64=1,"핵심 이유 무너짐 → 매도 검토",IF(O64=1,"실적 발표 뒤 점검 필요",""))))</f>
        <v/>
      </c>
      <c r="L64">
        <f>IF(AND(A64&lt;&gt;"",OR(F64="",G64="")),1,0)</f>
        <v/>
      </c>
      <c r="M64">
        <f>IF(AND(A64&lt;&gt;"",E64="Y",I64="무너짐"),1,0)</f>
        <v/>
      </c>
      <c r="N64">
        <f>IF(A64="","",IFERROR(IF(INDEX('보유'!$H$11:$H$20,MATCH(A64,'보유'!$B$11:$B$20,0))="","",INDEX('보유'!$H$11:$H$20,MATCH(A64,'보유'!$B$11:$B$20,0))),""))</f>
        <v/>
      </c>
      <c r="O64">
        <f>IF(ISNUMBER(N64),IF(OR(NOT(ISNUMBER(H64)),H64&lt;N64),1,0),0)</f>
        <v/>
      </c>
    </row>
    <row r="65">
      <c r="A65" s="18" t="n"/>
      <c r="B65" s="19" t="n"/>
      <c r="C65" s="19" t="n"/>
      <c r="D65" s="19" t="n"/>
      <c r="E65" s="19" t="n"/>
      <c r="F65" s="19" t="n"/>
      <c r="G65" s="19" t="n"/>
      <c r="H65" s="16" t="n"/>
      <c r="I65" s="19" t="n"/>
      <c r="J65" s="19" t="n"/>
      <c r="K65">
        <f>IF(A65="","",IF(L65=1,"근거·무너짐 기준을 채우세요",IF(M65=1,"핵심 이유 무너짐 → 매도 검토",IF(O65=1,"실적 발표 뒤 점검 필요",""))))</f>
        <v/>
      </c>
      <c r="L65">
        <f>IF(AND(A65&lt;&gt;"",OR(F65="",G65="")),1,0)</f>
        <v/>
      </c>
      <c r="M65">
        <f>IF(AND(A65&lt;&gt;"",E65="Y",I65="무너짐"),1,0)</f>
        <v/>
      </c>
      <c r="N65">
        <f>IF(A65="","",IFERROR(IF(INDEX('보유'!$H$11:$H$20,MATCH(A65,'보유'!$B$11:$B$20,0))="","",INDEX('보유'!$H$11:$H$20,MATCH(A65,'보유'!$B$11:$B$20,0))),""))</f>
        <v/>
      </c>
      <c r="O65">
        <f>IF(ISNUMBER(N65),IF(OR(NOT(ISNUMBER(H65)),H65&lt;N65),1,0),0)</f>
        <v/>
      </c>
    </row>
    <row r="66">
      <c r="A66" s="18" t="n"/>
      <c r="B66" s="19" t="n"/>
      <c r="C66" s="19" t="n"/>
      <c r="D66" s="19" t="n"/>
      <c r="E66" s="19" t="n"/>
      <c r="F66" s="19" t="n"/>
      <c r="G66" s="19" t="n"/>
      <c r="H66" s="16" t="n"/>
      <c r="I66" s="19" t="n"/>
      <c r="J66" s="19" t="n"/>
      <c r="K66">
        <f>IF(A66="","",IF(L66=1,"근거·무너짐 기준을 채우세요",IF(M66=1,"핵심 이유 무너짐 → 매도 검토",IF(O66=1,"실적 발표 뒤 점검 필요",""))))</f>
        <v/>
      </c>
      <c r="L66">
        <f>IF(AND(A66&lt;&gt;"",OR(F66="",G66="")),1,0)</f>
        <v/>
      </c>
      <c r="M66">
        <f>IF(AND(A66&lt;&gt;"",E66="Y",I66="무너짐"),1,0)</f>
        <v/>
      </c>
      <c r="N66">
        <f>IF(A66="","",IFERROR(IF(INDEX('보유'!$H$11:$H$20,MATCH(A66,'보유'!$B$11:$B$20,0))="","",INDEX('보유'!$H$11:$H$20,MATCH(A66,'보유'!$B$11:$B$20,0))),""))</f>
        <v/>
      </c>
      <c r="O66">
        <f>IF(ISNUMBER(N66),IF(OR(NOT(ISNUMBER(H66)),H66&lt;N66),1,0),0)</f>
        <v/>
      </c>
    </row>
    <row r="67">
      <c r="A67" s="18" t="n"/>
      <c r="B67" s="19" t="n"/>
      <c r="C67" s="19" t="n"/>
      <c r="D67" s="19" t="n"/>
      <c r="E67" s="19" t="n"/>
      <c r="F67" s="19" t="n"/>
      <c r="G67" s="19" t="n"/>
      <c r="H67" s="16" t="n"/>
      <c r="I67" s="19" t="n"/>
      <c r="J67" s="19" t="n"/>
      <c r="K67">
        <f>IF(A67="","",IF(L67=1,"근거·무너짐 기준을 채우세요",IF(M67=1,"핵심 이유 무너짐 → 매도 검토",IF(O67=1,"실적 발표 뒤 점검 필요",""))))</f>
        <v/>
      </c>
      <c r="L67">
        <f>IF(AND(A67&lt;&gt;"",OR(F67="",G67="")),1,0)</f>
        <v/>
      </c>
      <c r="M67">
        <f>IF(AND(A67&lt;&gt;"",E67="Y",I67="무너짐"),1,0)</f>
        <v/>
      </c>
      <c r="N67">
        <f>IF(A67="","",IFERROR(IF(INDEX('보유'!$H$11:$H$20,MATCH(A67,'보유'!$B$11:$B$20,0))="","",INDEX('보유'!$H$11:$H$20,MATCH(A67,'보유'!$B$11:$B$20,0))),""))</f>
        <v/>
      </c>
      <c r="O67">
        <f>IF(ISNUMBER(N67),IF(OR(NOT(ISNUMBER(H67)),H67&lt;N67),1,0),0)</f>
        <v/>
      </c>
    </row>
    <row r="68">
      <c r="A68" s="18" t="n"/>
      <c r="B68" s="19" t="n"/>
      <c r="C68" s="19" t="n"/>
      <c r="D68" s="19" t="n"/>
      <c r="E68" s="19" t="n"/>
      <c r="F68" s="19" t="n"/>
      <c r="G68" s="19" t="n"/>
      <c r="H68" s="16" t="n"/>
      <c r="I68" s="19" t="n"/>
      <c r="J68" s="19" t="n"/>
      <c r="K68">
        <f>IF(A68="","",IF(L68=1,"근거·무너짐 기준을 채우세요",IF(M68=1,"핵심 이유 무너짐 → 매도 검토",IF(O68=1,"실적 발표 뒤 점검 필요",""))))</f>
        <v/>
      </c>
      <c r="L68">
        <f>IF(AND(A68&lt;&gt;"",OR(F68="",G68="")),1,0)</f>
        <v/>
      </c>
      <c r="M68">
        <f>IF(AND(A68&lt;&gt;"",E68="Y",I68="무너짐"),1,0)</f>
        <v/>
      </c>
      <c r="N68">
        <f>IF(A68="","",IFERROR(IF(INDEX('보유'!$H$11:$H$20,MATCH(A68,'보유'!$B$11:$B$20,0))="","",INDEX('보유'!$H$11:$H$20,MATCH(A68,'보유'!$B$11:$B$20,0))),""))</f>
        <v/>
      </c>
      <c r="O68">
        <f>IF(ISNUMBER(N68),IF(OR(NOT(ISNUMBER(H68)),H68&lt;N68),1,0),0)</f>
        <v/>
      </c>
    </row>
    <row r="69">
      <c r="A69" s="18" t="n"/>
      <c r="B69" s="19" t="n"/>
      <c r="C69" s="19" t="n"/>
      <c r="D69" s="19" t="n"/>
      <c r="E69" s="19" t="n"/>
      <c r="F69" s="19" t="n"/>
      <c r="G69" s="19" t="n"/>
      <c r="H69" s="16" t="n"/>
      <c r="I69" s="19" t="n"/>
      <c r="J69" s="19" t="n"/>
      <c r="K69">
        <f>IF(A69="","",IF(L69=1,"근거·무너짐 기준을 채우세요",IF(M69=1,"핵심 이유 무너짐 → 매도 검토",IF(O69=1,"실적 발표 뒤 점검 필요",""))))</f>
        <v/>
      </c>
      <c r="L69">
        <f>IF(AND(A69&lt;&gt;"",OR(F69="",G69="")),1,0)</f>
        <v/>
      </c>
      <c r="M69">
        <f>IF(AND(A69&lt;&gt;"",E69="Y",I69="무너짐"),1,0)</f>
        <v/>
      </c>
      <c r="N69">
        <f>IF(A69="","",IFERROR(IF(INDEX('보유'!$H$11:$H$20,MATCH(A69,'보유'!$B$11:$B$20,0))="","",INDEX('보유'!$H$11:$H$20,MATCH(A69,'보유'!$B$11:$B$20,0))),""))</f>
        <v/>
      </c>
      <c r="O69">
        <f>IF(ISNUMBER(N69),IF(OR(NOT(ISNUMBER(H69)),H69&lt;N69),1,0),0)</f>
        <v/>
      </c>
    </row>
    <row r="70">
      <c r="A70" s="18" t="n"/>
      <c r="B70" s="19" t="n"/>
      <c r="C70" s="19" t="n"/>
      <c r="D70" s="19" t="n"/>
      <c r="E70" s="19" t="n"/>
      <c r="F70" s="19" t="n"/>
      <c r="G70" s="19" t="n"/>
      <c r="H70" s="16" t="n"/>
      <c r="I70" s="19" t="n"/>
      <c r="J70" s="19" t="n"/>
      <c r="K70">
        <f>IF(A70="","",IF(L70=1,"근거·무너짐 기준을 채우세요",IF(M70=1,"핵심 이유 무너짐 → 매도 검토",IF(O70=1,"실적 발표 뒤 점검 필요",""))))</f>
        <v/>
      </c>
      <c r="L70">
        <f>IF(AND(A70&lt;&gt;"",OR(F70="",G70="")),1,0)</f>
        <v/>
      </c>
      <c r="M70">
        <f>IF(AND(A70&lt;&gt;"",E70="Y",I70="무너짐"),1,0)</f>
        <v/>
      </c>
      <c r="N70">
        <f>IF(A70="","",IFERROR(IF(INDEX('보유'!$H$11:$H$20,MATCH(A70,'보유'!$B$11:$B$20,0))="","",INDEX('보유'!$H$11:$H$20,MATCH(A70,'보유'!$B$11:$B$20,0))),""))</f>
        <v/>
      </c>
      <c r="O70">
        <f>IF(ISNUMBER(N70),IF(OR(NOT(ISNUMBER(H70)),H70&lt;N70),1,0),0)</f>
        <v/>
      </c>
    </row>
    <row r="71">
      <c r="A71" s="18" t="n"/>
      <c r="B71" s="19" t="n"/>
      <c r="C71" s="19" t="n"/>
      <c r="D71" s="19" t="n"/>
      <c r="E71" s="19" t="n"/>
      <c r="F71" s="19" t="n"/>
      <c r="G71" s="19" t="n"/>
      <c r="H71" s="16" t="n"/>
      <c r="I71" s="19" t="n"/>
      <c r="J71" s="19" t="n"/>
      <c r="K71">
        <f>IF(A71="","",IF(L71=1,"근거·무너짐 기준을 채우세요",IF(M71=1,"핵심 이유 무너짐 → 매도 검토",IF(O71=1,"실적 발표 뒤 점검 필요",""))))</f>
        <v/>
      </c>
      <c r="L71">
        <f>IF(AND(A71&lt;&gt;"",OR(F71="",G71="")),1,0)</f>
        <v/>
      </c>
      <c r="M71">
        <f>IF(AND(A71&lt;&gt;"",E71="Y",I71="무너짐"),1,0)</f>
        <v/>
      </c>
      <c r="N71">
        <f>IF(A71="","",IFERROR(IF(INDEX('보유'!$H$11:$H$20,MATCH(A71,'보유'!$B$11:$B$20,0))="","",INDEX('보유'!$H$11:$H$20,MATCH(A71,'보유'!$B$11:$B$20,0))),""))</f>
        <v/>
      </c>
      <c r="O71">
        <f>IF(ISNUMBER(N71),IF(OR(NOT(ISNUMBER(H71)),H71&lt;N71),1,0),0)</f>
        <v/>
      </c>
    </row>
    <row r="72">
      <c r="A72" s="18" t="n"/>
      <c r="B72" s="19" t="n"/>
      <c r="C72" s="19" t="n"/>
      <c r="D72" s="19" t="n"/>
      <c r="E72" s="19" t="n"/>
      <c r="F72" s="19" t="n"/>
      <c r="G72" s="19" t="n"/>
      <c r="H72" s="16" t="n"/>
      <c r="I72" s="19" t="n"/>
      <c r="J72" s="19" t="n"/>
      <c r="K72">
        <f>IF(A72="","",IF(L72=1,"근거·무너짐 기준을 채우세요",IF(M72=1,"핵심 이유 무너짐 → 매도 검토",IF(O72=1,"실적 발표 뒤 점검 필요",""))))</f>
        <v/>
      </c>
      <c r="L72">
        <f>IF(AND(A72&lt;&gt;"",OR(F72="",G72="")),1,0)</f>
        <v/>
      </c>
      <c r="M72">
        <f>IF(AND(A72&lt;&gt;"",E72="Y",I72="무너짐"),1,0)</f>
        <v/>
      </c>
      <c r="N72">
        <f>IF(A72="","",IFERROR(IF(INDEX('보유'!$H$11:$H$20,MATCH(A72,'보유'!$B$11:$B$20,0))="","",INDEX('보유'!$H$11:$H$20,MATCH(A72,'보유'!$B$11:$B$20,0))),""))</f>
        <v/>
      </c>
      <c r="O72">
        <f>IF(ISNUMBER(N72),IF(OR(NOT(ISNUMBER(H72)),H72&lt;N72),1,0),0)</f>
        <v/>
      </c>
    </row>
    <row r="73">
      <c r="A73" s="18" t="n"/>
      <c r="B73" s="19" t="n"/>
      <c r="C73" s="19" t="n"/>
      <c r="D73" s="19" t="n"/>
      <c r="E73" s="19" t="n"/>
      <c r="F73" s="19" t="n"/>
      <c r="G73" s="19" t="n"/>
      <c r="H73" s="16" t="n"/>
      <c r="I73" s="19" t="n"/>
      <c r="J73" s="19" t="n"/>
      <c r="K73">
        <f>IF(A73="","",IF(L73=1,"근거·무너짐 기준을 채우세요",IF(M73=1,"핵심 이유 무너짐 → 매도 검토",IF(O73=1,"실적 발표 뒤 점검 필요",""))))</f>
        <v/>
      </c>
      <c r="L73">
        <f>IF(AND(A73&lt;&gt;"",OR(F73="",G73="")),1,0)</f>
        <v/>
      </c>
      <c r="M73">
        <f>IF(AND(A73&lt;&gt;"",E73="Y",I73="무너짐"),1,0)</f>
        <v/>
      </c>
      <c r="N73">
        <f>IF(A73="","",IFERROR(IF(INDEX('보유'!$H$11:$H$20,MATCH(A73,'보유'!$B$11:$B$20,0))="","",INDEX('보유'!$H$11:$H$20,MATCH(A73,'보유'!$B$11:$B$20,0))),""))</f>
        <v/>
      </c>
      <c r="O73">
        <f>IF(ISNUMBER(N73),IF(OR(NOT(ISNUMBER(H73)),H73&lt;N73),1,0),0)</f>
        <v/>
      </c>
    </row>
    <row r="74">
      <c r="A74" s="18" t="n"/>
      <c r="B74" s="19" t="n"/>
      <c r="C74" s="19" t="n"/>
      <c r="D74" s="19" t="n"/>
      <c r="E74" s="19" t="n"/>
      <c r="F74" s="19" t="n"/>
      <c r="G74" s="19" t="n"/>
      <c r="H74" s="16" t="n"/>
      <c r="I74" s="19" t="n"/>
      <c r="J74" s="19" t="n"/>
      <c r="K74">
        <f>IF(A74="","",IF(L74=1,"근거·무너짐 기준을 채우세요",IF(M74=1,"핵심 이유 무너짐 → 매도 검토",IF(O74=1,"실적 발표 뒤 점검 필요",""))))</f>
        <v/>
      </c>
      <c r="L74">
        <f>IF(AND(A74&lt;&gt;"",OR(F74="",G74="")),1,0)</f>
        <v/>
      </c>
      <c r="M74">
        <f>IF(AND(A74&lt;&gt;"",E74="Y",I74="무너짐"),1,0)</f>
        <v/>
      </c>
      <c r="N74">
        <f>IF(A74="","",IFERROR(IF(INDEX('보유'!$H$11:$H$20,MATCH(A74,'보유'!$B$11:$B$20,0))="","",INDEX('보유'!$H$11:$H$20,MATCH(A74,'보유'!$B$11:$B$20,0))),""))</f>
        <v/>
      </c>
      <c r="O74">
        <f>IF(ISNUMBER(N74),IF(OR(NOT(ISNUMBER(H74)),H74&lt;N74),1,0),0)</f>
        <v/>
      </c>
    </row>
    <row r="75">
      <c r="A75" s="18" t="n"/>
      <c r="B75" s="19" t="n"/>
      <c r="C75" s="19" t="n"/>
      <c r="D75" s="19" t="n"/>
      <c r="E75" s="19" t="n"/>
      <c r="F75" s="19" t="n"/>
      <c r="G75" s="19" t="n"/>
      <c r="H75" s="16" t="n"/>
      <c r="I75" s="19" t="n"/>
      <c r="J75" s="19" t="n"/>
      <c r="K75">
        <f>IF(A75="","",IF(L75=1,"근거·무너짐 기준을 채우세요",IF(M75=1,"핵심 이유 무너짐 → 매도 검토",IF(O75=1,"실적 발표 뒤 점검 필요",""))))</f>
        <v/>
      </c>
      <c r="L75">
        <f>IF(AND(A75&lt;&gt;"",OR(F75="",G75="")),1,0)</f>
        <v/>
      </c>
      <c r="M75">
        <f>IF(AND(A75&lt;&gt;"",E75="Y",I75="무너짐"),1,0)</f>
        <v/>
      </c>
      <c r="N75">
        <f>IF(A75="","",IFERROR(IF(INDEX('보유'!$H$11:$H$20,MATCH(A75,'보유'!$B$11:$B$20,0))="","",INDEX('보유'!$H$11:$H$20,MATCH(A75,'보유'!$B$11:$B$20,0))),""))</f>
        <v/>
      </c>
      <c r="O75">
        <f>IF(ISNUMBER(N75),IF(OR(NOT(ISNUMBER(H75)),H75&lt;N75),1,0),0)</f>
        <v/>
      </c>
    </row>
    <row r="76">
      <c r="A76" s="18" t="n"/>
      <c r="B76" s="19" t="n"/>
      <c r="C76" s="19" t="n"/>
      <c r="D76" s="19" t="n"/>
      <c r="E76" s="19" t="n"/>
      <c r="F76" s="19" t="n"/>
      <c r="G76" s="19" t="n"/>
      <c r="H76" s="16" t="n"/>
      <c r="I76" s="19" t="n"/>
      <c r="J76" s="19" t="n"/>
      <c r="K76">
        <f>IF(A76="","",IF(L76=1,"근거·무너짐 기준을 채우세요",IF(M76=1,"핵심 이유 무너짐 → 매도 검토",IF(O76=1,"실적 발표 뒤 점검 필요",""))))</f>
        <v/>
      </c>
      <c r="L76">
        <f>IF(AND(A76&lt;&gt;"",OR(F76="",G76="")),1,0)</f>
        <v/>
      </c>
      <c r="M76">
        <f>IF(AND(A76&lt;&gt;"",E76="Y",I76="무너짐"),1,0)</f>
        <v/>
      </c>
      <c r="N76">
        <f>IF(A76="","",IFERROR(IF(INDEX('보유'!$H$11:$H$20,MATCH(A76,'보유'!$B$11:$B$20,0))="","",INDEX('보유'!$H$11:$H$20,MATCH(A76,'보유'!$B$11:$B$20,0))),""))</f>
        <v/>
      </c>
      <c r="O76">
        <f>IF(ISNUMBER(N76),IF(OR(NOT(ISNUMBER(H76)),H76&lt;N76),1,0),0)</f>
        <v/>
      </c>
    </row>
    <row r="77">
      <c r="A77" s="18" t="n"/>
      <c r="B77" s="19" t="n"/>
      <c r="C77" s="19" t="n"/>
      <c r="D77" s="19" t="n"/>
      <c r="E77" s="19" t="n"/>
      <c r="F77" s="19" t="n"/>
      <c r="G77" s="19" t="n"/>
      <c r="H77" s="16" t="n"/>
      <c r="I77" s="19" t="n"/>
      <c r="J77" s="19" t="n"/>
      <c r="K77">
        <f>IF(A77="","",IF(L77=1,"근거·무너짐 기준을 채우세요",IF(M77=1,"핵심 이유 무너짐 → 매도 검토",IF(O77=1,"실적 발표 뒤 점검 필요",""))))</f>
        <v/>
      </c>
      <c r="L77">
        <f>IF(AND(A77&lt;&gt;"",OR(F77="",G77="")),1,0)</f>
        <v/>
      </c>
      <c r="M77">
        <f>IF(AND(A77&lt;&gt;"",E77="Y",I77="무너짐"),1,0)</f>
        <v/>
      </c>
      <c r="N77">
        <f>IF(A77="","",IFERROR(IF(INDEX('보유'!$H$11:$H$20,MATCH(A77,'보유'!$B$11:$B$20,0))="","",INDEX('보유'!$H$11:$H$20,MATCH(A77,'보유'!$B$11:$B$20,0))),""))</f>
        <v/>
      </c>
      <c r="O77">
        <f>IF(ISNUMBER(N77),IF(OR(NOT(ISNUMBER(H77)),H77&lt;N77),1,0),0)</f>
        <v/>
      </c>
    </row>
    <row r="78">
      <c r="A78" s="18" t="n"/>
      <c r="B78" s="19" t="n"/>
      <c r="C78" s="19" t="n"/>
      <c r="D78" s="19" t="n"/>
      <c r="E78" s="19" t="n"/>
      <c r="F78" s="19" t="n"/>
      <c r="G78" s="19" t="n"/>
      <c r="H78" s="16" t="n"/>
      <c r="I78" s="19" t="n"/>
      <c r="J78" s="19" t="n"/>
      <c r="K78">
        <f>IF(A78="","",IF(L78=1,"근거·무너짐 기준을 채우세요",IF(M78=1,"핵심 이유 무너짐 → 매도 검토",IF(O78=1,"실적 발표 뒤 점검 필요",""))))</f>
        <v/>
      </c>
      <c r="L78">
        <f>IF(AND(A78&lt;&gt;"",OR(F78="",G78="")),1,0)</f>
        <v/>
      </c>
      <c r="M78">
        <f>IF(AND(A78&lt;&gt;"",E78="Y",I78="무너짐"),1,0)</f>
        <v/>
      </c>
      <c r="N78">
        <f>IF(A78="","",IFERROR(IF(INDEX('보유'!$H$11:$H$20,MATCH(A78,'보유'!$B$11:$B$20,0))="","",INDEX('보유'!$H$11:$H$20,MATCH(A78,'보유'!$B$11:$B$20,0))),""))</f>
        <v/>
      </c>
      <c r="O78">
        <f>IF(ISNUMBER(N78),IF(OR(NOT(ISNUMBER(H78)),H78&lt;N78),1,0),0)</f>
        <v/>
      </c>
    </row>
    <row r="79">
      <c r="A79" s="18" t="n"/>
      <c r="B79" s="19" t="n"/>
      <c r="C79" s="19" t="n"/>
      <c r="D79" s="19" t="n"/>
      <c r="E79" s="19" t="n"/>
      <c r="F79" s="19" t="n"/>
      <c r="G79" s="19" t="n"/>
      <c r="H79" s="16" t="n"/>
      <c r="I79" s="19" t="n"/>
      <c r="J79" s="19" t="n"/>
      <c r="K79">
        <f>IF(A79="","",IF(L79=1,"근거·무너짐 기준을 채우세요",IF(M79=1,"핵심 이유 무너짐 → 매도 검토",IF(O79=1,"실적 발표 뒤 점검 필요",""))))</f>
        <v/>
      </c>
      <c r="L79">
        <f>IF(AND(A79&lt;&gt;"",OR(F79="",G79="")),1,0)</f>
        <v/>
      </c>
      <c r="M79">
        <f>IF(AND(A79&lt;&gt;"",E79="Y",I79="무너짐"),1,0)</f>
        <v/>
      </c>
      <c r="N79">
        <f>IF(A79="","",IFERROR(IF(INDEX('보유'!$H$11:$H$20,MATCH(A79,'보유'!$B$11:$B$20,0))="","",INDEX('보유'!$H$11:$H$20,MATCH(A79,'보유'!$B$11:$B$20,0))),""))</f>
        <v/>
      </c>
      <c r="O79">
        <f>IF(ISNUMBER(N79),IF(OR(NOT(ISNUMBER(H79)),H79&lt;N79),1,0),0)</f>
        <v/>
      </c>
    </row>
    <row r="80">
      <c r="A80" s="18" t="n"/>
      <c r="B80" s="19" t="n"/>
      <c r="C80" s="19" t="n"/>
      <c r="D80" s="19" t="n"/>
      <c r="E80" s="19" t="n"/>
      <c r="F80" s="19" t="n"/>
      <c r="G80" s="19" t="n"/>
      <c r="H80" s="16" t="n"/>
      <c r="I80" s="19" t="n"/>
      <c r="J80" s="19" t="n"/>
      <c r="K80">
        <f>IF(A80="","",IF(L80=1,"근거·무너짐 기준을 채우세요",IF(M80=1,"핵심 이유 무너짐 → 매도 검토",IF(O80=1,"실적 발표 뒤 점검 필요",""))))</f>
        <v/>
      </c>
      <c r="L80">
        <f>IF(AND(A80&lt;&gt;"",OR(F80="",G80="")),1,0)</f>
        <v/>
      </c>
      <c r="M80">
        <f>IF(AND(A80&lt;&gt;"",E80="Y",I80="무너짐"),1,0)</f>
        <v/>
      </c>
      <c r="N80">
        <f>IF(A80="","",IFERROR(IF(INDEX('보유'!$H$11:$H$20,MATCH(A80,'보유'!$B$11:$B$20,0))="","",INDEX('보유'!$H$11:$H$20,MATCH(A80,'보유'!$B$11:$B$20,0))),""))</f>
        <v/>
      </c>
      <c r="O80">
        <f>IF(ISNUMBER(N80),IF(OR(NOT(ISNUMBER(H80)),H80&lt;N80),1,0),0)</f>
        <v/>
      </c>
    </row>
    <row r="81">
      <c r="A81" s="18" t="n"/>
      <c r="B81" s="19" t="n"/>
      <c r="C81" s="19" t="n"/>
      <c r="D81" s="19" t="n"/>
      <c r="E81" s="19" t="n"/>
      <c r="F81" s="19" t="n"/>
      <c r="G81" s="19" t="n"/>
      <c r="H81" s="16" t="n"/>
      <c r="I81" s="19" t="n"/>
      <c r="J81" s="19" t="n"/>
      <c r="K81">
        <f>IF(A81="","",IF(L81=1,"근거·무너짐 기준을 채우세요",IF(M81=1,"핵심 이유 무너짐 → 매도 검토",IF(O81=1,"실적 발표 뒤 점검 필요",""))))</f>
        <v/>
      </c>
      <c r="L81">
        <f>IF(AND(A81&lt;&gt;"",OR(F81="",G81="")),1,0)</f>
        <v/>
      </c>
      <c r="M81">
        <f>IF(AND(A81&lt;&gt;"",E81="Y",I81="무너짐"),1,0)</f>
        <v/>
      </c>
      <c r="N81">
        <f>IF(A81="","",IFERROR(IF(INDEX('보유'!$H$11:$H$20,MATCH(A81,'보유'!$B$11:$B$20,0))="","",INDEX('보유'!$H$11:$H$20,MATCH(A81,'보유'!$B$11:$B$20,0))),""))</f>
        <v/>
      </c>
      <c r="O81">
        <f>IF(ISNUMBER(N81),IF(OR(NOT(ISNUMBER(H81)),H81&lt;N81),1,0),0)</f>
        <v/>
      </c>
    </row>
    <row r="82">
      <c r="A82" s="18" t="n"/>
      <c r="B82" s="19" t="n"/>
      <c r="C82" s="19" t="n"/>
      <c r="D82" s="19" t="n"/>
      <c r="E82" s="19" t="n"/>
      <c r="F82" s="19" t="n"/>
      <c r="G82" s="19" t="n"/>
      <c r="H82" s="16" t="n"/>
      <c r="I82" s="19" t="n"/>
      <c r="J82" s="19" t="n"/>
      <c r="K82">
        <f>IF(A82="","",IF(L82=1,"근거·무너짐 기준을 채우세요",IF(M82=1,"핵심 이유 무너짐 → 매도 검토",IF(O82=1,"실적 발표 뒤 점검 필요",""))))</f>
        <v/>
      </c>
      <c r="L82">
        <f>IF(AND(A82&lt;&gt;"",OR(F82="",G82="")),1,0)</f>
        <v/>
      </c>
      <c r="M82">
        <f>IF(AND(A82&lt;&gt;"",E82="Y",I82="무너짐"),1,0)</f>
        <v/>
      </c>
      <c r="N82">
        <f>IF(A82="","",IFERROR(IF(INDEX('보유'!$H$11:$H$20,MATCH(A82,'보유'!$B$11:$B$20,0))="","",INDEX('보유'!$H$11:$H$20,MATCH(A82,'보유'!$B$11:$B$20,0))),""))</f>
        <v/>
      </c>
      <c r="O82">
        <f>IF(ISNUMBER(N82),IF(OR(NOT(ISNUMBER(H82)),H82&lt;N82),1,0),0)</f>
        <v/>
      </c>
    </row>
    <row r="83">
      <c r="A83" s="18" t="n"/>
      <c r="B83" s="19" t="n"/>
      <c r="C83" s="19" t="n"/>
      <c r="D83" s="19" t="n"/>
      <c r="E83" s="19" t="n"/>
      <c r="F83" s="19" t="n"/>
      <c r="G83" s="19" t="n"/>
      <c r="H83" s="16" t="n"/>
      <c r="I83" s="19" t="n"/>
      <c r="J83" s="19" t="n"/>
      <c r="K83">
        <f>IF(A83="","",IF(L83=1,"근거·무너짐 기준을 채우세요",IF(M83=1,"핵심 이유 무너짐 → 매도 검토",IF(O83=1,"실적 발표 뒤 점검 필요",""))))</f>
        <v/>
      </c>
      <c r="L83">
        <f>IF(AND(A83&lt;&gt;"",OR(F83="",G83="")),1,0)</f>
        <v/>
      </c>
      <c r="M83">
        <f>IF(AND(A83&lt;&gt;"",E83="Y",I83="무너짐"),1,0)</f>
        <v/>
      </c>
      <c r="N83">
        <f>IF(A83="","",IFERROR(IF(INDEX('보유'!$H$11:$H$20,MATCH(A83,'보유'!$B$11:$B$20,0))="","",INDEX('보유'!$H$11:$H$20,MATCH(A83,'보유'!$B$11:$B$20,0))),""))</f>
        <v/>
      </c>
      <c r="O83">
        <f>IF(ISNUMBER(N83),IF(OR(NOT(ISNUMBER(H83)),H83&lt;N83),1,0),0)</f>
        <v/>
      </c>
    </row>
    <row r="84">
      <c r="A84" s="18" t="n"/>
      <c r="B84" s="19" t="n"/>
      <c r="C84" s="19" t="n"/>
      <c r="D84" s="19" t="n"/>
      <c r="E84" s="19" t="n"/>
      <c r="F84" s="19" t="n"/>
      <c r="G84" s="19" t="n"/>
      <c r="H84" s="16" t="n"/>
      <c r="I84" s="19" t="n"/>
      <c r="J84" s="19" t="n"/>
      <c r="K84">
        <f>IF(A84="","",IF(L84=1,"근거·무너짐 기준을 채우세요",IF(M84=1,"핵심 이유 무너짐 → 매도 검토",IF(O84=1,"실적 발표 뒤 점검 필요",""))))</f>
        <v/>
      </c>
      <c r="L84">
        <f>IF(AND(A84&lt;&gt;"",OR(F84="",G84="")),1,0)</f>
        <v/>
      </c>
      <c r="M84">
        <f>IF(AND(A84&lt;&gt;"",E84="Y",I84="무너짐"),1,0)</f>
        <v/>
      </c>
      <c r="N84">
        <f>IF(A84="","",IFERROR(IF(INDEX('보유'!$H$11:$H$20,MATCH(A84,'보유'!$B$11:$B$20,0))="","",INDEX('보유'!$H$11:$H$20,MATCH(A84,'보유'!$B$11:$B$20,0))),""))</f>
        <v/>
      </c>
      <c r="O84">
        <f>IF(ISNUMBER(N84),IF(OR(NOT(ISNUMBER(H84)),H84&lt;N84),1,0),0)</f>
        <v/>
      </c>
    </row>
    <row r="85">
      <c r="A85" s="18" t="n"/>
      <c r="B85" s="19" t="n"/>
      <c r="C85" s="19" t="n"/>
      <c r="D85" s="19" t="n"/>
      <c r="E85" s="19" t="n"/>
      <c r="F85" s="19" t="n"/>
      <c r="G85" s="19" t="n"/>
      <c r="H85" s="16" t="n"/>
      <c r="I85" s="19" t="n"/>
      <c r="J85" s="19" t="n"/>
      <c r="K85">
        <f>IF(A85="","",IF(L85=1,"근거·무너짐 기준을 채우세요",IF(M85=1,"핵심 이유 무너짐 → 매도 검토",IF(O85=1,"실적 발표 뒤 점검 필요",""))))</f>
        <v/>
      </c>
      <c r="L85">
        <f>IF(AND(A85&lt;&gt;"",OR(F85="",G85="")),1,0)</f>
        <v/>
      </c>
      <c r="M85">
        <f>IF(AND(A85&lt;&gt;"",E85="Y",I85="무너짐"),1,0)</f>
        <v/>
      </c>
      <c r="N85">
        <f>IF(A85="","",IFERROR(IF(INDEX('보유'!$H$11:$H$20,MATCH(A85,'보유'!$B$11:$B$20,0))="","",INDEX('보유'!$H$11:$H$20,MATCH(A85,'보유'!$B$11:$B$20,0))),""))</f>
        <v/>
      </c>
      <c r="O85">
        <f>IF(ISNUMBER(N85),IF(OR(NOT(ISNUMBER(H85)),H85&lt;N85),1,0),0)</f>
        <v/>
      </c>
    </row>
    <row r="86">
      <c r="A86" s="18" t="n"/>
      <c r="B86" s="19" t="n"/>
      <c r="C86" s="19" t="n"/>
      <c r="D86" s="19" t="n"/>
      <c r="E86" s="19" t="n"/>
      <c r="F86" s="19" t="n"/>
      <c r="G86" s="19" t="n"/>
      <c r="H86" s="16" t="n"/>
      <c r="I86" s="19" t="n"/>
      <c r="J86" s="19" t="n"/>
      <c r="K86">
        <f>IF(A86="","",IF(L86=1,"근거·무너짐 기준을 채우세요",IF(M86=1,"핵심 이유 무너짐 → 매도 검토",IF(O86=1,"실적 발표 뒤 점검 필요",""))))</f>
        <v/>
      </c>
      <c r="L86">
        <f>IF(AND(A86&lt;&gt;"",OR(F86="",G86="")),1,0)</f>
        <v/>
      </c>
      <c r="M86">
        <f>IF(AND(A86&lt;&gt;"",E86="Y",I86="무너짐"),1,0)</f>
        <v/>
      </c>
      <c r="N86">
        <f>IF(A86="","",IFERROR(IF(INDEX('보유'!$H$11:$H$20,MATCH(A86,'보유'!$B$11:$B$20,0))="","",INDEX('보유'!$H$11:$H$20,MATCH(A86,'보유'!$B$11:$B$20,0))),""))</f>
        <v/>
      </c>
      <c r="O86">
        <f>IF(ISNUMBER(N86),IF(OR(NOT(ISNUMBER(H86)),H86&lt;N86),1,0),0)</f>
        <v/>
      </c>
    </row>
    <row r="87">
      <c r="A87" s="18" t="n"/>
      <c r="B87" s="19" t="n"/>
      <c r="C87" s="19" t="n"/>
      <c r="D87" s="19" t="n"/>
      <c r="E87" s="19" t="n"/>
      <c r="F87" s="19" t="n"/>
      <c r="G87" s="19" t="n"/>
      <c r="H87" s="16" t="n"/>
      <c r="I87" s="19" t="n"/>
      <c r="J87" s="19" t="n"/>
      <c r="K87">
        <f>IF(A87="","",IF(L87=1,"근거·무너짐 기준을 채우세요",IF(M87=1,"핵심 이유 무너짐 → 매도 검토",IF(O87=1,"실적 발표 뒤 점검 필요",""))))</f>
        <v/>
      </c>
      <c r="L87">
        <f>IF(AND(A87&lt;&gt;"",OR(F87="",G87="")),1,0)</f>
        <v/>
      </c>
      <c r="M87">
        <f>IF(AND(A87&lt;&gt;"",E87="Y",I87="무너짐"),1,0)</f>
        <v/>
      </c>
      <c r="N87">
        <f>IF(A87="","",IFERROR(IF(INDEX('보유'!$H$11:$H$20,MATCH(A87,'보유'!$B$11:$B$20,0))="","",INDEX('보유'!$H$11:$H$20,MATCH(A87,'보유'!$B$11:$B$20,0))),""))</f>
        <v/>
      </c>
      <c r="O87">
        <f>IF(ISNUMBER(N87),IF(OR(NOT(ISNUMBER(H87)),H87&lt;N87),1,0),0)</f>
        <v/>
      </c>
    </row>
    <row r="88">
      <c r="A88" s="18" t="n"/>
      <c r="B88" s="19" t="n"/>
      <c r="C88" s="19" t="n"/>
      <c r="D88" s="19" t="n"/>
      <c r="E88" s="19" t="n"/>
      <c r="F88" s="19" t="n"/>
      <c r="G88" s="19" t="n"/>
      <c r="H88" s="16" t="n"/>
      <c r="I88" s="19" t="n"/>
      <c r="J88" s="19" t="n"/>
      <c r="K88">
        <f>IF(A88="","",IF(L88=1,"근거·무너짐 기준을 채우세요",IF(M88=1,"핵심 이유 무너짐 → 매도 검토",IF(O88=1,"실적 발표 뒤 점검 필요",""))))</f>
        <v/>
      </c>
      <c r="L88">
        <f>IF(AND(A88&lt;&gt;"",OR(F88="",G88="")),1,0)</f>
        <v/>
      </c>
      <c r="M88">
        <f>IF(AND(A88&lt;&gt;"",E88="Y",I88="무너짐"),1,0)</f>
        <v/>
      </c>
      <c r="N88">
        <f>IF(A88="","",IFERROR(IF(INDEX('보유'!$H$11:$H$20,MATCH(A88,'보유'!$B$11:$B$20,0))="","",INDEX('보유'!$H$11:$H$20,MATCH(A88,'보유'!$B$11:$B$20,0))),""))</f>
        <v/>
      </c>
      <c r="O88">
        <f>IF(ISNUMBER(N88),IF(OR(NOT(ISNUMBER(H88)),H88&lt;N88),1,0),0)</f>
        <v/>
      </c>
    </row>
    <row r="89">
      <c r="A89" s="18" t="n"/>
      <c r="B89" s="19" t="n"/>
      <c r="C89" s="19" t="n"/>
      <c r="D89" s="19" t="n"/>
      <c r="E89" s="19" t="n"/>
      <c r="F89" s="19" t="n"/>
      <c r="G89" s="19" t="n"/>
      <c r="H89" s="16" t="n"/>
      <c r="I89" s="19" t="n"/>
      <c r="J89" s="19" t="n"/>
      <c r="K89">
        <f>IF(A89="","",IF(L89=1,"근거·무너짐 기준을 채우세요",IF(M89=1,"핵심 이유 무너짐 → 매도 검토",IF(O89=1,"실적 발표 뒤 점검 필요",""))))</f>
        <v/>
      </c>
      <c r="L89">
        <f>IF(AND(A89&lt;&gt;"",OR(F89="",G89="")),1,0)</f>
        <v/>
      </c>
      <c r="M89">
        <f>IF(AND(A89&lt;&gt;"",E89="Y",I89="무너짐"),1,0)</f>
        <v/>
      </c>
      <c r="N89">
        <f>IF(A89="","",IFERROR(IF(INDEX('보유'!$H$11:$H$20,MATCH(A89,'보유'!$B$11:$B$20,0))="","",INDEX('보유'!$H$11:$H$20,MATCH(A89,'보유'!$B$11:$B$20,0))),""))</f>
        <v/>
      </c>
      <c r="O89">
        <f>IF(ISNUMBER(N89),IF(OR(NOT(ISNUMBER(H89)),H89&lt;N89),1,0),0)</f>
        <v/>
      </c>
    </row>
    <row r="90">
      <c r="A90" s="18" t="n"/>
      <c r="B90" s="19" t="n"/>
      <c r="C90" s="19" t="n"/>
      <c r="D90" s="19" t="n"/>
      <c r="E90" s="19" t="n"/>
      <c r="F90" s="19" t="n"/>
      <c r="G90" s="19" t="n"/>
      <c r="H90" s="16" t="n"/>
      <c r="I90" s="19" t="n"/>
      <c r="J90" s="19" t="n"/>
      <c r="K90">
        <f>IF(A90="","",IF(L90=1,"근거·무너짐 기준을 채우세요",IF(M90=1,"핵심 이유 무너짐 → 매도 검토",IF(O90=1,"실적 발표 뒤 점검 필요",""))))</f>
        <v/>
      </c>
      <c r="L90">
        <f>IF(AND(A90&lt;&gt;"",OR(F90="",G90="")),1,0)</f>
        <v/>
      </c>
      <c r="M90">
        <f>IF(AND(A90&lt;&gt;"",E90="Y",I90="무너짐"),1,0)</f>
        <v/>
      </c>
      <c r="N90">
        <f>IF(A90="","",IFERROR(IF(INDEX('보유'!$H$11:$H$20,MATCH(A90,'보유'!$B$11:$B$20,0))="","",INDEX('보유'!$H$11:$H$20,MATCH(A90,'보유'!$B$11:$B$20,0))),""))</f>
        <v/>
      </c>
      <c r="O90">
        <f>IF(ISNUMBER(N90),IF(OR(NOT(ISNUMBER(H90)),H90&lt;N90),1,0),0)</f>
        <v/>
      </c>
    </row>
    <row r="91">
      <c r="A91" s="18" t="n"/>
      <c r="B91" s="19" t="n"/>
      <c r="C91" s="19" t="n"/>
      <c r="D91" s="19" t="n"/>
      <c r="E91" s="19" t="n"/>
      <c r="F91" s="19" t="n"/>
      <c r="G91" s="19" t="n"/>
      <c r="H91" s="16" t="n"/>
      <c r="I91" s="19" t="n"/>
      <c r="J91" s="19" t="n"/>
      <c r="K91">
        <f>IF(A91="","",IF(L91=1,"근거·무너짐 기준을 채우세요",IF(M91=1,"핵심 이유 무너짐 → 매도 검토",IF(O91=1,"실적 발표 뒤 점검 필요",""))))</f>
        <v/>
      </c>
      <c r="L91">
        <f>IF(AND(A91&lt;&gt;"",OR(F91="",G91="")),1,0)</f>
        <v/>
      </c>
      <c r="M91">
        <f>IF(AND(A91&lt;&gt;"",E91="Y",I91="무너짐"),1,0)</f>
        <v/>
      </c>
      <c r="N91">
        <f>IF(A91="","",IFERROR(IF(INDEX('보유'!$H$11:$H$20,MATCH(A91,'보유'!$B$11:$B$20,0))="","",INDEX('보유'!$H$11:$H$20,MATCH(A91,'보유'!$B$11:$B$20,0))),""))</f>
        <v/>
      </c>
      <c r="O91">
        <f>IF(ISNUMBER(N91),IF(OR(NOT(ISNUMBER(H91)),H91&lt;N91),1,0),0)</f>
        <v/>
      </c>
    </row>
    <row r="92">
      <c r="A92" s="18" t="n"/>
      <c r="B92" s="19" t="n"/>
      <c r="C92" s="19" t="n"/>
      <c r="D92" s="19" t="n"/>
      <c r="E92" s="19" t="n"/>
      <c r="F92" s="19" t="n"/>
      <c r="G92" s="19" t="n"/>
      <c r="H92" s="16" t="n"/>
      <c r="I92" s="19" t="n"/>
      <c r="J92" s="19" t="n"/>
      <c r="K92">
        <f>IF(A92="","",IF(L92=1,"근거·무너짐 기준을 채우세요",IF(M92=1,"핵심 이유 무너짐 → 매도 검토",IF(O92=1,"실적 발표 뒤 점검 필요",""))))</f>
        <v/>
      </c>
      <c r="L92">
        <f>IF(AND(A92&lt;&gt;"",OR(F92="",G92="")),1,0)</f>
        <v/>
      </c>
      <c r="M92">
        <f>IF(AND(A92&lt;&gt;"",E92="Y",I92="무너짐"),1,0)</f>
        <v/>
      </c>
      <c r="N92">
        <f>IF(A92="","",IFERROR(IF(INDEX('보유'!$H$11:$H$20,MATCH(A92,'보유'!$B$11:$B$20,0))="","",INDEX('보유'!$H$11:$H$20,MATCH(A92,'보유'!$B$11:$B$20,0))),""))</f>
        <v/>
      </c>
      <c r="O92">
        <f>IF(ISNUMBER(N92),IF(OR(NOT(ISNUMBER(H92)),H92&lt;N92),1,0),0)</f>
        <v/>
      </c>
    </row>
    <row r="93">
      <c r="A93" s="18" t="n"/>
      <c r="B93" s="19" t="n"/>
      <c r="C93" s="19" t="n"/>
      <c r="D93" s="19" t="n"/>
      <c r="E93" s="19" t="n"/>
      <c r="F93" s="19" t="n"/>
      <c r="G93" s="19" t="n"/>
      <c r="H93" s="16" t="n"/>
      <c r="I93" s="19" t="n"/>
      <c r="J93" s="19" t="n"/>
      <c r="K93">
        <f>IF(A93="","",IF(L93=1,"근거·무너짐 기준을 채우세요",IF(M93=1,"핵심 이유 무너짐 → 매도 검토",IF(O93=1,"실적 발표 뒤 점검 필요",""))))</f>
        <v/>
      </c>
      <c r="L93">
        <f>IF(AND(A93&lt;&gt;"",OR(F93="",G93="")),1,0)</f>
        <v/>
      </c>
      <c r="M93">
        <f>IF(AND(A93&lt;&gt;"",E93="Y",I93="무너짐"),1,0)</f>
        <v/>
      </c>
      <c r="N93">
        <f>IF(A93="","",IFERROR(IF(INDEX('보유'!$H$11:$H$20,MATCH(A93,'보유'!$B$11:$B$20,0))="","",INDEX('보유'!$H$11:$H$20,MATCH(A93,'보유'!$B$11:$B$20,0))),""))</f>
        <v/>
      </c>
      <c r="O93">
        <f>IF(ISNUMBER(N93),IF(OR(NOT(ISNUMBER(H93)),H93&lt;N93),1,0),0)</f>
        <v/>
      </c>
    </row>
    <row r="94">
      <c r="A94" s="18" t="n"/>
      <c r="B94" s="19" t="n"/>
      <c r="C94" s="19" t="n"/>
      <c r="D94" s="19" t="n"/>
      <c r="E94" s="19" t="n"/>
      <c r="F94" s="19" t="n"/>
      <c r="G94" s="19" t="n"/>
      <c r="H94" s="16" t="n"/>
      <c r="I94" s="19" t="n"/>
      <c r="J94" s="19" t="n"/>
      <c r="K94">
        <f>IF(A94="","",IF(L94=1,"근거·무너짐 기준을 채우세요",IF(M94=1,"핵심 이유 무너짐 → 매도 검토",IF(O94=1,"실적 발표 뒤 점검 필요",""))))</f>
        <v/>
      </c>
      <c r="L94">
        <f>IF(AND(A94&lt;&gt;"",OR(F94="",G94="")),1,0)</f>
        <v/>
      </c>
      <c r="M94">
        <f>IF(AND(A94&lt;&gt;"",E94="Y",I94="무너짐"),1,0)</f>
        <v/>
      </c>
      <c r="N94">
        <f>IF(A94="","",IFERROR(IF(INDEX('보유'!$H$11:$H$20,MATCH(A94,'보유'!$B$11:$B$20,0))="","",INDEX('보유'!$H$11:$H$20,MATCH(A94,'보유'!$B$11:$B$20,0))),""))</f>
        <v/>
      </c>
      <c r="O94">
        <f>IF(ISNUMBER(N94),IF(OR(NOT(ISNUMBER(H94)),H94&lt;N94),1,0),0)</f>
        <v/>
      </c>
    </row>
    <row r="95">
      <c r="A95" s="18" t="n"/>
      <c r="B95" s="19" t="n"/>
      <c r="C95" s="19" t="n"/>
      <c r="D95" s="19" t="n"/>
      <c r="E95" s="19" t="n"/>
      <c r="F95" s="19" t="n"/>
      <c r="G95" s="19" t="n"/>
      <c r="H95" s="16" t="n"/>
      <c r="I95" s="19" t="n"/>
      <c r="J95" s="19" t="n"/>
      <c r="K95">
        <f>IF(A95="","",IF(L95=1,"근거·무너짐 기준을 채우세요",IF(M95=1,"핵심 이유 무너짐 → 매도 검토",IF(O95=1,"실적 발표 뒤 점검 필요",""))))</f>
        <v/>
      </c>
      <c r="L95">
        <f>IF(AND(A95&lt;&gt;"",OR(F95="",G95="")),1,0)</f>
        <v/>
      </c>
      <c r="M95">
        <f>IF(AND(A95&lt;&gt;"",E95="Y",I95="무너짐"),1,0)</f>
        <v/>
      </c>
      <c r="N95">
        <f>IF(A95="","",IFERROR(IF(INDEX('보유'!$H$11:$H$20,MATCH(A95,'보유'!$B$11:$B$20,0))="","",INDEX('보유'!$H$11:$H$20,MATCH(A95,'보유'!$B$11:$B$20,0))),""))</f>
        <v/>
      </c>
      <c r="O95">
        <f>IF(ISNUMBER(N95),IF(OR(NOT(ISNUMBER(H95)),H95&lt;N95),1,0),0)</f>
        <v/>
      </c>
    </row>
    <row r="96">
      <c r="A96" s="18" t="n"/>
      <c r="B96" s="19" t="n"/>
      <c r="C96" s="19" t="n"/>
      <c r="D96" s="19" t="n"/>
      <c r="E96" s="19" t="n"/>
      <c r="F96" s="19" t="n"/>
      <c r="G96" s="19" t="n"/>
      <c r="H96" s="16" t="n"/>
      <c r="I96" s="19" t="n"/>
      <c r="J96" s="19" t="n"/>
      <c r="K96">
        <f>IF(A96="","",IF(L96=1,"근거·무너짐 기준을 채우세요",IF(M96=1,"핵심 이유 무너짐 → 매도 검토",IF(O96=1,"실적 발표 뒤 점검 필요",""))))</f>
        <v/>
      </c>
      <c r="L96">
        <f>IF(AND(A96&lt;&gt;"",OR(F96="",G96="")),1,0)</f>
        <v/>
      </c>
      <c r="M96">
        <f>IF(AND(A96&lt;&gt;"",E96="Y",I96="무너짐"),1,0)</f>
        <v/>
      </c>
      <c r="N96">
        <f>IF(A96="","",IFERROR(IF(INDEX('보유'!$H$11:$H$20,MATCH(A96,'보유'!$B$11:$B$20,0))="","",INDEX('보유'!$H$11:$H$20,MATCH(A96,'보유'!$B$11:$B$20,0))),""))</f>
        <v/>
      </c>
      <c r="O96">
        <f>IF(ISNUMBER(N96),IF(OR(NOT(ISNUMBER(H96)),H96&lt;N96),1,0),0)</f>
        <v/>
      </c>
    </row>
    <row r="97">
      <c r="A97" s="18" t="n"/>
      <c r="B97" s="19" t="n"/>
      <c r="C97" s="19" t="n"/>
      <c r="D97" s="19" t="n"/>
      <c r="E97" s="19" t="n"/>
      <c r="F97" s="19" t="n"/>
      <c r="G97" s="19" t="n"/>
      <c r="H97" s="16" t="n"/>
      <c r="I97" s="19" t="n"/>
      <c r="J97" s="19" t="n"/>
      <c r="K97">
        <f>IF(A97="","",IF(L97=1,"근거·무너짐 기준을 채우세요",IF(M97=1,"핵심 이유 무너짐 → 매도 검토",IF(O97=1,"실적 발표 뒤 점검 필요",""))))</f>
        <v/>
      </c>
      <c r="L97">
        <f>IF(AND(A97&lt;&gt;"",OR(F97="",G97="")),1,0)</f>
        <v/>
      </c>
      <c r="M97">
        <f>IF(AND(A97&lt;&gt;"",E97="Y",I97="무너짐"),1,0)</f>
        <v/>
      </c>
      <c r="N97">
        <f>IF(A97="","",IFERROR(IF(INDEX('보유'!$H$11:$H$20,MATCH(A97,'보유'!$B$11:$B$20,0))="","",INDEX('보유'!$H$11:$H$20,MATCH(A97,'보유'!$B$11:$B$20,0))),""))</f>
        <v/>
      </c>
      <c r="O97">
        <f>IF(ISNUMBER(N97),IF(OR(NOT(ISNUMBER(H97)),H97&lt;N97),1,0),0)</f>
        <v/>
      </c>
    </row>
    <row r="98">
      <c r="A98" s="18" t="n"/>
      <c r="B98" s="19" t="n"/>
      <c r="C98" s="19" t="n"/>
      <c r="D98" s="19" t="n"/>
      <c r="E98" s="19" t="n"/>
      <c r="F98" s="19" t="n"/>
      <c r="G98" s="19" t="n"/>
      <c r="H98" s="16" t="n"/>
      <c r="I98" s="19" t="n"/>
      <c r="J98" s="19" t="n"/>
      <c r="K98">
        <f>IF(A98="","",IF(L98=1,"근거·무너짐 기준을 채우세요",IF(M98=1,"핵심 이유 무너짐 → 매도 검토",IF(O98=1,"실적 발표 뒤 점검 필요",""))))</f>
        <v/>
      </c>
      <c r="L98">
        <f>IF(AND(A98&lt;&gt;"",OR(F98="",G98="")),1,0)</f>
        <v/>
      </c>
      <c r="M98">
        <f>IF(AND(A98&lt;&gt;"",E98="Y",I98="무너짐"),1,0)</f>
        <v/>
      </c>
      <c r="N98">
        <f>IF(A98="","",IFERROR(IF(INDEX('보유'!$H$11:$H$20,MATCH(A98,'보유'!$B$11:$B$20,0))="","",INDEX('보유'!$H$11:$H$20,MATCH(A98,'보유'!$B$11:$B$20,0))),""))</f>
        <v/>
      </c>
      <c r="O98">
        <f>IF(ISNUMBER(N98),IF(OR(NOT(ISNUMBER(H98)),H98&lt;N98),1,0),0)</f>
        <v/>
      </c>
    </row>
    <row r="99">
      <c r="A99" s="18" t="n"/>
      <c r="B99" s="19" t="n"/>
      <c r="C99" s="19" t="n"/>
      <c r="D99" s="19" t="n"/>
      <c r="E99" s="19" t="n"/>
      <c r="F99" s="19" t="n"/>
      <c r="G99" s="19" t="n"/>
      <c r="H99" s="16" t="n"/>
      <c r="I99" s="19" t="n"/>
      <c r="J99" s="19" t="n"/>
      <c r="K99">
        <f>IF(A99="","",IF(L99=1,"근거·무너짐 기준을 채우세요",IF(M99=1,"핵심 이유 무너짐 → 매도 검토",IF(O99=1,"실적 발표 뒤 점검 필요",""))))</f>
        <v/>
      </c>
      <c r="L99">
        <f>IF(AND(A99&lt;&gt;"",OR(F99="",G99="")),1,0)</f>
        <v/>
      </c>
      <c r="M99">
        <f>IF(AND(A99&lt;&gt;"",E99="Y",I99="무너짐"),1,0)</f>
        <v/>
      </c>
      <c r="N99">
        <f>IF(A99="","",IFERROR(IF(INDEX('보유'!$H$11:$H$20,MATCH(A99,'보유'!$B$11:$B$20,0))="","",INDEX('보유'!$H$11:$H$20,MATCH(A99,'보유'!$B$11:$B$20,0))),""))</f>
        <v/>
      </c>
      <c r="O99">
        <f>IF(ISNUMBER(N99),IF(OR(NOT(ISNUMBER(H99)),H99&lt;N99),1,0),0)</f>
        <v/>
      </c>
    </row>
    <row r="100">
      <c r="A100" s="18" t="n"/>
      <c r="B100" s="19" t="n"/>
      <c r="C100" s="19" t="n"/>
      <c r="D100" s="19" t="n"/>
      <c r="E100" s="19" t="n"/>
      <c r="F100" s="19" t="n"/>
      <c r="G100" s="19" t="n"/>
      <c r="H100" s="16" t="n"/>
      <c r="I100" s="19" t="n"/>
      <c r="J100" s="19" t="n"/>
      <c r="K100">
        <f>IF(A100="","",IF(L100=1,"근거·무너짐 기준을 채우세요",IF(M100=1,"핵심 이유 무너짐 → 매도 검토",IF(O100=1,"실적 발표 뒤 점검 필요",""))))</f>
        <v/>
      </c>
      <c r="L100">
        <f>IF(AND(A100&lt;&gt;"",OR(F100="",G100="")),1,0)</f>
        <v/>
      </c>
      <c r="M100">
        <f>IF(AND(A100&lt;&gt;"",E100="Y",I100="무너짐"),1,0)</f>
        <v/>
      </c>
      <c r="N100">
        <f>IF(A100="","",IFERROR(IF(INDEX('보유'!$H$11:$H$20,MATCH(A100,'보유'!$B$11:$B$20,0))="","",INDEX('보유'!$H$11:$H$20,MATCH(A100,'보유'!$B$11:$B$20,0))),""))</f>
        <v/>
      </c>
      <c r="O100">
        <f>IF(ISNUMBER(N100),IF(OR(NOT(ISNUMBER(H100)),H100&lt;N100),1,0),0)</f>
        <v/>
      </c>
    </row>
    <row r="101">
      <c r="A101" s="18" t="n"/>
      <c r="B101" s="19" t="n"/>
      <c r="C101" s="19" t="n"/>
      <c r="D101" s="19" t="n"/>
      <c r="E101" s="19" t="n"/>
      <c r="F101" s="19" t="n"/>
      <c r="G101" s="19" t="n"/>
      <c r="H101" s="16" t="n"/>
      <c r="I101" s="19" t="n"/>
      <c r="J101" s="19" t="n"/>
      <c r="K101">
        <f>IF(A101="","",IF(L101=1,"근거·무너짐 기준을 채우세요",IF(M101=1,"핵심 이유 무너짐 → 매도 검토",IF(O101=1,"실적 발표 뒤 점검 필요",""))))</f>
        <v/>
      </c>
      <c r="L101">
        <f>IF(AND(A101&lt;&gt;"",OR(F101="",G101="")),1,0)</f>
        <v/>
      </c>
      <c r="M101">
        <f>IF(AND(A101&lt;&gt;"",E101="Y",I101="무너짐"),1,0)</f>
        <v/>
      </c>
      <c r="N101">
        <f>IF(A101="","",IFERROR(IF(INDEX('보유'!$H$11:$H$20,MATCH(A101,'보유'!$B$11:$B$20,0))="","",INDEX('보유'!$H$11:$H$20,MATCH(A101,'보유'!$B$11:$B$20,0))),""))</f>
        <v/>
      </c>
      <c r="O101">
        <f>IF(ISNUMBER(N101),IF(OR(NOT(ISNUMBER(H101)),H101&lt;N101),1,0),0)</f>
        <v/>
      </c>
    </row>
    <row r="102">
      <c r="A102" s="18" t="n"/>
      <c r="B102" s="19" t="n"/>
      <c r="C102" s="19" t="n"/>
      <c r="D102" s="19" t="n"/>
      <c r="E102" s="19" t="n"/>
      <c r="F102" s="19" t="n"/>
      <c r="G102" s="19" t="n"/>
      <c r="H102" s="16" t="n"/>
      <c r="I102" s="19" t="n"/>
      <c r="J102" s="19" t="n"/>
      <c r="K102">
        <f>IF(A102="","",IF(L102=1,"근거·무너짐 기준을 채우세요",IF(M102=1,"핵심 이유 무너짐 → 매도 검토",IF(O102=1,"실적 발표 뒤 점검 필요",""))))</f>
        <v/>
      </c>
      <c r="L102">
        <f>IF(AND(A102&lt;&gt;"",OR(F102="",G102="")),1,0)</f>
        <v/>
      </c>
      <c r="M102">
        <f>IF(AND(A102&lt;&gt;"",E102="Y",I102="무너짐"),1,0)</f>
        <v/>
      </c>
      <c r="N102">
        <f>IF(A102="","",IFERROR(IF(INDEX('보유'!$H$11:$H$20,MATCH(A102,'보유'!$B$11:$B$20,0))="","",INDEX('보유'!$H$11:$H$20,MATCH(A102,'보유'!$B$11:$B$20,0))),""))</f>
        <v/>
      </c>
      <c r="O102">
        <f>IF(ISNUMBER(N102),IF(OR(NOT(ISNUMBER(H102)),H102&lt;N102),1,0),0)</f>
        <v/>
      </c>
    </row>
    <row r="103">
      <c r="A103" s="18" t="n"/>
      <c r="B103" s="19" t="n"/>
      <c r="C103" s="19" t="n"/>
      <c r="D103" s="19" t="n"/>
      <c r="E103" s="19" t="n"/>
      <c r="F103" s="19" t="n"/>
      <c r="G103" s="19" t="n"/>
      <c r="H103" s="16" t="n"/>
      <c r="I103" s="19" t="n"/>
      <c r="J103" s="19" t="n"/>
      <c r="K103">
        <f>IF(A103="","",IF(L103=1,"근거·무너짐 기준을 채우세요",IF(M103=1,"핵심 이유 무너짐 → 매도 검토",IF(O103=1,"실적 발표 뒤 점검 필요",""))))</f>
        <v/>
      </c>
      <c r="L103">
        <f>IF(AND(A103&lt;&gt;"",OR(F103="",G103="")),1,0)</f>
        <v/>
      </c>
      <c r="M103">
        <f>IF(AND(A103&lt;&gt;"",E103="Y",I103="무너짐"),1,0)</f>
        <v/>
      </c>
      <c r="N103">
        <f>IF(A103="","",IFERROR(IF(INDEX('보유'!$H$11:$H$20,MATCH(A103,'보유'!$B$11:$B$20,0))="","",INDEX('보유'!$H$11:$H$20,MATCH(A103,'보유'!$B$11:$B$20,0))),""))</f>
        <v/>
      </c>
      <c r="O103">
        <f>IF(ISNUMBER(N103),IF(OR(NOT(ISNUMBER(H103)),H103&lt;N103),1,0),0)</f>
        <v/>
      </c>
    </row>
    <row r="104">
      <c r="A104" s="18" t="n"/>
      <c r="B104" s="19" t="n"/>
      <c r="C104" s="19" t="n"/>
      <c r="D104" s="19" t="n"/>
      <c r="E104" s="19" t="n"/>
      <c r="F104" s="19" t="n"/>
      <c r="G104" s="19" t="n"/>
      <c r="H104" s="16" t="n"/>
      <c r="I104" s="19" t="n"/>
      <c r="J104" s="19" t="n"/>
      <c r="K104">
        <f>IF(A104="","",IF(L104=1,"근거·무너짐 기준을 채우세요",IF(M104=1,"핵심 이유 무너짐 → 매도 검토",IF(O104=1,"실적 발표 뒤 점검 필요",""))))</f>
        <v/>
      </c>
      <c r="L104">
        <f>IF(AND(A104&lt;&gt;"",OR(F104="",G104="")),1,0)</f>
        <v/>
      </c>
      <c r="M104">
        <f>IF(AND(A104&lt;&gt;"",E104="Y",I104="무너짐"),1,0)</f>
        <v/>
      </c>
      <c r="N104">
        <f>IF(A104="","",IFERROR(IF(INDEX('보유'!$H$11:$H$20,MATCH(A104,'보유'!$B$11:$B$20,0))="","",INDEX('보유'!$H$11:$H$20,MATCH(A104,'보유'!$B$11:$B$20,0))),""))</f>
        <v/>
      </c>
      <c r="O104">
        <f>IF(ISNUMBER(N104),IF(OR(NOT(ISNUMBER(H104)),H104&lt;N104),1,0),0)</f>
        <v/>
      </c>
    </row>
    <row r="105">
      <c r="A105" s="18" t="n"/>
      <c r="B105" s="19" t="n"/>
      <c r="C105" s="19" t="n"/>
      <c r="D105" s="19" t="n"/>
      <c r="E105" s="19" t="n"/>
      <c r="F105" s="19" t="n"/>
      <c r="G105" s="19" t="n"/>
      <c r="H105" s="16" t="n"/>
      <c r="I105" s="19" t="n"/>
      <c r="J105" s="19" t="n"/>
      <c r="K105">
        <f>IF(A105="","",IF(L105=1,"근거·무너짐 기준을 채우세요",IF(M105=1,"핵심 이유 무너짐 → 매도 검토",IF(O105=1,"실적 발표 뒤 점검 필요",""))))</f>
        <v/>
      </c>
      <c r="L105">
        <f>IF(AND(A105&lt;&gt;"",OR(F105="",G105="")),1,0)</f>
        <v/>
      </c>
      <c r="M105">
        <f>IF(AND(A105&lt;&gt;"",E105="Y",I105="무너짐"),1,0)</f>
        <v/>
      </c>
      <c r="N105">
        <f>IF(A105="","",IFERROR(IF(INDEX('보유'!$H$11:$H$20,MATCH(A105,'보유'!$B$11:$B$20,0))="","",INDEX('보유'!$H$11:$H$20,MATCH(A105,'보유'!$B$11:$B$20,0))),""))</f>
        <v/>
      </c>
      <c r="O105">
        <f>IF(ISNUMBER(N105),IF(OR(NOT(ISNUMBER(H105)),H105&lt;N105),1,0),0)</f>
        <v/>
      </c>
    </row>
    <row r="106">
      <c r="A106" s="18" t="n"/>
      <c r="B106" s="19" t="n"/>
      <c r="C106" s="19" t="n"/>
      <c r="D106" s="19" t="n"/>
      <c r="E106" s="19" t="n"/>
      <c r="F106" s="19" t="n"/>
      <c r="G106" s="19" t="n"/>
      <c r="H106" s="16" t="n"/>
      <c r="I106" s="19" t="n"/>
      <c r="J106" s="19" t="n"/>
      <c r="K106">
        <f>IF(A106="","",IF(L106=1,"근거·무너짐 기준을 채우세요",IF(M106=1,"핵심 이유 무너짐 → 매도 검토",IF(O106=1,"실적 발표 뒤 점검 필요",""))))</f>
        <v/>
      </c>
      <c r="L106">
        <f>IF(AND(A106&lt;&gt;"",OR(F106="",G106="")),1,0)</f>
        <v/>
      </c>
      <c r="M106">
        <f>IF(AND(A106&lt;&gt;"",E106="Y",I106="무너짐"),1,0)</f>
        <v/>
      </c>
      <c r="N106">
        <f>IF(A106="","",IFERROR(IF(INDEX('보유'!$H$11:$H$20,MATCH(A106,'보유'!$B$11:$B$20,0))="","",INDEX('보유'!$H$11:$H$20,MATCH(A106,'보유'!$B$11:$B$20,0))),""))</f>
        <v/>
      </c>
      <c r="O106">
        <f>IF(ISNUMBER(N106),IF(OR(NOT(ISNUMBER(H106)),H106&lt;N106),1,0),0)</f>
        <v/>
      </c>
    </row>
    <row r="107">
      <c r="A107" s="18" t="n"/>
      <c r="B107" s="19" t="n"/>
      <c r="C107" s="19" t="n"/>
      <c r="D107" s="19" t="n"/>
      <c r="E107" s="19" t="n"/>
      <c r="F107" s="19" t="n"/>
      <c r="G107" s="19" t="n"/>
      <c r="H107" s="16" t="n"/>
      <c r="I107" s="19" t="n"/>
      <c r="J107" s="19" t="n"/>
      <c r="K107">
        <f>IF(A107="","",IF(L107=1,"근거·무너짐 기준을 채우세요",IF(M107=1,"핵심 이유 무너짐 → 매도 검토",IF(O107=1,"실적 발표 뒤 점검 필요",""))))</f>
        <v/>
      </c>
      <c r="L107">
        <f>IF(AND(A107&lt;&gt;"",OR(F107="",G107="")),1,0)</f>
        <v/>
      </c>
      <c r="M107">
        <f>IF(AND(A107&lt;&gt;"",E107="Y",I107="무너짐"),1,0)</f>
        <v/>
      </c>
      <c r="N107">
        <f>IF(A107="","",IFERROR(IF(INDEX('보유'!$H$11:$H$20,MATCH(A107,'보유'!$B$11:$B$20,0))="","",INDEX('보유'!$H$11:$H$20,MATCH(A107,'보유'!$B$11:$B$20,0))),""))</f>
        <v/>
      </c>
      <c r="O107">
        <f>IF(ISNUMBER(N107),IF(OR(NOT(ISNUMBER(H107)),H107&lt;N107),1,0),0)</f>
        <v/>
      </c>
    </row>
    <row r="108">
      <c r="A108" s="18" t="n"/>
      <c r="B108" s="19" t="n"/>
      <c r="C108" s="19" t="n"/>
      <c r="D108" s="19" t="n"/>
      <c r="E108" s="19" t="n"/>
      <c r="F108" s="19" t="n"/>
      <c r="G108" s="19" t="n"/>
      <c r="H108" s="16" t="n"/>
      <c r="I108" s="19" t="n"/>
      <c r="J108" s="19" t="n"/>
      <c r="K108">
        <f>IF(A108="","",IF(L108=1,"근거·무너짐 기준을 채우세요",IF(M108=1,"핵심 이유 무너짐 → 매도 검토",IF(O108=1,"실적 발표 뒤 점검 필요",""))))</f>
        <v/>
      </c>
      <c r="L108">
        <f>IF(AND(A108&lt;&gt;"",OR(F108="",G108="")),1,0)</f>
        <v/>
      </c>
      <c r="M108">
        <f>IF(AND(A108&lt;&gt;"",E108="Y",I108="무너짐"),1,0)</f>
        <v/>
      </c>
      <c r="N108">
        <f>IF(A108="","",IFERROR(IF(INDEX('보유'!$H$11:$H$20,MATCH(A108,'보유'!$B$11:$B$20,0))="","",INDEX('보유'!$H$11:$H$20,MATCH(A108,'보유'!$B$11:$B$20,0))),""))</f>
        <v/>
      </c>
      <c r="O108">
        <f>IF(ISNUMBER(N108),IF(OR(NOT(ISNUMBER(H108)),H108&lt;N108),1,0),0)</f>
        <v/>
      </c>
    </row>
    <row r="109">
      <c r="A109" s="18" t="n"/>
      <c r="B109" s="19" t="n"/>
      <c r="C109" s="19" t="n"/>
      <c r="D109" s="19" t="n"/>
      <c r="E109" s="19" t="n"/>
      <c r="F109" s="19" t="n"/>
      <c r="G109" s="19" t="n"/>
      <c r="H109" s="16" t="n"/>
      <c r="I109" s="19" t="n"/>
      <c r="J109" s="19" t="n"/>
      <c r="K109">
        <f>IF(A109="","",IF(L109=1,"근거·무너짐 기준을 채우세요",IF(M109=1,"핵심 이유 무너짐 → 매도 검토",IF(O109=1,"실적 발표 뒤 점검 필요",""))))</f>
        <v/>
      </c>
      <c r="L109">
        <f>IF(AND(A109&lt;&gt;"",OR(F109="",G109="")),1,0)</f>
        <v/>
      </c>
      <c r="M109">
        <f>IF(AND(A109&lt;&gt;"",E109="Y",I109="무너짐"),1,0)</f>
        <v/>
      </c>
      <c r="N109">
        <f>IF(A109="","",IFERROR(IF(INDEX('보유'!$H$11:$H$20,MATCH(A109,'보유'!$B$11:$B$20,0))="","",INDEX('보유'!$H$11:$H$20,MATCH(A109,'보유'!$B$11:$B$20,0))),""))</f>
        <v/>
      </c>
      <c r="O109">
        <f>IF(ISNUMBER(N109),IF(OR(NOT(ISNUMBER(H109)),H109&lt;N109),1,0),0)</f>
        <v/>
      </c>
    </row>
    <row r="110">
      <c r="A110" s="18" t="n"/>
      <c r="B110" s="19" t="n"/>
      <c r="C110" s="19" t="n"/>
      <c r="D110" s="19" t="n"/>
      <c r="E110" s="19" t="n"/>
      <c r="F110" s="19" t="n"/>
      <c r="G110" s="19" t="n"/>
      <c r="H110" s="16" t="n"/>
      <c r="I110" s="19" t="n"/>
      <c r="J110" s="19" t="n"/>
      <c r="K110">
        <f>IF(A110="","",IF(L110=1,"근거·무너짐 기준을 채우세요",IF(M110=1,"핵심 이유 무너짐 → 매도 검토",IF(O110=1,"실적 발표 뒤 점검 필요",""))))</f>
        <v/>
      </c>
      <c r="L110">
        <f>IF(AND(A110&lt;&gt;"",OR(F110="",G110="")),1,0)</f>
        <v/>
      </c>
      <c r="M110">
        <f>IF(AND(A110&lt;&gt;"",E110="Y",I110="무너짐"),1,0)</f>
        <v/>
      </c>
      <c r="N110">
        <f>IF(A110="","",IFERROR(IF(INDEX('보유'!$H$11:$H$20,MATCH(A110,'보유'!$B$11:$B$20,0))="","",INDEX('보유'!$H$11:$H$20,MATCH(A110,'보유'!$B$11:$B$20,0))),""))</f>
        <v/>
      </c>
      <c r="O110">
        <f>IF(ISNUMBER(N110),IF(OR(NOT(ISNUMBER(H110)),H110&lt;N110),1,0),0)</f>
        <v/>
      </c>
    </row>
    <row r="111">
      <c r="A111" s="18" t="n"/>
      <c r="B111" s="19" t="n"/>
      <c r="C111" s="19" t="n"/>
      <c r="D111" s="19" t="n"/>
      <c r="E111" s="19" t="n"/>
      <c r="F111" s="19" t="n"/>
      <c r="G111" s="19" t="n"/>
      <c r="H111" s="16" t="n"/>
      <c r="I111" s="19" t="n"/>
      <c r="J111" s="19" t="n"/>
      <c r="K111">
        <f>IF(A111="","",IF(L111=1,"근거·무너짐 기준을 채우세요",IF(M111=1,"핵심 이유 무너짐 → 매도 검토",IF(O111=1,"실적 발표 뒤 점검 필요",""))))</f>
        <v/>
      </c>
      <c r="L111">
        <f>IF(AND(A111&lt;&gt;"",OR(F111="",G111="")),1,0)</f>
        <v/>
      </c>
      <c r="M111">
        <f>IF(AND(A111&lt;&gt;"",E111="Y",I111="무너짐"),1,0)</f>
        <v/>
      </c>
      <c r="N111">
        <f>IF(A111="","",IFERROR(IF(INDEX('보유'!$H$11:$H$20,MATCH(A111,'보유'!$B$11:$B$20,0))="","",INDEX('보유'!$H$11:$H$20,MATCH(A111,'보유'!$B$11:$B$20,0))),""))</f>
        <v/>
      </c>
      <c r="O111">
        <f>IF(ISNUMBER(N111),IF(OR(NOT(ISNUMBER(H111)),H111&lt;N111),1,0),0)</f>
        <v/>
      </c>
    </row>
    <row r="112">
      <c r="A112" s="18" t="n"/>
      <c r="B112" s="19" t="n"/>
      <c r="C112" s="19" t="n"/>
      <c r="D112" s="19" t="n"/>
      <c r="E112" s="19" t="n"/>
      <c r="F112" s="19" t="n"/>
      <c r="G112" s="19" t="n"/>
      <c r="H112" s="16" t="n"/>
      <c r="I112" s="19" t="n"/>
      <c r="J112" s="19" t="n"/>
      <c r="K112">
        <f>IF(A112="","",IF(L112=1,"근거·무너짐 기준을 채우세요",IF(M112=1,"핵심 이유 무너짐 → 매도 검토",IF(O112=1,"실적 발표 뒤 점검 필요",""))))</f>
        <v/>
      </c>
      <c r="L112">
        <f>IF(AND(A112&lt;&gt;"",OR(F112="",G112="")),1,0)</f>
        <v/>
      </c>
      <c r="M112">
        <f>IF(AND(A112&lt;&gt;"",E112="Y",I112="무너짐"),1,0)</f>
        <v/>
      </c>
      <c r="N112">
        <f>IF(A112="","",IFERROR(IF(INDEX('보유'!$H$11:$H$20,MATCH(A112,'보유'!$B$11:$B$20,0))="","",INDEX('보유'!$H$11:$H$20,MATCH(A112,'보유'!$B$11:$B$20,0))),""))</f>
        <v/>
      </c>
      <c r="O112">
        <f>IF(ISNUMBER(N112),IF(OR(NOT(ISNUMBER(H112)),H112&lt;N112),1,0),0)</f>
        <v/>
      </c>
    </row>
    <row r="113">
      <c r="A113" s="18" t="n"/>
      <c r="B113" s="19" t="n"/>
      <c r="C113" s="19" t="n"/>
      <c r="D113" s="19" t="n"/>
      <c r="E113" s="19" t="n"/>
      <c r="F113" s="19" t="n"/>
      <c r="G113" s="19" t="n"/>
      <c r="H113" s="16" t="n"/>
      <c r="I113" s="19" t="n"/>
      <c r="J113" s="19" t="n"/>
      <c r="K113">
        <f>IF(A113="","",IF(L113=1,"근거·무너짐 기준을 채우세요",IF(M113=1,"핵심 이유 무너짐 → 매도 검토",IF(O113=1,"실적 발표 뒤 점검 필요",""))))</f>
        <v/>
      </c>
      <c r="L113">
        <f>IF(AND(A113&lt;&gt;"",OR(F113="",G113="")),1,0)</f>
        <v/>
      </c>
      <c r="M113">
        <f>IF(AND(A113&lt;&gt;"",E113="Y",I113="무너짐"),1,0)</f>
        <v/>
      </c>
      <c r="N113">
        <f>IF(A113="","",IFERROR(IF(INDEX('보유'!$H$11:$H$20,MATCH(A113,'보유'!$B$11:$B$20,0))="","",INDEX('보유'!$H$11:$H$20,MATCH(A113,'보유'!$B$11:$B$20,0))),""))</f>
        <v/>
      </c>
      <c r="O113">
        <f>IF(ISNUMBER(N113),IF(OR(NOT(ISNUMBER(H113)),H113&lt;N113),1,0),0)</f>
        <v/>
      </c>
    </row>
    <row r="114">
      <c r="A114" s="18" t="n"/>
      <c r="B114" s="19" t="n"/>
      <c r="C114" s="19" t="n"/>
      <c r="D114" s="19" t="n"/>
      <c r="E114" s="19" t="n"/>
      <c r="F114" s="19" t="n"/>
      <c r="G114" s="19" t="n"/>
      <c r="H114" s="16" t="n"/>
      <c r="I114" s="19" t="n"/>
      <c r="J114" s="19" t="n"/>
      <c r="K114">
        <f>IF(A114="","",IF(L114=1,"근거·무너짐 기준을 채우세요",IF(M114=1,"핵심 이유 무너짐 → 매도 검토",IF(O114=1,"실적 발표 뒤 점검 필요",""))))</f>
        <v/>
      </c>
      <c r="L114">
        <f>IF(AND(A114&lt;&gt;"",OR(F114="",G114="")),1,0)</f>
        <v/>
      </c>
      <c r="M114">
        <f>IF(AND(A114&lt;&gt;"",E114="Y",I114="무너짐"),1,0)</f>
        <v/>
      </c>
      <c r="N114">
        <f>IF(A114="","",IFERROR(IF(INDEX('보유'!$H$11:$H$20,MATCH(A114,'보유'!$B$11:$B$20,0))="","",INDEX('보유'!$H$11:$H$20,MATCH(A114,'보유'!$B$11:$B$20,0))),""))</f>
        <v/>
      </c>
      <c r="O114">
        <f>IF(ISNUMBER(N114),IF(OR(NOT(ISNUMBER(H114)),H114&lt;N114),1,0),0)</f>
        <v/>
      </c>
    </row>
    <row r="115">
      <c r="A115" s="18" t="n"/>
      <c r="B115" s="19" t="n"/>
      <c r="C115" s="19" t="n"/>
      <c r="D115" s="19" t="n"/>
      <c r="E115" s="19" t="n"/>
      <c r="F115" s="19" t="n"/>
      <c r="G115" s="19" t="n"/>
      <c r="H115" s="16" t="n"/>
      <c r="I115" s="19" t="n"/>
      <c r="J115" s="19" t="n"/>
      <c r="K115">
        <f>IF(A115="","",IF(L115=1,"근거·무너짐 기준을 채우세요",IF(M115=1,"핵심 이유 무너짐 → 매도 검토",IF(O115=1,"실적 발표 뒤 점검 필요",""))))</f>
        <v/>
      </c>
      <c r="L115">
        <f>IF(AND(A115&lt;&gt;"",OR(F115="",G115="")),1,0)</f>
        <v/>
      </c>
      <c r="M115">
        <f>IF(AND(A115&lt;&gt;"",E115="Y",I115="무너짐"),1,0)</f>
        <v/>
      </c>
      <c r="N115">
        <f>IF(A115="","",IFERROR(IF(INDEX('보유'!$H$11:$H$20,MATCH(A115,'보유'!$B$11:$B$20,0))="","",INDEX('보유'!$H$11:$H$20,MATCH(A115,'보유'!$B$11:$B$20,0))),""))</f>
        <v/>
      </c>
      <c r="O115">
        <f>IF(ISNUMBER(N115),IF(OR(NOT(ISNUMBER(H115)),H115&lt;N115),1,0),0)</f>
        <v/>
      </c>
    </row>
    <row r="116">
      <c r="A116" s="18" t="n"/>
      <c r="B116" s="19" t="n"/>
      <c r="C116" s="19" t="n"/>
      <c r="D116" s="19" t="n"/>
      <c r="E116" s="19" t="n"/>
      <c r="F116" s="19" t="n"/>
      <c r="G116" s="19" t="n"/>
      <c r="H116" s="16" t="n"/>
      <c r="I116" s="19" t="n"/>
      <c r="J116" s="19" t="n"/>
      <c r="K116">
        <f>IF(A116="","",IF(L116=1,"근거·무너짐 기준을 채우세요",IF(M116=1,"핵심 이유 무너짐 → 매도 검토",IF(O116=1,"실적 발표 뒤 점검 필요",""))))</f>
        <v/>
      </c>
      <c r="L116">
        <f>IF(AND(A116&lt;&gt;"",OR(F116="",G116="")),1,0)</f>
        <v/>
      </c>
      <c r="M116">
        <f>IF(AND(A116&lt;&gt;"",E116="Y",I116="무너짐"),1,0)</f>
        <v/>
      </c>
      <c r="N116">
        <f>IF(A116="","",IFERROR(IF(INDEX('보유'!$H$11:$H$20,MATCH(A116,'보유'!$B$11:$B$20,0))="","",INDEX('보유'!$H$11:$H$20,MATCH(A116,'보유'!$B$11:$B$20,0))),""))</f>
        <v/>
      </c>
      <c r="O116">
        <f>IF(ISNUMBER(N116),IF(OR(NOT(ISNUMBER(H116)),H116&lt;N116),1,0),0)</f>
        <v/>
      </c>
    </row>
    <row r="117">
      <c r="A117" s="18" t="n"/>
      <c r="B117" s="19" t="n"/>
      <c r="C117" s="19" t="n"/>
      <c r="D117" s="19" t="n"/>
      <c r="E117" s="19" t="n"/>
      <c r="F117" s="19" t="n"/>
      <c r="G117" s="19" t="n"/>
      <c r="H117" s="16" t="n"/>
      <c r="I117" s="19" t="n"/>
      <c r="J117" s="19" t="n"/>
      <c r="K117">
        <f>IF(A117="","",IF(L117=1,"근거·무너짐 기준을 채우세요",IF(M117=1,"핵심 이유 무너짐 → 매도 검토",IF(O117=1,"실적 발표 뒤 점검 필요",""))))</f>
        <v/>
      </c>
      <c r="L117">
        <f>IF(AND(A117&lt;&gt;"",OR(F117="",G117="")),1,0)</f>
        <v/>
      </c>
      <c r="M117">
        <f>IF(AND(A117&lt;&gt;"",E117="Y",I117="무너짐"),1,0)</f>
        <v/>
      </c>
      <c r="N117">
        <f>IF(A117="","",IFERROR(IF(INDEX('보유'!$H$11:$H$20,MATCH(A117,'보유'!$B$11:$B$20,0))="","",INDEX('보유'!$H$11:$H$20,MATCH(A117,'보유'!$B$11:$B$20,0))),""))</f>
        <v/>
      </c>
      <c r="O117">
        <f>IF(ISNUMBER(N117),IF(OR(NOT(ISNUMBER(H117)),H117&lt;N117),1,0),0)</f>
        <v/>
      </c>
    </row>
    <row r="118">
      <c r="A118" s="18" t="n"/>
      <c r="B118" s="19" t="n"/>
      <c r="C118" s="19" t="n"/>
      <c r="D118" s="19" t="n"/>
      <c r="E118" s="19" t="n"/>
      <c r="F118" s="19" t="n"/>
      <c r="G118" s="19" t="n"/>
      <c r="H118" s="16" t="n"/>
      <c r="I118" s="19" t="n"/>
      <c r="J118" s="19" t="n"/>
      <c r="K118">
        <f>IF(A118="","",IF(L118=1,"근거·무너짐 기준을 채우세요",IF(M118=1,"핵심 이유 무너짐 → 매도 검토",IF(O118=1,"실적 발표 뒤 점검 필요",""))))</f>
        <v/>
      </c>
      <c r="L118">
        <f>IF(AND(A118&lt;&gt;"",OR(F118="",G118="")),1,0)</f>
        <v/>
      </c>
      <c r="M118">
        <f>IF(AND(A118&lt;&gt;"",E118="Y",I118="무너짐"),1,0)</f>
        <v/>
      </c>
      <c r="N118">
        <f>IF(A118="","",IFERROR(IF(INDEX('보유'!$H$11:$H$20,MATCH(A118,'보유'!$B$11:$B$20,0))="","",INDEX('보유'!$H$11:$H$20,MATCH(A118,'보유'!$B$11:$B$20,0))),""))</f>
        <v/>
      </c>
      <c r="O118">
        <f>IF(ISNUMBER(N118),IF(OR(NOT(ISNUMBER(H118)),H118&lt;N118),1,0),0)</f>
        <v/>
      </c>
    </row>
    <row r="119">
      <c r="A119" s="18" t="n"/>
      <c r="B119" s="19" t="n"/>
      <c r="C119" s="19" t="n"/>
      <c r="D119" s="19" t="n"/>
      <c r="E119" s="19" t="n"/>
      <c r="F119" s="19" t="n"/>
      <c r="G119" s="19" t="n"/>
      <c r="H119" s="16" t="n"/>
      <c r="I119" s="19" t="n"/>
      <c r="J119" s="19" t="n"/>
      <c r="K119">
        <f>IF(A119="","",IF(L119=1,"근거·무너짐 기준을 채우세요",IF(M119=1,"핵심 이유 무너짐 → 매도 검토",IF(O119=1,"실적 발표 뒤 점검 필요",""))))</f>
        <v/>
      </c>
      <c r="L119">
        <f>IF(AND(A119&lt;&gt;"",OR(F119="",G119="")),1,0)</f>
        <v/>
      </c>
      <c r="M119">
        <f>IF(AND(A119&lt;&gt;"",E119="Y",I119="무너짐"),1,0)</f>
        <v/>
      </c>
      <c r="N119">
        <f>IF(A119="","",IFERROR(IF(INDEX('보유'!$H$11:$H$20,MATCH(A119,'보유'!$B$11:$B$20,0))="","",INDEX('보유'!$H$11:$H$20,MATCH(A119,'보유'!$B$11:$B$20,0))),""))</f>
        <v/>
      </c>
      <c r="O119">
        <f>IF(ISNUMBER(N119),IF(OR(NOT(ISNUMBER(H119)),H119&lt;N119),1,0),0)</f>
        <v/>
      </c>
    </row>
    <row r="120">
      <c r="A120" s="18" t="n"/>
      <c r="B120" s="19" t="n"/>
      <c r="C120" s="19" t="n"/>
      <c r="D120" s="19" t="n"/>
      <c r="E120" s="19" t="n"/>
      <c r="F120" s="19" t="n"/>
      <c r="G120" s="19" t="n"/>
      <c r="H120" s="16" t="n"/>
      <c r="I120" s="19" t="n"/>
      <c r="J120" s="19" t="n"/>
      <c r="K120">
        <f>IF(A120="","",IF(L120=1,"근거·무너짐 기준을 채우세요",IF(M120=1,"핵심 이유 무너짐 → 매도 검토",IF(O120=1,"실적 발표 뒤 점검 필요",""))))</f>
        <v/>
      </c>
      <c r="L120">
        <f>IF(AND(A120&lt;&gt;"",OR(F120="",G120="")),1,0)</f>
        <v/>
      </c>
      <c r="M120">
        <f>IF(AND(A120&lt;&gt;"",E120="Y",I120="무너짐"),1,0)</f>
        <v/>
      </c>
      <c r="N120">
        <f>IF(A120="","",IFERROR(IF(INDEX('보유'!$H$11:$H$20,MATCH(A120,'보유'!$B$11:$B$20,0))="","",INDEX('보유'!$H$11:$H$20,MATCH(A120,'보유'!$B$11:$B$20,0))),""))</f>
        <v/>
      </c>
      <c r="O120">
        <f>IF(ISNUMBER(N120),IF(OR(NOT(ISNUMBER(H120)),H120&lt;N120),1,0),0)</f>
        <v/>
      </c>
    </row>
    <row r="121">
      <c r="A121" s="18" t="n"/>
      <c r="B121" s="19" t="n"/>
      <c r="C121" s="19" t="n"/>
      <c r="D121" s="19" t="n"/>
      <c r="E121" s="19" t="n"/>
      <c r="F121" s="19" t="n"/>
      <c r="G121" s="19" t="n"/>
      <c r="H121" s="16" t="n"/>
      <c r="I121" s="19" t="n"/>
      <c r="J121" s="19" t="n"/>
      <c r="K121">
        <f>IF(A121="","",IF(L121=1,"근거·무너짐 기준을 채우세요",IF(M121=1,"핵심 이유 무너짐 → 매도 검토",IF(O121=1,"실적 발표 뒤 점검 필요",""))))</f>
        <v/>
      </c>
      <c r="L121">
        <f>IF(AND(A121&lt;&gt;"",OR(F121="",G121="")),1,0)</f>
        <v/>
      </c>
      <c r="M121">
        <f>IF(AND(A121&lt;&gt;"",E121="Y",I121="무너짐"),1,0)</f>
        <v/>
      </c>
      <c r="N121">
        <f>IF(A121="","",IFERROR(IF(INDEX('보유'!$H$11:$H$20,MATCH(A121,'보유'!$B$11:$B$20,0))="","",INDEX('보유'!$H$11:$H$20,MATCH(A121,'보유'!$B$11:$B$20,0))),""))</f>
        <v/>
      </c>
      <c r="O121">
        <f>IF(ISNUMBER(N121),IF(OR(NOT(ISNUMBER(H121)),H121&lt;N121),1,0),0)</f>
        <v/>
      </c>
    </row>
    <row r="122">
      <c r="A122" s="18" t="n"/>
      <c r="B122" s="19" t="n"/>
      <c r="C122" s="19" t="n"/>
      <c r="D122" s="19" t="n"/>
      <c r="E122" s="19" t="n"/>
      <c r="F122" s="19" t="n"/>
      <c r="G122" s="19" t="n"/>
      <c r="H122" s="16" t="n"/>
      <c r="I122" s="19" t="n"/>
      <c r="J122" s="19" t="n"/>
      <c r="K122">
        <f>IF(A122="","",IF(L122=1,"근거·무너짐 기준을 채우세요",IF(M122=1,"핵심 이유 무너짐 → 매도 검토",IF(O122=1,"실적 발표 뒤 점검 필요",""))))</f>
        <v/>
      </c>
      <c r="L122">
        <f>IF(AND(A122&lt;&gt;"",OR(F122="",G122="")),1,0)</f>
        <v/>
      </c>
      <c r="M122">
        <f>IF(AND(A122&lt;&gt;"",E122="Y",I122="무너짐"),1,0)</f>
        <v/>
      </c>
      <c r="N122">
        <f>IF(A122="","",IFERROR(IF(INDEX('보유'!$H$11:$H$20,MATCH(A122,'보유'!$B$11:$B$20,0))="","",INDEX('보유'!$H$11:$H$20,MATCH(A122,'보유'!$B$11:$B$20,0))),""))</f>
        <v/>
      </c>
      <c r="O122">
        <f>IF(ISNUMBER(N122),IF(OR(NOT(ISNUMBER(H122)),H122&lt;N122),1,0),0)</f>
        <v/>
      </c>
    </row>
    <row r="123">
      <c r="A123" s="18" t="n"/>
      <c r="B123" s="19" t="n"/>
      <c r="C123" s="19" t="n"/>
      <c r="D123" s="19" t="n"/>
      <c r="E123" s="19" t="n"/>
      <c r="F123" s="19" t="n"/>
      <c r="G123" s="19" t="n"/>
      <c r="H123" s="16" t="n"/>
      <c r="I123" s="19" t="n"/>
      <c r="J123" s="19" t="n"/>
      <c r="K123">
        <f>IF(A123="","",IF(L123=1,"근거·무너짐 기준을 채우세요",IF(M123=1,"핵심 이유 무너짐 → 매도 검토",IF(O123=1,"실적 발표 뒤 점검 필요",""))))</f>
        <v/>
      </c>
      <c r="L123">
        <f>IF(AND(A123&lt;&gt;"",OR(F123="",G123="")),1,0)</f>
        <v/>
      </c>
      <c r="M123">
        <f>IF(AND(A123&lt;&gt;"",E123="Y",I123="무너짐"),1,0)</f>
        <v/>
      </c>
      <c r="N123">
        <f>IF(A123="","",IFERROR(IF(INDEX('보유'!$H$11:$H$20,MATCH(A123,'보유'!$B$11:$B$20,0))="","",INDEX('보유'!$H$11:$H$20,MATCH(A123,'보유'!$B$11:$B$20,0))),""))</f>
        <v/>
      </c>
      <c r="O123">
        <f>IF(ISNUMBER(N123),IF(OR(NOT(ISNUMBER(H123)),H123&lt;N123),1,0),0)</f>
        <v/>
      </c>
    </row>
    <row r="124">
      <c r="A124" s="18" t="n"/>
      <c r="B124" s="19" t="n"/>
      <c r="C124" s="19" t="n"/>
      <c r="D124" s="19" t="n"/>
      <c r="E124" s="19" t="n"/>
      <c r="F124" s="19" t="n"/>
      <c r="G124" s="19" t="n"/>
      <c r="H124" s="16" t="n"/>
      <c r="I124" s="19" t="n"/>
      <c r="J124" s="19" t="n"/>
      <c r="K124">
        <f>IF(A124="","",IF(L124=1,"근거·무너짐 기준을 채우세요",IF(M124=1,"핵심 이유 무너짐 → 매도 검토",IF(O124=1,"실적 발표 뒤 점검 필요",""))))</f>
        <v/>
      </c>
      <c r="L124">
        <f>IF(AND(A124&lt;&gt;"",OR(F124="",G124="")),1,0)</f>
        <v/>
      </c>
      <c r="M124">
        <f>IF(AND(A124&lt;&gt;"",E124="Y",I124="무너짐"),1,0)</f>
        <v/>
      </c>
      <c r="N124">
        <f>IF(A124="","",IFERROR(IF(INDEX('보유'!$H$11:$H$20,MATCH(A124,'보유'!$B$11:$B$20,0))="","",INDEX('보유'!$H$11:$H$20,MATCH(A124,'보유'!$B$11:$B$20,0))),""))</f>
        <v/>
      </c>
      <c r="O124">
        <f>IF(ISNUMBER(N124),IF(OR(NOT(ISNUMBER(H124)),H124&lt;N124),1,0),0)</f>
        <v/>
      </c>
    </row>
    <row r="125">
      <c r="A125" s="18" t="n"/>
      <c r="B125" s="19" t="n"/>
      <c r="C125" s="19" t="n"/>
      <c r="D125" s="19" t="n"/>
      <c r="E125" s="19" t="n"/>
      <c r="F125" s="19" t="n"/>
      <c r="G125" s="19" t="n"/>
      <c r="H125" s="16" t="n"/>
      <c r="I125" s="19" t="n"/>
      <c r="J125" s="19" t="n"/>
      <c r="K125">
        <f>IF(A125="","",IF(L125=1,"근거·무너짐 기준을 채우세요",IF(M125=1,"핵심 이유 무너짐 → 매도 검토",IF(O125=1,"실적 발표 뒤 점검 필요",""))))</f>
        <v/>
      </c>
      <c r="L125">
        <f>IF(AND(A125&lt;&gt;"",OR(F125="",G125="")),1,0)</f>
        <v/>
      </c>
      <c r="M125">
        <f>IF(AND(A125&lt;&gt;"",E125="Y",I125="무너짐"),1,0)</f>
        <v/>
      </c>
      <c r="N125">
        <f>IF(A125="","",IFERROR(IF(INDEX('보유'!$H$11:$H$20,MATCH(A125,'보유'!$B$11:$B$20,0))="","",INDEX('보유'!$H$11:$H$20,MATCH(A125,'보유'!$B$11:$B$20,0))),""))</f>
        <v/>
      </c>
      <c r="O125">
        <f>IF(ISNUMBER(N125),IF(OR(NOT(ISNUMBER(H125)),H125&lt;N125),1,0),0)</f>
        <v/>
      </c>
    </row>
    <row r="126">
      <c r="A126" s="18" t="n"/>
      <c r="B126" s="19" t="n"/>
      <c r="C126" s="19" t="n"/>
      <c r="D126" s="19" t="n"/>
      <c r="E126" s="19" t="n"/>
      <c r="F126" s="19" t="n"/>
      <c r="G126" s="19" t="n"/>
      <c r="H126" s="16" t="n"/>
      <c r="I126" s="19" t="n"/>
      <c r="J126" s="19" t="n"/>
      <c r="K126">
        <f>IF(A126="","",IF(L126=1,"근거·무너짐 기준을 채우세요",IF(M126=1,"핵심 이유 무너짐 → 매도 검토",IF(O126=1,"실적 발표 뒤 점검 필요",""))))</f>
        <v/>
      </c>
      <c r="L126">
        <f>IF(AND(A126&lt;&gt;"",OR(F126="",G126="")),1,0)</f>
        <v/>
      </c>
      <c r="M126">
        <f>IF(AND(A126&lt;&gt;"",E126="Y",I126="무너짐"),1,0)</f>
        <v/>
      </c>
      <c r="N126">
        <f>IF(A126="","",IFERROR(IF(INDEX('보유'!$H$11:$H$20,MATCH(A126,'보유'!$B$11:$B$20,0))="","",INDEX('보유'!$H$11:$H$20,MATCH(A126,'보유'!$B$11:$B$20,0))),""))</f>
        <v/>
      </c>
      <c r="O126">
        <f>IF(ISNUMBER(N126),IF(OR(NOT(ISNUMBER(H126)),H126&lt;N126),1,0),0)</f>
        <v/>
      </c>
    </row>
    <row r="127">
      <c r="A127" s="18" t="n"/>
      <c r="B127" s="19" t="n"/>
      <c r="C127" s="19" t="n"/>
      <c r="D127" s="19" t="n"/>
      <c r="E127" s="19" t="n"/>
      <c r="F127" s="19" t="n"/>
      <c r="G127" s="19" t="n"/>
      <c r="H127" s="16" t="n"/>
      <c r="I127" s="19" t="n"/>
      <c r="J127" s="19" t="n"/>
      <c r="K127">
        <f>IF(A127="","",IF(L127=1,"근거·무너짐 기준을 채우세요",IF(M127=1,"핵심 이유 무너짐 → 매도 검토",IF(O127=1,"실적 발표 뒤 점검 필요",""))))</f>
        <v/>
      </c>
      <c r="L127">
        <f>IF(AND(A127&lt;&gt;"",OR(F127="",G127="")),1,0)</f>
        <v/>
      </c>
      <c r="M127">
        <f>IF(AND(A127&lt;&gt;"",E127="Y",I127="무너짐"),1,0)</f>
        <v/>
      </c>
      <c r="N127">
        <f>IF(A127="","",IFERROR(IF(INDEX('보유'!$H$11:$H$20,MATCH(A127,'보유'!$B$11:$B$20,0))="","",INDEX('보유'!$H$11:$H$20,MATCH(A127,'보유'!$B$11:$B$20,0))),""))</f>
        <v/>
      </c>
      <c r="O127">
        <f>IF(ISNUMBER(N127),IF(OR(NOT(ISNUMBER(H127)),H127&lt;N127),1,0),0)</f>
        <v/>
      </c>
    </row>
    <row r="128">
      <c r="A128" s="18" t="n"/>
      <c r="B128" s="19" t="n"/>
      <c r="C128" s="19" t="n"/>
      <c r="D128" s="19" t="n"/>
      <c r="E128" s="19" t="n"/>
      <c r="F128" s="19" t="n"/>
      <c r="G128" s="19" t="n"/>
      <c r="H128" s="16" t="n"/>
      <c r="I128" s="19" t="n"/>
      <c r="J128" s="19" t="n"/>
      <c r="K128">
        <f>IF(A128="","",IF(L128=1,"근거·무너짐 기준을 채우세요",IF(M128=1,"핵심 이유 무너짐 → 매도 검토",IF(O128=1,"실적 발표 뒤 점검 필요",""))))</f>
        <v/>
      </c>
      <c r="L128">
        <f>IF(AND(A128&lt;&gt;"",OR(F128="",G128="")),1,0)</f>
        <v/>
      </c>
      <c r="M128">
        <f>IF(AND(A128&lt;&gt;"",E128="Y",I128="무너짐"),1,0)</f>
        <v/>
      </c>
      <c r="N128">
        <f>IF(A128="","",IFERROR(IF(INDEX('보유'!$H$11:$H$20,MATCH(A128,'보유'!$B$11:$B$20,0))="","",INDEX('보유'!$H$11:$H$20,MATCH(A128,'보유'!$B$11:$B$20,0))),""))</f>
        <v/>
      </c>
      <c r="O128">
        <f>IF(ISNUMBER(N128),IF(OR(NOT(ISNUMBER(H128)),H128&lt;N128),1,0),0)</f>
        <v/>
      </c>
    </row>
    <row r="129">
      <c r="A129" s="18" t="n"/>
      <c r="B129" s="19" t="n"/>
      <c r="C129" s="19" t="n"/>
      <c r="D129" s="19" t="n"/>
      <c r="E129" s="19" t="n"/>
      <c r="F129" s="19" t="n"/>
      <c r="G129" s="19" t="n"/>
      <c r="H129" s="16" t="n"/>
      <c r="I129" s="19" t="n"/>
      <c r="J129" s="19" t="n"/>
      <c r="K129">
        <f>IF(A129="","",IF(L129=1,"근거·무너짐 기준을 채우세요",IF(M129=1,"핵심 이유 무너짐 → 매도 검토",IF(O129=1,"실적 발표 뒤 점검 필요",""))))</f>
        <v/>
      </c>
      <c r="L129">
        <f>IF(AND(A129&lt;&gt;"",OR(F129="",G129="")),1,0)</f>
        <v/>
      </c>
      <c r="M129">
        <f>IF(AND(A129&lt;&gt;"",E129="Y",I129="무너짐"),1,0)</f>
        <v/>
      </c>
      <c r="N129">
        <f>IF(A129="","",IFERROR(IF(INDEX('보유'!$H$11:$H$20,MATCH(A129,'보유'!$B$11:$B$20,0))="","",INDEX('보유'!$H$11:$H$20,MATCH(A129,'보유'!$B$11:$B$20,0))),""))</f>
        <v/>
      </c>
      <c r="O129">
        <f>IF(ISNUMBER(N129),IF(OR(NOT(ISNUMBER(H129)),H129&lt;N129),1,0),0)</f>
        <v/>
      </c>
    </row>
    <row r="130">
      <c r="A130" s="18" t="n"/>
      <c r="B130" s="19" t="n"/>
      <c r="C130" s="19" t="n"/>
      <c r="D130" s="19" t="n"/>
      <c r="E130" s="19" t="n"/>
      <c r="F130" s="19" t="n"/>
      <c r="G130" s="19" t="n"/>
      <c r="H130" s="16" t="n"/>
      <c r="I130" s="19" t="n"/>
      <c r="J130" s="19" t="n"/>
      <c r="K130">
        <f>IF(A130="","",IF(L130=1,"근거·무너짐 기준을 채우세요",IF(M130=1,"핵심 이유 무너짐 → 매도 검토",IF(O130=1,"실적 발표 뒤 점검 필요",""))))</f>
        <v/>
      </c>
      <c r="L130">
        <f>IF(AND(A130&lt;&gt;"",OR(F130="",G130="")),1,0)</f>
        <v/>
      </c>
      <c r="M130">
        <f>IF(AND(A130&lt;&gt;"",E130="Y",I130="무너짐"),1,0)</f>
        <v/>
      </c>
      <c r="N130">
        <f>IF(A130="","",IFERROR(IF(INDEX('보유'!$H$11:$H$20,MATCH(A130,'보유'!$B$11:$B$20,0))="","",INDEX('보유'!$H$11:$H$20,MATCH(A130,'보유'!$B$11:$B$20,0))),""))</f>
        <v/>
      </c>
      <c r="O130">
        <f>IF(ISNUMBER(N130),IF(OR(NOT(ISNUMBER(H130)),H130&lt;N130),1,0),0)</f>
        <v/>
      </c>
    </row>
    <row r="131">
      <c r="A131" s="18" t="n"/>
      <c r="B131" s="19" t="n"/>
      <c r="C131" s="19" t="n"/>
      <c r="D131" s="19" t="n"/>
      <c r="E131" s="19" t="n"/>
      <c r="F131" s="19" t="n"/>
      <c r="G131" s="19" t="n"/>
      <c r="H131" s="16" t="n"/>
      <c r="I131" s="19" t="n"/>
      <c r="J131" s="19" t="n"/>
      <c r="K131">
        <f>IF(A131="","",IF(L131=1,"근거·무너짐 기준을 채우세요",IF(M131=1,"핵심 이유 무너짐 → 매도 검토",IF(O131=1,"실적 발표 뒤 점검 필요",""))))</f>
        <v/>
      </c>
      <c r="L131">
        <f>IF(AND(A131&lt;&gt;"",OR(F131="",G131="")),1,0)</f>
        <v/>
      </c>
      <c r="M131">
        <f>IF(AND(A131&lt;&gt;"",E131="Y",I131="무너짐"),1,0)</f>
        <v/>
      </c>
      <c r="N131">
        <f>IF(A131="","",IFERROR(IF(INDEX('보유'!$H$11:$H$20,MATCH(A131,'보유'!$B$11:$B$20,0))="","",INDEX('보유'!$H$11:$H$20,MATCH(A131,'보유'!$B$11:$B$20,0))),""))</f>
        <v/>
      </c>
      <c r="O131">
        <f>IF(ISNUMBER(N131),IF(OR(NOT(ISNUMBER(H131)),H131&lt;N131),1,0),0)</f>
        <v/>
      </c>
    </row>
    <row r="132">
      <c r="A132" s="18" t="n"/>
      <c r="B132" s="19" t="n"/>
      <c r="C132" s="19" t="n"/>
      <c r="D132" s="19" t="n"/>
      <c r="E132" s="19" t="n"/>
      <c r="F132" s="19" t="n"/>
      <c r="G132" s="19" t="n"/>
      <c r="H132" s="16" t="n"/>
      <c r="I132" s="19" t="n"/>
      <c r="J132" s="19" t="n"/>
      <c r="K132">
        <f>IF(A132="","",IF(L132=1,"근거·무너짐 기준을 채우세요",IF(M132=1,"핵심 이유 무너짐 → 매도 검토",IF(O132=1,"실적 발표 뒤 점검 필요",""))))</f>
        <v/>
      </c>
      <c r="L132">
        <f>IF(AND(A132&lt;&gt;"",OR(F132="",G132="")),1,0)</f>
        <v/>
      </c>
      <c r="M132">
        <f>IF(AND(A132&lt;&gt;"",E132="Y",I132="무너짐"),1,0)</f>
        <v/>
      </c>
      <c r="N132">
        <f>IF(A132="","",IFERROR(IF(INDEX('보유'!$H$11:$H$20,MATCH(A132,'보유'!$B$11:$B$20,0))="","",INDEX('보유'!$H$11:$H$20,MATCH(A132,'보유'!$B$11:$B$20,0))),""))</f>
        <v/>
      </c>
      <c r="O132">
        <f>IF(ISNUMBER(N132),IF(OR(NOT(ISNUMBER(H132)),H132&lt;N132),1,0),0)</f>
        <v/>
      </c>
    </row>
    <row r="133">
      <c r="A133" s="18" t="n"/>
      <c r="B133" s="19" t="n"/>
      <c r="C133" s="19" t="n"/>
      <c r="D133" s="19" t="n"/>
      <c r="E133" s="19" t="n"/>
      <c r="F133" s="19" t="n"/>
      <c r="G133" s="19" t="n"/>
      <c r="H133" s="16" t="n"/>
      <c r="I133" s="19" t="n"/>
      <c r="J133" s="19" t="n"/>
      <c r="K133">
        <f>IF(A133="","",IF(L133=1,"근거·무너짐 기준을 채우세요",IF(M133=1,"핵심 이유 무너짐 → 매도 검토",IF(O133=1,"실적 발표 뒤 점검 필요",""))))</f>
        <v/>
      </c>
      <c r="L133">
        <f>IF(AND(A133&lt;&gt;"",OR(F133="",G133="")),1,0)</f>
        <v/>
      </c>
      <c r="M133">
        <f>IF(AND(A133&lt;&gt;"",E133="Y",I133="무너짐"),1,0)</f>
        <v/>
      </c>
      <c r="N133">
        <f>IF(A133="","",IFERROR(IF(INDEX('보유'!$H$11:$H$20,MATCH(A133,'보유'!$B$11:$B$20,0))="","",INDEX('보유'!$H$11:$H$20,MATCH(A133,'보유'!$B$11:$B$20,0))),""))</f>
        <v/>
      </c>
      <c r="O133">
        <f>IF(ISNUMBER(N133),IF(OR(NOT(ISNUMBER(H133)),H133&lt;N133),1,0),0)</f>
        <v/>
      </c>
    </row>
    <row r="134">
      <c r="A134" s="18" t="n"/>
      <c r="B134" s="19" t="n"/>
      <c r="C134" s="19" t="n"/>
      <c r="D134" s="19" t="n"/>
      <c r="E134" s="19" t="n"/>
      <c r="F134" s="19" t="n"/>
      <c r="G134" s="19" t="n"/>
      <c r="H134" s="16" t="n"/>
      <c r="I134" s="19" t="n"/>
      <c r="J134" s="19" t="n"/>
      <c r="K134">
        <f>IF(A134="","",IF(L134=1,"근거·무너짐 기준을 채우세요",IF(M134=1,"핵심 이유 무너짐 → 매도 검토",IF(O134=1,"실적 발표 뒤 점검 필요",""))))</f>
        <v/>
      </c>
      <c r="L134">
        <f>IF(AND(A134&lt;&gt;"",OR(F134="",G134="")),1,0)</f>
        <v/>
      </c>
      <c r="M134">
        <f>IF(AND(A134&lt;&gt;"",E134="Y",I134="무너짐"),1,0)</f>
        <v/>
      </c>
      <c r="N134">
        <f>IF(A134="","",IFERROR(IF(INDEX('보유'!$H$11:$H$20,MATCH(A134,'보유'!$B$11:$B$20,0))="","",INDEX('보유'!$H$11:$H$20,MATCH(A134,'보유'!$B$11:$B$20,0))),""))</f>
        <v/>
      </c>
      <c r="O134">
        <f>IF(ISNUMBER(N134),IF(OR(NOT(ISNUMBER(H134)),H134&lt;N134),1,0),0)</f>
        <v/>
      </c>
    </row>
    <row r="135">
      <c r="A135" s="18" t="n"/>
      <c r="B135" s="19" t="n"/>
      <c r="C135" s="19" t="n"/>
      <c r="D135" s="19" t="n"/>
      <c r="E135" s="19" t="n"/>
      <c r="F135" s="19" t="n"/>
      <c r="G135" s="19" t="n"/>
      <c r="H135" s="16" t="n"/>
      <c r="I135" s="19" t="n"/>
      <c r="J135" s="19" t="n"/>
      <c r="K135">
        <f>IF(A135="","",IF(L135=1,"근거·무너짐 기준을 채우세요",IF(M135=1,"핵심 이유 무너짐 → 매도 검토",IF(O135=1,"실적 발표 뒤 점검 필요",""))))</f>
        <v/>
      </c>
      <c r="L135">
        <f>IF(AND(A135&lt;&gt;"",OR(F135="",G135="")),1,0)</f>
        <v/>
      </c>
      <c r="M135">
        <f>IF(AND(A135&lt;&gt;"",E135="Y",I135="무너짐"),1,0)</f>
        <v/>
      </c>
      <c r="N135">
        <f>IF(A135="","",IFERROR(IF(INDEX('보유'!$H$11:$H$20,MATCH(A135,'보유'!$B$11:$B$20,0))="","",INDEX('보유'!$H$11:$H$20,MATCH(A135,'보유'!$B$11:$B$20,0))),""))</f>
        <v/>
      </c>
      <c r="O135">
        <f>IF(ISNUMBER(N135),IF(OR(NOT(ISNUMBER(H135)),H135&lt;N135),1,0),0)</f>
        <v/>
      </c>
    </row>
    <row r="136">
      <c r="A136" s="18" t="n"/>
      <c r="B136" s="19" t="n"/>
      <c r="C136" s="19" t="n"/>
      <c r="D136" s="19" t="n"/>
      <c r="E136" s="19" t="n"/>
      <c r="F136" s="19" t="n"/>
      <c r="G136" s="19" t="n"/>
      <c r="H136" s="16" t="n"/>
      <c r="I136" s="19" t="n"/>
      <c r="J136" s="19" t="n"/>
      <c r="K136">
        <f>IF(A136="","",IF(L136=1,"근거·무너짐 기준을 채우세요",IF(M136=1,"핵심 이유 무너짐 → 매도 검토",IF(O136=1,"실적 발표 뒤 점검 필요",""))))</f>
        <v/>
      </c>
      <c r="L136">
        <f>IF(AND(A136&lt;&gt;"",OR(F136="",G136="")),1,0)</f>
        <v/>
      </c>
      <c r="M136">
        <f>IF(AND(A136&lt;&gt;"",E136="Y",I136="무너짐"),1,0)</f>
        <v/>
      </c>
      <c r="N136">
        <f>IF(A136="","",IFERROR(IF(INDEX('보유'!$H$11:$H$20,MATCH(A136,'보유'!$B$11:$B$20,0))="","",INDEX('보유'!$H$11:$H$20,MATCH(A136,'보유'!$B$11:$B$20,0))),""))</f>
        <v/>
      </c>
      <c r="O136">
        <f>IF(ISNUMBER(N136),IF(OR(NOT(ISNUMBER(H136)),H136&lt;N136),1,0),0)</f>
        <v/>
      </c>
    </row>
    <row r="137">
      <c r="A137" s="18" t="n"/>
      <c r="B137" s="19" t="n"/>
      <c r="C137" s="19" t="n"/>
      <c r="D137" s="19" t="n"/>
      <c r="E137" s="19" t="n"/>
      <c r="F137" s="19" t="n"/>
      <c r="G137" s="19" t="n"/>
      <c r="H137" s="16" t="n"/>
      <c r="I137" s="19" t="n"/>
      <c r="J137" s="19" t="n"/>
      <c r="K137">
        <f>IF(A137="","",IF(L137=1,"근거·무너짐 기준을 채우세요",IF(M137=1,"핵심 이유 무너짐 → 매도 검토",IF(O137=1,"실적 발표 뒤 점검 필요",""))))</f>
        <v/>
      </c>
      <c r="L137">
        <f>IF(AND(A137&lt;&gt;"",OR(F137="",G137="")),1,0)</f>
        <v/>
      </c>
      <c r="M137">
        <f>IF(AND(A137&lt;&gt;"",E137="Y",I137="무너짐"),1,0)</f>
        <v/>
      </c>
      <c r="N137">
        <f>IF(A137="","",IFERROR(IF(INDEX('보유'!$H$11:$H$20,MATCH(A137,'보유'!$B$11:$B$20,0))="","",INDEX('보유'!$H$11:$H$20,MATCH(A137,'보유'!$B$11:$B$20,0))),""))</f>
        <v/>
      </c>
      <c r="O137">
        <f>IF(ISNUMBER(N137),IF(OR(NOT(ISNUMBER(H137)),H137&lt;N137),1,0),0)</f>
        <v/>
      </c>
    </row>
    <row r="138">
      <c r="A138" s="18" t="n"/>
      <c r="B138" s="19" t="n"/>
      <c r="C138" s="19" t="n"/>
      <c r="D138" s="19" t="n"/>
      <c r="E138" s="19" t="n"/>
      <c r="F138" s="19" t="n"/>
      <c r="G138" s="19" t="n"/>
      <c r="H138" s="16" t="n"/>
      <c r="I138" s="19" t="n"/>
      <c r="J138" s="19" t="n"/>
      <c r="K138">
        <f>IF(A138="","",IF(L138=1,"근거·무너짐 기준을 채우세요",IF(M138=1,"핵심 이유 무너짐 → 매도 검토",IF(O138=1,"실적 발표 뒤 점검 필요",""))))</f>
        <v/>
      </c>
      <c r="L138">
        <f>IF(AND(A138&lt;&gt;"",OR(F138="",G138="")),1,0)</f>
        <v/>
      </c>
      <c r="M138">
        <f>IF(AND(A138&lt;&gt;"",E138="Y",I138="무너짐"),1,0)</f>
        <v/>
      </c>
      <c r="N138">
        <f>IF(A138="","",IFERROR(IF(INDEX('보유'!$H$11:$H$20,MATCH(A138,'보유'!$B$11:$B$20,0))="","",INDEX('보유'!$H$11:$H$20,MATCH(A138,'보유'!$B$11:$B$20,0))),""))</f>
        <v/>
      </c>
      <c r="O138">
        <f>IF(ISNUMBER(N138),IF(OR(NOT(ISNUMBER(H138)),H138&lt;N138),1,0),0)</f>
        <v/>
      </c>
    </row>
    <row r="139">
      <c r="A139" s="18" t="n"/>
      <c r="B139" s="19" t="n"/>
      <c r="C139" s="19" t="n"/>
      <c r="D139" s="19" t="n"/>
      <c r="E139" s="19" t="n"/>
      <c r="F139" s="19" t="n"/>
      <c r="G139" s="19" t="n"/>
      <c r="H139" s="16" t="n"/>
      <c r="I139" s="19" t="n"/>
      <c r="J139" s="19" t="n"/>
      <c r="K139">
        <f>IF(A139="","",IF(L139=1,"근거·무너짐 기준을 채우세요",IF(M139=1,"핵심 이유 무너짐 → 매도 검토",IF(O139=1,"실적 발표 뒤 점검 필요",""))))</f>
        <v/>
      </c>
      <c r="L139">
        <f>IF(AND(A139&lt;&gt;"",OR(F139="",G139="")),1,0)</f>
        <v/>
      </c>
      <c r="M139">
        <f>IF(AND(A139&lt;&gt;"",E139="Y",I139="무너짐"),1,0)</f>
        <v/>
      </c>
      <c r="N139">
        <f>IF(A139="","",IFERROR(IF(INDEX('보유'!$H$11:$H$20,MATCH(A139,'보유'!$B$11:$B$20,0))="","",INDEX('보유'!$H$11:$H$20,MATCH(A139,'보유'!$B$11:$B$20,0))),""))</f>
        <v/>
      </c>
      <c r="O139">
        <f>IF(ISNUMBER(N139),IF(OR(NOT(ISNUMBER(H139)),H139&lt;N139),1,0),0)</f>
        <v/>
      </c>
    </row>
    <row r="140">
      <c r="A140" s="18" t="n"/>
      <c r="B140" s="19" t="n"/>
      <c r="C140" s="19" t="n"/>
      <c r="D140" s="19" t="n"/>
      <c r="E140" s="19" t="n"/>
      <c r="F140" s="19" t="n"/>
      <c r="G140" s="19" t="n"/>
      <c r="H140" s="16" t="n"/>
      <c r="I140" s="19" t="n"/>
      <c r="J140" s="19" t="n"/>
      <c r="K140">
        <f>IF(A140="","",IF(L140=1,"근거·무너짐 기준을 채우세요",IF(M140=1,"핵심 이유 무너짐 → 매도 검토",IF(O140=1,"실적 발표 뒤 점검 필요",""))))</f>
        <v/>
      </c>
      <c r="L140">
        <f>IF(AND(A140&lt;&gt;"",OR(F140="",G140="")),1,0)</f>
        <v/>
      </c>
      <c r="M140">
        <f>IF(AND(A140&lt;&gt;"",E140="Y",I140="무너짐"),1,0)</f>
        <v/>
      </c>
      <c r="N140">
        <f>IF(A140="","",IFERROR(IF(INDEX('보유'!$H$11:$H$20,MATCH(A140,'보유'!$B$11:$B$20,0))="","",INDEX('보유'!$H$11:$H$20,MATCH(A140,'보유'!$B$11:$B$20,0))),""))</f>
        <v/>
      </c>
      <c r="O140">
        <f>IF(ISNUMBER(N140),IF(OR(NOT(ISNUMBER(H140)),H140&lt;N140),1,0),0)</f>
        <v/>
      </c>
    </row>
    <row r="141">
      <c r="A141" s="18" t="n"/>
      <c r="B141" s="19" t="n"/>
      <c r="C141" s="19" t="n"/>
      <c r="D141" s="19" t="n"/>
      <c r="E141" s="19" t="n"/>
      <c r="F141" s="19" t="n"/>
      <c r="G141" s="19" t="n"/>
      <c r="H141" s="16" t="n"/>
      <c r="I141" s="19" t="n"/>
      <c r="J141" s="19" t="n"/>
      <c r="K141">
        <f>IF(A141="","",IF(L141=1,"근거·무너짐 기준을 채우세요",IF(M141=1,"핵심 이유 무너짐 → 매도 검토",IF(O141=1,"실적 발표 뒤 점검 필요",""))))</f>
        <v/>
      </c>
      <c r="L141">
        <f>IF(AND(A141&lt;&gt;"",OR(F141="",G141="")),1,0)</f>
        <v/>
      </c>
      <c r="M141">
        <f>IF(AND(A141&lt;&gt;"",E141="Y",I141="무너짐"),1,0)</f>
        <v/>
      </c>
      <c r="N141">
        <f>IF(A141="","",IFERROR(IF(INDEX('보유'!$H$11:$H$20,MATCH(A141,'보유'!$B$11:$B$20,0))="","",INDEX('보유'!$H$11:$H$20,MATCH(A141,'보유'!$B$11:$B$20,0))),""))</f>
        <v/>
      </c>
      <c r="O141">
        <f>IF(ISNUMBER(N141),IF(OR(NOT(ISNUMBER(H141)),H141&lt;N141),1,0),0)</f>
        <v/>
      </c>
    </row>
    <row r="142">
      <c r="A142" s="18" t="n"/>
      <c r="B142" s="19" t="n"/>
      <c r="C142" s="19" t="n"/>
      <c r="D142" s="19" t="n"/>
      <c r="E142" s="19" t="n"/>
      <c r="F142" s="19" t="n"/>
      <c r="G142" s="19" t="n"/>
      <c r="H142" s="16" t="n"/>
      <c r="I142" s="19" t="n"/>
      <c r="J142" s="19" t="n"/>
      <c r="K142">
        <f>IF(A142="","",IF(L142=1,"근거·무너짐 기준을 채우세요",IF(M142=1,"핵심 이유 무너짐 → 매도 검토",IF(O142=1,"실적 발표 뒤 점검 필요",""))))</f>
        <v/>
      </c>
      <c r="L142">
        <f>IF(AND(A142&lt;&gt;"",OR(F142="",G142="")),1,0)</f>
        <v/>
      </c>
      <c r="M142">
        <f>IF(AND(A142&lt;&gt;"",E142="Y",I142="무너짐"),1,0)</f>
        <v/>
      </c>
      <c r="N142">
        <f>IF(A142="","",IFERROR(IF(INDEX('보유'!$H$11:$H$20,MATCH(A142,'보유'!$B$11:$B$20,0))="","",INDEX('보유'!$H$11:$H$20,MATCH(A142,'보유'!$B$11:$B$20,0))),""))</f>
        <v/>
      </c>
      <c r="O142">
        <f>IF(ISNUMBER(N142),IF(OR(NOT(ISNUMBER(H142)),H142&lt;N142),1,0),0)</f>
        <v/>
      </c>
    </row>
    <row r="143">
      <c r="A143" s="18" t="n"/>
      <c r="B143" s="19" t="n"/>
      <c r="C143" s="19" t="n"/>
      <c r="D143" s="19" t="n"/>
      <c r="E143" s="19" t="n"/>
      <c r="F143" s="19" t="n"/>
      <c r="G143" s="19" t="n"/>
      <c r="H143" s="16" t="n"/>
      <c r="I143" s="19" t="n"/>
      <c r="J143" s="19" t="n"/>
      <c r="K143">
        <f>IF(A143="","",IF(L143=1,"근거·무너짐 기준을 채우세요",IF(M143=1,"핵심 이유 무너짐 → 매도 검토",IF(O143=1,"실적 발표 뒤 점검 필요",""))))</f>
        <v/>
      </c>
      <c r="L143">
        <f>IF(AND(A143&lt;&gt;"",OR(F143="",G143="")),1,0)</f>
        <v/>
      </c>
      <c r="M143">
        <f>IF(AND(A143&lt;&gt;"",E143="Y",I143="무너짐"),1,0)</f>
        <v/>
      </c>
      <c r="N143">
        <f>IF(A143="","",IFERROR(IF(INDEX('보유'!$H$11:$H$20,MATCH(A143,'보유'!$B$11:$B$20,0))="","",INDEX('보유'!$H$11:$H$20,MATCH(A143,'보유'!$B$11:$B$20,0))),""))</f>
        <v/>
      </c>
      <c r="O143">
        <f>IF(ISNUMBER(N143),IF(OR(NOT(ISNUMBER(H143)),H143&lt;N143),1,0),0)</f>
        <v/>
      </c>
    </row>
    <row r="144">
      <c r="A144" s="18" t="n"/>
      <c r="B144" s="19" t="n"/>
      <c r="C144" s="19" t="n"/>
      <c r="D144" s="19" t="n"/>
      <c r="E144" s="19" t="n"/>
      <c r="F144" s="19" t="n"/>
      <c r="G144" s="19" t="n"/>
      <c r="H144" s="16" t="n"/>
      <c r="I144" s="19" t="n"/>
      <c r="J144" s="19" t="n"/>
      <c r="K144">
        <f>IF(A144="","",IF(L144=1,"근거·무너짐 기준을 채우세요",IF(M144=1,"핵심 이유 무너짐 → 매도 검토",IF(O144=1,"실적 발표 뒤 점검 필요",""))))</f>
        <v/>
      </c>
      <c r="L144">
        <f>IF(AND(A144&lt;&gt;"",OR(F144="",G144="")),1,0)</f>
        <v/>
      </c>
      <c r="M144">
        <f>IF(AND(A144&lt;&gt;"",E144="Y",I144="무너짐"),1,0)</f>
        <v/>
      </c>
      <c r="N144">
        <f>IF(A144="","",IFERROR(IF(INDEX('보유'!$H$11:$H$20,MATCH(A144,'보유'!$B$11:$B$20,0))="","",INDEX('보유'!$H$11:$H$20,MATCH(A144,'보유'!$B$11:$B$20,0))),""))</f>
        <v/>
      </c>
      <c r="O144">
        <f>IF(ISNUMBER(N144),IF(OR(NOT(ISNUMBER(H144)),H144&lt;N144),1,0),0)</f>
        <v/>
      </c>
    </row>
    <row r="145">
      <c r="A145" s="18" t="n"/>
      <c r="B145" s="19" t="n"/>
      <c r="C145" s="19" t="n"/>
      <c r="D145" s="19" t="n"/>
      <c r="E145" s="19" t="n"/>
      <c r="F145" s="19" t="n"/>
      <c r="G145" s="19" t="n"/>
      <c r="H145" s="16" t="n"/>
      <c r="I145" s="19" t="n"/>
      <c r="J145" s="19" t="n"/>
      <c r="K145">
        <f>IF(A145="","",IF(L145=1,"근거·무너짐 기준을 채우세요",IF(M145=1,"핵심 이유 무너짐 → 매도 검토",IF(O145=1,"실적 발표 뒤 점검 필요",""))))</f>
        <v/>
      </c>
      <c r="L145">
        <f>IF(AND(A145&lt;&gt;"",OR(F145="",G145="")),1,0)</f>
        <v/>
      </c>
      <c r="M145">
        <f>IF(AND(A145&lt;&gt;"",E145="Y",I145="무너짐"),1,0)</f>
        <v/>
      </c>
      <c r="N145">
        <f>IF(A145="","",IFERROR(IF(INDEX('보유'!$H$11:$H$20,MATCH(A145,'보유'!$B$11:$B$20,0))="","",INDEX('보유'!$H$11:$H$20,MATCH(A145,'보유'!$B$11:$B$20,0))),""))</f>
        <v/>
      </c>
      <c r="O145">
        <f>IF(ISNUMBER(N145),IF(OR(NOT(ISNUMBER(H145)),H145&lt;N145),1,0),0)</f>
        <v/>
      </c>
    </row>
    <row r="146">
      <c r="A146" s="18" t="n"/>
      <c r="B146" s="19" t="n"/>
      <c r="C146" s="19" t="n"/>
      <c r="D146" s="19" t="n"/>
      <c r="E146" s="19" t="n"/>
      <c r="F146" s="19" t="n"/>
      <c r="G146" s="19" t="n"/>
      <c r="H146" s="16" t="n"/>
      <c r="I146" s="19" t="n"/>
      <c r="J146" s="19" t="n"/>
      <c r="K146">
        <f>IF(A146="","",IF(L146=1,"근거·무너짐 기준을 채우세요",IF(M146=1,"핵심 이유 무너짐 → 매도 검토",IF(O146=1,"실적 발표 뒤 점검 필요",""))))</f>
        <v/>
      </c>
      <c r="L146">
        <f>IF(AND(A146&lt;&gt;"",OR(F146="",G146="")),1,0)</f>
        <v/>
      </c>
      <c r="M146">
        <f>IF(AND(A146&lt;&gt;"",E146="Y",I146="무너짐"),1,0)</f>
        <v/>
      </c>
      <c r="N146">
        <f>IF(A146="","",IFERROR(IF(INDEX('보유'!$H$11:$H$20,MATCH(A146,'보유'!$B$11:$B$20,0))="","",INDEX('보유'!$H$11:$H$20,MATCH(A146,'보유'!$B$11:$B$20,0))),""))</f>
        <v/>
      </c>
      <c r="O146">
        <f>IF(ISNUMBER(N146),IF(OR(NOT(ISNUMBER(H146)),H146&lt;N146),1,0),0)</f>
        <v/>
      </c>
    </row>
    <row r="147">
      <c r="A147" s="18" t="n"/>
      <c r="B147" s="19" t="n"/>
      <c r="C147" s="19" t="n"/>
      <c r="D147" s="19" t="n"/>
      <c r="E147" s="19" t="n"/>
      <c r="F147" s="19" t="n"/>
      <c r="G147" s="19" t="n"/>
      <c r="H147" s="16" t="n"/>
      <c r="I147" s="19" t="n"/>
      <c r="J147" s="19" t="n"/>
      <c r="K147">
        <f>IF(A147="","",IF(L147=1,"근거·무너짐 기준을 채우세요",IF(M147=1,"핵심 이유 무너짐 → 매도 검토",IF(O147=1,"실적 발표 뒤 점검 필요",""))))</f>
        <v/>
      </c>
      <c r="L147">
        <f>IF(AND(A147&lt;&gt;"",OR(F147="",G147="")),1,0)</f>
        <v/>
      </c>
      <c r="M147">
        <f>IF(AND(A147&lt;&gt;"",E147="Y",I147="무너짐"),1,0)</f>
        <v/>
      </c>
      <c r="N147">
        <f>IF(A147="","",IFERROR(IF(INDEX('보유'!$H$11:$H$20,MATCH(A147,'보유'!$B$11:$B$20,0))="","",INDEX('보유'!$H$11:$H$20,MATCH(A147,'보유'!$B$11:$B$20,0))),""))</f>
        <v/>
      </c>
      <c r="O147">
        <f>IF(ISNUMBER(N147),IF(OR(NOT(ISNUMBER(H147)),H147&lt;N147),1,0),0)</f>
        <v/>
      </c>
    </row>
    <row r="148">
      <c r="A148" s="18" t="n"/>
      <c r="B148" s="19" t="n"/>
      <c r="C148" s="19" t="n"/>
      <c r="D148" s="19" t="n"/>
      <c r="E148" s="19" t="n"/>
      <c r="F148" s="19" t="n"/>
      <c r="G148" s="19" t="n"/>
      <c r="H148" s="16" t="n"/>
      <c r="I148" s="19" t="n"/>
      <c r="J148" s="19" t="n"/>
      <c r="K148">
        <f>IF(A148="","",IF(L148=1,"근거·무너짐 기준을 채우세요",IF(M148=1,"핵심 이유 무너짐 → 매도 검토",IF(O148=1,"실적 발표 뒤 점검 필요",""))))</f>
        <v/>
      </c>
      <c r="L148">
        <f>IF(AND(A148&lt;&gt;"",OR(F148="",G148="")),1,0)</f>
        <v/>
      </c>
      <c r="M148">
        <f>IF(AND(A148&lt;&gt;"",E148="Y",I148="무너짐"),1,0)</f>
        <v/>
      </c>
      <c r="N148">
        <f>IF(A148="","",IFERROR(IF(INDEX('보유'!$H$11:$H$20,MATCH(A148,'보유'!$B$11:$B$20,0))="","",INDEX('보유'!$H$11:$H$20,MATCH(A148,'보유'!$B$11:$B$20,0))),""))</f>
        <v/>
      </c>
      <c r="O148">
        <f>IF(ISNUMBER(N148),IF(OR(NOT(ISNUMBER(H148)),H148&lt;N148),1,0),0)</f>
        <v/>
      </c>
    </row>
    <row r="149">
      <c r="A149" s="18" t="n"/>
      <c r="B149" s="19" t="n"/>
      <c r="C149" s="19" t="n"/>
      <c r="D149" s="19" t="n"/>
      <c r="E149" s="19" t="n"/>
      <c r="F149" s="19" t="n"/>
      <c r="G149" s="19" t="n"/>
      <c r="H149" s="16" t="n"/>
      <c r="I149" s="19" t="n"/>
      <c r="J149" s="19" t="n"/>
      <c r="K149">
        <f>IF(A149="","",IF(L149=1,"근거·무너짐 기준을 채우세요",IF(M149=1,"핵심 이유 무너짐 → 매도 검토",IF(O149=1,"실적 발표 뒤 점검 필요",""))))</f>
        <v/>
      </c>
      <c r="L149">
        <f>IF(AND(A149&lt;&gt;"",OR(F149="",G149="")),1,0)</f>
        <v/>
      </c>
      <c r="M149">
        <f>IF(AND(A149&lt;&gt;"",E149="Y",I149="무너짐"),1,0)</f>
        <v/>
      </c>
      <c r="N149">
        <f>IF(A149="","",IFERROR(IF(INDEX('보유'!$H$11:$H$20,MATCH(A149,'보유'!$B$11:$B$20,0))="","",INDEX('보유'!$H$11:$H$20,MATCH(A149,'보유'!$B$11:$B$20,0))),""))</f>
        <v/>
      </c>
      <c r="O149">
        <f>IF(ISNUMBER(N149),IF(OR(NOT(ISNUMBER(H149)),H149&lt;N149),1,0),0)</f>
        <v/>
      </c>
    </row>
    <row r="150">
      <c r="A150" s="18" t="n"/>
      <c r="B150" s="19" t="n"/>
      <c r="C150" s="19" t="n"/>
      <c r="D150" s="19" t="n"/>
      <c r="E150" s="19" t="n"/>
      <c r="F150" s="19" t="n"/>
      <c r="G150" s="19" t="n"/>
      <c r="H150" s="16" t="n"/>
      <c r="I150" s="19" t="n"/>
      <c r="J150" s="19" t="n"/>
      <c r="K150">
        <f>IF(A150="","",IF(L150=1,"근거·무너짐 기준을 채우세요",IF(M150=1,"핵심 이유 무너짐 → 매도 검토",IF(O150=1,"실적 발표 뒤 점검 필요",""))))</f>
        <v/>
      </c>
      <c r="L150">
        <f>IF(AND(A150&lt;&gt;"",OR(F150="",G150="")),1,0)</f>
        <v/>
      </c>
      <c r="M150">
        <f>IF(AND(A150&lt;&gt;"",E150="Y",I150="무너짐"),1,0)</f>
        <v/>
      </c>
      <c r="N150">
        <f>IF(A150="","",IFERROR(IF(INDEX('보유'!$H$11:$H$20,MATCH(A150,'보유'!$B$11:$B$20,0))="","",INDEX('보유'!$H$11:$H$20,MATCH(A150,'보유'!$B$11:$B$20,0))),""))</f>
        <v/>
      </c>
      <c r="O150">
        <f>IF(ISNUMBER(N150),IF(OR(NOT(ISNUMBER(H150)),H150&lt;N150),1,0),0)</f>
        <v/>
      </c>
    </row>
    <row r="151">
      <c r="A151" s="18" t="n"/>
      <c r="B151" s="19" t="n"/>
      <c r="C151" s="19" t="n"/>
      <c r="D151" s="19" t="n"/>
      <c r="E151" s="19" t="n"/>
      <c r="F151" s="19" t="n"/>
      <c r="G151" s="19" t="n"/>
      <c r="H151" s="16" t="n"/>
      <c r="I151" s="19" t="n"/>
      <c r="J151" s="19" t="n"/>
      <c r="K151">
        <f>IF(A151="","",IF(L151=1,"근거·무너짐 기준을 채우세요",IF(M151=1,"핵심 이유 무너짐 → 매도 검토",IF(O151=1,"실적 발표 뒤 점검 필요",""))))</f>
        <v/>
      </c>
      <c r="L151">
        <f>IF(AND(A151&lt;&gt;"",OR(F151="",G151="")),1,0)</f>
        <v/>
      </c>
      <c r="M151">
        <f>IF(AND(A151&lt;&gt;"",E151="Y",I151="무너짐"),1,0)</f>
        <v/>
      </c>
      <c r="N151">
        <f>IF(A151="","",IFERROR(IF(INDEX('보유'!$H$11:$H$20,MATCH(A151,'보유'!$B$11:$B$20,0))="","",INDEX('보유'!$H$11:$H$20,MATCH(A151,'보유'!$B$11:$B$20,0))),""))</f>
        <v/>
      </c>
      <c r="O151">
        <f>IF(ISNUMBER(N151),IF(OR(NOT(ISNUMBER(H151)),H151&lt;N151),1,0),0)</f>
        <v/>
      </c>
    </row>
    <row r="152">
      <c r="A152" s="18" t="n"/>
      <c r="B152" s="19" t="n"/>
      <c r="C152" s="19" t="n"/>
      <c r="D152" s="19" t="n"/>
      <c r="E152" s="19" t="n"/>
      <c r="F152" s="19" t="n"/>
      <c r="G152" s="19" t="n"/>
      <c r="H152" s="16" t="n"/>
      <c r="I152" s="19" t="n"/>
      <c r="J152" s="19" t="n"/>
      <c r="K152">
        <f>IF(A152="","",IF(L152=1,"근거·무너짐 기준을 채우세요",IF(M152=1,"핵심 이유 무너짐 → 매도 검토",IF(O152=1,"실적 발표 뒤 점검 필요",""))))</f>
        <v/>
      </c>
      <c r="L152">
        <f>IF(AND(A152&lt;&gt;"",OR(F152="",G152="")),1,0)</f>
        <v/>
      </c>
      <c r="M152">
        <f>IF(AND(A152&lt;&gt;"",E152="Y",I152="무너짐"),1,0)</f>
        <v/>
      </c>
      <c r="N152">
        <f>IF(A152="","",IFERROR(IF(INDEX('보유'!$H$11:$H$20,MATCH(A152,'보유'!$B$11:$B$20,0))="","",INDEX('보유'!$H$11:$H$20,MATCH(A152,'보유'!$B$11:$B$20,0))),""))</f>
        <v/>
      </c>
      <c r="O152">
        <f>IF(ISNUMBER(N152),IF(OR(NOT(ISNUMBER(H152)),H152&lt;N152),1,0),0)</f>
        <v/>
      </c>
    </row>
    <row r="153">
      <c r="A153" s="18" t="n"/>
      <c r="B153" s="19" t="n"/>
      <c r="C153" s="19" t="n"/>
      <c r="D153" s="19" t="n"/>
      <c r="E153" s="19" t="n"/>
      <c r="F153" s="19" t="n"/>
      <c r="G153" s="19" t="n"/>
      <c r="H153" s="16" t="n"/>
      <c r="I153" s="19" t="n"/>
      <c r="J153" s="19" t="n"/>
      <c r="K153">
        <f>IF(A153="","",IF(L153=1,"근거·무너짐 기준을 채우세요",IF(M153=1,"핵심 이유 무너짐 → 매도 검토",IF(O153=1,"실적 발표 뒤 점검 필요",""))))</f>
        <v/>
      </c>
      <c r="L153">
        <f>IF(AND(A153&lt;&gt;"",OR(F153="",G153="")),1,0)</f>
        <v/>
      </c>
      <c r="M153">
        <f>IF(AND(A153&lt;&gt;"",E153="Y",I153="무너짐"),1,0)</f>
        <v/>
      </c>
      <c r="N153">
        <f>IF(A153="","",IFERROR(IF(INDEX('보유'!$H$11:$H$20,MATCH(A153,'보유'!$B$11:$B$20,0))="","",INDEX('보유'!$H$11:$H$20,MATCH(A153,'보유'!$B$11:$B$20,0))),""))</f>
        <v/>
      </c>
      <c r="O153">
        <f>IF(ISNUMBER(N153),IF(OR(NOT(ISNUMBER(H153)),H153&lt;N153),1,0),0)</f>
        <v/>
      </c>
    </row>
    <row r="154">
      <c r="A154" s="18" t="n"/>
      <c r="B154" s="19" t="n"/>
      <c r="C154" s="19" t="n"/>
      <c r="D154" s="19" t="n"/>
      <c r="E154" s="19" t="n"/>
      <c r="F154" s="19" t="n"/>
      <c r="G154" s="19" t="n"/>
      <c r="H154" s="16" t="n"/>
      <c r="I154" s="19" t="n"/>
      <c r="J154" s="19" t="n"/>
      <c r="K154">
        <f>IF(A154="","",IF(L154=1,"근거·무너짐 기준을 채우세요",IF(M154=1,"핵심 이유 무너짐 → 매도 검토",IF(O154=1,"실적 발표 뒤 점검 필요",""))))</f>
        <v/>
      </c>
      <c r="L154">
        <f>IF(AND(A154&lt;&gt;"",OR(F154="",G154="")),1,0)</f>
        <v/>
      </c>
      <c r="M154">
        <f>IF(AND(A154&lt;&gt;"",E154="Y",I154="무너짐"),1,0)</f>
        <v/>
      </c>
      <c r="N154">
        <f>IF(A154="","",IFERROR(IF(INDEX('보유'!$H$11:$H$20,MATCH(A154,'보유'!$B$11:$B$20,0))="","",INDEX('보유'!$H$11:$H$20,MATCH(A154,'보유'!$B$11:$B$20,0))),""))</f>
        <v/>
      </c>
      <c r="O154">
        <f>IF(ISNUMBER(N154),IF(OR(NOT(ISNUMBER(H154)),H154&lt;N154),1,0),0)</f>
        <v/>
      </c>
    </row>
    <row r="155">
      <c r="A155" s="18" t="n"/>
      <c r="B155" s="19" t="n"/>
      <c r="C155" s="19" t="n"/>
      <c r="D155" s="19" t="n"/>
      <c r="E155" s="19" t="n"/>
      <c r="F155" s="19" t="n"/>
      <c r="G155" s="19" t="n"/>
      <c r="H155" s="16" t="n"/>
      <c r="I155" s="19" t="n"/>
      <c r="J155" s="19" t="n"/>
      <c r="K155">
        <f>IF(A155="","",IF(L155=1,"근거·무너짐 기준을 채우세요",IF(M155=1,"핵심 이유 무너짐 → 매도 검토",IF(O155=1,"실적 발표 뒤 점검 필요",""))))</f>
        <v/>
      </c>
      <c r="L155">
        <f>IF(AND(A155&lt;&gt;"",OR(F155="",G155="")),1,0)</f>
        <v/>
      </c>
      <c r="M155">
        <f>IF(AND(A155&lt;&gt;"",E155="Y",I155="무너짐"),1,0)</f>
        <v/>
      </c>
      <c r="N155">
        <f>IF(A155="","",IFERROR(IF(INDEX('보유'!$H$11:$H$20,MATCH(A155,'보유'!$B$11:$B$20,0))="","",INDEX('보유'!$H$11:$H$20,MATCH(A155,'보유'!$B$11:$B$20,0))),""))</f>
        <v/>
      </c>
      <c r="O155">
        <f>IF(ISNUMBER(N155),IF(OR(NOT(ISNUMBER(H155)),H155&lt;N155),1,0),0)</f>
        <v/>
      </c>
    </row>
    <row r="156">
      <c r="A156" s="18" t="n"/>
      <c r="B156" s="19" t="n"/>
      <c r="C156" s="19" t="n"/>
      <c r="D156" s="19" t="n"/>
      <c r="E156" s="19" t="n"/>
      <c r="F156" s="19" t="n"/>
      <c r="G156" s="19" t="n"/>
      <c r="H156" s="16" t="n"/>
      <c r="I156" s="19" t="n"/>
      <c r="J156" s="19" t="n"/>
      <c r="K156">
        <f>IF(A156="","",IF(L156=1,"근거·무너짐 기준을 채우세요",IF(M156=1,"핵심 이유 무너짐 → 매도 검토",IF(O156=1,"실적 발표 뒤 점검 필요",""))))</f>
        <v/>
      </c>
      <c r="L156">
        <f>IF(AND(A156&lt;&gt;"",OR(F156="",G156="")),1,0)</f>
        <v/>
      </c>
      <c r="M156">
        <f>IF(AND(A156&lt;&gt;"",E156="Y",I156="무너짐"),1,0)</f>
        <v/>
      </c>
      <c r="N156">
        <f>IF(A156="","",IFERROR(IF(INDEX('보유'!$H$11:$H$20,MATCH(A156,'보유'!$B$11:$B$20,0))="","",INDEX('보유'!$H$11:$H$20,MATCH(A156,'보유'!$B$11:$B$20,0))),""))</f>
        <v/>
      </c>
      <c r="O156">
        <f>IF(ISNUMBER(N156),IF(OR(NOT(ISNUMBER(H156)),H156&lt;N156),1,0),0)</f>
        <v/>
      </c>
    </row>
    <row r="157">
      <c r="A157" s="18" t="n"/>
      <c r="B157" s="19" t="n"/>
      <c r="C157" s="19" t="n"/>
      <c r="D157" s="19" t="n"/>
      <c r="E157" s="19" t="n"/>
      <c r="F157" s="19" t="n"/>
      <c r="G157" s="19" t="n"/>
      <c r="H157" s="16" t="n"/>
      <c r="I157" s="19" t="n"/>
      <c r="J157" s="19" t="n"/>
      <c r="K157">
        <f>IF(A157="","",IF(L157=1,"근거·무너짐 기준을 채우세요",IF(M157=1,"핵심 이유 무너짐 → 매도 검토",IF(O157=1,"실적 발표 뒤 점검 필요",""))))</f>
        <v/>
      </c>
      <c r="L157">
        <f>IF(AND(A157&lt;&gt;"",OR(F157="",G157="")),1,0)</f>
        <v/>
      </c>
      <c r="M157">
        <f>IF(AND(A157&lt;&gt;"",E157="Y",I157="무너짐"),1,0)</f>
        <v/>
      </c>
      <c r="N157">
        <f>IF(A157="","",IFERROR(IF(INDEX('보유'!$H$11:$H$20,MATCH(A157,'보유'!$B$11:$B$20,0))="","",INDEX('보유'!$H$11:$H$20,MATCH(A157,'보유'!$B$11:$B$20,0))),""))</f>
        <v/>
      </c>
      <c r="O157">
        <f>IF(ISNUMBER(N157),IF(OR(NOT(ISNUMBER(H157)),H157&lt;N157),1,0),0)</f>
        <v/>
      </c>
    </row>
    <row r="158">
      <c r="A158" s="18" t="n"/>
      <c r="B158" s="19" t="n"/>
      <c r="C158" s="19" t="n"/>
      <c r="D158" s="19" t="n"/>
      <c r="E158" s="19" t="n"/>
      <c r="F158" s="19" t="n"/>
      <c r="G158" s="19" t="n"/>
      <c r="H158" s="16" t="n"/>
      <c r="I158" s="19" t="n"/>
      <c r="J158" s="19" t="n"/>
      <c r="K158">
        <f>IF(A158="","",IF(L158=1,"근거·무너짐 기준을 채우세요",IF(M158=1,"핵심 이유 무너짐 → 매도 검토",IF(O158=1,"실적 발표 뒤 점검 필요",""))))</f>
        <v/>
      </c>
      <c r="L158">
        <f>IF(AND(A158&lt;&gt;"",OR(F158="",G158="")),1,0)</f>
        <v/>
      </c>
      <c r="M158">
        <f>IF(AND(A158&lt;&gt;"",E158="Y",I158="무너짐"),1,0)</f>
        <v/>
      </c>
      <c r="N158">
        <f>IF(A158="","",IFERROR(IF(INDEX('보유'!$H$11:$H$20,MATCH(A158,'보유'!$B$11:$B$20,0))="","",INDEX('보유'!$H$11:$H$20,MATCH(A158,'보유'!$B$11:$B$20,0))),""))</f>
        <v/>
      </c>
      <c r="O158">
        <f>IF(ISNUMBER(N158),IF(OR(NOT(ISNUMBER(H158)),H158&lt;N158),1,0),0)</f>
        <v/>
      </c>
    </row>
    <row r="159">
      <c r="A159" s="18" t="n"/>
      <c r="B159" s="19" t="n"/>
      <c r="C159" s="19" t="n"/>
      <c r="D159" s="19" t="n"/>
      <c r="E159" s="19" t="n"/>
      <c r="F159" s="19" t="n"/>
      <c r="G159" s="19" t="n"/>
      <c r="H159" s="16" t="n"/>
      <c r="I159" s="19" t="n"/>
      <c r="J159" s="19" t="n"/>
      <c r="K159">
        <f>IF(A159="","",IF(L159=1,"근거·무너짐 기준을 채우세요",IF(M159=1,"핵심 이유 무너짐 → 매도 검토",IF(O159=1,"실적 발표 뒤 점검 필요",""))))</f>
        <v/>
      </c>
      <c r="L159">
        <f>IF(AND(A159&lt;&gt;"",OR(F159="",G159="")),1,0)</f>
        <v/>
      </c>
      <c r="M159">
        <f>IF(AND(A159&lt;&gt;"",E159="Y",I159="무너짐"),1,0)</f>
        <v/>
      </c>
      <c r="N159">
        <f>IF(A159="","",IFERROR(IF(INDEX('보유'!$H$11:$H$20,MATCH(A159,'보유'!$B$11:$B$20,0))="","",INDEX('보유'!$H$11:$H$20,MATCH(A159,'보유'!$B$11:$B$20,0))),""))</f>
        <v/>
      </c>
      <c r="O159">
        <f>IF(ISNUMBER(N159),IF(OR(NOT(ISNUMBER(H159)),H159&lt;N159),1,0),0)</f>
        <v/>
      </c>
    </row>
    <row r="160">
      <c r="A160" s="18" t="n"/>
      <c r="B160" s="19" t="n"/>
      <c r="C160" s="19" t="n"/>
      <c r="D160" s="19" t="n"/>
      <c r="E160" s="19" t="n"/>
      <c r="F160" s="19" t="n"/>
      <c r="G160" s="19" t="n"/>
      <c r="H160" s="16" t="n"/>
      <c r="I160" s="19" t="n"/>
      <c r="J160" s="19" t="n"/>
      <c r="K160">
        <f>IF(A160="","",IF(L160=1,"근거·무너짐 기준을 채우세요",IF(M160=1,"핵심 이유 무너짐 → 매도 검토",IF(O160=1,"실적 발표 뒤 점검 필요",""))))</f>
        <v/>
      </c>
      <c r="L160">
        <f>IF(AND(A160&lt;&gt;"",OR(F160="",G160="")),1,0)</f>
        <v/>
      </c>
      <c r="M160">
        <f>IF(AND(A160&lt;&gt;"",E160="Y",I160="무너짐"),1,0)</f>
        <v/>
      </c>
      <c r="N160">
        <f>IF(A160="","",IFERROR(IF(INDEX('보유'!$H$11:$H$20,MATCH(A160,'보유'!$B$11:$B$20,0))="","",INDEX('보유'!$H$11:$H$20,MATCH(A160,'보유'!$B$11:$B$20,0))),""))</f>
        <v/>
      </c>
      <c r="O160">
        <f>IF(ISNUMBER(N160),IF(OR(NOT(ISNUMBER(H160)),H160&lt;N160),1,0),0)</f>
        <v/>
      </c>
    </row>
    <row r="161">
      <c r="A161" s="18" t="n"/>
      <c r="B161" s="19" t="n"/>
      <c r="C161" s="19" t="n"/>
      <c r="D161" s="19" t="n"/>
      <c r="E161" s="19" t="n"/>
      <c r="F161" s="19" t="n"/>
      <c r="G161" s="19" t="n"/>
      <c r="H161" s="16" t="n"/>
      <c r="I161" s="19" t="n"/>
      <c r="J161" s="19" t="n"/>
      <c r="K161">
        <f>IF(A161="","",IF(L161=1,"근거·무너짐 기준을 채우세요",IF(M161=1,"핵심 이유 무너짐 → 매도 검토",IF(O161=1,"실적 발표 뒤 점검 필요",""))))</f>
        <v/>
      </c>
      <c r="L161">
        <f>IF(AND(A161&lt;&gt;"",OR(F161="",G161="")),1,0)</f>
        <v/>
      </c>
      <c r="M161">
        <f>IF(AND(A161&lt;&gt;"",E161="Y",I161="무너짐"),1,0)</f>
        <v/>
      </c>
      <c r="N161">
        <f>IF(A161="","",IFERROR(IF(INDEX('보유'!$H$11:$H$20,MATCH(A161,'보유'!$B$11:$B$20,0))="","",INDEX('보유'!$H$11:$H$20,MATCH(A161,'보유'!$B$11:$B$20,0))),""))</f>
        <v/>
      </c>
      <c r="O161">
        <f>IF(ISNUMBER(N161),IF(OR(NOT(ISNUMBER(H161)),H161&lt;N161),1,0),0)</f>
        <v/>
      </c>
    </row>
    <row r="162">
      <c r="A162" s="18" t="n"/>
      <c r="B162" s="19" t="n"/>
      <c r="C162" s="19" t="n"/>
      <c r="D162" s="19" t="n"/>
      <c r="E162" s="19" t="n"/>
      <c r="F162" s="19" t="n"/>
      <c r="G162" s="19" t="n"/>
      <c r="H162" s="16" t="n"/>
      <c r="I162" s="19" t="n"/>
      <c r="J162" s="19" t="n"/>
      <c r="K162">
        <f>IF(A162="","",IF(L162=1,"근거·무너짐 기준을 채우세요",IF(M162=1,"핵심 이유 무너짐 → 매도 검토",IF(O162=1,"실적 발표 뒤 점검 필요",""))))</f>
        <v/>
      </c>
      <c r="L162">
        <f>IF(AND(A162&lt;&gt;"",OR(F162="",G162="")),1,0)</f>
        <v/>
      </c>
      <c r="M162">
        <f>IF(AND(A162&lt;&gt;"",E162="Y",I162="무너짐"),1,0)</f>
        <v/>
      </c>
      <c r="N162">
        <f>IF(A162="","",IFERROR(IF(INDEX('보유'!$H$11:$H$20,MATCH(A162,'보유'!$B$11:$B$20,0))="","",INDEX('보유'!$H$11:$H$20,MATCH(A162,'보유'!$B$11:$B$20,0))),""))</f>
        <v/>
      </c>
      <c r="O162">
        <f>IF(ISNUMBER(N162),IF(OR(NOT(ISNUMBER(H162)),H162&lt;N162),1,0),0)</f>
        <v/>
      </c>
    </row>
    <row r="163">
      <c r="A163" s="18" t="n"/>
      <c r="B163" s="19" t="n"/>
      <c r="C163" s="19" t="n"/>
      <c r="D163" s="19" t="n"/>
      <c r="E163" s="19" t="n"/>
      <c r="F163" s="19" t="n"/>
      <c r="G163" s="19" t="n"/>
      <c r="H163" s="16" t="n"/>
      <c r="I163" s="19" t="n"/>
      <c r="J163" s="19" t="n"/>
      <c r="K163">
        <f>IF(A163="","",IF(L163=1,"근거·무너짐 기준을 채우세요",IF(M163=1,"핵심 이유 무너짐 → 매도 검토",IF(O163=1,"실적 발표 뒤 점검 필요",""))))</f>
        <v/>
      </c>
      <c r="L163">
        <f>IF(AND(A163&lt;&gt;"",OR(F163="",G163="")),1,0)</f>
        <v/>
      </c>
      <c r="M163">
        <f>IF(AND(A163&lt;&gt;"",E163="Y",I163="무너짐"),1,0)</f>
        <v/>
      </c>
      <c r="N163">
        <f>IF(A163="","",IFERROR(IF(INDEX('보유'!$H$11:$H$20,MATCH(A163,'보유'!$B$11:$B$20,0))="","",INDEX('보유'!$H$11:$H$20,MATCH(A163,'보유'!$B$11:$B$20,0))),""))</f>
        <v/>
      </c>
      <c r="O163">
        <f>IF(ISNUMBER(N163),IF(OR(NOT(ISNUMBER(H163)),H163&lt;N163),1,0),0)</f>
        <v/>
      </c>
    </row>
    <row r="164">
      <c r="A164" s="18" t="n"/>
      <c r="B164" s="19" t="n"/>
      <c r="C164" s="19" t="n"/>
      <c r="D164" s="19" t="n"/>
      <c r="E164" s="19" t="n"/>
      <c r="F164" s="19" t="n"/>
      <c r="G164" s="19" t="n"/>
      <c r="H164" s="16" t="n"/>
      <c r="I164" s="19" t="n"/>
      <c r="J164" s="19" t="n"/>
      <c r="K164">
        <f>IF(A164="","",IF(L164=1,"근거·무너짐 기준을 채우세요",IF(M164=1,"핵심 이유 무너짐 → 매도 검토",IF(O164=1,"실적 발표 뒤 점검 필요",""))))</f>
        <v/>
      </c>
      <c r="L164">
        <f>IF(AND(A164&lt;&gt;"",OR(F164="",G164="")),1,0)</f>
        <v/>
      </c>
      <c r="M164">
        <f>IF(AND(A164&lt;&gt;"",E164="Y",I164="무너짐"),1,0)</f>
        <v/>
      </c>
      <c r="N164">
        <f>IF(A164="","",IFERROR(IF(INDEX('보유'!$H$11:$H$20,MATCH(A164,'보유'!$B$11:$B$20,0))="","",INDEX('보유'!$H$11:$H$20,MATCH(A164,'보유'!$B$11:$B$20,0))),""))</f>
        <v/>
      </c>
      <c r="O164">
        <f>IF(ISNUMBER(N164),IF(OR(NOT(ISNUMBER(H164)),H164&lt;N164),1,0),0)</f>
        <v/>
      </c>
    </row>
    <row r="165">
      <c r="A165" s="18" t="n"/>
      <c r="B165" s="19" t="n"/>
      <c r="C165" s="19" t="n"/>
      <c r="D165" s="19" t="n"/>
      <c r="E165" s="19" t="n"/>
      <c r="F165" s="19" t="n"/>
      <c r="G165" s="19" t="n"/>
      <c r="H165" s="16" t="n"/>
      <c r="I165" s="19" t="n"/>
      <c r="J165" s="19" t="n"/>
      <c r="K165">
        <f>IF(A165="","",IF(L165=1,"근거·무너짐 기준을 채우세요",IF(M165=1,"핵심 이유 무너짐 → 매도 검토",IF(O165=1,"실적 발표 뒤 점검 필요",""))))</f>
        <v/>
      </c>
      <c r="L165">
        <f>IF(AND(A165&lt;&gt;"",OR(F165="",G165="")),1,0)</f>
        <v/>
      </c>
      <c r="M165">
        <f>IF(AND(A165&lt;&gt;"",E165="Y",I165="무너짐"),1,0)</f>
        <v/>
      </c>
      <c r="N165">
        <f>IF(A165="","",IFERROR(IF(INDEX('보유'!$H$11:$H$20,MATCH(A165,'보유'!$B$11:$B$20,0))="","",INDEX('보유'!$H$11:$H$20,MATCH(A165,'보유'!$B$11:$B$20,0))),""))</f>
        <v/>
      </c>
      <c r="O165">
        <f>IF(ISNUMBER(N165),IF(OR(NOT(ISNUMBER(H165)),H165&lt;N165),1,0),0)</f>
        <v/>
      </c>
    </row>
    <row r="166">
      <c r="A166" s="18" t="n"/>
      <c r="B166" s="19" t="n"/>
      <c r="C166" s="19" t="n"/>
      <c r="D166" s="19" t="n"/>
      <c r="E166" s="19" t="n"/>
      <c r="F166" s="19" t="n"/>
      <c r="G166" s="19" t="n"/>
      <c r="H166" s="16" t="n"/>
      <c r="I166" s="19" t="n"/>
      <c r="J166" s="19" t="n"/>
      <c r="K166">
        <f>IF(A166="","",IF(L166=1,"근거·무너짐 기준을 채우세요",IF(M166=1,"핵심 이유 무너짐 → 매도 검토",IF(O166=1,"실적 발표 뒤 점검 필요",""))))</f>
        <v/>
      </c>
      <c r="L166">
        <f>IF(AND(A166&lt;&gt;"",OR(F166="",G166="")),1,0)</f>
        <v/>
      </c>
      <c r="M166">
        <f>IF(AND(A166&lt;&gt;"",E166="Y",I166="무너짐"),1,0)</f>
        <v/>
      </c>
      <c r="N166">
        <f>IF(A166="","",IFERROR(IF(INDEX('보유'!$H$11:$H$20,MATCH(A166,'보유'!$B$11:$B$20,0))="","",INDEX('보유'!$H$11:$H$20,MATCH(A166,'보유'!$B$11:$B$20,0))),""))</f>
        <v/>
      </c>
      <c r="O166">
        <f>IF(ISNUMBER(N166),IF(OR(NOT(ISNUMBER(H166)),H166&lt;N166),1,0),0)</f>
        <v/>
      </c>
    </row>
    <row r="167">
      <c r="A167" s="18" t="n"/>
      <c r="B167" s="19" t="n"/>
      <c r="C167" s="19" t="n"/>
      <c r="D167" s="19" t="n"/>
      <c r="E167" s="19" t="n"/>
      <c r="F167" s="19" t="n"/>
      <c r="G167" s="19" t="n"/>
      <c r="H167" s="16" t="n"/>
      <c r="I167" s="19" t="n"/>
      <c r="J167" s="19" t="n"/>
      <c r="K167">
        <f>IF(A167="","",IF(L167=1,"근거·무너짐 기준을 채우세요",IF(M167=1,"핵심 이유 무너짐 → 매도 검토",IF(O167=1,"실적 발표 뒤 점검 필요",""))))</f>
        <v/>
      </c>
      <c r="L167">
        <f>IF(AND(A167&lt;&gt;"",OR(F167="",G167="")),1,0)</f>
        <v/>
      </c>
      <c r="M167">
        <f>IF(AND(A167&lt;&gt;"",E167="Y",I167="무너짐"),1,0)</f>
        <v/>
      </c>
      <c r="N167">
        <f>IF(A167="","",IFERROR(IF(INDEX('보유'!$H$11:$H$20,MATCH(A167,'보유'!$B$11:$B$20,0))="","",INDEX('보유'!$H$11:$H$20,MATCH(A167,'보유'!$B$11:$B$20,0))),""))</f>
        <v/>
      </c>
      <c r="O167">
        <f>IF(ISNUMBER(N167),IF(OR(NOT(ISNUMBER(H167)),H167&lt;N167),1,0),0)</f>
        <v/>
      </c>
    </row>
    <row r="168">
      <c r="A168" s="18" t="n"/>
      <c r="B168" s="19" t="n"/>
      <c r="C168" s="19" t="n"/>
      <c r="D168" s="19" t="n"/>
      <c r="E168" s="19" t="n"/>
      <c r="F168" s="19" t="n"/>
      <c r="G168" s="19" t="n"/>
      <c r="H168" s="16" t="n"/>
      <c r="I168" s="19" t="n"/>
      <c r="J168" s="19" t="n"/>
      <c r="K168">
        <f>IF(A168="","",IF(L168=1,"근거·무너짐 기준을 채우세요",IF(M168=1,"핵심 이유 무너짐 → 매도 검토",IF(O168=1,"실적 발표 뒤 점검 필요",""))))</f>
        <v/>
      </c>
      <c r="L168">
        <f>IF(AND(A168&lt;&gt;"",OR(F168="",G168="")),1,0)</f>
        <v/>
      </c>
      <c r="M168">
        <f>IF(AND(A168&lt;&gt;"",E168="Y",I168="무너짐"),1,0)</f>
        <v/>
      </c>
      <c r="N168">
        <f>IF(A168="","",IFERROR(IF(INDEX('보유'!$H$11:$H$20,MATCH(A168,'보유'!$B$11:$B$20,0))="","",INDEX('보유'!$H$11:$H$20,MATCH(A168,'보유'!$B$11:$B$20,0))),""))</f>
        <v/>
      </c>
      <c r="O168">
        <f>IF(ISNUMBER(N168),IF(OR(NOT(ISNUMBER(H168)),H168&lt;N168),1,0),0)</f>
        <v/>
      </c>
    </row>
    <row r="169">
      <c r="A169" s="18" t="n"/>
      <c r="B169" s="19" t="n"/>
      <c r="C169" s="19" t="n"/>
      <c r="D169" s="19" t="n"/>
      <c r="E169" s="19" t="n"/>
      <c r="F169" s="19" t="n"/>
      <c r="G169" s="19" t="n"/>
      <c r="H169" s="16" t="n"/>
      <c r="I169" s="19" t="n"/>
      <c r="J169" s="19" t="n"/>
      <c r="K169">
        <f>IF(A169="","",IF(L169=1,"근거·무너짐 기준을 채우세요",IF(M169=1,"핵심 이유 무너짐 → 매도 검토",IF(O169=1,"실적 발표 뒤 점검 필요",""))))</f>
        <v/>
      </c>
      <c r="L169">
        <f>IF(AND(A169&lt;&gt;"",OR(F169="",G169="")),1,0)</f>
        <v/>
      </c>
      <c r="M169">
        <f>IF(AND(A169&lt;&gt;"",E169="Y",I169="무너짐"),1,0)</f>
        <v/>
      </c>
      <c r="N169">
        <f>IF(A169="","",IFERROR(IF(INDEX('보유'!$H$11:$H$20,MATCH(A169,'보유'!$B$11:$B$20,0))="","",INDEX('보유'!$H$11:$H$20,MATCH(A169,'보유'!$B$11:$B$20,0))),""))</f>
        <v/>
      </c>
      <c r="O169">
        <f>IF(ISNUMBER(N169),IF(OR(NOT(ISNUMBER(H169)),H169&lt;N169),1,0),0)</f>
        <v/>
      </c>
    </row>
    <row r="170">
      <c r="A170" s="18" t="n"/>
      <c r="B170" s="19" t="n"/>
      <c r="C170" s="19" t="n"/>
      <c r="D170" s="19" t="n"/>
      <c r="E170" s="19" t="n"/>
      <c r="F170" s="19" t="n"/>
      <c r="G170" s="19" t="n"/>
      <c r="H170" s="16" t="n"/>
      <c r="I170" s="19" t="n"/>
      <c r="J170" s="19" t="n"/>
      <c r="K170">
        <f>IF(A170="","",IF(L170=1,"근거·무너짐 기준을 채우세요",IF(M170=1,"핵심 이유 무너짐 → 매도 검토",IF(O170=1,"실적 발표 뒤 점검 필요",""))))</f>
        <v/>
      </c>
      <c r="L170">
        <f>IF(AND(A170&lt;&gt;"",OR(F170="",G170="")),1,0)</f>
        <v/>
      </c>
      <c r="M170">
        <f>IF(AND(A170&lt;&gt;"",E170="Y",I170="무너짐"),1,0)</f>
        <v/>
      </c>
      <c r="N170">
        <f>IF(A170="","",IFERROR(IF(INDEX('보유'!$H$11:$H$20,MATCH(A170,'보유'!$B$11:$B$20,0))="","",INDEX('보유'!$H$11:$H$20,MATCH(A170,'보유'!$B$11:$B$20,0))),""))</f>
        <v/>
      </c>
      <c r="O170">
        <f>IF(ISNUMBER(N170),IF(OR(NOT(ISNUMBER(H170)),H170&lt;N170),1,0),0)</f>
        <v/>
      </c>
    </row>
    <row r="171">
      <c r="A171" s="18" t="n"/>
      <c r="B171" s="19" t="n"/>
      <c r="C171" s="19" t="n"/>
      <c r="D171" s="19" t="n"/>
      <c r="E171" s="19" t="n"/>
      <c r="F171" s="19" t="n"/>
      <c r="G171" s="19" t="n"/>
      <c r="H171" s="16" t="n"/>
      <c r="I171" s="19" t="n"/>
      <c r="J171" s="19" t="n"/>
      <c r="K171">
        <f>IF(A171="","",IF(L171=1,"근거·무너짐 기준을 채우세요",IF(M171=1,"핵심 이유 무너짐 → 매도 검토",IF(O171=1,"실적 발표 뒤 점검 필요",""))))</f>
        <v/>
      </c>
      <c r="L171">
        <f>IF(AND(A171&lt;&gt;"",OR(F171="",G171="")),1,0)</f>
        <v/>
      </c>
      <c r="M171">
        <f>IF(AND(A171&lt;&gt;"",E171="Y",I171="무너짐"),1,0)</f>
        <v/>
      </c>
      <c r="N171">
        <f>IF(A171="","",IFERROR(IF(INDEX('보유'!$H$11:$H$20,MATCH(A171,'보유'!$B$11:$B$20,0))="","",INDEX('보유'!$H$11:$H$20,MATCH(A171,'보유'!$B$11:$B$20,0))),""))</f>
        <v/>
      </c>
      <c r="O171">
        <f>IF(ISNUMBER(N171),IF(OR(NOT(ISNUMBER(H171)),H171&lt;N171),1,0),0)</f>
        <v/>
      </c>
    </row>
    <row r="172">
      <c r="A172" s="18" t="n"/>
      <c r="B172" s="19" t="n"/>
      <c r="C172" s="19" t="n"/>
      <c r="D172" s="19" t="n"/>
      <c r="E172" s="19" t="n"/>
      <c r="F172" s="19" t="n"/>
      <c r="G172" s="19" t="n"/>
      <c r="H172" s="16" t="n"/>
      <c r="I172" s="19" t="n"/>
      <c r="J172" s="19" t="n"/>
      <c r="K172">
        <f>IF(A172="","",IF(L172=1,"근거·무너짐 기준을 채우세요",IF(M172=1,"핵심 이유 무너짐 → 매도 검토",IF(O172=1,"실적 발표 뒤 점검 필요",""))))</f>
        <v/>
      </c>
      <c r="L172">
        <f>IF(AND(A172&lt;&gt;"",OR(F172="",G172="")),1,0)</f>
        <v/>
      </c>
      <c r="M172">
        <f>IF(AND(A172&lt;&gt;"",E172="Y",I172="무너짐"),1,0)</f>
        <v/>
      </c>
      <c r="N172">
        <f>IF(A172="","",IFERROR(IF(INDEX('보유'!$H$11:$H$20,MATCH(A172,'보유'!$B$11:$B$20,0))="","",INDEX('보유'!$H$11:$H$20,MATCH(A172,'보유'!$B$11:$B$20,0))),""))</f>
        <v/>
      </c>
      <c r="O172">
        <f>IF(ISNUMBER(N172),IF(OR(NOT(ISNUMBER(H172)),H172&lt;N172),1,0),0)</f>
        <v/>
      </c>
    </row>
    <row r="173">
      <c r="A173" s="18" t="n"/>
      <c r="B173" s="19" t="n"/>
      <c r="C173" s="19" t="n"/>
      <c r="D173" s="19" t="n"/>
      <c r="E173" s="19" t="n"/>
      <c r="F173" s="19" t="n"/>
      <c r="G173" s="19" t="n"/>
      <c r="H173" s="16" t="n"/>
      <c r="I173" s="19" t="n"/>
      <c r="J173" s="19" t="n"/>
      <c r="K173">
        <f>IF(A173="","",IF(L173=1,"근거·무너짐 기준을 채우세요",IF(M173=1,"핵심 이유 무너짐 → 매도 검토",IF(O173=1,"실적 발표 뒤 점검 필요",""))))</f>
        <v/>
      </c>
      <c r="L173">
        <f>IF(AND(A173&lt;&gt;"",OR(F173="",G173="")),1,0)</f>
        <v/>
      </c>
      <c r="M173">
        <f>IF(AND(A173&lt;&gt;"",E173="Y",I173="무너짐"),1,0)</f>
        <v/>
      </c>
      <c r="N173">
        <f>IF(A173="","",IFERROR(IF(INDEX('보유'!$H$11:$H$20,MATCH(A173,'보유'!$B$11:$B$20,0))="","",INDEX('보유'!$H$11:$H$20,MATCH(A173,'보유'!$B$11:$B$20,0))),""))</f>
        <v/>
      </c>
      <c r="O173">
        <f>IF(ISNUMBER(N173),IF(OR(NOT(ISNUMBER(H173)),H173&lt;N173),1,0),0)</f>
        <v/>
      </c>
    </row>
    <row r="174">
      <c r="A174" s="18" t="n"/>
      <c r="B174" s="19" t="n"/>
      <c r="C174" s="19" t="n"/>
      <c r="D174" s="19" t="n"/>
      <c r="E174" s="19" t="n"/>
      <c r="F174" s="19" t="n"/>
      <c r="G174" s="19" t="n"/>
      <c r="H174" s="16" t="n"/>
      <c r="I174" s="19" t="n"/>
      <c r="J174" s="19" t="n"/>
      <c r="K174">
        <f>IF(A174="","",IF(L174=1,"근거·무너짐 기준을 채우세요",IF(M174=1,"핵심 이유 무너짐 → 매도 검토",IF(O174=1,"실적 발표 뒤 점검 필요",""))))</f>
        <v/>
      </c>
      <c r="L174">
        <f>IF(AND(A174&lt;&gt;"",OR(F174="",G174="")),1,0)</f>
        <v/>
      </c>
      <c r="M174">
        <f>IF(AND(A174&lt;&gt;"",E174="Y",I174="무너짐"),1,0)</f>
        <v/>
      </c>
      <c r="N174">
        <f>IF(A174="","",IFERROR(IF(INDEX('보유'!$H$11:$H$20,MATCH(A174,'보유'!$B$11:$B$20,0))="","",INDEX('보유'!$H$11:$H$20,MATCH(A174,'보유'!$B$11:$B$20,0))),""))</f>
        <v/>
      </c>
      <c r="O174">
        <f>IF(ISNUMBER(N174),IF(OR(NOT(ISNUMBER(H174)),H174&lt;N174),1,0),0)</f>
        <v/>
      </c>
    </row>
    <row r="175">
      <c r="A175" s="18" t="n"/>
      <c r="B175" s="19" t="n"/>
      <c r="C175" s="19" t="n"/>
      <c r="D175" s="19" t="n"/>
      <c r="E175" s="19" t="n"/>
      <c r="F175" s="19" t="n"/>
      <c r="G175" s="19" t="n"/>
      <c r="H175" s="16" t="n"/>
      <c r="I175" s="19" t="n"/>
      <c r="J175" s="19" t="n"/>
      <c r="K175">
        <f>IF(A175="","",IF(L175=1,"근거·무너짐 기준을 채우세요",IF(M175=1,"핵심 이유 무너짐 → 매도 검토",IF(O175=1,"실적 발표 뒤 점검 필요",""))))</f>
        <v/>
      </c>
      <c r="L175">
        <f>IF(AND(A175&lt;&gt;"",OR(F175="",G175="")),1,0)</f>
        <v/>
      </c>
      <c r="M175">
        <f>IF(AND(A175&lt;&gt;"",E175="Y",I175="무너짐"),1,0)</f>
        <v/>
      </c>
      <c r="N175">
        <f>IF(A175="","",IFERROR(IF(INDEX('보유'!$H$11:$H$20,MATCH(A175,'보유'!$B$11:$B$20,0))="","",INDEX('보유'!$H$11:$H$20,MATCH(A175,'보유'!$B$11:$B$20,0))),""))</f>
        <v/>
      </c>
      <c r="O175">
        <f>IF(ISNUMBER(N175),IF(OR(NOT(ISNUMBER(H175)),H175&lt;N175),1,0),0)</f>
        <v/>
      </c>
    </row>
    <row r="176">
      <c r="A176" s="18" t="n"/>
      <c r="B176" s="19" t="n"/>
      <c r="C176" s="19" t="n"/>
      <c r="D176" s="19" t="n"/>
      <c r="E176" s="19" t="n"/>
      <c r="F176" s="19" t="n"/>
      <c r="G176" s="19" t="n"/>
      <c r="H176" s="16" t="n"/>
      <c r="I176" s="19" t="n"/>
      <c r="J176" s="19" t="n"/>
      <c r="K176">
        <f>IF(A176="","",IF(L176=1,"근거·무너짐 기준을 채우세요",IF(M176=1,"핵심 이유 무너짐 → 매도 검토",IF(O176=1,"실적 발표 뒤 점검 필요",""))))</f>
        <v/>
      </c>
      <c r="L176">
        <f>IF(AND(A176&lt;&gt;"",OR(F176="",G176="")),1,0)</f>
        <v/>
      </c>
      <c r="M176">
        <f>IF(AND(A176&lt;&gt;"",E176="Y",I176="무너짐"),1,0)</f>
        <v/>
      </c>
      <c r="N176">
        <f>IF(A176="","",IFERROR(IF(INDEX('보유'!$H$11:$H$20,MATCH(A176,'보유'!$B$11:$B$20,0))="","",INDEX('보유'!$H$11:$H$20,MATCH(A176,'보유'!$B$11:$B$20,0))),""))</f>
        <v/>
      </c>
      <c r="O176">
        <f>IF(ISNUMBER(N176),IF(OR(NOT(ISNUMBER(H176)),H176&lt;N176),1,0),0)</f>
        <v/>
      </c>
    </row>
    <row r="177">
      <c r="A177" s="18" t="n"/>
      <c r="B177" s="19" t="n"/>
      <c r="C177" s="19" t="n"/>
      <c r="D177" s="19" t="n"/>
      <c r="E177" s="19" t="n"/>
      <c r="F177" s="19" t="n"/>
      <c r="G177" s="19" t="n"/>
      <c r="H177" s="16" t="n"/>
      <c r="I177" s="19" t="n"/>
      <c r="J177" s="19" t="n"/>
      <c r="K177">
        <f>IF(A177="","",IF(L177=1,"근거·무너짐 기준을 채우세요",IF(M177=1,"핵심 이유 무너짐 → 매도 검토",IF(O177=1,"실적 발표 뒤 점검 필요",""))))</f>
        <v/>
      </c>
      <c r="L177">
        <f>IF(AND(A177&lt;&gt;"",OR(F177="",G177="")),1,0)</f>
        <v/>
      </c>
      <c r="M177">
        <f>IF(AND(A177&lt;&gt;"",E177="Y",I177="무너짐"),1,0)</f>
        <v/>
      </c>
      <c r="N177">
        <f>IF(A177="","",IFERROR(IF(INDEX('보유'!$H$11:$H$20,MATCH(A177,'보유'!$B$11:$B$20,0))="","",INDEX('보유'!$H$11:$H$20,MATCH(A177,'보유'!$B$11:$B$20,0))),""))</f>
        <v/>
      </c>
      <c r="O177">
        <f>IF(ISNUMBER(N177),IF(OR(NOT(ISNUMBER(H177)),H177&lt;N177),1,0),0)</f>
        <v/>
      </c>
    </row>
    <row r="178">
      <c r="A178" s="18" t="n"/>
      <c r="B178" s="19" t="n"/>
      <c r="C178" s="19" t="n"/>
      <c r="D178" s="19" t="n"/>
      <c r="E178" s="19" t="n"/>
      <c r="F178" s="19" t="n"/>
      <c r="G178" s="19" t="n"/>
      <c r="H178" s="16" t="n"/>
      <c r="I178" s="19" t="n"/>
      <c r="J178" s="19" t="n"/>
      <c r="K178">
        <f>IF(A178="","",IF(L178=1,"근거·무너짐 기준을 채우세요",IF(M178=1,"핵심 이유 무너짐 → 매도 검토",IF(O178=1,"실적 발표 뒤 점검 필요",""))))</f>
        <v/>
      </c>
      <c r="L178">
        <f>IF(AND(A178&lt;&gt;"",OR(F178="",G178="")),1,0)</f>
        <v/>
      </c>
      <c r="M178">
        <f>IF(AND(A178&lt;&gt;"",E178="Y",I178="무너짐"),1,0)</f>
        <v/>
      </c>
      <c r="N178">
        <f>IF(A178="","",IFERROR(IF(INDEX('보유'!$H$11:$H$20,MATCH(A178,'보유'!$B$11:$B$20,0))="","",INDEX('보유'!$H$11:$H$20,MATCH(A178,'보유'!$B$11:$B$20,0))),""))</f>
        <v/>
      </c>
      <c r="O178">
        <f>IF(ISNUMBER(N178),IF(OR(NOT(ISNUMBER(H178)),H178&lt;N178),1,0),0)</f>
        <v/>
      </c>
    </row>
    <row r="179">
      <c r="A179" s="18" t="n"/>
      <c r="B179" s="19" t="n"/>
      <c r="C179" s="19" t="n"/>
      <c r="D179" s="19" t="n"/>
      <c r="E179" s="19" t="n"/>
      <c r="F179" s="19" t="n"/>
      <c r="G179" s="19" t="n"/>
      <c r="H179" s="16" t="n"/>
      <c r="I179" s="19" t="n"/>
      <c r="J179" s="19" t="n"/>
      <c r="K179">
        <f>IF(A179="","",IF(L179=1,"근거·무너짐 기준을 채우세요",IF(M179=1,"핵심 이유 무너짐 → 매도 검토",IF(O179=1,"실적 발표 뒤 점검 필요",""))))</f>
        <v/>
      </c>
      <c r="L179">
        <f>IF(AND(A179&lt;&gt;"",OR(F179="",G179="")),1,0)</f>
        <v/>
      </c>
      <c r="M179">
        <f>IF(AND(A179&lt;&gt;"",E179="Y",I179="무너짐"),1,0)</f>
        <v/>
      </c>
      <c r="N179">
        <f>IF(A179="","",IFERROR(IF(INDEX('보유'!$H$11:$H$20,MATCH(A179,'보유'!$B$11:$B$20,0))="","",INDEX('보유'!$H$11:$H$20,MATCH(A179,'보유'!$B$11:$B$20,0))),""))</f>
        <v/>
      </c>
      <c r="O179">
        <f>IF(ISNUMBER(N179),IF(OR(NOT(ISNUMBER(H179)),H179&lt;N179),1,0),0)</f>
        <v/>
      </c>
    </row>
    <row r="180">
      <c r="A180" s="18" t="n"/>
      <c r="B180" s="19" t="n"/>
      <c r="C180" s="19" t="n"/>
      <c r="D180" s="19" t="n"/>
      <c r="E180" s="19" t="n"/>
      <c r="F180" s="19" t="n"/>
      <c r="G180" s="19" t="n"/>
      <c r="H180" s="16" t="n"/>
      <c r="I180" s="19" t="n"/>
      <c r="J180" s="19" t="n"/>
      <c r="K180">
        <f>IF(A180="","",IF(L180=1,"근거·무너짐 기준을 채우세요",IF(M180=1,"핵심 이유 무너짐 → 매도 검토",IF(O180=1,"실적 발표 뒤 점검 필요",""))))</f>
        <v/>
      </c>
      <c r="L180">
        <f>IF(AND(A180&lt;&gt;"",OR(F180="",G180="")),1,0)</f>
        <v/>
      </c>
      <c r="M180">
        <f>IF(AND(A180&lt;&gt;"",E180="Y",I180="무너짐"),1,0)</f>
        <v/>
      </c>
      <c r="N180">
        <f>IF(A180="","",IFERROR(IF(INDEX('보유'!$H$11:$H$20,MATCH(A180,'보유'!$B$11:$B$20,0))="","",INDEX('보유'!$H$11:$H$20,MATCH(A180,'보유'!$B$11:$B$20,0))),""))</f>
        <v/>
      </c>
      <c r="O180">
        <f>IF(ISNUMBER(N180),IF(OR(NOT(ISNUMBER(H180)),H180&lt;N180),1,0),0)</f>
        <v/>
      </c>
    </row>
    <row r="181">
      <c r="A181" s="18" t="n"/>
      <c r="B181" s="19" t="n"/>
      <c r="C181" s="19" t="n"/>
      <c r="D181" s="19" t="n"/>
      <c r="E181" s="19" t="n"/>
      <c r="F181" s="19" t="n"/>
      <c r="G181" s="19" t="n"/>
      <c r="H181" s="16" t="n"/>
      <c r="I181" s="19" t="n"/>
      <c r="J181" s="19" t="n"/>
      <c r="K181">
        <f>IF(A181="","",IF(L181=1,"근거·무너짐 기준을 채우세요",IF(M181=1,"핵심 이유 무너짐 → 매도 검토",IF(O181=1,"실적 발표 뒤 점검 필요",""))))</f>
        <v/>
      </c>
      <c r="L181">
        <f>IF(AND(A181&lt;&gt;"",OR(F181="",G181="")),1,0)</f>
        <v/>
      </c>
      <c r="M181">
        <f>IF(AND(A181&lt;&gt;"",E181="Y",I181="무너짐"),1,0)</f>
        <v/>
      </c>
      <c r="N181">
        <f>IF(A181="","",IFERROR(IF(INDEX('보유'!$H$11:$H$20,MATCH(A181,'보유'!$B$11:$B$20,0))="","",INDEX('보유'!$H$11:$H$20,MATCH(A181,'보유'!$B$11:$B$20,0))),""))</f>
        <v/>
      </c>
      <c r="O181">
        <f>IF(ISNUMBER(N181),IF(OR(NOT(ISNUMBER(H181)),H181&lt;N181),1,0),0)</f>
        <v/>
      </c>
    </row>
    <row r="182">
      <c r="A182" s="18" t="n"/>
      <c r="B182" s="19" t="n"/>
      <c r="C182" s="19" t="n"/>
      <c r="D182" s="19" t="n"/>
      <c r="E182" s="19" t="n"/>
      <c r="F182" s="19" t="n"/>
      <c r="G182" s="19" t="n"/>
      <c r="H182" s="16" t="n"/>
      <c r="I182" s="19" t="n"/>
      <c r="J182" s="19" t="n"/>
      <c r="K182">
        <f>IF(A182="","",IF(L182=1,"근거·무너짐 기준을 채우세요",IF(M182=1,"핵심 이유 무너짐 → 매도 검토",IF(O182=1,"실적 발표 뒤 점검 필요",""))))</f>
        <v/>
      </c>
      <c r="L182">
        <f>IF(AND(A182&lt;&gt;"",OR(F182="",G182="")),1,0)</f>
        <v/>
      </c>
      <c r="M182">
        <f>IF(AND(A182&lt;&gt;"",E182="Y",I182="무너짐"),1,0)</f>
        <v/>
      </c>
      <c r="N182">
        <f>IF(A182="","",IFERROR(IF(INDEX('보유'!$H$11:$H$20,MATCH(A182,'보유'!$B$11:$B$20,0))="","",INDEX('보유'!$H$11:$H$20,MATCH(A182,'보유'!$B$11:$B$20,0))),""))</f>
        <v/>
      </c>
      <c r="O182">
        <f>IF(ISNUMBER(N182),IF(OR(NOT(ISNUMBER(H182)),H182&lt;N182),1,0),0)</f>
        <v/>
      </c>
    </row>
    <row r="183">
      <c r="A183" s="18" t="n"/>
      <c r="B183" s="19" t="n"/>
      <c r="C183" s="19" t="n"/>
      <c r="D183" s="19" t="n"/>
      <c r="E183" s="19" t="n"/>
      <c r="F183" s="19" t="n"/>
      <c r="G183" s="19" t="n"/>
      <c r="H183" s="16" t="n"/>
      <c r="I183" s="19" t="n"/>
      <c r="J183" s="19" t="n"/>
      <c r="K183">
        <f>IF(A183="","",IF(L183=1,"근거·무너짐 기준을 채우세요",IF(M183=1,"핵심 이유 무너짐 → 매도 검토",IF(O183=1,"실적 발표 뒤 점검 필요",""))))</f>
        <v/>
      </c>
      <c r="L183">
        <f>IF(AND(A183&lt;&gt;"",OR(F183="",G183="")),1,0)</f>
        <v/>
      </c>
      <c r="M183">
        <f>IF(AND(A183&lt;&gt;"",E183="Y",I183="무너짐"),1,0)</f>
        <v/>
      </c>
      <c r="N183">
        <f>IF(A183="","",IFERROR(IF(INDEX('보유'!$H$11:$H$20,MATCH(A183,'보유'!$B$11:$B$20,0))="","",INDEX('보유'!$H$11:$H$20,MATCH(A183,'보유'!$B$11:$B$20,0))),""))</f>
        <v/>
      </c>
      <c r="O183">
        <f>IF(ISNUMBER(N183),IF(OR(NOT(ISNUMBER(H183)),H183&lt;N183),1,0),0)</f>
        <v/>
      </c>
    </row>
    <row r="184">
      <c r="A184" s="18" t="n"/>
      <c r="B184" s="19" t="n"/>
      <c r="C184" s="19" t="n"/>
      <c r="D184" s="19" t="n"/>
      <c r="E184" s="19" t="n"/>
      <c r="F184" s="19" t="n"/>
      <c r="G184" s="19" t="n"/>
      <c r="H184" s="16" t="n"/>
      <c r="I184" s="19" t="n"/>
      <c r="J184" s="19" t="n"/>
      <c r="K184">
        <f>IF(A184="","",IF(L184=1,"근거·무너짐 기준을 채우세요",IF(M184=1,"핵심 이유 무너짐 → 매도 검토",IF(O184=1,"실적 발표 뒤 점검 필요",""))))</f>
        <v/>
      </c>
      <c r="L184">
        <f>IF(AND(A184&lt;&gt;"",OR(F184="",G184="")),1,0)</f>
        <v/>
      </c>
      <c r="M184">
        <f>IF(AND(A184&lt;&gt;"",E184="Y",I184="무너짐"),1,0)</f>
        <v/>
      </c>
      <c r="N184">
        <f>IF(A184="","",IFERROR(IF(INDEX('보유'!$H$11:$H$20,MATCH(A184,'보유'!$B$11:$B$20,0))="","",INDEX('보유'!$H$11:$H$20,MATCH(A184,'보유'!$B$11:$B$20,0))),""))</f>
        <v/>
      </c>
      <c r="O184">
        <f>IF(ISNUMBER(N184),IF(OR(NOT(ISNUMBER(H184)),H184&lt;N184),1,0),0)</f>
        <v/>
      </c>
    </row>
    <row r="185">
      <c r="A185" s="18" t="n"/>
      <c r="B185" s="19" t="n"/>
      <c r="C185" s="19" t="n"/>
      <c r="D185" s="19" t="n"/>
      <c r="E185" s="19" t="n"/>
      <c r="F185" s="19" t="n"/>
      <c r="G185" s="19" t="n"/>
      <c r="H185" s="16" t="n"/>
      <c r="I185" s="19" t="n"/>
      <c r="J185" s="19" t="n"/>
      <c r="K185">
        <f>IF(A185="","",IF(L185=1,"근거·무너짐 기준을 채우세요",IF(M185=1,"핵심 이유 무너짐 → 매도 검토",IF(O185=1,"실적 발표 뒤 점검 필요",""))))</f>
        <v/>
      </c>
      <c r="L185">
        <f>IF(AND(A185&lt;&gt;"",OR(F185="",G185="")),1,0)</f>
        <v/>
      </c>
      <c r="M185">
        <f>IF(AND(A185&lt;&gt;"",E185="Y",I185="무너짐"),1,0)</f>
        <v/>
      </c>
      <c r="N185">
        <f>IF(A185="","",IFERROR(IF(INDEX('보유'!$H$11:$H$20,MATCH(A185,'보유'!$B$11:$B$20,0))="","",INDEX('보유'!$H$11:$H$20,MATCH(A185,'보유'!$B$11:$B$20,0))),""))</f>
        <v/>
      </c>
      <c r="O185">
        <f>IF(ISNUMBER(N185),IF(OR(NOT(ISNUMBER(H185)),H185&lt;N185),1,0),0)</f>
        <v/>
      </c>
    </row>
    <row r="186">
      <c r="A186" s="18" t="n"/>
      <c r="B186" s="19" t="n"/>
      <c r="C186" s="19" t="n"/>
      <c r="D186" s="19" t="n"/>
      <c r="E186" s="19" t="n"/>
      <c r="F186" s="19" t="n"/>
      <c r="G186" s="19" t="n"/>
      <c r="H186" s="16" t="n"/>
      <c r="I186" s="19" t="n"/>
      <c r="J186" s="19" t="n"/>
      <c r="K186">
        <f>IF(A186="","",IF(L186=1,"근거·무너짐 기준을 채우세요",IF(M186=1,"핵심 이유 무너짐 → 매도 검토",IF(O186=1,"실적 발표 뒤 점검 필요",""))))</f>
        <v/>
      </c>
      <c r="L186">
        <f>IF(AND(A186&lt;&gt;"",OR(F186="",G186="")),1,0)</f>
        <v/>
      </c>
      <c r="M186">
        <f>IF(AND(A186&lt;&gt;"",E186="Y",I186="무너짐"),1,0)</f>
        <v/>
      </c>
      <c r="N186">
        <f>IF(A186="","",IFERROR(IF(INDEX('보유'!$H$11:$H$20,MATCH(A186,'보유'!$B$11:$B$20,0))="","",INDEX('보유'!$H$11:$H$20,MATCH(A186,'보유'!$B$11:$B$20,0))),""))</f>
        <v/>
      </c>
      <c r="O186">
        <f>IF(ISNUMBER(N186),IF(OR(NOT(ISNUMBER(H186)),H186&lt;N186),1,0),0)</f>
        <v/>
      </c>
    </row>
    <row r="187">
      <c r="A187" s="18" t="n"/>
      <c r="B187" s="19" t="n"/>
      <c r="C187" s="19" t="n"/>
      <c r="D187" s="19" t="n"/>
      <c r="E187" s="19" t="n"/>
      <c r="F187" s="19" t="n"/>
      <c r="G187" s="19" t="n"/>
      <c r="H187" s="16" t="n"/>
      <c r="I187" s="19" t="n"/>
      <c r="J187" s="19" t="n"/>
      <c r="K187">
        <f>IF(A187="","",IF(L187=1,"근거·무너짐 기준을 채우세요",IF(M187=1,"핵심 이유 무너짐 → 매도 검토",IF(O187=1,"실적 발표 뒤 점검 필요",""))))</f>
        <v/>
      </c>
      <c r="L187">
        <f>IF(AND(A187&lt;&gt;"",OR(F187="",G187="")),1,0)</f>
        <v/>
      </c>
      <c r="M187">
        <f>IF(AND(A187&lt;&gt;"",E187="Y",I187="무너짐"),1,0)</f>
        <v/>
      </c>
      <c r="N187">
        <f>IF(A187="","",IFERROR(IF(INDEX('보유'!$H$11:$H$20,MATCH(A187,'보유'!$B$11:$B$20,0))="","",INDEX('보유'!$H$11:$H$20,MATCH(A187,'보유'!$B$11:$B$20,0))),""))</f>
        <v/>
      </c>
      <c r="O187">
        <f>IF(ISNUMBER(N187),IF(OR(NOT(ISNUMBER(H187)),H187&lt;N187),1,0),0)</f>
        <v/>
      </c>
    </row>
    <row r="188">
      <c r="A188" s="18" t="n"/>
      <c r="B188" s="19" t="n"/>
      <c r="C188" s="19" t="n"/>
      <c r="D188" s="19" t="n"/>
      <c r="E188" s="19" t="n"/>
      <c r="F188" s="19" t="n"/>
      <c r="G188" s="19" t="n"/>
      <c r="H188" s="16" t="n"/>
      <c r="I188" s="19" t="n"/>
      <c r="J188" s="19" t="n"/>
      <c r="K188">
        <f>IF(A188="","",IF(L188=1,"근거·무너짐 기준을 채우세요",IF(M188=1,"핵심 이유 무너짐 → 매도 검토",IF(O188=1,"실적 발표 뒤 점검 필요",""))))</f>
        <v/>
      </c>
      <c r="L188">
        <f>IF(AND(A188&lt;&gt;"",OR(F188="",G188="")),1,0)</f>
        <v/>
      </c>
      <c r="M188">
        <f>IF(AND(A188&lt;&gt;"",E188="Y",I188="무너짐"),1,0)</f>
        <v/>
      </c>
      <c r="N188">
        <f>IF(A188="","",IFERROR(IF(INDEX('보유'!$H$11:$H$20,MATCH(A188,'보유'!$B$11:$B$20,0))="","",INDEX('보유'!$H$11:$H$20,MATCH(A188,'보유'!$B$11:$B$20,0))),""))</f>
        <v/>
      </c>
      <c r="O188">
        <f>IF(ISNUMBER(N188),IF(OR(NOT(ISNUMBER(H188)),H188&lt;N188),1,0),0)</f>
        <v/>
      </c>
    </row>
    <row r="189">
      <c r="A189" s="18" t="n"/>
      <c r="B189" s="19" t="n"/>
      <c r="C189" s="19" t="n"/>
      <c r="D189" s="19" t="n"/>
      <c r="E189" s="19" t="n"/>
      <c r="F189" s="19" t="n"/>
      <c r="G189" s="19" t="n"/>
      <c r="H189" s="16" t="n"/>
      <c r="I189" s="19" t="n"/>
      <c r="J189" s="19" t="n"/>
      <c r="K189">
        <f>IF(A189="","",IF(L189=1,"근거·무너짐 기준을 채우세요",IF(M189=1,"핵심 이유 무너짐 → 매도 검토",IF(O189=1,"실적 발표 뒤 점검 필요",""))))</f>
        <v/>
      </c>
      <c r="L189">
        <f>IF(AND(A189&lt;&gt;"",OR(F189="",G189="")),1,0)</f>
        <v/>
      </c>
      <c r="M189">
        <f>IF(AND(A189&lt;&gt;"",E189="Y",I189="무너짐"),1,0)</f>
        <v/>
      </c>
      <c r="N189">
        <f>IF(A189="","",IFERROR(IF(INDEX('보유'!$H$11:$H$20,MATCH(A189,'보유'!$B$11:$B$20,0))="","",INDEX('보유'!$H$11:$H$20,MATCH(A189,'보유'!$B$11:$B$20,0))),""))</f>
        <v/>
      </c>
      <c r="O189">
        <f>IF(ISNUMBER(N189),IF(OR(NOT(ISNUMBER(H189)),H189&lt;N189),1,0),0)</f>
        <v/>
      </c>
    </row>
    <row r="190">
      <c r="A190" s="18" t="n"/>
      <c r="B190" s="19" t="n"/>
      <c r="C190" s="19" t="n"/>
      <c r="D190" s="19" t="n"/>
      <c r="E190" s="19" t="n"/>
      <c r="F190" s="19" t="n"/>
      <c r="G190" s="19" t="n"/>
      <c r="H190" s="16" t="n"/>
      <c r="I190" s="19" t="n"/>
      <c r="J190" s="19" t="n"/>
      <c r="K190">
        <f>IF(A190="","",IF(L190=1,"근거·무너짐 기준을 채우세요",IF(M190=1,"핵심 이유 무너짐 → 매도 검토",IF(O190=1,"실적 발표 뒤 점검 필요",""))))</f>
        <v/>
      </c>
      <c r="L190">
        <f>IF(AND(A190&lt;&gt;"",OR(F190="",G190="")),1,0)</f>
        <v/>
      </c>
      <c r="M190">
        <f>IF(AND(A190&lt;&gt;"",E190="Y",I190="무너짐"),1,0)</f>
        <v/>
      </c>
      <c r="N190">
        <f>IF(A190="","",IFERROR(IF(INDEX('보유'!$H$11:$H$20,MATCH(A190,'보유'!$B$11:$B$20,0))="","",INDEX('보유'!$H$11:$H$20,MATCH(A190,'보유'!$B$11:$B$20,0))),""))</f>
        <v/>
      </c>
      <c r="O190">
        <f>IF(ISNUMBER(N190),IF(OR(NOT(ISNUMBER(H190)),H190&lt;N190),1,0),0)</f>
        <v/>
      </c>
    </row>
    <row r="191">
      <c r="A191" s="18" t="n"/>
      <c r="B191" s="19" t="n"/>
      <c r="C191" s="19" t="n"/>
      <c r="D191" s="19" t="n"/>
      <c r="E191" s="19" t="n"/>
      <c r="F191" s="19" t="n"/>
      <c r="G191" s="19" t="n"/>
      <c r="H191" s="16" t="n"/>
      <c r="I191" s="19" t="n"/>
      <c r="J191" s="19" t="n"/>
      <c r="K191">
        <f>IF(A191="","",IF(L191=1,"근거·무너짐 기준을 채우세요",IF(M191=1,"핵심 이유 무너짐 → 매도 검토",IF(O191=1,"실적 발표 뒤 점검 필요",""))))</f>
        <v/>
      </c>
      <c r="L191">
        <f>IF(AND(A191&lt;&gt;"",OR(F191="",G191="")),1,0)</f>
        <v/>
      </c>
      <c r="M191">
        <f>IF(AND(A191&lt;&gt;"",E191="Y",I191="무너짐"),1,0)</f>
        <v/>
      </c>
      <c r="N191">
        <f>IF(A191="","",IFERROR(IF(INDEX('보유'!$H$11:$H$20,MATCH(A191,'보유'!$B$11:$B$20,0))="","",INDEX('보유'!$H$11:$H$20,MATCH(A191,'보유'!$B$11:$B$20,0))),""))</f>
        <v/>
      </c>
      <c r="O191">
        <f>IF(ISNUMBER(N191),IF(OR(NOT(ISNUMBER(H191)),H191&lt;N191),1,0),0)</f>
        <v/>
      </c>
    </row>
    <row r="192">
      <c r="A192" s="18" t="n"/>
      <c r="B192" s="19" t="n"/>
      <c r="C192" s="19" t="n"/>
      <c r="D192" s="19" t="n"/>
      <c r="E192" s="19" t="n"/>
      <c r="F192" s="19" t="n"/>
      <c r="G192" s="19" t="n"/>
      <c r="H192" s="16" t="n"/>
      <c r="I192" s="19" t="n"/>
      <c r="J192" s="19" t="n"/>
      <c r="K192">
        <f>IF(A192="","",IF(L192=1,"근거·무너짐 기준을 채우세요",IF(M192=1,"핵심 이유 무너짐 → 매도 검토",IF(O192=1,"실적 발표 뒤 점검 필요",""))))</f>
        <v/>
      </c>
      <c r="L192">
        <f>IF(AND(A192&lt;&gt;"",OR(F192="",G192="")),1,0)</f>
        <v/>
      </c>
      <c r="M192">
        <f>IF(AND(A192&lt;&gt;"",E192="Y",I192="무너짐"),1,0)</f>
        <v/>
      </c>
      <c r="N192">
        <f>IF(A192="","",IFERROR(IF(INDEX('보유'!$H$11:$H$20,MATCH(A192,'보유'!$B$11:$B$20,0))="","",INDEX('보유'!$H$11:$H$20,MATCH(A192,'보유'!$B$11:$B$20,0))),""))</f>
        <v/>
      </c>
      <c r="O192">
        <f>IF(ISNUMBER(N192),IF(OR(NOT(ISNUMBER(H192)),H192&lt;N192),1,0),0)</f>
        <v/>
      </c>
    </row>
    <row r="193">
      <c r="A193" s="18" t="n"/>
      <c r="B193" s="19" t="n"/>
      <c r="C193" s="19" t="n"/>
      <c r="D193" s="19" t="n"/>
      <c r="E193" s="19" t="n"/>
      <c r="F193" s="19" t="n"/>
      <c r="G193" s="19" t="n"/>
      <c r="H193" s="16" t="n"/>
      <c r="I193" s="19" t="n"/>
      <c r="J193" s="19" t="n"/>
      <c r="K193">
        <f>IF(A193="","",IF(L193=1,"근거·무너짐 기준을 채우세요",IF(M193=1,"핵심 이유 무너짐 → 매도 검토",IF(O193=1,"실적 발표 뒤 점검 필요",""))))</f>
        <v/>
      </c>
      <c r="L193">
        <f>IF(AND(A193&lt;&gt;"",OR(F193="",G193="")),1,0)</f>
        <v/>
      </c>
      <c r="M193">
        <f>IF(AND(A193&lt;&gt;"",E193="Y",I193="무너짐"),1,0)</f>
        <v/>
      </c>
      <c r="N193">
        <f>IF(A193="","",IFERROR(IF(INDEX('보유'!$H$11:$H$20,MATCH(A193,'보유'!$B$11:$B$20,0))="","",INDEX('보유'!$H$11:$H$20,MATCH(A193,'보유'!$B$11:$B$20,0))),""))</f>
        <v/>
      </c>
      <c r="O193">
        <f>IF(ISNUMBER(N193),IF(OR(NOT(ISNUMBER(H193)),H193&lt;N193),1,0),0)</f>
        <v/>
      </c>
    </row>
    <row r="194">
      <c r="A194" s="18" t="n"/>
      <c r="B194" s="19" t="n"/>
      <c r="C194" s="19" t="n"/>
      <c r="D194" s="19" t="n"/>
      <c r="E194" s="19" t="n"/>
      <c r="F194" s="19" t="n"/>
      <c r="G194" s="19" t="n"/>
      <c r="H194" s="16" t="n"/>
      <c r="I194" s="19" t="n"/>
      <c r="J194" s="19" t="n"/>
      <c r="K194">
        <f>IF(A194="","",IF(L194=1,"근거·무너짐 기준을 채우세요",IF(M194=1,"핵심 이유 무너짐 → 매도 검토",IF(O194=1,"실적 발표 뒤 점검 필요",""))))</f>
        <v/>
      </c>
      <c r="L194">
        <f>IF(AND(A194&lt;&gt;"",OR(F194="",G194="")),1,0)</f>
        <v/>
      </c>
      <c r="M194">
        <f>IF(AND(A194&lt;&gt;"",E194="Y",I194="무너짐"),1,0)</f>
        <v/>
      </c>
      <c r="N194">
        <f>IF(A194="","",IFERROR(IF(INDEX('보유'!$H$11:$H$20,MATCH(A194,'보유'!$B$11:$B$20,0))="","",INDEX('보유'!$H$11:$H$20,MATCH(A194,'보유'!$B$11:$B$20,0))),""))</f>
        <v/>
      </c>
      <c r="O194">
        <f>IF(ISNUMBER(N194),IF(OR(NOT(ISNUMBER(H194)),H194&lt;N194),1,0),0)</f>
        <v/>
      </c>
    </row>
    <row r="195">
      <c r="A195" s="18" t="n"/>
      <c r="B195" s="19" t="n"/>
      <c r="C195" s="19" t="n"/>
      <c r="D195" s="19" t="n"/>
      <c r="E195" s="19" t="n"/>
      <c r="F195" s="19" t="n"/>
      <c r="G195" s="19" t="n"/>
      <c r="H195" s="16" t="n"/>
      <c r="I195" s="19" t="n"/>
      <c r="J195" s="19" t="n"/>
      <c r="K195">
        <f>IF(A195="","",IF(L195=1,"근거·무너짐 기준을 채우세요",IF(M195=1,"핵심 이유 무너짐 → 매도 검토",IF(O195=1,"실적 발표 뒤 점검 필요",""))))</f>
        <v/>
      </c>
      <c r="L195">
        <f>IF(AND(A195&lt;&gt;"",OR(F195="",G195="")),1,0)</f>
        <v/>
      </c>
      <c r="M195">
        <f>IF(AND(A195&lt;&gt;"",E195="Y",I195="무너짐"),1,0)</f>
        <v/>
      </c>
      <c r="N195">
        <f>IF(A195="","",IFERROR(IF(INDEX('보유'!$H$11:$H$20,MATCH(A195,'보유'!$B$11:$B$20,0))="","",INDEX('보유'!$H$11:$H$20,MATCH(A195,'보유'!$B$11:$B$20,0))),""))</f>
        <v/>
      </c>
      <c r="O195">
        <f>IF(ISNUMBER(N195),IF(OR(NOT(ISNUMBER(H195)),H195&lt;N195),1,0),0)</f>
        <v/>
      </c>
    </row>
    <row r="196">
      <c r="A196" s="18" t="n"/>
      <c r="B196" s="19" t="n"/>
      <c r="C196" s="19" t="n"/>
      <c r="D196" s="19" t="n"/>
      <c r="E196" s="19" t="n"/>
      <c r="F196" s="19" t="n"/>
      <c r="G196" s="19" t="n"/>
      <c r="H196" s="16" t="n"/>
      <c r="I196" s="19" t="n"/>
      <c r="J196" s="19" t="n"/>
      <c r="K196">
        <f>IF(A196="","",IF(L196=1,"근거·무너짐 기준을 채우세요",IF(M196=1,"핵심 이유 무너짐 → 매도 검토",IF(O196=1,"실적 발표 뒤 점검 필요",""))))</f>
        <v/>
      </c>
      <c r="L196">
        <f>IF(AND(A196&lt;&gt;"",OR(F196="",G196="")),1,0)</f>
        <v/>
      </c>
      <c r="M196">
        <f>IF(AND(A196&lt;&gt;"",E196="Y",I196="무너짐"),1,0)</f>
        <v/>
      </c>
      <c r="N196">
        <f>IF(A196="","",IFERROR(IF(INDEX('보유'!$H$11:$H$20,MATCH(A196,'보유'!$B$11:$B$20,0))="","",INDEX('보유'!$H$11:$H$20,MATCH(A196,'보유'!$B$11:$B$20,0))),""))</f>
        <v/>
      </c>
      <c r="O196">
        <f>IF(ISNUMBER(N196),IF(OR(NOT(ISNUMBER(H196)),H196&lt;N196),1,0),0)</f>
        <v/>
      </c>
    </row>
    <row r="197">
      <c r="A197" s="18" t="n"/>
      <c r="B197" s="19" t="n"/>
      <c r="C197" s="19" t="n"/>
      <c r="D197" s="19" t="n"/>
      <c r="E197" s="19" t="n"/>
      <c r="F197" s="19" t="n"/>
      <c r="G197" s="19" t="n"/>
      <c r="H197" s="16" t="n"/>
      <c r="I197" s="19" t="n"/>
      <c r="J197" s="19" t="n"/>
      <c r="K197">
        <f>IF(A197="","",IF(L197=1,"근거·무너짐 기준을 채우세요",IF(M197=1,"핵심 이유 무너짐 → 매도 검토",IF(O197=1,"실적 발표 뒤 점검 필요",""))))</f>
        <v/>
      </c>
      <c r="L197">
        <f>IF(AND(A197&lt;&gt;"",OR(F197="",G197="")),1,0)</f>
        <v/>
      </c>
      <c r="M197">
        <f>IF(AND(A197&lt;&gt;"",E197="Y",I197="무너짐"),1,0)</f>
        <v/>
      </c>
      <c r="N197">
        <f>IF(A197="","",IFERROR(IF(INDEX('보유'!$H$11:$H$20,MATCH(A197,'보유'!$B$11:$B$20,0))="","",INDEX('보유'!$H$11:$H$20,MATCH(A197,'보유'!$B$11:$B$20,0))),""))</f>
        <v/>
      </c>
      <c r="O197">
        <f>IF(ISNUMBER(N197),IF(OR(NOT(ISNUMBER(H197)),H197&lt;N197),1,0),0)</f>
        <v/>
      </c>
    </row>
    <row r="198">
      <c r="A198" s="18" t="n"/>
      <c r="B198" s="19" t="n"/>
      <c r="C198" s="19" t="n"/>
      <c r="D198" s="19" t="n"/>
      <c r="E198" s="19" t="n"/>
      <c r="F198" s="19" t="n"/>
      <c r="G198" s="19" t="n"/>
      <c r="H198" s="16" t="n"/>
      <c r="I198" s="19" t="n"/>
      <c r="J198" s="19" t="n"/>
      <c r="K198">
        <f>IF(A198="","",IF(L198=1,"근거·무너짐 기준을 채우세요",IF(M198=1,"핵심 이유 무너짐 → 매도 검토",IF(O198=1,"실적 발표 뒤 점검 필요",""))))</f>
        <v/>
      </c>
      <c r="L198">
        <f>IF(AND(A198&lt;&gt;"",OR(F198="",G198="")),1,0)</f>
        <v/>
      </c>
      <c r="M198">
        <f>IF(AND(A198&lt;&gt;"",E198="Y",I198="무너짐"),1,0)</f>
        <v/>
      </c>
      <c r="N198">
        <f>IF(A198="","",IFERROR(IF(INDEX('보유'!$H$11:$H$20,MATCH(A198,'보유'!$B$11:$B$20,0))="","",INDEX('보유'!$H$11:$H$20,MATCH(A198,'보유'!$B$11:$B$20,0))),""))</f>
        <v/>
      </c>
      <c r="O198">
        <f>IF(ISNUMBER(N198),IF(OR(NOT(ISNUMBER(H198)),H198&lt;N198),1,0),0)</f>
        <v/>
      </c>
    </row>
    <row r="199">
      <c r="A199" s="18" t="n"/>
      <c r="B199" s="19" t="n"/>
      <c r="C199" s="19" t="n"/>
      <c r="D199" s="19" t="n"/>
      <c r="E199" s="19" t="n"/>
      <c r="F199" s="19" t="n"/>
      <c r="G199" s="19" t="n"/>
      <c r="H199" s="16" t="n"/>
      <c r="I199" s="19" t="n"/>
      <c r="J199" s="19" t="n"/>
      <c r="K199">
        <f>IF(A199="","",IF(L199=1,"근거·무너짐 기준을 채우세요",IF(M199=1,"핵심 이유 무너짐 → 매도 검토",IF(O199=1,"실적 발표 뒤 점검 필요",""))))</f>
        <v/>
      </c>
      <c r="L199">
        <f>IF(AND(A199&lt;&gt;"",OR(F199="",G199="")),1,0)</f>
        <v/>
      </c>
      <c r="M199">
        <f>IF(AND(A199&lt;&gt;"",E199="Y",I199="무너짐"),1,0)</f>
        <v/>
      </c>
      <c r="N199">
        <f>IF(A199="","",IFERROR(IF(INDEX('보유'!$H$11:$H$20,MATCH(A199,'보유'!$B$11:$B$20,0))="","",INDEX('보유'!$H$11:$H$20,MATCH(A199,'보유'!$B$11:$B$20,0))),""))</f>
        <v/>
      </c>
      <c r="O199">
        <f>IF(ISNUMBER(N199),IF(OR(NOT(ISNUMBER(H199)),H199&lt;N199),1,0),0)</f>
        <v/>
      </c>
    </row>
    <row r="200">
      <c r="A200" s="18" t="n"/>
      <c r="B200" s="19" t="n"/>
      <c r="C200" s="19" t="n"/>
      <c r="D200" s="19" t="n"/>
      <c r="E200" s="19" t="n"/>
      <c r="F200" s="19" t="n"/>
      <c r="G200" s="19" t="n"/>
      <c r="H200" s="16" t="n"/>
      <c r="I200" s="19" t="n"/>
      <c r="J200" s="19" t="n"/>
      <c r="K200">
        <f>IF(A200="","",IF(L200=1,"근거·무너짐 기준을 채우세요",IF(M200=1,"핵심 이유 무너짐 → 매도 검토",IF(O200=1,"실적 발표 뒤 점검 필요",""))))</f>
        <v/>
      </c>
      <c r="L200">
        <f>IF(AND(A200&lt;&gt;"",OR(F200="",G200="")),1,0)</f>
        <v/>
      </c>
      <c r="M200">
        <f>IF(AND(A200&lt;&gt;"",E200="Y",I200="무너짐"),1,0)</f>
        <v/>
      </c>
      <c r="N200">
        <f>IF(A200="","",IFERROR(IF(INDEX('보유'!$H$11:$H$20,MATCH(A200,'보유'!$B$11:$B$20,0))="","",INDEX('보유'!$H$11:$H$20,MATCH(A200,'보유'!$B$11:$B$20,0))),""))</f>
        <v/>
      </c>
      <c r="O200">
        <f>IF(ISNUMBER(N200),IF(OR(NOT(ISNUMBER(H200)),H200&lt;N200),1,0),0)</f>
        <v/>
      </c>
    </row>
    <row r="201">
      <c r="A201" s="18" t="n"/>
      <c r="B201" s="19" t="n"/>
      <c r="C201" s="19" t="n"/>
      <c r="D201" s="19" t="n"/>
      <c r="E201" s="19" t="n"/>
      <c r="F201" s="19" t="n"/>
      <c r="G201" s="19" t="n"/>
      <c r="H201" s="16" t="n"/>
      <c r="I201" s="19" t="n"/>
      <c r="J201" s="19" t="n"/>
      <c r="K201">
        <f>IF(A201="","",IF(L201=1,"근거·무너짐 기준을 채우세요",IF(M201=1,"핵심 이유 무너짐 → 매도 검토",IF(O201=1,"실적 발표 뒤 점검 필요",""))))</f>
        <v/>
      </c>
      <c r="L201">
        <f>IF(AND(A201&lt;&gt;"",OR(F201="",G201="")),1,0)</f>
        <v/>
      </c>
      <c r="M201">
        <f>IF(AND(A201&lt;&gt;"",E201="Y",I201="무너짐"),1,0)</f>
        <v/>
      </c>
      <c r="N201">
        <f>IF(A201="","",IFERROR(IF(INDEX('보유'!$H$11:$H$20,MATCH(A201,'보유'!$B$11:$B$20,0))="","",INDEX('보유'!$H$11:$H$20,MATCH(A201,'보유'!$B$11:$B$20,0))),""))</f>
        <v/>
      </c>
      <c r="O201">
        <f>IF(ISNUMBER(N201),IF(OR(NOT(ISNUMBER(H201)),H201&lt;N201),1,0),0)</f>
        <v/>
      </c>
    </row>
    <row r="202">
      <c r="A202" s="18" t="n"/>
      <c r="B202" s="19" t="n"/>
      <c r="C202" s="19" t="n"/>
      <c r="D202" s="19" t="n"/>
      <c r="E202" s="19" t="n"/>
      <c r="F202" s="19" t="n"/>
      <c r="G202" s="19" t="n"/>
      <c r="H202" s="16" t="n"/>
      <c r="I202" s="19" t="n"/>
      <c r="J202" s="19" t="n"/>
      <c r="K202">
        <f>IF(A202="","",IF(L202=1,"근거·무너짐 기준을 채우세요",IF(M202=1,"핵심 이유 무너짐 → 매도 검토",IF(O202=1,"실적 발표 뒤 점검 필요",""))))</f>
        <v/>
      </c>
      <c r="L202">
        <f>IF(AND(A202&lt;&gt;"",OR(F202="",G202="")),1,0)</f>
        <v/>
      </c>
      <c r="M202">
        <f>IF(AND(A202&lt;&gt;"",E202="Y",I202="무너짐"),1,0)</f>
        <v/>
      </c>
      <c r="N202">
        <f>IF(A202="","",IFERROR(IF(INDEX('보유'!$H$11:$H$20,MATCH(A202,'보유'!$B$11:$B$20,0))="","",INDEX('보유'!$H$11:$H$20,MATCH(A202,'보유'!$B$11:$B$20,0))),""))</f>
        <v/>
      </c>
      <c r="O202">
        <f>IF(ISNUMBER(N202),IF(OR(NOT(ISNUMBER(H202)),H202&lt;N202),1,0),0)</f>
        <v/>
      </c>
    </row>
    <row r="203">
      <c r="A203" s="18" t="n"/>
      <c r="B203" s="19" t="n"/>
      <c r="C203" s="19" t="n"/>
      <c r="D203" s="19" t="n"/>
      <c r="E203" s="19" t="n"/>
      <c r="F203" s="19" t="n"/>
      <c r="G203" s="19" t="n"/>
      <c r="H203" s="16" t="n"/>
      <c r="I203" s="19" t="n"/>
      <c r="J203" s="19" t="n"/>
      <c r="K203">
        <f>IF(A203="","",IF(L203=1,"근거·무너짐 기준을 채우세요",IF(M203=1,"핵심 이유 무너짐 → 매도 검토",IF(O203=1,"실적 발표 뒤 점검 필요",""))))</f>
        <v/>
      </c>
      <c r="L203">
        <f>IF(AND(A203&lt;&gt;"",OR(F203="",G203="")),1,0)</f>
        <v/>
      </c>
      <c r="M203">
        <f>IF(AND(A203&lt;&gt;"",E203="Y",I203="무너짐"),1,0)</f>
        <v/>
      </c>
      <c r="N203">
        <f>IF(A203="","",IFERROR(IF(INDEX('보유'!$H$11:$H$20,MATCH(A203,'보유'!$B$11:$B$20,0))="","",INDEX('보유'!$H$11:$H$20,MATCH(A203,'보유'!$B$11:$B$20,0))),""))</f>
        <v/>
      </c>
      <c r="O203">
        <f>IF(ISNUMBER(N203),IF(OR(NOT(ISNUMBER(H203)),H203&lt;N203),1,0),0)</f>
        <v/>
      </c>
    </row>
    <row r="204">
      <c r="A204" s="18" t="n"/>
      <c r="B204" s="19" t="n"/>
      <c r="C204" s="19" t="n"/>
      <c r="D204" s="19" t="n"/>
      <c r="E204" s="19" t="n"/>
      <c r="F204" s="19" t="n"/>
      <c r="G204" s="19" t="n"/>
      <c r="H204" s="16" t="n"/>
      <c r="I204" s="19" t="n"/>
      <c r="J204" s="19" t="n"/>
      <c r="K204">
        <f>IF(A204="","",IF(L204=1,"근거·무너짐 기준을 채우세요",IF(M204=1,"핵심 이유 무너짐 → 매도 검토",IF(O204=1,"실적 발표 뒤 점검 필요",""))))</f>
        <v/>
      </c>
      <c r="L204">
        <f>IF(AND(A204&lt;&gt;"",OR(F204="",G204="")),1,0)</f>
        <v/>
      </c>
      <c r="M204">
        <f>IF(AND(A204&lt;&gt;"",E204="Y",I204="무너짐"),1,0)</f>
        <v/>
      </c>
      <c r="N204">
        <f>IF(A204="","",IFERROR(IF(INDEX('보유'!$H$11:$H$20,MATCH(A204,'보유'!$B$11:$B$20,0))="","",INDEX('보유'!$H$11:$H$20,MATCH(A204,'보유'!$B$11:$B$20,0))),""))</f>
        <v/>
      </c>
      <c r="O204">
        <f>IF(ISNUMBER(N204),IF(OR(NOT(ISNUMBER(H204)),H204&lt;N204),1,0),0)</f>
        <v/>
      </c>
    </row>
    <row r="205">
      <c r="A205" s="18" t="n"/>
      <c r="B205" s="19" t="n"/>
      <c r="C205" s="19" t="n"/>
      <c r="D205" s="19" t="n"/>
      <c r="E205" s="19" t="n"/>
      <c r="F205" s="19" t="n"/>
      <c r="G205" s="19" t="n"/>
      <c r="H205" s="16" t="n"/>
      <c r="I205" s="19" t="n"/>
      <c r="J205" s="19" t="n"/>
      <c r="K205">
        <f>IF(A205="","",IF(L205=1,"근거·무너짐 기준을 채우세요",IF(M205=1,"핵심 이유 무너짐 → 매도 검토",IF(O205=1,"실적 발표 뒤 점검 필요",""))))</f>
        <v/>
      </c>
      <c r="L205">
        <f>IF(AND(A205&lt;&gt;"",OR(F205="",G205="")),1,0)</f>
        <v/>
      </c>
      <c r="M205">
        <f>IF(AND(A205&lt;&gt;"",E205="Y",I205="무너짐"),1,0)</f>
        <v/>
      </c>
      <c r="N205">
        <f>IF(A205="","",IFERROR(IF(INDEX('보유'!$H$11:$H$20,MATCH(A205,'보유'!$B$11:$B$20,0))="","",INDEX('보유'!$H$11:$H$20,MATCH(A205,'보유'!$B$11:$B$20,0))),""))</f>
        <v/>
      </c>
      <c r="O205">
        <f>IF(ISNUMBER(N205),IF(OR(NOT(ISNUMBER(H205)),H205&lt;N205),1,0),0)</f>
        <v/>
      </c>
    </row>
  </sheetData>
  <dataValidations count="2">
    <dataValidation sqref="E6:E205" showDropDown="0" showInputMessage="0" showErrorMessage="0" allowBlank="1" type="list">
      <formula1>"Y"</formula1>
    </dataValidation>
    <dataValidation sqref="I6:I205" showDropDown="0" showInputMessage="0" showErrorMessage="0" allowBlank="1" type="list">
      <formula1>"유지,무너짐"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3" customWidth="1" min="4" max="4"/>
    <col width="11" customWidth="1" min="5" max="5"/>
    <col width="40" customWidth="1" min="6" max="6"/>
    <col width="9" customWidth="1" min="7" max="7"/>
    <col width="9" customWidth="1" min="8" max="8"/>
    <col width="6" customWidth="1" min="9" max="9"/>
    <col width="7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8" customWidth="1" min="16" max="16"/>
    <col width="14" customWidth="1" min="17" max="17"/>
    <col width="16" customWidth="1" min="18" max="18"/>
  </cols>
  <sheetData>
    <row r="1">
      <c r="A1" s="4" t="inlineStr">
        <is>
          <t>신규 종목 매수 계획 (명세 3·7)</t>
        </is>
      </c>
    </row>
    <row r="2">
      <c r="A2" s="5" t="inlineStr">
        <is>
          <t>시장 심리 점수로 몇 번에 나눠 살지만 정한다(금액은 똑같이 나눔). 미국 종목은 미국 지수, 한국 종목은 한국 지수를 쓴다.</t>
        </is>
      </c>
    </row>
    <row r="5" ht="32" customHeight="1">
      <c r="A5" s="6" t="inlineStr">
        <is>
          <t>국가</t>
        </is>
      </c>
      <c r="B5" s="6" t="inlineStr">
        <is>
          <t>종목코드</t>
        </is>
      </c>
      <c r="C5" s="6" t="inlineStr">
        <is>
          <t>종목명</t>
        </is>
      </c>
      <c r="D5" s="6" t="inlineStr">
        <is>
          <t>총 매수
예정액(원)</t>
        </is>
      </c>
      <c r="E5" s="6" t="inlineStr">
        <is>
          <t>시작일</t>
        </is>
      </c>
      <c r="F5" s="6" t="inlineStr">
        <is>
          <t>제안</t>
        </is>
      </c>
      <c r="G5" s="6" t="inlineStr">
        <is>
          <t>시장 심리
점수</t>
        </is>
      </c>
      <c r="H5" s="6" t="inlineStr">
        <is>
          <t>구간</t>
        </is>
      </c>
      <c r="I5" s="6" t="inlineStr">
        <is>
          <t>횟수</t>
        </is>
      </c>
      <c r="J5" s="6" t="inlineStr">
        <is>
          <t>간격(주)</t>
        </is>
      </c>
      <c r="K5" s="6" t="inlineStr">
        <is>
          <t>1회 금액(원)</t>
        </is>
      </c>
      <c r="L5" s="6" t="inlineStr">
        <is>
          <t>1회차</t>
        </is>
      </c>
      <c r="M5" s="6" t="inlineStr">
        <is>
          <t>2회차</t>
        </is>
      </c>
      <c r="N5" s="6" t="inlineStr">
        <is>
          <t>3회차</t>
        </is>
      </c>
      <c r="O5" s="6" t="inlineStr">
        <is>
          <t>4회차</t>
        </is>
      </c>
      <c r="P5" s="6" t="inlineStr">
        <is>
          <t>종목 점수</t>
        </is>
      </c>
      <c r="Q5" s="6" t="inlineStr">
        <is>
          <t>편입 후보</t>
        </is>
      </c>
      <c r="R5" s="6" t="inlineStr">
        <is>
          <t>매수 이유 기록</t>
        </is>
      </c>
    </row>
    <row r="6">
      <c r="A6" s="19" t="inlineStr">
        <is>
          <t>한국</t>
        </is>
      </c>
      <c r="B6" s="18" t="inlineStr">
        <is>
          <t>K07</t>
        </is>
      </c>
      <c r="C6" s="19" t="inlineStr">
        <is>
          <t>예시소프트</t>
        </is>
      </c>
      <c r="D6" s="20" t="n">
        <v>10000000</v>
      </c>
      <c r="E6" s="16" t="n">
        <v>46307</v>
      </c>
      <c r="F6" s="7">
        <f>IF(B6="","",IF(R6&lt;&gt;"기록 완료","매수하지 않음: 매수 이유 "&amp;R6,IF(NOT(ISNUMBER(G6)),"심리 점수 없음",IF(I6=1,"1회에 전부"&amp;IF(ISNUMBER(K6),", "&amp;TEXT(K6,"#,##0")&amp;"원",""),I6&amp;"회, "&amp;J6&amp;"주 간격"&amp;IF(ISNUMBER(K6),", 1회 "&amp;TEXT(K6,"#,##0")&amp;"원",""))&amp;IF(Q6&lt;&gt;"예"," · 주의: 편입 후보 아님",""))))</f>
        <v/>
      </c>
      <c r="G6" s="11">
        <f>IF(A6="미국",'심리_미국'!$B$6,IF(A6="한국",'심리_한국'!$B$6,""))</f>
        <v/>
      </c>
      <c r="H6">
        <f>IF(ISNUMBER(G6),INDEX('설정'!$B$27:$B$31,MATCH(G6,'설정'!$A$27:$A$31,1)),"")</f>
        <v/>
      </c>
      <c r="I6">
        <f>IF(ISNUMBER(G6),INDEX('설정'!$C$27:$C$31,MATCH(G6,'설정'!$A$27:$A$31,1)),"")</f>
        <v/>
      </c>
      <c r="J6">
        <f>IF(ISNUMBER(G6),INDEX('설정'!$D$27:$D$31,MATCH(G6,'설정'!$A$27:$A$31,1)),"")</f>
        <v/>
      </c>
      <c r="K6" s="25">
        <f>IF(AND(R6="기록 완료",ISNUMBER(D6),ISNUMBER(I6)),D6/I6,"")</f>
        <v/>
      </c>
      <c r="L6" s="10">
        <f>IF(AND(R6="기록 완료",ISNUMBER(E6),ISNUMBER(I6)),IF(1&lt;=I6,E6+0*J6*7,""),"")</f>
        <v/>
      </c>
      <c r="M6" s="10">
        <f>IF(AND(R6="기록 완료",ISNUMBER(E6),ISNUMBER(I6)),IF(2&lt;=I6,E6+1*J6*7,""),"")</f>
        <v/>
      </c>
      <c r="N6" s="10">
        <f>IF(AND(R6="기록 완료",ISNUMBER(E6),ISNUMBER(I6)),IF(3&lt;=I6,E6+2*J6*7,""),"")</f>
        <v/>
      </c>
      <c r="O6" s="10">
        <f>IF(AND(R6="기록 완료",ISNUMBER(E6),ISNUMBER(I6)),IF(4&lt;=I6,E6+3*J6*7,""),"")</f>
        <v/>
      </c>
      <c r="P6" s="11">
        <f>IF(A6="한국",IFERROR(INDEX('종목_한국'!$R$6:$R$105,MATCH(B6,'종목_한국'!$A$6:$A$105,0)),""),IF(A6="미국",IFERROR(INDEX('종목_미국'!$R$6:$R$105,MATCH(B6,'종목_미국'!$A$6:$A$105,0)),""),""))</f>
        <v/>
      </c>
      <c r="Q6">
        <f>IF(B6="","",IF(ISNUMBER(P6),IF(P6&gt;='설정'!$B$5,"예","아니오(70 미만)"),"점수 없음"))</f>
        <v/>
      </c>
      <c r="R6">
        <f>IF(B6="","",IF(COUNTIF('매수이유'!$A$6:$A$205,B6)=0,"기록 없음",IF(COUNTIF('매수이유'!$A$6:$A$205,B6)&gt;3,"이유 3개 초과",IF(COUNTIFS('매수이유'!$A$6:$A$205,B6,'매수이유'!$E$6:$E$205,"Y")&lt;&gt;1,"핵심 1개 표시 필요",IF(SUMIFS('매수이유'!$L$6:$L$205,'매수이유'!$A$6:$A$205,B6)&gt;0,"근거·기준 미기재","기록 완료")))))</f>
        <v/>
      </c>
    </row>
    <row r="7">
      <c r="A7" s="19" t="inlineStr">
        <is>
          <t>미국</t>
        </is>
      </c>
      <c r="B7" s="18" t="inlineStr">
        <is>
          <t>U03</t>
        </is>
      </c>
      <c r="C7" s="19" t="inlineStr">
        <is>
          <t>예시클라우드</t>
        </is>
      </c>
      <c r="D7" s="20" t="n">
        <v>6000000</v>
      </c>
      <c r="E7" s="16" t="n">
        <v>46307</v>
      </c>
      <c r="F7" s="7">
        <f>IF(B7="","",IF(R7&lt;&gt;"기록 완료","매수하지 않음: 매수 이유 "&amp;R7,IF(NOT(ISNUMBER(G7)),"심리 점수 없음",IF(I7=1,"1회에 전부"&amp;IF(ISNUMBER(K7),", "&amp;TEXT(K7,"#,##0")&amp;"원",""),I7&amp;"회, "&amp;J7&amp;"주 간격"&amp;IF(ISNUMBER(K7),", 1회 "&amp;TEXT(K7,"#,##0")&amp;"원",""))&amp;IF(Q7&lt;&gt;"예"," · 주의: 편입 후보 아님",""))))</f>
        <v/>
      </c>
      <c r="G7" s="11">
        <f>IF(A7="미국",'심리_미국'!$B$6,IF(A7="한국",'심리_한국'!$B$6,""))</f>
        <v/>
      </c>
      <c r="H7">
        <f>IF(ISNUMBER(G7),INDEX('설정'!$B$27:$B$31,MATCH(G7,'설정'!$A$27:$A$31,1)),"")</f>
        <v/>
      </c>
      <c r="I7">
        <f>IF(ISNUMBER(G7),INDEX('설정'!$C$27:$C$31,MATCH(G7,'설정'!$A$27:$A$31,1)),"")</f>
        <v/>
      </c>
      <c r="J7">
        <f>IF(ISNUMBER(G7),INDEX('설정'!$D$27:$D$31,MATCH(G7,'설정'!$A$27:$A$31,1)),"")</f>
        <v/>
      </c>
      <c r="K7" s="25">
        <f>IF(AND(R7="기록 완료",ISNUMBER(D7),ISNUMBER(I7)),D7/I7,"")</f>
        <v/>
      </c>
      <c r="L7" s="10">
        <f>IF(AND(R7="기록 완료",ISNUMBER(E7),ISNUMBER(I7)),IF(1&lt;=I7,E7+0*J7*7,""),"")</f>
        <v/>
      </c>
      <c r="M7" s="10">
        <f>IF(AND(R7="기록 완료",ISNUMBER(E7),ISNUMBER(I7)),IF(2&lt;=I7,E7+1*J7*7,""),"")</f>
        <v/>
      </c>
      <c r="N7" s="10">
        <f>IF(AND(R7="기록 완료",ISNUMBER(E7),ISNUMBER(I7)),IF(3&lt;=I7,E7+2*J7*7,""),"")</f>
        <v/>
      </c>
      <c r="O7" s="10">
        <f>IF(AND(R7="기록 완료",ISNUMBER(E7),ISNUMBER(I7)),IF(4&lt;=I7,E7+3*J7*7,""),"")</f>
        <v/>
      </c>
      <c r="P7" s="11">
        <f>IF(A7="한국",IFERROR(INDEX('종목_한국'!$R$6:$R$105,MATCH(B7,'종목_한국'!$A$6:$A$105,0)),""),IF(A7="미국",IFERROR(INDEX('종목_미국'!$R$6:$R$105,MATCH(B7,'종목_미국'!$A$6:$A$105,0)),""),""))</f>
        <v/>
      </c>
      <c r="Q7">
        <f>IF(B7="","",IF(ISNUMBER(P7),IF(P7&gt;='설정'!$B$5,"예","아니오(70 미만)"),"점수 없음"))</f>
        <v/>
      </c>
      <c r="R7">
        <f>IF(B7="","",IF(COUNTIF('매수이유'!$A$6:$A$205,B7)=0,"기록 없음",IF(COUNTIF('매수이유'!$A$6:$A$205,B7)&gt;3,"이유 3개 초과",IF(COUNTIFS('매수이유'!$A$6:$A$205,B7,'매수이유'!$E$6:$E$205,"Y")&lt;&gt;1,"핵심 1개 표시 필요",IF(SUMIFS('매수이유'!$L$6:$L$205,'매수이유'!$A$6:$A$205,B7)&gt;0,"근거·기준 미기재","기록 완료")))))</f>
        <v/>
      </c>
    </row>
    <row r="8">
      <c r="A8" s="19" t="n"/>
      <c r="B8" s="18" t="n"/>
      <c r="C8" s="19" t="n"/>
      <c r="D8" s="20" t="n"/>
      <c r="E8" s="16" t="n"/>
      <c r="F8" s="7">
        <f>IF(B8="","",IF(R8&lt;&gt;"기록 완료","매수하지 않음: 매수 이유 "&amp;R8,IF(NOT(ISNUMBER(G8)),"심리 점수 없음",IF(I8=1,"1회에 전부"&amp;IF(ISNUMBER(K8),", "&amp;TEXT(K8,"#,##0")&amp;"원",""),I8&amp;"회, "&amp;J8&amp;"주 간격"&amp;IF(ISNUMBER(K8),", 1회 "&amp;TEXT(K8,"#,##0")&amp;"원",""))&amp;IF(Q8&lt;&gt;"예"," · 주의: 편입 후보 아님",""))))</f>
        <v/>
      </c>
      <c r="G8" s="11">
        <f>IF(A8="미국",'심리_미국'!$B$6,IF(A8="한국",'심리_한국'!$B$6,""))</f>
        <v/>
      </c>
      <c r="H8">
        <f>IF(ISNUMBER(G8),INDEX('설정'!$B$27:$B$31,MATCH(G8,'설정'!$A$27:$A$31,1)),"")</f>
        <v/>
      </c>
      <c r="I8">
        <f>IF(ISNUMBER(G8),INDEX('설정'!$C$27:$C$31,MATCH(G8,'설정'!$A$27:$A$31,1)),"")</f>
        <v/>
      </c>
      <c r="J8">
        <f>IF(ISNUMBER(G8),INDEX('설정'!$D$27:$D$31,MATCH(G8,'설정'!$A$27:$A$31,1)),"")</f>
        <v/>
      </c>
      <c r="K8" s="25">
        <f>IF(AND(R8="기록 완료",ISNUMBER(D8),ISNUMBER(I8)),D8/I8,"")</f>
        <v/>
      </c>
      <c r="L8" s="10">
        <f>IF(AND(R8="기록 완료",ISNUMBER(E8),ISNUMBER(I8)),IF(1&lt;=I8,E8+0*J8*7,""),"")</f>
        <v/>
      </c>
      <c r="M8" s="10">
        <f>IF(AND(R8="기록 완료",ISNUMBER(E8),ISNUMBER(I8)),IF(2&lt;=I8,E8+1*J8*7,""),"")</f>
        <v/>
      </c>
      <c r="N8" s="10">
        <f>IF(AND(R8="기록 완료",ISNUMBER(E8),ISNUMBER(I8)),IF(3&lt;=I8,E8+2*J8*7,""),"")</f>
        <v/>
      </c>
      <c r="O8" s="10">
        <f>IF(AND(R8="기록 완료",ISNUMBER(E8),ISNUMBER(I8)),IF(4&lt;=I8,E8+3*J8*7,""),"")</f>
        <v/>
      </c>
      <c r="P8" s="11">
        <f>IF(A8="한국",IFERROR(INDEX('종목_한국'!$R$6:$R$105,MATCH(B8,'종목_한국'!$A$6:$A$105,0)),""),IF(A8="미국",IFERROR(INDEX('종목_미국'!$R$6:$R$105,MATCH(B8,'종목_미국'!$A$6:$A$105,0)),""),""))</f>
        <v/>
      </c>
      <c r="Q8">
        <f>IF(B8="","",IF(ISNUMBER(P8),IF(P8&gt;='설정'!$B$5,"예","아니오(70 미만)"),"점수 없음"))</f>
        <v/>
      </c>
      <c r="R8">
        <f>IF(B8="","",IF(COUNTIF('매수이유'!$A$6:$A$205,B8)=0,"기록 없음",IF(COUNTIF('매수이유'!$A$6:$A$205,B8)&gt;3,"이유 3개 초과",IF(COUNTIFS('매수이유'!$A$6:$A$205,B8,'매수이유'!$E$6:$E$205,"Y")&lt;&gt;1,"핵심 1개 표시 필요",IF(SUMIFS('매수이유'!$L$6:$L$205,'매수이유'!$A$6:$A$205,B8)&gt;0,"근거·기준 미기재","기록 완료")))))</f>
        <v/>
      </c>
    </row>
    <row r="9">
      <c r="A9" s="19" t="n"/>
      <c r="B9" s="18" t="n"/>
      <c r="C9" s="19" t="n"/>
      <c r="D9" s="20" t="n"/>
      <c r="E9" s="16" t="n"/>
      <c r="F9" s="7">
        <f>IF(B9="","",IF(R9&lt;&gt;"기록 완료","매수하지 않음: 매수 이유 "&amp;R9,IF(NOT(ISNUMBER(G9)),"심리 점수 없음",IF(I9=1,"1회에 전부"&amp;IF(ISNUMBER(K9),", "&amp;TEXT(K9,"#,##0")&amp;"원",""),I9&amp;"회, "&amp;J9&amp;"주 간격"&amp;IF(ISNUMBER(K9),", 1회 "&amp;TEXT(K9,"#,##0")&amp;"원",""))&amp;IF(Q9&lt;&gt;"예"," · 주의: 편입 후보 아님",""))))</f>
        <v/>
      </c>
      <c r="G9" s="11">
        <f>IF(A9="미국",'심리_미국'!$B$6,IF(A9="한국",'심리_한국'!$B$6,""))</f>
        <v/>
      </c>
      <c r="H9">
        <f>IF(ISNUMBER(G9),INDEX('설정'!$B$27:$B$31,MATCH(G9,'설정'!$A$27:$A$31,1)),"")</f>
        <v/>
      </c>
      <c r="I9">
        <f>IF(ISNUMBER(G9),INDEX('설정'!$C$27:$C$31,MATCH(G9,'설정'!$A$27:$A$31,1)),"")</f>
        <v/>
      </c>
      <c r="J9">
        <f>IF(ISNUMBER(G9),INDEX('설정'!$D$27:$D$31,MATCH(G9,'설정'!$A$27:$A$31,1)),"")</f>
        <v/>
      </c>
      <c r="K9" s="25">
        <f>IF(AND(R9="기록 완료",ISNUMBER(D9),ISNUMBER(I9)),D9/I9,"")</f>
        <v/>
      </c>
      <c r="L9" s="10">
        <f>IF(AND(R9="기록 완료",ISNUMBER(E9),ISNUMBER(I9)),IF(1&lt;=I9,E9+0*J9*7,""),"")</f>
        <v/>
      </c>
      <c r="M9" s="10">
        <f>IF(AND(R9="기록 완료",ISNUMBER(E9),ISNUMBER(I9)),IF(2&lt;=I9,E9+1*J9*7,""),"")</f>
        <v/>
      </c>
      <c r="N9" s="10">
        <f>IF(AND(R9="기록 완료",ISNUMBER(E9),ISNUMBER(I9)),IF(3&lt;=I9,E9+2*J9*7,""),"")</f>
        <v/>
      </c>
      <c r="O9" s="10">
        <f>IF(AND(R9="기록 완료",ISNUMBER(E9),ISNUMBER(I9)),IF(4&lt;=I9,E9+3*J9*7,""),"")</f>
        <v/>
      </c>
      <c r="P9" s="11">
        <f>IF(A9="한국",IFERROR(INDEX('종목_한국'!$R$6:$R$105,MATCH(B9,'종목_한국'!$A$6:$A$105,0)),""),IF(A9="미국",IFERROR(INDEX('종목_미국'!$R$6:$R$105,MATCH(B9,'종목_미국'!$A$6:$A$105,0)),""),""))</f>
        <v/>
      </c>
      <c r="Q9">
        <f>IF(B9="","",IF(ISNUMBER(P9),IF(P9&gt;='설정'!$B$5,"예","아니오(70 미만)"),"점수 없음"))</f>
        <v/>
      </c>
      <c r="R9">
        <f>IF(B9="","",IF(COUNTIF('매수이유'!$A$6:$A$205,B9)=0,"기록 없음",IF(COUNTIF('매수이유'!$A$6:$A$205,B9)&gt;3,"이유 3개 초과",IF(COUNTIFS('매수이유'!$A$6:$A$205,B9,'매수이유'!$E$6:$E$205,"Y")&lt;&gt;1,"핵심 1개 표시 필요",IF(SUMIFS('매수이유'!$L$6:$L$205,'매수이유'!$A$6:$A$205,B9)&gt;0,"근거·기준 미기재","기록 완료")))))</f>
        <v/>
      </c>
    </row>
    <row r="10">
      <c r="A10" s="19" t="n"/>
      <c r="B10" s="18" t="n"/>
      <c r="C10" s="19" t="n"/>
      <c r="D10" s="20" t="n"/>
      <c r="E10" s="16" t="n"/>
      <c r="F10" s="7">
        <f>IF(B10="","",IF(R10&lt;&gt;"기록 완료","매수하지 않음: 매수 이유 "&amp;R10,IF(NOT(ISNUMBER(G10)),"심리 점수 없음",IF(I10=1,"1회에 전부"&amp;IF(ISNUMBER(K10),", "&amp;TEXT(K10,"#,##0")&amp;"원",""),I10&amp;"회, "&amp;J10&amp;"주 간격"&amp;IF(ISNUMBER(K10),", 1회 "&amp;TEXT(K10,"#,##0")&amp;"원",""))&amp;IF(Q10&lt;&gt;"예"," · 주의: 편입 후보 아님",""))))</f>
        <v/>
      </c>
      <c r="G10" s="11">
        <f>IF(A10="미국",'심리_미국'!$B$6,IF(A10="한국",'심리_한국'!$B$6,""))</f>
        <v/>
      </c>
      <c r="H10">
        <f>IF(ISNUMBER(G10),INDEX('설정'!$B$27:$B$31,MATCH(G10,'설정'!$A$27:$A$31,1)),"")</f>
        <v/>
      </c>
      <c r="I10">
        <f>IF(ISNUMBER(G10),INDEX('설정'!$C$27:$C$31,MATCH(G10,'설정'!$A$27:$A$31,1)),"")</f>
        <v/>
      </c>
      <c r="J10">
        <f>IF(ISNUMBER(G10),INDEX('설정'!$D$27:$D$31,MATCH(G10,'설정'!$A$27:$A$31,1)),"")</f>
        <v/>
      </c>
      <c r="K10" s="25">
        <f>IF(AND(R10="기록 완료",ISNUMBER(D10),ISNUMBER(I10)),D10/I10,"")</f>
        <v/>
      </c>
      <c r="L10" s="10">
        <f>IF(AND(R10="기록 완료",ISNUMBER(E10),ISNUMBER(I10)),IF(1&lt;=I10,E10+0*J10*7,""),"")</f>
        <v/>
      </c>
      <c r="M10" s="10">
        <f>IF(AND(R10="기록 완료",ISNUMBER(E10),ISNUMBER(I10)),IF(2&lt;=I10,E10+1*J10*7,""),"")</f>
        <v/>
      </c>
      <c r="N10" s="10">
        <f>IF(AND(R10="기록 완료",ISNUMBER(E10),ISNUMBER(I10)),IF(3&lt;=I10,E10+2*J10*7,""),"")</f>
        <v/>
      </c>
      <c r="O10" s="10">
        <f>IF(AND(R10="기록 완료",ISNUMBER(E10),ISNUMBER(I10)),IF(4&lt;=I10,E10+3*J10*7,""),"")</f>
        <v/>
      </c>
      <c r="P10" s="11">
        <f>IF(A10="한국",IFERROR(INDEX('종목_한국'!$R$6:$R$105,MATCH(B10,'종목_한국'!$A$6:$A$105,0)),""),IF(A10="미국",IFERROR(INDEX('종목_미국'!$R$6:$R$105,MATCH(B10,'종목_미국'!$A$6:$A$105,0)),""),""))</f>
        <v/>
      </c>
      <c r="Q10">
        <f>IF(B10="","",IF(ISNUMBER(P10),IF(P10&gt;='설정'!$B$5,"예","아니오(70 미만)"),"점수 없음"))</f>
        <v/>
      </c>
      <c r="R10">
        <f>IF(B10="","",IF(COUNTIF('매수이유'!$A$6:$A$205,B10)=0,"기록 없음",IF(COUNTIF('매수이유'!$A$6:$A$205,B10)&gt;3,"이유 3개 초과",IF(COUNTIFS('매수이유'!$A$6:$A$205,B10,'매수이유'!$E$6:$E$205,"Y")&lt;&gt;1,"핵심 1개 표시 필요",IF(SUMIFS('매수이유'!$L$6:$L$205,'매수이유'!$A$6:$A$205,B10)&gt;0,"근거·기준 미기재","기록 완료")))))</f>
        <v/>
      </c>
    </row>
    <row r="11">
      <c r="A11" s="19" t="n"/>
      <c r="B11" s="18" t="n"/>
      <c r="C11" s="19" t="n"/>
      <c r="D11" s="20" t="n"/>
      <c r="E11" s="16" t="n"/>
      <c r="F11" s="7">
        <f>IF(B11="","",IF(R11&lt;&gt;"기록 완료","매수하지 않음: 매수 이유 "&amp;R11,IF(NOT(ISNUMBER(G11)),"심리 점수 없음",IF(I11=1,"1회에 전부"&amp;IF(ISNUMBER(K11),", "&amp;TEXT(K11,"#,##0")&amp;"원",""),I11&amp;"회, "&amp;J11&amp;"주 간격"&amp;IF(ISNUMBER(K11),", 1회 "&amp;TEXT(K11,"#,##0")&amp;"원",""))&amp;IF(Q11&lt;&gt;"예"," · 주의: 편입 후보 아님",""))))</f>
        <v/>
      </c>
      <c r="G11" s="11">
        <f>IF(A11="미국",'심리_미국'!$B$6,IF(A11="한국",'심리_한국'!$B$6,""))</f>
        <v/>
      </c>
      <c r="H11">
        <f>IF(ISNUMBER(G11),INDEX('설정'!$B$27:$B$31,MATCH(G11,'설정'!$A$27:$A$31,1)),"")</f>
        <v/>
      </c>
      <c r="I11">
        <f>IF(ISNUMBER(G11),INDEX('설정'!$C$27:$C$31,MATCH(G11,'설정'!$A$27:$A$31,1)),"")</f>
        <v/>
      </c>
      <c r="J11">
        <f>IF(ISNUMBER(G11),INDEX('설정'!$D$27:$D$31,MATCH(G11,'설정'!$A$27:$A$31,1)),"")</f>
        <v/>
      </c>
      <c r="K11" s="25">
        <f>IF(AND(R11="기록 완료",ISNUMBER(D11),ISNUMBER(I11)),D11/I11,"")</f>
        <v/>
      </c>
      <c r="L11" s="10">
        <f>IF(AND(R11="기록 완료",ISNUMBER(E11),ISNUMBER(I11)),IF(1&lt;=I11,E11+0*J11*7,""),"")</f>
        <v/>
      </c>
      <c r="M11" s="10">
        <f>IF(AND(R11="기록 완료",ISNUMBER(E11),ISNUMBER(I11)),IF(2&lt;=I11,E11+1*J11*7,""),"")</f>
        <v/>
      </c>
      <c r="N11" s="10">
        <f>IF(AND(R11="기록 완료",ISNUMBER(E11),ISNUMBER(I11)),IF(3&lt;=I11,E11+2*J11*7,""),"")</f>
        <v/>
      </c>
      <c r="O11" s="10">
        <f>IF(AND(R11="기록 완료",ISNUMBER(E11),ISNUMBER(I11)),IF(4&lt;=I11,E11+3*J11*7,""),"")</f>
        <v/>
      </c>
      <c r="P11" s="11">
        <f>IF(A11="한국",IFERROR(INDEX('종목_한국'!$R$6:$R$105,MATCH(B11,'종목_한국'!$A$6:$A$105,0)),""),IF(A11="미국",IFERROR(INDEX('종목_미국'!$R$6:$R$105,MATCH(B11,'종목_미국'!$A$6:$A$105,0)),""),""))</f>
        <v/>
      </c>
      <c r="Q11">
        <f>IF(B11="","",IF(ISNUMBER(P11),IF(P11&gt;='설정'!$B$5,"예","아니오(70 미만)"),"점수 없음"))</f>
        <v/>
      </c>
      <c r="R11">
        <f>IF(B11="","",IF(COUNTIF('매수이유'!$A$6:$A$205,B11)=0,"기록 없음",IF(COUNTIF('매수이유'!$A$6:$A$205,B11)&gt;3,"이유 3개 초과",IF(COUNTIFS('매수이유'!$A$6:$A$205,B11,'매수이유'!$E$6:$E$205,"Y")&lt;&gt;1,"핵심 1개 표시 필요",IF(SUMIFS('매수이유'!$L$6:$L$205,'매수이유'!$A$6:$A$205,B11)&gt;0,"근거·기준 미기재","기록 완료")))))</f>
        <v/>
      </c>
    </row>
    <row r="12">
      <c r="A12" s="19" t="n"/>
      <c r="B12" s="18" t="n"/>
      <c r="C12" s="19" t="n"/>
      <c r="D12" s="20" t="n"/>
      <c r="E12" s="16" t="n"/>
      <c r="F12" s="7">
        <f>IF(B12="","",IF(R12&lt;&gt;"기록 완료","매수하지 않음: 매수 이유 "&amp;R12,IF(NOT(ISNUMBER(G12)),"심리 점수 없음",IF(I12=1,"1회에 전부"&amp;IF(ISNUMBER(K12),", "&amp;TEXT(K12,"#,##0")&amp;"원",""),I12&amp;"회, "&amp;J12&amp;"주 간격"&amp;IF(ISNUMBER(K12),", 1회 "&amp;TEXT(K12,"#,##0")&amp;"원",""))&amp;IF(Q12&lt;&gt;"예"," · 주의: 편입 후보 아님",""))))</f>
        <v/>
      </c>
      <c r="G12" s="11">
        <f>IF(A12="미국",'심리_미국'!$B$6,IF(A12="한국",'심리_한국'!$B$6,""))</f>
        <v/>
      </c>
      <c r="H12">
        <f>IF(ISNUMBER(G12),INDEX('설정'!$B$27:$B$31,MATCH(G12,'설정'!$A$27:$A$31,1)),"")</f>
        <v/>
      </c>
      <c r="I12">
        <f>IF(ISNUMBER(G12),INDEX('설정'!$C$27:$C$31,MATCH(G12,'설정'!$A$27:$A$31,1)),"")</f>
        <v/>
      </c>
      <c r="J12">
        <f>IF(ISNUMBER(G12),INDEX('설정'!$D$27:$D$31,MATCH(G12,'설정'!$A$27:$A$31,1)),"")</f>
        <v/>
      </c>
      <c r="K12" s="25">
        <f>IF(AND(R12="기록 완료",ISNUMBER(D12),ISNUMBER(I12)),D12/I12,"")</f>
        <v/>
      </c>
      <c r="L12" s="10">
        <f>IF(AND(R12="기록 완료",ISNUMBER(E12),ISNUMBER(I12)),IF(1&lt;=I12,E12+0*J12*7,""),"")</f>
        <v/>
      </c>
      <c r="M12" s="10">
        <f>IF(AND(R12="기록 완료",ISNUMBER(E12),ISNUMBER(I12)),IF(2&lt;=I12,E12+1*J12*7,""),"")</f>
        <v/>
      </c>
      <c r="N12" s="10">
        <f>IF(AND(R12="기록 완료",ISNUMBER(E12),ISNUMBER(I12)),IF(3&lt;=I12,E12+2*J12*7,""),"")</f>
        <v/>
      </c>
      <c r="O12" s="10">
        <f>IF(AND(R12="기록 완료",ISNUMBER(E12),ISNUMBER(I12)),IF(4&lt;=I12,E12+3*J12*7,""),"")</f>
        <v/>
      </c>
      <c r="P12" s="11">
        <f>IF(A12="한국",IFERROR(INDEX('종목_한국'!$R$6:$R$105,MATCH(B12,'종목_한국'!$A$6:$A$105,0)),""),IF(A12="미국",IFERROR(INDEX('종목_미국'!$R$6:$R$105,MATCH(B12,'종목_미국'!$A$6:$A$105,0)),""),""))</f>
        <v/>
      </c>
      <c r="Q12">
        <f>IF(B12="","",IF(ISNUMBER(P12),IF(P12&gt;='설정'!$B$5,"예","아니오(70 미만)"),"점수 없음"))</f>
        <v/>
      </c>
      <c r="R12">
        <f>IF(B12="","",IF(COUNTIF('매수이유'!$A$6:$A$205,B12)=0,"기록 없음",IF(COUNTIF('매수이유'!$A$6:$A$205,B12)&gt;3,"이유 3개 초과",IF(COUNTIFS('매수이유'!$A$6:$A$205,B12,'매수이유'!$E$6:$E$205,"Y")&lt;&gt;1,"핵심 1개 표시 필요",IF(SUMIFS('매수이유'!$L$6:$L$205,'매수이유'!$A$6:$A$205,B12)&gt;0,"근거·기준 미기재","기록 완료")))))</f>
        <v/>
      </c>
    </row>
    <row r="13">
      <c r="A13" s="19" t="n"/>
      <c r="B13" s="18" t="n"/>
      <c r="C13" s="19" t="n"/>
      <c r="D13" s="20" t="n"/>
      <c r="E13" s="16" t="n"/>
      <c r="F13" s="7">
        <f>IF(B13="","",IF(R13&lt;&gt;"기록 완료","매수하지 않음: 매수 이유 "&amp;R13,IF(NOT(ISNUMBER(G13)),"심리 점수 없음",IF(I13=1,"1회에 전부"&amp;IF(ISNUMBER(K13),", "&amp;TEXT(K13,"#,##0")&amp;"원",""),I13&amp;"회, "&amp;J13&amp;"주 간격"&amp;IF(ISNUMBER(K13),", 1회 "&amp;TEXT(K13,"#,##0")&amp;"원",""))&amp;IF(Q13&lt;&gt;"예"," · 주의: 편입 후보 아님",""))))</f>
        <v/>
      </c>
      <c r="G13" s="11">
        <f>IF(A13="미국",'심리_미국'!$B$6,IF(A13="한국",'심리_한국'!$B$6,""))</f>
        <v/>
      </c>
      <c r="H13">
        <f>IF(ISNUMBER(G13),INDEX('설정'!$B$27:$B$31,MATCH(G13,'설정'!$A$27:$A$31,1)),"")</f>
        <v/>
      </c>
      <c r="I13">
        <f>IF(ISNUMBER(G13),INDEX('설정'!$C$27:$C$31,MATCH(G13,'설정'!$A$27:$A$31,1)),"")</f>
        <v/>
      </c>
      <c r="J13">
        <f>IF(ISNUMBER(G13),INDEX('설정'!$D$27:$D$31,MATCH(G13,'설정'!$A$27:$A$31,1)),"")</f>
        <v/>
      </c>
      <c r="K13" s="25">
        <f>IF(AND(R13="기록 완료",ISNUMBER(D13),ISNUMBER(I13)),D13/I13,"")</f>
        <v/>
      </c>
      <c r="L13" s="10">
        <f>IF(AND(R13="기록 완료",ISNUMBER(E13),ISNUMBER(I13)),IF(1&lt;=I13,E13+0*J13*7,""),"")</f>
        <v/>
      </c>
      <c r="M13" s="10">
        <f>IF(AND(R13="기록 완료",ISNUMBER(E13),ISNUMBER(I13)),IF(2&lt;=I13,E13+1*J13*7,""),"")</f>
        <v/>
      </c>
      <c r="N13" s="10">
        <f>IF(AND(R13="기록 완료",ISNUMBER(E13),ISNUMBER(I13)),IF(3&lt;=I13,E13+2*J13*7,""),"")</f>
        <v/>
      </c>
      <c r="O13" s="10">
        <f>IF(AND(R13="기록 완료",ISNUMBER(E13),ISNUMBER(I13)),IF(4&lt;=I13,E13+3*J13*7,""),"")</f>
        <v/>
      </c>
      <c r="P13" s="11">
        <f>IF(A13="한국",IFERROR(INDEX('종목_한국'!$R$6:$R$105,MATCH(B13,'종목_한국'!$A$6:$A$105,0)),""),IF(A13="미국",IFERROR(INDEX('종목_미국'!$R$6:$R$105,MATCH(B13,'종목_미국'!$A$6:$A$105,0)),""),""))</f>
        <v/>
      </c>
      <c r="Q13">
        <f>IF(B13="","",IF(ISNUMBER(P13),IF(P13&gt;='설정'!$B$5,"예","아니오(70 미만)"),"점수 없음"))</f>
        <v/>
      </c>
      <c r="R13">
        <f>IF(B13="","",IF(COUNTIF('매수이유'!$A$6:$A$205,B13)=0,"기록 없음",IF(COUNTIF('매수이유'!$A$6:$A$205,B13)&gt;3,"이유 3개 초과",IF(COUNTIFS('매수이유'!$A$6:$A$205,B13,'매수이유'!$E$6:$E$205,"Y")&lt;&gt;1,"핵심 1개 표시 필요",IF(SUMIFS('매수이유'!$L$6:$L$205,'매수이유'!$A$6:$A$205,B13)&gt;0,"근거·기준 미기재","기록 완료")))))</f>
        <v/>
      </c>
    </row>
    <row r="14">
      <c r="A14" s="19" t="n"/>
      <c r="B14" s="18" t="n"/>
      <c r="C14" s="19" t="n"/>
      <c r="D14" s="20" t="n"/>
      <c r="E14" s="16" t="n"/>
      <c r="F14" s="7">
        <f>IF(B14="","",IF(R14&lt;&gt;"기록 완료","매수하지 않음: 매수 이유 "&amp;R14,IF(NOT(ISNUMBER(G14)),"심리 점수 없음",IF(I14=1,"1회에 전부"&amp;IF(ISNUMBER(K14),", "&amp;TEXT(K14,"#,##0")&amp;"원",""),I14&amp;"회, "&amp;J14&amp;"주 간격"&amp;IF(ISNUMBER(K14),", 1회 "&amp;TEXT(K14,"#,##0")&amp;"원",""))&amp;IF(Q14&lt;&gt;"예"," · 주의: 편입 후보 아님",""))))</f>
        <v/>
      </c>
      <c r="G14" s="11">
        <f>IF(A14="미국",'심리_미국'!$B$6,IF(A14="한국",'심리_한국'!$B$6,""))</f>
        <v/>
      </c>
      <c r="H14">
        <f>IF(ISNUMBER(G14),INDEX('설정'!$B$27:$B$31,MATCH(G14,'설정'!$A$27:$A$31,1)),"")</f>
        <v/>
      </c>
      <c r="I14">
        <f>IF(ISNUMBER(G14),INDEX('설정'!$C$27:$C$31,MATCH(G14,'설정'!$A$27:$A$31,1)),"")</f>
        <v/>
      </c>
      <c r="J14">
        <f>IF(ISNUMBER(G14),INDEX('설정'!$D$27:$D$31,MATCH(G14,'설정'!$A$27:$A$31,1)),"")</f>
        <v/>
      </c>
      <c r="K14" s="25">
        <f>IF(AND(R14="기록 완료",ISNUMBER(D14),ISNUMBER(I14)),D14/I14,"")</f>
        <v/>
      </c>
      <c r="L14" s="10">
        <f>IF(AND(R14="기록 완료",ISNUMBER(E14),ISNUMBER(I14)),IF(1&lt;=I14,E14+0*J14*7,""),"")</f>
        <v/>
      </c>
      <c r="M14" s="10">
        <f>IF(AND(R14="기록 완료",ISNUMBER(E14),ISNUMBER(I14)),IF(2&lt;=I14,E14+1*J14*7,""),"")</f>
        <v/>
      </c>
      <c r="N14" s="10">
        <f>IF(AND(R14="기록 완료",ISNUMBER(E14),ISNUMBER(I14)),IF(3&lt;=I14,E14+2*J14*7,""),"")</f>
        <v/>
      </c>
      <c r="O14" s="10">
        <f>IF(AND(R14="기록 완료",ISNUMBER(E14),ISNUMBER(I14)),IF(4&lt;=I14,E14+3*J14*7,""),"")</f>
        <v/>
      </c>
      <c r="P14" s="11">
        <f>IF(A14="한국",IFERROR(INDEX('종목_한국'!$R$6:$R$105,MATCH(B14,'종목_한국'!$A$6:$A$105,0)),""),IF(A14="미국",IFERROR(INDEX('종목_미국'!$R$6:$R$105,MATCH(B14,'종목_미국'!$A$6:$A$105,0)),""),""))</f>
        <v/>
      </c>
      <c r="Q14">
        <f>IF(B14="","",IF(ISNUMBER(P14),IF(P14&gt;='설정'!$B$5,"예","아니오(70 미만)"),"점수 없음"))</f>
        <v/>
      </c>
      <c r="R14">
        <f>IF(B14="","",IF(COUNTIF('매수이유'!$A$6:$A$205,B14)=0,"기록 없음",IF(COUNTIF('매수이유'!$A$6:$A$205,B14)&gt;3,"이유 3개 초과",IF(COUNTIFS('매수이유'!$A$6:$A$205,B14,'매수이유'!$E$6:$E$205,"Y")&lt;&gt;1,"핵심 1개 표시 필요",IF(SUMIFS('매수이유'!$L$6:$L$205,'매수이유'!$A$6:$A$205,B14)&gt;0,"근거·기준 미기재","기록 완료")))))</f>
        <v/>
      </c>
    </row>
    <row r="15">
      <c r="A15" s="19" t="n"/>
      <c r="B15" s="18" t="n"/>
      <c r="C15" s="19" t="n"/>
      <c r="D15" s="20" t="n"/>
      <c r="E15" s="16" t="n"/>
      <c r="F15" s="7">
        <f>IF(B15="","",IF(R15&lt;&gt;"기록 완료","매수하지 않음: 매수 이유 "&amp;R15,IF(NOT(ISNUMBER(G15)),"심리 점수 없음",IF(I15=1,"1회에 전부"&amp;IF(ISNUMBER(K15),", "&amp;TEXT(K15,"#,##0")&amp;"원",""),I15&amp;"회, "&amp;J15&amp;"주 간격"&amp;IF(ISNUMBER(K15),", 1회 "&amp;TEXT(K15,"#,##0")&amp;"원",""))&amp;IF(Q15&lt;&gt;"예"," · 주의: 편입 후보 아님",""))))</f>
        <v/>
      </c>
      <c r="G15" s="11">
        <f>IF(A15="미국",'심리_미국'!$B$6,IF(A15="한국",'심리_한국'!$B$6,""))</f>
        <v/>
      </c>
      <c r="H15">
        <f>IF(ISNUMBER(G15),INDEX('설정'!$B$27:$B$31,MATCH(G15,'설정'!$A$27:$A$31,1)),"")</f>
        <v/>
      </c>
      <c r="I15">
        <f>IF(ISNUMBER(G15),INDEX('설정'!$C$27:$C$31,MATCH(G15,'설정'!$A$27:$A$31,1)),"")</f>
        <v/>
      </c>
      <c r="J15">
        <f>IF(ISNUMBER(G15),INDEX('설정'!$D$27:$D$31,MATCH(G15,'설정'!$A$27:$A$31,1)),"")</f>
        <v/>
      </c>
      <c r="K15" s="25">
        <f>IF(AND(R15="기록 완료",ISNUMBER(D15),ISNUMBER(I15)),D15/I15,"")</f>
        <v/>
      </c>
      <c r="L15" s="10">
        <f>IF(AND(R15="기록 완료",ISNUMBER(E15),ISNUMBER(I15)),IF(1&lt;=I15,E15+0*J15*7,""),"")</f>
        <v/>
      </c>
      <c r="M15" s="10">
        <f>IF(AND(R15="기록 완료",ISNUMBER(E15),ISNUMBER(I15)),IF(2&lt;=I15,E15+1*J15*7,""),"")</f>
        <v/>
      </c>
      <c r="N15" s="10">
        <f>IF(AND(R15="기록 완료",ISNUMBER(E15),ISNUMBER(I15)),IF(3&lt;=I15,E15+2*J15*7,""),"")</f>
        <v/>
      </c>
      <c r="O15" s="10">
        <f>IF(AND(R15="기록 완료",ISNUMBER(E15),ISNUMBER(I15)),IF(4&lt;=I15,E15+3*J15*7,""),"")</f>
        <v/>
      </c>
      <c r="P15" s="11">
        <f>IF(A15="한국",IFERROR(INDEX('종목_한국'!$R$6:$R$105,MATCH(B15,'종목_한국'!$A$6:$A$105,0)),""),IF(A15="미국",IFERROR(INDEX('종목_미국'!$R$6:$R$105,MATCH(B15,'종목_미국'!$A$6:$A$105,0)),""),""))</f>
        <v/>
      </c>
      <c r="Q15">
        <f>IF(B15="","",IF(ISNUMBER(P15),IF(P15&gt;='설정'!$B$5,"예","아니오(70 미만)"),"점수 없음"))</f>
        <v/>
      </c>
      <c r="R15">
        <f>IF(B15="","",IF(COUNTIF('매수이유'!$A$6:$A$205,B15)=0,"기록 없음",IF(COUNTIF('매수이유'!$A$6:$A$205,B15)&gt;3,"이유 3개 초과",IF(COUNTIFS('매수이유'!$A$6:$A$205,B15,'매수이유'!$E$6:$E$205,"Y")&lt;&gt;1,"핵심 1개 표시 필요",IF(SUMIFS('매수이유'!$L$6:$L$205,'매수이유'!$A$6:$A$205,B15)&gt;0,"근거·기준 미기재","기록 완료")))))</f>
        <v/>
      </c>
    </row>
    <row r="16">
      <c r="A16" s="19" t="n"/>
      <c r="B16" s="18" t="n"/>
      <c r="C16" s="19" t="n"/>
      <c r="D16" s="20" t="n"/>
      <c r="E16" s="16" t="n"/>
      <c r="F16" s="7">
        <f>IF(B16="","",IF(R16&lt;&gt;"기록 완료","매수하지 않음: 매수 이유 "&amp;R16,IF(NOT(ISNUMBER(G16)),"심리 점수 없음",IF(I16=1,"1회에 전부"&amp;IF(ISNUMBER(K16),", "&amp;TEXT(K16,"#,##0")&amp;"원",""),I16&amp;"회, "&amp;J16&amp;"주 간격"&amp;IF(ISNUMBER(K16),", 1회 "&amp;TEXT(K16,"#,##0")&amp;"원",""))&amp;IF(Q16&lt;&gt;"예"," · 주의: 편입 후보 아님",""))))</f>
        <v/>
      </c>
      <c r="G16" s="11">
        <f>IF(A16="미국",'심리_미국'!$B$6,IF(A16="한국",'심리_한국'!$B$6,""))</f>
        <v/>
      </c>
      <c r="H16">
        <f>IF(ISNUMBER(G16),INDEX('설정'!$B$27:$B$31,MATCH(G16,'설정'!$A$27:$A$31,1)),"")</f>
        <v/>
      </c>
      <c r="I16">
        <f>IF(ISNUMBER(G16),INDEX('설정'!$C$27:$C$31,MATCH(G16,'설정'!$A$27:$A$31,1)),"")</f>
        <v/>
      </c>
      <c r="J16">
        <f>IF(ISNUMBER(G16),INDEX('설정'!$D$27:$D$31,MATCH(G16,'설정'!$A$27:$A$31,1)),"")</f>
        <v/>
      </c>
      <c r="K16" s="25">
        <f>IF(AND(R16="기록 완료",ISNUMBER(D16),ISNUMBER(I16)),D16/I16,"")</f>
        <v/>
      </c>
      <c r="L16" s="10">
        <f>IF(AND(R16="기록 완료",ISNUMBER(E16),ISNUMBER(I16)),IF(1&lt;=I16,E16+0*J16*7,""),"")</f>
        <v/>
      </c>
      <c r="M16" s="10">
        <f>IF(AND(R16="기록 완료",ISNUMBER(E16),ISNUMBER(I16)),IF(2&lt;=I16,E16+1*J16*7,""),"")</f>
        <v/>
      </c>
      <c r="N16" s="10">
        <f>IF(AND(R16="기록 완료",ISNUMBER(E16),ISNUMBER(I16)),IF(3&lt;=I16,E16+2*J16*7,""),"")</f>
        <v/>
      </c>
      <c r="O16" s="10">
        <f>IF(AND(R16="기록 완료",ISNUMBER(E16),ISNUMBER(I16)),IF(4&lt;=I16,E16+3*J16*7,""),"")</f>
        <v/>
      </c>
      <c r="P16" s="11">
        <f>IF(A16="한국",IFERROR(INDEX('종목_한국'!$R$6:$R$105,MATCH(B16,'종목_한국'!$A$6:$A$105,0)),""),IF(A16="미국",IFERROR(INDEX('종목_미국'!$R$6:$R$105,MATCH(B16,'종목_미국'!$A$6:$A$105,0)),""),""))</f>
        <v/>
      </c>
      <c r="Q16">
        <f>IF(B16="","",IF(ISNUMBER(P16),IF(P16&gt;='설정'!$B$5,"예","아니오(70 미만)"),"점수 없음"))</f>
        <v/>
      </c>
      <c r="R16">
        <f>IF(B16="","",IF(COUNTIF('매수이유'!$A$6:$A$205,B16)=0,"기록 없음",IF(COUNTIF('매수이유'!$A$6:$A$205,B16)&gt;3,"이유 3개 초과",IF(COUNTIFS('매수이유'!$A$6:$A$205,B16,'매수이유'!$E$6:$E$205,"Y")&lt;&gt;1,"핵심 1개 표시 필요",IF(SUMIFS('매수이유'!$L$6:$L$205,'매수이유'!$A$6:$A$205,B16)&gt;0,"근거·기준 미기재","기록 완료")))))</f>
        <v/>
      </c>
    </row>
    <row r="17">
      <c r="A17" s="19" t="n"/>
      <c r="B17" s="18" t="n"/>
      <c r="C17" s="19" t="n"/>
      <c r="D17" s="20" t="n"/>
      <c r="E17" s="16" t="n"/>
      <c r="F17" s="7">
        <f>IF(B17="","",IF(R17&lt;&gt;"기록 완료","매수하지 않음: 매수 이유 "&amp;R17,IF(NOT(ISNUMBER(G17)),"심리 점수 없음",IF(I17=1,"1회에 전부"&amp;IF(ISNUMBER(K17),", "&amp;TEXT(K17,"#,##0")&amp;"원",""),I17&amp;"회, "&amp;J17&amp;"주 간격"&amp;IF(ISNUMBER(K17),", 1회 "&amp;TEXT(K17,"#,##0")&amp;"원",""))&amp;IF(Q17&lt;&gt;"예"," · 주의: 편입 후보 아님",""))))</f>
        <v/>
      </c>
      <c r="G17" s="11">
        <f>IF(A17="미국",'심리_미국'!$B$6,IF(A17="한국",'심리_한국'!$B$6,""))</f>
        <v/>
      </c>
      <c r="H17">
        <f>IF(ISNUMBER(G17),INDEX('설정'!$B$27:$B$31,MATCH(G17,'설정'!$A$27:$A$31,1)),"")</f>
        <v/>
      </c>
      <c r="I17">
        <f>IF(ISNUMBER(G17),INDEX('설정'!$C$27:$C$31,MATCH(G17,'설정'!$A$27:$A$31,1)),"")</f>
        <v/>
      </c>
      <c r="J17">
        <f>IF(ISNUMBER(G17),INDEX('설정'!$D$27:$D$31,MATCH(G17,'설정'!$A$27:$A$31,1)),"")</f>
        <v/>
      </c>
      <c r="K17" s="25">
        <f>IF(AND(R17="기록 완료",ISNUMBER(D17),ISNUMBER(I17)),D17/I17,"")</f>
        <v/>
      </c>
      <c r="L17" s="10">
        <f>IF(AND(R17="기록 완료",ISNUMBER(E17),ISNUMBER(I17)),IF(1&lt;=I17,E17+0*J17*7,""),"")</f>
        <v/>
      </c>
      <c r="M17" s="10">
        <f>IF(AND(R17="기록 완료",ISNUMBER(E17),ISNUMBER(I17)),IF(2&lt;=I17,E17+1*J17*7,""),"")</f>
        <v/>
      </c>
      <c r="N17" s="10">
        <f>IF(AND(R17="기록 완료",ISNUMBER(E17),ISNUMBER(I17)),IF(3&lt;=I17,E17+2*J17*7,""),"")</f>
        <v/>
      </c>
      <c r="O17" s="10">
        <f>IF(AND(R17="기록 완료",ISNUMBER(E17),ISNUMBER(I17)),IF(4&lt;=I17,E17+3*J17*7,""),"")</f>
        <v/>
      </c>
      <c r="P17" s="11">
        <f>IF(A17="한국",IFERROR(INDEX('종목_한국'!$R$6:$R$105,MATCH(B17,'종목_한국'!$A$6:$A$105,0)),""),IF(A17="미국",IFERROR(INDEX('종목_미국'!$R$6:$R$105,MATCH(B17,'종목_미국'!$A$6:$A$105,0)),""),""))</f>
        <v/>
      </c>
      <c r="Q17">
        <f>IF(B17="","",IF(ISNUMBER(P17),IF(P17&gt;='설정'!$B$5,"예","아니오(70 미만)"),"점수 없음"))</f>
        <v/>
      </c>
      <c r="R17">
        <f>IF(B17="","",IF(COUNTIF('매수이유'!$A$6:$A$205,B17)=0,"기록 없음",IF(COUNTIF('매수이유'!$A$6:$A$205,B17)&gt;3,"이유 3개 초과",IF(COUNTIFS('매수이유'!$A$6:$A$205,B17,'매수이유'!$E$6:$E$205,"Y")&lt;&gt;1,"핵심 1개 표시 필요",IF(SUMIFS('매수이유'!$L$6:$L$205,'매수이유'!$A$6:$A$205,B17)&gt;0,"근거·기준 미기재","기록 완료")))))</f>
        <v/>
      </c>
    </row>
    <row r="18">
      <c r="A18" s="19" t="n"/>
      <c r="B18" s="18" t="n"/>
      <c r="C18" s="19" t="n"/>
      <c r="D18" s="20" t="n"/>
      <c r="E18" s="16" t="n"/>
      <c r="F18" s="7">
        <f>IF(B18="","",IF(R18&lt;&gt;"기록 완료","매수하지 않음: 매수 이유 "&amp;R18,IF(NOT(ISNUMBER(G18)),"심리 점수 없음",IF(I18=1,"1회에 전부"&amp;IF(ISNUMBER(K18),", "&amp;TEXT(K18,"#,##0")&amp;"원",""),I18&amp;"회, "&amp;J18&amp;"주 간격"&amp;IF(ISNUMBER(K18),", 1회 "&amp;TEXT(K18,"#,##0")&amp;"원",""))&amp;IF(Q18&lt;&gt;"예"," · 주의: 편입 후보 아님",""))))</f>
        <v/>
      </c>
      <c r="G18" s="11">
        <f>IF(A18="미국",'심리_미국'!$B$6,IF(A18="한국",'심리_한국'!$B$6,""))</f>
        <v/>
      </c>
      <c r="H18">
        <f>IF(ISNUMBER(G18),INDEX('설정'!$B$27:$B$31,MATCH(G18,'설정'!$A$27:$A$31,1)),"")</f>
        <v/>
      </c>
      <c r="I18">
        <f>IF(ISNUMBER(G18),INDEX('설정'!$C$27:$C$31,MATCH(G18,'설정'!$A$27:$A$31,1)),"")</f>
        <v/>
      </c>
      <c r="J18">
        <f>IF(ISNUMBER(G18),INDEX('설정'!$D$27:$D$31,MATCH(G18,'설정'!$A$27:$A$31,1)),"")</f>
        <v/>
      </c>
      <c r="K18" s="25">
        <f>IF(AND(R18="기록 완료",ISNUMBER(D18),ISNUMBER(I18)),D18/I18,"")</f>
        <v/>
      </c>
      <c r="L18" s="10">
        <f>IF(AND(R18="기록 완료",ISNUMBER(E18),ISNUMBER(I18)),IF(1&lt;=I18,E18+0*J18*7,""),"")</f>
        <v/>
      </c>
      <c r="M18" s="10">
        <f>IF(AND(R18="기록 완료",ISNUMBER(E18),ISNUMBER(I18)),IF(2&lt;=I18,E18+1*J18*7,""),"")</f>
        <v/>
      </c>
      <c r="N18" s="10">
        <f>IF(AND(R18="기록 완료",ISNUMBER(E18),ISNUMBER(I18)),IF(3&lt;=I18,E18+2*J18*7,""),"")</f>
        <v/>
      </c>
      <c r="O18" s="10">
        <f>IF(AND(R18="기록 완료",ISNUMBER(E18),ISNUMBER(I18)),IF(4&lt;=I18,E18+3*J18*7,""),"")</f>
        <v/>
      </c>
      <c r="P18" s="11">
        <f>IF(A18="한국",IFERROR(INDEX('종목_한국'!$R$6:$R$105,MATCH(B18,'종목_한국'!$A$6:$A$105,0)),""),IF(A18="미국",IFERROR(INDEX('종목_미국'!$R$6:$R$105,MATCH(B18,'종목_미국'!$A$6:$A$105,0)),""),""))</f>
        <v/>
      </c>
      <c r="Q18">
        <f>IF(B18="","",IF(ISNUMBER(P18),IF(P18&gt;='설정'!$B$5,"예","아니오(70 미만)"),"점수 없음"))</f>
        <v/>
      </c>
      <c r="R18">
        <f>IF(B18="","",IF(COUNTIF('매수이유'!$A$6:$A$205,B18)=0,"기록 없음",IF(COUNTIF('매수이유'!$A$6:$A$205,B18)&gt;3,"이유 3개 초과",IF(COUNTIFS('매수이유'!$A$6:$A$205,B18,'매수이유'!$E$6:$E$205,"Y")&lt;&gt;1,"핵심 1개 표시 필요",IF(SUMIFS('매수이유'!$L$6:$L$205,'매수이유'!$A$6:$A$205,B18)&gt;0,"근거·기준 미기재","기록 완료")))))</f>
        <v/>
      </c>
    </row>
    <row r="19">
      <c r="A19" s="19" t="n"/>
      <c r="B19" s="18" t="n"/>
      <c r="C19" s="19" t="n"/>
      <c r="D19" s="20" t="n"/>
      <c r="E19" s="16" t="n"/>
      <c r="F19" s="7">
        <f>IF(B19="","",IF(R19&lt;&gt;"기록 완료","매수하지 않음: 매수 이유 "&amp;R19,IF(NOT(ISNUMBER(G19)),"심리 점수 없음",IF(I19=1,"1회에 전부"&amp;IF(ISNUMBER(K19),", "&amp;TEXT(K19,"#,##0")&amp;"원",""),I19&amp;"회, "&amp;J19&amp;"주 간격"&amp;IF(ISNUMBER(K19),", 1회 "&amp;TEXT(K19,"#,##0")&amp;"원",""))&amp;IF(Q19&lt;&gt;"예"," · 주의: 편입 후보 아님",""))))</f>
        <v/>
      </c>
      <c r="G19" s="11">
        <f>IF(A19="미국",'심리_미국'!$B$6,IF(A19="한국",'심리_한국'!$B$6,""))</f>
        <v/>
      </c>
      <c r="H19">
        <f>IF(ISNUMBER(G19),INDEX('설정'!$B$27:$B$31,MATCH(G19,'설정'!$A$27:$A$31,1)),"")</f>
        <v/>
      </c>
      <c r="I19">
        <f>IF(ISNUMBER(G19),INDEX('설정'!$C$27:$C$31,MATCH(G19,'설정'!$A$27:$A$31,1)),"")</f>
        <v/>
      </c>
      <c r="J19">
        <f>IF(ISNUMBER(G19),INDEX('설정'!$D$27:$D$31,MATCH(G19,'설정'!$A$27:$A$31,1)),"")</f>
        <v/>
      </c>
      <c r="K19" s="25">
        <f>IF(AND(R19="기록 완료",ISNUMBER(D19),ISNUMBER(I19)),D19/I19,"")</f>
        <v/>
      </c>
      <c r="L19" s="10">
        <f>IF(AND(R19="기록 완료",ISNUMBER(E19),ISNUMBER(I19)),IF(1&lt;=I19,E19+0*J19*7,""),"")</f>
        <v/>
      </c>
      <c r="M19" s="10">
        <f>IF(AND(R19="기록 완료",ISNUMBER(E19),ISNUMBER(I19)),IF(2&lt;=I19,E19+1*J19*7,""),"")</f>
        <v/>
      </c>
      <c r="N19" s="10">
        <f>IF(AND(R19="기록 완료",ISNUMBER(E19),ISNUMBER(I19)),IF(3&lt;=I19,E19+2*J19*7,""),"")</f>
        <v/>
      </c>
      <c r="O19" s="10">
        <f>IF(AND(R19="기록 완료",ISNUMBER(E19),ISNUMBER(I19)),IF(4&lt;=I19,E19+3*J19*7,""),"")</f>
        <v/>
      </c>
      <c r="P19" s="11">
        <f>IF(A19="한국",IFERROR(INDEX('종목_한국'!$R$6:$R$105,MATCH(B19,'종목_한국'!$A$6:$A$105,0)),""),IF(A19="미국",IFERROR(INDEX('종목_미국'!$R$6:$R$105,MATCH(B19,'종목_미국'!$A$6:$A$105,0)),""),""))</f>
        <v/>
      </c>
      <c r="Q19">
        <f>IF(B19="","",IF(ISNUMBER(P19),IF(P19&gt;='설정'!$B$5,"예","아니오(70 미만)"),"점수 없음"))</f>
        <v/>
      </c>
      <c r="R19">
        <f>IF(B19="","",IF(COUNTIF('매수이유'!$A$6:$A$205,B19)=0,"기록 없음",IF(COUNTIF('매수이유'!$A$6:$A$205,B19)&gt;3,"이유 3개 초과",IF(COUNTIFS('매수이유'!$A$6:$A$205,B19,'매수이유'!$E$6:$E$205,"Y")&lt;&gt;1,"핵심 1개 표시 필요",IF(SUMIFS('매수이유'!$L$6:$L$205,'매수이유'!$A$6:$A$205,B19)&gt;0,"근거·기준 미기재","기록 완료")))))</f>
        <v/>
      </c>
    </row>
    <row r="20">
      <c r="A20" s="19" t="n"/>
      <c r="B20" s="18" t="n"/>
      <c r="C20" s="19" t="n"/>
      <c r="D20" s="20" t="n"/>
      <c r="E20" s="16" t="n"/>
      <c r="F20" s="7">
        <f>IF(B20="","",IF(R20&lt;&gt;"기록 완료","매수하지 않음: 매수 이유 "&amp;R20,IF(NOT(ISNUMBER(G20)),"심리 점수 없음",IF(I20=1,"1회에 전부"&amp;IF(ISNUMBER(K20),", "&amp;TEXT(K20,"#,##0")&amp;"원",""),I20&amp;"회, "&amp;J20&amp;"주 간격"&amp;IF(ISNUMBER(K20),", 1회 "&amp;TEXT(K20,"#,##0")&amp;"원",""))&amp;IF(Q20&lt;&gt;"예"," · 주의: 편입 후보 아님",""))))</f>
        <v/>
      </c>
      <c r="G20" s="11">
        <f>IF(A20="미국",'심리_미국'!$B$6,IF(A20="한국",'심리_한국'!$B$6,""))</f>
        <v/>
      </c>
      <c r="H20">
        <f>IF(ISNUMBER(G20),INDEX('설정'!$B$27:$B$31,MATCH(G20,'설정'!$A$27:$A$31,1)),"")</f>
        <v/>
      </c>
      <c r="I20">
        <f>IF(ISNUMBER(G20),INDEX('설정'!$C$27:$C$31,MATCH(G20,'설정'!$A$27:$A$31,1)),"")</f>
        <v/>
      </c>
      <c r="J20">
        <f>IF(ISNUMBER(G20),INDEX('설정'!$D$27:$D$31,MATCH(G20,'설정'!$A$27:$A$31,1)),"")</f>
        <v/>
      </c>
      <c r="K20" s="25">
        <f>IF(AND(R20="기록 완료",ISNUMBER(D20),ISNUMBER(I20)),D20/I20,"")</f>
        <v/>
      </c>
      <c r="L20" s="10">
        <f>IF(AND(R20="기록 완료",ISNUMBER(E20),ISNUMBER(I20)),IF(1&lt;=I20,E20+0*J20*7,""),"")</f>
        <v/>
      </c>
      <c r="M20" s="10">
        <f>IF(AND(R20="기록 완료",ISNUMBER(E20),ISNUMBER(I20)),IF(2&lt;=I20,E20+1*J20*7,""),"")</f>
        <v/>
      </c>
      <c r="N20" s="10">
        <f>IF(AND(R20="기록 완료",ISNUMBER(E20),ISNUMBER(I20)),IF(3&lt;=I20,E20+2*J20*7,""),"")</f>
        <v/>
      </c>
      <c r="O20" s="10">
        <f>IF(AND(R20="기록 완료",ISNUMBER(E20),ISNUMBER(I20)),IF(4&lt;=I20,E20+3*J20*7,""),"")</f>
        <v/>
      </c>
      <c r="P20" s="11">
        <f>IF(A20="한국",IFERROR(INDEX('종목_한국'!$R$6:$R$105,MATCH(B20,'종목_한국'!$A$6:$A$105,0)),""),IF(A20="미국",IFERROR(INDEX('종목_미국'!$R$6:$R$105,MATCH(B20,'종목_미국'!$A$6:$A$105,0)),""),""))</f>
        <v/>
      </c>
      <c r="Q20">
        <f>IF(B20="","",IF(ISNUMBER(P20),IF(P20&gt;='설정'!$B$5,"예","아니오(70 미만)"),"점수 없음"))</f>
        <v/>
      </c>
      <c r="R20">
        <f>IF(B20="","",IF(COUNTIF('매수이유'!$A$6:$A$205,B20)=0,"기록 없음",IF(COUNTIF('매수이유'!$A$6:$A$205,B20)&gt;3,"이유 3개 초과",IF(COUNTIFS('매수이유'!$A$6:$A$205,B20,'매수이유'!$E$6:$E$205,"Y")&lt;&gt;1,"핵심 1개 표시 필요",IF(SUMIFS('매수이유'!$L$6:$L$205,'매수이유'!$A$6:$A$205,B20)&gt;0,"근거·기준 미기재","기록 완료")))))</f>
        <v/>
      </c>
    </row>
    <row r="21">
      <c r="A21" s="19" t="n"/>
      <c r="B21" s="18" t="n"/>
      <c r="C21" s="19" t="n"/>
      <c r="D21" s="20" t="n"/>
      <c r="E21" s="16" t="n"/>
      <c r="F21" s="7">
        <f>IF(B21="","",IF(R21&lt;&gt;"기록 완료","매수하지 않음: 매수 이유 "&amp;R21,IF(NOT(ISNUMBER(G21)),"심리 점수 없음",IF(I21=1,"1회에 전부"&amp;IF(ISNUMBER(K21),", "&amp;TEXT(K21,"#,##0")&amp;"원",""),I21&amp;"회, "&amp;J21&amp;"주 간격"&amp;IF(ISNUMBER(K21),", 1회 "&amp;TEXT(K21,"#,##0")&amp;"원",""))&amp;IF(Q21&lt;&gt;"예"," · 주의: 편입 후보 아님",""))))</f>
        <v/>
      </c>
      <c r="G21" s="11">
        <f>IF(A21="미국",'심리_미국'!$B$6,IF(A21="한국",'심리_한국'!$B$6,""))</f>
        <v/>
      </c>
      <c r="H21">
        <f>IF(ISNUMBER(G21),INDEX('설정'!$B$27:$B$31,MATCH(G21,'설정'!$A$27:$A$31,1)),"")</f>
        <v/>
      </c>
      <c r="I21">
        <f>IF(ISNUMBER(G21),INDEX('설정'!$C$27:$C$31,MATCH(G21,'설정'!$A$27:$A$31,1)),"")</f>
        <v/>
      </c>
      <c r="J21">
        <f>IF(ISNUMBER(G21),INDEX('설정'!$D$27:$D$31,MATCH(G21,'설정'!$A$27:$A$31,1)),"")</f>
        <v/>
      </c>
      <c r="K21" s="25">
        <f>IF(AND(R21="기록 완료",ISNUMBER(D21),ISNUMBER(I21)),D21/I21,"")</f>
        <v/>
      </c>
      <c r="L21" s="10">
        <f>IF(AND(R21="기록 완료",ISNUMBER(E21),ISNUMBER(I21)),IF(1&lt;=I21,E21+0*J21*7,""),"")</f>
        <v/>
      </c>
      <c r="M21" s="10">
        <f>IF(AND(R21="기록 완료",ISNUMBER(E21),ISNUMBER(I21)),IF(2&lt;=I21,E21+1*J21*7,""),"")</f>
        <v/>
      </c>
      <c r="N21" s="10">
        <f>IF(AND(R21="기록 완료",ISNUMBER(E21),ISNUMBER(I21)),IF(3&lt;=I21,E21+2*J21*7,""),"")</f>
        <v/>
      </c>
      <c r="O21" s="10">
        <f>IF(AND(R21="기록 완료",ISNUMBER(E21),ISNUMBER(I21)),IF(4&lt;=I21,E21+3*J21*7,""),"")</f>
        <v/>
      </c>
      <c r="P21" s="11">
        <f>IF(A21="한국",IFERROR(INDEX('종목_한국'!$R$6:$R$105,MATCH(B21,'종목_한국'!$A$6:$A$105,0)),""),IF(A21="미국",IFERROR(INDEX('종목_미국'!$R$6:$R$105,MATCH(B21,'종목_미국'!$A$6:$A$105,0)),""),""))</f>
        <v/>
      </c>
      <c r="Q21">
        <f>IF(B21="","",IF(ISNUMBER(P21),IF(P21&gt;='설정'!$B$5,"예","아니오(70 미만)"),"점수 없음"))</f>
        <v/>
      </c>
      <c r="R21">
        <f>IF(B21="","",IF(COUNTIF('매수이유'!$A$6:$A$205,B21)=0,"기록 없음",IF(COUNTIF('매수이유'!$A$6:$A$205,B21)&gt;3,"이유 3개 초과",IF(COUNTIFS('매수이유'!$A$6:$A$205,B21,'매수이유'!$E$6:$E$205,"Y")&lt;&gt;1,"핵심 1개 표시 필요",IF(SUMIFS('매수이유'!$L$6:$L$205,'매수이유'!$A$6:$A$205,B21)&gt;0,"근거·기준 미기재","기록 완료")))))</f>
        <v/>
      </c>
    </row>
    <row r="22">
      <c r="A22" s="19" t="n"/>
      <c r="B22" s="18" t="n"/>
      <c r="C22" s="19" t="n"/>
      <c r="D22" s="20" t="n"/>
      <c r="E22" s="16" t="n"/>
      <c r="F22" s="7">
        <f>IF(B22="","",IF(R22&lt;&gt;"기록 완료","매수하지 않음: 매수 이유 "&amp;R22,IF(NOT(ISNUMBER(G22)),"심리 점수 없음",IF(I22=1,"1회에 전부"&amp;IF(ISNUMBER(K22),", "&amp;TEXT(K22,"#,##0")&amp;"원",""),I22&amp;"회, "&amp;J22&amp;"주 간격"&amp;IF(ISNUMBER(K22),", 1회 "&amp;TEXT(K22,"#,##0")&amp;"원",""))&amp;IF(Q22&lt;&gt;"예"," · 주의: 편입 후보 아님",""))))</f>
        <v/>
      </c>
      <c r="G22" s="11">
        <f>IF(A22="미국",'심리_미국'!$B$6,IF(A22="한국",'심리_한국'!$B$6,""))</f>
        <v/>
      </c>
      <c r="H22">
        <f>IF(ISNUMBER(G22),INDEX('설정'!$B$27:$B$31,MATCH(G22,'설정'!$A$27:$A$31,1)),"")</f>
        <v/>
      </c>
      <c r="I22">
        <f>IF(ISNUMBER(G22),INDEX('설정'!$C$27:$C$31,MATCH(G22,'설정'!$A$27:$A$31,1)),"")</f>
        <v/>
      </c>
      <c r="J22">
        <f>IF(ISNUMBER(G22),INDEX('설정'!$D$27:$D$31,MATCH(G22,'설정'!$A$27:$A$31,1)),"")</f>
        <v/>
      </c>
      <c r="K22" s="25">
        <f>IF(AND(R22="기록 완료",ISNUMBER(D22),ISNUMBER(I22)),D22/I22,"")</f>
        <v/>
      </c>
      <c r="L22" s="10">
        <f>IF(AND(R22="기록 완료",ISNUMBER(E22),ISNUMBER(I22)),IF(1&lt;=I22,E22+0*J22*7,""),"")</f>
        <v/>
      </c>
      <c r="M22" s="10">
        <f>IF(AND(R22="기록 완료",ISNUMBER(E22),ISNUMBER(I22)),IF(2&lt;=I22,E22+1*J22*7,""),"")</f>
        <v/>
      </c>
      <c r="N22" s="10">
        <f>IF(AND(R22="기록 완료",ISNUMBER(E22),ISNUMBER(I22)),IF(3&lt;=I22,E22+2*J22*7,""),"")</f>
        <v/>
      </c>
      <c r="O22" s="10">
        <f>IF(AND(R22="기록 완료",ISNUMBER(E22),ISNUMBER(I22)),IF(4&lt;=I22,E22+3*J22*7,""),"")</f>
        <v/>
      </c>
      <c r="P22" s="11">
        <f>IF(A22="한국",IFERROR(INDEX('종목_한국'!$R$6:$R$105,MATCH(B22,'종목_한국'!$A$6:$A$105,0)),""),IF(A22="미국",IFERROR(INDEX('종목_미국'!$R$6:$R$105,MATCH(B22,'종목_미국'!$A$6:$A$105,0)),""),""))</f>
        <v/>
      </c>
      <c r="Q22">
        <f>IF(B22="","",IF(ISNUMBER(P22),IF(P22&gt;='설정'!$B$5,"예","아니오(70 미만)"),"점수 없음"))</f>
        <v/>
      </c>
      <c r="R22">
        <f>IF(B22="","",IF(COUNTIF('매수이유'!$A$6:$A$205,B22)=0,"기록 없음",IF(COUNTIF('매수이유'!$A$6:$A$205,B22)&gt;3,"이유 3개 초과",IF(COUNTIFS('매수이유'!$A$6:$A$205,B22,'매수이유'!$E$6:$E$205,"Y")&lt;&gt;1,"핵심 1개 표시 필요",IF(SUMIFS('매수이유'!$L$6:$L$205,'매수이유'!$A$6:$A$205,B22)&gt;0,"근거·기준 미기재","기록 완료")))))</f>
        <v/>
      </c>
    </row>
    <row r="23">
      <c r="A23" s="19" t="n"/>
      <c r="B23" s="18" t="n"/>
      <c r="C23" s="19" t="n"/>
      <c r="D23" s="20" t="n"/>
      <c r="E23" s="16" t="n"/>
      <c r="F23" s="7">
        <f>IF(B23="","",IF(R23&lt;&gt;"기록 완료","매수하지 않음: 매수 이유 "&amp;R23,IF(NOT(ISNUMBER(G23)),"심리 점수 없음",IF(I23=1,"1회에 전부"&amp;IF(ISNUMBER(K23),", "&amp;TEXT(K23,"#,##0")&amp;"원",""),I23&amp;"회, "&amp;J23&amp;"주 간격"&amp;IF(ISNUMBER(K23),", 1회 "&amp;TEXT(K23,"#,##0")&amp;"원",""))&amp;IF(Q23&lt;&gt;"예"," · 주의: 편입 후보 아님",""))))</f>
        <v/>
      </c>
      <c r="G23" s="11">
        <f>IF(A23="미국",'심리_미국'!$B$6,IF(A23="한국",'심리_한국'!$B$6,""))</f>
        <v/>
      </c>
      <c r="H23">
        <f>IF(ISNUMBER(G23),INDEX('설정'!$B$27:$B$31,MATCH(G23,'설정'!$A$27:$A$31,1)),"")</f>
        <v/>
      </c>
      <c r="I23">
        <f>IF(ISNUMBER(G23),INDEX('설정'!$C$27:$C$31,MATCH(G23,'설정'!$A$27:$A$31,1)),"")</f>
        <v/>
      </c>
      <c r="J23">
        <f>IF(ISNUMBER(G23),INDEX('설정'!$D$27:$D$31,MATCH(G23,'설정'!$A$27:$A$31,1)),"")</f>
        <v/>
      </c>
      <c r="K23" s="25">
        <f>IF(AND(R23="기록 완료",ISNUMBER(D23),ISNUMBER(I23)),D23/I23,"")</f>
        <v/>
      </c>
      <c r="L23" s="10">
        <f>IF(AND(R23="기록 완료",ISNUMBER(E23),ISNUMBER(I23)),IF(1&lt;=I23,E23+0*J23*7,""),"")</f>
        <v/>
      </c>
      <c r="M23" s="10">
        <f>IF(AND(R23="기록 완료",ISNUMBER(E23),ISNUMBER(I23)),IF(2&lt;=I23,E23+1*J23*7,""),"")</f>
        <v/>
      </c>
      <c r="N23" s="10">
        <f>IF(AND(R23="기록 완료",ISNUMBER(E23),ISNUMBER(I23)),IF(3&lt;=I23,E23+2*J23*7,""),"")</f>
        <v/>
      </c>
      <c r="O23" s="10">
        <f>IF(AND(R23="기록 완료",ISNUMBER(E23),ISNUMBER(I23)),IF(4&lt;=I23,E23+3*J23*7,""),"")</f>
        <v/>
      </c>
      <c r="P23" s="11">
        <f>IF(A23="한국",IFERROR(INDEX('종목_한국'!$R$6:$R$105,MATCH(B23,'종목_한국'!$A$6:$A$105,0)),""),IF(A23="미국",IFERROR(INDEX('종목_미국'!$R$6:$R$105,MATCH(B23,'종목_미국'!$A$6:$A$105,0)),""),""))</f>
        <v/>
      </c>
      <c r="Q23">
        <f>IF(B23="","",IF(ISNUMBER(P23),IF(P23&gt;='설정'!$B$5,"예","아니오(70 미만)"),"점수 없음"))</f>
        <v/>
      </c>
      <c r="R23">
        <f>IF(B23="","",IF(COUNTIF('매수이유'!$A$6:$A$205,B23)=0,"기록 없음",IF(COUNTIF('매수이유'!$A$6:$A$205,B23)&gt;3,"이유 3개 초과",IF(COUNTIFS('매수이유'!$A$6:$A$205,B23,'매수이유'!$E$6:$E$205,"Y")&lt;&gt;1,"핵심 1개 표시 필요",IF(SUMIFS('매수이유'!$L$6:$L$205,'매수이유'!$A$6:$A$205,B23)&gt;0,"근거·기준 미기재","기록 완료")))))</f>
        <v/>
      </c>
    </row>
    <row r="24">
      <c r="A24" s="19" t="n"/>
      <c r="B24" s="18" t="n"/>
      <c r="C24" s="19" t="n"/>
      <c r="D24" s="20" t="n"/>
      <c r="E24" s="16" t="n"/>
      <c r="F24" s="7">
        <f>IF(B24="","",IF(R24&lt;&gt;"기록 완료","매수하지 않음: 매수 이유 "&amp;R24,IF(NOT(ISNUMBER(G24)),"심리 점수 없음",IF(I24=1,"1회에 전부"&amp;IF(ISNUMBER(K24),", "&amp;TEXT(K24,"#,##0")&amp;"원",""),I24&amp;"회, "&amp;J24&amp;"주 간격"&amp;IF(ISNUMBER(K24),", 1회 "&amp;TEXT(K24,"#,##0")&amp;"원",""))&amp;IF(Q24&lt;&gt;"예"," · 주의: 편입 후보 아님",""))))</f>
        <v/>
      </c>
      <c r="G24" s="11">
        <f>IF(A24="미국",'심리_미국'!$B$6,IF(A24="한국",'심리_한국'!$B$6,""))</f>
        <v/>
      </c>
      <c r="H24">
        <f>IF(ISNUMBER(G24),INDEX('설정'!$B$27:$B$31,MATCH(G24,'설정'!$A$27:$A$31,1)),"")</f>
        <v/>
      </c>
      <c r="I24">
        <f>IF(ISNUMBER(G24),INDEX('설정'!$C$27:$C$31,MATCH(G24,'설정'!$A$27:$A$31,1)),"")</f>
        <v/>
      </c>
      <c r="J24">
        <f>IF(ISNUMBER(G24),INDEX('설정'!$D$27:$D$31,MATCH(G24,'설정'!$A$27:$A$31,1)),"")</f>
        <v/>
      </c>
      <c r="K24" s="25">
        <f>IF(AND(R24="기록 완료",ISNUMBER(D24),ISNUMBER(I24)),D24/I24,"")</f>
        <v/>
      </c>
      <c r="L24" s="10">
        <f>IF(AND(R24="기록 완료",ISNUMBER(E24),ISNUMBER(I24)),IF(1&lt;=I24,E24+0*J24*7,""),"")</f>
        <v/>
      </c>
      <c r="M24" s="10">
        <f>IF(AND(R24="기록 완료",ISNUMBER(E24),ISNUMBER(I24)),IF(2&lt;=I24,E24+1*J24*7,""),"")</f>
        <v/>
      </c>
      <c r="N24" s="10">
        <f>IF(AND(R24="기록 완료",ISNUMBER(E24),ISNUMBER(I24)),IF(3&lt;=I24,E24+2*J24*7,""),"")</f>
        <v/>
      </c>
      <c r="O24" s="10">
        <f>IF(AND(R24="기록 완료",ISNUMBER(E24),ISNUMBER(I24)),IF(4&lt;=I24,E24+3*J24*7,""),"")</f>
        <v/>
      </c>
      <c r="P24" s="11">
        <f>IF(A24="한국",IFERROR(INDEX('종목_한국'!$R$6:$R$105,MATCH(B24,'종목_한국'!$A$6:$A$105,0)),""),IF(A24="미국",IFERROR(INDEX('종목_미국'!$R$6:$R$105,MATCH(B24,'종목_미국'!$A$6:$A$105,0)),""),""))</f>
        <v/>
      </c>
      <c r="Q24">
        <f>IF(B24="","",IF(ISNUMBER(P24),IF(P24&gt;='설정'!$B$5,"예","아니오(70 미만)"),"점수 없음"))</f>
        <v/>
      </c>
      <c r="R24">
        <f>IF(B24="","",IF(COUNTIF('매수이유'!$A$6:$A$205,B24)=0,"기록 없음",IF(COUNTIF('매수이유'!$A$6:$A$205,B24)&gt;3,"이유 3개 초과",IF(COUNTIFS('매수이유'!$A$6:$A$205,B24,'매수이유'!$E$6:$E$205,"Y")&lt;&gt;1,"핵심 1개 표시 필요",IF(SUMIFS('매수이유'!$L$6:$L$205,'매수이유'!$A$6:$A$205,B24)&gt;0,"근거·기준 미기재","기록 완료")))))</f>
        <v/>
      </c>
    </row>
    <row r="25">
      <c r="A25" s="19" t="n"/>
      <c r="B25" s="18" t="n"/>
      <c r="C25" s="19" t="n"/>
      <c r="D25" s="20" t="n"/>
      <c r="E25" s="16" t="n"/>
      <c r="F25" s="7">
        <f>IF(B25="","",IF(R25&lt;&gt;"기록 완료","매수하지 않음: 매수 이유 "&amp;R25,IF(NOT(ISNUMBER(G25)),"심리 점수 없음",IF(I25=1,"1회에 전부"&amp;IF(ISNUMBER(K25),", "&amp;TEXT(K25,"#,##0")&amp;"원",""),I25&amp;"회, "&amp;J25&amp;"주 간격"&amp;IF(ISNUMBER(K25),", 1회 "&amp;TEXT(K25,"#,##0")&amp;"원",""))&amp;IF(Q25&lt;&gt;"예"," · 주의: 편입 후보 아님",""))))</f>
        <v/>
      </c>
      <c r="G25" s="11">
        <f>IF(A25="미국",'심리_미국'!$B$6,IF(A25="한국",'심리_한국'!$B$6,""))</f>
        <v/>
      </c>
      <c r="H25">
        <f>IF(ISNUMBER(G25),INDEX('설정'!$B$27:$B$31,MATCH(G25,'설정'!$A$27:$A$31,1)),"")</f>
        <v/>
      </c>
      <c r="I25">
        <f>IF(ISNUMBER(G25),INDEX('설정'!$C$27:$C$31,MATCH(G25,'설정'!$A$27:$A$31,1)),"")</f>
        <v/>
      </c>
      <c r="J25">
        <f>IF(ISNUMBER(G25),INDEX('설정'!$D$27:$D$31,MATCH(G25,'설정'!$A$27:$A$31,1)),"")</f>
        <v/>
      </c>
      <c r="K25" s="25">
        <f>IF(AND(R25="기록 완료",ISNUMBER(D25),ISNUMBER(I25)),D25/I25,"")</f>
        <v/>
      </c>
      <c r="L25" s="10">
        <f>IF(AND(R25="기록 완료",ISNUMBER(E25),ISNUMBER(I25)),IF(1&lt;=I25,E25+0*J25*7,""),"")</f>
        <v/>
      </c>
      <c r="M25" s="10">
        <f>IF(AND(R25="기록 완료",ISNUMBER(E25),ISNUMBER(I25)),IF(2&lt;=I25,E25+1*J25*7,""),"")</f>
        <v/>
      </c>
      <c r="N25" s="10">
        <f>IF(AND(R25="기록 완료",ISNUMBER(E25),ISNUMBER(I25)),IF(3&lt;=I25,E25+2*J25*7,""),"")</f>
        <v/>
      </c>
      <c r="O25" s="10">
        <f>IF(AND(R25="기록 완료",ISNUMBER(E25),ISNUMBER(I25)),IF(4&lt;=I25,E25+3*J25*7,""),"")</f>
        <v/>
      </c>
      <c r="P25" s="11">
        <f>IF(A25="한국",IFERROR(INDEX('종목_한국'!$R$6:$R$105,MATCH(B25,'종목_한국'!$A$6:$A$105,0)),""),IF(A25="미국",IFERROR(INDEX('종목_미국'!$R$6:$R$105,MATCH(B25,'종목_미국'!$A$6:$A$105,0)),""),""))</f>
        <v/>
      </c>
      <c r="Q25">
        <f>IF(B25="","",IF(ISNUMBER(P25),IF(P25&gt;='설정'!$B$5,"예","아니오(70 미만)"),"점수 없음"))</f>
        <v/>
      </c>
      <c r="R25">
        <f>IF(B25="","",IF(COUNTIF('매수이유'!$A$6:$A$205,B25)=0,"기록 없음",IF(COUNTIF('매수이유'!$A$6:$A$205,B25)&gt;3,"이유 3개 초과",IF(COUNTIFS('매수이유'!$A$6:$A$205,B25,'매수이유'!$E$6:$E$205,"Y")&lt;&gt;1,"핵심 1개 표시 필요",IF(SUMIFS('매수이유'!$L$6:$L$205,'매수이유'!$A$6:$A$205,B25)&gt;0,"근거·기준 미기재","기록 완료")))))</f>
        <v/>
      </c>
    </row>
  </sheetData>
  <dataValidations count="1">
    <dataValidation sqref="A6:A25" showDropDown="0" showInputMessage="0" showErrorMessage="0" allowBlank="1" type="list">
      <formula1>"한국,미국"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36" customWidth="1" min="5" max="5"/>
    <col width="7" customWidth="1" min="6" max="6"/>
    <col width="9" customWidth="1" min="7" max="7"/>
    <col width="11" customWidth="1" min="8" max="8"/>
    <col width="10" customWidth="1" min="9" max="9"/>
    <col width="13" customWidth="1" min="10" max="10"/>
    <col width="50" customWidth="1" min="11" max="11"/>
  </cols>
  <sheetData>
    <row r="1">
      <c r="A1" s="4" t="inlineStr">
        <is>
          <t>판단 기록</t>
        </is>
      </c>
    </row>
    <row r="2">
      <c r="A2" s="5" t="inlineStr">
        <is>
          <t>제안을 보고 결정할 때마다 한 줄. 대시보드의 제안을 복사해 '값만 붙여넣기' 하고, 내 결정과 이유를 적는다. 나중에 판단을 돌아보는 용도.</t>
        </is>
      </c>
    </row>
    <row r="4">
      <c r="A4" s="6" t="inlineStr">
        <is>
          <t>날짜</t>
        </is>
      </c>
      <c r="B4" s="6" t="inlineStr">
        <is>
          <t>국가</t>
        </is>
      </c>
      <c r="C4" s="6" t="inlineStr">
        <is>
          <t>종목코드</t>
        </is>
      </c>
      <c r="D4" s="6" t="inlineStr">
        <is>
          <t>종목명</t>
        </is>
      </c>
      <c r="E4" s="6" t="inlineStr">
        <is>
          <t>프로그램 제안</t>
        </is>
      </c>
      <c r="F4" s="6" t="inlineStr">
        <is>
          <t>점수</t>
        </is>
      </c>
      <c r="G4" s="6" t="inlineStr">
        <is>
          <t>시장 심리</t>
        </is>
      </c>
      <c r="H4" s="6" t="inlineStr">
        <is>
          <t>내 결정</t>
        </is>
      </c>
      <c r="I4" s="6" t="inlineStr">
        <is>
          <t>실제 행동</t>
        </is>
      </c>
      <c r="J4" s="6" t="inlineStr">
        <is>
          <t>금액(원)</t>
        </is>
      </c>
      <c r="K4" s="6" t="inlineStr">
        <is>
          <t>이유·메모</t>
        </is>
      </c>
    </row>
    <row r="5">
      <c r="A5" s="16" t="n">
        <v>46296</v>
      </c>
      <c r="B5" s="19" t="inlineStr">
        <is>
          <t>미국</t>
        </is>
      </c>
      <c r="C5" s="18" t="inlineStr">
        <is>
          <t>U02</t>
        </is>
      </c>
      <c r="D5" s="19" t="inlineStr">
        <is>
          <t>예시리테일</t>
        </is>
      </c>
      <c r="E5" s="19" t="inlineStr">
        <is>
          <t>① 손실 한도 도달 → 매도</t>
        </is>
      </c>
      <c r="F5" s="26" t="n">
        <v>0</v>
      </c>
      <c r="G5" s="26" t="n"/>
      <c r="H5" s="19" t="inlineStr">
        <is>
          <t>따름</t>
        </is>
      </c>
      <c r="I5" s="19" t="inlineStr">
        <is>
          <t>매도</t>
        </is>
      </c>
      <c r="J5" s="20" t="n">
        <v>5313000</v>
      </c>
      <c r="K5" s="19" t="inlineStr">
        <is>
          <t>매수가 대비 −31%. 규칙대로 전량 매도.</t>
        </is>
      </c>
    </row>
    <row r="6">
      <c r="A6" s="16" t="n">
        <v>46296</v>
      </c>
      <c r="B6" s="19" t="inlineStr">
        <is>
          <t>한국</t>
        </is>
      </c>
      <c r="C6" s="18" t="inlineStr">
        <is>
          <t>K01</t>
        </is>
      </c>
      <c r="D6" s="19" t="inlineStr">
        <is>
          <t>예시전자</t>
        </is>
      </c>
      <c r="E6" s="19" t="inlineStr">
        <is>
          <t>② 핵심 매수 이유 붕괴 → 매도 검토</t>
        </is>
      </c>
      <c r="F6" s="26" t="n">
        <v>83.3</v>
      </c>
      <c r="G6" s="26" t="n"/>
      <c r="H6" s="19" t="inlineStr">
        <is>
          <t>보류</t>
        </is>
      </c>
      <c r="I6" s="19" t="inlineStr">
        <is>
          <t>유지</t>
        </is>
      </c>
      <c r="J6" s="20" t="n"/>
      <c r="K6" s="19" t="inlineStr">
        <is>
          <t>계약 미갱신 공시 확인. 대체 계약 공시가 나오는지 2주 뒤 다시 본다.</t>
        </is>
      </c>
    </row>
    <row r="7">
      <c r="A7" s="16" t="n"/>
      <c r="B7" s="19" t="n"/>
      <c r="C7" s="18" t="n"/>
      <c r="D7" s="19" t="n"/>
      <c r="E7" s="19" t="n"/>
      <c r="F7" s="26" t="n"/>
      <c r="G7" s="26" t="n"/>
      <c r="H7" s="19" t="n"/>
      <c r="I7" s="19" t="n"/>
      <c r="J7" s="20" t="n"/>
      <c r="K7" s="19" t="n"/>
    </row>
    <row r="8">
      <c r="A8" s="16" t="n"/>
      <c r="B8" s="19" t="n"/>
      <c r="C8" s="18" t="n"/>
      <c r="D8" s="19" t="n"/>
      <c r="E8" s="19" t="n"/>
      <c r="F8" s="26" t="n"/>
      <c r="G8" s="26" t="n"/>
      <c r="H8" s="19" t="n"/>
      <c r="I8" s="19" t="n"/>
      <c r="J8" s="20" t="n"/>
      <c r="K8" s="19" t="n"/>
    </row>
    <row r="9">
      <c r="A9" s="16" t="n"/>
      <c r="B9" s="19" t="n"/>
      <c r="C9" s="18" t="n"/>
      <c r="D9" s="19" t="n"/>
      <c r="E9" s="19" t="n"/>
      <c r="F9" s="26" t="n"/>
      <c r="G9" s="26" t="n"/>
      <c r="H9" s="19" t="n"/>
      <c r="I9" s="19" t="n"/>
      <c r="J9" s="20" t="n"/>
      <c r="K9" s="19" t="n"/>
    </row>
    <row r="10">
      <c r="A10" s="16" t="n"/>
      <c r="B10" s="19" t="n"/>
      <c r="C10" s="18" t="n"/>
      <c r="D10" s="19" t="n"/>
      <c r="E10" s="19" t="n"/>
      <c r="F10" s="26" t="n"/>
      <c r="G10" s="26" t="n"/>
      <c r="H10" s="19" t="n"/>
      <c r="I10" s="19" t="n"/>
      <c r="J10" s="20" t="n"/>
      <c r="K10" s="19" t="n"/>
    </row>
    <row r="11">
      <c r="A11" s="16" t="n"/>
      <c r="B11" s="19" t="n"/>
      <c r="C11" s="18" t="n"/>
      <c r="D11" s="19" t="n"/>
      <c r="E11" s="19" t="n"/>
      <c r="F11" s="26" t="n"/>
      <c r="G11" s="26" t="n"/>
      <c r="H11" s="19" t="n"/>
      <c r="I11" s="19" t="n"/>
      <c r="J11" s="20" t="n"/>
      <c r="K11" s="19" t="n"/>
    </row>
    <row r="12">
      <c r="A12" s="16" t="n"/>
      <c r="B12" s="19" t="n"/>
      <c r="C12" s="18" t="n"/>
      <c r="D12" s="19" t="n"/>
      <c r="E12" s="19" t="n"/>
      <c r="F12" s="26" t="n"/>
      <c r="G12" s="26" t="n"/>
      <c r="H12" s="19" t="n"/>
      <c r="I12" s="19" t="n"/>
      <c r="J12" s="20" t="n"/>
      <c r="K12" s="19" t="n"/>
    </row>
    <row r="13">
      <c r="A13" s="16" t="n"/>
      <c r="B13" s="19" t="n"/>
      <c r="C13" s="18" t="n"/>
      <c r="D13" s="19" t="n"/>
      <c r="E13" s="19" t="n"/>
      <c r="F13" s="26" t="n"/>
      <c r="G13" s="26" t="n"/>
      <c r="H13" s="19" t="n"/>
      <c r="I13" s="19" t="n"/>
      <c r="J13" s="20" t="n"/>
      <c r="K13" s="19" t="n"/>
    </row>
    <row r="14">
      <c r="A14" s="16" t="n"/>
      <c r="B14" s="19" t="n"/>
      <c r="C14" s="18" t="n"/>
      <c r="D14" s="19" t="n"/>
      <c r="E14" s="19" t="n"/>
      <c r="F14" s="26" t="n"/>
      <c r="G14" s="26" t="n"/>
      <c r="H14" s="19" t="n"/>
      <c r="I14" s="19" t="n"/>
      <c r="J14" s="20" t="n"/>
      <c r="K14" s="19" t="n"/>
    </row>
    <row r="15">
      <c r="A15" s="16" t="n"/>
      <c r="B15" s="19" t="n"/>
      <c r="C15" s="18" t="n"/>
      <c r="D15" s="19" t="n"/>
      <c r="E15" s="19" t="n"/>
      <c r="F15" s="26" t="n"/>
      <c r="G15" s="26" t="n"/>
      <c r="H15" s="19" t="n"/>
      <c r="I15" s="19" t="n"/>
      <c r="J15" s="20" t="n"/>
      <c r="K15" s="19" t="n"/>
    </row>
    <row r="16">
      <c r="A16" s="16" t="n"/>
      <c r="B16" s="19" t="n"/>
      <c r="C16" s="18" t="n"/>
      <c r="D16" s="19" t="n"/>
      <c r="E16" s="19" t="n"/>
      <c r="F16" s="26" t="n"/>
      <c r="G16" s="26" t="n"/>
      <c r="H16" s="19" t="n"/>
      <c r="I16" s="19" t="n"/>
      <c r="J16" s="20" t="n"/>
      <c r="K16" s="19" t="n"/>
    </row>
    <row r="17">
      <c r="A17" s="16" t="n"/>
      <c r="B17" s="19" t="n"/>
      <c r="C17" s="18" t="n"/>
      <c r="D17" s="19" t="n"/>
      <c r="E17" s="19" t="n"/>
      <c r="F17" s="26" t="n"/>
      <c r="G17" s="26" t="n"/>
      <c r="H17" s="19" t="n"/>
      <c r="I17" s="19" t="n"/>
      <c r="J17" s="20" t="n"/>
      <c r="K17" s="19" t="n"/>
    </row>
    <row r="18">
      <c r="A18" s="16" t="n"/>
      <c r="B18" s="19" t="n"/>
      <c r="C18" s="18" t="n"/>
      <c r="D18" s="19" t="n"/>
      <c r="E18" s="19" t="n"/>
      <c r="F18" s="26" t="n"/>
      <c r="G18" s="26" t="n"/>
      <c r="H18" s="19" t="n"/>
      <c r="I18" s="19" t="n"/>
      <c r="J18" s="20" t="n"/>
      <c r="K18" s="19" t="n"/>
    </row>
    <row r="19">
      <c r="A19" s="16" t="n"/>
      <c r="B19" s="19" t="n"/>
      <c r="C19" s="18" t="n"/>
      <c r="D19" s="19" t="n"/>
      <c r="E19" s="19" t="n"/>
      <c r="F19" s="26" t="n"/>
      <c r="G19" s="26" t="n"/>
      <c r="H19" s="19" t="n"/>
      <c r="I19" s="19" t="n"/>
      <c r="J19" s="20" t="n"/>
      <c r="K19" s="19" t="n"/>
    </row>
    <row r="20">
      <c r="A20" s="16" t="n"/>
      <c r="B20" s="19" t="n"/>
      <c r="C20" s="18" t="n"/>
      <c r="D20" s="19" t="n"/>
      <c r="E20" s="19" t="n"/>
      <c r="F20" s="26" t="n"/>
      <c r="G20" s="26" t="n"/>
      <c r="H20" s="19" t="n"/>
      <c r="I20" s="19" t="n"/>
      <c r="J20" s="20" t="n"/>
      <c r="K20" s="19" t="n"/>
    </row>
    <row r="21">
      <c r="A21" s="16" t="n"/>
      <c r="B21" s="19" t="n"/>
      <c r="C21" s="18" t="n"/>
      <c r="D21" s="19" t="n"/>
      <c r="E21" s="19" t="n"/>
      <c r="F21" s="26" t="n"/>
      <c r="G21" s="26" t="n"/>
      <c r="H21" s="19" t="n"/>
      <c r="I21" s="19" t="n"/>
      <c r="J21" s="20" t="n"/>
      <c r="K21" s="19" t="n"/>
    </row>
    <row r="22">
      <c r="A22" s="16" t="n"/>
      <c r="B22" s="19" t="n"/>
      <c r="C22" s="18" t="n"/>
      <c r="D22" s="19" t="n"/>
      <c r="E22" s="19" t="n"/>
      <c r="F22" s="26" t="n"/>
      <c r="G22" s="26" t="n"/>
      <c r="H22" s="19" t="n"/>
      <c r="I22" s="19" t="n"/>
      <c r="J22" s="20" t="n"/>
      <c r="K22" s="19" t="n"/>
    </row>
    <row r="23">
      <c r="A23" s="16" t="n"/>
      <c r="B23" s="19" t="n"/>
      <c r="C23" s="18" t="n"/>
      <c r="D23" s="19" t="n"/>
      <c r="E23" s="19" t="n"/>
      <c r="F23" s="26" t="n"/>
      <c r="G23" s="26" t="n"/>
      <c r="H23" s="19" t="n"/>
      <c r="I23" s="19" t="n"/>
      <c r="J23" s="20" t="n"/>
      <c r="K23" s="19" t="n"/>
    </row>
    <row r="24">
      <c r="A24" s="16" t="n"/>
      <c r="B24" s="19" t="n"/>
      <c r="C24" s="18" t="n"/>
      <c r="D24" s="19" t="n"/>
      <c r="E24" s="19" t="n"/>
      <c r="F24" s="26" t="n"/>
      <c r="G24" s="26" t="n"/>
      <c r="H24" s="19" t="n"/>
      <c r="I24" s="19" t="n"/>
      <c r="J24" s="20" t="n"/>
      <c r="K24" s="19" t="n"/>
    </row>
    <row r="25">
      <c r="A25" s="16" t="n"/>
      <c r="B25" s="19" t="n"/>
      <c r="C25" s="18" t="n"/>
      <c r="D25" s="19" t="n"/>
      <c r="E25" s="19" t="n"/>
      <c r="F25" s="26" t="n"/>
      <c r="G25" s="26" t="n"/>
      <c r="H25" s="19" t="n"/>
      <c r="I25" s="19" t="n"/>
      <c r="J25" s="20" t="n"/>
      <c r="K25" s="19" t="n"/>
    </row>
    <row r="26">
      <c r="A26" s="16" t="n"/>
      <c r="B26" s="19" t="n"/>
      <c r="C26" s="18" t="n"/>
      <c r="D26" s="19" t="n"/>
      <c r="E26" s="19" t="n"/>
      <c r="F26" s="26" t="n"/>
      <c r="G26" s="26" t="n"/>
      <c r="H26" s="19" t="n"/>
      <c r="I26" s="19" t="n"/>
      <c r="J26" s="20" t="n"/>
      <c r="K26" s="19" t="n"/>
    </row>
    <row r="27">
      <c r="A27" s="16" t="n"/>
      <c r="B27" s="19" t="n"/>
      <c r="C27" s="18" t="n"/>
      <c r="D27" s="19" t="n"/>
      <c r="E27" s="19" t="n"/>
      <c r="F27" s="26" t="n"/>
      <c r="G27" s="26" t="n"/>
      <c r="H27" s="19" t="n"/>
      <c r="I27" s="19" t="n"/>
      <c r="J27" s="20" t="n"/>
      <c r="K27" s="19" t="n"/>
    </row>
    <row r="28">
      <c r="A28" s="16" t="n"/>
      <c r="B28" s="19" t="n"/>
      <c r="C28" s="18" t="n"/>
      <c r="D28" s="19" t="n"/>
      <c r="E28" s="19" t="n"/>
      <c r="F28" s="26" t="n"/>
      <c r="G28" s="26" t="n"/>
      <c r="H28" s="19" t="n"/>
      <c r="I28" s="19" t="n"/>
      <c r="J28" s="20" t="n"/>
      <c r="K28" s="19" t="n"/>
    </row>
    <row r="29">
      <c r="A29" s="16" t="n"/>
      <c r="B29" s="19" t="n"/>
      <c r="C29" s="18" t="n"/>
      <c r="D29" s="19" t="n"/>
      <c r="E29" s="19" t="n"/>
      <c r="F29" s="26" t="n"/>
      <c r="G29" s="26" t="n"/>
      <c r="H29" s="19" t="n"/>
      <c r="I29" s="19" t="n"/>
      <c r="J29" s="20" t="n"/>
      <c r="K29" s="19" t="n"/>
    </row>
    <row r="30">
      <c r="A30" s="16" t="n"/>
      <c r="B30" s="19" t="n"/>
      <c r="C30" s="18" t="n"/>
      <c r="D30" s="19" t="n"/>
      <c r="E30" s="19" t="n"/>
      <c r="F30" s="26" t="n"/>
      <c r="G30" s="26" t="n"/>
      <c r="H30" s="19" t="n"/>
      <c r="I30" s="19" t="n"/>
      <c r="J30" s="20" t="n"/>
      <c r="K30" s="19" t="n"/>
    </row>
    <row r="31">
      <c r="A31" s="16" t="n"/>
      <c r="B31" s="19" t="n"/>
      <c r="C31" s="18" t="n"/>
      <c r="D31" s="19" t="n"/>
      <c r="E31" s="19" t="n"/>
      <c r="F31" s="26" t="n"/>
      <c r="G31" s="26" t="n"/>
      <c r="H31" s="19" t="n"/>
      <c r="I31" s="19" t="n"/>
      <c r="J31" s="20" t="n"/>
      <c r="K31" s="19" t="n"/>
    </row>
    <row r="32">
      <c r="A32" s="16" t="n"/>
      <c r="B32" s="19" t="n"/>
      <c r="C32" s="18" t="n"/>
      <c r="D32" s="19" t="n"/>
      <c r="E32" s="19" t="n"/>
      <c r="F32" s="26" t="n"/>
      <c r="G32" s="26" t="n"/>
      <c r="H32" s="19" t="n"/>
      <c r="I32" s="19" t="n"/>
      <c r="J32" s="20" t="n"/>
      <c r="K32" s="19" t="n"/>
    </row>
    <row r="33">
      <c r="A33" s="16" t="n"/>
      <c r="B33" s="19" t="n"/>
      <c r="C33" s="18" t="n"/>
      <c r="D33" s="19" t="n"/>
      <c r="E33" s="19" t="n"/>
      <c r="F33" s="26" t="n"/>
      <c r="G33" s="26" t="n"/>
      <c r="H33" s="19" t="n"/>
      <c r="I33" s="19" t="n"/>
      <c r="J33" s="20" t="n"/>
      <c r="K33" s="19" t="n"/>
    </row>
    <row r="34">
      <c r="A34" s="16" t="n"/>
      <c r="B34" s="19" t="n"/>
      <c r="C34" s="18" t="n"/>
      <c r="D34" s="19" t="n"/>
      <c r="E34" s="19" t="n"/>
      <c r="F34" s="26" t="n"/>
      <c r="G34" s="26" t="n"/>
      <c r="H34" s="19" t="n"/>
      <c r="I34" s="19" t="n"/>
      <c r="J34" s="20" t="n"/>
      <c r="K34" s="19" t="n"/>
    </row>
    <row r="35">
      <c r="A35" s="16" t="n"/>
      <c r="B35" s="19" t="n"/>
      <c r="C35" s="18" t="n"/>
      <c r="D35" s="19" t="n"/>
      <c r="E35" s="19" t="n"/>
      <c r="F35" s="26" t="n"/>
      <c r="G35" s="26" t="n"/>
      <c r="H35" s="19" t="n"/>
      <c r="I35" s="19" t="n"/>
      <c r="J35" s="20" t="n"/>
      <c r="K35" s="19" t="n"/>
    </row>
    <row r="36">
      <c r="A36" s="16" t="n"/>
      <c r="B36" s="19" t="n"/>
      <c r="C36" s="18" t="n"/>
      <c r="D36" s="19" t="n"/>
      <c r="E36" s="19" t="n"/>
      <c r="F36" s="26" t="n"/>
      <c r="G36" s="26" t="n"/>
      <c r="H36" s="19" t="n"/>
      <c r="I36" s="19" t="n"/>
      <c r="J36" s="20" t="n"/>
      <c r="K36" s="19" t="n"/>
    </row>
    <row r="37">
      <c r="A37" s="16" t="n"/>
      <c r="B37" s="19" t="n"/>
      <c r="C37" s="18" t="n"/>
      <c r="D37" s="19" t="n"/>
      <c r="E37" s="19" t="n"/>
      <c r="F37" s="26" t="n"/>
      <c r="G37" s="26" t="n"/>
      <c r="H37" s="19" t="n"/>
      <c r="I37" s="19" t="n"/>
      <c r="J37" s="20" t="n"/>
      <c r="K37" s="19" t="n"/>
    </row>
    <row r="38">
      <c r="A38" s="16" t="n"/>
      <c r="B38" s="19" t="n"/>
      <c r="C38" s="18" t="n"/>
      <c r="D38" s="19" t="n"/>
      <c r="E38" s="19" t="n"/>
      <c r="F38" s="26" t="n"/>
      <c r="G38" s="26" t="n"/>
      <c r="H38" s="19" t="n"/>
      <c r="I38" s="19" t="n"/>
      <c r="J38" s="20" t="n"/>
      <c r="K38" s="19" t="n"/>
    </row>
    <row r="39">
      <c r="A39" s="16" t="n"/>
      <c r="B39" s="19" t="n"/>
      <c r="C39" s="18" t="n"/>
      <c r="D39" s="19" t="n"/>
      <c r="E39" s="19" t="n"/>
      <c r="F39" s="26" t="n"/>
      <c r="G39" s="26" t="n"/>
      <c r="H39" s="19" t="n"/>
      <c r="I39" s="19" t="n"/>
      <c r="J39" s="20" t="n"/>
      <c r="K39" s="19" t="n"/>
    </row>
    <row r="40">
      <c r="A40" s="16" t="n"/>
      <c r="B40" s="19" t="n"/>
      <c r="C40" s="18" t="n"/>
      <c r="D40" s="19" t="n"/>
      <c r="E40" s="19" t="n"/>
      <c r="F40" s="26" t="n"/>
      <c r="G40" s="26" t="n"/>
      <c r="H40" s="19" t="n"/>
      <c r="I40" s="19" t="n"/>
      <c r="J40" s="20" t="n"/>
      <c r="K40" s="19" t="n"/>
    </row>
    <row r="41">
      <c r="A41" s="16" t="n"/>
      <c r="B41" s="19" t="n"/>
      <c r="C41" s="18" t="n"/>
      <c r="D41" s="19" t="n"/>
      <c r="E41" s="19" t="n"/>
      <c r="F41" s="26" t="n"/>
      <c r="G41" s="26" t="n"/>
      <c r="H41" s="19" t="n"/>
      <c r="I41" s="19" t="n"/>
      <c r="J41" s="20" t="n"/>
      <c r="K41" s="19" t="n"/>
    </row>
    <row r="42">
      <c r="A42" s="16" t="n"/>
      <c r="B42" s="19" t="n"/>
      <c r="C42" s="18" t="n"/>
      <c r="D42" s="19" t="n"/>
      <c r="E42" s="19" t="n"/>
      <c r="F42" s="26" t="n"/>
      <c r="G42" s="26" t="n"/>
      <c r="H42" s="19" t="n"/>
      <c r="I42" s="19" t="n"/>
      <c r="J42" s="20" t="n"/>
      <c r="K42" s="19" t="n"/>
    </row>
    <row r="43">
      <c r="A43" s="16" t="n"/>
      <c r="B43" s="19" t="n"/>
      <c r="C43" s="18" t="n"/>
      <c r="D43" s="19" t="n"/>
      <c r="E43" s="19" t="n"/>
      <c r="F43" s="26" t="n"/>
      <c r="G43" s="26" t="n"/>
      <c r="H43" s="19" t="n"/>
      <c r="I43" s="19" t="n"/>
      <c r="J43" s="20" t="n"/>
      <c r="K43" s="19" t="n"/>
    </row>
    <row r="44">
      <c r="A44" s="16" t="n"/>
      <c r="B44" s="19" t="n"/>
      <c r="C44" s="18" t="n"/>
      <c r="D44" s="19" t="n"/>
      <c r="E44" s="19" t="n"/>
      <c r="F44" s="26" t="n"/>
      <c r="G44" s="26" t="n"/>
      <c r="H44" s="19" t="n"/>
      <c r="I44" s="19" t="n"/>
      <c r="J44" s="20" t="n"/>
      <c r="K44" s="19" t="n"/>
    </row>
    <row r="45">
      <c r="A45" s="16" t="n"/>
      <c r="B45" s="19" t="n"/>
      <c r="C45" s="18" t="n"/>
      <c r="D45" s="19" t="n"/>
      <c r="E45" s="19" t="n"/>
      <c r="F45" s="26" t="n"/>
      <c r="G45" s="26" t="n"/>
      <c r="H45" s="19" t="n"/>
      <c r="I45" s="19" t="n"/>
      <c r="J45" s="20" t="n"/>
      <c r="K45" s="19" t="n"/>
    </row>
    <row r="46">
      <c r="A46" s="16" t="n"/>
      <c r="B46" s="19" t="n"/>
      <c r="C46" s="18" t="n"/>
      <c r="D46" s="19" t="n"/>
      <c r="E46" s="19" t="n"/>
      <c r="F46" s="26" t="n"/>
      <c r="G46" s="26" t="n"/>
      <c r="H46" s="19" t="n"/>
      <c r="I46" s="19" t="n"/>
      <c r="J46" s="20" t="n"/>
      <c r="K46" s="19" t="n"/>
    </row>
    <row r="47">
      <c r="A47" s="16" t="n"/>
      <c r="B47" s="19" t="n"/>
      <c r="C47" s="18" t="n"/>
      <c r="D47" s="19" t="n"/>
      <c r="E47" s="19" t="n"/>
      <c r="F47" s="26" t="n"/>
      <c r="G47" s="26" t="n"/>
      <c r="H47" s="19" t="n"/>
      <c r="I47" s="19" t="n"/>
      <c r="J47" s="20" t="n"/>
      <c r="K47" s="19" t="n"/>
    </row>
    <row r="48">
      <c r="A48" s="16" t="n"/>
      <c r="B48" s="19" t="n"/>
      <c r="C48" s="18" t="n"/>
      <c r="D48" s="19" t="n"/>
      <c r="E48" s="19" t="n"/>
      <c r="F48" s="26" t="n"/>
      <c r="G48" s="26" t="n"/>
      <c r="H48" s="19" t="n"/>
      <c r="I48" s="19" t="n"/>
      <c r="J48" s="20" t="n"/>
      <c r="K48" s="19" t="n"/>
    </row>
    <row r="49">
      <c r="A49" s="16" t="n"/>
      <c r="B49" s="19" t="n"/>
      <c r="C49" s="18" t="n"/>
      <c r="D49" s="19" t="n"/>
      <c r="E49" s="19" t="n"/>
      <c r="F49" s="26" t="n"/>
      <c r="G49" s="26" t="n"/>
      <c r="H49" s="19" t="n"/>
      <c r="I49" s="19" t="n"/>
      <c r="J49" s="20" t="n"/>
      <c r="K49" s="19" t="n"/>
    </row>
    <row r="50">
      <c r="A50" s="16" t="n"/>
      <c r="B50" s="19" t="n"/>
      <c r="C50" s="18" t="n"/>
      <c r="D50" s="19" t="n"/>
      <c r="E50" s="19" t="n"/>
      <c r="F50" s="26" t="n"/>
      <c r="G50" s="26" t="n"/>
      <c r="H50" s="19" t="n"/>
      <c r="I50" s="19" t="n"/>
      <c r="J50" s="20" t="n"/>
      <c r="K50" s="19" t="n"/>
    </row>
    <row r="51">
      <c r="A51" s="16" t="n"/>
      <c r="B51" s="19" t="n"/>
      <c r="C51" s="18" t="n"/>
      <c r="D51" s="19" t="n"/>
      <c r="E51" s="19" t="n"/>
      <c r="F51" s="26" t="n"/>
      <c r="G51" s="26" t="n"/>
      <c r="H51" s="19" t="n"/>
      <c r="I51" s="19" t="n"/>
      <c r="J51" s="20" t="n"/>
      <c r="K51" s="19" t="n"/>
    </row>
    <row r="52">
      <c r="A52" s="16" t="n"/>
      <c r="B52" s="19" t="n"/>
      <c r="C52" s="18" t="n"/>
      <c r="D52" s="19" t="n"/>
      <c r="E52" s="19" t="n"/>
      <c r="F52" s="26" t="n"/>
      <c r="G52" s="26" t="n"/>
      <c r="H52" s="19" t="n"/>
      <c r="I52" s="19" t="n"/>
      <c r="J52" s="20" t="n"/>
      <c r="K52" s="19" t="n"/>
    </row>
    <row r="53">
      <c r="A53" s="16" t="n"/>
      <c r="B53" s="19" t="n"/>
      <c r="C53" s="18" t="n"/>
      <c r="D53" s="19" t="n"/>
      <c r="E53" s="19" t="n"/>
      <c r="F53" s="26" t="n"/>
      <c r="G53" s="26" t="n"/>
      <c r="H53" s="19" t="n"/>
      <c r="I53" s="19" t="n"/>
      <c r="J53" s="20" t="n"/>
      <c r="K53" s="19" t="n"/>
    </row>
    <row r="54">
      <c r="A54" s="16" t="n"/>
      <c r="B54" s="19" t="n"/>
      <c r="C54" s="18" t="n"/>
      <c r="D54" s="19" t="n"/>
      <c r="E54" s="19" t="n"/>
      <c r="F54" s="26" t="n"/>
      <c r="G54" s="26" t="n"/>
      <c r="H54" s="19" t="n"/>
      <c r="I54" s="19" t="n"/>
      <c r="J54" s="20" t="n"/>
      <c r="K54" s="19" t="n"/>
    </row>
    <row r="55">
      <c r="A55" s="16" t="n"/>
      <c r="B55" s="19" t="n"/>
      <c r="C55" s="18" t="n"/>
      <c r="D55" s="19" t="n"/>
      <c r="E55" s="19" t="n"/>
      <c r="F55" s="26" t="n"/>
      <c r="G55" s="26" t="n"/>
      <c r="H55" s="19" t="n"/>
      <c r="I55" s="19" t="n"/>
      <c r="J55" s="20" t="n"/>
      <c r="K55" s="19" t="n"/>
    </row>
    <row r="56">
      <c r="A56" s="16" t="n"/>
      <c r="B56" s="19" t="n"/>
      <c r="C56" s="18" t="n"/>
      <c r="D56" s="19" t="n"/>
      <c r="E56" s="19" t="n"/>
      <c r="F56" s="26" t="n"/>
      <c r="G56" s="26" t="n"/>
      <c r="H56" s="19" t="n"/>
      <c r="I56" s="19" t="n"/>
      <c r="J56" s="20" t="n"/>
      <c r="K56" s="19" t="n"/>
    </row>
    <row r="57">
      <c r="A57" s="16" t="n"/>
      <c r="B57" s="19" t="n"/>
      <c r="C57" s="18" t="n"/>
      <c r="D57" s="19" t="n"/>
      <c r="E57" s="19" t="n"/>
      <c r="F57" s="26" t="n"/>
      <c r="G57" s="26" t="n"/>
      <c r="H57" s="19" t="n"/>
      <c r="I57" s="19" t="n"/>
      <c r="J57" s="20" t="n"/>
      <c r="K57" s="19" t="n"/>
    </row>
    <row r="58">
      <c r="A58" s="16" t="n"/>
      <c r="B58" s="19" t="n"/>
      <c r="C58" s="18" t="n"/>
      <c r="D58" s="19" t="n"/>
      <c r="E58" s="19" t="n"/>
      <c r="F58" s="26" t="n"/>
      <c r="G58" s="26" t="n"/>
      <c r="H58" s="19" t="n"/>
      <c r="I58" s="19" t="n"/>
      <c r="J58" s="20" t="n"/>
      <c r="K58" s="19" t="n"/>
    </row>
    <row r="59">
      <c r="A59" s="16" t="n"/>
      <c r="B59" s="19" t="n"/>
      <c r="C59" s="18" t="n"/>
      <c r="D59" s="19" t="n"/>
      <c r="E59" s="19" t="n"/>
      <c r="F59" s="26" t="n"/>
      <c r="G59" s="26" t="n"/>
      <c r="H59" s="19" t="n"/>
      <c r="I59" s="19" t="n"/>
      <c r="J59" s="20" t="n"/>
      <c r="K59" s="19" t="n"/>
    </row>
    <row r="60">
      <c r="A60" s="16" t="n"/>
      <c r="B60" s="19" t="n"/>
      <c r="C60" s="18" t="n"/>
      <c r="D60" s="19" t="n"/>
      <c r="E60" s="19" t="n"/>
      <c r="F60" s="26" t="n"/>
      <c r="G60" s="26" t="n"/>
      <c r="H60" s="19" t="n"/>
      <c r="I60" s="19" t="n"/>
      <c r="J60" s="20" t="n"/>
      <c r="K60" s="19" t="n"/>
    </row>
    <row r="61">
      <c r="A61" s="16" t="n"/>
      <c r="B61" s="19" t="n"/>
      <c r="C61" s="18" t="n"/>
      <c r="D61" s="19" t="n"/>
      <c r="E61" s="19" t="n"/>
      <c r="F61" s="26" t="n"/>
      <c r="G61" s="26" t="n"/>
      <c r="H61" s="19" t="n"/>
      <c r="I61" s="19" t="n"/>
      <c r="J61" s="20" t="n"/>
      <c r="K61" s="19" t="n"/>
    </row>
    <row r="62">
      <c r="A62" s="16" t="n"/>
      <c r="B62" s="19" t="n"/>
      <c r="C62" s="18" t="n"/>
      <c r="D62" s="19" t="n"/>
      <c r="E62" s="19" t="n"/>
      <c r="F62" s="26" t="n"/>
      <c r="G62" s="26" t="n"/>
      <c r="H62" s="19" t="n"/>
      <c r="I62" s="19" t="n"/>
      <c r="J62" s="20" t="n"/>
      <c r="K62" s="19" t="n"/>
    </row>
    <row r="63">
      <c r="A63" s="16" t="n"/>
      <c r="B63" s="19" t="n"/>
      <c r="C63" s="18" t="n"/>
      <c r="D63" s="19" t="n"/>
      <c r="E63" s="19" t="n"/>
      <c r="F63" s="26" t="n"/>
      <c r="G63" s="26" t="n"/>
      <c r="H63" s="19" t="n"/>
      <c r="I63" s="19" t="n"/>
      <c r="J63" s="20" t="n"/>
      <c r="K63" s="19" t="n"/>
    </row>
    <row r="64">
      <c r="A64" s="16" t="n"/>
      <c r="B64" s="19" t="n"/>
      <c r="C64" s="18" t="n"/>
      <c r="D64" s="19" t="n"/>
      <c r="E64" s="19" t="n"/>
      <c r="F64" s="26" t="n"/>
      <c r="G64" s="26" t="n"/>
      <c r="H64" s="19" t="n"/>
      <c r="I64" s="19" t="n"/>
      <c r="J64" s="20" t="n"/>
      <c r="K64" s="19" t="n"/>
    </row>
    <row r="65">
      <c r="A65" s="16" t="n"/>
      <c r="B65" s="19" t="n"/>
      <c r="C65" s="18" t="n"/>
      <c r="D65" s="19" t="n"/>
      <c r="E65" s="19" t="n"/>
      <c r="F65" s="26" t="n"/>
      <c r="G65" s="26" t="n"/>
      <c r="H65" s="19" t="n"/>
      <c r="I65" s="19" t="n"/>
      <c r="J65" s="20" t="n"/>
      <c r="K65" s="19" t="n"/>
    </row>
    <row r="66">
      <c r="A66" s="16" t="n"/>
      <c r="B66" s="19" t="n"/>
      <c r="C66" s="18" t="n"/>
      <c r="D66" s="19" t="n"/>
      <c r="E66" s="19" t="n"/>
      <c r="F66" s="26" t="n"/>
      <c r="G66" s="26" t="n"/>
      <c r="H66" s="19" t="n"/>
      <c r="I66" s="19" t="n"/>
      <c r="J66" s="20" t="n"/>
      <c r="K66" s="19" t="n"/>
    </row>
    <row r="67">
      <c r="A67" s="16" t="n"/>
      <c r="B67" s="19" t="n"/>
      <c r="C67" s="18" t="n"/>
      <c r="D67" s="19" t="n"/>
      <c r="E67" s="19" t="n"/>
      <c r="F67" s="26" t="n"/>
      <c r="G67" s="26" t="n"/>
      <c r="H67" s="19" t="n"/>
      <c r="I67" s="19" t="n"/>
      <c r="J67" s="20" t="n"/>
      <c r="K67" s="19" t="n"/>
    </row>
    <row r="68">
      <c r="A68" s="16" t="n"/>
      <c r="B68" s="19" t="n"/>
      <c r="C68" s="18" t="n"/>
      <c r="D68" s="19" t="n"/>
      <c r="E68" s="19" t="n"/>
      <c r="F68" s="26" t="n"/>
      <c r="G68" s="26" t="n"/>
      <c r="H68" s="19" t="n"/>
      <c r="I68" s="19" t="n"/>
      <c r="J68" s="20" t="n"/>
      <c r="K68" s="19" t="n"/>
    </row>
    <row r="69">
      <c r="A69" s="16" t="n"/>
      <c r="B69" s="19" t="n"/>
      <c r="C69" s="18" t="n"/>
      <c r="D69" s="19" t="n"/>
      <c r="E69" s="19" t="n"/>
      <c r="F69" s="26" t="n"/>
      <c r="G69" s="26" t="n"/>
      <c r="H69" s="19" t="n"/>
      <c r="I69" s="19" t="n"/>
      <c r="J69" s="20" t="n"/>
      <c r="K69" s="19" t="n"/>
    </row>
    <row r="70">
      <c r="A70" s="16" t="n"/>
      <c r="B70" s="19" t="n"/>
      <c r="C70" s="18" t="n"/>
      <c r="D70" s="19" t="n"/>
      <c r="E70" s="19" t="n"/>
      <c r="F70" s="26" t="n"/>
      <c r="G70" s="26" t="n"/>
      <c r="H70" s="19" t="n"/>
      <c r="I70" s="19" t="n"/>
      <c r="J70" s="20" t="n"/>
      <c r="K70" s="19" t="n"/>
    </row>
    <row r="71">
      <c r="A71" s="16" t="n"/>
      <c r="B71" s="19" t="n"/>
      <c r="C71" s="18" t="n"/>
      <c r="D71" s="19" t="n"/>
      <c r="E71" s="19" t="n"/>
      <c r="F71" s="26" t="n"/>
      <c r="G71" s="26" t="n"/>
      <c r="H71" s="19" t="n"/>
      <c r="I71" s="19" t="n"/>
      <c r="J71" s="20" t="n"/>
      <c r="K71" s="19" t="n"/>
    </row>
    <row r="72">
      <c r="A72" s="16" t="n"/>
      <c r="B72" s="19" t="n"/>
      <c r="C72" s="18" t="n"/>
      <c r="D72" s="19" t="n"/>
      <c r="E72" s="19" t="n"/>
      <c r="F72" s="26" t="n"/>
      <c r="G72" s="26" t="n"/>
      <c r="H72" s="19" t="n"/>
      <c r="I72" s="19" t="n"/>
      <c r="J72" s="20" t="n"/>
      <c r="K72" s="19" t="n"/>
    </row>
    <row r="73">
      <c r="A73" s="16" t="n"/>
      <c r="B73" s="19" t="n"/>
      <c r="C73" s="18" t="n"/>
      <c r="D73" s="19" t="n"/>
      <c r="E73" s="19" t="n"/>
      <c r="F73" s="26" t="n"/>
      <c r="G73" s="26" t="n"/>
      <c r="H73" s="19" t="n"/>
      <c r="I73" s="19" t="n"/>
      <c r="J73" s="20" t="n"/>
      <c r="K73" s="19" t="n"/>
    </row>
    <row r="74">
      <c r="A74" s="16" t="n"/>
      <c r="B74" s="19" t="n"/>
      <c r="C74" s="18" t="n"/>
      <c r="D74" s="19" t="n"/>
      <c r="E74" s="19" t="n"/>
      <c r="F74" s="26" t="n"/>
      <c r="G74" s="26" t="n"/>
      <c r="H74" s="19" t="n"/>
      <c r="I74" s="19" t="n"/>
      <c r="J74" s="20" t="n"/>
      <c r="K74" s="19" t="n"/>
    </row>
    <row r="75">
      <c r="A75" s="16" t="n"/>
      <c r="B75" s="19" t="n"/>
      <c r="C75" s="18" t="n"/>
      <c r="D75" s="19" t="n"/>
      <c r="E75" s="19" t="n"/>
      <c r="F75" s="26" t="n"/>
      <c r="G75" s="26" t="n"/>
      <c r="H75" s="19" t="n"/>
      <c r="I75" s="19" t="n"/>
      <c r="J75" s="20" t="n"/>
      <c r="K75" s="19" t="n"/>
    </row>
    <row r="76">
      <c r="A76" s="16" t="n"/>
      <c r="B76" s="19" t="n"/>
      <c r="C76" s="18" t="n"/>
      <c r="D76" s="19" t="n"/>
      <c r="E76" s="19" t="n"/>
      <c r="F76" s="26" t="n"/>
      <c r="G76" s="26" t="n"/>
      <c r="H76" s="19" t="n"/>
      <c r="I76" s="19" t="n"/>
      <c r="J76" s="20" t="n"/>
      <c r="K76" s="19" t="n"/>
    </row>
    <row r="77">
      <c r="A77" s="16" t="n"/>
      <c r="B77" s="19" t="n"/>
      <c r="C77" s="18" t="n"/>
      <c r="D77" s="19" t="n"/>
      <c r="E77" s="19" t="n"/>
      <c r="F77" s="26" t="n"/>
      <c r="G77" s="26" t="n"/>
      <c r="H77" s="19" t="n"/>
      <c r="I77" s="19" t="n"/>
      <c r="J77" s="20" t="n"/>
      <c r="K77" s="19" t="n"/>
    </row>
    <row r="78">
      <c r="A78" s="16" t="n"/>
      <c r="B78" s="19" t="n"/>
      <c r="C78" s="18" t="n"/>
      <c r="D78" s="19" t="n"/>
      <c r="E78" s="19" t="n"/>
      <c r="F78" s="26" t="n"/>
      <c r="G78" s="26" t="n"/>
      <c r="H78" s="19" t="n"/>
      <c r="I78" s="19" t="n"/>
      <c r="J78" s="20" t="n"/>
      <c r="K78" s="19" t="n"/>
    </row>
    <row r="79">
      <c r="A79" s="16" t="n"/>
      <c r="B79" s="19" t="n"/>
      <c r="C79" s="18" t="n"/>
      <c r="D79" s="19" t="n"/>
      <c r="E79" s="19" t="n"/>
      <c r="F79" s="26" t="n"/>
      <c r="G79" s="26" t="n"/>
      <c r="H79" s="19" t="n"/>
      <c r="I79" s="19" t="n"/>
      <c r="J79" s="20" t="n"/>
      <c r="K79" s="19" t="n"/>
    </row>
    <row r="80">
      <c r="A80" s="16" t="n"/>
      <c r="B80" s="19" t="n"/>
      <c r="C80" s="18" t="n"/>
      <c r="D80" s="19" t="n"/>
      <c r="E80" s="19" t="n"/>
      <c r="F80" s="26" t="n"/>
      <c r="G80" s="26" t="n"/>
      <c r="H80" s="19" t="n"/>
      <c r="I80" s="19" t="n"/>
      <c r="J80" s="20" t="n"/>
      <c r="K80" s="19" t="n"/>
    </row>
    <row r="81">
      <c r="A81" s="16" t="n"/>
      <c r="B81" s="19" t="n"/>
      <c r="C81" s="18" t="n"/>
      <c r="D81" s="19" t="n"/>
      <c r="E81" s="19" t="n"/>
      <c r="F81" s="26" t="n"/>
      <c r="G81" s="26" t="n"/>
      <c r="H81" s="19" t="n"/>
      <c r="I81" s="19" t="n"/>
      <c r="J81" s="20" t="n"/>
      <c r="K81" s="19" t="n"/>
    </row>
    <row r="82">
      <c r="A82" s="16" t="n"/>
      <c r="B82" s="19" t="n"/>
      <c r="C82" s="18" t="n"/>
      <c r="D82" s="19" t="n"/>
      <c r="E82" s="19" t="n"/>
      <c r="F82" s="26" t="n"/>
      <c r="G82" s="26" t="n"/>
      <c r="H82" s="19" t="n"/>
      <c r="I82" s="19" t="n"/>
      <c r="J82" s="20" t="n"/>
      <c r="K82" s="19" t="n"/>
    </row>
    <row r="83">
      <c r="A83" s="16" t="n"/>
      <c r="B83" s="19" t="n"/>
      <c r="C83" s="18" t="n"/>
      <c r="D83" s="19" t="n"/>
      <c r="E83" s="19" t="n"/>
      <c r="F83" s="26" t="n"/>
      <c r="G83" s="26" t="n"/>
      <c r="H83" s="19" t="n"/>
      <c r="I83" s="19" t="n"/>
      <c r="J83" s="20" t="n"/>
      <c r="K83" s="19" t="n"/>
    </row>
    <row r="84">
      <c r="A84" s="16" t="n"/>
      <c r="B84" s="19" t="n"/>
      <c r="C84" s="18" t="n"/>
      <c r="D84" s="19" t="n"/>
      <c r="E84" s="19" t="n"/>
      <c r="F84" s="26" t="n"/>
      <c r="G84" s="26" t="n"/>
      <c r="H84" s="19" t="n"/>
      <c r="I84" s="19" t="n"/>
      <c r="J84" s="20" t="n"/>
      <c r="K84" s="19" t="n"/>
    </row>
    <row r="85">
      <c r="A85" s="16" t="n"/>
      <c r="B85" s="19" t="n"/>
      <c r="C85" s="18" t="n"/>
      <c r="D85" s="19" t="n"/>
      <c r="E85" s="19" t="n"/>
      <c r="F85" s="26" t="n"/>
      <c r="G85" s="26" t="n"/>
      <c r="H85" s="19" t="n"/>
      <c r="I85" s="19" t="n"/>
      <c r="J85" s="20" t="n"/>
      <c r="K85" s="19" t="n"/>
    </row>
    <row r="86">
      <c r="A86" s="16" t="n"/>
      <c r="B86" s="19" t="n"/>
      <c r="C86" s="18" t="n"/>
      <c r="D86" s="19" t="n"/>
      <c r="E86" s="19" t="n"/>
      <c r="F86" s="26" t="n"/>
      <c r="G86" s="26" t="n"/>
      <c r="H86" s="19" t="n"/>
      <c r="I86" s="19" t="n"/>
      <c r="J86" s="20" t="n"/>
      <c r="K86" s="19" t="n"/>
    </row>
    <row r="87">
      <c r="A87" s="16" t="n"/>
      <c r="B87" s="19" t="n"/>
      <c r="C87" s="18" t="n"/>
      <c r="D87" s="19" t="n"/>
      <c r="E87" s="19" t="n"/>
      <c r="F87" s="26" t="n"/>
      <c r="G87" s="26" t="n"/>
      <c r="H87" s="19" t="n"/>
      <c r="I87" s="19" t="n"/>
      <c r="J87" s="20" t="n"/>
      <c r="K87" s="19" t="n"/>
    </row>
    <row r="88">
      <c r="A88" s="16" t="n"/>
      <c r="B88" s="19" t="n"/>
      <c r="C88" s="18" t="n"/>
      <c r="D88" s="19" t="n"/>
      <c r="E88" s="19" t="n"/>
      <c r="F88" s="26" t="n"/>
      <c r="G88" s="26" t="n"/>
      <c r="H88" s="19" t="n"/>
      <c r="I88" s="19" t="n"/>
      <c r="J88" s="20" t="n"/>
      <c r="K88" s="19" t="n"/>
    </row>
    <row r="89">
      <c r="A89" s="16" t="n"/>
      <c r="B89" s="19" t="n"/>
      <c r="C89" s="18" t="n"/>
      <c r="D89" s="19" t="n"/>
      <c r="E89" s="19" t="n"/>
      <c r="F89" s="26" t="n"/>
      <c r="G89" s="26" t="n"/>
      <c r="H89" s="19" t="n"/>
      <c r="I89" s="19" t="n"/>
      <c r="J89" s="20" t="n"/>
      <c r="K89" s="19" t="n"/>
    </row>
    <row r="90">
      <c r="A90" s="16" t="n"/>
      <c r="B90" s="19" t="n"/>
      <c r="C90" s="18" t="n"/>
      <c r="D90" s="19" t="n"/>
      <c r="E90" s="19" t="n"/>
      <c r="F90" s="26" t="n"/>
      <c r="G90" s="26" t="n"/>
      <c r="H90" s="19" t="n"/>
      <c r="I90" s="19" t="n"/>
      <c r="J90" s="20" t="n"/>
      <c r="K90" s="19" t="n"/>
    </row>
    <row r="91">
      <c r="A91" s="16" t="n"/>
      <c r="B91" s="19" t="n"/>
      <c r="C91" s="18" t="n"/>
      <c r="D91" s="19" t="n"/>
      <c r="E91" s="19" t="n"/>
      <c r="F91" s="26" t="n"/>
      <c r="G91" s="26" t="n"/>
      <c r="H91" s="19" t="n"/>
      <c r="I91" s="19" t="n"/>
      <c r="J91" s="20" t="n"/>
      <c r="K91" s="19" t="n"/>
    </row>
    <row r="92">
      <c r="A92" s="16" t="n"/>
      <c r="B92" s="19" t="n"/>
      <c r="C92" s="18" t="n"/>
      <c r="D92" s="19" t="n"/>
      <c r="E92" s="19" t="n"/>
      <c r="F92" s="26" t="n"/>
      <c r="G92" s="26" t="n"/>
      <c r="H92" s="19" t="n"/>
      <c r="I92" s="19" t="n"/>
      <c r="J92" s="20" t="n"/>
      <c r="K92" s="19" t="n"/>
    </row>
    <row r="93">
      <c r="A93" s="16" t="n"/>
      <c r="B93" s="19" t="n"/>
      <c r="C93" s="18" t="n"/>
      <c r="D93" s="19" t="n"/>
      <c r="E93" s="19" t="n"/>
      <c r="F93" s="26" t="n"/>
      <c r="G93" s="26" t="n"/>
      <c r="H93" s="19" t="n"/>
      <c r="I93" s="19" t="n"/>
      <c r="J93" s="20" t="n"/>
      <c r="K93" s="19" t="n"/>
    </row>
    <row r="94">
      <c r="A94" s="16" t="n"/>
      <c r="B94" s="19" t="n"/>
      <c r="C94" s="18" t="n"/>
      <c r="D94" s="19" t="n"/>
      <c r="E94" s="19" t="n"/>
      <c r="F94" s="26" t="n"/>
      <c r="G94" s="26" t="n"/>
      <c r="H94" s="19" t="n"/>
      <c r="I94" s="19" t="n"/>
      <c r="J94" s="20" t="n"/>
      <c r="K94" s="19" t="n"/>
    </row>
    <row r="95">
      <c r="A95" s="16" t="n"/>
      <c r="B95" s="19" t="n"/>
      <c r="C95" s="18" t="n"/>
      <c r="D95" s="19" t="n"/>
      <c r="E95" s="19" t="n"/>
      <c r="F95" s="26" t="n"/>
      <c r="G95" s="26" t="n"/>
      <c r="H95" s="19" t="n"/>
      <c r="I95" s="19" t="n"/>
      <c r="J95" s="20" t="n"/>
      <c r="K95" s="19" t="n"/>
    </row>
    <row r="96">
      <c r="A96" s="16" t="n"/>
      <c r="B96" s="19" t="n"/>
      <c r="C96" s="18" t="n"/>
      <c r="D96" s="19" t="n"/>
      <c r="E96" s="19" t="n"/>
      <c r="F96" s="26" t="n"/>
      <c r="G96" s="26" t="n"/>
      <c r="H96" s="19" t="n"/>
      <c r="I96" s="19" t="n"/>
      <c r="J96" s="20" t="n"/>
      <c r="K96" s="19" t="n"/>
    </row>
    <row r="97">
      <c r="A97" s="16" t="n"/>
      <c r="B97" s="19" t="n"/>
      <c r="C97" s="18" t="n"/>
      <c r="D97" s="19" t="n"/>
      <c r="E97" s="19" t="n"/>
      <c r="F97" s="26" t="n"/>
      <c r="G97" s="26" t="n"/>
      <c r="H97" s="19" t="n"/>
      <c r="I97" s="19" t="n"/>
      <c r="J97" s="20" t="n"/>
      <c r="K97" s="19" t="n"/>
    </row>
    <row r="98">
      <c r="A98" s="16" t="n"/>
      <c r="B98" s="19" t="n"/>
      <c r="C98" s="18" t="n"/>
      <c r="D98" s="19" t="n"/>
      <c r="E98" s="19" t="n"/>
      <c r="F98" s="26" t="n"/>
      <c r="G98" s="26" t="n"/>
      <c r="H98" s="19" t="n"/>
      <c r="I98" s="19" t="n"/>
      <c r="J98" s="20" t="n"/>
      <c r="K98" s="19" t="n"/>
    </row>
    <row r="99">
      <c r="A99" s="16" t="n"/>
      <c r="B99" s="19" t="n"/>
      <c r="C99" s="18" t="n"/>
      <c r="D99" s="19" t="n"/>
      <c r="E99" s="19" t="n"/>
      <c r="F99" s="26" t="n"/>
      <c r="G99" s="26" t="n"/>
      <c r="H99" s="19" t="n"/>
      <c r="I99" s="19" t="n"/>
      <c r="J99" s="20" t="n"/>
      <c r="K99" s="19" t="n"/>
    </row>
    <row r="100">
      <c r="A100" s="16" t="n"/>
      <c r="B100" s="19" t="n"/>
      <c r="C100" s="18" t="n"/>
      <c r="D100" s="19" t="n"/>
      <c r="E100" s="19" t="n"/>
      <c r="F100" s="26" t="n"/>
      <c r="G100" s="26" t="n"/>
      <c r="H100" s="19" t="n"/>
      <c r="I100" s="19" t="n"/>
      <c r="J100" s="20" t="n"/>
      <c r="K100" s="19" t="n"/>
    </row>
    <row r="101">
      <c r="A101" s="16" t="n"/>
      <c r="B101" s="19" t="n"/>
      <c r="C101" s="18" t="n"/>
      <c r="D101" s="19" t="n"/>
      <c r="E101" s="19" t="n"/>
      <c r="F101" s="26" t="n"/>
      <c r="G101" s="26" t="n"/>
      <c r="H101" s="19" t="n"/>
      <c r="I101" s="19" t="n"/>
      <c r="J101" s="20" t="n"/>
      <c r="K101" s="19" t="n"/>
    </row>
    <row r="102">
      <c r="A102" s="16" t="n"/>
      <c r="B102" s="19" t="n"/>
      <c r="C102" s="18" t="n"/>
      <c r="D102" s="19" t="n"/>
      <c r="E102" s="19" t="n"/>
      <c r="F102" s="26" t="n"/>
      <c r="G102" s="26" t="n"/>
      <c r="H102" s="19" t="n"/>
      <c r="I102" s="19" t="n"/>
      <c r="J102" s="20" t="n"/>
      <c r="K102" s="19" t="n"/>
    </row>
    <row r="103">
      <c r="A103" s="16" t="n"/>
      <c r="B103" s="19" t="n"/>
      <c r="C103" s="18" t="n"/>
      <c r="D103" s="19" t="n"/>
      <c r="E103" s="19" t="n"/>
      <c r="F103" s="26" t="n"/>
      <c r="G103" s="26" t="n"/>
      <c r="H103" s="19" t="n"/>
      <c r="I103" s="19" t="n"/>
      <c r="J103" s="20" t="n"/>
      <c r="K103" s="19" t="n"/>
    </row>
    <row r="104">
      <c r="A104" s="16" t="n"/>
      <c r="B104" s="19" t="n"/>
      <c r="C104" s="18" t="n"/>
      <c r="D104" s="19" t="n"/>
      <c r="E104" s="19" t="n"/>
      <c r="F104" s="26" t="n"/>
      <c r="G104" s="26" t="n"/>
      <c r="H104" s="19" t="n"/>
      <c r="I104" s="19" t="n"/>
      <c r="J104" s="20" t="n"/>
      <c r="K104" s="19" t="n"/>
    </row>
    <row r="105">
      <c r="A105" s="16" t="n"/>
      <c r="B105" s="19" t="n"/>
      <c r="C105" s="18" t="n"/>
      <c r="D105" s="19" t="n"/>
      <c r="E105" s="19" t="n"/>
      <c r="F105" s="26" t="n"/>
      <c r="G105" s="26" t="n"/>
      <c r="H105" s="19" t="n"/>
      <c r="I105" s="19" t="n"/>
      <c r="J105" s="20" t="n"/>
      <c r="K105" s="19" t="n"/>
    </row>
    <row r="106">
      <c r="A106" s="16" t="n"/>
      <c r="B106" s="19" t="n"/>
      <c r="C106" s="18" t="n"/>
      <c r="D106" s="19" t="n"/>
      <c r="E106" s="19" t="n"/>
      <c r="F106" s="26" t="n"/>
      <c r="G106" s="26" t="n"/>
      <c r="H106" s="19" t="n"/>
      <c r="I106" s="19" t="n"/>
      <c r="J106" s="20" t="n"/>
      <c r="K106" s="19" t="n"/>
    </row>
    <row r="107">
      <c r="A107" s="16" t="n"/>
      <c r="B107" s="19" t="n"/>
      <c r="C107" s="18" t="n"/>
      <c r="D107" s="19" t="n"/>
      <c r="E107" s="19" t="n"/>
      <c r="F107" s="26" t="n"/>
      <c r="G107" s="26" t="n"/>
      <c r="H107" s="19" t="n"/>
      <c r="I107" s="19" t="n"/>
      <c r="J107" s="20" t="n"/>
      <c r="K107" s="19" t="n"/>
    </row>
    <row r="108">
      <c r="A108" s="16" t="n"/>
      <c r="B108" s="19" t="n"/>
      <c r="C108" s="18" t="n"/>
      <c r="D108" s="19" t="n"/>
      <c r="E108" s="19" t="n"/>
      <c r="F108" s="26" t="n"/>
      <c r="G108" s="26" t="n"/>
      <c r="H108" s="19" t="n"/>
      <c r="I108" s="19" t="n"/>
      <c r="J108" s="20" t="n"/>
      <c r="K108" s="19" t="n"/>
    </row>
    <row r="109">
      <c r="A109" s="16" t="n"/>
      <c r="B109" s="19" t="n"/>
      <c r="C109" s="18" t="n"/>
      <c r="D109" s="19" t="n"/>
      <c r="E109" s="19" t="n"/>
      <c r="F109" s="26" t="n"/>
      <c r="G109" s="26" t="n"/>
      <c r="H109" s="19" t="n"/>
      <c r="I109" s="19" t="n"/>
      <c r="J109" s="20" t="n"/>
      <c r="K109" s="19" t="n"/>
    </row>
    <row r="110">
      <c r="A110" s="16" t="n"/>
      <c r="B110" s="19" t="n"/>
      <c r="C110" s="18" t="n"/>
      <c r="D110" s="19" t="n"/>
      <c r="E110" s="19" t="n"/>
      <c r="F110" s="26" t="n"/>
      <c r="G110" s="26" t="n"/>
      <c r="H110" s="19" t="n"/>
      <c r="I110" s="19" t="n"/>
      <c r="J110" s="20" t="n"/>
      <c r="K110" s="19" t="n"/>
    </row>
    <row r="111">
      <c r="A111" s="16" t="n"/>
      <c r="B111" s="19" t="n"/>
      <c r="C111" s="18" t="n"/>
      <c r="D111" s="19" t="n"/>
      <c r="E111" s="19" t="n"/>
      <c r="F111" s="26" t="n"/>
      <c r="G111" s="26" t="n"/>
      <c r="H111" s="19" t="n"/>
      <c r="I111" s="19" t="n"/>
      <c r="J111" s="20" t="n"/>
      <c r="K111" s="19" t="n"/>
    </row>
    <row r="112">
      <c r="A112" s="16" t="n"/>
      <c r="B112" s="19" t="n"/>
      <c r="C112" s="18" t="n"/>
      <c r="D112" s="19" t="n"/>
      <c r="E112" s="19" t="n"/>
      <c r="F112" s="26" t="n"/>
      <c r="G112" s="26" t="n"/>
      <c r="H112" s="19" t="n"/>
      <c r="I112" s="19" t="n"/>
      <c r="J112" s="20" t="n"/>
      <c r="K112" s="19" t="n"/>
    </row>
    <row r="113">
      <c r="A113" s="16" t="n"/>
      <c r="B113" s="19" t="n"/>
      <c r="C113" s="18" t="n"/>
      <c r="D113" s="19" t="n"/>
      <c r="E113" s="19" t="n"/>
      <c r="F113" s="26" t="n"/>
      <c r="G113" s="26" t="n"/>
      <c r="H113" s="19" t="n"/>
      <c r="I113" s="19" t="n"/>
      <c r="J113" s="20" t="n"/>
      <c r="K113" s="19" t="n"/>
    </row>
    <row r="114">
      <c r="A114" s="16" t="n"/>
      <c r="B114" s="19" t="n"/>
      <c r="C114" s="18" t="n"/>
      <c r="D114" s="19" t="n"/>
      <c r="E114" s="19" t="n"/>
      <c r="F114" s="26" t="n"/>
      <c r="G114" s="26" t="n"/>
      <c r="H114" s="19" t="n"/>
      <c r="I114" s="19" t="n"/>
      <c r="J114" s="20" t="n"/>
      <c r="K114" s="19" t="n"/>
    </row>
    <row r="115">
      <c r="A115" s="16" t="n"/>
      <c r="B115" s="19" t="n"/>
      <c r="C115" s="18" t="n"/>
      <c r="D115" s="19" t="n"/>
      <c r="E115" s="19" t="n"/>
      <c r="F115" s="26" t="n"/>
      <c r="G115" s="26" t="n"/>
      <c r="H115" s="19" t="n"/>
      <c r="I115" s="19" t="n"/>
      <c r="J115" s="20" t="n"/>
      <c r="K115" s="19" t="n"/>
    </row>
    <row r="116">
      <c r="A116" s="16" t="n"/>
      <c r="B116" s="19" t="n"/>
      <c r="C116" s="18" t="n"/>
      <c r="D116" s="19" t="n"/>
      <c r="E116" s="19" t="n"/>
      <c r="F116" s="26" t="n"/>
      <c r="G116" s="26" t="n"/>
      <c r="H116" s="19" t="n"/>
      <c r="I116" s="19" t="n"/>
      <c r="J116" s="20" t="n"/>
      <c r="K116" s="19" t="n"/>
    </row>
    <row r="117">
      <c r="A117" s="16" t="n"/>
      <c r="B117" s="19" t="n"/>
      <c r="C117" s="18" t="n"/>
      <c r="D117" s="19" t="n"/>
      <c r="E117" s="19" t="n"/>
      <c r="F117" s="26" t="n"/>
      <c r="G117" s="26" t="n"/>
      <c r="H117" s="19" t="n"/>
      <c r="I117" s="19" t="n"/>
      <c r="J117" s="20" t="n"/>
      <c r="K117" s="19" t="n"/>
    </row>
    <row r="118">
      <c r="A118" s="16" t="n"/>
      <c r="B118" s="19" t="n"/>
      <c r="C118" s="18" t="n"/>
      <c r="D118" s="19" t="n"/>
      <c r="E118" s="19" t="n"/>
      <c r="F118" s="26" t="n"/>
      <c r="G118" s="26" t="n"/>
      <c r="H118" s="19" t="n"/>
      <c r="I118" s="19" t="n"/>
      <c r="J118" s="20" t="n"/>
      <c r="K118" s="19" t="n"/>
    </row>
    <row r="119">
      <c r="A119" s="16" t="n"/>
      <c r="B119" s="19" t="n"/>
      <c r="C119" s="18" t="n"/>
      <c r="D119" s="19" t="n"/>
      <c r="E119" s="19" t="n"/>
      <c r="F119" s="26" t="n"/>
      <c r="G119" s="26" t="n"/>
      <c r="H119" s="19" t="n"/>
      <c r="I119" s="19" t="n"/>
      <c r="J119" s="20" t="n"/>
      <c r="K119" s="19" t="n"/>
    </row>
    <row r="120">
      <c r="A120" s="16" t="n"/>
      <c r="B120" s="19" t="n"/>
      <c r="C120" s="18" t="n"/>
      <c r="D120" s="19" t="n"/>
      <c r="E120" s="19" t="n"/>
      <c r="F120" s="26" t="n"/>
      <c r="G120" s="26" t="n"/>
      <c r="H120" s="19" t="n"/>
      <c r="I120" s="19" t="n"/>
      <c r="J120" s="20" t="n"/>
      <c r="K120" s="19" t="n"/>
    </row>
    <row r="121">
      <c r="A121" s="16" t="n"/>
      <c r="B121" s="19" t="n"/>
      <c r="C121" s="18" t="n"/>
      <c r="D121" s="19" t="n"/>
      <c r="E121" s="19" t="n"/>
      <c r="F121" s="26" t="n"/>
      <c r="G121" s="26" t="n"/>
      <c r="H121" s="19" t="n"/>
      <c r="I121" s="19" t="n"/>
      <c r="J121" s="20" t="n"/>
      <c r="K121" s="19" t="n"/>
    </row>
    <row r="122">
      <c r="A122" s="16" t="n"/>
      <c r="B122" s="19" t="n"/>
      <c r="C122" s="18" t="n"/>
      <c r="D122" s="19" t="n"/>
      <c r="E122" s="19" t="n"/>
      <c r="F122" s="26" t="n"/>
      <c r="G122" s="26" t="n"/>
      <c r="H122" s="19" t="n"/>
      <c r="I122" s="19" t="n"/>
      <c r="J122" s="20" t="n"/>
      <c r="K122" s="19" t="n"/>
    </row>
    <row r="123">
      <c r="A123" s="16" t="n"/>
      <c r="B123" s="19" t="n"/>
      <c r="C123" s="18" t="n"/>
      <c r="D123" s="19" t="n"/>
      <c r="E123" s="19" t="n"/>
      <c r="F123" s="26" t="n"/>
      <c r="G123" s="26" t="n"/>
      <c r="H123" s="19" t="n"/>
      <c r="I123" s="19" t="n"/>
      <c r="J123" s="20" t="n"/>
      <c r="K123" s="19" t="n"/>
    </row>
    <row r="124">
      <c r="A124" s="16" t="n"/>
      <c r="B124" s="19" t="n"/>
      <c r="C124" s="18" t="n"/>
      <c r="D124" s="19" t="n"/>
      <c r="E124" s="19" t="n"/>
      <c r="F124" s="26" t="n"/>
      <c r="G124" s="26" t="n"/>
      <c r="H124" s="19" t="n"/>
      <c r="I124" s="19" t="n"/>
      <c r="J124" s="20" t="n"/>
      <c r="K124" s="19" t="n"/>
    </row>
    <row r="125">
      <c r="A125" s="16" t="n"/>
      <c r="B125" s="19" t="n"/>
      <c r="C125" s="18" t="n"/>
      <c r="D125" s="19" t="n"/>
      <c r="E125" s="19" t="n"/>
      <c r="F125" s="26" t="n"/>
      <c r="G125" s="26" t="n"/>
      <c r="H125" s="19" t="n"/>
      <c r="I125" s="19" t="n"/>
      <c r="J125" s="20" t="n"/>
      <c r="K125" s="19" t="n"/>
    </row>
    <row r="126">
      <c r="A126" s="16" t="n"/>
      <c r="B126" s="19" t="n"/>
      <c r="C126" s="18" t="n"/>
      <c r="D126" s="19" t="n"/>
      <c r="E126" s="19" t="n"/>
      <c r="F126" s="26" t="n"/>
      <c r="G126" s="26" t="n"/>
      <c r="H126" s="19" t="n"/>
      <c r="I126" s="19" t="n"/>
      <c r="J126" s="20" t="n"/>
      <c r="K126" s="19" t="n"/>
    </row>
    <row r="127">
      <c r="A127" s="16" t="n"/>
      <c r="B127" s="19" t="n"/>
      <c r="C127" s="18" t="n"/>
      <c r="D127" s="19" t="n"/>
      <c r="E127" s="19" t="n"/>
      <c r="F127" s="26" t="n"/>
      <c r="G127" s="26" t="n"/>
      <c r="H127" s="19" t="n"/>
      <c r="I127" s="19" t="n"/>
      <c r="J127" s="20" t="n"/>
      <c r="K127" s="19" t="n"/>
    </row>
    <row r="128">
      <c r="A128" s="16" t="n"/>
      <c r="B128" s="19" t="n"/>
      <c r="C128" s="18" t="n"/>
      <c r="D128" s="19" t="n"/>
      <c r="E128" s="19" t="n"/>
      <c r="F128" s="26" t="n"/>
      <c r="G128" s="26" t="n"/>
      <c r="H128" s="19" t="n"/>
      <c r="I128" s="19" t="n"/>
      <c r="J128" s="20" t="n"/>
      <c r="K128" s="19" t="n"/>
    </row>
    <row r="129">
      <c r="A129" s="16" t="n"/>
      <c r="B129" s="19" t="n"/>
      <c r="C129" s="18" t="n"/>
      <c r="D129" s="19" t="n"/>
      <c r="E129" s="19" t="n"/>
      <c r="F129" s="26" t="n"/>
      <c r="G129" s="26" t="n"/>
      <c r="H129" s="19" t="n"/>
      <c r="I129" s="19" t="n"/>
      <c r="J129" s="20" t="n"/>
      <c r="K129" s="19" t="n"/>
    </row>
    <row r="130">
      <c r="A130" s="16" t="n"/>
      <c r="B130" s="19" t="n"/>
      <c r="C130" s="18" t="n"/>
      <c r="D130" s="19" t="n"/>
      <c r="E130" s="19" t="n"/>
      <c r="F130" s="26" t="n"/>
      <c r="G130" s="26" t="n"/>
      <c r="H130" s="19" t="n"/>
      <c r="I130" s="19" t="n"/>
      <c r="J130" s="20" t="n"/>
      <c r="K130" s="19" t="n"/>
    </row>
    <row r="131">
      <c r="A131" s="16" t="n"/>
      <c r="B131" s="19" t="n"/>
      <c r="C131" s="18" t="n"/>
      <c r="D131" s="19" t="n"/>
      <c r="E131" s="19" t="n"/>
      <c r="F131" s="26" t="n"/>
      <c r="G131" s="26" t="n"/>
      <c r="H131" s="19" t="n"/>
      <c r="I131" s="19" t="n"/>
      <c r="J131" s="20" t="n"/>
      <c r="K131" s="19" t="n"/>
    </row>
    <row r="132">
      <c r="A132" s="16" t="n"/>
      <c r="B132" s="19" t="n"/>
      <c r="C132" s="18" t="n"/>
      <c r="D132" s="19" t="n"/>
      <c r="E132" s="19" t="n"/>
      <c r="F132" s="26" t="n"/>
      <c r="G132" s="26" t="n"/>
      <c r="H132" s="19" t="n"/>
      <c r="I132" s="19" t="n"/>
      <c r="J132" s="20" t="n"/>
      <c r="K132" s="19" t="n"/>
    </row>
    <row r="133">
      <c r="A133" s="16" t="n"/>
      <c r="B133" s="19" t="n"/>
      <c r="C133" s="18" t="n"/>
      <c r="D133" s="19" t="n"/>
      <c r="E133" s="19" t="n"/>
      <c r="F133" s="26" t="n"/>
      <c r="G133" s="26" t="n"/>
      <c r="H133" s="19" t="n"/>
      <c r="I133" s="19" t="n"/>
      <c r="J133" s="20" t="n"/>
      <c r="K133" s="19" t="n"/>
    </row>
    <row r="134">
      <c r="A134" s="16" t="n"/>
      <c r="B134" s="19" t="n"/>
      <c r="C134" s="18" t="n"/>
      <c r="D134" s="19" t="n"/>
      <c r="E134" s="19" t="n"/>
      <c r="F134" s="26" t="n"/>
      <c r="G134" s="26" t="n"/>
      <c r="H134" s="19" t="n"/>
      <c r="I134" s="19" t="n"/>
      <c r="J134" s="20" t="n"/>
      <c r="K134" s="19" t="n"/>
    </row>
    <row r="135">
      <c r="A135" s="16" t="n"/>
      <c r="B135" s="19" t="n"/>
      <c r="C135" s="18" t="n"/>
      <c r="D135" s="19" t="n"/>
      <c r="E135" s="19" t="n"/>
      <c r="F135" s="26" t="n"/>
      <c r="G135" s="26" t="n"/>
      <c r="H135" s="19" t="n"/>
      <c r="I135" s="19" t="n"/>
      <c r="J135" s="20" t="n"/>
      <c r="K135" s="19" t="n"/>
    </row>
    <row r="136">
      <c r="A136" s="16" t="n"/>
      <c r="B136" s="19" t="n"/>
      <c r="C136" s="18" t="n"/>
      <c r="D136" s="19" t="n"/>
      <c r="E136" s="19" t="n"/>
      <c r="F136" s="26" t="n"/>
      <c r="G136" s="26" t="n"/>
      <c r="H136" s="19" t="n"/>
      <c r="I136" s="19" t="n"/>
      <c r="J136" s="20" t="n"/>
      <c r="K136" s="19" t="n"/>
    </row>
    <row r="137">
      <c r="A137" s="16" t="n"/>
      <c r="B137" s="19" t="n"/>
      <c r="C137" s="18" t="n"/>
      <c r="D137" s="19" t="n"/>
      <c r="E137" s="19" t="n"/>
      <c r="F137" s="26" t="n"/>
      <c r="G137" s="26" t="n"/>
      <c r="H137" s="19" t="n"/>
      <c r="I137" s="19" t="n"/>
      <c r="J137" s="20" t="n"/>
      <c r="K137" s="19" t="n"/>
    </row>
    <row r="138">
      <c r="A138" s="16" t="n"/>
      <c r="B138" s="19" t="n"/>
      <c r="C138" s="18" t="n"/>
      <c r="D138" s="19" t="n"/>
      <c r="E138" s="19" t="n"/>
      <c r="F138" s="26" t="n"/>
      <c r="G138" s="26" t="n"/>
      <c r="H138" s="19" t="n"/>
      <c r="I138" s="19" t="n"/>
      <c r="J138" s="20" t="n"/>
      <c r="K138" s="19" t="n"/>
    </row>
    <row r="139">
      <c r="A139" s="16" t="n"/>
      <c r="B139" s="19" t="n"/>
      <c r="C139" s="18" t="n"/>
      <c r="D139" s="19" t="n"/>
      <c r="E139" s="19" t="n"/>
      <c r="F139" s="26" t="n"/>
      <c r="G139" s="26" t="n"/>
      <c r="H139" s="19" t="n"/>
      <c r="I139" s="19" t="n"/>
      <c r="J139" s="20" t="n"/>
      <c r="K139" s="19" t="n"/>
    </row>
    <row r="140">
      <c r="A140" s="16" t="n"/>
      <c r="B140" s="19" t="n"/>
      <c r="C140" s="18" t="n"/>
      <c r="D140" s="19" t="n"/>
      <c r="E140" s="19" t="n"/>
      <c r="F140" s="26" t="n"/>
      <c r="G140" s="26" t="n"/>
      <c r="H140" s="19" t="n"/>
      <c r="I140" s="19" t="n"/>
      <c r="J140" s="20" t="n"/>
      <c r="K140" s="19" t="n"/>
    </row>
    <row r="141">
      <c r="A141" s="16" t="n"/>
      <c r="B141" s="19" t="n"/>
      <c r="C141" s="18" t="n"/>
      <c r="D141" s="19" t="n"/>
      <c r="E141" s="19" t="n"/>
      <c r="F141" s="26" t="n"/>
      <c r="G141" s="26" t="n"/>
      <c r="H141" s="19" t="n"/>
      <c r="I141" s="19" t="n"/>
      <c r="J141" s="20" t="n"/>
      <c r="K141" s="19" t="n"/>
    </row>
    <row r="142">
      <c r="A142" s="16" t="n"/>
      <c r="B142" s="19" t="n"/>
      <c r="C142" s="18" t="n"/>
      <c r="D142" s="19" t="n"/>
      <c r="E142" s="19" t="n"/>
      <c r="F142" s="26" t="n"/>
      <c r="G142" s="26" t="n"/>
      <c r="H142" s="19" t="n"/>
      <c r="I142" s="19" t="n"/>
      <c r="J142" s="20" t="n"/>
      <c r="K142" s="19" t="n"/>
    </row>
    <row r="143">
      <c r="A143" s="16" t="n"/>
      <c r="B143" s="19" t="n"/>
      <c r="C143" s="18" t="n"/>
      <c r="D143" s="19" t="n"/>
      <c r="E143" s="19" t="n"/>
      <c r="F143" s="26" t="n"/>
      <c r="G143" s="26" t="n"/>
      <c r="H143" s="19" t="n"/>
      <c r="I143" s="19" t="n"/>
      <c r="J143" s="20" t="n"/>
      <c r="K143" s="19" t="n"/>
    </row>
    <row r="144">
      <c r="A144" s="16" t="n"/>
      <c r="B144" s="19" t="n"/>
      <c r="C144" s="18" t="n"/>
      <c r="D144" s="19" t="n"/>
      <c r="E144" s="19" t="n"/>
      <c r="F144" s="26" t="n"/>
      <c r="G144" s="26" t="n"/>
      <c r="H144" s="19" t="n"/>
      <c r="I144" s="19" t="n"/>
      <c r="J144" s="20" t="n"/>
      <c r="K144" s="19" t="n"/>
    </row>
    <row r="145">
      <c r="A145" s="16" t="n"/>
      <c r="B145" s="19" t="n"/>
      <c r="C145" s="18" t="n"/>
      <c r="D145" s="19" t="n"/>
      <c r="E145" s="19" t="n"/>
      <c r="F145" s="26" t="n"/>
      <c r="G145" s="26" t="n"/>
      <c r="H145" s="19" t="n"/>
      <c r="I145" s="19" t="n"/>
      <c r="J145" s="20" t="n"/>
      <c r="K145" s="19" t="n"/>
    </row>
    <row r="146">
      <c r="A146" s="16" t="n"/>
      <c r="B146" s="19" t="n"/>
      <c r="C146" s="18" t="n"/>
      <c r="D146" s="19" t="n"/>
      <c r="E146" s="19" t="n"/>
      <c r="F146" s="26" t="n"/>
      <c r="G146" s="26" t="n"/>
      <c r="H146" s="19" t="n"/>
      <c r="I146" s="19" t="n"/>
      <c r="J146" s="20" t="n"/>
      <c r="K146" s="19" t="n"/>
    </row>
    <row r="147">
      <c r="A147" s="16" t="n"/>
      <c r="B147" s="19" t="n"/>
      <c r="C147" s="18" t="n"/>
      <c r="D147" s="19" t="n"/>
      <c r="E147" s="19" t="n"/>
      <c r="F147" s="26" t="n"/>
      <c r="G147" s="26" t="n"/>
      <c r="H147" s="19" t="n"/>
      <c r="I147" s="19" t="n"/>
      <c r="J147" s="20" t="n"/>
      <c r="K147" s="19" t="n"/>
    </row>
    <row r="148">
      <c r="A148" s="16" t="n"/>
      <c r="B148" s="19" t="n"/>
      <c r="C148" s="18" t="n"/>
      <c r="D148" s="19" t="n"/>
      <c r="E148" s="19" t="n"/>
      <c r="F148" s="26" t="n"/>
      <c r="G148" s="26" t="n"/>
      <c r="H148" s="19" t="n"/>
      <c r="I148" s="19" t="n"/>
      <c r="J148" s="20" t="n"/>
      <c r="K148" s="19" t="n"/>
    </row>
    <row r="149">
      <c r="A149" s="16" t="n"/>
      <c r="B149" s="19" t="n"/>
      <c r="C149" s="18" t="n"/>
      <c r="D149" s="19" t="n"/>
      <c r="E149" s="19" t="n"/>
      <c r="F149" s="26" t="n"/>
      <c r="G149" s="26" t="n"/>
      <c r="H149" s="19" t="n"/>
      <c r="I149" s="19" t="n"/>
      <c r="J149" s="20" t="n"/>
      <c r="K149" s="19" t="n"/>
    </row>
    <row r="150">
      <c r="A150" s="16" t="n"/>
      <c r="B150" s="19" t="n"/>
      <c r="C150" s="18" t="n"/>
      <c r="D150" s="19" t="n"/>
      <c r="E150" s="19" t="n"/>
      <c r="F150" s="26" t="n"/>
      <c r="G150" s="26" t="n"/>
      <c r="H150" s="19" t="n"/>
      <c r="I150" s="19" t="n"/>
      <c r="J150" s="20" t="n"/>
      <c r="K150" s="19" t="n"/>
    </row>
    <row r="151">
      <c r="A151" s="16" t="n"/>
      <c r="B151" s="19" t="n"/>
      <c r="C151" s="18" t="n"/>
      <c r="D151" s="19" t="n"/>
      <c r="E151" s="19" t="n"/>
      <c r="F151" s="26" t="n"/>
      <c r="G151" s="26" t="n"/>
      <c r="H151" s="19" t="n"/>
      <c r="I151" s="19" t="n"/>
      <c r="J151" s="20" t="n"/>
      <c r="K151" s="19" t="n"/>
    </row>
    <row r="152">
      <c r="A152" s="16" t="n"/>
      <c r="B152" s="19" t="n"/>
      <c r="C152" s="18" t="n"/>
      <c r="D152" s="19" t="n"/>
      <c r="E152" s="19" t="n"/>
      <c r="F152" s="26" t="n"/>
      <c r="G152" s="26" t="n"/>
      <c r="H152" s="19" t="n"/>
      <c r="I152" s="19" t="n"/>
      <c r="J152" s="20" t="n"/>
      <c r="K152" s="19" t="n"/>
    </row>
    <row r="153">
      <c r="A153" s="16" t="n"/>
      <c r="B153" s="19" t="n"/>
      <c r="C153" s="18" t="n"/>
      <c r="D153" s="19" t="n"/>
      <c r="E153" s="19" t="n"/>
      <c r="F153" s="26" t="n"/>
      <c r="G153" s="26" t="n"/>
      <c r="H153" s="19" t="n"/>
      <c r="I153" s="19" t="n"/>
      <c r="J153" s="20" t="n"/>
      <c r="K153" s="19" t="n"/>
    </row>
    <row r="154">
      <c r="A154" s="16" t="n"/>
      <c r="B154" s="19" t="n"/>
      <c r="C154" s="18" t="n"/>
      <c r="D154" s="19" t="n"/>
      <c r="E154" s="19" t="n"/>
      <c r="F154" s="26" t="n"/>
      <c r="G154" s="26" t="n"/>
      <c r="H154" s="19" t="n"/>
      <c r="I154" s="19" t="n"/>
      <c r="J154" s="20" t="n"/>
      <c r="K154" s="19" t="n"/>
    </row>
    <row r="155">
      <c r="A155" s="16" t="n"/>
      <c r="B155" s="19" t="n"/>
      <c r="C155" s="18" t="n"/>
      <c r="D155" s="19" t="n"/>
      <c r="E155" s="19" t="n"/>
      <c r="F155" s="26" t="n"/>
      <c r="G155" s="26" t="n"/>
      <c r="H155" s="19" t="n"/>
      <c r="I155" s="19" t="n"/>
      <c r="J155" s="20" t="n"/>
      <c r="K155" s="19" t="n"/>
    </row>
    <row r="156">
      <c r="A156" s="16" t="n"/>
      <c r="B156" s="19" t="n"/>
      <c r="C156" s="18" t="n"/>
      <c r="D156" s="19" t="n"/>
      <c r="E156" s="19" t="n"/>
      <c r="F156" s="26" t="n"/>
      <c r="G156" s="26" t="n"/>
      <c r="H156" s="19" t="n"/>
      <c r="I156" s="19" t="n"/>
      <c r="J156" s="20" t="n"/>
      <c r="K156" s="19" t="n"/>
    </row>
    <row r="157">
      <c r="A157" s="16" t="n"/>
      <c r="B157" s="19" t="n"/>
      <c r="C157" s="18" t="n"/>
      <c r="D157" s="19" t="n"/>
      <c r="E157" s="19" t="n"/>
      <c r="F157" s="26" t="n"/>
      <c r="G157" s="26" t="n"/>
      <c r="H157" s="19" t="n"/>
      <c r="I157" s="19" t="n"/>
      <c r="J157" s="20" t="n"/>
      <c r="K157" s="19" t="n"/>
    </row>
    <row r="158">
      <c r="A158" s="16" t="n"/>
      <c r="B158" s="19" t="n"/>
      <c r="C158" s="18" t="n"/>
      <c r="D158" s="19" t="n"/>
      <c r="E158" s="19" t="n"/>
      <c r="F158" s="26" t="n"/>
      <c r="G158" s="26" t="n"/>
      <c r="H158" s="19" t="n"/>
      <c r="I158" s="19" t="n"/>
      <c r="J158" s="20" t="n"/>
      <c r="K158" s="19" t="n"/>
    </row>
    <row r="159">
      <c r="A159" s="16" t="n"/>
      <c r="B159" s="19" t="n"/>
      <c r="C159" s="18" t="n"/>
      <c r="D159" s="19" t="n"/>
      <c r="E159" s="19" t="n"/>
      <c r="F159" s="26" t="n"/>
      <c r="G159" s="26" t="n"/>
      <c r="H159" s="19" t="n"/>
      <c r="I159" s="19" t="n"/>
      <c r="J159" s="20" t="n"/>
      <c r="K159" s="19" t="n"/>
    </row>
    <row r="160">
      <c r="A160" s="16" t="n"/>
      <c r="B160" s="19" t="n"/>
      <c r="C160" s="18" t="n"/>
      <c r="D160" s="19" t="n"/>
      <c r="E160" s="19" t="n"/>
      <c r="F160" s="26" t="n"/>
      <c r="G160" s="26" t="n"/>
      <c r="H160" s="19" t="n"/>
      <c r="I160" s="19" t="n"/>
      <c r="J160" s="20" t="n"/>
      <c r="K160" s="19" t="n"/>
    </row>
    <row r="161">
      <c r="A161" s="16" t="n"/>
      <c r="B161" s="19" t="n"/>
      <c r="C161" s="18" t="n"/>
      <c r="D161" s="19" t="n"/>
      <c r="E161" s="19" t="n"/>
      <c r="F161" s="26" t="n"/>
      <c r="G161" s="26" t="n"/>
      <c r="H161" s="19" t="n"/>
      <c r="I161" s="19" t="n"/>
      <c r="J161" s="20" t="n"/>
      <c r="K161" s="19" t="n"/>
    </row>
    <row r="162">
      <c r="A162" s="16" t="n"/>
      <c r="B162" s="19" t="n"/>
      <c r="C162" s="18" t="n"/>
      <c r="D162" s="19" t="n"/>
      <c r="E162" s="19" t="n"/>
      <c r="F162" s="26" t="n"/>
      <c r="G162" s="26" t="n"/>
      <c r="H162" s="19" t="n"/>
      <c r="I162" s="19" t="n"/>
      <c r="J162" s="20" t="n"/>
      <c r="K162" s="19" t="n"/>
    </row>
    <row r="163">
      <c r="A163" s="16" t="n"/>
      <c r="B163" s="19" t="n"/>
      <c r="C163" s="18" t="n"/>
      <c r="D163" s="19" t="n"/>
      <c r="E163" s="19" t="n"/>
      <c r="F163" s="26" t="n"/>
      <c r="G163" s="26" t="n"/>
      <c r="H163" s="19" t="n"/>
      <c r="I163" s="19" t="n"/>
      <c r="J163" s="20" t="n"/>
      <c r="K163" s="19" t="n"/>
    </row>
    <row r="164">
      <c r="A164" s="16" t="n"/>
      <c r="B164" s="19" t="n"/>
      <c r="C164" s="18" t="n"/>
      <c r="D164" s="19" t="n"/>
      <c r="E164" s="19" t="n"/>
      <c r="F164" s="26" t="n"/>
      <c r="G164" s="26" t="n"/>
      <c r="H164" s="19" t="n"/>
      <c r="I164" s="19" t="n"/>
      <c r="J164" s="20" t="n"/>
      <c r="K164" s="19" t="n"/>
    </row>
    <row r="165">
      <c r="A165" s="16" t="n"/>
      <c r="B165" s="19" t="n"/>
      <c r="C165" s="18" t="n"/>
      <c r="D165" s="19" t="n"/>
      <c r="E165" s="19" t="n"/>
      <c r="F165" s="26" t="n"/>
      <c r="G165" s="26" t="n"/>
      <c r="H165" s="19" t="n"/>
      <c r="I165" s="19" t="n"/>
      <c r="J165" s="20" t="n"/>
      <c r="K165" s="19" t="n"/>
    </row>
    <row r="166">
      <c r="A166" s="16" t="n"/>
      <c r="B166" s="19" t="n"/>
      <c r="C166" s="18" t="n"/>
      <c r="D166" s="19" t="n"/>
      <c r="E166" s="19" t="n"/>
      <c r="F166" s="26" t="n"/>
      <c r="G166" s="26" t="n"/>
      <c r="H166" s="19" t="n"/>
      <c r="I166" s="19" t="n"/>
      <c r="J166" s="20" t="n"/>
      <c r="K166" s="19" t="n"/>
    </row>
    <row r="167">
      <c r="A167" s="16" t="n"/>
      <c r="B167" s="19" t="n"/>
      <c r="C167" s="18" t="n"/>
      <c r="D167" s="19" t="n"/>
      <c r="E167" s="19" t="n"/>
      <c r="F167" s="26" t="n"/>
      <c r="G167" s="26" t="n"/>
      <c r="H167" s="19" t="n"/>
      <c r="I167" s="19" t="n"/>
      <c r="J167" s="20" t="n"/>
      <c r="K167" s="19" t="n"/>
    </row>
    <row r="168">
      <c r="A168" s="16" t="n"/>
      <c r="B168" s="19" t="n"/>
      <c r="C168" s="18" t="n"/>
      <c r="D168" s="19" t="n"/>
      <c r="E168" s="19" t="n"/>
      <c r="F168" s="26" t="n"/>
      <c r="G168" s="26" t="n"/>
      <c r="H168" s="19" t="n"/>
      <c r="I168" s="19" t="n"/>
      <c r="J168" s="20" t="n"/>
      <c r="K168" s="19" t="n"/>
    </row>
    <row r="169">
      <c r="A169" s="16" t="n"/>
      <c r="B169" s="19" t="n"/>
      <c r="C169" s="18" t="n"/>
      <c r="D169" s="19" t="n"/>
      <c r="E169" s="19" t="n"/>
      <c r="F169" s="26" t="n"/>
      <c r="G169" s="26" t="n"/>
      <c r="H169" s="19" t="n"/>
      <c r="I169" s="19" t="n"/>
      <c r="J169" s="20" t="n"/>
      <c r="K169" s="19" t="n"/>
    </row>
    <row r="170">
      <c r="A170" s="16" t="n"/>
      <c r="B170" s="19" t="n"/>
      <c r="C170" s="18" t="n"/>
      <c r="D170" s="19" t="n"/>
      <c r="E170" s="19" t="n"/>
      <c r="F170" s="26" t="n"/>
      <c r="G170" s="26" t="n"/>
      <c r="H170" s="19" t="n"/>
      <c r="I170" s="19" t="n"/>
      <c r="J170" s="20" t="n"/>
      <c r="K170" s="19" t="n"/>
    </row>
    <row r="171">
      <c r="A171" s="16" t="n"/>
      <c r="B171" s="19" t="n"/>
      <c r="C171" s="18" t="n"/>
      <c r="D171" s="19" t="n"/>
      <c r="E171" s="19" t="n"/>
      <c r="F171" s="26" t="n"/>
      <c r="G171" s="26" t="n"/>
      <c r="H171" s="19" t="n"/>
      <c r="I171" s="19" t="n"/>
      <c r="J171" s="20" t="n"/>
      <c r="K171" s="19" t="n"/>
    </row>
    <row r="172">
      <c r="A172" s="16" t="n"/>
      <c r="B172" s="19" t="n"/>
      <c r="C172" s="18" t="n"/>
      <c r="D172" s="19" t="n"/>
      <c r="E172" s="19" t="n"/>
      <c r="F172" s="26" t="n"/>
      <c r="G172" s="26" t="n"/>
      <c r="H172" s="19" t="n"/>
      <c r="I172" s="19" t="n"/>
      <c r="J172" s="20" t="n"/>
      <c r="K172" s="19" t="n"/>
    </row>
    <row r="173">
      <c r="A173" s="16" t="n"/>
      <c r="B173" s="19" t="n"/>
      <c r="C173" s="18" t="n"/>
      <c r="D173" s="19" t="n"/>
      <c r="E173" s="19" t="n"/>
      <c r="F173" s="26" t="n"/>
      <c r="G173" s="26" t="n"/>
      <c r="H173" s="19" t="n"/>
      <c r="I173" s="19" t="n"/>
      <c r="J173" s="20" t="n"/>
      <c r="K173" s="19" t="n"/>
    </row>
    <row r="174">
      <c r="A174" s="16" t="n"/>
      <c r="B174" s="19" t="n"/>
      <c r="C174" s="18" t="n"/>
      <c r="D174" s="19" t="n"/>
      <c r="E174" s="19" t="n"/>
      <c r="F174" s="26" t="n"/>
      <c r="G174" s="26" t="n"/>
      <c r="H174" s="19" t="n"/>
      <c r="I174" s="19" t="n"/>
      <c r="J174" s="20" t="n"/>
      <c r="K174" s="19" t="n"/>
    </row>
    <row r="175">
      <c r="A175" s="16" t="n"/>
      <c r="B175" s="19" t="n"/>
      <c r="C175" s="18" t="n"/>
      <c r="D175" s="19" t="n"/>
      <c r="E175" s="19" t="n"/>
      <c r="F175" s="26" t="n"/>
      <c r="G175" s="26" t="n"/>
      <c r="H175" s="19" t="n"/>
      <c r="I175" s="19" t="n"/>
      <c r="J175" s="20" t="n"/>
      <c r="K175" s="19" t="n"/>
    </row>
    <row r="176">
      <c r="A176" s="16" t="n"/>
      <c r="B176" s="19" t="n"/>
      <c r="C176" s="18" t="n"/>
      <c r="D176" s="19" t="n"/>
      <c r="E176" s="19" t="n"/>
      <c r="F176" s="26" t="n"/>
      <c r="G176" s="26" t="n"/>
      <c r="H176" s="19" t="n"/>
      <c r="I176" s="19" t="n"/>
      <c r="J176" s="20" t="n"/>
      <c r="K176" s="19" t="n"/>
    </row>
    <row r="177">
      <c r="A177" s="16" t="n"/>
      <c r="B177" s="19" t="n"/>
      <c r="C177" s="18" t="n"/>
      <c r="D177" s="19" t="n"/>
      <c r="E177" s="19" t="n"/>
      <c r="F177" s="26" t="n"/>
      <c r="G177" s="26" t="n"/>
      <c r="H177" s="19" t="n"/>
      <c r="I177" s="19" t="n"/>
      <c r="J177" s="20" t="n"/>
      <c r="K177" s="19" t="n"/>
    </row>
    <row r="178">
      <c r="A178" s="16" t="n"/>
      <c r="B178" s="19" t="n"/>
      <c r="C178" s="18" t="n"/>
      <c r="D178" s="19" t="n"/>
      <c r="E178" s="19" t="n"/>
      <c r="F178" s="26" t="n"/>
      <c r="G178" s="26" t="n"/>
      <c r="H178" s="19" t="n"/>
      <c r="I178" s="19" t="n"/>
      <c r="J178" s="20" t="n"/>
      <c r="K178" s="19" t="n"/>
    </row>
    <row r="179">
      <c r="A179" s="16" t="n"/>
      <c r="B179" s="19" t="n"/>
      <c r="C179" s="18" t="n"/>
      <c r="D179" s="19" t="n"/>
      <c r="E179" s="19" t="n"/>
      <c r="F179" s="26" t="n"/>
      <c r="G179" s="26" t="n"/>
      <c r="H179" s="19" t="n"/>
      <c r="I179" s="19" t="n"/>
      <c r="J179" s="20" t="n"/>
      <c r="K179" s="19" t="n"/>
    </row>
    <row r="180">
      <c r="A180" s="16" t="n"/>
      <c r="B180" s="19" t="n"/>
      <c r="C180" s="18" t="n"/>
      <c r="D180" s="19" t="n"/>
      <c r="E180" s="19" t="n"/>
      <c r="F180" s="26" t="n"/>
      <c r="G180" s="26" t="n"/>
      <c r="H180" s="19" t="n"/>
      <c r="I180" s="19" t="n"/>
      <c r="J180" s="20" t="n"/>
      <c r="K180" s="19" t="n"/>
    </row>
    <row r="181">
      <c r="A181" s="16" t="n"/>
      <c r="B181" s="19" t="n"/>
      <c r="C181" s="18" t="n"/>
      <c r="D181" s="19" t="n"/>
      <c r="E181" s="19" t="n"/>
      <c r="F181" s="26" t="n"/>
      <c r="G181" s="26" t="n"/>
      <c r="H181" s="19" t="n"/>
      <c r="I181" s="19" t="n"/>
      <c r="J181" s="20" t="n"/>
      <c r="K181" s="19" t="n"/>
    </row>
    <row r="182">
      <c r="A182" s="16" t="n"/>
      <c r="B182" s="19" t="n"/>
      <c r="C182" s="18" t="n"/>
      <c r="D182" s="19" t="n"/>
      <c r="E182" s="19" t="n"/>
      <c r="F182" s="26" t="n"/>
      <c r="G182" s="26" t="n"/>
      <c r="H182" s="19" t="n"/>
      <c r="I182" s="19" t="n"/>
      <c r="J182" s="20" t="n"/>
      <c r="K182" s="19" t="n"/>
    </row>
    <row r="183">
      <c r="A183" s="16" t="n"/>
      <c r="B183" s="19" t="n"/>
      <c r="C183" s="18" t="n"/>
      <c r="D183" s="19" t="n"/>
      <c r="E183" s="19" t="n"/>
      <c r="F183" s="26" t="n"/>
      <c r="G183" s="26" t="n"/>
      <c r="H183" s="19" t="n"/>
      <c r="I183" s="19" t="n"/>
      <c r="J183" s="20" t="n"/>
      <c r="K183" s="19" t="n"/>
    </row>
    <row r="184">
      <c r="A184" s="16" t="n"/>
      <c r="B184" s="19" t="n"/>
      <c r="C184" s="18" t="n"/>
      <c r="D184" s="19" t="n"/>
      <c r="E184" s="19" t="n"/>
      <c r="F184" s="26" t="n"/>
      <c r="G184" s="26" t="n"/>
      <c r="H184" s="19" t="n"/>
      <c r="I184" s="19" t="n"/>
      <c r="J184" s="20" t="n"/>
      <c r="K184" s="19" t="n"/>
    </row>
    <row r="185">
      <c r="A185" s="16" t="n"/>
      <c r="B185" s="19" t="n"/>
      <c r="C185" s="18" t="n"/>
      <c r="D185" s="19" t="n"/>
      <c r="E185" s="19" t="n"/>
      <c r="F185" s="26" t="n"/>
      <c r="G185" s="26" t="n"/>
      <c r="H185" s="19" t="n"/>
      <c r="I185" s="19" t="n"/>
      <c r="J185" s="20" t="n"/>
      <c r="K185" s="19" t="n"/>
    </row>
    <row r="186">
      <c r="A186" s="16" t="n"/>
      <c r="B186" s="19" t="n"/>
      <c r="C186" s="18" t="n"/>
      <c r="D186" s="19" t="n"/>
      <c r="E186" s="19" t="n"/>
      <c r="F186" s="26" t="n"/>
      <c r="G186" s="26" t="n"/>
      <c r="H186" s="19" t="n"/>
      <c r="I186" s="19" t="n"/>
      <c r="J186" s="20" t="n"/>
      <c r="K186" s="19" t="n"/>
    </row>
    <row r="187">
      <c r="A187" s="16" t="n"/>
      <c r="B187" s="19" t="n"/>
      <c r="C187" s="18" t="n"/>
      <c r="D187" s="19" t="n"/>
      <c r="E187" s="19" t="n"/>
      <c r="F187" s="26" t="n"/>
      <c r="G187" s="26" t="n"/>
      <c r="H187" s="19" t="n"/>
      <c r="I187" s="19" t="n"/>
      <c r="J187" s="20" t="n"/>
      <c r="K187" s="19" t="n"/>
    </row>
    <row r="188">
      <c r="A188" s="16" t="n"/>
      <c r="B188" s="19" t="n"/>
      <c r="C188" s="18" t="n"/>
      <c r="D188" s="19" t="n"/>
      <c r="E188" s="19" t="n"/>
      <c r="F188" s="26" t="n"/>
      <c r="G188" s="26" t="n"/>
      <c r="H188" s="19" t="n"/>
      <c r="I188" s="19" t="n"/>
      <c r="J188" s="20" t="n"/>
      <c r="K188" s="19" t="n"/>
    </row>
    <row r="189">
      <c r="A189" s="16" t="n"/>
      <c r="B189" s="19" t="n"/>
      <c r="C189" s="18" t="n"/>
      <c r="D189" s="19" t="n"/>
      <c r="E189" s="19" t="n"/>
      <c r="F189" s="26" t="n"/>
      <c r="G189" s="26" t="n"/>
      <c r="H189" s="19" t="n"/>
      <c r="I189" s="19" t="n"/>
      <c r="J189" s="20" t="n"/>
      <c r="K189" s="19" t="n"/>
    </row>
    <row r="190">
      <c r="A190" s="16" t="n"/>
      <c r="B190" s="19" t="n"/>
      <c r="C190" s="18" t="n"/>
      <c r="D190" s="19" t="n"/>
      <c r="E190" s="19" t="n"/>
      <c r="F190" s="26" t="n"/>
      <c r="G190" s="26" t="n"/>
      <c r="H190" s="19" t="n"/>
      <c r="I190" s="19" t="n"/>
      <c r="J190" s="20" t="n"/>
      <c r="K190" s="19" t="n"/>
    </row>
    <row r="191">
      <c r="A191" s="16" t="n"/>
      <c r="B191" s="19" t="n"/>
      <c r="C191" s="18" t="n"/>
      <c r="D191" s="19" t="n"/>
      <c r="E191" s="19" t="n"/>
      <c r="F191" s="26" t="n"/>
      <c r="G191" s="26" t="n"/>
      <c r="H191" s="19" t="n"/>
      <c r="I191" s="19" t="n"/>
      <c r="J191" s="20" t="n"/>
      <c r="K191" s="19" t="n"/>
    </row>
    <row r="192">
      <c r="A192" s="16" t="n"/>
      <c r="B192" s="19" t="n"/>
      <c r="C192" s="18" t="n"/>
      <c r="D192" s="19" t="n"/>
      <c r="E192" s="19" t="n"/>
      <c r="F192" s="26" t="n"/>
      <c r="G192" s="26" t="n"/>
      <c r="H192" s="19" t="n"/>
      <c r="I192" s="19" t="n"/>
      <c r="J192" s="20" t="n"/>
      <c r="K192" s="19" t="n"/>
    </row>
    <row r="193">
      <c r="A193" s="16" t="n"/>
      <c r="B193" s="19" t="n"/>
      <c r="C193" s="18" t="n"/>
      <c r="D193" s="19" t="n"/>
      <c r="E193" s="19" t="n"/>
      <c r="F193" s="26" t="n"/>
      <c r="G193" s="26" t="n"/>
      <c r="H193" s="19" t="n"/>
      <c r="I193" s="19" t="n"/>
      <c r="J193" s="20" t="n"/>
      <c r="K193" s="19" t="n"/>
    </row>
    <row r="194">
      <c r="A194" s="16" t="n"/>
      <c r="B194" s="19" t="n"/>
      <c r="C194" s="18" t="n"/>
      <c r="D194" s="19" t="n"/>
      <c r="E194" s="19" t="n"/>
      <c r="F194" s="26" t="n"/>
      <c r="G194" s="26" t="n"/>
      <c r="H194" s="19" t="n"/>
      <c r="I194" s="19" t="n"/>
      <c r="J194" s="20" t="n"/>
      <c r="K194" s="19" t="n"/>
    </row>
    <row r="195">
      <c r="A195" s="16" t="n"/>
      <c r="B195" s="19" t="n"/>
      <c r="C195" s="18" t="n"/>
      <c r="D195" s="19" t="n"/>
      <c r="E195" s="19" t="n"/>
      <c r="F195" s="26" t="n"/>
      <c r="G195" s="26" t="n"/>
      <c r="H195" s="19" t="n"/>
      <c r="I195" s="19" t="n"/>
      <c r="J195" s="20" t="n"/>
      <c r="K195" s="19" t="n"/>
    </row>
    <row r="196">
      <c r="A196" s="16" t="n"/>
      <c r="B196" s="19" t="n"/>
      <c r="C196" s="18" t="n"/>
      <c r="D196" s="19" t="n"/>
      <c r="E196" s="19" t="n"/>
      <c r="F196" s="26" t="n"/>
      <c r="G196" s="26" t="n"/>
      <c r="H196" s="19" t="n"/>
      <c r="I196" s="19" t="n"/>
      <c r="J196" s="20" t="n"/>
      <c r="K196" s="19" t="n"/>
    </row>
    <row r="197">
      <c r="A197" s="16" t="n"/>
      <c r="B197" s="19" t="n"/>
      <c r="C197" s="18" t="n"/>
      <c r="D197" s="19" t="n"/>
      <c r="E197" s="19" t="n"/>
      <c r="F197" s="26" t="n"/>
      <c r="G197" s="26" t="n"/>
      <c r="H197" s="19" t="n"/>
      <c r="I197" s="19" t="n"/>
      <c r="J197" s="20" t="n"/>
      <c r="K197" s="19" t="n"/>
    </row>
    <row r="198">
      <c r="A198" s="16" t="n"/>
      <c r="B198" s="19" t="n"/>
      <c r="C198" s="18" t="n"/>
      <c r="D198" s="19" t="n"/>
      <c r="E198" s="19" t="n"/>
      <c r="F198" s="26" t="n"/>
      <c r="G198" s="26" t="n"/>
      <c r="H198" s="19" t="n"/>
      <c r="I198" s="19" t="n"/>
      <c r="J198" s="20" t="n"/>
      <c r="K198" s="19" t="n"/>
    </row>
    <row r="199">
      <c r="A199" s="16" t="n"/>
      <c r="B199" s="19" t="n"/>
      <c r="C199" s="18" t="n"/>
      <c r="D199" s="19" t="n"/>
      <c r="E199" s="19" t="n"/>
      <c r="F199" s="26" t="n"/>
      <c r="G199" s="26" t="n"/>
      <c r="H199" s="19" t="n"/>
      <c r="I199" s="19" t="n"/>
      <c r="J199" s="20" t="n"/>
      <c r="K199" s="19" t="n"/>
    </row>
    <row r="200">
      <c r="A200" s="16" t="n"/>
      <c r="B200" s="19" t="n"/>
      <c r="C200" s="18" t="n"/>
      <c r="D200" s="19" t="n"/>
      <c r="E200" s="19" t="n"/>
      <c r="F200" s="26" t="n"/>
      <c r="G200" s="26" t="n"/>
      <c r="H200" s="19" t="n"/>
      <c r="I200" s="19" t="n"/>
      <c r="J200" s="20" t="n"/>
      <c r="K200" s="19" t="n"/>
    </row>
    <row r="201">
      <c r="A201" s="16" t="n"/>
      <c r="B201" s="19" t="n"/>
      <c r="C201" s="18" t="n"/>
      <c r="D201" s="19" t="n"/>
      <c r="E201" s="19" t="n"/>
      <c r="F201" s="26" t="n"/>
      <c r="G201" s="26" t="n"/>
      <c r="H201" s="19" t="n"/>
      <c r="I201" s="19" t="n"/>
      <c r="J201" s="20" t="n"/>
      <c r="K201" s="19" t="n"/>
    </row>
    <row r="202">
      <c r="A202" s="16" t="n"/>
      <c r="B202" s="19" t="n"/>
      <c r="C202" s="18" t="n"/>
      <c r="D202" s="19" t="n"/>
      <c r="E202" s="19" t="n"/>
      <c r="F202" s="26" t="n"/>
      <c r="G202" s="26" t="n"/>
      <c r="H202" s="19" t="n"/>
      <c r="I202" s="19" t="n"/>
      <c r="J202" s="20" t="n"/>
      <c r="K202" s="19" t="n"/>
    </row>
    <row r="203">
      <c r="A203" s="16" t="n"/>
      <c r="B203" s="19" t="n"/>
      <c r="C203" s="18" t="n"/>
      <c r="D203" s="19" t="n"/>
      <c r="E203" s="19" t="n"/>
      <c r="F203" s="26" t="n"/>
      <c r="G203" s="26" t="n"/>
      <c r="H203" s="19" t="n"/>
      <c r="I203" s="19" t="n"/>
      <c r="J203" s="20" t="n"/>
      <c r="K203" s="19" t="n"/>
    </row>
    <row r="204">
      <c r="A204" s="16" t="n"/>
      <c r="B204" s="19" t="n"/>
      <c r="C204" s="18" t="n"/>
      <c r="D204" s="19" t="n"/>
      <c r="E204" s="19" t="n"/>
      <c r="F204" s="26" t="n"/>
      <c r="G204" s="26" t="n"/>
      <c r="H204" s="19" t="n"/>
      <c r="I204" s="19" t="n"/>
      <c r="J204" s="20" t="n"/>
      <c r="K204" s="19" t="n"/>
    </row>
    <row r="205">
      <c r="A205" s="16" t="n"/>
      <c r="B205" s="19" t="n"/>
      <c r="C205" s="18" t="n"/>
      <c r="D205" s="19" t="n"/>
      <c r="E205" s="19" t="n"/>
      <c r="F205" s="26" t="n"/>
      <c r="G205" s="26" t="n"/>
      <c r="H205" s="19" t="n"/>
      <c r="I205" s="19" t="n"/>
      <c r="J205" s="20" t="n"/>
      <c r="K205" s="19" t="n"/>
    </row>
    <row r="206">
      <c r="A206" s="16" t="n"/>
      <c r="B206" s="19" t="n"/>
      <c r="C206" s="18" t="n"/>
      <c r="D206" s="19" t="n"/>
      <c r="E206" s="19" t="n"/>
      <c r="F206" s="26" t="n"/>
      <c r="G206" s="26" t="n"/>
      <c r="H206" s="19" t="n"/>
      <c r="I206" s="19" t="n"/>
      <c r="J206" s="20" t="n"/>
      <c r="K206" s="19" t="n"/>
    </row>
    <row r="207">
      <c r="A207" s="16" t="n"/>
      <c r="B207" s="19" t="n"/>
      <c r="C207" s="18" t="n"/>
      <c r="D207" s="19" t="n"/>
      <c r="E207" s="19" t="n"/>
      <c r="F207" s="26" t="n"/>
      <c r="G207" s="26" t="n"/>
      <c r="H207" s="19" t="n"/>
      <c r="I207" s="19" t="n"/>
      <c r="J207" s="20" t="n"/>
      <c r="K207" s="19" t="n"/>
    </row>
    <row r="208">
      <c r="A208" s="16" t="n"/>
      <c r="B208" s="19" t="n"/>
      <c r="C208" s="18" t="n"/>
      <c r="D208" s="19" t="n"/>
      <c r="E208" s="19" t="n"/>
      <c r="F208" s="26" t="n"/>
      <c r="G208" s="26" t="n"/>
      <c r="H208" s="19" t="n"/>
      <c r="I208" s="19" t="n"/>
      <c r="J208" s="20" t="n"/>
      <c r="K208" s="19" t="n"/>
    </row>
    <row r="209">
      <c r="A209" s="16" t="n"/>
      <c r="B209" s="19" t="n"/>
      <c r="C209" s="18" t="n"/>
      <c r="D209" s="19" t="n"/>
      <c r="E209" s="19" t="n"/>
      <c r="F209" s="26" t="n"/>
      <c r="G209" s="26" t="n"/>
      <c r="H209" s="19" t="n"/>
      <c r="I209" s="19" t="n"/>
      <c r="J209" s="20" t="n"/>
      <c r="K209" s="19" t="n"/>
    </row>
    <row r="210">
      <c r="A210" s="16" t="n"/>
      <c r="B210" s="19" t="n"/>
      <c r="C210" s="18" t="n"/>
      <c r="D210" s="19" t="n"/>
      <c r="E210" s="19" t="n"/>
      <c r="F210" s="26" t="n"/>
      <c r="G210" s="26" t="n"/>
      <c r="H210" s="19" t="n"/>
      <c r="I210" s="19" t="n"/>
      <c r="J210" s="20" t="n"/>
      <c r="K210" s="19" t="n"/>
    </row>
    <row r="211">
      <c r="A211" s="16" t="n"/>
      <c r="B211" s="19" t="n"/>
      <c r="C211" s="18" t="n"/>
      <c r="D211" s="19" t="n"/>
      <c r="E211" s="19" t="n"/>
      <c r="F211" s="26" t="n"/>
      <c r="G211" s="26" t="n"/>
      <c r="H211" s="19" t="n"/>
      <c r="I211" s="19" t="n"/>
      <c r="J211" s="20" t="n"/>
      <c r="K211" s="19" t="n"/>
    </row>
    <row r="212">
      <c r="A212" s="16" t="n"/>
      <c r="B212" s="19" t="n"/>
      <c r="C212" s="18" t="n"/>
      <c r="D212" s="19" t="n"/>
      <c r="E212" s="19" t="n"/>
      <c r="F212" s="26" t="n"/>
      <c r="G212" s="26" t="n"/>
      <c r="H212" s="19" t="n"/>
      <c r="I212" s="19" t="n"/>
      <c r="J212" s="20" t="n"/>
      <c r="K212" s="19" t="n"/>
    </row>
    <row r="213">
      <c r="A213" s="16" t="n"/>
      <c r="B213" s="19" t="n"/>
      <c r="C213" s="18" t="n"/>
      <c r="D213" s="19" t="n"/>
      <c r="E213" s="19" t="n"/>
      <c r="F213" s="26" t="n"/>
      <c r="G213" s="26" t="n"/>
      <c r="H213" s="19" t="n"/>
      <c r="I213" s="19" t="n"/>
      <c r="J213" s="20" t="n"/>
      <c r="K213" s="19" t="n"/>
    </row>
    <row r="214">
      <c r="A214" s="16" t="n"/>
      <c r="B214" s="19" t="n"/>
      <c r="C214" s="18" t="n"/>
      <c r="D214" s="19" t="n"/>
      <c r="E214" s="19" t="n"/>
      <c r="F214" s="26" t="n"/>
      <c r="G214" s="26" t="n"/>
      <c r="H214" s="19" t="n"/>
      <c r="I214" s="19" t="n"/>
      <c r="J214" s="20" t="n"/>
      <c r="K214" s="19" t="n"/>
    </row>
    <row r="215">
      <c r="A215" s="16" t="n"/>
      <c r="B215" s="19" t="n"/>
      <c r="C215" s="18" t="n"/>
      <c r="D215" s="19" t="n"/>
      <c r="E215" s="19" t="n"/>
      <c r="F215" s="26" t="n"/>
      <c r="G215" s="26" t="n"/>
      <c r="H215" s="19" t="n"/>
      <c r="I215" s="19" t="n"/>
      <c r="J215" s="20" t="n"/>
      <c r="K215" s="19" t="n"/>
    </row>
    <row r="216">
      <c r="A216" s="16" t="n"/>
      <c r="B216" s="19" t="n"/>
      <c r="C216" s="18" t="n"/>
      <c r="D216" s="19" t="n"/>
      <c r="E216" s="19" t="n"/>
      <c r="F216" s="26" t="n"/>
      <c r="G216" s="26" t="n"/>
      <c r="H216" s="19" t="n"/>
      <c r="I216" s="19" t="n"/>
      <c r="J216" s="20" t="n"/>
      <c r="K216" s="19" t="n"/>
    </row>
    <row r="217">
      <c r="A217" s="16" t="n"/>
      <c r="B217" s="19" t="n"/>
      <c r="C217" s="18" t="n"/>
      <c r="D217" s="19" t="n"/>
      <c r="E217" s="19" t="n"/>
      <c r="F217" s="26" t="n"/>
      <c r="G217" s="26" t="n"/>
      <c r="H217" s="19" t="n"/>
      <c r="I217" s="19" t="n"/>
      <c r="J217" s="20" t="n"/>
      <c r="K217" s="19" t="n"/>
    </row>
    <row r="218">
      <c r="A218" s="16" t="n"/>
      <c r="B218" s="19" t="n"/>
      <c r="C218" s="18" t="n"/>
      <c r="D218" s="19" t="n"/>
      <c r="E218" s="19" t="n"/>
      <c r="F218" s="26" t="n"/>
      <c r="G218" s="26" t="n"/>
      <c r="H218" s="19" t="n"/>
      <c r="I218" s="19" t="n"/>
      <c r="J218" s="20" t="n"/>
      <c r="K218" s="19" t="n"/>
    </row>
    <row r="219">
      <c r="A219" s="16" t="n"/>
      <c r="B219" s="19" t="n"/>
      <c r="C219" s="18" t="n"/>
      <c r="D219" s="19" t="n"/>
      <c r="E219" s="19" t="n"/>
      <c r="F219" s="26" t="n"/>
      <c r="G219" s="26" t="n"/>
      <c r="H219" s="19" t="n"/>
      <c r="I219" s="19" t="n"/>
      <c r="J219" s="20" t="n"/>
      <c r="K219" s="19" t="n"/>
    </row>
    <row r="220">
      <c r="A220" s="16" t="n"/>
      <c r="B220" s="19" t="n"/>
      <c r="C220" s="18" t="n"/>
      <c r="D220" s="19" t="n"/>
      <c r="E220" s="19" t="n"/>
      <c r="F220" s="26" t="n"/>
      <c r="G220" s="26" t="n"/>
      <c r="H220" s="19" t="n"/>
      <c r="I220" s="19" t="n"/>
      <c r="J220" s="20" t="n"/>
      <c r="K220" s="19" t="n"/>
    </row>
    <row r="221">
      <c r="A221" s="16" t="n"/>
      <c r="B221" s="19" t="n"/>
      <c r="C221" s="18" t="n"/>
      <c r="D221" s="19" t="n"/>
      <c r="E221" s="19" t="n"/>
      <c r="F221" s="26" t="n"/>
      <c r="G221" s="26" t="n"/>
      <c r="H221" s="19" t="n"/>
      <c r="I221" s="19" t="n"/>
      <c r="J221" s="20" t="n"/>
      <c r="K221" s="19" t="n"/>
    </row>
    <row r="222">
      <c r="A222" s="16" t="n"/>
      <c r="B222" s="19" t="n"/>
      <c r="C222" s="18" t="n"/>
      <c r="D222" s="19" t="n"/>
      <c r="E222" s="19" t="n"/>
      <c r="F222" s="26" t="n"/>
      <c r="G222" s="26" t="n"/>
      <c r="H222" s="19" t="n"/>
      <c r="I222" s="19" t="n"/>
      <c r="J222" s="20" t="n"/>
      <c r="K222" s="19" t="n"/>
    </row>
    <row r="223">
      <c r="A223" s="16" t="n"/>
      <c r="B223" s="19" t="n"/>
      <c r="C223" s="18" t="n"/>
      <c r="D223" s="19" t="n"/>
      <c r="E223" s="19" t="n"/>
      <c r="F223" s="26" t="n"/>
      <c r="G223" s="26" t="n"/>
      <c r="H223" s="19" t="n"/>
      <c r="I223" s="19" t="n"/>
      <c r="J223" s="20" t="n"/>
      <c r="K223" s="19" t="n"/>
    </row>
    <row r="224">
      <c r="A224" s="16" t="n"/>
      <c r="B224" s="19" t="n"/>
      <c r="C224" s="18" t="n"/>
      <c r="D224" s="19" t="n"/>
      <c r="E224" s="19" t="n"/>
      <c r="F224" s="26" t="n"/>
      <c r="G224" s="26" t="n"/>
      <c r="H224" s="19" t="n"/>
      <c r="I224" s="19" t="n"/>
      <c r="J224" s="20" t="n"/>
      <c r="K224" s="19" t="n"/>
    </row>
    <row r="225">
      <c r="A225" s="16" t="n"/>
      <c r="B225" s="19" t="n"/>
      <c r="C225" s="18" t="n"/>
      <c r="D225" s="19" t="n"/>
      <c r="E225" s="19" t="n"/>
      <c r="F225" s="26" t="n"/>
      <c r="G225" s="26" t="n"/>
      <c r="H225" s="19" t="n"/>
      <c r="I225" s="19" t="n"/>
      <c r="J225" s="20" t="n"/>
      <c r="K225" s="19" t="n"/>
    </row>
    <row r="226">
      <c r="A226" s="16" t="n"/>
      <c r="B226" s="19" t="n"/>
      <c r="C226" s="18" t="n"/>
      <c r="D226" s="19" t="n"/>
      <c r="E226" s="19" t="n"/>
      <c r="F226" s="26" t="n"/>
      <c r="G226" s="26" t="n"/>
      <c r="H226" s="19" t="n"/>
      <c r="I226" s="19" t="n"/>
      <c r="J226" s="20" t="n"/>
      <c r="K226" s="19" t="n"/>
    </row>
    <row r="227">
      <c r="A227" s="16" t="n"/>
      <c r="B227" s="19" t="n"/>
      <c r="C227" s="18" t="n"/>
      <c r="D227" s="19" t="n"/>
      <c r="E227" s="19" t="n"/>
      <c r="F227" s="26" t="n"/>
      <c r="G227" s="26" t="n"/>
      <c r="H227" s="19" t="n"/>
      <c r="I227" s="19" t="n"/>
      <c r="J227" s="20" t="n"/>
      <c r="K227" s="19" t="n"/>
    </row>
    <row r="228">
      <c r="A228" s="16" t="n"/>
      <c r="B228" s="19" t="n"/>
      <c r="C228" s="18" t="n"/>
      <c r="D228" s="19" t="n"/>
      <c r="E228" s="19" t="n"/>
      <c r="F228" s="26" t="n"/>
      <c r="G228" s="26" t="n"/>
      <c r="H228" s="19" t="n"/>
      <c r="I228" s="19" t="n"/>
      <c r="J228" s="20" t="n"/>
      <c r="K228" s="19" t="n"/>
    </row>
    <row r="229">
      <c r="A229" s="16" t="n"/>
      <c r="B229" s="19" t="n"/>
      <c r="C229" s="18" t="n"/>
      <c r="D229" s="19" t="n"/>
      <c r="E229" s="19" t="n"/>
      <c r="F229" s="26" t="n"/>
      <c r="G229" s="26" t="n"/>
      <c r="H229" s="19" t="n"/>
      <c r="I229" s="19" t="n"/>
      <c r="J229" s="20" t="n"/>
      <c r="K229" s="19" t="n"/>
    </row>
    <row r="230">
      <c r="A230" s="16" t="n"/>
      <c r="B230" s="19" t="n"/>
      <c r="C230" s="18" t="n"/>
      <c r="D230" s="19" t="n"/>
      <c r="E230" s="19" t="n"/>
      <c r="F230" s="26" t="n"/>
      <c r="G230" s="26" t="n"/>
      <c r="H230" s="19" t="n"/>
      <c r="I230" s="19" t="n"/>
      <c r="J230" s="20" t="n"/>
      <c r="K230" s="19" t="n"/>
    </row>
    <row r="231">
      <c r="A231" s="16" t="n"/>
      <c r="B231" s="19" t="n"/>
      <c r="C231" s="18" t="n"/>
      <c r="D231" s="19" t="n"/>
      <c r="E231" s="19" t="n"/>
      <c r="F231" s="26" t="n"/>
      <c r="G231" s="26" t="n"/>
      <c r="H231" s="19" t="n"/>
      <c r="I231" s="19" t="n"/>
      <c r="J231" s="20" t="n"/>
      <c r="K231" s="19" t="n"/>
    </row>
    <row r="232">
      <c r="A232" s="16" t="n"/>
      <c r="B232" s="19" t="n"/>
      <c r="C232" s="18" t="n"/>
      <c r="D232" s="19" t="n"/>
      <c r="E232" s="19" t="n"/>
      <c r="F232" s="26" t="n"/>
      <c r="G232" s="26" t="n"/>
      <c r="H232" s="19" t="n"/>
      <c r="I232" s="19" t="n"/>
      <c r="J232" s="20" t="n"/>
      <c r="K232" s="19" t="n"/>
    </row>
    <row r="233">
      <c r="A233" s="16" t="n"/>
      <c r="B233" s="19" t="n"/>
      <c r="C233" s="18" t="n"/>
      <c r="D233" s="19" t="n"/>
      <c r="E233" s="19" t="n"/>
      <c r="F233" s="26" t="n"/>
      <c r="G233" s="26" t="n"/>
      <c r="H233" s="19" t="n"/>
      <c r="I233" s="19" t="n"/>
      <c r="J233" s="20" t="n"/>
      <c r="K233" s="19" t="n"/>
    </row>
    <row r="234">
      <c r="A234" s="16" t="n"/>
      <c r="B234" s="19" t="n"/>
      <c r="C234" s="18" t="n"/>
      <c r="D234" s="19" t="n"/>
      <c r="E234" s="19" t="n"/>
      <c r="F234" s="26" t="n"/>
      <c r="G234" s="26" t="n"/>
      <c r="H234" s="19" t="n"/>
      <c r="I234" s="19" t="n"/>
      <c r="J234" s="20" t="n"/>
      <c r="K234" s="19" t="n"/>
    </row>
    <row r="235">
      <c r="A235" s="16" t="n"/>
      <c r="B235" s="19" t="n"/>
      <c r="C235" s="18" t="n"/>
      <c r="D235" s="19" t="n"/>
      <c r="E235" s="19" t="n"/>
      <c r="F235" s="26" t="n"/>
      <c r="G235" s="26" t="n"/>
      <c r="H235" s="19" t="n"/>
      <c r="I235" s="19" t="n"/>
      <c r="J235" s="20" t="n"/>
      <c r="K235" s="19" t="n"/>
    </row>
    <row r="236">
      <c r="A236" s="16" t="n"/>
      <c r="B236" s="19" t="n"/>
      <c r="C236" s="18" t="n"/>
      <c r="D236" s="19" t="n"/>
      <c r="E236" s="19" t="n"/>
      <c r="F236" s="26" t="n"/>
      <c r="G236" s="26" t="n"/>
      <c r="H236" s="19" t="n"/>
      <c r="I236" s="19" t="n"/>
      <c r="J236" s="20" t="n"/>
      <c r="K236" s="19" t="n"/>
    </row>
    <row r="237">
      <c r="A237" s="16" t="n"/>
      <c r="B237" s="19" t="n"/>
      <c r="C237" s="18" t="n"/>
      <c r="D237" s="19" t="n"/>
      <c r="E237" s="19" t="n"/>
      <c r="F237" s="26" t="n"/>
      <c r="G237" s="26" t="n"/>
      <c r="H237" s="19" t="n"/>
      <c r="I237" s="19" t="n"/>
      <c r="J237" s="20" t="n"/>
      <c r="K237" s="19" t="n"/>
    </row>
    <row r="238">
      <c r="A238" s="16" t="n"/>
      <c r="B238" s="19" t="n"/>
      <c r="C238" s="18" t="n"/>
      <c r="D238" s="19" t="n"/>
      <c r="E238" s="19" t="n"/>
      <c r="F238" s="26" t="n"/>
      <c r="G238" s="26" t="n"/>
      <c r="H238" s="19" t="n"/>
      <c r="I238" s="19" t="n"/>
      <c r="J238" s="20" t="n"/>
      <c r="K238" s="19" t="n"/>
    </row>
    <row r="239">
      <c r="A239" s="16" t="n"/>
      <c r="B239" s="19" t="n"/>
      <c r="C239" s="18" t="n"/>
      <c r="D239" s="19" t="n"/>
      <c r="E239" s="19" t="n"/>
      <c r="F239" s="26" t="n"/>
      <c r="G239" s="26" t="n"/>
      <c r="H239" s="19" t="n"/>
      <c r="I239" s="19" t="n"/>
      <c r="J239" s="20" t="n"/>
      <c r="K239" s="19" t="n"/>
    </row>
    <row r="240">
      <c r="A240" s="16" t="n"/>
      <c r="B240" s="19" t="n"/>
      <c r="C240" s="18" t="n"/>
      <c r="D240" s="19" t="n"/>
      <c r="E240" s="19" t="n"/>
      <c r="F240" s="26" t="n"/>
      <c r="G240" s="26" t="n"/>
      <c r="H240" s="19" t="n"/>
      <c r="I240" s="19" t="n"/>
      <c r="J240" s="20" t="n"/>
      <c r="K240" s="19" t="n"/>
    </row>
    <row r="241">
      <c r="A241" s="16" t="n"/>
      <c r="B241" s="19" t="n"/>
      <c r="C241" s="18" t="n"/>
      <c r="D241" s="19" t="n"/>
      <c r="E241" s="19" t="n"/>
      <c r="F241" s="26" t="n"/>
      <c r="G241" s="26" t="n"/>
      <c r="H241" s="19" t="n"/>
      <c r="I241" s="19" t="n"/>
      <c r="J241" s="20" t="n"/>
      <c r="K241" s="19" t="n"/>
    </row>
    <row r="242">
      <c r="A242" s="16" t="n"/>
      <c r="B242" s="19" t="n"/>
      <c r="C242" s="18" t="n"/>
      <c r="D242" s="19" t="n"/>
      <c r="E242" s="19" t="n"/>
      <c r="F242" s="26" t="n"/>
      <c r="G242" s="26" t="n"/>
      <c r="H242" s="19" t="n"/>
      <c r="I242" s="19" t="n"/>
      <c r="J242" s="20" t="n"/>
      <c r="K242" s="19" t="n"/>
    </row>
    <row r="243">
      <c r="A243" s="16" t="n"/>
      <c r="B243" s="19" t="n"/>
      <c r="C243" s="18" t="n"/>
      <c r="D243" s="19" t="n"/>
      <c r="E243" s="19" t="n"/>
      <c r="F243" s="26" t="n"/>
      <c r="G243" s="26" t="n"/>
      <c r="H243" s="19" t="n"/>
      <c r="I243" s="19" t="n"/>
      <c r="J243" s="20" t="n"/>
      <c r="K243" s="19" t="n"/>
    </row>
    <row r="244">
      <c r="A244" s="16" t="n"/>
      <c r="B244" s="19" t="n"/>
      <c r="C244" s="18" t="n"/>
      <c r="D244" s="19" t="n"/>
      <c r="E244" s="19" t="n"/>
      <c r="F244" s="26" t="n"/>
      <c r="G244" s="26" t="n"/>
      <c r="H244" s="19" t="n"/>
      <c r="I244" s="19" t="n"/>
      <c r="J244" s="20" t="n"/>
      <c r="K244" s="19" t="n"/>
    </row>
    <row r="245">
      <c r="A245" s="16" t="n"/>
      <c r="B245" s="19" t="n"/>
      <c r="C245" s="18" t="n"/>
      <c r="D245" s="19" t="n"/>
      <c r="E245" s="19" t="n"/>
      <c r="F245" s="26" t="n"/>
      <c r="G245" s="26" t="n"/>
      <c r="H245" s="19" t="n"/>
      <c r="I245" s="19" t="n"/>
      <c r="J245" s="20" t="n"/>
      <c r="K245" s="19" t="n"/>
    </row>
    <row r="246">
      <c r="A246" s="16" t="n"/>
      <c r="B246" s="19" t="n"/>
      <c r="C246" s="18" t="n"/>
      <c r="D246" s="19" t="n"/>
      <c r="E246" s="19" t="n"/>
      <c r="F246" s="26" t="n"/>
      <c r="G246" s="26" t="n"/>
      <c r="H246" s="19" t="n"/>
      <c r="I246" s="19" t="n"/>
      <c r="J246" s="20" t="n"/>
      <c r="K246" s="19" t="n"/>
    </row>
    <row r="247">
      <c r="A247" s="16" t="n"/>
      <c r="B247" s="19" t="n"/>
      <c r="C247" s="18" t="n"/>
      <c r="D247" s="19" t="n"/>
      <c r="E247" s="19" t="n"/>
      <c r="F247" s="26" t="n"/>
      <c r="G247" s="26" t="n"/>
      <c r="H247" s="19" t="n"/>
      <c r="I247" s="19" t="n"/>
      <c r="J247" s="20" t="n"/>
      <c r="K247" s="19" t="n"/>
    </row>
    <row r="248">
      <c r="A248" s="16" t="n"/>
      <c r="B248" s="19" t="n"/>
      <c r="C248" s="18" t="n"/>
      <c r="D248" s="19" t="n"/>
      <c r="E248" s="19" t="n"/>
      <c r="F248" s="26" t="n"/>
      <c r="G248" s="26" t="n"/>
      <c r="H248" s="19" t="n"/>
      <c r="I248" s="19" t="n"/>
      <c r="J248" s="20" t="n"/>
      <c r="K248" s="19" t="n"/>
    </row>
    <row r="249">
      <c r="A249" s="16" t="n"/>
      <c r="B249" s="19" t="n"/>
      <c r="C249" s="18" t="n"/>
      <c r="D249" s="19" t="n"/>
      <c r="E249" s="19" t="n"/>
      <c r="F249" s="26" t="n"/>
      <c r="G249" s="26" t="n"/>
      <c r="H249" s="19" t="n"/>
      <c r="I249" s="19" t="n"/>
      <c r="J249" s="20" t="n"/>
      <c r="K249" s="19" t="n"/>
    </row>
    <row r="250">
      <c r="A250" s="16" t="n"/>
      <c r="B250" s="19" t="n"/>
      <c r="C250" s="18" t="n"/>
      <c r="D250" s="19" t="n"/>
      <c r="E250" s="19" t="n"/>
      <c r="F250" s="26" t="n"/>
      <c r="G250" s="26" t="n"/>
      <c r="H250" s="19" t="n"/>
      <c r="I250" s="19" t="n"/>
      <c r="J250" s="20" t="n"/>
      <c r="K250" s="19" t="n"/>
    </row>
    <row r="251">
      <c r="A251" s="16" t="n"/>
      <c r="B251" s="19" t="n"/>
      <c r="C251" s="18" t="n"/>
      <c r="D251" s="19" t="n"/>
      <c r="E251" s="19" t="n"/>
      <c r="F251" s="26" t="n"/>
      <c r="G251" s="26" t="n"/>
      <c r="H251" s="19" t="n"/>
      <c r="I251" s="19" t="n"/>
      <c r="J251" s="20" t="n"/>
      <c r="K251" s="19" t="n"/>
    </row>
    <row r="252">
      <c r="A252" s="16" t="n"/>
      <c r="B252" s="19" t="n"/>
      <c r="C252" s="18" t="n"/>
      <c r="D252" s="19" t="n"/>
      <c r="E252" s="19" t="n"/>
      <c r="F252" s="26" t="n"/>
      <c r="G252" s="26" t="n"/>
      <c r="H252" s="19" t="n"/>
      <c r="I252" s="19" t="n"/>
      <c r="J252" s="20" t="n"/>
      <c r="K252" s="19" t="n"/>
    </row>
    <row r="253">
      <c r="A253" s="16" t="n"/>
      <c r="B253" s="19" t="n"/>
      <c r="C253" s="18" t="n"/>
      <c r="D253" s="19" t="n"/>
      <c r="E253" s="19" t="n"/>
      <c r="F253" s="26" t="n"/>
      <c r="G253" s="26" t="n"/>
      <c r="H253" s="19" t="n"/>
      <c r="I253" s="19" t="n"/>
      <c r="J253" s="20" t="n"/>
      <c r="K253" s="19" t="n"/>
    </row>
    <row r="254">
      <c r="A254" s="16" t="n"/>
      <c r="B254" s="19" t="n"/>
      <c r="C254" s="18" t="n"/>
      <c r="D254" s="19" t="n"/>
      <c r="E254" s="19" t="n"/>
      <c r="F254" s="26" t="n"/>
      <c r="G254" s="26" t="n"/>
      <c r="H254" s="19" t="n"/>
      <c r="I254" s="19" t="n"/>
      <c r="J254" s="20" t="n"/>
      <c r="K254" s="19" t="n"/>
    </row>
    <row r="255">
      <c r="A255" s="16" t="n"/>
      <c r="B255" s="19" t="n"/>
      <c r="C255" s="18" t="n"/>
      <c r="D255" s="19" t="n"/>
      <c r="E255" s="19" t="n"/>
      <c r="F255" s="26" t="n"/>
      <c r="G255" s="26" t="n"/>
      <c r="H255" s="19" t="n"/>
      <c r="I255" s="19" t="n"/>
      <c r="J255" s="20" t="n"/>
      <c r="K255" s="19" t="n"/>
    </row>
    <row r="256">
      <c r="A256" s="16" t="n"/>
      <c r="B256" s="19" t="n"/>
      <c r="C256" s="18" t="n"/>
      <c r="D256" s="19" t="n"/>
      <c r="E256" s="19" t="n"/>
      <c r="F256" s="26" t="n"/>
      <c r="G256" s="26" t="n"/>
      <c r="H256" s="19" t="n"/>
      <c r="I256" s="19" t="n"/>
      <c r="J256" s="20" t="n"/>
      <c r="K256" s="19" t="n"/>
    </row>
    <row r="257">
      <c r="A257" s="16" t="n"/>
      <c r="B257" s="19" t="n"/>
      <c r="C257" s="18" t="n"/>
      <c r="D257" s="19" t="n"/>
      <c r="E257" s="19" t="n"/>
      <c r="F257" s="26" t="n"/>
      <c r="G257" s="26" t="n"/>
      <c r="H257" s="19" t="n"/>
      <c r="I257" s="19" t="n"/>
      <c r="J257" s="20" t="n"/>
      <c r="K257" s="19" t="n"/>
    </row>
    <row r="258">
      <c r="A258" s="16" t="n"/>
      <c r="B258" s="19" t="n"/>
      <c r="C258" s="18" t="n"/>
      <c r="D258" s="19" t="n"/>
      <c r="E258" s="19" t="n"/>
      <c r="F258" s="26" t="n"/>
      <c r="G258" s="26" t="n"/>
      <c r="H258" s="19" t="n"/>
      <c r="I258" s="19" t="n"/>
      <c r="J258" s="20" t="n"/>
      <c r="K258" s="19" t="n"/>
    </row>
    <row r="259">
      <c r="A259" s="16" t="n"/>
      <c r="B259" s="19" t="n"/>
      <c r="C259" s="18" t="n"/>
      <c r="D259" s="19" t="n"/>
      <c r="E259" s="19" t="n"/>
      <c r="F259" s="26" t="n"/>
      <c r="G259" s="26" t="n"/>
      <c r="H259" s="19" t="n"/>
      <c r="I259" s="19" t="n"/>
      <c r="J259" s="20" t="n"/>
      <c r="K259" s="19" t="n"/>
    </row>
    <row r="260">
      <c r="A260" s="16" t="n"/>
      <c r="B260" s="19" t="n"/>
      <c r="C260" s="18" t="n"/>
      <c r="D260" s="19" t="n"/>
      <c r="E260" s="19" t="n"/>
      <c r="F260" s="26" t="n"/>
      <c r="G260" s="26" t="n"/>
      <c r="H260" s="19" t="n"/>
      <c r="I260" s="19" t="n"/>
      <c r="J260" s="20" t="n"/>
      <c r="K260" s="19" t="n"/>
    </row>
    <row r="261">
      <c r="A261" s="16" t="n"/>
      <c r="B261" s="19" t="n"/>
      <c r="C261" s="18" t="n"/>
      <c r="D261" s="19" t="n"/>
      <c r="E261" s="19" t="n"/>
      <c r="F261" s="26" t="n"/>
      <c r="G261" s="26" t="n"/>
      <c r="H261" s="19" t="n"/>
      <c r="I261" s="19" t="n"/>
      <c r="J261" s="20" t="n"/>
      <c r="K261" s="19" t="n"/>
    </row>
    <row r="262">
      <c r="A262" s="16" t="n"/>
      <c r="B262" s="19" t="n"/>
      <c r="C262" s="18" t="n"/>
      <c r="D262" s="19" t="n"/>
      <c r="E262" s="19" t="n"/>
      <c r="F262" s="26" t="n"/>
      <c r="G262" s="26" t="n"/>
      <c r="H262" s="19" t="n"/>
      <c r="I262" s="19" t="n"/>
      <c r="J262" s="20" t="n"/>
      <c r="K262" s="19" t="n"/>
    </row>
    <row r="263">
      <c r="A263" s="16" t="n"/>
      <c r="B263" s="19" t="n"/>
      <c r="C263" s="18" t="n"/>
      <c r="D263" s="19" t="n"/>
      <c r="E263" s="19" t="n"/>
      <c r="F263" s="26" t="n"/>
      <c r="G263" s="26" t="n"/>
      <c r="H263" s="19" t="n"/>
      <c r="I263" s="19" t="n"/>
      <c r="J263" s="20" t="n"/>
      <c r="K263" s="19" t="n"/>
    </row>
    <row r="264">
      <c r="A264" s="16" t="n"/>
      <c r="B264" s="19" t="n"/>
      <c r="C264" s="18" t="n"/>
      <c r="D264" s="19" t="n"/>
      <c r="E264" s="19" t="n"/>
      <c r="F264" s="26" t="n"/>
      <c r="G264" s="26" t="n"/>
      <c r="H264" s="19" t="n"/>
      <c r="I264" s="19" t="n"/>
      <c r="J264" s="20" t="n"/>
      <c r="K264" s="19" t="n"/>
    </row>
    <row r="265">
      <c r="A265" s="16" t="n"/>
      <c r="B265" s="19" t="n"/>
      <c r="C265" s="18" t="n"/>
      <c r="D265" s="19" t="n"/>
      <c r="E265" s="19" t="n"/>
      <c r="F265" s="26" t="n"/>
      <c r="G265" s="26" t="n"/>
      <c r="H265" s="19" t="n"/>
      <c r="I265" s="19" t="n"/>
      <c r="J265" s="20" t="n"/>
      <c r="K265" s="19" t="n"/>
    </row>
    <row r="266">
      <c r="A266" s="16" t="n"/>
      <c r="B266" s="19" t="n"/>
      <c r="C266" s="18" t="n"/>
      <c r="D266" s="19" t="n"/>
      <c r="E266" s="19" t="n"/>
      <c r="F266" s="26" t="n"/>
      <c r="G266" s="26" t="n"/>
      <c r="H266" s="19" t="n"/>
      <c r="I266" s="19" t="n"/>
      <c r="J266" s="20" t="n"/>
      <c r="K266" s="19" t="n"/>
    </row>
    <row r="267">
      <c r="A267" s="16" t="n"/>
      <c r="B267" s="19" t="n"/>
      <c r="C267" s="18" t="n"/>
      <c r="D267" s="19" t="n"/>
      <c r="E267" s="19" t="n"/>
      <c r="F267" s="26" t="n"/>
      <c r="G267" s="26" t="n"/>
      <c r="H267" s="19" t="n"/>
      <c r="I267" s="19" t="n"/>
      <c r="J267" s="20" t="n"/>
      <c r="K267" s="19" t="n"/>
    </row>
    <row r="268">
      <c r="A268" s="16" t="n"/>
      <c r="B268" s="19" t="n"/>
      <c r="C268" s="18" t="n"/>
      <c r="D268" s="19" t="n"/>
      <c r="E268" s="19" t="n"/>
      <c r="F268" s="26" t="n"/>
      <c r="G268" s="26" t="n"/>
      <c r="H268" s="19" t="n"/>
      <c r="I268" s="19" t="n"/>
      <c r="J268" s="20" t="n"/>
      <c r="K268" s="19" t="n"/>
    </row>
    <row r="269">
      <c r="A269" s="16" t="n"/>
      <c r="B269" s="19" t="n"/>
      <c r="C269" s="18" t="n"/>
      <c r="D269" s="19" t="n"/>
      <c r="E269" s="19" t="n"/>
      <c r="F269" s="26" t="n"/>
      <c r="G269" s="26" t="n"/>
      <c r="H269" s="19" t="n"/>
      <c r="I269" s="19" t="n"/>
      <c r="J269" s="20" t="n"/>
      <c r="K269" s="19" t="n"/>
    </row>
    <row r="270">
      <c r="A270" s="16" t="n"/>
      <c r="B270" s="19" t="n"/>
      <c r="C270" s="18" t="n"/>
      <c r="D270" s="19" t="n"/>
      <c r="E270" s="19" t="n"/>
      <c r="F270" s="26" t="n"/>
      <c r="G270" s="26" t="n"/>
      <c r="H270" s="19" t="n"/>
      <c r="I270" s="19" t="n"/>
      <c r="J270" s="20" t="n"/>
      <c r="K270" s="19" t="n"/>
    </row>
    <row r="271">
      <c r="A271" s="16" t="n"/>
      <c r="B271" s="19" t="n"/>
      <c r="C271" s="18" t="n"/>
      <c r="D271" s="19" t="n"/>
      <c r="E271" s="19" t="n"/>
      <c r="F271" s="26" t="n"/>
      <c r="G271" s="26" t="n"/>
      <c r="H271" s="19" t="n"/>
      <c r="I271" s="19" t="n"/>
      <c r="J271" s="20" t="n"/>
      <c r="K271" s="19" t="n"/>
    </row>
    <row r="272">
      <c r="A272" s="16" t="n"/>
      <c r="B272" s="19" t="n"/>
      <c r="C272" s="18" t="n"/>
      <c r="D272" s="19" t="n"/>
      <c r="E272" s="19" t="n"/>
      <c r="F272" s="26" t="n"/>
      <c r="G272" s="26" t="n"/>
      <c r="H272" s="19" t="n"/>
      <c r="I272" s="19" t="n"/>
      <c r="J272" s="20" t="n"/>
      <c r="K272" s="19" t="n"/>
    </row>
    <row r="273">
      <c r="A273" s="16" t="n"/>
      <c r="B273" s="19" t="n"/>
      <c r="C273" s="18" t="n"/>
      <c r="D273" s="19" t="n"/>
      <c r="E273" s="19" t="n"/>
      <c r="F273" s="26" t="n"/>
      <c r="G273" s="26" t="n"/>
      <c r="H273" s="19" t="n"/>
      <c r="I273" s="19" t="n"/>
      <c r="J273" s="20" t="n"/>
      <c r="K273" s="19" t="n"/>
    </row>
    <row r="274">
      <c r="A274" s="16" t="n"/>
      <c r="B274" s="19" t="n"/>
      <c r="C274" s="18" t="n"/>
      <c r="D274" s="19" t="n"/>
      <c r="E274" s="19" t="n"/>
      <c r="F274" s="26" t="n"/>
      <c r="G274" s="26" t="n"/>
      <c r="H274" s="19" t="n"/>
      <c r="I274" s="19" t="n"/>
      <c r="J274" s="20" t="n"/>
      <c r="K274" s="19" t="n"/>
    </row>
    <row r="275">
      <c r="A275" s="16" t="n"/>
      <c r="B275" s="19" t="n"/>
      <c r="C275" s="18" t="n"/>
      <c r="D275" s="19" t="n"/>
      <c r="E275" s="19" t="n"/>
      <c r="F275" s="26" t="n"/>
      <c r="G275" s="26" t="n"/>
      <c r="H275" s="19" t="n"/>
      <c r="I275" s="19" t="n"/>
      <c r="J275" s="20" t="n"/>
      <c r="K275" s="19" t="n"/>
    </row>
    <row r="276">
      <c r="A276" s="16" t="n"/>
      <c r="B276" s="19" t="n"/>
      <c r="C276" s="18" t="n"/>
      <c r="D276" s="19" t="n"/>
      <c r="E276" s="19" t="n"/>
      <c r="F276" s="26" t="n"/>
      <c r="G276" s="26" t="n"/>
      <c r="H276" s="19" t="n"/>
      <c r="I276" s="19" t="n"/>
      <c r="J276" s="20" t="n"/>
      <c r="K276" s="19" t="n"/>
    </row>
    <row r="277">
      <c r="A277" s="16" t="n"/>
      <c r="B277" s="19" t="n"/>
      <c r="C277" s="18" t="n"/>
      <c r="D277" s="19" t="n"/>
      <c r="E277" s="19" t="n"/>
      <c r="F277" s="26" t="n"/>
      <c r="G277" s="26" t="n"/>
      <c r="H277" s="19" t="n"/>
      <c r="I277" s="19" t="n"/>
      <c r="J277" s="20" t="n"/>
      <c r="K277" s="19" t="n"/>
    </row>
    <row r="278">
      <c r="A278" s="16" t="n"/>
      <c r="B278" s="19" t="n"/>
      <c r="C278" s="18" t="n"/>
      <c r="D278" s="19" t="n"/>
      <c r="E278" s="19" t="n"/>
      <c r="F278" s="26" t="n"/>
      <c r="G278" s="26" t="n"/>
      <c r="H278" s="19" t="n"/>
      <c r="I278" s="19" t="n"/>
      <c r="J278" s="20" t="n"/>
      <c r="K278" s="19" t="n"/>
    </row>
    <row r="279">
      <c r="A279" s="16" t="n"/>
      <c r="B279" s="19" t="n"/>
      <c r="C279" s="18" t="n"/>
      <c r="D279" s="19" t="n"/>
      <c r="E279" s="19" t="n"/>
      <c r="F279" s="26" t="n"/>
      <c r="G279" s="26" t="n"/>
      <c r="H279" s="19" t="n"/>
      <c r="I279" s="19" t="n"/>
      <c r="J279" s="20" t="n"/>
      <c r="K279" s="19" t="n"/>
    </row>
    <row r="280">
      <c r="A280" s="16" t="n"/>
      <c r="B280" s="19" t="n"/>
      <c r="C280" s="18" t="n"/>
      <c r="D280" s="19" t="n"/>
      <c r="E280" s="19" t="n"/>
      <c r="F280" s="26" t="n"/>
      <c r="G280" s="26" t="n"/>
      <c r="H280" s="19" t="n"/>
      <c r="I280" s="19" t="n"/>
      <c r="J280" s="20" t="n"/>
      <c r="K280" s="19" t="n"/>
    </row>
    <row r="281">
      <c r="A281" s="16" t="n"/>
      <c r="B281" s="19" t="n"/>
      <c r="C281" s="18" t="n"/>
      <c r="D281" s="19" t="n"/>
      <c r="E281" s="19" t="n"/>
      <c r="F281" s="26" t="n"/>
      <c r="G281" s="26" t="n"/>
      <c r="H281" s="19" t="n"/>
      <c r="I281" s="19" t="n"/>
      <c r="J281" s="20" t="n"/>
      <c r="K281" s="19" t="n"/>
    </row>
    <row r="282">
      <c r="A282" s="16" t="n"/>
      <c r="B282" s="19" t="n"/>
      <c r="C282" s="18" t="n"/>
      <c r="D282" s="19" t="n"/>
      <c r="E282" s="19" t="n"/>
      <c r="F282" s="26" t="n"/>
      <c r="G282" s="26" t="n"/>
      <c r="H282" s="19" t="n"/>
      <c r="I282" s="19" t="n"/>
      <c r="J282" s="20" t="n"/>
      <c r="K282" s="19" t="n"/>
    </row>
    <row r="283">
      <c r="A283" s="16" t="n"/>
      <c r="B283" s="19" t="n"/>
      <c r="C283" s="18" t="n"/>
      <c r="D283" s="19" t="n"/>
      <c r="E283" s="19" t="n"/>
      <c r="F283" s="26" t="n"/>
      <c r="G283" s="26" t="n"/>
      <c r="H283" s="19" t="n"/>
      <c r="I283" s="19" t="n"/>
      <c r="J283" s="20" t="n"/>
      <c r="K283" s="19" t="n"/>
    </row>
    <row r="284">
      <c r="A284" s="16" t="n"/>
      <c r="B284" s="19" t="n"/>
      <c r="C284" s="18" t="n"/>
      <c r="D284" s="19" t="n"/>
      <c r="E284" s="19" t="n"/>
      <c r="F284" s="26" t="n"/>
      <c r="G284" s="26" t="n"/>
      <c r="H284" s="19" t="n"/>
      <c r="I284" s="19" t="n"/>
      <c r="J284" s="20" t="n"/>
      <c r="K284" s="19" t="n"/>
    </row>
    <row r="285">
      <c r="A285" s="16" t="n"/>
      <c r="B285" s="19" t="n"/>
      <c r="C285" s="18" t="n"/>
      <c r="D285" s="19" t="n"/>
      <c r="E285" s="19" t="n"/>
      <c r="F285" s="26" t="n"/>
      <c r="G285" s="26" t="n"/>
      <c r="H285" s="19" t="n"/>
      <c r="I285" s="19" t="n"/>
      <c r="J285" s="20" t="n"/>
      <c r="K285" s="19" t="n"/>
    </row>
    <row r="286">
      <c r="A286" s="16" t="n"/>
      <c r="B286" s="19" t="n"/>
      <c r="C286" s="18" t="n"/>
      <c r="D286" s="19" t="n"/>
      <c r="E286" s="19" t="n"/>
      <c r="F286" s="26" t="n"/>
      <c r="G286" s="26" t="n"/>
      <c r="H286" s="19" t="n"/>
      <c r="I286" s="19" t="n"/>
      <c r="J286" s="20" t="n"/>
      <c r="K286" s="19" t="n"/>
    </row>
    <row r="287">
      <c r="A287" s="16" t="n"/>
      <c r="B287" s="19" t="n"/>
      <c r="C287" s="18" t="n"/>
      <c r="D287" s="19" t="n"/>
      <c r="E287" s="19" t="n"/>
      <c r="F287" s="26" t="n"/>
      <c r="G287" s="26" t="n"/>
      <c r="H287" s="19" t="n"/>
      <c r="I287" s="19" t="n"/>
      <c r="J287" s="20" t="n"/>
      <c r="K287" s="19" t="n"/>
    </row>
    <row r="288">
      <c r="A288" s="16" t="n"/>
      <c r="B288" s="19" t="n"/>
      <c r="C288" s="18" t="n"/>
      <c r="D288" s="19" t="n"/>
      <c r="E288" s="19" t="n"/>
      <c r="F288" s="26" t="n"/>
      <c r="G288" s="26" t="n"/>
      <c r="H288" s="19" t="n"/>
      <c r="I288" s="19" t="n"/>
      <c r="J288" s="20" t="n"/>
      <c r="K288" s="19" t="n"/>
    </row>
    <row r="289">
      <c r="A289" s="16" t="n"/>
      <c r="B289" s="19" t="n"/>
      <c r="C289" s="18" t="n"/>
      <c r="D289" s="19" t="n"/>
      <c r="E289" s="19" t="n"/>
      <c r="F289" s="26" t="n"/>
      <c r="G289" s="26" t="n"/>
      <c r="H289" s="19" t="n"/>
      <c r="I289" s="19" t="n"/>
      <c r="J289" s="20" t="n"/>
      <c r="K289" s="19" t="n"/>
    </row>
    <row r="290">
      <c r="A290" s="16" t="n"/>
      <c r="B290" s="19" t="n"/>
      <c r="C290" s="18" t="n"/>
      <c r="D290" s="19" t="n"/>
      <c r="E290" s="19" t="n"/>
      <c r="F290" s="26" t="n"/>
      <c r="G290" s="26" t="n"/>
      <c r="H290" s="19" t="n"/>
      <c r="I290" s="19" t="n"/>
      <c r="J290" s="20" t="n"/>
      <c r="K290" s="19" t="n"/>
    </row>
    <row r="291">
      <c r="A291" s="16" t="n"/>
      <c r="B291" s="19" t="n"/>
      <c r="C291" s="18" t="n"/>
      <c r="D291" s="19" t="n"/>
      <c r="E291" s="19" t="n"/>
      <c r="F291" s="26" t="n"/>
      <c r="G291" s="26" t="n"/>
      <c r="H291" s="19" t="n"/>
      <c r="I291" s="19" t="n"/>
      <c r="J291" s="20" t="n"/>
      <c r="K291" s="19" t="n"/>
    </row>
    <row r="292">
      <c r="A292" s="16" t="n"/>
      <c r="B292" s="19" t="n"/>
      <c r="C292" s="18" t="n"/>
      <c r="D292" s="19" t="n"/>
      <c r="E292" s="19" t="n"/>
      <c r="F292" s="26" t="n"/>
      <c r="G292" s="26" t="n"/>
      <c r="H292" s="19" t="n"/>
      <c r="I292" s="19" t="n"/>
      <c r="J292" s="20" t="n"/>
      <c r="K292" s="19" t="n"/>
    </row>
    <row r="293">
      <c r="A293" s="16" t="n"/>
      <c r="B293" s="19" t="n"/>
      <c r="C293" s="18" t="n"/>
      <c r="D293" s="19" t="n"/>
      <c r="E293" s="19" t="n"/>
      <c r="F293" s="26" t="n"/>
      <c r="G293" s="26" t="n"/>
      <c r="H293" s="19" t="n"/>
      <c r="I293" s="19" t="n"/>
      <c r="J293" s="20" t="n"/>
      <c r="K293" s="19" t="n"/>
    </row>
    <row r="294">
      <c r="A294" s="16" t="n"/>
      <c r="B294" s="19" t="n"/>
      <c r="C294" s="18" t="n"/>
      <c r="D294" s="19" t="n"/>
      <c r="E294" s="19" t="n"/>
      <c r="F294" s="26" t="n"/>
      <c r="G294" s="26" t="n"/>
      <c r="H294" s="19" t="n"/>
      <c r="I294" s="19" t="n"/>
      <c r="J294" s="20" t="n"/>
      <c r="K294" s="19" t="n"/>
    </row>
    <row r="295">
      <c r="A295" s="16" t="n"/>
      <c r="B295" s="19" t="n"/>
      <c r="C295" s="18" t="n"/>
      <c r="D295" s="19" t="n"/>
      <c r="E295" s="19" t="n"/>
      <c r="F295" s="26" t="n"/>
      <c r="G295" s="26" t="n"/>
      <c r="H295" s="19" t="n"/>
      <c r="I295" s="19" t="n"/>
      <c r="J295" s="20" t="n"/>
      <c r="K295" s="19" t="n"/>
    </row>
    <row r="296">
      <c r="A296" s="16" t="n"/>
      <c r="B296" s="19" t="n"/>
      <c r="C296" s="18" t="n"/>
      <c r="D296" s="19" t="n"/>
      <c r="E296" s="19" t="n"/>
      <c r="F296" s="26" t="n"/>
      <c r="G296" s="26" t="n"/>
      <c r="H296" s="19" t="n"/>
      <c r="I296" s="19" t="n"/>
      <c r="J296" s="20" t="n"/>
      <c r="K296" s="19" t="n"/>
    </row>
    <row r="297">
      <c r="A297" s="16" t="n"/>
      <c r="B297" s="19" t="n"/>
      <c r="C297" s="18" t="n"/>
      <c r="D297" s="19" t="n"/>
      <c r="E297" s="19" t="n"/>
      <c r="F297" s="26" t="n"/>
      <c r="G297" s="26" t="n"/>
      <c r="H297" s="19" t="n"/>
      <c r="I297" s="19" t="n"/>
      <c r="J297" s="20" t="n"/>
      <c r="K297" s="19" t="n"/>
    </row>
    <row r="298">
      <c r="A298" s="16" t="n"/>
      <c r="B298" s="19" t="n"/>
      <c r="C298" s="18" t="n"/>
      <c r="D298" s="19" t="n"/>
      <c r="E298" s="19" t="n"/>
      <c r="F298" s="26" t="n"/>
      <c r="G298" s="26" t="n"/>
      <c r="H298" s="19" t="n"/>
      <c r="I298" s="19" t="n"/>
      <c r="J298" s="20" t="n"/>
      <c r="K298" s="19" t="n"/>
    </row>
    <row r="299">
      <c r="A299" s="16" t="n"/>
      <c r="B299" s="19" t="n"/>
      <c r="C299" s="18" t="n"/>
      <c r="D299" s="19" t="n"/>
      <c r="E299" s="19" t="n"/>
      <c r="F299" s="26" t="n"/>
      <c r="G299" s="26" t="n"/>
      <c r="H299" s="19" t="n"/>
      <c r="I299" s="19" t="n"/>
      <c r="J299" s="20" t="n"/>
      <c r="K299" s="19" t="n"/>
    </row>
    <row r="300">
      <c r="A300" s="16" t="n"/>
      <c r="B300" s="19" t="n"/>
      <c r="C300" s="18" t="n"/>
      <c r="D300" s="19" t="n"/>
      <c r="E300" s="19" t="n"/>
      <c r="F300" s="26" t="n"/>
      <c r="G300" s="26" t="n"/>
      <c r="H300" s="19" t="n"/>
      <c r="I300" s="19" t="n"/>
      <c r="J300" s="20" t="n"/>
      <c r="K300" s="19" t="n"/>
    </row>
    <row r="301">
      <c r="A301" s="16" t="n"/>
      <c r="B301" s="19" t="n"/>
      <c r="C301" s="18" t="n"/>
      <c r="D301" s="19" t="n"/>
      <c r="E301" s="19" t="n"/>
      <c r="F301" s="26" t="n"/>
      <c r="G301" s="26" t="n"/>
      <c r="H301" s="19" t="n"/>
      <c r="I301" s="19" t="n"/>
      <c r="J301" s="20" t="n"/>
      <c r="K301" s="19" t="n"/>
    </row>
    <row r="302">
      <c r="A302" s="16" t="n"/>
      <c r="B302" s="19" t="n"/>
      <c r="C302" s="18" t="n"/>
      <c r="D302" s="19" t="n"/>
      <c r="E302" s="19" t="n"/>
      <c r="F302" s="26" t="n"/>
      <c r="G302" s="26" t="n"/>
      <c r="H302" s="19" t="n"/>
      <c r="I302" s="19" t="n"/>
      <c r="J302" s="20" t="n"/>
      <c r="K302" s="19" t="n"/>
    </row>
    <row r="303">
      <c r="A303" s="16" t="n"/>
      <c r="B303" s="19" t="n"/>
      <c r="C303" s="18" t="n"/>
      <c r="D303" s="19" t="n"/>
      <c r="E303" s="19" t="n"/>
      <c r="F303" s="26" t="n"/>
      <c r="G303" s="26" t="n"/>
      <c r="H303" s="19" t="n"/>
      <c r="I303" s="19" t="n"/>
      <c r="J303" s="20" t="n"/>
      <c r="K303" s="19" t="n"/>
    </row>
    <row r="304">
      <c r="A304" s="16" t="n"/>
      <c r="B304" s="19" t="n"/>
      <c r="C304" s="18" t="n"/>
      <c r="D304" s="19" t="n"/>
      <c r="E304" s="19" t="n"/>
      <c r="F304" s="26" t="n"/>
      <c r="G304" s="26" t="n"/>
      <c r="H304" s="19" t="n"/>
      <c r="I304" s="19" t="n"/>
      <c r="J304" s="20" t="n"/>
      <c r="K304" s="19" t="n"/>
    </row>
    <row r="305">
      <c r="A305" s="16" t="n"/>
      <c r="B305" s="19" t="n"/>
      <c r="C305" s="18" t="n"/>
      <c r="D305" s="19" t="n"/>
      <c r="E305" s="19" t="n"/>
      <c r="F305" s="26" t="n"/>
      <c r="G305" s="26" t="n"/>
      <c r="H305" s="19" t="n"/>
      <c r="I305" s="19" t="n"/>
      <c r="J305" s="20" t="n"/>
      <c r="K305" s="19" t="n"/>
    </row>
    <row r="306">
      <c r="A306" s="16" t="n"/>
      <c r="B306" s="19" t="n"/>
      <c r="C306" s="18" t="n"/>
      <c r="D306" s="19" t="n"/>
      <c r="E306" s="19" t="n"/>
      <c r="F306" s="26" t="n"/>
      <c r="G306" s="26" t="n"/>
      <c r="H306" s="19" t="n"/>
      <c r="I306" s="19" t="n"/>
      <c r="J306" s="20" t="n"/>
      <c r="K306" s="19" t="n"/>
    </row>
    <row r="307">
      <c r="A307" s="16" t="n"/>
      <c r="B307" s="19" t="n"/>
      <c r="C307" s="18" t="n"/>
      <c r="D307" s="19" t="n"/>
      <c r="E307" s="19" t="n"/>
      <c r="F307" s="26" t="n"/>
      <c r="G307" s="26" t="n"/>
      <c r="H307" s="19" t="n"/>
      <c r="I307" s="19" t="n"/>
      <c r="J307" s="20" t="n"/>
      <c r="K307" s="19" t="n"/>
    </row>
    <row r="308">
      <c r="A308" s="16" t="n"/>
      <c r="B308" s="19" t="n"/>
      <c r="C308" s="18" t="n"/>
      <c r="D308" s="19" t="n"/>
      <c r="E308" s="19" t="n"/>
      <c r="F308" s="26" t="n"/>
      <c r="G308" s="26" t="n"/>
      <c r="H308" s="19" t="n"/>
      <c r="I308" s="19" t="n"/>
      <c r="J308" s="20" t="n"/>
      <c r="K308" s="19" t="n"/>
    </row>
    <row r="309">
      <c r="A309" s="16" t="n"/>
      <c r="B309" s="19" t="n"/>
      <c r="C309" s="18" t="n"/>
      <c r="D309" s="19" t="n"/>
      <c r="E309" s="19" t="n"/>
      <c r="F309" s="26" t="n"/>
      <c r="G309" s="26" t="n"/>
      <c r="H309" s="19" t="n"/>
      <c r="I309" s="19" t="n"/>
      <c r="J309" s="20" t="n"/>
      <c r="K309" s="19" t="n"/>
    </row>
    <row r="310">
      <c r="A310" s="16" t="n"/>
      <c r="B310" s="19" t="n"/>
      <c r="C310" s="18" t="n"/>
      <c r="D310" s="19" t="n"/>
      <c r="E310" s="19" t="n"/>
      <c r="F310" s="26" t="n"/>
      <c r="G310" s="26" t="n"/>
      <c r="H310" s="19" t="n"/>
      <c r="I310" s="19" t="n"/>
      <c r="J310" s="20" t="n"/>
      <c r="K310" s="19" t="n"/>
    </row>
    <row r="311">
      <c r="A311" s="16" t="n"/>
      <c r="B311" s="19" t="n"/>
      <c r="C311" s="18" t="n"/>
      <c r="D311" s="19" t="n"/>
      <c r="E311" s="19" t="n"/>
      <c r="F311" s="26" t="n"/>
      <c r="G311" s="26" t="n"/>
      <c r="H311" s="19" t="n"/>
      <c r="I311" s="19" t="n"/>
      <c r="J311" s="20" t="n"/>
      <c r="K311" s="19" t="n"/>
    </row>
    <row r="312">
      <c r="A312" s="16" t="n"/>
      <c r="B312" s="19" t="n"/>
      <c r="C312" s="18" t="n"/>
      <c r="D312" s="19" t="n"/>
      <c r="E312" s="19" t="n"/>
      <c r="F312" s="26" t="n"/>
      <c r="G312" s="26" t="n"/>
      <c r="H312" s="19" t="n"/>
      <c r="I312" s="19" t="n"/>
      <c r="J312" s="20" t="n"/>
      <c r="K312" s="19" t="n"/>
    </row>
    <row r="313">
      <c r="A313" s="16" t="n"/>
      <c r="B313" s="19" t="n"/>
      <c r="C313" s="18" t="n"/>
      <c r="D313" s="19" t="n"/>
      <c r="E313" s="19" t="n"/>
      <c r="F313" s="26" t="n"/>
      <c r="G313" s="26" t="n"/>
      <c r="H313" s="19" t="n"/>
      <c r="I313" s="19" t="n"/>
      <c r="J313" s="20" t="n"/>
      <c r="K313" s="19" t="n"/>
    </row>
    <row r="314">
      <c r="A314" s="16" t="n"/>
      <c r="B314" s="19" t="n"/>
      <c r="C314" s="18" t="n"/>
      <c r="D314" s="19" t="n"/>
      <c r="E314" s="19" t="n"/>
      <c r="F314" s="26" t="n"/>
      <c r="G314" s="26" t="n"/>
      <c r="H314" s="19" t="n"/>
      <c r="I314" s="19" t="n"/>
      <c r="J314" s="20" t="n"/>
      <c r="K314" s="19" t="n"/>
    </row>
    <row r="315">
      <c r="A315" s="16" t="n"/>
      <c r="B315" s="19" t="n"/>
      <c r="C315" s="18" t="n"/>
      <c r="D315" s="19" t="n"/>
      <c r="E315" s="19" t="n"/>
      <c r="F315" s="26" t="n"/>
      <c r="G315" s="26" t="n"/>
      <c r="H315" s="19" t="n"/>
      <c r="I315" s="19" t="n"/>
      <c r="J315" s="20" t="n"/>
      <c r="K315" s="19" t="n"/>
    </row>
    <row r="316">
      <c r="A316" s="16" t="n"/>
      <c r="B316" s="19" t="n"/>
      <c r="C316" s="18" t="n"/>
      <c r="D316" s="19" t="n"/>
      <c r="E316" s="19" t="n"/>
      <c r="F316" s="26" t="n"/>
      <c r="G316" s="26" t="n"/>
      <c r="H316" s="19" t="n"/>
      <c r="I316" s="19" t="n"/>
      <c r="J316" s="20" t="n"/>
      <c r="K316" s="19" t="n"/>
    </row>
    <row r="317">
      <c r="A317" s="16" t="n"/>
      <c r="B317" s="19" t="n"/>
      <c r="C317" s="18" t="n"/>
      <c r="D317" s="19" t="n"/>
      <c r="E317" s="19" t="n"/>
      <c r="F317" s="26" t="n"/>
      <c r="G317" s="26" t="n"/>
      <c r="H317" s="19" t="n"/>
      <c r="I317" s="19" t="n"/>
      <c r="J317" s="20" t="n"/>
      <c r="K317" s="19" t="n"/>
    </row>
    <row r="318">
      <c r="A318" s="16" t="n"/>
      <c r="B318" s="19" t="n"/>
      <c r="C318" s="18" t="n"/>
      <c r="D318" s="19" t="n"/>
      <c r="E318" s="19" t="n"/>
      <c r="F318" s="26" t="n"/>
      <c r="G318" s="26" t="n"/>
      <c r="H318" s="19" t="n"/>
      <c r="I318" s="19" t="n"/>
      <c r="J318" s="20" t="n"/>
      <c r="K318" s="19" t="n"/>
    </row>
    <row r="319">
      <c r="A319" s="16" t="n"/>
      <c r="B319" s="19" t="n"/>
      <c r="C319" s="18" t="n"/>
      <c r="D319" s="19" t="n"/>
      <c r="E319" s="19" t="n"/>
      <c r="F319" s="26" t="n"/>
      <c r="G319" s="26" t="n"/>
      <c r="H319" s="19" t="n"/>
      <c r="I319" s="19" t="n"/>
      <c r="J319" s="20" t="n"/>
      <c r="K319" s="19" t="n"/>
    </row>
    <row r="320">
      <c r="A320" s="16" t="n"/>
      <c r="B320" s="19" t="n"/>
      <c r="C320" s="18" t="n"/>
      <c r="D320" s="19" t="n"/>
      <c r="E320" s="19" t="n"/>
      <c r="F320" s="26" t="n"/>
      <c r="G320" s="26" t="n"/>
      <c r="H320" s="19" t="n"/>
      <c r="I320" s="19" t="n"/>
      <c r="J320" s="20" t="n"/>
      <c r="K320" s="19" t="n"/>
    </row>
    <row r="321">
      <c r="A321" s="16" t="n"/>
      <c r="B321" s="19" t="n"/>
      <c r="C321" s="18" t="n"/>
      <c r="D321" s="19" t="n"/>
      <c r="E321" s="19" t="n"/>
      <c r="F321" s="26" t="n"/>
      <c r="G321" s="26" t="n"/>
      <c r="H321" s="19" t="n"/>
      <c r="I321" s="19" t="n"/>
      <c r="J321" s="20" t="n"/>
      <c r="K321" s="19" t="n"/>
    </row>
    <row r="322">
      <c r="A322" s="16" t="n"/>
      <c r="B322" s="19" t="n"/>
      <c r="C322" s="18" t="n"/>
      <c r="D322" s="19" t="n"/>
      <c r="E322" s="19" t="n"/>
      <c r="F322" s="26" t="n"/>
      <c r="G322" s="26" t="n"/>
      <c r="H322" s="19" t="n"/>
      <c r="I322" s="19" t="n"/>
      <c r="J322" s="20" t="n"/>
      <c r="K322" s="19" t="n"/>
    </row>
    <row r="323">
      <c r="A323" s="16" t="n"/>
      <c r="B323" s="19" t="n"/>
      <c r="C323" s="18" t="n"/>
      <c r="D323" s="19" t="n"/>
      <c r="E323" s="19" t="n"/>
      <c r="F323" s="26" t="n"/>
      <c r="G323" s="26" t="n"/>
      <c r="H323" s="19" t="n"/>
      <c r="I323" s="19" t="n"/>
      <c r="J323" s="20" t="n"/>
      <c r="K323" s="19" t="n"/>
    </row>
    <row r="324">
      <c r="A324" s="16" t="n"/>
      <c r="B324" s="19" t="n"/>
      <c r="C324" s="18" t="n"/>
      <c r="D324" s="19" t="n"/>
      <c r="E324" s="19" t="n"/>
      <c r="F324" s="26" t="n"/>
      <c r="G324" s="26" t="n"/>
      <c r="H324" s="19" t="n"/>
      <c r="I324" s="19" t="n"/>
      <c r="J324" s="20" t="n"/>
      <c r="K324" s="19" t="n"/>
    </row>
    <row r="325">
      <c r="A325" s="16" t="n"/>
      <c r="B325" s="19" t="n"/>
      <c r="C325" s="18" t="n"/>
      <c r="D325" s="19" t="n"/>
      <c r="E325" s="19" t="n"/>
      <c r="F325" s="26" t="n"/>
      <c r="G325" s="26" t="n"/>
      <c r="H325" s="19" t="n"/>
      <c r="I325" s="19" t="n"/>
      <c r="J325" s="20" t="n"/>
      <c r="K325" s="19" t="n"/>
    </row>
    <row r="326">
      <c r="A326" s="16" t="n"/>
      <c r="B326" s="19" t="n"/>
      <c r="C326" s="18" t="n"/>
      <c r="D326" s="19" t="n"/>
      <c r="E326" s="19" t="n"/>
      <c r="F326" s="26" t="n"/>
      <c r="G326" s="26" t="n"/>
      <c r="H326" s="19" t="n"/>
      <c r="I326" s="19" t="n"/>
      <c r="J326" s="20" t="n"/>
      <c r="K326" s="19" t="n"/>
    </row>
    <row r="327">
      <c r="A327" s="16" t="n"/>
      <c r="B327" s="19" t="n"/>
      <c r="C327" s="18" t="n"/>
      <c r="D327" s="19" t="n"/>
      <c r="E327" s="19" t="n"/>
      <c r="F327" s="26" t="n"/>
      <c r="G327" s="26" t="n"/>
      <c r="H327" s="19" t="n"/>
      <c r="I327" s="19" t="n"/>
      <c r="J327" s="20" t="n"/>
      <c r="K327" s="19" t="n"/>
    </row>
    <row r="328">
      <c r="A328" s="16" t="n"/>
      <c r="B328" s="19" t="n"/>
      <c r="C328" s="18" t="n"/>
      <c r="D328" s="19" t="n"/>
      <c r="E328" s="19" t="n"/>
      <c r="F328" s="26" t="n"/>
      <c r="G328" s="26" t="n"/>
      <c r="H328" s="19" t="n"/>
      <c r="I328" s="19" t="n"/>
      <c r="J328" s="20" t="n"/>
      <c r="K328" s="19" t="n"/>
    </row>
    <row r="329">
      <c r="A329" s="16" t="n"/>
      <c r="B329" s="19" t="n"/>
      <c r="C329" s="18" t="n"/>
      <c r="D329" s="19" t="n"/>
      <c r="E329" s="19" t="n"/>
      <c r="F329" s="26" t="n"/>
      <c r="G329" s="26" t="n"/>
      <c r="H329" s="19" t="n"/>
      <c r="I329" s="19" t="n"/>
      <c r="J329" s="20" t="n"/>
      <c r="K329" s="19" t="n"/>
    </row>
    <row r="330">
      <c r="A330" s="16" t="n"/>
      <c r="B330" s="19" t="n"/>
      <c r="C330" s="18" t="n"/>
      <c r="D330" s="19" t="n"/>
      <c r="E330" s="19" t="n"/>
      <c r="F330" s="26" t="n"/>
      <c r="G330" s="26" t="n"/>
      <c r="H330" s="19" t="n"/>
      <c r="I330" s="19" t="n"/>
      <c r="J330" s="20" t="n"/>
      <c r="K330" s="19" t="n"/>
    </row>
    <row r="331">
      <c r="A331" s="16" t="n"/>
      <c r="B331" s="19" t="n"/>
      <c r="C331" s="18" t="n"/>
      <c r="D331" s="19" t="n"/>
      <c r="E331" s="19" t="n"/>
      <c r="F331" s="26" t="n"/>
      <c r="G331" s="26" t="n"/>
      <c r="H331" s="19" t="n"/>
      <c r="I331" s="19" t="n"/>
      <c r="J331" s="20" t="n"/>
      <c r="K331" s="19" t="n"/>
    </row>
    <row r="332">
      <c r="A332" s="16" t="n"/>
      <c r="B332" s="19" t="n"/>
      <c r="C332" s="18" t="n"/>
      <c r="D332" s="19" t="n"/>
      <c r="E332" s="19" t="n"/>
      <c r="F332" s="26" t="n"/>
      <c r="G332" s="26" t="n"/>
      <c r="H332" s="19" t="n"/>
      <c r="I332" s="19" t="n"/>
      <c r="J332" s="20" t="n"/>
      <c r="K332" s="19" t="n"/>
    </row>
    <row r="333">
      <c r="A333" s="16" t="n"/>
      <c r="B333" s="19" t="n"/>
      <c r="C333" s="18" t="n"/>
      <c r="D333" s="19" t="n"/>
      <c r="E333" s="19" t="n"/>
      <c r="F333" s="26" t="n"/>
      <c r="G333" s="26" t="n"/>
      <c r="H333" s="19" t="n"/>
      <c r="I333" s="19" t="n"/>
      <c r="J333" s="20" t="n"/>
      <c r="K333" s="19" t="n"/>
    </row>
    <row r="334">
      <c r="A334" s="16" t="n"/>
      <c r="B334" s="19" t="n"/>
      <c r="C334" s="18" t="n"/>
      <c r="D334" s="19" t="n"/>
      <c r="E334" s="19" t="n"/>
      <c r="F334" s="26" t="n"/>
      <c r="G334" s="26" t="n"/>
      <c r="H334" s="19" t="n"/>
      <c r="I334" s="19" t="n"/>
      <c r="J334" s="20" t="n"/>
      <c r="K334" s="19" t="n"/>
    </row>
    <row r="335">
      <c r="A335" s="16" t="n"/>
      <c r="B335" s="19" t="n"/>
      <c r="C335" s="18" t="n"/>
      <c r="D335" s="19" t="n"/>
      <c r="E335" s="19" t="n"/>
      <c r="F335" s="26" t="n"/>
      <c r="G335" s="26" t="n"/>
      <c r="H335" s="19" t="n"/>
      <c r="I335" s="19" t="n"/>
      <c r="J335" s="20" t="n"/>
      <c r="K335" s="19" t="n"/>
    </row>
    <row r="336">
      <c r="A336" s="16" t="n"/>
      <c r="B336" s="19" t="n"/>
      <c r="C336" s="18" t="n"/>
      <c r="D336" s="19" t="n"/>
      <c r="E336" s="19" t="n"/>
      <c r="F336" s="26" t="n"/>
      <c r="G336" s="26" t="n"/>
      <c r="H336" s="19" t="n"/>
      <c r="I336" s="19" t="n"/>
      <c r="J336" s="20" t="n"/>
      <c r="K336" s="19" t="n"/>
    </row>
    <row r="337">
      <c r="A337" s="16" t="n"/>
      <c r="B337" s="19" t="n"/>
      <c r="C337" s="18" t="n"/>
      <c r="D337" s="19" t="n"/>
      <c r="E337" s="19" t="n"/>
      <c r="F337" s="26" t="n"/>
      <c r="G337" s="26" t="n"/>
      <c r="H337" s="19" t="n"/>
      <c r="I337" s="19" t="n"/>
      <c r="J337" s="20" t="n"/>
      <c r="K337" s="19" t="n"/>
    </row>
    <row r="338">
      <c r="A338" s="16" t="n"/>
      <c r="B338" s="19" t="n"/>
      <c r="C338" s="18" t="n"/>
      <c r="D338" s="19" t="n"/>
      <c r="E338" s="19" t="n"/>
      <c r="F338" s="26" t="n"/>
      <c r="G338" s="26" t="n"/>
      <c r="H338" s="19" t="n"/>
      <c r="I338" s="19" t="n"/>
      <c r="J338" s="20" t="n"/>
      <c r="K338" s="19" t="n"/>
    </row>
    <row r="339">
      <c r="A339" s="16" t="n"/>
      <c r="B339" s="19" t="n"/>
      <c r="C339" s="18" t="n"/>
      <c r="D339" s="19" t="n"/>
      <c r="E339" s="19" t="n"/>
      <c r="F339" s="26" t="n"/>
      <c r="G339" s="26" t="n"/>
      <c r="H339" s="19" t="n"/>
      <c r="I339" s="19" t="n"/>
      <c r="J339" s="20" t="n"/>
      <c r="K339" s="19" t="n"/>
    </row>
    <row r="340">
      <c r="A340" s="16" t="n"/>
      <c r="B340" s="19" t="n"/>
      <c r="C340" s="18" t="n"/>
      <c r="D340" s="19" t="n"/>
      <c r="E340" s="19" t="n"/>
      <c r="F340" s="26" t="n"/>
      <c r="G340" s="26" t="n"/>
      <c r="H340" s="19" t="n"/>
      <c r="I340" s="19" t="n"/>
      <c r="J340" s="20" t="n"/>
      <c r="K340" s="19" t="n"/>
    </row>
    <row r="341">
      <c r="A341" s="16" t="n"/>
      <c r="B341" s="19" t="n"/>
      <c r="C341" s="18" t="n"/>
      <c r="D341" s="19" t="n"/>
      <c r="E341" s="19" t="n"/>
      <c r="F341" s="26" t="n"/>
      <c r="G341" s="26" t="n"/>
      <c r="H341" s="19" t="n"/>
      <c r="I341" s="19" t="n"/>
      <c r="J341" s="20" t="n"/>
      <c r="K341" s="19" t="n"/>
    </row>
    <row r="342">
      <c r="A342" s="16" t="n"/>
      <c r="B342" s="19" t="n"/>
      <c r="C342" s="18" t="n"/>
      <c r="D342" s="19" t="n"/>
      <c r="E342" s="19" t="n"/>
      <c r="F342" s="26" t="n"/>
      <c r="G342" s="26" t="n"/>
      <c r="H342" s="19" t="n"/>
      <c r="I342" s="19" t="n"/>
      <c r="J342" s="20" t="n"/>
      <c r="K342" s="19" t="n"/>
    </row>
    <row r="343">
      <c r="A343" s="16" t="n"/>
      <c r="B343" s="19" t="n"/>
      <c r="C343" s="18" t="n"/>
      <c r="D343" s="19" t="n"/>
      <c r="E343" s="19" t="n"/>
      <c r="F343" s="26" t="n"/>
      <c r="G343" s="26" t="n"/>
      <c r="H343" s="19" t="n"/>
      <c r="I343" s="19" t="n"/>
      <c r="J343" s="20" t="n"/>
      <c r="K343" s="19" t="n"/>
    </row>
    <row r="344">
      <c r="A344" s="16" t="n"/>
      <c r="B344" s="19" t="n"/>
      <c r="C344" s="18" t="n"/>
      <c r="D344" s="19" t="n"/>
      <c r="E344" s="19" t="n"/>
      <c r="F344" s="26" t="n"/>
      <c r="G344" s="26" t="n"/>
      <c r="H344" s="19" t="n"/>
      <c r="I344" s="19" t="n"/>
      <c r="J344" s="20" t="n"/>
      <c r="K344" s="19" t="n"/>
    </row>
    <row r="345">
      <c r="A345" s="16" t="n"/>
      <c r="B345" s="19" t="n"/>
      <c r="C345" s="18" t="n"/>
      <c r="D345" s="19" t="n"/>
      <c r="E345" s="19" t="n"/>
      <c r="F345" s="26" t="n"/>
      <c r="G345" s="26" t="n"/>
      <c r="H345" s="19" t="n"/>
      <c r="I345" s="19" t="n"/>
      <c r="J345" s="20" t="n"/>
      <c r="K345" s="19" t="n"/>
    </row>
    <row r="346">
      <c r="A346" s="16" t="n"/>
      <c r="B346" s="19" t="n"/>
      <c r="C346" s="18" t="n"/>
      <c r="D346" s="19" t="n"/>
      <c r="E346" s="19" t="n"/>
      <c r="F346" s="26" t="n"/>
      <c r="G346" s="26" t="n"/>
      <c r="H346" s="19" t="n"/>
      <c r="I346" s="19" t="n"/>
      <c r="J346" s="20" t="n"/>
      <c r="K346" s="19" t="n"/>
    </row>
    <row r="347">
      <c r="A347" s="16" t="n"/>
      <c r="B347" s="19" t="n"/>
      <c r="C347" s="18" t="n"/>
      <c r="D347" s="19" t="n"/>
      <c r="E347" s="19" t="n"/>
      <c r="F347" s="26" t="n"/>
      <c r="G347" s="26" t="n"/>
      <c r="H347" s="19" t="n"/>
      <c r="I347" s="19" t="n"/>
      <c r="J347" s="20" t="n"/>
      <c r="K347" s="19" t="n"/>
    </row>
    <row r="348">
      <c r="A348" s="16" t="n"/>
      <c r="B348" s="19" t="n"/>
      <c r="C348" s="18" t="n"/>
      <c r="D348" s="19" t="n"/>
      <c r="E348" s="19" t="n"/>
      <c r="F348" s="26" t="n"/>
      <c r="G348" s="26" t="n"/>
      <c r="H348" s="19" t="n"/>
      <c r="I348" s="19" t="n"/>
      <c r="J348" s="20" t="n"/>
      <c r="K348" s="19" t="n"/>
    </row>
    <row r="349">
      <c r="A349" s="16" t="n"/>
      <c r="B349" s="19" t="n"/>
      <c r="C349" s="18" t="n"/>
      <c r="D349" s="19" t="n"/>
      <c r="E349" s="19" t="n"/>
      <c r="F349" s="26" t="n"/>
      <c r="G349" s="26" t="n"/>
      <c r="H349" s="19" t="n"/>
      <c r="I349" s="19" t="n"/>
      <c r="J349" s="20" t="n"/>
      <c r="K349" s="19" t="n"/>
    </row>
    <row r="350">
      <c r="A350" s="16" t="n"/>
      <c r="B350" s="19" t="n"/>
      <c r="C350" s="18" t="n"/>
      <c r="D350" s="19" t="n"/>
      <c r="E350" s="19" t="n"/>
      <c r="F350" s="26" t="n"/>
      <c r="G350" s="26" t="n"/>
      <c r="H350" s="19" t="n"/>
      <c r="I350" s="19" t="n"/>
      <c r="J350" s="20" t="n"/>
      <c r="K350" s="19" t="n"/>
    </row>
    <row r="351">
      <c r="A351" s="16" t="n"/>
      <c r="B351" s="19" t="n"/>
      <c r="C351" s="18" t="n"/>
      <c r="D351" s="19" t="n"/>
      <c r="E351" s="19" t="n"/>
      <c r="F351" s="26" t="n"/>
      <c r="G351" s="26" t="n"/>
      <c r="H351" s="19" t="n"/>
      <c r="I351" s="19" t="n"/>
      <c r="J351" s="20" t="n"/>
      <c r="K351" s="19" t="n"/>
    </row>
    <row r="352">
      <c r="A352" s="16" t="n"/>
      <c r="B352" s="19" t="n"/>
      <c r="C352" s="18" t="n"/>
      <c r="D352" s="19" t="n"/>
      <c r="E352" s="19" t="n"/>
      <c r="F352" s="26" t="n"/>
      <c r="G352" s="26" t="n"/>
      <c r="H352" s="19" t="n"/>
      <c r="I352" s="19" t="n"/>
      <c r="J352" s="20" t="n"/>
      <c r="K352" s="19" t="n"/>
    </row>
    <row r="353">
      <c r="A353" s="16" t="n"/>
      <c r="B353" s="19" t="n"/>
      <c r="C353" s="18" t="n"/>
      <c r="D353" s="19" t="n"/>
      <c r="E353" s="19" t="n"/>
      <c r="F353" s="26" t="n"/>
      <c r="G353" s="26" t="n"/>
      <c r="H353" s="19" t="n"/>
      <c r="I353" s="19" t="n"/>
      <c r="J353" s="20" t="n"/>
      <c r="K353" s="19" t="n"/>
    </row>
    <row r="354">
      <c r="A354" s="16" t="n"/>
      <c r="B354" s="19" t="n"/>
      <c r="C354" s="18" t="n"/>
      <c r="D354" s="19" t="n"/>
      <c r="E354" s="19" t="n"/>
      <c r="F354" s="26" t="n"/>
      <c r="G354" s="26" t="n"/>
      <c r="H354" s="19" t="n"/>
      <c r="I354" s="19" t="n"/>
      <c r="J354" s="20" t="n"/>
      <c r="K354" s="19" t="n"/>
    </row>
    <row r="355">
      <c r="A355" s="16" t="n"/>
      <c r="B355" s="19" t="n"/>
      <c r="C355" s="18" t="n"/>
      <c r="D355" s="19" t="n"/>
      <c r="E355" s="19" t="n"/>
      <c r="F355" s="26" t="n"/>
      <c r="G355" s="26" t="n"/>
      <c r="H355" s="19" t="n"/>
      <c r="I355" s="19" t="n"/>
      <c r="J355" s="20" t="n"/>
      <c r="K355" s="19" t="n"/>
    </row>
    <row r="356">
      <c r="A356" s="16" t="n"/>
      <c r="B356" s="19" t="n"/>
      <c r="C356" s="18" t="n"/>
      <c r="D356" s="19" t="n"/>
      <c r="E356" s="19" t="n"/>
      <c r="F356" s="26" t="n"/>
      <c r="G356" s="26" t="n"/>
      <c r="H356" s="19" t="n"/>
      <c r="I356" s="19" t="n"/>
      <c r="J356" s="20" t="n"/>
      <c r="K356" s="19" t="n"/>
    </row>
    <row r="357">
      <c r="A357" s="16" t="n"/>
      <c r="B357" s="19" t="n"/>
      <c r="C357" s="18" t="n"/>
      <c r="D357" s="19" t="n"/>
      <c r="E357" s="19" t="n"/>
      <c r="F357" s="26" t="n"/>
      <c r="G357" s="26" t="n"/>
      <c r="H357" s="19" t="n"/>
      <c r="I357" s="19" t="n"/>
      <c r="J357" s="20" t="n"/>
      <c r="K357" s="19" t="n"/>
    </row>
    <row r="358">
      <c r="A358" s="16" t="n"/>
      <c r="B358" s="19" t="n"/>
      <c r="C358" s="18" t="n"/>
      <c r="D358" s="19" t="n"/>
      <c r="E358" s="19" t="n"/>
      <c r="F358" s="26" t="n"/>
      <c r="G358" s="26" t="n"/>
      <c r="H358" s="19" t="n"/>
      <c r="I358" s="19" t="n"/>
      <c r="J358" s="20" t="n"/>
      <c r="K358" s="19" t="n"/>
    </row>
    <row r="359">
      <c r="A359" s="16" t="n"/>
      <c r="B359" s="19" t="n"/>
      <c r="C359" s="18" t="n"/>
      <c r="D359" s="19" t="n"/>
      <c r="E359" s="19" t="n"/>
      <c r="F359" s="26" t="n"/>
      <c r="G359" s="26" t="n"/>
      <c r="H359" s="19" t="n"/>
      <c r="I359" s="19" t="n"/>
      <c r="J359" s="20" t="n"/>
      <c r="K359" s="19" t="n"/>
    </row>
    <row r="360">
      <c r="A360" s="16" t="n"/>
      <c r="B360" s="19" t="n"/>
      <c r="C360" s="18" t="n"/>
      <c r="D360" s="19" t="n"/>
      <c r="E360" s="19" t="n"/>
      <c r="F360" s="26" t="n"/>
      <c r="G360" s="26" t="n"/>
      <c r="H360" s="19" t="n"/>
      <c r="I360" s="19" t="n"/>
      <c r="J360" s="20" t="n"/>
      <c r="K360" s="19" t="n"/>
    </row>
    <row r="361">
      <c r="A361" s="16" t="n"/>
      <c r="B361" s="19" t="n"/>
      <c r="C361" s="18" t="n"/>
      <c r="D361" s="19" t="n"/>
      <c r="E361" s="19" t="n"/>
      <c r="F361" s="26" t="n"/>
      <c r="G361" s="26" t="n"/>
      <c r="H361" s="19" t="n"/>
      <c r="I361" s="19" t="n"/>
      <c r="J361" s="20" t="n"/>
      <c r="K361" s="19" t="n"/>
    </row>
    <row r="362">
      <c r="A362" s="16" t="n"/>
      <c r="B362" s="19" t="n"/>
      <c r="C362" s="18" t="n"/>
      <c r="D362" s="19" t="n"/>
      <c r="E362" s="19" t="n"/>
      <c r="F362" s="26" t="n"/>
      <c r="G362" s="26" t="n"/>
      <c r="H362" s="19" t="n"/>
      <c r="I362" s="19" t="n"/>
      <c r="J362" s="20" t="n"/>
      <c r="K362" s="19" t="n"/>
    </row>
    <row r="363">
      <c r="A363" s="16" t="n"/>
      <c r="B363" s="19" t="n"/>
      <c r="C363" s="18" t="n"/>
      <c r="D363" s="19" t="n"/>
      <c r="E363" s="19" t="n"/>
      <c r="F363" s="26" t="n"/>
      <c r="G363" s="26" t="n"/>
      <c r="H363" s="19" t="n"/>
      <c r="I363" s="19" t="n"/>
      <c r="J363" s="20" t="n"/>
      <c r="K363" s="19" t="n"/>
    </row>
    <row r="364">
      <c r="A364" s="16" t="n"/>
      <c r="B364" s="19" t="n"/>
      <c r="C364" s="18" t="n"/>
      <c r="D364" s="19" t="n"/>
      <c r="E364" s="19" t="n"/>
      <c r="F364" s="26" t="n"/>
      <c r="G364" s="26" t="n"/>
      <c r="H364" s="19" t="n"/>
      <c r="I364" s="19" t="n"/>
      <c r="J364" s="20" t="n"/>
      <c r="K364" s="19" t="n"/>
    </row>
    <row r="365">
      <c r="A365" s="16" t="n"/>
      <c r="B365" s="19" t="n"/>
      <c r="C365" s="18" t="n"/>
      <c r="D365" s="19" t="n"/>
      <c r="E365" s="19" t="n"/>
      <c r="F365" s="26" t="n"/>
      <c r="G365" s="26" t="n"/>
      <c r="H365" s="19" t="n"/>
      <c r="I365" s="19" t="n"/>
      <c r="J365" s="20" t="n"/>
      <c r="K365" s="19" t="n"/>
    </row>
    <row r="366">
      <c r="A366" s="16" t="n"/>
      <c r="B366" s="19" t="n"/>
      <c r="C366" s="18" t="n"/>
      <c r="D366" s="19" t="n"/>
      <c r="E366" s="19" t="n"/>
      <c r="F366" s="26" t="n"/>
      <c r="G366" s="26" t="n"/>
      <c r="H366" s="19" t="n"/>
      <c r="I366" s="19" t="n"/>
      <c r="J366" s="20" t="n"/>
      <c r="K366" s="19" t="n"/>
    </row>
    <row r="367">
      <c r="A367" s="16" t="n"/>
      <c r="B367" s="19" t="n"/>
      <c r="C367" s="18" t="n"/>
      <c r="D367" s="19" t="n"/>
      <c r="E367" s="19" t="n"/>
      <c r="F367" s="26" t="n"/>
      <c r="G367" s="26" t="n"/>
      <c r="H367" s="19" t="n"/>
      <c r="I367" s="19" t="n"/>
      <c r="J367" s="20" t="n"/>
      <c r="K367" s="19" t="n"/>
    </row>
    <row r="368">
      <c r="A368" s="16" t="n"/>
      <c r="B368" s="19" t="n"/>
      <c r="C368" s="18" t="n"/>
      <c r="D368" s="19" t="n"/>
      <c r="E368" s="19" t="n"/>
      <c r="F368" s="26" t="n"/>
      <c r="G368" s="26" t="n"/>
      <c r="H368" s="19" t="n"/>
      <c r="I368" s="19" t="n"/>
      <c r="J368" s="20" t="n"/>
      <c r="K368" s="19" t="n"/>
    </row>
    <row r="369">
      <c r="A369" s="16" t="n"/>
      <c r="B369" s="19" t="n"/>
      <c r="C369" s="18" t="n"/>
      <c r="D369" s="19" t="n"/>
      <c r="E369" s="19" t="n"/>
      <c r="F369" s="26" t="n"/>
      <c r="G369" s="26" t="n"/>
      <c r="H369" s="19" t="n"/>
      <c r="I369" s="19" t="n"/>
      <c r="J369" s="20" t="n"/>
      <c r="K369" s="19" t="n"/>
    </row>
    <row r="370">
      <c r="A370" s="16" t="n"/>
      <c r="B370" s="19" t="n"/>
      <c r="C370" s="18" t="n"/>
      <c r="D370" s="19" t="n"/>
      <c r="E370" s="19" t="n"/>
      <c r="F370" s="26" t="n"/>
      <c r="G370" s="26" t="n"/>
      <c r="H370" s="19" t="n"/>
      <c r="I370" s="19" t="n"/>
      <c r="J370" s="20" t="n"/>
      <c r="K370" s="19" t="n"/>
    </row>
    <row r="371">
      <c r="A371" s="16" t="n"/>
      <c r="B371" s="19" t="n"/>
      <c r="C371" s="18" t="n"/>
      <c r="D371" s="19" t="n"/>
      <c r="E371" s="19" t="n"/>
      <c r="F371" s="26" t="n"/>
      <c r="G371" s="26" t="n"/>
      <c r="H371" s="19" t="n"/>
      <c r="I371" s="19" t="n"/>
      <c r="J371" s="20" t="n"/>
      <c r="K371" s="19" t="n"/>
    </row>
    <row r="372">
      <c r="A372" s="16" t="n"/>
      <c r="B372" s="19" t="n"/>
      <c r="C372" s="18" t="n"/>
      <c r="D372" s="19" t="n"/>
      <c r="E372" s="19" t="n"/>
      <c r="F372" s="26" t="n"/>
      <c r="G372" s="26" t="n"/>
      <c r="H372" s="19" t="n"/>
      <c r="I372" s="19" t="n"/>
      <c r="J372" s="20" t="n"/>
      <c r="K372" s="19" t="n"/>
    </row>
    <row r="373">
      <c r="A373" s="16" t="n"/>
      <c r="B373" s="19" t="n"/>
      <c r="C373" s="18" t="n"/>
      <c r="D373" s="19" t="n"/>
      <c r="E373" s="19" t="n"/>
      <c r="F373" s="26" t="n"/>
      <c r="G373" s="26" t="n"/>
      <c r="H373" s="19" t="n"/>
      <c r="I373" s="19" t="n"/>
      <c r="J373" s="20" t="n"/>
      <c r="K373" s="19" t="n"/>
    </row>
    <row r="374">
      <c r="A374" s="16" t="n"/>
      <c r="B374" s="19" t="n"/>
      <c r="C374" s="18" t="n"/>
      <c r="D374" s="19" t="n"/>
      <c r="E374" s="19" t="n"/>
      <c r="F374" s="26" t="n"/>
      <c r="G374" s="26" t="n"/>
      <c r="H374" s="19" t="n"/>
      <c r="I374" s="19" t="n"/>
      <c r="J374" s="20" t="n"/>
      <c r="K374" s="19" t="n"/>
    </row>
    <row r="375">
      <c r="A375" s="16" t="n"/>
      <c r="B375" s="19" t="n"/>
      <c r="C375" s="18" t="n"/>
      <c r="D375" s="19" t="n"/>
      <c r="E375" s="19" t="n"/>
      <c r="F375" s="26" t="n"/>
      <c r="G375" s="26" t="n"/>
      <c r="H375" s="19" t="n"/>
      <c r="I375" s="19" t="n"/>
      <c r="J375" s="20" t="n"/>
      <c r="K375" s="19" t="n"/>
    </row>
    <row r="376">
      <c r="A376" s="16" t="n"/>
      <c r="B376" s="19" t="n"/>
      <c r="C376" s="18" t="n"/>
      <c r="D376" s="19" t="n"/>
      <c r="E376" s="19" t="n"/>
      <c r="F376" s="26" t="n"/>
      <c r="G376" s="26" t="n"/>
      <c r="H376" s="19" t="n"/>
      <c r="I376" s="19" t="n"/>
      <c r="J376" s="20" t="n"/>
      <c r="K376" s="19" t="n"/>
    </row>
    <row r="377">
      <c r="A377" s="16" t="n"/>
      <c r="B377" s="19" t="n"/>
      <c r="C377" s="18" t="n"/>
      <c r="D377" s="19" t="n"/>
      <c r="E377" s="19" t="n"/>
      <c r="F377" s="26" t="n"/>
      <c r="G377" s="26" t="n"/>
      <c r="H377" s="19" t="n"/>
      <c r="I377" s="19" t="n"/>
      <c r="J377" s="20" t="n"/>
      <c r="K377" s="19" t="n"/>
    </row>
    <row r="378">
      <c r="A378" s="16" t="n"/>
      <c r="B378" s="19" t="n"/>
      <c r="C378" s="18" t="n"/>
      <c r="D378" s="19" t="n"/>
      <c r="E378" s="19" t="n"/>
      <c r="F378" s="26" t="n"/>
      <c r="G378" s="26" t="n"/>
      <c r="H378" s="19" t="n"/>
      <c r="I378" s="19" t="n"/>
      <c r="J378" s="20" t="n"/>
      <c r="K378" s="19" t="n"/>
    </row>
    <row r="379">
      <c r="A379" s="16" t="n"/>
      <c r="B379" s="19" t="n"/>
      <c r="C379" s="18" t="n"/>
      <c r="D379" s="19" t="n"/>
      <c r="E379" s="19" t="n"/>
      <c r="F379" s="26" t="n"/>
      <c r="G379" s="26" t="n"/>
      <c r="H379" s="19" t="n"/>
      <c r="I379" s="19" t="n"/>
      <c r="J379" s="20" t="n"/>
      <c r="K379" s="19" t="n"/>
    </row>
    <row r="380">
      <c r="A380" s="16" t="n"/>
      <c r="B380" s="19" t="n"/>
      <c r="C380" s="18" t="n"/>
      <c r="D380" s="19" t="n"/>
      <c r="E380" s="19" t="n"/>
      <c r="F380" s="26" t="n"/>
      <c r="G380" s="26" t="n"/>
      <c r="H380" s="19" t="n"/>
      <c r="I380" s="19" t="n"/>
      <c r="J380" s="20" t="n"/>
      <c r="K380" s="19" t="n"/>
    </row>
    <row r="381">
      <c r="A381" s="16" t="n"/>
      <c r="B381" s="19" t="n"/>
      <c r="C381" s="18" t="n"/>
      <c r="D381" s="19" t="n"/>
      <c r="E381" s="19" t="n"/>
      <c r="F381" s="26" t="n"/>
      <c r="G381" s="26" t="n"/>
      <c r="H381" s="19" t="n"/>
      <c r="I381" s="19" t="n"/>
      <c r="J381" s="20" t="n"/>
      <c r="K381" s="19" t="n"/>
    </row>
    <row r="382">
      <c r="A382" s="16" t="n"/>
      <c r="B382" s="19" t="n"/>
      <c r="C382" s="18" t="n"/>
      <c r="D382" s="19" t="n"/>
      <c r="E382" s="19" t="n"/>
      <c r="F382" s="26" t="n"/>
      <c r="G382" s="26" t="n"/>
      <c r="H382" s="19" t="n"/>
      <c r="I382" s="19" t="n"/>
      <c r="J382" s="20" t="n"/>
      <c r="K382" s="19" t="n"/>
    </row>
    <row r="383">
      <c r="A383" s="16" t="n"/>
      <c r="B383" s="19" t="n"/>
      <c r="C383" s="18" t="n"/>
      <c r="D383" s="19" t="n"/>
      <c r="E383" s="19" t="n"/>
      <c r="F383" s="26" t="n"/>
      <c r="G383" s="26" t="n"/>
      <c r="H383" s="19" t="n"/>
      <c r="I383" s="19" t="n"/>
      <c r="J383" s="20" t="n"/>
      <c r="K383" s="19" t="n"/>
    </row>
    <row r="384">
      <c r="A384" s="16" t="n"/>
      <c r="B384" s="19" t="n"/>
      <c r="C384" s="18" t="n"/>
      <c r="D384" s="19" t="n"/>
      <c r="E384" s="19" t="n"/>
      <c r="F384" s="26" t="n"/>
      <c r="G384" s="26" t="n"/>
      <c r="H384" s="19" t="n"/>
      <c r="I384" s="19" t="n"/>
      <c r="J384" s="20" t="n"/>
      <c r="K384" s="19" t="n"/>
    </row>
    <row r="385">
      <c r="A385" s="16" t="n"/>
      <c r="B385" s="19" t="n"/>
      <c r="C385" s="18" t="n"/>
      <c r="D385" s="19" t="n"/>
      <c r="E385" s="19" t="n"/>
      <c r="F385" s="26" t="n"/>
      <c r="G385" s="26" t="n"/>
      <c r="H385" s="19" t="n"/>
      <c r="I385" s="19" t="n"/>
      <c r="J385" s="20" t="n"/>
      <c r="K385" s="19" t="n"/>
    </row>
    <row r="386">
      <c r="A386" s="16" t="n"/>
      <c r="B386" s="19" t="n"/>
      <c r="C386" s="18" t="n"/>
      <c r="D386" s="19" t="n"/>
      <c r="E386" s="19" t="n"/>
      <c r="F386" s="26" t="n"/>
      <c r="G386" s="26" t="n"/>
      <c r="H386" s="19" t="n"/>
      <c r="I386" s="19" t="n"/>
      <c r="J386" s="20" t="n"/>
      <c r="K386" s="19" t="n"/>
    </row>
    <row r="387">
      <c r="A387" s="16" t="n"/>
      <c r="B387" s="19" t="n"/>
      <c r="C387" s="18" t="n"/>
      <c r="D387" s="19" t="n"/>
      <c r="E387" s="19" t="n"/>
      <c r="F387" s="26" t="n"/>
      <c r="G387" s="26" t="n"/>
      <c r="H387" s="19" t="n"/>
      <c r="I387" s="19" t="n"/>
      <c r="J387" s="20" t="n"/>
      <c r="K387" s="19" t="n"/>
    </row>
    <row r="388">
      <c r="A388" s="16" t="n"/>
      <c r="B388" s="19" t="n"/>
      <c r="C388" s="18" t="n"/>
      <c r="D388" s="19" t="n"/>
      <c r="E388" s="19" t="n"/>
      <c r="F388" s="26" t="n"/>
      <c r="G388" s="26" t="n"/>
      <c r="H388" s="19" t="n"/>
      <c r="I388" s="19" t="n"/>
      <c r="J388" s="20" t="n"/>
      <c r="K388" s="19" t="n"/>
    </row>
    <row r="389">
      <c r="A389" s="16" t="n"/>
      <c r="B389" s="19" t="n"/>
      <c r="C389" s="18" t="n"/>
      <c r="D389" s="19" t="n"/>
      <c r="E389" s="19" t="n"/>
      <c r="F389" s="26" t="n"/>
      <c r="G389" s="26" t="n"/>
      <c r="H389" s="19" t="n"/>
      <c r="I389" s="19" t="n"/>
      <c r="J389" s="20" t="n"/>
      <c r="K389" s="19" t="n"/>
    </row>
    <row r="390">
      <c r="A390" s="16" t="n"/>
      <c r="B390" s="19" t="n"/>
      <c r="C390" s="18" t="n"/>
      <c r="D390" s="19" t="n"/>
      <c r="E390" s="19" t="n"/>
      <c r="F390" s="26" t="n"/>
      <c r="G390" s="26" t="n"/>
      <c r="H390" s="19" t="n"/>
      <c r="I390" s="19" t="n"/>
      <c r="J390" s="20" t="n"/>
      <c r="K390" s="19" t="n"/>
    </row>
    <row r="391">
      <c r="A391" s="16" t="n"/>
      <c r="B391" s="19" t="n"/>
      <c r="C391" s="18" t="n"/>
      <c r="D391" s="19" t="n"/>
      <c r="E391" s="19" t="n"/>
      <c r="F391" s="26" t="n"/>
      <c r="G391" s="26" t="n"/>
      <c r="H391" s="19" t="n"/>
      <c r="I391" s="19" t="n"/>
      <c r="J391" s="20" t="n"/>
      <c r="K391" s="19" t="n"/>
    </row>
    <row r="392">
      <c r="A392" s="16" t="n"/>
      <c r="B392" s="19" t="n"/>
      <c r="C392" s="18" t="n"/>
      <c r="D392" s="19" t="n"/>
      <c r="E392" s="19" t="n"/>
      <c r="F392" s="26" t="n"/>
      <c r="G392" s="26" t="n"/>
      <c r="H392" s="19" t="n"/>
      <c r="I392" s="19" t="n"/>
      <c r="J392" s="20" t="n"/>
      <c r="K392" s="19" t="n"/>
    </row>
    <row r="393">
      <c r="A393" s="16" t="n"/>
      <c r="B393" s="19" t="n"/>
      <c r="C393" s="18" t="n"/>
      <c r="D393" s="19" t="n"/>
      <c r="E393" s="19" t="n"/>
      <c r="F393" s="26" t="n"/>
      <c r="G393" s="26" t="n"/>
      <c r="H393" s="19" t="n"/>
      <c r="I393" s="19" t="n"/>
      <c r="J393" s="20" t="n"/>
      <c r="K393" s="19" t="n"/>
    </row>
    <row r="394">
      <c r="A394" s="16" t="n"/>
      <c r="B394" s="19" t="n"/>
      <c r="C394" s="18" t="n"/>
      <c r="D394" s="19" t="n"/>
      <c r="E394" s="19" t="n"/>
      <c r="F394" s="26" t="n"/>
      <c r="G394" s="26" t="n"/>
      <c r="H394" s="19" t="n"/>
      <c r="I394" s="19" t="n"/>
      <c r="J394" s="20" t="n"/>
      <c r="K394" s="19" t="n"/>
    </row>
    <row r="395">
      <c r="A395" s="16" t="n"/>
      <c r="B395" s="19" t="n"/>
      <c r="C395" s="18" t="n"/>
      <c r="D395" s="19" t="n"/>
      <c r="E395" s="19" t="n"/>
      <c r="F395" s="26" t="n"/>
      <c r="G395" s="26" t="n"/>
      <c r="H395" s="19" t="n"/>
      <c r="I395" s="19" t="n"/>
      <c r="J395" s="20" t="n"/>
      <c r="K395" s="19" t="n"/>
    </row>
    <row r="396">
      <c r="A396" s="16" t="n"/>
      <c r="B396" s="19" t="n"/>
      <c r="C396" s="18" t="n"/>
      <c r="D396" s="19" t="n"/>
      <c r="E396" s="19" t="n"/>
      <c r="F396" s="26" t="n"/>
      <c r="G396" s="26" t="n"/>
      <c r="H396" s="19" t="n"/>
      <c r="I396" s="19" t="n"/>
      <c r="J396" s="20" t="n"/>
      <c r="K396" s="19" t="n"/>
    </row>
    <row r="397">
      <c r="A397" s="16" t="n"/>
      <c r="B397" s="19" t="n"/>
      <c r="C397" s="18" t="n"/>
      <c r="D397" s="19" t="n"/>
      <c r="E397" s="19" t="n"/>
      <c r="F397" s="26" t="n"/>
      <c r="G397" s="26" t="n"/>
      <c r="H397" s="19" t="n"/>
      <c r="I397" s="19" t="n"/>
      <c r="J397" s="20" t="n"/>
      <c r="K397" s="19" t="n"/>
    </row>
    <row r="398">
      <c r="A398" s="16" t="n"/>
      <c r="B398" s="19" t="n"/>
      <c r="C398" s="18" t="n"/>
      <c r="D398" s="19" t="n"/>
      <c r="E398" s="19" t="n"/>
      <c r="F398" s="26" t="n"/>
      <c r="G398" s="26" t="n"/>
      <c r="H398" s="19" t="n"/>
      <c r="I398" s="19" t="n"/>
      <c r="J398" s="20" t="n"/>
      <c r="K398" s="19" t="n"/>
    </row>
    <row r="399">
      <c r="A399" s="16" t="n"/>
      <c r="B399" s="19" t="n"/>
      <c r="C399" s="18" t="n"/>
      <c r="D399" s="19" t="n"/>
      <c r="E399" s="19" t="n"/>
      <c r="F399" s="26" t="n"/>
      <c r="G399" s="26" t="n"/>
      <c r="H399" s="19" t="n"/>
      <c r="I399" s="19" t="n"/>
      <c r="J399" s="20" t="n"/>
      <c r="K399" s="19" t="n"/>
    </row>
    <row r="400">
      <c r="A400" s="16" t="n"/>
      <c r="B400" s="19" t="n"/>
      <c r="C400" s="18" t="n"/>
      <c r="D400" s="19" t="n"/>
      <c r="E400" s="19" t="n"/>
      <c r="F400" s="26" t="n"/>
      <c r="G400" s="26" t="n"/>
      <c r="H400" s="19" t="n"/>
      <c r="I400" s="19" t="n"/>
      <c r="J400" s="20" t="n"/>
      <c r="K400" s="19" t="n"/>
    </row>
    <row r="401">
      <c r="A401" s="16" t="n"/>
      <c r="B401" s="19" t="n"/>
      <c r="C401" s="18" t="n"/>
      <c r="D401" s="19" t="n"/>
      <c r="E401" s="19" t="n"/>
      <c r="F401" s="26" t="n"/>
      <c r="G401" s="26" t="n"/>
      <c r="H401" s="19" t="n"/>
      <c r="I401" s="19" t="n"/>
      <c r="J401" s="20" t="n"/>
      <c r="K401" s="19" t="n"/>
    </row>
    <row r="402">
      <c r="A402" s="16" t="n"/>
      <c r="B402" s="19" t="n"/>
      <c r="C402" s="18" t="n"/>
      <c r="D402" s="19" t="n"/>
      <c r="E402" s="19" t="n"/>
      <c r="F402" s="26" t="n"/>
      <c r="G402" s="26" t="n"/>
      <c r="H402" s="19" t="n"/>
      <c r="I402" s="19" t="n"/>
      <c r="J402" s="20" t="n"/>
      <c r="K402" s="19" t="n"/>
    </row>
    <row r="403">
      <c r="A403" s="16" t="n"/>
      <c r="B403" s="19" t="n"/>
      <c r="C403" s="18" t="n"/>
      <c r="D403" s="19" t="n"/>
      <c r="E403" s="19" t="n"/>
      <c r="F403" s="26" t="n"/>
      <c r="G403" s="26" t="n"/>
      <c r="H403" s="19" t="n"/>
      <c r="I403" s="19" t="n"/>
      <c r="J403" s="20" t="n"/>
      <c r="K403" s="19" t="n"/>
    </row>
    <row r="404">
      <c r="A404" s="16" t="n"/>
      <c r="B404" s="19" t="n"/>
      <c r="C404" s="18" t="n"/>
      <c r="D404" s="19" t="n"/>
      <c r="E404" s="19" t="n"/>
      <c r="F404" s="26" t="n"/>
      <c r="G404" s="26" t="n"/>
      <c r="H404" s="19" t="n"/>
      <c r="I404" s="19" t="n"/>
      <c r="J404" s="20" t="n"/>
      <c r="K404" s="19" t="n"/>
    </row>
    <row r="405">
      <c r="A405" s="16" t="n"/>
      <c r="B405" s="19" t="n"/>
      <c r="C405" s="18" t="n"/>
      <c r="D405" s="19" t="n"/>
      <c r="E405" s="19" t="n"/>
      <c r="F405" s="26" t="n"/>
      <c r="G405" s="26" t="n"/>
      <c r="H405" s="19" t="n"/>
      <c r="I405" s="19" t="n"/>
      <c r="J405" s="20" t="n"/>
      <c r="K405" s="19" t="n"/>
    </row>
    <row r="406">
      <c r="A406" s="16" t="n"/>
      <c r="B406" s="19" t="n"/>
      <c r="C406" s="18" t="n"/>
      <c r="D406" s="19" t="n"/>
      <c r="E406" s="19" t="n"/>
      <c r="F406" s="26" t="n"/>
      <c r="G406" s="26" t="n"/>
      <c r="H406" s="19" t="n"/>
      <c r="I406" s="19" t="n"/>
      <c r="J406" s="20" t="n"/>
      <c r="K406" s="19" t="n"/>
    </row>
    <row r="407">
      <c r="A407" s="16" t="n"/>
      <c r="B407" s="19" t="n"/>
      <c r="C407" s="18" t="n"/>
      <c r="D407" s="19" t="n"/>
      <c r="E407" s="19" t="n"/>
      <c r="F407" s="26" t="n"/>
      <c r="G407" s="26" t="n"/>
      <c r="H407" s="19" t="n"/>
      <c r="I407" s="19" t="n"/>
      <c r="J407" s="20" t="n"/>
      <c r="K407" s="19" t="n"/>
    </row>
    <row r="408">
      <c r="A408" s="16" t="n"/>
      <c r="B408" s="19" t="n"/>
      <c r="C408" s="18" t="n"/>
      <c r="D408" s="19" t="n"/>
      <c r="E408" s="19" t="n"/>
      <c r="F408" s="26" t="n"/>
      <c r="G408" s="26" t="n"/>
      <c r="H408" s="19" t="n"/>
      <c r="I408" s="19" t="n"/>
      <c r="J408" s="20" t="n"/>
      <c r="K408" s="19" t="n"/>
    </row>
    <row r="409">
      <c r="A409" s="16" t="n"/>
      <c r="B409" s="19" t="n"/>
      <c r="C409" s="18" t="n"/>
      <c r="D409" s="19" t="n"/>
      <c r="E409" s="19" t="n"/>
      <c r="F409" s="26" t="n"/>
      <c r="G409" s="26" t="n"/>
      <c r="H409" s="19" t="n"/>
      <c r="I409" s="19" t="n"/>
      <c r="J409" s="20" t="n"/>
      <c r="K409" s="19" t="n"/>
    </row>
    <row r="410">
      <c r="A410" s="16" t="n"/>
      <c r="B410" s="19" t="n"/>
      <c r="C410" s="18" t="n"/>
      <c r="D410" s="19" t="n"/>
      <c r="E410" s="19" t="n"/>
      <c r="F410" s="26" t="n"/>
      <c r="G410" s="26" t="n"/>
      <c r="H410" s="19" t="n"/>
      <c r="I410" s="19" t="n"/>
      <c r="J410" s="20" t="n"/>
      <c r="K410" s="19" t="n"/>
    </row>
    <row r="411">
      <c r="A411" s="16" t="n"/>
      <c r="B411" s="19" t="n"/>
      <c r="C411" s="18" t="n"/>
      <c r="D411" s="19" t="n"/>
      <c r="E411" s="19" t="n"/>
      <c r="F411" s="26" t="n"/>
      <c r="G411" s="26" t="n"/>
      <c r="H411" s="19" t="n"/>
      <c r="I411" s="19" t="n"/>
      <c r="J411" s="20" t="n"/>
      <c r="K411" s="19" t="n"/>
    </row>
    <row r="412">
      <c r="A412" s="16" t="n"/>
      <c r="B412" s="19" t="n"/>
      <c r="C412" s="18" t="n"/>
      <c r="D412" s="19" t="n"/>
      <c r="E412" s="19" t="n"/>
      <c r="F412" s="26" t="n"/>
      <c r="G412" s="26" t="n"/>
      <c r="H412" s="19" t="n"/>
      <c r="I412" s="19" t="n"/>
      <c r="J412" s="20" t="n"/>
      <c r="K412" s="19" t="n"/>
    </row>
    <row r="413">
      <c r="A413" s="16" t="n"/>
      <c r="B413" s="19" t="n"/>
      <c r="C413" s="18" t="n"/>
      <c r="D413" s="19" t="n"/>
      <c r="E413" s="19" t="n"/>
      <c r="F413" s="26" t="n"/>
      <c r="G413" s="26" t="n"/>
      <c r="H413" s="19" t="n"/>
      <c r="I413" s="19" t="n"/>
      <c r="J413" s="20" t="n"/>
      <c r="K413" s="19" t="n"/>
    </row>
    <row r="414">
      <c r="A414" s="16" t="n"/>
      <c r="B414" s="19" t="n"/>
      <c r="C414" s="18" t="n"/>
      <c r="D414" s="19" t="n"/>
      <c r="E414" s="19" t="n"/>
      <c r="F414" s="26" t="n"/>
      <c r="G414" s="26" t="n"/>
      <c r="H414" s="19" t="n"/>
      <c r="I414" s="19" t="n"/>
      <c r="J414" s="20" t="n"/>
      <c r="K414" s="19" t="n"/>
    </row>
    <row r="415">
      <c r="A415" s="16" t="n"/>
      <c r="B415" s="19" t="n"/>
      <c r="C415" s="18" t="n"/>
      <c r="D415" s="19" t="n"/>
      <c r="E415" s="19" t="n"/>
      <c r="F415" s="26" t="n"/>
      <c r="G415" s="26" t="n"/>
      <c r="H415" s="19" t="n"/>
      <c r="I415" s="19" t="n"/>
      <c r="J415" s="20" t="n"/>
      <c r="K415" s="19" t="n"/>
    </row>
    <row r="416">
      <c r="A416" s="16" t="n"/>
      <c r="B416" s="19" t="n"/>
      <c r="C416" s="18" t="n"/>
      <c r="D416" s="19" t="n"/>
      <c r="E416" s="19" t="n"/>
      <c r="F416" s="26" t="n"/>
      <c r="G416" s="26" t="n"/>
      <c r="H416" s="19" t="n"/>
      <c r="I416" s="19" t="n"/>
      <c r="J416" s="20" t="n"/>
      <c r="K416" s="19" t="n"/>
    </row>
    <row r="417">
      <c r="A417" s="16" t="n"/>
      <c r="B417" s="19" t="n"/>
      <c r="C417" s="18" t="n"/>
      <c r="D417" s="19" t="n"/>
      <c r="E417" s="19" t="n"/>
      <c r="F417" s="26" t="n"/>
      <c r="G417" s="26" t="n"/>
      <c r="H417" s="19" t="n"/>
      <c r="I417" s="19" t="n"/>
      <c r="J417" s="20" t="n"/>
      <c r="K417" s="19" t="n"/>
    </row>
    <row r="418">
      <c r="A418" s="16" t="n"/>
      <c r="B418" s="19" t="n"/>
      <c r="C418" s="18" t="n"/>
      <c r="D418" s="19" t="n"/>
      <c r="E418" s="19" t="n"/>
      <c r="F418" s="26" t="n"/>
      <c r="G418" s="26" t="n"/>
      <c r="H418" s="19" t="n"/>
      <c r="I418" s="19" t="n"/>
      <c r="J418" s="20" t="n"/>
      <c r="K418" s="19" t="n"/>
    </row>
    <row r="419">
      <c r="A419" s="16" t="n"/>
      <c r="B419" s="19" t="n"/>
      <c r="C419" s="18" t="n"/>
      <c r="D419" s="19" t="n"/>
      <c r="E419" s="19" t="n"/>
      <c r="F419" s="26" t="n"/>
      <c r="G419" s="26" t="n"/>
      <c r="H419" s="19" t="n"/>
      <c r="I419" s="19" t="n"/>
      <c r="J419" s="20" t="n"/>
      <c r="K419" s="19" t="n"/>
    </row>
    <row r="420">
      <c r="A420" s="16" t="n"/>
      <c r="B420" s="19" t="n"/>
      <c r="C420" s="18" t="n"/>
      <c r="D420" s="19" t="n"/>
      <c r="E420" s="19" t="n"/>
      <c r="F420" s="26" t="n"/>
      <c r="G420" s="26" t="n"/>
      <c r="H420" s="19" t="n"/>
      <c r="I420" s="19" t="n"/>
      <c r="J420" s="20" t="n"/>
      <c r="K420" s="19" t="n"/>
    </row>
    <row r="421">
      <c r="A421" s="16" t="n"/>
      <c r="B421" s="19" t="n"/>
      <c r="C421" s="18" t="n"/>
      <c r="D421" s="19" t="n"/>
      <c r="E421" s="19" t="n"/>
      <c r="F421" s="26" t="n"/>
      <c r="G421" s="26" t="n"/>
      <c r="H421" s="19" t="n"/>
      <c r="I421" s="19" t="n"/>
      <c r="J421" s="20" t="n"/>
      <c r="K421" s="19" t="n"/>
    </row>
    <row r="422">
      <c r="A422" s="16" t="n"/>
      <c r="B422" s="19" t="n"/>
      <c r="C422" s="18" t="n"/>
      <c r="D422" s="19" t="n"/>
      <c r="E422" s="19" t="n"/>
      <c r="F422" s="26" t="n"/>
      <c r="G422" s="26" t="n"/>
      <c r="H422" s="19" t="n"/>
      <c r="I422" s="19" t="n"/>
      <c r="J422" s="20" t="n"/>
      <c r="K422" s="19" t="n"/>
    </row>
    <row r="423">
      <c r="A423" s="16" t="n"/>
      <c r="B423" s="19" t="n"/>
      <c r="C423" s="18" t="n"/>
      <c r="D423" s="19" t="n"/>
      <c r="E423" s="19" t="n"/>
      <c r="F423" s="26" t="n"/>
      <c r="G423" s="26" t="n"/>
      <c r="H423" s="19" t="n"/>
      <c r="I423" s="19" t="n"/>
      <c r="J423" s="20" t="n"/>
      <c r="K423" s="19" t="n"/>
    </row>
    <row r="424">
      <c r="A424" s="16" t="n"/>
      <c r="B424" s="19" t="n"/>
      <c r="C424" s="18" t="n"/>
      <c r="D424" s="19" t="n"/>
      <c r="E424" s="19" t="n"/>
      <c r="F424" s="26" t="n"/>
      <c r="G424" s="26" t="n"/>
      <c r="H424" s="19" t="n"/>
      <c r="I424" s="19" t="n"/>
      <c r="J424" s="20" t="n"/>
      <c r="K424" s="19" t="n"/>
    </row>
    <row r="425">
      <c r="A425" s="16" t="n"/>
      <c r="B425" s="19" t="n"/>
      <c r="C425" s="18" t="n"/>
      <c r="D425" s="19" t="n"/>
      <c r="E425" s="19" t="n"/>
      <c r="F425" s="26" t="n"/>
      <c r="G425" s="26" t="n"/>
      <c r="H425" s="19" t="n"/>
      <c r="I425" s="19" t="n"/>
      <c r="J425" s="20" t="n"/>
      <c r="K425" s="19" t="n"/>
    </row>
    <row r="426">
      <c r="A426" s="16" t="n"/>
      <c r="B426" s="19" t="n"/>
      <c r="C426" s="18" t="n"/>
      <c r="D426" s="19" t="n"/>
      <c r="E426" s="19" t="n"/>
      <c r="F426" s="26" t="n"/>
      <c r="G426" s="26" t="n"/>
      <c r="H426" s="19" t="n"/>
      <c r="I426" s="19" t="n"/>
      <c r="J426" s="20" t="n"/>
      <c r="K426" s="19" t="n"/>
    </row>
    <row r="427">
      <c r="A427" s="16" t="n"/>
      <c r="B427" s="19" t="n"/>
      <c r="C427" s="18" t="n"/>
      <c r="D427" s="19" t="n"/>
      <c r="E427" s="19" t="n"/>
      <c r="F427" s="26" t="n"/>
      <c r="G427" s="26" t="n"/>
      <c r="H427" s="19" t="n"/>
      <c r="I427" s="19" t="n"/>
      <c r="J427" s="20" t="n"/>
      <c r="K427" s="19" t="n"/>
    </row>
    <row r="428">
      <c r="A428" s="16" t="n"/>
      <c r="B428" s="19" t="n"/>
      <c r="C428" s="18" t="n"/>
      <c r="D428" s="19" t="n"/>
      <c r="E428" s="19" t="n"/>
      <c r="F428" s="26" t="n"/>
      <c r="G428" s="26" t="n"/>
      <c r="H428" s="19" t="n"/>
      <c r="I428" s="19" t="n"/>
      <c r="J428" s="20" t="n"/>
      <c r="K428" s="19" t="n"/>
    </row>
    <row r="429">
      <c r="A429" s="16" t="n"/>
      <c r="B429" s="19" t="n"/>
      <c r="C429" s="18" t="n"/>
      <c r="D429" s="19" t="n"/>
      <c r="E429" s="19" t="n"/>
      <c r="F429" s="26" t="n"/>
      <c r="G429" s="26" t="n"/>
      <c r="H429" s="19" t="n"/>
      <c r="I429" s="19" t="n"/>
      <c r="J429" s="20" t="n"/>
      <c r="K429" s="19" t="n"/>
    </row>
    <row r="430">
      <c r="A430" s="16" t="n"/>
      <c r="B430" s="19" t="n"/>
      <c r="C430" s="18" t="n"/>
      <c r="D430" s="19" t="n"/>
      <c r="E430" s="19" t="n"/>
      <c r="F430" s="26" t="n"/>
      <c r="G430" s="26" t="n"/>
      <c r="H430" s="19" t="n"/>
      <c r="I430" s="19" t="n"/>
      <c r="J430" s="20" t="n"/>
      <c r="K430" s="19" t="n"/>
    </row>
    <row r="431">
      <c r="A431" s="16" t="n"/>
      <c r="B431" s="19" t="n"/>
      <c r="C431" s="18" t="n"/>
      <c r="D431" s="19" t="n"/>
      <c r="E431" s="19" t="n"/>
      <c r="F431" s="26" t="n"/>
      <c r="G431" s="26" t="n"/>
      <c r="H431" s="19" t="n"/>
      <c r="I431" s="19" t="n"/>
      <c r="J431" s="20" t="n"/>
      <c r="K431" s="19" t="n"/>
    </row>
    <row r="432">
      <c r="A432" s="16" t="n"/>
      <c r="B432" s="19" t="n"/>
      <c r="C432" s="18" t="n"/>
      <c r="D432" s="19" t="n"/>
      <c r="E432" s="19" t="n"/>
      <c r="F432" s="26" t="n"/>
      <c r="G432" s="26" t="n"/>
      <c r="H432" s="19" t="n"/>
      <c r="I432" s="19" t="n"/>
      <c r="J432" s="20" t="n"/>
      <c r="K432" s="19" t="n"/>
    </row>
    <row r="433">
      <c r="A433" s="16" t="n"/>
      <c r="B433" s="19" t="n"/>
      <c r="C433" s="18" t="n"/>
      <c r="D433" s="19" t="n"/>
      <c r="E433" s="19" t="n"/>
      <c r="F433" s="26" t="n"/>
      <c r="G433" s="26" t="n"/>
      <c r="H433" s="19" t="n"/>
      <c r="I433" s="19" t="n"/>
      <c r="J433" s="20" t="n"/>
      <c r="K433" s="19" t="n"/>
    </row>
    <row r="434">
      <c r="A434" s="16" t="n"/>
      <c r="B434" s="19" t="n"/>
      <c r="C434" s="18" t="n"/>
      <c r="D434" s="19" t="n"/>
      <c r="E434" s="19" t="n"/>
      <c r="F434" s="26" t="n"/>
      <c r="G434" s="26" t="n"/>
      <c r="H434" s="19" t="n"/>
      <c r="I434" s="19" t="n"/>
      <c r="J434" s="20" t="n"/>
      <c r="K434" s="19" t="n"/>
    </row>
    <row r="435">
      <c r="A435" s="16" t="n"/>
      <c r="B435" s="19" t="n"/>
      <c r="C435" s="18" t="n"/>
      <c r="D435" s="19" t="n"/>
      <c r="E435" s="19" t="n"/>
      <c r="F435" s="26" t="n"/>
      <c r="G435" s="26" t="n"/>
      <c r="H435" s="19" t="n"/>
      <c r="I435" s="19" t="n"/>
      <c r="J435" s="20" t="n"/>
      <c r="K435" s="19" t="n"/>
    </row>
    <row r="436">
      <c r="A436" s="16" t="n"/>
      <c r="B436" s="19" t="n"/>
      <c r="C436" s="18" t="n"/>
      <c r="D436" s="19" t="n"/>
      <c r="E436" s="19" t="n"/>
      <c r="F436" s="26" t="n"/>
      <c r="G436" s="26" t="n"/>
      <c r="H436" s="19" t="n"/>
      <c r="I436" s="19" t="n"/>
      <c r="J436" s="20" t="n"/>
      <c r="K436" s="19" t="n"/>
    </row>
    <row r="437">
      <c r="A437" s="16" t="n"/>
      <c r="B437" s="19" t="n"/>
      <c r="C437" s="18" t="n"/>
      <c r="D437" s="19" t="n"/>
      <c r="E437" s="19" t="n"/>
      <c r="F437" s="26" t="n"/>
      <c r="G437" s="26" t="n"/>
      <c r="H437" s="19" t="n"/>
      <c r="I437" s="19" t="n"/>
      <c r="J437" s="20" t="n"/>
      <c r="K437" s="19" t="n"/>
    </row>
    <row r="438">
      <c r="A438" s="16" t="n"/>
      <c r="B438" s="19" t="n"/>
      <c r="C438" s="18" t="n"/>
      <c r="D438" s="19" t="n"/>
      <c r="E438" s="19" t="n"/>
      <c r="F438" s="26" t="n"/>
      <c r="G438" s="26" t="n"/>
      <c r="H438" s="19" t="n"/>
      <c r="I438" s="19" t="n"/>
      <c r="J438" s="20" t="n"/>
      <c r="K438" s="19" t="n"/>
    </row>
    <row r="439">
      <c r="A439" s="16" t="n"/>
      <c r="B439" s="19" t="n"/>
      <c r="C439" s="18" t="n"/>
      <c r="D439" s="19" t="n"/>
      <c r="E439" s="19" t="n"/>
      <c r="F439" s="26" t="n"/>
      <c r="G439" s="26" t="n"/>
      <c r="H439" s="19" t="n"/>
      <c r="I439" s="19" t="n"/>
      <c r="J439" s="20" t="n"/>
      <c r="K439" s="19" t="n"/>
    </row>
    <row r="440">
      <c r="A440" s="16" t="n"/>
      <c r="B440" s="19" t="n"/>
      <c r="C440" s="18" t="n"/>
      <c r="D440" s="19" t="n"/>
      <c r="E440" s="19" t="n"/>
      <c r="F440" s="26" t="n"/>
      <c r="G440" s="26" t="n"/>
      <c r="H440" s="19" t="n"/>
      <c r="I440" s="19" t="n"/>
      <c r="J440" s="20" t="n"/>
      <c r="K440" s="19" t="n"/>
    </row>
    <row r="441">
      <c r="A441" s="16" t="n"/>
      <c r="B441" s="19" t="n"/>
      <c r="C441" s="18" t="n"/>
      <c r="D441" s="19" t="n"/>
      <c r="E441" s="19" t="n"/>
      <c r="F441" s="26" t="n"/>
      <c r="G441" s="26" t="n"/>
      <c r="H441" s="19" t="n"/>
      <c r="I441" s="19" t="n"/>
      <c r="J441" s="20" t="n"/>
      <c r="K441" s="19" t="n"/>
    </row>
    <row r="442">
      <c r="A442" s="16" t="n"/>
      <c r="B442" s="19" t="n"/>
      <c r="C442" s="18" t="n"/>
      <c r="D442" s="19" t="n"/>
      <c r="E442" s="19" t="n"/>
      <c r="F442" s="26" t="n"/>
      <c r="G442" s="26" t="n"/>
      <c r="H442" s="19" t="n"/>
      <c r="I442" s="19" t="n"/>
      <c r="J442" s="20" t="n"/>
      <c r="K442" s="19" t="n"/>
    </row>
    <row r="443">
      <c r="A443" s="16" t="n"/>
      <c r="B443" s="19" t="n"/>
      <c r="C443" s="18" t="n"/>
      <c r="D443" s="19" t="n"/>
      <c r="E443" s="19" t="n"/>
      <c r="F443" s="26" t="n"/>
      <c r="G443" s="26" t="n"/>
      <c r="H443" s="19" t="n"/>
      <c r="I443" s="19" t="n"/>
      <c r="J443" s="20" t="n"/>
      <c r="K443" s="19" t="n"/>
    </row>
    <row r="444">
      <c r="A444" s="16" t="n"/>
      <c r="B444" s="19" t="n"/>
      <c r="C444" s="18" t="n"/>
      <c r="D444" s="19" t="n"/>
      <c r="E444" s="19" t="n"/>
      <c r="F444" s="26" t="n"/>
      <c r="G444" s="26" t="n"/>
      <c r="H444" s="19" t="n"/>
      <c r="I444" s="19" t="n"/>
      <c r="J444" s="20" t="n"/>
      <c r="K444" s="19" t="n"/>
    </row>
    <row r="445">
      <c r="A445" s="16" t="n"/>
      <c r="B445" s="19" t="n"/>
      <c r="C445" s="18" t="n"/>
      <c r="D445" s="19" t="n"/>
      <c r="E445" s="19" t="n"/>
      <c r="F445" s="26" t="n"/>
      <c r="G445" s="26" t="n"/>
      <c r="H445" s="19" t="n"/>
      <c r="I445" s="19" t="n"/>
      <c r="J445" s="20" t="n"/>
      <c r="K445" s="19" t="n"/>
    </row>
    <row r="446">
      <c r="A446" s="16" t="n"/>
      <c r="B446" s="19" t="n"/>
      <c r="C446" s="18" t="n"/>
      <c r="D446" s="19" t="n"/>
      <c r="E446" s="19" t="n"/>
      <c r="F446" s="26" t="n"/>
      <c r="G446" s="26" t="n"/>
      <c r="H446" s="19" t="n"/>
      <c r="I446" s="19" t="n"/>
      <c r="J446" s="20" t="n"/>
      <c r="K446" s="19" t="n"/>
    </row>
    <row r="447">
      <c r="A447" s="16" t="n"/>
      <c r="B447" s="19" t="n"/>
      <c r="C447" s="18" t="n"/>
      <c r="D447" s="19" t="n"/>
      <c r="E447" s="19" t="n"/>
      <c r="F447" s="26" t="n"/>
      <c r="G447" s="26" t="n"/>
      <c r="H447" s="19" t="n"/>
      <c r="I447" s="19" t="n"/>
      <c r="J447" s="20" t="n"/>
      <c r="K447" s="19" t="n"/>
    </row>
    <row r="448">
      <c r="A448" s="16" t="n"/>
      <c r="B448" s="19" t="n"/>
      <c r="C448" s="18" t="n"/>
      <c r="D448" s="19" t="n"/>
      <c r="E448" s="19" t="n"/>
      <c r="F448" s="26" t="n"/>
      <c r="G448" s="26" t="n"/>
      <c r="H448" s="19" t="n"/>
      <c r="I448" s="19" t="n"/>
      <c r="J448" s="20" t="n"/>
      <c r="K448" s="19" t="n"/>
    </row>
    <row r="449">
      <c r="A449" s="16" t="n"/>
      <c r="B449" s="19" t="n"/>
      <c r="C449" s="18" t="n"/>
      <c r="D449" s="19" t="n"/>
      <c r="E449" s="19" t="n"/>
      <c r="F449" s="26" t="n"/>
      <c r="G449" s="26" t="n"/>
      <c r="H449" s="19" t="n"/>
      <c r="I449" s="19" t="n"/>
      <c r="J449" s="20" t="n"/>
      <c r="K449" s="19" t="n"/>
    </row>
    <row r="450">
      <c r="A450" s="16" t="n"/>
      <c r="B450" s="19" t="n"/>
      <c r="C450" s="18" t="n"/>
      <c r="D450" s="19" t="n"/>
      <c r="E450" s="19" t="n"/>
      <c r="F450" s="26" t="n"/>
      <c r="G450" s="26" t="n"/>
      <c r="H450" s="19" t="n"/>
      <c r="I450" s="19" t="n"/>
      <c r="J450" s="20" t="n"/>
      <c r="K450" s="19" t="n"/>
    </row>
    <row r="451">
      <c r="A451" s="16" t="n"/>
      <c r="B451" s="19" t="n"/>
      <c r="C451" s="18" t="n"/>
      <c r="D451" s="19" t="n"/>
      <c r="E451" s="19" t="n"/>
      <c r="F451" s="26" t="n"/>
      <c r="G451" s="26" t="n"/>
      <c r="H451" s="19" t="n"/>
      <c r="I451" s="19" t="n"/>
      <c r="J451" s="20" t="n"/>
      <c r="K451" s="19" t="n"/>
    </row>
    <row r="452">
      <c r="A452" s="16" t="n"/>
      <c r="B452" s="19" t="n"/>
      <c r="C452" s="18" t="n"/>
      <c r="D452" s="19" t="n"/>
      <c r="E452" s="19" t="n"/>
      <c r="F452" s="26" t="n"/>
      <c r="G452" s="26" t="n"/>
      <c r="H452" s="19" t="n"/>
      <c r="I452" s="19" t="n"/>
      <c r="J452" s="20" t="n"/>
      <c r="K452" s="19" t="n"/>
    </row>
    <row r="453">
      <c r="A453" s="16" t="n"/>
      <c r="B453" s="19" t="n"/>
      <c r="C453" s="18" t="n"/>
      <c r="D453" s="19" t="n"/>
      <c r="E453" s="19" t="n"/>
      <c r="F453" s="26" t="n"/>
      <c r="G453" s="26" t="n"/>
      <c r="H453" s="19" t="n"/>
      <c r="I453" s="19" t="n"/>
      <c r="J453" s="20" t="n"/>
      <c r="K453" s="19" t="n"/>
    </row>
    <row r="454">
      <c r="A454" s="16" t="n"/>
      <c r="B454" s="19" t="n"/>
      <c r="C454" s="18" t="n"/>
      <c r="D454" s="19" t="n"/>
      <c r="E454" s="19" t="n"/>
      <c r="F454" s="26" t="n"/>
      <c r="G454" s="26" t="n"/>
      <c r="H454" s="19" t="n"/>
      <c r="I454" s="19" t="n"/>
      <c r="J454" s="20" t="n"/>
      <c r="K454" s="19" t="n"/>
    </row>
    <row r="455">
      <c r="A455" s="16" t="n"/>
      <c r="B455" s="19" t="n"/>
      <c r="C455" s="18" t="n"/>
      <c r="D455" s="19" t="n"/>
      <c r="E455" s="19" t="n"/>
      <c r="F455" s="26" t="n"/>
      <c r="G455" s="26" t="n"/>
      <c r="H455" s="19" t="n"/>
      <c r="I455" s="19" t="n"/>
      <c r="J455" s="20" t="n"/>
      <c r="K455" s="19" t="n"/>
    </row>
    <row r="456">
      <c r="A456" s="16" t="n"/>
      <c r="B456" s="19" t="n"/>
      <c r="C456" s="18" t="n"/>
      <c r="D456" s="19" t="n"/>
      <c r="E456" s="19" t="n"/>
      <c r="F456" s="26" t="n"/>
      <c r="G456" s="26" t="n"/>
      <c r="H456" s="19" t="n"/>
      <c r="I456" s="19" t="n"/>
      <c r="J456" s="20" t="n"/>
      <c r="K456" s="19" t="n"/>
    </row>
    <row r="457">
      <c r="A457" s="16" t="n"/>
      <c r="B457" s="19" t="n"/>
      <c r="C457" s="18" t="n"/>
      <c r="D457" s="19" t="n"/>
      <c r="E457" s="19" t="n"/>
      <c r="F457" s="26" t="n"/>
      <c r="G457" s="26" t="n"/>
      <c r="H457" s="19" t="n"/>
      <c r="I457" s="19" t="n"/>
      <c r="J457" s="20" t="n"/>
      <c r="K457" s="19" t="n"/>
    </row>
    <row r="458">
      <c r="A458" s="16" t="n"/>
      <c r="B458" s="19" t="n"/>
      <c r="C458" s="18" t="n"/>
      <c r="D458" s="19" t="n"/>
      <c r="E458" s="19" t="n"/>
      <c r="F458" s="26" t="n"/>
      <c r="G458" s="26" t="n"/>
      <c r="H458" s="19" t="n"/>
      <c r="I458" s="19" t="n"/>
      <c r="J458" s="20" t="n"/>
      <c r="K458" s="19" t="n"/>
    </row>
    <row r="459">
      <c r="A459" s="16" t="n"/>
      <c r="B459" s="19" t="n"/>
      <c r="C459" s="18" t="n"/>
      <c r="D459" s="19" t="n"/>
      <c r="E459" s="19" t="n"/>
      <c r="F459" s="26" t="n"/>
      <c r="G459" s="26" t="n"/>
      <c r="H459" s="19" t="n"/>
      <c r="I459" s="19" t="n"/>
      <c r="J459" s="20" t="n"/>
      <c r="K459" s="19" t="n"/>
    </row>
    <row r="460">
      <c r="A460" s="16" t="n"/>
      <c r="B460" s="19" t="n"/>
      <c r="C460" s="18" t="n"/>
      <c r="D460" s="19" t="n"/>
      <c r="E460" s="19" t="n"/>
      <c r="F460" s="26" t="n"/>
      <c r="G460" s="26" t="n"/>
      <c r="H460" s="19" t="n"/>
      <c r="I460" s="19" t="n"/>
      <c r="J460" s="20" t="n"/>
      <c r="K460" s="19" t="n"/>
    </row>
    <row r="461">
      <c r="A461" s="16" t="n"/>
      <c r="B461" s="19" t="n"/>
      <c r="C461" s="18" t="n"/>
      <c r="D461" s="19" t="n"/>
      <c r="E461" s="19" t="n"/>
      <c r="F461" s="26" t="n"/>
      <c r="G461" s="26" t="n"/>
      <c r="H461" s="19" t="n"/>
      <c r="I461" s="19" t="n"/>
      <c r="J461" s="20" t="n"/>
      <c r="K461" s="19" t="n"/>
    </row>
    <row r="462">
      <c r="A462" s="16" t="n"/>
      <c r="B462" s="19" t="n"/>
      <c r="C462" s="18" t="n"/>
      <c r="D462" s="19" t="n"/>
      <c r="E462" s="19" t="n"/>
      <c r="F462" s="26" t="n"/>
      <c r="G462" s="26" t="n"/>
      <c r="H462" s="19" t="n"/>
      <c r="I462" s="19" t="n"/>
      <c r="J462" s="20" t="n"/>
      <c r="K462" s="19" t="n"/>
    </row>
    <row r="463">
      <c r="A463" s="16" t="n"/>
      <c r="B463" s="19" t="n"/>
      <c r="C463" s="18" t="n"/>
      <c r="D463" s="19" t="n"/>
      <c r="E463" s="19" t="n"/>
      <c r="F463" s="26" t="n"/>
      <c r="G463" s="26" t="n"/>
      <c r="H463" s="19" t="n"/>
      <c r="I463" s="19" t="n"/>
      <c r="J463" s="20" t="n"/>
      <c r="K463" s="19" t="n"/>
    </row>
    <row r="464">
      <c r="A464" s="16" t="n"/>
      <c r="B464" s="19" t="n"/>
      <c r="C464" s="18" t="n"/>
      <c r="D464" s="19" t="n"/>
      <c r="E464" s="19" t="n"/>
      <c r="F464" s="26" t="n"/>
      <c r="G464" s="26" t="n"/>
      <c r="H464" s="19" t="n"/>
      <c r="I464" s="19" t="n"/>
      <c r="J464" s="20" t="n"/>
      <c r="K464" s="19" t="n"/>
    </row>
    <row r="465">
      <c r="A465" s="16" t="n"/>
      <c r="B465" s="19" t="n"/>
      <c r="C465" s="18" t="n"/>
      <c r="D465" s="19" t="n"/>
      <c r="E465" s="19" t="n"/>
      <c r="F465" s="26" t="n"/>
      <c r="G465" s="26" t="n"/>
      <c r="H465" s="19" t="n"/>
      <c r="I465" s="19" t="n"/>
      <c r="J465" s="20" t="n"/>
      <c r="K465" s="19" t="n"/>
    </row>
    <row r="466">
      <c r="A466" s="16" t="n"/>
      <c r="B466" s="19" t="n"/>
      <c r="C466" s="18" t="n"/>
      <c r="D466" s="19" t="n"/>
      <c r="E466" s="19" t="n"/>
      <c r="F466" s="26" t="n"/>
      <c r="G466" s="26" t="n"/>
      <c r="H466" s="19" t="n"/>
      <c r="I466" s="19" t="n"/>
      <c r="J466" s="20" t="n"/>
      <c r="K466" s="19" t="n"/>
    </row>
    <row r="467">
      <c r="A467" s="16" t="n"/>
      <c r="B467" s="19" t="n"/>
      <c r="C467" s="18" t="n"/>
      <c r="D467" s="19" t="n"/>
      <c r="E467" s="19" t="n"/>
      <c r="F467" s="26" t="n"/>
      <c r="G467" s="26" t="n"/>
      <c r="H467" s="19" t="n"/>
      <c r="I467" s="19" t="n"/>
      <c r="J467" s="20" t="n"/>
      <c r="K467" s="19" t="n"/>
    </row>
    <row r="468">
      <c r="A468" s="16" t="n"/>
      <c r="B468" s="19" t="n"/>
      <c r="C468" s="18" t="n"/>
      <c r="D468" s="19" t="n"/>
      <c r="E468" s="19" t="n"/>
      <c r="F468" s="26" t="n"/>
      <c r="G468" s="26" t="n"/>
      <c r="H468" s="19" t="n"/>
      <c r="I468" s="19" t="n"/>
      <c r="J468" s="20" t="n"/>
      <c r="K468" s="19" t="n"/>
    </row>
    <row r="469">
      <c r="A469" s="16" t="n"/>
      <c r="B469" s="19" t="n"/>
      <c r="C469" s="18" t="n"/>
      <c r="D469" s="19" t="n"/>
      <c r="E469" s="19" t="n"/>
      <c r="F469" s="26" t="n"/>
      <c r="G469" s="26" t="n"/>
      <c r="H469" s="19" t="n"/>
      <c r="I469" s="19" t="n"/>
      <c r="J469" s="20" t="n"/>
      <c r="K469" s="19" t="n"/>
    </row>
    <row r="470">
      <c r="A470" s="16" t="n"/>
      <c r="B470" s="19" t="n"/>
      <c r="C470" s="18" t="n"/>
      <c r="D470" s="19" t="n"/>
      <c r="E470" s="19" t="n"/>
      <c r="F470" s="26" t="n"/>
      <c r="G470" s="26" t="n"/>
      <c r="H470" s="19" t="n"/>
      <c r="I470" s="19" t="n"/>
      <c r="J470" s="20" t="n"/>
      <c r="K470" s="19" t="n"/>
    </row>
    <row r="471">
      <c r="A471" s="16" t="n"/>
      <c r="B471" s="19" t="n"/>
      <c r="C471" s="18" t="n"/>
      <c r="D471" s="19" t="n"/>
      <c r="E471" s="19" t="n"/>
      <c r="F471" s="26" t="n"/>
      <c r="G471" s="26" t="n"/>
      <c r="H471" s="19" t="n"/>
      <c r="I471" s="19" t="n"/>
      <c r="J471" s="20" t="n"/>
      <c r="K471" s="19" t="n"/>
    </row>
    <row r="472">
      <c r="A472" s="16" t="n"/>
      <c r="B472" s="19" t="n"/>
      <c r="C472" s="18" t="n"/>
      <c r="D472" s="19" t="n"/>
      <c r="E472" s="19" t="n"/>
      <c r="F472" s="26" t="n"/>
      <c r="G472" s="26" t="n"/>
      <c r="H472" s="19" t="n"/>
      <c r="I472" s="19" t="n"/>
      <c r="J472" s="20" t="n"/>
      <c r="K472" s="19" t="n"/>
    </row>
    <row r="473">
      <c r="A473" s="16" t="n"/>
      <c r="B473" s="19" t="n"/>
      <c r="C473" s="18" t="n"/>
      <c r="D473" s="19" t="n"/>
      <c r="E473" s="19" t="n"/>
      <c r="F473" s="26" t="n"/>
      <c r="G473" s="26" t="n"/>
      <c r="H473" s="19" t="n"/>
      <c r="I473" s="19" t="n"/>
      <c r="J473" s="20" t="n"/>
      <c r="K473" s="19" t="n"/>
    </row>
    <row r="474">
      <c r="A474" s="16" t="n"/>
      <c r="B474" s="19" t="n"/>
      <c r="C474" s="18" t="n"/>
      <c r="D474" s="19" t="n"/>
      <c r="E474" s="19" t="n"/>
      <c r="F474" s="26" t="n"/>
      <c r="G474" s="26" t="n"/>
      <c r="H474" s="19" t="n"/>
      <c r="I474" s="19" t="n"/>
      <c r="J474" s="20" t="n"/>
      <c r="K474" s="19" t="n"/>
    </row>
    <row r="475">
      <c r="A475" s="16" t="n"/>
      <c r="B475" s="19" t="n"/>
      <c r="C475" s="18" t="n"/>
      <c r="D475" s="19" t="n"/>
      <c r="E475" s="19" t="n"/>
      <c r="F475" s="26" t="n"/>
      <c r="G475" s="26" t="n"/>
      <c r="H475" s="19" t="n"/>
      <c r="I475" s="19" t="n"/>
      <c r="J475" s="20" t="n"/>
      <c r="K475" s="19" t="n"/>
    </row>
    <row r="476">
      <c r="A476" s="16" t="n"/>
      <c r="B476" s="19" t="n"/>
      <c r="C476" s="18" t="n"/>
      <c r="D476" s="19" t="n"/>
      <c r="E476" s="19" t="n"/>
      <c r="F476" s="26" t="n"/>
      <c r="G476" s="26" t="n"/>
      <c r="H476" s="19" t="n"/>
      <c r="I476" s="19" t="n"/>
      <c r="J476" s="20" t="n"/>
      <c r="K476" s="19" t="n"/>
    </row>
    <row r="477">
      <c r="A477" s="16" t="n"/>
      <c r="B477" s="19" t="n"/>
      <c r="C477" s="18" t="n"/>
      <c r="D477" s="19" t="n"/>
      <c r="E477" s="19" t="n"/>
      <c r="F477" s="26" t="n"/>
      <c r="G477" s="26" t="n"/>
      <c r="H477" s="19" t="n"/>
      <c r="I477" s="19" t="n"/>
      <c r="J477" s="20" t="n"/>
      <c r="K477" s="19" t="n"/>
    </row>
    <row r="478">
      <c r="A478" s="16" t="n"/>
      <c r="B478" s="19" t="n"/>
      <c r="C478" s="18" t="n"/>
      <c r="D478" s="19" t="n"/>
      <c r="E478" s="19" t="n"/>
      <c r="F478" s="26" t="n"/>
      <c r="G478" s="26" t="n"/>
      <c r="H478" s="19" t="n"/>
      <c r="I478" s="19" t="n"/>
      <c r="J478" s="20" t="n"/>
      <c r="K478" s="19" t="n"/>
    </row>
    <row r="479">
      <c r="A479" s="16" t="n"/>
      <c r="B479" s="19" t="n"/>
      <c r="C479" s="18" t="n"/>
      <c r="D479" s="19" t="n"/>
      <c r="E479" s="19" t="n"/>
      <c r="F479" s="26" t="n"/>
      <c r="G479" s="26" t="n"/>
      <c r="H479" s="19" t="n"/>
      <c r="I479" s="19" t="n"/>
      <c r="J479" s="20" t="n"/>
      <c r="K479" s="19" t="n"/>
    </row>
    <row r="480">
      <c r="A480" s="16" t="n"/>
      <c r="B480" s="19" t="n"/>
      <c r="C480" s="18" t="n"/>
      <c r="D480" s="19" t="n"/>
      <c r="E480" s="19" t="n"/>
      <c r="F480" s="26" t="n"/>
      <c r="G480" s="26" t="n"/>
      <c r="H480" s="19" t="n"/>
      <c r="I480" s="19" t="n"/>
      <c r="J480" s="20" t="n"/>
      <c r="K480" s="19" t="n"/>
    </row>
    <row r="481">
      <c r="A481" s="16" t="n"/>
      <c r="B481" s="19" t="n"/>
      <c r="C481" s="18" t="n"/>
      <c r="D481" s="19" t="n"/>
      <c r="E481" s="19" t="n"/>
      <c r="F481" s="26" t="n"/>
      <c r="G481" s="26" t="n"/>
      <c r="H481" s="19" t="n"/>
      <c r="I481" s="19" t="n"/>
      <c r="J481" s="20" t="n"/>
      <c r="K481" s="19" t="n"/>
    </row>
    <row r="482">
      <c r="A482" s="16" t="n"/>
      <c r="B482" s="19" t="n"/>
      <c r="C482" s="18" t="n"/>
      <c r="D482" s="19" t="n"/>
      <c r="E482" s="19" t="n"/>
      <c r="F482" s="26" t="n"/>
      <c r="G482" s="26" t="n"/>
      <c r="H482" s="19" t="n"/>
      <c r="I482" s="19" t="n"/>
      <c r="J482" s="20" t="n"/>
      <c r="K482" s="19" t="n"/>
    </row>
    <row r="483">
      <c r="A483" s="16" t="n"/>
      <c r="B483" s="19" t="n"/>
      <c r="C483" s="18" t="n"/>
      <c r="D483" s="19" t="n"/>
      <c r="E483" s="19" t="n"/>
      <c r="F483" s="26" t="n"/>
      <c r="G483" s="26" t="n"/>
      <c r="H483" s="19" t="n"/>
      <c r="I483" s="19" t="n"/>
      <c r="J483" s="20" t="n"/>
      <c r="K483" s="19" t="n"/>
    </row>
    <row r="484">
      <c r="A484" s="16" t="n"/>
      <c r="B484" s="19" t="n"/>
      <c r="C484" s="18" t="n"/>
      <c r="D484" s="19" t="n"/>
      <c r="E484" s="19" t="n"/>
      <c r="F484" s="26" t="n"/>
      <c r="G484" s="26" t="n"/>
      <c r="H484" s="19" t="n"/>
      <c r="I484" s="19" t="n"/>
      <c r="J484" s="20" t="n"/>
      <c r="K484" s="19" t="n"/>
    </row>
    <row r="485">
      <c r="A485" s="16" t="n"/>
      <c r="B485" s="19" t="n"/>
      <c r="C485" s="18" t="n"/>
      <c r="D485" s="19" t="n"/>
      <c r="E485" s="19" t="n"/>
      <c r="F485" s="26" t="n"/>
      <c r="G485" s="26" t="n"/>
      <c r="H485" s="19" t="n"/>
      <c r="I485" s="19" t="n"/>
      <c r="J485" s="20" t="n"/>
      <c r="K485" s="19" t="n"/>
    </row>
    <row r="486">
      <c r="A486" s="16" t="n"/>
      <c r="B486" s="19" t="n"/>
      <c r="C486" s="18" t="n"/>
      <c r="D486" s="19" t="n"/>
      <c r="E486" s="19" t="n"/>
      <c r="F486" s="26" t="n"/>
      <c r="G486" s="26" t="n"/>
      <c r="H486" s="19" t="n"/>
      <c r="I486" s="19" t="n"/>
      <c r="J486" s="20" t="n"/>
      <c r="K486" s="19" t="n"/>
    </row>
    <row r="487">
      <c r="A487" s="16" t="n"/>
      <c r="B487" s="19" t="n"/>
      <c r="C487" s="18" t="n"/>
      <c r="D487" s="19" t="n"/>
      <c r="E487" s="19" t="n"/>
      <c r="F487" s="26" t="n"/>
      <c r="G487" s="26" t="n"/>
      <c r="H487" s="19" t="n"/>
      <c r="I487" s="19" t="n"/>
      <c r="J487" s="20" t="n"/>
      <c r="K487" s="19" t="n"/>
    </row>
    <row r="488">
      <c r="A488" s="16" t="n"/>
      <c r="B488" s="19" t="n"/>
      <c r="C488" s="18" t="n"/>
      <c r="D488" s="19" t="n"/>
      <c r="E488" s="19" t="n"/>
      <c r="F488" s="26" t="n"/>
      <c r="G488" s="26" t="n"/>
      <c r="H488" s="19" t="n"/>
      <c r="I488" s="19" t="n"/>
      <c r="J488" s="20" t="n"/>
      <c r="K488" s="19" t="n"/>
    </row>
    <row r="489">
      <c r="A489" s="16" t="n"/>
      <c r="B489" s="19" t="n"/>
      <c r="C489" s="18" t="n"/>
      <c r="D489" s="19" t="n"/>
      <c r="E489" s="19" t="n"/>
      <c r="F489" s="26" t="n"/>
      <c r="G489" s="26" t="n"/>
      <c r="H489" s="19" t="n"/>
      <c r="I489" s="19" t="n"/>
      <c r="J489" s="20" t="n"/>
      <c r="K489" s="19" t="n"/>
    </row>
    <row r="490">
      <c r="A490" s="16" t="n"/>
      <c r="B490" s="19" t="n"/>
      <c r="C490" s="18" t="n"/>
      <c r="D490" s="19" t="n"/>
      <c r="E490" s="19" t="n"/>
      <c r="F490" s="26" t="n"/>
      <c r="G490" s="26" t="n"/>
      <c r="H490" s="19" t="n"/>
      <c r="I490" s="19" t="n"/>
      <c r="J490" s="20" t="n"/>
      <c r="K490" s="19" t="n"/>
    </row>
    <row r="491">
      <c r="A491" s="16" t="n"/>
      <c r="B491" s="19" t="n"/>
      <c r="C491" s="18" t="n"/>
      <c r="D491" s="19" t="n"/>
      <c r="E491" s="19" t="n"/>
      <c r="F491" s="26" t="n"/>
      <c r="G491" s="26" t="n"/>
      <c r="H491" s="19" t="n"/>
      <c r="I491" s="19" t="n"/>
      <c r="J491" s="20" t="n"/>
      <c r="K491" s="19" t="n"/>
    </row>
    <row r="492">
      <c r="A492" s="16" t="n"/>
      <c r="B492" s="19" t="n"/>
      <c r="C492" s="18" t="n"/>
      <c r="D492" s="19" t="n"/>
      <c r="E492" s="19" t="n"/>
      <c r="F492" s="26" t="n"/>
      <c r="G492" s="26" t="n"/>
      <c r="H492" s="19" t="n"/>
      <c r="I492" s="19" t="n"/>
      <c r="J492" s="20" t="n"/>
      <c r="K492" s="19" t="n"/>
    </row>
    <row r="493">
      <c r="A493" s="16" t="n"/>
      <c r="B493" s="19" t="n"/>
      <c r="C493" s="18" t="n"/>
      <c r="D493" s="19" t="n"/>
      <c r="E493" s="19" t="n"/>
      <c r="F493" s="26" t="n"/>
      <c r="G493" s="26" t="n"/>
      <c r="H493" s="19" t="n"/>
      <c r="I493" s="19" t="n"/>
      <c r="J493" s="20" t="n"/>
      <c r="K493" s="19" t="n"/>
    </row>
    <row r="494">
      <c r="A494" s="16" t="n"/>
      <c r="B494" s="19" t="n"/>
      <c r="C494" s="18" t="n"/>
      <c r="D494" s="19" t="n"/>
      <c r="E494" s="19" t="n"/>
      <c r="F494" s="26" t="n"/>
      <c r="G494" s="26" t="n"/>
      <c r="H494" s="19" t="n"/>
      <c r="I494" s="19" t="n"/>
      <c r="J494" s="20" t="n"/>
      <c r="K494" s="19" t="n"/>
    </row>
    <row r="495">
      <c r="A495" s="16" t="n"/>
      <c r="B495" s="19" t="n"/>
      <c r="C495" s="18" t="n"/>
      <c r="D495" s="19" t="n"/>
      <c r="E495" s="19" t="n"/>
      <c r="F495" s="26" t="n"/>
      <c r="G495" s="26" t="n"/>
      <c r="H495" s="19" t="n"/>
      <c r="I495" s="19" t="n"/>
      <c r="J495" s="20" t="n"/>
      <c r="K495" s="19" t="n"/>
    </row>
    <row r="496">
      <c r="A496" s="16" t="n"/>
      <c r="B496" s="19" t="n"/>
      <c r="C496" s="18" t="n"/>
      <c r="D496" s="19" t="n"/>
      <c r="E496" s="19" t="n"/>
      <c r="F496" s="26" t="n"/>
      <c r="G496" s="26" t="n"/>
      <c r="H496" s="19" t="n"/>
      <c r="I496" s="19" t="n"/>
      <c r="J496" s="20" t="n"/>
      <c r="K496" s="19" t="n"/>
    </row>
    <row r="497">
      <c r="A497" s="16" t="n"/>
      <c r="B497" s="19" t="n"/>
      <c r="C497" s="18" t="n"/>
      <c r="D497" s="19" t="n"/>
      <c r="E497" s="19" t="n"/>
      <c r="F497" s="26" t="n"/>
      <c r="G497" s="26" t="n"/>
      <c r="H497" s="19" t="n"/>
      <c r="I497" s="19" t="n"/>
      <c r="J497" s="20" t="n"/>
      <c r="K497" s="19" t="n"/>
    </row>
    <row r="498">
      <c r="A498" s="16" t="n"/>
      <c r="B498" s="19" t="n"/>
      <c r="C498" s="18" t="n"/>
      <c r="D498" s="19" t="n"/>
      <c r="E498" s="19" t="n"/>
      <c r="F498" s="26" t="n"/>
      <c r="G498" s="26" t="n"/>
      <c r="H498" s="19" t="n"/>
      <c r="I498" s="19" t="n"/>
      <c r="J498" s="20" t="n"/>
      <c r="K498" s="19" t="n"/>
    </row>
    <row r="499">
      <c r="A499" s="16" t="n"/>
      <c r="B499" s="19" t="n"/>
      <c r="C499" s="18" t="n"/>
      <c r="D499" s="19" t="n"/>
      <c r="E499" s="19" t="n"/>
      <c r="F499" s="26" t="n"/>
      <c r="G499" s="26" t="n"/>
      <c r="H499" s="19" t="n"/>
      <c r="I499" s="19" t="n"/>
      <c r="J499" s="20" t="n"/>
      <c r="K499" s="19" t="n"/>
    </row>
    <row r="500">
      <c r="A500" s="16" t="n"/>
      <c r="B500" s="19" t="n"/>
      <c r="C500" s="18" t="n"/>
      <c r="D500" s="19" t="n"/>
      <c r="E500" s="19" t="n"/>
      <c r="F500" s="26" t="n"/>
      <c r="G500" s="26" t="n"/>
      <c r="H500" s="19" t="n"/>
      <c r="I500" s="19" t="n"/>
      <c r="J500" s="20" t="n"/>
      <c r="K500" s="19" t="n"/>
    </row>
    <row r="501">
      <c r="A501" s="16" t="n"/>
      <c r="B501" s="19" t="n"/>
      <c r="C501" s="18" t="n"/>
      <c r="D501" s="19" t="n"/>
      <c r="E501" s="19" t="n"/>
      <c r="F501" s="26" t="n"/>
      <c r="G501" s="26" t="n"/>
      <c r="H501" s="19" t="n"/>
      <c r="I501" s="19" t="n"/>
      <c r="J501" s="20" t="n"/>
      <c r="K501" s="19" t="n"/>
    </row>
    <row r="502">
      <c r="A502" s="16" t="n"/>
      <c r="B502" s="19" t="n"/>
      <c r="C502" s="18" t="n"/>
      <c r="D502" s="19" t="n"/>
      <c r="E502" s="19" t="n"/>
      <c r="F502" s="26" t="n"/>
      <c r="G502" s="26" t="n"/>
      <c r="H502" s="19" t="n"/>
      <c r="I502" s="19" t="n"/>
      <c r="J502" s="20" t="n"/>
      <c r="K502" s="19" t="n"/>
    </row>
    <row r="503">
      <c r="A503" s="16" t="n"/>
      <c r="B503" s="19" t="n"/>
      <c r="C503" s="18" t="n"/>
      <c r="D503" s="19" t="n"/>
      <c r="E503" s="19" t="n"/>
      <c r="F503" s="26" t="n"/>
      <c r="G503" s="26" t="n"/>
      <c r="H503" s="19" t="n"/>
      <c r="I503" s="19" t="n"/>
      <c r="J503" s="20" t="n"/>
      <c r="K503" s="19" t="n"/>
    </row>
    <row r="504">
      <c r="A504" s="16" t="n"/>
      <c r="B504" s="19" t="n"/>
      <c r="C504" s="18" t="n"/>
      <c r="D504" s="19" t="n"/>
      <c r="E504" s="19" t="n"/>
      <c r="F504" s="26" t="n"/>
      <c r="G504" s="26" t="n"/>
      <c r="H504" s="19" t="n"/>
      <c r="I504" s="19" t="n"/>
      <c r="J504" s="20" t="n"/>
      <c r="K504" s="19" t="n"/>
    </row>
  </sheetData>
  <dataValidations count="3">
    <dataValidation sqref="B5:B504" showDropDown="0" showInputMessage="0" showErrorMessage="0" allowBlank="1" type="list">
      <formula1>"한국,미국"</formula1>
    </dataValidation>
    <dataValidation sqref="H5:H504" showDropDown="0" showInputMessage="0" showErrorMessage="0" allowBlank="1" type="list">
      <formula1>"따름,따르지 않음,보류"</formula1>
    </dataValidation>
    <dataValidation sqref="I5:I504" showDropDown="0" showInputMessage="0" showErrorMessage="0" allowBlank="1" type="list">
      <formula1>"매수,매도,일부 매도,교체,유지"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0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9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hidden="1" width="13" customWidth="1" min="15" max="15"/>
    <col hidden="1" width="13" customWidth="1" min="16" max="16"/>
    <col hidden="1" width="13" customWidth="1" min="17" max="17"/>
  </cols>
  <sheetData>
    <row r="1">
      <c r="A1" s="4" t="inlineStr">
        <is>
          <t>시장 심리 지수 — 미국 (명세 3)</t>
        </is>
      </c>
    </row>
    <row r="2">
      <c r="A2" s="5" t="inlineStr">
        <is>
          <t>신규 종목 매수를 몇 번에 나눌지만 정한다. 매도와 지수 몫에는 쓰지 않는다. 0 = 극단 공포, 100 = 극단 탐욕.</t>
        </is>
      </c>
    </row>
    <row r="4">
      <c r="A4" s="7" t="inlineStr">
        <is>
          <t>기준일(지수 마지막 거래일)</t>
        </is>
      </c>
      <c r="B4" s="27">
        <f>IF(E5=0,"",MAX($A$19:$A$1518))</f>
        <v/>
      </c>
      <c r="D4" t="inlineStr">
        <is>
          <t>지수 원자료 행 수</t>
        </is>
      </c>
      <c r="E4">
        <f>COUNT($O$19:$O$4018)</f>
        <v/>
      </c>
    </row>
    <row r="5">
      <c r="A5" s="7" t="inlineStr">
        <is>
          <t>5년 창 시작(이 날 다음부터)</t>
        </is>
      </c>
      <c r="B5" s="10">
        <f>IF(B4="","",EDATE(B4,-'설정'!$B$15))</f>
        <v/>
      </c>
      <c r="D5" t="inlineStr">
        <is>
          <t>달력 행 수</t>
        </is>
      </c>
      <c r="E5">
        <f>MIN(E4,1500)</f>
        <v/>
      </c>
    </row>
    <row r="6">
      <c r="A6" s="7" t="inlineStr">
        <is>
          <t>최종 점수</t>
        </is>
      </c>
      <c r="B6" s="28">
        <f>IF(ISNUMBER(B9),ROUND(IF($E$8=1,50,(_xlfn.RANK.AVG(B9,$M$19:$M$1518,1)-1)/($E$8-1)*100),1),"")</f>
        <v/>
      </c>
      <c r="D6" t="inlineStr">
        <is>
          <t>건너뛴 오래된 행</t>
        </is>
      </c>
      <c r="E6">
        <f>MAX(E4-1500,0)</f>
        <v/>
      </c>
    </row>
    <row r="7">
      <c r="A7" s="7" t="inlineStr">
        <is>
          <t>구간</t>
        </is>
      </c>
      <c r="B7" s="9">
        <f>IF(ISNUMBER(B6),INDEX('설정'!$B$27:$B$31,MATCH(B6,'설정'!$A$27:$A$31,1)),"")</f>
        <v/>
      </c>
      <c r="D7" t="inlineStr">
        <is>
          <t>창 안 거래일 수</t>
        </is>
      </c>
      <c r="E7">
        <f>SUM($F$19:$F$1518)</f>
        <v/>
      </c>
    </row>
    <row r="8">
      <c r="A8" s="7" t="inlineStr">
        <is>
          <t>신규 매수</t>
        </is>
      </c>
      <c r="B8" s="9">
        <f>IF(ISNUMBER(B6),IF(INDEX('설정'!$C$27:$C$31,MATCH(B6,'설정'!$A$27:$A$31,1))=1,"1회에 전부",INDEX('설정'!$C$27:$C$31,MATCH(B6,'설정'!$A$27:$A$31,1))&amp;"회, "&amp;INDEX('설정'!$D$27:$D$31,MATCH(B6,'설정'!$A$27:$A$31,1))&amp;"주 간격"),"")</f>
        <v/>
      </c>
      <c r="D8" t="inlineStr">
        <is>
          <t>지표 평균이 있는 날</t>
        </is>
      </c>
      <c r="E8">
        <f>COUNT($M$19:$M$1518)</f>
        <v/>
      </c>
    </row>
    <row r="9">
      <c r="A9" s="7" t="inlineStr">
        <is>
          <t>오늘 지표 평균</t>
        </is>
      </c>
      <c r="B9" s="11">
        <f>IF(B4="","",INDEX($M$19:$M$1518,$E$5))</f>
        <v/>
      </c>
      <c r="D9" t="inlineStr">
        <is>
          <t>원자료 최대 행 수</t>
        </is>
      </c>
      <c r="E9">
        <f>MAX(COUNTA('자료_미국심리'!$A$3:$A$4002),COUNTA('자료_미국심리'!$D$3:$D$4002),COUNTA('자료_미국심리'!$G$3:$G$4002))</f>
        <v/>
      </c>
    </row>
    <row r="10">
      <c r="A10" s="7" t="inlineStr">
        <is>
          <t>점검</t>
        </is>
      </c>
      <c r="B10">
        <f>IF(B4="","원자료 없음",IF(_xlfn.TEXTJOIN(", ",TRUE,H13:H15,IF(E9&gt;=4000,"원자료 4,000행 꽉 참",""))="","이상 없음",_xlfn.TEXTJOIN(", ",TRUE,H13:H15,IF(E9&gt;=4000,"원자료 4,000행 꽉 참",""))))</f>
        <v/>
      </c>
    </row>
    <row r="12" ht="32" customHeight="1">
      <c r="A12" s="6" t="inlineStr">
        <is>
          <t>지표</t>
        </is>
      </c>
      <c r="B12" s="6" t="inlineStr">
        <is>
          <t>최신값</t>
        </is>
      </c>
      <c r="C12" s="6" t="inlineStr">
        <is>
          <t>최종 자료일</t>
        </is>
      </c>
      <c r="D12" s="6" t="inlineStr">
        <is>
          <t>5년 백분위
(값 기준)</t>
        </is>
      </c>
      <c r="E12" s="6" t="inlineStr">
        <is>
          <t>공포 방향</t>
        </is>
      </c>
      <c r="F12" s="6" t="inlineStr">
        <is>
          <t>탐욕 쪽 점수
(반전 후)</t>
        </is>
      </c>
      <c r="G12" s="6" t="inlineStr">
        <is>
          <t>창 안
자료 수</t>
        </is>
      </c>
      <c r="H12" s="6" t="inlineStr">
        <is>
          <t>점검</t>
        </is>
      </c>
    </row>
    <row r="13">
      <c r="A13" s="7" t="inlineStr">
        <is>
          <t>VIX</t>
        </is>
      </c>
      <c r="B13" s="29">
        <f>IF($B$4="","",INDEX($D$19:$D$1518,$E$5))</f>
        <v/>
      </c>
      <c r="C13" s="10">
        <f>IF(COUNT($P$19:$P$4018)=0,"",MAX($P$19:$P$4018))</f>
        <v/>
      </c>
      <c r="D13" s="13">
        <f>IF(AND(ISNUMBER(B13),G13&gt;0),IF(G13=1,50,(_xlfn.RANK.AVG(B13,$G$19:$G$1518,1)-1)/(G13-1)*100),"")</f>
        <v/>
      </c>
      <c r="E13" t="inlineStr">
        <is>
          <t>높을수록 공포</t>
        </is>
      </c>
      <c r="F13" s="13">
        <f>IF($B$4="","",INDEX($J$19:$J$1518,$E$5))</f>
        <v/>
      </c>
      <c r="G13">
        <f>COUNT($G$19:$G$1518)</f>
        <v/>
      </c>
      <c r="H13">
        <f>IF($B$4="","",_xlfn.TEXTJOIN(", ",TRUE,IF(G13&lt;$E$7,"VIX 5년 자료 부족",""),IF(OR(C13="",C13&lt;$B$4-'설정'!$B$22),"VIX 자료 지연","")))</f>
        <v/>
      </c>
    </row>
    <row r="14">
      <c r="A14" s="7" t="inlineStr">
        <is>
          <t>Baa − 미 10년물</t>
        </is>
      </c>
      <c r="B14" s="29">
        <f>IF($B$4="","",INDEX($E$19:$E$1518,$E$5))</f>
        <v/>
      </c>
      <c r="C14" s="10">
        <f>IF(COUNT($Q$19:$Q$4018)=0,"",MAX($Q$19:$Q$4018))</f>
        <v/>
      </c>
      <c r="D14" s="13">
        <f>IF(AND(ISNUMBER(B14),G14&gt;0),IF(G14=1,50,(_xlfn.RANK.AVG(B14,$H$19:$H$1518,1)-1)/(G14-1)*100),"")</f>
        <v/>
      </c>
      <c r="E14" t="inlineStr">
        <is>
          <t>넓을수록 공포</t>
        </is>
      </c>
      <c r="F14" s="13">
        <f>IF($B$4="","",INDEX($K$19:$K$1518,$E$5))</f>
        <v/>
      </c>
      <c r="G14">
        <f>COUNT($H$19:$H$1518)</f>
        <v/>
      </c>
      <c r="H14">
        <f>IF($B$4="","",_xlfn.TEXTJOIN(", ",TRUE,IF(G14&lt;$E$7,"Baa − 미 10년물 5년 자료 부족",""),IF(OR(C14="",C14&lt;$B$4-'설정'!$B$22),"Baa − 미 10년물 자료 지연","")))</f>
        <v/>
      </c>
    </row>
    <row r="15">
      <c r="A15" s="7" t="inlineStr">
        <is>
          <t>S&amp;P 500 / 125일 평균</t>
        </is>
      </c>
      <c r="B15" s="22">
        <f>IF($B$4="","",INDEX($C$19:$C$1518,$E$5))</f>
        <v/>
      </c>
      <c r="C15" s="10">
        <f>IF(COUNT($O$19:$O$4018)=0,"",MAX($O$19:$O$4018))</f>
        <v/>
      </c>
      <c r="D15" s="13">
        <f>IF(AND(ISNUMBER(B15),G15&gt;0),IF(G15=1,50,(_xlfn.RANK.AVG(B15,$I$19:$I$1518,1)-1)/(G15-1)*100),"")</f>
        <v/>
      </c>
      <c r="E15" t="inlineStr">
        <is>
          <t>낮을수록 공포</t>
        </is>
      </c>
      <c r="F15" s="13">
        <f>IF($B$4="","",INDEX($L$19:$L$1518,$E$5))</f>
        <v/>
      </c>
      <c r="G15">
        <f>COUNT($I$19:$I$1518)</f>
        <v/>
      </c>
      <c r="H15">
        <f>IF($B$4="","",_xlfn.TEXTJOIN(", ",TRUE,IF(G15&lt;$E$7,"S&amp;P 500 / 125일 평균 5년 자료 부족",""),IF(OR(C15="",C15&lt;$B$4-'설정'!$B$22),"S&amp;P 500 / 125일 평균 자료 지연","")))</f>
        <v/>
      </c>
    </row>
    <row r="18" ht="42" customHeight="1">
      <c r="A18" s="6" t="inlineStr">
        <is>
          <t>날짜</t>
        </is>
      </c>
      <c r="B18" s="6" t="inlineStr">
        <is>
          <t>S&amp;P 500</t>
        </is>
      </c>
      <c r="C18" s="6" t="inlineStr">
        <is>
          <t>125일 평균 대비</t>
        </is>
      </c>
      <c r="D18" s="6" t="inlineStr">
        <is>
          <t>VIX</t>
        </is>
      </c>
      <c r="E18" s="6" t="inlineStr">
        <is>
          <t>Baa − 10년물</t>
        </is>
      </c>
      <c r="F18" s="6" t="inlineStr">
        <is>
          <t>창 안</t>
        </is>
      </c>
      <c r="G18" s="6" t="inlineStr">
        <is>
          <t>VIX
(창 안 값)</t>
        </is>
      </c>
      <c r="H18" s="6" t="inlineStr">
        <is>
          <t>Baa − 미 10년물
(창 안 값)</t>
        </is>
      </c>
      <c r="I18" s="6" t="inlineStr">
        <is>
          <t>S&amp;P 500 / 125일 평균
(창 안 값)</t>
        </is>
      </c>
      <c r="J18" s="6" t="inlineStr">
        <is>
          <t>VIX
탐욕 점수</t>
        </is>
      </c>
      <c r="K18" s="6" t="inlineStr">
        <is>
          <t>Baa − 미 10년물
탐욕 점수</t>
        </is>
      </c>
      <c r="L18" s="6" t="inlineStr">
        <is>
          <t>S&amp;P 500 / 125일 평균
탐욕 점수</t>
        </is>
      </c>
      <c r="M18" s="6" t="inlineStr">
        <is>
          <t>지표 평균</t>
        </is>
      </c>
      <c r="O18" s="6" t="inlineStr">
        <is>
          <t>보조: sp500 날짜</t>
        </is>
      </c>
      <c r="P18" s="6" t="inlineStr">
        <is>
          <t>보조: vix 날짜</t>
        </is>
      </c>
      <c r="Q18" s="6" t="inlineStr">
        <is>
          <t>보조: baa 날짜</t>
        </is>
      </c>
    </row>
    <row r="19">
      <c r="A19" s="10">
        <f>IF(1&gt;$E$5,"",SMALL($O$19:$O$4018,$E$6+1))</f>
        <v/>
      </c>
      <c r="B19" s="29">
        <f>IF(A19="","",INDEX('자료_미국심리'!$B$3:$B$4002,MATCH(A19,$O$19:$O$4018,0)))</f>
        <v/>
      </c>
      <c r="C19" s="22">
        <f>""</f>
        <v/>
      </c>
      <c r="D19" s="29">
        <f>IF(A19="","",IFERROR(INDEX('자료_미국심리'!$E$3:$E$4002,MATCH(A19,$P$19:$P$4018,0)),""))</f>
        <v/>
      </c>
      <c r="E19" s="29">
        <f>IF(A19="","",IFERROR(INDEX('자료_미국심리'!$H$3:$H$4002,MATCH(A19,$Q$19:$Q$4018,0)),""))</f>
        <v/>
      </c>
      <c r="F19">
        <f>IF(A19="",0,IF(A19&gt;$B$5,1,0))</f>
        <v/>
      </c>
      <c r="G19" s="29">
        <f>IF(AND(F19=1,ISNUMBER(D19)),D19,"")</f>
        <v/>
      </c>
      <c r="H19" s="29">
        <f>IF(AND(F19=1,ISNUMBER(E19)),E19,"")</f>
        <v/>
      </c>
      <c r="I19" s="22">
        <f>IF(AND(F19=1,ISNUMBER(C19)),C19,"")</f>
        <v/>
      </c>
      <c r="J19" s="11">
        <f>IF(G19="","",100-IF($G$13=1,50,(_xlfn.RANK.AVG(G19,$G$19:$G$1518,1)-1)/($G$13-1)*100))</f>
        <v/>
      </c>
      <c r="K19" s="11">
        <f>IF(H19="","",100-IF($G$14=1,50,(_xlfn.RANK.AVG(H19,$H$19:$H$1518,1)-1)/($G$14-1)*100))</f>
        <v/>
      </c>
      <c r="L19" s="11">
        <f>IF(I19="","",IF($G$15=1,50,(_xlfn.RANK.AVG(I19,$I$19:$I$1518,1)-1)/($G$15-1)*100))</f>
        <v/>
      </c>
      <c r="M19" s="11">
        <f>IF(COUNT(J19:L19)=3,ROUND(AVERAGE(J19:L19),6),"")</f>
        <v/>
      </c>
      <c r="O19">
        <f>IF(AND(ISNUMBER('자료_미국심리'!$A3),ISNUMBER('자료_미국심리'!$B3)),'자료_미국심리'!$A3,"")</f>
        <v/>
      </c>
      <c r="P19">
        <f>IF(AND(ISNUMBER('자료_미국심리'!$D3),ISNUMBER('자료_미국심리'!$E3)),'자료_미국심리'!$D3,"")</f>
        <v/>
      </c>
      <c r="Q19">
        <f>IF(AND(ISNUMBER('자료_미국심리'!$G3),ISNUMBER('자료_미국심리'!$H3)),'자료_미국심리'!$G3,"")</f>
        <v/>
      </c>
    </row>
    <row r="20">
      <c r="A20" s="10">
        <f>IF(2&gt;$E$5,"",SMALL($O$19:$O$4018,$E$6+2))</f>
        <v/>
      </c>
      <c r="B20" s="29">
        <f>IF(A20="","",INDEX('자료_미국심리'!$B$3:$B$4002,MATCH(A20,$O$19:$O$4018,0)))</f>
        <v/>
      </c>
      <c r="C20" s="22">
        <f>""</f>
        <v/>
      </c>
      <c r="D20" s="29">
        <f>IF(A20="","",IFERROR(INDEX('자료_미국심리'!$E$3:$E$4002,MATCH(A20,$P$19:$P$4018,0)),D19))</f>
        <v/>
      </c>
      <c r="E20" s="29">
        <f>IF(A20="","",IFERROR(INDEX('자료_미국심리'!$H$3:$H$4002,MATCH(A20,$Q$19:$Q$4018,0)),E19))</f>
        <v/>
      </c>
      <c r="F20">
        <f>IF(A20="",0,IF(A20&gt;$B$5,1,0))</f>
        <v/>
      </c>
      <c r="G20" s="29">
        <f>IF(AND(F20=1,ISNUMBER(D20)),D20,"")</f>
        <v/>
      </c>
      <c r="H20" s="29">
        <f>IF(AND(F20=1,ISNUMBER(E20)),E20,"")</f>
        <v/>
      </c>
      <c r="I20" s="22">
        <f>IF(AND(F20=1,ISNUMBER(C20)),C20,"")</f>
        <v/>
      </c>
      <c r="J20" s="11">
        <f>IF(G20="","",100-IF($G$13=1,50,(_xlfn.RANK.AVG(G20,$G$19:$G$1518,1)-1)/($G$13-1)*100))</f>
        <v/>
      </c>
      <c r="K20" s="11">
        <f>IF(H20="","",100-IF($G$14=1,50,(_xlfn.RANK.AVG(H20,$H$19:$H$1518,1)-1)/($G$14-1)*100))</f>
        <v/>
      </c>
      <c r="L20" s="11">
        <f>IF(I20="","",IF($G$15=1,50,(_xlfn.RANK.AVG(I20,$I$19:$I$1518,1)-1)/($G$15-1)*100))</f>
        <v/>
      </c>
      <c r="M20" s="11">
        <f>IF(COUNT(J20:L20)=3,ROUND(AVERAGE(J20:L20),6),"")</f>
        <v/>
      </c>
      <c r="O20">
        <f>IF(AND(ISNUMBER('자료_미국심리'!$A4),ISNUMBER('자료_미국심리'!$B4)),'자료_미국심리'!$A4,"")</f>
        <v/>
      </c>
      <c r="P20">
        <f>IF(AND(ISNUMBER('자료_미국심리'!$D4),ISNUMBER('자료_미국심리'!$E4)),'자료_미국심리'!$D4,"")</f>
        <v/>
      </c>
      <c r="Q20">
        <f>IF(AND(ISNUMBER('자료_미국심리'!$G4),ISNUMBER('자료_미국심리'!$H4)),'자료_미국심리'!$G4,"")</f>
        <v/>
      </c>
    </row>
    <row r="21">
      <c r="A21" s="10">
        <f>IF(3&gt;$E$5,"",SMALL($O$19:$O$4018,$E$6+3))</f>
        <v/>
      </c>
      <c r="B21" s="29">
        <f>IF(A21="","",INDEX('자료_미국심리'!$B$3:$B$4002,MATCH(A21,$O$19:$O$4018,0)))</f>
        <v/>
      </c>
      <c r="C21" s="22">
        <f>""</f>
        <v/>
      </c>
      <c r="D21" s="29">
        <f>IF(A21="","",IFERROR(INDEX('자료_미국심리'!$E$3:$E$4002,MATCH(A21,$P$19:$P$4018,0)),D20))</f>
        <v/>
      </c>
      <c r="E21" s="29">
        <f>IF(A21="","",IFERROR(INDEX('자료_미국심리'!$H$3:$H$4002,MATCH(A21,$Q$19:$Q$4018,0)),E20))</f>
        <v/>
      </c>
      <c r="F21">
        <f>IF(A21="",0,IF(A21&gt;$B$5,1,0))</f>
        <v/>
      </c>
      <c r="G21" s="29">
        <f>IF(AND(F21=1,ISNUMBER(D21)),D21,"")</f>
        <v/>
      </c>
      <c r="H21" s="29">
        <f>IF(AND(F21=1,ISNUMBER(E21)),E21,"")</f>
        <v/>
      </c>
      <c r="I21" s="22">
        <f>IF(AND(F21=1,ISNUMBER(C21)),C21,"")</f>
        <v/>
      </c>
      <c r="J21" s="11">
        <f>IF(G21="","",100-IF($G$13=1,50,(_xlfn.RANK.AVG(G21,$G$19:$G$1518,1)-1)/($G$13-1)*100))</f>
        <v/>
      </c>
      <c r="K21" s="11">
        <f>IF(H21="","",100-IF($G$14=1,50,(_xlfn.RANK.AVG(H21,$H$19:$H$1518,1)-1)/($G$14-1)*100))</f>
        <v/>
      </c>
      <c r="L21" s="11">
        <f>IF(I21="","",IF($G$15=1,50,(_xlfn.RANK.AVG(I21,$I$19:$I$1518,1)-1)/($G$15-1)*100))</f>
        <v/>
      </c>
      <c r="M21" s="11">
        <f>IF(COUNT(J21:L21)=3,ROUND(AVERAGE(J21:L21),6),"")</f>
        <v/>
      </c>
      <c r="O21">
        <f>IF(AND(ISNUMBER('자료_미국심리'!$A5),ISNUMBER('자료_미국심리'!$B5)),'자료_미국심리'!$A5,"")</f>
        <v/>
      </c>
      <c r="P21">
        <f>IF(AND(ISNUMBER('자료_미국심리'!$D5),ISNUMBER('자료_미국심리'!$E5)),'자료_미국심리'!$D5,"")</f>
        <v/>
      </c>
      <c r="Q21">
        <f>IF(AND(ISNUMBER('자료_미국심리'!$G5),ISNUMBER('자료_미국심리'!$H5)),'자료_미국심리'!$G5,"")</f>
        <v/>
      </c>
    </row>
    <row r="22">
      <c r="A22" s="10">
        <f>IF(4&gt;$E$5,"",SMALL($O$19:$O$4018,$E$6+4))</f>
        <v/>
      </c>
      <c r="B22" s="29">
        <f>IF(A22="","",INDEX('자료_미국심리'!$B$3:$B$4002,MATCH(A22,$O$19:$O$4018,0)))</f>
        <v/>
      </c>
      <c r="C22" s="22">
        <f>""</f>
        <v/>
      </c>
      <c r="D22" s="29">
        <f>IF(A22="","",IFERROR(INDEX('자료_미국심리'!$E$3:$E$4002,MATCH(A22,$P$19:$P$4018,0)),D21))</f>
        <v/>
      </c>
      <c r="E22" s="29">
        <f>IF(A22="","",IFERROR(INDEX('자료_미국심리'!$H$3:$H$4002,MATCH(A22,$Q$19:$Q$4018,0)),E21))</f>
        <v/>
      </c>
      <c r="F22">
        <f>IF(A22="",0,IF(A22&gt;$B$5,1,0))</f>
        <v/>
      </c>
      <c r="G22" s="29">
        <f>IF(AND(F22=1,ISNUMBER(D22)),D22,"")</f>
        <v/>
      </c>
      <c r="H22" s="29">
        <f>IF(AND(F22=1,ISNUMBER(E22)),E22,"")</f>
        <v/>
      </c>
      <c r="I22" s="22">
        <f>IF(AND(F22=1,ISNUMBER(C22)),C22,"")</f>
        <v/>
      </c>
      <c r="J22" s="11">
        <f>IF(G22="","",100-IF($G$13=1,50,(_xlfn.RANK.AVG(G22,$G$19:$G$1518,1)-1)/($G$13-1)*100))</f>
        <v/>
      </c>
      <c r="K22" s="11">
        <f>IF(H22="","",100-IF($G$14=1,50,(_xlfn.RANK.AVG(H22,$H$19:$H$1518,1)-1)/($G$14-1)*100))</f>
        <v/>
      </c>
      <c r="L22" s="11">
        <f>IF(I22="","",IF($G$15=1,50,(_xlfn.RANK.AVG(I22,$I$19:$I$1518,1)-1)/($G$15-1)*100))</f>
        <v/>
      </c>
      <c r="M22" s="11">
        <f>IF(COUNT(J22:L22)=3,ROUND(AVERAGE(J22:L22),6),"")</f>
        <v/>
      </c>
      <c r="O22">
        <f>IF(AND(ISNUMBER('자료_미국심리'!$A6),ISNUMBER('자료_미국심리'!$B6)),'자료_미국심리'!$A6,"")</f>
        <v/>
      </c>
      <c r="P22">
        <f>IF(AND(ISNUMBER('자료_미국심리'!$D6),ISNUMBER('자료_미국심리'!$E6)),'자료_미국심리'!$D6,"")</f>
        <v/>
      </c>
      <c r="Q22">
        <f>IF(AND(ISNUMBER('자료_미국심리'!$G6),ISNUMBER('자료_미국심리'!$H6)),'자료_미국심리'!$G6,"")</f>
        <v/>
      </c>
    </row>
    <row r="23">
      <c r="A23" s="10">
        <f>IF(5&gt;$E$5,"",SMALL($O$19:$O$4018,$E$6+5))</f>
        <v/>
      </c>
      <c r="B23" s="29">
        <f>IF(A23="","",INDEX('자료_미국심리'!$B$3:$B$4002,MATCH(A23,$O$19:$O$4018,0)))</f>
        <v/>
      </c>
      <c r="C23" s="22">
        <f>""</f>
        <v/>
      </c>
      <c r="D23" s="29">
        <f>IF(A23="","",IFERROR(INDEX('자료_미국심리'!$E$3:$E$4002,MATCH(A23,$P$19:$P$4018,0)),D22))</f>
        <v/>
      </c>
      <c r="E23" s="29">
        <f>IF(A23="","",IFERROR(INDEX('자료_미국심리'!$H$3:$H$4002,MATCH(A23,$Q$19:$Q$4018,0)),E22))</f>
        <v/>
      </c>
      <c r="F23">
        <f>IF(A23="",0,IF(A23&gt;$B$5,1,0))</f>
        <v/>
      </c>
      <c r="G23" s="29">
        <f>IF(AND(F23=1,ISNUMBER(D23)),D23,"")</f>
        <v/>
      </c>
      <c r="H23" s="29">
        <f>IF(AND(F23=1,ISNUMBER(E23)),E23,"")</f>
        <v/>
      </c>
      <c r="I23" s="22">
        <f>IF(AND(F23=1,ISNUMBER(C23)),C23,"")</f>
        <v/>
      </c>
      <c r="J23" s="11">
        <f>IF(G23="","",100-IF($G$13=1,50,(_xlfn.RANK.AVG(G23,$G$19:$G$1518,1)-1)/($G$13-1)*100))</f>
        <v/>
      </c>
      <c r="K23" s="11">
        <f>IF(H23="","",100-IF($G$14=1,50,(_xlfn.RANK.AVG(H23,$H$19:$H$1518,1)-1)/($G$14-1)*100))</f>
        <v/>
      </c>
      <c r="L23" s="11">
        <f>IF(I23="","",IF($G$15=1,50,(_xlfn.RANK.AVG(I23,$I$19:$I$1518,1)-1)/($G$15-1)*100))</f>
        <v/>
      </c>
      <c r="M23" s="11">
        <f>IF(COUNT(J23:L23)=3,ROUND(AVERAGE(J23:L23),6),"")</f>
        <v/>
      </c>
      <c r="O23">
        <f>IF(AND(ISNUMBER('자료_미국심리'!$A7),ISNUMBER('자료_미국심리'!$B7)),'자료_미국심리'!$A7,"")</f>
        <v/>
      </c>
      <c r="P23">
        <f>IF(AND(ISNUMBER('자료_미국심리'!$D7),ISNUMBER('자료_미국심리'!$E7)),'자료_미국심리'!$D7,"")</f>
        <v/>
      </c>
      <c r="Q23">
        <f>IF(AND(ISNUMBER('자료_미국심리'!$G7),ISNUMBER('자료_미국심리'!$H7)),'자료_미국심리'!$G7,"")</f>
        <v/>
      </c>
    </row>
    <row r="24">
      <c r="A24" s="10">
        <f>IF(6&gt;$E$5,"",SMALL($O$19:$O$4018,$E$6+6))</f>
        <v/>
      </c>
      <c r="B24" s="29">
        <f>IF(A24="","",INDEX('자료_미국심리'!$B$3:$B$4002,MATCH(A24,$O$19:$O$4018,0)))</f>
        <v/>
      </c>
      <c r="C24" s="22">
        <f>""</f>
        <v/>
      </c>
      <c r="D24" s="29">
        <f>IF(A24="","",IFERROR(INDEX('자료_미국심리'!$E$3:$E$4002,MATCH(A24,$P$19:$P$4018,0)),D23))</f>
        <v/>
      </c>
      <c r="E24" s="29">
        <f>IF(A24="","",IFERROR(INDEX('자료_미국심리'!$H$3:$H$4002,MATCH(A24,$Q$19:$Q$4018,0)),E23))</f>
        <v/>
      </c>
      <c r="F24">
        <f>IF(A24="",0,IF(A24&gt;$B$5,1,0))</f>
        <v/>
      </c>
      <c r="G24" s="29">
        <f>IF(AND(F24=1,ISNUMBER(D24)),D24,"")</f>
        <v/>
      </c>
      <c r="H24" s="29">
        <f>IF(AND(F24=1,ISNUMBER(E24)),E24,"")</f>
        <v/>
      </c>
      <c r="I24" s="22">
        <f>IF(AND(F24=1,ISNUMBER(C24)),C24,"")</f>
        <v/>
      </c>
      <c r="J24" s="11">
        <f>IF(G24="","",100-IF($G$13=1,50,(_xlfn.RANK.AVG(G24,$G$19:$G$1518,1)-1)/($G$13-1)*100))</f>
        <v/>
      </c>
      <c r="K24" s="11">
        <f>IF(H24="","",100-IF($G$14=1,50,(_xlfn.RANK.AVG(H24,$H$19:$H$1518,1)-1)/($G$14-1)*100))</f>
        <v/>
      </c>
      <c r="L24" s="11">
        <f>IF(I24="","",IF($G$15=1,50,(_xlfn.RANK.AVG(I24,$I$19:$I$1518,1)-1)/($G$15-1)*100))</f>
        <v/>
      </c>
      <c r="M24" s="11">
        <f>IF(COUNT(J24:L24)=3,ROUND(AVERAGE(J24:L24),6),"")</f>
        <v/>
      </c>
      <c r="O24">
        <f>IF(AND(ISNUMBER('자료_미국심리'!$A8),ISNUMBER('자료_미국심리'!$B8)),'자료_미국심리'!$A8,"")</f>
        <v/>
      </c>
      <c r="P24">
        <f>IF(AND(ISNUMBER('자료_미국심리'!$D8),ISNUMBER('자료_미국심리'!$E8)),'자료_미국심리'!$D8,"")</f>
        <v/>
      </c>
      <c r="Q24">
        <f>IF(AND(ISNUMBER('자료_미국심리'!$G8),ISNUMBER('자료_미국심리'!$H8)),'자료_미국심리'!$G8,"")</f>
        <v/>
      </c>
    </row>
    <row r="25">
      <c r="A25" s="10">
        <f>IF(7&gt;$E$5,"",SMALL($O$19:$O$4018,$E$6+7))</f>
        <v/>
      </c>
      <c r="B25" s="29">
        <f>IF(A25="","",INDEX('자료_미국심리'!$B$3:$B$4002,MATCH(A25,$O$19:$O$4018,0)))</f>
        <v/>
      </c>
      <c r="C25" s="22">
        <f>""</f>
        <v/>
      </c>
      <c r="D25" s="29">
        <f>IF(A25="","",IFERROR(INDEX('자료_미국심리'!$E$3:$E$4002,MATCH(A25,$P$19:$P$4018,0)),D24))</f>
        <v/>
      </c>
      <c r="E25" s="29">
        <f>IF(A25="","",IFERROR(INDEX('자료_미국심리'!$H$3:$H$4002,MATCH(A25,$Q$19:$Q$4018,0)),E24))</f>
        <v/>
      </c>
      <c r="F25">
        <f>IF(A25="",0,IF(A25&gt;$B$5,1,0))</f>
        <v/>
      </c>
      <c r="G25" s="29">
        <f>IF(AND(F25=1,ISNUMBER(D25)),D25,"")</f>
        <v/>
      </c>
      <c r="H25" s="29">
        <f>IF(AND(F25=1,ISNUMBER(E25)),E25,"")</f>
        <v/>
      </c>
      <c r="I25" s="22">
        <f>IF(AND(F25=1,ISNUMBER(C25)),C25,"")</f>
        <v/>
      </c>
      <c r="J25" s="11">
        <f>IF(G25="","",100-IF($G$13=1,50,(_xlfn.RANK.AVG(G25,$G$19:$G$1518,1)-1)/($G$13-1)*100))</f>
        <v/>
      </c>
      <c r="K25" s="11">
        <f>IF(H25="","",100-IF($G$14=1,50,(_xlfn.RANK.AVG(H25,$H$19:$H$1518,1)-1)/($G$14-1)*100))</f>
        <v/>
      </c>
      <c r="L25" s="11">
        <f>IF(I25="","",IF($G$15=1,50,(_xlfn.RANK.AVG(I25,$I$19:$I$1518,1)-1)/($G$15-1)*100))</f>
        <v/>
      </c>
      <c r="M25" s="11">
        <f>IF(COUNT(J25:L25)=3,ROUND(AVERAGE(J25:L25),6),"")</f>
        <v/>
      </c>
      <c r="O25">
        <f>IF(AND(ISNUMBER('자료_미국심리'!$A9),ISNUMBER('자료_미국심리'!$B9)),'자료_미국심리'!$A9,"")</f>
        <v/>
      </c>
      <c r="P25">
        <f>IF(AND(ISNUMBER('자료_미국심리'!$D9),ISNUMBER('자료_미국심리'!$E9)),'자료_미국심리'!$D9,"")</f>
        <v/>
      </c>
      <c r="Q25">
        <f>IF(AND(ISNUMBER('자료_미국심리'!$G9),ISNUMBER('자료_미국심리'!$H9)),'자료_미국심리'!$G9,"")</f>
        <v/>
      </c>
    </row>
    <row r="26">
      <c r="A26" s="10">
        <f>IF(8&gt;$E$5,"",SMALL($O$19:$O$4018,$E$6+8))</f>
        <v/>
      </c>
      <c r="B26" s="29">
        <f>IF(A26="","",INDEX('자료_미국심리'!$B$3:$B$4002,MATCH(A26,$O$19:$O$4018,0)))</f>
        <v/>
      </c>
      <c r="C26" s="22">
        <f>""</f>
        <v/>
      </c>
      <c r="D26" s="29">
        <f>IF(A26="","",IFERROR(INDEX('자료_미국심리'!$E$3:$E$4002,MATCH(A26,$P$19:$P$4018,0)),D25))</f>
        <v/>
      </c>
      <c r="E26" s="29">
        <f>IF(A26="","",IFERROR(INDEX('자료_미국심리'!$H$3:$H$4002,MATCH(A26,$Q$19:$Q$4018,0)),E25))</f>
        <v/>
      </c>
      <c r="F26">
        <f>IF(A26="",0,IF(A26&gt;$B$5,1,0))</f>
        <v/>
      </c>
      <c r="G26" s="29">
        <f>IF(AND(F26=1,ISNUMBER(D26)),D26,"")</f>
        <v/>
      </c>
      <c r="H26" s="29">
        <f>IF(AND(F26=1,ISNUMBER(E26)),E26,"")</f>
        <v/>
      </c>
      <c r="I26" s="22">
        <f>IF(AND(F26=1,ISNUMBER(C26)),C26,"")</f>
        <v/>
      </c>
      <c r="J26" s="11">
        <f>IF(G26="","",100-IF($G$13=1,50,(_xlfn.RANK.AVG(G26,$G$19:$G$1518,1)-1)/($G$13-1)*100))</f>
        <v/>
      </c>
      <c r="K26" s="11">
        <f>IF(H26="","",100-IF($G$14=1,50,(_xlfn.RANK.AVG(H26,$H$19:$H$1518,1)-1)/($G$14-1)*100))</f>
        <v/>
      </c>
      <c r="L26" s="11">
        <f>IF(I26="","",IF($G$15=1,50,(_xlfn.RANK.AVG(I26,$I$19:$I$1518,1)-1)/($G$15-1)*100))</f>
        <v/>
      </c>
      <c r="M26" s="11">
        <f>IF(COUNT(J26:L26)=3,ROUND(AVERAGE(J26:L26),6),"")</f>
        <v/>
      </c>
      <c r="O26">
        <f>IF(AND(ISNUMBER('자료_미국심리'!$A10),ISNUMBER('자료_미국심리'!$B10)),'자료_미국심리'!$A10,"")</f>
        <v/>
      </c>
      <c r="P26">
        <f>IF(AND(ISNUMBER('자료_미국심리'!$D10),ISNUMBER('자료_미국심리'!$E10)),'자료_미국심리'!$D10,"")</f>
        <v/>
      </c>
      <c r="Q26">
        <f>IF(AND(ISNUMBER('자료_미국심리'!$G10),ISNUMBER('자료_미국심리'!$H10)),'자료_미국심리'!$G10,"")</f>
        <v/>
      </c>
    </row>
    <row r="27">
      <c r="A27" s="10">
        <f>IF(9&gt;$E$5,"",SMALL($O$19:$O$4018,$E$6+9))</f>
        <v/>
      </c>
      <c r="B27" s="29">
        <f>IF(A27="","",INDEX('자료_미국심리'!$B$3:$B$4002,MATCH(A27,$O$19:$O$4018,0)))</f>
        <v/>
      </c>
      <c r="C27" s="22">
        <f>""</f>
        <v/>
      </c>
      <c r="D27" s="29">
        <f>IF(A27="","",IFERROR(INDEX('자료_미국심리'!$E$3:$E$4002,MATCH(A27,$P$19:$P$4018,0)),D26))</f>
        <v/>
      </c>
      <c r="E27" s="29">
        <f>IF(A27="","",IFERROR(INDEX('자료_미국심리'!$H$3:$H$4002,MATCH(A27,$Q$19:$Q$4018,0)),E26))</f>
        <v/>
      </c>
      <c r="F27">
        <f>IF(A27="",0,IF(A27&gt;$B$5,1,0))</f>
        <v/>
      </c>
      <c r="G27" s="29">
        <f>IF(AND(F27=1,ISNUMBER(D27)),D27,"")</f>
        <v/>
      </c>
      <c r="H27" s="29">
        <f>IF(AND(F27=1,ISNUMBER(E27)),E27,"")</f>
        <v/>
      </c>
      <c r="I27" s="22">
        <f>IF(AND(F27=1,ISNUMBER(C27)),C27,"")</f>
        <v/>
      </c>
      <c r="J27" s="11">
        <f>IF(G27="","",100-IF($G$13=1,50,(_xlfn.RANK.AVG(G27,$G$19:$G$1518,1)-1)/($G$13-1)*100))</f>
        <v/>
      </c>
      <c r="K27" s="11">
        <f>IF(H27="","",100-IF($G$14=1,50,(_xlfn.RANK.AVG(H27,$H$19:$H$1518,1)-1)/($G$14-1)*100))</f>
        <v/>
      </c>
      <c r="L27" s="11">
        <f>IF(I27="","",IF($G$15=1,50,(_xlfn.RANK.AVG(I27,$I$19:$I$1518,1)-1)/($G$15-1)*100))</f>
        <v/>
      </c>
      <c r="M27" s="11">
        <f>IF(COUNT(J27:L27)=3,ROUND(AVERAGE(J27:L27),6),"")</f>
        <v/>
      </c>
      <c r="O27">
        <f>IF(AND(ISNUMBER('자료_미국심리'!$A11),ISNUMBER('자료_미국심리'!$B11)),'자료_미국심리'!$A11,"")</f>
        <v/>
      </c>
      <c r="P27">
        <f>IF(AND(ISNUMBER('자료_미국심리'!$D11),ISNUMBER('자료_미국심리'!$E11)),'자료_미국심리'!$D11,"")</f>
        <v/>
      </c>
      <c r="Q27">
        <f>IF(AND(ISNUMBER('자료_미국심리'!$G11),ISNUMBER('자료_미국심리'!$H11)),'자료_미국심리'!$G11,"")</f>
        <v/>
      </c>
    </row>
    <row r="28">
      <c r="A28" s="10">
        <f>IF(10&gt;$E$5,"",SMALL($O$19:$O$4018,$E$6+10))</f>
        <v/>
      </c>
      <c r="B28" s="29">
        <f>IF(A28="","",INDEX('자료_미국심리'!$B$3:$B$4002,MATCH(A28,$O$19:$O$4018,0)))</f>
        <v/>
      </c>
      <c r="C28" s="22">
        <f>""</f>
        <v/>
      </c>
      <c r="D28" s="29">
        <f>IF(A28="","",IFERROR(INDEX('자료_미국심리'!$E$3:$E$4002,MATCH(A28,$P$19:$P$4018,0)),D27))</f>
        <v/>
      </c>
      <c r="E28" s="29">
        <f>IF(A28="","",IFERROR(INDEX('자료_미국심리'!$H$3:$H$4002,MATCH(A28,$Q$19:$Q$4018,0)),E27))</f>
        <v/>
      </c>
      <c r="F28">
        <f>IF(A28="",0,IF(A28&gt;$B$5,1,0))</f>
        <v/>
      </c>
      <c r="G28" s="29">
        <f>IF(AND(F28=1,ISNUMBER(D28)),D28,"")</f>
        <v/>
      </c>
      <c r="H28" s="29">
        <f>IF(AND(F28=1,ISNUMBER(E28)),E28,"")</f>
        <v/>
      </c>
      <c r="I28" s="22">
        <f>IF(AND(F28=1,ISNUMBER(C28)),C28,"")</f>
        <v/>
      </c>
      <c r="J28" s="11">
        <f>IF(G28="","",100-IF($G$13=1,50,(_xlfn.RANK.AVG(G28,$G$19:$G$1518,1)-1)/($G$13-1)*100))</f>
        <v/>
      </c>
      <c r="K28" s="11">
        <f>IF(H28="","",100-IF($G$14=1,50,(_xlfn.RANK.AVG(H28,$H$19:$H$1518,1)-1)/($G$14-1)*100))</f>
        <v/>
      </c>
      <c r="L28" s="11">
        <f>IF(I28="","",IF($G$15=1,50,(_xlfn.RANK.AVG(I28,$I$19:$I$1518,1)-1)/($G$15-1)*100))</f>
        <v/>
      </c>
      <c r="M28" s="11">
        <f>IF(COUNT(J28:L28)=3,ROUND(AVERAGE(J28:L28),6),"")</f>
        <v/>
      </c>
      <c r="O28">
        <f>IF(AND(ISNUMBER('자료_미국심리'!$A12),ISNUMBER('자료_미국심리'!$B12)),'자료_미국심리'!$A12,"")</f>
        <v/>
      </c>
      <c r="P28">
        <f>IF(AND(ISNUMBER('자료_미국심리'!$D12),ISNUMBER('자료_미국심리'!$E12)),'자료_미국심리'!$D12,"")</f>
        <v/>
      </c>
      <c r="Q28">
        <f>IF(AND(ISNUMBER('자료_미국심리'!$G12),ISNUMBER('자료_미국심리'!$H12)),'자료_미국심리'!$G12,"")</f>
        <v/>
      </c>
    </row>
    <row r="29">
      <c r="A29" s="10">
        <f>IF(11&gt;$E$5,"",SMALL($O$19:$O$4018,$E$6+11))</f>
        <v/>
      </c>
      <c r="B29" s="29">
        <f>IF(A29="","",INDEX('자료_미국심리'!$B$3:$B$4002,MATCH(A29,$O$19:$O$4018,0)))</f>
        <v/>
      </c>
      <c r="C29" s="22">
        <f>""</f>
        <v/>
      </c>
      <c r="D29" s="29">
        <f>IF(A29="","",IFERROR(INDEX('자료_미국심리'!$E$3:$E$4002,MATCH(A29,$P$19:$P$4018,0)),D28))</f>
        <v/>
      </c>
      <c r="E29" s="29">
        <f>IF(A29="","",IFERROR(INDEX('자료_미국심리'!$H$3:$H$4002,MATCH(A29,$Q$19:$Q$4018,0)),E28))</f>
        <v/>
      </c>
      <c r="F29">
        <f>IF(A29="",0,IF(A29&gt;$B$5,1,0))</f>
        <v/>
      </c>
      <c r="G29" s="29">
        <f>IF(AND(F29=1,ISNUMBER(D29)),D29,"")</f>
        <v/>
      </c>
      <c r="H29" s="29">
        <f>IF(AND(F29=1,ISNUMBER(E29)),E29,"")</f>
        <v/>
      </c>
      <c r="I29" s="22">
        <f>IF(AND(F29=1,ISNUMBER(C29)),C29,"")</f>
        <v/>
      </c>
      <c r="J29" s="11">
        <f>IF(G29="","",100-IF($G$13=1,50,(_xlfn.RANK.AVG(G29,$G$19:$G$1518,1)-1)/($G$13-1)*100))</f>
        <v/>
      </c>
      <c r="K29" s="11">
        <f>IF(H29="","",100-IF($G$14=1,50,(_xlfn.RANK.AVG(H29,$H$19:$H$1518,1)-1)/($G$14-1)*100))</f>
        <v/>
      </c>
      <c r="L29" s="11">
        <f>IF(I29="","",IF($G$15=1,50,(_xlfn.RANK.AVG(I29,$I$19:$I$1518,1)-1)/($G$15-1)*100))</f>
        <v/>
      </c>
      <c r="M29" s="11">
        <f>IF(COUNT(J29:L29)=3,ROUND(AVERAGE(J29:L29),6),"")</f>
        <v/>
      </c>
      <c r="O29">
        <f>IF(AND(ISNUMBER('자료_미국심리'!$A13),ISNUMBER('자료_미국심리'!$B13)),'자료_미국심리'!$A13,"")</f>
        <v/>
      </c>
      <c r="P29">
        <f>IF(AND(ISNUMBER('자료_미국심리'!$D13),ISNUMBER('자료_미국심리'!$E13)),'자료_미국심리'!$D13,"")</f>
        <v/>
      </c>
      <c r="Q29">
        <f>IF(AND(ISNUMBER('자료_미국심리'!$G13),ISNUMBER('자료_미국심리'!$H13)),'자료_미국심리'!$G13,"")</f>
        <v/>
      </c>
    </row>
    <row r="30">
      <c r="A30" s="10">
        <f>IF(12&gt;$E$5,"",SMALL($O$19:$O$4018,$E$6+12))</f>
        <v/>
      </c>
      <c r="B30" s="29">
        <f>IF(A30="","",INDEX('자료_미국심리'!$B$3:$B$4002,MATCH(A30,$O$19:$O$4018,0)))</f>
        <v/>
      </c>
      <c r="C30" s="22">
        <f>""</f>
        <v/>
      </c>
      <c r="D30" s="29">
        <f>IF(A30="","",IFERROR(INDEX('자료_미국심리'!$E$3:$E$4002,MATCH(A30,$P$19:$P$4018,0)),D29))</f>
        <v/>
      </c>
      <c r="E30" s="29">
        <f>IF(A30="","",IFERROR(INDEX('자료_미국심리'!$H$3:$H$4002,MATCH(A30,$Q$19:$Q$4018,0)),E29))</f>
        <v/>
      </c>
      <c r="F30">
        <f>IF(A30="",0,IF(A30&gt;$B$5,1,0))</f>
        <v/>
      </c>
      <c r="G30" s="29">
        <f>IF(AND(F30=1,ISNUMBER(D30)),D30,"")</f>
        <v/>
      </c>
      <c r="H30" s="29">
        <f>IF(AND(F30=1,ISNUMBER(E30)),E30,"")</f>
        <v/>
      </c>
      <c r="I30" s="22">
        <f>IF(AND(F30=1,ISNUMBER(C30)),C30,"")</f>
        <v/>
      </c>
      <c r="J30" s="11">
        <f>IF(G30="","",100-IF($G$13=1,50,(_xlfn.RANK.AVG(G30,$G$19:$G$1518,1)-1)/($G$13-1)*100))</f>
        <v/>
      </c>
      <c r="K30" s="11">
        <f>IF(H30="","",100-IF($G$14=1,50,(_xlfn.RANK.AVG(H30,$H$19:$H$1518,1)-1)/($G$14-1)*100))</f>
        <v/>
      </c>
      <c r="L30" s="11">
        <f>IF(I30="","",IF($G$15=1,50,(_xlfn.RANK.AVG(I30,$I$19:$I$1518,1)-1)/($G$15-1)*100))</f>
        <v/>
      </c>
      <c r="M30" s="11">
        <f>IF(COUNT(J30:L30)=3,ROUND(AVERAGE(J30:L30),6),"")</f>
        <v/>
      </c>
      <c r="O30">
        <f>IF(AND(ISNUMBER('자료_미국심리'!$A14),ISNUMBER('자료_미국심리'!$B14)),'자료_미국심리'!$A14,"")</f>
        <v/>
      </c>
      <c r="P30">
        <f>IF(AND(ISNUMBER('자료_미국심리'!$D14),ISNUMBER('자료_미국심리'!$E14)),'자료_미국심리'!$D14,"")</f>
        <v/>
      </c>
      <c r="Q30">
        <f>IF(AND(ISNUMBER('자료_미국심리'!$G14),ISNUMBER('자료_미국심리'!$H14)),'자료_미국심리'!$G14,"")</f>
        <v/>
      </c>
    </row>
    <row r="31">
      <c r="A31" s="10">
        <f>IF(13&gt;$E$5,"",SMALL($O$19:$O$4018,$E$6+13))</f>
        <v/>
      </c>
      <c r="B31" s="29">
        <f>IF(A31="","",INDEX('자료_미국심리'!$B$3:$B$4002,MATCH(A31,$O$19:$O$4018,0)))</f>
        <v/>
      </c>
      <c r="C31" s="22">
        <f>""</f>
        <v/>
      </c>
      <c r="D31" s="29">
        <f>IF(A31="","",IFERROR(INDEX('자료_미국심리'!$E$3:$E$4002,MATCH(A31,$P$19:$P$4018,0)),D30))</f>
        <v/>
      </c>
      <c r="E31" s="29">
        <f>IF(A31="","",IFERROR(INDEX('자료_미국심리'!$H$3:$H$4002,MATCH(A31,$Q$19:$Q$4018,0)),E30))</f>
        <v/>
      </c>
      <c r="F31">
        <f>IF(A31="",0,IF(A31&gt;$B$5,1,0))</f>
        <v/>
      </c>
      <c r="G31" s="29">
        <f>IF(AND(F31=1,ISNUMBER(D31)),D31,"")</f>
        <v/>
      </c>
      <c r="H31" s="29">
        <f>IF(AND(F31=1,ISNUMBER(E31)),E31,"")</f>
        <v/>
      </c>
      <c r="I31" s="22">
        <f>IF(AND(F31=1,ISNUMBER(C31)),C31,"")</f>
        <v/>
      </c>
      <c r="J31" s="11">
        <f>IF(G31="","",100-IF($G$13=1,50,(_xlfn.RANK.AVG(G31,$G$19:$G$1518,1)-1)/($G$13-1)*100))</f>
        <v/>
      </c>
      <c r="K31" s="11">
        <f>IF(H31="","",100-IF($G$14=1,50,(_xlfn.RANK.AVG(H31,$H$19:$H$1518,1)-1)/($G$14-1)*100))</f>
        <v/>
      </c>
      <c r="L31" s="11">
        <f>IF(I31="","",IF($G$15=1,50,(_xlfn.RANK.AVG(I31,$I$19:$I$1518,1)-1)/($G$15-1)*100))</f>
        <v/>
      </c>
      <c r="M31" s="11">
        <f>IF(COUNT(J31:L31)=3,ROUND(AVERAGE(J31:L31),6),"")</f>
        <v/>
      </c>
      <c r="O31">
        <f>IF(AND(ISNUMBER('자료_미국심리'!$A15),ISNUMBER('자료_미국심리'!$B15)),'자료_미국심리'!$A15,"")</f>
        <v/>
      </c>
      <c r="P31">
        <f>IF(AND(ISNUMBER('자료_미국심리'!$D15),ISNUMBER('자료_미국심리'!$E15)),'자료_미국심리'!$D15,"")</f>
        <v/>
      </c>
      <c r="Q31">
        <f>IF(AND(ISNUMBER('자료_미국심리'!$G15),ISNUMBER('자료_미국심리'!$H15)),'자료_미국심리'!$G15,"")</f>
        <v/>
      </c>
    </row>
    <row r="32">
      <c r="A32" s="10">
        <f>IF(14&gt;$E$5,"",SMALL($O$19:$O$4018,$E$6+14))</f>
        <v/>
      </c>
      <c r="B32" s="29">
        <f>IF(A32="","",INDEX('자료_미국심리'!$B$3:$B$4002,MATCH(A32,$O$19:$O$4018,0)))</f>
        <v/>
      </c>
      <c r="C32" s="22">
        <f>""</f>
        <v/>
      </c>
      <c r="D32" s="29">
        <f>IF(A32="","",IFERROR(INDEX('자료_미국심리'!$E$3:$E$4002,MATCH(A32,$P$19:$P$4018,0)),D31))</f>
        <v/>
      </c>
      <c r="E32" s="29">
        <f>IF(A32="","",IFERROR(INDEX('자료_미국심리'!$H$3:$H$4002,MATCH(A32,$Q$19:$Q$4018,0)),E31))</f>
        <v/>
      </c>
      <c r="F32">
        <f>IF(A32="",0,IF(A32&gt;$B$5,1,0))</f>
        <v/>
      </c>
      <c r="G32" s="29">
        <f>IF(AND(F32=1,ISNUMBER(D32)),D32,"")</f>
        <v/>
      </c>
      <c r="H32" s="29">
        <f>IF(AND(F32=1,ISNUMBER(E32)),E32,"")</f>
        <v/>
      </c>
      <c r="I32" s="22">
        <f>IF(AND(F32=1,ISNUMBER(C32)),C32,"")</f>
        <v/>
      </c>
      <c r="J32" s="11">
        <f>IF(G32="","",100-IF($G$13=1,50,(_xlfn.RANK.AVG(G32,$G$19:$G$1518,1)-1)/($G$13-1)*100))</f>
        <v/>
      </c>
      <c r="K32" s="11">
        <f>IF(H32="","",100-IF($G$14=1,50,(_xlfn.RANK.AVG(H32,$H$19:$H$1518,1)-1)/($G$14-1)*100))</f>
        <v/>
      </c>
      <c r="L32" s="11">
        <f>IF(I32="","",IF($G$15=1,50,(_xlfn.RANK.AVG(I32,$I$19:$I$1518,1)-1)/($G$15-1)*100))</f>
        <v/>
      </c>
      <c r="M32" s="11">
        <f>IF(COUNT(J32:L32)=3,ROUND(AVERAGE(J32:L32),6),"")</f>
        <v/>
      </c>
      <c r="O32">
        <f>IF(AND(ISNUMBER('자료_미국심리'!$A16),ISNUMBER('자료_미국심리'!$B16)),'자료_미국심리'!$A16,"")</f>
        <v/>
      </c>
      <c r="P32">
        <f>IF(AND(ISNUMBER('자료_미국심리'!$D16),ISNUMBER('자료_미국심리'!$E16)),'자료_미국심리'!$D16,"")</f>
        <v/>
      </c>
      <c r="Q32">
        <f>IF(AND(ISNUMBER('자료_미국심리'!$G16),ISNUMBER('자료_미국심리'!$H16)),'자료_미국심리'!$G16,"")</f>
        <v/>
      </c>
    </row>
    <row r="33">
      <c r="A33" s="10">
        <f>IF(15&gt;$E$5,"",SMALL($O$19:$O$4018,$E$6+15))</f>
        <v/>
      </c>
      <c r="B33" s="29">
        <f>IF(A33="","",INDEX('자료_미국심리'!$B$3:$B$4002,MATCH(A33,$O$19:$O$4018,0)))</f>
        <v/>
      </c>
      <c r="C33" s="22">
        <f>""</f>
        <v/>
      </c>
      <c r="D33" s="29">
        <f>IF(A33="","",IFERROR(INDEX('자료_미국심리'!$E$3:$E$4002,MATCH(A33,$P$19:$P$4018,0)),D32))</f>
        <v/>
      </c>
      <c r="E33" s="29">
        <f>IF(A33="","",IFERROR(INDEX('자료_미국심리'!$H$3:$H$4002,MATCH(A33,$Q$19:$Q$4018,0)),E32))</f>
        <v/>
      </c>
      <c r="F33">
        <f>IF(A33="",0,IF(A33&gt;$B$5,1,0))</f>
        <v/>
      </c>
      <c r="G33" s="29">
        <f>IF(AND(F33=1,ISNUMBER(D33)),D33,"")</f>
        <v/>
      </c>
      <c r="H33" s="29">
        <f>IF(AND(F33=1,ISNUMBER(E33)),E33,"")</f>
        <v/>
      </c>
      <c r="I33" s="22">
        <f>IF(AND(F33=1,ISNUMBER(C33)),C33,"")</f>
        <v/>
      </c>
      <c r="J33" s="11">
        <f>IF(G33="","",100-IF($G$13=1,50,(_xlfn.RANK.AVG(G33,$G$19:$G$1518,1)-1)/($G$13-1)*100))</f>
        <v/>
      </c>
      <c r="K33" s="11">
        <f>IF(H33="","",100-IF($G$14=1,50,(_xlfn.RANK.AVG(H33,$H$19:$H$1518,1)-1)/($G$14-1)*100))</f>
        <v/>
      </c>
      <c r="L33" s="11">
        <f>IF(I33="","",IF($G$15=1,50,(_xlfn.RANK.AVG(I33,$I$19:$I$1518,1)-1)/($G$15-1)*100))</f>
        <v/>
      </c>
      <c r="M33" s="11">
        <f>IF(COUNT(J33:L33)=3,ROUND(AVERAGE(J33:L33),6),"")</f>
        <v/>
      </c>
      <c r="O33">
        <f>IF(AND(ISNUMBER('자료_미국심리'!$A17),ISNUMBER('자료_미국심리'!$B17)),'자료_미국심리'!$A17,"")</f>
        <v/>
      </c>
      <c r="P33">
        <f>IF(AND(ISNUMBER('자료_미국심리'!$D17),ISNUMBER('자료_미국심리'!$E17)),'자료_미국심리'!$D17,"")</f>
        <v/>
      </c>
      <c r="Q33">
        <f>IF(AND(ISNUMBER('자료_미국심리'!$G17),ISNUMBER('자료_미국심리'!$H17)),'자료_미국심리'!$G17,"")</f>
        <v/>
      </c>
    </row>
    <row r="34">
      <c r="A34" s="10">
        <f>IF(16&gt;$E$5,"",SMALL($O$19:$O$4018,$E$6+16))</f>
        <v/>
      </c>
      <c r="B34" s="29">
        <f>IF(A34="","",INDEX('자료_미국심리'!$B$3:$B$4002,MATCH(A34,$O$19:$O$4018,0)))</f>
        <v/>
      </c>
      <c r="C34" s="22">
        <f>""</f>
        <v/>
      </c>
      <c r="D34" s="29">
        <f>IF(A34="","",IFERROR(INDEX('자료_미국심리'!$E$3:$E$4002,MATCH(A34,$P$19:$P$4018,0)),D33))</f>
        <v/>
      </c>
      <c r="E34" s="29">
        <f>IF(A34="","",IFERROR(INDEX('자료_미국심리'!$H$3:$H$4002,MATCH(A34,$Q$19:$Q$4018,0)),E33))</f>
        <v/>
      </c>
      <c r="F34">
        <f>IF(A34="",0,IF(A34&gt;$B$5,1,0))</f>
        <v/>
      </c>
      <c r="G34" s="29">
        <f>IF(AND(F34=1,ISNUMBER(D34)),D34,"")</f>
        <v/>
      </c>
      <c r="H34" s="29">
        <f>IF(AND(F34=1,ISNUMBER(E34)),E34,"")</f>
        <v/>
      </c>
      <c r="I34" s="22">
        <f>IF(AND(F34=1,ISNUMBER(C34)),C34,"")</f>
        <v/>
      </c>
      <c r="J34" s="11">
        <f>IF(G34="","",100-IF($G$13=1,50,(_xlfn.RANK.AVG(G34,$G$19:$G$1518,1)-1)/($G$13-1)*100))</f>
        <v/>
      </c>
      <c r="K34" s="11">
        <f>IF(H34="","",100-IF($G$14=1,50,(_xlfn.RANK.AVG(H34,$H$19:$H$1518,1)-1)/($G$14-1)*100))</f>
        <v/>
      </c>
      <c r="L34" s="11">
        <f>IF(I34="","",IF($G$15=1,50,(_xlfn.RANK.AVG(I34,$I$19:$I$1518,1)-1)/($G$15-1)*100))</f>
        <v/>
      </c>
      <c r="M34" s="11">
        <f>IF(COUNT(J34:L34)=3,ROUND(AVERAGE(J34:L34),6),"")</f>
        <v/>
      </c>
      <c r="O34">
        <f>IF(AND(ISNUMBER('자료_미국심리'!$A18),ISNUMBER('자료_미국심리'!$B18)),'자료_미국심리'!$A18,"")</f>
        <v/>
      </c>
      <c r="P34">
        <f>IF(AND(ISNUMBER('자료_미국심리'!$D18),ISNUMBER('자료_미국심리'!$E18)),'자료_미국심리'!$D18,"")</f>
        <v/>
      </c>
      <c r="Q34">
        <f>IF(AND(ISNUMBER('자료_미국심리'!$G18),ISNUMBER('자료_미국심리'!$H18)),'자료_미국심리'!$G18,"")</f>
        <v/>
      </c>
    </row>
    <row r="35">
      <c r="A35" s="10">
        <f>IF(17&gt;$E$5,"",SMALL($O$19:$O$4018,$E$6+17))</f>
        <v/>
      </c>
      <c r="B35" s="29">
        <f>IF(A35="","",INDEX('자료_미국심리'!$B$3:$B$4002,MATCH(A35,$O$19:$O$4018,0)))</f>
        <v/>
      </c>
      <c r="C35" s="22">
        <f>""</f>
        <v/>
      </c>
      <c r="D35" s="29">
        <f>IF(A35="","",IFERROR(INDEX('자료_미국심리'!$E$3:$E$4002,MATCH(A35,$P$19:$P$4018,0)),D34))</f>
        <v/>
      </c>
      <c r="E35" s="29">
        <f>IF(A35="","",IFERROR(INDEX('자료_미국심리'!$H$3:$H$4002,MATCH(A35,$Q$19:$Q$4018,0)),E34))</f>
        <v/>
      </c>
      <c r="F35">
        <f>IF(A35="",0,IF(A35&gt;$B$5,1,0))</f>
        <v/>
      </c>
      <c r="G35" s="29">
        <f>IF(AND(F35=1,ISNUMBER(D35)),D35,"")</f>
        <v/>
      </c>
      <c r="H35" s="29">
        <f>IF(AND(F35=1,ISNUMBER(E35)),E35,"")</f>
        <v/>
      </c>
      <c r="I35" s="22">
        <f>IF(AND(F35=1,ISNUMBER(C35)),C35,"")</f>
        <v/>
      </c>
      <c r="J35" s="11">
        <f>IF(G35="","",100-IF($G$13=1,50,(_xlfn.RANK.AVG(G35,$G$19:$G$1518,1)-1)/($G$13-1)*100))</f>
        <v/>
      </c>
      <c r="K35" s="11">
        <f>IF(H35="","",100-IF($G$14=1,50,(_xlfn.RANK.AVG(H35,$H$19:$H$1518,1)-1)/($G$14-1)*100))</f>
        <v/>
      </c>
      <c r="L35" s="11">
        <f>IF(I35="","",IF($G$15=1,50,(_xlfn.RANK.AVG(I35,$I$19:$I$1518,1)-1)/($G$15-1)*100))</f>
        <v/>
      </c>
      <c r="M35" s="11">
        <f>IF(COUNT(J35:L35)=3,ROUND(AVERAGE(J35:L35),6),"")</f>
        <v/>
      </c>
      <c r="O35">
        <f>IF(AND(ISNUMBER('자료_미국심리'!$A19),ISNUMBER('자료_미국심리'!$B19)),'자료_미국심리'!$A19,"")</f>
        <v/>
      </c>
      <c r="P35">
        <f>IF(AND(ISNUMBER('자료_미국심리'!$D19),ISNUMBER('자료_미국심리'!$E19)),'자료_미국심리'!$D19,"")</f>
        <v/>
      </c>
      <c r="Q35">
        <f>IF(AND(ISNUMBER('자료_미국심리'!$G19),ISNUMBER('자료_미국심리'!$H19)),'자료_미국심리'!$G19,"")</f>
        <v/>
      </c>
    </row>
    <row r="36">
      <c r="A36" s="10">
        <f>IF(18&gt;$E$5,"",SMALL($O$19:$O$4018,$E$6+18))</f>
        <v/>
      </c>
      <c r="B36" s="29">
        <f>IF(A36="","",INDEX('자료_미국심리'!$B$3:$B$4002,MATCH(A36,$O$19:$O$4018,0)))</f>
        <v/>
      </c>
      <c r="C36" s="22">
        <f>""</f>
        <v/>
      </c>
      <c r="D36" s="29">
        <f>IF(A36="","",IFERROR(INDEX('자료_미국심리'!$E$3:$E$4002,MATCH(A36,$P$19:$P$4018,0)),D35))</f>
        <v/>
      </c>
      <c r="E36" s="29">
        <f>IF(A36="","",IFERROR(INDEX('자료_미국심리'!$H$3:$H$4002,MATCH(A36,$Q$19:$Q$4018,0)),E35))</f>
        <v/>
      </c>
      <c r="F36">
        <f>IF(A36="",0,IF(A36&gt;$B$5,1,0))</f>
        <v/>
      </c>
      <c r="G36" s="29">
        <f>IF(AND(F36=1,ISNUMBER(D36)),D36,"")</f>
        <v/>
      </c>
      <c r="H36" s="29">
        <f>IF(AND(F36=1,ISNUMBER(E36)),E36,"")</f>
        <v/>
      </c>
      <c r="I36" s="22">
        <f>IF(AND(F36=1,ISNUMBER(C36)),C36,"")</f>
        <v/>
      </c>
      <c r="J36" s="11">
        <f>IF(G36="","",100-IF($G$13=1,50,(_xlfn.RANK.AVG(G36,$G$19:$G$1518,1)-1)/($G$13-1)*100))</f>
        <v/>
      </c>
      <c r="K36" s="11">
        <f>IF(H36="","",100-IF($G$14=1,50,(_xlfn.RANK.AVG(H36,$H$19:$H$1518,1)-1)/($G$14-1)*100))</f>
        <v/>
      </c>
      <c r="L36" s="11">
        <f>IF(I36="","",IF($G$15=1,50,(_xlfn.RANK.AVG(I36,$I$19:$I$1518,1)-1)/($G$15-1)*100))</f>
        <v/>
      </c>
      <c r="M36" s="11">
        <f>IF(COUNT(J36:L36)=3,ROUND(AVERAGE(J36:L36),6),"")</f>
        <v/>
      </c>
      <c r="O36">
        <f>IF(AND(ISNUMBER('자료_미국심리'!$A20),ISNUMBER('자료_미국심리'!$B20)),'자료_미국심리'!$A20,"")</f>
        <v/>
      </c>
      <c r="P36">
        <f>IF(AND(ISNUMBER('자료_미국심리'!$D20),ISNUMBER('자료_미국심리'!$E20)),'자료_미국심리'!$D20,"")</f>
        <v/>
      </c>
      <c r="Q36">
        <f>IF(AND(ISNUMBER('자료_미국심리'!$G20),ISNUMBER('자료_미국심리'!$H20)),'자료_미국심리'!$G20,"")</f>
        <v/>
      </c>
    </row>
    <row r="37">
      <c r="A37" s="10">
        <f>IF(19&gt;$E$5,"",SMALL($O$19:$O$4018,$E$6+19))</f>
        <v/>
      </c>
      <c r="B37" s="29">
        <f>IF(A37="","",INDEX('자료_미국심리'!$B$3:$B$4002,MATCH(A37,$O$19:$O$4018,0)))</f>
        <v/>
      </c>
      <c r="C37" s="22">
        <f>""</f>
        <v/>
      </c>
      <c r="D37" s="29">
        <f>IF(A37="","",IFERROR(INDEX('자료_미국심리'!$E$3:$E$4002,MATCH(A37,$P$19:$P$4018,0)),D36))</f>
        <v/>
      </c>
      <c r="E37" s="29">
        <f>IF(A37="","",IFERROR(INDEX('자료_미국심리'!$H$3:$H$4002,MATCH(A37,$Q$19:$Q$4018,0)),E36))</f>
        <v/>
      </c>
      <c r="F37">
        <f>IF(A37="",0,IF(A37&gt;$B$5,1,0))</f>
        <v/>
      </c>
      <c r="G37" s="29">
        <f>IF(AND(F37=1,ISNUMBER(D37)),D37,"")</f>
        <v/>
      </c>
      <c r="H37" s="29">
        <f>IF(AND(F37=1,ISNUMBER(E37)),E37,"")</f>
        <v/>
      </c>
      <c r="I37" s="22">
        <f>IF(AND(F37=1,ISNUMBER(C37)),C37,"")</f>
        <v/>
      </c>
      <c r="J37" s="11">
        <f>IF(G37="","",100-IF($G$13=1,50,(_xlfn.RANK.AVG(G37,$G$19:$G$1518,1)-1)/($G$13-1)*100))</f>
        <v/>
      </c>
      <c r="K37" s="11">
        <f>IF(H37="","",100-IF($G$14=1,50,(_xlfn.RANK.AVG(H37,$H$19:$H$1518,1)-1)/($G$14-1)*100))</f>
        <v/>
      </c>
      <c r="L37" s="11">
        <f>IF(I37="","",IF($G$15=1,50,(_xlfn.RANK.AVG(I37,$I$19:$I$1518,1)-1)/($G$15-1)*100))</f>
        <v/>
      </c>
      <c r="M37" s="11">
        <f>IF(COUNT(J37:L37)=3,ROUND(AVERAGE(J37:L37),6),"")</f>
        <v/>
      </c>
      <c r="O37">
        <f>IF(AND(ISNUMBER('자료_미국심리'!$A21),ISNUMBER('자료_미국심리'!$B21)),'자료_미국심리'!$A21,"")</f>
        <v/>
      </c>
      <c r="P37">
        <f>IF(AND(ISNUMBER('자료_미국심리'!$D21),ISNUMBER('자료_미국심리'!$E21)),'자료_미국심리'!$D21,"")</f>
        <v/>
      </c>
      <c r="Q37">
        <f>IF(AND(ISNUMBER('자료_미국심리'!$G21),ISNUMBER('자료_미국심리'!$H21)),'자료_미국심리'!$G21,"")</f>
        <v/>
      </c>
    </row>
    <row r="38">
      <c r="A38" s="10">
        <f>IF(20&gt;$E$5,"",SMALL($O$19:$O$4018,$E$6+20))</f>
        <v/>
      </c>
      <c r="B38" s="29">
        <f>IF(A38="","",INDEX('자료_미국심리'!$B$3:$B$4002,MATCH(A38,$O$19:$O$4018,0)))</f>
        <v/>
      </c>
      <c r="C38" s="22">
        <f>""</f>
        <v/>
      </c>
      <c r="D38" s="29">
        <f>IF(A38="","",IFERROR(INDEX('자료_미국심리'!$E$3:$E$4002,MATCH(A38,$P$19:$P$4018,0)),D37))</f>
        <v/>
      </c>
      <c r="E38" s="29">
        <f>IF(A38="","",IFERROR(INDEX('자료_미국심리'!$H$3:$H$4002,MATCH(A38,$Q$19:$Q$4018,0)),E37))</f>
        <v/>
      </c>
      <c r="F38">
        <f>IF(A38="",0,IF(A38&gt;$B$5,1,0))</f>
        <v/>
      </c>
      <c r="G38" s="29">
        <f>IF(AND(F38=1,ISNUMBER(D38)),D38,"")</f>
        <v/>
      </c>
      <c r="H38" s="29">
        <f>IF(AND(F38=1,ISNUMBER(E38)),E38,"")</f>
        <v/>
      </c>
      <c r="I38" s="22">
        <f>IF(AND(F38=1,ISNUMBER(C38)),C38,"")</f>
        <v/>
      </c>
      <c r="J38" s="11">
        <f>IF(G38="","",100-IF($G$13=1,50,(_xlfn.RANK.AVG(G38,$G$19:$G$1518,1)-1)/($G$13-1)*100))</f>
        <v/>
      </c>
      <c r="K38" s="11">
        <f>IF(H38="","",100-IF($G$14=1,50,(_xlfn.RANK.AVG(H38,$H$19:$H$1518,1)-1)/($G$14-1)*100))</f>
        <v/>
      </c>
      <c r="L38" s="11">
        <f>IF(I38="","",IF($G$15=1,50,(_xlfn.RANK.AVG(I38,$I$19:$I$1518,1)-1)/($G$15-1)*100))</f>
        <v/>
      </c>
      <c r="M38" s="11">
        <f>IF(COUNT(J38:L38)=3,ROUND(AVERAGE(J38:L38),6),"")</f>
        <v/>
      </c>
      <c r="O38">
        <f>IF(AND(ISNUMBER('자료_미국심리'!$A22),ISNUMBER('자료_미국심리'!$B22)),'자료_미국심리'!$A22,"")</f>
        <v/>
      </c>
      <c r="P38">
        <f>IF(AND(ISNUMBER('자료_미국심리'!$D22),ISNUMBER('자료_미국심리'!$E22)),'자료_미국심리'!$D22,"")</f>
        <v/>
      </c>
      <c r="Q38">
        <f>IF(AND(ISNUMBER('자료_미국심리'!$G22),ISNUMBER('자료_미국심리'!$H22)),'자료_미국심리'!$G22,"")</f>
        <v/>
      </c>
    </row>
    <row r="39">
      <c r="A39" s="10">
        <f>IF(21&gt;$E$5,"",SMALL($O$19:$O$4018,$E$6+21))</f>
        <v/>
      </c>
      <c r="B39" s="29">
        <f>IF(A39="","",INDEX('자료_미국심리'!$B$3:$B$4002,MATCH(A39,$O$19:$O$4018,0)))</f>
        <v/>
      </c>
      <c r="C39" s="22">
        <f>""</f>
        <v/>
      </c>
      <c r="D39" s="29">
        <f>IF(A39="","",IFERROR(INDEX('자료_미국심리'!$E$3:$E$4002,MATCH(A39,$P$19:$P$4018,0)),D38))</f>
        <v/>
      </c>
      <c r="E39" s="29">
        <f>IF(A39="","",IFERROR(INDEX('자료_미국심리'!$H$3:$H$4002,MATCH(A39,$Q$19:$Q$4018,0)),E38))</f>
        <v/>
      </c>
      <c r="F39">
        <f>IF(A39="",0,IF(A39&gt;$B$5,1,0))</f>
        <v/>
      </c>
      <c r="G39" s="29">
        <f>IF(AND(F39=1,ISNUMBER(D39)),D39,"")</f>
        <v/>
      </c>
      <c r="H39" s="29">
        <f>IF(AND(F39=1,ISNUMBER(E39)),E39,"")</f>
        <v/>
      </c>
      <c r="I39" s="22">
        <f>IF(AND(F39=1,ISNUMBER(C39)),C39,"")</f>
        <v/>
      </c>
      <c r="J39" s="11">
        <f>IF(G39="","",100-IF($G$13=1,50,(_xlfn.RANK.AVG(G39,$G$19:$G$1518,1)-1)/($G$13-1)*100))</f>
        <v/>
      </c>
      <c r="K39" s="11">
        <f>IF(H39="","",100-IF($G$14=1,50,(_xlfn.RANK.AVG(H39,$H$19:$H$1518,1)-1)/($G$14-1)*100))</f>
        <v/>
      </c>
      <c r="L39" s="11">
        <f>IF(I39="","",IF($G$15=1,50,(_xlfn.RANK.AVG(I39,$I$19:$I$1518,1)-1)/($G$15-1)*100))</f>
        <v/>
      </c>
      <c r="M39" s="11">
        <f>IF(COUNT(J39:L39)=3,ROUND(AVERAGE(J39:L39),6),"")</f>
        <v/>
      </c>
      <c r="O39">
        <f>IF(AND(ISNUMBER('자료_미국심리'!$A23),ISNUMBER('자료_미국심리'!$B23)),'자료_미국심리'!$A23,"")</f>
        <v/>
      </c>
      <c r="P39">
        <f>IF(AND(ISNUMBER('자료_미국심리'!$D23),ISNUMBER('자료_미국심리'!$E23)),'자료_미국심리'!$D23,"")</f>
        <v/>
      </c>
      <c r="Q39">
        <f>IF(AND(ISNUMBER('자료_미국심리'!$G23),ISNUMBER('자료_미국심리'!$H23)),'자료_미국심리'!$G23,"")</f>
        <v/>
      </c>
    </row>
    <row r="40">
      <c r="A40" s="10">
        <f>IF(22&gt;$E$5,"",SMALL($O$19:$O$4018,$E$6+22))</f>
        <v/>
      </c>
      <c r="B40" s="29">
        <f>IF(A40="","",INDEX('자료_미국심리'!$B$3:$B$4002,MATCH(A40,$O$19:$O$4018,0)))</f>
        <v/>
      </c>
      <c r="C40" s="22">
        <f>""</f>
        <v/>
      </c>
      <c r="D40" s="29">
        <f>IF(A40="","",IFERROR(INDEX('자료_미국심리'!$E$3:$E$4002,MATCH(A40,$P$19:$P$4018,0)),D39))</f>
        <v/>
      </c>
      <c r="E40" s="29">
        <f>IF(A40="","",IFERROR(INDEX('자료_미국심리'!$H$3:$H$4002,MATCH(A40,$Q$19:$Q$4018,0)),E39))</f>
        <v/>
      </c>
      <c r="F40">
        <f>IF(A40="",0,IF(A40&gt;$B$5,1,0))</f>
        <v/>
      </c>
      <c r="G40" s="29">
        <f>IF(AND(F40=1,ISNUMBER(D40)),D40,"")</f>
        <v/>
      </c>
      <c r="H40" s="29">
        <f>IF(AND(F40=1,ISNUMBER(E40)),E40,"")</f>
        <v/>
      </c>
      <c r="I40" s="22">
        <f>IF(AND(F40=1,ISNUMBER(C40)),C40,"")</f>
        <v/>
      </c>
      <c r="J40" s="11">
        <f>IF(G40="","",100-IF($G$13=1,50,(_xlfn.RANK.AVG(G40,$G$19:$G$1518,1)-1)/($G$13-1)*100))</f>
        <v/>
      </c>
      <c r="K40" s="11">
        <f>IF(H40="","",100-IF($G$14=1,50,(_xlfn.RANK.AVG(H40,$H$19:$H$1518,1)-1)/($G$14-1)*100))</f>
        <v/>
      </c>
      <c r="L40" s="11">
        <f>IF(I40="","",IF($G$15=1,50,(_xlfn.RANK.AVG(I40,$I$19:$I$1518,1)-1)/($G$15-1)*100))</f>
        <v/>
      </c>
      <c r="M40" s="11">
        <f>IF(COUNT(J40:L40)=3,ROUND(AVERAGE(J40:L40),6),"")</f>
        <v/>
      </c>
      <c r="O40">
        <f>IF(AND(ISNUMBER('자료_미국심리'!$A24),ISNUMBER('자료_미국심리'!$B24)),'자료_미국심리'!$A24,"")</f>
        <v/>
      </c>
      <c r="P40">
        <f>IF(AND(ISNUMBER('자료_미국심리'!$D24),ISNUMBER('자료_미국심리'!$E24)),'자료_미국심리'!$D24,"")</f>
        <v/>
      </c>
      <c r="Q40">
        <f>IF(AND(ISNUMBER('자료_미국심리'!$G24),ISNUMBER('자료_미국심리'!$H24)),'자료_미국심리'!$G24,"")</f>
        <v/>
      </c>
    </row>
    <row r="41">
      <c r="A41" s="10">
        <f>IF(23&gt;$E$5,"",SMALL($O$19:$O$4018,$E$6+23))</f>
        <v/>
      </c>
      <c r="B41" s="29">
        <f>IF(A41="","",INDEX('자료_미국심리'!$B$3:$B$4002,MATCH(A41,$O$19:$O$4018,0)))</f>
        <v/>
      </c>
      <c r="C41" s="22">
        <f>""</f>
        <v/>
      </c>
      <c r="D41" s="29">
        <f>IF(A41="","",IFERROR(INDEX('자료_미국심리'!$E$3:$E$4002,MATCH(A41,$P$19:$P$4018,0)),D40))</f>
        <v/>
      </c>
      <c r="E41" s="29">
        <f>IF(A41="","",IFERROR(INDEX('자료_미국심리'!$H$3:$H$4002,MATCH(A41,$Q$19:$Q$4018,0)),E40))</f>
        <v/>
      </c>
      <c r="F41">
        <f>IF(A41="",0,IF(A41&gt;$B$5,1,0))</f>
        <v/>
      </c>
      <c r="G41" s="29">
        <f>IF(AND(F41=1,ISNUMBER(D41)),D41,"")</f>
        <v/>
      </c>
      <c r="H41" s="29">
        <f>IF(AND(F41=1,ISNUMBER(E41)),E41,"")</f>
        <v/>
      </c>
      <c r="I41" s="22">
        <f>IF(AND(F41=1,ISNUMBER(C41)),C41,"")</f>
        <v/>
      </c>
      <c r="J41" s="11">
        <f>IF(G41="","",100-IF($G$13=1,50,(_xlfn.RANK.AVG(G41,$G$19:$G$1518,1)-1)/($G$13-1)*100))</f>
        <v/>
      </c>
      <c r="K41" s="11">
        <f>IF(H41="","",100-IF($G$14=1,50,(_xlfn.RANK.AVG(H41,$H$19:$H$1518,1)-1)/($G$14-1)*100))</f>
        <v/>
      </c>
      <c r="L41" s="11">
        <f>IF(I41="","",IF($G$15=1,50,(_xlfn.RANK.AVG(I41,$I$19:$I$1518,1)-1)/($G$15-1)*100))</f>
        <v/>
      </c>
      <c r="M41" s="11">
        <f>IF(COUNT(J41:L41)=3,ROUND(AVERAGE(J41:L41),6),"")</f>
        <v/>
      </c>
      <c r="O41">
        <f>IF(AND(ISNUMBER('자료_미국심리'!$A25),ISNUMBER('자료_미국심리'!$B25)),'자료_미국심리'!$A25,"")</f>
        <v/>
      </c>
      <c r="P41">
        <f>IF(AND(ISNUMBER('자료_미국심리'!$D25),ISNUMBER('자료_미국심리'!$E25)),'자료_미국심리'!$D25,"")</f>
        <v/>
      </c>
      <c r="Q41">
        <f>IF(AND(ISNUMBER('자료_미국심리'!$G25),ISNUMBER('자료_미국심리'!$H25)),'자료_미국심리'!$G25,"")</f>
        <v/>
      </c>
    </row>
    <row r="42">
      <c r="A42" s="10">
        <f>IF(24&gt;$E$5,"",SMALL($O$19:$O$4018,$E$6+24))</f>
        <v/>
      </c>
      <c r="B42" s="29">
        <f>IF(A42="","",INDEX('자료_미국심리'!$B$3:$B$4002,MATCH(A42,$O$19:$O$4018,0)))</f>
        <v/>
      </c>
      <c r="C42" s="22">
        <f>""</f>
        <v/>
      </c>
      <c r="D42" s="29">
        <f>IF(A42="","",IFERROR(INDEX('자료_미국심리'!$E$3:$E$4002,MATCH(A42,$P$19:$P$4018,0)),D41))</f>
        <v/>
      </c>
      <c r="E42" s="29">
        <f>IF(A42="","",IFERROR(INDEX('자료_미국심리'!$H$3:$H$4002,MATCH(A42,$Q$19:$Q$4018,0)),E41))</f>
        <v/>
      </c>
      <c r="F42">
        <f>IF(A42="",0,IF(A42&gt;$B$5,1,0))</f>
        <v/>
      </c>
      <c r="G42" s="29">
        <f>IF(AND(F42=1,ISNUMBER(D42)),D42,"")</f>
        <v/>
      </c>
      <c r="H42" s="29">
        <f>IF(AND(F42=1,ISNUMBER(E42)),E42,"")</f>
        <v/>
      </c>
      <c r="I42" s="22">
        <f>IF(AND(F42=1,ISNUMBER(C42)),C42,"")</f>
        <v/>
      </c>
      <c r="J42" s="11">
        <f>IF(G42="","",100-IF($G$13=1,50,(_xlfn.RANK.AVG(G42,$G$19:$G$1518,1)-1)/($G$13-1)*100))</f>
        <v/>
      </c>
      <c r="K42" s="11">
        <f>IF(H42="","",100-IF($G$14=1,50,(_xlfn.RANK.AVG(H42,$H$19:$H$1518,1)-1)/($G$14-1)*100))</f>
        <v/>
      </c>
      <c r="L42" s="11">
        <f>IF(I42="","",IF($G$15=1,50,(_xlfn.RANK.AVG(I42,$I$19:$I$1518,1)-1)/($G$15-1)*100))</f>
        <v/>
      </c>
      <c r="M42" s="11">
        <f>IF(COUNT(J42:L42)=3,ROUND(AVERAGE(J42:L42),6),"")</f>
        <v/>
      </c>
      <c r="O42">
        <f>IF(AND(ISNUMBER('자료_미국심리'!$A26),ISNUMBER('자료_미국심리'!$B26)),'자료_미국심리'!$A26,"")</f>
        <v/>
      </c>
      <c r="P42">
        <f>IF(AND(ISNUMBER('자료_미국심리'!$D26),ISNUMBER('자료_미국심리'!$E26)),'자료_미국심리'!$D26,"")</f>
        <v/>
      </c>
      <c r="Q42">
        <f>IF(AND(ISNUMBER('자료_미국심리'!$G26),ISNUMBER('자료_미국심리'!$H26)),'자료_미국심리'!$G26,"")</f>
        <v/>
      </c>
    </row>
    <row r="43">
      <c r="A43" s="10">
        <f>IF(25&gt;$E$5,"",SMALL($O$19:$O$4018,$E$6+25))</f>
        <v/>
      </c>
      <c r="B43" s="29">
        <f>IF(A43="","",INDEX('자료_미국심리'!$B$3:$B$4002,MATCH(A43,$O$19:$O$4018,0)))</f>
        <v/>
      </c>
      <c r="C43" s="22">
        <f>""</f>
        <v/>
      </c>
      <c r="D43" s="29">
        <f>IF(A43="","",IFERROR(INDEX('자료_미국심리'!$E$3:$E$4002,MATCH(A43,$P$19:$P$4018,0)),D42))</f>
        <v/>
      </c>
      <c r="E43" s="29">
        <f>IF(A43="","",IFERROR(INDEX('자료_미국심리'!$H$3:$H$4002,MATCH(A43,$Q$19:$Q$4018,0)),E42))</f>
        <v/>
      </c>
      <c r="F43">
        <f>IF(A43="",0,IF(A43&gt;$B$5,1,0))</f>
        <v/>
      </c>
      <c r="G43" s="29">
        <f>IF(AND(F43=1,ISNUMBER(D43)),D43,"")</f>
        <v/>
      </c>
      <c r="H43" s="29">
        <f>IF(AND(F43=1,ISNUMBER(E43)),E43,"")</f>
        <v/>
      </c>
      <c r="I43" s="22">
        <f>IF(AND(F43=1,ISNUMBER(C43)),C43,"")</f>
        <v/>
      </c>
      <c r="J43" s="11">
        <f>IF(G43="","",100-IF($G$13=1,50,(_xlfn.RANK.AVG(G43,$G$19:$G$1518,1)-1)/($G$13-1)*100))</f>
        <v/>
      </c>
      <c r="K43" s="11">
        <f>IF(H43="","",100-IF($G$14=1,50,(_xlfn.RANK.AVG(H43,$H$19:$H$1518,1)-1)/($G$14-1)*100))</f>
        <v/>
      </c>
      <c r="L43" s="11">
        <f>IF(I43="","",IF($G$15=1,50,(_xlfn.RANK.AVG(I43,$I$19:$I$1518,1)-1)/($G$15-1)*100))</f>
        <v/>
      </c>
      <c r="M43" s="11">
        <f>IF(COUNT(J43:L43)=3,ROUND(AVERAGE(J43:L43),6),"")</f>
        <v/>
      </c>
      <c r="O43">
        <f>IF(AND(ISNUMBER('자료_미국심리'!$A27),ISNUMBER('자료_미국심리'!$B27)),'자료_미국심리'!$A27,"")</f>
        <v/>
      </c>
      <c r="P43">
        <f>IF(AND(ISNUMBER('자료_미국심리'!$D27),ISNUMBER('자료_미국심리'!$E27)),'자료_미국심리'!$D27,"")</f>
        <v/>
      </c>
      <c r="Q43">
        <f>IF(AND(ISNUMBER('자료_미국심리'!$G27),ISNUMBER('자료_미국심리'!$H27)),'자료_미국심리'!$G27,"")</f>
        <v/>
      </c>
    </row>
    <row r="44">
      <c r="A44" s="10">
        <f>IF(26&gt;$E$5,"",SMALL($O$19:$O$4018,$E$6+26))</f>
        <v/>
      </c>
      <c r="B44" s="29">
        <f>IF(A44="","",INDEX('자료_미국심리'!$B$3:$B$4002,MATCH(A44,$O$19:$O$4018,0)))</f>
        <v/>
      </c>
      <c r="C44" s="22">
        <f>""</f>
        <v/>
      </c>
      <c r="D44" s="29">
        <f>IF(A44="","",IFERROR(INDEX('자료_미국심리'!$E$3:$E$4002,MATCH(A44,$P$19:$P$4018,0)),D43))</f>
        <v/>
      </c>
      <c r="E44" s="29">
        <f>IF(A44="","",IFERROR(INDEX('자료_미국심리'!$H$3:$H$4002,MATCH(A44,$Q$19:$Q$4018,0)),E43))</f>
        <v/>
      </c>
      <c r="F44">
        <f>IF(A44="",0,IF(A44&gt;$B$5,1,0))</f>
        <v/>
      </c>
      <c r="G44" s="29">
        <f>IF(AND(F44=1,ISNUMBER(D44)),D44,"")</f>
        <v/>
      </c>
      <c r="H44" s="29">
        <f>IF(AND(F44=1,ISNUMBER(E44)),E44,"")</f>
        <v/>
      </c>
      <c r="I44" s="22">
        <f>IF(AND(F44=1,ISNUMBER(C44)),C44,"")</f>
        <v/>
      </c>
      <c r="J44" s="11">
        <f>IF(G44="","",100-IF($G$13=1,50,(_xlfn.RANK.AVG(G44,$G$19:$G$1518,1)-1)/($G$13-1)*100))</f>
        <v/>
      </c>
      <c r="K44" s="11">
        <f>IF(H44="","",100-IF($G$14=1,50,(_xlfn.RANK.AVG(H44,$H$19:$H$1518,1)-1)/($G$14-1)*100))</f>
        <v/>
      </c>
      <c r="L44" s="11">
        <f>IF(I44="","",IF($G$15=1,50,(_xlfn.RANK.AVG(I44,$I$19:$I$1518,1)-1)/($G$15-1)*100))</f>
        <v/>
      </c>
      <c r="M44" s="11">
        <f>IF(COUNT(J44:L44)=3,ROUND(AVERAGE(J44:L44),6),"")</f>
        <v/>
      </c>
      <c r="O44">
        <f>IF(AND(ISNUMBER('자료_미국심리'!$A28),ISNUMBER('자료_미국심리'!$B28)),'자료_미국심리'!$A28,"")</f>
        <v/>
      </c>
      <c r="P44">
        <f>IF(AND(ISNUMBER('자료_미국심리'!$D28),ISNUMBER('자료_미국심리'!$E28)),'자료_미국심리'!$D28,"")</f>
        <v/>
      </c>
      <c r="Q44">
        <f>IF(AND(ISNUMBER('자료_미국심리'!$G28),ISNUMBER('자료_미국심리'!$H28)),'자료_미국심리'!$G28,"")</f>
        <v/>
      </c>
    </row>
    <row r="45">
      <c r="A45" s="10">
        <f>IF(27&gt;$E$5,"",SMALL($O$19:$O$4018,$E$6+27))</f>
        <v/>
      </c>
      <c r="B45" s="29">
        <f>IF(A45="","",INDEX('자료_미국심리'!$B$3:$B$4002,MATCH(A45,$O$19:$O$4018,0)))</f>
        <v/>
      </c>
      <c r="C45" s="22">
        <f>""</f>
        <v/>
      </c>
      <c r="D45" s="29">
        <f>IF(A45="","",IFERROR(INDEX('자료_미국심리'!$E$3:$E$4002,MATCH(A45,$P$19:$P$4018,0)),D44))</f>
        <v/>
      </c>
      <c r="E45" s="29">
        <f>IF(A45="","",IFERROR(INDEX('자료_미국심리'!$H$3:$H$4002,MATCH(A45,$Q$19:$Q$4018,0)),E44))</f>
        <v/>
      </c>
      <c r="F45">
        <f>IF(A45="",0,IF(A45&gt;$B$5,1,0))</f>
        <v/>
      </c>
      <c r="G45" s="29">
        <f>IF(AND(F45=1,ISNUMBER(D45)),D45,"")</f>
        <v/>
      </c>
      <c r="H45" s="29">
        <f>IF(AND(F45=1,ISNUMBER(E45)),E45,"")</f>
        <v/>
      </c>
      <c r="I45" s="22">
        <f>IF(AND(F45=1,ISNUMBER(C45)),C45,"")</f>
        <v/>
      </c>
      <c r="J45" s="11">
        <f>IF(G45="","",100-IF($G$13=1,50,(_xlfn.RANK.AVG(G45,$G$19:$G$1518,1)-1)/($G$13-1)*100))</f>
        <v/>
      </c>
      <c r="K45" s="11">
        <f>IF(H45="","",100-IF($G$14=1,50,(_xlfn.RANK.AVG(H45,$H$19:$H$1518,1)-1)/($G$14-1)*100))</f>
        <v/>
      </c>
      <c r="L45" s="11">
        <f>IF(I45="","",IF($G$15=1,50,(_xlfn.RANK.AVG(I45,$I$19:$I$1518,1)-1)/($G$15-1)*100))</f>
        <v/>
      </c>
      <c r="M45" s="11">
        <f>IF(COUNT(J45:L45)=3,ROUND(AVERAGE(J45:L45),6),"")</f>
        <v/>
      </c>
      <c r="O45">
        <f>IF(AND(ISNUMBER('자료_미국심리'!$A29),ISNUMBER('자료_미국심리'!$B29)),'자료_미국심리'!$A29,"")</f>
        <v/>
      </c>
      <c r="P45">
        <f>IF(AND(ISNUMBER('자료_미국심리'!$D29),ISNUMBER('자료_미국심리'!$E29)),'자료_미국심리'!$D29,"")</f>
        <v/>
      </c>
      <c r="Q45">
        <f>IF(AND(ISNUMBER('자료_미국심리'!$G29),ISNUMBER('자료_미국심리'!$H29)),'자료_미국심리'!$G29,"")</f>
        <v/>
      </c>
    </row>
    <row r="46">
      <c r="A46" s="10">
        <f>IF(28&gt;$E$5,"",SMALL($O$19:$O$4018,$E$6+28))</f>
        <v/>
      </c>
      <c r="B46" s="29">
        <f>IF(A46="","",INDEX('자료_미국심리'!$B$3:$B$4002,MATCH(A46,$O$19:$O$4018,0)))</f>
        <v/>
      </c>
      <c r="C46" s="22">
        <f>""</f>
        <v/>
      </c>
      <c r="D46" s="29">
        <f>IF(A46="","",IFERROR(INDEX('자료_미국심리'!$E$3:$E$4002,MATCH(A46,$P$19:$P$4018,0)),D45))</f>
        <v/>
      </c>
      <c r="E46" s="29">
        <f>IF(A46="","",IFERROR(INDEX('자료_미국심리'!$H$3:$H$4002,MATCH(A46,$Q$19:$Q$4018,0)),E45))</f>
        <v/>
      </c>
      <c r="F46">
        <f>IF(A46="",0,IF(A46&gt;$B$5,1,0))</f>
        <v/>
      </c>
      <c r="G46" s="29">
        <f>IF(AND(F46=1,ISNUMBER(D46)),D46,"")</f>
        <v/>
      </c>
      <c r="H46" s="29">
        <f>IF(AND(F46=1,ISNUMBER(E46)),E46,"")</f>
        <v/>
      </c>
      <c r="I46" s="22">
        <f>IF(AND(F46=1,ISNUMBER(C46)),C46,"")</f>
        <v/>
      </c>
      <c r="J46" s="11">
        <f>IF(G46="","",100-IF($G$13=1,50,(_xlfn.RANK.AVG(G46,$G$19:$G$1518,1)-1)/($G$13-1)*100))</f>
        <v/>
      </c>
      <c r="K46" s="11">
        <f>IF(H46="","",100-IF($G$14=1,50,(_xlfn.RANK.AVG(H46,$H$19:$H$1518,1)-1)/($G$14-1)*100))</f>
        <v/>
      </c>
      <c r="L46" s="11">
        <f>IF(I46="","",IF($G$15=1,50,(_xlfn.RANK.AVG(I46,$I$19:$I$1518,1)-1)/($G$15-1)*100))</f>
        <v/>
      </c>
      <c r="M46" s="11">
        <f>IF(COUNT(J46:L46)=3,ROUND(AVERAGE(J46:L46),6),"")</f>
        <v/>
      </c>
      <c r="O46">
        <f>IF(AND(ISNUMBER('자료_미국심리'!$A30),ISNUMBER('자료_미국심리'!$B30)),'자료_미국심리'!$A30,"")</f>
        <v/>
      </c>
      <c r="P46">
        <f>IF(AND(ISNUMBER('자료_미국심리'!$D30),ISNUMBER('자료_미국심리'!$E30)),'자료_미국심리'!$D30,"")</f>
        <v/>
      </c>
      <c r="Q46">
        <f>IF(AND(ISNUMBER('자료_미국심리'!$G30),ISNUMBER('자료_미국심리'!$H30)),'자료_미국심리'!$G30,"")</f>
        <v/>
      </c>
    </row>
    <row r="47">
      <c r="A47" s="10">
        <f>IF(29&gt;$E$5,"",SMALL($O$19:$O$4018,$E$6+29))</f>
        <v/>
      </c>
      <c r="B47" s="29">
        <f>IF(A47="","",INDEX('자료_미국심리'!$B$3:$B$4002,MATCH(A47,$O$19:$O$4018,0)))</f>
        <v/>
      </c>
      <c r="C47" s="22">
        <f>""</f>
        <v/>
      </c>
      <c r="D47" s="29">
        <f>IF(A47="","",IFERROR(INDEX('자료_미국심리'!$E$3:$E$4002,MATCH(A47,$P$19:$P$4018,0)),D46))</f>
        <v/>
      </c>
      <c r="E47" s="29">
        <f>IF(A47="","",IFERROR(INDEX('자료_미국심리'!$H$3:$H$4002,MATCH(A47,$Q$19:$Q$4018,0)),E46))</f>
        <v/>
      </c>
      <c r="F47">
        <f>IF(A47="",0,IF(A47&gt;$B$5,1,0))</f>
        <v/>
      </c>
      <c r="G47" s="29">
        <f>IF(AND(F47=1,ISNUMBER(D47)),D47,"")</f>
        <v/>
      </c>
      <c r="H47" s="29">
        <f>IF(AND(F47=1,ISNUMBER(E47)),E47,"")</f>
        <v/>
      </c>
      <c r="I47" s="22">
        <f>IF(AND(F47=1,ISNUMBER(C47)),C47,"")</f>
        <v/>
      </c>
      <c r="J47" s="11">
        <f>IF(G47="","",100-IF($G$13=1,50,(_xlfn.RANK.AVG(G47,$G$19:$G$1518,1)-1)/($G$13-1)*100))</f>
        <v/>
      </c>
      <c r="K47" s="11">
        <f>IF(H47="","",100-IF($G$14=1,50,(_xlfn.RANK.AVG(H47,$H$19:$H$1518,1)-1)/($G$14-1)*100))</f>
        <v/>
      </c>
      <c r="L47" s="11">
        <f>IF(I47="","",IF($G$15=1,50,(_xlfn.RANK.AVG(I47,$I$19:$I$1518,1)-1)/($G$15-1)*100))</f>
        <v/>
      </c>
      <c r="M47" s="11">
        <f>IF(COUNT(J47:L47)=3,ROUND(AVERAGE(J47:L47),6),"")</f>
        <v/>
      </c>
      <c r="O47">
        <f>IF(AND(ISNUMBER('자료_미국심리'!$A31),ISNUMBER('자료_미국심리'!$B31)),'자료_미국심리'!$A31,"")</f>
        <v/>
      </c>
      <c r="P47">
        <f>IF(AND(ISNUMBER('자료_미국심리'!$D31),ISNUMBER('자료_미국심리'!$E31)),'자료_미국심리'!$D31,"")</f>
        <v/>
      </c>
      <c r="Q47">
        <f>IF(AND(ISNUMBER('자료_미국심리'!$G31),ISNUMBER('자료_미국심리'!$H31)),'자료_미국심리'!$G31,"")</f>
        <v/>
      </c>
    </row>
    <row r="48">
      <c r="A48" s="10">
        <f>IF(30&gt;$E$5,"",SMALL($O$19:$O$4018,$E$6+30))</f>
        <v/>
      </c>
      <c r="B48" s="29">
        <f>IF(A48="","",INDEX('자료_미국심리'!$B$3:$B$4002,MATCH(A48,$O$19:$O$4018,0)))</f>
        <v/>
      </c>
      <c r="C48" s="22">
        <f>""</f>
        <v/>
      </c>
      <c r="D48" s="29">
        <f>IF(A48="","",IFERROR(INDEX('자료_미국심리'!$E$3:$E$4002,MATCH(A48,$P$19:$P$4018,0)),D47))</f>
        <v/>
      </c>
      <c r="E48" s="29">
        <f>IF(A48="","",IFERROR(INDEX('자료_미국심리'!$H$3:$H$4002,MATCH(A48,$Q$19:$Q$4018,0)),E47))</f>
        <v/>
      </c>
      <c r="F48">
        <f>IF(A48="",0,IF(A48&gt;$B$5,1,0))</f>
        <v/>
      </c>
      <c r="G48" s="29">
        <f>IF(AND(F48=1,ISNUMBER(D48)),D48,"")</f>
        <v/>
      </c>
      <c r="H48" s="29">
        <f>IF(AND(F48=1,ISNUMBER(E48)),E48,"")</f>
        <v/>
      </c>
      <c r="I48" s="22">
        <f>IF(AND(F48=1,ISNUMBER(C48)),C48,"")</f>
        <v/>
      </c>
      <c r="J48" s="11">
        <f>IF(G48="","",100-IF($G$13=1,50,(_xlfn.RANK.AVG(G48,$G$19:$G$1518,1)-1)/($G$13-1)*100))</f>
        <v/>
      </c>
      <c r="K48" s="11">
        <f>IF(H48="","",100-IF($G$14=1,50,(_xlfn.RANK.AVG(H48,$H$19:$H$1518,1)-1)/($G$14-1)*100))</f>
        <v/>
      </c>
      <c r="L48" s="11">
        <f>IF(I48="","",IF($G$15=1,50,(_xlfn.RANK.AVG(I48,$I$19:$I$1518,1)-1)/($G$15-1)*100))</f>
        <v/>
      </c>
      <c r="M48" s="11">
        <f>IF(COUNT(J48:L48)=3,ROUND(AVERAGE(J48:L48),6),"")</f>
        <v/>
      </c>
      <c r="O48">
        <f>IF(AND(ISNUMBER('자료_미국심리'!$A32),ISNUMBER('자료_미국심리'!$B32)),'자료_미국심리'!$A32,"")</f>
        <v/>
      </c>
      <c r="P48">
        <f>IF(AND(ISNUMBER('자료_미국심리'!$D32),ISNUMBER('자료_미국심리'!$E32)),'자료_미국심리'!$D32,"")</f>
        <v/>
      </c>
      <c r="Q48">
        <f>IF(AND(ISNUMBER('자료_미국심리'!$G32),ISNUMBER('자료_미국심리'!$H32)),'자료_미국심리'!$G32,"")</f>
        <v/>
      </c>
    </row>
    <row r="49">
      <c r="A49" s="10">
        <f>IF(31&gt;$E$5,"",SMALL($O$19:$O$4018,$E$6+31))</f>
        <v/>
      </c>
      <c r="B49" s="29">
        <f>IF(A49="","",INDEX('자료_미국심리'!$B$3:$B$4002,MATCH(A49,$O$19:$O$4018,0)))</f>
        <v/>
      </c>
      <c r="C49" s="22">
        <f>""</f>
        <v/>
      </c>
      <c r="D49" s="29">
        <f>IF(A49="","",IFERROR(INDEX('자료_미국심리'!$E$3:$E$4002,MATCH(A49,$P$19:$P$4018,0)),D48))</f>
        <v/>
      </c>
      <c r="E49" s="29">
        <f>IF(A49="","",IFERROR(INDEX('자료_미국심리'!$H$3:$H$4002,MATCH(A49,$Q$19:$Q$4018,0)),E48))</f>
        <v/>
      </c>
      <c r="F49">
        <f>IF(A49="",0,IF(A49&gt;$B$5,1,0))</f>
        <v/>
      </c>
      <c r="G49" s="29">
        <f>IF(AND(F49=1,ISNUMBER(D49)),D49,"")</f>
        <v/>
      </c>
      <c r="H49" s="29">
        <f>IF(AND(F49=1,ISNUMBER(E49)),E49,"")</f>
        <v/>
      </c>
      <c r="I49" s="22">
        <f>IF(AND(F49=1,ISNUMBER(C49)),C49,"")</f>
        <v/>
      </c>
      <c r="J49" s="11">
        <f>IF(G49="","",100-IF($G$13=1,50,(_xlfn.RANK.AVG(G49,$G$19:$G$1518,1)-1)/($G$13-1)*100))</f>
        <v/>
      </c>
      <c r="K49" s="11">
        <f>IF(H49="","",100-IF($G$14=1,50,(_xlfn.RANK.AVG(H49,$H$19:$H$1518,1)-1)/($G$14-1)*100))</f>
        <v/>
      </c>
      <c r="L49" s="11">
        <f>IF(I49="","",IF($G$15=1,50,(_xlfn.RANK.AVG(I49,$I$19:$I$1518,1)-1)/($G$15-1)*100))</f>
        <v/>
      </c>
      <c r="M49" s="11">
        <f>IF(COUNT(J49:L49)=3,ROUND(AVERAGE(J49:L49),6),"")</f>
        <v/>
      </c>
      <c r="O49">
        <f>IF(AND(ISNUMBER('자료_미국심리'!$A33),ISNUMBER('자료_미국심리'!$B33)),'자료_미국심리'!$A33,"")</f>
        <v/>
      </c>
      <c r="P49">
        <f>IF(AND(ISNUMBER('자료_미국심리'!$D33),ISNUMBER('자료_미국심리'!$E33)),'자료_미국심리'!$D33,"")</f>
        <v/>
      </c>
      <c r="Q49">
        <f>IF(AND(ISNUMBER('자료_미국심리'!$G33),ISNUMBER('자료_미국심리'!$H33)),'자료_미국심리'!$G33,"")</f>
        <v/>
      </c>
    </row>
    <row r="50">
      <c r="A50" s="10">
        <f>IF(32&gt;$E$5,"",SMALL($O$19:$O$4018,$E$6+32))</f>
        <v/>
      </c>
      <c r="B50" s="29">
        <f>IF(A50="","",INDEX('자료_미국심리'!$B$3:$B$4002,MATCH(A50,$O$19:$O$4018,0)))</f>
        <v/>
      </c>
      <c r="C50" s="22">
        <f>""</f>
        <v/>
      </c>
      <c r="D50" s="29">
        <f>IF(A50="","",IFERROR(INDEX('자료_미국심리'!$E$3:$E$4002,MATCH(A50,$P$19:$P$4018,0)),D49))</f>
        <v/>
      </c>
      <c r="E50" s="29">
        <f>IF(A50="","",IFERROR(INDEX('자료_미국심리'!$H$3:$H$4002,MATCH(A50,$Q$19:$Q$4018,0)),E49))</f>
        <v/>
      </c>
      <c r="F50">
        <f>IF(A50="",0,IF(A50&gt;$B$5,1,0))</f>
        <v/>
      </c>
      <c r="G50" s="29">
        <f>IF(AND(F50=1,ISNUMBER(D50)),D50,"")</f>
        <v/>
      </c>
      <c r="H50" s="29">
        <f>IF(AND(F50=1,ISNUMBER(E50)),E50,"")</f>
        <v/>
      </c>
      <c r="I50" s="22">
        <f>IF(AND(F50=1,ISNUMBER(C50)),C50,"")</f>
        <v/>
      </c>
      <c r="J50" s="11">
        <f>IF(G50="","",100-IF($G$13=1,50,(_xlfn.RANK.AVG(G50,$G$19:$G$1518,1)-1)/($G$13-1)*100))</f>
        <v/>
      </c>
      <c r="K50" s="11">
        <f>IF(H50="","",100-IF($G$14=1,50,(_xlfn.RANK.AVG(H50,$H$19:$H$1518,1)-1)/($G$14-1)*100))</f>
        <v/>
      </c>
      <c r="L50" s="11">
        <f>IF(I50="","",IF($G$15=1,50,(_xlfn.RANK.AVG(I50,$I$19:$I$1518,1)-1)/($G$15-1)*100))</f>
        <v/>
      </c>
      <c r="M50" s="11">
        <f>IF(COUNT(J50:L50)=3,ROUND(AVERAGE(J50:L50),6),"")</f>
        <v/>
      </c>
      <c r="O50">
        <f>IF(AND(ISNUMBER('자료_미국심리'!$A34),ISNUMBER('자료_미국심리'!$B34)),'자료_미국심리'!$A34,"")</f>
        <v/>
      </c>
      <c r="P50">
        <f>IF(AND(ISNUMBER('자료_미국심리'!$D34),ISNUMBER('자료_미국심리'!$E34)),'자료_미국심리'!$D34,"")</f>
        <v/>
      </c>
      <c r="Q50">
        <f>IF(AND(ISNUMBER('자료_미국심리'!$G34),ISNUMBER('자료_미국심리'!$H34)),'자료_미국심리'!$G34,"")</f>
        <v/>
      </c>
    </row>
    <row r="51">
      <c r="A51" s="10">
        <f>IF(33&gt;$E$5,"",SMALL($O$19:$O$4018,$E$6+33))</f>
        <v/>
      </c>
      <c r="B51" s="29">
        <f>IF(A51="","",INDEX('자료_미국심리'!$B$3:$B$4002,MATCH(A51,$O$19:$O$4018,0)))</f>
        <v/>
      </c>
      <c r="C51" s="22">
        <f>""</f>
        <v/>
      </c>
      <c r="D51" s="29">
        <f>IF(A51="","",IFERROR(INDEX('자료_미국심리'!$E$3:$E$4002,MATCH(A51,$P$19:$P$4018,0)),D50))</f>
        <v/>
      </c>
      <c r="E51" s="29">
        <f>IF(A51="","",IFERROR(INDEX('자료_미국심리'!$H$3:$H$4002,MATCH(A51,$Q$19:$Q$4018,0)),E50))</f>
        <v/>
      </c>
      <c r="F51">
        <f>IF(A51="",0,IF(A51&gt;$B$5,1,0))</f>
        <v/>
      </c>
      <c r="G51" s="29">
        <f>IF(AND(F51=1,ISNUMBER(D51)),D51,"")</f>
        <v/>
      </c>
      <c r="H51" s="29">
        <f>IF(AND(F51=1,ISNUMBER(E51)),E51,"")</f>
        <v/>
      </c>
      <c r="I51" s="22">
        <f>IF(AND(F51=1,ISNUMBER(C51)),C51,"")</f>
        <v/>
      </c>
      <c r="J51" s="11">
        <f>IF(G51="","",100-IF($G$13=1,50,(_xlfn.RANK.AVG(G51,$G$19:$G$1518,1)-1)/($G$13-1)*100))</f>
        <v/>
      </c>
      <c r="K51" s="11">
        <f>IF(H51="","",100-IF($G$14=1,50,(_xlfn.RANK.AVG(H51,$H$19:$H$1518,1)-1)/($G$14-1)*100))</f>
        <v/>
      </c>
      <c r="L51" s="11">
        <f>IF(I51="","",IF($G$15=1,50,(_xlfn.RANK.AVG(I51,$I$19:$I$1518,1)-1)/($G$15-1)*100))</f>
        <v/>
      </c>
      <c r="M51" s="11">
        <f>IF(COUNT(J51:L51)=3,ROUND(AVERAGE(J51:L51),6),"")</f>
        <v/>
      </c>
      <c r="O51">
        <f>IF(AND(ISNUMBER('자료_미국심리'!$A35),ISNUMBER('자료_미국심리'!$B35)),'자료_미국심리'!$A35,"")</f>
        <v/>
      </c>
      <c r="P51">
        <f>IF(AND(ISNUMBER('자료_미국심리'!$D35),ISNUMBER('자료_미국심리'!$E35)),'자료_미국심리'!$D35,"")</f>
        <v/>
      </c>
      <c r="Q51">
        <f>IF(AND(ISNUMBER('자료_미국심리'!$G35),ISNUMBER('자료_미국심리'!$H35)),'자료_미국심리'!$G35,"")</f>
        <v/>
      </c>
    </row>
    <row r="52">
      <c r="A52" s="10">
        <f>IF(34&gt;$E$5,"",SMALL($O$19:$O$4018,$E$6+34))</f>
        <v/>
      </c>
      <c r="B52" s="29">
        <f>IF(A52="","",INDEX('자료_미국심리'!$B$3:$B$4002,MATCH(A52,$O$19:$O$4018,0)))</f>
        <v/>
      </c>
      <c r="C52" s="22">
        <f>""</f>
        <v/>
      </c>
      <c r="D52" s="29">
        <f>IF(A52="","",IFERROR(INDEX('자료_미국심리'!$E$3:$E$4002,MATCH(A52,$P$19:$P$4018,0)),D51))</f>
        <v/>
      </c>
      <c r="E52" s="29">
        <f>IF(A52="","",IFERROR(INDEX('자료_미국심리'!$H$3:$H$4002,MATCH(A52,$Q$19:$Q$4018,0)),E51))</f>
        <v/>
      </c>
      <c r="F52">
        <f>IF(A52="",0,IF(A52&gt;$B$5,1,0))</f>
        <v/>
      </c>
      <c r="G52" s="29">
        <f>IF(AND(F52=1,ISNUMBER(D52)),D52,"")</f>
        <v/>
      </c>
      <c r="H52" s="29">
        <f>IF(AND(F52=1,ISNUMBER(E52)),E52,"")</f>
        <v/>
      </c>
      <c r="I52" s="22">
        <f>IF(AND(F52=1,ISNUMBER(C52)),C52,"")</f>
        <v/>
      </c>
      <c r="J52" s="11">
        <f>IF(G52="","",100-IF($G$13=1,50,(_xlfn.RANK.AVG(G52,$G$19:$G$1518,1)-1)/($G$13-1)*100))</f>
        <v/>
      </c>
      <c r="K52" s="11">
        <f>IF(H52="","",100-IF($G$14=1,50,(_xlfn.RANK.AVG(H52,$H$19:$H$1518,1)-1)/($G$14-1)*100))</f>
        <v/>
      </c>
      <c r="L52" s="11">
        <f>IF(I52="","",IF($G$15=1,50,(_xlfn.RANK.AVG(I52,$I$19:$I$1518,1)-1)/($G$15-1)*100))</f>
        <v/>
      </c>
      <c r="M52" s="11">
        <f>IF(COUNT(J52:L52)=3,ROUND(AVERAGE(J52:L52),6),"")</f>
        <v/>
      </c>
      <c r="O52">
        <f>IF(AND(ISNUMBER('자료_미국심리'!$A36),ISNUMBER('자료_미국심리'!$B36)),'자료_미국심리'!$A36,"")</f>
        <v/>
      </c>
      <c r="P52">
        <f>IF(AND(ISNUMBER('자료_미국심리'!$D36),ISNUMBER('자료_미국심리'!$E36)),'자료_미국심리'!$D36,"")</f>
        <v/>
      </c>
      <c r="Q52">
        <f>IF(AND(ISNUMBER('자료_미국심리'!$G36),ISNUMBER('자료_미국심리'!$H36)),'자료_미국심리'!$G36,"")</f>
        <v/>
      </c>
    </row>
    <row r="53">
      <c r="A53" s="10">
        <f>IF(35&gt;$E$5,"",SMALL($O$19:$O$4018,$E$6+35))</f>
        <v/>
      </c>
      <c r="B53" s="29">
        <f>IF(A53="","",INDEX('자료_미국심리'!$B$3:$B$4002,MATCH(A53,$O$19:$O$4018,0)))</f>
        <v/>
      </c>
      <c r="C53" s="22">
        <f>""</f>
        <v/>
      </c>
      <c r="D53" s="29">
        <f>IF(A53="","",IFERROR(INDEX('자료_미국심리'!$E$3:$E$4002,MATCH(A53,$P$19:$P$4018,0)),D52))</f>
        <v/>
      </c>
      <c r="E53" s="29">
        <f>IF(A53="","",IFERROR(INDEX('자료_미국심리'!$H$3:$H$4002,MATCH(A53,$Q$19:$Q$4018,0)),E52))</f>
        <v/>
      </c>
      <c r="F53">
        <f>IF(A53="",0,IF(A53&gt;$B$5,1,0))</f>
        <v/>
      </c>
      <c r="G53" s="29">
        <f>IF(AND(F53=1,ISNUMBER(D53)),D53,"")</f>
        <v/>
      </c>
      <c r="H53" s="29">
        <f>IF(AND(F53=1,ISNUMBER(E53)),E53,"")</f>
        <v/>
      </c>
      <c r="I53" s="22">
        <f>IF(AND(F53=1,ISNUMBER(C53)),C53,"")</f>
        <v/>
      </c>
      <c r="J53" s="11">
        <f>IF(G53="","",100-IF($G$13=1,50,(_xlfn.RANK.AVG(G53,$G$19:$G$1518,1)-1)/($G$13-1)*100))</f>
        <v/>
      </c>
      <c r="K53" s="11">
        <f>IF(H53="","",100-IF($G$14=1,50,(_xlfn.RANK.AVG(H53,$H$19:$H$1518,1)-1)/($G$14-1)*100))</f>
        <v/>
      </c>
      <c r="L53" s="11">
        <f>IF(I53="","",IF($G$15=1,50,(_xlfn.RANK.AVG(I53,$I$19:$I$1518,1)-1)/($G$15-1)*100))</f>
        <v/>
      </c>
      <c r="M53" s="11">
        <f>IF(COUNT(J53:L53)=3,ROUND(AVERAGE(J53:L53),6),"")</f>
        <v/>
      </c>
      <c r="O53">
        <f>IF(AND(ISNUMBER('자료_미국심리'!$A37),ISNUMBER('자료_미국심리'!$B37)),'자료_미국심리'!$A37,"")</f>
        <v/>
      </c>
      <c r="P53">
        <f>IF(AND(ISNUMBER('자료_미국심리'!$D37),ISNUMBER('자료_미국심리'!$E37)),'자료_미국심리'!$D37,"")</f>
        <v/>
      </c>
      <c r="Q53">
        <f>IF(AND(ISNUMBER('자료_미국심리'!$G37),ISNUMBER('자료_미국심리'!$H37)),'자료_미국심리'!$G37,"")</f>
        <v/>
      </c>
    </row>
    <row r="54">
      <c r="A54" s="10">
        <f>IF(36&gt;$E$5,"",SMALL($O$19:$O$4018,$E$6+36))</f>
        <v/>
      </c>
      <c r="B54" s="29">
        <f>IF(A54="","",INDEX('자료_미국심리'!$B$3:$B$4002,MATCH(A54,$O$19:$O$4018,0)))</f>
        <v/>
      </c>
      <c r="C54" s="22">
        <f>""</f>
        <v/>
      </c>
      <c r="D54" s="29">
        <f>IF(A54="","",IFERROR(INDEX('자료_미국심리'!$E$3:$E$4002,MATCH(A54,$P$19:$P$4018,0)),D53))</f>
        <v/>
      </c>
      <c r="E54" s="29">
        <f>IF(A54="","",IFERROR(INDEX('자료_미국심리'!$H$3:$H$4002,MATCH(A54,$Q$19:$Q$4018,0)),E53))</f>
        <v/>
      </c>
      <c r="F54">
        <f>IF(A54="",0,IF(A54&gt;$B$5,1,0))</f>
        <v/>
      </c>
      <c r="G54" s="29">
        <f>IF(AND(F54=1,ISNUMBER(D54)),D54,"")</f>
        <v/>
      </c>
      <c r="H54" s="29">
        <f>IF(AND(F54=1,ISNUMBER(E54)),E54,"")</f>
        <v/>
      </c>
      <c r="I54" s="22">
        <f>IF(AND(F54=1,ISNUMBER(C54)),C54,"")</f>
        <v/>
      </c>
      <c r="J54" s="11">
        <f>IF(G54="","",100-IF($G$13=1,50,(_xlfn.RANK.AVG(G54,$G$19:$G$1518,1)-1)/($G$13-1)*100))</f>
        <v/>
      </c>
      <c r="K54" s="11">
        <f>IF(H54="","",100-IF($G$14=1,50,(_xlfn.RANK.AVG(H54,$H$19:$H$1518,1)-1)/($G$14-1)*100))</f>
        <v/>
      </c>
      <c r="L54" s="11">
        <f>IF(I54="","",IF($G$15=1,50,(_xlfn.RANK.AVG(I54,$I$19:$I$1518,1)-1)/($G$15-1)*100))</f>
        <v/>
      </c>
      <c r="M54" s="11">
        <f>IF(COUNT(J54:L54)=3,ROUND(AVERAGE(J54:L54),6),"")</f>
        <v/>
      </c>
      <c r="O54">
        <f>IF(AND(ISNUMBER('자료_미국심리'!$A38),ISNUMBER('자료_미국심리'!$B38)),'자료_미국심리'!$A38,"")</f>
        <v/>
      </c>
      <c r="P54">
        <f>IF(AND(ISNUMBER('자료_미국심리'!$D38),ISNUMBER('자료_미국심리'!$E38)),'자료_미국심리'!$D38,"")</f>
        <v/>
      </c>
      <c r="Q54">
        <f>IF(AND(ISNUMBER('자료_미국심리'!$G38),ISNUMBER('자료_미국심리'!$H38)),'자료_미국심리'!$G38,"")</f>
        <v/>
      </c>
    </row>
    <row r="55">
      <c r="A55" s="10">
        <f>IF(37&gt;$E$5,"",SMALL($O$19:$O$4018,$E$6+37))</f>
        <v/>
      </c>
      <c r="B55" s="29">
        <f>IF(A55="","",INDEX('자료_미국심리'!$B$3:$B$4002,MATCH(A55,$O$19:$O$4018,0)))</f>
        <v/>
      </c>
      <c r="C55" s="22">
        <f>""</f>
        <v/>
      </c>
      <c r="D55" s="29">
        <f>IF(A55="","",IFERROR(INDEX('자료_미국심리'!$E$3:$E$4002,MATCH(A55,$P$19:$P$4018,0)),D54))</f>
        <v/>
      </c>
      <c r="E55" s="29">
        <f>IF(A55="","",IFERROR(INDEX('자료_미국심리'!$H$3:$H$4002,MATCH(A55,$Q$19:$Q$4018,0)),E54))</f>
        <v/>
      </c>
      <c r="F55">
        <f>IF(A55="",0,IF(A55&gt;$B$5,1,0))</f>
        <v/>
      </c>
      <c r="G55" s="29">
        <f>IF(AND(F55=1,ISNUMBER(D55)),D55,"")</f>
        <v/>
      </c>
      <c r="H55" s="29">
        <f>IF(AND(F55=1,ISNUMBER(E55)),E55,"")</f>
        <v/>
      </c>
      <c r="I55" s="22">
        <f>IF(AND(F55=1,ISNUMBER(C55)),C55,"")</f>
        <v/>
      </c>
      <c r="J55" s="11">
        <f>IF(G55="","",100-IF($G$13=1,50,(_xlfn.RANK.AVG(G55,$G$19:$G$1518,1)-1)/($G$13-1)*100))</f>
        <v/>
      </c>
      <c r="K55" s="11">
        <f>IF(H55="","",100-IF($G$14=1,50,(_xlfn.RANK.AVG(H55,$H$19:$H$1518,1)-1)/($G$14-1)*100))</f>
        <v/>
      </c>
      <c r="L55" s="11">
        <f>IF(I55="","",IF($G$15=1,50,(_xlfn.RANK.AVG(I55,$I$19:$I$1518,1)-1)/($G$15-1)*100))</f>
        <v/>
      </c>
      <c r="M55" s="11">
        <f>IF(COUNT(J55:L55)=3,ROUND(AVERAGE(J55:L55),6),"")</f>
        <v/>
      </c>
      <c r="O55">
        <f>IF(AND(ISNUMBER('자료_미국심리'!$A39),ISNUMBER('자료_미국심리'!$B39)),'자료_미국심리'!$A39,"")</f>
        <v/>
      </c>
      <c r="P55">
        <f>IF(AND(ISNUMBER('자료_미국심리'!$D39),ISNUMBER('자료_미국심리'!$E39)),'자료_미국심리'!$D39,"")</f>
        <v/>
      </c>
      <c r="Q55">
        <f>IF(AND(ISNUMBER('자료_미국심리'!$G39),ISNUMBER('자료_미국심리'!$H39)),'자료_미국심리'!$G39,"")</f>
        <v/>
      </c>
    </row>
    <row r="56">
      <c r="A56" s="10">
        <f>IF(38&gt;$E$5,"",SMALL($O$19:$O$4018,$E$6+38))</f>
        <v/>
      </c>
      <c r="B56" s="29">
        <f>IF(A56="","",INDEX('자료_미국심리'!$B$3:$B$4002,MATCH(A56,$O$19:$O$4018,0)))</f>
        <v/>
      </c>
      <c r="C56" s="22">
        <f>""</f>
        <v/>
      </c>
      <c r="D56" s="29">
        <f>IF(A56="","",IFERROR(INDEX('자료_미국심리'!$E$3:$E$4002,MATCH(A56,$P$19:$P$4018,0)),D55))</f>
        <v/>
      </c>
      <c r="E56" s="29">
        <f>IF(A56="","",IFERROR(INDEX('자료_미국심리'!$H$3:$H$4002,MATCH(A56,$Q$19:$Q$4018,0)),E55))</f>
        <v/>
      </c>
      <c r="F56">
        <f>IF(A56="",0,IF(A56&gt;$B$5,1,0))</f>
        <v/>
      </c>
      <c r="G56" s="29">
        <f>IF(AND(F56=1,ISNUMBER(D56)),D56,"")</f>
        <v/>
      </c>
      <c r="H56" s="29">
        <f>IF(AND(F56=1,ISNUMBER(E56)),E56,"")</f>
        <v/>
      </c>
      <c r="I56" s="22">
        <f>IF(AND(F56=1,ISNUMBER(C56)),C56,"")</f>
        <v/>
      </c>
      <c r="J56" s="11">
        <f>IF(G56="","",100-IF($G$13=1,50,(_xlfn.RANK.AVG(G56,$G$19:$G$1518,1)-1)/($G$13-1)*100))</f>
        <v/>
      </c>
      <c r="K56" s="11">
        <f>IF(H56="","",100-IF($G$14=1,50,(_xlfn.RANK.AVG(H56,$H$19:$H$1518,1)-1)/($G$14-1)*100))</f>
        <v/>
      </c>
      <c r="L56" s="11">
        <f>IF(I56="","",IF($G$15=1,50,(_xlfn.RANK.AVG(I56,$I$19:$I$1518,1)-1)/($G$15-1)*100))</f>
        <v/>
      </c>
      <c r="M56" s="11">
        <f>IF(COUNT(J56:L56)=3,ROUND(AVERAGE(J56:L56),6),"")</f>
        <v/>
      </c>
      <c r="O56">
        <f>IF(AND(ISNUMBER('자료_미국심리'!$A40),ISNUMBER('자료_미국심리'!$B40)),'자료_미국심리'!$A40,"")</f>
        <v/>
      </c>
      <c r="P56">
        <f>IF(AND(ISNUMBER('자료_미국심리'!$D40),ISNUMBER('자료_미국심리'!$E40)),'자료_미국심리'!$D40,"")</f>
        <v/>
      </c>
      <c r="Q56">
        <f>IF(AND(ISNUMBER('자료_미국심리'!$G40),ISNUMBER('자료_미국심리'!$H40)),'자료_미국심리'!$G40,"")</f>
        <v/>
      </c>
    </row>
    <row r="57">
      <c r="A57" s="10">
        <f>IF(39&gt;$E$5,"",SMALL($O$19:$O$4018,$E$6+39))</f>
        <v/>
      </c>
      <c r="B57" s="29">
        <f>IF(A57="","",INDEX('자료_미국심리'!$B$3:$B$4002,MATCH(A57,$O$19:$O$4018,0)))</f>
        <v/>
      </c>
      <c r="C57" s="22">
        <f>""</f>
        <v/>
      </c>
      <c r="D57" s="29">
        <f>IF(A57="","",IFERROR(INDEX('자료_미국심리'!$E$3:$E$4002,MATCH(A57,$P$19:$P$4018,0)),D56))</f>
        <v/>
      </c>
      <c r="E57" s="29">
        <f>IF(A57="","",IFERROR(INDEX('자료_미국심리'!$H$3:$H$4002,MATCH(A57,$Q$19:$Q$4018,0)),E56))</f>
        <v/>
      </c>
      <c r="F57">
        <f>IF(A57="",0,IF(A57&gt;$B$5,1,0))</f>
        <v/>
      </c>
      <c r="G57" s="29">
        <f>IF(AND(F57=1,ISNUMBER(D57)),D57,"")</f>
        <v/>
      </c>
      <c r="H57" s="29">
        <f>IF(AND(F57=1,ISNUMBER(E57)),E57,"")</f>
        <v/>
      </c>
      <c r="I57" s="22">
        <f>IF(AND(F57=1,ISNUMBER(C57)),C57,"")</f>
        <v/>
      </c>
      <c r="J57" s="11">
        <f>IF(G57="","",100-IF($G$13=1,50,(_xlfn.RANK.AVG(G57,$G$19:$G$1518,1)-1)/($G$13-1)*100))</f>
        <v/>
      </c>
      <c r="K57" s="11">
        <f>IF(H57="","",100-IF($G$14=1,50,(_xlfn.RANK.AVG(H57,$H$19:$H$1518,1)-1)/($G$14-1)*100))</f>
        <v/>
      </c>
      <c r="L57" s="11">
        <f>IF(I57="","",IF($G$15=1,50,(_xlfn.RANK.AVG(I57,$I$19:$I$1518,1)-1)/($G$15-1)*100))</f>
        <v/>
      </c>
      <c r="M57" s="11">
        <f>IF(COUNT(J57:L57)=3,ROUND(AVERAGE(J57:L57),6),"")</f>
        <v/>
      </c>
      <c r="O57">
        <f>IF(AND(ISNUMBER('자료_미국심리'!$A41),ISNUMBER('자료_미국심리'!$B41)),'자료_미국심리'!$A41,"")</f>
        <v/>
      </c>
      <c r="P57">
        <f>IF(AND(ISNUMBER('자료_미국심리'!$D41),ISNUMBER('자료_미국심리'!$E41)),'자료_미국심리'!$D41,"")</f>
        <v/>
      </c>
      <c r="Q57">
        <f>IF(AND(ISNUMBER('자료_미국심리'!$G41),ISNUMBER('자료_미국심리'!$H41)),'자료_미국심리'!$G41,"")</f>
        <v/>
      </c>
    </row>
    <row r="58">
      <c r="A58" s="10">
        <f>IF(40&gt;$E$5,"",SMALL($O$19:$O$4018,$E$6+40))</f>
        <v/>
      </c>
      <c r="B58" s="29">
        <f>IF(A58="","",INDEX('자료_미국심리'!$B$3:$B$4002,MATCH(A58,$O$19:$O$4018,0)))</f>
        <v/>
      </c>
      <c r="C58" s="22">
        <f>""</f>
        <v/>
      </c>
      <c r="D58" s="29">
        <f>IF(A58="","",IFERROR(INDEX('자료_미국심리'!$E$3:$E$4002,MATCH(A58,$P$19:$P$4018,0)),D57))</f>
        <v/>
      </c>
      <c r="E58" s="29">
        <f>IF(A58="","",IFERROR(INDEX('자료_미국심리'!$H$3:$H$4002,MATCH(A58,$Q$19:$Q$4018,0)),E57))</f>
        <v/>
      </c>
      <c r="F58">
        <f>IF(A58="",0,IF(A58&gt;$B$5,1,0))</f>
        <v/>
      </c>
      <c r="G58" s="29">
        <f>IF(AND(F58=1,ISNUMBER(D58)),D58,"")</f>
        <v/>
      </c>
      <c r="H58" s="29">
        <f>IF(AND(F58=1,ISNUMBER(E58)),E58,"")</f>
        <v/>
      </c>
      <c r="I58" s="22">
        <f>IF(AND(F58=1,ISNUMBER(C58)),C58,"")</f>
        <v/>
      </c>
      <c r="J58" s="11">
        <f>IF(G58="","",100-IF($G$13=1,50,(_xlfn.RANK.AVG(G58,$G$19:$G$1518,1)-1)/($G$13-1)*100))</f>
        <v/>
      </c>
      <c r="K58" s="11">
        <f>IF(H58="","",100-IF($G$14=1,50,(_xlfn.RANK.AVG(H58,$H$19:$H$1518,1)-1)/($G$14-1)*100))</f>
        <v/>
      </c>
      <c r="L58" s="11">
        <f>IF(I58="","",IF($G$15=1,50,(_xlfn.RANK.AVG(I58,$I$19:$I$1518,1)-1)/($G$15-1)*100))</f>
        <v/>
      </c>
      <c r="M58" s="11">
        <f>IF(COUNT(J58:L58)=3,ROUND(AVERAGE(J58:L58),6),"")</f>
        <v/>
      </c>
      <c r="O58">
        <f>IF(AND(ISNUMBER('자료_미국심리'!$A42),ISNUMBER('자료_미국심리'!$B42)),'자료_미국심리'!$A42,"")</f>
        <v/>
      </c>
      <c r="P58">
        <f>IF(AND(ISNUMBER('자료_미국심리'!$D42),ISNUMBER('자료_미국심리'!$E42)),'자료_미국심리'!$D42,"")</f>
        <v/>
      </c>
      <c r="Q58">
        <f>IF(AND(ISNUMBER('자료_미국심리'!$G42),ISNUMBER('자료_미국심리'!$H42)),'자료_미국심리'!$G42,"")</f>
        <v/>
      </c>
    </row>
    <row r="59">
      <c r="A59" s="10">
        <f>IF(41&gt;$E$5,"",SMALL($O$19:$O$4018,$E$6+41))</f>
        <v/>
      </c>
      <c r="B59" s="29">
        <f>IF(A59="","",INDEX('자료_미국심리'!$B$3:$B$4002,MATCH(A59,$O$19:$O$4018,0)))</f>
        <v/>
      </c>
      <c r="C59" s="22">
        <f>""</f>
        <v/>
      </c>
      <c r="D59" s="29">
        <f>IF(A59="","",IFERROR(INDEX('자료_미국심리'!$E$3:$E$4002,MATCH(A59,$P$19:$P$4018,0)),D58))</f>
        <v/>
      </c>
      <c r="E59" s="29">
        <f>IF(A59="","",IFERROR(INDEX('자료_미국심리'!$H$3:$H$4002,MATCH(A59,$Q$19:$Q$4018,0)),E58))</f>
        <v/>
      </c>
      <c r="F59">
        <f>IF(A59="",0,IF(A59&gt;$B$5,1,0))</f>
        <v/>
      </c>
      <c r="G59" s="29">
        <f>IF(AND(F59=1,ISNUMBER(D59)),D59,"")</f>
        <v/>
      </c>
      <c r="H59" s="29">
        <f>IF(AND(F59=1,ISNUMBER(E59)),E59,"")</f>
        <v/>
      </c>
      <c r="I59" s="22">
        <f>IF(AND(F59=1,ISNUMBER(C59)),C59,"")</f>
        <v/>
      </c>
      <c r="J59" s="11">
        <f>IF(G59="","",100-IF($G$13=1,50,(_xlfn.RANK.AVG(G59,$G$19:$G$1518,1)-1)/($G$13-1)*100))</f>
        <v/>
      </c>
      <c r="K59" s="11">
        <f>IF(H59="","",100-IF($G$14=1,50,(_xlfn.RANK.AVG(H59,$H$19:$H$1518,1)-1)/($G$14-1)*100))</f>
        <v/>
      </c>
      <c r="L59" s="11">
        <f>IF(I59="","",IF($G$15=1,50,(_xlfn.RANK.AVG(I59,$I$19:$I$1518,1)-1)/($G$15-1)*100))</f>
        <v/>
      </c>
      <c r="M59" s="11">
        <f>IF(COUNT(J59:L59)=3,ROUND(AVERAGE(J59:L59),6),"")</f>
        <v/>
      </c>
      <c r="O59">
        <f>IF(AND(ISNUMBER('자료_미국심리'!$A43),ISNUMBER('자료_미국심리'!$B43)),'자료_미국심리'!$A43,"")</f>
        <v/>
      </c>
      <c r="P59">
        <f>IF(AND(ISNUMBER('자료_미국심리'!$D43),ISNUMBER('자료_미국심리'!$E43)),'자료_미국심리'!$D43,"")</f>
        <v/>
      </c>
      <c r="Q59">
        <f>IF(AND(ISNUMBER('자료_미국심리'!$G43),ISNUMBER('자료_미국심리'!$H43)),'자료_미국심리'!$G43,"")</f>
        <v/>
      </c>
    </row>
    <row r="60">
      <c r="A60" s="10">
        <f>IF(42&gt;$E$5,"",SMALL($O$19:$O$4018,$E$6+42))</f>
        <v/>
      </c>
      <c r="B60" s="29">
        <f>IF(A60="","",INDEX('자료_미국심리'!$B$3:$B$4002,MATCH(A60,$O$19:$O$4018,0)))</f>
        <v/>
      </c>
      <c r="C60" s="22">
        <f>""</f>
        <v/>
      </c>
      <c r="D60" s="29">
        <f>IF(A60="","",IFERROR(INDEX('자료_미국심리'!$E$3:$E$4002,MATCH(A60,$P$19:$P$4018,0)),D59))</f>
        <v/>
      </c>
      <c r="E60" s="29">
        <f>IF(A60="","",IFERROR(INDEX('자료_미국심리'!$H$3:$H$4002,MATCH(A60,$Q$19:$Q$4018,0)),E59))</f>
        <v/>
      </c>
      <c r="F60">
        <f>IF(A60="",0,IF(A60&gt;$B$5,1,0))</f>
        <v/>
      </c>
      <c r="G60" s="29">
        <f>IF(AND(F60=1,ISNUMBER(D60)),D60,"")</f>
        <v/>
      </c>
      <c r="H60" s="29">
        <f>IF(AND(F60=1,ISNUMBER(E60)),E60,"")</f>
        <v/>
      </c>
      <c r="I60" s="22">
        <f>IF(AND(F60=1,ISNUMBER(C60)),C60,"")</f>
        <v/>
      </c>
      <c r="J60" s="11">
        <f>IF(G60="","",100-IF($G$13=1,50,(_xlfn.RANK.AVG(G60,$G$19:$G$1518,1)-1)/($G$13-1)*100))</f>
        <v/>
      </c>
      <c r="K60" s="11">
        <f>IF(H60="","",100-IF($G$14=1,50,(_xlfn.RANK.AVG(H60,$H$19:$H$1518,1)-1)/($G$14-1)*100))</f>
        <v/>
      </c>
      <c r="L60" s="11">
        <f>IF(I60="","",IF($G$15=1,50,(_xlfn.RANK.AVG(I60,$I$19:$I$1518,1)-1)/($G$15-1)*100))</f>
        <v/>
      </c>
      <c r="M60" s="11">
        <f>IF(COUNT(J60:L60)=3,ROUND(AVERAGE(J60:L60),6),"")</f>
        <v/>
      </c>
      <c r="O60">
        <f>IF(AND(ISNUMBER('자료_미국심리'!$A44),ISNUMBER('자료_미국심리'!$B44)),'자료_미국심리'!$A44,"")</f>
        <v/>
      </c>
      <c r="P60">
        <f>IF(AND(ISNUMBER('자료_미국심리'!$D44),ISNUMBER('자료_미국심리'!$E44)),'자료_미국심리'!$D44,"")</f>
        <v/>
      </c>
      <c r="Q60">
        <f>IF(AND(ISNUMBER('자료_미국심리'!$G44),ISNUMBER('자료_미국심리'!$H44)),'자료_미국심리'!$G44,"")</f>
        <v/>
      </c>
    </row>
    <row r="61">
      <c r="A61" s="10">
        <f>IF(43&gt;$E$5,"",SMALL($O$19:$O$4018,$E$6+43))</f>
        <v/>
      </c>
      <c r="B61" s="29">
        <f>IF(A61="","",INDEX('자료_미국심리'!$B$3:$B$4002,MATCH(A61,$O$19:$O$4018,0)))</f>
        <v/>
      </c>
      <c r="C61" s="22">
        <f>""</f>
        <v/>
      </c>
      <c r="D61" s="29">
        <f>IF(A61="","",IFERROR(INDEX('자료_미국심리'!$E$3:$E$4002,MATCH(A61,$P$19:$P$4018,0)),D60))</f>
        <v/>
      </c>
      <c r="E61" s="29">
        <f>IF(A61="","",IFERROR(INDEX('자료_미국심리'!$H$3:$H$4002,MATCH(A61,$Q$19:$Q$4018,0)),E60))</f>
        <v/>
      </c>
      <c r="F61">
        <f>IF(A61="",0,IF(A61&gt;$B$5,1,0))</f>
        <v/>
      </c>
      <c r="G61" s="29">
        <f>IF(AND(F61=1,ISNUMBER(D61)),D61,"")</f>
        <v/>
      </c>
      <c r="H61" s="29">
        <f>IF(AND(F61=1,ISNUMBER(E61)),E61,"")</f>
        <v/>
      </c>
      <c r="I61" s="22">
        <f>IF(AND(F61=1,ISNUMBER(C61)),C61,"")</f>
        <v/>
      </c>
      <c r="J61" s="11">
        <f>IF(G61="","",100-IF($G$13=1,50,(_xlfn.RANK.AVG(G61,$G$19:$G$1518,1)-1)/($G$13-1)*100))</f>
        <v/>
      </c>
      <c r="K61" s="11">
        <f>IF(H61="","",100-IF($G$14=1,50,(_xlfn.RANK.AVG(H61,$H$19:$H$1518,1)-1)/($G$14-1)*100))</f>
        <v/>
      </c>
      <c r="L61" s="11">
        <f>IF(I61="","",IF($G$15=1,50,(_xlfn.RANK.AVG(I61,$I$19:$I$1518,1)-1)/($G$15-1)*100))</f>
        <v/>
      </c>
      <c r="M61" s="11">
        <f>IF(COUNT(J61:L61)=3,ROUND(AVERAGE(J61:L61),6),"")</f>
        <v/>
      </c>
      <c r="O61">
        <f>IF(AND(ISNUMBER('자료_미국심리'!$A45),ISNUMBER('자료_미국심리'!$B45)),'자료_미국심리'!$A45,"")</f>
        <v/>
      </c>
      <c r="P61">
        <f>IF(AND(ISNUMBER('자료_미국심리'!$D45),ISNUMBER('자료_미국심리'!$E45)),'자료_미국심리'!$D45,"")</f>
        <v/>
      </c>
      <c r="Q61">
        <f>IF(AND(ISNUMBER('자료_미국심리'!$G45),ISNUMBER('자료_미국심리'!$H45)),'자료_미국심리'!$G45,"")</f>
        <v/>
      </c>
    </row>
    <row r="62">
      <c r="A62" s="10">
        <f>IF(44&gt;$E$5,"",SMALL($O$19:$O$4018,$E$6+44))</f>
        <v/>
      </c>
      <c r="B62" s="29">
        <f>IF(A62="","",INDEX('자료_미국심리'!$B$3:$B$4002,MATCH(A62,$O$19:$O$4018,0)))</f>
        <v/>
      </c>
      <c r="C62" s="22">
        <f>""</f>
        <v/>
      </c>
      <c r="D62" s="29">
        <f>IF(A62="","",IFERROR(INDEX('자료_미국심리'!$E$3:$E$4002,MATCH(A62,$P$19:$P$4018,0)),D61))</f>
        <v/>
      </c>
      <c r="E62" s="29">
        <f>IF(A62="","",IFERROR(INDEX('자료_미국심리'!$H$3:$H$4002,MATCH(A62,$Q$19:$Q$4018,0)),E61))</f>
        <v/>
      </c>
      <c r="F62">
        <f>IF(A62="",0,IF(A62&gt;$B$5,1,0))</f>
        <v/>
      </c>
      <c r="G62" s="29">
        <f>IF(AND(F62=1,ISNUMBER(D62)),D62,"")</f>
        <v/>
      </c>
      <c r="H62" s="29">
        <f>IF(AND(F62=1,ISNUMBER(E62)),E62,"")</f>
        <v/>
      </c>
      <c r="I62" s="22">
        <f>IF(AND(F62=1,ISNUMBER(C62)),C62,"")</f>
        <v/>
      </c>
      <c r="J62" s="11">
        <f>IF(G62="","",100-IF($G$13=1,50,(_xlfn.RANK.AVG(G62,$G$19:$G$1518,1)-1)/($G$13-1)*100))</f>
        <v/>
      </c>
      <c r="K62" s="11">
        <f>IF(H62="","",100-IF($G$14=1,50,(_xlfn.RANK.AVG(H62,$H$19:$H$1518,1)-1)/($G$14-1)*100))</f>
        <v/>
      </c>
      <c r="L62" s="11">
        <f>IF(I62="","",IF($G$15=1,50,(_xlfn.RANK.AVG(I62,$I$19:$I$1518,1)-1)/($G$15-1)*100))</f>
        <v/>
      </c>
      <c r="M62" s="11">
        <f>IF(COUNT(J62:L62)=3,ROUND(AVERAGE(J62:L62),6),"")</f>
        <v/>
      </c>
      <c r="O62">
        <f>IF(AND(ISNUMBER('자료_미국심리'!$A46),ISNUMBER('자료_미국심리'!$B46)),'자료_미국심리'!$A46,"")</f>
        <v/>
      </c>
      <c r="P62">
        <f>IF(AND(ISNUMBER('자료_미국심리'!$D46),ISNUMBER('자료_미국심리'!$E46)),'자료_미국심리'!$D46,"")</f>
        <v/>
      </c>
      <c r="Q62">
        <f>IF(AND(ISNUMBER('자료_미국심리'!$G46),ISNUMBER('자료_미국심리'!$H46)),'자료_미국심리'!$G46,"")</f>
        <v/>
      </c>
    </row>
    <row r="63">
      <c r="A63" s="10">
        <f>IF(45&gt;$E$5,"",SMALL($O$19:$O$4018,$E$6+45))</f>
        <v/>
      </c>
      <c r="B63" s="29">
        <f>IF(A63="","",INDEX('자료_미국심리'!$B$3:$B$4002,MATCH(A63,$O$19:$O$4018,0)))</f>
        <v/>
      </c>
      <c r="C63" s="22">
        <f>""</f>
        <v/>
      </c>
      <c r="D63" s="29">
        <f>IF(A63="","",IFERROR(INDEX('자료_미국심리'!$E$3:$E$4002,MATCH(A63,$P$19:$P$4018,0)),D62))</f>
        <v/>
      </c>
      <c r="E63" s="29">
        <f>IF(A63="","",IFERROR(INDEX('자료_미국심리'!$H$3:$H$4002,MATCH(A63,$Q$19:$Q$4018,0)),E62))</f>
        <v/>
      </c>
      <c r="F63">
        <f>IF(A63="",0,IF(A63&gt;$B$5,1,0))</f>
        <v/>
      </c>
      <c r="G63" s="29">
        <f>IF(AND(F63=1,ISNUMBER(D63)),D63,"")</f>
        <v/>
      </c>
      <c r="H63" s="29">
        <f>IF(AND(F63=1,ISNUMBER(E63)),E63,"")</f>
        <v/>
      </c>
      <c r="I63" s="22">
        <f>IF(AND(F63=1,ISNUMBER(C63)),C63,"")</f>
        <v/>
      </c>
      <c r="J63" s="11">
        <f>IF(G63="","",100-IF($G$13=1,50,(_xlfn.RANK.AVG(G63,$G$19:$G$1518,1)-1)/($G$13-1)*100))</f>
        <v/>
      </c>
      <c r="K63" s="11">
        <f>IF(H63="","",100-IF($G$14=1,50,(_xlfn.RANK.AVG(H63,$H$19:$H$1518,1)-1)/($G$14-1)*100))</f>
        <v/>
      </c>
      <c r="L63" s="11">
        <f>IF(I63="","",IF($G$15=1,50,(_xlfn.RANK.AVG(I63,$I$19:$I$1518,1)-1)/($G$15-1)*100))</f>
        <v/>
      </c>
      <c r="M63" s="11">
        <f>IF(COUNT(J63:L63)=3,ROUND(AVERAGE(J63:L63),6),"")</f>
        <v/>
      </c>
      <c r="O63">
        <f>IF(AND(ISNUMBER('자료_미국심리'!$A47),ISNUMBER('자료_미국심리'!$B47)),'자료_미국심리'!$A47,"")</f>
        <v/>
      </c>
      <c r="P63">
        <f>IF(AND(ISNUMBER('자료_미국심리'!$D47),ISNUMBER('자료_미국심리'!$E47)),'자료_미국심리'!$D47,"")</f>
        <v/>
      </c>
      <c r="Q63">
        <f>IF(AND(ISNUMBER('자료_미국심리'!$G47),ISNUMBER('자료_미국심리'!$H47)),'자료_미국심리'!$G47,"")</f>
        <v/>
      </c>
    </row>
    <row r="64">
      <c r="A64" s="10">
        <f>IF(46&gt;$E$5,"",SMALL($O$19:$O$4018,$E$6+46))</f>
        <v/>
      </c>
      <c r="B64" s="29">
        <f>IF(A64="","",INDEX('자료_미국심리'!$B$3:$B$4002,MATCH(A64,$O$19:$O$4018,0)))</f>
        <v/>
      </c>
      <c r="C64" s="22">
        <f>""</f>
        <v/>
      </c>
      <c r="D64" s="29">
        <f>IF(A64="","",IFERROR(INDEX('자료_미국심리'!$E$3:$E$4002,MATCH(A64,$P$19:$P$4018,0)),D63))</f>
        <v/>
      </c>
      <c r="E64" s="29">
        <f>IF(A64="","",IFERROR(INDEX('자료_미국심리'!$H$3:$H$4002,MATCH(A64,$Q$19:$Q$4018,0)),E63))</f>
        <v/>
      </c>
      <c r="F64">
        <f>IF(A64="",0,IF(A64&gt;$B$5,1,0))</f>
        <v/>
      </c>
      <c r="G64" s="29">
        <f>IF(AND(F64=1,ISNUMBER(D64)),D64,"")</f>
        <v/>
      </c>
      <c r="H64" s="29">
        <f>IF(AND(F64=1,ISNUMBER(E64)),E64,"")</f>
        <v/>
      </c>
      <c r="I64" s="22">
        <f>IF(AND(F64=1,ISNUMBER(C64)),C64,"")</f>
        <v/>
      </c>
      <c r="J64" s="11">
        <f>IF(G64="","",100-IF($G$13=1,50,(_xlfn.RANK.AVG(G64,$G$19:$G$1518,1)-1)/($G$13-1)*100))</f>
        <v/>
      </c>
      <c r="K64" s="11">
        <f>IF(H64="","",100-IF($G$14=1,50,(_xlfn.RANK.AVG(H64,$H$19:$H$1518,1)-1)/($G$14-1)*100))</f>
        <v/>
      </c>
      <c r="L64" s="11">
        <f>IF(I64="","",IF($G$15=1,50,(_xlfn.RANK.AVG(I64,$I$19:$I$1518,1)-1)/($G$15-1)*100))</f>
        <v/>
      </c>
      <c r="M64" s="11">
        <f>IF(COUNT(J64:L64)=3,ROUND(AVERAGE(J64:L64),6),"")</f>
        <v/>
      </c>
      <c r="O64">
        <f>IF(AND(ISNUMBER('자료_미국심리'!$A48),ISNUMBER('자료_미국심리'!$B48)),'자료_미국심리'!$A48,"")</f>
        <v/>
      </c>
      <c r="P64">
        <f>IF(AND(ISNUMBER('자료_미국심리'!$D48),ISNUMBER('자료_미국심리'!$E48)),'자료_미국심리'!$D48,"")</f>
        <v/>
      </c>
      <c r="Q64">
        <f>IF(AND(ISNUMBER('자료_미국심리'!$G48),ISNUMBER('자료_미국심리'!$H48)),'자료_미국심리'!$G48,"")</f>
        <v/>
      </c>
    </row>
    <row r="65">
      <c r="A65" s="10">
        <f>IF(47&gt;$E$5,"",SMALL($O$19:$O$4018,$E$6+47))</f>
        <v/>
      </c>
      <c r="B65" s="29">
        <f>IF(A65="","",INDEX('자료_미국심리'!$B$3:$B$4002,MATCH(A65,$O$19:$O$4018,0)))</f>
        <v/>
      </c>
      <c r="C65" s="22">
        <f>""</f>
        <v/>
      </c>
      <c r="D65" s="29">
        <f>IF(A65="","",IFERROR(INDEX('자료_미국심리'!$E$3:$E$4002,MATCH(A65,$P$19:$P$4018,0)),D64))</f>
        <v/>
      </c>
      <c r="E65" s="29">
        <f>IF(A65="","",IFERROR(INDEX('자료_미국심리'!$H$3:$H$4002,MATCH(A65,$Q$19:$Q$4018,0)),E64))</f>
        <v/>
      </c>
      <c r="F65">
        <f>IF(A65="",0,IF(A65&gt;$B$5,1,0))</f>
        <v/>
      </c>
      <c r="G65" s="29">
        <f>IF(AND(F65=1,ISNUMBER(D65)),D65,"")</f>
        <v/>
      </c>
      <c r="H65" s="29">
        <f>IF(AND(F65=1,ISNUMBER(E65)),E65,"")</f>
        <v/>
      </c>
      <c r="I65" s="22">
        <f>IF(AND(F65=1,ISNUMBER(C65)),C65,"")</f>
        <v/>
      </c>
      <c r="J65" s="11">
        <f>IF(G65="","",100-IF($G$13=1,50,(_xlfn.RANK.AVG(G65,$G$19:$G$1518,1)-1)/($G$13-1)*100))</f>
        <v/>
      </c>
      <c r="K65" s="11">
        <f>IF(H65="","",100-IF($G$14=1,50,(_xlfn.RANK.AVG(H65,$H$19:$H$1518,1)-1)/($G$14-1)*100))</f>
        <v/>
      </c>
      <c r="L65" s="11">
        <f>IF(I65="","",IF($G$15=1,50,(_xlfn.RANK.AVG(I65,$I$19:$I$1518,1)-1)/($G$15-1)*100))</f>
        <v/>
      </c>
      <c r="M65" s="11">
        <f>IF(COUNT(J65:L65)=3,ROUND(AVERAGE(J65:L65),6),"")</f>
        <v/>
      </c>
      <c r="O65">
        <f>IF(AND(ISNUMBER('자료_미국심리'!$A49),ISNUMBER('자료_미국심리'!$B49)),'자료_미국심리'!$A49,"")</f>
        <v/>
      </c>
      <c r="P65">
        <f>IF(AND(ISNUMBER('자료_미국심리'!$D49),ISNUMBER('자료_미국심리'!$E49)),'자료_미국심리'!$D49,"")</f>
        <v/>
      </c>
      <c r="Q65">
        <f>IF(AND(ISNUMBER('자료_미국심리'!$G49),ISNUMBER('자료_미국심리'!$H49)),'자료_미국심리'!$G49,"")</f>
        <v/>
      </c>
    </row>
    <row r="66">
      <c r="A66" s="10">
        <f>IF(48&gt;$E$5,"",SMALL($O$19:$O$4018,$E$6+48))</f>
        <v/>
      </c>
      <c r="B66" s="29">
        <f>IF(A66="","",INDEX('자료_미국심리'!$B$3:$B$4002,MATCH(A66,$O$19:$O$4018,0)))</f>
        <v/>
      </c>
      <c r="C66" s="22">
        <f>""</f>
        <v/>
      </c>
      <c r="D66" s="29">
        <f>IF(A66="","",IFERROR(INDEX('자료_미국심리'!$E$3:$E$4002,MATCH(A66,$P$19:$P$4018,0)),D65))</f>
        <v/>
      </c>
      <c r="E66" s="29">
        <f>IF(A66="","",IFERROR(INDEX('자료_미국심리'!$H$3:$H$4002,MATCH(A66,$Q$19:$Q$4018,0)),E65))</f>
        <v/>
      </c>
      <c r="F66">
        <f>IF(A66="",0,IF(A66&gt;$B$5,1,0))</f>
        <v/>
      </c>
      <c r="G66" s="29">
        <f>IF(AND(F66=1,ISNUMBER(D66)),D66,"")</f>
        <v/>
      </c>
      <c r="H66" s="29">
        <f>IF(AND(F66=1,ISNUMBER(E66)),E66,"")</f>
        <v/>
      </c>
      <c r="I66" s="22">
        <f>IF(AND(F66=1,ISNUMBER(C66)),C66,"")</f>
        <v/>
      </c>
      <c r="J66" s="11">
        <f>IF(G66="","",100-IF($G$13=1,50,(_xlfn.RANK.AVG(G66,$G$19:$G$1518,1)-1)/($G$13-1)*100))</f>
        <v/>
      </c>
      <c r="K66" s="11">
        <f>IF(H66="","",100-IF($G$14=1,50,(_xlfn.RANK.AVG(H66,$H$19:$H$1518,1)-1)/($G$14-1)*100))</f>
        <v/>
      </c>
      <c r="L66" s="11">
        <f>IF(I66="","",IF($G$15=1,50,(_xlfn.RANK.AVG(I66,$I$19:$I$1518,1)-1)/($G$15-1)*100))</f>
        <v/>
      </c>
      <c r="M66" s="11">
        <f>IF(COUNT(J66:L66)=3,ROUND(AVERAGE(J66:L66),6),"")</f>
        <v/>
      </c>
      <c r="O66">
        <f>IF(AND(ISNUMBER('자료_미국심리'!$A50),ISNUMBER('자료_미국심리'!$B50)),'자료_미국심리'!$A50,"")</f>
        <v/>
      </c>
      <c r="P66">
        <f>IF(AND(ISNUMBER('자료_미국심리'!$D50),ISNUMBER('자료_미국심리'!$E50)),'자료_미국심리'!$D50,"")</f>
        <v/>
      </c>
      <c r="Q66">
        <f>IF(AND(ISNUMBER('자료_미국심리'!$G50),ISNUMBER('자료_미국심리'!$H50)),'자료_미국심리'!$G50,"")</f>
        <v/>
      </c>
    </row>
    <row r="67">
      <c r="A67" s="10">
        <f>IF(49&gt;$E$5,"",SMALL($O$19:$O$4018,$E$6+49))</f>
        <v/>
      </c>
      <c r="B67" s="29">
        <f>IF(A67="","",INDEX('자료_미국심리'!$B$3:$B$4002,MATCH(A67,$O$19:$O$4018,0)))</f>
        <v/>
      </c>
      <c r="C67" s="22">
        <f>""</f>
        <v/>
      </c>
      <c r="D67" s="29">
        <f>IF(A67="","",IFERROR(INDEX('자료_미국심리'!$E$3:$E$4002,MATCH(A67,$P$19:$P$4018,0)),D66))</f>
        <v/>
      </c>
      <c r="E67" s="29">
        <f>IF(A67="","",IFERROR(INDEX('자료_미국심리'!$H$3:$H$4002,MATCH(A67,$Q$19:$Q$4018,0)),E66))</f>
        <v/>
      </c>
      <c r="F67">
        <f>IF(A67="",0,IF(A67&gt;$B$5,1,0))</f>
        <v/>
      </c>
      <c r="G67" s="29">
        <f>IF(AND(F67=1,ISNUMBER(D67)),D67,"")</f>
        <v/>
      </c>
      <c r="H67" s="29">
        <f>IF(AND(F67=1,ISNUMBER(E67)),E67,"")</f>
        <v/>
      </c>
      <c r="I67" s="22">
        <f>IF(AND(F67=1,ISNUMBER(C67)),C67,"")</f>
        <v/>
      </c>
      <c r="J67" s="11">
        <f>IF(G67="","",100-IF($G$13=1,50,(_xlfn.RANK.AVG(G67,$G$19:$G$1518,1)-1)/($G$13-1)*100))</f>
        <v/>
      </c>
      <c r="K67" s="11">
        <f>IF(H67="","",100-IF($G$14=1,50,(_xlfn.RANK.AVG(H67,$H$19:$H$1518,1)-1)/($G$14-1)*100))</f>
        <v/>
      </c>
      <c r="L67" s="11">
        <f>IF(I67="","",IF($G$15=1,50,(_xlfn.RANK.AVG(I67,$I$19:$I$1518,1)-1)/($G$15-1)*100))</f>
        <v/>
      </c>
      <c r="M67" s="11">
        <f>IF(COUNT(J67:L67)=3,ROUND(AVERAGE(J67:L67),6),"")</f>
        <v/>
      </c>
      <c r="O67">
        <f>IF(AND(ISNUMBER('자료_미국심리'!$A51),ISNUMBER('자료_미국심리'!$B51)),'자료_미국심리'!$A51,"")</f>
        <v/>
      </c>
      <c r="P67">
        <f>IF(AND(ISNUMBER('자료_미국심리'!$D51),ISNUMBER('자료_미국심리'!$E51)),'자료_미국심리'!$D51,"")</f>
        <v/>
      </c>
      <c r="Q67">
        <f>IF(AND(ISNUMBER('자료_미국심리'!$G51),ISNUMBER('자료_미국심리'!$H51)),'자료_미국심리'!$G51,"")</f>
        <v/>
      </c>
    </row>
    <row r="68">
      <c r="A68" s="10">
        <f>IF(50&gt;$E$5,"",SMALL($O$19:$O$4018,$E$6+50))</f>
        <v/>
      </c>
      <c r="B68" s="29">
        <f>IF(A68="","",INDEX('자료_미국심리'!$B$3:$B$4002,MATCH(A68,$O$19:$O$4018,0)))</f>
        <v/>
      </c>
      <c r="C68" s="22">
        <f>""</f>
        <v/>
      </c>
      <c r="D68" s="29">
        <f>IF(A68="","",IFERROR(INDEX('자료_미국심리'!$E$3:$E$4002,MATCH(A68,$P$19:$P$4018,0)),D67))</f>
        <v/>
      </c>
      <c r="E68" s="29">
        <f>IF(A68="","",IFERROR(INDEX('자료_미국심리'!$H$3:$H$4002,MATCH(A68,$Q$19:$Q$4018,0)),E67))</f>
        <v/>
      </c>
      <c r="F68">
        <f>IF(A68="",0,IF(A68&gt;$B$5,1,0))</f>
        <v/>
      </c>
      <c r="G68" s="29">
        <f>IF(AND(F68=1,ISNUMBER(D68)),D68,"")</f>
        <v/>
      </c>
      <c r="H68" s="29">
        <f>IF(AND(F68=1,ISNUMBER(E68)),E68,"")</f>
        <v/>
      </c>
      <c r="I68" s="22">
        <f>IF(AND(F68=1,ISNUMBER(C68)),C68,"")</f>
        <v/>
      </c>
      <c r="J68" s="11">
        <f>IF(G68="","",100-IF($G$13=1,50,(_xlfn.RANK.AVG(G68,$G$19:$G$1518,1)-1)/($G$13-1)*100))</f>
        <v/>
      </c>
      <c r="K68" s="11">
        <f>IF(H68="","",100-IF($G$14=1,50,(_xlfn.RANK.AVG(H68,$H$19:$H$1518,1)-1)/($G$14-1)*100))</f>
        <v/>
      </c>
      <c r="L68" s="11">
        <f>IF(I68="","",IF($G$15=1,50,(_xlfn.RANK.AVG(I68,$I$19:$I$1518,1)-1)/($G$15-1)*100))</f>
        <v/>
      </c>
      <c r="M68" s="11">
        <f>IF(COUNT(J68:L68)=3,ROUND(AVERAGE(J68:L68),6),"")</f>
        <v/>
      </c>
      <c r="O68">
        <f>IF(AND(ISNUMBER('자료_미국심리'!$A52),ISNUMBER('자료_미국심리'!$B52)),'자료_미국심리'!$A52,"")</f>
        <v/>
      </c>
      <c r="P68">
        <f>IF(AND(ISNUMBER('자료_미국심리'!$D52),ISNUMBER('자료_미국심리'!$E52)),'자료_미국심리'!$D52,"")</f>
        <v/>
      </c>
      <c r="Q68">
        <f>IF(AND(ISNUMBER('자료_미국심리'!$G52),ISNUMBER('자료_미국심리'!$H52)),'자료_미국심리'!$G52,"")</f>
        <v/>
      </c>
    </row>
    <row r="69">
      <c r="A69" s="10">
        <f>IF(51&gt;$E$5,"",SMALL($O$19:$O$4018,$E$6+51))</f>
        <v/>
      </c>
      <c r="B69" s="29">
        <f>IF(A69="","",INDEX('자료_미국심리'!$B$3:$B$4002,MATCH(A69,$O$19:$O$4018,0)))</f>
        <v/>
      </c>
      <c r="C69" s="22">
        <f>""</f>
        <v/>
      </c>
      <c r="D69" s="29">
        <f>IF(A69="","",IFERROR(INDEX('자료_미국심리'!$E$3:$E$4002,MATCH(A69,$P$19:$P$4018,0)),D68))</f>
        <v/>
      </c>
      <c r="E69" s="29">
        <f>IF(A69="","",IFERROR(INDEX('자료_미국심리'!$H$3:$H$4002,MATCH(A69,$Q$19:$Q$4018,0)),E68))</f>
        <v/>
      </c>
      <c r="F69">
        <f>IF(A69="",0,IF(A69&gt;$B$5,1,0))</f>
        <v/>
      </c>
      <c r="G69" s="29">
        <f>IF(AND(F69=1,ISNUMBER(D69)),D69,"")</f>
        <v/>
      </c>
      <c r="H69" s="29">
        <f>IF(AND(F69=1,ISNUMBER(E69)),E69,"")</f>
        <v/>
      </c>
      <c r="I69" s="22">
        <f>IF(AND(F69=1,ISNUMBER(C69)),C69,"")</f>
        <v/>
      </c>
      <c r="J69" s="11">
        <f>IF(G69="","",100-IF($G$13=1,50,(_xlfn.RANK.AVG(G69,$G$19:$G$1518,1)-1)/($G$13-1)*100))</f>
        <v/>
      </c>
      <c r="K69" s="11">
        <f>IF(H69="","",100-IF($G$14=1,50,(_xlfn.RANK.AVG(H69,$H$19:$H$1518,1)-1)/($G$14-1)*100))</f>
        <v/>
      </c>
      <c r="L69" s="11">
        <f>IF(I69="","",IF($G$15=1,50,(_xlfn.RANK.AVG(I69,$I$19:$I$1518,1)-1)/($G$15-1)*100))</f>
        <v/>
      </c>
      <c r="M69" s="11">
        <f>IF(COUNT(J69:L69)=3,ROUND(AVERAGE(J69:L69),6),"")</f>
        <v/>
      </c>
      <c r="O69">
        <f>IF(AND(ISNUMBER('자료_미국심리'!$A53),ISNUMBER('자료_미국심리'!$B53)),'자료_미국심리'!$A53,"")</f>
        <v/>
      </c>
      <c r="P69">
        <f>IF(AND(ISNUMBER('자료_미국심리'!$D53),ISNUMBER('자료_미국심리'!$E53)),'자료_미국심리'!$D53,"")</f>
        <v/>
      </c>
      <c r="Q69">
        <f>IF(AND(ISNUMBER('자료_미국심리'!$G53),ISNUMBER('자료_미국심리'!$H53)),'자료_미국심리'!$G53,"")</f>
        <v/>
      </c>
    </row>
    <row r="70">
      <c r="A70" s="10">
        <f>IF(52&gt;$E$5,"",SMALL($O$19:$O$4018,$E$6+52))</f>
        <v/>
      </c>
      <c r="B70" s="29">
        <f>IF(A70="","",INDEX('자료_미국심리'!$B$3:$B$4002,MATCH(A70,$O$19:$O$4018,0)))</f>
        <v/>
      </c>
      <c r="C70" s="22">
        <f>""</f>
        <v/>
      </c>
      <c r="D70" s="29">
        <f>IF(A70="","",IFERROR(INDEX('자료_미국심리'!$E$3:$E$4002,MATCH(A70,$P$19:$P$4018,0)),D69))</f>
        <v/>
      </c>
      <c r="E70" s="29">
        <f>IF(A70="","",IFERROR(INDEX('자료_미국심리'!$H$3:$H$4002,MATCH(A70,$Q$19:$Q$4018,0)),E69))</f>
        <v/>
      </c>
      <c r="F70">
        <f>IF(A70="",0,IF(A70&gt;$B$5,1,0))</f>
        <v/>
      </c>
      <c r="G70" s="29">
        <f>IF(AND(F70=1,ISNUMBER(D70)),D70,"")</f>
        <v/>
      </c>
      <c r="H70" s="29">
        <f>IF(AND(F70=1,ISNUMBER(E70)),E70,"")</f>
        <v/>
      </c>
      <c r="I70" s="22">
        <f>IF(AND(F70=1,ISNUMBER(C70)),C70,"")</f>
        <v/>
      </c>
      <c r="J70" s="11">
        <f>IF(G70="","",100-IF($G$13=1,50,(_xlfn.RANK.AVG(G70,$G$19:$G$1518,1)-1)/($G$13-1)*100))</f>
        <v/>
      </c>
      <c r="K70" s="11">
        <f>IF(H70="","",100-IF($G$14=1,50,(_xlfn.RANK.AVG(H70,$H$19:$H$1518,1)-1)/($G$14-1)*100))</f>
        <v/>
      </c>
      <c r="L70" s="11">
        <f>IF(I70="","",IF($G$15=1,50,(_xlfn.RANK.AVG(I70,$I$19:$I$1518,1)-1)/($G$15-1)*100))</f>
        <v/>
      </c>
      <c r="M70" s="11">
        <f>IF(COUNT(J70:L70)=3,ROUND(AVERAGE(J70:L70),6),"")</f>
        <v/>
      </c>
      <c r="O70">
        <f>IF(AND(ISNUMBER('자료_미국심리'!$A54),ISNUMBER('자료_미국심리'!$B54)),'자료_미국심리'!$A54,"")</f>
        <v/>
      </c>
      <c r="P70">
        <f>IF(AND(ISNUMBER('자료_미국심리'!$D54),ISNUMBER('자료_미국심리'!$E54)),'자료_미국심리'!$D54,"")</f>
        <v/>
      </c>
      <c r="Q70">
        <f>IF(AND(ISNUMBER('자료_미국심리'!$G54),ISNUMBER('자료_미국심리'!$H54)),'자료_미국심리'!$G54,"")</f>
        <v/>
      </c>
    </row>
    <row r="71">
      <c r="A71" s="10">
        <f>IF(53&gt;$E$5,"",SMALL($O$19:$O$4018,$E$6+53))</f>
        <v/>
      </c>
      <c r="B71" s="29">
        <f>IF(A71="","",INDEX('자료_미국심리'!$B$3:$B$4002,MATCH(A71,$O$19:$O$4018,0)))</f>
        <v/>
      </c>
      <c r="C71" s="22">
        <f>""</f>
        <v/>
      </c>
      <c r="D71" s="29">
        <f>IF(A71="","",IFERROR(INDEX('자료_미국심리'!$E$3:$E$4002,MATCH(A71,$P$19:$P$4018,0)),D70))</f>
        <v/>
      </c>
      <c r="E71" s="29">
        <f>IF(A71="","",IFERROR(INDEX('자료_미국심리'!$H$3:$H$4002,MATCH(A71,$Q$19:$Q$4018,0)),E70))</f>
        <v/>
      </c>
      <c r="F71">
        <f>IF(A71="",0,IF(A71&gt;$B$5,1,0))</f>
        <v/>
      </c>
      <c r="G71" s="29">
        <f>IF(AND(F71=1,ISNUMBER(D71)),D71,"")</f>
        <v/>
      </c>
      <c r="H71" s="29">
        <f>IF(AND(F71=1,ISNUMBER(E71)),E71,"")</f>
        <v/>
      </c>
      <c r="I71" s="22">
        <f>IF(AND(F71=1,ISNUMBER(C71)),C71,"")</f>
        <v/>
      </c>
      <c r="J71" s="11">
        <f>IF(G71="","",100-IF($G$13=1,50,(_xlfn.RANK.AVG(G71,$G$19:$G$1518,1)-1)/($G$13-1)*100))</f>
        <v/>
      </c>
      <c r="K71" s="11">
        <f>IF(H71="","",100-IF($G$14=1,50,(_xlfn.RANK.AVG(H71,$H$19:$H$1518,1)-1)/($G$14-1)*100))</f>
        <v/>
      </c>
      <c r="L71" s="11">
        <f>IF(I71="","",IF($G$15=1,50,(_xlfn.RANK.AVG(I71,$I$19:$I$1518,1)-1)/($G$15-1)*100))</f>
        <v/>
      </c>
      <c r="M71" s="11">
        <f>IF(COUNT(J71:L71)=3,ROUND(AVERAGE(J71:L71),6),"")</f>
        <v/>
      </c>
      <c r="O71">
        <f>IF(AND(ISNUMBER('자료_미국심리'!$A55),ISNUMBER('자료_미국심리'!$B55)),'자료_미국심리'!$A55,"")</f>
        <v/>
      </c>
      <c r="P71">
        <f>IF(AND(ISNUMBER('자료_미국심리'!$D55),ISNUMBER('자료_미국심리'!$E55)),'자료_미국심리'!$D55,"")</f>
        <v/>
      </c>
      <c r="Q71">
        <f>IF(AND(ISNUMBER('자료_미국심리'!$G55),ISNUMBER('자료_미국심리'!$H55)),'자료_미국심리'!$G55,"")</f>
        <v/>
      </c>
    </row>
    <row r="72">
      <c r="A72" s="10">
        <f>IF(54&gt;$E$5,"",SMALL($O$19:$O$4018,$E$6+54))</f>
        <v/>
      </c>
      <c r="B72" s="29">
        <f>IF(A72="","",INDEX('자료_미국심리'!$B$3:$B$4002,MATCH(A72,$O$19:$O$4018,0)))</f>
        <v/>
      </c>
      <c r="C72" s="22">
        <f>""</f>
        <v/>
      </c>
      <c r="D72" s="29">
        <f>IF(A72="","",IFERROR(INDEX('자료_미국심리'!$E$3:$E$4002,MATCH(A72,$P$19:$P$4018,0)),D71))</f>
        <v/>
      </c>
      <c r="E72" s="29">
        <f>IF(A72="","",IFERROR(INDEX('자료_미국심리'!$H$3:$H$4002,MATCH(A72,$Q$19:$Q$4018,0)),E71))</f>
        <v/>
      </c>
      <c r="F72">
        <f>IF(A72="",0,IF(A72&gt;$B$5,1,0))</f>
        <v/>
      </c>
      <c r="G72" s="29">
        <f>IF(AND(F72=1,ISNUMBER(D72)),D72,"")</f>
        <v/>
      </c>
      <c r="H72" s="29">
        <f>IF(AND(F72=1,ISNUMBER(E72)),E72,"")</f>
        <v/>
      </c>
      <c r="I72" s="22">
        <f>IF(AND(F72=1,ISNUMBER(C72)),C72,"")</f>
        <v/>
      </c>
      <c r="J72" s="11">
        <f>IF(G72="","",100-IF($G$13=1,50,(_xlfn.RANK.AVG(G72,$G$19:$G$1518,1)-1)/($G$13-1)*100))</f>
        <v/>
      </c>
      <c r="K72" s="11">
        <f>IF(H72="","",100-IF($G$14=1,50,(_xlfn.RANK.AVG(H72,$H$19:$H$1518,1)-1)/($G$14-1)*100))</f>
        <v/>
      </c>
      <c r="L72" s="11">
        <f>IF(I72="","",IF($G$15=1,50,(_xlfn.RANK.AVG(I72,$I$19:$I$1518,1)-1)/($G$15-1)*100))</f>
        <v/>
      </c>
      <c r="M72" s="11">
        <f>IF(COUNT(J72:L72)=3,ROUND(AVERAGE(J72:L72),6),"")</f>
        <v/>
      </c>
      <c r="O72">
        <f>IF(AND(ISNUMBER('자료_미국심리'!$A56),ISNUMBER('자료_미국심리'!$B56)),'자료_미국심리'!$A56,"")</f>
        <v/>
      </c>
      <c r="P72">
        <f>IF(AND(ISNUMBER('자료_미국심리'!$D56),ISNUMBER('자료_미국심리'!$E56)),'자료_미국심리'!$D56,"")</f>
        <v/>
      </c>
      <c r="Q72">
        <f>IF(AND(ISNUMBER('자료_미국심리'!$G56),ISNUMBER('자료_미국심리'!$H56)),'자료_미국심리'!$G56,"")</f>
        <v/>
      </c>
    </row>
    <row r="73">
      <c r="A73" s="10">
        <f>IF(55&gt;$E$5,"",SMALL($O$19:$O$4018,$E$6+55))</f>
        <v/>
      </c>
      <c r="B73" s="29">
        <f>IF(A73="","",INDEX('자료_미국심리'!$B$3:$B$4002,MATCH(A73,$O$19:$O$4018,0)))</f>
        <v/>
      </c>
      <c r="C73" s="22">
        <f>""</f>
        <v/>
      </c>
      <c r="D73" s="29">
        <f>IF(A73="","",IFERROR(INDEX('자료_미국심리'!$E$3:$E$4002,MATCH(A73,$P$19:$P$4018,0)),D72))</f>
        <v/>
      </c>
      <c r="E73" s="29">
        <f>IF(A73="","",IFERROR(INDEX('자료_미국심리'!$H$3:$H$4002,MATCH(A73,$Q$19:$Q$4018,0)),E72))</f>
        <v/>
      </c>
      <c r="F73">
        <f>IF(A73="",0,IF(A73&gt;$B$5,1,0))</f>
        <v/>
      </c>
      <c r="G73" s="29">
        <f>IF(AND(F73=1,ISNUMBER(D73)),D73,"")</f>
        <v/>
      </c>
      <c r="H73" s="29">
        <f>IF(AND(F73=1,ISNUMBER(E73)),E73,"")</f>
        <v/>
      </c>
      <c r="I73" s="22">
        <f>IF(AND(F73=1,ISNUMBER(C73)),C73,"")</f>
        <v/>
      </c>
      <c r="J73" s="11">
        <f>IF(G73="","",100-IF($G$13=1,50,(_xlfn.RANK.AVG(G73,$G$19:$G$1518,1)-1)/($G$13-1)*100))</f>
        <v/>
      </c>
      <c r="K73" s="11">
        <f>IF(H73="","",100-IF($G$14=1,50,(_xlfn.RANK.AVG(H73,$H$19:$H$1518,1)-1)/($G$14-1)*100))</f>
        <v/>
      </c>
      <c r="L73" s="11">
        <f>IF(I73="","",IF($G$15=1,50,(_xlfn.RANK.AVG(I73,$I$19:$I$1518,1)-1)/($G$15-1)*100))</f>
        <v/>
      </c>
      <c r="M73" s="11">
        <f>IF(COUNT(J73:L73)=3,ROUND(AVERAGE(J73:L73),6),"")</f>
        <v/>
      </c>
      <c r="O73">
        <f>IF(AND(ISNUMBER('자료_미국심리'!$A57),ISNUMBER('자료_미국심리'!$B57)),'자료_미국심리'!$A57,"")</f>
        <v/>
      </c>
      <c r="P73">
        <f>IF(AND(ISNUMBER('자료_미국심리'!$D57),ISNUMBER('자료_미국심리'!$E57)),'자료_미국심리'!$D57,"")</f>
        <v/>
      </c>
      <c r="Q73">
        <f>IF(AND(ISNUMBER('자료_미국심리'!$G57),ISNUMBER('자료_미국심리'!$H57)),'자료_미국심리'!$G57,"")</f>
        <v/>
      </c>
    </row>
    <row r="74">
      <c r="A74" s="10">
        <f>IF(56&gt;$E$5,"",SMALL($O$19:$O$4018,$E$6+56))</f>
        <v/>
      </c>
      <c r="B74" s="29">
        <f>IF(A74="","",INDEX('자료_미국심리'!$B$3:$B$4002,MATCH(A74,$O$19:$O$4018,0)))</f>
        <v/>
      </c>
      <c r="C74" s="22">
        <f>""</f>
        <v/>
      </c>
      <c r="D74" s="29">
        <f>IF(A74="","",IFERROR(INDEX('자료_미국심리'!$E$3:$E$4002,MATCH(A74,$P$19:$P$4018,0)),D73))</f>
        <v/>
      </c>
      <c r="E74" s="29">
        <f>IF(A74="","",IFERROR(INDEX('자료_미국심리'!$H$3:$H$4002,MATCH(A74,$Q$19:$Q$4018,0)),E73))</f>
        <v/>
      </c>
      <c r="F74">
        <f>IF(A74="",0,IF(A74&gt;$B$5,1,0))</f>
        <v/>
      </c>
      <c r="G74" s="29">
        <f>IF(AND(F74=1,ISNUMBER(D74)),D74,"")</f>
        <v/>
      </c>
      <c r="H74" s="29">
        <f>IF(AND(F74=1,ISNUMBER(E74)),E74,"")</f>
        <v/>
      </c>
      <c r="I74" s="22">
        <f>IF(AND(F74=1,ISNUMBER(C74)),C74,"")</f>
        <v/>
      </c>
      <c r="J74" s="11">
        <f>IF(G74="","",100-IF($G$13=1,50,(_xlfn.RANK.AVG(G74,$G$19:$G$1518,1)-1)/($G$13-1)*100))</f>
        <v/>
      </c>
      <c r="K74" s="11">
        <f>IF(H74="","",100-IF($G$14=1,50,(_xlfn.RANK.AVG(H74,$H$19:$H$1518,1)-1)/($G$14-1)*100))</f>
        <v/>
      </c>
      <c r="L74" s="11">
        <f>IF(I74="","",IF($G$15=1,50,(_xlfn.RANK.AVG(I74,$I$19:$I$1518,1)-1)/($G$15-1)*100))</f>
        <v/>
      </c>
      <c r="M74" s="11">
        <f>IF(COUNT(J74:L74)=3,ROUND(AVERAGE(J74:L74),6),"")</f>
        <v/>
      </c>
      <c r="O74">
        <f>IF(AND(ISNUMBER('자료_미국심리'!$A58),ISNUMBER('자료_미국심리'!$B58)),'자료_미국심리'!$A58,"")</f>
        <v/>
      </c>
      <c r="P74">
        <f>IF(AND(ISNUMBER('자료_미국심리'!$D58),ISNUMBER('자료_미국심리'!$E58)),'자료_미국심리'!$D58,"")</f>
        <v/>
      </c>
      <c r="Q74">
        <f>IF(AND(ISNUMBER('자료_미국심리'!$G58),ISNUMBER('자료_미국심리'!$H58)),'자료_미국심리'!$G58,"")</f>
        <v/>
      </c>
    </row>
    <row r="75">
      <c r="A75" s="10">
        <f>IF(57&gt;$E$5,"",SMALL($O$19:$O$4018,$E$6+57))</f>
        <v/>
      </c>
      <c r="B75" s="29">
        <f>IF(A75="","",INDEX('자료_미국심리'!$B$3:$B$4002,MATCH(A75,$O$19:$O$4018,0)))</f>
        <v/>
      </c>
      <c r="C75" s="22">
        <f>""</f>
        <v/>
      </c>
      <c r="D75" s="29">
        <f>IF(A75="","",IFERROR(INDEX('자료_미국심리'!$E$3:$E$4002,MATCH(A75,$P$19:$P$4018,0)),D74))</f>
        <v/>
      </c>
      <c r="E75" s="29">
        <f>IF(A75="","",IFERROR(INDEX('자료_미국심리'!$H$3:$H$4002,MATCH(A75,$Q$19:$Q$4018,0)),E74))</f>
        <v/>
      </c>
      <c r="F75">
        <f>IF(A75="",0,IF(A75&gt;$B$5,1,0))</f>
        <v/>
      </c>
      <c r="G75" s="29">
        <f>IF(AND(F75=1,ISNUMBER(D75)),D75,"")</f>
        <v/>
      </c>
      <c r="H75" s="29">
        <f>IF(AND(F75=1,ISNUMBER(E75)),E75,"")</f>
        <v/>
      </c>
      <c r="I75" s="22">
        <f>IF(AND(F75=1,ISNUMBER(C75)),C75,"")</f>
        <v/>
      </c>
      <c r="J75" s="11">
        <f>IF(G75="","",100-IF($G$13=1,50,(_xlfn.RANK.AVG(G75,$G$19:$G$1518,1)-1)/($G$13-1)*100))</f>
        <v/>
      </c>
      <c r="K75" s="11">
        <f>IF(H75="","",100-IF($G$14=1,50,(_xlfn.RANK.AVG(H75,$H$19:$H$1518,1)-1)/($G$14-1)*100))</f>
        <v/>
      </c>
      <c r="L75" s="11">
        <f>IF(I75="","",IF($G$15=1,50,(_xlfn.RANK.AVG(I75,$I$19:$I$1518,1)-1)/($G$15-1)*100))</f>
        <v/>
      </c>
      <c r="M75" s="11">
        <f>IF(COUNT(J75:L75)=3,ROUND(AVERAGE(J75:L75),6),"")</f>
        <v/>
      </c>
      <c r="O75">
        <f>IF(AND(ISNUMBER('자료_미국심리'!$A59),ISNUMBER('자료_미국심리'!$B59)),'자료_미국심리'!$A59,"")</f>
        <v/>
      </c>
      <c r="P75">
        <f>IF(AND(ISNUMBER('자료_미국심리'!$D59),ISNUMBER('자료_미국심리'!$E59)),'자료_미국심리'!$D59,"")</f>
        <v/>
      </c>
      <c r="Q75">
        <f>IF(AND(ISNUMBER('자료_미국심리'!$G59),ISNUMBER('자료_미국심리'!$H59)),'자료_미국심리'!$G59,"")</f>
        <v/>
      </c>
    </row>
    <row r="76">
      <c r="A76" s="10">
        <f>IF(58&gt;$E$5,"",SMALL($O$19:$O$4018,$E$6+58))</f>
        <v/>
      </c>
      <c r="B76" s="29">
        <f>IF(A76="","",INDEX('자료_미국심리'!$B$3:$B$4002,MATCH(A76,$O$19:$O$4018,0)))</f>
        <v/>
      </c>
      <c r="C76" s="22">
        <f>""</f>
        <v/>
      </c>
      <c r="D76" s="29">
        <f>IF(A76="","",IFERROR(INDEX('자료_미국심리'!$E$3:$E$4002,MATCH(A76,$P$19:$P$4018,0)),D75))</f>
        <v/>
      </c>
      <c r="E76" s="29">
        <f>IF(A76="","",IFERROR(INDEX('자료_미국심리'!$H$3:$H$4002,MATCH(A76,$Q$19:$Q$4018,0)),E75))</f>
        <v/>
      </c>
      <c r="F76">
        <f>IF(A76="",0,IF(A76&gt;$B$5,1,0))</f>
        <v/>
      </c>
      <c r="G76" s="29">
        <f>IF(AND(F76=1,ISNUMBER(D76)),D76,"")</f>
        <v/>
      </c>
      <c r="H76" s="29">
        <f>IF(AND(F76=1,ISNUMBER(E76)),E76,"")</f>
        <v/>
      </c>
      <c r="I76" s="22">
        <f>IF(AND(F76=1,ISNUMBER(C76)),C76,"")</f>
        <v/>
      </c>
      <c r="J76" s="11">
        <f>IF(G76="","",100-IF($G$13=1,50,(_xlfn.RANK.AVG(G76,$G$19:$G$1518,1)-1)/($G$13-1)*100))</f>
        <v/>
      </c>
      <c r="K76" s="11">
        <f>IF(H76="","",100-IF($G$14=1,50,(_xlfn.RANK.AVG(H76,$H$19:$H$1518,1)-1)/($G$14-1)*100))</f>
        <v/>
      </c>
      <c r="L76" s="11">
        <f>IF(I76="","",IF($G$15=1,50,(_xlfn.RANK.AVG(I76,$I$19:$I$1518,1)-1)/($G$15-1)*100))</f>
        <v/>
      </c>
      <c r="M76" s="11">
        <f>IF(COUNT(J76:L76)=3,ROUND(AVERAGE(J76:L76),6),"")</f>
        <v/>
      </c>
      <c r="O76">
        <f>IF(AND(ISNUMBER('자료_미국심리'!$A60),ISNUMBER('자료_미국심리'!$B60)),'자료_미국심리'!$A60,"")</f>
        <v/>
      </c>
      <c r="P76">
        <f>IF(AND(ISNUMBER('자료_미국심리'!$D60),ISNUMBER('자료_미국심리'!$E60)),'자료_미국심리'!$D60,"")</f>
        <v/>
      </c>
      <c r="Q76">
        <f>IF(AND(ISNUMBER('자료_미국심리'!$G60),ISNUMBER('자료_미국심리'!$H60)),'자료_미국심리'!$G60,"")</f>
        <v/>
      </c>
    </row>
    <row r="77">
      <c r="A77" s="10">
        <f>IF(59&gt;$E$5,"",SMALL($O$19:$O$4018,$E$6+59))</f>
        <v/>
      </c>
      <c r="B77" s="29">
        <f>IF(A77="","",INDEX('자료_미국심리'!$B$3:$B$4002,MATCH(A77,$O$19:$O$4018,0)))</f>
        <v/>
      </c>
      <c r="C77" s="22">
        <f>""</f>
        <v/>
      </c>
      <c r="D77" s="29">
        <f>IF(A77="","",IFERROR(INDEX('자료_미국심리'!$E$3:$E$4002,MATCH(A77,$P$19:$P$4018,0)),D76))</f>
        <v/>
      </c>
      <c r="E77" s="29">
        <f>IF(A77="","",IFERROR(INDEX('자료_미국심리'!$H$3:$H$4002,MATCH(A77,$Q$19:$Q$4018,0)),E76))</f>
        <v/>
      </c>
      <c r="F77">
        <f>IF(A77="",0,IF(A77&gt;$B$5,1,0))</f>
        <v/>
      </c>
      <c r="G77" s="29">
        <f>IF(AND(F77=1,ISNUMBER(D77)),D77,"")</f>
        <v/>
      </c>
      <c r="H77" s="29">
        <f>IF(AND(F77=1,ISNUMBER(E77)),E77,"")</f>
        <v/>
      </c>
      <c r="I77" s="22">
        <f>IF(AND(F77=1,ISNUMBER(C77)),C77,"")</f>
        <v/>
      </c>
      <c r="J77" s="11">
        <f>IF(G77="","",100-IF($G$13=1,50,(_xlfn.RANK.AVG(G77,$G$19:$G$1518,1)-1)/($G$13-1)*100))</f>
        <v/>
      </c>
      <c r="K77" s="11">
        <f>IF(H77="","",100-IF($G$14=1,50,(_xlfn.RANK.AVG(H77,$H$19:$H$1518,1)-1)/($G$14-1)*100))</f>
        <v/>
      </c>
      <c r="L77" s="11">
        <f>IF(I77="","",IF($G$15=1,50,(_xlfn.RANK.AVG(I77,$I$19:$I$1518,1)-1)/($G$15-1)*100))</f>
        <v/>
      </c>
      <c r="M77" s="11">
        <f>IF(COUNT(J77:L77)=3,ROUND(AVERAGE(J77:L77),6),"")</f>
        <v/>
      </c>
      <c r="O77">
        <f>IF(AND(ISNUMBER('자료_미국심리'!$A61),ISNUMBER('자료_미국심리'!$B61)),'자료_미국심리'!$A61,"")</f>
        <v/>
      </c>
      <c r="P77">
        <f>IF(AND(ISNUMBER('자료_미국심리'!$D61),ISNUMBER('자료_미국심리'!$E61)),'자료_미국심리'!$D61,"")</f>
        <v/>
      </c>
      <c r="Q77">
        <f>IF(AND(ISNUMBER('자료_미국심리'!$G61),ISNUMBER('자료_미국심리'!$H61)),'자료_미국심리'!$G61,"")</f>
        <v/>
      </c>
    </row>
    <row r="78">
      <c r="A78" s="10">
        <f>IF(60&gt;$E$5,"",SMALL($O$19:$O$4018,$E$6+60))</f>
        <v/>
      </c>
      <c r="B78" s="29">
        <f>IF(A78="","",INDEX('자료_미국심리'!$B$3:$B$4002,MATCH(A78,$O$19:$O$4018,0)))</f>
        <v/>
      </c>
      <c r="C78" s="22">
        <f>""</f>
        <v/>
      </c>
      <c r="D78" s="29">
        <f>IF(A78="","",IFERROR(INDEX('자료_미국심리'!$E$3:$E$4002,MATCH(A78,$P$19:$P$4018,0)),D77))</f>
        <v/>
      </c>
      <c r="E78" s="29">
        <f>IF(A78="","",IFERROR(INDEX('자료_미국심리'!$H$3:$H$4002,MATCH(A78,$Q$19:$Q$4018,0)),E77))</f>
        <v/>
      </c>
      <c r="F78">
        <f>IF(A78="",0,IF(A78&gt;$B$5,1,0))</f>
        <v/>
      </c>
      <c r="G78" s="29">
        <f>IF(AND(F78=1,ISNUMBER(D78)),D78,"")</f>
        <v/>
      </c>
      <c r="H78" s="29">
        <f>IF(AND(F78=1,ISNUMBER(E78)),E78,"")</f>
        <v/>
      </c>
      <c r="I78" s="22">
        <f>IF(AND(F78=1,ISNUMBER(C78)),C78,"")</f>
        <v/>
      </c>
      <c r="J78" s="11">
        <f>IF(G78="","",100-IF($G$13=1,50,(_xlfn.RANK.AVG(G78,$G$19:$G$1518,1)-1)/($G$13-1)*100))</f>
        <v/>
      </c>
      <c r="K78" s="11">
        <f>IF(H78="","",100-IF($G$14=1,50,(_xlfn.RANK.AVG(H78,$H$19:$H$1518,1)-1)/($G$14-1)*100))</f>
        <v/>
      </c>
      <c r="L78" s="11">
        <f>IF(I78="","",IF($G$15=1,50,(_xlfn.RANK.AVG(I78,$I$19:$I$1518,1)-1)/($G$15-1)*100))</f>
        <v/>
      </c>
      <c r="M78" s="11">
        <f>IF(COUNT(J78:L78)=3,ROUND(AVERAGE(J78:L78),6),"")</f>
        <v/>
      </c>
      <c r="O78">
        <f>IF(AND(ISNUMBER('자료_미국심리'!$A62),ISNUMBER('자료_미국심리'!$B62)),'자료_미국심리'!$A62,"")</f>
        <v/>
      </c>
      <c r="P78">
        <f>IF(AND(ISNUMBER('자료_미국심리'!$D62),ISNUMBER('자료_미국심리'!$E62)),'자료_미국심리'!$D62,"")</f>
        <v/>
      </c>
      <c r="Q78">
        <f>IF(AND(ISNUMBER('자료_미국심리'!$G62),ISNUMBER('자료_미국심리'!$H62)),'자료_미국심리'!$G62,"")</f>
        <v/>
      </c>
    </row>
    <row r="79">
      <c r="A79" s="10">
        <f>IF(61&gt;$E$5,"",SMALL($O$19:$O$4018,$E$6+61))</f>
        <v/>
      </c>
      <c r="B79" s="29">
        <f>IF(A79="","",INDEX('자료_미국심리'!$B$3:$B$4002,MATCH(A79,$O$19:$O$4018,0)))</f>
        <v/>
      </c>
      <c r="C79" s="22">
        <f>""</f>
        <v/>
      </c>
      <c r="D79" s="29">
        <f>IF(A79="","",IFERROR(INDEX('자료_미국심리'!$E$3:$E$4002,MATCH(A79,$P$19:$P$4018,0)),D78))</f>
        <v/>
      </c>
      <c r="E79" s="29">
        <f>IF(A79="","",IFERROR(INDEX('자료_미국심리'!$H$3:$H$4002,MATCH(A79,$Q$19:$Q$4018,0)),E78))</f>
        <v/>
      </c>
      <c r="F79">
        <f>IF(A79="",0,IF(A79&gt;$B$5,1,0))</f>
        <v/>
      </c>
      <c r="G79" s="29">
        <f>IF(AND(F79=1,ISNUMBER(D79)),D79,"")</f>
        <v/>
      </c>
      <c r="H79" s="29">
        <f>IF(AND(F79=1,ISNUMBER(E79)),E79,"")</f>
        <v/>
      </c>
      <c r="I79" s="22">
        <f>IF(AND(F79=1,ISNUMBER(C79)),C79,"")</f>
        <v/>
      </c>
      <c r="J79" s="11">
        <f>IF(G79="","",100-IF($G$13=1,50,(_xlfn.RANK.AVG(G79,$G$19:$G$1518,1)-1)/($G$13-1)*100))</f>
        <v/>
      </c>
      <c r="K79" s="11">
        <f>IF(H79="","",100-IF($G$14=1,50,(_xlfn.RANK.AVG(H79,$H$19:$H$1518,1)-1)/($G$14-1)*100))</f>
        <v/>
      </c>
      <c r="L79" s="11">
        <f>IF(I79="","",IF($G$15=1,50,(_xlfn.RANK.AVG(I79,$I$19:$I$1518,1)-1)/($G$15-1)*100))</f>
        <v/>
      </c>
      <c r="M79" s="11">
        <f>IF(COUNT(J79:L79)=3,ROUND(AVERAGE(J79:L79),6),"")</f>
        <v/>
      </c>
      <c r="O79">
        <f>IF(AND(ISNUMBER('자료_미국심리'!$A63),ISNUMBER('자료_미국심리'!$B63)),'자료_미국심리'!$A63,"")</f>
        <v/>
      </c>
      <c r="P79">
        <f>IF(AND(ISNUMBER('자료_미국심리'!$D63),ISNUMBER('자료_미국심리'!$E63)),'자료_미국심리'!$D63,"")</f>
        <v/>
      </c>
      <c r="Q79">
        <f>IF(AND(ISNUMBER('자료_미국심리'!$G63),ISNUMBER('자료_미국심리'!$H63)),'자료_미국심리'!$G63,"")</f>
        <v/>
      </c>
    </row>
    <row r="80">
      <c r="A80" s="10">
        <f>IF(62&gt;$E$5,"",SMALL($O$19:$O$4018,$E$6+62))</f>
        <v/>
      </c>
      <c r="B80" s="29">
        <f>IF(A80="","",INDEX('자료_미국심리'!$B$3:$B$4002,MATCH(A80,$O$19:$O$4018,0)))</f>
        <v/>
      </c>
      <c r="C80" s="22">
        <f>""</f>
        <v/>
      </c>
      <c r="D80" s="29">
        <f>IF(A80="","",IFERROR(INDEX('자료_미국심리'!$E$3:$E$4002,MATCH(A80,$P$19:$P$4018,0)),D79))</f>
        <v/>
      </c>
      <c r="E80" s="29">
        <f>IF(A80="","",IFERROR(INDEX('자료_미국심리'!$H$3:$H$4002,MATCH(A80,$Q$19:$Q$4018,0)),E79))</f>
        <v/>
      </c>
      <c r="F80">
        <f>IF(A80="",0,IF(A80&gt;$B$5,1,0))</f>
        <v/>
      </c>
      <c r="G80" s="29">
        <f>IF(AND(F80=1,ISNUMBER(D80)),D80,"")</f>
        <v/>
      </c>
      <c r="H80" s="29">
        <f>IF(AND(F80=1,ISNUMBER(E80)),E80,"")</f>
        <v/>
      </c>
      <c r="I80" s="22">
        <f>IF(AND(F80=1,ISNUMBER(C80)),C80,"")</f>
        <v/>
      </c>
      <c r="J80" s="11">
        <f>IF(G80="","",100-IF($G$13=1,50,(_xlfn.RANK.AVG(G80,$G$19:$G$1518,1)-1)/($G$13-1)*100))</f>
        <v/>
      </c>
      <c r="K80" s="11">
        <f>IF(H80="","",100-IF($G$14=1,50,(_xlfn.RANK.AVG(H80,$H$19:$H$1518,1)-1)/($G$14-1)*100))</f>
        <v/>
      </c>
      <c r="L80" s="11">
        <f>IF(I80="","",IF($G$15=1,50,(_xlfn.RANK.AVG(I80,$I$19:$I$1518,1)-1)/($G$15-1)*100))</f>
        <v/>
      </c>
      <c r="M80" s="11">
        <f>IF(COUNT(J80:L80)=3,ROUND(AVERAGE(J80:L80),6),"")</f>
        <v/>
      </c>
      <c r="O80">
        <f>IF(AND(ISNUMBER('자료_미국심리'!$A64),ISNUMBER('자료_미국심리'!$B64)),'자료_미국심리'!$A64,"")</f>
        <v/>
      </c>
      <c r="P80">
        <f>IF(AND(ISNUMBER('자료_미국심리'!$D64),ISNUMBER('자료_미국심리'!$E64)),'자료_미국심리'!$D64,"")</f>
        <v/>
      </c>
      <c r="Q80">
        <f>IF(AND(ISNUMBER('자료_미국심리'!$G64),ISNUMBER('자료_미국심리'!$H64)),'자료_미국심리'!$G64,"")</f>
        <v/>
      </c>
    </row>
    <row r="81">
      <c r="A81" s="10">
        <f>IF(63&gt;$E$5,"",SMALL($O$19:$O$4018,$E$6+63))</f>
        <v/>
      </c>
      <c r="B81" s="29">
        <f>IF(A81="","",INDEX('자료_미국심리'!$B$3:$B$4002,MATCH(A81,$O$19:$O$4018,0)))</f>
        <v/>
      </c>
      <c r="C81" s="22">
        <f>""</f>
        <v/>
      </c>
      <c r="D81" s="29">
        <f>IF(A81="","",IFERROR(INDEX('자료_미국심리'!$E$3:$E$4002,MATCH(A81,$P$19:$P$4018,0)),D80))</f>
        <v/>
      </c>
      <c r="E81" s="29">
        <f>IF(A81="","",IFERROR(INDEX('자료_미국심리'!$H$3:$H$4002,MATCH(A81,$Q$19:$Q$4018,0)),E80))</f>
        <v/>
      </c>
      <c r="F81">
        <f>IF(A81="",0,IF(A81&gt;$B$5,1,0))</f>
        <v/>
      </c>
      <c r="G81" s="29">
        <f>IF(AND(F81=1,ISNUMBER(D81)),D81,"")</f>
        <v/>
      </c>
      <c r="H81" s="29">
        <f>IF(AND(F81=1,ISNUMBER(E81)),E81,"")</f>
        <v/>
      </c>
      <c r="I81" s="22">
        <f>IF(AND(F81=1,ISNUMBER(C81)),C81,"")</f>
        <v/>
      </c>
      <c r="J81" s="11">
        <f>IF(G81="","",100-IF($G$13=1,50,(_xlfn.RANK.AVG(G81,$G$19:$G$1518,1)-1)/($G$13-1)*100))</f>
        <v/>
      </c>
      <c r="K81" s="11">
        <f>IF(H81="","",100-IF($G$14=1,50,(_xlfn.RANK.AVG(H81,$H$19:$H$1518,1)-1)/($G$14-1)*100))</f>
        <v/>
      </c>
      <c r="L81" s="11">
        <f>IF(I81="","",IF($G$15=1,50,(_xlfn.RANK.AVG(I81,$I$19:$I$1518,1)-1)/($G$15-1)*100))</f>
        <v/>
      </c>
      <c r="M81" s="11">
        <f>IF(COUNT(J81:L81)=3,ROUND(AVERAGE(J81:L81),6),"")</f>
        <v/>
      </c>
      <c r="O81">
        <f>IF(AND(ISNUMBER('자료_미국심리'!$A65),ISNUMBER('자료_미국심리'!$B65)),'자료_미국심리'!$A65,"")</f>
        <v/>
      </c>
      <c r="P81">
        <f>IF(AND(ISNUMBER('자료_미국심리'!$D65),ISNUMBER('자료_미국심리'!$E65)),'자료_미국심리'!$D65,"")</f>
        <v/>
      </c>
      <c r="Q81">
        <f>IF(AND(ISNUMBER('자료_미국심리'!$G65),ISNUMBER('자료_미국심리'!$H65)),'자료_미국심리'!$G65,"")</f>
        <v/>
      </c>
    </row>
    <row r="82">
      <c r="A82" s="10">
        <f>IF(64&gt;$E$5,"",SMALL($O$19:$O$4018,$E$6+64))</f>
        <v/>
      </c>
      <c r="B82" s="29">
        <f>IF(A82="","",INDEX('자료_미국심리'!$B$3:$B$4002,MATCH(A82,$O$19:$O$4018,0)))</f>
        <v/>
      </c>
      <c r="C82" s="22">
        <f>""</f>
        <v/>
      </c>
      <c r="D82" s="29">
        <f>IF(A82="","",IFERROR(INDEX('자료_미국심리'!$E$3:$E$4002,MATCH(A82,$P$19:$P$4018,0)),D81))</f>
        <v/>
      </c>
      <c r="E82" s="29">
        <f>IF(A82="","",IFERROR(INDEX('자료_미국심리'!$H$3:$H$4002,MATCH(A82,$Q$19:$Q$4018,0)),E81))</f>
        <v/>
      </c>
      <c r="F82">
        <f>IF(A82="",0,IF(A82&gt;$B$5,1,0))</f>
        <v/>
      </c>
      <c r="G82" s="29">
        <f>IF(AND(F82=1,ISNUMBER(D82)),D82,"")</f>
        <v/>
      </c>
      <c r="H82" s="29">
        <f>IF(AND(F82=1,ISNUMBER(E82)),E82,"")</f>
        <v/>
      </c>
      <c r="I82" s="22">
        <f>IF(AND(F82=1,ISNUMBER(C82)),C82,"")</f>
        <v/>
      </c>
      <c r="J82" s="11">
        <f>IF(G82="","",100-IF($G$13=1,50,(_xlfn.RANK.AVG(G82,$G$19:$G$1518,1)-1)/($G$13-1)*100))</f>
        <v/>
      </c>
      <c r="K82" s="11">
        <f>IF(H82="","",100-IF($G$14=1,50,(_xlfn.RANK.AVG(H82,$H$19:$H$1518,1)-1)/($G$14-1)*100))</f>
        <v/>
      </c>
      <c r="L82" s="11">
        <f>IF(I82="","",IF($G$15=1,50,(_xlfn.RANK.AVG(I82,$I$19:$I$1518,1)-1)/($G$15-1)*100))</f>
        <v/>
      </c>
      <c r="M82" s="11">
        <f>IF(COUNT(J82:L82)=3,ROUND(AVERAGE(J82:L82),6),"")</f>
        <v/>
      </c>
      <c r="O82">
        <f>IF(AND(ISNUMBER('자료_미국심리'!$A66),ISNUMBER('자료_미국심리'!$B66)),'자료_미국심리'!$A66,"")</f>
        <v/>
      </c>
      <c r="P82">
        <f>IF(AND(ISNUMBER('자료_미국심리'!$D66),ISNUMBER('자료_미국심리'!$E66)),'자료_미국심리'!$D66,"")</f>
        <v/>
      </c>
      <c r="Q82">
        <f>IF(AND(ISNUMBER('자료_미국심리'!$G66),ISNUMBER('자료_미국심리'!$H66)),'자료_미국심리'!$G66,"")</f>
        <v/>
      </c>
    </row>
    <row r="83">
      <c r="A83" s="10">
        <f>IF(65&gt;$E$5,"",SMALL($O$19:$O$4018,$E$6+65))</f>
        <v/>
      </c>
      <c r="B83" s="29">
        <f>IF(A83="","",INDEX('자료_미국심리'!$B$3:$B$4002,MATCH(A83,$O$19:$O$4018,0)))</f>
        <v/>
      </c>
      <c r="C83" s="22">
        <f>""</f>
        <v/>
      </c>
      <c r="D83" s="29">
        <f>IF(A83="","",IFERROR(INDEX('자료_미국심리'!$E$3:$E$4002,MATCH(A83,$P$19:$P$4018,0)),D82))</f>
        <v/>
      </c>
      <c r="E83" s="29">
        <f>IF(A83="","",IFERROR(INDEX('자료_미국심리'!$H$3:$H$4002,MATCH(A83,$Q$19:$Q$4018,0)),E82))</f>
        <v/>
      </c>
      <c r="F83">
        <f>IF(A83="",0,IF(A83&gt;$B$5,1,0))</f>
        <v/>
      </c>
      <c r="G83" s="29">
        <f>IF(AND(F83=1,ISNUMBER(D83)),D83,"")</f>
        <v/>
      </c>
      <c r="H83" s="29">
        <f>IF(AND(F83=1,ISNUMBER(E83)),E83,"")</f>
        <v/>
      </c>
      <c r="I83" s="22">
        <f>IF(AND(F83=1,ISNUMBER(C83)),C83,"")</f>
        <v/>
      </c>
      <c r="J83" s="11">
        <f>IF(G83="","",100-IF($G$13=1,50,(_xlfn.RANK.AVG(G83,$G$19:$G$1518,1)-1)/($G$13-1)*100))</f>
        <v/>
      </c>
      <c r="K83" s="11">
        <f>IF(H83="","",100-IF($G$14=1,50,(_xlfn.RANK.AVG(H83,$H$19:$H$1518,1)-1)/($G$14-1)*100))</f>
        <v/>
      </c>
      <c r="L83" s="11">
        <f>IF(I83="","",IF($G$15=1,50,(_xlfn.RANK.AVG(I83,$I$19:$I$1518,1)-1)/($G$15-1)*100))</f>
        <v/>
      </c>
      <c r="M83" s="11">
        <f>IF(COUNT(J83:L83)=3,ROUND(AVERAGE(J83:L83),6),"")</f>
        <v/>
      </c>
      <c r="O83">
        <f>IF(AND(ISNUMBER('자료_미국심리'!$A67),ISNUMBER('자료_미국심리'!$B67)),'자료_미국심리'!$A67,"")</f>
        <v/>
      </c>
      <c r="P83">
        <f>IF(AND(ISNUMBER('자료_미국심리'!$D67),ISNUMBER('자료_미국심리'!$E67)),'자료_미국심리'!$D67,"")</f>
        <v/>
      </c>
      <c r="Q83">
        <f>IF(AND(ISNUMBER('자료_미국심리'!$G67),ISNUMBER('자료_미국심리'!$H67)),'자료_미국심리'!$G67,"")</f>
        <v/>
      </c>
    </row>
    <row r="84">
      <c r="A84" s="10">
        <f>IF(66&gt;$E$5,"",SMALL($O$19:$O$4018,$E$6+66))</f>
        <v/>
      </c>
      <c r="B84" s="29">
        <f>IF(A84="","",INDEX('자료_미국심리'!$B$3:$B$4002,MATCH(A84,$O$19:$O$4018,0)))</f>
        <v/>
      </c>
      <c r="C84" s="22">
        <f>""</f>
        <v/>
      </c>
      <c r="D84" s="29">
        <f>IF(A84="","",IFERROR(INDEX('자료_미국심리'!$E$3:$E$4002,MATCH(A84,$P$19:$P$4018,0)),D83))</f>
        <v/>
      </c>
      <c r="E84" s="29">
        <f>IF(A84="","",IFERROR(INDEX('자료_미국심리'!$H$3:$H$4002,MATCH(A84,$Q$19:$Q$4018,0)),E83))</f>
        <v/>
      </c>
      <c r="F84">
        <f>IF(A84="",0,IF(A84&gt;$B$5,1,0))</f>
        <v/>
      </c>
      <c r="G84" s="29">
        <f>IF(AND(F84=1,ISNUMBER(D84)),D84,"")</f>
        <v/>
      </c>
      <c r="H84" s="29">
        <f>IF(AND(F84=1,ISNUMBER(E84)),E84,"")</f>
        <v/>
      </c>
      <c r="I84" s="22">
        <f>IF(AND(F84=1,ISNUMBER(C84)),C84,"")</f>
        <v/>
      </c>
      <c r="J84" s="11">
        <f>IF(G84="","",100-IF($G$13=1,50,(_xlfn.RANK.AVG(G84,$G$19:$G$1518,1)-1)/($G$13-1)*100))</f>
        <v/>
      </c>
      <c r="K84" s="11">
        <f>IF(H84="","",100-IF($G$14=1,50,(_xlfn.RANK.AVG(H84,$H$19:$H$1518,1)-1)/($G$14-1)*100))</f>
        <v/>
      </c>
      <c r="L84" s="11">
        <f>IF(I84="","",IF($G$15=1,50,(_xlfn.RANK.AVG(I84,$I$19:$I$1518,1)-1)/($G$15-1)*100))</f>
        <v/>
      </c>
      <c r="M84" s="11">
        <f>IF(COUNT(J84:L84)=3,ROUND(AVERAGE(J84:L84),6),"")</f>
        <v/>
      </c>
      <c r="O84">
        <f>IF(AND(ISNUMBER('자료_미국심리'!$A68),ISNUMBER('자료_미국심리'!$B68)),'자료_미국심리'!$A68,"")</f>
        <v/>
      </c>
      <c r="P84">
        <f>IF(AND(ISNUMBER('자료_미국심리'!$D68),ISNUMBER('자료_미국심리'!$E68)),'자료_미국심리'!$D68,"")</f>
        <v/>
      </c>
      <c r="Q84">
        <f>IF(AND(ISNUMBER('자료_미국심리'!$G68),ISNUMBER('자료_미국심리'!$H68)),'자료_미국심리'!$G68,"")</f>
        <v/>
      </c>
    </row>
    <row r="85">
      <c r="A85" s="10">
        <f>IF(67&gt;$E$5,"",SMALL($O$19:$O$4018,$E$6+67))</f>
        <v/>
      </c>
      <c r="B85" s="29">
        <f>IF(A85="","",INDEX('자료_미국심리'!$B$3:$B$4002,MATCH(A85,$O$19:$O$4018,0)))</f>
        <v/>
      </c>
      <c r="C85" s="22">
        <f>""</f>
        <v/>
      </c>
      <c r="D85" s="29">
        <f>IF(A85="","",IFERROR(INDEX('자료_미국심리'!$E$3:$E$4002,MATCH(A85,$P$19:$P$4018,0)),D84))</f>
        <v/>
      </c>
      <c r="E85" s="29">
        <f>IF(A85="","",IFERROR(INDEX('자료_미국심리'!$H$3:$H$4002,MATCH(A85,$Q$19:$Q$4018,0)),E84))</f>
        <v/>
      </c>
      <c r="F85">
        <f>IF(A85="",0,IF(A85&gt;$B$5,1,0))</f>
        <v/>
      </c>
      <c r="G85" s="29">
        <f>IF(AND(F85=1,ISNUMBER(D85)),D85,"")</f>
        <v/>
      </c>
      <c r="H85" s="29">
        <f>IF(AND(F85=1,ISNUMBER(E85)),E85,"")</f>
        <v/>
      </c>
      <c r="I85" s="22">
        <f>IF(AND(F85=1,ISNUMBER(C85)),C85,"")</f>
        <v/>
      </c>
      <c r="J85" s="11">
        <f>IF(G85="","",100-IF($G$13=1,50,(_xlfn.RANK.AVG(G85,$G$19:$G$1518,1)-1)/($G$13-1)*100))</f>
        <v/>
      </c>
      <c r="K85" s="11">
        <f>IF(H85="","",100-IF($G$14=1,50,(_xlfn.RANK.AVG(H85,$H$19:$H$1518,1)-1)/($G$14-1)*100))</f>
        <v/>
      </c>
      <c r="L85" s="11">
        <f>IF(I85="","",IF($G$15=1,50,(_xlfn.RANK.AVG(I85,$I$19:$I$1518,1)-1)/($G$15-1)*100))</f>
        <v/>
      </c>
      <c r="M85" s="11">
        <f>IF(COUNT(J85:L85)=3,ROUND(AVERAGE(J85:L85),6),"")</f>
        <v/>
      </c>
      <c r="O85">
        <f>IF(AND(ISNUMBER('자료_미국심리'!$A69),ISNUMBER('자료_미국심리'!$B69)),'자료_미국심리'!$A69,"")</f>
        <v/>
      </c>
      <c r="P85">
        <f>IF(AND(ISNUMBER('자료_미국심리'!$D69),ISNUMBER('자료_미국심리'!$E69)),'자료_미국심리'!$D69,"")</f>
        <v/>
      </c>
      <c r="Q85">
        <f>IF(AND(ISNUMBER('자료_미국심리'!$G69),ISNUMBER('자료_미국심리'!$H69)),'자료_미국심리'!$G69,"")</f>
        <v/>
      </c>
    </row>
    <row r="86">
      <c r="A86" s="10">
        <f>IF(68&gt;$E$5,"",SMALL($O$19:$O$4018,$E$6+68))</f>
        <v/>
      </c>
      <c r="B86" s="29">
        <f>IF(A86="","",INDEX('자료_미국심리'!$B$3:$B$4002,MATCH(A86,$O$19:$O$4018,0)))</f>
        <v/>
      </c>
      <c r="C86" s="22">
        <f>""</f>
        <v/>
      </c>
      <c r="D86" s="29">
        <f>IF(A86="","",IFERROR(INDEX('자료_미국심리'!$E$3:$E$4002,MATCH(A86,$P$19:$P$4018,0)),D85))</f>
        <v/>
      </c>
      <c r="E86" s="29">
        <f>IF(A86="","",IFERROR(INDEX('자료_미국심리'!$H$3:$H$4002,MATCH(A86,$Q$19:$Q$4018,0)),E85))</f>
        <v/>
      </c>
      <c r="F86">
        <f>IF(A86="",0,IF(A86&gt;$B$5,1,0))</f>
        <v/>
      </c>
      <c r="G86" s="29">
        <f>IF(AND(F86=1,ISNUMBER(D86)),D86,"")</f>
        <v/>
      </c>
      <c r="H86" s="29">
        <f>IF(AND(F86=1,ISNUMBER(E86)),E86,"")</f>
        <v/>
      </c>
      <c r="I86" s="22">
        <f>IF(AND(F86=1,ISNUMBER(C86)),C86,"")</f>
        <v/>
      </c>
      <c r="J86" s="11">
        <f>IF(G86="","",100-IF($G$13=1,50,(_xlfn.RANK.AVG(G86,$G$19:$G$1518,1)-1)/($G$13-1)*100))</f>
        <v/>
      </c>
      <c r="K86" s="11">
        <f>IF(H86="","",100-IF($G$14=1,50,(_xlfn.RANK.AVG(H86,$H$19:$H$1518,1)-1)/($G$14-1)*100))</f>
        <v/>
      </c>
      <c r="L86" s="11">
        <f>IF(I86="","",IF($G$15=1,50,(_xlfn.RANK.AVG(I86,$I$19:$I$1518,1)-1)/($G$15-1)*100))</f>
        <v/>
      </c>
      <c r="M86" s="11">
        <f>IF(COUNT(J86:L86)=3,ROUND(AVERAGE(J86:L86),6),"")</f>
        <v/>
      </c>
      <c r="O86">
        <f>IF(AND(ISNUMBER('자료_미국심리'!$A70),ISNUMBER('자료_미국심리'!$B70)),'자료_미국심리'!$A70,"")</f>
        <v/>
      </c>
      <c r="P86">
        <f>IF(AND(ISNUMBER('자료_미국심리'!$D70),ISNUMBER('자료_미국심리'!$E70)),'자료_미국심리'!$D70,"")</f>
        <v/>
      </c>
      <c r="Q86">
        <f>IF(AND(ISNUMBER('자료_미국심리'!$G70),ISNUMBER('자료_미국심리'!$H70)),'자료_미국심리'!$G70,"")</f>
        <v/>
      </c>
    </row>
    <row r="87">
      <c r="A87" s="10">
        <f>IF(69&gt;$E$5,"",SMALL($O$19:$O$4018,$E$6+69))</f>
        <v/>
      </c>
      <c r="B87" s="29">
        <f>IF(A87="","",INDEX('자료_미국심리'!$B$3:$B$4002,MATCH(A87,$O$19:$O$4018,0)))</f>
        <v/>
      </c>
      <c r="C87" s="22">
        <f>""</f>
        <v/>
      </c>
      <c r="D87" s="29">
        <f>IF(A87="","",IFERROR(INDEX('자료_미국심리'!$E$3:$E$4002,MATCH(A87,$P$19:$P$4018,0)),D86))</f>
        <v/>
      </c>
      <c r="E87" s="29">
        <f>IF(A87="","",IFERROR(INDEX('자료_미국심리'!$H$3:$H$4002,MATCH(A87,$Q$19:$Q$4018,0)),E86))</f>
        <v/>
      </c>
      <c r="F87">
        <f>IF(A87="",0,IF(A87&gt;$B$5,1,0))</f>
        <v/>
      </c>
      <c r="G87" s="29">
        <f>IF(AND(F87=1,ISNUMBER(D87)),D87,"")</f>
        <v/>
      </c>
      <c r="H87" s="29">
        <f>IF(AND(F87=1,ISNUMBER(E87)),E87,"")</f>
        <v/>
      </c>
      <c r="I87" s="22">
        <f>IF(AND(F87=1,ISNUMBER(C87)),C87,"")</f>
        <v/>
      </c>
      <c r="J87" s="11">
        <f>IF(G87="","",100-IF($G$13=1,50,(_xlfn.RANK.AVG(G87,$G$19:$G$1518,1)-1)/($G$13-1)*100))</f>
        <v/>
      </c>
      <c r="K87" s="11">
        <f>IF(H87="","",100-IF($G$14=1,50,(_xlfn.RANK.AVG(H87,$H$19:$H$1518,1)-1)/($G$14-1)*100))</f>
        <v/>
      </c>
      <c r="L87" s="11">
        <f>IF(I87="","",IF($G$15=1,50,(_xlfn.RANK.AVG(I87,$I$19:$I$1518,1)-1)/($G$15-1)*100))</f>
        <v/>
      </c>
      <c r="M87" s="11">
        <f>IF(COUNT(J87:L87)=3,ROUND(AVERAGE(J87:L87),6),"")</f>
        <v/>
      </c>
      <c r="O87">
        <f>IF(AND(ISNUMBER('자료_미국심리'!$A71),ISNUMBER('자료_미국심리'!$B71)),'자료_미국심리'!$A71,"")</f>
        <v/>
      </c>
      <c r="P87">
        <f>IF(AND(ISNUMBER('자료_미국심리'!$D71),ISNUMBER('자료_미국심리'!$E71)),'자료_미국심리'!$D71,"")</f>
        <v/>
      </c>
      <c r="Q87">
        <f>IF(AND(ISNUMBER('자료_미국심리'!$G71),ISNUMBER('자료_미국심리'!$H71)),'자료_미국심리'!$G71,"")</f>
        <v/>
      </c>
    </row>
    <row r="88">
      <c r="A88" s="10">
        <f>IF(70&gt;$E$5,"",SMALL($O$19:$O$4018,$E$6+70))</f>
        <v/>
      </c>
      <c r="B88" s="29">
        <f>IF(A88="","",INDEX('자료_미국심리'!$B$3:$B$4002,MATCH(A88,$O$19:$O$4018,0)))</f>
        <v/>
      </c>
      <c r="C88" s="22">
        <f>""</f>
        <v/>
      </c>
      <c r="D88" s="29">
        <f>IF(A88="","",IFERROR(INDEX('자료_미국심리'!$E$3:$E$4002,MATCH(A88,$P$19:$P$4018,0)),D87))</f>
        <v/>
      </c>
      <c r="E88" s="29">
        <f>IF(A88="","",IFERROR(INDEX('자료_미국심리'!$H$3:$H$4002,MATCH(A88,$Q$19:$Q$4018,0)),E87))</f>
        <v/>
      </c>
      <c r="F88">
        <f>IF(A88="",0,IF(A88&gt;$B$5,1,0))</f>
        <v/>
      </c>
      <c r="G88" s="29">
        <f>IF(AND(F88=1,ISNUMBER(D88)),D88,"")</f>
        <v/>
      </c>
      <c r="H88" s="29">
        <f>IF(AND(F88=1,ISNUMBER(E88)),E88,"")</f>
        <v/>
      </c>
      <c r="I88" s="22">
        <f>IF(AND(F88=1,ISNUMBER(C88)),C88,"")</f>
        <v/>
      </c>
      <c r="J88" s="11">
        <f>IF(G88="","",100-IF($G$13=1,50,(_xlfn.RANK.AVG(G88,$G$19:$G$1518,1)-1)/($G$13-1)*100))</f>
        <v/>
      </c>
      <c r="K88" s="11">
        <f>IF(H88="","",100-IF($G$14=1,50,(_xlfn.RANK.AVG(H88,$H$19:$H$1518,1)-1)/($G$14-1)*100))</f>
        <v/>
      </c>
      <c r="L88" s="11">
        <f>IF(I88="","",IF($G$15=1,50,(_xlfn.RANK.AVG(I88,$I$19:$I$1518,1)-1)/($G$15-1)*100))</f>
        <v/>
      </c>
      <c r="M88" s="11">
        <f>IF(COUNT(J88:L88)=3,ROUND(AVERAGE(J88:L88),6),"")</f>
        <v/>
      </c>
      <c r="O88">
        <f>IF(AND(ISNUMBER('자료_미국심리'!$A72),ISNUMBER('자료_미국심리'!$B72)),'자료_미국심리'!$A72,"")</f>
        <v/>
      </c>
      <c r="P88">
        <f>IF(AND(ISNUMBER('자료_미국심리'!$D72),ISNUMBER('자료_미국심리'!$E72)),'자료_미국심리'!$D72,"")</f>
        <v/>
      </c>
      <c r="Q88">
        <f>IF(AND(ISNUMBER('자료_미국심리'!$G72),ISNUMBER('자료_미국심리'!$H72)),'자료_미국심리'!$G72,"")</f>
        <v/>
      </c>
    </row>
    <row r="89">
      <c r="A89" s="10">
        <f>IF(71&gt;$E$5,"",SMALL($O$19:$O$4018,$E$6+71))</f>
        <v/>
      </c>
      <c r="B89" s="29">
        <f>IF(A89="","",INDEX('자료_미국심리'!$B$3:$B$4002,MATCH(A89,$O$19:$O$4018,0)))</f>
        <v/>
      </c>
      <c r="C89" s="22">
        <f>""</f>
        <v/>
      </c>
      <c r="D89" s="29">
        <f>IF(A89="","",IFERROR(INDEX('자료_미국심리'!$E$3:$E$4002,MATCH(A89,$P$19:$P$4018,0)),D88))</f>
        <v/>
      </c>
      <c r="E89" s="29">
        <f>IF(A89="","",IFERROR(INDEX('자료_미국심리'!$H$3:$H$4002,MATCH(A89,$Q$19:$Q$4018,0)),E88))</f>
        <v/>
      </c>
      <c r="F89">
        <f>IF(A89="",0,IF(A89&gt;$B$5,1,0))</f>
        <v/>
      </c>
      <c r="G89" s="29">
        <f>IF(AND(F89=1,ISNUMBER(D89)),D89,"")</f>
        <v/>
      </c>
      <c r="H89" s="29">
        <f>IF(AND(F89=1,ISNUMBER(E89)),E89,"")</f>
        <v/>
      </c>
      <c r="I89" s="22">
        <f>IF(AND(F89=1,ISNUMBER(C89)),C89,"")</f>
        <v/>
      </c>
      <c r="J89" s="11">
        <f>IF(G89="","",100-IF($G$13=1,50,(_xlfn.RANK.AVG(G89,$G$19:$G$1518,1)-1)/($G$13-1)*100))</f>
        <v/>
      </c>
      <c r="K89" s="11">
        <f>IF(H89="","",100-IF($G$14=1,50,(_xlfn.RANK.AVG(H89,$H$19:$H$1518,1)-1)/($G$14-1)*100))</f>
        <v/>
      </c>
      <c r="L89" s="11">
        <f>IF(I89="","",IF($G$15=1,50,(_xlfn.RANK.AVG(I89,$I$19:$I$1518,1)-1)/($G$15-1)*100))</f>
        <v/>
      </c>
      <c r="M89" s="11">
        <f>IF(COUNT(J89:L89)=3,ROUND(AVERAGE(J89:L89),6),"")</f>
        <v/>
      </c>
      <c r="O89">
        <f>IF(AND(ISNUMBER('자료_미국심리'!$A73),ISNUMBER('자료_미국심리'!$B73)),'자료_미국심리'!$A73,"")</f>
        <v/>
      </c>
      <c r="P89">
        <f>IF(AND(ISNUMBER('자료_미국심리'!$D73),ISNUMBER('자료_미국심리'!$E73)),'자료_미국심리'!$D73,"")</f>
        <v/>
      </c>
      <c r="Q89">
        <f>IF(AND(ISNUMBER('자료_미국심리'!$G73),ISNUMBER('자료_미국심리'!$H73)),'자료_미국심리'!$G73,"")</f>
        <v/>
      </c>
    </row>
    <row r="90">
      <c r="A90" s="10">
        <f>IF(72&gt;$E$5,"",SMALL($O$19:$O$4018,$E$6+72))</f>
        <v/>
      </c>
      <c r="B90" s="29">
        <f>IF(A90="","",INDEX('자료_미국심리'!$B$3:$B$4002,MATCH(A90,$O$19:$O$4018,0)))</f>
        <v/>
      </c>
      <c r="C90" s="22">
        <f>""</f>
        <v/>
      </c>
      <c r="D90" s="29">
        <f>IF(A90="","",IFERROR(INDEX('자료_미국심리'!$E$3:$E$4002,MATCH(A90,$P$19:$P$4018,0)),D89))</f>
        <v/>
      </c>
      <c r="E90" s="29">
        <f>IF(A90="","",IFERROR(INDEX('자료_미국심리'!$H$3:$H$4002,MATCH(A90,$Q$19:$Q$4018,0)),E89))</f>
        <v/>
      </c>
      <c r="F90">
        <f>IF(A90="",0,IF(A90&gt;$B$5,1,0))</f>
        <v/>
      </c>
      <c r="G90" s="29">
        <f>IF(AND(F90=1,ISNUMBER(D90)),D90,"")</f>
        <v/>
      </c>
      <c r="H90" s="29">
        <f>IF(AND(F90=1,ISNUMBER(E90)),E90,"")</f>
        <v/>
      </c>
      <c r="I90" s="22">
        <f>IF(AND(F90=1,ISNUMBER(C90)),C90,"")</f>
        <v/>
      </c>
      <c r="J90" s="11">
        <f>IF(G90="","",100-IF($G$13=1,50,(_xlfn.RANK.AVG(G90,$G$19:$G$1518,1)-1)/($G$13-1)*100))</f>
        <v/>
      </c>
      <c r="K90" s="11">
        <f>IF(H90="","",100-IF($G$14=1,50,(_xlfn.RANK.AVG(H90,$H$19:$H$1518,1)-1)/($G$14-1)*100))</f>
        <v/>
      </c>
      <c r="L90" s="11">
        <f>IF(I90="","",IF($G$15=1,50,(_xlfn.RANK.AVG(I90,$I$19:$I$1518,1)-1)/($G$15-1)*100))</f>
        <v/>
      </c>
      <c r="M90" s="11">
        <f>IF(COUNT(J90:L90)=3,ROUND(AVERAGE(J90:L90),6),"")</f>
        <v/>
      </c>
      <c r="O90">
        <f>IF(AND(ISNUMBER('자료_미국심리'!$A74),ISNUMBER('자료_미국심리'!$B74)),'자료_미국심리'!$A74,"")</f>
        <v/>
      </c>
      <c r="P90">
        <f>IF(AND(ISNUMBER('자료_미국심리'!$D74),ISNUMBER('자료_미국심리'!$E74)),'자료_미국심리'!$D74,"")</f>
        <v/>
      </c>
      <c r="Q90">
        <f>IF(AND(ISNUMBER('자료_미국심리'!$G74),ISNUMBER('자료_미국심리'!$H74)),'자료_미국심리'!$G74,"")</f>
        <v/>
      </c>
    </row>
    <row r="91">
      <c r="A91" s="10">
        <f>IF(73&gt;$E$5,"",SMALL($O$19:$O$4018,$E$6+73))</f>
        <v/>
      </c>
      <c r="B91" s="29">
        <f>IF(A91="","",INDEX('자료_미국심리'!$B$3:$B$4002,MATCH(A91,$O$19:$O$4018,0)))</f>
        <v/>
      </c>
      <c r="C91" s="22">
        <f>""</f>
        <v/>
      </c>
      <c r="D91" s="29">
        <f>IF(A91="","",IFERROR(INDEX('자료_미국심리'!$E$3:$E$4002,MATCH(A91,$P$19:$P$4018,0)),D90))</f>
        <v/>
      </c>
      <c r="E91" s="29">
        <f>IF(A91="","",IFERROR(INDEX('자료_미국심리'!$H$3:$H$4002,MATCH(A91,$Q$19:$Q$4018,0)),E90))</f>
        <v/>
      </c>
      <c r="F91">
        <f>IF(A91="",0,IF(A91&gt;$B$5,1,0))</f>
        <v/>
      </c>
      <c r="G91" s="29">
        <f>IF(AND(F91=1,ISNUMBER(D91)),D91,"")</f>
        <v/>
      </c>
      <c r="H91" s="29">
        <f>IF(AND(F91=1,ISNUMBER(E91)),E91,"")</f>
        <v/>
      </c>
      <c r="I91" s="22">
        <f>IF(AND(F91=1,ISNUMBER(C91)),C91,"")</f>
        <v/>
      </c>
      <c r="J91" s="11">
        <f>IF(G91="","",100-IF($G$13=1,50,(_xlfn.RANK.AVG(G91,$G$19:$G$1518,1)-1)/($G$13-1)*100))</f>
        <v/>
      </c>
      <c r="K91" s="11">
        <f>IF(H91="","",100-IF($G$14=1,50,(_xlfn.RANK.AVG(H91,$H$19:$H$1518,1)-1)/($G$14-1)*100))</f>
        <v/>
      </c>
      <c r="L91" s="11">
        <f>IF(I91="","",IF($G$15=1,50,(_xlfn.RANK.AVG(I91,$I$19:$I$1518,1)-1)/($G$15-1)*100))</f>
        <v/>
      </c>
      <c r="M91" s="11">
        <f>IF(COUNT(J91:L91)=3,ROUND(AVERAGE(J91:L91),6),"")</f>
        <v/>
      </c>
      <c r="O91">
        <f>IF(AND(ISNUMBER('자료_미국심리'!$A75),ISNUMBER('자료_미국심리'!$B75)),'자료_미국심리'!$A75,"")</f>
        <v/>
      </c>
      <c r="P91">
        <f>IF(AND(ISNUMBER('자료_미국심리'!$D75),ISNUMBER('자료_미국심리'!$E75)),'자료_미국심리'!$D75,"")</f>
        <v/>
      </c>
      <c r="Q91">
        <f>IF(AND(ISNUMBER('자료_미국심리'!$G75),ISNUMBER('자료_미국심리'!$H75)),'자료_미국심리'!$G75,"")</f>
        <v/>
      </c>
    </row>
    <row r="92">
      <c r="A92" s="10">
        <f>IF(74&gt;$E$5,"",SMALL($O$19:$O$4018,$E$6+74))</f>
        <v/>
      </c>
      <c r="B92" s="29">
        <f>IF(A92="","",INDEX('자료_미국심리'!$B$3:$B$4002,MATCH(A92,$O$19:$O$4018,0)))</f>
        <v/>
      </c>
      <c r="C92" s="22">
        <f>""</f>
        <v/>
      </c>
      <c r="D92" s="29">
        <f>IF(A92="","",IFERROR(INDEX('자료_미국심리'!$E$3:$E$4002,MATCH(A92,$P$19:$P$4018,0)),D91))</f>
        <v/>
      </c>
      <c r="E92" s="29">
        <f>IF(A92="","",IFERROR(INDEX('자료_미국심리'!$H$3:$H$4002,MATCH(A92,$Q$19:$Q$4018,0)),E91))</f>
        <v/>
      </c>
      <c r="F92">
        <f>IF(A92="",0,IF(A92&gt;$B$5,1,0))</f>
        <v/>
      </c>
      <c r="G92" s="29">
        <f>IF(AND(F92=1,ISNUMBER(D92)),D92,"")</f>
        <v/>
      </c>
      <c r="H92" s="29">
        <f>IF(AND(F92=1,ISNUMBER(E92)),E92,"")</f>
        <v/>
      </c>
      <c r="I92" s="22">
        <f>IF(AND(F92=1,ISNUMBER(C92)),C92,"")</f>
        <v/>
      </c>
      <c r="J92" s="11">
        <f>IF(G92="","",100-IF($G$13=1,50,(_xlfn.RANK.AVG(G92,$G$19:$G$1518,1)-1)/($G$13-1)*100))</f>
        <v/>
      </c>
      <c r="K92" s="11">
        <f>IF(H92="","",100-IF($G$14=1,50,(_xlfn.RANK.AVG(H92,$H$19:$H$1518,1)-1)/($G$14-1)*100))</f>
        <v/>
      </c>
      <c r="L92" s="11">
        <f>IF(I92="","",IF($G$15=1,50,(_xlfn.RANK.AVG(I92,$I$19:$I$1518,1)-1)/($G$15-1)*100))</f>
        <v/>
      </c>
      <c r="M92" s="11">
        <f>IF(COUNT(J92:L92)=3,ROUND(AVERAGE(J92:L92),6),"")</f>
        <v/>
      </c>
      <c r="O92">
        <f>IF(AND(ISNUMBER('자료_미국심리'!$A76),ISNUMBER('자료_미국심리'!$B76)),'자료_미국심리'!$A76,"")</f>
        <v/>
      </c>
      <c r="P92">
        <f>IF(AND(ISNUMBER('자료_미국심리'!$D76),ISNUMBER('자료_미국심리'!$E76)),'자료_미국심리'!$D76,"")</f>
        <v/>
      </c>
      <c r="Q92">
        <f>IF(AND(ISNUMBER('자료_미국심리'!$G76),ISNUMBER('자료_미국심리'!$H76)),'자료_미국심리'!$G76,"")</f>
        <v/>
      </c>
    </row>
    <row r="93">
      <c r="A93" s="10">
        <f>IF(75&gt;$E$5,"",SMALL($O$19:$O$4018,$E$6+75))</f>
        <v/>
      </c>
      <c r="B93" s="29">
        <f>IF(A93="","",INDEX('자료_미국심리'!$B$3:$B$4002,MATCH(A93,$O$19:$O$4018,0)))</f>
        <v/>
      </c>
      <c r="C93" s="22">
        <f>""</f>
        <v/>
      </c>
      <c r="D93" s="29">
        <f>IF(A93="","",IFERROR(INDEX('자료_미국심리'!$E$3:$E$4002,MATCH(A93,$P$19:$P$4018,0)),D92))</f>
        <v/>
      </c>
      <c r="E93" s="29">
        <f>IF(A93="","",IFERROR(INDEX('자료_미국심리'!$H$3:$H$4002,MATCH(A93,$Q$19:$Q$4018,0)),E92))</f>
        <v/>
      </c>
      <c r="F93">
        <f>IF(A93="",0,IF(A93&gt;$B$5,1,0))</f>
        <v/>
      </c>
      <c r="G93" s="29">
        <f>IF(AND(F93=1,ISNUMBER(D93)),D93,"")</f>
        <v/>
      </c>
      <c r="H93" s="29">
        <f>IF(AND(F93=1,ISNUMBER(E93)),E93,"")</f>
        <v/>
      </c>
      <c r="I93" s="22">
        <f>IF(AND(F93=1,ISNUMBER(C93)),C93,"")</f>
        <v/>
      </c>
      <c r="J93" s="11">
        <f>IF(G93="","",100-IF($G$13=1,50,(_xlfn.RANK.AVG(G93,$G$19:$G$1518,1)-1)/($G$13-1)*100))</f>
        <v/>
      </c>
      <c r="K93" s="11">
        <f>IF(H93="","",100-IF($G$14=1,50,(_xlfn.RANK.AVG(H93,$H$19:$H$1518,1)-1)/($G$14-1)*100))</f>
        <v/>
      </c>
      <c r="L93" s="11">
        <f>IF(I93="","",IF($G$15=1,50,(_xlfn.RANK.AVG(I93,$I$19:$I$1518,1)-1)/($G$15-1)*100))</f>
        <v/>
      </c>
      <c r="M93" s="11">
        <f>IF(COUNT(J93:L93)=3,ROUND(AVERAGE(J93:L93),6),"")</f>
        <v/>
      </c>
      <c r="O93">
        <f>IF(AND(ISNUMBER('자료_미국심리'!$A77),ISNUMBER('자료_미국심리'!$B77)),'자료_미국심리'!$A77,"")</f>
        <v/>
      </c>
      <c r="P93">
        <f>IF(AND(ISNUMBER('자료_미국심리'!$D77),ISNUMBER('자료_미국심리'!$E77)),'자료_미국심리'!$D77,"")</f>
        <v/>
      </c>
      <c r="Q93">
        <f>IF(AND(ISNUMBER('자료_미국심리'!$G77),ISNUMBER('자료_미국심리'!$H77)),'자료_미국심리'!$G77,"")</f>
        <v/>
      </c>
    </row>
    <row r="94">
      <c r="A94" s="10">
        <f>IF(76&gt;$E$5,"",SMALL($O$19:$O$4018,$E$6+76))</f>
        <v/>
      </c>
      <c r="B94" s="29">
        <f>IF(A94="","",INDEX('자료_미국심리'!$B$3:$B$4002,MATCH(A94,$O$19:$O$4018,0)))</f>
        <v/>
      </c>
      <c r="C94" s="22">
        <f>""</f>
        <v/>
      </c>
      <c r="D94" s="29">
        <f>IF(A94="","",IFERROR(INDEX('자료_미국심리'!$E$3:$E$4002,MATCH(A94,$P$19:$P$4018,0)),D93))</f>
        <v/>
      </c>
      <c r="E94" s="29">
        <f>IF(A94="","",IFERROR(INDEX('자료_미국심리'!$H$3:$H$4002,MATCH(A94,$Q$19:$Q$4018,0)),E93))</f>
        <v/>
      </c>
      <c r="F94">
        <f>IF(A94="",0,IF(A94&gt;$B$5,1,0))</f>
        <v/>
      </c>
      <c r="G94" s="29">
        <f>IF(AND(F94=1,ISNUMBER(D94)),D94,"")</f>
        <v/>
      </c>
      <c r="H94" s="29">
        <f>IF(AND(F94=1,ISNUMBER(E94)),E94,"")</f>
        <v/>
      </c>
      <c r="I94" s="22">
        <f>IF(AND(F94=1,ISNUMBER(C94)),C94,"")</f>
        <v/>
      </c>
      <c r="J94" s="11">
        <f>IF(G94="","",100-IF($G$13=1,50,(_xlfn.RANK.AVG(G94,$G$19:$G$1518,1)-1)/($G$13-1)*100))</f>
        <v/>
      </c>
      <c r="K94" s="11">
        <f>IF(H94="","",100-IF($G$14=1,50,(_xlfn.RANK.AVG(H94,$H$19:$H$1518,1)-1)/($G$14-1)*100))</f>
        <v/>
      </c>
      <c r="L94" s="11">
        <f>IF(I94="","",IF($G$15=1,50,(_xlfn.RANK.AVG(I94,$I$19:$I$1518,1)-1)/($G$15-1)*100))</f>
        <v/>
      </c>
      <c r="M94" s="11">
        <f>IF(COUNT(J94:L94)=3,ROUND(AVERAGE(J94:L94),6),"")</f>
        <v/>
      </c>
      <c r="O94">
        <f>IF(AND(ISNUMBER('자료_미국심리'!$A78),ISNUMBER('자료_미국심리'!$B78)),'자료_미국심리'!$A78,"")</f>
        <v/>
      </c>
      <c r="P94">
        <f>IF(AND(ISNUMBER('자료_미국심리'!$D78),ISNUMBER('자료_미국심리'!$E78)),'자료_미국심리'!$D78,"")</f>
        <v/>
      </c>
      <c r="Q94">
        <f>IF(AND(ISNUMBER('자료_미국심리'!$G78),ISNUMBER('자료_미국심리'!$H78)),'자료_미국심리'!$G78,"")</f>
        <v/>
      </c>
    </row>
    <row r="95">
      <c r="A95" s="10">
        <f>IF(77&gt;$E$5,"",SMALL($O$19:$O$4018,$E$6+77))</f>
        <v/>
      </c>
      <c r="B95" s="29">
        <f>IF(A95="","",INDEX('자료_미국심리'!$B$3:$B$4002,MATCH(A95,$O$19:$O$4018,0)))</f>
        <v/>
      </c>
      <c r="C95" s="22">
        <f>""</f>
        <v/>
      </c>
      <c r="D95" s="29">
        <f>IF(A95="","",IFERROR(INDEX('자료_미국심리'!$E$3:$E$4002,MATCH(A95,$P$19:$P$4018,0)),D94))</f>
        <v/>
      </c>
      <c r="E95" s="29">
        <f>IF(A95="","",IFERROR(INDEX('자료_미국심리'!$H$3:$H$4002,MATCH(A95,$Q$19:$Q$4018,0)),E94))</f>
        <v/>
      </c>
      <c r="F95">
        <f>IF(A95="",0,IF(A95&gt;$B$5,1,0))</f>
        <v/>
      </c>
      <c r="G95" s="29">
        <f>IF(AND(F95=1,ISNUMBER(D95)),D95,"")</f>
        <v/>
      </c>
      <c r="H95" s="29">
        <f>IF(AND(F95=1,ISNUMBER(E95)),E95,"")</f>
        <v/>
      </c>
      <c r="I95" s="22">
        <f>IF(AND(F95=1,ISNUMBER(C95)),C95,"")</f>
        <v/>
      </c>
      <c r="J95" s="11">
        <f>IF(G95="","",100-IF($G$13=1,50,(_xlfn.RANK.AVG(G95,$G$19:$G$1518,1)-1)/($G$13-1)*100))</f>
        <v/>
      </c>
      <c r="K95" s="11">
        <f>IF(H95="","",100-IF($G$14=1,50,(_xlfn.RANK.AVG(H95,$H$19:$H$1518,1)-1)/($G$14-1)*100))</f>
        <v/>
      </c>
      <c r="L95" s="11">
        <f>IF(I95="","",IF($G$15=1,50,(_xlfn.RANK.AVG(I95,$I$19:$I$1518,1)-1)/($G$15-1)*100))</f>
        <v/>
      </c>
      <c r="M95" s="11">
        <f>IF(COUNT(J95:L95)=3,ROUND(AVERAGE(J95:L95),6),"")</f>
        <v/>
      </c>
      <c r="O95">
        <f>IF(AND(ISNUMBER('자료_미국심리'!$A79),ISNUMBER('자료_미국심리'!$B79)),'자료_미국심리'!$A79,"")</f>
        <v/>
      </c>
      <c r="P95">
        <f>IF(AND(ISNUMBER('자료_미국심리'!$D79),ISNUMBER('자료_미국심리'!$E79)),'자료_미국심리'!$D79,"")</f>
        <v/>
      </c>
      <c r="Q95">
        <f>IF(AND(ISNUMBER('자료_미국심리'!$G79),ISNUMBER('자료_미국심리'!$H79)),'자료_미국심리'!$G79,"")</f>
        <v/>
      </c>
    </row>
    <row r="96">
      <c r="A96" s="10">
        <f>IF(78&gt;$E$5,"",SMALL($O$19:$O$4018,$E$6+78))</f>
        <v/>
      </c>
      <c r="B96" s="29">
        <f>IF(A96="","",INDEX('자료_미국심리'!$B$3:$B$4002,MATCH(A96,$O$19:$O$4018,0)))</f>
        <v/>
      </c>
      <c r="C96" s="22">
        <f>""</f>
        <v/>
      </c>
      <c r="D96" s="29">
        <f>IF(A96="","",IFERROR(INDEX('자료_미국심리'!$E$3:$E$4002,MATCH(A96,$P$19:$P$4018,0)),D95))</f>
        <v/>
      </c>
      <c r="E96" s="29">
        <f>IF(A96="","",IFERROR(INDEX('자료_미국심리'!$H$3:$H$4002,MATCH(A96,$Q$19:$Q$4018,0)),E95))</f>
        <v/>
      </c>
      <c r="F96">
        <f>IF(A96="",0,IF(A96&gt;$B$5,1,0))</f>
        <v/>
      </c>
      <c r="G96" s="29">
        <f>IF(AND(F96=1,ISNUMBER(D96)),D96,"")</f>
        <v/>
      </c>
      <c r="H96" s="29">
        <f>IF(AND(F96=1,ISNUMBER(E96)),E96,"")</f>
        <v/>
      </c>
      <c r="I96" s="22">
        <f>IF(AND(F96=1,ISNUMBER(C96)),C96,"")</f>
        <v/>
      </c>
      <c r="J96" s="11">
        <f>IF(G96="","",100-IF($G$13=1,50,(_xlfn.RANK.AVG(G96,$G$19:$G$1518,1)-1)/($G$13-1)*100))</f>
        <v/>
      </c>
      <c r="K96" s="11">
        <f>IF(H96="","",100-IF($G$14=1,50,(_xlfn.RANK.AVG(H96,$H$19:$H$1518,1)-1)/($G$14-1)*100))</f>
        <v/>
      </c>
      <c r="L96" s="11">
        <f>IF(I96="","",IF($G$15=1,50,(_xlfn.RANK.AVG(I96,$I$19:$I$1518,1)-1)/($G$15-1)*100))</f>
        <v/>
      </c>
      <c r="M96" s="11">
        <f>IF(COUNT(J96:L96)=3,ROUND(AVERAGE(J96:L96),6),"")</f>
        <v/>
      </c>
      <c r="O96">
        <f>IF(AND(ISNUMBER('자료_미국심리'!$A80),ISNUMBER('자료_미국심리'!$B80)),'자료_미국심리'!$A80,"")</f>
        <v/>
      </c>
      <c r="P96">
        <f>IF(AND(ISNUMBER('자료_미국심리'!$D80),ISNUMBER('자료_미국심리'!$E80)),'자료_미국심리'!$D80,"")</f>
        <v/>
      </c>
      <c r="Q96">
        <f>IF(AND(ISNUMBER('자료_미국심리'!$G80),ISNUMBER('자료_미국심리'!$H80)),'자료_미국심리'!$G80,"")</f>
        <v/>
      </c>
    </row>
    <row r="97">
      <c r="A97" s="10">
        <f>IF(79&gt;$E$5,"",SMALL($O$19:$O$4018,$E$6+79))</f>
        <v/>
      </c>
      <c r="B97" s="29">
        <f>IF(A97="","",INDEX('자료_미국심리'!$B$3:$B$4002,MATCH(A97,$O$19:$O$4018,0)))</f>
        <v/>
      </c>
      <c r="C97" s="22">
        <f>""</f>
        <v/>
      </c>
      <c r="D97" s="29">
        <f>IF(A97="","",IFERROR(INDEX('자료_미국심리'!$E$3:$E$4002,MATCH(A97,$P$19:$P$4018,0)),D96))</f>
        <v/>
      </c>
      <c r="E97" s="29">
        <f>IF(A97="","",IFERROR(INDEX('자료_미국심리'!$H$3:$H$4002,MATCH(A97,$Q$19:$Q$4018,0)),E96))</f>
        <v/>
      </c>
      <c r="F97">
        <f>IF(A97="",0,IF(A97&gt;$B$5,1,0))</f>
        <v/>
      </c>
      <c r="G97" s="29">
        <f>IF(AND(F97=1,ISNUMBER(D97)),D97,"")</f>
        <v/>
      </c>
      <c r="H97" s="29">
        <f>IF(AND(F97=1,ISNUMBER(E97)),E97,"")</f>
        <v/>
      </c>
      <c r="I97" s="22">
        <f>IF(AND(F97=1,ISNUMBER(C97)),C97,"")</f>
        <v/>
      </c>
      <c r="J97" s="11">
        <f>IF(G97="","",100-IF($G$13=1,50,(_xlfn.RANK.AVG(G97,$G$19:$G$1518,1)-1)/($G$13-1)*100))</f>
        <v/>
      </c>
      <c r="K97" s="11">
        <f>IF(H97="","",100-IF($G$14=1,50,(_xlfn.RANK.AVG(H97,$H$19:$H$1518,1)-1)/($G$14-1)*100))</f>
        <v/>
      </c>
      <c r="L97" s="11">
        <f>IF(I97="","",IF($G$15=1,50,(_xlfn.RANK.AVG(I97,$I$19:$I$1518,1)-1)/($G$15-1)*100))</f>
        <v/>
      </c>
      <c r="M97" s="11">
        <f>IF(COUNT(J97:L97)=3,ROUND(AVERAGE(J97:L97),6),"")</f>
        <v/>
      </c>
      <c r="O97">
        <f>IF(AND(ISNUMBER('자료_미국심리'!$A81),ISNUMBER('자료_미국심리'!$B81)),'자료_미국심리'!$A81,"")</f>
        <v/>
      </c>
      <c r="P97">
        <f>IF(AND(ISNUMBER('자료_미국심리'!$D81),ISNUMBER('자료_미국심리'!$E81)),'자료_미국심리'!$D81,"")</f>
        <v/>
      </c>
      <c r="Q97">
        <f>IF(AND(ISNUMBER('자료_미국심리'!$G81),ISNUMBER('자료_미국심리'!$H81)),'자료_미국심리'!$G81,"")</f>
        <v/>
      </c>
    </row>
    <row r="98">
      <c r="A98" s="10">
        <f>IF(80&gt;$E$5,"",SMALL($O$19:$O$4018,$E$6+80))</f>
        <v/>
      </c>
      <c r="B98" s="29">
        <f>IF(A98="","",INDEX('자료_미국심리'!$B$3:$B$4002,MATCH(A98,$O$19:$O$4018,0)))</f>
        <v/>
      </c>
      <c r="C98" s="22">
        <f>""</f>
        <v/>
      </c>
      <c r="D98" s="29">
        <f>IF(A98="","",IFERROR(INDEX('자료_미국심리'!$E$3:$E$4002,MATCH(A98,$P$19:$P$4018,0)),D97))</f>
        <v/>
      </c>
      <c r="E98" s="29">
        <f>IF(A98="","",IFERROR(INDEX('자료_미국심리'!$H$3:$H$4002,MATCH(A98,$Q$19:$Q$4018,0)),E97))</f>
        <v/>
      </c>
      <c r="F98">
        <f>IF(A98="",0,IF(A98&gt;$B$5,1,0))</f>
        <v/>
      </c>
      <c r="G98" s="29">
        <f>IF(AND(F98=1,ISNUMBER(D98)),D98,"")</f>
        <v/>
      </c>
      <c r="H98" s="29">
        <f>IF(AND(F98=1,ISNUMBER(E98)),E98,"")</f>
        <v/>
      </c>
      <c r="I98" s="22">
        <f>IF(AND(F98=1,ISNUMBER(C98)),C98,"")</f>
        <v/>
      </c>
      <c r="J98" s="11">
        <f>IF(G98="","",100-IF($G$13=1,50,(_xlfn.RANK.AVG(G98,$G$19:$G$1518,1)-1)/($G$13-1)*100))</f>
        <v/>
      </c>
      <c r="K98" s="11">
        <f>IF(H98="","",100-IF($G$14=1,50,(_xlfn.RANK.AVG(H98,$H$19:$H$1518,1)-1)/($G$14-1)*100))</f>
        <v/>
      </c>
      <c r="L98" s="11">
        <f>IF(I98="","",IF($G$15=1,50,(_xlfn.RANK.AVG(I98,$I$19:$I$1518,1)-1)/($G$15-1)*100))</f>
        <v/>
      </c>
      <c r="M98" s="11">
        <f>IF(COUNT(J98:L98)=3,ROUND(AVERAGE(J98:L98),6),"")</f>
        <v/>
      </c>
      <c r="O98">
        <f>IF(AND(ISNUMBER('자료_미국심리'!$A82),ISNUMBER('자료_미국심리'!$B82)),'자료_미국심리'!$A82,"")</f>
        <v/>
      </c>
      <c r="P98">
        <f>IF(AND(ISNUMBER('자료_미국심리'!$D82),ISNUMBER('자료_미국심리'!$E82)),'자료_미국심리'!$D82,"")</f>
        <v/>
      </c>
      <c r="Q98">
        <f>IF(AND(ISNUMBER('자료_미국심리'!$G82),ISNUMBER('자료_미국심리'!$H82)),'자료_미국심리'!$G82,"")</f>
        <v/>
      </c>
    </row>
    <row r="99">
      <c r="A99" s="10">
        <f>IF(81&gt;$E$5,"",SMALL($O$19:$O$4018,$E$6+81))</f>
        <v/>
      </c>
      <c r="B99" s="29">
        <f>IF(A99="","",INDEX('자료_미국심리'!$B$3:$B$4002,MATCH(A99,$O$19:$O$4018,0)))</f>
        <v/>
      </c>
      <c r="C99" s="22">
        <f>""</f>
        <v/>
      </c>
      <c r="D99" s="29">
        <f>IF(A99="","",IFERROR(INDEX('자료_미국심리'!$E$3:$E$4002,MATCH(A99,$P$19:$P$4018,0)),D98))</f>
        <v/>
      </c>
      <c r="E99" s="29">
        <f>IF(A99="","",IFERROR(INDEX('자료_미국심리'!$H$3:$H$4002,MATCH(A99,$Q$19:$Q$4018,0)),E98))</f>
        <v/>
      </c>
      <c r="F99">
        <f>IF(A99="",0,IF(A99&gt;$B$5,1,0))</f>
        <v/>
      </c>
      <c r="G99" s="29">
        <f>IF(AND(F99=1,ISNUMBER(D99)),D99,"")</f>
        <v/>
      </c>
      <c r="H99" s="29">
        <f>IF(AND(F99=1,ISNUMBER(E99)),E99,"")</f>
        <v/>
      </c>
      <c r="I99" s="22">
        <f>IF(AND(F99=1,ISNUMBER(C99)),C99,"")</f>
        <v/>
      </c>
      <c r="J99" s="11">
        <f>IF(G99="","",100-IF($G$13=1,50,(_xlfn.RANK.AVG(G99,$G$19:$G$1518,1)-1)/($G$13-1)*100))</f>
        <v/>
      </c>
      <c r="K99" s="11">
        <f>IF(H99="","",100-IF($G$14=1,50,(_xlfn.RANK.AVG(H99,$H$19:$H$1518,1)-1)/($G$14-1)*100))</f>
        <v/>
      </c>
      <c r="L99" s="11">
        <f>IF(I99="","",IF($G$15=1,50,(_xlfn.RANK.AVG(I99,$I$19:$I$1518,1)-1)/($G$15-1)*100))</f>
        <v/>
      </c>
      <c r="M99" s="11">
        <f>IF(COUNT(J99:L99)=3,ROUND(AVERAGE(J99:L99),6),"")</f>
        <v/>
      </c>
      <c r="O99">
        <f>IF(AND(ISNUMBER('자료_미국심리'!$A83),ISNUMBER('자료_미국심리'!$B83)),'자료_미국심리'!$A83,"")</f>
        <v/>
      </c>
      <c r="P99">
        <f>IF(AND(ISNUMBER('자료_미국심리'!$D83),ISNUMBER('자료_미국심리'!$E83)),'자료_미국심리'!$D83,"")</f>
        <v/>
      </c>
      <c r="Q99">
        <f>IF(AND(ISNUMBER('자료_미국심리'!$G83),ISNUMBER('자료_미국심리'!$H83)),'자료_미국심리'!$G83,"")</f>
        <v/>
      </c>
    </row>
    <row r="100">
      <c r="A100" s="10">
        <f>IF(82&gt;$E$5,"",SMALL($O$19:$O$4018,$E$6+82))</f>
        <v/>
      </c>
      <c r="B100" s="29">
        <f>IF(A100="","",INDEX('자료_미국심리'!$B$3:$B$4002,MATCH(A100,$O$19:$O$4018,0)))</f>
        <v/>
      </c>
      <c r="C100" s="22">
        <f>""</f>
        <v/>
      </c>
      <c r="D100" s="29">
        <f>IF(A100="","",IFERROR(INDEX('자료_미국심리'!$E$3:$E$4002,MATCH(A100,$P$19:$P$4018,0)),D99))</f>
        <v/>
      </c>
      <c r="E100" s="29">
        <f>IF(A100="","",IFERROR(INDEX('자료_미국심리'!$H$3:$H$4002,MATCH(A100,$Q$19:$Q$4018,0)),E99))</f>
        <v/>
      </c>
      <c r="F100">
        <f>IF(A100="",0,IF(A100&gt;$B$5,1,0))</f>
        <v/>
      </c>
      <c r="G100" s="29">
        <f>IF(AND(F100=1,ISNUMBER(D100)),D100,"")</f>
        <v/>
      </c>
      <c r="H100" s="29">
        <f>IF(AND(F100=1,ISNUMBER(E100)),E100,"")</f>
        <v/>
      </c>
      <c r="I100" s="22">
        <f>IF(AND(F100=1,ISNUMBER(C100)),C100,"")</f>
        <v/>
      </c>
      <c r="J100" s="11">
        <f>IF(G100="","",100-IF($G$13=1,50,(_xlfn.RANK.AVG(G100,$G$19:$G$1518,1)-1)/($G$13-1)*100))</f>
        <v/>
      </c>
      <c r="K100" s="11">
        <f>IF(H100="","",100-IF($G$14=1,50,(_xlfn.RANK.AVG(H100,$H$19:$H$1518,1)-1)/($G$14-1)*100))</f>
        <v/>
      </c>
      <c r="L100" s="11">
        <f>IF(I100="","",IF($G$15=1,50,(_xlfn.RANK.AVG(I100,$I$19:$I$1518,1)-1)/($G$15-1)*100))</f>
        <v/>
      </c>
      <c r="M100" s="11">
        <f>IF(COUNT(J100:L100)=3,ROUND(AVERAGE(J100:L100),6),"")</f>
        <v/>
      </c>
      <c r="O100">
        <f>IF(AND(ISNUMBER('자료_미국심리'!$A84),ISNUMBER('자료_미국심리'!$B84)),'자료_미국심리'!$A84,"")</f>
        <v/>
      </c>
      <c r="P100">
        <f>IF(AND(ISNUMBER('자료_미국심리'!$D84),ISNUMBER('자료_미국심리'!$E84)),'자료_미국심리'!$D84,"")</f>
        <v/>
      </c>
      <c r="Q100">
        <f>IF(AND(ISNUMBER('자료_미국심리'!$G84),ISNUMBER('자료_미국심리'!$H84)),'자료_미국심리'!$G84,"")</f>
        <v/>
      </c>
    </row>
    <row r="101">
      <c r="A101" s="10">
        <f>IF(83&gt;$E$5,"",SMALL($O$19:$O$4018,$E$6+83))</f>
        <v/>
      </c>
      <c r="B101" s="29">
        <f>IF(A101="","",INDEX('자료_미국심리'!$B$3:$B$4002,MATCH(A101,$O$19:$O$4018,0)))</f>
        <v/>
      </c>
      <c r="C101" s="22">
        <f>""</f>
        <v/>
      </c>
      <c r="D101" s="29">
        <f>IF(A101="","",IFERROR(INDEX('자료_미국심리'!$E$3:$E$4002,MATCH(A101,$P$19:$P$4018,0)),D100))</f>
        <v/>
      </c>
      <c r="E101" s="29">
        <f>IF(A101="","",IFERROR(INDEX('자료_미국심리'!$H$3:$H$4002,MATCH(A101,$Q$19:$Q$4018,0)),E100))</f>
        <v/>
      </c>
      <c r="F101">
        <f>IF(A101="",0,IF(A101&gt;$B$5,1,0))</f>
        <v/>
      </c>
      <c r="G101" s="29">
        <f>IF(AND(F101=1,ISNUMBER(D101)),D101,"")</f>
        <v/>
      </c>
      <c r="H101" s="29">
        <f>IF(AND(F101=1,ISNUMBER(E101)),E101,"")</f>
        <v/>
      </c>
      <c r="I101" s="22">
        <f>IF(AND(F101=1,ISNUMBER(C101)),C101,"")</f>
        <v/>
      </c>
      <c r="J101" s="11">
        <f>IF(G101="","",100-IF($G$13=1,50,(_xlfn.RANK.AVG(G101,$G$19:$G$1518,1)-1)/($G$13-1)*100))</f>
        <v/>
      </c>
      <c r="K101" s="11">
        <f>IF(H101="","",100-IF($G$14=1,50,(_xlfn.RANK.AVG(H101,$H$19:$H$1518,1)-1)/($G$14-1)*100))</f>
        <v/>
      </c>
      <c r="L101" s="11">
        <f>IF(I101="","",IF($G$15=1,50,(_xlfn.RANK.AVG(I101,$I$19:$I$1518,1)-1)/($G$15-1)*100))</f>
        <v/>
      </c>
      <c r="M101" s="11">
        <f>IF(COUNT(J101:L101)=3,ROUND(AVERAGE(J101:L101),6),"")</f>
        <v/>
      </c>
      <c r="O101">
        <f>IF(AND(ISNUMBER('자료_미국심리'!$A85),ISNUMBER('자료_미국심리'!$B85)),'자료_미국심리'!$A85,"")</f>
        <v/>
      </c>
      <c r="P101">
        <f>IF(AND(ISNUMBER('자료_미국심리'!$D85),ISNUMBER('자료_미국심리'!$E85)),'자료_미국심리'!$D85,"")</f>
        <v/>
      </c>
      <c r="Q101">
        <f>IF(AND(ISNUMBER('자료_미국심리'!$G85),ISNUMBER('자료_미국심리'!$H85)),'자료_미국심리'!$G85,"")</f>
        <v/>
      </c>
    </row>
    <row r="102">
      <c r="A102" s="10">
        <f>IF(84&gt;$E$5,"",SMALL($O$19:$O$4018,$E$6+84))</f>
        <v/>
      </c>
      <c r="B102" s="29">
        <f>IF(A102="","",INDEX('자료_미국심리'!$B$3:$B$4002,MATCH(A102,$O$19:$O$4018,0)))</f>
        <v/>
      </c>
      <c r="C102" s="22">
        <f>""</f>
        <v/>
      </c>
      <c r="D102" s="29">
        <f>IF(A102="","",IFERROR(INDEX('자료_미국심리'!$E$3:$E$4002,MATCH(A102,$P$19:$P$4018,0)),D101))</f>
        <v/>
      </c>
      <c r="E102" s="29">
        <f>IF(A102="","",IFERROR(INDEX('자료_미국심리'!$H$3:$H$4002,MATCH(A102,$Q$19:$Q$4018,0)),E101))</f>
        <v/>
      </c>
      <c r="F102">
        <f>IF(A102="",0,IF(A102&gt;$B$5,1,0))</f>
        <v/>
      </c>
      <c r="G102" s="29">
        <f>IF(AND(F102=1,ISNUMBER(D102)),D102,"")</f>
        <v/>
      </c>
      <c r="H102" s="29">
        <f>IF(AND(F102=1,ISNUMBER(E102)),E102,"")</f>
        <v/>
      </c>
      <c r="I102" s="22">
        <f>IF(AND(F102=1,ISNUMBER(C102)),C102,"")</f>
        <v/>
      </c>
      <c r="J102" s="11">
        <f>IF(G102="","",100-IF($G$13=1,50,(_xlfn.RANK.AVG(G102,$G$19:$G$1518,1)-1)/($G$13-1)*100))</f>
        <v/>
      </c>
      <c r="K102" s="11">
        <f>IF(H102="","",100-IF($G$14=1,50,(_xlfn.RANK.AVG(H102,$H$19:$H$1518,1)-1)/($G$14-1)*100))</f>
        <v/>
      </c>
      <c r="L102" s="11">
        <f>IF(I102="","",IF($G$15=1,50,(_xlfn.RANK.AVG(I102,$I$19:$I$1518,1)-1)/($G$15-1)*100))</f>
        <v/>
      </c>
      <c r="M102" s="11">
        <f>IF(COUNT(J102:L102)=3,ROUND(AVERAGE(J102:L102),6),"")</f>
        <v/>
      </c>
      <c r="O102">
        <f>IF(AND(ISNUMBER('자료_미국심리'!$A86),ISNUMBER('자료_미국심리'!$B86)),'자료_미국심리'!$A86,"")</f>
        <v/>
      </c>
      <c r="P102">
        <f>IF(AND(ISNUMBER('자료_미국심리'!$D86),ISNUMBER('자료_미국심리'!$E86)),'자료_미국심리'!$D86,"")</f>
        <v/>
      </c>
      <c r="Q102">
        <f>IF(AND(ISNUMBER('자료_미국심리'!$G86),ISNUMBER('자료_미국심리'!$H86)),'자료_미국심리'!$G86,"")</f>
        <v/>
      </c>
    </row>
    <row r="103">
      <c r="A103" s="10">
        <f>IF(85&gt;$E$5,"",SMALL($O$19:$O$4018,$E$6+85))</f>
        <v/>
      </c>
      <c r="B103" s="29">
        <f>IF(A103="","",INDEX('자료_미국심리'!$B$3:$B$4002,MATCH(A103,$O$19:$O$4018,0)))</f>
        <v/>
      </c>
      <c r="C103" s="22">
        <f>""</f>
        <v/>
      </c>
      <c r="D103" s="29">
        <f>IF(A103="","",IFERROR(INDEX('자료_미국심리'!$E$3:$E$4002,MATCH(A103,$P$19:$P$4018,0)),D102))</f>
        <v/>
      </c>
      <c r="E103" s="29">
        <f>IF(A103="","",IFERROR(INDEX('자료_미국심리'!$H$3:$H$4002,MATCH(A103,$Q$19:$Q$4018,0)),E102))</f>
        <v/>
      </c>
      <c r="F103">
        <f>IF(A103="",0,IF(A103&gt;$B$5,1,0))</f>
        <v/>
      </c>
      <c r="G103" s="29">
        <f>IF(AND(F103=1,ISNUMBER(D103)),D103,"")</f>
        <v/>
      </c>
      <c r="H103" s="29">
        <f>IF(AND(F103=1,ISNUMBER(E103)),E103,"")</f>
        <v/>
      </c>
      <c r="I103" s="22">
        <f>IF(AND(F103=1,ISNUMBER(C103)),C103,"")</f>
        <v/>
      </c>
      <c r="J103" s="11">
        <f>IF(G103="","",100-IF($G$13=1,50,(_xlfn.RANK.AVG(G103,$G$19:$G$1518,1)-1)/($G$13-1)*100))</f>
        <v/>
      </c>
      <c r="K103" s="11">
        <f>IF(H103="","",100-IF($G$14=1,50,(_xlfn.RANK.AVG(H103,$H$19:$H$1518,1)-1)/($G$14-1)*100))</f>
        <v/>
      </c>
      <c r="L103" s="11">
        <f>IF(I103="","",IF($G$15=1,50,(_xlfn.RANK.AVG(I103,$I$19:$I$1518,1)-1)/($G$15-1)*100))</f>
        <v/>
      </c>
      <c r="M103" s="11">
        <f>IF(COUNT(J103:L103)=3,ROUND(AVERAGE(J103:L103),6),"")</f>
        <v/>
      </c>
      <c r="O103">
        <f>IF(AND(ISNUMBER('자료_미국심리'!$A87),ISNUMBER('자료_미국심리'!$B87)),'자료_미국심리'!$A87,"")</f>
        <v/>
      </c>
      <c r="P103">
        <f>IF(AND(ISNUMBER('자료_미국심리'!$D87),ISNUMBER('자료_미국심리'!$E87)),'자료_미국심리'!$D87,"")</f>
        <v/>
      </c>
      <c r="Q103">
        <f>IF(AND(ISNUMBER('자료_미국심리'!$G87),ISNUMBER('자료_미국심리'!$H87)),'자료_미국심리'!$G87,"")</f>
        <v/>
      </c>
    </row>
    <row r="104">
      <c r="A104" s="10">
        <f>IF(86&gt;$E$5,"",SMALL($O$19:$O$4018,$E$6+86))</f>
        <v/>
      </c>
      <c r="B104" s="29">
        <f>IF(A104="","",INDEX('자료_미국심리'!$B$3:$B$4002,MATCH(A104,$O$19:$O$4018,0)))</f>
        <v/>
      </c>
      <c r="C104" s="22">
        <f>""</f>
        <v/>
      </c>
      <c r="D104" s="29">
        <f>IF(A104="","",IFERROR(INDEX('자료_미국심리'!$E$3:$E$4002,MATCH(A104,$P$19:$P$4018,0)),D103))</f>
        <v/>
      </c>
      <c r="E104" s="29">
        <f>IF(A104="","",IFERROR(INDEX('자료_미국심리'!$H$3:$H$4002,MATCH(A104,$Q$19:$Q$4018,0)),E103))</f>
        <v/>
      </c>
      <c r="F104">
        <f>IF(A104="",0,IF(A104&gt;$B$5,1,0))</f>
        <v/>
      </c>
      <c r="G104" s="29">
        <f>IF(AND(F104=1,ISNUMBER(D104)),D104,"")</f>
        <v/>
      </c>
      <c r="H104" s="29">
        <f>IF(AND(F104=1,ISNUMBER(E104)),E104,"")</f>
        <v/>
      </c>
      <c r="I104" s="22">
        <f>IF(AND(F104=1,ISNUMBER(C104)),C104,"")</f>
        <v/>
      </c>
      <c r="J104" s="11">
        <f>IF(G104="","",100-IF($G$13=1,50,(_xlfn.RANK.AVG(G104,$G$19:$G$1518,1)-1)/($G$13-1)*100))</f>
        <v/>
      </c>
      <c r="K104" s="11">
        <f>IF(H104="","",100-IF($G$14=1,50,(_xlfn.RANK.AVG(H104,$H$19:$H$1518,1)-1)/($G$14-1)*100))</f>
        <v/>
      </c>
      <c r="L104" s="11">
        <f>IF(I104="","",IF($G$15=1,50,(_xlfn.RANK.AVG(I104,$I$19:$I$1518,1)-1)/($G$15-1)*100))</f>
        <v/>
      </c>
      <c r="M104" s="11">
        <f>IF(COUNT(J104:L104)=3,ROUND(AVERAGE(J104:L104),6),"")</f>
        <v/>
      </c>
      <c r="O104">
        <f>IF(AND(ISNUMBER('자료_미국심리'!$A88),ISNUMBER('자료_미국심리'!$B88)),'자료_미국심리'!$A88,"")</f>
        <v/>
      </c>
      <c r="P104">
        <f>IF(AND(ISNUMBER('자료_미국심리'!$D88),ISNUMBER('자료_미국심리'!$E88)),'자료_미국심리'!$D88,"")</f>
        <v/>
      </c>
      <c r="Q104">
        <f>IF(AND(ISNUMBER('자료_미국심리'!$G88),ISNUMBER('자료_미국심리'!$H88)),'자료_미국심리'!$G88,"")</f>
        <v/>
      </c>
    </row>
    <row r="105">
      <c r="A105" s="10">
        <f>IF(87&gt;$E$5,"",SMALL($O$19:$O$4018,$E$6+87))</f>
        <v/>
      </c>
      <c r="B105" s="29">
        <f>IF(A105="","",INDEX('자료_미국심리'!$B$3:$B$4002,MATCH(A105,$O$19:$O$4018,0)))</f>
        <v/>
      </c>
      <c r="C105" s="22">
        <f>""</f>
        <v/>
      </c>
      <c r="D105" s="29">
        <f>IF(A105="","",IFERROR(INDEX('자료_미국심리'!$E$3:$E$4002,MATCH(A105,$P$19:$P$4018,0)),D104))</f>
        <v/>
      </c>
      <c r="E105" s="29">
        <f>IF(A105="","",IFERROR(INDEX('자료_미국심리'!$H$3:$H$4002,MATCH(A105,$Q$19:$Q$4018,0)),E104))</f>
        <v/>
      </c>
      <c r="F105">
        <f>IF(A105="",0,IF(A105&gt;$B$5,1,0))</f>
        <v/>
      </c>
      <c r="G105" s="29">
        <f>IF(AND(F105=1,ISNUMBER(D105)),D105,"")</f>
        <v/>
      </c>
      <c r="H105" s="29">
        <f>IF(AND(F105=1,ISNUMBER(E105)),E105,"")</f>
        <v/>
      </c>
      <c r="I105" s="22">
        <f>IF(AND(F105=1,ISNUMBER(C105)),C105,"")</f>
        <v/>
      </c>
      <c r="J105" s="11">
        <f>IF(G105="","",100-IF($G$13=1,50,(_xlfn.RANK.AVG(G105,$G$19:$G$1518,1)-1)/($G$13-1)*100))</f>
        <v/>
      </c>
      <c r="K105" s="11">
        <f>IF(H105="","",100-IF($G$14=1,50,(_xlfn.RANK.AVG(H105,$H$19:$H$1518,1)-1)/($G$14-1)*100))</f>
        <v/>
      </c>
      <c r="L105" s="11">
        <f>IF(I105="","",IF($G$15=1,50,(_xlfn.RANK.AVG(I105,$I$19:$I$1518,1)-1)/($G$15-1)*100))</f>
        <v/>
      </c>
      <c r="M105" s="11">
        <f>IF(COUNT(J105:L105)=3,ROUND(AVERAGE(J105:L105),6),"")</f>
        <v/>
      </c>
      <c r="O105">
        <f>IF(AND(ISNUMBER('자료_미국심리'!$A89),ISNUMBER('자료_미국심리'!$B89)),'자료_미국심리'!$A89,"")</f>
        <v/>
      </c>
      <c r="P105">
        <f>IF(AND(ISNUMBER('자료_미국심리'!$D89),ISNUMBER('자료_미국심리'!$E89)),'자료_미국심리'!$D89,"")</f>
        <v/>
      </c>
      <c r="Q105">
        <f>IF(AND(ISNUMBER('자료_미국심리'!$G89),ISNUMBER('자료_미국심리'!$H89)),'자료_미국심리'!$G89,"")</f>
        <v/>
      </c>
    </row>
    <row r="106">
      <c r="A106" s="10">
        <f>IF(88&gt;$E$5,"",SMALL($O$19:$O$4018,$E$6+88))</f>
        <v/>
      </c>
      <c r="B106" s="29">
        <f>IF(A106="","",INDEX('자료_미국심리'!$B$3:$B$4002,MATCH(A106,$O$19:$O$4018,0)))</f>
        <v/>
      </c>
      <c r="C106" s="22">
        <f>""</f>
        <v/>
      </c>
      <c r="D106" s="29">
        <f>IF(A106="","",IFERROR(INDEX('자료_미국심리'!$E$3:$E$4002,MATCH(A106,$P$19:$P$4018,0)),D105))</f>
        <v/>
      </c>
      <c r="E106" s="29">
        <f>IF(A106="","",IFERROR(INDEX('자료_미국심리'!$H$3:$H$4002,MATCH(A106,$Q$19:$Q$4018,0)),E105))</f>
        <v/>
      </c>
      <c r="F106">
        <f>IF(A106="",0,IF(A106&gt;$B$5,1,0))</f>
        <v/>
      </c>
      <c r="G106" s="29">
        <f>IF(AND(F106=1,ISNUMBER(D106)),D106,"")</f>
        <v/>
      </c>
      <c r="H106" s="29">
        <f>IF(AND(F106=1,ISNUMBER(E106)),E106,"")</f>
        <v/>
      </c>
      <c r="I106" s="22">
        <f>IF(AND(F106=1,ISNUMBER(C106)),C106,"")</f>
        <v/>
      </c>
      <c r="J106" s="11">
        <f>IF(G106="","",100-IF($G$13=1,50,(_xlfn.RANK.AVG(G106,$G$19:$G$1518,1)-1)/($G$13-1)*100))</f>
        <v/>
      </c>
      <c r="K106" s="11">
        <f>IF(H106="","",100-IF($G$14=1,50,(_xlfn.RANK.AVG(H106,$H$19:$H$1518,1)-1)/($G$14-1)*100))</f>
        <v/>
      </c>
      <c r="L106" s="11">
        <f>IF(I106="","",IF($G$15=1,50,(_xlfn.RANK.AVG(I106,$I$19:$I$1518,1)-1)/($G$15-1)*100))</f>
        <v/>
      </c>
      <c r="M106" s="11">
        <f>IF(COUNT(J106:L106)=3,ROUND(AVERAGE(J106:L106),6),"")</f>
        <v/>
      </c>
      <c r="O106">
        <f>IF(AND(ISNUMBER('자료_미국심리'!$A90),ISNUMBER('자료_미국심리'!$B90)),'자료_미국심리'!$A90,"")</f>
        <v/>
      </c>
      <c r="P106">
        <f>IF(AND(ISNUMBER('자료_미국심리'!$D90),ISNUMBER('자료_미국심리'!$E90)),'자료_미국심리'!$D90,"")</f>
        <v/>
      </c>
      <c r="Q106">
        <f>IF(AND(ISNUMBER('자료_미국심리'!$G90),ISNUMBER('자료_미국심리'!$H90)),'자료_미국심리'!$G90,"")</f>
        <v/>
      </c>
    </row>
    <row r="107">
      <c r="A107" s="10">
        <f>IF(89&gt;$E$5,"",SMALL($O$19:$O$4018,$E$6+89))</f>
        <v/>
      </c>
      <c r="B107" s="29">
        <f>IF(A107="","",INDEX('자료_미국심리'!$B$3:$B$4002,MATCH(A107,$O$19:$O$4018,0)))</f>
        <v/>
      </c>
      <c r="C107" s="22">
        <f>""</f>
        <v/>
      </c>
      <c r="D107" s="29">
        <f>IF(A107="","",IFERROR(INDEX('자료_미국심리'!$E$3:$E$4002,MATCH(A107,$P$19:$P$4018,0)),D106))</f>
        <v/>
      </c>
      <c r="E107" s="29">
        <f>IF(A107="","",IFERROR(INDEX('자료_미국심리'!$H$3:$H$4002,MATCH(A107,$Q$19:$Q$4018,0)),E106))</f>
        <v/>
      </c>
      <c r="F107">
        <f>IF(A107="",0,IF(A107&gt;$B$5,1,0))</f>
        <v/>
      </c>
      <c r="G107" s="29">
        <f>IF(AND(F107=1,ISNUMBER(D107)),D107,"")</f>
        <v/>
      </c>
      <c r="H107" s="29">
        <f>IF(AND(F107=1,ISNUMBER(E107)),E107,"")</f>
        <v/>
      </c>
      <c r="I107" s="22">
        <f>IF(AND(F107=1,ISNUMBER(C107)),C107,"")</f>
        <v/>
      </c>
      <c r="J107" s="11">
        <f>IF(G107="","",100-IF($G$13=1,50,(_xlfn.RANK.AVG(G107,$G$19:$G$1518,1)-1)/($G$13-1)*100))</f>
        <v/>
      </c>
      <c r="K107" s="11">
        <f>IF(H107="","",100-IF($G$14=1,50,(_xlfn.RANK.AVG(H107,$H$19:$H$1518,1)-1)/($G$14-1)*100))</f>
        <v/>
      </c>
      <c r="L107" s="11">
        <f>IF(I107="","",IF($G$15=1,50,(_xlfn.RANK.AVG(I107,$I$19:$I$1518,1)-1)/($G$15-1)*100))</f>
        <v/>
      </c>
      <c r="M107" s="11">
        <f>IF(COUNT(J107:L107)=3,ROUND(AVERAGE(J107:L107),6),"")</f>
        <v/>
      </c>
      <c r="O107">
        <f>IF(AND(ISNUMBER('자료_미국심리'!$A91),ISNUMBER('자료_미국심리'!$B91)),'자료_미국심리'!$A91,"")</f>
        <v/>
      </c>
      <c r="P107">
        <f>IF(AND(ISNUMBER('자료_미국심리'!$D91),ISNUMBER('자료_미국심리'!$E91)),'자료_미국심리'!$D91,"")</f>
        <v/>
      </c>
      <c r="Q107">
        <f>IF(AND(ISNUMBER('자료_미국심리'!$G91),ISNUMBER('자료_미국심리'!$H91)),'자료_미국심리'!$G91,"")</f>
        <v/>
      </c>
    </row>
    <row r="108">
      <c r="A108" s="10">
        <f>IF(90&gt;$E$5,"",SMALL($O$19:$O$4018,$E$6+90))</f>
        <v/>
      </c>
      <c r="B108" s="29">
        <f>IF(A108="","",INDEX('자료_미국심리'!$B$3:$B$4002,MATCH(A108,$O$19:$O$4018,0)))</f>
        <v/>
      </c>
      <c r="C108" s="22">
        <f>""</f>
        <v/>
      </c>
      <c r="D108" s="29">
        <f>IF(A108="","",IFERROR(INDEX('자료_미국심리'!$E$3:$E$4002,MATCH(A108,$P$19:$P$4018,0)),D107))</f>
        <v/>
      </c>
      <c r="E108" s="29">
        <f>IF(A108="","",IFERROR(INDEX('자료_미국심리'!$H$3:$H$4002,MATCH(A108,$Q$19:$Q$4018,0)),E107))</f>
        <v/>
      </c>
      <c r="F108">
        <f>IF(A108="",0,IF(A108&gt;$B$5,1,0))</f>
        <v/>
      </c>
      <c r="G108" s="29">
        <f>IF(AND(F108=1,ISNUMBER(D108)),D108,"")</f>
        <v/>
      </c>
      <c r="H108" s="29">
        <f>IF(AND(F108=1,ISNUMBER(E108)),E108,"")</f>
        <v/>
      </c>
      <c r="I108" s="22">
        <f>IF(AND(F108=1,ISNUMBER(C108)),C108,"")</f>
        <v/>
      </c>
      <c r="J108" s="11">
        <f>IF(G108="","",100-IF($G$13=1,50,(_xlfn.RANK.AVG(G108,$G$19:$G$1518,1)-1)/($G$13-1)*100))</f>
        <v/>
      </c>
      <c r="K108" s="11">
        <f>IF(H108="","",100-IF($G$14=1,50,(_xlfn.RANK.AVG(H108,$H$19:$H$1518,1)-1)/($G$14-1)*100))</f>
        <v/>
      </c>
      <c r="L108" s="11">
        <f>IF(I108="","",IF($G$15=1,50,(_xlfn.RANK.AVG(I108,$I$19:$I$1518,1)-1)/($G$15-1)*100))</f>
        <v/>
      </c>
      <c r="M108" s="11">
        <f>IF(COUNT(J108:L108)=3,ROUND(AVERAGE(J108:L108),6),"")</f>
        <v/>
      </c>
      <c r="O108">
        <f>IF(AND(ISNUMBER('자료_미국심리'!$A92),ISNUMBER('자료_미국심리'!$B92)),'자료_미국심리'!$A92,"")</f>
        <v/>
      </c>
      <c r="P108">
        <f>IF(AND(ISNUMBER('자료_미국심리'!$D92),ISNUMBER('자료_미국심리'!$E92)),'자료_미국심리'!$D92,"")</f>
        <v/>
      </c>
      <c r="Q108">
        <f>IF(AND(ISNUMBER('자료_미국심리'!$G92),ISNUMBER('자료_미국심리'!$H92)),'자료_미국심리'!$G92,"")</f>
        <v/>
      </c>
    </row>
    <row r="109">
      <c r="A109" s="10">
        <f>IF(91&gt;$E$5,"",SMALL($O$19:$O$4018,$E$6+91))</f>
        <v/>
      </c>
      <c r="B109" s="29">
        <f>IF(A109="","",INDEX('자료_미국심리'!$B$3:$B$4002,MATCH(A109,$O$19:$O$4018,0)))</f>
        <v/>
      </c>
      <c r="C109" s="22">
        <f>""</f>
        <v/>
      </c>
      <c r="D109" s="29">
        <f>IF(A109="","",IFERROR(INDEX('자료_미국심리'!$E$3:$E$4002,MATCH(A109,$P$19:$P$4018,0)),D108))</f>
        <v/>
      </c>
      <c r="E109" s="29">
        <f>IF(A109="","",IFERROR(INDEX('자료_미국심리'!$H$3:$H$4002,MATCH(A109,$Q$19:$Q$4018,0)),E108))</f>
        <v/>
      </c>
      <c r="F109">
        <f>IF(A109="",0,IF(A109&gt;$B$5,1,0))</f>
        <v/>
      </c>
      <c r="G109" s="29">
        <f>IF(AND(F109=1,ISNUMBER(D109)),D109,"")</f>
        <v/>
      </c>
      <c r="H109" s="29">
        <f>IF(AND(F109=1,ISNUMBER(E109)),E109,"")</f>
        <v/>
      </c>
      <c r="I109" s="22">
        <f>IF(AND(F109=1,ISNUMBER(C109)),C109,"")</f>
        <v/>
      </c>
      <c r="J109" s="11">
        <f>IF(G109="","",100-IF($G$13=1,50,(_xlfn.RANK.AVG(G109,$G$19:$G$1518,1)-1)/($G$13-1)*100))</f>
        <v/>
      </c>
      <c r="K109" s="11">
        <f>IF(H109="","",100-IF($G$14=1,50,(_xlfn.RANK.AVG(H109,$H$19:$H$1518,1)-1)/($G$14-1)*100))</f>
        <v/>
      </c>
      <c r="L109" s="11">
        <f>IF(I109="","",IF($G$15=1,50,(_xlfn.RANK.AVG(I109,$I$19:$I$1518,1)-1)/($G$15-1)*100))</f>
        <v/>
      </c>
      <c r="M109" s="11">
        <f>IF(COUNT(J109:L109)=3,ROUND(AVERAGE(J109:L109),6),"")</f>
        <v/>
      </c>
      <c r="O109">
        <f>IF(AND(ISNUMBER('자료_미국심리'!$A93),ISNUMBER('자료_미국심리'!$B93)),'자료_미국심리'!$A93,"")</f>
        <v/>
      </c>
      <c r="P109">
        <f>IF(AND(ISNUMBER('자료_미국심리'!$D93),ISNUMBER('자료_미국심리'!$E93)),'자료_미국심리'!$D93,"")</f>
        <v/>
      </c>
      <c r="Q109">
        <f>IF(AND(ISNUMBER('자료_미국심리'!$G93),ISNUMBER('자료_미국심리'!$H93)),'자료_미국심리'!$G93,"")</f>
        <v/>
      </c>
    </row>
    <row r="110">
      <c r="A110" s="10">
        <f>IF(92&gt;$E$5,"",SMALL($O$19:$O$4018,$E$6+92))</f>
        <v/>
      </c>
      <c r="B110" s="29">
        <f>IF(A110="","",INDEX('자료_미국심리'!$B$3:$B$4002,MATCH(A110,$O$19:$O$4018,0)))</f>
        <v/>
      </c>
      <c r="C110" s="22">
        <f>""</f>
        <v/>
      </c>
      <c r="D110" s="29">
        <f>IF(A110="","",IFERROR(INDEX('자료_미국심리'!$E$3:$E$4002,MATCH(A110,$P$19:$P$4018,0)),D109))</f>
        <v/>
      </c>
      <c r="E110" s="29">
        <f>IF(A110="","",IFERROR(INDEX('자료_미국심리'!$H$3:$H$4002,MATCH(A110,$Q$19:$Q$4018,0)),E109))</f>
        <v/>
      </c>
      <c r="F110">
        <f>IF(A110="",0,IF(A110&gt;$B$5,1,0))</f>
        <v/>
      </c>
      <c r="G110" s="29">
        <f>IF(AND(F110=1,ISNUMBER(D110)),D110,"")</f>
        <v/>
      </c>
      <c r="H110" s="29">
        <f>IF(AND(F110=1,ISNUMBER(E110)),E110,"")</f>
        <v/>
      </c>
      <c r="I110" s="22">
        <f>IF(AND(F110=1,ISNUMBER(C110)),C110,"")</f>
        <v/>
      </c>
      <c r="J110" s="11">
        <f>IF(G110="","",100-IF($G$13=1,50,(_xlfn.RANK.AVG(G110,$G$19:$G$1518,1)-1)/($G$13-1)*100))</f>
        <v/>
      </c>
      <c r="K110" s="11">
        <f>IF(H110="","",100-IF($G$14=1,50,(_xlfn.RANK.AVG(H110,$H$19:$H$1518,1)-1)/($G$14-1)*100))</f>
        <v/>
      </c>
      <c r="L110" s="11">
        <f>IF(I110="","",IF($G$15=1,50,(_xlfn.RANK.AVG(I110,$I$19:$I$1518,1)-1)/($G$15-1)*100))</f>
        <v/>
      </c>
      <c r="M110" s="11">
        <f>IF(COUNT(J110:L110)=3,ROUND(AVERAGE(J110:L110),6),"")</f>
        <v/>
      </c>
      <c r="O110">
        <f>IF(AND(ISNUMBER('자료_미국심리'!$A94),ISNUMBER('자료_미국심리'!$B94)),'자료_미국심리'!$A94,"")</f>
        <v/>
      </c>
      <c r="P110">
        <f>IF(AND(ISNUMBER('자료_미국심리'!$D94),ISNUMBER('자료_미국심리'!$E94)),'자료_미국심리'!$D94,"")</f>
        <v/>
      </c>
      <c r="Q110">
        <f>IF(AND(ISNUMBER('자료_미국심리'!$G94),ISNUMBER('자료_미국심리'!$H94)),'자료_미국심리'!$G94,"")</f>
        <v/>
      </c>
    </row>
    <row r="111">
      <c r="A111" s="10">
        <f>IF(93&gt;$E$5,"",SMALL($O$19:$O$4018,$E$6+93))</f>
        <v/>
      </c>
      <c r="B111" s="29">
        <f>IF(A111="","",INDEX('자료_미국심리'!$B$3:$B$4002,MATCH(A111,$O$19:$O$4018,0)))</f>
        <v/>
      </c>
      <c r="C111" s="22">
        <f>""</f>
        <v/>
      </c>
      <c r="D111" s="29">
        <f>IF(A111="","",IFERROR(INDEX('자료_미국심리'!$E$3:$E$4002,MATCH(A111,$P$19:$P$4018,0)),D110))</f>
        <v/>
      </c>
      <c r="E111" s="29">
        <f>IF(A111="","",IFERROR(INDEX('자료_미국심리'!$H$3:$H$4002,MATCH(A111,$Q$19:$Q$4018,0)),E110))</f>
        <v/>
      </c>
      <c r="F111">
        <f>IF(A111="",0,IF(A111&gt;$B$5,1,0))</f>
        <v/>
      </c>
      <c r="G111" s="29">
        <f>IF(AND(F111=1,ISNUMBER(D111)),D111,"")</f>
        <v/>
      </c>
      <c r="H111" s="29">
        <f>IF(AND(F111=1,ISNUMBER(E111)),E111,"")</f>
        <v/>
      </c>
      <c r="I111" s="22">
        <f>IF(AND(F111=1,ISNUMBER(C111)),C111,"")</f>
        <v/>
      </c>
      <c r="J111" s="11">
        <f>IF(G111="","",100-IF($G$13=1,50,(_xlfn.RANK.AVG(G111,$G$19:$G$1518,1)-1)/($G$13-1)*100))</f>
        <v/>
      </c>
      <c r="K111" s="11">
        <f>IF(H111="","",100-IF($G$14=1,50,(_xlfn.RANK.AVG(H111,$H$19:$H$1518,1)-1)/($G$14-1)*100))</f>
        <v/>
      </c>
      <c r="L111" s="11">
        <f>IF(I111="","",IF($G$15=1,50,(_xlfn.RANK.AVG(I111,$I$19:$I$1518,1)-1)/($G$15-1)*100))</f>
        <v/>
      </c>
      <c r="M111" s="11">
        <f>IF(COUNT(J111:L111)=3,ROUND(AVERAGE(J111:L111),6),"")</f>
        <v/>
      </c>
      <c r="O111">
        <f>IF(AND(ISNUMBER('자료_미국심리'!$A95),ISNUMBER('자료_미국심리'!$B95)),'자료_미국심리'!$A95,"")</f>
        <v/>
      </c>
      <c r="P111">
        <f>IF(AND(ISNUMBER('자료_미국심리'!$D95),ISNUMBER('자료_미국심리'!$E95)),'자료_미국심리'!$D95,"")</f>
        <v/>
      </c>
      <c r="Q111">
        <f>IF(AND(ISNUMBER('자료_미국심리'!$G95),ISNUMBER('자료_미국심리'!$H95)),'자료_미국심리'!$G95,"")</f>
        <v/>
      </c>
    </row>
    <row r="112">
      <c r="A112" s="10">
        <f>IF(94&gt;$E$5,"",SMALL($O$19:$O$4018,$E$6+94))</f>
        <v/>
      </c>
      <c r="B112" s="29">
        <f>IF(A112="","",INDEX('자료_미국심리'!$B$3:$B$4002,MATCH(A112,$O$19:$O$4018,0)))</f>
        <v/>
      </c>
      <c r="C112" s="22">
        <f>""</f>
        <v/>
      </c>
      <c r="D112" s="29">
        <f>IF(A112="","",IFERROR(INDEX('자료_미국심리'!$E$3:$E$4002,MATCH(A112,$P$19:$P$4018,0)),D111))</f>
        <v/>
      </c>
      <c r="E112" s="29">
        <f>IF(A112="","",IFERROR(INDEX('자료_미국심리'!$H$3:$H$4002,MATCH(A112,$Q$19:$Q$4018,0)),E111))</f>
        <v/>
      </c>
      <c r="F112">
        <f>IF(A112="",0,IF(A112&gt;$B$5,1,0))</f>
        <v/>
      </c>
      <c r="G112" s="29">
        <f>IF(AND(F112=1,ISNUMBER(D112)),D112,"")</f>
        <v/>
      </c>
      <c r="H112" s="29">
        <f>IF(AND(F112=1,ISNUMBER(E112)),E112,"")</f>
        <v/>
      </c>
      <c r="I112" s="22">
        <f>IF(AND(F112=1,ISNUMBER(C112)),C112,"")</f>
        <v/>
      </c>
      <c r="J112" s="11">
        <f>IF(G112="","",100-IF($G$13=1,50,(_xlfn.RANK.AVG(G112,$G$19:$G$1518,1)-1)/($G$13-1)*100))</f>
        <v/>
      </c>
      <c r="K112" s="11">
        <f>IF(H112="","",100-IF($G$14=1,50,(_xlfn.RANK.AVG(H112,$H$19:$H$1518,1)-1)/($G$14-1)*100))</f>
        <v/>
      </c>
      <c r="L112" s="11">
        <f>IF(I112="","",IF($G$15=1,50,(_xlfn.RANK.AVG(I112,$I$19:$I$1518,1)-1)/($G$15-1)*100))</f>
        <v/>
      </c>
      <c r="M112" s="11">
        <f>IF(COUNT(J112:L112)=3,ROUND(AVERAGE(J112:L112),6),"")</f>
        <v/>
      </c>
      <c r="O112">
        <f>IF(AND(ISNUMBER('자료_미국심리'!$A96),ISNUMBER('자료_미국심리'!$B96)),'자료_미국심리'!$A96,"")</f>
        <v/>
      </c>
      <c r="P112">
        <f>IF(AND(ISNUMBER('자료_미국심리'!$D96),ISNUMBER('자료_미국심리'!$E96)),'자료_미국심리'!$D96,"")</f>
        <v/>
      </c>
      <c r="Q112">
        <f>IF(AND(ISNUMBER('자료_미국심리'!$G96),ISNUMBER('자료_미국심리'!$H96)),'자료_미국심리'!$G96,"")</f>
        <v/>
      </c>
    </row>
    <row r="113">
      <c r="A113" s="10">
        <f>IF(95&gt;$E$5,"",SMALL($O$19:$O$4018,$E$6+95))</f>
        <v/>
      </c>
      <c r="B113" s="29">
        <f>IF(A113="","",INDEX('자료_미국심리'!$B$3:$B$4002,MATCH(A113,$O$19:$O$4018,0)))</f>
        <v/>
      </c>
      <c r="C113" s="22">
        <f>""</f>
        <v/>
      </c>
      <c r="D113" s="29">
        <f>IF(A113="","",IFERROR(INDEX('자료_미국심리'!$E$3:$E$4002,MATCH(A113,$P$19:$P$4018,0)),D112))</f>
        <v/>
      </c>
      <c r="E113" s="29">
        <f>IF(A113="","",IFERROR(INDEX('자료_미국심리'!$H$3:$H$4002,MATCH(A113,$Q$19:$Q$4018,0)),E112))</f>
        <v/>
      </c>
      <c r="F113">
        <f>IF(A113="",0,IF(A113&gt;$B$5,1,0))</f>
        <v/>
      </c>
      <c r="G113" s="29">
        <f>IF(AND(F113=1,ISNUMBER(D113)),D113,"")</f>
        <v/>
      </c>
      <c r="H113" s="29">
        <f>IF(AND(F113=1,ISNUMBER(E113)),E113,"")</f>
        <v/>
      </c>
      <c r="I113" s="22">
        <f>IF(AND(F113=1,ISNUMBER(C113)),C113,"")</f>
        <v/>
      </c>
      <c r="J113" s="11">
        <f>IF(G113="","",100-IF($G$13=1,50,(_xlfn.RANK.AVG(G113,$G$19:$G$1518,1)-1)/($G$13-1)*100))</f>
        <v/>
      </c>
      <c r="K113" s="11">
        <f>IF(H113="","",100-IF($G$14=1,50,(_xlfn.RANK.AVG(H113,$H$19:$H$1518,1)-1)/($G$14-1)*100))</f>
        <v/>
      </c>
      <c r="L113" s="11">
        <f>IF(I113="","",IF($G$15=1,50,(_xlfn.RANK.AVG(I113,$I$19:$I$1518,1)-1)/($G$15-1)*100))</f>
        <v/>
      </c>
      <c r="M113" s="11">
        <f>IF(COUNT(J113:L113)=3,ROUND(AVERAGE(J113:L113),6),"")</f>
        <v/>
      </c>
      <c r="O113">
        <f>IF(AND(ISNUMBER('자료_미국심리'!$A97),ISNUMBER('자료_미국심리'!$B97)),'자료_미국심리'!$A97,"")</f>
        <v/>
      </c>
      <c r="P113">
        <f>IF(AND(ISNUMBER('자료_미국심리'!$D97),ISNUMBER('자료_미국심리'!$E97)),'자료_미국심리'!$D97,"")</f>
        <v/>
      </c>
      <c r="Q113">
        <f>IF(AND(ISNUMBER('자료_미국심리'!$G97),ISNUMBER('자료_미국심리'!$H97)),'자료_미국심리'!$G97,"")</f>
        <v/>
      </c>
    </row>
    <row r="114">
      <c r="A114" s="10">
        <f>IF(96&gt;$E$5,"",SMALL($O$19:$O$4018,$E$6+96))</f>
        <v/>
      </c>
      <c r="B114" s="29">
        <f>IF(A114="","",INDEX('자료_미국심리'!$B$3:$B$4002,MATCH(A114,$O$19:$O$4018,0)))</f>
        <v/>
      </c>
      <c r="C114" s="22">
        <f>""</f>
        <v/>
      </c>
      <c r="D114" s="29">
        <f>IF(A114="","",IFERROR(INDEX('자료_미국심리'!$E$3:$E$4002,MATCH(A114,$P$19:$P$4018,0)),D113))</f>
        <v/>
      </c>
      <c r="E114" s="29">
        <f>IF(A114="","",IFERROR(INDEX('자료_미국심리'!$H$3:$H$4002,MATCH(A114,$Q$19:$Q$4018,0)),E113))</f>
        <v/>
      </c>
      <c r="F114">
        <f>IF(A114="",0,IF(A114&gt;$B$5,1,0))</f>
        <v/>
      </c>
      <c r="G114" s="29">
        <f>IF(AND(F114=1,ISNUMBER(D114)),D114,"")</f>
        <v/>
      </c>
      <c r="H114" s="29">
        <f>IF(AND(F114=1,ISNUMBER(E114)),E114,"")</f>
        <v/>
      </c>
      <c r="I114" s="22">
        <f>IF(AND(F114=1,ISNUMBER(C114)),C114,"")</f>
        <v/>
      </c>
      <c r="J114" s="11">
        <f>IF(G114="","",100-IF($G$13=1,50,(_xlfn.RANK.AVG(G114,$G$19:$G$1518,1)-1)/($G$13-1)*100))</f>
        <v/>
      </c>
      <c r="K114" s="11">
        <f>IF(H114="","",100-IF($G$14=1,50,(_xlfn.RANK.AVG(H114,$H$19:$H$1518,1)-1)/($G$14-1)*100))</f>
        <v/>
      </c>
      <c r="L114" s="11">
        <f>IF(I114="","",IF($G$15=1,50,(_xlfn.RANK.AVG(I114,$I$19:$I$1518,1)-1)/($G$15-1)*100))</f>
        <v/>
      </c>
      <c r="M114" s="11">
        <f>IF(COUNT(J114:L114)=3,ROUND(AVERAGE(J114:L114),6),"")</f>
        <v/>
      </c>
      <c r="O114">
        <f>IF(AND(ISNUMBER('자료_미국심리'!$A98),ISNUMBER('자료_미국심리'!$B98)),'자료_미국심리'!$A98,"")</f>
        <v/>
      </c>
      <c r="P114">
        <f>IF(AND(ISNUMBER('자료_미국심리'!$D98),ISNUMBER('자료_미국심리'!$E98)),'자료_미국심리'!$D98,"")</f>
        <v/>
      </c>
      <c r="Q114">
        <f>IF(AND(ISNUMBER('자료_미국심리'!$G98),ISNUMBER('자료_미국심리'!$H98)),'자료_미국심리'!$G98,"")</f>
        <v/>
      </c>
    </row>
    <row r="115">
      <c r="A115" s="10">
        <f>IF(97&gt;$E$5,"",SMALL($O$19:$O$4018,$E$6+97))</f>
        <v/>
      </c>
      <c r="B115" s="29">
        <f>IF(A115="","",INDEX('자료_미국심리'!$B$3:$B$4002,MATCH(A115,$O$19:$O$4018,0)))</f>
        <v/>
      </c>
      <c r="C115" s="22">
        <f>""</f>
        <v/>
      </c>
      <c r="D115" s="29">
        <f>IF(A115="","",IFERROR(INDEX('자료_미국심리'!$E$3:$E$4002,MATCH(A115,$P$19:$P$4018,0)),D114))</f>
        <v/>
      </c>
      <c r="E115" s="29">
        <f>IF(A115="","",IFERROR(INDEX('자료_미국심리'!$H$3:$H$4002,MATCH(A115,$Q$19:$Q$4018,0)),E114))</f>
        <v/>
      </c>
      <c r="F115">
        <f>IF(A115="",0,IF(A115&gt;$B$5,1,0))</f>
        <v/>
      </c>
      <c r="G115" s="29">
        <f>IF(AND(F115=1,ISNUMBER(D115)),D115,"")</f>
        <v/>
      </c>
      <c r="H115" s="29">
        <f>IF(AND(F115=1,ISNUMBER(E115)),E115,"")</f>
        <v/>
      </c>
      <c r="I115" s="22">
        <f>IF(AND(F115=1,ISNUMBER(C115)),C115,"")</f>
        <v/>
      </c>
      <c r="J115" s="11">
        <f>IF(G115="","",100-IF($G$13=1,50,(_xlfn.RANK.AVG(G115,$G$19:$G$1518,1)-1)/($G$13-1)*100))</f>
        <v/>
      </c>
      <c r="K115" s="11">
        <f>IF(H115="","",100-IF($G$14=1,50,(_xlfn.RANK.AVG(H115,$H$19:$H$1518,1)-1)/($G$14-1)*100))</f>
        <v/>
      </c>
      <c r="L115" s="11">
        <f>IF(I115="","",IF($G$15=1,50,(_xlfn.RANK.AVG(I115,$I$19:$I$1518,1)-1)/($G$15-1)*100))</f>
        <v/>
      </c>
      <c r="M115" s="11">
        <f>IF(COUNT(J115:L115)=3,ROUND(AVERAGE(J115:L115),6),"")</f>
        <v/>
      </c>
      <c r="O115">
        <f>IF(AND(ISNUMBER('자료_미국심리'!$A99),ISNUMBER('자료_미국심리'!$B99)),'자료_미국심리'!$A99,"")</f>
        <v/>
      </c>
      <c r="P115">
        <f>IF(AND(ISNUMBER('자료_미국심리'!$D99),ISNUMBER('자료_미국심리'!$E99)),'자료_미국심리'!$D99,"")</f>
        <v/>
      </c>
      <c r="Q115">
        <f>IF(AND(ISNUMBER('자료_미국심리'!$G99),ISNUMBER('자료_미국심리'!$H99)),'자료_미국심리'!$G99,"")</f>
        <v/>
      </c>
    </row>
    <row r="116">
      <c r="A116" s="10">
        <f>IF(98&gt;$E$5,"",SMALL($O$19:$O$4018,$E$6+98))</f>
        <v/>
      </c>
      <c r="B116" s="29">
        <f>IF(A116="","",INDEX('자료_미국심리'!$B$3:$B$4002,MATCH(A116,$O$19:$O$4018,0)))</f>
        <v/>
      </c>
      <c r="C116" s="22">
        <f>""</f>
        <v/>
      </c>
      <c r="D116" s="29">
        <f>IF(A116="","",IFERROR(INDEX('자료_미국심리'!$E$3:$E$4002,MATCH(A116,$P$19:$P$4018,0)),D115))</f>
        <v/>
      </c>
      <c r="E116" s="29">
        <f>IF(A116="","",IFERROR(INDEX('자료_미국심리'!$H$3:$H$4002,MATCH(A116,$Q$19:$Q$4018,0)),E115))</f>
        <v/>
      </c>
      <c r="F116">
        <f>IF(A116="",0,IF(A116&gt;$B$5,1,0))</f>
        <v/>
      </c>
      <c r="G116" s="29">
        <f>IF(AND(F116=1,ISNUMBER(D116)),D116,"")</f>
        <v/>
      </c>
      <c r="H116" s="29">
        <f>IF(AND(F116=1,ISNUMBER(E116)),E116,"")</f>
        <v/>
      </c>
      <c r="I116" s="22">
        <f>IF(AND(F116=1,ISNUMBER(C116)),C116,"")</f>
        <v/>
      </c>
      <c r="J116" s="11">
        <f>IF(G116="","",100-IF($G$13=1,50,(_xlfn.RANK.AVG(G116,$G$19:$G$1518,1)-1)/($G$13-1)*100))</f>
        <v/>
      </c>
      <c r="K116" s="11">
        <f>IF(H116="","",100-IF($G$14=1,50,(_xlfn.RANK.AVG(H116,$H$19:$H$1518,1)-1)/($G$14-1)*100))</f>
        <v/>
      </c>
      <c r="L116" s="11">
        <f>IF(I116="","",IF($G$15=1,50,(_xlfn.RANK.AVG(I116,$I$19:$I$1518,1)-1)/($G$15-1)*100))</f>
        <v/>
      </c>
      <c r="M116" s="11">
        <f>IF(COUNT(J116:L116)=3,ROUND(AVERAGE(J116:L116),6),"")</f>
        <v/>
      </c>
      <c r="O116">
        <f>IF(AND(ISNUMBER('자료_미국심리'!$A100),ISNUMBER('자료_미국심리'!$B100)),'자료_미국심리'!$A100,"")</f>
        <v/>
      </c>
      <c r="P116">
        <f>IF(AND(ISNUMBER('자료_미국심리'!$D100),ISNUMBER('자료_미국심리'!$E100)),'자료_미국심리'!$D100,"")</f>
        <v/>
      </c>
      <c r="Q116">
        <f>IF(AND(ISNUMBER('자료_미국심리'!$G100),ISNUMBER('자료_미국심리'!$H100)),'자료_미국심리'!$G100,"")</f>
        <v/>
      </c>
    </row>
    <row r="117">
      <c r="A117" s="10">
        <f>IF(99&gt;$E$5,"",SMALL($O$19:$O$4018,$E$6+99))</f>
        <v/>
      </c>
      <c r="B117" s="29">
        <f>IF(A117="","",INDEX('자료_미국심리'!$B$3:$B$4002,MATCH(A117,$O$19:$O$4018,0)))</f>
        <v/>
      </c>
      <c r="C117" s="22">
        <f>""</f>
        <v/>
      </c>
      <c r="D117" s="29">
        <f>IF(A117="","",IFERROR(INDEX('자료_미국심리'!$E$3:$E$4002,MATCH(A117,$P$19:$P$4018,0)),D116))</f>
        <v/>
      </c>
      <c r="E117" s="29">
        <f>IF(A117="","",IFERROR(INDEX('자료_미국심리'!$H$3:$H$4002,MATCH(A117,$Q$19:$Q$4018,0)),E116))</f>
        <v/>
      </c>
      <c r="F117">
        <f>IF(A117="",0,IF(A117&gt;$B$5,1,0))</f>
        <v/>
      </c>
      <c r="G117" s="29">
        <f>IF(AND(F117=1,ISNUMBER(D117)),D117,"")</f>
        <v/>
      </c>
      <c r="H117" s="29">
        <f>IF(AND(F117=1,ISNUMBER(E117)),E117,"")</f>
        <v/>
      </c>
      <c r="I117" s="22">
        <f>IF(AND(F117=1,ISNUMBER(C117)),C117,"")</f>
        <v/>
      </c>
      <c r="J117" s="11">
        <f>IF(G117="","",100-IF($G$13=1,50,(_xlfn.RANK.AVG(G117,$G$19:$G$1518,1)-1)/($G$13-1)*100))</f>
        <v/>
      </c>
      <c r="K117" s="11">
        <f>IF(H117="","",100-IF($G$14=1,50,(_xlfn.RANK.AVG(H117,$H$19:$H$1518,1)-1)/($G$14-1)*100))</f>
        <v/>
      </c>
      <c r="L117" s="11">
        <f>IF(I117="","",IF($G$15=1,50,(_xlfn.RANK.AVG(I117,$I$19:$I$1518,1)-1)/($G$15-1)*100))</f>
        <v/>
      </c>
      <c r="M117" s="11">
        <f>IF(COUNT(J117:L117)=3,ROUND(AVERAGE(J117:L117),6),"")</f>
        <v/>
      </c>
      <c r="O117">
        <f>IF(AND(ISNUMBER('자료_미국심리'!$A101),ISNUMBER('자료_미국심리'!$B101)),'자료_미국심리'!$A101,"")</f>
        <v/>
      </c>
      <c r="P117">
        <f>IF(AND(ISNUMBER('자료_미국심리'!$D101),ISNUMBER('자료_미국심리'!$E101)),'자료_미국심리'!$D101,"")</f>
        <v/>
      </c>
      <c r="Q117">
        <f>IF(AND(ISNUMBER('자료_미국심리'!$G101),ISNUMBER('자료_미국심리'!$H101)),'자료_미국심리'!$G101,"")</f>
        <v/>
      </c>
    </row>
    <row r="118">
      <c r="A118" s="10">
        <f>IF(100&gt;$E$5,"",SMALL($O$19:$O$4018,$E$6+100))</f>
        <v/>
      </c>
      <c r="B118" s="29">
        <f>IF(A118="","",INDEX('자료_미국심리'!$B$3:$B$4002,MATCH(A118,$O$19:$O$4018,0)))</f>
        <v/>
      </c>
      <c r="C118" s="22">
        <f>""</f>
        <v/>
      </c>
      <c r="D118" s="29">
        <f>IF(A118="","",IFERROR(INDEX('자료_미국심리'!$E$3:$E$4002,MATCH(A118,$P$19:$P$4018,0)),D117))</f>
        <v/>
      </c>
      <c r="E118" s="29">
        <f>IF(A118="","",IFERROR(INDEX('자료_미국심리'!$H$3:$H$4002,MATCH(A118,$Q$19:$Q$4018,0)),E117))</f>
        <v/>
      </c>
      <c r="F118">
        <f>IF(A118="",0,IF(A118&gt;$B$5,1,0))</f>
        <v/>
      </c>
      <c r="G118" s="29">
        <f>IF(AND(F118=1,ISNUMBER(D118)),D118,"")</f>
        <v/>
      </c>
      <c r="H118" s="29">
        <f>IF(AND(F118=1,ISNUMBER(E118)),E118,"")</f>
        <v/>
      </c>
      <c r="I118" s="22">
        <f>IF(AND(F118=1,ISNUMBER(C118)),C118,"")</f>
        <v/>
      </c>
      <c r="J118" s="11">
        <f>IF(G118="","",100-IF($G$13=1,50,(_xlfn.RANK.AVG(G118,$G$19:$G$1518,1)-1)/($G$13-1)*100))</f>
        <v/>
      </c>
      <c r="K118" s="11">
        <f>IF(H118="","",100-IF($G$14=1,50,(_xlfn.RANK.AVG(H118,$H$19:$H$1518,1)-1)/($G$14-1)*100))</f>
        <v/>
      </c>
      <c r="L118" s="11">
        <f>IF(I118="","",IF($G$15=1,50,(_xlfn.RANK.AVG(I118,$I$19:$I$1518,1)-1)/($G$15-1)*100))</f>
        <v/>
      </c>
      <c r="M118" s="11">
        <f>IF(COUNT(J118:L118)=3,ROUND(AVERAGE(J118:L118),6),"")</f>
        <v/>
      </c>
      <c r="O118">
        <f>IF(AND(ISNUMBER('자료_미국심리'!$A102),ISNUMBER('자료_미국심리'!$B102)),'자료_미국심리'!$A102,"")</f>
        <v/>
      </c>
      <c r="P118">
        <f>IF(AND(ISNUMBER('자료_미국심리'!$D102),ISNUMBER('자료_미국심리'!$E102)),'자료_미국심리'!$D102,"")</f>
        <v/>
      </c>
      <c r="Q118">
        <f>IF(AND(ISNUMBER('자료_미국심리'!$G102),ISNUMBER('자료_미국심리'!$H102)),'자료_미국심리'!$G102,"")</f>
        <v/>
      </c>
    </row>
    <row r="119">
      <c r="A119" s="10">
        <f>IF(101&gt;$E$5,"",SMALL($O$19:$O$4018,$E$6+101))</f>
        <v/>
      </c>
      <c r="B119" s="29">
        <f>IF(A119="","",INDEX('자료_미국심리'!$B$3:$B$4002,MATCH(A119,$O$19:$O$4018,0)))</f>
        <v/>
      </c>
      <c r="C119" s="22">
        <f>""</f>
        <v/>
      </c>
      <c r="D119" s="29">
        <f>IF(A119="","",IFERROR(INDEX('자료_미국심리'!$E$3:$E$4002,MATCH(A119,$P$19:$P$4018,0)),D118))</f>
        <v/>
      </c>
      <c r="E119" s="29">
        <f>IF(A119="","",IFERROR(INDEX('자료_미국심리'!$H$3:$H$4002,MATCH(A119,$Q$19:$Q$4018,0)),E118))</f>
        <v/>
      </c>
      <c r="F119">
        <f>IF(A119="",0,IF(A119&gt;$B$5,1,0))</f>
        <v/>
      </c>
      <c r="G119" s="29">
        <f>IF(AND(F119=1,ISNUMBER(D119)),D119,"")</f>
        <v/>
      </c>
      <c r="H119" s="29">
        <f>IF(AND(F119=1,ISNUMBER(E119)),E119,"")</f>
        <v/>
      </c>
      <c r="I119" s="22">
        <f>IF(AND(F119=1,ISNUMBER(C119)),C119,"")</f>
        <v/>
      </c>
      <c r="J119" s="11">
        <f>IF(G119="","",100-IF($G$13=1,50,(_xlfn.RANK.AVG(G119,$G$19:$G$1518,1)-1)/($G$13-1)*100))</f>
        <v/>
      </c>
      <c r="K119" s="11">
        <f>IF(H119="","",100-IF($G$14=1,50,(_xlfn.RANK.AVG(H119,$H$19:$H$1518,1)-1)/($G$14-1)*100))</f>
        <v/>
      </c>
      <c r="L119" s="11">
        <f>IF(I119="","",IF($G$15=1,50,(_xlfn.RANK.AVG(I119,$I$19:$I$1518,1)-1)/($G$15-1)*100))</f>
        <v/>
      </c>
      <c r="M119" s="11">
        <f>IF(COUNT(J119:L119)=3,ROUND(AVERAGE(J119:L119),6),"")</f>
        <v/>
      </c>
      <c r="O119">
        <f>IF(AND(ISNUMBER('자료_미국심리'!$A103),ISNUMBER('자료_미국심리'!$B103)),'자료_미국심리'!$A103,"")</f>
        <v/>
      </c>
      <c r="P119">
        <f>IF(AND(ISNUMBER('자료_미국심리'!$D103),ISNUMBER('자료_미국심리'!$E103)),'자료_미국심리'!$D103,"")</f>
        <v/>
      </c>
      <c r="Q119">
        <f>IF(AND(ISNUMBER('자료_미국심리'!$G103),ISNUMBER('자료_미국심리'!$H103)),'자료_미국심리'!$G103,"")</f>
        <v/>
      </c>
    </row>
    <row r="120">
      <c r="A120" s="10">
        <f>IF(102&gt;$E$5,"",SMALL($O$19:$O$4018,$E$6+102))</f>
        <v/>
      </c>
      <c r="B120" s="29">
        <f>IF(A120="","",INDEX('자료_미국심리'!$B$3:$B$4002,MATCH(A120,$O$19:$O$4018,0)))</f>
        <v/>
      </c>
      <c r="C120" s="22">
        <f>""</f>
        <v/>
      </c>
      <c r="D120" s="29">
        <f>IF(A120="","",IFERROR(INDEX('자료_미국심리'!$E$3:$E$4002,MATCH(A120,$P$19:$P$4018,0)),D119))</f>
        <v/>
      </c>
      <c r="E120" s="29">
        <f>IF(A120="","",IFERROR(INDEX('자료_미국심리'!$H$3:$H$4002,MATCH(A120,$Q$19:$Q$4018,0)),E119))</f>
        <v/>
      </c>
      <c r="F120">
        <f>IF(A120="",0,IF(A120&gt;$B$5,1,0))</f>
        <v/>
      </c>
      <c r="G120" s="29">
        <f>IF(AND(F120=1,ISNUMBER(D120)),D120,"")</f>
        <v/>
      </c>
      <c r="H120" s="29">
        <f>IF(AND(F120=1,ISNUMBER(E120)),E120,"")</f>
        <v/>
      </c>
      <c r="I120" s="22">
        <f>IF(AND(F120=1,ISNUMBER(C120)),C120,"")</f>
        <v/>
      </c>
      <c r="J120" s="11">
        <f>IF(G120="","",100-IF($G$13=1,50,(_xlfn.RANK.AVG(G120,$G$19:$G$1518,1)-1)/($G$13-1)*100))</f>
        <v/>
      </c>
      <c r="K120" s="11">
        <f>IF(H120="","",100-IF($G$14=1,50,(_xlfn.RANK.AVG(H120,$H$19:$H$1518,1)-1)/($G$14-1)*100))</f>
        <v/>
      </c>
      <c r="L120" s="11">
        <f>IF(I120="","",IF($G$15=1,50,(_xlfn.RANK.AVG(I120,$I$19:$I$1518,1)-1)/($G$15-1)*100))</f>
        <v/>
      </c>
      <c r="M120" s="11">
        <f>IF(COUNT(J120:L120)=3,ROUND(AVERAGE(J120:L120),6),"")</f>
        <v/>
      </c>
      <c r="O120">
        <f>IF(AND(ISNUMBER('자료_미국심리'!$A104),ISNUMBER('자료_미국심리'!$B104)),'자료_미국심리'!$A104,"")</f>
        <v/>
      </c>
      <c r="P120">
        <f>IF(AND(ISNUMBER('자료_미국심리'!$D104),ISNUMBER('자료_미국심리'!$E104)),'자료_미국심리'!$D104,"")</f>
        <v/>
      </c>
      <c r="Q120">
        <f>IF(AND(ISNUMBER('자료_미국심리'!$G104),ISNUMBER('자료_미국심리'!$H104)),'자료_미국심리'!$G104,"")</f>
        <v/>
      </c>
    </row>
    <row r="121">
      <c r="A121" s="10">
        <f>IF(103&gt;$E$5,"",SMALL($O$19:$O$4018,$E$6+103))</f>
        <v/>
      </c>
      <c r="B121" s="29">
        <f>IF(A121="","",INDEX('자료_미국심리'!$B$3:$B$4002,MATCH(A121,$O$19:$O$4018,0)))</f>
        <v/>
      </c>
      <c r="C121" s="22">
        <f>""</f>
        <v/>
      </c>
      <c r="D121" s="29">
        <f>IF(A121="","",IFERROR(INDEX('자료_미국심리'!$E$3:$E$4002,MATCH(A121,$P$19:$P$4018,0)),D120))</f>
        <v/>
      </c>
      <c r="E121" s="29">
        <f>IF(A121="","",IFERROR(INDEX('자료_미국심리'!$H$3:$H$4002,MATCH(A121,$Q$19:$Q$4018,0)),E120))</f>
        <v/>
      </c>
      <c r="F121">
        <f>IF(A121="",0,IF(A121&gt;$B$5,1,0))</f>
        <v/>
      </c>
      <c r="G121" s="29">
        <f>IF(AND(F121=1,ISNUMBER(D121)),D121,"")</f>
        <v/>
      </c>
      <c r="H121" s="29">
        <f>IF(AND(F121=1,ISNUMBER(E121)),E121,"")</f>
        <v/>
      </c>
      <c r="I121" s="22">
        <f>IF(AND(F121=1,ISNUMBER(C121)),C121,"")</f>
        <v/>
      </c>
      <c r="J121" s="11">
        <f>IF(G121="","",100-IF($G$13=1,50,(_xlfn.RANK.AVG(G121,$G$19:$G$1518,1)-1)/($G$13-1)*100))</f>
        <v/>
      </c>
      <c r="K121" s="11">
        <f>IF(H121="","",100-IF($G$14=1,50,(_xlfn.RANK.AVG(H121,$H$19:$H$1518,1)-1)/($G$14-1)*100))</f>
        <v/>
      </c>
      <c r="L121" s="11">
        <f>IF(I121="","",IF($G$15=1,50,(_xlfn.RANK.AVG(I121,$I$19:$I$1518,1)-1)/($G$15-1)*100))</f>
        <v/>
      </c>
      <c r="M121" s="11">
        <f>IF(COUNT(J121:L121)=3,ROUND(AVERAGE(J121:L121),6),"")</f>
        <v/>
      </c>
      <c r="O121">
        <f>IF(AND(ISNUMBER('자료_미국심리'!$A105),ISNUMBER('자료_미국심리'!$B105)),'자료_미국심리'!$A105,"")</f>
        <v/>
      </c>
      <c r="P121">
        <f>IF(AND(ISNUMBER('자료_미국심리'!$D105),ISNUMBER('자료_미국심리'!$E105)),'자료_미국심리'!$D105,"")</f>
        <v/>
      </c>
      <c r="Q121">
        <f>IF(AND(ISNUMBER('자료_미국심리'!$G105),ISNUMBER('자료_미국심리'!$H105)),'자료_미국심리'!$G105,"")</f>
        <v/>
      </c>
    </row>
    <row r="122">
      <c r="A122" s="10">
        <f>IF(104&gt;$E$5,"",SMALL($O$19:$O$4018,$E$6+104))</f>
        <v/>
      </c>
      <c r="B122" s="29">
        <f>IF(A122="","",INDEX('자료_미국심리'!$B$3:$B$4002,MATCH(A122,$O$19:$O$4018,0)))</f>
        <v/>
      </c>
      <c r="C122" s="22">
        <f>""</f>
        <v/>
      </c>
      <c r="D122" s="29">
        <f>IF(A122="","",IFERROR(INDEX('자료_미국심리'!$E$3:$E$4002,MATCH(A122,$P$19:$P$4018,0)),D121))</f>
        <v/>
      </c>
      <c r="E122" s="29">
        <f>IF(A122="","",IFERROR(INDEX('자료_미국심리'!$H$3:$H$4002,MATCH(A122,$Q$19:$Q$4018,0)),E121))</f>
        <v/>
      </c>
      <c r="F122">
        <f>IF(A122="",0,IF(A122&gt;$B$5,1,0))</f>
        <v/>
      </c>
      <c r="G122" s="29">
        <f>IF(AND(F122=1,ISNUMBER(D122)),D122,"")</f>
        <v/>
      </c>
      <c r="H122" s="29">
        <f>IF(AND(F122=1,ISNUMBER(E122)),E122,"")</f>
        <v/>
      </c>
      <c r="I122" s="22">
        <f>IF(AND(F122=1,ISNUMBER(C122)),C122,"")</f>
        <v/>
      </c>
      <c r="J122" s="11">
        <f>IF(G122="","",100-IF($G$13=1,50,(_xlfn.RANK.AVG(G122,$G$19:$G$1518,1)-1)/($G$13-1)*100))</f>
        <v/>
      </c>
      <c r="K122" s="11">
        <f>IF(H122="","",100-IF($G$14=1,50,(_xlfn.RANK.AVG(H122,$H$19:$H$1518,1)-1)/($G$14-1)*100))</f>
        <v/>
      </c>
      <c r="L122" s="11">
        <f>IF(I122="","",IF($G$15=1,50,(_xlfn.RANK.AVG(I122,$I$19:$I$1518,1)-1)/($G$15-1)*100))</f>
        <v/>
      </c>
      <c r="M122" s="11">
        <f>IF(COUNT(J122:L122)=3,ROUND(AVERAGE(J122:L122),6),"")</f>
        <v/>
      </c>
      <c r="O122">
        <f>IF(AND(ISNUMBER('자료_미국심리'!$A106),ISNUMBER('자료_미국심리'!$B106)),'자료_미국심리'!$A106,"")</f>
        <v/>
      </c>
      <c r="P122">
        <f>IF(AND(ISNUMBER('자료_미국심리'!$D106),ISNUMBER('자료_미국심리'!$E106)),'자료_미국심리'!$D106,"")</f>
        <v/>
      </c>
      <c r="Q122">
        <f>IF(AND(ISNUMBER('자료_미국심리'!$G106),ISNUMBER('자료_미국심리'!$H106)),'자료_미국심리'!$G106,"")</f>
        <v/>
      </c>
    </row>
    <row r="123">
      <c r="A123" s="10">
        <f>IF(105&gt;$E$5,"",SMALL($O$19:$O$4018,$E$6+105))</f>
        <v/>
      </c>
      <c r="B123" s="29">
        <f>IF(A123="","",INDEX('자료_미국심리'!$B$3:$B$4002,MATCH(A123,$O$19:$O$4018,0)))</f>
        <v/>
      </c>
      <c r="C123" s="22">
        <f>""</f>
        <v/>
      </c>
      <c r="D123" s="29">
        <f>IF(A123="","",IFERROR(INDEX('자료_미국심리'!$E$3:$E$4002,MATCH(A123,$P$19:$P$4018,0)),D122))</f>
        <v/>
      </c>
      <c r="E123" s="29">
        <f>IF(A123="","",IFERROR(INDEX('자료_미국심리'!$H$3:$H$4002,MATCH(A123,$Q$19:$Q$4018,0)),E122))</f>
        <v/>
      </c>
      <c r="F123">
        <f>IF(A123="",0,IF(A123&gt;$B$5,1,0))</f>
        <v/>
      </c>
      <c r="G123" s="29">
        <f>IF(AND(F123=1,ISNUMBER(D123)),D123,"")</f>
        <v/>
      </c>
      <c r="H123" s="29">
        <f>IF(AND(F123=1,ISNUMBER(E123)),E123,"")</f>
        <v/>
      </c>
      <c r="I123" s="22">
        <f>IF(AND(F123=1,ISNUMBER(C123)),C123,"")</f>
        <v/>
      </c>
      <c r="J123" s="11">
        <f>IF(G123="","",100-IF($G$13=1,50,(_xlfn.RANK.AVG(G123,$G$19:$G$1518,1)-1)/($G$13-1)*100))</f>
        <v/>
      </c>
      <c r="K123" s="11">
        <f>IF(H123="","",100-IF($G$14=1,50,(_xlfn.RANK.AVG(H123,$H$19:$H$1518,1)-1)/($G$14-1)*100))</f>
        <v/>
      </c>
      <c r="L123" s="11">
        <f>IF(I123="","",IF($G$15=1,50,(_xlfn.RANK.AVG(I123,$I$19:$I$1518,1)-1)/($G$15-1)*100))</f>
        <v/>
      </c>
      <c r="M123" s="11">
        <f>IF(COUNT(J123:L123)=3,ROUND(AVERAGE(J123:L123),6),"")</f>
        <v/>
      </c>
      <c r="O123">
        <f>IF(AND(ISNUMBER('자료_미국심리'!$A107),ISNUMBER('자료_미국심리'!$B107)),'자료_미국심리'!$A107,"")</f>
        <v/>
      </c>
      <c r="P123">
        <f>IF(AND(ISNUMBER('자료_미국심리'!$D107),ISNUMBER('자료_미국심리'!$E107)),'자료_미국심리'!$D107,"")</f>
        <v/>
      </c>
      <c r="Q123">
        <f>IF(AND(ISNUMBER('자료_미국심리'!$G107),ISNUMBER('자료_미국심리'!$H107)),'자료_미국심리'!$G107,"")</f>
        <v/>
      </c>
    </row>
    <row r="124">
      <c r="A124" s="10">
        <f>IF(106&gt;$E$5,"",SMALL($O$19:$O$4018,$E$6+106))</f>
        <v/>
      </c>
      <c r="B124" s="29">
        <f>IF(A124="","",INDEX('자료_미국심리'!$B$3:$B$4002,MATCH(A124,$O$19:$O$4018,0)))</f>
        <v/>
      </c>
      <c r="C124" s="22">
        <f>""</f>
        <v/>
      </c>
      <c r="D124" s="29">
        <f>IF(A124="","",IFERROR(INDEX('자료_미국심리'!$E$3:$E$4002,MATCH(A124,$P$19:$P$4018,0)),D123))</f>
        <v/>
      </c>
      <c r="E124" s="29">
        <f>IF(A124="","",IFERROR(INDEX('자료_미국심리'!$H$3:$H$4002,MATCH(A124,$Q$19:$Q$4018,0)),E123))</f>
        <v/>
      </c>
      <c r="F124">
        <f>IF(A124="",0,IF(A124&gt;$B$5,1,0))</f>
        <v/>
      </c>
      <c r="G124" s="29">
        <f>IF(AND(F124=1,ISNUMBER(D124)),D124,"")</f>
        <v/>
      </c>
      <c r="H124" s="29">
        <f>IF(AND(F124=1,ISNUMBER(E124)),E124,"")</f>
        <v/>
      </c>
      <c r="I124" s="22">
        <f>IF(AND(F124=1,ISNUMBER(C124)),C124,"")</f>
        <v/>
      </c>
      <c r="J124" s="11">
        <f>IF(G124="","",100-IF($G$13=1,50,(_xlfn.RANK.AVG(G124,$G$19:$G$1518,1)-1)/($G$13-1)*100))</f>
        <v/>
      </c>
      <c r="K124" s="11">
        <f>IF(H124="","",100-IF($G$14=1,50,(_xlfn.RANK.AVG(H124,$H$19:$H$1518,1)-1)/($G$14-1)*100))</f>
        <v/>
      </c>
      <c r="L124" s="11">
        <f>IF(I124="","",IF($G$15=1,50,(_xlfn.RANK.AVG(I124,$I$19:$I$1518,1)-1)/($G$15-1)*100))</f>
        <v/>
      </c>
      <c r="M124" s="11">
        <f>IF(COUNT(J124:L124)=3,ROUND(AVERAGE(J124:L124),6),"")</f>
        <v/>
      </c>
      <c r="O124">
        <f>IF(AND(ISNUMBER('자료_미국심리'!$A108),ISNUMBER('자료_미국심리'!$B108)),'자료_미국심리'!$A108,"")</f>
        <v/>
      </c>
      <c r="P124">
        <f>IF(AND(ISNUMBER('자료_미국심리'!$D108),ISNUMBER('자료_미국심리'!$E108)),'자료_미국심리'!$D108,"")</f>
        <v/>
      </c>
      <c r="Q124">
        <f>IF(AND(ISNUMBER('자료_미국심리'!$G108),ISNUMBER('자료_미국심리'!$H108)),'자료_미국심리'!$G108,"")</f>
        <v/>
      </c>
    </row>
    <row r="125">
      <c r="A125" s="10">
        <f>IF(107&gt;$E$5,"",SMALL($O$19:$O$4018,$E$6+107))</f>
        <v/>
      </c>
      <c r="B125" s="29">
        <f>IF(A125="","",INDEX('자료_미국심리'!$B$3:$B$4002,MATCH(A125,$O$19:$O$4018,0)))</f>
        <v/>
      </c>
      <c r="C125" s="22">
        <f>""</f>
        <v/>
      </c>
      <c r="D125" s="29">
        <f>IF(A125="","",IFERROR(INDEX('자료_미국심리'!$E$3:$E$4002,MATCH(A125,$P$19:$P$4018,0)),D124))</f>
        <v/>
      </c>
      <c r="E125" s="29">
        <f>IF(A125="","",IFERROR(INDEX('자료_미국심리'!$H$3:$H$4002,MATCH(A125,$Q$19:$Q$4018,0)),E124))</f>
        <v/>
      </c>
      <c r="F125">
        <f>IF(A125="",0,IF(A125&gt;$B$5,1,0))</f>
        <v/>
      </c>
      <c r="G125" s="29">
        <f>IF(AND(F125=1,ISNUMBER(D125)),D125,"")</f>
        <v/>
      </c>
      <c r="H125" s="29">
        <f>IF(AND(F125=1,ISNUMBER(E125)),E125,"")</f>
        <v/>
      </c>
      <c r="I125" s="22">
        <f>IF(AND(F125=1,ISNUMBER(C125)),C125,"")</f>
        <v/>
      </c>
      <c r="J125" s="11">
        <f>IF(G125="","",100-IF($G$13=1,50,(_xlfn.RANK.AVG(G125,$G$19:$G$1518,1)-1)/($G$13-1)*100))</f>
        <v/>
      </c>
      <c r="K125" s="11">
        <f>IF(H125="","",100-IF($G$14=1,50,(_xlfn.RANK.AVG(H125,$H$19:$H$1518,1)-1)/($G$14-1)*100))</f>
        <v/>
      </c>
      <c r="L125" s="11">
        <f>IF(I125="","",IF($G$15=1,50,(_xlfn.RANK.AVG(I125,$I$19:$I$1518,1)-1)/($G$15-1)*100))</f>
        <v/>
      </c>
      <c r="M125" s="11">
        <f>IF(COUNT(J125:L125)=3,ROUND(AVERAGE(J125:L125),6),"")</f>
        <v/>
      </c>
      <c r="O125">
        <f>IF(AND(ISNUMBER('자료_미국심리'!$A109),ISNUMBER('자료_미국심리'!$B109)),'자료_미국심리'!$A109,"")</f>
        <v/>
      </c>
      <c r="P125">
        <f>IF(AND(ISNUMBER('자료_미국심리'!$D109),ISNUMBER('자료_미국심리'!$E109)),'자료_미국심리'!$D109,"")</f>
        <v/>
      </c>
      <c r="Q125">
        <f>IF(AND(ISNUMBER('자료_미국심리'!$G109),ISNUMBER('자료_미국심리'!$H109)),'자료_미국심리'!$G109,"")</f>
        <v/>
      </c>
    </row>
    <row r="126">
      <c r="A126" s="10">
        <f>IF(108&gt;$E$5,"",SMALL($O$19:$O$4018,$E$6+108))</f>
        <v/>
      </c>
      <c r="B126" s="29">
        <f>IF(A126="","",INDEX('자료_미국심리'!$B$3:$B$4002,MATCH(A126,$O$19:$O$4018,0)))</f>
        <v/>
      </c>
      <c r="C126" s="22">
        <f>""</f>
        <v/>
      </c>
      <c r="D126" s="29">
        <f>IF(A126="","",IFERROR(INDEX('자료_미국심리'!$E$3:$E$4002,MATCH(A126,$P$19:$P$4018,0)),D125))</f>
        <v/>
      </c>
      <c r="E126" s="29">
        <f>IF(A126="","",IFERROR(INDEX('자료_미국심리'!$H$3:$H$4002,MATCH(A126,$Q$19:$Q$4018,0)),E125))</f>
        <v/>
      </c>
      <c r="F126">
        <f>IF(A126="",0,IF(A126&gt;$B$5,1,0))</f>
        <v/>
      </c>
      <c r="G126" s="29">
        <f>IF(AND(F126=1,ISNUMBER(D126)),D126,"")</f>
        <v/>
      </c>
      <c r="H126" s="29">
        <f>IF(AND(F126=1,ISNUMBER(E126)),E126,"")</f>
        <v/>
      </c>
      <c r="I126" s="22">
        <f>IF(AND(F126=1,ISNUMBER(C126)),C126,"")</f>
        <v/>
      </c>
      <c r="J126" s="11">
        <f>IF(G126="","",100-IF($G$13=1,50,(_xlfn.RANK.AVG(G126,$G$19:$G$1518,1)-1)/($G$13-1)*100))</f>
        <v/>
      </c>
      <c r="K126" s="11">
        <f>IF(H126="","",100-IF($G$14=1,50,(_xlfn.RANK.AVG(H126,$H$19:$H$1518,1)-1)/($G$14-1)*100))</f>
        <v/>
      </c>
      <c r="L126" s="11">
        <f>IF(I126="","",IF($G$15=1,50,(_xlfn.RANK.AVG(I126,$I$19:$I$1518,1)-1)/($G$15-1)*100))</f>
        <v/>
      </c>
      <c r="M126" s="11">
        <f>IF(COUNT(J126:L126)=3,ROUND(AVERAGE(J126:L126),6),"")</f>
        <v/>
      </c>
      <c r="O126">
        <f>IF(AND(ISNUMBER('자료_미국심리'!$A110),ISNUMBER('자료_미국심리'!$B110)),'자료_미국심리'!$A110,"")</f>
        <v/>
      </c>
      <c r="P126">
        <f>IF(AND(ISNUMBER('자료_미국심리'!$D110),ISNUMBER('자료_미국심리'!$E110)),'자료_미국심리'!$D110,"")</f>
        <v/>
      </c>
      <c r="Q126">
        <f>IF(AND(ISNUMBER('자료_미국심리'!$G110),ISNUMBER('자료_미국심리'!$H110)),'자료_미국심리'!$G110,"")</f>
        <v/>
      </c>
    </row>
    <row r="127">
      <c r="A127" s="10">
        <f>IF(109&gt;$E$5,"",SMALL($O$19:$O$4018,$E$6+109))</f>
        <v/>
      </c>
      <c r="B127" s="29">
        <f>IF(A127="","",INDEX('자료_미국심리'!$B$3:$B$4002,MATCH(A127,$O$19:$O$4018,0)))</f>
        <v/>
      </c>
      <c r="C127" s="22">
        <f>""</f>
        <v/>
      </c>
      <c r="D127" s="29">
        <f>IF(A127="","",IFERROR(INDEX('자료_미국심리'!$E$3:$E$4002,MATCH(A127,$P$19:$P$4018,0)),D126))</f>
        <v/>
      </c>
      <c r="E127" s="29">
        <f>IF(A127="","",IFERROR(INDEX('자료_미국심리'!$H$3:$H$4002,MATCH(A127,$Q$19:$Q$4018,0)),E126))</f>
        <v/>
      </c>
      <c r="F127">
        <f>IF(A127="",0,IF(A127&gt;$B$5,1,0))</f>
        <v/>
      </c>
      <c r="G127" s="29">
        <f>IF(AND(F127=1,ISNUMBER(D127)),D127,"")</f>
        <v/>
      </c>
      <c r="H127" s="29">
        <f>IF(AND(F127=1,ISNUMBER(E127)),E127,"")</f>
        <v/>
      </c>
      <c r="I127" s="22">
        <f>IF(AND(F127=1,ISNUMBER(C127)),C127,"")</f>
        <v/>
      </c>
      <c r="J127" s="11">
        <f>IF(G127="","",100-IF($G$13=1,50,(_xlfn.RANK.AVG(G127,$G$19:$G$1518,1)-1)/($G$13-1)*100))</f>
        <v/>
      </c>
      <c r="K127" s="11">
        <f>IF(H127="","",100-IF($G$14=1,50,(_xlfn.RANK.AVG(H127,$H$19:$H$1518,1)-1)/($G$14-1)*100))</f>
        <v/>
      </c>
      <c r="L127" s="11">
        <f>IF(I127="","",IF($G$15=1,50,(_xlfn.RANK.AVG(I127,$I$19:$I$1518,1)-1)/($G$15-1)*100))</f>
        <v/>
      </c>
      <c r="M127" s="11">
        <f>IF(COUNT(J127:L127)=3,ROUND(AVERAGE(J127:L127),6),"")</f>
        <v/>
      </c>
      <c r="O127">
        <f>IF(AND(ISNUMBER('자료_미국심리'!$A111),ISNUMBER('자료_미국심리'!$B111)),'자료_미국심리'!$A111,"")</f>
        <v/>
      </c>
      <c r="P127">
        <f>IF(AND(ISNUMBER('자료_미국심리'!$D111),ISNUMBER('자료_미국심리'!$E111)),'자료_미국심리'!$D111,"")</f>
        <v/>
      </c>
      <c r="Q127">
        <f>IF(AND(ISNUMBER('자료_미국심리'!$G111),ISNUMBER('자료_미국심리'!$H111)),'자료_미국심리'!$G111,"")</f>
        <v/>
      </c>
    </row>
    <row r="128">
      <c r="A128" s="10">
        <f>IF(110&gt;$E$5,"",SMALL($O$19:$O$4018,$E$6+110))</f>
        <v/>
      </c>
      <c r="B128" s="29">
        <f>IF(A128="","",INDEX('자료_미국심리'!$B$3:$B$4002,MATCH(A128,$O$19:$O$4018,0)))</f>
        <v/>
      </c>
      <c r="C128" s="22">
        <f>""</f>
        <v/>
      </c>
      <c r="D128" s="29">
        <f>IF(A128="","",IFERROR(INDEX('자료_미국심리'!$E$3:$E$4002,MATCH(A128,$P$19:$P$4018,0)),D127))</f>
        <v/>
      </c>
      <c r="E128" s="29">
        <f>IF(A128="","",IFERROR(INDEX('자료_미국심리'!$H$3:$H$4002,MATCH(A128,$Q$19:$Q$4018,0)),E127))</f>
        <v/>
      </c>
      <c r="F128">
        <f>IF(A128="",0,IF(A128&gt;$B$5,1,0))</f>
        <v/>
      </c>
      <c r="G128" s="29">
        <f>IF(AND(F128=1,ISNUMBER(D128)),D128,"")</f>
        <v/>
      </c>
      <c r="H128" s="29">
        <f>IF(AND(F128=1,ISNUMBER(E128)),E128,"")</f>
        <v/>
      </c>
      <c r="I128" s="22">
        <f>IF(AND(F128=1,ISNUMBER(C128)),C128,"")</f>
        <v/>
      </c>
      <c r="J128" s="11">
        <f>IF(G128="","",100-IF($G$13=1,50,(_xlfn.RANK.AVG(G128,$G$19:$G$1518,1)-1)/($G$13-1)*100))</f>
        <v/>
      </c>
      <c r="K128" s="11">
        <f>IF(H128="","",100-IF($G$14=1,50,(_xlfn.RANK.AVG(H128,$H$19:$H$1518,1)-1)/($G$14-1)*100))</f>
        <v/>
      </c>
      <c r="L128" s="11">
        <f>IF(I128="","",IF($G$15=1,50,(_xlfn.RANK.AVG(I128,$I$19:$I$1518,1)-1)/($G$15-1)*100))</f>
        <v/>
      </c>
      <c r="M128" s="11">
        <f>IF(COUNT(J128:L128)=3,ROUND(AVERAGE(J128:L128),6),"")</f>
        <v/>
      </c>
      <c r="O128">
        <f>IF(AND(ISNUMBER('자료_미국심리'!$A112),ISNUMBER('자료_미국심리'!$B112)),'자료_미국심리'!$A112,"")</f>
        <v/>
      </c>
      <c r="P128">
        <f>IF(AND(ISNUMBER('자료_미국심리'!$D112),ISNUMBER('자료_미국심리'!$E112)),'자료_미국심리'!$D112,"")</f>
        <v/>
      </c>
      <c r="Q128">
        <f>IF(AND(ISNUMBER('자료_미국심리'!$G112),ISNUMBER('자료_미국심리'!$H112)),'자료_미국심리'!$G112,"")</f>
        <v/>
      </c>
    </row>
    <row r="129">
      <c r="A129" s="10">
        <f>IF(111&gt;$E$5,"",SMALL($O$19:$O$4018,$E$6+111))</f>
        <v/>
      </c>
      <c r="B129" s="29">
        <f>IF(A129="","",INDEX('자료_미국심리'!$B$3:$B$4002,MATCH(A129,$O$19:$O$4018,0)))</f>
        <v/>
      </c>
      <c r="C129" s="22">
        <f>""</f>
        <v/>
      </c>
      <c r="D129" s="29">
        <f>IF(A129="","",IFERROR(INDEX('자료_미국심리'!$E$3:$E$4002,MATCH(A129,$P$19:$P$4018,0)),D128))</f>
        <v/>
      </c>
      <c r="E129" s="29">
        <f>IF(A129="","",IFERROR(INDEX('자료_미국심리'!$H$3:$H$4002,MATCH(A129,$Q$19:$Q$4018,0)),E128))</f>
        <v/>
      </c>
      <c r="F129">
        <f>IF(A129="",0,IF(A129&gt;$B$5,1,0))</f>
        <v/>
      </c>
      <c r="G129" s="29">
        <f>IF(AND(F129=1,ISNUMBER(D129)),D129,"")</f>
        <v/>
      </c>
      <c r="H129" s="29">
        <f>IF(AND(F129=1,ISNUMBER(E129)),E129,"")</f>
        <v/>
      </c>
      <c r="I129" s="22">
        <f>IF(AND(F129=1,ISNUMBER(C129)),C129,"")</f>
        <v/>
      </c>
      <c r="J129" s="11">
        <f>IF(G129="","",100-IF($G$13=1,50,(_xlfn.RANK.AVG(G129,$G$19:$G$1518,1)-1)/($G$13-1)*100))</f>
        <v/>
      </c>
      <c r="K129" s="11">
        <f>IF(H129="","",100-IF($G$14=1,50,(_xlfn.RANK.AVG(H129,$H$19:$H$1518,1)-1)/($G$14-1)*100))</f>
        <v/>
      </c>
      <c r="L129" s="11">
        <f>IF(I129="","",IF($G$15=1,50,(_xlfn.RANK.AVG(I129,$I$19:$I$1518,1)-1)/($G$15-1)*100))</f>
        <v/>
      </c>
      <c r="M129" s="11">
        <f>IF(COUNT(J129:L129)=3,ROUND(AVERAGE(J129:L129),6),"")</f>
        <v/>
      </c>
      <c r="O129">
        <f>IF(AND(ISNUMBER('자료_미국심리'!$A113),ISNUMBER('자료_미국심리'!$B113)),'자료_미국심리'!$A113,"")</f>
        <v/>
      </c>
      <c r="P129">
        <f>IF(AND(ISNUMBER('자료_미국심리'!$D113),ISNUMBER('자료_미국심리'!$E113)),'자료_미국심리'!$D113,"")</f>
        <v/>
      </c>
      <c r="Q129">
        <f>IF(AND(ISNUMBER('자료_미국심리'!$G113),ISNUMBER('자료_미국심리'!$H113)),'자료_미국심리'!$G113,"")</f>
        <v/>
      </c>
    </row>
    <row r="130">
      <c r="A130" s="10">
        <f>IF(112&gt;$E$5,"",SMALL($O$19:$O$4018,$E$6+112))</f>
        <v/>
      </c>
      <c r="B130" s="29">
        <f>IF(A130="","",INDEX('자료_미국심리'!$B$3:$B$4002,MATCH(A130,$O$19:$O$4018,0)))</f>
        <v/>
      </c>
      <c r="C130" s="22">
        <f>""</f>
        <v/>
      </c>
      <c r="D130" s="29">
        <f>IF(A130="","",IFERROR(INDEX('자료_미국심리'!$E$3:$E$4002,MATCH(A130,$P$19:$P$4018,0)),D129))</f>
        <v/>
      </c>
      <c r="E130" s="29">
        <f>IF(A130="","",IFERROR(INDEX('자료_미국심리'!$H$3:$H$4002,MATCH(A130,$Q$19:$Q$4018,0)),E129))</f>
        <v/>
      </c>
      <c r="F130">
        <f>IF(A130="",0,IF(A130&gt;$B$5,1,0))</f>
        <v/>
      </c>
      <c r="G130" s="29">
        <f>IF(AND(F130=1,ISNUMBER(D130)),D130,"")</f>
        <v/>
      </c>
      <c r="H130" s="29">
        <f>IF(AND(F130=1,ISNUMBER(E130)),E130,"")</f>
        <v/>
      </c>
      <c r="I130" s="22">
        <f>IF(AND(F130=1,ISNUMBER(C130)),C130,"")</f>
        <v/>
      </c>
      <c r="J130" s="11">
        <f>IF(G130="","",100-IF($G$13=1,50,(_xlfn.RANK.AVG(G130,$G$19:$G$1518,1)-1)/($G$13-1)*100))</f>
        <v/>
      </c>
      <c r="K130" s="11">
        <f>IF(H130="","",100-IF($G$14=1,50,(_xlfn.RANK.AVG(H130,$H$19:$H$1518,1)-1)/($G$14-1)*100))</f>
        <v/>
      </c>
      <c r="L130" s="11">
        <f>IF(I130="","",IF($G$15=1,50,(_xlfn.RANK.AVG(I130,$I$19:$I$1518,1)-1)/($G$15-1)*100))</f>
        <v/>
      </c>
      <c r="M130" s="11">
        <f>IF(COUNT(J130:L130)=3,ROUND(AVERAGE(J130:L130),6),"")</f>
        <v/>
      </c>
      <c r="O130">
        <f>IF(AND(ISNUMBER('자료_미국심리'!$A114),ISNUMBER('자료_미국심리'!$B114)),'자료_미국심리'!$A114,"")</f>
        <v/>
      </c>
      <c r="P130">
        <f>IF(AND(ISNUMBER('자료_미국심리'!$D114),ISNUMBER('자료_미국심리'!$E114)),'자료_미국심리'!$D114,"")</f>
        <v/>
      </c>
      <c r="Q130">
        <f>IF(AND(ISNUMBER('자료_미국심리'!$G114),ISNUMBER('자료_미국심리'!$H114)),'자료_미국심리'!$G114,"")</f>
        <v/>
      </c>
    </row>
    <row r="131">
      <c r="A131" s="10">
        <f>IF(113&gt;$E$5,"",SMALL($O$19:$O$4018,$E$6+113))</f>
        <v/>
      </c>
      <c r="B131" s="29">
        <f>IF(A131="","",INDEX('자료_미국심리'!$B$3:$B$4002,MATCH(A131,$O$19:$O$4018,0)))</f>
        <v/>
      </c>
      <c r="C131" s="22">
        <f>""</f>
        <v/>
      </c>
      <c r="D131" s="29">
        <f>IF(A131="","",IFERROR(INDEX('자료_미국심리'!$E$3:$E$4002,MATCH(A131,$P$19:$P$4018,0)),D130))</f>
        <v/>
      </c>
      <c r="E131" s="29">
        <f>IF(A131="","",IFERROR(INDEX('자료_미국심리'!$H$3:$H$4002,MATCH(A131,$Q$19:$Q$4018,0)),E130))</f>
        <v/>
      </c>
      <c r="F131">
        <f>IF(A131="",0,IF(A131&gt;$B$5,1,0))</f>
        <v/>
      </c>
      <c r="G131" s="29">
        <f>IF(AND(F131=1,ISNUMBER(D131)),D131,"")</f>
        <v/>
      </c>
      <c r="H131" s="29">
        <f>IF(AND(F131=1,ISNUMBER(E131)),E131,"")</f>
        <v/>
      </c>
      <c r="I131" s="22">
        <f>IF(AND(F131=1,ISNUMBER(C131)),C131,"")</f>
        <v/>
      </c>
      <c r="J131" s="11">
        <f>IF(G131="","",100-IF($G$13=1,50,(_xlfn.RANK.AVG(G131,$G$19:$G$1518,1)-1)/($G$13-1)*100))</f>
        <v/>
      </c>
      <c r="K131" s="11">
        <f>IF(H131="","",100-IF($G$14=1,50,(_xlfn.RANK.AVG(H131,$H$19:$H$1518,1)-1)/($G$14-1)*100))</f>
        <v/>
      </c>
      <c r="L131" s="11">
        <f>IF(I131="","",IF($G$15=1,50,(_xlfn.RANK.AVG(I131,$I$19:$I$1518,1)-1)/($G$15-1)*100))</f>
        <v/>
      </c>
      <c r="M131" s="11">
        <f>IF(COUNT(J131:L131)=3,ROUND(AVERAGE(J131:L131),6),"")</f>
        <v/>
      </c>
      <c r="O131">
        <f>IF(AND(ISNUMBER('자료_미국심리'!$A115),ISNUMBER('자료_미국심리'!$B115)),'자료_미국심리'!$A115,"")</f>
        <v/>
      </c>
      <c r="P131">
        <f>IF(AND(ISNUMBER('자료_미국심리'!$D115),ISNUMBER('자료_미국심리'!$E115)),'자료_미국심리'!$D115,"")</f>
        <v/>
      </c>
      <c r="Q131">
        <f>IF(AND(ISNUMBER('자료_미국심리'!$G115),ISNUMBER('자료_미국심리'!$H115)),'자료_미국심리'!$G115,"")</f>
        <v/>
      </c>
    </row>
    <row r="132">
      <c r="A132" s="10">
        <f>IF(114&gt;$E$5,"",SMALL($O$19:$O$4018,$E$6+114))</f>
        <v/>
      </c>
      <c r="B132" s="29">
        <f>IF(A132="","",INDEX('자료_미국심리'!$B$3:$B$4002,MATCH(A132,$O$19:$O$4018,0)))</f>
        <v/>
      </c>
      <c r="C132" s="22">
        <f>""</f>
        <v/>
      </c>
      <c r="D132" s="29">
        <f>IF(A132="","",IFERROR(INDEX('자료_미국심리'!$E$3:$E$4002,MATCH(A132,$P$19:$P$4018,0)),D131))</f>
        <v/>
      </c>
      <c r="E132" s="29">
        <f>IF(A132="","",IFERROR(INDEX('자료_미국심리'!$H$3:$H$4002,MATCH(A132,$Q$19:$Q$4018,0)),E131))</f>
        <v/>
      </c>
      <c r="F132">
        <f>IF(A132="",0,IF(A132&gt;$B$5,1,0))</f>
        <v/>
      </c>
      <c r="G132" s="29">
        <f>IF(AND(F132=1,ISNUMBER(D132)),D132,"")</f>
        <v/>
      </c>
      <c r="H132" s="29">
        <f>IF(AND(F132=1,ISNUMBER(E132)),E132,"")</f>
        <v/>
      </c>
      <c r="I132" s="22">
        <f>IF(AND(F132=1,ISNUMBER(C132)),C132,"")</f>
        <v/>
      </c>
      <c r="J132" s="11">
        <f>IF(G132="","",100-IF($G$13=1,50,(_xlfn.RANK.AVG(G132,$G$19:$G$1518,1)-1)/($G$13-1)*100))</f>
        <v/>
      </c>
      <c r="K132" s="11">
        <f>IF(H132="","",100-IF($G$14=1,50,(_xlfn.RANK.AVG(H132,$H$19:$H$1518,1)-1)/($G$14-1)*100))</f>
        <v/>
      </c>
      <c r="L132" s="11">
        <f>IF(I132="","",IF($G$15=1,50,(_xlfn.RANK.AVG(I132,$I$19:$I$1518,1)-1)/($G$15-1)*100))</f>
        <v/>
      </c>
      <c r="M132" s="11">
        <f>IF(COUNT(J132:L132)=3,ROUND(AVERAGE(J132:L132),6),"")</f>
        <v/>
      </c>
      <c r="O132">
        <f>IF(AND(ISNUMBER('자료_미국심리'!$A116),ISNUMBER('자료_미국심리'!$B116)),'자료_미국심리'!$A116,"")</f>
        <v/>
      </c>
      <c r="P132">
        <f>IF(AND(ISNUMBER('자료_미국심리'!$D116),ISNUMBER('자료_미국심리'!$E116)),'자료_미국심리'!$D116,"")</f>
        <v/>
      </c>
      <c r="Q132">
        <f>IF(AND(ISNUMBER('자료_미국심리'!$G116),ISNUMBER('자료_미국심리'!$H116)),'자료_미국심리'!$G116,"")</f>
        <v/>
      </c>
    </row>
    <row r="133">
      <c r="A133" s="10">
        <f>IF(115&gt;$E$5,"",SMALL($O$19:$O$4018,$E$6+115))</f>
        <v/>
      </c>
      <c r="B133" s="29">
        <f>IF(A133="","",INDEX('자료_미국심리'!$B$3:$B$4002,MATCH(A133,$O$19:$O$4018,0)))</f>
        <v/>
      </c>
      <c r="C133" s="22">
        <f>""</f>
        <v/>
      </c>
      <c r="D133" s="29">
        <f>IF(A133="","",IFERROR(INDEX('자료_미국심리'!$E$3:$E$4002,MATCH(A133,$P$19:$P$4018,0)),D132))</f>
        <v/>
      </c>
      <c r="E133" s="29">
        <f>IF(A133="","",IFERROR(INDEX('자료_미국심리'!$H$3:$H$4002,MATCH(A133,$Q$19:$Q$4018,0)),E132))</f>
        <v/>
      </c>
      <c r="F133">
        <f>IF(A133="",0,IF(A133&gt;$B$5,1,0))</f>
        <v/>
      </c>
      <c r="G133" s="29">
        <f>IF(AND(F133=1,ISNUMBER(D133)),D133,"")</f>
        <v/>
      </c>
      <c r="H133" s="29">
        <f>IF(AND(F133=1,ISNUMBER(E133)),E133,"")</f>
        <v/>
      </c>
      <c r="I133" s="22">
        <f>IF(AND(F133=1,ISNUMBER(C133)),C133,"")</f>
        <v/>
      </c>
      <c r="J133" s="11">
        <f>IF(G133="","",100-IF($G$13=1,50,(_xlfn.RANK.AVG(G133,$G$19:$G$1518,1)-1)/($G$13-1)*100))</f>
        <v/>
      </c>
      <c r="K133" s="11">
        <f>IF(H133="","",100-IF($G$14=1,50,(_xlfn.RANK.AVG(H133,$H$19:$H$1518,1)-1)/($G$14-1)*100))</f>
        <v/>
      </c>
      <c r="L133" s="11">
        <f>IF(I133="","",IF($G$15=1,50,(_xlfn.RANK.AVG(I133,$I$19:$I$1518,1)-1)/($G$15-1)*100))</f>
        <v/>
      </c>
      <c r="M133" s="11">
        <f>IF(COUNT(J133:L133)=3,ROUND(AVERAGE(J133:L133),6),"")</f>
        <v/>
      </c>
      <c r="O133">
        <f>IF(AND(ISNUMBER('자료_미국심리'!$A117),ISNUMBER('자료_미국심리'!$B117)),'자료_미국심리'!$A117,"")</f>
        <v/>
      </c>
      <c r="P133">
        <f>IF(AND(ISNUMBER('자료_미국심리'!$D117),ISNUMBER('자료_미국심리'!$E117)),'자료_미국심리'!$D117,"")</f>
        <v/>
      </c>
      <c r="Q133">
        <f>IF(AND(ISNUMBER('자료_미국심리'!$G117),ISNUMBER('자료_미국심리'!$H117)),'자료_미국심리'!$G117,"")</f>
        <v/>
      </c>
    </row>
    <row r="134">
      <c r="A134" s="10">
        <f>IF(116&gt;$E$5,"",SMALL($O$19:$O$4018,$E$6+116))</f>
        <v/>
      </c>
      <c r="B134" s="29">
        <f>IF(A134="","",INDEX('자료_미국심리'!$B$3:$B$4002,MATCH(A134,$O$19:$O$4018,0)))</f>
        <v/>
      </c>
      <c r="C134" s="22">
        <f>""</f>
        <v/>
      </c>
      <c r="D134" s="29">
        <f>IF(A134="","",IFERROR(INDEX('자료_미국심리'!$E$3:$E$4002,MATCH(A134,$P$19:$P$4018,0)),D133))</f>
        <v/>
      </c>
      <c r="E134" s="29">
        <f>IF(A134="","",IFERROR(INDEX('자료_미국심리'!$H$3:$H$4002,MATCH(A134,$Q$19:$Q$4018,0)),E133))</f>
        <v/>
      </c>
      <c r="F134">
        <f>IF(A134="",0,IF(A134&gt;$B$5,1,0))</f>
        <v/>
      </c>
      <c r="G134" s="29">
        <f>IF(AND(F134=1,ISNUMBER(D134)),D134,"")</f>
        <v/>
      </c>
      <c r="H134" s="29">
        <f>IF(AND(F134=1,ISNUMBER(E134)),E134,"")</f>
        <v/>
      </c>
      <c r="I134" s="22">
        <f>IF(AND(F134=1,ISNUMBER(C134)),C134,"")</f>
        <v/>
      </c>
      <c r="J134" s="11">
        <f>IF(G134="","",100-IF($G$13=1,50,(_xlfn.RANK.AVG(G134,$G$19:$G$1518,1)-1)/($G$13-1)*100))</f>
        <v/>
      </c>
      <c r="K134" s="11">
        <f>IF(H134="","",100-IF($G$14=1,50,(_xlfn.RANK.AVG(H134,$H$19:$H$1518,1)-1)/($G$14-1)*100))</f>
        <v/>
      </c>
      <c r="L134" s="11">
        <f>IF(I134="","",IF($G$15=1,50,(_xlfn.RANK.AVG(I134,$I$19:$I$1518,1)-1)/($G$15-1)*100))</f>
        <v/>
      </c>
      <c r="M134" s="11">
        <f>IF(COUNT(J134:L134)=3,ROUND(AVERAGE(J134:L134),6),"")</f>
        <v/>
      </c>
      <c r="O134">
        <f>IF(AND(ISNUMBER('자료_미국심리'!$A118),ISNUMBER('자료_미국심리'!$B118)),'자료_미국심리'!$A118,"")</f>
        <v/>
      </c>
      <c r="P134">
        <f>IF(AND(ISNUMBER('자료_미국심리'!$D118),ISNUMBER('자료_미국심리'!$E118)),'자료_미국심리'!$D118,"")</f>
        <v/>
      </c>
      <c r="Q134">
        <f>IF(AND(ISNUMBER('자료_미국심리'!$G118),ISNUMBER('자료_미국심리'!$H118)),'자료_미국심리'!$G118,"")</f>
        <v/>
      </c>
    </row>
    <row r="135">
      <c r="A135" s="10">
        <f>IF(117&gt;$E$5,"",SMALL($O$19:$O$4018,$E$6+117))</f>
        <v/>
      </c>
      <c r="B135" s="29">
        <f>IF(A135="","",INDEX('자료_미국심리'!$B$3:$B$4002,MATCH(A135,$O$19:$O$4018,0)))</f>
        <v/>
      </c>
      <c r="C135" s="22">
        <f>""</f>
        <v/>
      </c>
      <c r="D135" s="29">
        <f>IF(A135="","",IFERROR(INDEX('자료_미국심리'!$E$3:$E$4002,MATCH(A135,$P$19:$P$4018,0)),D134))</f>
        <v/>
      </c>
      <c r="E135" s="29">
        <f>IF(A135="","",IFERROR(INDEX('자료_미국심리'!$H$3:$H$4002,MATCH(A135,$Q$19:$Q$4018,0)),E134))</f>
        <v/>
      </c>
      <c r="F135">
        <f>IF(A135="",0,IF(A135&gt;$B$5,1,0))</f>
        <v/>
      </c>
      <c r="G135" s="29">
        <f>IF(AND(F135=1,ISNUMBER(D135)),D135,"")</f>
        <v/>
      </c>
      <c r="H135" s="29">
        <f>IF(AND(F135=1,ISNUMBER(E135)),E135,"")</f>
        <v/>
      </c>
      <c r="I135" s="22">
        <f>IF(AND(F135=1,ISNUMBER(C135)),C135,"")</f>
        <v/>
      </c>
      <c r="J135" s="11">
        <f>IF(G135="","",100-IF($G$13=1,50,(_xlfn.RANK.AVG(G135,$G$19:$G$1518,1)-1)/($G$13-1)*100))</f>
        <v/>
      </c>
      <c r="K135" s="11">
        <f>IF(H135="","",100-IF($G$14=1,50,(_xlfn.RANK.AVG(H135,$H$19:$H$1518,1)-1)/($G$14-1)*100))</f>
        <v/>
      </c>
      <c r="L135" s="11">
        <f>IF(I135="","",IF($G$15=1,50,(_xlfn.RANK.AVG(I135,$I$19:$I$1518,1)-1)/($G$15-1)*100))</f>
        <v/>
      </c>
      <c r="M135" s="11">
        <f>IF(COUNT(J135:L135)=3,ROUND(AVERAGE(J135:L135),6),"")</f>
        <v/>
      </c>
      <c r="O135">
        <f>IF(AND(ISNUMBER('자료_미국심리'!$A119),ISNUMBER('자료_미국심리'!$B119)),'자료_미국심리'!$A119,"")</f>
        <v/>
      </c>
      <c r="P135">
        <f>IF(AND(ISNUMBER('자료_미국심리'!$D119),ISNUMBER('자료_미국심리'!$E119)),'자료_미국심리'!$D119,"")</f>
        <v/>
      </c>
      <c r="Q135">
        <f>IF(AND(ISNUMBER('자료_미국심리'!$G119),ISNUMBER('자료_미국심리'!$H119)),'자료_미국심리'!$G119,"")</f>
        <v/>
      </c>
    </row>
    <row r="136">
      <c r="A136" s="10">
        <f>IF(118&gt;$E$5,"",SMALL($O$19:$O$4018,$E$6+118))</f>
        <v/>
      </c>
      <c r="B136" s="29">
        <f>IF(A136="","",INDEX('자료_미국심리'!$B$3:$B$4002,MATCH(A136,$O$19:$O$4018,0)))</f>
        <v/>
      </c>
      <c r="C136" s="22">
        <f>""</f>
        <v/>
      </c>
      <c r="D136" s="29">
        <f>IF(A136="","",IFERROR(INDEX('자료_미국심리'!$E$3:$E$4002,MATCH(A136,$P$19:$P$4018,0)),D135))</f>
        <v/>
      </c>
      <c r="E136" s="29">
        <f>IF(A136="","",IFERROR(INDEX('자료_미국심리'!$H$3:$H$4002,MATCH(A136,$Q$19:$Q$4018,0)),E135))</f>
        <v/>
      </c>
      <c r="F136">
        <f>IF(A136="",0,IF(A136&gt;$B$5,1,0))</f>
        <v/>
      </c>
      <c r="G136" s="29">
        <f>IF(AND(F136=1,ISNUMBER(D136)),D136,"")</f>
        <v/>
      </c>
      <c r="H136" s="29">
        <f>IF(AND(F136=1,ISNUMBER(E136)),E136,"")</f>
        <v/>
      </c>
      <c r="I136" s="22">
        <f>IF(AND(F136=1,ISNUMBER(C136)),C136,"")</f>
        <v/>
      </c>
      <c r="J136" s="11">
        <f>IF(G136="","",100-IF($G$13=1,50,(_xlfn.RANK.AVG(G136,$G$19:$G$1518,1)-1)/($G$13-1)*100))</f>
        <v/>
      </c>
      <c r="K136" s="11">
        <f>IF(H136="","",100-IF($G$14=1,50,(_xlfn.RANK.AVG(H136,$H$19:$H$1518,1)-1)/($G$14-1)*100))</f>
        <v/>
      </c>
      <c r="L136" s="11">
        <f>IF(I136="","",IF($G$15=1,50,(_xlfn.RANK.AVG(I136,$I$19:$I$1518,1)-1)/($G$15-1)*100))</f>
        <v/>
      </c>
      <c r="M136" s="11">
        <f>IF(COUNT(J136:L136)=3,ROUND(AVERAGE(J136:L136),6),"")</f>
        <v/>
      </c>
      <c r="O136">
        <f>IF(AND(ISNUMBER('자료_미국심리'!$A120),ISNUMBER('자료_미국심리'!$B120)),'자료_미국심리'!$A120,"")</f>
        <v/>
      </c>
      <c r="P136">
        <f>IF(AND(ISNUMBER('자료_미국심리'!$D120),ISNUMBER('자료_미국심리'!$E120)),'자료_미국심리'!$D120,"")</f>
        <v/>
      </c>
      <c r="Q136">
        <f>IF(AND(ISNUMBER('자료_미국심리'!$G120),ISNUMBER('자료_미국심리'!$H120)),'자료_미국심리'!$G120,"")</f>
        <v/>
      </c>
    </row>
    <row r="137">
      <c r="A137" s="10">
        <f>IF(119&gt;$E$5,"",SMALL($O$19:$O$4018,$E$6+119))</f>
        <v/>
      </c>
      <c r="B137" s="29">
        <f>IF(A137="","",INDEX('자료_미국심리'!$B$3:$B$4002,MATCH(A137,$O$19:$O$4018,0)))</f>
        <v/>
      </c>
      <c r="C137" s="22">
        <f>""</f>
        <v/>
      </c>
      <c r="D137" s="29">
        <f>IF(A137="","",IFERROR(INDEX('자료_미국심리'!$E$3:$E$4002,MATCH(A137,$P$19:$P$4018,0)),D136))</f>
        <v/>
      </c>
      <c r="E137" s="29">
        <f>IF(A137="","",IFERROR(INDEX('자료_미국심리'!$H$3:$H$4002,MATCH(A137,$Q$19:$Q$4018,0)),E136))</f>
        <v/>
      </c>
      <c r="F137">
        <f>IF(A137="",0,IF(A137&gt;$B$5,1,0))</f>
        <v/>
      </c>
      <c r="G137" s="29">
        <f>IF(AND(F137=1,ISNUMBER(D137)),D137,"")</f>
        <v/>
      </c>
      <c r="H137" s="29">
        <f>IF(AND(F137=1,ISNUMBER(E137)),E137,"")</f>
        <v/>
      </c>
      <c r="I137" s="22">
        <f>IF(AND(F137=1,ISNUMBER(C137)),C137,"")</f>
        <v/>
      </c>
      <c r="J137" s="11">
        <f>IF(G137="","",100-IF($G$13=1,50,(_xlfn.RANK.AVG(G137,$G$19:$G$1518,1)-1)/($G$13-1)*100))</f>
        <v/>
      </c>
      <c r="K137" s="11">
        <f>IF(H137="","",100-IF($G$14=1,50,(_xlfn.RANK.AVG(H137,$H$19:$H$1518,1)-1)/($G$14-1)*100))</f>
        <v/>
      </c>
      <c r="L137" s="11">
        <f>IF(I137="","",IF($G$15=1,50,(_xlfn.RANK.AVG(I137,$I$19:$I$1518,1)-1)/($G$15-1)*100))</f>
        <v/>
      </c>
      <c r="M137" s="11">
        <f>IF(COUNT(J137:L137)=3,ROUND(AVERAGE(J137:L137),6),"")</f>
        <v/>
      </c>
      <c r="O137">
        <f>IF(AND(ISNUMBER('자료_미국심리'!$A121),ISNUMBER('자료_미국심리'!$B121)),'자료_미국심리'!$A121,"")</f>
        <v/>
      </c>
      <c r="P137">
        <f>IF(AND(ISNUMBER('자료_미국심리'!$D121),ISNUMBER('자료_미국심리'!$E121)),'자료_미국심리'!$D121,"")</f>
        <v/>
      </c>
      <c r="Q137">
        <f>IF(AND(ISNUMBER('자료_미국심리'!$G121),ISNUMBER('자료_미국심리'!$H121)),'자료_미국심리'!$G121,"")</f>
        <v/>
      </c>
    </row>
    <row r="138">
      <c r="A138" s="10">
        <f>IF(120&gt;$E$5,"",SMALL($O$19:$O$4018,$E$6+120))</f>
        <v/>
      </c>
      <c r="B138" s="29">
        <f>IF(A138="","",INDEX('자료_미국심리'!$B$3:$B$4002,MATCH(A138,$O$19:$O$4018,0)))</f>
        <v/>
      </c>
      <c r="C138" s="22">
        <f>""</f>
        <v/>
      </c>
      <c r="D138" s="29">
        <f>IF(A138="","",IFERROR(INDEX('자료_미국심리'!$E$3:$E$4002,MATCH(A138,$P$19:$P$4018,0)),D137))</f>
        <v/>
      </c>
      <c r="E138" s="29">
        <f>IF(A138="","",IFERROR(INDEX('자료_미국심리'!$H$3:$H$4002,MATCH(A138,$Q$19:$Q$4018,0)),E137))</f>
        <v/>
      </c>
      <c r="F138">
        <f>IF(A138="",0,IF(A138&gt;$B$5,1,0))</f>
        <v/>
      </c>
      <c r="G138" s="29">
        <f>IF(AND(F138=1,ISNUMBER(D138)),D138,"")</f>
        <v/>
      </c>
      <c r="H138" s="29">
        <f>IF(AND(F138=1,ISNUMBER(E138)),E138,"")</f>
        <v/>
      </c>
      <c r="I138" s="22">
        <f>IF(AND(F138=1,ISNUMBER(C138)),C138,"")</f>
        <v/>
      </c>
      <c r="J138" s="11">
        <f>IF(G138="","",100-IF($G$13=1,50,(_xlfn.RANK.AVG(G138,$G$19:$G$1518,1)-1)/($G$13-1)*100))</f>
        <v/>
      </c>
      <c r="K138" s="11">
        <f>IF(H138="","",100-IF($G$14=1,50,(_xlfn.RANK.AVG(H138,$H$19:$H$1518,1)-1)/($G$14-1)*100))</f>
        <v/>
      </c>
      <c r="L138" s="11">
        <f>IF(I138="","",IF($G$15=1,50,(_xlfn.RANK.AVG(I138,$I$19:$I$1518,1)-1)/($G$15-1)*100))</f>
        <v/>
      </c>
      <c r="M138" s="11">
        <f>IF(COUNT(J138:L138)=3,ROUND(AVERAGE(J138:L138),6),"")</f>
        <v/>
      </c>
      <c r="O138">
        <f>IF(AND(ISNUMBER('자료_미국심리'!$A122),ISNUMBER('자료_미국심리'!$B122)),'자료_미국심리'!$A122,"")</f>
        <v/>
      </c>
      <c r="P138">
        <f>IF(AND(ISNUMBER('자료_미국심리'!$D122),ISNUMBER('자료_미국심리'!$E122)),'자료_미국심리'!$D122,"")</f>
        <v/>
      </c>
      <c r="Q138">
        <f>IF(AND(ISNUMBER('자료_미국심리'!$G122),ISNUMBER('자료_미국심리'!$H122)),'자료_미국심리'!$G122,"")</f>
        <v/>
      </c>
    </row>
    <row r="139">
      <c r="A139" s="10">
        <f>IF(121&gt;$E$5,"",SMALL($O$19:$O$4018,$E$6+121))</f>
        <v/>
      </c>
      <c r="B139" s="29">
        <f>IF(A139="","",INDEX('자료_미국심리'!$B$3:$B$4002,MATCH(A139,$O$19:$O$4018,0)))</f>
        <v/>
      </c>
      <c r="C139" s="22">
        <f>""</f>
        <v/>
      </c>
      <c r="D139" s="29">
        <f>IF(A139="","",IFERROR(INDEX('자료_미국심리'!$E$3:$E$4002,MATCH(A139,$P$19:$P$4018,0)),D138))</f>
        <v/>
      </c>
      <c r="E139" s="29">
        <f>IF(A139="","",IFERROR(INDEX('자료_미국심리'!$H$3:$H$4002,MATCH(A139,$Q$19:$Q$4018,0)),E138))</f>
        <v/>
      </c>
      <c r="F139">
        <f>IF(A139="",0,IF(A139&gt;$B$5,1,0))</f>
        <v/>
      </c>
      <c r="G139" s="29">
        <f>IF(AND(F139=1,ISNUMBER(D139)),D139,"")</f>
        <v/>
      </c>
      <c r="H139" s="29">
        <f>IF(AND(F139=1,ISNUMBER(E139)),E139,"")</f>
        <v/>
      </c>
      <c r="I139" s="22">
        <f>IF(AND(F139=1,ISNUMBER(C139)),C139,"")</f>
        <v/>
      </c>
      <c r="J139" s="11">
        <f>IF(G139="","",100-IF($G$13=1,50,(_xlfn.RANK.AVG(G139,$G$19:$G$1518,1)-1)/($G$13-1)*100))</f>
        <v/>
      </c>
      <c r="K139" s="11">
        <f>IF(H139="","",100-IF($G$14=1,50,(_xlfn.RANK.AVG(H139,$H$19:$H$1518,1)-1)/($G$14-1)*100))</f>
        <v/>
      </c>
      <c r="L139" s="11">
        <f>IF(I139="","",IF($G$15=1,50,(_xlfn.RANK.AVG(I139,$I$19:$I$1518,1)-1)/($G$15-1)*100))</f>
        <v/>
      </c>
      <c r="M139" s="11">
        <f>IF(COUNT(J139:L139)=3,ROUND(AVERAGE(J139:L139),6),"")</f>
        <v/>
      </c>
      <c r="O139">
        <f>IF(AND(ISNUMBER('자료_미국심리'!$A123),ISNUMBER('자료_미국심리'!$B123)),'자료_미국심리'!$A123,"")</f>
        <v/>
      </c>
      <c r="P139">
        <f>IF(AND(ISNUMBER('자료_미국심리'!$D123),ISNUMBER('자료_미국심리'!$E123)),'자료_미국심리'!$D123,"")</f>
        <v/>
      </c>
      <c r="Q139">
        <f>IF(AND(ISNUMBER('자료_미국심리'!$G123),ISNUMBER('자료_미국심리'!$H123)),'자료_미국심리'!$G123,"")</f>
        <v/>
      </c>
    </row>
    <row r="140">
      <c r="A140" s="10">
        <f>IF(122&gt;$E$5,"",SMALL($O$19:$O$4018,$E$6+122))</f>
        <v/>
      </c>
      <c r="B140" s="29">
        <f>IF(A140="","",INDEX('자료_미국심리'!$B$3:$B$4002,MATCH(A140,$O$19:$O$4018,0)))</f>
        <v/>
      </c>
      <c r="C140" s="22">
        <f>""</f>
        <v/>
      </c>
      <c r="D140" s="29">
        <f>IF(A140="","",IFERROR(INDEX('자료_미국심리'!$E$3:$E$4002,MATCH(A140,$P$19:$P$4018,0)),D139))</f>
        <v/>
      </c>
      <c r="E140" s="29">
        <f>IF(A140="","",IFERROR(INDEX('자료_미국심리'!$H$3:$H$4002,MATCH(A140,$Q$19:$Q$4018,0)),E139))</f>
        <v/>
      </c>
      <c r="F140">
        <f>IF(A140="",0,IF(A140&gt;$B$5,1,0))</f>
        <v/>
      </c>
      <c r="G140" s="29">
        <f>IF(AND(F140=1,ISNUMBER(D140)),D140,"")</f>
        <v/>
      </c>
      <c r="H140" s="29">
        <f>IF(AND(F140=1,ISNUMBER(E140)),E140,"")</f>
        <v/>
      </c>
      <c r="I140" s="22">
        <f>IF(AND(F140=1,ISNUMBER(C140)),C140,"")</f>
        <v/>
      </c>
      <c r="J140" s="11">
        <f>IF(G140="","",100-IF($G$13=1,50,(_xlfn.RANK.AVG(G140,$G$19:$G$1518,1)-1)/($G$13-1)*100))</f>
        <v/>
      </c>
      <c r="K140" s="11">
        <f>IF(H140="","",100-IF($G$14=1,50,(_xlfn.RANK.AVG(H140,$H$19:$H$1518,1)-1)/($G$14-1)*100))</f>
        <v/>
      </c>
      <c r="L140" s="11">
        <f>IF(I140="","",IF($G$15=1,50,(_xlfn.RANK.AVG(I140,$I$19:$I$1518,1)-1)/($G$15-1)*100))</f>
        <v/>
      </c>
      <c r="M140" s="11">
        <f>IF(COUNT(J140:L140)=3,ROUND(AVERAGE(J140:L140),6),"")</f>
        <v/>
      </c>
      <c r="O140">
        <f>IF(AND(ISNUMBER('자료_미국심리'!$A124),ISNUMBER('자료_미국심리'!$B124)),'자료_미국심리'!$A124,"")</f>
        <v/>
      </c>
      <c r="P140">
        <f>IF(AND(ISNUMBER('자료_미국심리'!$D124),ISNUMBER('자료_미국심리'!$E124)),'자료_미국심리'!$D124,"")</f>
        <v/>
      </c>
      <c r="Q140">
        <f>IF(AND(ISNUMBER('자료_미국심리'!$G124),ISNUMBER('자료_미국심리'!$H124)),'자료_미국심리'!$G124,"")</f>
        <v/>
      </c>
    </row>
    <row r="141">
      <c r="A141" s="10">
        <f>IF(123&gt;$E$5,"",SMALL($O$19:$O$4018,$E$6+123))</f>
        <v/>
      </c>
      <c r="B141" s="29">
        <f>IF(A141="","",INDEX('자료_미국심리'!$B$3:$B$4002,MATCH(A141,$O$19:$O$4018,0)))</f>
        <v/>
      </c>
      <c r="C141" s="22">
        <f>""</f>
        <v/>
      </c>
      <c r="D141" s="29">
        <f>IF(A141="","",IFERROR(INDEX('자료_미국심리'!$E$3:$E$4002,MATCH(A141,$P$19:$P$4018,0)),D140))</f>
        <v/>
      </c>
      <c r="E141" s="29">
        <f>IF(A141="","",IFERROR(INDEX('자료_미국심리'!$H$3:$H$4002,MATCH(A141,$Q$19:$Q$4018,0)),E140))</f>
        <v/>
      </c>
      <c r="F141">
        <f>IF(A141="",0,IF(A141&gt;$B$5,1,0))</f>
        <v/>
      </c>
      <c r="G141" s="29">
        <f>IF(AND(F141=1,ISNUMBER(D141)),D141,"")</f>
        <v/>
      </c>
      <c r="H141" s="29">
        <f>IF(AND(F141=1,ISNUMBER(E141)),E141,"")</f>
        <v/>
      </c>
      <c r="I141" s="22">
        <f>IF(AND(F141=1,ISNUMBER(C141)),C141,"")</f>
        <v/>
      </c>
      <c r="J141" s="11">
        <f>IF(G141="","",100-IF($G$13=1,50,(_xlfn.RANK.AVG(G141,$G$19:$G$1518,1)-1)/($G$13-1)*100))</f>
        <v/>
      </c>
      <c r="K141" s="11">
        <f>IF(H141="","",100-IF($G$14=1,50,(_xlfn.RANK.AVG(H141,$H$19:$H$1518,1)-1)/($G$14-1)*100))</f>
        <v/>
      </c>
      <c r="L141" s="11">
        <f>IF(I141="","",IF($G$15=1,50,(_xlfn.RANK.AVG(I141,$I$19:$I$1518,1)-1)/($G$15-1)*100))</f>
        <v/>
      </c>
      <c r="M141" s="11">
        <f>IF(COUNT(J141:L141)=3,ROUND(AVERAGE(J141:L141),6),"")</f>
        <v/>
      </c>
      <c r="O141">
        <f>IF(AND(ISNUMBER('자료_미국심리'!$A125),ISNUMBER('자료_미국심리'!$B125)),'자료_미국심리'!$A125,"")</f>
        <v/>
      </c>
      <c r="P141">
        <f>IF(AND(ISNUMBER('자료_미국심리'!$D125),ISNUMBER('자료_미국심리'!$E125)),'자료_미국심리'!$D125,"")</f>
        <v/>
      </c>
      <c r="Q141">
        <f>IF(AND(ISNUMBER('자료_미국심리'!$G125),ISNUMBER('자료_미국심리'!$H125)),'자료_미국심리'!$G125,"")</f>
        <v/>
      </c>
    </row>
    <row r="142">
      <c r="A142" s="10">
        <f>IF(124&gt;$E$5,"",SMALL($O$19:$O$4018,$E$6+124))</f>
        <v/>
      </c>
      <c r="B142" s="29">
        <f>IF(A142="","",INDEX('자료_미국심리'!$B$3:$B$4002,MATCH(A142,$O$19:$O$4018,0)))</f>
        <v/>
      </c>
      <c r="C142" s="22">
        <f>""</f>
        <v/>
      </c>
      <c r="D142" s="29">
        <f>IF(A142="","",IFERROR(INDEX('자료_미국심리'!$E$3:$E$4002,MATCH(A142,$P$19:$P$4018,0)),D141))</f>
        <v/>
      </c>
      <c r="E142" s="29">
        <f>IF(A142="","",IFERROR(INDEX('자료_미국심리'!$H$3:$H$4002,MATCH(A142,$Q$19:$Q$4018,0)),E141))</f>
        <v/>
      </c>
      <c r="F142">
        <f>IF(A142="",0,IF(A142&gt;$B$5,1,0))</f>
        <v/>
      </c>
      <c r="G142" s="29">
        <f>IF(AND(F142=1,ISNUMBER(D142)),D142,"")</f>
        <v/>
      </c>
      <c r="H142" s="29">
        <f>IF(AND(F142=1,ISNUMBER(E142)),E142,"")</f>
        <v/>
      </c>
      <c r="I142" s="22">
        <f>IF(AND(F142=1,ISNUMBER(C142)),C142,"")</f>
        <v/>
      </c>
      <c r="J142" s="11">
        <f>IF(G142="","",100-IF($G$13=1,50,(_xlfn.RANK.AVG(G142,$G$19:$G$1518,1)-1)/($G$13-1)*100))</f>
        <v/>
      </c>
      <c r="K142" s="11">
        <f>IF(H142="","",100-IF($G$14=1,50,(_xlfn.RANK.AVG(H142,$H$19:$H$1518,1)-1)/($G$14-1)*100))</f>
        <v/>
      </c>
      <c r="L142" s="11">
        <f>IF(I142="","",IF($G$15=1,50,(_xlfn.RANK.AVG(I142,$I$19:$I$1518,1)-1)/($G$15-1)*100))</f>
        <v/>
      </c>
      <c r="M142" s="11">
        <f>IF(COUNT(J142:L142)=3,ROUND(AVERAGE(J142:L142),6),"")</f>
        <v/>
      </c>
      <c r="O142">
        <f>IF(AND(ISNUMBER('자료_미국심리'!$A126),ISNUMBER('자료_미국심리'!$B126)),'자료_미국심리'!$A126,"")</f>
        <v/>
      </c>
      <c r="P142">
        <f>IF(AND(ISNUMBER('자료_미국심리'!$D126),ISNUMBER('자료_미국심리'!$E126)),'자료_미국심리'!$D126,"")</f>
        <v/>
      </c>
      <c r="Q142">
        <f>IF(AND(ISNUMBER('자료_미국심리'!$G126),ISNUMBER('자료_미국심리'!$H126)),'자료_미국심리'!$G126,"")</f>
        <v/>
      </c>
    </row>
    <row r="143">
      <c r="A143" s="10">
        <f>IF(125&gt;$E$5,"",SMALL($O$19:$O$4018,$E$6+125))</f>
        <v/>
      </c>
      <c r="B143" s="29">
        <f>IF(A143="","",INDEX('자료_미국심리'!$B$3:$B$4002,MATCH(A143,$O$19:$O$4018,0)))</f>
        <v/>
      </c>
      <c r="C143" s="22">
        <f>IF(A143="","",B143/AVERAGE(B19:B143)-1)</f>
        <v/>
      </c>
      <c r="D143" s="29">
        <f>IF(A143="","",IFERROR(INDEX('자료_미국심리'!$E$3:$E$4002,MATCH(A143,$P$19:$P$4018,0)),D142))</f>
        <v/>
      </c>
      <c r="E143" s="29">
        <f>IF(A143="","",IFERROR(INDEX('자료_미국심리'!$H$3:$H$4002,MATCH(A143,$Q$19:$Q$4018,0)),E142))</f>
        <v/>
      </c>
      <c r="F143">
        <f>IF(A143="",0,IF(A143&gt;$B$5,1,0))</f>
        <v/>
      </c>
      <c r="G143" s="29">
        <f>IF(AND(F143=1,ISNUMBER(D143)),D143,"")</f>
        <v/>
      </c>
      <c r="H143" s="29">
        <f>IF(AND(F143=1,ISNUMBER(E143)),E143,"")</f>
        <v/>
      </c>
      <c r="I143" s="22">
        <f>IF(AND(F143=1,ISNUMBER(C143)),C143,"")</f>
        <v/>
      </c>
      <c r="J143" s="11">
        <f>IF(G143="","",100-IF($G$13=1,50,(_xlfn.RANK.AVG(G143,$G$19:$G$1518,1)-1)/($G$13-1)*100))</f>
        <v/>
      </c>
      <c r="K143" s="11">
        <f>IF(H143="","",100-IF($G$14=1,50,(_xlfn.RANK.AVG(H143,$H$19:$H$1518,1)-1)/($G$14-1)*100))</f>
        <v/>
      </c>
      <c r="L143" s="11">
        <f>IF(I143="","",IF($G$15=1,50,(_xlfn.RANK.AVG(I143,$I$19:$I$1518,1)-1)/($G$15-1)*100))</f>
        <v/>
      </c>
      <c r="M143" s="11">
        <f>IF(COUNT(J143:L143)=3,ROUND(AVERAGE(J143:L143),6),"")</f>
        <v/>
      </c>
      <c r="O143">
        <f>IF(AND(ISNUMBER('자료_미국심리'!$A127),ISNUMBER('자료_미국심리'!$B127)),'자료_미국심리'!$A127,"")</f>
        <v/>
      </c>
      <c r="P143">
        <f>IF(AND(ISNUMBER('자료_미국심리'!$D127),ISNUMBER('자료_미국심리'!$E127)),'자료_미국심리'!$D127,"")</f>
        <v/>
      </c>
      <c r="Q143">
        <f>IF(AND(ISNUMBER('자료_미국심리'!$G127),ISNUMBER('자료_미국심리'!$H127)),'자료_미국심리'!$G127,"")</f>
        <v/>
      </c>
    </row>
    <row r="144">
      <c r="A144" s="10">
        <f>IF(126&gt;$E$5,"",SMALL($O$19:$O$4018,$E$6+126))</f>
        <v/>
      </c>
      <c r="B144" s="29">
        <f>IF(A144="","",INDEX('자료_미국심리'!$B$3:$B$4002,MATCH(A144,$O$19:$O$4018,0)))</f>
        <v/>
      </c>
      <c r="C144" s="22">
        <f>IF(A144="","",B144/AVERAGE(B20:B144)-1)</f>
        <v/>
      </c>
      <c r="D144" s="29">
        <f>IF(A144="","",IFERROR(INDEX('자료_미국심리'!$E$3:$E$4002,MATCH(A144,$P$19:$P$4018,0)),D143))</f>
        <v/>
      </c>
      <c r="E144" s="29">
        <f>IF(A144="","",IFERROR(INDEX('자료_미국심리'!$H$3:$H$4002,MATCH(A144,$Q$19:$Q$4018,0)),E143))</f>
        <v/>
      </c>
      <c r="F144">
        <f>IF(A144="",0,IF(A144&gt;$B$5,1,0))</f>
        <v/>
      </c>
      <c r="G144" s="29">
        <f>IF(AND(F144=1,ISNUMBER(D144)),D144,"")</f>
        <v/>
      </c>
      <c r="H144" s="29">
        <f>IF(AND(F144=1,ISNUMBER(E144)),E144,"")</f>
        <v/>
      </c>
      <c r="I144" s="22">
        <f>IF(AND(F144=1,ISNUMBER(C144)),C144,"")</f>
        <v/>
      </c>
      <c r="J144" s="11">
        <f>IF(G144="","",100-IF($G$13=1,50,(_xlfn.RANK.AVG(G144,$G$19:$G$1518,1)-1)/($G$13-1)*100))</f>
        <v/>
      </c>
      <c r="K144" s="11">
        <f>IF(H144="","",100-IF($G$14=1,50,(_xlfn.RANK.AVG(H144,$H$19:$H$1518,1)-1)/($G$14-1)*100))</f>
        <v/>
      </c>
      <c r="L144" s="11">
        <f>IF(I144="","",IF($G$15=1,50,(_xlfn.RANK.AVG(I144,$I$19:$I$1518,1)-1)/($G$15-1)*100))</f>
        <v/>
      </c>
      <c r="M144" s="11">
        <f>IF(COUNT(J144:L144)=3,ROUND(AVERAGE(J144:L144),6),"")</f>
        <v/>
      </c>
      <c r="O144">
        <f>IF(AND(ISNUMBER('자료_미국심리'!$A128),ISNUMBER('자료_미국심리'!$B128)),'자료_미국심리'!$A128,"")</f>
        <v/>
      </c>
      <c r="P144">
        <f>IF(AND(ISNUMBER('자료_미국심리'!$D128),ISNUMBER('자료_미국심리'!$E128)),'자료_미국심리'!$D128,"")</f>
        <v/>
      </c>
      <c r="Q144">
        <f>IF(AND(ISNUMBER('자료_미국심리'!$G128),ISNUMBER('자료_미국심리'!$H128)),'자료_미국심리'!$G128,"")</f>
        <v/>
      </c>
    </row>
    <row r="145">
      <c r="A145" s="10">
        <f>IF(127&gt;$E$5,"",SMALL($O$19:$O$4018,$E$6+127))</f>
        <v/>
      </c>
      <c r="B145" s="29">
        <f>IF(A145="","",INDEX('자료_미국심리'!$B$3:$B$4002,MATCH(A145,$O$19:$O$4018,0)))</f>
        <v/>
      </c>
      <c r="C145" s="22">
        <f>IF(A145="","",B145/AVERAGE(B21:B145)-1)</f>
        <v/>
      </c>
      <c r="D145" s="29">
        <f>IF(A145="","",IFERROR(INDEX('자료_미국심리'!$E$3:$E$4002,MATCH(A145,$P$19:$P$4018,0)),D144))</f>
        <v/>
      </c>
      <c r="E145" s="29">
        <f>IF(A145="","",IFERROR(INDEX('자료_미국심리'!$H$3:$H$4002,MATCH(A145,$Q$19:$Q$4018,0)),E144))</f>
        <v/>
      </c>
      <c r="F145">
        <f>IF(A145="",0,IF(A145&gt;$B$5,1,0))</f>
        <v/>
      </c>
      <c r="G145" s="29">
        <f>IF(AND(F145=1,ISNUMBER(D145)),D145,"")</f>
        <v/>
      </c>
      <c r="H145" s="29">
        <f>IF(AND(F145=1,ISNUMBER(E145)),E145,"")</f>
        <v/>
      </c>
      <c r="I145" s="22">
        <f>IF(AND(F145=1,ISNUMBER(C145)),C145,"")</f>
        <v/>
      </c>
      <c r="J145" s="11">
        <f>IF(G145="","",100-IF($G$13=1,50,(_xlfn.RANK.AVG(G145,$G$19:$G$1518,1)-1)/($G$13-1)*100))</f>
        <v/>
      </c>
      <c r="K145" s="11">
        <f>IF(H145="","",100-IF($G$14=1,50,(_xlfn.RANK.AVG(H145,$H$19:$H$1518,1)-1)/($G$14-1)*100))</f>
        <v/>
      </c>
      <c r="L145" s="11">
        <f>IF(I145="","",IF($G$15=1,50,(_xlfn.RANK.AVG(I145,$I$19:$I$1518,1)-1)/($G$15-1)*100))</f>
        <v/>
      </c>
      <c r="M145" s="11">
        <f>IF(COUNT(J145:L145)=3,ROUND(AVERAGE(J145:L145),6),"")</f>
        <v/>
      </c>
      <c r="O145">
        <f>IF(AND(ISNUMBER('자료_미국심리'!$A129),ISNUMBER('자료_미국심리'!$B129)),'자료_미국심리'!$A129,"")</f>
        <v/>
      </c>
      <c r="P145">
        <f>IF(AND(ISNUMBER('자료_미국심리'!$D129),ISNUMBER('자료_미국심리'!$E129)),'자료_미국심리'!$D129,"")</f>
        <v/>
      </c>
      <c r="Q145">
        <f>IF(AND(ISNUMBER('자료_미국심리'!$G129),ISNUMBER('자료_미국심리'!$H129)),'자료_미국심리'!$G129,"")</f>
        <v/>
      </c>
    </row>
    <row r="146">
      <c r="A146" s="10">
        <f>IF(128&gt;$E$5,"",SMALL($O$19:$O$4018,$E$6+128))</f>
        <v/>
      </c>
      <c r="B146" s="29">
        <f>IF(A146="","",INDEX('자료_미국심리'!$B$3:$B$4002,MATCH(A146,$O$19:$O$4018,0)))</f>
        <v/>
      </c>
      <c r="C146" s="22">
        <f>IF(A146="","",B146/AVERAGE(B22:B146)-1)</f>
        <v/>
      </c>
      <c r="D146" s="29">
        <f>IF(A146="","",IFERROR(INDEX('자료_미국심리'!$E$3:$E$4002,MATCH(A146,$P$19:$P$4018,0)),D145))</f>
        <v/>
      </c>
      <c r="E146" s="29">
        <f>IF(A146="","",IFERROR(INDEX('자료_미국심리'!$H$3:$H$4002,MATCH(A146,$Q$19:$Q$4018,0)),E145))</f>
        <v/>
      </c>
      <c r="F146">
        <f>IF(A146="",0,IF(A146&gt;$B$5,1,0))</f>
        <v/>
      </c>
      <c r="G146" s="29">
        <f>IF(AND(F146=1,ISNUMBER(D146)),D146,"")</f>
        <v/>
      </c>
      <c r="H146" s="29">
        <f>IF(AND(F146=1,ISNUMBER(E146)),E146,"")</f>
        <v/>
      </c>
      <c r="I146" s="22">
        <f>IF(AND(F146=1,ISNUMBER(C146)),C146,"")</f>
        <v/>
      </c>
      <c r="J146" s="11">
        <f>IF(G146="","",100-IF($G$13=1,50,(_xlfn.RANK.AVG(G146,$G$19:$G$1518,1)-1)/($G$13-1)*100))</f>
        <v/>
      </c>
      <c r="K146" s="11">
        <f>IF(H146="","",100-IF($G$14=1,50,(_xlfn.RANK.AVG(H146,$H$19:$H$1518,1)-1)/($G$14-1)*100))</f>
        <v/>
      </c>
      <c r="L146" s="11">
        <f>IF(I146="","",IF($G$15=1,50,(_xlfn.RANK.AVG(I146,$I$19:$I$1518,1)-1)/($G$15-1)*100))</f>
        <v/>
      </c>
      <c r="M146" s="11">
        <f>IF(COUNT(J146:L146)=3,ROUND(AVERAGE(J146:L146),6),"")</f>
        <v/>
      </c>
      <c r="O146">
        <f>IF(AND(ISNUMBER('자료_미국심리'!$A130),ISNUMBER('자료_미국심리'!$B130)),'자료_미국심리'!$A130,"")</f>
        <v/>
      </c>
      <c r="P146">
        <f>IF(AND(ISNUMBER('자료_미국심리'!$D130),ISNUMBER('자료_미국심리'!$E130)),'자료_미국심리'!$D130,"")</f>
        <v/>
      </c>
      <c r="Q146">
        <f>IF(AND(ISNUMBER('자료_미국심리'!$G130),ISNUMBER('자료_미국심리'!$H130)),'자료_미국심리'!$G130,"")</f>
        <v/>
      </c>
    </row>
    <row r="147">
      <c r="A147" s="10">
        <f>IF(129&gt;$E$5,"",SMALL($O$19:$O$4018,$E$6+129))</f>
        <v/>
      </c>
      <c r="B147" s="29">
        <f>IF(A147="","",INDEX('자료_미국심리'!$B$3:$B$4002,MATCH(A147,$O$19:$O$4018,0)))</f>
        <v/>
      </c>
      <c r="C147" s="22">
        <f>IF(A147="","",B147/AVERAGE(B23:B147)-1)</f>
        <v/>
      </c>
      <c r="D147" s="29">
        <f>IF(A147="","",IFERROR(INDEX('자료_미국심리'!$E$3:$E$4002,MATCH(A147,$P$19:$P$4018,0)),D146))</f>
        <v/>
      </c>
      <c r="E147" s="29">
        <f>IF(A147="","",IFERROR(INDEX('자료_미국심리'!$H$3:$H$4002,MATCH(A147,$Q$19:$Q$4018,0)),E146))</f>
        <v/>
      </c>
      <c r="F147">
        <f>IF(A147="",0,IF(A147&gt;$B$5,1,0))</f>
        <v/>
      </c>
      <c r="G147" s="29">
        <f>IF(AND(F147=1,ISNUMBER(D147)),D147,"")</f>
        <v/>
      </c>
      <c r="H147" s="29">
        <f>IF(AND(F147=1,ISNUMBER(E147)),E147,"")</f>
        <v/>
      </c>
      <c r="I147" s="22">
        <f>IF(AND(F147=1,ISNUMBER(C147)),C147,"")</f>
        <v/>
      </c>
      <c r="J147" s="11">
        <f>IF(G147="","",100-IF($G$13=1,50,(_xlfn.RANK.AVG(G147,$G$19:$G$1518,1)-1)/($G$13-1)*100))</f>
        <v/>
      </c>
      <c r="K147" s="11">
        <f>IF(H147="","",100-IF($G$14=1,50,(_xlfn.RANK.AVG(H147,$H$19:$H$1518,1)-1)/($G$14-1)*100))</f>
        <v/>
      </c>
      <c r="L147" s="11">
        <f>IF(I147="","",IF($G$15=1,50,(_xlfn.RANK.AVG(I147,$I$19:$I$1518,1)-1)/($G$15-1)*100))</f>
        <v/>
      </c>
      <c r="M147" s="11">
        <f>IF(COUNT(J147:L147)=3,ROUND(AVERAGE(J147:L147),6),"")</f>
        <v/>
      </c>
      <c r="O147">
        <f>IF(AND(ISNUMBER('자료_미국심리'!$A131),ISNUMBER('자료_미국심리'!$B131)),'자료_미국심리'!$A131,"")</f>
        <v/>
      </c>
      <c r="P147">
        <f>IF(AND(ISNUMBER('자료_미국심리'!$D131),ISNUMBER('자료_미국심리'!$E131)),'자료_미국심리'!$D131,"")</f>
        <v/>
      </c>
      <c r="Q147">
        <f>IF(AND(ISNUMBER('자료_미국심리'!$G131),ISNUMBER('자료_미국심리'!$H131)),'자료_미국심리'!$G131,"")</f>
        <v/>
      </c>
    </row>
    <row r="148">
      <c r="A148" s="10">
        <f>IF(130&gt;$E$5,"",SMALL($O$19:$O$4018,$E$6+130))</f>
        <v/>
      </c>
      <c r="B148" s="29">
        <f>IF(A148="","",INDEX('자료_미국심리'!$B$3:$B$4002,MATCH(A148,$O$19:$O$4018,0)))</f>
        <v/>
      </c>
      <c r="C148" s="22">
        <f>IF(A148="","",B148/AVERAGE(B24:B148)-1)</f>
        <v/>
      </c>
      <c r="D148" s="29">
        <f>IF(A148="","",IFERROR(INDEX('자료_미국심리'!$E$3:$E$4002,MATCH(A148,$P$19:$P$4018,0)),D147))</f>
        <v/>
      </c>
      <c r="E148" s="29">
        <f>IF(A148="","",IFERROR(INDEX('자료_미국심리'!$H$3:$H$4002,MATCH(A148,$Q$19:$Q$4018,0)),E147))</f>
        <v/>
      </c>
      <c r="F148">
        <f>IF(A148="",0,IF(A148&gt;$B$5,1,0))</f>
        <v/>
      </c>
      <c r="G148" s="29">
        <f>IF(AND(F148=1,ISNUMBER(D148)),D148,"")</f>
        <v/>
      </c>
      <c r="H148" s="29">
        <f>IF(AND(F148=1,ISNUMBER(E148)),E148,"")</f>
        <v/>
      </c>
      <c r="I148" s="22">
        <f>IF(AND(F148=1,ISNUMBER(C148)),C148,"")</f>
        <v/>
      </c>
      <c r="J148" s="11">
        <f>IF(G148="","",100-IF($G$13=1,50,(_xlfn.RANK.AVG(G148,$G$19:$G$1518,1)-1)/($G$13-1)*100))</f>
        <v/>
      </c>
      <c r="K148" s="11">
        <f>IF(H148="","",100-IF($G$14=1,50,(_xlfn.RANK.AVG(H148,$H$19:$H$1518,1)-1)/($G$14-1)*100))</f>
        <v/>
      </c>
      <c r="L148" s="11">
        <f>IF(I148="","",IF($G$15=1,50,(_xlfn.RANK.AVG(I148,$I$19:$I$1518,1)-1)/($G$15-1)*100))</f>
        <v/>
      </c>
      <c r="M148" s="11">
        <f>IF(COUNT(J148:L148)=3,ROUND(AVERAGE(J148:L148),6),"")</f>
        <v/>
      </c>
      <c r="O148">
        <f>IF(AND(ISNUMBER('자료_미국심리'!$A132),ISNUMBER('자료_미국심리'!$B132)),'자료_미국심리'!$A132,"")</f>
        <v/>
      </c>
      <c r="P148">
        <f>IF(AND(ISNUMBER('자료_미국심리'!$D132),ISNUMBER('자료_미국심리'!$E132)),'자료_미국심리'!$D132,"")</f>
        <v/>
      </c>
      <c r="Q148">
        <f>IF(AND(ISNUMBER('자료_미국심리'!$G132),ISNUMBER('자료_미국심리'!$H132)),'자료_미국심리'!$G132,"")</f>
        <v/>
      </c>
    </row>
    <row r="149">
      <c r="A149" s="10">
        <f>IF(131&gt;$E$5,"",SMALL($O$19:$O$4018,$E$6+131))</f>
        <v/>
      </c>
      <c r="B149" s="29">
        <f>IF(A149="","",INDEX('자료_미국심리'!$B$3:$B$4002,MATCH(A149,$O$19:$O$4018,0)))</f>
        <v/>
      </c>
      <c r="C149" s="22">
        <f>IF(A149="","",B149/AVERAGE(B25:B149)-1)</f>
        <v/>
      </c>
      <c r="D149" s="29">
        <f>IF(A149="","",IFERROR(INDEX('자료_미국심리'!$E$3:$E$4002,MATCH(A149,$P$19:$P$4018,0)),D148))</f>
        <v/>
      </c>
      <c r="E149" s="29">
        <f>IF(A149="","",IFERROR(INDEX('자료_미국심리'!$H$3:$H$4002,MATCH(A149,$Q$19:$Q$4018,0)),E148))</f>
        <v/>
      </c>
      <c r="F149">
        <f>IF(A149="",0,IF(A149&gt;$B$5,1,0))</f>
        <v/>
      </c>
      <c r="G149" s="29">
        <f>IF(AND(F149=1,ISNUMBER(D149)),D149,"")</f>
        <v/>
      </c>
      <c r="H149" s="29">
        <f>IF(AND(F149=1,ISNUMBER(E149)),E149,"")</f>
        <v/>
      </c>
      <c r="I149" s="22">
        <f>IF(AND(F149=1,ISNUMBER(C149)),C149,"")</f>
        <v/>
      </c>
      <c r="J149" s="11">
        <f>IF(G149="","",100-IF($G$13=1,50,(_xlfn.RANK.AVG(G149,$G$19:$G$1518,1)-1)/($G$13-1)*100))</f>
        <v/>
      </c>
      <c r="K149" s="11">
        <f>IF(H149="","",100-IF($G$14=1,50,(_xlfn.RANK.AVG(H149,$H$19:$H$1518,1)-1)/($G$14-1)*100))</f>
        <v/>
      </c>
      <c r="L149" s="11">
        <f>IF(I149="","",IF($G$15=1,50,(_xlfn.RANK.AVG(I149,$I$19:$I$1518,1)-1)/($G$15-1)*100))</f>
        <v/>
      </c>
      <c r="M149" s="11">
        <f>IF(COUNT(J149:L149)=3,ROUND(AVERAGE(J149:L149),6),"")</f>
        <v/>
      </c>
      <c r="O149">
        <f>IF(AND(ISNUMBER('자료_미국심리'!$A133),ISNUMBER('자료_미국심리'!$B133)),'자료_미국심리'!$A133,"")</f>
        <v/>
      </c>
      <c r="P149">
        <f>IF(AND(ISNUMBER('자료_미국심리'!$D133),ISNUMBER('자료_미국심리'!$E133)),'자료_미국심리'!$D133,"")</f>
        <v/>
      </c>
      <c r="Q149">
        <f>IF(AND(ISNUMBER('자료_미국심리'!$G133),ISNUMBER('자료_미국심리'!$H133)),'자료_미국심리'!$G133,"")</f>
        <v/>
      </c>
    </row>
    <row r="150">
      <c r="A150" s="10">
        <f>IF(132&gt;$E$5,"",SMALL($O$19:$O$4018,$E$6+132))</f>
        <v/>
      </c>
      <c r="B150" s="29">
        <f>IF(A150="","",INDEX('자료_미국심리'!$B$3:$B$4002,MATCH(A150,$O$19:$O$4018,0)))</f>
        <v/>
      </c>
      <c r="C150" s="22">
        <f>IF(A150="","",B150/AVERAGE(B26:B150)-1)</f>
        <v/>
      </c>
      <c r="D150" s="29">
        <f>IF(A150="","",IFERROR(INDEX('자료_미국심리'!$E$3:$E$4002,MATCH(A150,$P$19:$P$4018,0)),D149))</f>
        <v/>
      </c>
      <c r="E150" s="29">
        <f>IF(A150="","",IFERROR(INDEX('자료_미국심리'!$H$3:$H$4002,MATCH(A150,$Q$19:$Q$4018,0)),E149))</f>
        <v/>
      </c>
      <c r="F150">
        <f>IF(A150="",0,IF(A150&gt;$B$5,1,0))</f>
        <v/>
      </c>
      <c r="G150" s="29">
        <f>IF(AND(F150=1,ISNUMBER(D150)),D150,"")</f>
        <v/>
      </c>
      <c r="H150" s="29">
        <f>IF(AND(F150=1,ISNUMBER(E150)),E150,"")</f>
        <v/>
      </c>
      <c r="I150" s="22">
        <f>IF(AND(F150=1,ISNUMBER(C150)),C150,"")</f>
        <v/>
      </c>
      <c r="J150" s="11">
        <f>IF(G150="","",100-IF($G$13=1,50,(_xlfn.RANK.AVG(G150,$G$19:$G$1518,1)-1)/($G$13-1)*100))</f>
        <v/>
      </c>
      <c r="K150" s="11">
        <f>IF(H150="","",100-IF($G$14=1,50,(_xlfn.RANK.AVG(H150,$H$19:$H$1518,1)-1)/($G$14-1)*100))</f>
        <v/>
      </c>
      <c r="L150" s="11">
        <f>IF(I150="","",IF($G$15=1,50,(_xlfn.RANK.AVG(I150,$I$19:$I$1518,1)-1)/($G$15-1)*100))</f>
        <v/>
      </c>
      <c r="M150" s="11">
        <f>IF(COUNT(J150:L150)=3,ROUND(AVERAGE(J150:L150),6),"")</f>
        <v/>
      </c>
      <c r="O150">
        <f>IF(AND(ISNUMBER('자료_미국심리'!$A134),ISNUMBER('자료_미국심리'!$B134)),'자료_미국심리'!$A134,"")</f>
        <v/>
      </c>
      <c r="P150">
        <f>IF(AND(ISNUMBER('자료_미국심리'!$D134),ISNUMBER('자료_미국심리'!$E134)),'자료_미국심리'!$D134,"")</f>
        <v/>
      </c>
      <c r="Q150">
        <f>IF(AND(ISNUMBER('자료_미국심리'!$G134),ISNUMBER('자료_미국심리'!$H134)),'자료_미국심리'!$G134,"")</f>
        <v/>
      </c>
    </row>
    <row r="151">
      <c r="A151" s="10">
        <f>IF(133&gt;$E$5,"",SMALL($O$19:$O$4018,$E$6+133))</f>
        <v/>
      </c>
      <c r="B151" s="29">
        <f>IF(A151="","",INDEX('자료_미국심리'!$B$3:$B$4002,MATCH(A151,$O$19:$O$4018,0)))</f>
        <v/>
      </c>
      <c r="C151" s="22">
        <f>IF(A151="","",B151/AVERAGE(B27:B151)-1)</f>
        <v/>
      </c>
      <c r="D151" s="29">
        <f>IF(A151="","",IFERROR(INDEX('자료_미국심리'!$E$3:$E$4002,MATCH(A151,$P$19:$P$4018,0)),D150))</f>
        <v/>
      </c>
      <c r="E151" s="29">
        <f>IF(A151="","",IFERROR(INDEX('자료_미국심리'!$H$3:$H$4002,MATCH(A151,$Q$19:$Q$4018,0)),E150))</f>
        <v/>
      </c>
      <c r="F151">
        <f>IF(A151="",0,IF(A151&gt;$B$5,1,0))</f>
        <v/>
      </c>
      <c r="G151" s="29">
        <f>IF(AND(F151=1,ISNUMBER(D151)),D151,"")</f>
        <v/>
      </c>
      <c r="H151" s="29">
        <f>IF(AND(F151=1,ISNUMBER(E151)),E151,"")</f>
        <v/>
      </c>
      <c r="I151" s="22">
        <f>IF(AND(F151=1,ISNUMBER(C151)),C151,"")</f>
        <v/>
      </c>
      <c r="J151" s="11">
        <f>IF(G151="","",100-IF($G$13=1,50,(_xlfn.RANK.AVG(G151,$G$19:$G$1518,1)-1)/($G$13-1)*100))</f>
        <v/>
      </c>
      <c r="K151" s="11">
        <f>IF(H151="","",100-IF($G$14=1,50,(_xlfn.RANK.AVG(H151,$H$19:$H$1518,1)-1)/($G$14-1)*100))</f>
        <v/>
      </c>
      <c r="L151" s="11">
        <f>IF(I151="","",IF($G$15=1,50,(_xlfn.RANK.AVG(I151,$I$19:$I$1518,1)-1)/($G$15-1)*100))</f>
        <v/>
      </c>
      <c r="M151" s="11">
        <f>IF(COUNT(J151:L151)=3,ROUND(AVERAGE(J151:L151),6),"")</f>
        <v/>
      </c>
      <c r="O151">
        <f>IF(AND(ISNUMBER('자료_미국심리'!$A135),ISNUMBER('자료_미국심리'!$B135)),'자료_미국심리'!$A135,"")</f>
        <v/>
      </c>
      <c r="P151">
        <f>IF(AND(ISNUMBER('자료_미국심리'!$D135),ISNUMBER('자료_미국심리'!$E135)),'자료_미국심리'!$D135,"")</f>
        <v/>
      </c>
      <c r="Q151">
        <f>IF(AND(ISNUMBER('자료_미국심리'!$G135),ISNUMBER('자료_미국심리'!$H135)),'자료_미국심리'!$G135,"")</f>
        <v/>
      </c>
    </row>
    <row r="152">
      <c r="A152" s="10">
        <f>IF(134&gt;$E$5,"",SMALL($O$19:$O$4018,$E$6+134))</f>
        <v/>
      </c>
      <c r="B152" s="29">
        <f>IF(A152="","",INDEX('자료_미국심리'!$B$3:$B$4002,MATCH(A152,$O$19:$O$4018,0)))</f>
        <v/>
      </c>
      <c r="C152" s="22">
        <f>IF(A152="","",B152/AVERAGE(B28:B152)-1)</f>
        <v/>
      </c>
      <c r="D152" s="29">
        <f>IF(A152="","",IFERROR(INDEX('자료_미국심리'!$E$3:$E$4002,MATCH(A152,$P$19:$P$4018,0)),D151))</f>
        <v/>
      </c>
      <c r="E152" s="29">
        <f>IF(A152="","",IFERROR(INDEX('자료_미국심리'!$H$3:$H$4002,MATCH(A152,$Q$19:$Q$4018,0)),E151))</f>
        <v/>
      </c>
      <c r="F152">
        <f>IF(A152="",0,IF(A152&gt;$B$5,1,0))</f>
        <v/>
      </c>
      <c r="G152" s="29">
        <f>IF(AND(F152=1,ISNUMBER(D152)),D152,"")</f>
        <v/>
      </c>
      <c r="H152" s="29">
        <f>IF(AND(F152=1,ISNUMBER(E152)),E152,"")</f>
        <v/>
      </c>
      <c r="I152" s="22">
        <f>IF(AND(F152=1,ISNUMBER(C152)),C152,"")</f>
        <v/>
      </c>
      <c r="J152" s="11">
        <f>IF(G152="","",100-IF($G$13=1,50,(_xlfn.RANK.AVG(G152,$G$19:$G$1518,1)-1)/($G$13-1)*100))</f>
        <v/>
      </c>
      <c r="K152" s="11">
        <f>IF(H152="","",100-IF($G$14=1,50,(_xlfn.RANK.AVG(H152,$H$19:$H$1518,1)-1)/($G$14-1)*100))</f>
        <v/>
      </c>
      <c r="L152" s="11">
        <f>IF(I152="","",IF($G$15=1,50,(_xlfn.RANK.AVG(I152,$I$19:$I$1518,1)-1)/($G$15-1)*100))</f>
        <v/>
      </c>
      <c r="M152" s="11">
        <f>IF(COUNT(J152:L152)=3,ROUND(AVERAGE(J152:L152),6),"")</f>
        <v/>
      </c>
      <c r="O152">
        <f>IF(AND(ISNUMBER('자료_미국심리'!$A136),ISNUMBER('자료_미국심리'!$B136)),'자료_미국심리'!$A136,"")</f>
        <v/>
      </c>
      <c r="P152">
        <f>IF(AND(ISNUMBER('자료_미국심리'!$D136),ISNUMBER('자료_미국심리'!$E136)),'자료_미국심리'!$D136,"")</f>
        <v/>
      </c>
      <c r="Q152">
        <f>IF(AND(ISNUMBER('자료_미국심리'!$G136),ISNUMBER('자료_미국심리'!$H136)),'자료_미국심리'!$G136,"")</f>
        <v/>
      </c>
    </row>
    <row r="153">
      <c r="A153" s="10">
        <f>IF(135&gt;$E$5,"",SMALL($O$19:$O$4018,$E$6+135))</f>
        <v/>
      </c>
      <c r="B153" s="29">
        <f>IF(A153="","",INDEX('자료_미국심리'!$B$3:$B$4002,MATCH(A153,$O$19:$O$4018,0)))</f>
        <v/>
      </c>
      <c r="C153" s="22">
        <f>IF(A153="","",B153/AVERAGE(B29:B153)-1)</f>
        <v/>
      </c>
      <c r="D153" s="29">
        <f>IF(A153="","",IFERROR(INDEX('자료_미국심리'!$E$3:$E$4002,MATCH(A153,$P$19:$P$4018,0)),D152))</f>
        <v/>
      </c>
      <c r="E153" s="29">
        <f>IF(A153="","",IFERROR(INDEX('자료_미국심리'!$H$3:$H$4002,MATCH(A153,$Q$19:$Q$4018,0)),E152))</f>
        <v/>
      </c>
      <c r="F153">
        <f>IF(A153="",0,IF(A153&gt;$B$5,1,0))</f>
        <v/>
      </c>
      <c r="G153" s="29">
        <f>IF(AND(F153=1,ISNUMBER(D153)),D153,"")</f>
        <v/>
      </c>
      <c r="H153" s="29">
        <f>IF(AND(F153=1,ISNUMBER(E153)),E153,"")</f>
        <v/>
      </c>
      <c r="I153" s="22">
        <f>IF(AND(F153=1,ISNUMBER(C153)),C153,"")</f>
        <v/>
      </c>
      <c r="J153" s="11">
        <f>IF(G153="","",100-IF($G$13=1,50,(_xlfn.RANK.AVG(G153,$G$19:$G$1518,1)-1)/($G$13-1)*100))</f>
        <v/>
      </c>
      <c r="K153" s="11">
        <f>IF(H153="","",100-IF($G$14=1,50,(_xlfn.RANK.AVG(H153,$H$19:$H$1518,1)-1)/($G$14-1)*100))</f>
        <v/>
      </c>
      <c r="L153" s="11">
        <f>IF(I153="","",IF($G$15=1,50,(_xlfn.RANK.AVG(I153,$I$19:$I$1518,1)-1)/($G$15-1)*100))</f>
        <v/>
      </c>
      <c r="M153" s="11">
        <f>IF(COUNT(J153:L153)=3,ROUND(AVERAGE(J153:L153),6),"")</f>
        <v/>
      </c>
      <c r="O153">
        <f>IF(AND(ISNUMBER('자료_미국심리'!$A137),ISNUMBER('자료_미국심리'!$B137)),'자료_미국심리'!$A137,"")</f>
        <v/>
      </c>
      <c r="P153">
        <f>IF(AND(ISNUMBER('자료_미국심리'!$D137),ISNUMBER('자료_미국심리'!$E137)),'자료_미국심리'!$D137,"")</f>
        <v/>
      </c>
      <c r="Q153">
        <f>IF(AND(ISNUMBER('자료_미국심리'!$G137),ISNUMBER('자료_미국심리'!$H137)),'자료_미국심리'!$G137,"")</f>
        <v/>
      </c>
    </row>
    <row r="154">
      <c r="A154" s="10">
        <f>IF(136&gt;$E$5,"",SMALL($O$19:$O$4018,$E$6+136))</f>
        <v/>
      </c>
      <c r="B154" s="29">
        <f>IF(A154="","",INDEX('자료_미국심리'!$B$3:$B$4002,MATCH(A154,$O$19:$O$4018,0)))</f>
        <v/>
      </c>
      <c r="C154" s="22">
        <f>IF(A154="","",B154/AVERAGE(B30:B154)-1)</f>
        <v/>
      </c>
      <c r="D154" s="29">
        <f>IF(A154="","",IFERROR(INDEX('자료_미국심리'!$E$3:$E$4002,MATCH(A154,$P$19:$P$4018,0)),D153))</f>
        <v/>
      </c>
      <c r="E154" s="29">
        <f>IF(A154="","",IFERROR(INDEX('자료_미국심리'!$H$3:$H$4002,MATCH(A154,$Q$19:$Q$4018,0)),E153))</f>
        <v/>
      </c>
      <c r="F154">
        <f>IF(A154="",0,IF(A154&gt;$B$5,1,0))</f>
        <v/>
      </c>
      <c r="G154" s="29">
        <f>IF(AND(F154=1,ISNUMBER(D154)),D154,"")</f>
        <v/>
      </c>
      <c r="H154" s="29">
        <f>IF(AND(F154=1,ISNUMBER(E154)),E154,"")</f>
        <v/>
      </c>
      <c r="I154" s="22">
        <f>IF(AND(F154=1,ISNUMBER(C154)),C154,"")</f>
        <v/>
      </c>
      <c r="J154" s="11">
        <f>IF(G154="","",100-IF($G$13=1,50,(_xlfn.RANK.AVG(G154,$G$19:$G$1518,1)-1)/($G$13-1)*100))</f>
        <v/>
      </c>
      <c r="K154" s="11">
        <f>IF(H154="","",100-IF($G$14=1,50,(_xlfn.RANK.AVG(H154,$H$19:$H$1518,1)-1)/($G$14-1)*100))</f>
        <v/>
      </c>
      <c r="L154" s="11">
        <f>IF(I154="","",IF($G$15=1,50,(_xlfn.RANK.AVG(I154,$I$19:$I$1518,1)-1)/($G$15-1)*100))</f>
        <v/>
      </c>
      <c r="M154" s="11">
        <f>IF(COUNT(J154:L154)=3,ROUND(AVERAGE(J154:L154),6),"")</f>
        <v/>
      </c>
      <c r="O154">
        <f>IF(AND(ISNUMBER('자료_미국심리'!$A138),ISNUMBER('자료_미국심리'!$B138)),'자료_미국심리'!$A138,"")</f>
        <v/>
      </c>
      <c r="P154">
        <f>IF(AND(ISNUMBER('자료_미국심리'!$D138),ISNUMBER('자료_미국심리'!$E138)),'자료_미국심리'!$D138,"")</f>
        <v/>
      </c>
      <c r="Q154">
        <f>IF(AND(ISNUMBER('자료_미국심리'!$G138),ISNUMBER('자료_미국심리'!$H138)),'자료_미국심리'!$G138,"")</f>
        <v/>
      </c>
    </row>
    <row r="155">
      <c r="A155" s="10">
        <f>IF(137&gt;$E$5,"",SMALL($O$19:$O$4018,$E$6+137))</f>
        <v/>
      </c>
      <c r="B155" s="29">
        <f>IF(A155="","",INDEX('자료_미국심리'!$B$3:$B$4002,MATCH(A155,$O$19:$O$4018,0)))</f>
        <v/>
      </c>
      <c r="C155" s="22">
        <f>IF(A155="","",B155/AVERAGE(B31:B155)-1)</f>
        <v/>
      </c>
      <c r="D155" s="29">
        <f>IF(A155="","",IFERROR(INDEX('자료_미국심리'!$E$3:$E$4002,MATCH(A155,$P$19:$P$4018,0)),D154))</f>
        <v/>
      </c>
      <c r="E155" s="29">
        <f>IF(A155="","",IFERROR(INDEX('자료_미국심리'!$H$3:$H$4002,MATCH(A155,$Q$19:$Q$4018,0)),E154))</f>
        <v/>
      </c>
      <c r="F155">
        <f>IF(A155="",0,IF(A155&gt;$B$5,1,0))</f>
        <v/>
      </c>
      <c r="G155" s="29">
        <f>IF(AND(F155=1,ISNUMBER(D155)),D155,"")</f>
        <v/>
      </c>
      <c r="H155" s="29">
        <f>IF(AND(F155=1,ISNUMBER(E155)),E155,"")</f>
        <v/>
      </c>
      <c r="I155" s="22">
        <f>IF(AND(F155=1,ISNUMBER(C155)),C155,"")</f>
        <v/>
      </c>
      <c r="J155" s="11">
        <f>IF(G155="","",100-IF($G$13=1,50,(_xlfn.RANK.AVG(G155,$G$19:$G$1518,1)-1)/($G$13-1)*100))</f>
        <v/>
      </c>
      <c r="K155" s="11">
        <f>IF(H155="","",100-IF($G$14=1,50,(_xlfn.RANK.AVG(H155,$H$19:$H$1518,1)-1)/($G$14-1)*100))</f>
        <v/>
      </c>
      <c r="L155" s="11">
        <f>IF(I155="","",IF($G$15=1,50,(_xlfn.RANK.AVG(I155,$I$19:$I$1518,1)-1)/($G$15-1)*100))</f>
        <v/>
      </c>
      <c r="M155" s="11">
        <f>IF(COUNT(J155:L155)=3,ROUND(AVERAGE(J155:L155),6),"")</f>
        <v/>
      </c>
      <c r="O155">
        <f>IF(AND(ISNUMBER('자료_미국심리'!$A139),ISNUMBER('자료_미국심리'!$B139)),'자료_미국심리'!$A139,"")</f>
        <v/>
      </c>
      <c r="P155">
        <f>IF(AND(ISNUMBER('자료_미국심리'!$D139),ISNUMBER('자료_미국심리'!$E139)),'자료_미국심리'!$D139,"")</f>
        <v/>
      </c>
      <c r="Q155">
        <f>IF(AND(ISNUMBER('자료_미국심리'!$G139),ISNUMBER('자료_미국심리'!$H139)),'자료_미국심리'!$G139,"")</f>
        <v/>
      </c>
    </row>
    <row r="156">
      <c r="A156" s="10">
        <f>IF(138&gt;$E$5,"",SMALL($O$19:$O$4018,$E$6+138))</f>
        <v/>
      </c>
      <c r="B156" s="29">
        <f>IF(A156="","",INDEX('자료_미국심리'!$B$3:$B$4002,MATCH(A156,$O$19:$O$4018,0)))</f>
        <v/>
      </c>
      <c r="C156" s="22">
        <f>IF(A156="","",B156/AVERAGE(B32:B156)-1)</f>
        <v/>
      </c>
      <c r="D156" s="29">
        <f>IF(A156="","",IFERROR(INDEX('자료_미국심리'!$E$3:$E$4002,MATCH(A156,$P$19:$P$4018,0)),D155))</f>
        <v/>
      </c>
      <c r="E156" s="29">
        <f>IF(A156="","",IFERROR(INDEX('자료_미국심리'!$H$3:$H$4002,MATCH(A156,$Q$19:$Q$4018,0)),E155))</f>
        <v/>
      </c>
      <c r="F156">
        <f>IF(A156="",0,IF(A156&gt;$B$5,1,0))</f>
        <v/>
      </c>
      <c r="G156" s="29">
        <f>IF(AND(F156=1,ISNUMBER(D156)),D156,"")</f>
        <v/>
      </c>
      <c r="H156" s="29">
        <f>IF(AND(F156=1,ISNUMBER(E156)),E156,"")</f>
        <v/>
      </c>
      <c r="I156" s="22">
        <f>IF(AND(F156=1,ISNUMBER(C156)),C156,"")</f>
        <v/>
      </c>
      <c r="J156" s="11">
        <f>IF(G156="","",100-IF($G$13=1,50,(_xlfn.RANK.AVG(G156,$G$19:$G$1518,1)-1)/($G$13-1)*100))</f>
        <v/>
      </c>
      <c r="K156" s="11">
        <f>IF(H156="","",100-IF($G$14=1,50,(_xlfn.RANK.AVG(H156,$H$19:$H$1518,1)-1)/($G$14-1)*100))</f>
        <v/>
      </c>
      <c r="L156" s="11">
        <f>IF(I156="","",IF($G$15=1,50,(_xlfn.RANK.AVG(I156,$I$19:$I$1518,1)-1)/($G$15-1)*100))</f>
        <v/>
      </c>
      <c r="M156" s="11">
        <f>IF(COUNT(J156:L156)=3,ROUND(AVERAGE(J156:L156),6),"")</f>
        <v/>
      </c>
      <c r="O156">
        <f>IF(AND(ISNUMBER('자료_미국심리'!$A140),ISNUMBER('자료_미국심리'!$B140)),'자료_미국심리'!$A140,"")</f>
        <v/>
      </c>
      <c r="P156">
        <f>IF(AND(ISNUMBER('자료_미국심리'!$D140),ISNUMBER('자료_미국심리'!$E140)),'자료_미국심리'!$D140,"")</f>
        <v/>
      </c>
      <c r="Q156">
        <f>IF(AND(ISNUMBER('자료_미국심리'!$G140),ISNUMBER('자료_미국심리'!$H140)),'자료_미국심리'!$G140,"")</f>
        <v/>
      </c>
    </row>
    <row r="157">
      <c r="A157" s="10">
        <f>IF(139&gt;$E$5,"",SMALL($O$19:$O$4018,$E$6+139))</f>
        <v/>
      </c>
      <c r="B157" s="29">
        <f>IF(A157="","",INDEX('자료_미국심리'!$B$3:$B$4002,MATCH(A157,$O$19:$O$4018,0)))</f>
        <v/>
      </c>
      <c r="C157" s="22">
        <f>IF(A157="","",B157/AVERAGE(B33:B157)-1)</f>
        <v/>
      </c>
      <c r="D157" s="29">
        <f>IF(A157="","",IFERROR(INDEX('자료_미국심리'!$E$3:$E$4002,MATCH(A157,$P$19:$P$4018,0)),D156))</f>
        <v/>
      </c>
      <c r="E157" s="29">
        <f>IF(A157="","",IFERROR(INDEX('자료_미국심리'!$H$3:$H$4002,MATCH(A157,$Q$19:$Q$4018,0)),E156))</f>
        <v/>
      </c>
      <c r="F157">
        <f>IF(A157="",0,IF(A157&gt;$B$5,1,0))</f>
        <v/>
      </c>
      <c r="G157" s="29">
        <f>IF(AND(F157=1,ISNUMBER(D157)),D157,"")</f>
        <v/>
      </c>
      <c r="H157" s="29">
        <f>IF(AND(F157=1,ISNUMBER(E157)),E157,"")</f>
        <v/>
      </c>
      <c r="I157" s="22">
        <f>IF(AND(F157=1,ISNUMBER(C157)),C157,"")</f>
        <v/>
      </c>
      <c r="J157" s="11">
        <f>IF(G157="","",100-IF($G$13=1,50,(_xlfn.RANK.AVG(G157,$G$19:$G$1518,1)-1)/($G$13-1)*100))</f>
        <v/>
      </c>
      <c r="K157" s="11">
        <f>IF(H157="","",100-IF($G$14=1,50,(_xlfn.RANK.AVG(H157,$H$19:$H$1518,1)-1)/($G$14-1)*100))</f>
        <v/>
      </c>
      <c r="L157" s="11">
        <f>IF(I157="","",IF($G$15=1,50,(_xlfn.RANK.AVG(I157,$I$19:$I$1518,1)-1)/($G$15-1)*100))</f>
        <v/>
      </c>
      <c r="M157" s="11">
        <f>IF(COUNT(J157:L157)=3,ROUND(AVERAGE(J157:L157),6),"")</f>
        <v/>
      </c>
      <c r="O157">
        <f>IF(AND(ISNUMBER('자료_미국심리'!$A141),ISNUMBER('자료_미국심리'!$B141)),'자료_미국심리'!$A141,"")</f>
        <v/>
      </c>
      <c r="P157">
        <f>IF(AND(ISNUMBER('자료_미국심리'!$D141),ISNUMBER('자료_미국심리'!$E141)),'자료_미국심리'!$D141,"")</f>
        <v/>
      </c>
      <c r="Q157">
        <f>IF(AND(ISNUMBER('자료_미국심리'!$G141),ISNUMBER('자료_미국심리'!$H141)),'자료_미국심리'!$G141,"")</f>
        <v/>
      </c>
    </row>
    <row r="158">
      <c r="A158" s="10">
        <f>IF(140&gt;$E$5,"",SMALL($O$19:$O$4018,$E$6+140))</f>
        <v/>
      </c>
      <c r="B158" s="29">
        <f>IF(A158="","",INDEX('자료_미국심리'!$B$3:$B$4002,MATCH(A158,$O$19:$O$4018,0)))</f>
        <v/>
      </c>
      <c r="C158" s="22">
        <f>IF(A158="","",B158/AVERAGE(B34:B158)-1)</f>
        <v/>
      </c>
      <c r="D158" s="29">
        <f>IF(A158="","",IFERROR(INDEX('자료_미국심리'!$E$3:$E$4002,MATCH(A158,$P$19:$P$4018,0)),D157))</f>
        <v/>
      </c>
      <c r="E158" s="29">
        <f>IF(A158="","",IFERROR(INDEX('자료_미국심리'!$H$3:$H$4002,MATCH(A158,$Q$19:$Q$4018,0)),E157))</f>
        <v/>
      </c>
      <c r="F158">
        <f>IF(A158="",0,IF(A158&gt;$B$5,1,0))</f>
        <v/>
      </c>
      <c r="G158" s="29">
        <f>IF(AND(F158=1,ISNUMBER(D158)),D158,"")</f>
        <v/>
      </c>
      <c r="H158" s="29">
        <f>IF(AND(F158=1,ISNUMBER(E158)),E158,"")</f>
        <v/>
      </c>
      <c r="I158" s="22">
        <f>IF(AND(F158=1,ISNUMBER(C158)),C158,"")</f>
        <v/>
      </c>
      <c r="J158" s="11">
        <f>IF(G158="","",100-IF($G$13=1,50,(_xlfn.RANK.AVG(G158,$G$19:$G$1518,1)-1)/($G$13-1)*100))</f>
        <v/>
      </c>
      <c r="K158" s="11">
        <f>IF(H158="","",100-IF($G$14=1,50,(_xlfn.RANK.AVG(H158,$H$19:$H$1518,1)-1)/($G$14-1)*100))</f>
        <v/>
      </c>
      <c r="L158" s="11">
        <f>IF(I158="","",IF($G$15=1,50,(_xlfn.RANK.AVG(I158,$I$19:$I$1518,1)-1)/($G$15-1)*100))</f>
        <v/>
      </c>
      <c r="M158" s="11">
        <f>IF(COUNT(J158:L158)=3,ROUND(AVERAGE(J158:L158),6),"")</f>
        <v/>
      </c>
      <c r="O158">
        <f>IF(AND(ISNUMBER('자료_미국심리'!$A142),ISNUMBER('자료_미국심리'!$B142)),'자료_미국심리'!$A142,"")</f>
        <v/>
      </c>
      <c r="P158">
        <f>IF(AND(ISNUMBER('자료_미국심리'!$D142),ISNUMBER('자료_미국심리'!$E142)),'자료_미국심리'!$D142,"")</f>
        <v/>
      </c>
      <c r="Q158">
        <f>IF(AND(ISNUMBER('자료_미국심리'!$G142),ISNUMBER('자료_미국심리'!$H142)),'자료_미국심리'!$G142,"")</f>
        <v/>
      </c>
    </row>
    <row r="159">
      <c r="A159" s="10">
        <f>IF(141&gt;$E$5,"",SMALL($O$19:$O$4018,$E$6+141))</f>
        <v/>
      </c>
      <c r="B159" s="29">
        <f>IF(A159="","",INDEX('자료_미국심리'!$B$3:$B$4002,MATCH(A159,$O$19:$O$4018,0)))</f>
        <v/>
      </c>
      <c r="C159" s="22">
        <f>IF(A159="","",B159/AVERAGE(B35:B159)-1)</f>
        <v/>
      </c>
      <c r="D159" s="29">
        <f>IF(A159="","",IFERROR(INDEX('자료_미국심리'!$E$3:$E$4002,MATCH(A159,$P$19:$P$4018,0)),D158))</f>
        <v/>
      </c>
      <c r="E159" s="29">
        <f>IF(A159="","",IFERROR(INDEX('자료_미국심리'!$H$3:$H$4002,MATCH(A159,$Q$19:$Q$4018,0)),E158))</f>
        <v/>
      </c>
      <c r="F159">
        <f>IF(A159="",0,IF(A159&gt;$B$5,1,0))</f>
        <v/>
      </c>
      <c r="G159" s="29">
        <f>IF(AND(F159=1,ISNUMBER(D159)),D159,"")</f>
        <v/>
      </c>
      <c r="H159" s="29">
        <f>IF(AND(F159=1,ISNUMBER(E159)),E159,"")</f>
        <v/>
      </c>
      <c r="I159" s="22">
        <f>IF(AND(F159=1,ISNUMBER(C159)),C159,"")</f>
        <v/>
      </c>
      <c r="J159" s="11">
        <f>IF(G159="","",100-IF($G$13=1,50,(_xlfn.RANK.AVG(G159,$G$19:$G$1518,1)-1)/($G$13-1)*100))</f>
        <v/>
      </c>
      <c r="K159" s="11">
        <f>IF(H159="","",100-IF($G$14=1,50,(_xlfn.RANK.AVG(H159,$H$19:$H$1518,1)-1)/($G$14-1)*100))</f>
        <v/>
      </c>
      <c r="L159" s="11">
        <f>IF(I159="","",IF($G$15=1,50,(_xlfn.RANK.AVG(I159,$I$19:$I$1518,1)-1)/($G$15-1)*100))</f>
        <v/>
      </c>
      <c r="M159" s="11">
        <f>IF(COUNT(J159:L159)=3,ROUND(AVERAGE(J159:L159),6),"")</f>
        <v/>
      </c>
      <c r="O159">
        <f>IF(AND(ISNUMBER('자료_미국심리'!$A143),ISNUMBER('자료_미국심리'!$B143)),'자료_미국심리'!$A143,"")</f>
        <v/>
      </c>
      <c r="P159">
        <f>IF(AND(ISNUMBER('자료_미국심리'!$D143),ISNUMBER('자료_미국심리'!$E143)),'자료_미국심리'!$D143,"")</f>
        <v/>
      </c>
      <c r="Q159">
        <f>IF(AND(ISNUMBER('자료_미국심리'!$G143),ISNUMBER('자료_미국심리'!$H143)),'자료_미국심리'!$G143,"")</f>
        <v/>
      </c>
    </row>
    <row r="160">
      <c r="A160" s="10">
        <f>IF(142&gt;$E$5,"",SMALL($O$19:$O$4018,$E$6+142))</f>
        <v/>
      </c>
      <c r="B160" s="29">
        <f>IF(A160="","",INDEX('자료_미국심리'!$B$3:$B$4002,MATCH(A160,$O$19:$O$4018,0)))</f>
        <v/>
      </c>
      <c r="C160" s="22">
        <f>IF(A160="","",B160/AVERAGE(B36:B160)-1)</f>
        <v/>
      </c>
      <c r="D160" s="29">
        <f>IF(A160="","",IFERROR(INDEX('자료_미국심리'!$E$3:$E$4002,MATCH(A160,$P$19:$P$4018,0)),D159))</f>
        <v/>
      </c>
      <c r="E160" s="29">
        <f>IF(A160="","",IFERROR(INDEX('자료_미국심리'!$H$3:$H$4002,MATCH(A160,$Q$19:$Q$4018,0)),E159))</f>
        <v/>
      </c>
      <c r="F160">
        <f>IF(A160="",0,IF(A160&gt;$B$5,1,0))</f>
        <v/>
      </c>
      <c r="G160" s="29">
        <f>IF(AND(F160=1,ISNUMBER(D160)),D160,"")</f>
        <v/>
      </c>
      <c r="H160" s="29">
        <f>IF(AND(F160=1,ISNUMBER(E160)),E160,"")</f>
        <v/>
      </c>
      <c r="I160" s="22">
        <f>IF(AND(F160=1,ISNUMBER(C160)),C160,"")</f>
        <v/>
      </c>
      <c r="J160" s="11">
        <f>IF(G160="","",100-IF($G$13=1,50,(_xlfn.RANK.AVG(G160,$G$19:$G$1518,1)-1)/($G$13-1)*100))</f>
        <v/>
      </c>
      <c r="K160" s="11">
        <f>IF(H160="","",100-IF($G$14=1,50,(_xlfn.RANK.AVG(H160,$H$19:$H$1518,1)-1)/($G$14-1)*100))</f>
        <v/>
      </c>
      <c r="L160" s="11">
        <f>IF(I160="","",IF($G$15=1,50,(_xlfn.RANK.AVG(I160,$I$19:$I$1518,1)-1)/($G$15-1)*100))</f>
        <v/>
      </c>
      <c r="M160" s="11">
        <f>IF(COUNT(J160:L160)=3,ROUND(AVERAGE(J160:L160),6),"")</f>
        <v/>
      </c>
      <c r="O160">
        <f>IF(AND(ISNUMBER('자료_미국심리'!$A144),ISNUMBER('자료_미국심리'!$B144)),'자료_미국심리'!$A144,"")</f>
        <v/>
      </c>
      <c r="P160">
        <f>IF(AND(ISNUMBER('자료_미국심리'!$D144),ISNUMBER('자료_미국심리'!$E144)),'자료_미국심리'!$D144,"")</f>
        <v/>
      </c>
      <c r="Q160">
        <f>IF(AND(ISNUMBER('자료_미국심리'!$G144),ISNUMBER('자료_미국심리'!$H144)),'자료_미국심리'!$G144,"")</f>
        <v/>
      </c>
    </row>
    <row r="161">
      <c r="A161" s="10">
        <f>IF(143&gt;$E$5,"",SMALL($O$19:$O$4018,$E$6+143))</f>
        <v/>
      </c>
      <c r="B161" s="29">
        <f>IF(A161="","",INDEX('자료_미국심리'!$B$3:$B$4002,MATCH(A161,$O$19:$O$4018,0)))</f>
        <v/>
      </c>
      <c r="C161" s="22">
        <f>IF(A161="","",B161/AVERAGE(B37:B161)-1)</f>
        <v/>
      </c>
      <c r="D161" s="29">
        <f>IF(A161="","",IFERROR(INDEX('자료_미국심리'!$E$3:$E$4002,MATCH(A161,$P$19:$P$4018,0)),D160))</f>
        <v/>
      </c>
      <c r="E161" s="29">
        <f>IF(A161="","",IFERROR(INDEX('자료_미국심리'!$H$3:$H$4002,MATCH(A161,$Q$19:$Q$4018,0)),E160))</f>
        <v/>
      </c>
      <c r="F161">
        <f>IF(A161="",0,IF(A161&gt;$B$5,1,0))</f>
        <v/>
      </c>
      <c r="G161" s="29">
        <f>IF(AND(F161=1,ISNUMBER(D161)),D161,"")</f>
        <v/>
      </c>
      <c r="H161" s="29">
        <f>IF(AND(F161=1,ISNUMBER(E161)),E161,"")</f>
        <v/>
      </c>
      <c r="I161" s="22">
        <f>IF(AND(F161=1,ISNUMBER(C161)),C161,"")</f>
        <v/>
      </c>
      <c r="J161" s="11">
        <f>IF(G161="","",100-IF($G$13=1,50,(_xlfn.RANK.AVG(G161,$G$19:$G$1518,1)-1)/($G$13-1)*100))</f>
        <v/>
      </c>
      <c r="K161" s="11">
        <f>IF(H161="","",100-IF($G$14=1,50,(_xlfn.RANK.AVG(H161,$H$19:$H$1518,1)-1)/($G$14-1)*100))</f>
        <v/>
      </c>
      <c r="L161" s="11">
        <f>IF(I161="","",IF($G$15=1,50,(_xlfn.RANK.AVG(I161,$I$19:$I$1518,1)-1)/($G$15-1)*100))</f>
        <v/>
      </c>
      <c r="M161" s="11">
        <f>IF(COUNT(J161:L161)=3,ROUND(AVERAGE(J161:L161),6),"")</f>
        <v/>
      </c>
      <c r="O161">
        <f>IF(AND(ISNUMBER('자료_미국심리'!$A145),ISNUMBER('자료_미국심리'!$B145)),'자료_미국심리'!$A145,"")</f>
        <v/>
      </c>
      <c r="P161">
        <f>IF(AND(ISNUMBER('자료_미국심리'!$D145),ISNUMBER('자료_미국심리'!$E145)),'자료_미국심리'!$D145,"")</f>
        <v/>
      </c>
      <c r="Q161">
        <f>IF(AND(ISNUMBER('자료_미국심리'!$G145),ISNUMBER('자료_미국심리'!$H145)),'자료_미국심리'!$G145,"")</f>
        <v/>
      </c>
    </row>
    <row r="162">
      <c r="A162" s="10">
        <f>IF(144&gt;$E$5,"",SMALL($O$19:$O$4018,$E$6+144))</f>
        <v/>
      </c>
      <c r="B162" s="29">
        <f>IF(A162="","",INDEX('자료_미국심리'!$B$3:$B$4002,MATCH(A162,$O$19:$O$4018,0)))</f>
        <v/>
      </c>
      <c r="C162" s="22">
        <f>IF(A162="","",B162/AVERAGE(B38:B162)-1)</f>
        <v/>
      </c>
      <c r="D162" s="29">
        <f>IF(A162="","",IFERROR(INDEX('자료_미국심리'!$E$3:$E$4002,MATCH(A162,$P$19:$P$4018,0)),D161))</f>
        <v/>
      </c>
      <c r="E162" s="29">
        <f>IF(A162="","",IFERROR(INDEX('자료_미국심리'!$H$3:$H$4002,MATCH(A162,$Q$19:$Q$4018,0)),E161))</f>
        <v/>
      </c>
      <c r="F162">
        <f>IF(A162="",0,IF(A162&gt;$B$5,1,0))</f>
        <v/>
      </c>
      <c r="G162" s="29">
        <f>IF(AND(F162=1,ISNUMBER(D162)),D162,"")</f>
        <v/>
      </c>
      <c r="H162" s="29">
        <f>IF(AND(F162=1,ISNUMBER(E162)),E162,"")</f>
        <v/>
      </c>
      <c r="I162" s="22">
        <f>IF(AND(F162=1,ISNUMBER(C162)),C162,"")</f>
        <v/>
      </c>
      <c r="J162" s="11">
        <f>IF(G162="","",100-IF($G$13=1,50,(_xlfn.RANK.AVG(G162,$G$19:$G$1518,1)-1)/($G$13-1)*100))</f>
        <v/>
      </c>
      <c r="K162" s="11">
        <f>IF(H162="","",100-IF($G$14=1,50,(_xlfn.RANK.AVG(H162,$H$19:$H$1518,1)-1)/($G$14-1)*100))</f>
        <v/>
      </c>
      <c r="L162" s="11">
        <f>IF(I162="","",IF($G$15=1,50,(_xlfn.RANK.AVG(I162,$I$19:$I$1518,1)-1)/($G$15-1)*100))</f>
        <v/>
      </c>
      <c r="M162" s="11">
        <f>IF(COUNT(J162:L162)=3,ROUND(AVERAGE(J162:L162),6),"")</f>
        <v/>
      </c>
      <c r="O162">
        <f>IF(AND(ISNUMBER('자료_미국심리'!$A146),ISNUMBER('자료_미국심리'!$B146)),'자료_미국심리'!$A146,"")</f>
        <v/>
      </c>
      <c r="P162">
        <f>IF(AND(ISNUMBER('자료_미국심리'!$D146),ISNUMBER('자료_미국심리'!$E146)),'자료_미국심리'!$D146,"")</f>
        <v/>
      </c>
      <c r="Q162">
        <f>IF(AND(ISNUMBER('자료_미국심리'!$G146),ISNUMBER('자료_미국심리'!$H146)),'자료_미국심리'!$G146,"")</f>
        <v/>
      </c>
    </row>
    <row r="163">
      <c r="A163" s="10">
        <f>IF(145&gt;$E$5,"",SMALL($O$19:$O$4018,$E$6+145))</f>
        <v/>
      </c>
      <c r="B163" s="29">
        <f>IF(A163="","",INDEX('자료_미국심리'!$B$3:$B$4002,MATCH(A163,$O$19:$O$4018,0)))</f>
        <v/>
      </c>
      <c r="C163" s="22">
        <f>IF(A163="","",B163/AVERAGE(B39:B163)-1)</f>
        <v/>
      </c>
      <c r="D163" s="29">
        <f>IF(A163="","",IFERROR(INDEX('자료_미국심리'!$E$3:$E$4002,MATCH(A163,$P$19:$P$4018,0)),D162))</f>
        <v/>
      </c>
      <c r="E163" s="29">
        <f>IF(A163="","",IFERROR(INDEX('자료_미국심리'!$H$3:$H$4002,MATCH(A163,$Q$19:$Q$4018,0)),E162))</f>
        <v/>
      </c>
      <c r="F163">
        <f>IF(A163="",0,IF(A163&gt;$B$5,1,0))</f>
        <v/>
      </c>
      <c r="G163" s="29">
        <f>IF(AND(F163=1,ISNUMBER(D163)),D163,"")</f>
        <v/>
      </c>
      <c r="H163" s="29">
        <f>IF(AND(F163=1,ISNUMBER(E163)),E163,"")</f>
        <v/>
      </c>
      <c r="I163" s="22">
        <f>IF(AND(F163=1,ISNUMBER(C163)),C163,"")</f>
        <v/>
      </c>
      <c r="J163" s="11">
        <f>IF(G163="","",100-IF($G$13=1,50,(_xlfn.RANK.AVG(G163,$G$19:$G$1518,1)-1)/($G$13-1)*100))</f>
        <v/>
      </c>
      <c r="K163" s="11">
        <f>IF(H163="","",100-IF($G$14=1,50,(_xlfn.RANK.AVG(H163,$H$19:$H$1518,1)-1)/($G$14-1)*100))</f>
        <v/>
      </c>
      <c r="L163" s="11">
        <f>IF(I163="","",IF($G$15=1,50,(_xlfn.RANK.AVG(I163,$I$19:$I$1518,1)-1)/($G$15-1)*100))</f>
        <v/>
      </c>
      <c r="M163" s="11">
        <f>IF(COUNT(J163:L163)=3,ROUND(AVERAGE(J163:L163),6),"")</f>
        <v/>
      </c>
      <c r="O163">
        <f>IF(AND(ISNUMBER('자료_미국심리'!$A147),ISNUMBER('자료_미국심리'!$B147)),'자료_미국심리'!$A147,"")</f>
        <v/>
      </c>
      <c r="P163">
        <f>IF(AND(ISNUMBER('자료_미국심리'!$D147),ISNUMBER('자료_미국심리'!$E147)),'자료_미국심리'!$D147,"")</f>
        <v/>
      </c>
      <c r="Q163">
        <f>IF(AND(ISNUMBER('자료_미국심리'!$G147),ISNUMBER('자료_미국심리'!$H147)),'자료_미국심리'!$G147,"")</f>
        <v/>
      </c>
    </row>
    <row r="164">
      <c r="A164" s="10">
        <f>IF(146&gt;$E$5,"",SMALL($O$19:$O$4018,$E$6+146))</f>
        <v/>
      </c>
      <c r="B164" s="29">
        <f>IF(A164="","",INDEX('자료_미국심리'!$B$3:$B$4002,MATCH(A164,$O$19:$O$4018,0)))</f>
        <v/>
      </c>
      <c r="C164" s="22">
        <f>IF(A164="","",B164/AVERAGE(B40:B164)-1)</f>
        <v/>
      </c>
      <c r="D164" s="29">
        <f>IF(A164="","",IFERROR(INDEX('자료_미국심리'!$E$3:$E$4002,MATCH(A164,$P$19:$P$4018,0)),D163))</f>
        <v/>
      </c>
      <c r="E164" s="29">
        <f>IF(A164="","",IFERROR(INDEX('자료_미국심리'!$H$3:$H$4002,MATCH(A164,$Q$19:$Q$4018,0)),E163))</f>
        <v/>
      </c>
      <c r="F164">
        <f>IF(A164="",0,IF(A164&gt;$B$5,1,0))</f>
        <v/>
      </c>
      <c r="G164" s="29">
        <f>IF(AND(F164=1,ISNUMBER(D164)),D164,"")</f>
        <v/>
      </c>
      <c r="H164" s="29">
        <f>IF(AND(F164=1,ISNUMBER(E164)),E164,"")</f>
        <v/>
      </c>
      <c r="I164" s="22">
        <f>IF(AND(F164=1,ISNUMBER(C164)),C164,"")</f>
        <v/>
      </c>
      <c r="J164" s="11">
        <f>IF(G164="","",100-IF($G$13=1,50,(_xlfn.RANK.AVG(G164,$G$19:$G$1518,1)-1)/($G$13-1)*100))</f>
        <v/>
      </c>
      <c r="K164" s="11">
        <f>IF(H164="","",100-IF($G$14=1,50,(_xlfn.RANK.AVG(H164,$H$19:$H$1518,1)-1)/($G$14-1)*100))</f>
        <v/>
      </c>
      <c r="L164" s="11">
        <f>IF(I164="","",IF($G$15=1,50,(_xlfn.RANK.AVG(I164,$I$19:$I$1518,1)-1)/($G$15-1)*100))</f>
        <v/>
      </c>
      <c r="M164" s="11">
        <f>IF(COUNT(J164:L164)=3,ROUND(AVERAGE(J164:L164),6),"")</f>
        <v/>
      </c>
      <c r="O164">
        <f>IF(AND(ISNUMBER('자료_미국심리'!$A148),ISNUMBER('자료_미국심리'!$B148)),'자료_미국심리'!$A148,"")</f>
        <v/>
      </c>
      <c r="P164">
        <f>IF(AND(ISNUMBER('자료_미국심리'!$D148),ISNUMBER('자료_미국심리'!$E148)),'자료_미국심리'!$D148,"")</f>
        <v/>
      </c>
      <c r="Q164">
        <f>IF(AND(ISNUMBER('자료_미국심리'!$G148),ISNUMBER('자료_미국심리'!$H148)),'자료_미국심리'!$G148,"")</f>
        <v/>
      </c>
    </row>
    <row r="165">
      <c r="A165" s="10">
        <f>IF(147&gt;$E$5,"",SMALL($O$19:$O$4018,$E$6+147))</f>
        <v/>
      </c>
      <c r="B165" s="29">
        <f>IF(A165="","",INDEX('자료_미국심리'!$B$3:$B$4002,MATCH(A165,$O$19:$O$4018,0)))</f>
        <v/>
      </c>
      <c r="C165" s="22">
        <f>IF(A165="","",B165/AVERAGE(B41:B165)-1)</f>
        <v/>
      </c>
      <c r="D165" s="29">
        <f>IF(A165="","",IFERROR(INDEX('자료_미국심리'!$E$3:$E$4002,MATCH(A165,$P$19:$P$4018,0)),D164))</f>
        <v/>
      </c>
      <c r="E165" s="29">
        <f>IF(A165="","",IFERROR(INDEX('자료_미국심리'!$H$3:$H$4002,MATCH(A165,$Q$19:$Q$4018,0)),E164))</f>
        <v/>
      </c>
      <c r="F165">
        <f>IF(A165="",0,IF(A165&gt;$B$5,1,0))</f>
        <v/>
      </c>
      <c r="G165" s="29">
        <f>IF(AND(F165=1,ISNUMBER(D165)),D165,"")</f>
        <v/>
      </c>
      <c r="H165" s="29">
        <f>IF(AND(F165=1,ISNUMBER(E165)),E165,"")</f>
        <v/>
      </c>
      <c r="I165" s="22">
        <f>IF(AND(F165=1,ISNUMBER(C165)),C165,"")</f>
        <v/>
      </c>
      <c r="J165" s="11">
        <f>IF(G165="","",100-IF($G$13=1,50,(_xlfn.RANK.AVG(G165,$G$19:$G$1518,1)-1)/($G$13-1)*100))</f>
        <v/>
      </c>
      <c r="K165" s="11">
        <f>IF(H165="","",100-IF($G$14=1,50,(_xlfn.RANK.AVG(H165,$H$19:$H$1518,1)-1)/($G$14-1)*100))</f>
        <v/>
      </c>
      <c r="L165" s="11">
        <f>IF(I165="","",IF($G$15=1,50,(_xlfn.RANK.AVG(I165,$I$19:$I$1518,1)-1)/($G$15-1)*100))</f>
        <v/>
      </c>
      <c r="M165" s="11">
        <f>IF(COUNT(J165:L165)=3,ROUND(AVERAGE(J165:L165),6),"")</f>
        <v/>
      </c>
      <c r="O165">
        <f>IF(AND(ISNUMBER('자료_미국심리'!$A149),ISNUMBER('자료_미국심리'!$B149)),'자료_미국심리'!$A149,"")</f>
        <v/>
      </c>
      <c r="P165">
        <f>IF(AND(ISNUMBER('자료_미국심리'!$D149),ISNUMBER('자료_미국심리'!$E149)),'자료_미국심리'!$D149,"")</f>
        <v/>
      </c>
      <c r="Q165">
        <f>IF(AND(ISNUMBER('자료_미국심리'!$G149),ISNUMBER('자료_미국심리'!$H149)),'자료_미국심리'!$G149,"")</f>
        <v/>
      </c>
    </row>
    <row r="166">
      <c r="A166" s="10">
        <f>IF(148&gt;$E$5,"",SMALL($O$19:$O$4018,$E$6+148))</f>
        <v/>
      </c>
      <c r="B166" s="29">
        <f>IF(A166="","",INDEX('자료_미국심리'!$B$3:$B$4002,MATCH(A166,$O$19:$O$4018,0)))</f>
        <v/>
      </c>
      <c r="C166" s="22">
        <f>IF(A166="","",B166/AVERAGE(B42:B166)-1)</f>
        <v/>
      </c>
      <c r="D166" s="29">
        <f>IF(A166="","",IFERROR(INDEX('자료_미국심리'!$E$3:$E$4002,MATCH(A166,$P$19:$P$4018,0)),D165))</f>
        <v/>
      </c>
      <c r="E166" s="29">
        <f>IF(A166="","",IFERROR(INDEX('자료_미국심리'!$H$3:$H$4002,MATCH(A166,$Q$19:$Q$4018,0)),E165))</f>
        <v/>
      </c>
      <c r="F166">
        <f>IF(A166="",0,IF(A166&gt;$B$5,1,0))</f>
        <v/>
      </c>
      <c r="G166" s="29">
        <f>IF(AND(F166=1,ISNUMBER(D166)),D166,"")</f>
        <v/>
      </c>
      <c r="H166" s="29">
        <f>IF(AND(F166=1,ISNUMBER(E166)),E166,"")</f>
        <v/>
      </c>
      <c r="I166" s="22">
        <f>IF(AND(F166=1,ISNUMBER(C166)),C166,"")</f>
        <v/>
      </c>
      <c r="J166" s="11">
        <f>IF(G166="","",100-IF($G$13=1,50,(_xlfn.RANK.AVG(G166,$G$19:$G$1518,1)-1)/($G$13-1)*100))</f>
        <v/>
      </c>
      <c r="K166" s="11">
        <f>IF(H166="","",100-IF($G$14=1,50,(_xlfn.RANK.AVG(H166,$H$19:$H$1518,1)-1)/($G$14-1)*100))</f>
        <v/>
      </c>
      <c r="L166" s="11">
        <f>IF(I166="","",IF($G$15=1,50,(_xlfn.RANK.AVG(I166,$I$19:$I$1518,1)-1)/($G$15-1)*100))</f>
        <v/>
      </c>
      <c r="M166" s="11">
        <f>IF(COUNT(J166:L166)=3,ROUND(AVERAGE(J166:L166),6),"")</f>
        <v/>
      </c>
      <c r="O166">
        <f>IF(AND(ISNUMBER('자료_미국심리'!$A150),ISNUMBER('자료_미국심리'!$B150)),'자료_미국심리'!$A150,"")</f>
        <v/>
      </c>
      <c r="P166">
        <f>IF(AND(ISNUMBER('자료_미국심리'!$D150),ISNUMBER('자료_미국심리'!$E150)),'자료_미국심리'!$D150,"")</f>
        <v/>
      </c>
      <c r="Q166">
        <f>IF(AND(ISNUMBER('자료_미국심리'!$G150),ISNUMBER('자료_미국심리'!$H150)),'자료_미국심리'!$G150,"")</f>
        <v/>
      </c>
    </row>
    <row r="167">
      <c r="A167" s="10">
        <f>IF(149&gt;$E$5,"",SMALL($O$19:$O$4018,$E$6+149))</f>
        <v/>
      </c>
      <c r="B167" s="29">
        <f>IF(A167="","",INDEX('자료_미국심리'!$B$3:$B$4002,MATCH(A167,$O$19:$O$4018,0)))</f>
        <v/>
      </c>
      <c r="C167" s="22">
        <f>IF(A167="","",B167/AVERAGE(B43:B167)-1)</f>
        <v/>
      </c>
      <c r="D167" s="29">
        <f>IF(A167="","",IFERROR(INDEX('자료_미국심리'!$E$3:$E$4002,MATCH(A167,$P$19:$P$4018,0)),D166))</f>
        <v/>
      </c>
      <c r="E167" s="29">
        <f>IF(A167="","",IFERROR(INDEX('자료_미국심리'!$H$3:$H$4002,MATCH(A167,$Q$19:$Q$4018,0)),E166))</f>
        <v/>
      </c>
      <c r="F167">
        <f>IF(A167="",0,IF(A167&gt;$B$5,1,0))</f>
        <v/>
      </c>
      <c r="G167" s="29">
        <f>IF(AND(F167=1,ISNUMBER(D167)),D167,"")</f>
        <v/>
      </c>
      <c r="H167" s="29">
        <f>IF(AND(F167=1,ISNUMBER(E167)),E167,"")</f>
        <v/>
      </c>
      <c r="I167" s="22">
        <f>IF(AND(F167=1,ISNUMBER(C167)),C167,"")</f>
        <v/>
      </c>
      <c r="J167" s="11">
        <f>IF(G167="","",100-IF($G$13=1,50,(_xlfn.RANK.AVG(G167,$G$19:$G$1518,1)-1)/($G$13-1)*100))</f>
        <v/>
      </c>
      <c r="K167" s="11">
        <f>IF(H167="","",100-IF($G$14=1,50,(_xlfn.RANK.AVG(H167,$H$19:$H$1518,1)-1)/($G$14-1)*100))</f>
        <v/>
      </c>
      <c r="L167" s="11">
        <f>IF(I167="","",IF($G$15=1,50,(_xlfn.RANK.AVG(I167,$I$19:$I$1518,1)-1)/($G$15-1)*100))</f>
        <v/>
      </c>
      <c r="M167" s="11">
        <f>IF(COUNT(J167:L167)=3,ROUND(AVERAGE(J167:L167),6),"")</f>
        <v/>
      </c>
      <c r="O167">
        <f>IF(AND(ISNUMBER('자료_미국심리'!$A151),ISNUMBER('자료_미국심리'!$B151)),'자료_미국심리'!$A151,"")</f>
        <v/>
      </c>
      <c r="P167">
        <f>IF(AND(ISNUMBER('자료_미국심리'!$D151),ISNUMBER('자료_미국심리'!$E151)),'자료_미국심리'!$D151,"")</f>
        <v/>
      </c>
      <c r="Q167">
        <f>IF(AND(ISNUMBER('자료_미국심리'!$G151),ISNUMBER('자료_미국심리'!$H151)),'자료_미국심리'!$G151,"")</f>
        <v/>
      </c>
    </row>
    <row r="168">
      <c r="A168" s="10">
        <f>IF(150&gt;$E$5,"",SMALL($O$19:$O$4018,$E$6+150))</f>
        <v/>
      </c>
      <c r="B168" s="29">
        <f>IF(A168="","",INDEX('자료_미국심리'!$B$3:$B$4002,MATCH(A168,$O$19:$O$4018,0)))</f>
        <v/>
      </c>
      <c r="C168" s="22">
        <f>IF(A168="","",B168/AVERAGE(B44:B168)-1)</f>
        <v/>
      </c>
      <c r="D168" s="29">
        <f>IF(A168="","",IFERROR(INDEX('자료_미국심리'!$E$3:$E$4002,MATCH(A168,$P$19:$P$4018,0)),D167))</f>
        <v/>
      </c>
      <c r="E168" s="29">
        <f>IF(A168="","",IFERROR(INDEX('자료_미국심리'!$H$3:$H$4002,MATCH(A168,$Q$19:$Q$4018,0)),E167))</f>
        <v/>
      </c>
      <c r="F168">
        <f>IF(A168="",0,IF(A168&gt;$B$5,1,0))</f>
        <v/>
      </c>
      <c r="G168" s="29">
        <f>IF(AND(F168=1,ISNUMBER(D168)),D168,"")</f>
        <v/>
      </c>
      <c r="H168" s="29">
        <f>IF(AND(F168=1,ISNUMBER(E168)),E168,"")</f>
        <v/>
      </c>
      <c r="I168" s="22">
        <f>IF(AND(F168=1,ISNUMBER(C168)),C168,"")</f>
        <v/>
      </c>
      <c r="J168" s="11">
        <f>IF(G168="","",100-IF($G$13=1,50,(_xlfn.RANK.AVG(G168,$G$19:$G$1518,1)-1)/($G$13-1)*100))</f>
        <v/>
      </c>
      <c r="K168" s="11">
        <f>IF(H168="","",100-IF($G$14=1,50,(_xlfn.RANK.AVG(H168,$H$19:$H$1518,1)-1)/($G$14-1)*100))</f>
        <v/>
      </c>
      <c r="L168" s="11">
        <f>IF(I168="","",IF($G$15=1,50,(_xlfn.RANK.AVG(I168,$I$19:$I$1518,1)-1)/($G$15-1)*100))</f>
        <v/>
      </c>
      <c r="M168" s="11">
        <f>IF(COUNT(J168:L168)=3,ROUND(AVERAGE(J168:L168),6),"")</f>
        <v/>
      </c>
      <c r="O168">
        <f>IF(AND(ISNUMBER('자료_미국심리'!$A152),ISNUMBER('자료_미국심리'!$B152)),'자료_미국심리'!$A152,"")</f>
        <v/>
      </c>
      <c r="P168">
        <f>IF(AND(ISNUMBER('자료_미국심리'!$D152),ISNUMBER('자료_미국심리'!$E152)),'자료_미국심리'!$D152,"")</f>
        <v/>
      </c>
      <c r="Q168">
        <f>IF(AND(ISNUMBER('자료_미국심리'!$G152),ISNUMBER('자료_미국심리'!$H152)),'자료_미국심리'!$G152,"")</f>
        <v/>
      </c>
    </row>
    <row r="169">
      <c r="A169" s="10">
        <f>IF(151&gt;$E$5,"",SMALL($O$19:$O$4018,$E$6+151))</f>
        <v/>
      </c>
      <c r="B169" s="29">
        <f>IF(A169="","",INDEX('자료_미국심리'!$B$3:$B$4002,MATCH(A169,$O$19:$O$4018,0)))</f>
        <v/>
      </c>
      <c r="C169" s="22">
        <f>IF(A169="","",B169/AVERAGE(B45:B169)-1)</f>
        <v/>
      </c>
      <c r="D169" s="29">
        <f>IF(A169="","",IFERROR(INDEX('자료_미국심리'!$E$3:$E$4002,MATCH(A169,$P$19:$P$4018,0)),D168))</f>
        <v/>
      </c>
      <c r="E169" s="29">
        <f>IF(A169="","",IFERROR(INDEX('자료_미국심리'!$H$3:$H$4002,MATCH(A169,$Q$19:$Q$4018,0)),E168))</f>
        <v/>
      </c>
      <c r="F169">
        <f>IF(A169="",0,IF(A169&gt;$B$5,1,0))</f>
        <v/>
      </c>
      <c r="G169" s="29">
        <f>IF(AND(F169=1,ISNUMBER(D169)),D169,"")</f>
        <v/>
      </c>
      <c r="H169" s="29">
        <f>IF(AND(F169=1,ISNUMBER(E169)),E169,"")</f>
        <v/>
      </c>
      <c r="I169" s="22">
        <f>IF(AND(F169=1,ISNUMBER(C169)),C169,"")</f>
        <v/>
      </c>
      <c r="J169" s="11">
        <f>IF(G169="","",100-IF($G$13=1,50,(_xlfn.RANK.AVG(G169,$G$19:$G$1518,1)-1)/($G$13-1)*100))</f>
        <v/>
      </c>
      <c r="K169" s="11">
        <f>IF(H169="","",100-IF($G$14=1,50,(_xlfn.RANK.AVG(H169,$H$19:$H$1518,1)-1)/($G$14-1)*100))</f>
        <v/>
      </c>
      <c r="L169" s="11">
        <f>IF(I169="","",IF($G$15=1,50,(_xlfn.RANK.AVG(I169,$I$19:$I$1518,1)-1)/($G$15-1)*100))</f>
        <v/>
      </c>
      <c r="M169" s="11">
        <f>IF(COUNT(J169:L169)=3,ROUND(AVERAGE(J169:L169),6),"")</f>
        <v/>
      </c>
      <c r="O169">
        <f>IF(AND(ISNUMBER('자료_미국심리'!$A153),ISNUMBER('자료_미국심리'!$B153)),'자료_미국심리'!$A153,"")</f>
        <v/>
      </c>
      <c r="P169">
        <f>IF(AND(ISNUMBER('자료_미국심리'!$D153),ISNUMBER('자료_미국심리'!$E153)),'자료_미국심리'!$D153,"")</f>
        <v/>
      </c>
      <c r="Q169">
        <f>IF(AND(ISNUMBER('자료_미국심리'!$G153),ISNUMBER('자료_미국심리'!$H153)),'자료_미국심리'!$G153,"")</f>
        <v/>
      </c>
    </row>
    <row r="170">
      <c r="A170" s="10">
        <f>IF(152&gt;$E$5,"",SMALL($O$19:$O$4018,$E$6+152))</f>
        <v/>
      </c>
      <c r="B170" s="29">
        <f>IF(A170="","",INDEX('자료_미국심리'!$B$3:$B$4002,MATCH(A170,$O$19:$O$4018,0)))</f>
        <v/>
      </c>
      <c r="C170" s="22">
        <f>IF(A170="","",B170/AVERAGE(B46:B170)-1)</f>
        <v/>
      </c>
      <c r="D170" s="29">
        <f>IF(A170="","",IFERROR(INDEX('자료_미국심리'!$E$3:$E$4002,MATCH(A170,$P$19:$P$4018,0)),D169))</f>
        <v/>
      </c>
      <c r="E170" s="29">
        <f>IF(A170="","",IFERROR(INDEX('자료_미국심리'!$H$3:$H$4002,MATCH(A170,$Q$19:$Q$4018,0)),E169))</f>
        <v/>
      </c>
      <c r="F170">
        <f>IF(A170="",0,IF(A170&gt;$B$5,1,0))</f>
        <v/>
      </c>
      <c r="G170" s="29">
        <f>IF(AND(F170=1,ISNUMBER(D170)),D170,"")</f>
        <v/>
      </c>
      <c r="H170" s="29">
        <f>IF(AND(F170=1,ISNUMBER(E170)),E170,"")</f>
        <v/>
      </c>
      <c r="I170" s="22">
        <f>IF(AND(F170=1,ISNUMBER(C170)),C170,"")</f>
        <v/>
      </c>
      <c r="J170" s="11">
        <f>IF(G170="","",100-IF($G$13=1,50,(_xlfn.RANK.AVG(G170,$G$19:$G$1518,1)-1)/($G$13-1)*100))</f>
        <v/>
      </c>
      <c r="K170" s="11">
        <f>IF(H170="","",100-IF($G$14=1,50,(_xlfn.RANK.AVG(H170,$H$19:$H$1518,1)-1)/($G$14-1)*100))</f>
        <v/>
      </c>
      <c r="L170" s="11">
        <f>IF(I170="","",IF($G$15=1,50,(_xlfn.RANK.AVG(I170,$I$19:$I$1518,1)-1)/($G$15-1)*100))</f>
        <v/>
      </c>
      <c r="M170" s="11">
        <f>IF(COUNT(J170:L170)=3,ROUND(AVERAGE(J170:L170),6),"")</f>
        <v/>
      </c>
      <c r="O170">
        <f>IF(AND(ISNUMBER('자료_미국심리'!$A154),ISNUMBER('자료_미국심리'!$B154)),'자료_미국심리'!$A154,"")</f>
        <v/>
      </c>
      <c r="P170">
        <f>IF(AND(ISNUMBER('자료_미국심리'!$D154),ISNUMBER('자료_미국심리'!$E154)),'자료_미국심리'!$D154,"")</f>
        <v/>
      </c>
      <c r="Q170">
        <f>IF(AND(ISNUMBER('자료_미국심리'!$G154),ISNUMBER('자료_미국심리'!$H154)),'자료_미국심리'!$G154,"")</f>
        <v/>
      </c>
    </row>
    <row r="171">
      <c r="A171" s="10">
        <f>IF(153&gt;$E$5,"",SMALL($O$19:$O$4018,$E$6+153))</f>
        <v/>
      </c>
      <c r="B171" s="29">
        <f>IF(A171="","",INDEX('자료_미국심리'!$B$3:$B$4002,MATCH(A171,$O$19:$O$4018,0)))</f>
        <v/>
      </c>
      <c r="C171" s="22">
        <f>IF(A171="","",B171/AVERAGE(B47:B171)-1)</f>
        <v/>
      </c>
      <c r="D171" s="29">
        <f>IF(A171="","",IFERROR(INDEX('자료_미국심리'!$E$3:$E$4002,MATCH(A171,$P$19:$P$4018,0)),D170))</f>
        <v/>
      </c>
      <c r="E171" s="29">
        <f>IF(A171="","",IFERROR(INDEX('자료_미국심리'!$H$3:$H$4002,MATCH(A171,$Q$19:$Q$4018,0)),E170))</f>
        <v/>
      </c>
      <c r="F171">
        <f>IF(A171="",0,IF(A171&gt;$B$5,1,0))</f>
        <v/>
      </c>
      <c r="G171" s="29">
        <f>IF(AND(F171=1,ISNUMBER(D171)),D171,"")</f>
        <v/>
      </c>
      <c r="H171" s="29">
        <f>IF(AND(F171=1,ISNUMBER(E171)),E171,"")</f>
        <v/>
      </c>
      <c r="I171" s="22">
        <f>IF(AND(F171=1,ISNUMBER(C171)),C171,"")</f>
        <v/>
      </c>
      <c r="J171" s="11">
        <f>IF(G171="","",100-IF($G$13=1,50,(_xlfn.RANK.AVG(G171,$G$19:$G$1518,1)-1)/($G$13-1)*100))</f>
        <v/>
      </c>
      <c r="K171" s="11">
        <f>IF(H171="","",100-IF($G$14=1,50,(_xlfn.RANK.AVG(H171,$H$19:$H$1518,1)-1)/($G$14-1)*100))</f>
        <v/>
      </c>
      <c r="L171" s="11">
        <f>IF(I171="","",IF($G$15=1,50,(_xlfn.RANK.AVG(I171,$I$19:$I$1518,1)-1)/($G$15-1)*100))</f>
        <v/>
      </c>
      <c r="M171" s="11">
        <f>IF(COUNT(J171:L171)=3,ROUND(AVERAGE(J171:L171),6),"")</f>
        <v/>
      </c>
      <c r="O171">
        <f>IF(AND(ISNUMBER('자료_미국심리'!$A155),ISNUMBER('자료_미국심리'!$B155)),'자료_미국심리'!$A155,"")</f>
        <v/>
      </c>
      <c r="P171">
        <f>IF(AND(ISNUMBER('자료_미국심리'!$D155),ISNUMBER('자료_미국심리'!$E155)),'자료_미국심리'!$D155,"")</f>
        <v/>
      </c>
      <c r="Q171">
        <f>IF(AND(ISNUMBER('자료_미국심리'!$G155),ISNUMBER('자료_미국심리'!$H155)),'자료_미국심리'!$G155,"")</f>
        <v/>
      </c>
    </row>
    <row r="172">
      <c r="A172" s="10">
        <f>IF(154&gt;$E$5,"",SMALL($O$19:$O$4018,$E$6+154))</f>
        <v/>
      </c>
      <c r="B172" s="29">
        <f>IF(A172="","",INDEX('자료_미국심리'!$B$3:$B$4002,MATCH(A172,$O$19:$O$4018,0)))</f>
        <v/>
      </c>
      <c r="C172" s="22">
        <f>IF(A172="","",B172/AVERAGE(B48:B172)-1)</f>
        <v/>
      </c>
      <c r="D172" s="29">
        <f>IF(A172="","",IFERROR(INDEX('자료_미국심리'!$E$3:$E$4002,MATCH(A172,$P$19:$P$4018,0)),D171))</f>
        <v/>
      </c>
      <c r="E172" s="29">
        <f>IF(A172="","",IFERROR(INDEX('자료_미국심리'!$H$3:$H$4002,MATCH(A172,$Q$19:$Q$4018,0)),E171))</f>
        <v/>
      </c>
      <c r="F172">
        <f>IF(A172="",0,IF(A172&gt;$B$5,1,0))</f>
        <v/>
      </c>
      <c r="G172" s="29">
        <f>IF(AND(F172=1,ISNUMBER(D172)),D172,"")</f>
        <v/>
      </c>
      <c r="H172" s="29">
        <f>IF(AND(F172=1,ISNUMBER(E172)),E172,"")</f>
        <v/>
      </c>
      <c r="I172" s="22">
        <f>IF(AND(F172=1,ISNUMBER(C172)),C172,"")</f>
        <v/>
      </c>
      <c r="J172" s="11">
        <f>IF(G172="","",100-IF($G$13=1,50,(_xlfn.RANK.AVG(G172,$G$19:$G$1518,1)-1)/($G$13-1)*100))</f>
        <v/>
      </c>
      <c r="K172" s="11">
        <f>IF(H172="","",100-IF($G$14=1,50,(_xlfn.RANK.AVG(H172,$H$19:$H$1518,1)-1)/($G$14-1)*100))</f>
        <v/>
      </c>
      <c r="L172" s="11">
        <f>IF(I172="","",IF($G$15=1,50,(_xlfn.RANK.AVG(I172,$I$19:$I$1518,1)-1)/($G$15-1)*100))</f>
        <v/>
      </c>
      <c r="M172" s="11">
        <f>IF(COUNT(J172:L172)=3,ROUND(AVERAGE(J172:L172),6),"")</f>
        <v/>
      </c>
      <c r="O172">
        <f>IF(AND(ISNUMBER('자료_미국심리'!$A156),ISNUMBER('자료_미국심리'!$B156)),'자료_미국심리'!$A156,"")</f>
        <v/>
      </c>
      <c r="P172">
        <f>IF(AND(ISNUMBER('자료_미국심리'!$D156),ISNUMBER('자료_미국심리'!$E156)),'자료_미국심리'!$D156,"")</f>
        <v/>
      </c>
      <c r="Q172">
        <f>IF(AND(ISNUMBER('자료_미국심리'!$G156),ISNUMBER('자료_미국심리'!$H156)),'자료_미국심리'!$G156,"")</f>
        <v/>
      </c>
    </row>
    <row r="173">
      <c r="A173" s="10">
        <f>IF(155&gt;$E$5,"",SMALL($O$19:$O$4018,$E$6+155))</f>
        <v/>
      </c>
      <c r="B173" s="29">
        <f>IF(A173="","",INDEX('자료_미국심리'!$B$3:$B$4002,MATCH(A173,$O$19:$O$4018,0)))</f>
        <v/>
      </c>
      <c r="C173" s="22">
        <f>IF(A173="","",B173/AVERAGE(B49:B173)-1)</f>
        <v/>
      </c>
      <c r="D173" s="29">
        <f>IF(A173="","",IFERROR(INDEX('자료_미국심리'!$E$3:$E$4002,MATCH(A173,$P$19:$P$4018,0)),D172))</f>
        <v/>
      </c>
      <c r="E173" s="29">
        <f>IF(A173="","",IFERROR(INDEX('자료_미국심리'!$H$3:$H$4002,MATCH(A173,$Q$19:$Q$4018,0)),E172))</f>
        <v/>
      </c>
      <c r="F173">
        <f>IF(A173="",0,IF(A173&gt;$B$5,1,0))</f>
        <v/>
      </c>
      <c r="G173" s="29">
        <f>IF(AND(F173=1,ISNUMBER(D173)),D173,"")</f>
        <v/>
      </c>
      <c r="H173" s="29">
        <f>IF(AND(F173=1,ISNUMBER(E173)),E173,"")</f>
        <v/>
      </c>
      <c r="I173" s="22">
        <f>IF(AND(F173=1,ISNUMBER(C173)),C173,"")</f>
        <v/>
      </c>
      <c r="J173" s="11">
        <f>IF(G173="","",100-IF($G$13=1,50,(_xlfn.RANK.AVG(G173,$G$19:$G$1518,1)-1)/($G$13-1)*100))</f>
        <v/>
      </c>
      <c r="K173" s="11">
        <f>IF(H173="","",100-IF($G$14=1,50,(_xlfn.RANK.AVG(H173,$H$19:$H$1518,1)-1)/($G$14-1)*100))</f>
        <v/>
      </c>
      <c r="L173" s="11">
        <f>IF(I173="","",IF($G$15=1,50,(_xlfn.RANK.AVG(I173,$I$19:$I$1518,1)-1)/($G$15-1)*100))</f>
        <v/>
      </c>
      <c r="M173" s="11">
        <f>IF(COUNT(J173:L173)=3,ROUND(AVERAGE(J173:L173),6),"")</f>
        <v/>
      </c>
      <c r="O173">
        <f>IF(AND(ISNUMBER('자료_미국심리'!$A157),ISNUMBER('자료_미국심리'!$B157)),'자료_미국심리'!$A157,"")</f>
        <v/>
      </c>
      <c r="P173">
        <f>IF(AND(ISNUMBER('자료_미국심리'!$D157),ISNUMBER('자료_미국심리'!$E157)),'자료_미국심리'!$D157,"")</f>
        <v/>
      </c>
      <c r="Q173">
        <f>IF(AND(ISNUMBER('자료_미국심리'!$G157),ISNUMBER('자료_미국심리'!$H157)),'자료_미국심리'!$G157,"")</f>
        <v/>
      </c>
    </row>
    <row r="174">
      <c r="A174" s="10">
        <f>IF(156&gt;$E$5,"",SMALL($O$19:$O$4018,$E$6+156))</f>
        <v/>
      </c>
      <c r="B174" s="29">
        <f>IF(A174="","",INDEX('자료_미국심리'!$B$3:$B$4002,MATCH(A174,$O$19:$O$4018,0)))</f>
        <v/>
      </c>
      <c r="C174" s="22">
        <f>IF(A174="","",B174/AVERAGE(B50:B174)-1)</f>
        <v/>
      </c>
      <c r="D174" s="29">
        <f>IF(A174="","",IFERROR(INDEX('자료_미국심리'!$E$3:$E$4002,MATCH(A174,$P$19:$P$4018,0)),D173))</f>
        <v/>
      </c>
      <c r="E174" s="29">
        <f>IF(A174="","",IFERROR(INDEX('자료_미국심리'!$H$3:$H$4002,MATCH(A174,$Q$19:$Q$4018,0)),E173))</f>
        <v/>
      </c>
      <c r="F174">
        <f>IF(A174="",0,IF(A174&gt;$B$5,1,0))</f>
        <v/>
      </c>
      <c r="G174" s="29">
        <f>IF(AND(F174=1,ISNUMBER(D174)),D174,"")</f>
        <v/>
      </c>
      <c r="H174" s="29">
        <f>IF(AND(F174=1,ISNUMBER(E174)),E174,"")</f>
        <v/>
      </c>
      <c r="I174" s="22">
        <f>IF(AND(F174=1,ISNUMBER(C174)),C174,"")</f>
        <v/>
      </c>
      <c r="J174" s="11">
        <f>IF(G174="","",100-IF($G$13=1,50,(_xlfn.RANK.AVG(G174,$G$19:$G$1518,1)-1)/($G$13-1)*100))</f>
        <v/>
      </c>
      <c r="K174" s="11">
        <f>IF(H174="","",100-IF($G$14=1,50,(_xlfn.RANK.AVG(H174,$H$19:$H$1518,1)-1)/($G$14-1)*100))</f>
        <v/>
      </c>
      <c r="L174" s="11">
        <f>IF(I174="","",IF($G$15=1,50,(_xlfn.RANK.AVG(I174,$I$19:$I$1518,1)-1)/($G$15-1)*100))</f>
        <v/>
      </c>
      <c r="M174" s="11">
        <f>IF(COUNT(J174:L174)=3,ROUND(AVERAGE(J174:L174),6),"")</f>
        <v/>
      </c>
      <c r="O174">
        <f>IF(AND(ISNUMBER('자료_미국심리'!$A158),ISNUMBER('자료_미국심리'!$B158)),'자료_미국심리'!$A158,"")</f>
        <v/>
      </c>
      <c r="P174">
        <f>IF(AND(ISNUMBER('자료_미국심리'!$D158),ISNUMBER('자료_미국심리'!$E158)),'자료_미국심리'!$D158,"")</f>
        <v/>
      </c>
      <c r="Q174">
        <f>IF(AND(ISNUMBER('자료_미국심리'!$G158),ISNUMBER('자료_미국심리'!$H158)),'자료_미국심리'!$G158,"")</f>
        <v/>
      </c>
    </row>
    <row r="175">
      <c r="A175" s="10">
        <f>IF(157&gt;$E$5,"",SMALL($O$19:$O$4018,$E$6+157))</f>
        <v/>
      </c>
      <c r="B175" s="29">
        <f>IF(A175="","",INDEX('자료_미국심리'!$B$3:$B$4002,MATCH(A175,$O$19:$O$4018,0)))</f>
        <v/>
      </c>
      <c r="C175" s="22">
        <f>IF(A175="","",B175/AVERAGE(B51:B175)-1)</f>
        <v/>
      </c>
      <c r="D175" s="29">
        <f>IF(A175="","",IFERROR(INDEX('자료_미국심리'!$E$3:$E$4002,MATCH(A175,$P$19:$P$4018,0)),D174))</f>
        <v/>
      </c>
      <c r="E175" s="29">
        <f>IF(A175="","",IFERROR(INDEX('자료_미국심리'!$H$3:$H$4002,MATCH(A175,$Q$19:$Q$4018,0)),E174))</f>
        <v/>
      </c>
      <c r="F175">
        <f>IF(A175="",0,IF(A175&gt;$B$5,1,0))</f>
        <v/>
      </c>
      <c r="G175" s="29">
        <f>IF(AND(F175=1,ISNUMBER(D175)),D175,"")</f>
        <v/>
      </c>
      <c r="H175" s="29">
        <f>IF(AND(F175=1,ISNUMBER(E175)),E175,"")</f>
        <v/>
      </c>
      <c r="I175" s="22">
        <f>IF(AND(F175=1,ISNUMBER(C175)),C175,"")</f>
        <v/>
      </c>
      <c r="J175" s="11">
        <f>IF(G175="","",100-IF($G$13=1,50,(_xlfn.RANK.AVG(G175,$G$19:$G$1518,1)-1)/($G$13-1)*100))</f>
        <v/>
      </c>
      <c r="K175" s="11">
        <f>IF(H175="","",100-IF($G$14=1,50,(_xlfn.RANK.AVG(H175,$H$19:$H$1518,1)-1)/($G$14-1)*100))</f>
        <v/>
      </c>
      <c r="L175" s="11">
        <f>IF(I175="","",IF($G$15=1,50,(_xlfn.RANK.AVG(I175,$I$19:$I$1518,1)-1)/($G$15-1)*100))</f>
        <v/>
      </c>
      <c r="M175" s="11">
        <f>IF(COUNT(J175:L175)=3,ROUND(AVERAGE(J175:L175),6),"")</f>
        <v/>
      </c>
      <c r="O175">
        <f>IF(AND(ISNUMBER('자료_미국심리'!$A159),ISNUMBER('자료_미국심리'!$B159)),'자료_미국심리'!$A159,"")</f>
        <v/>
      </c>
      <c r="P175">
        <f>IF(AND(ISNUMBER('자료_미국심리'!$D159),ISNUMBER('자료_미국심리'!$E159)),'자료_미국심리'!$D159,"")</f>
        <v/>
      </c>
      <c r="Q175">
        <f>IF(AND(ISNUMBER('자료_미국심리'!$G159),ISNUMBER('자료_미국심리'!$H159)),'자료_미국심리'!$G159,"")</f>
        <v/>
      </c>
    </row>
    <row r="176">
      <c r="A176" s="10">
        <f>IF(158&gt;$E$5,"",SMALL($O$19:$O$4018,$E$6+158))</f>
        <v/>
      </c>
      <c r="B176" s="29">
        <f>IF(A176="","",INDEX('자료_미국심리'!$B$3:$B$4002,MATCH(A176,$O$19:$O$4018,0)))</f>
        <v/>
      </c>
      <c r="C176" s="22">
        <f>IF(A176="","",B176/AVERAGE(B52:B176)-1)</f>
        <v/>
      </c>
      <c r="D176" s="29">
        <f>IF(A176="","",IFERROR(INDEX('자료_미국심리'!$E$3:$E$4002,MATCH(A176,$P$19:$P$4018,0)),D175))</f>
        <v/>
      </c>
      <c r="E176" s="29">
        <f>IF(A176="","",IFERROR(INDEX('자료_미국심리'!$H$3:$H$4002,MATCH(A176,$Q$19:$Q$4018,0)),E175))</f>
        <v/>
      </c>
      <c r="F176">
        <f>IF(A176="",0,IF(A176&gt;$B$5,1,0))</f>
        <v/>
      </c>
      <c r="G176" s="29">
        <f>IF(AND(F176=1,ISNUMBER(D176)),D176,"")</f>
        <v/>
      </c>
      <c r="H176" s="29">
        <f>IF(AND(F176=1,ISNUMBER(E176)),E176,"")</f>
        <v/>
      </c>
      <c r="I176" s="22">
        <f>IF(AND(F176=1,ISNUMBER(C176)),C176,"")</f>
        <v/>
      </c>
      <c r="J176" s="11">
        <f>IF(G176="","",100-IF($G$13=1,50,(_xlfn.RANK.AVG(G176,$G$19:$G$1518,1)-1)/($G$13-1)*100))</f>
        <v/>
      </c>
      <c r="K176" s="11">
        <f>IF(H176="","",100-IF($G$14=1,50,(_xlfn.RANK.AVG(H176,$H$19:$H$1518,1)-1)/($G$14-1)*100))</f>
        <v/>
      </c>
      <c r="L176" s="11">
        <f>IF(I176="","",IF($G$15=1,50,(_xlfn.RANK.AVG(I176,$I$19:$I$1518,1)-1)/($G$15-1)*100))</f>
        <v/>
      </c>
      <c r="M176" s="11">
        <f>IF(COUNT(J176:L176)=3,ROUND(AVERAGE(J176:L176),6),"")</f>
        <v/>
      </c>
      <c r="O176">
        <f>IF(AND(ISNUMBER('자료_미국심리'!$A160),ISNUMBER('자료_미국심리'!$B160)),'자료_미국심리'!$A160,"")</f>
        <v/>
      </c>
      <c r="P176">
        <f>IF(AND(ISNUMBER('자료_미국심리'!$D160),ISNUMBER('자료_미국심리'!$E160)),'자료_미국심리'!$D160,"")</f>
        <v/>
      </c>
      <c r="Q176">
        <f>IF(AND(ISNUMBER('자료_미국심리'!$G160),ISNUMBER('자료_미국심리'!$H160)),'자료_미국심리'!$G160,"")</f>
        <v/>
      </c>
    </row>
    <row r="177">
      <c r="A177" s="10">
        <f>IF(159&gt;$E$5,"",SMALL($O$19:$O$4018,$E$6+159))</f>
        <v/>
      </c>
      <c r="B177" s="29">
        <f>IF(A177="","",INDEX('자료_미국심리'!$B$3:$B$4002,MATCH(A177,$O$19:$O$4018,0)))</f>
        <v/>
      </c>
      <c r="C177" s="22">
        <f>IF(A177="","",B177/AVERAGE(B53:B177)-1)</f>
        <v/>
      </c>
      <c r="D177" s="29">
        <f>IF(A177="","",IFERROR(INDEX('자료_미국심리'!$E$3:$E$4002,MATCH(A177,$P$19:$P$4018,0)),D176))</f>
        <v/>
      </c>
      <c r="E177" s="29">
        <f>IF(A177="","",IFERROR(INDEX('자료_미국심리'!$H$3:$H$4002,MATCH(A177,$Q$19:$Q$4018,0)),E176))</f>
        <v/>
      </c>
      <c r="F177">
        <f>IF(A177="",0,IF(A177&gt;$B$5,1,0))</f>
        <v/>
      </c>
      <c r="G177" s="29">
        <f>IF(AND(F177=1,ISNUMBER(D177)),D177,"")</f>
        <v/>
      </c>
      <c r="H177" s="29">
        <f>IF(AND(F177=1,ISNUMBER(E177)),E177,"")</f>
        <v/>
      </c>
      <c r="I177" s="22">
        <f>IF(AND(F177=1,ISNUMBER(C177)),C177,"")</f>
        <v/>
      </c>
      <c r="J177" s="11">
        <f>IF(G177="","",100-IF($G$13=1,50,(_xlfn.RANK.AVG(G177,$G$19:$G$1518,1)-1)/($G$13-1)*100))</f>
        <v/>
      </c>
      <c r="K177" s="11">
        <f>IF(H177="","",100-IF($G$14=1,50,(_xlfn.RANK.AVG(H177,$H$19:$H$1518,1)-1)/($G$14-1)*100))</f>
        <v/>
      </c>
      <c r="L177" s="11">
        <f>IF(I177="","",IF($G$15=1,50,(_xlfn.RANK.AVG(I177,$I$19:$I$1518,1)-1)/($G$15-1)*100))</f>
        <v/>
      </c>
      <c r="M177" s="11">
        <f>IF(COUNT(J177:L177)=3,ROUND(AVERAGE(J177:L177),6),"")</f>
        <v/>
      </c>
      <c r="O177">
        <f>IF(AND(ISNUMBER('자료_미국심리'!$A161),ISNUMBER('자료_미국심리'!$B161)),'자료_미국심리'!$A161,"")</f>
        <v/>
      </c>
      <c r="P177">
        <f>IF(AND(ISNUMBER('자료_미국심리'!$D161),ISNUMBER('자료_미국심리'!$E161)),'자료_미국심리'!$D161,"")</f>
        <v/>
      </c>
      <c r="Q177">
        <f>IF(AND(ISNUMBER('자료_미국심리'!$G161),ISNUMBER('자료_미국심리'!$H161)),'자료_미국심리'!$G161,"")</f>
        <v/>
      </c>
    </row>
    <row r="178">
      <c r="A178" s="10">
        <f>IF(160&gt;$E$5,"",SMALL($O$19:$O$4018,$E$6+160))</f>
        <v/>
      </c>
      <c r="B178" s="29">
        <f>IF(A178="","",INDEX('자료_미국심리'!$B$3:$B$4002,MATCH(A178,$O$19:$O$4018,0)))</f>
        <v/>
      </c>
      <c r="C178" s="22">
        <f>IF(A178="","",B178/AVERAGE(B54:B178)-1)</f>
        <v/>
      </c>
      <c r="D178" s="29">
        <f>IF(A178="","",IFERROR(INDEX('자료_미국심리'!$E$3:$E$4002,MATCH(A178,$P$19:$P$4018,0)),D177))</f>
        <v/>
      </c>
      <c r="E178" s="29">
        <f>IF(A178="","",IFERROR(INDEX('자료_미국심리'!$H$3:$H$4002,MATCH(A178,$Q$19:$Q$4018,0)),E177))</f>
        <v/>
      </c>
      <c r="F178">
        <f>IF(A178="",0,IF(A178&gt;$B$5,1,0))</f>
        <v/>
      </c>
      <c r="G178" s="29">
        <f>IF(AND(F178=1,ISNUMBER(D178)),D178,"")</f>
        <v/>
      </c>
      <c r="H178" s="29">
        <f>IF(AND(F178=1,ISNUMBER(E178)),E178,"")</f>
        <v/>
      </c>
      <c r="I178" s="22">
        <f>IF(AND(F178=1,ISNUMBER(C178)),C178,"")</f>
        <v/>
      </c>
      <c r="J178" s="11">
        <f>IF(G178="","",100-IF($G$13=1,50,(_xlfn.RANK.AVG(G178,$G$19:$G$1518,1)-1)/($G$13-1)*100))</f>
        <v/>
      </c>
      <c r="K178" s="11">
        <f>IF(H178="","",100-IF($G$14=1,50,(_xlfn.RANK.AVG(H178,$H$19:$H$1518,1)-1)/($G$14-1)*100))</f>
        <v/>
      </c>
      <c r="L178" s="11">
        <f>IF(I178="","",IF($G$15=1,50,(_xlfn.RANK.AVG(I178,$I$19:$I$1518,1)-1)/($G$15-1)*100))</f>
        <v/>
      </c>
      <c r="M178" s="11">
        <f>IF(COUNT(J178:L178)=3,ROUND(AVERAGE(J178:L178),6),"")</f>
        <v/>
      </c>
      <c r="O178">
        <f>IF(AND(ISNUMBER('자료_미국심리'!$A162),ISNUMBER('자료_미국심리'!$B162)),'자료_미국심리'!$A162,"")</f>
        <v/>
      </c>
      <c r="P178">
        <f>IF(AND(ISNUMBER('자료_미국심리'!$D162),ISNUMBER('자료_미국심리'!$E162)),'자료_미국심리'!$D162,"")</f>
        <v/>
      </c>
      <c r="Q178">
        <f>IF(AND(ISNUMBER('자료_미국심리'!$G162),ISNUMBER('자료_미국심리'!$H162)),'자료_미국심리'!$G162,"")</f>
        <v/>
      </c>
    </row>
    <row r="179">
      <c r="A179" s="10">
        <f>IF(161&gt;$E$5,"",SMALL($O$19:$O$4018,$E$6+161))</f>
        <v/>
      </c>
      <c r="B179" s="29">
        <f>IF(A179="","",INDEX('자료_미국심리'!$B$3:$B$4002,MATCH(A179,$O$19:$O$4018,0)))</f>
        <v/>
      </c>
      <c r="C179" s="22">
        <f>IF(A179="","",B179/AVERAGE(B55:B179)-1)</f>
        <v/>
      </c>
      <c r="D179" s="29">
        <f>IF(A179="","",IFERROR(INDEX('자료_미국심리'!$E$3:$E$4002,MATCH(A179,$P$19:$P$4018,0)),D178))</f>
        <v/>
      </c>
      <c r="E179" s="29">
        <f>IF(A179="","",IFERROR(INDEX('자료_미국심리'!$H$3:$H$4002,MATCH(A179,$Q$19:$Q$4018,0)),E178))</f>
        <v/>
      </c>
      <c r="F179">
        <f>IF(A179="",0,IF(A179&gt;$B$5,1,0))</f>
        <v/>
      </c>
      <c r="G179" s="29">
        <f>IF(AND(F179=1,ISNUMBER(D179)),D179,"")</f>
        <v/>
      </c>
      <c r="H179" s="29">
        <f>IF(AND(F179=1,ISNUMBER(E179)),E179,"")</f>
        <v/>
      </c>
      <c r="I179" s="22">
        <f>IF(AND(F179=1,ISNUMBER(C179)),C179,"")</f>
        <v/>
      </c>
      <c r="J179" s="11">
        <f>IF(G179="","",100-IF($G$13=1,50,(_xlfn.RANK.AVG(G179,$G$19:$G$1518,1)-1)/($G$13-1)*100))</f>
        <v/>
      </c>
      <c r="K179" s="11">
        <f>IF(H179="","",100-IF($G$14=1,50,(_xlfn.RANK.AVG(H179,$H$19:$H$1518,1)-1)/($G$14-1)*100))</f>
        <v/>
      </c>
      <c r="L179" s="11">
        <f>IF(I179="","",IF($G$15=1,50,(_xlfn.RANK.AVG(I179,$I$19:$I$1518,1)-1)/($G$15-1)*100))</f>
        <v/>
      </c>
      <c r="M179" s="11">
        <f>IF(COUNT(J179:L179)=3,ROUND(AVERAGE(J179:L179),6),"")</f>
        <v/>
      </c>
      <c r="O179">
        <f>IF(AND(ISNUMBER('자료_미국심리'!$A163),ISNUMBER('자료_미국심리'!$B163)),'자료_미국심리'!$A163,"")</f>
        <v/>
      </c>
      <c r="P179">
        <f>IF(AND(ISNUMBER('자료_미국심리'!$D163),ISNUMBER('자료_미국심리'!$E163)),'자료_미국심리'!$D163,"")</f>
        <v/>
      </c>
      <c r="Q179">
        <f>IF(AND(ISNUMBER('자료_미국심리'!$G163),ISNUMBER('자료_미국심리'!$H163)),'자료_미국심리'!$G163,"")</f>
        <v/>
      </c>
    </row>
    <row r="180">
      <c r="A180" s="10">
        <f>IF(162&gt;$E$5,"",SMALL($O$19:$O$4018,$E$6+162))</f>
        <v/>
      </c>
      <c r="B180" s="29">
        <f>IF(A180="","",INDEX('자료_미국심리'!$B$3:$B$4002,MATCH(A180,$O$19:$O$4018,0)))</f>
        <v/>
      </c>
      <c r="C180" s="22">
        <f>IF(A180="","",B180/AVERAGE(B56:B180)-1)</f>
        <v/>
      </c>
      <c r="D180" s="29">
        <f>IF(A180="","",IFERROR(INDEX('자료_미국심리'!$E$3:$E$4002,MATCH(A180,$P$19:$P$4018,0)),D179))</f>
        <v/>
      </c>
      <c r="E180" s="29">
        <f>IF(A180="","",IFERROR(INDEX('자료_미국심리'!$H$3:$H$4002,MATCH(A180,$Q$19:$Q$4018,0)),E179))</f>
        <v/>
      </c>
      <c r="F180">
        <f>IF(A180="",0,IF(A180&gt;$B$5,1,0))</f>
        <v/>
      </c>
      <c r="G180" s="29">
        <f>IF(AND(F180=1,ISNUMBER(D180)),D180,"")</f>
        <v/>
      </c>
      <c r="H180" s="29">
        <f>IF(AND(F180=1,ISNUMBER(E180)),E180,"")</f>
        <v/>
      </c>
      <c r="I180" s="22">
        <f>IF(AND(F180=1,ISNUMBER(C180)),C180,"")</f>
        <v/>
      </c>
      <c r="J180" s="11">
        <f>IF(G180="","",100-IF($G$13=1,50,(_xlfn.RANK.AVG(G180,$G$19:$G$1518,1)-1)/($G$13-1)*100))</f>
        <v/>
      </c>
      <c r="K180" s="11">
        <f>IF(H180="","",100-IF($G$14=1,50,(_xlfn.RANK.AVG(H180,$H$19:$H$1518,1)-1)/($G$14-1)*100))</f>
        <v/>
      </c>
      <c r="L180" s="11">
        <f>IF(I180="","",IF($G$15=1,50,(_xlfn.RANK.AVG(I180,$I$19:$I$1518,1)-1)/($G$15-1)*100))</f>
        <v/>
      </c>
      <c r="M180" s="11">
        <f>IF(COUNT(J180:L180)=3,ROUND(AVERAGE(J180:L180),6),"")</f>
        <v/>
      </c>
      <c r="O180">
        <f>IF(AND(ISNUMBER('자료_미국심리'!$A164),ISNUMBER('자료_미국심리'!$B164)),'자료_미국심리'!$A164,"")</f>
        <v/>
      </c>
      <c r="P180">
        <f>IF(AND(ISNUMBER('자료_미국심리'!$D164),ISNUMBER('자료_미국심리'!$E164)),'자료_미국심리'!$D164,"")</f>
        <v/>
      </c>
      <c r="Q180">
        <f>IF(AND(ISNUMBER('자료_미국심리'!$G164),ISNUMBER('자료_미국심리'!$H164)),'자료_미국심리'!$G164,"")</f>
        <v/>
      </c>
    </row>
    <row r="181">
      <c r="A181" s="10">
        <f>IF(163&gt;$E$5,"",SMALL($O$19:$O$4018,$E$6+163))</f>
        <v/>
      </c>
      <c r="B181" s="29">
        <f>IF(A181="","",INDEX('자료_미국심리'!$B$3:$B$4002,MATCH(A181,$O$19:$O$4018,0)))</f>
        <v/>
      </c>
      <c r="C181" s="22">
        <f>IF(A181="","",B181/AVERAGE(B57:B181)-1)</f>
        <v/>
      </c>
      <c r="D181" s="29">
        <f>IF(A181="","",IFERROR(INDEX('자료_미국심리'!$E$3:$E$4002,MATCH(A181,$P$19:$P$4018,0)),D180))</f>
        <v/>
      </c>
      <c r="E181" s="29">
        <f>IF(A181="","",IFERROR(INDEX('자료_미국심리'!$H$3:$H$4002,MATCH(A181,$Q$19:$Q$4018,0)),E180))</f>
        <v/>
      </c>
      <c r="F181">
        <f>IF(A181="",0,IF(A181&gt;$B$5,1,0))</f>
        <v/>
      </c>
      <c r="G181" s="29">
        <f>IF(AND(F181=1,ISNUMBER(D181)),D181,"")</f>
        <v/>
      </c>
      <c r="H181" s="29">
        <f>IF(AND(F181=1,ISNUMBER(E181)),E181,"")</f>
        <v/>
      </c>
      <c r="I181" s="22">
        <f>IF(AND(F181=1,ISNUMBER(C181)),C181,"")</f>
        <v/>
      </c>
      <c r="J181" s="11">
        <f>IF(G181="","",100-IF($G$13=1,50,(_xlfn.RANK.AVG(G181,$G$19:$G$1518,1)-1)/($G$13-1)*100))</f>
        <v/>
      </c>
      <c r="K181" s="11">
        <f>IF(H181="","",100-IF($G$14=1,50,(_xlfn.RANK.AVG(H181,$H$19:$H$1518,1)-1)/($G$14-1)*100))</f>
        <v/>
      </c>
      <c r="L181" s="11">
        <f>IF(I181="","",IF($G$15=1,50,(_xlfn.RANK.AVG(I181,$I$19:$I$1518,1)-1)/($G$15-1)*100))</f>
        <v/>
      </c>
      <c r="M181" s="11">
        <f>IF(COUNT(J181:L181)=3,ROUND(AVERAGE(J181:L181),6),"")</f>
        <v/>
      </c>
      <c r="O181">
        <f>IF(AND(ISNUMBER('자료_미국심리'!$A165),ISNUMBER('자료_미국심리'!$B165)),'자료_미국심리'!$A165,"")</f>
        <v/>
      </c>
      <c r="P181">
        <f>IF(AND(ISNUMBER('자료_미국심리'!$D165),ISNUMBER('자료_미국심리'!$E165)),'자료_미국심리'!$D165,"")</f>
        <v/>
      </c>
      <c r="Q181">
        <f>IF(AND(ISNUMBER('자료_미국심리'!$G165),ISNUMBER('자료_미국심리'!$H165)),'자료_미국심리'!$G165,"")</f>
        <v/>
      </c>
    </row>
    <row r="182">
      <c r="A182" s="10">
        <f>IF(164&gt;$E$5,"",SMALL($O$19:$O$4018,$E$6+164))</f>
        <v/>
      </c>
      <c r="B182" s="29">
        <f>IF(A182="","",INDEX('자료_미국심리'!$B$3:$B$4002,MATCH(A182,$O$19:$O$4018,0)))</f>
        <v/>
      </c>
      <c r="C182" s="22">
        <f>IF(A182="","",B182/AVERAGE(B58:B182)-1)</f>
        <v/>
      </c>
      <c r="D182" s="29">
        <f>IF(A182="","",IFERROR(INDEX('자료_미국심리'!$E$3:$E$4002,MATCH(A182,$P$19:$P$4018,0)),D181))</f>
        <v/>
      </c>
      <c r="E182" s="29">
        <f>IF(A182="","",IFERROR(INDEX('자료_미국심리'!$H$3:$H$4002,MATCH(A182,$Q$19:$Q$4018,0)),E181))</f>
        <v/>
      </c>
      <c r="F182">
        <f>IF(A182="",0,IF(A182&gt;$B$5,1,0))</f>
        <v/>
      </c>
      <c r="G182" s="29">
        <f>IF(AND(F182=1,ISNUMBER(D182)),D182,"")</f>
        <v/>
      </c>
      <c r="H182" s="29">
        <f>IF(AND(F182=1,ISNUMBER(E182)),E182,"")</f>
        <v/>
      </c>
      <c r="I182" s="22">
        <f>IF(AND(F182=1,ISNUMBER(C182)),C182,"")</f>
        <v/>
      </c>
      <c r="J182" s="11">
        <f>IF(G182="","",100-IF($G$13=1,50,(_xlfn.RANK.AVG(G182,$G$19:$G$1518,1)-1)/($G$13-1)*100))</f>
        <v/>
      </c>
      <c r="K182" s="11">
        <f>IF(H182="","",100-IF($G$14=1,50,(_xlfn.RANK.AVG(H182,$H$19:$H$1518,1)-1)/($G$14-1)*100))</f>
        <v/>
      </c>
      <c r="L182" s="11">
        <f>IF(I182="","",IF($G$15=1,50,(_xlfn.RANK.AVG(I182,$I$19:$I$1518,1)-1)/($G$15-1)*100))</f>
        <v/>
      </c>
      <c r="M182" s="11">
        <f>IF(COUNT(J182:L182)=3,ROUND(AVERAGE(J182:L182),6),"")</f>
        <v/>
      </c>
      <c r="O182">
        <f>IF(AND(ISNUMBER('자료_미국심리'!$A166),ISNUMBER('자료_미국심리'!$B166)),'자료_미국심리'!$A166,"")</f>
        <v/>
      </c>
      <c r="P182">
        <f>IF(AND(ISNUMBER('자료_미국심리'!$D166),ISNUMBER('자료_미국심리'!$E166)),'자료_미국심리'!$D166,"")</f>
        <v/>
      </c>
      <c r="Q182">
        <f>IF(AND(ISNUMBER('자료_미국심리'!$G166),ISNUMBER('자료_미국심리'!$H166)),'자료_미국심리'!$G166,"")</f>
        <v/>
      </c>
    </row>
    <row r="183">
      <c r="A183" s="10">
        <f>IF(165&gt;$E$5,"",SMALL($O$19:$O$4018,$E$6+165))</f>
        <v/>
      </c>
      <c r="B183" s="29">
        <f>IF(A183="","",INDEX('자료_미국심리'!$B$3:$B$4002,MATCH(A183,$O$19:$O$4018,0)))</f>
        <v/>
      </c>
      <c r="C183" s="22">
        <f>IF(A183="","",B183/AVERAGE(B59:B183)-1)</f>
        <v/>
      </c>
      <c r="D183" s="29">
        <f>IF(A183="","",IFERROR(INDEX('자료_미국심리'!$E$3:$E$4002,MATCH(A183,$P$19:$P$4018,0)),D182))</f>
        <v/>
      </c>
      <c r="E183" s="29">
        <f>IF(A183="","",IFERROR(INDEX('자료_미국심리'!$H$3:$H$4002,MATCH(A183,$Q$19:$Q$4018,0)),E182))</f>
        <v/>
      </c>
      <c r="F183">
        <f>IF(A183="",0,IF(A183&gt;$B$5,1,0))</f>
        <v/>
      </c>
      <c r="G183" s="29">
        <f>IF(AND(F183=1,ISNUMBER(D183)),D183,"")</f>
        <v/>
      </c>
      <c r="H183" s="29">
        <f>IF(AND(F183=1,ISNUMBER(E183)),E183,"")</f>
        <v/>
      </c>
      <c r="I183" s="22">
        <f>IF(AND(F183=1,ISNUMBER(C183)),C183,"")</f>
        <v/>
      </c>
      <c r="J183" s="11">
        <f>IF(G183="","",100-IF($G$13=1,50,(_xlfn.RANK.AVG(G183,$G$19:$G$1518,1)-1)/($G$13-1)*100))</f>
        <v/>
      </c>
      <c r="K183" s="11">
        <f>IF(H183="","",100-IF($G$14=1,50,(_xlfn.RANK.AVG(H183,$H$19:$H$1518,1)-1)/($G$14-1)*100))</f>
        <v/>
      </c>
      <c r="L183" s="11">
        <f>IF(I183="","",IF($G$15=1,50,(_xlfn.RANK.AVG(I183,$I$19:$I$1518,1)-1)/($G$15-1)*100))</f>
        <v/>
      </c>
      <c r="M183" s="11">
        <f>IF(COUNT(J183:L183)=3,ROUND(AVERAGE(J183:L183),6),"")</f>
        <v/>
      </c>
      <c r="O183">
        <f>IF(AND(ISNUMBER('자료_미국심리'!$A167),ISNUMBER('자료_미국심리'!$B167)),'자료_미국심리'!$A167,"")</f>
        <v/>
      </c>
      <c r="P183">
        <f>IF(AND(ISNUMBER('자료_미국심리'!$D167),ISNUMBER('자료_미국심리'!$E167)),'자료_미국심리'!$D167,"")</f>
        <v/>
      </c>
      <c r="Q183">
        <f>IF(AND(ISNUMBER('자료_미국심리'!$G167),ISNUMBER('자료_미국심리'!$H167)),'자료_미국심리'!$G167,"")</f>
        <v/>
      </c>
    </row>
    <row r="184">
      <c r="A184" s="10">
        <f>IF(166&gt;$E$5,"",SMALL($O$19:$O$4018,$E$6+166))</f>
        <v/>
      </c>
      <c r="B184" s="29">
        <f>IF(A184="","",INDEX('자료_미국심리'!$B$3:$B$4002,MATCH(A184,$O$19:$O$4018,0)))</f>
        <v/>
      </c>
      <c r="C184" s="22">
        <f>IF(A184="","",B184/AVERAGE(B60:B184)-1)</f>
        <v/>
      </c>
      <c r="D184" s="29">
        <f>IF(A184="","",IFERROR(INDEX('자료_미국심리'!$E$3:$E$4002,MATCH(A184,$P$19:$P$4018,0)),D183))</f>
        <v/>
      </c>
      <c r="E184" s="29">
        <f>IF(A184="","",IFERROR(INDEX('자료_미국심리'!$H$3:$H$4002,MATCH(A184,$Q$19:$Q$4018,0)),E183))</f>
        <v/>
      </c>
      <c r="F184">
        <f>IF(A184="",0,IF(A184&gt;$B$5,1,0))</f>
        <v/>
      </c>
      <c r="G184" s="29">
        <f>IF(AND(F184=1,ISNUMBER(D184)),D184,"")</f>
        <v/>
      </c>
      <c r="H184" s="29">
        <f>IF(AND(F184=1,ISNUMBER(E184)),E184,"")</f>
        <v/>
      </c>
      <c r="I184" s="22">
        <f>IF(AND(F184=1,ISNUMBER(C184)),C184,"")</f>
        <v/>
      </c>
      <c r="J184" s="11">
        <f>IF(G184="","",100-IF($G$13=1,50,(_xlfn.RANK.AVG(G184,$G$19:$G$1518,1)-1)/($G$13-1)*100))</f>
        <v/>
      </c>
      <c r="K184" s="11">
        <f>IF(H184="","",100-IF($G$14=1,50,(_xlfn.RANK.AVG(H184,$H$19:$H$1518,1)-1)/($G$14-1)*100))</f>
        <v/>
      </c>
      <c r="L184" s="11">
        <f>IF(I184="","",IF($G$15=1,50,(_xlfn.RANK.AVG(I184,$I$19:$I$1518,1)-1)/($G$15-1)*100))</f>
        <v/>
      </c>
      <c r="M184" s="11">
        <f>IF(COUNT(J184:L184)=3,ROUND(AVERAGE(J184:L184),6),"")</f>
        <v/>
      </c>
      <c r="O184">
        <f>IF(AND(ISNUMBER('자료_미국심리'!$A168),ISNUMBER('자료_미국심리'!$B168)),'자료_미국심리'!$A168,"")</f>
        <v/>
      </c>
      <c r="P184">
        <f>IF(AND(ISNUMBER('자료_미국심리'!$D168),ISNUMBER('자료_미국심리'!$E168)),'자료_미국심리'!$D168,"")</f>
        <v/>
      </c>
      <c r="Q184">
        <f>IF(AND(ISNUMBER('자료_미국심리'!$G168),ISNUMBER('자료_미국심리'!$H168)),'자료_미국심리'!$G168,"")</f>
        <v/>
      </c>
    </row>
    <row r="185">
      <c r="A185" s="10">
        <f>IF(167&gt;$E$5,"",SMALL($O$19:$O$4018,$E$6+167))</f>
        <v/>
      </c>
      <c r="B185" s="29">
        <f>IF(A185="","",INDEX('자료_미국심리'!$B$3:$B$4002,MATCH(A185,$O$19:$O$4018,0)))</f>
        <v/>
      </c>
      <c r="C185" s="22">
        <f>IF(A185="","",B185/AVERAGE(B61:B185)-1)</f>
        <v/>
      </c>
      <c r="D185" s="29">
        <f>IF(A185="","",IFERROR(INDEX('자료_미국심리'!$E$3:$E$4002,MATCH(A185,$P$19:$P$4018,0)),D184))</f>
        <v/>
      </c>
      <c r="E185" s="29">
        <f>IF(A185="","",IFERROR(INDEX('자료_미국심리'!$H$3:$H$4002,MATCH(A185,$Q$19:$Q$4018,0)),E184))</f>
        <v/>
      </c>
      <c r="F185">
        <f>IF(A185="",0,IF(A185&gt;$B$5,1,0))</f>
        <v/>
      </c>
      <c r="G185" s="29">
        <f>IF(AND(F185=1,ISNUMBER(D185)),D185,"")</f>
        <v/>
      </c>
      <c r="H185" s="29">
        <f>IF(AND(F185=1,ISNUMBER(E185)),E185,"")</f>
        <v/>
      </c>
      <c r="I185" s="22">
        <f>IF(AND(F185=1,ISNUMBER(C185)),C185,"")</f>
        <v/>
      </c>
      <c r="J185" s="11">
        <f>IF(G185="","",100-IF($G$13=1,50,(_xlfn.RANK.AVG(G185,$G$19:$G$1518,1)-1)/($G$13-1)*100))</f>
        <v/>
      </c>
      <c r="K185" s="11">
        <f>IF(H185="","",100-IF($G$14=1,50,(_xlfn.RANK.AVG(H185,$H$19:$H$1518,1)-1)/($G$14-1)*100))</f>
        <v/>
      </c>
      <c r="L185" s="11">
        <f>IF(I185="","",IF($G$15=1,50,(_xlfn.RANK.AVG(I185,$I$19:$I$1518,1)-1)/($G$15-1)*100))</f>
        <v/>
      </c>
      <c r="M185" s="11">
        <f>IF(COUNT(J185:L185)=3,ROUND(AVERAGE(J185:L185),6),"")</f>
        <v/>
      </c>
      <c r="O185">
        <f>IF(AND(ISNUMBER('자료_미국심리'!$A169),ISNUMBER('자료_미국심리'!$B169)),'자료_미국심리'!$A169,"")</f>
        <v/>
      </c>
      <c r="P185">
        <f>IF(AND(ISNUMBER('자료_미국심리'!$D169),ISNUMBER('자료_미국심리'!$E169)),'자료_미국심리'!$D169,"")</f>
        <v/>
      </c>
      <c r="Q185">
        <f>IF(AND(ISNUMBER('자료_미국심리'!$G169),ISNUMBER('자료_미국심리'!$H169)),'자료_미국심리'!$G169,"")</f>
        <v/>
      </c>
    </row>
    <row r="186">
      <c r="A186" s="10">
        <f>IF(168&gt;$E$5,"",SMALL($O$19:$O$4018,$E$6+168))</f>
        <v/>
      </c>
      <c r="B186" s="29">
        <f>IF(A186="","",INDEX('자료_미국심리'!$B$3:$B$4002,MATCH(A186,$O$19:$O$4018,0)))</f>
        <v/>
      </c>
      <c r="C186" s="22">
        <f>IF(A186="","",B186/AVERAGE(B62:B186)-1)</f>
        <v/>
      </c>
      <c r="D186" s="29">
        <f>IF(A186="","",IFERROR(INDEX('자료_미국심리'!$E$3:$E$4002,MATCH(A186,$P$19:$P$4018,0)),D185))</f>
        <v/>
      </c>
      <c r="E186" s="29">
        <f>IF(A186="","",IFERROR(INDEX('자료_미국심리'!$H$3:$H$4002,MATCH(A186,$Q$19:$Q$4018,0)),E185))</f>
        <v/>
      </c>
      <c r="F186">
        <f>IF(A186="",0,IF(A186&gt;$B$5,1,0))</f>
        <v/>
      </c>
      <c r="G186" s="29">
        <f>IF(AND(F186=1,ISNUMBER(D186)),D186,"")</f>
        <v/>
      </c>
      <c r="H186" s="29">
        <f>IF(AND(F186=1,ISNUMBER(E186)),E186,"")</f>
        <v/>
      </c>
      <c r="I186" s="22">
        <f>IF(AND(F186=1,ISNUMBER(C186)),C186,"")</f>
        <v/>
      </c>
      <c r="J186" s="11">
        <f>IF(G186="","",100-IF($G$13=1,50,(_xlfn.RANK.AVG(G186,$G$19:$G$1518,1)-1)/($G$13-1)*100))</f>
        <v/>
      </c>
      <c r="K186" s="11">
        <f>IF(H186="","",100-IF($G$14=1,50,(_xlfn.RANK.AVG(H186,$H$19:$H$1518,1)-1)/($G$14-1)*100))</f>
        <v/>
      </c>
      <c r="L186" s="11">
        <f>IF(I186="","",IF($G$15=1,50,(_xlfn.RANK.AVG(I186,$I$19:$I$1518,1)-1)/($G$15-1)*100))</f>
        <v/>
      </c>
      <c r="M186" s="11">
        <f>IF(COUNT(J186:L186)=3,ROUND(AVERAGE(J186:L186),6),"")</f>
        <v/>
      </c>
      <c r="O186">
        <f>IF(AND(ISNUMBER('자료_미국심리'!$A170),ISNUMBER('자료_미국심리'!$B170)),'자료_미국심리'!$A170,"")</f>
        <v/>
      </c>
      <c r="P186">
        <f>IF(AND(ISNUMBER('자료_미국심리'!$D170),ISNUMBER('자료_미국심리'!$E170)),'자료_미국심리'!$D170,"")</f>
        <v/>
      </c>
      <c r="Q186">
        <f>IF(AND(ISNUMBER('자료_미국심리'!$G170),ISNUMBER('자료_미국심리'!$H170)),'자료_미국심리'!$G170,"")</f>
        <v/>
      </c>
    </row>
    <row r="187">
      <c r="A187" s="10">
        <f>IF(169&gt;$E$5,"",SMALL($O$19:$O$4018,$E$6+169))</f>
        <v/>
      </c>
      <c r="B187" s="29">
        <f>IF(A187="","",INDEX('자료_미국심리'!$B$3:$B$4002,MATCH(A187,$O$19:$O$4018,0)))</f>
        <v/>
      </c>
      <c r="C187" s="22">
        <f>IF(A187="","",B187/AVERAGE(B63:B187)-1)</f>
        <v/>
      </c>
      <c r="D187" s="29">
        <f>IF(A187="","",IFERROR(INDEX('자료_미국심리'!$E$3:$E$4002,MATCH(A187,$P$19:$P$4018,0)),D186))</f>
        <v/>
      </c>
      <c r="E187" s="29">
        <f>IF(A187="","",IFERROR(INDEX('자료_미국심리'!$H$3:$H$4002,MATCH(A187,$Q$19:$Q$4018,0)),E186))</f>
        <v/>
      </c>
      <c r="F187">
        <f>IF(A187="",0,IF(A187&gt;$B$5,1,0))</f>
        <v/>
      </c>
      <c r="G187" s="29">
        <f>IF(AND(F187=1,ISNUMBER(D187)),D187,"")</f>
        <v/>
      </c>
      <c r="H187" s="29">
        <f>IF(AND(F187=1,ISNUMBER(E187)),E187,"")</f>
        <v/>
      </c>
      <c r="I187" s="22">
        <f>IF(AND(F187=1,ISNUMBER(C187)),C187,"")</f>
        <v/>
      </c>
      <c r="J187" s="11">
        <f>IF(G187="","",100-IF($G$13=1,50,(_xlfn.RANK.AVG(G187,$G$19:$G$1518,1)-1)/($G$13-1)*100))</f>
        <v/>
      </c>
      <c r="K187" s="11">
        <f>IF(H187="","",100-IF($G$14=1,50,(_xlfn.RANK.AVG(H187,$H$19:$H$1518,1)-1)/($G$14-1)*100))</f>
        <v/>
      </c>
      <c r="L187" s="11">
        <f>IF(I187="","",IF($G$15=1,50,(_xlfn.RANK.AVG(I187,$I$19:$I$1518,1)-1)/($G$15-1)*100))</f>
        <v/>
      </c>
      <c r="M187" s="11">
        <f>IF(COUNT(J187:L187)=3,ROUND(AVERAGE(J187:L187),6),"")</f>
        <v/>
      </c>
      <c r="O187">
        <f>IF(AND(ISNUMBER('자료_미국심리'!$A171),ISNUMBER('자료_미국심리'!$B171)),'자료_미국심리'!$A171,"")</f>
        <v/>
      </c>
      <c r="P187">
        <f>IF(AND(ISNUMBER('자료_미국심리'!$D171),ISNUMBER('자료_미국심리'!$E171)),'자료_미국심리'!$D171,"")</f>
        <v/>
      </c>
      <c r="Q187">
        <f>IF(AND(ISNUMBER('자료_미국심리'!$G171),ISNUMBER('자료_미국심리'!$H171)),'자료_미국심리'!$G171,"")</f>
        <v/>
      </c>
    </row>
    <row r="188">
      <c r="A188" s="10">
        <f>IF(170&gt;$E$5,"",SMALL($O$19:$O$4018,$E$6+170))</f>
        <v/>
      </c>
      <c r="B188" s="29">
        <f>IF(A188="","",INDEX('자료_미국심리'!$B$3:$B$4002,MATCH(A188,$O$19:$O$4018,0)))</f>
        <v/>
      </c>
      <c r="C188" s="22">
        <f>IF(A188="","",B188/AVERAGE(B64:B188)-1)</f>
        <v/>
      </c>
      <c r="D188" s="29">
        <f>IF(A188="","",IFERROR(INDEX('자료_미국심리'!$E$3:$E$4002,MATCH(A188,$P$19:$P$4018,0)),D187))</f>
        <v/>
      </c>
      <c r="E188" s="29">
        <f>IF(A188="","",IFERROR(INDEX('자료_미국심리'!$H$3:$H$4002,MATCH(A188,$Q$19:$Q$4018,0)),E187))</f>
        <v/>
      </c>
      <c r="F188">
        <f>IF(A188="",0,IF(A188&gt;$B$5,1,0))</f>
        <v/>
      </c>
      <c r="G188" s="29">
        <f>IF(AND(F188=1,ISNUMBER(D188)),D188,"")</f>
        <v/>
      </c>
      <c r="H188" s="29">
        <f>IF(AND(F188=1,ISNUMBER(E188)),E188,"")</f>
        <v/>
      </c>
      <c r="I188" s="22">
        <f>IF(AND(F188=1,ISNUMBER(C188)),C188,"")</f>
        <v/>
      </c>
      <c r="J188" s="11">
        <f>IF(G188="","",100-IF($G$13=1,50,(_xlfn.RANK.AVG(G188,$G$19:$G$1518,1)-1)/($G$13-1)*100))</f>
        <v/>
      </c>
      <c r="K188" s="11">
        <f>IF(H188="","",100-IF($G$14=1,50,(_xlfn.RANK.AVG(H188,$H$19:$H$1518,1)-1)/($G$14-1)*100))</f>
        <v/>
      </c>
      <c r="L188" s="11">
        <f>IF(I188="","",IF($G$15=1,50,(_xlfn.RANK.AVG(I188,$I$19:$I$1518,1)-1)/($G$15-1)*100))</f>
        <v/>
      </c>
      <c r="M188" s="11">
        <f>IF(COUNT(J188:L188)=3,ROUND(AVERAGE(J188:L188),6),"")</f>
        <v/>
      </c>
      <c r="O188">
        <f>IF(AND(ISNUMBER('자료_미국심리'!$A172),ISNUMBER('자료_미국심리'!$B172)),'자료_미국심리'!$A172,"")</f>
        <v/>
      </c>
      <c r="P188">
        <f>IF(AND(ISNUMBER('자료_미국심리'!$D172),ISNUMBER('자료_미국심리'!$E172)),'자료_미국심리'!$D172,"")</f>
        <v/>
      </c>
      <c r="Q188">
        <f>IF(AND(ISNUMBER('자료_미국심리'!$G172),ISNUMBER('자료_미국심리'!$H172)),'자료_미국심리'!$G172,"")</f>
        <v/>
      </c>
    </row>
    <row r="189">
      <c r="A189" s="10">
        <f>IF(171&gt;$E$5,"",SMALL($O$19:$O$4018,$E$6+171))</f>
        <v/>
      </c>
      <c r="B189" s="29">
        <f>IF(A189="","",INDEX('자료_미국심리'!$B$3:$B$4002,MATCH(A189,$O$19:$O$4018,0)))</f>
        <v/>
      </c>
      <c r="C189" s="22">
        <f>IF(A189="","",B189/AVERAGE(B65:B189)-1)</f>
        <v/>
      </c>
      <c r="D189" s="29">
        <f>IF(A189="","",IFERROR(INDEX('자료_미국심리'!$E$3:$E$4002,MATCH(A189,$P$19:$P$4018,0)),D188))</f>
        <v/>
      </c>
      <c r="E189" s="29">
        <f>IF(A189="","",IFERROR(INDEX('자료_미국심리'!$H$3:$H$4002,MATCH(A189,$Q$19:$Q$4018,0)),E188))</f>
        <v/>
      </c>
      <c r="F189">
        <f>IF(A189="",0,IF(A189&gt;$B$5,1,0))</f>
        <v/>
      </c>
      <c r="G189" s="29">
        <f>IF(AND(F189=1,ISNUMBER(D189)),D189,"")</f>
        <v/>
      </c>
      <c r="H189" s="29">
        <f>IF(AND(F189=1,ISNUMBER(E189)),E189,"")</f>
        <v/>
      </c>
      <c r="I189" s="22">
        <f>IF(AND(F189=1,ISNUMBER(C189)),C189,"")</f>
        <v/>
      </c>
      <c r="J189" s="11">
        <f>IF(G189="","",100-IF($G$13=1,50,(_xlfn.RANK.AVG(G189,$G$19:$G$1518,1)-1)/($G$13-1)*100))</f>
        <v/>
      </c>
      <c r="K189" s="11">
        <f>IF(H189="","",100-IF($G$14=1,50,(_xlfn.RANK.AVG(H189,$H$19:$H$1518,1)-1)/($G$14-1)*100))</f>
        <v/>
      </c>
      <c r="L189" s="11">
        <f>IF(I189="","",IF($G$15=1,50,(_xlfn.RANK.AVG(I189,$I$19:$I$1518,1)-1)/($G$15-1)*100))</f>
        <v/>
      </c>
      <c r="M189" s="11">
        <f>IF(COUNT(J189:L189)=3,ROUND(AVERAGE(J189:L189),6),"")</f>
        <v/>
      </c>
      <c r="O189">
        <f>IF(AND(ISNUMBER('자료_미국심리'!$A173),ISNUMBER('자료_미국심리'!$B173)),'자료_미국심리'!$A173,"")</f>
        <v/>
      </c>
      <c r="P189">
        <f>IF(AND(ISNUMBER('자료_미국심리'!$D173),ISNUMBER('자료_미국심리'!$E173)),'자료_미국심리'!$D173,"")</f>
        <v/>
      </c>
      <c r="Q189">
        <f>IF(AND(ISNUMBER('자료_미국심리'!$G173),ISNUMBER('자료_미국심리'!$H173)),'자료_미국심리'!$G173,"")</f>
        <v/>
      </c>
    </row>
    <row r="190">
      <c r="A190" s="10">
        <f>IF(172&gt;$E$5,"",SMALL($O$19:$O$4018,$E$6+172))</f>
        <v/>
      </c>
      <c r="B190" s="29">
        <f>IF(A190="","",INDEX('자료_미국심리'!$B$3:$B$4002,MATCH(A190,$O$19:$O$4018,0)))</f>
        <v/>
      </c>
      <c r="C190" s="22">
        <f>IF(A190="","",B190/AVERAGE(B66:B190)-1)</f>
        <v/>
      </c>
      <c r="D190" s="29">
        <f>IF(A190="","",IFERROR(INDEX('자료_미국심리'!$E$3:$E$4002,MATCH(A190,$P$19:$P$4018,0)),D189))</f>
        <v/>
      </c>
      <c r="E190" s="29">
        <f>IF(A190="","",IFERROR(INDEX('자료_미국심리'!$H$3:$H$4002,MATCH(A190,$Q$19:$Q$4018,0)),E189))</f>
        <v/>
      </c>
      <c r="F190">
        <f>IF(A190="",0,IF(A190&gt;$B$5,1,0))</f>
        <v/>
      </c>
      <c r="G190" s="29">
        <f>IF(AND(F190=1,ISNUMBER(D190)),D190,"")</f>
        <v/>
      </c>
      <c r="H190" s="29">
        <f>IF(AND(F190=1,ISNUMBER(E190)),E190,"")</f>
        <v/>
      </c>
      <c r="I190" s="22">
        <f>IF(AND(F190=1,ISNUMBER(C190)),C190,"")</f>
        <v/>
      </c>
      <c r="J190" s="11">
        <f>IF(G190="","",100-IF($G$13=1,50,(_xlfn.RANK.AVG(G190,$G$19:$G$1518,1)-1)/($G$13-1)*100))</f>
        <v/>
      </c>
      <c r="K190" s="11">
        <f>IF(H190="","",100-IF($G$14=1,50,(_xlfn.RANK.AVG(H190,$H$19:$H$1518,1)-1)/($G$14-1)*100))</f>
        <v/>
      </c>
      <c r="L190" s="11">
        <f>IF(I190="","",IF($G$15=1,50,(_xlfn.RANK.AVG(I190,$I$19:$I$1518,1)-1)/($G$15-1)*100))</f>
        <v/>
      </c>
      <c r="M190" s="11">
        <f>IF(COUNT(J190:L190)=3,ROUND(AVERAGE(J190:L190),6),"")</f>
        <v/>
      </c>
      <c r="O190">
        <f>IF(AND(ISNUMBER('자료_미국심리'!$A174),ISNUMBER('자료_미국심리'!$B174)),'자료_미국심리'!$A174,"")</f>
        <v/>
      </c>
      <c r="P190">
        <f>IF(AND(ISNUMBER('자료_미국심리'!$D174),ISNUMBER('자료_미국심리'!$E174)),'자료_미국심리'!$D174,"")</f>
        <v/>
      </c>
      <c r="Q190">
        <f>IF(AND(ISNUMBER('자료_미국심리'!$G174),ISNUMBER('자료_미국심리'!$H174)),'자료_미국심리'!$G174,"")</f>
        <v/>
      </c>
    </row>
    <row r="191">
      <c r="A191" s="10">
        <f>IF(173&gt;$E$5,"",SMALL($O$19:$O$4018,$E$6+173))</f>
        <v/>
      </c>
      <c r="B191" s="29">
        <f>IF(A191="","",INDEX('자료_미국심리'!$B$3:$B$4002,MATCH(A191,$O$19:$O$4018,0)))</f>
        <v/>
      </c>
      <c r="C191" s="22">
        <f>IF(A191="","",B191/AVERAGE(B67:B191)-1)</f>
        <v/>
      </c>
      <c r="D191" s="29">
        <f>IF(A191="","",IFERROR(INDEX('자료_미국심리'!$E$3:$E$4002,MATCH(A191,$P$19:$P$4018,0)),D190))</f>
        <v/>
      </c>
      <c r="E191" s="29">
        <f>IF(A191="","",IFERROR(INDEX('자료_미국심리'!$H$3:$H$4002,MATCH(A191,$Q$19:$Q$4018,0)),E190))</f>
        <v/>
      </c>
      <c r="F191">
        <f>IF(A191="",0,IF(A191&gt;$B$5,1,0))</f>
        <v/>
      </c>
      <c r="G191" s="29">
        <f>IF(AND(F191=1,ISNUMBER(D191)),D191,"")</f>
        <v/>
      </c>
      <c r="H191" s="29">
        <f>IF(AND(F191=1,ISNUMBER(E191)),E191,"")</f>
        <v/>
      </c>
      <c r="I191" s="22">
        <f>IF(AND(F191=1,ISNUMBER(C191)),C191,"")</f>
        <v/>
      </c>
      <c r="J191" s="11">
        <f>IF(G191="","",100-IF($G$13=1,50,(_xlfn.RANK.AVG(G191,$G$19:$G$1518,1)-1)/($G$13-1)*100))</f>
        <v/>
      </c>
      <c r="K191" s="11">
        <f>IF(H191="","",100-IF($G$14=1,50,(_xlfn.RANK.AVG(H191,$H$19:$H$1518,1)-1)/($G$14-1)*100))</f>
        <v/>
      </c>
      <c r="L191" s="11">
        <f>IF(I191="","",IF($G$15=1,50,(_xlfn.RANK.AVG(I191,$I$19:$I$1518,1)-1)/($G$15-1)*100))</f>
        <v/>
      </c>
      <c r="M191" s="11">
        <f>IF(COUNT(J191:L191)=3,ROUND(AVERAGE(J191:L191),6),"")</f>
        <v/>
      </c>
      <c r="O191">
        <f>IF(AND(ISNUMBER('자료_미국심리'!$A175),ISNUMBER('자료_미국심리'!$B175)),'자료_미국심리'!$A175,"")</f>
        <v/>
      </c>
      <c r="P191">
        <f>IF(AND(ISNUMBER('자료_미국심리'!$D175),ISNUMBER('자료_미국심리'!$E175)),'자료_미국심리'!$D175,"")</f>
        <v/>
      </c>
      <c r="Q191">
        <f>IF(AND(ISNUMBER('자료_미국심리'!$G175),ISNUMBER('자료_미국심리'!$H175)),'자료_미국심리'!$G175,"")</f>
        <v/>
      </c>
    </row>
    <row r="192">
      <c r="A192" s="10">
        <f>IF(174&gt;$E$5,"",SMALL($O$19:$O$4018,$E$6+174))</f>
        <v/>
      </c>
      <c r="B192" s="29">
        <f>IF(A192="","",INDEX('자료_미국심리'!$B$3:$B$4002,MATCH(A192,$O$19:$O$4018,0)))</f>
        <v/>
      </c>
      <c r="C192" s="22">
        <f>IF(A192="","",B192/AVERAGE(B68:B192)-1)</f>
        <v/>
      </c>
      <c r="D192" s="29">
        <f>IF(A192="","",IFERROR(INDEX('자료_미국심리'!$E$3:$E$4002,MATCH(A192,$P$19:$P$4018,0)),D191))</f>
        <v/>
      </c>
      <c r="E192" s="29">
        <f>IF(A192="","",IFERROR(INDEX('자료_미국심리'!$H$3:$H$4002,MATCH(A192,$Q$19:$Q$4018,0)),E191))</f>
        <v/>
      </c>
      <c r="F192">
        <f>IF(A192="",0,IF(A192&gt;$B$5,1,0))</f>
        <v/>
      </c>
      <c r="G192" s="29">
        <f>IF(AND(F192=1,ISNUMBER(D192)),D192,"")</f>
        <v/>
      </c>
      <c r="H192" s="29">
        <f>IF(AND(F192=1,ISNUMBER(E192)),E192,"")</f>
        <v/>
      </c>
      <c r="I192" s="22">
        <f>IF(AND(F192=1,ISNUMBER(C192)),C192,"")</f>
        <v/>
      </c>
      <c r="J192" s="11">
        <f>IF(G192="","",100-IF($G$13=1,50,(_xlfn.RANK.AVG(G192,$G$19:$G$1518,1)-1)/($G$13-1)*100))</f>
        <v/>
      </c>
      <c r="K192" s="11">
        <f>IF(H192="","",100-IF($G$14=1,50,(_xlfn.RANK.AVG(H192,$H$19:$H$1518,1)-1)/($G$14-1)*100))</f>
        <v/>
      </c>
      <c r="L192" s="11">
        <f>IF(I192="","",IF($G$15=1,50,(_xlfn.RANK.AVG(I192,$I$19:$I$1518,1)-1)/($G$15-1)*100))</f>
        <v/>
      </c>
      <c r="M192" s="11">
        <f>IF(COUNT(J192:L192)=3,ROUND(AVERAGE(J192:L192),6),"")</f>
        <v/>
      </c>
      <c r="O192">
        <f>IF(AND(ISNUMBER('자료_미국심리'!$A176),ISNUMBER('자료_미국심리'!$B176)),'자료_미국심리'!$A176,"")</f>
        <v/>
      </c>
      <c r="P192">
        <f>IF(AND(ISNUMBER('자료_미국심리'!$D176),ISNUMBER('자료_미국심리'!$E176)),'자료_미국심리'!$D176,"")</f>
        <v/>
      </c>
      <c r="Q192">
        <f>IF(AND(ISNUMBER('자료_미국심리'!$G176),ISNUMBER('자료_미국심리'!$H176)),'자료_미국심리'!$G176,"")</f>
        <v/>
      </c>
    </row>
    <row r="193">
      <c r="A193" s="10">
        <f>IF(175&gt;$E$5,"",SMALL($O$19:$O$4018,$E$6+175))</f>
        <v/>
      </c>
      <c r="B193" s="29">
        <f>IF(A193="","",INDEX('자료_미국심리'!$B$3:$B$4002,MATCH(A193,$O$19:$O$4018,0)))</f>
        <v/>
      </c>
      <c r="C193" s="22">
        <f>IF(A193="","",B193/AVERAGE(B69:B193)-1)</f>
        <v/>
      </c>
      <c r="D193" s="29">
        <f>IF(A193="","",IFERROR(INDEX('자료_미국심리'!$E$3:$E$4002,MATCH(A193,$P$19:$P$4018,0)),D192))</f>
        <v/>
      </c>
      <c r="E193" s="29">
        <f>IF(A193="","",IFERROR(INDEX('자료_미국심리'!$H$3:$H$4002,MATCH(A193,$Q$19:$Q$4018,0)),E192))</f>
        <v/>
      </c>
      <c r="F193">
        <f>IF(A193="",0,IF(A193&gt;$B$5,1,0))</f>
        <v/>
      </c>
      <c r="G193" s="29">
        <f>IF(AND(F193=1,ISNUMBER(D193)),D193,"")</f>
        <v/>
      </c>
      <c r="H193" s="29">
        <f>IF(AND(F193=1,ISNUMBER(E193)),E193,"")</f>
        <v/>
      </c>
      <c r="I193" s="22">
        <f>IF(AND(F193=1,ISNUMBER(C193)),C193,"")</f>
        <v/>
      </c>
      <c r="J193" s="11">
        <f>IF(G193="","",100-IF($G$13=1,50,(_xlfn.RANK.AVG(G193,$G$19:$G$1518,1)-1)/($G$13-1)*100))</f>
        <v/>
      </c>
      <c r="K193" s="11">
        <f>IF(H193="","",100-IF($G$14=1,50,(_xlfn.RANK.AVG(H193,$H$19:$H$1518,1)-1)/($G$14-1)*100))</f>
        <v/>
      </c>
      <c r="L193" s="11">
        <f>IF(I193="","",IF($G$15=1,50,(_xlfn.RANK.AVG(I193,$I$19:$I$1518,1)-1)/($G$15-1)*100))</f>
        <v/>
      </c>
      <c r="M193" s="11">
        <f>IF(COUNT(J193:L193)=3,ROUND(AVERAGE(J193:L193),6),"")</f>
        <v/>
      </c>
      <c r="O193">
        <f>IF(AND(ISNUMBER('자료_미국심리'!$A177),ISNUMBER('자료_미국심리'!$B177)),'자료_미국심리'!$A177,"")</f>
        <v/>
      </c>
      <c r="P193">
        <f>IF(AND(ISNUMBER('자료_미국심리'!$D177),ISNUMBER('자료_미국심리'!$E177)),'자료_미국심리'!$D177,"")</f>
        <v/>
      </c>
      <c r="Q193">
        <f>IF(AND(ISNUMBER('자료_미국심리'!$G177),ISNUMBER('자료_미국심리'!$H177)),'자료_미국심리'!$G177,"")</f>
        <v/>
      </c>
    </row>
    <row r="194">
      <c r="A194" s="10">
        <f>IF(176&gt;$E$5,"",SMALL($O$19:$O$4018,$E$6+176))</f>
        <v/>
      </c>
      <c r="B194" s="29">
        <f>IF(A194="","",INDEX('자료_미국심리'!$B$3:$B$4002,MATCH(A194,$O$19:$O$4018,0)))</f>
        <v/>
      </c>
      <c r="C194" s="22">
        <f>IF(A194="","",B194/AVERAGE(B70:B194)-1)</f>
        <v/>
      </c>
      <c r="D194" s="29">
        <f>IF(A194="","",IFERROR(INDEX('자료_미국심리'!$E$3:$E$4002,MATCH(A194,$P$19:$P$4018,0)),D193))</f>
        <v/>
      </c>
      <c r="E194" s="29">
        <f>IF(A194="","",IFERROR(INDEX('자료_미국심리'!$H$3:$H$4002,MATCH(A194,$Q$19:$Q$4018,0)),E193))</f>
        <v/>
      </c>
      <c r="F194">
        <f>IF(A194="",0,IF(A194&gt;$B$5,1,0))</f>
        <v/>
      </c>
      <c r="G194" s="29">
        <f>IF(AND(F194=1,ISNUMBER(D194)),D194,"")</f>
        <v/>
      </c>
      <c r="H194" s="29">
        <f>IF(AND(F194=1,ISNUMBER(E194)),E194,"")</f>
        <v/>
      </c>
      <c r="I194" s="22">
        <f>IF(AND(F194=1,ISNUMBER(C194)),C194,"")</f>
        <v/>
      </c>
      <c r="J194" s="11">
        <f>IF(G194="","",100-IF($G$13=1,50,(_xlfn.RANK.AVG(G194,$G$19:$G$1518,1)-1)/($G$13-1)*100))</f>
        <v/>
      </c>
      <c r="K194" s="11">
        <f>IF(H194="","",100-IF($G$14=1,50,(_xlfn.RANK.AVG(H194,$H$19:$H$1518,1)-1)/($G$14-1)*100))</f>
        <v/>
      </c>
      <c r="L194" s="11">
        <f>IF(I194="","",IF($G$15=1,50,(_xlfn.RANK.AVG(I194,$I$19:$I$1518,1)-1)/($G$15-1)*100))</f>
        <v/>
      </c>
      <c r="M194" s="11">
        <f>IF(COUNT(J194:L194)=3,ROUND(AVERAGE(J194:L194),6),"")</f>
        <v/>
      </c>
      <c r="O194">
        <f>IF(AND(ISNUMBER('자료_미국심리'!$A178),ISNUMBER('자료_미국심리'!$B178)),'자료_미국심리'!$A178,"")</f>
        <v/>
      </c>
      <c r="P194">
        <f>IF(AND(ISNUMBER('자료_미국심리'!$D178),ISNUMBER('자료_미국심리'!$E178)),'자료_미국심리'!$D178,"")</f>
        <v/>
      </c>
      <c r="Q194">
        <f>IF(AND(ISNUMBER('자료_미국심리'!$G178),ISNUMBER('자료_미국심리'!$H178)),'자료_미국심리'!$G178,"")</f>
        <v/>
      </c>
    </row>
    <row r="195">
      <c r="A195" s="10">
        <f>IF(177&gt;$E$5,"",SMALL($O$19:$O$4018,$E$6+177))</f>
        <v/>
      </c>
      <c r="B195" s="29">
        <f>IF(A195="","",INDEX('자료_미국심리'!$B$3:$B$4002,MATCH(A195,$O$19:$O$4018,0)))</f>
        <v/>
      </c>
      <c r="C195" s="22">
        <f>IF(A195="","",B195/AVERAGE(B71:B195)-1)</f>
        <v/>
      </c>
      <c r="D195" s="29">
        <f>IF(A195="","",IFERROR(INDEX('자료_미국심리'!$E$3:$E$4002,MATCH(A195,$P$19:$P$4018,0)),D194))</f>
        <v/>
      </c>
      <c r="E195" s="29">
        <f>IF(A195="","",IFERROR(INDEX('자료_미국심리'!$H$3:$H$4002,MATCH(A195,$Q$19:$Q$4018,0)),E194))</f>
        <v/>
      </c>
      <c r="F195">
        <f>IF(A195="",0,IF(A195&gt;$B$5,1,0))</f>
        <v/>
      </c>
      <c r="G195" s="29">
        <f>IF(AND(F195=1,ISNUMBER(D195)),D195,"")</f>
        <v/>
      </c>
      <c r="H195" s="29">
        <f>IF(AND(F195=1,ISNUMBER(E195)),E195,"")</f>
        <v/>
      </c>
      <c r="I195" s="22">
        <f>IF(AND(F195=1,ISNUMBER(C195)),C195,"")</f>
        <v/>
      </c>
      <c r="J195" s="11">
        <f>IF(G195="","",100-IF($G$13=1,50,(_xlfn.RANK.AVG(G195,$G$19:$G$1518,1)-1)/($G$13-1)*100))</f>
        <v/>
      </c>
      <c r="K195" s="11">
        <f>IF(H195="","",100-IF($G$14=1,50,(_xlfn.RANK.AVG(H195,$H$19:$H$1518,1)-1)/($G$14-1)*100))</f>
        <v/>
      </c>
      <c r="L195" s="11">
        <f>IF(I195="","",IF($G$15=1,50,(_xlfn.RANK.AVG(I195,$I$19:$I$1518,1)-1)/($G$15-1)*100))</f>
        <v/>
      </c>
      <c r="M195" s="11">
        <f>IF(COUNT(J195:L195)=3,ROUND(AVERAGE(J195:L195),6),"")</f>
        <v/>
      </c>
      <c r="O195">
        <f>IF(AND(ISNUMBER('자료_미국심리'!$A179),ISNUMBER('자료_미국심리'!$B179)),'자료_미국심리'!$A179,"")</f>
        <v/>
      </c>
      <c r="P195">
        <f>IF(AND(ISNUMBER('자료_미국심리'!$D179),ISNUMBER('자료_미국심리'!$E179)),'자료_미국심리'!$D179,"")</f>
        <v/>
      </c>
      <c r="Q195">
        <f>IF(AND(ISNUMBER('자료_미국심리'!$G179),ISNUMBER('자료_미국심리'!$H179)),'자료_미국심리'!$G179,"")</f>
        <v/>
      </c>
    </row>
    <row r="196">
      <c r="A196" s="10">
        <f>IF(178&gt;$E$5,"",SMALL($O$19:$O$4018,$E$6+178))</f>
        <v/>
      </c>
      <c r="B196" s="29">
        <f>IF(A196="","",INDEX('자료_미국심리'!$B$3:$B$4002,MATCH(A196,$O$19:$O$4018,0)))</f>
        <v/>
      </c>
      <c r="C196" s="22">
        <f>IF(A196="","",B196/AVERAGE(B72:B196)-1)</f>
        <v/>
      </c>
      <c r="D196" s="29">
        <f>IF(A196="","",IFERROR(INDEX('자료_미국심리'!$E$3:$E$4002,MATCH(A196,$P$19:$P$4018,0)),D195))</f>
        <v/>
      </c>
      <c r="E196" s="29">
        <f>IF(A196="","",IFERROR(INDEX('자료_미국심리'!$H$3:$H$4002,MATCH(A196,$Q$19:$Q$4018,0)),E195))</f>
        <v/>
      </c>
      <c r="F196">
        <f>IF(A196="",0,IF(A196&gt;$B$5,1,0))</f>
        <v/>
      </c>
      <c r="G196" s="29">
        <f>IF(AND(F196=1,ISNUMBER(D196)),D196,"")</f>
        <v/>
      </c>
      <c r="H196" s="29">
        <f>IF(AND(F196=1,ISNUMBER(E196)),E196,"")</f>
        <v/>
      </c>
      <c r="I196" s="22">
        <f>IF(AND(F196=1,ISNUMBER(C196)),C196,"")</f>
        <v/>
      </c>
      <c r="J196" s="11">
        <f>IF(G196="","",100-IF($G$13=1,50,(_xlfn.RANK.AVG(G196,$G$19:$G$1518,1)-1)/($G$13-1)*100))</f>
        <v/>
      </c>
      <c r="K196" s="11">
        <f>IF(H196="","",100-IF($G$14=1,50,(_xlfn.RANK.AVG(H196,$H$19:$H$1518,1)-1)/($G$14-1)*100))</f>
        <v/>
      </c>
      <c r="L196" s="11">
        <f>IF(I196="","",IF($G$15=1,50,(_xlfn.RANK.AVG(I196,$I$19:$I$1518,1)-1)/($G$15-1)*100))</f>
        <v/>
      </c>
      <c r="M196" s="11">
        <f>IF(COUNT(J196:L196)=3,ROUND(AVERAGE(J196:L196),6),"")</f>
        <v/>
      </c>
      <c r="O196">
        <f>IF(AND(ISNUMBER('자료_미국심리'!$A180),ISNUMBER('자료_미국심리'!$B180)),'자료_미국심리'!$A180,"")</f>
        <v/>
      </c>
      <c r="P196">
        <f>IF(AND(ISNUMBER('자료_미국심리'!$D180),ISNUMBER('자료_미국심리'!$E180)),'자료_미국심리'!$D180,"")</f>
        <v/>
      </c>
      <c r="Q196">
        <f>IF(AND(ISNUMBER('자료_미국심리'!$G180),ISNUMBER('자료_미국심리'!$H180)),'자료_미국심리'!$G180,"")</f>
        <v/>
      </c>
    </row>
    <row r="197">
      <c r="A197" s="10">
        <f>IF(179&gt;$E$5,"",SMALL($O$19:$O$4018,$E$6+179))</f>
        <v/>
      </c>
      <c r="B197" s="29">
        <f>IF(A197="","",INDEX('자료_미국심리'!$B$3:$B$4002,MATCH(A197,$O$19:$O$4018,0)))</f>
        <v/>
      </c>
      <c r="C197" s="22">
        <f>IF(A197="","",B197/AVERAGE(B73:B197)-1)</f>
        <v/>
      </c>
      <c r="D197" s="29">
        <f>IF(A197="","",IFERROR(INDEX('자료_미국심리'!$E$3:$E$4002,MATCH(A197,$P$19:$P$4018,0)),D196))</f>
        <v/>
      </c>
      <c r="E197" s="29">
        <f>IF(A197="","",IFERROR(INDEX('자료_미국심리'!$H$3:$H$4002,MATCH(A197,$Q$19:$Q$4018,0)),E196))</f>
        <v/>
      </c>
      <c r="F197">
        <f>IF(A197="",0,IF(A197&gt;$B$5,1,0))</f>
        <v/>
      </c>
      <c r="G197" s="29">
        <f>IF(AND(F197=1,ISNUMBER(D197)),D197,"")</f>
        <v/>
      </c>
      <c r="H197" s="29">
        <f>IF(AND(F197=1,ISNUMBER(E197)),E197,"")</f>
        <v/>
      </c>
      <c r="I197" s="22">
        <f>IF(AND(F197=1,ISNUMBER(C197)),C197,"")</f>
        <v/>
      </c>
      <c r="J197" s="11">
        <f>IF(G197="","",100-IF($G$13=1,50,(_xlfn.RANK.AVG(G197,$G$19:$G$1518,1)-1)/($G$13-1)*100))</f>
        <v/>
      </c>
      <c r="K197" s="11">
        <f>IF(H197="","",100-IF($G$14=1,50,(_xlfn.RANK.AVG(H197,$H$19:$H$1518,1)-1)/($G$14-1)*100))</f>
        <v/>
      </c>
      <c r="L197" s="11">
        <f>IF(I197="","",IF($G$15=1,50,(_xlfn.RANK.AVG(I197,$I$19:$I$1518,1)-1)/($G$15-1)*100))</f>
        <v/>
      </c>
      <c r="M197" s="11">
        <f>IF(COUNT(J197:L197)=3,ROUND(AVERAGE(J197:L197),6),"")</f>
        <v/>
      </c>
      <c r="O197">
        <f>IF(AND(ISNUMBER('자료_미국심리'!$A181),ISNUMBER('자료_미국심리'!$B181)),'자료_미국심리'!$A181,"")</f>
        <v/>
      </c>
      <c r="P197">
        <f>IF(AND(ISNUMBER('자료_미국심리'!$D181),ISNUMBER('자료_미국심리'!$E181)),'자료_미국심리'!$D181,"")</f>
        <v/>
      </c>
      <c r="Q197">
        <f>IF(AND(ISNUMBER('자료_미국심리'!$G181),ISNUMBER('자료_미국심리'!$H181)),'자료_미국심리'!$G181,"")</f>
        <v/>
      </c>
    </row>
    <row r="198">
      <c r="A198" s="10">
        <f>IF(180&gt;$E$5,"",SMALL($O$19:$O$4018,$E$6+180))</f>
        <v/>
      </c>
      <c r="B198" s="29">
        <f>IF(A198="","",INDEX('자료_미국심리'!$B$3:$B$4002,MATCH(A198,$O$19:$O$4018,0)))</f>
        <v/>
      </c>
      <c r="C198" s="22">
        <f>IF(A198="","",B198/AVERAGE(B74:B198)-1)</f>
        <v/>
      </c>
      <c r="D198" s="29">
        <f>IF(A198="","",IFERROR(INDEX('자료_미국심리'!$E$3:$E$4002,MATCH(A198,$P$19:$P$4018,0)),D197))</f>
        <v/>
      </c>
      <c r="E198" s="29">
        <f>IF(A198="","",IFERROR(INDEX('자료_미국심리'!$H$3:$H$4002,MATCH(A198,$Q$19:$Q$4018,0)),E197))</f>
        <v/>
      </c>
      <c r="F198">
        <f>IF(A198="",0,IF(A198&gt;$B$5,1,0))</f>
        <v/>
      </c>
      <c r="G198" s="29">
        <f>IF(AND(F198=1,ISNUMBER(D198)),D198,"")</f>
        <v/>
      </c>
      <c r="H198" s="29">
        <f>IF(AND(F198=1,ISNUMBER(E198)),E198,"")</f>
        <v/>
      </c>
      <c r="I198" s="22">
        <f>IF(AND(F198=1,ISNUMBER(C198)),C198,"")</f>
        <v/>
      </c>
      <c r="J198" s="11">
        <f>IF(G198="","",100-IF($G$13=1,50,(_xlfn.RANK.AVG(G198,$G$19:$G$1518,1)-1)/($G$13-1)*100))</f>
        <v/>
      </c>
      <c r="K198" s="11">
        <f>IF(H198="","",100-IF($G$14=1,50,(_xlfn.RANK.AVG(H198,$H$19:$H$1518,1)-1)/($G$14-1)*100))</f>
        <v/>
      </c>
      <c r="L198" s="11">
        <f>IF(I198="","",IF($G$15=1,50,(_xlfn.RANK.AVG(I198,$I$19:$I$1518,1)-1)/($G$15-1)*100))</f>
        <v/>
      </c>
      <c r="M198" s="11">
        <f>IF(COUNT(J198:L198)=3,ROUND(AVERAGE(J198:L198),6),"")</f>
        <v/>
      </c>
      <c r="O198">
        <f>IF(AND(ISNUMBER('자료_미국심리'!$A182),ISNUMBER('자료_미국심리'!$B182)),'자료_미국심리'!$A182,"")</f>
        <v/>
      </c>
      <c r="P198">
        <f>IF(AND(ISNUMBER('자료_미국심리'!$D182),ISNUMBER('자료_미국심리'!$E182)),'자료_미국심리'!$D182,"")</f>
        <v/>
      </c>
      <c r="Q198">
        <f>IF(AND(ISNUMBER('자료_미국심리'!$G182),ISNUMBER('자료_미국심리'!$H182)),'자료_미국심리'!$G182,"")</f>
        <v/>
      </c>
    </row>
    <row r="199">
      <c r="A199" s="10">
        <f>IF(181&gt;$E$5,"",SMALL($O$19:$O$4018,$E$6+181))</f>
        <v/>
      </c>
      <c r="B199" s="29">
        <f>IF(A199="","",INDEX('자료_미국심리'!$B$3:$B$4002,MATCH(A199,$O$19:$O$4018,0)))</f>
        <v/>
      </c>
      <c r="C199" s="22">
        <f>IF(A199="","",B199/AVERAGE(B75:B199)-1)</f>
        <v/>
      </c>
      <c r="D199" s="29">
        <f>IF(A199="","",IFERROR(INDEX('자료_미국심리'!$E$3:$E$4002,MATCH(A199,$P$19:$P$4018,0)),D198))</f>
        <v/>
      </c>
      <c r="E199" s="29">
        <f>IF(A199="","",IFERROR(INDEX('자료_미국심리'!$H$3:$H$4002,MATCH(A199,$Q$19:$Q$4018,0)),E198))</f>
        <v/>
      </c>
      <c r="F199">
        <f>IF(A199="",0,IF(A199&gt;$B$5,1,0))</f>
        <v/>
      </c>
      <c r="G199" s="29">
        <f>IF(AND(F199=1,ISNUMBER(D199)),D199,"")</f>
        <v/>
      </c>
      <c r="H199" s="29">
        <f>IF(AND(F199=1,ISNUMBER(E199)),E199,"")</f>
        <v/>
      </c>
      <c r="I199" s="22">
        <f>IF(AND(F199=1,ISNUMBER(C199)),C199,"")</f>
        <v/>
      </c>
      <c r="J199" s="11">
        <f>IF(G199="","",100-IF($G$13=1,50,(_xlfn.RANK.AVG(G199,$G$19:$G$1518,1)-1)/($G$13-1)*100))</f>
        <v/>
      </c>
      <c r="K199" s="11">
        <f>IF(H199="","",100-IF($G$14=1,50,(_xlfn.RANK.AVG(H199,$H$19:$H$1518,1)-1)/($G$14-1)*100))</f>
        <v/>
      </c>
      <c r="L199" s="11">
        <f>IF(I199="","",IF($G$15=1,50,(_xlfn.RANK.AVG(I199,$I$19:$I$1518,1)-1)/($G$15-1)*100))</f>
        <v/>
      </c>
      <c r="M199" s="11">
        <f>IF(COUNT(J199:L199)=3,ROUND(AVERAGE(J199:L199),6),"")</f>
        <v/>
      </c>
      <c r="O199">
        <f>IF(AND(ISNUMBER('자료_미국심리'!$A183),ISNUMBER('자료_미국심리'!$B183)),'자료_미국심리'!$A183,"")</f>
        <v/>
      </c>
      <c r="P199">
        <f>IF(AND(ISNUMBER('자료_미국심리'!$D183),ISNUMBER('자료_미국심리'!$E183)),'자료_미국심리'!$D183,"")</f>
        <v/>
      </c>
      <c r="Q199">
        <f>IF(AND(ISNUMBER('자료_미국심리'!$G183),ISNUMBER('자료_미국심리'!$H183)),'자료_미국심리'!$G183,"")</f>
        <v/>
      </c>
    </row>
    <row r="200">
      <c r="A200" s="10">
        <f>IF(182&gt;$E$5,"",SMALL($O$19:$O$4018,$E$6+182))</f>
        <v/>
      </c>
      <c r="B200" s="29">
        <f>IF(A200="","",INDEX('자료_미국심리'!$B$3:$B$4002,MATCH(A200,$O$19:$O$4018,0)))</f>
        <v/>
      </c>
      <c r="C200" s="22">
        <f>IF(A200="","",B200/AVERAGE(B76:B200)-1)</f>
        <v/>
      </c>
      <c r="D200" s="29">
        <f>IF(A200="","",IFERROR(INDEX('자료_미국심리'!$E$3:$E$4002,MATCH(A200,$P$19:$P$4018,0)),D199))</f>
        <v/>
      </c>
      <c r="E200" s="29">
        <f>IF(A200="","",IFERROR(INDEX('자료_미국심리'!$H$3:$H$4002,MATCH(A200,$Q$19:$Q$4018,0)),E199))</f>
        <v/>
      </c>
      <c r="F200">
        <f>IF(A200="",0,IF(A200&gt;$B$5,1,0))</f>
        <v/>
      </c>
      <c r="G200" s="29">
        <f>IF(AND(F200=1,ISNUMBER(D200)),D200,"")</f>
        <v/>
      </c>
      <c r="H200" s="29">
        <f>IF(AND(F200=1,ISNUMBER(E200)),E200,"")</f>
        <v/>
      </c>
      <c r="I200" s="22">
        <f>IF(AND(F200=1,ISNUMBER(C200)),C200,"")</f>
        <v/>
      </c>
      <c r="J200" s="11">
        <f>IF(G200="","",100-IF($G$13=1,50,(_xlfn.RANK.AVG(G200,$G$19:$G$1518,1)-1)/($G$13-1)*100))</f>
        <v/>
      </c>
      <c r="K200" s="11">
        <f>IF(H200="","",100-IF($G$14=1,50,(_xlfn.RANK.AVG(H200,$H$19:$H$1518,1)-1)/($G$14-1)*100))</f>
        <v/>
      </c>
      <c r="L200" s="11">
        <f>IF(I200="","",IF($G$15=1,50,(_xlfn.RANK.AVG(I200,$I$19:$I$1518,1)-1)/($G$15-1)*100))</f>
        <v/>
      </c>
      <c r="M200" s="11">
        <f>IF(COUNT(J200:L200)=3,ROUND(AVERAGE(J200:L200),6),"")</f>
        <v/>
      </c>
      <c r="O200">
        <f>IF(AND(ISNUMBER('자료_미국심리'!$A184),ISNUMBER('자료_미국심리'!$B184)),'자료_미국심리'!$A184,"")</f>
        <v/>
      </c>
      <c r="P200">
        <f>IF(AND(ISNUMBER('자료_미국심리'!$D184),ISNUMBER('자료_미국심리'!$E184)),'자료_미국심리'!$D184,"")</f>
        <v/>
      </c>
      <c r="Q200">
        <f>IF(AND(ISNUMBER('자료_미국심리'!$G184),ISNUMBER('자료_미국심리'!$H184)),'자료_미국심리'!$G184,"")</f>
        <v/>
      </c>
    </row>
    <row r="201">
      <c r="A201" s="10">
        <f>IF(183&gt;$E$5,"",SMALL($O$19:$O$4018,$E$6+183))</f>
        <v/>
      </c>
      <c r="B201" s="29">
        <f>IF(A201="","",INDEX('자료_미국심리'!$B$3:$B$4002,MATCH(A201,$O$19:$O$4018,0)))</f>
        <v/>
      </c>
      <c r="C201" s="22">
        <f>IF(A201="","",B201/AVERAGE(B77:B201)-1)</f>
        <v/>
      </c>
      <c r="D201" s="29">
        <f>IF(A201="","",IFERROR(INDEX('자료_미국심리'!$E$3:$E$4002,MATCH(A201,$P$19:$P$4018,0)),D200))</f>
        <v/>
      </c>
      <c r="E201" s="29">
        <f>IF(A201="","",IFERROR(INDEX('자료_미국심리'!$H$3:$H$4002,MATCH(A201,$Q$19:$Q$4018,0)),E200))</f>
        <v/>
      </c>
      <c r="F201">
        <f>IF(A201="",0,IF(A201&gt;$B$5,1,0))</f>
        <v/>
      </c>
      <c r="G201" s="29">
        <f>IF(AND(F201=1,ISNUMBER(D201)),D201,"")</f>
        <v/>
      </c>
      <c r="H201" s="29">
        <f>IF(AND(F201=1,ISNUMBER(E201)),E201,"")</f>
        <v/>
      </c>
      <c r="I201" s="22">
        <f>IF(AND(F201=1,ISNUMBER(C201)),C201,"")</f>
        <v/>
      </c>
      <c r="J201" s="11">
        <f>IF(G201="","",100-IF($G$13=1,50,(_xlfn.RANK.AVG(G201,$G$19:$G$1518,1)-1)/($G$13-1)*100))</f>
        <v/>
      </c>
      <c r="K201" s="11">
        <f>IF(H201="","",100-IF($G$14=1,50,(_xlfn.RANK.AVG(H201,$H$19:$H$1518,1)-1)/($G$14-1)*100))</f>
        <v/>
      </c>
      <c r="L201" s="11">
        <f>IF(I201="","",IF($G$15=1,50,(_xlfn.RANK.AVG(I201,$I$19:$I$1518,1)-1)/($G$15-1)*100))</f>
        <v/>
      </c>
      <c r="M201" s="11">
        <f>IF(COUNT(J201:L201)=3,ROUND(AVERAGE(J201:L201),6),"")</f>
        <v/>
      </c>
      <c r="O201">
        <f>IF(AND(ISNUMBER('자료_미국심리'!$A185),ISNUMBER('자료_미국심리'!$B185)),'자료_미국심리'!$A185,"")</f>
        <v/>
      </c>
      <c r="P201">
        <f>IF(AND(ISNUMBER('자료_미국심리'!$D185),ISNUMBER('자료_미국심리'!$E185)),'자료_미국심리'!$D185,"")</f>
        <v/>
      </c>
      <c r="Q201">
        <f>IF(AND(ISNUMBER('자료_미국심리'!$G185),ISNUMBER('자료_미국심리'!$H185)),'자료_미국심리'!$G185,"")</f>
        <v/>
      </c>
    </row>
    <row r="202">
      <c r="A202" s="10">
        <f>IF(184&gt;$E$5,"",SMALL($O$19:$O$4018,$E$6+184))</f>
        <v/>
      </c>
      <c r="B202" s="29">
        <f>IF(A202="","",INDEX('자료_미국심리'!$B$3:$B$4002,MATCH(A202,$O$19:$O$4018,0)))</f>
        <v/>
      </c>
      <c r="C202" s="22">
        <f>IF(A202="","",B202/AVERAGE(B78:B202)-1)</f>
        <v/>
      </c>
      <c r="D202" s="29">
        <f>IF(A202="","",IFERROR(INDEX('자료_미국심리'!$E$3:$E$4002,MATCH(A202,$P$19:$P$4018,0)),D201))</f>
        <v/>
      </c>
      <c r="E202" s="29">
        <f>IF(A202="","",IFERROR(INDEX('자료_미국심리'!$H$3:$H$4002,MATCH(A202,$Q$19:$Q$4018,0)),E201))</f>
        <v/>
      </c>
      <c r="F202">
        <f>IF(A202="",0,IF(A202&gt;$B$5,1,0))</f>
        <v/>
      </c>
      <c r="G202" s="29">
        <f>IF(AND(F202=1,ISNUMBER(D202)),D202,"")</f>
        <v/>
      </c>
      <c r="H202" s="29">
        <f>IF(AND(F202=1,ISNUMBER(E202)),E202,"")</f>
        <v/>
      </c>
      <c r="I202" s="22">
        <f>IF(AND(F202=1,ISNUMBER(C202)),C202,"")</f>
        <v/>
      </c>
      <c r="J202" s="11">
        <f>IF(G202="","",100-IF($G$13=1,50,(_xlfn.RANK.AVG(G202,$G$19:$G$1518,1)-1)/($G$13-1)*100))</f>
        <v/>
      </c>
      <c r="K202" s="11">
        <f>IF(H202="","",100-IF($G$14=1,50,(_xlfn.RANK.AVG(H202,$H$19:$H$1518,1)-1)/($G$14-1)*100))</f>
        <v/>
      </c>
      <c r="L202" s="11">
        <f>IF(I202="","",IF($G$15=1,50,(_xlfn.RANK.AVG(I202,$I$19:$I$1518,1)-1)/($G$15-1)*100))</f>
        <v/>
      </c>
      <c r="M202" s="11">
        <f>IF(COUNT(J202:L202)=3,ROUND(AVERAGE(J202:L202),6),"")</f>
        <v/>
      </c>
      <c r="O202">
        <f>IF(AND(ISNUMBER('자료_미국심리'!$A186),ISNUMBER('자료_미국심리'!$B186)),'자료_미국심리'!$A186,"")</f>
        <v/>
      </c>
      <c r="P202">
        <f>IF(AND(ISNUMBER('자료_미국심리'!$D186),ISNUMBER('자료_미국심리'!$E186)),'자료_미국심리'!$D186,"")</f>
        <v/>
      </c>
      <c r="Q202">
        <f>IF(AND(ISNUMBER('자료_미국심리'!$G186),ISNUMBER('자료_미국심리'!$H186)),'자료_미국심리'!$G186,"")</f>
        <v/>
      </c>
    </row>
    <row r="203">
      <c r="A203" s="10">
        <f>IF(185&gt;$E$5,"",SMALL($O$19:$O$4018,$E$6+185))</f>
        <v/>
      </c>
      <c r="B203" s="29">
        <f>IF(A203="","",INDEX('자료_미국심리'!$B$3:$B$4002,MATCH(A203,$O$19:$O$4018,0)))</f>
        <v/>
      </c>
      <c r="C203" s="22">
        <f>IF(A203="","",B203/AVERAGE(B79:B203)-1)</f>
        <v/>
      </c>
      <c r="D203" s="29">
        <f>IF(A203="","",IFERROR(INDEX('자료_미국심리'!$E$3:$E$4002,MATCH(A203,$P$19:$P$4018,0)),D202))</f>
        <v/>
      </c>
      <c r="E203" s="29">
        <f>IF(A203="","",IFERROR(INDEX('자료_미국심리'!$H$3:$H$4002,MATCH(A203,$Q$19:$Q$4018,0)),E202))</f>
        <v/>
      </c>
      <c r="F203">
        <f>IF(A203="",0,IF(A203&gt;$B$5,1,0))</f>
        <v/>
      </c>
      <c r="G203" s="29">
        <f>IF(AND(F203=1,ISNUMBER(D203)),D203,"")</f>
        <v/>
      </c>
      <c r="H203" s="29">
        <f>IF(AND(F203=1,ISNUMBER(E203)),E203,"")</f>
        <v/>
      </c>
      <c r="I203" s="22">
        <f>IF(AND(F203=1,ISNUMBER(C203)),C203,"")</f>
        <v/>
      </c>
      <c r="J203" s="11">
        <f>IF(G203="","",100-IF($G$13=1,50,(_xlfn.RANK.AVG(G203,$G$19:$G$1518,1)-1)/($G$13-1)*100))</f>
        <v/>
      </c>
      <c r="K203" s="11">
        <f>IF(H203="","",100-IF($G$14=1,50,(_xlfn.RANK.AVG(H203,$H$19:$H$1518,1)-1)/($G$14-1)*100))</f>
        <v/>
      </c>
      <c r="L203" s="11">
        <f>IF(I203="","",IF($G$15=1,50,(_xlfn.RANK.AVG(I203,$I$19:$I$1518,1)-1)/($G$15-1)*100))</f>
        <v/>
      </c>
      <c r="M203" s="11">
        <f>IF(COUNT(J203:L203)=3,ROUND(AVERAGE(J203:L203),6),"")</f>
        <v/>
      </c>
      <c r="O203">
        <f>IF(AND(ISNUMBER('자료_미국심리'!$A187),ISNUMBER('자료_미국심리'!$B187)),'자료_미국심리'!$A187,"")</f>
        <v/>
      </c>
      <c r="P203">
        <f>IF(AND(ISNUMBER('자료_미국심리'!$D187),ISNUMBER('자료_미국심리'!$E187)),'자료_미국심리'!$D187,"")</f>
        <v/>
      </c>
      <c r="Q203">
        <f>IF(AND(ISNUMBER('자료_미국심리'!$G187),ISNUMBER('자료_미국심리'!$H187)),'자료_미국심리'!$G187,"")</f>
        <v/>
      </c>
    </row>
    <row r="204">
      <c r="A204" s="10">
        <f>IF(186&gt;$E$5,"",SMALL($O$19:$O$4018,$E$6+186))</f>
        <v/>
      </c>
      <c r="B204" s="29">
        <f>IF(A204="","",INDEX('자료_미국심리'!$B$3:$B$4002,MATCH(A204,$O$19:$O$4018,0)))</f>
        <v/>
      </c>
      <c r="C204" s="22">
        <f>IF(A204="","",B204/AVERAGE(B80:B204)-1)</f>
        <v/>
      </c>
      <c r="D204" s="29">
        <f>IF(A204="","",IFERROR(INDEX('자료_미국심리'!$E$3:$E$4002,MATCH(A204,$P$19:$P$4018,0)),D203))</f>
        <v/>
      </c>
      <c r="E204" s="29">
        <f>IF(A204="","",IFERROR(INDEX('자료_미국심리'!$H$3:$H$4002,MATCH(A204,$Q$19:$Q$4018,0)),E203))</f>
        <v/>
      </c>
      <c r="F204">
        <f>IF(A204="",0,IF(A204&gt;$B$5,1,0))</f>
        <v/>
      </c>
      <c r="G204" s="29">
        <f>IF(AND(F204=1,ISNUMBER(D204)),D204,"")</f>
        <v/>
      </c>
      <c r="H204" s="29">
        <f>IF(AND(F204=1,ISNUMBER(E204)),E204,"")</f>
        <v/>
      </c>
      <c r="I204" s="22">
        <f>IF(AND(F204=1,ISNUMBER(C204)),C204,"")</f>
        <v/>
      </c>
      <c r="J204" s="11">
        <f>IF(G204="","",100-IF($G$13=1,50,(_xlfn.RANK.AVG(G204,$G$19:$G$1518,1)-1)/($G$13-1)*100))</f>
        <v/>
      </c>
      <c r="K204" s="11">
        <f>IF(H204="","",100-IF($G$14=1,50,(_xlfn.RANK.AVG(H204,$H$19:$H$1518,1)-1)/($G$14-1)*100))</f>
        <v/>
      </c>
      <c r="L204" s="11">
        <f>IF(I204="","",IF($G$15=1,50,(_xlfn.RANK.AVG(I204,$I$19:$I$1518,1)-1)/($G$15-1)*100))</f>
        <v/>
      </c>
      <c r="M204" s="11">
        <f>IF(COUNT(J204:L204)=3,ROUND(AVERAGE(J204:L204),6),"")</f>
        <v/>
      </c>
      <c r="O204">
        <f>IF(AND(ISNUMBER('자료_미국심리'!$A188),ISNUMBER('자료_미국심리'!$B188)),'자료_미국심리'!$A188,"")</f>
        <v/>
      </c>
      <c r="P204">
        <f>IF(AND(ISNUMBER('자료_미국심리'!$D188),ISNUMBER('자료_미국심리'!$E188)),'자료_미국심리'!$D188,"")</f>
        <v/>
      </c>
      <c r="Q204">
        <f>IF(AND(ISNUMBER('자료_미국심리'!$G188),ISNUMBER('자료_미국심리'!$H188)),'자료_미국심리'!$G188,"")</f>
        <v/>
      </c>
    </row>
    <row r="205">
      <c r="A205" s="10">
        <f>IF(187&gt;$E$5,"",SMALL($O$19:$O$4018,$E$6+187))</f>
        <v/>
      </c>
      <c r="B205" s="29">
        <f>IF(A205="","",INDEX('자료_미국심리'!$B$3:$B$4002,MATCH(A205,$O$19:$O$4018,0)))</f>
        <v/>
      </c>
      <c r="C205" s="22">
        <f>IF(A205="","",B205/AVERAGE(B81:B205)-1)</f>
        <v/>
      </c>
      <c r="D205" s="29">
        <f>IF(A205="","",IFERROR(INDEX('자료_미국심리'!$E$3:$E$4002,MATCH(A205,$P$19:$P$4018,0)),D204))</f>
        <v/>
      </c>
      <c r="E205" s="29">
        <f>IF(A205="","",IFERROR(INDEX('자료_미국심리'!$H$3:$H$4002,MATCH(A205,$Q$19:$Q$4018,0)),E204))</f>
        <v/>
      </c>
      <c r="F205">
        <f>IF(A205="",0,IF(A205&gt;$B$5,1,0))</f>
        <v/>
      </c>
      <c r="G205" s="29">
        <f>IF(AND(F205=1,ISNUMBER(D205)),D205,"")</f>
        <v/>
      </c>
      <c r="H205" s="29">
        <f>IF(AND(F205=1,ISNUMBER(E205)),E205,"")</f>
        <v/>
      </c>
      <c r="I205" s="22">
        <f>IF(AND(F205=1,ISNUMBER(C205)),C205,"")</f>
        <v/>
      </c>
      <c r="J205" s="11">
        <f>IF(G205="","",100-IF($G$13=1,50,(_xlfn.RANK.AVG(G205,$G$19:$G$1518,1)-1)/($G$13-1)*100))</f>
        <v/>
      </c>
      <c r="K205" s="11">
        <f>IF(H205="","",100-IF($G$14=1,50,(_xlfn.RANK.AVG(H205,$H$19:$H$1518,1)-1)/($G$14-1)*100))</f>
        <v/>
      </c>
      <c r="L205" s="11">
        <f>IF(I205="","",IF($G$15=1,50,(_xlfn.RANK.AVG(I205,$I$19:$I$1518,1)-1)/($G$15-1)*100))</f>
        <v/>
      </c>
      <c r="M205" s="11">
        <f>IF(COUNT(J205:L205)=3,ROUND(AVERAGE(J205:L205),6),"")</f>
        <v/>
      </c>
      <c r="O205">
        <f>IF(AND(ISNUMBER('자료_미국심리'!$A189),ISNUMBER('자료_미국심리'!$B189)),'자료_미국심리'!$A189,"")</f>
        <v/>
      </c>
      <c r="P205">
        <f>IF(AND(ISNUMBER('자료_미국심리'!$D189),ISNUMBER('자료_미국심리'!$E189)),'자료_미국심리'!$D189,"")</f>
        <v/>
      </c>
      <c r="Q205">
        <f>IF(AND(ISNUMBER('자료_미국심리'!$G189),ISNUMBER('자료_미국심리'!$H189)),'자료_미국심리'!$G189,"")</f>
        <v/>
      </c>
    </row>
    <row r="206">
      <c r="A206" s="10">
        <f>IF(188&gt;$E$5,"",SMALL($O$19:$O$4018,$E$6+188))</f>
        <v/>
      </c>
      <c r="B206" s="29">
        <f>IF(A206="","",INDEX('자료_미국심리'!$B$3:$B$4002,MATCH(A206,$O$19:$O$4018,0)))</f>
        <v/>
      </c>
      <c r="C206" s="22">
        <f>IF(A206="","",B206/AVERAGE(B82:B206)-1)</f>
        <v/>
      </c>
      <c r="D206" s="29">
        <f>IF(A206="","",IFERROR(INDEX('자료_미국심리'!$E$3:$E$4002,MATCH(A206,$P$19:$P$4018,0)),D205))</f>
        <v/>
      </c>
      <c r="E206" s="29">
        <f>IF(A206="","",IFERROR(INDEX('자료_미국심리'!$H$3:$H$4002,MATCH(A206,$Q$19:$Q$4018,0)),E205))</f>
        <v/>
      </c>
      <c r="F206">
        <f>IF(A206="",0,IF(A206&gt;$B$5,1,0))</f>
        <v/>
      </c>
      <c r="G206" s="29">
        <f>IF(AND(F206=1,ISNUMBER(D206)),D206,"")</f>
        <v/>
      </c>
      <c r="H206" s="29">
        <f>IF(AND(F206=1,ISNUMBER(E206)),E206,"")</f>
        <v/>
      </c>
      <c r="I206" s="22">
        <f>IF(AND(F206=1,ISNUMBER(C206)),C206,"")</f>
        <v/>
      </c>
      <c r="J206" s="11">
        <f>IF(G206="","",100-IF($G$13=1,50,(_xlfn.RANK.AVG(G206,$G$19:$G$1518,1)-1)/($G$13-1)*100))</f>
        <v/>
      </c>
      <c r="K206" s="11">
        <f>IF(H206="","",100-IF($G$14=1,50,(_xlfn.RANK.AVG(H206,$H$19:$H$1518,1)-1)/($G$14-1)*100))</f>
        <v/>
      </c>
      <c r="L206" s="11">
        <f>IF(I206="","",IF($G$15=1,50,(_xlfn.RANK.AVG(I206,$I$19:$I$1518,1)-1)/($G$15-1)*100))</f>
        <v/>
      </c>
      <c r="M206" s="11">
        <f>IF(COUNT(J206:L206)=3,ROUND(AVERAGE(J206:L206),6),"")</f>
        <v/>
      </c>
      <c r="O206">
        <f>IF(AND(ISNUMBER('자료_미국심리'!$A190),ISNUMBER('자료_미국심리'!$B190)),'자료_미국심리'!$A190,"")</f>
        <v/>
      </c>
      <c r="P206">
        <f>IF(AND(ISNUMBER('자료_미국심리'!$D190),ISNUMBER('자료_미국심리'!$E190)),'자료_미국심리'!$D190,"")</f>
        <v/>
      </c>
      <c r="Q206">
        <f>IF(AND(ISNUMBER('자료_미국심리'!$G190),ISNUMBER('자료_미국심리'!$H190)),'자료_미국심리'!$G190,"")</f>
        <v/>
      </c>
    </row>
    <row r="207">
      <c r="A207" s="10">
        <f>IF(189&gt;$E$5,"",SMALL($O$19:$O$4018,$E$6+189))</f>
        <v/>
      </c>
      <c r="B207" s="29">
        <f>IF(A207="","",INDEX('자료_미국심리'!$B$3:$B$4002,MATCH(A207,$O$19:$O$4018,0)))</f>
        <v/>
      </c>
      <c r="C207" s="22">
        <f>IF(A207="","",B207/AVERAGE(B83:B207)-1)</f>
        <v/>
      </c>
      <c r="D207" s="29">
        <f>IF(A207="","",IFERROR(INDEX('자료_미국심리'!$E$3:$E$4002,MATCH(A207,$P$19:$P$4018,0)),D206))</f>
        <v/>
      </c>
      <c r="E207" s="29">
        <f>IF(A207="","",IFERROR(INDEX('자료_미국심리'!$H$3:$H$4002,MATCH(A207,$Q$19:$Q$4018,0)),E206))</f>
        <v/>
      </c>
      <c r="F207">
        <f>IF(A207="",0,IF(A207&gt;$B$5,1,0))</f>
        <v/>
      </c>
      <c r="G207" s="29">
        <f>IF(AND(F207=1,ISNUMBER(D207)),D207,"")</f>
        <v/>
      </c>
      <c r="H207" s="29">
        <f>IF(AND(F207=1,ISNUMBER(E207)),E207,"")</f>
        <v/>
      </c>
      <c r="I207" s="22">
        <f>IF(AND(F207=1,ISNUMBER(C207)),C207,"")</f>
        <v/>
      </c>
      <c r="J207" s="11">
        <f>IF(G207="","",100-IF($G$13=1,50,(_xlfn.RANK.AVG(G207,$G$19:$G$1518,1)-1)/($G$13-1)*100))</f>
        <v/>
      </c>
      <c r="K207" s="11">
        <f>IF(H207="","",100-IF($G$14=1,50,(_xlfn.RANK.AVG(H207,$H$19:$H$1518,1)-1)/($G$14-1)*100))</f>
        <v/>
      </c>
      <c r="L207" s="11">
        <f>IF(I207="","",IF($G$15=1,50,(_xlfn.RANK.AVG(I207,$I$19:$I$1518,1)-1)/($G$15-1)*100))</f>
        <v/>
      </c>
      <c r="M207" s="11">
        <f>IF(COUNT(J207:L207)=3,ROUND(AVERAGE(J207:L207),6),"")</f>
        <v/>
      </c>
      <c r="O207">
        <f>IF(AND(ISNUMBER('자료_미국심리'!$A191),ISNUMBER('자료_미국심리'!$B191)),'자료_미국심리'!$A191,"")</f>
        <v/>
      </c>
      <c r="P207">
        <f>IF(AND(ISNUMBER('자료_미국심리'!$D191),ISNUMBER('자료_미국심리'!$E191)),'자료_미국심리'!$D191,"")</f>
        <v/>
      </c>
      <c r="Q207">
        <f>IF(AND(ISNUMBER('자료_미국심리'!$G191),ISNUMBER('자료_미국심리'!$H191)),'자료_미국심리'!$G191,"")</f>
        <v/>
      </c>
    </row>
    <row r="208">
      <c r="A208" s="10">
        <f>IF(190&gt;$E$5,"",SMALL($O$19:$O$4018,$E$6+190))</f>
        <v/>
      </c>
      <c r="B208" s="29">
        <f>IF(A208="","",INDEX('자료_미국심리'!$B$3:$B$4002,MATCH(A208,$O$19:$O$4018,0)))</f>
        <v/>
      </c>
      <c r="C208" s="22">
        <f>IF(A208="","",B208/AVERAGE(B84:B208)-1)</f>
        <v/>
      </c>
      <c r="D208" s="29">
        <f>IF(A208="","",IFERROR(INDEX('자료_미국심리'!$E$3:$E$4002,MATCH(A208,$P$19:$P$4018,0)),D207))</f>
        <v/>
      </c>
      <c r="E208" s="29">
        <f>IF(A208="","",IFERROR(INDEX('자료_미국심리'!$H$3:$H$4002,MATCH(A208,$Q$19:$Q$4018,0)),E207))</f>
        <v/>
      </c>
      <c r="F208">
        <f>IF(A208="",0,IF(A208&gt;$B$5,1,0))</f>
        <v/>
      </c>
      <c r="G208" s="29">
        <f>IF(AND(F208=1,ISNUMBER(D208)),D208,"")</f>
        <v/>
      </c>
      <c r="H208" s="29">
        <f>IF(AND(F208=1,ISNUMBER(E208)),E208,"")</f>
        <v/>
      </c>
      <c r="I208" s="22">
        <f>IF(AND(F208=1,ISNUMBER(C208)),C208,"")</f>
        <v/>
      </c>
      <c r="J208" s="11">
        <f>IF(G208="","",100-IF($G$13=1,50,(_xlfn.RANK.AVG(G208,$G$19:$G$1518,1)-1)/($G$13-1)*100))</f>
        <v/>
      </c>
      <c r="K208" s="11">
        <f>IF(H208="","",100-IF($G$14=1,50,(_xlfn.RANK.AVG(H208,$H$19:$H$1518,1)-1)/($G$14-1)*100))</f>
        <v/>
      </c>
      <c r="L208" s="11">
        <f>IF(I208="","",IF($G$15=1,50,(_xlfn.RANK.AVG(I208,$I$19:$I$1518,1)-1)/($G$15-1)*100))</f>
        <v/>
      </c>
      <c r="M208" s="11">
        <f>IF(COUNT(J208:L208)=3,ROUND(AVERAGE(J208:L208),6),"")</f>
        <v/>
      </c>
      <c r="O208">
        <f>IF(AND(ISNUMBER('자료_미국심리'!$A192),ISNUMBER('자료_미국심리'!$B192)),'자료_미국심리'!$A192,"")</f>
        <v/>
      </c>
      <c r="P208">
        <f>IF(AND(ISNUMBER('자료_미국심리'!$D192),ISNUMBER('자료_미국심리'!$E192)),'자료_미국심리'!$D192,"")</f>
        <v/>
      </c>
      <c r="Q208">
        <f>IF(AND(ISNUMBER('자료_미국심리'!$G192),ISNUMBER('자료_미국심리'!$H192)),'자료_미국심리'!$G192,"")</f>
        <v/>
      </c>
    </row>
    <row r="209">
      <c r="A209" s="10">
        <f>IF(191&gt;$E$5,"",SMALL($O$19:$O$4018,$E$6+191))</f>
        <v/>
      </c>
      <c r="B209" s="29">
        <f>IF(A209="","",INDEX('자료_미국심리'!$B$3:$B$4002,MATCH(A209,$O$19:$O$4018,0)))</f>
        <v/>
      </c>
      <c r="C209" s="22">
        <f>IF(A209="","",B209/AVERAGE(B85:B209)-1)</f>
        <v/>
      </c>
      <c r="D209" s="29">
        <f>IF(A209="","",IFERROR(INDEX('자료_미국심리'!$E$3:$E$4002,MATCH(A209,$P$19:$P$4018,0)),D208))</f>
        <v/>
      </c>
      <c r="E209" s="29">
        <f>IF(A209="","",IFERROR(INDEX('자료_미국심리'!$H$3:$H$4002,MATCH(A209,$Q$19:$Q$4018,0)),E208))</f>
        <v/>
      </c>
      <c r="F209">
        <f>IF(A209="",0,IF(A209&gt;$B$5,1,0))</f>
        <v/>
      </c>
      <c r="G209" s="29">
        <f>IF(AND(F209=1,ISNUMBER(D209)),D209,"")</f>
        <v/>
      </c>
      <c r="H209" s="29">
        <f>IF(AND(F209=1,ISNUMBER(E209)),E209,"")</f>
        <v/>
      </c>
      <c r="I209" s="22">
        <f>IF(AND(F209=1,ISNUMBER(C209)),C209,"")</f>
        <v/>
      </c>
      <c r="J209" s="11">
        <f>IF(G209="","",100-IF($G$13=1,50,(_xlfn.RANK.AVG(G209,$G$19:$G$1518,1)-1)/($G$13-1)*100))</f>
        <v/>
      </c>
      <c r="K209" s="11">
        <f>IF(H209="","",100-IF($G$14=1,50,(_xlfn.RANK.AVG(H209,$H$19:$H$1518,1)-1)/($G$14-1)*100))</f>
        <v/>
      </c>
      <c r="L209" s="11">
        <f>IF(I209="","",IF($G$15=1,50,(_xlfn.RANK.AVG(I209,$I$19:$I$1518,1)-1)/($G$15-1)*100))</f>
        <v/>
      </c>
      <c r="M209" s="11">
        <f>IF(COUNT(J209:L209)=3,ROUND(AVERAGE(J209:L209),6),"")</f>
        <v/>
      </c>
      <c r="O209">
        <f>IF(AND(ISNUMBER('자료_미국심리'!$A193),ISNUMBER('자료_미국심리'!$B193)),'자료_미국심리'!$A193,"")</f>
        <v/>
      </c>
      <c r="P209">
        <f>IF(AND(ISNUMBER('자료_미국심리'!$D193),ISNUMBER('자료_미국심리'!$E193)),'자료_미국심리'!$D193,"")</f>
        <v/>
      </c>
      <c r="Q209">
        <f>IF(AND(ISNUMBER('자료_미국심리'!$G193),ISNUMBER('자료_미국심리'!$H193)),'자료_미국심리'!$G193,"")</f>
        <v/>
      </c>
    </row>
    <row r="210">
      <c r="A210" s="10">
        <f>IF(192&gt;$E$5,"",SMALL($O$19:$O$4018,$E$6+192))</f>
        <v/>
      </c>
      <c r="B210" s="29">
        <f>IF(A210="","",INDEX('자료_미국심리'!$B$3:$B$4002,MATCH(A210,$O$19:$O$4018,0)))</f>
        <v/>
      </c>
      <c r="C210" s="22">
        <f>IF(A210="","",B210/AVERAGE(B86:B210)-1)</f>
        <v/>
      </c>
      <c r="D210" s="29">
        <f>IF(A210="","",IFERROR(INDEX('자료_미국심리'!$E$3:$E$4002,MATCH(A210,$P$19:$P$4018,0)),D209))</f>
        <v/>
      </c>
      <c r="E210" s="29">
        <f>IF(A210="","",IFERROR(INDEX('자료_미국심리'!$H$3:$H$4002,MATCH(A210,$Q$19:$Q$4018,0)),E209))</f>
        <v/>
      </c>
      <c r="F210">
        <f>IF(A210="",0,IF(A210&gt;$B$5,1,0))</f>
        <v/>
      </c>
      <c r="G210" s="29">
        <f>IF(AND(F210=1,ISNUMBER(D210)),D210,"")</f>
        <v/>
      </c>
      <c r="H210" s="29">
        <f>IF(AND(F210=1,ISNUMBER(E210)),E210,"")</f>
        <v/>
      </c>
      <c r="I210" s="22">
        <f>IF(AND(F210=1,ISNUMBER(C210)),C210,"")</f>
        <v/>
      </c>
      <c r="J210" s="11">
        <f>IF(G210="","",100-IF($G$13=1,50,(_xlfn.RANK.AVG(G210,$G$19:$G$1518,1)-1)/($G$13-1)*100))</f>
        <v/>
      </c>
      <c r="K210" s="11">
        <f>IF(H210="","",100-IF($G$14=1,50,(_xlfn.RANK.AVG(H210,$H$19:$H$1518,1)-1)/($G$14-1)*100))</f>
        <v/>
      </c>
      <c r="L210" s="11">
        <f>IF(I210="","",IF($G$15=1,50,(_xlfn.RANK.AVG(I210,$I$19:$I$1518,1)-1)/($G$15-1)*100))</f>
        <v/>
      </c>
      <c r="M210" s="11">
        <f>IF(COUNT(J210:L210)=3,ROUND(AVERAGE(J210:L210),6),"")</f>
        <v/>
      </c>
      <c r="O210">
        <f>IF(AND(ISNUMBER('자료_미국심리'!$A194),ISNUMBER('자료_미국심리'!$B194)),'자료_미국심리'!$A194,"")</f>
        <v/>
      </c>
      <c r="P210">
        <f>IF(AND(ISNUMBER('자료_미국심리'!$D194),ISNUMBER('자료_미국심리'!$E194)),'자료_미국심리'!$D194,"")</f>
        <v/>
      </c>
      <c r="Q210">
        <f>IF(AND(ISNUMBER('자료_미국심리'!$G194),ISNUMBER('자료_미국심리'!$H194)),'자료_미국심리'!$G194,"")</f>
        <v/>
      </c>
    </row>
    <row r="211">
      <c r="A211" s="10">
        <f>IF(193&gt;$E$5,"",SMALL($O$19:$O$4018,$E$6+193))</f>
        <v/>
      </c>
      <c r="B211" s="29">
        <f>IF(A211="","",INDEX('자료_미국심리'!$B$3:$B$4002,MATCH(A211,$O$19:$O$4018,0)))</f>
        <v/>
      </c>
      <c r="C211" s="22">
        <f>IF(A211="","",B211/AVERAGE(B87:B211)-1)</f>
        <v/>
      </c>
      <c r="D211" s="29">
        <f>IF(A211="","",IFERROR(INDEX('자료_미국심리'!$E$3:$E$4002,MATCH(A211,$P$19:$P$4018,0)),D210))</f>
        <v/>
      </c>
      <c r="E211" s="29">
        <f>IF(A211="","",IFERROR(INDEX('자료_미국심리'!$H$3:$H$4002,MATCH(A211,$Q$19:$Q$4018,0)),E210))</f>
        <v/>
      </c>
      <c r="F211">
        <f>IF(A211="",0,IF(A211&gt;$B$5,1,0))</f>
        <v/>
      </c>
      <c r="G211" s="29">
        <f>IF(AND(F211=1,ISNUMBER(D211)),D211,"")</f>
        <v/>
      </c>
      <c r="H211" s="29">
        <f>IF(AND(F211=1,ISNUMBER(E211)),E211,"")</f>
        <v/>
      </c>
      <c r="I211" s="22">
        <f>IF(AND(F211=1,ISNUMBER(C211)),C211,"")</f>
        <v/>
      </c>
      <c r="J211" s="11">
        <f>IF(G211="","",100-IF($G$13=1,50,(_xlfn.RANK.AVG(G211,$G$19:$G$1518,1)-1)/($G$13-1)*100))</f>
        <v/>
      </c>
      <c r="K211" s="11">
        <f>IF(H211="","",100-IF($G$14=1,50,(_xlfn.RANK.AVG(H211,$H$19:$H$1518,1)-1)/($G$14-1)*100))</f>
        <v/>
      </c>
      <c r="L211" s="11">
        <f>IF(I211="","",IF($G$15=1,50,(_xlfn.RANK.AVG(I211,$I$19:$I$1518,1)-1)/($G$15-1)*100))</f>
        <v/>
      </c>
      <c r="M211" s="11">
        <f>IF(COUNT(J211:L211)=3,ROUND(AVERAGE(J211:L211),6),"")</f>
        <v/>
      </c>
      <c r="O211">
        <f>IF(AND(ISNUMBER('자료_미국심리'!$A195),ISNUMBER('자료_미국심리'!$B195)),'자료_미국심리'!$A195,"")</f>
        <v/>
      </c>
      <c r="P211">
        <f>IF(AND(ISNUMBER('자료_미국심리'!$D195),ISNUMBER('자료_미국심리'!$E195)),'자료_미국심리'!$D195,"")</f>
        <v/>
      </c>
      <c r="Q211">
        <f>IF(AND(ISNUMBER('자료_미국심리'!$G195),ISNUMBER('자료_미국심리'!$H195)),'자료_미국심리'!$G195,"")</f>
        <v/>
      </c>
    </row>
    <row r="212">
      <c r="A212" s="10">
        <f>IF(194&gt;$E$5,"",SMALL($O$19:$O$4018,$E$6+194))</f>
        <v/>
      </c>
      <c r="B212" s="29">
        <f>IF(A212="","",INDEX('자료_미국심리'!$B$3:$B$4002,MATCH(A212,$O$19:$O$4018,0)))</f>
        <v/>
      </c>
      <c r="C212" s="22">
        <f>IF(A212="","",B212/AVERAGE(B88:B212)-1)</f>
        <v/>
      </c>
      <c r="D212" s="29">
        <f>IF(A212="","",IFERROR(INDEX('자료_미국심리'!$E$3:$E$4002,MATCH(A212,$P$19:$P$4018,0)),D211))</f>
        <v/>
      </c>
      <c r="E212" s="29">
        <f>IF(A212="","",IFERROR(INDEX('자료_미국심리'!$H$3:$H$4002,MATCH(A212,$Q$19:$Q$4018,0)),E211))</f>
        <v/>
      </c>
      <c r="F212">
        <f>IF(A212="",0,IF(A212&gt;$B$5,1,0))</f>
        <v/>
      </c>
      <c r="G212" s="29">
        <f>IF(AND(F212=1,ISNUMBER(D212)),D212,"")</f>
        <v/>
      </c>
      <c r="H212" s="29">
        <f>IF(AND(F212=1,ISNUMBER(E212)),E212,"")</f>
        <v/>
      </c>
      <c r="I212" s="22">
        <f>IF(AND(F212=1,ISNUMBER(C212)),C212,"")</f>
        <v/>
      </c>
      <c r="J212" s="11">
        <f>IF(G212="","",100-IF($G$13=1,50,(_xlfn.RANK.AVG(G212,$G$19:$G$1518,1)-1)/($G$13-1)*100))</f>
        <v/>
      </c>
      <c r="K212" s="11">
        <f>IF(H212="","",100-IF($G$14=1,50,(_xlfn.RANK.AVG(H212,$H$19:$H$1518,1)-1)/($G$14-1)*100))</f>
        <v/>
      </c>
      <c r="L212" s="11">
        <f>IF(I212="","",IF($G$15=1,50,(_xlfn.RANK.AVG(I212,$I$19:$I$1518,1)-1)/($G$15-1)*100))</f>
        <v/>
      </c>
      <c r="M212" s="11">
        <f>IF(COUNT(J212:L212)=3,ROUND(AVERAGE(J212:L212),6),"")</f>
        <v/>
      </c>
      <c r="O212">
        <f>IF(AND(ISNUMBER('자료_미국심리'!$A196),ISNUMBER('자료_미국심리'!$B196)),'자료_미국심리'!$A196,"")</f>
        <v/>
      </c>
      <c r="P212">
        <f>IF(AND(ISNUMBER('자료_미국심리'!$D196),ISNUMBER('자료_미국심리'!$E196)),'자료_미국심리'!$D196,"")</f>
        <v/>
      </c>
      <c r="Q212">
        <f>IF(AND(ISNUMBER('자료_미국심리'!$G196),ISNUMBER('자료_미국심리'!$H196)),'자료_미국심리'!$G196,"")</f>
        <v/>
      </c>
    </row>
    <row r="213">
      <c r="A213" s="10">
        <f>IF(195&gt;$E$5,"",SMALL($O$19:$O$4018,$E$6+195))</f>
        <v/>
      </c>
      <c r="B213" s="29">
        <f>IF(A213="","",INDEX('자료_미국심리'!$B$3:$B$4002,MATCH(A213,$O$19:$O$4018,0)))</f>
        <v/>
      </c>
      <c r="C213" s="22">
        <f>IF(A213="","",B213/AVERAGE(B89:B213)-1)</f>
        <v/>
      </c>
      <c r="D213" s="29">
        <f>IF(A213="","",IFERROR(INDEX('자료_미국심리'!$E$3:$E$4002,MATCH(A213,$P$19:$P$4018,0)),D212))</f>
        <v/>
      </c>
      <c r="E213" s="29">
        <f>IF(A213="","",IFERROR(INDEX('자료_미국심리'!$H$3:$H$4002,MATCH(A213,$Q$19:$Q$4018,0)),E212))</f>
        <v/>
      </c>
      <c r="F213">
        <f>IF(A213="",0,IF(A213&gt;$B$5,1,0))</f>
        <v/>
      </c>
      <c r="G213" s="29">
        <f>IF(AND(F213=1,ISNUMBER(D213)),D213,"")</f>
        <v/>
      </c>
      <c r="H213" s="29">
        <f>IF(AND(F213=1,ISNUMBER(E213)),E213,"")</f>
        <v/>
      </c>
      <c r="I213" s="22">
        <f>IF(AND(F213=1,ISNUMBER(C213)),C213,"")</f>
        <v/>
      </c>
      <c r="J213" s="11">
        <f>IF(G213="","",100-IF($G$13=1,50,(_xlfn.RANK.AVG(G213,$G$19:$G$1518,1)-1)/($G$13-1)*100))</f>
        <v/>
      </c>
      <c r="K213" s="11">
        <f>IF(H213="","",100-IF($G$14=1,50,(_xlfn.RANK.AVG(H213,$H$19:$H$1518,1)-1)/($G$14-1)*100))</f>
        <v/>
      </c>
      <c r="L213" s="11">
        <f>IF(I213="","",IF($G$15=1,50,(_xlfn.RANK.AVG(I213,$I$19:$I$1518,1)-1)/($G$15-1)*100))</f>
        <v/>
      </c>
      <c r="M213" s="11">
        <f>IF(COUNT(J213:L213)=3,ROUND(AVERAGE(J213:L213),6),"")</f>
        <v/>
      </c>
      <c r="O213">
        <f>IF(AND(ISNUMBER('자료_미국심리'!$A197),ISNUMBER('자료_미국심리'!$B197)),'자료_미국심리'!$A197,"")</f>
        <v/>
      </c>
      <c r="P213">
        <f>IF(AND(ISNUMBER('자료_미국심리'!$D197),ISNUMBER('자료_미국심리'!$E197)),'자료_미국심리'!$D197,"")</f>
        <v/>
      </c>
      <c r="Q213">
        <f>IF(AND(ISNUMBER('자료_미국심리'!$G197),ISNUMBER('자료_미국심리'!$H197)),'자료_미국심리'!$G197,"")</f>
        <v/>
      </c>
    </row>
    <row r="214">
      <c r="A214" s="10">
        <f>IF(196&gt;$E$5,"",SMALL($O$19:$O$4018,$E$6+196))</f>
        <v/>
      </c>
      <c r="B214" s="29">
        <f>IF(A214="","",INDEX('자료_미국심리'!$B$3:$B$4002,MATCH(A214,$O$19:$O$4018,0)))</f>
        <v/>
      </c>
      <c r="C214" s="22">
        <f>IF(A214="","",B214/AVERAGE(B90:B214)-1)</f>
        <v/>
      </c>
      <c r="D214" s="29">
        <f>IF(A214="","",IFERROR(INDEX('자료_미국심리'!$E$3:$E$4002,MATCH(A214,$P$19:$P$4018,0)),D213))</f>
        <v/>
      </c>
      <c r="E214" s="29">
        <f>IF(A214="","",IFERROR(INDEX('자료_미국심리'!$H$3:$H$4002,MATCH(A214,$Q$19:$Q$4018,0)),E213))</f>
        <v/>
      </c>
      <c r="F214">
        <f>IF(A214="",0,IF(A214&gt;$B$5,1,0))</f>
        <v/>
      </c>
      <c r="G214" s="29">
        <f>IF(AND(F214=1,ISNUMBER(D214)),D214,"")</f>
        <v/>
      </c>
      <c r="H214" s="29">
        <f>IF(AND(F214=1,ISNUMBER(E214)),E214,"")</f>
        <v/>
      </c>
      <c r="I214" s="22">
        <f>IF(AND(F214=1,ISNUMBER(C214)),C214,"")</f>
        <v/>
      </c>
      <c r="J214" s="11">
        <f>IF(G214="","",100-IF($G$13=1,50,(_xlfn.RANK.AVG(G214,$G$19:$G$1518,1)-1)/($G$13-1)*100))</f>
        <v/>
      </c>
      <c r="K214" s="11">
        <f>IF(H214="","",100-IF($G$14=1,50,(_xlfn.RANK.AVG(H214,$H$19:$H$1518,1)-1)/($G$14-1)*100))</f>
        <v/>
      </c>
      <c r="L214" s="11">
        <f>IF(I214="","",IF($G$15=1,50,(_xlfn.RANK.AVG(I214,$I$19:$I$1518,1)-1)/($G$15-1)*100))</f>
        <v/>
      </c>
      <c r="M214" s="11">
        <f>IF(COUNT(J214:L214)=3,ROUND(AVERAGE(J214:L214),6),"")</f>
        <v/>
      </c>
      <c r="O214">
        <f>IF(AND(ISNUMBER('자료_미국심리'!$A198),ISNUMBER('자료_미국심리'!$B198)),'자료_미국심리'!$A198,"")</f>
        <v/>
      </c>
      <c r="P214">
        <f>IF(AND(ISNUMBER('자료_미국심리'!$D198),ISNUMBER('자료_미국심리'!$E198)),'자료_미국심리'!$D198,"")</f>
        <v/>
      </c>
      <c r="Q214">
        <f>IF(AND(ISNUMBER('자료_미국심리'!$G198),ISNUMBER('자료_미국심리'!$H198)),'자료_미국심리'!$G198,"")</f>
        <v/>
      </c>
    </row>
    <row r="215">
      <c r="A215" s="10">
        <f>IF(197&gt;$E$5,"",SMALL($O$19:$O$4018,$E$6+197))</f>
        <v/>
      </c>
      <c r="B215" s="29">
        <f>IF(A215="","",INDEX('자료_미국심리'!$B$3:$B$4002,MATCH(A215,$O$19:$O$4018,0)))</f>
        <v/>
      </c>
      <c r="C215" s="22">
        <f>IF(A215="","",B215/AVERAGE(B91:B215)-1)</f>
        <v/>
      </c>
      <c r="D215" s="29">
        <f>IF(A215="","",IFERROR(INDEX('자료_미국심리'!$E$3:$E$4002,MATCH(A215,$P$19:$P$4018,0)),D214))</f>
        <v/>
      </c>
      <c r="E215" s="29">
        <f>IF(A215="","",IFERROR(INDEX('자료_미국심리'!$H$3:$H$4002,MATCH(A215,$Q$19:$Q$4018,0)),E214))</f>
        <v/>
      </c>
      <c r="F215">
        <f>IF(A215="",0,IF(A215&gt;$B$5,1,0))</f>
        <v/>
      </c>
      <c r="G215" s="29">
        <f>IF(AND(F215=1,ISNUMBER(D215)),D215,"")</f>
        <v/>
      </c>
      <c r="H215" s="29">
        <f>IF(AND(F215=1,ISNUMBER(E215)),E215,"")</f>
        <v/>
      </c>
      <c r="I215" s="22">
        <f>IF(AND(F215=1,ISNUMBER(C215)),C215,"")</f>
        <v/>
      </c>
      <c r="J215" s="11">
        <f>IF(G215="","",100-IF($G$13=1,50,(_xlfn.RANK.AVG(G215,$G$19:$G$1518,1)-1)/($G$13-1)*100))</f>
        <v/>
      </c>
      <c r="K215" s="11">
        <f>IF(H215="","",100-IF($G$14=1,50,(_xlfn.RANK.AVG(H215,$H$19:$H$1518,1)-1)/($G$14-1)*100))</f>
        <v/>
      </c>
      <c r="L215" s="11">
        <f>IF(I215="","",IF($G$15=1,50,(_xlfn.RANK.AVG(I215,$I$19:$I$1518,1)-1)/($G$15-1)*100))</f>
        <v/>
      </c>
      <c r="M215" s="11">
        <f>IF(COUNT(J215:L215)=3,ROUND(AVERAGE(J215:L215),6),"")</f>
        <v/>
      </c>
      <c r="O215">
        <f>IF(AND(ISNUMBER('자료_미국심리'!$A199),ISNUMBER('자료_미국심리'!$B199)),'자료_미국심리'!$A199,"")</f>
        <v/>
      </c>
      <c r="P215">
        <f>IF(AND(ISNUMBER('자료_미국심리'!$D199),ISNUMBER('자료_미국심리'!$E199)),'자료_미국심리'!$D199,"")</f>
        <v/>
      </c>
      <c r="Q215">
        <f>IF(AND(ISNUMBER('자료_미국심리'!$G199),ISNUMBER('자료_미국심리'!$H199)),'자료_미국심리'!$G199,"")</f>
        <v/>
      </c>
    </row>
    <row r="216">
      <c r="A216" s="10">
        <f>IF(198&gt;$E$5,"",SMALL($O$19:$O$4018,$E$6+198))</f>
        <v/>
      </c>
      <c r="B216" s="29">
        <f>IF(A216="","",INDEX('자료_미국심리'!$B$3:$B$4002,MATCH(A216,$O$19:$O$4018,0)))</f>
        <v/>
      </c>
      <c r="C216" s="22">
        <f>IF(A216="","",B216/AVERAGE(B92:B216)-1)</f>
        <v/>
      </c>
      <c r="D216" s="29">
        <f>IF(A216="","",IFERROR(INDEX('자료_미국심리'!$E$3:$E$4002,MATCH(A216,$P$19:$P$4018,0)),D215))</f>
        <v/>
      </c>
      <c r="E216" s="29">
        <f>IF(A216="","",IFERROR(INDEX('자료_미국심리'!$H$3:$H$4002,MATCH(A216,$Q$19:$Q$4018,0)),E215))</f>
        <v/>
      </c>
      <c r="F216">
        <f>IF(A216="",0,IF(A216&gt;$B$5,1,0))</f>
        <v/>
      </c>
      <c r="G216" s="29">
        <f>IF(AND(F216=1,ISNUMBER(D216)),D216,"")</f>
        <v/>
      </c>
      <c r="H216" s="29">
        <f>IF(AND(F216=1,ISNUMBER(E216)),E216,"")</f>
        <v/>
      </c>
      <c r="I216" s="22">
        <f>IF(AND(F216=1,ISNUMBER(C216)),C216,"")</f>
        <v/>
      </c>
      <c r="J216" s="11">
        <f>IF(G216="","",100-IF($G$13=1,50,(_xlfn.RANK.AVG(G216,$G$19:$G$1518,1)-1)/($G$13-1)*100))</f>
        <v/>
      </c>
      <c r="K216" s="11">
        <f>IF(H216="","",100-IF($G$14=1,50,(_xlfn.RANK.AVG(H216,$H$19:$H$1518,1)-1)/($G$14-1)*100))</f>
        <v/>
      </c>
      <c r="L216" s="11">
        <f>IF(I216="","",IF($G$15=1,50,(_xlfn.RANK.AVG(I216,$I$19:$I$1518,1)-1)/($G$15-1)*100))</f>
        <v/>
      </c>
      <c r="M216" s="11">
        <f>IF(COUNT(J216:L216)=3,ROUND(AVERAGE(J216:L216),6),"")</f>
        <v/>
      </c>
      <c r="O216">
        <f>IF(AND(ISNUMBER('자료_미국심리'!$A200),ISNUMBER('자료_미국심리'!$B200)),'자료_미국심리'!$A200,"")</f>
        <v/>
      </c>
      <c r="P216">
        <f>IF(AND(ISNUMBER('자료_미국심리'!$D200),ISNUMBER('자료_미국심리'!$E200)),'자료_미국심리'!$D200,"")</f>
        <v/>
      </c>
      <c r="Q216">
        <f>IF(AND(ISNUMBER('자료_미국심리'!$G200),ISNUMBER('자료_미국심리'!$H200)),'자료_미국심리'!$G200,"")</f>
        <v/>
      </c>
    </row>
    <row r="217">
      <c r="A217" s="10">
        <f>IF(199&gt;$E$5,"",SMALL($O$19:$O$4018,$E$6+199))</f>
        <v/>
      </c>
      <c r="B217" s="29">
        <f>IF(A217="","",INDEX('자료_미국심리'!$B$3:$B$4002,MATCH(A217,$O$19:$O$4018,0)))</f>
        <v/>
      </c>
      <c r="C217" s="22">
        <f>IF(A217="","",B217/AVERAGE(B93:B217)-1)</f>
        <v/>
      </c>
      <c r="D217" s="29">
        <f>IF(A217="","",IFERROR(INDEX('자료_미국심리'!$E$3:$E$4002,MATCH(A217,$P$19:$P$4018,0)),D216))</f>
        <v/>
      </c>
      <c r="E217" s="29">
        <f>IF(A217="","",IFERROR(INDEX('자료_미국심리'!$H$3:$H$4002,MATCH(A217,$Q$19:$Q$4018,0)),E216))</f>
        <v/>
      </c>
      <c r="F217">
        <f>IF(A217="",0,IF(A217&gt;$B$5,1,0))</f>
        <v/>
      </c>
      <c r="G217" s="29">
        <f>IF(AND(F217=1,ISNUMBER(D217)),D217,"")</f>
        <v/>
      </c>
      <c r="H217" s="29">
        <f>IF(AND(F217=1,ISNUMBER(E217)),E217,"")</f>
        <v/>
      </c>
      <c r="I217" s="22">
        <f>IF(AND(F217=1,ISNUMBER(C217)),C217,"")</f>
        <v/>
      </c>
      <c r="J217" s="11">
        <f>IF(G217="","",100-IF($G$13=1,50,(_xlfn.RANK.AVG(G217,$G$19:$G$1518,1)-1)/($G$13-1)*100))</f>
        <v/>
      </c>
      <c r="K217" s="11">
        <f>IF(H217="","",100-IF($G$14=1,50,(_xlfn.RANK.AVG(H217,$H$19:$H$1518,1)-1)/($G$14-1)*100))</f>
        <v/>
      </c>
      <c r="L217" s="11">
        <f>IF(I217="","",IF($G$15=1,50,(_xlfn.RANK.AVG(I217,$I$19:$I$1518,1)-1)/($G$15-1)*100))</f>
        <v/>
      </c>
      <c r="M217" s="11">
        <f>IF(COUNT(J217:L217)=3,ROUND(AVERAGE(J217:L217),6),"")</f>
        <v/>
      </c>
      <c r="O217">
        <f>IF(AND(ISNUMBER('자료_미국심리'!$A201),ISNUMBER('자료_미국심리'!$B201)),'자료_미국심리'!$A201,"")</f>
        <v/>
      </c>
      <c r="P217">
        <f>IF(AND(ISNUMBER('자료_미국심리'!$D201),ISNUMBER('자료_미국심리'!$E201)),'자료_미국심리'!$D201,"")</f>
        <v/>
      </c>
      <c r="Q217">
        <f>IF(AND(ISNUMBER('자료_미국심리'!$G201),ISNUMBER('자료_미국심리'!$H201)),'자료_미국심리'!$G201,"")</f>
        <v/>
      </c>
    </row>
    <row r="218">
      <c r="A218" s="10">
        <f>IF(200&gt;$E$5,"",SMALL($O$19:$O$4018,$E$6+200))</f>
        <v/>
      </c>
      <c r="B218" s="29">
        <f>IF(A218="","",INDEX('자료_미국심리'!$B$3:$B$4002,MATCH(A218,$O$19:$O$4018,0)))</f>
        <v/>
      </c>
      <c r="C218" s="22">
        <f>IF(A218="","",B218/AVERAGE(B94:B218)-1)</f>
        <v/>
      </c>
      <c r="D218" s="29">
        <f>IF(A218="","",IFERROR(INDEX('자료_미국심리'!$E$3:$E$4002,MATCH(A218,$P$19:$P$4018,0)),D217))</f>
        <v/>
      </c>
      <c r="E218" s="29">
        <f>IF(A218="","",IFERROR(INDEX('자료_미국심리'!$H$3:$H$4002,MATCH(A218,$Q$19:$Q$4018,0)),E217))</f>
        <v/>
      </c>
      <c r="F218">
        <f>IF(A218="",0,IF(A218&gt;$B$5,1,0))</f>
        <v/>
      </c>
      <c r="G218" s="29">
        <f>IF(AND(F218=1,ISNUMBER(D218)),D218,"")</f>
        <v/>
      </c>
      <c r="H218" s="29">
        <f>IF(AND(F218=1,ISNUMBER(E218)),E218,"")</f>
        <v/>
      </c>
      <c r="I218" s="22">
        <f>IF(AND(F218=1,ISNUMBER(C218)),C218,"")</f>
        <v/>
      </c>
      <c r="J218" s="11">
        <f>IF(G218="","",100-IF($G$13=1,50,(_xlfn.RANK.AVG(G218,$G$19:$G$1518,1)-1)/($G$13-1)*100))</f>
        <v/>
      </c>
      <c r="K218" s="11">
        <f>IF(H218="","",100-IF($G$14=1,50,(_xlfn.RANK.AVG(H218,$H$19:$H$1518,1)-1)/($G$14-1)*100))</f>
        <v/>
      </c>
      <c r="L218" s="11">
        <f>IF(I218="","",IF($G$15=1,50,(_xlfn.RANK.AVG(I218,$I$19:$I$1518,1)-1)/($G$15-1)*100))</f>
        <v/>
      </c>
      <c r="M218" s="11">
        <f>IF(COUNT(J218:L218)=3,ROUND(AVERAGE(J218:L218),6),"")</f>
        <v/>
      </c>
      <c r="O218">
        <f>IF(AND(ISNUMBER('자료_미국심리'!$A202),ISNUMBER('자료_미국심리'!$B202)),'자료_미국심리'!$A202,"")</f>
        <v/>
      </c>
      <c r="P218">
        <f>IF(AND(ISNUMBER('자료_미국심리'!$D202),ISNUMBER('자료_미국심리'!$E202)),'자료_미국심리'!$D202,"")</f>
        <v/>
      </c>
      <c r="Q218">
        <f>IF(AND(ISNUMBER('자료_미국심리'!$G202),ISNUMBER('자료_미국심리'!$H202)),'자료_미국심리'!$G202,"")</f>
        <v/>
      </c>
    </row>
    <row r="219">
      <c r="A219" s="10">
        <f>IF(201&gt;$E$5,"",SMALL($O$19:$O$4018,$E$6+201))</f>
        <v/>
      </c>
      <c r="B219" s="29">
        <f>IF(A219="","",INDEX('자료_미국심리'!$B$3:$B$4002,MATCH(A219,$O$19:$O$4018,0)))</f>
        <v/>
      </c>
      <c r="C219" s="22">
        <f>IF(A219="","",B219/AVERAGE(B95:B219)-1)</f>
        <v/>
      </c>
      <c r="D219" s="29">
        <f>IF(A219="","",IFERROR(INDEX('자료_미국심리'!$E$3:$E$4002,MATCH(A219,$P$19:$P$4018,0)),D218))</f>
        <v/>
      </c>
      <c r="E219" s="29">
        <f>IF(A219="","",IFERROR(INDEX('자료_미국심리'!$H$3:$H$4002,MATCH(A219,$Q$19:$Q$4018,0)),E218))</f>
        <v/>
      </c>
      <c r="F219">
        <f>IF(A219="",0,IF(A219&gt;$B$5,1,0))</f>
        <v/>
      </c>
      <c r="G219" s="29">
        <f>IF(AND(F219=1,ISNUMBER(D219)),D219,"")</f>
        <v/>
      </c>
      <c r="H219" s="29">
        <f>IF(AND(F219=1,ISNUMBER(E219)),E219,"")</f>
        <v/>
      </c>
      <c r="I219" s="22">
        <f>IF(AND(F219=1,ISNUMBER(C219)),C219,"")</f>
        <v/>
      </c>
      <c r="J219" s="11">
        <f>IF(G219="","",100-IF($G$13=1,50,(_xlfn.RANK.AVG(G219,$G$19:$G$1518,1)-1)/($G$13-1)*100))</f>
        <v/>
      </c>
      <c r="K219" s="11">
        <f>IF(H219="","",100-IF($G$14=1,50,(_xlfn.RANK.AVG(H219,$H$19:$H$1518,1)-1)/($G$14-1)*100))</f>
        <v/>
      </c>
      <c r="L219" s="11">
        <f>IF(I219="","",IF($G$15=1,50,(_xlfn.RANK.AVG(I219,$I$19:$I$1518,1)-1)/($G$15-1)*100))</f>
        <v/>
      </c>
      <c r="M219" s="11">
        <f>IF(COUNT(J219:L219)=3,ROUND(AVERAGE(J219:L219),6),"")</f>
        <v/>
      </c>
      <c r="O219">
        <f>IF(AND(ISNUMBER('자료_미국심리'!$A203),ISNUMBER('자료_미국심리'!$B203)),'자료_미국심리'!$A203,"")</f>
        <v/>
      </c>
      <c r="P219">
        <f>IF(AND(ISNUMBER('자료_미국심리'!$D203),ISNUMBER('자료_미국심리'!$E203)),'자료_미국심리'!$D203,"")</f>
        <v/>
      </c>
      <c r="Q219">
        <f>IF(AND(ISNUMBER('자료_미국심리'!$G203),ISNUMBER('자료_미국심리'!$H203)),'자료_미국심리'!$G203,"")</f>
        <v/>
      </c>
    </row>
    <row r="220">
      <c r="A220" s="10">
        <f>IF(202&gt;$E$5,"",SMALL($O$19:$O$4018,$E$6+202))</f>
        <v/>
      </c>
      <c r="B220" s="29">
        <f>IF(A220="","",INDEX('자료_미국심리'!$B$3:$B$4002,MATCH(A220,$O$19:$O$4018,0)))</f>
        <v/>
      </c>
      <c r="C220" s="22">
        <f>IF(A220="","",B220/AVERAGE(B96:B220)-1)</f>
        <v/>
      </c>
      <c r="D220" s="29">
        <f>IF(A220="","",IFERROR(INDEX('자료_미국심리'!$E$3:$E$4002,MATCH(A220,$P$19:$P$4018,0)),D219))</f>
        <v/>
      </c>
      <c r="E220" s="29">
        <f>IF(A220="","",IFERROR(INDEX('자료_미국심리'!$H$3:$H$4002,MATCH(A220,$Q$19:$Q$4018,0)),E219))</f>
        <v/>
      </c>
      <c r="F220">
        <f>IF(A220="",0,IF(A220&gt;$B$5,1,0))</f>
        <v/>
      </c>
      <c r="G220" s="29">
        <f>IF(AND(F220=1,ISNUMBER(D220)),D220,"")</f>
        <v/>
      </c>
      <c r="H220" s="29">
        <f>IF(AND(F220=1,ISNUMBER(E220)),E220,"")</f>
        <v/>
      </c>
      <c r="I220" s="22">
        <f>IF(AND(F220=1,ISNUMBER(C220)),C220,"")</f>
        <v/>
      </c>
      <c r="J220" s="11">
        <f>IF(G220="","",100-IF($G$13=1,50,(_xlfn.RANK.AVG(G220,$G$19:$G$1518,1)-1)/($G$13-1)*100))</f>
        <v/>
      </c>
      <c r="K220" s="11">
        <f>IF(H220="","",100-IF($G$14=1,50,(_xlfn.RANK.AVG(H220,$H$19:$H$1518,1)-1)/($G$14-1)*100))</f>
        <v/>
      </c>
      <c r="L220" s="11">
        <f>IF(I220="","",IF($G$15=1,50,(_xlfn.RANK.AVG(I220,$I$19:$I$1518,1)-1)/($G$15-1)*100))</f>
        <v/>
      </c>
      <c r="M220" s="11">
        <f>IF(COUNT(J220:L220)=3,ROUND(AVERAGE(J220:L220),6),"")</f>
        <v/>
      </c>
      <c r="O220">
        <f>IF(AND(ISNUMBER('자료_미국심리'!$A204),ISNUMBER('자료_미국심리'!$B204)),'자료_미국심리'!$A204,"")</f>
        <v/>
      </c>
      <c r="P220">
        <f>IF(AND(ISNUMBER('자료_미국심리'!$D204),ISNUMBER('자료_미국심리'!$E204)),'자료_미국심리'!$D204,"")</f>
        <v/>
      </c>
      <c r="Q220">
        <f>IF(AND(ISNUMBER('자료_미국심리'!$G204),ISNUMBER('자료_미국심리'!$H204)),'자료_미국심리'!$G204,"")</f>
        <v/>
      </c>
    </row>
    <row r="221">
      <c r="A221" s="10">
        <f>IF(203&gt;$E$5,"",SMALL($O$19:$O$4018,$E$6+203))</f>
        <v/>
      </c>
      <c r="B221" s="29">
        <f>IF(A221="","",INDEX('자료_미국심리'!$B$3:$B$4002,MATCH(A221,$O$19:$O$4018,0)))</f>
        <v/>
      </c>
      <c r="C221" s="22">
        <f>IF(A221="","",B221/AVERAGE(B97:B221)-1)</f>
        <v/>
      </c>
      <c r="D221" s="29">
        <f>IF(A221="","",IFERROR(INDEX('자료_미국심리'!$E$3:$E$4002,MATCH(A221,$P$19:$P$4018,0)),D220))</f>
        <v/>
      </c>
      <c r="E221" s="29">
        <f>IF(A221="","",IFERROR(INDEX('자료_미국심리'!$H$3:$H$4002,MATCH(A221,$Q$19:$Q$4018,0)),E220))</f>
        <v/>
      </c>
      <c r="F221">
        <f>IF(A221="",0,IF(A221&gt;$B$5,1,0))</f>
        <v/>
      </c>
      <c r="G221" s="29">
        <f>IF(AND(F221=1,ISNUMBER(D221)),D221,"")</f>
        <v/>
      </c>
      <c r="H221" s="29">
        <f>IF(AND(F221=1,ISNUMBER(E221)),E221,"")</f>
        <v/>
      </c>
      <c r="I221" s="22">
        <f>IF(AND(F221=1,ISNUMBER(C221)),C221,"")</f>
        <v/>
      </c>
      <c r="J221" s="11">
        <f>IF(G221="","",100-IF($G$13=1,50,(_xlfn.RANK.AVG(G221,$G$19:$G$1518,1)-1)/($G$13-1)*100))</f>
        <v/>
      </c>
      <c r="K221" s="11">
        <f>IF(H221="","",100-IF($G$14=1,50,(_xlfn.RANK.AVG(H221,$H$19:$H$1518,1)-1)/($G$14-1)*100))</f>
        <v/>
      </c>
      <c r="L221" s="11">
        <f>IF(I221="","",IF($G$15=1,50,(_xlfn.RANK.AVG(I221,$I$19:$I$1518,1)-1)/($G$15-1)*100))</f>
        <v/>
      </c>
      <c r="M221" s="11">
        <f>IF(COUNT(J221:L221)=3,ROUND(AVERAGE(J221:L221),6),"")</f>
        <v/>
      </c>
      <c r="O221">
        <f>IF(AND(ISNUMBER('자료_미국심리'!$A205),ISNUMBER('자료_미국심리'!$B205)),'자료_미국심리'!$A205,"")</f>
        <v/>
      </c>
      <c r="P221">
        <f>IF(AND(ISNUMBER('자료_미국심리'!$D205),ISNUMBER('자료_미국심리'!$E205)),'자료_미국심리'!$D205,"")</f>
        <v/>
      </c>
      <c r="Q221">
        <f>IF(AND(ISNUMBER('자료_미국심리'!$G205),ISNUMBER('자료_미국심리'!$H205)),'자료_미국심리'!$G205,"")</f>
        <v/>
      </c>
    </row>
    <row r="222">
      <c r="A222" s="10">
        <f>IF(204&gt;$E$5,"",SMALL($O$19:$O$4018,$E$6+204))</f>
        <v/>
      </c>
      <c r="B222" s="29">
        <f>IF(A222="","",INDEX('자료_미국심리'!$B$3:$B$4002,MATCH(A222,$O$19:$O$4018,0)))</f>
        <v/>
      </c>
      <c r="C222" s="22">
        <f>IF(A222="","",B222/AVERAGE(B98:B222)-1)</f>
        <v/>
      </c>
      <c r="D222" s="29">
        <f>IF(A222="","",IFERROR(INDEX('자료_미국심리'!$E$3:$E$4002,MATCH(A222,$P$19:$P$4018,0)),D221))</f>
        <v/>
      </c>
      <c r="E222" s="29">
        <f>IF(A222="","",IFERROR(INDEX('자료_미국심리'!$H$3:$H$4002,MATCH(A222,$Q$19:$Q$4018,0)),E221))</f>
        <v/>
      </c>
      <c r="F222">
        <f>IF(A222="",0,IF(A222&gt;$B$5,1,0))</f>
        <v/>
      </c>
      <c r="G222" s="29">
        <f>IF(AND(F222=1,ISNUMBER(D222)),D222,"")</f>
        <v/>
      </c>
      <c r="H222" s="29">
        <f>IF(AND(F222=1,ISNUMBER(E222)),E222,"")</f>
        <v/>
      </c>
      <c r="I222" s="22">
        <f>IF(AND(F222=1,ISNUMBER(C222)),C222,"")</f>
        <v/>
      </c>
      <c r="J222" s="11">
        <f>IF(G222="","",100-IF($G$13=1,50,(_xlfn.RANK.AVG(G222,$G$19:$G$1518,1)-1)/($G$13-1)*100))</f>
        <v/>
      </c>
      <c r="K222" s="11">
        <f>IF(H222="","",100-IF($G$14=1,50,(_xlfn.RANK.AVG(H222,$H$19:$H$1518,1)-1)/($G$14-1)*100))</f>
        <v/>
      </c>
      <c r="L222" s="11">
        <f>IF(I222="","",IF($G$15=1,50,(_xlfn.RANK.AVG(I222,$I$19:$I$1518,1)-1)/($G$15-1)*100))</f>
        <v/>
      </c>
      <c r="M222" s="11">
        <f>IF(COUNT(J222:L222)=3,ROUND(AVERAGE(J222:L222),6),"")</f>
        <v/>
      </c>
      <c r="O222">
        <f>IF(AND(ISNUMBER('자료_미국심리'!$A206),ISNUMBER('자료_미국심리'!$B206)),'자료_미국심리'!$A206,"")</f>
        <v/>
      </c>
      <c r="P222">
        <f>IF(AND(ISNUMBER('자료_미국심리'!$D206),ISNUMBER('자료_미국심리'!$E206)),'자료_미국심리'!$D206,"")</f>
        <v/>
      </c>
      <c r="Q222">
        <f>IF(AND(ISNUMBER('자료_미국심리'!$G206),ISNUMBER('자료_미국심리'!$H206)),'자료_미국심리'!$G206,"")</f>
        <v/>
      </c>
    </row>
    <row r="223">
      <c r="A223" s="10">
        <f>IF(205&gt;$E$5,"",SMALL($O$19:$O$4018,$E$6+205))</f>
        <v/>
      </c>
      <c r="B223" s="29">
        <f>IF(A223="","",INDEX('자료_미국심리'!$B$3:$B$4002,MATCH(A223,$O$19:$O$4018,0)))</f>
        <v/>
      </c>
      <c r="C223" s="22">
        <f>IF(A223="","",B223/AVERAGE(B99:B223)-1)</f>
        <v/>
      </c>
      <c r="D223" s="29">
        <f>IF(A223="","",IFERROR(INDEX('자료_미국심리'!$E$3:$E$4002,MATCH(A223,$P$19:$P$4018,0)),D222))</f>
        <v/>
      </c>
      <c r="E223" s="29">
        <f>IF(A223="","",IFERROR(INDEX('자료_미국심리'!$H$3:$H$4002,MATCH(A223,$Q$19:$Q$4018,0)),E222))</f>
        <v/>
      </c>
      <c r="F223">
        <f>IF(A223="",0,IF(A223&gt;$B$5,1,0))</f>
        <v/>
      </c>
      <c r="G223" s="29">
        <f>IF(AND(F223=1,ISNUMBER(D223)),D223,"")</f>
        <v/>
      </c>
      <c r="H223" s="29">
        <f>IF(AND(F223=1,ISNUMBER(E223)),E223,"")</f>
        <v/>
      </c>
      <c r="I223" s="22">
        <f>IF(AND(F223=1,ISNUMBER(C223)),C223,"")</f>
        <v/>
      </c>
      <c r="J223" s="11">
        <f>IF(G223="","",100-IF($G$13=1,50,(_xlfn.RANK.AVG(G223,$G$19:$G$1518,1)-1)/($G$13-1)*100))</f>
        <v/>
      </c>
      <c r="K223" s="11">
        <f>IF(H223="","",100-IF($G$14=1,50,(_xlfn.RANK.AVG(H223,$H$19:$H$1518,1)-1)/($G$14-1)*100))</f>
        <v/>
      </c>
      <c r="L223" s="11">
        <f>IF(I223="","",IF($G$15=1,50,(_xlfn.RANK.AVG(I223,$I$19:$I$1518,1)-1)/($G$15-1)*100))</f>
        <v/>
      </c>
      <c r="M223" s="11">
        <f>IF(COUNT(J223:L223)=3,ROUND(AVERAGE(J223:L223),6),"")</f>
        <v/>
      </c>
      <c r="O223">
        <f>IF(AND(ISNUMBER('자료_미국심리'!$A207),ISNUMBER('자료_미국심리'!$B207)),'자료_미국심리'!$A207,"")</f>
        <v/>
      </c>
      <c r="P223">
        <f>IF(AND(ISNUMBER('자료_미국심리'!$D207),ISNUMBER('자료_미국심리'!$E207)),'자료_미국심리'!$D207,"")</f>
        <v/>
      </c>
      <c r="Q223">
        <f>IF(AND(ISNUMBER('자료_미국심리'!$G207),ISNUMBER('자료_미국심리'!$H207)),'자료_미국심리'!$G207,"")</f>
        <v/>
      </c>
    </row>
    <row r="224">
      <c r="A224" s="10">
        <f>IF(206&gt;$E$5,"",SMALL($O$19:$O$4018,$E$6+206))</f>
        <v/>
      </c>
      <c r="B224" s="29">
        <f>IF(A224="","",INDEX('자료_미국심리'!$B$3:$B$4002,MATCH(A224,$O$19:$O$4018,0)))</f>
        <v/>
      </c>
      <c r="C224" s="22">
        <f>IF(A224="","",B224/AVERAGE(B100:B224)-1)</f>
        <v/>
      </c>
      <c r="D224" s="29">
        <f>IF(A224="","",IFERROR(INDEX('자료_미국심리'!$E$3:$E$4002,MATCH(A224,$P$19:$P$4018,0)),D223))</f>
        <v/>
      </c>
      <c r="E224" s="29">
        <f>IF(A224="","",IFERROR(INDEX('자료_미국심리'!$H$3:$H$4002,MATCH(A224,$Q$19:$Q$4018,0)),E223))</f>
        <v/>
      </c>
      <c r="F224">
        <f>IF(A224="",0,IF(A224&gt;$B$5,1,0))</f>
        <v/>
      </c>
      <c r="G224" s="29">
        <f>IF(AND(F224=1,ISNUMBER(D224)),D224,"")</f>
        <v/>
      </c>
      <c r="H224" s="29">
        <f>IF(AND(F224=1,ISNUMBER(E224)),E224,"")</f>
        <v/>
      </c>
      <c r="I224" s="22">
        <f>IF(AND(F224=1,ISNUMBER(C224)),C224,"")</f>
        <v/>
      </c>
      <c r="J224" s="11">
        <f>IF(G224="","",100-IF($G$13=1,50,(_xlfn.RANK.AVG(G224,$G$19:$G$1518,1)-1)/($G$13-1)*100))</f>
        <v/>
      </c>
      <c r="K224" s="11">
        <f>IF(H224="","",100-IF($G$14=1,50,(_xlfn.RANK.AVG(H224,$H$19:$H$1518,1)-1)/($G$14-1)*100))</f>
        <v/>
      </c>
      <c r="L224" s="11">
        <f>IF(I224="","",IF($G$15=1,50,(_xlfn.RANK.AVG(I224,$I$19:$I$1518,1)-1)/($G$15-1)*100))</f>
        <v/>
      </c>
      <c r="M224" s="11">
        <f>IF(COUNT(J224:L224)=3,ROUND(AVERAGE(J224:L224),6),"")</f>
        <v/>
      </c>
      <c r="O224">
        <f>IF(AND(ISNUMBER('자료_미국심리'!$A208),ISNUMBER('자료_미국심리'!$B208)),'자료_미국심리'!$A208,"")</f>
        <v/>
      </c>
      <c r="P224">
        <f>IF(AND(ISNUMBER('자료_미국심리'!$D208),ISNUMBER('자료_미국심리'!$E208)),'자료_미국심리'!$D208,"")</f>
        <v/>
      </c>
      <c r="Q224">
        <f>IF(AND(ISNUMBER('자료_미국심리'!$G208),ISNUMBER('자료_미국심리'!$H208)),'자료_미국심리'!$G208,"")</f>
        <v/>
      </c>
    </row>
    <row r="225">
      <c r="A225" s="10">
        <f>IF(207&gt;$E$5,"",SMALL($O$19:$O$4018,$E$6+207))</f>
        <v/>
      </c>
      <c r="B225" s="29">
        <f>IF(A225="","",INDEX('자료_미국심리'!$B$3:$B$4002,MATCH(A225,$O$19:$O$4018,0)))</f>
        <v/>
      </c>
      <c r="C225" s="22">
        <f>IF(A225="","",B225/AVERAGE(B101:B225)-1)</f>
        <v/>
      </c>
      <c r="D225" s="29">
        <f>IF(A225="","",IFERROR(INDEX('자료_미국심리'!$E$3:$E$4002,MATCH(A225,$P$19:$P$4018,0)),D224))</f>
        <v/>
      </c>
      <c r="E225" s="29">
        <f>IF(A225="","",IFERROR(INDEX('자료_미국심리'!$H$3:$H$4002,MATCH(A225,$Q$19:$Q$4018,0)),E224))</f>
        <v/>
      </c>
      <c r="F225">
        <f>IF(A225="",0,IF(A225&gt;$B$5,1,0))</f>
        <v/>
      </c>
      <c r="G225" s="29">
        <f>IF(AND(F225=1,ISNUMBER(D225)),D225,"")</f>
        <v/>
      </c>
      <c r="H225" s="29">
        <f>IF(AND(F225=1,ISNUMBER(E225)),E225,"")</f>
        <v/>
      </c>
      <c r="I225" s="22">
        <f>IF(AND(F225=1,ISNUMBER(C225)),C225,"")</f>
        <v/>
      </c>
      <c r="J225" s="11">
        <f>IF(G225="","",100-IF($G$13=1,50,(_xlfn.RANK.AVG(G225,$G$19:$G$1518,1)-1)/($G$13-1)*100))</f>
        <v/>
      </c>
      <c r="K225" s="11">
        <f>IF(H225="","",100-IF($G$14=1,50,(_xlfn.RANK.AVG(H225,$H$19:$H$1518,1)-1)/($G$14-1)*100))</f>
        <v/>
      </c>
      <c r="L225" s="11">
        <f>IF(I225="","",IF($G$15=1,50,(_xlfn.RANK.AVG(I225,$I$19:$I$1518,1)-1)/($G$15-1)*100))</f>
        <v/>
      </c>
      <c r="M225" s="11">
        <f>IF(COUNT(J225:L225)=3,ROUND(AVERAGE(J225:L225),6),"")</f>
        <v/>
      </c>
      <c r="O225">
        <f>IF(AND(ISNUMBER('자료_미국심리'!$A209),ISNUMBER('자료_미국심리'!$B209)),'자료_미국심리'!$A209,"")</f>
        <v/>
      </c>
      <c r="P225">
        <f>IF(AND(ISNUMBER('자료_미국심리'!$D209),ISNUMBER('자료_미국심리'!$E209)),'자료_미국심리'!$D209,"")</f>
        <v/>
      </c>
      <c r="Q225">
        <f>IF(AND(ISNUMBER('자료_미국심리'!$G209),ISNUMBER('자료_미국심리'!$H209)),'자료_미국심리'!$G209,"")</f>
        <v/>
      </c>
    </row>
    <row r="226">
      <c r="A226" s="10">
        <f>IF(208&gt;$E$5,"",SMALL($O$19:$O$4018,$E$6+208))</f>
        <v/>
      </c>
      <c r="B226" s="29">
        <f>IF(A226="","",INDEX('자료_미국심리'!$B$3:$B$4002,MATCH(A226,$O$19:$O$4018,0)))</f>
        <v/>
      </c>
      <c r="C226" s="22">
        <f>IF(A226="","",B226/AVERAGE(B102:B226)-1)</f>
        <v/>
      </c>
      <c r="D226" s="29">
        <f>IF(A226="","",IFERROR(INDEX('자료_미국심리'!$E$3:$E$4002,MATCH(A226,$P$19:$P$4018,0)),D225))</f>
        <v/>
      </c>
      <c r="E226" s="29">
        <f>IF(A226="","",IFERROR(INDEX('자료_미국심리'!$H$3:$H$4002,MATCH(A226,$Q$19:$Q$4018,0)),E225))</f>
        <v/>
      </c>
      <c r="F226">
        <f>IF(A226="",0,IF(A226&gt;$B$5,1,0))</f>
        <v/>
      </c>
      <c r="G226" s="29">
        <f>IF(AND(F226=1,ISNUMBER(D226)),D226,"")</f>
        <v/>
      </c>
      <c r="H226" s="29">
        <f>IF(AND(F226=1,ISNUMBER(E226)),E226,"")</f>
        <v/>
      </c>
      <c r="I226" s="22">
        <f>IF(AND(F226=1,ISNUMBER(C226)),C226,"")</f>
        <v/>
      </c>
      <c r="J226" s="11">
        <f>IF(G226="","",100-IF($G$13=1,50,(_xlfn.RANK.AVG(G226,$G$19:$G$1518,1)-1)/($G$13-1)*100))</f>
        <v/>
      </c>
      <c r="K226" s="11">
        <f>IF(H226="","",100-IF($G$14=1,50,(_xlfn.RANK.AVG(H226,$H$19:$H$1518,1)-1)/($G$14-1)*100))</f>
        <v/>
      </c>
      <c r="L226" s="11">
        <f>IF(I226="","",IF($G$15=1,50,(_xlfn.RANK.AVG(I226,$I$19:$I$1518,1)-1)/($G$15-1)*100))</f>
        <v/>
      </c>
      <c r="M226" s="11">
        <f>IF(COUNT(J226:L226)=3,ROUND(AVERAGE(J226:L226),6),"")</f>
        <v/>
      </c>
      <c r="O226">
        <f>IF(AND(ISNUMBER('자료_미국심리'!$A210),ISNUMBER('자료_미국심리'!$B210)),'자료_미국심리'!$A210,"")</f>
        <v/>
      </c>
      <c r="P226">
        <f>IF(AND(ISNUMBER('자료_미국심리'!$D210),ISNUMBER('자료_미국심리'!$E210)),'자료_미국심리'!$D210,"")</f>
        <v/>
      </c>
      <c r="Q226">
        <f>IF(AND(ISNUMBER('자료_미국심리'!$G210),ISNUMBER('자료_미국심리'!$H210)),'자료_미국심리'!$G210,"")</f>
        <v/>
      </c>
    </row>
    <row r="227">
      <c r="A227" s="10">
        <f>IF(209&gt;$E$5,"",SMALL($O$19:$O$4018,$E$6+209))</f>
        <v/>
      </c>
      <c r="B227" s="29">
        <f>IF(A227="","",INDEX('자료_미국심리'!$B$3:$B$4002,MATCH(A227,$O$19:$O$4018,0)))</f>
        <v/>
      </c>
      <c r="C227" s="22">
        <f>IF(A227="","",B227/AVERAGE(B103:B227)-1)</f>
        <v/>
      </c>
      <c r="D227" s="29">
        <f>IF(A227="","",IFERROR(INDEX('자료_미국심리'!$E$3:$E$4002,MATCH(A227,$P$19:$P$4018,0)),D226))</f>
        <v/>
      </c>
      <c r="E227" s="29">
        <f>IF(A227="","",IFERROR(INDEX('자료_미국심리'!$H$3:$H$4002,MATCH(A227,$Q$19:$Q$4018,0)),E226))</f>
        <v/>
      </c>
      <c r="F227">
        <f>IF(A227="",0,IF(A227&gt;$B$5,1,0))</f>
        <v/>
      </c>
      <c r="G227" s="29">
        <f>IF(AND(F227=1,ISNUMBER(D227)),D227,"")</f>
        <v/>
      </c>
      <c r="H227" s="29">
        <f>IF(AND(F227=1,ISNUMBER(E227)),E227,"")</f>
        <v/>
      </c>
      <c r="I227" s="22">
        <f>IF(AND(F227=1,ISNUMBER(C227)),C227,"")</f>
        <v/>
      </c>
      <c r="J227" s="11">
        <f>IF(G227="","",100-IF($G$13=1,50,(_xlfn.RANK.AVG(G227,$G$19:$G$1518,1)-1)/($G$13-1)*100))</f>
        <v/>
      </c>
      <c r="K227" s="11">
        <f>IF(H227="","",100-IF($G$14=1,50,(_xlfn.RANK.AVG(H227,$H$19:$H$1518,1)-1)/($G$14-1)*100))</f>
        <v/>
      </c>
      <c r="L227" s="11">
        <f>IF(I227="","",IF($G$15=1,50,(_xlfn.RANK.AVG(I227,$I$19:$I$1518,1)-1)/($G$15-1)*100))</f>
        <v/>
      </c>
      <c r="M227" s="11">
        <f>IF(COUNT(J227:L227)=3,ROUND(AVERAGE(J227:L227),6),"")</f>
        <v/>
      </c>
      <c r="O227">
        <f>IF(AND(ISNUMBER('자료_미국심리'!$A211),ISNUMBER('자료_미국심리'!$B211)),'자료_미국심리'!$A211,"")</f>
        <v/>
      </c>
      <c r="P227">
        <f>IF(AND(ISNUMBER('자료_미국심리'!$D211),ISNUMBER('자료_미국심리'!$E211)),'자료_미국심리'!$D211,"")</f>
        <v/>
      </c>
      <c r="Q227">
        <f>IF(AND(ISNUMBER('자료_미국심리'!$G211),ISNUMBER('자료_미국심리'!$H211)),'자료_미국심리'!$G211,"")</f>
        <v/>
      </c>
    </row>
    <row r="228">
      <c r="A228" s="10">
        <f>IF(210&gt;$E$5,"",SMALL($O$19:$O$4018,$E$6+210))</f>
        <v/>
      </c>
      <c r="B228" s="29">
        <f>IF(A228="","",INDEX('자료_미국심리'!$B$3:$B$4002,MATCH(A228,$O$19:$O$4018,0)))</f>
        <v/>
      </c>
      <c r="C228" s="22">
        <f>IF(A228="","",B228/AVERAGE(B104:B228)-1)</f>
        <v/>
      </c>
      <c r="D228" s="29">
        <f>IF(A228="","",IFERROR(INDEX('자료_미국심리'!$E$3:$E$4002,MATCH(A228,$P$19:$P$4018,0)),D227))</f>
        <v/>
      </c>
      <c r="E228" s="29">
        <f>IF(A228="","",IFERROR(INDEX('자료_미국심리'!$H$3:$H$4002,MATCH(A228,$Q$19:$Q$4018,0)),E227))</f>
        <v/>
      </c>
      <c r="F228">
        <f>IF(A228="",0,IF(A228&gt;$B$5,1,0))</f>
        <v/>
      </c>
      <c r="G228" s="29">
        <f>IF(AND(F228=1,ISNUMBER(D228)),D228,"")</f>
        <v/>
      </c>
      <c r="H228" s="29">
        <f>IF(AND(F228=1,ISNUMBER(E228)),E228,"")</f>
        <v/>
      </c>
      <c r="I228" s="22">
        <f>IF(AND(F228=1,ISNUMBER(C228)),C228,"")</f>
        <v/>
      </c>
      <c r="J228" s="11">
        <f>IF(G228="","",100-IF($G$13=1,50,(_xlfn.RANK.AVG(G228,$G$19:$G$1518,1)-1)/($G$13-1)*100))</f>
        <v/>
      </c>
      <c r="K228" s="11">
        <f>IF(H228="","",100-IF($G$14=1,50,(_xlfn.RANK.AVG(H228,$H$19:$H$1518,1)-1)/($G$14-1)*100))</f>
        <v/>
      </c>
      <c r="L228" s="11">
        <f>IF(I228="","",IF($G$15=1,50,(_xlfn.RANK.AVG(I228,$I$19:$I$1518,1)-1)/($G$15-1)*100))</f>
        <v/>
      </c>
      <c r="M228" s="11">
        <f>IF(COUNT(J228:L228)=3,ROUND(AVERAGE(J228:L228),6),"")</f>
        <v/>
      </c>
      <c r="O228">
        <f>IF(AND(ISNUMBER('자료_미국심리'!$A212),ISNUMBER('자료_미국심리'!$B212)),'자료_미국심리'!$A212,"")</f>
        <v/>
      </c>
      <c r="P228">
        <f>IF(AND(ISNUMBER('자료_미국심리'!$D212),ISNUMBER('자료_미국심리'!$E212)),'자료_미국심리'!$D212,"")</f>
        <v/>
      </c>
      <c r="Q228">
        <f>IF(AND(ISNUMBER('자료_미국심리'!$G212),ISNUMBER('자료_미국심리'!$H212)),'자료_미국심리'!$G212,"")</f>
        <v/>
      </c>
    </row>
    <row r="229">
      <c r="A229" s="10">
        <f>IF(211&gt;$E$5,"",SMALL($O$19:$O$4018,$E$6+211))</f>
        <v/>
      </c>
      <c r="B229" s="29">
        <f>IF(A229="","",INDEX('자료_미국심리'!$B$3:$B$4002,MATCH(A229,$O$19:$O$4018,0)))</f>
        <v/>
      </c>
      <c r="C229" s="22">
        <f>IF(A229="","",B229/AVERAGE(B105:B229)-1)</f>
        <v/>
      </c>
      <c r="D229" s="29">
        <f>IF(A229="","",IFERROR(INDEX('자료_미국심리'!$E$3:$E$4002,MATCH(A229,$P$19:$P$4018,0)),D228))</f>
        <v/>
      </c>
      <c r="E229" s="29">
        <f>IF(A229="","",IFERROR(INDEX('자료_미국심리'!$H$3:$H$4002,MATCH(A229,$Q$19:$Q$4018,0)),E228))</f>
        <v/>
      </c>
      <c r="F229">
        <f>IF(A229="",0,IF(A229&gt;$B$5,1,0))</f>
        <v/>
      </c>
      <c r="G229" s="29">
        <f>IF(AND(F229=1,ISNUMBER(D229)),D229,"")</f>
        <v/>
      </c>
      <c r="H229" s="29">
        <f>IF(AND(F229=1,ISNUMBER(E229)),E229,"")</f>
        <v/>
      </c>
      <c r="I229" s="22">
        <f>IF(AND(F229=1,ISNUMBER(C229)),C229,"")</f>
        <v/>
      </c>
      <c r="J229" s="11">
        <f>IF(G229="","",100-IF($G$13=1,50,(_xlfn.RANK.AVG(G229,$G$19:$G$1518,1)-1)/($G$13-1)*100))</f>
        <v/>
      </c>
      <c r="K229" s="11">
        <f>IF(H229="","",100-IF($G$14=1,50,(_xlfn.RANK.AVG(H229,$H$19:$H$1518,1)-1)/($G$14-1)*100))</f>
        <v/>
      </c>
      <c r="L229" s="11">
        <f>IF(I229="","",IF($G$15=1,50,(_xlfn.RANK.AVG(I229,$I$19:$I$1518,1)-1)/($G$15-1)*100))</f>
        <v/>
      </c>
      <c r="M229" s="11">
        <f>IF(COUNT(J229:L229)=3,ROUND(AVERAGE(J229:L229),6),"")</f>
        <v/>
      </c>
      <c r="O229">
        <f>IF(AND(ISNUMBER('자료_미국심리'!$A213),ISNUMBER('자료_미국심리'!$B213)),'자료_미국심리'!$A213,"")</f>
        <v/>
      </c>
      <c r="P229">
        <f>IF(AND(ISNUMBER('자료_미국심리'!$D213),ISNUMBER('자료_미국심리'!$E213)),'자료_미국심리'!$D213,"")</f>
        <v/>
      </c>
      <c r="Q229">
        <f>IF(AND(ISNUMBER('자료_미국심리'!$G213),ISNUMBER('자료_미국심리'!$H213)),'자료_미국심리'!$G213,"")</f>
        <v/>
      </c>
    </row>
    <row r="230">
      <c r="A230" s="10">
        <f>IF(212&gt;$E$5,"",SMALL($O$19:$O$4018,$E$6+212))</f>
        <v/>
      </c>
      <c r="B230" s="29">
        <f>IF(A230="","",INDEX('자료_미국심리'!$B$3:$B$4002,MATCH(A230,$O$19:$O$4018,0)))</f>
        <v/>
      </c>
      <c r="C230" s="22">
        <f>IF(A230="","",B230/AVERAGE(B106:B230)-1)</f>
        <v/>
      </c>
      <c r="D230" s="29">
        <f>IF(A230="","",IFERROR(INDEX('자료_미국심리'!$E$3:$E$4002,MATCH(A230,$P$19:$P$4018,0)),D229))</f>
        <v/>
      </c>
      <c r="E230" s="29">
        <f>IF(A230="","",IFERROR(INDEX('자료_미국심리'!$H$3:$H$4002,MATCH(A230,$Q$19:$Q$4018,0)),E229))</f>
        <v/>
      </c>
      <c r="F230">
        <f>IF(A230="",0,IF(A230&gt;$B$5,1,0))</f>
        <v/>
      </c>
      <c r="G230" s="29">
        <f>IF(AND(F230=1,ISNUMBER(D230)),D230,"")</f>
        <v/>
      </c>
      <c r="H230" s="29">
        <f>IF(AND(F230=1,ISNUMBER(E230)),E230,"")</f>
        <v/>
      </c>
      <c r="I230" s="22">
        <f>IF(AND(F230=1,ISNUMBER(C230)),C230,"")</f>
        <v/>
      </c>
      <c r="J230" s="11">
        <f>IF(G230="","",100-IF($G$13=1,50,(_xlfn.RANK.AVG(G230,$G$19:$G$1518,1)-1)/($G$13-1)*100))</f>
        <v/>
      </c>
      <c r="K230" s="11">
        <f>IF(H230="","",100-IF($G$14=1,50,(_xlfn.RANK.AVG(H230,$H$19:$H$1518,1)-1)/($G$14-1)*100))</f>
        <v/>
      </c>
      <c r="L230" s="11">
        <f>IF(I230="","",IF($G$15=1,50,(_xlfn.RANK.AVG(I230,$I$19:$I$1518,1)-1)/($G$15-1)*100))</f>
        <v/>
      </c>
      <c r="M230" s="11">
        <f>IF(COUNT(J230:L230)=3,ROUND(AVERAGE(J230:L230),6),"")</f>
        <v/>
      </c>
      <c r="O230">
        <f>IF(AND(ISNUMBER('자료_미국심리'!$A214),ISNUMBER('자료_미국심리'!$B214)),'자료_미국심리'!$A214,"")</f>
        <v/>
      </c>
      <c r="P230">
        <f>IF(AND(ISNUMBER('자료_미국심리'!$D214),ISNUMBER('자료_미국심리'!$E214)),'자료_미국심리'!$D214,"")</f>
        <v/>
      </c>
      <c r="Q230">
        <f>IF(AND(ISNUMBER('자료_미국심리'!$G214),ISNUMBER('자료_미국심리'!$H214)),'자료_미국심리'!$G214,"")</f>
        <v/>
      </c>
    </row>
    <row r="231">
      <c r="A231" s="10">
        <f>IF(213&gt;$E$5,"",SMALL($O$19:$O$4018,$E$6+213))</f>
        <v/>
      </c>
      <c r="B231" s="29">
        <f>IF(A231="","",INDEX('자료_미국심리'!$B$3:$B$4002,MATCH(A231,$O$19:$O$4018,0)))</f>
        <v/>
      </c>
      <c r="C231" s="22">
        <f>IF(A231="","",B231/AVERAGE(B107:B231)-1)</f>
        <v/>
      </c>
      <c r="D231" s="29">
        <f>IF(A231="","",IFERROR(INDEX('자료_미국심리'!$E$3:$E$4002,MATCH(A231,$P$19:$P$4018,0)),D230))</f>
        <v/>
      </c>
      <c r="E231" s="29">
        <f>IF(A231="","",IFERROR(INDEX('자료_미국심리'!$H$3:$H$4002,MATCH(A231,$Q$19:$Q$4018,0)),E230))</f>
        <v/>
      </c>
      <c r="F231">
        <f>IF(A231="",0,IF(A231&gt;$B$5,1,0))</f>
        <v/>
      </c>
      <c r="G231" s="29">
        <f>IF(AND(F231=1,ISNUMBER(D231)),D231,"")</f>
        <v/>
      </c>
      <c r="H231" s="29">
        <f>IF(AND(F231=1,ISNUMBER(E231)),E231,"")</f>
        <v/>
      </c>
      <c r="I231" s="22">
        <f>IF(AND(F231=1,ISNUMBER(C231)),C231,"")</f>
        <v/>
      </c>
      <c r="J231" s="11">
        <f>IF(G231="","",100-IF($G$13=1,50,(_xlfn.RANK.AVG(G231,$G$19:$G$1518,1)-1)/($G$13-1)*100))</f>
        <v/>
      </c>
      <c r="K231" s="11">
        <f>IF(H231="","",100-IF($G$14=1,50,(_xlfn.RANK.AVG(H231,$H$19:$H$1518,1)-1)/($G$14-1)*100))</f>
        <v/>
      </c>
      <c r="L231" s="11">
        <f>IF(I231="","",IF($G$15=1,50,(_xlfn.RANK.AVG(I231,$I$19:$I$1518,1)-1)/($G$15-1)*100))</f>
        <v/>
      </c>
      <c r="M231" s="11">
        <f>IF(COUNT(J231:L231)=3,ROUND(AVERAGE(J231:L231),6),"")</f>
        <v/>
      </c>
      <c r="O231">
        <f>IF(AND(ISNUMBER('자료_미국심리'!$A215),ISNUMBER('자료_미국심리'!$B215)),'자료_미국심리'!$A215,"")</f>
        <v/>
      </c>
      <c r="P231">
        <f>IF(AND(ISNUMBER('자료_미국심리'!$D215),ISNUMBER('자료_미국심리'!$E215)),'자료_미국심리'!$D215,"")</f>
        <v/>
      </c>
      <c r="Q231">
        <f>IF(AND(ISNUMBER('자료_미국심리'!$G215),ISNUMBER('자료_미국심리'!$H215)),'자료_미국심리'!$G215,"")</f>
        <v/>
      </c>
    </row>
    <row r="232">
      <c r="A232" s="10">
        <f>IF(214&gt;$E$5,"",SMALL($O$19:$O$4018,$E$6+214))</f>
        <v/>
      </c>
      <c r="B232" s="29">
        <f>IF(A232="","",INDEX('자료_미국심리'!$B$3:$B$4002,MATCH(A232,$O$19:$O$4018,0)))</f>
        <v/>
      </c>
      <c r="C232" s="22">
        <f>IF(A232="","",B232/AVERAGE(B108:B232)-1)</f>
        <v/>
      </c>
      <c r="D232" s="29">
        <f>IF(A232="","",IFERROR(INDEX('자료_미국심리'!$E$3:$E$4002,MATCH(A232,$P$19:$P$4018,0)),D231))</f>
        <v/>
      </c>
      <c r="E232" s="29">
        <f>IF(A232="","",IFERROR(INDEX('자료_미국심리'!$H$3:$H$4002,MATCH(A232,$Q$19:$Q$4018,0)),E231))</f>
        <v/>
      </c>
      <c r="F232">
        <f>IF(A232="",0,IF(A232&gt;$B$5,1,0))</f>
        <v/>
      </c>
      <c r="G232" s="29">
        <f>IF(AND(F232=1,ISNUMBER(D232)),D232,"")</f>
        <v/>
      </c>
      <c r="H232" s="29">
        <f>IF(AND(F232=1,ISNUMBER(E232)),E232,"")</f>
        <v/>
      </c>
      <c r="I232" s="22">
        <f>IF(AND(F232=1,ISNUMBER(C232)),C232,"")</f>
        <v/>
      </c>
      <c r="J232" s="11">
        <f>IF(G232="","",100-IF($G$13=1,50,(_xlfn.RANK.AVG(G232,$G$19:$G$1518,1)-1)/($G$13-1)*100))</f>
        <v/>
      </c>
      <c r="K232" s="11">
        <f>IF(H232="","",100-IF($G$14=1,50,(_xlfn.RANK.AVG(H232,$H$19:$H$1518,1)-1)/($G$14-1)*100))</f>
        <v/>
      </c>
      <c r="L232" s="11">
        <f>IF(I232="","",IF($G$15=1,50,(_xlfn.RANK.AVG(I232,$I$19:$I$1518,1)-1)/($G$15-1)*100))</f>
        <v/>
      </c>
      <c r="M232" s="11">
        <f>IF(COUNT(J232:L232)=3,ROUND(AVERAGE(J232:L232),6),"")</f>
        <v/>
      </c>
      <c r="O232">
        <f>IF(AND(ISNUMBER('자료_미국심리'!$A216),ISNUMBER('자료_미국심리'!$B216)),'자료_미국심리'!$A216,"")</f>
        <v/>
      </c>
      <c r="P232">
        <f>IF(AND(ISNUMBER('자료_미국심리'!$D216),ISNUMBER('자료_미국심리'!$E216)),'자료_미국심리'!$D216,"")</f>
        <v/>
      </c>
      <c r="Q232">
        <f>IF(AND(ISNUMBER('자료_미국심리'!$G216),ISNUMBER('자료_미국심리'!$H216)),'자료_미국심리'!$G216,"")</f>
        <v/>
      </c>
    </row>
    <row r="233">
      <c r="A233" s="10">
        <f>IF(215&gt;$E$5,"",SMALL($O$19:$O$4018,$E$6+215))</f>
        <v/>
      </c>
      <c r="B233" s="29">
        <f>IF(A233="","",INDEX('자료_미국심리'!$B$3:$B$4002,MATCH(A233,$O$19:$O$4018,0)))</f>
        <v/>
      </c>
      <c r="C233" s="22">
        <f>IF(A233="","",B233/AVERAGE(B109:B233)-1)</f>
        <v/>
      </c>
      <c r="D233" s="29">
        <f>IF(A233="","",IFERROR(INDEX('자료_미국심리'!$E$3:$E$4002,MATCH(A233,$P$19:$P$4018,0)),D232))</f>
        <v/>
      </c>
      <c r="E233" s="29">
        <f>IF(A233="","",IFERROR(INDEX('자료_미국심리'!$H$3:$H$4002,MATCH(A233,$Q$19:$Q$4018,0)),E232))</f>
        <v/>
      </c>
      <c r="F233">
        <f>IF(A233="",0,IF(A233&gt;$B$5,1,0))</f>
        <v/>
      </c>
      <c r="G233" s="29">
        <f>IF(AND(F233=1,ISNUMBER(D233)),D233,"")</f>
        <v/>
      </c>
      <c r="H233" s="29">
        <f>IF(AND(F233=1,ISNUMBER(E233)),E233,"")</f>
        <v/>
      </c>
      <c r="I233" s="22">
        <f>IF(AND(F233=1,ISNUMBER(C233)),C233,"")</f>
        <v/>
      </c>
      <c r="J233" s="11">
        <f>IF(G233="","",100-IF($G$13=1,50,(_xlfn.RANK.AVG(G233,$G$19:$G$1518,1)-1)/($G$13-1)*100))</f>
        <v/>
      </c>
      <c r="K233" s="11">
        <f>IF(H233="","",100-IF($G$14=1,50,(_xlfn.RANK.AVG(H233,$H$19:$H$1518,1)-1)/($G$14-1)*100))</f>
        <v/>
      </c>
      <c r="L233" s="11">
        <f>IF(I233="","",IF($G$15=1,50,(_xlfn.RANK.AVG(I233,$I$19:$I$1518,1)-1)/($G$15-1)*100))</f>
        <v/>
      </c>
      <c r="M233" s="11">
        <f>IF(COUNT(J233:L233)=3,ROUND(AVERAGE(J233:L233),6),"")</f>
        <v/>
      </c>
      <c r="O233">
        <f>IF(AND(ISNUMBER('자료_미국심리'!$A217),ISNUMBER('자료_미국심리'!$B217)),'자료_미국심리'!$A217,"")</f>
        <v/>
      </c>
      <c r="P233">
        <f>IF(AND(ISNUMBER('자료_미국심리'!$D217),ISNUMBER('자료_미국심리'!$E217)),'자료_미국심리'!$D217,"")</f>
        <v/>
      </c>
      <c r="Q233">
        <f>IF(AND(ISNUMBER('자료_미국심리'!$G217),ISNUMBER('자료_미국심리'!$H217)),'자료_미국심리'!$G217,"")</f>
        <v/>
      </c>
    </row>
    <row r="234">
      <c r="A234" s="10">
        <f>IF(216&gt;$E$5,"",SMALL($O$19:$O$4018,$E$6+216))</f>
        <v/>
      </c>
      <c r="B234" s="29">
        <f>IF(A234="","",INDEX('자료_미국심리'!$B$3:$B$4002,MATCH(A234,$O$19:$O$4018,0)))</f>
        <v/>
      </c>
      <c r="C234" s="22">
        <f>IF(A234="","",B234/AVERAGE(B110:B234)-1)</f>
        <v/>
      </c>
      <c r="D234" s="29">
        <f>IF(A234="","",IFERROR(INDEX('자료_미국심리'!$E$3:$E$4002,MATCH(A234,$P$19:$P$4018,0)),D233))</f>
        <v/>
      </c>
      <c r="E234" s="29">
        <f>IF(A234="","",IFERROR(INDEX('자료_미국심리'!$H$3:$H$4002,MATCH(A234,$Q$19:$Q$4018,0)),E233))</f>
        <v/>
      </c>
      <c r="F234">
        <f>IF(A234="",0,IF(A234&gt;$B$5,1,0))</f>
        <v/>
      </c>
      <c r="G234" s="29">
        <f>IF(AND(F234=1,ISNUMBER(D234)),D234,"")</f>
        <v/>
      </c>
      <c r="H234" s="29">
        <f>IF(AND(F234=1,ISNUMBER(E234)),E234,"")</f>
        <v/>
      </c>
      <c r="I234" s="22">
        <f>IF(AND(F234=1,ISNUMBER(C234)),C234,"")</f>
        <v/>
      </c>
      <c r="J234" s="11">
        <f>IF(G234="","",100-IF($G$13=1,50,(_xlfn.RANK.AVG(G234,$G$19:$G$1518,1)-1)/($G$13-1)*100))</f>
        <v/>
      </c>
      <c r="K234" s="11">
        <f>IF(H234="","",100-IF($G$14=1,50,(_xlfn.RANK.AVG(H234,$H$19:$H$1518,1)-1)/($G$14-1)*100))</f>
        <v/>
      </c>
      <c r="L234" s="11">
        <f>IF(I234="","",IF($G$15=1,50,(_xlfn.RANK.AVG(I234,$I$19:$I$1518,1)-1)/($G$15-1)*100))</f>
        <v/>
      </c>
      <c r="M234" s="11">
        <f>IF(COUNT(J234:L234)=3,ROUND(AVERAGE(J234:L234),6),"")</f>
        <v/>
      </c>
      <c r="O234">
        <f>IF(AND(ISNUMBER('자료_미국심리'!$A218),ISNUMBER('자료_미국심리'!$B218)),'자료_미국심리'!$A218,"")</f>
        <v/>
      </c>
      <c r="P234">
        <f>IF(AND(ISNUMBER('자료_미국심리'!$D218),ISNUMBER('자료_미국심리'!$E218)),'자료_미국심리'!$D218,"")</f>
        <v/>
      </c>
      <c r="Q234">
        <f>IF(AND(ISNUMBER('자료_미국심리'!$G218),ISNUMBER('자료_미국심리'!$H218)),'자료_미국심리'!$G218,"")</f>
        <v/>
      </c>
    </row>
    <row r="235">
      <c r="A235" s="10">
        <f>IF(217&gt;$E$5,"",SMALL($O$19:$O$4018,$E$6+217))</f>
        <v/>
      </c>
      <c r="B235" s="29">
        <f>IF(A235="","",INDEX('자료_미국심리'!$B$3:$B$4002,MATCH(A235,$O$19:$O$4018,0)))</f>
        <v/>
      </c>
      <c r="C235" s="22">
        <f>IF(A235="","",B235/AVERAGE(B111:B235)-1)</f>
        <v/>
      </c>
      <c r="D235" s="29">
        <f>IF(A235="","",IFERROR(INDEX('자료_미국심리'!$E$3:$E$4002,MATCH(A235,$P$19:$P$4018,0)),D234))</f>
        <v/>
      </c>
      <c r="E235" s="29">
        <f>IF(A235="","",IFERROR(INDEX('자료_미국심리'!$H$3:$H$4002,MATCH(A235,$Q$19:$Q$4018,0)),E234))</f>
        <v/>
      </c>
      <c r="F235">
        <f>IF(A235="",0,IF(A235&gt;$B$5,1,0))</f>
        <v/>
      </c>
      <c r="G235" s="29">
        <f>IF(AND(F235=1,ISNUMBER(D235)),D235,"")</f>
        <v/>
      </c>
      <c r="H235" s="29">
        <f>IF(AND(F235=1,ISNUMBER(E235)),E235,"")</f>
        <v/>
      </c>
      <c r="I235" s="22">
        <f>IF(AND(F235=1,ISNUMBER(C235)),C235,"")</f>
        <v/>
      </c>
      <c r="J235" s="11">
        <f>IF(G235="","",100-IF($G$13=1,50,(_xlfn.RANK.AVG(G235,$G$19:$G$1518,1)-1)/($G$13-1)*100))</f>
        <v/>
      </c>
      <c r="K235" s="11">
        <f>IF(H235="","",100-IF($G$14=1,50,(_xlfn.RANK.AVG(H235,$H$19:$H$1518,1)-1)/($G$14-1)*100))</f>
        <v/>
      </c>
      <c r="L235" s="11">
        <f>IF(I235="","",IF($G$15=1,50,(_xlfn.RANK.AVG(I235,$I$19:$I$1518,1)-1)/($G$15-1)*100))</f>
        <v/>
      </c>
      <c r="M235" s="11">
        <f>IF(COUNT(J235:L235)=3,ROUND(AVERAGE(J235:L235),6),"")</f>
        <v/>
      </c>
      <c r="O235">
        <f>IF(AND(ISNUMBER('자료_미국심리'!$A219),ISNUMBER('자료_미국심리'!$B219)),'자료_미국심리'!$A219,"")</f>
        <v/>
      </c>
      <c r="P235">
        <f>IF(AND(ISNUMBER('자료_미국심리'!$D219),ISNUMBER('자료_미국심리'!$E219)),'자료_미국심리'!$D219,"")</f>
        <v/>
      </c>
      <c r="Q235">
        <f>IF(AND(ISNUMBER('자료_미국심리'!$G219),ISNUMBER('자료_미국심리'!$H219)),'자료_미국심리'!$G219,"")</f>
        <v/>
      </c>
    </row>
    <row r="236">
      <c r="A236" s="10">
        <f>IF(218&gt;$E$5,"",SMALL($O$19:$O$4018,$E$6+218))</f>
        <v/>
      </c>
      <c r="B236" s="29">
        <f>IF(A236="","",INDEX('자료_미국심리'!$B$3:$B$4002,MATCH(A236,$O$19:$O$4018,0)))</f>
        <v/>
      </c>
      <c r="C236" s="22">
        <f>IF(A236="","",B236/AVERAGE(B112:B236)-1)</f>
        <v/>
      </c>
      <c r="D236" s="29">
        <f>IF(A236="","",IFERROR(INDEX('자료_미국심리'!$E$3:$E$4002,MATCH(A236,$P$19:$P$4018,0)),D235))</f>
        <v/>
      </c>
      <c r="E236" s="29">
        <f>IF(A236="","",IFERROR(INDEX('자료_미국심리'!$H$3:$H$4002,MATCH(A236,$Q$19:$Q$4018,0)),E235))</f>
        <v/>
      </c>
      <c r="F236">
        <f>IF(A236="",0,IF(A236&gt;$B$5,1,0))</f>
        <v/>
      </c>
      <c r="G236" s="29">
        <f>IF(AND(F236=1,ISNUMBER(D236)),D236,"")</f>
        <v/>
      </c>
      <c r="H236" s="29">
        <f>IF(AND(F236=1,ISNUMBER(E236)),E236,"")</f>
        <v/>
      </c>
      <c r="I236" s="22">
        <f>IF(AND(F236=1,ISNUMBER(C236)),C236,"")</f>
        <v/>
      </c>
      <c r="J236" s="11">
        <f>IF(G236="","",100-IF($G$13=1,50,(_xlfn.RANK.AVG(G236,$G$19:$G$1518,1)-1)/($G$13-1)*100))</f>
        <v/>
      </c>
      <c r="K236" s="11">
        <f>IF(H236="","",100-IF($G$14=1,50,(_xlfn.RANK.AVG(H236,$H$19:$H$1518,1)-1)/($G$14-1)*100))</f>
        <v/>
      </c>
      <c r="L236" s="11">
        <f>IF(I236="","",IF($G$15=1,50,(_xlfn.RANK.AVG(I236,$I$19:$I$1518,1)-1)/($G$15-1)*100))</f>
        <v/>
      </c>
      <c r="M236" s="11">
        <f>IF(COUNT(J236:L236)=3,ROUND(AVERAGE(J236:L236),6),"")</f>
        <v/>
      </c>
      <c r="O236">
        <f>IF(AND(ISNUMBER('자료_미국심리'!$A220),ISNUMBER('자료_미국심리'!$B220)),'자료_미국심리'!$A220,"")</f>
        <v/>
      </c>
      <c r="P236">
        <f>IF(AND(ISNUMBER('자료_미국심리'!$D220),ISNUMBER('자료_미국심리'!$E220)),'자료_미국심리'!$D220,"")</f>
        <v/>
      </c>
      <c r="Q236">
        <f>IF(AND(ISNUMBER('자료_미국심리'!$G220),ISNUMBER('자료_미국심리'!$H220)),'자료_미국심리'!$G220,"")</f>
        <v/>
      </c>
    </row>
    <row r="237">
      <c r="A237" s="10">
        <f>IF(219&gt;$E$5,"",SMALL($O$19:$O$4018,$E$6+219))</f>
        <v/>
      </c>
      <c r="B237" s="29">
        <f>IF(A237="","",INDEX('자료_미국심리'!$B$3:$B$4002,MATCH(A237,$O$19:$O$4018,0)))</f>
        <v/>
      </c>
      <c r="C237" s="22">
        <f>IF(A237="","",B237/AVERAGE(B113:B237)-1)</f>
        <v/>
      </c>
      <c r="D237" s="29">
        <f>IF(A237="","",IFERROR(INDEX('자료_미국심리'!$E$3:$E$4002,MATCH(A237,$P$19:$P$4018,0)),D236))</f>
        <v/>
      </c>
      <c r="E237" s="29">
        <f>IF(A237="","",IFERROR(INDEX('자료_미국심리'!$H$3:$H$4002,MATCH(A237,$Q$19:$Q$4018,0)),E236))</f>
        <v/>
      </c>
      <c r="F237">
        <f>IF(A237="",0,IF(A237&gt;$B$5,1,0))</f>
        <v/>
      </c>
      <c r="G237" s="29">
        <f>IF(AND(F237=1,ISNUMBER(D237)),D237,"")</f>
        <v/>
      </c>
      <c r="H237" s="29">
        <f>IF(AND(F237=1,ISNUMBER(E237)),E237,"")</f>
        <v/>
      </c>
      <c r="I237" s="22">
        <f>IF(AND(F237=1,ISNUMBER(C237)),C237,"")</f>
        <v/>
      </c>
      <c r="J237" s="11">
        <f>IF(G237="","",100-IF($G$13=1,50,(_xlfn.RANK.AVG(G237,$G$19:$G$1518,1)-1)/($G$13-1)*100))</f>
        <v/>
      </c>
      <c r="K237" s="11">
        <f>IF(H237="","",100-IF($G$14=1,50,(_xlfn.RANK.AVG(H237,$H$19:$H$1518,1)-1)/($G$14-1)*100))</f>
        <v/>
      </c>
      <c r="L237" s="11">
        <f>IF(I237="","",IF($G$15=1,50,(_xlfn.RANK.AVG(I237,$I$19:$I$1518,1)-1)/($G$15-1)*100))</f>
        <v/>
      </c>
      <c r="M237" s="11">
        <f>IF(COUNT(J237:L237)=3,ROUND(AVERAGE(J237:L237),6),"")</f>
        <v/>
      </c>
      <c r="O237">
        <f>IF(AND(ISNUMBER('자료_미국심리'!$A221),ISNUMBER('자료_미국심리'!$B221)),'자료_미국심리'!$A221,"")</f>
        <v/>
      </c>
      <c r="P237">
        <f>IF(AND(ISNUMBER('자료_미국심리'!$D221),ISNUMBER('자료_미국심리'!$E221)),'자료_미국심리'!$D221,"")</f>
        <v/>
      </c>
      <c r="Q237">
        <f>IF(AND(ISNUMBER('자료_미국심리'!$G221),ISNUMBER('자료_미국심리'!$H221)),'자료_미국심리'!$G221,"")</f>
        <v/>
      </c>
    </row>
    <row r="238">
      <c r="A238" s="10">
        <f>IF(220&gt;$E$5,"",SMALL($O$19:$O$4018,$E$6+220))</f>
        <v/>
      </c>
      <c r="B238" s="29">
        <f>IF(A238="","",INDEX('자료_미국심리'!$B$3:$B$4002,MATCH(A238,$O$19:$O$4018,0)))</f>
        <v/>
      </c>
      <c r="C238" s="22">
        <f>IF(A238="","",B238/AVERAGE(B114:B238)-1)</f>
        <v/>
      </c>
      <c r="D238" s="29">
        <f>IF(A238="","",IFERROR(INDEX('자료_미국심리'!$E$3:$E$4002,MATCH(A238,$P$19:$P$4018,0)),D237))</f>
        <v/>
      </c>
      <c r="E238" s="29">
        <f>IF(A238="","",IFERROR(INDEX('자료_미국심리'!$H$3:$H$4002,MATCH(A238,$Q$19:$Q$4018,0)),E237))</f>
        <v/>
      </c>
      <c r="F238">
        <f>IF(A238="",0,IF(A238&gt;$B$5,1,0))</f>
        <v/>
      </c>
      <c r="G238" s="29">
        <f>IF(AND(F238=1,ISNUMBER(D238)),D238,"")</f>
        <v/>
      </c>
      <c r="H238" s="29">
        <f>IF(AND(F238=1,ISNUMBER(E238)),E238,"")</f>
        <v/>
      </c>
      <c r="I238" s="22">
        <f>IF(AND(F238=1,ISNUMBER(C238)),C238,"")</f>
        <v/>
      </c>
      <c r="J238" s="11">
        <f>IF(G238="","",100-IF($G$13=1,50,(_xlfn.RANK.AVG(G238,$G$19:$G$1518,1)-1)/($G$13-1)*100))</f>
        <v/>
      </c>
      <c r="K238" s="11">
        <f>IF(H238="","",100-IF($G$14=1,50,(_xlfn.RANK.AVG(H238,$H$19:$H$1518,1)-1)/($G$14-1)*100))</f>
        <v/>
      </c>
      <c r="L238" s="11">
        <f>IF(I238="","",IF($G$15=1,50,(_xlfn.RANK.AVG(I238,$I$19:$I$1518,1)-1)/($G$15-1)*100))</f>
        <v/>
      </c>
      <c r="M238" s="11">
        <f>IF(COUNT(J238:L238)=3,ROUND(AVERAGE(J238:L238),6),"")</f>
        <v/>
      </c>
      <c r="O238">
        <f>IF(AND(ISNUMBER('자료_미국심리'!$A222),ISNUMBER('자료_미국심리'!$B222)),'자료_미국심리'!$A222,"")</f>
        <v/>
      </c>
      <c r="P238">
        <f>IF(AND(ISNUMBER('자료_미국심리'!$D222),ISNUMBER('자료_미국심리'!$E222)),'자료_미국심리'!$D222,"")</f>
        <v/>
      </c>
      <c r="Q238">
        <f>IF(AND(ISNUMBER('자료_미국심리'!$G222),ISNUMBER('자료_미국심리'!$H222)),'자료_미국심리'!$G222,"")</f>
        <v/>
      </c>
    </row>
    <row r="239">
      <c r="A239" s="10">
        <f>IF(221&gt;$E$5,"",SMALL($O$19:$O$4018,$E$6+221))</f>
        <v/>
      </c>
      <c r="B239" s="29">
        <f>IF(A239="","",INDEX('자료_미국심리'!$B$3:$B$4002,MATCH(A239,$O$19:$O$4018,0)))</f>
        <v/>
      </c>
      <c r="C239" s="22">
        <f>IF(A239="","",B239/AVERAGE(B115:B239)-1)</f>
        <v/>
      </c>
      <c r="D239" s="29">
        <f>IF(A239="","",IFERROR(INDEX('자료_미국심리'!$E$3:$E$4002,MATCH(A239,$P$19:$P$4018,0)),D238))</f>
        <v/>
      </c>
      <c r="E239" s="29">
        <f>IF(A239="","",IFERROR(INDEX('자료_미국심리'!$H$3:$H$4002,MATCH(A239,$Q$19:$Q$4018,0)),E238))</f>
        <v/>
      </c>
      <c r="F239">
        <f>IF(A239="",0,IF(A239&gt;$B$5,1,0))</f>
        <v/>
      </c>
      <c r="G239" s="29">
        <f>IF(AND(F239=1,ISNUMBER(D239)),D239,"")</f>
        <v/>
      </c>
      <c r="H239" s="29">
        <f>IF(AND(F239=1,ISNUMBER(E239)),E239,"")</f>
        <v/>
      </c>
      <c r="I239" s="22">
        <f>IF(AND(F239=1,ISNUMBER(C239)),C239,"")</f>
        <v/>
      </c>
      <c r="J239" s="11">
        <f>IF(G239="","",100-IF($G$13=1,50,(_xlfn.RANK.AVG(G239,$G$19:$G$1518,1)-1)/($G$13-1)*100))</f>
        <v/>
      </c>
      <c r="K239" s="11">
        <f>IF(H239="","",100-IF($G$14=1,50,(_xlfn.RANK.AVG(H239,$H$19:$H$1518,1)-1)/($G$14-1)*100))</f>
        <v/>
      </c>
      <c r="L239" s="11">
        <f>IF(I239="","",IF($G$15=1,50,(_xlfn.RANK.AVG(I239,$I$19:$I$1518,1)-1)/($G$15-1)*100))</f>
        <v/>
      </c>
      <c r="M239" s="11">
        <f>IF(COUNT(J239:L239)=3,ROUND(AVERAGE(J239:L239),6),"")</f>
        <v/>
      </c>
      <c r="O239">
        <f>IF(AND(ISNUMBER('자료_미국심리'!$A223),ISNUMBER('자료_미국심리'!$B223)),'자료_미국심리'!$A223,"")</f>
        <v/>
      </c>
      <c r="P239">
        <f>IF(AND(ISNUMBER('자료_미국심리'!$D223),ISNUMBER('자료_미국심리'!$E223)),'자료_미국심리'!$D223,"")</f>
        <v/>
      </c>
      <c r="Q239">
        <f>IF(AND(ISNUMBER('자료_미국심리'!$G223),ISNUMBER('자료_미국심리'!$H223)),'자료_미국심리'!$G223,"")</f>
        <v/>
      </c>
    </row>
    <row r="240">
      <c r="A240" s="10">
        <f>IF(222&gt;$E$5,"",SMALL($O$19:$O$4018,$E$6+222))</f>
        <v/>
      </c>
      <c r="B240" s="29">
        <f>IF(A240="","",INDEX('자료_미국심리'!$B$3:$B$4002,MATCH(A240,$O$19:$O$4018,0)))</f>
        <v/>
      </c>
      <c r="C240" s="22">
        <f>IF(A240="","",B240/AVERAGE(B116:B240)-1)</f>
        <v/>
      </c>
      <c r="D240" s="29">
        <f>IF(A240="","",IFERROR(INDEX('자료_미국심리'!$E$3:$E$4002,MATCH(A240,$P$19:$P$4018,0)),D239))</f>
        <v/>
      </c>
      <c r="E240" s="29">
        <f>IF(A240="","",IFERROR(INDEX('자료_미국심리'!$H$3:$H$4002,MATCH(A240,$Q$19:$Q$4018,0)),E239))</f>
        <v/>
      </c>
      <c r="F240">
        <f>IF(A240="",0,IF(A240&gt;$B$5,1,0))</f>
        <v/>
      </c>
      <c r="G240" s="29">
        <f>IF(AND(F240=1,ISNUMBER(D240)),D240,"")</f>
        <v/>
      </c>
      <c r="H240" s="29">
        <f>IF(AND(F240=1,ISNUMBER(E240)),E240,"")</f>
        <v/>
      </c>
      <c r="I240" s="22">
        <f>IF(AND(F240=1,ISNUMBER(C240)),C240,"")</f>
        <v/>
      </c>
      <c r="J240" s="11">
        <f>IF(G240="","",100-IF($G$13=1,50,(_xlfn.RANK.AVG(G240,$G$19:$G$1518,1)-1)/($G$13-1)*100))</f>
        <v/>
      </c>
      <c r="K240" s="11">
        <f>IF(H240="","",100-IF($G$14=1,50,(_xlfn.RANK.AVG(H240,$H$19:$H$1518,1)-1)/($G$14-1)*100))</f>
        <v/>
      </c>
      <c r="L240" s="11">
        <f>IF(I240="","",IF($G$15=1,50,(_xlfn.RANK.AVG(I240,$I$19:$I$1518,1)-1)/($G$15-1)*100))</f>
        <v/>
      </c>
      <c r="M240" s="11">
        <f>IF(COUNT(J240:L240)=3,ROUND(AVERAGE(J240:L240),6),"")</f>
        <v/>
      </c>
      <c r="O240">
        <f>IF(AND(ISNUMBER('자료_미국심리'!$A224),ISNUMBER('자료_미국심리'!$B224)),'자료_미국심리'!$A224,"")</f>
        <v/>
      </c>
      <c r="P240">
        <f>IF(AND(ISNUMBER('자료_미국심리'!$D224),ISNUMBER('자료_미국심리'!$E224)),'자료_미국심리'!$D224,"")</f>
        <v/>
      </c>
      <c r="Q240">
        <f>IF(AND(ISNUMBER('자료_미국심리'!$G224),ISNUMBER('자료_미국심리'!$H224)),'자료_미국심리'!$G224,"")</f>
        <v/>
      </c>
    </row>
    <row r="241">
      <c r="A241" s="10">
        <f>IF(223&gt;$E$5,"",SMALL($O$19:$O$4018,$E$6+223))</f>
        <v/>
      </c>
      <c r="B241" s="29">
        <f>IF(A241="","",INDEX('자료_미국심리'!$B$3:$B$4002,MATCH(A241,$O$19:$O$4018,0)))</f>
        <v/>
      </c>
      <c r="C241" s="22">
        <f>IF(A241="","",B241/AVERAGE(B117:B241)-1)</f>
        <v/>
      </c>
      <c r="D241" s="29">
        <f>IF(A241="","",IFERROR(INDEX('자료_미국심리'!$E$3:$E$4002,MATCH(A241,$P$19:$P$4018,0)),D240))</f>
        <v/>
      </c>
      <c r="E241" s="29">
        <f>IF(A241="","",IFERROR(INDEX('자료_미국심리'!$H$3:$H$4002,MATCH(A241,$Q$19:$Q$4018,0)),E240))</f>
        <v/>
      </c>
      <c r="F241">
        <f>IF(A241="",0,IF(A241&gt;$B$5,1,0))</f>
        <v/>
      </c>
      <c r="G241" s="29">
        <f>IF(AND(F241=1,ISNUMBER(D241)),D241,"")</f>
        <v/>
      </c>
      <c r="H241" s="29">
        <f>IF(AND(F241=1,ISNUMBER(E241)),E241,"")</f>
        <v/>
      </c>
      <c r="I241" s="22">
        <f>IF(AND(F241=1,ISNUMBER(C241)),C241,"")</f>
        <v/>
      </c>
      <c r="J241" s="11">
        <f>IF(G241="","",100-IF($G$13=1,50,(_xlfn.RANK.AVG(G241,$G$19:$G$1518,1)-1)/($G$13-1)*100))</f>
        <v/>
      </c>
      <c r="K241" s="11">
        <f>IF(H241="","",100-IF($G$14=1,50,(_xlfn.RANK.AVG(H241,$H$19:$H$1518,1)-1)/($G$14-1)*100))</f>
        <v/>
      </c>
      <c r="L241" s="11">
        <f>IF(I241="","",IF($G$15=1,50,(_xlfn.RANK.AVG(I241,$I$19:$I$1518,1)-1)/($G$15-1)*100))</f>
        <v/>
      </c>
      <c r="M241" s="11">
        <f>IF(COUNT(J241:L241)=3,ROUND(AVERAGE(J241:L241),6),"")</f>
        <v/>
      </c>
      <c r="O241">
        <f>IF(AND(ISNUMBER('자료_미국심리'!$A225),ISNUMBER('자료_미국심리'!$B225)),'자료_미국심리'!$A225,"")</f>
        <v/>
      </c>
      <c r="P241">
        <f>IF(AND(ISNUMBER('자료_미국심리'!$D225),ISNUMBER('자료_미국심리'!$E225)),'자료_미국심리'!$D225,"")</f>
        <v/>
      </c>
      <c r="Q241">
        <f>IF(AND(ISNUMBER('자료_미국심리'!$G225),ISNUMBER('자료_미국심리'!$H225)),'자료_미국심리'!$G225,"")</f>
        <v/>
      </c>
    </row>
    <row r="242">
      <c r="A242" s="10">
        <f>IF(224&gt;$E$5,"",SMALL($O$19:$O$4018,$E$6+224))</f>
        <v/>
      </c>
      <c r="B242" s="29">
        <f>IF(A242="","",INDEX('자료_미국심리'!$B$3:$B$4002,MATCH(A242,$O$19:$O$4018,0)))</f>
        <v/>
      </c>
      <c r="C242" s="22">
        <f>IF(A242="","",B242/AVERAGE(B118:B242)-1)</f>
        <v/>
      </c>
      <c r="D242" s="29">
        <f>IF(A242="","",IFERROR(INDEX('자료_미국심리'!$E$3:$E$4002,MATCH(A242,$P$19:$P$4018,0)),D241))</f>
        <v/>
      </c>
      <c r="E242" s="29">
        <f>IF(A242="","",IFERROR(INDEX('자료_미국심리'!$H$3:$H$4002,MATCH(A242,$Q$19:$Q$4018,0)),E241))</f>
        <v/>
      </c>
      <c r="F242">
        <f>IF(A242="",0,IF(A242&gt;$B$5,1,0))</f>
        <v/>
      </c>
      <c r="G242" s="29">
        <f>IF(AND(F242=1,ISNUMBER(D242)),D242,"")</f>
        <v/>
      </c>
      <c r="H242" s="29">
        <f>IF(AND(F242=1,ISNUMBER(E242)),E242,"")</f>
        <v/>
      </c>
      <c r="I242" s="22">
        <f>IF(AND(F242=1,ISNUMBER(C242)),C242,"")</f>
        <v/>
      </c>
      <c r="J242" s="11">
        <f>IF(G242="","",100-IF($G$13=1,50,(_xlfn.RANK.AVG(G242,$G$19:$G$1518,1)-1)/($G$13-1)*100))</f>
        <v/>
      </c>
      <c r="K242" s="11">
        <f>IF(H242="","",100-IF($G$14=1,50,(_xlfn.RANK.AVG(H242,$H$19:$H$1518,1)-1)/($G$14-1)*100))</f>
        <v/>
      </c>
      <c r="L242" s="11">
        <f>IF(I242="","",IF($G$15=1,50,(_xlfn.RANK.AVG(I242,$I$19:$I$1518,1)-1)/($G$15-1)*100))</f>
        <v/>
      </c>
      <c r="M242" s="11">
        <f>IF(COUNT(J242:L242)=3,ROUND(AVERAGE(J242:L242),6),"")</f>
        <v/>
      </c>
      <c r="O242">
        <f>IF(AND(ISNUMBER('자료_미국심리'!$A226),ISNUMBER('자료_미국심리'!$B226)),'자료_미국심리'!$A226,"")</f>
        <v/>
      </c>
      <c r="P242">
        <f>IF(AND(ISNUMBER('자료_미국심리'!$D226),ISNUMBER('자료_미국심리'!$E226)),'자료_미국심리'!$D226,"")</f>
        <v/>
      </c>
      <c r="Q242">
        <f>IF(AND(ISNUMBER('자료_미국심리'!$G226),ISNUMBER('자료_미국심리'!$H226)),'자료_미국심리'!$G226,"")</f>
        <v/>
      </c>
    </row>
    <row r="243">
      <c r="A243" s="10">
        <f>IF(225&gt;$E$5,"",SMALL($O$19:$O$4018,$E$6+225))</f>
        <v/>
      </c>
      <c r="B243" s="29">
        <f>IF(A243="","",INDEX('자료_미국심리'!$B$3:$B$4002,MATCH(A243,$O$19:$O$4018,0)))</f>
        <v/>
      </c>
      <c r="C243" s="22">
        <f>IF(A243="","",B243/AVERAGE(B119:B243)-1)</f>
        <v/>
      </c>
      <c r="D243" s="29">
        <f>IF(A243="","",IFERROR(INDEX('자료_미국심리'!$E$3:$E$4002,MATCH(A243,$P$19:$P$4018,0)),D242))</f>
        <v/>
      </c>
      <c r="E243" s="29">
        <f>IF(A243="","",IFERROR(INDEX('자료_미국심리'!$H$3:$H$4002,MATCH(A243,$Q$19:$Q$4018,0)),E242))</f>
        <v/>
      </c>
      <c r="F243">
        <f>IF(A243="",0,IF(A243&gt;$B$5,1,0))</f>
        <v/>
      </c>
      <c r="G243" s="29">
        <f>IF(AND(F243=1,ISNUMBER(D243)),D243,"")</f>
        <v/>
      </c>
      <c r="H243" s="29">
        <f>IF(AND(F243=1,ISNUMBER(E243)),E243,"")</f>
        <v/>
      </c>
      <c r="I243" s="22">
        <f>IF(AND(F243=1,ISNUMBER(C243)),C243,"")</f>
        <v/>
      </c>
      <c r="J243" s="11">
        <f>IF(G243="","",100-IF($G$13=1,50,(_xlfn.RANK.AVG(G243,$G$19:$G$1518,1)-1)/($G$13-1)*100))</f>
        <v/>
      </c>
      <c r="K243" s="11">
        <f>IF(H243="","",100-IF($G$14=1,50,(_xlfn.RANK.AVG(H243,$H$19:$H$1518,1)-1)/($G$14-1)*100))</f>
        <v/>
      </c>
      <c r="L243" s="11">
        <f>IF(I243="","",IF($G$15=1,50,(_xlfn.RANK.AVG(I243,$I$19:$I$1518,1)-1)/($G$15-1)*100))</f>
        <v/>
      </c>
      <c r="M243" s="11">
        <f>IF(COUNT(J243:L243)=3,ROUND(AVERAGE(J243:L243),6),"")</f>
        <v/>
      </c>
      <c r="O243">
        <f>IF(AND(ISNUMBER('자료_미국심리'!$A227),ISNUMBER('자료_미국심리'!$B227)),'자료_미국심리'!$A227,"")</f>
        <v/>
      </c>
      <c r="P243">
        <f>IF(AND(ISNUMBER('자료_미국심리'!$D227),ISNUMBER('자료_미국심리'!$E227)),'자료_미국심리'!$D227,"")</f>
        <v/>
      </c>
      <c r="Q243">
        <f>IF(AND(ISNUMBER('자료_미국심리'!$G227),ISNUMBER('자료_미국심리'!$H227)),'자료_미국심리'!$G227,"")</f>
        <v/>
      </c>
    </row>
    <row r="244">
      <c r="A244" s="10">
        <f>IF(226&gt;$E$5,"",SMALL($O$19:$O$4018,$E$6+226))</f>
        <v/>
      </c>
      <c r="B244" s="29">
        <f>IF(A244="","",INDEX('자료_미국심리'!$B$3:$B$4002,MATCH(A244,$O$19:$O$4018,0)))</f>
        <v/>
      </c>
      <c r="C244" s="22">
        <f>IF(A244="","",B244/AVERAGE(B120:B244)-1)</f>
        <v/>
      </c>
      <c r="D244" s="29">
        <f>IF(A244="","",IFERROR(INDEX('자료_미국심리'!$E$3:$E$4002,MATCH(A244,$P$19:$P$4018,0)),D243))</f>
        <v/>
      </c>
      <c r="E244" s="29">
        <f>IF(A244="","",IFERROR(INDEX('자료_미국심리'!$H$3:$H$4002,MATCH(A244,$Q$19:$Q$4018,0)),E243))</f>
        <v/>
      </c>
      <c r="F244">
        <f>IF(A244="",0,IF(A244&gt;$B$5,1,0))</f>
        <v/>
      </c>
      <c r="G244" s="29">
        <f>IF(AND(F244=1,ISNUMBER(D244)),D244,"")</f>
        <v/>
      </c>
      <c r="H244" s="29">
        <f>IF(AND(F244=1,ISNUMBER(E244)),E244,"")</f>
        <v/>
      </c>
      <c r="I244" s="22">
        <f>IF(AND(F244=1,ISNUMBER(C244)),C244,"")</f>
        <v/>
      </c>
      <c r="J244" s="11">
        <f>IF(G244="","",100-IF($G$13=1,50,(_xlfn.RANK.AVG(G244,$G$19:$G$1518,1)-1)/($G$13-1)*100))</f>
        <v/>
      </c>
      <c r="K244" s="11">
        <f>IF(H244="","",100-IF($G$14=1,50,(_xlfn.RANK.AVG(H244,$H$19:$H$1518,1)-1)/($G$14-1)*100))</f>
        <v/>
      </c>
      <c r="L244" s="11">
        <f>IF(I244="","",IF($G$15=1,50,(_xlfn.RANK.AVG(I244,$I$19:$I$1518,1)-1)/($G$15-1)*100))</f>
        <v/>
      </c>
      <c r="M244" s="11">
        <f>IF(COUNT(J244:L244)=3,ROUND(AVERAGE(J244:L244),6),"")</f>
        <v/>
      </c>
      <c r="O244">
        <f>IF(AND(ISNUMBER('자료_미국심리'!$A228),ISNUMBER('자료_미국심리'!$B228)),'자료_미국심리'!$A228,"")</f>
        <v/>
      </c>
      <c r="P244">
        <f>IF(AND(ISNUMBER('자료_미국심리'!$D228),ISNUMBER('자료_미국심리'!$E228)),'자료_미국심리'!$D228,"")</f>
        <v/>
      </c>
      <c r="Q244">
        <f>IF(AND(ISNUMBER('자료_미국심리'!$G228),ISNUMBER('자료_미국심리'!$H228)),'자료_미국심리'!$G228,"")</f>
        <v/>
      </c>
    </row>
    <row r="245">
      <c r="A245" s="10">
        <f>IF(227&gt;$E$5,"",SMALL($O$19:$O$4018,$E$6+227))</f>
        <v/>
      </c>
      <c r="B245" s="29">
        <f>IF(A245="","",INDEX('자료_미국심리'!$B$3:$B$4002,MATCH(A245,$O$19:$O$4018,0)))</f>
        <v/>
      </c>
      <c r="C245" s="22">
        <f>IF(A245="","",B245/AVERAGE(B121:B245)-1)</f>
        <v/>
      </c>
      <c r="D245" s="29">
        <f>IF(A245="","",IFERROR(INDEX('자료_미국심리'!$E$3:$E$4002,MATCH(A245,$P$19:$P$4018,0)),D244))</f>
        <v/>
      </c>
      <c r="E245" s="29">
        <f>IF(A245="","",IFERROR(INDEX('자료_미국심리'!$H$3:$H$4002,MATCH(A245,$Q$19:$Q$4018,0)),E244))</f>
        <v/>
      </c>
      <c r="F245">
        <f>IF(A245="",0,IF(A245&gt;$B$5,1,0))</f>
        <v/>
      </c>
      <c r="G245" s="29">
        <f>IF(AND(F245=1,ISNUMBER(D245)),D245,"")</f>
        <v/>
      </c>
      <c r="H245" s="29">
        <f>IF(AND(F245=1,ISNUMBER(E245)),E245,"")</f>
        <v/>
      </c>
      <c r="I245" s="22">
        <f>IF(AND(F245=1,ISNUMBER(C245)),C245,"")</f>
        <v/>
      </c>
      <c r="J245" s="11">
        <f>IF(G245="","",100-IF($G$13=1,50,(_xlfn.RANK.AVG(G245,$G$19:$G$1518,1)-1)/($G$13-1)*100))</f>
        <v/>
      </c>
      <c r="K245" s="11">
        <f>IF(H245="","",100-IF($G$14=1,50,(_xlfn.RANK.AVG(H245,$H$19:$H$1518,1)-1)/($G$14-1)*100))</f>
        <v/>
      </c>
      <c r="L245" s="11">
        <f>IF(I245="","",IF($G$15=1,50,(_xlfn.RANK.AVG(I245,$I$19:$I$1518,1)-1)/($G$15-1)*100))</f>
        <v/>
      </c>
      <c r="M245" s="11">
        <f>IF(COUNT(J245:L245)=3,ROUND(AVERAGE(J245:L245),6),"")</f>
        <v/>
      </c>
      <c r="O245">
        <f>IF(AND(ISNUMBER('자료_미국심리'!$A229),ISNUMBER('자료_미국심리'!$B229)),'자료_미국심리'!$A229,"")</f>
        <v/>
      </c>
      <c r="P245">
        <f>IF(AND(ISNUMBER('자료_미국심리'!$D229),ISNUMBER('자료_미국심리'!$E229)),'자료_미국심리'!$D229,"")</f>
        <v/>
      </c>
      <c r="Q245">
        <f>IF(AND(ISNUMBER('자료_미국심리'!$G229),ISNUMBER('자료_미국심리'!$H229)),'자료_미국심리'!$G229,"")</f>
        <v/>
      </c>
    </row>
    <row r="246">
      <c r="A246" s="10">
        <f>IF(228&gt;$E$5,"",SMALL($O$19:$O$4018,$E$6+228))</f>
        <v/>
      </c>
      <c r="B246" s="29">
        <f>IF(A246="","",INDEX('자료_미국심리'!$B$3:$B$4002,MATCH(A246,$O$19:$O$4018,0)))</f>
        <v/>
      </c>
      <c r="C246" s="22">
        <f>IF(A246="","",B246/AVERAGE(B122:B246)-1)</f>
        <v/>
      </c>
      <c r="D246" s="29">
        <f>IF(A246="","",IFERROR(INDEX('자료_미국심리'!$E$3:$E$4002,MATCH(A246,$P$19:$P$4018,0)),D245))</f>
        <v/>
      </c>
      <c r="E246" s="29">
        <f>IF(A246="","",IFERROR(INDEX('자료_미국심리'!$H$3:$H$4002,MATCH(A246,$Q$19:$Q$4018,0)),E245))</f>
        <v/>
      </c>
      <c r="F246">
        <f>IF(A246="",0,IF(A246&gt;$B$5,1,0))</f>
        <v/>
      </c>
      <c r="G246" s="29">
        <f>IF(AND(F246=1,ISNUMBER(D246)),D246,"")</f>
        <v/>
      </c>
      <c r="H246" s="29">
        <f>IF(AND(F246=1,ISNUMBER(E246)),E246,"")</f>
        <v/>
      </c>
      <c r="I246" s="22">
        <f>IF(AND(F246=1,ISNUMBER(C246)),C246,"")</f>
        <v/>
      </c>
      <c r="J246" s="11">
        <f>IF(G246="","",100-IF($G$13=1,50,(_xlfn.RANK.AVG(G246,$G$19:$G$1518,1)-1)/($G$13-1)*100))</f>
        <v/>
      </c>
      <c r="K246" s="11">
        <f>IF(H246="","",100-IF($G$14=1,50,(_xlfn.RANK.AVG(H246,$H$19:$H$1518,1)-1)/($G$14-1)*100))</f>
        <v/>
      </c>
      <c r="L246" s="11">
        <f>IF(I246="","",IF($G$15=1,50,(_xlfn.RANK.AVG(I246,$I$19:$I$1518,1)-1)/($G$15-1)*100))</f>
        <v/>
      </c>
      <c r="M246" s="11">
        <f>IF(COUNT(J246:L246)=3,ROUND(AVERAGE(J246:L246),6),"")</f>
        <v/>
      </c>
      <c r="O246">
        <f>IF(AND(ISNUMBER('자료_미국심리'!$A230),ISNUMBER('자료_미국심리'!$B230)),'자료_미국심리'!$A230,"")</f>
        <v/>
      </c>
      <c r="P246">
        <f>IF(AND(ISNUMBER('자료_미국심리'!$D230),ISNUMBER('자료_미국심리'!$E230)),'자료_미국심리'!$D230,"")</f>
        <v/>
      </c>
      <c r="Q246">
        <f>IF(AND(ISNUMBER('자료_미국심리'!$G230),ISNUMBER('자료_미국심리'!$H230)),'자료_미국심리'!$G230,"")</f>
        <v/>
      </c>
    </row>
    <row r="247">
      <c r="A247" s="10">
        <f>IF(229&gt;$E$5,"",SMALL($O$19:$O$4018,$E$6+229))</f>
        <v/>
      </c>
      <c r="B247" s="29">
        <f>IF(A247="","",INDEX('자료_미국심리'!$B$3:$B$4002,MATCH(A247,$O$19:$O$4018,0)))</f>
        <v/>
      </c>
      <c r="C247" s="22">
        <f>IF(A247="","",B247/AVERAGE(B123:B247)-1)</f>
        <v/>
      </c>
      <c r="D247" s="29">
        <f>IF(A247="","",IFERROR(INDEX('자료_미국심리'!$E$3:$E$4002,MATCH(A247,$P$19:$P$4018,0)),D246))</f>
        <v/>
      </c>
      <c r="E247" s="29">
        <f>IF(A247="","",IFERROR(INDEX('자료_미국심리'!$H$3:$H$4002,MATCH(A247,$Q$19:$Q$4018,0)),E246))</f>
        <v/>
      </c>
      <c r="F247">
        <f>IF(A247="",0,IF(A247&gt;$B$5,1,0))</f>
        <v/>
      </c>
      <c r="G247" s="29">
        <f>IF(AND(F247=1,ISNUMBER(D247)),D247,"")</f>
        <v/>
      </c>
      <c r="H247" s="29">
        <f>IF(AND(F247=1,ISNUMBER(E247)),E247,"")</f>
        <v/>
      </c>
      <c r="I247" s="22">
        <f>IF(AND(F247=1,ISNUMBER(C247)),C247,"")</f>
        <v/>
      </c>
      <c r="J247" s="11">
        <f>IF(G247="","",100-IF($G$13=1,50,(_xlfn.RANK.AVG(G247,$G$19:$G$1518,1)-1)/($G$13-1)*100))</f>
        <v/>
      </c>
      <c r="K247" s="11">
        <f>IF(H247="","",100-IF($G$14=1,50,(_xlfn.RANK.AVG(H247,$H$19:$H$1518,1)-1)/($G$14-1)*100))</f>
        <v/>
      </c>
      <c r="L247" s="11">
        <f>IF(I247="","",IF($G$15=1,50,(_xlfn.RANK.AVG(I247,$I$19:$I$1518,1)-1)/($G$15-1)*100))</f>
        <v/>
      </c>
      <c r="M247" s="11">
        <f>IF(COUNT(J247:L247)=3,ROUND(AVERAGE(J247:L247),6),"")</f>
        <v/>
      </c>
      <c r="O247">
        <f>IF(AND(ISNUMBER('자료_미국심리'!$A231),ISNUMBER('자료_미국심리'!$B231)),'자료_미국심리'!$A231,"")</f>
        <v/>
      </c>
      <c r="P247">
        <f>IF(AND(ISNUMBER('자료_미국심리'!$D231),ISNUMBER('자료_미국심리'!$E231)),'자료_미국심리'!$D231,"")</f>
        <v/>
      </c>
      <c r="Q247">
        <f>IF(AND(ISNUMBER('자료_미국심리'!$G231),ISNUMBER('자료_미국심리'!$H231)),'자료_미국심리'!$G231,"")</f>
        <v/>
      </c>
    </row>
    <row r="248">
      <c r="A248" s="10">
        <f>IF(230&gt;$E$5,"",SMALL($O$19:$O$4018,$E$6+230))</f>
        <v/>
      </c>
      <c r="B248" s="29">
        <f>IF(A248="","",INDEX('자료_미국심리'!$B$3:$B$4002,MATCH(A248,$O$19:$O$4018,0)))</f>
        <v/>
      </c>
      <c r="C248" s="22">
        <f>IF(A248="","",B248/AVERAGE(B124:B248)-1)</f>
        <v/>
      </c>
      <c r="D248" s="29">
        <f>IF(A248="","",IFERROR(INDEX('자료_미국심리'!$E$3:$E$4002,MATCH(A248,$P$19:$P$4018,0)),D247))</f>
        <v/>
      </c>
      <c r="E248" s="29">
        <f>IF(A248="","",IFERROR(INDEX('자료_미국심리'!$H$3:$H$4002,MATCH(A248,$Q$19:$Q$4018,0)),E247))</f>
        <v/>
      </c>
      <c r="F248">
        <f>IF(A248="",0,IF(A248&gt;$B$5,1,0))</f>
        <v/>
      </c>
      <c r="G248" s="29">
        <f>IF(AND(F248=1,ISNUMBER(D248)),D248,"")</f>
        <v/>
      </c>
      <c r="H248" s="29">
        <f>IF(AND(F248=1,ISNUMBER(E248)),E248,"")</f>
        <v/>
      </c>
      <c r="I248" s="22">
        <f>IF(AND(F248=1,ISNUMBER(C248)),C248,"")</f>
        <v/>
      </c>
      <c r="J248" s="11">
        <f>IF(G248="","",100-IF($G$13=1,50,(_xlfn.RANK.AVG(G248,$G$19:$G$1518,1)-1)/($G$13-1)*100))</f>
        <v/>
      </c>
      <c r="K248" s="11">
        <f>IF(H248="","",100-IF($G$14=1,50,(_xlfn.RANK.AVG(H248,$H$19:$H$1518,1)-1)/($G$14-1)*100))</f>
        <v/>
      </c>
      <c r="L248" s="11">
        <f>IF(I248="","",IF($G$15=1,50,(_xlfn.RANK.AVG(I248,$I$19:$I$1518,1)-1)/($G$15-1)*100))</f>
        <v/>
      </c>
      <c r="M248" s="11">
        <f>IF(COUNT(J248:L248)=3,ROUND(AVERAGE(J248:L248),6),"")</f>
        <v/>
      </c>
      <c r="O248">
        <f>IF(AND(ISNUMBER('자료_미국심리'!$A232),ISNUMBER('자료_미국심리'!$B232)),'자료_미국심리'!$A232,"")</f>
        <v/>
      </c>
      <c r="P248">
        <f>IF(AND(ISNUMBER('자료_미국심리'!$D232),ISNUMBER('자료_미국심리'!$E232)),'자료_미국심리'!$D232,"")</f>
        <v/>
      </c>
      <c r="Q248">
        <f>IF(AND(ISNUMBER('자료_미국심리'!$G232),ISNUMBER('자료_미국심리'!$H232)),'자료_미국심리'!$G232,"")</f>
        <v/>
      </c>
    </row>
    <row r="249">
      <c r="A249" s="10">
        <f>IF(231&gt;$E$5,"",SMALL($O$19:$O$4018,$E$6+231))</f>
        <v/>
      </c>
      <c r="B249" s="29">
        <f>IF(A249="","",INDEX('자료_미국심리'!$B$3:$B$4002,MATCH(A249,$O$19:$O$4018,0)))</f>
        <v/>
      </c>
      <c r="C249" s="22">
        <f>IF(A249="","",B249/AVERAGE(B125:B249)-1)</f>
        <v/>
      </c>
      <c r="D249" s="29">
        <f>IF(A249="","",IFERROR(INDEX('자료_미국심리'!$E$3:$E$4002,MATCH(A249,$P$19:$P$4018,0)),D248))</f>
        <v/>
      </c>
      <c r="E249" s="29">
        <f>IF(A249="","",IFERROR(INDEX('자료_미국심리'!$H$3:$H$4002,MATCH(A249,$Q$19:$Q$4018,0)),E248))</f>
        <v/>
      </c>
      <c r="F249">
        <f>IF(A249="",0,IF(A249&gt;$B$5,1,0))</f>
        <v/>
      </c>
      <c r="G249" s="29">
        <f>IF(AND(F249=1,ISNUMBER(D249)),D249,"")</f>
        <v/>
      </c>
      <c r="H249" s="29">
        <f>IF(AND(F249=1,ISNUMBER(E249)),E249,"")</f>
        <v/>
      </c>
      <c r="I249" s="22">
        <f>IF(AND(F249=1,ISNUMBER(C249)),C249,"")</f>
        <v/>
      </c>
      <c r="J249" s="11">
        <f>IF(G249="","",100-IF($G$13=1,50,(_xlfn.RANK.AVG(G249,$G$19:$G$1518,1)-1)/($G$13-1)*100))</f>
        <v/>
      </c>
      <c r="K249" s="11">
        <f>IF(H249="","",100-IF($G$14=1,50,(_xlfn.RANK.AVG(H249,$H$19:$H$1518,1)-1)/($G$14-1)*100))</f>
        <v/>
      </c>
      <c r="L249" s="11">
        <f>IF(I249="","",IF($G$15=1,50,(_xlfn.RANK.AVG(I249,$I$19:$I$1518,1)-1)/($G$15-1)*100))</f>
        <v/>
      </c>
      <c r="M249" s="11">
        <f>IF(COUNT(J249:L249)=3,ROUND(AVERAGE(J249:L249),6),"")</f>
        <v/>
      </c>
      <c r="O249">
        <f>IF(AND(ISNUMBER('자료_미국심리'!$A233),ISNUMBER('자료_미국심리'!$B233)),'자료_미국심리'!$A233,"")</f>
        <v/>
      </c>
      <c r="P249">
        <f>IF(AND(ISNUMBER('자료_미국심리'!$D233),ISNUMBER('자료_미국심리'!$E233)),'자료_미국심리'!$D233,"")</f>
        <v/>
      </c>
      <c r="Q249">
        <f>IF(AND(ISNUMBER('자료_미국심리'!$G233),ISNUMBER('자료_미국심리'!$H233)),'자료_미국심리'!$G233,"")</f>
        <v/>
      </c>
    </row>
    <row r="250">
      <c r="A250" s="10">
        <f>IF(232&gt;$E$5,"",SMALL($O$19:$O$4018,$E$6+232))</f>
        <v/>
      </c>
      <c r="B250" s="29">
        <f>IF(A250="","",INDEX('자료_미국심리'!$B$3:$B$4002,MATCH(A250,$O$19:$O$4018,0)))</f>
        <v/>
      </c>
      <c r="C250" s="22">
        <f>IF(A250="","",B250/AVERAGE(B126:B250)-1)</f>
        <v/>
      </c>
      <c r="D250" s="29">
        <f>IF(A250="","",IFERROR(INDEX('자료_미국심리'!$E$3:$E$4002,MATCH(A250,$P$19:$P$4018,0)),D249))</f>
        <v/>
      </c>
      <c r="E250" s="29">
        <f>IF(A250="","",IFERROR(INDEX('자료_미국심리'!$H$3:$H$4002,MATCH(A250,$Q$19:$Q$4018,0)),E249))</f>
        <v/>
      </c>
      <c r="F250">
        <f>IF(A250="",0,IF(A250&gt;$B$5,1,0))</f>
        <v/>
      </c>
      <c r="G250" s="29">
        <f>IF(AND(F250=1,ISNUMBER(D250)),D250,"")</f>
        <v/>
      </c>
      <c r="H250" s="29">
        <f>IF(AND(F250=1,ISNUMBER(E250)),E250,"")</f>
        <v/>
      </c>
      <c r="I250" s="22">
        <f>IF(AND(F250=1,ISNUMBER(C250)),C250,"")</f>
        <v/>
      </c>
      <c r="J250" s="11">
        <f>IF(G250="","",100-IF($G$13=1,50,(_xlfn.RANK.AVG(G250,$G$19:$G$1518,1)-1)/($G$13-1)*100))</f>
        <v/>
      </c>
      <c r="K250" s="11">
        <f>IF(H250="","",100-IF($G$14=1,50,(_xlfn.RANK.AVG(H250,$H$19:$H$1518,1)-1)/($G$14-1)*100))</f>
        <v/>
      </c>
      <c r="L250" s="11">
        <f>IF(I250="","",IF($G$15=1,50,(_xlfn.RANK.AVG(I250,$I$19:$I$1518,1)-1)/($G$15-1)*100))</f>
        <v/>
      </c>
      <c r="M250" s="11">
        <f>IF(COUNT(J250:L250)=3,ROUND(AVERAGE(J250:L250),6),"")</f>
        <v/>
      </c>
      <c r="O250">
        <f>IF(AND(ISNUMBER('자료_미국심리'!$A234),ISNUMBER('자료_미국심리'!$B234)),'자료_미국심리'!$A234,"")</f>
        <v/>
      </c>
      <c r="P250">
        <f>IF(AND(ISNUMBER('자료_미국심리'!$D234),ISNUMBER('자료_미국심리'!$E234)),'자료_미국심리'!$D234,"")</f>
        <v/>
      </c>
      <c r="Q250">
        <f>IF(AND(ISNUMBER('자료_미국심리'!$G234),ISNUMBER('자료_미국심리'!$H234)),'자료_미국심리'!$G234,"")</f>
        <v/>
      </c>
    </row>
    <row r="251">
      <c r="A251" s="10">
        <f>IF(233&gt;$E$5,"",SMALL($O$19:$O$4018,$E$6+233))</f>
        <v/>
      </c>
      <c r="B251" s="29">
        <f>IF(A251="","",INDEX('자료_미국심리'!$B$3:$B$4002,MATCH(A251,$O$19:$O$4018,0)))</f>
        <v/>
      </c>
      <c r="C251" s="22">
        <f>IF(A251="","",B251/AVERAGE(B127:B251)-1)</f>
        <v/>
      </c>
      <c r="D251" s="29">
        <f>IF(A251="","",IFERROR(INDEX('자료_미국심리'!$E$3:$E$4002,MATCH(A251,$P$19:$P$4018,0)),D250))</f>
        <v/>
      </c>
      <c r="E251" s="29">
        <f>IF(A251="","",IFERROR(INDEX('자료_미국심리'!$H$3:$H$4002,MATCH(A251,$Q$19:$Q$4018,0)),E250))</f>
        <v/>
      </c>
      <c r="F251">
        <f>IF(A251="",0,IF(A251&gt;$B$5,1,0))</f>
        <v/>
      </c>
      <c r="G251" s="29">
        <f>IF(AND(F251=1,ISNUMBER(D251)),D251,"")</f>
        <v/>
      </c>
      <c r="H251" s="29">
        <f>IF(AND(F251=1,ISNUMBER(E251)),E251,"")</f>
        <v/>
      </c>
      <c r="I251" s="22">
        <f>IF(AND(F251=1,ISNUMBER(C251)),C251,"")</f>
        <v/>
      </c>
      <c r="J251" s="11">
        <f>IF(G251="","",100-IF($G$13=1,50,(_xlfn.RANK.AVG(G251,$G$19:$G$1518,1)-1)/($G$13-1)*100))</f>
        <v/>
      </c>
      <c r="K251" s="11">
        <f>IF(H251="","",100-IF($G$14=1,50,(_xlfn.RANK.AVG(H251,$H$19:$H$1518,1)-1)/($G$14-1)*100))</f>
        <v/>
      </c>
      <c r="L251" s="11">
        <f>IF(I251="","",IF($G$15=1,50,(_xlfn.RANK.AVG(I251,$I$19:$I$1518,1)-1)/($G$15-1)*100))</f>
        <v/>
      </c>
      <c r="M251" s="11">
        <f>IF(COUNT(J251:L251)=3,ROUND(AVERAGE(J251:L251),6),"")</f>
        <v/>
      </c>
      <c r="O251">
        <f>IF(AND(ISNUMBER('자료_미국심리'!$A235),ISNUMBER('자료_미국심리'!$B235)),'자료_미국심리'!$A235,"")</f>
        <v/>
      </c>
      <c r="P251">
        <f>IF(AND(ISNUMBER('자료_미국심리'!$D235),ISNUMBER('자료_미국심리'!$E235)),'자료_미국심리'!$D235,"")</f>
        <v/>
      </c>
      <c r="Q251">
        <f>IF(AND(ISNUMBER('자료_미국심리'!$G235),ISNUMBER('자료_미국심리'!$H235)),'자료_미국심리'!$G235,"")</f>
        <v/>
      </c>
    </row>
    <row r="252">
      <c r="A252" s="10">
        <f>IF(234&gt;$E$5,"",SMALL($O$19:$O$4018,$E$6+234))</f>
        <v/>
      </c>
      <c r="B252" s="29">
        <f>IF(A252="","",INDEX('자료_미국심리'!$B$3:$B$4002,MATCH(A252,$O$19:$O$4018,0)))</f>
        <v/>
      </c>
      <c r="C252" s="22">
        <f>IF(A252="","",B252/AVERAGE(B128:B252)-1)</f>
        <v/>
      </c>
      <c r="D252" s="29">
        <f>IF(A252="","",IFERROR(INDEX('자료_미국심리'!$E$3:$E$4002,MATCH(A252,$P$19:$P$4018,0)),D251))</f>
        <v/>
      </c>
      <c r="E252" s="29">
        <f>IF(A252="","",IFERROR(INDEX('자료_미국심리'!$H$3:$H$4002,MATCH(A252,$Q$19:$Q$4018,0)),E251))</f>
        <v/>
      </c>
      <c r="F252">
        <f>IF(A252="",0,IF(A252&gt;$B$5,1,0))</f>
        <v/>
      </c>
      <c r="G252" s="29">
        <f>IF(AND(F252=1,ISNUMBER(D252)),D252,"")</f>
        <v/>
      </c>
      <c r="H252" s="29">
        <f>IF(AND(F252=1,ISNUMBER(E252)),E252,"")</f>
        <v/>
      </c>
      <c r="I252" s="22">
        <f>IF(AND(F252=1,ISNUMBER(C252)),C252,"")</f>
        <v/>
      </c>
      <c r="J252" s="11">
        <f>IF(G252="","",100-IF($G$13=1,50,(_xlfn.RANK.AVG(G252,$G$19:$G$1518,1)-1)/($G$13-1)*100))</f>
        <v/>
      </c>
      <c r="K252" s="11">
        <f>IF(H252="","",100-IF($G$14=1,50,(_xlfn.RANK.AVG(H252,$H$19:$H$1518,1)-1)/($G$14-1)*100))</f>
        <v/>
      </c>
      <c r="L252" s="11">
        <f>IF(I252="","",IF($G$15=1,50,(_xlfn.RANK.AVG(I252,$I$19:$I$1518,1)-1)/($G$15-1)*100))</f>
        <v/>
      </c>
      <c r="M252" s="11">
        <f>IF(COUNT(J252:L252)=3,ROUND(AVERAGE(J252:L252),6),"")</f>
        <v/>
      </c>
      <c r="O252">
        <f>IF(AND(ISNUMBER('자료_미국심리'!$A236),ISNUMBER('자료_미국심리'!$B236)),'자료_미국심리'!$A236,"")</f>
        <v/>
      </c>
      <c r="P252">
        <f>IF(AND(ISNUMBER('자료_미국심리'!$D236),ISNUMBER('자료_미국심리'!$E236)),'자료_미국심리'!$D236,"")</f>
        <v/>
      </c>
      <c r="Q252">
        <f>IF(AND(ISNUMBER('자료_미국심리'!$G236),ISNUMBER('자료_미국심리'!$H236)),'자료_미국심리'!$G236,"")</f>
        <v/>
      </c>
    </row>
    <row r="253">
      <c r="A253" s="10">
        <f>IF(235&gt;$E$5,"",SMALL($O$19:$O$4018,$E$6+235))</f>
        <v/>
      </c>
      <c r="B253" s="29">
        <f>IF(A253="","",INDEX('자료_미국심리'!$B$3:$B$4002,MATCH(A253,$O$19:$O$4018,0)))</f>
        <v/>
      </c>
      <c r="C253" s="22">
        <f>IF(A253="","",B253/AVERAGE(B129:B253)-1)</f>
        <v/>
      </c>
      <c r="D253" s="29">
        <f>IF(A253="","",IFERROR(INDEX('자료_미국심리'!$E$3:$E$4002,MATCH(A253,$P$19:$P$4018,0)),D252))</f>
        <v/>
      </c>
      <c r="E253" s="29">
        <f>IF(A253="","",IFERROR(INDEX('자료_미국심리'!$H$3:$H$4002,MATCH(A253,$Q$19:$Q$4018,0)),E252))</f>
        <v/>
      </c>
      <c r="F253">
        <f>IF(A253="",0,IF(A253&gt;$B$5,1,0))</f>
        <v/>
      </c>
      <c r="G253" s="29">
        <f>IF(AND(F253=1,ISNUMBER(D253)),D253,"")</f>
        <v/>
      </c>
      <c r="H253" s="29">
        <f>IF(AND(F253=1,ISNUMBER(E253)),E253,"")</f>
        <v/>
      </c>
      <c r="I253" s="22">
        <f>IF(AND(F253=1,ISNUMBER(C253)),C253,"")</f>
        <v/>
      </c>
      <c r="J253" s="11">
        <f>IF(G253="","",100-IF($G$13=1,50,(_xlfn.RANK.AVG(G253,$G$19:$G$1518,1)-1)/($G$13-1)*100))</f>
        <v/>
      </c>
      <c r="K253" s="11">
        <f>IF(H253="","",100-IF($G$14=1,50,(_xlfn.RANK.AVG(H253,$H$19:$H$1518,1)-1)/($G$14-1)*100))</f>
        <v/>
      </c>
      <c r="L253" s="11">
        <f>IF(I253="","",IF($G$15=1,50,(_xlfn.RANK.AVG(I253,$I$19:$I$1518,1)-1)/($G$15-1)*100))</f>
        <v/>
      </c>
      <c r="M253" s="11">
        <f>IF(COUNT(J253:L253)=3,ROUND(AVERAGE(J253:L253),6),"")</f>
        <v/>
      </c>
      <c r="O253">
        <f>IF(AND(ISNUMBER('자료_미국심리'!$A237),ISNUMBER('자료_미국심리'!$B237)),'자료_미국심리'!$A237,"")</f>
        <v/>
      </c>
      <c r="P253">
        <f>IF(AND(ISNUMBER('자료_미국심리'!$D237),ISNUMBER('자료_미국심리'!$E237)),'자료_미국심리'!$D237,"")</f>
        <v/>
      </c>
      <c r="Q253">
        <f>IF(AND(ISNUMBER('자료_미국심리'!$G237),ISNUMBER('자료_미국심리'!$H237)),'자료_미국심리'!$G237,"")</f>
        <v/>
      </c>
    </row>
    <row r="254">
      <c r="A254" s="10">
        <f>IF(236&gt;$E$5,"",SMALL($O$19:$O$4018,$E$6+236))</f>
        <v/>
      </c>
      <c r="B254" s="29">
        <f>IF(A254="","",INDEX('자료_미국심리'!$B$3:$B$4002,MATCH(A254,$O$19:$O$4018,0)))</f>
        <v/>
      </c>
      <c r="C254" s="22">
        <f>IF(A254="","",B254/AVERAGE(B130:B254)-1)</f>
        <v/>
      </c>
      <c r="D254" s="29">
        <f>IF(A254="","",IFERROR(INDEX('자료_미국심리'!$E$3:$E$4002,MATCH(A254,$P$19:$P$4018,0)),D253))</f>
        <v/>
      </c>
      <c r="E254" s="29">
        <f>IF(A254="","",IFERROR(INDEX('자료_미국심리'!$H$3:$H$4002,MATCH(A254,$Q$19:$Q$4018,0)),E253))</f>
        <v/>
      </c>
      <c r="F254">
        <f>IF(A254="",0,IF(A254&gt;$B$5,1,0))</f>
        <v/>
      </c>
      <c r="G254" s="29">
        <f>IF(AND(F254=1,ISNUMBER(D254)),D254,"")</f>
        <v/>
      </c>
      <c r="H254" s="29">
        <f>IF(AND(F254=1,ISNUMBER(E254)),E254,"")</f>
        <v/>
      </c>
      <c r="I254" s="22">
        <f>IF(AND(F254=1,ISNUMBER(C254)),C254,"")</f>
        <v/>
      </c>
      <c r="J254" s="11">
        <f>IF(G254="","",100-IF($G$13=1,50,(_xlfn.RANK.AVG(G254,$G$19:$G$1518,1)-1)/($G$13-1)*100))</f>
        <v/>
      </c>
      <c r="K254" s="11">
        <f>IF(H254="","",100-IF($G$14=1,50,(_xlfn.RANK.AVG(H254,$H$19:$H$1518,1)-1)/($G$14-1)*100))</f>
        <v/>
      </c>
      <c r="L254" s="11">
        <f>IF(I254="","",IF($G$15=1,50,(_xlfn.RANK.AVG(I254,$I$19:$I$1518,1)-1)/($G$15-1)*100))</f>
        <v/>
      </c>
      <c r="M254" s="11">
        <f>IF(COUNT(J254:L254)=3,ROUND(AVERAGE(J254:L254),6),"")</f>
        <v/>
      </c>
      <c r="O254">
        <f>IF(AND(ISNUMBER('자료_미국심리'!$A238),ISNUMBER('자료_미국심리'!$B238)),'자료_미국심리'!$A238,"")</f>
        <v/>
      </c>
      <c r="P254">
        <f>IF(AND(ISNUMBER('자료_미국심리'!$D238),ISNUMBER('자료_미국심리'!$E238)),'자료_미국심리'!$D238,"")</f>
        <v/>
      </c>
      <c r="Q254">
        <f>IF(AND(ISNUMBER('자료_미국심리'!$G238),ISNUMBER('자료_미국심리'!$H238)),'자료_미국심리'!$G238,"")</f>
        <v/>
      </c>
    </row>
    <row r="255">
      <c r="A255" s="10">
        <f>IF(237&gt;$E$5,"",SMALL($O$19:$O$4018,$E$6+237))</f>
        <v/>
      </c>
      <c r="B255" s="29">
        <f>IF(A255="","",INDEX('자료_미국심리'!$B$3:$B$4002,MATCH(A255,$O$19:$O$4018,0)))</f>
        <v/>
      </c>
      <c r="C255" s="22">
        <f>IF(A255="","",B255/AVERAGE(B131:B255)-1)</f>
        <v/>
      </c>
      <c r="D255" s="29">
        <f>IF(A255="","",IFERROR(INDEX('자료_미국심리'!$E$3:$E$4002,MATCH(A255,$P$19:$P$4018,0)),D254))</f>
        <v/>
      </c>
      <c r="E255" s="29">
        <f>IF(A255="","",IFERROR(INDEX('자료_미국심리'!$H$3:$H$4002,MATCH(A255,$Q$19:$Q$4018,0)),E254))</f>
        <v/>
      </c>
      <c r="F255">
        <f>IF(A255="",0,IF(A255&gt;$B$5,1,0))</f>
        <v/>
      </c>
      <c r="G255" s="29">
        <f>IF(AND(F255=1,ISNUMBER(D255)),D255,"")</f>
        <v/>
      </c>
      <c r="H255" s="29">
        <f>IF(AND(F255=1,ISNUMBER(E255)),E255,"")</f>
        <v/>
      </c>
      <c r="I255" s="22">
        <f>IF(AND(F255=1,ISNUMBER(C255)),C255,"")</f>
        <v/>
      </c>
      <c r="J255" s="11">
        <f>IF(G255="","",100-IF($G$13=1,50,(_xlfn.RANK.AVG(G255,$G$19:$G$1518,1)-1)/($G$13-1)*100))</f>
        <v/>
      </c>
      <c r="K255" s="11">
        <f>IF(H255="","",100-IF($G$14=1,50,(_xlfn.RANK.AVG(H255,$H$19:$H$1518,1)-1)/($G$14-1)*100))</f>
        <v/>
      </c>
      <c r="L255" s="11">
        <f>IF(I255="","",IF($G$15=1,50,(_xlfn.RANK.AVG(I255,$I$19:$I$1518,1)-1)/($G$15-1)*100))</f>
        <v/>
      </c>
      <c r="M255" s="11">
        <f>IF(COUNT(J255:L255)=3,ROUND(AVERAGE(J255:L255),6),"")</f>
        <v/>
      </c>
      <c r="O255">
        <f>IF(AND(ISNUMBER('자료_미국심리'!$A239),ISNUMBER('자료_미국심리'!$B239)),'자료_미국심리'!$A239,"")</f>
        <v/>
      </c>
      <c r="P255">
        <f>IF(AND(ISNUMBER('자료_미국심리'!$D239),ISNUMBER('자료_미국심리'!$E239)),'자료_미국심리'!$D239,"")</f>
        <v/>
      </c>
      <c r="Q255">
        <f>IF(AND(ISNUMBER('자료_미국심리'!$G239),ISNUMBER('자료_미국심리'!$H239)),'자료_미국심리'!$G239,"")</f>
        <v/>
      </c>
    </row>
    <row r="256">
      <c r="A256" s="10">
        <f>IF(238&gt;$E$5,"",SMALL($O$19:$O$4018,$E$6+238))</f>
        <v/>
      </c>
      <c r="B256" s="29">
        <f>IF(A256="","",INDEX('자료_미국심리'!$B$3:$B$4002,MATCH(A256,$O$19:$O$4018,0)))</f>
        <v/>
      </c>
      <c r="C256" s="22">
        <f>IF(A256="","",B256/AVERAGE(B132:B256)-1)</f>
        <v/>
      </c>
      <c r="D256" s="29">
        <f>IF(A256="","",IFERROR(INDEX('자료_미국심리'!$E$3:$E$4002,MATCH(A256,$P$19:$P$4018,0)),D255))</f>
        <v/>
      </c>
      <c r="E256" s="29">
        <f>IF(A256="","",IFERROR(INDEX('자료_미국심리'!$H$3:$H$4002,MATCH(A256,$Q$19:$Q$4018,0)),E255))</f>
        <v/>
      </c>
      <c r="F256">
        <f>IF(A256="",0,IF(A256&gt;$B$5,1,0))</f>
        <v/>
      </c>
      <c r="G256" s="29">
        <f>IF(AND(F256=1,ISNUMBER(D256)),D256,"")</f>
        <v/>
      </c>
      <c r="H256" s="29">
        <f>IF(AND(F256=1,ISNUMBER(E256)),E256,"")</f>
        <v/>
      </c>
      <c r="I256" s="22">
        <f>IF(AND(F256=1,ISNUMBER(C256)),C256,"")</f>
        <v/>
      </c>
      <c r="J256" s="11">
        <f>IF(G256="","",100-IF($G$13=1,50,(_xlfn.RANK.AVG(G256,$G$19:$G$1518,1)-1)/($G$13-1)*100))</f>
        <v/>
      </c>
      <c r="K256" s="11">
        <f>IF(H256="","",100-IF($G$14=1,50,(_xlfn.RANK.AVG(H256,$H$19:$H$1518,1)-1)/($G$14-1)*100))</f>
        <v/>
      </c>
      <c r="L256" s="11">
        <f>IF(I256="","",IF($G$15=1,50,(_xlfn.RANK.AVG(I256,$I$19:$I$1518,1)-1)/($G$15-1)*100))</f>
        <v/>
      </c>
      <c r="M256" s="11">
        <f>IF(COUNT(J256:L256)=3,ROUND(AVERAGE(J256:L256),6),"")</f>
        <v/>
      </c>
      <c r="O256">
        <f>IF(AND(ISNUMBER('자료_미국심리'!$A240),ISNUMBER('자료_미국심리'!$B240)),'자료_미국심리'!$A240,"")</f>
        <v/>
      </c>
      <c r="P256">
        <f>IF(AND(ISNUMBER('자료_미국심리'!$D240),ISNUMBER('자료_미국심리'!$E240)),'자료_미국심리'!$D240,"")</f>
        <v/>
      </c>
      <c r="Q256">
        <f>IF(AND(ISNUMBER('자료_미국심리'!$G240),ISNUMBER('자료_미국심리'!$H240)),'자료_미국심리'!$G240,"")</f>
        <v/>
      </c>
    </row>
    <row r="257">
      <c r="A257" s="10">
        <f>IF(239&gt;$E$5,"",SMALL($O$19:$O$4018,$E$6+239))</f>
        <v/>
      </c>
      <c r="B257" s="29">
        <f>IF(A257="","",INDEX('자료_미국심리'!$B$3:$B$4002,MATCH(A257,$O$19:$O$4018,0)))</f>
        <v/>
      </c>
      <c r="C257" s="22">
        <f>IF(A257="","",B257/AVERAGE(B133:B257)-1)</f>
        <v/>
      </c>
      <c r="D257" s="29">
        <f>IF(A257="","",IFERROR(INDEX('자료_미국심리'!$E$3:$E$4002,MATCH(A257,$P$19:$P$4018,0)),D256))</f>
        <v/>
      </c>
      <c r="E257" s="29">
        <f>IF(A257="","",IFERROR(INDEX('자료_미국심리'!$H$3:$H$4002,MATCH(A257,$Q$19:$Q$4018,0)),E256))</f>
        <v/>
      </c>
      <c r="F257">
        <f>IF(A257="",0,IF(A257&gt;$B$5,1,0))</f>
        <v/>
      </c>
      <c r="G257" s="29">
        <f>IF(AND(F257=1,ISNUMBER(D257)),D257,"")</f>
        <v/>
      </c>
      <c r="H257" s="29">
        <f>IF(AND(F257=1,ISNUMBER(E257)),E257,"")</f>
        <v/>
      </c>
      <c r="I257" s="22">
        <f>IF(AND(F257=1,ISNUMBER(C257)),C257,"")</f>
        <v/>
      </c>
      <c r="J257" s="11">
        <f>IF(G257="","",100-IF($G$13=1,50,(_xlfn.RANK.AVG(G257,$G$19:$G$1518,1)-1)/($G$13-1)*100))</f>
        <v/>
      </c>
      <c r="K257" s="11">
        <f>IF(H257="","",100-IF($G$14=1,50,(_xlfn.RANK.AVG(H257,$H$19:$H$1518,1)-1)/($G$14-1)*100))</f>
        <v/>
      </c>
      <c r="L257" s="11">
        <f>IF(I257="","",IF($G$15=1,50,(_xlfn.RANK.AVG(I257,$I$19:$I$1518,1)-1)/($G$15-1)*100))</f>
        <v/>
      </c>
      <c r="M257" s="11">
        <f>IF(COUNT(J257:L257)=3,ROUND(AVERAGE(J257:L257),6),"")</f>
        <v/>
      </c>
      <c r="O257">
        <f>IF(AND(ISNUMBER('자료_미국심리'!$A241),ISNUMBER('자료_미국심리'!$B241)),'자료_미국심리'!$A241,"")</f>
        <v/>
      </c>
      <c r="P257">
        <f>IF(AND(ISNUMBER('자료_미국심리'!$D241),ISNUMBER('자료_미국심리'!$E241)),'자료_미국심리'!$D241,"")</f>
        <v/>
      </c>
      <c r="Q257">
        <f>IF(AND(ISNUMBER('자료_미국심리'!$G241),ISNUMBER('자료_미국심리'!$H241)),'자료_미국심리'!$G241,"")</f>
        <v/>
      </c>
    </row>
    <row r="258">
      <c r="A258" s="10">
        <f>IF(240&gt;$E$5,"",SMALL($O$19:$O$4018,$E$6+240))</f>
        <v/>
      </c>
      <c r="B258" s="29">
        <f>IF(A258="","",INDEX('자료_미국심리'!$B$3:$B$4002,MATCH(A258,$O$19:$O$4018,0)))</f>
        <v/>
      </c>
      <c r="C258" s="22">
        <f>IF(A258="","",B258/AVERAGE(B134:B258)-1)</f>
        <v/>
      </c>
      <c r="D258" s="29">
        <f>IF(A258="","",IFERROR(INDEX('자료_미국심리'!$E$3:$E$4002,MATCH(A258,$P$19:$P$4018,0)),D257))</f>
        <v/>
      </c>
      <c r="E258" s="29">
        <f>IF(A258="","",IFERROR(INDEX('자료_미국심리'!$H$3:$H$4002,MATCH(A258,$Q$19:$Q$4018,0)),E257))</f>
        <v/>
      </c>
      <c r="F258">
        <f>IF(A258="",0,IF(A258&gt;$B$5,1,0))</f>
        <v/>
      </c>
      <c r="G258" s="29">
        <f>IF(AND(F258=1,ISNUMBER(D258)),D258,"")</f>
        <v/>
      </c>
      <c r="H258" s="29">
        <f>IF(AND(F258=1,ISNUMBER(E258)),E258,"")</f>
        <v/>
      </c>
      <c r="I258" s="22">
        <f>IF(AND(F258=1,ISNUMBER(C258)),C258,"")</f>
        <v/>
      </c>
      <c r="J258" s="11">
        <f>IF(G258="","",100-IF($G$13=1,50,(_xlfn.RANK.AVG(G258,$G$19:$G$1518,1)-1)/($G$13-1)*100))</f>
        <v/>
      </c>
      <c r="K258" s="11">
        <f>IF(H258="","",100-IF($G$14=1,50,(_xlfn.RANK.AVG(H258,$H$19:$H$1518,1)-1)/($G$14-1)*100))</f>
        <v/>
      </c>
      <c r="L258" s="11">
        <f>IF(I258="","",IF($G$15=1,50,(_xlfn.RANK.AVG(I258,$I$19:$I$1518,1)-1)/($G$15-1)*100))</f>
        <v/>
      </c>
      <c r="M258" s="11">
        <f>IF(COUNT(J258:L258)=3,ROUND(AVERAGE(J258:L258),6),"")</f>
        <v/>
      </c>
      <c r="O258">
        <f>IF(AND(ISNUMBER('자료_미국심리'!$A242),ISNUMBER('자료_미국심리'!$B242)),'자료_미국심리'!$A242,"")</f>
        <v/>
      </c>
      <c r="P258">
        <f>IF(AND(ISNUMBER('자료_미국심리'!$D242),ISNUMBER('자료_미국심리'!$E242)),'자료_미국심리'!$D242,"")</f>
        <v/>
      </c>
      <c r="Q258">
        <f>IF(AND(ISNUMBER('자료_미국심리'!$G242),ISNUMBER('자료_미국심리'!$H242)),'자료_미국심리'!$G242,"")</f>
        <v/>
      </c>
    </row>
    <row r="259">
      <c r="A259" s="10">
        <f>IF(241&gt;$E$5,"",SMALL($O$19:$O$4018,$E$6+241))</f>
        <v/>
      </c>
      <c r="B259" s="29">
        <f>IF(A259="","",INDEX('자료_미국심리'!$B$3:$B$4002,MATCH(A259,$O$19:$O$4018,0)))</f>
        <v/>
      </c>
      <c r="C259" s="22">
        <f>IF(A259="","",B259/AVERAGE(B135:B259)-1)</f>
        <v/>
      </c>
      <c r="D259" s="29">
        <f>IF(A259="","",IFERROR(INDEX('자료_미국심리'!$E$3:$E$4002,MATCH(A259,$P$19:$P$4018,0)),D258))</f>
        <v/>
      </c>
      <c r="E259" s="29">
        <f>IF(A259="","",IFERROR(INDEX('자료_미국심리'!$H$3:$H$4002,MATCH(A259,$Q$19:$Q$4018,0)),E258))</f>
        <v/>
      </c>
      <c r="F259">
        <f>IF(A259="",0,IF(A259&gt;$B$5,1,0))</f>
        <v/>
      </c>
      <c r="G259" s="29">
        <f>IF(AND(F259=1,ISNUMBER(D259)),D259,"")</f>
        <v/>
      </c>
      <c r="H259" s="29">
        <f>IF(AND(F259=1,ISNUMBER(E259)),E259,"")</f>
        <v/>
      </c>
      <c r="I259" s="22">
        <f>IF(AND(F259=1,ISNUMBER(C259)),C259,"")</f>
        <v/>
      </c>
      <c r="J259" s="11">
        <f>IF(G259="","",100-IF($G$13=1,50,(_xlfn.RANK.AVG(G259,$G$19:$G$1518,1)-1)/($G$13-1)*100))</f>
        <v/>
      </c>
      <c r="K259" s="11">
        <f>IF(H259="","",100-IF($G$14=1,50,(_xlfn.RANK.AVG(H259,$H$19:$H$1518,1)-1)/($G$14-1)*100))</f>
        <v/>
      </c>
      <c r="L259" s="11">
        <f>IF(I259="","",IF($G$15=1,50,(_xlfn.RANK.AVG(I259,$I$19:$I$1518,1)-1)/($G$15-1)*100))</f>
        <v/>
      </c>
      <c r="M259" s="11">
        <f>IF(COUNT(J259:L259)=3,ROUND(AVERAGE(J259:L259),6),"")</f>
        <v/>
      </c>
      <c r="O259">
        <f>IF(AND(ISNUMBER('자료_미국심리'!$A243),ISNUMBER('자료_미국심리'!$B243)),'자료_미국심리'!$A243,"")</f>
        <v/>
      </c>
      <c r="P259">
        <f>IF(AND(ISNUMBER('자료_미국심리'!$D243),ISNUMBER('자료_미국심리'!$E243)),'자료_미국심리'!$D243,"")</f>
        <v/>
      </c>
      <c r="Q259">
        <f>IF(AND(ISNUMBER('자료_미국심리'!$G243),ISNUMBER('자료_미국심리'!$H243)),'자료_미국심리'!$G243,"")</f>
        <v/>
      </c>
    </row>
    <row r="260">
      <c r="A260" s="10">
        <f>IF(242&gt;$E$5,"",SMALL($O$19:$O$4018,$E$6+242))</f>
        <v/>
      </c>
      <c r="B260" s="29">
        <f>IF(A260="","",INDEX('자료_미국심리'!$B$3:$B$4002,MATCH(A260,$O$19:$O$4018,0)))</f>
        <v/>
      </c>
      <c r="C260" s="22">
        <f>IF(A260="","",B260/AVERAGE(B136:B260)-1)</f>
        <v/>
      </c>
      <c r="D260" s="29">
        <f>IF(A260="","",IFERROR(INDEX('자료_미국심리'!$E$3:$E$4002,MATCH(A260,$P$19:$P$4018,0)),D259))</f>
        <v/>
      </c>
      <c r="E260" s="29">
        <f>IF(A260="","",IFERROR(INDEX('자료_미국심리'!$H$3:$H$4002,MATCH(A260,$Q$19:$Q$4018,0)),E259))</f>
        <v/>
      </c>
      <c r="F260">
        <f>IF(A260="",0,IF(A260&gt;$B$5,1,0))</f>
        <v/>
      </c>
      <c r="G260" s="29">
        <f>IF(AND(F260=1,ISNUMBER(D260)),D260,"")</f>
        <v/>
      </c>
      <c r="H260" s="29">
        <f>IF(AND(F260=1,ISNUMBER(E260)),E260,"")</f>
        <v/>
      </c>
      <c r="I260" s="22">
        <f>IF(AND(F260=1,ISNUMBER(C260)),C260,"")</f>
        <v/>
      </c>
      <c r="J260" s="11">
        <f>IF(G260="","",100-IF($G$13=1,50,(_xlfn.RANK.AVG(G260,$G$19:$G$1518,1)-1)/($G$13-1)*100))</f>
        <v/>
      </c>
      <c r="K260" s="11">
        <f>IF(H260="","",100-IF($G$14=1,50,(_xlfn.RANK.AVG(H260,$H$19:$H$1518,1)-1)/($G$14-1)*100))</f>
        <v/>
      </c>
      <c r="L260" s="11">
        <f>IF(I260="","",IF($G$15=1,50,(_xlfn.RANK.AVG(I260,$I$19:$I$1518,1)-1)/($G$15-1)*100))</f>
        <v/>
      </c>
      <c r="M260" s="11">
        <f>IF(COUNT(J260:L260)=3,ROUND(AVERAGE(J260:L260),6),"")</f>
        <v/>
      </c>
      <c r="O260">
        <f>IF(AND(ISNUMBER('자료_미국심리'!$A244),ISNUMBER('자료_미국심리'!$B244)),'자료_미국심리'!$A244,"")</f>
        <v/>
      </c>
      <c r="P260">
        <f>IF(AND(ISNUMBER('자료_미국심리'!$D244),ISNUMBER('자료_미국심리'!$E244)),'자료_미국심리'!$D244,"")</f>
        <v/>
      </c>
      <c r="Q260">
        <f>IF(AND(ISNUMBER('자료_미국심리'!$G244),ISNUMBER('자료_미국심리'!$H244)),'자료_미국심리'!$G244,"")</f>
        <v/>
      </c>
    </row>
    <row r="261">
      <c r="A261" s="10">
        <f>IF(243&gt;$E$5,"",SMALL($O$19:$O$4018,$E$6+243))</f>
        <v/>
      </c>
      <c r="B261" s="29">
        <f>IF(A261="","",INDEX('자료_미국심리'!$B$3:$B$4002,MATCH(A261,$O$19:$O$4018,0)))</f>
        <v/>
      </c>
      <c r="C261" s="22">
        <f>IF(A261="","",B261/AVERAGE(B137:B261)-1)</f>
        <v/>
      </c>
      <c r="D261" s="29">
        <f>IF(A261="","",IFERROR(INDEX('자료_미국심리'!$E$3:$E$4002,MATCH(A261,$P$19:$P$4018,0)),D260))</f>
        <v/>
      </c>
      <c r="E261" s="29">
        <f>IF(A261="","",IFERROR(INDEX('자료_미국심리'!$H$3:$H$4002,MATCH(A261,$Q$19:$Q$4018,0)),E260))</f>
        <v/>
      </c>
      <c r="F261">
        <f>IF(A261="",0,IF(A261&gt;$B$5,1,0))</f>
        <v/>
      </c>
      <c r="G261" s="29">
        <f>IF(AND(F261=1,ISNUMBER(D261)),D261,"")</f>
        <v/>
      </c>
      <c r="H261" s="29">
        <f>IF(AND(F261=1,ISNUMBER(E261)),E261,"")</f>
        <v/>
      </c>
      <c r="I261" s="22">
        <f>IF(AND(F261=1,ISNUMBER(C261)),C261,"")</f>
        <v/>
      </c>
      <c r="J261" s="11">
        <f>IF(G261="","",100-IF($G$13=1,50,(_xlfn.RANK.AVG(G261,$G$19:$G$1518,1)-1)/($G$13-1)*100))</f>
        <v/>
      </c>
      <c r="K261" s="11">
        <f>IF(H261="","",100-IF($G$14=1,50,(_xlfn.RANK.AVG(H261,$H$19:$H$1518,1)-1)/($G$14-1)*100))</f>
        <v/>
      </c>
      <c r="L261" s="11">
        <f>IF(I261="","",IF($G$15=1,50,(_xlfn.RANK.AVG(I261,$I$19:$I$1518,1)-1)/($G$15-1)*100))</f>
        <v/>
      </c>
      <c r="M261" s="11">
        <f>IF(COUNT(J261:L261)=3,ROUND(AVERAGE(J261:L261),6),"")</f>
        <v/>
      </c>
      <c r="O261">
        <f>IF(AND(ISNUMBER('자료_미국심리'!$A245),ISNUMBER('자료_미국심리'!$B245)),'자료_미국심리'!$A245,"")</f>
        <v/>
      </c>
      <c r="P261">
        <f>IF(AND(ISNUMBER('자료_미국심리'!$D245),ISNUMBER('자료_미국심리'!$E245)),'자료_미국심리'!$D245,"")</f>
        <v/>
      </c>
      <c r="Q261">
        <f>IF(AND(ISNUMBER('자료_미국심리'!$G245),ISNUMBER('자료_미국심리'!$H245)),'자료_미국심리'!$G245,"")</f>
        <v/>
      </c>
    </row>
    <row r="262">
      <c r="A262" s="10">
        <f>IF(244&gt;$E$5,"",SMALL($O$19:$O$4018,$E$6+244))</f>
        <v/>
      </c>
      <c r="B262" s="29">
        <f>IF(A262="","",INDEX('자료_미국심리'!$B$3:$B$4002,MATCH(A262,$O$19:$O$4018,0)))</f>
        <v/>
      </c>
      <c r="C262" s="22">
        <f>IF(A262="","",B262/AVERAGE(B138:B262)-1)</f>
        <v/>
      </c>
      <c r="D262" s="29">
        <f>IF(A262="","",IFERROR(INDEX('자료_미국심리'!$E$3:$E$4002,MATCH(A262,$P$19:$P$4018,0)),D261))</f>
        <v/>
      </c>
      <c r="E262" s="29">
        <f>IF(A262="","",IFERROR(INDEX('자료_미국심리'!$H$3:$H$4002,MATCH(A262,$Q$19:$Q$4018,0)),E261))</f>
        <v/>
      </c>
      <c r="F262">
        <f>IF(A262="",0,IF(A262&gt;$B$5,1,0))</f>
        <v/>
      </c>
      <c r="G262" s="29">
        <f>IF(AND(F262=1,ISNUMBER(D262)),D262,"")</f>
        <v/>
      </c>
      <c r="H262" s="29">
        <f>IF(AND(F262=1,ISNUMBER(E262)),E262,"")</f>
        <v/>
      </c>
      <c r="I262" s="22">
        <f>IF(AND(F262=1,ISNUMBER(C262)),C262,"")</f>
        <v/>
      </c>
      <c r="J262" s="11">
        <f>IF(G262="","",100-IF($G$13=1,50,(_xlfn.RANK.AVG(G262,$G$19:$G$1518,1)-1)/($G$13-1)*100))</f>
        <v/>
      </c>
      <c r="K262" s="11">
        <f>IF(H262="","",100-IF($G$14=1,50,(_xlfn.RANK.AVG(H262,$H$19:$H$1518,1)-1)/($G$14-1)*100))</f>
        <v/>
      </c>
      <c r="L262" s="11">
        <f>IF(I262="","",IF($G$15=1,50,(_xlfn.RANK.AVG(I262,$I$19:$I$1518,1)-1)/($G$15-1)*100))</f>
        <v/>
      </c>
      <c r="M262" s="11">
        <f>IF(COUNT(J262:L262)=3,ROUND(AVERAGE(J262:L262),6),"")</f>
        <v/>
      </c>
      <c r="O262">
        <f>IF(AND(ISNUMBER('자료_미국심리'!$A246),ISNUMBER('자료_미국심리'!$B246)),'자료_미국심리'!$A246,"")</f>
        <v/>
      </c>
      <c r="P262">
        <f>IF(AND(ISNUMBER('자료_미국심리'!$D246),ISNUMBER('자료_미국심리'!$E246)),'자료_미국심리'!$D246,"")</f>
        <v/>
      </c>
      <c r="Q262">
        <f>IF(AND(ISNUMBER('자료_미국심리'!$G246),ISNUMBER('자료_미국심리'!$H246)),'자료_미국심리'!$G246,"")</f>
        <v/>
      </c>
    </row>
    <row r="263">
      <c r="A263" s="10">
        <f>IF(245&gt;$E$5,"",SMALL($O$19:$O$4018,$E$6+245))</f>
        <v/>
      </c>
      <c r="B263" s="29">
        <f>IF(A263="","",INDEX('자료_미국심리'!$B$3:$B$4002,MATCH(A263,$O$19:$O$4018,0)))</f>
        <v/>
      </c>
      <c r="C263" s="22">
        <f>IF(A263="","",B263/AVERAGE(B139:B263)-1)</f>
        <v/>
      </c>
      <c r="D263" s="29">
        <f>IF(A263="","",IFERROR(INDEX('자료_미국심리'!$E$3:$E$4002,MATCH(A263,$P$19:$P$4018,0)),D262))</f>
        <v/>
      </c>
      <c r="E263" s="29">
        <f>IF(A263="","",IFERROR(INDEX('자료_미국심리'!$H$3:$H$4002,MATCH(A263,$Q$19:$Q$4018,0)),E262))</f>
        <v/>
      </c>
      <c r="F263">
        <f>IF(A263="",0,IF(A263&gt;$B$5,1,0))</f>
        <v/>
      </c>
      <c r="G263" s="29">
        <f>IF(AND(F263=1,ISNUMBER(D263)),D263,"")</f>
        <v/>
      </c>
      <c r="H263" s="29">
        <f>IF(AND(F263=1,ISNUMBER(E263)),E263,"")</f>
        <v/>
      </c>
      <c r="I263" s="22">
        <f>IF(AND(F263=1,ISNUMBER(C263)),C263,"")</f>
        <v/>
      </c>
      <c r="J263" s="11">
        <f>IF(G263="","",100-IF($G$13=1,50,(_xlfn.RANK.AVG(G263,$G$19:$G$1518,1)-1)/($G$13-1)*100))</f>
        <v/>
      </c>
      <c r="K263" s="11">
        <f>IF(H263="","",100-IF($G$14=1,50,(_xlfn.RANK.AVG(H263,$H$19:$H$1518,1)-1)/($G$14-1)*100))</f>
        <v/>
      </c>
      <c r="L263" s="11">
        <f>IF(I263="","",IF($G$15=1,50,(_xlfn.RANK.AVG(I263,$I$19:$I$1518,1)-1)/($G$15-1)*100))</f>
        <v/>
      </c>
      <c r="M263" s="11">
        <f>IF(COUNT(J263:L263)=3,ROUND(AVERAGE(J263:L263),6),"")</f>
        <v/>
      </c>
      <c r="O263">
        <f>IF(AND(ISNUMBER('자료_미국심리'!$A247),ISNUMBER('자료_미국심리'!$B247)),'자료_미국심리'!$A247,"")</f>
        <v/>
      </c>
      <c r="P263">
        <f>IF(AND(ISNUMBER('자료_미국심리'!$D247),ISNUMBER('자료_미국심리'!$E247)),'자료_미국심리'!$D247,"")</f>
        <v/>
      </c>
      <c r="Q263">
        <f>IF(AND(ISNUMBER('자료_미국심리'!$G247),ISNUMBER('자료_미국심리'!$H247)),'자료_미국심리'!$G247,"")</f>
        <v/>
      </c>
    </row>
    <row r="264">
      <c r="A264" s="10">
        <f>IF(246&gt;$E$5,"",SMALL($O$19:$O$4018,$E$6+246))</f>
        <v/>
      </c>
      <c r="B264" s="29">
        <f>IF(A264="","",INDEX('자료_미국심리'!$B$3:$B$4002,MATCH(A264,$O$19:$O$4018,0)))</f>
        <v/>
      </c>
      <c r="C264" s="22">
        <f>IF(A264="","",B264/AVERAGE(B140:B264)-1)</f>
        <v/>
      </c>
      <c r="D264" s="29">
        <f>IF(A264="","",IFERROR(INDEX('자료_미국심리'!$E$3:$E$4002,MATCH(A264,$P$19:$P$4018,0)),D263))</f>
        <v/>
      </c>
      <c r="E264" s="29">
        <f>IF(A264="","",IFERROR(INDEX('자료_미국심리'!$H$3:$H$4002,MATCH(A264,$Q$19:$Q$4018,0)),E263))</f>
        <v/>
      </c>
      <c r="F264">
        <f>IF(A264="",0,IF(A264&gt;$B$5,1,0))</f>
        <v/>
      </c>
      <c r="G264" s="29">
        <f>IF(AND(F264=1,ISNUMBER(D264)),D264,"")</f>
        <v/>
      </c>
      <c r="H264" s="29">
        <f>IF(AND(F264=1,ISNUMBER(E264)),E264,"")</f>
        <v/>
      </c>
      <c r="I264" s="22">
        <f>IF(AND(F264=1,ISNUMBER(C264)),C264,"")</f>
        <v/>
      </c>
      <c r="J264" s="11">
        <f>IF(G264="","",100-IF($G$13=1,50,(_xlfn.RANK.AVG(G264,$G$19:$G$1518,1)-1)/($G$13-1)*100))</f>
        <v/>
      </c>
      <c r="K264" s="11">
        <f>IF(H264="","",100-IF($G$14=1,50,(_xlfn.RANK.AVG(H264,$H$19:$H$1518,1)-1)/($G$14-1)*100))</f>
        <v/>
      </c>
      <c r="L264" s="11">
        <f>IF(I264="","",IF($G$15=1,50,(_xlfn.RANK.AVG(I264,$I$19:$I$1518,1)-1)/($G$15-1)*100))</f>
        <v/>
      </c>
      <c r="M264" s="11">
        <f>IF(COUNT(J264:L264)=3,ROUND(AVERAGE(J264:L264),6),"")</f>
        <v/>
      </c>
      <c r="O264">
        <f>IF(AND(ISNUMBER('자료_미국심리'!$A248),ISNUMBER('자료_미국심리'!$B248)),'자료_미국심리'!$A248,"")</f>
        <v/>
      </c>
      <c r="P264">
        <f>IF(AND(ISNUMBER('자료_미국심리'!$D248),ISNUMBER('자료_미국심리'!$E248)),'자료_미국심리'!$D248,"")</f>
        <v/>
      </c>
      <c r="Q264">
        <f>IF(AND(ISNUMBER('자료_미국심리'!$G248),ISNUMBER('자료_미국심리'!$H248)),'자료_미국심리'!$G248,"")</f>
        <v/>
      </c>
    </row>
    <row r="265">
      <c r="A265" s="10">
        <f>IF(247&gt;$E$5,"",SMALL($O$19:$O$4018,$E$6+247))</f>
        <v/>
      </c>
      <c r="B265" s="29">
        <f>IF(A265="","",INDEX('자료_미국심리'!$B$3:$B$4002,MATCH(A265,$O$19:$O$4018,0)))</f>
        <v/>
      </c>
      <c r="C265" s="22">
        <f>IF(A265="","",B265/AVERAGE(B141:B265)-1)</f>
        <v/>
      </c>
      <c r="D265" s="29">
        <f>IF(A265="","",IFERROR(INDEX('자료_미국심리'!$E$3:$E$4002,MATCH(A265,$P$19:$P$4018,0)),D264))</f>
        <v/>
      </c>
      <c r="E265" s="29">
        <f>IF(A265="","",IFERROR(INDEX('자료_미국심리'!$H$3:$H$4002,MATCH(A265,$Q$19:$Q$4018,0)),E264))</f>
        <v/>
      </c>
      <c r="F265">
        <f>IF(A265="",0,IF(A265&gt;$B$5,1,0))</f>
        <v/>
      </c>
      <c r="G265" s="29">
        <f>IF(AND(F265=1,ISNUMBER(D265)),D265,"")</f>
        <v/>
      </c>
      <c r="H265" s="29">
        <f>IF(AND(F265=1,ISNUMBER(E265)),E265,"")</f>
        <v/>
      </c>
      <c r="I265" s="22">
        <f>IF(AND(F265=1,ISNUMBER(C265)),C265,"")</f>
        <v/>
      </c>
      <c r="J265" s="11">
        <f>IF(G265="","",100-IF($G$13=1,50,(_xlfn.RANK.AVG(G265,$G$19:$G$1518,1)-1)/($G$13-1)*100))</f>
        <v/>
      </c>
      <c r="K265" s="11">
        <f>IF(H265="","",100-IF($G$14=1,50,(_xlfn.RANK.AVG(H265,$H$19:$H$1518,1)-1)/($G$14-1)*100))</f>
        <v/>
      </c>
      <c r="L265" s="11">
        <f>IF(I265="","",IF($G$15=1,50,(_xlfn.RANK.AVG(I265,$I$19:$I$1518,1)-1)/($G$15-1)*100))</f>
        <v/>
      </c>
      <c r="M265" s="11">
        <f>IF(COUNT(J265:L265)=3,ROUND(AVERAGE(J265:L265),6),"")</f>
        <v/>
      </c>
      <c r="O265">
        <f>IF(AND(ISNUMBER('자료_미국심리'!$A249),ISNUMBER('자료_미국심리'!$B249)),'자료_미국심리'!$A249,"")</f>
        <v/>
      </c>
      <c r="P265">
        <f>IF(AND(ISNUMBER('자료_미국심리'!$D249),ISNUMBER('자료_미국심리'!$E249)),'자료_미국심리'!$D249,"")</f>
        <v/>
      </c>
      <c r="Q265">
        <f>IF(AND(ISNUMBER('자료_미국심리'!$G249),ISNUMBER('자료_미국심리'!$H249)),'자료_미국심리'!$G249,"")</f>
        <v/>
      </c>
    </row>
    <row r="266">
      <c r="A266" s="10">
        <f>IF(248&gt;$E$5,"",SMALL($O$19:$O$4018,$E$6+248))</f>
        <v/>
      </c>
      <c r="B266" s="29">
        <f>IF(A266="","",INDEX('자료_미국심리'!$B$3:$B$4002,MATCH(A266,$O$19:$O$4018,0)))</f>
        <v/>
      </c>
      <c r="C266" s="22">
        <f>IF(A266="","",B266/AVERAGE(B142:B266)-1)</f>
        <v/>
      </c>
      <c r="D266" s="29">
        <f>IF(A266="","",IFERROR(INDEX('자료_미국심리'!$E$3:$E$4002,MATCH(A266,$P$19:$P$4018,0)),D265))</f>
        <v/>
      </c>
      <c r="E266" s="29">
        <f>IF(A266="","",IFERROR(INDEX('자료_미국심리'!$H$3:$H$4002,MATCH(A266,$Q$19:$Q$4018,0)),E265))</f>
        <v/>
      </c>
      <c r="F266">
        <f>IF(A266="",0,IF(A266&gt;$B$5,1,0))</f>
        <v/>
      </c>
      <c r="G266" s="29">
        <f>IF(AND(F266=1,ISNUMBER(D266)),D266,"")</f>
        <v/>
      </c>
      <c r="H266" s="29">
        <f>IF(AND(F266=1,ISNUMBER(E266)),E266,"")</f>
        <v/>
      </c>
      <c r="I266" s="22">
        <f>IF(AND(F266=1,ISNUMBER(C266)),C266,"")</f>
        <v/>
      </c>
      <c r="J266" s="11">
        <f>IF(G266="","",100-IF($G$13=1,50,(_xlfn.RANK.AVG(G266,$G$19:$G$1518,1)-1)/($G$13-1)*100))</f>
        <v/>
      </c>
      <c r="K266" s="11">
        <f>IF(H266="","",100-IF($G$14=1,50,(_xlfn.RANK.AVG(H266,$H$19:$H$1518,1)-1)/($G$14-1)*100))</f>
        <v/>
      </c>
      <c r="L266" s="11">
        <f>IF(I266="","",IF($G$15=1,50,(_xlfn.RANK.AVG(I266,$I$19:$I$1518,1)-1)/($G$15-1)*100))</f>
        <v/>
      </c>
      <c r="M266" s="11">
        <f>IF(COUNT(J266:L266)=3,ROUND(AVERAGE(J266:L266),6),"")</f>
        <v/>
      </c>
      <c r="O266">
        <f>IF(AND(ISNUMBER('자료_미국심리'!$A250),ISNUMBER('자료_미국심리'!$B250)),'자료_미국심리'!$A250,"")</f>
        <v/>
      </c>
      <c r="P266">
        <f>IF(AND(ISNUMBER('자료_미국심리'!$D250),ISNUMBER('자료_미국심리'!$E250)),'자료_미국심리'!$D250,"")</f>
        <v/>
      </c>
      <c r="Q266">
        <f>IF(AND(ISNUMBER('자료_미국심리'!$G250),ISNUMBER('자료_미국심리'!$H250)),'자료_미국심리'!$G250,"")</f>
        <v/>
      </c>
    </row>
    <row r="267">
      <c r="A267" s="10">
        <f>IF(249&gt;$E$5,"",SMALL($O$19:$O$4018,$E$6+249))</f>
        <v/>
      </c>
      <c r="B267" s="29">
        <f>IF(A267="","",INDEX('자료_미국심리'!$B$3:$B$4002,MATCH(A267,$O$19:$O$4018,0)))</f>
        <v/>
      </c>
      <c r="C267" s="22">
        <f>IF(A267="","",B267/AVERAGE(B143:B267)-1)</f>
        <v/>
      </c>
      <c r="D267" s="29">
        <f>IF(A267="","",IFERROR(INDEX('자료_미국심리'!$E$3:$E$4002,MATCH(A267,$P$19:$P$4018,0)),D266))</f>
        <v/>
      </c>
      <c r="E267" s="29">
        <f>IF(A267="","",IFERROR(INDEX('자료_미국심리'!$H$3:$H$4002,MATCH(A267,$Q$19:$Q$4018,0)),E266))</f>
        <v/>
      </c>
      <c r="F267">
        <f>IF(A267="",0,IF(A267&gt;$B$5,1,0))</f>
        <v/>
      </c>
      <c r="G267" s="29">
        <f>IF(AND(F267=1,ISNUMBER(D267)),D267,"")</f>
        <v/>
      </c>
      <c r="H267" s="29">
        <f>IF(AND(F267=1,ISNUMBER(E267)),E267,"")</f>
        <v/>
      </c>
      <c r="I267" s="22">
        <f>IF(AND(F267=1,ISNUMBER(C267)),C267,"")</f>
        <v/>
      </c>
      <c r="J267" s="11">
        <f>IF(G267="","",100-IF($G$13=1,50,(_xlfn.RANK.AVG(G267,$G$19:$G$1518,1)-1)/($G$13-1)*100))</f>
        <v/>
      </c>
      <c r="K267" s="11">
        <f>IF(H267="","",100-IF($G$14=1,50,(_xlfn.RANK.AVG(H267,$H$19:$H$1518,1)-1)/($G$14-1)*100))</f>
        <v/>
      </c>
      <c r="L267" s="11">
        <f>IF(I267="","",IF($G$15=1,50,(_xlfn.RANK.AVG(I267,$I$19:$I$1518,1)-1)/($G$15-1)*100))</f>
        <v/>
      </c>
      <c r="M267" s="11">
        <f>IF(COUNT(J267:L267)=3,ROUND(AVERAGE(J267:L267),6),"")</f>
        <v/>
      </c>
      <c r="O267">
        <f>IF(AND(ISNUMBER('자료_미국심리'!$A251),ISNUMBER('자료_미국심리'!$B251)),'자료_미국심리'!$A251,"")</f>
        <v/>
      </c>
      <c r="P267">
        <f>IF(AND(ISNUMBER('자료_미국심리'!$D251),ISNUMBER('자료_미국심리'!$E251)),'자료_미국심리'!$D251,"")</f>
        <v/>
      </c>
      <c r="Q267">
        <f>IF(AND(ISNUMBER('자료_미국심리'!$G251),ISNUMBER('자료_미국심리'!$H251)),'자료_미국심리'!$G251,"")</f>
        <v/>
      </c>
    </row>
    <row r="268">
      <c r="A268" s="10">
        <f>IF(250&gt;$E$5,"",SMALL($O$19:$O$4018,$E$6+250))</f>
        <v/>
      </c>
      <c r="B268" s="29">
        <f>IF(A268="","",INDEX('자료_미국심리'!$B$3:$B$4002,MATCH(A268,$O$19:$O$4018,0)))</f>
        <v/>
      </c>
      <c r="C268" s="22">
        <f>IF(A268="","",B268/AVERAGE(B144:B268)-1)</f>
        <v/>
      </c>
      <c r="D268" s="29">
        <f>IF(A268="","",IFERROR(INDEX('자료_미국심리'!$E$3:$E$4002,MATCH(A268,$P$19:$P$4018,0)),D267))</f>
        <v/>
      </c>
      <c r="E268" s="29">
        <f>IF(A268="","",IFERROR(INDEX('자료_미국심리'!$H$3:$H$4002,MATCH(A268,$Q$19:$Q$4018,0)),E267))</f>
        <v/>
      </c>
      <c r="F268">
        <f>IF(A268="",0,IF(A268&gt;$B$5,1,0))</f>
        <v/>
      </c>
      <c r="G268" s="29">
        <f>IF(AND(F268=1,ISNUMBER(D268)),D268,"")</f>
        <v/>
      </c>
      <c r="H268" s="29">
        <f>IF(AND(F268=1,ISNUMBER(E268)),E268,"")</f>
        <v/>
      </c>
      <c r="I268" s="22">
        <f>IF(AND(F268=1,ISNUMBER(C268)),C268,"")</f>
        <v/>
      </c>
      <c r="J268" s="11">
        <f>IF(G268="","",100-IF($G$13=1,50,(_xlfn.RANK.AVG(G268,$G$19:$G$1518,1)-1)/($G$13-1)*100))</f>
        <v/>
      </c>
      <c r="K268" s="11">
        <f>IF(H268="","",100-IF($G$14=1,50,(_xlfn.RANK.AVG(H268,$H$19:$H$1518,1)-1)/($G$14-1)*100))</f>
        <v/>
      </c>
      <c r="L268" s="11">
        <f>IF(I268="","",IF($G$15=1,50,(_xlfn.RANK.AVG(I268,$I$19:$I$1518,1)-1)/($G$15-1)*100))</f>
        <v/>
      </c>
      <c r="M268" s="11">
        <f>IF(COUNT(J268:L268)=3,ROUND(AVERAGE(J268:L268),6),"")</f>
        <v/>
      </c>
      <c r="O268">
        <f>IF(AND(ISNUMBER('자료_미국심리'!$A252),ISNUMBER('자료_미국심리'!$B252)),'자료_미국심리'!$A252,"")</f>
        <v/>
      </c>
      <c r="P268">
        <f>IF(AND(ISNUMBER('자료_미국심리'!$D252),ISNUMBER('자료_미국심리'!$E252)),'자료_미국심리'!$D252,"")</f>
        <v/>
      </c>
      <c r="Q268">
        <f>IF(AND(ISNUMBER('자료_미국심리'!$G252),ISNUMBER('자료_미국심리'!$H252)),'자료_미국심리'!$G252,"")</f>
        <v/>
      </c>
    </row>
    <row r="269">
      <c r="A269" s="10">
        <f>IF(251&gt;$E$5,"",SMALL($O$19:$O$4018,$E$6+251))</f>
        <v/>
      </c>
      <c r="B269" s="29">
        <f>IF(A269="","",INDEX('자료_미국심리'!$B$3:$B$4002,MATCH(A269,$O$19:$O$4018,0)))</f>
        <v/>
      </c>
      <c r="C269" s="22">
        <f>IF(A269="","",B269/AVERAGE(B145:B269)-1)</f>
        <v/>
      </c>
      <c r="D269" s="29">
        <f>IF(A269="","",IFERROR(INDEX('자료_미국심리'!$E$3:$E$4002,MATCH(A269,$P$19:$P$4018,0)),D268))</f>
        <v/>
      </c>
      <c r="E269" s="29">
        <f>IF(A269="","",IFERROR(INDEX('자료_미국심리'!$H$3:$H$4002,MATCH(A269,$Q$19:$Q$4018,0)),E268))</f>
        <v/>
      </c>
      <c r="F269">
        <f>IF(A269="",0,IF(A269&gt;$B$5,1,0))</f>
        <v/>
      </c>
      <c r="G269" s="29">
        <f>IF(AND(F269=1,ISNUMBER(D269)),D269,"")</f>
        <v/>
      </c>
      <c r="H269" s="29">
        <f>IF(AND(F269=1,ISNUMBER(E269)),E269,"")</f>
        <v/>
      </c>
      <c r="I269" s="22">
        <f>IF(AND(F269=1,ISNUMBER(C269)),C269,"")</f>
        <v/>
      </c>
      <c r="J269" s="11">
        <f>IF(G269="","",100-IF($G$13=1,50,(_xlfn.RANK.AVG(G269,$G$19:$G$1518,1)-1)/($G$13-1)*100))</f>
        <v/>
      </c>
      <c r="K269" s="11">
        <f>IF(H269="","",100-IF($G$14=1,50,(_xlfn.RANK.AVG(H269,$H$19:$H$1518,1)-1)/($G$14-1)*100))</f>
        <v/>
      </c>
      <c r="L269" s="11">
        <f>IF(I269="","",IF($G$15=1,50,(_xlfn.RANK.AVG(I269,$I$19:$I$1518,1)-1)/($G$15-1)*100))</f>
        <v/>
      </c>
      <c r="M269" s="11">
        <f>IF(COUNT(J269:L269)=3,ROUND(AVERAGE(J269:L269),6),"")</f>
        <v/>
      </c>
      <c r="O269">
        <f>IF(AND(ISNUMBER('자료_미국심리'!$A253),ISNUMBER('자료_미국심리'!$B253)),'자료_미국심리'!$A253,"")</f>
        <v/>
      </c>
      <c r="P269">
        <f>IF(AND(ISNUMBER('자료_미국심리'!$D253),ISNUMBER('자료_미국심리'!$E253)),'자료_미국심리'!$D253,"")</f>
        <v/>
      </c>
      <c r="Q269">
        <f>IF(AND(ISNUMBER('자료_미국심리'!$G253),ISNUMBER('자료_미국심리'!$H253)),'자료_미국심리'!$G253,"")</f>
        <v/>
      </c>
    </row>
    <row r="270">
      <c r="A270" s="10">
        <f>IF(252&gt;$E$5,"",SMALL($O$19:$O$4018,$E$6+252))</f>
        <v/>
      </c>
      <c r="B270" s="29">
        <f>IF(A270="","",INDEX('자료_미국심리'!$B$3:$B$4002,MATCH(A270,$O$19:$O$4018,0)))</f>
        <v/>
      </c>
      <c r="C270" s="22">
        <f>IF(A270="","",B270/AVERAGE(B146:B270)-1)</f>
        <v/>
      </c>
      <c r="D270" s="29">
        <f>IF(A270="","",IFERROR(INDEX('자료_미국심리'!$E$3:$E$4002,MATCH(A270,$P$19:$P$4018,0)),D269))</f>
        <v/>
      </c>
      <c r="E270" s="29">
        <f>IF(A270="","",IFERROR(INDEX('자료_미국심리'!$H$3:$H$4002,MATCH(A270,$Q$19:$Q$4018,0)),E269))</f>
        <v/>
      </c>
      <c r="F270">
        <f>IF(A270="",0,IF(A270&gt;$B$5,1,0))</f>
        <v/>
      </c>
      <c r="G270" s="29">
        <f>IF(AND(F270=1,ISNUMBER(D270)),D270,"")</f>
        <v/>
      </c>
      <c r="H270" s="29">
        <f>IF(AND(F270=1,ISNUMBER(E270)),E270,"")</f>
        <v/>
      </c>
      <c r="I270" s="22">
        <f>IF(AND(F270=1,ISNUMBER(C270)),C270,"")</f>
        <v/>
      </c>
      <c r="J270" s="11">
        <f>IF(G270="","",100-IF($G$13=1,50,(_xlfn.RANK.AVG(G270,$G$19:$G$1518,1)-1)/($G$13-1)*100))</f>
        <v/>
      </c>
      <c r="K270" s="11">
        <f>IF(H270="","",100-IF($G$14=1,50,(_xlfn.RANK.AVG(H270,$H$19:$H$1518,1)-1)/($G$14-1)*100))</f>
        <v/>
      </c>
      <c r="L270" s="11">
        <f>IF(I270="","",IF($G$15=1,50,(_xlfn.RANK.AVG(I270,$I$19:$I$1518,1)-1)/($G$15-1)*100))</f>
        <v/>
      </c>
      <c r="M270" s="11">
        <f>IF(COUNT(J270:L270)=3,ROUND(AVERAGE(J270:L270),6),"")</f>
        <v/>
      </c>
      <c r="O270">
        <f>IF(AND(ISNUMBER('자료_미국심리'!$A254),ISNUMBER('자료_미국심리'!$B254)),'자료_미국심리'!$A254,"")</f>
        <v/>
      </c>
      <c r="P270">
        <f>IF(AND(ISNUMBER('자료_미국심리'!$D254),ISNUMBER('자료_미국심리'!$E254)),'자료_미국심리'!$D254,"")</f>
        <v/>
      </c>
      <c r="Q270">
        <f>IF(AND(ISNUMBER('자료_미국심리'!$G254),ISNUMBER('자료_미국심리'!$H254)),'자료_미국심리'!$G254,"")</f>
        <v/>
      </c>
    </row>
    <row r="271">
      <c r="A271" s="10">
        <f>IF(253&gt;$E$5,"",SMALL($O$19:$O$4018,$E$6+253))</f>
        <v/>
      </c>
      <c r="B271" s="29">
        <f>IF(A271="","",INDEX('자료_미국심리'!$B$3:$B$4002,MATCH(A271,$O$19:$O$4018,0)))</f>
        <v/>
      </c>
      <c r="C271" s="22">
        <f>IF(A271="","",B271/AVERAGE(B147:B271)-1)</f>
        <v/>
      </c>
      <c r="D271" s="29">
        <f>IF(A271="","",IFERROR(INDEX('자료_미국심리'!$E$3:$E$4002,MATCH(A271,$P$19:$P$4018,0)),D270))</f>
        <v/>
      </c>
      <c r="E271" s="29">
        <f>IF(A271="","",IFERROR(INDEX('자료_미국심리'!$H$3:$H$4002,MATCH(A271,$Q$19:$Q$4018,0)),E270))</f>
        <v/>
      </c>
      <c r="F271">
        <f>IF(A271="",0,IF(A271&gt;$B$5,1,0))</f>
        <v/>
      </c>
      <c r="G271" s="29">
        <f>IF(AND(F271=1,ISNUMBER(D271)),D271,"")</f>
        <v/>
      </c>
      <c r="H271" s="29">
        <f>IF(AND(F271=1,ISNUMBER(E271)),E271,"")</f>
        <v/>
      </c>
      <c r="I271" s="22">
        <f>IF(AND(F271=1,ISNUMBER(C271)),C271,"")</f>
        <v/>
      </c>
      <c r="J271" s="11">
        <f>IF(G271="","",100-IF($G$13=1,50,(_xlfn.RANK.AVG(G271,$G$19:$G$1518,1)-1)/($G$13-1)*100))</f>
        <v/>
      </c>
      <c r="K271" s="11">
        <f>IF(H271="","",100-IF($G$14=1,50,(_xlfn.RANK.AVG(H271,$H$19:$H$1518,1)-1)/($G$14-1)*100))</f>
        <v/>
      </c>
      <c r="L271" s="11">
        <f>IF(I271="","",IF($G$15=1,50,(_xlfn.RANK.AVG(I271,$I$19:$I$1518,1)-1)/($G$15-1)*100))</f>
        <v/>
      </c>
      <c r="M271" s="11">
        <f>IF(COUNT(J271:L271)=3,ROUND(AVERAGE(J271:L271),6),"")</f>
        <v/>
      </c>
      <c r="O271">
        <f>IF(AND(ISNUMBER('자료_미국심리'!$A255),ISNUMBER('자료_미국심리'!$B255)),'자료_미국심리'!$A255,"")</f>
        <v/>
      </c>
      <c r="P271">
        <f>IF(AND(ISNUMBER('자료_미국심리'!$D255),ISNUMBER('자료_미국심리'!$E255)),'자료_미국심리'!$D255,"")</f>
        <v/>
      </c>
      <c r="Q271">
        <f>IF(AND(ISNUMBER('자료_미국심리'!$G255),ISNUMBER('자료_미국심리'!$H255)),'자료_미국심리'!$G255,"")</f>
        <v/>
      </c>
    </row>
    <row r="272">
      <c r="A272" s="10">
        <f>IF(254&gt;$E$5,"",SMALL($O$19:$O$4018,$E$6+254))</f>
        <v/>
      </c>
      <c r="B272" s="29">
        <f>IF(A272="","",INDEX('자료_미국심리'!$B$3:$B$4002,MATCH(A272,$O$19:$O$4018,0)))</f>
        <v/>
      </c>
      <c r="C272" s="22">
        <f>IF(A272="","",B272/AVERAGE(B148:B272)-1)</f>
        <v/>
      </c>
      <c r="D272" s="29">
        <f>IF(A272="","",IFERROR(INDEX('자료_미국심리'!$E$3:$E$4002,MATCH(A272,$P$19:$P$4018,0)),D271))</f>
        <v/>
      </c>
      <c r="E272" s="29">
        <f>IF(A272="","",IFERROR(INDEX('자료_미국심리'!$H$3:$H$4002,MATCH(A272,$Q$19:$Q$4018,0)),E271))</f>
        <v/>
      </c>
      <c r="F272">
        <f>IF(A272="",0,IF(A272&gt;$B$5,1,0))</f>
        <v/>
      </c>
      <c r="G272" s="29">
        <f>IF(AND(F272=1,ISNUMBER(D272)),D272,"")</f>
        <v/>
      </c>
      <c r="H272" s="29">
        <f>IF(AND(F272=1,ISNUMBER(E272)),E272,"")</f>
        <v/>
      </c>
      <c r="I272" s="22">
        <f>IF(AND(F272=1,ISNUMBER(C272)),C272,"")</f>
        <v/>
      </c>
      <c r="J272" s="11">
        <f>IF(G272="","",100-IF($G$13=1,50,(_xlfn.RANK.AVG(G272,$G$19:$G$1518,1)-1)/($G$13-1)*100))</f>
        <v/>
      </c>
      <c r="K272" s="11">
        <f>IF(H272="","",100-IF($G$14=1,50,(_xlfn.RANK.AVG(H272,$H$19:$H$1518,1)-1)/($G$14-1)*100))</f>
        <v/>
      </c>
      <c r="L272" s="11">
        <f>IF(I272="","",IF($G$15=1,50,(_xlfn.RANK.AVG(I272,$I$19:$I$1518,1)-1)/($G$15-1)*100))</f>
        <v/>
      </c>
      <c r="M272" s="11">
        <f>IF(COUNT(J272:L272)=3,ROUND(AVERAGE(J272:L272),6),"")</f>
        <v/>
      </c>
      <c r="O272">
        <f>IF(AND(ISNUMBER('자료_미국심리'!$A256),ISNUMBER('자료_미국심리'!$B256)),'자료_미국심리'!$A256,"")</f>
        <v/>
      </c>
      <c r="P272">
        <f>IF(AND(ISNUMBER('자료_미국심리'!$D256),ISNUMBER('자료_미국심리'!$E256)),'자료_미국심리'!$D256,"")</f>
        <v/>
      </c>
      <c r="Q272">
        <f>IF(AND(ISNUMBER('자료_미국심리'!$G256),ISNUMBER('자료_미국심리'!$H256)),'자료_미국심리'!$G256,"")</f>
        <v/>
      </c>
    </row>
    <row r="273">
      <c r="A273" s="10">
        <f>IF(255&gt;$E$5,"",SMALL($O$19:$O$4018,$E$6+255))</f>
        <v/>
      </c>
      <c r="B273" s="29">
        <f>IF(A273="","",INDEX('자료_미국심리'!$B$3:$B$4002,MATCH(A273,$O$19:$O$4018,0)))</f>
        <v/>
      </c>
      <c r="C273" s="22">
        <f>IF(A273="","",B273/AVERAGE(B149:B273)-1)</f>
        <v/>
      </c>
      <c r="D273" s="29">
        <f>IF(A273="","",IFERROR(INDEX('자료_미국심리'!$E$3:$E$4002,MATCH(A273,$P$19:$P$4018,0)),D272))</f>
        <v/>
      </c>
      <c r="E273" s="29">
        <f>IF(A273="","",IFERROR(INDEX('자료_미국심리'!$H$3:$H$4002,MATCH(A273,$Q$19:$Q$4018,0)),E272))</f>
        <v/>
      </c>
      <c r="F273">
        <f>IF(A273="",0,IF(A273&gt;$B$5,1,0))</f>
        <v/>
      </c>
      <c r="G273" s="29">
        <f>IF(AND(F273=1,ISNUMBER(D273)),D273,"")</f>
        <v/>
      </c>
      <c r="H273" s="29">
        <f>IF(AND(F273=1,ISNUMBER(E273)),E273,"")</f>
        <v/>
      </c>
      <c r="I273" s="22">
        <f>IF(AND(F273=1,ISNUMBER(C273)),C273,"")</f>
        <v/>
      </c>
      <c r="J273" s="11">
        <f>IF(G273="","",100-IF($G$13=1,50,(_xlfn.RANK.AVG(G273,$G$19:$G$1518,1)-1)/($G$13-1)*100))</f>
        <v/>
      </c>
      <c r="K273" s="11">
        <f>IF(H273="","",100-IF($G$14=1,50,(_xlfn.RANK.AVG(H273,$H$19:$H$1518,1)-1)/($G$14-1)*100))</f>
        <v/>
      </c>
      <c r="L273" s="11">
        <f>IF(I273="","",IF($G$15=1,50,(_xlfn.RANK.AVG(I273,$I$19:$I$1518,1)-1)/($G$15-1)*100))</f>
        <v/>
      </c>
      <c r="M273" s="11">
        <f>IF(COUNT(J273:L273)=3,ROUND(AVERAGE(J273:L273),6),"")</f>
        <v/>
      </c>
      <c r="O273">
        <f>IF(AND(ISNUMBER('자료_미국심리'!$A257),ISNUMBER('자료_미국심리'!$B257)),'자료_미국심리'!$A257,"")</f>
        <v/>
      </c>
      <c r="P273">
        <f>IF(AND(ISNUMBER('자료_미국심리'!$D257),ISNUMBER('자료_미국심리'!$E257)),'자료_미국심리'!$D257,"")</f>
        <v/>
      </c>
      <c r="Q273">
        <f>IF(AND(ISNUMBER('자료_미국심리'!$G257),ISNUMBER('자료_미국심리'!$H257)),'자료_미국심리'!$G257,"")</f>
        <v/>
      </c>
    </row>
    <row r="274">
      <c r="A274" s="10">
        <f>IF(256&gt;$E$5,"",SMALL($O$19:$O$4018,$E$6+256))</f>
        <v/>
      </c>
      <c r="B274" s="29">
        <f>IF(A274="","",INDEX('자료_미국심리'!$B$3:$B$4002,MATCH(A274,$O$19:$O$4018,0)))</f>
        <v/>
      </c>
      <c r="C274" s="22">
        <f>IF(A274="","",B274/AVERAGE(B150:B274)-1)</f>
        <v/>
      </c>
      <c r="D274" s="29">
        <f>IF(A274="","",IFERROR(INDEX('자료_미국심리'!$E$3:$E$4002,MATCH(A274,$P$19:$P$4018,0)),D273))</f>
        <v/>
      </c>
      <c r="E274" s="29">
        <f>IF(A274="","",IFERROR(INDEX('자료_미국심리'!$H$3:$H$4002,MATCH(A274,$Q$19:$Q$4018,0)),E273))</f>
        <v/>
      </c>
      <c r="F274">
        <f>IF(A274="",0,IF(A274&gt;$B$5,1,0))</f>
        <v/>
      </c>
      <c r="G274" s="29">
        <f>IF(AND(F274=1,ISNUMBER(D274)),D274,"")</f>
        <v/>
      </c>
      <c r="H274" s="29">
        <f>IF(AND(F274=1,ISNUMBER(E274)),E274,"")</f>
        <v/>
      </c>
      <c r="I274" s="22">
        <f>IF(AND(F274=1,ISNUMBER(C274)),C274,"")</f>
        <v/>
      </c>
      <c r="J274" s="11">
        <f>IF(G274="","",100-IF($G$13=1,50,(_xlfn.RANK.AVG(G274,$G$19:$G$1518,1)-1)/($G$13-1)*100))</f>
        <v/>
      </c>
      <c r="K274" s="11">
        <f>IF(H274="","",100-IF($G$14=1,50,(_xlfn.RANK.AVG(H274,$H$19:$H$1518,1)-1)/($G$14-1)*100))</f>
        <v/>
      </c>
      <c r="L274" s="11">
        <f>IF(I274="","",IF($G$15=1,50,(_xlfn.RANK.AVG(I274,$I$19:$I$1518,1)-1)/($G$15-1)*100))</f>
        <v/>
      </c>
      <c r="M274" s="11">
        <f>IF(COUNT(J274:L274)=3,ROUND(AVERAGE(J274:L274),6),"")</f>
        <v/>
      </c>
      <c r="O274">
        <f>IF(AND(ISNUMBER('자료_미국심리'!$A258),ISNUMBER('자료_미국심리'!$B258)),'자료_미국심리'!$A258,"")</f>
        <v/>
      </c>
      <c r="P274">
        <f>IF(AND(ISNUMBER('자료_미국심리'!$D258),ISNUMBER('자료_미국심리'!$E258)),'자료_미국심리'!$D258,"")</f>
        <v/>
      </c>
      <c r="Q274">
        <f>IF(AND(ISNUMBER('자료_미국심리'!$G258),ISNUMBER('자료_미국심리'!$H258)),'자료_미국심리'!$G258,"")</f>
        <v/>
      </c>
    </row>
    <row r="275">
      <c r="A275" s="10">
        <f>IF(257&gt;$E$5,"",SMALL($O$19:$O$4018,$E$6+257))</f>
        <v/>
      </c>
      <c r="B275" s="29">
        <f>IF(A275="","",INDEX('자료_미국심리'!$B$3:$B$4002,MATCH(A275,$O$19:$O$4018,0)))</f>
        <v/>
      </c>
      <c r="C275" s="22">
        <f>IF(A275="","",B275/AVERAGE(B151:B275)-1)</f>
        <v/>
      </c>
      <c r="D275" s="29">
        <f>IF(A275="","",IFERROR(INDEX('자료_미국심리'!$E$3:$E$4002,MATCH(A275,$P$19:$P$4018,0)),D274))</f>
        <v/>
      </c>
      <c r="E275" s="29">
        <f>IF(A275="","",IFERROR(INDEX('자료_미국심리'!$H$3:$H$4002,MATCH(A275,$Q$19:$Q$4018,0)),E274))</f>
        <v/>
      </c>
      <c r="F275">
        <f>IF(A275="",0,IF(A275&gt;$B$5,1,0))</f>
        <v/>
      </c>
      <c r="G275" s="29">
        <f>IF(AND(F275=1,ISNUMBER(D275)),D275,"")</f>
        <v/>
      </c>
      <c r="H275" s="29">
        <f>IF(AND(F275=1,ISNUMBER(E275)),E275,"")</f>
        <v/>
      </c>
      <c r="I275" s="22">
        <f>IF(AND(F275=1,ISNUMBER(C275)),C275,"")</f>
        <v/>
      </c>
      <c r="J275" s="11">
        <f>IF(G275="","",100-IF($G$13=1,50,(_xlfn.RANK.AVG(G275,$G$19:$G$1518,1)-1)/($G$13-1)*100))</f>
        <v/>
      </c>
      <c r="K275" s="11">
        <f>IF(H275="","",100-IF($G$14=1,50,(_xlfn.RANK.AVG(H275,$H$19:$H$1518,1)-1)/($G$14-1)*100))</f>
        <v/>
      </c>
      <c r="L275" s="11">
        <f>IF(I275="","",IF($G$15=1,50,(_xlfn.RANK.AVG(I275,$I$19:$I$1518,1)-1)/($G$15-1)*100))</f>
        <v/>
      </c>
      <c r="M275" s="11">
        <f>IF(COUNT(J275:L275)=3,ROUND(AVERAGE(J275:L275),6),"")</f>
        <v/>
      </c>
      <c r="O275">
        <f>IF(AND(ISNUMBER('자료_미국심리'!$A259),ISNUMBER('자료_미국심리'!$B259)),'자료_미국심리'!$A259,"")</f>
        <v/>
      </c>
      <c r="P275">
        <f>IF(AND(ISNUMBER('자료_미국심리'!$D259),ISNUMBER('자료_미국심리'!$E259)),'자료_미국심리'!$D259,"")</f>
        <v/>
      </c>
      <c r="Q275">
        <f>IF(AND(ISNUMBER('자료_미국심리'!$G259),ISNUMBER('자료_미국심리'!$H259)),'자료_미국심리'!$G259,"")</f>
        <v/>
      </c>
    </row>
    <row r="276">
      <c r="A276" s="10">
        <f>IF(258&gt;$E$5,"",SMALL($O$19:$O$4018,$E$6+258))</f>
        <v/>
      </c>
      <c r="B276" s="29">
        <f>IF(A276="","",INDEX('자료_미국심리'!$B$3:$B$4002,MATCH(A276,$O$19:$O$4018,0)))</f>
        <v/>
      </c>
      <c r="C276" s="22">
        <f>IF(A276="","",B276/AVERAGE(B152:B276)-1)</f>
        <v/>
      </c>
      <c r="D276" s="29">
        <f>IF(A276="","",IFERROR(INDEX('자료_미국심리'!$E$3:$E$4002,MATCH(A276,$P$19:$P$4018,0)),D275))</f>
        <v/>
      </c>
      <c r="E276" s="29">
        <f>IF(A276="","",IFERROR(INDEX('자료_미국심리'!$H$3:$H$4002,MATCH(A276,$Q$19:$Q$4018,0)),E275))</f>
        <v/>
      </c>
      <c r="F276">
        <f>IF(A276="",0,IF(A276&gt;$B$5,1,0))</f>
        <v/>
      </c>
      <c r="G276" s="29">
        <f>IF(AND(F276=1,ISNUMBER(D276)),D276,"")</f>
        <v/>
      </c>
      <c r="H276" s="29">
        <f>IF(AND(F276=1,ISNUMBER(E276)),E276,"")</f>
        <v/>
      </c>
      <c r="I276" s="22">
        <f>IF(AND(F276=1,ISNUMBER(C276)),C276,"")</f>
        <v/>
      </c>
      <c r="J276" s="11">
        <f>IF(G276="","",100-IF($G$13=1,50,(_xlfn.RANK.AVG(G276,$G$19:$G$1518,1)-1)/($G$13-1)*100))</f>
        <v/>
      </c>
      <c r="K276" s="11">
        <f>IF(H276="","",100-IF($G$14=1,50,(_xlfn.RANK.AVG(H276,$H$19:$H$1518,1)-1)/($G$14-1)*100))</f>
        <v/>
      </c>
      <c r="L276" s="11">
        <f>IF(I276="","",IF($G$15=1,50,(_xlfn.RANK.AVG(I276,$I$19:$I$1518,1)-1)/($G$15-1)*100))</f>
        <v/>
      </c>
      <c r="M276" s="11">
        <f>IF(COUNT(J276:L276)=3,ROUND(AVERAGE(J276:L276),6),"")</f>
        <v/>
      </c>
      <c r="O276">
        <f>IF(AND(ISNUMBER('자료_미국심리'!$A260),ISNUMBER('자료_미국심리'!$B260)),'자료_미국심리'!$A260,"")</f>
        <v/>
      </c>
      <c r="P276">
        <f>IF(AND(ISNUMBER('자료_미국심리'!$D260),ISNUMBER('자료_미국심리'!$E260)),'자료_미국심리'!$D260,"")</f>
        <v/>
      </c>
      <c r="Q276">
        <f>IF(AND(ISNUMBER('자료_미국심리'!$G260),ISNUMBER('자료_미국심리'!$H260)),'자료_미국심리'!$G260,"")</f>
        <v/>
      </c>
    </row>
    <row r="277">
      <c r="A277" s="10">
        <f>IF(259&gt;$E$5,"",SMALL($O$19:$O$4018,$E$6+259))</f>
        <v/>
      </c>
      <c r="B277" s="29">
        <f>IF(A277="","",INDEX('자료_미국심리'!$B$3:$B$4002,MATCH(A277,$O$19:$O$4018,0)))</f>
        <v/>
      </c>
      <c r="C277" s="22">
        <f>IF(A277="","",B277/AVERAGE(B153:B277)-1)</f>
        <v/>
      </c>
      <c r="D277" s="29">
        <f>IF(A277="","",IFERROR(INDEX('자료_미국심리'!$E$3:$E$4002,MATCH(A277,$P$19:$P$4018,0)),D276))</f>
        <v/>
      </c>
      <c r="E277" s="29">
        <f>IF(A277="","",IFERROR(INDEX('자료_미국심리'!$H$3:$H$4002,MATCH(A277,$Q$19:$Q$4018,0)),E276))</f>
        <v/>
      </c>
      <c r="F277">
        <f>IF(A277="",0,IF(A277&gt;$B$5,1,0))</f>
        <v/>
      </c>
      <c r="G277" s="29">
        <f>IF(AND(F277=1,ISNUMBER(D277)),D277,"")</f>
        <v/>
      </c>
      <c r="H277" s="29">
        <f>IF(AND(F277=1,ISNUMBER(E277)),E277,"")</f>
        <v/>
      </c>
      <c r="I277" s="22">
        <f>IF(AND(F277=1,ISNUMBER(C277)),C277,"")</f>
        <v/>
      </c>
      <c r="J277" s="11">
        <f>IF(G277="","",100-IF($G$13=1,50,(_xlfn.RANK.AVG(G277,$G$19:$G$1518,1)-1)/($G$13-1)*100))</f>
        <v/>
      </c>
      <c r="K277" s="11">
        <f>IF(H277="","",100-IF($G$14=1,50,(_xlfn.RANK.AVG(H277,$H$19:$H$1518,1)-1)/($G$14-1)*100))</f>
        <v/>
      </c>
      <c r="L277" s="11">
        <f>IF(I277="","",IF($G$15=1,50,(_xlfn.RANK.AVG(I277,$I$19:$I$1518,1)-1)/($G$15-1)*100))</f>
        <v/>
      </c>
      <c r="M277" s="11">
        <f>IF(COUNT(J277:L277)=3,ROUND(AVERAGE(J277:L277),6),"")</f>
        <v/>
      </c>
      <c r="O277">
        <f>IF(AND(ISNUMBER('자료_미국심리'!$A261),ISNUMBER('자료_미국심리'!$B261)),'자료_미국심리'!$A261,"")</f>
        <v/>
      </c>
      <c r="P277">
        <f>IF(AND(ISNUMBER('자료_미국심리'!$D261),ISNUMBER('자료_미국심리'!$E261)),'자료_미국심리'!$D261,"")</f>
        <v/>
      </c>
      <c r="Q277">
        <f>IF(AND(ISNUMBER('자료_미국심리'!$G261),ISNUMBER('자료_미국심리'!$H261)),'자료_미국심리'!$G261,"")</f>
        <v/>
      </c>
    </row>
    <row r="278">
      <c r="A278" s="10">
        <f>IF(260&gt;$E$5,"",SMALL($O$19:$O$4018,$E$6+260))</f>
        <v/>
      </c>
      <c r="B278" s="29">
        <f>IF(A278="","",INDEX('자료_미국심리'!$B$3:$B$4002,MATCH(A278,$O$19:$O$4018,0)))</f>
        <v/>
      </c>
      <c r="C278" s="22">
        <f>IF(A278="","",B278/AVERAGE(B154:B278)-1)</f>
        <v/>
      </c>
      <c r="D278" s="29">
        <f>IF(A278="","",IFERROR(INDEX('자료_미국심리'!$E$3:$E$4002,MATCH(A278,$P$19:$P$4018,0)),D277))</f>
        <v/>
      </c>
      <c r="E278" s="29">
        <f>IF(A278="","",IFERROR(INDEX('자료_미국심리'!$H$3:$H$4002,MATCH(A278,$Q$19:$Q$4018,0)),E277))</f>
        <v/>
      </c>
      <c r="F278">
        <f>IF(A278="",0,IF(A278&gt;$B$5,1,0))</f>
        <v/>
      </c>
      <c r="G278" s="29">
        <f>IF(AND(F278=1,ISNUMBER(D278)),D278,"")</f>
        <v/>
      </c>
      <c r="H278" s="29">
        <f>IF(AND(F278=1,ISNUMBER(E278)),E278,"")</f>
        <v/>
      </c>
      <c r="I278" s="22">
        <f>IF(AND(F278=1,ISNUMBER(C278)),C278,"")</f>
        <v/>
      </c>
      <c r="J278" s="11">
        <f>IF(G278="","",100-IF($G$13=1,50,(_xlfn.RANK.AVG(G278,$G$19:$G$1518,1)-1)/($G$13-1)*100))</f>
        <v/>
      </c>
      <c r="K278" s="11">
        <f>IF(H278="","",100-IF($G$14=1,50,(_xlfn.RANK.AVG(H278,$H$19:$H$1518,1)-1)/($G$14-1)*100))</f>
        <v/>
      </c>
      <c r="L278" s="11">
        <f>IF(I278="","",IF($G$15=1,50,(_xlfn.RANK.AVG(I278,$I$19:$I$1518,1)-1)/($G$15-1)*100))</f>
        <v/>
      </c>
      <c r="M278" s="11">
        <f>IF(COUNT(J278:L278)=3,ROUND(AVERAGE(J278:L278),6),"")</f>
        <v/>
      </c>
      <c r="O278">
        <f>IF(AND(ISNUMBER('자료_미국심리'!$A262),ISNUMBER('자료_미국심리'!$B262)),'자료_미국심리'!$A262,"")</f>
        <v/>
      </c>
      <c r="P278">
        <f>IF(AND(ISNUMBER('자료_미국심리'!$D262),ISNUMBER('자료_미국심리'!$E262)),'자료_미국심리'!$D262,"")</f>
        <v/>
      </c>
      <c r="Q278">
        <f>IF(AND(ISNUMBER('자료_미국심리'!$G262),ISNUMBER('자료_미국심리'!$H262)),'자료_미국심리'!$G262,"")</f>
        <v/>
      </c>
    </row>
    <row r="279">
      <c r="A279" s="10">
        <f>IF(261&gt;$E$5,"",SMALL($O$19:$O$4018,$E$6+261))</f>
        <v/>
      </c>
      <c r="B279" s="29">
        <f>IF(A279="","",INDEX('자료_미국심리'!$B$3:$B$4002,MATCH(A279,$O$19:$O$4018,0)))</f>
        <v/>
      </c>
      <c r="C279" s="22">
        <f>IF(A279="","",B279/AVERAGE(B155:B279)-1)</f>
        <v/>
      </c>
      <c r="D279" s="29">
        <f>IF(A279="","",IFERROR(INDEX('자료_미국심리'!$E$3:$E$4002,MATCH(A279,$P$19:$P$4018,0)),D278))</f>
        <v/>
      </c>
      <c r="E279" s="29">
        <f>IF(A279="","",IFERROR(INDEX('자료_미국심리'!$H$3:$H$4002,MATCH(A279,$Q$19:$Q$4018,0)),E278))</f>
        <v/>
      </c>
      <c r="F279">
        <f>IF(A279="",0,IF(A279&gt;$B$5,1,0))</f>
        <v/>
      </c>
      <c r="G279" s="29">
        <f>IF(AND(F279=1,ISNUMBER(D279)),D279,"")</f>
        <v/>
      </c>
      <c r="H279" s="29">
        <f>IF(AND(F279=1,ISNUMBER(E279)),E279,"")</f>
        <v/>
      </c>
      <c r="I279" s="22">
        <f>IF(AND(F279=1,ISNUMBER(C279)),C279,"")</f>
        <v/>
      </c>
      <c r="J279" s="11">
        <f>IF(G279="","",100-IF($G$13=1,50,(_xlfn.RANK.AVG(G279,$G$19:$G$1518,1)-1)/($G$13-1)*100))</f>
        <v/>
      </c>
      <c r="K279" s="11">
        <f>IF(H279="","",100-IF($G$14=1,50,(_xlfn.RANK.AVG(H279,$H$19:$H$1518,1)-1)/($G$14-1)*100))</f>
        <v/>
      </c>
      <c r="L279" s="11">
        <f>IF(I279="","",IF($G$15=1,50,(_xlfn.RANK.AVG(I279,$I$19:$I$1518,1)-1)/($G$15-1)*100))</f>
        <v/>
      </c>
      <c r="M279" s="11">
        <f>IF(COUNT(J279:L279)=3,ROUND(AVERAGE(J279:L279),6),"")</f>
        <v/>
      </c>
      <c r="O279">
        <f>IF(AND(ISNUMBER('자료_미국심리'!$A263),ISNUMBER('자료_미국심리'!$B263)),'자료_미국심리'!$A263,"")</f>
        <v/>
      </c>
      <c r="P279">
        <f>IF(AND(ISNUMBER('자료_미국심리'!$D263),ISNUMBER('자료_미국심리'!$E263)),'자료_미국심리'!$D263,"")</f>
        <v/>
      </c>
      <c r="Q279">
        <f>IF(AND(ISNUMBER('자료_미국심리'!$G263),ISNUMBER('자료_미국심리'!$H263)),'자료_미국심리'!$G263,"")</f>
        <v/>
      </c>
    </row>
    <row r="280">
      <c r="A280" s="10">
        <f>IF(262&gt;$E$5,"",SMALL($O$19:$O$4018,$E$6+262))</f>
        <v/>
      </c>
      <c r="B280" s="29">
        <f>IF(A280="","",INDEX('자료_미국심리'!$B$3:$B$4002,MATCH(A280,$O$19:$O$4018,0)))</f>
        <v/>
      </c>
      <c r="C280" s="22">
        <f>IF(A280="","",B280/AVERAGE(B156:B280)-1)</f>
        <v/>
      </c>
      <c r="D280" s="29">
        <f>IF(A280="","",IFERROR(INDEX('자료_미국심리'!$E$3:$E$4002,MATCH(A280,$P$19:$P$4018,0)),D279))</f>
        <v/>
      </c>
      <c r="E280" s="29">
        <f>IF(A280="","",IFERROR(INDEX('자료_미국심리'!$H$3:$H$4002,MATCH(A280,$Q$19:$Q$4018,0)),E279))</f>
        <v/>
      </c>
      <c r="F280">
        <f>IF(A280="",0,IF(A280&gt;$B$5,1,0))</f>
        <v/>
      </c>
      <c r="G280" s="29">
        <f>IF(AND(F280=1,ISNUMBER(D280)),D280,"")</f>
        <v/>
      </c>
      <c r="H280" s="29">
        <f>IF(AND(F280=1,ISNUMBER(E280)),E280,"")</f>
        <v/>
      </c>
      <c r="I280" s="22">
        <f>IF(AND(F280=1,ISNUMBER(C280)),C280,"")</f>
        <v/>
      </c>
      <c r="J280" s="11">
        <f>IF(G280="","",100-IF($G$13=1,50,(_xlfn.RANK.AVG(G280,$G$19:$G$1518,1)-1)/($G$13-1)*100))</f>
        <v/>
      </c>
      <c r="K280" s="11">
        <f>IF(H280="","",100-IF($G$14=1,50,(_xlfn.RANK.AVG(H280,$H$19:$H$1518,1)-1)/($G$14-1)*100))</f>
        <v/>
      </c>
      <c r="L280" s="11">
        <f>IF(I280="","",IF($G$15=1,50,(_xlfn.RANK.AVG(I280,$I$19:$I$1518,1)-1)/($G$15-1)*100))</f>
        <v/>
      </c>
      <c r="M280" s="11">
        <f>IF(COUNT(J280:L280)=3,ROUND(AVERAGE(J280:L280),6),"")</f>
        <v/>
      </c>
      <c r="O280">
        <f>IF(AND(ISNUMBER('자료_미국심리'!$A264),ISNUMBER('자료_미국심리'!$B264)),'자료_미국심리'!$A264,"")</f>
        <v/>
      </c>
      <c r="P280">
        <f>IF(AND(ISNUMBER('자료_미국심리'!$D264),ISNUMBER('자료_미국심리'!$E264)),'자료_미국심리'!$D264,"")</f>
        <v/>
      </c>
      <c r="Q280">
        <f>IF(AND(ISNUMBER('자료_미국심리'!$G264),ISNUMBER('자료_미국심리'!$H264)),'자료_미국심리'!$G264,"")</f>
        <v/>
      </c>
    </row>
    <row r="281">
      <c r="A281" s="10">
        <f>IF(263&gt;$E$5,"",SMALL($O$19:$O$4018,$E$6+263))</f>
        <v/>
      </c>
      <c r="B281" s="29">
        <f>IF(A281="","",INDEX('자료_미국심리'!$B$3:$B$4002,MATCH(A281,$O$19:$O$4018,0)))</f>
        <v/>
      </c>
      <c r="C281" s="22">
        <f>IF(A281="","",B281/AVERAGE(B157:B281)-1)</f>
        <v/>
      </c>
      <c r="D281" s="29">
        <f>IF(A281="","",IFERROR(INDEX('자료_미국심리'!$E$3:$E$4002,MATCH(A281,$P$19:$P$4018,0)),D280))</f>
        <v/>
      </c>
      <c r="E281" s="29">
        <f>IF(A281="","",IFERROR(INDEX('자료_미국심리'!$H$3:$H$4002,MATCH(A281,$Q$19:$Q$4018,0)),E280))</f>
        <v/>
      </c>
      <c r="F281">
        <f>IF(A281="",0,IF(A281&gt;$B$5,1,0))</f>
        <v/>
      </c>
      <c r="G281" s="29">
        <f>IF(AND(F281=1,ISNUMBER(D281)),D281,"")</f>
        <v/>
      </c>
      <c r="H281" s="29">
        <f>IF(AND(F281=1,ISNUMBER(E281)),E281,"")</f>
        <v/>
      </c>
      <c r="I281" s="22">
        <f>IF(AND(F281=1,ISNUMBER(C281)),C281,"")</f>
        <v/>
      </c>
      <c r="J281" s="11">
        <f>IF(G281="","",100-IF($G$13=1,50,(_xlfn.RANK.AVG(G281,$G$19:$G$1518,1)-1)/($G$13-1)*100))</f>
        <v/>
      </c>
      <c r="K281" s="11">
        <f>IF(H281="","",100-IF($G$14=1,50,(_xlfn.RANK.AVG(H281,$H$19:$H$1518,1)-1)/($G$14-1)*100))</f>
        <v/>
      </c>
      <c r="L281" s="11">
        <f>IF(I281="","",IF($G$15=1,50,(_xlfn.RANK.AVG(I281,$I$19:$I$1518,1)-1)/($G$15-1)*100))</f>
        <v/>
      </c>
      <c r="M281" s="11">
        <f>IF(COUNT(J281:L281)=3,ROUND(AVERAGE(J281:L281),6),"")</f>
        <v/>
      </c>
      <c r="O281">
        <f>IF(AND(ISNUMBER('자료_미국심리'!$A265),ISNUMBER('자료_미국심리'!$B265)),'자료_미국심리'!$A265,"")</f>
        <v/>
      </c>
      <c r="P281">
        <f>IF(AND(ISNUMBER('자료_미국심리'!$D265),ISNUMBER('자료_미국심리'!$E265)),'자료_미국심리'!$D265,"")</f>
        <v/>
      </c>
      <c r="Q281">
        <f>IF(AND(ISNUMBER('자료_미국심리'!$G265),ISNUMBER('자료_미국심리'!$H265)),'자료_미국심리'!$G265,"")</f>
        <v/>
      </c>
    </row>
    <row r="282">
      <c r="A282" s="10">
        <f>IF(264&gt;$E$5,"",SMALL($O$19:$O$4018,$E$6+264))</f>
        <v/>
      </c>
      <c r="B282" s="29">
        <f>IF(A282="","",INDEX('자료_미국심리'!$B$3:$B$4002,MATCH(A282,$O$19:$O$4018,0)))</f>
        <v/>
      </c>
      <c r="C282" s="22">
        <f>IF(A282="","",B282/AVERAGE(B158:B282)-1)</f>
        <v/>
      </c>
      <c r="D282" s="29">
        <f>IF(A282="","",IFERROR(INDEX('자료_미국심리'!$E$3:$E$4002,MATCH(A282,$P$19:$P$4018,0)),D281))</f>
        <v/>
      </c>
      <c r="E282" s="29">
        <f>IF(A282="","",IFERROR(INDEX('자료_미국심리'!$H$3:$H$4002,MATCH(A282,$Q$19:$Q$4018,0)),E281))</f>
        <v/>
      </c>
      <c r="F282">
        <f>IF(A282="",0,IF(A282&gt;$B$5,1,0))</f>
        <v/>
      </c>
      <c r="G282" s="29">
        <f>IF(AND(F282=1,ISNUMBER(D282)),D282,"")</f>
        <v/>
      </c>
      <c r="H282" s="29">
        <f>IF(AND(F282=1,ISNUMBER(E282)),E282,"")</f>
        <v/>
      </c>
      <c r="I282" s="22">
        <f>IF(AND(F282=1,ISNUMBER(C282)),C282,"")</f>
        <v/>
      </c>
      <c r="J282" s="11">
        <f>IF(G282="","",100-IF($G$13=1,50,(_xlfn.RANK.AVG(G282,$G$19:$G$1518,1)-1)/($G$13-1)*100))</f>
        <v/>
      </c>
      <c r="K282" s="11">
        <f>IF(H282="","",100-IF($G$14=1,50,(_xlfn.RANK.AVG(H282,$H$19:$H$1518,1)-1)/($G$14-1)*100))</f>
        <v/>
      </c>
      <c r="L282" s="11">
        <f>IF(I282="","",IF($G$15=1,50,(_xlfn.RANK.AVG(I282,$I$19:$I$1518,1)-1)/($G$15-1)*100))</f>
        <v/>
      </c>
      <c r="M282" s="11">
        <f>IF(COUNT(J282:L282)=3,ROUND(AVERAGE(J282:L282),6),"")</f>
        <v/>
      </c>
      <c r="O282">
        <f>IF(AND(ISNUMBER('자료_미국심리'!$A266),ISNUMBER('자료_미국심리'!$B266)),'자료_미국심리'!$A266,"")</f>
        <v/>
      </c>
      <c r="P282">
        <f>IF(AND(ISNUMBER('자료_미국심리'!$D266),ISNUMBER('자료_미국심리'!$E266)),'자료_미국심리'!$D266,"")</f>
        <v/>
      </c>
      <c r="Q282">
        <f>IF(AND(ISNUMBER('자료_미국심리'!$G266),ISNUMBER('자료_미국심리'!$H266)),'자료_미국심리'!$G266,"")</f>
        <v/>
      </c>
    </row>
    <row r="283">
      <c r="A283" s="10">
        <f>IF(265&gt;$E$5,"",SMALL($O$19:$O$4018,$E$6+265))</f>
        <v/>
      </c>
      <c r="B283" s="29">
        <f>IF(A283="","",INDEX('자료_미국심리'!$B$3:$B$4002,MATCH(A283,$O$19:$O$4018,0)))</f>
        <v/>
      </c>
      <c r="C283" s="22">
        <f>IF(A283="","",B283/AVERAGE(B159:B283)-1)</f>
        <v/>
      </c>
      <c r="D283" s="29">
        <f>IF(A283="","",IFERROR(INDEX('자료_미국심리'!$E$3:$E$4002,MATCH(A283,$P$19:$P$4018,0)),D282))</f>
        <v/>
      </c>
      <c r="E283" s="29">
        <f>IF(A283="","",IFERROR(INDEX('자료_미국심리'!$H$3:$H$4002,MATCH(A283,$Q$19:$Q$4018,0)),E282))</f>
        <v/>
      </c>
      <c r="F283">
        <f>IF(A283="",0,IF(A283&gt;$B$5,1,0))</f>
        <v/>
      </c>
      <c r="G283" s="29">
        <f>IF(AND(F283=1,ISNUMBER(D283)),D283,"")</f>
        <v/>
      </c>
      <c r="H283" s="29">
        <f>IF(AND(F283=1,ISNUMBER(E283)),E283,"")</f>
        <v/>
      </c>
      <c r="I283" s="22">
        <f>IF(AND(F283=1,ISNUMBER(C283)),C283,"")</f>
        <v/>
      </c>
      <c r="J283" s="11">
        <f>IF(G283="","",100-IF($G$13=1,50,(_xlfn.RANK.AVG(G283,$G$19:$G$1518,1)-1)/($G$13-1)*100))</f>
        <v/>
      </c>
      <c r="K283" s="11">
        <f>IF(H283="","",100-IF($G$14=1,50,(_xlfn.RANK.AVG(H283,$H$19:$H$1518,1)-1)/($G$14-1)*100))</f>
        <v/>
      </c>
      <c r="L283" s="11">
        <f>IF(I283="","",IF($G$15=1,50,(_xlfn.RANK.AVG(I283,$I$19:$I$1518,1)-1)/($G$15-1)*100))</f>
        <v/>
      </c>
      <c r="M283" s="11">
        <f>IF(COUNT(J283:L283)=3,ROUND(AVERAGE(J283:L283),6),"")</f>
        <v/>
      </c>
      <c r="O283">
        <f>IF(AND(ISNUMBER('자료_미국심리'!$A267),ISNUMBER('자료_미국심리'!$B267)),'자료_미국심리'!$A267,"")</f>
        <v/>
      </c>
      <c r="P283">
        <f>IF(AND(ISNUMBER('자료_미국심리'!$D267),ISNUMBER('자료_미국심리'!$E267)),'자료_미국심리'!$D267,"")</f>
        <v/>
      </c>
      <c r="Q283">
        <f>IF(AND(ISNUMBER('자료_미국심리'!$G267),ISNUMBER('자료_미국심리'!$H267)),'자료_미국심리'!$G267,"")</f>
        <v/>
      </c>
    </row>
    <row r="284">
      <c r="A284" s="10">
        <f>IF(266&gt;$E$5,"",SMALL($O$19:$O$4018,$E$6+266))</f>
        <v/>
      </c>
      <c r="B284" s="29">
        <f>IF(A284="","",INDEX('자료_미국심리'!$B$3:$B$4002,MATCH(A284,$O$19:$O$4018,0)))</f>
        <v/>
      </c>
      <c r="C284" s="22">
        <f>IF(A284="","",B284/AVERAGE(B160:B284)-1)</f>
        <v/>
      </c>
      <c r="D284" s="29">
        <f>IF(A284="","",IFERROR(INDEX('자료_미국심리'!$E$3:$E$4002,MATCH(A284,$P$19:$P$4018,0)),D283))</f>
        <v/>
      </c>
      <c r="E284" s="29">
        <f>IF(A284="","",IFERROR(INDEX('자료_미국심리'!$H$3:$H$4002,MATCH(A284,$Q$19:$Q$4018,0)),E283))</f>
        <v/>
      </c>
      <c r="F284">
        <f>IF(A284="",0,IF(A284&gt;$B$5,1,0))</f>
        <v/>
      </c>
      <c r="G284" s="29">
        <f>IF(AND(F284=1,ISNUMBER(D284)),D284,"")</f>
        <v/>
      </c>
      <c r="H284" s="29">
        <f>IF(AND(F284=1,ISNUMBER(E284)),E284,"")</f>
        <v/>
      </c>
      <c r="I284" s="22">
        <f>IF(AND(F284=1,ISNUMBER(C284)),C284,"")</f>
        <v/>
      </c>
      <c r="J284" s="11">
        <f>IF(G284="","",100-IF($G$13=1,50,(_xlfn.RANK.AVG(G284,$G$19:$G$1518,1)-1)/($G$13-1)*100))</f>
        <v/>
      </c>
      <c r="K284" s="11">
        <f>IF(H284="","",100-IF($G$14=1,50,(_xlfn.RANK.AVG(H284,$H$19:$H$1518,1)-1)/($G$14-1)*100))</f>
        <v/>
      </c>
      <c r="L284" s="11">
        <f>IF(I284="","",IF($G$15=1,50,(_xlfn.RANK.AVG(I284,$I$19:$I$1518,1)-1)/($G$15-1)*100))</f>
        <v/>
      </c>
      <c r="M284" s="11">
        <f>IF(COUNT(J284:L284)=3,ROUND(AVERAGE(J284:L284),6),"")</f>
        <v/>
      </c>
      <c r="O284">
        <f>IF(AND(ISNUMBER('자료_미국심리'!$A268),ISNUMBER('자료_미국심리'!$B268)),'자료_미국심리'!$A268,"")</f>
        <v/>
      </c>
      <c r="P284">
        <f>IF(AND(ISNUMBER('자료_미국심리'!$D268),ISNUMBER('자료_미국심리'!$E268)),'자료_미국심리'!$D268,"")</f>
        <v/>
      </c>
      <c r="Q284">
        <f>IF(AND(ISNUMBER('자료_미국심리'!$G268),ISNUMBER('자료_미국심리'!$H268)),'자료_미국심리'!$G268,"")</f>
        <v/>
      </c>
    </row>
    <row r="285">
      <c r="A285" s="10">
        <f>IF(267&gt;$E$5,"",SMALL($O$19:$O$4018,$E$6+267))</f>
        <v/>
      </c>
      <c r="B285" s="29">
        <f>IF(A285="","",INDEX('자료_미국심리'!$B$3:$B$4002,MATCH(A285,$O$19:$O$4018,0)))</f>
        <v/>
      </c>
      <c r="C285" s="22">
        <f>IF(A285="","",B285/AVERAGE(B161:B285)-1)</f>
        <v/>
      </c>
      <c r="D285" s="29">
        <f>IF(A285="","",IFERROR(INDEX('자료_미국심리'!$E$3:$E$4002,MATCH(A285,$P$19:$P$4018,0)),D284))</f>
        <v/>
      </c>
      <c r="E285" s="29">
        <f>IF(A285="","",IFERROR(INDEX('자료_미국심리'!$H$3:$H$4002,MATCH(A285,$Q$19:$Q$4018,0)),E284))</f>
        <v/>
      </c>
      <c r="F285">
        <f>IF(A285="",0,IF(A285&gt;$B$5,1,0))</f>
        <v/>
      </c>
      <c r="G285" s="29">
        <f>IF(AND(F285=1,ISNUMBER(D285)),D285,"")</f>
        <v/>
      </c>
      <c r="H285" s="29">
        <f>IF(AND(F285=1,ISNUMBER(E285)),E285,"")</f>
        <v/>
      </c>
      <c r="I285" s="22">
        <f>IF(AND(F285=1,ISNUMBER(C285)),C285,"")</f>
        <v/>
      </c>
      <c r="J285" s="11">
        <f>IF(G285="","",100-IF($G$13=1,50,(_xlfn.RANK.AVG(G285,$G$19:$G$1518,1)-1)/($G$13-1)*100))</f>
        <v/>
      </c>
      <c r="K285" s="11">
        <f>IF(H285="","",100-IF($G$14=1,50,(_xlfn.RANK.AVG(H285,$H$19:$H$1518,1)-1)/($G$14-1)*100))</f>
        <v/>
      </c>
      <c r="L285" s="11">
        <f>IF(I285="","",IF($G$15=1,50,(_xlfn.RANK.AVG(I285,$I$19:$I$1518,1)-1)/($G$15-1)*100))</f>
        <v/>
      </c>
      <c r="M285" s="11">
        <f>IF(COUNT(J285:L285)=3,ROUND(AVERAGE(J285:L285),6),"")</f>
        <v/>
      </c>
      <c r="O285">
        <f>IF(AND(ISNUMBER('자료_미국심리'!$A269),ISNUMBER('자료_미국심리'!$B269)),'자료_미국심리'!$A269,"")</f>
        <v/>
      </c>
      <c r="P285">
        <f>IF(AND(ISNUMBER('자료_미국심리'!$D269),ISNUMBER('자료_미국심리'!$E269)),'자료_미국심리'!$D269,"")</f>
        <v/>
      </c>
      <c r="Q285">
        <f>IF(AND(ISNUMBER('자료_미국심리'!$G269),ISNUMBER('자료_미국심리'!$H269)),'자료_미국심리'!$G269,"")</f>
        <v/>
      </c>
    </row>
    <row r="286">
      <c r="A286" s="10">
        <f>IF(268&gt;$E$5,"",SMALL($O$19:$O$4018,$E$6+268))</f>
        <v/>
      </c>
      <c r="B286" s="29">
        <f>IF(A286="","",INDEX('자료_미국심리'!$B$3:$B$4002,MATCH(A286,$O$19:$O$4018,0)))</f>
        <v/>
      </c>
      <c r="C286" s="22">
        <f>IF(A286="","",B286/AVERAGE(B162:B286)-1)</f>
        <v/>
      </c>
      <c r="D286" s="29">
        <f>IF(A286="","",IFERROR(INDEX('자료_미국심리'!$E$3:$E$4002,MATCH(A286,$P$19:$P$4018,0)),D285))</f>
        <v/>
      </c>
      <c r="E286" s="29">
        <f>IF(A286="","",IFERROR(INDEX('자료_미국심리'!$H$3:$H$4002,MATCH(A286,$Q$19:$Q$4018,0)),E285))</f>
        <v/>
      </c>
      <c r="F286">
        <f>IF(A286="",0,IF(A286&gt;$B$5,1,0))</f>
        <v/>
      </c>
      <c r="G286" s="29">
        <f>IF(AND(F286=1,ISNUMBER(D286)),D286,"")</f>
        <v/>
      </c>
      <c r="H286" s="29">
        <f>IF(AND(F286=1,ISNUMBER(E286)),E286,"")</f>
        <v/>
      </c>
      <c r="I286" s="22">
        <f>IF(AND(F286=1,ISNUMBER(C286)),C286,"")</f>
        <v/>
      </c>
      <c r="J286" s="11">
        <f>IF(G286="","",100-IF($G$13=1,50,(_xlfn.RANK.AVG(G286,$G$19:$G$1518,1)-1)/($G$13-1)*100))</f>
        <v/>
      </c>
      <c r="K286" s="11">
        <f>IF(H286="","",100-IF($G$14=1,50,(_xlfn.RANK.AVG(H286,$H$19:$H$1518,1)-1)/($G$14-1)*100))</f>
        <v/>
      </c>
      <c r="L286" s="11">
        <f>IF(I286="","",IF($G$15=1,50,(_xlfn.RANK.AVG(I286,$I$19:$I$1518,1)-1)/($G$15-1)*100))</f>
        <v/>
      </c>
      <c r="M286" s="11">
        <f>IF(COUNT(J286:L286)=3,ROUND(AVERAGE(J286:L286),6),"")</f>
        <v/>
      </c>
      <c r="O286">
        <f>IF(AND(ISNUMBER('자료_미국심리'!$A270),ISNUMBER('자료_미국심리'!$B270)),'자료_미국심리'!$A270,"")</f>
        <v/>
      </c>
      <c r="P286">
        <f>IF(AND(ISNUMBER('자료_미국심리'!$D270),ISNUMBER('자료_미국심리'!$E270)),'자료_미국심리'!$D270,"")</f>
        <v/>
      </c>
      <c r="Q286">
        <f>IF(AND(ISNUMBER('자료_미국심리'!$G270),ISNUMBER('자료_미국심리'!$H270)),'자료_미국심리'!$G270,"")</f>
        <v/>
      </c>
    </row>
    <row r="287">
      <c r="A287" s="10">
        <f>IF(269&gt;$E$5,"",SMALL($O$19:$O$4018,$E$6+269))</f>
        <v/>
      </c>
      <c r="B287" s="29">
        <f>IF(A287="","",INDEX('자료_미국심리'!$B$3:$B$4002,MATCH(A287,$O$19:$O$4018,0)))</f>
        <v/>
      </c>
      <c r="C287" s="22">
        <f>IF(A287="","",B287/AVERAGE(B163:B287)-1)</f>
        <v/>
      </c>
      <c r="D287" s="29">
        <f>IF(A287="","",IFERROR(INDEX('자료_미국심리'!$E$3:$E$4002,MATCH(A287,$P$19:$P$4018,0)),D286))</f>
        <v/>
      </c>
      <c r="E287" s="29">
        <f>IF(A287="","",IFERROR(INDEX('자료_미국심리'!$H$3:$H$4002,MATCH(A287,$Q$19:$Q$4018,0)),E286))</f>
        <v/>
      </c>
      <c r="F287">
        <f>IF(A287="",0,IF(A287&gt;$B$5,1,0))</f>
        <v/>
      </c>
      <c r="G287" s="29">
        <f>IF(AND(F287=1,ISNUMBER(D287)),D287,"")</f>
        <v/>
      </c>
      <c r="H287" s="29">
        <f>IF(AND(F287=1,ISNUMBER(E287)),E287,"")</f>
        <v/>
      </c>
      <c r="I287" s="22">
        <f>IF(AND(F287=1,ISNUMBER(C287)),C287,"")</f>
        <v/>
      </c>
      <c r="J287" s="11">
        <f>IF(G287="","",100-IF($G$13=1,50,(_xlfn.RANK.AVG(G287,$G$19:$G$1518,1)-1)/($G$13-1)*100))</f>
        <v/>
      </c>
      <c r="K287" s="11">
        <f>IF(H287="","",100-IF($G$14=1,50,(_xlfn.RANK.AVG(H287,$H$19:$H$1518,1)-1)/($G$14-1)*100))</f>
        <v/>
      </c>
      <c r="L287" s="11">
        <f>IF(I287="","",IF($G$15=1,50,(_xlfn.RANK.AVG(I287,$I$19:$I$1518,1)-1)/($G$15-1)*100))</f>
        <v/>
      </c>
      <c r="M287" s="11">
        <f>IF(COUNT(J287:L287)=3,ROUND(AVERAGE(J287:L287),6),"")</f>
        <v/>
      </c>
      <c r="O287">
        <f>IF(AND(ISNUMBER('자료_미국심리'!$A271),ISNUMBER('자료_미국심리'!$B271)),'자료_미국심리'!$A271,"")</f>
        <v/>
      </c>
      <c r="P287">
        <f>IF(AND(ISNUMBER('자료_미국심리'!$D271),ISNUMBER('자료_미국심리'!$E271)),'자료_미국심리'!$D271,"")</f>
        <v/>
      </c>
      <c r="Q287">
        <f>IF(AND(ISNUMBER('자료_미국심리'!$G271),ISNUMBER('자료_미국심리'!$H271)),'자료_미국심리'!$G271,"")</f>
        <v/>
      </c>
    </row>
    <row r="288">
      <c r="A288" s="10">
        <f>IF(270&gt;$E$5,"",SMALL($O$19:$O$4018,$E$6+270))</f>
        <v/>
      </c>
      <c r="B288" s="29">
        <f>IF(A288="","",INDEX('자료_미국심리'!$B$3:$B$4002,MATCH(A288,$O$19:$O$4018,0)))</f>
        <v/>
      </c>
      <c r="C288" s="22">
        <f>IF(A288="","",B288/AVERAGE(B164:B288)-1)</f>
        <v/>
      </c>
      <c r="D288" s="29">
        <f>IF(A288="","",IFERROR(INDEX('자료_미국심리'!$E$3:$E$4002,MATCH(A288,$P$19:$P$4018,0)),D287))</f>
        <v/>
      </c>
      <c r="E288" s="29">
        <f>IF(A288="","",IFERROR(INDEX('자료_미국심리'!$H$3:$H$4002,MATCH(A288,$Q$19:$Q$4018,0)),E287))</f>
        <v/>
      </c>
      <c r="F288">
        <f>IF(A288="",0,IF(A288&gt;$B$5,1,0))</f>
        <v/>
      </c>
      <c r="G288" s="29">
        <f>IF(AND(F288=1,ISNUMBER(D288)),D288,"")</f>
        <v/>
      </c>
      <c r="H288" s="29">
        <f>IF(AND(F288=1,ISNUMBER(E288)),E288,"")</f>
        <v/>
      </c>
      <c r="I288" s="22">
        <f>IF(AND(F288=1,ISNUMBER(C288)),C288,"")</f>
        <v/>
      </c>
      <c r="J288" s="11">
        <f>IF(G288="","",100-IF($G$13=1,50,(_xlfn.RANK.AVG(G288,$G$19:$G$1518,1)-1)/($G$13-1)*100))</f>
        <v/>
      </c>
      <c r="K288" s="11">
        <f>IF(H288="","",100-IF($G$14=1,50,(_xlfn.RANK.AVG(H288,$H$19:$H$1518,1)-1)/($G$14-1)*100))</f>
        <v/>
      </c>
      <c r="L288" s="11">
        <f>IF(I288="","",IF($G$15=1,50,(_xlfn.RANK.AVG(I288,$I$19:$I$1518,1)-1)/($G$15-1)*100))</f>
        <v/>
      </c>
      <c r="M288" s="11">
        <f>IF(COUNT(J288:L288)=3,ROUND(AVERAGE(J288:L288),6),"")</f>
        <v/>
      </c>
      <c r="O288">
        <f>IF(AND(ISNUMBER('자료_미국심리'!$A272),ISNUMBER('자료_미국심리'!$B272)),'자료_미국심리'!$A272,"")</f>
        <v/>
      </c>
      <c r="P288">
        <f>IF(AND(ISNUMBER('자료_미국심리'!$D272),ISNUMBER('자료_미국심리'!$E272)),'자료_미국심리'!$D272,"")</f>
        <v/>
      </c>
      <c r="Q288">
        <f>IF(AND(ISNUMBER('자료_미국심리'!$G272),ISNUMBER('자료_미국심리'!$H272)),'자료_미국심리'!$G272,"")</f>
        <v/>
      </c>
    </row>
    <row r="289">
      <c r="A289" s="10">
        <f>IF(271&gt;$E$5,"",SMALL($O$19:$O$4018,$E$6+271))</f>
        <v/>
      </c>
      <c r="B289" s="29">
        <f>IF(A289="","",INDEX('자료_미국심리'!$B$3:$B$4002,MATCH(A289,$O$19:$O$4018,0)))</f>
        <v/>
      </c>
      <c r="C289" s="22">
        <f>IF(A289="","",B289/AVERAGE(B165:B289)-1)</f>
        <v/>
      </c>
      <c r="D289" s="29">
        <f>IF(A289="","",IFERROR(INDEX('자료_미국심리'!$E$3:$E$4002,MATCH(A289,$P$19:$P$4018,0)),D288))</f>
        <v/>
      </c>
      <c r="E289" s="29">
        <f>IF(A289="","",IFERROR(INDEX('자료_미국심리'!$H$3:$H$4002,MATCH(A289,$Q$19:$Q$4018,0)),E288))</f>
        <v/>
      </c>
      <c r="F289">
        <f>IF(A289="",0,IF(A289&gt;$B$5,1,0))</f>
        <v/>
      </c>
      <c r="G289" s="29">
        <f>IF(AND(F289=1,ISNUMBER(D289)),D289,"")</f>
        <v/>
      </c>
      <c r="H289" s="29">
        <f>IF(AND(F289=1,ISNUMBER(E289)),E289,"")</f>
        <v/>
      </c>
      <c r="I289" s="22">
        <f>IF(AND(F289=1,ISNUMBER(C289)),C289,"")</f>
        <v/>
      </c>
      <c r="J289" s="11">
        <f>IF(G289="","",100-IF($G$13=1,50,(_xlfn.RANK.AVG(G289,$G$19:$G$1518,1)-1)/($G$13-1)*100))</f>
        <v/>
      </c>
      <c r="K289" s="11">
        <f>IF(H289="","",100-IF($G$14=1,50,(_xlfn.RANK.AVG(H289,$H$19:$H$1518,1)-1)/($G$14-1)*100))</f>
        <v/>
      </c>
      <c r="L289" s="11">
        <f>IF(I289="","",IF($G$15=1,50,(_xlfn.RANK.AVG(I289,$I$19:$I$1518,1)-1)/($G$15-1)*100))</f>
        <v/>
      </c>
      <c r="M289" s="11">
        <f>IF(COUNT(J289:L289)=3,ROUND(AVERAGE(J289:L289),6),"")</f>
        <v/>
      </c>
      <c r="O289">
        <f>IF(AND(ISNUMBER('자료_미국심리'!$A273),ISNUMBER('자료_미국심리'!$B273)),'자료_미국심리'!$A273,"")</f>
        <v/>
      </c>
      <c r="P289">
        <f>IF(AND(ISNUMBER('자료_미국심리'!$D273),ISNUMBER('자료_미국심리'!$E273)),'자료_미국심리'!$D273,"")</f>
        <v/>
      </c>
      <c r="Q289">
        <f>IF(AND(ISNUMBER('자료_미국심리'!$G273),ISNUMBER('자료_미국심리'!$H273)),'자료_미국심리'!$G273,"")</f>
        <v/>
      </c>
    </row>
    <row r="290">
      <c r="A290" s="10">
        <f>IF(272&gt;$E$5,"",SMALL($O$19:$O$4018,$E$6+272))</f>
        <v/>
      </c>
      <c r="B290" s="29">
        <f>IF(A290="","",INDEX('자료_미국심리'!$B$3:$B$4002,MATCH(A290,$O$19:$O$4018,0)))</f>
        <v/>
      </c>
      <c r="C290" s="22">
        <f>IF(A290="","",B290/AVERAGE(B166:B290)-1)</f>
        <v/>
      </c>
      <c r="D290" s="29">
        <f>IF(A290="","",IFERROR(INDEX('자료_미국심리'!$E$3:$E$4002,MATCH(A290,$P$19:$P$4018,0)),D289))</f>
        <v/>
      </c>
      <c r="E290" s="29">
        <f>IF(A290="","",IFERROR(INDEX('자료_미국심리'!$H$3:$H$4002,MATCH(A290,$Q$19:$Q$4018,0)),E289))</f>
        <v/>
      </c>
      <c r="F290">
        <f>IF(A290="",0,IF(A290&gt;$B$5,1,0))</f>
        <v/>
      </c>
      <c r="G290" s="29">
        <f>IF(AND(F290=1,ISNUMBER(D290)),D290,"")</f>
        <v/>
      </c>
      <c r="H290" s="29">
        <f>IF(AND(F290=1,ISNUMBER(E290)),E290,"")</f>
        <v/>
      </c>
      <c r="I290" s="22">
        <f>IF(AND(F290=1,ISNUMBER(C290)),C290,"")</f>
        <v/>
      </c>
      <c r="J290" s="11">
        <f>IF(G290="","",100-IF($G$13=1,50,(_xlfn.RANK.AVG(G290,$G$19:$G$1518,1)-1)/($G$13-1)*100))</f>
        <v/>
      </c>
      <c r="K290" s="11">
        <f>IF(H290="","",100-IF($G$14=1,50,(_xlfn.RANK.AVG(H290,$H$19:$H$1518,1)-1)/($G$14-1)*100))</f>
        <v/>
      </c>
      <c r="L290" s="11">
        <f>IF(I290="","",IF($G$15=1,50,(_xlfn.RANK.AVG(I290,$I$19:$I$1518,1)-1)/($G$15-1)*100))</f>
        <v/>
      </c>
      <c r="M290" s="11">
        <f>IF(COUNT(J290:L290)=3,ROUND(AVERAGE(J290:L290),6),"")</f>
        <v/>
      </c>
      <c r="O290">
        <f>IF(AND(ISNUMBER('자료_미국심리'!$A274),ISNUMBER('자료_미국심리'!$B274)),'자료_미국심리'!$A274,"")</f>
        <v/>
      </c>
      <c r="P290">
        <f>IF(AND(ISNUMBER('자료_미국심리'!$D274),ISNUMBER('자료_미국심리'!$E274)),'자료_미국심리'!$D274,"")</f>
        <v/>
      </c>
      <c r="Q290">
        <f>IF(AND(ISNUMBER('자료_미국심리'!$G274),ISNUMBER('자료_미국심리'!$H274)),'자료_미국심리'!$G274,"")</f>
        <v/>
      </c>
    </row>
    <row r="291">
      <c r="A291" s="10">
        <f>IF(273&gt;$E$5,"",SMALL($O$19:$O$4018,$E$6+273))</f>
        <v/>
      </c>
      <c r="B291" s="29">
        <f>IF(A291="","",INDEX('자료_미국심리'!$B$3:$B$4002,MATCH(A291,$O$19:$O$4018,0)))</f>
        <v/>
      </c>
      <c r="C291" s="22">
        <f>IF(A291="","",B291/AVERAGE(B167:B291)-1)</f>
        <v/>
      </c>
      <c r="D291" s="29">
        <f>IF(A291="","",IFERROR(INDEX('자료_미국심리'!$E$3:$E$4002,MATCH(A291,$P$19:$P$4018,0)),D290))</f>
        <v/>
      </c>
      <c r="E291" s="29">
        <f>IF(A291="","",IFERROR(INDEX('자료_미국심리'!$H$3:$H$4002,MATCH(A291,$Q$19:$Q$4018,0)),E290))</f>
        <v/>
      </c>
      <c r="F291">
        <f>IF(A291="",0,IF(A291&gt;$B$5,1,0))</f>
        <v/>
      </c>
      <c r="G291" s="29">
        <f>IF(AND(F291=1,ISNUMBER(D291)),D291,"")</f>
        <v/>
      </c>
      <c r="H291" s="29">
        <f>IF(AND(F291=1,ISNUMBER(E291)),E291,"")</f>
        <v/>
      </c>
      <c r="I291" s="22">
        <f>IF(AND(F291=1,ISNUMBER(C291)),C291,"")</f>
        <v/>
      </c>
      <c r="J291" s="11">
        <f>IF(G291="","",100-IF($G$13=1,50,(_xlfn.RANK.AVG(G291,$G$19:$G$1518,1)-1)/($G$13-1)*100))</f>
        <v/>
      </c>
      <c r="K291" s="11">
        <f>IF(H291="","",100-IF($G$14=1,50,(_xlfn.RANK.AVG(H291,$H$19:$H$1518,1)-1)/($G$14-1)*100))</f>
        <v/>
      </c>
      <c r="L291" s="11">
        <f>IF(I291="","",IF($G$15=1,50,(_xlfn.RANK.AVG(I291,$I$19:$I$1518,1)-1)/($G$15-1)*100))</f>
        <v/>
      </c>
      <c r="M291" s="11">
        <f>IF(COUNT(J291:L291)=3,ROUND(AVERAGE(J291:L291),6),"")</f>
        <v/>
      </c>
      <c r="O291">
        <f>IF(AND(ISNUMBER('자료_미국심리'!$A275),ISNUMBER('자료_미국심리'!$B275)),'자료_미국심리'!$A275,"")</f>
        <v/>
      </c>
      <c r="P291">
        <f>IF(AND(ISNUMBER('자료_미국심리'!$D275),ISNUMBER('자료_미국심리'!$E275)),'자료_미국심리'!$D275,"")</f>
        <v/>
      </c>
      <c r="Q291">
        <f>IF(AND(ISNUMBER('자료_미국심리'!$G275),ISNUMBER('자료_미국심리'!$H275)),'자료_미국심리'!$G275,"")</f>
        <v/>
      </c>
    </row>
    <row r="292">
      <c r="A292" s="10">
        <f>IF(274&gt;$E$5,"",SMALL($O$19:$O$4018,$E$6+274))</f>
        <v/>
      </c>
      <c r="B292" s="29">
        <f>IF(A292="","",INDEX('자료_미국심리'!$B$3:$B$4002,MATCH(A292,$O$19:$O$4018,0)))</f>
        <v/>
      </c>
      <c r="C292" s="22">
        <f>IF(A292="","",B292/AVERAGE(B168:B292)-1)</f>
        <v/>
      </c>
      <c r="D292" s="29">
        <f>IF(A292="","",IFERROR(INDEX('자료_미국심리'!$E$3:$E$4002,MATCH(A292,$P$19:$P$4018,0)),D291))</f>
        <v/>
      </c>
      <c r="E292" s="29">
        <f>IF(A292="","",IFERROR(INDEX('자료_미국심리'!$H$3:$H$4002,MATCH(A292,$Q$19:$Q$4018,0)),E291))</f>
        <v/>
      </c>
      <c r="F292">
        <f>IF(A292="",0,IF(A292&gt;$B$5,1,0))</f>
        <v/>
      </c>
      <c r="G292" s="29">
        <f>IF(AND(F292=1,ISNUMBER(D292)),D292,"")</f>
        <v/>
      </c>
      <c r="H292" s="29">
        <f>IF(AND(F292=1,ISNUMBER(E292)),E292,"")</f>
        <v/>
      </c>
      <c r="I292" s="22">
        <f>IF(AND(F292=1,ISNUMBER(C292)),C292,"")</f>
        <v/>
      </c>
      <c r="J292" s="11">
        <f>IF(G292="","",100-IF($G$13=1,50,(_xlfn.RANK.AVG(G292,$G$19:$G$1518,1)-1)/($G$13-1)*100))</f>
        <v/>
      </c>
      <c r="K292" s="11">
        <f>IF(H292="","",100-IF($G$14=1,50,(_xlfn.RANK.AVG(H292,$H$19:$H$1518,1)-1)/($G$14-1)*100))</f>
        <v/>
      </c>
      <c r="L292" s="11">
        <f>IF(I292="","",IF($G$15=1,50,(_xlfn.RANK.AVG(I292,$I$19:$I$1518,1)-1)/($G$15-1)*100))</f>
        <v/>
      </c>
      <c r="M292" s="11">
        <f>IF(COUNT(J292:L292)=3,ROUND(AVERAGE(J292:L292),6),"")</f>
        <v/>
      </c>
      <c r="O292">
        <f>IF(AND(ISNUMBER('자료_미국심리'!$A276),ISNUMBER('자료_미국심리'!$B276)),'자료_미국심리'!$A276,"")</f>
        <v/>
      </c>
      <c r="P292">
        <f>IF(AND(ISNUMBER('자료_미국심리'!$D276),ISNUMBER('자료_미국심리'!$E276)),'자료_미국심리'!$D276,"")</f>
        <v/>
      </c>
      <c r="Q292">
        <f>IF(AND(ISNUMBER('자료_미국심리'!$G276),ISNUMBER('자료_미국심리'!$H276)),'자료_미국심리'!$G276,"")</f>
        <v/>
      </c>
    </row>
    <row r="293">
      <c r="A293" s="10">
        <f>IF(275&gt;$E$5,"",SMALL($O$19:$O$4018,$E$6+275))</f>
        <v/>
      </c>
      <c r="B293" s="29">
        <f>IF(A293="","",INDEX('자료_미국심리'!$B$3:$B$4002,MATCH(A293,$O$19:$O$4018,0)))</f>
        <v/>
      </c>
      <c r="C293" s="22">
        <f>IF(A293="","",B293/AVERAGE(B169:B293)-1)</f>
        <v/>
      </c>
      <c r="D293" s="29">
        <f>IF(A293="","",IFERROR(INDEX('자료_미국심리'!$E$3:$E$4002,MATCH(A293,$P$19:$P$4018,0)),D292))</f>
        <v/>
      </c>
      <c r="E293" s="29">
        <f>IF(A293="","",IFERROR(INDEX('자료_미국심리'!$H$3:$H$4002,MATCH(A293,$Q$19:$Q$4018,0)),E292))</f>
        <v/>
      </c>
      <c r="F293">
        <f>IF(A293="",0,IF(A293&gt;$B$5,1,0))</f>
        <v/>
      </c>
      <c r="G293" s="29">
        <f>IF(AND(F293=1,ISNUMBER(D293)),D293,"")</f>
        <v/>
      </c>
      <c r="H293" s="29">
        <f>IF(AND(F293=1,ISNUMBER(E293)),E293,"")</f>
        <v/>
      </c>
      <c r="I293" s="22">
        <f>IF(AND(F293=1,ISNUMBER(C293)),C293,"")</f>
        <v/>
      </c>
      <c r="J293" s="11">
        <f>IF(G293="","",100-IF($G$13=1,50,(_xlfn.RANK.AVG(G293,$G$19:$G$1518,1)-1)/($G$13-1)*100))</f>
        <v/>
      </c>
      <c r="K293" s="11">
        <f>IF(H293="","",100-IF($G$14=1,50,(_xlfn.RANK.AVG(H293,$H$19:$H$1518,1)-1)/($G$14-1)*100))</f>
        <v/>
      </c>
      <c r="L293" s="11">
        <f>IF(I293="","",IF($G$15=1,50,(_xlfn.RANK.AVG(I293,$I$19:$I$1518,1)-1)/($G$15-1)*100))</f>
        <v/>
      </c>
      <c r="M293" s="11">
        <f>IF(COUNT(J293:L293)=3,ROUND(AVERAGE(J293:L293),6),"")</f>
        <v/>
      </c>
      <c r="O293">
        <f>IF(AND(ISNUMBER('자료_미국심리'!$A277),ISNUMBER('자료_미국심리'!$B277)),'자료_미국심리'!$A277,"")</f>
        <v/>
      </c>
      <c r="P293">
        <f>IF(AND(ISNUMBER('자료_미국심리'!$D277),ISNUMBER('자료_미국심리'!$E277)),'자료_미국심리'!$D277,"")</f>
        <v/>
      </c>
      <c r="Q293">
        <f>IF(AND(ISNUMBER('자료_미국심리'!$G277),ISNUMBER('자료_미국심리'!$H277)),'자료_미국심리'!$G277,"")</f>
        <v/>
      </c>
    </row>
    <row r="294">
      <c r="A294" s="10">
        <f>IF(276&gt;$E$5,"",SMALL($O$19:$O$4018,$E$6+276))</f>
        <v/>
      </c>
      <c r="B294" s="29">
        <f>IF(A294="","",INDEX('자료_미국심리'!$B$3:$B$4002,MATCH(A294,$O$19:$O$4018,0)))</f>
        <v/>
      </c>
      <c r="C294" s="22">
        <f>IF(A294="","",B294/AVERAGE(B170:B294)-1)</f>
        <v/>
      </c>
      <c r="D294" s="29">
        <f>IF(A294="","",IFERROR(INDEX('자료_미국심리'!$E$3:$E$4002,MATCH(A294,$P$19:$P$4018,0)),D293))</f>
        <v/>
      </c>
      <c r="E294" s="29">
        <f>IF(A294="","",IFERROR(INDEX('자료_미국심리'!$H$3:$H$4002,MATCH(A294,$Q$19:$Q$4018,0)),E293))</f>
        <v/>
      </c>
      <c r="F294">
        <f>IF(A294="",0,IF(A294&gt;$B$5,1,0))</f>
        <v/>
      </c>
      <c r="G294" s="29">
        <f>IF(AND(F294=1,ISNUMBER(D294)),D294,"")</f>
        <v/>
      </c>
      <c r="H294" s="29">
        <f>IF(AND(F294=1,ISNUMBER(E294)),E294,"")</f>
        <v/>
      </c>
      <c r="I294" s="22">
        <f>IF(AND(F294=1,ISNUMBER(C294)),C294,"")</f>
        <v/>
      </c>
      <c r="J294" s="11">
        <f>IF(G294="","",100-IF($G$13=1,50,(_xlfn.RANK.AVG(G294,$G$19:$G$1518,1)-1)/($G$13-1)*100))</f>
        <v/>
      </c>
      <c r="K294" s="11">
        <f>IF(H294="","",100-IF($G$14=1,50,(_xlfn.RANK.AVG(H294,$H$19:$H$1518,1)-1)/($G$14-1)*100))</f>
        <v/>
      </c>
      <c r="L294" s="11">
        <f>IF(I294="","",IF($G$15=1,50,(_xlfn.RANK.AVG(I294,$I$19:$I$1518,1)-1)/($G$15-1)*100))</f>
        <v/>
      </c>
      <c r="M294" s="11">
        <f>IF(COUNT(J294:L294)=3,ROUND(AVERAGE(J294:L294),6),"")</f>
        <v/>
      </c>
      <c r="O294">
        <f>IF(AND(ISNUMBER('자료_미국심리'!$A278),ISNUMBER('자료_미국심리'!$B278)),'자료_미국심리'!$A278,"")</f>
        <v/>
      </c>
      <c r="P294">
        <f>IF(AND(ISNUMBER('자료_미국심리'!$D278),ISNUMBER('자료_미국심리'!$E278)),'자료_미국심리'!$D278,"")</f>
        <v/>
      </c>
      <c r="Q294">
        <f>IF(AND(ISNUMBER('자료_미국심리'!$G278),ISNUMBER('자료_미국심리'!$H278)),'자료_미국심리'!$G278,"")</f>
        <v/>
      </c>
    </row>
    <row r="295">
      <c r="A295" s="10">
        <f>IF(277&gt;$E$5,"",SMALL($O$19:$O$4018,$E$6+277))</f>
        <v/>
      </c>
      <c r="B295" s="29">
        <f>IF(A295="","",INDEX('자료_미국심리'!$B$3:$B$4002,MATCH(A295,$O$19:$O$4018,0)))</f>
        <v/>
      </c>
      <c r="C295" s="22">
        <f>IF(A295="","",B295/AVERAGE(B171:B295)-1)</f>
        <v/>
      </c>
      <c r="D295" s="29">
        <f>IF(A295="","",IFERROR(INDEX('자료_미국심리'!$E$3:$E$4002,MATCH(A295,$P$19:$P$4018,0)),D294))</f>
        <v/>
      </c>
      <c r="E295" s="29">
        <f>IF(A295="","",IFERROR(INDEX('자료_미국심리'!$H$3:$H$4002,MATCH(A295,$Q$19:$Q$4018,0)),E294))</f>
        <v/>
      </c>
      <c r="F295">
        <f>IF(A295="",0,IF(A295&gt;$B$5,1,0))</f>
        <v/>
      </c>
      <c r="G295" s="29">
        <f>IF(AND(F295=1,ISNUMBER(D295)),D295,"")</f>
        <v/>
      </c>
      <c r="H295" s="29">
        <f>IF(AND(F295=1,ISNUMBER(E295)),E295,"")</f>
        <v/>
      </c>
      <c r="I295" s="22">
        <f>IF(AND(F295=1,ISNUMBER(C295)),C295,"")</f>
        <v/>
      </c>
      <c r="J295" s="11">
        <f>IF(G295="","",100-IF($G$13=1,50,(_xlfn.RANK.AVG(G295,$G$19:$G$1518,1)-1)/($G$13-1)*100))</f>
        <v/>
      </c>
      <c r="K295" s="11">
        <f>IF(H295="","",100-IF($G$14=1,50,(_xlfn.RANK.AVG(H295,$H$19:$H$1518,1)-1)/($G$14-1)*100))</f>
        <v/>
      </c>
      <c r="L295" s="11">
        <f>IF(I295="","",IF($G$15=1,50,(_xlfn.RANK.AVG(I295,$I$19:$I$1518,1)-1)/($G$15-1)*100))</f>
        <v/>
      </c>
      <c r="M295" s="11">
        <f>IF(COUNT(J295:L295)=3,ROUND(AVERAGE(J295:L295),6),"")</f>
        <v/>
      </c>
      <c r="O295">
        <f>IF(AND(ISNUMBER('자료_미국심리'!$A279),ISNUMBER('자료_미국심리'!$B279)),'자료_미국심리'!$A279,"")</f>
        <v/>
      </c>
      <c r="P295">
        <f>IF(AND(ISNUMBER('자료_미국심리'!$D279),ISNUMBER('자료_미국심리'!$E279)),'자료_미국심리'!$D279,"")</f>
        <v/>
      </c>
      <c r="Q295">
        <f>IF(AND(ISNUMBER('자료_미국심리'!$G279),ISNUMBER('자료_미국심리'!$H279)),'자료_미국심리'!$G279,"")</f>
        <v/>
      </c>
    </row>
    <row r="296">
      <c r="A296" s="10">
        <f>IF(278&gt;$E$5,"",SMALL($O$19:$O$4018,$E$6+278))</f>
        <v/>
      </c>
      <c r="B296" s="29">
        <f>IF(A296="","",INDEX('자료_미국심리'!$B$3:$B$4002,MATCH(A296,$O$19:$O$4018,0)))</f>
        <v/>
      </c>
      <c r="C296" s="22">
        <f>IF(A296="","",B296/AVERAGE(B172:B296)-1)</f>
        <v/>
      </c>
      <c r="D296" s="29">
        <f>IF(A296="","",IFERROR(INDEX('자료_미국심리'!$E$3:$E$4002,MATCH(A296,$P$19:$P$4018,0)),D295))</f>
        <v/>
      </c>
      <c r="E296" s="29">
        <f>IF(A296="","",IFERROR(INDEX('자료_미국심리'!$H$3:$H$4002,MATCH(A296,$Q$19:$Q$4018,0)),E295))</f>
        <v/>
      </c>
      <c r="F296">
        <f>IF(A296="",0,IF(A296&gt;$B$5,1,0))</f>
        <v/>
      </c>
      <c r="G296" s="29">
        <f>IF(AND(F296=1,ISNUMBER(D296)),D296,"")</f>
        <v/>
      </c>
      <c r="H296" s="29">
        <f>IF(AND(F296=1,ISNUMBER(E296)),E296,"")</f>
        <v/>
      </c>
      <c r="I296" s="22">
        <f>IF(AND(F296=1,ISNUMBER(C296)),C296,"")</f>
        <v/>
      </c>
      <c r="J296" s="11">
        <f>IF(G296="","",100-IF($G$13=1,50,(_xlfn.RANK.AVG(G296,$G$19:$G$1518,1)-1)/($G$13-1)*100))</f>
        <v/>
      </c>
      <c r="K296" s="11">
        <f>IF(H296="","",100-IF($G$14=1,50,(_xlfn.RANK.AVG(H296,$H$19:$H$1518,1)-1)/($G$14-1)*100))</f>
        <v/>
      </c>
      <c r="L296" s="11">
        <f>IF(I296="","",IF($G$15=1,50,(_xlfn.RANK.AVG(I296,$I$19:$I$1518,1)-1)/($G$15-1)*100))</f>
        <v/>
      </c>
      <c r="M296" s="11">
        <f>IF(COUNT(J296:L296)=3,ROUND(AVERAGE(J296:L296),6),"")</f>
        <v/>
      </c>
      <c r="O296">
        <f>IF(AND(ISNUMBER('자료_미국심리'!$A280),ISNUMBER('자료_미국심리'!$B280)),'자료_미국심리'!$A280,"")</f>
        <v/>
      </c>
      <c r="P296">
        <f>IF(AND(ISNUMBER('자료_미국심리'!$D280),ISNUMBER('자료_미국심리'!$E280)),'자료_미국심리'!$D280,"")</f>
        <v/>
      </c>
      <c r="Q296">
        <f>IF(AND(ISNUMBER('자료_미국심리'!$G280),ISNUMBER('자료_미국심리'!$H280)),'자료_미국심리'!$G280,"")</f>
        <v/>
      </c>
    </row>
    <row r="297">
      <c r="A297" s="10">
        <f>IF(279&gt;$E$5,"",SMALL($O$19:$O$4018,$E$6+279))</f>
        <v/>
      </c>
      <c r="B297" s="29">
        <f>IF(A297="","",INDEX('자료_미국심리'!$B$3:$B$4002,MATCH(A297,$O$19:$O$4018,0)))</f>
        <v/>
      </c>
      <c r="C297" s="22">
        <f>IF(A297="","",B297/AVERAGE(B173:B297)-1)</f>
        <v/>
      </c>
      <c r="D297" s="29">
        <f>IF(A297="","",IFERROR(INDEX('자료_미국심리'!$E$3:$E$4002,MATCH(A297,$P$19:$P$4018,0)),D296))</f>
        <v/>
      </c>
      <c r="E297" s="29">
        <f>IF(A297="","",IFERROR(INDEX('자료_미국심리'!$H$3:$H$4002,MATCH(A297,$Q$19:$Q$4018,0)),E296))</f>
        <v/>
      </c>
      <c r="F297">
        <f>IF(A297="",0,IF(A297&gt;$B$5,1,0))</f>
        <v/>
      </c>
      <c r="G297" s="29">
        <f>IF(AND(F297=1,ISNUMBER(D297)),D297,"")</f>
        <v/>
      </c>
      <c r="H297" s="29">
        <f>IF(AND(F297=1,ISNUMBER(E297)),E297,"")</f>
        <v/>
      </c>
      <c r="I297" s="22">
        <f>IF(AND(F297=1,ISNUMBER(C297)),C297,"")</f>
        <v/>
      </c>
      <c r="J297" s="11">
        <f>IF(G297="","",100-IF($G$13=1,50,(_xlfn.RANK.AVG(G297,$G$19:$G$1518,1)-1)/($G$13-1)*100))</f>
        <v/>
      </c>
      <c r="K297" s="11">
        <f>IF(H297="","",100-IF($G$14=1,50,(_xlfn.RANK.AVG(H297,$H$19:$H$1518,1)-1)/($G$14-1)*100))</f>
        <v/>
      </c>
      <c r="L297" s="11">
        <f>IF(I297="","",IF($G$15=1,50,(_xlfn.RANK.AVG(I297,$I$19:$I$1518,1)-1)/($G$15-1)*100))</f>
        <v/>
      </c>
      <c r="M297" s="11">
        <f>IF(COUNT(J297:L297)=3,ROUND(AVERAGE(J297:L297),6),"")</f>
        <v/>
      </c>
      <c r="O297">
        <f>IF(AND(ISNUMBER('자료_미국심리'!$A281),ISNUMBER('자료_미국심리'!$B281)),'자료_미국심리'!$A281,"")</f>
        <v/>
      </c>
      <c r="P297">
        <f>IF(AND(ISNUMBER('자료_미국심리'!$D281),ISNUMBER('자료_미국심리'!$E281)),'자료_미국심리'!$D281,"")</f>
        <v/>
      </c>
      <c r="Q297">
        <f>IF(AND(ISNUMBER('자료_미국심리'!$G281),ISNUMBER('자료_미국심리'!$H281)),'자료_미국심리'!$G281,"")</f>
        <v/>
      </c>
    </row>
    <row r="298">
      <c r="A298" s="10">
        <f>IF(280&gt;$E$5,"",SMALL($O$19:$O$4018,$E$6+280))</f>
        <v/>
      </c>
      <c r="B298" s="29">
        <f>IF(A298="","",INDEX('자료_미국심리'!$B$3:$B$4002,MATCH(A298,$O$19:$O$4018,0)))</f>
        <v/>
      </c>
      <c r="C298" s="22">
        <f>IF(A298="","",B298/AVERAGE(B174:B298)-1)</f>
        <v/>
      </c>
      <c r="D298" s="29">
        <f>IF(A298="","",IFERROR(INDEX('자료_미국심리'!$E$3:$E$4002,MATCH(A298,$P$19:$P$4018,0)),D297))</f>
        <v/>
      </c>
      <c r="E298" s="29">
        <f>IF(A298="","",IFERROR(INDEX('자료_미국심리'!$H$3:$H$4002,MATCH(A298,$Q$19:$Q$4018,0)),E297))</f>
        <v/>
      </c>
      <c r="F298">
        <f>IF(A298="",0,IF(A298&gt;$B$5,1,0))</f>
        <v/>
      </c>
      <c r="G298" s="29">
        <f>IF(AND(F298=1,ISNUMBER(D298)),D298,"")</f>
        <v/>
      </c>
      <c r="H298" s="29">
        <f>IF(AND(F298=1,ISNUMBER(E298)),E298,"")</f>
        <v/>
      </c>
      <c r="I298" s="22">
        <f>IF(AND(F298=1,ISNUMBER(C298)),C298,"")</f>
        <v/>
      </c>
      <c r="J298" s="11">
        <f>IF(G298="","",100-IF($G$13=1,50,(_xlfn.RANK.AVG(G298,$G$19:$G$1518,1)-1)/($G$13-1)*100))</f>
        <v/>
      </c>
      <c r="K298" s="11">
        <f>IF(H298="","",100-IF($G$14=1,50,(_xlfn.RANK.AVG(H298,$H$19:$H$1518,1)-1)/($G$14-1)*100))</f>
        <v/>
      </c>
      <c r="L298" s="11">
        <f>IF(I298="","",IF($G$15=1,50,(_xlfn.RANK.AVG(I298,$I$19:$I$1518,1)-1)/($G$15-1)*100))</f>
        <v/>
      </c>
      <c r="M298" s="11">
        <f>IF(COUNT(J298:L298)=3,ROUND(AVERAGE(J298:L298),6),"")</f>
        <v/>
      </c>
      <c r="O298">
        <f>IF(AND(ISNUMBER('자료_미국심리'!$A282),ISNUMBER('자료_미국심리'!$B282)),'자료_미국심리'!$A282,"")</f>
        <v/>
      </c>
      <c r="P298">
        <f>IF(AND(ISNUMBER('자료_미국심리'!$D282),ISNUMBER('자료_미국심리'!$E282)),'자료_미국심리'!$D282,"")</f>
        <v/>
      </c>
      <c r="Q298">
        <f>IF(AND(ISNUMBER('자료_미국심리'!$G282),ISNUMBER('자료_미국심리'!$H282)),'자료_미국심리'!$G282,"")</f>
        <v/>
      </c>
    </row>
    <row r="299">
      <c r="A299" s="10">
        <f>IF(281&gt;$E$5,"",SMALL($O$19:$O$4018,$E$6+281))</f>
        <v/>
      </c>
      <c r="B299" s="29">
        <f>IF(A299="","",INDEX('자료_미국심리'!$B$3:$B$4002,MATCH(A299,$O$19:$O$4018,0)))</f>
        <v/>
      </c>
      <c r="C299" s="22">
        <f>IF(A299="","",B299/AVERAGE(B175:B299)-1)</f>
        <v/>
      </c>
      <c r="D299" s="29">
        <f>IF(A299="","",IFERROR(INDEX('자료_미국심리'!$E$3:$E$4002,MATCH(A299,$P$19:$P$4018,0)),D298))</f>
        <v/>
      </c>
      <c r="E299" s="29">
        <f>IF(A299="","",IFERROR(INDEX('자료_미국심리'!$H$3:$H$4002,MATCH(A299,$Q$19:$Q$4018,0)),E298))</f>
        <v/>
      </c>
      <c r="F299">
        <f>IF(A299="",0,IF(A299&gt;$B$5,1,0))</f>
        <v/>
      </c>
      <c r="G299" s="29">
        <f>IF(AND(F299=1,ISNUMBER(D299)),D299,"")</f>
        <v/>
      </c>
      <c r="H299" s="29">
        <f>IF(AND(F299=1,ISNUMBER(E299)),E299,"")</f>
        <v/>
      </c>
      <c r="I299" s="22">
        <f>IF(AND(F299=1,ISNUMBER(C299)),C299,"")</f>
        <v/>
      </c>
      <c r="J299" s="11">
        <f>IF(G299="","",100-IF($G$13=1,50,(_xlfn.RANK.AVG(G299,$G$19:$G$1518,1)-1)/($G$13-1)*100))</f>
        <v/>
      </c>
      <c r="K299" s="11">
        <f>IF(H299="","",100-IF($G$14=1,50,(_xlfn.RANK.AVG(H299,$H$19:$H$1518,1)-1)/($G$14-1)*100))</f>
        <v/>
      </c>
      <c r="L299" s="11">
        <f>IF(I299="","",IF($G$15=1,50,(_xlfn.RANK.AVG(I299,$I$19:$I$1518,1)-1)/($G$15-1)*100))</f>
        <v/>
      </c>
      <c r="M299" s="11">
        <f>IF(COUNT(J299:L299)=3,ROUND(AVERAGE(J299:L299),6),"")</f>
        <v/>
      </c>
      <c r="O299">
        <f>IF(AND(ISNUMBER('자료_미국심리'!$A283),ISNUMBER('자료_미국심리'!$B283)),'자료_미국심리'!$A283,"")</f>
        <v/>
      </c>
      <c r="P299">
        <f>IF(AND(ISNUMBER('자료_미국심리'!$D283),ISNUMBER('자료_미국심리'!$E283)),'자료_미국심리'!$D283,"")</f>
        <v/>
      </c>
      <c r="Q299">
        <f>IF(AND(ISNUMBER('자료_미국심리'!$G283),ISNUMBER('자료_미국심리'!$H283)),'자료_미국심리'!$G283,"")</f>
        <v/>
      </c>
    </row>
    <row r="300">
      <c r="A300" s="10">
        <f>IF(282&gt;$E$5,"",SMALL($O$19:$O$4018,$E$6+282))</f>
        <v/>
      </c>
      <c r="B300" s="29">
        <f>IF(A300="","",INDEX('자료_미국심리'!$B$3:$B$4002,MATCH(A300,$O$19:$O$4018,0)))</f>
        <v/>
      </c>
      <c r="C300" s="22">
        <f>IF(A300="","",B300/AVERAGE(B176:B300)-1)</f>
        <v/>
      </c>
      <c r="D300" s="29">
        <f>IF(A300="","",IFERROR(INDEX('자료_미국심리'!$E$3:$E$4002,MATCH(A300,$P$19:$P$4018,0)),D299))</f>
        <v/>
      </c>
      <c r="E300" s="29">
        <f>IF(A300="","",IFERROR(INDEX('자료_미국심리'!$H$3:$H$4002,MATCH(A300,$Q$19:$Q$4018,0)),E299))</f>
        <v/>
      </c>
      <c r="F300">
        <f>IF(A300="",0,IF(A300&gt;$B$5,1,0))</f>
        <v/>
      </c>
      <c r="G300" s="29">
        <f>IF(AND(F300=1,ISNUMBER(D300)),D300,"")</f>
        <v/>
      </c>
      <c r="H300" s="29">
        <f>IF(AND(F300=1,ISNUMBER(E300)),E300,"")</f>
        <v/>
      </c>
      <c r="I300" s="22">
        <f>IF(AND(F300=1,ISNUMBER(C300)),C300,"")</f>
        <v/>
      </c>
      <c r="J300" s="11">
        <f>IF(G300="","",100-IF($G$13=1,50,(_xlfn.RANK.AVG(G300,$G$19:$G$1518,1)-1)/($G$13-1)*100))</f>
        <v/>
      </c>
      <c r="K300" s="11">
        <f>IF(H300="","",100-IF($G$14=1,50,(_xlfn.RANK.AVG(H300,$H$19:$H$1518,1)-1)/($G$14-1)*100))</f>
        <v/>
      </c>
      <c r="L300" s="11">
        <f>IF(I300="","",IF($G$15=1,50,(_xlfn.RANK.AVG(I300,$I$19:$I$1518,1)-1)/($G$15-1)*100))</f>
        <v/>
      </c>
      <c r="M300" s="11">
        <f>IF(COUNT(J300:L300)=3,ROUND(AVERAGE(J300:L300),6),"")</f>
        <v/>
      </c>
      <c r="O300">
        <f>IF(AND(ISNUMBER('자료_미국심리'!$A284),ISNUMBER('자료_미국심리'!$B284)),'자료_미국심리'!$A284,"")</f>
        <v/>
      </c>
      <c r="P300">
        <f>IF(AND(ISNUMBER('자료_미국심리'!$D284),ISNUMBER('자료_미국심리'!$E284)),'자료_미국심리'!$D284,"")</f>
        <v/>
      </c>
      <c r="Q300">
        <f>IF(AND(ISNUMBER('자료_미국심리'!$G284),ISNUMBER('자료_미국심리'!$H284)),'자료_미국심리'!$G284,"")</f>
        <v/>
      </c>
    </row>
    <row r="301">
      <c r="A301" s="10">
        <f>IF(283&gt;$E$5,"",SMALL($O$19:$O$4018,$E$6+283))</f>
        <v/>
      </c>
      <c r="B301" s="29">
        <f>IF(A301="","",INDEX('자료_미국심리'!$B$3:$B$4002,MATCH(A301,$O$19:$O$4018,0)))</f>
        <v/>
      </c>
      <c r="C301" s="22">
        <f>IF(A301="","",B301/AVERAGE(B177:B301)-1)</f>
        <v/>
      </c>
      <c r="D301" s="29">
        <f>IF(A301="","",IFERROR(INDEX('자료_미국심리'!$E$3:$E$4002,MATCH(A301,$P$19:$P$4018,0)),D300))</f>
        <v/>
      </c>
      <c r="E301" s="29">
        <f>IF(A301="","",IFERROR(INDEX('자료_미국심리'!$H$3:$H$4002,MATCH(A301,$Q$19:$Q$4018,0)),E300))</f>
        <v/>
      </c>
      <c r="F301">
        <f>IF(A301="",0,IF(A301&gt;$B$5,1,0))</f>
        <v/>
      </c>
      <c r="G301" s="29">
        <f>IF(AND(F301=1,ISNUMBER(D301)),D301,"")</f>
        <v/>
      </c>
      <c r="H301" s="29">
        <f>IF(AND(F301=1,ISNUMBER(E301)),E301,"")</f>
        <v/>
      </c>
      <c r="I301" s="22">
        <f>IF(AND(F301=1,ISNUMBER(C301)),C301,"")</f>
        <v/>
      </c>
      <c r="J301" s="11">
        <f>IF(G301="","",100-IF($G$13=1,50,(_xlfn.RANK.AVG(G301,$G$19:$G$1518,1)-1)/($G$13-1)*100))</f>
        <v/>
      </c>
      <c r="K301" s="11">
        <f>IF(H301="","",100-IF($G$14=1,50,(_xlfn.RANK.AVG(H301,$H$19:$H$1518,1)-1)/($G$14-1)*100))</f>
        <v/>
      </c>
      <c r="L301" s="11">
        <f>IF(I301="","",IF($G$15=1,50,(_xlfn.RANK.AVG(I301,$I$19:$I$1518,1)-1)/($G$15-1)*100))</f>
        <v/>
      </c>
      <c r="M301" s="11">
        <f>IF(COUNT(J301:L301)=3,ROUND(AVERAGE(J301:L301),6),"")</f>
        <v/>
      </c>
      <c r="O301">
        <f>IF(AND(ISNUMBER('자료_미국심리'!$A285),ISNUMBER('자료_미국심리'!$B285)),'자료_미국심리'!$A285,"")</f>
        <v/>
      </c>
      <c r="P301">
        <f>IF(AND(ISNUMBER('자료_미국심리'!$D285),ISNUMBER('자료_미국심리'!$E285)),'자료_미국심리'!$D285,"")</f>
        <v/>
      </c>
      <c r="Q301">
        <f>IF(AND(ISNUMBER('자료_미국심리'!$G285),ISNUMBER('자료_미국심리'!$H285)),'자료_미국심리'!$G285,"")</f>
        <v/>
      </c>
    </row>
    <row r="302">
      <c r="A302" s="10">
        <f>IF(284&gt;$E$5,"",SMALL($O$19:$O$4018,$E$6+284))</f>
        <v/>
      </c>
      <c r="B302" s="29">
        <f>IF(A302="","",INDEX('자료_미국심리'!$B$3:$B$4002,MATCH(A302,$O$19:$O$4018,0)))</f>
        <v/>
      </c>
      <c r="C302" s="22">
        <f>IF(A302="","",B302/AVERAGE(B178:B302)-1)</f>
        <v/>
      </c>
      <c r="D302" s="29">
        <f>IF(A302="","",IFERROR(INDEX('자료_미국심리'!$E$3:$E$4002,MATCH(A302,$P$19:$P$4018,0)),D301))</f>
        <v/>
      </c>
      <c r="E302" s="29">
        <f>IF(A302="","",IFERROR(INDEX('자료_미국심리'!$H$3:$H$4002,MATCH(A302,$Q$19:$Q$4018,0)),E301))</f>
        <v/>
      </c>
      <c r="F302">
        <f>IF(A302="",0,IF(A302&gt;$B$5,1,0))</f>
        <v/>
      </c>
      <c r="G302" s="29">
        <f>IF(AND(F302=1,ISNUMBER(D302)),D302,"")</f>
        <v/>
      </c>
      <c r="H302" s="29">
        <f>IF(AND(F302=1,ISNUMBER(E302)),E302,"")</f>
        <v/>
      </c>
      <c r="I302" s="22">
        <f>IF(AND(F302=1,ISNUMBER(C302)),C302,"")</f>
        <v/>
      </c>
      <c r="J302" s="11">
        <f>IF(G302="","",100-IF($G$13=1,50,(_xlfn.RANK.AVG(G302,$G$19:$G$1518,1)-1)/($G$13-1)*100))</f>
        <v/>
      </c>
      <c r="K302" s="11">
        <f>IF(H302="","",100-IF($G$14=1,50,(_xlfn.RANK.AVG(H302,$H$19:$H$1518,1)-1)/($G$14-1)*100))</f>
        <v/>
      </c>
      <c r="L302" s="11">
        <f>IF(I302="","",IF($G$15=1,50,(_xlfn.RANK.AVG(I302,$I$19:$I$1518,1)-1)/($G$15-1)*100))</f>
        <v/>
      </c>
      <c r="M302" s="11">
        <f>IF(COUNT(J302:L302)=3,ROUND(AVERAGE(J302:L302),6),"")</f>
        <v/>
      </c>
      <c r="O302">
        <f>IF(AND(ISNUMBER('자료_미국심리'!$A286),ISNUMBER('자료_미국심리'!$B286)),'자료_미국심리'!$A286,"")</f>
        <v/>
      </c>
      <c r="P302">
        <f>IF(AND(ISNUMBER('자료_미국심리'!$D286),ISNUMBER('자료_미국심리'!$E286)),'자료_미국심리'!$D286,"")</f>
        <v/>
      </c>
      <c r="Q302">
        <f>IF(AND(ISNUMBER('자료_미국심리'!$G286),ISNUMBER('자료_미국심리'!$H286)),'자료_미국심리'!$G286,"")</f>
        <v/>
      </c>
    </row>
    <row r="303">
      <c r="A303" s="10">
        <f>IF(285&gt;$E$5,"",SMALL($O$19:$O$4018,$E$6+285))</f>
        <v/>
      </c>
      <c r="B303" s="29">
        <f>IF(A303="","",INDEX('자료_미국심리'!$B$3:$B$4002,MATCH(A303,$O$19:$O$4018,0)))</f>
        <v/>
      </c>
      <c r="C303" s="22">
        <f>IF(A303="","",B303/AVERAGE(B179:B303)-1)</f>
        <v/>
      </c>
      <c r="D303" s="29">
        <f>IF(A303="","",IFERROR(INDEX('자료_미국심리'!$E$3:$E$4002,MATCH(A303,$P$19:$P$4018,0)),D302))</f>
        <v/>
      </c>
      <c r="E303" s="29">
        <f>IF(A303="","",IFERROR(INDEX('자료_미국심리'!$H$3:$H$4002,MATCH(A303,$Q$19:$Q$4018,0)),E302))</f>
        <v/>
      </c>
      <c r="F303">
        <f>IF(A303="",0,IF(A303&gt;$B$5,1,0))</f>
        <v/>
      </c>
      <c r="G303" s="29">
        <f>IF(AND(F303=1,ISNUMBER(D303)),D303,"")</f>
        <v/>
      </c>
      <c r="H303" s="29">
        <f>IF(AND(F303=1,ISNUMBER(E303)),E303,"")</f>
        <v/>
      </c>
      <c r="I303" s="22">
        <f>IF(AND(F303=1,ISNUMBER(C303)),C303,"")</f>
        <v/>
      </c>
      <c r="J303" s="11">
        <f>IF(G303="","",100-IF($G$13=1,50,(_xlfn.RANK.AVG(G303,$G$19:$G$1518,1)-1)/($G$13-1)*100))</f>
        <v/>
      </c>
      <c r="K303" s="11">
        <f>IF(H303="","",100-IF($G$14=1,50,(_xlfn.RANK.AVG(H303,$H$19:$H$1518,1)-1)/($G$14-1)*100))</f>
        <v/>
      </c>
      <c r="L303" s="11">
        <f>IF(I303="","",IF($G$15=1,50,(_xlfn.RANK.AVG(I303,$I$19:$I$1518,1)-1)/($G$15-1)*100))</f>
        <v/>
      </c>
      <c r="M303" s="11">
        <f>IF(COUNT(J303:L303)=3,ROUND(AVERAGE(J303:L303),6),"")</f>
        <v/>
      </c>
      <c r="O303">
        <f>IF(AND(ISNUMBER('자료_미국심리'!$A287),ISNUMBER('자료_미국심리'!$B287)),'자료_미국심리'!$A287,"")</f>
        <v/>
      </c>
      <c r="P303">
        <f>IF(AND(ISNUMBER('자료_미국심리'!$D287),ISNUMBER('자료_미국심리'!$E287)),'자료_미국심리'!$D287,"")</f>
        <v/>
      </c>
      <c r="Q303">
        <f>IF(AND(ISNUMBER('자료_미국심리'!$G287),ISNUMBER('자료_미국심리'!$H287)),'자료_미국심리'!$G287,"")</f>
        <v/>
      </c>
    </row>
    <row r="304">
      <c r="A304" s="10">
        <f>IF(286&gt;$E$5,"",SMALL($O$19:$O$4018,$E$6+286))</f>
        <v/>
      </c>
      <c r="B304" s="29">
        <f>IF(A304="","",INDEX('자료_미국심리'!$B$3:$B$4002,MATCH(A304,$O$19:$O$4018,0)))</f>
        <v/>
      </c>
      <c r="C304" s="22">
        <f>IF(A304="","",B304/AVERAGE(B180:B304)-1)</f>
        <v/>
      </c>
      <c r="D304" s="29">
        <f>IF(A304="","",IFERROR(INDEX('자료_미국심리'!$E$3:$E$4002,MATCH(A304,$P$19:$P$4018,0)),D303))</f>
        <v/>
      </c>
      <c r="E304" s="29">
        <f>IF(A304="","",IFERROR(INDEX('자료_미국심리'!$H$3:$H$4002,MATCH(A304,$Q$19:$Q$4018,0)),E303))</f>
        <v/>
      </c>
      <c r="F304">
        <f>IF(A304="",0,IF(A304&gt;$B$5,1,0))</f>
        <v/>
      </c>
      <c r="G304" s="29">
        <f>IF(AND(F304=1,ISNUMBER(D304)),D304,"")</f>
        <v/>
      </c>
      <c r="H304" s="29">
        <f>IF(AND(F304=1,ISNUMBER(E304)),E304,"")</f>
        <v/>
      </c>
      <c r="I304" s="22">
        <f>IF(AND(F304=1,ISNUMBER(C304)),C304,"")</f>
        <v/>
      </c>
      <c r="J304" s="11">
        <f>IF(G304="","",100-IF($G$13=1,50,(_xlfn.RANK.AVG(G304,$G$19:$G$1518,1)-1)/($G$13-1)*100))</f>
        <v/>
      </c>
      <c r="K304" s="11">
        <f>IF(H304="","",100-IF($G$14=1,50,(_xlfn.RANK.AVG(H304,$H$19:$H$1518,1)-1)/($G$14-1)*100))</f>
        <v/>
      </c>
      <c r="L304" s="11">
        <f>IF(I304="","",IF($G$15=1,50,(_xlfn.RANK.AVG(I304,$I$19:$I$1518,1)-1)/($G$15-1)*100))</f>
        <v/>
      </c>
      <c r="M304" s="11">
        <f>IF(COUNT(J304:L304)=3,ROUND(AVERAGE(J304:L304),6),"")</f>
        <v/>
      </c>
      <c r="O304">
        <f>IF(AND(ISNUMBER('자료_미국심리'!$A288),ISNUMBER('자료_미국심리'!$B288)),'자료_미국심리'!$A288,"")</f>
        <v/>
      </c>
      <c r="P304">
        <f>IF(AND(ISNUMBER('자료_미국심리'!$D288),ISNUMBER('자료_미국심리'!$E288)),'자료_미국심리'!$D288,"")</f>
        <v/>
      </c>
      <c r="Q304">
        <f>IF(AND(ISNUMBER('자료_미국심리'!$G288),ISNUMBER('자료_미국심리'!$H288)),'자료_미국심리'!$G288,"")</f>
        <v/>
      </c>
    </row>
    <row r="305">
      <c r="A305" s="10">
        <f>IF(287&gt;$E$5,"",SMALL($O$19:$O$4018,$E$6+287))</f>
        <v/>
      </c>
      <c r="B305" s="29">
        <f>IF(A305="","",INDEX('자료_미국심리'!$B$3:$B$4002,MATCH(A305,$O$19:$O$4018,0)))</f>
        <v/>
      </c>
      <c r="C305" s="22">
        <f>IF(A305="","",B305/AVERAGE(B181:B305)-1)</f>
        <v/>
      </c>
      <c r="D305" s="29">
        <f>IF(A305="","",IFERROR(INDEX('자료_미국심리'!$E$3:$E$4002,MATCH(A305,$P$19:$P$4018,0)),D304))</f>
        <v/>
      </c>
      <c r="E305" s="29">
        <f>IF(A305="","",IFERROR(INDEX('자료_미국심리'!$H$3:$H$4002,MATCH(A305,$Q$19:$Q$4018,0)),E304))</f>
        <v/>
      </c>
      <c r="F305">
        <f>IF(A305="",0,IF(A305&gt;$B$5,1,0))</f>
        <v/>
      </c>
      <c r="G305" s="29">
        <f>IF(AND(F305=1,ISNUMBER(D305)),D305,"")</f>
        <v/>
      </c>
      <c r="H305" s="29">
        <f>IF(AND(F305=1,ISNUMBER(E305)),E305,"")</f>
        <v/>
      </c>
      <c r="I305" s="22">
        <f>IF(AND(F305=1,ISNUMBER(C305)),C305,"")</f>
        <v/>
      </c>
      <c r="J305" s="11">
        <f>IF(G305="","",100-IF($G$13=1,50,(_xlfn.RANK.AVG(G305,$G$19:$G$1518,1)-1)/($G$13-1)*100))</f>
        <v/>
      </c>
      <c r="K305" s="11">
        <f>IF(H305="","",100-IF($G$14=1,50,(_xlfn.RANK.AVG(H305,$H$19:$H$1518,1)-1)/($G$14-1)*100))</f>
        <v/>
      </c>
      <c r="L305" s="11">
        <f>IF(I305="","",IF($G$15=1,50,(_xlfn.RANK.AVG(I305,$I$19:$I$1518,1)-1)/($G$15-1)*100))</f>
        <v/>
      </c>
      <c r="M305" s="11">
        <f>IF(COUNT(J305:L305)=3,ROUND(AVERAGE(J305:L305),6),"")</f>
        <v/>
      </c>
      <c r="O305">
        <f>IF(AND(ISNUMBER('자료_미국심리'!$A289),ISNUMBER('자료_미국심리'!$B289)),'자료_미국심리'!$A289,"")</f>
        <v/>
      </c>
      <c r="P305">
        <f>IF(AND(ISNUMBER('자료_미국심리'!$D289),ISNUMBER('자료_미국심리'!$E289)),'자료_미국심리'!$D289,"")</f>
        <v/>
      </c>
      <c r="Q305">
        <f>IF(AND(ISNUMBER('자료_미국심리'!$G289),ISNUMBER('자료_미국심리'!$H289)),'자료_미국심리'!$G289,"")</f>
        <v/>
      </c>
    </row>
    <row r="306">
      <c r="A306" s="10">
        <f>IF(288&gt;$E$5,"",SMALL($O$19:$O$4018,$E$6+288))</f>
        <v/>
      </c>
      <c r="B306" s="29">
        <f>IF(A306="","",INDEX('자료_미국심리'!$B$3:$B$4002,MATCH(A306,$O$19:$O$4018,0)))</f>
        <v/>
      </c>
      <c r="C306" s="22">
        <f>IF(A306="","",B306/AVERAGE(B182:B306)-1)</f>
        <v/>
      </c>
      <c r="D306" s="29">
        <f>IF(A306="","",IFERROR(INDEX('자료_미국심리'!$E$3:$E$4002,MATCH(A306,$P$19:$P$4018,0)),D305))</f>
        <v/>
      </c>
      <c r="E306" s="29">
        <f>IF(A306="","",IFERROR(INDEX('자료_미국심리'!$H$3:$H$4002,MATCH(A306,$Q$19:$Q$4018,0)),E305))</f>
        <v/>
      </c>
      <c r="F306">
        <f>IF(A306="",0,IF(A306&gt;$B$5,1,0))</f>
        <v/>
      </c>
      <c r="G306" s="29">
        <f>IF(AND(F306=1,ISNUMBER(D306)),D306,"")</f>
        <v/>
      </c>
      <c r="H306" s="29">
        <f>IF(AND(F306=1,ISNUMBER(E306)),E306,"")</f>
        <v/>
      </c>
      <c r="I306" s="22">
        <f>IF(AND(F306=1,ISNUMBER(C306)),C306,"")</f>
        <v/>
      </c>
      <c r="J306" s="11">
        <f>IF(G306="","",100-IF($G$13=1,50,(_xlfn.RANK.AVG(G306,$G$19:$G$1518,1)-1)/($G$13-1)*100))</f>
        <v/>
      </c>
      <c r="K306" s="11">
        <f>IF(H306="","",100-IF($G$14=1,50,(_xlfn.RANK.AVG(H306,$H$19:$H$1518,1)-1)/($G$14-1)*100))</f>
        <v/>
      </c>
      <c r="L306" s="11">
        <f>IF(I306="","",IF($G$15=1,50,(_xlfn.RANK.AVG(I306,$I$19:$I$1518,1)-1)/($G$15-1)*100))</f>
        <v/>
      </c>
      <c r="M306" s="11">
        <f>IF(COUNT(J306:L306)=3,ROUND(AVERAGE(J306:L306),6),"")</f>
        <v/>
      </c>
      <c r="O306">
        <f>IF(AND(ISNUMBER('자료_미국심리'!$A290),ISNUMBER('자료_미국심리'!$B290)),'자료_미국심리'!$A290,"")</f>
        <v/>
      </c>
      <c r="P306">
        <f>IF(AND(ISNUMBER('자료_미국심리'!$D290),ISNUMBER('자료_미국심리'!$E290)),'자료_미국심리'!$D290,"")</f>
        <v/>
      </c>
      <c r="Q306">
        <f>IF(AND(ISNUMBER('자료_미국심리'!$G290),ISNUMBER('자료_미국심리'!$H290)),'자료_미국심리'!$G290,"")</f>
        <v/>
      </c>
    </row>
    <row r="307">
      <c r="A307" s="10">
        <f>IF(289&gt;$E$5,"",SMALL($O$19:$O$4018,$E$6+289))</f>
        <v/>
      </c>
      <c r="B307" s="29">
        <f>IF(A307="","",INDEX('자료_미국심리'!$B$3:$B$4002,MATCH(A307,$O$19:$O$4018,0)))</f>
        <v/>
      </c>
      <c r="C307" s="22">
        <f>IF(A307="","",B307/AVERAGE(B183:B307)-1)</f>
        <v/>
      </c>
      <c r="D307" s="29">
        <f>IF(A307="","",IFERROR(INDEX('자료_미국심리'!$E$3:$E$4002,MATCH(A307,$P$19:$P$4018,0)),D306))</f>
        <v/>
      </c>
      <c r="E307" s="29">
        <f>IF(A307="","",IFERROR(INDEX('자료_미국심리'!$H$3:$H$4002,MATCH(A307,$Q$19:$Q$4018,0)),E306))</f>
        <v/>
      </c>
      <c r="F307">
        <f>IF(A307="",0,IF(A307&gt;$B$5,1,0))</f>
        <v/>
      </c>
      <c r="G307" s="29">
        <f>IF(AND(F307=1,ISNUMBER(D307)),D307,"")</f>
        <v/>
      </c>
      <c r="H307" s="29">
        <f>IF(AND(F307=1,ISNUMBER(E307)),E307,"")</f>
        <v/>
      </c>
      <c r="I307" s="22">
        <f>IF(AND(F307=1,ISNUMBER(C307)),C307,"")</f>
        <v/>
      </c>
      <c r="J307" s="11">
        <f>IF(G307="","",100-IF($G$13=1,50,(_xlfn.RANK.AVG(G307,$G$19:$G$1518,1)-1)/($G$13-1)*100))</f>
        <v/>
      </c>
      <c r="K307" s="11">
        <f>IF(H307="","",100-IF($G$14=1,50,(_xlfn.RANK.AVG(H307,$H$19:$H$1518,1)-1)/($G$14-1)*100))</f>
        <v/>
      </c>
      <c r="L307" s="11">
        <f>IF(I307="","",IF($G$15=1,50,(_xlfn.RANK.AVG(I307,$I$19:$I$1518,1)-1)/($G$15-1)*100))</f>
        <v/>
      </c>
      <c r="M307" s="11">
        <f>IF(COUNT(J307:L307)=3,ROUND(AVERAGE(J307:L307),6),"")</f>
        <v/>
      </c>
      <c r="O307">
        <f>IF(AND(ISNUMBER('자료_미국심리'!$A291),ISNUMBER('자료_미국심리'!$B291)),'자료_미국심리'!$A291,"")</f>
        <v/>
      </c>
      <c r="P307">
        <f>IF(AND(ISNUMBER('자료_미국심리'!$D291),ISNUMBER('자료_미국심리'!$E291)),'자료_미국심리'!$D291,"")</f>
        <v/>
      </c>
      <c r="Q307">
        <f>IF(AND(ISNUMBER('자료_미국심리'!$G291),ISNUMBER('자료_미국심리'!$H291)),'자료_미국심리'!$G291,"")</f>
        <v/>
      </c>
    </row>
    <row r="308">
      <c r="A308" s="10">
        <f>IF(290&gt;$E$5,"",SMALL($O$19:$O$4018,$E$6+290))</f>
        <v/>
      </c>
      <c r="B308" s="29">
        <f>IF(A308="","",INDEX('자료_미국심리'!$B$3:$B$4002,MATCH(A308,$O$19:$O$4018,0)))</f>
        <v/>
      </c>
      <c r="C308" s="22">
        <f>IF(A308="","",B308/AVERAGE(B184:B308)-1)</f>
        <v/>
      </c>
      <c r="D308" s="29">
        <f>IF(A308="","",IFERROR(INDEX('자료_미국심리'!$E$3:$E$4002,MATCH(A308,$P$19:$P$4018,0)),D307))</f>
        <v/>
      </c>
      <c r="E308" s="29">
        <f>IF(A308="","",IFERROR(INDEX('자료_미국심리'!$H$3:$H$4002,MATCH(A308,$Q$19:$Q$4018,0)),E307))</f>
        <v/>
      </c>
      <c r="F308">
        <f>IF(A308="",0,IF(A308&gt;$B$5,1,0))</f>
        <v/>
      </c>
      <c r="G308" s="29">
        <f>IF(AND(F308=1,ISNUMBER(D308)),D308,"")</f>
        <v/>
      </c>
      <c r="H308" s="29">
        <f>IF(AND(F308=1,ISNUMBER(E308)),E308,"")</f>
        <v/>
      </c>
      <c r="I308" s="22">
        <f>IF(AND(F308=1,ISNUMBER(C308)),C308,"")</f>
        <v/>
      </c>
      <c r="J308" s="11">
        <f>IF(G308="","",100-IF($G$13=1,50,(_xlfn.RANK.AVG(G308,$G$19:$G$1518,1)-1)/($G$13-1)*100))</f>
        <v/>
      </c>
      <c r="K308" s="11">
        <f>IF(H308="","",100-IF($G$14=1,50,(_xlfn.RANK.AVG(H308,$H$19:$H$1518,1)-1)/($G$14-1)*100))</f>
        <v/>
      </c>
      <c r="L308" s="11">
        <f>IF(I308="","",IF($G$15=1,50,(_xlfn.RANK.AVG(I308,$I$19:$I$1518,1)-1)/($G$15-1)*100))</f>
        <v/>
      </c>
      <c r="M308" s="11">
        <f>IF(COUNT(J308:L308)=3,ROUND(AVERAGE(J308:L308),6),"")</f>
        <v/>
      </c>
      <c r="O308">
        <f>IF(AND(ISNUMBER('자료_미국심리'!$A292),ISNUMBER('자료_미국심리'!$B292)),'자료_미국심리'!$A292,"")</f>
        <v/>
      </c>
      <c r="P308">
        <f>IF(AND(ISNUMBER('자료_미국심리'!$D292),ISNUMBER('자료_미국심리'!$E292)),'자료_미국심리'!$D292,"")</f>
        <v/>
      </c>
      <c r="Q308">
        <f>IF(AND(ISNUMBER('자료_미국심리'!$G292),ISNUMBER('자료_미국심리'!$H292)),'자료_미국심리'!$G292,"")</f>
        <v/>
      </c>
    </row>
    <row r="309">
      <c r="A309" s="10">
        <f>IF(291&gt;$E$5,"",SMALL($O$19:$O$4018,$E$6+291))</f>
        <v/>
      </c>
      <c r="B309" s="29">
        <f>IF(A309="","",INDEX('자료_미국심리'!$B$3:$B$4002,MATCH(A309,$O$19:$O$4018,0)))</f>
        <v/>
      </c>
      <c r="C309" s="22">
        <f>IF(A309="","",B309/AVERAGE(B185:B309)-1)</f>
        <v/>
      </c>
      <c r="D309" s="29">
        <f>IF(A309="","",IFERROR(INDEX('자료_미국심리'!$E$3:$E$4002,MATCH(A309,$P$19:$P$4018,0)),D308))</f>
        <v/>
      </c>
      <c r="E309" s="29">
        <f>IF(A309="","",IFERROR(INDEX('자료_미국심리'!$H$3:$H$4002,MATCH(A309,$Q$19:$Q$4018,0)),E308))</f>
        <v/>
      </c>
      <c r="F309">
        <f>IF(A309="",0,IF(A309&gt;$B$5,1,0))</f>
        <v/>
      </c>
      <c r="G309" s="29">
        <f>IF(AND(F309=1,ISNUMBER(D309)),D309,"")</f>
        <v/>
      </c>
      <c r="H309" s="29">
        <f>IF(AND(F309=1,ISNUMBER(E309)),E309,"")</f>
        <v/>
      </c>
      <c r="I309" s="22">
        <f>IF(AND(F309=1,ISNUMBER(C309)),C309,"")</f>
        <v/>
      </c>
      <c r="J309" s="11">
        <f>IF(G309="","",100-IF($G$13=1,50,(_xlfn.RANK.AVG(G309,$G$19:$G$1518,1)-1)/($G$13-1)*100))</f>
        <v/>
      </c>
      <c r="K309" s="11">
        <f>IF(H309="","",100-IF($G$14=1,50,(_xlfn.RANK.AVG(H309,$H$19:$H$1518,1)-1)/($G$14-1)*100))</f>
        <v/>
      </c>
      <c r="L309" s="11">
        <f>IF(I309="","",IF($G$15=1,50,(_xlfn.RANK.AVG(I309,$I$19:$I$1518,1)-1)/($G$15-1)*100))</f>
        <v/>
      </c>
      <c r="M309" s="11">
        <f>IF(COUNT(J309:L309)=3,ROUND(AVERAGE(J309:L309),6),"")</f>
        <v/>
      </c>
      <c r="O309">
        <f>IF(AND(ISNUMBER('자료_미국심리'!$A293),ISNUMBER('자료_미국심리'!$B293)),'자료_미국심리'!$A293,"")</f>
        <v/>
      </c>
      <c r="P309">
        <f>IF(AND(ISNUMBER('자료_미국심리'!$D293),ISNUMBER('자료_미국심리'!$E293)),'자료_미국심리'!$D293,"")</f>
        <v/>
      </c>
      <c r="Q309">
        <f>IF(AND(ISNUMBER('자료_미국심리'!$G293),ISNUMBER('자료_미국심리'!$H293)),'자료_미국심리'!$G293,"")</f>
        <v/>
      </c>
    </row>
    <row r="310">
      <c r="A310" s="10">
        <f>IF(292&gt;$E$5,"",SMALL($O$19:$O$4018,$E$6+292))</f>
        <v/>
      </c>
      <c r="B310" s="29">
        <f>IF(A310="","",INDEX('자료_미국심리'!$B$3:$B$4002,MATCH(A310,$O$19:$O$4018,0)))</f>
        <v/>
      </c>
      <c r="C310" s="22">
        <f>IF(A310="","",B310/AVERAGE(B186:B310)-1)</f>
        <v/>
      </c>
      <c r="D310" s="29">
        <f>IF(A310="","",IFERROR(INDEX('자료_미국심리'!$E$3:$E$4002,MATCH(A310,$P$19:$P$4018,0)),D309))</f>
        <v/>
      </c>
      <c r="E310" s="29">
        <f>IF(A310="","",IFERROR(INDEX('자료_미국심리'!$H$3:$H$4002,MATCH(A310,$Q$19:$Q$4018,0)),E309))</f>
        <v/>
      </c>
      <c r="F310">
        <f>IF(A310="",0,IF(A310&gt;$B$5,1,0))</f>
        <v/>
      </c>
      <c r="G310" s="29">
        <f>IF(AND(F310=1,ISNUMBER(D310)),D310,"")</f>
        <v/>
      </c>
      <c r="H310" s="29">
        <f>IF(AND(F310=1,ISNUMBER(E310)),E310,"")</f>
        <v/>
      </c>
      <c r="I310" s="22">
        <f>IF(AND(F310=1,ISNUMBER(C310)),C310,"")</f>
        <v/>
      </c>
      <c r="J310" s="11">
        <f>IF(G310="","",100-IF($G$13=1,50,(_xlfn.RANK.AVG(G310,$G$19:$G$1518,1)-1)/($G$13-1)*100))</f>
        <v/>
      </c>
      <c r="K310" s="11">
        <f>IF(H310="","",100-IF($G$14=1,50,(_xlfn.RANK.AVG(H310,$H$19:$H$1518,1)-1)/($G$14-1)*100))</f>
        <v/>
      </c>
      <c r="L310" s="11">
        <f>IF(I310="","",IF($G$15=1,50,(_xlfn.RANK.AVG(I310,$I$19:$I$1518,1)-1)/($G$15-1)*100))</f>
        <v/>
      </c>
      <c r="M310" s="11">
        <f>IF(COUNT(J310:L310)=3,ROUND(AVERAGE(J310:L310),6),"")</f>
        <v/>
      </c>
      <c r="O310">
        <f>IF(AND(ISNUMBER('자료_미국심리'!$A294),ISNUMBER('자료_미국심리'!$B294)),'자료_미국심리'!$A294,"")</f>
        <v/>
      </c>
      <c r="P310">
        <f>IF(AND(ISNUMBER('자료_미국심리'!$D294),ISNUMBER('자료_미국심리'!$E294)),'자료_미국심리'!$D294,"")</f>
        <v/>
      </c>
      <c r="Q310">
        <f>IF(AND(ISNUMBER('자료_미국심리'!$G294),ISNUMBER('자료_미국심리'!$H294)),'자료_미국심리'!$G294,"")</f>
        <v/>
      </c>
    </row>
    <row r="311">
      <c r="A311" s="10">
        <f>IF(293&gt;$E$5,"",SMALL($O$19:$O$4018,$E$6+293))</f>
        <v/>
      </c>
      <c r="B311" s="29">
        <f>IF(A311="","",INDEX('자료_미국심리'!$B$3:$B$4002,MATCH(A311,$O$19:$O$4018,0)))</f>
        <v/>
      </c>
      <c r="C311" s="22">
        <f>IF(A311="","",B311/AVERAGE(B187:B311)-1)</f>
        <v/>
      </c>
      <c r="D311" s="29">
        <f>IF(A311="","",IFERROR(INDEX('자료_미국심리'!$E$3:$E$4002,MATCH(A311,$P$19:$P$4018,0)),D310))</f>
        <v/>
      </c>
      <c r="E311" s="29">
        <f>IF(A311="","",IFERROR(INDEX('자료_미국심리'!$H$3:$H$4002,MATCH(A311,$Q$19:$Q$4018,0)),E310))</f>
        <v/>
      </c>
      <c r="F311">
        <f>IF(A311="",0,IF(A311&gt;$B$5,1,0))</f>
        <v/>
      </c>
      <c r="G311" s="29">
        <f>IF(AND(F311=1,ISNUMBER(D311)),D311,"")</f>
        <v/>
      </c>
      <c r="H311" s="29">
        <f>IF(AND(F311=1,ISNUMBER(E311)),E311,"")</f>
        <v/>
      </c>
      <c r="I311" s="22">
        <f>IF(AND(F311=1,ISNUMBER(C311)),C311,"")</f>
        <v/>
      </c>
      <c r="J311" s="11">
        <f>IF(G311="","",100-IF($G$13=1,50,(_xlfn.RANK.AVG(G311,$G$19:$G$1518,1)-1)/($G$13-1)*100))</f>
        <v/>
      </c>
      <c r="K311" s="11">
        <f>IF(H311="","",100-IF($G$14=1,50,(_xlfn.RANK.AVG(H311,$H$19:$H$1518,1)-1)/($G$14-1)*100))</f>
        <v/>
      </c>
      <c r="L311" s="11">
        <f>IF(I311="","",IF($G$15=1,50,(_xlfn.RANK.AVG(I311,$I$19:$I$1518,1)-1)/($G$15-1)*100))</f>
        <v/>
      </c>
      <c r="M311" s="11">
        <f>IF(COUNT(J311:L311)=3,ROUND(AVERAGE(J311:L311),6),"")</f>
        <v/>
      </c>
      <c r="O311">
        <f>IF(AND(ISNUMBER('자료_미국심리'!$A295),ISNUMBER('자료_미국심리'!$B295)),'자료_미국심리'!$A295,"")</f>
        <v/>
      </c>
      <c r="P311">
        <f>IF(AND(ISNUMBER('자료_미국심리'!$D295),ISNUMBER('자료_미국심리'!$E295)),'자료_미국심리'!$D295,"")</f>
        <v/>
      </c>
      <c r="Q311">
        <f>IF(AND(ISNUMBER('자료_미국심리'!$G295),ISNUMBER('자료_미국심리'!$H295)),'자료_미국심리'!$G295,"")</f>
        <v/>
      </c>
    </row>
    <row r="312">
      <c r="A312" s="10">
        <f>IF(294&gt;$E$5,"",SMALL($O$19:$O$4018,$E$6+294))</f>
        <v/>
      </c>
      <c r="B312" s="29">
        <f>IF(A312="","",INDEX('자료_미국심리'!$B$3:$B$4002,MATCH(A312,$O$19:$O$4018,0)))</f>
        <v/>
      </c>
      <c r="C312" s="22">
        <f>IF(A312="","",B312/AVERAGE(B188:B312)-1)</f>
        <v/>
      </c>
      <c r="D312" s="29">
        <f>IF(A312="","",IFERROR(INDEX('자료_미국심리'!$E$3:$E$4002,MATCH(A312,$P$19:$P$4018,0)),D311))</f>
        <v/>
      </c>
      <c r="E312" s="29">
        <f>IF(A312="","",IFERROR(INDEX('자료_미국심리'!$H$3:$H$4002,MATCH(A312,$Q$19:$Q$4018,0)),E311))</f>
        <v/>
      </c>
      <c r="F312">
        <f>IF(A312="",0,IF(A312&gt;$B$5,1,0))</f>
        <v/>
      </c>
      <c r="G312" s="29">
        <f>IF(AND(F312=1,ISNUMBER(D312)),D312,"")</f>
        <v/>
      </c>
      <c r="H312" s="29">
        <f>IF(AND(F312=1,ISNUMBER(E312)),E312,"")</f>
        <v/>
      </c>
      <c r="I312" s="22">
        <f>IF(AND(F312=1,ISNUMBER(C312)),C312,"")</f>
        <v/>
      </c>
      <c r="J312" s="11">
        <f>IF(G312="","",100-IF($G$13=1,50,(_xlfn.RANK.AVG(G312,$G$19:$G$1518,1)-1)/($G$13-1)*100))</f>
        <v/>
      </c>
      <c r="K312" s="11">
        <f>IF(H312="","",100-IF($G$14=1,50,(_xlfn.RANK.AVG(H312,$H$19:$H$1518,1)-1)/($G$14-1)*100))</f>
        <v/>
      </c>
      <c r="L312" s="11">
        <f>IF(I312="","",IF($G$15=1,50,(_xlfn.RANK.AVG(I312,$I$19:$I$1518,1)-1)/($G$15-1)*100))</f>
        <v/>
      </c>
      <c r="M312" s="11">
        <f>IF(COUNT(J312:L312)=3,ROUND(AVERAGE(J312:L312),6),"")</f>
        <v/>
      </c>
      <c r="O312">
        <f>IF(AND(ISNUMBER('자료_미국심리'!$A296),ISNUMBER('자료_미국심리'!$B296)),'자료_미국심리'!$A296,"")</f>
        <v/>
      </c>
      <c r="P312">
        <f>IF(AND(ISNUMBER('자료_미국심리'!$D296),ISNUMBER('자료_미국심리'!$E296)),'자료_미국심리'!$D296,"")</f>
        <v/>
      </c>
      <c r="Q312">
        <f>IF(AND(ISNUMBER('자료_미국심리'!$G296),ISNUMBER('자료_미국심리'!$H296)),'자료_미국심리'!$G296,"")</f>
        <v/>
      </c>
    </row>
    <row r="313">
      <c r="A313" s="10">
        <f>IF(295&gt;$E$5,"",SMALL($O$19:$O$4018,$E$6+295))</f>
        <v/>
      </c>
      <c r="B313" s="29">
        <f>IF(A313="","",INDEX('자료_미국심리'!$B$3:$B$4002,MATCH(A313,$O$19:$O$4018,0)))</f>
        <v/>
      </c>
      <c r="C313" s="22">
        <f>IF(A313="","",B313/AVERAGE(B189:B313)-1)</f>
        <v/>
      </c>
      <c r="D313" s="29">
        <f>IF(A313="","",IFERROR(INDEX('자료_미국심리'!$E$3:$E$4002,MATCH(A313,$P$19:$P$4018,0)),D312))</f>
        <v/>
      </c>
      <c r="E313" s="29">
        <f>IF(A313="","",IFERROR(INDEX('자료_미국심리'!$H$3:$H$4002,MATCH(A313,$Q$19:$Q$4018,0)),E312))</f>
        <v/>
      </c>
      <c r="F313">
        <f>IF(A313="",0,IF(A313&gt;$B$5,1,0))</f>
        <v/>
      </c>
      <c r="G313" s="29">
        <f>IF(AND(F313=1,ISNUMBER(D313)),D313,"")</f>
        <v/>
      </c>
      <c r="H313" s="29">
        <f>IF(AND(F313=1,ISNUMBER(E313)),E313,"")</f>
        <v/>
      </c>
      <c r="I313" s="22">
        <f>IF(AND(F313=1,ISNUMBER(C313)),C313,"")</f>
        <v/>
      </c>
      <c r="J313" s="11">
        <f>IF(G313="","",100-IF($G$13=1,50,(_xlfn.RANK.AVG(G313,$G$19:$G$1518,1)-1)/($G$13-1)*100))</f>
        <v/>
      </c>
      <c r="K313" s="11">
        <f>IF(H313="","",100-IF($G$14=1,50,(_xlfn.RANK.AVG(H313,$H$19:$H$1518,1)-1)/($G$14-1)*100))</f>
        <v/>
      </c>
      <c r="L313" s="11">
        <f>IF(I313="","",IF($G$15=1,50,(_xlfn.RANK.AVG(I313,$I$19:$I$1518,1)-1)/($G$15-1)*100))</f>
        <v/>
      </c>
      <c r="M313" s="11">
        <f>IF(COUNT(J313:L313)=3,ROUND(AVERAGE(J313:L313),6),"")</f>
        <v/>
      </c>
      <c r="O313">
        <f>IF(AND(ISNUMBER('자료_미국심리'!$A297),ISNUMBER('자료_미국심리'!$B297)),'자료_미국심리'!$A297,"")</f>
        <v/>
      </c>
      <c r="P313">
        <f>IF(AND(ISNUMBER('자료_미국심리'!$D297),ISNUMBER('자료_미국심리'!$E297)),'자료_미국심리'!$D297,"")</f>
        <v/>
      </c>
      <c r="Q313">
        <f>IF(AND(ISNUMBER('자료_미국심리'!$G297),ISNUMBER('자료_미국심리'!$H297)),'자료_미국심리'!$G297,"")</f>
        <v/>
      </c>
    </row>
    <row r="314">
      <c r="A314" s="10">
        <f>IF(296&gt;$E$5,"",SMALL($O$19:$O$4018,$E$6+296))</f>
        <v/>
      </c>
      <c r="B314" s="29">
        <f>IF(A314="","",INDEX('자료_미국심리'!$B$3:$B$4002,MATCH(A314,$O$19:$O$4018,0)))</f>
        <v/>
      </c>
      <c r="C314" s="22">
        <f>IF(A314="","",B314/AVERAGE(B190:B314)-1)</f>
        <v/>
      </c>
      <c r="D314" s="29">
        <f>IF(A314="","",IFERROR(INDEX('자료_미국심리'!$E$3:$E$4002,MATCH(A314,$P$19:$P$4018,0)),D313))</f>
        <v/>
      </c>
      <c r="E314" s="29">
        <f>IF(A314="","",IFERROR(INDEX('자료_미국심리'!$H$3:$H$4002,MATCH(A314,$Q$19:$Q$4018,0)),E313))</f>
        <v/>
      </c>
      <c r="F314">
        <f>IF(A314="",0,IF(A314&gt;$B$5,1,0))</f>
        <v/>
      </c>
      <c r="G314" s="29">
        <f>IF(AND(F314=1,ISNUMBER(D314)),D314,"")</f>
        <v/>
      </c>
      <c r="H314" s="29">
        <f>IF(AND(F314=1,ISNUMBER(E314)),E314,"")</f>
        <v/>
      </c>
      <c r="I314" s="22">
        <f>IF(AND(F314=1,ISNUMBER(C314)),C314,"")</f>
        <v/>
      </c>
      <c r="J314" s="11">
        <f>IF(G314="","",100-IF($G$13=1,50,(_xlfn.RANK.AVG(G314,$G$19:$G$1518,1)-1)/($G$13-1)*100))</f>
        <v/>
      </c>
      <c r="K314" s="11">
        <f>IF(H314="","",100-IF($G$14=1,50,(_xlfn.RANK.AVG(H314,$H$19:$H$1518,1)-1)/($G$14-1)*100))</f>
        <v/>
      </c>
      <c r="L314" s="11">
        <f>IF(I314="","",IF($G$15=1,50,(_xlfn.RANK.AVG(I314,$I$19:$I$1518,1)-1)/($G$15-1)*100))</f>
        <v/>
      </c>
      <c r="M314" s="11">
        <f>IF(COUNT(J314:L314)=3,ROUND(AVERAGE(J314:L314),6),"")</f>
        <v/>
      </c>
      <c r="O314">
        <f>IF(AND(ISNUMBER('자료_미국심리'!$A298),ISNUMBER('자료_미국심리'!$B298)),'자료_미국심리'!$A298,"")</f>
        <v/>
      </c>
      <c r="P314">
        <f>IF(AND(ISNUMBER('자료_미국심리'!$D298),ISNUMBER('자료_미국심리'!$E298)),'자료_미국심리'!$D298,"")</f>
        <v/>
      </c>
      <c r="Q314">
        <f>IF(AND(ISNUMBER('자료_미국심리'!$G298),ISNUMBER('자료_미국심리'!$H298)),'자료_미국심리'!$G298,"")</f>
        <v/>
      </c>
    </row>
    <row r="315">
      <c r="A315" s="10">
        <f>IF(297&gt;$E$5,"",SMALL($O$19:$O$4018,$E$6+297))</f>
        <v/>
      </c>
      <c r="B315" s="29">
        <f>IF(A315="","",INDEX('자료_미국심리'!$B$3:$B$4002,MATCH(A315,$O$19:$O$4018,0)))</f>
        <v/>
      </c>
      <c r="C315" s="22">
        <f>IF(A315="","",B315/AVERAGE(B191:B315)-1)</f>
        <v/>
      </c>
      <c r="D315" s="29">
        <f>IF(A315="","",IFERROR(INDEX('자료_미국심리'!$E$3:$E$4002,MATCH(A315,$P$19:$P$4018,0)),D314))</f>
        <v/>
      </c>
      <c r="E315" s="29">
        <f>IF(A315="","",IFERROR(INDEX('자료_미국심리'!$H$3:$H$4002,MATCH(A315,$Q$19:$Q$4018,0)),E314))</f>
        <v/>
      </c>
      <c r="F315">
        <f>IF(A315="",0,IF(A315&gt;$B$5,1,0))</f>
        <v/>
      </c>
      <c r="G315" s="29">
        <f>IF(AND(F315=1,ISNUMBER(D315)),D315,"")</f>
        <v/>
      </c>
      <c r="H315" s="29">
        <f>IF(AND(F315=1,ISNUMBER(E315)),E315,"")</f>
        <v/>
      </c>
      <c r="I315" s="22">
        <f>IF(AND(F315=1,ISNUMBER(C315)),C315,"")</f>
        <v/>
      </c>
      <c r="J315" s="11">
        <f>IF(G315="","",100-IF($G$13=1,50,(_xlfn.RANK.AVG(G315,$G$19:$G$1518,1)-1)/($G$13-1)*100))</f>
        <v/>
      </c>
      <c r="K315" s="11">
        <f>IF(H315="","",100-IF($G$14=1,50,(_xlfn.RANK.AVG(H315,$H$19:$H$1518,1)-1)/($G$14-1)*100))</f>
        <v/>
      </c>
      <c r="L315" s="11">
        <f>IF(I315="","",IF($G$15=1,50,(_xlfn.RANK.AVG(I315,$I$19:$I$1518,1)-1)/($G$15-1)*100))</f>
        <v/>
      </c>
      <c r="M315" s="11">
        <f>IF(COUNT(J315:L315)=3,ROUND(AVERAGE(J315:L315),6),"")</f>
        <v/>
      </c>
      <c r="O315">
        <f>IF(AND(ISNUMBER('자료_미국심리'!$A299),ISNUMBER('자료_미국심리'!$B299)),'자료_미국심리'!$A299,"")</f>
        <v/>
      </c>
      <c r="P315">
        <f>IF(AND(ISNUMBER('자료_미국심리'!$D299),ISNUMBER('자료_미국심리'!$E299)),'자료_미국심리'!$D299,"")</f>
        <v/>
      </c>
      <c r="Q315">
        <f>IF(AND(ISNUMBER('자료_미국심리'!$G299),ISNUMBER('자료_미국심리'!$H299)),'자료_미국심리'!$G299,"")</f>
        <v/>
      </c>
    </row>
    <row r="316">
      <c r="A316" s="10">
        <f>IF(298&gt;$E$5,"",SMALL($O$19:$O$4018,$E$6+298))</f>
        <v/>
      </c>
      <c r="B316" s="29">
        <f>IF(A316="","",INDEX('자료_미국심리'!$B$3:$B$4002,MATCH(A316,$O$19:$O$4018,0)))</f>
        <v/>
      </c>
      <c r="C316" s="22">
        <f>IF(A316="","",B316/AVERAGE(B192:B316)-1)</f>
        <v/>
      </c>
      <c r="D316" s="29">
        <f>IF(A316="","",IFERROR(INDEX('자료_미국심리'!$E$3:$E$4002,MATCH(A316,$P$19:$P$4018,0)),D315))</f>
        <v/>
      </c>
      <c r="E316" s="29">
        <f>IF(A316="","",IFERROR(INDEX('자료_미국심리'!$H$3:$H$4002,MATCH(A316,$Q$19:$Q$4018,0)),E315))</f>
        <v/>
      </c>
      <c r="F316">
        <f>IF(A316="",0,IF(A316&gt;$B$5,1,0))</f>
        <v/>
      </c>
      <c r="G316" s="29">
        <f>IF(AND(F316=1,ISNUMBER(D316)),D316,"")</f>
        <v/>
      </c>
      <c r="H316" s="29">
        <f>IF(AND(F316=1,ISNUMBER(E316)),E316,"")</f>
        <v/>
      </c>
      <c r="I316" s="22">
        <f>IF(AND(F316=1,ISNUMBER(C316)),C316,"")</f>
        <v/>
      </c>
      <c r="J316" s="11">
        <f>IF(G316="","",100-IF($G$13=1,50,(_xlfn.RANK.AVG(G316,$G$19:$G$1518,1)-1)/($G$13-1)*100))</f>
        <v/>
      </c>
      <c r="K316" s="11">
        <f>IF(H316="","",100-IF($G$14=1,50,(_xlfn.RANK.AVG(H316,$H$19:$H$1518,1)-1)/($G$14-1)*100))</f>
        <v/>
      </c>
      <c r="L316" s="11">
        <f>IF(I316="","",IF($G$15=1,50,(_xlfn.RANK.AVG(I316,$I$19:$I$1518,1)-1)/($G$15-1)*100))</f>
        <v/>
      </c>
      <c r="M316" s="11">
        <f>IF(COUNT(J316:L316)=3,ROUND(AVERAGE(J316:L316),6),"")</f>
        <v/>
      </c>
      <c r="O316">
        <f>IF(AND(ISNUMBER('자료_미국심리'!$A300),ISNUMBER('자료_미국심리'!$B300)),'자료_미국심리'!$A300,"")</f>
        <v/>
      </c>
      <c r="P316">
        <f>IF(AND(ISNUMBER('자료_미국심리'!$D300),ISNUMBER('자료_미국심리'!$E300)),'자료_미국심리'!$D300,"")</f>
        <v/>
      </c>
      <c r="Q316">
        <f>IF(AND(ISNUMBER('자료_미국심리'!$G300),ISNUMBER('자료_미국심리'!$H300)),'자료_미국심리'!$G300,"")</f>
        <v/>
      </c>
    </row>
    <row r="317">
      <c r="A317" s="10">
        <f>IF(299&gt;$E$5,"",SMALL($O$19:$O$4018,$E$6+299))</f>
        <v/>
      </c>
      <c r="B317" s="29">
        <f>IF(A317="","",INDEX('자료_미국심리'!$B$3:$B$4002,MATCH(A317,$O$19:$O$4018,0)))</f>
        <v/>
      </c>
      <c r="C317" s="22">
        <f>IF(A317="","",B317/AVERAGE(B193:B317)-1)</f>
        <v/>
      </c>
      <c r="D317" s="29">
        <f>IF(A317="","",IFERROR(INDEX('자료_미국심리'!$E$3:$E$4002,MATCH(A317,$P$19:$P$4018,0)),D316))</f>
        <v/>
      </c>
      <c r="E317" s="29">
        <f>IF(A317="","",IFERROR(INDEX('자료_미국심리'!$H$3:$H$4002,MATCH(A317,$Q$19:$Q$4018,0)),E316))</f>
        <v/>
      </c>
      <c r="F317">
        <f>IF(A317="",0,IF(A317&gt;$B$5,1,0))</f>
        <v/>
      </c>
      <c r="G317" s="29">
        <f>IF(AND(F317=1,ISNUMBER(D317)),D317,"")</f>
        <v/>
      </c>
      <c r="H317" s="29">
        <f>IF(AND(F317=1,ISNUMBER(E317)),E317,"")</f>
        <v/>
      </c>
      <c r="I317" s="22">
        <f>IF(AND(F317=1,ISNUMBER(C317)),C317,"")</f>
        <v/>
      </c>
      <c r="J317" s="11">
        <f>IF(G317="","",100-IF($G$13=1,50,(_xlfn.RANK.AVG(G317,$G$19:$G$1518,1)-1)/($G$13-1)*100))</f>
        <v/>
      </c>
      <c r="K317" s="11">
        <f>IF(H317="","",100-IF($G$14=1,50,(_xlfn.RANK.AVG(H317,$H$19:$H$1518,1)-1)/($G$14-1)*100))</f>
        <v/>
      </c>
      <c r="L317" s="11">
        <f>IF(I317="","",IF($G$15=1,50,(_xlfn.RANK.AVG(I317,$I$19:$I$1518,1)-1)/($G$15-1)*100))</f>
        <v/>
      </c>
      <c r="M317" s="11">
        <f>IF(COUNT(J317:L317)=3,ROUND(AVERAGE(J317:L317),6),"")</f>
        <v/>
      </c>
      <c r="O317">
        <f>IF(AND(ISNUMBER('자료_미국심리'!$A301),ISNUMBER('자료_미국심리'!$B301)),'자료_미국심리'!$A301,"")</f>
        <v/>
      </c>
      <c r="P317">
        <f>IF(AND(ISNUMBER('자료_미국심리'!$D301),ISNUMBER('자료_미국심리'!$E301)),'자료_미국심리'!$D301,"")</f>
        <v/>
      </c>
      <c r="Q317">
        <f>IF(AND(ISNUMBER('자료_미국심리'!$G301),ISNUMBER('자료_미국심리'!$H301)),'자료_미국심리'!$G301,"")</f>
        <v/>
      </c>
    </row>
    <row r="318">
      <c r="A318" s="10">
        <f>IF(300&gt;$E$5,"",SMALL($O$19:$O$4018,$E$6+300))</f>
        <v/>
      </c>
      <c r="B318" s="29">
        <f>IF(A318="","",INDEX('자료_미국심리'!$B$3:$B$4002,MATCH(A318,$O$19:$O$4018,0)))</f>
        <v/>
      </c>
      <c r="C318" s="22">
        <f>IF(A318="","",B318/AVERAGE(B194:B318)-1)</f>
        <v/>
      </c>
      <c r="D318" s="29">
        <f>IF(A318="","",IFERROR(INDEX('자료_미국심리'!$E$3:$E$4002,MATCH(A318,$P$19:$P$4018,0)),D317))</f>
        <v/>
      </c>
      <c r="E318" s="29">
        <f>IF(A318="","",IFERROR(INDEX('자료_미국심리'!$H$3:$H$4002,MATCH(A318,$Q$19:$Q$4018,0)),E317))</f>
        <v/>
      </c>
      <c r="F318">
        <f>IF(A318="",0,IF(A318&gt;$B$5,1,0))</f>
        <v/>
      </c>
      <c r="G318" s="29">
        <f>IF(AND(F318=1,ISNUMBER(D318)),D318,"")</f>
        <v/>
      </c>
      <c r="H318" s="29">
        <f>IF(AND(F318=1,ISNUMBER(E318)),E318,"")</f>
        <v/>
      </c>
      <c r="I318" s="22">
        <f>IF(AND(F318=1,ISNUMBER(C318)),C318,"")</f>
        <v/>
      </c>
      <c r="J318" s="11">
        <f>IF(G318="","",100-IF($G$13=1,50,(_xlfn.RANK.AVG(G318,$G$19:$G$1518,1)-1)/($G$13-1)*100))</f>
        <v/>
      </c>
      <c r="K318" s="11">
        <f>IF(H318="","",100-IF($G$14=1,50,(_xlfn.RANK.AVG(H318,$H$19:$H$1518,1)-1)/($G$14-1)*100))</f>
        <v/>
      </c>
      <c r="L318" s="11">
        <f>IF(I318="","",IF($G$15=1,50,(_xlfn.RANK.AVG(I318,$I$19:$I$1518,1)-1)/($G$15-1)*100))</f>
        <v/>
      </c>
      <c r="M318" s="11">
        <f>IF(COUNT(J318:L318)=3,ROUND(AVERAGE(J318:L318),6),"")</f>
        <v/>
      </c>
      <c r="O318">
        <f>IF(AND(ISNUMBER('자료_미국심리'!$A302),ISNUMBER('자료_미국심리'!$B302)),'자료_미국심리'!$A302,"")</f>
        <v/>
      </c>
      <c r="P318">
        <f>IF(AND(ISNUMBER('자료_미국심리'!$D302),ISNUMBER('자료_미국심리'!$E302)),'자료_미국심리'!$D302,"")</f>
        <v/>
      </c>
      <c r="Q318">
        <f>IF(AND(ISNUMBER('자료_미국심리'!$G302),ISNUMBER('자료_미국심리'!$H302)),'자료_미국심리'!$G302,"")</f>
        <v/>
      </c>
    </row>
    <row r="319">
      <c r="A319" s="10">
        <f>IF(301&gt;$E$5,"",SMALL($O$19:$O$4018,$E$6+301))</f>
        <v/>
      </c>
      <c r="B319" s="29">
        <f>IF(A319="","",INDEX('자료_미국심리'!$B$3:$B$4002,MATCH(A319,$O$19:$O$4018,0)))</f>
        <v/>
      </c>
      <c r="C319" s="22">
        <f>IF(A319="","",B319/AVERAGE(B195:B319)-1)</f>
        <v/>
      </c>
      <c r="D319" s="29">
        <f>IF(A319="","",IFERROR(INDEX('자료_미국심리'!$E$3:$E$4002,MATCH(A319,$P$19:$P$4018,0)),D318))</f>
        <v/>
      </c>
      <c r="E319" s="29">
        <f>IF(A319="","",IFERROR(INDEX('자료_미국심리'!$H$3:$H$4002,MATCH(A319,$Q$19:$Q$4018,0)),E318))</f>
        <v/>
      </c>
      <c r="F319">
        <f>IF(A319="",0,IF(A319&gt;$B$5,1,0))</f>
        <v/>
      </c>
      <c r="G319" s="29">
        <f>IF(AND(F319=1,ISNUMBER(D319)),D319,"")</f>
        <v/>
      </c>
      <c r="H319" s="29">
        <f>IF(AND(F319=1,ISNUMBER(E319)),E319,"")</f>
        <v/>
      </c>
      <c r="I319" s="22">
        <f>IF(AND(F319=1,ISNUMBER(C319)),C319,"")</f>
        <v/>
      </c>
      <c r="J319" s="11">
        <f>IF(G319="","",100-IF($G$13=1,50,(_xlfn.RANK.AVG(G319,$G$19:$G$1518,1)-1)/($G$13-1)*100))</f>
        <v/>
      </c>
      <c r="K319" s="11">
        <f>IF(H319="","",100-IF($G$14=1,50,(_xlfn.RANK.AVG(H319,$H$19:$H$1518,1)-1)/($G$14-1)*100))</f>
        <v/>
      </c>
      <c r="L319" s="11">
        <f>IF(I319="","",IF($G$15=1,50,(_xlfn.RANK.AVG(I319,$I$19:$I$1518,1)-1)/($G$15-1)*100))</f>
        <v/>
      </c>
      <c r="M319" s="11">
        <f>IF(COUNT(J319:L319)=3,ROUND(AVERAGE(J319:L319),6),"")</f>
        <v/>
      </c>
      <c r="O319">
        <f>IF(AND(ISNUMBER('자료_미국심리'!$A303),ISNUMBER('자료_미국심리'!$B303)),'자료_미국심리'!$A303,"")</f>
        <v/>
      </c>
      <c r="P319">
        <f>IF(AND(ISNUMBER('자료_미국심리'!$D303),ISNUMBER('자료_미국심리'!$E303)),'자료_미국심리'!$D303,"")</f>
        <v/>
      </c>
      <c r="Q319">
        <f>IF(AND(ISNUMBER('자료_미국심리'!$G303),ISNUMBER('자료_미국심리'!$H303)),'자료_미국심리'!$G303,"")</f>
        <v/>
      </c>
    </row>
    <row r="320">
      <c r="A320" s="10">
        <f>IF(302&gt;$E$5,"",SMALL($O$19:$O$4018,$E$6+302))</f>
        <v/>
      </c>
      <c r="B320" s="29">
        <f>IF(A320="","",INDEX('자료_미국심리'!$B$3:$B$4002,MATCH(A320,$O$19:$O$4018,0)))</f>
        <v/>
      </c>
      <c r="C320" s="22">
        <f>IF(A320="","",B320/AVERAGE(B196:B320)-1)</f>
        <v/>
      </c>
      <c r="D320" s="29">
        <f>IF(A320="","",IFERROR(INDEX('자료_미국심리'!$E$3:$E$4002,MATCH(A320,$P$19:$P$4018,0)),D319))</f>
        <v/>
      </c>
      <c r="E320" s="29">
        <f>IF(A320="","",IFERROR(INDEX('자료_미국심리'!$H$3:$H$4002,MATCH(A320,$Q$19:$Q$4018,0)),E319))</f>
        <v/>
      </c>
      <c r="F320">
        <f>IF(A320="",0,IF(A320&gt;$B$5,1,0))</f>
        <v/>
      </c>
      <c r="G320" s="29">
        <f>IF(AND(F320=1,ISNUMBER(D320)),D320,"")</f>
        <v/>
      </c>
      <c r="H320" s="29">
        <f>IF(AND(F320=1,ISNUMBER(E320)),E320,"")</f>
        <v/>
      </c>
      <c r="I320" s="22">
        <f>IF(AND(F320=1,ISNUMBER(C320)),C320,"")</f>
        <v/>
      </c>
      <c r="J320" s="11">
        <f>IF(G320="","",100-IF($G$13=1,50,(_xlfn.RANK.AVG(G320,$G$19:$G$1518,1)-1)/($G$13-1)*100))</f>
        <v/>
      </c>
      <c r="K320" s="11">
        <f>IF(H320="","",100-IF($G$14=1,50,(_xlfn.RANK.AVG(H320,$H$19:$H$1518,1)-1)/($G$14-1)*100))</f>
        <v/>
      </c>
      <c r="L320" s="11">
        <f>IF(I320="","",IF($G$15=1,50,(_xlfn.RANK.AVG(I320,$I$19:$I$1518,1)-1)/($G$15-1)*100))</f>
        <v/>
      </c>
      <c r="M320" s="11">
        <f>IF(COUNT(J320:L320)=3,ROUND(AVERAGE(J320:L320),6),"")</f>
        <v/>
      </c>
      <c r="O320">
        <f>IF(AND(ISNUMBER('자료_미국심리'!$A304),ISNUMBER('자료_미국심리'!$B304)),'자료_미국심리'!$A304,"")</f>
        <v/>
      </c>
      <c r="P320">
        <f>IF(AND(ISNUMBER('자료_미국심리'!$D304),ISNUMBER('자료_미국심리'!$E304)),'자료_미국심리'!$D304,"")</f>
        <v/>
      </c>
      <c r="Q320">
        <f>IF(AND(ISNUMBER('자료_미국심리'!$G304),ISNUMBER('자료_미국심리'!$H304)),'자료_미국심리'!$G304,"")</f>
        <v/>
      </c>
    </row>
    <row r="321">
      <c r="A321" s="10">
        <f>IF(303&gt;$E$5,"",SMALL($O$19:$O$4018,$E$6+303))</f>
        <v/>
      </c>
      <c r="B321" s="29">
        <f>IF(A321="","",INDEX('자료_미국심리'!$B$3:$B$4002,MATCH(A321,$O$19:$O$4018,0)))</f>
        <v/>
      </c>
      <c r="C321" s="22">
        <f>IF(A321="","",B321/AVERAGE(B197:B321)-1)</f>
        <v/>
      </c>
      <c r="D321" s="29">
        <f>IF(A321="","",IFERROR(INDEX('자료_미국심리'!$E$3:$E$4002,MATCH(A321,$P$19:$P$4018,0)),D320))</f>
        <v/>
      </c>
      <c r="E321" s="29">
        <f>IF(A321="","",IFERROR(INDEX('자료_미국심리'!$H$3:$H$4002,MATCH(A321,$Q$19:$Q$4018,0)),E320))</f>
        <v/>
      </c>
      <c r="F321">
        <f>IF(A321="",0,IF(A321&gt;$B$5,1,0))</f>
        <v/>
      </c>
      <c r="G321" s="29">
        <f>IF(AND(F321=1,ISNUMBER(D321)),D321,"")</f>
        <v/>
      </c>
      <c r="H321" s="29">
        <f>IF(AND(F321=1,ISNUMBER(E321)),E321,"")</f>
        <v/>
      </c>
      <c r="I321" s="22">
        <f>IF(AND(F321=1,ISNUMBER(C321)),C321,"")</f>
        <v/>
      </c>
      <c r="J321" s="11">
        <f>IF(G321="","",100-IF($G$13=1,50,(_xlfn.RANK.AVG(G321,$G$19:$G$1518,1)-1)/($G$13-1)*100))</f>
        <v/>
      </c>
      <c r="K321" s="11">
        <f>IF(H321="","",100-IF($G$14=1,50,(_xlfn.RANK.AVG(H321,$H$19:$H$1518,1)-1)/($G$14-1)*100))</f>
        <v/>
      </c>
      <c r="L321" s="11">
        <f>IF(I321="","",IF($G$15=1,50,(_xlfn.RANK.AVG(I321,$I$19:$I$1518,1)-1)/($G$15-1)*100))</f>
        <v/>
      </c>
      <c r="M321" s="11">
        <f>IF(COUNT(J321:L321)=3,ROUND(AVERAGE(J321:L321),6),"")</f>
        <v/>
      </c>
      <c r="O321">
        <f>IF(AND(ISNUMBER('자료_미국심리'!$A305),ISNUMBER('자료_미국심리'!$B305)),'자료_미국심리'!$A305,"")</f>
        <v/>
      </c>
      <c r="P321">
        <f>IF(AND(ISNUMBER('자료_미국심리'!$D305),ISNUMBER('자료_미국심리'!$E305)),'자료_미국심리'!$D305,"")</f>
        <v/>
      </c>
      <c r="Q321">
        <f>IF(AND(ISNUMBER('자료_미국심리'!$G305),ISNUMBER('자료_미국심리'!$H305)),'자료_미국심리'!$G305,"")</f>
        <v/>
      </c>
    </row>
    <row r="322">
      <c r="A322" s="10">
        <f>IF(304&gt;$E$5,"",SMALL($O$19:$O$4018,$E$6+304))</f>
        <v/>
      </c>
      <c r="B322" s="29">
        <f>IF(A322="","",INDEX('자료_미국심리'!$B$3:$B$4002,MATCH(A322,$O$19:$O$4018,0)))</f>
        <v/>
      </c>
      <c r="C322" s="22">
        <f>IF(A322="","",B322/AVERAGE(B198:B322)-1)</f>
        <v/>
      </c>
      <c r="D322" s="29">
        <f>IF(A322="","",IFERROR(INDEX('자료_미국심리'!$E$3:$E$4002,MATCH(A322,$P$19:$P$4018,0)),D321))</f>
        <v/>
      </c>
      <c r="E322" s="29">
        <f>IF(A322="","",IFERROR(INDEX('자료_미국심리'!$H$3:$H$4002,MATCH(A322,$Q$19:$Q$4018,0)),E321))</f>
        <v/>
      </c>
      <c r="F322">
        <f>IF(A322="",0,IF(A322&gt;$B$5,1,0))</f>
        <v/>
      </c>
      <c r="G322" s="29">
        <f>IF(AND(F322=1,ISNUMBER(D322)),D322,"")</f>
        <v/>
      </c>
      <c r="H322" s="29">
        <f>IF(AND(F322=1,ISNUMBER(E322)),E322,"")</f>
        <v/>
      </c>
      <c r="I322" s="22">
        <f>IF(AND(F322=1,ISNUMBER(C322)),C322,"")</f>
        <v/>
      </c>
      <c r="J322" s="11">
        <f>IF(G322="","",100-IF($G$13=1,50,(_xlfn.RANK.AVG(G322,$G$19:$G$1518,1)-1)/($G$13-1)*100))</f>
        <v/>
      </c>
      <c r="K322" s="11">
        <f>IF(H322="","",100-IF($G$14=1,50,(_xlfn.RANK.AVG(H322,$H$19:$H$1518,1)-1)/($G$14-1)*100))</f>
        <v/>
      </c>
      <c r="L322" s="11">
        <f>IF(I322="","",IF($G$15=1,50,(_xlfn.RANK.AVG(I322,$I$19:$I$1518,1)-1)/($G$15-1)*100))</f>
        <v/>
      </c>
      <c r="M322" s="11">
        <f>IF(COUNT(J322:L322)=3,ROUND(AVERAGE(J322:L322),6),"")</f>
        <v/>
      </c>
      <c r="O322">
        <f>IF(AND(ISNUMBER('자료_미국심리'!$A306),ISNUMBER('자료_미국심리'!$B306)),'자료_미국심리'!$A306,"")</f>
        <v/>
      </c>
      <c r="P322">
        <f>IF(AND(ISNUMBER('자료_미국심리'!$D306),ISNUMBER('자료_미국심리'!$E306)),'자료_미국심리'!$D306,"")</f>
        <v/>
      </c>
      <c r="Q322">
        <f>IF(AND(ISNUMBER('자료_미국심리'!$G306),ISNUMBER('자료_미국심리'!$H306)),'자료_미국심리'!$G306,"")</f>
        <v/>
      </c>
    </row>
    <row r="323">
      <c r="A323" s="10">
        <f>IF(305&gt;$E$5,"",SMALL($O$19:$O$4018,$E$6+305))</f>
        <v/>
      </c>
      <c r="B323" s="29">
        <f>IF(A323="","",INDEX('자료_미국심리'!$B$3:$B$4002,MATCH(A323,$O$19:$O$4018,0)))</f>
        <v/>
      </c>
      <c r="C323" s="22">
        <f>IF(A323="","",B323/AVERAGE(B199:B323)-1)</f>
        <v/>
      </c>
      <c r="D323" s="29">
        <f>IF(A323="","",IFERROR(INDEX('자료_미국심리'!$E$3:$E$4002,MATCH(A323,$P$19:$P$4018,0)),D322))</f>
        <v/>
      </c>
      <c r="E323" s="29">
        <f>IF(A323="","",IFERROR(INDEX('자료_미국심리'!$H$3:$H$4002,MATCH(A323,$Q$19:$Q$4018,0)),E322))</f>
        <v/>
      </c>
      <c r="F323">
        <f>IF(A323="",0,IF(A323&gt;$B$5,1,0))</f>
        <v/>
      </c>
      <c r="G323" s="29">
        <f>IF(AND(F323=1,ISNUMBER(D323)),D323,"")</f>
        <v/>
      </c>
      <c r="H323" s="29">
        <f>IF(AND(F323=1,ISNUMBER(E323)),E323,"")</f>
        <v/>
      </c>
      <c r="I323" s="22">
        <f>IF(AND(F323=1,ISNUMBER(C323)),C323,"")</f>
        <v/>
      </c>
      <c r="J323" s="11">
        <f>IF(G323="","",100-IF($G$13=1,50,(_xlfn.RANK.AVG(G323,$G$19:$G$1518,1)-1)/($G$13-1)*100))</f>
        <v/>
      </c>
      <c r="K323" s="11">
        <f>IF(H323="","",100-IF($G$14=1,50,(_xlfn.RANK.AVG(H323,$H$19:$H$1518,1)-1)/($G$14-1)*100))</f>
        <v/>
      </c>
      <c r="L323" s="11">
        <f>IF(I323="","",IF($G$15=1,50,(_xlfn.RANK.AVG(I323,$I$19:$I$1518,1)-1)/($G$15-1)*100))</f>
        <v/>
      </c>
      <c r="M323" s="11">
        <f>IF(COUNT(J323:L323)=3,ROUND(AVERAGE(J323:L323),6),"")</f>
        <v/>
      </c>
      <c r="O323">
        <f>IF(AND(ISNUMBER('자료_미국심리'!$A307),ISNUMBER('자료_미국심리'!$B307)),'자료_미국심리'!$A307,"")</f>
        <v/>
      </c>
      <c r="P323">
        <f>IF(AND(ISNUMBER('자료_미국심리'!$D307),ISNUMBER('자료_미국심리'!$E307)),'자료_미국심리'!$D307,"")</f>
        <v/>
      </c>
      <c r="Q323">
        <f>IF(AND(ISNUMBER('자료_미국심리'!$G307),ISNUMBER('자료_미국심리'!$H307)),'자료_미국심리'!$G307,"")</f>
        <v/>
      </c>
    </row>
    <row r="324">
      <c r="A324" s="10">
        <f>IF(306&gt;$E$5,"",SMALL($O$19:$O$4018,$E$6+306))</f>
        <v/>
      </c>
      <c r="B324" s="29">
        <f>IF(A324="","",INDEX('자료_미국심리'!$B$3:$B$4002,MATCH(A324,$O$19:$O$4018,0)))</f>
        <v/>
      </c>
      <c r="C324" s="22">
        <f>IF(A324="","",B324/AVERAGE(B200:B324)-1)</f>
        <v/>
      </c>
      <c r="D324" s="29">
        <f>IF(A324="","",IFERROR(INDEX('자료_미국심리'!$E$3:$E$4002,MATCH(A324,$P$19:$P$4018,0)),D323))</f>
        <v/>
      </c>
      <c r="E324" s="29">
        <f>IF(A324="","",IFERROR(INDEX('자료_미국심리'!$H$3:$H$4002,MATCH(A324,$Q$19:$Q$4018,0)),E323))</f>
        <v/>
      </c>
      <c r="F324">
        <f>IF(A324="",0,IF(A324&gt;$B$5,1,0))</f>
        <v/>
      </c>
      <c r="G324" s="29">
        <f>IF(AND(F324=1,ISNUMBER(D324)),D324,"")</f>
        <v/>
      </c>
      <c r="H324" s="29">
        <f>IF(AND(F324=1,ISNUMBER(E324)),E324,"")</f>
        <v/>
      </c>
      <c r="I324" s="22">
        <f>IF(AND(F324=1,ISNUMBER(C324)),C324,"")</f>
        <v/>
      </c>
      <c r="J324" s="11">
        <f>IF(G324="","",100-IF($G$13=1,50,(_xlfn.RANK.AVG(G324,$G$19:$G$1518,1)-1)/($G$13-1)*100))</f>
        <v/>
      </c>
      <c r="K324" s="11">
        <f>IF(H324="","",100-IF($G$14=1,50,(_xlfn.RANK.AVG(H324,$H$19:$H$1518,1)-1)/($G$14-1)*100))</f>
        <v/>
      </c>
      <c r="L324" s="11">
        <f>IF(I324="","",IF($G$15=1,50,(_xlfn.RANK.AVG(I324,$I$19:$I$1518,1)-1)/($G$15-1)*100))</f>
        <v/>
      </c>
      <c r="M324" s="11">
        <f>IF(COUNT(J324:L324)=3,ROUND(AVERAGE(J324:L324),6),"")</f>
        <v/>
      </c>
      <c r="O324">
        <f>IF(AND(ISNUMBER('자료_미국심리'!$A308),ISNUMBER('자료_미국심리'!$B308)),'자료_미국심리'!$A308,"")</f>
        <v/>
      </c>
      <c r="P324">
        <f>IF(AND(ISNUMBER('자료_미국심리'!$D308),ISNUMBER('자료_미국심리'!$E308)),'자료_미국심리'!$D308,"")</f>
        <v/>
      </c>
      <c r="Q324">
        <f>IF(AND(ISNUMBER('자료_미국심리'!$G308),ISNUMBER('자료_미국심리'!$H308)),'자료_미국심리'!$G308,"")</f>
        <v/>
      </c>
    </row>
    <row r="325">
      <c r="A325" s="10">
        <f>IF(307&gt;$E$5,"",SMALL($O$19:$O$4018,$E$6+307))</f>
        <v/>
      </c>
      <c r="B325" s="29">
        <f>IF(A325="","",INDEX('자료_미국심리'!$B$3:$B$4002,MATCH(A325,$O$19:$O$4018,0)))</f>
        <v/>
      </c>
      <c r="C325" s="22">
        <f>IF(A325="","",B325/AVERAGE(B201:B325)-1)</f>
        <v/>
      </c>
      <c r="D325" s="29">
        <f>IF(A325="","",IFERROR(INDEX('자료_미국심리'!$E$3:$E$4002,MATCH(A325,$P$19:$P$4018,0)),D324))</f>
        <v/>
      </c>
      <c r="E325" s="29">
        <f>IF(A325="","",IFERROR(INDEX('자료_미국심리'!$H$3:$H$4002,MATCH(A325,$Q$19:$Q$4018,0)),E324))</f>
        <v/>
      </c>
      <c r="F325">
        <f>IF(A325="",0,IF(A325&gt;$B$5,1,0))</f>
        <v/>
      </c>
      <c r="G325" s="29">
        <f>IF(AND(F325=1,ISNUMBER(D325)),D325,"")</f>
        <v/>
      </c>
      <c r="H325" s="29">
        <f>IF(AND(F325=1,ISNUMBER(E325)),E325,"")</f>
        <v/>
      </c>
      <c r="I325" s="22">
        <f>IF(AND(F325=1,ISNUMBER(C325)),C325,"")</f>
        <v/>
      </c>
      <c r="J325" s="11">
        <f>IF(G325="","",100-IF($G$13=1,50,(_xlfn.RANK.AVG(G325,$G$19:$G$1518,1)-1)/($G$13-1)*100))</f>
        <v/>
      </c>
      <c r="K325" s="11">
        <f>IF(H325="","",100-IF($G$14=1,50,(_xlfn.RANK.AVG(H325,$H$19:$H$1518,1)-1)/($G$14-1)*100))</f>
        <v/>
      </c>
      <c r="L325" s="11">
        <f>IF(I325="","",IF($G$15=1,50,(_xlfn.RANK.AVG(I325,$I$19:$I$1518,1)-1)/($G$15-1)*100))</f>
        <v/>
      </c>
      <c r="M325" s="11">
        <f>IF(COUNT(J325:L325)=3,ROUND(AVERAGE(J325:L325),6),"")</f>
        <v/>
      </c>
      <c r="O325">
        <f>IF(AND(ISNUMBER('자료_미국심리'!$A309),ISNUMBER('자료_미국심리'!$B309)),'자료_미국심리'!$A309,"")</f>
        <v/>
      </c>
      <c r="P325">
        <f>IF(AND(ISNUMBER('자료_미국심리'!$D309),ISNUMBER('자료_미국심리'!$E309)),'자료_미국심리'!$D309,"")</f>
        <v/>
      </c>
      <c r="Q325">
        <f>IF(AND(ISNUMBER('자료_미국심리'!$G309),ISNUMBER('자료_미국심리'!$H309)),'자료_미국심리'!$G309,"")</f>
        <v/>
      </c>
    </row>
    <row r="326">
      <c r="A326" s="10">
        <f>IF(308&gt;$E$5,"",SMALL($O$19:$O$4018,$E$6+308))</f>
        <v/>
      </c>
      <c r="B326" s="29">
        <f>IF(A326="","",INDEX('자료_미국심리'!$B$3:$B$4002,MATCH(A326,$O$19:$O$4018,0)))</f>
        <v/>
      </c>
      <c r="C326" s="22">
        <f>IF(A326="","",B326/AVERAGE(B202:B326)-1)</f>
        <v/>
      </c>
      <c r="D326" s="29">
        <f>IF(A326="","",IFERROR(INDEX('자료_미국심리'!$E$3:$E$4002,MATCH(A326,$P$19:$P$4018,0)),D325))</f>
        <v/>
      </c>
      <c r="E326" s="29">
        <f>IF(A326="","",IFERROR(INDEX('자료_미국심리'!$H$3:$H$4002,MATCH(A326,$Q$19:$Q$4018,0)),E325))</f>
        <v/>
      </c>
      <c r="F326">
        <f>IF(A326="",0,IF(A326&gt;$B$5,1,0))</f>
        <v/>
      </c>
      <c r="G326" s="29">
        <f>IF(AND(F326=1,ISNUMBER(D326)),D326,"")</f>
        <v/>
      </c>
      <c r="H326" s="29">
        <f>IF(AND(F326=1,ISNUMBER(E326)),E326,"")</f>
        <v/>
      </c>
      <c r="I326" s="22">
        <f>IF(AND(F326=1,ISNUMBER(C326)),C326,"")</f>
        <v/>
      </c>
      <c r="J326" s="11">
        <f>IF(G326="","",100-IF($G$13=1,50,(_xlfn.RANK.AVG(G326,$G$19:$G$1518,1)-1)/($G$13-1)*100))</f>
        <v/>
      </c>
      <c r="K326" s="11">
        <f>IF(H326="","",100-IF($G$14=1,50,(_xlfn.RANK.AVG(H326,$H$19:$H$1518,1)-1)/($G$14-1)*100))</f>
        <v/>
      </c>
      <c r="L326" s="11">
        <f>IF(I326="","",IF($G$15=1,50,(_xlfn.RANK.AVG(I326,$I$19:$I$1518,1)-1)/($G$15-1)*100))</f>
        <v/>
      </c>
      <c r="M326" s="11">
        <f>IF(COUNT(J326:L326)=3,ROUND(AVERAGE(J326:L326),6),"")</f>
        <v/>
      </c>
      <c r="O326">
        <f>IF(AND(ISNUMBER('자료_미국심리'!$A310),ISNUMBER('자료_미국심리'!$B310)),'자료_미국심리'!$A310,"")</f>
        <v/>
      </c>
      <c r="P326">
        <f>IF(AND(ISNUMBER('자료_미국심리'!$D310),ISNUMBER('자료_미국심리'!$E310)),'자료_미국심리'!$D310,"")</f>
        <v/>
      </c>
      <c r="Q326">
        <f>IF(AND(ISNUMBER('자료_미국심리'!$G310),ISNUMBER('자료_미국심리'!$H310)),'자료_미국심리'!$G310,"")</f>
        <v/>
      </c>
    </row>
    <row r="327">
      <c r="A327" s="10">
        <f>IF(309&gt;$E$5,"",SMALL($O$19:$O$4018,$E$6+309))</f>
        <v/>
      </c>
      <c r="B327" s="29">
        <f>IF(A327="","",INDEX('자료_미국심리'!$B$3:$B$4002,MATCH(A327,$O$19:$O$4018,0)))</f>
        <v/>
      </c>
      <c r="C327" s="22">
        <f>IF(A327="","",B327/AVERAGE(B203:B327)-1)</f>
        <v/>
      </c>
      <c r="D327" s="29">
        <f>IF(A327="","",IFERROR(INDEX('자료_미국심리'!$E$3:$E$4002,MATCH(A327,$P$19:$P$4018,0)),D326))</f>
        <v/>
      </c>
      <c r="E327" s="29">
        <f>IF(A327="","",IFERROR(INDEX('자료_미국심리'!$H$3:$H$4002,MATCH(A327,$Q$19:$Q$4018,0)),E326))</f>
        <v/>
      </c>
      <c r="F327">
        <f>IF(A327="",0,IF(A327&gt;$B$5,1,0))</f>
        <v/>
      </c>
      <c r="G327" s="29">
        <f>IF(AND(F327=1,ISNUMBER(D327)),D327,"")</f>
        <v/>
      </c>
      <c r="H327" s="29">
        <f>IF(AND(F327=1,ISNUMBER(E327)),E327,"")</f>
        <v/>
      </c>
      <c r="I327" s="22">
        <f>IF(AND(F327=1,ISNUMBER(C327)),C327,"")</f>
        <v/>
      </c>
      <c r="J327" s="11">
        <f>IF(G327="","",100-IF($G$13=1,50,(_xlfn.RANK.AVG(G327,$G$19:$G$1518,1)-1)/($G$13-1)*100))</f>
        <v/>
      </c>
      <c r="K327" s="11">
        <f>IF(H327="","",100-IF($G$14=1,50,(_xlfn.RANK.AVG(H327,$H$19:$H$1518,1)-1)/($G$14-1)*100))</f>
        <v/>
      </c>
      <c r="L327" s="11">
        <f>IF(I327="","",IF($G$15=1,50,(_xlfn.RANK.AVG(I327,$I$19:$I$1518,1)-1)/($G$15-1)*100))</f>
        <v/>
      </c>
      <c r="M327" s="11">
        <f>IF(COUNT(J327:L327)=3,ROUND(AVERAGE(J327:L327),6),"")</f>
        <v/>
      </c>
      <c r="O327">
        <f>IF(AND(ISNUMBER('자료_미국심리'!$A311),ISNUMBER('자료_미국심리'!$B311)),'자료_미국심리'!$A311,"")</f>
        <v/>
      </c>
      <c r="P327">
        <f>IF(AND(ISNUMBER('자료_미국심리'!$D311),ISNUMBER('자료_미국심리'!$E311)),'자료_미국심리'!$D311,"")</f>
        <v/>
      </c>
      <c r="Q327">
        <f>IF(AND(ISNUMBER('자료_미국심리'!$G311),ISNUMBER('자료_미국심리'!$H311)),'자료_미국심리'!$G311,"")</f>
        <v/>
      </c>
    </row>
    <row r="328">
      <c r="A328" s="10">
        <f>IF(310&gt;$E$5,"",SMALL($O$19:$O$4018,$E$6+310))</f>
        <v/>
      </c>
      <c r="B328" s="29">
        <f>IF(A328="","",INDEX('자료_미국심리'!$B$3:$B$4002,MATCH(A328,$O$19:$O$4018,0)))</f>
        <v/>
      </c>
      <c r="C328" s="22">
        <f>IF(A328="","",B328/AVERAGE(B204:B328)-1)</f>
        <v/>
      </c>
      <c r="D328" s="29">
        <f>IF(A328="","",IFERROR(INDEX('자료_미국심리'!$E$3:$E$4002,MATCH(A328,$P$19:$P$4018,0)),D327))</f>
        <v/>
      </c>
      <c r="E328" s="29">
        <f>IF(A328="","",IFERROR(INDEX('자료_미국심리'!$H$3:$H$4002,MATCH(A328,$Q$19:$Q$4018,0)),E327))</f>
        <v/>
      </c>
      <c r="F328">
        <f>IF(A328="",0,IF(A328&gt;$B$5,1,0))</f>
        <v/>
      </c>
      <c r="G328" s="29">
        <f>IF(AND(F328=1,ISNUMBER(D328)),D328,"")</f>
        <v/>
      </c>
      <c r="H328" s="29">
        <f>IF(AND(F328=1,ISNUMBER(E328)),E328,"")</f>
        <v/>
      </c>
      <c r="I328" s="22">
        <f>IF(AND(F328=1,ISNUMBER(C328)),C328,"")</f>
        <v/>
      </c>
      <c r="J328" s="11">
        <f>IF(G328="","",100-IF($G$13=1,50,(_xlfn.RANK.AVG(G328,$G$19:$G$1518,1)-1)/($G$13-1)*100))</f>
        <v/>
      </c>
      <c r="K328" s="11">
        <f>IF(H328="","",100-IF($G$14=1,50,(_xlfn.RANK.AVG(H328,$H$19:$H$1518,1)-1)/($G$14-1)*100))</f>
        <v/>
      </c>
      <c r="L328" s="11">
        <f>IF(I328="","",IF($G$15=1,50,(_xlfn.RANK.AVG(I328,$I$19:$I$1518,1)-1)/($G$15-1)*100))</f>
        <v/>
      </c>
      <c r="M328" s="11">
        <f>IF(COUNT(J328:L328)=3,ROUND(AVERAGE(J328:L328),6),"")</f>
        <v/>
      </c>
      <c r="O328">
        <f>IF(AND(ISNUMBER('자료_미국심리'!$A312),ISNUMBER('자료_미국심리'!$B312)),'자료_미국심리'!$A312,"")</f>
        <v/>
      </c>
      <c r="P328">
        <f>IF(AND(ISNUMBER('자료_미국심리'!$D312),ISNUMBER('자료_미국심리'!$E312)),'자료_미국심리'!$D312,"")</f>
        <v/>
      </c>
      <c r="Q328">
        <f>IF(AND(ISNUMBER('자료_미국심리'!$G312),ISNUMBER('자료_미국심리'!$H312)),'자료_미국심리'!$G312,"")</f>
        <v/>
      </c>
    </row>
    <row r="329">
      <c r="A329" s="10">
        <f>IF(311&gt;$E$5,"",SMALL($O$19:$O$4018,$E$6+311))</f>
        <v/>
      </c>
      <c r="B329" s="29">
        <f>IF(A329="","",INDEX('자료_미국심리'!$B$3:$B$4002,MATCH(A329,$O$19:$O$4018,0)))</f>
        <v/>
      </c>
      <c r="C329" s="22">
        <f>IF(A329="","",B329/AVERAGE(B205:B329)-1)</f>
        <v/>
      </c>
      <c r="D329" s="29">
        <f>IF(A329="","",IFERROR(INDEX('자료_미국심리'!$E$3:$E$4002,MATCH(A329,$P$19:$P$4018,0)),D328))</f>
        <v/>
      </c>
      <c r="E329" s="29">
        <f>IF(A329="","",IFERROR(INDEX('자료_미국심리'!$H$3:$H$4002,MATCH(A329,$Q$19:$Q$4018,0)),E328))</f>
        <v/>
      </c>
      <c r="F329">
        <f>IF(A329="",0,IF(A329&gt;$B$5,1,0))</f>
        <v/>
      </c>
      <c r="G329" s="29">
        <f>IF(AND(F329=1,ISNUMBER(D329)),D329,"")</f>
        <v/>
      </c>
      <c r="H329" s="29">
        <f>IF(AND(F329=1,ISNUMBER(E329)),E329,"")</f>
        <v/>
      </c>
      <c r="I329" s="22">
        <f>IF(AND(F329=1,ISNUMBER(C329)),C329,"")</f>
        <v/>
      </c>
      <c r="J329" s="11">
        <f>IF(G329="","",100-IF($G$13=1,50,(_xlfn.RANK.AVG(G329,$G$19:$G$1518,1)-1)/($G$13-1)*100))</f>
        <v/>
      </c>
      <c r="K329" s="11">
        <f>IF(H329="","",100-IF($G$14=1,50,(_xlfn.RANK.AVG(H329,$H$19:$H$1518,1)-1)/($G$14-1)*100))</f>
        <v/>
      </c>
      <c r="L329" s="11">
        <f>IF(I329="","",IF($G$15=1,50,(_xlfn.RANK.AVG(I329,$I$19:$I$1518,1)-1)/($G$15-1)*100))</f>
        <v/>
      </c>
      <c r="M329" s="11">
        <f>IF(COUNT(J329:L329)=3,ROUND(AVERAGE(J329:L329),6),"")</f>
        <v/>
      </c>
      <c r="O329">
        <f>IF(AND(ISNUMBER('자료_미국심리'!$A313),ISNUMBER('자료_미국심리'!$B313)),'자료_미국심리'!$A313,"")</f>
        <v/>
      </c>
      <c r="P329">
        <f>IF(AND(ISNUMBER('자료_미국심리'!$D313),ISNUMBER('자료_미국심리'!$E313)),'자료_미국심리'!$D313,"")</f>
        <v/>
      </c>
      <c r="Q329">
        <f>IF(AND(ISNUMBER('자료_미국심리'!$G313),ISNUMBER('자료_미국심리'!$H313)),'자료_미국심리'!$G313,"")</f>
        <v/>
      </c>
    </row>
    <row r="330">
      <c r="A330" s="10">
        <f>IF(312&gt;$E$5,"",SMALL($O$19:$O$4018,$E$6+312))</f>
        <v/>
      </c>
      <c r="B330" s="29">
        <f>IF(A330="","",INDEX('자료_미국심리'!$B$3:$B$4002,MATCH(A330,$O$19:$O$4018,0)))</f>
        <v/>
      </c>
      <c r="C330" s="22">
        <f>IF(A330="","",B330/AVERAGE(B206:B330)-1)</f>
        <v/>
      </c>
      <c r="D330" s="29">
        <f>IF(A330="","",IFERROR(INDEX('자료_미국심리'!$E$3:$E$4002,MATCH(A330,$P$19:$P$4018,0)),D329))</f>
        <v/>
      </c>
      <c r="E330" s="29">
        <f>IF(A330="","",IFERROR(INDEX('자료_미국심리'!$H$3:$H$4002,MATCH(A330,$Q$19:$Q$4018,0)),E329))</f>
        <v/>
      </c>
      <c r="F330">
        <f>IF(A330="",0,IF(A330&gt;$B$5,1,0))</f>
        <v/>
      </c>
      <c r="G330" s="29">
        <f>IF(AND(F330=1,ISNUMBER(D330)),D330,"")</f>
        <v/>
      </c>
      <c r="H330" s="29">
        <f>IF(AND(F330=1,ISNUMBER(E330)),E330,"")</f>
        <v/>
      </c>
      <c r="I330" s="22">
        <f>IF(AND(F330=1,ISNUMBER(C330)),C330,"")</f>
        <v/>
      </c>
      <c r="J330" s="11">
        <f>IF(G330="","",100-IF($G$13=1,50,(_xlfn.RANK.AVG(G330,$G$19:$G$1518,1)-1)/($G$13-1)*100))</f>
        <v/>
      </c>
      <c r="K330" s="11">
        <f>IF(H330="","",100-IF($G$14=1,50,(_xlfn.RANK.AVG(H330,$H$19:$H$1518,1)-1)/($G$14-1)*100))</f>
        <v/>
      </c>
      <c r="L330" s="11">
        <f>IF(I330="","",IF($G$15=1,50,(_xlfn.RANK.AVG(I330,$I$19:$I$1518,1)-1)/($G$15-1)*100))</f>
        <v/>
      </c>
      <c r="M330" s="11">
        <f>IF(COUNT(J330:L330)=3,ROUND(AVERAGE(J330:L330),6),"")</f>
        <v/>
      </c>
      <c r="O330">
        <f>IF(AND(ISNUMBER('자료_미국심리'!$A314),ISNUMBER('자료_미국심리'!$B314)),'자료_미국심리'!$A314,"")</f>
        <v/>
      </c>
      <c r="P330">
        <f>IF(AND(ISNUMBER('자료_미국심리'!$D314),ISNUMBER('자료_미국심리'!$E314)),'자료_미국심리'!$D314,"")</f>
        <v/>
      </c>
      <c r="Q330">
        <f>IF(AND(ISNUMBER('자료_미국심리'!$G314),ISNUMBER('자료_미국심리'!$H314)),'자료_미국심리'!$G314,"")</f>
        <v/>
      </c>
    </row>
    <row r="331">
      <c r="A331" s="10">
        <f>IF(313&gt;$E$5,"",SMALL($O$19:$O$4018,$E$6+313))</f>
        <v/>
      </c>
      <c r="B331" s="29">
        <f>IF(A331="","",INDEX('자료_미국심리'!$B$3:$B$4002,MATCH(A331,$O$19:$O$4018,0)))</f>
        <v/>
      </c>
      <c r="C331" s="22">
        <f>IF(A331="","",B331/AVERAGE(B207:B331)-1)</f>
        <v/>
      </c>
      <c r="D331" s="29">
        <f>IF(A331="","",IFERROR(INDEX('자료_미국심리'!$E$3:$E$4002,MATCH(A331,$P$19:$P$4018,0)),D330))</f>
        <v/>
      </c>
      <c r="E331" s="29">
        <f>IF(A331="","",IFERROR(INDEX('자료_미국심리'!$H$3:$H$4002,MATCH(A331,$Q$19:$Q$4018,0)),E330))</f>
        <v/>
      </c>
      <c r="F331">
        <f>IF(A331="",0,IF(A331&gt;$B$5,1,0))</f>
        <v/>
      </c>
      <c r="G331" s="29">
        <f>IF(AND(F331=1,ISNUMBER(D331)),D331,"")</f>
        <v/>
      </c>
      <c r="H331" s="29">
        <f>IF(AND(F331=1,ISNUMBER(E331)),E331,"")</f>
        <v/>
      </c>
      <c r="I331" s="22">
        <f>IF(AND(F331=1,ISNUMBER(C331)),C331,"")</f>
        <v/>
      </c>
      <c r="J331" s="11">
        <f>IF(G331="","",100-IF($G$13=1,50,(_xlfn.RANK.AVG(G331,$G$19:$G$1518,1)-1)/($G$13-1)*100))</f>
        <v/>
      </c>
      <c r="K331" s="11">
        <f>IF(H331="","",100-IF($G$14=1,50,(_xlfn.RANK.AVG(H331,$H$19:$H$1518,1)-1)/($G$14-1)*100))</f>
        <v/>
      </c>
      <c r="L331" s="11">
        <f>IF(I331="","",IF($G$15=1,50,(_xlfn.RANK.AVG(I331,$I$19:$I$1518,1)-1)/($G$15-1)*100))</f>
        <v/>
      </c>
      <c r="M331" s="11">
        <f>IF(COUNT(J331:L331)=3,ROUND(AVERAGE(J331:L331),6),"")</f>
        <v/>
      </c>
      <c r="O331">
        <f>IF(AND(ISNUMBER('자료_미국심리'!$A315),ISNUMBER('자료_미국심리'!$B315)),'자료_미국심리'!$A315,"")</f>
        <v/>
      </c>
      <c r="P331">
        <f>IF(AND(ISNUMBER('자료_미국심리'!$D315),ISNUMBER('자료_미국심리'!$E315)),'자료_미국심리'!$D315,"")</f>
        <v/>
      </c>
      <c r="Q331">
        <f>IF(AND(ISNUMBER('자료_미국심리'!$G315),ISNUMBER('자료_미국심리'!$H315)),'자료_미국심리'!$G315,"")</f>
        <v/>
      </c>
    </row>
    <row r="332">
      <c r="A332" s="10">
        <f>IF(314&gt;$E$5,"",SMALL($O$19:$O$4018,$E$6+314))</f>
        <v/>
      </c>
      <c r="B332" s="29">
        <f>IF(A332="","",INDEX('자료_미국심리'!$B$3:$B$4002,MATCH(A332,$O$19:$O$4018,0)))</f>
        <v/>
      </c>
      <c r="C332" s="22">
        <f>IF(A332="","",B332/AVERAGE(B208:B332)-1)</f>
        <v/>
      </c>
      <c r="D332" s="29">
        <f>IF(A332="","",IFERROR(INDEX('자료_미국심리'!$E$3:$E$4002,MATCH(A332,$P$19:$P$4018,0)),D331))</f>
        <v/>
      </c>
      <c r="E332" s="29">
        <f>IF(A332="","",IFERROR(INDEX('자료_미국심리'!$H$3:$H$4002,MATCH(A332,$Q$19:$Q$4018,0)),E331))</f>
        <v/>
      </c>
      <c r="F332">
        <f>IF(A332="",0,IF(A332&gt;$B$5,1,0))</f>
        <v/>
      </c>
      <c r="G332" s="29">
        <f>IF(AND(F332=1,ISNUMBER(D332)),D332,"")</f>
        <v/>
      </c>
      <c r="H332" s="29">
        <f>IF(AND(F332=1,ISNUMBER(E332)),E332,"")</f>
        <v/>
      </c>
      <c r="I332" s="22">
        <f>IF(AND(F332=1,ISNUMBER(C332)),C332,"")</f>
        <v/>
      </c>
      <c r="J332" s="11">
        <f>IF(G332="","",100-IF($G$13=1,50,(_xlfn.RANK.AVG(G332,$G$19:$G$1518,1)-1)/($G$13-1)*100))</f>
        <v/>
      </c>
      <c r="K332" s="11">
        <f>IF(H332="","",100-IF($G$14=1,50,(_xlfn.RANK.AVG(H332,$H$19:$H$1518,1)-1)/($G$14-1)*100))</f>
        <v/>
      </c>
      <c r="L332" s="11">
        <f>IF(I332="","",IF($G$15=1,50,(_xlfn.RANK.AVG(I332,$I$19:$I$1518,1)-1)/($G$15-1)*100))</f>
        <v/>
      </c>
      <c r="M332" s="11">
        <f>IF(COUNT(J332:L332)=3,ROUND(AVERAGE(J332:L332),6),"")</f>
        <v/>
      </c>
      <c r="O332">
        <f>IF(AND(ISNUMBER('자료_미국심리'!$A316),ISNUMBER('자료_미국심리'!$B316)),'자료_미국심리'!$A316,"")</f>
        <v/>
      </c>
      <c r="P332">
        <f>IF(AND(ISNUMBER('자료_미국심리'!$D316),ISNUMBER('자료_미국심리'!$E316)),'자료_미국심리'!$D316,"")</f>
        <v/>
      </c>
      <c r="Q332">
        <f>IF(AND(ISNUMBER('자료_미국심리'!$G316),ISNUMBER('자료_미국심리'!$H316)),'자료_미국심리'!$G316,"")</f>
        <v/>
      </c>
    </row>
    <row r="333">
      <c r="A333" s="10">
        <f>IF(315&gt;$E$5,"",SMALL($O$19:$O$4018,$E$6+315))</f>
        <v/>
      </c>
      <c r="B333" s="29">
        <f>IF(A333="","",INDEX('자료_미국심리'!$B$3:$B$4002,MATCH(A333,$O$19:$O$4018,0)))</f>
        <v/>
      </c>
      <c r="C333" s="22">
        <f>IF(A333="","",B333/AVERAGE(B209:B333)-1)</f>
        <v/>
      </c>
      <c r="D333" s="29">
        <f>IF(A333="","",IFERROR(INDEX('자료_미국심리'!$E$3:$E$4002,MATCH(A333,$P$19:$P$4018,0)),D332))</f>
        <v/>
      </c>
      <c r="E333" s="29">
        <f>IF(A333="","",IFERROR(INDEX('자료_미국심리'!$H$3:$H$4002,MATCH(A333,$Q$19:$Q$4018,0)),E332))</f>
        <v/>
      </c>
      <c r="F333">
        <f>IF(A333="",0,IF(A333&gt;$B$5,1,0))</f>
        <v/>
      </c>
      <c r="G333" s="29">
        <f>IF(AND(F333=1,ISNUMBER(D333)),D333,"")</f>
        <v/>
      </c>
      <c r="H333" s="29">
        <f>IF(AND(F333=1,ISNUMBER(E333)),E333,"")</f>
        <v/>
      </c>
      <c r="I333" s="22">
        <f>IF(AND(F333=1,ISNUMBER(C333)),C333,"")</f>
        <v/>
      </c>
      <c r="J333" s="11">
        <f>IF(G333="","",100-IF($G$13=1,50,(_xlfn.RANK.AVG(G333,$G$19:$G$1518,1)-1)/($G$13-1)*100))</f>
        <v/>
      </c>
      <c r="K333" s="11">
        <f>IF(H333="","",100-IF($G$14=1,50,(_xlfn.RANK.AVG(H333,$H$19:$H$1518,1)-1)/($G$14-1)*100))</f>
        <v/>
      </c>
      <c r="L333" s="11">
        <f>IF(I333="","",IF($G$15=1,50,(_xlfn.RANK.AVG(I333,$I$19:$I$1518,1)-1)/($G$15-1)*100))</f>
        <v/>
      </c>
      <c r="M333" s="11">
        <f>IF(COUNT(J333:L333)=3,ROUND(AVERAGE(J333:L333),6),"")</f>
        <v/>
      </c>
      <c r="O333">
        <f>IF(AND(ISNUMBER('자료_미국심리'!$A317),ISNUMBER('자료_미국심리'!$B317)),'자료_미국심리'!$A317,"")</f>
        <v/>
      </c>
      <c r="P333">
        <f>IF(AND(ISNUMBER('자료_미국심리'!$D317),ISNUMBER('자료_미국심리'!$E317)),'자료_미국심리'!$D317,"")</f>
        <v/>
      </c>
      <c r="Q333">
        <f>IF(AND(ISNUMBER('자료_미국심리'!$G317),ISNUMBER('자료_미국심리'!$H317)),'자료_미국심리'!$G317,"")</f>
        <v/>
      </c>
    </row>
    <row r="334">
      <c r="A334" s="10">
        <f>IF(316&gt;$E$5,"",SMALL($O$19:$O$4018,$E$6+316))</f>
        <v/>
      </c>
      <c r="B334" s="29">
        <f>IF(A334="","",INDEX('자료_미국심리'!$B$3:$B$4002,MATCH(A334,$O$19:$O$4018,0)))</f>
        <v/>
      </c>
      <c r="C334" s="22">
        <f>IF(A334="","",B334/AVERAGE(B210:B334)-1)</f>
        <v/>
      </c>
      <c r="D334" s="29">
        <f>IF(A334="","",IFERROR(INDEX('자료_미국심리'!$E$3:$E$4002,MATCH(A334,$P$19:$P$4018,0)),D333))</f>
        <v/>
      </c>
      <c r="E334" s="29">
        <f>IF(A334="","",IFERROR(INDEX('자료_미국심리'!$H$3:$H$4002,MATCH(A334,$Q$19:$Q$4018,0)),E333))</f>
        <v/>
      </c>
      <c r="F334">
        <f>IF(A334="",0,IF(A334&gt;$B$5,1,0))</f>
        <v/>
      </c>
      <c r="G334" s="29">
        <f>IF(AND(F334=1,ISNUMBER(D334)),D334,"")</f>
        <v/>
      </c>
      <c r="H334" s="29">
        <f>IF(AND(F334=1,ISNUMBER(E334)),E334,"")</f>
        <v/>
      </c>
      <c r="I334" s="22">
        <f>IF(AND(F334=1,ISNUMBER(C334)),C334,"")</f>
        <v/>
      </c>
      <c r="J334" s="11">
        <f>IF(G334="","",100-IF($G$13=1,50,(_xlfn.RANK.AVG(G334,$G$19:$G$1518,1)-1)/($G$13-1)*100))</f>
        <v/>
      </c>
      <c r="K334" s="11">
        <f>IF(H334="","",100-IF($G$14=1,50,(_xlfn.RANK.AVG(H334,$H$19:$H$1518,1)-1)/($G$14-1)*100))</f>
        <v/>
      </c>
      <c r="L334" s="11">
        <f>IF(I334="","",IF($G$15=1,50,(_xlfn.RANK.AVG(I334,$I$19:$I$1518,1)-1)/($G$15-1)*100))</f>
        <v/>
      </c>
      <c r="M334" s="11">
        <f>IF(COUNT(J334:L334)=3,ROUND(AVERAGE(J334:L334),6),"")</f>
        <v/>
      </c>
      <c r="O334">
        <f>IF(AND(ISNUMBER('자료_미국심리'!$A318),ISNUMBER('자료_미국심리'!$B318)),'자료_미국심리'!$A318,"")</f>
        <v/>
      </c>
      <c r="P334">
        <f>IF(AND(ISNUMBER('자료_미국심리'!$D318),ISNUMBER('자료_미국심리'!$E318)),'자료_미국심리'!$D318,"")</f>
        <v/>
      </c>
      <c r="Q334">
        <f>IF(AND(ISNUMBER('자료_미국심리'!$G318),ISNUMBER('자료_미국심리'!$H318)),'자료_미국심리'!$G318,"")</f>
        <v/>
      </c>
    </row>
    <row r="335">
      <c r="A335" s="10">
        <f>IF(317&gt;$E$5,"",SMALL($O$19:$O$4018,$E$6+317))</f>
        <v/>
      </c>
      <c r="B335" s="29">
        <f>IF(A335="","",INDEX('자료_미국심리'!$B$3:$B$4002,MATCH(A335,$O$19:$O$4018,0)))</f>
        <v/>
      </c>
      <c r="C335" s="22">
        <f>IF(A335="","",B335/AVERAGE(B211:B335)-1)</f>
        <v/>
      </c>
      <c r="D335" s="29">
        <f>IF(A335="","",IFERROR(INDEX('자료_미국심리'!$E$3:$E$4002,MATCH(A335,$P$19:$P$4018,0)),D334))</f>
        <v/>
      </c>
      <c r="E335" s="29">
        <f>IF(A335="","",IFERROR(INDEX('자료_미국심리'!$H$3:$H$4002,MATCH(A335,$Q$19:$Q$4018,0)),E334))</f>
        <v/>
      </c>
      <c r="F335">
        <f>IF(A335="",0,IF(A335&gt;$B$5,1,0))</f>
        <v/>
      </c>
      <c r="G335" s="29">
        <f>IF(AND(F335=1,ISNUMBER(D335)),D335,"")</f>
        <v/>
      </c>
      <c r="H335" s="29">
        <f>IF(AND(F335=1,ISNUMBER(E335)),E335,"")</f>
        <v/>
      </c>
      <c r="I335" s="22">
        <f>IF(AND(F335=1,ISNUMBER(C335)),C335,"")</f>
        <v/>
      </c>
      <c r="J335" s="11">
        <f>IF(G335="","",100-IF($G$13=1,50,(_xlfn.RANK.AVG(G335,$G$19:$G$1518,1)-1)/($G$13-1)*100))</f>
        <v/>
      </c>
      <c r="K335" s="11">
        <f>IF(H335="","",100-IF($G$14=1,50,(_xlfn.RANK.AVG(H335,$H$19:$H$1518,1)-1)/($G$14-1)*100))</f>
        <v/>
      </c>
      <c r="L335" s="11">
        <f>IF(I335="","",IF($G$15=1,50,(_xlfn.RANK.AVG(I335,$I$19:$I$1518,1)-1)/($G$15-1)*100))</f>
        <v/>
      </c>
      <c r="M335" s="11">
        <f>IF(COUNT(J335:L335)=3,ROUND(AVERAGE(J335:L335),6),"")</f>
        <v/>
      </c>
      <c r="O335">
        <f>IF(AND(ISNUMBER('자료_미국심리'!$A319),ISNUMBER('자료_미국심리'!$B319)),'자료_미국심리'!$A319,"")</f>
        <v/>
      </c>
      <c r="P335">
        <f>IF(AND(ISNUMBER('자료_미국심리'!$D319),ISNUMBER('자료_미국심리'!$E319)),'자료_미국심리'!$D319,"")</f>
        <v/>
      </c>
      <c r="Q335">
        <f>IF(AND(ISNUMBER('자료_미국심리'!$G319),ISNUMBER('자료_미국심리'!$H319)),'자료_미국심리'!$G319,"")</f>
        <v/>
      </c>
    </row>
    <row r="336">
      <c r="A336" s="10">
        <f>IF(318&gt;$E$5,"",SMALL($O$19:$O$4018,$E$6+318))</f>
        <v/>
      </c>
      <c r="B336" s="29">
        <f>IF(A336="","",INDEX('자료_미국심리'!$B$3:$B$4002,MATCH(A336,$O$19:$O$4018,0)))</f>
        <v/>
      </c>
      <c r="C336" s="22">
        <f>IF(A336="","",B336/AVERAGE(B212:B336)-1)</f>
        <v/>
      </c>
      <c r="D336" s="29">
        <f>IF(A336="","",IFERROR(INDEX('자료_미국심리'!$E$3:$E$4002,MATCH(A336,$P$19:$P$4018,0)),D335))</f>
        <v/>
      </c>
      <c r="E336" s="29">
        <f>IF(A336="","",IFERROR(INDEX('자료_미국심리'!$H$3:$H$4002,MATCH(A336,$Q$19:$Q$4018,0)),E335))</f>
        <v/>
      </c>
      <c r="F336">
        <f>IF(A336="",0,IF(A336&gt;$B$5,1,0))</f>
        <v/>
      </c>
      <c r="G336" s="29">
        <f>IF(AND(F336=1,ISNUMBER(D336)),D336,"")</f>
        <v/>
      </c>
      <c r="H336" s="29">
        <f>IF(AND(F336=1,ISNUMBER(E336)),E336,"")</f>
        <v/>
      </c>
      <c r="I336" s="22">
        <f>IF(AND(F336=1,ISNUMBER(C336)),C336,"")</f>
        <v/>
      </c>
      <c r="J336" s="11">
        <f>IF(G336="","",100-IF($G$13=1,50,(_xlfn.RANK.AVG(G336,$G$19:$G$1518,1)-1)/($G$13-1)*100))</f>
        <v/>
      </c>
      <c r="K336" s="11">
        <f>IF(H336="","",100-IF($G$14=1,50,(_xlfn.RANK.AVG(H336,$H$19:$H$1518,1)-1)/($G$14-1)*100))</f>
        <v/>
      </c>
      <c r="L336" s="11">
        <f>IF(I336="","",IF($G$15=1,50,(_xlfn.RANK.AVG(I336,$I$19:$I$1518,1)-1)/($G$15-1)*100))</f>
        <v/>
      </c>
      <c r="M336" s="11">
        <f>IF(COUNT(J336:L336)=3,ROUND(AVERAGE(J336:L336),6),"")</f>
        <v/>
      </c>
      <c r="O336">
        <f>IF(AND(ISNUMBER('자료_미국심리'!$A320),ISNUMBER('자료_미국심리'!$B320)),'자료_미국심리'!$A320,"")</f>
        <v/>
      </c>
      <c r="P336">
        <f>IF(AND(ISNUMBER('자료_미국심리'!$D320),ISNUMBER('자료_미국심리'!$E320)),'자료_미국심리'!$D320,"")</f>
        <v/>
      </c>
      <c r="Q336">
        <f>IF(AND(ISNUMBER('자료_미국심리'!$G320),ISNUMBER('자료_미국심리'!$H320)),'자료_미국심리'!$G320,"")</f>
        <v/>
      </c>
    </row>
    <row r="337">
      <c r="A337" s="10">
        <f>IF(319&gt;$E$5,"",SMALL($O$19:$O$4018,$E$6+319))</f>
        <v/>
      </c>
      <c r="B337" s="29">
        <f>IF(A337="","",INDEX('자료_미국심리'!$B$3:$B$4002,MATCH(A337,$O$19:$O$4018,0)))</f>
        <v/>
      </c>
      <c r="C337" s="22">
        <f>IF(A337="","",B337/AVERAGE(B213:B337)-1)</f>
        <v/>
      </c>
      <c r="D337" s="29">
        <f>IF(A337="","",IFERROR(INDEX('자료_미국심리'!$E$3:$E$4002,MATCH(A337,$P$19:$P$4018,0)),D336))</f>
        <v/>
      </c>
      <c r="E337" s="29">
        <f>IF(A337="","",IFERROR(INDEX('자료_미국심리'!$H$3:$H$4002,MATCH(A337,$Q$19:$Q$4018,0)),E336))</f>
        <v/>
      </c>
      <c r="F337">
        <f>IF(A337="",0,IF(A337&gt;$B$5,1,0))</f>
        <v/>
      </c>
      <c r="G337" s="29">
        <f>IF(AND(F337=1,ISNUMBER(D337)),D337,"")</f>
        <v/>
      </c>
      <c r="H337" s="29">
        <f>IF(AND(F337=1,ISNUMBER(E337)),E337,"")</f>
        <v/>
      </c>
      <c r="I337" s="22">
        <f>IF(AND(F337=1,ISNUMBER(C337)),C337,"")</f>
        <v/>
      </c>
      <c r="J337" s="11">
        <f>IF(G337="","",100-IF($G$13=1,50,(_xlfn.RANK.AVG(G337,$G$19:$G$1518,1)-1)/($G$13-1)*100))</f>
        <v/>
      </c>
      <c r="K337" s="11">
        <f>IF(H337="","",100-IF($G$14=1,50,(_xlfn.RANK.AVG(H337,$H$19:$H$1518,1)-1)/($G$14-1)*100))</f>
        <v/>
      </c>
      <c r="L337" s="11">
        <f>IF(I337="","",IF($G$15=1,50,(_xlfn.RANK.AVG(I337,$I$19:$I$1518,1)-1)/($G$15-1)*100))</f>
        <v/>
      </c>
      <c r="M337" s="11">
        <f>IF(COUNT(J337:L337)=3,ROUND(AVERAGE(J337:L337),6),"")</f>
        <v/>
      </c>
      <c r="O337">
        <f>IF(AND(ISNUMBER('자료_미국심리'!$A321),ISNUMBER('자료_미국심리'!$B321)),'자료_미국심리'!$A321,"")</f>
        <v/>
      </c>
      <c r="P337">
        <f>IF(AND(ISNUMBER('자료_미국심리'!$D321),ISNUMBER('자료_미국심리'!$E321)),'자료_미국심리'!$D321,"")</f>
        <v/>
      </c>
      <c r="Q337">
        <f>IF(AND(ISNUMBER('자료_미국심리'!$G321),ISNUMBER('자료_미국심리'!$H321)),'자료_미국심리'!$G321,"")</f>
        <v/>
      </c>
    </row>
    <row r="338">
      <c r="A338" s="10">
        <f>IF(320&gt;$E$5,"",SMALL($O$19:$O$4018,$E$6+320))</f>
        <v/>
      </c>
      <c r="B338" s="29">
        <f>IF(A338="","",INDEX('자료_미국심리'!$B$3:$B$4002,MATCH(A338,$O$19:$O$4018,0)))</f>
        <v/>
      </c>
      <c r="C338" s="22">
        <f>IF(A338="","",B338/AVERAGE(B214:B338)-1)</f>
        <v/>
      </c>
      <c r="D338" s="29">
        <f>IF(A338="","",IFERROR(INDEX('자료_미국심리'!$E$3:$E$4002,MATCH(A338,$P$19:$P$4018,0)),D337))</f>
        <v/>
      </c>
      <c r="E338" s="29">
        <f>IF(A338="","",IFERROR(INDEX('자료_미국심리'!$H$3:$H$4002,MATCH(A338,$Q$19:$Q$4018,0)),E337))</f>
        <v/>
      </c>
      <c r="F338">
        <f>IF(A338="",0,IF(A338&gt;$B$5,1,0))</f>
        <v/>
      </c>
      <c r="G338" s="29">
        <f>IF(AND(F338=1,ISNUMBER(D338)),D338,"")</f>
        <v/>
      </c>
      <c r="H338" s="29">
        <f>IF(AND(F338=1,ISNUMBER(E338)),E338,"")</f>
        <v/>
      </c>
      <c r="I338" s="22">
        <f>IF(AND(F338=1,ISNUMBER(C338)),C338,"")</f>
        <v/>
      </c>
      <c r="J338" s="11">
        <f>IF(G338="","",100-IF($G$13=1,50,(_xlfn.RANK.AVG(G338,$G$19:$G$1518,1)-1)/($G$13-1)*100))</f>
        <v/>
      </c>
      <c r="K338" s="11">
        <f>IF(H338="","",100-IF($G$14=1,50,(_xlfn.RANK.AVG(H338,$H$19:$H$1518,1)-1)/($G$14-1)*100))</f>
        <v/>
      </c>
      <c r="L338" s="11">
        <f>IF(I338="","",IF($G$15=1,50,(_xlfn.RANK.AVG(I338,$I$19:$I$1518,1)-1)/($G$15-1)*100))</f>
        <v/>
      </c>
      <c r="M338" s="11">
        <f>IF(COUNT(J338:L338)=3,ROUND(AVERAGE(J338:L338),6),"")</f>
        <v/>
      </c>
      <c r="O338">
        <f>IF(AND(ISNUMBER('자료_미국심리'!$A322),ISNUMBER('자료_미국심리'!$B322)),'자료_미국심리'!$A322,"")</f>
        <v/>
      </c>
      <c r="P338">
        <f>IF(AND(ISNUMBER('자료_미국심리'!$D322),ISNUMBER('자료_미국심리'!$E322)),'자료_미국심리'!$D322,"")</f>
        <v/>
      </c>
      <c r="Q338">
        <f>IF(AND(ISNUMBER('자료_미국심리'!$G322),ISNUMBER('자료_미국심리'!$H322)),'자료_미국심리'!$G322,"")</f>
        <v/>
      </c>
    </row>
    <row r="339">
      <c r="A339" s="10">
        <f>IF(321&gt;$E$5,"",SMALL($O$19:$O$4018,$E$6+321))</f>
        <v/>
      </c>
      <c r="B339" s="29">
        <f>IF(A339="","",INDEX('자료_미국심리'!$B$3:$B$4002,MATCH(A339,$O$19:$O$4018,0)))</f>
        <v/>
      </c>
      <c r="C339" s="22">
        <f>IF(A339="","",B339/AVERAGE(B215:B339)-1)</f>
        <v/>
      </c>
      <c r="D339" s="29">
        <f>IF(A339="","",IFERROR(INDEX('자료_미국심리'!$E$3:$E$4002,MATCH(A339,$P$19:$P$4018,0)),D338))</f>
        <v/>
      </c>
      <c r="E339" s="29">
        <f>IF(A339="","",IFERROR(INDEX('자료_미국심리'!$H$3:$H$4002,MATCH(A339,$Q$19:$Q$4018,0)),E338))</f>
        <v/>
      </c>
      <c r="F339">
        <f>IF(A339="",0,IF(A339&gt;$B$5,1,0))</f>
        <v/>
      </c>
      <c r="G339" s="29">
        <f>IF(AND(F339=1,ISNUMBER(D339)),D339,"")</f>
        <v/>
      </c>
      <c r="H339" s="29">
        <f>IF(AND(F339=1,ISNUMBER(E339)),E339,"")</f>
        <v/>
      </c>
      <c r="I339" s="22">
        <f>IF(AND(F339=1,ISNUMBER(C339)),C339,"")</f>
        <v/>
      </c>
      <c r="J339" s="11">
        <f>IF(G339="","",100-IF($G$13=1,50,(_xlfn.RANK.AVG(G339,$G$19:$G$1518,1)-1)/($G$13-1)*100))</f>
        <v/>
      </c>
      <c r="K339" s="11">
        <f>IF(H339="","",100-IF($G$14=1,50,(_xlfn.RANK.AVG(H339,$H$19:$H$1518,1)-1)/($G$14-1)*100))</f>
        <v/>
      </c>
      <c r="L339" s="11">
        <f>IF(I339="","",IF($G$15=1,50,(_xlfn.RANK.AVG(I339,$I$19:$I$1518,1)-1)/($G$15-1)*100))</f>
        <v/>
      </c>
      <c r="M339" s="11">
        <f>IF(COUNT(J339:L339)=3,ROUND(AVERAGE(J339:L339),6),"")</f>
        <v/>
      </c>
      <c r="O339">
        <f>IF(AND(ISNUMBER('자료_미국심리'!$A323),ISNUMBER('자료_미국심리'!$B323)),'자료_미국심리'!$A323,"")</f>
        <v/>
      </c>
      <c r="P339">
        <f>IF(AND(ISNUMBER('자료_미국심리'!$D323),ISNUMBER('자료_미국심리'!$E323)),'자료_미국심리'!$D323,"")</f>
        <v/>
      </c>
      <c r="Q339">
        <f>IF(AND(ISNUMBER('자료_미국심리'!$G323),ISNUMBER('자료_미국심리'!$H323)),'자료_미국심리'!$G323,"")</f>
        <v/>
      </c>
    </row>
    <row r="340">
      <c r="A340" s="10">
        <f>IF(322&gt;$E$5,"",SMALL($O$19:$O$4018,$E$6+322))</f>
        <v/>
      </c>
      <c r="B340" s="29">
        <f>IF(A340="","",INDEX('자료_미국심리'!$B$3:$B$4002,MATCH(A340,$O$19:$O$4018,0)))</f>
        <v/>
      </c>
      <c r="C340" s="22">
        <f>IF(A340="","",B340/AVERAGE(B216:B340)-1)</f>
        <v/>
      </c>
      <c r="D340" s="29">
        <f>IF(A340="","",IFERROR(INDEX('자료_미국심리'!$E$3:$E$4002,MATCH(A340,$P$19:$P$4018,0)),D339))</f>
        <v/>
      </c>
      <c r="E340" s="29">
        <f>IF(A340="","",IFERROR(INDEX('자료_미국심리'!$H$3:$H$4002,MATCH(A340,$Q$19:$Q$4018,0)),E339))</f>
        <v/>
      </c>
      <c r="F340">
        <f>IF(A340="",0,IF(A340&gt;$B$5,1,0))</f>
        <v/>
      </c>
      <c r="G340" s="29">
        <f>IF(AND(F340=1,ISNUMBER(D340)),D340,"")</f>
        <v/>
      </c>
      <c r="H340" s="29">
        <f>IF(AND(F340=1,ISNUMBER(E340)),E340,"")</f>
        <v/>
      </c>
      <c r="I340" s="22">
        <f>IF(AND(F340=1,ISNUMBER(C340)),C340,"")</f>
        <v/>
      </c>
      <c r="J340" s="11">
        <f>IF(G340="","",100-IF($G$13=1,50,(_xlfn.RANK.AVG(G340,$G$19:$G$1518,1)-1)/($G$13-1)*100))</f>
        <v/>
      </c>
      <c r="K340" s="11">
        <f>IF(H340="","",100-IF($G$14=1,50,(_xlfn.RANK.AVG(H340,$H$19:$H$1518,1)-1)/($G$14-1)*100))</f>
        <v/>
      </c>
      <c r="L340" s="11">
        <f>IF(I340="","",IF($G$15=1,50,(_xlfn.RANK.AVG(I340,$I$19:$I$1518,1)-1)/($G$15-1)*100))</f>
        <v/>
      </c>
      <c r="M340" s="11">
        <f>IF(COUNT(J340:L340)=3,ROUND(AVERAGE(J340:L340),6),"")</f>
        <v/>
      </c>
      <c r="O340">
        <f>IF(AND(ISNUMBER('자료_미국심리'!$A324),ISNUMBER('자료_미국심리'!$B324)),'자료_미국심리'!$A324,"")</f>
        <v/>
      </c>
      <c r="P340">
        <f>IF(AND(ISNUMBER('자료_미국심리'!$D324),ISNUMBER('자료_미국심리'!$E324)),'자료_미국심리'!$D324,"")</f>
        <v/>
      </c>
      <c r="Q340">
        <f>IF(AND(ISNUMBER('자료_미국심리'!$G324),ISNUMBER('자료_미국심리'!$H324)),'자료_미국심리'!$G324,"")</f>
        <v/>
      </c>
    </row>
    <row r="341">
      <c r="A341" s="10">
        <f>IF(323&gt;$E$5,"",SMALL($O$19:$O$4018,$E$6+323))</f>
        <v/>
      </c>
      <c r="B341" s="29">
        <f>IF(A341="","",INDEX('자료_미국심리'!$B$3:$B$4002,MATCH(A341,$O$19:$O$4018,0)))</f>
        <v/>
      </c>
      <c r="C341" s="22">
        <f>IF(A341="","",B341/AVERAGE(B217:B341)-1)</f>
        <v/>
      </c>
      <c r="D341" s="29">
        <f>IF(A341="","",IFERROR(INDEX('자료_미국심리'!$E$3:$E$4002,MATCH(A341,$P$19:$P$4018,0)),D340))</f>
        <v/>
      </c>
      <c r="E341" s="29">
        <f>IF(A341="","",IFERROR(INDEX('자료_미국심리'!$H$3:$H$4002,MATCH(A341,$Q$19:$Q$4018,0)),E340))</f>
        <v/>
      </c>
      <c r="F341">
        <f>IF(A341="",0,IF(A341&gt;$B$5,1,0))</f>
        <v/>
      </c>
      <c r="G341" s="29">
        <f>IF(AND(F341=1,ISNUMBER(D341)),D341,"")</f>
        <v/>
      </c>
      <c r="H341" s="29">
        <f>IF(AND(F341=1,ISNUMBER(E341)),E341,"")</f>
        <v/>
      </c>
      <c r="I341" s="22">
        <f>IF(AND(F341=1,ISNUMBER(C341)),C341,"")</f>
        <v/>
      </c>
      <c r="J341" s="11">
        <f>IF(G341="","",100-IF($G$13=1,50,(_xlfn.RANK.AVG(G341,$G$19:$G$1518,1)-1)/($G$13-1)*100))</f>
        <v/>
      </c>
      <c r="K341" s="11">
        <f>IF(H341="","",100-IF($G$14=1,50,(_xlfn.RANK.AVG(H341,$H$19:$H$1518,1)-1)/($G$14-1)*100))</f>
        <v/>
      </c>
      <c r="L341" s="11">
        <f>IF(I341="","",IF($G$15=1,50,(_xlfn.RANK.AVG(I341,$I$19:$I$1518,1)-1)/($G$15-1)*100))</f>
        <v/>
      </c>
      <c r="M341" s="11">
        <f>IF(COUNT(J341:L341)=3,ROUND(AVERAGE(J341:L341),6),"")</f>
        <v/>
      </c>
      <c r="O341">
        <f>IF(AND(ISNUMBER('자료_미국심리'!$A325),ISNUMBER('자료_미국심리'!$B325)),'자료_미국심리'!$A325,"")</f>
        <v/>
      </c>
      <c r="P341">
        <f>IF(AND(ISNUMBER('자료_미국심리'!$D325),ISNUMBER('자료_미국심리'!$E325)),'자료_미국심리'!$D325,"")</f>
        <v/>
      </c>
      <c r="Q341">
        <f>IF(AND(ISNUMBER('자료_미국심리'!$G325),ISNUMBER('자료_미국심리'!$H325)),'자료_미국심리'!$G325,"")</f>
        <v/>
      </c>
    </row>
    <row r="342">
      <c r="A342" s="10">
        <f>IF(324&gt;$E$5,"",SMALL($O$19:$O$4018,$E$6+324))</f>
        <v/>
      </c>
      <c r="B342" s="29">
        <f>IF(A342="","",INDEX('자료_미국심리'!$B$3:$B$4002,MATCH(A342,$O$19:$O$4018,0)))</f>
        <v/>
      </c>
      <c r="C342" s="22">
        <f>IF(A342="","",B342/AVERAGE(B218:B342)-1)</f>
        <v/>
      </c>
      <c r="D342" s="29">
        <f>IF(A342="","",IFERROR(INDEX('자료_미국심리'!$E$3:$E$4002,MATCH(A342,$P$19:$P$4018,0)),D341))</f>
        <v/>
      </c>
      <c r="E342" s="29">
        <f>IF(A342="","",IFERROR(INDEX('자료_미국심리'!$H$3:$H$4002,MATCH(A342,$Q$19:$Q$4018,0)),E341))</f>
        <v/>
      </c>
      <c r="F342">
        <f>IF(A342="",0,IF(A342&gt;$B$5,1,0))</f>
        <v/>
      </c>
      <c r="G342" s="29">
        <f>IF(AND(F342=1,ISNUMBER(D342)),D342,"")</f>
        <v/>
      </c>
      <c r="H342" s="29">
        <f>IF(AND(F342=1,ISNUMBER(E342)),E342,"")</f>
        <v/>
      </c>
      <c r="I342" s="22">
        <f>IF(AND(F342=1,ISNUMBER(C342)),C342,"")</f>
        <v/>
      </c>
      <c r="J342" s="11">
        <f>IF(G342="","",100-IF($G$13=1,50,(_xlfn.RANK.AVG(G342,$G$19:$G$1518,1)-1)/($G$13-1)*100))</f>
        <v/>
      </c>
      <c r="K342" s="11">
        <f>IF(H342="","",100-IF($G$14=1,50,(_xlfn.RANK.AVG(H342,$H$19:$H$1518,1)-1)/($G$14-1)*100))</f>
        <v/>
      </c>
      <c r="L342" s="11">
        <f>IF(I342="","",IF($G$15=1,50,(_xlfn.RANK.AVG(I342,$I$19:$I$1518,1)-1)/($G$15-1)*100))</f>
        <v/>
      </c>
      <c r="M342" s="11">
        <f>IF(COUNT(J342:L342)=3,ROUND(AVERAGE(J342:L342),6),"")</f>
        <v/>
      </c>
      <c r="O342">
        <f>IF(AND(ISNUMBER('자료_미국심리'!$A326),ISNUMBER('자료_미국심리'!$B326)),'자료_미국심리'!$A326,"")</f>
        <v/>
      </c>
      <c r="P342">
        <f>IF(AND(ISNUMBER('자료_미국심리'!$D326),ISNUMBER('자료_미국심리'!$E326)),'자료_미국심리'!$D326,"")</f>
        <v/>
      </c>
      <c r="Q342">
        <f>IF(AND(ISNUMBER('자료_미국심리'!$G326),ISNUMBER('자료_미국심리'!$H326)),'자료_미국심리'!$G326,"")</f>
        <v/>
      </c>
    </row>
    <row r="343">
      <c r="A343" s="10">
        <f>IF(325&gt;$E$5,"",SMALL($O$19:$O$4018,$E$6+325))</f>
        <v/>
      </c>
      <c r="B343" s="29">
        <f>IF(A343="","",INDEX('자료_미국심리'!$B$3:$B$4002,MATCH(A343,$O$19:$O$4018,0)))</f>
        <v/>
      </c>
      <c r="C343" s="22">
        <f>IF(A343="","",B343/AVERAGE(B219:B343)-1)</f>
        <v/>
      </c>
      <c r="D343" s="29">
        <f>IF(A343="","",IFERROR(INDEX('자료_미국심리'!$E$3:$E$4002,MATCH(A343,$P$19:$P$4018,0)),D342))</f>
        <v/>
      </c>
      <c r="E343" s="29">
        <f>IF(A343="","",IFERROR(INDEX('자료_미국심리'!$H$3:$H$4002,MATCH(A343,$Q$19:$Q$4018,0)),E342))</f>
        <v/>
      </c>
      <c r="F343">
        <f>IF(A343="",0,IF(A343&gt;$B$5,1,0))</f>
        <v/>
      </c>
      <c r="G343" s="29">
        <f>IF(AND(F343=1,ISNUMBER(D343)),D343,"")</f>
        <v/>
      </c>
      <c r="H343" s="29">
        <f>IF(AND(F343=1,ISNUMBER(E343)),E343,"")</f>
        <v/>
      </c>
      <c r="I343" s="22">
        <f>IF(AND(F343=1,ISNUMBER(C343)),C343,"")</f>
        <v/>
      </c>
      <c r="J343" s="11">
        <f>IF(G343="","",100-IF($G$13=1,50,(_xlfn.RANK.AVG(G343,$G$19:$G$1518,1)-1)/($G$13-1)*100))</f>
        <v/>
      </c>
      <c r="K343" s="11">
        <f>IF(H343="","",100-IF($G$14=1,50,(_xlfn.RANK.AVG(H343,$H$19:$H$1518,1)-1)/($G$14-1)*100))</f>
        <v/>
      </c>
      <c r="L343" s="11">
        <f>IF(I343="","",IF($G$15=1,50,(_xlfn.RANK.AVG(I343,$I$19:$I$1518,1)-1)/($G$15-1)*100))</f>
        <v/>
      </c>
      <c r="M343" s="11">
        <f>IF(COUNT(J343:L343)=3,ROUND(AVERAGE(J343:L343),6),"")</f>
        <v/>
      </c>
      <c r="O343">
        <f>IF(AND(ISNUMBER('자료_미국심리'!$A327),ISNUMBER('자료_미국심리'!$B327)),'자료_미국심리'!$A327,"")</f>
        <v/>
      </c>
      <c r="P343">
        <f>IF(AND(ISNUMBER('자료_미국심리'!$D327),ISNUMBER('자료_미국심리'!$E327)),'자료_미국심리'!$D327,"")</f>
        <v/>
      </c>
      <c r="Q343">
        <f>IF(AND(ISNUMBER('자료_미국심리'!$G327),ISNUMBER('자료_미국심리'!$H327)),'자료_미국심리'!$G327,"")</f>
        <v/>
      </c>
    </row>
    <row r="344">
      <c r="A344" s="10">
        <f>IF(326&gt;$E$5,"",SMALL($O$19:$O$4018,$E$6+326))</f>
        <v/>
      </c>
      <c r="B344" s="29">
        <f>IF(A344="","",INDEX('자료_미국심리'!$B$3:$B$4002,MATCH(A344,$O$19:$O$4018,0)))</f>
        <v/>
      </c>
      <c r="C344" s="22">
        <f>IF(A344="","",B344/AVERAGE(B220:B344)-1)</f>
        <v/>
      </c>
      <c r="D344" s="29">
        <f>IF(A344="","",IFERROR(INDEX('자료_미국심리'!$E$3:$E$4002,MATCH(A344,$P$19:$P$4018,0)),D343))</f>
        <v/>
      </c>
      <c r="E344" s="29">
        <f>IF(A344="","",IFERROR(INDEX('자료_미국심리'!$H$3:$H$4002,MATCH(A344,$Q$19:$Q$4018,0)),E343))</f>
        <v/>
      </c>
      <c r="F344">
        <f>IF(A344="",0,IF(A344&gt;$B$5,1,0))</f>
        <v/>
      </c>
      <c r="G344" s="29">
        <f>IF(AND(F344=1,ISNUMBER(D344)),D344,"")</f>
        <v/>
      </c>
      <c r="H344" s="29">
        <f>IF(AND(F344=1,ISNUMBER(E344)),E344,"")</f>
        <v/>
      </c>
      <c r="I344" s="22">
        <f>IF(AND(F344=1,ISNUMBER(C344)),C344,"")</f>
        <v/>
      </c>
      <c r="J344" s="11">
        <f>IF(G344="","",100-IF($G$13=1,50,(_xlfn.RANK.AVG(G344,$G$19:$G$1518,1)-1)/($G$13-1)*100))</f>
        <v/>
      </c>
      <c r="K344" s="11">
        <f>IF(H344="","",100-IF($G$14=1,50,(_xlfn.RANK.AVG(H344,$H$19:$H$1518,1)-1)/($G$14-1)*100))</f>
        <v/>
      </c>
      <c r="L344" s="11">
        <f>IF(I344="","",IF($G$15=1,50,(_xlfn.RANK.AVG(I344,$I$19:$I$1518,1)-1)/($G$15-1)*100))</f>
        <v/>
      </c>
      <c r="M344" s="11">
        <f>IF(COUNT(J344:L344)=3,ROUND(AVERAGE(J344:L344),6),"")</f>
        <v/>
      </c>
      <c r="O344">
        <f>IF(AND(ISNUMBER('자료_미국심리'!$A328),ISNUMBER('자료_미국심리'!$B328)),'자료_미국심리'!$A328,"")</f>
        <v/>
      </c>
      <c r="P344">
        <f>IF(AND(ISNUMBER('자료_미국심리'!$D328),ISNUMBER('자료_미국심리'!$E328)),'자료_미국심리'!$D328,"")</f>
        <v/>
      </c>
      <c r="Q344">
        <f>IF(AND(ISNUMBER('자료_미국심리'!$G328),ISNUMBER('자료_미국심리'!$H328)),'자료_미국심리'!$G328,"")</f>
        <v/>
      </c>
    </row>
    <row r="345">
      <c r="A345" s="10">
        <f>IF(327&gt;$E$5,"",SMALL($O$19:$O$4018,$E$6+327))</f>
        <v/>
      </c>
      <c r="B345" s="29">
        <f>IF(A345="","",INDEX('자료_미국심리'!$B$3:$B$4002,MATCH(A345,$O$19:$O$4018,0)))</f>
        <v/>
      </c>
      <c r="C345" s="22">
        <f>IF(A345="","",B345/AVERAGE(B221:B345)-1)</f>
        <v/>
      </c>
      <c r="D345" s="29">
        <f>IF(A345="","",IFERROR(INDEX('자료_미국심리'!$E$3:$E$4002,MATCH(A345,$P$19:$P$4018,0)),D344))</f>
        <v/>
      </c>
      <c r="E345" s="29">
        <f>IF(A345="","",IFERROR(INDEX('자료_미국심리'!$H$3:$H$4002,MATCH(A345,$Q$19:$Q$4018,0)),E344))</f>
        <v/>
      </c>
      <c r="F345">
        <f>IF(A345="",0,IF(A345&gt;$B$5,1,0))</f>
        <v/>
      </c>
      <c r="G345" s="29">
        <f>IF(AND(F345=1,ISNUMBER(D345)),D345,"")</f>
        <v/>
      </c>
      <c r="H345" s="29">
        <f>IF(AND(F345=1,ISNUMBER(E345)),E345,"")</f>
        <v/>
      </c>
      <c r="I345" s="22">
        <f>IF(AND(F345=1,ISNUMBER(C345)),C345,"")</f>
        <v/>
      </c>
      <c r="J345" s="11">
        <f>IF(G345="","",100-IF($G$13=1,50,(_xlfn.RANK.AVG(G345,$G$19:$G$1518,1)-1)/($G$13-1)*100))</f>
        <v/>
      </c>
      <c r="K345" s="11">
        <f>IF(H345="","",100-IF($G$14=1,50,(_xlfn.RANK.AVG(H345,$H$19:$H$1518,1)-1)/($G$14-1)*100))</f>
        <v/>
      </c>
      <c r="L345" s="11">
        <f>IF(I345="","",IF($G$15=1,50,(_xlfn.RANK.AVG(I345,$I$19:$I$1518,1)-1)/($G$15-1)*100))</f>
        <v/>
      </c>
      <c r="M345" s="11">
        <f>IF(COUNT(J345:L345)=3,ROUND(AVERAGE(J345:L345),6),"")</f>
        <v/>
      </c>
      <c r="O345">
        <f>IF(AND(ISNUMBER('자료_미국심리'!$A329),ISNUMBER('자료_미국심리'!$B329)),'자료_미국심리'!$A329,"")</f>
        <v/>
      </c>
      <c r="P345">
        <f>IF(AND(ISNUMBER('자료_미국심리'!$D329),ISNUMBER('자료_미국심리'!$E329)),'자료_미국심리'!$D329,"")</f>
        <v/>
      </c>
      <c r="Q345">
        <f>IF(AND(ISNUMBER('자료_미국심리'!$G329),ISNUMBER('자료_미국심리'!$H329)),'자료_미국심리'!$G329,"")</f>
        <v/>
      </c>
    </row>
    <row r="346">
      <c r="A346" s="10">
        <f>IF(328&gt;$E$5,"",SMALL($O$19:$O$4018,$E$6+328))</f>
        <v/>
      </c>
      <c r="B346" s="29">
        <f>IF(A346="","",INDEX('자료_미국심리'!$B$3:$B$4002,MATCH(A346,$O$19:$O$4018,0)))</f>
        <v/>
      </c>
      <c r="C346" s="22">
        <f>IF(A346="","",B346/AVERAGE(B222:B346)-1)</f>
        <v/>
      </c>
      <c r="D346" s="29">
        <f>IF(A346="","",IFERROR(INDEX('자료_미국심리'!$E$3:$E$4002,MATCH(A346,$P$19:$P$4018,0)),D345))</f>
        <v/>
      </c>
      <c r="E346" s="29">
        <f>IF(A346="","",IFERROR(INDEX('자료_미국심리'!$H$3:$H$4002,MATCH(A346,$Q$19:$Q$4018,0)),E345))</f>
        <v/>
      </c>
      <c r="F346">
        <f>IF(A346="",0,IF(A346&gt;$B$5,1,0))</f>
        <v/>
      </c>
      <c r="G346" s="29">
        <f>IF(AND(F346=1,ISNUMBER(D346)),D346,"")</f>
        <v/>
      </c>
      <c r="H346" s="29">
        <f>IF(AND(F346=1,ISNUMBER(E346)),E346,"")</f>
        <v/>
      </c>
      <c r="I346" s="22">
        <f>IF(AND(F346=1,ISNUMBER(C346)),C346,"")</f>
        <v/>
      </c>
      <c r="J346" s="11">
        <f>IF(G346="","",100-IF($G$13=1,50,(_xlfn.RANK.AVG(G346,$G$19:$G$1518,1)-1)/($G$13-1)*100))</f>
        <v/>
      </c>
      <c r="K346" s="11">
        <f>IF(H346="","",100-IF($G$14=1,50,(_xlfn.RANK.AVG(H346,$H$19:$H$1518,1)-1)/($G$14-1)*100))</f>
        <v/>
      </c>
      <c r="L346" s="11">
        <f>IF(I346="","",IF($G$15=1,50,(_xlfn.RANK.AVG(I346,$I$19:$I$1518,1)-1)/($G$15-1)*100))</f>
        <v/>
      </c>
      <c r="M346" s="11">
        <f>IF(COUNT(J346:L346)=3,ROUND(AVERAGE(J346:L346),6),"")</f>
        <v/>
      </c>
      <c r="O346">
        <f>IF(AND(ISNUMBER('자료_미국심리'!$A330),ISNUMBER('자료_미국심리'!$B330)),'자료_미국심리'!$A330,"")</f>
        <v/>
      </c>
      <c r="P346">
        <f>IF(AND(ISNUMBER('자료_미국심리'!$D330),ISNUMBER('자료_미국심리'!$E330)),'자료_미국심리'!$D330,"")</f>
        <v/>
      </c>
      <c r="Q346">
        <f>IF(AND(ISNUMBER('자료_미국심리'!$G330),ISNUMBER('자료_미국심리'!$H330)),'자료_미국심리'!$G330,"")</f>
        <v/>
      </c>
    </row>
    <row r="347">
      <c r="A347" s="10">
        <f>IF(329&gt;$E$5,"",SMALL($O$19:$O$4018,$E$6+329))</f>
        <v/>
      </c>
      <c r="B347" s="29">
        <f>IF(A347="","",INDEX('자료_미국심리'!$B$3:$B$4002,MATCH(A347,$O$19:$O$4018,0)))</f>
        <v/>
      </c>
      <c r="C347" s="22">
        <f>IF(A347="","",B347/AVERAGE(B223:B347)-1)</f>
        <v/>
      </c>
      <c r="D347" s="29">
        <f>IF(A347="","",IFERROR(INDEX('자료_미국심리'!$E$3:$E$4002,MATCH(A347,$P$19:$P$4018,0)),D346))</f>
        <v/>
      </c>
      <c r="E347" s="29">
        <f>IF(A347="","",IFERROR(INDEX('자료_미국심리'!$H$3:$H$4002,MATCH(A347,$Q$19:$Q$4018,0)),E346))</f>
        <v/>
      </c>
      <c r="F347">
        <f>IF(A347="",0,IF(A347&gt;$B$5,1,0))</f>
        <v/>
      </c>
      <c r="G347" s="29">
        <f>IF(AND(F347=1,ISNUMBER(D347)),D347,"")</f>
        <v/>
      </c>
      <c r="H347" s="29">
        <f>IF(AND(F347=1,ISNUMBER(E347)),E347,"")</f>
        <v/>
      </c>
      <c r="I347" s="22">
        <f>IF(AND(F347=1,ISNUMBER(C347)),C347,"")</f>
        <v/>
      </c>
      <c r="J347" s="11">
        <f>IF(G347="","",100-IF($G$13=1,50,(_xlfn.RANK.AVG(G347,$G$19:$G$1518,1)-1)/($G$13-1)*100))</f>
        <v/>
      </c>
      <c r="K347" s="11">
        <f>IF(H347="","",100-IF($G$14=1,50,(_xlfn.RANK.AVG(H347,$H$19:$H$1518,1)-1)/($G$14-1)*100))</f>
        <v/>
      </c>
      <c r="L347" s="11">
        <f>IF(I347="","",IF($G$15=1,50,(_xlfn.RANK.AVG(I347,$I$19:$I$1518,1)-1)/($G$15-1)*100))</f>
        <v/>
      </c>
      <c r="M347" s="11">
        <f>IF(COUNT(J347:L347)=3,ROUND(AVERAGE(J347:L347),6),"")</f>
        <v/>
      </c>
      <c r="O347">
        <f>IF(AND(ISNUMBER('자료_미국심리'!$A331),ISNUMBER('자료_미국심리'!$B331)),'자료_미국심리'!$A331,"")</f>
        <v/>
      </c>
      <c r="P347">
        <f>IF(AND(ISNUMBER('자료_미국심리'!$D331),ISNUMBER('자료_미국심리'!$E331)),'자료_미국심리'!$D331,"")</f>
        <v/>
      </c>
      <c r="Q347">
        <f>IF(AND(ISNUMBER('자료_미국심리'!$G331),ISNUMBER('자료_미국심리'!$H331)),'자료_미국심리'!$G331,"")</f>
        <v/>
      </c>
    </row>
    <row r="348">
      <c r="A348" s="10">
        <f>IF(330&gt;$E$5,"",SMALL($O$19:$O$4018,$E$6+330))</f>
        <v/>
      </c>
      <c r="B348" s="29">
        <f>IF(A348="","",INDEX('자료_미국심리'!$B$3:$B$4002,MATCH(A348,$O$19:$O$4018,0)))</f>
        <v/>
      </c>
      <c r="C348" s="22">
        <f>IF(A348="","",B348/AVERAGE(B224:B348)-1)</f>
        <v/>
      </c>
      <c r="D348" s="29">
        <f>IF(A348="","",IFERROR(INDEX('자료_미국심리'!$E$3:$E$4002,MATCH(A348,$P$19:$P$4018,0)),D347))</f>
        <v/>
      </c>
      <c r="E348" s="29">
        <f>IF(A348="","",IFERROR(INDEX('자료_미국심리'!$H$3:$H$4002,MATCH(A348,$Q$19:$Q$4018,0)),E347))</f>
        <v/>
      </c>
      <c r="F348">
        <f>IF(A348="",0,IF(A348&gt;$B$5,1,0))</f>
        <v/>
      </c>
      <c r="G348" s="29">
        <f>IF(AND(F348=1,ISNUMBER(D348)),D348,"")</f>
        <v/>
      </c>
      <c r="H348" s="29">
        <f>IF(AND(F348=1,ISNUMBER(E348)),E348,"")</f>
        <v/>
      </c>
      <c r="I348" s="22">
        <f>IF(AND(F348=1,ISNUMBER(C348)),C348,"")</f>
        <v/>
      </c>
      <c r="J348" s="11">
        <f>IF(G348="","",100-IF($G$13=1,50,(_xlfn.RANK.AVG(G348,$G$19:$G$1518,1)-1)/($G$13-1)*100))</f>
        <v/>
      </c>
      <c r="K348" s="11">
        <f>IF(H348="","",100-IF($G$14=1,50,(_xlfn.RANK.AVG(H348,$H$19:$H$1518,1)-1)/($G$14-1)*100))</f>
        <v/>
      </c>
      <c r="L348" s="11">
        <f>IF(I348="","",IF($G$15=1,50,(_xlfn.RANK.AVG(I348,$I$19:$I$1518,1)-1)/($G$15-1)*100))</f>
        <v/>
      </c>
      <c r="M348" s="11">
        <f>IF(COUNT(J348:L348)=3,ROUND(AVERAGE(J348:L348),6),"")</f>
        <v/>
      </c>
      <c r="O348">
        <f>IF(AND(ISNUMBER('자료_미국심리'!$A332),ISNUMBER('자료_미국심리'!$B332)),'자료_미국심리'!$A332,"")</f>
        <v/>
      </c>
      <c r="P348">
        <f>IF(AND(ISNUMBER('자료_미국심리'!$D332),ISNUMBER('자료_미국심리'!$E332)),'자료_미국심리'!$D332,"")</f>
        <v/>
      </c>
      <c r="Q348">
        <f>IF(AND(ISNUMBER('자료_미국심리'!$G332),ISNUMBER('자료_미국심리'!$H332)),'자료_미국심리'!$G332,"")</f>
        <v/>
      </c>
    </row>
    <row r="349">
      <c r="A349" s="10">
        <f>IF(331&gt;$E$5,"",SMALL($O$19:$O$4018,$E$6+331))</f>
        <v/>
      </c>
      <c r="B349" s="29">
        <f>IF(A349="","",INDEX('자료_미국심리'!$B$3:$B$4002,MATCH(A349,$O$19:$O$4018,0)))</f>
        <v/>
      </c>
      <c r="C349" s="22">
        <f>IF(A349="","",B349/AVERAGE(B225:B349)-1)</f>
        <v/>
      </c>
      <c r="D349" s="29">
        <f>IF(A349="","",IFERROR(INDEX('자료_미국심리'!$E$3:$E$4002,MATCH(A349,$P$19:$P$4018,0)),D348))</f>
        <v/>
      </c>
      <c r="E349" s="29">
        <f>IF(A349="","",IFERROR(INDEX('자료_미국심리'!$H$3:$H$4002,MATCH(A349,$Q$19:$Q$4018,0)),E348))</f>
        <v/>
      </c>
      <c r="F349">
        <f>IF(A349="",0,IF(A349&gt;$B$5,1,0))</f>
        <v/>
      </c>
      <c r="G349" s="29">
        <f>IF(AND(F349=1,ISNUMBER(D349)),D349,"")</f>
        <v/>
      </c>
      <c r="H349" s="29">
        <f>IF(AND(F349=1,ISNUMBER(E349)),E349,"")</f>
        <v/>
      </c>
      <c r="I349" s="22">
        <f>IF(AND(F349=1,ISNUMBER(C349)),C349,"")</f>
        <v/>
      </c>
      <c r="J349" s="11">
        <f>IF(G349="","",100-IF($G$13=1,50,(_xlfn.RANK.AVG(G349,$G$19:$G$1518,1)-1)/($G$13-1)*100))</f>
        <v/>
      </c>
      <c r="K349" s="11">
        <f>IF(H349="","",100-IF($G$14=1,50,(_xlfn.RANK.AVG(H349,$H$19:$H$1518,1)-1)/($G$14-1)*100))</f>
        <v/>
      </c>
      <c r="L349" s="11">
        <f>IF(I349="","",IF($G$15=1,50,(_xlfn.RANK.AVG(I349,$I$19:$I$1518,1)-1)/($G$15-1)*100))</f>
        <v/>
      </c>
      <c r="M349" s="11">
        <f>IF(COUNT(J349:L349)=3,ROUND(AVERAGE(J349:L349),6),"")</f>
        <v/>
      </c>
      <c r="O349">
        <f>IF(AND(ISNUMBER('자료_미국심리'!$A333),ISNUMBER('자료_미국심리'!$B333)),'자료_미국심리'!$A333,"")</f>
        <v/>
      </c>
      <c r="P349">
        <f>IF(AND(ISNUMBER('자료_미국심리'!$D333),ISNUMBER('자료_미국심리'!$E333)),'자료_미국심리'!$D333,"")</f>
        <v/>
      </c>
      <c r="Q349">
        <f>IF(AND(ISNUMBER('자료_미국심리'!$G333),ISNUMBER('자료_미국심리'!$H333)),'자료_미국심리'!$G333,"")</f>
        <v/>
      </c>
    </row>
    <row r="350">
      <c r="A350" s="10">
        <f>IF(332&gt;$E$5,"",SMALL($O$19:$O$4018,$E$6+332))</f>
        <v/>
      </c>
      <c r="B350" s="29">
        <f>IF(A350="","",INDEX('자료_미국심리'!$B$3:$B$4002,MATCH(A350,$O$19:$O$4018,0)))</f>
        <v/>
      </c>
      <c r="C350" s="22">
        <f>IF(A350="","",B350/AVERAGE(B226:B350)-1)</f>
        <v/>
      </c>
      <c r="D350" s="29">
        <f>IF(A350="","",IFERROR(INDEX('자료_미국심리'!$E$3:$E$4002,MATCH(A350,$P$19:$P$4018,0)),D349))</f>
        <v/>
      </c>
      <c r="E350" s="29">
        <f>IF(A350="","",IFERROR(INDEX('자료_미국심리'!$H$3:$H$4002,MATCH(A350,$Q$19:$Q$4018,0)),E349))</f>
        <v/>
      </c>
      <c r="F350">
        <f>IF(A350="",0,IF(A350&gt;$B$5,1,0))</f>
        <v/>
      </c>
      <c r="G350" s="29">
        <f>IF(AND(F350=1,ISNUMBER(D350)),D350,"")</f>
        <v/>
      </c>
      <c r="H350" s="29">
        <f>IF(AND(F350=1,ISNUMBER(E350)),E350,"")</f>
        <v/>
      </c>
      <c r="I350" s="22">
        <f>IF(AND(F350=1,ISNUMBER(C350)),C350,"")</f>
        <v/>
      </c>
      <c r="J350" s="11">
        <f>IF(G350="","",100-IF($G$13=1,50,(_xlfn.RANK.AVG(G350,$G$19:$G$1518,1)-1)/($G$13-1)*100))</f>
        <v/>
      </c>
      <c r="K350" s="11">
        <f>IF(H350="","",100-IF($G$14=1,50,(_xlfn.RANK.AVG(H350,$H$19:$H$1518,1)-1)/($G$14-1)*100))</f>
        <v/>
      </c>
      <c r="L350" s="11">
        <f>IF(I350="","",IF($G$15=1,50,(_xlfn.RANK.AVG(I350,$I$19:$I$1518,1)-1)/($G$15-1)*100))</f>
        <v/>
      </c>
      <c r="M350" s="11">
        <f>IF(COUNT(J350:L350)=3,ROUND(AVERAGE(J350:L350),6),"")</f>
        <v/>
      </c>
      <c r="O350">
        <f>IF(AND(ISNUMBER('자료_미국심리'!$A334),ISNUMBER('자료_미국심리'!$B334)),'자료_미국심리'!$A334,"")</f>
        <v/>
      </c>
      <c r="P350">
        <f>IF(AND(ISNUMBER('자료_미국심리'!$D334),ISNUMBER('자료_미국심리'!$E334)),'자료_미국심리'!$D334,"")</f>
        <v/>
      </c>
      <c r="Q350">
        <f>IF(AND(ISNUMBER('자료_미국심리'!$G334),ISNUMBER('자료_미국심리'!$H334)),'자료_미국심리'!$G334,"")</f>
        <v/>
      </c>
    </row>
    <row r="351">
      <c r="A351" s="10">
        <f>IF(333&gt;$E$5,"",SMALL($O$19:$O$4018,$E$6+333))</f>
        <v/>
      </c>
      <c r="B351" s="29">
        <f>IF(A351="","",INDEX('자료_미국심리'!$B$3:$B$4002,MATCH(A351,$O$19:$O$4018,0)))</f>
        <v/>
      </c>
      <c r="C351" s="22">
        <f>IF(A351="","",B351/AVERAGE(B227:B351)-1)</f>
        <v/>
      </c>
      <c r="D351" s="29">
        <f>IF(A351="","",IFERROR(INDEX('자료_미국심리'!$E$3:$E$4002,MATCH(A351,$P$19:$P$4018,0)),D350))</f>
        <v/>
      </c>
      <c r="E351" s="29">
        <f>IF(A351="","",IFERROR(INDEX('자료_미국심리'!$H$3:$H$4002,MATCH(A351,$Q$19:$Q$4018,0)),E350))</f>
        <v/>
      </c>
      <c r="F351">
        <f>IF(A351="",0,IF(A351&gt;$B$5,1,0))</f>
        <v/>
      </c>
      <c r="G351" s="29">
        <f>IF(AND(F351=1,ISNUMBER(D351)),D351,"")</f>
        <v/>
      </c>
      <c r="H351" s="29">
        <f>IF(AND(F351=1,ISNUMBER(E351)),E351,"")</f>
        <v/>
      </c>
      <c r="I351" s="22">
        <f>IF(AND(F351=1,ISNUMBER(C351)),C351,"")</f>
        <v/>
      </c>
      <c r="J351" s="11">
        <f>IF(G351="","",100-IF($G$13=1,50,(_xlfn.RANK.AVG(G351,$G$19:$G$1518,1)-1)/($G$13-1)*100))</f>
        <v/>
      </c>
      <c r="K351" s="11">
        <f>IF(H351="","",100-IF($G$14=1,50,(_xlfn.RANK.AVG(H351,$H$19:$H$1518,1)-1)/($G$14-1)*100))</f>
        <v/>
      </c>
      <c r="L351" s="11">
        <f>IF(I351="","",IF($G$15=1,50,(_xlfn.RANK.AVG(I351,$I$19:$I$1518,1)-1)/($G$15-1)*100))</f>
        <v/>
      </c>
      <c r="M351" s="11">
        <f>IF(COUNT(J351:L351)=3,ROUND(AVERAGE(J351:L351),6),"")</f>
        <v/>
      </c>
      <c r="O351">
        <f>IF(AND(ISNUMBER('자료_미국심리'!$A335),ISNUMBER('자료_미국심리'!$B335)),'자료_미국심리'!$A335,"")</f>
        <v/>
      </c>
      <c r="P351">
        <f>IF(AND(ISNUMBER('자료_미국심리'!$D335),ISNUMBER('자료_미국심리'!$E335)),'자료_미국심리'!$D335,"")</f>
        <v/>
      </c>
      <c r="Q351">
        <f>IF(AND(ISNUMBER('자료_미국심리'!$G335),ISNUMBER('자료_미국심리'!$H335)),'자료_미국심리'!$G335,"")</f>
        <v/>
      </c>
    </row>
    <row r="352">
      <c r="A352" s="10">
        <f>IF(334&gt;$E$5,"",SMALL($O$19:$O$4018,$E$6+334))</f>
        <v/>
      </c>
      <c r="B352" s="29">
        <f>IF(A352="","",INDEX('자료_미국심리'!$B$3:$B$4002,MATCH(A352,$O$19:$O$4018,0)))</f>
        <v/>
      </c>
      <c r="C352" s="22">
        <f>IF(A352="","",B352/AVERAGE(B228:B352)-1)</f>
        <v/>
      </c>
      <c r="D352" s="29">
        <f>IF(A352="","",IFERROR(INDEX('자료_미국심리'!$E$3:$E$4002,MATCH(A352,$P$19:$P$4018,0)),D351))</f>
        <v/>
      </c>
      <c r="E352" s="29">
        <f>IF(A352="","",IFERROR(INDEX('자료_미국심리'!$H$3:$H$4002,MATCH(A352,$Q$19:$Q$4018,0)),E351))</f>
        <v/>
      </c>
      <c r="F352">
        <f>IF(A352="",0,IF(A352&gt;$B$5,1,0))</f>
        <v/>
      </c>
      <c r="G352" s="29">
        <f>IF(AND(F352=1,ISNUMBER(D352)),D352,"")</f>
        <v/>
      </c>
      <c r="H352" s="29">
        <f>IF(AND(F352=1,ISNUMBER(E352)),E352,"")</f>
        <v/>
      </c>
      <c r="I352" s="22">
        <f>IF(AND(F352=1,ISNUMBER(C352)),C352,"")</f>
        <v/>
      </c>
      <c r="J352" s="11">
        <f>IF(G352="","",100-IF($G$13=1,50,(_xlfn.RANK.AVG(G352,$G$19:$G$1518,1)-1)/($G$13-1)*100))</f>
        <v/>
      </c>
      <c r="K352" s="11">
        <f>IF(H352="","",100-IF($G$14=1,50,(_xlfn.RANK.AVG(H352,$H$19:$H$1518,1)-1)/($G$14-1)*100))</f>
        <v/>
      </c>
      <c r="L352" s="11">
        <f>IF(I352="","",IF($G$15=1,50,(_xlfn.RANK.AVG(I352,$I$19:$I$1518,1)-1)/($G$15-1)*100))</f>
        <v/>
      </c>
      <c r="M352" s="11">
        <f>IF(COUNT(J352:L352)=3,ROUND(AVERAGE(J352:L352),6),"")</f>
        <v/>
      </c>
      <c r="O352">
        <f>IF(AND(ISNUMBER('자료_미국심리'!$A336),ISNUMBER('자료_미국심리'!$B336)),'자료_미국심리'!$A336,"")</f>
        <v/>
      </c>
      <c r="P352">
        <f>IF(AND(ISNUMBER('자료_미국심리'!$D336),ISNUMBER('자료_미국심리'!$E336)),'자료_미국심리'!$D336,"")</f>
        <v/>
      </c>
      <c r="Q352">
        <f>IF(AND(ISNUMBER('자료_미국심리'!$G336),ISNUMBER('자료_미국심리'!$H336)),'자료_미국심리'!$G336,"")</f>
        <v/>
      </c>
    </row>
    <row r="353">
      <c r="A353" s="10">
        <f>IF(335&gt;$E$5,"",SMALL($O$19:$O$4018,$E$6+335))</f>
        <v/>
      </c>
      <c r="B353" s="29">
        <f>IF(A353="","",INDEX('자료_미국심리'!$B$3:$B$4002,MATCH(A353,$O$19:$O$4018,0)))</f>
        <v/>
      </c>
      <c r="C353" s="22">
        <f>IF(A353="","",B353/AVERAGE(B229:B353)-1)</f>
        <v/>
      </c>
      <c r="D353" s="29">
        <f>IF(A353="","",IFERROR(INDEX('자료_미국심리'!$E$3:$E$4002,MATCH(A353,$P$19:$P$4018,0)),D352))</f>
        <v/>
      </c>
      <c r="E353" s="29">
        <f>IF(A353="","",IFERROR(INDEX('자료_미국심리'!$H$3:$H$4002,MATCH(A353,$Q$19:$Q$4018,0)),E352))</f>
        <v/>
      </c>
      <c r="F353">
        <f>IF(A353="",0,IF(A353&gt;$B$5,1,0))</f>
        <v/>
      </c>
      <c r="G353" s="29">
        <f>IF(AND(F353=1,ISNUMBER(D353)),D353,"")</f>
        <v/>
      </c>
      <c r="H353" s="29">
        <f>IF(AND(F353=1,ISNUMBER(E353)),E353,"")</f>
        <v/>
      </c>
      <c r="I353" s="22">
        <f>IF(AND(F353=1,ISNUMBER(C353)),C353,"")</f>
        <v/>
      </c>
      <c r="J353" s="11">
        <f>IF(G353="","",100-IF($G$13=1,50,(_xlfn.RANK.AVG(G353,$G$19:$G$1518,1)-1)/($G$13-1)*100))</f>
        <v/>
      </c>
      <c r="K353" s="11">
        <f>IF(H353="","",100-IF($G$14=1,50,(_xlfn.RANK.AVG(H353,$H$19:$H$1518,1)-1)/($G$14-1)*100))</f>
        <v/>
      </c>
      <c r="L353" s="11">
        <f>IF(I353="","",IF($G$15=1,50,(_xlfn.RANK.AVG(I353,$I$19:$I$1518,1)-1)/($G$15-1)*100))</f>
        <v/>
      </c>
      <c r="M353" s="11">
        <f>IF(COUNT(J353:L353)=3,ROUND(AVERAGE(J353:L353),6),"")</f>
        <v/>
      </c>
      <c r="O353">
        <f>IF(AND(ISNUMBER('자료_미국심리'!$A337),ISNUMBER('자료_미국심리'!$B337)),'자료_미국심리'!$A337,"")</f>
        <v/>
      </c>
      <c r="P353">
        <f>IF(AND(ISNUMBER('자료_미국심리'!$D337),ISNUMBER('자료_미국심리'!$E337)),'자료_미국심리'!$D337,"")</f>
        <v/>
      </c>
      <c r="Q353">
        <f>IF(AND(ISNUMBER('자료_미국심리'!$G337),ISNUMBER('자료_미국심리'!$H337)),'자료_미국심리'!$G337,"")</f>
        <v/>
      </c>
    </row>
    <row r="354">
      <c r="A354" s="10">
        <f>IF(336&gt;$E$5,"",SMALL($O$19:$O$4018,$E$6+336))</f>
        <v/>
      </c>
      <c r="B354" s="29">
        <f>IF(A354="","",INDEX('자료_미국심리'!$B$3:$B$4002,MATCH(A354,$O$19:$O$4018,0)))</f>
        <v/>
      </c>
      <c r="C354" s="22">
        <f>IF(A354="","",B354/AVERAGE(B230:B354)-1)</f>
        <v/>
      </c>
      <c r="D354" s="29">
        <f>IF(A354="","",IFERROR(INDEX('자료_미국심리'!$E$3:$E$4002,MATCH(A354,$P$19:$P$4018,0)),D353))</f>
        <v/>
      </c>
      <c r="E354" s="29">
        <f>IF(A354="","",IFERROR(INDEX('자료_미국심리'!$H$3:$H$4002,MATCH(A354,$Q$19:$Q$4018,0)),E353))</f>
        <v/>
      </c>
      <c r="F354">
        <f>IF(A354="",0,IF(A354&gt;$B$5,1,0))</f>
        <v/>
      </c>
      <c r="G354" s="29">
        <f>IF(AND(F354=1,ISNUMBER(D354)),D354,"")</f>
        <v/>
      </c>
      <c r="H354" s="29">
        <f>IF(AND(F354=1,ISNUMBER(E354)),E354,"")</f>
        <v/>
      </c>
      <c r="I354" s="22">
        <f>IF(AND(F354=1,ISNUMBER(C354)),C354,"")</f>
        <v/>
      </c>
      <c r="J354" s="11">
        <f>IF(G354="","",100-IF($G$13=1,50,(_xlfn.RANK.AVG(G354,$G$19:$G$1518,1)-1)/($G$13-1)*100))</f>
        <v/>
      </c>
      <c r="K354" s="11">
        <f>IF(H354="","",100-IF($G$14=1,50,(_xlfn.RANK.AVG(H354,$H$19:$H$1518,1)-1)/($G$14-1)*100))</f>
        <v/>
      </c>
      <c r="L354" s="11">
        <f>IF(I354="","",IF($G$15=1,50,(_xlfn.RANK.AVG(I354,$I$19:$I$1518,1)-1)/($G$15-1)*100))</f>
        <v/>
      </c>
      <c r="M354" s="11">
        <f>IF(COUNT(J354:L354)=3,ROUND(AVERAGE(J354:L354),6),"")</f>
        <v/>
      </c>
      <c r="O354">
        <f>IF(AND(ISNUMBER('자료_미국심리'!$A338),ISNUMBER('자료_미국심리'!$B338)),'자료_미국심리'!$A338,"")</f>
        <v/>
      </c>
      <c r="P354">
        <f>IF(AND(ISNUMBER('자료_미국심리'!$D338),ISNUMBER('자료_미국심리'!$E338)),'자료_미국심리'!$D338,"")</f>
        <v/>
      </c>
      <c r="Q354">
        <f>IF(AND(ISNUMBER('자료_미국심리'!$G338),ISNUMBER('자료_미국심리'!$H338)),'자료_미국심리'!$G338,"")</f>
        <v/>
      </c>
    </row>
    <row r="355">
      <c r="A355" s="10">
        <f>IF(337&gt;$E$5,"",SMALL($O$19:$O$4018,$E$6+337))</f>
        <v/>
      </c>
      <c r="B355" s="29">
        <f>IF(A355="","",INDEX('자료_미국심리'!$B$3:$B$4002,MATCH(A355,$O$19:$O$4018,0)))</f>
        <v/>
      </c>
      <c r="C355" s="22">
        <f>IF(A355="","",B355/AVERAGE(B231:B355)-1)</f>
        <v/>
      </c>
      <c r="D355" s="29">
        <f>IF(A355="","",IFERROR(INDEX('자료_미국심리'!$E$3:$E$4002,MATCH(A355,$P$19:$P$4018,0)),D354))</f>
        <v/>
      </c>
      <c r="E355" s="29">
        <f>IF(A355="","",IFERROR(INDEX('자료_미국심리'!$H$3:$H$4002,MATCH(A355,$Q$19:$Q$4018,0)),E354))</f>
        <v/>
      </c>
      <c r="F355">
        <f>IF(A355="",0,IF(A355&gt;$B$5,1,0))</f>
        <v/>
      </c>
      <c r="G355" s="29">
        <f>IF(AND(F355=1,ISNUMBER(D355)),D355,"")</f>
        <v/>
      </c>
      <c r="H355" s="29">
        <f>IF(AND(F355=1,ISNUMBER(E355)),E355,"")</f>
        <v/>
      </c>
      <c r="I355" s="22">
        <f>IF(AND(F355=1,ISNUMBER(C355)),C355,"")</f>
        <v/>
      </c>
      <c r="J355" s="11">
        <f>IF(G355="","",100-IF($G$13=1,50,(_xlfn.RANK.AVG(G355,$G$19:$G$1518,1)-1)/($G$13-1)*100))</f>
        <v/>
      </c>
      <c r="K355" s="11">
        <f>IF(H355="","",100-IF($G$14=1,50,(_xlfn.RANK.AVG(H355,$H$19:$H$1518,1)-1)/($G$14-1)*100))</f>
        <v/>
      </c>
      <c r="L355" s="11">
        <f>IF(I355="","",IF($G$15=1,50,(_xlfn.RANK.AVG(I355,$I$19:$I$1518,1)-1)/($G$15-1)*100))</f>
        <v/>
      </c>
      <c r="M355" s="11">
        <f>IF(COUNT(J355:L355)=3,ROUND(AVERAGE(J355:L355),6),"")</f>
        <v/>
      </c>
      <c r="O355">
        <f>IF(AND(ISNUMBER('자료_미국심리'!$A339),ISNUMBER('자료_미국심리'!$B339)),'자료_미국심리'!$A339,"")</f>
        <v/>
      </c>
      <c r="P355">
        <f>IF(AND(ISNUMBER('자료_미국심리'!$D339),ISNUMBER('자료_미국심리'!$E339)),'자료_미국심리'!$D339,"")</f>
        <v/>
      </c>
      <c r="Q355">
        <f>IF(AND(ISNUMBER('자료_미국심리'!$G339),ISNUMBER('자료_미국심리'!$H339)),'자료_미국심리'!$G339,"")</f>
        <v/>
      </c>
    </row>
    <row r="356">
      <c r="A356" s="10">
        <f>IF(338&gt;$E$5,"",SMALL($O$19:$O$4018,$E$6+338))</f>
        <v/>
      </c>
      <c r="B356" s="29">
        <f>IF(A356="","",INDEX('자료_미국심리'!$B$3:$B$4002,MATCH(A356,$O$19:$O$4018,0)))</f>
        <v/>
      </c>
      <c r="C356" s="22">
        <f>IF(A356="","",B356/AVERAGE(B232:B356)-1)</f>
        <v/>
      </c>
      <c r="D356" s="29">
        <f>IF(A356="","",IFERROR(INDEX('자료_미국심리'!$E$3:$E$4002,MATCH(A356,$P$19:$P$4018,0)),D355))</f>
        <v/>
      </c>
      <c r="E356" s="29">
        <f>IF(A356="","",IFERROR(INDEX('자료_미국심리'!$H$3:$H$4002,MATCH(A356,$Q$19:$Q$4018,0)),E355))</f>
        <v/>
      </c>
      <c r="F356">
        <f>IF(A356="",0,IF(A356&gt;$B$5,1,0))</f>
        <v/>
      </c>
      <c r="G356" s="29">
        <f>IF(AND(F356=1,ISNUMBER(D356)),D356,"")</f>
        <v/>
      </c>
      <c r="H356" s="29">
        <f>IF(AND(F356=1,ISNUMBER(E356)),E356,"")</f>
        <v/>
      </c>
      <c r="I356" s="22">
        <f>IF(AND(F356=1,ISNUMBER(C356)),C356,"")</f>
        <v/>
      </c>
      <c r="J356" s="11">
        <f>IF(G356="","",100-IF($G$13=1,50,(_xlfn.RANK.AVG(G356,$G$19:$G$1518,1)-1)/($G$13-1)*100))</f>
        <v/>
      </c>
      <c r="K356" s="11">
        <f>IF(H356="","",100-IF($G$14=1,50,(_xlfn.RANK.AVG(H356,$H$19:$H$1518,1)-1)/($G$14-1)*100))</f>
        <v/>
      </c>
      <c r="L356" s="11">
        <f>IF(I356="","",IF($G$15=1,50,(_xlfn.RANK.AVG(I356,$I$19:$I$1518,1)-1)/($G$15-1)*100))</f>
        <v/>
      </c>
      <c r="M356" s="11">
        <f>IF(COUNT(J356:L356)=3,ROUND(AVERAGE(J356:L356),6),"")</f>
        <v/>
      </c>
      <c r="O356">
        <f>IF(AND(ISNUMBER('자료_미국심리'!$A340),ISNUMBER('자료_미국심리'!$B340)),'자료_미국심리'!$A340,"")</f>
        <v/>
      </c>
      <c r="P356">
        <f>IF(AND(ISNUMBER('자료_미국심리'!$D340),ISNUMBER('자료_미국심리'!$E340)),'자료_미국심리'!$D340,"")</f>
        <v/>
      </c>
      <c r="Q356">
        <f>IF(AND(ISNUMBER('자료_미국심리'!$G340),ISNUMBER('자료_미국심리'!$H340)),'자료_미국심리'!$G340,"")</f>
        <v/>
      </c>
    </row>
    <row r="357">
      <c r="A357" s="10">
        <f>IF(339&gt;$E$5,"",SMALL($O$19:$O$4018,$E$6+339))</f>
        <v/>
      </c>
      <c r="B357" s="29">
        <f>IF(A357="","",INDEX('자료_미국심리'!$B$3:$B$4002,MATCH(A357,$O$19:$O$4018,0)))</f>
        <v/>
      </c>
      <c r="C357" s="22">
        <f>IF(A357="","",B357/AVERAGE(B233:B357)-1)</f>
        <v/>
      </c>
      <c r="D357" s="29">
        <f>IF(A357="","",IFERROR(INDEX('자료_미국심리'!$E$3:$E$4002,MATCH(A357,$P$19:$P$4018,0)),D356))</f>
        <v/>
      </c>
      <c r="E357" s="29">
        <f>IF(A357="","",IFERROR(INDEX('자료_미국심리'!$H$3:$H$4002,MATCH(A357,$Q$19:$Q$4018,0)),E356))</f>
        <v/>
      </c>
      <c r="F357">
        <f>IF(A357="",0,IF(A357&gt;$B$5,1,0))</f>
        <v/>
      </c>
      <c r="G357" s="29">
        <f>IF(AND(F357=1,ISNUMBER(D357)),D357,"")</f>
        <v/>
      </c>
      <c r="H357" s="29">
        <f>IF(AND(F357=1,ISNUMBER(E357)),E357,"")</f>
        <v/>
      </c>
      <c r="I357" s="22">
        <f>IF(AND(F357=1,ISNUMBER(C357)),C357,"")</f>
        <v/>
      </c>
      <c r="J357" s="11">
        <f>IF(G357="","",100-IF($G$13=1,50,(_xlfn.RANK.AVG(G357,$G$19:$G$1518,1)-1)/($G$13-1)*100))</f>
        <v/>
      </c>
      <c r="K357" s="11">
        <f>IF(H357="","",100-IF($G$14=1,50,(_xlfn.RANK.AVG(H357,$H$19:$H$1518,1)-1)/($G$14-1)*100))</f>
        <v/>
      </c>
      <c r="L357" s="11">
        <f>IF(I357="","",IF($G$15=1,50,(_xlfn.RANK.AVG(I357,$I$19:$I$1518,1)-1)/($G$15-1)*100))</f>
        <v/>
      </c>
      <c r="M357" s="11">
        <f>IF(COUNT(J357:L357)=3,ROUND(AVERAGE(J357:L357),6),"")</f>
        <v/>
      </c>
      <c r="O357">
        <f>IF(AND(ISNUMBER('자료_미국심리'!$A341),ISNUMBER('자료_미국심리'!$B341)),'자료_미국심리'!$A341,"")</f>
        <v/>
      </c>
      <c r="P357">
        <f>IF(AND(ISNUMBER('자료_미국심리'!$D341),ISNUMBER('자료_미국심리'!$E341)),'자료_미국심리'!$D341,"")</f>
        <v/>
      </c>
      <c r="Q357">
        <f>IF(AND(ISNUMBER('자료_미국심리'!$G341),ISNUMBER('자료_미국심리'!$H341)),'자료_미국심리'!$G341,"")</f>
        <v/>
      </c>
    </row>
    <row r="358">
      <c r="A358" s="10">
        <f>IF(340&gt;$E$5,"",SMALL($O$19:$O$4018,$E$6+340))</f>
        <v/>
      </c>
      <c r="B358" s="29">
        <f>IF(A358="","",INDEX('자료_미국심리'!$B$3:$B$4002,MATCH(A358,$O$19:$O$4018,0)))</f>
        <v/>
      </c>
      <c r="C358" s="22">
        <f>IF(A358="","",B358/AVERAGE(B234:B358)-1)</f>
        <v/>
      </c>
      <c r="D358" s="29">
        <f>IF(A358="","",IFERROR(INDEX('자료_미국심리'!$E$3:$E$4002,MATCH(A358,$P$19:$P$4018,0)),D357))</f>
        <v/>
      </c>
      <c r="E358" s="29">
        <f>IF(A358="","",IFERROR(INDEX('자료_미국심리'!$H$3:$H$4002,MATCH(A358,$Q$19:$Q$4018,0)),E357))</f>
        <v/>
      </c>
      <c r="F358">
        <f>IF(A358="",0,IF(A358&gt;$B$5,1,0))</f>
        <v/>
      </c>
      <c r="G358" s="29">
        <f>IF(AND(F358=1,ISNUMBER(D358)),D358,"")</f>
        <v/>
      </c>
      <c r="H358" s="29">
        <f>IF(AND(F358=1,ISNUMBER(E358)),E358,"")</f>
        <v/>
      </c>
      <c r="I358" s="22">
        <f>IF(AND(F358=1,ISNUMBER(C358)),C358,"")</f>
        <v/>
      </c>
      <c r="J358" s="11">
        <f>IF(G358="","",100-IF($G$13=1,50,(_xlfn.RANK.AVG(G358,$G$19:$G$1518,1)-1)/($G$13-1)*100))</f>
        <v/>
      </c>
      <c r="K358" s="11">
        <f>IF(H358="","",100-IF($G$14=1,50,(_xlfn.RANK.AVG(H358,$H$19:$H$1518,1)-1)/($G$14-1)*100))</f>
        <v/>
      </c>
      <c r="L358" s="11">
        <f>IF(I358="","",IF($G$15=1,50,(_xlfn.RANK.AVG(I358,$I$19:$I$1518,1)-1)/($G$15-1)*100))</f>
        <v/>
      </c>
      <c r="M358" s="11">
        <f>IF(COUNT(J358:L358)=3,ROUND(AVERAGE(J358:L358),6),"")</f>
        <v/>
      </c>
      <c r="O358">
        <f>IF(AND(ISNUMBER('자료_미국심리'!$A342),ISNUMBER('자료_미국심리'!$B342)),'자료_미국심리'!$A342,"")</f>
        <v/>
      </c>
      <c r="P358">
        <f>IF(AND(ISNUMBER('자료_미국심리'!$D342),ISNUMBER('자료_미국심리'!$E342)),'자료_미국심리'!$D342,"")</f>
        <v/>
      </c>
      <c r="Q358">
        <f>IF(AND(ISNUMBER('자료_미국심리'!$G342),ISNUMBER('자료_미국심리'!$H342)),'자료_미국심리'!$G342,"")</f>
        <v/>
      </c>
    </row>
    <row r="359">
      <c r="A359" s="10">
        <f>IF(341&gt;$E$5,"",SMALL($O$19:$O$4018,$E$6+341))</f>
        <v/>
      </c>
      <c r="B359" s="29">
        <f>IF(A359="","",INDEX('자료_미국심리'!$B$3:$B$4002,MATCH(A359,$O$19:$O$4018,0)))</f>
        <v/>
      </c>
      <c r="C359" s="22">
        <f>IF(A359="","",B359/AVERAGE(B235:B359)-1)</f>
        <v/>
      </c>
      <c r="D359" s="29">
        <f>IF(A359="","",IFERROR(INDEX('자료_미국심리'!$E$3:$E$4002,MATCH(A359,$P$19:$P$4018,0)),D358))</f>
        <v/>
      </c>
      <c r="E359" s="29">
        <f>IF(A359="","",IFERROR(INDEX('자료_미국심리'!$H$3:$H$4002,MATCH(A359,$Q$19:$Q$4018,0)),E358))</f>
        <v/>
      </c>
      <c r="F359">
        <f>IF(A359="",0,IF(A359&gt;$B$5,1,0))</f>
        <v/>
      </c>
      <c r="G359" s="29">
        <f>IF(AND(F359=1,ISNUMBER(D359)),D359,"")</f>
        <v/>
      </c>
      <c r="H359" s="29">
        <f>IF(AND(F359=1,ISNUMBER(E359)),E359,"")</f>
        <v/>
      </c>
      <c r="I359" s="22">
        <f>IF(AND(F359=1,ISNUMBER(C359)),C359,"")</f>
        <v/>
      </c>
      <c r="J359" s="11">
        <f>IF(G359="","",100-IF($G$13=1,50,(_xlfn.RANK.AVG(G359,$G$19:$G$1518,1)-1)/($G$13-1)*100))</f>
        <v/>
      </c>
      <c r="K359" s="11">
        <f>IF(H359="","",100-IF($G$14=1,50,(_xlfn.RANK.AVG(H359,$H$19:$H$1518,1)-1)/($G$14-1)*100))</f>
        <v/>
      </c>
      <c r="L359" s="11">
        <f>IF(I359="","",IF($G$15=1,50,(_xlfn.RANK.AVG(I359,$I$19:$I$1518,1)-1)/($G$15-1)*100))</f>
        <v/>
      </c>
      <c r="M359" s="11">
        <f>IF(COUNT(J359:L359)=3,ROUND(AVERAGE(J359:L359),6),"")</f>
        <v/>
      </c>
      <c r="O359">
        <f>IF(AND(ISNUMBER('자료_미국심리'!$A343),ISNUMBER('자료_미국심리'!$B343)),'자료_미국심리'!$A343,"")</f>
        <v/>
      </c>
      <c r="P359">
        <f>IF(AND(ISNUMBER('자료_미국심리'!$D343),ISNUMBER('자료_미국심리'!$E343)),'자료_미국심리'!$D343,"")</f>
        <v/>
      </c>
      <c r="Q359">
        <f>IF(AND(ISNUMBER('자료_미국심리'!$G343),ISNUMBER('자료_미국심리'!$H343)),'자료_미국심리'!$G343,"")</f>
        <v/>
      </c>
    </row>
    <row r="360">
      <c r="A360" s="10">
        <f>IF(342&gt;$E$5,"",SMALL($O$19:$O$4018,$E$6+342))</f>
        <v/>
      </c>
      <c r="B360" s="29">
        <f>IF(A360="","",INDEX('자료_미국심리'!$B$3:$B$4002,MATCH(A360,$O$19:$O$4018,0)))</f>
        <v/>
      </c>
      <c r="C360" s="22">
        <f>IF(A360="","",B360/AVERAGE(B236:B360)-1)</f>
        <v/>
      </c>
      <c r="D360" s="29">
        <f>IF(A360="","",IFERROR(INDEX('자료_미국심리'!$E$3:$E$4002,MATCH(A360,$P$19:$P$4018,0)),D359))</f>
        <v/>
      </c>
      <c r="E360" s="29">
        <f>IF(A360="","",IFERROR(INDEX('자료_미국심리'!$H$3:$H$4002,MATCH(A360,$Q$19:$Q$4018,0)),E359))</f>
        <v/>
      </c>
      <c r="F360">
        <f>IF(A360="",0,IF(A360&gt;$B$5,1,0))</f>
        <v/>
      </c>
      <c r="G360" s="29">
        <f>IF(AND(F360=1,ISNUMBER(D360)),D360,"")</f>
        <v/>
      </c>
      <c r="H360" s="29">
        <f>IF(AND(F360=1,ISNUMBER(E360)),E360,"")</f>
        <v/>
      </c>
      <c r="I360" s="22">
        <f>IF(AND(F360=1,ISNUMBER(C360)),C360,"")</f>
        <v/>
      </c>
      <c r="J360" s="11">
        <f>IF(G360="","",100-IF($G$13=1,50,(_xlfn.RANK.AVG(G360,$G$19:$G$1518,1)-1)/($G$13-1)*100))</f>
        <v/>
      </c>
      <c r="K360" s="11">
        <f>IF(H360="","",100-IF($G$14=1,50,(_xlfn.RANK.AVG(H360,$H$19:$H$1518,1)-1)/($G$14-1)*100))</f>
        <v/>
      </c>
      <c r="L360" s="11">
        <f>IF(I360="","",IF($G$15=1,50,(_xlfn.RANK.AVG(I360,$I$19:$I$1518,1)-1)/($G$15-1)*100))</f>
        <v/>
      </c>
      <c r="M360" s="11">
        <f>IF(COUNT(J360:L360)=3,ROUND(AVERAGE(J360:L360),6),"")</f>
        <v/>
      </c>
      <c r="O360">
        <f>IF(AND(ISNUMBER('자료_미국심리'!$A344),ISNUMBER('자료_미국심리'!$B344)),'자료_미국심리'!$A344,"")</f>
        <v/>
      </c>
      <c r="P360">
        <f>IF(AND(ISNUMBER('자료_미국심리'!$D344),ISNUMBER('자료_미국심리'!$E344)),'자료_미국심리'!$D344,"")</f>
        <v/>
      </c>
      <c r="Q360">
        <f>IF(AND(ISNUMBER('자료_미국심리'!$G344),ISNUMBER('자료_미국심리'!$H344)),'자료_미국심리'!$G344,"")</f>
        <v/>
      </c>
    </row>
    <row r="361">
      <c r="A361" s="10">
        <f>IF(343&gt;$E$5,"",SMALL($O$19:$O$4018,$E$6+343))</f>
        <v/>
      </c>
      <c r="B361" s="29">
        <f>IF(A361="","",INDEX('자료_미국심리'!$B$3:$B$4002,MATCH(A361,$O$19:$O$4018,0)))</f>
        <v/>
      </c>
      <c r="C361" s="22">
        <f>IF(A361="","",B361/AVERAGE(B237:B361)-1)</f>
        <v/>
      </c>
      <c r="D361" s="29">
        <f>IF(A361="","",IFERROR(INDEX('자료_미국심리'!$E$3:$E$4002,MATCH(A361,$P$19:$P$4018,0)),D360))</f>
        <v/>
      </c>
      <c r="E361" s="29">
        <f>IF(A361="","",IFERROR(INDEX('자료_미국심리'!$H$3:$H$4002,MATCH(A361,$Q$19:$Q$4018,0)),E360))</f>
        <v/>
      </c>
      <c r="F361">
        <f>IF(A361="",0,IF(A361&gt;$B$5,1,0))</f>
        <v/>
      </c>
      <c r="G361" s="29">
        <f>IF(AND(F361=1,ISNUMBER(D361)),D361,"")</f>
        <v/>
      </c>
      <c r="H361" s="29">
        <f>IF(AND(F361=1,ISNUMBER(E361)),E361,"")</f>
        <v/>
      </c>
      <c r="I361" s="22">
        <f>IF(AND(F361=1,ISNUMBER(C361)),C361,"")</f>
        <v/>
      </c>
      <c r="J361" s="11">
        <f>IF(G361="","",100-IF($G$13=1,50,(_xlfn.RANK.AVG(G361,$G$19:$G$1518,1)-1)/($G$13-1)*100))</f>
        <v/>
      </c>
      <c r="K361" s="11">
        <f>IF(H361="","",100-IF($G$14=1,50,(_xlfn.RANK.AVG(H361,$H$19:$H$1518,1)-1)/($G$14-1)*100))</f>
        <v/>
      </c>
      <c r="L361" s="11">
        <f>IF(I361="","",IF($G$15=1,50,(_xlfn.RANK.AVG(I361,$I$19:$I$1518,1)-1)/($G$15-1)*100))</f>
        <v/>
      </c>
      <c r="M361" s="11">
        <f>IF(COUNT(J361:L361)=3,ROUND(AVERAGE(J361:L361),6),"")</f>
        <v/>
      </c>
      <c r="O361">
        <f>IF(AND(ISNUMBER('자료_미국심리'!$A345),ISNUMBER('자료_미국심리'!$B345)),'자료_미국심리'!$A345,"")</f>
        <v/>
      </c>
      <c r="P361">
        <f>IF(AND(ISNUMBER('자료_미국심리'!$D345),ISNUMBER('자료_미국심리'!$E345)),'자료_미국심리'!$D345,"")</f>
        <v/>
      </c>
      <c r="Q361">
        <f>IF(AND(ISNUMBER('자료_미국심리'!$G345),ISNUMBER('자료_미국심리'!$H345)),'자료_미국심리'!$G345,"")</f>
        <v/>
      </c>
    </row>
    <row r="362">
      <c r="A362" s="10">
        <f>IF(344&gt;$E$5,"",SMALL($O$19:$O$4018,$E$6+344))</f>
        <v/>
      </c>
      <c r="B362" s="29">
        <f>IF(A362="","",INDEX('자료_미국심리'!$B$3:$B$4002,MATCH(A362,$O$19:$O$4018,0)))</f>
        <v/>
      </c>
      <c r="C362" s="22">
        <f>IF(A362="","",B362/AVERAGE(B238:B362)-1)</f>
        <v/>
      </c>
      <c r="D362" s="29">
        <f>IF(A362="","",IFERROR(INDEX('자료_미국심리'!$E$3:$E$4002,MATCH(A362,$P$19:$P$4018,0)),D361))</f>
        <v/>
      </c>
      <c r="E362" s="29">
        <f>IF(A362="","",IFERROR(INDEX('자료_미국심리'!$H$3:$H$4002,MATCH(A362,$Q$19:$Q$4018,0)),E361))</f>
        <v/>
      </c>
      <c r="F362">
        <f>IF(A362="",0,IF(A362&gt;$B$5,1,0))</f>
        <v/>
      </c>
      <c r="G362" s="29">
        <f>IF(AND(F362=1,ISNUMBER(D362)),D362,"")</f>
        <v/>
      </c>
      <c r="H362" s="29">
        <f>IF(AND(F362=1,ISNUMBER(E362)),E362,"")</f>
        <v/>
      </c>
      <c r="I362" s="22">
        <f>IF(AND(F362=1,ISNUMBER(C362)),C362,"")</f>
        <v/>
      </c>
      <c r="J362" s="11">
        <f>IF(G362="","",100-IF($G$13=1,50,(_xlfn.RANK.AVG(G362,$G$19:$G$1518,1)-1)/($G$13-1)*100))</f>
        <v/>
      </c>
      <c r="K362" s="11">
        <f>IF(H362="","",100-IF($G$14=1,50,(_xlfn.RANK.AVG(H362,$H$19:$H$1518,1)-1)/($G$14-1)*100))</f>
        <v/>
      </c>
      <c r="L362" s="11">
        <f>IF(I362="","",IF($G$15=1,50,(_xlfn.RANK.AVG(I362,$I$19:$I$1518,1)-1)/($G$15-1)*100))</f>
        <v/>
      </c>
      <c r="M362" s="11">
        <f>IF(COUNT(J362:L362)=3,ROUND(AVERAGE(J362:L362),6),"")</f>
        <v/>
      </c>
      <c r="O362">
        <f>IF(AND(ISNUMBER('자료_미국심리'!$A346),ISNUMBER('자료_미국심리'!$B346)),'자료_미국심리'!$A346,"")</f>
        <v/>
      </c>
      <c r="P362">
        <f>IF(AND(ISNUMBER('자료_미국심리'!$D346),ISNUMBER('자료_미국심리'!$E346)),'자료_미국심리'!$D346,"")</f>
        <v/>
      </c>
      <c r="Q362">
        <f>IF(AND(ISNUMBER('자료_미국심리'!$G346),ISNUMBER('자료_미국심리'!$H346)),'자료_미국심리'!$G346,"")</f>
        <v/>
      </c>
    </row>
    <row r="363">
      <c r="A363" s="10">
        <f>IF(345&gt;$E$5,"",SMALL($O$19:$O$4018,$E$6+345))</f>
        <v/>
      </c>
      <c r="B363" s="29">
        <f>IF(A363="","",INDEX('자료_미국심리'!$B$3:$B$4002,MATCH(A363,$O$19:$O$4018,0)))</f>
        <v/>
      </c>
      <c r="C363" s="22">
        <f>IF(A363="","",B363/AVERAGE(B239:B363)-1)</f>
        <v/>
      </c>
      <c r="D363" s="29">
        <f>IF(A363="","",IFERROR(INDEX('자료_미국심리'!$E$3:$E$4002,MATCH(A363,$P$19:$P$4018,0)),D362))</f>
        <v/>
      </c>
      <c r="E363" s="29">
        <f>IF(A363="","",IFERROR(INDEX('자료_미국심리'!$H$3:$H$4002,MATCH(A363,$Q$19:$Q$4018,0)),E362))</f>
        <v/>
      </c>
      <c r="F363">
        <f>IF(A363="",0,IF(A363&gt;$B$5,1,0))</f>
        <v/>
      </c>
      <c r="G363" s="29">
        <f>IF(AND(F363=1,ISNUMBER(D363)),D363,"")</f>
        <v/>
      </c>
      <c r="H363" s="29">
        <f>IF(AND(F363=1,ISNUMBER(E363)),E363,"")</f>
        <v/>
      </c>
      <c r="I363" s="22">
        <f>IF(AND(F363=1,ISNUMBER(C363)),C363,"")</f>
        <v/>
      </c>
      <c r="J363" s="11">
        <f>IF(G363="","",100-IF($G$13=1,50,(_xlfn.RANK.AVG(G363,$G$19:$G$1518,1)-1)/($G$13-1)*100))</f>
        <v/>
      </c>
      <c r="K363" s="11">
        <f>IF(H363="","",100-IF($G$14=1,50,(_xlfn.RANK.AVG(H363,$H$19:$H$1518,1)-1)/($G$14-1)*100))</f>
        <v/>
      </c>
      <c r="L363" s="11">
        <f>IF(I363="","",IF($G$15=1,50,(_xlfn.RANK.AVG(I363,$I$19:$I$1518,1)-1)/($G$15-1)*100))</f>
        <v/>
      </c>
      <c r="M363" s="11">
        <f>IF(COUNT(J363:L363)=3,ROUND(AVERAGE(J363:L363),6),"")</f>
        <v/>
      </c>
      <c r="O363">
        <f>IF(AND(ISNUMBER('자료_미국심리'!$A347),ISNUMBER('자료_미국심리'!$B347)),'자료_미국심리'!$A347,"")</f>
        <v/>
      </c>
      <c r="P363">
        <f>IF(AND(ISNUMBER('자료_미국심리'!$D347),ISNUMBER('자료_미국심리'!$E347)),'자료_미국심리'!$D347,"")</f>
        <v/>
      </c>
      <c r="Q363">
        <f>IF(AND(ISNUMBER('자료_미국심리'!$G347),ISNUMBER('자료_미국심리'!$H347)),'자료_미국심리'!$G347,"")</f>
        <v/>
      </c>
    </row>
    <row r="364">
      <c r="A364" s="10">
        <f>IF(346&gt;$E$5,"",SMALL($O$19:$O$4018,$E$6+346))</f>
        <v/>
      </c>
      <c r="B364" s="29">
        <f>IF(A364="","",INDEX('자료_미국심리'!$B$3:$B$4002,MATCH(A364,$O$19:$O$4018,0)))</f>
        <v/>
      </c>
      <c r="C364" s="22">
        <f>IF(A364="","",B364/AVERAGE(B240:B364)-1)</f>
        <v/>
      </c>
      <c r="D364" s="29">
        <f>IF(A364="","",IFERROR(INDEX('자료_미국심리'!$E$3:$E$4002,MATCH(A364,$P$19:$P$4018,0)),D363))</f>
        <v/>
      </c>
      <c r="E364" s="29">
        <f>IF(A364="","",IFERROR(INDEX('자료_미국심리'!$H$3:$H$4002,MATCH(A364,$Q$19:$Q$4018,0)),E363))</f>
        <v/>
      </c>
      <c r="F364">
        <f>IF(A364="",0,IF(A364&gt;$B$5,1,0))</f>
        <v/>
      </c>
      <c r="G364" s="29">
        <f>IF(AND(F364=1,ISNUMBER(D364)),D364,"")</f>
        <v/>
      </c>
      <c r="H364" s="29">
        <f>IF(AND(F364=1,ISNUMBER(E364)),E364,"")</f>
        <v/>
      </c>
      <c r="I364" s="22">
        <f>IF(AND(F364=1,ISNUMBER(C364)),C364,"")</f>
        <v/>
      </c>
      <c r="J364" s="11">
        <f>IF(G364="","",100-IF($G$13=1,50,(_xlfn.RANK.AVG(G364,$G$19:$G$1518,1)-1)/($G$13-1)*100))</f>
        <v/>
      </c>
      <c r="K364" s="11">
        <f>IF(H364="","",100-IF($G$14=1,50,(_xlfn.RANK.AVG(H364,$H$19:$H$1518,1)-1)/($G$14-1)*100))</f>
        <v/>
      </c>
      <c r="L364" s="11">
        <f>IF(I364="","",IF($G$15=1,50,(_xlfn.RANK.AVG(I364,$I$19:$I$1518,1)-1)/($G$15-1)*100))</f>
        <v/>
      </c>
      <c r="M364" s="11">
        <f>IF(COUNT(J364:L364)=3,ROUND(AVERAGE(J364:L364),6),"")</f>
        <v/>
      </c>
      <c r="O364">
        <f>IF(AND(ISNUMBER('자료_미국심리'!$A348),ISNUMBER('자료_미국심리'!$B348)),'자료_미국심리'!$A348,"")</f>
        <v/>
      </c>
      <c r="P364">
        <f>IF(AND(ISNUMBER('자료_미국심리'!$D348),ISNUMBER('자료_미국심리'!$E348)),'자료_미국심리'!$D348,"")</f>
        <v/>
      </c>
      <c r="Q364">
        <f>IF(AND(ISNUMBER('자료_미국심리'!$G348),ISNUMBER('자료_미국심리'!$H348)),'자료_미국심리'!$G348,"")</f>
        <v/>
      </c>
    </row>
    <row r="365">
      <c r="A365" s="10">
        <f>IF(347&gt;$E$5,"",SMALL($O$19:$O$4018,$E$6+347))</f>
        <v/>
      </c>
      <c r="B365" s="29">
        <f>IF(A365="","",INDEX('자료_미국심리'!$B$3:$B$4002,MATCH(A365,$O$19:$O$4018,0)))</f>
        <v/>
      </c>
      <c r="C365" s="22">
        <f>IF(A365="","",B365/AVERAGE(B241:B365)-1)</f>
        <v/>
      </c>
      <c r="D365" s="29">
        <f>IF(A365="","",IFERROR(INDEX('자료_미국심리'!$E$3:$E$4002,MATCH(A365,$P$19:$P$4018,0)),D364))</f>
        <v/>
      </c>
      <c r="E365" s="29">
        <f>IF(A365="","",IFERROR(INDEX('자료_미국심리'!$H$3:$H$4002,MATCH(A365,$Q$19:$Q$4018,0)),E364))</f>
        <v/>
      </c>
      <c r="F365">
        <f>IF(A365="",0,IF(A365&gt;$B$5,1,0))</f>
        <v/>
      </c>
      <c r="G365" s="29">
        <f>IF(AND(F365=1,ISNUMBER(D365)),D365,"")</f>
        <v/>
      </c>
      <c r="H365" s="29">
        <f>IF(AND(F365=1,ISNUMBER(E365)),E365,"")</f>
        <v/>
      </c>
      <c r="I365" s="22">
        <f>IF(AND(F365=1,ISNUMBER(C365)),C365,"")</f>
        <v/>
      </c>
      <c r="J365" s="11">
        <f>IF(G365="","",100-IF($G$13=1,50,(_xlfn.RANK.AVG(G365,$G$19:$G$1518,1)-1)/($G$13-1)*100))</f>
        <v/>
      </c>
      <c r="K365" s="11">
        <f>IF(H365="","",100-IF($G$14=1,50,(_xlfn.RANK.AVG(H365,$H$19:$H$1518,1)-1)/($G$14-1)*100))</f>
        <v/>
      </c>
      <c r="L365" s="11">
        <f>IF(I365="","",IF($G$15=1,50,(_xlfn.RANK.AVG(I365,$I$19:$I$1518,1)-1)/($G$15-1)*100))</f>
        <v/>
      </c>
      <c r="M365" s="11">
        <f>IF(COUNT(J365:L365)=3,ROUND(AVERAGE(J365:L365),6),"")</f>
        <v/>
      </c>
      <c r="O365">
        <f>IF(AND(ISNUMBER('자료_미국심리'!$A349),ISNUMBER('자료_미국심리'!$B349)),'자료_미국심리'!$A349,"")</f>
        <v/>
      </c>
      <c r="P365">
        <f>IF(AND(ISNUMBER('자료_미국심리'!$D349),ISNUMBER('자료_미국심리'!$E349)),'자료_미국심리'!$D349,"")</f>
        <v/>
      </c>
      <c r="Q365">
        <f>IF(AND(ISNUMBER('자료_미국심리'!$G349),ISNUMBER('자료_미국심리'!$H349)),'자료_미국심리'!$G349,"")</f>
        <v/>
      </c>
    </row>
    <row r="366">
      <c r="A366" s="10">
        <f>IF(348&gt;$E$5,"",SMALL($O$19:$O$4018,$E$6+348))</f>
        <v/>
      </c>
      <c r="B366" s="29">
        <f>IF(A366="","",INDEX('자료_미국심리'!$B$3:$B$4002,MATCH(A366,$O$19:$O$4018,0)))</f>
        <v/>
      </c>
      <c r="C366" s="22">
        <f>IF(A366="","",B366/AVERAGE(B242:B366)-1)</f>
        <v/>
      </c>
      <c r="D366" s="29">
        <f>IF(A366="","",IFERROR(INDEX('자료_미국심리'!$E$3:$E$4002,MATCH(A366,$P$19:$P$4018,0)),D365))</f>
        <v/>
      </c>
      <c r="E366" s="29">
        <f>IF(A366="","",IFERROR(INDEX('자료_미국심리'!$H$3:$H$4002,MATCH(A366,$Q$19:$Q$4018,0)),E365))</f>
        <v/>
      </c>
      <c r="F366">
        <f>IF(A366="",0,IF(A366&gt;$B$5,1,0))</f>
        <v/>
      </c>
      <c r="G366" s="29">
        <f>IF(AND(F366=1,ISNUMBER(D366)),D366,"")</f>
        <v/>
      </c>
      <c r="H366" s="29">
        <f>IF(AND(F366=1,ISNUMBER(E366)),E366,"")</f>
        <v/>
      </c>
      <c r="I366" s="22">
        <f>IF(AND(F366=1,ISNUMBER(C366)),C366,"")</f>
        <v/>
      </c>
      <c r="J366" s="11">
        <f>IF(G366="","",100-IF($G$13=1,50,(_xlfn.RANK.AVG(G366,$G$19:$G$1518,1)-1)/($G$13-1)*100))</f>
        <v/>
      </c>
      <c r="K366" s="11">
        <f>IF(H366="","",100-IF($G$14=1,50,(_xlfn.RANK.AVG(H366,$H$19:$H$1518,1)-1)/($G$14-1)*100))</f>
        <v/>
      </c>
      <c r="L366" s="11">
        <f>IF(I366="","",IF($G$15=1,50,(_xlfn.RANK.AVG(I366,$I$19:$I$1518,1)-1)/($G$15-1)*100))</f>
        <v/>
      </c>
      <c r="M366" s="11">
        <f>IF(COUNT(J366:L366)=3,ROUND(AVERAGE(J366:L366),6),"")</f>
        <v/>
      </c>
      <c r="O366">
        <f>IF(AND(ISNUMBER('자료_미국심리'!$A350),ISNUMBER('자료_미국심리'!$B350)),'자료_미국심리'!$A350,"")</f>
        <v/>
      </c>
      <c r="P366">
        <f>IF(AND(ISNUMBER('자료_미국심리'!$D350),ISNUMBER('자료_미국심리'!$E350)),'자료_미국심리'!$D350,"")</f>
        <v/>
      </c>
      <c r="Q366">
        <f>IF(AND(ISNUMBER('자료_미국심리'!$G350),ISNUMBER('자료_미국심리'!$H350)),'자료_미국심리'!$G350,"")</f>
        <v/>
      </c>
    </row>
    <row r="367">
      <c r="A367" s="10">
        <f>IF(349&gt;$E$5,"",SMALL($O$19:$O$4018,$E$6+349))</f>
        <v/>
      </c>
      <c r="B367" s="29">
        <f>IF(A367="","",INDEX('자료_미국심리'!$B$3:$B$4002,MATCH(A367,$O$19:$O$4018,0)))</f>
        <v/>
      </c>
      <c r="C367" s="22">
        <f>IF(A367="","",B367/AVERAGE(B243:B367)-1)</f>
        <v/>
      </c>
      <c r="D367" s="29">
        <f>IF(A367="","",IFERROR(INDEX('자료_미국심리'!$E$3:$E$4002,MATCH(A367,$P$19:$P$4018,0)),D366))</f>
        <v/>
      </c>
      <c r="E367" s="29">
        <f>IF(A367="","",IFERROR(INDEX('자료_미국심리'!$H$3:$H$4002,MATCH(A367,$Q$19:$Q$4018,0)),E366))</f>
        <v/>
      </c>
      <c r="F367">
        <f>IF(A367="",0,IF(A367&gt;$B$5,1,0))</f>
        <v/>
      </c>
      <c r="G367" s="29">
        <f>IF(AND(F367=1,ISNUMBER(D367)),D367,"")</f>
        <v/>
      </c>
      <c r="H367" s="29">
        <f>IF(AND(F367=1,ISNUMBER(E367)),E367,"")</f>
        <v/>
      </c>
      <c r="I367" s="22">
        <f>IF(AND(F367=1,ISNUMBER(C367)),C367,"")</f>
        <v/>
      </c>
      <c r="J367" s="11">
        <f>IF(G367="","",100-IF($G$13=1,50,(_xlfn.RANK.AVG(G367,$G$19:$G$1518,1)-1)/($G$13-1)*100))</f>
        <v/>
      </c>
      <c r="K367" s="11">
        <f>IF(H367="","",100-IF($G$14=1,50,(_xlfn.RANK.AVG(H367,$H$19:$H$1518,1)-1)/($G$14-1)*100))</f>
        <v/>
      </c>
      <c r="L367" s="11">
        <f>IF(I367="","",IF($G$15=1,50,(_xlfn.RANK.AVG(I367,$I$19:$I$1518,1)-1)/($G$15-1)*100))</f>
        <v/>
      </c>
      <c r="M367" s="11">
        <f>IF(COUNT(J367:L367)=3,ROUND(AVERAGE(J367:L367),6),"")</f>
        <v/>
      </c>
      <c r="O367">
        <f>IF(AND(ISNUMBER('자료_미국심리'!$A351),ISNUMBER('자료_미국심리'!$B351)),'자료_미국심리'!$A351,"")</f>
        <v/>
      </c>
      <c r="P367">
        <f>IF(AND(ISNUMBER('자료_미국심리'!$D351),ISNUMBER('자료_미국심리'!$E351)),'자료_미국심리'!$D351,"")</f>
        <v/>
      </c>
      <c r="Q367">
        <f>IF(AND(ISNUMBER('자료_미국심리'!$G351),ISNUMBER('자료_미국심리'!$H351)),'자료_미국심리'!$G351,"")</f>
        <v/>
      </c>
    </row>
    <row r="368">
      <c r="A368" s="10">
        <f>IF(350&gt;$E$5,"",SMALL($O$19:$O$4018,$E$6+350))</f>
        <v/>
      </c>
      <c r="B368" s="29">
        <f>IF(A368="","",INDEX('자료_미국심리'!$B$3:$B$4002,MATCH(A368,$O$19:$O$4018,0)))</f>
        <v/>
      </c>
      <c r="C368" s="22">
        <f>IF(A368="","",B368/AVERAGE(B244:B368)-1)</f>
        <v/>
      </c>
      <c r="D368" s="29">
        <f>IF(A368="","",IFERROR(INDEX('자료_미국심리'!$E$3:$E$4002,MATCH(A368,$P$19:$P$4018,0)),D367))</f>
        <v/>
      </c>
      <c r="E368" s="29">
        <f>IF(A368="","",IFERROR(INDEX('자료_미국심리'!$H$3:$H$4002,MATCH(A368,$Q$19:$Q$4018,0)),E367))</f>
        <v/>
      </c>
      <c r="F368">
        <f>IF(A368="",0,IF(A368&gt;$B$5,1,0))</f>
        <v/>
      </c>
      <c r="G368" s="29">
        <f>IF(AND(F368=1,ISNUMBER(D368)),D368,"")</f>
        <v/>
      </c>
      <c r="H368" s="29">
        <f>IF(AND(F368=1,ISNUMBER(E368)),E368,"")</f>
        <v/>
      </c>
      <c r="I368" s="22">
        <f>IF(AND(F368=1,ISNUMBER(C368)),C368,"")</f>
        <v/>
      </c>
      <c r="J368" s="11">
        <f>IF(G368="","",100-IF($G$13=1,50,(_xlfn.RANK.AVG(G368,$G$19:$G$1518,1)-1)/($G$13-1)*100))</f>
        <v/>
      </c>
      <c r="K368" s="11">
        <f>IF(H368="","",100-IF($G$14=1,50,(_xlfn.RANK.AVG(H368,$H$19:$H$1518,1)-1)/($G$14-1)*100))</f>
        <v/>
      </c>
      <c r="L368" s="11">
        <f>IF(I368="","",IF($G$15=1,50,(_xlfn.RANK.AVG(I368,$I$19:$I$1518,1)-1)/($G$15-1)*100))</f>
        <v/>
      </c>
      <c r="M368" s="11">
        <f>IF(COUNT(J368:L368)=3,ROUND(AVERAGE(J368:L368),6),"")</f>
        <v/>
      </c>
      <c r="O368">
        <f>IF(AND(ISNUMBER('자료_미국심리'!$A352),ISNUMBER('자료_미국심리'!$B352)),'자료_미국심리'!$A352,"")</f>
        <v/>
      </c>
      <c r="P368">
        <f>IF(AND(ISNUMBER('자료_미국심리'!$D352),ISNUMBER('자료_미국심리'!$E352)),'자료_미국심리'!$D352,"")</f>
        <v/>
      </c>
      <c r="Q368">
        <f>IF(AND(ISNUMBER('자료_미국심리'!$G352),ISNUMBER('자료_미국심리'!$H352)),'자료_미국심리'!$G352,"")</f>
        <v/>
      </c>
    </row>
    <row r="369">
      <c r="A369" s="10">
        <f>IF(351&gt;$E$5,"",SMALL($O$19:$O$4018,$E$6+351))</f>
        <v/>
      </c>
      <c r="B369" s="29">
        <f>IF(A369="","",INDEX('자료_미국심리'!$B$3:$B$4002,MATCH(A369,$O$19:$O$4018,0)))</f>
        <v/>
      </c>
      <c r="C369" s="22">
        <f>IF(A369="","",B369/AVERAGE(B245:B369)-1)</f>
        <v/>
      </c>
      <c r="D369" s="29">
        <f>IF(A369="","",IFERROR(INDEX('자료_미국심리'!$E$3:$E$4002,MATCH(A369,$P$19:$P$4018,0)),D368))</f>
        <v/>
      </c>
      <c r="E369" s="29">
        <f>IF(A369="","",IFERROR(INDEX('자료_미국심리'!$H$3:$H$4002,MATCH(A369,$Q$19:$Q$4018,0)),E368))</f>
        <v/>
      </c>
      <c r="F369">
        <f>IF(A369="",0,IF(A369&gt;$B$5,1,0))</f>
        <v/>
      </c>
      <c r="G369" s="29">
        <f>IF(AND(F369=1,ISNUMBER(D369)),D369,"")</f>
        <v/>
      </c>
      <c r="H369" s="29">
        <f>IF(AND(F369=1,ISNUMBER(E369)),E369,"")</f>
        <v/>
      </c>
      <c r="I369" s="22">
        <f>IF(AND(F369=1,ISNUMBER(C369)),C369,"")</f>
        <v/>
      </c>
      <c r="J369" s="11">
        <f>IF(G369="","",100-IF($G$13=1,50,(_xlfn.RANK.AVG(G369,$G$19:$G$1518,1)-1)/($G$13-1)*100))</f>
        <v/>
      </c>
      <c r="K369" s="11">
        <f>IF(H369="","",100-IF($G$14=1,50,(_xlfn.RANK.AVG(H369,$H$19:$H$1518,1)-1)/($G$14-1)*100))</f>
        <v/>
      </c>
      <c r="L369" s="11">
        <f>IF(I369="","",IF($G$15=1,50,(_xlfn.RANK.AVG(I369,$I$19:$I$1518,1)-1)/($G$15-1)*100))</f>
        <v/>
      </c>
      <c r="M369" s="11">
        <f>IF(COUNT(J369:L369)=3,ROUND(AVERAGE(J369:L369),6),"")</f>
        <v/>
      </c>
      <c r="O369">
        <f>IF(AND(ISNUMBER('자료_미국심리'!$A353),ISNUMBER('자료_미국심리'!$B353)),'자료_미국심리'!$A353,"")</f>
        <v/>
      </c>
      <c r="P369">
        <f>IF(AND(ISNUMBER('자료_미국심리'!$D353),ISNUMBER('자료_미국심리'!$E353)),'자료_미국심리'!$D353,"")</f>
        <v/>
      </c>
      <c r="Q369">
        <f>IF(AND(ISNUMBER('자료_미국심리'!$G353),ISNUMBER('자료_미국심리'!$H353)),'자료_미국심리'!$G353,"")</f>
        <v/>
      </c>
    </row>
    <row r="370">
      <c r="A370" s="10">
        <f>IF(352&gt;$E$5,"",SMALL($O$19:$O$4018,$E$6+352))</f>
        <v/>
      </c>
      <c r="B370" s="29">
        <f>IF(A370="","",INDEX('자료_미국심리'!$B$3:$B$4002,MATCH(A370,$O$19:$O$4018,0)))</f>
        <v/>
      </c>
      <c r="C370" s="22">
        <f>IF(A370="","",B370/AVERAGE(B246:B370)-1)</f>
        <v/>
      </c>
      <c r="D370" s="29">
        <f>IF(A370="","",IFERROR(INDEX('자료_미국심리'!$E$3:$E$4002,MATCH(A370,$P$19:$P$4018,0)),D369))</f>
        <v/>
      </c>
      <c r="E370" s="29">
        <f>IF(A370="","",IFERROR(INDEX('자료_미국심리'!$H$3:$H$4002,MATCH(A370,$Q$19:$Q$4018,0)),E369))</f>
        <v/>
      </c>
      <c r="F370">
        <f>IF(A370="",0,IF(A370&gt;$B$5,1,0))</f>
        <v/>
      </c>
      <c r="G370" s="29">
        <f>IF(AND(F370=1,ISNUMBER(D370)),D370,"")</f>
        <v/>
      </c>
      <c r="H370" s="29">
        <f>IF(AND(F370=1,ISNUMBER(E370)),E370,"")</f>
        <v/>
      </c>
      <c r="I370" s="22">
        <f>IF(AND(F370=1,ISNUMBER(C370)),C370,"")</f>
        <v/>
      </c>
      <c r="J370" s="11">
        <f>IF(G370="","",100-IF($G$13=1,50,(_xlfn.RANK.AVG(G370,$G$19:$G$1518,1)-1)/($G$13-1)*100))</f>
        <v/>
      </c>
      <c r="K370" s="11">
        <f>IF(H370="","",100-IF($G$14=1,50,(_xlfn.RANK.AVG(H370,$H$19:$H$1518,1)-1)/($G$14-1)*100))</f>
        <v/>
      </c>
      <c r="L370" s="11">
        <f>IF(I370="","",IF($G$15=1,50,(_xlfn.RANK.AVG(I370,$I$19:$I$1518,1)-1)/($G$15-1)*100))</f>
        <v/>
      </c>
      <c r="M370" s="11">
        <f>IF(COUNT(J370:L370)=3,ROUND(AVERAGE(J370:L370),6),"")</f>
        <v/>
      </c>
      <c r="O370">
        <f>IF(AND(ISNUMBER('자료_미국심리'!$A354),ISNUMBER('자료_미국심리'!$B354)),'자료_미국심리'!$A354,"")</f>
        <v/>
      </c>
      <c r="P370">
        <f>IF(AND(ISNUMBER('자료_미국심리'!$D354),ISNUMBER('자료_미국심리'!$E354)),'자료_미국심리'!$D354,"")</f>
        <v/>
      </c>
      <c r="Q370">
        <f>IF(AND(ISNUMBER('자료_미국심리'!$G354),ISNUMBER('자료_미국심리'!$H354)),'자료_미국심리'!$G354,"")</f>
        <v/>
      </c>
    </row>
    <row r="371">
      <c r="A371" s="10">
        <f>IF(353&gt;$E$5,"",SMALL($O$19:$O$4018,$E$6+353))</f>
        <v/>
      </c>
      <c r="B371" s="29">
        <f>IF(A371="","",INDEX('자료_미국심리'!$B$3:$B$4002,MATCH(A371,$O$19:$O$4018,0)))</f>
        <v/>
      </c>
      <c r="C371" s="22">
        <f>IF(A371="","",B371/AVERAGE(B247:B371)-1)</f>
        <v/>
      </c>
      <c r="D371" s="29">
        <f>IF(A371="","",IFERROR(INDEX('자료_미국심리'!$E$3:$E$4002,MATCH(A371,$P$19:$P$4018,0)),D370))</f>
        <v/>
      </c>
      <c r="E371" s="29">
        <f>IF(A371="","",IFERROR(INDEX('자료_미국심리'!$H$3:$H$4002,MATCH(A371,$Q$19:$Q$4018,0)),E370))</f>
        <v/>
      </c>
      <c r="F371">
        <f>IF(A371="",0,IF(A371&gt;$B$5,1,0))</f>
        <v/>
      </c>
      <c r="G371" s="29">
        <f>IF(AND(F371=1,ISNUMBER(D371)),D371,"")</f>
        <v/>
      </c>
      <c r="H371" s="29">
        <f>IF(AND(F371=1,ISNUMBER(E371)),E371,"")</f>
        <v/>
      </c>
      <c r="I371" s="22">
        <f>IF(AND(F371=1,ISNUMBER(C371)),C371,"")</f>
        <v/>
      </c>
      <c r="J371" s="11">
        <f>IF(G371="","",100-IF($G$13=1,50,(_xlfn.RANK.AVG(G371,$G$19:$G$1518,1)-1)/($G$13-1)*100))</f>
        <v/>
      </c>
      <c r="K371" s="11">
        <f>IF(H371="","",100-IF($G$14=1,50,(_xlfn.RANK.AVG(H371,$H$19:$H$1518,1)-1)/($G$14-1)*100))</f>
        <v/>
      </c>
      <c r="L371" s="11">
        <f>IF(I371="","",IF($G$15=1,50,(_xlfn.RANK.AVG(I371,$I$19:$I$1518,1)-1)/($G$15-1)*100))</f>
        <v/>
      </c>
      <c r="M371" s="11">
        <f>IF(COUNT(J371:L371)=3,ROUND(AVERAGE(J371:L371),6),"")</f>
        <v/>
      </c>
      <c r="O371">
        <f>IF(AND(ISNUMBER('자료_미국심리'!$A355),ISNUMBER('자료_미국심리'!$B355)),'자료_미국심리'!$A355,"")</f>
        <v/>
      </c>
      <c r="P371">
        <f>IF(AND(ISNUMBER('자료_미국심리'!$D355),ISNUMBER('자료_미국심리'!$E355)),'자료_미국심리'!$D355,"")</f>
        <v/>
      </c>
      <c r="Q371">
        <f>IF(AND(ISNUMBER('자료_미국심리'!$G355),ISNUMBER('자료_미국심리'!$H355)),'자료_미국심리'!$G355,"")</f>
        <v/>
      </c>
    </row>
    <row r="372">
      <c r="A372" s="10">
        <f>IF(354&gt;$E$5,"",SMALL($O$19:$O$4018,$E$6+354))</f>
        <v/>
      </c>
      <c r="B372" s="29">
        <f>IF(A372="","",INDEX('자료_미국심리'!$B$3:$B$4002,MATCH(A372,$O$19:$O$4018,0)))</f>
        <v/>
      </c>
      <c r="C372" s="22">
        <f>IF(A372="","",B372/AVERAGE(B248:B372)-1)</f>
        <v/>
      </c>
      <c r="D372" s="29">
        <f>IF(A372="","",IFERROR(INDEX('자료_미국심리'!$E$3:$E$4002,MATCH(A372,$P$19:$P$4018,0)),D371))</f>
        <v/>
      </c>
      <c r="E372" s="29">
        <f>IF(A372="","",IFERROR(INDEX('자료_미국심리'!$H$3:$H$4002,MATCH(A372,$Q$19:$Q$4018,0)),E371))</f>
        <v/>
      </c>
      <c r="F372">
        <f>IF(A372="",0,IF(A372&gt;$B$5,1,0))</f>
        <v/>
      </c>
      <c r="G372" s="29">
        <f>IF(AND(F372=1,ISNUMBER(D372)),D372,"")</f>
        <v/>
      </c>
      <c r="H372" s="29">
        <f>IF(AND(F372=1,ISNUMBER(E372)),E372,"")</f>
        <v/>
      </c>
      <c r="I372" s="22">
        <f>IF(AND(F372=1,ISNUMBER(C372)),C372,"")</f>
        <v/>
      </c>
      <c r="J372" s="11">
        <f>IF(G372="","",100-IF($G$13=1,50,(_xlfn.RANK.AVG(G372,$G$19:$G$1518,1)-1)/($G$13-1)*100))</f>
        <v/>
      </c>
      <c r="K372" s="11">
        <f>IF(H372="","",100-IF($G$14=1,50,(_xlfn.RANK.AVG(H372,$H$19:$H$1518,1)-1)/($G$14-1)*100))</f>
        <v/>
      </c>
      <c r="L372" s="11">
        <f>IF(I372="","",IF($G$15=1,50,(_xlfn.RANK.AVG(I372,$I$19:$I$1518,1)-1)/($G$15-1)*100))</f>
        <v/>
      </c>
      <c r="M372" s="11">
        <f>IF(COUNT(J372:L372)=3,ROUND(AVERAGE(J372:L372),6),"")</f>
        <v/>
      </c>
      <c r="O372">
        <f>IF(AND(ISNUMBER('자료_미국심리'!$A356),ISNUMBER('자료_미국심리'!$B356)),'자료_미국심리'!$A356,"")</f>
        <v/>
      </c>
      <c r="P372">
        <f>IF(AND(ISNUMBER('자료_미국심리'!$D356),ISNUMBER('자료_미국심리'!$E356)),'자료_미국심리'!$D356,"")</f>
        <v/>
      </c>
      <c r="Q372">
        <f>IF(AND(ISNUMBER('자료_미국심리'!$G356),ISNUMBER('자료_미국심리'!$H356)),'자료_미국심리'!$G356,"")</f>
        <v/>
      </c>
    </row>
    <row r="373">
      <c r="A373" s="10">
        <f>IF(355&gt;$E$5,"",SMALL($O$19:$O$4018,$E$6+355))</f>
        <v/>
      </c>
      <c r="B373" s="29">
        <f>IF(A373="","",INDEX('자료_미국심리'!$B$3:$B$4002,MATCH(A373,$O$19:$O$4018,0)))</f>
        <v/>
      </c>
      <c r="C373" s="22">
        <f>IF(A373="","",B373/AVERAGE(B249:B373)-1)</f>
        <v/>
      </c>
      <c r="D373" s="29">
        <f>IF(A373="","",IFERROR(INDEX('자료_미국심리'!$E$3:$E$4002,MATCH(A373,$P$19:$P$4018,0)),D372))</f>
        <v/>
      </c>
      <c r="E373" s="29">
        <f>IF(A373="","",IFERROR(INDEX('자료_미국심리'!$H$3:$H$4002,MATCH(A373,$Q$19:$Q$4018,0)),E372))</f>
        <v/>
      </c>
      <c r="F373">
        <f>IF(A373="",0,IF(A373&gt;$B$5,1,0))</f>
        <v/>
      </c>
      <c r="G373" s="29">
        <f>IF(AND(F373=1,ISNUMBER(D373)),D373,"")</f>
        <v/>
      </c>
      <c r="H373" s="29">
        <f>IF(AND(F373=1,ISNUMBER(E373)),E373,"")</f>
        <v/>
      </c>
      <c r="I373" s="22">
        <f>IF(AND(F373=1,ISNUMBER(C373)),C373,"")</f>
        <v/>
      </c>
      <c r="J373" s="11">
        <f>IF(G373="","",100-IF($G$13=1,50,(_xlfn.RANK.AVG(G373,$G$19:$G$1518,1)-1)/($G$13-1)*100))</f>
        <v/>
      </c>
      <c r="K373" s="11">
        <f>IF(H373="","",100-IF($G$14=1,50,(_xlfn.RANK.AVG(H373,$H$19:$H$1518,1)-1)/($G$14-1)*100))</f>
        <v/>
      </c>
      <c r="L373" s="11">
        <f>IF(I373="","",IF($G$15=1,50,(_xlfn.RANK.AVG(I373,$I$19:$I$1518,1)-1)/($G$15-1)*100))</f>
        <v/>
      </c>
      <c r="M373" s="11">
        <f>IF(COUNT(J373:L373)=3,ROUND(AVERAGE(J373:L373),6),"")</f>
        <v/>
      </c>
      <c r="O373">
        <f>IF(AND(ISNUMBER('자료_미국심리'!$A357),ISNUMBER('자료_미국심리'!$B357)),'자료_미국심리'!$A357,"")</f>
        <v/>
      </c>
      <c r="P373">
        <f>IF(AND(ISNUMBER('자료_미국심리'!$D357),ISNUMBER('자료_미국심리'!$E357)),'자료_미국심리'!$D357,"")</f>
        <v/>
      </c>
      <c r="Q373">
        <f>IF(AND(ISNUMBER('자료_미국심리'!$G357),ISNUMBER('자료_미국심리'!$H357)),'자료_미국심리'!$G357,"")</f>
        <v/>
      </c>
    </row>
    <row r="374">
      <c r="A374" s="10">
        <f>IF(356&gt;$E$5,"",SMALL($O$19:$O$4018,$E$6+356))</f>
        <v/>
      </c>
      <c r="B374" s="29">
        <f>IF(A374="","",INDEX('자료_미국심리'!$B$3:$B$4002,MATCH(A374,$O$19:$O$4018,0)))</f>
        <v/>
      </c>
      <c r="C374" s="22">
        <f>IF(A374="","",B374/AVERAGE(B250:B374)-1)</f>
        <v/>
      </c>
      <c r="D374" s="29">
        <f>IF(A374="","",IFERROR(INDEX('자료_미국심리'!$E$3:$E$4002,MATCH(A374,$P$19:$P$4018,0)),D373))</f>
        <v/>
      </c>
      <c r="E374" s="29">
        <f>IF(A374="","",IFERROR(INDEX('자료_미국심리'!$H$3:$H$4002,MATCH(A374,$Q$19:$Q$4018,0)),E373))</f>
        <v/>
      </c>
      <c r="F374">
        <f>IF(A374="",0,IF(A374&gt;$B$5,1,0))</f>
        <v/>
      </c>
      <c r="G374" s="29">
        <f>IF(AND(F374=1,ISNUMBER(D374)),D374,"")</f>
        <v/>
      </c>
      <c r="H374" s="29">
        <f>IF(AND(F374=1,ISNUMBER(E374)),E374,"")</f>
        <v/>
      </c>
      <c r="I374" s="22">
        <f>IF(AND(F374=1,ISNUMBER(C374)),C374,"")</f>
        <v/>
      </c>
      <c r="J374" s="11">
        <f>IF(G374="","",100-IF($G$13=1,50,(_xlfn.RANK.AVG(G374,$G$19:$G$1518,1)-1)/($G$13-1)*100))</f>
        <v/>
      </c>
      <c r="K374" s="11">
        <f>IF(H374="","",100-IF($G$14=1,50,(_xlfn.RANK.AVG(H374,$H$19:$H$1518,1)-1)/($G$14-1)*100))</f>
        <v/>
      </c>
      <c r="L374" s="11">
        <f>IF(I374="","",IF($G$15=1,50,(_xlfn.RANK.AVG(I374,$I$19:$I$1518,1)-1)/($G$15-1)*100))</f>
        <v/>
      </c>
      <c r="M374" s="11">
        <f>IF(COUNT(J374:L374)=3,ROUND(AVERAGE(J374:L374),6),"")</f>
        <v/>
      </c>
      <c r="O374">
        <f>IF(AND(ISNUMBER('자료_미국심리'!$A358),ISNUMBER('자료_미국심리'!$B358)),'자료_미국심리'!$A358,"")</f>
        <v/>
      </c>
      <c r="P374">
        <f>IF(AND(ISNUMBER('자료_미국심리'!$D358),ISNUMBER('자료_미국심리'!$E358)),'자료_미국심리'!$D358,"")</f>
        <v/>
      </c>
      <c r="Q374">
        <f>IF(AND(ISNUMBER('자료_미국심리'!$G358),ISNUMBER('자료_미국심리'!$H358)),'자료_미국심리'!$G358,"")</f>
        <v/>
      </c>
    </row>
    <row r="375">
      <c r="A375" s="10">
        <f>IF(357&gt;$E$5,"",SMALL($O$19:$O$4018,$E$6+357))</f>
        <v/>
      </c>
      <c r="B375" s="29">
        <f>IF(A375="","",INDEX('자료_미국심리'!$B$3:$B$4002,MATCH(A375,$O$19:$O$4018,0)))</f>
        <v/>
      </c>
      <c r="C375" s="22">
        <f>IF(A375="","",B375/AVERAGE(B251:B375)-1)</f>
        <v/>
      </c>
      <c r="D375" s="29">
        <f>IF(A375="","",IFERROR(INDEX('자료_미국심리'!$E$3:$E$4002,MATCH(A375,$P$19:$P$4018,0)),D374))</f>
        <v/>
      </c>
      <c r="E375" s="29">
        <f>IF(A375="","",IFERROR(INDEX('자료_미국심리'!$H$3:$H$4002,MATCH(A375,$Q$19:$Q$4018,0)),E374))</f>
        <v/>
      </c>
      <c r="F375">
        <f>IF(A375="",0,IF(A375&gt;$B$5,1,0))</f>
        <v/>
      </c>
      <c r="G375" s="29">
        <f>IF(AND(F375=1,ISNUMBER(D375)),D375,"")</f>
        <v/>
      </c>
      <c r="H375" s="29">
        <f>IF(AND(F375=1,ISNUMBER(E375)),E375,"")</f>
        <v/>
      </c>
      <c r="I375" s="22">
        <f>IF(AND(F375=1,ISNUMBER(C375)),C375,"")</f>
        <v/>
      </c>
      <c r="J375" s="11">
        <f>IF(G375="","",100-IF($G$13=1,50,(_xlfn.RANK.AVG(G375,$G$19:$G$1518,1)-1)/($G$13-1)*100))</f>
        <v/>
      </c>
      <c r="K375" s="11">
        <f>IF(H375="","",100-IF($G$14=1,50,(_xlfn.RANK.AVG(H375,$H$19:$H$1518,1)-1)/($G$14-1)*100))</f>
        <v/>
      </c>
      <c r="L375" s="11">
        <f>IF(I375="","",IF($G$15=1,50,(_xlfn.RANK.AVG(I375,$I$19:$I$1518,1)-1)/($G$15-1)*100))</f>
        <v/>
      </c>
      <c r="M375" s="11">
        <f>IF(COUNT(J375:L375)=3,ROUND(AVERAGE(J375:L375),6),"")</f>
        <v/>
      </c>
      <c r="O375">
        <f>IF(AND(ISNUMBER('자료_미국심리'!$A359),ISNUMBER('자료_미국심리'!$B359)),'자료_미국심리'!$A359,"")</f>
        <v/>
      </c>
      <c r="P375">
        <f>IF(AND(ISNUMBER('자료_미국심리'!$D359),ISNUMBER('자료_미국심리'!$E359)),'자료_미국심리'!$D359,"")</f>
        <v/>
      </c>
      <c r="Q375">
        <f>IF(AND(ISNUMBER('자료_미국심리'!$G359),ISNUMBER('자료_미국심리'!$H359)),'자료_미국심리'!$G359,"")</f>
        <v/>
      </c>
    </row>
    <row r="376">
      <c r="A376" s="10">
        <f>IF(358&gt;$E$5,"",SMALL($O$19:$O$4018,$E$6+358))</f>
        <v/>
      </c>
      <c r="B376" s="29">
        <f>IF(A376="","",INDEX('자료_미국심리'!$B$3:$B$4002,MATCH(A376,$O$19:$O$4018,0)))</f>
        <v/>
      </c>
      <c r="C376" s="22">
        <f>IF(A376="","",B376/AVERAGE(B252:B376)-1)</f>
        <v/>
      </c>
      <c r="D376" s="29">
        <f>IF(A376="","",IFERROR(INDEX('자료_미국심리'!$E$3:$E$4002,MATCH(A376,$P$19:$P$4018,0)),D375))</f>
        <v/>
      </c>
      <c r="E376" s="29">
        <f>IF(A376="","",IFERROR(INDEX('자료_미국심리'!$H$3:$H$4002,MATCH(A376,$Q$19:$Q$4018,0)),E375))</f>
        <v/>
      </c>
      <c r="F376">
        <f>IF(A376="",0,IF(A376&gt;$B$5,1,0))</f>
        <v/>
      </c>
      <c r="G376" s="29">
        <f>IF(AND(F376=1,ISNUMBER(D376)),D376,"")</f>
        <v/>
      </c>
      <c r="H376" s="29">
        <f>IF(AND(F376=1,ISNUMBER(E376)),E376,"")</f>
        <v/>
      </c>
      <c r="I376" s="22">
        <f>IF(AND(F376=1,ISNUMBER(C376)),C376,"")</f>
        <v/>
      </c>
      <c r="J376" s="11">
        <f>IF(G376="","",100-IF($G$13=1,50,(_xlfn.RANK.AVG(G376,$G$19:$G$1518,1)-1)/($G$13-1)*100))</f>
        <v/>
      </c>
      <c r="K376" s="11">
        <f>IF(H376="","",100-IF($G$14=1,50,(_xlfn.RANK.AVG(H376,$H$19:$H$1518,1)-1)/($G$14-1)*100))</f>
        <v/>
      </c>
      <c r="L376" s="11">
        <f>IF(I376="","",IF($G$15=1,50,(_xlfn.RANK.AVG(I376,$I$19:$I$1518,1)-1)/($G$15-1)*100))</f>
        <v/>
      </c>
      <c r="M376" s="11">
        <f>IF(COUNT(J376:L376)=3,ROUND(AVERAGE(J376:L376),6),"")</f>
        <v/>
      </c>
      <c r="O376">
        <f>IF(AND(ISNUMBER('자료_미국심리'!$A360),ISNUMBER('자료_미국심리'!$B360)),'자료_미국심리'!$A360,"")</f>
        <v/>
      </c>
      <c r="P376">
        <f>IF(AND(ISNUMBER('자료_미국심리'!$D360),ISNUMBER('자료_미국심리'!$E360)),'자료_미국심리'!$D360,"")</f>
        <v/>
      </c>
      <c r="Q376">
        <f>IF(AND(ISNUMBER('자료_미국심리'!$G360),ISNUMBER('자료_미국심리'!$H360)),'자료_미국심리'!$G360,"")</f>
        <v/>
      </c>
    </row>
    <row r="377">
      <c r="A377" s="10">
        <f>IF(359&gt;$E$5,"",SMALL($O$19:$O$4018,$E$6+359))</f>
        <v/>
      </c>
      <c r="B377" s="29">
        <f>IF(A377="","",INDEX('자료_미국심리'!$B$3:$B$4002,MATCH(A377,$O$19:$O$4018,0)))</f>
        <v/>
      </c>
      <c r="C377" s="22">
        <f>IF(A377="","",B377/AVERAGE(B253:B377)-1)</f>
        <v/>
      </c>
      <c r="D377" s="29">
        <f>IF(A377="","",IFERROR(INDEX('자료_미국심리'!$E$3:$E$4002,MATCH(A377,$P$19:$P$4018,0)),D376))</f>
        <v/>
      </c>
      <c r="E377" s="29">
        <f>IF(A377="","",IFERROR(INDEX('자료_미국심리'!$H$3:$H$4002,MATCH(A377,$Q$19:$Q$4018,0)),E376))</f>
        <v/>
      </c>
      <c r="F377">
        <f>IF(A377="",0,IF(A377&gt;$B$5,1,0))</f>
        <v/>
      </c>
      <c r="G377" s="29">
        <f>IF(AND(F377=1,ISNUMBER(D377)),D377,"")</f>
        <v/>
      </c>
      <c r="H377" s="29">
        <f>IF(AND(F377=1,ISNUMBER(E377)),E377,"")</f>
        <v/>
      </c>
      <c r="I377" s="22">
        <f>IF(AND(F377=1,ISNUMBER(C377)),C377,"")</f>
        <v/>
      </c>
      <c r="J377" s="11">
        <f>IF(G377="","",100-IF($G$13=1,50,(_xlfn.RANK.AVG(G377,$G$19:$G$1518,1)-1)/($G$13-1)*100))</f>
        <v/>
      </c>
      <c r="K377" s="11">
        <f>IF(H377="","",100-IF($G$14=1,50,(_xlfn.RANK.AVG(H377,$H$19:$H$1518,1)-1)/($G$14-1)*100))</f>
        <v/>
      </c>
      <c r="L377" s="11">
        <f>IF(I377="","",IF($G$15=1,50,(_xlfn.RANK.AVG(I377,$I$19:$I$1518,1)-1)/($G$15-1)*100))</f>
        <v/>
      </c>
      <c r="M377" s="11">
        <f>IF(COUNT(J377:L377)=3,ROUND(AVERAGE(J377:L377),6),"")</f>
        <v/>
      </c>
      <c r="O377">
        <f>IF(AND(ISNUMBER('자료_미국심리'!$A361),ISNUMBER('자료_미국심리'!$B361)),'자료_미국심리'!$A361,"")</f>
        <v/>
      </c>
      <c r="P377">
        <f>IF(AND(ISNUMBER('자료_미국심리'!$D361),ISNUMBER('자료_미국심리'!$E361)),'자료_미국심리'!$D361,"")</f>
        <v/>
      </c>
      <c r="Q377">
        <f>IF(AND(ISNUMBER('자료_미국심리'!$G361),ISNUMBER('자료_미국심리'!$H361)),'자료_미국심리'!$G361,"")</f>
        <v/>
      </c>
    </row>
    <row r="378">
      <c r="A378" s="10">
        <f>IF(360&gt;$E$5,"",SMALL($O$19:$O$4018,$E$6+360))</f>
        <v/>
      </c>
      <c r="B378" s="29">
        <f>IF(A378="","",INDEX('자료_미국심리'!$B$3:$B$4002,MATCH(A378,$O$19:$O$4018,0)))</f>
        <v/>
      </c>
      <c r="C378" s="22">
        <f>IF(A378="","",B378/AVERAGE(B254:B378)-1)</f>
        <v/>
      </c>
      <c r="D378" s="29">
        <f>IF(A378="","",IFERROR(INDEX('자료_미국심리'!$E$3:$E$4002,MATCH(A378,$P$19:$P$4018,0)),D377))</f>
        <v/>
      </c>
      <c r="E378" s="29">
        <f>IF(A378="","",IFERROR(INDEX('자료_미국심리'!$H$3:$H$4002,MATCH(A378,$Q$19:$Q$4018,0)),E377))</f>
        <v/>
      </c>
      <c r="F378">
        <f>IF(A378="",0,IF(A378&gt;$B$5,1,0))</f>
        <v/>
      </c>
      <c r="G378" s="29">
        <f>IF(AND(F378=1,ISNUMBER(D378)),D378,"")</f>
        <v/>
      </c>
      <c r="H378" s="29">
        <f>IF(AND(F378=1,ISNUMBER(E378)),E378,"")</f>
        <v/>
      </c>
      <c r="I378" s="22">
        <f>IF(AND(F378=1,ISNUMBER(C378)),C378,"")</f>
        <v/>
      </c>
      <c r="J378" s="11">
        <f>IF(G378="","",100-IF($G$13=1,50,(_xlfn.RANK.AVG(G378,$G$19:$G$1518,1)-1)/($G$13-1)*100))</f>
        <v/>
      </c>
      <c r="K378" s="11">
        <f>IF(H378="","",100-IF($G$14=1,50,(_xlfn.RANK.AVG(H378,$H$19:$H$1518,1)-1)/($G$14-1)*100))</f>
        <v/>
      </c>
      <c r="L378" s="11">
        <f>IF(I378="","",IF($G$15=1,50,(_xlfn.RANK.AVG(I378,$I$19:$I$1518,1)-1)/($G$15-1)*100))</f>
        <v/>
      </c>
      <c r="M378" s="11">
        <f>IF(COUNT(J378:L378)=3,ROUND(AVERAGE(J378:L378),6),"")</f>
        <v/>
      </c>
      <c r="O378">
        <f>IF(AND(ISNUMBER('자료_미국심리'!$A362),ISNUMBER('자료_미국심리'!$B362)),'자료_미국심리'!$A362,"")</f>
        <v/>
      </c>
      <c r="P378">
        <f>IF(AND(ISNUMBER('자료_미국심리'!$D362),ISNUMBER('자료_미국심리'!$E362)),'자료_미국심리'!$D362,"")</f>
        <v/>
      </c>
      <c r="Q378">
        <f>IF(AND(ISNUMBER('자료_미국심리'!$G362),ISNUMBER('자료_미국심리'!$H362)),'자료_미국심리'!$G362,"")</f>
        <v/>
      </c>
    </row>
    <row r="379">
      <c r="A379" s="10">
        <f>IF(361&gt;$E$5,"",SMALL($O$19:$O$4018,$E$6+361))</f>
        <v/>
      </c>
      <c r="B379" s="29">
        <f>IF(A379="","",INDEX('자료_미국심리'!$B$3:$B$4002,MATCH(A379,$O$19:$O$4018,0)))</f>
        <v/>
      </c>
      <c r="C379" s="22">
        <f>IF(A379="","",B379/AVERAGE(B255:B379)-1)</f>
        <v/>
      </c>
      <c r="D379" s="29">
        <f>IF(A379="","",IFERROR(INDEX('자료_미국심리'!$E$3:$E$4002,MATCH(A379,$P$19:$P$4018,0)),D378))</f>
        <v/>
      </c>
      <c r="E379" s="29">
        <f>IF(A379="","",IFERROR(INDEX('자료_미국심리'!$H$3:$H$4002,MATCH(A379,$Q$19:$Q$4018,0)),E378))</f>
        <v/>
      </c>
      <c r="F379">
        <f>IF(A379="",0,IF(A379&gt;$B$5,1,0))</f>
        <v/>
      </c>
      <c r="G379" s="29">
        <f>IF(AND(F379=1,ISNUMBER(D379)),D379,"")</f>
        <v/>
      </c>
      <c r="H379" s="29">
        <f>IF(AND(F379=1,ISNUMBER(E379)),E379,"")</f>
        <v/>
      </c>
      <c r="I379" s="22">
        <f>IF(AND(F379=1,ISNUMBER(C379)),C379,"")</f>
        <v/>
      </c>
      <c r="J379" s="11">
        <f>IF(G379="","",100-IF($G$13=1,50,(_xlfn.RANK.AVG(G379,$G$19:$G$1518,1)-1)/($G$13-1)*100))</f>
        <v/>
      </c>
      <c r="K379" s="11">
        <f>IF(H379="","",100-IF($G$14=1,50,(_xlfn.RANK.AVG(H379,$H$19:$H$1518,1)-1)/($G$14-1)*100))</f>
        <v/>
      </c>
      <c r="L379" s="11">
        <f>IF(I379="","",IF($G$15=1,50,(_xlfn.RANK.AVG(I379,$I$19:$I$1518,1)-1)/($G$15-1)*100))</f>
        <v/>
      </c>
      <c r="M379" s="11">
        <f>IF(COUNT(J379:L379)=3,ROUND(AVERAGE(J379:L379),6),"")</f>
        <v/>
      </c>
      <c r="O379">
        <f>IF(AND(ISNUMBER('자료_미국심리'!$A363),ISNUMBER('자료_미국심리'!$B363)),'자료_미국심리'!$A363,"")</f>
        <v/>
      </c>
      <c r="P379">
        <f>IF(AND(ISNUMBER('자료_미국심리'!$D363),ISNUMBER('자료_미국심리'!$E363)),'자료_미국심리'!$D363,"")</f>
        <v/>
      </c>
      <c r="Q379">
        <f>IF(AND(ISNUMBER('자료_미국심리'!$G363),ISNUMBER('자료_미국심리'!$H363)),'자료_미국심리'!$G363,"")</f>
        <v/>
      </c>
    </row>
    <row r="380">
      <c r="A380" s="10">
        <f>IF(362&gt;$E$5,"",SMALL($O$19:$O$4018,$E$6+362))</f>
        <v/>
      </c>
      <c r="B380" s="29">
        <f>IF(A380="","",INDEX('자료_미국심리'!$B$3:$B$4002,MATCH(A380,$O$19:$O$4018,0)))</f>
        <v/>
      </c>
      <c r="C380" s="22">
        <f>IF(A380="","",B380/AVERAGE(B256:B380)-1)</f>
        <v/>
      </c>
      <c r="D380" s="29">
        <f>IF(A380="","",IFERROR(INDEX('자료_미국심리'!$E$3:$E$4002,MATCH(A380,$P$19:$P$4018,0)),D379))</f>
        <v/>
      </c>
      <c r="E380" s="29">
        <f>IF(A380="","",IFERROR(INDEX('자료_미국심리'!$H$3:$H$4002,MATCH(A380,$Q$19:$Q$4018,0)),E379))</f>
        <v/>
      </c>
      <c r="F380">
        <f>IF(A380="",0,IF(A380&gt;$B$5,1,0))</f>
        <v/>
      </c>
      <c r="G380" s="29">
        <f>IF(AND(F380=1,ISNUMBER(D380)),D380,"")</f>
        <v/>
      </c>
      <c r="H380" s="29">
        <f>IF(AND(F380=1,ISNUMBER(E380)),E380,"")</f>
        <v/>
      </c>
      <c r="I380" s="22">
        <f>IF(AND(F380=1,ISNUMBER(C380)),C380,"")</f>
        <v/>
      </c>
      <c r="J380" s="11">
        <f>IF(G380="","",100-IF($G$13=1,50,(_xlfn.RANK.AVG(G380,$G$19:$G$1518,1)-1)/($G$13-1)*100))</f>
        <v/>
      </c>
      <c r="K380" s="11">
        <f>IF(H380="","",100-IF($G$14=1,50,(_xlfn.RANK.AVG(H380,$H$19:$H$1518,1)-1)/($G$14-1)*100))</f>
        <v/>
      </c>
      <c r="L380" s="11">
        <f>IF(I380="","",IF($G$15=1,50,(_xlfn.RANK.AVG(I380,$I$19:$I$1518,1)-1)/($G$15-1)*100))</f>
        <v/>
      </c>
      <c r="M380" s="11">
        <f>IF(COUNT(J380:L380)=3,ROUND(AVERAGE(J380:L380),6),"")</f>
        <v/>
      </c>
      <c r="O380">
        <f>IF(AND(ISNUMBER('자료_미국심리'!$A364),ISNUMBER('자료_미국심리'!$B364)),'자료_미국심리'!$A364,"")</f>
        <v/>
      </c>
      <c r="P380">
        <f>IF(AND(ISNUMBER('자료_미국심리'!$D364),ISNUMBER('자료_미국심리'!$E364)),'자료_미국심리'!$D364,"")</f>
        <v/>
      </c>
      <c r="Q380">
        <f>IF(AND(ISNUMBER('자료_미국심리'!$G364),ISNUMBER('자료_미국심리'!$H364)),'자료_미국심리'!$G364,"")</f>
        <v/>
      </c>
    </row>
    <row r="381">
      <c r="A381" s="10">
        <f>IF(363&gt;$E$5,"",SMALL($O$19:$O$4018,$E$6+363))</f>
        <v/>
      </c>
      <c r="B381" s="29">
        <f>IF(A381="","",INDEX('자료_미국심리'!$B$3:$B$4002,MATCH(A381,$O$19:$O$4018,0)))</f>
        <v/>
      </c>
      <c r="C381" s="22">
        <f>IF(A381="","",B381/AVERAGE(B257:B381)-1)</f>
        <v/>
      </c>
      <c r="D381" s="29">
        <f>IF(A381="","",IFERROR(INDEX('자료_미국심리'!$E$3:$E$4002,MATCH(A381,$P$19:$P$4018,0)),D380))</f>
        <v/>
      </c>
      <c r="E381" s="29">
        <f>IF(A381="","",IFERROR(INDEX('자료_미국심리'!$H$3:$H$4002,MATCH(A381,$Q$19:$Q$4018,0)),E380))</f>
        <v/>
      </c>
      <c r="F381">
        <f>IF(A381="",0,IF(A381&gt;$B$5,1,0))</f>
        <v/>
      </c>
      <c r="G381" s="29">
        <f>IF(AND(F381=1,ISNUMBER(D381)),D381,"")</f>
        <v/>
      </c>
      <c r="H381" s="29">
        <f>IF(AND(F381=1,ISNUMBER(E381)),E381,"")</f>
        <v/>
      </c>
      <c r="I381" s="22">
        <f>IF(AND(F381=1,ISNUMBER(C381)),C381,"")</f>
        <v/>
      </c>
      <c r="J381" s="11">
        <f>IF(G381="","",100-IF($G$13=1,50,(_xlfn.RANK.AVG(G381,$G$19:$G$1518,1)-1)/($G$13-1)*100))</f>
        <v/>
      </c>
      <c r="K381" s="11">
        <f>IF(H381="","",100-IF($G$14=1,50,(_xlfn.RANK.AVG(H381,$H$19:$H$1518,1)-1)/($G$14-1)*100))</f>
        <v/>
      </c>
      <c r="L381" s="11">
        <f>IF(I381="","",IF($G$15=1,50,(_xlfn.RANK.AVG(I381,$I$19:$I$1518,1)-1)/($G$15-1)*100))</f>
        <v/>
      </c>
      <c r="M381" s="11">
        <f>IF(COUNT(J381:L381)=3,ROUND(AVERAGE(J381:L381),6),"")</f>
        <v/>
      </c>
      <c r="O381">
        <f>IF(AND(ISNUMBER('자료_미국심리'!$A365),ISNUMBER('자료_미국심리'!$B365)),'자료_미국심리'!$A365,"")</f>
        <v/>
      </c>
      <c r="P381">
        <f>IF(AND(ISNUMBER('자료_미국심리'!$D365),ISNUMBER('자료_미국심리'!$E365)),'자료_미국심리'!$D365,"")</f>
        <v/>
      </c>
      <c r="Q381">
        <f>IF(AND(ISNUMBER('자료_미국심리'!$G365),ISNUMBER('자료_미국심리'!$H365)),'자료_미국심리'!$G365,"")</f>
        <v/>
      </c>
    </row>
    <row r="382">
      <c r="A382" s="10">
        <f>IF(364&gt;$E$5,"",SMALL($O$19:$O$4018,$E$6+364))</f>
        <v/>
      </c>
      <c r="B382" s="29">
        <f>IF(A382="","",INDEX('자료_미국심리'!$B$3:$B$4002,MATCH(A382,$O$19:$O$4018,0)))</f>
        <v/>
      </c>
      <c r="C382" s="22">
        <f>IF(A382="","",B382/AVERAGE(B258:B382)-1)</f>
        <v/>
      </c>
      <c r="D382" s="29">
        <f>IF(A382="","",IFERROR(INDEX('자료_미국심리'!$E$3:$E$4002,MATCH(A382,$P$19:$P$4018,0)),D381))</f>
        <v/>
      </c>
      <c r="E382" s="29">
        <f>IF(A382="","",IFERROR(INDEX('자료_미국심리'!$H$3:$H$4002,MATCH(A382,$Q$19:$Q$4018,0)),E381))</f>
        <v/>
      </c>
      <c r="F382">
        <f>IF(A382="",0,IF(A382&gt;$B$5,1,0))</f>
        <v/>
      </c>
      <c r="G382" s="29">
        <f>IF(AND(F382=1,ISNUMBER(D382)),D382,"")</f>
        <v/>
      </c>
      <c r="H382" s="29">
        <f>IF(AND(F382=1,ISNUMBER(E382)),E382,"")</f>
        <v/>
      </c>
      <c r="I382" s="22">
        <f>IF(AND(F382=1,ISNUMBER(C382)),C382,"")</f>
        <v/>
      </c>
      <c r="J382" s="11">
        <f>IF(G382="","",100-IF($G$13=1,50,(_xlfn.RANK.AVG(G382,$G$19:$G$1518,1)-1)/($G$13-1)*100))</f>
        <v/>
      </c>
      <c r="K382" s="11">
        <f>IF(H382="","",100-IF($G$14=1,50,(_xlfn.RANK.AVG(H382,$H$19:$H$1518,1)-1)/($G$14-1)*100))</f>
        <v/>
      </c>
      <c r="L382" s="11">
        <f>IF(I382="","",IF($G$15=1,50,(_xlfn.RANK.AVG(I382,$I$19:$I$1518,1)-1)/($G$15-1)*100))</f>
        <v/>
      </c>
      <c r="M382" s="11">
        <f>IF(COUNT(J382:L382)=3,ROUND(AVERAGE(J382:L382),6),"")</f>
        <v/>
      </c>
      <c r="O382">
        <f>IF(AND(ISNUMBER('자료_미국심리'!$A366),ISNUMBER('자료_미국심리'!$B366)),'자료_미국심리'!$A366,"")</f>
        <v/>
      </c>
      <c r="P382">
        <f>IF(AND(ISNUMBER('자료_미국심리'!$D366),ISNUMBER('자료_미국심리'!$E366)),'자료_미국심리'!$D366,"")</f>
        <v/>
      </c>
      <c r="Q382">
        <f>IF(AND(ISNUMBER('자료_미국심리'!$G366),ISNUMBER('자료_미국심리'!$H366)),'자료_미국심리'!$G366,"")</f>
        <v/>
      </c>
    </row>
    <row r="383">
      <c r="A383" s="10">
        <f>IF(365&gt;$E$5,"",SMALL($O$19:$O$4018,$E$6+365))</f>
        <v/>
      </c>
      <c r="B383" s="29">
        <f>IF(A383="","",INDEX('자료_미국심리'!$B$3:$B$4002,MATCH(A383,$O$19:$O$4018,0)))</f>
        <v/>
      </c>
      <c r="C383" s="22">
        <f>IF(A383="","",B383/AVERAGE(B259:B383)-1)</f>
        <v/>
      </c>
      <c r="D383" s="29">
        <f>IF(A383="","",IFERROR(INDEX('자료_미국심리'!$E$3:$E$4002,MATCH(A383,$P$19:$P$4018,0)),D382))</f>
        <v/>
      </c>
      <c r="E383" s="29">
        <f>IF(A383="","",IFERROR(INDEX('자료_미국심리'!$H$3:$H$4002,MATCH(A383,$Q$19:$Q$4018,0)),E382))</f>
        <v/>
      </c>
      <c r="F383">
        <f>IF(A383="",0,IF(A383&gt;$B$5,1,0))</f>
        <v/>
      </c>
      <c r="G383" s="29">
        <f>IF(AND(F383=1,ISNUMBER(D383)),D383,"")</f>
        <v/>
      </c>
      <c r="H383" s="29">
        <f>IF(AND(F383=1,ISNUMBER(E383)),E383,"")</f>
        <v/>
      </c>
      <c r="I383" s="22">
        <f>IF(AND(F383=1,ISNUMBER(C383)),C383,"")</f>
        <v/>
      </c>
      <c r="J383" s="11">
        <f>IF(G383="","",100-IF($G$13=1,50,(_xlfn.RANK.AVG(G383,$G$19:$G$1518,1)-1)/($G$13-1)*100))</f>
        <v/>
      </c>
      <c r="K383" s="11">
        <f>IF(H383="","",100-IF($G$14=1,50,(_xlfn.RANK.AVG(H383,$H$19:$H$1518,1)-1)/($G$14-1)*100))</f>
        <v/>
      </c>
      <c r="L383" s="11">
        <f>IF(I383="","",IF($G$15=1,50,(_xlfn.RANK.AVG(I383,$I$19:$I$1518,1)-1)/($G$15-1)*100))</f>
        <v/>
      </c>
      <c r="M383" s="11">
        <f>IF(COUNT(J383:L383)=3,ROUND(AVERAGE(J383:L383),6),"")</f>
        <v/>
      </c>
      <c r="O383">
        <f>IF(AND(ISNUMBER('자료_미국심리'!$A367),ISNUMBER('자료_미국심리'!$B367)),'자료_미국심리'!$A367,"")</f>
        <v/>
      </c>
      <c r="P383">
        <f>IF(AND(ISNUMBER('자료_미국심리'!$D367),ISNUMBER('자료_미국심리'!$E367)),'자료_미국심리'!$D367,"")</f>
        <v/>
      </c>
      <c r="Q383">
        <f>IF(AND(ISNUMBER('자료_미국심리'!$G367),ISNUMBER('자료_미국심리'!$H367)),'자료_미국심리'!$G367,"")</f>
        <v/>
      </c>
    </row>
    <row r="384">
      <c r="A384" s="10">
        <f>IF(366&gt;$E$5,"",SMALL($O$19:$O$4018,$E$6+366))</f>
        <v/>
      </c>
      <c r="B384" s="29">
        <f>IF(A384="","",INDEX('자료_미국심리'!$B$3:$B$4002,MATCH(A384,$O$19:$O$4018,0)))</f>
        <v/>
      </c>
      <c r="C384" s="22">
        <f>IF(A384="","",B384/AVERAGE(B260:B384)-1)</f>
        <v/>
      </c>
      <c r="D384" s="29">
        <f>IF(A384="","",IFERROR(INDEX('자료_미국심리'!$E$3:$E$4002,MATCH(A384,$P$19:$P$4018,0)),D383))</f>
        <v/>
      </c>
      <c r="E384" s="29">
        <f>IF(A384="","",IFERROR(INDEX('자료_미국심리'!$H$3:$H$4002,MATCH(A384,$Q$19:$Q$4018,0)),E383))</f>
        <v/>
      </c>
      <c r="F384">
        <f>IF(A384="",0,IF(A384&gt;$B$5,1,0))</f>
        <v/>
      </c>
      <c r="G384" s="29">
        <f>IF(AND(F384=1,ISNUMBER(D384)),D384,"")</f>
        <v/>
      </c>
      <c r="H384" s="29">
        <f>IF(AND(F384=1,ISNUMBER(E384)),E384,"")</f>
        <v/>
      </c>
      <c r="I384" s="22">
        <f>IF(AND(F384=1,ISNUMBER(C384)),C384,"")</f>
        <v/>
      </c>
      <c r="J384" s="11">
        <f>IF(G384="","",100-IF($G$13=1,50,(_xlfn.RANK.AVG(G384,$G$19:$G$1518,1)-1)/($G$13-1)*100))</f>
        <v/>
      </c>
      <c r="K384" s="11">
        <f>IF(H384="","",100-IF($G$14=1,50,(_xlfn.RANK.AVG(H384,$H$19:$H$1518,1)-1)/($G$14-1)*100))</f>
        <v/>
      </c>
      <c r="L384" s="11">
        <f>IF(I384="","",IF($G$15=1,50,(_xlfn.RANK.AVG(I384,$I$19:$I$1518,1)-1)/($G$15-1)*100))</f>
        <v/>
      </c>
      <c r="M384" s="11">
        <f>IF(COUNT(J384:L384)=3,ROUND(AVERAGE(J384:L384),6),"")</f>
        <v/>
      </c>
      <c r="O384">
        <f>IF(AND(ISNUMBER('자료_미국심리'!$A368),ISNUMBER('자료_미국심리'!$B368)),'자료_미국심리'!$A368,"")</f>
        <v/>
      </c>
      <c r="P384">
        <f>IF(AND(ISNUMBER('자료_미국심리'!$D368),ISNUMBER('자료_미국심리'!$E368)),'자료_미국심리'!$D368,"")</f>
        <v/>
      </c>
      <c r="Q384">
        <f>IF(AND(ISNUMBER('자료_미국심리'!$G368),ISNUMBER('자료_미국심리'!$H368)),'자료_미국심리'!$G368,"")</f>
        <v/>
      </c>
    </row>
    <row r="385">
      <c r="A385" s="10">
        <f>IF(367&gt;$E$5,"",SMALL($O$19:$O$4018,$E$6+367))</f>
        <v/>
      </c>
      <c r="B385" s="29">
        <f>IF(A385="","",INDEX('자료_미국심리'!$B$3:$B$4002,MATCH(A385,$O$19:$O$4018,0)))</f>
        <v/>
      </c>
      <c r="C385" s="22">
        <f>IF(A385="","",B385/AVERAGE(B261:B385)-1)</f>
        <v/>
      </c>
      <c r="D385" s="29">
        <f>IF(A385="","",IFERROR(INDEX('자료_미국심리'!$E$3:$E$4002,MATCH(A385,$P$19:$P$4018,0)),D384))</f>
        <v/>
      </c>
      <c r="E385" s="29">
        <f>IF(A385="","",IFERROR(INDEX('자료_미국심리'!$H$3:$H$4002,MATCH(A385,$Q$19:$Q$4018,0)),E384))</f>
        <v/>
      </c>
      <c r="F385">
        <f>IF(A385="",0,IF(A385&gt;$B$5,1,0))</f>
        <v/>
      </c>
      <c r="G385" s="29">
        <f>IF(AND(F385=1,ISNUMBER(D385)),D385,"")</f>
        <v/>
      </c>
      <c r="H385" s="29">
        <f>IF(AND(F385=1,ISNUMBER(E385)),E385,"")</f>
        <v/>
      </c>
      <c r="I385" s="22">
        <f>IF(AND(F385=1,ISNUMBER(C385)),C385,"")</f>
        <v/>
      </c>
      <c r="J385" s="11">
        <f>IF(G385="","",100-IF($G$13=1,50,(_xlfn.RANK.AVG(G385,$G$19:$G$1518,1)-1)/($G$13-1)*100))</f>
        <v/>
      </c>
      <c r="K385" s="11">
        <f>IF(H385="","",100-IF($G$14=1,50,(_xlfn.RANK.AVG(H385,$H$19:$H$1518,1)-1)/($G$14-1)*100))</f>
        <v/>
      </c>
      <c r="L385" s="11">
        <f>IF(I385="","",IF($G$15=1,50,(_xlfn.RANK.AVG(I385,$I$19:$I$1518,1)-1)/($G$15-1)*100))</f>
        <v/>
      </c>
      <c r="M385" s="11">
        <f>IF(COUNT(J385:L385)=3,ROUND(AVERAGE(J385:L385),6),"")</f>
        <v/>
      </c>
      <c r="O385">
        <f>IF(AND(ISNUMBER('자료_미국심리'!$A369),ISNUMBER('자료_미국심리'!$B369)),'자료_미국심리'!$A369,"")</f>
        <v/>
      </c>
      <c r="P385">
        <f>IF(AND(ISNUMBER('자료_미국심리'!$D369),ISNUMBER('자료_미국심리'!$E369)),'자료_미국심리'!$D369,"")</f>
        <v/>
      </c>
      <c r="Q385">
        <f>IF(AND(ISNUMBER('자료_미국심리'!$G369),ISNUMBER('자료_미국심리'!$H369)),'자료_미국심리'!$G369,"")</f>
        <v/>
      </c>
    </row>
    <row r="386">
      <c r="A386" s="10">
        <f>IF(368&gt;$E$5,"",SMALL($O$19:$O$4018,$E$6+368))</f>
        <v/>
      </c>
      <c r="B386" s="29">
        <f>IF(A386="","",INDEX('자료_미국심리'!$B$3:$B$4002,MATCH(A386,$O$19:$O$4018,0)))</f>
        <v/>
      </c>
      <c r="C386" s="22">
        <f>IF(A386="","",B386/AVERAGE(B262:B386)-1)</f>
        <v/>
      </c>
      <c r="D386" s="29">
        <f>IF(A386="","",IFERROR(INDEX('자료_미국심리'!$E$3:$E$4002,MATCH(A386,$P$19:$P$4018,0)),D385))</f>
        <v/>
      </c>
      <c r="E386" s="29">
        <f>IF(A386="","",IFERROR(INDEX('자료_미국심리'!$H$3:$H$4002,MATCH(A386,$Q$19:$Q$4018,0)),E385))</f>
        <v/>
      </c>
      <c r="F386">
        <f>IF(A386="",0,IF(A386&gt;$B$5,1,0))</f>
        <v/>
      </c>
      <c r="G386" s="29">
        <f>IF(AND(F386=1,ISNUMBER(D386)),D386,"")</f>
        <v/>
      </c>
      <c r="H386" s="29">
        <f>IF(AND(F386=1,ISNUMBER(E386)),E386,"")</f>
        <v/>
      </c>
      <c r="I386" s="22">
        <f>IF(AND(F386=1,ISNUMBER(C386)),C386,"")</f>
        <v/>
      </c>
      <c r="J386" s="11">
        <f>IF(G386="","",100-IF($G$13=1,50,(_xlfn.RANK.AVG(G386,$G$19:$G$1518,1)-1)/($G$13-1)*100))</f>
        <v/>
      </c>
      <c r="K386" s="11">
        <f>IF(H386="","",100-IF($G$14=1,50,(_xlfn.RANK.AVG(H386,$H$19:$H$1518,1)-1)/($G$14-1)*100))</f>
        <v/>
      </c>
      <c r="L386" s="11">
        <f>IF(I386="","",IF($G$15=1,50,(_xlfn.RANK.AVG(I386,$I$19:$I$1518,1)-1)/($G$15-1)*100))</f>
        <v/>
      </c>
      <c r="M386" s="11">
        <f>IF(COUNT(J386:L386)=3,ROUND(AVERAGE(J386:L386),6),"")</f>
        <v/>
      </c>
      <c r="O386">
        <f>IF(AND(ISNUMBER('자료_미국심리'!$A370),ISNUMBER('자료_미국심리'!$B370)),'자료_미국심리'!$A370,"")</f>
        <v/>
      </c>
      <c r="P386">
        <f>IF(AND(ISNUMBER('자료_미국심리'!$D370),ISNUMBER('자료_미국심리'!$E370)),'자료_미국심리'!$D370,"")</f>
        <v/>
      </c>
      <c r="Q386">
        <f>IF(AND(ISNUMBER('자료_미국심리'!$G370),ISNUMBER('자료_미국심리'!$H370)),'자료_미국심리'!$G370,"")</f>
        <v/>
      </c>
    </row>
    <row r="387">
      <c r="A387" s="10">
        <f>IF(369&gt;$E$5,"",SMALL($O$19:$O$4018,$E$6+369))</f>
        <v/>
      </c>
      <c r="B387" s="29">
        <f>IF(A387="","",INDEX('자료_미국심리'!$B$3:$B$4002,MATCH(A387,$O$19:$O$4018,0)))</f>
        <v/>
      </c>
      <c r="C387" s="22">
        <f>IF(A387="","",B387/AVERAGE(B263:B387)-1)</f>
        <v/>
      </c>
      <c r="D387" s="29">
        <f>IF(A387="","",IFERROR(INDEX('자료_미국심리'!$E$3:$E$4002,MATCH(A387,$P$19:$P$4018,0)),D386))</f>
        <v/>
      </c>
      <c r="E387" s="29">
        <f>IF(A387="","",IFERROR(INDEX('자료_미국심리'!$H$3:$H$4002,MATCH(A387,$Q$19:$Q$4018,0)),E386))</f>
        <v/>
      </c>
      <c r="F387">
        <f>IF(A387="",0,IF(A387&gt;$B$5,1,0))</f>
        <v/>
      </c>
      <c r="G387" s="29">
        <f>IF(AND(F387=1,ISNUMBER(D387)),D387,"")</f>
        <v/>
      </c>
      <c r="H387" s="29">
        <f>IF(AND(F387=1,ISNUMBER(E387)),E387,"")</f>
        <v/>
      </c>
      <c r="I387" s="22">
        <f>IF(AND(F387=1,ISNUMBER(C387)),C387,"")</f>
        <v/>
      </c>
      <c r="J387" s="11">
        <f>IF(G387="","",100-IF($G$13=1,50,(_xlfn.RANK.AVG(G387,$G$19:$G$1518,1)-1)/($G$13-1)*100))</f>
        <v/>
      </c>
      <c r="K387" s="11">
        <f>IF(H387="","",100-IF($G$14=1,50,(_xlfn.RANK.AVG(H387,$H$19:$H$1518,1)-1)/($G$14-1)*100))</f>
        <v/>
      </c>
      <c r="L387" s="11">
        <f>IF(I387="","",IF($G$15=1,50,(_xlfn.RANK.AVG(I387,$I$19:$I$1518,1)-1)/($G$15-1)*100))</f>
        <v/>
      </c>
      <c r="M387" s="11">
        <f>IF(COUNT(J387:L387)=3,ROUND(AVERAGE(J387:L387),6),"")</f>
        <v/>
      </c>
      <c r="O387">
        <f>IF(AND(ISNUMBER('자료_미국심리'!$A371),ISNUMBER('자료_미국심리'!$B371)),'자료_미국심리'!$A371,"")</f>
        <v/>
      </c>
      <c r="P387">
        <f>IF(AND(ISNUMBER('자료_미국심리'!$D371),ISNUMBER('자료_미국심리'!$E371)),'자료_미국심리'!$D371,"")</f>
        <v/>
      </c>
      <c r="Q387">
        <f>IF(AND(ISNUMBER('자료_미국심리'!$G371),ISNUMBER('자료_미국심리'!$H371)),'자료_미국심리'!$G371,"")</f>
        <v/>
      </c>
    </row>
    <row r="388">
      <c r="A388" s="10">
        <f>IF(370&gt;$E$5,"",SMALL($O$19:$O$4018,$E$6+370))</f>
        <v/>
      </c>
      <c r="B388" s="29">
        <f>IF(A388="","",INDEX('자료_미국심리'!$B$3:$B$4002,MATCH(A388,$O$19:$O$4018,0)))</f>
        <v/>
      </c>
      <c r="C388" s="22">
        <f>IF(A388="","",B388/AVERAGE(B264:B388)-1)</f>
        <v/>
      </c>
      <c r="D388" s="29">
        <f>IF(A388="","",IFERROR(INDEX('자료_미국심리'!$E$3:$E$4002,MATCH(A388,$P$19:$P$4018,0)),D387))</f>
        <v/>
      </c>
      <c r="E388" s="29">
        <f>IF(A388="","",IFERROR(INDEX('자료_미국심리'!$H$3:$H$4002,MATCH(A388,$Q$19:$Q$4018,0)),E387))</f>
        <v/>
      </c>
      <c r="F388">
        <f>IF(A388="",0,IF(A388&gt;$B$5,1,0))</f>
        <v/>
      </c>
      <c r="G388" s="29">
        <f>IF(AND(F388=1,ISNUMBER(D388)),D388,"")</f>
        <v/>
      </c>
      <c r="H388" s="29">
        <f>IF(AND(F388=1,ISNUMBER(E388)),E388,"")</f>
        <v/>
      </c>
      <c r="I388" s="22">
        <f>IF(AND(F388=1,ISNUMBER(C388)),C388,"")</f>
        <v/>
      </c>
      <c r="J388" s="11">
        <f>IF(G388="","",100-IF($G$13=1,50,(_xlfn.RANK.AVG(G388,$G$19:$G$1518,1)-1)/($G$13-1)*100))</f>
        <v/>
      </c>
      <c r="K388" s="11">
        <f>IF(H388="","",100-IF($G$14=1,50,(_xlfn.RANK.AVG(H388,$H$19:$H$1518,1)-1)/($G$14-1)*100))</f>
        <v/>
      </c>
      <c r="L388" s="11">
        <f>IF(I388="","",IF($G$15=1,50,(_xlfn.RANK.AVG(I388,$I$19:$I$1518,1)-1)/($G$15-1)*100))</f>
        <v/>
      </c>
      <c r="M388" s="11">
        <f>IF(COUNT(J388:L388)=3,ROUND(AVERAGE(J388:L388),6),"")</f>
        <v/>
      </c>
      <c r="O388">
        <f>IF(AND(ISNUMBER('자료_미국심리'!$A372),ISNUMBER('자료_미국심리'!$B372)),'자료_미국심리'!$A372,"")</f>
        <v/>
      </c>
      <c r="P388">
        <f>IF(AND(ISNUMBER('자료_미국심리'!$D372),ISNUMBER('자료_미국심리'!$E372)),'자료_미국심리'!$D372,"")</f>
        <v/>
      </c>
      <c r="Q388">
        <f>IF(AND(ISNUMBER('자료_미국심리'!$G372),ISNUMBER('자료_미국심리'!$H372)),'자료_미국심리'!$G372,"")</f>
        <v/>
      </c>
    </row>
    <row r="389">
      <c r="A389" s="10">
        <f>IF(371&gt;$E$5,"",SMALL($O$19:$O$4018,$E$6+371))</f>
        <v/>
      </c>
      <c r="B389" s="29">
        <f>IF(A389="","",INDEX('자료_미국심리'!$B$3:$B$4002,MATCH(A389,$O$19:$O$4018,0)))</f>
        <v/>
      </c>
      <c r="C389" s="22">
        <f>IF(A389="","",B389/AVERAGE(B265:B389)-1)</f>
        <v/>
      </c>
      <c r="D389" s="29">
        <f>IF(A389="","",IFERROR(INDEX('자료_미국심리'!$E$3:$E$4002,MATCH(A389,$P$19:$P$4018,0)),D388))</f>
        <v/>
      </c>
      <c r="E389" s="29">
        <f>IF(A389="","",IFERROR(INDEX('자료_미국심리'!$H$3:$H$4002,MATCH(A389,$Q$19:$Q$4018,0)),E388))</f>
        <v/>
      </c>
      <c r="F389">
        <f>IF(A389="",0,IF(A389&gt;$B$5,1,0))</f>
        <v/>
      </c>
      <c r="G389" s="29">
        <f>IF(AND(F389=1,ISNUMBER(D389)),D389,"")</f>
        <v/>
      </c>
      <c r="H389" s="29">
        <f>IF(AND(F389=1,ISNUMBER(E389)),E389,"")</f>
        <v/>
      </c>
      <c r="I389" s="22">
        <f>IF(AND(F389=1,ISNUMBER(C389)),C389,"")</f>
        <v/>
      </c>
      <c r="J389" s="11">
        <f>IF(G389="","",100-IF($G$13=1,50,(_xlfn.RANK.AVG(G389,$G$19:$G$1518,1)-1)/($G$13-1)*100))</f>
        <v/>
      </c>
      <c r="K389" s="11">
        <f>IF(H389="","",100-IF($G$14=1,50,(_xlfn.RANK.AVG(H389,$H$19:$H$1518,1)-1)/($G$14-1)*100))</f>
        <v/>
      </c>
      <c r="L389" s="11">
        <f>IF(I389="","",IF($G$15=1,50,(_xlfn.RANK.AVG(I389,$I$19:$I$1518,1)-1)/($G$15-1)*100))</f>
        <v/>
      </c>
      <c r="M389" s="11">
        <f>IF(COUNT(J389:L389)=3,ROUND(AVERAGE(J389:L389),6),"")</f>
        <v/>
      </c>
      <c r="O389">
        <f>IF(AND(ISNUMBER('자료_미국심리'!$A373),ISNUMBER('자료_미국심리'!$B373)),'자료_미국심리'!$A373,"")</f>
        <v/>
      </c>
      <c r="P389">
        <f>IF(AND(ISNUMBER('자료_미국심리'!$D373),ISNUMBER('자료_미국심리'!$E373)),'자료_미국심리'!$D373,"")</f>
        <v/>
      </c>
      <c r="Q389">
        <f>IF(AND(ISNUMBER('자료_미국심리'!$G373),ISNUMBER('자료_미국심리'!$H373)),'자료_미국심리'!$G373,"")</f>
        <v/>
      </c>
    </row>
    <row r="390">
      <c r="A390" s="10">
        <f>IF(372&gt;$E$5,"",SMALL($O$19:$O$4018,$E$6+372))</f>
        <v/>
      </c>
      <c r="B390" s="29">
        <f>IF(A390="","",INDEX('자료_미국심리'!$B$3:$B$4002,MATCH(A390,$O$19:$O$4018,0)))</f>
        <v/>
      </c>
      <c r="C390" s="22">
        <f>IF(A390="","",B390/AVERAGE(B266:B390)-1)</f>
        <v/>
      </c>
      <c r="D390" s="29">
        <f>IF(A390="","",IFERROR(INDEX('자료_미국심리'!$E$3:$E$4002,MATCH(A390,$P$19:$P$4018,0)),D389))</f>
        <v/>
      </c>
      <c r="E390" s="29">
        <f>IF(A390="","",IFERROR(INDEX('자료_미국심리'!$H$3:$H$4002,MATCH(A390,$Q$19:$Q$4018,0)),E389))</f>
        <v/>
      </c>
      <c r="F390">
        <f>IF(A390="",0,IF(A390&gt;$B$5,1,0))</f>
        <v/>
      </c>
      <c r="G390" s="29">
        <f>IF(AND(F390=1,ISNUMBER(D390)),D390,"")</f>
        <v/>
      </c>
      <c r="H390" s="29">
        <f>IF(AND(F390=1,ISNUMBER(E390)),E390,"")</f>
        <v/>
      </c>
      <c r="I390" s="22">
        <f>IF(AND(F390=1,ISNUMBER(C390)),C390,"")</f>
        <v/>
      </c>
      <c r="J390" s="11">
        <f>IF(G390="","",100-IF($G$13=1,50,(_xlfn.RANK.AVG(G390,$G$19:$G$1518,1)-1)/($G$13-1)*100))</f>
        <v/>
      </c>
      <c r="K390" s="11">
        <f>IF(H390="","",100-IF($G$14=1,50,(_xlfn.RANK.AVG(H390,$H$19:$H$1518,1)-1)/($G$14-1)*100))</f>
        <v/>
      </c>
      <c r="L390" s="11">
        <f>IF(I390="","",IF($G$15=1,50,(_xlfn.RANK.AVG(I390,$I$19:$I$1518,1)-1)/($G$15-1)*100))</f>
        <v/>
      </c>
      <c r="M390" s="11">
        <f>IF(COUNT(J390:L390)=3,ROUND(AVERAGE(J390:L390),6),"")</f>
        <v/>
      </c>
      <c r="O390">
        <f>IF(AND(ISNUMBER('자료_미국심리'!$A374),ISNUMBER('자료_미국심리'!$B374)),'자료_미국심리'!$A374,"")</f>
        <v/>
      </c>
      <c r="P390">
        <f>IF(AND(ISNUMBER('자료_미국심리'!$D374),ISNUMBER('자료_미국심리'!$E374)),'자료_미국심리'!$D374,"")</f>
        <v/>
      </c>
      <c r="Q390">
        <f>IF(AND(ISNUMBER('자료_미국심리'!$G374),ISNUMBER('자료_미국심리'!$H374)),'자료_미국심리'!$G374,"")</f>
        <v/>
      </c>
    </row>
    <row r="391">
      <c r="A391" s="10">
        <f>IF(373&gt;$E$5,"",SMALL($O$19:$O$4018,$E$6+373))</f>
        <v/>
      </c>
      <c r="B391" s="29">
        <f>IF(A391="","",INDEX('자료_미국심리'!$B$3:$B$4002,MATCH(A391,$O$19:$O$4018,0)))</f>
        <v/>
      </c>
      <c r="C391" s="22">
        <f>IF(A391="","",B391/AVERAGE(B267:B391)-1)</f>
        <v/>
      </c>
      <c r="D391" s="29">
        <f>IF(A391="","",IFERROR(INDEX('자료_미국심리'!$E$3:$E$4002,MATCH(A391,$P$19:$P$4018,0)),D390))</f>
        <v/>
      </c>
      <c r="E391" s="29">
        <f>IF(A391="","",IFERROR(INDEX('자료_미국심리'!$H$3:$H$4002,MATCH(A391,$Q$19:$Q$4018,0)),E390))</f>
        <v/>
      </c>
      <c r="F391">
        <f>IF(A391="",0,IF(A391&gt;$B$5,1,0))</f>
        <v/>
      </c>
      <c r="G391" s="29">
        <f>IF(AND(F391=1,ISNUMBER(D391)),D391,"")</f>
        <v/>
      </c>
      <c r="H391" s="29">
        <f>IF(AND(F391=1,ISNUMBER(E391)),E391,"")</f>
        <v/>
      </c>
      <c r="I391" s="22">
        <f>IF(AND(F391=1,ISNUMBER(C391)),C391,"")</f>
        <v/>
      </c>
      <c r="J391" s="11">
        <f>IF(G391="","",100-IF($G$13=1,50,(_xlfn.RANK.AVG(G391,$G$19:$G$1518,1)-1)/($G$13-1)*100))</f>
        <v/>
      </c>
      <c r="K391" s="11">
        <f>IF(H391="","",100-IF($G$14=1,50,(_xlfn.RANK.AVG(H391,$H$19:$H$1518,1)-1)/($G$14-1)*100))</f>
        <v/>
      </c>
      <c r="L391" s="11">
        <f>IF(I391="","",IF($G$15=1,50,(_xlfn.RANK.AVG(I391,$I$19:$I$1518,1)-1)/($G$15-1)*100))</f>
        <v/>
      </c>
      <c r="M391" s="11">
        <f>IF(COUNT(J391:L391)=3,ROUND(AVERAGE(J391:L391),6),"")</f>
        <v/>
      </c>
      <c r="O391">
        <f>IF(AND(ISNUMBER('자료_미국심리'!$A375),ISNUMBER('자료_미국심리'!$B375)),'자료_미국심리'!$A375,"")</f>
        <v/>
      </c>
      <c r="P391">
        <f>IF(AND(ISNUMBER('자료_미국심리'!$D375),ISNUMBER('자료_미국심리'!$E375)),'자료_미국심리'!$D375,"")</f>
        <v/>
      </c>
      <c r="Q391">
        <f>IF(AND(ISNUMBER('자료_미국심리'!$G375),ISNUMBER('자료_미국심리'!$H375)),'자료_미국심리'!$G375,"")</f>
        <v/>
      </c>
    </row>
    <row r="392">
      <c r="A392" s="10">
        <f>IF(374&gt;$E$5,"",SMALL($O$19:$O$4018,$E$6+374))</f>
        <v/>
      </c>
      <c r="B392" s="29">
        <f>IF(A392="","",INDEX('자료_미국심리'!$B$3:$B$4002,MATCH(A392,$O$19:$O$4018,0)))</f>
        <v/>
      </c>
      <c r="C392" s="22">
        <f>IF(A392="","",B392/AVERAGE(B268:B392)-1)</f>
        <v/>
      </c>
      <c r="D392" s="29">
        <f>IF(A392="","",IFERROR(INDEX('자료_미국심리'!$E$3:$E$4002,MATCH(A392,$P$19:$P$4018,0)),D391))</f>
        <v/>
      </c>
      <c r="E392" s="29">
        <f>IF(A392="","",IFERROR(INDEX('자료_미국심리'!$H$3:$H$4002,MATCH(A392,$Q$19:$Q$4018,0)),E391))</f>
        <v/>
      </c>
      <c r="F392">
        <f>IF(A392="",0,IF(A392&gt;$B$5,1,0))</f>
        <v/>
      </c>
      <c r="G392" s="29">
        <f>IF(AND(F392=1,ISNUMBER(D392)),D392,"")</f>
        <v/>
      </c>
      <c r="H392" s="29">
        <f>IF(AND(F392=1,ISNUMBER(E392)),E392,"")</f>
        <v/>
      </c>
      <c r="I392" s="22">
        <f>IF(AND(F392=1,ISNUMBER(C392)),C392,"")</f>
        <v/>
      </c>
      <c r="J392" s="11">
        <f>IF(G392="","",100-IF($G$13=1,50,(_xlfn.RANK.AVG(G392,$G$19:$G$1518,1)-1)/($G$13-1)*100))</f>
        <v/>
      </c>
      <c r="K392" s="11">
        <f>IF(H392="","",100-IF($G$14=1,50,(_xlfn.RANK.AVG(H392,$H$19:$H$1518,1)-1)/($G$14-1)*100))</f>
        <v/>
      </c>
      <c r="L392" s="11">
        <f>IF(I392="","",IF($G$15=1,50,(_xlfn.RANK.AVG(I392,$I$19:$I$1518,1)-1)/($G$15-1)*100))</f>
        <v/>
      </c>
      <c r="M392" s="11">
        <f>IF(COUNT(J392:L392)=3,ROUND(AVERAGE(J392:L392),6),"")</f>
        <v/>
      </c>
      <c r="O392">
        <f>IF(AND(ISNUMBER('자료_미국심리'!$A376),ISNUMBER('자료_미국심리'!$B376)),'자료_미국심리'!$A376,"")</f>
        <v/>
      </c>
      <c r="P392">
        <f>IF(AND(ISNUMBER('자료_미국심리'!$D376),ISNUMBER('자료_미국심리'!$E376)),'자료_미국심리'!$D376,"")</f>
        <v/>
      </c>
      <c r="Q392">
        <f>IF(AND(ISNUMBER('자료_미국심리'!$G376),ISNUMBER('자료_미국심리'!$H376)),'자료_미국심리'!$G376,"")</f>
        <v/>
      </c>
    </row>
    <row r="393">
      <c r="A393" s="10">
        <f>IF(375&gt;$E$5,"",SMALL($O$19:$O$4018,$E$6+375))</f>
        <v/>
      </c>
      <c r="B393" s="29">
        <f>IF(A393="","",INDEX('자료_미국심리'!$B$3:$B$4002,MATCH(A393,$O$19:$O$4018,0)))</f>
        <v/>
      </c>
      <c r="C393" s="22">
        <f>IF(A393="","",B393/AVERAGE(B269:B393)-1)</f>
        <v/>
      </c>
      <c r="D393" s="29">
        <f>IF(A393="","",IFERROR(INDEX('자료_미국심리'!$E$3:$E$4002,MATCH(A393,$P$19:$P$4018,0)),D392))</f>
        <v/>
      </c>
      <c r="E393" s="29">
        <f>IF(A393="","",IFERROR(INDEX('자료_미국심리'!$H$3:$H$4002,MATCH(A393,$Q$19:$Q$4018,0)),E392))</f>
        <v/>
      </c>
      <c r="F393">
        <f>IF(A393="",0,IF(A393&gt;$B$5,1,0))</f>
        <v/>
      </c>
      <c r="G393" s="29">
        <f>IF(AND(F393=1,ISNUMBER(D393)),D393,"")</f>
        <v/>
      </c>
      <c r="H393" s="29">
        <f>IF(AND(F393=1,ISNUMBER(E393)),E393,"")</f>
        <v/>
      </c>
      <c r="I393" s="22">
        <f>IF(AND(F393=1,ISNUMBER(C393)),C393,"")</f>
        <v/>
      </c>
      <c r="J393" s="11">
        <f>IF(G393="","",100-IF($G$13=1,50,(_xlfn.RANK.AVG(G393,$G$19:$G$1518,1)-1)/($G$13-1)*100))</f>
        <v/>
      </c>
      <c r="K393" s="11">
        <f>IF(H393="","",100-IF($G$14=1,50,(_xlfn.RANK.AVG(H393,$H$19:$H$1518,1)-1)/($G$14-1)*100))</f>
        <v/>
      </c>
      <c r="L393" s="11">
        <f>IF(I393="","",IF($G$15=1,50,(_xlfn.RANK.AVG(I393,$I$19:$I$1518,1)-1)/($G$15-1)*100))</f>
        <v/>
      </c>
      <c r="M393" s="11">
        <f>IF(COUNT(J393:L393)=3,ROUND(AVERAGE(J393:L393),6),"")</f>
        <v/>
      </c>
      <c r="O393">
        <f>IF(AND(ISNUMBER('자료_미국심리'!$A377),ISNUMBER('자료_미국심리'!$B377)),'자료_미국심리'!$A377,"")</f>
        <v/>
      </c>
      <c r="P393">
        <f>IF(AND(ISNUMBER('자료_미국심리'!$D377),ISNUMBER('자료_미국심리'!$E377)),'자료_미국심리'!$D377,"")</f>
        <v/>
      </c>
      <c r="Q393">
        <f>IF(AND(ISNUMBER('자료_미국심리'!$G377),ISNUMBER('자료_미국심리'!$H377)),'자료_미국심리'!$G377,"")</f>
        <v/>
      </c>
    </row>
    <row r="394">
      <c r="A394" s="10">
        <f>IF(376&gt;$E$5,"",SMALL($O$19:$O$4018,$E$6+376))</f>
        <v/>
      </c>
      <c r="B394" s="29">
        <f>IF(A394="","",INDEX('자료_미국심리'!$B$3:$B$4002,MATCH(A394,$O$19:$O$4018,0)))</f>
        <v/>
      </c>
      <c r="C394" s="22">
        <f>IF(A394="","",B394/AVERAGE(B270:B394)-1)</f>
        <v/>
      </c>
      <c r="D394" s="29">
        <f>IF(A394="","",IFERROR(INDEX('자료_미국심리'!$E$3:$E$4002,MATCH(A394,$P$19:$P$4018,0)),D393))</f>
        <v/>
      </c>
      <c r="E394" s="29">
        <f>IF(A394="","",IFERROR(INDEX('자료_미국심리'!$H$3:$H$4002,MATCH(A394,$Q$19:$Q$4018,0)),E393))</f>
        <v/>
      </c>
      <c r="F394">
        <f>IF(A394="",0,IF(A394&gt;$B$5,1,0))</f>
        <v/>
      </c>
      <c r="G394" s="29">
        <f>IF(AND(F394=1,ISNUMBER(D394)),D394,"")</f>
        <v/>
      </c>
      <c r="H394" s="29">
        <f>IF(AND(F394=1,ISNUMBER(E394)),E394,"")</f>
        <v/>
      </c>
      <c r="I394" s="22">
        <f>IF(AND(F394=1,ISNUMBER(C394)),C394,"")</f>
        <v/>
      </c>
      <c r="J394" s="11">
        <f>IF(G394="","",100-IF($G$13=1,50,(_xlfn.RANK.AVG(G394,$G$19:$G$1518,1)-1)/($G$13-1)*100))</f>
        <v/>
      </c>
      <c r="K394" s="11">
        <f>IF(H394="","",100-IF($G$14=1,50,(_xlfn.RANK.AVG(H394,$H$19:$H$1518,1)-1)/($G$14-1)*100))</f>
        <v/>
      </c>
      <c r="L394" s="11">
        <f>IF(I394="","",IF($G$15=1,50,(_xlfn.RANK.AVG(I394,$I$19:$I$1518,1)-1)/($G$15-1)*100))</f>
        <v/>
      </c>
      <c r="M394" s="11">
        <f>IF(COUNT(J394:L394)=3,ROUND(AVERAGE(J394:L394),6),"")</f>
        <v/>
      </c>
      <c r="O394">
        <f>IF(AND(ISNUMBER('자료_미국심리'!$A378),ISNUMBER('자료_미국심리'!$B378)),'자료_미국심리'!$A378,"")</f>
        <v/>
      </c>
      <c r="P394">
        <f>IF(AND(ISNUMBER('자료_미국심리'!$D378),ISNUMBER('자료_미국심리'!$E378)),'자료_미국심리'!$D378,"")</f>
        <v/>
      </c>
      <c r="Q394">
        <f>IF(AND(ISNUMBER('자료_미국심리'!$G378),ISNUMBER('자료_미국심리'!$H378)),'자료_미국심리'!$G378,"")</f>
        <v/>
      </c>
    </row>
    <row r="395">
      <c r="A395" s="10">
        <f>IF(377&gt;$E$5,"",SMALL($O$19:$O$4018,$E$6+377))</f>
        <v/>
      </c>
      <c r="B395" s="29">
        <f>IF(A395="","",INDEX('자료_미국심리'!$B$3:$B$4002,MATCH(A395,$O$19:$O$4018,0)))</f>
        <v/>
      </c>
      <c r="C395" s="22">
        <f>IF(A395="","",B395/AVERAGE(B271:B395)-1)</f>
        <v/>
      </c>
      <c r="D395" s="29">
        <f>IF(A395="","",IFERROR(INDEX('자료_미국심리'!$E$3:$E$4002,MATCH(A395,$P$19:$P$4018,0)),D394))</f>
        <v/>
      </c>
      <c r="E395" s="29">
        <f>IF(A395="","",IFERROR(INDEX('자료_미국심리'!$H$3:$H$4002,MATCH(A395,$Q$19:$Q$4018,0)),E394))</f>
        <v/>
      </c>
      <c r="F395">
        <f>IF(A395="",0,IF(A395&gt;$B$5,1,0))</f>
        <v/>
      </c>
      <c r="G395" s="29">
        <f>IF(AND(F395=1,ISNUMBER(D395)),D395,"")</f>
        <v/>
      </c>
      <c r="H395" s="29">
        <f>IF(AND(F395=1,ISNUMBER(E395)),E395,"")</f>
        <v/>
      </c>
      <c r="I395" s="22">
        <f>IF(AND(F395=1,ISNUMBER(C395)),C395,"")</f>
        <v/>
      </c>
      <c r="J395" s="11">
        <f>IF(G395="","",100-IF($G$13=1,50,(_xlfn.RANK.AVG(G395,$G$19:$G$1518,1)-1)/($G$13-1)*100))</f>
        <v/>
      </c>
      <c r="K395" s="11">
        <f>IF(H395="","",100-IF($G$14=1,50,(_xlfn.RANK.AVG(H395,$H$19:$H$1518,1)-1)/($G$14-1)*100))</f>
        <v/>
      </c>
      <c r="L395" s="11">
        <f>IF(I395="","",IF($G$15=1,50,(_xlfn.RANK.AVG(I395,$I$19:$I$1518,1)-1)/($G$15-1)*100))</f>
        <v/>
      </c>
      <c r="M395" s="11">
        <f>IF(COUNT(J395:L395)=3,ROUND(AVERAGE(J395:L395),6),"")</f>
        <v/>
      </c>
      <c r="O395">
        <f>IF(AND(ISNUMBER('자료_미국심리'!$A379),ISNUMBER('자료_미국심리'!$B379)),'자료_미국심리'!$A379,"")</f>
        <v/>
      </c>
      <c r="P395">
        <f>IF(AND(ISNUMBER('자료_미국심리'!$D379),ISNUMBER('자료_미국심리'!$E379)),'자료_미국심리'!$D379,"")</f>
        <v/>
      </c>
      <c r="Q395">
        <f>IF(AND(ISNUMBER('자료_미국심리'!$G379),ISNUMBER('자료_미국심리'!$H379)),'자료_미국심리'!$G379,"")</f>
        <v/>
      </c>
    </row>
    <row r="396">
      <c r="A396" s="10">
        <f>IF(378&gt;$E$5,"",SMALL($O$19:$O$4018,$E$6+378))</f>
        <v/>
      </c>
      <c r="B396" s="29">
        <f>IF(A396="","",INDEX('자료_미국심리'!$B$3:$B$4002,MATCH(A396,$O$19:$O$4018,0)))</f>
        <v/>
      </c>
      <c r="C396" s="22">
        <f>IF(A396="","",B396/AVERAGE(B272:B396)-1)</f>
        <v/>
      </c>
      <c r="D396" s="29">
        <f>IF(A396="","",IFERROR(INDEX('자료_미국심리'!$E$3:$E$4002,MATCH(A396,$P$19:$P$4018,0)),D395))</f>
        <v/>
      </c>
      <c r="E396" s="29">
        <f>IF(A396="","",IFERROR(INDEX('자료_미국심리'!$H$3:$H$4002,MATCH(A396,$Q$19:$Q$4018,0)),E395))</f>
        <v/>
      </c>
      <c r="F396">
        <f>IF(A396="",0,IF(A396&gt;$B$5,1,0))</f>
        <v/>
      </c>
      <c r="G396" s="29">
        <f>IF(AND(F396=1,ISNUMBER(D396)),D396,"")</f>
        <v/>
      </c>
      <c r="H396" s="29">
        <f>IF(AND(F396=1,ISNUMBER(E396)),E396,"")</f>
        <v/>
      </c>
      <c r="I396" s="22">
        <f>IF(AND(F396=1,ISNUMBER(C396)),C396,"")</f>
        <v/>
      </c>
      <c r="J396" s="11">
        <f>IF(G396="","",100-IF($G$13=1,50,(_xlfn.RANK.AVG(G396,$G$19:$G$1518,1)-1)/($G$13-1)*100))</f>
        <v/>
      </c>
      <c r="K396" s="11">
        <f>IF(H396="","",100-IF($G$14=1,50,(_xlfn.RANK.AVG(H396,$H$19:$H$1518,1)-1)/($G$14-1)*100))</f>
        <v/>
      </c>
      <c r="L396" s="11">
        <f>IF(I396="","",IF($G$15=1,50,(_xlfn.RANK.AVG(I396,$I$19:$I$1518,1)-1)/($G$15-1)*100))</f>
        <v/>
      </c>
      <c r="M396" s="11">
        <f>IF(COUNT(J396:L396)=3,ROUND(AVERAGE(J396:L396),6),"")</f>
        <v/>
      </c>
      <c r="O396">
        <f>IF(AND(ISNUMBER('자료_미국심리'!$A380),ISNUMBER('자료_미국심리'!$B380)),'자료_미국심리'!$A380,"")</f>
        <v/>
      </c>
      <c r="P396">
        <f>IF(AND(ISNUMBER('자료_미국심리'!$D380),ISNUMBER('자료_미국심리'!$E380)),'자료_미국심리'!$D380,"")</f>
        <v/>
      </c>
      <c r="Q396">
        <f>IF(AND(ISNUMBER('자료_미국심리'!$G380),ISNUMBER('자료_미국심리'!$H380)),'자료_미국심리'!$G380,"")</f>
        <v/>
      </c>
    </row>
    <row r="397">
      <c r="A397" s="10">
        <f>IF(379&gt;$E$5,"",SMALL($O$19:$O$4018,$E$6+379))</f>
        <v/>
      </c>
      <c r="B397" s="29">
        <f>IF(A397="","",INDEX('자료_미국심리'!$B$3:$B$4002,MATCH(A397,$O$19:$O$4018,0)))</f>
        <v/>
      </c>
      <c r="C397" s="22">
        <f>IF(A397="","",B397/AVERAGE(B273:B397)-1)</f>
        <v/>
      </c>
      <c r="D397" s="29">
        <f>IF(A397="","",IFERROR(INDEX('자료_미국심리'!$E$3:$E$4002,MATCH(A397,$P$19:$P$4018,0)),D396))</f>
        <v/>
      </c>
      <c r="E397" s="29">
        <f>IF(A397="","",IFERROR(INDEX('자료_미국심리'!$H$3:$H$4002,MATCH(A397,$Q$19:$Q$4018,0)),E396))</f>
        <v/>
      </c>
      <c r="F397">
        <f>IF(A397="",0,IF(A397&gt;$B$5,1,0))</f>
        <v/>
      </c>
      <c r="G397" s="29">
        <f>IF(AND(F397=1,ISNUMBER(D397)),D397,"")</f>
        <v/>
      </c>
      <c r="H397" s="29">
        <f>IF(AND(F397=1,ISNUMBER(E397)),E397,"")</f>
        <v/>
      </c>
      <c r="I397" s="22">
        <f>IF(AND(F397=1,ISNUMBER(C397)),C397,"")</f>
        <v/>
      </c>
      <c r="J397" s="11">
        <f>IF(G397="","",100-IF($G$13=1,50,(_xlfn.RANK.AVG(G397,$G$19:$G$1518,1)-1)/($G$13-1)*100))</f>
        <v/>
      </c>
      <c r="K397" s="11">
        <f>IF(H397="","",100-IF($G$14=1,50,(_xlfn.RANK.AVG(H397,$H$19:$H$1518,1)-1)/($G$14-1)*100))</f>
        <v/>
      </c>
      <c r="L397" s="11">
        <f>IF(I397="","",IF($G$15=1,50,(_xlfn.RANK.AVG(I397,$I$19:$I$1518,1)-1)/($G$15-1)*100))</f>
        <v/>
      </c>
      <c r="M397" s="11">
        <f>IF(COUNT(J397:L397)=3,ROUND(AVERAGE(J397:L397),6),"")</f>
        <v/>
      </c>
      <c r="O397">
        <f>IF(AND(ISNUMBER('자료_미국심리'!$A381),ISNUMBER('자료_미국심리'!$B381)),'자료_미국심리'!$A381,"")</f>
        <v/>
      </c>
      <c r="P397">
        <f>IF(AND(ISNUMBER('자료_미국심리'!$D381),ISNUMBER('자료_미국심리'!$E381)),'자료_미국심리'!$D381,"")</f>
        <v/>
      </c>
      <c r="Q397">
        <f>IF(AND(ISNUMBER('자료_미국심리'!$G381),ISNUMBER('자료_미국심리'!$H381)),'자료_미국심리'!$G381,"")</f>
        <v/>
      </c>
    </row>
    <row r="398">
      <c r="A398" s="10">
        <f>IF(380&gt;$E$5,"",SMALL($O$19:$O$4018,$E$6+380))</f>
        <v/>
      </c>
      <c r="B398" s="29">
        <f>IF(A398="","",INDEX('자료_미국심리'!$B$3:$B$4002,MATCH(A398,$O$19:$O$4018,0)))</f>
        <v/>
      </c>
      <c r="C398" s="22">
        <f>IF(A398="","",B398/AVERAGE(B274:B398)-1)</f>
        <v/>
      </c>
      <c r="D398" s="29">
        <f>IF(A398="","",IFERROR(INDEX('자료_미국심리'!$E$3:$E$4002,MATCH(A398,$P$19:$P$4018,0)),D397))</f>
        <v/>
      </c>
      <c r="E398" s="29">
        <f>IF(A398="","",IFERROR(INDEX('자료_미국심리'!$H$3:$H$4002,MATCH(A398,$Q$19:$Q$4018,0)),E397))</f>
        <v/>
      </c>
      <c r="F398">
        <f>IF(A398="",0,IF(A398&gt;$B$5,1,0))</f>
        <v/>
      </c>
      <c r="G398" s="29">
        <f>IF(AND(F398=1,ISNUMBER(D398)),D398,"")</f>
        <v/>
      </c>
      <c r="H398" s="29">
        <f>IF(AND(F398=1,ISNUMBER(E398)),E398,"")</f>
        <v/>
      </c>
      <c r="I398" s="22">
        <f>IF(AND(F398=1,ISNUMBER(C398)),C398,"")</f>
        <v/>
      </c>
      <c r="J398" s="11">
        <f>IF(G398="","",100-IF($G$13=1,50,(_xlfn.RANK.AVG(G398,$G$19:$G$1518,1)-1)/($G$13-1)*100))</f>
        <v/>
      </c>
      <c r="K398" s="11">
        <f>IF(H398="","",100-IF($G$14=1,50,(_xlfn.RANK.AVG(H398,$H$19:$H$1518,1)-1)/($G$14-1)*100))</f>
        <v/>
      </c>
      <c r="L398" s="11">
        <f>IF(I398="","",IF($G$15=1,50,(_xlfn.RANK.AVG(I398,$I$19:$I$1518,1)-1)/($G$15-1)*100))</f>
        <v/>
      </c>
      <c r="M398" s="11">
        <f>IF(COUNT(J398:L398)=3,ROUND(AVERAGE(J398:L398),6),"")</f>
        <v/>
      </c>
      <c r="O398">
        <f>IF(AND(ISNUMBER('자료_미국심리'!$A382),ISNUMBER('자료_미국심리'!$B382)),'자료_미국심리'!$A382,"")</f>
        <v/>
      </c>
      <c r="P398">
        <f>IF(AND(ISNUMBER('자료_미국심리'!$D382),ISNUMBER('자료_미국심리'!$E382)),'자료_미국심리'!$D382,"")</f>
        <v/>
      </c>
      <c r="Q398">
        <f>IF(AND(ISNUMBER('자료_미국심리'!$G382),ISNUMBER('자료_미국심리'!$H382)),'자료_미국심리'!$G382,"")</f>
        <v/>
      </c>
    </row>
    <row r="399">
      <c r="A399" s="10">
        <f>IF(381&gt;$E$5,"",SMALL($O$19:$O$4018,$E$6+381))</f>
        <v/>
      </c>
      <c r="B399" s="29">
        <f>IF(A399="","",INDEX('자료_미국심리'!$B$3:$B$4002,MATCH(A399,$O$19:$O$4018,0)))</f>
        <v/>
      </c>
      <c r="C399" s="22">
        <f>IF(A399="","",B399/AVERAGE(B275:B399)-1)</f>
        <v/>
      </c>
      <c r="D399" s="29">
        <f>IF(A399="","",IFERROR(INDEX('자료_미국심리'!$E$3:$E$4002,MATCH(A399,$P$19:$P$4018,0)),D398))</f>
        <v/>
      </c>
      <c r="E399" s="29">
        <f>IF(A399="","",IFERROR(INDEX('자료_미국심리'!$H$3:$H$4002,MATCH(A399,$Q$19:$Q$4018,0)),E398))</f>
        <v/>
      </c>
      <c r="F399">
        <f>IF(A399="",0,IF(A399&gt;$B$5,1,0))</f>
        <v/>
      </c>
      <c r="G399" s="29">
        <f>IF(AND(F399=1,ISNUMBER(D399)),D399,"")</f>
        <v/>
      </c>
      <c r="H399" s="29">
        <f>IF(AND(F399=1,ISNUMBER(E399)),E399,"")</f>
        <v/>
      </c>
      <c r="I399" s="22">
        <f>IF(AND(F399=1,ISNUMBER(C399)),C399,"")</f>
        <v/>
      </c>
      <c r="J399" s="11">
        <f>IF(G399="","",100-IF($G$13=1,50,(_xlfn.RANK.AVG(G399,$G$19:$G$1518,1)-1)/($G$13-1)*100))</f>
        <v/>
      </c>
      <c r="K399" s="11">
        <f>IF(H399="","",100-IF($G$14=1,50,(_xlfn.RANK.AVG(H399,$H$19:$H$1518,1)-1)/($G$14-1)*100))</f>
        <v/>
      </c>
      <c r="L399" s="11">
        <f>IF(I399="","",IF($G$15=1,50,(_xlfn.RANK.AVG(I399,$I$19:$I$1518,1)-1)/($G$15-1)*100))</f>
        <v/>
      </c>
      <c r="M399" s="11">
        <f>IF(COUNT(J399:L399)=3,ROUND(AVERAGE(J399:L399),6),"")</f>
        <v/>
      </c>
      <c r="O399">
        <f>IF(AND(ISNUMBER('자료_미국심리'!$A383),ISNUMBER('자료_미국심리'!$B383)),'자료_미국심리'!$A383,"")</f>
        <v/>
      </c>
      <c r="P399">
        <f>IF(AND(ISNUMBER('자료_미국심리'!$D383),ISNUMBER('자료_미국심리'!$E383)),'자료_미국심리'!$D383,"")</f>
        <v/>
      </c>
      <c r="Q399">
        <f>IF(AND(ISNUMBER('자료_미국심리'!$G383),ISNUMBER('자료_미국심리'!$H383)),'자료_미국심리'!$G383,"")</f>
        <v/>
      </c>
    </row>
    <row r="400">
      <c r="A400" s="10">
        <f>IF(382&gt;$E$5,"",SMALL($O$19:$O$4018,$E$6+382))</f>
        <v/>
      </c>
      <c r="B400" s="29">
        <f>IF(A400="","",INDEX('자료_미국심리'!$B$3:$B$4002,MATCH(A400,$O$19:$O$4018,0)))</f>
        <v/>
      </c>
      <c r="C400" s="22">
        <f>IF(A400="","",B400/AVERAGE(B276:B400)-1)</f>
        <v/>
      </c>
      <c r="D400" s="29">
        <f>IF(A400="","",IFERROR(INDEX('자료_미국심리'!$E$3:$E$4002,MATCH(A400,$P$19:$P$4018,0)),D399))</f>
        <v/>
      </c>
      <c r="E400" s="29">
        <f>IF(A400="","",IFERROR(INDEX('자료_미국심리'!$H$3:$H$4002,MATCH(A400,$Q$19:$Q$4018,0)),E399))</f>
        <v/>
      </c>
      <c r="F400">
        <f>IF(A400="",0,IF(A400&gt;$B$5,1,0))</f>
        <v/>
      </c>
      <c r="G400" s="29">
        <f>IF(AND(F400=1,ISNUMBER(D400)),D400,"")</f>
        <v/>
      </c>
      <c r="H400" s="29">
        <f>IF(AND(F400=1,ISNUMBER(E400)),E400,"")</f>
        <v/>
      </c>
      <c r="I400" s="22">
        <f>IF(AND(F400=1,ISNUMBER(C400)),C400,"")</f>
        <v/>
      </c>
      <c r="J400" s="11">
        <f>IF(G400="","",100-IF($G$13=1,50,(_xlfn.RANK.AVG(G400,$G$19:$G$1518,1)-1)/($G$13-1)*100))</f>
        <v/>
      </c>
      <c r="K400" s="11">
        <f>IF(H400="","",100-IF($G$14=1,50,(_xlfn.RANK.AVG(H400,$H$19:$H$1518,1)-1)/($G$14-1)*100))</f>
        <v/>
      </c>
      <c r="L400" s="11">
        <f>IF(I400="","",IF($G$15=1,50,(_xlfn.RANK.AVG(I400,$I$19:$I$1518,1)-1)/($G$15-1)*100))</f>
        <v/>
      </c>
      <c r="M400" s="11">
        <f>IF(COUNT(J400:L400)=3,ROUND(AVERAGE(J400:L400),6),"")</f>
        <v/>
      </c>
      <c r="O400">
        <f>IF(AND(ISNUMBER('자료_미국심리'!$A384),ISNUMBER('자료_미국심리'!$B384)),'자료_미국심리'!$A384,"")</f>
        <v/>
      </c>
      <c r="P400">
        <f>IF(AND(ISNUMBER('자료_미국심리'!$D384),ISNUMBER('자료_미국심리'!$E384)),'자료_미국심리'!$D384,"")</f>
        <v/>
      </c>
      <c r="Q400">
        <f>IF(AND(ISNUMBER('자료_미국심리'!$G384),ISNUMBER('자료_미국심리'!$H384)),'자료_미국심리'!$G384,"")</f>
        <v/>
      </c>
    </row>
    <row r="401">
      <c r="A401" s="10">
        <f>IF(383&gt;$E$5,"",SMALL($O$19:$O$4018,$E$6+383))</f>
        <v/>
      </c>
      <c r="B401" s="29">
        <f>IF(A401="","",INDEX('자료_미국심리'!$B$3:$B$4002,MATCH(A401,$O$19:$O$4018,0)))</f>
        <v/>
      </c>
      <c r="C401" s="22">
        <f>IF(A401="","",B401/AVERAGE(B277:B401)-1)</f>
        <v/>
      </c>
      <c r="D401" s="29">
        <f>IF(A401="","",IFERROR(INDEX('자료_미국심리'!$E$3:$E$4002,MATCH(A401,$P$19:$P$4018,0)),D400))</f>
        <v/>
      </c>
      <c r="E401" s="29">
        <f>IF(A401="","",IFERROR(INDEX('자료_미국심리'!$H$3:$H$4002,MATCH(A401,$Q$19:$Q$4018,0)),E400))</f>
        <v/>
      </c>
      <c r="F401">
        <f>IF(A401="",0,IF(A401&gt;$B$5,1,0))</f>
        <v/>
      </c>
      <c r="G401" s="29">
        <f>IF(AND(F401=1,ISNUMBER(D401)),D401,"")</f>
        <v/>
      </c>
      <c r="H401" s="29">
        <f>IF(AND(F401=1,ISNUMBER(E401)),E401,"")</f>
        <v/>
      </c>
      <c r="I401" s="22">
        <f>IF(AND(F401=1,ISNUMBER(C401)),C401,"")</f>
        <v/>
      </c>
      <c r="J401" s="11">
        <f>IF(G401="","",100-IF($G$13=1,50,(_xlfn.RANK.AVG(G401,$G$19:$G$1518,1)-1)/($G$13-1)*100))</f>
        <v/>
      </c>
      <c r="K401" s="11">
        <f>IF(H401="","",100-IF($G$14=1,50,(_xlfn.RANK.AVG(H401,$H$19:$H$1518,1)-1)/($G$14-1)*100))</f>
        <v/>
      </c>
      <c r="L401" s="11">
        <f>IF(I401="","",IF($G$15=1,50,(_xlfn.RANK.AVG(I401,$I$19:$I$1518,1)-1)/($G$15-1)*100))</f>
        <v/>
      </c>
      <c r="M401" s="11">
        <f>IF(COUNT(J401:L401)=3,ROUND(AVERAGE(J401:L401),6),"")</f>
        <v/>
      </c>
      <c r="O401">
        <f>IF(AND(ISNUMBER('자료_미국심리'!$A385),ISNUMBER('자료_미국심리'!$B385)),'자료_미국심리'!$A385,"")</f>
        <v/>
      </c>
      <c r="P401">
        <f>IF(AND(ISNUMBER('자료_미국심리'!$D385),ISNUMBER('자료_미국심리'!$E385)),'자료_미국심리'!$D385,"")</f>
        <v/>
      </c>
      <c r="Q401">
        <f>IF(AND(ISNUMBER('자료_미국심리'!$G385),ISNUMBER('자료_미국심리'!$H385)),'자료_미국심리'!$G385,"")</f>
        <v/>
      </c>
    </row>
    <row r="402">
      <c r="A402" s="10">
        <f>IF(384&gt;$E$5,"",SMALL($O$19:$O$4018,$E$6+384))</f>
        <v/>
      </c>
      <c r="B402" s="29">
        <f>IF(A402="","",INDEX('자료_미국심리'!$B$3:$B$4002,MATCH(A402,$O$19:$O$4018,0)))</f>
        <v/>
      </c>
      <c r="C402" s="22">
        <f>IF(A402="","",B402/AVERAGE(B278:B402)-1)</f>
        <v/>
      </c>
      <c r="D402" s="29">
        <f>IF(A402="","",IFERROR(INDEX('자료_미국심리'!$E$3:$E$4002,MATCH(A402,$P$19:$P$4018,0)),D401))</f>
        <v/>
      </c>
      <c r="E402" s="29">
        <f>IF(A402="","",IFERROR(INDEX('자료_미국심리'!$H$3:$H$4002,MATCH(A402,$Q$19:$Q$4018,0)),E401))</f>
        <v/>
      </c>
      <c r="F402">
        <f>IF(A402="",0,IF(A402&gt;$B$5,1,0))</f>
        <v/>
      </c>
      <c r="G402" s="29">
        <f>IF(AND(F402=1,ISNUMBER(D402)),D402,"")</f>
        <v/>
      </c>
      <c r="H402" s="29">
        <f>IF(AND(F402=1,ISNUMBER(E402)),E402,"")</f>
        <v/>
      </c>
      <c r="I402" s="22">
        <f>IF(AND(F402=1,ISNUMBER(C402)),C402,"")</f>
        <v/>
      </c>
      <c r="J402" s="11">
        <f>IF(G402="","",100-IF($G$13=1,50,(_xlfn.RANK.AVG(G402,$G$19:$G$1518,1)-1)/($G$13-1)*100))</f>
        <v/>
      </c>
      <c r="K402" s="11">
        <f>IF(H402="","",100-IF($G$14=1,50,(_xlfn.RANK.AVG(H402,$H$19:$H$1518,1)-1)/($G$14-1)*100))</f>
        <v/>
      </c>
      <c r="L402" s="11">
        <f>IF(I402="","",IF($G$15=1,50,(_xlfn.RANK.AVG(I402,$I$19:$I$1518,1)-1)/($G$15-1)*100))</f>
        <v/>
      </c>
      <c r="M402" s="11">
        <f>IF(COUNT(J402:L402)=3,ROUND(AVERAGE(J402:L402),6),"")</f>
        <v/>
      </c>
      <c r="O402">
        <f>IF(AND(ISNUMBER('자료_미국심리'!$A386),ISNUMBER('자료_미국심리'!$B386)),'자료_미국심리'!$A386,"")</f>
        <v/>
      </c>
      <c r="P402">
        <f>IF(AND(ISNUMBER('자료_미국심리'!$D386),ISNUMBER('자료_미국심리'!$E386)),'자료_미국심리'!$D386,"")</f>
        <v/>
      </c>
      <c r="Q402">
        <f>IF(AND(ISNUMBER('자료_미국심리'!$G386),ISNUMBER('자료_미국심리'!$H386)),'자료_미국심리'!$G386,"")</f>
        <v/>
      </c>
    </row>
    <row r="403">
      <c r="A403" s="10">
        <f>IF(385&gt;$E$5,"",SMALL($O$19:$O$4018,$E$6+385))</f>
        <v/>
      </c>
      <c r="B403" s="29">
        <f>IF(A403="","",INDEX('자료_미국심리'!$B$3:$B$4002,MATCH(A403,$O$19:$O$4018,0)))</f>
        <v/>
      </c>
      <c r="C403" s="22">
        <f>IF(A403="","",B403/AVERAGE(B279:B403)-1)</f>
        <v/>
      </c>
      <c r="D403" s="29">
        <f>IF(A403="","",IFERROR(INDEX('자료_미국심리'!$E$3:$E$4002,MATCH(A403,$P$19:$P$4018,0)),D402))</f>
        <v/>
      </c>
      <c r="E403" s="29">
        <f>IF(A403="","",IFERROR(INDEX('자료_미국심리'!$H$3:$H$4002,MATCH(A403,$Q$19:$Q$4018,0)),E402))</f>
        <v/>
      </c>
      <c r="F403">
        <f>IF(A403="",0,IF(A403&gt;$B$5,1,0))</f>
        <v/>
      </c>
      <c r="G403" s="29">
        <f>IF(AND(F403=1,ISNUMBER(D403)),D403,"")</f>
        <v/>
      </c>
      <c r="H403" s="29">
        <f>IF(AND(F403=1,ISNUMBER(E403)),E403,"")</f>
        <v/>
      </c>
      <c r="I403" s="22">
        <f>IF(AND(F403=1,ISNUMBER(C403)),C403,"")</f>
        <v/>
      </c>
      <c r="J403" s="11">
        <f>IF(G403="","",100-IF($G$13=1,50,(_xlfn.RANK.AVG(G403,$G$19:$G$1518,1)-1)/($G$13-1)*100))</f>
        <v/>
      </c>
      <c r="K403" s="11">
        <f>IF(H403="","",100-IF($G$14=1,50,(_xlfn.RANK.AVG(H403,$H$19:$H$1518,1)-1)/($G$14-1)*100))</f>
        <v/>
      </c>
      <c r="L403" s="11">
        <f>IF(I403="","",IF($G$15=1,50,(_xlfn.RANK.AVG(I403,$I$19:$I$1518,1)-1)/($G$15-1)*100))</f>
        <v/>
      </c>
      <c r="M403" s="11">
        <f>IF(COUNT(J403:L403)=3,ROUND(AVERAGE(J403:L403),6),"")</f>
        <v/>
      </c>
      <c r="O403">
        <f>IF(AND(ISNUMBER('자료_미국심리'!$A387),ISNUMBER('자료_미국심리'!$B387)),'자료_미국심리'!$A387,"")</f>
        <v/>
      </c>
      <c r="P403">
        <f>IF(AND(ISNUMBER('자료_미국심리'!$D387),ISNUMBER('자료_미국심리'!$E387)),'자료_미국심리'!$D387,"")</f>
        <v/>
      </c>
      <c r="Q403">
        <f>IF(AND(ISNUMBER('자료_미국심리'!$G387),ISNUMBER('자료_미국심리'!$H387)),'자료_미국심리'!$G387,"")</f>
        <v/>
      </c>
    </row>
    <row r="404">
      <c r="A404" s="10">
        <f>IF(386&gt;$E$5,"",SMALL($O$19:$O$4018,$E$6+386))</f>
        <v/>
      </c>
      <c r="B404" s="29">
        <f>IF(A404="","",INDEX('자료_미국심리'!$B$3:$B$4002,MATCH(A404,$O$19:$O$4018,0)))</f>
        <v/>
      </c>
      <c r="C404" s="22">
        <f>IF(A404="","",B404/AVERAGE(B280:B404)-1)</f>
        <v/>
      </c>
      <c r="D404" s="29">
        <f>IF(A404="","",IFERROR(INDEX('자료_미국심리'!$E$3:$E$4002,MATCH(A404,$P$19:$P$4018,0)),D403))</f>
        <v/>
      </c>
      <c r="E404" s="29">
        <f>IF(A404="","",IFERROR(INDEX('자료_미국심리'!$H$3:$H$4002,MATCH(A404,$Q$19:$Q$4018,0)),E403))</f>
        <v/>
      </c>
      <c r="F404">
        <f>IF(A404="",0,IF(A404&gt;$B$5,1,0))</f>
        <v/>
      </c>
      <c r="G404" s="29">
        <f>IF(AND(F404=1,ISNUMBER(D404)),D404,"")</f>
        <v/>
      </c>
      <c r="H404" s="29">
        <f>IF(AND(F404=1,ISNUMBER(E404)),E404,"")</f>
        <v/>
      </c>
      <c r="I404" s="22">
        <f>IF(AND(F404=1,ISNUMBER(C404)),C404,"")</f>
        <v/>
      </c>
      <c r="J404" s="11">
        <f>IF(G404="","",100-IF($G$13=1,50,(_xlfn.RANK.AVG(G404,$G$19:$G$1518,1)-1)/($G$13-1)*100))</f>
        <v/>
      </c>
      <c r="K404" s="11">
        <f>IF(H404="","",100-IF($G$14=1,50,(_xlfn.RANK.AVG(H404,$H$19:$H$1518,1)-1)/($G$14-1)*100))</f>
        <v/>
      </c>
      <c r="L404" s="11">
        <f>IF(I404="","",IF($G$15=1,50,(_xlfn.RANK.AVG(I404,$I$19:$I$1518,1)-1)/($G$15-1)*100))</f>
        <v/>
      </c>
      <c r="M404" s="11">
        <f>IF(COUNT(J404:L404)=3,ROUND(AVERAGE(J404:L404),6),"")</f>
        <v/>
      </c>
      <c r="O404">
        <f>IF(AND(ISNUMBER('자료_미국심리'!$A388),ISNUMBER('자료_미국심리'!$B388)),'자료_미국심리'!$A388,"")</f>
        <v/>
      </c>
      <c r="P404">
        <f>IF(AND(ISNUMBER('자료_미국심리'!$D388),ISNUMBER('자료_미국심리'!$E388)),'자료_미국심리'!$D388,"")</f>
        <v/>
      </c>
      <c r="Q404">
        <f>IF(AND(ISNUMBER('자료_미국심리'!$G388),ISNUMBER('자료_미국심리'!$H388)),'자료_미국심리'!$G388,"")</f>
        <v/>
      </c>
    </row>
    <row r="405">
      <c r="A405" s="10">
        <f>IF(387&gt;$E$5,"",SMALL($O$19:$O$4018,$E$6+387))</f>
        <v/>
      </c>
      <c r="B405" s="29">
        <f>IF(A405="","",INDEX('자료_미국심리'!$B$3:$B$4002,MATCH(A405,$O$19:$O$4018,0)))</f>
        <v/>
      </c>
      <c r="C405" s="22">
        <f>IF(A405="","",B405/AVERAGE(B281:B405)-1)</f>
        <v/>
      </c>
      <c r="D405" s="29">
        <f>IF(A405="","",IFERROR(INDEX('자료_미국심리'!$E$3:$E$4002,MATCH(A405,$P$19:$P$4018,0)),D404))</f>
        <v/>
      </c>
      <c r="E405" s="29">
        <f>IF(A405="","",IFERROR(INDEX('자료_미국심리'!$H$3:$H$4002,MATCH(A405,$Q$19:$Q$4018,0)),E404))</f>
        <v/>
      </c>
      <c r="F405">
        <f>IF(A405="",0,IF(A405&gt;$B$5,1,0))</f>
        <v/>
      </c>
      <c r="G405" s="29">
        <f>IF(AND(F405=1,ISNUMBER(D405)),D405,"")</f>
        <v/>
      </c>
      <c r="H405" s="29">
        <f>IF(AND(F405=1,ISNUMBER(E405)),E405,"")</f>
        <v/>
      </c>
      <c r="I405" s="22">
        <f>IF(AND(F405=1,ISNUMBER(C405)),C405,"")</f>
        <v/>
      </c>
      <c r="J405" s="11">
        <f>IF(G405="","",100-IF($G$13=1,50,(_xlfn.RANK.AVG(G405,$G$19:$G$1518,1)-1)/($G$13-1)*100))</f>
        <v/>
      </c>
      <c r="K405" s="11">
        <f>IF(H405="","",100-IF($G$14=1,50,(_xlfn.RANK.AVG(H405,$H$19:$H$1518,1)-1)/($G$14-1)*100))</f>
        <v/>
      </c>
      <c r="L405" s="11">
        <f>IF(I405="","",IF($G$15=1,50,(_xlfn.RANK.AVG(I405,$I$19:$I$1518,1)-1)/($G$15-1)*100))</f>
        <v/>
      </c>
      <c r="M405" s="11">
        <f>IF(COUNT(J405:L405)=3,ROUND(AVERAGE(J405:L405),6),"")</f>
        <v/>
      </c>
      <c r="O405">
        <f>IF(AND(ISNUMBER('자료_미국심리'!$A389),ISNUMBER('자료_미국심리'!$B389)),'자료_미국심리'!$A389,"")</f>
        <v/>
      </c>
      <c r="P405">
        <f>IF(AND(ISNUMBER('자료_미국심리'!$D389),ISNUMBER('자료_미국심리'!$E389)),'자료_미국심리'!$D389,"")</f>
        <v/>
      </c>
      <c r="Q405">
        <f>IF(AND(ISNUMBER('자료_미국심리'!$G389),ISNUMBER('자료_미국심리'!$H389)),'자료_미국심리'!$G389,"")</f>
        <v/>
      </c>
    </row>
    <row r="406">
      <c r="A406" s="10">
        <f>IF(388&gt;$E$5,"",SMALL($O$19:$O$4018,$E$6+388))</f>
        <v/>
      </c>
      <c r="B406" s="29">
        <f>IF(A406="","",INDEX('자료_미국심리'!$B$3:$B$4002,MATCH(A406,$O$19:$O$4018,0)))</f>
        <v/>
      </c>
      <c r="C406" s="22">
        <f>IF(A406="","",B406/AVERAGE(B282:B406)-1)</f>
        <v/>
      </c>
      <c r="D406" s="29">
        <f>IF(A406="","",IFERROR(INDEX('자료_미국심리'!$E$3:$E$4002,MATCH(A406,$P$19:$P$4018,0)),D405))</f>
        <v/>
      </c>
      <c r="E406" s="29">
        <f>IF(A406="","",IFERROR(INDEX('자료_미국심리'!$H$3:$H$4002,MATCH(A406,$Q$19:$Q$4018,0)),E405))</f>
        <v/>
      </c>
      <c r="F406">
        <f>IF(A406="",0,IF(A406&gt;$B$5,1,0))</f>
        <v/>
      </c>
      <c r="G406" s="29">
        <f>IF(AND(F406=1,ISNUMBER(D406)),D406,"")</f>
        <v/>
      </c>
      <c r="H406" s="29">
        <f>IF(AND(F406=1,ISNUMBER(E406)),E406,"")</f>
        <v/>
      </c>
      <c r="I406" s="22">
        <f>IF(AND(F406=1,ISNUMBER(C406)),C406,"")</f>
        <v/>
      </c>
      <c r="J406" s="11">
        <f>IF(G406="","",100-IF($G$13=1,50,(_xlfn.RANK.AVG(G406,$G$19:$G$1518,1)-1)/($G$13-1)*100))</f>
        <v/>
      </c>
      <c r="K406" s="11">
        <f>IF(H406="","",100-IF($G$14=1,50,(_xlfn.RANK.AVG(H406,$H$19:$H$1518,1)-1)/($G$14-1)*100))</f>
        <v/>
      </c>
      <c r="L406" s="11">
        <f>IF(I406="","",IF($G$15=1,50,(_xlfn.RANK.AVG(I406,$I$19:$I$1518,1)-1)/($G$15-1)*100))</f>
        <v/>
      </c>
      <c r="M406" s="11">
        <f>IF(COUNT(J406:L406)=3,ROUND(AVERAGE(J406:L406),6),"")</f>
        <v/>
      </c>
      <c r="O406">
        <f>IF(AND(ISNUMBER('자료_미국심리'!$A390),ISNUMBER('자료_미국심리'!$B390)),'자료_미국심리'!$A390,"")</f>
        <v/>
      </c>
      <c r="P406">
        <f>IF(AND(ISNUMBER('자료_미국심리'!$D390),ISNUMBER('자료_미국심리'!$E390)),'자료_미국심리'!$D390,"")</f>
        <v/>
      </c>
      <c r="Q406">
        <f>IF(AND(ISNUMBER('자료_미국심리'!$G390),ISNUMBER('자료_미국심리'!$H390)),'자료_미국심리'!$G390,"")</f>
        <v/>
      </c>
    </row>
    <row r="407">
      <c r="A407" s="10">
        <f>IF(389&gt;$E$5,"",SMALL($O$19:$O$4018,$E$6+389))</f>
        <v/>
      </c>
      <c r="B407" s="29">
        <f>IF(A407="","",INDEX('자료_미국심리'!$B$3:$B$4002,MATCH(A407,$O$19:$O$4018,0)))</f>
        <v/>
      </c>
      <c r="C407" s="22">
        <f>IF(A407="","",B407/AVERAGE(B283:B407)-1)</f>
        <v/>
      </c>
      <c r="D407" s="29">
        <f>IF(A407="","",IFERROR(INDEX('자료_미국심리'!$E$3:$E$4002,MATCH(A407,$P$19:$P$4018,0)),D406))</f>
        <v/>
      </c>
      <c r="E407" s="29">
        <f>IF(A407="","",IFERROR(INDEX('자료_미국심리'!$H$3:$H$4002,MATCH(A407,$Q$19:$Q$4018,0)),E406))</f>
        <v/>
      </c>
      <c r="F407">
        <f>IF(A407="",0,IF(A407&gt;$B$5,1,0))</f>
        <v/>
      </c>
      <c r="G407" s="29">
        <f>IF(AND(F407=1,ISNUMBER(D407)),D407,"")</f>
        <v/>
      </c>
      <c r="H407" s="29">
        <f>IF(AND(F407=1,ISNUMBER(E407)),E407,"")</f>
        <v/>
      </c>
      <c r="I407" s="22">
        <f>IF(AND(F407=1,ISNUMBER(C407)),C407,"")</f>
        <v/>
      </c>
      <c r="J407" s="11">
        <f>IF(G407="","",100-IF($G$13=1,50,(_xlfn.RANK.AVG(G407,$G$19:$G$1518,1)-1)/($G$13-1)*100))</f>
        <v/>
      </c>
      <c r="K407" s="11">
        <f>IF(H407="","",100-IF($G$14=1,50,(_xlfn.RANK.AVG(H407,$H$19:$H$1518,1)-1)/($G$14-1)*100))</f>
        <v/>
      </c>
      <c r="L407" s="11">
        <f>IF(I407="","",IF($G$15=1,50,(_xlfn.RANK.AVG(I407,$I$19:$I$1518,1)-1)/($G$15-1)*100))</f>
        <v/>
      </c>
      <c r="M407" s="11">
        <f>IF(COUNT(J407:L407)=3,ROUND(AVERAGE(J407:L407),6),"")</f>
        <v/>
      </c>
      <c r="O407">
        <f>IF(AND(ISNUMBER('자료_미국심리'!$A391),ISNUMBER('자료_미국심리'!$B391)),'자료_미국심리'!$A391,"")</f>
        <v/>
      </c>
      <c r="P407">
        <f>IF(AND(ISNUMBER('자료_미국심리'!$D391),ISNUMBER('자료_미국심리'!$E391)),'자료_미국심리'!$D391,"")</f>
        <v/>
      </c>
      <c r="Q407">
        <f>IF(AND(ISNUMBER('자료_미국심리'!$G391),ISNUMBER('자료_미국심리'!$H391)),'자료_미국심리'!$G391,"")</f>
        <v/>
      </c>
    </row>
    <row r="408">
      <c r="A408" s="10">
        <f>IF(390&gt;$E$5,"",SMALL($O$19:$O$4018,$E$6+390))</f>
        <v/>
      </c>
      <c r="B408" s="29">
        <f>IF(A408="","",INDEX('자료_미국심리'!$B$3:$B$4002,MATCH(A408,$O$19:$O$4018,0)))</f>
        <v/>
      </c>
      <c r="C408" s="22">
        <f>IF(A408="","",B408/AVERAGE(B284:B408)-1)</f>
        <v/>
      </c>
      <c r="D408" s="29">
        <f>IF(A408="","",IFERROR(INDEX('자료_미국심리'!$E$3:$E$4002,MATCH(A408,$P$19:$P$4018,0)),D407))</f>
        <v/>
      </c>
      <c r="E408" s="29">
        <f>IF(A408="","",IFERROR(INDEX('자료_미국심리'!$H$3:$H$4002,MATCH(A408,$Q$19:$Q$4018,0)),E407))</f>
        <v/>
      </c>
      <c r="F408">
        <f>IF(A408="",0,IF(A408&gt;$B$5,1,0))</f>
        <v/>
      </c>
      <c r="G408" s="29">
        <f>IF(AND(F408=1,ISNUMBER(D408)),D408,"")</f>
        <v/>
      </c>
      <c r="H408" s="29">
        <f>IF(AND(F408=1,ISNUMBER(E408)),E408,"")</f>
        <v/>
      </c>
      <c r="I408" s="22">
        <f>IF(AND(F408=1,ISNUMBER(C408)),C408,"")</f>
        <v/>
      </c>
      <c r="J408" s="11">
        <f>IF(G408="","",100-IF($G$13=1,50,(_xlfn.RANK.AVG(G408,$G$19:$G$1518,1)-1)/($G$13-1)*100))</f>
        <v/>
      </c>
      <c r="K408" s="11">
        <f>IF(H408="","",100-IF($G$14=1,50,(_xlfn.RANK.AVG(H408,$H$19:$H$1518,1)-1)/($G$14-1)*100))</f>
        <v/>
      </c>
      <c r="L408" s="11">
        <f>IF(I408="","",IF($G$15=1,50,(_xlfn.RANK.AVG(I408,$I$19:$I$1518,1)-1)/($G$15-1)*100))</f>
        <v/>
      </c>
      <c r="M408" s="11">
        <f>IF(COUNT(J408:L408)=3,ROUND(AVERAGE(J408:L408),6),"")</f>
        <v/>
      </c>
      <c r="O408">
        <f>IF(AND(ISNUMBER('자료_미국심리'!$A392),ISNUMBER('자료_미국심리'!$B392)),'자료_미국심리'!$A392,"")</f>
        <v/>
      </c>
      <c r="P408">
        <f>IF(AND(ISNUMBER('자료_미국심리'!$D392),ISNUMBER('자료_미국심리'!$E392)),'자료_미국심리'!$D392,"")</f>
        <v/>
      </c>
      <c r="Q408">
        <f>IF(AND(ISNUMBER('자료_미국심리'!$G392),ISNUMBER('자료_미국심리'!$H392)),'자료_미국심리'!$G392,"")</f>
        <v/>
      </c>
    </row>
    <row r="409">
      <c r="A409" s="10">
        <f>IF(391&gt;$E$5,"",SMALL($O$19:$O$4018,$E$6+391))</f>
        <v/>
      </c>
      <c r="B409" s="29">
        <f>IF(A409="","",INDEX('자료_미국심리'!$B$3:$B$4002,MATCH(A409,$O$19:$O$4018,0)))</f>
        <v/>
      </c>
      <c r="C409" s="22">
        <f>IF(A409="","",B409/AVERAGE(B285:B409)-1)</f>
        <v/>
      </c>
      <c r="D409" s="29">
        <f>IF(A409="","",IFERROR(INDEX('자료_미국심리'!$E$3:$E$4002,MATCH(A409,$P$19:$P$4018,0)),D408))</f>
        <v/>
      </c>
      <c r="E409" s="29">
        <f>IF(A409="","",IFERROR(INDEX('자료_미국심리'!$H$3:$H$4002,MATCH(A409,$Q$19:$Q$4018,0)),E408))</f>
        <v/>
      </c>
      <c r="F409">
        <f>IF(A409="",0,IF(A409&gt;$B$5,1,0))</f>
        <v/>
      </c>
      <c r="G409" s="29">
        <f>IF(AND(F409=1,ISNUMBER(D409)),D409,"")</f>
        <v/>
      </c>
      <c r="H409" s="29">
        <f>IF(AND(F409=1,ISNUMBER(E409)),E409,"")</f>
        <v/>
      </c>
      <c r="I409" s="22">
        <f>IF(AND(F409=1,ISNUMBER(C409)),C409,"")</f>
        <v/>
      </c>
      <c r="J409" s="11">
        <f>IF(G409="","",100-IF($G$13=1,50,(_xlfn.RANK.AVG(G409,$G$19:$G$1518,1)-1)/($G$13-1)*100))</f>
        <v/>
      </c>
      <c r="K409" s="11">
        <f>IF(H409="","",100-IF($G$14=1,50,(_xlfn.RANK.AVG(H409,$H$19:$H$1518,1)-1)/($G$14-1)*100))</f>
        <v/>
      </c>
      <c r="L409" s="11">
        <f>IF(I409="","",IF($G$15=1,50,(_xlfn.RANK.AVG(I409,$I$19:$I$1518,1)-1)/($G$15-1)*100))</f>
        <v/>
      </c>
      <c r="M409" s="11">
        <f>IF(COUNT(J409:L409)=3,ROUND(AVERAGE(J409:L409),6),"")</f>
        <v/>
      </c>
      <c r="O409">
        <f>IF(AND(ISNUMBER('자료_미국심리'!$A393),ISNUMBER('자료_미국심리'!$B393)),'자료_미국심리'!$A393,"")</f>
        <v/>
      </c>
      <c r="P409">
        <f>IF(AND(ISNUMBER('자료_미국심리'!$D393),ISNUMBER('자료_미국심리'!$E393)),'자료_미국심리'!$D393,"")</f>
        <v/>
      </c>
      <c r="Q409">
        <f>IF(AND(ISNUMBER('자료_미국심리'!$G393),ISNUMBER('자료_미국심리'!$H393)),'자료_미국심리'!$G393,"")</f>
        <v/>
      </c>
    </row>
    <row r="410">
      <c r="A410" s="10">
        <f>IF(392&gt;$E$5,"",SMALL($O$19:$O$4018,$E$6+392))</f>
        <v/>
      </c>
      <c r="B410" s="29">
        <f>IF(A410="","",INDEX('자료_미국심리'!$B$3:$B$4002,MATCH(A410,$O$19:$O$4018,0)))</f>
        <v/>
      </c>
      <c r="C410" s="22">
        <f>IF(A410="","",B410/AVERAGE(B286:B410)-1)</f>
        <v/>
      </c>
      <c r="D410" s="29">
        <f>IF(A410="","",IFERROR(INDEX('자료_미국심리'!$E$3:$E$4002,MATCH(A410,$P$19:$P$4018,0)),D409))</f>
        <v/>
      </c>
      <c r="E410" s="29">
        <f>IF(A410="","",IFERROR(INDEX('자료_미국심리'!$H$3:$H$4002,MATCH(A410,$Q$19:$Q$4018,0)),E409))</f>
        <v/>
      </c>
      <c r="F410">
        <f>IF(A410="",0,IF(A410&gt;$B$5,1,0))</f>
        <v/>
      </c>
      <c r="G410" s="29">
        <f>IF(AND(F410=1,ISNUMBER(D410)),D410,"")</f>
        <v/>
      </c>
      <c r="H410" s="29">
        <f>IF(AND(F410=1,ISNUMBER(E410)),E410,"")</f>
        <v/>
      </c>
      <c r="I410" s="22">
        <f>IF(AND(F410=1,ISNUMBER(C410)),C410,"")</f>
        <v/>
      </c>
      <c r="J410" s="11">
        <f>IF(G410="","",100-IF($G$13=1,50,(_xlfn.RANK.AVG(G410,$G$19:$G$1518,1)-1)/($G$13-1)*100))</f>
        <v/>
      </c>
      <c r="K410" s="11">
        <f>IF(H410="","",100-IF($G$14=1,50,(_xlfn.RANK.AVG(H410,$H$19:$H$1518,1)-1)/($G$14-1)*100))</f>
        <v/>
      </c>
      <c r="L410" s="11">
        <f>IF(I410="","",IF($G$15=1,50,(_xlfn.RANK.AVG(I410,$I$19:$I$1518,1)-1)/($G$15-1)*100))</f>
        <v/>
      </c>
      <c r="M410" s="11">
        <f>IF(COUNT(J410:L410)=3,ROUND(AVERAGE(J410:L410),6),"")</f>
        <v/>
      </c>
      <c r="O410">
        <f>IF(AND(ISNUMBER('자료_미국심리'!$A394),ISNUMBER('자료_미국심리'!$B394)),'자료_미국심리'!$A394,"")</f>
        <v/>
      </c>
      <c r="P410">
        <f>IF(AND(ISNUMBER('자료_미국심리'!$D394),ISNUMBER('자료_미국심리'!$E394)),'자료_미국심리'!$D394,"")</f>
        <v/>
      </c>
      <c r="Q410">
        <f>IF(AND(ISNUMBER('자료_미국심리'!$G394),ISNUMBER('자료_미국심리'!$H394)),'자료_미국심리'!$G394,"")</f>
        <v/>
      </c>
    </row>
    <row r="411">
      <c r="A411" s="10">
        <f>IF(393&gt;$E$5,"",SMALL($O$19:$O$4018,$E$6+393))</f>
        <v/>
      </c>
      <c r="B411" s="29">
        <f>IF(A411="","",INDEX('자료_미국심리'!$B$3:$B$4002,MATCH(A411,$O$19:$O$4018,0)))</f>
        <v/>
      </c>
      <c r="C411" s="22">
        <f>IF(A411="","",B411/AVERAGE(B287:B411)-1)</f>
        <v/>
      </c>
      <c r="D411" s="29">
        <f>IF(A411="","",IFERROR(INDEX('자료_미국심리'!$E$3:$E$4002,MATCH(A411,$P$19:$P$4018,0)),D410))</f>
        <v/>
      </c>
      <c r="E411" s="29">
        <f>IF(A411="","",IFERROR(INDEX('자료_미국심리'!$H$3:$H$4002,MATCH(A411,$Q$19:$Q$4018,0)),E410))</f>
        <v/>
      </c>
      <c r="F411">
        <f>IF(A411="",0,IF(A411&gt;$B$5,1,0))</f>
        <v/>
      </c>
      <c r="G411" s="29">
        <f>IF(AND(F411=1,ISNUMBER(D411)),D411,"")</f>
        <v/>
      </c>
      <c r="H411" s="29">
        <f>IF(AND(F411=1,ISNUMBER(E411)),E411,"")</f>
        <v/>
      </c>
      <c r="I411" s="22">
        <f>IF(AND(F411=1,ISNUMBER(C411)),C411,"")</f>
        <v/>
      </c>
      <c r="J411" s="11">
        <f>IF(G411="","",100-IF($G$13=1,50,(_xlfn.RANK.AVG(G411,$G$19:$G$1518,1)-1)/($G$13-1)*100))</f>
        <v/>
      </c>
      <c r="K411" s="11">
        <f>IF(H411="","",100-IF($G$14=1,50,(_xlfn.RANK.AVG(H411,$H$19:$H$1518,1)-1)/($G$14-1)*100))</f>
        <v/>
      </c>
      <c r="L411" s="11">
        <f>IF(I411="","",IF($G$15=1,50,(_xlfn.RANK.AVG(I411,$I$19:$I$1518,1)-1)/($G$15-1)*100))</f>
        <v/>
      </c>
      <c r="M411" s="11">
        <f>IF(COUNT(J411:L411)=3,ROUND(AVERAGE(J411:L411),6),"")</f>
        <v/>
      </c>
      <c r="O411">
        <f>IF(AND(ISNUMBER('자료_미국심리'!$A395),ISNUMBER('자료_미국심리'!$B395)),'자료_미국심리'!$A395,"")</f>
        <v/>
      </c>
      <c r="P411">
        <f>IF(AND(ISNUMBER('자료_미국심리'!$D395),ISNUMBER('자료_미국심리'!$E395)),'자료_미국심리'!$D395,"")</f>
        <v/>
      </c>
      <c r="Q411">
        <f>IF(AND(ISNUMBER('자료_미국심리'!$G395),ISNUMBER('자료_미국심리'!$H395)),'자료_미국심리'!$G395,"")</f>
        <v/>
      </c>
    </row>
    <row r="412">
      <c r="A412" s="10">
        <f>IF(394&gt;$E$5,"",SMALL($O$19:$O$4018,$E$6+394))</f>
        <v/>
      </c>
      <c r="B412" s="29">
        <f>IF(A412="","",INDEX('자료_미국심리'!$B$3:$B$4002,MATCH(A412,$O$19:$O$4018,0)))</f>
        <v/>
      </c>
      <c r="C412" s="22">
        <f>IF(A412="","",B412/AVERAGE(B288:B412)-1)</f>
        <v/>
      </c>
      <c r="D412" s="29">
        <f>IF(A412="","",IFERROR(INDEX('자료_미국심리'!$E$3:$E$4002,MATCH(A412,$P$19:$P$4018,0)),D411))</f>
        <v/>
      </c>
      <c r="E412" s="29">
        <f>IF(A412="","",IFERROR(INDEX('자료_미국심리'!$H$3:$H$4002,MATCH(A412,$Q$19:$Q$4018,0)),E411))</f>
        <v/>
      </c>
      <c r="F412">
        <f>IF(A412="",0,IF(A412&gt;$B$5,1,0))</f>
        <v/>
      </c>
      <c r="G412" s="29">
        <f>IF(AND(F412=1,ISNUMBER(D412)),D412,"")</f>
        <v/>
      </c>
      <c r="H412" s="29">
        <f>IF(AND(F412=1,ISNUMBER(E412)),E412,"")</f>
        <v/>
      </c>
      <c r="I412" s="22">
        <f>IF(AND(F412=1,ISNUMBER(C412)),C412,"")</f>
        <v/>
      </c>
      <c r="J412" s="11">
        <f>IF(G412="","",100-IF($G$13=1,50,(_xlfn.RANK.AVG(G412,$G$19:$G$1518,1)-1)/($G$13-1)*100))</f>
        <v/>
      </c>
      <c r="K412" s="11">
        <f>IF(H412="","",100-IF($G$14=1,50,(_xlfn.RANK.AVG(H412,$H$19:$H$1518,1)-1)/($G$14-1)*100))</f>
        <v/>
      </c>
      <c r="L412" s="11">
        <f>IF(I412="","",IF($G$15=1,50,(_xlfn.RANK.AVG(I412,$I$19:$I$1518,1)-1)/($G$15-1)*100))</f>
        <v/>
      </c>
      <c r="M412" s="11">
        <f>IF(COUNT(J412:L412)=3,ROUND(AVERAGE(J412:L412),6),"")</f>
        <v/>
      </c>
      <c r="O412">
        <f>IF(AND(ISNUMBER('자료_미국심리'!$A396),ISNUMBER('자료_미국심리'!$B396)),'자료_미국심리'!$A396,"")</f>
        <v/>
      </c>
      <c r="P412">
        <f>IF(AND(ISNUMBER('자료_미국심리'!$D396),ISNUMBER('자료_미국심리'!$E396)),'자료_미국심리'!$D396,"")</f>
        <v/>
      </c>
      <c r="Q412">
        <f>IF(AND(ISNUMBER('자료_미국심리'!$G396),ISNUMBER('자료_미국심리'!$H396)),'자료_미국심리'!$G396,"")</f>
        <v/>
      </c>
    </row>
    <row r="413">
      <c r="A413" s="10">
        <f>IF(395&gt;$E$5,"",SMALL($O$19:$O$4018,$E$6+395))</f>
        <v/>
      </c>
      <c r="B413" s="29">
        <f>IF(A413="","",INDEX('자료_미국심리'!$B$3:$B$4002,MATCH(A413,$O$19:$O$4018,0)))</f>
        <v/>
      </c>
      <c r="C413" s="22">
        <f>IF(A413="","",B413/AVERAGE(B289:B413)-1)</f>
        <v/>
      </c>
      <c r="D413" s="29">
        <f>IF(A413="","",IFERROR(INDEX('자료_미국심리'!$E$3:$E$4002,MATCH(A413,$P$19:$P$4018,0)),D412))</f>
        <v/>
      </c>
      <c r="E413" s="29">
        <f>IF(A413="","",IFERROR(INDEX('자료_미국심리'!$H$3:$H$4002,MATCH(A413,$Q$19:$Q$4018,0)),E412))</f>
        <v/>
      </c>
      <c r="F413">
        <f>IF(A413="",0,IF(A413&gt;$B$5,1,0))</f>
        <v/>
      </c>
      <c r="G413" s="29">
        <f>IF(AND(F413=1,ISNUMBER(D413)),D413,"")</f>
        <v/>
      </c>
      <c r="H413" s="29">
        <f>IF(AND(F413=1,ISNUMBER(E413)),E413,"")</f>
        <v/>
      </c>
      <c r="I413" s="22">
        <f>IF(AND(F413=1,ISNUMBER(C413)),C413,"")</f>
        <v/>
      </c>
      <c r="J413" s="11">
        <f>IF(G413="","",100-IF($G$13=1,50,(_xlfn.RANK.AVG(G413,$G$19:$G$1518,1)-1)/($G$13-1)*100))</f>
        <v/>
      </c>
      <c r="K413" s="11">
        <f>IF(H413="","",100-IF($G$14=1,50,(_xlfn.RANK.AVG(H413,$H$19:$H$1518,1)-1)/($G$14-1)*100))</f>
        <v/>
      </c>
      <c r="L413" s="11">
        <f>IF(I413="","",IF($G$15=1,50,(_xlfn.RANK.AVG(I413,$I$19:$I$1518,1)-1)/($G$15-1)*100))</f>
        <v/>
      </c>
      <c r="M413" s="11">
        <f>IF(COUNT(J413:L413)=3,ROUND(AVERAGE(J413:L413),6),"")</f>
        <v/>
      </c>
      <c r="O413">
        <f>IF(AND(ISNUMBER('자료_미국심리'!$A397),ISNUMBER('자료_미국심리'!$B397)),'자료_미국심리'!$A397,"")</f>
        <v/>
      </c>
      <c r="P413">
        <f>IF(AND(ISNUMBER('자료_미국심리'!$D397),ISNUMBER('자료_미국심리'!$E397)),'자료_미국심리'!$D397,"")</f>
        <v/>
      </c>
      <c r="Q413">
        <f>IF(AND(ISNUMBER('자료_미국심리'!$G397),ISNUMBER('자료_미국심리'!$H397)),'자료_미국심리'!$G397,"")</f>
        <v/>
      </c>
    </row>
    <row r="414">
      <c r="A414" s="10">
        <f>IF(396&gt;$E$5,"",SMALL($O$19:$O$4018,$E$6+396))</f>
        <v/>
      </c>
      <c r="B414" s="29">
        <f>IF(A414="","",INDEX('자료_미국심리'!$B$3:$B$4002,MATCH(A414,$O$19:$O$4018,0)))</f>
        <v/>
      </c>
      <c r="C414" s="22">
        <f>IF(A414="","",B414/AVERAGE(B290:B414)-1)</f>
        <v/>
      </c>
      <c r="D414" s="29">
        <f>IF(A414="","",IFERROR(INDEX('자료_미국심리'!$E$3:$E$4002,MATCH(A414,$P$19:$P$4018,0)),D413))</f>
        <v/>
      </c>
      <c r="E414" s="29">
        <f>IF(A414="","",IFERROR(INDEX('자료_미국심리'!$H$3:$H$4002,MATCH(A414,$Q$19:$Q$4018,0)),E413))</f>
        <v/>
      </c>
      <c r="F414">
        <f>IF(A414="",0,IF(A414&gt;$B$5,1,0))</f>
        <v/>
      </c>
      <c r="G414" s="29">
        <f>IF(AND(F414=1,ISNUMBER(D414)),D414,"")</f>
        <v/>
      </c>
      <c r="H414" s="29">
        <f>IF(AND(F414=1,ISNUMBER(E414)),E414,"")</f>
        <v/>
      </c>
      <c r="I414" s="22">
        <f>IF(AND(F414=1,ISNUMBER(C414)),C414,"")</f>
        <v/>
      </c>
      <c r="J414" s="11">
        <f>IF(G414="","",100-IF($G$13=1,50,(_xlfn.RANK.AVG(G414,$G$19:$G$1518,1)-1)/($G$13-1)*100))</f>
        <v/>
      </c>
      <c r="K414" s="11">
        <f>IF(H414="","",100-IF($G$14=1,50,(_xlfn.RANK.AVG(H414,$H$19:$H$1518,1)-1)/($G$14-1)*100))</f>
        <v/>
      </c>
      <c r="L414" s="11">
        <f>IF(I414="","",IF($G$15=1,50,(_xlfn.RANK.AVG(I414,$I$19:$I$1518,1)-1)/($G$15-1)*100))</f>
        <v/>
      </c>
      <c r="M414" s="11">
        <f>IF(COUNT(J414:L414)=3,ROUND(AVERAGE(J414:L414),6),"")</f>
        <v/>
      </c>
      <c r="O414">
        <f>IF(AND(ISNUMBER('자료_미국심리'!$A398),ISNUMBER('자료_미국심리'!$B398)),'자료_미국심리'!$A398,"")</f>
        <v/>
      </c>
      <c r="P414">
        <f>IF(AND(ISNUMBER('자료_미국심리'!$D398),ISNUMBER('자료_미국심리'!$E398)),'자료_미국심리'!$D398,"")</f>
        <v/>
      </c>
      <c r="Q414">
        <f>IF(AND(ISNUMBER('자료_미국심리'!$G398),ISNUMBER('자료_미국심리'!$H398)),'자료_미국심리'!$G398,"")</f>
        <v/>
      </c>
    </row>
    <row r="415">
      <c r="A415" s="10">
        <f>IF(397&gt;$E$5,"",SMALL($O$19:$O$4018,$E$6+397))</f>
        <v/>
      </c>
      <c r="B415" s="29">
        <f>IF(A415="","",INDEX('자료_미국심리'!$B$3:$B$4002,MATCH(A415,$O$19:$O$4018,0)))</f>
        <v/>
      </c>
      <c r="C415" s="22">
        <f>IF(A415="","",B415/AVERAGE(B291:B415)-1)</f>
        <v/>
      </c>
      <c r="D415" s="29">
        <f>IF(A415="","",IFERROR(INDEX('자료_미국심리'!$E$3:$E$4002,MATCH(A415,$P$19:$P$4018,0)),D414))</f>
        <v/>
      </c>
      <c r="E415" s="29">
        <f>IF(A415="","",IFERROR(INDEX('자료_미국심리'!$H$3:$H$4002,MATCH(A415,$Q$19:$Q$4018,0)),E414))</f>
        <v/>
      </c>
      <c r="F415">
        <f>IF(A415="",0,IF(A415&gt;$B$5,1,0))</f>
        <v/>
      </c>
      <c r="G415" s="29">
        <f>IF(AND(F415=1,ISNUMBER(D415)),D415,"")</f>
        <v/>
      </c>
      <c r="H415" s="29">
        <f>IF(AND(F415=1,ISNUMBER(E415)),E415,"")</f>
        <v/>
      </c>
      <c r="I415" s="22">
        <f>IF(AND(F415=1,ISNUMBER(C415)),C415,"")</f>
        <v/>
      </c>
      <c r="J415" s="11">
        <f>IF(G415="","",100-IF($G$13=1,50,(_xlfn.RANK.AVG(G415,$G$19:$G$1518,1)-1)/($G$13-1)*100))</f>
        <v/>
      </c>
      <c r="K415" s="11">
        <f>IF(H415="","",100-IF($G$14=1,50,(_xlfn.RANK.AVG(H415,$H$19:$H$1518,1)-1)/($G$14-1)*100))</f>
        <v/>
      </c>
      <c r="L415" s="11">
        <f>IF(I415="","",IF($G$15=1,50,(_xlfn.RANK.AVG(I415,$I$19:$I$1518,1)-1)/($G$15-1)*100))</f>
        <v/>
      </c>
      <c r="M415" s="11">
        <f>IF(COUNT(J415:L415)=3,ROUND(AVERAGE(J415:L415),6),"")</f>
        <v/>
      </c>
      <c r="O415">
        <f>IF(AND(ISNUMBER('자료_미국심리'!$A399),ISNUMBER('자료_미국심리'!$B399)),'자료_미국심리'!$A399,"")</f>
        <v/>
      </c>
      <c r="P415">
        <f>IF(AND(ISNUMBER('자료_미국심리'!$D399),ISNUMBER('자료_미국심리'!$E399)),'자료_미국심리'!$D399,"")</f>
        <v/>
      </c>
      <c r="Q415">
        <f>IF(AND(ISNUMBER('자료_미국심리'!$G399),ISNUMBER('자료_미국심리'!$H399)),'자료_미국심리'!$G399,"")</f>
        <v/>
      </c>
    </row>
    <row r="416">
      <c r="A416" s="10">
        <f>IF(398&gt;$E$5,"",SMALL($O$19:$O$4018,$E$6+398))</f>
        <v/>
      </c>
      <c r="B416" s="29">
        <f>IF(A416="","",INDEX('자료_미국심리'!$B$3:$B$4002,MATCH(A416,$O$19:$O$4018,0)))</f>
        <v/>
      </c>
      <c r="C416" s="22">
        <f>IF(A416="","",B416/AVERAGE(B292:B416)-1)</f>
        <v/>
      </c>
      <c r="D416" s="29">
        <f>IF(A416="","",IFERROR(INDEX('자료_미국심리'!$E$3:$E$4002,MATCH(A416,$P$19:$P$4018,0)),D415))</f>
        <v/>
      </c>
      <c r="E416" s="29">
        <f>IF(A416="","",IFERROR(INDEX('자료_미국심리'!$H$3:$H$4002,MATCH(A416,$Q$19:$Q$4018,0)),E415))</f>
        <v/>
      </c>
      <c r="F416">
        <f>IF(A416="",0,IF(A416&gt;$B$5,1,0))</f>
        <v/>
      </c>
      <c r="G416" s="29">
        <f>IF(AND(F416=1,ISNUMBER(D416)),D416,"")</f>
        <v/>
      </c>
      <c r="H416" s="29">
        <f>IF(AND(F416=1,ISNUMBER(E416)),E416,"")</f>
        <v/>
      </c>
      <c r="I416" s="22">
        <f>IF(AND(F416=1,ISNUMBER(C416)),C416,"")</f>
        <v/>
      </c>
      <c r="J416" s="11">
        <f>IF(G416="","",100-IF($G$13=1,50,(_xlfn.RANK.AVG(G416,$G$19:$G$1518,1)-1)/($G$13-1)*100))</f>
        <v/>
      </c>
      <c r="K416" s="11">
        <f>IF(H416="","",100-IF($G$14=1,50,(_xlfn.RANK.AVG(H416,$H$19:$H$1518,1)-1)/($G$14-1)*100))</f>
        <v/>
      </c>
      <c r="L416" s="11">
        <f>IF(I416="","",IF($G$15=1,50,(_xlfn.RANK.AVG(I416,$I$19:$I$1518,1)-1)/($G$15-1)*100))</f>
        <v/>
      </c>
      <c r="M416" s="11">
        <f>IF(COUNT(J416:L416)=3,ROUND(AVERAGE(J416:L416),6),"")</f>
        <v/>
      </c>
      <c r="O416">
        <f>IF(AND(ISNUMBER('자료_미국심리'!$A400),ISNUMBER('자료_미국심리'!$B400)),'자료_미국심리'!$A400,"")</f>
        <v/>
      </c>
      <c r="P416">
        <f>IF(AND(ISNUMBER('자료_미국심리'!$D400),ISNUMBER('자료_미국심리'!$E400)),'자료_미국심리'!$D400,"")</f>
        <v/>
      </c>
      <c r="Q416">
        <f>IF(AND(ISNUMBER('자료_미국심리'!$G400),ISNUMBER('자료_미국심리'!$H400)),'자료_미국심리'!$G400,"")</f>
        <v/>
      </c>
    </row>
    <row r="417">
      <c r="A417" s="10">
        <f>IF(399&gt;$E$5,"",SMALL($O$19:$O$4018,$E$6+399))</f>
        <v/>
      </c>
      <c r="B417" s="29">
        <f>IF(A417="","",INDEX('자료_미국심리'!$B$3:$B$4002,MATCH(A417,$O$19:$O$4018,0)))</f>
        <v/>
      </c>
      <c r="C417" s="22">
        <f>IF(A417="","",B417/AVERAGE(B293:B417)-1)</f>
        <v/>
      </c>
      <c r="D417" s="29">
        <f>IF(A417="","",IFERROR(INDEX('자료_미국심리'!$E$3:$E$4002,MATCH(A417,$P$19:$P$4018,0)),D416))</f>
        <v/>
      </c>
      <c r="E417" s="29">
        <f>IF(A417="","",IFERROR(INDEX('자료_미국심리'!$H$3:$H$4002,MATCH(A417,$Q$19:$Q$4018,0)),E416))</f>
        <v/>
      </c>
      <c r="F417">
        <f>IF(A417="",0,IF(A417&gt;$B$5,1,0))</f>
        <v/>
      </c>
      <c r="G417" s="29">
        <f>IF(AND(F417=1,ISNUMBER(D417)),D417,"")</f>
        <v/>
      </c>
      <c r="H417" s="29">
        <f>IF(AND(F417=1,ISNUMBER(E417)),E417,"")</f>
        <v/>
      </c>
      <c r="I417" s="22">
        <f>IF(AND(F417=1,ISNUMBER(C417)),C417,"")</f>
        <v/>
      </c>
      <c r="J417" s="11">
        <f>IF(G417="","",100-IF($G$13=1,50,(_xlfn.RANK.AVG(G417,$G$19:$G$1518,1)-1)/($G$13-1)*100))</f>
        <v/>
      </c>
      <c r="K417" s="11">
        <f>IF(H417="","",100-IF($G$14=1,50,(_xlfn.RANK.AVG(H417,$H$19:$H$1518,1)-1)/($G$14-1)*100))</f>
        <v/>
      </c>
      <c r="L417" s="11">
        <f>IF(I417="","",IF($G$15=1,50,(_xlfn.RANK.AVG(I417,$I$19:$I$1518,1)-1)/($G$15-1)*100))</f>
        <v/>
      </c>
      <c r="M417" s="11">
        <f>IF(COUNT(J417:L417)=3,ROUND(AVERAGE(J417:L417),6),"")</f>
        <v/>
      </c>
      <c r="O417">
        <f>IF(AND(ISNUMBER('자료_미국심리'!$A401),ISNUMBER('자료_미국심리'!$B401)),'자료_미국심리'!$A401,"")</f>
        <v/>
      </c>
      <c r="P417">
        <f>IF(AND(ISNUMBER('자료_미국심리'!$D401),ISNUMBER('자료_미국심리'!$E401)),'자료_미국심리'!$D401,"")</f>
        <v/>
      </c>
      <c r="Q417">
        <f>IF(AND(ISNUMBER('자료_미국심리'!$G401),ISNUMBER('자료_미국심리'!$H401)),'자료_미국심리'!$G401,"")</f>
        <v/>
      </c>
    </row>
    <row r="418">
      <c r="A418" s="10">
        <f>IF(400&gt;$E$5,"",SMALL($O$19:$O$4018,$E$6+400))</f>
        <v/>
      </c>
      <c r="B418" s="29">
        <f>IF(A418="","",INDEX('자료_미국심리'!$B$3:$B$4002,MATCH(A418,$O$19:$O$4018,0)))</f>
        <v/>
      </c>
      <c r="C418" s="22">
        <f>IF(A418="","",B418/AVERAGE(B294:B418)-1)</f>
        <v/>
      </c>
      <c r="D418" s="29">
        <f>IF(A418="","",IFERROR(INDEX('자료_미국심리'!$E$3:$E$4002,MATCH(A418,$P$19:$P$4018,0)),D417))</f>
        <v/>
      </c>
      <c r="E418" s="29">
        <f>IF(A418="","",IFERROR(INDEX('자료_미국심리'!$H$3:$H$4002,MATCH(A418,$Q$19:$Q$4018,0)),E417))</f>
        <v/>
      </c>
      <c r="F418">
        <f>IF(A418="",0,IF(A418&gt;$B$5,1,0))</f>
        <v/>
      </c>
      <c r="G418" s="29">
        <f>IF(AND(F418=1,ISNUMBER(D418)),D418,"")</f>
        <v/>
      </c>
      <c r="H418" s="29">
        <f>IF(AND(F418=1,ISNUMBER(E418)),E418,"")</f>
        <v/>
      </c>
      <c r="I418" s="22">
        <f>IF(AND(F418=1,ISNUMBER(C418)),C418,"")</f>
        <v/>
      </c>
      <c r="J418" s="11">
        <f>IF(G418="","",100-IF($G$13=1,50,(_xlfn.RANK.AVG(G418,$G$19:$G$1518,1)-1)/($G$13-1)*100))</f>
        <v/>
      </c>
      <c r="K418" s="11">
        <f>IF(H418="","",100-IF($G$14=1,50,(_xlfn.RANK.AVG(H418,$H$19:$H$1518,1)-1)/($G$14-1)*100))</f>
        <v/>
      </c>
      <c r="L418" s="11">
        <f>IF(I418="","",IF($G$15=1,50,(_xlfn.RANK.AVG(I418,$I$19:$I$1518,1)-1)/($G$15-1)*100))</f>
        <v/>
      </c>
      <c r="M418" s="11">
        <f>IF(COUNT(J418:L418)=3,ROUND(AVERAGE(J418:L418),6),"")</f>
        <v/>
      </c>
      <c r="O418">
        <f>IF(AND(ISNUMBER('자료_미국심리'!$A402),ISNUMBER('자료_미국심리'!$B402)),'자료_미국심리'!$A402,"")</f>
        <v/>
      </c>
      <c r="P418">
        <f>IF(AND(ISNUMBER('자료_미국심리'!$D402),ISNUMBER('자료_미국심리'!$E402)),'자료_미국심리'!$D402,"")</f>
        <v/>
      </c>
      <c r="Q418">
        <f>IF(AND(ISNUMBER('자료_미국심리'!$G402),ISNUMBER('자료_미국심리'!$H402)),'자료_미국심리'!$G402,"")</f>
        <v/>
      </c>
    </row>
    <row r="419">
      <c r="A419" s="10">
        <f>IF(401&gt;$E$5,"",SMALL($O$19:$O$4018,$E$6+401))</f>
        <v/>
      </c>
      <c r="B419" s="29">
        <f>IF(A419="","",INDEX('자료_미국심리'!$B$3:$B$4002,MATCH(A419,$O$19:$O$4018,0)))</f>
        <v/>
      </c>
      <c r="C419" s="22">
        <f>IF(A419="","",B419/AVERAGE(B295:B419)-1)</f>
        <v/>
      </c>
      <c r="D419" s="29">
        <f>IF(A419="","",IFERROR(INDEX('자료_미국심리'!$E$3:$E$4002,MATCH(A419,$P$19:$P$4018,0)),D418))</f>
        <v/>
      </c>
      <c r="E419" s="29">
        <f>IF(A419="","",IFERROR(INDEX('자료_미국심리'!$H$3:$H$4002,MATCH(A419,$Q$19:$Q$4018,0)),E418))</f>
        <v/>
      </c>
      <c r="F419">
        <f>IF(A419="",0,IF(A419&gt;$B$5,1,0))</f>
        <v/>
      </c>
      <c r="G419" s="29">
        <f>IF(AND(F419=1,ISNUMBER(D419)),D419,"")</f>
        <v/>
      </c>
      <c r="H419" s="29">
        <f>IF(AND(F419=1,ISNUMBER(E419)),E419,"")</f>
        <v/>
      </c>
      <c r="I419" s="22">
        <f>IF(AND(F419=1,ISNUMBER(C419)),C419,"")</f>
        <v/>
      </c>
      <c r="J419" s="11">
        <f>IF(G419="","",100-IF($G$13=1,50,(_xlfn.RANK.AVG(G419,$G$19:$G$1518,1)-1)/($G$13-1)*100))</f>
        <v/>
      </c>
      <c r="K419" s="11">
        <f>IF(H419="","",100-IF($G$14=1,50,(_xlfn.RANK.AVG(H419,$H$19:$H$1518,1)-1)/($G$14-1)*100))</f>
        <v/>
      </c>
      <c r="L419" s="11">
        <f>IF(I419="","",IF($G$15=1,50,(_xlfn.RANK.AVG(I419,$I$19:$I$1518,1)-1)/($G$15-1)*100))</f>
        <v/>
      </c>
      <c r="M419" s="11">
        <f>IF(COUNT(J419:L419)=3,ROUND(AVERAGE(J419:L419),6),"")</f>
        <v/>
      </c>
      <c r="O419">
        <f>IF(AND(ISNUMBER('자료_미국심리'!$A403),ISNUMBER('자료_미국심리'!$B403)),'자료_미국심리'!$A403,"")</f>
        <v/>
      </c>
      <c r="P419">
        <f>IF(AND(ISNUMBER('자료_미국심리'!$D403),ISNUMBER('자료_미국심리'!$E403)),'자료_미국심리'!$D403,"")</f>
        <v/>
      </c>
      <c r="Q419">
        <f>IF(AND(ISNUMBER('자료_미국심리'!$G403),ISNUMBER('자료_미국심리'!$H403)),'자료_미국심리'!$G403,"")</f>
        <v/>
      </c>
    </row>
    <row r="420">
      <c r="A420" s="10">
        <f>IF(402&gt;$E$5,"",SMALL($O$19:$O$4018,$E$6+402))</f>
        <v/>
      </c>
      <c r="B420" s="29">
        <f>IF(A420="","",INDEX('자료_미국심리'!$B$3:$B$4002,MATCH(A420,$O$19:$O$4018,0)))</f>
        <v/>
      </c>
      <c r="C420" s="22">
        <f>IF(A420="","",B420/AVERAGE(B296:B420)-1)</f>
        <v/>
      </c>
      <c r="D420" s="29">
        <f>IF(A420="","",IFERROR(INDEX('자료_미국심리'!$E$3:$E$4002,MATCH(A420,$P$19:$P$4018,0)),D419))</f>
        <v/>
      </c>
      <c r="E420" s="29">
        <f>IF(A420="","",IFERROR(INDEX('자료_미국심리'!$H$3:$H$4002,MATCH(A420,$Q$19:$Q$4018,0)),E419))</f>
        <v/>
      </c>
      <c r="F420">
        <f>IF(A420="",0,IF(A420&gt;$B$5,1,0))</f>
        <v/>
      </c>
      <c r="G420" s="29">
        <f>IF(AND(F420=1,ISNUMBER(D420)),D420,"")</f>
        <v/>
      </c>
      <c r="H420" s="29">
        <f>IF(AND(F420=1,ISNUMBER(E420)),E420,"")</f>
        <v/>
      </c>
      <c r="I420" s="22">
        <f>IF(AND(F420=1,ISNUMBER(C420)),C420,"")</f>
        <v/>
      </c>
      <c r="J420" s="11">
        <f>IF(G420="","",100-IF($G$13=1,50,(_xlfn.RANK.AVG(G420,$G$19:$G$1518,1)-1)/($G$13-1)*100))</f>
        <v/>
      </c>
      <c r="K420" s="11">
        <f>IF(H420="","",100-IF($G$14=1,50,(_xlfn.RANK.AVG(H420,$H$19:$H$1518,1)-1)/($G$14-1)*100))</f>
        <v/>
      </c>
      <c r="L420" s="11">
        <f>IF(I420="","",IF($G$15=1,50,(_xlfn.RANK.AVG(I420,$I$19:$I$1518,1)-1)/($G$15-1)*100))</f>
        <v/>
      </c>
      <c r="M420" s="11">
        <f>IF(COUNT(J420:L420)=3,ROUND(AVERAGE(J420:L420),6),"")</f>
        <v/>
      </c>
      <c r="O420">
        <f>IF(AND(ISNUMBER('자료_미국심리'!$A404),ISNUMBER('자료_미국심리'!$B404)),'자료_미국심리'!$A404,"")</f>
        <v/>
      </c>
      <c r="P420">
        <f>IF(AND(ISNUMBER('자료_미국심리'!$D404),ISNUMBER('자료_미국심리'!$E404)),'자료_미국심리'!$D404,"")</f>
        <v/>
      </c>
      <c r="Q420">
        <f>IF(AND(ISNUMBER('자료_미국심리'!$G404),ISNUMBER('자료_미국심리'!$H404)),'자료_미국심리'!$G404,"")</f>
        <v/>
      </c>
    </row>
    <row r="421">
      <c r="A421" s="10">
        <f>IF(403&gt;$E$5,"",SMALL($O$19:$O$4018,$E$6+403))</f>
        <v/>
      </c>
      <c r="B421" s="29">
        <f>IF(A421="","",INDEX('자료_미국심리'!$B$3:$B$4002,MATCH(A421,$O$19:$O$4018,0)))</f>
        <v/>
      </c>
      <c r="C421" s="22">
        <f>IF(A421="","",B421/AVERAGE(B297:B421)-1)</f>
        <v/>
      </c>
      <c r="D421" s="29">
        <f>IF(A421="","",IFERROR(INDEX('자료_미국심리'!$E$3:$E$4002,MATCH(A421,$P$19:$P$4018,0)),D420))</f>
        <v/>
      </c>
      <c r="E421" s="29">
        <f>IF(A421="","",IFERROR(INDEX('자료_미국심리'!$H$3:$H$4002,MATCH(A421,$Q$19:$Q$4018,0)),E420))</f>
        <v/>
      </c>
      <c r="F421">
        <f>IF(A421="",0,IF(A421&gt;$B$5,1,0))</f>
        <v/>
      </c>
      <c r="G421" s="29">
        <f>IF(AND(F421=1,ISNUMBER(D421)),D421,"")</f>
        <v/>
      </c>
      <c r="H421" s="29">
        <f>IF(AND(F421=1,ISNUMBER(E421)),E421,"")</f>
        <v/>
      </c>
      <c r="I421" s="22">
        <f>IF(AND(F421=1,ISNUMBER(C421)),C421,"")</f>
        <v/>
      </c>
      <c r="J421" s="11">
        <f>IF(G421="","",100-IF($G$13=1,50,(_xlfn.RANK.AVG(G421,$G$19:$G$1518,1)-1)/($G$13-1)*100))</f>
        <v/>
      </c>
      <c r="K421" s="11">
        <f>IF(H421="","",100-IF($G$14=1,50,(_xlfn.RANK.AVG(H421,$H$19:$H$1518,1)-1)/($G$14-1)*100))</f>
        <v/>
      </c>
      <c r="L421" s="11">
        <f>IF(I421="","",IF($G$15=1,50,(_xlfn.RANK.AVG(I421,$I$19:$I$1518,1)-1)/($G$15-1)*100))</f>
        <v/>
      </c>
      <c r="M421" s="11">
        <f>IF(COUNT(J421:L421)=3,ROUND(AVERAGE(J421:L421),6),"")</f>
        <v/>
      </c>
      <c r="O421">
        <f>IF(AND(ISNUMBER('자료_미국심리'!$A405),ISNUMBER('자료_미국심리'!$B405)),'자료_미국심리'!$A405,"")</f>
        <v/>
      </c>
      <c r="P421">
        <f>IF(AND(ISNUMBER('자료_미국심리'!$D405),ISNUMBER('자료_미국심리'!$E405)),'자료_미국심리'!$D405,"")</f>
        <v/>
      </c>
      <c r="Q421">
        <f>IF(AND(ISNUMBER('자료_미국심리'!$G405),ISNUMBER('자료_미국심리'!$H405)),'자료_미국심리'!$G405,"")</f>
        <v/>
      </c>
    </row>
    <row r="422">
      <c r="A422" s="10">
        <f>IF(404&gt;$E$5,"",SMALL($O$19:$O$4018,$E$6+404))</f>
        <v/>
      </c>
      <c r="B422" s="29">
        <f>IF(A422="","",INDEX('자료_미국심리'!$B$3:$B$4002,MATCH(A422,$O$19:$O$4018,0)))</f>
        <v/>
      </c>
      <c r="C422" s="22">
        <f>IF(A422="","",B422/AVERAGE(B298:B422)-1)</f>
        <v/>
      </c>
      <c r="D422" s="29">
        <f>IF(A422="","",IFERROR(INDEX('자료_미국심리'!$E$3:$E$4002,MATCH(A422,$P$19:$P$4018,0)),D421))</f>
        <v/>
      </c>
      <c r="E422" s="29">
        <f>IF(A422="","",IFERROR(INDEX('자료_미국심리'!$H$3:$H$4002,MATCH(A422,$Q$19:$Q$4018,0)),E421))</f>
        <v/>
      </c>
      <c r="F422">
        <f>IF(A422="",0,IF(A422&gt;$B$5,1,0))</f>
        <v/>
      </c>
      <c r="G422" s="29">
        <f>IF(AND(F422=1,ISNUMBER(D422)),D422,"")</f>
        <v/>
      </c>
      <c r="H422" s="29">
        <f>IF(AND(F422=1,ISNUMBER(E422)),E422,"")</f>
        <v/>
      </c>
      <c r="I422" s="22">
        <f>IF(AND(F422=1,ISNUMBER(C422)),C422,"")</f>
        <v/>
      </c>
      <c r="J422" s="11">
        <f>IF(G422="","",100-IF($G$13=1,50,(_xlfn.RANK.AVG(G422,$G$19:$G$1518,1)-1)/($G$13-1)*100))</f>
        <v/>
      </c>
      <c r="K422" s="11">
        <f>IF(H422="","",100-IF($G$14=1,50,(_xlfn.RANK.AVG(H422,$H$19:$H$1518,1)-1)/($G$14-1)*100))</f>
        <v/>
      </c>
      <c r="L422" s="11">
        <f>IF(I422="","",IF($G$15=1,50,(_xlfn.RANK.AVG(I422,$I$19:$I$1518,1)-1)/($G$15-1)*100))</f>
        <v/>
      </c>
      <c r="M422" s="11">
        <f>IF(COUNT(J422:L422)=3,ROUND(AVERAGE(J422:L422),6),"")</f>
        <v/>
      </c>
      <c r="O422">
        <f>IF(AND(ISNUMBER('자료_미국심리'!$A406),ISNUMBER('자료_미국심리'!$B406)),'자료_미국심리'!$A406,"")</f>
        <v/>
      </c>
      <c r="P422">
        <f>IF(AND(ISNUMBER('자료_미국심리'!$D406),ISNUMBER('자료_미국심리'!$E406)),'자료_미국심리'!$D406,"")</f>
        <v/>
      </c>
      <c r="Q422">
        <f>IF(AND(ISNUMBER('자료_미국심리'!$G406),ISNUMBER('자료_미국심리'!$H406)),'자료_미국심리'!$G406,"")</f>
        <v/>
      </c>
    </row>
    <row r="423">
      <c r="A423" s="10">
        <f>IF(405&gt;$E$5,"",SMALL($O$19:$O$4018,$E$6+405))</f>
        <v/>
      </c>
      <c r="B423" s="29">
        <f>IF(A423="","",INDEX('자료_미국심리'!$B$3:$B$4002,MATCH(A423,$O$19:$O$4018,0)))</f>
        <v/>
      </c>
      <c r="C423" s="22">
        <f>IF(A423="","",B423/AVERAGE(B299:B423)-1)</f>
        <v/>
      </c>
      <c r="D423" s="29">
        <f>IF(A423="","",IFERROR(INDEX('자료_미국심리'!$E$3:$E$4002,MATCH(A423,$P$19:$P$4018,0)),D422))</f>
        <v/>
      </c>
      <c r="E423" s="29">
        <f>IF(A423="","",IFERROR(INDEX('자료_미국심리'!$H$3:$H$4002,MATCH(A423,$Q$19:$Q$4018,0)),E422))</f>
        <v/>
      </c>
      <c r="F423">
        <f>IF(A423="",0,IF(A423&gt;$B$5,1,0))</f>
        <v/>
      </c>
      <c r="G423" s="29">
        <f>IF(AND(F423=1,ISNUMBER(D423)),D423,"")</f>
        <v/>
      </c>
      <c r="H423" s="29">
        <f>IF(AND(F423=1,ISNUMBER(E423)),E423,"")</f>
        <v/>
      </c>
      <c r="I423" s="22">
        <f>IF(AND(F423=1,ISNUMBER(C423)),C423,"")</f>
        <v/>
      </c>
      <c r="J423" s="11">
        <f>IF(G423="","",100-IF($G$13=1,50,(_xlfn.RANK.AVG(G423,$G$19:$G$1518,1)-1)/($G$13-1)*100))</f>
        <v/>
      </c>
      <c r="K423" s="11">
        <f>IF(H423="","",100-IF($G$14=1,50,(_xlfn.RANK.AVG(H423,$H$19:$H$1518,1)-1)/($G$14-1)*100))</f>
        <v/>
      </c>
      <c r="L423" s="11">
        <f>IF(I423="","",IF($G$15=1,50,(_xlfn.RANK.AVG(I423,$I$19:$I$1518,1)-1)/($G$15-1)*100))</f>
        <v/>
      </c>
      <c r="M423" s="11">
        <f>IF(COUNT(J423:L423)=3,ROUND(AVERAGE(J423:L423),6),"")</f>
        <v/>
      </c>
      <c r="O423">
        <f>IF(AND(ISNUMBER('자료_미국심리'!$A407),ISNUMBER('자료_미국심리'!$B407)),'자료_미국심리'!$A407,"")</f>
        <v/>
      </c>
      <c r="P423">
        <f>IF(AND(ISNUMBER('자료_미국심리'!$D407),ISNUMBER('자료_미국심리'!$E407)),'자료_미국심리'!$D407,"")</f>
        <v/>
      </c>
      <c r="Q423">
        <f>IF(AND(ISNUMBER('자료_미국심리'!$G407),ISNUMBER('자료_미국심리'!$H407)),'자료_미국심리'!$G407,"")</f>
        <v/>
      </c>
    </row>
    <row r="424">
      <c r="A424" s="10">
        <f>IF(406&gt;$E$5,"",SMALL($O$19:$O$4018,$E$6+406))</f>
        <v/>
      </c>
      <c r="B424" s="29">
        <f>IF(A424="","",INDEX('자료_미국심리'!$B$3:$B$4002,MATCH(A424,$O$19:$O$4018,0)))</f>
        <v/>
      </c>
      <c r="C424" s="22">
        <f>IF(A424="","",B424/AVERAGE(B300:B424)-1)</f>
        <v/>
      </c>
      <c r="D424" s="29">
        <f>IF(A424="","",IFERROR(INDEX('자료_미국심리'!$E$3:$E$4002,MATCH(A424,$P$19:$P$4018,0)),D423))</f>
        <v/>
      </c>
      <c r="E424" s="29">
        <f>IF(A424="","",IFERROR(INDEX('자료_미국심리'!$H$3:$H$4002,MATCH(A424,$Q$19:$Q$4018,0)),E423))</f>
        <v/>
      </c>
      <c r="F424">
        <f>IF(A424="",0,IF(A424&gt;$B$5,1,0))</f>
        <v/>
      </c>
      <c r="G424" s="29">
        <f>IF(AND(F424=1,ISNUMBER(D424)),D424,"")</f>
        <v/>
      </c>
      <c r="H424" s="29">
        <f>IF(AND(F424=1,ISNUMBER(E424)),E424,"")</f>
        <v/>
      </c>
      <c r="I424" s="22">
        <f>IF(AND(F424=1,ISNUMBER(C424)),C424,"")</f>
        <v/>
      </c>
      <c r="J424" s="11">
        <f>IF(G424="","",100-IF($G$13=1,50,(_xlfn.RANK.AVG(G424,$G$19:$G$1518,1)-1)/($G$13-1)*100))</f>
        <v/>
      </c>
      <c r="K424" s="11">
        <f>IF(H424="","",100-IF($G$14=1,50,(_xlfn.RANK.AVG(H424,$H$19:$H$1518,1)-1)/($G$14-1)*100))</f>
        <v/>
      </c>
      <c r="L424" s="11">
        <f>IF(I424="","",IF($G$15=1,50,(_xlfn.RANK.AVG(I424,$I$19:$I$1518,1)-1)/($G$15-1)*100))</f>
        <v/>
      </c>
      <c r="M424" s="11">
        <f>IF(COUNT(J424:L424)=3,ROUND(AVERAGE(J424:L424),6),"")</f>
        <v/>
      </c>
      <c r="O424">
        <f>IF(AND(ISNUMBER('자료_미국심리'!$A408),ISNUMBER('자료_미국심리'!$B408)),'자료_미국심리'!$A408,"")</f>
        <v/>
      </c>
      <c r="P424">
        <f>IF(AND(ISNUMBER('자료_미국심리'!$D408),ISNUMBER('자료_미국심리'!$E408)),'자료_미국심리'!$D408,"")</f>
        <v/>
      </c>
      <c r="Q424">
        <f>IF(AND(ISNUMBER('자료_미국심리'!$G408),ISNUMBER('자료_미국심리'!$H408)),'자료_미국심리'!$G408,"")</f>
        <v/>
      </c>
    </row>
    <row r="425">
      <c r="A425" s="10">
        <f>IF(407&gt;$E$5,"",SMALL($O$19:$O$4018,$E$6+407))</f>
        <v/>
      </c>
      <c r="B425" s="29">
        <f>IF(A425="","",INDEX('자료_미국심리'!$B$3:$B$4002,MATCH(A425,$O$19:$O$4018,0)))</f>
        <v/>
      </c>
      <c r="C425" s="22">
        <f>IF(A425="","",B425/AVERAGE(B301:B425)-1)</f>
        <v/>
      </c>
      <c r="D425" s="29">
        <f>IF(A425="","",IFERROR(INDEX('자료_미국심리'!$E$3:$E$4002,MATCH(A425,$P$19:$P$4018,0)),D424))</f>
        <v/>
      </c>
      <c r="E425" s="29">
        <f>IF(A425="","",IFERROR(INDEX('자료_미국심리'!$H$3:$H$4002,MATCH(A425,$Q$19:$Q$4018,0)),E424))</f>
        <v/>
      </c>
      <c r="F425">
        <f>IF(A425="",0,IF(A425&gt;$B$5,1,0))</f>
        <v/>
      </c>
      <c r="G425" s="29">
        <f>IF(AND(F425=1,ISNUMBER(D425)),D425,"")</f>
        <v/>
      </c>
      <c r="H425" s="29">
        <f>IF(AND(F425=1,ISNUMBER(E425)),E425,"")</f>
        <v/>
      </c>
      <c r="I425" s="22">
        <f>IF(AND(F425=1,ISNUMBER(C425)),C425,"")</f>
        <v/>
      </c>
      <c r="J425" s="11">
        <f>IF(G425="","",100-IF($G$13=1,50,(_xlfn.RANK.AVG(G425,$G$19:$G$1518,1)-1)/($G$13-1)*100))</f>
        <v/>
      </c>
      <c r="K425" s="11">
        <f>IF(H425="","",100-IF($G$14=1,50,(_xlfn.RANK.AVG(H425,$H$19:$H$1518,1)-1)/($G$14-1)*100))</f>
        <v/>
      </c>
      <c r="L425" s="11">
        <f>IF(I425="","",IF($G$15=1,50,(_xlfn.RANK.AVG(I425,$I$19:$I$1518,1)-1)/($G$15-1)*100))</f>
        <v/>
      </c>
      <c r="M425" s="11">
        <f>IF(COUNT(J425:L425)=3,ROUND(AVERAGE(J425:L425),6),"")</f>
        <v/>
      </c>
      <c r="O425">
        <f>IF(AND(ISNUMBER('자료_미국심리'!$A409),ISNUMBER('자료_미국심리'!$B409)),'자료_미국심리'!$A409,"")</f>
        <v/>
      </c>
      <c r="P425">
        <f>IF(AND(ISNUMBER('자료_미국심리'!$D409),ISNUMBER('자료_미국심리'!$E409)),'자료_미국심리'!$D409,"")</f>
        <v/>
      </c>
      <c r="Q425">
        <f>IF(AND(ISNUMBER('자료_미국심리'!$G409),ISNUMBER('자료_미국심리'!$H409)),'자료_미국심리'!$G409,"")</f>
        <v/>
      </c>
    </row>
    <row r="426">
      <c r="A426" s="10">
        <f>IF(408&gt;$E$5,"",SMALL($O$19:$O$4018,$E$6+408))</f>
        <v/>
      </c>
      <c r="B426" s="29">
        <f>IF(A426="","",INDEX('자료_미국심리'!$B$3:$B$4002,MATCH(A426,$O$19:$O$4018,0)))</f>
        <v/>
      </c>
      <c r="C426" s="22">
        <f>IF(A426="","",B426/AVERAGE(B302:B426)-1)</f>
        <v/>
      </c>
      <c r="D426" s="29">
        <f>IF(A426="","",IFERROR(INDEX('자료_미국심리'!$E$3:$E$4002,MATCH(A426,$P$19:$P$4018,0)),D425))</f>
        <v/>
      </c>
      <c r="E426" s="29">
        <f>IF(A426="","",IFERROR(INDEX('자료_미국심리'!$H$3:$H$4002,MATCH(A426,$Q$19:$Q$4018,0)),E425))</f>
        <v/>
      </c>
      <c r="F426">
        <f>IF(A426="",0,IF(A426&gt;$B$5,1,0))</f>
        <v/>
      </c>
      <c r="G426" s="29">
        <f>IF(AND(F426=1,ISNUMBER(D426)),D426,"")</f>
        <v/>
      </c>
      <c r="H426" s="29">
        <f>IF(AND(F426=1,ISNUMBER(E426)),E426,"")</f>
        <v/>
      </c>
      <c r="I426" s="22">
        <f>IF(AND(F426=1,ISNUMBER(C426)),C426,"")</f>
        <v/>
      </c>
      <c r="J426" s="11">
        <f>IF(G426="","",100-IF($G$13=1,50,(_xlfn.RANK.AVG(G426,$G$19:$G$1518,1)-1)/($G$13-1)*100))</f>
        <v/>
      </c>
      <c r="K426" s="11">
        <f>IF(H426="","",100-IF($G$14=1,50,(_xlfn.RANK.AVG(H426,$H$19:$H$1518,1)-1)/($G$14-1)*100))</f>
        <v/>
      </c>
      <c r="L426" s="11">
        <f>IF(I426="","",IF($G$15=1,50,(_xlfn.RANK.AVG(I426,$I$19:$I$1518,1)-1)/($G$15-1)*100))</f>
        <v/>
      </c>
      <c r="M426" s="11">
        <f>IF(COUNT(J426:L426)=3,ROUND(AVERAGE(J426:L426),6),"")</f>
        <v/>
      </c>
      <c r="O426">
        <f>IF(AND(ISNUMBER('자료_미국심리'!$A410),ISNUMBER('자료_미국심리'!$B410)),'자료_미국심리'!$A410,"")</f>
        <v/>
      </c>
      <c r="P426">
        <f>IF(AND(ISNUMBER('자료_미국심리'!$D410),ISNUMBER('자료_미국심리'!$E410)),'자료_미국심리'!$D410,"")</f>
        <v/>
      </c>
      <c r="Q426">
        <f>IF(AND(ISNUMBER('자료_미국심리'!$G410),ISNUMBER('자료_미국심리'!$H410)),'자료_미국심리'!$G410,"")</f>
        <v/>
      </c>
    </row>
    <row r="427">
      <c r="A427" s="10">
        <f>IF(409&gt;$E$5,"",SMALL($O$19:$O$4018,$E$6+409))</f>
        <v/>
      </c>
      <c r="B427" s="29">
        <f>IF(A427="","",INDEX('자료_미국심리'!$B$3:$B$4002,MATCH(A427,$O$19:$O$4018,0)))</f>
        <v/>
      </c>
      <c r="C427" s="22">
        <f>IF(A427="","",B427/AVERAGE(B303:B427)-1)</f>
        <v/>
      </c>
      <c r="D427" s="29">
        <f>IF(A427="","",IFERROR(INDEX('자료_미국심리'!$E$3:$E$4002,MATCH(A427,$P$19:$P$4018,0)),D426))</f>
        <v/>
      </c>
      <c r="E427" s="29">
        <f>IF(A427="","",IFERROR(INDEX('자료_미국심리'!$H$3:$H$4002,MATCH(A427,$Q$19:$Q$4018,0)),E426))</f>
        <v/>
      </c>
      <c r="F427">
        <f>IF(A427="",0,IF(A427&gt;$B$5,1,0))</f>
        <v/>
      </c>
      <c r="G427" s="29">
        <f>IF(AND(F427=1,ISNUMBER(D427)),D427,"")</f>
        <v/>
      </c>
      <c r="H427" s="29">
        <f>IF(AND(F427=1,ISNUMBER(E427)),E427,"")</f>
        <v/>
      </c>
      <c r="I427" s="22">
        <f>IF(AND(F427=1,ISNUMBER(C427)),C427,"")</f>
        <v/>
      </c>
      <c r="J427" s="11">
        <f>IF(G427="","",100-IF($G$13=1,50,(_xlfn.RANK.AVG(G427,$G$19:$G$1518,1)-1)/($G$13-1)*100))</f>
        <v/>
      </c>
      <c r="K427" s="11">
        <f>IF(H427="","",100-IF($G$14=1,50,(_xlfn.RANK.AVG(H427,$H$19:$H$1518,1)-1)/($G$14-1)*100))</f>
        <v/>
      </c>
      <c r="L427" s="11">
        <f>IF(I427="","",IF($G$15=1,50,(_xlfn.RANK.AVG(I427,$I$19:$I$1518,1)-1)/($G$15-1)*100))</f>
        <v/>
      </c>
      <c r="M427" s="11">
        <f>IF(COUNT(J427:L427)=3,ROUND(AVERAGE(J427:L427),6),"")</f>
        <v/>
      </c>
      <c r="O427">
        <f>IF(AND(ISNUMBER('자료_미국심리'!$A411),ISNUMBER('자료_미국심리'!$B411)),'자료_미국심리'!$A411,"")</f>
        <v/>
      </c>
      <c r="P427">
        <f>IF(AND(ISNUMBER('자료_미국심리'!$D411),ISNUMBER('자료_미국심리'!$E411)),'자료_미국심리'!$D411,"")</f>
        <v/>
      </c>
      <c r="Q427">
        <f>IF(AND(ISNUMBER('자료_미국심리'!$G411),ISNUMBER('자료_미국심리'!$H411)),'자료_미국심리'!$G411,"")</f>
        <v/>
      </c>
    </row>
    <row r="428">
      <c r="A428" s="10">
        <f>IF(410&gt;$E$5,"",SMALL($O$19:$O$4018,$E$6+410))</f>
        <v/>
      </c>
      <c r="B428" s="29">
        <f>IF(A428="","",INDEX('자료_미국심리'!$B$3:$B$4002,MATCH(A428,$O$19:$O$4018,0)))</f>
        <v/>
      </c>
      <c r="C428" s="22">
        <f>IF(A428="","",B428/AVERAGE(B304:B428)-1)</f>
        <v/>
      </c>
      <c r="D428" s="29">
        <f>IF(A428="","",IFERROR(INDEX('자료_미국심리'!$E$3:$E$4002,MATCH(A428,$P$19:$P$4018,0)),D427))</f>
        <v/>
      </c>
      <c r="E428" s="29">
        <f>IF(A428="","",IFERROR(INDEX('자료_미국심리'!$H$3:$H$4002,MATCH(A428,$Q$19:$Q$4018,0)),E427))</f>
        <v/>
      </c>
      <c r="F428">
        <f>IF(A428="",0,IF(A428&gt;$B$5,1,0))</f>
        <v/>
      </c>
      <c r="G428" s="29">
        <f>IF(AND(F428=1,ISNUMBER(D428)),D428,"")</f>
        <v/>
      </c>
      <c r="H428" s="29">
        <f>IF(AND(F428=1,ISNUMBER(E428)),E428,"")</f>
        <v/>
      </c>
      <c r="I428" s="22">
        <f>IF(AND(F428=1,ISNUMBER(C428)),C428,"")</f>
        <v/>
      </c>
      <c r="J428" s="11">
        <f>IF(G428="","",100-IF($G$13=1,50,(_xlfn.RANK.AVG(G428,$G$19:$G$1518,1)-1)/($G$13-1)*100))</f>
        <v/>
      </c>
      <c r="K428" s="11">
        <f>IF(H428="","",100-IF($G$14=1,50,(_xlfn.RANK.AVG(H428,$H$19:$H$1518,1)-1)/($G$14-1)*100))</f>
        <v/>
      </c>
      <c r="L428" s="11">
        <f>IF(I428="","",IF($G$15=1,50,(_xlfn.RANK.AVG(I428,$I$19:$I$1518,1)-1)/($G$15-1)*100))</f>
        <v/>
      </c>
      <c r="M428" s="11">
        <f>IF(COUNT(J428:L428)=3,ROUND(AVERAGE(J428:L428),6),"")</f>
        <v/>
      </c>
      <c r="O428">
        <f>IF(AND(ISNUMBER('자료_미국심리'!$A412),ISNUMBER('자료_미국심리'!$B412)),'자료_미국심리'!$A412,"")</f>
        <v/>
      </c>
      <c r="P428">
        <f>IF(AND(ISNUMBER('자료_미국심리'!$D412),ISNUMBER('자료_미국심리'!$E412)),'자료_미국심리'!$D412,"")</f>
        <v/>
      </c>
      <c r="Q428">
        <f>IF(AND(ISNUMBER('자료_미국심리'!$G412),ISNUMBER('자료_미국심리'!$H412)),'자료_미국심리'!$G412,"")</f>
        <v/>
      </c>
    </row>
    <row r="429">
      <c r="A429" s="10">
        <f>IF(411&gt;$E$5,"",SMALL($O$19:$O$4018,$E$6+411))</f>
        <v/>
      </c>
      <c r="B429" s="29">
        <f>IF(A429="","",INDEX('자료_미국심리'!$B$3:$B$4002,MATCH(A429,$O$19:$O$4018,0)))</f>
        <v/>
      </c>
      <c r="C429" s="22">
        <f>IF(A429="","",B429/AVERAGE(B305:B429)-1)</f>
        <v/>
      </c>
      <c r="D429" s="29">
        <f>IF(A429="","",IFERROR(INDEX('자료_미국심리'!$E$3:$E$4002,MATCH(A429,$P$19:$P$4018,0)),D428))</f>
        <v/>
      </c>
      <c r="E429" s="29">
        <f>IF(A429="","",IFERROR(INDEX('자료_미국심리'!$H$3:$H$4002,MATCH(A429,$Q$19:$Q$4018,0)),E428))</f>
        <v/>
      </c>
      <c r="F429">
        <f>IF(A429="",0,IF(A429&gt;$B$5,1,0))</f>
        <v/>
      </c>
      <c r="G429" s="29">
        <f>IF(AND(F429=1,ISNUMBER(D429)),D429,"")</f>
        <v/>
      </c>
      <c r="H429" s="29">
        <f>IF(AND(F429=1,ISNUMBER(E429)),E429,"")</f>
        <v/>
      </c>
      <c r="I429" s="22">
        <f>IF(AND(F429=1,ISNUMBER(C429)),C429,"")</f>
        <v/>
      </c>
      <c r="J429" s="11">
        <f>IF(G429="","",100-IF($G$13=1,50,(_xlfn.RANK.AVG(G429,$G$19:$G$1518,1)-1)/($G$13-1)*100))</f>
        <v/>
      </c>
      <c r="K429" s="11">
        <f>IF(H429="","",100-IF($G$14=1,50,(_xlfn.RANK.AVG(H429,$H$19:$H$1518,1)-1)/($G$14-1)*100))</f>
        <v/>
      </c>
      <c r="L429" s="11">
        <f>IF(I429="","",IF($G$15=1,50,(_xlfn.RANK.AVG(I429,$I$19:$I$1518,1)-1)/($G$15-1)*100))</f>
        <v/>
      </c>
      <c r="M429" s="11">
        <f>IF(COUNT(J429:L429)=3,ROUND(AVERAGE(J429:L429),6),"")</f>
        <v/>
      </c>
      <c r="O429">
        <f>IF(AND(ISNUMBER('자료_미국심리'!$A413),ISNUMBER('자료_미국심리'!$B413)),'자료_미국심리'!$A413,"")</f>
        <v/>
      </c>
      <c r="P429">
        <f>IF(AND(ISNUMBER('자료_미국심리'!$D413),ISNUMBER('자료_미국심리'!$E413)),'자료_미국심리'!$D413,"")</f>
        <v/>
      </c>
      <c r="Q429">
        <f>IF(AND(ISNUMBER('자료_미국심리'!$G413),ISNUMBER('자료_미국심리'!$H413)),'자료_미국심리'!$G413,"")</f>
        <v/>
      </c>
    </row>
    <row r="430">
      <c r="A430" s="10">
        <f>IF(412&gt;$E$5,"",SMALL($O$19:$O$4018,$E$6+412))</f>
        <v/>
      </c>
      <c r="B430" s="29">
        <f>IF(A430="","",INDEX('자료_미국심리'!$B$3:$B$4002,MATCH(A430,$O$19:$O$4018,0)))</f>
        <v/>
      </c>
      <c r="C430" s="22">
        <f>IF(A430="","",B430/AVERAGE(B306:B430)-1)</f>
        <v/>
      </c>
      <c r="D430" s="29">
        <f>IF(A430="","",IFERROR(INDEX('자료_미국심리'!$E$3:$E$4002,MATCH(A430,$P$19:$P$4018,0)),D429))</f>
        <v/>
      </c>
      <c r="E430" s="29">
        <f>IF(A430="","",IFERROR(INDEX('자료_미국심리'!$H$3:$H$4002,MATCH(A430,$Q$19:$Q$4018,0)),E429))</f>
        <v/>
      </c>
      <c r="F430">
        <f>IF(A430="",0,IF(A430&gt;$B$5,1,0))</f>
        <v/>
      </c>
      <c r="G430" s="29">
        <f>IF(AND(F430=1,ISNUMBER(D430)),D430,"")</f>
        <v/>
      </c>
      <c r="H430" s="29">
        <f>IF(AND(F430=1,ISNUMBER(E430)),E430,"")</f>
        <v/>
      </c>
      <c r="I430" s="22">
        <f>IF(AND(F430=1,ISNUMBER(C430)),C430,"")</f>
        <v/>
      </c>
      <c r="J430" s="11">
        <f>IF(G430="","",100-IF($G$13=1,50,(_xlfn.RANK.AVG(G430,$G$19:$G$1518,1)-1)/($G$13-1)*100))</f>
        <v/>
      </c>
      <c r="K430" s="11">
        <f>IF(H430="","",100-IF($G$14=1,50,(_xlfn.RANK.AVG(H430,$H$19:$H$1518,1)-1)/($G$14-1)*100))</f>
        <v/>
      </c>
      <c r="L430" s="11">
        <f>IF(I430="","",IF($G$15=1,50,(_xlfn.RANK.AVG(I430,$I$19:$I$1518,1)-1)/($G$15-1)*100))</f>
        <v/>
      </c>
      <c r="M430" s="11">
        <f>IF(COUNT(J430:L430)=3,ROUND(AVERAGE(J430:L430),6),"")</f>
        <v/>
      </c>
      <c r="O430">
        <f>IF(AND(ISNUMBER('자료_미국심리'!$A414),ISNUMBER('자료_미국심리'!$B414)),'자료_미국심리'!$A414,"")</f>
        <v/>
      </c>
      <c r="P430">
        <f>IF(AND(ISNUMBER('자료_미국심리'!$D414),ISNUMBER('자료_미국심리'!$E414)),'자료_미국심리'!$D414,"")</f>
        <v/>
      </c>
      <c r="Q430">
        <f>IF(AND(ISNUMBER('자료_미국심리'!$G414),ISNUMBER('자료_미국심리'!$H414)),'자료_미국심리'!$G414,"")</f>
        <v/>
      </c>
    </row>
    <row r="431">
      <c r="A431" s="10">
        <f>IF(413&gt;$E$5,"",SMALL($O$19:$O$4018,$E$6+413))</f>
        <v/>
      </c>
      <c r="B431" s="29">
        <f>IF(A431="","",INDEX('자료_미국심리'!$B$3:$B$4002,MATCH(A431,$O$19:$O$4018,0)))</f>
        <v/>
      </c>
      <c r="C431" s="22">
        <f>IF(A431="","",B431/AVERAGE(B307:B431)-1)</f>
        <v/>
      </c>
      <c r="D431" s="29">
        <f>IF(A431="","",IFERROR(INDEX('자료_미국심리'!$E$3:$E$4002,MATCH(A431,$P$19:$P$4018,0)),D430))</f>
        <v/>
      </c>
      <c r="E431" s="29">
        <f>IF(A431="","",IFERROR(INDEX('자료_미국심리'!$H$3:$H$4002,MATCH(A431,$Q$19:$Q$4018,0)),E430))</f>
        <v/>
      </c>
      <c r="F431">
        <f>IF(A431="",0,IF(A431&gt;$B$5,1,0))</f>
        <v/>
      </c>
      <c r="G431" s="29">
        <f>IF(AND(F431=1,ISNUMBER(D431)),D431,"")</f>
        <v/>
      </c>
      <c r="H431" s="29">
        <f>IF(AND(F431=1,ISNUMBER(E431)),E431,"")</f>
        <v/>
      </c>
      <c r="I431" s="22">
        <f>IF(AND(F431=1,ISNUMBER(C431)),C431,"")</f>
        <v/>
      </c>
      <c r="J431" s="11">
        <f>IF(G431="","",100-IF($G$13=1,50,(_xlfn.RANK.AVG(G431,$G$19:$G$1518,1)-1)/($G$13-1)*100))</f>
        <v/>
      </c>
      <c r="K431" s="11">
        <f>IF(H431="","",100-IF($G$14=1,50,(_xlfn.RANK.AVG(H431,$H$19:$H$1518,1)-1)/($G$14-1)*100))</f>
        <v/>
      </c>
      <c r="L431" s="11">
        <f>IF(I431="","",IF($G$15=1,50,(_xlfn.RANK.AVG(I431,$I$19:$I$1518,1)-1)/($G$15-1)*100))</f>
        <v/>
      </c>
      <c r="M431" s="11">
        <f>IF(COUNT(J431:L431)=3,ROUND(AVERAGE(J431:L431),6),"")</f>
        <v/>
      </c>
      <c r="O431">
        <f>IF(AND(ISNUMBER('자료_미국심리'!$A415),ISNUMBER('자료_미국심리'!$B415)),'자료_미국심리'!$A415,"")</f>
        <v/>
      </c>
      <c r="P431">
        <f>IF(AND(ISNUMBER('자료_미국심리'!$D415),ISNUMBER('자료_미국심리'!$E415)),'자료_미국심리'!$D415,"")</f>
        <v/>
      </c>
      <c r="Q431">
        <f>IF(AND(ISNUMBER('자료_미국심리'!$G415),ISNUMBER('자료_미국심리'!$H415)),'자료_미국심리'!$G415,"")</f>
        <v/>
      </c>
    </row>
    <row r="432">
      <c r="A432" s="10">
        <f>IF(414&gt;$E$5,"",SMALL($O$19:$O$4018,$E$6+414))</f>
        <v/>
      </c>
      <c r="B432" s="29">
        <f>IF(A432="","",INDEX('자료_미국심리'!$B$3:$B$4002,MATCH(A432,$O$19:$O$4018,0)))</f>
        <v/>
      </c>
      <c r="C432" s="22">
        <f>IF(A432="","",B432/AVERAGE(B308:B432)-1)</f>
        <v/>
      </c>
      <c r="D432" s="29">
        <f>IF(A432="","",IFERROR(INDEX('자료_미국심리'!$E$3:$E$4002,MATCH(A432,$P$19:$P$4018,0)),D431))</f>
        <v/>
      </c>
      <c r="E432" s="29">
        <f>IF(A432="","",IFERROR(INDEX('자료_미국심리'!$H$3:$H$4002,MATCH(A432,$Q$19:$Q$4018,0)),E431))</f>
        <v/>
      </c>
      <c r="F432">
        <f>IF(A432="",0,IF(A432&gt;$B$5,1,0))</f>
        <v/>
      </c>
      <c r="G432" s="29">
        <f>IF(AND(F432=1,ISNUMBER(D432)),D432,"")</f>
        <v/>
      </c>
      <c r="H432" s="29">
        <f>IF(AND(F432=1,ISNUMBER(E432)),E432,"")</f>
        <v/>
      </c>
      <c r="I432" s="22">
        <f>IF(AND(F432=1,ISNUMBER(C432)),C432,"")</f>
        <v/>
      </c>
      <c r="J432" s="11">
        <f>IF(G432="","",100-IF($G$13=1,50,(_xlfn.RANK.AVG(G432,$G$19:$G$1518,1)-1)/($G$13-1)*100))</f>
        <v/>
      </c>
      <c r="K432" s="11">
        <f>IF(H432="","",100-IF($G$14=1,50,(_xlfn.RANK.AVG(H432,$H$19:$H$1518,1)-1)/($G$14-1)*100))</f>
        <v/>
      </c>
      <c r="L432" s="11">
        <f>IF(I432="","",IF($G$15=1,50,(_xlfn.RANK.AVG(I432,$I$19:$I$1518,1)-1)/($G$15-1)*100))</f>
        <v/>
      </c>
      <c r="M432" s="11">
        <f>IF(COUNT(J432:L432)=3,ROUND(AVERAGE(J432:L432),6),"")</f>
        <v/>
      </c>
      <c r="O432">
        <f>IF(AND(ISNUMBER('자료_미국심리'!$A416),ISNUMBER('자료_미국심리'!$B416)),'자료_미국심리'!$A416,"")</f>
        <v/>
      </c>
      <c r="P432">
        <f>IF(AND(ISNUMBER('자료_미국심리'!$D416),ISNUMBER('자료_미국심리'!$E416)),'자료_미국심리'!$D416,"")</f>
        <v/>
      </c>
      <c r="Q432">
        <f>IF(AND(ISNUMBER('자료_미국심리'!$G416),ISNUMBER('자료_미국심리'!$H416)),'자료_미국심리'!$G416,"")</f>
        <v/>
      </c>
    </row>
    <row r="433">
      <c r="A433" s="10">
        <f>IF(415&gt;$E$5,"",SMALL($O$19:$O$4018,$E$6+415))</f>
        <v/>
      </c>
      <c r="B433" s="29">
        <f>IF(A433="","",INDEX('자료_미국심리'!$B$3:$B$4002,MATCH(A433,$O$19:$O$4018,0)))</f>
        <v/>
      </c>
      <c r="C433" s="22">
        <f>IF(A433="","",B433/AVERAGE(B309:B433)-1)</f>
        <v/>
      </c>
      <c r="D433" s="29">
        <f>IF(A433="","",IFERROR(INDEX('자료_미국심리'!$E$3:$E$4002,MATCH(A433,$P$19:$P$4018,0)),D432))</f>
        <v/>
      </c>
      <c r="E433" s="29">
        <f>IF(A433="","",IFERROR(INDEX('자료_미국심리'!$H$3:$H$4002,MATCH(A433,$Q$19:$Q$4018,0)),E432))</f>
        <v/>
      </c>
      <c r="F433">
        <f>IF(A433="",0,IF(A433&gt;$B$5,1,0))</f>
        <v/>
      </c>
      <c r="G433" s="29">
        <f>IF(AND(F433=1,ISNUMBER(D433)),D433,"")</f>
        <v/>
      </c>
      <c r="H433" s="29">
        <f>IF(AND(F433=1,ISNUMBER(E433)),E433,"")</f>
        <v/>
      </c>
      <c r="I433" s="22">
        <f>IF(AND(F433=1,ISNUMBER(C433)),C433,"")</f>
        <v/>
      </c>
      <c r="J433" s="11">
        <f>IF(G433="","",100-IF($G$13=1,50,(_xlfn.RANK.AVG(G433,$G$19:$G$1518,1)-1)/($G$13-1)*100))</f>
        <v/>
      </c>
      <c r="K433" s="11">
        <f>IF(H433="","",100-IF($G$14=1,50,(_xlfn.RANK.AVG(H433,$H$19:$H$1518,1)-1)/($G$14-1)*100))</f>
        <v/>
      </c>
      <c r="L433" s="11">
        <f>IF(I433="","",IF($G$15=1,50,(_xlfn.RANK.AVG(I433,$I$19:$I$1518,1)-1)/($G$15-1)*100))</f>
        <v/>
      </c>
      <c r="M433" s="11">
        <f>IF(COUNT(J433:L433)=3,ROUND(AVERAGE(J433:L433),6),"")</f>
        <v/>
      </c>
      <c r="O433">
        <f>IF(AND(ISNUMBER('자료_미국심리'!$A417),ISNUMBER('자료_미국심리'!$B417)),'자료_미국심리'!$A417,"")</f>
        <v/>
      </c>
      <c r="P433">
        <f>IF(AND(ISNUMBER('자료_미국심리'!$D417),ISNUMBER('자료_미국심리'!$E417)),'자료_미국심리'!$D417,"")</f>
        <v/>
      </c>
      <c r="Q433">
        <f>IF(AND(ISNUMBER('자료_미국심리'!$G417),ISNUMBER('자료_미국심리'!$H417)),'자료_미국심리'!$G417,"")</f>
        <v/>
      </c>
    </row>
    <row r="434">
      <c r="A434" s="10">
        <f>IF(416&gt;$E$5,"",SMALL($O$19:$O$4018,$E$6+416))</f>
        <v/>
      </c>
      <c r="B434" s="29">
        <f>IF(A434="","",INDEX('자료_미국심리'!$B$3:$B$4002,MATCH(A434,$O$19:$O$4018,0)))</f>
        <v/>
      </c>
      <c r="C434" s="22">
        <f>IF(A434="","",B434/AVERAGE(B310:B434)-1)</f>
        <v/>
      </c>
      <c r="D434" s="29">
        <f>IF(A434="","",IFERROR(INDEX('자료_미국심리'!$E$3:$E$4002,MATCH(A434,$P$19:$P$4018,0)),D433))</f>
        <v/>
      </c>
      <c r="E434" s="29">
        <f>IF(A434="","",IFERROR(INDEX('자료_미국심리'!$H$3:$H$4002,MATCH(A434,$Q$19:$Q$4018,0)),E433))</f>
        <v/>
      </c>
      <c r="F434">
        <f>IF(A434="",0,IF(A434&gt;$B$5,1,0))</f>
        <v/>
      </c>
      <c r="G434" s="29">
        <f>IF(AND(F434=1,ISNUMBER(D434)),D434,"")</f>
        <v/>
      </c>
      <c r="H434" s="29">
        <f>IF(AND(F434=1,ISNUMBER(E434)),E434,"")</f>
        <v/>
      </c>
      <c r="I434" s="22">
        <f>IF(AND(F434=1,ISNUMBER(C434)),C434,"")</f>
        <v/>
      </c>
      <c r="J434" s="11">
        <f>IF(G434="","",100-IF($G$13=1,50,(_xlfn.RANK.AVG(G434,$G$19:$G$1518,1)-1)/($G$13-1)*100))</f>
        <v/>
      </c>
      <c r="K434" s="11">
        <f>IF(H434="","",100-IF($G$14=1,50,(_xlfn.RANK.AVG(H434,$H$19:$H$1518,1)-1)/($G$14-1)*100))</f>
        <v/>
      </c>
      <c r="L434" s="11">
        <f>IF(I434="","",IF($G$15=1,50,(_xlfn.RANK.AVG(I434,$I$19:$I$1518,1)-1)/($G$15-1)*100))</f>
        <v/>
      </c>
      <c r="M434" s="11">
        <f>IF(COUNT(J434:L434)=3,ROUND(AVERAGE(J434:L434),6),"")</f>
        <v/>
      </c>
      <c r="O434">
        <f>IF(AND(ISNUMBER('자료_미국심리'!$A418),ISNUMBER('자료_미국심리'!$B418)),'자료_미국심리'!$A418,"")</f>
        <v/>
      </c>
      <c r="P434">
        <f>IF(AND(ISNUMBER('자료_미국심리'!$D418),ISNUMBER('자료_미국심리'!$E418)),'자료_미국심리'!$D418,"")</f>
        <v/>
      </c>
      <c r="Q434">
        <f>IF(AND(ISNUMBER('자료_미국심리'!$G418),ISNUMBER('자료_미국심리'!$H418)),'자료_미국심리'!$G418,"")</f>
        <v/>
      </c>
    </row>
    <row r="435">
      <c r="A435" s="10">
        <f>IF(417&gt;$E$5,"",SMALL($O$19:$O$4018,$E$6+417))</f>
        <v/>
      </c>
      <c r="B435" s="29">
        <f>IF(A435="","",INDEX('자료_미국심리'!$B$3:$B$4002,MATCH(A435,$O$19:$O$4018,0)))</f>
        <v/>
      </c>
      <c r="C435" s="22">
        <f>IF(A435="","",B435/AVERAGE(B311:B435)-1)</f>
        <v/>
      </c>
      <c r="D435" s="29">
        <f>IF(A435="","",IFERROR(INDEX('자료_미국심리'!$E$3:$E$4002,MATCH(A435,$P$19:$P$4018,0)),D434))</f>
        <v/>
      </c>
      <c r="E435" s="29">
        <f>IF(A435="","",IFERROR(INDEX('자료_미국심리'!$H$3:$H$4002,MATCH(A435,$Q$19:$Q$4018,0)),E434))</f>
        <v/>
      </c>
      <c r="F435">
        <f>IF(A435="",0,IF(A435&gt;$B$5,1,0))</f>
        <v/>
      </c>
      <c r="G435" s="29">
        <f>IF(AND(F435=1,ISNUMBER(D435)),D435,"")</f>
        <v/>
      </c>
      <c r="H435" s="29">
        <f>IF(AND(F435=1,ISNUMBER(E435)),E435,"")</f>
        <v/>
      </c>
      <c r="I435" s="22">
        <f>IF(AND(F435=1,ISNUMBER(C435)),C435,"")</f>
        <v/>
      </c>
      <c r="J435" s="11">
        <f>IF(G435="","",100-IF($G$13=1,50,(_xlfn.RANK.AVG(G435,$G$19:$G$1518,1)-1)/($G$13-1)*100))</f>
        <v/>
      </c>
      <c r="K435" s="11">
        <f>IF(H435="","",100-IF($G$14=1,50,(_xlfn.RANK.AVG(H435,$H$19:$H$1518,1)-1)/($G$14-1)*100))</f>
        <v/>
      </c>
      <c r="L435" s="11">
        <f>IF(I435="","",IF($G$15=1,50,(_xlfn.RANK.AVG(I435,$I$19:$I$1518,1)-1)/($G$15-1)*100))</f>
        <v/>
      </c>
      <c r="M435" s="11">
        <f>IF(COUNT(J435:L435)=3,ROUND(AVERAGE(J435:L435),6),"")</f>
        <v/>
      </c>
      <c r="O435">
        <f>IF(AND(ISNUMBER('자료_미국심리'!$A419),ISNUMBER('자료_미국심리'!$B419)),'자료_미국심리'!$A419,"")</f>
        <v/>
      </c>
      <c r="P435">
        <f>IF(AND(ISNUMBER('자료_미국심리'!$D419),ISNUMBER('자료_미국심리'!$E419)),'자료_미국심리'!$D419,"")</f>
        <v/>
      </c>
      <c r="Q435">
        <f>IF(AND(ISNUMBER('자료_미국심리'!$G419),ISNUMBER('자료_미국심리'!$H419)),'자료_미국심리'!$G419,"")</f>
        <v/>
      </c>
    </row>
    <row r="436">
      <c r="A436" s="10">
        <f>IF(418&gt;$E$5,"",SMALL($O$19:$O$4018,$E$6+418))</f>
        <v/>
      </c>
      <c r="B436" s="29">
        <f>IF(A436="","",INDEX('자료_미국심리'!$B$3:$B$4002,MATCH(A436,$O$19:$O$4018,0)))</f>
        <v/>
      </c>
      <c r="C436" s="22">
        <f>IF(A436="","",B436/AVERAGE(B312:B436)-1)</f>
        <v/>
      </c>
      <c r="D436" s="29">
        <f>IF(A436="","",IFERROR(INDEX('자료_미국심리'!$E$3:$E$4002,MATCH(A436,$P$19:$P$4018,0)),D435))</f>
        <v/>
      </c>
      <c r="E436" s="29">
        <f>IF(A436="","",IFERROR(INDEX('자료_미국심리'!$H$3:$H$4002,MATCH(A436,$Q$19:$Q$4018,0)),E435))</f>
        <v/>
      </c>
      <c r="F436">
        <f>IF(A436="",0,IF(A436&gt;$B$5,1,0))</f>
        <v/>
      </c>
      <c r="G436" s="29">
        <f>IF(AND(F436=1,ISNUMBER(D436)),D436,"")</f>
        <v/>
      </c>
      <c r="H436" s="29">
        <f>IF(AND(F436=1,ISNUMBER(E436)),E436,"")</f>
        <v/>
      </c>
      <c r="I436" s="22">
        <f>IF(AND(F436=1,ISNUMBER(C436)),C436,"")</f>
        <v/>
      </c>
      <c r="J436" s="11">
        <f>IF(G436="","",100-IF($G$13=1,50,(_xlfn.RANK.AVG(G436,$G$19:$G$1518,1)-1)/($G$13-1)*100))</f>
        <v/>
      </c>
      <c r="K436" s="11">
        <f>IF(H436="","",100-IF($G$14=1,50,(_xlfn.RANK.AVG(H436,$H$19:$H$1518,1)-1)/($G$14-1)*100))</f>
        <v/>
      </c>
      <c r="L436" s="11">
        <f>IF(I436="","",IF($G$15=1,50,(_xlfn.RANK.AVG(I436,$I$19:$I$1518,1)-1)/($G$15-1)*100))</f>
        <v/>
      </c>
      <c r="M436" s="11">
        <f>IF(COUNT(J436:L436)=3,ROUND(AVERAGE(J436:L436),6),"")</f>
        <v/>
      </c>
      <c r="O436">
        <f>IF(AND(ISNUMBER('자료_미국심리'!$A420),ISNUMBER('자료_미국심리'!$B420)),'자료_미국심리'!$A420,"")</f>
        <v/>
      </c>
      <c r="P436">
        <f>IF(AND(ISNUMBER('자료_미국심리'!$D420),ISNUMBER('자료_미국심리'!$E420)),'자료_미국심리'!$D420,"")</f>
        <v/>
      </c>
      <c r="Q436">
        <f>IF(AND(ISNUMBER('자료_미국심리'!$G420),ISNUMBER('자료_미국심리'!$H420)),'자료_미국심리'!$G420,"")</f>
        <v/>
      </c>
    </row>
    <row r="437">
      <c r="A437" s="10">
        <f>IF(419&gt;$E$5,"",SMALL($O$19:$O$4018,$E$6+419))</f>
        <v/>
      </c>
      <c r="B437" s="29">
        <f>IF(A437="","",INDEX('자료_미국심리'!$B$3:$B$4002,MATCH(A437,$O$19:$O$4018,0)))</f>
        <v/>
      </c>
      <c r="C437" s="22">
        <f>IF(A437="","",B437/AVERAGE(B313:B437)-1)</f>
        <v/>
      </c>
      <c r="D437" s="29">
        <f>IF(A437="","",IFERROR(INDEX('자료_미국심리'!$E$3:$E$4002,MATCH(A437,$P$19:$P$4018,0)),D436))</f>
        <v/>
      </c>
      <c r="E437" s="29">
        <f>IF(A437="","",IFERROR(INDEX('자료_미국심리'!$H$3:$H$4002,MATCH(A437,$Q$19:$Q$4018,0)),E436))</f>
        <v/>
      </c>
      <c r="F437">
        <f>IF(A437="",0,IF(A437&gt;$B$5,1,0))</f>
        <v/>
      </c>
      <c r="G437" s="29">
        <f>IF(AND(F437=1,ISNUMBER(D437)),D437,"")</f>
        <v/>
      </c>
      <c r="H437" s="29">
        <f>IF(AND(F437=1,ISNUMBER(E437)),E437,"")</f>
        <v/>
      </c>
      <c r="I437" s="22">
        <f>IF(AND(F437=1,ISNUMBER(C437)),C437,"")</f>
        <v/>
      </c>
      <c r="J437" s="11">
        <f>IF(G437="","",100-IF($G$13=1,50,(_xlfn.RANK.AVG(G437,$G$19:$G$1518,1)-1)/($G$13-1)*100))</f>
        <v/>
      </c>
      <c r="K437" s="11">
        <f>IF(H437="","",100-IF($G$14=1,50,(_xlfn.RANK.AVG(H437,$H$19:$H$1518,1)-1)/($G$14-1)*100))</f>
        <v/>
      </c>
      <c r="L437" s="11">
        <f>IF(I437="","",IF($G$15=1,50,(_xlfn.RANK.AVG(I437,$I$19:$I$1518,1)-1)/($G$15-1)*100))</f>
        <v/>
      </c>
      <c r="M437" s="11">
        <f>IF(COUNT(J437:L437)=3,ROUND(AVERAGE(J437:L437),6),"")</f>
        <v/>
      </c>
      <c r="O437">
        <f>IF(AND(ISNUMBER('자료_미국심리'!$A421),ISNUMBER('자료_미국심리'!$B421)),'자료_미국심리'!$A421,"")</f>
        <v/>
      </c>
      <c r="P437">
        <f>IF(AND(ISNUMBER('자료_미국심리'!$D421),ISNUMBER('자료_미국심리'!$E421)),'자료_미국심리'!$D421,"")</f>
        <v/>
      </c>
      <c r="Q437">
        <f>IF(AND(ISNUMBER('자료_미국심리'!$G421),ISNUMBER('자료_미국심리'!$H421)),'자료_미국심리'!$G421,"")</f>
        <v/>
      </c>
    </row>
    <row r="438">
      <c r="A438" s="10">
        <f>IF(420&gt;$E$5,"",SMALL($O$19:$O$4018,$E$6+420))</f>
        <v/>
      </c>
      <c r="B438" s="29">
        <f>IF(A438="","",INDEX('자료_미국심리'!$B$3:$B$4002,MATCH(A438,$O$19:$O$4018,0)))</f>
        <v/>
      </c>
      <c r="C438" s="22">
        <f>IF(A438="","",B438/AVERAGE(B314:B438)-1)</f>
        <v/>
      </c>
      <c r="D438" s="29">
        <f>IF(A438="","",IFERROR(INDEX('자료_미국심리'!$E$3:$E$4002,MATCH(A438,$P$19:$P$4018,0)),D437))</f>
        <v/>
      </c>
      <c r="E438" s="29">
        <f>IF(A438="","",IFERROR(INDEX('자료_미국심리'!$H$3:$H$4002,MATCH(A438,$Q$19:$Q$4018,0)),E437))</f>
        <v/>
      </c>
      <c r="F438">
        <f>IF(A438="",0,IF(A438&gt;$B$5,1,0))</f>
        <v/>
      </c>
      <c r="G438" s="29">
        <f>IF(AND(F438=1,ISNUMBER(D438)),D438,"")</f>
        <v/>
      </c>
      <c r="H438" s="29">
        <f>IF(AND(F438=1,ISNUMBER(E438)),E438,"")</f>
        <v/>
      </c>
      <c r="I438" s="22">
        <f>IF(AND(F438=1,ISNUMBER(C438)),C438,"")</f>
        <v/>
      </c>
      <c r="J438" s="11">
        <f>IF(G438="","",100-IF($G$13=1,50,(_xlfn.RANK.AVG(G438,$G$19:$G$1518,1)-1)/($G$13-1)*100))</f>
        <v/>
      </c>
      <c r="K438" s="11">
        <f>IF(H438="","",100-IF($G$14=1,50,(_xlfn.RANK.AVG(H438,$H$19:$H$1518,1)-1)/($G$14-1)*100))</f>
        <v/>
      </c>
      <c r="L438" s="11">
        <f>IF(I438="","",IF($G$15=1,50,(_xlfn.RANK.AVG(I438,$I$19:$I$1518,1)-1)/($G$15-1)*100))</f>
        <v/>
      </c>
      <c r="M438" s="11">
        <f>IF(COUNT(J438:L438)=3,ROUND(AVERAGE(J438:L438),6),"")</f>
        <v/>
      </c>
      <c r="O438">
        <f>IF(AND(ISNUMBER('자료_미국심리'!$A422),ISNUMBER('자료_미국심리'!$B422)),'자료_미국심리'!$A422,"")</f>
        <v/>
      </c>
      <c r="P438">
        <f>IF(AND(ISNUMBER('자료_미국심리'!$D422),ISNUMBER('자료_미국심리'!$E422)),'자료_미국심리'!$D422,"")</f>
        <v/>
      </c>
      <c r="Q438">
        <f>IF(AND(ISNUMBER('자료_미국심리'!$G422),ISNUMBER('자료_미국심리'!$H422)),'자료_미국심리'!$G422,"")</f>
        <v/>
      </c>
    </row>
    <row r="439">
      <c r="A439" s="10">
        <f>IF(421&gt;$E$5,"",SMALL($O$19:$O$4018,$E$6+421))</f>
        <v/>
      </c>
      <c r="B439" s="29">
        <f>IF(A439="","",INDEX('자료_미국심리'!$B$3:$B$4002,MATCH(A439,$O$19:$O$4018,0)))</f>
        <v/>
      </c>
      <c r="C439" s="22">
        <f>IF(A439="","",B439/AVERAGE(B315:B439)-1)</f>
        <v/>
      </c>
      <c r="D439" s="29">
        <f>IF(A439="","",IFERROR(INDEX('자료_미국심리'!$E$3:$E$4002,MATCH(A439,$P$19:$P$4018,0)),D438))</f>
        <v/>
      </c>
      <c r="E439" s="29">
        <f>IF(A439="","",IFERROR(INDEX('자료_미국심리'!$H$3:$H$4002,MATCH(A439,$Q$19:$Q$4018,0)),E438))</f>
        <v/>
      </c>
      <c r="F439">
        <f>IF(A439="",0,IF(A439&gt;$B$5,1,0))</f>
        <v/>
      </c>
      <c r="G439" s="29">
        <f>IF(AND(F439=1,ISNUMBER(D439)),D439,"")</f>
        <v/>
      </c>
      <c r="H439" s="29">
        <f>IF(AND(F439=1,ISNUMBER(E439)),E439,"")</f>
        <v/>
      </c>
      <c r="I439" s="22">
        <f>IF(AND(F439=1,ISNUMBER(C439)),C439,"")</f>
        <v/>
      </c>
      <c r="J439" s="11">
        <f>IF(G439="","",100-IF($G$13=1,50,(_xlfn.RANK.AVG(G439,$G$19:$G$1518,1)-1)/($G$13-1)*100))</f>
        <v/>
      </c>
      <c r="K439" s="11">
        <f>IF(H439="","",100-IF($G$14=1,50,(_xlfn.RANK.AVG(H439,$H$19:$H$1518,1)-1)/($G$14-1)*100))</f>
        <v/>
      </c>
      <c r="L439" s="11">
        <f>IF(I439="","",IF($G$15=1,50,(_xlfn.RANK.AVG(I439,$I$19:$I$1518,1)-1)/($G$15-1)*100))</f>
        <v/>
      </c>
      <c r="M439" s="11">
        <f>IF(COUNT(J439:L439)=3,ROUND(AVERAGE(J439:L439),6),"")</f>
        <v/>
      </c>
      <c r="O439">
        <f>IF(AND(ISNUMBER('자료_미국심리'!$A423),ISNUMBER('자료_미국심리'!$B423)),'자료_미국심리'!$A423,"")</f>
        <v/>
      </c>
      <c r="P439">
        <f>IF(AND(ISNUMBER('자료_미국심리'!$D423),ISNUMBER('자료_미국심리'!$E423)),'자료_미국심리'!$D423,"")</f>
        <v/>
      </c>
      <c r="Q439">
        <f>IF(AND(ISNUMBER('자료_미국심리'!$G423),ISNUMBER('자료_미국심리'!$H423)),'자료_미국심리'!$G423,"")</f>
        <v/>
      </c>
    </row>
    <row r="440">
      <c r="A440" s="10">
        <f>IF(422&gt;$E$5,"",SMALL($O$19:$O$4018,$E$6+422))</f>
        <v/>
      </c>
      <c r="B440" s="29">
        <f>IF(A440="","",INDEX('자료_미국심리'!$B$3:$B$4002,MATCH(A440,$O$19:$O$4018,0)))</f>
        <v/>
      </c>
      <c r="C440" s="22">
        <f>IF(A440="","",B440/AVERAGE(B316:B440)-1)</f>
        <v/>
      </c>
      <c r="D440" s="29">
        <f>IF(A440="","",IFERROR(INDEX('자료_미국심리'!$E$3:$E$4002,MATCH(A440,$P$19:$P$4018,0)),D439))</f>
        <v/>
      </c>
      <c r="E440" s="29">
        <f>IF(A440="","",IFERROR(INDEX('자료_미국심리'!$H$3:$H$4002,MATCH(A440,$Q$19:$Q$4018,0)),E439))</f>
        <v/>
      </c>
      <c r="F440">
        <f>IF(A440="",0,IF(A440&gt;$B$5,1,0))</f>
        <v/>
      </c>
      <c r="G440" s="29">
        <f>IF(AND(F440=1,ISNUMBER(D440)),D440,"")</f>
        <v/>
      </c>
      <c r="H440" s="29">
        <f>IF(AND(F440=1,ISNUMBER(E440)),E440,"")</f>
        <v/>
      </c>
      <c r="I440" s="22">
        <f>IF(AND(F440=1,ISNUMBER(C440)),C440,"")</f>
        <v/>
      </c>
      <c r="J440" s="11">
        <f>IF(G440="","",100-IF($G$13=1,50,(_xlfn.RANK.AVG(G440,$G$19:$G$1518,1)-1)/($G$13-1)*100))</f>
        <v/>
      </c>
      <c r="K440" s="11">
        <f>IF(H440="","",100-IF($G$14=1,50,(_xlfn.RANK.AVG(H440,$H$19:$H$1518,1)-1)/($G$14-1)*100))</f>
        <v/>
      </c>
      <c r="L440" s="11">
        <f>IF(I440="","",IF($G$15=1,50,(_xlfn.RANK.AVG(I440,$I$19:$I$1518,1)-1)/($G$15-1)*100))</f>
        <v/>
      </c>
      <c r="M440" s="11">
        <f>IF(COUNT(J440:L440)=3,ROUND(AVERAGE(J440:L440),6),"")</f>
        <v/>
      </c>
      <c r="O440">
        <f>IF(AND(ISNUMBER('자료_미국심리'!$A424),ISNUMBER('자료_미국심리'!$B424)),'자료_미국심리'!$A424,"")</f>
        <v/>
      </c>
      <c r="P440">
        <f>IF(AND(ISNUMBER('자료_미국심리'!$D424),ISNUMBER('자료_미국심리'!$E424)),'자료_미국심리'!$D424,"")</f>
        <v/>
      </c>
      <c r="Q440">
        <f>IF(AND(ISNUMBER('자료_미국심리'!$G424),ISNUMBER('자료_미국심리'!$H424)),'자료_미국심리'!$G424,"")</f>
        <v/>
      </c>
    </row>
    <row r="441">
      <c r="A441" s="10">
        <f>IF(423&gt;$E$5,"",SMALL($O$19:$O$4018,$E$6+423))</f>
        <v/>
      </c>
      <c r="B441" s="29">
        <f>IF(A441="","",INDEX('자료_미국심리'!$B$3:$B$4002,MATCH(A441,$O$19:$O$4018,0)))</f>
        <v/>
      </c>
      <c r="C441" s="22">
        <f>IF(A441="","",B441/AVERAGE(B317:B441)-1)</f>
        <v/>
      </c>
      <c r="D441" s="29">
        <f>IF(A441="","",IFERROR(INDEX('자료_미국심리'!$E$3:$E$4002,MATCH(A441,$P$19:$P$4018,0)),D440))</f>
        <v/>
      </c>
      <c r="E441" s="29">
        <f>IF(A441="","",IFERROR(INDEX('자료_미국심리'!$H$3:$H$4002,MATCH(A441,$Q$19:$Q$4018,0)),E440))</f>
        <v/>
      </c>
      <c r="F441">
        <f>IF(A441="",0,IF(A441&gt;$B$5,1,0))</f>
        <v/>
      </c>
      <c r="G441" s="29">
        <f>IF(AND(F441=1,ISNUMBER(D441)),D441,"")</f>
        <v/>
      </c>
      <c r="H441" s="29">
        <f>IF(AND(F441=1,ISNUMBER(E441)),E441,"")</f>
        <v/>
      </c>
      <c r="I441" s="22">
        <f>IF(AND(F441=1,ISNUMBER(C441)),C441,"")</f>
        <v/>
      </c>
      <c r="J441" s="11">
        <f>IF(G441="","",100-IF($G$13=1,50,(_xlfn.RANK.AVG(G441,$G$19:$G$1518,1)-1)/($G$13-1)*100))</f>
        <v/>
      </c>
      <c r="K441" s="11">
        <f>IF(H441="","",100-IF($G$14=1,50,(_xlfn.RANK.AVG(H441,$H$19:$H$1518,1)-1)/($G$14-1)*100))</f>
        <v/>
      </c>
      <c r="L441" s="11">
        <f>IF(I441="","",IF($G$15=1,50,(_xlfn.RANK.AVG(I441,$I$19:$I$1518,1)-1)/($G$15-1)*100))</f>
        <v/>
      </c>
      <c r="M441" s="11">
        <f>IF(COUNT(J441:L441)=3,ROUND(AVERAGE(J441:L441),6),"")</f>
        <v/>
      </c>
      <c r="O441">
        <f>IF(AND(ISNUMBER('자료_미국심리'!$A425),ISNUMBER('자료_미국심리'!$B425)),'자료_미국심리'!$A425,"")</f>
        <v/>
      </c>
      <c r="P441">
        <f>IF(AND(ISNUMBER('자료_미국심리'!$D425),ISNUMBER('자료_미국심리'!$E425)),'자료_미국심리'!$D425,"")</f>
        <v/>
      </c>
      <c r="Q441">
        <f>IF(AND(ISNUMBER('자료_미국심리'!$G425),ISNUMBER('자료_미국심리'!$H425)),'자료_미국심리'!$G425,"")</f>
        <v/>
      </c>
    </row>
    <row r="442">
      <c r="A442" s="10">
        <f>IF(424&gt;$E$5,"",SMALL($O$19:$O$4018,$E$6+424))</f>
        <v/>
      </c>
      <c r="B442" s="29">
        <f>IF(A442="","",INDEX('자료_미국심리'!$B$3:$B$4002,MATCH(A442,$O$19:$O$4018,0)))</f>
        <v/>
      </c>
      <c r="C442" s="22">
        <f>IF(A442="","",B442/AVERAGE(B318:B442)-1)</f>
        <v/>
      </c>
      <c r="D442" s="29">
        <f>IF(A442="","",IFERROR(INDEX('자료_미국심리'!$E$3:$E$4002,MATCH(A442,$P$19:$P$4018,0)),D441))</f>
        <v/>
      </c>
      <c r="E442" s="29">
        <f>IF(A442="","",IFERROR(INDEX('자료_미국심리'!$H$3:$H$4002,MATCH(A442,$Q$19:$Q$4018,0)),E441))</f>
        <v/>
      </c>
      <c r="F442">
        <f>IF(A442="",0,IF(A442&gt;$B$5,1,0))</f>
        <v/>
      </c>
      <c r="G442" s="29">
        <f>IF(AND(F442=1,ISNUMBER(D442)),D442,"")</f>
        <v/>
      </c>
      <c r="H442" s="29">
        <f>IF(AND(F442=1,ISNUMBER(E442)),E442,"")</f>
        <v/>
      </c>
      <c r="I442" s="22">
        <f>IF(AND(F442=1,ISNUMBER(C442)),C442,"")</f>
        <v/>
      </c>
      <c r="J442" s="11">
        <f>IF(G442="","",100-IF($G$13=1,50,(_xlfn.RANK.AVG(G442,$G$19:$G$1518,1)-1)/($G$13-1)*100))</f>
        <v/>
      </c>
      <c r="K442" s="11">
        <f>IF(H442="","",100-IF($G$14=1,50,(_xlfn.RANK.AVG(H442,$H$19:$H$1518,1)-1)/($G$14-1)*100))</f>
        <v/>
      </c>
      <c r="L442" s="11">
        <f>IF(I442="","",IF($G$15=1,50,(_xlfn.RANK.AVG(I442,$I$19:$I$1518,1)-1)/($G$15-1)*100))</f>
        <v/>
      </c>
      <c r="M442" s="11">
        <f>IF(COUNT(J442:L442)=3,ROUND(AVERAGE(J442:L442),6),"")</f>
        <v/>
      </c>
      <c r="O442">
        <f>IF(AND(ISNUMBER('자료_미국심리'!$A426),ISNUMBER('자료_미국심리'!$B426)),'자료_미국심리'!$A426,"")</f>
        <v/>
      </c>
      <c r="P442">
        <f>IF(AND(ISNUMBER('자료_미국심리'!$D426),ISNUMBER('자료_미국심리'!$E426)),'자료_미국심리'!$D426,"")</f>
        <v/>
      </c>
      <c r="Q442">
        <f>IF(AND(ISNUMBER('자료_미국심리'!$G426),ISNUMBER('자료_미국심리'!$H426)),'자료_미국심리'!$G426,"")</f>
        <v/>
      </c>
    </row>
    <row r="443">
      <c r="A443" s="10">
        <f>IF(425&gt;$E$5,"",SMALL($O$19:$O$4018,$E$6+425))</f>
        <v/>
      </c>
      <c r="B443" s="29">
        <f>IF(A443="","",INDEX('자료_미국심리'!$B$3:$B$4002,MATCH(A443,$O$19:$O$4018,0)))</f>
        <v/>
      </c>
      <c r="C443" s="22">
        <f>IF(A443="","",B443/AVERAGE(B319:B443)-1)</f>
        <v/>
      </c>
      <c r="D443" s="29">
        <f>IF(A443="","",IFERROR(INDEX('자료_미국심리'!$E$3:$E$4002,MATCH(A443,$P$19:$P$4018,0)),D442))</f>
        <v/>
      </c>
      <c r="E443" s="29">
        <f>IF(A443="","",IFERROR(INDEX('자료_미국심리'!$H$3:$H$4002,MATCH(A443,$Q$19:$Q$4018,0)),E442))</f>
        <v/>
      </c>
      <c r="F443">
        <f>IF(A443="",0,IF(A443&gt;$B$5,1,0))</f>
        <v/>
      </c>
      <c r="G443" s="29">
        <f>IF(AND(F443=1,ISNUMBER(D443)),D443,"")</f>
        <v/>
      </c>
      <c r="H443" s="29">
        <f>IF(AND(F443=1,ISNUMBER(E443)),E443,"")</f>
        <v/>
      </c>
      <c r="I443" s="22">
        <f>IF(AND(F443=1,ISNUMBER(C443)),C443,"")</f>
        <v/>
      </c>
      <c r="J443" s="11">
        <f>IF(G443="","",100-IF($G$13=1,50,(_xlfn.RANK.AVG(G443,$G$19:$G$1518,1)-1)/($G$13-1)*100))</f>
        <v/>
      </c>
      <c r="K443" s="11">
        <f>IF(H443="","",100-IF($G$14=1,50,(_xlfn.RANK.AVG(H443,$H$19:$H$1518,1)-1)/($G$14-1)*100))</f>
        <v/>
      </c>
      <c r="L443" s="11">
        <f>IF(I443="","",IF($G$15=1,50,(_xlfn.RANK.AVG(I443,$I$19:$I$1518,1)-1)/($G$15-1)*100))</f>
        <v/>
      </c>
      <c r="M443" s="11">
        <f>IF(COUNT(J443:L443)=3,ROUND(AVERAGE(J443:L443),6),"")</f>
        <v/>
      </c>
      <c r="O443">
        <f>IF(AND(ISNUMBER('자료_미국심리'!$A427),ISNUMBER('자료_미국심리'!$B427)),'자료_미국심리'!$A427,"")</f>
        <v/>
      </c>
      <c r="P443">
        <f>IF(AND(ISNUMBER('자료_미국심리'!$D427),ISNUMBER('자료_미국심리'!$E427)),'자료_미국심리'!$D427,"")</f>
        <v/>
      </c>
      <c r="Q443">
        <f>IF(AND(ISNUMBER('자료_미국심리'!$G427),ISNUMBER('자료_미국심리'!$H427)),'자료_미국심리'!$G427,"")</f>
        <v/>
      </c>
    </row>
    <row r="444">
      <c r="A444" s="10">
        <f>IF(426&gt;$E$5,"",SMALL($O$19:$O$4018,$E$6+426))</f>
        <v/>
      </c>
      <c r="B444" s="29">
        <f>IF(A444="","",INDEX('자료_미국심리'!$B$3:$B$4002,MATCH(A444,$O$19:$O$4018,0)))</f>
        <v/>
      </c>
      <c r="C444" s="22">
        <f>IF(A444="","",B444/AVERAGE(B320:B444)-1)</f>
        <v/>
      </c>
      <c r="D444" s="29">
        <f>IF(A444="","",IFERROR(INDEX('자료_미국심리'!$E$3:$E$4002,MATCH(A444,$P$19:$P$4018,0)),D443))</f>
        <v/>
      </c>
      <c r="E444" s="29">
        <f>IF(A444="","",IFERROR(INDEX('자료_미국심리'!$H$3:$H$4002,MATCH(A444,$Q$19:$Q$4018,0)),E443))</f>
        <v/>
      </c>
      <c r="F444">
        <f>IF(A444="",0,IF(A444&gt;$B$5,1,0))</f>
        <v/>
      </c>
      <c r="G444" s="29">
        <f>IF(AND(F444=1,ISNUMBER(D444)),D444,"")</f>
        <v/>
      </c>
      <c r="H444" s="29">
        <f>IF(AND(F444=1,ISNUMBER(E444)),E444,"")</f>
        <v/>
      </c>
      <c r="I444" s="22">
        <f>IF(AND(F444=1,ISNUMBER(C444)),C444,"")</f>
        <v/>
      </c>
      <c r="J444" s="11">
        <f>IF(G444="","",100-IF($G$13=1,50,(_xlfn.RANK.AVG(G444,$G$19:$G$1518,1)-1)/($G$13-1)*100))</f>
        <v/>
      </c>
      <c r="K444" s="11">
        <f>IF(H444="","",100-IF($G$14=1,50,(_xlfn.RANK.AVG(H444,$H$19:$H$1518,1)-1)/($G$14-1)*100))</f>
        <v/>
      </c>
      <c r="L444" s="11">
        <f>IF(I444="","",IF($G$15=1,50,(_xlfn.RANK.AVG(I444,$I$19:$I$1518,1)-1)/($G$15-1)*100))</f>
        <v/>
      </c>
      <c r="M444" s="11">
        <f>IF(COUNT(J444:L444)=3,ROUND(AVERAGE(J444:L444),6),"")</f>
        <v/>
      </c>
      <c r="O444">
        <f>IF(AND(ISNUMBER('자료_미국심리'!$A428),ISNUMBER('자료_미국심리'!$B428)),'자료_미국심리'!$A428,"")</f>
        <v/>
      </c>
      <c r="P444">
        <f>IF(AND(ISNUMBER('자료_미국심리'!$D428),ISNUMBER('자료_미국심리'!$E428)),'자료_미국심리'!$D428,"")</f>
        <v/>
      </c>
      <c r="Q444">
        <f>IF(AND(ISNUMBER('자료_미국심리'!$G428),ISNUMBER('자료_미국심리'!$H428)),'자료_미국심리'!$G428,"")</f>
        <v/>
      </c>
    </row>
    <row r="445">
      <c r="A445" s="10">
        <f>IF(427&gt;$E$5,"",SMALL($O$19:$O$4018,$E$6+427))</f>
        <v/>
      </c>
      <c r="B445" s="29">
        <f>IF(A445="","",INDEX('자료_미국심리'!$B$3:$B$4002,MATCH(A445,$O$19:$O$4018,0)))</f>
        <v/>
      </c>
      <c r="C445" s="22">
        <f>IF(A445="","",B445/AVERAGE(B321:B445)-1)</f>
        <v/>
      </c>
      <c r="D445" s="29">
        <f>IF(A445="","",IFERROR(INDEX('자료_미국심리'!$E$3:$E$4002,MATCH(A445,$P$19:$P$4018,0)),D444))</f>
        <v/>
      </c>
      <c r="E445" s="29">
        <f>IF(A445="","",IFERROR(INDEX('자료_미국심리'!$H$3:$H$4002,MATCH(A445,$Q$19:$Q$4018,0)),E444))</f>
        <v/>
      </c>
      <c r="F445">
        <f>IF(A445="",0,IF(A445&gt;$B$5,1,0))</f>
        <v/>
      </c>
      <c r="G445" s="29">
        <f>IF(AND(F445=1,ISNUMBER(D445)),D445,"")</f>
        <v/>
      </c>
      <c r="H445" s="29">
        <f>IF(AND(F445=1,ISNUMBER(E445)),E445,"")</f>
        <v/>
      </c>
      <c r="I445" s="22">
        <f>IF(AND(F445=1,ISNUMBER(C445)),C445,"")</f>
        <v/>
      </c>
      <c r="J445" s="11">
        <f>IF(G445="","",100-IF($G$13=1,50,(_xlfn.RANK.AVG(G445,$G$19:$G$1518,1)-1)/($G$13-1)*100))</f>
        <v/>
      </c>
      <c r="K445" s="11">
        <f>IF(H445="","",100-IF($G$14=1,50,(_xlfn.RANK.AVG(H445,$H$19:$H$1518,1)-1)/($G$14-1)*100))</f>
        <v/>
      </c>
      <c r="L445" s="11">
        <f>IF(I445="","",IF($G$15=1,50,(_xlfn.RANK.AVG(I445,$I$19:$I$1518,1)-1)/($G$15-1)*100))</f>
        <v/>
      </c>
      <c r="M445" s="11">
        <f>IF(COUNT(J445:L445)=3,ROUND(AVERAGE(J445:L445),6),"")</f>
        <v/>
      </c>
      <c r="O445">
        <f>IF(AND(ISNUMBER('자료_미국심리'!$A429),ISNUMBER('자료_미국심리'!$B429)),'자료_미국심리'!$A429,"")</f>
        <v/>
      </c>
      <c r="P445">
        <f>IF(AND(ISNUMBER('자료_미국심리'!$D429),ISNUMBER('자료_미국심리'!$E429)),'자료_미국심리'!$D429,"")</f>
        <v/>
      </c>
      <c r="Q445">
        <f>IF(AND(ISNUMBER('자료_미국심리'!$G429),ISNUMBER('자료_미국심리'!$H429)),'자료_미국심리'!$G429,"")</f>
        <v/>
      </c>
    </row>
    <row r="446">
      <c r="A446" s="10">
        <f>IF(428&gt;$E$5,"",SMALL($O$19:$O$4018,$E$6+428))</f>
        <v/>
      </c>
      <c r="B446" s="29">
        <f>IF(A446="","",INDEX('자료_미국심리'!$B$3:$B$4002,MATCH(A446,$O$19:$O$4018,0)))</f>
        <v/>
      </c>
      <c r="C446" s="22">
        <f>IF(A446="","",B446/AVERAGE(B322:B446)-1)</f>
        <v/>
      </c>
      <c r="D446" s="29">
        <f>IF(A446="","",IFERROR(INDEX('자료_미국심리'!$E$3:$E$4002,MATCH(A446,$P$19:$P$4018,0)),D445))</f>
        <v/>
      </c>
      <c r="E446" s="29">
        <f>IF(A446="","",IFERROR(INDEX('자료_미국심리'!$H$3:$H$4002,MATCH(A446,$Q$19:$Q$4018,0)),E445))</f>
        <v/>
      </c>
      <c r="F446">
        <f>IF(A446="",0,IF(A446&gt;$B$5,1,0))</f>
        <v/>
      </c>
      <c r="G446" s="29">
        <f>IF(AND(F446=1,ISNUMBER(D446)),D446,"")</f>
        <v/>
      </c>
      <c r="H446" s="29">
        <f>IF(AND(F446=1,ISNUMBER(E446)),E446,"")</f>
        <v/>
      </c>
      <c r="I446" s="22">
        <f>IF(AND(F446=1,ISNUMBER(C446)),C446,"")</f>
        <v/>
      </c>
      <c r="J446" s="11">
        <f>IF(G446="","",100-IF($G$13=1,50,(_xlfn.RANK.AVG(G446,$G$19:$G$1518,1)-1)/($G$13-1)*100))</f>
        <v/>
      </c>
      <c r="K446" s="11">
        <f>IF(H446="","",100-IF($G$14=1,50,(_xlfn.RANK.AVG(H446,$H$19:$H$1518,1)-1)/($G$14-1)*100))</f>
        <v/>
      </c>
      <c r="L446" s="11">
        <f>IF(I446="","",IF($G$15=1,50,(_xlfn.RANK.AVG(I446,$I$19:$I$1518,1)-1)/($G$15-1)*100))</f>
        <v/>
      </c>
      <c r="M446" s="11">
        <f>IF(COUNT(J446:L446)=3,ROUND(AVERAGE(J446:L446),6),"")</f>
        <v/>
      </c>
      <c r="O446">
        <f>IF(AND(ISNUMBER('자료_미국심리'!$A430),ISNUMBER('자료_미국심리'!$B430)),'자료_미국심리'!$A430,"")</f>
        <v/>
      </c>
      <c r="P446">
        <f>IF(AND(ISNUMBER('자료_미국심리'!$D430),ISNUMBER('자료_미국심리'!$E430)),'자료_미국심리'!$D430,"")</f>
        <v/>
      </c>
      <c r="Q446">
        <f>IF(AND(ISNUMBER('자료_미국심리'!$G430),ISNUMBER('자료_미국심리'!$H430)),'자료_미국심리'!$G430,"")</f>
        <v/>
      </c>
    </row>
    <row r="447">
      <c r="A447" s="10">
        <f>IF(429&gt;$E$5,"",SMALL($O$19:$O$4018,$E$6+429))</f>
        <v/>
      </c>
      <c r="B447" s="29">
        <f>IF(A447="","",INDEX('자료_미국심리'!$B$3:$B$4002,MATCH(A447,$O$19:$O$4018,0)))</f>
        <v/>
      </c>
      <c r="C447" s="22">
        <f>IF(A447="","",B447/AVERAGE(B323:B447)-1)</f>
        <v/>
      </c>
      <c r="D447" s="29">
        <f>IF(A447="","",IFERROR(INDEX('자료_미국심리'!$E$3:$E$4002,MATCH(A447,$P$19:$P$4018,0)),D446))</f>
        <v/>
      </c>
      <c r="E447" s="29">
        <f>IF(A447="","",IFERROR(INDEX('자료_미국심리'!$H$3:$H$4002,MATCH(A447,$Q$19:$Q$4018,0)),E446))</f>
        <v/>
      </c>
      <c r="F447">
        <f>IF(A447="",0,IF(A447&gt;$B$5,1,0))</f>
        <v/>
      </c>
      <c r="G447" s="29">
        <f>IF(AND(F447=1,ISNUMBER(D447)),D447,"")</f>
        <v/>
      </c>
      <c r="H447" s="29">
        <f>IF(AND(F447=1,ISNUMBER(E447)),E447,"")</f>
        <v/>
      </c>
      <c r="I447" s="22">
        <f>IF(AND(F447=1,ISNUMBER(C447)),C447,"")</f>
        <v/>
      </c>
      <c r="J447" s="11">
        <f>IF(G447="","",100-IF($G$13=1,50,(_xlfn.RANK.AVG(G447,$G$19:$G$1518,1)-1)/($G$13-1)*100))</f>
        <v/>
      </c>
      <c r="K447" s="11">
        <f>IF(H447="","",100-IF($G$14=1,50,(_xlfn.RANK.AVG(H447,$H$19:$H$1518,1)-1)/($G$14-1)*100))</f>
        <v/>
      </c>
      <c r="L447" s="11">
        <f>IF(I447="","",IF($G$15=1,50,(_xlfn.RANK.AVG(I447,$I$19:$I$1518,1)-1)/($G$15-1)*100))</f>
        <v/>
      </c>
      <c r="M447" s="11">
        <f>IF(COUNT(J447:L447)=3,ROUND(AVERAGE(J447:L447),6),"")</f>
        <v/>
      </c>
      <c r="O447">
        <f>IF(AND(ISNUMBER('자료_미국심리'!$A431),ISNUMBER('자료_미국심리'!$B431)),'자료_미국심리'!$A431,"")</f>
        <v/>
      </c>
      <c r="P447">
        <f>IF(AND(ISNUMBER('자료_미국심리'!$D431),ISNUMBER('자료_미국심리'!$E431)),'자료_미국심리'!$D431,"")</f>
        <v/>
      </c>
      <c r="Q447">
        <f>IF(AND(ISNUMBER('자료_미국심리'!$G431),ISNUMBER('자료_미국심리'!$H431)),'자료_미국심리'!$G431,"")</f>
        <v/>
      </c>
    </row>
    <row r="448">
      <c r="A448" s="10">
        <f>IF(430&gt;$E$5,"",SMALL($O$19:$O$4018,$E$6+430))</f>
        <v/>
      </c>
      <c r="B448" s="29">
        <f>IF(A448="","",INDEX('자료_미국심리'!$B$3:$B$4002,MATCH(A448,$O$19:$O$4018,0)))</f>
        <v/>
      </c>
      <c r="C448" s="22">
        <f>IF(A448="","",B448/AVERAGE(B324:B448)-1)</f>
        <v/>
      </c>
      <c r="D448" s="29">
        <f>IF(A448="","",IFERROR(INDEX('자료_미국심리'!$E$3:$E$4002,MATCH(A448,$P$19:$P$4018,0)),D447))</f>
        <v/>
      </c>
      <c r="E448" s="29">
        <f>IF(A448="","",IFERROR(INDEX('자료_미국심리'!$H$3:$H$4002,MATCH(A448,$Q$19:$Q$4018,0)),E447))</f>
        <v/>
      </c>
      <c r="F448">
        <f>IF(A448="",0,IF(A448&gt;$B$5,1,0))</f>
        <v/>
      </c>
      <c r="G448" s="29">
        <f>IF(AND(F448=1,ISNUMBER(D448)),D448,"")</f>
        <v/>
      </c>
      <c r="H448" s="29">
        <f>IF(AND(F448=1,ISNUMBER(E448)),E448,"")</f>
        <v/>
      </c>
      <c r="I448" s="22">
        <f>IF(AND(F448=1,ISNUMBER(C448)),C448,"")</f>
        <v/>
      </c>
      <c r="J448" s="11">
        <f>IF(G448="","",100-IF($G$13=1,50,(_xlfn.RANK.AVG(G448,$G$19:$G$1518,1)-1)/($G$13-1)*100))</f>
        <v/>
      </c>
      <c r="K448" s="11">
        <f>IF(H448="","",100-IF($G$14=1,50,(_xlfn.RANK.AVG(H448,$H$19:$H$1518,1)-1)/($G$14-1)*100))</f>
        <v/>
      </c>
      <c r="L448" s="11">
        <f>IF(I448="","",IF($G$15=1,50,(_xlfn.RANK.AVG(I448,$I$19:$I$1518,1)-1)/($G$15-1)*100))</f>
        <v/>
      </c>
      <c r="M448" s="11">
        <f>IF(COUNT(J448:L448)=3,ROUND(AVERAGE(J448:L448),6),"")</f>
        <v/>
      </c>
      <c r="O448">
        <f>IF(AND(ISNUMBER('자료_미국심리'!$A432),ISNUMBER('자료_미국심리'!$B432)),'자료_미국심리'!$A432,"")</f>
        <v/>
      </c>
      <c r="P448">
        <f>IF(AND(ISNUMBER('자료_미국심리'!$D432),ISNUMBER('자료_미국심리'!$E432)),'자료_미국심리'!$D432,"")</f>
        <v/>
      </c>
      <c r="Q448">
        <f>IF(AND(ISNUMBER('자료_미국심리'!$G432),ISNUMBER('자료_미국심리'!$H432)),'자료_미국심리'!$G432,"")</f>
        <v/>
      </c>
    </row>
    <row r="449">
      <c r="A449" s="10">
        <f>IF(431&gt;$E$5,"",SMALL($O$19:$O$4018,$E$6+431))</f>
        <v/>
      </c>
      <c r="B449" s="29">
        <f>IF(A449="","",INDEX('자료_미국심리'!$B$3:$B$4002,MATCH(A449,$O$19:$O$4018,0)))</f>
        <v/>
      </c>
      <c r="C449" s="22">
        <f>IF(A449="","",B449/AVERAGE(B325:B449)-1)</f>
        <v/>
      </c>
      <c r="D449" s="29">
        <f>IF(A449="","",IFERROR(INDEX('자료_미국심리'!$E$3:$E$4002,MATCH(A449,$P$19:$P$4018,0)),D448))</f>
        <v/>
      </c>
      <c r="E449" s="29">
        <f>IF(A449="","",IFERROR(INDEX('자료_미국심리'!$H$3:$H$4002,MATCH(A449,$Q$19:$Q$4018,0)),E448))</f>
        <v/>
      </c>
      <c r="F449">
        <f>IF(A449="",0,IF(A449&gt;$B$5,1,0))</f>
        <v/>
      </c>
      <c r="G449" s="29">
        <f>IF(AND(F449=1,ISNUMBER(D449)),D449,"")</f>
        <v/>
      </c>
      <c r="H449" s="29">
        <f>IF(AND(F449=1,ISNUMBER(E449)),E449,"")</f>
        <v/>
      </c>
      <c r="I449" s="22">
        <f>IF(AND(F449=1,ISNUMBER(C449)),C449,"")</f>
        <v/>
      </c>
      <c r="J449" s="11">
        <f>IF(G449="","",100-IF($G$13=1,50,(_xlfn.RANK.AVG(G449,$G$19:$G$1518,1)-1)/($G$13-1)*100))</f>
        <v/>
      </c>
      <c r="K449" s="11">
        <f>IF(H449="","",100-IF($G$14=1,50,(_xlfn.RANK.AVG(H449,$H$19:$H$1518,1)-1)/($G$14-1)*100))</f>
        <v/>
      </c>
      <c r="L449" s="11">
        <f>IF(I449="","",IF($G$15=1,50,(_xlfn.RANK.AVG(I449,$I$19:$I$1518,1)-1)/($G$15-1)*100))</f>
        <v/>
      </c>
      <c r="M449" s="11">
        <f>IF(COUNT(J449:L449)=3,ROUND(AVERAGE(J449:L449),6),"")</f>
        <v/>
      </c>
      <c r="O449">
        <f>IF(AND(ISNUMBER('자료_미국심리'!$A433),ISNUMBER('자료_미국심리'!$B433)),'자료_미국심리'!$A433,"")</f>
        <v/>
      </c>
      <c r="P449">
        <f>IF(AND(ISNUMBER('자료_미국심리'!$D433),ISNUMBER('자료_미국심리'!$E433)),'자료_미국심리'!$D433,"")</f>
        <v/>
      </c>
      <c r="Q449">
        <f>IF(AND(ISNUMBER('자료_미국심리'!$G433),ISNUMBER('자료_미국심리'!$H433)),'자료_미국심리'!$G433,"")</f>
        <v/>
      </c>
    </row>
    <row r="450">
      <c r="A450" s="10">
        <f>IF(432&gt;$E$5,"",SMALL($O$19:$O$4018,$E$6+432))</f>
        <v/>
      </c>
      <c r="B450" s="29">
        <f>IF(A450="","",INDEX('자료_미국심리'!$B$3:$B$4002,MATCH(A450,$O$19:$O$4018,0)))</f>
        <v/>
      </c>
      <c r="C450" s="22">
        <f>IF(A450="","",B450/AVERAGE(B326:B450)-1)</f>
        <v/>
      </c>
      <c r="D450" s="29">
        <f>IF(A450="","",IFERROR(INDEX('자료_미국심리'!$E$3:$E$4002,MATCH(A450,$P$19:$P$4018,0)),D449))</f>
        <v/>
      </c>
      <c r="E450" s="29">
        <f>IF(A450="","",IFERROR(INDEX('자료_미국심리'!$H$3:$H$4002,MATCH(A450,$Q$19:$Q$4018,0)),E449))</f>
        <v/>
      </c>
      <c r="F450">
        <f>IF(A450="",0,IF(A450&gt;$B$5,1,0))</f>
        <v/>
      </c>
      <c r="G450" s="29">
        <f>IF(AND(F450=1,ISNUMBER(D450)),D450,"")</f>
        <v/>
      </c>
      <c r="H450" s="29">
        <f>IF(AND(F450=1,ISNUMBER(E450)),E450,"")</f>
        <v/>
      </c>
      <c r="I450" s="22">
        <f>IF(AND(F450=1,ISNUMBER(C450)),C450,"")</f>
        <v/>
      </c>
      <c r="J450" s="11">
        <f>IF(G450="","",100-IF($G$13=1,50,(_xlfn.RANK.AVG(G450,$G$19:$G$1518,1)-1)/($G$13-1)*100))</f>
        <v/>
      </c>
      <c r="K450" s="11">
        <f>IF(H450="","",100-IF($G$14=1,50,(_xlfn.RANK.AVG(H450,$H$19:$H$1518,1)-1)/($G$14-1)*100))</f>
        <v/>
      </c>
      <c r="L450" s="11">
        <f>IF(I450="","",IF($G$15=1,50,(_xlfn.RANK.AVG(I450,$I$19:$I$1518,1)-1)/($G$15-1)*100))</f>
        <v/>
      </c>
      <c r="M450" s="11">
        <f>IF(COUNT(J450:L450)=3,ROUND(AVERAGE(J450:L450),6),"")</f>
        <v/>
      </c>
      <c r="O450">
        <f>IF(AND(ISNUMBER('자료_미국심리'!$A434),ISNUMBER('자료_미국심리'!$B434)),'자료_미국심리'!$A434,"")</f>
        <v/>
      </c>
      <c r="P450">
        <f>IF(AND(ISNUMBER('자료_미국심리'!$D434),ISNUMBER('자료_미국심리'!$E434)),'자료_미국심리'!$D434,"")</f>
        <v/>
      </c>
      <c r="Q450">
        <f>IF(AND(ISNUMBER('자료_미국심리'!$G434),ISNUMBER('자료_미국심리'!$H434)),'자료_미국심리'!$G434,"")</f>
        <v/>
      </c>
    </row>
    <row r="451">
      <c r="A451" s="10">
        <f>IF(433&gt;$E$5,"",SMALL($O$19:$O$4018,$E$6+433))</f>
        <v/>
      </c>
      <c r="B451" s="29">
        <f>IF(A451="","",INDEX('자료_미국심리'!$B$3:$B$4002,MATCH(A451,$O$19:$O$4018,0)))</f>
        <v/>
      </c>
      <c r="C451" s="22">
        <f>IF(A451="","",B451/AVERAGE(B327:B451)-1)</f>
        <v/>
      </c>
      <c r="D451" s="29">
        <f>IF(A451="","",IFERROR(INDEX('자료_미국심리'!$E$3:$E$4002,MATCH(A451,$P$19:$P$4018,0)),D450))</f>
        <v/>
      </c>
      <c r="E451" s="29">
        <f>IF(A451="","",IFERROR(INDEX('자료_미국심리'!$H$3:$H$4002,MATCH(A451,$Q$19:$Q$4018,0)),E450))</f>
        <v/>
      </c>
      <c r="F451">
        <f>IF(A451="",0,IF(A451&gt;$B$5,1,0))</f>
        <v/>
      </c>
      <c r="G451" s="29">
        <f>IF(AND(F451=1,ISNUMBER(D451)),D451,"")</f>
        <v/>
      </c>
      <c r="H451" s="29">
        <f>IF(AND(F451=1,ISNUMBER(E451)),E451,"")</f>
        <v/>
      </c>
      <c r="I451" s="22">
        <f>IF(AND(F451=1,ISNUMBER(C451)),C451,"")</f>
        <v/>
      </c>
      <c r="J451" s="11">
        <f>IF(G451="","",100-IF($G$13=1,50,(_xlfn.RANK.AVG(G451,$G$19:$G$1518,1)-1)/($G$13-1)*100))</f>
        <v/>
      </c>
      <c r="K451" s="11">
        <f>IF(H451="","",100-IF($G$14=1,50,(_xlfn.RANK.AVG(H451,$H$19:$H$1518,1)-1)/($G$14-1)*100))</f>
        <v/>
      </c>
      <c r="L451" s="11">
        <f>IF(I451="","",IF($G$15=1,50,(_xlfn.RANK.AVG(I451,$I$19:$I$1518,1)-1)/($G$15-1)*100))</f>
        <v/>
      </c>
      <c r="M451" s="11">
        <f>IF(COUNT(J451:L451)=3,ROUND(AVERAGE(J451:L451),6),"")</f>
        <v/>
      </c>
      <c r="O451">
        <f>IF(AND(ISNUMBER('자료_미국심리'!$A435),ISNUMBER('자료_미국심리'!$B435)),'자료_미국심리'!$A435,"")</f>
        <v/>
      </c>
      <c r="P451">
        <f>IF(AND(ISNUMBER('자료_미국심리'!$D435),ISNUMBER('자료_미국심리'!$E435)),'자료_미국심리'!$D435,"")</f>
        <v/>
      </c>
      <c r="Q451">
        <f>IF(AND(ISNUMBER('자료_미국심리'!$G435),ISNUMBER('자료_미국심리'!$H435)),'자료_미국심리'!$G435,"")</f>
        <v/>
      </c>
    </row>
    <row r="452">
      <c r="A452" s="10">
        <f>IF(434&gt;$E$5,"",SMALL($O$19:$O$4018,$E$6+434))</f>
        <v/>
      </c>
      <c r="B452" s="29">
        <f>IF(A452="","",INDEX('자료_미국심리'!$B$3:$B$4002,MATCH(A452,$O$19:$O$4018,0)))</f>
        <v/>
      </c>
      <c r="C452" s="22">
        <f>IF(A452="","",B452/AVERAGE(B328:B452)-1)</f>
        <v/>
      </c>
      <c r="D452" s="29">
        <f>IF(A452="","",IFERROR(INDEX('자료_미국심리'!$E$3:$E$4002,MATCH(A452,$P$19:$P$4018,0)),D451))</f>
        <v/>
      </c>
      <c r="E452" s="29">
        <f>IF(A452="","",IFERROR(INDEX('자료_미국심리'!$H$3:$H$4002,MATCH(A452,$Q$19:$Q$4018,0)),E451))</f>
        <v/>
      </c>
      <c r="F452">
        <f>IF(A452="",0,IF(A452&gt;$B$5,1,0))</f>
        <v/>
      </c>
      <c r="G452" s="29">
        <f>IF(AND(F452=1,ISNUMBER(D452)),D452,"")</f>
        <v/>
      </c>
      <c r="H452" s="29">
        <f>IF(AND(F452=1,ISNUMBER(E452)),E452,"")</f>
        <v/>
      </c>
      <c r="I452" s="22">
        <f>IF(AND(F452=1,ISNUMBER(C452)),C452,"")</f>
        <v/>
      </c>
      <c r="J452" s="11">
        <f>IF(G452="","",100-IF($G$13=1,50,(_xlfn.RANK.AVG(G452,$G$19:$G$1518,1)-1)/($G$13-1)*100))</f>
        <v/>
      </c>
      <c r="K452" s="11">
        <f>IF(H452="","",100-IF($G$14=1,50,(_xlfn.RANK.AVG(H452,$H$19:$H$1518,1)-1)/($G$14-1)*100))</f>
        <v/>
      </c>
      <c r="L452" s="11">
        <f>IF(I452="","",IF($G$15=1,50,(_xlfn.RANK.AVG(I452,$I$19:$I$1518,1)-1)/($G$15-1)*100))</f>
        <v/>
      </c>
      <c r="M452" s="11">
        <f>IF(COUNT(J452:L452)=3,ROUND(AVERAGE(J452:L452),6),"")</f>
        <v/>
      </c>
      <c r="O452">
        <f>IF(AND(ISNUMBER('자료_미국심리'!$A436),ISNUMBER('자료_미국심리'!$B436)),'자료_미국심리'!$A436,"")</f>
        <v/>
      </c>
      <c r="P452">
        <f>IF(AND(ISNUMBER('자료_미국심리'!$D436),ISNUMBER('자료_미국심리'!$E436)),'자료_미국심리'!$D436,"")</f>
        <v/>
      </c>
      <c r="Q452">
        <f>IF(AND(ISNUMBER('자료_미국심리'!$G436),ISNUMBER('자료_미국심리'!$H436)),'자료_미국심리'!$G436,"")</f>
        <v/>
      </c>
    </row>
    <row r="453">
      <c r="A453" s="10">
        <f>IF(435&gt;$E$5,"",SMALL($O$19:$O$4018,$E$6+435))</f>
        <v/>
      </c>
      <c r="B453" s="29">
        <f>IF(A453="","",INDEX('자료_미국심리'!$B$3:$B$4002,MATCH(A453,$O$19:$O$4018,0)))</f>
        <v/>
      </c>
      <c r="C453" s="22">
        <f>IF(A453="","",B453/AVERAGE(B329:B453)-1)</f>
        <v/>
      </c>
      <c r="D453" s="29">
        <f>IF(A453="","",IFERROR(INDEX('자료_미국심리'!$E$3:$E$4002,MATCH(A453,$P$19:$P$4018,0)),D452))</f>
        <v/>
      </c>
      <c r="E453" s="29">
        <f>IF(A453="","",IFERROR(INDEX('자료_미국심리'!$H$3:$H$4002,MATCH(A453,$Q$19:$Q$4018,0)),E452))</f>
        <v/>
      </c>
      <c r="F453">
        <f>IF(A453="",0,IF(A453&gt;$B$5,1,0))</f>
        <v/>
      </c>
      <c r="G453" s="29">
        <f>IF(AND(F453=1,ISNUMBER(D453)),D453,"")</f>
        <v/>
      </c>
      <c r="H453" s="29">
        <f>IF(AND(F453=1,ISNUMBER(E453)),E453,"")</f>
        <v/>
      </c>
      <c r="I453" s="22">
        <f>IF(AND(F453=1,ISNUMBER(C453)),C453,"")</f>
        <v/>
      </c>
      <c r="J453" s="11">
        <f>IF(G453="","",100-IF($G$13=1,50,(_xlfn.RANK.AVG(G453,$G$19:$G$1518,1)-1)/($G$13-1)*100))</f>
        <v/>
      </c>
      <c r="K453" s="11">
        <f>IF(H453="","",100-IF($G$14=1,50,(_xlfn.RANK.AVG(H453,$H$19:$H$1518,1)-1)/($G$14-1)*100))</f>
        <v/>
      </c>
      <c r="L453" s="11">
        <f>IF(I453="","",IF($G$15=1,50,(_xlfn.RANK.AVG(I453,$I$19:$I$1518,1)-1)/($G$15-1)*100))</f>
        <v/>
      </c>
      <c r="M453" s="11">
        <f>IF(COUNT(J453:L453)=3,ROUND(AVERAGE(J453:L453),6),"")</f>
        <v/>
      </c>
      <c r="O453">
        <f>IF(AND(ISNUMBER('자료_미국심리'!$A437),ISNUMBER('자료_미국심리'!$B437)),'자료_미국심리'!$A437,"")</f>
        <v/>
      </c>
      <c r="P453">
        <f>IF(AND(ISNUMBER('자료_미국심리'!$D437),ISNUMBER('자료_미국심리'!$E437)),'자료_미국심리'!$D437,"")</f>
        <v/>
      </c>
      <c r="Q453">
        <f>IF(AND(ISNUMBER('자료_미국심리'!$G437),ISNUMBER('자료_미국심리'!$H437)),'자료_미국심리'!$G437,"")</f>
        <v/>
      </c>
    </row>
    <row r="454">
      <c r="A454" s="10">
        <f>IF(436&gt;$E$5,"",SMALL($O$19:$O$4018,$E$6+436))</f>
        <v/>
      </c>
      <c r="B454" s="29">
        <f>IF(A454="","",INDEX('자료_미국심리'!$B$3:$B$4002,MATCH(A454,$O$19:$O$4018,0)))</f>
        <v/>
      </c>
      <c r="C454" s="22">
        <f>IF(A454="","",B454/AVERAGE(B330:B454)-1)</f>
        <v/>
      </c>
      <c r="D454" s="29">
        <f>IF(A454="","",IFERROR(INDEX('자료_미국심리'!$E$3:$E$4002,MATCH(A454,$P$19:$P$4018,0)),D453))</f>
        <v/>
      </c>
      <c r="E454" s="29">
        <f>IF(A454="","",IFERROR(INDEX('자료_미국심리'!$H$3:$H$4002,MATCH(A454,$Q$19:$Q$4018,0)),E453))</f>
        <v/>
      </c>
      <c r="F454">
        <f>IF(A454="",0,IF(A454&gt;$B$5,1,0))</f>
        <v/>
      </c>
      <c r="G454" s="29">
        <f>IF(AND(F454=1,ISNUMBER(D454)),D454,"")</f>
        <v/>
      </c>
      <c r="H454" s="29">
        <f>IF(AND(F454=1,ISNUMBER(E454)),E454,"")</f>
        <v/>
      </c>
      <c r="I454" s="22">
        <f>IF(AND(F454=1,ISNUMBER(C454)),C454,"")</f>
        <v/>
      </c>
      <c r="J454" s="11">
        <f>IF(G454="","",100-IF($G$13=1,50,(_xlfn.RANK.AVG(G454,$G$19:$G$1518,1)-1)/($G$13-1)*100))</f>
        <v/>
      </c>
      <c r="K454" s="11">
        <f>IF(H454="","",100-IF($G$14=1,50,(_xlfn.RANK.AVG(H454,$H$19:$H$1518,1)-1)/($G$14-1)*100))</f>
        <v/>
      </c>
      <c r="L454" s="11">
        <f>IF(I454="","",IF($G$15=1,50,(_xlfn.RANK.AVG(I454,$I$19:$I$1518,1)-1)/($G$15-1)*100))</f>
        <v/>
      </c>
      <c r="M454" s="11">
        <f>IF(COUNT(J454:L454)=3,ROUND(AVERAGE(J454:L454),6),"")</f>
        <v/>
      </c>
      <c r="O454">
        <f>IF(AND(ISNUMBER('자료_미국심리'!$A438),ISNUMBER('자료_미국심리'!$B438)),'자료_미국심리'!$A438,"")</f>
        <v/>
      </c>
      <c r="P454">
        <f>IF(AND(ISNUMBER('자료_미국심리'!$D438),ISNUMBER('자료_미국심리'!$E438)),'자료_미국심리'!$D438,"")</f>
        <v/>
      </c>
      <c r="Q454">
        <f>IF(AND(ISNUMBER('자료_미국심리'!$G438),ISNUMBER('자료_미국심리'!$H438)),'자료_미국심리'!$G438,"")</f>
        <v/>
      </c>
    </row>
    <row r="455">
      <c r="A455" s="10">
        <f>IF(437&gt;$E$5,"",SMALL($O$19:$O$4018,$E$6+437))</f>
        <v/>
      </c>
      <c r="B455" s="29">
        <f>IF(A455="","",INDEX('자료_미국심리'!$B$3:$B$4002,MATCH(A455,$O$19:$O$4018,0)))</f>
        <v/>
      </c>
      <c r="C455" s="22">
        <f>IF(A455="","",B455/AVERAGE(B331:B455)-1)</f>
        <v/>
      </c>
      <c r="D455" s="29">
        <f>IF(A455="","",IFERROR(INDEX('자료_미국심리'!$E$3:$E$4002,MATCH(A455,$P$19:$P$4018,0)),D454))</f>
        <v/>
      </c>
      <c r="E455" s="29">
        <f>IF(A455="","",IFERROR(INDEX('자료_미국심리'!$H$3:$H$4002,MATCH(A455,$Q$19:$Q$4018,0)),E454))</f>
        <v/>
      </c>
      <c r="F455">
        <f>IF(A455="",0,IF(A455&gt;$B$5,1,0))</f>
        <v/>
      </c>
      <c r="G455" s="29">
        <f>IF(AND(F455=1,ISNUMBER(D455)),D455,"")</f>
        <v/>
      </c>
      <c r="H455" s="29">
        <f>IF(AND(F455=1,ISNUMBER(E455)),E455,"")</f>
        <v/>
      </c>
      <c r="I455" s="22">
        <f>IF(AND(F455=1,ISNUMBER(C455)),C455,"")</f>
        <v/>
      </c>
      <c r="J455" s="11">
        <f>IF(G455="","",100-IF($G$13=1,50,(_xlfn.RANK.AVG(G455,$G$19:$G$1518,1)-1)/($G$13-1)*100))</f>
        <v/>
      </c>
      <c r="K455" s="11">
        <f>IF(H455="","",100-IF($G$14=1,50,(_xlfn.RANK.AVG(H455,$H$19:$H$1518,1)-1)/($G$14-1)*100))</f>
        <v/>
      </c>
      <c r="L455" s="11">
        <f>IF(I455="","",IF($G$15=1,50,(_xlfn.RANK.AVG(I455,$I$19:$I$1518,1)-1)/($G$15-1)*100))</f>
        <v/>
      </c>
      <c r="M455" s="11">
        <f>IF(COUNT(J455:L455)=3,ROUND(AVERAGE(J455:L455),6),"")</f>
        <v/>
      </c>
      <c r="O455">
        <f>IF(AND(ISNUMBER('자료_미국심리'!$A439),ISNUMBER('자료_미국심리'!$B439)),'자료_미국심리'!$A439,"")</f>
        <v/>
      </c>
      <c r="P455">
        <f>IF(AND(ISNUMBER('자료_미국심리'!$D439),ISNUMBER('자료_미국심리'!$E439)),'자료_미국심리'!$D439,"")</f>
        <v/>
      </c>
      <c r="Q455">
        <f>IF(AND(ISNUMBER('자료_미국심리'!$G439),ISNUMBER('자료_미국심리'!$H439)),'자료_미국심리'!$G439,"")</f>
        <v/>
      </c>
    </row>
    <row r="456">
      <c r="A456" s="10">
        <f>IF(438&gt;$E$5,"",SMALL($O$19:$O$4018,$E$6+438))</f>
        <v/>
      </c>
      <c r="B456" s="29">
        <f>IF(A456="","",INDEX('자료_미국심리'!$B$3:$B$4002,MATCH(A456,$O$19:$O$4018,0)))</f>
        <v/>
      </c>
      <c r="C456" s="22">
        <f>IF(A456="","",B456/AVERAGE(B332:B456)-1)</f>
        <v/>
      </c>
      <c r="D456" s="29">
        <f>IF(A456="","",IFERROR(INDEX('자료_미국심리'!$E$3:$E$4002,MATCH(A456,$P$19:$P$4018,0)),D455))</f>
        <v/>
      </c>
      <c r="E456" s="29">
        <f>IF(A456="","",IFERROR(INDEX('자료_미국심리'!$H$3:$H$4002,MATCH(A456,$Q$19:$Q$4018,0)),E455))</f>
        <v/>
      </c>
      <c r="F456">
        <f>IF(A456="",0,IF(A456&gt;$B$5,1,0))</f>
        <v/>
      </c>
      <c r="G456" s="29">
        <f>IF(AND(F456=1,ISNUMBER(D456)),D456,"")</f>
        <v/>
      </c>
      <c r="H456" s="29">
        <f>IF(AND(F456=1,ISNUMBER(E456)),E456,"")</f>
        <v/>
      </c>
      <c r="I456" s="22">
        <f>IF(AND(F456=1,ISNUMBER(C456)),C456,"")</f>
        <v/>
      </c>
      <c r="J456" s="11">
        <f>IF(G456="","",100-IF($G$13=1,50,(_xlfn.RANK.AVG(G456,$G$19:$G$1518,1)-1)/($G$13-1)*100))</f>
        <v/>
      </c>
      <c r="K456" s="11">
        <f>IF(H456="","",100-IF($G$14=1,50,(_xlfn.RANK.AVG(H456,$H$19:$H$1518,1)-1)/($G$14-1)*100))</f>
        <v/>
      </c>
      <c r="L456" s="11">
        <f>IF(I456="","",IF($G$15=1,50,(_xlfn.RANK.AVG(I456,$I$19:$I$1518,1)-1)/($G$15-1)*100))</f>
        <v/>
      </c>
      <c r="M456" s="11">
        <f>IF(COUNT(J456:L456)=3,ROUND(AVERAGE(J456:L456),6),"")</f>
        <v/>
      </c>
      <c r="O456">
        <f>IF(AND(ISNUMBER('자료_미국심리'!$A440),ISNUMBER('자료_미국심리'!$B440)),'자료_미국심리'!$A440,"")</f>
        <v/>
      </c>
      <c r="P456">
        <f>IF(AND(ISNUMBER('자료_미국심리'!$D440),ISNUMBER('자료_미국심리'!$E440)),'자료_미국심리'!$D440,"")</f>
        <v/>
      </c>
      <c r="Q456">
        <f>IF(AND(ISNUMBER('자료_미국심리'!$G440),ISNUMBER('자료_미국심리'!$H440)),'자료_미국심리'!$G440,"")</f>
        <v/>
      </c>
    </row>
    <row r="457">
      <c r="A457" s="10">
        <f>IF(439&gt;$E$5,"",SMALL($O$19:$O$4018,$E$6+439))</f>
        <v/>
      </c>
      <c r="B457" s="29">
        <f>IF(A457="","",INDEX('자료_미국심리'!$B$3:$B$4002,MATCH(A457,$O$19:$O$4018,0)))</f>
        <v/>
      </c>
      <c r="C457" s="22">
        <f>IF(A457="","",B457/AVERAGE(B333:B457)-1)</f>
        <v/>
      </c>
      <c r="D457" s="29">
        <f>IF(A457="","",IFERROR(INDEX('자료_미국심리'!$E$3:$E$4002,MATCH(A457,$P$19:$P$4018,0)),D456))</f>
        <v/>
      </c>
      <c r="E457" s="29">
        <f>IF(A457="","",IFERROR(INDEX('자료_미국심리'!$H$3:$H$4002,MATCH(A457,$Q$19:$Q$4018,0)),E456))</f>
        <v/>
      </c>
      <c r="F457">
        <f>IF(A457="",0,IF(A457&gt;$B$5,1,0))</f>
        <v/>
      </c>
      <c r="G457" s="29">
        <f>IF(AND(F457=1,ISNUMBER(D457)),D457,"")</f>
        <v/>
      </c>
      <c r="H457" s="29">
        <f>IF(AND(F457=1,ISNUMBER(E457)),E457,"")</f>
        <v/>
      </c>
      <c r="I457" s="22">
        <f>IF(AND(F457=1,ISNUMBER(C457)),C457,"")</f>
        <v/>
      </c>
      <c r="J457" s="11">
        <f>IF(G457="","",100-IF($G$13=1,50,(_xlfn.RANK.AVG(G457,$G$19:$G$1518,1)-1)/($G$13-1)*100))</f>
        <v/>
      </c>
      <c r="K457" s="11">
        <f>IF(H457="","",100-IF($G$14=1,50,(_xlfn.RANK.AVG(H457,$H$19:$H$1518,1)-1)/($G$14-1)*100))</f>
        <v/>
      </c>
      <c r="L457" s="11">
        <f>IF(I457="","",IF($G$15=1,50,(_xlfn.RANK.AVG(I457,$I$19:$I$1518,1)-1)/($G$15-1)*100))</f>
        <v/>
      </c>
      <c r="M457" s="11">
        <f>IF(COUNT(J457:L457)=3,ROUND(AVERAGE(J457:L457),6),"")</f>
        <v/>
      </c>
      <c r="O457">
        <f>IF(AND(ISNUMBER('자료_미국심리'!$A441),ISNUMBER('자료_미국심리'!$B441)),'자료_미국심리'!$A441,"")</f>
        <v/>
      </c>
      <c r="P457">
        <f>IF(AND(ISNUMBER('자료_미국심리'!$D441),ISNUMBER('자료_미국심리'!$E441)),'자료_미국심리'!$D441,"")</f>
        <v/>
      </c>
      <c r="Q457">
        <f>IF(AND(ISNUMBER('자료_미국심리'!$G441),ISNUMBER('자료_미국심리'!$H441)),'자료_미국심리'!$G441,"")</f>
        <v/>
      </c>
    </row>
    <row r="458">
      <c r="A458" s="10">
        <f>IF(440&gt;$E$5,"",SMALL($O$19:$O$4018,$E$6+440))</f>
        <v/>
      </c>
      <c r="B458" s="29">
        <f>IF(A458="","",INDEX('자료_미국심리'!$B$3:$B$4002,MATCH(A458,$O$19:$O$4018,0)))</f>
        <v/>
      </c>
      <c r="C458" s="22">
        <f>IF(A458="","",B458/AVERAGE(B334:B458)-1)</f>
        <v/>
      </c>
      <c r="D458" s="29">
        <f>IF(A458="","",IFERROR(INDEX('자료_미국심리'!$E$3:$E$4002,MATCH(A458,$P$19:$P$4018,0)),D457))</f>
        <v/>
      </c>
      <c r="E458" s="29">
        <f>IF(A458="","",IFERROR(INDEX('자료_미국심리'!$H$3:$H$4002,MATCH(A458,$Q$19:$Q$4018,0)),E457))</f>
        <v/>
      </c>
      <c r="F458">
        <f>IF(A458="",0,IF(A458&gt;$B$5,1,0))</f>
        <v/>
      </c>
      <c r="G458" s="29">
        <f>IF(AND(F458=1,ISNUMBER(D458)),D458,"")</f>
        <v/>
      </c>
      <c r="H458" s="29">
        <f>IF(AND(F458=1,ISNUMBER(E458)),E458,"")</f>
        <v/>
      </c>
      <c r="I458" s="22">
        <f>IF(AND(F458=1,ISNUMBER(C458)),C458,"")</f>
        <v/>
      </c>
      <c r="J458" s="11">
        <f>IF(G458="","",100-IF($G$13=1,50,(_xlfn.RANK.AVG(G458,$G$19:$G$1518,1)-1)/($G$13-1)*100))</f>
        <v/>
      </c>
      <c r="K458" s="11">
        <f>IF(H458="","",100-IF($G$14=1,50,(_xlfn.RANK.AVG(H458,$H$19:$H$1518,1)-1)/($G$14-1)*100))</f>
        <v/>
      </c>
      <c r="L458" s="11">
        <f>IF(I458="","",IF($G$15=1,50,(_xlfn.RANK.AVG(I458,$I$19:$I$1518,1)-1)/($G$15-1)*100))</f>
        <v/>
      </c>
      <c r="M458" s="11">
        <f>IF(COUNT(J458:L458)=3,ROUND(AVERAGE(J458:L458),6),"")</f>
        <v/>
      </c>
      <c r="O458">
        <f>IF(AND(ISNUMBER('자료_미국심리'!$A442),ISNUMBER('자료_미국심리'!$B442)),'자료_미국심리'!$A442,"")</f>
        <v/>
      </c>
      <c r="P458">
        <f>IF(AND(ISNUMBER('자료_미국심리'!$D442),ISNUMBER('자료_미국심리'!$E442)),'자료_미국심리'!$D442,"")</f>
        <v/>
      </c>
      <c r="Q458">
        <f>IF(AND(ISNUMBER('자료_미국심리'!$G442),ISNUMBER('자료_미국심리'!$H442)),'자료_미국심리'!$G442,"")</f>
        <v/>
      </c>
    </row>
    <row r="459">
      <c r="A459" s="10">
        <f>IF(441&gt;$E$5,"",SMALL($O$19:$O$4018,$E$6+441))</f>
        <v/>
      </c>
      <c r="B459" s="29">
        <f>IF(A459="","",INDEX('자료_미국심리'!$B$3:$B$4002,MATCH(A459,$O$19:$O$4018,0)))</f>
        <v/>
      </c>
      <c r="C459" s="22">
        <f>IF(A459="","",B459/AVERAGE(B335:B459)-1)</f>
        <v/>
      </c>
      <c r="D459" s="29">
        <f>IF(A459="","",IFERROR(INDEX('자료_미국심리'!$E$3:$E$4002,MATCH(A459,$P$19:$P$4018,0)),D458))</f>
        <v/>
      </c>
      <c r="E459" s="29">
        <f>IF(A459="","",IFERROR(INDEX('자료_미국심리'!$H$3:$H$4002,MATCH(A459,$Q$19:$Q$4018,0)),E458))</f>
        <v/>
      </c>
      <c r="F459">
        <f>IF(A459="",0,IF(A459&gt;$B$5,1,0))</f>
        <v/>
      </c>
      <c r="G459" s="29">
        <f>IF(AND(F459=1,ISNUMBER(D459)),D459,"")</f>
        <v/>
      </c>
      <c r="H459" s="29">
        <f>IF(AND(F459=1,ISNUMBER(E459)),E459,"")</f>
        <v/>
      </c>
      <c r="I459" s="22">
        <f>IF(AND(F459=1,ISNUMBER(C459)),C459,"")</f>
        <v/>
      </c>
      <c r="J459" s="11">
        <f>IF(G459="","",100-IF($G$13=1,50,(_xlfn.RANK.AVG(G459,$G$19:$G$1518,1)-1)/($G$13-1)*100))</f>
        <v/>
      </c>
      <c r="K459" s="11">
        <f>IF(H459="","",100-IF($G$14=1,50,(_xlfn.RANK.AVG(H459,$H$19:$H$1518,1)-1)/($G$14-1)*100))</f>
        <v/>
      </c>
      <c r="L459" s="11">
        <f>IF(I459="","",IF($G$15=1,50,(_xlfn.RANK.AVG(I459,$I$19:$I$1518,1)-1)/($G$15-1)*100))</f>
        <v/>
      </c>
      <c r="M459" s="11">
        <f>IF(COUNT(J459:L459)=3,ROUND(AVERAGE(J459:L459),6),"")</f>
        <v/>
      </c>
      <c r="O459">
        <f>IF(AND(ISNUMBER('자료_미국심리'!$A443),ISNUMBER('자료_미국심리'!$B443)),'자료_미국심리'!$A443,"")</f>
        <v/>
      </c>
      <c r="P459">
        <f>IF(AND(ISNUMBER('자료_미국심리'!$D443),ISNUMBER('자료_미국심리'!$E443)),'자료_미국심리'!$D443,"")</f>
        <v/>
      </c>
      <c r="Q459">
        <f>IF(AND(ISNUMBER('자료_미국심리'!$G443),ISNUMBER('자료_미국심리'!$H443)),'자료_미국심리'!$G443,"")</f>
        <v/>
      </c>
    </row>
    <row r="460">
      <c r="A460" s="10">
        <f>IF(442&gt;$E$5,"",SMALL($O$19:$O$4018,$E$6+442))</f>
        <v/>
      </c>
      <c r="B460" s="29">
        <f>IF(A460="","",INDEX('자료_미국심리'!$B$3:$B$4002,MATCH(A460,$O$19:$O$4018,0)))</f>
        <v/>
      </c>
      <c r="C460" s="22">
        <f>IF(A460="","",B460/AVERAGE(B336:B460)-1)</f>
        <v/>
      </c>
      <c r="D460" s="29">
        <f>IF(A460="","",IFERROR(INDEX('자료_미국심리'!$E$3:$E$4002,MATCH(A460,$P$19:$P$4018,0)),D459))</f>
        <v/>
      </c>
      <c r="E460" s="29">
        <f>IF(A460="","",IFERROR(INDEX('자료_미국심리'!$H$3:$H$4002,MATCH(A460,$Q$19:$Q$4018,0)),E459))</f>
        <v/>
      </c>
      <c r="F460">
        <f>IF(A460="",0,IF(A460&gt;$B$5,1,0))</f>
        <v/>
      </c>
      <c r="G460" s="29">
        <f>IF(AND(F460=1,ISNUMBER(D460)),D460,"")</f>
        <v/>
      </c>
      <c r="H460" s="29">
        <f>IF(AND(F460=1,ISNUMBER(E460)),E460,"")</f>
        <v/>
      </c>
      <c r="I460" s="22">
        <f>IF(AND(F460=1,ISNUMBER(C460)),C460,"")</f>
        <v/>
      </c>
      <c r="J460" s="11">
        <f>IF(G460="","",100-IF($G$13=1,50,(_xlfn.RANK.AVG(G460,$G$19:$G$1518,1)-1)/($G$13-1)*100))</f>
        <v/>
      </c>
      <c r="K460" s="11">
        <f>IF(H460="","",100-IF($G$14=1,50,(_xlfn.RANK.AVG(H460,$H$19:$H$1518,1)-1)/($G$14-1)*100))</f>
        <v/>
      </c>
      <c r="L460" s="11">
        <f>IF(I460="","",IF($G$15=1,50,(_xlfn.RANK.AVG(I460,$I$19:$I$1518,1)-1)/($G$15-1)*100))</f>
        <v/>
      </c>
      <c r="M460" s="11">
        <f>IF(COUNT(J460:L460)=3,ROUND(AVERAGE(J460:L460),6),"")</f>
        <v/>
      </c>
      <c r="O460">
        <f>IF(AND(ISNUMBER('자료_미국심리'!$A444),ISNUMBER('자료_미국심리'!$B444)),'자료_미국심리'!$A444,"")</f>
        <v/>
      </c>
      <c r="P460">
        <f>IF(AND(ISNUMBER('자료_미국심리'!$D444),ISNUMBER('자료_미국심리'!$E444)),'자료_미국심리'!$D444,"")</f>
        <v/>
      </c>
      <c r="Q460">
        <f>IF(AND(ISNUMBER('자료_미국심리'!$G444),ISNUMBER('자료_미국심리'!$H444)),'자료_미국심리'!$G444,"")</f>
        <v/>
      </c>
    </row>
    <row r="461">
      <c r="A461" s="10">
        <f>IF(443&gt;$E$5,"",SMALL($O$19:$O$4018,$E$6+443))</f>
        <v/>
      </c>
      <c r="B461" s="29">
        <f>IF(A461="","",INDEX('자료_미국심리'!$B$3:$B$4002,MATCH(A461,$O$19:$O$4018,0)))</f>
        <v/>
      </c>
      <c r="C461" s="22">
        <f>IF(A461="","",B461/AVERAGE(B337:B461)-1)</f>
        <v/>
      </c>
      <c r="D461" s="29">
        <f>IF(A461="","",IFERROR(INDEX('자료_미국심리'!$E$3:$E$4002,MATCH(A461,$P$19:$P$4018,0)),D460))</f>
        <v/>
      </c>
      <c r="E461" s="29">
        <f>IF(A461="","",IFERROR(INDEX('자료_미국심리'!$H$3:$H$4002,MATCH(A461,$Q$19:$Q$4018,0)),E460))</f>
        <v/>
      </c>
      <c r="F461">
        <f>IF(A461="",0,IF(A461&gt;$B$5,1,0))</f>
        <v/>
      </c>
      <c r="G461" s="29">
        <f>IF(AND(F461=1,ISNUMBER(D461)),D461,"")</f>
        <v/>
      </c>
      <c r="H461" s="29">
        <f>IF(AND(F461=1,ISNUMBER(E461)),E461,"")</f>
        <v/>
      </c>
      <c r="I461" s="22">
        <f>IF(AND(F461=1,ISNUMBER(C461)),C461,"")</f>
        <v/>
      </c>
      <c r="J461" s="11">
        <f>IF(G461="","",100-IF($G$13=1,50,(_xlfn.RANK.AVG(G461,$G$19:$G$1518,1)-1)/($G$13-1)*100))</f>
        <v/>
      </c>
      <c r="K461" s="11">
        <f>IF(H461="","",100-IF($G$14=1,50,(_xlfn.RANK.AVG(H461,$H$19:$H$1518,1)-1)/($G$14-1)*100))</f>
        <v/>
      </c>
      <c r="L461" s="11">
        <f>IF(I461="","",IF($G$15=1,50,(_xlfn.RANK.AVG(I461,$I$19:$I$1518,1)-1)/($G$15-1)*100))</f>
        <v/>
      </c>
      <c r="M461" s="11">
        <f>IF(COUNT(J461:L461)=3,ROUND(AVERAGE(J461:L461),6),"")</f>
        <v/>
      </c>
      <c r="O461">
        <f>IF(AND(ISNUMBER('자료_미국심리'!$A445),ISNUMBER('자료_미국심리'!$B445)),'자료_미국심리'!$A445,"")</f>
        <v/>
      </c>
      <c r="P461">
        <f>IF(AND(ISNUMBER('자료_미국심리'!$D445),ISNUMBER('자료_미국심리'!$E445)),'자료_미국심리'!$D445,"")</f>
        <v/>
      </c>
      <c r="Q461">
        <f>IF(AND(ISNUMBER('자료_미국심리'!$G445),ISNUMBER('자료_미국심리'!$H445)),'자료_미국심리'!$G445,"")</f>
        <v/>
      </c>
    </row>
    <row r="462">
      <c r="A462" s="10">
        <f>IF(444&gt;$E$5,"",SMALL($O$19:$O$4018,$E$6+444))</f>
        <v/>
      </c>
      <c r="B462" s="29">
        <f>IF(A462="","",INDEX('자료_미국심리'!$B$3:$B$4002,MATCH(A462,$O$19:$O$4018,0)))</f>
        <v/>
      </c>
      <c r="C462" s="22">
        <f>IF(A462="","",B462/AVERAGE(B338:B462)-1)</f>
        <v/>
      </c>
      <c r="D462" s="29">
        <f>IF(A462="","",IFERROR(INDEX('자료_미국심리'!$E$3:$E$4002,MATCH(A462,$P$19:$P$4018,0)),D461))</f>
        <v/>
      </c>
      <c r="E462" s="29">
        <f>IF(A462="","",IFERROR(INDEX('자료_미국심리'!$H$3:$H$4002,MATCH(A462,$Q$19:$Q$4018,0)),E461))</f>
        <v/>
      </c>
      <c r="F462">
        <f>IF(A462="",0,IF(A462&gt;$B$5,1,0))</f>
        <v/>
      </c>
      <c r="G462" s="29">
        <f>IF(AND(F462=1,ISNUMBER(D462)),D462,"")</f>
        <v/>
      </c>
      <c r="H462" s="29">
        <f>IF(AND(F462=1,ISNUMBER(E462)),E462,"")</f>
        <v/>
      </c>
      <c r="I462" s="22">
        <f>IF(AND(F462=1,ISNUMBER(C462)),C462,"")</f>
        <v/>
      </c>
      <c r="J462" s="11">
        <f>IF(G462="","",100-IF($G$13=1,50,(_xlfn.RANK.AVG(G462,$G$19:$G$1518,1)-1)/($G$13-1)*100))</f>
        <v/>
      </c>
      <c r="K462" s="11">
        <f>IF(H462="","",100-IF($G$14=1,50,(_xlfn.RANK.AVG(H462,$H$19:$H$1518,1)-1)/($G$14-1)*100))</f>
        <v/>
      </c>
      <c r="L462" s="11">
        <f>IF(I462="","",IF($G$15=1,50,(_xlfn.RANK.AVG(I462,$I$19:$I$1518,1)-1)/($G$15-1)*100))</f>
        <v/>
      </c>
      <c r="M462" s="11">
        <f>IF(COUNT(J462:L462)=3,ROUND(AVERAGE(J462:L462),6),"")</f>
        <v/>
      </c>
      <c r="O462">
        <f>IF(AND(ISNUMBER('자료_미국심리'!$A446),ISNUMBER('자료_미국심리'!$B446)),'자료_미국심리'!$A446,"")</f>
        <v/>
      </c>
      <c r="P462">
        <f>IF(AND(ISNUMBER('자료_미국심리'!$D446),ISNUMBER('자료_미국심리'!$E446)),'자료_미국심리'!$D446,"")</f>
        <v/>
      </c>
      <c r="Q462">
        <f>IF(AND(ISNUMBER('자료_미국심리'!$G446),ISNUMBER('자료_미국심리'!$H446)),'자료_미국심리'!$G446,"")</f>
        <v/>
      </c>
    </row>
    <row r="463">
      <c r="A463" s="10">
        <f>IF(445&gt;$E$5,"",SMALL($O$19:$O$4018,$E$6+445))</f>
        <v/>
      </c>
      <c r="B463" s="29">
        <f>IF(A463="","",INDEX('자료_미국심리'!$B$3:$B$4002,MATCH(A463,$O$19:$O$4018,0)))</f>
        <v/>
      </c>
      <c r="C463" s="22">
        <f>IF(A463="","",B463/AVERAGE(B339:B463)-1)</f>
        <v/>
      </c>
      <c r="D463" s="29">
        <f>IF(A463="","",IFERROR(INDEX('자료_미국심리'!$E$3:$E$4002,MATCH(A463,$P$19:$P$4018,0)),D462))</f>
        <v/>
      </c>
      <c r="E463" s="29">
        <f>IF(A463="","",IFERROR(INDEX('자료_미국심리'!$H$3:$H$4002,MATCH(A463,$Q$19:$Q$4018,0)),E462))</f>
        <v/>
      </c>
      <c r="F463">
        <f>IF(A463="",0,IF(A463&gt;$B$5,1,0))</f>
        <v/>
      </c>
      <c r="G463" s="29">
        <f>IF(AND(F463=1,ISNUMBER(D463)),D463,"")</f>
        <v/>
      </c>
      <c r="H463" s="29">
        <f>IF(AND(F463=1,ISNUMBER(E463)),E463,"")</f>
        <v/>
      </c>
      <c r="I463" s="22">
        <f>IF(AND(F463=1,ISNUMBER(C463)),C463,"")</f>
        <v/>
      </c>
      <c r="J463" s="11">
        <f>IF(G463="","",100-IF($G$13=1,50,(_xlfn.RANK.AVG(G463,$G$19:$G$1518,1)-1)/($G$13-1)*100))</f>
        <v/>
      </c>
      <c r="K463" s="11">
        <f>IF(H463="","",100-IF($G$14=1,50,(_xlfn.RANK.AVG(H463,$H$19:$H$1518,1)-1)/($G$14-1)*100))</f>
        <v/>
      </c>
      <c r="L463" s="11">
        <f>IF(I463="","",IF($G$15=1,50,(_xlfn.RANK.AVG(I463,$I$19:$I$1518,1)-1)/($G$15-1)*100))</f>
        <v/>
      </c>
      <c r="M463" s="11">
        <f>IF(COUNT(J463:L463)=3,ROUND(AVERAGE(J463:L463),6),"")</f>
        <v/>
      </c>
      <c r="O463">
        <f>IF(AND(ISNUMBER('자료_미국심리'!$A447),ISNUMBER('자료_미국심리'!$B447)),'자료_미국심리'!$A447,"")</f>
        <v/>
      </c>
      <c r="P463">
        <f>IF(AND(ISNUMBER('자료_미국심리'!$D447),ISNUMBER('자료_미국심리'!$E447)),'자료_미국심리'!$D447,"")</f>
        <v/>
      </c>
      <c r="Q463">
        <f>IF(AND(ISNUMBER('자료_미국심리'!$G447),ISNUMBER('자료_미국심리'!$H447)),'자료_미국심리'!$G447,"")</f>
        <v/>
      </c>
    </row>
    <row r="464">
      <c r="A464" s="10">
        <f>IF(446&gt;$E$5,"",SMALL($O$19:$O$4018,$E$6+446))</f>
        <v/>
      </c>
      <c r="B464" s="29">
        <f>IF(A464="","",INDEX('자료_미국심리'!$B$3:$B$4002,MATCH(A464,$O$19:$O$4018,0)))</f>
        <v/>
      </c>
      <c r="C464" s="22">
        <f>IF(A464="","",B464/AVERAGE(B340:B464)-1)</f>
        <v/>
      </c>
      <c r="D464" s="29">
        <f>IF(A464="","",IFERROR(INDEX('자료_미국심리'!$E$3:$E$4002,MATCH(A464,$P$19:$P$4018,0)),D463))</f>
        <v/>
      </c>
      <c r="E464" s="29">
        <f>IF(A464="","",IFERROR(INDEX('자료_미국심리'!$H$3:$H$4002,MATCH(A464,$Q$19:$Q$4018,0)),E463))</f>
        <v/>
      </c>
      <c r="F464">
        <f>IF(A464="",0,IF(A464&gt;$B$5,1,0))</f>
        <v/>
      </c>
      <c r="G464" s="29">
        <f>IF(AND(F464=1,ISNUMBER(D464)),D464,"")</f>
        <v/>
      </c>
      <c r="H464" s="29">
        <f>IF(AND(F464=1,ISNUMBER(E464)),E464,"")</f>
        <v/>
      </c>
      <c r="I464" s="22">
        <f>IF(AND(F464=1,ISNUMBER(C464)),C464,"")</f>
        <v/>
      </c>
      <c r="J464" s="11">
        <f>IF(G464="","",100-IF($G$13=1,50,(_xlfn.RANK.AVG(G464,$G$19:$G$1518,1)-1)/($G$13-1)*100))</f>
        <v/>
      </c>
      <c r="K464" s="11">
        <f>IF(H464="","",100-IF($G$14=1,50,(_xlfn.RANK.AVG(H464,$H$19:$H$1518,1)-1)/($G$14-1)*100))</f>
        <v/>
      </c>
      <c r="L464" s="11">
        <f>IF(I464="","",IF($G$15=1,50,(_xlfn.RANK.AVG(I464,$I$19:$I$1518,1)-1)/($G$15-1)*100))</f>
        <v/>
      </c>
      <c r="M464" s="11">
        <f>IF(COUNT(J464:L464)=3,ROUND(AVERAGE(J464:L464),6),"")</f>
        <v/>
      </c>
      <c r="O464">
        <f>IF(AND(ISNUMBER('자료_미국심리'!$A448),ISNUMBER('자료_미국심리'!$B448)),'자료_미국심리'!$A448,"")</f>
        <v/>
      </c>
      <c r="P464">
        <f>IF(AND(ISNUMBER('자료_미국심리'!$D448),ISNUMBER('자료_미국심리'!$E448)),'자료_미국심리'!$D448,"")</f>
        <v/>
      </c>
      <c r="Q464">
        <f>IF(AND(ISNUMBER('자료_미국심리'!$G448),ISNUMBER('자료_미국심리'!$H448)),'자료_미국심리'!$G448,"")</f>
        <v/>
      </c>
    </row>
    <row r="465">
      <c r="A465" s="10">
        <f>IF(447&gt;$E$5,"",SMALL($O$19:$O$4018,$E$6+447))</f>
        <v/>
      </c>
      <c r="B465" s="29">
        <f>IF(A465="","",INDEX('자료_미국심리'!$B$3:$B$4002,MATCH(A465,$O$19:$O$4018,0)))</f>
        <v/>
      </c>
      <c r="C465" s="22">
        <f>IF(A465="","",B465/AVERAGE(B341:B465)-1)</f>
        <v/>
      </c>
      <c r="D465" s="29">
        <f>IF(A465="","",IFERROR(INDEX('자료_미국심리'!$E$3:$E$4002,MATCH(A465,$P$19:$P$4018,0)),D464))</f>
        <v/>
      </c>
      <c r="E465" s="29">
        <f>IF(A465="","",IFERROR(INDEX('자료_미국심리'!$H$3:$H$4002,MATCH(A465,$Q$19:$Q$4018,0)),E464))</f>
        <v/>
      </c>
      <c r="F465">
        <f>IF(A465="",0,IF(A465&gt;$B$5,1,0))</f>
        <v/>
      </c>
      <c r="G465" s="29">
        <f>IF(AND(F465=1,ISNUMBER(D465)),D465,"")</f>
        <v/>
      </c>
      <c r="H465" s="29">
        <f>IF(AND(F465=1,ISNUMBER(E465)),E465,"")</f>
        <v/>
      </c>
      <c r="I465" s="22">
        <f>IF(AND(F465=1,ISNUMBER(C465)),C465,"")</f>
        <v/>
      </c>
      <c r="J465" s="11">
        <f>IF(G465="","",100-IF($G$13=1,50,(_xlfn.RANK.AVG(G465,$G$19:$G$1518,1)-1)/($G$13-1)*100))</f>
        <v/>
      </c>
      <c r="K465" s="11">
        <f>IF(H465="","",100-IF($G$14=1,50,(_xlfn.RANK.AVG(H465,$H$19:$H$1518,1)-1)/($G$14-1)*100))</f>
        <v/>
      </c>
      <c r="L465" s="11">
        <f>IF(I465="","",IF($G$15=1,50,(_xlfn.RANK.AVG(I465,$I$19:$I$1518,1)-1)/($G$15-1)*100))</f>
        <v/>
      </c>
      <c r="M465" s="11">
        <f>IF(COUNT(J465:L465)=3,ROUND(AVERAGE(J465:L465),6),"")</f>
        <v/>
      </c>
      <c r="O465">
        <f>IF(AND(ISNUMBER('자료_미국심리'!$A449),ISNUMBER('자료_미국심리'!$B449)),'자료_미국심리'!$A449,"")</f>
        <v/>
      </c>
      <c r="P465">
        <f>IF(AND(ISNUMBER('자료_미국심리'!$D449),ISNUMBER('자료_미국심리'!$E449)),'자료_미국심리'!$D449,"")</f>
        <v/>
      </c>
      <c r="Q465">
        <f>IF(AND(ISNUMBER('자료_미국심리'!$G449),ISNUMBER('자료_미국심리'!$H449)),'자료_미국심리'!$G449,"")</f>
        <v/>
      </c>
    </row>
    <row r="466">
      <c r="A466" s="10">
        <f>IF(448&gt;$E$5,"",SMALL($O$19:$O$4018,$E$6+448))</f>
        <v/>
      </c>
      <c r="B466" s="29">
        <f>IF(A466="","",INDEX('자료_미국심리'!$B$3:$B$4002,MATCH(A466,$O$19:$O$4018,0)))</f>
        <v/>
      </c>
      <c r="C466" s="22">
        <f>IF(A466="","",B466/AVERAGE(B342:B466)-1)</f>
        <v/>
      </c>
      <c r="D466" s="29">
        <f>IF(A466="","",IFERROR(INDEX('자료_미국심리'!$E$3:$E$4002,MATCH(A466,$P$19:$P$4018,0)),D465))</f>
        <v/>
      </c>
      <c r="E466" s="29">
        <f>IF(A466="","",IFERROR(INDEX('자료_미국심리'!$H$3:$H$4002,MATCH(A466,$Q$19:$Q$4018,0)),E465))</f>
        <v/>
      </c>
      <c r="F466">
        <f>IF(A466="",0,IF(A466&gt;$B$5,1,0))</f>
        <v/>
      </c>
      <c r="G466" s="29">
        <f>IF(AND(F466=1,ISNUMBER(D466)),D466,"")</f>
        <v/>
      </c>
      <c r="H466" s="29">
        <f>IF(AND(F466=1,ISNUMBER(E466)),E466,"")</f>
        <v/>
      </c>
      <c r="I466" s="22">
        <f>IF(AND(F466=1,ISNUMBER(C466)),C466,"")</f>
        <v/>
      </c>
      <c r="J466" s="11">
        <f>IF(G466="","",100-IF($G$13=1,50,(_xlfn.RANK.AVG(G466,$G$19:$G$1518,1)-1)/($G$13-1)*100))</f>
        <v/>
      </c>
      <c r="K466" s="11">
        <f>IF(H466="","",100-IF($G$14=1,50,(_xlfn.RANK.AVG(H466,$H$19:$H$1518,1)-1)/($G$14-1)*100))</f>
        <v/>
      </c>
      <c r="L466" s="11">
        <f>IF(I466="","",IF($G$15=1,50,(_xlfn.RANK.AVG(I466,$I$19:$I$1518,1)-1)/($G$15-1)*100))</f>
        <v/>
      </c>
      <c r="M466" s="11">
        <f>IF(COUNT(J466:L466)=3,ROUND(AVERAGE(J466:L466),6),"")</f>
        <v/>
      </c>
      <c r="O466">
        <f>IF(AND(ISNUMBER('자료_미국심리'!$A450),ISNUMBER('자료_미국심리'!$B450)),'자료_미국심리'!$A450,"")</f>
        <v/>
      </c>
      <c r="P466">
        <f>IF(AND(ISNUMBER('자료_미국심리'!$D450),ISNUMBER('자료_미국심리'!$E450)),'자료_미국심리'!$D450,"")</f>
        <v/>
      </c>
      <c r="Q466">
        <f>IF(AND(ISNUMBER('자료_미국심리'!$G450),ISNUMBER('자료_미국심리'!$H450)),'자료_미국심리'!$G450,"")</f>
        <v/>
      </c>
    </row>
    <row r="467">
      <c r="A467" s="10">
        <f>IF(449&gt;$E$5,"",SMALL($O$19:$O$4018,$E$6+449))</f>
        <v/>
      </c>
      <c r="B467" s="29">
        <f>IF(A467="","",INDEX('자료_미국심리'!$B$3:$B$4002,MATCH(A467,$O$19:$O$4018,0)))</f>
        <v/>
      </c>
      <c r="C467" s="22">
        <f>IF(A467="","",B467/AVERAGE(B343:B467)-1)</f>
        <v/>
      </c>
      <c r="D467" s="29">
        <f>IF(A467="","",IFERROR(INDEX('자료_미국심리'!$E$3:$E$4002,MATCH(A467,$P$19:$P$4018,0)),D466))</f>
        <v/>
      </c>
      <c r="E467" s="29">
        <f>IF(A467="","",IFERROR(INDEX('자료_미국심리'!$H$3:$H$4002,MATCH(A467,$Q$19:$Q$4018,0)),E466))</f>
        <v/>
      </c>
      <c r="F467">
        <f>IF(A467="",0,IF(A467&gt;$B$5,1,0))</f>
        <v/>
      </c>
      <c r="G467" s="29">
        <f>IF(AND(F467=1,ISNUMBER(D467)),D467,"")</f>
        <v/>
      </c>
      <c r="H467" s="29">
        <f>IF(AND(F467=1,ISNUMBER(E467)),E467,"")</f>
        <v/>
      </c>
      <c r="I467" s="22">
        <f>IF(AND(F467=1,ISNUMBER(C467)),C467,"")</f>
        <v/>
      </c>
      <c r="J467" s="11">
        <f>IF(G467="","",100-IF($G$13=1,50,(_xlfn.RANK.AVG(G467,$G$19:$G$1518,1)-1)/($G$13-1)*100))</f>
        <v/>
      </c>
      <c r="K467" s="11">
        <f>IF(H467="","",100-IF($G$14=1,50,(_xlfn.RANK.AVG(H467,$H$19:$H$1518,1)-1)/($G$14-1)*100))</f>
        <v/>
      </c>
      <c r="L467" s="11">
        <f>IF(I467="","",IF($G$15=1,50,(_xlfn.RANK.AVG(I467,$I$19:$I$1518,1)-1)/($G$15-1)*100))</f>
        <v/>
      </c>
      <c r="M467" s="11">
        <f>IF(COUNT(J467:L467)=3,ROUND(AVERAGE(J467:L467),6),"")</f>
        <v/>
      </c>
      <c r="O467">
        <f>IF(AND(ISNUMBER('자료_미국심리'!$A451),ISNUMBER('자료_미국심리'!$B451)),'자료_미국심리'!$A451,"")</f>
        <v/>
      </c>
      <c r="P467">
        <f>IF(AND(ISNUMBER('자료_미국심리'!$D451),ISNUMBER('자료_미국심리'!$E451)),'자료_미국심리'!$D451,"")</f>
        <v/>
      </c>
      <c r="Q467">
        <f>IF(AND(ISNUMBER('자료_미국심리'!$G451),ISNUMBER('자료_미국심리'!$H451)),'자료_미국심리'!$G451,"")</f>
        <v/>
      </c>
    </row>
    <row r="468">
      <c r="A468" s="10">
        <f>IF(450&gt;$E$5,"",SMALL($O$19:$O$4018,$E$6+450))</f>
        <v/>
      </c>
      <c r="B468" s="29">
        <f>IF(A468="","",INDEX('자료_미국심리'!$B$3:$B$4002,MATCH(A468,$O$19:$O$4018,0)))</f>
        <v/>
      </c>
      <c r="C468" s="22">
        <f>IF(A468="","",B468/AVERAGE(B344:B468)-1)</f>
        <v/>
      </c>
      <c r="D468" s="29">
        <f>IF(A468="","",IFERROR(INDEX('자료_미국심리'!$E$3:$E$4002,MATCH(A468,$P$19:$P$4018,0)),D467))</f>
        <v/>
      </c>
      <c r="E468" s="29">
        <f>IF(A468="","",IFERROR(INDEX('자료_미국심리'!$H$3:$H$4002,MATCH(A468,$Q$19:$Q$4018,0)),E467))</f>
        <v/>
      </c>
      <c r="F468">
        <f>IF(A468="",0,IF(A468&gt;$B$5,1,0))</f>
        <v/>
      </c>
      <c r="G468" s="29">
        <f>IF(AND(F468=1,ISNUMBER(D468)),D468,"")</f>
        <v/>
      </c>
      <c r="H468" s="29">
        <f>IF(AND(F468=1,ISNUMBER(E468)),E468,"")</f>
        <v/>
      </c>
      <c r="I468" s="22">
        <f>IF(AND(F468=1,ISNUMBER(C468)),C468,"")</f>
        <v/>
      </c>
      <c r="J468" s="11">
        <f>IF(G468="","",100-IF($G$13=1,50,(_xlfn.RANK.AVG(G468,$G$19:$G$1518,1)-1)/($G$13-1)*100))</f>
        <v/>
      </c>
      <c r="K468" s="11">
        <f>IF(H468="","",100-IF($G$14=1,50,(_xlfn.RANK.AVG(H468,$H$19:$H$1518,1)-1)/($G$14-1)*100))</f>
        <v/>
      </c>
      <c r="L468" s="11">
        <f>IF(I468="","",IF($G$15=1,50,(_xlfn.RANK.AVG(I468,$I$19:$I$1518,1)-1)/($G$15-1)*100))</f>
        <v/>
      </c>
      <c r="M468" s="11">
        <f>IF(COUNT(J468:L468)=3,ROUND(AVERAGE(J468:L468),6),"")</f>
        <v/>
      </c>
      <c r="O468">
        <f>IF(AND(ISNUMBER('자료_미국심리'!$A452),ISNUMBER('자료_미국심리'!$B452)),'자료_미국심리'!$A452,"")</f>
        <v/>
      </c>
      <c r="P468">
        <f>IF(AND(ISNUMBER('자료_미국심리'!$D452),ISNUMBER('자료_미국심리'!$E452)),'자료_미국심리'!$D452,"")</f>
        <v/>
      </c>
      <c r="Q468">
        <f>IF(AND(ISNUMBER('자료_미국심리'!$G452),ISNUMBER('자료_미국심리'!$H452)),'자료_미국심리'!$G452,"")</f>
        <v/>
      </c>
    </row>
    <row r="469">
      <c r="A469" s="10">
        <f>IF(451&gt;$E$5,"",SMALL($O$19:$O$4018,$E$6+451))</f>
        <v/>
      </c>
      <c r="B469" s="29">
        <f>IF(A469="","",INDEX('자료_미국심리'!$B$3:$B$4002,MATCH(A469,$O$19:$O$4018,0)))</f>
        <v/>
      </c>
      <c r="C469" s="22">
        <f>IF(A469="","",B469/AVERAGE(B345:B469)-1)</f>
        <v/>
      </c>
      <c r="D469" s="29">
        <f>IF(A469="","",IFERROR(INDEX('자료_미국심리'!$E$3:$E$4002,MATCH(A469,$P$19:$P$4018,0)),D468))</f>
        <v/>
      </c>
      <c r="E469" s="29">
        <f>IF(A469="","",IFERROR(INDEX('자료_미국심리'!$H$3:$H$4002,MATCH(A469,$Q$19:$Q$4018,0)),E468))</f>
        <v/>
      </c>
      <c r="F469">
        <f>IF(A469="",0,IF(A469&gt;$B$5,1,0))</f>
        <v/>
      </c>
      <c r="G469" s="29">
        <f>IF(AND(F469=1,ISNUMBER(D469)),D469,"")</f>
        <v/>
      </c>
      <c r="H469" s="29">
        <f>IF(AND(F469=1,ISNUMBER(E469)),E469,"")</f>
        <v/>
      </c>
      <c r="I469" s="22">
        <f>IF(AND(F469=1,ISNUMBER(C469)),C469,"")</f>
        <v/>
      </c>
      <c r="J469" s="11">
        <f>IF(G469="","",100-IF($G$13=1,50,(_xlfn.RANK.AVG(G469,$G$19:$G$1518,1)-1)/($G$13-1)*100))</f>
        <v/>
      </c>
      <c r="K469" s="11">
        <f>IF(H469="","",100-IF($G$14=1,50,(_xlfn.RANK.AVG(H469,$H$19:$H$1518,1)-1)/($G$14-1)*100))</f>
        <v/>
      </c>
      <c r="L469" s="11">
        <f>IF(I469="","",IF($G$15=1,50,(_xlfn.RANK.AVG(I469,$I$19:$I$1518,1)-1)/($G$15-1)*100))</f>
        <v/>
      </c>
      <c r="M469" s="11">
        <f>IF(COUNT(J469:L469)=3,ROUND(AVERAGE(J469:L469),6),"")</f>
        <v/>
      </c>
      <c r="O469">
        <f>IF(AND(ISNUMBER('자료_미국심리'!$A453),ISNUMBER('자료_미국심리'!$B453)),'자료_미국심리'!$A453,"")</f>
        <v/>
      </c>
      <c r="P469">
        <f>IF(AND(ISNUMBER('자료_미국심리'!$D453),ISNUMBER('자료_미국심리'!$E453)),'자료_미국심리'!$D453,"")</f>
        <v/>
      </c>
      <c r="Q469">
        <f>IF(AND(ISNUMBER('자료_미국심리'!$G453),ISNUMBER('자료_미국심리'!$H453)),'자료_미국심리'!$G453,"")</f>
        <v/>
      </c>
    </row>
    <row r="470">
      <c r="A470" s="10">
        <f>IF(452&gt;$E$5,"",SMALL($O$19:$O$4018,$E$6+452))</f>
        <v/>
      </c>
      <c r="B470" s="29">
        <f>IF(A470="","",INDEX('자료_미국심리'!$B$3:$B$4002,MATCH(A470,$O$19:$O$4018,0)))</f>
        <v/>
      </c>
      <c r="C470" s="22">
        <f>IF(A470="","",B470/AVERAGE(B346:B470)-1)</f>
        <v/>
      </c>
      <c r="D470" s="29">
        <f>IF(A470="","",IFERROR(INDEX('자료_미국심리'!$E$3:$E$4002,MATCH(A470,$P$19:$P$4018,0)),D469))</f>
        <v/>
      </c>
      <c r="E470" s="29">
        <f>IF(A470="","",IFERROR(INDEX('자료_미국심리'!$H$3:$H$4002,MATCH(A470,$Q$19:$Q$4018,0)),E469))</f>
        <v/>
      </c>
      <c r="F470">
        <f>IF(A470="",0,IF(A470&gt;$B$5,1,0))</f>
        <v/>
      </c>
      <c r="G470" s="29">
        <f>IF(AND(F470=1,ISNUMBER(D470)),D470,"")</f>
        <v/>
      </c>
      <c r="H470" s="29">
        <f>IF(AND(F470=1,ISNUMBER(E470)),E470,"")</f>
        <v/>
      </c>
      <c r="I470" s="22">
        <f>IF(AND(F470=1,ISNUMBER(C470)),C470,"")</f>
        <v/>
      </c>
      <c r="J470" s="11">
        <f>IF(G470="","",100-IF($G$13=1,50,(_xlfn.RANK.AVG(G470,$G$19:$G$1518,1)-1)/($G$13-1)*100))</f>
        <v/>
      </c>
      <c r="K470" s="11">
        <f>IF(H470="","",100-IF($G$14=1,50,(_xlfn.RANK.AVG(H470,$H$19:$H$1518,1)-1)/($G$14-1)*100))</f>
        <v/>
      </c>
      <c r="L470" s="11">
        <f>IF(I470="","",IF($G$15=1,50,(_xlfn.RANK.AVG(I470,$I$19:$I$1518,1)-1)/($G$15-1)*100))</f>
        <v/>
      </c>
      <c r="M470" s="11">
        <f>IF(COUNT(J470:L470)=3,ROUND(AVERAGE(J470:L470),6),"")</f>
        <v/>
      </c>
      <c r="O470">
        <f>IF(AND(ISNUMBER('자료_미국심리'!$A454),ISNUMBER('자료_미국심리'!$B454)),'자료_미국심리'!$A454,"")</f>
        <v/>
      </c>
      <c r="P470">
        <f>IF(AND(ISNUMBER('자료_미국심리'!$D454),ISNUMBER('자료_미국심리'!$E454)),'자료_미국심리'!$D454,"")</f>
        <v/>
      </c>
      <c r="Q470">
        <f>IF(AND(ISNUMBER('자료_미국심리'!$G454),ISNUMBER('자료_미국심리'!$H454)),'자료_미국심리'!$G454,"")</f>
        <v/>
      </c>
    </row>
    <row r="471">
      <c r="A471" s="10">
        <f>IF(453&gt;$E$5,"",SMALL($O$19:$O$4018,$E$6+453))</f>
        <v/>
      </c>
      <c r="B471" s="29">
        <f>IF(A471="","",INDEX('자료_미국심리'!$B$3:$B$4002,MATCH(A471,$O$19:$O$4018,0)))</f>
        <v/>
      </c>
      <c r="C471" s="22">
        <f>IF(A471="","",B471/AVERAGE(B347:B471)-1)</f>
        <v/>
      </c>
      <c r="D471" s="29">
        <f>IF(A471="","",IFERROR(INDEX('자료_미국심리'!$E$3:$E$4002,MATCH(A471,$P$19:$P$4018,0)),D470))</f>
        <v/>
      </c>
      <c r="E471" s="29">
        <f>IF(A471="","",IFERROR(INDEX('자료_미국심리'!$H$3:$H$4002,MATCH(A471,$Q$19:$Q$4018,0)),E470))</f>
        <v/>
      </c>
      <c r="F471">
        <f>IF(A471="",0,IF(A471&gt;$B$5,1,0))</f>
        <v/>
      </c>
      <c r="G471" s="29">
        <f>IF(AND(F471=1,ISNUMBER(D471)),D471,"")</f>
        <v/>
      </c>
      <c r="H471" s="29">
        <f>IF(AND(F471=1,ISNUMBER(E471)),E471,"")</f>
        <v/>
      </c>
      <c r="I471" s="22">
        <f>IF(AND(F471=1,ISNUMBER(C471)),C471,"")</f>
        <v/>
      </c>
      <c r="J471" s="11">
        <f>IF(G471="","",100-IF($G$13=1,50,(_xlfn.RANK.AVG(G471,$G$19:$G$1518,1)-1)/($G$13-1)*100))</f>
        <v/>
      </c>
      <c r="K471" s="11">
        <f>IF(H471="","",100-IF($G$14=1,50,(_xlfn.RANK.AVG(H471,$H$19:$H$1518,1)-1)/($G$14-1)*100))</f>
        <v/>
      </c>
      <c r="L471" s="11">
        <f>IF(I471="","",IF($G$15=1,50,(_xlfn.RANK.AVG(I471,$I$19:$I$1518,1)-1)/($G$15-1)*100))</f>
        <v/>
      </c>
      <c r="M471" s="11">
        <f>IF(COUNT(J471:L471)=3,ROUND(AVERAGE(J471:L471),6),"")</f>
        <v/>
      </c>
      <c r="O471">
        <f>IF(AND(ISNUMBER('자료_미국심리'!$A455),ISNUMBER('자료_미국심리'!$B455)),'자료_미국심리'!$A455,"")</f>
        <v/>
      </c>
      <c r="P471">
        <f>IF(AND(ISNUMBER('자료_미국심리'!$D455),ISNUMBER('자료_미국심리'!$E455)),'자료_미국심리'!$D455,"")</f>
        <v/>
      </c>
      <c r="Q471">
        <f>IF(AND(ISNUMBER('자료_미국심리'!$G455),ISNUMBER('자료_미국심리'!$H455)),'자료_미국심리'!$G455,"")</f>
        <v/>
      </c>
    </row>
    <row r="472">
      <c r="A472" s="10">
        <f>IF(454&gt;$E$5,"",SMALL($O$19:$O$4018,$E$6+454))</f>
        <v/>
      </c>
      <c r="B472" s="29">
        <f>IF(A472="","",INDEX('자료_미국심리'!$B$3:$B$4002,MATCH(A472,$O$19:$O$4018,0)))</f>
        <v/>
      </c>
      <c r="C472" s="22">
        <f>IF(A472="","",B472/AVERAGE(B348:B472)-1)</f>
        <v/>
      </c>
      <c r="D472" s="29">
        <f>IF(A472="","",IFERROR(INDEX('자료_미국심리'!$E$3:$E$4002,MATCH(A472,$P$19:$P$4018,0)),D471))</f>
        <v/>
      </c>
      <c r="E472" s="29">
        <f>IF(A472="","",IFERROR(INDEX('자료_미국심리'!$H$3:$H$4002,MATCH(A472,$Q$19:$Q$4018,0)),E471))</f>
        <v/>
      </c>
      <c r="F472">
        <f>IF(A472="",0,IF(A472&gt;$B$5,1,0))</f>
        <v/>
      </c>
      <c r="G472" s="29">
        <f>IF(AND(F472=1,ISNUMBER(D472)),D472,"")</f>
        <v/>
      </c>
      <c r="H472" s="29">
        <f>IF(AND(F472=1,ISNUMBER(E472)),E472,"")</f>
        <v/>
      </c>
      <c r="I472" s="22">
        <f>IF(AND(F472=1,ISNUMBER(C472)),C472,"")</f>
        <v/>
      </c>
      <c r="J472" s="11">
        <f>IF(G472="","",100-IF($G$13=1,50,(_xlfn.RANK.AVG(G472,$G$19:$G$1518,1)-1)/($G$13-1)*100))</f>
        <v/>
      </c>
      <c r="K472" s="11">
        <f>IF(H472="","",100-IF($G$14=1,50,(_xlfn.RANK.AVG(H472,$H$19:$H$1518,1)-1)/($G$14-1)*100))</f>
        <v/>
      </c>
      <c r="L472" s="11">
        <f>IF(I472="","",IF($G$15=1,50,(_xlfn.RANK.AVG(I472,$I$19:$I$1518,1)-1)/($G$15-1)*100))</f>
        <v/>
      </c>
      <c r="M472" s="11">
        <f>IF(COUNT(J472:L472)=3,ROUND(AVERAGE(J472:L472),6),"")</f>
        <v/>
      </c>
      <c r="O472">
        <f>IF(AND(ISNUMBER('자료_미국심리'!$A456),ISNUMBER('자료_미국심리'!$B456)),'자료_미국심리'!$A456,"")</f>
        <v/>
      </c>
      <c r="P472">
        <f>IF(AND(ISNUMBER('자료_미국심리'!$D456),ISNUMBER('자료_미국심리'!$E456)),'자료_미국심리'!$D456,"")</f>
        <v/>
      </c>
      <c r="Q472">
        <f>IF(AND(ISNUMBER('자료_미국심리'!$G456),ISNUMBER('자료_미국심리'!$H456)),'자료_미국심리'!$G456,"")</f>
        <v/>
      </c>
    </row>
    <row r="473">
      <c r="A473" s="10">
        <f>IF(455&gt;$E$5,"",SMALL($O$19:$O$4018,$E$6+455))</f>
        <v/>
      </c>
      <c r="B473" s="29">
        <f>IF(A473="","",INDEX('자료_미국심리'!$B$3:$B$4002,MATCH(A473,$O$19:$O$4018,0)))</f>
        <v/>
      </c>
      <c r="C473" s="22">
        <f>IF(A473="","",B473/AVERAGE(B349:B473)-1)</f>
        <v/>
      </c>
      <c r="D473" s="29">
        <f>IF(A473="","",IFERROR(INDEX('자료_미국심리'!$E$3:$E$4002,MATCH(A473,$P$19:$P$4018,0)),D472))</f>
        <v/>
      </c>
      <c r="E473" s="29">
        <f>IF(A473="","",IFERROR(INDEX('자료_미국심리'!$H$3:$H$4002,MATCH(A473,$Q$19:$Q$4018,0)),E472))</f>
        <v/>
      </c>
      <c r="F473">
        <f>IF(A473="",0,IF(A473&gt;$B$5,1,0))</f>
        <v/>
      </c>
      <c r="G473" s="29">
        <f>IF(AND(F473=1,ISNUMBER(D473)),D473,"")</f>
        <v/>
      </c>
      <c r="H473" s="29">
        <f>IF(AND(F473=1,ISNUMBER(E473)),E473,"")</f>
        <v/>
      </c>
      <c r="I473" s="22">
        <f>IF(AND(F473=1,ISNUMBER(C473)),C473,"")</f>
        <v/>
      </c>
      <c r="J473" s="11">
        <f>IF(G473="","",100-IF($G$13=1,50,(_xlfn.RANK.AVG(G473,$G$19:$G$1518,1)-1)/($G$13-1)*100))</f>
        <v/>
      </c>
      <c r="K473" s="11">
        <f>IF(H473="","",100-IF($G$14=1,50,(_xlfn.RANK.AVG(H473,$H$19:$H$1518,1)-1)/($G$14-1)*100))</f>
        <v/>
      </c>
      <c r="L473" s="11">
        <f>IF(I473="","",IF($G$15=1,50,(_xlfn.RANK.AVG(I473,$I$19:$I$1518,1)-1)/($G$15-1)*100))</f>
        <v/>
      </c>
      <c r="M473" s="11">
        <f>IF(COUNT(J473:L473)=3,ROUND(AVERAGE(J473:L473),6),"")</f>
        <v/>
      </c>
      <c r="O473">
        <f>IF(AND(ISNUMBER('자료_미국심리'!$A457),ISNUMBER('자료_미국심리'!$B457)),'자료_미국심리'!$A457,"")</f>
        <v/>
      </c>
      <c r="P473">
        <f>IF(AND(ISNUMBER('자료_미국심리'!$D457),ISNUMBER('자료_미국심리'!$E457)),'자료_미국심리'!$D457,"")</f>
        <v/>
      </c>
      <c r="Q473">
        <f>IF(AND(ISNUMBER('자료_미국심리'!$G457),ISNUMBER('자료_미국심리'!$H457)),'자료_미국심리'!$G457,"")</f>
        <v/>
      </c>
    </row>
    <row r="474">
      <c r="A474" s="10">
        <f>IF(456&gt;$E$5,"",SMALL($O$19:$O$4018,$E$6+456))</f>
        <v/>
      </c>
      <c r="B474" s="29">
        <f>IF(A474="","",INDEX('자료_미국심리'!$B$3:$B$4002,MATCH(A474,$O$19:$O$4018,0)))</f>
        <v/>
      </c>
      <c r="C474" s="22">
        <f>IF(A474="","",B474/AVERAGE(B350:B474)-1)</f>
        <v/>
      </c>
      <c r="D474" s="29">
        <f>IF(A474="","",IFERROR(INDEX('자료_미국심리'!$E$3:$E$4002,MATCH(A474,$P$19:$P$4018,0)),D473))</f>
        <v/>
      </c>
      <c r="E474" s="29">
        <f>IF(A474="","",IFERROR(INDEX('자료_미국심리'!$H$3:$H$4002,MATCH(A474,$Q$19:$Q$4018,0)),E473))</f>
        <v/>
      </c>
      <c r="F474">
        <f>IF(A474="",0,IF(A474&gt;$B$5,1,0))</f>
        <v/>
      </c>
      <c r="G474" s="29">
        <f>IF(AND(F474=1,ISNUMBER(D474)),D474,"")</f>
        <v/>
      </c>
      <c r="H474" s="29">
        <f>IF(AND(F474=1,ISNUMBER(E474)),E474,"")</f>
        <v/>
      </c>
      <c r="I474" s="22">
        <f>IF(AND(F474=1,ISNUMBER(C474)),C474,"")</f>
        <v/>
      </c>
      <c r="J474" s="11">
        <f>IF(G474="","",100-IF($G$13=1,50,(_xlfn.RANK.AVG(G474,$G$19:$G$1518,1)-1)/($G$13-1)*100))</f>
        <v/>
      </c>
      <c r="K474" s="11">
        <f>IF(H474="","",100-IF($G$14=1,50,(_xlfn.RANK.AVG(H474,$H$19:$H$1518,1)-1)/($G$14-1)*100))</f>
        <v/>
      </c>
      <c r="L474" s="11">
        <f>IF(I474="","",IF($G$15=1,50,(_xlfn.RANK.AVG(I474,$I$19:$I$1518,1)-1)/($G$15-1)*100))</f>
        <v/>
      </c>
      <c r="M474" s="11">
        <f>IF(COUNT(J474:L474)=3,ROUND(AVERAGE(J474:L474),6),"")</f>
        <v/>
      </c>
      <c r="O474">
        <f>IF(AND(ISNUMBER('자료_미국심리'!$A458),ISNUMBER('자료_미국심리'!$B458)),'자료_미국심리'!$A458,"")</f>
        <v/>
      </c>
      <c r="P474">
        <f>IF(AND(ISNUMBER('자료_미국심리'!$D458),ISNUMBER('자료_미국심리'!$E458)),'자료_미국심리'!$D458,"")</f>
        <v/>
      </c>
      <c r="Q474">
        <f>IF(AND(ISNUMBER('자료_미국심리'!$G458),ISNUMBER('자료_미국심리'!$H458)),'자료_미국심리'!$G458,"")</f>
        <v/>
      </c>
    </row>
    <row r="475">
      <c r="A475" s="10">
        <f>IF(457&gt;$E$5,"",SMALL($O$19:$O$4018,$E$6+457))</f>
        <v/>
      </c>
      <c r="B475" s="29">
        <f>IF(A475="","",INDEX('자료_미국심리'!$B$3:$B$4002,MATCH(A475,$O$19:$O$4018,0)))</f>
        <v/>
      </c>
      <c r="C475" s="22">
        <f>IF(A475="","",B475/AVERAGE(B351:B475)-1)</f>
        <v/>
      </c>
      <c r="D475" s="29">
        <f>IF(A475="","",IFERROR(INDEX('자료_미국심리'!$E$3:$E$4002,MATCH(A475,$P$19:$P$4018,0)),D474))</f>
        <v/>
      </c>
      <c r="E475" s="29">
        <f>IF(A475="","",IFERROR(INDEX('자료_미국심리'!$H$3:$H$4002,MATCH(A475,$Q$19:$Q$4018,0)),E474))</f>
        <v/>
      </c>
      <c r="F475">
        <f>IF(A475="",0,IF(A475&gt;$B$5,1,0))</f>
        <v/>
      </c>
      <c r="G475" s="29">
        <f>IF(AND(F475=1,ISNUMBER(D475)),D475,"")</f>
        <v/>
      </c>
      <c r="H475" s="29">
        <f>IF(AND(F475=1,ISNUMBER(E475)),E475,"")</f>
        <v/>
      </c>
      <c r="I475" s="22">
        <f>IF(AND(F475=1,ISNUMBER(C475)),C475,"")</f>
        <v/>
      </c>
      <c r="J475" s="11">
        <f>IF(G475="","",100-IF($G$13=1,50,(_xlfn.RANK.AVG(G475,$G$19:$G$1518,1)-1)/($G$13-1)*100))</f>
        <v/>
      </c>
      <c r="K475" s="11">
        <f>IF(H475="","",100-IF($G$14=1,50,(_xlfn.RANK.AVG(H475,$H$19:$H$1518,1)-1)/($G$14-1)*100))</f>
        <v/>
      </c>
      <c r="L475" s="11">
        <f>IF(I475="","",IF($G$15=1,50,(_xlfn.RANK.AVG(I475,$I$19:$I$1518,1)-1)/($G$15-1)*100))</f>
        <v/>
      </c>
      <c r="M475" s="11">
        <f>IF(COUNT(J475:L475)=3,ROUND(AVERAGE(J475:L475),6),"")</f>
        <v/>
      </c>
      <c r="O475">
        <f>IF(AND(ISNUMBER('자료_미국심리'!$A459),ISNUMBER('자료_미국심리'!$B459)),'자료_미국심리'!$A459,"")</f>
        <v/>
      </c>
      <c r="P475">
        <f>IF(AND(ISNUMBER('자료_미국심리'!$D459),ISNUMBER('자료_미국심리'!$E459)),'자료_미국심리'!$D459,"")</f>
        <v/>
      </c>
      <c r="Q475">
        <f>IF(AND(ISNUMBER('자료_미국심리'!$G459),ISNUMBER('자료_미국심리'!$H459)),'자료_미국심리'!$G459,"")</f>
        <v/>
      </c>
    </row>
    <row r="476">
      <c r="A476" s="10">
        <f>IF(458&gt;$E$5,"",SMALL($O$19:$O$4018,$E$6+458))</f>
        <v/>
      </c>
      <c r="B476" s="29">
        <f>IF(A476="","",INDEX('자료_미국심리'!$B$3:$B$4002,MATCH(A476,$O$19:$O$4018,0)))</f>
        <v/>
      </c>
      <c r="C476" s="22">
        <f>IF(A476="","",B476/AVERAGE(B352:B476)-1)</f>
        <v/>
      </c>
      <c r="D476" s="29">
        <f>IF(A476="","",IFERROR(INDEX('자료_미국심리'!$E$3:$E$4002,MATCH(A476,$P$19:$P$4018,0)),D475))</f>
        <v/>
      </c>
      <c r="E476" s="29">
        <f>IF(A476="","",IFERROR(INDEX('자료_미국심리'!$H$3:$H$4002,MATCH(A476,$Q$19:$Q$4018,0)),E475))</f>
        <v/>
      </c>
      <c r="F476">
        <f>IF(A476="",0,IF(A476&gt;$B$5,1,0))</f>
        <v/>
      </c>
      <c r="G476" s="29">
        <f>IF(AND(F476=1,ISNUMBER(D476)),D476,"")</f>
        <v/>
      </c>
      <c r="H476" s="29">
        <f>IF(AND(F476=1,ISNUMBER(E476)),E476,"")</f>
        <v/>
      </c>
      <c r="I476" s="22">
        <f>IF(AND(F476=1,ISNUMBER(C476)),C476,"")</f>
        <v/>
      </c>
      <c r="J476" s="11">
        <f>IF(G476="","",100-IF($G$13=1,50,(_xlfn.RANK.AVG(G476,$G$19:$G$1518,1)-1)/($G$13-1)*100))</f>
        <v/>
      </c>
      <c r="K476" s="11">
        <f>IF(H476="","",100-IF($G$14=1,50,(_xlfn.RANK.AVG(H476,$H$19:$H$1518,1)-1)/($G$14-1)*100))</f>
        <v/>
      </c>
      <c r="L476" s="11">
        <f>IF(I476="","",IF($G$15=1,50,(_xlfn.RANK.AVG(I476,$I$19:$I$1518,1)-1)/($G$15-1)*100))</f>
        <v/>
      </c>
      <c r="M476" s="11">
        <f>IF(COUNT(J476:L476)=3,ROUND(AVERAGE(J476:L476),6),"")</f>
        <v/>
      </c>
      <c r="O476">
        <f>IF(AND(ISNUMBER('자료_미국심리'!$A460),ISNUMBER('자료_미국심리'!$B460)),'자료_미국심리'!$A460,"")</f>
        <v/>
      </c>
      <c r="P476">
        <f>IF(AND(ISNUMBER('자료_미국심리'!$D460),ISNUMBER('자료_미국심리'!$E460)),'자료_미국심리'!$D460,"")</f>
        <v/>
      </c>
      <c r="Q476">
        <f>IF(AND(ISNUMBER('자료_미국심리'!$G460),ISNUMBER('자료_미국심리'!$H460)),'자료_미국심리'!$G460,"")</f>
        <v/>
      </c>
    </row>
    <row r="477">
      <c r="A477" s="10">
        <f>IF(459&gt;$E$5,"",SMALL($O$19:$O$4018,$E$6+459))</f>
        <v/>
      </c>
      <c r="B477" s="29">
        <f>IF(A477="","",INDEX('자료_미국심리'!$B$3:$B$4002,MATCH(A477,$O$19:$O$4018,0)))</f>
        <v/>
      </c>
      <c r="C477" s="22">
        <f>IF(A477="","",B477/AVERAGE(B353:B477)-1)</f>
        <v/>
      </c>
      <c r="D477" s="29">
        <f>IF(A477="","",IFERROR(INDEX('자료_미국심리'!$E$3:$E$4002,MATCH(A477,$P$19:$P$4018,0)),D476))</f>
        <v/>
      </c>
      <c r="E477" s="29">
        <f>IF(A477="","",IFERROR(INDEX('자료_미국심리'!$H$3:$H$4002,MATCH(A477,$Q$19:$Q$4018,0)),E476))</f>
        <v/>
      </c>
      <c r="F477">
        <f>IF(A477="",0,IF(A477&gt;$B$5,1,0))</f>
        <v/>
      </c>
      <c r="G477" s="29">
        <f>IF(AND(F477=1,ISNUMBER(D477)),D477,"")</f>
        <v/>
      </c>
      <c r="H477" s="29">
        <f>IF(AND(F477=1,ISNUMBER(E477)),E477,"")</f>
        <v/>
      </c>
      <c r="I477" s="22">
        <f>IF(AND(F477=1,ISNUMBER(C477)),C477,"")</f>
        <v/>
      </c>
      <c r="J477" s="11">
        <f>IF(G477="","",100-IF($G$13=1,50,(_xlfn.RANK.AVG(G477,$G$19:$G$1518,1)-1)/($G$13-1)*100))</f>
        <v/>
      </c>
      <c r="K477" s="11">
        <f>IF(H477="","",100-IF($G$14=1,50,(_xlfn.RANK.AVG(H477,$H$19:$H$1518,1)-1)/($G$14-1)*100))</f>
        <v/>
      </c>
      <c r="L477" s="11">
        <f>IF(I477="","",IF($G$15=1,50,(_xlfn.RANK.AVG(I477,$I$19:$I$1518,1)-1)/($G$15-1)*100))</f>
        <v/>
      </c>
      <c r="M477" s="11">
        <f>IF(COUNT(J477:L477)=3,ROUND(AVERAGE(J477:L477),6),"")</f>
        <v/>
      </c>
      <c r="O477">
        <f>IF(AND(ISNUMBER('자료_미국심리'!$A461),ISNUMBER('자료_미국심리'!$B461)),'자료_미국심리'!$A461,"")</f>
        <v/>
      </c>
      <c r="P477">
        <f>IF(AND(ISNUMBER('자료_미국심리'!$D461),ISNUMBER('자료_미국심리'!$E461)),'자료_미국심리'!$D461,"")</f>
        <v/>
      </c>
      <c r="Q477">
        <f>IF(AND(ISNUMBER('자료_미국심리'!$G461),ISNUMBER('자료_미국심리'!$H461)),'자료_미국심리'!$G461,"")</f>
        <v/>
      </c>
    </row>
    <row r="478">
      <c r="A478" s="10">
        <f>IF(460&gt;$E$5,"",SMALL($O$19:$O$4018,$E$6+460))</f>
        <v/>
      </c>
      <c r="B478" s="29">
        <f>IF(A478="","",INDEX('자료_미국심리'!$B$3:$B$4002,MATCH(A478,$O$19:$O$4018,0)))</f>
        <v/>
      </c>
      <c r="C478" s="22">
        <f>IF(A478="","",B478/AVERAGE(B354:B478)-1)</f>
        <v/>
      </c>
      <c r="D478" s="29">
        <f>IF(A478="","",IFERROR(INDEX('자료_미국심리'!$E$3:$E$4002,MATCH(A478,$P$19:$P$4018,0)),D477))</f>
        <v/>
      </c>
      <c r="E478" s="29">
        <f>IF(A478="","",IFERROR(INDEX('자료_미국심리'!$H$3:$H$4002,MATCH(A478,$Q$19:$Q$4018,0)),E477))</f>
        <v/>
      </c>
      <c r="F478">
        <f>IF(A478="",0,IF(A478&gt;$B$5,1,0))</f>
        <v/>
      </c>
      <c r="G478" s="29">
        <f>IF(AND(F478=1,ISNUMBER(D478)),D478,"")</f>
        <v/>
      </c>
      <c r="H478" s="29">
        <f>IF(AND(F478=1,ISNUMBER(E478)),E478,"")</f>
        <v/>
      </c>
      <c r="I478" s="22">
        <f>IF(AND(F478=1,ISNUMBER(C478)),C478,"")</f>
        <v/>
      </c>
      <c r="J478" s="11">
        <f>IF(G478="","",100-IF($G$13=1,50,(_xlfn.RANK.AVG(G478,$G$19:$G$1518,1)-1)/($G$13-1)*100))</f>
        <v/>
      </c>
      <c r="K478" s="11">
        <f>IF(H478="","",100-IF($G$14=1,50,(_xlfn.RANK.AVG(H478,$H$19:$H$1518,1)-1)/($G$14-1)*100))</f>
        <v/>
      </c>
      <c r="L478" s="11">
        <f>IF(I478="","",IF($G$15=1,50,(_xlfn.RANK.AVG(I478,$I$19:$I$1518,1)-1)/($G$15-1)*100))</f>
        <v/>
      </c>
      <c r="M478" s="11">
        <f>IF(COUNT(J478:L478)=3,ROUND(AVERAGE(J478:L478),6),"")</f>
        <v/>
      </c>
      <c r="O478">
        <f>IF(AND(ISNUMBER('자료_미국심리'!$A462),ISNUMBER('자료_미국심리'!$B462)),'자료_미국심리'!$A462,"")</f>
        <v/>
      </c>
      <c r="P478">
        <f>IF(AND(ISNUMBER('자료_미국심리'!$D462),ISNUMBER('자료_미국심리'!$E462)),'자료_미국심리'!$D462,"")</f>
        <v/>
      </c>
      <c r="Q478">
        <f>IF(AND(ISNUMBER('자료_미국심리'!$G462),ISNUMBER('자료_미국심리'!$H462)),'자료_미국심리'!$G462,"")</f>
        <v/>
      </c>
    </row>
    <row r="479">
      <c r="A479" s="10">
        <f>IF(461&gt;$E$5,"",SMALL($O$19:$O$4018,$E$6+461))</f>
        <v/>
      </c>
      <c r="B479" s="29">
        <f>IF(A479="","",INDEX('자료_미국심리'!$B$3:$B$4002,MATCH(A479,$O$19:$O$4018,0)))</f>
        <v/>
      </c>
      <c r="C479" s="22">
        <f>IF(A479="","",B479/AVERAGE(B355:B479)-1)</f>
        <v/>
      </c>
      <c r="D479" s="29">
        <f>IF(A479="","",IFERROR(INDEX('자료_미국심리'!$E$3:$E$4002,MATCH(A479,$P$19:$P$4018,0)),D478))</f>
        <v/>
      </c>
      <c r="E479" s="29">
        <f>IF(A479="","",IFERROR(INDEX('자료_미국심리'!$H$3:$H$4002,MATCH(A479,$Q$19:$Q$4018,0)),E478))</f>
        <v/>
      </c>
      <c r="F479">
        <f>IF(A479="",0,IF(A479&gt;$B$5,1,0))</f>
        <v/>
      </c>
      <c r="G479" s="29">
        <f>IF(AND(F479=1,ISNUMBER(D479)),D479,"")</f>
        <v/>
      </c>
      <c r="H479" s="29">
        <f>IF(AND(F479=1,ISNUMBER(E479)),E479,"")</f>
        <v/>
      </c>
      <c r="I479" s="22">
        <f>IF(AND(F479=1,ISNUMBER(C479)),C479,"")</f>
        <v/>
      </c>
      <c r="J479" s="11">
        <f>IF(G479="","",100-IF($G$13=1,50,(_xlfn.RANK.AVG(G479,$G$19:$G$1518,1)-1)/($G$13-1)*100))</f>
        <v/>
      </c>
      <c r="K479" s="11">
        <f>IF(H479="","",100-IF($G$14=1,50,(_xlfn.RANK.AVG(H479,$H$19:$H$1518,1)-1)/($G$14-1)*100))</f>
        <v/>
      </c>
      <c r="L479" s="11">
        <f>IF(I479="","",IF($G$15=1,50,(_xlfn.RANK.AVG(I479,$I$19:$I$1518,1)-1)/($G$15-1)*100))</f>
        <v/>
      </c>
      <c r="M479" s="11">
        <f>IF(COUNT(J479:L479)=3,ROUND(AVERAGE(J479:L479),6),"")</f>
        <v/>
      </c>
      <c r="O479">
        <f>IF(AND(ISNUMBER('자료_미국심리'!$A463),ISNUMBER('자료_미국심리'!$B463)),'자료_미국심리'!$A463,"")</f>
        <v/>
      </c>
      <c r="P479">
        <f>IF(AND(ISNUMBER('자료_미국심리'!$D463),ISNUMBER('자료_미국심리'!$E463)),'자료_미국심리'!$D463,"")</f>
        <v/>
      </c>
      <c r="Q479">
        <f>IF(AND(ISNUMBER('자료_미국심리'!$G463),ISNUMBER('자료_미국심리'!$H463)),'자료_미국심리'!$G463,"")</f>
        <v/>
      </c>
    </row>
    <row r="480">
      <c r="A480" s="10">
        <f>IF(462&gt;$E$5,"",SMALL($O$19:$O$4018,$E$6+462))</f>
        <v/>
      </c>
      <c r="B480" s="29">
        <f>IF(A480="","",INDEX('자료_미국심리'!$B$3:$B$4002,MATCH(A480,$O$19:$O$4018,0)))</f>
        <v/>
      </c>
      <c r="C480" s="22">
        <f>IF(A480="","",B480/AVERAGE(B356:B480)-1)</f>
        <v/>
      </c>
      <c r="D480" s="29">
        <f>IF(A480="","",IFERROR(INDEX('자료_미국심리'!$E$3:$E$4002,MATCH(A480,$P$19:$P$4018,0)),D479))</f>
        <v/>
      </c>
      <c r="E480" s="29">
        <f>IF(A480="","",IFERROR(INDEX('자료_미국심리'!$H$3:$H$4002,MATCH(A480,$Q$19:$Q$4018,0)),E479))</f>
        <v/>
      </c>
      <c r="F480">
        <f>IF(A480="",0,IF(A480&gt;$B$5,1,0))</f>
        <v/>
      </c>
      <c r="G480" s="29">
        <f>IF(AND(F480=1,ISNUMBER(D480)),D480,"")</f>
        <v/>
      </c>
      <c r="H480" s="29">
        <f>IF(AND(F480=1,ISNUMBER(E480)),E480,"")</f>
        <v/>
      </c>
      <c r="I480" s="22">
        <f>IF(AND(F480=1,ISNUMBER(C480)),C480,"")</f>
        <v/>
      </c>
      <c r="J480" s="11">
        <f>IF(G480="","",100-IF($G$13=1,50,(_xlfn.RANK.AVG(G480,$G$19:$G$1518,1)-1)/($G$13-1)*100))</f>
        <v/>
      </c>
      <c r="K480" s="11">
        <f>IF(H480="","",100-IF($G$14=1,50,(_xlfn.RANK.AVG(H480,$H$19:$H$1518,1)-1)/($G$14-1)*100))</f>
        <v/>
      </c>
      <c r="L480" s="11">
        <f>IF(I480="","",IF($G$15=1,50,(_xlfn.RANK.AVG(I480,$I$19:$I$1518,1)-1)/($G$15-1)*100))</f>
        <v/>
      </c>
      <c r="M480" s="11">
        <f>IF(COUNT(J480:L480)=3,ROUND(AVERAGE(J480:L480),6),"")</f>
        <v/>
      </c>
      <c r="O480">
        <f>IF(AND(ISNUMBER('자료_미국심리'!$A464),ISNUMBER('자료_미국심리'!$B464)),'자료_미국심리'!$A464,"")</f>
        <v/>
      </c>
      <c r="P480">
        <f>IF(AND(ISNUMBER('자료_미국심리'!$D464),ISNUMBER('자료_미국심리'!$E464)),'자료_미국심리'!$D464,"")</f>
        <v/>
      </c>
      <c r="Q480">
        <f>IF(AND(ISNUMBER('자료_미국심리'!$G464),ISNUMBER('자료_미국심리'!$H464)),'자료_미국심리'!$G464,"")</f>
        <v/>
      </c>
    </row>
    <row r="481">
      <c r="A481" s="10">
        <f>IF(463&gt;$E$5,"",SMALL($O$19:$O$4018,$E$6+463))</f>
        <v/>
      </c>
      <c r="B481" s="29">
        <f>IF(A481="","",INDEX('자료_미국심리'!$B$3:$B$4002,MATCH(A481,$O$19:$O$4018,0)))</f>
        <v/>
      </c>
      <c r="C481" s="22">
        <f>IF(A481="","",B481/AVERAGE(B357:B481)-1)</f>
        <v/>
      </c>
      <c r="D481" s="29">
        <f>IF(A481="","",IFERROR(INDEX('자료_미국심리'!$E$3:$E$4002,MATCH(A481,$P$19:$P$4018,0)),D480))</f>
        <v/>
      </c>
      <c r="E481" s="29">
        <f>IF(A481="","",IFERROR(INDEX('자료_미국심리'!$H$3:$H$4002,MATCH(A481,$Q$19:$Q$4018,0)),E480))</f>
        <v/>
      </c>
      <c r="F481">
        <f>IF(A481="",0,IF(A481&gt;$B$5,1,0))</f>
        <v/>
      </c>
      <c r="G481" s="29">
        <f>IF(AND(F481=1,ISNUMBER(D481)),D481,"")</f>
        <v/>
      </c>
      <c r="H481" s="29">
        <f>IF(AND(F481=1,ISNUMBER(E481)),E481,"")</f>
        <v/>
      </c>
      <c r="I481" s="22">
        <f>IF(AND(F481=1,ISNUMBER(C481)),C481,"")</f>
        <v/>
      </c>
      <c r="J481" s="11">
        <f>IF(G481="","",100-IF($G$13=1,50,(_xlfn.RANK.AVG(G481,$G$19:$G$1518,1)-1)/($G$13-1)*100))</f>
        <v/>
      </c>
      <c r="K481" s="11">
        <f>IF(H481="","",100-IF($G$14=1,50,(_xlfn.RANK.AVG(H481,$H$19:$H$1518,1)-1)/($G$14-1)*100))</f>
        <v/>
      </c>
      <c r="L481" s="11">
        <f>IF(I481="","",IF($G$15=1,50,(_xlfn.RANK.AVG(I481,$I$19:$I$1518,1)-1)/($G$15-1)*100))</f>
        <v/>
      </c>
      <c r="M481" s="11">
        <f>IF(COUNT(J481:L481)=3,ROUND(AVERAGE(J481:L481),6),"")</f>
        <v/>
      </c>
      <c r="O481">
        <f>IF(AND(ISNUMBER('자료_미국심리'!$A465),ISNUMBER('자료_미국심리'!$B465)),'자료_미국심리'!$A465,"")</f>
        <v/>
      </c>
      <c r="P481">
        <f>IF(AND(ISNUMBER('자료_미국심리'!$D465),ISNUMBER('자료_미국심리'!$E465)),'자료_미국심리'!$D465,"")</f>
        <v/>
      </c>
      <c r="Q481">
        <f>IF(AND(ISNUMBER('자료_미국심리'!$G465),ISNUMBER('자료_미국심리'!$H465)),'자료_미국심리'!$G465,"")</f>
        <v/>
      </c>
    </row>
    <row r="482">
      <c r="A482" s="10">
        <f>IF(464&gt;$E$5,"",SMALL($O$19:$O$4018,$E$6+464))</f>
        <v/>
      </c>
      <c r="B482" s="29">
        <f>IF(A482="","",INDEX('자료_미국심리'!$B$3:$B$4002,MATCH(A482,$O$19:$O$4018,0)))</f>
        <v/>
      </c>
      <c r="C482" s="22">
        <f>IF(A482="","",B482/AVERAGE(B358:B482)-1)</f>
        <v/>
      </c>
      <c r="D482" s="29">
        <f>IF(A482="","",IFERROR(INDEX('자료_미국심리'!$E$3:$E$4002,MATCH(A482,$P$19:$P$4018,0)),D481))</f>
        <v/>
      </c>
      <c r="E482" s="29">
        <f>IF(A482="","",IFERROR(INDEX('자료_미국심리'!$H$3:$H$4002,MATCH(A482,$Q$19:$Q$4018,0)),E481))</f>
        <v/>
      </c>
      <c r="F482">
        <f>IF(A482="",0,IF(A482&gt;$B$5,1,0))</f>
        <v/>
      </c>
      <c r="G482" s="29">
        <f>IF(AND(F482=1,ISNUMBER(D482)),D482,"")</f>
        <v/>
      </c>
      <c r="H482" s="29">
        <f>IF(AND(F482=1,ISNUMBER(E482)),E482,"")</f>
        <v/>
      </c>
      <c r="I482" s="22">
        <f>IF(AND(F482=1,ISNUMBER(C482)),C482,"")</f>
        <v/>
      </c>
      <c r="J482" s="11">
        <f>IF(G482="","",100-IF($G$13=1,50,(_xlfn.RANK.AVG(G482,$G$19:$G$1518,1)-1)/($G$13-1)*100))</f>
        <v/>
      </c>
      <c r="K482" s="11">
        <f>IF(H482="","",100-IF($G$14=1,50,(_xlfn.RANK.AVG(H482,$H$19:$H$1518,1)-1)/($G$14-1)*100))</f>
        <v/>
      </c>
      <c r="L482" s="11">
        <f>IF(I482="","",IF($G$15=1,50,(_xlfn.RANK.AVG(I482,$I$19:$I$1518,1)-1)/($G$15-1)*100))</f>
        <v/>
      </c>
      <c r="M482" s="11">
        <f>IF(COUNT(J482:L482)=3,ROUND(AVERAGE(J482:L482),6),"")</f>
        <v/>
      </c>
      <c r="O482">
        <f>IF(AND(ISNUMBER('자료_미국심리'!$A466),ISNUMBER('자료_미국심리'!$B466)),'자료_미국심리'!$A466,"")</f>
        <v/>
      </c>
      <c r="P482">
        <f>IF(AND(ISNUMBER('자료_미국심리'!$D466),ISNUMBER('자료_미국심리'!$E466)),'자료_미국심리'!$D466,"")</f>
        <v/>
      </c>
      <c r="Q482">
        <f>IF(AND(ISNUMBER('자료_미국심리'!$G466),ISNUMBER('자료_미국심리'!$H466)),'자료_미국심리'!$G466,"")</f>
        <v/>
      </c>
    </row>
    <row r="483">
      <c r="A483" s="10">
        <f>IF(465&gt;$E$5,"",SMALL($O$19:$O$4018,$E$6+465))</f>
        <v/>
      </c>
      <c r="B483" s="29">
        <f>IF(A483="","",INDEX('자료_미국심리'!$B$3:$B$4002,MATCH(A483,$O$19:$O$4018,0)))</f>
        <v/>
      </c>
      <c r="C483" s="22">
        <f>IF(A483="","",B483/AVERAGE(B359:B483)-1)</f>
        <v/>
      </c>
      <c r="D483" s="29">
        <f>IF(A483="","",IFERROR(INDEX('자료_미국심리'!$E$3:$E$4002,MATCH(A483,$P$19:$P$4018,0)),D482))</f>
        <v/>
      </c>
      <c r="E483" s="29">
        <f>IF(A483="","",IFERROR(INDEX('자료_미국심리'!$H$3:$H$4002,MATCH(A483,$Q$19:$Q$4018,0)),E482))</f>
        <v/>
      </c>
      <c r="F483">
        <f>IF(A483="",0,IF(A483&gt;$B$5,1,0))</f>
        <v/>
      </c>
      <c r="G483" s="29">
        <f>IF(AND(F483=1,ISNUMBER(D483)),D483,"")</f>
        <v/>
      </c>
      <c r="H483" s="29">
        <f>IF(AND(F483=1,ISNUMBER(E483)),E483,"")</f>
        <v/>
      </c>
      <c r="I483" s="22">
        <f>IF(AND(F483=1,ISNUMBER(C483)),C483,"")</f>
        <v/>
      </c>
      <c r="J483" s="11">
        <f>IF(G483="","",100-IF($G$13=1,50,(_xlfn.RANK.AVG(G483,$G$19:$G$1518,1)-1)/($G$13-1)*100))</f>
        <v/>
      </c>
      <c r="K483" s="11">
        <f>IF(H483="","",100-IF($G$14=1,50,(_xlfn.RANK.AVG(H483,$H$19:$H$1518,1)-1)/($G$14-1)*100))</f>
        <v/>
      </c>
      <c r="L483" s="11">
        <f>IF(I483="","",IF($G$15=1,50,(_xlfn.RANK.AVG(I483,$I$19:$I$1518,1)-1)/($G$15-1)*100))</f>
        <v/>
      </c>
      <c r="M483" s="11">
        <f>IF(COUNT(J483:L483)=3,ROUND(AVERAGE(J483:L483),6),"")</f>
        <v/>
      </c>
      <c r="O483">
        <f>IF(AND(ISNUMBER('자료_미국심리'!$A467),ISNUMBER('자료_미국심리'!$B467)),'자료_미국심리'!$A467,"")</f>
        <v/>
      </c>
      <c r="P483">
        <f>IF(AND(ISNUMBER('자료_미국심리'!$D467),ISNUMBER('자료_미국심리'!$E467)),'자료_미국심리'!$D467,"")</f>
        <v/>
      </c>
      <c r="Q483">
        <f>IF(AND(ISNUMBER('자료_미국심리'!$G467),ISNUMBER('자료_미국심리'!$H467)),'자료_미국심리'!$G467,"")</f>
        <v/>
      </c>
    </row>
    <row r="484">
      <c r="A484" s="10">
        <f>IF(466&gt;$E$5,"",SMALL($O$19:$O$4018,$E$6+466))</f>
        <v/>
      </c>
      <c r="B484" s="29">
        <f>IF(A484="","",INDEX('자료_미국심리'!$B$3:$B$4002,MATCH(A484,$O$19:$O$4018,0)))</f>
        <v/>
      </c>
      <c r="C484" s="22">
        <f>IF(A484="","",B484/AVERAGE(B360:B484)-1)</f>
        <v/>
      </c>
      <c r="D484" s="29">
        <f>IF(A484="","",IFERROR(INDEX('자료_미국심리'!$E$3:$E$4002,MATCH(A484,$P$19:$P$4018,0)),D483))</f>
        <v/>
      </c>
      <c r="E484" s="29">
        <f>IF(A484="","",IFERROR(INDEX('자료_미국심리'!$H$3:$H$4002,MATCH(A484,$Q$19:$Q$4018,0)),E483))</f>
        <v/>
      </c>
      <c r="F484">
        <f>IF(A484="",0,IF(A484&gt;$B$5,1,0))</f>
        <v/>
      </c>
      <c r="G484" s="29">
        <f>IF(AND(F484=1,ISNUMBER(D484)),D484,"")</f>
        <v/>
      </c>
      <c r="H484" s="29">
        <f>IF(AND(F484=1,ISNUMBER(E484)),E484,"")</f>
        <v/>
      </c>
      <c r="I484" s="22">
        <f>IF(AND(F484=1,ISNUMBER(C484)),C484,"")</f>
        <v/>
      </c>
      <c r="J484" s="11">
        <f>IF(G484="","",100-IF($G$13=1,50,(_xlfn.RANK.AVG(G484,$G$19:$G$1518,1)-1)/($G$13-1)*100))</f>
        <v/>
      </c>
      <c r="K484" s="11">
        <f>IF(H484="","",100-IF($G$14=1,50,(_xlfn.RANK.AVG(H484,$H$19:$H$1518,1)-1)/($G$14-1)*100))</f>
        <v/>
      </c>
      <c r="L484" s="11">
        <f>IF(I484="","",IF($G$15=1,50,(_xlfn.RANK.AVG(I484,$I$19:$I$1518,1)-1)/($G$15-1)*100))</f>
        <v/>
      </c>
      <c r="M484" s="11">
        <f>IF(COUNT(J484:L484)=3,ROUND(AVERAGE(J484:L484),6),"")</f>
        <v/>
      </c>
      <c r="O484">
        <f>IF(AND(ISNUMBER('자료_미국심리'!$A468),ISNUMBER('자료_미국심리'!$B468)),'자료_미국심리'!$A468,"")</f>
        <v/>
      </c>
      <c r="P484">
        <f>IF(AND(ISNUMBER('자료_미국심리'!$D468),ISNUMBER('자료_미국심리'!$E468)),'자료_미국심리'!$D468,"")</f>
        <v/>
      </c>
      <c r="Q484">
        <f>IF(AND(ISNUMBER('자료_미국심리'!$G468),ISNUMBER('자료_미국심리'!$H468)),'자료_미국심리'!$G468,"")</f>
        <v/>
      </c>
    </row>
    <row r="485">
      <c r="A485" s="10">
        <f>IF(467&gt;$E$5,"",SMALL($O$19:$O$4018,$E$6+467))</f>
        <v/>
      </c>
      <c r="B485" s="29">
        <f>IF(A485="","",INDEX('자료_미국심리'!$B$3:$B$4002,MATCH(A485,$O$19:$O$4018,0)))</f>
        <v/>
      </c>
      <c r="C485" s="22">
        <f>IF(A485="","",B485/AVERAGE(B361:B485)-1)</f>
        <v/>
      </c>
      <c r="D485" s="29">
        <f>IF(A485="","",IFERROR(INDEX('자료_미국심리'!$E$3:$E$4002,MATCH(A485,$P$19:$P$4018,0)),D484))</f>
        <v/>
      </c>
      <c r="E485" s="29">
        <f>IF(A485="","",IFERROR(INDEX('자료_미국심리'!$H$3:$H$4002,MATCH(A485,$Q$19:$Q$4018,0)),E484))</f>
        <v/>
      </c>
      <c r="F485">
        <f>IF(A485="",0,IF(A485&gt;$B$5,1,0))</f>
        <v/>
      </c>
      <c r="G485" s="29">
        <f>IF(AND(F485=1,ISNUMBER(D485)),D485,"")</f>
        <v/>
      </c>
      <c r="H485" s="29">
        <f>IF(AND(F485=1,ISNUMBER(E485)),E485,"")</f>
        <v/>
      </c>
      <c r="I485" s="22">
        <f>IF(AND(F485=1,ISNUMBER(C485)),C485,"")</f>
        <v/>
      </c>
      <c r="J485" s="11">
        <f>IF(G485="","",100-IF($G$13=1,50,(_xlfn.RANK.AVG(G485,$G$19:$G$1518,1)-1)/($G$13-1)*100))</f>
        <v/>
      </c>
      <c r="K485" s="11">
        <f>IF(H485="","",100-IF($G$14=1,50,(_xlfn.RANK.AVG(H485,$H$19:$H$1518,1)-1)/($G$14-1)*100))</f>
        <v/>
      </c>
      <c r="L485" s="11">
        <f>IF(I485="","",IF($G$15=1,50,(_xlfn.RANK.AVG(I485,$I$19:$I$1518,1)-1)/($G$15-1)*100))</f>
        <v/>
      </c>
      <c r="M485" s="11">
        <f>IF(COUNT(J485:L485)=3,ROUND(AVERAGE(J485:L485),6),"")</f>
        <v/>
      </c>
      <c r="O485">
        <f>IF(AND(ISNUMBER('자료_미국심리'!$A469),ISNUMBER('자료_미국심리'!$B469)),'자료_미국심리'!$A469,"")</f>
        <v/>
      </c>
      <c r="P485">
        <f>IF(AND(ISNUMBER('자료_미국심리'!$D469),ISNUMBER('자료_미국심리'!$E469)),'자료_미국심리'!$D469,"")</f>
        <v/>
      </c>
      <c r="Q485">
        <f>IF(AND(ISNUMBER('자료_미국심리'!$G469),ISNUMBER('자료_미국심리'!$H469)),'자료_미국심리'!$G469,"")</f>
        <v/>
      </c>
    </row>
    <row r="486">
      <c r="A486" s="10">
        <f>IF(468&gt;$E$5,"",SMALL($O$19:$O$4018,$E$6+468))</f>
        <v/>
      </c>
      <c r="B486" s="29">
        <f>IF(A486="","",INDEX('자료_미국심리'!$B$3:$B$4002,MATCH(A486,$O$19:$O$4018,0)))</f>
        <v/>
      </c>
      <c r="C486" s="22">
        <f>IF(A486="","",B486/AVERAGE(B362:B486)-1)</f>
        <v/>
      </c>
      <c r="D486" s="29">
        <f>IF(A486="","",IFERROR(INDEX('자료_미국심리'!$E$3:$E$4002,MATCH(A486,$P$19:$P$4018,0)),D485))</f>
        <v/>
      </c>
      <c r="E486" s="29">
        <f>IF(A486="","",IFERROR(INDEX('자료_미국심리'!$H$3:$H$4002,MATCH(A486,$Q$19:$Q$4018,0)),E485))</f>
        <v/>
      </c>
      <c r="F486">
        <f>IF(A486="",0,IF(A486&gt;$B$5,1,0))</f>
        <v/>
      </c>
      <c r="G486" s="29">
        <f>IF(AND(F486=1,ISNUMBER(D486)),D486,"")</f>
        <v/>
      </c>
      <c r="H486" s="29">
        <f>IF(AND(F486=1,ISNUMBER(E486)),E486,"")</f>
        <v/>
      </c>
      <c r="I486" s="22">
        <f>IF(AND(F486=1,ISNUMBER(C486)),C486,"")</f>
        <v/>
      </c>
      <c r="J486" s="11">
        <f>IF(G486="","",100-IF($G$13=1,50,(_xlfn.RANK.AVG(G486,$G$19:$G$1518,1)-1)/($G$13-1)*100))</f>
        <v/>
      </c>
      <c r="K486" s="11">
        <f>IF(H486="","",100-IF($G$14=1,50,(_xlfn.RANK.AVG(H486,$H$19:$H$1518,1)-1)/($G$14-1)*100))</f>
        <v/>
      </c>
      <c r="L486" s="11">
        <f>IF(I486="","",IF($G$15=1,50,(_xlfn.RANK.AVG(I486,$I$19:$I$1518,1)-1)/($G$15-1)*100))</f>
        <v/>
      </c>
      <c r="M486" s="11">
        <f>IF(COUNT(J486:L486)=3,ROUND(AVERAGE(J486:L486),6),"")</f>
        <v/>
      </c>
      <c r="O486">
        <f>IF(AND(ISNUMBER('자료_미국심리'!$A470),ISNUMBER('자료_미국심리'!$B470)),'자료_미국심리'!$A470,"")</f>
        <v/>
      </c>
      <c r="P486">
        <f>IF(AND(ISNUMBER('자료_미국심리'!$D470),ISNUMBER('자료_미국심리'!$E470)),'자료_미국심리'!$D470,"")</f>
        <v/>
      </c>
      <c r="Q486">
        <f>IF(AND(ISNUMBER('자료_미국심리'!$G470),ISNUMBER('자료_미국심리'!$H470)),'자료_미국심리'!$G470,"")</f>
        <v/>
      </c>
    </row>
    <row r="487">
      <c r="A487" s="10">
        <f>IF(469&gt;$E$5,"",SMALL($O$19:$O$4018,$E$6+469))</f>
        <v/>
      </c>
      <c r="B487" s="29">
        <f>IF(A487="","",INDEX('자료_미국심리'!$B$3:$B$4002,MATCH(A487,$O$19:$O$4018,0)))</f>
        <v/>
      </c>
      <c r="C487" s="22">
        <f>IF(A487="","",B487/AVERAGE(B363:B487)-1)</f>
        <v/>
      </c>
      <c r="D487" s="29">
        <f>IF(A487="","",IFERROR(INDEX('자료_미국심리'!$E$3:$E$4002,MATCH(A487,$P$19:$P$4018,0)),D486))</f>
        <v/>
      </c>
      <c r="E487" s="29">
        <f>IF(A487="","",IFERROR(INDEX('자료_미국심리'!$H$3:$H$4002,MATCH(A487,$Q$19:$Q$4018,0)),E486))</f>
        <v/>
      </c>
      <c r="F487">
        <f>IF(A487="",0,IF(A487&gt;$B$5,1,0))</f>
        <v/>
      </c>
      <c r="G487" s="29">
        <f>IF(AND(F487=1,ISNUMBER(D487)),D487,"")</f>
        <v/>
      </c>
      <c r="H487" s="29">
        <f>IF(AND(F487=1,ISNUMBER(E487)),E487,"")</f>
        <v/>
      </c>
      <c r="I487" s="22">
        <f>IF(AND(F487=1,ISNUMBER(C487)),C487,"")</f>
        <v/>
      </c>
      <c r="J487" s="11">
        <f>IF(G487="","",100-IF($G$13=1,50,(_xlfn.RANK.AVG(G487,$G$19:$G$1518,1)-1)/($G$13-1)*100))</f>
        <v/>
      </c>
      <c r="K487" s="11">
        <f>IF(H487="","",100-IF($G$14=1,50,(_xlfn.RANK.AVG(H487,$H$19:$H$1518,1)-1)/($G$14-1)*100))</f>
        <v/>
      </c>
      <c r="L487" s="11">
        <f>IF(I487="","",IF($G$15=1,50,(_xlfn.RANK.AVG(I487,$I$19:$I$1518,1)-1)/($G$15-1)*100))</f>
        <v/>
      </c>
      <c r="M487" s="11">
        <f>IF(COUNT(J487:L487)=3,ROUND(AVERAGE(J487:L487),6),"")</f>
        <v/>
      </c>
      <c r="O487">
        <f>IF(AND(ISNUMBER('자료_미국심리'!$A471),ISNUMBER('자료_미국심리'!$B471)),'자료_미국심리'!$A471,"")</f>
        <v/>
      </c>
      <c r="P487">
        <f>IF(AND(ISNUMBER('자료_미국심리'!$D471),ISNUMBER('자료_미국심리'!$E471)),'자료_미국심리'!$D471,"")</f>
        <v/>
      </c>
      <c r="Q487">
        <f>IF(AND(ISNUMBER('자료_미국심리'!$G471),ISNUMBER('자료_미국심리'!$H471)),'자료_미국심리'!$G471,"")</f>
        <v/>
      </c>
    </row>
    <row r="488">
      <c r="A488" s="10">
        <f>IF(470&gt;$E$5,"",SMALL($O$19:$O$4018,$E$6+470))</f>
        <v/>
      </c>
      <c r="B488" s="29">
        <f>IF(A488="","",INDEX('자료_미국심리'!$B$3:$B$4002,MATCH(A488,$O$19:$O$4018,0)))</f>
        <v/>
      </c>
      <c r="C488" s="22">
        <f>IF(A488="","",B488/AVERAGE(B364:B488)-1)</f>
        <v/>
      </c>
      <c r="D488" s="29">
        <f>IF(A488="","",IFERROR(INDEX('자료_미국심리'!$E$3:$E$4002,MATCH(A488,$P$19:$P$4018,0)),D487))</f>
        <v/>
      </c>
      <c r="E488" s="29">
        <f>IF(A488="","",IFERROR(INDEX('자료_미국심리'!$H$3:$H$4002,MATCH(A488,$Q$19:$Q$4018,0)),E487))</f>
        <v/>
      </c>
      <c r="F488">
        <f>IF(A488="",0,IF(A488&gt;$B$5,1,0))</f>
        <v/>
      </c>
      <c r="G488" s="29">
        <f>IF(AND(F488=1,ISNUMBER(D488)),D488,"")</f>
        <v/>
      </c>
      <c r="H488" s="29">
        <f>IF(AND(F488=1,ISNUMBER(E488)),E488,"")</f>
        <v/>
      </c>
      <c r="I488" s="22">
        <f>IF(AND(F488=1,ISNUMBER(C488)),C488,"")</f>
        <v/>
      </c>
      <c r="J488" s="11">
        <f>IF(G488="","",100-IF($G$13=1,50,(_xlfn.RANK.AVG(G488,$G$19:$G$1518,1)-1)/($G$13-1)*100))</f>
        <v/>
      </c>
      <c r="K488" s="11">
        <f>IF(H488="","",100-IF($G$14=1,50,(_xlfn.RANK.AVG(H488,$H$19:$H$1518,1)-1)/($G$14-1)*100))</f>
        <v/>
      </c>
      <c r="L488" s="11">
        <f>IF(I488="","",IF($G$15=1,50,(_xlfn.RANK.AVG(I488,$I$19:$I$1518,1)-1)/($G$15-1)*100))</f>
        <v/>
      </c>
      <c r="M488" s="11">
        <f>IF(COUNT(J488:L488)=3,ROUND(AVERAGE(J488:L488),6),"")</f>
        <v/>
      </c>
      <c r="O488">
        <f>IF(AND(ISNUMBER('자료_미국심리'!$A472),ISNUMBER('자료_미국심리'!$B472)),'자료_미국심리'!$A472,"")</f>
        <v/>
      </c>
      <c r="P488">
        <f>IF(AND(ISNUMBER('자료_미국심리'!$D472),ISNUMBER('자료_미국심리'!$E472)),'자료_미국심리'!$D472,"")</f>
        <v/>
      </c>
      <c r="Q488">
        <f>IF(AND(ISNUMBER('자료_미국심리'!$G472),ISNUMBER('자료_미국심리'!$H472)),'자료_미국심리'!$G472,"")</f>
        <v/>
      </c>
    </row>
    <row r="489">
      <c r="A489" s="10">
        <f>IF(471&gt;$E$5,"",SMALL($O$19:$O$4018,$E$6+471))</f>
        <v/>
      </c>
      <c r="B489" s="29">
        <f>IF(A489="","",INDEX('자료_미국심리'!$B$3:$B$4002,MATCH(A489,$O$19:$O$4018,0)))</f>
        <v/>
      </c>
      <c r="C489" s="22">
        <f>IF(A489="","",B489/AVERAGE(B365:B489)-1)</f>
        <v/>
      </c>
      <c r="D489" s="29">
        <f>IF(A489="","",IFERROR(INDEX('자료_미국심리'!$E$3:$E$4002,MATCH(A489,$P$19:$P$4018,0)),D488))</f>
        <v/>
      </c>
      <c r="E489" s="29">
        <f>IF(A489="","",IFERROR(INDEX('자료_미국심리'!$H$3:$H$4002,MATCH(A489,$Q$19:$Q$4018,0)),E488))</f>
        <v/>
      </c>
      <c r="F489">
        <f>IF(A489="",0,IF(A489&gt;$B$5,1,0))</f>
        <v/>
      </c>
      <c r="G489" s="29">
        <f>IF(AND(F489=1,ISNUMBER(D489)),D489,"")</f>
        <v/>
      </c>
      <c r="H489" s="29">
        <f>IF(AND(F489=1,ISNUMBER(E489)),E489,"")</f>
        <v/>
      </c>
      <c r="I489" s="22">
        <f>IF(AND(F489=1,ISNUMBER(C489)),C489,"")</f>
        <v/>
      </c>
      <c r="J489" s="11">
        <f>IF(G489="","",100-IF($G$13=1,50,(_xlfn.RANK.AVG(G489,$G$19:$G$1518,1)-1)/($G$13-1)*100))</f>
        <v/>
      </c>
      <c r="K489" s="11">
        <f>IF(H489="","",100-IF($G$14=1,50,(_xlfn.RANK.AVG(H489,$H$19:$H$1518,1)-1)/($G$14-1)*100))</f>
        <v/>
      </c>
      <c r="L489" s="11">
        <f>IF(I489="","",IF($G$15=1,50,(_xlfn.RANK.AVG(I489,$I$19:$I$1518,1)-1)/($G$15-1)*100))</f>
        <v/>
      </c>
      <c r="M489" s="11">
        <f>IF(COUNT(J489:L489)=3,ROUND(AVERAGE(J489:L489),6),"")</f>
        <v/>
      </c>
      <c r="O489">
        <f>IF(AND(ISNUMBER('자료_미국심리'!$A473),ISNUMBER('자료_미국심리'!$B473)),'자료_미국심리'!$A473,"")</f>
        <v/>
      </c>
      <c r="P489">
        <f>IF(AND(ISNUMBER('자료_미국심리'!$D473),ISNUMBER('자료_미국심리'!$E473)),'자료_미국심리'!$D473,"")</f>
        <v/>
      </c>
      <c r="Q489">
        <f>IF(AND(ISNUMBER('자료_미국심리'!$G473),ISNUMBER('자료_미국심리'!$H473)),'자료_미국심리'!$G473,"")</f>
        <v/>
      </c>
    </row>
    <row r="490">
      <c r="A490" s="10">
        <f>IF(472&gt;$E$5,"",SMALL($O$19:$O$4018,$E$6+472))</f>
        <v/>
      </c>
      <c r="B490" s="29">
        <f>IF(A490="","",INDEX('자료_미국심리'!$B$3:$B$4002,MATCH(A490,$O$19:$O$4018,0)))</f>
        <v/>
      </c>
      <c r="C490" s="22">
        <f>IF(A490="","",B490/AVERAGE(B366:B490)-1)</f>
        <v/>
      </c>
      <c r="D490" s="29">
        <f>IF(A490="","",IFERROR(INDEX('자료_미국심리'!$E$3:$E$4002,MATCH(A490,$P$19:$P$4018,0)),D489))</f>
        <v/>
      </c>
      <c r="E490" s="29">
        <f>IF(A490="","",IFERROR(INDEX('자료_미국심리'!$H$3:$H$4002,MATCH(A490,$Q$19:$Q$4018,0)),E489))</f>
        <v/>
      </c>
      <c r="F490">
        <f>IF(A490="",0,IF(A490&gt;$B$5,1,0))</f>
        <v/>
      </c>
      <c r="G490" s="29">
        <f>IF(AND(F490=1,ISNUMBER(D490)),D490,"")</f>
        <v/>
      </c>
      <c r="H490" s="29">
        <f>IF(AND(F490=1,ISNUMBER(E490)),E490,"")</f>
        <v/>
      </c>
      <c r="I490" s="22">
        <f>IF(AND(F490=1,ISNUMBER(C490)),C490,"")</f>
        <v/>
      </c>
      <c r="J490" s="11">
        <f>IF(G490="","",100-IF($G$13=1,50,(_xlfn.RANK.AVG(G490,$G$19:$G$1518,1)-1)/($G$13-1)*100))</f>
        <v/>
      </c>
      <c r="K490" s="11">
        <f>IF(H490="","",100-IF($G$14=1,50,(_xlfn.RANK.AVG(H490,$H$19:$H$1518,1)-1)/($G$14-1)*100))</f>
        <v/>
      </c>
      <c r="L490" s="11">
        <f>IF(I490="","",IF($G$15=1,50,(_xlfn.RANK.AVG(I490,$I$19:$I$1518,1)-1)/($G$15-1)*100))</f>
        <v/>
      </c>
      <c r="M490" s="11">
        <f>IF(COUNT(J490:L490)=3,ROUND(AVERAGE(J490:L490),6),"")</f>
        <v/>
      </c>
      <c r="O490">
        <f>IF(AND(ISNUMBER('자료_미국심리'!$A474),ISNUMBER('자료_미국심리'!$B474)),'자료_미국심리'!$A474,"")</f>
        <v/>
      </c>
      <c r="P490">
        <f>IF(AND(ISNUMBER('자료_미국심리'!$D474),ISNUMBER('자료_미국심리'!$E474)),'자료_미국심리'!$D474,"")</f>
        <v/>
      </c>
      <c r="Q490">
        <f>IF(AND(ISNUMBER('자료_미국심리'!$G474),ISNUMBER('자료_미국심리'!$H474)),'자료_미국심리'!$G474,"")</f>
        <v/>
      </c>
    </row>
    <row r="491">
      <c r="A491" s="10">
        <f>IF(473&gt;$E$5,"",SMALL($O$19:$O$4018,$E$6+473))</f>
        <v/>
      </c>
      <c r="B491" s="29">
        <f>IF(A491="","",INDEX('자료_미국심리'!$B$3:$B$4002,MATCH(A491,$O$19:$O$4018,0)))</f>
        <v/>
      </c>
      <c r="C491" s="22">
        <f>IF(A491="","",B491/AVERAGE(B367:B491)-1)</f>
        <v/>
      </c>
      <c r="D491" s="29">
        <f>IF(A491="","",IFERROR(INDEX('자료_미국심리'!$E$3:$E$4002,MATCH(A491,$P$19:$P$4018,0)),D490))</f>
        <v/>
      </c>
      <c r="E491" s="29">
        <f>IF(A491="","",IFERROR(INDEX('자료_미국심리'!$H$3:$H$4002,MATCH(A491,$Q$19:$Q$4018,0)),E490))</f>
        <v/>
      </c>
      <c r="F491">
        <f>IF(A491="",0,IF(A491&gt;$B$5,1,0))</f>
        <v/>
      </c>
      <c r="G491" s="29">
        <f>IF(AND(F491=1,ISNUMBER(D491)),D491,"")</f>
        <v/>
      </c>
      <c r="H491" s="29">
        <f>IF(AND(F491=1,ISNUMBER(E491)),E491,"")</f>
        <v/>
      </c>
      <c r="I491" s="22">
        <f>IF(AND(F491=1,ISNUMBER(C491)),C491,"")</f>
        <v/>
      </c>
      <c r="J491" s="11">
        <f>IF(G491="","",100-IF($G$13=1,50,(_xlfn.RANK.AVG(G491,$G$19:$G$1518,1)-1)/($G$13-1)*100))</f>
        <v/>
      </c>
      <c r="K491" s="11">
        <f>IF(H491="","",100-IF($G$14=1,50,(_xlfn.RANK.AVG(H491,$H$19:$H$1518,1)-1)/($G$14-1)*100))</f>
        <v/>
      </c>
      <c r="L491" s="11">
        <f>IF(I491="","",IF($G$15=1,50,(_xlfn.RANK.AVG(I491,$I$19:$I$1518,1)-1)/($G$15-1)*100))</f>
        <v/>
      </c>
      <c r="M491" s="11">
        <f>IF(COUNT(J491:L491)=3,ROUND(AVERAGE(J491:L491),6),"")</f>
        <v/>
      </c>
      <c r="O491">
        <f>IF(AND(ISNUMBER('자료_미국심리'!$A475),ISNUMBER('자료_미국심리'!$B475)),'자료_미국심리'!$A475,"")</f>
        <v/>
      </c>
      <c r="P491">
        <f>IF(AND(ISNUMBER('자료_미국심리'!$D475),ISNUMBER('자료_미국심리'!$E475)),'자료_미국심리'!$D475,"")</f>
        <v/>
      </c>
      <c r="Q491">
        <f>IF(AND(ISNUMBER('자료_미국심리'!$G475),ISNUMBER('자료_미국심리'!$H475)),'자료_미국심리'!$G475,"")</f>
        <v/>
      </c>
    </row>
    <row r="492">
      <c r="A492" s="10">
        <f>IF(474&gt;$E$5,"",SMALL($O$19:$O$4018,$E$6+474))</f>
        <v/>
      </c>
      <c r="B492" s="29">
        <f>IF(A492="","",INDEX('자료_미국심리'!$B$3:$B$4002,MATCH(A492,$O$19:$O$4018,0)))</f>
        <v/>
      </c>
      <c r="C492" s="22">
        <f>IF(A492="","",B492/AVERAGE(B368:B492)-1)</f>
        <v/>
      </c>
      <c r="D492" s="29">
        <f>IF(A492="","",IFERROR(INDEX('자료_미국심리'!$E$3:$E$4002,MATCH(A492,$P$19:$P$4018,0)),D491))</f>
        <v/>
      </c>
      <c r="E492" s="29">
        <f>IF(A492="","",IFERROR(INDEX('자료_미국심리'!$H$3:$H$4002,MATCH(A492,$Q$19:$Q$4018,0)),E491))</f>
        <v/>
      </c>
      <c r="F492">
        <f>IF(A492="",0,IF(A492&gt;$B$5,1,0))</f>
        <v/>
      </c>
      <c r="G492" s="29">
        <f>IF(AND(F492=1,ISNUMBER(D492)),D492,"")</f>
        <v/>
      </c>
      <c r="H492" s="29">
        <f>IF(AND(F492=1,ISNUMBER(E492)),E492,"")</f>
        <v/>
      </c>
      <c r="I492" s="22">
        <f>IF(AND(F492=1,ISNUMBER(C492)),C492,"")</f>
        <v/>
      </c>
      <c r="J492" s="11">
        <f>IF(G492="","",100-IF($G$13=1,50,(_xlfn.RANK.AVG(G492,$G$19:$G$1518,1)-1)/($G$13-1)*100))</f>
        <v/>
      </c>
      <c r="K492" s="11">
        <f>IF(H492="","",100-IF($G$14=1,50,(_xlfn.RANK.AVG(H492,$H$19:$H$1518,1)-1)/($G$14-1)*100))</f>
        <v/>
      </c>
      <c r="L492" s="11">
        <f>IF(I492="","",IF($G$15=1,50,(_xlfn.RANK.AVG(I492,$I$19:$I$1518,1)-1)/($G$15-1)*100))</f>
        <v/>
      </c>
      <c r="M492" s="11">
        <f>IF(COUNT(J492:L492)=3,ROUND(AVERAGE(J492:L492),6),"")</f>
        <v/>
      </c>
      <c r="O492">
        <f>IF(AND(ISNUMBER('자료_미국심리'!$A476),ISNUMBER('자료_미국심리'!$B476)),'자료_미국심리'!$A476,"")</f>
        <v/>
      </c>
      <c r="P492">
        <f>IF(AND(ISNUMBER('자료_미국심리'!$D476),ISNUMBER('자료_미국심리'!$E476)),'자료_미국심리'!$D476,"")</f>
        <v/>
      </c>
      <c r="Q492">
        <f>IF(AND(ISNUMBER('자료_미국심리'!$G476),ISNUMBER('자료_미국심리'!$H476)),'자료_미국심리'!$G476,"")</f>
        <v/>
      </c>
    </row>
    <row r="493">
      <c r="A493" s="10">
        <f>IF(475&gt;$E$5,"",SMALL($O$19:$O$4018,$E$6+475))</f>
        <v/>
      </c>
      <c r="B493" s="29">
        <f>IF(A493="","",INDEX('자료_미국심리'!$B$3:$B$4002,MATCH(A493,$O$19:$O$4018,0)))</f>
        <v/>
      </c>
      <c r="C493" s="22">
        <f>IF(A493="","",B493/AVERAGE(B369:B493)-1)</f>
        <v/>
      </c>
      <c r="D493" s="29">
        <f>IF(A493="","",IFERROR(INDEX('자료_미국심리'!$E$3:$E$4002,MATCH(A493,$P$19:$P$4018,0)),D492))</f>
        <v/>
      </c>
      <c r="E493" s="29">
        <f>IF(A493="","",IFERROR(INDEX('자료_미국심리'!$H$3:$H$4002,MATCH(A493,$Q$19:$Q$4018,0)),E492))</f>
        <v/>
      </c>
      <c r="F493">
        <f>IF(A493="",0,IF(A493&gt;$B$5,1,0))</f>
        <v/>
      </c>
      <c r="G493" s="29">
        <f>IF(AND(F493=1,ISNUMBER(D493)),D493,"")</f>
        <v/>
      </c>
      <c r="H493" s="29">
        <f>IF(AND(F493=1,ISNUMBER(E493)),E493,"")</f>
        <v/>
      </c>
      <c r="I493" s="22">
        <f>IF(AND(F493=1,ISNUMBER(C493)),C493,"")</f>
        <v/>
      </c>
      <c r="J493" s="11">
        <f>IF(G493="","",100-IF($G$13=1,50,(_xlfn.RANK.AVG(G493,$G$19:$G$1518,1)-1)/($G$13-1)*100))</f>
        <v/>
      </c>
      <c r="K493" s="11">
        <f>IF(H493="","",100-IF($G$14=1,50,(_xlfn.RANK.AVG(H493,$H$19:$H$1518,1)-1)/($G$14-1)*100))</f>
        <v/>
      </c>
      <c r="L493" s="11">
        <f>IF(I493="","",IF($G$15=1,50,(_xlfn.RANK.AVG(I493,$I$19:$I$1518,1)-1)/($G$15-1)*100))</f>
        <v/>
      </c>
      <c r="M493" s="11">
        <f>IF(COUNT(J493:L493)=3,ROUND(AVERAGE(J493:L493),6),"")</f>
        <v/>
      </c>
      <c r="O493">
        <f>IF(AND(ISNUMBER('자료_미국심리'!$A477),ISNUMBER('자료_미국심리'!$B477)),'자료_미국심리'!$A477,"")</f>
        <v/>
      </c>
      <c r="P493">
        <f>IF(AND(ISNUMBER('자료_미국심리'!$D477),ISNUMBER('자료_미국심리'!$E477)),'자료_미국심리'!$D477,"")</f>
        <v/>
      </c>
      <c r="Q493">
        <f>IF(AND(ISNUMBER('자료_미국심리'!$G477),ISNUMBER('자료_미국심리'!$H477)),'자료_미국심리'!$G477,"")</f>
        <v/>
      </c>
    </row>
    <row r="494">
      <c r="A494" s="10">
        <f>IF(476&gt;$E$5,"",SMALL($O$19:$O$4018,$E$6+476))</f>
        <v/>
      </c>
      <c r="B494" s="29">
        <f>IF(A494="","",INDEX('자료_미국심리'!$B$3:$B$4002,MATCH(A494,$O$19:$O$4018,0)))</f>
        <v/>
      </c>
      <c r="C494" s="22">
        <f>IF(A494="","",B494/AVERAGE(B370:B494)-1)</f>
        <v/>
      </c>
      <c r="D494" s="29">
        <f>IF(A494="","",IFERROR(INDEX('자료_미국심리'!$E$3:$E$4002,MATCH(A494,$P$19:$P$4018,0)),D493))</f>
        <v/>
      </c>
      <c r="E494" s="29">
        <f>IF(A494="","",IFERROR(INDEX('자료_미국심리'!$H$3:$H$4002,MATCH(A494,$Q$19:$Q$4018,0)),E493))</f>
        <v/>
      </c>
      <c r="F494">
        <f>IF(A494="",0,IF(A494&gt;$B$5,1,0))</f>
        <v/>
      </c>
      <c r="G494" s="29">
        <f>IF(AND(F494=1,ISNUMBER(D494)),D494,"")</f>
        <v/>
      </c>
      <c r="H494" s="29">
        <f>IF(AND(F494=1,ISNUMBER(E494)),E494,"")</f>
        <v/>
      </c>
      <c r="I494" s="22">
        <f>IF(AND(F494=1,ISNUMBER(C494)),C494,"")</f>
        <v/>
      </c>
      <c r="J494" s="11">
        <f>IF(G494="","",100-IF($G$13=1,50,(_xlfn.RANK.AVG(G494,$G$19:$G$1518,1)-1)/($G$13-1)*100))</f>
        <v/>
      </c>
      <c r="K494" s="11">
        <f>IF(H494="","",100-IF($G$14=1,50,(_xlfn.RANK.AVG(H494,$H$19:$H$1518,1)-1)/($G$14-1)*100))</f>
        <v/>
      </c>
      <c r="L494" s="11">
        <f>IF(I494="","",IF($G$15=1,50,(_xlfn.RANK.AVG(I494,$I$19:$I$1518,1)-1)/($G$15-1)*100))</f>
        <v/>
      </c>
      <c r="M494" s="11">
        <f>IF(COUNT(J494:L494)=3,ROUND(AVERAGE(J494:L494),6),"")</f>
        <v/>
      </c>
      <c r="O494">
        <f>IF(AND(ISNUMBER('자료_미국심리'!$A478),ISNUMBER('자료_미국심리'!$B478)),'자료_미국심리'!$A478,"")</f>
        <v/>
      </c>
      <c r="P494">
        <f>IF(AND(ISNUMBER('자료_미국심리'!$D478),ISNUMBER('자료_미국심리'!$E478)),'자료_미국심리'!$D478,"")</f>
        <v/>
      </c>
      <c r="Q494">
        <f>IF(AND(ISNUMBER('자료_미국심리'!$G478),ISNUMBER('자료_미국심리'!$H478)),'자료_미국심리'!$G478,"")</f>
        <v/>
      </c>
    </row>
    <row r="495">
      <c r="A495" s="10">
        <f>IF(477&gt;$E$5,"",SMALL($O$19:$O$4018,$E$6+477))</f>
        <v/>
      </c>
      <c r="B495" s="29">
        <f>IF(A495="","",INDEX('자료_미국심리'!$B$3:$B$4002,MATCH(A495,$O$19:$O$4018,0)))</f>
        <v/>
      </c>
      <c r="C495" s="22">
        <f>IF(A495="","",B495/AVERAGE(B371:B495)-1)</f>
        <v/>
      </c>
      <c r="D495" s="29">
        <f>IF(A495="","",IFERROR(INDEX('자료_미국심리'!$E$3:$E$4002,MATCH(A495,$P$19:$P$4018,0)),D494))</f>
        <v/>
      </c>
      <c r="E495" s="29">
        <f>IF(A495="","",IFERROR(INDEX('자료_미국심리'!$H$3:$H$4002,MATCH(A495,$Q$19:$Q$4018,0)),E494))</f>
        <v/>
      </c>
      <c r="F495">
        <f>IF(A495="",0,IF(A495&gt;$B$5,1,0))</f>
        <v/>
      </c>
      <c r="G495" s="29">
        <f>IF(AND(F495=1,ISNUMBER(D495)),D495,"")</f>
        <v/>
      </c>
      <c r="H495" s="29">
        <f>IF(AND(F495=1,ISNUMBER(E495)),E495,"")</f>
        <v/>
      </c>
      <c r="I495" s="22">
        <f>IF(AND(F495=1,ISNUMBER(C495)),C495,"")</f>
        <v/>
      </c>
      <c r="J495" s="11">
        <f>IF(G495="","",100-IF($G$13=1,50,(_xlfn.RANK.AVG(G495,$G$19:$G$1518,1)-1)/($G$13-1)*100))</f>
        <v/>
      </c>
      <c r="K495" s="11">
        <f>IF(H495="","",100-IF($G$14=1,50,(_xlfn.RANK.AVG(H495,$H$19:$H$1518,1)-1)/($G$14-1)*100))</f>
        <v/>
      </c>
      <c r="L495" s="11">
        <f>IF(I495="","",IF($G$15=1,50,(_xlfn.RANK.AVG(I495,$I$19:$I$1518,1)-1)/($G$15-1)*100))</f>
        <v/>
      </c>
      <c r="M495" s="11">
        <f>IF(COUNT(J495:L495)=3,ROUND(AVERAGE(J495:L495),6),"")</f>
        <v/>
      </c>
      <c r="O495">
        <f>IF(AND(ISNUMBER('자료_미국심리'!$A479),ISNUMBER('자료_미국심리'!$B479)),'자료_미국심리'!$A479,"")</f>
        <v/>
      </c>
      <c r="P495">
        <f>IF(AND(ISNUMBER('자료_미국심리'!$D479),ISNUMBER('자료_미국심리'!$E479)),'자료_미국심리'!$D479,"")</f>
        <v/>
      </c>
      <c r="Q495">
        <f>IF(AND(ISNUMBER('자료_미국심리'!$G479),ISNUMBER('자료_미국심리'!$H479)),'자료_미국심리'!$G479,"")</f>
        <v/>
      </c>
    </row>
    <row r="496">
      <c r="A496" s="10">
        <f>IF(478&gt;$E$5,"",SMALL($O$19:$O$4018,$E$6+478))</f>
        <v/>
      </c>
      <c r="B496" s="29">
        <f>IF(A496="","",INDEX('자료_미국심리'!$B$3:$B$4002,MATCH(A496,$O$19:$O$4018,0)))</f>
        <v/>
      </c>
      <c r="C496" s="22">
        <f>IF(A496="","",B496/AVERAGE(B372:B496)-1)</f>
        <v/>
      </c>
      <c r="D496" s="29">
        <f>IF(A496="","",IFERROR(INDEX('자료_미국심리'!$E$3:$E$4002,MATCH(A496,$P$19:$P$4018,0)),D495))</f>
        <v/>
      </c>
      <c r="E496" s="29">
        <f>IF(A496="","",IFERROR(INDEX('자료_미국심리'!$H$3:$H$4002,MATCH(A496,$Q$19:$Q$4018,0)),E495))</f>
        <v/>
      </c>
      <c r="F496">
        <f>IF(A496="",0,IF(A496&gt;$B$5,1,0))</f>
        <v/>
      </c>
      <c r="G496" s="29">
        <f>IF(AND(F496=1,ISNUMBER(D496)),D496,"")</f>
        <v/>
      </c>
      <c r="H496" s="29">
        <f>IF(AND(F496=1,ISNUMBER(E496)),E496,"")</f>
        <v/>
      </c>
      <c r="I496" s="22">
        <f>IF(AND(F496=1,ISNUMBER(C496)),C496,"")</f>
        <v/>
      </c>
      <c r="J496" s="11">
        <f>IF(G496="","",100-IF($G$13=1,50,(_xlfn.RANK.AVG(G496,$G$19:$G$1518,1)-1)/($G$13-1)*100))</f>
        <v/>
      </c>
      <c r="K496" s="11">
        <f>IF(H496="","",100-IF($G$14=1,50,(_xlfn.RANK.AVG(H496,$H$19:$H$1518,1)-1)/($G$14-1)*100))</f>
        <v/>
      </c>
      <c r="L496" s="11">
        <f>IF(I496="","",IF($G$15=1,50,(_xlfn.RANK.AVG(I496,$I$19:$I$1518,1)-1)/($G$15-1)*100))</f>
        <v/>
      </c>
      <c r="M496" s="11">
        <f>IF(COUNT(J496:L496)=3,ROUND(AVERAGE(J496:L496),6),"")</f>
        <v/>
      </c>
      <c r="O496">
        <f>IF(AND(ISNUMBER('자료_미국심리'!$A480),ISNUMBER('자료_미국심리'!$B480)),'자료_미국심리'!$A480,"")</f>
        <v/>
      </c>
      <c r="P496">
        <f>IF(AND(ISNUMBER('자료_미국심리'!$D480),ISNUMBER('자료_미국심리'!$E480)),'자료_미국심리'!$D480,"")</f>
        <v/>
      </c>
      <c r="Q496">
        <f>IF(AND(ISNUMBER('자료_미국심리'!$G480),ISNUMBER('자료_미국심리'!$H480)),'자료_미국심리'!$G480,"")</f>
        <v/>
      </c>
    </row>
    <row r="497">
      <c r="A497" s="10">
        <f>IF(479&gt;$E$5,"",SMALL($O$19:$O$4018,$E$6+479))</f>
        <v/>
      </c>
      <c r="B497" s="29">
        <f>IF(A497="","",INDEX('자료_미국심리'!$B$3:$B$4002,MATCH(A497,$O$19:$O$4018,0)))</f>
        <v/>
      </c>
      <c r="C497" s="22">
        <f>IF(A497="","",B497/AVERAGE(B373:B497)-1)</f>
        <v/>
      </c>
      <c r="D497" s="29">
        <f>IF(A497="","",IFERROR(INDEX('자료_미국심리'!$E$3:$E$4002,MATCH(A497,$P$19:$P$4018,0)),D496))</f>
        <v/>
      </c>
      <c r="E497" s="29">
        <f>IF(A497="","",IFERROR(INDEX('자료_미국심리'!$H$3:$H$4002,MATCH(A497,$Q$19:$Q$4018,0)),E496))</f>
        <v/>
      </c>
      <c r="F497">
        <f>IF(A497="",0,IF(A497&gt;$B$5,1,0))</f>
        <v/>
      </c>
      <c r="G497" s="29">
        <f>IF(AND(F497=1,ISNUMBER(D497)),D497,"")</f>
        <v/>
      </c>
      <c r="H497" s="29">
        <f>IF(AND(F497=1,ISNUMBER(E497)),E497,"")</f>
        <v/>
      </c>
      <c r="I497" s="22">
        <f>IF(AND(F497=1,ISNUMBER(C497)),C497,"")</f>
        <v/>
      </c>
      <c r="J497" s="11">
        <f>IF(G497="","",100-IF($G$13=1,50,(_xlfn.RANK.AVG(G497,$G$19:$G$1518,1)-1)/($G$13-1)*100))</f>
        <v/>
      </c>
      <c r="K497" s="11">
        <f>IF(H497="","",100-IF($G$14=1,50,(_xlfn.RANK.AVG(H497,$H$19:$H$1518,1)-1)/($G$14-1)*100))</f>
        <v/>
      </c>
      <c r="L497" s="11">
        <f>IF(I497="","",IF($G$15=1,50,(_xlfn.RANK.AVG(I497,$I$19:$I$1518,1)-1)/($G$15-1)*100))</f>
        <v/>
      </c>
      <c r="M497" s="11">
        <f>IF(COUNT(J497:L497)=3,ROUND(AVERAGE(J497:L497),6),"")</f>
        <v/>
      </c>
      <c r="O497">
        <f>IF(AND(ISNUMBER('자료_미국심리'!$A481),ISNUMBER('자료_미국심리'!$B481)),'자료_미국심리'!$A481,"")</f>
        <v/>
      </c>
      <c r="P497">
        <f>IF(AND(ISNUMBER('자료_미국심리'!$D481),ISNUMBER('자료_미국심리'!$E481)),'자료_미국심리'!$D481,"")</f>
        <v/>
      </c>
      <c r="Q497">
        <f>IF(AND(ISNUMBER('자료_미국심리'!$G481),ISNUMBER('자료_미국심리'!$H481)),'자료_미국심리'!$G481,"")</f>
        <v/>
      </c>
    </row>
    <row r="498">
      <c r="A498" s="10">
        <f>IF(480&gt;$E$5,"",SMALL($O$19:$O$4018,$E$6+480))</f>
        <v/>
      </c>
      <c r="B498" s="29">
        <f>IF(A498="","",INDEX('자료_미국심리'!$B$3:$B$4002,MATCH(A498,$O$19:$O$4018,0)))</f>
        <v/>
      </c>
      <c r="C498" s="22">
        <f>IF(A498="","",B498/AVERAGE(B374:B498)-1)</f>
        <v/>
      </c>
      <c r="D498" s="29">
        <f>IF(A498="","",IFERROR(INDEX('자료_미국심리'!$E$3:$E$4002,MATCH(A498,$P$19:$P$4018,0)),D497))</f>
        <v/>
      </c>
      <c r="E498" s="29">
        <f>IF(A498="","",IFERROR(INDEX('자료_미국심리'!$H$3:$H$4002,MATCH(A498,$Q$19:$Q$4018,0)),E497))</f>
        <v/>
      </c>
      <c r="F498">
        <f>IF(A498="",0,IF(A498&gt;$B$5,1,0))</f>
        <v/>
      </c>
      <c r="G498" s="29">
        <f>IF(AND(F498=1,ISNUMBER(D498)),D498,"")</f>
        <v/>
      </c>
      <c r="H498" s="29">
        <f>IF(AND(F498=1,ISNUMBER(E498)),E498,"")</f>
        <v/>
      </c>
      <c r="I498" s="22">
        <f>IF(AND(F498=1,ISNUMBER(C498)),C498,"")</f>
        <v/>
      </c>
      <c r="J498" s="11">
        <f>IF(G498="","",100-IF($G$13=1,50,(_xlfn.RANK.AVG(G498,$G$19:$G$1518,1)-1)/($G$13-1)*100))</f>
        <v/>
      </c>
      <c r="K498" s="11">
        <f>IF(H498="","",100-IF($G$14=1,50,(_xlfn.RANK.AVG(H498,$H$19:$H$1518,1)-1)/($G$14-1)*100))</f>
        <v/>
      </c>
      <c r="L498" s="11">
        <f>IF(I498="","",IF($G$15=1,50,(_xlfn.RANK.AVG(I498,$I$19:$I$1518,1)-1)/($G$15-1)*100))</f>
        <v/>
      </c>
      <c r="M498" s="11">
        <f>IF(COUNT(J498:L498)=3,ROUND(AVERAGE(J498:L498),6),"")</f>
        <v/>
      </c>
      <c r="O498">
        <f>IF(AND(ISNUMBER('자료_미국심리'!$A482),ISNUMBER('자료_미국심리'!$B482)),'자료_미국심리'!$A482,"")</f>
        <v/>
      </c>
      <c r="P498">
        <f>IF(AND(ISNUMBER('자료_미국심리'!$D482),ISNUMBER('자료_미국심리'!$E482)),'자료_미국심리'!$D482,"")</f>
        <v/>
      </c>
      <c r="Q498">
        <f>IF(AND(ISNUMBER('자료_미국심리'!$G482),ISNUMBER('자료_미국심리'!$H482)),'자료_미국심리'!$G482,"")</f>
        <v/>
      </c>
    </row>
    <row r="499">
      <c r="A499" s="10">
        <f>IF(481&gt;$E$5,"",SMALL($O$19:$O$4018,$E$6+481))</f>
        <v/>
      </c>
      <c r="B499" s="29">
        <f>IF(A499="","",INDEX('자료_미국심리'!$B$3:$B$4002,MATCH(A499,$O$19:$O$4018,0)))</f>
        <v/>
      </c>
      <c r="C499" s="22">
        <f>IF(A499="","",B499/AVERAGE(B375:B499)-1)</f>
        <v/>
      </c>
      <c r="D499" s="29">
        <f>IF(A499="","",IFERROR(INDEX('자료_미국심리'!$E$3:$E$4002,MATCH(A499,$P$19:$P$4018,0)),D498))</f>
        <v/>
      </c>
      <c r="E499" s="29">
        <f>IF(A499="","",IFERROR(INDEX('자료_미국심리'!$H$3:$H$4002,MATCH(A499,$Q$19:$Q$4018,0)),E498))</f>
        <v/>
      </c>
      <c r="F499">
        <f>IF(A499="",0,IF(A499&gt;$B$5,1,0))</f>
        <v/>
      </c>
      <c r="G499" s="29">
        <f>IF(AND(F499=1,ISNUMBER(D499)),D499,"")</f>
        <v/>
      </c>
      <c r="H499" s="29">
        <f>IF(AND(F499=1,ISNUMBER(E499)),E499,"")</f>
        <v/>
      </c>
      <c r="I499" s="22">
        <f>IF(AND(F499=1,ISNUMBER(C499)),C499,"")</f>
        <v/>
      </c>
      <c r="J499" s="11">
        <f>IF(G499="","",100-IF($G$13=1,50,(_xlfn.RANK.AVG(G499,$G$19:$G$1518,1)-1)/($G$13-1)*100))</f>
        <v/>
      </c>
      <c r="K499" s="11">
        <f>IF(H499="","",100-IF($G$14=1,50,(_xlfn.RANK.AVG(H499,$H$19:$H$1518,1)-1)/($G$14-1)*100))</f>
        <v/>
      </c>
      <c r="L499" s="11">
        <f>IF(I499="","",IF($G$15=1,50,(_xlfn.RANK.AVG(I499,$I$19:$I$1518,1)-1)/($G$15-1)*100))</f>
        <v/>
      </c>
      <c r="M499" s="11">
        <f>IF(COUNT(J499:L499)=3,ROUND(AVERAGE(J499:L499),6),"")</f>
        <v/>
      </c>
      <c r="O499">
        <f>IF(AND(ISNUMBER('자료_미국심리'!$A483),ISNUMBER('자료_미국심리'!$B483)),'자료_미국심리'!$A483,"")</f>
        <v/>
      </c>
      <c r="P499">
        <f>IF(AND(ISNUMBER('자료_미국심리'!$D483),ISNUMBER('자료_미국심리'!$E483)),'자료_미국심리'!$D483,"")</f>
        <v/>
      </c>
      <c r="Q499">
        <f>IF(AND(ISNUMBER('자료_미국심리'!$G483),ISNUMBER('자료_미국심리'!$H483)),'자료_미국심리'!$G483,"")</f>
        <v/>
      </c>
    </row>
    <row r="500">
      <c r="A500" s="10">
        <f>IF(482&gt;$E$5,"",SMALL($O$19:$O$4018,$E$6+482))</f>
        <v/>
      </c>
      <c r="B500" s="29">
        <f>IF(A500="","",INDEX('자료_미국심리'!$B$3:$B$4002,MATCH(A500,$O$19:$O$4018,0)))</f>
        <v/>
      </c>
      <c r="C500" s="22">
        <f>IF(A500="","",B500/AVERAGE(B376:B500)-1)</f>
        <v/>
      </c>
      <c r="D500" s="29">
        <f>IF(A500="","",IFERROR(INDEX('자료_미국심리'!$E$3:$E$4002,MATCH(A500,$P$19:$P$4018,0)),D499))</f>
        <v/>
      </c>
      <c r="E500" s="29">
        <f>IF(A500="","",IFERROR(INDEX('자료_미국심리'!$H$3:$H$4002,MATCH(A500,$Q$19:$Q$4018,0)),E499))</f>
        <v/>
      </c>
      <c r="F500">
        <f>IF(A500="",0,IF(A500&gt;$B$5,1,0))</f>
        <v/>
      </c>
      <c r="G500" s="29">
        <f>IF(AND(F500=1,ISNUMBER(D500)),D500,"")</f>
        <v/>
      </c>
      <c r="H500" s="29">
        <f>IF(AND(F500=1,ISNUMBER(E500)),E500,"")</f>
        <v/>
      </c>
      <c r="I500" s="22">
        <f>IF(AND(F500=1,ISNUMBER(C500)),C500,"")</f>
        <v/>
      </c>
      <c r="J500" s="11">
        <f>IF(G500="","",100-IF($G$13=1,50,(_xlfn.RANK.AVG(G500,$G$19:$G$1518,1)-1)/($G$13-1)*100))</f>
        <v/>
      </c>
      <c r="K500" s="11">
        <f>IF(H500="","",100-IF($G$14=1,50,(_xlfn.RANK.AVG(H500,$H$19:$H$1518,1)-1)/($G$14-1)*100))</f>
        <v/>
      </c>
      <c r="L500" s="11">
        <f>IF(I500="","",IF($G$15=1,50,(_xlfn.RANK.AVG(I500,$I$19:$I$1518,1)-1)/($G$15-1)*100))</f>
        <v/>
      </c>
      <c r="M500" s="11">
        <f>IF(COUNT(J500:L500)=3,ROUND(AVERAGE(J500:L500),6),"")</f>
        <v/>
      </c>
      <c r="O500">
        <f>IF(AND(ISNUMBER('자료_미국심리'!$A484),ISNUMBER('자료_미국심리'!$B484)),'자료_미국심리'!$A484,"")</f>
        <v/>
      </c>
      <c r="P500">
        <f>IF(AND(ISNUMBER('자료_미국심리'!$D484),ISNUMBER('자료_미국심리'!$E484)),'자료_미국심리'!$D484,"")</f>
        <v/>
      </c>
      <c r="Q500">
        <f>IF(AND(ISNUMBER('자료_미국심리'!$G484),ISNUMBER('자료_미국심리'!$H484)),'자료_미국심리'!$G484,"")</f>
        <v/>
      </c>
    </row>
    <row r="501">
      <c r="A501" s="10">
        <f>IF(483&gt;$E$5,"",SMALL($O$19:$O$4018,$E$6+483))</f>
        <v/>
      </c>
      <c r="B501" s="29">
        <f>IF(A501="","",INDEX('자료_미국심리'!$B$3:$B$4002,MATCH(A501,$O$19:$O$4018,0)))</f>
        <v/>
      </c>
      <c r="C501" s="22">
        <f>IF(A501="","",B501/AVERAGE(B377:B501)-1)</f>
        <v/>
      </c>
      <c r="D501" s="29">
        <f>IF(A501="","",IFERROR(INDEX('자료_미국심리'!$E$3:$E$4002,MATCH(A501,$P$19:$P$4018,0)),D500))</f>
        <v/>
      </c>
      <c r="E501" s="29">
        <f>IF(A501="","",IFERROR(INDEX('자료_미국심리'!$H$3:$H$4002,MATCH(A501,$Q$19:$Q$4018,0)),E500))</f>
        <v/>
      </c>
      <c r="F501">
        <f>IF(A501="",0,IF(A501&gt;$B$5,1,0))</f>
        <v/>
      </c>
      <c r="G501" s="29">
        <f>IF(AND(F501=1,ISNUMBER(D501)),D501,"")</f>
        <v/>
      </c>
      <c r="H501" s="29">
        <f>IF(AND(F501=1,ISNUMBER(E501)),E501,"")</f>
        <v/>
      </c>
      <c r="I501" s="22">
        <f>IF(AND(F501=1,ISNUMBER(C501)),C501,"")</f>
        <v/>
      </c>
      <c r="J501" s="11">
        <f>IF(G501="","",100-IF($G$13=1,50,(_xlfn.RANK.AVG(G501,$G$19:$G$1518,1)-1)/($G$13-1)*100))</f>
        <v/>
      </c>
      <c r="K501" s="11">
        <f>IF(H501="","",100-IF($G$14=1,50,(_xlfn.RANK.AVG(H501,$H$19:$H$1518,1)-1)/($G$14-1)*100))</f>
        <v/>
      </c>
      <c r="L501" s="11">
        <f>IF(I501="","",IF($G$15=1,50,(_xlfn.RANK.AVG(I501,$I$19:$I$1518,1)-1)/($G$15-1)*100))</f>
        <v/>
      </c>
      <c r="M501" s="11">
        <f>IF(COUNT(J501:L501)=3,ROUND(AVERAGE(J501:L501),6),"")</f>
        <v/>
      </c>
      <c r="O501">
        <f>IF(AND(ISNUMBER('자료_미국심리'!$A485),ISNUMBER('자료_미국심리'!$B485)),'자료_미국심리'!$A485,"")</f>
        <v/>
      </c>
      <c r="P501">
        <f>IF(AND(ISNUMBER('자료_미국심리'!$D485),ISNUMBER('자료_미국심리'!$E485)),'자료_미국심리'!$D485,"")</f>
        <v/>
      </c>
      <c r="Q501">
        <f>IF(AND(ISNUMBER('자료_미국심리'!$G485),ISNUMBER('자료_미국심리'!$H485)),'자료_미국심리'!$G485,"")</f>
        <v/>
      </c>
    </row>
    <row r="502">
      <c r="A502" s="10">
        <f>IF(484&gt;$E$5,"",SMALL($O$19:$O$4018,$E$6+484))</f>
        <v/>
      </c>
      <c r="B502" s="29">
        <f>IF(A502="","",INDEX('자료_미국심리'!$B$3:$B$4002,MATCH(A502,$O$19:$O$4018,0)))</f>
        <v/>
      </c>
      <c r="C502" s="22">
        <f>IF(A502="","",B502/AVERAGE(B378:B502)-1)</f>
        <v/>
      </c>
      <c r="D502" s="29">
        <f>IF(A502="","",IFERROR(INDEX('자료_미국심리'!$E$3:$E$4002,MATCH(A502,$P$19:$P$4018,0)),D501))</f>
        <v/>
      </c>
      <c r="E502" s="29">
        <f>IF(A502="","",IFERROR(INDEX('자료_미국심리'!$H$3:$H$4002,MATCH(A502,$Q$19:$Q$4018,0)),E501))</f>
        <v/>
      </c>
      <c r="F502">
        <f>IF(A502="",0,IF(A502&gt;$B$5,1,0))</f>
        <v/>
      </c>
      <c r="G502" s="29">
        <f>IF(AND(F502=1,ISNUMBER(D502)),D502,"")</f>
        <v/>
      </c>
      <c r="H502" s="29">
        <f>IF(AND(F502=1,ISNUMBER(E502)),E502,"")</f>
        <v/>
      </c>
      <c r="I502" s="22">
        <f>IF(AND(F502=1,ISNUMBER(C502)),C502,"")</f>
        <v/>
      </c>
      <c r="J502" s="11">
        <f>IF(G502="","",100-IF($G$13=1,50,(_xlfn.RANK.AVG(G502,$G$19:$G$1518,1)-1)/($G$13-1)*100))</f>
        <v/>
      </c>
      <c r="K502" s="11">
        <f>IF(H502="","",100-IF($G$14=1,50,(_xlfn.RANK.AVG(H502,$H$19:$H$1518,1)-1)/($G$14-1)*100))</f>
        <v/>
      </c>
      <c r="L502" s="11">
        <f>IF(I502="","",IF($G$15=1,50,(_xlfn.RANK.AVG(I502,$I$19:$I$1518,1)-1)/($G$15-1)*100))</f>
        <v/>
      </c>
      <c r="M502" s="11">
        <f>IF(COUNT(J502:L502)=3,ROUND(AVERAGE(J502:L502),6),"")</f>
        <v/>
      </c>
      <c r="O502">
        <f>IF(AND(ISNUMBER('자료_미국심리'!$A486),ISNUMBER('자료_미국심리'!$B486)),'자료_미국심리'!$A486,"")</f>
        <v/>
      </c>
      <c r="P502">
        <f>IF(AND(ISNUMBER('자료_미국심리'!$D486),ISNUMBER('자료_미국심리'!$E486)),'자료_미국심리'!$D486,"")</f>
        <v/>
      </c>
      <c r="Q502">
        <f>IF(AND(ISNUMBER('자료_미국심리'!$G486),ISNUMBER('자료_미국심리'!$H486)),'자료_미국심리'!$G486,"")</f>
        <v/>
      </c>
    </row>
    <row r="503">
      <c r="A503" s="10">
        <f>IF(485&gt;$E$5,"",SMALL($O$19:$O$4018,$E$6+485))</f>
        <v/>
      </c>
      <c r="B503" s="29">
        <f>IF(A503="","",INDEX('자료_미국심리'!$B$3:$B$4002,MATCH(A503,$O$19:$O$4018,0)))</f>
        <v/>
      </c>
      <c r="C503" s="22">
        <f>IF(A503="","",B503/AVERAGE(B379:B503)-1)</f>
        <v/>
      </c>
      <c r="D503" s="29">
        <f>IF(A503="","",IFERROR(INDEX('자료_미국심리'!$E$3:$E$4002,MATCH(A503,$P$19:$P$4018,0)),D502))</f>
        <v/>
      </c>
      <c r="E503" s="29">
        <f>IF(A503="","",IFERROR(INDEX('자료_미국심리'!$H$3:$H$4002,MATCH(A503,$Q$19:$Q$4018,0)),E502))</f>
        <v/>
      </c>
      <c r="F503">
        <f>IF(A503="",0,IF(A503&gt;$B$5,1,0))</f>
        <v/>
      </c>
      <c r="G503" s="29">
        <f>IF(AND(F503=1,ISNUMBER(D503)),D503,"")</f>
        <v/>
      </c>
      <c r="H503" s="29">
        <f>IF(AND(F503=1,ISNUMBER(E503)),E503,"")</f>
        <v/>
      </c>
      <c r="I503" s="22">
        <f>IF(AND(F503=1,ISNUMBER(C503)),C503,"")</f>
        <v/>
      </c>
      <c r="J503" s="11">
        <f>IF(G503="","",100-IF($G$13=1,50,(_xlfn.RANK.AVG(G503,$G$19:$G$1518,1)-1)/($G$13-1)*100))</f>
        <v/>
      </c>
      <c r="K503" s="11">
        <f>IF(H503="","",100-IF($G$14=1,50,(_xlfn.RANK.AVG(H503,$H$19:$H$1518,1)-1)/($G$14-1)*100))</f>
        <v/>
      </c>
      <c r="L503" s="11">
        <f>IF(I503="","",IF($G$15=1,50,(_xlfn.RANK.AVG(I503,$I$19:$I$1518,1)-1)/($G$15-1)*100))</f>
        <v/>
      </c>
      <c r="M503" s="11">
        <f>IF(COUNT(J503:L503)=3,ROUND(AVERAGE(J503:L503),6),"")</f>
        <v/>
      </c>
      <c r="O503">
        <f>IF(AND(ISNUMBER('자료_미국심리'!$A487),ISNUMBER('자료_미국심리'!$B487)),'자료_미국심리'!$A487,"")</f>
        <v/>
      </c>
      <c r="P503">
        <f>IF(AND(ISNUMBER('자료_미국심리'!$D487),ISNUMBER('자료_미국심리'!$E487)),'자료_미국심리'!$D487,"")</f>
        <v/>
      </c>
      <c r="Q503">
        <f>IF(AND(ISNUMBER('자료_미국심리'!$G487),ISNUMBER('자료_미국심리'!$H487)),'자료_미국심리'!$G487,"")</f>
        <v/>
      </c>
    </row>
    <row r="504">
      <c r="A504" s="10">
        <f>IF(486&gt;$E$5,"",SMALL($O$19:$O$4018,$E$6+486))</f>
        <v/>
      </c>
      <c r="B504" s="29">
        <f>IF(A504="","",INDEX('자료_미국심리'!$B$3:$B$4002,MATCH(A504,$O$19:$O$4018,0)))</f>
        <v/>
      </c>
      <c r="C504" s="22">
        <f>IF(A504="","",B504/AVERAGE(B380:B504)-1)</f>
        <v/>
      </c>
      <c r="D504" s="29">
        <f>IF(A504="","",IFERROR(INDEX('자료_미국심리'!$E$3:$E$4002,MATCH(A504,$P$19:$P$4018,0)),D503))</f>
        <v/>
      </c>
      <c r="E504" s="29">
        <f>IF(A504="","",IFERROR(INDEX('자료_미국심리'!$H$3:$H$4002,MATCH(A504,$Q$19:$Q$4018,0)),E503))</f>
        <v/>
      </c>
      <c r="F504">
        <f>IF(A504="",0,IF(A504&gt;$B$5,1,0))</f>
        <v/>
      </c>
      <c r="G504" s="29">
        <f>IF(AND(F504=1,ISNUMBER(D504)),D504,"")</f>
        <v/>
      </c>
      <c r="H504" s="29">
        <f>IF(AND(F504=1,ISNUMBER(E504)),E504,"")</f>
        <v/>
      </c>
      <c r="I504" s="22">
        <f>IF(AND(F504=1,ISNUMBER(C504)),C504,"")</f>
        <v/>
      </c>
      <c r="J504" s="11">
        <f>IF(G504="","",100-IF($G$13=1,50,(_xlfn.RANK.AVG(G504,$G$19:$G$1518,1)-1)/($G$13-1)*100))</f>
        <v/>
      </c>
      <c r="K504" s="11">
        <f>IF(H504="","",100-IF($G$14=1,50,(_xlfn.RANK.AVG(H504,$H$19:$H$1518,1)-1)/($G$14-1)*100))</f>
        <v/>
      </c>
      <c r="L504" s="11">
        <f>IF(I504="","",IF($G$15=1,50,(_xlfn.RANK.AVG(I504,$I$19:$I$1518,1)-1)/($G$15-1)*100))</f>
        <v/>
      </c>
      <c r="M504" s="11">
        <f>IF(COUNT(J504:L504)=3,ROUND(AVERAGE(J504:L504),6),"")</f>
        <v/>
      </c>
      <c r="O504">
        <f>IF(AND(ISNUMBER('자료_미국심리'!$A488),ISNUMBER('자료_미국심리'!$B488)),'자료_미국심리'!$A488,"")</f>
        <v/>
      </c>
      <c r="P504">
        <f>IF(AND(ISNUMBER('자료_미국심리'!$D488),ISNUMBER('자료_미국심리'!$E488)),'자료_미국심리'!$D488,"")</f>
        <v/>
      </c>
      <c r="Q504">
        <f>IF(AND(ISNUMBER('자료_미국심리'!$G488),ISNUMBER('자료_미국심리'!$H488)),'자료_미국심리'!$G488,"")</f>
        <v/>
      </c>
    </row>
    <row r="505">
      <c r="A505" s="10">
        <f>IF(487&gt;$E$5,"",SMALL($O$19:$O$4018,$E$6+487))</f>
        <v/>
      </c>
      <c r="B505" s="29">
        <f>IF(A505="","",INDEX('자료_미국심리'!$B$3:$B$4002,MATCH(A505,$O$19:$O$4018,0)))</f>
        <v/>
      </c>
      <c r="C505" s="22">
        <f>IF(A505="","",B505/AVERAGE(B381:B505)-1)</f>
        <v/>
      </c>
      <c r="D505" s="29">
        <f>IF(A505="","",IFERROR(INDEX('자료_미국심리'!$E$3:$E$4002,MATCH(A505,$P$19:$P$4018,0)),D504))</f>
        <v/>
      </c>
      <c r="E505" s="29">
        <f>IF(A505="","",IFERROR(INDEX('자료_미국심리'!$H$3:$H$4002,MATCH(A505,$Q$19:$Q$4018,0)),E504))</f>
        <v/>
      </c>
      <c r="F505">
        <f>IF(A505="",0,IF(A505&gt;$B$5,1,0))</f>
        <v/>
      </c>
      <c r="G505" s="29">
        <f>IF(AND(F505=1,ISNUMBER(D505)),D505,"")</f>
        <v/>
      </c>
      <c r="H505" s="29">
        <f>IF(AND(F505=1,ISNUMBER(E505)),E505,"")</f>
        <v/>
      </c>
      <c r="I505" s="22">
        <f>IF(AND(F505=1,ISNUMBER(C505)),C505,"")</f>
        <v/>
      </c>
      <c r="J505" s="11">
        <f>IF(G505="","",100-IF($G$13=1,50,(_xlfn.RANK.AVG(G505,$G$19:$G$1518,1)-1)/($G$13-1)*100))</f>
        <v/>
      </c>
      <c r="K505" s="11">
        <f>IF(H505="","",100-IF($G$14=1,50,(_xlfn.RANK.AVG(H505,$H$19:$H$1518,1)-1)/($G$14-1)*100))</f>
        <v/>
      </c>
      <c r="L505" s="11">
        <f>IF(I505="","",IF($G$15=1,50,(_xlfn.RANK.AVG(I505,$I$19:$I$1518,1)-1)/($G$15-1)*100))</f>
        <v/>
      </c>
      <c r="M505" s="11">
        <f>IF(COUNT(J505:L505)=3,ROUND(AVERAGE(J505:L505),6),"")</f>
        <v/>
      </c>
      <c r="O505">
        <f>IF(AND(ISNUMBER('자료_미국심리'!$A489),ISNUMBER('자료_미국심리'!$B489)),'자료_미국심리'!$A489,"")</f>
        <v/>
      </c>
      <c r="P505">
        <f>IF(AND(ISNUMBER('자료_미국심리'!$D489),ISNUMBER('자료_미국심리'!$E489)),'자료_미국심리'!$D489,"")</f>
        <v/>
      </c>
      <c r="Q505">
        <f>IF(AND(ISNUMBER('자료_미국심리'!$G489),ISNUMBER('자료_미국심리'!$H489)),'자료_미국심리'!$G489,"")</f>
        <v/>
      </c>
    </row>
    <row r="506">
      <c r="A506" s="10">
        <f>IF(488&gt;$E$5,"",SMALL($O$19:$O$4018,$E$6+488))</f>
        <v/>
      </c>
      <c r="B506" s="29">
        <f>IF(A506="","",INDEX('자료_미국심리'!$B$3:$B$4002,MATCH(A506,$O$19:$O$4018,0)))</f>
        <v/>
      </c>
      <c r="C506" s="22">
        <f>IF(A506="","",B506/AVERAGE(B382:B506)-1)</f>
        <v/>
      </c>
      <c r="D506" s="29">
        <f>IF(A506="","",IFERROR(INDEX('자료_미국심리'!$E$3:$E$4002,MATCH(A506,$P$19:$P$4018,0)),D505))</f>
        <v/>
      </c>
      <c r="E506" s="29">
        <f>IF(A506="","",IFERROR(INDEX('자료_미국심리'!$H$3:$H$4002,MATCH(A506,$Q$19:$Q$4018,0)),E505))</f>
        <v/>
      </c>
      <c r="F506">
        <f>IF(A506="",0,IF(A506&gt;$B$5,1,0))</f>
        <v/>
      </c>
      <c r="G506" s="29">
        <f>IF(AND(F506=1,ISNUMBER(D506)),D506,"")</f>
        <v/>
      </c>
      <c r="H506" s="29">
        <f>IF(AND(F506=1,ISNUMBER(E506)),E506,"")</f>
        <v/>
      </c>
      <c r="I506" s="22">
        <f>IF(AND(F506=1,ISNUMBER(C506)),C506,"")</f>
        <v/>
      </c>
      <c r="J506" s="11">
        <f>IF(G506="","",100-IF($G$13=1,50,(_xlfn.RANK.AVG(G506,$G$19:$G$1518,1)-1)/($G$13-1)*100))</f>
        <v/>
      </c>
      <c r="K506" s="11">
        <f>IF(H506="","",100-IF($G$14=1,50,(_xlfn.RANK.AVG(H506,$H$19:$H$1518,1)-1)/($G$14-1)*100))</f>
        <v/>
      </c>
      <c r="L506" s="11">
        <f>IF(I506="","",IF($G$15=1,50,(_xlfn.RANK.AVG(I506,$I$19:$I$1518,1)-1)/($G$15-1)*100))</f>
        <v/>
      </c>
      <c r="M506" s="11">
        <f>IF(COUNT(J506:L506)=3,ROUND(AVERAGE(J506:L506),6),"")</f>
        <v/>
      </c>
      <c r="O506">
        <f>IF(AND(ISNUMBER('자료_미국심리'!$A490),ISNUMBER('자료_미국심리'!$B490)),'자료_미국심리'!$A490,"")</f>
        <v/>
      </c>
      <c r="P506">
        <f>IF(AND(ISNUMBER('자료_미국심리'!$D490),ISNUMBER('자료_미국심리'!$E490)),'자료_미국심리'!$D490,"")</f>
        <v/>
      </c>
      <c r="Q506">
        <f>IF(AND(ISNUMBER('자료_미국심리'!$G490),ISNUMBER('자료_미국심리'!$H490)),'자료_미국심리'!$G490,"")</f>
        <v/>
      </c>
    </row>
    <row r="507">
      <c r="A507" s="10">
        <f>IF(489&gt;$E$5,"",SMALL($O$19:$O$4018,$E$6+489))</f>
        <v/>
      </c>
      <c r="B507" s="29">
        <f>IF(A507="","",INDEX('자료_미국심리'!$B$3:$B$4002,MATCH(A507,$O$19:$O$4018,0)))</f>
        <v/>
      </c>
      <c r="C507" s="22">
        <f>IF(A507="","",B507/AVERAGE(B383:B507)-1)</f>
        <v/>
      </c>
      <c r="D507" s="29">
        <f>IF(A507="","",IFERROR(INDEX('자료_미국심리'!$E$3:$E$4002,MATCH(A507,$P$19:$P$4018,0)),D506))</f>
        <v/>
      </c>
      <c r="E507" s="29">
        <f>IF(A507="","",IFERROR(INDEX('자료_미국심리'!$H$3:$H$4002,MATCH(A507,$Q$19:$Q$4018,0)),E506))</f>
        <v/>
      </c>
      <c r="F507">
        <f>IF(A507="",0,IF(A507&gt;$B$5,1,0))</f>
        <v/>
      </c>
      <c r="G507" s="29">
        <f>IF(AND(F507=1,ISNUMBER(D507)),D507,"")</f>
        <v/>
      </c>
      <c r="H507" s="29">
        <f>IF(AND(F507=1,ISNUMBER(E507)),E507,"")</f>
        <v/>
      </c>
      <c r="I507" s="22">
        <f>IF(AND(F507=1,ISNUMBER(C507)),C507,"")</f>
        <v/>
      </c>
      <c r="J507" s="11">
        <f>IF(G507="","",100-IF($G$13=1,50,(_xlfn.RANK.AVG(G507,$G$19:$G$1518,1)-1)/($G$13-1)*100))</f>
        <v/>
      </c>
      <c r="K507" s="11">
        <f>IF(H507="","",100-IF($G$14=1,50,(_xlfn.RANK.AVG(H507,$H$19:$H$1518,1)-1)/($G$14-1)*100))</f>
        <v/>
      </c>
      <c r="L507" s="11">
        <f>IF(I507="","",IF($G$15=1,50,(_xlfn.RANK.AVG(I507,$I$19:$I$1518,1)-1)/($G$15-1)*100))</f>
        <v/>
      </c>
      <c r="M507" s="11">
        <f>IF(COUNT(J507:L507)=3,ROUND(AVERAGE(J507:L507),6),"")</f>
        <v/>
      </c>
      <c r="O507">
        <f>IF(AND(ISNUMBER('자료_미국심리'!$A491),ISNUMBER('자료_미국심리'!$B491)),'자료_미국심리'!$A491,"")</f>
        <v/>
      </c>
      <c r="P507">
        <f>IF(AND(ISNUMBER('자료_미국심리'!$D491),ISNUMBER('자료_미국심리'!$E491)),'자료_미국심리'!$D491,"")</f>
        <v/>
      </c>
      <c r="Q507">
        <f>IF(AND(ISNUMBER('자료_미국심리'!$G491),ISNUMBER('자료_미국심리'!$H491)),'자료_미국심리'!$G491,"")</f>
        <v/>
      </c>
    </row>
    <row r="508">
      <c r="A508" s="10">
        <f>IF(490&gt;$E$5,"",SMALL($O$19:$O$4018,$E$6+490))</f>
        <v/>
      </c>
      <c r="B508" s="29">
        <f>IF(A508="","",INDEX('자료_미국심리'!$B$3:$B$4002,MATCH(A508,$O$19:$O$4018,0)))</f>
        <v/>
      </c>
      <c r="C508" s="22">
        <f>IF(A508="","",B508/AVERAGE(B384:B508)-1)</f>
        <v/>
      </c>
      <c r="D508" s="29">
        <f>IF(A508="","",IFERROR(INDEX('자료_미국심리'!$E$3:$E$4002,MATCH(A508,$P$19:$P$4018,0)),D507))</f>
        <v/>
      </c>
      <c r="E508" s="29">
        <f>IF(A508="","",IFERROR(INDEX('자료_미국심리'!$H$3:$H$4002,MATCH(A508,$Q$19:$Q$4018,0)),E507))</f>
        <v/>
      </c>
      <c r="F508">
        <f>IF(A508="",0,IF(A508&gt;$B$5,1,0))</f>
        <v/>
      </c>
      <c r="G508" s="29">
        <f>IF(AND(F508=1,ISNUMBER(D508)),D508,"")</f>
        <v/>
      </c>
      <c r="H508" s="29">
        <f>IF(AND(F508=1,ISNUMBER(E508)),E508,"")</f>
        <v/>
      </c>
      <c r="I508" s="22">
        <f>IF(AND(F508=1,ISNUMBER(C508)),C508,"")</f>
        <v/>
      </c>
      <c r="J508" s="11">
        <f>IF(G508="","",100-IF($G$13=1,50,(_xlfn.RANK.AVG(G508,$G$19:$G$1518,1)-1)/($G$13-1)*100))</f>
        <v/>
      </c>
      <c r="K508" s="11">
        <f>IF(H508="","",100-IF($G$14=1,50,(_xlfn.RANK.AVG(H508,$H$19:$H$1518,1)-1)/($G$14-1)*100))</f>
        <v/>
      </c>
      <c r="L508" s="11">
        <f>IF(I508="","",IF($G$15=1,50,(_xlfn.RANK.AVG(I508,$I$19:$I$1518,1)-1)/($G$15-1)*100))</f>
        <v/>
      </c>
      <c r="M508" s="11">
        <f>IF(COUNT(J508:L508)=3,ROUND(AVERAGE(J508:L508),6),"")</f>
        <v/>
      </c>
      <c r="O508">
        <f>IF(AND(ISNUMBER('자료_미국심리'!$A492),ISNUMBER('자료_미국심리'!$B492)),'자료_미국심리'!$A492,"")</f>
        <v/>
      </c>
      <c r="P508">
        <f>IF(AND(ISNUMBER('자료_미국심리'!$D492),ISNUMBER('자료_미국심리'!$E492)),'자료_미국심리'!$D492,"")</f>
        <v/>
      </c>
      <c r="Q508">
        <f>IF(AND(ISNUMBER('자료_미국심리'!$G492),ISNUMBER('자료_미국심리'!$H492)),'자료_미국심리'!$G492,"")</f>
        <v/>
      </c>
    </row>
    <row r="509">
      <c r="A509" s="10">
        <f>IF(491&gt;$E$5,"",SMALL($O$19:$O$4018,$E$6+491))</f>
        <v/>
      </c>
      <c r="B509" s="29">
        <f>IF(A509="","",INDEX('자료_미국심리'!$B$3:$B$4002,MATCH(A509,$O$19:$O$4018,0)))</f>
        <v/>
      </c>
      <c r="C509" s="22">
        <f>IF(A509="","",B509/AVERAGE(B385:B509)-1)</f>
        <v/>
      </c>
      <c r="D509" s="29">
        <f>IF(A509="","",IFERROR(INDEX('자료_미국심리'!$E$3:$E$4002,MATCH(A509,$P$19:$P$4018,0)),D508))</f>
        <v/>
      </c>
      <c r="E509" s="29">
        <f>IF(A509="","",IFERROR(INDEX('자료_미국심리'!$H$3:$H$4002,MATCH(A509,$Q$19:$Q$4018,0)),E508))</f>
        <v/>
      </c>
      <c r="F509">
        <f>IF(A509="",0,IF(A509&gt;$B$5,1,0))</f>
        <v/>
      </c>
      <c r="G509" s="29">
        <f>IF(AND(F509=1,ISNUMBER(D509)),D509,"")</f>
        <v/>
      </c>
      <c r="H509" s="29">
        <f>IF(AND(F509=1,ISNUMBER(E509)),E509,"")</f>
        <v/>
      </c>
      <c r="I509" s="22">
        <f>IF(AND(F509=1,ISNUMBER(C509)),C509,"")</f>
        <v/>
      </c>
      <c r="J509" s="11">
        <f>IF(G509="","",100-IF($G$13=1,50,(_xlfn.RANK.AVG(G509,$G$19:$G$1518,1)-1)/($G$13-1)*100))</f>
        <v/>
      </c>
      <c r="K509" s="11">
        <f>IF(H509="","",100-IF($G$14=1,50,(_xlfn.RANK.AVG(H509,$H$19:$H$1518,1)-1)/($G$14-1)*100))</f>
        <v/>
      </c>
      <c r="L509" s="11">
        <f>IF(I509="","",IF($G$15=1,50,(_xlfn.RANK.AVG(I509,$I$19:$I$1518,1)-1)/($G$15-1)*100))</f>
        <v/>
      </c>
      <c r="M509" s="11">
        <f>IF(COUNT(J509:L509)=3,ROUND(AVERAGE(J509:L509),6),"")</f>
        <v/>
      </c>
      <c r="O509">
        <f>IF(AND(ISNUMBER('자료_미국심리'!$A493),ISNUMBER('자료_미국심리'!$B493)),'자료_미국심리'!$A493,"")</f>
        <v/>
      </c>
      <c r="P509">
        <f>IF(AND(ISNUMBER('자료_미국심리'!$D493),ISNUMBER('자료_미국심리'!$E493)),'자료_미국심리'!$D493,"")</f>
        <v/>
      </c>
      <c r="Q509">
        <f>IF(AND(ISNUMBER('자료_미국심리'!$G493),ISNUMBER('자료_미국심리'!$H493)),'자료_미국심리'!$G493,"")</f>
        <v/>
      </c>
    </row>
    <row r="510">
      <c r="A510" s="10">
        <f>IF(492&gt;$E$5,"",SMALL($O$19:$O$4018,$E$6+492))</f>
        <v/>
      </c>
      <c r="B510" s="29">
        <f>IF(A510="","",INDEX('자료_미국심리'!$B$3:$B$4002,MATCH(A510,$O$19:$O$4018,0)))</f>
        <v/>
      </c>
      <c r="C510" s="22">
        <f>IF(A510="","",B510/AVERAGE(B386:B510)-1)</f>
        <v/>
      </c>
      <c r="D510" s="29">
        <f>IF(A510="","",IFERROR(INDEX('자료_미국심리'!$E$3:$E$4002,MATCH(A510,$P$19:$P$4018,0)),D509))</f>
        <v/>
      </c>
      <c r="E510" s="29">
        <f>IF(A510="","",IFERROR(INDEX('자료_미국심리'!$H$3:$H$4002,MATCH(A510,$Q$19:$Q$4018,0)),E509))</f>
        <v/>
      </c>
      <c r="F510">
        <f>IF(A510="",0,IF(A510&gt;$B$5,1,0))</f>
        <v/>
      </c>
      <c r="G510" s="29">
        <f>IF(AND(F510=1,ISNUMBER(D510)),D510,"")</f>
        <v/>
      </c>
      <c r="H510" s="29">
        <f>IF(AND(F510=1,ISNUMBER(E510)),E510,"")</f>
        <v/>
      </c>
      <c r="I510" s="22">
        <f>IF(AND(F510=1,ISNUMBER(C510)),C510,"")</f>
        <v/>
      </c>
      <c r="J510" s="11">
        <f>IF(G510="","",100-IF($G$13=1,50,(_xlfn.RANK.AVG(G510,$G$19:$G$1518,1)-1)/($G$13-1)*100))</f>
        <v/>
      </c>
      <c r="K510" s="11">
        <f>IF(H510="","",100-IF($G$14=1,50,(_xlfn.RANK.AVG(H510,$H$19:$H$1518,1)-1)/($G$14-1)*100))</f>
        <v/>
      </c>
      <c r="L510" s="11">
        <f>IF(I510="","",IF($G$15=1,50,(_xlfn.RANK.AVG(I510,$I$19:$I$1518,1)-1)/($G$15-1)*100))</f>
        <v/>
      </c>
      <c r="M510" s="11">
        <f>IF(COUNT(J510:L510)=3,ROUND(AVERAGE(J510:L510),6),"")</f>
        <v/>
      </c>
      <c r="O510">
        <f>IF(AND(ISNUMBER('자료_미국심리'!$A494),ISNUMBER('자료_미국심리'!$B494)),'자료_미국심리'!$A494,"")</f>
        <v/>
      </c>
      <c r="P510">
        <f>IF(AND(ISNUMBER('자료_미국심리'!$D494),ISNUMBER('자료_미국심리'!$E494)),'자료_미국심리'!$D494,"")</f>
        <v/>
      </c>
      <c r="Q510">
        <f>IF(AND(ISNUMBER('자료_미국심리'!$G494),ISNUMBER('자료_미국심리'!$H494)),'자료_미국심리'!$G494,"")</f>
        <v/>
      </c>
    </row>
    <row r="511">
      <c r="A511" s="10">
        <f>IF(493&gt;$E$5,"",SMALL($O$19:$O$4018,$E$6+493))</f>
        <v/>
      </c>
      <c r="B511" s="29">
        <f>IF(A511="","",INDEX('자료_미국심리'!$B$3:$B$4002,MATCH(A511,$O$19:$O$4018,0)))</f>
        <v/>
      </c>
      <c r="C511" s="22">
        <f>IF(A511="","",B511/AVERAGE(B387:B511)-1)</f>
        <v/>
      </c>
      <c r="D511" s="29">
        <f>IF(A511="","",IFERROR(INDEX('자료_미국심리'!$E$3:$E$4002,MATCH(A511,$P$19:$P$4018,0)),D510))</f>
        <v/>
      </c>
      <c r="E511" s="29">
        <f>IF(A511="","",IFERROR(INDEX('자료_미국심리'!$H$3:$H$4002,MATCH(A511,$Q$19:$Q$4018,0)),E510))</f>
        <v/>
      </c>
      <c r="F511">
        <f>IF(A511="",0,IF(A511&gt;$B$5,1,0))</f>
        <v/>
      </c>
      <c r="G511" s="29">
        <f>IF(AND(F511=1,ISNUMBER(D511)),D511,"")</f>
        <v/>
      </c>
      <c r="H511" s="29">
        <f>IF(AND(F511=1,ISNUMBER(E511)),E511,"")</f>
        <v/>
      </c>
      <c r="I511" s="22">
        <f>IF(AND(F511=1,ISNUMBER(C511)),C511,"")</f>
        <v/>
      </c>
      <c r="J511" s="11">
        <f>IF(G511="","",100-IF($G$13=1,50,(_xlfn.RANK.AVG(G511,$G$19:$G$1518,1)-1)/($G$13-1)*100))</f>
        <v/>
      </c>
      <c r="K511" s="11">
        <f>IF(H511="","",100-IF($G$14=1,50,(_xlfn.RANK.AVG(H511,$H$19:$H$1518,1)-1)/($G$14-1)*100))</f>
        <v/>
      </c>
      <c r="L511" s="11">
        <f>IF(I511="","",IF($G$15=1,50,(_xlfn.RANK.AVG(I511,$I$19:$I$1518,1)-1)/($G$15-1)*100))</f>
        <v/>
      </c>
      <c r="M511" s="11">
        <f>IF(COUNT(J511:L511)=3,ROUND(AVERAGE(J511:L511),6),"")</f>
        <v/>
      </c>
      <c r="O511">
        <f>IF(AND(ISNUMBER('자료_미국심리'!$A495),ISNUMBER('자료_미국심리'!$B495)),'자료_미국심리'!$A495,"")</f>
        <v/>
      </c>
      <c r="P511">
        <f>IF(AND(ISNUMBER('자료_미국심리'!$D495),ISNUMBER('자료_미국심리'!$E495)),'자료_미국심리'!$D495,"")</f>
        <v/>
      </c>
      <c r="Q511">
        <f>IF(AND(ISNUMBER('자료_미국심리'!$G495),ISNUMBER('자료_미국심리'!$H495)),'자료_미국심리'!$G495,"")</f>
        <v/>
      </c>
    </row>
    <row r="512">
      <c r="A512" s="10">
        <f>IF(494&gt;$E$5,"",SMALL($O$19:$O$4018,$E$6+494))</f>
        <v/>
      </c>
      <c r="B512" s="29">
        <f>IF(A512="","",INDEX('자료_미국심리'!$B$3:$B$4002,MATCH(A512,$O$19:$O$4018,0)))</f>
        <v/>
      </c>
      <c r="C512" s="22">
        <f>IF(A512="","",B512/AVERAGE(B388:B512)-1)</f>
        <v/>
      </c>
      <c r="D512" s="29">
        <f>IF(A512="","",IFERROR(INDEX('자료_미국심리'!$E$3:$E$4002,MATCH(A512,$P$19:$P$4018,0)),D511))</f>
        <v/>
      </c>
      <c r="E512" s="29">
        <f>IF(A512="","",IFERROR(INDEX('자료_미국심리'!$H$3:$H$4002,MATCH(A512,$Q$19:$Q$4018,0)),E511))</f>
        <v/>
      </c>
      <c r="F512">
        <f>IF(A512="",0,IF(A512&gt;$B$5,1,0))</f>
        <v/>
      </c>
      <c r="G512" s="29">
        <f>IF(AND(F512=1,ISNUMBER(D512)),D512,"")</f>
        <v/>
      </c>
      <c r="H512" s="29">
        <f>IF(AND(F512=1,ISNUMBER(E512)),E512,"")</f>
        <v/>
      </c>
      <c r="I512" s="22">
        <f>IF(AND(F512=1,ISNUMBER(C512)),C512,"")</f>
        <v/>
      </c>
      <c r="J512" s="11">
        <f>IF(G512="","",100-IF($G$13=1,50,(_xlfn.RANK.AVG(G512,$G$19:$G$1518,1)-1)/($G$13-1)*100))</f>
        <v/>
      </c>
      <c r="K512" s="11">
        <f>IF(H512="","",100-IF($G$14=1,50,(_xlfn.RANK.AVG(H512,$H$19:$H$1518,1)-1)/($G$14-1)*100))</f>
        <v/>
      </c>
      <c r="L512" s="11">
        <f>IF(I512="","",IF($G$15=1,50,(_xlfn.RANK.AVG(I512,$I$19:$I$1518,1)-1)/($G$15-1)*100))</f>
        <v/>
      </c>
      <c r="M512" s="11">
        <f>IF(COUNT(J512:L512)=3,ROUND(AVERAGE(J512:L512),6),"")</f>
        <v/>
      </c>
      <c r="O512">
        <f>IF(AND(ISNUMBER('자료_미국심리'!$A496),ISNUMBER('자료_미국심리'!$B496)),'자료_미국심리'!$A496,"")</f>
        <v/>
      </c>
      <c r="P512">
        <f>IF(AND(ISNUMBER('자료_미국심리'!$D496),ISNUMBER('자료_미국심리'!$E496)),'자료_미국심리'!$D496,"")</f>
        <v/>
      </c>
      <c r="Q512">
        <f>IF(AND(ISNUMBER('자료_미국심리'!$G496),ISNUMBER('자료_미국심리'!$H496)),'자료_미국심리'!$G496,"")</f>
        <v/>
      </c>
    </row>
    <row r="513">
      <c r="A513" s="10">
        <f>IF(495&gt;$E$5,"",SMALL($O$19:$O$4018,$E$6+495))</f>
        <v/>
      </c>
      <c r="B513" s="29">
        <f>IF(A513="","",INDEX('자료_미국심리'!$B$3:$B$4002,MATCH(A513,$O$19:$O$4018,0)))</f>
        <v/>
      </c>
      <c r="C513" s="22">
        <f>IF(A513="","",B513/AVERAGE(B389:B513)-1)</f>
        <v/>
      </c>
      <c r="D513" s="29">
        <f>IF(A513="","",IFERROR(INDEX('자료_미국심리'!$E$3:$E$4002,MATCH(A513,$P$19:$P$4018,0)),D512))</f>
        <v/>
      </c>
      <c r="E513" s="29">
        <f>IF(A513="","",IFERROR(INDEX('자료_미국심리'!$H$3:$H$4002,MATCH(A513,$Q$19:$Q$4018,0)),E512))</f>
        <v/>
      </c>
      <c r="F513">
        <f>IF(A513="",0,IF(A513&gt;$B$5,1,0))</f>
        <v/>
      </c>
      <c r="G513" s="29">
        <f>IF(AND(F513=1,ISNUMBER(D513)),D513,"")</f>
        <v/>
      </c>
      <c r="H513" s="29">
        <f>IF(AND(F513=1,ISNUMBER(E513)),E513,"")</f>
        <v/>
      </c>
      <c r="I513" s="22">
        <f>IF(AND(F513=1,ISNUMBER(C513)),C513,"")</f>
        <v/>
      </c>
      <c r="J513" s="11">
        <f>IF(G513="","",100-IF($G$13=1,50,(_xlfn.RANK.AVG(G513,$G$19:$G$1518,1)-1)/($G$13-1)*100))</f>
        <v/>
      </c>
      <c r="K513" s="11">
        <f>IF(H513="","",100-IF($G$14=1,50,(_xlfn.RANK.AVG(H513,$H$19:$H$1518,1)-1)/($G$14-1)*100))</f>
        <v/>
      </c>
      <c r="L513" s="11">
        <f>IF(I513="","",IF($G$15=1,50,(_xlfn.RANK.AVG(I513,$I$19:$I$1518,1)-1)/($G$15-1)*100))</f>
        <v/>
      </c>
      <c r="M513" s="11">
        <f>IF(COUNT(J513:L513)=3,ROUND(AVERAGE(J513:L513),6),"")</f>
        <v/>
      </c>
      <c r="O513">
        <f>IF(AND(ISNUMBER('자료_미국심리'!$A497),ISNUMBER('자료_미국심리'!$B497)),'자료_미국심리'!$A497,"")</f>
        <v/>
      </c>
      <c r="P513">
        <f>IF(AND(ISNUMBER('자료_미국심리'!$D497),ISNUMBER('자료_미국심리'!$E497)),'자료_미국심리'!$D497,"")</f>
        <v/>
      </c>
      <c r="Q513">
        <f>IF(AND(ISNUMBER('자료_미국심리'!$G497),ISNUMBER('자료_미국심리'!$H497)),'자료_미국심리'!$G497,"")</f>
        <v/>
      </c>
    </row>
    <row r="514">
      <c r="A514" s="10">
        <f>IF(496&gt;$E$5,"",SMALL($O$19:$O$4018,$E$6+496))</f>
        <v/>
      </c>
      <c r="B514" s="29">
        <f>IF(A514="","",INDEX('자료_미국심리'!$B$3:$B$4002,MATCH(A514,$O$19:$O$4018,0)))</f>
        <v/>
      </c>
      <c r="C514" s="22">
        <f>IF(A514="","",B514/AVERAGE(B390:B514)-1)</f>
        <v/>
      </c>
      <c r="D514" s="29">
        <f>IF(A514="","",IFERROR(INDEX('자료_미국심리'!$E$3:$E$4002,MATCH(A514,$P$19:$P$4018,0)),D513))</f>
        <v/>
      </c>
      <c r="E514" s="29">
        <f>IF(A514="","",IFERROR(INDEX('자료_미국심리'!$H$3:$H$4002,MATCH(A514,$Q$19:$Q$4018,0)),E513))</f>
        <v/>
      </c>
      <c r="F514">
        <f>IF(A514="",0,IF(A514&gt;$B$5,1,0))</f>
        <v/>
      </c>
      <c r="G514" s="29">
        <f>IF(AND(F514=1,ISNUMBER(D514)),D514,"")</f>
        <v/>
      </c>
      <c r="H514" s="29">
        <f>IF(AND(F514=1,ISNUMBER(E514)),E514,"")</f>
        <v/>
      </c>
      <c r="I514" s="22">
        <f>IF(AND(F514=1,ISNUMBER(C514)),C514,"")</f>
        <v/>
      </c>
      <c r="J514" s="11">
        <f>IF(G514="","",100-IF($G$13=1,50,(_xlfn.RANK.AVG(G514,$G$19:$G$1518,1)-1)/($G$13-1)*100))</f>
        <v/>
      </c>
      <c r="K514" s="11">
        <f>IF(H514="","",100-IF($G$14=1,50,(_xlfn.RANK.AVG(H514,$H$19:$H$1518,1)-1)/($G$14-1)*100))</f>
        <v/>
      </c>
      <c r="L514" s="11">
        <f>IF(I514="","",IF($G$15=1,50,(_xlfn.RANK.AVG(I514,$I$19:$I$1518,1)-1)/($G$15-1)*100))</f>
        <v/>
      </c>
      <c r="M514" s="11">
        <f>IF(COUNT(J514:L514)=3,ROUND(AVERAGE(J514:L514),6),"")</f>
        <v/>
      </c>
      <c r="O514">
        <f>IF(AND(ISNUMBER('자료_미국심리'!$A498),ISNUMBER('자료_미국심리'!$B498)),'자료_미국심리'!$A498,"")</f>
        <v/>
      </c>
      <c r="P514">
        <f>IF(AND(ISNUMBER('자료_미국심리'!$D498),ISNUMBER('자료_미국심리'!$E498)),'자료_미국심리'!$D498,"")</f>
        <v/>
      </c>
      <c r="Q514">
        <f>IF(AND(ISNUMBER('자료_미국심리'!$G498),ISNUMBER('자료_미국심리'!$H498)),'자료_미국심리'!$G498,"")</f>
        <v/>
      </c>
    </row>
    <row r="515">
      <c r="A515" s="10">
        <f>IF(497&gt;$E$5,"",SMALL($O$19:$O$4018,$E$6+497))</f>
        <v/>
      </c>
      <c r="B515" s="29">
        <f>IF(A515="","",INDEX('자료_미국심리'!$B$3:$B$4002,MATCH(A515,$O$19:$O$4018,0)))</f>
        <v/>
      </c>
      <c r="C515" s="22">
        <f>IF(A515="","",B515/AVERAGE(B391:B515)-1)</f>
        <v/>
      </c>
      <c r="D515" s="29">
        <f>IF(A515="","",IFERROR(INDEX('자료_미국심리'!$E$3:$E$4002,MATCH(A515,$P$19:$P$4018,0)),D514))</f>
        <v/>
      </c>
      <c r="E515" s="29">
        <f>IF(A515="","",IFERROR(INDEX('자료_미국심리'!$H$3:$H$4002,MATCH(A515,$Q$19:$Q$4018,0)),E514))</f>
        <v/>
      </c>
      <c r="F515">
        <f>IF(A515="",0,IF(A515&gt;$B$5,1,0))</f>
        <v/>
      </c>
      <c r="G515" s="29">
        <f>IF(AND(F515=1,ISNUMBER(D515)),D515,"")</f>
        <v/>
      </c>
      <c r="H515" s="29">
        <f>IF(AND(F515=1,ISNUMBER(E515)),E515,"")</f>
        <v/>
      </c>
      <c r="I515" s="22">
        <f>IF(AND(F515=1,ISNUMBER(C515)),C515,"")</f>
        <v/>
      </c>
      <c r="J515" s="11">
        <f>IF(G515="","",100-IF($G$13=1,50,(_xlfn.RANK.AVG(G515,$G$19:$G$1518,1)-1)/($G$13-1)*100))</f>
        <v/>
      </c>
      <c r="K515" s="11">
        <f>IF(H515="","",100-IF($G$14=1,50,(_xlfn.RANK.AVG(H515,$H$19:$H$1518,1)-1)/($G$14-1)*100))</f>
        <v/>
      </c>
      <c r="L515" s="11">
        <f>IF(I515="","",IF($G$15=1,50,(_xlfn.RANK.AVG(I515,$I$19:$I$1518,1)-1)/($G$15-1)*100))</f>
        <v/>
      </c>
      <c r="M515" s="11">
        <f>IF(COUNT(J515:L515)=3,ROUND(AVERAGE(J515:L515),6),"")</f>
        <v/>
      </c>
      <c r="O515">
        <f>IF(AND(ISNUMBER('자료_미국심리'!$A499),ISNUMBER('자료_미국심리'!$B499)),'자료_미국심리'!$A499,"")</f>
        <v/>
      </c>
      <c r="P515">
        <f>IF(AND(ISNUMBER('자료_미국심리'!$D499),ISNUMBER('자료_미국심리'!$E499)),'자료_미국심리'!$D499,"")</f>
        <v/>
      </c>
      <c r="Q515">
        <f>IF(AND(ISNUMBER('자료_미국심리'!$G499),ISNUMBER('자료_미국심리'!$H499)),'자료_미국심리'!$G499,"")</f>
        <v/>
      </c>
    </row>
    <row r="516">
      <c r="A516" s="10">
        <f>IF(498&gt;$E$5,"",SMALL($O$19:$O$4018,$E$6+498))</f>
        <v/>
      </c>
      <c r="B516" s="29">
        <f>IF(A516="","",INDEX('자료_미국심리'!$B$3:$B$4002,MATCH(A516,$O$19:$O$4018,0)))</f>
        <v/>
      </c>
      <c r="C516" s="22">
        <f>IF(A516="","",B516/AVERAGE(B392:B516)-1)</f>
        <v/>
      </c>
      <c r="D516" s="29">
        <f>IF(A516="","",IFERROR(INDEX('자료_미국심리'!$E$3:$E$4002,MATCH(A516,$P$19:$P$4018,0)),D515))</f>
        <v/>
      </c>
      <c r="E516" s="29">
        <f>IF(A516="","",IFERROR(INDEX('자료_미국심리'!$H$3:$H$4002,MATCH(A516,$Q$19:$Q$4018,0)),E515))</f>
        <v/>
      </c>
      <c r="F516">
        <f>IF(A516="",0,IF(A516&gt;$B$5,1,0))</f>
        <v/>
      </c>
      <c r="G516" s="29">
        <f>IF(AND(F516=1,ISNUMBER(D516)),D516,"")</f>
        <v/>
      </c>
      <c r="H516" s="29">
        <f>IF(AND(F516=1,ISNUMBER(E516)),E516,"")</f>
        <v/>
      </c>
      <c r="I516" s="22">
        <f>IF(AND(F516=1,ISNUMBER(C516)),C516,"")</f>
        <v/>
      </c>
      <c r="J516" s="11">
        <f>IF(G516="","",100-IF($G$13=1,50,(_xlfn.RANK.AVG(G516,$G$19:$G$1518,1)-1)/($G$13-1)*100))</f>
        <v/>
      </c>
      <c r="K516" s="11">
        <f>IF(H516="","",100-IF($G$14=1,50,(_xlfn.RANK.AVG(H516,$H$19:$H$1518,1)-1)/($G$14-1)*100))</f>
        <v/>
      </c>
      <c r="L516" s="11">
        <f>IF(I516="","",IF($G$15=1,50,(_xlfn.RANK.AVG(I516,$I$19:$I$1518,1)-1)/($G$15-1)*100))</f>
        <v/>
      </c>
      <c r="M516" s="11">
        <f>IF(COUNT(J516:L516)=3,ROUND(AVERAGE(J516:L516),6),"")</f>
        <v/>
      </c>
      <c r="O516">
        <f>IF(AND(ISNUMBER('자료_미국심리'!$A500),ISNUMBER('자료_미국심리'!$B500)),'자료_미국심리'!$A500,"")</f>
        <v/>
      </c>
      <c r="P516">
        <f>IF(AND(ISNUMBER('자료_미국심리'!$D500),ISNUMBER('자료_미국심리'!$E500)),'자료_미국심리'!$D500,"")</f>
        <v/>
      </c>
      <c r="Q516">
        <f>IF(AND(ISNUMBER('자료_미국심리'!$G500),ISNUMBER('자료_미국심리'!$H500)),'자료_미국심리'!$G500,"")</f>
        <v/>
      </c>
    </row>
    <row r="517">
      <c r="A517" s="10">
        <f>IF(499&gt;$E$5,"",SMALL($O$19:$O$4018,$E$6+499))</f>
        <v/>
      </c>
      <c r="B517" s="29">
        <f>IF(A517="","",INDEX('자료_미국심리'!$B$3:$B$4002,MATCH(A517,$O$19:$O$4018,0)))</f>
        <v/>
      </c>
      <c r="C517" s="22">
        <f>IF(A517="","",B517/AVERAGE(B393:B517)-1)</f>
        <v/>
      </c>
      <c r="D517" s="29">
        <f>IF(A517="","",IFERROR(INDEX('자료_미국심리'!$E$3:$E$4002,MATCH(A517,$P$19:$P$4018,0)),D516))</f>
        <v/>
      </c>
      <c r="E517" s="29">
        <f>IF(A517="","",IFERROR(INDEX('자료_미국심리'!$H$3:$H$4002,MATCH(A517,$Q$19:$Q$4018,0)),E516))</f>
        <v/>
      </c>
      <c r="F517">
        <f>IF(A517="",0,IF(A517&gt;$B$5,1,0))</f>
        <v/>
      </c>
      <c r="G517" s="29">
        <f>IF(AND(F517=1,ISNUMBER(D517)),D517,"")</f>
        <v/>
      </c>
      <c r="H517" s="29">
        <f>IF(AND(F517=1,ISNUMBER(E517)),E517,"")</f>
        <v/>
      </c>
      <c r="I517" s="22">
        <f>IF(AND(F517=1,ISNUMBER(C517)),C517,"")</f>
        <v/>
      </c>
      <c r="J517" s="11">
        <f>IF(G517="","",100-IF($G$13=1,50,(_xlfn.RANK.AVG(G517,$G$19:$G$1518,1)-1)/($G$13-1)*100))</f>
        <v/>
      </c>
      <c r="K517" s="11">
        <f>IF(H517="","",100-IF($G$14=1,50,(_xlfn.RANK.AVG(H517,$H$19:$H$1518,1)-1)/($G$14-1)*100))</f>
        <v/>
      </c>
      <c r="L517" s="11">
        <f>IF(I517="","",IF($G$15=1,50,(_xlfn.RANK.AVG(I517,$I$19:$I$1518,1)-1)/($G$15-1)*100))</f>
        <v/>
      </c>
      <c r="M517" s="11">
        <f>IF(COUNT(J517:L517)=3,ROUND(AVERAGE(J517:L517),6),"")</f>
        <v/>
      </c>
      <c r="O517">
        <f>IF(AND(ISNUMBER('자료_미국심리'!$A501),ISNUMBER('자료_미국심리'!$B501)),'자료_미국심리'!$A501,"")</f>
        <v/>
      </c>
      <c r="P517">
        <f>IF(AND(ISNUMBER('자료_미국심리'!$D501),ISNUMBER('자료_미국심리'!$E501)),'자료_미국심리'!$D501,"")</f>
        <v/>
      </c>
      <c r="Q517">
        <f>IF(AND(ISNUMBER('자료_미국심리'!$G501),ISNUMBER('자료_미국심리'!$H501)),'자료_미국심리'!$G501,"")</f>
        <v/>
      </c>
    </row>
    <row r="518">
      <c r="A518" s="10">
        <f>IF(500&gt;$E$5,"",SMALL($O$19:$O$4018,$E$6+500))</f>
        <v/>
      </c>
      <c r="B518" s="29">
        <f>IF(A518="","",INDEX('자료_미국심리'!$B$3:$B$4002,MATCH(A518,$O$19:$O$4018,0)))</f>
        <v/>
      </c>
      <c r="C518" s="22">
        <f>IF(A518="","",B518/AVERAGE(B394:B518)-1)</f>
        <v/>
      </c>
      <c r="D518" s="29">
        <f>IF(A518="","",IFERROR(INDEX('자료_미국심리'!$E$3:$E$4002,MATCH(A518,$P$19:$P$4018,0)),D517))</f>
        <v/>
      </c>
      <c r="E518" s="29">
        <f>IF(A518="","",IFERROR(INDEX('자료_미국심리'!$H$3:$H$4002,MATCH(A518,$Q$19:$Q$4018,0)),E517))</f>
        <v/>
      </c>
      <c r="F518">
        <f>IF(A518="",0,IF(A518&gt;$B$5,1,0))</f>
        <v/>
      </c>
      <c r="G518" s="29">
        <f>IF(AND(F518=1,ISNUMBER(D518)),D518,"")</f>
        <v/>
      </c>
      <c r="H518" s="29">
        <f>IF(AND(F518=1,ISNUMBER(E518)),E518,"")</f>
        <v/>
      </c>
      <c r="I518" s="22">
        <f>IF(AND(F518=1,ISNUMBER(C518)),C518,"")</f>
        <v/>
      </c>
      <c r="J518" s="11">
        <f>IF(G518="","",100-IF($G$13=1,50,(_xlfn.RANK.AVG(G518,$G$19:$G$1518,1)-1)/($G$13-1)*100))</f>
        <v/>
      </c>
      <c r="K518" s="11">
        <f>IF(H518="","",100-IF($G$14=1,50,(_xlfn.RANK.AVG(H518,$H$19:$H$1518,1)-1)/($G$14-1)*100))</f>
        <v/>
      </c>
      <c r="L518" s="11">
        <f>IF(I518="","",IF($G$15=1,50,(_xlfn.RANK.AVG(I518,$I$19:$I$1518,1)-1)/($G$15-1)*100))</f>
        <v/>
      </c>
      <c r="M518" s="11">
        <f>IF(COUNT(J518:L518)=3,ROUND(AVERAGE(J518:L518),6),"")</f>
        <v/>
      </c>
      <c r="O518">
        <f>IF(AND(ISNUMBER('자료_미국심리'!$A502),ISNUMBER('자료_미국심리'!$B502)),'자료_미국심리'!$A502,"")</f>
        <v/>
      </c>
      <c r="P518">
        <f>IF(AND(ISNUMBER('자료_미국심리'!$D502),ISNUMBER('자료_미국심리'!$E502)),'자료_미국심리'!$D502,"")</f>
        <v/>
      </c>
      <c r="Q518">
        <f>IF(AND(ISNUMBER('자료_미국심리'!$G502),ISNUMBER('자료_미국심리'!$H502)),'자료_미국심리'!$G502,"")</f>
        <v/>
      </c>
    </row>
    <row r="519">
      <c r="A519" s="10">
        <f>IF(501&gt;$E$5,"",SMALL($O$19:$O$4018,$E$6+501))</f>
        <v/>
      </c>
      <c r="B519" s="29">
        <f>IF(A519="","",INDEX('자료_미국심리'!$B$3:$B$4002,MATCH(A519,$O$19:$O$4018,0)))</f>
        <v/>
      </c>
      <c r="C519" s="22">
        <f>IF(A519="","",B519/AVERAGE(B395:B519)-1)</f>
        <v/>
      </c>
      <c r="D519" s="29">
        <f>IF(A519="","",IFERROR(INDEX('자료_미국심리'!$E$3:$E$4002,MATCH(A519,$P$19:$P$4018,0)),D518))</f>
        <v/>
      </c>
      <c r="E519" s="29">
        <f>IF(A519="","",IFERROR(INDEX('자료_미국심리'!$H$3:$H$4002,MATCH(A519,$Q$19:$Q$4018,0)),E518))</f>
        <v/>
      </c>
      <c r="F519">
        <f>IF(A519="",0,IF(A519&gt;$B$5,1,0))</f>
        <v/>
      </c>
      <c r="G519" s="29">
        <f>IF(AND(F519=1,ISNUMBER(D519)),D519,"")</f>
        <v/>
      </c>
      <c r="H519" s="29">
        <f>IF(AND(F519=1,ISNUMBER(E519)),E519,"")</f>
        <v/>
      </c>
      <c r="I519" s="22">
        <f>IF(AND(F519=1,ISNUMBER(C519)),C519,"")</f>
        <v/>
      </c>
      <c r="J519" s="11">
        <f>IF(G519="","",100-IF($G$13=1,50,(_xlfn.RANK.AVG(G519,$G$19:$G$1518,1)-1)/($G$13-1)*100))</f>
        <v/>
      </c>
      <c r="K519" s="11">
        <f>IF(H519="","",100-IF($G$14=1,50,(_xlfn.RANK.AVG(H519,$H$19:$H$1518,1)-1)/($G$14-1)*100))</f>
        <v/>
      </c>
      <c r="L519" s="11">
        <f>IF(I519="","",IF($G$15=1,50,(_xlfn.RANK.AVG(I519,$I$19:$I$1518,1)-1)/($G$15-1)*100))</f>
        <v/>
      </c>
      <c r="M519" s="11">
        <f>IF(COUNT(J519:L519)=3,ROUND(AVERAGE(J519:L519),6),"")</f>
        <v/>
      </c>
      <c r="O519">
        <f>IF(AND(ISNUMBER('자료_미국심리'!$A503),ISNUMBER('자료_미국심리'!$B503)),'자료_미국심리'!$A503,"")</f>
        <v/>
      </c>
      <c r="P519">
        <f>IF(AND(ISNUMBER('자료_미국심리'!$D503),ISNUMBER('자료_미국심리'!$E503)),'자료_미국심리'!$D503,"")</f>
        <v/>
      </c>
      <c r="Q519">
        <f>IF(AND(ISNUMBER('자료_미국심리'!$G503),ISNUMBER('자료_미국심리'!$H503)),'자료_미국심리'!$G503,"")</f>
        <v/>
      </c>
    </row>
    <row r="520">
      <c r="A520" s="10">
        <f>IF(502&gt;$E$5,"",SMALL($O$19:$O$4018,$E$6+502))</f>
        <v/>
      </c>
      <c r="B520" s="29">
        <f>IF(A520="","",INDEX('자료_미국심리'!$B$3:$B$4002,MATCH(A520,$O$19:$O$4018,0)))</f>
        <v/>
      </c>
      <c r="C520" s="22">
        <f>IF(A520="","",B520/AVERAGE(B396:B520)-1)</f>
        <v/>
      </c>
      <c r="D520" s="29">
        <f>IF(A520="","",IFERROR(INDEX('자료_미국심리'!$E$3:$E$4002,MATCH(A520,$P$19:$P$4018,0)),D519))</f>
        <v/>
      </c>
      <c r="E520" s="29">
        <f>IF(A520="","",IFERROR(INDEX('자료_미국심리'!$H$3:$H$4002,MATCH(A520,$Q$19:$Q$4018,0)),E519))</f>
        <v/>
      </c>
      <c r="F520">
        <f>IF(A520="",0,IF(A520&gt;$B$5,1,0))</f>
        <v/>
      </c>
      <c r="G520" s="29">
        <f>IF(AND(F520=1,ISNUMBER(D520)),D520,"")</f>
        <v/>
      </c>
      <c r="H520" s="29">
        <f>IF(AND(F520=1,ISNUMBER(E520)),E520,"")</f>
        <v/>
      </c>
      <c r="I520" s="22">
        <f>IF(AND(F520=1,ISNUMBER(C520)),C520,"")</f>
        <v/>
      </c>
      <c r="J520" s="11">
        <f>IF(G520="","",100-IF($G$13=1,50,(_xlfn.RANK.AVG(G520,$G$19:$G$1518,1)-1)/($G$13-1)*100))</f>
        <v/>
      </c>
      <c r="K520" s="11">
        <f>IF(H520="","",100-IF($G$14=1,50,(_xlfn.RANK.AVG(H520,$H$19:$H$1518,1)-1)/($G$14-1)*100))</f>
        <v/>
      </c>
      <c r="L520" s="11">
        <f>IF(I520="","",IF($G$15=1,50,(_xlfn.RANK.AVG(I520,$I$19:$I$1518,1)-1)/($G$15-1)*100))</f>
        <v/>
      </c>
      <c r="M520" s="11">
        <f>IF(COUNT(J520:L520)=3,ROUND(AVERAGE(J520:L520),6),"")</f>
        <v/>
      </c>
      <c r="O520">
        <f>IF(AND(ISNUMBER('자료_미국심리'!$A504),ISNUMBER('자료_미국심리'!$B504)),'자료_미국심리'!$A504,"")</f>
        <v/>
      </c>
      <c r="P520">
        <f>IF(AND(ISNUMBER('자료_미국심리'!$D504),ISNUMBER('자료_미국심리'!$E504)),'자료_미국심리'!$D504,"")</f>
        <v/>
      </c>
      <c r="Q520">
        <f>IF(AND(ISNUMBER('자료_미국심리'!$G504),ISNUMBER('자료_미국심리'!$H504)),'자료_미국심리'!$G504,"")</f>
        <v/>
      </c>
    </row>
    <row r="521">
      <c r="A521" s="10">
        <f>IF(503&gt;$E$5,"",SMALL($O$19:$O$4018,$E$6+503))</f>
        <v/>
      </c>
      <c r="B521" s="29">
        <f>IF(A521="","",INDEX('자료_미국심리'!$B$3:$B$4002,MATCH(A521,$O$19:$O$4018,0)))</f>
        <v/>
      </c>
      <c r="C521" s="22">
        <f>IF(A521="","",B521/AVERAGE(B397:B521)-1)</f>
        <v/>
      </c>
      <c r="D521" s="29">
        <f>IF(A521="","",IFERROR(INDEX('자료_미국심리'!$E$3:$E$4002,MATCH(A521,$P$19:$P$4018,0)),D520))</f>
        <v/>
      </c>
      <c r="E521" s="29">
        <f>IF(A521="","",IFERROR(INDEX('자료_미국심리'!$H$3:$H$4002,MATCH(A521,$Q$19:$Q$4018,0)),E520))</f>
        <v/>
      </c>
      <c r="F521">
        <f>IF(A521="",0,IF(A521&gt;$B$5,1,0))</f>
        <v/>
      </c>
      <c r="G521" s="29">
        <f>IF(AND(F521=1,ISNUMBER(D521)),D521,"")</f>
        <v/>
      </c>
      <c r="H521" s="29">
        <f>IF(AND(F521=1,ISNUMBER(E521)),E521,"")</f>
        <v/>
      </c>
      <c r="I521" s="22">
        <f>IF(AND(F521=1,ISNUMBER(C521)),C521,"")</f>
        <v/>
      </c>
      <c r="J521" s="11">
        <f>IF(G521="","",100-IF($G$13=1,50,(_xlfn.RANK.AVG(G521,$G$19:$G$1518,1)-1)/($G$13-1)*100))</f>
        <v/>
      </c>
      <c r="K521" s="11">
        <f>IF(H521="","",100-IF($G$14=1,50,(_xlfn.RANK.AVG(H521,$H$19:$H$1518,1)-1)/($G$14-1)*100))</f>
        <v/>
      </c>
      <c r="L521" s="11">
        <f>IF(I521="","",IF($G$15=1,50,(_xlfn.RANK.AVG(I521,$I$19:$I$1518,1)-1)/($G$15-1)*100))</f>
        <v/>
      </c>
      <c r="M521" s="11">
        <f>IF(COUNT(J521:L521)=3,ROUND(AVERAGE(J521:L521),6),"")</f>
        <v/>
      </c>
      <c r="O521">
        <f>IF(AND(ISNUMBER('자료_미국심리'!$A505),ISNUMBER('자료_미국심리'!$B505)),'자료_미국심리'!$A505,"")</f>
        <v/>
      </c>
      <c r="P521">
        <f>IF(AND(ISNUMBER('자료_미국심리'!$D505),ISNUMBER('자료_미국심리'!$E505)),'자료_미국심리'!$D505,"")</f>
        <v/>
      </c>
      <c r="Q521">
        <f>IF(AND(ISNUMBER('자료_미국심리'!$G505),ISNUMBER('자료_미국심리'!$H505)),'자료_미국심리'!$G505,"")</f>
        <v/>
      </c>
    </row>
    <row r="522">
      <c r="A522" s="10">
        <f>IF(504&gt;$E$5,"",SMALL($O$19:$O$4018,$E$6+504))</f>
        <v/>
      </c>
      <c r="B522" s="29">
        <f>IF(A522="","",INDEX('자료_미국심리'!$B$3:$B$4002,MATCH(A522,$O$19:$O$4018,0)))</f>
        <v/>
      </c>
      <c r="C522" s="22">
        <f>IF(A522="","",B522/AVERAGE(B398:B522)-1)</f>
        <v/>
      </c>
      <c r="D522" s="29">
        <f>IF(A522="","",IFERROR(INDEX('자료_미국심리'!$E$3:$E$4002,MATCH(A522,$P$19:$P$4018,0)),D521))</f>
        <v/>
      </c>
      <c r="E522" s="29">
        <f>IF(A522="","",IFERROR(INDEX('자료_미국심리'!$H$3:$H$4002,MATCH(A522,$Q$19:$Q$4018,0)),E521))</f>
        <v/>
      </c>
      <c r="F522">
        <f>IF(A522="",0,IF(A522&gt;$B$5,1,0))</f>
        <v/>
      </c>
      <c r="G522" s="29">
        <f>IF(AND(F522=1,ISNUMBER(D522)),D522,"")</f>
        <v/>
      </c>
      <c r="H522" s="29">
        <f>IF(AND(F522=1,ISNUMBER(E522)),E522,"")</f>
        <v/>
      </c>
      <c r="I522" s="22">
        <f>IF(AND(F522=1,ISNUMBER(C522)),C522,"")</f>
        <v/>
      </c>
      <c r="J522" s="11">
        <f>IF(G522="","",100-IF($G$13=1,50,(_xlfn.RANK.AVG(G522,$G$19:$G$1518,1)-1)/($G$13-1)*100))</f>
        <v/>
      </c>
      <c r="K522" s="11">
        <f>IF(H522="","",100-IF($G$14=1,50,(_xlfn.RANK.AVG(H522,$H$19:$H$1518,1)-1)/($G$14-1)*100))</f>
        <v/>
      </c>
      <c r="L522" s="11">
        <f>IF(I522="","",IF($G$15=1,50,(_xlfn.RANK.AVG(I522,$I$19:$I$1518,1)-1)/($G$15-1)*100))</f>
        <v/>
      </c>
      <c r="M522" s="11">
        <f>IF(COUNT(J522:L522)=3,ROUND(AVERAGE(J522:L522),6),"")</f>
        <v/>
      </c>
      <c r="O522">
        <f>IF(AND(ISNUMBER('자료_미국심리'!$A506),ISNUMBER('자료_미국심리'!$B506)),'자료_미국심리'!$A506,"")</f>
        <v/>
      </c>
      <c r="P522">
        <f>IF(AND(ISNUMBER('자료_미국심리'!$D506),ISNUMBER('자료_미국심리'!$E506)),'자료_미국심리'!$D506,"")</f>
        <v/>
      </c>
      <c r="Q522">
        <f>IF(AND(ISNUMBER('자료_미국심리'!$G506),ISNUMBER('자료_미국심리'!$H506)),'자료_미국심리'!$G506,"")</f>
        <v/>
      </c>
    </row>
    <row r="523">
      <c r="A523" s="10">
        <f>IF(505&gt;$E$5,"",SMALL($O$19:$O$4018,$E$6+505))</f>
        <v/>
      </c>
      <c r="B523" s="29">
        <f>IF(A523="","",INDEX('자료_미국심리'!$B$3:$B$4002,MATCH(A523,$O$19:$O$4018,0)))</f>
        <v/>
      </c>
      <c r="C523" s="22">
        <f>IF(A523="","",B523/AVERAGE(B399:B523)-1)</f>
        <v/>
      </c>
      <c r="D523" s="29">
        <f>IF(A523="","",IFERROR(INDEX('자료_미국심리'!$E$3:$E$4002,MATCH(A523,$P$19:$P$4018,0)),D522))</f>
        <v/>
      </c>
      <c r="E523" s="29">
        <f>IF(A523="","",IFERROR(INDEX('자료_미국심리'!$H$3:$H$4002,MATCH(A523,$Q$19:$Q$4018,0)),E522))</f>
        <v/>
      </c>
      <c r="F523">
        <f>IF(A523="",0,IF(A523&gt;$B$5,1,0))</f>
        <v/>
      </c>
      <c r="G523" s="29">
        <f>IF(AND(F523=1,ISNUMBER(D523)),D523,"")</f>
        <v/>
      </c>
      <c r="H523" s="29">
        <f>IF(AND(F523=1,ISNUMBER(E523)),E523,"")</f>
        <v/>
      </c>
      <c r="I523" s="22">
        <f>IF(AND(F523=1,ISNUMBER(C523)),C523,"")</f>
        <v/>
      </c>
      <c r="J523" s="11">
        <f>IF(G523="","",100-IF($G$13=1,50,(_xlfn.RANK.AVG(G523,$G$19:$G$1518,1)-1)/($G$13-1)*100))</f>
        <v/>
      </c>
      <c r="K523" s="11">
        <f>IF(H523="","",100-IF($G$14=1,50,(_xlfn.RANK.AVG(H523,$H$19:$H$1518,1)-1)/($G$14-1)*100))</f>
        <v/>
      </c>
      <c r="L523" s="11">
        <f>IF(I523="","",IF($G$15=1,50,(_xlfn.RANK.AVG(I523,$I$19:$I$1518,1)-1)/($G$15-1)*100))</f>
        <v/>
      </c>
      <c r="M523" s="11">
        <f>IF(COUNT(J523:L523)=3,ROUND(AVERAGE(J523:L523),6),"")</f>
        <v/>
      </c>
      <c r="O523">
        <f>IF(AND(ISNUMBER('자료_미국심리'!$A507),ISNUMBER('자료_미국심리'!$B507)),'자료_미국심리'!$A507,"")</f>
        <v/>
      </c>
      <c r="P523">
        <f>IF(AND(ISNUMBER('자료_미국심리'!$D507),ISNUMBER('자료_미국심리'!$E507)),'자료_미국심리'!$D507,"")</f>
        <v/>
      </c>
      <c r="Q523">
        <f>IF(AND(ISNUMBER('자료_미국심리'!$G507),ISNUMBER('자료_미국심리'!$H507)),'자료_미국심리'!$G507,"")</f>
        <v/>
      </c>
    </row>
    <row r="524">
      <c r="A524" s="10">
        <f>IF(506&gt;$E$5,"",SMALL($O$19:$O$4018,$E$6+506))</f>
        <v/>
      </c>
      <c r="B524" s="29">
        <f>IF(A524="","",INDEX('자료_미국심리'!$B$3:$B$4002,MATCH(A524,$O$19:$O$4018,0)))</f>
        <v/>
      </c>
      <c r="C524" s="22">
        <f>IF(A524="","",B524/AVERAGE(B400:B524)-1)</f>
        <v/>
      </c>
      <c r="D524" s="29">
        <f>IF(A524="","",IFERROR(INDEX('자료_미국심리'!$E$3:$E$4002,MATCH(A524,$P$19:$P$4018,0)),D523))</f>
        <v/>
      </c>
      <c r="E524" s="29">
        <f>IF(A524="","",IFERROR(INDEX('자료_미국심리'!$H$3:$H$4002,MATCH(A524,$Q$19:$Q$4018,0)),E523))</f>
        <v/>
      </c>
      <c r="F524">
        <f>IF(A524="",0,IF(A524&gt;$B$5,1,0))</f>
        <v/>
      </c>
      <c r="G524" s="29">
        <f>IF(AND(F524=1,ISNUMBER(D524)),D524,"")</f>
        <v/>
      </c>
      <c r="H524" s="29">
        <f>IF(AND(F524=1,ISNUMBER(E524)),E524,"")</f>
        <v/>
      </c>
      <c r="I524" s="22">
        <f>IF(AND(F524=1,ISNUMBER(C524)),C524,"")</f>
        <v/>
      </c>
      <c r="J524" s="11">
        <f>IF(G524="","",100-IF($G$13=1,50,(_xlfn.RANK.AVG(G524,$G$19:$G$1518,1)-1)/($G$13-1)*100))</f>
        <v/>
      </c>
      <c r="K524" s="11">
        <f>IF(H524="","",100-IF($G$14=1,50,(_xlfn.RANK.AVG(H524,$H$19:$H$1518,1)-1)/($G$14-1)*100))</f>
        <v/>
      </c>
      <c r="L524" s="11">
        <f>IF(I524="","",IF($G$15=1,50,(_xlfn.RANK.AVG(I524,$I$19:$I$1518,1)-1)/($G$15-1)*100))</f>
        <v/>
      </c>
      <c r="M524" s="11">
        <f>IF(COUNT(J524:L524)=3,ROUND(AVERAGE(J524:L524),6),"")</f>
        <v/>
      </c>
      <c r="O524">
        <f>IF(AND(ISNUMBER('자료_미국심리'!$A508),ISNUMBER('자료_미국심리'!$B508)),'자료_미국심리'!$A508,"")</f>
        <v/>
      </c>
      <c r="P524">
        <f>IF(AND(ISNUMBER('자료_미국심리'!$D508),ISNUMBER('자료_미국심리'!$E508)),'자료_미국심리'!$D508,"")</f>
        <v/>
      </c>
      <c r="Q524">
        <f>IF(AND(ISNUMBER('자료_미국심리'!$G508),ISNUMBER('자료_미국심리'!$H508)),'자료_미국심리'!$G508,"")</f>
        <v/>
      </c>
    </row>
    <row r="525">
      <c r="A525" s="10">
        <f>IF(507&gt;$E$5,"",SMALL($O$19:$O$4018,$E$6+507))</f>
        <v/>
      </c>
      <c r="B525" s="29">
        <f>IF(A525="","",INDEX('자료_미국심리'!$B$3:$B$4002,MATCH(A525,$O$19:$O$4018,0)))</f>
        <v/>
      </c>
      <c r="C525" s="22">
        <f>IF(A525="","",B525/AVERAGE(B401:B525)-1)</f>
        <v/>
      </c>
      <c r="D525" s="29">
        <f>IF(A525="","",IFERROR(INDEX('자료_미국심리'!$E$3:$E$4002,MATCH(A525,$P$19:$P$4018,0)),D524))</f>
        <v/>
      </c>
      <c r="E525" s="29">
        <f>IF(A525="","",IFERROR(INDEX('자료_미국심리'!$H$3:$H$4002,MATCH(A525,$Q$19:$Q$4018,0)),E524))</f>
        <v/>
      </c>
      <c r="F525">
        <f>IF(A525="",0,IF(A525&gt;$B$5,1,0))</f>
        <v/>
      </c>
      <c r="G525" s="29">
        <f>IF(AND(F525=1,ISNUMBER(D525)),D525,"")</f>
        <v/>
      </c>
      <c r="H525" s="29">
        <f>IF(AND(F525=1,ISNUMBER(E525)),E525,"")</f>
        <v/>
      </c>
      <c r="I525" s="22">
        <f>IF(AND(F525=1,ISNUMBER(C525)),C525,"")</f>
        <v/>
      </c>
      <c r="J525" s="11">
        <f>IF(G525="","",100-IF($G$13=1,50,(_xlfn.RANK.AVG(G525,$G$19:$G$1518,1)-1)/($G$13-1)*100))</f>
        <v/>
      </c>
      <c r="K525" s="11">
        <f>IF(H525="","",100-IF($G$14=1,50,(_xlfn.RANK.AVG(H525,$H$19:$H$1518,1)-1)/($G$14-1)*100))</f>
        <v/>
      </c>
      <c r="L525" s="11">
        <f>IF(I525="","",IF($G$15=1,50,(_xlfn.RANK.AVG(I525,$I$19:$I$1518,1)-1)/($G$15-1)*100))</f>
        <v/>
      </c>
      <c r="M525" s="11">
        <f>IF(COUNT(J525:L525)=3,ROUND(AVERAGE(J525:L525),6),"")</f>
        <v/>
      </c>
      <c r="O525">
        <f>IF(AND(ISNUMBER('자료_미국심리'!$A509),ISNUMBER('자료_미국심리'!$B509)),'자료_미국심리'!$A509,"")</f>
        <v/>
      </c>
      <c r="P525">
        <f>IF(AND(ISNUMBER('자료_미국심리'!$D509),ISNUMBER('자료_미국심리'!$E509)),'자료_미국심리'!$D509,"")</f>
        <v/>
      </c>
      <c r="Q525">
        <f>IF(AND(ISNUMBER('자료_미국심리'!$G509),ISNUMBER('자료_미국심리'!$H509)),'자료_미국심리'!$G509,"")</f>
        <v/>
      </c>
    </row>
    <row r="526">
      <c r="A526" s="10">
        <f>IF(508&gt;$E$5,"",SMALL($O$19:$O$4018,$E$6+508))</f>
        <v/>
      </c>
      <c r="B526" s="29">
        <f>IF(A526="","",INDEX('자료_미국심리'!$B$3:$B$4002,MATCH(A526,$O$19:$O$4018,0)))</f>
        <v/>
      </c>
      <c r="C526" s="22">
        <f>IF(A526="","",B526/AVERAGE(B402:B526)-1)</f>
        <v/>
      </c>
      <c r="D526" s="29">
        <f>IF(A526="","",IFERROR(INDEX('자료_미국심리'!$E$3:$E$4002,MATCH(A526,$P$19:$P$4018,0)),D525))</f>
        <v/>
      </c>
      <c r="E526" s="29">
        <f>IF(A526="","",IFERROR(INDEX('자료_미국심리'!$H$3:$H$4002,MATCH(A526,$Q$19:$Q$4018,0)),E525))</f>
        <v/>
      </c>
      <c r="F526">
        <f>IF(A526="",0,IF(A526&gt;$B$5,1,0))</f>
        <v/>
      </c>
      <c r="G526" s="29">
        <f>IF(AND(F526=1,ISNUMBER(D526)),D526,"")</f>
        <v/>
      </c>
      <c r="H526" s="29">
        <f>IF(AND(F526=1,ISNUMBER(E526)),E526,"")</f>
        <v/>
      </c>
      <c r="I526" s="22">
        <f>IF(AND(F526=1,ISNUMBER(C526)),C526,"")</f>
        <v/>
      </c>
      <c r="J526" s="11">
        <f>IF(G526="","",100-IF($G$13=1,50,(_xlfn.RANK.AVG(G526,$G$19:$G$1518,1)-1)/($G$13-1)*100))</f>
        <v/>
      </c>
      <c r="K526" s="11">
        <f>IF(H526="","",100-IF($G$14=1,50,(_xlfn.RANK.AVG(H526,$H$19:$H$1518,1)-1)/($G$14-1)*100))</f>
        <v/>
      </c>
      <c r="L526" s="11">
        <f>IF(I526="","",IF($G$15=1,50,(_xlfn.RANK.AVG(I526,$I$19:$I$1518,1)-1)/($G$15-1)*100))</f>
        <v/>
      </c>
      <c r="M526" s="11">
        <f>IF(COUNT(J526:L526)=3,ROUND(AVERAGE(J526:L526),6),"")</f>
        <v/>
      </c>
      <c r="O526">
        <f>IF(AND(ISNUMBER('자료_미국심리'!$A510),ISNUMBER('자료_미국심리'!$B510)),'자료_미국심리'!$A510,"")</f>
        <v/>
      </c>
      <c r="P526">
        <f>IF(AND(ISNUMBER('자료_미국심리'!$D510),ISNUMBER('자료_미국심리'!$E510)),'자료_미국심리'!$D510,"")</f>
        <v/>
      </c>
      <c r="Q526">
        <f>IF(AND(ISNUMBER('자료_미국심리'!$G510),ISNUMBER('자료_미국심리'!$H510)),'자료_미국심리'!$G510,"")</f>
        <v/>
      </c>
    </row>
    <row r="527">
      <c r="A527" s="10">
        <f>IF(509&gt;$E$5,"",SMALL($O$19:$O$4018,$E$6+509))</f>
        <v/>
      </c>
      <c r="B527" s="29">
        <f>IF(A527="","",INDEX('자료_미국심리'!$B$3:$B$4002,MATCH(A527,$O$19:$O$4018,0)))</f>
        <v/>
      </c>
      <c r="C527" s="22">
        <f>IF(A527="","",B527/AVERAGE(B403:B527)-1)</f>
        <v/>
      </c>
      <c r="D527" s="29">
        <f>IF(A527="","",IFERROR(INDEX('자료_미국심리'!$E$3:$E$4002,MATCH(A527,$P$19:$P$4018,0)),D526))</f>
        <v/>
      </c>
      <c r="E527" s="29">
        <f>IF(A527="","",IFERROR(INDEX('자료_미국심리'!$H$3:$H$4002,MATCH(A527,$Q$19:$Q$4018,0)),E526))</f>
        <v/>
      </c>
      <c r="F527">
        <f>IF(A527="",0,IF(A527&gt;$B$5,1,0))</f>
        <v/>
      </c>
      <c r="G527" s="29">
        <f>IF(AND(F527=1,ISNUMBER(D527)),D527,"")</f>
        <v/>
      </c>
      <c r="H527" s="29">
        <f>IF(AND(F527=1,ISNUMBER(E527)),E527,"")</f>
        <v/>
      </c>
      <c r="I527" s="22">
        <f>IF(AND(F527=1,ISNUMBER(C527)),C527,"")</f>
        <v/>
      </c>
      <c r="J527" s="11">
        <f>IF(G527="","",100-IF($G$13=1,50,(_xlfn.RANK.AVG(G527,$G$19:$G$1518,1)-1)/($G$13-1)*100))</f>
        <v/>
      </c>
      <c r="K527" s="11">
        <f>IF(H527="","",100-IF($G$14=1,50,(_xlfn.RANK.AVG(H527,$H$19:$H$1518,1)-1)/($G$14-1)*100))</f>
        <v/>
      </c>
      <c r="L527" s="11">
        <f>IF(I527="","",IF($G$15=1,50,(_xlfn.RANK.AVG(I527,$I$19:$I$1518,1)-1)/($G$15-1)*100))</f>
        <v/>
      </c>
      <c r="M527" s="11">
        <f>IF(COUNT(J527:L527)=3,ROUND(AVERAGE(J527:L527),6),"")</f>
        <v/>
      </c>
      <c r="O527">
        <f>IF(AND(ISNUMBER('자료_미국심리'!$A511),ISNUMBER('자료_미국심리'!$B511)),'자료_미국심리'!$A511,"")</f>
        <v/>
      </c>
      <c r="P527">
        <f>IF(AND(ISNUMBER('자료_미국심리'!$D511),ISNUMBER('자료_미국심리'!$E511)),'자료_미국심리'!$D511,"")</f>
        <v/>
      </c>
      <c r="Q527">
        <f>IF(AND(ISNUMBER('자료_미국심리'!$G511),ISNUMBER('자료_미국심리'!$H511)),'자료_미국심리'!$G511,"")</f>
        <v/>
      </c>
    </row>
    <row r="528">
      <c r="A528" s="10">
        <f>IF(510&gt;$E$5,"",SMALL($O$19:$O$4018,$E$6+510))</f>
        <v/>
      </c>
      <c r="B528" s="29">
        <f>IF(A528="","",INDEX('자료_미국심리'!$B$3:$B$4002,MATCH(A528,$O$19:$O$4018,0)))</f>
        <v/>
      </c>
      <c r="C528" s="22">
        <f>IF(A528="","",B528/AVERAGE(B404:B528)-1)</f>
        <v/>
      </c>
      <c r="D528" s="29">
        <f>IF(A528="","",IFERROR(INDEX('자료_미국심리'!$E$3:$E$4002,MATCH(A528,$P$19:$P$4018,0)),D527))</f>
        <v/>
      </c>
      <c r="E528" s="29">
        <f>IF(A528="","",IFERROR(INDEX('자료_미국심리'!$H$3:$H$4002,MATCH(A528,$Q$19:$Q$4018,0)),E527))</f>
        <v/>
      </c>
      <c r="F528">
        <f>IF(A528="",0,IF(A528&gt;$B$5,1,0))</f>
        <v/>
      </c>
      <c r="G528" s="29">
        <f>IF(AND(F528=1,ISNUMBER(D528)),D528,"")</f>
        <v/>
      </c>
      <c r="H528" s="29">
        <f>IF(AND(F528=1,ISNUMBER(E528)),E528,"")</f>
        <v/>
      </c>
      <c r="I528" s="22">
        <f>IF(AND(F528=1,ISNUMBER(C528)),C528,"")</f>
        <v/>
      </c>
      <c r="J528" s="11">
        <f>IF(G528="","",100-IF($G$13=1,50,(_xlfn.RANK.AVG(G528,$G$19:$G$1518,1)-1)/($G$13-1)*100))</f>
        <v/>
      </c>
      <c r="K528" s="11">
        <f>IF(H528="","",100-IF($G$14=1,50,(_xlfn.RANK.AVG(H528,$H$19:$H$1518,1)-1)/($G$14-1)*100))</f>
        <v/>
      </c>
      <c r="L528" s="11">
        <f>IF(I528="","",IF($G$15=1,50,(_xlfn.RANK.AVG(I528,$I$19:$I$1518,1)-1)/($G$15-1)*100))</f>
        <v/>
      </c>
      <c r="M528" s="11">
        <f>IF(COUNT(J528:L528)=3,ROUND(AVERAGE(J528:L528),6),"")</f>
        <v/>
      </c>
      <c r="O528">
        <f>IF(AND(ISNUMBER('자료_미국심리'!$A512),ISNUMBER('자료_미국심리'!$B512)),'자료_미국심리'!$A512,"")</f>
        <v/>
      </c>
      <c r="P528">
        <f>IF(AND(ISNUMBER('자료_미국심리'!$D512),ISNUMBER('자료_미국심리'!$E512)),'자료_미국심리'!$D512,"")</f>
        <v/>
      </c>
      <c r="Q528">
        <f>IF(AND(ISNUMBER('자료_미국심리'!$G512),ISNUMBER('자료_미국심리'!$H512)),'자료_미국심리'!$G512,"")</f>
        <v/>
      </c>
    </row>
    <row r="529">
      <c r="A529" s="10">
        <f>IF(511&gt;$E$5,"",SMALL($O$19:$O$4018,$E$6+511))</f>
        <v/>
      </c>
      <c r="B529" s="29">
        <f>IF(A529="","",INDEX('자료_미국심리'!$B$3:$B$4002,MATCH(A529,$O$19:$O$4018,0)))</f>
        <v/>
      </c>
      <c r="C529" s="22">
        <f>IF(A529="","",B529/AVERAGE(B405:B529)-1)</f>
        <v/>
      </c>
      <c r="D529" s="29">
        <f>IF(A529="","",IFERROR(INDEX('자료_미국심리'!$E$3:$E$4002,MATCH(A529,$P$19:$P$4018,0)),D528))</f>
        <v/>
      </c>
      <c r="E529" s="29">
        <f>IF(A529="","",IFERROR(INDEX('자료_미국심리'!$H$3:$H$4002,MATCH(A529,$Q$19:$Q$4018,0)),E528))</f>
        <v/>
      </c>
      <c r="F529">
        <f>IF(A529="",0,IF(A529&gt;$B$5,1,0))</f>
        <v/>
      </c>
      <c r="G529" s="29">
        <f>IF(AND(F529=1,ISNUMBER(D529)),D529,"")</f>
        <v/>
      </c>
      <c r="H529" s="29">
        <f>IF(AND(F529=1,ISNUMBER(E529)),E529,"")</f>
        <v/>
      </c>
      <c r="I529" s="22">
        <f>IF(AND(F529=1,ISNUMBER(C529)),C529,"")</f>
        <v/>
      </c>
      <c r="J529" s="11">
        <f>IF(G529="","",100-IF($G$13=1,50,(_xlfn.RANK.AVG(G529,$G$19:$G$1518,1)-1)/($G$13-1)*100))</f>
        <v/>
      </c>
      <c r="K529" s="11">
        <f>IF(H529="","",100-IF($G$14=1,50,(_xlfn.RANK.AVG(H529,$H$19:$H$1518,1)-1)/($G$14-1)*100))</f>
        <v/>
      </c>
      <c r="L529" s="11">
        <f>IF(I529="","",IF($G$15=1,50,(_xlfn.RANK.AVG(I529,$I$19:$I$1518,1)-1)/($G$15-1)*100))</f>
        <v/>
      </c>
      <c r="M529" s="11">
        <f>IF(COUNT(J529:L529)=3,ROUND(AVERAGE(J529:L529),6),"")</f>
        <v/>
      </c>
      <c r="O529">
        <f>IF(AND(ISNUMBER('자료_미국심리'!$A513),ISNUMBER('자료_미국심리'!$B513)),'자료_미국심리'!$A513,"")</f>
        <v/>
      </c>
      <c r="P529">
        <f>IF(AND(ISNUMBER('자료_미국심리'!$D513),ISNUMBER('자료_미국심리'!$E513)),'자료_미국심리'!$D513,"")</f>
        <v/>
      </c>
      <c r="Q529">
        <f>IF(AND(ISNUMBER('자료_미국심리'!$G513),ISNUMBER('자료_미국심리'!$H513)),'자료_미국심리'!$G513,"")</f>
        <v/>
      </c>
    </row>
    <row r="530">
      <c r="A530" s="10">
        <f>IF(512&gt;$E$5,"",SMALL($O$19:$O$4018,$E$6+512))</f>
        <v/>
      </c>
      <c r="B530" s="29">
        <f>IF(A530="","",INDEX('자료_미국심리'!$B$3:$B$4002,MATCH(A530,$O$19:$O$4018,0)))</f>
        <v/>
      </c>
      <c r="C530" s="22">
        <f>IF(A530="","",B530/AVERAGE(B406:B530)-1)</f>
        <v/>
      </c>
      <c r="D530" s="29">
        <f>IF(A530="","",IFERROR(INDEX('자료_미국심리'!$E$3:$E$4002,MATCH(A530,$P$19:$P$4018,0)),D529))</f>
        <v/>
      </c>
      <c r="E530" s="29">
        <f>IF(A530="","",IFERROR(INDEX('자료_미국심리'!$H$3:$H$4002,MATCH(A530,$Q$19:$Q$4018,0)),E529))</f>
        <v/>
      </c>
      <c r="F530">
        <f>IF(A530="",0,IF(A530&gt;$B$5,1,0))</f>
        <v/>
      </c>
      <c r="G530" s="29">
        <f>IF(AND(F530=1,ISNUMBER(D530)),D530,"")</f>
        <v/>
      </c>
      <c r="H530" s="29">
        <f>IF(AND(F530=1,ISNUMBER(E530)),E530,"")</f>
        <v/>
      </c>
      <c r="I530" s="22">
        <f>IF(AND(F530=1,ISNUMBER(C530)),C530,"")</f>
        <v/>
      </c>
      <c r="J530" s="11">
        <f>IF(G530="","",100-IF($G$13=1,50,(_xlfn.RANK.AVG(G530,$G$19:$G$1518,1)-1)/($G$13-1)*100))</f>
        <v/>
      </c>
      <c r="K530" s="11">
        <f>IF(H530="","",100-IF($G$14=1,50,(_xlfn.RANK.AVG(H530,$H$19:$H$1518,1)-1)/($G$14-1)*100))</f>
        <v/>
      </c>
      <c r="L530" s="11">
        <f>IF(I530="","",IF($G$15=1,50,(_xlfn.RANK.AVG(I530,$I$19:$I$1518,1)-1)/($G$15-1)*100))</f>
        <v/>
      </c>
      <c r="M530" s="11">
        <f>IF(COUNT(J530:L530)=3,ROUND(AVERAGE(J530:L530),6),"")</f>
        <v/>
      </c>
      <c r="O530">
        <f>IF(AND(ISNUMBER('자료_미국심리'!$A514),ISNUMBER('자료_미국심리'!$B514)),'자료_미국심리'!$A514,"")</f>
        <v/>
      </c>
      <c r="P530">
        <f>IF(AND(ISNUMBER('자료_미국심리'!$D514),ISNUMBER('자료_미국심리'!$E514)),'자료_미국심리'!$D514,"")</f>
        <v/>
      </c>
      <c r="Q530">
        <f>IF(AND(ISNUMBER('자료_미국심리'!$G514),ISNUMBER('자료_미국심리'!$H514)),'자료_미국심리'!$G514,"")</f>
        <v/>
      </c>
    </row>
    <row r="531">
      <c r="A531" s="10">
        <f>IF(513&gt;$E$5,"",SMALL($O$19:$O$4018,$E$6+513))</f>
        <v/>
      </c>
      <c r="B531" s="29">
        <f>IF(A531="","",INDEX('자료_미국심리'!$B$3:$B$4002,MATCH(A531,$O$19:$O$4018,0)))</f>
        <v/>
      </c>
      <c r="C531" s="22">
        <f>IF(A531="","",B531/AVERAGE(B407:B531)-1)</f>
        <v/>
      </c>
      <c r="D531" s="29">
        <f>IF(A531="","",IFERROR(INDEX('자료_미국심리'!$E$3:$E$4002,MATCH(A531,$P$19:$P$4018,0)),D530))</f>
        <v/>
      </c>
      <c r="E531" s="29">
        <f>IF(A531="","",IFERROR(INDEX('자료_미국심리'!$H$3:$H$4002,MATCH(A531,$Q$19:$Q$4018,0)),E530))</f>
        <v/>
      </c>
      <c r="F531">
        <f>IF(A531="",0,IF(A531&gt;$B$5,1,0))</f>
        <v/>
      </c>
      <c r="G531" s="29">
        <f>IF(AND(F531=1,ISNUMBER(D531)),D531,"")</f>
        <v/>
      </c>
      <c r="H531" s="29">
        <f>IF(AND(F531=1,ISNUMBER(E531)),E531,"")</f>
        <v/>
      </c>
      <c r="I531" s="22">
        <f>IF(AND(F531=1,ISNUMBER(C531)),C531,"")</f>
        <v/>
      </c>
      <c r="J531" s="11">
        <f>IF(G531="","",100-IF($G$13=1,50,(_xlfn.RANK.AVG(G531,$G$19:$G$1518,1)-1)/($G$13-1)*100))</f>
        <v/>
      </c>
      <c r="K531" s="11">
        <f>IF(H531="","",100-IF($G$14=1,50,(_xlfn.RANK.AVG(H531,$H$19:$H$1518,1)-1)/($G$14-1)*100))</f>
        <v/>
      </c>
      <c r="L531" s="11">
        <f>IF(I531="","",IF($G$15=1,50,(_xlfn.RANK.AVG(I531,$I$19:$I$1518,1)-1)/($G$15-1)*100))</f>
        <v/>
      </c>
      <c r="M531" s="11">
        <f>IF(COUNT(J531:L531)=3,ROUND(AVERAGE(J531:L531),6),"")</f>
        <v/>
      </c>
      <c r="O531">
        <f>IF(AND(ISNUMBER('자료_미국심리'!$A515),ISNUMBER('자료_미국심리'!$B515)),'자료_미국심리'!$A515,"")</f>
        <v/>
      </c>
      <c r="P531">
        <f>IF(AND(ISNUMBER('자료_미국심리'!$D515),ISNUMBER('자료_미국심리'!$E515)),'자료_미국심리'!$D515,"")</f>
        <v/>
      </c>
      <c r="Q531">
        <f>IF(AND(ISNUMBER('자료_미국심리'!$G515),ISNUMBER('자료_미국심리'!$H515)),'자료_미국심리'!$G515,"")</f>
        <v/>
      </c>
    </row>
    <row r="532">
      <c r="A532" s="10">
        <f>IF(514&gt;$E$5,"",SMALL($O$19:$O$4018,$E$6+514))</f>
        <v/>
      </c>
      <c r="B532" s="29">
        <f>IF(A532="","",INDEX('자료_미국심리'!$B$3:$B$4002,MATCH(A532,$O$19:$O$4018,0)))</f>
        <v/>
      </c>
      <c r="C532" s="22">
        <f>IF(A532="","",B532/AVERAGE(B408:B532)-1)</f>
        <v/>
      </c>
      <c r="D532" s="29">
        <f>IF(A532="","",IFERROR(INDEX('자료_미국심리'!$E$3:$E$4002,MATCH(A532,$P$19:$P$4018,0)),D531))</f>
        <v/>
      </c>
      <c r="E532" s="29">
        <f>IF(A532="","",IFERROR(INDEX('자료_미국심리'!$H$3:$H$4002,MATCH(A532,$Q$19:$Q$4018,0)),E531))</f>
        <v/>
      </c>
      <c r="F532">
        <f>IF(A532="",0,IF(A532&gt;$B$5,1,0))</f>
        <v/>
      </c>
      <c r="G532" s="29">
        <f>IF(AND(F532=1,ISNUMBER(D532)),D532,"")</f>
        <v/>
      </c>
      <c r="H532" s="29">
        <f>IF(AND(F532=1,ISNUMBER(E532)),E532,"")</f>
        <v/>
      </c>
      <c r="I532" s="22">
        <f>IF(AND(F532=1,ISNUMBER(C532)),C532,"")</f>
        <v/>
      </c>
      <c r="J532" s="11">
        <f>IF(G532="","",100-IF($G$13=1,50,(_xlfn.RANK.AVG(G532,$G$19:$G$1518,1)-1)/($G$13-1)*100))</f>
        <v/>
      </c>
      <c r="K532" s="11">
        <f>IF(H532="","",100-IF($G$14=1,50,(_xlfn.RANK.AVG(H532,$H$19:$H$1518,1)-1)/($G$14-1)*100))</f>
        <v/>
      </c>
      <c r="L532" s="11">
        <f>IF(I532="","",IF($G$15=1,50,(_xlfn.RANK.AVG(I532,$I$19:$I$1518,1)-1)/($G$15-1)*100))</f>
        <v/>
      </c>
      <c r="M532" s="11">
        <f>IF(COUNT(J532:L532)=3,ROUND(AVERAGE(J532:L532),6),"")</f>
        <v/>
      </c>
      <c r="O532">
        <f>IF(AND(ISNUMBER('자료_미국심리'!$A516),ISNUMBER('자료_미국심리'!$B516)),'자료_미국심리'!$A516,"")</f>
        <v/>
      </c>
      <c r="P532">
        <f>IF(AND(ISNUMBER('자료_미국심리'!$D516),ISNUMBER('자료_미국심리'!$E516)),'자료_미국심리'!$D516,"")</f>
        <v/>
      </c>
      <c r="Q532">
        <f>IF(AND(ISNUMBER('자료_미국심리'!$G516),ISNUMBER('자료_미국심리'!$H516)),'자료_미국심리'!$G516,"")</f>
        <v/>
      </c>
    </row>
    <row r="533">
      <c r="A533" s="10">
        <f>IF(515&gt;$E$5,"",SMALL($O$19:$O$4018,$E$6+515))</f>
        <v/>
      </c>
      <c r="B533" s="29">
        <f>IF(A533="","",INDEX('자료_미국심리'!$B$3:$B$4002,MATCH(A533,$O$19:$O$4018,0)))</f>
        <v/>
      </c>
      <c r="C533" s="22">
        <f>IF(A533="","",B533/AVERAGE(B409:B533)-1)</f>
        <v/>
      </c>
      <c r="D533" s="29">
        <f>IF(A533="","",IFERROR(INDEX('자료_미국심리'!$E$3:$E$4002,MATCH(A533,$P$19:$P$4018,0)),D532))</f>
        <v/>
      </c>
      <c r="E533" s="29">
        <f>IF(A533="","",IFERROR(INDEX('자료_미국심리'!$H$3:$H$4002,MATCH(A533,$Q$19:$Q$4018,0)),E532))</f>
        <v/>
      </c>
      <c r="F533">
        <f>IF(A533="",0,IF(A533&gt;$B$5,1,0))</f>
        <v/>
      </c>
      <c r="G533" s="29">
        <f>IF(AND(F533=1,ISNUMBER(D533)),D533,"")</f>
        <v/>
      </c>
      <c r="H533" s="29">
        <f>IF(AND(F533=1,ISNUMBER(E533)),E533,"")</f>
        <v/>
      </c>
      <c r="I533" s="22">
        <f>IF(AND(F533=1,ISNUMBER(C533)),C533,"")</f>
        <v/>
      </c>
      <c r="J533" s="11">
        <f>IF(G533="","",100-IF($G$13=1,50,(_xlfn.RANK.AVG(G533,$G$19:$G$1518,1)-1)/($G$13-1)*100))</f>
        <v/>
      </c>
      <c r="K533" s="11">
        <f>IF(H533="","",100-IF($G$14=1,50,(_xlfn.RANK.AVG(H533,$H$19:$H$1518,1)-1)/($G$14-1)*100))</f>
        <v/>
      </c>
      <c r="L533" s="11">
        <f>IF(I533="","",IF($G$15=1,50,(_xlfn.RANK.AVG(I533,$I$19:$I$1518,1)-1)/($G$15-1)*100))</f>
        <v/>
      </c>
      <c r="M533" s="11">
        <f>IF(COUNT(J533:L533)=3,ROUND(AVERAGE(J533:L533),6),"")</f>
        <v/>
      </c>
      <c r="O533">
        <f>IF(AND(ISNUMBER('자료_미국심리'!$A517),ISNUMBER('자료_미국심리'!$B517)),'자료_미국심리'!$A517,"")</f>
        <v/>
      </c>
      <c r="P533">
        <f>IF(AND(ISNUMBER('자료_미국심리'!$D517),ISNUMBER('자료_미국심리'!$E517)),'자료_미국심리'!$D517,"")</f>
        <v/>
      </c>
      <c r="Q533">
        <f>IF(AND(ISNUMBER('자료_미국심리'!$G517),ISNUMBER('자료_미국심리'!$H517)),'자료_미국심리'!$G517,"")</f>
        <v/>
      </c>
    </row>
    <row r="534">
      <c r="A534" s="10">
        <f>IF(516&gt;$E$5,"",SMALL($O$19:$O$4018,$E$6+516))</f>
        <v/>
      </c>
      <c r="B534" s="29">
        <f>IF(A534="","",INDEX('자료_미국심리'!$B$3:$B$4002,MATCH(A534,$O$19:$O$4018,0)))</f>
        <v/>
      </c>
      <c r="C534" s="22">
        <f>IF(A534="","",B534/AVERAGE(B410:B534)-1)</f>
        <v/>
      </c>
      <c r="D534" s="29">
        <f>IF(A534="","",IFERROR(INDEX('자료_미국심리'!$E$3:$E$4002,MATCH(A534,$P$19:$P$4018,0)),D533))</f>
        <v/>
      </c>
      <c r="E534" s="29">
        <f>IF(A534="","",IFERROR(INDEX('자료_미국심리'!$H$3:$H$4002,MATCH(A534,$Q$19:$Q$4018,0)),E533))</f>
        <v/>
      </c>
      <c r="F534">
        <f>IF(A534="",0,IF(A534&gt;$B$5,1,0))</f>
        <v/>
      </c>
      <c r="G534" s="29">
        <f>IF(AND(F534=1,ISNUMBER(D534)),D534,"")</f>
        <v/>
      </c>
      <c r="H534" s="29">
        <f>IF(AND(F534=1,ISNUMBER(E534)),E534,"")</f>
        <v/>
      </c>
      <c r="I534" s="22">
        <f>IF(AND(F534=1,ISNUMBER(C534)),C534,"")</f>
        <v/>
      </c>
      <c r="J534" s="11">
        <f>IF(G534="","",100-IF($G$13=1,50,(_xlfn.RANK.AVG(G534,$G$19:$G$1518,1)-1)/($G$13-1)*100))</f>
        <v/>
      </c>
      <c r="K534" s="11">
        <f>IF(H534="","",100-IF($G$14=1,50,(_xlfn.RANK.AVG(H534,$H$19:$H$1518,1)-1)/($G$14-1)*100))</f>
        <v/>
      </c>
      <c r="L534" s="11">
        <f>IF(I534="","",IF($G$15=1,50,(_xlfn.RANK.AVG(I534,$I$19:$I$1518,1)-1)/($G$15-1)*100))</f>
        <v/>
      </c>
      <c r="M534" s="11">
        <f>IF(COUNT(J534:L534)=3,ROUND(AVERAGE(J534:L534),6),"")</f>
        <v/>
      </c>
      <c r="O534">
        <f>IF(AND(ISNUMBER('자료_미국심리'!$A518),ISNUMBER('자료_미국심리'!$B518)),'자료_미국심리'!$A518,"")</f>
        <v/>
      </c>
      <c r="P534">
        <f>IF(AND(ISNUMBER('자료_미국심리'!$D518),ISNUMBER('자료_미국심리'!$E518)),'자료_미국심리'!$D518,"")</f>
        <v/>
      </c>
      <c r="Q534">
        <f>IF(AND(ISNUMBER('자료_미국심리'!$G518),ISNUMBER('자료_미국심리'!$H518)),'자료_미국심리'!$G518,"")</f>
        <v/>
      </c>
    </row>
    <row r="535">
      <c r="A535" s="10">
        <f>IF(517&gt;$E$5,"",SMALL($O$19:$O$4018,$E$6+517))</f>
        <v/>
      </c>
      <c r="B535" s="29">
        <f>IF(A535="","",INDEX('자료_미국심리'!$B$3:$B$4002,MATCH(A535,$O$19:$O$4018,0)))</f>
        <v/>
      </c>
      <c r="C535" s="22">
        <f>IF(A535="","",B535/AVERAGE(B411:B535)-1)</f>
        <v/>
      </c>
      <c r="D535" s="29">
        <f>IF(A535="","",IFERROR(INDEX('자료_미국심리'!$E$3:$E$4002,MATCH(A535,$P$19:$P$4018,0)),D534))</f>
        <v/>
      </c>
      <c r="E535" s="29">
        <f>IF(A535="","",IFERROR(INDEX('자료_미국심리'!$H$3:$H$4002,MATCH(A535,$Q$19:$Q$4018,0)),E534))</f>
        <v/>
      </c>
      <c r="F535">
        <f>IF(A535="",0,IF(A535&gt;$B$5,1,0))</f>
        <v/>
      </c>
      <c r="G535" s="29">
        <f>IF(AND(F535=1,ISNUMBER(D535)),D535,"")</f>
        <v/>
      </c>
      <c r="H535" s="29">
        <f>IF(AND(F535=1,ISNUMBER(E535)),E535,"")</f>
        <v/>
      </c>
      <c r="I535" s="22">
        <f>IF(AND(F535=1,ISNUMBER(C535)),C535,"")</f>
        <v/>
      </c>
      <c r="J535" s="11">
        <f>IF(G535="","",100-IF($G$13=1,50,(_xlfn.RANK.AVG(G535,$G$19:$G$1518,1)-1)/($G$13-1)*100))</f>
        <v/>
      </c>
      <c r="K535" s="11">
        <f>IF(H535="","",100-IF($G$14=1,50,(_xlfn.RANK.AVG(H535,$H$19:$H$1518,1)-1)/($G$14-1)*100))</f>
        <v/>
      </c>
      <c r="L535" s="11">
        <f>IF(I535="","",IF($G$15=1,50,(_xlfn.RANK.AVG(I535,$I$19:$I$1518,1)-1)/($G$15-1)*100))</f>
        <v/>
      </c>
      <c r="M535" s="11">
        <f>IF(COUNT(J535:L535)=3,ROUND(AVERAGE(J535:L535),6),"")</f>
        <v/>
      </c>
      <c r="O535">
        <f>IF(AND(ISNUMBER('자료_미국심리'!$A519),ISNUMBER('자료_미국심리'!$B519)),'자료_미국심리'!$A519,"")</f>
        <v/>
      </c>
      <c r="P535">
        <f>IF(AND(ISNUMBER('자료_미국심리'!$D519),ISNUMBER('자료_미국심리'!$E519)),'자료_미국심리'!$D519,"")</f>
        <v/>
      </c>
      <c r="Q535">
        <f>IF(AND(ISNUMBER('자료_미국심리'!$G519),ISNUMBER('자료_미국심리'!$H519)),'자료_미국심리'!$G519,"")</f>
        <v/>
      </c>
    </row>
    <row r="536">
      <c r="A536" s="10">
        <f>IF(518&gt;$E$5,"",SMALL($O$19:$O$4018,$E$6+518))</f>
        <v/>
      </c>
      <c r="B536" s="29">
        <f>IF(A536="","",INDEX('자료_미국심리'!$B$3:$B$4002,MATCH(A536,$O$19:$O$4018,0)))</f>
        <v/>
      </c>
      <c r="C536" s="22">
        <f>IF(A536="","",B536/AVERAGE(B412:B536)-1)</f>
        <v/>
      </c>
      <c r="D536" s="29">
        <f>IF(A536="","",IFERROR(INDEX('자료_미국심리'!$E$3:$E$4002,MATCH(A536,$P$19:$P$4018,0)),D535))</f>
        <v/>
      </c>
      <c r="E536" s="29">
        <f>IF(A536="","",IFERROR(INDEX('자료_미국심리'!$H$3:$H$4002,MATCH(A536,$Q$19:$Q$4018,0)),E535))</f>
        <v/>
      </c>
      <c r="F536">
        <f>IF(A536="",0,IF(A536&gt;$B$5,1,0))</f>
        <v/>
      </c>
      <c r="G536" s="29">
        <f>IF(AND(F536=1,ISNUMBER(D536)),D536,"")</f>
        <v/>
      </c>
      <c r="H536" s="29">
        <f>IF(AND(F536=1,ISNUMBER(E536)),E536,"")</f>
        <v/>
      </c>
      <c r="I536" s="22">
        <f>IF(AND(F536=1,ISNUMBER(C536)),C536,"")</f>
        <v/>
      </c>
      <c r="J536" s="11">
        <f>IF(G536="","",100-IF($G$13=1,50,(_xlfn.RANK.AVG(G536,$G$19:$G$1518,1)-1)/($G$13-1)*100))</f>
        <v/>
      </c>
      <c r="K536" s="11">
        <f>IF(H536="","",100-IF($G$14=1,50,(_xlfn.RANK.AVG(H536,$H$19:$H$1518,1)-1)/($G$14-1)*100))</f>
        <v/>
      </c>
      <c r="L536" s="11">
        <f>IF(I536="","",IF($G$15=1,50,(_xlfn.RANK.AVG(I536,$I$19:$I$1518,1)-1)/($G$15-1)*100))</f>
        <v/>
      </c>
      <c r="M536" s="11">
        <f>IF(COUNT(J536:L536)=3,ROUND(AVERAGE(J536:L536),6),"")</f>
        <v/>
      </c>
      <c r="O536">
        <f>IF(AND(ISNUMBER('자료_미국심리'!$A520),ISNUMBER('자료_미국심리'!$B520)),'자료_미국심리'!$A520,"")</f>
        <v/>
      </c>
      <c r="P536">
        <f>IF(AND(ISNUMBER('자료_미국심리'!$D520),ISNUMBER('자료_미국심리'!$E520)),'자료_미국심리'!$D520,"")</f>
        <v/>
      </c>
      <c r="Q536">
        <f>IF(AND(ISNUMBER('자료_미국심리'!$G520),ISNUMBER('자료_미국심리'!$H520)),'자료_미국심리'!$G520,"")</f>
        <v/>
      </c>
    </row>
    <row r="537">
      <c r="A537" s="10">
        <f>IF(519&gt;$E$5,"",SMALL($O$19:$O$4018,$E$6+519))</f>
        <v/>
      </c>
      <c r="B537" s="29">
        <f>IF(A537="","",INDEX('자료_미국심리'!$B$3:$B$4002,MATCH(A537,$O$19:$O$4018,0)))</f>
        <v/>
      </c>
      <c r="C537" s="22">
        <f>IF(A537="","",B537/AVERAGE(B413:B537)-1)</f>
        <v/>
      </c>
      <c r="D537" s="29">
        <f>IF(A537="","",IFERROR(INDEX('자료_미국심리'!$E$3:$E$4002,MATCH(A537,$P$19:$P$4018,0)),D536))</f>
        <v/>
      </c>
      <c r="E537" s="29">
        <f>IF(A537="","",IFERROR(INDEX('자료_미국심리'!$H$3:$H$4002,MATCH(A537,$Q$19:$Q$4018,0)),E536))</f>
        <v/>
      </c>
      <c r="F537">
        <f>IF(A537="",0,IF(A537&gt;$B$5,1,0))</f>
        <v/>
      </c>
      <c r="G537" s="29">
        <f>IF(AND(F537=1,ISNUMBER(D537)),D537,"")</f>
        <v/>
      </c>
      <c r="H537" s="29">
        <f>IF(AND(F537=1,ISNUMBER(E537)),E537,"")</f>
        <v/>
      </c>
      <c r="I537" s="22">
        <f>IF(AND(F537=1,ISNUMBER(C537)),C537,"")</f>
        <v/>
      </c>
      <c r="J537" s="11">
        <f>IF(G537="","",100-IF($G$13=1,50,(_xlfn.RANK.AVG(G537,$G$19:$G$1518,1)-1)/($G$13-1)*100))</f>
        <v/>
      </c>
      <c r="K537" s="11">
        <f>IF(H537="","",100-IF($G$14=1,50,(_xlfn.RANK.AVG(H537,$H$19:$H$1518,1)-1)/($G$14-1)*100))</f>
        <v/>
      </c>
      <c r="L537" s="11">
        <f>IF(I537="","",IF($G$15=1,50,(_xlfn.RANK.AVG(I537,$I$19:$I$1518,1)-1)/($G$15-1)*100))</f>
        <v/>
      </c>
      <c r="M537" s="11">
        <f>IF(COUNT(J537:L537)=3,ROUND(AVERAGE(J537:L537),6),"")</f>
        <v/>
      </c>
      <c r="O537">
        <f>IF(AND(ISNUMBER('자료_미국심리'!$A521),ISNUMBER('자료_미국심리'!$B521)),'자료_미국심리'!$A521,"")</f>
        <v/>
      </c>
      <c r="P537">
        <f>IF(AND(ISNUMBER('자료_미국심리'!$D521),ISNUMBER('자료_미국심리'!$E521)),'자료_미국심리'!$D521,"")</f>
        <v/>
      </c>
      <c r="Q537">
        <f>IF(AND(ISNUMBER('자료_미국심리'!$G521),ISNUMBER('자료_미국심리'!$H521)),'자료_미국심리'!$G521,"")</f>
        <v/>
      </c>
    </row>
    <row r="538">
      <c r="A538" s="10">
        <f>IF(520&gt;$E$5,"",SMALL($O$19:$O$4018,$E$6+520))</f>
        <v/>
      </c>
      <c r="B538" s="29">
        <f>IF(A538="","",INDEX('자료_미국심리'!$B$3:$B$4002,MATCH(A538,$O$19:$O$4018,0)))</f>
        <v/>
      </c>
      <c r="C538" s="22">
        <f>IF(A538="","",B538/AVERAGE(B414:B538)-1)</f>
        <v/>
      </c>
      <c r="D538" s="29">
        <f>IF(A538="","",IFERROR(INDEX('자료_미국심리'!$E$3:$E$4002,MATCH(A538,$P$19:$P$4018,0)),D537))</f>
        <v/>
      </c>
      <c r="E538" s="29">
        <f>IF(A538="","",IFERROR(INDEX('자료_미국심리'!$H$3:$H$4002,MATCH(A538,$Q$19:$Q$4018,0)),E537))</f>
        <v/>
      </c>
      <c r="F538">
        <f>IF(A538="",0,IF(A538&gt;$B$5,1,0))</f>
        <v/>
      </c>
      <c r="G538" s="29">
        <f>IF(AND(F538=1,ISNUMBER(D538)),D538,"")</f>
        <v/>
      </c>
      <c r="H538" s="29">
        <f>IF(AND(F538=1,ISNUMBER(E538)),E538,"")</f>
        <v/>
      </c>
      <c r="I538" s="22">
        <f>IF(AND(F538=1,ISNUMBER(C538)),C538,"")</f>
        <v/>
      </c>
      <c r="J538" s="11">
        <f>IF(G538="","",100-IF($G$13=1,50,(_xlfn.RANK.AVG(G538,$G$19:$G$1518,1)-1)/($G$13-1)*100))</f>
        <v/>
      </c>
      <c r="K538" s="11">
        <f>IF(H538="","",100-IF($G$14=1,50,(_xlfn.RANK.AVG(H538,$H$19:$H$1518,1)-1)/($G$14-1)*100))</f>
        <v/>
      </c>
      <c r="L538" s="11">
        <f>IF(I538="","",IF($G$15=1,50,(_xlfn.RANK.AVG(I538,$I$19:$I$1518,1)-1)/($G$15-1)*100))</f>
        <v/>
      </c>
      <c r="M538" s="11">
        <f>IF(COUNT(J538:L538)=3,ROUND(AVERAGE(J538:L538),6),"")</f>
        <v/>
      </c>
      <c r="O538">
        <f>IF(AND(ISNUMBER('자료_미국심리'!$A522),ISNUMBER('자료_미국심리'!$B522)),'자료_미국심리'!$A522,"")</f>
        <v/>
      </c>
      <c r="P538">
        <f>IF(AND(ISNUMBER('자료_미국심리'!$D522),ISNUMBER('자료_미국심리'!$E522)),'자료_미국심리'!$D522,"")</f>
        <v/>
      </c>
      <c r="Q538">
        <f>IF(AND(ISNUMBER('자료_미국심리'!$G522),ISNUMBER('자료_미국심리'!$H522)),'자료_미국심리'!$G522,"")</f>
        <v/>
      </c>
    </row>
    <row r="539">
      <c r="A539" s="10">
        <f>IF(521&gt;$E$5,"",SMALL($O$19:$O$4018,$E$6+521))</f>
        <v/>
      </c>
      <c r="B539" s="29">
        <f>IF(A539="","",INDEX('자료_미국심리'!$B$3:$B$4002,MATCH(A539,$O$19:$O$4018,0)))</f>
        <v/>
      </c>
      <c r="C539" s="22">
        <f>IF(A539="","",B539/AVERAGE(B415:B539)-1)</f>
        <v/>
      </c>
      <c r="D539" s="29">
        <f>IF(A539="","",IFERROR(INDEX('자료_미국심리'!$E$3:$E$4002,MATCH(A539,$P$19:$P$4018,0)),D538))</f>
        <v/>
      </c>
      <c r="E539" s="29">
        <f>IF(A539="","",IFERROR(INDEX('자료_미국심리'!$H$3:$H$4002,MATCH(A539,$Q$19:$Q$4018,0)),E538))</f>
        <v/>
      </c>
      <c r="F539">
        <f>IF(A539="",0,IF(A539&gt;$B$5,1,0))</f>
        <v/>
      </c>
      <c r="G539" s="29">
        <f>IF(AND(F539=1,ISNUMBER(D539)),D539,"")</f>
        <v/>
      </c>
      <c r="H539" s="29">
        <f>IF(AND(F539=1,ISNUMBER(E539)),E539,"")</f>
        <v/>
      </c>
      <c r="I539" s="22">
        <f>IF(AND(F539=1,ISNUMBER(C539)),C539,"")</f>
        <v/>
      </c>
      <c r="J539" s="11">
        <f>IF(G539="","",100-IF($G$13=1,50,(_xlfn.RANK.AVG(G539,$G$19:$G$1518,1)-1)/($G$13-1)*100))</f>
        <v/>
      </c>
      <c r="K539" s="11">
        <f>IF(H539="","",100-IF($G$14=1,50,(_xlfn.RANK.AVG(H539,$H$19:$H$1518,1)-1)/($G$14-1)*100))</f>
        <v/>
      </c>
      <c r="L539" s="11">
        <f>IF(I539="","",IF($G$15=1,50,(_xlfn.RANK.AVG(I539,$I$19:$I$1518,1)-1)/($G$15-1)*100))</f>
        <v/>
      </c>
      <c r="M539" s="11">
        <f>IF(COUNT(J539:L539)=3,ROUND(AVERAGE(J539:L539),6),"")</f>
        <v/>
      </c>
      <c r="O539">
        <f>IF(AND(ISNUMBER('자료_미국심리'!$A523),ISNUMBER('자료_미국심리'!$B523)),'자료_미국심리'!$A523,"")</f>
        <v/>
      </c>
      <c r="P539">
        <f>IF(AND(ISNUMBER('자료_미국심리'!$D523),ISNUMBER('자료_미국심리'!$E523)),'자료_미국심리'!$D523,"")</f>
        <v/>
      </c>
      <c r="Q539">
        <f>IF(AND(ISNUMBER('자료_미국심리'!$G523),ISNUMBER('자료_미국심리'!$H523)),'자료_미국심리'!$G523,"")</f>
        <v/>
      </c>
    </row>
    <row r="540">
      <c r="A540" s="10">
        <f>IF(522&gt;$E$5,"",SMALL($O$19:$O$4018,$E$6+522))</f>
        <v/>
      </c>
      <c r="B540" s="29">
        <f>IF(A540="","",INDEX('자료_미국심리'!$B$3:$B$4002,MATCH(A540,$O$19:$O$4018,0)))</f>
        <v/>
      </c>
      <c r="C540" s="22">
        <f>IF(A540="","",B540/AVERAGE(B416:B540)-1)</f>
        <v/>
      </c>
      <c r="D540" s="29">
        <f>IF(A540="","",IFERROR(INDEX('자료_미국심리'!$E$3:$E$4002,MATCH(A540,$P$19:$P$4018,0)),D539))</f>
        <v/>
      </c>
      <c r="E540" s="29">
        <f>IF(A540="","",IFERROR(INDEX('자료_미국심리'!$H$3:$H$4002,MATCH(A540,$Q$19:$Q$4018,0)),E539))</f>
        <v/>
      </c>
      <c r="F540">
        <f>IF(A540="",0,IF(A540&gt;$B$5,1,0))</f>
        <v/>
      </c>
      <c r="G540" s="29">
        <f>IF(AND(F540=1,ISNUMBER(D540)),D540,"")</f>
        <v/>
      </c>
      <c r="H540" s="29">
        <f>IF(AND(F540=1,ISNUMBER(E540)),E540,"")</f>
        <v/>
      </c>
      <c r="I540" s="22">
        <f>IF(AND(F540=1,ISNUMBER(C540)),C540,"")</f>
        <v/>
      </c>
      <c r="J540" s="11">
        <f>IF(G540="","",100-IF($G$13=1,50,(_xlfn.RANK.AVG(G540,$G$19:$G$1518,1)-1)/($G$13-1)*100))</f>
        <v/>
      </c>
      <c r="K540" s="11">
        <f>IF(H540="","",100-IF($G$14=1,50,(_xlfn.RANK.AVG(H540,$H$19:$H$1518,1)-1)/($G$14-1)*100))</f>
        <v/>
      </c>
      <c r="L540" s="11">
        <f>IF(I540="","",IF($G$15=1,50,(_xlfn.RANK.AVG(I540,$I$19:$I$1518,1)-1)/($G$15-1)*100))</f>
        <v/>
      </c>
      <c r="M540" s="11">
        <f>IF(COUNT(J540:L540)=3,ROUND(AVERAGE(J540:L540),6),"")</f>
        <v/>
      </c>
      <c r="O540">
        <f>IF(AND(ISNUMBER('자료_미국심리'!$A524),ISNUMBER('자료_미국심리'!$B524)),'자료_미국심리'!$A524,"")</f>
        <v/>
      </c>
      <c r="P540">
        <f>IF(AND(ISNUMBER('자료_미국심리'!$D524),ISNUMBER('자료_미국심리'!$E524)),'자료_미국심리'!$D524,"")</f>
        <v/>
      </c>
      <c r="Q540">
        <f>IF(AND(ISNUMBER('자료_미국심리'!$G524),ISNUMBER('자료_미국심리'!$H524)),'자료_미국심리'!$G524,"")</f>
        <v/>
      </c>
    </row>
    <row r="541">
      <c r="A541" s="10">
        <f>IF(523&gt;$E$5,"",SMALL($O$19:$O$4018,$E$6+523))</f>
        <v/>
      </c>
      <c r="B541" s="29">
        <f>IF(A541="","",INDEX('자료_미국심리'!$B$3:$B$4002,MATCH(A541,$O$19:$O$4018,0)))</f>
        <v/>
      </c>
      <c r="C541" s="22">
        <f>IF(A541="","",B541/AVERAGE(B417:B541)-1)</f>
        <v/>
      </c>
      <c r="D541" s="29">
        <f>IF(A541="","",IFERROR(INDEX('자료_미국심리'!$E$3:$E$4002,MATCH(A541,$P$19:$P$4018,0)),D540))</f>
        <v/>
      </c>
      <c r="E541" s="29">
        <f>IF(A541="","",IFERROR(INDEX('자료_미국심리'!$H$3:$H$4002,MATCH(A541,$Q$19:$Q$4018,0)),E540))</f>
        <v/>
      </c>
      <c r="F541">
        <f>IF(A541="",0,IF(A541&gt;$B$5,1,0))</f>
        <v/>
      </c>
      <c r="G541" s="29">
        <f>IF(AND(F541=1,ISNUMBER(D541)),D541,"")</f>
        <v/>
      </c>
      <c r="H541" s="29">
        <f>IF(AND(F541=1,ISNUMBER(E541)),E541,"")</f>
        <v/>
      </c>
      <c r="I541" s="22">
        <f>IF(AND(F541=1,ISNUMBER(C541)),C541,"")</f>
        <v/>
      </c>
      <c r="J541" s="11">
        <f>IF(G541="","",100-IF($G$13=1,50,(_xlfn.RANK.AVG(G541,$G$19:$G$1518,1)-1)/($G$13-1)*100))</f>
        <v/>
      </c>
      <c r="K541" s="11">
        <f>IF(H541="","",100-IF($G$14=1,50,(_xlfn.RANK.AVG(H541,$H$19:$H$1518,1)-1)/($G$14-1)*100))</f>
        <v/>
      </c>
      <c r="L541" s="11">
        <f>IF(I541="","",IF($G$15=1,50,(_xlfn.RANK.AVG(I541,$I$19:$I$1518,1)-1)/($G$15-1)*100))</f>
        <v/>
      </c>
      <c r="M541" s="11">
        <f>IF(COUNT(J541:L541)=3,ROUND(AVERAGE(J541:L541),6),"")</f>
        <v/>
      </c>
      <c r="O541">
        <f>IF(AND(ISNUMBER('자료_미국심리'!$A525),ISNUMBER('자료_미국심리'!$B525)),'자료_미국심리'!$A525,"")</f>
        <v/>
      </c>
      <c r="P541">
        <f>IF(AND(ISNUMBER('자료_미국심리'!$D525),ISNUMBER('자료_미국심리'!$E525)),'자료_미국심리'!$D525,"")</f>
        <v/>
      </c>
      <c r="Q541">
        <f>IF(AND(ISNUMBER('자료_미국심리'!$G525),ISNUMBER('자료_미국심리'!$H525)),'자료_미국심리'!$G525,"")</f>
        <v/>
      </c>
    </row>
    <row r="542">
      <c r="A542" s="10">
        <f>IF(524&gt;$E$5,"",SMALL($O$19:$O$4018,$E$6+524))</f>
        <v/>
      </c>
      <c r="B542" s="29">
        <f>IF(A542="","",INDEX('자료_미국심리'!$B$3:$B$4002,MATCH(A542,$O$19:$O$4018,0)))</f>
        <v/>
      </c>
      <c r="C542" s="22">
        <f>IF(A542="","",B542/AVERAGE(B418:B542)-1)</f>
        <v/>
      </c>
      <c r="D542" s="29">
        <f>IF(A542="","",IFERROR(INDEX('자료_미국심리'!$E$3:$E$4002,MATCH(A542,$P$19:$P$4018,0)),D541))</f>
        <v/>
      </c>
      <c r="E542" s="29">
        <f>IF(A542="","",IFERROR(INDEX('자료_미국심리'!$H$3:$H$4002,MATCH(A542,$Q$19:$Q$4018,0)),E541))</f>
        <v/>
      </c>
      <c r="F542">
        <f>IF(A542="",0,IF(A542&gt;$B$5,1,0))</f>
        <v/>
      </c>
      <c r="G542" s="29">
        <f>IF(AND(F542=1,ISNUMBER(D542)),D542,"")</f>
        <v/>
      </c>
      <c r="H542" s="29">
        <f>IF(AND(F542=1,ISNUMBER(E542)),E542,"")</f>
        <v/>
      </c>
      <c r="I542" s="22">
        <f>IF(AND(F542=1,ISNUMBER(C542)),C542,"")</f>
        <v/>
      </c>
      <c r="J542" s="11">
        <f>IF(G542="","",100-IF($G$13=1,50,(_xlfn.RANK.AVG(G542,$G$19:$G$1518,1)-1)/($G$13-1)*100))</f>
        <v/>
      </c>
      <c r="K542" s="11">
        <f>IF(H542="","",100-IF($G$14=1,50,(_xlfn.RANK.AVG(H542,$H$19:$H$1518,1)-1)/($G$14-1)*100))</f>
        <v/>
      </c>
      <c r="L542" s="11">
        <f>IF(I542="","",IF($G$15=1,50,(_xlfn.RANK.AVG(I542,$I$19:$I$1518,1)-1)/($G$15-1)*100))</f>
        <v/>
      </c>
      <c r="M542" s="11">
        <f>IF(COUNT(J542:L542)=3,ROUND(AVERAGE(J542:L542),6),"")</f>
        <v/>
      </c>
      <c r="O542">
        <f>IF(AND(ISNUMBER('자료_미국심리'!$A526),ISNUMBER('자료_미국심리'!$B526)),'자료_미국심리'!$A526,"")</f>
        <v/>
      </c>
      <c r="P542">
        <f>IF(AND(ISNUMBER('자료_미국심리'!$D526),ISNUMBER('자료_미국심리'!$E526)),'자료_미국심리'!$D526,"")</f>
        <v/>
      </c>
      <c r="Q542">
        <f>IF(AND(ISNUMBER('자료_미국심리'!$G526),ISNUMBER('자료_미국심리'!$H526)),'자료_미국심리'!$G526,"")</f>
        <v/>
      </c>
    </row>
    <row r="543">
      <c r="A543" s="10">
        <f>IF(525&gt;$E$5,"",SMALL($O$19:$O$4018,$E$6+525))</f>
        <v/>
      </c>
      <c r="B543" s="29">
        <f>IF(A543="","",INDEX('자료_미국심리'!$B$3:$B$4002,MATCH(A543,$O$19:$O$4018,0)))</f>
        <v/>
      </c>
      <c r="C543" s="22">
        <f>IF(A543="","",B543/AVERAGE(B419:B543)-1)</f>
        <v/>
      </c>
      <c r="D543" s="29">
        <f>IF(A543="","",IFERROR(INDEX('자료_미국심리'!$E$3:$E$4002,MATCH(A543,$P$19:$P$4018,0)),D542))</f>
        <v/>
      </c>
      <c r="E543" s="29">
        <f>IF(A543="","",IFERROR(INDEX('자료_미국심리'!$H$3:$H$4002,MATCH(A543,$Q$19:$Q$4018,0)),E542))</f>
        <v/>
      </c>
      <c r="F543">
        <f>IF(A543="",0,IF(A543&gt;$B$5,1,0))</f>
        <v/>
      </c>
      <c r="G543" s="29">
        <f>IF(AND(F543=1,ISNUMBER(D543)),D543,"")</f>
        <v/>
      </c>
      <c r="H543" s="29">
        <f>IF(AND(F543=1,ISNUMBER(E543)),E543,"")</f>
        <v/>
      </c>
      <c r="I543" s="22">
        <f>IF(AND(F543=1,ISNUMBER(C543)),C543,"")</f>
        <v/>
      </c>
      <c r="J543" s="11">
        <f>IF(G543="","",100-IF($G$13=1,50,(_xlfn.RANK.AVG(G543,$G$19:$G$1518,1)-1)/($G$13-1)*100))</f>
        <v/>
      </c>
      <c r="K543" s="11">
        <f>IF(H543="","",100-IF($G$14=1,50,(_xlfn.RANK.AVG(H543,$H$19:$H$1518,1)-1)/($G$14-1)*100))</f>
        <v/>
      </c>
      <c r="L543" s="11">
        <f>IF(I543="","",IF($G$15=1,50,(_xlfn.RANK.AVG(I543,$I$19:$I$1518,1)-1)/($G$15-1)*100))</f>
        <v/>
      </c>
      <c r="M543" s="11">
        <f>IF(COUNT(J543:L543)=3,ROUND(AVERAGE(J543:L543),6),"")</f>
        <v/>
      </c>
      <c r="O543">
        <f>IF(AND(ISNUMBER('자료_미국심리'!$A527),ISNUMBER('자료_미국심리'!$B527)),'자료_미국심리'!$A527,"")</f>
        <v/>
      </c>
      <c r="P543">
        <f>IF(AND(ISNUMBER('자료_미국심리'!$D527),ISNUMBER('자료_미국심리'!$E527)),'자료_미국심리'!$D527,"")</f>
        <v/>
      </c>
      <c r="Q543">
        <f>IF(AND(ISNUMBER('자료_미국심리'!$G527),ISNUMBER('자료_미국심리'!$H527)),'자료_미국심리'!$G527,"")</f>
        <v/>
      </c>
    </row>
    <row r="544">
      <c r="A544" s="10">
        <f>IF(526&gt;$E$5,"",SMALL($O$19:$O$4018,$E$6+526))</f>
        <v/>
      </c>
      <c r="B544" s="29">
        <f>IF(A544="","",INDEX('자료_미국심리'!$B$3:$B$4002,MATCH(A544,$O$19:$O$4018,0)))</f>
        <v/>
      </c>
      <c r="C544" s="22">
        <f>IF(A544="","",B544/AVERAGE(B420:B544)-1)</f>
        <v/>
      </c>
      <c r="D544" s="29">
        <f>IF(A544="","",IFERROR(INDEX('자료_미국심리'!$E$3:$E$4002,MATCH(A544,$P$19:$P$4018,0)),D543))</f>
        <v/>
      </c>
      <c r="E544" s="29">
        <f>IF(A544="","",IFERROR(INDEX('자료_미국심리'!$H$3:$H$4002,MATCH(A544,$Q$19:$Q$4018,0)),E543))</f>
        <v/>
      </c>
      <c r="F544">
        <f>IF(A544="",0,IF(A544&gt;$B$5,1,0))</f>
        <v/>
      </c>
      <c r="G544" s="29">
        <f>IF(AND(F544=1,ISNUMBER(D544)),D544,"")</f>
        <v/>
      </c>
      <c r="H544" s="29">
        <f>IF(AND(F544=1,ISNUMBER(E544)),E544,"")</f>
        <v/>
      </c>
      <c r="I544" s="22">
        <f>IF(AND(F544=1,ISNUMBER(C544)),C544,"")</f>
        <v/>
      </c>
      <c r="J544" s="11">
        <f>IF(G544="","",100-IF($G$13=1,50,(_xlfn.RANK.AVG(G544,$G$19:$G$1518,1)-1)/($G$13-1)*100))</f>
        <v/>
      </c>
      <c r="K544" s="11">
        <f>IF(H544="","",100-IF($G$14=1,50,(_xlfn.RANK.AVG(H544,$H$19:$H$1518,1)-1)/($G$14-1)*100))</f>
        <v/>
      </c>
      <c r="L544" s="11">
        <f>IF(I544="","",IF($G$15=1,50,(_xlfn.RANK.AVG(I544,$I$19:$I$1518,1)-1)/($G$15-1)*100))</f>
        <v/>
      </c>
      <c r="M544" s="11">
        <f>IF(COUNT(J544:L544)=3,ROUND(AVERAGE(J544:L544),6),"")</f>
        <v/>
      </c>
      <c r="O544">
        <f>IF(AND(ISNUMBER('자료_미국심리'!$A528),ISNUMBER('자료_미국심리'!$B528)),'자료_미국심리'!$A528,"")</f>
        <v/>
      </c>
      <c r="P544">
        <f>IF(AND(ISNUMBER('자료_미국심리'!$D528),ISNUMBER('자료_미국심리'!$E528)),'자료_미국심리'!$D528,"")</f>
        <v/>
      </c>
      <c r="Q544">
        <f>IF(AND(ISNUMBER('자료_미국심리'!$G528),ISNUMBER('자료_미국심리'!$H528)),'자료_미국심리'!$G528,"")</f>
        <v/>
      </c>
    </row>
    <row r="545">
      <c r="A545" s="10">
        <f>IF(527&gt;$E$5,"",SMALL($O$19:$O$4018,$E$6+527))</f>
        <v/>
      </c>
      <c r="B545" s="29">
        <f>IF(A545="","",INDEX('자료_미국심리'!$B$3:$B$4002,MATCH(A545,$O$19:$O$4018,0)))</f>
        <v/>
      </c>
      <c r="C545" s="22">
        <f>IF(A545="","",B545/AVERAGE(B421:B545)-1)</f>
        <v/>
      </c>
      <c r="D545" s="29">
        <f>IF(A545="","",IFERROR(INDEX('자료_미국심리'!$E$3:$E$4002,MATCH(A545,$P$19:$P$4018,0)),D544))</f>
        <v/>
      </c>
      <c r="E545" s="29">
        <f>IF(A545="","",IFERROR(INDEX('자료_미국심리'!$H$3:$H$4002,MATCH(A545,$Q$19:$Q$4018,0)),E544))</f>
        <v/>
      </c>
      <c r="F545">
        <f>IF(A545="",0,IF(A545&gt;$B$5,1,0))</f>
        <v/>
      </c>
      <c r="G545" s="29">
        <f>IF(AND(F545=1,ISNUMBER(D545)),D545,"")</f>
        <v/>
      </c>
      <c r="H545" s="29">
        <f>IF(AND(F545=1,ISNUMBER(E545)),E545,"")</f>
        <v/>
      </c>
      <c r="I545" s="22">
        <f>IF(AND(F545=1,ISNUMBER(C545)),C545,"")</f>
        <v/>
      </c>
      <c r="J545" s="11">
        <f>IF(G545="","",100-IF($G$13=1,50,(_xlfn.RANK.AVG(G545,$G$19:$G$1518,1)-1)/($G$13-1)*100))</f>
        <v/>
      </c>
      <c r="K545" s="11">
        <f>IF(H545="","",100-IF($G$14=1,50,(_xlfn.RANK.AVG(H545,$H$19:$H$1518,1)-1)/($G$14-1)*100))</f>
        <v/>
      </c>
      <c r="L545" s="11">
        <f>IF(I545="","",IF($G$15=1,50,(_xlfn.RANK.AVG(I545,$I$19:$I$1518,1)-1)/($G$15-1)*100))</f>
        <v/>
      </c>
      <c r="M545" s="11">
        <f>IF(COUNT(J545:L545)=3,ROUND(AVERAGE(J545:L545),6),"")</f>
        <v/>
      </c>
      <c r="O545">
        <f>IF(AND(ISNUMBER('자료_미국심리'!$A529),ISNUMBER('자료_미국심리'!$B529)),'자료_미국심리'!$A529,"")</f>
        <v/>
      </c>
      <c r="P545">
        <f>IF(AND(ISNUMBER('자료_미국심리'!$D529),ISNUMBER('자료_미국심리'!$E529)),'자료_미국심리'!$D529,"")</f>
        <v/>
      </c>
      <c r="Q545">
        <f>IF(AND(ISNUMBER('자료_미국심리'!$G529),ISNUMBER('자료_미국심리'!$H529)),'자료_미국심리'!$G529,"")</f>
        <v/>
      </c>
    </row>
    <row r="546">
      <c r="A546" s="10">
        <f>IF(528&gt;$E$5,"",SMALL($O$19:$O$4018,$E$6+528))</f>
        <v/>
      </c>
      <c r="B546" s="29">
        <f>IF(A546="","",INDEX('자료_미국심리'!$B$3:$B$4002,MATCH(A546,$O$19:$O$4018,0)))</f>
        <v/>
      </c>
      <c r="C546" s="22">
        <f>IF(A546="","",B546/AVERAGE(B422:B546)-1)</f>
        <v/>
      </c>
      <c r="D546" s="29">
        <f>IF(A546="","",IFERROR(INDEX('자료_미국심리'!$E$3:$E$4002,MATCH(A546,$P$19:$P$4018,0)),D545))</f>
        <v/>
      </c>
      <c r="E546" s="29">
        <f>IF(A546="","",IFERROR(INDEX('자료_미국심리'!$H$3:$H$4002,MATCH(A546,$Q$19:$Q$4018,0)),E545))</f>
        <v/>
      </c>
      <c r="F546">
        <f>IF(A546="",0,IF(A546&gt;$B$5,1,0))</f>
        <v/>
      </c>
      <c r="G546" s="29">
        <f>IF(AND(F546=1,ISNUMBER(D546)),D546,"")</f>
        <v/>
      </c>
      <c r="H546" s="29">
        <f>IF(AND(F546=1,ISNUMBER(E546)),E546,"")</f>
        <v/>
      </c>
      <c r="I546" s="22">
        <f>IF(AND(F546=1,ISNUMBER(C546)),C546,"")</f>
        <v/>
      </c>
      <c r="J546" s="11">
        <f>IF(G546="","",100-IF($G$13=1,50,(_xlfn.RANK.AVG(G546,$G$19:$G$1518,1)-1)/($G$13-1)*100))</f>
        <v/>
      </c>
      <c r="K546" s="11">
        <f>IF(H546="","",100-IF($G$14=1,50,(_xlfn.RANK.AVG(H546,$H$19:$H$1518,1)-1)/($G$14-1)*100))</f>
        <v/>
      </c>
      <c r="L546" s="11">
        <f>IF(I546="","",IF($G$15=1,50,(_xlfn.RANK.AVG(I546,$I$19:$I$1518,1)-1)/($G$15-1)*100))</f>
        <v/>
      </c>
      <c r="M546" s="11">
        <f>IF(COUNT(J546:L546)=3,ROUND(AVERAGE(J546:L546),6),"")</f>
        <v/>
      </c>
      <c r="O546">
        <f>IF(AND(ISNUMBER('자료_미국심리'!$A530),ISNUMBER('자료_미국심리'!$B530)),'자료_미국심리'!$A530,"")</f>
        <v/>
      </c>
      <c r="P546">
        <f>IF(AND(ISNUMBER('자료_미국심리'!$D530),ISNUMBER('자료_미국심리'!$E530)),'자료_미국심리'!$D530,"")</f>
        <v/>
      </c>
      <c r="Q546">
        <f>IF(AND(ISNUMBER('자료_미국심리'!$G530),ISNUMBER('자료_미국심리'!$H530)),'자료_미국심리'!$G530,"")</f>
        <v/>
      </c>
    </row>
    <row r="547">
      <c r="A547" s="10">
        <f>IF(529&gt;$E$5,"",SMALL($O$19:$O$4018,$E$6+529))</f>
        <v/>
      </c>
      <c r="B547" s="29">
        <f>IF(A547="","",INDEX('자료_미국심리'!$B$3:$B$4002,MATCH(A547,$O$19:$O$4018,0)))</f>
        <v/>
      </c>
      <c r="C547" s="22">
        <f>IF(A547="","",B547/AVERAGE(B423:B547)-1)</f>
        <v/>
      </c>
      <c r="D547" s="29">
        <f>IF(A547="","",IFERROR(INDEX('자료_미국심리'!$E$3:$E$4002,MATCH(A547,$P$19:$P$4018,0)),D546))</f>
        <v/>
      </c>
      <c r="E547" s="29">
        <f>IF(A547="","",IFERROR(INDEX('자료_미국심리'!$H$3:$H$4002,MATCH(A547,$Q$19:$Q$4018,0)),E546))</f>
        <v/>
      </c>
      <c r="F547">
        <f>IF(A547="",0,IF(A547&gt;$B$5,1,0))</f>
        <v/>
      </c>
      <c r="G547" s="29">
        <f>IF(AND(F547=1,ISNUMBER(D547)),D547,"")</f>
        <v/>
      </c>
      <c r="H547" s="29">
        <f>IF(AND(F547=1,ISNUMBER(E547)),E547,"")</f>
        <v/>
      </c>
      <c r="I547" s="22">
        <f>IF(AND(F547=1,ISNUMBER(C547)),C547,"")</f>
        <v/>
      </c>
      <c r="J547" s="11">
        <f>IF(G547="","",100-IF($G$13=1,50,(_xlfn.RANK.AVG(G547,$G$19:$G$1518,1)-1)/($G$13-1)*100))</f>
        <v/>
      </c>
      <c r="K547" s="11">
        <f>IF(H547="","",100-IF($G$14=1,50,(_xlfn.RANK.AVG(H547,$H$19:$H$1518,1)-1)/($G$14-1)*100))</f>
        <v/>
      </c>
      <c r="L547" s="11">
        <f>IF(I547="","",IF($G$15=1,50,(_xlfn.RANK.AVG(I547,$I$19:$I$1518,1)-1)/($G$15-1)*100))</f>
        <v/>
      </c>
      <c r="M547" s="11">
        <f>IF(COUNT(J547:L547)=3,ROUND(AVERAGE(J547:L547),6),"")</f>
        <v/>
      </c>
      <c r="O547">
        <f>IF(AND(ISNUMBER('자료_미국심리'!$A531),ISNUMBER('자료_미국심리'!$B531)),'자료_미국심리'!$A531,"")</f>
        <v/>
      </c>
      <c r="P547">
        <f>IF(AND(ISNUMBER('자료_미국심리'!$D531),ISNUMBER('자료_미국심리'!$E531)),'자료_미국심리'!$D531,"")</f>
        <v/>
      </c>
      <c r="Q547">
        <f>IF(AND(ISNUMBER('자료_미국심리'!$G531),ISNUMBER('자료_미국심리'!$H531)),'자료_미국심리'!$G531,"")</f>
        <v/>
      </c>
    </row>
    <row r="548">
      <c r="A548" s="10">
        <f>IF(530&gt;$E$5,"",SMALL($O$19:$O$4018,$E$6+530))</f>
        <v/>
      </c>
      <c r="B548" s="29">
        <f>IF(A548="","",INDEX('자료_미국심리'!$B$3:$B$4002,MATCH(A548,$O$19:$O$4018,0)))</f>
        <v/>
      </c>
      <c r="C548" s="22">
        <f>IF(A548="","",B548/AVERAGE(B424:B548)-1)</f>
        <v/>
      </c>
      <c r="D548" s="29">
        <f>IF(A548="","",IFERROR(INDEX('자료_미국심리'!$E$3:$E$4002,MATCH(A548,$P$19:$P$4018,0)),D547))</f>
        <v/>
      </c>
      <c r="E548" s="29">
        <f>IF(A548="","",IFERROR(INDEX('자료_미국심리'!$H$3:$H$4002,MATCH(A548,$Q$19:$Q$4018,0)),E547))</f>
        <v/>
      </c>
      <c r="F548">
        <f>IF(A548="",0,IF(A548&gt;$B$5,1,0))</f>
        <v/>
      </c>
      <c r="G548" s="29">
        <f>IF(AND(F548=1,ISNUMBER(D548)),D548,"")</f>
        <v/>
      </c>
      <c r="H548" s="29">
        <f>IF(AND(F548=1,ISNUMBER(E548)),E548,"")</f>
        <v/>
      </c>
      <c r="I548" s="22">
        <f>IF(AND(F548=1,ISNUMBER(C548)),C548,"")</f>
        <v/>
      </c>
      <c r="J548" s="11">
        <f>IF(G548="","",100-IF($G$13=1,50,(_xlfn.RANK.AVG(G548,$G$19:$G$1518,1)-1)/($G$13-1)*100))</f>
        <v/>
      </c>
      <c r="K548" s="11">
        <f>IF(H548="","",100-IF($G$14=1,50,(_xlfn.RANK.AVG(H548,$H$19:$H$1518,1)-1)/($G$14-1)*100))</f>
        <v/>
      </c>
      <c r="L548" s="11">
        <f>IF(I548="","",IF($G$15=1,50,(_xlfn.RANK.AVG(I548,$I$19:$I$1518,1)-1)/($G$15-1)*100))</f>
        <v/>
      </c>
      <c r="M548" s="11">
        <f>IF(COUNT(J548:L548)=3,ROUND(AVERAGE(J548:L548),6),"")</f>
        <v/>
      </c>
      <c r="O548">
        <f>IF(AND(ISNUMBER('자료_미국심리'!$A532),ISNUMBER('자료_미국심리'!$B532)),'자료_미국심리'!$A532,"")</f>
        <v/>
      </c>
      <c r="P548">
        <f>IF(AND(ISNUMBER('자료_미국심리'!$D532),ISNUMBER('자료_미국심리'!$E532)),'자료_미국심리'!$D532,"")</f>
        <v/>
      </c>
      <c r="Q548">
        <f>IF(AND(ISNUMBER('자료_미국심리'!$G532),ISNUMBER('자료_미국심리'!$H532)),'자료_미국심리'!$G532,"")</f>
        <v/>
      </c>
    </row>
    <row r="549">
      <c r="A549" s="10">
        <f>IF(531&gt;$E$5,"",SMALL($O$19:$O$4018,$E$6+531))</f>
        <v/>
      </c>
      <c r="B549" s="29">
        <f>IF(A549="","",INDEX('자료_미국심리'!$B$3:$B$4002,MATCH(A549,$O$19:$O$4018,0)))</f>
        <v/>
      </c>
      <c r="C549" s="22">
        <f>IF(A549="","",B549/AVERAGE(B425:B549)-1)</f>
        <v/>
      </c>
      <c r="D549" s="29">
        <f>IF(A549="","",IFERROR(INDEX('자료_미국심리'!$E$3:$E$4002,MATCH(A549,$P$19:$P$4018,0)),D548))</f>
        <v/>
      </c>
      <c r="E549" s="29">
        <f>IF(A549="","",IFERROR(INDEX('자료_미국심리'!$H$3:$H$4002,MATCH(A549,$Q$19:$Q$4018,0)),E548))</f>
        <v/>
      </c>
      <c r="F549">
        <f>IF(A549="",0,IF(A549&gt;$B$5,1,0))</f>
        <v/>
      </c>
      <c r="G549" s="29">
        <f>IF(AND(F549=1,ISNUMBER(D549)),D549,"")</f>
        <v/>
      </c>
      <c r="H549" s="29">
        <f>IF(AND(F549=1,ISNUMBER(E549)),E549,"")</f>
        <v/>
      </c>
      <c r="I549" s="22">
        <f>IF(AND(F549=1,ISNUMBER(C549)),C549,"")</f>
        <v/>
      </c>
      <c r="J549" s="11">
        <f>IF(G549="","",100-IF($G$13=1,50,(_xlfn.RANK.AVG(G549,$G$19:$G$1518,1)-1)/($G$13-1)*100))</f>
        <v/>
      </c>
      <c r="K549" s="11">
        <f>IF(H549="","",100-IF($G$14=1,50,(_xlfn.RANK.AVG(H549,$H$19:$H$1518,1)-1)/($G$14-1)*100))</f>
        <v/>
      </c>
      <c r="L549" s="11">
        <f>IF(I549="","",IF($G$15=1,50,(_xlfn.RANK.AVG(I549,$I$19:$I$1518,1)-1)/($G$15-1)*100))</f>
        <v/>
      </c>
      <c r="M549" s="11">
        <f>IF(COUNT(J549:L549)=3,ROUND(AVERAGE(J549:L549),6),"")</f>
        <v/>
      </c>
      <c r="O549">
        <f>IF(AND(ISNUMBER('자료_미국심리'!$A533),ISNUMBER('자료_미국심리'!$B533)),'자료_미국심리'!$A533,"")</f>
        <v/>
      </c>
      <c r="P549">
        <f>IF(AND(ISNUMBER('자료_미국심리'!$D533),ISNUMBER('자료_미국심리'!$E533)),'자료_미국심리'!$D533,"")</f>
        <v/>
      </c>
      <c r="Q549">
        <f>IF(AND(ISNUMBER('자료_미국심리'!$G533),ISNUMBER('자료_미국심리'!$H533)),'자료_미국심리'!$G533,"")</f>
        <v/>
      </c>
    </row>
    <row r="550">
      <c r="A550" s="10">
        <f>IF(532&gt;$E$5,"",SMALL($O$19:$O$4018,$E$6+532))</f>
        <v/>
      </c>
      <c r="B550" s="29">
        <f>IF(A550="","",INDEX('자료_미국심리'!$B$3:$B$4002,MATCH(A550,$O$19:$O$4018,0)))</f>
        <v/>
      </c>
      <c r="C550" s="22">
        <f>IF(A550="","",B550/AVERAGE(B426:B550)-1)</f>
        <v/>
      </c>
      <c r="D550" s="29">
        <f>IF(A550="","",IFERROR(INDEX('자료_미국심리'!$E$3:$E$4002,MATCH(A550,$P$19:$P$4018,0)),D549))</f>
        <v/>
      </c>
      <c r="E550" s="29">
        <f>IF(A550="","",IFERROR(INDEX('자료_미국심리'!$H$3:$H$4002,MATCH(A550,$Q$19:$Q$4018,0)),E549))</f>
        <v/>
      </c>
      <c r="F550">
        <f>IF(A550="",0,IF(A550&gt;$B$5,1,0))</f>
        <v/>
      </c>
      <c r="G550" s="29">
        <f>IF(AND(F550=1,ISNUMBER(D550)),D550,"")</f>
        <v/>
      </c>
      <c r="H550" s="29">
        <f>IF(AND(F550=1,ISNUMBER(E550)),E550,"")</f>
        <v/>
      </c>
      <c r="I550" s="22">
        <f>IF(AND(F550=1,ISNUMBER(C550)),C550,"")</f>
        <v/>
      </c>
      <c r="J550" s="11">
        <f>IF(G550="","",100-IF($G$13=1,50,(_xlfn.RANK.AVG(G550,$G$19:$G$1518,1)-1)/($G$13-1)*100))</f>
        <v/>
      </c>
      <c r="K550" s="11">
        <f>IF(H550="","",100-IF($G$14=1,50,(_xlfn.RANK.AVG(H550,$H$19:$H$1518,1)-1)/($G$14-1)*100))</f>
        <v/>
      </c>
      <c r="L550" s="11">
        <f>IF(I550="","",IF($G$15=1,50,(_xlfn.RANK.AVG(I550,$I$19:$I$1518,1)-1)/($G$15-1)*100))</f>
        <v/>
      </c>
      <c r="M550" s="11">
        <f>IF(COUNT(J550:L550)=3,ROUND(AVERAGE(J550:L550),6),"")</f>
        <v/>
      </c>
      <c r="O550">
        <f>IF(AND(ISNUMBER('자료_미국심리'!$A534),ISNUMBER('자료_미국심리'!$B534)),'자료_미국심리'!$A534,"")</f>
        <v/>
      </c>
      <c r="P550">
        <f>IF(AND(ISNUMBER('자료_미국심리'!$D534),ISNUMBER('자료_미국심리'!$E534)),'자료_미국심리'!$D534,"")</f>
        <v/>
      </c>
      <c r="Q550">
        <f>IF(AND(ISNUMBER('자료_미국심리'!$G534),ISNUMBER('자료_미국심리'!$H534)),'자료_미국심리'!$G534,"")</f>
        <v/>
      </c>
    </row>
    <row r="551">
      <c r="A551" s="10">
        <f>IF(533&gt;$E$5,"",SMALL($O$19:$O$4018,$E$6+533))</f>
        <v/>
      </c>
      <c r="B551" s="29">
        <f>IF(A551="","",INDEX('자료_미국심리'!$B$3:$B$4002,MATCH(A551,$O$19:$O$4018,0)))</f>
        <v/>
      </c>
      <c r="C551" s="22">
        <f>IF(A551="","",B551/AVERAGE(B427:B551)-1)</f>
        <v/>
      </c>
      <c r="D551" s="29">
        <f>IF(A551="","",IFERROR(INDEX('자료_미국심리'!$E$3:$E$4002,MATCH(A551,$P$19:$P$4018,0)),D550))</f>
        <v/>
      </c>
      <c r="E551" s="29">
        <f>IF(A551="","",IFERROR(INDEX('자료_미국심리'!$H$3:$H$4002,MATCH(A551,$Q$19:$Q$4018,0)),E550))</f>
        <v/>
      </c>
      <c r="F551">
        <f>IF(A551="",0,IF(A551&gt;$B$5,1,0))</f>
        <v/>
      </c>
      <c r="G551" s="29">
        <f>IF(AND(F551=1,ISNUMBER(D551)),D551,"")</f>
        <v/>
      </c>
      <c r="H551" s="29">
        <f>IF(AND(F551=1,ISNUMBER(E551)),E551,"")</f>
        <v/>
      </c>
      <c r="I551" s="22">
        <f>IF(AND(F551=1,ISNUMBER(C551)),C551,"")</f>
        <v/>
      </c>
      <c r="J551" s="11">
        <f>IF(G551="","",100-IF($G$13=1,50,(_xlfn.RANK.AVG(G551,$G$19:$G$1518,1)-1)/($G$13-1)*100))</f>
        <v/>
      </c>
      <c r="K551" s="11">
        <f>IF(H551="","",100-IF($G$14=1,50,(_xlfn.RANK.AVG(H551,$H$19:$H$1518,1)-1)/($G$14-1)*100))</f>
        <v/>
      </c>
      <c r="L551" s="11">
        <f>IF(I551="","",IF($G$15=1,50,(_xlfn.RANK.AVG(I551,$I$19:$I$1518,1)-1)/($G$15-1)*100))</f>
        <v/>
      </c>
      <c r="M551" s="11">
        <f>IF(COUNT(J551:L551)=3,ROUND(AVERAGE(J551:L551),6),"")</f>
        <v/>
      </c>
      <c r="O551">
        <f>IF(AND(ISNUMBER('자료_미국심리'!$A535),ISNUMBER('자료_미국심리'!$B535)),'자료_미국심리'!$A535,"")</f>
        <v/>
      </c>
      <c r="P551">
        <f>IF(AND(ISNUMBER('자료_미국심리'!$D535),ISNUMBER('자료_미국심리'!$E535)),'자료_미국심리'!$D535,"")</f>
        <v/>
      </c>
      <c r="Q551">
        <f>IF(AND(ISNUMBER('자료_미국심리'!$G535),ISNUMBER('자료_미국심리'!$H535)),'자료_미국심리'!$G535,"")</f>
        <v/>
      </c>
    </row>
    <row r="552">
      <c r="A552" s="10">
        <f>IF(534&gt;$E$5,"",SMALL($O$19:$O$4018,$E$6+534))</f>
        <v/>
      </c>
      <c r="B552" s="29">
        <f>IF(A552="","",INDEX('자료_미국심리'!$B$3:$B$4002,MATCH(A552,$O$19:$O$4018,0)))</f>
        <v/>
      </c>
      <c r="C552" s="22">
        <f>IF(A552="","",B552/AVERAGE(B428:B552)-1)</f>
        <v/>
      </c>
      <c r="D552" s="29">
        <f>IF(A552="","",IFERROR(INDEX('자료_미국심리'!$E$3:$E$4002,MATCH(A552,$P$19:$P$4018,0)),D551))</f>
        <v/>
      </c>
      <c r="E552" s="29">
        <f>IF(A552="","",IFERROR(INDEX('자료_미국심리'!$H$3:$H$4002,MATCH(A552,$Q$19:$Q$4018,0)),E551))</f>
        <v/>
      </c>
      <c r="F552">
        <f>IF(A552="",0,IF(A552&gt;$B$5,1,0))</f>
        <v/>
      </c>
      <c r="G552" s="29">
        <f>IF(AND(F552=1,ISNUMBER(D552)),D552,"")</f>
        <v/>
      </c>
      <c r="H552" s="29">
        <f>IF(AND(F552=1,ISNUMBER(E552)),E552,"")</f>
        <v/>
      </c>
      <c r="I552" s="22">
        <f>IF(AND(F552=1,ISNUMBER(C552)),C552,"")</f>
        <v/>
      </c>
      <c r="J552" s="11">
        <f>IF(G552="","",100-IF($G$13=1,50,(_xlfn.RANK.AVG(G552,$G$19:$G$1518,1)-1)/($G$13-1)*100))</f>
        <v/>
      </c>
      <c r="K552" s="11">
        <f>IF(H552="","",100-IF($G$14=1,50,(_xlfn.RANK.AVG(H552,$H$19:$H$1518,1)-1)/($G$14-1)*100))</f>
        <v/>
      </c>
      <c r="L552" s="11">
        <f>IF(I552="","",IF($G$15=1,50,(_xlfn.RANK.AVG(I552,$I$19:$I$1518,1)-1)/($G$15-1)*100))</f>
        <v/>
      </c>
      <c r="M552" s="11">
        <f>IF(COUNT(J552:L552)=3,ROUND(AVERAGE(J552:L552),6),"")</f>
        <v/>
      </c>
      <c r="O552">
        <f>IF(AND(ISNUMBER('자료_미국심리'!$A536),ISNUMBER('자료_미국심리'!$B536)),'자료_미국심리'!$A536,"")</f>
        <v/>
      </c>
      <c r="P552">
        <f>IF(AND(ISNUMBER('자료_미국심리'!$D536),ISNUMBER('자료_미국심리'!$E536)),'자료_미국심리'!$D536,"")</f>
        <v/>
      </c>
      <c r="Q552">
        <f>IF(AND(ISNUMBER('자료_미국심리'!$G536),ISNUMBER('자료_미국심리'!$H536)),'자료_미국심리'!$G536,"")</f>
        <v/>
      </c>
    </row>
    <row r="553">
      <c r="A553" s="10">
        <f>IF(535&gt;$E$5,"",SMALL($O$19:$O$4018,$E$6+535))</f>
        <v/>
      </c>
      <c r="B553" s="29">
        <f>IF(A553="","",INDEX('자료_미국심리'!$B$3:$B$4002,MATCH(A553,$O$19:$O$4018,0)))</f>
        <v/>
      </c>
      <c r="C553" s="22">
        <f>IF(A553="","",B553/AVERAGE(B429:B553)-1)</f>
        <v/>
      </c>
      <c r="D553" s="29">
        <f>IF(A553="","",IFERROR(INDEX('자료_미국심리'!$E$3:$E$4002,MATCH(A553,$P$19:$P$4018,0)),D552))</f>
        <v/>
      </c>
      <c r="E553" s="29">
        <f>IF(A553="","",IFERROR(INDEX('자료_미국심리'!$H$3:$H$4002,MATCH(A553,$Q$19:$Q$4018,0)),E552))</f>
        <v/>
      </c>
      <c r="F553">
        <f>IF(A553="",0,IF(A553&gt;$B$5,1,0))</f>
        <v/>
      </c>
      <c r="G553" s="29">
        <f>IF(AND(F553=1,ISNUMBER(D553)),D553,"")</f>
        <v/>
      </c>
      <c r="H553" s="29">
        <f>IF(AND(F553=1,ISNUMBER(E553)),E553,"")</f>
        <v/>
      </c>
      <c r="I553" s="22">
        <f>IF(AND(F553=1,ISNUMBER(C553)),C553,"")</f>
        <v/>
      </c>
      <c r="J553" s="11">
        <f>IF(G553="","",100-IF($G$13=1,50,(_xlfn.RANK.AVG(G553,$G$19:$G$1518,1)-1)/($G$13-1)*100))</f>
        <v/>
      </c>
      <c r="K553" s="11">
        <f>IF(H553="","",100-IF($G$14=1,50,(_xlfn.RANK.AVG(H553,$H$19:$H$1518,1)-1)/($G$14-1)*100))</f>
        <v/>
      </c>
      <c r="L553" s="11">
        <f>IF(I553="","",IF($G$15=1,50,(_xlfn.RANK.AVG(I553,$I$19:$I$1518,1)-1)/($G$15-1)*100))</f>
        <v/>
      </c>
      <c r="M553" s="11">
        <f>IF(COUNT(J553:L553)=3,ROUND(AVERAGE(J553:L553),6),"")</f>
        <v/>
      </c>
      <c r="O553">
        <f>IF(AND(ISNUMBER('자료_미국심리'!$A537),ISNUMBER('자료_미국심리'!$B537)),'자료_미국심리'!$A537,"")</f>
        <v/>
      </c>
      <c r="P553">
        <f>IF(AND(ISNUMBER('자료_미국심리'!$D537),ISNUMBER('자료_미국심리'!$E537)),'자료_미국심리'!$D537,"")</f>
        <v/>
      </c>
      <c r="Q553">
        <f>IF(AND(ISNUMBER('자료_미국심리'!$G537),ISNUMBER('자료_미국심리'!$H537)),'자료_미국심리'!$G537,"")</f>
        <v/>
      </c>
    </row>
    <row r="554">
      <c r="A554" s="10">
        <f>IF(536&gt;$E$5,"",SMALL($O$19:$O$4018,$E$6+536))</f>
        <v/>
      </c>
      <c r="B554" s="29">
        <f>IF(A554="","",INDEX('자료_미국심리'!$B$3:$B$4002,MATCH(A554,$O$19:$O$4018,0)))</f>
        <v/>
      </c>
      <c r="C554" s="22">
        <f>IF(A554="","",B554/AVERAGE(B430:B554)-1)</f>
        <v/>
      </c>
      <c r="D554" s="29">
        <f>IF(A554="","",IFERROR(INDEX('자료_미국심리'!$E$3:$E$4002,MATCH(A554,$P$19:$P$4018,0)),D553))</f>
        <v/>
      </c>
      <c r="E554" s="29">
        <f>IF(A554="","",IFERROR(INDEX('자료_미국심리'!$H$3:$H$4002,MATCH(A554,$Q$19:$Q$4018,0)),E553))</f>
        <v/>
      </c>
      <c r="F554">
        <f>IF(A554="",0,IF(A554&gt;$B$5,1,0))</f>
        <v/>
      </c>
      <c r="G554" s="29">
        <f>IF(AND(F554=1,ISNUMBER(D554)),D554,"")</f>
        <v/>
      </c>
      <c r="H554" s="29">
        <f>IF(AND(F554=1,ISNUMBER(E554)),E554,"")</f>
        <v/>
      </c>
      <c r="I554" s="22">
        <f>IF(AND(F554=1,ISNUMBER(C554)),C554,"")</f>
        <v/>
      </c>
      <c r="J554" s="11">
        <f>IF(G554="","",100-IF($G$13=1,50,(_xlfn.RANK.AVG(G554,$G$19:$G$1518,1)-1)/($G$13-1)*100))</f>
        <v/>
      </c>
      <c r="K554" s="11">
        <f>IF(H554="","",100-IF($G$14=1,50,(_xlfn.RANK.AVG(H554,$H$19:$H$1518,1)-1)/($G$14-1)*100))</f>
        <v/>
      </c>
      <c r="L554" s="11">
        <f>IF(I554="","",IF($G$15=1,50,(_xlfn.RANK.AVG(I554,$I$19:$I$1518,1)-1)/($G$15-1)*100))</f>
        <v/>
      </c>
      <c r="M554" s="11">
        <f>IF(COUNT(J554:L554)=3,ROUND(AVERAGE(J554:L554),6),"")</f>
        <v/>
      </c>
      <c r="O554">
        <f>IF(AND(ISNUMBER('자료_미국심리'!$A538),ISNUMBER('자료_미국심리'!$B538)),'자료_미국심리'!$A538,"")</f>
        <v/>
      </c>
      <c r="P554">
        <f>IF(AND(ISNUMBER('자료_미국심리'!$D538),ISNUMBER('자료_미국심리'!$E538)),'자료_미국심리'!$D538,"")</f>
        <v/>
      </c>
      <c r="Q554">
        <f>IF(AND(ISNUMBER('자료_미국심리'!$G538),ISNUMBER('자료_미국심리'!$H538)),'자료_미국심리'!$G538,"")</f>
        <v/>
      </c>
    </row>
    <row r="555">
      <c r="A555" s="10">
        <f>IF(537&gt;$E$5,"",SMALL($O$19:$O$4018,$E$6+537))</f>
        <v/>
      </c>
      <c r="B555" s="29">
        <f>IF(A555="","",INDEX('자료_미국심리'!$B$3:$B$4002,MATCH(A555,$O$19:$O$4018,0)))</f>
        <v/>
      </c>
      <c r="C555" s="22">
        <f>IF(A555="","",B555/AVERAGE(B431:B555)-1)</f>
        <v/>
      </c>
      <c r="D555" s="29">
        <f>IF(A555="","",IFERROR(INDEX('자료_미국심리'!$E$3:$E$4002,MATCH(A555,$P$19:$P$4018,0)),D554))</f>
        <v/>
      </c>
      <c r="E555" s="29">
        <f>IF(A555="","",IFERROR(INDEX('자료_미국심리'!$H$3:$H$4002,MATCH(A555,$Q$19:$Q$4018,0)),E554))</f>
        <v/>
      </c>
      <c r="F555">
        <f>IF(A555="",0,IF(A555&gt;$B$5,1,0))</f>
        <v/>
      </c>
      <c r="G555" s="29">
        <f>IF(AND(F555=1,ISNUMBER(D555)),D555,"")</f>
        <v/>
      </c>
      <c r="H555" s="29">
        <f>IF(AND(F555=1,ISNUMBER(E555)),E555,"")</f>
        <v/>
      </c>
      <c r="I555" s="22">
        <f>IF(AND(F555=1,ISNUMBER(C555)),C555,"")</f>
        <v/>
      </c>
      <c r="J555" s="11">
        <f>IF(G555="","",100-IF($G$13=1,50,(_xlfn.RANK.AVG(G555,$G$19:$G$1518,1)-1)/($G$13-1)*100))</f>
        <v/>
      </c>
      <c r="K555" s="11">
        <f>IF(H555="","",100-IF($G$14=1,50,(_xlfn.RANK.AVG(H555,$H$19:$H$1518,1)-1)/($G$14-1)*100))</f>
        <v/>
      </c>
      <c r="L555" s="11">
        <f>IF(I555="","",IF($G$15=1,50,(_xlfn.RANK.AVG(I555,$I$19:$I$1518,1)-1)/($G$15-1)*100))</f>
        <v/>
      </c>
      <c r="M555" s="11">
        <f>IF(COUNT(J555:L555)=3,ROUND(AVERAGE(J555:L555),6),"")</f>
        <v/>
      </c>
      <c r="O555">
        <f>IF(AND(ISNUMBER('자료_미국심리'!$A539),ISNUMBER('자료_미국심리'!$B539)),'자료_미국심리'!$A539,"")</f>
        <v/>
      </c>
      <c r="P555">
        <f>IF(AND(ISNUMBER('자료_미국심리'!$D539),ISNUMBER('자료_미국심리'!$E539)),'자료_미국심리'!$D539,"")</f>
        <v/>
      </c>
      <c r="Q555">
        <f>IF(AND(ISNUMBER('자료_미국심리'!$G539),ISNUMBER('자료_미국심리'!$H539)),'자료_미국심리'!$G539,"")</f>
        <v/>
      </c>
    </row>
    <row r="556">
      <c r="A556" s="10">
        <f>IF(538&gt;$E$5,"",SMALL($O$19:$O$4018,$E$6+538))</f>
        <v/>
      </c>
      <c r="B556" s="29">
        <f>IF(A556="","",INDEX('자료_미국심리'!$B$3:$B$4002,MATCH(A556,$O$19:$O$4018,0)))</f>
        <v/>
      </c>
      <c r="C556" s="22">
        <f>IF(A556="","",B556/AVERAGE(B432:B556)-1)</f>
        <v/>
      </c>
      <c r="D556" s="29">
        <f>IF(A556="","",IFERROR(INDEX('자료_미국심리'!$E$3:$E$4002,MATCH(A556,$P$19:$P$4018,0)),D555))</f>
        <v/>
      </c>
      <c r="E556" s="29">
        <f>IF(A556="","",IFERROR(INDEX('자료_미국심리'!$H$3:$H$4002,MATCH(A556,$Q$19:$Q$4018,0)),E555))</f>
        <v/>
      </c>
      <c r="F556">
        <f>IF(A556="",0,IF(A556&gt;$B$5,1,0))</f>
        <v/>
      </c>
      <c r="G556" s="29">
        <f>IF(AND(F556=1,ISNUMBER(D556)),D556,"")</f>
        <v/>
      </c>
      <c r="H556" s="29">
        <f>IF(AND(F556=1,ISNUMBER(E556)),E556,"")</f>
        <v/>
      </c>
      <c r="I556" s="22">
        <f>IF(AND(F556=1,ISNUMBER(C556)),C556,"")</f>
        <v/>
      </c>
      <c r="J556" s="11">
        <f>IF(G556="","",100-IF($G$13=1,50,(_xlfn.RANK.AVG(G556,$G$19:$G$1518,1)-1)/($G$13-1)*100))</f>
        <v/>
      </c>
      <c r="K556" s="11">
        <f>IF(H556="","",100-IF($G$14=1,50,(_xlfn.RANK.AVG(H556,$H$19:$H$1518,1)-1)/($G$14-1)*100))</f>
        <v/>
      </c>
      <c r="L556" s="11">
        <f>IF(I556="","",IF($G$15=1,50,(_xlfn.RANK.AVG(I556,$I$19:$I$1518,1)-1)/($G$15-1)*100))</f>
        <v/>
      </c>
      <c r="M556" s="11">
        <f>IF(COUNT(J556:L556)=3,ROUND(AVERAGE(J556:L556),6),"")</f>
        <v/>
      </c>
      <c r="O556">
        <f>IF(AND(ISNUMBER('자료_미국심리'!$A540),ISNUMBER('자료_미국심리'!$B540)),'자료_미국심리'!$A540,"")</f>
        <v/>
      </c>
      <c r="P556">
        <f>IF(AND(ISNUMBER('자료_미국심리'!$D540),ISNUMBER('자료_미국심리'!$E540)),'자료_미국심리'!$D540,"")</f>
        <v/>
      </c>
      <c r="Q556">
        <f>IF(AND(ISNUMBER('자료_미국심리'!$G540),ISNUMBER('자료_미국심리'!$H540)),'자료_미국심리'!$G540,"")</f>
        <v/>
      </c>
    </row>
    <row r="557">
      <c r="A557" s="10">
        <f>IF(539&gt;$E$5,"",SMALL($O$19:$O$4018,$E$6+539))</f>
        <v/>
      </c>
      <c r="B557" s="29">
        <f>IF(A557="","",INDEX('자료_미국심리'!$B$3:$B$4002,MATCH(A557,$O$19:$O$4018,0)))</f>
        <v/>
      </c>
      <c r="C557" s="22">
        <f>IF(A557="","",B557/AVERAGE(B433:B557)-1)</f>
        <v/>
      </c>
      <c r="D557" s="29">
        <f>IF(A557="","",IFERROR(INDEX('자료_미국심리'!$E$3:$E$4002,MATCH(A557,$P$19:$P$4018,0)),D556))</f>
        <v/>
      </c>
      <c r="E557" s="29">
        <f>IF(A557="","",IFERROR(INDEX('자료_미국심리'!$H$3:$H$4002,MATCH(A557,$Q$19:$Q$4018,0)),E556))</f>
        <v/>
      </c>
      <c r="F557">
        <f>IF(A557="",0,IF(A557&gt;$B$5,1,0))</f>
        <v/>
      </c>
      <c r="G557" s="29">
        <f>IF(AND(F557=1,ISNUMBER(D557)),D557,"")</f>
        <v/>
      </c>
      <c r="H557" s="29">
        <f>IF(AND(F557=1,ISNUMBER(E557)),E557,"")</f>
        <v/>
      </c>
      <c r="I557" s="22">
        <f>IF(AND(F557=1,ISNUMBER(C557)),C557,"")</f>
        <v/>
      </c>
      <c r="J557" s="11">
        <f>IF(G557="","",100-IF($G$13=1,50,(_xlfn.RANK.AVG(G557,$G$19:$G$1518,1)-1)/($G$13-1)*100))</f>
        <v/>
      </c>
      <c r="K557" s="11">
        <f>IF(H557="","",100-IF($G$14=1,50,(_xlfn.RANK.AVG(H557,$H$19:$H$1518,1)-1)/($G$14-1)*100))</f>
        <v/>
      </c>
      <c r="L557" s="11">
        <f>IF(I557="","",IF($G$15=1,50,(_xlfn.RANK.AVG(I557,$I$19:$I$1518,1)-1)/($G$15-1)*100))</f>
        <v/>
      </c>
      <c r="M557" s="11">
        <f>IF(COUNT(J557:L557)=3,ROUND(AVERAGE(J557:L557),6),"")</f>
        <v/>
      </c>
      <c r="O557">
        <f>IF(AND(ISNUMBER('자료_미국심리'!$A541),ISNUMBER('자료_미국심리'!$B541)),'자료_미국심리'!$A541,"")</f>
        <v/>
      </c>
      <c r="P557">
        <f>IF(AND(ISNUMBER('자료_미국심리'!$D541),ISNUMBER('자료_미국심리'!$E541)),'자료_미국심리'!$D541,"")</f>
        <v/>
      </c>
      <c r="Q557">
        <f>IF(AND(ISNUMBER('자료_미국심리'!$G541),ISNUMBER('자료_미국심리'!$H541)),'자료_미국심리'!$G541,"")</f>
        <v/>
      </c>
    </row>
    <row r="558">
      <c r="A558" s="10">
        <f>IF(540&gt;$E$5,"",SMALL($O$19:$O$4018,$E$6+540))</f>
        <v/>
      </c>
      <c r="B558" s="29">
        <f>IF(A558="","",INDEX('자료_미국심리'!$B$3:$B$4002,MATCH(A558,$O$19:$O$4018,0)))</f>
        <v/>
      </c>
      <c r="C558" s="22">
        <f>IF(A558="","",B558/AVERAGE(B434:B558)-1)</f>
        <v/>
      </c>
      <c r="D558" s="29">
        <f>IF(A558="","",IFERROR(INDEX('자료_미국심리'!$E$3:$E$4002,MATCH(A558,$P$19:$P$4018,0)),D557))</f>
        <v/>
      </c>
      <c r="E558" s="29">
        <f>IF(A558="","",IFERROR(INDEX('자료_미국심리'!$H$3:$H$4002,MATCH(A558,$Q$19:$Q$4018,0)),E557))</f>
        <v/>
      </c>
      <c r="F558">
        <f>IF(A558="",0,IF(A558&gt;$B$5,1,0))</f>
        <v/>
      </c>
      <c r="G558" s="29">
        <f>IF(AND(F558=1,ISNUMBER(D558)),D558,"")</f>
        <v/>
      </c>
      <c r="H558" s="29">
        <f>IF(AND(F558=1,ISNUMBER(E558)),E558,"")</f>
        <v/>
      </c>
      <c r="I558" s="22">
        <f>IF(AND(F558=1,ISNUMBER(C558)),C558,"")</f>
        <v/>
      </c>
      <c r="J558" s="11">
        <f>IF(G558="","",100-IF($G$13=1,50,(_xlfn.RANK.AVG(G558,$G$19:$G$1518,1)-1)/($G$13-1)*100))</f>
        <v/>
      </c>
      <c r="K558" s="11">
        <f>IF(H558="","",100-IF($G$14=1,50,(_xlfn.RANK.AVG(H558,$H$19:$H$1518,1)-1)/($G$14-1)*100))</f>
        <v/>
      </c>
      <c r="L558" s="11">
        <f>IF(I558="","",IF($G$15=1,50,(_xlfn.RANK.AVG(I558,$I$19:$I$1518,1)-1)/($G$15-1)*100))</f>
        <v/>
      </c>
      <c r="M558" s="11">
        <f>IF(COUNT(J558:L558)=3,ROUND(AVERAGE(J558:L558),6),"")</f>
        <v/>
      </c>
      <c r="O558">
        <f>IF(AND(ISNUMBER('자료_미국심리'!$A542),ISNUMBER('자료_미국심리'!$B542)),'자료_미국심리'!$A542,"")</f>
        <v/>
      </c>
      <c r="P558">
        <f>IF(AND(ISNUMBER('자료_미국심리'!$D542),ISNUMBER('자료_미국심리'!$E542)),'자료_미국심리'!$D542,"")</f>
        <v/>
      </c>
      <c r="Q558">
        <f>IF(AND(ISNUMBER('자료_미국심리'!$G542),ISNUMBER('자료_미국심리'!$H542)),'자료_미국심리'!$G542,"")</f>
        <v/>
      </c>
    </row>
    <row r="559">
      <c r="A559" s="10">
        <f>IF(541&gt;$E$5,"",SMALL($O$19:$O$4018,$E$6+541))</f>
        <v/>
      </c>
      <c r="B559" s="29">
        <f>IF(A559="","",INDEX('자료_미국심리'!$B$3:$B$4002,MATCH(A559,$O$19:$O$4018,0)))</f>
        <v/>
      </c>
      <c r="C559" s="22">
        <f>IF(A559="","",B559/AVERAGE(B435:B559)-1)</f>
        <v/>
      </c>
      <c r="D559" s="29">
        <f>IF(A559="","",IFERROR(INDEX('자료_미국심리'!$E$3:$E$4002,MATCH(A559,$P$19:$P$4018,0)),D558))</f>
        <v/>
      </c>
      <c r="E559" s="29">
        <f>IF(A559="","",IFERROR(INDEX('자료_미국심리'!$H$3:$H$4002,MATCH(A559,$Q$19:$Q$4018,0)),E558))</f>
        <v/>
      </c>
      <c r="F559">
        <f>IF(A559="",0,IF(A559&gt;$B$5,1,0))</f>
        <v/>
      </c>
      <c r="G559" s="29">
        <f>IF(AND(F559=1,ISNUMBER(D559)),D559,"")</f>
        <v/>
      </c>
      <c r="H559" s="29">
        <f>IF(AND(F559=1,ISNUMBER(E559)),E559,"")</f>
        <v/>
      </c>
      <c r="I559" s="22">
        <f>IF(AND(F559=1,ISNUMBER(C559)),C559,"")</f>
        <v/>
      </c>
      <c r="J559" s="11">
        <f>IF(G559="","",100-IF($G$13=1,50,(_xlfn.RANK.AVG(G559,$G$19:$G$1518,1)-1)/($G$13-1)*100))</f>
        <v/>
      </c>
      <c r="K559" s="11">
        <f>IF(H559="","",100-IF($G$14=1,50,(_xlfn.RANK.AVG(H559,$H$19:$H$1518,1)-1)/($G$14-1)*100))</f>
        <v/>
      </c>
      <c r="L559" s="11">
        <f>IF(I559="","",IF($G$15=1,50,(_xlfn.RANK.AVG(I559,$I$19:$I$1518,1)-1)/($G$15-1)*100))</f>
        <v/>
      </c>
      <c r="M559" s="11">
        <f>IF(COUNT(J559:L559)=3,ROUND(AVERAGE(J559:L559),6),"")</f>
        <v/>
      </c>
      <c r="O559">
        <f>IF(AND(ISNUMBER('자료_미국심리'!$A543),ISNUMBER('자료_미국심리'!$B543)),'자료_미국심리'!$A543,"")</f>
        <v/>
      </c>
      <c r="P559">
        <f>IF(AND(ISNUMBER('자료_미국심리'!$D543),ISNUMBER('자료_미국심리'!$E543)),'자료_미국심리'!$D543,"")</f>
        <v/>
      </c>
      <c r="Q559">
        <f>IF(AND(ISNUMBER('자료_미국심리'!$G543),ISNUMBER('자료_미국심리'!$H543)),'자료_미국심리'!$G543,"")</f>
        <v/>
      </c>
    </row>
    <row r="560">
      <c r="A560" s="10">
        <f>IF(542&gt;$E$5,"",SMALL($O$19:$O$4018,$E$6+542))</f>
        <v/>
      </c>
      <c r="B560" s="29">
        <f>IF(A560="","",INDEX('자료_미국심리'!$B$3:$B$4002,MATCH(A560,$O$19:$O$4018,0)))</f>
        <v/>
      </c>
      <c r="C560" s="22">
        <f>IF(A560="","",B560/AVERAGE(B436:B560)-1)</f>
        <v/>
      </c>
      <c r="D560" s="29">
        <f>IF(A560="","",IFERROR(INDEX('자료_미국심리'!$E$3:$E$4002,MATCH(A560,$P$19:$P$4018,0)),D559))</f>
        <v/>
      </c>
      <c r="E560" s="29">
        <f>IF(A560="","",IFERROR(INDEX('자료_미국심리'!$H$3:$H$4002,MATCH(A560,$Q$19:$Q$4018,0)),E559))</f>
        <v/>
      </c>
      <c r="F560">
        <f>IF(A560="",0,IF(A560&gt;$B$5,1,0))</f>
        <v/>
      </c>
      <c r="G560" s="29">
        <f>IF(AND(F560=1,ISNUMBER(D560)),D560,"")</f>
        <v/>
      </c>
      <c r="H560" s="29">
        <f>IF(AND(F560=1,ISNUMBER(E560)),E560,"")</f>
        <v/>
      </c>
      <c r="I560" s="22">
        <f>IF(AND(F560=1,ISNUMBER(C560)),C560,"")</f>
        <v/>
      </c>
      <c r="J560" s="11">
        <f>IF(G560="","",100-IF($G$13=1,50,(_xlfn.RANK.AVG(G560,$G$19:$G$1518,1)-1)/($G$13-1)*100))</f>
        <v/>
      </c>
      <c r="K560" s="11">
        <f>IF(H560="","",100-IF($G$14=1,50,(_xlfn.RANK.AVG(H560,$H$19:$H$1518,1)-1)/($G$14-1)*100))</f>
        <v/>
      </c>
      <c r="L560" s="11">
        <f>IF(I560="","",IF($G$15=1,50,(_xlfn.RANK.AVG(I560,$I$19:$I$1518,1)-1)/($G$15-1)*100))</f>
        <v/>
      </c>
      <c r="M560" s="11">
        <f>IF(COUNT(J560:L560)=3,ROUND(AVERAGE(J560:L560),6),"")</f>
        <v/>
      </c>
      <c r="O560">
        <f>IF(AND(ISNUMBER('자료_미국심리'!$A544),ISNUMBER('자료_미국심리'!$B544)),'자료_미국심리'!$A544,"")</f>
        <v/>
      </c>
      <c r="P560">
        <f>IF(AND(ISNUMBER('자료_미국심리'!$D544),ISNUMBER('자료_미국심리'!$E544)),'자료_미국심리'!$D544,"")</f>
        <v/>
      </c>
      <c r="Q560">
        <f>IF(AND(ISNUMBER('자료_미국심리'!$G544),ISNUMBER('자료_미국심리'!$H544)),'자료_미국심리'!$G544,"")</f>
        <v/>
      </c>
    </row>
    <row r="561">
      <c r="A561" s="10">
        <f>IF(543&gt;$E$5,"",SMALL($O$19:$O$4018,$E$6+543))</f>
        <v/>
      </c>
      <c r="B561" s="29">
        <f>IF(A561="","",INDEX('자료_미국심리'!$B$3:$B$4002,MATCH(A561,$O$19:$O$4018,0)))</f>
        <v/>
      </c>
      <c r="C561" s="22">
        <f>IF(A561="","",B561/AVERAGE(B437:B561)-1)</f>
        <v/>
      </c>
      <c r="D561" s="29">
        <f>IF(A561="","",IFERROR(INDEX('자료_미국심리'!$E$3:$E$4002,MATCH(A561,$P$19:$P$4018,0)),D560))</f>
        <v/>
      </c>
      <c r="E561" s="29">
        <f>IF(A561="","",IFERROR(INDEX('자료_미국심리'!$H$3:$H$4002,MATCH(A561,$Q$19:$Q$4018,0)),E560))</f>
        <v/>
      </c>
      <c r="F561">
        <f>IF(A561="",0,IF(A561&gt;$B$5,1,0))</f>
        <v/>
      </c>
      <c r="G561" s="29">
        <f>IF(AND(F561=1,ISNUMBER(D561)),D561,"")</f>
        <v/>
      </c>
      <c r="H561" s="29">
        <f>IF(AND(F561=1,ISNUMBER(E561)),E561,"")</f>
        <v/>
      </c>
      <c r="I561" s="22">
        <f>IF(AND(F561=1,ISNUMBER(C561)),C561,"")</f>
        <v/>
      </c>
      <c r="J561" s="11">
        <f>IF(G561="","",100-IF($G$13=1,50,(_xlfn.RANK.AVG(G561,$G$19:$G$1518,1)-1)/($G$13-1)*100))</f>
        <v/>
      </c>
      <c r="K561" s="11">
        <f>IF(H561="","",100-IF($G$14=1,50,(_xlfn.RANK.AVG(H561,$H$19:$H$1518,1)-1)/($G$14-1)*100))</f>
        <v/>
      </c>
      <c r="L561" s="11">
        <f>IF(I561="","",IF($G$15=1,50,(_xlfn.RANK.AVG(I561,$I$19:$I$1518,1)-1)/($G$15-1)*100))</f>
        <v/>
      </c>
      <c r="M561" s="11">
        <f>IF(COUNT(J561:L561)=3,ROUND(AVERAGE(J561:L561),6),"")</f>
        <v/>
      </c>
      <c r="O561">
        <f>IF(AND(ISNUMBER('자료_미국심리'!$A545),ISNUMBER('자료_미국심리'!$B545)),'자료_미국심리'!$A545,"")</f>
        <v/>
      </c>
      <c r="P561">
        <f>IF(AND(ISNUMBER('자료_미국심리'!$D545),ISNUMBER('자료_미국심리'!$E545)),'자료_미국심리'!$D545,"")</f>
        <v/>
      </c>
      <c r="Q561">
        <f>IF(AND(ISNUMBER('자료_미국심리'!$G545),ISNUMBER('자료_미국심리'!$H545)),'자료_미국심리'!$G545,"")</f>
        <v/>
      </c>
    </row>
    <row r="562">
      <c r="A562" s="10">
        <f>IF(544&gt;$E$5,"",SMALL($O$19:$O$4018,$E$6+544))</f>
        <v/>
      </c>
      <c r="B562" s="29">
        <f>IF(A562="","",INDEX('자료_미국심리'!$B$3:$B$4002,MATCH(A562,$O$19:$O$4018,0)))</f>
        <v/>
      </c>
      <c r="C562" s="22">
        <f>IF(A562="","",B562/AVERAGE(B438:B562)-1)</f>
        <v/>
      </c>
      <c r="D562" s="29">
        <f>IF(A562="","",IFERROR(INDEX('자료_미국심리'!$E$3:$E$4002,MATCH(A562,$P$19:$P$4018,0)),D561))</f>
        <v/>
      </c>
      <c r="E562" s="29">
        <f>IF(A562="","",IFERROR(INDEX('자료_미국심리'!$H$3:$H$4002,MATCH(A562,$Q$19:$Q$4018,0)),E561))</f>
        <v/>
      </c>
      <c r="F562">
        <f>IF(A562="",0,IF(A562&gt;$B$5,1,0))</f>
        <v/>
      </c>
      <c r="G562" s="29">
        <f>IF(AND(F562=1,ISNUMBER(D562)),D562,"")</f>
        <v/>
      </c>
      <c r="H562" s="29">
        <f>IF(AND(F562=1,ISNUMBER(E562)),E562,"")</f>
        <v/>
      </c>
      <c r="I562" s="22">
        <f>IF(AND(F562=1,ISNUMBER(C562)),C562,"")</f>
        <v/>
      </c>
      <c r="J562" s="11">
        <f>IF(G562="","",100-IF($G$13=1,50,(_xlfn.RANK.AVG(G562,$G$19:$G$1518,1)-1)/($G$13-1)*100))</f>
        <v/>
      </c>
      <c r="K562" s="11">
        <f>IF(H562="","",100-IF($G$14=1,50,(_xlfn.RANK.AVG(H562,$H$19:$H$1518,1)-1)/($G$14-1)*100))</f>
        <v/>
      </c>
      <c r="L562" s="11">
        <f>IF(I562="","",IF($G$15=1,50,(_xlfn.RANK.AVG(I562,$I$19:$I$1518,1)-1)/($G$15-1)*100))</f>
        <v/>
      </c>
      <c r="M562" s="11">
        <f>IF(COUNT(J562:L562)=3,ROUND(AVERAGE(J562:L562),6),"")</f>
        <v/>
      </c>
      <c r="O562">
        <f>IF(AND(ISNUMBER('자료_미국심리'!$A546),ISNUMBER('자료_미국심리'!$B546)),'자료_미국심리'!$A546,"")</f>
        <v/>
      </c>
      <c r="P562">
        <f>IF(AND(ISNUMBER('자료_미국심리'!$D546),ISNUMBER('자료_미국심리'!$E546)),'자료_미국심리'!$D546,"")</f>
        <v/>
      </c>
      <c r="Q562">
        <f>IF(AND(ISNUMBER('자료_미국심리'!$G546),ISNUMBER('자료_미국심리'!$H546)),'자료_미국심리'!$G546,"")</f>
        <v/>
      </c>
    </row>
    <row r="563">
      <c r="A563" s="10">
        <f>IF(545&gt;$E$5,"",SMALL($O$19:$O$4018,$E$6+545))</f>
        <v/>
      </c>
      <c r="B563" s="29">
        <f>IF(A563="","",INDEX('자료_미국심리'!$B$3:$B$4002,MATCH(A563,$O$19:$O$4018,0)))</f>
        <v/>
      </c>
      <c r="C563" s="22">
        <f>IF(A563="","",B563/AVERAGE(B439:B563)-1)</f>
        <v/>
      </c>
      <c r="D563" s="29">
        <f>IF(A563="","",IFERROR(INDEX('자료_미국심리'!$E$3:$E$4002,MATCH(A563,$P$19:$P$4018,0)),D562))</f>
        <v/>
      </c>
      <c r="E563" s="29">
        <f>IF(A563="","",IFERROR(INDEX('자료_미국심리'!$H$3:$H$4002,MATCH(A563,$Q$19:$Q$4018,0)),E562))</f>
        <v/>
      </c>
      <c r="F563">
        <f>IF(A563="",0,IF(A563&gt;$B$5,1,0))</f>
        <v/>
      </c>
      <c r="G563" s="29">
        <f>IF(AND(F563=1,ISNUMBER(D563)),D563,"")</f>
        <v/>
      </c>
      <c r="H563" s="29">
        <f>IF(AND(F563=1,ISNUMBER(E563)),E563,"")</f>
        <v/>
      </c>
      <c r="I563" s="22">
        <f>IF(AND(F563=1,ISNUMBER(C563)),C563,"")</f>
        <v/>
      </c>
      <c r="J563" s="11">
        <f>IF(G563="","",100-IF($G$13=1,50,(_xlfn.RANK.AVG(G563,$G$19:$G$1518,1)-1)/($G$13-1)*100))</f>
        <v/>
      </c>
      <c r="K563" s="11">
        <f>IF(H563="","",100-IF($G$14=1,50,(_xlfn.RANK.AVG(H563,$H$19:$H$1518,1)-1)/($G$14-1)*100))</f>
        <v/>
      </c>
      <c r="L563" s="11">
        <f>IF(I563="","",IF($G$15=1,50,(_xlfn.RANK.AVG(I563,$I$19:$I$1518,1)-1)/($G$15-1)*100))</f>
        <v/>
      </c>
      <c r="M563" s="11">
        <f>IF(COUNT(J563:L563)=3,ROUND(AVERAGE(J563:L563),6),"")</f>
        <v/>
      </c>
      <c r="O563">
        <f>IF(AND(ISNUMBER('자료_미국심리'!$A547),ISNUMBER('자료_미국심리'!$B547)),'자료_미국심리'!$A547,"")</f>
        <v/>
      </c>
      <c r="P563">
        <f>IF(AND(ISNUMBER('자료_미국심리'!$D547),ISNUMBER('자료_미국심리'!$E547)),'자료_미국심리'!$D547,"")</f>
        <v/>
      </c>
      <c r="Q563">
        <f>IF(AND(ISNUMBER('자료_미국심리'!$G547),ISNUMBER('자료_미국심리'!$H547)),'자료_미국심리'!$G547,"")</f>
        <v/>
      </c>
    </row>
    <row r="564">
      <c r="A564" s="10">
        <f>IF(546&gt;$E$5,"",SMALL($O$19:$O$4018,$E$6+546))</f>
        <v/>
      </c>
      <c r="B564" s="29">
        <f>IF(A564="","",INDEX('자료_미국심리'!$B$3:$B$4002,MATCH(A564,$O$19:$O$4018,0)))</f>
        <v/>
      </c>
      <c r="C564" s="22">
        <f>IF(A564="","",B564/AVERAGE(B440:B564)-1)</f>
        <v/>
      </c>
      <c r="D564" s="29">
        <f>IF(A564="","",IFERROR(INDEX('자료_미국심리'!$E$3:$E$4002,MATCH(A564,$P$19:$P$4018,0)),D563))</f>
        <v/>
      </c>
      <c r="E564" s="29">
        <f>IF(A564="","",IFERROR(INDEX('자료_미국심리'!$H$3:$H$4002,MATCH(A564,$Q$19:$Q$4018,0)),E563))</f>
        <v/>
      </c>
      <c r="F564">
        <f>IF(A564="",0,IF(A564&gt;$B$5,1,0))</f>
        <v/>
      </c>
      <c r="G564" s="29">
        <f>IF(AND(F564=1,ISNUMBER(D564)),D564,"")</f>
        <v/>
      </c>
      <c r="H564" s="29">
        <f>IF(AND(F564=1,ISNUMBER(E564)),E564,"")</f>
        <v/>
      </c>
      <c r="I564" s="22">
        <f>IF(AND(F564=1,ISNUMBER(C564)),C564,"")</f>
        <v/>
      </c>
      <c r="J564" s="11">
        <f>IF(G564="","",100-IF($G$13=1,50,(_xlfn.RANK.AVG(G564,$G$19:$G$1518,1)-1)/($G$13-1)*100))</f>
        <v/>
      </c>
      <c r="K564" s="11">
        <f>IF(H564="","",100-IF($G$14=1,50,(_xlfn.RANK.AVG(H564,$H$19:$H$1518,1)-1)/($G$14-1)*100))</f>
        <v/>
      </c>
      <c r="L564" s="11">
        <f>IF(I564="","",IF($G$15=1,50,(_xlfn.RANK.AVG(I564,$I$19:$I$1518,1)-1)/($G$15-1)*100))</f>
        <v/>
      </c>
      <c r="M564" s="11">
        <f>IF(COUNT(J564:L564)=3,ROUND(AVERAGE(J564:L564),6),"")</f>
        <v/>
      </c>
      <c r="O564">
        <f>IF(AND(ISNUMBER('자료_미국심리'!$A548),ISNUMBER('자료_미국심리'!$B548)),'자료_미국심리'!$A548,"")</f>
        <v/>
      </c>
      <c r="P564">
        <f>IF(AND(ISNUMBER('자료_미국심리'!$D548),ISNUMBER('자료_미국심리'!$E548)),'자료_미국심리'!$D548,"")</f>
        <v/>
      </c>
      <c r="Q564">
        <f>IF(AND(ISNUMBER('자료_미국심리'!$G548),ISNUMBER('자료_미국심리'!$H548)),'자료_미국심리'!$G548,"")</f>
        <v/>
      </c>
    </row>
    <row r="565">
      <c r="A565" s="10">
        <f>IF(547&gt;$E$5,"",SMALL($O$19:$O$4018,$E$6+547))</f>
        <v/>
      </c>
      <c r="B565" s="29">
        <f>IF(A565="","",INDEX('자료_미국심리'!$B$3:$B$4002,MATCH(A565,$O$19:$O$4018,0)))</f>
        <v/>
      </c>
      <c r="C565" s="22">
        <f>IF(A565="","",B565/AVERAGE(B441:B565)-1)</f>
        <v/>
      </c>
      <c r="D565" s="29">
        <f>IF(A565="","",IFERROR(INDEX('자료_미국심리'!$E$3:$E$4002,MATCH(A565,$P$19:$P$4018,0)),D564))</f>
        <v/>
      </c>
      <c r="E565" s="29">
        <f>IF(A565="","",IFERROR(INDEX('자료_미국심리'!$H$3:$H$4002,MATCH(A565,$Q$19:$Q$4018,0)),E564))</f>
        <v/>
      </c>
      <c r="F565">
        <f>IF(A565="",0,IF(A565&gt;$B$5,1,0))</f>
        <v/>
      </c>
      <c r="G565" s="29">
        <f>IF(AND(F565=1,ISNUMBER(D565)),D565,"")</f>
        <v/>
      </c>
      <c r="H565" s="29">
        <f>IF(AND(F565=1,ISNUMBER(E565)),E565,"")</f>
        <v/>
      </c>
      <c r="I565" s="22">
        <f>IF(AND(F565=1,ISNUMBER(C565)),C565,"")</f>
        <v/>
      </c>
      <c r="J565" s="11">
        <f>IF(G565="","",100-IF($G$13=1,50,(_xlfn.RANK.AVG(G565,$G$19:$G$1518,1)-1)/($G$13-1)*100))</f>
        <v/>
      </c>
      <c r="K565" s="11">
        <f>IF(H565="","",100-IF($G$14=1,50,(_xlfn.RANK.AVG(H565,$H$19:$H$1518,1)-1)/($G$14-1)*100))</f>
        <v/>
      </c>
      <c r="L565" s="11">
        <f>IF(I565="","",IF($G$15=1,50,(_xlfn.RANK.AVG(I565,$I$19:$I$1518,1)-1)/($G$15-1)*100))</f>
        <v/>
      </c>
      <c r="M565" s="11">
        <f>IF(COUNT(J565:L565)=3,ROUND(AVERAGE(J565:L565),6),"")</f>
        <v/>
      </c>
      <c r="O565">
        <f>IF(AND(ISNUMBER('자료_미국심리'!$A549),ISNUMBER('자료_미국심리'!$B549)),'자료_미국심리'!$A549,"")</f>
        <v/>
      </c>
      <c r="P565">
        <f>IF(AND(ISNUMBER('자료_미국심리'!$D549),ISNUMBER('자료_미국심리'!$E549)),'자료_미국심리'!$D549,"")</f>
        <v/>
      </c>
      <c r="Q565">
        <f>IF(AND(ISNUMBER('자료_미국심리'!$G549),ISNUMBER('자료_미국심리'!$H549)),'자료_미국심리'!$G549,"")</f>
        <v/>
      </c>
    </row>
    <row r="566">
      <c r="A566" s="10">
        <f>IF(548&gt;$E$5,"",SMALL($O$19:$O$4018,$E$6+548))</f>
        <v/>
      </c>
      <c r="B566" s="29">
        <f>IF(A566="","",INDEX('자료_미국심리'!$B$3:$B$4002,MATCH(A566,$O$19:$O$4018,0)))</f>
        <v/>
      </c>
      <c r="C566" s="22">
        <f>IF(A566="","",B566/AVERAGE(B442:B566)-1)</f>
        <v/>
      </c>
      <c r="D566" s="29">
        <f>IF(A566="","",IFERROR(INDEX('자료_미국심리'!$E$3:$E$4002,MATCH(A566,$P$19:$P$4018,0)),D565))</f>
        <v/>
      </c>
      <c r="E566" s="29">
        <f>IF(A566="","",IFERROR(INDEX('자료_미국심리'!$H$3:$H$4002,MATCH(A566,$Q$19:$Q$4018,0)),E565))</f>
        <v/>
      </c>
      <c r="F566">
        <f>IF(A566="",0,IF(A566&gt;$B$5,1,0))</f>
        <v/>
      </c>
      <c r="G566" s="29">
        <f>IF(AND(F566=1,ISNUMBER(D566)),D566,"")</f>
        <v/>
      </c>
      <c r="H566" s="29">
        <f>IF(AND(F566=1,ISNUMBER(E566)),E566,"")</f>
        <v/>
      </c>
      <c r="I566" s="22">
        <f>IF(AND(F566=1,ISNUMBER(C566)),C566,"")</f>
        <v/>
      </c>
      <c r="J566" s="11">
        <f>IF(G566="","",100-IF($G$13=1,50,(_xlfn.RANK.AVG(G566,$G$19:$G$1518,1)-1)/($G$13-1)*100))</f>
        <v/>
      </c>
      <c r="K566" s="11">
        <f>IF(H566="","",100-IF($G$14=1,50,(_xlfn.RANK.AVG(H566,$H$19:$H$1518,1)-1)/($G$14-1)*100))</f>
        <v/>
      </c>
      <c r="L566" s="11">
        <f>IF(I566="","",IF($G$15=1,50,(_xlfn.RANK.AVG(I566,$I$19:$I$1518,1)-1)/($G$15-1)*100))</f>
        <v/>
      </c>
      <c r="M566" s="11">
        <f>IF(COUNT(J566:L566)=3,ROUND(AVERAGE(J566:L566),6),"")</f>
        <v/>
      </c>
      <c r="O566">
        <f>IF(AND(ISNUMBER('자료_미국심리'!$A550),ISNUMBER('자료_미국심리'!$B550)),'자료_미국심리'!$A550,"")</f>
        <v/>
      </c>
      <c r="P566">
        <f>IF(AND(ISNUMBER('자료_미국심리'!$D550),ISNUMBER('자료_미국심리'!$E550)),'자료_미국심리'!$D550,"")</f>
        <v/>
      </c>
      <c r="Q566">
        <f>IF(AND(ISNUMBER('자료_미국심리'!$G550),ISNUMBER('자료_미국심리'!$H550)),'자료_미국심리'!$G550,"")</f>
        <v/>
      </c>
    </row>
    <row r="567">
      <c r="A567" s="10">
        <f>IF(549&gt;$E$5,"",SMALL($O$19:$O$4018,$E$6+549))</f>
        <v/>
      </c>
      <c r="B567" s="29">
        <f>IF(A567="","",INDEX('자료_미국심리'!$B$3:$B$4002,MATCH(A567,$O$19:$O$4018,0)))</f>
        <v/>
      </c>
      <c r="C567" s="22">
        <f>IF(A567="","",B567/AVERAGE(B443:B567)-1)</f>
        <v/>
      </c>
      <c r="D567" s="29">
        <f>IF(A567="","",IFERROR(INDEX('자료_미국심리'!$E$3:$E$4002,MATCH(A567,$P$19:$P$4018,0)),D566))</f>
        <v/>
      </c>
      <c r="E567" s="29">
        <f>IF(A567="","",IFERROR(INDEX('자료_미국심리'!$H$3:$H$4002,MATCH(A567,$Q$19:$Q$4018,0)),E566))</f>
        <v/>
      </c>
      <c r="F567">
        <f>IF(A567="",0,IF(A567&gt;$B$5,1,0))</f>
        <v/>
      </c>
      <c r="G567" s="29">
        <f>IF(AND(F567=1,ISNUMBER(D567)),D567,"")</f>
        <v/>
      </c>
      <c r="H567" s="29">
        <f>IF(AND(F567=1,ISNUMBER(E567)),E567,"")</f>
        <v/>
      </c>
      <c r="I567" s="22">
        <f>IF(AND(F567=1,ISNUMBER(C567)),C567,"")</f>
        <v/>
      </c>
      <c r="J567" s="11">
        <f>IF(G567="","",100-IF($G$13=1,50,(_xlfn.RANK.AVG(G567,$G$19:$G$1518,1)-1)/($G$13-1)*100))</f>
        <v/>
      </c>
      <c r="K567" s="11">
        <f>IF(H567="","",100-IF($G$14=1,50,(_xlfn.RANK.AVG(H567,$H$19:$H$1518,1)-1)/($G$14-1)*100))</f>
        <v/>
      </c>
      <c r="L567" s="11">
        <f>IF(I567="","",IF($G$15=1,50,(_xlfn.RANK.AVG(I567,$I$19:$I$1518,1)-1)/($G$15-1)*100))</f>
        <v/>
      </c>
      <c r="M567" s="11">
        <f>IF(COUNT(J567:L567)=3,ROUND(AVERAGE(J567:L567),6),"")</f>
        <v/>
      </c>
      <c r="O567">
        <f>IF(AND(ISNUMBER('자료_미국심리'!$A551),ISNUMBER('자료_미국심리'!$B551)),'자료_미국심리'!$A551,"")</f>
        <v/>
      </c>
      <c r="P567">
        <f>IF(AND(ISNUMBER('자료_미국심리'!$D551),ISNUMBER('자료_미국심리'!$E551)),'자료_미국심리'!$D551,"")</f>
        <v/>
      </c>
      <c r="Q567">
        <f>IF(AND(ISNUMBER('자료_미국심리'!$G551),ISNUMBER('자료_미국심리'!$H551)),'자료_미국심리'!$G551,"")</f>
        <v/>
      </c>
    </row>
    <row r="568">
      <c r="A568" s="10">
        <f>IF(550&gt;$E$5,"",SMALL($O$19:$O$4018,$E$6+550))</f>
        <v/>
      </c>
      <c r="B568" s="29">
        <f>IF(A568="","",INDEX('자료_미국심리'!$B$3:$B$4002,MATCH(A568,$O$19:$O$4018,0)))</f>
        <v/>
      </c>
      <c r="C568" s="22">
        <f>IF(A568="","",B568/AVERAGE(B444:B568)-1)</f>
        <v/>
      </c>
      <c r="D568" s="29">
        <f>IF(A568="","",IFERROR(INDEX('자료_미국심리'!$E$3:$E$4002,MATCH(A568,$P$19:$P$4018,0)),D567))</f>
        <v/>
      </c>
      <c r="E568" s="29">
        <f>IF(A568="","",IFERROR(INDEX('자료_미국심리'!$H$3:$H$4002,MATCH(A568,$Q$19:$Q$4018,0)),E567))</f>
        <v/>
      </c>
      <c r="F568">
        <f>IF(A568="",0,IF(A568&gt;$B$5,1,0))</f>
        <v/>
      </c>
      <c r="G568" s="29">
        <f>IF(AND(F568=1,ISNUMBER(D568)),D568,"")</f>
        <v/>
      </c>
      <c r="H568" s="29">
        <f>IF(AND(F568=1,ISNUMBER(E568)),E568,"")</f>
        <v/>
      </c>
      <c r="I568" s="22">
        <f>IF(AND(F568=1,ISNUMBER(C568)),C568,"")</f>
        <v/>
      </c>
      <c r="J568" s="11">
        <f>IF(G568="","",100-IF($G$13=1,50,(_xlfn.RANK.AVG(G568,$G$19:$G$1518,1)-1)/($G$13-1)*100))</f>
        <v/>
      </c>
      <c r="K568" s="11">
        <f>IF(H568="","",100-IF($G$14=1,50,(_xlfn.RANK.AVG(H568,$H$19:$H$1518,1)-1)/($G$14-1)*100))</f>
        <v/>
      </c>
      <c r="L568" s="11">
        <f>IF(I568="","",IF($G$15=1,50,(_xlfn.RANK.AVG(I568,$I$19:$I$1518,1)-1)/($G$15-1)*100))</f>
        <v/>
      </c>
      <c r="M568" s="11">
        <f>IF(COUNT(J568:L568)=3,ROUND(AVERAGE(J568:L568),6),"")</f>
        <v/>
      </c>
      <c r="O568">
        <f>IF(AND(ISNUMBER('자료_미국심리'!$A552),ISNUMBER('자료_미국심리'!$B552)),'자료_미국심리'!$A552,"")</f>
        <v/>
      </c>
      <c r="P568">
        <f>IF(AND(ISNUMBER('자료_미국심리'!$D552),ISNUMBER('자료_미국심리'!$E552)),'자료_미국심리'!$D552,"")</f>
        <v/>
      </c>
      <c r="Q568">
        <f>IF(AND(ISNUMBER('자료_미국심리'!$G552),ISNUMBER('자료_미국심리'!$H552)),'자료_미국심리'!$G552,"")</f>
        <v/>
      </c>
    </row>
    <row r="569">
      <c r="A569" s="10">
        <f>IF(551&gt;$E$5,"",SMALL($O$19:$O$4018,$E$6+551))</f>
        <v/>
      </c>
      <c r="B569" s="29">
        <f>IF(A569="","",INDEX('자료_미국심리'!$B$3:$B$4002,MATCH(A569,$O$19:$O$4018,0)))</f>
        <v/>
      </c>
      <c r="C569" s="22">
        <f>IF(A569="","",B569/AVERAGE(B445:B569)-1)</f>
        <v/>
      </c>
      <c r="D569" s="29">
        <f>IF(A569="","",IFERROR(INDEX('자료_미국심리'!$E$3:$E$4002,MATCH(A569,$P$19:$P$4018,0)),D568))</f>
        <v/>
      </c>
      <c r="E569" s="29">
        <f>IF(A569="","",IFERROR(INDEX('자료_미국심리'!$H$3:$H$4002,MATCH(A569,$Q$19:$Q$4018,0)),E568))</f>
        <v/>
      </c>
      <c r="F569">
        <f>IF(A569="",0,IF(A569&gt;$B$5,1,0))</f>
        <v/>
      </c>
      <c r="G569" s="29">
        <f>IF(AND(F569=1,ISNUMBER(D569)),D569,"")</f>
        <v/>
      </c>
      <c r="H569" s="29">
        <f>IF(AND(F569=1,ISNUMBER(E569)),E569,"")</f>
        <v/>
      </c>
      <c r="I569" s="22">
        <f>IF(AND(F569=1,ISNUMBER(C569)),C569,"")</f>
        <v/>
      </c>
      <c r="J569" s="11">
        <f>IF(G569="","",100-IF($G$13=1,50,(_xlfn.RANK.AVG(G569,$G$19:$G$1518,1)-1)/($G$13-1)*100))</f>
        <v/>
      </c>
      <c r="K569" s="11">
        <f>IF(H569="","",100-IF($G$14=1,50,(_xlfn.RANK.AVG(H569,$H$19:$H$1518,1)-1)/($G$14-1)*100))</f>
        <v/>
      </c>
      <c r="L569" s="11">
        <f>IF(I569="","",IF($G$15=1,50,(_xlfn.RANK.AVG(I569,$I$19:$I$1518,1)-1)/($G$15-1)*100))</f>
        <v/>
      </c>
      <c r="M569" s="11">
        <f>IF(COUNT(J569:L569)=3,ROUND(AVERAGE(J569:L569),6),"")</f>
        <v/>
      </c>
      <c r="O569">
        <f>IF(AND(ISNUMBER('자료_미국심리'!$A553),ISNUMBER('자료_미국심리'!$B553)),'자료_미국심리'!$A553,"")</f>
        <v/>
      </c>
      <c r="P569">
        <f>IF(AND(ISNUMBER('자료_미국심리'!$D553),ISNUMBER('자료_미국심리'!$E553)),'자료_미국심리'!$D553,"")</f>
        <v/>
      </c>
      <c r="Q569">
        <f>IF(AND(ISNUMBER('자료_미국심리'!$G553),ISNUMBER('자료_미국심리'!$H553)),'자료_미국심리'!$G553,"")</f>
        <v/>
      </c>
    </row>
    <row r="570">
      <c r="A570" s="10">
        <f>IF(552&gt;$E$5,"",SMALL($O$19:$O$4018,$E$6+552))</f>
        <v/>
      </c>
      <c r="B570" s="29">
        <f>IF(A570="","",INDEX('자료_미국심리'!$B$3:$B$4002,MATCH(A570,$O$19:$O$4018,0)))</f>
        <v/>
      </c>
      <c r="C570" s="22">
        <f>IF(A570="","",B570/AVERAGE(B446:B570)-1)</f>
        <v/>
      </c>
      <c r="D570" s="29">
        <f>IF(A570="","",IFERROR(INDEX('자료_미국심리'!$E$3:$E$4002,MATCH(A570,$P$19:$P$4018,0)),D569))</f>
        <v/>
      </c>
      <c r="E570" s="29">
        <f>IF(A570="","",IFERROR(INDEX('자료_미국심리'!$H$3:$H$4002,MATCH(A570,$Q$19:$Q$4018,0)),E569))</f>
        <v/>
      </c>
      <c r="F570">
        <f>IF(A570="",0,IF(A570&gt;$B$5,1,0))</f>
        <v/>
      </c>
      <c r="G570" s="29">
        <f>IF(AND(F570=1,ISNUMBER(D570)),D570,"")</f>
        <v/>
      </c>
      <c r="H570" s="29">
        <f>IF(AND(F570=1,ISNUMBER(E570)),E570,"")</f>
        <v/>
      </c>
      <c r="I570" s="22">
        <f>IF(AND(F570=1,ISNUMBER(C570)),C570,"")</f>
        <v/>
      </c>
      <c r="J570" s="11">
        <f>IF(G570="","",100-IF($G$13=1,50,(_xlfn.RANK.AVG(G570,$G$19:$G$1518,1)-1)/($G$13-1)*100))</f>
        <v/>
      </c>
      <c r="K570" s="11">
        <f>IF(H570="","",100-IF($G$14=1,50,(_xlfn.RANK.AVG(H570,$H$19:$H$1518,1)-1)/($G$14-1)*100))</f>
        <v/>
      </c>
      <c r="L570" s="11">
        <f>IF(I570="","",IF($G$15=1,50,(_xlfn.RANK.AVG(I570,$I$19:$I$1518,1)-1)/($G$15-1)*100))</f>
        <v/>
      </c>
      <c r="M570" s="11">
        <f>IF(COUNT(J570:L570)=3,ROUND(AVERAGE(J570:L570),6),"")</f>
        <v/>
      </c>
      <c r="O570">
        <f>IF(AND(ISNUMBER('자료_미국심리'!$A554),ISNUMBER('자료_미국심리'!$B554)),'자료_미국심리'!$A554,"")</f>
        <v/>
      </c>
      <c r="P570">
        <f>IF(AND(ISNUMBER('자료_미국심리'!$D554),ISNUMBER('자료_미국심리'!$E554)),'자료_미국심리'!$D554,"")</f>
        <v/>
      </c>
      <c r="Q570">
        <f>IF(AND(ISNUMBER('자료_미국심리'!$G554),ISNUMBER('자료_미국심리'!$H554)),'자료_미국심리'!$G554,"")</f>
        <v/>
      </c>
    </row>
    <row r="571">
      <c r="A571" s="10">
        <f>IF(553&gt;$E$5,"",SMALL($O$19:$O$4018,$E$6+553))</f>
        <v/>
      </c>
      <c r="B571" s="29">
        <f>IF(A571="","",INDEX('자료_미국심리'!$B$3:$B$4002,MATCH(A571,$O$19:$O$4018,0)))</f>
        <v/>
      </c>
      <c r="C571" s="22">
        <f>IF(A571="","",B571/AVERAGE(B447:B571)-1)</f>
        <v/>
      </c>
      <c r="D571" s="29">
        <f>IF(A571="","",IFERROR(INDEX('자료_미국심리'!$E$3:$E$4002,MATCH(A571,$P$19:$P$4018,0)),D570))</f>
        <v/>
      </c>
      <c r="E571" s="29">
        <f>IF(A571="","",IFERROR(INDEX('자료_미국심리'!$H$3:$H$4002,MATCH(A571,$Q$19:$Q$4018,0)),E570))</f>
        <v/>
      </c>
      <c r="F571">
        <f>IF(A571="",0,IF(A571&gt;$B$5,1,0))</f>
        <v/>
      </c>
      <c r="G571" s="29">
        <f>IF(AND(F571=1,ISNUMBER(D571)),D571,"")</f>
        <v/>
      </c>
      <c r="H571" s="29">
        <f>IF(AND(F571=1,ISNUMBER(E571)),E571,"")</f>
        <v/>
      </c>
      <c r="I571" s="22">
        <f>IF(AND(F571=1,ISNUMBER(C571)),C571,"")</f>
        <v/>
      </c>
      <c r="J571" s="11">
        <f>IF(G571="","",100-IF($G$13=1,50,(_xlfn.RANK.AVG(G571,$G$19:$G$1518,1)-1)/($G$13-1)*100))</f>
        <v/>
      </c>
      <c r="K571" s="11">
        <f>IF(H571="","",100-IF($G$14=1,50,(_xlfn.RANK.AVG(H571,$H$19:$H$1518,1)-1)/($G$14-1)*100))</f>
        <v/>
      </c>
      <c r="L571" s="11">
        <f>IF(I571="","",IF($G$15=1,50,(_xlfn.RANK.AVG(I571,$I$19:$I$1518,1)-1)/($G$15-1)*100))</f>
        <v/>
      </c>
      <c r="M571" s="11">
        <f>IF(COUNT(J571:L571)=3,ROUND(AVERAGE(J571:L571),6),"")</f>
        <v/>
      </c>
      <c r="O571">
        <f>IF(AND(ISNUMBER('자료_미국심리'!$A555),ISNUMBER('자료_미국심리'!$B555)),'자료_미국심리'!$A555,"")</f>
        <v/>
      </c>
      <c r="P571">
        <f>IF(AND(ISNUMBER('자료_미국심리'!$D555),ISNUMBER('자료_미국심리'!$E555)),'자료_미국심리'!$D555,"")</f>
        <v/>
      </c>
      <c r="Q571">
        <f>IF(AND(ISNUMBER('자료_미국심리'!$G555),ISNUMBER('자료_미국심리'!$H555)),'자료_미국심리'!$G555,"")</f>
        <v/>
      </c>
    </row>
    <row r="572">
      <c r="A572" s="10">
        <f>IF(554&gt;$E$5,"",SMALL($O$19:$O$4018,$E$6+554))</f>
        <v/>
      </c>
      <c r="B572" s="29">
        <f>IF(A572="","",INDEX('자료_미국심리'!$B$3:$B$4002,MATCH(A572,$O$19:$O$4018,0)))</f>
        <v/>
      </c>
      <c r="C572" s="22">
        <f>IF(A572="","",B572/AVERAGE(B448:B572)-1)</f>
        <v/>
      </c>
      <c r="D572" s="29">
        <f>IF(A572="","",IFERROR(INDEX('자료_미국심리'!$E$3:$E$4002,MATCH(A572,$P$19:$P$4018,0)),D571))</f>
        <v/>
      </c>
      <c r="E572" s="29">
        <f>IF(A572="","",IFERROR(INDEX('자료_미국심리'!$H$3:$H$4002,MATCH(A572,$Q$19:$Q$4018,0)),E571))</f>
        <v/>
      </c>
      <c r="F572">
        <f>IF(A572="",0,IF(A572&gt;$B$5,1,0))</f>
        <v/>
      </c>
      <c r="G572" s="29">
        <f>IF(AND(F572=1,ISNUMBER(D572)),D572,"")</f>
        <v/>
      </c>
      <c r="H572" s="29">
        <f>IF(AND(F572=1,ISNUMBER(E572)),E572,"")</f>
        <v/>
      </c>
      <c r="I572" s="22">
        <f>IF(AND(F572=1,ISNUMBER(C572)),C572,"")</f>
        <v/>
      </c>
      <c r="J572" s="11">
        <f>IF(G572="","",100-IF($G$13=1,50,(_xlfn.RANK.AVG(G572,$G$19:$G$1518,1)-1)/($G$13-1)*100))</f>
        <v/>
      </c>
      <c r="K572" s="11">
        <f>IF(H572="","",100-IF($G$14=1,50,(_xlfn.RANK.AVG(H572,$H$19:$H$1518,1)-1)/($G$14-1)*100))</f>
        <v/>
      </c>
      <c r="L572" s="11">
        <f>IF(I572="","",IF($G$15=1,50,(_xlfn.RANK.AVG(I572,$I$19:$I$1518,1)-1)/($G$15-1)*100))</f>
        <v/>
      </c>
      <c r="M572" s="11">
        <f>IF(COUNT(J572:L572)=3,ROUND(AVERAGE(J572:L572),6),"")</f>
        <v/>
      </c>
      <c r="O572">
        <f>IF(AND(ISNUMBER('자료_미국심리'!$A556),ISNUMBER('자료_미국심리'!$B556)),'자료_미국심리'!$A556,"")</f>
        <v/>
      </c>
      <c r="P572">
        <f>IF(AND(ISNUMBER('자료_미국심리'!$D556),ISNUMBER('자료_미국심리'!$E556)),'자료_미국심리'!$D556,"")</f>
        <v/>
      </c>
      <c r="Q572">
        <f>IF(AND(ISNUMBER('자료_미국심리'!$G556),ISNUMBER('자료_미국심리'!$H556)),'자료_미국심리'!$G556,"")</f>
        <v/>
      </c>
    </row>
    <row r="573">
      <c r="A573" s="10">
        <f>IF(555&gt;$E$5,"",SMALL($O$19:$O$4018,$E$6+555))</f>
        <v/>
      </c>
      <c r="B573" s="29">
        <f>IF(A573="","",INDEX('자료_미국심리'!$B$3:$B$4002,MATCH(A573,$O$19:$O$4018,0)))</f>
        <v/>
      </c>
      <c r="C573" s="22">
        <f>IF(A573="","",B573/AVERAGE(B449:B573)-1)</f>
        <v/>
      </c>
      <c r="D573" s="29">
        <f>IF(A573="","",IFERROR(INDEX('자료_미국심리'!$E$3:$E$4002,MATCH(A573,$P$19:$P$4018,0)),D572))</f>
        <v/>
      </c>
      <c r="E573" s="29">
        <f>IF(A573="","",IFERROR(INDEX('자료_미국심리'!$H$3:$H$4002,MATCH(A573,$Q$19:$Q$4018,0)),E572))</f>
        <v/>
      </c>
      <c r="F573">
        <f>IF(A573="",0,IF(A573&gt;$B$5,1,0))</f>
        <v/>
      </c>
      <c r="G573" s="29">
        <f>IF(AND(F573=1,ISNUMBER(D573)),D573,"")</f>
        <v/>
      </c>
      <c r="H573" s="29">
        <f>IF(AND(F573=1,ISNUMBER(E573)),E573,"")</f>
        <v/>
      </c>
      <c r="I573" s="22">
        <f>IF(AND(F573=1,ISNUMBER(C573)),C573,"")</f>
        <v/>
      </c>
      <c r="J573" s="11">
        <f>IF(G573="","",100-IF($G$13=1,50,(_xlfn.RANK.AVG(G573,$G$19:$G$1518,1)-1)/($G$13-1)*100))</f>
        <v/>
      </c>
      <c r="K573" s="11">
        <f>IF(H573="","",100-IF($G$14=1,50,(_xlfn.RANK.AVG(H573,$H$19:$H$1518,1)-1)/($G$14-1)*100))</f>
        <v/>
      </c>
      <c r="L573" s="11">
        <f>IF(I573="","",IF($G$15=1,50,(_xlfn.RANK.AVG(I573,$I$19:$I$1518,1)-1)/($G$15-1)*100))</f>
        <v/>
      </c>
      <c r="M573" s="11">
        <f>IF(COUNT(J573:L573)=3,ROUND(AVERAGE(J573:L573),6),"")</f>
        <v/>
      </c>
      <c r="O573">
        <f>IF(AND(ISNUMBER('자료_미국심리'!$A557),ISNUMBER('자료_미국심리'!$B557)),'자료_미국심리'!$A557,"")</f>
        <v/>
      </c>
      <c r="P573">
        <f>IF(AND(ISNUMBER('자료_미국심리'!$D557),ISNUMBER('자료_미국심리'!$E557)),'자료_미국심리'!$D557,"")</f>
        <v/>
      </c>
      <c r="Q573">
        <f>IF(AND(ISNUMBER('자료_미국심리'!$G557),ISNUMBER('자료_미국심리'!$H557)),'자료_미국심리'!$G557,"")</f>
        <v/>
      </c>
    </row>
    <row r="574">
      <c r="A574" s="10">
        <f>IF(556&gt;$E$5,"",SMALL($O$19:$O$4018,$E$6+556))</f>
        <v/>
      </c>
      <c r="B574" s="29">
        <f>IF(A574="","",INDEX('자료_미국심리'!$B$3:$B$4002,MATCH(A574,$O$19:$O$4018,0)))</f>
        <v/>
      </c>
      <c r="C574" s="22">
        <f>IF(A574="","",B574/AVERAGE(B450:B574)-1)</f>
        <v/>
      </c>
      <c r="D574" s="29">
        <f>IF(A574="","",IFERROR(INDEX('자료_미국심리'!$E$3:$E$4002,MATCH(A574,$P$19:$P$4018,0)),D573))</f>
        <v/>
      </c>
      <c r="E574" s="29">
        <f>IF(A574="","",IFERROR(INDEX('자료_미국심리'!$H$3:$H$4002,MATCH(A574,$Q$19:$Q$4018,0)),E573))</f>
        <v/>
      </c>
      <c r="F574">
        <f>IF(A574="",0,IF(A574&gt;$B$5,1,0))</f>
        <v/>
      </c>
      <c r="G574" s="29">
        <f>IF(AND(F574=1,ISNUMBER(D574)),D574,"")</f>
        <v/>
      </c>
      <c r="H574" s="29">
        <f>IF(AND(F574=1,ISNUMBER(E574)),E574,"")</f>
        <v/>
      </c>
      <c r="I574" s="22">
        <f>IF(AND(F574=1,ISNUMBER(C574)),C574,"")</f>
        <v/>
      </c>
      <c r="J574" s="11">
        <f>IF(G574="","",100-IF($G$13=1,50,(_xlfn.RANK.AVG(G574,$G$19:$G$1518,1)-1)/($G$13-1)*100))</f>
        <v/>
      </c>
      <c r="K574" s="11">
        <f>IF(H574="","",100-IF($G$14=1,50,(_xlfn.RANK.AVG(H574,$H$19:$H$1518,1)-1)/($G$14-1)*100))</f>
        <v/>
      </c>
      <c r="L574" s="11">
        <f>IF(I574="","",IF($G$15=1,50,(_xlfn.RANK.AVG(I574,$I$19:$I$1518,1)-1)/($G$15-1)*100))</f>
        <v/>
      </c>
      <c r="M574" s="11">
        <f>IF(COUNT(J574:L574)=3,ROUND(AVERAGE(J574:L574),6),"")</f>
        <v/>
      </c>
      <c r="O574">
        <f>IF(AND(ISNUMBER('자료_미국심리'!$A558),ISNUMBER('자료_미국심리'!$B558)),'자료_미국심리'!$A558,"")</f>
        <v/>
      </c>
      <c r="P574">
        <f>IF(AND(ISNUMBER('자료_미국심리'!$D558),ISNUMBER('자료_미국심리'!$E558)),'자료_미국심리'!$D558,"")</f>
        <v/>
      </c>
      <c r="Q574">
        <f>IF(AND(ISNUMBER('자료_미국심리'!$G558),ISNUMBER('자료_미국심리'!$H558)),'자료_미국심리'!$G558,"")</f>
        <v/>
      </c>
    </row>
    <row r="575">
      <c r="A575" s="10">
        <f>IF(557&gt;$E$5,"",SMALL($O$19:$O$4018,$E$6+557))</f>
        <v/>
      </c>
      <c r="B575" s="29">
        <f>IF(A575="","",INDEX('자료_미국심리'!$B$3:$B$4002,MATCH(A575,$O$19:$O$4018,0)))</f>
        <v/>
      </c>
      <c r="C575" s="22">
        <f>IF(A575="","",B575/AVERAGE(B451:B575)-1)</f>
        <v/>
      </c>
      <c r="D575" s="29">
        <f>IF(A575="","",IFERROR(INDEX('자료_미국심리'!$E$3:$E$4002,MATCH(A575,$P$19:$P$4018,0)),D574))</f>
        <v/>
      </c>
      <c r="E575" s="29">
        <f>IF(A575="","",IFERROR(INDEX('자료_미국심리'!$H$3:$H$4002,MATCH(A575,$Q$19:$Q$4018,0)),E574))</f>
        <v/>
      </c>
      <c r="F575">
        <f>IF(A575="",0,IF(A575&gt;$B$5,1,0))</f>
        <v/>
      </c>
      <c r="G575" s="29">
        <f>IF(AND(F575=1,ISNUMBER(D575)),D575,"")</f>
        <v/>
      </c>
      <c r="H575" s="29">
        <f>IF(AND(F575=1,ISNUMBER(E575)),E575,"")</f>
        <v/>
      </c>
      <c r="I575" s="22">
        <f>IF(AND(F575=1,ISNUMBER(C575)),C575,"")</f>
        <v/>
      </c>
      <c r="J575" s="11">
        <f>IF(G575="","",100-IF($G$13=1,50,(_xlfn.RANK.AVG(G575,$G$19:$G$1518,1)-1)/($G$13-1)*100))</f>
        <v/>
      </c>
      <c r="K575" s="11">
        <f>IF(H575="","",100-IF($G$14=1,50,(_xlfn.RANK.AVG(H575,$H$19:$H$1518,1)-1)/($G$14-1)*100))</f>
        <v/>
      </c>
      <c r="L575" s="11">
        <f>IF(I575="","",IF($G$15=1,50,(_xlfn.RANK.AVG(I575,$I$19:$I$1518,1)-1)/($G$15-1)*100))</f>
        <v/>
      </c>
      <c r="M575" s="11">
        <f>IF(COUNT(J575:L575)=3,ROUND(AVERAGE(J575:L575),6),"")</f>
        <v/>
      </c>
      <c r="O575">
        <f>IF(AND(ISNUMBER('자료_미국심리'!$A559),ISNUMBER('자료_미국심리'!$B559)),'자료_미국심리'!$A559,"")</f>
        <v/>
      </c>
      <c r="P575">
        <f>IF(AND(ISNUMBER('자료_미국심리'!$D559),ISNUMBER('자료_미국심리'!$E559)),'자료_미국심리'!$D559,"")</f>
        <v/>
      </c>
      <c r="Q575">
        <f>IF(AND(ISNUMBER('자료_미국심리'!$G559),ISNUMBER('자료_미국심리'!$H559)),'자료_미국심리'!$G559,"")</f>
        <v/>
      </c>
    </row>
    <row r="576">
      <c r="A576" s="10">
        <f>IF(558&gt;$E$5,"",SMALL($O$19:$O$4018,$E$6+558))</f>
        <v/>
      </c>
      <c r="B576" s="29">
        <f>IF(A576="","",INDEX('자료_미국심리'!$B$3:$B$4002,MATCH(A576,$O$19:$O$4018,0)))</f>
        <v/>
      </c>
      <c r="C576" s="22">
        <f>IF(A576="","",B576/AVERAGE(B452:B576)-1)</f>
        <v/>
      </c>
      <c r="D576" s="29">
        <f>IF(A576="","",IFERROR(INDEX('자료_미국심리'!$E$3:$E$4002,MATCH(A576,$P$19:$P$4018,0)),D575))</f>
        <v/>
      </c>
      <c r="E576" s="29">
        <f>IF(A576="","",IFERROR(INDEX('자료_미국심리'!$H$3:$H$4002,MATCH(A576,$Q$19:$Q$4018,0)),E575))</f>
        <v/>
      </c>
      <c r="F576">
        <f>IF(A576="",0,IF(A576&gt;$B$5,1,0))</f>
        <v/>
      </c>
      <c r="G576" s="29">
        <f>IF(AND(F576=1,ISNUMBER(D576)),D576,"")</f>
        <v/>
      </c>
      <c r="H576" s="29">
        <f>IF(AND(F576=1,ISNUMBER(E576)),E576,"")</f>
        <v/>
      </c>
      <c r="I576" s="22">
        <f>IF(AND(F576=1,ISNUMBER(C576)),C576,"")</f>
        <v/>
      </c>
      <c r="J576" s="11">
        <f>IF(G576="","",100-IF($G$13=1,50,(_xlfn.RANK.AVG(G576,$G$19:$G$1518,1)-1)/($G$13-1)*100))</f>
        <v/>
      </c>
      <c r="K576" s="11">
        <f>IF(H576="","",100-IF($G$14=1,50,(_xlfn.RANK.AVG(H576,$H$19:$H$1518,1)-1)/($G$14-1)*100))</f>
        <v/>
      </c>
      <c r="L576" s="11">
        <f>IF(I576="","",IF($G$15=1,50,(_xlfn.RANK.AVG(I576,$I$19:$I$1518,1)-1)/($G$15-1)*100))</f>
        <v/>
      </c>
      <c r="M576" s="11">
        <f>IF(COUNT(J576:L576)=3,ROUND(AVERAGE(J576:L576),6),"")</f>
        <v/>
      </c>
      <c r="O576">
        <f>IF(AND(ISNUMBER('자료_미국심리'!$A560),ISNUMBER('자료_미국심리'!$B560)),'자료_미국심리'!$A560,"")</f>
        <v/>
      </c>
      <c r="P576">
        <f>IF(AND(ISNUMBER('자료_미국심리'!$D560),ISNUMBER('자료_미국심리'!$E560)),'자료_미국심리'!$D560,"")</f>
        <v/>
      </c>
      <c r="Q576">
        <f>IF(AND(ISNUMBER('자료_미국심리'!$G560),ISNUMBER('자료_미국심리'!$H560)),'자료_미국심리'!$G560,"")</f>
        <v/>
      </c>
    </row>
    <row r="577">
      <c r="A577" s="10">
        <f>IF(559&gt;$E$5,"",SMALL($O$19:$O$4018,$E$6+559))</f>
        <v/>
      </c>
      <c r="B577" s="29">
        <f>IF(A577="","",INDEX('자료_미국심리'!$B$3:$B$4002,MATCH(A577,$O$19:$O$4018,0)))</f>
        <v/>
      </c>
      <c r="C577" s="22">
        <f>IF(A577="","",B577/AVERAGE(B453:B577)-1)</f>
        <v/>
      </c>
      <c r="D577" s="29">
        <f>IF(A577="","",IFERROR(INDEX('자료_미국심리'!$E$3:$E$4002,MATCH(A577,$P$19:$P$4018,0)),D576))</f>
        <v/>
      </c>
      <c r="E577" s="29">
        <f>IF(A577="","",IFERROR(INDEX('자료_미국심리'!$H$3:$H$4002,MATCH(A577,$Q$19:$Q$4018,0)),E576))</f>
        <v/>
      </c>
      <c r="F577">
        <f>IF(A577="",0,IF(A577&gt;$B$5,1,0))</f>
        <v/>
      </c>
      <c r="G577" s="29">
        <f>IF(AND(F577=1,ISNUMBER(D577)),D577,"")</f>
        <v/>
      </c>
      <c r="H577" s="29">
        <f>IF(AND(F577=1,ISNUMBER(E577)),E577,"")</f>
        <v/>
      </c>
      <c r="I577" s="22">
        <f>IF(AND(F577=1,ISNUMBER(C577)),C577,"")</f>
        <v/>
      </c>
      <c r="J577" s="11">
        <f>IF(G577="","",100-IF($G$13=1,50,(_xlfn.RANK.AVG(G577,$G$19:$G$1518,1)-1)/($G$13-1)*100))</f>
        <v/>
      </c>
      <c r="K577" s="11">
        <f>IF(H577="","",100-IF($G$14=1,50,(_xlfn.RANK.AVG(H577,$H$19:$H$1518,1)-1)/($G$14-1)*100))</f>
        <v/>
      </c>
      <c r="L577" s="11">
        <f>IF(I577="","",IF($G$15=1,50,(_xlfn.RANK.AVG(I577,$I$19:$I$1518,1)-1)/($G$15-1)*100))</f>
        <v/>
      </c>
      <c r="M577" s="11">
        <f>IF(COUNT(J577:L577)=3,ROUND(AVERAGE(J577:L577),6),"")</f>
        <v/>
      </c>
      <c r="O577">
        <f>IF(AND(ISNUMBER('자료_미국심리'!$A561),ISNUMBER('자료_미국심리'!$B561)),'자료_미국심리'!$A561,"")</f>
        <v/>
      </c>
      <c r="P577">
        <f>IF(AND(ISNUMBER('자료_미국심리'!$D561),ISNUMBER('자료_미국심리'!$E561)),'자료_미국심리'!$D561,"")</f>
        <v/>
      </c>
      <c r="Q577">
        <f>IF(AND(ISNUMBER('자료_미국심리'!$G561),ISNUMBER('자료_미국심리'!$H561)),'자료_미국심리'!$G561,"")</f>
        <v/>
      </c>
    </row>
    <row r="578">
      <c r="A578" s="10">
        <f>IF(560&gt;$E$5,"",SMALL($O$19:$O$4018,$E$6+560))</f>
        <v/>
      </c>
      <c r="B578" s="29">
        <f>IF(A578="","",INDEX('자료_미국심리'!$B$3:$B$4002,MATCH(A578,$O$19:$O$4018,0)))</f>
        <v/>
      </c>
      <c r="C578" s="22">
        <f>IF(A578="","",B578/AVERAGE(B454:B578)-1)</f>
        <v/>
      </c>
      <c r="D578" s="29">
        <f>IF(A578="","",IFERROR(INDEX('자료_미국심리'!$E$3:$E$4002,MATCH(A578,$P$19:$P$4018,0)),D577))</f>
        <v/>
      </c>
      <c r="E578" s="29">
        <f>IF(A578="","",IFERROR(INDEX('자료_미국심리'!$H$3:$H$4002,MATCH(A578,$Q$19:$Q$4018,0)),E577))</f>
        <v/>
      </c>
      <c r="F578">
        <f>IF(A578="",0,IF(A578&gt;$B$5,1,0))</f>
        <v/>
      </c>
      <c r="G578" s="29">
        <f>IF(AND(F578=1,ISNUMBER(D578)),D578,"")</f>
        <v/>
      </c>
      <c r="H578" s="29">
        <f>IF(AND(F578=1,ISNUMBER(E578)),E578,"")</f>
        <v/>
      </c>
      <c r="I578" s="22">
        <f>IF(AND(F578=1,ISNUMBER(C578)),C578,"")</f>
        <v/>
      </c>
      <c r="J578" s="11">
        <f>IF(G578="","",100-IF($G$13=1,50,(_xlfn.RANK.AVG(G578,$G$19:$G$1518,1)-1)/($G$13-1)*100))</f>
        <v/>
      </c>
      <c r="K578" s="11">
        <f>IF(H578="","",100-IF($G$14=1,50,(_xlfn.RANK.AVG(H578,$H$19:$H$1518,1)-1)/($G$14-1)*100))</f>
        <v/>
      </c>
      <c r="L578" s="11">
        <f>IF(I578="","",IF($G$15=1,50,(_xlfn.RANK.AVG(I578,$I$19:$I$1518,1)-1)/($G$15-1)*100))</f>
        <v/>
      </c>
      <c r="M578" s="11">
        <f>IF(COUNT(J578:L578)=3,ROUND(AVERAGE(J578:L578),6),"")</f>
        <v/>
      </c>
      <c r="O578">
        <f>IF(AND(ISNUMBER('자료_미국심리'!$A562),ISNUMBER('자료_미국심리'!$B562)),'자료_미국심리'!$A562,"")</f>
        <v/>
      </c>
      <c r="P578">
        <f>IF(AND(ISNUMBER('자료_미국심리'!$D562),ISNUMBER('자료_미국심리'!$E562)),'자료_미국심리'!$D562,"")</f>
        <v/>
      </c>
      <c r="Q578">
        <f>IF(AND(ISNUMBER('자료_미국심리'!$G562),ISNUMBER('자료_미국심리'!$H562)),'자료_미국심리'!$G562,"")</f>
        <v/>
      </c>
    </row>
    <row r="579">
      <c r="A579" s="10">
        <f>IF(561&gt;$E$5,"",SMALL($O$19:$O$4018,$E$6+561))</f>
        <v/>
      </c>
      <c r="B579" s="29">
        <f>IF(A579="","",INDEX('자료_미국심리'!$B$3:$B$4002,MATCH(A579,$O$19:$O$4018,0)))</f>
        <v/>
      </c>
      <c r="C579" s="22">
        <f>IF(A579="","",B579/AVERAGE(B455:B579)-1)</f>
        <v/>
      </c>
      <c r="D579" s="29">
        <f>IF(A579="","",IFERROR(INDEX('자료_미국심리'!$E$3:$E$4002,MATCH(A579,$P$19:$P$4018,0)),D578))</f>
        <v/>
      </c>
      <c r="E579" s="29">
        <f>IF(A579="","",IFERROR(INDEX('자료_미국심리'!$H$3:$H$4002,MATCH(A579,$Q$19:$Q$4018,0)),E578))</f>
        <v/>
      </c>
      <c r="F579">
        <f>IF(A579="",0,IF(A579&gt;$B$5,1,0))</f>
        <v/>
      </c>
      <c r="G579" s="29">
        <f>IF(AND(F579=1,ISNUMBER(D579)),D579,"")</f>
        <v/>
      </c>
      <c r="H579" s="29">
        <f>IF(AND(F579=1,ISNUMBER(E579)),E579,"")</f>
        <v/>
      </c>
      <c r="I579" s="22">
        <f>IF(AND(F579=1,ISNUMBER(C579)),C579,"")</f>
        <v/>
      </c>
      <c r="J579" s="11">
        <f>IF(G579="","",100-IF($G$13=1,50,(_xlfn.RANK.AVG(G579,$G$19:$G$1518,1)-1)/($G$13-1)*100))</f>
        <v/>
      </c>
      <c r="K579" s="11">
        <f>IF(H579="","",100-IF($G$14=1,50,(_xlfn.RANK.AVG(H579,$H$19:$H$1518,1)-1)/($G$14-1)*100))</f>
        <v/>
      </c>
      <c r="L579" s="11">
        <f>IF(I579="","",IF($G$15=1,50,(_xlfn.RANK.AVG(I579,$I$19:$I$1518,1)-1)/($G$15-1)*100))</f>
        <v/>
      </c>
      <c r="M579" s="11">
        <f>IF(COUNT(J579:L579)=3,ROUND(AVERAGE(J579:L579),6),"")</f>
        <v/>
      </c>
      <c r="O579">
        <f>IF(AND(ISNUMBER('자료_미국심리'!$A563),ISNUMBER('자료_미국심리'!$B563)),'자료_미국심리'!$A563,"")</f>
        <v/>
      </c>
      <c r="P579">
        <f>IF(AND(ISNUMBER('자료_미국심리'!$D563),ISNUMBER('자료_미국심리'!$E563)),'자료_미국심리'!$D563,"")</f>
        <v/>
      </c>
      <c r="Q579">
        <f>IF(AND(ISNUMBER('자료_미국심리'!$G563),ISNUMBER('자료_미국심리'!$H563)),'자료_미국심리'!$G563,"")</f>
        <v/>
      </c>
    </row>
    <row r="580">
      <c r="A580" s="10">
        <f>IF(562&gt;$E$5,"",SMALL($O$19:$O$4018,$E$6+562))</f>
        <v/>
      </c>
      <c r="B580" s="29">
        <f>IF(A580="","",INDEX('자료_미국심리'!$B$3:$B$4002,MATCH(A580,$O$19:$O$4018,0)))</f>
        <v/>
      </c>
      <c r="C580" s="22">
        <f>IF(A580="","",B580/AVERAGE(B456:B580)-1)</f>
        <v/>
      </c>
      <c r="D580" s="29">
        <f>IF(A580="","",IFERROR(INDEX('자료_미국심리'!$E$3:$E$4002,MATCH(A580,$P$19:$P$4018,0)),D579))</f>
        <v/>
      </c>
      <c r="E580" s="29">
        <f>IF(A580="","",IFERROR(INDEX('자료_미국심리'!$H$3:$H$4002,MATCH(A580,$Q$19:$Q$4018,0)),E579))</f>
        <v/>
      </c>
      <c r="F580">
        <f>IF(A580="",0,IF(A580&gt;$B$5,1,0))</f>
        <v/>
      </c>
      <c r="G580" s="29">
        <f>IF(AND(F580=1,ISNUMBER(D580)),D580,"")</f>
        <v/>
      </c>
      <c r="H580" s="29">
        <f>IF(AND(F580=1,ISNUMBER(E580)),E580,"")</f>
        <v/>
      </c>
      <c r="I580" s="22">
        <f>IF(AND(F580=1,ISNUMBER(C580)),C580,"")</f>
        <v/>
      </c>
      <c r="J580" s="11">
        <f>IF(G580="","",100-IF($G$13=1,50,(_xlfn.RANK.AVG(G580,$G$19:$G$1518,1)-1)/($G$13-1)*100))</f>
        <v/>
      </c>
      <c r="K580" s="11">
        <f>IF(H580="","",100-IF($G$14=1,50,(_xlfn.RANK.AVG(H580,$H$19:$H$1518,1)-1)/($G$14-1)*100))</f>
        <v/>
      </c>
      <c r="L580" s="11">
        <f>IF(I580="","",IF($G$15=1,50,(_xlfn.RANK.AVG(I580,$I$19:$I$1518,1)-1)/($G$15-1)*100))</f>
        <v/>
      </c>
      <c r="M580" s="11">
        <f>IF(COUNT(J580:L580)=3,ROUND(AVERAGE(J580:L580),6),"")</f>
        <v/>
      </c>
      <c r="O580">
        <f>IF(AND(ISNUMBER('자료_미국심리'!$A564),ISNUMBER('자료_미국심리'!$B564)),'자료_미국심리'!$A564,"")</f>
        <v/>
      </c>
      <c r="P580">
        <f>IF(AND(ISNUMBER('자료_미국심리'!$D564),ISNUMBER('자료_미국심리'!$E564)),'자료_미국심리'!$D564,"")</f>
        <v/>
      </c>
      <c r="Q580">
        <f>IF(AND(ISNUMBER('자료_미국심리'!$G564),ISNUMBER('자료_미국심리'!$H564)),'자료_미국심리'!$G564,"")</f>
        <v/>
      </c>
    </row>
    <row r="581">
      <c r="A581" s="10">
        <f>IF(563&gt;$E$5,"",SMALL($O$19:$O$4018,$E$6+563))</f>
        <v/>
      </c>
      <c r="B581" s="29">
        <f>IF(A581="","",INDEX('자료_미국심리'!$B$3:$B$4002,MATCH(A581,$O$19:$O$4018,0)))</f>
        <v/>
      </c>
      <c r="C581" s="22">
        <f>IF(A581="","",B581/AVERAGE(B457:B581)-1)</f>
        <v/>
      </c>
      <c r="D581" s="29">
        <f>IF(A581="","",IFERROR(INDEX('자료_미국심리'!$E$3:$E$4002,MATCH(A581,$P$19:$P$4018,0)),D580))</f>
        <v/>
      </c>
      <c r="E581" s="29">
        <f>IF(A581="","",IFERROR(INDEX('자료_미국심리'!$H$3:$H$4002,MATCH(A581,$Q$19:$Q$4018,0)),E580))</f>
        <v/>
      </c>
      <c r="F581">
        <f>IF(A581="",0,IF(A581&gt;$B$5,1,0))</f>
        <v/>
      </c>
      <c r="G581" s="29">
        <f>IF(AND(F581=1,ISNUMBER(D581)),D581,"")</f>
        <v/>
      </c>
      <c r="H581" s="29">
        <f>IF(AND(F581=1,ISNUMBER(E581)),E581,"")</f>
        <v/>
      </c>
      <c r="I581" s="22">
        <f>IF(AND(F581=1,ISNUMBER(C581)),C581,"")</f>
        <v/>
      </c>
      <c r="J581" s="11">
        <f>IF(G581="","",100-IF($G$13=1,50,(_xlfn.RANK.AVG(G581,$G$19:$G$1518,1)-1)/($G$13-1)*100))</f>
        <v/>
      </c>
      <c r="K581" s="11">
        <f>IF(H581="","",100-IF($G$14=1,50,(_xlfn.RANK.AVG(H581,$H$19:$H$1518,1)-1)/($G$14-1)*100))</f>
        <v/>
      </c>
      <c r="L581" s="11">
        <f>IF(I581="","",IF($G$15=1,50,(_xlfn.RANK.AVG(I581,$I$19:$I$1518,1)-1)/($G$15-1)*100))</f>
        <v/>
      </c>
      <c r="M581" s="11">
        <f>IF(COUNT(J581:L581)=3,ROUND(AVERAGE(J581:L581),6),"")</f>
        <v/>
      </c>
      <c r="O581">
        <f>IF(AND(ISNUMBER('자료_미국심리'!$A565),ISNUMBER('자료_미국심리'!$B565)),'자료_미국심리'!$A565,"")</f>
        <v/>
      </c>
      <c r="P581">
        <f>IF(AND(ISNUMBER('자료_미국심리'!$D565),ISNUMBER('자료_미국심리'!$E565)),'자료_미국심리'!$D565,"")</f>
        <v/>
      </c>
      <c r="Q581">
        <f>IF(AND(ISNUMBER('자료_미국심리'!$G565),ISNUMBER('자료_미국심리'!$H565)),'자료_미국심리'!$G565,"")</f>
        <v/>
      </c>
    </row>
    <row r="582">
      <c r="A582" s="10">
        <f>IF(564&gt;$E$5,"",SMALL($O$19:$O$4018,$E$6+564))</f>
        <v/>
      </c>
      <c r="B582" s="29">
        <f>IF(A582="","",INDEX('자료_미국심리'!$B$3:$B$4002,MATCH(A582,$O$19:$O$4018,0)))</f>
        <v/>
      </c>
      <c r="C582" s="22">
        <f>IF(A582="","",B582/AVERAGE(B458:B582)-1)</f>
        <v/>
      </c>
      <c r="D582" s="29">
        <f>IF(A582="","",IFERROR(INDEX('자료_미국심리'!$E$3:$E$4002,MATCH(A582,$P$19:$P$4018,0)),D581))</f>
        <v/>
      </c>
      <c r="E582" s="29">
        <f>IF(A582="","",IFERROR(INDEX('자료_미국심리'!$H$3:$H$4002,MATCH(A582,$Q$19:$Q$4018,0)),E581))</f>
        <v/>
      </c>
      <c r="F582">
        <f>IF(A582="",0,IF(A582&gt;$B$5,1,0))</f>
        <v/>
      </c>
      <c r="G582" s="29">
        <f>IF(AND(F582=1,ISNUMBER(D582)),D582,"")</f>
        <v/>
      </c>
      <c r="H582" s="29">
        <f>IF(AND(F582=1,ISNUMBER(E582)),E582,"")</f>
        <v/>
      </c>
      <c r="I582" s="22">
        <f>IF(AND(F582=1,ISNUMBER(C582)),C582,"")</f>
        <v/>
      </c>
      <c r="J582" s="11">
        <f>IF(G582="","",100-IF($G$13=1,50,(_xlfn.RANK.AVG(G582,$G$19:$G$1518,1)-1)/($G$13-1)*100))</f>
        <v/>
      </c>
      <c r="K582" s="11">
        <f>IF(H582="","",100-IF($G$14=1,50,(_xlfn.RANK.AVG(H582,$H$19:$H$1518,1)-1)/($G$14-1)*100))</f>
        <v/>
      </c>
      <c r="L582" s="11">
        <f>IF(I582="","",IF($G$15=1,50,(_xlfn.RANK.AVG(I582,$I$19:$I$1518,1)-1)/($G$15-1)*100))</f>
        <v/>
      </c>
      <c r="M582" s="11">
        <f>IF(COUNT(J582:L582)=3,ROUND(AVERAGE(J582:L582),6),"")</f>
        <v/>
      </c>
      <c r="O582">
        <f>IF(AND(ISNUMBER('자료_미국심리'!$A566),ISNUMBER('자료_미국심리'!$B566)),'자료_미국심리'!$A566,"")</f>
        <v/>
      </c>
      <c r="P582">
        <f>IF(AND(ISNUMBER('자료_미국심리'!$D566),ISNUMBER('자료_미국심리'!$E566)),'자료_미국심리'!$D566,"")</f>
        <v/>
      </c>
      <c r="Q582">
        <f>IF(AND(ISNUMBER('자료_미국심리'!$G566),ISNUMBER('자료_미국심리'!$H566)),'자료_미국심리'!$G566,"")</f>
        <v/>
      </c>
    </row>
    <row r="583">
      <c r="A583" s="10">
        <f>IF(565&gt;$E$5,"",SMALL($O$19:$O$4018,$E$6+565))</f>
        <v/>
      </c>
      <c r="B583" s="29">
        <f>IF(A583="","",INDEX('자료_미국심리'!$B$3:$B$4002,MATCH(A583,$O$19:$O$4018,0)))</f>
        <v/>
      </c>
      <c r="C583" s="22">
        <f>IF(A583="","",B583/AVERAGE(B459:B583)-1)</f>
        <v/>
      </c>
      <c r="D583" s="29">
        <f>IF(A583="","",IFERROR(INDEX('자료_미국심리'!$E$3:$E$4002,MATCH(A583,$P$19:$P$4018,0)),D582))</f>
        <v/>
      </c>
      <c r="E583" s="29">
        <f>IF(A583="","",IFERROR(INDEX('자료_미국심리'!$H$3:$H$4002,MATCH(A583,$Q$19:$Q$4018,0)),E582))</f>
        <v/>
      </c>
      <c r="F583">
        <f>IF(A583="",0,IF(A583&gt;$B$5,1,0))</f>
        <v/>
      </c>
      <c r="G583" s="29">
        <f>IF(AND(F583=1,ISNUMBER(D583)),D583,"")</f>
        <v/>
      </c>
      <c r="H583" s="29">
        <f>IF(AND(F583=1,ISNUMBER(E583)),E583,"")</f>
        <v/>
      </c>
      <c r="I583" s="22">
        <f>IF(AND(F583=1,ISNUMBER(C583)),C583,"")</f>
        <v/>
      </c>
      <c r="J583" s="11">
        <f>IF(G583="","",100-IF($G$13=1,50,(_xlfn.RANK.AVG(G583,$G$19:$G$1518,1)-1)/($G$13-1)*100))</f>
        <v/>
      </c>
      <c r="K583" s="11">
        <f>IF(H583="","",100-IF($G$14=1,50,(_xlfn.RANK.AVG(H583,$H$19:$H$1518,1)-1)/($G$14-1)*100))</f>
        <v/>
      </c>
      <c r="L583" s="11">
        <f>IF(I583="","",IF($G$15=1,50,(_xlfn.RANK.AVG(I583,$I$19:$I$1518,1)-1)/($G$15-1)*100))</f>
        <v/>
      </c>
      <c r="M583" s="11">
        <f>IF(COUNT(J583:L583)=3,ROUND(AVERAGE(J583:L583),6),"")</f>
        <v/>
      </c>
      <c r="O583">
        <f>IF(AND(ISNUMBER('자료_미국심리'!$A567),ISNUMBER('자료_미국심리'!$B567)),'자료_미국심리'!$A567,"")</f>
        <v/>
      </c>
      <c r="P583">
        <f>IF(AND(ISNUMBER('자료_미국심리'!$D567),ISNUMBER('자료_미국심리'!$E567)),'자료_미국심리'!$D567,"")</f>
        <v/>
      </c>
      <c r="Q583">
        <f>IF(AND(ISNUMBER('자료_미국심리'!$G567),ISNUMBER('자료_미국심리'!$H567)),'자료_미국심리'!$G567,"")</f>
        <v/>
      </c>
    </row>
    <row r="584">
      <c r="A584" s="10">
        <f>IF(566&gt;$E$5,"",SMALL($O$19:$O$4018,$E$6+566))</f>
        <v/>
      </c>
      <c r="B584" s="29">
        <f>IF(A584="","",INDEX('자료_미국심리'!$B$3:$B$4002,MATCH(A584,$O$19:$O$4018,0)))</f>
        <v/>
      </c>
      <c r="C584" s="22">
        <f>IF(A584="","",B584/AVERAGE(B460:B584)-1)</f>
        <v/>
      </c>
      <c r="D584" s="29">
        <f>IF(A584="","",IFERROR(INDEX('자료_미국심리'!$E$3:$E$4002,MATCH(A584,$P$19:$P$4018,0)),D583))</f>
        <v/>
      </c>
      <c r="E584" s="29">
        <f>IF(A584="","",IFERROR(INDEX('자료_미국심리'!$H$3:$H$4002,MATCH(A584,$Q$19:$Q$4018,0)),E583))</f>
        <v/>
      </c>
      <c r="F584">
        <f>IF(A584="",0,IF(A584&gt;$B$5,1,0))</f>
        <v/>
      </c>
      <c r="G584" s="29">
        <f>IF(AND(F584=1,ISNUMBER(D584)),D584,"")</f>
        <v/>
      </c>
      <c r="H584" s="29">
        <f>IF(AND(F584=1,ISNUMBER(E584)),E584,"")</f>
        <v/>
      </c>
      <c r="I584" s="22">
        <f>IF(AND(F584=1,ISNUMBER(C584)),C584,"")</f>
        <v/>
      </c>
      <c r="J584" s="11">
        <f>IF(G584="","",100-IF($G$13=1,50,(_xlfn.RANK.AVG(G584,$G$19:$G$1518,1)-1)/($G$13-1)*100))</f>
        <v/>
      </c>
      <c r="K584" s="11">
        <f>IF(H584="","",100-IF($G$14=1,50,(_xlfn.RANK.AVG(H584,$H$19:$H$1518,1)-1)/($G$14-1)*100))</f>
        <v/>
      </c>
      <c r="L584" s="11">
        <f>IF(I584="","",IF($G$15=1,50,(_xlfn.RANK.AVG(I584,$I$19:$I$1518,1)-1)/($G$15-1)*100))</f>
        <v/>
      </c>
      <c r="M584" s="11">
        <f>IF(COUNT(J584:L584)=3,ROUND(AVERAGE(J584:L584),6),"")</f>
        <v/>
      </c>
      <c r="O584">
        <f>IF(AND(ISNUMBER('자료_미국심리'!$A568),ISNUMBER('자료_미국심리'!$B568)),'자료_미국심리'!$A568,"")</f>
        <v/>
      </c>
      <c r="P584">
        <f>IF(AND(ISNUMBER('자료_미국심리'!$D568),ISNUMBER('자료_미국심리'!$E568)),'자료_미국심리'!$D568,"")</f>
        <v/>
      </c>
      <c r="Q584">
        <f>IF(AND(ISNUMBER('자료_미국심리'!$G568),ISNUMBER('자료_미국심리'!$H568)),'자료_미국심리'!$G568,"")</f>
        <v/>
      </c>
    </row>
    <row r="585">
      <c r="A585" s="10">
        <f>IF(567&gt;$E$5,"",SMALL($O$19:$O$4018,$E$6+567))</f>
        <v/>
      </c>
      <c r="B585" s="29">
        <f>IF(A585="","",INDEX('자료_미국심리'!$B$3:$B$4002,MATCH(A585,$O$19:$O$4018,0)))</f>
        <v/>
      </c>
      <c r="C585" s="22">
        <f>IF(A585="","",B585/AVERAGE(B461:B585)-1)</f>
        <v/>
      </c>
      <c r="D585" s="29">
        <f>IF(A585="","",IFERROR(INDEX('자료_미국심리'!$E$3:$E$4002,MATCH(A585,$P$19:$P$4018,0)),D584))</f>
        <v/>
      </c>
      <c r="E585" s="29">
        <f>IF(A585="","",IFERROR(INDEX('자료_미국심리'!$H$3:$H$4002,MATCH(A585,$Q$19:$Q$4018,0)),E584))</f>
        <v/>
      </c>
      <c r="F585">
        <f>IF(A585="",0,IF(A585&gt;$B$5,1,0))</f>
        <v/>
      </c>
      <c r="G585" s="29">
        <f>IF(AND(F585=1,ISNUMBER(D585)),D585,"")</f>
        <v/>
      </c>
      <c r="H585" s="29">
        <f>IF(AND(F585=1,ISNUMBER(E585)),E585,"")</f>
        <v/>
      </c>
      <c r="I585" s="22">
        <f>IF(AND(F585=1,ISNUMBER(C585)),C585,"")</f>
        <v/>
      </c>
      <c r="J585" s="11">
        <f>IF(G585="","",100-IF($G$13=1,50,(_xlfn.RANK.AVG(G585,$G$19:$G$1518,1)-1)/($G$13-1)*100))</f>
        <v/>
      </c>
      <c r="K585" s="11">
        <f>IF(H585="","",100-IF($G$14=1,50,(_xlfn.RANK.AVG(H585,$H$19:$H$1518,1)-1)/($G$14-1)*100))</f>
        <v/>
      </c>
      <c r="L585" s="11">
        <f>IF(I585="","",IF($G$15=1,50,(_xlfn.RANK.AVG(I585,$I$19:$I$1518,1)-1)/($G$15-1)*100))</f>
        <v/>
      </c>
      <c r="M585" s="11">
        <f>IF(COUNT(J585:L585)=3,ROUND(AVERAGE(J585:L585),6),"")</f>
        <v/>
      </c>
      <c r="O585">
        <f>IF(AND(ISNUMBER('자료_미국심리'!$A569),ISNUMBER('자료_미국심리'!$B569)),'자료_미국심리'!$A569,"")</f>
        <v/>
      </c>
      <c r="P585">
        <f>IF(AND(ISNUMBER('자료_미국심리'!$D569),ISNUMBER('자료_미국심리'!$E569)),'자료_미국심리'!$D569,"")</f>
        <v/>
      </c>
      <c r="Q585">
        <f>IF(AND(ISNUMBER('자료_미국심리'!$G569),ISNUMBER('자료_미국심리'!$H569)),'자료_미국심리'!$G569,"")</f>
        <v/>
      </c>
    </row>
    <row r="586">
      <c r="A586" s="10">
        <f>IF(568&gt;$E$5,"",SMALL($O$19:$O$4018,$E$6+568))</f>
        <v/>
      </c>
      <c r="B586" s="29">
        <f>IF(A586="","",INDEX('자료_미국심리'!$B$3:$B$4002,MATCH(A586,$O$19:$O$4018,0)))</f>
        <v/>
      </c>
      <c r="C586" s="22">
        <f>IF(A586="","",B586/AVERAGE(B462:B586)-1)</f>
        <v/>
      </c>
      <c r="D586" s="29">
        <f>IF(A586="","",IFERROR(INDEX('자료_미국심리'!$E$3:$E$4002,MATCH(A586,$P$19:$P$4018,0)),D585))</f>
        <v/>
      </c>
      <c r="E586" s="29">
        <f>IF(A586="","",IFERROR(INDEX('자료_미국심리'!$H$3:$H$4002,MATCH(A586,$Q$19:$Q$4018,0)),E585))</f>
        <v/>
      </c>
      <c r="F586">
        <f>IF(A586="",0,IF(A586&gt;$B$5,1,0))</f>
        <v/>
      </c>
      <c r="G586" s="29">
        <f>IF(AND(F586=1,ISNUMBER(D586)),D586,"")</f>
        <v/>
      </c>
      <c r="H586" s="29">
        <f>IF(AND(F586=1,ISNUMBER(E586)),E586,"")</f>
        <v/>
      </c>
      <c r="I586" s="22">
        <f>IF(AND(F586=1,ISNUMBER(C586)),C586,"")</f>
        <v/>
      </c>
      <c r="J586" s="11">
        <f>IF(G586="","",100-IF($G$13=1,50,(_xlfn.RANK.AVG(G586,$G$19:$G$1518,1)-1)/($G$13-1)*100))</f>
        <v/>
      </c>
      <c r="K586" s="11">
        <f>IF(H586="","",100-IF($G$14=1,50,(_xlfn.RANK.AVG(H586,$H$19:$H$1518,1)-1)/($G$14-1)*100))</f>
        <v/>
      </c>
      <c r="L586" s="11">
        <f>IF(I586="","",IF($G$15=1,50,(_xlfn.RANK.AVG(I586,$I$19:$I$1518,1)-1)/($G$15-1)*100))</f>
        <v/>
      </c>
      <c r="M586" s="11">
        <f>IF(COUNT(J586:L586)=3,ROUND(AVERAGE(J586:L586),6),"")</f>
        <v/>
      </c>
      <c r="O586">
        <f>IF(AND(ISNUMBER('자료_미국심리'!$A570),ISNUMBER('자료_미국심리'!$B570)),'자료_미국심리'!$A570,"")</f>
        <v/>
      </c>
      <c r="P586">
        <f>IF(AND(ISNUMBER('자료_미국심리'!$D570),ISNUMBER('자료_미국심리'!$E570)),'자료_미국심리'!$D570,"")</f>
        <v/>
      </c>
      <c r="Q586">
        <f>IF(AND(ISNUMBER('자료_미국심리'!$G570),ISNUMBER('자료_미국심리'!$H570)),'자료_미국심리'!$G570,"")</f>
        <v/>
      </c>
    </row>
    <row r="587">
      <c r="A587" s="10">
        <f>IF(569&gt;$E$5,"",SMALL($O$19:$O$4018,$E$6+569))</f>
        <v/>
      </c>
      <c r="B587" s="29">
        <f>IF(A587="","",INDEX('자료_미국심리'!$B$3:$B$4002,MATCH(A587,$O$19:$O$4018,0)))</f>
        <v/>
      </c>
      <c r="C587" s="22">
        <f>IF(A587="","",B587/AVERAGE(B463:B587)-1)</f>
        <v/>
      </c>
      <c r="D587" s="29">
        <f>IF(A587="","",IFERROR(INDEX('자료_미국심리'!$E$3:$E$4002,MATCH(A587,$P$19:$P$4018,0)),D586))</f>
        <v/>
      </c>
      <c r="E587" s="29">
        <f>IF(A587="","",IFERROR(INDEX('자료_미국심리'!$H$3:$H$4002,MATCH(A587,$Q$19:$Q$4018,0)),E586))</f>
        <v/>
      </c>
      <c r="F587">
        <f>IF(A587="",0,IF(A587&gt;$B$5,1,0))</f>
        <v/>
      </c>
      <c r="G587" s="29">
        <f>IF(AND(F587=1,ISNUMBER(D587)),D587,"")</f>
        <v/>
      </c>
      <c r="H587" s="29">
        <f>IF(AND(F587=1,ISNUMBER(E587)),E587,"")</f>
        <v/>
      </c>
      <c r="I587" s="22">
        <f>IF(AND(F587=1,ISNUMBER(C587)),C587,"")</f>
        <v/>
      </c>
      <c r="J587" s="11">
        <f>IF(G587="","",100-IF($G$13=1,50,(_xlfn.RANK.AVG(G587,$G$19:$G$1518,1)-1)/($G$13-1)*100))</f>
        <v/>
      </c>
      <c r="K587" s="11">
        <f>IF(H587="","",100-IF($G$14=1,50,(_xlfn.RANK.AVG(H587,$H$19:$H$1518,1)-1)/($G$14-1)*100))</f>
        <v/>
      </c>
      <c r="L587" s="11">
        <f>IF(I587="","",IF($G$15=1,50,(_xlfn.RANK.AVG(I587,$I$19:$I$1518,1)-1)/($G$15-1)*100))</f>
        <v/>
      </c>
      <c r="M587" s="11">
        <f>IF(COUNT(J587:L587)=3,ROUND(AVERAGE(J587:L587),6),"")</f>
        <v/>
      </c>
      <c r="O587">
        <f>IF(AND(ISNUMBER('자료_미국심리'!$A571),ISNUMBER('자료_미국심리'!$B571)),'자료_미국심리'!$A571,"")</f>
        <v/>
      </c>
      <c r="P587">
        <f>IF(AND(ISNUMBER('자료_미국심리'!$D571),ISNUMBER('자료_미국심리'!$E571)),'자료_미국심리'!$D571,"")</f>
        <v/>
      </c>
      <c r="Q587">
        <f>IF(AND(ISNUMBER('자료_미국심리'!$G571),ISNUMBER('자료_미국심리'!$H571)),'자료_미국심리'!$G571,"")</f>
        <v/>
      </c>
    </row>
    <row r="588">
      <c r="A588" s="10">
        <f>IF(570&gt;$E$5,"",SMALL($O$19:$O$4018,$E$6+570))</f>
        <v/>
      </c>
      <c r="B588" s="29">
        <f>IF(A588="","",INDEX('자료_미국심리'!$B$3:$B$4002,MATCH(A588,$O$19:$O$4018,0)))</f>
        <v/>
      </c>
      <c r="C588" s="22">
        <f>IF(A588="","",B588/AVERAGE(B464:B588)-1)</f>
        <v/>
      </c>
      <c r="D588" s="29">
        <f>IF(A588="","",IFERROR(INDEX('자료_미국심리'!$E$3:$E$4002,MATCH(A588,$P$19:$P$4018,0)),D587))</f>
        <v/>
      </c>
      <c r="E588" s="29">
        <f>IF(A588="","",IFERROR(INDEX('자료_미국심리'!$H$3:$H$4002,MATCH(A588,$Q$19:$Q$4018,0)),E587))</f>
        <v/>
      </c>
      <c r="F588">
        <f>IF(A588="",0,IF(A588&gt;$B$5,1,0))</f>
        <v/>
      </c>
      <c r="G588" s="29">
        <f>IF(AND(F588=1,ISNUMBER(D588)),D588,"")</f>
        <v/>
      </c>
      <c r="H588" s="29">
        <f>IF(AND(F588=1,ISNUMBER(E588)),E588,"")</f>
        <v/>
      </c>
      <c r="I588" s="22">
        <f>IF(AND(F588=1,ISNUMBER(C588)),C588,"")</f>
        <v/>
      </c>
      <c r="J588" s="11">
        <f>IF(G588="","",100-IF($G$13=1,50,(_xlfn.RANK.AVG(G588,$G$19:$G$1518,1)-1)/($G$13-1)*100))</f>
        <v/>
      </c>
      <c r="K588" s="11">
        <f>IF(H588="","",100-IF($G$14=1,50,(_xlfn.RANK.AVG(H588,$H$19:$H$1518,1)-1)/($G$14-1)*100))</f>
        <v/>
      </c>
      <c r="L588" s="11">
        <f>IF(I588="","",IF($G$15=1,50,(_xlfn.RANK.AVG(I588,$I$19:$I$1518,1)-1)/($G$15-1)*100))</f>
        <v/>
      </c>
      <c r="M588" s="11">
        <f>IF(COUNT(J588:L588)=3,ROUND(AVERAGE(J588:L588),6),"")</f>
        <v/>
      </c>
      <c r="O588">
        <f>IF(AND(ISNUMBER('자료_미국심리'!$A572),ISNUMBER('자료_미국심리'!$B572)),'자료_미국심리'!$A572,"")</f>
        <v/>
      </c>
      <c r="P588">
        <f>IF(AND(ISNUMBER('자료_미국심리'!$D572),ISNUMBER('자료_미국심리'!$E572)),'자료_미국심리'!$D572,"")</f>
        <v/>
      </c>
      <c r="Q588">
        <f>IF(AND(ISNUMBER('자료_미국심리'!$G572),ISNUMBER('자료_미국심리'!$H572)),'자료_미국심리'!$G572,"")</f>
        <v/>
      </c>
    </row>
    <row r="589">
      <c r="A589" s="10">
        <f>IF(571&gt;$E$5,"",SMALL($O$19:$O$4018,$E$6+571))</f>
        <v/>
      </c>
      <c r="B589" s="29">
        <f>IF(A589="","",INDEX('자료_미국심리'!$B$3:$B$4002,MATCH(A589,$O$19:$O$4018,0)))</f>
        <v/>
      </c>
      <c r="C589" s="22">
        <f>IF(A589="","",B589/AVERAGE(B465:B589)-1)</f>
        <v/>
      </c>
      <c r="D589" s="29">
        <f>IF(A589="","",IFERROR(INDEX('자료_미국심리'!$E$3:$E$4002,MATCH(A589,$P$19:$P$4018,0)),D588))</f>
        <v/>
      </c>
      <c r="E589" s="29">
        <f>IF(A589="","",IFERROR(INDEX('자료_미국심리'!$H$3:$H$4002,MATCH(A589,$Q$19:$Q$4018,0)),E588))</f>
        <v/>
      </c>
      <c r="F589">
        <f>IF(A589="",0,IF(A589&gt;$B$5,1,0))</f>
        <v/>
      </c>
      <c r="G589" s="29">
        <f>IF(AND(F589=1,ISNUMBER(D589)),D589,"")</f>
        <v/>
      </c>
      <c r="H589" s="29">
        <f>IF(AND(F589=1,ISNUMBER(E589)),E589,"")</f>
        <v/>
      </c>
      <c r="I589" s="22">
        <f>IF(AND(F589=1,ISNUMBER(C589)),C589,"")</f>
        <v/>
      </c>
      <c r="J589" s="11">
        <f>IF(G589="","",100-IF($G$13=1,50,(_xlfn.RANK.AVG(G589,$G$19:$G$1518,1)-1)/($G$13-1)*100))</f>
        <v/>
      </c>
      <c r="K589" s="11">
        <f>IF(H589="","",100-IF($G$14=1,50,(_xlfn.RANK.AVG(H589,$H$19:$H$1518,1)-1)/($G$14-1)*100))</f>
        <v/>
      </c>
      <c r="L589" s="11">
        <f>IF(I589="","",IF($G$15=1,50,(_xlfn.RANK.AVG(I589,$I$19:$I$1518,1)-1)/($G$15-1)*100))</f>
        <v/>
      </c>
      <c r="M589" s="11">
        <f>IF(COUNT(J589:L589)=3,ROUND(AVERAGE(J589:L589),6),"")</f>
        <v/>
      </c>
      <c r="O589">
        <f>IF(AND(ISNUMBER('자료_미국심리'!$A573),ISNUMBER('자료_미국심리'!$B573)),'자료_미국심리'!$A573,"")</f>
        <v/>
      </c>
      <c r="P589">
        <f>IF(AND(ISNUMBER('자료_미국심리'!$D573),ISNUMBER('자료_미국심리'!$E573)),'자료_미국심리'!$D573,"")</f>
        <v/>
      </c>
      <c r="Q589">
        <f>IF(AND(ISNUMBER('자료_미국심리'!$G573),ISNUMBER('자료_미국심리'!$H573)),'자료_미국심리'!$G573,"")</f>
        <v/>
      </c>
    </row>
    <row r="590">
      <c r="A590" s="10">
        <f>IF(572&gt;$E$5,"",SMALL($O$19:$O$4018,$E$6+572))</f>
        <v/>
      </c>
      <c r="B590" s="29">
        <f>IF(A590="","",INDEX('자료_미국심리'!$B$3:$B$4002,MATCH(A590,$O$19:$O$4018,0)))</f>
        <v/>
      </c>
      <c r="C590" s="22">
        <f>IF(A590="","",B590/AVERAGE(B466:B590)-1)</f>
        <v/>
      </c>
      <c r="D590" s="29">
        <f>IF(A590="","",IFERROR(INDEX('자료_미국심리'!$E$3:$E$4002,MATCH(A590,$P$19:$P$4018,0)),D589))</f>
        <v/>
      </c>
      <c r="E590" s="29">
        <f>IF(A590="","",IFERROR(INDEX('자료_미국심리'!$H$3:$H$4002,MATCH(A590,$Q$19:$Q$4018,0)),E589))</f>
        <v/>
      </c>
      <c r="F590">
        <f>IF(A590="",0,IF(A590&gt;$B$5,1,0))</f>
        <v/>
      </c>
      <c r="G590" s="29">
        <f>IF(AND(F590=1,ISNUMBER(D590)),D590,"")</f>
        <v/>
      </c>
      <c r="H590" s="29">
        <f>IF(AND(F590=1,ISNUMBER(E590)),E590,"")</f>
        <v/>
      </c>
      <c r="I590" s="22">
        <f>IF(AND(F590=1,ISNUMBER(C590)),C590,"")</f>
        <v/>
      </c>
      <c r="J590" s="11">
        <f>IF(G590="","",100-IF($G$13=1,50,(_xlfn.RANK.AVG(G590,$G$19:$G$1518,1)-1)/($G$13-1)*100))</f>
        <v/>
      </c>
      <c r="K590" s="11">
        <f>IF(H590="","",100-IF($G$14=1,50,(_xlfn.RANK.AVG(H590,$H$19:$H$1518,1)-1)/($G$14-1)*100))</f>
        <v/>
      </c>
      <c r="L590" s="11">
        <f>IF(I590="","",IF($G$15=1,50,(_xlfn.RANK.AVG(I590,$I$19:$I$1518,1)-1)/($G$15-1)*100))</f>
        <v/>
      </c>
      <c r="M590" s="11">
        <f>IF(COUNT(J590:L590)=3,ROUND(AVERAGE(J590:L590),6),"")</f>
        <v/>
      </c>
      <c r="O590">
        <f>IF(AND(ISNUMBER('자료_미국심리'!$A574),ISNUMBER('자료_미국심리'!$B574)),'자료_미국심리'!$A574,"")</f>
        <v/>
      </c>
      <c r="P590">
        <f>IF(AND(ISNUMBER('자료_미국심리'!$D574),ISNUMBER('자료_미국심리'!$E574)),'자료_미국심리'!$D574,"")</f>
        <v/>
      </c>
      <c r="Q590">
        <f>IF(AND(ISNUMBER('자료_미국심리'!$G574),ISNUMBER('자료_미국심리'!$H574)),'자료_미국심리'!$G574,"")</f>
        <v/>
      </c>
    </row>
    <row r="591">
      <c r="A591" s="10">
        <f>IF(573&gt;$E$5,"",SMALL($O$19:$O$4018,$E$6+573))</f>
        <v/>
      </c>
      <c r="B591" s="29">
        <f>IF(A591="","",INDEX('자료_미국심리'!$B$3:$B$4002,MATCH(A591,$O$19:$O$4018,0)))</f>
        <v/>
      </c>
      <c r="C591" s="22">
        <f>IF(A591="","",B591/AVERAGE(B467:B591)-1)</f>
        <v/>
      </c>
      <c r="D591" s="29">
        <f>IF(A591="","",IFERROR(INDEX('자료_미국심리'!$E$3:$E$4002,MATCH(A591,$P$19:$P$4018,0)),D590))</f>
        <v/>
      </c>
      <c r="E591" s="29">
        <f>IF(A591="","",IFERROR(INDEX('자료_미국심리'!$H$3:$H$4002,MATCH(A591,$Q$19:$Q$4018,0)),E590))</f>
        <v/>
      </c>
      <c r="F591">
        <f>IF(A591="",0,IF(A591&gt;$B$5,1,0))</f>
        <v/>
      </c>
      <c r="G591" s="29">
        <f>IF(AND(F591=1,ISNUMBER(D591)),D591,"")</f>
        <v/>
      </c>
      <c r="H591" s="29">
        <f>IF(AND(F591=1,ISNUMBER(E591)),E591,"")</f>
        <v/>
      </c>
      <c r="I591" s="22">
        <f>IF(AND(F591=1,ISNUMBER(C591)),C591,"")</f>
        <v/>
      </c>
      <c r="J591" s="11">
        <f>IF(G591="","",100-IF($G$13=1,50,(_xlfn.RANK.AVG(G591,$G$19:$G$1518,1)-1)/($G$13-1)*100))</f>
        <v/>
      </c>
      <c r="K591" s="11">
        <f>IF(H591="","",100-IF($G$14=1,50,(_xlfn.RANK.AVG(H591,$H$19:$H$1518,1)-1)/($G$14-1)*100))</f>
        <v/>
      </c>
      <c r="L591" s="11">
        <f>IF(I591="","",IF($G$15=1,50,(_xlfn.RANK.AVG(I591,$I$19:$I$1518,1)-1)/($G$15-1)*100))</f>
        <v/>
      </c>
      <c r="M591" s="11">
        <f>IF(COUNT(J591:L591)=3,ROUND(AVERAGE(J591:L591),6),"")</f>
        <v/>
      </c>
      <c r="O591">
        <f>IF(AND(ISNUMBER('자료_미국심리'!$A575),ISNUMBER('자료_미국심리'!$B575)),'자료_미국심리'!$A575,"")</f>
        <v/>
      </c>
      <c r="P591">
        <f>IF(AND(ISNUMBER('자료_미국심리'!$D575),ISNUMBER('자료_미국심리'!$E575)),'자료_미국심리'!$D575,"")</f>
        <v/>
      </c>
      <c r="Q591">
        <f>IF(AND(ISNUMBER('자료_미국심리'!$G575),ISNUMBER('자료_미국심리'!$H575)),'자료_미국심리'!$G575,"")</f>
        <v/>
      </c>
    </row>
    <row r="592">
      <c r="A592" s="10">
        <f>IF(574&gt;$E$5,"",SMALL($O$19:$O$4018,$E$6+574))</f>
        <v/>
      </c>
      <c r="B592" s="29">
        <f>IF(A592="","",INDEX('자료_미국심리'!$B$3:$B$4002,MATCH(A592,$O$19:$O$4018,0)))</f>
        <v/>
      </c>
      <c r="C592" s="22">
        <f>IF(A592="","",B592/AVERAGE(B468:B592)-1)</f>
        <v/>
      </c>
      <c r="D592" s="29">
        <f>IF(A592="","",IFERROR(INDEX('자료_미국심리'!$E$3:$E$4002,MATCH(A592,$P$19:$P$4018,0)),D591))</f>
        <v/>
      </c>
      <c r="E592" s="29">
        <f>IF(A592="","",IFERROR(INDEX('자료_미국심리'!$H$3:$H$4002,MATCH(A592,$Q$19:$Q$4018,0)),E591))</f>
        <v/>
      </c>
      <c r="F592">
        <f>IF(A592="",0,IF(A592&gt;$B$5,1,0))</f>
        <v/>
      </c>
      <c r="G592" s="29">
        <f>IF(AND(F592=1,ISNUMBER(D592)),D592,"")</f>
        <v/>
      </c>
      <c r="H592" s="29">
        <f>IF(AND(F592=1,ISNUMBER(E592)),E592,"")</f>
        <v/>
      </c>
      <c r="I592" s="22">
        <f>IF(AND(F592=1,ISNUMBER(C592)),C592,"")</f>
        <v/>
      </c>
      <c r="J592" s="11">
        <f>IF(G592="","",100-IF($G$13=1,50,(_xlfn.RANK.AVG(G592,$G$19:$G$1518,1)-1)/($G$13-1)*100))</f>
        <v/>
      </c>
      <c r="K592" s="11">
        <f>IF(H592="","",100-IF($G$14=1,50,(_xlfn.RANK.AVG(H592,$H$19:$H$1518,1)-1)/($G$14-1)*100))</f>
        <v/>
      </c>
      <c r="L592" s="11">
        <f>IF(I592="","",IF($G$15=1,50,(_xlfn.RANK.AVG(I592,$I$19:$I$1518,1)-1)/($G$15-1)*100))</f>
        <v/>
      </c>
      <c r="M592" s="11">
        <f>IF(COUNT(J592:L592)=3,ROUND(AVERAGE(J592:L592),6),"")</f>
        <v/>
      </c>
      <c r="O592">
        <f>IF(AND(ISNUMBER('자료_미국심리'!$A576),ISNUMBER('자료_미국심리'!$B576)),'자료_미국심리'!$A576,"")</f>
        <v/>
      </c>
      <c r="P592">
        <f>IF(AND(ISNUMBER('자료_미국심리'!$D576),ISNUMBER('자료_미국심리'!$E576)),'자료_미국심리'!$D576,"")</f>
        <v/>
      </c>
      <c r="Q592">
        <f>IF(AND(ISNUMBER('자료_미국심리'!$G576),ISNUMBER('자료_미국심리'!$H576)),'자료_미국심리'!$G576,"")</f>
        <v/>
      </c>
    </row>
    <row r="593">
      <c r="A593" s="10">
        <f>IF(575&gt;$E$5,"",SMALL($O$19:$O$4018,$E$6+575))</f>
        <v/>
      </c>
      <c r="B593" s="29">
        <f>IF(A593="","",INDEX('자료_미국심리'!$B$3:$B$4002,MATCH(A593,$O$19:$O$4018,0)))</f>
        <v/>
      </c>
      <c r="C593" s="22">
        <f>IF(A593="","",B593/AVERAGE(B469:B593)-1)</f>
        <v/>
      </c>
      <c r="D593" s="29">
        <f>IF(A593="","",IFERROR(INDEX('자료_미국심리'!$E$3:$E$4002,MATCH(A593,$P$19:$P$4018,0)),D592))</f>
        <v/>
      </c>
      <c r="E593" s="29">
        <f>IF(A593="","",IFERROR(INDEX('자료_미국심리'!$H$3:$H$4002,MATCH(A593,$Q$19:$Q$4018,0)),E592))</f>
        <v/>
      </c>
      <c r="F593">
        <f>IF(A593="",0,IF(A593&gt;$B$5,1,0))</f>
        <v/>
      </c>
      <c r="G593" s="29">
        <f>IF(AND(F593=1,ISNUMBER(D593)),D593,"")</f>
        <v/>
      </c>
      <c r="H593" s="29">
        <f>IF(AND(F593=1,ISNUMBER(E593)),E593,"")</f>
        <v/>
      </c>
      <c r="I593" s="22">
        <f>IF(AND(F593=1,ISNUMBER(C593)),C593,"")</f>
        <v/>
      </c>
      <c r="J593" s="11">
        <f>IF(G593="","",100-IF($G$13=1,50,(_xlfn.RANK.AVG(G593,$G$19:$G$1518,1)-1)/($G$13-1)*100))</f>
        <v/>
      </c>
      <c r="K593" s="11">
        <f>IF(H593="","",100-IF($G$14=1,50,(_xlfn.RANK.AVG(H593,$H$19:$H$1518,1)-1)/($G$14-1)*100))</f>
        <v/>
      </c>
      <c r="L593" s="11">
        <f>IF(I593="","",IF($G$15=1,50,(_xlfn.RANK.AVG(I593,$I$19:$I$1518,1)-1)/($G$15-1)*100))</f>
        <v/>
      </c>
      <c r="M593" s="11">
        <f>IF(COUNT(J593:L593)=3,ROUND(AVERAGE(J593:L593),6),"")</f>
        <v/>
      </c>
      <c r="O593">
        <f>IF(AND(ISNUMBER('자료_미국심리'!$A577),ISNUMBER('자료_미국심리'!$B577)),'자료_미국심리'!$A577,"")</f>
        <v/>
      </c>
      <c r="P593">
        <f>IF(AND(ISNUMBER('자료_미국심리'!$D577),ISNUMBER('자료_미국심리'!$E577)),'자료_미국심리'!$D577,"")</f>
        <v/>
      </c>
      <c r="Q593">
        <f>IF(AND(ISNUMBER('자료_미국심리'!$G577),ISNUMBER('자료_미국심리'!$H577)),'자료_미국심리'!$G577,"")</f>
        <v/>
      </c>
    </row>
    <row r="594">
      <c r="A594" s="10">
        <f>IF(576&gt;$E$5,"",SMALL($O$19:$O$4018,$E$6+576))</f>
        <v/>
      </c>
      <c r="B594" s="29">
        <f>IF(A594="","",INDEX('자료_미국심리'!$B$3:$B$4002,MATCH(A594,$O$19:$O$4018,0)))</f>
        <v/>
      </c>
      <c r="C594" s="22">
        <f>IF(A594="","",B594/AVERAGE(B470:B594)-1)</f>
        <v/>
      </c>
      <c r="D594" s="29">
        <f>IF(A594="","",IFERROR(INDEX('자료_미국심리'!$E$3:$E$4002,MATCH(A594,$P$19:$P$4018,0)),D593))</f>
        <v/>
      </c>
      <c r="E594" s="29">
        <f>IF(A594="","",IFERROR(INDEX('자료_미국심리'!$H$3:$H$4002,MATCH(A594,$Q$19:$Q$4018,0)),E593))</f>
        <v/>
      </c>
      <c r="F594">
        <f>IF(A594="",0,IF(A594&gt;$B$5,1,0))</f>
        <v/>
      </c>
      <c r="G594" s="29">
        <f>IF(AND(F594=1,ISNUMBER(D594)),D594,"")</f>
        <v/>
      </c>
      <c r="H594" s="29">
        <f>IF(AND(F594=1,ISNUMBER(E594)),E594,"")</f>
        <v/>
      </c>
      <c r="I594" s="22">
        <f>IF(AND(F594=1,ISNUMBER(C594)),C594,"")</f>
        <v/>
      </c>
      <c r="J594" s="11">
        <f>IF(G594="","",100-IF($G$13=1,50,(_xlfn.RANK.AVG(G594,$G$19:$G$1518,1)-1)/($G$13-1)*100))</f>
        <v/>
      </c>
      <c r="K594" s="11">
        <f>IF(H594="","",100-IF($G$14=1,50,(_xlfn.RANK.AVG(H594,$H$19:$H$1518,1)-1)/($G$14-1)*100))</f>
        <v/>
      </c>
      <c r="L594" s="11">
        <f>IF(I594="","",IF($G$15=1,50,(_xlfn.RANK.AVG(I594,$I$19:$I$1518,1)-1)/($G$15-1)*100))</f>
        <v/>
      </c>
      <c r="M594" s="11">
        <f>IF(COUNT(J594:L594)=3,ROUND(AVERAGE(J594:L594),6),"")</f>
        <v/>
      </c>
      <c r="O594">
        <f>IF(AND(ISNUMBER('자료_미국심리'!$A578),ISNUMBER('자료_미국심리'!$B578)),'자료_미국심리'!$A578,"")</f>
        <v/>
      </c>
      <c r="P594">
        <f>IF(AND(ISNUMBER('자료_미국심리'!$D578),ISNUMBER('자료_미국심리'!$E578)),'자료_미국심리'!$D578,"")</f>
        <v/>
      </c>
      <c r="Q594">
        <f>IF(AND(ISNUMBER('자료_미국심리'!$G578),ISNUMBER('자료_미국심리'!$H578)),'자료_미국심리'!$G578,"")</f>
        <v/>
      </c>
    </row>
    <row r="595">
      <c r="A595" s="10">
        <f>IF(577&gt;$E$5,"",SMALL($O$19:$O$4018,$E$6+577))</f>
        <v/>
      </c>
      <c r="B595" s="29">
        <f>IF(A595="","",INDEX('자료_미국심리'!$B$3:$B$4002,MATCH(A595,$O$19:$O$4018,0)))</f>
        <v/>
      </c>
      <c r="C595" s="22">
        <f>IF(A595="","",B595/AVERAGE(B471:B595)-1)</f>
        <v/>
      </c>
      <c r="D595" s="29">
        <f>IF(A595="","",IFERROR(INDEX('자료_미국심리'!$E$3:$E$4002,MATCH(A595,$P$19:$P$4018,0)),D594))</f>
        <v/>
      </c>
      <c r="E595" s="29">
        <f>IF(A595="","",IFERROR(INDEX('자료_미국심리'!$H$3:$H$4002,MATCH(A595,$Q$19:$Q$4018,0)),E594))</f>
        <v/>
      </c>
      <c r="F595">
        <f>IF(A595="",0,IF(A595&gt;$B$5,1,0))</f>
        <v/>
      </c>
      <c r="G595" s="29">
        <f>IF(AND(F595=1,ISNUMBER(D595)),D595,"")</f>
        <v/>
      </c>
      <c r="H595" s="29">
        <f>IF(AND(F595=1,ISNUMBER(E595)),E595,"")</f>
        <v/>
      </c>
      <c r="I595" s="22">
        <f>IF(AND(F595=1,ISNUMBER(C595)),C595,"")</f>
        <v/>
      </c>
      <c r="J595" s="11">
        <f>IF(G595="","",100-IF($G$13=1,50,(_xlfn.RANK.AVG(G595,$G$19:$G$1518,1)-1)/($G$13-1)*100))</f>
        <v/>
      </c>
      <c r="K595" s="11">
        <f>IF(H595="","",100-IF($G$14=1,50,(_xlfn.RANK.AVG(H595,$H$19:$H$1518,1)-1)/($G$14-1)*100))</f>
        <v/>
      </c>
      <c r="L595" s="11">
        <f>IF(I595="","",IF($G$15=1,50,(_xlfn.RANK.AVG(I595,$I$19:$I$1518,1)-1)/($G$15-1)*100))</f>
        <v/>
      </c>
      <c r="M595" s="11">
        <f>IF(COUNT(J595:L595)=3,ROUND(AVERAGE(J595:L595),6),"")</f>
        <v/>
      </c>
      <c r="O595">
        <f>IF(AND(ISNUMBER('자료_미국심리'!$A579),ISNUMBER('자료_미국심리'!$B579)),'자료_미국심리'!$A579,"")</f>
        <v/>
      </c>
      <c r="P595">
        <f>IF(AND(ISNUMBER('자료_미국심리'!$D579),ISNUMBER('자료_미국심리'!$E579)),'자료_미국심리'!$D579,"")</f>
        <v/>
      </c>
      <c r="Q595">
        <f>IF(AND(ISNUMBER('자료_미국심리'!$G579),ISNUMBER('자료_미국심리'!$H579)),'자료_미국심리'!$G579,"")</f>
        <v/>
      </c>
    </row>
    <row r="596">
      <c r="A596" s="10">
        <f>IF(578&gt;$E$5,"",SMALL($O$19:$O$4018,$E$6+578))</f>
        <v/>
      </c>
      <c r="B596" s="29">
        <f>IF(A596="","",INDEX('자료_미국심리'!$B$3:$B$4002,MATCH(A596,$O$19:$O$4018,0)))</f>
        <v/>
      </c>
      <c r="C596" s="22">
        <f>IF(A596="","",B596/AVERAGE(B472:B596)-1)</f>
        <v/>
      </c>
      <c r="D596" s="29">
        <f>IF(A596="","",IFERROR(INDEX('자료_미국심리'!$E$3:$E$4002,MATCH(A596,$P$19:$P$4018,0)),D595))</f>
        <v/>
      </c>
      <c r="E596" s="29">
        <f>IF(A596="","",IFERROR(INDEX('자료_미국심리'!$H$3:$H$4002,MATCH(A596,$Q$19:$Q$4018,0)),E595))</f>
        <v/>
      </c>
      <c r="F596">
        <f>IF(A596="",0,IF(A596&gt;$B$5,1,0))</f>
        <v/>
      </c>
      <c r="G596" s="29">
        <f>IF(AND(F596=1,ISNUMBER(D596)),D596,"")</f>
        <v/>
      </c>
      <c r="H596" s="29">
        <f>IF(AND(F596=1,ISNUMBER(E596)),E596,"")</f>
        <v/>
      </c>
      <c r="I596" s="22">
        <f>IF(AND(F596=1,ISNUMBER(C596)),C596,"")</f>
        <v/>
      </c>
      <c r="J596" s="11">
        <f>IF(G596="","",100-IF($G$13=1,50,(_xlfn.RANK.AVG(G596,$G$19:$G$1518,1)-1)/($G$13-1)*100))</f>
        <v/>
      </c>
      <c r="K596" s="11">
        <f>IF(H596="","",100-IF($G$14=1,50,(_xlfn.RANK.AVG(H596,$H$19:$H$1518,1)-1)/($G$14-1)*100))</f>
        <v/>
      </c>
      <c r="L596" s="11">
        <f>IF(I596="","",IF($G$15=1,50,(_xlfn.RANK.AVG(I596,$I$19:$I$1518,1)-1)/($G$15-1)*100))</f>
        <v/>
      </c>
      <c r="M596" s="11">
        <f>IF(COUNT(J596:L596)=3,ROUND(AVERAGE(J596:L596),6),"")</f>
        <v/>
      </c>
      <c r="O596">
        <f>IF(AND(ISNUMBER('자료_미국심리'!$A580),ISNUMBER('자료_미국심리'!$B580)),'자료_미국심리'!$A580,"")</f>
        <v/>
      </c>
      <c r="P596">
        <f>IF(AND(ISNUMBER('자료_미국심리'!$D580),ISNUMBER('자료_미국심리'!$E580)),'자료_미국심리'!$D580,"")</f>
        <v/>
      </c>
      <c r="Q596">
        <f>IF(AND(ISNUMBER('자료_미국심리'!$G580),ISNUMBER('자료_미국심리'!$H580)),'자료_미국심리'!$G580,"")</f>
        <v/>
      </c>
    </row>
    <row r="597">
      <c r="A597" s="10">
        <f>IF(579&gt;$E$5,"",SMALL($O$19:$O$4018,$E$6+579))</f>
        <v/>
      </c>
      <c r="B597" s="29">
        <f>IF(A597="","",INDEX('자료_미국심리'!$B$3:$B$4002,MATCH(A597,$O$19:$O$4018,0)))</f>
        <v/>
      </c>
      <c r="C597" s="22">
        <f>IF(A597="","",B597/AVERAGE(B473:B597)-1)</f>
        <v/>
      </c>
      <c r="D597" s="29">
        <f>IF(A597="","",IFERROR(INDEX('자료_미국심리'!$E$3:$E$4002,MATCH(A597,$P$19:$P$4018,0)),D596))</f>
        <v/>
      </c>
      <c r="E597" s="29">
        <f>IF(A597="","",IFERROR(INDEX('자료_미국심리'!$H$3:$H$4002,MATCH(A597,$Q$19:$Q$4018,0)),E596))</f>
        <v/>
      </c>
      <c r="F597">
        <f>IF(A597="",0,IF(A597&gt;$B$5,1,0))</f>
        <v/>
      </c>
      <c r="G597" s="29">
        <f>IF(AND(F597=1,ISNUMBER(D597)),D597,"")</f>
        <v/>
      </c>
      <c r="H597" s="29">
        <f>IF(AND(F597=1,ISNUMBER(E597)),E597,"")</f>
        <v/>
      </c>
      <c r="I597" s="22">
        <f>IF(AND(F597=1,ISNUMBER(C597)),C597,"")</f>
        <v/>
      </c>
      <c r="J597" s="11">
        <f>IF(G597="","",100-IF($G$13=1,50,(_xlfn.RANK.AVG(G597,$G$19:$G$1518,1)-1)/($G$13-1)*100))</f>
        <v/>
      </c>
      <c r="K597" s="11">
        <f>IF(H597="","",100-IF($G$14=1,50,(_xlfn.RANK.AVG(H597,$H$19:$H$1518,1)-1)/($G$14-1)*100))</f>
        <v/>
      </c>
      <c r="L597" s="11">
        <f>IF(I597="","",IF($G$15=1,50,(_xlfn.RANK.AVG(I597,$I$19:$I$1518,1)-1)/($G$15-1)*100))</f>
        <v/>
      </c>
      <c r="M597" s="11">
        <f>IF(COUNT(J597:L597)=3,ROUND(AVERAGE(J597:L597),6),"")</f>
        <v/>
      </c>
      <c r="O597">
        <f>IF(AND(ISNUMBER('자료_미국심리'!$A581),ISNUMBER('자료_미국심리'!$B581)),'자료_미국심리'!$A581,"")</f>
        <v/>
      </c>
      <c r="P597">
        <f>IF(AND(ISNUMBER('자료_미국심리'!$D581),ISNUMBER('자료_미국심리'!$E581)),'자료_미국심리'!$D581,"")</f>
        <v/>
      </c>
      <c r="Q597">
        <f>IF(AND(ISNUMBER('자료_미국심리'!$G581),ISNUMBER('자료_미국심리'!$H581)),'자료_미국심리'!$G581,"")</f>
        <v/>
      </c>
    </row>
    <row r="598">
      <c r="A598" s="10">
        <f>IF(580&gt;$E$5,"",SMALL($O$19:$O$4018,$E$6+580))</f>
        <v/>
      </c>
      <c r="B598" s="29">
        <f>IF(A598="","",INDEX('자료_미국심리'!$B$3:$B$4002,MATCH(A598,$O$19:$O$4018,0)))</f>
        <v/>
      </c>
      <c r="C598" s="22">
        <f>IF(A598="","",B598/AVERAGE(B474:B598)-1)</f>
        <v/>
      </c>
      <c r="D598" s="29">
        <f>IF(A598="","",IFERROR(INDEX('자료_미국심리'!$E$3:$E$4002,MATCH(A598,$P$19:$P$4018,0)),D597))</f>
        <v/>
      </c>
      <c r="E598" s="29">
        <f>IF(A598="","",IFERROR(INDEX('자료_미국심리'!$H$3:$H$4002,MATCH(A598,$Q$19:$Q$4018,0)),E597))</f>
        <v/>
      </c>
      <c r="F598">
        <f>IF(A598="",0,IF(A598&gt;$B$5,1,0))</f>
        <v/>
      </c>
      <c r="G598" s="29">
        <f>IF(AND(F598=1,ISNUMBER(D598)),D598,"")</f>
        <v/>
      </c>
      <c r="H598" s="29">
        <f>IF(AND(F598=1,ISNUMBER(E598)),E598,"")</f>
        <v/>
      </c>
      <c r="I598" s="22">
        <f>IF(AND(F598=1,ISNUMBER(C598)),C598,"")</f>
        <v/>
      </c>
      <c r="J598" s="11">
        <f>IF(G598="","",100-IF($G$13=1,50,(_xlfn.RANK.AVG(G598,$G$19:$G$1518,1)-1)/($G$13-1)*100))</f>
        <v/>
      </c>
      <c r="K598" s="11">
        <f>IF(H598="","",100-IF($G$14=1,50,(_xlfn.RANK.AVG(H598,$H$19:$H$1518,1)-1)/($G$14-1)*100))</f>
        <v/>
      </c>
      <c r="L598" s="11">
        <f>IF(I598="","",IF($G$15=1,50,(_xlfn.RANK.AVG(I598,$I$19:$I$1518,1)-1)/($G$15-1)*100))</f>
        <v/>
      </c>
      <c r="M598" s="11">
        <f>IF(COUNT(J598:L598)=3,ROUND(AVERAGE(J598:L598),6),"")</f>
        <v/>
      </c>
      <c r="O598">
        <f>IF(AND(ISNUMBER('자료_미국심리'!$A582),ISNUMBER('자료_미국심리'!$B582)),'자료_미국심리'!$A582,"")</f>
        <v/>
      </c>
      <c r="P598">
        <f>IF(AND(ISNUMBER('자료_미국심리'!$D582),ISNUMBER('자료_미국심리'!$E582)),'자료_미국심리'!$D582,"")</f>
        <v/>
      </c>
      <c r="Q598">
        <f>IF(AND(ISNUMBER('자료_미국심리'!$G582),ISNUMBER('자료_미국심리'!$H582)),'자료_미국심리'!$G582,"")</f>
        <v/>
      </c>
    </row>
    <row r="599">
      <c r="A599" s="10">
        <f>IF(581&gt;$E$5,"",SMALL($O$19:$O$4018,$E$6+581))</f>
        <v/>
      </c>
      <c r="B599" s="29">
        <f>IF(A599="","",INDEX('자료_미국심리'!$B$3:$B$4002,MATCH(A599,$O$19:$O$4018,0)))</f>
        <v/>
      </c>
      <c r="C599" s="22">
        <f>IF(A599="","",B599/AVERAGE(B475:B599)-1)</f>
        <v/>
      </c>
      <c r="D599" s="29">
        <f>IF(A599="","",IFERROR(INDEX('자료_미국심리'!$E$3:$E$4002,MATCH(A599,$P$19:$P$4018,0)),D598))</f>
        <v/>
      </c>
      <c r="E599" s="29">
        <f>IF(A599="","",IFERROR(INDEX('자료_미국심리'!$H$3:$H$4002,MATCH(A599,$Q$19:$Q$4018,0)),E598))</f>
        <v/>
      </c>
      <c r="F599">
        <f>IF(A599="",0,IF(A599&gt;$B$5,1,0))</f>
        <v/>
      </c>
      <c r="G599" s="29">
        <f>IF(AND(F599=1,ISNUMBER(D599)),D599,"")</f>
        <v/>
      </c>
      <c r="H599" s="29">
        <f>IF(AND(F599=1,ISNUMBER(E599)),E599,"")</f>
        <v/>
      </c>
      <c r="I599" s="22">
        <f>IF(AND(F599=1,ISNUMBER(C599)),C599,"")</f>
        <v/>
      </c>
      <c r="J599" s="11">
        <f>IF(G599="","",100-IF($G$13=1,50,(_xlfn.RANK.AVG(G599,$G$19:$G$1518,1)-1)/($G$13-1)*100))</f>
        <v/>
      </c>
      <c r="K599" s="11">
        <f>IF(H599="","",100-IF($G$14=1,50,(_xlfn.RANK.AVG(H599,$H$19:$H$1518,1)-1)/($G$14-1)*100))</f>
        <v/>
      </c>
      <c r="L599" s="11">
        <f>IF(I599="","",IF($G$15=1,50,(_xlfn.RANK.AVG(I599,$I$19:$I$1518,1)-1)/($G$15-1)*100))</f>
        <v/>
      </c>
      <c r="M599" s="11">
        <f>IF(COUNT(J599:L599)=3,ROUND(AVERAGE(J599:L599),6),"")</f>
        <v/>
      </c>
      <c r="O599">
        <f>IF(AND(ISNUMBER('자료_미국심리'!$A583),ISNUMBER('자료_미국심리'!$B583)),'자료_미국심리'!$A583,"")</f>
        <v/>
      </c>
      <c r="P599">
        <f>IF(AND(ISNUMBER('자료_미국심리'!$D583),ISNUMBER('자료_미국심리'!$E583)),'자료_미국심리'!$D583,"")</f>
        <v/>
      </c>
      <c r="Q599">
        <f>IF(AND(ISNUMBER('자료_미국심리'!$G583),ISNUMBER('자료_미국심리'!$H583)),'자료_미국심리'!$G583,"")</f>
        <v/>
      </c>
    </row>
    <row r="600">
      <c r="A600" s="10">
        <f>IF(582&gt;$E$5,"",SMALL($O$19:$O$4018,$E$6+582))</f>
        <v/>
      </c>
      <c r="B600" s="29">
        <f>IF(A600="","",INDEX('자료_미국심리'!$B$3:$B$4002,MATCH(A600,$O$19:$O$4018,0)))</f>
        <v/>
      </c>
      <c r="C600" s="22">
        <f>IF(A600="","",B600/AVERAGE(B476:B600)-1)</f>
        <v/>
      </c>
      <c r="D600" s="29">
        <f>IF(A600="","",IFERROR(INDEX('자료_미국심리'!$E$3:$E$4002,MATCH(A600,$P$19:$P$4018,0)),D599))</f>
        <v/>
      </c>
      <c r="E600" s="29">
        <f>IF(A600="","",IFERROR(INDEX('자료_미국심리'!$H$3:$H$4002,MATCH(A600,$Q$19:$Q$4018,0)),E599))</f>
        <v/>
      </c>
      <c r="F600">
        <f>IF(A600="",0,IF(A600&gt;$B$5,1,0))</f>
        <v/>
      </c>
      <c r="G600" s="29">
        <f>IF(AND(F600=1,ISNUMBER(D600)),D600,"")</f>
        <v/>
      </c>
      <c r="H600" s="29">
        <f>IF(AND(F600=1,ISNUMBER(E600)),E600,"")</f>
        <v/>
      </c>
      <c r="I600" s="22">
        <f>IF(AND(F600=1,ISNUMBER(C600)),C600,"")</f>
        <v/>
      </c>
      <c r="J600" s="11">
        <f>IF(G600="","",100-IF($G$13=1,50,(_xlfn.RANK.AVG(G600,$G$19:$G$1518,1)-1)/($G$13-1)*100))</f>
        <v/>
      </c>
      <c r="K600" s="11">
        <f>IF(H600="","",100-IF($G$14=1,50,(_xlfn.RANK.AVG(H600,$H$19:$H$1518,1)-1)/($G$14-1)*100))</f>
        <v/>
      </c>
      <c r="L600" s="11">
        <f>IF(I600="","",IF($G$15=1,50,(_xlfn.RANK.AVG(I600,$I$19:$I$1518,1)-1)/($G$15-1)*100))</f>
        <v/>
      </c>
      <c r="M600" s="11">
        <f>IF(COUNT(J600:L600)=3,ROUND(AVERAGE(J600:L600),6),"")</f>
        <v/>
      </c>
      <c r="O600">
        <f>IF(AND(ISNUMBER('자료_미국심리'!$A584),ISNUMBER('자료_미국심리'!$B584)),'자료_미국심리'!$A584,"")</f>
        <v/>
      </c>
      <c r="P600">
        <f>IF(AND(ISNUMBER('자료_미국심리'!$D584),ISNUMBER('자료_미국심리'!$E584)),'자료_미국심리'!$D584,"")</f>
        <v/>
      </c>
      <c r="Q600">
        <f>IF(AND(ISNUMBER('자료_미국심리'!$G584),ISNUMBER('자료_미국심리'!$H584)),'자료_미국심리'!$G584,"")</f>
        <v/>
      </c>
    </row>
    <row r="601">
      <c r="A601" s="10">
        <f>IF(583&gt;$E$5,"",SMALL($O$19:$O$4018,$E$6+583))</f>
        <v/>
      </c>
      <c r="B601" s="29">
        <f>IF(A601="","",INDEX('자료_미국심리'!$B$3:$B$4002,MATCH(A601,$O$19:$O$4018,0)))</f>
        <v/>
      </c>
      <c r="C601" s="22">
        <f>IF(A601="","",B601/AVERAGE(B477:B601)-1)</f>
        <v/>
      </c>
      <c r="D601" s="29">
        <f>IF(A601="","",IFERROR(INDEX('자료_미국심리'!$E$3:$E$4002,MATCH(A601,$P$19:$P$4018,0)),D600))</f>
        <v/>
      </c>
      <c r="E601" s="29">
        <f>IF(A601="","",IFERROR(INDEX('자료_미국심리'!$H$3:$H$4002,MATCH(A601,$Q$19:$Q$4018,0)),E600))</f>
        <v/>
      </c>
      <c r="F601">
        <f>IF(A601="",0,IF(A601&gt;$B$5,1,0))</f>
        <v/>
      </c>
      <c r="G601" s="29">
        <f>IF(AND(F601=1,ISNUMBER(D601)),D601,"")</f>
        <v/>
      </c>
      <c r="H601" s="29">
        <f>IF(AND(F601=1,ISNUMBER(E601)),E601,"")</f>
        <v/>
      </c>
      <c r="I601" s="22">
        <f>IF(AND(F601=1,ISNUMBER(C601)),C601,"")</f>
        <v/>
      </c>
      <c r="J601" s="11">
        <f>IF(G601="","",100-IF($G$13=1,50,(_xlfn.RANK.AVG(G601,$G$19:$G$1518,1)-1)/($G$13-1)*100))</f>
        <v/>
      </c>
      <c r="K601" s="11">
        <f>IF(H601="","",100-IF($G$14=1,50,(_xlfn.RANK.AVG(H601,$H$19:$H$1518,1)-1)/($G$14-1)*100))</f>
        <v/>
      </c>
      <c r="L601" s="11">
        <f>IF(I601="","",IF($G$15=1,50,(_xlfn.RANK.AVG(I601,$I$19:$I$1518,1)-1)/($G$15-1)*100))</f>
        <v/>
      </c>
      <c r="M601" s="11">
        <f>IF(COUNT(J601:L601)=3,ROUND(AVERAGE(J601:L601),6),"")</f>
        <v/>
      </c>
      <c r="O601">
        <f>IF(AND(ISNUMBER('자료_미국심리'!$A585),ISNUMBER('자료_미국심리'!$B585)),'자료_미국심리'!$A585,"")</f>
        <v/>
      </c>
      <c r="P601">
        <f>IF(AND(ISNUMBER('자료_미국심리'!$D585),ISNUMBER('자료_미국심리'!$E585)),'자료_미국심리'!$D585,"")</f>
        <v/>
      </c>
      <c r="Q601">
        <f>IF(AND(ISNUMBER('자료_미국심리'!$G585),ISNUMBER('자료_미국심리'!$H585)),'자료_미국심리'!$G585,"")</f>
        <v/>
      </c>
    </row>
    <row r="602">
      <c r="A602" s="10">
        <f>IF(584&gt;$E$5,"",SMALL($O$19:$O$4018,$E$6+584))</f>
        <v/>
      </c>
      <c r="B602" s="29">
        <f>IF(A602="","",INDEX('자료_미국심리'!$B$3:$B$4002,MATCH(A602,$O$19:$O$4018,0)))</f>
        <v/>
      </c>
      <c r="C602" s="22">
        <f>IF(A602="","",B602/AVERAGE(B478:B602)-1)</f>
        <v/>
      </c>
      <c r="D602" s="29">
        <f>IF(A602="","",IFERROR(INDEX('자료_미국심리'!$E$3:$E$4002,MATCH(A602,$P$19:$P$4018,0)),D601))</f>
        <v/>
      </c>
      <c r="E602" s="29">
        <f>IF(A602="","",IFERROR(INDEX('자료_미국심리'!$H$3:$H$4002,MATCH(A602,$Q$19:$Q$4018,0)),E601))</f>
        <v/>
      </c>
      <c r="F602">
        <f>IF(A602="",0,IF(A602&gt;$B$5,1,0))</f>
        <v/>
      </c>
      <c r="G602" s="29">
        <f>IF(AND(F602=1,ISNUMBER(D602)),D602,"")</f>
        <v/>
      </c>
      <c r="H602" s="29">
        <f>IF(AND(F602=1,ISNUMBER(E602)),E602,"")</f>
        <v/>
      </c>
      <c r="I602" s="22">
        <f>IF(AND(F602=1,ISNUMBER(C602)),C602,"")</f>
        <v/>
      </c>
      <c r="J602" s="11">
        <f>IF(G602="","",100-IF($G$13=1,50,(_xlfn.RANK.AVG(G602,$G$19:$G$1518,1)-1)/($G$13-1)*100))</f>
        <v/>
      </c>
      <c r="K602" s="11">
        <f>IF(H602="","",100-IF($G$14=1,50,(_xlfn.RANK.AVG(H602,$H$19:$H$1518,1)-1)/($G$14-1)*100))</f>
        <v/>
      </c>
      <c r="L602" s="11">
        <f>IF(I602="","",IF($G$15=1,50,(_xlfn.RANK.AVG(I602,$I$19:$I$1518,1)-1)/($G$15-1)*100))</f>
        <v/>
      </c>
      <c r="M602" s="11">
        <f>IF(COUNT(J602:L602)=3,ROUND(AVERAGE(J602:L602),6),"")</f>
        <v/>
      </c>
      <c r="O602">
        <f>IF(AND(ISNUMBER('자료_미국심리'!$A586),ISNUMBER('자료_미국심리'!$B586)),'자료_미국심리'!$A586,"")</f>
        <v/>
      </c>
      <c r="P602">
        <f>IF(AND(ISNUMBER('자료_미국심리'!$D586),ISNUMBER('자료_미국심리'!$E586)),'자료_미국심리'!$D586,"")</f>
        <v/>
      </c>
      <c r="Q602">
        <f>IF(AND(ISNUMBER('자료_미국심리'!$G586),ISNUMBER('자료_미국심리'!$H586)),'자료_미국심리'!$G586,"")</f>
        <v/>
      </c>
    </row>
    <row r="603">
      <c r="A603" s="10">
        <f>IF(585&gt;$E$5,"",SMALL($O$19:$O$4018,$E$6+585))</f>
        <v/>
      </c>
      <c r="B603" s="29">
        <f>IF(A603="","",INDEX('자료_미국심리'!$B$3:$B$4002,MATCH(A603,$O$19:$O$4018,0)))</f>
        <v/>
      </c>
      <c r="C603" s="22">
        <f>IF(A603="","",B603/AVERAGE(B479:B603)-1)</f>
        <v/>
      </c>
      <c r="D603" s="29">
        <f>IF(A603="","",IFERROR(INDEX('자료_미국심리'!$E$3:$E$4002,MATCH(A603,$P$19:$P$4018,0)),D602))</f>
        <v/>
      </c>
      <c r="E603" s="29">
        <f>IF(A603="","",IFERROR(INDEX('자료_미국심리'!$H$3:$H$4002,MATCH(A603,$Q$19:$Q$4018,0)),E602))</f>
        <v/>
      </c>
      <c r="F603">
        <f>IF(A603="",0,IF(A603&gt;$B$5,1,0))</f>
        <v/>
      </c>
      <c r="G603" s="29">
        <f>IF(AND(F603=1,ISNUMBER(D603)),D603,"")</f>
        <v/>
      </c>
      <c r="H603" s="29">
        <f>IF(AND(F603=1,ISNUMBER(E603)),E603,"")</f>
        <v/>
      </c>
      <c r="I603" s="22">
        <f>IF(AND(F603=1,ISNUMBER(C603)),C603,"")</f>
        <v/>
      </c>
      <c r="J603" s="11">
        <f>IF(G603="","",100-IF($G$13=1,50,(_xlfn.RANK.AVG(G603,$G$19:$G$1518,1)-1)/($G$13-1)*100))</f>
        <v/>
      </c>
      <c r="K603" s="11">
        <f>IF(H603="","",100-IF($G$14=1,50,(_xlfn.RANK.AVG(H603,$H$19:$H$1518,1)-1)/($G$14-1)*100))</f>
        <v/>
      </c>
      <c r="L603" s="11">
        <f>IF(I603="","",IF($G$15=1,50,(_xlfn.RANK.AVG(I603,$I$19:$I$1518,1)-1)/($G$15-1)*100))</f>
        <v/>
      </c>
      <c r="M603" s="11">
        <f>IF(COUNT(J603:L603)=3,ROUND(AVERAGE(J603:L603),6),"")</f>
        <v/>
      </c>
      <c r="O603">
        <f>IF(AND(ISNUMBER('자료_미국심리'!$A587),ISNUMBER('자료_미국심리'!$B587)),'자료_미국심리'!$A587,"")</f>
        <v/>
      </c>
      <c r="P603">
        <f>IF(AND(ISNUMBER('자료_미국심리'!$D587),ISNUMBER('자료_미국심리'!$E587)),'자료_미국심리'!$D587,"")</f>
        <v/>
      </c>
      <c r="Q603">
        <f>IF(AND(ISNUMBER('자료_미국심리'!$G587),ISNUMBER('자료_미국심리'!$H587)),'자료_미국심리'!$G587,"")</f>
        <v/>
      </c>
    </row>
    <row r="604">
      <c r="A604" s="10">
        <f>IF(586&gt;$E$5,"",SMALL($O$19:$O$4018,$E$6+586))</f>
        <v/>
      </c>
      <c r="B604" s="29">
        <f>IF(A604="","",INDEX('자료_미국심리'!$B$3:$B$4002,MATCH(A604,$O$19:$O$4018,0)))</f>
        <v/>
      </c>
      <c r="C604" s="22">
        <f>IF(A604="","",B604/AVERAGE(B480:B604)-1)</f>
        <v/>
      </c>
      <c r="D604" s="29">
        <f>IF(A604="","",IFERROR(INDEX('자료_미국심리'!$E$3:$E$4002,MATCH(A604,$P$19:$P$4018,0)),D603))</f>
        <v/>
      </c>
      <c r="E604" s="29">
        <f>IF(A604="","",IFERROR(INDEX('자료_미국심리'!$H$3:$H$4002,MATCH(A604,$Q$19:$Q$4018,0)),E603))</f>
        <v/>
      </c>
      <c r="F604">
        <f>IF(A604="",0,IF(A604&gt;$B$5,1,0))</f>
        <v/>
      </c>
      <c r="G604" s="29">
        <f>IF(AND(F604=1,ISNUMBER(D604)),D604,"")</f>
        <v/>
      </c>
      <c r="H604" s="29">
        <f>IF(AND(F604=1,ISNUMBER(E604)),E604,"")</f>
        <v/>
      </c>
      <c r="I604" s="22">
        <f>IF(AND(F604=1,ISNUMBER(C604)),C604,"")</f>
        <v/>
      </c>
      <c r="J604" s="11">
        <f>IF(G604="","",100-IF($G$13=1,50,(_xlfn.RANK.AVG(G604,$G$19:$G$1518,1)-1)/($G$13-1)*100))</f>
        <v/>
      </c>
      <c r="K604" s="11">
        <f>IF(H604="","",100-IF($G$14=1,50,(_xlfn.RANK.AVG(H604,$H$19:$H$1518,1)-1)/($G$14-1)*100))</f>
        <v/>
      </c>
      <c r="L604" s="11">
        <f>IF(I604="","",IF($G$15=1,50,(_xlfn.RANK.AVG(I604,$I$19:$I$1518,1)-1)/($G$15-1)*100))</f>
        <v/>
      </c>
      <c r="M604" s="11">
        <f>IF(COUNT(J604:L604)=3,ROUND(AVERAGE(J604:L604),6),"")</f>
        <v/>
      </c>
      <c r="O604">
        <f>IF(AND(ISNUMBER('자료_미국심리'!$A588),ISNUMBER('자료_미국심리'!$B588)),'자료_미국심리'!$A588,"")</f>
        <v/>
      </c>
      <c r="P604">
        <f>IF(AND(ISNUMBER('자료_미국심리'!$D588),ISNUMBER('자료_미국심리'!$E588)),'자료_미국심리'!$D588,"")</f>
        <v/>
      </c>
      <c r="Q604">
        <f>IF(AND(ISNUMBER('자료_미국심리'!$G588),ISNUMBER('자료_미국심리'!$H588)),'자료_미국심리'!$G588,"")</f>
        <v/>
      </c>
    </row>
    <row r="605">
      <c r="A605" s="10">
        <f>IF(587&gt;$E$5,"",SMALL($O$19:$O$4018,$E$6+587))</f>
        <v/>
      </c>
      <c r="B605" s="29">
        <f>IF(A605="","",INDEX('자료_미국심리'!$B$3:$B$4002,MATCH(A605,$O$19:$O$4018,0)))</f>
        <v/>
      </c>
      <c r="C605" s="22">
        <f>IF(A605="","",B605/AVERAGE(B481:B605)-1)</f>
        <v/>
      </c>
      <c r="D605" s="29">
        <f>IF(A605="","",IFERROR(INDEX('자료_미국심리'!$E$3:$E$4002,MATCH(A605,$P$19:$P$4018,0)),D604))</f>
        <v/>
      </c>
      <c r="E605" s="29">
        <f>IF(A605="","",IFERROR(INDEX('자료_미국심리'!$H$3:$H$4002,MATCH(A605,$Q$19:$Q$4018,0)),E604))</f>
        <v/>
      </c>
      <c r="F605">
        <f>IF(A605="",0,IF(A605&gt;$B$5,1,0))</f>
        <v/>
      </c>
      <c r="G605" s="29">
        <f>IF(AND(F605=1,ISNUMBER(D605)),D605,"")</f>
        <v/>
      </c>
      <c r="H605" s="29">
        <f>IF(AND(F605=1,ISNUMBER(E605)),E605,"")</f>
        <v/>
      </c>
      <c r="I605" s="22">
        <f>IF(AND(F605=1,ISNUMBER(C605)),C605,"")</f>
        <v/>
      </c>
      <c r="J605" s="11">
        <f>IF(G605="","",100-IF($G$13=1,50,(_xlfn.RANK.AVG(G605,$G$19:$G$1518,1)-1)/($G$13-1)*100))</f>
        <v/>
      </c>
      <c r="K605" s="11">
        <f>IF(H605="","",100-IF($G$14=1,50,(_xlfn.RANK.AVG(H605,$H$19:$H$1518,1)-1)/($G$14-1)*100))</f>
        <v/>
      </c>
      <c r="L605" s="11">
        <f>IF(I605="","",IF($G$15=1,50,(_xlfn.RANK.AVG(I605,$I$19:$I$1518,1)-1)/($G$15-1)*100))</f>
        <v/>
      </c>
      <c r="M605" s="11">
        <f>IF(COUNT(J605:L605)=3,ROUND(AVERAGE(J605:L605),6),"")</f>
        <v/>
      </c>
      <c r="O605">
        <f>IF(AND(ISNUMBER('자료_미국심리'!$A589),ISNUMBER('자료_미국심리'!$B589)),'자료_미국심리'!$A589,"")</f>
        <v/>
      </c>
      <c r="P605">
        <f>IF(AND(ISNUMBER('자료_미국심리'!$D589),ISNUMBER('자료_미국심리'!$E589)),'자료_미국심리'!$D589,"")</f>
        <v/>
      </c>
      <c r="Q605">
        <f>IF(AND(ISNUMBER('자료_미국심리'!$G589),ISNUMBER('자료_미국심리'!$H589)),'자료_미국심리'!$G589,"")</f>
        <v/>
      </c>
    </row>
    <row r="606">
      <c r="A606" s="10">
        <f>IF(588&gt;$E$5,"",SMALL($O$19:$O$4018,$E$6+588))</f>
        <v/>
      </c>
      <c r="B606" s="29">
        <f>IF(A606="","",INDEX('자료_미국심리'!$B$3:$B$4002,MATCH(A606,$O$19:$O$4018,0)))</f>
        <v/>
      </c>
      <c r="C606" s="22">
        <f>IF(A606="","",B606/AVERAGE(B482:B606)-1)</f>
        <v/>
      </c>
      <c r="D606" s="29">
        <f>IF(A606="","",IFERROR(INDEX('자료_미국심리'!$E$3:$E$4002,MATCH(A606,$P$19:$P$4018,0)),D605))</f>
        <v/>
      </c>
      <c r="E606" s="29">
        <f>IF(A606="","",IFERROR(INDEX('자료_미국심리'!$H$3:$H$4002,MATCH(A606,$Q$19:$Q$4018,0)),E605))</f>
        <v/>
      </c>
      <c r="F606">
        <f>IF(A606="",0,IF(A606&gt;$B$5,1,0))</f>
        <v/>
      </c>
      <c r="G606" s="29">
        <f>IF(AND(F606=1,ISNUMBER(D606)),D606,"")</f>
        <v/>
      </c>
      <c r="H606" s="29">
        <f>IF(AND(F606=1,ISNUMBER(E606)),E606,"")</f>
        <v/>
      </c>
      <c r="I606" s="22">
        <f>IF(AND(F606=1,ISNUMBER(C606)),C606,"")</f>
        <v/>
      </c>
      <c r="J606" s="11">
        <f>IF(G606="","",100-IF($G$13=1,50,(_xlfn.RANK.AVG(G606,$G$19:$G$1518,1)-1)/($G$13-1)*100))</f>
        <v/>
      </c>
      <c r="K606" s="11">
        <f>IF(H606="","",100-IF($G$14=1,50,(_xlfn.RANK.AVG(H606,$H$19:$H$1518,1)-1)/($G$14-1)*100))</f>
        <v/>
      </c>
      <c r="L606" s="11">
        <f>IF(I606="","",IF($G$15=1,50,(_xlfn.RANK.AVG(I606,$I$19:$I$1518,1)-1)/($G$15-1)*100))</f>
        <v/>
      </c>
      <c r="M606" s="11">
        <f>IF(COUNT(J606:L606)=3,ROUND(AVERAGE(J606:L606),6),"")</f>
        <v/>
      </c>
      <c r="O606">
        <f>IF(AND(ISNUMBER('자료_미국심리'!$A590),ISNUMBER('자료_미국심리'!$B590)),'자료_미국심리'!$A590,"")</f>
        <v/>
      </c>
      <c r="P606">
        <f>IF(AND(ISNUMBER('자료_미국심리'!$D590),ISNUMBER('자료_미국심리'!$E590)),'자료_미국심리'!$D590,"")</f>
        <v/>
      </c>
      <c r="Q606">
        <f>IF(AND(ISNUMBER('자료_미국심리'!$G590),ISNUMBER('자료_미국심리'!$H590)),'자료_미국심리'!$G590,"")</f>
        <v/>
      </c>
    </row>
    <row r="607">
      <c r="A607" s="10">
        <f>IF(589&gt;$E$5,"",SMALL($O$19:$O$4018,$E$6+589))</f>
        <v/>
      </c>
      <c r="B607" s="29">
        <f>IF(A607="","",INDEX('자료_미국심리'!$B$3:$B$4002,MATCH(A607,$O$19:$O$4018,0)))</f>
        <v/>
      </c>
      <c r="C607" s="22">
        <f>IF(A607="","",B607/AVERAGE(B483:B607)-1)</f>
        <v/>
      </c>
      <c r="D607" s="29">
        <f>IF(A607="","",IFERROR(INDEX('자료_미국심리'!$E$3:$E$4002,MATCH(A607,$P$19:$P$4018,0)),D606))</f>
        <v/>
      </c>
      <c r="E607" s="29">
        <f>IF(A607="","",IFERROR(INDEX('자료_미국심리'!$H$3:$H$4002,MATCH(A607,$Q$19:$Q$4018,0)),E606))</f>
        <v/>
      </c>
      <c r="F607">
        <f>IF(A607="",0,IF(A607&gt;$B$5,1,0))</f>
        <v/>
      </c>
      <c r="G607" s="29">
        <f>IF(AND(F607=1,ISNUMBER(D607)),D607,"")</f>
        <v/>
      </c>
      <c r="H607" s="29">
        <f>IF(AND(F607=1,ISNUMBER(E607)),E607,"")</f>
        <v/>
      </c>
      <c r="I607" s="22">
        <f>IF(AND(F607=1,ISNUMBER(C607)),C607,"")</f>
        <v/>
      </c>
      <c r="J607" s="11">
        <f>IF(G607="","",100-IF($G$13=1,50,(_xlfn.RANK.AVG(G607,$G$19:$G$1518,1)-1)/($G$13-1)*100))</f>
        <v/>
      </c>
      <c r="K607" s="11">
        <f>IF(H607="","",100-IF($G$14=1,50,(_xlfn.RANK.AVG(H607,$H$19:$H$1518,1)-1)/($G$14-1)*100))</f>
        <v/>
      </c>
      <c r="L607" s="11">
        <f>IF(I607="","",IF($G$15=1,50,(_xlfn.RANK.AVG(I607,$I$19:$I$1518,1)-1)/($G$15-1)*100))</f>
        <v/>
      </c>
      <c r="M607" s="11">
        <f>IF(COUNT(J607:L607)=3,ROUND(AVERAGE(J607:L607),6),"")</f>
        <v/>
      </c>
      <c r="O607">
        <f>IF(AND(ISNUMBER('자료_미국심리'!$A591),ISNUMBER('자료_미국심리'!$B591)),'자료_미국심리'!$A591,"")</f>
        <v/>
      </c>
      <c r="P607">
        <f>IF(AND(ISNUMBER('자료_미국심리'!$D591),ISNUMBER('자료_미국심리'!$E591)),'자료_미국심리'!$D591,"")</f>
        <v/>
      </c>
      <c r="Q607">
        <f>IF(AND(ISNUMBER('자료_미국심리'!$G591),ISNUMBER('자료_미국심리'!$H591)),'자료_미국심리'!$G591,"")</f>
        <v/>
      </c>
    </row>
    <row r="608">
      <c r="A608" s="10">
        <f>IF(590&gt;$E$5,"",SMALL($O$19:$O$4018,$E$6+590))</f>
        <v/>
      </c>
      <c r="B608" s="29">
        <f>IF(A608="","",INDEX('자료_미국심리'!$B$3:$B$4002,MATCH(A608,$O$19:$O$4018,0)))</f>
        <v/>
      </c>
      <c r="C608" s="22">
        <f>IF(A608="","",B608/AVERAGE(B484:B608)-1)</f>
        <v/>
      </c>
      <c r="D608" s="29">
        <f>IF(A608="","",IFERROR(INDEX('자료_미국심리'!$E$3:$E$4002,MATCH(A608,$P$19:$P$4018,0)),D607))</f>
        <v/>
      </c>
      <c r="E608" s="29">
        <f>IF(A608="","",IFERROR(INDEX('자료_미국심리'!$H$3:$H$4002,MATCH(A608,$Q$19:$Q$4018,0)),E607))</f>
        <v/>
      </c>
      <c r="F608">
        <f>IF(A608="",0,IF(A608&gt;$B$5,1,0))</f>
        <v/>
      </c>
      <c r="G608" s="29">
        <f>IF(AND(F608=1,ISNUMBER(D608)),D608,"")</f>
        <v/>
      </c>
      <c r="H608" s="29">
        <f>IF(AND(F608=1,ISNUMBER(E608)),E608,"")</f>
        <v/>
      </c>
      <c r="I608" s="22">
        <f>IF(AND(F608=1,ISNUMBER(C608)),C608,"")</f>
        <v/>
      </c>
      <c r="J608" s="11">
        <f>IF(G608="","",100-IF($G$13=1,50,(_xlfn.RANK.AVG(G608,$G$19:$G$1518,1)-1)/($G$13-1)*100))</f>
        <v/>
      </c>
      <c r="K608" s="11">
        <f>IF(H608="","",100-IF($G$14=1,50,(_xlfn.RANK.AVG(H608,$H$19:$H$1518,1)-1)/($G$14-1)*100))</f>
        <v/>
      </c>
      <c r="L608" s="11">
        <f>IF(I608="","",IF($G$15=1,50,(_xlfn.RANK.AVG(I608,$I$19:$I$1518,1)-1)/($G$15-1)*100))</f>
        <v/>
      </c>
      <c r="M608" s="11">
        <f>IF(COUNT(J608:L608)=3,ROUND(AVERAGE(J608:L608),6),"")</f>
        <v/>
      </c>
      <c r="O608">
        <f>IF(AND(ISNUMBER('자료_미국심리'!$A592),ISNUMBER('자료_미국심리'!$B592)),'자료_미국심리'!$A592,"")</f>
        <v/>
      </c>
      <c r="P608">
        <f>IF(AND(ISNUMBER('자료_미국심리'!$D592),ISNUMBER('자료_미국심리'!$E592)),'자료_미국심리'!$D592,"")</f>
        <v/>
      </c>
      <c r="Q608">
        <f>IF(AND(ISNUMBER('자료_미국심리'!$G592),ISNUMBER('자료_미국심리'!$H592)),'자료_미국심리'!$G592,"")</f>
        <v/>
      </c>
    </row>
    <row r="609">
      <c r="A609" s="10">
        <f>IF(591&gt;$E$5,"",SMALL($O$19:$O$4018,$E$6+591))</f>
        <v/>
      </c>
      <c r="B609" s="29">
        <f>IF(A609="","",INDEX('자료_미국심리'!$B$3:$B$4002,MATCH(A609,$O$19:$O$4018,0)))</f>
        <v/>
      </c>
      <c r="C609" s="22">
        <f>IF(A609="","",B609/AVERAGE(B485:B609)-1)</f>
        <v/>
      </c>
      <c r="D609" s="29">
        <f>IF(A609="","",IFERROR(INDEX('자료_미국심리'!$E$3:$E$4002,MATCH(A609,$P$19:$P$4018,0)),D608))</f>
        <v/>
      </c>
      <c r="E609" s="29">
        <f>IF(A609="","",IFERROR(INDEX('자료_미국심리'!$H$3:$H$4002,MATCH(A609,$Q$19:$Q$4018,0)),E608))</f>
        <v/>
      </c>
      <c r="F609">
        <f>IF(A609="",0,IF(A609&gt;$B$5,1,0))</f>
        <v/>
      </c>
      <c r="G609" s="29">
        <f>IF(AND(F609=1,ISNUMBER(D609)),D609,"")</f>
        <v/>
      </c>
      <c r="H609" s="29">
        <f>IF(AND(F609=1,ISNUMBER(E609)),E609,"")</f>
        <v/>
      </c>
      <c r="I609" s="22">
        <f>IF(AND(F609=1,ISNUMBER(C609)),C609,"")</f>
        <v/>
      </c>
      <c r="J609" s="11">
        <f>IF(G609="","",100-IF($G$13=1,50,(_xlfn.RANK.AVG(G609,$G$19:$G$1518,1)-1)/($G$13-1)*100))</f>
        <v/>
      </c>
      <c r="K609" s="11">
        <f>IF(H609="","",100-IF($G$14=1,50,(_xlfn.RANK.AVG(H609,$H$19:$H$1518,1)-1)/($G$14-1)*100))</f>
        <v/>
      </c>
      <c r="L609" s="11">
        <f>IF(I609="","",IF($G$15=1,50,(_xlfn.RANK.AVG(I609,$I$19:$I$1518,1)-1)/($G$15-1)*100))</f>
        <v/>
      </c>
      <c r="M609" s="11">
        <f>IF(COUNT(J609:L609)=3,ROUND(AVERAGE(J609:L609),6),"")</f>
        <v/>
      </c>
      <c r="O609">
        <f>IF(AND(ISNUMBER('자료_미국심리'!$A593),ISNUMBER('자료_미국심리'!$B593)),'자료_미국심리'!$A593,"")</f>
        <v/>
      </c>
      <c r="P609">
        <f>IF(AND(ISNUMBER('자료_미국심리'!$D593),ISNUMBER('자료_미국심리'!$E593)),'자료_미국심리'!$D593,"")</f>
        <v/>
      </c>
      <c r="Q609">
        <f>IF(AND(ISNUMBER('자료_미국심리'!$G593),ISNUMBER('자료_미국심리'!$H593)),'자료_미국심리'!$G593,"")</f>
        <v/>
      </c>
    </row>
    <row r="610">
      <c r="A610" s="10">
        <f>IF(592&gt;$E$5,"",SMALL($O$19:$O$4018,$E$6+592))</f>
        <v/>
      </c>
      <c r="B610" s="29">
        <f>IF(A610="","",INDEX('자료_미국심리'!$B$3:$B$4002,MATCH(A610,$O$19:$O$4018,0)))</f>
        <v/>
      </c>
      <c r="C610" s="22">
        <f>IF(A610="","",B610/AVERAGE(B486:B610)-1)</f>
        <v/>
      </c>
      <c r="D610" s="29">
        <f>IF(A610="","",IFERROR(INDEX('자료_미국심리'!$E$3:$E$4002,MATCH(A610,$P$19:$P$4018,0)),D609))</f>
        <v/>
      </c>
      <c r="E610" s="29">
        <f>IF(A610="","",IFERROR(INDEX('자료_미국심리'!$H$3:$H$4002,MATCH(A610,$Q$19:$Q$4018,0)),E609))</f>
        <v/>
      </c>
      <c r="F610">
        <f>IF(A610="",0,IF(A610&gt;$B$5,1,0))</f>
        <v/>
      </c>
      <c r="G610" s="29">
        <f>IF(AND(F610=1,ISNUMBER(D610)),D610,"")</f>
        <v/>
      </c>
      <c r="H610" s="29">
        <f>IF(AND(F610=1,ISNUMBER(E610)),E610,"")</f>
        <v/>
      </c>
      <c r="I610" s="22">
        <f>IF(AND(F610=1,ISNUMBER(C610)),C610,"")</f>
        <v/>
      </c>
      <c r="J610" s="11">
        <f>IF(G610="","",100-IF($G$13=1,50,(_xlfn.RANK.AVG(G610,$G$19:$G$1518,1)-1)/($G$13-1)*100))</f>
        <v/>
      </c>
      <c r="K610" s="11">
        <f>IF(H610="","",100-IF($G$14=1,50,(_xlfn.RANK.AVG(H610,$H$19:$H$1518,1)-1)/($G$14-1)*100))</f>
        <v/>
      </c>
      <c r="L610" s="11">
        <f>IF(I610="","",IF($G$15=1,50,(_xlfn.RANK.AVG(I610,$I$19:$I$1518,1)-1)/($G$15-1)*100))</f>
        <v/>
      </c>
      <c r="M610" s="11">
        <f>IF(COUNT(J610:L610)=3,ROUND(AVERAGE(J610:L610),6),"")</f>
        <v/>
      </c>
      <c r="O610">
        <f>IF(AND(ISNUMBER('자료_미국심리'!$A594),ISNUMBER('자료_미국심리'!$B594)),'자료_미국심리'!$A594,"")</f>
        <v/>
      </c>
      <c r="P610">
        <f>IF(AND(ISNUMBER('자료_미국심리'!$D594),ISNUMBER('자료_미국심리'!$E594)),'자료_미국심리'!$D594,"")</f>
        <v/>
      </c>
      <c r="Q610">
        <f>IF(AND(ISNUMBER('자료_미국심리'!$G594),ISNUMBER('자료_미국심리'!$H594)),'자료_미국심리'!$G594,"")</f>
        <v/>
      </c>
    </row>
    <row r="611">
      <c r="A611" s="10">
        <f>IF(593&gt;$E$5,"",SMALL($O$19:$O$4018,$E$6+593))</f>
        <v/>
      </c>
      <c r="B611" s="29">
        <f>IF(A611="","",INDEX('자료_미국심리'!$B$3:$B$4002,MATCH(A611,$O$19:$O$4018,0)))</f>
        <v/>
      </c>
      <c r="C611" s="22">
        <f>IF(A611="","",B611/AVERAGE(B487:B611)-1)</f>
        <v/>
      </c>
      <c r="D611" s="29">
        <f>IF(A611="","",IFERROR(INDEX('자료_미국심리'!$E$3:$E$4002,MATCH(A611,$P$19:$P$4018,0)),D610))</f>
        <v/>
      </c>
      <c r="E611" s="29">
        <f>IF(A611="","",IFERROR(INDEX('자료_미국심리'!$H$3:$H$4002,MATCH(A611,$Q$19:$Q$4018,0)),E610))</f>
        <v/>
      </c>
      <c r="F611">
        <f>IF(A611="",0,IF(A611&gt;$B$5,1,0))</f>
        <v/>
      </c>
      <c r="G611" s="29">
        <f>IF(AND(F611=1,ISNUMBER(D611)),D611,"")</f>
        <v/>
      </c>
      <c r="H611" s="29">
        <f>IF(AND(F611=1,ISNUMBER(E611)),E611,"")</f>
        <v/>
      </c>
      <c r="I611" s="22">
        <f>IF(AND(F611=1,ISNUMBER(C611)),C611,"")</f>
        <v/>
      </c>
      <c r="J611" s="11">
        <f>IF(G611="","",100-IF($G$13=1,50,(_xlfn.RANK.AVG(G611,$G$19:$G$1518,1)-1)/($G$13-1)*100))</f>
        <v/>
      </c>
      <c r="K611" s="11">
        <f>IF(H611="","",100-IF($G$14=1,50,(_xlfn.RANK.AVG(H611,$H$19:$H$1518,1)-1)/($G$14-1)*100))</f>
        <v/>
      </c>
      <c r="L611" s="11">
        <f>IF(I611="","",IF($G$15=1,50,(_xlfn.RANK.AVG(I611,$I$19:$I$1518,1)-1)/($G$15-1)*100))</f>
        <v/>
      </c>
      <c r="M611" s="11">
        <f>IF(COUNT(J611:L611)=3,ROUND(AVERAGE(J611:L611),6),"")</f>
        <v/>
      </c>
      <c r="O611">
        <f>IF(AND(ISNUMBER('자료_미국심리'!$A595),ISNUMBER('자료_미국심리'!$B595)),'자료_미국심리'!$A595,"")</f>
        <v/>
      </c>
      <c r="P611">
        <f>IF(AND(ISNUMBER('자료_미국심리'!$D595),ISNUMBER('자료_미국심리'!$E595)),'자료_미국심리'!$D595,"")</f>
        <v/>
      </c>
      <c r="Q611">
        <f>IF(AND(ISNUMBER('자료_미국심리'!$G595),ISNUMBER('자료_미국심리'!$H595)),'자료_미국심리'!$G595,"")</f>
        <v/>
      </c>
    </row>
    <row r="612">
      <c r="A612" s="10">
        <f>IF(594&gt;$E$5,"",SMALL($O$19:$O$4018,$E$6+594))</f>
        <v/>
      </c>
      <c r="B612" s="29">
        <f>IF(A612="","",INDEX('자료_미국심리'!$B$3:$B$4002,MATCH(A612,$O$19:$O$4018,0)))</f>
        <v/>
      </c>
      <c r="C612" s="22">
        <f>IF(A612="","",B612/AVERAGE(B488:B612)-1)</f>
        <v/>
      </c>
      <c r="D612" s="29">
        <f>IF(A612="","",IFERROR(INDEX('자료_미국심리'!$E$3:$E$4002,MATCH(A612,$P$19:$P$4018,0)),D611))</f>
        <v/>
      </c>
      <c r="E612" s="29">
        <f>IF(A612="","",IFERROR(INDEX('자료_미국심리'!$H$3:$H$4002,MATCH(A612,$Q$19:$Q$4018,0)),E611))</f>
        <v/>
      </c>
      <c r="F612">
        <f>IF(A612="",0,IF(A612&gt;$B$5,1,0))</f>
        <v/>
      </c>
      <c r="G612" s="29">
        <f>IF(AND(F612=1,ISNUMBER(D612)),D612,"")</f>
        <v/>
      </c>
      <c r="H612" s="29">
        <f>IF(AND(F612=1,ISNUMBER(E612)),E612,"")</f>
        <v/>
      </c>
      <c r="I612" s="22">
        <f>IF(AND(F612=1,ISNUMBER(C612)),C612,"")</f>
        <v/>
      </c>
      <c r="J612" s="11">
        <f>IF(G612="","",100-IF($G$13=1,50,(_xlfn.RANK.AVG(G612,$G$19:$G$1518,1)-1)/($G$13-1)*100))</f>
        <v/>
      </c>
      <c r="K612" s="11">
        <f>IF(H612="","",100-IF($G$14=1,50,(_xlfn.RANK.AVG(H612,$H$19:$H$1518,1)-1)/($G$14-1)*100))</f>
        <v/>
      </c>
      <c r="L612" s="11">
        <f>IF(I612="","",IF($G$15=1,50,(_xlfn.RANK.AVG(I612,$I$19:$I$1518,1)-1)/($G$15-1)*100))</f>
        <v/>
      </c>
      <c r="M612" s="11">
        <f>IF(COUNT(J612:L612)=3,ROUND(AVERAGE(J612:L612),6),"")</f>
        <v/>
      </c>
      <c r="O612">
        <f>IF(AND(ISNUMBER('자료_미국심리'!$A596),ISNUMBER('자료_미국심리'!$B596)),'자료_미국심리'!$A596,"")</f>
        <v/>
      </c>
      <c r="P612">
        <f>IF(AND(ISNUMBER('자료_미국심리'!$D596),ISNUMBER('자료_미국심리'!$E596)),'자료_미국심리'!$D596,"")</f>
        <v/>
      </c>
      <c r="Q612">
        <f>IF(AND(ISNUMBER('자료_미국심리'!$G596),ISNUMBER('자료_미국심리'!$H596)),'자료_미국심리'!$G596,"")</f>
        <v/>
      </c>
    </row>
    <row r="613">
      <c r="A613" s="10">
        <f>IF(595&gt;$E$5,"",SMALL($O$19:$O$4018,$E$6+595))</f>
        <v/>
      </c>
      <c r="B613" s="29">
        <f>IF(A613="","",INDEX('자료_미국심리'!$B$3:$B$4002,MATCH(A613,$O$19:$O$4018,0)))</f>
        <v/>
      </c>
      <c r="C613" s="22">
        <f>IF(A613="","",B613/AVERAGE(B489:B613)-1)</f>
        <v/>
      </c>
      <c r="D613" s="29">
        <f>IF(A613="","",IFERROR(INDEX('자료_미국심리'!$E$3:$E$4002,MATCH(A613,$P$19:$P$4018,0)),D612))</f>
        <v/>
      </c>
      <c r="E613" s="29">
        <f>IF(A613="","",IFERROR(INDEX('자료_미국심리'!$H$3:$H$4002,MATCH(A613,$Q$19:$Q$4018,0)),E612))</f>
        <v/>
      </c>
      <c r="F613">
        <f>IF(A613="",0,IF(A613&gt;$B$5,1,0))</f>
        <v/>
      </c>
      <c r="G613" s="29">
        <f>IF(AND(F613=1,ISNUMBER(D613)),D613,"")</f>
        <v/>
      </c>
      <c r="H613" s="29">
        <f>IF(AND(F613=1,ISNUMBER(E613)),E613,"")</f>
        <v/>
      </c>
      <c r="I613" s="22">
        <f>IF(AND(F613=1,ISNUMBER(C613)),C613,"")</f>
        <v/>
      </c>
      <c r="J613" s="11">
        <f>IF(G613="","",100-IF($G$13=1,50,(_xlfn.RANK.AVG(G613,$G$19:$G$1518,1)-1)/($G$13-1)*100))</f>
        <v/>
      </c>
      <c r="K613" s="11">
        <f>IF(H613="","",100-IF($G$14=1,50,(_xlfn.RANK.AVG(H613,$H$19:$H$1518,1)-1)/($G$14-1)*100))</f>
        <v/>
      </c>
      <c r="L613" s="11">
        <f>IF(I613="","",IF($G$15=1,50,(_xlfn.RANK.AVG(I613,$I$19:$I$1518,1)-1)/($G$15-1)*100))</f>
        <v/>
      </c>
      <c r="M613" s="11">
        <f>IF(COUNT(J613:L613)=3,ROUND(AVERAGE(J613:L613),6),"")</f>
        <v/>
      </c>
      <c r="O613">
        <f>IF(AND(ISNUMBER('자료_미국심리'!$A597),ISNUMBER('자료_미국심리'!$B597)),'자료_미국심리'!$A597,"")</f>
        <v/>
      </c>
      <c r="P613">
        <f>IF(AND(ISNUMBER('자료_미국심리'!$D597),ISNUMBER('자료_미국심리'!$E597)),'자료_미국심리'!$D597,"")</f>
        <v/>
      </c>
      <c r="Q613">
        <f>IF(AND(ISNUMBER('자료_미국심리'!$G597),ISNUMBER('자료_미국심리'!$H597)),'자료_미국심리'!$G597,"")</f>
        <v/>
      </c>
    </row>
    <row r="614">
      <c r="A614" s="10">
        <f>IF(596&gt;$E$5,"",SMALL($O$19:$O$4018,$E$6+596))</f>
        <v/>
      </c>
      <c r="B614" s="29">
        <f>IF(A614="","",INDEX('자료_미국심리'!$B$3:$B$4002,MATCH(A614,$O$19:$O$4018,0)))</f>
        <v/>
      </c>
      <c r="C614" s="22">
        <f>IF(A614="","",B614/AVERAGE(B490:B614)-1)</f>
        <v/>
      </c>
      <c r="D614" s="29">
        <f>IF(A614="","",IFERROR(INDEX('자료_미국심리'!$E$3:$E$4002,MATCH(A614,$P$19:$P$4018,0)),D613))</f>
        <v/>
      </c>
      <c r="E614" s="29">
        <f>IF(A614="","",IFERROR(INDEX('자료_미국심리'!$H$3:$H$4002,MATCH(A614,$Q$19:$Q$4018,0)),E613))</f>
        <v/>
      </c>
      <c r="F614">
        <f>IF(A614="",0,IF(A614&gt;$B$5,1,0))</f>
        <v/>
      </c>
      <c r="G614" s="29">
        <f>IF(AND(F614=1,ISNUMBER(D614)),D614,"")</f>
        <v/>
      </c>
      <c r="H614" s="29">
        <f>IF(AND(F614=1,ISNUMBER(E614)),E614,"")</f>
        <v/>
      </c>
      <c r="I614" s="22">
        <f>IF(AND(F614=1,ISNUMBER(C614)),C614,"")</f>
        <v/>
      </c>
      <c r="J614" s="11">
        <f>IF(G614="","",100-IF($G$13=1,50,(_xlfn.RANK.AVG(G614,$G$19:$G$1518,1)-1)/($G$13-1)*100))</f>
        <v/>
      </c>
      <c r="K614" s="11">
        <f>IF(H614="","",100-IF($G$14=1,50,(_xlfn.RANK.AVG(H614,$H$19:$H$1518,1)-1)/($G$14-1)*100))</f>
        <v/>
      </c>
      <c r="L614" s="11">
        <f>IF(I614="","",IF($G$15=1,50,(_xlfn.RANK.AVG(I614,$I$19:$I$1518,1)-1)/($G$15-1)*100))</f>
        <v/>
      </c>
      <c r="M614" s="11">
        <f>IF(COUNT(J614:L614)=3,ROUND(AVERAGE(J614:L614),6),"")</f>
        <v/>
      </c>
      <c r="O614">
        <f>IF(AND(ISNUMBER('자료_미국심리'!$A598),ISNUMBER('자료_미국심리'!$B598)),'자료_미국심리'!$A598,"")</f>
        <v/>
      </c>
      <c r="P614">
        <f>IF(AND(ISNUMBER('자료_미국심리'!$D598),ISNUMBER('자료_미국심리'!$E598)),'자료_미국심리'!$D598,"")</f>
        <v/>
      </c>
      <c r="Q614">
        <f>IF(AND(ISNUMBER('자료_미국심리'!$G598),ISNUMBER('자료_미국심리'!$H598)),'자료_미국심리'!$G598,"")</f>
        <v/>
      </c>
    </row>
    <row r="615">
      <c r="A615" s="10">
        <f>IF(597&gt;$E$5,"",SMALL($O$19:$O$4018,$E$6+597))</f>
        <v/>
      </c>
      <c r="B615" s="29">
        <f>IF(A615="","",INDEX('자료_미국심리'!$B$3:$B$4002,MATCH(A615,$O$19:$O$4018,0)))</f>
        <v/>
      </c>
      <c r="C615" s="22">
        <f>IF(A615="","",B615/AVERAGE(B491:B615)-1)</f>
        <v/>
      </c>
      <c r="D615" s="29">
        <f>IF(A615="","",IFERROR(INDEX('자료_미국심리'!$E$3:$E$4002,MATCH(A615,$P$19:$P$4018,0)),D614))</f>
        <v/>
      </c>
      <c r="E615" s="29">
        <f>IF(A615="","",IFERROR(INDEX('자료_미국심리'!$H$3:$H$4002,MATCH(A615,$Q$19:$Q$4018,0)),E614))</f>
        <v/>
      </c>
      <c r="F615">
        <f>IF(A615="",0,IF(A615&gt;$B$5,1,0))</f>
        <v/>
      </c>
      <c r="G615" s="29">
        <f>IF(AND(F615=1,ISNUMBER(D615)),D615,"")</f>
        <v/>
      </c>
      <c r="H615" s="29">
        <f>IF(AND(F615=1,ISNUMBER(E615)),E615,"")</f>
        <v/>
      </c>
      <c r="I615" s="22">
        <f>IF(AND(F615=1,ISNUMBER(C615)),C615,"")</f>
        <v/>
      </c>
      <c r="J615" s="11">
        <f>IF(G615="","",100-IF($G$13=1,50,(_xlfn.RANK.AVG(G615,$G$19:$G$1518,1)-1)/($G$13-1)*100))</f>
        <v/>
      </c>
      <c r="K615" s="11">
        <f>IF(H615="","",100-IF($G$14=1,50,(_xlfn.RANK.AVG(H615,$H$19:$H$1518,1)-1)/($G$14-1)*100))</f>
        <v/>
      </c>
      <c r="L615" s="11">
        <f>IF(I615="","",IF($G$15=1,50,(_xlfn.RANK.AVG(I615,$I$19:$I$1518,1)-1)/($G$15-1)*100))</f>
        <v/>
      </c>
      <c r="M615" s="11">
        <f>IF(COUNT(J615:L615)=3,ROUND(AVERAGE(J615:L615),6),"")</f>
        <v/>
      </c>
      <c r="O615">
        <f>IF(AND(ISNUMBER('자료_미국심리'!$A599),ISNUMBER('자료_미국심리'!$B599)),'자료_미국심리'!$A599,"")</f>
        <v/>
      </c>
      <c r="P615">
        <f>IF(AND(ISNUMBER('자료_미국심리'!$D599),ISNUMBER('자료_미국심리'!$E599)),'자료_미국심리'!$D599,"")</f>
        <v/>
      </c>
      <c r="Q615">
        <f>IF(AND(ISNUMBER('자료_미국심리'!$G599),ISNUMBER('자료_미국심리'!$H599)),'자료_미국심리'!$G599,"")</f>
        <v/>
      </c>
    </row>
    <row r="616">
      <c r="A616" s="10">
        <f>IF(598&gt;$E$5,"",SMALL($O$19:$O$4018,$E$6+598))</f>
        <v/>
      </c>
      <c r="B616" s="29">
        <f>IF(A616="","",INDEX('자료_미국심리'!$B$3:$B$4002,MATCH(A616,$O$19:$O$4018,0)))</f>
        <v/>
      </c>
      <c r="C616" s="22">
        <f>IF(A616="","",B616/AVERAGE(B492:B616)-1)</f>
        <v/>
      </c>
      <c r="D616" s="29">
        <f>IF(A616="","",IFERROR(INDEX('자료_미국심리'!$E$3:$E$4002,MATCH(A616,$P$19:$P$4018,0)),D615))</f>
        <v/>
      </c>
      <c r="E616" s="29">
        <f>IF(A616="","",IFERROR(INDEX('자료_미국심리'!$H$3:$H$4002,MATCH(A616,$Q$19:$Q$4018,0)),E615))</f>
        <v/>
      </c>
      <c r="F616">
        <f>IF(A616="",0,IF(A616&gt;$B$5,1,0))</f>
        <v/>
      </c>
      <c r="G616" s="29">
        <f>IF(AND(F616=1,ISNUMBER(D616)),D616,"")</f>
        <v/>
      </c>
      <c r="H616" s="29">
        <f>IF(AND(F616=1,ISNUMBER(E616)),E616,"")</f>
        <v/>
      </c>
      <c r="I616" s="22">
        <f>IF(AND(F616=1,ISNUMBER(C616)),C616,"")</f>
        <v/>
      </c>
      <c r="J616" s="11">
        <f>IF(G616="","",100-IF($G$13=1,50,(_xlfn.RANK.AVG(G616,$G$19:$G$1518,1)-1)/($G$13-1)*100))</f>
        <v/>
      </c>
      <c r="K616" s="11">
        <f>IF(H616="","",100-IF($G$14=1,50,(_xlfn.RANK.AVG(H616,$H$19:$H$1518,1)-1)/($G$14-1)*100))</f>
        <v/>
      </c>
      <c r="L616" s="11">
        <f>IF(I616="","",IF($G$15=1,50,(_xlfn.RANK.AVG(I616,$I$19:$I$1518,1)-1)/($G$15-1)*100))</f>
        <v/>
      </c>
      <c r="M616" s="11">
        <f>IF(COUNT(J616:L616)=3,ROUND(AVERAGE(J616:L616),6),"")</f>
        <v/>
      </c>
      <c r="O616">
        <f>IF(AND(ISNUMBER('자료_미국심리'!$A600),ISNUMBER('자료_미국심리'!$B600)),'자료_미국심리'!$A600,"")</f>
        <v/>
      </c>
      <c r="P616">
        <f>IF(AND(ISNUMBER('자료_미국심리'!$D600),ISNUMBER('자료_미국심리'!$E600)),'자료_미국심리'!$D600,"")</f>
        <v/>
      </c>
      <c r="Q616">
        <f>IF(AND(ISNUMBER('자료_미국심리'!$G600),ISNUMBER('자료_미국심리'!$H600)),'자료_미국심리'!$G600,"")</f>
        <v/>
      </c>
    </row>
    <row r="617">
      <c r="A617" s="10">
        <f>IF(599&gt;$E$5,"",SMALL($O$19:$O$4018,$E$6+599))</f>
        <v/>
      </c>
      <c r="B617" s="29">
        <f>IF(A617="","",INDEX('자료_미국심리'!$B$3:$B$4002,MATCH(A617,$O$19:$O$4018,0)))</f>
        <v/>
      </c>
      <c r="C617" s="22">
        <f>IF(A617="","",B617/AVERAGE(B493:B617)-1)</f>
        <v/>
      </c>
      <c r="D617" s="29">
        <f>IF(A617="","",IFERROR(INDEX('자료_미국심리'!$E$3:$E$4002,MATCH(A617,$P$19:$P$4018,0)),D616))</f>
        <v/>
      </c>
      <c r="E617" s="29">
        <f>IF(A617="","",IFERROR(INDEX('자료_미국심리'!$H$3:$H$4002,MATCH(A617,$Q$19:$Q$4018,0)),E616))</f>
        <v/>
      </c>
      <c r="F617">
        <f>IF(A617="",0,IF(A617&gt;$B$5,1,0))</f>
        <v/>
      </c>
      <c r="G617" s="29">
        <f>IF(AND(F617=1,ISNUMBER(D617)),D617,"")</f>
        <v/>
      </c>
      <c r="H617" s="29">
        <f>IF(AND(F617=1,ISNUMBER(E617)),E617,"")</f>
        <v/>
      </c>
      <c r="I617" s="22">
        <f>IF(AND(F617=1,ISNUMBER(C617)),C617,"")</f>
        <v/>
      </c>
      <c r="J617" s="11">
        <f>IF(G617="","",100-IF($G$13=1,50,(_xlfn.RANK.AVG(G617,$G$19:$G$1518,1)-1)/($G$13-1)*100))</f>
        <v/>
      </c>
      <c r="K617" s="11">
        <f>IF(H617="","",100-IF($G$14=1,50,(_xlfn.RANK.AVG(H617,$H$19:$H$1518,1)-1)/($G$14-1)*100))</f>
        <v/>
      </c>
      <c r="L617" s="11">
        <f>IF(I617="","",IF($G$15=1,50,(_xlfn.RANK.AVG(I617,$I$19:$I$1518,1)-1)/($G$15-1)*100))</f>
        <v/>
      </c>
      <c r="M617" s="11">
        <f>IF(COUNT(J617:L617)=3,ROUND(AVERAGE(J617:L617),6),"")</f>
        <v/>
      </c>
      <c r="O617">
        <f>IF(AND(ISNUMBER('자료_미국심리'!$A601),ISNUMBER('자료_미국심리'!$B601)),'자료_미국심리'!$A601,"")</f>
        <v/>
      </c>
      <c r="P617">
        <f>IF(AND(ISNUMBER('자료_미국심리'!$D601),ISNUMBER('자료_미국심리'!$E601)),'자료_미국심리'!$D601,"")</f>
        <v/>
      </c>
      <c r="Q617">
        <f>IF(AND(ISNUMBER('자료_미국심리'!$G601),ISNUMBER('자료_미국심리'!$H601)),'자료_미국심리'!$G601,"")</f>
        <v/>
      </c>
    </row>
    <row r="618">
      <c r="A618" s="10">
        <f>IF(600&gt;$E$5,"",SMALL($O$19:$O$4018,$E$6+600))</f>
        <v/>
      </c>
      <c r="B618" s="29">
        <f>IF(A618="","",INDEX('자료_미국심리'!$B$3:$B$4002,MATCH(A618,$O$19:$O$4018,0)))</f>
        <v/>
      </c>
      <c r="C618" s="22">
        <f>IF(A618="","",B618/AVERAGE(B494:B618)-1)</f>
        <v/>
      </c>
      <c r="D618" s="29">
        <f>IF(A618="","",IFERROR(INDEX('자료_미국심리'!$E$3:$E$4002,MATCH(A618,$P$19:$P$4018,0)),D617))</f>
        <v/>
      </c>
      <c r="E618" s="29">
        <f>IF(A618="","",IFERROR(INDEX('자료_미국심리'!$H$3:$H$4002,MATCH(A618,$Q$19:$Q$4018,0)),E617))</f>
        <v/>
      </c>
      <c r="F618">
        <f>IF(A618="",0,IF(A618&gt;$B$5,1,0))</f>
        <v/>
      </c>
      <c r="G618" s="29">
        <f>IF(AND(F618=1,ISNUMBER(D618)),D618,"")</f>
        <v/>
      </c>
      <c r="H618" s="29">
        <f>IF(AND(F618=1,ISNUMBER(E618)),E618,"")</f>
        <v/>
      </c>
      <c r="I618" s="22">
        <f>IF(AND(F618=1,ISNUMBER(C618)),C618,"")</f>
        <v/>
      </c>
      <c r="J618" s="11">
        <f>IF(G618="","",100-IF($G$13=1,50,(_xlfn.RANK.AVG(G618,$G$19:$G$1518,1)-1)/($G$13-1)*100))</f>
        <v/>
      </c>
      <c r="K618" s="11">
        <f>IF(H618="","",100-IF($G$14=1,50,(_xlfn.RANK.AVG(H618,$H$19:$H$1518,1)-1)/($G$14-1)*100))</f>
        <v/>
      </c>
      <c r="L618" s="11">
        <f>IF(I618="","",IF($G$15=1,50,(_xlfn.RANK.AVG(I618,$I$19:$I$1518,1)-1)/($G$15-1)*100))</f>
        <v/>
      </c>
      <c r="M618" s="11">
        <f>IF(COUNT(J618:L618)=3,ROUND(AVERAGE(J618:L618),6),"")</f>
        <v/>
      </c>
      <c r="O618">
        <f>IF(AND(ISNUMBER('자료_미국심리'!$A602),ISNUMBER('자료_미국심리'!$B602)),'자료_미국심리'!$A602,"")</f>
        <v/>
      </c>
      <c r="P618">
        <f>IF(AND(ISNUMBER('자료_미국심리'!$D602),ISNUMBER('자료_미국심리'!$E602)),'자료_미국심리'!$D602,"")</f>
        <v/>
      </c>
      <c r="Q618">
        <f>IF(AND(ISNUMBER('자료_미국심리'!$G602),ISNUMBER('자료_미국심리'!$H602)),'자료_미국심리'!$G602,"")</f>
        <v/>
      </c>
    </row>
    <row r="619">
      <c r="A619" s="10">
        <f>IF(601&gt;$E$5,"",SMALL($O$19:$O$4018,$E$6+601))</f>
        <v/>
      </c>
      <c r="B619" s="29">
        <f>IF(A619="","",INDEX('자료_미국심리'!$B$3:$B$4002,MATCH(A619,$O$19:$O$4018,0)))</f>
        <v/>
      </c>
      <c r="C619" s="22">
        <f>IF(A619="","",B619/AVERAGE(B495:B619)-1)</f>
        <v/>
      </c>
      <c r="D619" s="29">
        <f>IF(A619="","",IFERROR(INDEX('자료_미국심리'!$E$3:$E$4002,MATCH(A619,$P$19:$P$4018,0)),D618))</f>
        <v/>
      </c>
      <c r="E619" s="29">
        <f>IF(A619="","",IFERROR(INDEX('자료_미국심리'!$H$3:$H$4002,MATCH(A619,$Q$19:$Q$4018,0)),E618))</f>
        <v/>
      </c>
      <c r="F619">
        <f>IF(A619="",0,IF(A619&gt;$B$5,1,0))</f>
        <v/>
      </c>
      <c r="G619" s="29">
        <f>IF(AND(F619=1,ISNUMBER(D619)),D619,"")</f>
        <v/>
      </c>
      <c r="H619" s="29">
        <f>IF(AND(F619=1,ISNUMBER(E619)),E619,"")</f>
        <v/>
      </c>
      <c r="I619" s="22">
        <f>IF(AND(F619=1,ISNUMBER(C619)),C619,"")</f>
        <v/>
      </c>
      <c r="J619" s="11">
        <f>IF(G619="","",100-IF($G$13=1,50,(_xlfn.RANK.AVG(G619,$G$19:$G$1518,1)-1)/($G$13-1)*100))</f>
        <v/>
      </c>
      <c r="K619" s="11">
        <f>IF(H619="","",100-IF($G$14=1,50,(_xlfn.RANK.AVG(H619,$H$19:$H$1518,1)-1)/($G$14-1)*100))</f>
        <v/>
      </c>
      <c r="L619" s="11">
        <f>IF(I619="","",IF($G$15=1,50,(_xlfn.RANK.AVG(I619,$I$19:$I$1518,1)-1)/($G$15-1)*100))</f>
        <v/>
      </c>
      <c r="M619" s="11">
        <f>IF(COUNT(J619:L619)=3,ROUND(AVERAGE(J619:L619),6),"")</f>
        <v/>
      </c>
      <c r="O619">
        <f>IF(AND(ISNUMBER('자료_미국심리'!$A603),ISNUMBER('자료_미국심리'!$B603)),'자료_미국심리'!$A603,"")</f>
        <v/>
      </c>
      <c r="P619">
        <f>IF(AND(ISNUMBER('자료_미국심리'!$D603),ISNUMBER('자료_미국심리'!$E603)),'자료_미국심리'!$D603,"")</f>
        <v/>
      </c>
      <c r="Q619">
        <f>IF(AND(ISNUMBER('자료_미국심리'!$G603),ISNUMBER('자료_미국심리'!$H603)),'자료_미국심리'!$G603,"")</f>
        <v/>
      </c>
    </row>
    <row r="620">
      <c r="A620" s="10">
        <f>IF(602&gt;$E$5,"",SMALL($O$19:$O$4018,$E$6+602))</f>
        <v/>
      </c>
      <c r="B620" s="29">
        <f>IF(A620="","",INDEX('자료_미국심리'!$B$3:$B$4002,MATCH(A620,$O$19:$O$4018,0)))</f>
        <v/>
      </c>
      <c r="C620" s="22">
        <f>IF(A620="","",B620/AVERAGE(B496:B620)-1)</f>
        <v/>
      </c>
      <c r="D620" s="29">
        <f>IF(A620="","",IFERROR(INDEX('자료_미국심리'!$E$3:$E$4002,MATCH(A620,$P$19:$P$4018,0)),D619))</f>
        <v/>
      </c>
      <c r="E620" s="29">
        <f>IF(A620="","",IFERROR(INDEX('자료_미국심리'!$H$3:$H$4002,MATCH(A620,$Q$19:$Q$4018,0)),E619))</f>
        <v/>
      </c>
      <c r="F620">
        <f>IF(A620="",0,IF(A620&gt;$B$5,1,0))</f>
        <v/>
      </c>
      <c r="G620" s="29">
        <f>IF(AND(F620=1,ISNUMBER(D620)),D620,"")</f>
        <v/>
      </c>
      <c r="H620" s="29">
        <f>IF(AND(F620=1,ISNUMBER(E620)),E620,"")</f>
        <v/>
      </c>
      <c r="I620" s="22">
        <f>IF(AND(F620=1,ISNUMBER(C620)),C620,"")</f>
        <v/>
      </c>
      <c r="J620" s="11">
        <f>IF(G620="","",100-IF($G$13=1,50,(_xlfn.RANK.AVG(G620,$G$19:$G$1518,1)-1)/($G$13-1)*100))</f>
        <v/>
      </c>
      <c r="K620" s="11">
        <f>IF(H620="","",100-IF($G$14=1,50,(_xlfn.RANK.AVG(H620,$H$19:$H$1518,1)-1)/($G$14-1)*100))</f>
        <v/>
      </c>
      <c r="L620" s="11">
        <f>IF(I620="","",IF($G$15=1,50,(_xlfn.RANK.AVG(I620,$I$19:$I$1518,1)-1)/($G$15-1)*100))</f>
        <v/>
      </c>
      <c r="M620" s="11">
        <f>IF(COUNT(J620:L620)=3,ROUND(AVERAGE(J620:L620),6),"")</f>
        <v/>
      </c>
      <c r="O620">
        <f>IF(AND(ISNUMBER('자료_미국심리'!$A604),ISNUMBER('자료_미국심리'!$B604)),'자료_미국심리'!$A604,"")</f>
        <v/>
      </c>
      <c r="P620">
        <f>IF(AND(ISNUMBER('자료_미국심리'!$D604),ISNUMBER('자료_미국심리'!$E604)),'자료_미국심리'!$D604,"")</f>
        <v/>
      </c>
      <c r="Q620">
        <f>IF(AND(ISNUMBER('자료_미국심리'!$G604),ISNUMBER('자료_미국심리'!$H604)),'자료_미국심리'!$G604,"")</f>
        <v/>
      </c>
    </row>
    <row r="621">
      <c r="A621" s="10">
        <f>IF(603&gt;$E$5,"",SMALL($O$19:$O$4018,$E$6+603))</f>
        <v/>
      </c>
      <c r="B621" s="29">
        <f>IF(A621="","",INDEX('자료_미국심리'!$B$3:$B$4002,MATCH(A621,$O$19:$O$4018,0)))</f>
        <v/>
      </c>
      <c r="C621" s="22">
        <f>IF(A621="","",B621/AVERAGE(B497:B621)-1)</f>
        <v/>
      </c>
      <c r="D621" s="29">
        <f>IF(A621="","",IFERROR(INDEX('자료_미국심리'!$E$3:$E$4002,MATCH(A621,$P$19:$P$4018,0)),D620))</f>
        <v/>
      </c>
      <c r="E621" s="29">
        <f>IF(A621="","",IFERROR(INDEX('자료_미국심리'!$H$3:$H$4002,MATCH(A621,$Q$19:$Q$4018,0)),E620))</f>
        <v/>
      </c>
      <c r="F621">
        <f>IF(A621="",0,IF(A621&gt;$B$5,1,0))</f>
        <v/>
      </c>
      <c r="G621" s="29">
        <f>IF(AND(F621=1,ISNUMBER(D621)),D621,"")</f>
        <v/>
      </c>
      <c r="H621" s="29">
        <f>IF(AND(F621=1,ISNUMBER(E621)),E621,"")</f>
        <v/>
      </c>
      <c r="I621" s="22">
        <f>IF(AND(F621=1,ISNUMBER(C621)),C621,"")</f>
        <v/>
      </c>
      <c r="J621" s="11">
        <f>IF(G621="","",100-IF($G$13=1,50,(_xlfn.RANK.AVG(G621,$G$19:$G$1518,1)-1)/($G$13-1)*100))</f>
        <v/>
      </c>
      <c r="K621" s="11">
        <f>IF(H621="","",100-IF($G$14=1,50,(_xlfn.RANK.AVG(H621,$H$19:$H$1518,1)-1)/($G$14-1)*100))</f>
        <v/>
      </c>
      <c r="L621" s="11">
        <f>IF(I621="","",IF($G$15=1,50,(_xlfn.RANK.AVG(I621,$I$19:$I$1518,1)-1)/($G$15-1)*100))</f>
        <v/>
      </c>
      <c r="M621" s="11">
        <f>IF(COUNT(J621:L621)=3,ROUND(AVERAGE(J621:L621),6),"")</f>
        <v/>
      </c>
      <c r="O621">
        <f>IF(AND(ISNUMBER('자료_미국심리'!$A605),ISNUMBER('자료_미국심리'!$B605)),'자료_미국심리'!$A605,"")</f>
        <v/>
      </c>
      <c r="P621">
        <f>IF(AND(ISNUMBER('자료_미국심리'!$D605),ISNUMBER('자료_미국심리'!$E605)),'자료_미국심리'!$D605,"")</f>
        <v/>
      </c>
      <c r="Q621">
        <f>IF(AND(ISNUMBER('자료_미국심리'!$G605),ISNUMBER('자료_미국심리'!$H605)),'자료_미국심리'!$G605,"")</f>
        <v/>
      </c>
    </row>
    <row r="622">
      <c r="A622" s="10">
        <f>IF(604&gt;$E$5,"",SMALL($O$19:$O$4018,$E$6+604))</f>
        <v/>
      </c>
      <c r="B622" s="29">
        <f>IF(A622="","",INDEX('자료_미국심리'!$B$3:$B$4002,MATCH(A622,$O$19:$O$4018,0)))</f>
        <v/>
      </c>
      <c r="C622" s="22">
        <f>IF(A622="","",B622/AVERAGE(B498:B622)-1)</f>
        <v/>
      </c>
      <c r="D622" s="29">
        <f>IF(A622="","",IFERROR(INDEX('자료_미국심리'!$E$3:$E$4002,MATCH(A622,$P$19:$P$4018,0)),D621))</f>
        <v/>
      </c>
      <c r="E622" s="29">
        <f>IF(A622="","",IFERROR(INDEX('자료_미국심리'!$H$3:$H$4002,MATCH(A622,$Q$19:$Q$4018,0)),E621))</f>
        <v/>
      </c>
      <c r="F622">
        <f>IF(A622="",0,IF(A622&gt;$B$5,1,0))</f>
        <v/>
      </c>
      <c r="G622" s="29">
        <f>IF(AND(F622=1,ISNUMBER(D622)),D622,"")</f>
        <v/>
      </c>
      <c r="H622" s="29">
        <f>IF(AND(F622=1,ISNUMBER(E622)),E622,"")</f>
        <v/>
      </c>
      <c r="I622" s="22">
        <f>IF(AND(F622=1,ISNUMBER(C622)),C622,"")</f>
        <v/>
      </c>
      <c r="J622" s="11">
        <f>IF(G622="","",100-IF($G$13=1,50,(_xlfn.RANK.AVG(G622,$G$19:$G$1518,1)-1)/($G$13-1)*100))</f>
        <v/>
      </c>
      <c r="K622" s="11">
        <f>IF(H622="","",100-IF($G$14=1,50,(_xlfn.RANK.AVG(H622,$H$19:$H$1518,1)-1)/($G$14-1)*100))</f>
        <v/>
      </c>
      <c r="L622" s="11">
        <f>IF(I622="","",IF($G$15=1,50,(_xlfn.RANK.AVG(I622,$I$19:$I$1518,1)-1)/($G$15-1)*100))</f>
        <v/>
      </c>
      <c r="M622" s="11">
        <f>IF(COUNT(J622:L622)=3,ROUND(AVERAGE(J622:L622),6),"")</f>
        <v/>
      </c>
      <c r="O622">
        <f>IF(AND(ISNUMBER('자료_미국심리'!$A606),ISNUMBER('자료_미국심리'!$B606)),'자료_미국심리'!$A606,"")</f>
        <v/>
      </c>
      <c r="P622">
        <f>IF(AND(ISNUMBER('자료_미국심리'!$D606),ISNUMBER('자료_미국심리'!$E606)),'자료_미국심리'!$D606,"")</f>
        <v/>
      </c>
      <c r="Q622">
        <f>IF(AND(ISNUMBER('자료_미국심리'!$G606),ISNUMBER('자료_미국심리'!$H606)),'자료_미국심리'!$G606,"")</f>
        <v/>
      </c>
    </row>
    <row r="623">
      <c r="A623" s="10">
        <f>IF(605&gt;$E$5,"",SMALL($O$19:$O$4018,$E$6+605))</f>
        <v/>
      </c>
      <c r="B623" s="29">
        <f>IF(A623="","",INDEX('자료_미국심리'!$B$3:$B$4002,MATCH(A623,$O$19:$O$4018,0)))</f>
        <v/>
      </c>
      <c r="C623" s="22">
        <f>IF(A623="","",B623/AVERAGE(B499:B623)-1)</f>
        <v/>
      </c>
      <c r="D623" s="29">
        <f>IF(A623="","",IFERROR(INDEX('자료_미국심리'!$E$3:$E$4002,MATCH(A623,$P$19:$P$4018,0)),D622))</f>
        <v/>
      </c>
      <c r="E623" s="29">
        <f>IF(A623="","",IFERROR(INDEX('자료_미국심리'!$H$3:$H$4002,MATCH(A623,$Q$19:$Q$4018,0)),E622))</f>
        <v/>
      </c>
      <c r="F623">
        <f>IF(A623="",0,IF(A623&gt;$B$5,1,0))</f>
        <v/>
      </c>
      <c r="G623" s="29">
        <f>IF(AND(F623=1,ISNUMBER(D623)),D623,"")</f>
        <v/>
      </c>
      <c r="H623" s="29">
        <f>IF(AND(F623=1,ISNUMBER(E623)),E623,"")</f>
        <v/>
      </c>
      <c r="I623" s="22">
        <f>IF(AND(F623=1,ISNUMBER(C623)),C623,"")</f>
        <v/>
      </c>
      <c r="J623" s="11">
        <f>IF(G623="","",100-IF($G$13=1,50,(_xlfn.RANK.AVG(G623,$G$19:$G$1518,1)-1)/($G$13-1)*100))</f>
        <v/>
      </c>
      <c r="K623" s="11">
        <f>IF(H623="","",100-IF($G$14=1,50,(_xlfn.RANK.AVG(H623,$H$19:$H$1518,1)-1)/($G$14-1)*100))</f>
        <v/>
      </c>
      <c r="L623" s="11">
        <f>IF(I623="","",IF($G$15=1,50,(_xlfn.RANK.AVG(I623,$I$19:$I$1518,1)-1)/($G$15-1)*100))</f>
        <v/>
      </c>
      <c r="M623" s="11">
        <f>IF(COUNT(J623:L623)=3,ROUND(AVERAGE(J623:L623),6),"")</f>
        <v/>
      </c>
      <c r="O623">
        <f>IF(AND(ISNUMBER('자료_미국심리'!$A607),ISNUMBER('자료_미국심리'!$B607)),'자료_미국심리'!$A607,"")</f>
        <v/>
      </c>
      <c r="P623">
        <f>IF(AND(ISNUMBER('자료_미국심리'!$D607),ISNUMBER('자료_미국심리'!$E607)),'자료_미국심리'!$D607,"")</f>
        <v/>
      </c>
      <c r="Q623">
        <f>IF(AND(ISNUMBER('자료_미국심리'!$G607),ISNUMBER('자료_미국심리'!$H607)),'자료_미국심리'!$G607,"")</f>
        <v/>
      </c>
    </row>
    <row r="624">
      <c r="A624" s="10">
        <f>IF(606&gt;$E$5,"",SMALL($O$19:$O$4018,$E$6+606))</f>
        <v/>
      </c>
      <c r="B624" s="29">
        <f>IF(A624="","",INDEX('자료_미국심리'!$B$3:$B$4002,MATCH(A624,$O$19:$O$4018,0)))</f>
        <v/>
      </c>
      <c r="C624" s="22">
        <f>IF(A624="","",B624/AVERAGE(B500:B624)-1)</f>
        <v/>
      </c>
      <c r="D624" s="29">
        <f>IF(A624="","",IFERROR(INDEX('자료_미국심리'!$E$3:$E$4002,MATCH(A624,$P$19:$P$4018,0)),D623))</f>
        <v/>
      </c>
      <c r="E624" s="29">
        <f>IF(A624="","",IFERROR(INDEX('자료_미국심리'!$H$3:$H$4002,MATCH(A624,$Q$19:$Q$4018,0)),E623))</f>
        <v/>
      </c>
      <c r="F624">
        <f>IF(A624="",0,IF(A624&gt;$B$5,1,0))</f>
        <v/>
      </c>
      <c r="G624" s="29">
        <f>IF(AND(F624=1,ISNUMBER(D624)),D624,"")</f>
        <v/>
      </c>
      <c r="H624" s="29">
        <f>IF(AND(F624=1,ISNUMBER(E624)),E624,"")</f>
        <v/>
      </c>
      <c r="I624" s="22">
        <f>IF(AND(F624=1,ISNUMBER(C624)),C624,"")</f>
        <v/>
      </c>
      <c r="J624" s="11">
        <f>IF(G624="","",100-IF($G$13=1,50,(_xlfn.RANK.AVG(G624,$G$19:$G$1518,1)-1)/($G$13-1)*100))</f>
        <v/>
      </c>
      <c r="K624" s="11">
        <f>IF(H624="","",100-IF($G$14=1,50,(_xlfn.RANK.AVG(H624,$H$19:$H$1518,1)-1)/($G$14-1)*100))</f>
        <v/>
      </c>
      <c r="L624" s="11">
        <f>IF(I624="","",IF($G$15=1,50,(_xlfn.RANK.AVG(I624,$I$19:$I$1518,1)-1)/($G$15-1)*100))</f>
        <v/>
      </c>
      <c r="M624" s="11">
        <f>IF(COUNT(J624:L624)=3,ROUND(AVERAGE(J624:L624),6),"")</f>
        <v/>
      </c>
      <c r="O624">
        <f>IF(AND(ISNUMBER('자료_미국심리'!$A608),ISNUMBER('자료_미국심리'!$B608)),'자료_미국심리'!$A608,"")</f>
        <v/>
      </c>
      <c r="P624">
        <f>IF(AND(ISNUMBER('자료_미국심리'!$D608),ISNUMBER('자료_미국심리'!$E608)),'자료_미국심리'!$D608,"")</f>
        <v/>
      </c>
      <c r="Q624">
        <f>IF(AND(ISNUMBER('자료_미국심리'!$G608),ISNUMBER('자료_미국심리'!$H608)),'자료_미국심리'!$G608,"")</f>
        <v/>
      </c>
    </row>
    <row r="625">
      <c r="A625" s="10">
        <f>IF(607&gt;$E$5,"",SMALL($O$19:$O$4018,$E$6+607))</f>
        <v/>
      </c>
      <c r="B625" s="29">
        <f>IF(A625="","",INDEX('자료_미국심리'!$B$3:$B$4002,MATCH(A625,$O$19:$O$4018,0)))</f>
        <v/>
      </c>
      <c r="C625" s="22">
        <f>IF(A625="","",B625/AVERAGE(B501:B625)-1)</f>
        <v/>
      </c>
      <c r="D625" s="29">
        <f>IF(A625="","",IFERROR(INDEX('자료_미국심리'!$E$3:$E$4002,MATCH(A625,$P$19:$P$4018,0)),D624))</f>
        <v/>
      </c>
      <c r="E625" s="29">
        <f>IF(A625="","",IFERROR(INDEX('자료_미국심리'!$H$3:$H$4002,MATCH(A625,$Q$19:$Q$4018,0)),E624))</f>
        <v/>
      </c>
      <c r="F625">
        <f>IF(A625="",0,IF(A625&gt;$B$5,1,0))</f>
        <v/>
      </c>
      <c r="G625" s="29">
        <f>IF(AND(F625=1,ISNUMBER(D625)),D625,"")</f>
        <v/>
      </c>
      <c r="H625" s="29">
        <f>IF(AND(F625=1,ISNUMBER(E625)),E625,"")</f>
        <v/>
      </c>
      <c r="I625" s="22">
        <f>IF(AND(F625=1,ISNUMBER(C625)),C625,"")</f>
        <v/>
      </c>
      <c r="J625" s="11">
        <f>IF(G625="","",100-IF($G$13=1,50,(_xlfn.RANK.AVG(G625,$G$19:$G$1518,1)-1)/($G$13-1)*100))</f>
        <v/>
      </c>
      <c r="K625" s="11">
        <f>IF(H625="","",100-IF($G$14=1,50,(_xlfn.RANK.AVG(H625,$H$19:$H$1518,1)-1)/($G$14-1)*100))</f>
        <v/>
      </c>
      <c r="L625" s="11">
        <f>IF(I625="","",IF($G$15=1,50,(_xlfn.RANK.AVG(I625,$I$19:$I$1518,1)-1)/($G$15-1)*100))</f>
        <v/>
      </c>
      <c r="M625" s="11">
        <f>IF(COUNT(J625:L625)=3,ROUND(AVERAGE(J625:L625),6),"")</f>
        <v/>
      </c>
      <c r="O625">
        <f>IF(AND(ISNUMBER('자료_미국심리'!$A609),ISNUMBER('자료_미국심리'!$B609)),'자료_미국심리'!$A609,"")</f>
        <v/>
      </c>
      <c r="P625">
        <f>IF(AND(ISNUMBER('자료_미국심리'!$D609),ISNUMBER('자료_미국심리'!$E609)),'자료_미국심리'!$D609,"")</f>
        <v/>
      </c>
      <c r="Q625">
        <f>IF(AND(ISNUMBER('자료_미국심리'!$G609),ISNUMBER('자료_미국심리'!$H609)),'자료_미국심리'!$G609,"")</f>
        <v/>
      </c>
    </row>
    <row r="626">
      <c r="A626" s="10">
        <f>IF(608&gt;$E$5,"",SMALL($O$19:$O$4018,$E$6+608))</f>
        <v/>
      </c>
      <c r="B626" s="29">
        <f>IF(A626="","",INDEX('자료_미국심리'!$B$3:$B$4002,MATCH(A626,$O$19:$O$4018,0)))</f>
        <v/>
      </c>
      <c r="C626" s="22">
        <f>IF(A626="","",B626/AVERAGE(B502:B626)-1)</f>
        <v/>
      </c>
      <c r="D626" s="29">
        <f>IF(A626="","",IFERROR(INDEX('자료_미국심리'!$E$3:$E$4002,MATCH(A626,$P$19:$P$4018,0)),D625))</f>
        <v/>
      </c>
      <c r="E626" s="29">
        <f>IF(A626="","",IFERROR(INDEX('자료_미국심리'!$H$3:$H$4002,MATCH(A626,$Q$19:$Q$4018,0)),E625))</f>
        <v/>
      </c>
      <c r="F626">
        <f>IF(A626="",0,IF(A626&gt;$B$5,1,0))</f>
        <v/>
      </c>
      <c r="G626" s="29">
        <f>IF(AND(F626=1,ISNUMBER(D626)),D626,"")</f>
        <v/>
      </c>
      <c r="H626" s="29">
        <f>IF(AND(F626=1,ISNUMBER(E626)),E626,"")</f>
        <v/>
      </c>
      <c r="I626" s="22">
        <f>IF(AND(F626=1,ISNUMBER(C626)),C626,"")</f>
        <v/>
      </c>
      <c r="J626" s="11">
        <f>IF(G626="","",100-IF($G$13=1,50,(_xlfn.RANK.AVG(G626,$G$19:$G$1518,1)-1)/($G$13-1)*100))</f>
        <v/>
      </c>
      <c r="K626" s="11">
        <f>IF(H626="","",100-IF($G$14=1,50,(_xlfn.RANK.AVG(H626,$H$19:$H$1518,1)-1)/($G$14-1)*100))</f>
        <v/>
      </c>
      <c r="L626" s="11">
        <f>IF(I626="","",IF($G$15=1,50,(_xlfn.RANK.AVG(I626,$I$19:$I$1518,1)-1)/($G$15-1)*100))</f>
        <v/>
      </c>
      <c r="M626" s="11">
        <f>IF(COUNT(J626:L626)=3,ROUND(AVERAGE(J626:L626),6),"")</f>
        <v/>
      </c>
      <c r="O626">
        <f>IF(AND(ISNUMBER('자료_미국심리'!$A610),ISNUMBER('자료_미국심리'!$B610)),'자료_미국심리'!$A610,"")</f>
        <v/>
      </c>
      <c r="P626">
        <f>IF(AND(ISNUMBER('자료_미국심리'!$D610),ISNUMBER('자료_미국심리'!$E610)),'자료_미국심리'!$D610,"")</f>
        <v/>
      </c>
      <c r="Q626">
        <f>IF(AND(ISNUMBER('자료_미국심리'!$G610),ISNUMBER('자료_미국심리'!$H610)),'자료_미국심리'!$G610,"")</f>
        <v/>
      </c>
    </row>
    <row r="627">
      <c r="A627" s="10">
        <f>IF(609&gt;$E$5,"",SMALL($O$19:$O$4018,$E$6+609))</f>
        <v/>
      </c>
      <c r="B627" s="29">
        <f>IF(A627="","",INDEX('자료_미국심리'!$B$3:$B$4002,MATCH(A627,$O$19:$O$4018,0)))</f>
        <v/>
      </c>
      <c r="C627" s="22">
        <f>IF(A627="","",B627/AVERAGE(B503:B627)-1)</f>
        <v/>
      </c>
      <c r="D627" s="29">
        <f>IF(A627="","",IFERROR(INDEX('자료_미국심리'!$E$3:$E$4002,MATCH(A627,$P$19:$P$4018,0)),D626))</f>
        <v/>
      </c>
      <c r="E627" s="29">
        <f>IF(A627="","",IFERROR(INDEX('자료_미국심리'!$H$3:$H$4002,MATCH(A627,$Q$19:$Q$4018,0)),E626))</f>
        <v/>
      </c>
      <c r="F627">
        <f>IF(A627="",0,IF(A627&gt;$B$5,1,0))</f>
        <v/>
      </c>
      <c r="G627" s="29">
        <f>IF(AND(F627=1,ISNUMBER(D627)),D627,"")</f>
        <v/>
      </c>
      <c r="H627" s="29">
        <f>IF(AND(F627=1,ISNUMBER(E627)),E627,"")</f>
        <v/>
      </c>
      <c r="I627" s="22">
        <f>IF(AND(F627=1,ISNUMBER(C627)),C627,"")</f>
        <v/>
      </c>
      <c r="J627" s="11">
        <f>IF(G627="","",100-IF($G$13=1,50,(_xlfn.RANK.AVG(G627,$G$19:$G$1518,1)-1)/($G$13-1)*100))</f>
        <v/>
      </c>
      <c r="K627" s="11">
        <f>IF(H627="","",100-IF($G$14=1,50,(_xlfn.RANK.AVG(H627,$H$19:$H$1518,1)-1)/($G$14-1)*100))</f>
        <v/>
      </c>
      <c r="L627" s="11">
        <f>IF(I627="","",IF($G$15=1,50,(_xlfn.RANK.AVG(I627,$I$19:$I$1518,1)-1)/($G$15-1)*100))</f>
        <v/>
      </c>
      <c r="M627" s="11">
        <f>IF(COUNT(J627:L627)=3,ROUND(AVERAGE(J627:L627),6),"")</f>
        <v/>
      </c>
      <c r="O627">
        <f>IF(AND(ISNUMBER('자료_미국심리'!$A611),ISNUMBER('자료_미국심리'!$B611)),'자료_미국심리'!$A611,"")</f>
        <v/>
      </c>
      <c r="P627">
        <f>IF(AND(ISNUMBER('자료_미국심리'!$D611),ISNUMBER('자료_미국심리'!$E611)),'자료_미국심리'!$D611,"")</f>
        <v/>
      </c>
      <c r="Q627">
        <f>IF(AND(ISNUMBER('자료_미국심리'!$G611),ISNUMBER('자료_미국심리'!$H611)),'자료_미국심리'!$G611,"")</f>
        <v/>
      </c>
    </row>
    <row r="628">
      <c r="A628" s="10">
        <f>IF(610&gt;$E$5,"",SMALL($O$19:$O$4018,$E$6+610))</f>
        <v/>
      </c>
      <c r="B628" s="29">
        <f>IF(A628="","",INDEX('자료_미국심리'!$B$3:$B$4002,MATCH(A628,$O$19:$O$4018,0)))</f>
        <v/>
      </c>
      <c r="C628" s="22">
        <f>IF(A628="","",B628/AVERAGE(B504:B628)-1)</f>
        <v/>
      </c>
      <c r="D628" s="29">
        <f>IF(A628="","",IFERROR(INDEX('자료_미국심리'!$E$3:$E$4002,MATCH(A628,$P$19:$P$4018,0)),D627))</f>
        <v/>
      </c>
      <c r="E628" s="29">
        <f>IF(A628="","",IFERROR(INDEX('자료_미국심리'!$H$3:$H$4002,MATCH(A628,$Q$19:$Q$4018,0)),E627))</f>
        <v/>
      </c>
      <c r="F628">
        <f>IF(A628="",0,IF(A628&gt;$B$5,1,0))</f>
        <v/>
      </c>
      <c r="G628" s="29">
        <f>IF(AND(F628=1,ISNUMBER(D628)),D628,"")</f>
        <v/>
      </c>
      <c r="H628" s="29">
        <f>IF(AND(F628=1,ISNUMBER(E628)),E628,"")</f>
        <v/>
      </c>
      <c r="I628" s="22">
        <f>IF(AND(F628=1,ISNUMBER(C628)),C628,"")</f>
        <v/>
      </c>
      <c r="J628" s="11">
        <f>IF(G628="","",100-IF($G$13=1,50,(_xlfn.RANK.AVG(G628,$G$19:$G$1518,1)-1)/($G$13-1)*100))</f>
        <v/>
      </c>
      <c r="K628" s="11">
        <f>IF(H628="","",100-IF($G$14=1,50,(_xlfn.RANK.AVG(H628,$H$19:$H$1518,1)-1)/($G$14-1)*100))</f>
        <v/>
      </c>
      <c r="L628" s="11">
        <f>IF(I628="","",IF($G$15=1,50,(_xlfn.RANK.AVG(I628,$I$19:$I$1518,1)-1)/($G$15-1)*100))</f>
        <v/>
      </c>
      <c r="M628" s="11">
        <f>IF(COUNT(J628:L628)=3,ROUND(AVERAGE(J628:L628),6),"")</f>
        <v/>
      </c>
      <c r="O628">
        <f>IF(AND(ISNUMBER('자료_미국심리'!$A612),ISNUMBER('자료_미국심리'!$B612)),'자료_미국심리'!$A612,"")</f>
        <v/>
      </c>
      <c r="P628">
        <f>IF(AND(ISNUMBER('자료_미국심리'!$D612),ISNUMBER('자료_미국심리'!$E612)),'자료_미국심리'!$D612,"")</f>
        <v/>
      </c>
      <c r="Q628">
        <f>IF(AND(ISNUMBER('자료_미국심리'!$G612),ISNUMBER('자료_미국심리'!$H612)),'자료_미국심리'!$G612,"")</f>
        <v/>
      </c>
    </row>
    <row r="629">
      <c r="A629" s="10">
        <f>IF(611&gt;$E$5,"",SMALL($O$19:$O$4018,$E$6+611))</f>
        <v/>
      </c>
      <c r="B629" s="29">
        <f>IF(A629="","",INDEX('자료_미국심리'!$B$3:$B$4002,MATCH(A629,$O$19:$O$4018,0)))</f>
        <v/>
      </c>
      <c r="C629" s="22">
        <f>IF(A629="","",B629/AVERAGE(B505:B629)-1)</f>
        <v/>
      </c>
      <c r="D629" s="29">
        <f>IF(A629="","",IFERROR(INDEX('자료_미국심리'!$E$3:$E$4002,MATCH(A629,$P$19:$P$4018,0)),D628))</f>
        <v/>
      </c>
      <c r="E629" s="29">
        <f>IF(A629="","",IFERROR(INDEX('자료_미국심리'!$H$3:$H$4002,MATCH(A629,$Q$19:$Q$4018,0)),E628))</f>
        <v/>
      </c>
      <c r="F629">
        <f>IF(A629="",0,IF(A629&gt;$B$5,1,0))</f>
        <v/>
      </c>
      <c r="G629" s="29">
        <f>IF(AND(F629=1,ISNUMBER(D629)),D629,"")</f>
        <v/>
      </c>
      <c r="H629" s="29">
        <f>IF(AND(F629=1,ISNUMBER(E629)),E629,"")</f>
        <v/>
      </c>
      <c r="I629" s="22">
        <f>IF(AND(F629=1,ISNUMBER(C629)),C629,"")</f>
        <v/>
      </c>
      <c r="J629" s="11">
        <f>IF(G629="","",100-IF($G$13=1,50,(_xlfn.RANK.AVG(G629,$G$19:$G$1518,1)-1)/($G$13-1)*100))</f>
        <v/>
      </c>
      <c r="K629" s="11">
        <f>IF(H629="","",100-IF($G$14=1,50,(_xlfn.RANK.AVG(H629,$H$19:$H$1518,1)-1)/($G$14-1)*100))</f>
        <v/>
      </c>
      <c r="L629" s="11">
        <f>IF(I629="","",IF($G$15=1,50,(_xlfn.RANK.AVG(I629,$I$19:$I$1518,1)-1)/($G$15-1)*100))</f>
        <v/>
      </c>
      <c r="M629" s="11">
        <f>IF(COUNT(J629:L629)=3,ROUND(AVERAGE(J629:L629),6),"")</f>
        <v/>
      </c>
      <c r="O629">
        <f>IF(AND(ISNUMBER('자료_미국심리'!$A613),ISNUMBER('자료_미국심리'!$B613)),'자료_미국심리'!$A613,"")</f>
        <v/>
      </c>
      <c r="P629">
        <f>IF(AND(ISNUMBER('자료_미국심리'!$D613),ISNUMBER('자료_미국심리'!$E613)),'자료_미국심리'!$D613,"")</f>
        <v/>
      </c>
      <c r="Q629">
        <f>IF(AND(ISNUMBER('자료_미국심리'!$G613),ISNUMBER('자료_미국심리'!$H613)),'자료_미국심리'!$G613,"")</f>
        <v/>
      </c>
    </row>
    <row r="630">
      <c r="A630" s="10">
        <f>IF(612&gt;$E$5,"",SMALL($O$19:$O$4018,$E$6+612))</f>
        <v/>
      </c>
      <c r="B630" s="29">
        <f>IF(A630="","",INDEX('자료_미국심리'!$B$3:$B$4002,MATCH(A630,$O$19:$O$4018,0)))</f>
        <v/>
      </c>
      <c r="C630" s="22">
        <f>IF(A630="","",B630/AVERAGE(B506:B630)-1)</f>
        <v/>
      </c>
      <c r="D630" s="29">
        <f>IF(A630="","",IFERROR(INDEX('자료_미국심리'!$E$3:$E$4002,MATCH(A630,$P$19:$P$4018,0)),D629))</f>
        <v/>
      </c>
      <c r="E630" s="29">
        <f>IF(A630="","",IFERROR(INDEX('자료_미국심리'!$H$3:$H$4002,MATCH(A630,$Q$19:$Q$4018,0)),E629))</f>
        <v/>
      </c>
      <c r="F630">
        <f>IF(A630="",0,IF(A630&gt;$B$5,1,0))</f>
        <v/>
      </c>
      <c r="G630" s="29">
        <f>IF(AND(F630=1,ISNUMBER(D630)),D630,"")</f>
        <v/>
      </c>
      <c r="H630" s="29">
        <f>IF(AND(F630=1,ISNUMBER(E630)),E630,"")</f>
        <v/>
      </c>
      <c r="I630" s="22">
        <f>IF(AND(F630=1,ISNUMBER(C630)),C630,"")</f>
        <v/>
      </c>
      <c r="J630" s="11">
        <f>IF(G630="","",100-IF($G$13=1,50,(_xlfn.RANK.AVG(G630,$G$19:$G$1518,1)-1)/($G$13-1)*100))</f>
        <v/>
      </c>
      <c r="K630" s="11">
        <f>IF(H630="","",100-IF($G$14=1,50,(_xlfn.RANK.AVG(H630,$H$19:$H$1518,1)-1)/($G$14-1)*100))</f>
        <v/>
      </c>
      <c r="L630" s="11">
        <f>IF(I630="","",IF($G$15=1,50,(_xlfn.RANK.AVG(I630,$I$19:$I$1518,1)-1)/($G$15-1)*100))</f>
        <v/>
      </c>
      <c r="M630" s="11">
        <f>IF(COUNT(J630:L630)=3,ROUND(AVERAGE(J630:L630),6),"")</f>
        <v/>
      </c>
      <c r="O630">
        <f>IF(AND(ISNUMBER('자료_미국심리'!$A614),ISNUMBER('자료_미국심리'!$B614)),'자료_미국심리'!$A614,"")</f>
        <v/>
      </c>
      <c r="P630">
        <f>IF(AND(ISNUMBER('자료_미국심리'!$D614),ISNUMBER('자료_미국심리'!$E614)),'자료_미국심리'!$D614,"")</f>
        <v/>
      </c>
      <c r="Q630">
        <f>IF(AND(ISNUMBER('자료_미국심리'!$G614),ISNUMBER('자료_미국심리'!$H614)),'자료_미국심리'!$G614,"")</f>
        <v/>
      </c>
    </row>
    <row r="631">
      <c r="A631" s="10">
        <f>IF(613&gt;$E$5,"",SMALL($O$19:$O$4018,$E$6+613))</f>
        <v/>
      </c>
      <c r="B631" s="29">
        <f>IF(A631="","",INDEX('자료_미국심리'!$B$3:$B$4002,MATCH(A631,$O$19:$O$4018,0)))</f>
        <v/>
      </c>
      <c r="C631" s="22">
        <f>IF(A631="","",B631/AVERAGE(B507:B631)-1)</f>
        <v/>
      </c>
      <c r="D631" s="29">
        <f>IF(A631="","",IFERROR(INDEX('자료_미국심리'!$E$3:$E$4002,MATCH(A631,$P$19:$P$4018,0)),D630))</f>
        <v/>
      </c>
      <c r="E631" s="29">
        <f>IF(A631="","",IFERROR(INDEX('자료_미국심리'!$H$3:$H$4002,MATCH(A631,$Q$19:$Q$4018,0)),E630))</f>
        <v/>
      </c>
      <c r="F631">
        <f>IF(A631="",0,IF(A631&gt;$B$5,1,0))</f>
        <v/>
      </c>
      <c r="G631" s="29">
        <f>IF(AND(F631=1,ISNUMBER(D631)),D631,"")</f>
        <v/>
      </c>
      <c r="H631" s="29">
        <f>IF(AND(F631=1,ISNUMBER(E631)),E631,"")</f>
        <v/>
      </c>
      <c r="I631" s="22">
        <f>IF(AND(F631=1,ISNUMBER(C631)),C631,"")</f>
        <v/>
      </c>
      <c r="J631" s="11">
        <f>IF(G631="","",100-IF($G$13=1,50,(_xlfn.RANK.AVG(G631,$G$19:$G$1518,1)-1)/($G$13-1)*100))</f>
        <v/>
      </c>
      <c r="K631" s="11">
        <f>IF(H631="","",100-IF($G$14=1,50,(_xlfn.RANK.AVG(H631,$H$19:$H$1518,1)-1)/($G$14-1)*100))</f>
        <v/>
      </c>
      <c r="L631" s="11">
        <f>IF(I631="","",IF($G$15=1,50,(_xlfn.RANK.AVG(I631,$I$19:$I$1518,1)-1)/($G$15-1)*100))</f>
        <v/>
      </c>
      <c r="M631" s="11">
        <f>IF(COUNT(J631:L631)=3,ROUND(AVERAGE(J631:L631),6),"")</f>
        <v/>
      </c>
      <c r="O631">
        <f>IF(AND(ISNUMBER('자료_미국심리'!$A615),ISNUMBER('자료_미국심리'!$B615)),'자료_미국심리'!$A615,"")</f>
        <v/>
      </c>
      <c r="P631">
        <f>IF(AND(ISNUMBER('자료_미국심리'!$D615),ISNUMBER('자료_미국심리'!$E615)),'자료_미국심리'!$D615,"")</f>
        <v/>
      </c>
      <c r="Q631">
        <f>IF(AND(ISNUMBER('자료_미국심리'!$G615),ISNUMBER('자료_미국심리'!$H615)),'자료_미국심리'!$G615,"")</f>
        <v/>
      </c>
    </row>
    <row r="632">
      <c r="A632" s="10">
        <f>IF(614&gt;$E$5,"",SMALL($O$19:$O$4018,$E$6+614))</f>
        <v/>
      </c>
      <c r="B632" s="29">
        <f>IF(A632="","",INDEX('자료_미국심리'!$B$3:$B$4002,MATCH(A632,$O$19:$O$4018,0)))</f>
        <v/>
      </c>
      <c r="C632" s="22">
        <f>IF(A632="","",B632/AVERAGE(B508:B632)-1)</f>
        <v/>
      </c>
      <c r="D632" s="29">
        <f>IF(A632="","",IFERROR(INDEX('자료_미국심리'!$E$3:$E$4002,MATCH(A632,$P$19:$P$4018,0)),D631))</f>
        <v/>
      </c>
      <c r="E632" s="29">
        <f>IF(A632="","",IFERROR(INDEX('자료_미국심리'!$H$3:$H$4002,MATCH(A632,$Q$19:$Q$4018,0)),E631))</f>
        <v/>
      </c>
      <c r="F632">
        <f>IF(A632="",0,IF(A632&gt;$B$5,1,0))</f>
        <v/>
      </c>
      <c r="G632" s="29">
        <f>IF(AND(F632=1,ISNUMBER(D632)),D632,"")</f>
        <v/>
      </c>
      <c r="H632" s="29">
        <f>IF(AND(F632=1,ISNUMBER(E632)),E632,"")</f>
        <v/>
      </c>
      <c r="I632" s="22">
        <f>IF(AND(F632=1,ISNUMBER(C632)),C632,"")</f>
        <v/>
      </c>
      <c r="J632" s="11">
        <f>IF(G632="","",100-IF($G$13=1,50,(_xlfn.RANK.AVG(G632,$G$19:$G$1518,1)-1)/($G$13-1)*100))</f>
        <v/>
      </c>
      <c r="K632" s="11">
        <f>IF(H632="","",100-IF($G$14=1,50,(_xlfn.RANK.AVG(H632,$H$19:$H$1518,1)-1)/($G$14-1)*100))</f>
        <v/>
      </c>
      <c r="L632" s="11">
        <f>IF(I632="","",IF($G$15=1,50,(_xlfn.RANK.AVG(I632,$I$19:$I$1518,1)-1)/($G$15-1)*100))</f>
        <v/>
      </c>
      <c r="M632" s="11">
        <f>IF(COUNT(J632:L632)=3,ROUND(AVERAGE(J632:L632),6),"")</f>
        <v/>
      </c>
      <c r="O632">
        <f>IF(AND(ISNUMBER('자료_미국심리'!$A616),ISNUMBER('자료_미국심리'!$B616)),'자료_미국심리'!$A616,"")</f>
        <v/>
      </c>
      <c r="P632">
        <f>IF(AND(ISNUMBER('자료_미국심리'!$D616),ISNUMBER('자료_미국심리'!$E616)),'자료_미국심리'!$D616,"")</f>
        <v/>
      </c>
      <c r="Q632">
        <f>IF(AND(ISNUMBER('자료_미국심리'!$G616),ISNUMBER('자료_미국심리'!$H616)),'자료_미국심리'!$G616,"")</f>
        <v/>
      </c>
    </row>
    <row r="633">
      <c r="A633" s="10">
        <f>IF(615&gt;$E$5,"",SMALL($O$19:$O$4018,$E$6+615))</f>
        <v/>
      </c>
      <c r="B633" s="29">
        <f>IF(A633="","",INDEX('자료_미국심리'!$B$3:$B$4002,MATCH(A633,$O$19:$O$4018,0)))</f>
        <v/>
      </c>
      <c r="C633" s="22">
        <f>IF(A633="","",B633/AVERAGE(B509:B633)-1)</f>
        <v/>
      </c>
      <c r="D633" s="29">
        <f>IF(A633="","",IFERROR(INDEX('자료_미국심리'!$E$3:$E$4002,MATCH(A633,$P$19:$P$4018,0)),D632))</f>
        <v/>
      </c>
      <c r="E633" s="29">
        <f>IF(A633="","",IFERROR(INDEX('자료_미국심리'!$H$3:$H$4002,MATCH(A633,$Q$19:$Q$4018,0)),E632))</f>
        <v/>
      </c>
      <c r="F633">
        <f>IF(A633="",0,IF(A633&gt;$B$5,1,0))</f>
        <v/>
      </c>
      <c r="G633" s="29">
        <f>IF(AND(F633=1,ISNUMBER(D633)),D633,"")</f>
        <v/>
      </c>
      <c r="H633" s="29">
        <f>IF(AND(F633=1,ISNUMBER(E633)),E633,"")</f>
        <v/>
      </c>
      <c r="I633" s="22">
        <f>IF(AND(F633=1,ISNUMBER(C633)),C633,"")</f>
        <v/>
      </c>
      <c r="J633" s="11">
        <f>IF(G633="","",100-IF($G$13=1,50,(_xlfn.RANK.AVG(G633,$G$19:$G$1518,1)-1)/($G$13-1)*100))</f>
        <v/>
      </c>
      <c r="K633" s="11">
        <f>IF(H633="","",100-IF($G$14=1,50,(_xlfn.RANK.AVG(H633,$H$19:$H$1518,1)-1)/($G$14-1)*100))</f>
        <v/>
      </c>
      <c r="L633" s="11">
        <f>IF(I633="","",IF($G$15=1,50,(_xlfn.RANK.AVG(I633,$I$19:$I$1518,1)-1)/($G$15-1)*100))</f>
        <v/>
      </c>
      <c r="M633" s="11">
        <f>IF(COUNT(J633:L633)=3,ROUND(AVERAGE(J633:L633),6),"")</f>
        <v/>
      </c>
      <c r="O633">
        <f>IF(AND(ISNUMBER('자료_미국심리'!$A617),ISNUMBER('자료_미국심리'!$B617)),'자료_미국심리'!$A617,"")</f>
        <v/>
      </c>
      <c r="P633">
        <f>IF(AND(ISNUMBER('자료_미국심리'!$D617),ISNUMBER('자료_미국심리'!$E617)),'자료_미국심리'!$D617,"")</f>
        <v/>
      </c>
      <c r="Q633">
        <f>IF(AND(ISNUMBER('자료_미국심리'!$G617),ISNUMBER('자료_미국심리'!$H617)),'자료_미국심리'!$G617,"")</f>
        <v/>
      </c>
    </row>
    <row r="634">
      <c r="A634" s="10">
        <f>IF(616&gt;$E$5,"",SMALL($O$19:$O$4018,$E$6+616))</f>
        <v/>
      </c>
      <c r="B634" s="29">
        <f>IF(A634="","",INDEX('자료_미국심리'!$B$3:$B$4002,MATCH(A634,$O$19:$O$4018,0)))</f>
        <v/>
      </c>
      <c r="C634" s="22">
        <f>IF(A634="","",B634/AVERAGE(B510:B634)-1)</f>
        <v/>
      </c>
      <c r="D634" s="29">
        <f>IF(A634="","",IFERROR(INDEX('자료_미국심리'!$E$3:$E$4002,MATCH(A634,$P$19:$P$4018,0)),D633))</f>
        <v/>
      </c>
      <c r="E634" s="29">
        <f>IF(A634="","",IFERROR(INDEX('자료_미국심리'!$H$3:$H$4002,MATCH(A634,$Q$19:$Q$4018,0)),E633))</f>
        <v/>
      </c>
      <c r="F634">
        <f>IF(A634="",0,IF(A634&gt;$B$5,1,0))</f>
        <v/>
      </c>
      <c r="G634" s="29">
        <f>IF(AND(F634=1,ISNUMBER(D634)),D634,"")</f>
        <v/>
      </c>
      <c r="H634" s="29">
        <f>IF(AND(F634=1,ISNUMBER(E634)),E634,"")</f>
        <v/>
      </c>
      <c r="I634" s="22">
        <f>IF(AND(F634=1,ISNUMBER(C634)),C634,"")</f>
        <v/>
      </c>
      <c r="J634" s="11">
        <f>IF(G634="","",100-IF($G$13=1,50,(_xlfn.RANK.AVG(G634,$G$19:$G$1518,1)-1)/($G$13-1)*100))</f>
        <v/>
      </c>
      <c r="K634" s="11">
        <f>IF(H634="","",100-IF($G$14=1,50,(_xlfn.RANK.AVG(H634,$H$19:$H$1518,1)-1)/($G$14-1)*100))</f>
        <v/>
      </c>
      <c r="L634" s="11">
        <f>IF(I634="","",IF($G$15=1,50,(_xlfn.RANK.AVG(I634,$I$19:$I$1518,1)-1)/($G$15-1)*100))</f>
        <v/>
      </c>
      <c r="M634" s="11">
        <f>IF(COUNT(J634:L634)=3,ROUND(AVERAGE(J634:L634),6),"")</f>
        <v/>
      </c>
      <c r="O634">
        <f>IF(AND(ISNUMBER('자료_미국심리'!$A618),ISNUMBER('자료_미국심리'!$B618)),'자료_미국심리'!$A618,"")</f>
        <v/>
      </c>
      <c r="P634">
        <f>IF(AND(ISNUMBER('자료_미국심리'!$D618),ISNUMBER('자료_미국심리'!$E618)),'자료_미국심리'!$D618,"")</f>
        <v/>
      </c>
      <c r="Q634">
        <f>IF(AND(ISNUMBER('자료_미국심리'!$G618),ISNUMBER('자료_미국심리'!$H618)),'자료_미국심리'!$G618,"")</f>
        <v/>
      </c>
    </row>
    <row r="635">
      <c r="A635" s="10">
        <f>IF(617&gt;$E$5,"",SMALL($O$19:$O$4018,$E$6+617))</f>
        <v/>
      </c>
      <c r="B635" s="29">
        <f>IF(A635="","",INDEX('자료_미국심리'!$B$3:$B$4002,MATCH(A635,$O$19:$O$4018,0)))</f>
        <v/>
      </c>
      <c r="C635" s="22">
        <f>IF(A635="","",B635/AVERAGE(B511:B635)-1)</f>
        <v/>
      </c>
      <c r="D635" s="29">
        <f>IF(A635="","",IFERROR(INDEX('자료_미국심리'!$E$3:$E$4002,MATCH(A635,$P$19:$P$4018,0)),D634))</f>
        <v/>
      </c>
      <c r="E635" s="29">
        <f>IF(A635="","",IFERROR(INDEX('자료_미국심리'!$H$3:$H$4002,MATCH(A635,$Q$19:$Q$4018,0)),E634))</f>
        <v/>
      </c>
      <c r="F635">
        <f>IF(A635="",0,IF(A635&gt;$B$5,1,0))</f>
        <v/>
      </c>
      <c r="G635" s="29">
        <f>IF(AND(F635=1,ISNUMBER(D635)),D635,"")</f>
        <v/>
      </c>
      <c r="H635" s="29">
        <f>IF(AND(F635=1,ISNUMBER(E635)),E635,"")</f>
        <v/>
      </c>
      <c r="I635" s="22">
        <f>IF(AND(F635=1,ISNUMBER(C635)),C635,"")</f>
        <v/>
      </c>
      <c r="J635" s="11">
        <f>IF(G635="","",100-IF($G$13=1,50,(_xlfn.RANK.AVG(G635,$G$19:$G$1518,1)-1)/($G$13-1)*100))</f>
        <v/>
      </c>
      <c r="K635" s="11">
        <f>IF(H635="","",100-IF($G$14=1,50,(_xlfn.RANK.AVG(H635,$H$19:$H$1518,1)-1)/($G$14-1)*100))</f>
        <v/>
      </c>
      <c r="L635" s="11">
        <f>IF(I635="","",IF($G$15=1,50,(_xlfn.RANK.AVG(I635,$I$19:$I$1518,1)-1)/($G$15-1)*100))</f>
        <v/>
      </c>
      <c r="M635" s="11">
        <f>IF(COUNT(J635:L635)=3,ROUND(AVERAGE(J635:L635),6),"")</f>
        <v/>
      </c>
      <c r="O635">
        <f>IF(AND(ISNUMBER('자료_미국심리'!$A619),ISNUMBER('자료_미국심리'!$B619)),'자료_미국심리'!$A619,"")</f>
        <v/>
      </c>
      <c r="P635">
        <f>IF(AND(ISNUMBER('자료_미국심리'!$D619),ISNUMBER('자료_미국심리'!$E619)),'자료_미국심리'!$D619,"")</f>
        <v/>
      </c>
      <c r="Q635">
        <f>IF(AND(ISNUMBER('자료_미국심리'!$G619),ISNUMBER('자료_미국심리'!$H619)),'자료_미국심리'!$G619,"")</f>
        <v/>
      </c>
    </row>
    <row r="636">
      <c r="A636" s="10">
        <f>IF(618&gt;$E$5,"",SMALL($O$19:$O$4018,$E$6+618))</f>
        <v/>
      </c>
      <c r="B636" s="29">
        <f>IF(A636="","",INDEX('자료_미국심리'!$B$3:$B$4002,MATCH(A636,$O$19:$O$4018,0)))</f>
        <v/>
      </c>
      <c r="C636" s="22">
        <f>IF(A636="","",B636/AVERAGE(B512:B636)-1)</f>
        <v/>
      </c>
      <c r="D636" s="29">
        <f>IF(A636="","",IFERROR(INDEX('자료_미국심리'!$E$3:$E$4002,MATCH(A636,$P$19:$P$4018,0)),D635))</f>
        <v/>
      </c>
      <c r="E636" s="29">
        <f>IF(A636="","",IFERROR(INDEX('자료_미국심리'!$H$3:$H$4002,MATCH(A636,$Q$19:$Q$4018,0)),E635))</f>
        <v/>
      </c>
      <c r="F636">
        <f>IF(A636="",0,IF(A636&gt;$B$5,1,0))</f>
        <v/>
      </c>
      <c r="G636" s="29">
        <f>IF(AND(F636=1,ISNUMBER(D636)),D636,"")</f>
        <v/>
      </c>
      <c r="H636" s="29">
        <f>IF(AND(F636=1,ISNUMBER(E636)),E636,"")</f>
        <v/>
      </c>
      <c r="I636" s="22">
        <f>IF(AND(F636=1,ISNUMBER(C636)),C636,"")</f>
        <v/>
      </c>
      <c r="J636" s="11">
        <f>IF(G636="","",100-IF($G$13=1,50,(_xlfn.RANK.AVG(G636,$G$19:$G$1518,1)-1)/($G$13-1)*100))</f>
        <v/>
      </c>
      <c r="K636" s="11">
        <f>IF(H636="","",100-IF($G$14=1,50,(_xlfn.RANK.AVG(H636,$H$19:$H$1518,1)-1)/($G$14-1)*100))</f>
        <v/>
      </c>
      <c r="L636" s="11">
        <f>IF(I636="","",IF($G$15=1,50,(_xlfn.RANK.AVG(I636,$I$19:$I$1518,1)-1)/($G$15-1)*100))</f>
        <v/>
      </c>
      <c r="M636" s="11">
        <f>IF(COUNT(J636:L636)=3,ROUND(AVERAGE(J636:L636),6),"")</f>
        <v/>
      </c>
      <c r="O636">
        <f>IF(AND(ISNUMBER('자료_미국심리'!$A620),ISNUMBER('자료_미국심리'!$B620)),'자료_미국심리'!$A620,"")</f>
        <v/>
      </c>
      <c r="P636">
        <f>IF(AND(ISNUMBER('자료_미국심리'!$D620),ISNUMBER('자료_미국심리'!$E620)),'자료_미국심리'!$D620,"")</f>
        <v/>
      </c>
      <c r="Q636">
        <f>IF(AND(ISNUMBER('자료_미국심리'!$G620),ISNUMBER('자료_미국심리'!$H620)),'자료_미국심리'!$G620,"")</f>
        <v/>
      </c>
    </row>
    <row r="637">
      <c r="A637" s="10">
        <f>IF(619&gt;$E$5,"",SMALL($O$19:$O$4018,$E$6+619))</f>
        <v/>
      </c>
      <c r="B637" s="29">
        <f>IF(A637="","",INDEX('자료_미국심리'!$B$3:$B$4002,MATCH(A637,$O$19:$O$4018,0)))</f>
        <v/>
      </c>
      <c r="C637" s="22">
        <f>IF(A637="","",B637/AVERAGE(B513:B637)-1)</f>
        <v/>
      </c>
      <c r="D637" s="29">
        <f>IF(A637="","",IFERROR(INDEX('자료_미국심리'!$E$3:$E$4002,MATCH(A637,$P$19:$P$4018,0)),D636))</f>
        <v/>
      </c>
      <c r="E637" s="29">
        <f>IF(A637="","",IFERROR(INDEX('자료_미국심리'!$H$3:$H$4002,MATCH(A637,$Q$19:$Q$4018,0)),E636))</f>
        <v/>
      </c>
      <c r="F637">
        <f>IF(A637="",0,IF(A637&gt;$B$5,1,0))</f>
        <v/>
      </c>
      <c r="G637" s="29">
        <f>IF(AND(F637=1,ISNUMBER(D637)),D637,"")</f>
        <v/>
      </c>
      <c r="H637" s="29">
        <f>IF(AND(F637=1,ISNUMBER(E637)),E637,"")</f>
        <v/>
      </c>
      <c r="I637" s="22">
        <f>IF(AND(F637=1,ISNUMBER(C637)),C637,"")</f>
        <v/>
      </c>
      <c r="J637" s="11">
        <f>IF(G637="","",100-IF($G$13=1,50,(_xlfn.RANK.AVG(G637,$G$19:$G$1518,1)-1)/($G$13-1)*100))</f>
        <v/>
      </c>
      <c r="K637" s="11">
        <f>IF(H637="","",100-IF($G$14=1,50,(_xlfn.RANK.AVG(H637,$H$19:$H$1518,1)-1)/($G$14-1)*100))</f>
        <v/>
      </c>
      <c r="L637" s="11">
        <f>IF(I637="","",IF($G$15=1,50,(_xlfn.RANK.AVG(I637,$I$19:$I$1518,1)-1)/($G$15-1)*100))</f>
        <v/>
      </c>
      <c r="M637" s="11">
        <f>IF(COUNT(J637:L637)=3,ROUND(AVERAGE(J637:L637),6),"")</f>
        <v/>
      </c>
      <c r="O637">
        <f>IF(AND(ISNUMBER('자료_미국심리'!$A621),ISNUMBER('자료_미국심리'!$B621)),'자료_미국심리'!$A621,"")</f>
        <v/>
      </c>
      <c r="P637">
        <f>IF(AND(ISNUMBER('자료_미국심리'!$D621),ISNUMBER('자료_미국심리'!$E621)),'자료_미국심리'!$D621,"")</f>
        <v/>
      </c>
      <c r="Q637">
        <f>IF(AND(ISNUMBER('자료_미국심리'!$G621),ISNUMBER('자료_미국심리'!$H621)),'자료_미국심리'!$G621,"")</f>
        <v/>
      </c>
    </row>
    <row r="638">
      <c r="A638" s="10">
        <f>IF(620&gt;$E$5,"",SMALL($O$19:$O$4018,$E$6+620))</f>
        <v/>
      </c>
      <c r="B638" s="29">
        <f>IF(A638="","",INDEX('자료_미국심리'!$B$3:$B$4002,MATCH(A638,$O$19:$O$4018,0)))</f>
        <v/>
      </c>
      <c r="C638" s="22">
        <f>IF(A638="","",B638/AVERAGE(B514:B638)-1)</f>
        <v/>
      </c>
      <c r="D638" s="29">
        <f>IF(A638="","",IFERROR(INDEX('자료_미국심리'!$E$3:$E$4002,MATCH(A638,$P$19:$P$4018,0)),D637))</f>
        <v/>
      </c>
      <c r="E638" s="29">
        <f>IF(A638="","",IFERROR(INDEX('자료_미국심리'!$H$3:$H$4002,MATCH(A638,$Q$19:$Q$4018,0)),E637))</f>
        <v/>
      </c>
      <c r="F638">
        <f>IF(A638="",0,IF(A638&gt;$B$5,1,0))</f>
        <v/>
      </c>
      <c r="G638" s="29">
        <f>IF(AND(F638=1,ISNUMBER(D638)),D638,"")</f>
        <v/>
      </c>
      <c r="H638" s="29">
        <f>IF(AND(F638=1,ISNUMBER(E638)),E638,"")</f>
        <v/>
      </c>
      <c r="I638" s="22">
        <f>IF(AND(F638=1,ISNUMBER(C638)),C638,"")</f>
        <v/>
      </c>
      <c r="J638" s="11">
        <f>IF(G638="","",100-IF($G$13=1,50,(_xlfn.RANK.AVG(G638,$G$19:$G$1518,1)-1)/($G$13-1)*100))</f>
        <v/>
      </c>
      <c r="K638" s="11">
        <f>IF(H638="","",100-IF($G$14=1,50,(_xlfn.RANK.AVG(H638,$H$19:$H$1518,1)-1)/($G$14-1)*100))</f>
        <v/>
      </c>
      <c r="L638" s="11">
        <f>IF(I638="","",IF($G$15=1,50,(_xlfn.RANK.AVG(I638,$I$19:$I$1518,1)-1)/($G$15-1)*100))</f>
        <v/>
      </c>
      <c r="M638" s="11">
        <f>IF(COUNT(J638:L638)=3,ROUND(AVERAGE(J638:L638),6),"")</f>
        <v/>
      </c>
      <c r="O638">
        <f>IF(AND(ISNUMBER('자료_미국심리'!$A622),ISNUMBER('자료_미국심리'!$B622)),'자료_미국심리'!$A622,"")</f>
        <v/>
      </c>
      <c r="P638">
        <f>IF(AND(ISNUMBER('자료_미국심리'!$D622),ISNUMBER('자료_미국심리'!$E622)),'자료_미국심리'!$D622,"")</f>
        <v/>
      </c>
      <c r="Q638">
        <f>IF(AND(ISNUMBER('자료_미국심리'!$G622),ISNUMBER('자료_미국심리'!$H622)),'자료_미국심리'!$G622,"")</f>
        <v/>
      </c>
    </row>
    <row r="639">
      <c r="A639" s="10">
        <f>IF(621&gt;$E$5,"",SMALL($O$19:$O$4018,$E$6+621))</f>
        <v/>
      </c>
      <c r="B639" s="29">
        <f>IF(A639="","",INDEX('자료_미국심리'!$B$3:$B$4002,MATCH(A639,$O$19:$O$4018,0)))</f>
        <v/>
      </c>
      <c r="C639" s="22">
        <f>IF(A639="","",B639/AVERAGE(B515:B639)-1)</f>
        <v/>
      </c>
      <c r="D639" s="29">
        <f>IF(A639="","",IFERROR(INDEX('자료_미국심리'!$E$3:$E$4002,MATCH(A639,$P$19:$P$4018,0)),D638))</f>
        <v/>
      </c>
      <c r="E639" s="29">
        <f>IF(A639="","",IFERROR(INDEX('자료_미국심리'!$H$3:$H$4002,MATCH(A639,$Q$19:$Q$4018,0)),E638))</f>
        <v/>
      </c>
      <c r="F639">
        <f>IF(A639="",0,IF(A639&gt;$B$5,1,0))</f>
        <v/>
      </c>
      <c r="G639" s="29">
        <f>IF(AND(F639=1,ISNUMBER(D639)),D639,"")</f>
        <v/>
      </c>
      <c r="H639" s="29">
        <f>IF(AND(F639=1,ISNUMBER(E639)),E639,"")</f>
        <v/>
      </c>
      <c r="I639" s="22">
        <f>IF(AND(F639=1,ISNUMBER(C639)),C639,"")</f>
        <v/>
      </c>
      <c r="J639" s="11">
        <f>IF(G639="","",100-IF($G$13=1,50,(_xlfn.RANK.AVG(G639,$G$19:$G$1518,1)-1)/($G$13-1)*100))</f>
        <v/>
      </c>
      <c r="K639" s="11">
        <f>IF(H639="","",100-IF($G$14=1,50,(_xlfn.RANK.AVG(H639,$H$19:$H$1518,1)-1)/($G$14-1)*100))</f>
        <v/>
      </c>
      <c r="L639" s="11">
        <f>IF(I639="","",IF($G$15=1,50,(_xlfn.RANK.AVG(I639,$I$19:$I$1518,1)-1)/($G$15-1)*100))</f>
        <v/>
      </c>
      <c r="M639" s="11">
        <f>IF(COUNT(J639:L639)=3,ROUND(AVERAGE(J639:L639),6),"")</f>
        <v/>
      </c>
      <c r="O639">
        <f>IF(AND(ISNUMBER('자료_미국심리'!$A623),ISNUMBER('자료_미국심리'!$B623)),'자료_미국심리'!$A623,"")</f>
        <v/>
      </c>
      <c r="P639">
        <f>IF(AND(ISNUMBER('자료_미국심리'!$D623),ISNUMBER('자료_미국심리'!$E623)),'자료_미국심리'!$D623,"")</f>
        <v/>
      </c>
      <c r="Q639">
        <f>IF(AND(ISNUMBER('자료_미국심리'!$G623),ISNUMBER('자료_미국심리'!$H623)),'자료_미국심리'!$G623,"")</f>
        <v/>
      </c>
    </row>
    <row r="640">
      <c r="A640" s="10">
        <f>IF(622&gt;$E$5,"",SMALL($O$19:$O$4018,$E$6+622))</f>
        <v/>
      </c>
      <c r="B640" s="29">
        <f>IF(A640="","",INDEX('자료_미국심리'!$B$3:$B$4002,MATCH(A640,$O$19:$O$4018,0)))</f>
        <v/>
      </c>
      <c r="C640" s="22">
        <f>IF(A640="","",B640/AVERAGE(B516:B640)-1)</f>
        <v/>
      </c>
      <c r="D640" s="29">
        <f>IF(A640="","",IFERROR(INDEX('자료_미국심리'!$E$3:$E$4002,MATCH(A640,$P$19:$P$4018,0)),D639))</f>
        <v/>
      </c>
      <c r="E640" s="29">
        <f>IF(A640="","",IFERROR(INDEX('자료_미국심리'!$H$3:$H$4002,MATCH(A640,$Q$19:$Q$4018,0)),E639))</f>
        <v/>
      </c>
      <c r="F640">
        <f>IF(A640="",0,IF(A640&gt;$B$5,1,0))</f>
        <v/>
      </c>
      <c r="G640" s="29">
        <f>IF(AND(F640=1,ISNUMBER(D640)),D640,"")</f>
        <v/>
      </c>
      <c r="H640" s="29">
        <f>IF(AND(F640=1,ISNUMBER(E640)),E640,"")</f>
        <v/>
      </c>
      <c r="I640" s="22">
        <f>IF(AND(F640=1,ISNUMBER(C640)),C640,"")</f>
        <v/>
      </c>
      <c r="J640" s="11">
        <f>IF(G640="","",100-IF($G$13=1,50,(_xlfn.RANK.AVG(G640,$G$19:$G$1518,1)-1)/($G$13-1)*100))</f>
        <v/>
      </c>
      <c r="K640" s="11">
        <f>IF(H640="","",100-IF($G$14=1,50,(_xlfn.RANK.AVG(H640,$H$19:$H$1518,1)-1)/($G$14-1)*100))</f>
        <v/>
      </c>
      <c r="L640" s="11">
        <f>IF(I640="","",IF($G$15=1,50,(_xlfn.RANK.AVG(I640,$I$19:$I$1518,1)-1)/($G$15-1)*100))</f>
        <v/>
      </c>
      <c r="M640" s="11">
        <f>IF(COUNT(J640:L640)=3,ROUND(AVERAGE(J640:L640),6),"")</f>
        <v/>
      </c>
      <c r="O640">
        <f>IF(AND(ISNUMBER('자료_미국심리'!$A624),ISNUMBER('자료_미국심리'!$B624)),'자료_미국심리'!$A624,"")</f>
        <v/>
      </c>
      <c r="P640">
        <f>IF(AND(ISNUMBER('자료_미국심리'!$D624),ISNUMBER('자료_미국심리'!$E624)),'자료_미국심리'!$D624,"")</f>
        <v/>
      </c>
      <c r="Q640">
        <f>IF(AND(ISNUMBER('자료_미국심리'!$G624),ISNUMBER('자료_미국심리'!$H624)),'자료_미국심리'!$G624,"")</f>
        <v/>
      </c>
    </row>
    <row r="641">
      <c r="A641" s="10">
        <f>IF(623&gt;$E$5,"",SMALL($O$19:$O$4018,$E$6+623))</f>
        <v/>
      </c>
      <c r="B641" s="29">
        <f>IF(A641="","",INDEX('자료_미국심리'!$B$3:$B$4002,MATCH(A641,$O$19:$O$4018,0)))</f>
        <v/>
      </c>
      <c r="C641" s="22">
        <f>IF(A641="","",B641/AVERAGE(B517:B641)-1)</f>
        <v/>
      </c>
      <c r="D641" s="29">
        <f>IF(A641="","",IFERROR(INDEX('자료_미국심리'!$E$3:$E$4002,MATCH(A641,$P$19:$P$4018,0)),D640))</f>
        <v/>
      </c>
      <c r="E641" s="29">
        <f>IF(A641="","",IFERROR(INDEX('자료_미국심리'!$H$3:$H$4002,MATCH(A641,$Q$19:$Q$4018,0)),E640))</f>
        <v/>
      </c>
      <c r="F641">
        <f>IF(A641="",0,IF(A641&gt;$B$5,1,0))</f>
        <v/>
      </c>
      <c r="G641" s="29">
        <f>IF(AND(F641=1,ISNUMBER(D641)),D641,"")</f>
        <v/>
      </c>
      <c r="H641" s="29">
        <f>IF(AND(F641=1,ISNUMBER(E641)),E641,"")</f>
        <v/>
      </c>
      <c r="I641" s="22">
        <f>IF(AND(F641=1,ISNUMBER(C641)),C641,"")</f>
        <v/>
      </c>
      <c r="J641" s="11">
        <f>IF(G641="","",100-IF($G$13=1,50,(_xlfn.RANK.AVG(G641,$G$19:$G$1518,1)-1)/($G$13-1)*100))</f>
        <v/>
      </c>
      <c r="K641" s="11">
        <f>IF(H641="","",100-IF($G$14=1,50,(_xlfn.RANK.AVG(H641,$H$19:$H$1518,1)-1)/($G$14-1)*100))</f>
        <v/>
      </c>
      <c r="L641" s="11">
        <f>IF(I641="","",IF($G$15=1,50,(_xlfn.RANK.AVG(I641,$I$19:$I$1518,1)-1)/($G$15-1)*100))</f>
        <v/>
      </c>
      <c r="M641" s="11">
        <f>IF(COUNT(J641:L641)=3,ROUND(AVERAGE(J641:L641),6),"")</f>
        <v/>
      </c>
      <c r="O641">
        <f>IF(AND(ISNUMBER('자료_미국심리'!$A625),ISNUMBER('자료_미국심리'!$B625)),'자료_미국심리'!$A625,"")</f>
        <v/>
      </c>
      <c r="P641">
        <f>IF(AND(ISNUMBER('자료_미국심리'!$D625),ISNUMBER('자료_미국심리'!$E625)),'자료_미국심리'!$D625,"")</f>
        <v/>
      </c>
      <c r="Q641">
        <f>IF(AND(ISNUMBER('자료_미국심리'!$G625),ISNUMBER('자료_미국심리'!$H625)),'자료_미국심리'!$G625,"")</f>
        <v/>
      </c>
    </row>
    <row r="642">
      <c r="A642" s="10">
        <f>IF(624&gt;$E$5,"",SMALL($O$19:$O$4018,$E$6+624))</f>
        <v/>
      </c>
      <c r="B642" s="29">
        <f>IF(A642="","",INDEX('자료_미국심리'!$B$3:$B$4002,MATCH(A642,$O$19:$O$4018,0)))</f>
        <v/>
      </c>
      <c r="C642" s="22">
        <f>IF(A642="","",B642/AVERAGE(B518:B642)-1)</f>
        <v/>
      </c>
      <c r="D642" s="29">
        <f>IF(A642="","",IFERROR(INDEX('자료_미국심리'!$E$3:$E$4002,MATCH(A642,$P$19:$P$4018,0)),D641))</f>
        <v/>
      </c>
      <c r="E642" s="29">
        <f>IF(A642="","",IFERROR(INDEX('자료_미국심리'!$H$3:$H$4002,MATCH(A642,$Q$19:$Q$4018,0)),E641))</f>
        <v/>
      </c>
      <c r="F642">
        <f>IF(A642="",0,IF(A642&gt;$B$5,1,0))</f>
        <v/>
      </c>
      <c r="G642" s="29">
        <f>IF(AND(F642=1,ISNUMBER(D642)),D642,"")</f>
        <v/>
      </c>
      <c r="H642" s="29">
        <f>IF(AND(F642=1,ISNUMBER(E642)),E642,"")</f>
        <v/>
      </c>
      <c r="I642" s="22">
        <f>IF(AND(F642=1,ISNUMBER(C642)),C642,"")</f>
        <v/>
      </c>
      <c r="J642" s="11">
        <f>IF(G642="","",100-IF($G$13=1,50,(_xlfn.RANK.AVG(G642,$G$19:$G$1518,1)-1)/($G$13-1)*100))</f>
        <v/>
      </c>
      <c r="K642" s="11">
        <f>IF(H642="","",100-IF($G$14=1,50,(_xlfn.RANK.AVG(H642,$H$19:$H$1518,1)-1)/($G$14-1)*100))</f>
        <v/>
      </c>
      <c r="L642" s="11">
        <f>IF(I642="","",IF($G$15=1,50,(_xlfn.RANK.AVG(I642,$I$19:$I$1518,1)-1)/($G$15-1)*100))</f>
        <v/>
      </c>
      <c r="M642" s="11">
        <f>IF(COUNT(J642:L642)=3,ROUND(AVERAGE(J642:L642),6),"")</f>
        <v/>
      </c>
      <c r="O642">
        <f>IF(AND(ISNUMBER('자료_미국심리'!$A626),ISNUMBER('자료_미국심리'!$B626)),'자료_미국심리'!$A626,"")</f>
        <v/>
      </c>
      <c r="P642">
        <f>IF(AND(ISNUMBER('자료_미국심리'!$D626),ISNUMBER('자료_미국심리'!$E626)),'자료_미국심리'!$D626,"")</f>
        <v/>
      </c>
      <c r="Q642">
        <f>IF(AND(ISNUMBER('자료_미국심리'!$G626),ISNUMBER('자료_미국심리'!$H626)),'자료_미국심리'!$G626,"")</f>
        <v/>
      </c>
    </row>
    <row r="643">
      <c r="A643" s="10">
        <f>IF(625&gt;$E$5,"",SMALL($O$19:$O$4018,$E$6+625))</f>
        <v/>
      </c>
      <c r="B643" s="29">
        <f>IF(A643="","",INDEX('자료_미국심리'!$B$3:$B$4002,MATCH(A643,$O$19:$O$4018,0)))</f>
        <v/>
      </c>
      <c r="C643" s="22">
        <f>IF(A643="","",B643/AVERAGE(B519:B643)-1)</f>
        <v/>
      </c>
      <c r="D643" s="29">
        <f>IF(A643="","",IFERROR(INDEX('자료_미국심리'!$E$3:$E$4002,MATCH(A643,$P$19:$P$4018,0)),D642))</f>
        <v/>
      </c>
      <c r="E643" s="29">
        <f>IF(A643="","",IFERROR(INDEX('자료_미국심리'!$H$3:$H$4002,MATCH(A643,$Q$19:$Q$4018,0)),E642))</f>
        <v/>
      </c>
      <c r="F643">
        <f>IF(A643="",0,IF(A643&gt;$B$5,1,0))</f>
        <v/>
      </c>
      <c r="G643" s="29">
        <f>IF(AND(F643=1,ISNUMBER(D643)),D643,"")</f>
        <v/>
      </c>
      <c r="H643" s="29">
        <f>IF(AND(F643=1,ISNUMBER(E643)),E643,"")</f>
        <v/>
      </c>
      <c r="I643" s="22">
        <f>IF(AND(F643=1,ISNUMBER(C643)),C643,"")</f>
        <v/>
      </c>
      <c r="J643" s="11">
        <f>IF(G643="","",100-IF($G$13=1,50,(_xlfn.RANK.AVG(G643,$G$19:$G$1518,1)-1)/($G$13-1)*100))</f>
        <v/>
      </c>
      <c r="K643" s="11">
        <f>IF(H643="","",100-IF($G$14=1,50,(_xlfn.RANK.AVG(H643,$H$19:$H$1518,1)-1)/($G$14-1)*100))</f>
        <v/>
      </c>
      <c r="L643" s="11">
        <f>IF(I643="","",IF($G$15=1,50,(_xlfn.RANK.AVG(I643,$I$19:$I$1518,1)-1)/($G$15-1)*100))</f>
        <v/>
      </c>
      <c r="M643" s="11">
        <f>IF(COUNT(J643:L643)=3,ROUND(AVERAGE(J643:L643),6),"")</f>
        <v/>
      </c>
      <c r="O643">
        <f>IF(AND(ISNUMBER('자료_미국심리'!$A627),ISNUMBER('자료_미국심리'!$B627)),'자료_미국심리'!$A627,"")</f>
        <v/>
      </c>
      <c r="P643">
        <f>IF(AND(ISNUMBER('자료_미국심리'!$D627),ISNUMBER('자료_미국심리'!$E627)),'자료_미국심리'!$D627,"")</f>
        <v/>
      </c>
      <c r="Q643">
        <f>IF(AND(ISNUMBER('자료_미국심리'!$G627),ISNUMBER('자료_미국심리'!$H627)),'자료_미국심리'!$G627,"")</f>
        <v/>
      </c>
    </row>
    <row r="644">
      <c r="A644" s="10">
        <f>IF(626&gt;$E$5,"",SMALL($O$19:$O$4018,$E$6+626))</f>
        <v/>
      </c>
      <c r="B644" s="29">
        <f>IF(A644="","",INDEX('자료_미국심리'!$B$3:$B$4002,MATCH(A644,$O$19:$O$4018,0)))</f>
        <v/>
      </c>
      <c r="C644" s="22">
        <f>IF(A644="","",B644/AVERAGE(B520:B644)-1)</f>
        <v/>
      </c>
      <c r="D644" s="29">
        <f>IF(A644="","",IFERROR(INDEX('자료_미국심리'!$E$3:$E$4002,MATCH(A644,$P$19:$P$4018,0)),D643))</f>
        <v/>
      </c>
      <c r="E644" s="29">
        <f>IF(A644="","",IFERROR(INDEX('자료_미국심리'!$H$3:$H$4002,MATCH(A644,$Q$19:$Q$4018,0)),E643))</f>
        <v/>
      </c>
      <c r="F644">
        <f>IF(A644="",0,IF(A644&gt;$B$5,1,0))</f>
        <v/>
      </c>
      <c r="G644" s="29">
        <f>IF(AND(F644=1,ISNUMBER(D644)),D644,"")</f>
        <v/>
      </c>
      <c r="H644" s="29">
        <f>IF(AND(F644=1,ISNUMBER(E644)),E644,"")</f>
        <v/>
      </c>
      <c r="I644" s="22">
        <f>IF(AND(F644=1,ISNUMBER(C644)),C644,"")</f>
        <v/>
      </c>
      <c r="J644" s="11">
        <f>IF(G644="","",100-IF($G$13=1,50,(_xlfn.RANK.AVG(G644,$G$19:$G$1518,1)-1)/($G$13-1)*100))</f>
        <v/>
      </c>
      <c r="K644" s="11">
        <f>IF(H644="","",100-IF($G$14=1,50,(_xlfn.RANK.AVG(H644,$H$19:$H$1518,1)-1)/($G$14-1)*100))</f>
        <v/>
      </c>
      <c r="L644" s="11">
        <f>IF(I644="","",IF($G$15=1,50,(_xlfn.RANK.AVG(I644,$I$19:$I$1518,1)-1)/($G$15-1)*100))</f>
        <v/>
      </c>
      <c r="M644" s="11">
        <f>IF(COUNT(J644:L644)=3,ROUND(AVERAGE(J644:L644),6),"")</f>
        <v/>
      </c>
      <c r="O644">
        <f>IF(AND(ISNUMBER('자료_미국심리'!$A628),ISNUMBER('자료_미국심리'!$B628)),'자료_미국심리'!$A628,"")</f>
        <v/>
      </c>
      <c r="P644">
        <f>IF(AND(ISNUMBER('자료_미국심리'!$D628),ISNUMBER('자료_미국심리'!$E628)),'자료_미국심리'!$D628,"")</f>
        <v/>
      </c>
      <c r="Q644">
        <f>IF(AND(ISNUMBER('자료_미국심리'!$G628),ISNUMBER('자료_미국심리'!$H628)),'자료_미국심리'!$G628,"")</f>
        <v/>
      </c>
    </row>
    <row r="645">
      <c r="A645" s="10">
        <f>IF(627&gt;$E$5,"",SMALL($O$19:$O$4018,$E$6+627))</f>
        <v/>
      </c>
      <c r="B645" s="29">
        <f>IF(A645="","",INDEX('자료_미국심리'!$B$3:$B$4002,MATCH(A645,$O$19:$O$4018,0)))</f>
        <v/>
      </c>
      <c r="C645" s="22">
        <f>IF(A645="","",B645/AVERAGE(B521:B645)-1)</f>
        <v/>
      </c>
      <c r="D645" s="29">
        <f>IF(A645="","",IFERROR(INDEX('자료_미국심리'!$E$3:$E$4002,MATCH(A645,$P$19:$P$4018,0)),D644))</f>
        <v/>
      </c>
      <c r="E645" s="29">
        <f>IF(A645="","",IFERROR(INDEX('자료_미국심리'!$H$3:$H$4002,MATCH(A645,$Q$19:$Q$4018,0)),E644))</f>
        <v/>
      </c>
      <c r="F645">
        <f>IF(A645="",0,IF(A645&gt;$B$5,1,0))</f>
        <v/>
      </c>
      <c r="G645" s="29">
        <f>IF(AND(F645=1,ISNUMBER(D645)),D645,"")</f>
        <v/>
      </c>
      <c r="H645" s="29">
        <f>IF(AND(F645=1,ISNUMBER(E645)),E645,"")</f>
        <v/>
      </c>
      <c r="I645" s="22">
        <f>IF(AND(F645=1,ISNUMBER(C645)),C645,"")</f>
        <v/>
      </c>
      <c r="J645" s="11">
        <f>IF(G645="","",100-IF($G$13=1,50,(_xlfn.RANK.AVG(G645,$G$19:$G$1518,1)-1)/($G$13-1)*100))</f>
        <v/>
      </c>
      <c r="K645" s="11">
        <f>IF(H645="","",100-IF($G$14=1,50,(_xlfn.RANK.AVG(H645,$H$19:$H$1518,1)-1)/($G$14-1)*100))</f>
        <v/>
      </c>
      <c r="L645" s="11">
        <f>IF(I645="","",IF($G$15=1,50,(_xlfn.RANK.AVG(I645,$I$19:$I$1518,1)-1)/($G$15-1)*100))</f>
        <v/>
      </c>
      <c r="M645" s="11">
        <f>IF(COUNT(J645:L645)=3,ROUND(AVERAGE(J645:L645),6),"")</f>
        <v/>
      </c>
      <c r="O645">
        <f>IF(AND(ISNUMBER('자료_미국심리'!$A629),ISNUMBER('자료_미국심리'!$B629)),'자료_미국심리'!$A629,"")</f>
        <v/>
      </c>
      <c r="P645">
        <f>IF(AND(ISNUMBER('자료_미국심리'!$D629),ISNUMBER('자료_미국심리'!$E629)),'자료_미국심리'!$D629,"")</f>
        <v/>
      </c>
      <c r="Q645">
        <f>IF(AND(ISNUMBER('자료_미국심리'!$G629),ISNUMBER('자료_미국심리'!$H629)),'자료_미국심리'!$G629,"")</f>
        <v/>
      </c>
    </row>
    <row r="646">
      <c r="A646" s="10">
        <f>IF(628&gt;$E$5,"",SMALL($O$19:$O$4018,$E$6+628))</f>
        <v/>
      </c>
      <c r="B646" s="29">
        <f>IF(A646="","",INDEX('자료_미국심리'!$B$3:$B$4002,MATCH(A646,$O$19:$O$4018,0)))</f>
        <v/>
      </c>
      <c r="C646" s="22">
        <f>IF(A646="","",B646/AVERAGE(B522:B646)-1)</f>
        <v/>
      </c>
      <c r="D646" s="29">
        <f>IF(A646="","",IFERROR(INDEX('자료_미국심리'!$E$3:$E$4002,MATCH(A646,$P$19:$P$4018,0)),D645))</f>
        <v/>
      </c>
      <c r="E646" s="29">
        <f>IF(A646="","",IFERROR(INDEX('자료_미국심리'!$H$3:$H$4002,MATCH(A646,$Q$19:$Q$4018,0)),E645))</f>
        <v/>
      </c>
      <c r="F646">
        <f>IF(A646="",0,IF(A646&gt;$B$5,1,0))</f>
        <v/>
      </c>
      <c r="G646" s="29">
        <f>IF(AND(F646=1,ISNUMBER(D646)),D646,"")</f>
        <v/>
      </c>
      <c r="H646" s="29">
        <f>IF(AND(F646=1,ISNUMBER(E646)),E646,"")</f>
        <v/>
      </c>
      <c r="I646" s="22">
        <f>IF(AND(F646=1,ISNUMBER(C646)),C646,"")</f>
        <v/>
      </c>
      <c r="J646" s="11">
        <f>IF(G646="","",100-IF($G$13=1,50,(_xlfn.RANK.AVG(G646,$G$19:$G$1518,1)-1)/($G$13-1)*100))</f>
        <v/>
      </c>
      <c r="K646" s="11">
        <f>IF(H646="","",100-IF($G$14=1,50,(_xlfn.RANK.AVG(H646,$H$19:$H$1518,1)-1)/($G$14-1)*100))</f>
        <v/>
      </c>
      <c r="L646" s="11">
        <f>IF(I646="","",IF($G$15=1,50,(_xlfn.RANK.AVG(I646,$I$19:$I$1518,1)-1)/($G$15-1)*100))</f>
        <v/>
      </c>
      <c r="M646" s="11">
        <f>IF(COUNT(J646:L646)=3,ROUND(AVERAGE(J646:L646),6),"")</f>
        <v/>
      </c>
      <c r="O646">
        <f>IF(AND(ISNUMBER('자료_미국심리'!$A630),ISNUMBER('자료_미국심리'!$B630)),'자료_미국심리'!$A630,"")</f>
        <v/>
      </c>
      <c r="P646">
        <f>IF(AND(ISNUMBER('자료_미국심리'!$D630),ISNUMBER('자료_미국심리'!$E630)),'자료_미국심리'!$D630,"")</f>
        <v/>
      </c>
      <c r="Q646">
        <f>IF(AND(ISNUMBER('자료_미국심리'!$G630),ISNUMBER('자료_미국심리'!$H630)),'자료_미국심리'!$G630,"")</f>
        <v/>
      </c>
    </row>
    <row r="647">
      <c r="A647" s="10">
        <f>IF(629&gt;$E$5,"",SMALL($O$19:$O$4018,$E$6+629))</f>
        <v/>
      </c>
      <c r="B647" s="29">
        <f>IF(A647="","",INDEX('자료_미국심리'!$B$3:$B$4002,MATCH(A647,$O$19:$O$4018,0)))</f>
        <v/>
      </c>
      <c r="C647" s="22">
        <f>IF(A647="","",B647/AVERAGE(B523:B647)-1)</f>
        <v/>
      </c>
      <c r="D647" s="29">
        <f>IF(A647="","",IFERROR(INDEX('자료_미국심리'!$E$3:$E$4002,MATCH(A647,$P$19:$P$4018,0)),D646))</f>
        <v/>
      </c>
      <c r="E647" s="29">
        <f>IF(A647="","",IFERROR(INDEX('자료_미국심리'!$H$3:$H$4002,MATCH(A647,$Q$19:$Q$4018,0)),E646))</f>
        <v/>
      </c>
      <c r="F647">
        <f>IF(A647="",0,IF(A647&gt;$B$5,1,0))</f>
        <v/>
      </c>
      <c r="G647" s="29">
        <f>IF(AND(F647=1,ISNUMBER(D647)),D647,"")</f>
        <v/>
      </c>
      <c r="H647" s="29">
        <f>IF(AND(F647=1,ISNUMBER(E647)),E647,"")</f>
        <v/>
      </c>
      <c r="I647" s="22">
        <f>IF(AND(F647=1,ISNUMBER(C647)),C647,"")</f>
        <v/>
      </c>
      <c r="J647" s="11">
        <f>IF(G647="","",100-IF($G$13=1,50,(_xlfn.RANK.AVG(G647,$G$19:$G$1518,1)-1)/($G$13-1)*100))</f>
        <v/>
      </c>
      <c r="K647" s="11">
        <f>IF(H647="","",100-IF($G$14=1,50,(_xlfn.RANK.AVG(H647,$H$19:$H$1518,1)-1)/($G$14-1)*100))</f>
        <v/>
      </c>
      <c r="L647" s="11">
        <f>IF(I647="","",IF($G$15=1,50,(_xlfn.RANK.AVG(I647,$I$19:$I$1518,1)-1)/($G$15-1)*100))</f>
        <v/>
      </c>
      <c r="M647" s="11">
        <f>IF(COUNT(J647:L647)=3,ROUND(AVERAGE(J647:L647),6),"")</f>
        <v/>
      </c>
      <c r="O647">
        <f>IF(AND(ISNUMBER('자료_미국심리'!$A631),ISNUMBER('자료_미국심리'!$B631)),'자료_미국심리'!$A631,"")</f>
        <v/>
      </c>
      <c r="P647">
        <f>IF(AND(ISNUMBER('자료_미국심리'!$D631),ISNUMBER('자료_미국심리'!$E631)),'자료_미국심리'!$D631,"")</f>
        <v/>
      </c>
      <c r="Q647">
        <f>IF(AND(ISNUMBER('자료_미국심리'!$G631),ISNUMBER('자료_미국심리'!$H631)),'자료_미국심리'!$G631,"")</f>
        <v/>
      </c>
    </row>
    <row r="648">
      <c r="A648" s="10">
        <f>IF(630&gt;$E$5,"",SMALL($O$19:$O$4018,$E$6+630))</f>
        <v/>
      </c>
      <c r="B648" s="29">
        <f>IF(A648="","",INDEX('자료_미국심리'!$B$3:$B$4002,MATCH(A648,$O$19:$O$4018,0)))</f>
        <v/>
      </c>
      <c r="C648" s="22">
        <f>IF(A648="","",B648/AVERAGE(B524:B648)-1)</f>
        <v/>
      </c>
      <c r="D648" s="29">
        <f>IF(A648="","",IFERROR(INDEX('자료_미국심리'!$E$3:$E$4002,MATCH(A648,$P$19:$P$4018,0)),D647))</f>
        <v/>
      </c>
      <c r="E648" s="29">
        <f>IF(A648="","",IFERROR(INDEX('자료_미국심리'!$H$3:$H$4002,MATCH(A648,$Q$19:$Q$4018,0)),E647))</f>
        <v/>
      </c>
      <c r="F648">
        <f>IF(A648="",0,IF(A648&gt;$B$5,1,0))</f>
        <v/>
      </c>
      <c r="G648" s="29">
        <f>IF(AND(F648=1,ISNUMBER(D648)),D648,"")</f>
        <v/>
      </c>
      <c r="H648" s="29">
        <f>IF(AND(F648=1,ISNUMBER(E648)),E648,"")</f>
        <v/>
      </c>
      <c r="I648" s="22">
        <f>IF(AND(F648=1,ISNUMBER(C648)),C648,"")</f>
        <v/>
      </c>
      <c r="J648" s="11">
        <f>IF(G648="","",100-IF($G$13=1,50,(_xlfn.RANK.AVG(G648,$G$19:$G$1518,1)-1)/($G$13-1)*100))</f>
        <v/>
      </c>
      <c r="K648" s="11">
        <f>IF(H648="","",100-IF($G$14=1,50,(_xlfn.RANK.AVG(H648,$H$19:$H$1518,1)-1)/($G$14-1)*100))</f>
        <v/>
      </c>
      <c r="L648" s="11">
        <f>IF(I648="","",IF($G$15=1,50,(_xlfn.RANK.AVG(I648,$I$19:$I$1518,1)-1)/($G$15-1)*100))</f>
        <v/>
      </c>
      <c r="M648" s="11">
        <f>IF(COUNT(J648:L648)=3,ROUND(AVERAGE(J648:L648),6),"")</f>
        <v/>
      </c>
      <c r="O648">
        <f>IF(AND(ISNUMBER('자료_미국심리'!$A632),ISNUMBER('자료_미국심리'!$B632)),'자료_미국심리'!$A632,"")</f>
        <v/>
      </c>
      <c r="P648">
        <f>IF(AND(ISNUMBER('자료_미국심리'!$D632),ISNUMBER('자료_미국심리'!$E632)),'자료_미국심리'!$D632,"")</f>
        <v/>
      </c>
      <c r="Q648">
        <f>IF(AND(ISNUMBER('자료_미국심리'!$G632),ISNUMBER('자료_미국심리'!$H632)),'자료_미국심리'!$G632,"")</f>
        <v/>
      </c>
    </row>
    <row r="649">
      <c r="A649" s="10">
        <f>IF(631&gt;$E$5,"",SMALL($O$19:$O$4018,$E$6+631))</f>
        <v/>
      </c>
      <c r="B649" s="29">
        <f>IF(A649="","",INDEX('자료_미국심리'!$B$3:$B$4002,MATCH(A649,$O$19:$O$4018,0)))</f>
        <v/>
      </c>
      <c r="C649" s="22">
        <f>IF(A649="","",B649/AVERAGE(B525:B649)-1)</f>
        <v/>
      </c>
      <c r="D649" s="29">
        <f>IF(A649="","",IFERROR(INDEX('자료_미국심리'!$E$3:$E$4002,MATCH(A649,$P$19:$P$4018,0)),D648))</f>
        <v/>
      </c>
      <c r="E649" s="29">
        <f>IF(A649="","",IFERROR(INDEX('자료_미국심리'!$H$3:$H$4002,MATCH(A649,$Q$19:$Q$4018,0)),E648))</f>
        <v/>
      </c>
      <c r="F649">
        <f>IF(A649="",0,IF(A649&gt;$B$5,1,0))</f>
        <v/>
      </c>
      <c r="G649" s="29">
        <f>IF(AND(F649=1,ISNUMBER(D649)),D649,"")</f>
        <v/>
      </c>
      <c r="H649" s="29">
        <f>IF(AND(F649=1,ISNUMBER(E649)),E649,"")</f>
        <v/>
      </c>
      <c r="I649" s="22">
        <f>IF(AND(F649=1,ISNUMBER(C649)),C649,"")</f>
        <v/>
      </c>
      <c r="J649" s="11">
        <f>IF(G649="","",100-IF($G$13=1,50,(_xlfn.RANK.AVG(G649,$G$19:$G$1518,1)-1)/($G$13-1)*100))</f>
        <v/>
      </c>
      <c r="K649" s="11">
        <f>IF(H649="","",100-IF($G$14=1,50,(_xlfn.RANK.AVG(H649,$H$19:$H$1518,1)-1)/($G$14-1)*100))</f>
        <v/>
      </c>
      <c r="L649" s="11">
        <f>IF(I649="","",IF($G$15=1,50,(_xlfn.RANK.AVG(I649,$I$19:$I$1518,1)-1)/($G$15-1)*100))</f>
        <v/>
      </c>
      <c r="M649" s="11">
        <f>IF(COUNT(J649:L649)=3,ROUND(AVERAGE(J649:L649),6),"")</f>
        <v/>
      </c>
      <c r="O649">
        <f>IF(AND(ISNUMBER('자료_미국심리'!$A633),ISNUMBER('자료_미국심리'!$B633)),'자료_미국심리'!$A633,"")</f>
        <v/>
      </c>
      <c r="P649">
        <f>IF(AND(ISNUMBER('자료_미국심리'!$D633),ISNUMBER('자료_미국심리'!$E633)),'자료_미국심리'!$D633,"")</f>
        <v/>
      </c>
      <c r="Q649">
        <f>IF(AND(ISNUMBER('자료_미국심리'!$G633),ISNUMBER('자료_미국심리'!$H633)),'자료_미국심리'!$G633,"")</f>
        <v/>
      </c>
    </row>
    <row r="650">
      <c r="A650" s="10">
        <f>IF(632&gt;$E$5,"",SMALL($O$19:$O$4018,$E$6+632))</f>
        <v/>
      </c>
      <c r="B650" s="29">
        <f>IF(A650="","",INDEX('자료_미국심리'!$B$3:$B$4002,MATCH(A650,$O$19:$O$4018,0)))</f>
        <v/>
      </c>
      <c r="C650" s="22">
        <f>IF(A650="","",B650/AVERAGE(B526:B650)-1)</f>
        <v/>
      </c>
      <c r="D650" s="29">
        <f>IF(A650="","",IFERROR(INDEX('자료_미국심리'!$E$3:$E$4002,MATCH(A650,$P$19:$P$4018,0)),D649))</f>
        <v/>
      </c>
      <c r="E650" s="29">
        <f>IF(A650="","",IFERROR(INDEX('자료_미국심리'!$H$3:$H$4002,MATCH(A650,$Q$19:$Q$4018,0)),E649))</f>
        <v/>
      </c>
      <c r="F650">
        <f>IF(A650="",0,IF(A650&gt;$B$5,1,0))</f>
        <v/>
      </c>
      <c r="G650" s="29">
        <f>IF(AND(F650=1,ISNUMBER(D650)),D650,"")</f>
        <v/>
      </c>
      <c r="H650" s="29">
        <f>IF(AND(F650=1,ISNUMBER(E650)),E650,"")</f>
        <v/>
      </c>
      <c r="I650" s="22">
        <f>IF(AND(F650=1,ISNUMBER(C650)),C650,"")</f>
        <v/>
      </c>
      <c r="J650" s="11">
        <f>IF(G650="","",100-IF($G$13=1,50,(_xlfn.RANK.AVG(G650,$G$19:$G$1518,1)-1)/($G$13-1)*100))</f>
        <v/>
      </c>
      <c r="K650" s="11">
        <f>IF(H650="","",100-IF($G$14=1,50,(_xlfn.RANK.AVG(H650,$H$19:$H$1518,1)-1)/($G$14-1)*100))</f>
        <v/>
      </c>
      <c r="L650" s="11">
        <f>IF(I650="","",IF($G$15=1,50,(_xlfn.RANK.AVG(I650,$I$19:$I$1518,1)-1)/($G$15-1)*100))</f>
        <v/>
      </c>
      <c r="M650" s="11">
        <f>IF(COUNT(J650:L650)=3,ROUND(AVERAGE(J650:L650),6),"")</f>
        <v/>
      </c>
      <c r="O650">
        <f>IF(AND(ISNUMBER('자료_미국심리'!$A634),ISNUMBER('자료_미국심리'!$B634)),'자료_미국심리'!$A634,"")</f>
        <v/>
      </c>
      <c r="P650">
        <f>IF(AND(ISNUMBER('자료_미국심리'!$D634),ISNUMBER('자료_미국심리'!$E634)),'자료_미국심리'!$D634,"")</f>
        <v/>
      </c>
      <c r="Q650">
        <f>IF(AND(ISNUMBER('자료_미국심리'!$G634),ISNUMBER('자료_미국심리'!$H634)),'자료_미국심리'!$G634,"")</f>
        <v/>
      </c>
    </row>
    <row r="651">
      <c r="A651" s="10">
        <f>IF(633&gt;$E$5,"",SMALL($O$19:$O$4018,$E$6+633))</f>
        <v/>
      </c>
      <c r="B651" s="29">
        <f>IF(A651="","",INDEX('자료_미국심리'!$B$3:$B$4002,MATCH(A651,$O$19:$O$4018,0)))</f>
        <v/>
      </c>
      <c r="C651" s="22">
        <f>IF(A651="","",B651/AVERAGE(B527:B651)-1)</f>
        <v/>
      </c>
      <c r="D651" s="29">
        <f>IF(A651="","",IFERROR(INDEX('자료_미국심리'!$E$3:$E$4002,MATCH(A651,$P$19:$P$4018,0)),D650))</f>
        <v/>
      </c>
      <c r="E651" s="29">
        <f>IF(A651="","",IFERROR(INDEX('자료_미국심리'!$H$3:$H$4002,MATCH(A651,$Q$19:$Q$4018,0)),E650))</f>
        <v/>
      </c>
      <c r="F651">
        <f>IF(A651="",0,IF(A651&gt;$B$5,1,0))</f>
        <v/>
      </c>
      <c r="G651" s="29">
        <f>IF(AND(F651=1,ISNUMBER(D651)),D651,"")</f>
        <v/>
      </c>
      <c r="H651" s="29">
        <f>IF(AND(F651=1,ISNUMBER(E651)),E651,"")</f>
        <v/>
      </c>
      <c r="I651" s="22">
        <f>IF(AND(F651=1,ISNUMBER(C651)),C651,"")</f>
        <v/>
      </c>
      <c r="J651" s="11">
        <f>IF(G651="","",100-IF($G$13=1,50,(_xlfn.RANK.AVG(G651,$G$19:$G$1518,1)-1)/($G$13-1)*100))</f>
        <v/>
      </c>
      <c r="K651" s="11">
        <f>IF(H651="","",100-IF($G$14=1,50,(_xlfn.RANK.AVG(H651,$H$19:$H$1518,1)-1)/($G$14-1)*100))</f>
        <v/>
      </c>
      <c r="L651" s="11">
        <f>IF(I651="","",IF($G$15=1,50,(_xlfn.RANK.AVG(I651,$I$19:$I$1518,1)-1)/($G$15-1)*100))</f>
        <v/>
      </c>
      <c r="M651" s="11">
        <f>IF(COUNT(J651:L651)=3,ROUND(AVERAGE(J651:L651),6),"")</f>
        <v/>
      </c>
      <c r="O651">
        <f>IF(AND(ISNUMBER('자료_미국심리'!$A635),ISNUMBER('자료_미국심리'!$B635)),'자료_미국심리'!$A635,"")</f>
        <v/>
      </c>
      <c r="P651">
        <f>IF(AND(ISNUMBER('자료_미국심리'!$D635),ISNUMBER('자료_미국심리'!$E635)),'자료_미국심리'!$D635,"")</f>
        <v/>
      </c>
      <c r="Q651">
        <f>IF(AND(ISNUMBER('자료_미국심리'!$G635),ISNUMBER('자료_미국심리'!$H635)),'자료_미국심리'!$G635,"")</f>
        <v/>
      </c>
    </row>
    <row r="652">
      <c r="A652" s="10">
        <f>IF(634&gt;$E$5,"",SMALL($O$19:$O$4018,$E$6+634))</f>
        <v/>
      </c>
      <c r="B652" s="29">
        <f>IF(A652="","",INDEX('자료_미국심리'!$B$3:$B$4002,MATCH(A652,$O$19:$O$4018,0)))</f>
        <v/>
      </c>
      <c r="C652" s="22">
        <f>IF(A652="","",B652/AVERAGE(B528:B652)-1)</f>
        <v/>
      </c>
      <c r="D652" s="29">
        <f>IF(A652="","",IFERROR(INDEX('자료_미국심리'!$E$3:$E$4002,MATCH(A652,$P$19:$P$4018,0)),D651))</f>
        <v/>
      </c>
      <c r="E652" s="29">
        <f>IF(A652="","",IFERROR(INDEX('자료_미국심리'!$H$3:$H$4002,MATCH(A652,$Q$19:$Q$4018,0)),E651))</f>
        <v/>
      </c>
      <c r="F652">
        <f>IF(A652="",0,IF(A652&gt;$B$5,1,0))</f>
        <v/>
      </c>
      <c r="G652" s="29">
        <f>IF(AND(F652=1,ISNUMBER(D652)),D652,"")</f>
        <v/>
      </c>
      <c r="H652" s="29">
        <f>IF(AND(F652=1,ISNUMBER(E652)),E652,"")</f>
        <v/>
      </c>
      <c r="I652" s="22">
        <f>IF(AND(F652=1,ISNUMBER(C652)),C652,"")</f>
        <v/>
      </c>
      <c r="J652" s="11">
        <f>IF(G652="","",100-IF($G$13=1,50,(_xlfn.RANK.AVG(G652,$G$19:$G$1518,1)-1)/($G$13-1)*100))</f>
        <v/>
      </c>
      <c r="K652" s="11">
        <f>IF(H652="","",100-IF($G$14=1,50,(_xlfn.RANK.AVG(H652,$H$19:$H$1518,1)-1)/($G$14-1)*100))</f>
        <v/>
      </c>
      <c r="L652" s="11">
        <f>IF(I652="","",IF($G$15=1,50,(_xlfn.RANK.AVG(I652,$I$19:$I$1518,1)-1)/($G$15-1)*100))</f>
        <v/>
      </c>
      <c r="M652" s="11">
        <f>IF(COUNT(J652:L652)=3,ROUND(AVERAGE(J652:L652),6),"")</f>
        <v/>
      </c>
      <c r="O652">
        <f>IF(AND(ISNUMBER('자료_미국심리'!$A636),ISNUMBER('자료_미국심리'!$B636)),'자료_미국심리'!$A636,"")</f>
        <v/>
      </c>
      <c r="P652">
        <f>IF(AND(ISNUMBER('자료_미국심리'!$D636),ISNUMBER('자료_미국심리'!$E636)),'자료_미국심리'!$D636,"")</f>
        <v/>
      </c>
      <c r="Q652">
        <f>IF(AND(ISNUMBER('자료_미국심리'!$G636),ISNUMBER('자료_미국심리'!$H636)),'자료_미국심리'!$G636,"")</f>
        <v/>
      </c>
    </row>
    <row r="653">
      <c r="A653" s="10">
        <f>IF(635&gt;$E$5,"",SMALL($O$19:$O$4018,$E$6+635))</f>
        <v/>
      </c>
      <c r="B653" s="29">
        <f>IF(A653="","",INDEX('자료_미국심리'!$B$3:$B$4002,MATCH(A653,$O$19:$O$4018,0)))</f>
        <v/>
      </c>
      <c r="C653" s="22">
        <f>IF(A653="","",B653/AVERAGE(B529:B653)-1)</f>
        <v/>
      </c>
      <c r="D653" s="29">
        <f>IF(A653="","",IFERROR(INDEX('자료_미국심리'!$E$3:$E$4002,MATCH(A653,$P$19:$P$4018,0)),D652))</f>
        <v/>
      </c>
      <c r="E653" s="29">
        <f>IF(A653="","",IFERROR(INDEX('자료_미국심리'!$H$3:$H$4002,MATCH(A653,$Q$19:$Q$4018,0)),E652))</f>
        <v/>
      </c>
      <c r="F653">
        <f>IF(A653="",0,IF(A653&gt;$B$5,1,0))</f>
        <v/>
      </c>
      <c r="G653" s="29">
        <f>IF(AND(F653=1,ISNUMBER(D653)),D653,"")</f>
        <v/>
      </c>
      <c r="H653" s="29">
        <f>IF(AND(F653=1,ISNUMBER(E653)),E653,"")</f>
        <v/>
      </c>
      <c r="I653" s="22">
        <f>IF(AND(F653=1,ISNUMBER(C653)),C653,"")</f>
        <v/>
      </c>
      <c r="J653" s="11">
        <f>IF(G653="","",100-IF($G$13=1,50,(_xlfn.RANK.AVG(G653,$G$19:$G$1518,1)-1)/($G$13-1)*100))</f>
        <v/>
      </c>
      <c r="K653" s="11">
        <f>IF(H653="","",100-IF($G$14=1,50,(_xlfn.RANK.AVG(H653,$H$19:$H$1518,1)-1)/($G$14-1)*100))</f>
        <v/>
      </c>
      <c r="L653" s="11">
        <f>IF(I653="","",IF($G$15=1,50,(_xlfn.RANK.AVG(I653,$I$19:$I$1518,1)-1)/($G$15-1)*100))</f>
        <v/>
      </c>
      <c r="M653" s="11">
        <f>IF(COUNT(J653:L653)=3,ROUND(AVERAGE(J653:L653),6),"")</f>
        <v/>
      </c>
      <c r="O653">
        <f>IF(AND(ISNUMBER('자료_미국심리'!$A637),ISNUMBER('자료_미국심리'!$B637)),'자료_미국심리'!$A637,"")</f>
        <v/>
      </c>
      <c r="P653">
        <f>IF(AND(ISNUMBER('자료_미국심리'!$D637),ISNUMBER('자료_미국심리'!$E637)),'자료_미국심리'!$D637,"")</f>
        <v/>
      </c>
      <c r="Q653">
        <f>IF(AND(ISNUMBER('자료_미국심리'!$G637),ISNUMBER('자료_미국심리'!$H637)),'자료_미국심리'!$G637,"")</f>
        <v/>
      </c>
    </row>
    <row r="654">
      <c r="A654" s="10">
        <f>IF(636&gt;$E$5,"",SMALL($O$19:$O$4018,$E$6+636))</f>
        <v/>
      </c>
      <c r="B654" s="29">
        <f>IF(A654="","",INDEX('자료_미국심리'!$B$3:$B$4002,MATCH(A654,$O$19:$O$4018,0)))</f>
        <v/>
      </c>
      <c r="C654" s="22">
        <f>IF(A654="","",B654/AVERAGE(B530:B654)-1)</f>
        <v/>
      </c>
      <c r="D654" s="29">
        <f>IF(A654="","",IFERROR(INDEX('자료_미국심리'!$E$3:$E$4002,MATCH(A654,$P$19:$P$4018,0)),D653))</f>
        <v/>
      </c>
      <c r="E654" s="29">
        <f>IF(A654="","",IFERROR(INDEX('자료_미국심리'!$H$3:$H$4002,MATCH(A654,$Q$19:$Q$4018,0)),E653))</f>
        <v/>
      </c>
      <c r="F654">
        <f>IF(A654="",0,IF(A654&gt;$B$5,1,0))</f>
        <v/>
      </c>
      <c r="G654" s="29">
        <f>IF(AND(F654=1,ISNUMBER(D654)),D654,"")</f>
        <v/>
      </c>
      <c r="H654" s="29">
        <f>IF(AND(F654=1,ISNUMBER(E654)),E654,"")</f>
        <v/>
      </c>
      <c r="I654" s="22">
        <f>IF(AND(F654=1,ISNUMBER(C654)),C654,"")</f>
        <v/>
      </c>
      <c r="J654" s="11">
        <f>IF(G654="","",100-IF($G$13=1,50,(_xlfn.RANK.AVG(G654,$G$19:$G$1518,1)-1)/($G$13-1)*100))</f>
        <v/>
      </c>
      <c r="K654" s="11">
        <f>IF(H654="","",100-IF($G$14=1,50,(_xlfn.RANK.AVG(H654,$H$19:$H$1518,1)-1)/($G$14-1)*100))</f>
        <v/>
      </c>
      <c r="L654" s="11">
        <f>IF(I654="","",IF($G$15=1,50,(_xlfn.RANK.AVG(I654,$I$19:$I$1518,1)-1)/($G$15-1)*100))</f>
        <v/>
      </c>
      <c r="M654" s="11">
        <f>IF(COUNT(J654:L654)=3,ROUND(AVERAGE(J654:L654),6),"")</f>
        <v/>
      </c>
      <c r="O654">
        <f>IF(AND(ISNUMBER('자료_미국심리'!$A638),ISNUMBER('자료_미국심리'!$B638)),'자료_미국심리'!$A638,"")</f>
        <v/>
      </c>
      <c r="P654">
        <f>IF(AND(ISNUMBER('자료_미국심리'!$D638),ISNUMBER('자료_미국심리'!$E638)),'자료_미국심리'!$D638,"")</f>
        <v/>
      </c>
      <c r="Q654">
        <f>IF(AND(ISNUMBER('자료_미국심리'!$G638),ISNUMBER('자료_미국심리'!$H638)),'자료_미국심리'!$G638,"")</f>
        <v/>
      </c>
    </row>
    <row r="655">
      <c r="A655" s="10">
        <f>IF(637&gt;$E$5,"",SMALL($O$19:$O$4018,$E$6+637))</f>
        <v/>
      </c>
      <c r="B655" s="29">
        <f>IF(A655="","",INDEX('자료_미국심리'!$B$3:$B$4002,MATCH(A655,$O$19:$O$4018,0)))</f>
        <v/>
      </c>
      <c r="C655" s="22">
        <f>IF(A655="","",B655/AVERAGE(B531:B655)-1)</f>
        <v/>
      </c>
      <c r="D655" s="29">
        <f>IF(A655="","",IFERROR(INDEX('자료_미국심리'!$E$3:$E$4002,MATCH(A655,$P$19:$P$4018,0)),D654))</f>
        <v/>
      </c>
      <c r="E655" s="29">
        <f>IF(A655="","",IFERROR(INDEX('자료_미국심리'!$H$3:$H$4002,MATCH(A655,$Q$19:$Q$4018,0)),E654))</f>
        <v/>
      </c>
      <c r="F655">
        <f>IF(A655="",0,IF(A655&gt;$B$5,1,0))</f>
        <v/>
      </c>
      <c r="G655" s="29">
        <f>IF(AND(F655=1,ISNUMBER(D655)),D655,"")</f>
        <v/>
      </c>
      <c r="H655" s="29">
        <f>IF(AND(F655=1,ISNUMBER(E655)),E655,"")</f>
        <v/>
      </c>
      <c r="I655" s="22">
        <f>IF(AND(F655=1,ISNUMBER(C655)),C655,"")</f>
        <v/>
      </c>
      <c r="J655" s="11">
        <f>IF(G655="","",100-IF($G$13=1,50,(_xlfn.RANK.AVG(G655,$G$19:$G$1518,1)-1)/($G$13-1)*100))</f>
        <v/>
      </c>
      <c r="K655" s="11">
        <f>IF(H655="","",100-IF($G$14=1,50,(_xlfn.RANK.AVG(H655,$H$19:$H$1518,1)-1)/($G$14-1)*100))</f>
        <v/>
      </c>
      <c r="L655" s="11">
        <f>IF(I655="","",IF($G$15=1,50,(_xlfn.RANK.AVG(I655,$I$19:$I$1518,1)-1)/($G$15-1)*100))</f>
        <v/>
      </c>
      <c r="M655" s="11">
        <f>IF(COUNT(J655:L655)=3,ROUND(AVERAGE(J655:L655),6),"")</f>
        <v/>
      </c>
      <c r="O655">
        <f>IF(AND(ISNUMBER('자료_미국심리'!$A639),ISNUMBER('자료_미국심리'!$B639)),'자료_미국심리'!$A639,"")</f>
        <v/>
      </c>
      <c r="P655">
        <f>IF(AND(ISNUMBER('자료_미국심리'!$D639),ISNUMBER('자료_미국심리'!$E639)),'자료_미국심리'!$D639,"")</f>
        <v/>
      </c>
      <c r="Q655">
        <f>IF(AND(ISNUMBER('자료_미국심리'!$G639),ISNUMBER('자료_미국심리'!$H639)),'자료_미국심리'!$G639,"")</f>
        <v/>
      </c>
    </row>
    <row r="656">
      <c r="A656" s="10">
        <f>IF(638&gt;$E$5,"",SMALL($O$19:$O$4018,$E$6+638))</f>
        <v/>
      </c>
      <c r="B656" s="29">
        <f>IF(A656="","",INDEX('자료_미국심리'!$B$3:$B$4002,MATCH(A656,$O$19:$O$4018,0)))</f>
        <v/>
      </c>
      <c r="C656" s="22">
        <f>IF(A656="","",B656/AVERAGE(B532:B656)-1)</f>
        <v/>
      </c>
      <c r="D656" s="29">
        <f>IF(A656="","",IFERROR(INDEX('자료_미국심리'!$E$3:$E$4002,MATCH(A656,$P$19:$P$4018,0)),D655))</f>
        <v/>
      </c>
      <c r="E656" s="29">
        <f>IF(A656="","",IFERROR(INDEX('자료_미국심리'!$H$3:$H$4002,MATCH(A656,$Q$19:$Q$4018,0)),E655))</f>
        <v/>
      </c>
      <c r="F656">
        <f>IF(A656="",0,IF(A656&gt;$B$5,1,0))</f>
        <v/>
      </c>
      <c r="G656" s="29">
        <f>IF(AND(F656=1,ISNUMBER(D656)),D656,"")</f>
        <v/>
      </c>
      <c r="H656" s="29">
        <f>IF(AND(F656=1,ISNUMBER(E656)),E656,"")</f>
        <v/>
      </c>
      <c r="I656" s="22">
        <f>IF(AND(F656=1,ISNUMBER(C656)),C656,"")</f>
        <v/>
      </c>
      <c r="J656" s="11">
        <f>IF(G656="","",100-IF($G$13=1,50,(_xlfn.RANK.AVG(G656,$G$19:$G$1518,1)-1)/($G$13-1)*100))</f>
        <v/>
      </c>
      <c r="K656" s="11">
        <f>IF(H656="","",100-IF($G$14=1,50,(_xlfn.RANK.AVG(H656,$H$19:$H$1518,1)-1)/($G$14-1)*100))</f>
        <v/>
      </c>
      <c r="L656" s="11">
        <f>IF(I656="","",IF($G$15=1,50,(_xlfn.RANK.AVG(I656,$I$19:$I$1518,1)-1)/($G$15-1)*100))</f>
        <v/>
      </c>
      <c r="M656" s="11">
        <f>IF(COUNT(J656:L656)=3,ROUND(AVERAGE(J656:L656),6),"")</f>
        <v/>
      </c>
      <c r="O656">
        <f>IF(AND(ISNUMBER('자료_미국심리'!$A640),ISNUMBER('자료_미국심리'!$B640)),'자료_미국심리'!$A640,"")</f>
        <v/>
      </c>
      <c r="P656">
        <f>IF(AND(ISNUMBER('자료_미국심리'!$D640),ISNUMBER('자료_미국심리'!$E640)),'자료_미국심리'!$D640,"")</f>
        <v/>
      </c>
      <c r="Q656">
        <f>IF(AND(ISNUMBER('자료_미국심리'!$G640),ISNUMBER('자료_미국심리'!$H640)),'자료_미국심리'!$G640,"")</f>
        <v/>
      </c>
    </row>
    <row r="657">
      <c r="A657" s="10">
        <f>IF(639&gt;$E$5,"",SMALL($O$19:$O$4018,$E$6+639))</f>
        <v/>
      </c>
      <c r="B657" s="29">
        <f>IF(A657="","",INDEX('자료_미국심리'!$B$3:$B$4002,MATCH(A657,$O$19:$O$4018,0)))</f>
        <v/>
      </c>
      <c r="C657" s="22">
        <f>IF(A657="","",B657/AVERAGE(B533:B657)-1)</f>
        <v/>
      </c>
      <c r="D657" s="29">
        <f>IF(A657="","",IFERROR(INDEX('자료_미국심리'!$E$3:$E$4002,MATCH(A657,$P$19:$P$4018,0)),D656))</f>
        <v/>
      </c>
      <c r="E657" s="29">
        <f>IF(A657="","",IFERROR(INDEX('자료_미국심리'!$H$3:$H$4002,MATCH(A657,$Q$19:$Q$4018,0)),E656))</f>
        <v/>
      </c>
      <c r="F657">
        <f>IF(A657="",0,IF(A657&gt;$B$5,1,0))</f>
        <v/>
      </c>
      <c r="G657" s="29">
        <f>IF(AND(F657=1,ISNUMBER(D657)),D657,"")</f>
        <v/>
      </c>
      <c r="H657" s="29">
        <f>IF(AND(F657=1,ISNUMBER(E657)),E657,"")</f>
        <v/>
      </c>
      <c r="I657" s="22">
        <f>IF(AND(F657=1,ISNUMBER(C657)),C657,"")</f>
        <v/>
      </c>
      <c r="J657" s="11">
        <f>IF(G657="","",100-IF($G$13=1,50,(_xlfn.RANK.AVG(G657,$G$19:$G$1518,1)-1)/($G$13-1)*100))</f>
        <v/>
      </c>
      <c r="K657" s="11">
        <f>IF(H657="","",100-IF($G$14=1,50,(_xlfn.RANK.AVG(H657,$H$19:$H$1518,1)-1)/($G$14-1)*100))</f>
        <v/>
      </c>
      <c r="L657" s="11">
        <f>IF(I657="","",IF($G$15=1,50,(_xlfn.RANK.AVG(I657,$I$19:$I$1518,1)-1)/($G$15-1)*100))</f>
        <v/>
      </c>
      <c r="M657" s="11">
        <f>IF(COUNT(J657:L657)=3,ROUND(AVERAGE(J657:L657),6),"")</f>
        <v/>
      </c>
      <c r="O657">
        <f>IF(AND(ISNUMBER('자료_미국심리'!$A641),ISNUMBER('자료_미국심리'!$B641)),'자료_미국심리'!$A641,"")</f>
        <v/>
      </c>
      <c r="P657">
        <f>IF(AND(ISNUMBER('자료_미국심리'!$D641),ISNUMBER('자료_미국심리'!$E641)),'자료_미국심리'!$D641,"")</f>
        <v/>
      </c>
      <c r="Q657">
        <f>IF(AND(ISNUMBER('자료_미국심리'!$G641),ISNUMBER('자료_미국심리'!$H641)),'자료_미국심리'!$G641,"")</f>
        <v/>
      </c>
    </row>
    <row r="658">
      <c r="A658" s="10">
        <f>IF(640&gt;$E$5,"",SMALL($O$19:$O$4018,$E$6+640))</f>
        <v/>
      </c>
      <c r="B658" s="29">
        <f>IF(A658="","",INDEX('자료_미국심리'!$B$3:$B$4002,MATCH(A658,$O$19:$O$4018,0)))</f>
        <v/>
      </c>
      <c r="C658" s="22">
        <f>IF(A658="","",B658/AVERAGE(B534:B658)-1)</f>
        <v/>
      </c>
      <c r="D658" s="29">
        <f>IF(A658="","",IFERROR(INDEX('자료_미국심리'!$E$3:$E$4002,MATCH(A658,$P$19:$P$4018,0)),D657))</f>
        <v/>
      </c>
      <c r="E658" s="29">
        <f>IF(A658="","",IFERROR(INDEX('자료_미국심리'!$H$3:$H$4002,MATCH(A658,$Q$19:$Q$4018,0)),E657))</f>
        <v/>
      </c>
      <c r="F658">
        <f>IF(A658="",0,IF(A658&gt;$B$5,1,0))</f>
        <v/>
      </c>
      <c r="G658" s="29">
        <f>IF(AND(F658=1,ISNUMBER(D658)),D658,"")</f>
        <v/>
      </c>
      <c r="H658" s="29">
        <f>IF(AND(F658=1,ISNUMBER(E658)),E658,"")</f>
        <v/>
      </c>
      <c r="I658" s="22">
        <f>IF(AND(F658=1,ISNUMBER(C658)),C658,"")</f>
        <v/>
      </c>
      <c r="J658" s="11">
        <f>IF(G658="","",100-IF($G$13=1,50,(_xlfn.RANK.AVG(G658,$G$19:$G$1518,1)-1)/($G$13-1)*100))</f>
        <v/>
      </c>
      <c r="K658" s="11">
        <f>IF(H658="","",100-IF($G$14=1,50,(_xlfn.RANK.AVG(H658,$H$19:$H$1518,1)-1)/($G$14-1)*100))</f>
        <v/>
      </c>
      <c r="L658" s="11">
        <f>IF(I658="","",IF($G$15=1,50,(_xlfn.RANK.AVG(I658,$I$19:$I$1518,1)-1)/($G$15-1)*100))</f>
        <v/>
      </c>
      <c r="M658" s="11">
        <f>IF(COUNT(J658:L658)=3,ROUND(AVERAGE(J658:L658),6),"")</f>
        <v/>
      </c>
      <c r="O658">
        <f>IF(AND(ISNUMBER('자료_미국심리'!$A642),ISNUMBER('자료_미국심리'!$B642)),'자료_미국심리'!$A642,"")</f>
        <v/>
      </c>
      <c r="P658">
        <f>IF(AND(ISNUMBER('자료_미국심리'!$D642),ISNUMBER('자료_미국심리'!$E642)),'자료_미국심리'!$D642,"")</f>
        <v/>
      </c>
      <c r="Q658">
        <f>IF(AND(ISNUMBER('자료_미국심리'!$G642),ISNUMBER('자료_미국심리'!$H642)),'자료_미국심리'!$G642,"")</f>
        <v/>
      </c>
    </row>
    <row r="659">
      <c r="A659" s="10">
        <f>IF(641&gt;$E$5,"",SMALL($O$19:$O$4018,$E$6+641))</f>
        <v/>
      </c>
      <c r="B659" s="29">
        <f>IF(A659="","",INDEX('자료_미국심리'!$B$3:$B$4002,MATCH(A659,$O$19:$O$4018,0)))</f>
        <v/>
      </c>
      <c r="C659" s="22">
        <f>IF(A659="","",B659/AVERAGE(B535:B659)-1)</f>
        <v/>
      </c>
      <c r="D659" s="29">
        <f>IF(A659="","",IFERROR(INDEX('자료_미국심리'!$E$3:$E$4002,MATCH(A659,$P$19:$P$4018,0)),D658))</f>
        <v/>
      </c>
      <c r="E659" s="29">
        <f>IF(A659="","",IFERROR(INDEX('자료_미국심리'!$H$3:$H$4002,MATCH(A659,$Q$19:$Q$4018,0)),E658))</f>
        <v/>
      </c>
      <c r="F659">
        <f>IF(A659="",0,IF(A659&gt;$B$5,1,0))</f>
        <v/>
      </c>
      <c r="G659" s="29">
        <f>IF(AND(F659=1,ISNUMBER(D659)),D659,"")</f>
        <v/>
      </c>
      <c r="H659" s="29">
        <f>IF(AND(F659=1,ISNUMBER(E659)),E659,"")</f>
        <v/>
      </c>
      <c r="I659" s="22">
        <f>IF(AND(F659=1,ISNUMBER(C659)),C659,"")</f>
        <v/>
      </c>
      <c r="J659" s="11">
        <f>IF(G659="","",100-IF($G$13=1,50,(_xlfn.RANK.AVG(G659,$G$19:$G$1518,1)-1)/($G$13-1)*100))</f>
        <v/>
      </c>
      <c r="K659" s="11">
        <f>IF(H659="","",100-IF($G$14=1,50,(_xlfn.RANK.AVG(H659,$H$19:$H$1518,1)-1)/($G$14-1)*100))</f>
        <v/>
      </c>
      <c r="L659" s="11">
        <f>IF(I659="","",IF($G$15=1,50,(_xlfn.RANK.AVG(I659,$I$19:$I$1518,1)-1)/($G$15-1)*100))</f>
        <v/>
      </c>
      <c r="M659" s="11">
        <f>IF(COUNT(J659:L659)=3,ROUND(AVERAGE(J659:L659),6),"")</f>
        <v/>
      </c>
      <c r="O659">
        <f>IF(AND(ISNUMBER('자료_미국심리'!$A643),ISNUMBER('자료_미국심리'!$B643)),'자료_미국심리'!$A643,"")</f>
        <v/>
      </c>
      <c r="P659">
        <f>IF(AND(ISNUMBER('자료_미국심리'!$D643),ISNUMBER('자료_미국심리'!$E643)),'자료_미국심리'!$D643,"")</f>
        <v/>
      </c>
      <c r="Q659">
        <f>IF(AND(ISNUMBER('자료_미국심리'!$G643),ISNUMBER('자료_미국심리'!$H643)),'자료_미국심리'!$G643,"")</f>
        <v/>
      </c>
    </row>
    <row r="660">
      <c r="A660" s="10">
        <f>IF(642&gt;$E$5,"",SMALL($O$19:$O$4018,$E$6+642))</f>
        <v/>
      </c>
      <c r="B660" s="29">
        <f>IF(A660="","",INDEX('자료_미국심리'!$B$3:$B$4002,MATCH(A660,$O$19:$O$4018,0)))</f>
        <v/>
      </c>
      <c r="C660" s="22">
        <f>IF(A660="","",B660/AVERAGE(B536:B660)-1)</f>
        <v/>
      </c>
      <c r="D660" s="29">
        <f>IF(A660="","",IFERROR(INDEX('자료_미국심리'!$E$3:$E$4002,MATCH(A660,$P$19:$P$4018,0)),D659))</f>
        <v/>
      </c>
      <c r="E660" s="29">
        <f>IF(A660="","",IFERROR(INDEX('자료_미국심리'!$H$3:$H$4002,MATCH(A660,$Q$19:$Q$4018,0)),E659))</f>
        <v/>
      </c>
      <c r="F660">
        <f>IF(A660="",0,IF(A660&gt;$B$5,1,0))</f>
        <v/>
      </c>
      <c r="G660" s="29">
        <f>IF(AND(F660=1,ISNUMBER(D660)),D660,"")</f>
        <v/>
      </c>
      <c r="H660" s="29">
        <f>IF(AND(F660=1,ISNUMBER(E660)),E660,"")</f>
        <v/>
      </c>
      <c r="I660" s="22">
        <f>IF(AND(F660=1,ISNUMBER(C660)),C660,"")</f>
        <v/>
      </c>
      <c r="J660" s="11">
        <f>IF(G660="","",100-IF($G$13=1,50,(_xlfn.RANK.AVG(G660,$G$19:$G$1518,1)-1)/($G$13-1)*100))</f>
        <v/>
      </c>
      <c r="K660" s="11">
        <f>IF(H660="","",100-IF($G$14=1,50,(_xlfn.RANK.AVG(H660,$H$19:$H$1518,1)-1)/($G$14-1)*100))</f>
        <v/>
      </c>
      <c r="L660" s="11">
        <f>IF(I660="","",IF($G$15=1,50,(_xlfn.RANK.AVG(I660,$I$19:$I$1518,1)-1)/($G$15-1)*100))</f>
        <v/>
      </c>
      <c r="M660" s="11">
        <f>IF(COUNT(J660:L660)=3,ROUND(AVERAGE(J660:L660),6),"")</f>
        <v/>
      </c>
      <c r="O660">
        <f>IF(AND(ISNUMBER('자료_미국심리'!$A644),ISNUMBER('자료_미국심리'!$B644)),'자료_미국심리'!$A644,"")</f>
        <v/>
      </c>
      <c r="P660">
        <f>IF(AND(ISNUMBER('자료_미국심리'!$D644),ISNUMBER('자료_미국심리'!$E644)),'자료_미국심리'!$D644,"")</f>
        <v/>
      </c>
      <c r="Q660">
        <f>IF(AND(ISNUMBER('자료_미국심리'!$G644),ISNUMBER('자료_미국심리'!$H644)),'자료_미국심리'!$G644,"")</f>
        <v/>
      </c>
    </row>
    <row r="661">
      <c r="A661" s="10">
        <f>IF(643&gt;$E$5,"",SMALL($O$19:$O$4018,$E$6+643))</f>
        <v/>
      </c>
      <c r="B661" s="29">
        <f>IF(A661="","",INDEX('자료_미국심리'!$B$3:$B$4002,MATCH(A661,$O$19:$O$4018,0)))</f>
        <v/>
      </c>
      <c r="C661" s="22">
        <f>IF(A661="","",B661/AVERAGE(B537:B661)-1)</f>
        <v/>
      </c>
      <c r="D661" s="29">
        <f>IF(A661="","",IFERROR(INDEX('자료_미국심리'!$E$3:$E$4002,MATCH(A661,$P$19:$P$4018,0)),D660))</f>
        <v/>
      </c>
      <c r="E661" s="29">
        <f>IF(A661="","",IFERROR(INDEX('자료_미국심리'!$H$3:$H$4002,MATCH(A661,$Q$19:$Q$4018,0)),E660))</f>
        <v/>
      </c>
      <c r="F661">
        <f>IF(A661="",0,IF(A661&gt;$B$5,1,0))</f>
        <v/>
      </c>
      <c r="G661" s="29">
        <f>IF(AND(F661=1,ISNUMBER(D661)),D661,"")</f>
        <v/>
      </c>
      <c r="H661" s="29">
        <f>IF(AND(F661=1,ISNUMBER(E661)),E661,"")</f>
        <v/>
      </c>
      <c r="I661" s="22">
        <f>IF(AND(F661=1,ISNUMBER(C661)),C661,"")</f>
        <v/>
      </c>
      <c r="J661" s="11">
        <f>IF(G661="","",100-IF($G$13=1,50,(_xlfn.RANK.AVG(G661,$G$19:$G$1518,1)-1)/($G$13-1)*100))</f>
        <v/>
      </c>
      <c r="K661" s="11">
        <f>IF(H661="","",100-IF($G$14=1,50,(_xlfn.RANK.AVG(H661,$H$19:$H$1518,1)-1)/($G$14-1)*100))</f>
        <v/>
      </c>
      <c r="L661" s="11">
        <f>IF(I661="","",IF($G$15=1,50,(_xlfn.RANK.AVG(I661,$I$19:$I$1518,1)-1)/($G$15-1)*100))</f>
        <v/>
      </c>
      <c r="M661" s="11">
        <f>IF(COUNT(J661:L661)=3,ROUND(AVERAGE(J661:L661),6),"")</f>
        <v/>
      </c>
      <c r="O661">
        <f>IF(AND(ISNUMBER('자료_미국심리'!$A645),ISNUMBER('자료_미국심리'!$B645)),'자료_미국심리'!$A645,"")</f>
        <v/>
      </c>
      <c r="P661">
        <f>IF(AND(ISNUMBER('자료_미국심리'!$D645),ISNUMBER('자료_미국심리'!$E645)),'자료_미국심리'!$D645,"")</f>
        <v/>
      </c>
      <c r="Q661">
        <f>IF(AND(ISNUMBER('자료_미국심리'!$G645),ISNUMBER('자료_미국심리'!$H645)),'자료_미국심리'!$G645,"")</f>
        <v/>
      </c>
    </row>
    <row r="662">
      <c r="A662" s="10">
        <f>IF(644&gt;$E$5,"",SMALL($O$19:$O$4018,$E$6+644))</f>
        <v/>
      </c>
      <c r="B662" s="29">
        <f>IF(A662="","",INDEX('자료_미국심리'!$B$3:$B$4002,MATCH(A662,$O$19:$O$4018,0)))</f>
        <v/>
      </c>
      <c r="C662" s="22">
        <f>IF(A662="","",B662/AVERAGE(B538:B662)-1)</f>
        <v/>
      </c>
      <c r="D662" s="29">
        <f>IF(A662="","",IFERROR(INDEX('자료_미국심리'!$E$3:$E$4002,MATCH(A662,$P$19:$P$4018,0)),D661))</f>
        <v/>
      </c>
      <c r="E662" s="29">
        <f>IF(A662="","",IFERROR(INDEX('자료_미국심리'!$H$3:$H$4002,MATCH(A662,$Q$19:$Q$4018,0)),E661))</f>
        <v/>
      </c>
      <c r="F662">
        <f>IF(A662="",0,IF(A662&gt;$B$5,1,0))</f>
        <v/>
      </c>
      <c r="G662" s="29">
        <f>IF(AND(F662=1,ISNUMBER(D662)),D662,"")</f>
        <v/>
      </c>
      <c r="H662" s="29">
        <f>IF(AND(F662=1,ISNUMBER(E662)),E662,"")</f>
        <v/>
      </c>
      <c r="I662" s="22">
        <f>IF(AND(F662=1,ISNUMBER(C662)),C662,"")</f>
        <v/>
      </c>
      <c r="J662" s="11">
        <f>IF(G662="","",100-IF($G$13=1,50,(_xlfn.RANK.AVG(G662,$G$19:$G$1518,1)-1)/($G$13-1)*100))</f>
        <v/>
      </c>
      <c r="K662" s="11">
        <f>IF(H662="","",100-IF($G$14=1,50,(_xlfn.RANK.AVG(H662,$H$19:$H$1518,1)-1)/($G$14-1)*100))</f>
        <v/>
      </c>
      <c r="L662" s="11">
        <f>IF(I662="","",IF($G$15=1,50,(_xlfn.RANK.AVG(I662,$I$19:$I$1518,1)-1)/($G$15-1)*100))</f>
        <v/>
      </c>
      <c r="M662" s="11">
        <f>IF(COUNT(J662:L662)=3,ROUND(AVERAGE(J662:L662),6),"")</f>
        <v/>
      </c>
      <c r="O662">
        <f>IF(AND(ISNUMBER('자료_미국심리'!$A646),ISNUMBER('자료_미국심리'!$B646)),'자료_미국심리'!$A646,"")</f>
        <v/>
      </c>
      <c r="P662">
        <f>IF(AND(ISNUMBER('자료_미국심리'!$D646),ISNUMBER('자료_미국심리'!$E646)),'자료_미국심리'!$D646,"")</f>
        <v/>
      </c>
      <c r="Q662">
        <f>IF(AND(ISNUMBER('자료_미국심리'!$G646),ISNUMBER('자료_미국심리'!$H646)),'자료_미국심리'!$G646,"")</f>
        <v/>
      </c>
    </row>
    <row r="663">
      <c r="A663" s="10">
        <f>IF(645&gt;$E$5,"",SMALL($O$19:$O$4018,$E$6+645))</f>
        <v/>
      </c>
      <c r="B663" s="29">
        <f>IF(A663="","",INDEX('자료_미국심리'!$B$3:$B$4002,MATCH(A663,$O$19:$O$4018,0)))</f>
        <v/>
      </c>
      <c r="C663" s="22">
        <f>IF(A663="","",B663/AVERAGE(B539:B663)-1)</f>
        <v/>
      </c>
      <c r="D663" s="29">
        <f>IF(A663="","",IFERROR(INDEX('자료_미국심리'!$E$3:$E$4002,MATCH(A663,$P$19:$P$4018,0)),D662))</f>
        <v/>
      </c>
      <c r="E663" s="29">
        <f>IF(A663="","",IFERROR(INDEX('자료_미국심리'!$H$3:$H$4002,MATCH(A663,$Q$19:$Q$4018,0)),E662))</f>
        <v/>
      </c>
      <c r="F663">
        <f>IF(A663="",0,IF(A663&gt;$B$5,1,0))</f>
        <v/>
      </c>
      <c r="G663" s="29">
        <f>IF(AND(F663=1,ISNUMBER(D663)),D663,"")</f>
        <v/>
      </c>
      <c r="H663" s="29">
        <f>IF(AND(F663=1,ISNUMBER(E663)),E663,"")</f>
        <v/>
      </c>
      <c r="I663" s="22">
        <f>IF(AND(F663=1,ISNUMBER(C663)),C663,"")</f>
        <v/>
      </c>
      <c r="J663" s="11">
        <f>IF(G663="","",100-IF($G$13=1,50,(_xlfn.RANK.AVG(G663,$G$19:$G$1518,1)-1)/($G$13-1)*100))</f>
        <v/>
      </c>
      <c r="K663" s="11">
        <f>IF(H663="","",100-IF($G$14=1,50,(_xlfn.RANK.AVG(H663,$H$19:$H$1518,1)-1)/($G$14-1)*100))</f>
        <v/>
      </c>
      <c r="L663" s="11">
        <f>IF(I663="","",IF($G$15=1,50,(_xlfn.RANK.AVG(I663,$I$19:$I$1518,1)-1)/($G$15-1)*100))</f>
        <v/>
      </c>
      <c r="M663" s="11">
        <f>IF(COUNT(J663:L663)=3,ROUND(AVERAGE(J663:L663),6),"")</f>
        <v/>
      </c>
      <c r="O663">
        <f>IF(AND(ISNUMBER('자료_미국심리'!$A647),ISNUMBER('자료_미국심리'!$B647)),'자료_미국심리'!$A647,"")</f>
        <v/>
      </c>
      <c r="P663">
        <f>IF(AND(ISNUMBER('자료_미국심리'!$D647),ISNUMBER('자료_미국심리'!$E647)),'자료_미국심리'!$D647,"")</f>
        <v/>
      </c>
      <c r="Q663">
        <f>IF(AND(ISNUMBER('자료_미국심리'!$G647),ISNUMBER('자료_미국심리'!$H647)),'자료_미국심리'!$G647,"")</f>
        <v/>
      </c>
    </row>
    <row r="664">
      <c r="A664" s="10">
        <f>IF(646&gt;$E$5,"",SMALL($O$19:$O$4018,$E$6+646))</f>
        <v/>
      </c>
      <c r="B664" s="29">
        <f>IF(A664="","",INDEX('자료_미국심리'!$B$3:$B$4002,MATCH(A664,$O$19:$O$4018,0)))</f>
        <v/>
      </c>
      <c r="C664" s="22">
        <f>IF(A664="","",B664/AVERAGE(B540:B664)-1)</f>
        <v/>
      </c>
      <c r="D664" s="29">
        <f>IF(A664="","",IFERROR(INDEX('자료_미국심리'!$E$3:$E$4002,MATCH(A664,$P$19:$P$4018,0)),D663))</f>
        <v/>
      </c>
      <c r="E664" s="29">
        <f>IF(A664="","",IFERROR(INDEX('자료_미국심리'!$H$3:$H$4002,MATCH(A664,$Q$19:$Q$4018,0)),E663))</f>
        <v/>
      </c>
      <c r="F664">
        <f>IF(A664="",0,IF(A664&gt;$B$5,1,0))</f>
        <v/>
      </c>
      <c r="G664" s="29">
        <f>IF(AND(F664=1,ISNUMBER(D664)),D664,"")</f>
        <v/>
      </c>
      <c r="H664" s="29">
        <f>IF(AND(F664=1,ISNUMBER(E664)),E664,"")</f>
        <v/>
      </c>
      <c r="I664" s="22">
        <f>IF(AND(F664=1,ISNUMBER(C664)),C664,"")</f>
        <v/>
      </c>
      <c r="J664" s="11">
        <f>IF(G664="","",100-IF($G$13=1,50,(_xlfn.RANK.AVG(G664,$G$19:$G$1518,1)-1)/($G$13-1)*100))</f>
        <v/>
      </c>
      <c r="K664" s="11">
        <f>IF(H664="","",100-IF($G$14=1,50,(_xlfn.RANK.AVG(H664,$H$19:$H$1518,1)-1)/($G$14-1)*100))</f>
        <v/>
      </c>
      <c r="L664" s="11">
        <f>IF(I664="","",IF($G$15=1,50,(_xlfn.RANK.AVG(I664,$I$19:$I$1518,1)-1)/($G$15-1)*100))</f>
        <v/>
      </c>
      <c r="M664" s="11">
        <f>IF(COUNT(J664:L664)=3,ROUND(AVERAGE(J664:L664),6),"")</f>
        <v/>
      </c>
      <c r="O664">
        <f>IF(AND(ISNUMBER('자료_미국심리'!$A648),ISNUMBER('자료_미국심리'!$B648)),'자료_미국심리'!$A648,"")</f>
        <v/>
      </c>
      <c r="P664">
        <f>IF(AND(ISNUMBER('자료_미국심리'!$D648),ISNUMBER('자료_미국심리'!$E648)),'자료_미국심리'!$D648,"")</f>
        <v/>
      </c>
      <c r="Q664">
        <f>IF(AND(ISNUMBER('자료_미국심리'!$G648),ISNUMBER('자료_미국심리'!$H648)),'자료_미국심리'!$G648,"")</f>
        <v/>
      </c>
    </row>
    <row r="665">
      <c r="A665" s="10">
        <f>IF(647&gt;$E$5,"",SMALL($O$19:$O$4018,$E$6+647))</f>
        <v/>
      </c>
      <c r="B665" s="29">
        <f>IF(A665="","",INDEX('자료_미국심리'!$B$3:$B$4002,MATCH(A665,$O$19:$O$4018,0)))</f>
        <v/>
      </c>
      <c r="C665" s="22">
        <f>IF(A665="","",B665/AVERAGE(B541:B665)-1)</f>
        <v/>
      </c>
      <c r="D665" s="29">
        <f>IF(A665="","",IFERROR(INDEX('자료_미국심리'!$E$3:$E$4002,MATCH(A665,$P$19:$P$4018,0)),D664))</f>
        <v/>
      </c>
      <c r="E665" s="29">
        <f>IF(A665="","",IFERROR(INDEX('자료_미국심리'!$H$3:$H$4002,MATCH(A665,$Q$19:$Q$4018,0)),E664))</f>
        <v/>
      </c>
      <c r="F665">
        <f>IF(A665="",0,IF(A665&gt;$B$5,1,0))</f>
        <v/>
      </c>
      <c r="G665" s="29">
        <f>IF(AND(F665=1,ISNUMBER(D665)),D665,"")</f>
        <v/>
      </c>
      <c r="H665" s="29">
        <f>IF(AND(F665=1,ISNUMBER(E665)),E665,"")</f>
        <v/>
      </c>
      <c r="I665" s="22">
        <f>IF(AND(F665=1,ISNUMBER(C665)),C665,"")</f>
        <v/>
      </c>
      <c r="J665" s="11">
        <f>IF(G665="","",100-IF($G$13=1,50,(_xlfn.RANK.AVG(G665,$G$19:$G$1518,1)-1)/($G$13-1)*100))</f>
        <v/>
      </c>
      <c r="K665" s="11">
        <f>IF(H665="","",100-IF($G$14=1,50,(_xlfn.RANK.AVG(H665,$H$19:$H$1518,1)-1)/($G$14-1)*100))</f>
        <v/>
      </c>
      <c r="L665" s="11">
        <f>IF(I665="","",IF($G$15=1,50,(_xlfn.RANK.AVG(I665,$I$19:$I$1518,1)-1)/($G$15-1)*100))</f>
        <v/>
      </c>
      <c r="M665" s="11">
        <f>IF(COUNT(J665:L665)=3,ROUND(AVERAGE(J665:L665),6),"")</f>
        <v/>
      </c>
      <c r="O665">
        <f>IF(AND(ISNUMBER('자료_미국심리'!$A649),ISNUMBER('자료_미국심리'!$B649)),'자료_미국심리'!$A649,"")</f>
        <v/>
      </c>
      <c r="P665">
        <f>IF(AND(ISNUMBER('자료_미국심리'!$D649),ISNUMBER('자료_미국심리'!$E649)),'자료_미국심리'!$D649,"")</f>
        <v/>
      </c>
      <c r="Q665">
        <f>IF(AND(ISNUMBER('자료_미국심리'!$G649),ISNUMBER('자료_미국심리'!$H649)),'자료_미국심리'!$G649,"")</f>
        <v/>
      </c>
    </row>
    <row r="666">
      <c r="A666" s="10">
        <f>IF(648&gt;$E$5,"",SMALL($O$19:$O$4018,$E$6+648))</f>
        <v/>
      </c>
      <c r="B666" s="29">
        <f>IF(A666="","",INDEX('자료_미국심리'!$B$3:$B$4002,MATCH(A666,$O$19:$O$4018,0)))</f>
        <v/>
      </c>
      <c r="C666" s="22">
        <f>IF(A666="","",B666/AVERAGE(B542:B666)-1)</f>
        <v/>
      </c>
      <c r="D666" s="29">
        <f>IF(A666="","",IFERROR(INDEX('자료_미국심리'!$E$3:$E$4002,MATCH(A666,$P$19:$P$4018,0)),D665))</f>
        <v/>
      </c>
      <c r="E666" s="29">
        <f>IF(A666="","",IFERROR(INDEX('자료_미국심리'!$H$3:$H$4002,MATCH(A666,$Q$19:$Q$4018,0)),E665))</f>
        <v/>
      </c>
      <c r="F666">
        <f>IF(A666="",0,IF(A666&gt;$B$5,1,0))</f>
        <v/>
      </c>
      <c r="G666" s="29">
        <f>IF(AND(F666=1,ISNUMBER(D666)),D666,"")</f>
        <v/>
      </c>
      <c r="H666" s="29">
        <f>IF(AND(F666=1,ISNUMBER(E666)),E666,"")</f>
        <v/>
      </c>
      <c r="I666" s="22">
        <f>IF(AND(F666=1,ISNUMBER(C666)),C666,"")</f>
        <v/>
      </c>
      <c r="J666" s="11">
        <f>IF(G666="","",100-IF($G$13=1,50,(_xlfn.RANK.AVG(G666,$G$19:$G$1518,1)-1)/($G$13-1)*100))</f>
        <v/>
      </c>
      <c r="K666" s="11">
        <f>IF(H666="","",100-IF($G$14=1,50,(_xlfn.RANK.AVG(H666,$H$19:$H$1518,1)-1)/($G$14-1)*100))</f>
        <v/>
      </c>
      <c r="L666" s="11">
        <f>IF(I666="","",IF($G$15=1,50,(_xlfn.RANK.AVG(I666,$I$19:$I$1518,1)-1)/($G$15-1)*100))</f>
        <v/>
      </c>
      <c r="M666" s="11">
        <f>IF(COUNT(J666:L666)=3,ROUND(AVERAGE(J666:L666),6),"")</f>
        <v/>
      </c>
      <c r="O666">
        <f>IF(AND(ISNUMBER('자료_미국심리'!$A650),ISNUMBER('자료_미국심리'!$B650)),'자료_미국심리'!$A650,"")</f>
        <v/>
      </c>
      <c r="P666">
        <f>IF(AND(ISNUMBER('자료_미국심리'!$D650),ISNUMBER('자료_미국심리'!$E650)),'자료_미국심리'!$D650,"")</f>
        <v/>
      </c>
      <c r="Q666">
        <f>IF(AND(ISNUMBER('자료_미국심리'!$G650),ISNUMBER('자료_미국심리'!$H650)),'자료_미국심리'!$G650,"")</f>
        <v/>
      </c>
    </row>
    <row r="667">
      <c r="A667" s="10">
        <f>IF(649&gt;$E$5,"",SMALL($O$19:$O$4018,$E$6+649))</f>
        <v/>
      </c>
      <c r="B667" s="29">
        <f>IF(A667="","",INDEX('자료_미국심리'!$B$3:$B$4002,MATCH(A667,$O$19:$O$4018,0)))</f>
        <v/>
      </c>
      <c r="C667" s="22">
        <f>IF(A667="","",B667/AVERAGE(B543:B667)-1)</f>
        <v/>
      </c>
      <c r="D667" s="29">
        <f>IF(A667="","",IFERROR(INDEX('자료_미국심리'!$E$3:$E$4002,MATCH(A667,$P$19:$P$4018,0)),D666))</f>
        <v/>
      </c>
      <c r="E667" s="29">
        <f>IF(A667="","",IFERROR(INDEX('자료_미국심리'!$H$3:$H$4002,MATCH(A667,$Q$19:$Q$4018,0)),E666))</f>
        <v/>
      </c>
      <c r="F667">
        <f>IF(A667="",0,IF(A667&gt;$B$5,1,0))</f>
        <v/>
      </c>
      <c r="G667" s="29">
        <f>IF(AND(F667=1,ISNUMBER(D667)),D667,"")</f>
        <v/>
      </c>
      <c r="H667" s="29">
        <f>IF(AND(F667=1,ISNUMBER(E667)),E667,"")</f>
        <v/>
      </c>
      <c r="I667" s="22">
        <f>IF(AND(F667=1,ISNUMBER(C667)),C667,"")</f>
        <v/>
      </c>
      <c r="J667" s="11">
        <f>IF(G667="","",100-IF($G$13=1,50,(_xlfn.RANK.AVG(G667,$G$19:$G$1518,1)-1)/($G$13-1)*100))</f>
        <v/>
      </c>
      <c r="K667" s="11">
        <f>IF(H667="","",100-IF($G$14=1,50,(_xlfn.RANK.AVG(H667,$H$19:$H$1518,1)-1)/($G$14-1)*100))</f>
        <v/>
      </c>
      <c r="L667" s="11">
        <f>IF(I667="","",IF($G$15=1,50,(_xlfn.RANK.AVG(I667,$I$19:$I$1518,1)-1)/($G$15-1)*100))</f>
        <v/>
      </c>
      <c r="M667" s="11">
        <f>IF(COUNT(J667:L667)=3,ROUND(AVERAGE(J667:L667),6),"")</f>
        <v/>
      </c>
      <c r="O667">
        <f>IF(AND(ISNUMBER('자료_미국심리'!$A651),ISNUMBER('자료_미국심리'!$B651)),'자료_미국심리'!$A651,"")</f>
        <v/>
      </c>
      <c r="P667">
        <f>IF(AND(ISNUMBER('자료_미국심리'!$D651),ISNUMBER('자료_미국심리'!$E651)),'자료_미국심리'!$D651,"")</f>
        <v/>
      </c>
      <c r="Q667">
        <f>IF(AND(ISNUMBER('자료_미국심리'!$G651),ISNUMBER('자료_미국심리'!$H651)),'자료_미국심리'!$G651,"")</f>
        <v/>
      </c>
    </row>
    <row r="668">
      <c r="A668" s="10">
        <f>IF(650&gt;$E$5,"",SMALL($O$19:$O$4018,$E$6+650))</f>
        <v/>
      </c>
      <c r="B668" s="29">
        <f>IF(A668="","",INDEX('자료_미국심리'!$B$3:$B$4002,MATCH(A668,$O$19:$O$4018,0)))</f>
        <v/>
      </c>
      <c r="C668" s="22">
        <f>IF(A668="","",B668/AVERAGE(B544:B668)-1)</f>
        <v/>
      </c>
      <c r="D668" s="29">
        <f>IF(A668="","",IFERROR(INDEX('자료_미국심리'!$E$3:$E$4002,MATCH(A668,$P$19:$P$4018,0)),D667))</f>
        <v/>
      </c>
      <c r="E668" s="29">
        <f>IF(A668="","",IFERROR(INDEX('자료_미국심리'!$H$3:$H$4002,MATCH(A668,$Q$19:$Q$4018,0)),E667))</f>
        <v/>
      </c>
      <c r="F668">
        <f>IF(A668="",0,IF(A668&gt;$B$5,1,0))</f>
        <v/>
      </c>
      <c r="G668" s="29">
        <f>IF(AND(F668=1,ISNUMBER(D668)),D668,"")</f>
        <v/>
      </c>
      <c r="H668" s="29">
        <f>IF(AND(F668=1,ISNUMBER(E668)),E668,"")</f>
        <v/>
      </c>
      <c r="I668" s="22">
        <f>IF(AND(F668=1,ISNUMBER(C668)),C668,"")</f>
        <v/>
      </c>
      <c r="J668" s="11">
        <f>IF(G668="","",100-IF($G$13=1,50,(_xlfn.RANK.AVG(G668,$G$19:$G$1518,1)-1)/($G$13-1)*100))</f>
        <v/>
      </c>
      <c r="K668" s="11">
        <f>IF(H668="","",100-IF($G$14=1,50,(_xlfn.RANK.AVG(H668,$H$19:$H$1518,1)-1)/($G$14-1)*100))</f>
        <v/>
      </c>
      <c r="L668" s="11">
        <f>IF(I668="","",IF($G$15=1,50,(_xlfn.RANK.AVG(I668,$I$19:$I$1518,1)-1)/($G$15-1)*100))</f>
        <v/>
      </c>
      <c r="M668" s="11">
        <f>IF(COUNT(J668:L668)=3,ROUND(AVERAGE(J668:L668),6),"")</f>
        <v/>
      </c>
      <c r="O668">
        <f>IF(AND(ISNUMBER('자료_미국심리'!$A652),ISNUMBER('자료_미국심리'!$B652)),'자료_미국심리'!$A652,"")</f>
        <v/>
      </c>
      <c r="P668">
        <f>IF(AND(ISNUMBER('자료_미국심리'!$D652),ISNUMBER('자료_미국심리'!$E652)),'자료_미국심리'!$D652,"")</f>
        <v/>
      </c>
      <c r="Q668">
        <f>IF(AND(ISNUMBER('자료_미국심리'!$G652),ISNUMBER('자료_미국심리'!$H652)),'자료_미국심리'!$G652,"")</f>
        <v/>
      </c>
    </row>
    <row r="669">
      <c r="A669" s="10">
        <f>IF(651&gt;$E$5,"",SMALL($O$19:$O$4018,$E$6+651))</f>
        <v/>
      </c>
      <c r="B669" s="29">
        <f>IF(A669="","",INDEX('자료_미국심리'!$B$3:$B$4002,MATCH(A669,$O$19:$O$4018,0)))</f>
        <v/>
      </c>
      <c r="C669" s="22">
        <f>IF(A669="","",B669/AVERAGE(B545:B669)-1)</f>
        <v/>
      </c>
      <c r="D669" s="29">
        <f>IF(A669="","",IFERROR(INDEX('자료_미국심리'!$E$3:$E$4002,MATCH(A669,$P$19:$P$4018,0)),D668))</f>
        <v/>
      </c>
      <c r="E669" s="29">
        <f>IF(A669="","",IFERROR(INDEX('자료_미국심리'!$H$3:$H$4002,MATCH(A669,$Q$19:$Q$4018,0)),E668))</f>
        <v/>
      </c>
      <c r="F669">
        <f>IF(A669="",0,IF(A669&gt;$B$5,1,0))</f>
        <v/>
      </c>
      <c r="G669" s="29">
        <f>IF(AND(F669=1,ISNUMBER(D669)),D669,"")</f>
        <v/>
      </c>
      <c r="H669" s="29">
        <f>IF(AND(F669=1,ISNUMBER(E669)),E669,"")</f>
        <v/>
      </c>
      <c r="I669" s="22">
        <f>IF(AND(F669=1,ISNUMBER(C669)),C669,"")</f>
        <v/>
      </c>
      <c r="J669" s="11">
        <f>IF(G669="","",100-IF($G$13=1,50,(_xlfn.RANK.AVG(G669,$G$19:$G$1518,1)-1)/($G$13-1)*100))</f>
        <v/>
      </c>
      <c r="K669" s="11">
        <f>IF(H669="","",100-IF($G$14=1,50,(_xlfn.RANK.AVG(H669,$H$19:$H$1518,1)-1)/($G$14-1)*100))</f>
        <v/>
      </c>
      <c r="L669" s="11">
        <f>IF(I669="","",IF($G$15=1,50,(_xlfn.RANK.AVG(I669,$I$19:$I$1518,1)-1)/($G$15-1)*100))</f>
        <v/>
      </c>
      <c r="M669" s="11">
        <f>IF(COUNT(J669:L669)=3,ROUND(AVERAGE(J669:L669),6),"")</f>
        <v/>
      </c>
      <c r="O669">
        <f>IF(AND(ISNUMBER('자료_미국심리'!$A653),ISNUMBER('자료_미국심리'!$B653)),'자료_미국심리'!$A653,"")</f>
        <v/>
      </c>
      <c r="P669">
        <f>IF(AND(ISNUMBER('자료_미국심리'!$D653),ISNUMBER('자료_미국심리'!$E653)),'자료_미국심리'!$D653,"")</f>
        <v/>
      </c>
      <c r="Q669">
        <f>IF(AND(ISNUMBER('자료_미국심리'!$G653),ISNUMBER('자료_미국심리'!$H653)),'자료_미국심리'!$G653,"")</f>
        <v/>
      </c>
    </row>
    <row r="670">
      <c r="A670" s="10">
        <f>IF(652&gt;$E$5,"",SMALL($O$19:$O$4018,$E$6+652))</f>
        <v/>
      </c>
      <c r="B670" s="29">
        <f>IF(A670="","",INDEX('자료_미국심리'!$B$3:$B$4002,MATCH(A670,$O$19:$O$4018,0)))</f>
        <v/>
      </c>
      <c r="C670" s="22">
        <f>IF(A670="","",B670/AVERAGE(B546:B670)-1)</f>
        <v/>
      </c>
      <c r="D670" s="29">
        <f>IF(A670="","",IFERROR(INDEX('자료_미국심리'!$E$3:$E$4002,MATCH(A670,$P$19:$P$4018,0)),D669))</f>
        <v/>
      </c>
      <c r="E670" s="29">
        <f>IF(A670="","",IFERROR(INDEX('자료_미국심리'!$H$3:$H$4002,MATCH(A670,$Q$19:$Q$4018,0)),E669))</f>
        <v/>
      </c>
      <c r="F670">
        <f>IF(A670="",0,IF(A670&gt;$B$5,1,0))</f>
        <v/>
      </c>
      <c r="G670" s="29">
        <f>IF(AND(F670=1,ISNUMBER(D670)),D670,"")</f>
        <v/>
      </c>
      <c r="H670" s="29">
        <f>IF(AND(F670=1,ISNUMBER(E670)),E670,"")</f>
        <v/>
      </c>
      <c r="I670" s="22">
        <f>IF(AND(F670=1,ISNUMBER(C670)),C670,"")</f>
        <v/>
      </c>
      <c r="J670" s="11">
        <f>IF(G670="","",100-IF($G$13=1,50,(_xlfn.RANK.AVG(G670,$G$19:$G$1518,1)-1)/($G$13-1)*100))</f>
        <v/>
      </c>
      <c r="K670" s="11">
        <f>IF(H670="","",100-IF($G$14=1,50,(_xlfn.RANK.AVG(H670,$H$19:$H$1518,1)-1)/($G$14-1)*100))</f>
        <v/>
      </c>
      <c r="L670" s="11">
        <f>IF(I670="","",IF($G$15=1,50,(_xlfn.RANK.AVG(I670,$I$19:$I$1518,1)-1)/($G$15-1)*100))</f>
        <v/>
      </c>
      <c r="M670" s="11">
        <f>IF(COUNT(J670:L670)=3,ROUND(AVERAGE(J670:L670),6),"")</f>
        <v/>
      </c>
      <c r="O670">
        <f>IF(AND(ISNUMBER('자료_미국심리'!$A654),ISNUMBER('자료_미국심리'!$B654)),'자료_미국심리'!$A654,"")</f>
        <v/>
      </c>
      <c r="P670">
        <f>IF(AND(ISNUMBER('자료_미국심리'!$D654),ISNUMBER('자료_미국심리'!$E654)),'자료_미국심리'!$D654,"")</f>
        <v/>
      </c>
      <c r="Q670">
        <f>IF(AND(ISNUMBER('자료_미국심리'!$G654),ISNUMBER('자료_미국심리'!$H654)),'자료_미국심리'!$G654,"")</f>
        <v/>
      </c>
    </row>
    <row r="671">
      <c r="A671" s="10">
        <f>IF(653&gt;$E$5,"",SMALL($O$19:$O$4018,$E$6+653))</f>
        <v/>
      </c>
      <c r="B671" s="29">
        <f>IF(A671="","",INDEX('자료_미국심리'!$B$3:$B$4002,MATCH(A671,$O$19:$O$4018,0)))</f>
        <v/>
      </c>
      <c r="C671" s="22">
        <f>IF(A671="","",B671/AVERAGE(B547:B671)-1)</f>
        <v/>
      </c>
      <c r="D671" s="29">
        <f>IF(A671="","",IFERROR(INDEX('자료_미국심리'!$E$3:$E$4002,MATCH(A671,$P$19:$P$4018,0)),D670))</f>
        <v/>
      </c>
      <c r="E671" s="29">
        <f>IF(A671="","",IFERROR(INDEX('자료_미국심리'!$H$3:$H$4002,MATCH(A671,$Q$19:$Q$4018,0)),E670))</f>
        <v/>
      </c>
      <c r="F671">
        <f>IF(A671="",0,IF(A671&gt;$B$5,1,0))</f>
        <v/>
      </c>
      <c r="G671" s="29">
        <f>IF(AND(F671=1,ISNUMBER(D671)),D671,"")</f>
        <v/>
      </c>
      <c r="H671" s="29">
        <f>IF(AND(F671=1,ISNUMBER(E671)),E671,"")</f>
        <v/>
      </c>
      <c r="I671" s="22">
        <f>IF(AND(F671=1,ISNUMBER(C671)),C671,"")</f>
        <v/>
      </c>
      <c r="J671" s="11">
        <f>IF(G671="","",100-IF($G$13=1,50,(_xlfn.RANK.AVG(G671,$G$19:$G$1518,1)-1)/($G$13-1)*100))</f>
        <v/>
      </c>
      <c r="K671" s="11">
        <f>IF(H671="","",100-IF($G$14=1,50,(_xlfn.RANK.AVG(H671,$H$19:$H$1518,1)-1)/($G$14-1)*100))</f>
        <v/>
      </c>
      <c r="L671" s="11">
        <f>IF(I671="","",IF($G$15=1,50,(_xlfn.RANK.AVG(I671,$I$19:$I$1518,1)-1)/($G$15-1)*100))</f>
        <v/>
      </c>
      <c r="M671" s="11">
        <f>IF(COUNT(J671:L671)=3,ROUND(AVERAGE(J671:L671),6),"")</f>
        <v/>
      </c>
      <c r="O671">
        <f>IF(AND(ISNUMBER('자료_미국심리'!$A655),ISNUMBER('자료_미국심리'!$B655)),'자료_미국심리'!$A655,"")</f>
        <v/>
      </c>
      <c r="P671">
        <f>IF(AND(ISNUMBER('자료_미국심리'!$D655),ISNUMBER('자료_미국심리'!$E655)),'자료_미국심리'!$D655,"")</f>
        <v/>
      </c>
      <c r="Q671">
        <f>IF(AND(ISNUMBER('자료_미국심리'!$G655),ISNUMBER('자료_미국심리'!$H655)),'자료_미국심리'!$G655,"")</f>
        <v/>
      </c>
    </row>
    <row r="672">
      <c r="A672" s="10">
        <f>IF(654&gt;$E$5,"",SMALL($O$19:$O$4018,$E$6+654))</f>
        <v/>
      </c>
      <c r="B672" s="29">
        <f>IF(A672="","",INDEX('자료_미국심리'!$B$3:$B$4002,MATCH(A672,$O$19:$O$4018,0)))</f>
        <v/>
      </c>
      <c r="C672" s="22">
        <f>IF(A672="","",B672/AVERAGE(B548:B672)-1)</f>
        <v/>
      </c>
      <c r="D672" s="29">
        <f>IF(A672="","",IFERROR(INDEX('자료_미국심리'!$E$3:$E$4002,MATCH(A672,$P$19:$P$4018,0)),D671))</f>
        <v/>
      </c>
      <c r="E672" s="29">
        <f>IF(A672="","",IFERROR(INDEX('자료_미국심리'!$H$3:$H$4002,MATCH(A672,$Q$19:$Q$4018,0)),E671))</f>
        <v/>
      </c>
      <c r="F672">
        <f>IF(A672="",0,IF(A672&gt;$B$5,1,0))</f>
        <v/>
      </c>
      <c r="G672" s="29">
        <f>IF(AND(F672=1,ISNUMBER(D672)),D672,"")</f>
        <v/>
      </c>
      <c r="H672" s="29">
        <f>IF(AND(F672=1,ISNUMBER(E672)),E672,"")</f>
        <v/>
      </c>
      <c r="I672" s="22">
        <f>IF(AND(F672=1,ISNUMBER(C672)),C672,"")</f>
        <v/>
      </c>
      <c r="J672" s="11">
        <f>IF(G672="","",100-IF($G$13=1,50,(_xlfn.RANK.AVG(G672,$G$19:$G$1518,1)-1)/($G$13-1)*100))</f>
        <v/>
      </c>
      <c r="K672" s="11">
        <f>IF(H672="","",100-IF($G$14=1,50,(_xlfn.RANK.AVG(H672,$H$19:$H$1518,1)-1)/($G$14-1)*100))</f>
        <v/>
      </c>
      <c r="L672" s="11">
        <f>IF(I672="","",IF($G$15=1,50,(_xlfn.RANK.AVG(I672,$I$19:$I$1518,1)-1)/($G$15-1)*100))</f>
        <v/>
      </c>
      <c r="M672" s="11">
        <f>IF(COUNT(J672:L672)=3,ROUND(AVERAGE(J672:L672),6),"")</f>
        <v/>
      </c>
      <c r="O672">
        <f>IF(AND(ISNUMBER('자료_미국심리'!$A656),ISNUMBER('자료_미국심리'!$B656)),'자료_미국심리'!$A656,"")</f>
        <v/>
      </c>
      <c r="P672">
        <f>IF(AND(ISNUMBER('자료_미국심리'!$D656),ISNUMBER('자료_미국심리'!$E656)),'자료_미국심리'!$D656,"")</f>
        <v/>
      </c>
      <c r="Q672">
        <f>IF(AND(ISNUMBER('자료_미국심리'!$G656),ISNUMBER('자료_미국심리'!$H656)),'자료_미국심리'!$G656,"")</f>
        <v/>
      </c>
    </row>
    <row r="673">
      <c r="A673" s="10">
        <f>IF(655&gt;$E$5,"",SMALL($O$19:$O$4018,$E$6+655))</f>
        <v/>
      </c>
      <c r="B673" s="29">
        <f>IF(A673="","",INDEX('자료_미국심리'!$B$3:$B$4002,MATCH(A673,$O$19:$O$4018,0)))</f>
        <v/>
      </c>
      <c r="C673" s="22">
        <f>IF(A673="","",B673/AVERAGE(B549:B673)-1)</f>
        <v/>
      </c>
      <c r="D673" s="29">
        <f>IF(A673="","",IFERROR(INDEX('자료_미국심리'!$E$3:$E$4002,MATCH(A673,$P$19:$P$4018,0)),D672))</f>
        <v/>
      </c>
      <c r="E673" s="29">
        <f>IF(A673="","",IFERROR(INDEX('자료_미국심리'!$H$3:$H$4002,MATCH(A673,$Q$19:$Q$4018,0)),E672))</f>
        <v/>
      </c>
      <c r="F673">
        <f>IF(A673="",0,IF(A673&gt;$B$5,1,0))</f>
        <v/>
      </c>
      <c r="G673" s="29">
        <f>IF(AND(F673=1,ISNUMBER(D673)),D673,"")</f>
        <v/>
      </c>
      <c r="H673" s="29">
        <f>IF(AND(F673=1,ISNUMBER(E673)),E673,"")</f>
        <v/>
      </c>
      <c r="I673" s="22">
        <f>IF(AND(F673=1,ISNUMBER(C673)),C673,"")</f>
        <v/>
      </c>
      <c r="J673" s="11">
        <f>IF(G673="","",100-IF($G$13=1,50,(_xlfn.RANK.AVG(G673,$G$19:$G$1518,1)-1)/($G$13-1)*100))</f>
        <v/>
      </c>
      <c r="K673" s="11">
        <f>IF(H673="","",100-IF($G$14=1,50,(_xlfn.RANK.AVG(H673,$H$19:$H$1518,1)-1)/($G$14-1)*100))</f>
        <v/>
      </c>
      <c r="L673" s="11">
        <f>IF(I673="","",IF($G$15=1,50,(_xlfn.RANK.AVG(I673,$I$19:$I$1518,1)-1)/($G$15-1)*100))</f>
        <v/>
      </c>
      <c r="M673" s="11">
        <f>IF(COUNT(J673:L673)=3,ROUND(AVERAGE(J673:L673),6),"")</f>
        <v/>
      </c>
      <c r="O673">
        <f>IF(AND(ISNUMBER('자료_미국심리'!$A657),ISNUMBER('자료_미국심리'!$B657)),'자료_미국심리'!$A657,"")</f>
        <v/>
      </c>
      <c r="P673">
        <f>IF(AND(ISNUMBER('자료_미국심리'!$D657),ISNUMBER('자료_미국심리'!$E657)),'자료_미국심리'!$D657,"")</f>
        <v/>
      </c>
      <c r="Q673">
        <f>IF(AND(ISNUMBER('자료_미국심리'!$G657),ISNUMBER('자료_미국심리'!$H657)),'자료_미국심리'!$G657,"")</f>
        <v/>
      </c>
    </row>
    <row r="674">
      <c r="A674" s="10">
        <f>IF(656&gt;$E$5,"",SMALL($O$19:$O$4018,$E$6+656))</f>
        <v/>
      </c>
      <c r="B674" s="29">
        <f>IF(A674="","",INDEX('자료_미국심리'!$B$3:$B$4002,MATCH(A674,$O$19:$O$4018,0)))</f>
        <v/>
      </c>
      <c r="C674" s="22">
        <f>IF(A674="","",B674/AVERAGE(B550:B674)-1)</f>
        <v/>
      </c>
      <c r="D674" s="29">
        <f>IF(A674="","",IFERROR(INDEX('자료_미국심리'!$E$3:$E$4002,MATCH(A674,$P$19:$P$4018,0)),D673))</f>
        <v/>
      </c>
      <c r="E674" s="29">
        <f>IF(A674="","",IFERROR(INDEX('자료_미국심리'!$H$3:$H$4002,MATCH(A674,$Q$19:$Q$4018,0)),E673))</f>
        <v/>
      </c>
      <c r="F674">
        <f>IF(A674="",0,IF(A674&gt;$B$5,1,0))</f>
        <v/>
      </c>
      <c r="G674" s="29">
        <f>IF(AND(F674=1,ISNUMBER(D674)),D674,"")</f>
        <v/>
      </c>
      <c r="H674" s="29">
        <f>IF(AND(F674=1,ISNUMBER(E674)),E674,"")</f>
        <v/>
      </c>
      <c r="I674" s="22">
        <f>IF(AND(F674=1,ISNUMBER(C674)),C674,"")</f>
        <v/>
      </c>
      <c r="J674" s="11">
        <f>IF(G674="","",100-IF($G$13=1,50,(_xlfn.RANK.AVG(G674,$G$19:$G$1518,1)-1)/($G$13-1)*100))</f>
        <v/>
      </c>
      <c r="K674" s="11">
        <f>IF(H674="","",100-IF($G$14=1,50,(_xlfn.RANK.AVG(H674,$H$19:$H$1518,1)-1)/($G$14-1)*100))</f>
        <v/>
      </c>
      <c r="L674" s="11">
        <f>IF(I674="","",IF($G$15=1,50,(_xlfn.RANK.AVG(I674,$I$19:$I$1518,1)-1)/($G$15-1)*100))</f>
        <v/>
      </c>
      <c r="M674" s="11">
        <f>IF(COUNT(J674:L674)=3,ROUND(AVERAGE(J674:L674),6),"")</f>
        <v/>
      </c>
      <c r="O674">
        <f>IF(AND(ISNUMBER('자료_미국심리'!$A658),ISNUMBER('자료_미국심리'!$B658)),'자료_미국심리'!$A658,"")</f>
        <v/>
      </c>
      <c r="P674">
        <f>IF(AND(ISNUMBER('자료_미국심리'!$D658),ISNUMBER('자료_미국심리'!$E658)),'자료_미국심리'!$D658,"")</f>
        <v/>
      </c>
      <c r="Q674">
        <f>IF(AND(ISNUMBER('자료_미국심리'!$G658),ISNUMBER('자료_미국심리'!$H658)),'자료_미국심리'!$G658,"")</f>
        <v/>
      </c>
    </row>
    <row r="675">
      <c r="A675" s="10">
        <f>IF(657&gt;$E$5,"",SMALL($O$19:$O$4018,$E$6+657))</f>
        <v/>
      </c>
      <c r="B675" s="29">
        <f>IF(A675="","",INDEX('자료_미국심리'!$B$3:$B$4002,MATCH(A675,$O$19:$O$4018,0)))</f>
        <v/>
      </c>
      <c r="C675" s="22">
        <f>IF(A675="","",B675/AVERAGE(B551:B675)-1)</f>
        <v/>
      </c>
      <c r="D675" s="29">
        <f>IF(A675="","",IFERROR(INDEX('자료_미국심리'!$E$3:$E$4002,MATCH(A675,$P$19:$P$4018,0)),D674))</f>
        <v/>
      </c>
      <c r="E675" s="29">
        <f>IF(A675="","",IFERROR(INDEX('자료_미국심리'!$H$3:$H$4002,MATCH(A675,$Q$19:$Q$4018,0)),E674))</f>
        <v/>
      </c>
      <c r="F675">
        <f>IF(A675="",0,IF(A675&gt;$B$5,1,0))</f>
        <v/>
      </c>
      <c r="G675" s="29">
        <f>IF(AND(F675=1,ISNUMBER(D675)),D675,"")</f>
        <v/>
      </c>
      <c r="H675" s="29">
        <f>IF(AND(F675=1,ISNUMBER(E675)),E675,"")</f>
        <v/>
      </c>
      <c r="I675" s="22">
        <f>IF(AND(F675=1,ISNUMBER(C675)),C675,"")</f>
        <v/>
      </c>
      <c r="J675" s="11">
        <f>IF(G675="","",100-IF($G$13=1,50,(_xlfn.RANK.AVG(G675,$G$19:$G$1518,1)-1)/($G$13-1)*100))</f>
        <v/>
      </c>
      <c r="K675" s="11">
        <f>IF(H675="","",100-IF($G$14=1,50,(_xlfn.RANK.AVG(H675,$H$19:$H$1518,1)-1)/($G$14-1)*100))</f>
        <v/>
      </c>
      <c r="L675" s="11">
        <f>IF(I675="","",IF($G$15=1,50,(_xlfn.RANK.AVG(I675,$I$19:$I$1518,1)-1)/($G$15-1)*100))</f>
        <v/>
      </c>
      <c r="M675" s="11">
        <f>IF(COUNT(J675:L675)=3,ROUND(AVERAGE(J675:L675),6),"")</f>
        <v/>
      </c>
      <c r="O675">
        <f>IF(AND(ISNUMBER('자료_미국심리'!$A659),ISNUMBER('자료_미국심리'!$B659)),'자료_미국심리'!$A659,"")</f>
        <v/>
      </c>
      <c r="P675">
        <f>IF(AND(ISNUMBER('자료_미국심리'!$D659),ISNUMBER('자료_미국심리'!$E659)),'자료_미국심리'!$D659,"")</f>
        <v/>
      </c>
      <c r="Q675">
        <f>IF(AND(ISNUMBER('자료_미국심리'!$G659),ISNUMBER('자료_미국심리'!$H659)),'자료_미국심리'!$G659,"")</f>
        <v/>
      </c>
    </row>
    <row r="676">
      <c r="A676" s="10">
        <f>IF(658&gt;$E$5,"",SMALL($O$19:$O$4018,$E$6+658))</f>
        <v/>
      </c>
      <c r="B676" s="29">
        <f>IF(A676="","",INDEX('자료_미국심리'!$B$3:$B$4002,MATCH(A676,$O$19:$O$4018,0)))</f>
        <v/>
      </c>
      <c r="C676" s="22">
        <f>IF(A676="","",B676/AVERAGE(B552:B676)-1)</f>
        <v/>
      </c>
      <c r="D676" s="29">
        <f>IF(A676="","",IFERROR(INDEX('자료_미국심리'!$E$3:$E$4002,MATCH(A676,$P$19:$P$4018,0)),D675))</f>
        <v/>
      </c>
      <c r="E676" s="29">
        <f>IF(A676="","",IFERROR(INDEX('자료_미국심리'!$H$3:$H$4002,MATCH(A676,$Q$19:$Q$4018,0)),E675))</f>
        <v/>
      </c>
      <c r="F676">
        <f>IF(A676="",0,IF(A676&gt;$B$5,1,0))</f>
        <v/>
      </c>
      <c r="G676" s="29">
        <f>IF(AND(F676=1,ISNUMBER(D676)),D676,"")</f>
        <v/>
      </c>
      <c r="H676" s="29">
        <f>IF(AND(F676=1,ISNUMBER(E676)),E676,"")</f>
        <v/>
      </c>
      <c r="I676" s="22">
        <f>IF(AND(F676=1,ISNUMBER(C676)),C676,"")</f>
        <v/>
      </c>
      <c r="J676" s="11">
        <f>IF(G676="","",100-IF($G$13=1,50,(_xlfn.RANK.AVG(G676,$G$19:$G$1518,1)-1)/($G$13-1)*100))</f>
        <v/>
      </c>
      <c r="K676" s="11">
        <f>IF(H676="","",100-IF($G$14=1,50,(_xlfn.RANK.AVG(H676,$H$19:$H$1518,1)-1)/($G$14-1)*100))</f>
        <v/>
      </c>
      <c r="L676" s="11">
        <f>IF(I676="","",IF($G$15=1,50,(_xlfn.RANK.AVG(I676,$I$19:$I$1518,1)-1)/($G$15-1)*100))</f>
        <v/>
      </c>
      <c r="M676" s="11">
        <f>IF(COUNT(J676:L676)=3,ROUND(AVERAGE(J676:L676),6),"")</f>
        <v/>
      </c>
      <c r="O676">
        <f>IF(AND(ISNUMBER('자료_미국심리'!$A660),ISNUMBER('자료_미국심리'!$B660)),'자료_미국심리'!$A660,"")</f>
        <v/>
      </c>
      <c r="P676">
        <f>IF(AND(ISNUMBER('자료_미국심리'!$D660),ISNUMBER('자료_미국심리'!$E660)),'자료_미국심리'!$D660,"")</f>
        <v/>
      </c>
      <c r="Q676">
        <f>IF(AND(ISNUMBER('자료_미국심리'!$G660),ISNUMBER('자료_미국심리'!$H660)),'자료_미국심리'!$G660,"")</f>
        <v/>
      </c>
    </row>
    <row r="677">
      <c r="A677" s="10">
        <f>IF(659&gt;$E$5,"",SMALL($O$19:$O$4018,$E$6+659))</f>
        <v/>
      </c>
      <c r="B677" s="29">
        <f>IF(A677="","",INDEX('자료_미국심리'!$B$3:$B$4002,MATCH(A677,$O$19:$O$4018,0)))</f>
        <v/>
      </c>
      <c r="C677" s="22">
        <f>IF(A677="","",B677/AVERAGE(B553:B677)-1)</f>
        <v/>
      </c>
      <c r="D677" s="29">
        <f>IF(A677="","",IFERROR(INDEX('자료_미국심리'!$E$3:$E$4002,MATCH(A677,$P$19:$P$4018,0)),D676))</f>
        <v/>
      </c>
      <c r="E677" s="29">
        <f>IF(A677="","",IFERROR(INDEX('자료_미국심리'!$H$3:$H$4002,MATCH(A677,$Q$19:$Q$4018,0)),E676))</f>
        <v/>
      </c>
      <c r="F677">
        <f>IF(A677="",0,IF(A677&gt;$B$5,1,0))</f>
        <v/>
      </c>
      <c r="G677" s="29">
        <f>IF(AND(F677=1,ISNUMBER(D677)),D677,"")</f>
        <v/>
      </c>
      <c r="H677" s="29">
        <f>IF(AND(F677=1,ISNUMBER(E677)),E677,"")</f>
        <v/>
      </c>
      <c r="I677" s="22">
        <f>IF(AND(F677=1,ISNUMBER(C677)),C677,"")</f>
        <v/>
      </c>
      <c r="J677" s="11">
        <f>IF(G677="","",100-IF($G$13=1,50,(_xlfn.RANK.AVG(G677,$G$19:$G$1518,1)-1)/($G$13-1)*100))</f>
        <v/>
      </c>
      <c r="K677" s="11">
        <f>IF(H677="","",100-IF($G$14=1,50,(_xlfn.RANK.AVG(H677,$H$19:$H$1518,1)-1)/($G$14-1)*100))</f>
        <v/>
      </c>
      <c r="L677" s="11">
        <f>IF(I677="","",IF($G$15=1,50,(_xlfn.RANK.AVG(I677,$I$19:$I$1518,1)-1)/($G$15-1)*100))</f>
        <v/>
      </c>
      <c r="M677" s="11">
        <f>IF(COUNT(J677:L677)=3,ROUND(AVERAGE(J677:L677),6),"")</f>
        <v/>
      </c>
      <c r="O677">
        <f>IF(AND(ISNUMBER('자료_미국심리'!$A661),ISNUMBER('자료_미국심리'!$B661)),'자료_미국심리'!$A661,"")</f>
        <v/>
      </c>
      <c r="P677">
        <f>IF(AND(ISNUMBER('자료_미국심리'!$D661),ISNUMBER('자료_미국심리'!$E661)),'자료_미국심리'!$D661,"")</f>
        <v/>
      </c>
      <c r="Q677">
        <f>IF(AND(ISNUMBER('자료_미국심리'!$G661),ISNUMBER('자료_미국심리'!$H661)),'자료_미국심리'!$G661,"")</f>
        <v/>
      </c>
    </row>
    <row r="678">
      <c r="A678" s="10">
        <f>IF(660&gt;$E$5,"",SMALL($O$19:$O$4018,$E$6+660))</f>
        <v/>
      </c>
      <c r="B678" s="29">
        <f>IF(A678="","",INDEX('자료_미국심리'!$B$3:$B$4002,MATCH(A678,$O$19:$O$4018,0)))</f>
        <v/>
      </c>
      <c r="C678" s="22">
        <f>IF(A678="","",B678/AVERAGE(B554:B678)-1)</f>
        <v/>
      </c>
      <c r="D678" s="29">
        <f>IF(A678="","",IFERROR(INDEX('자료_미국심리'!$E$3:$E$4002,MATCH(A678,$P$19:$P$4018,0)),D677))</f>
        <v/>
      </c>
      <c r="E678" s="29">
        <f>IF(A678="","",IFERROR(INDEX('자료_미국심리'!$H$3:$H$4002,MATCH(A678,$Q$19:$Q$4018,0)),E677))</f>
        <v/>
      </c>
      <c r="F678">
        <f>IF(A678="",0,IF(A678&gt;$B$5,1,0))</f>
        <v/>
      </c>
      <c r="G678" s="29">
        <f>IF(AND(F678=1,ISNUMBER(D678)),D678,"")</f>
        <v/>
      </c>
      <c r="H678" s="29">
        <f>IF(AND(F678=1,ISNUMBER(E678)),E678,"")</f>
        <v/>
      </c>
      <c r="I678" s="22">
        <f>IF(AND(F678=1,ISNUMBER(C678)),C678,"")</f>
        <v/>
      </c>
      <c r="J678" s="11">
        <f>IF(G678="","",100-IF($G$13=1,50,(_xlfn.RANK.AVG(G678,$G$19:$G$1518,1)-1)/($G$13-1)*100))</f>
        <v/>
      </c>
      <c r="K678" s="11">
        <f>IF(H678="","",100-IF($G$14=1,50,(_xlfn.RANK.AVG(H678,$H$19:$H$1518,1)-1)/($G$14-1)*100))</f>
        <v/>
      </c>
      <c r="L678" s="11">
        <f>IF(I678="","",IF($G$15=1,50,(_xlfn.RANK.AVG(I678,$I$19:$I$1518,1)-1)/($G$15-1)*100))</f>
        <v/>
      </c>
      <c r="M678" s="11">
        <f>IF(COUNT(J678:L678)=3,ROUND(AVERAGE(J678:L678),6),"")</f>
        <v/>
      </c>
      <c r="O678">
        <f>IF(AND(ISNUMBER('자료_미국심리'!$A662),ISNUMBER('자료_미국심리'!$B662)),'자료_미국심리'!$A662,"")</f>
        <v/>
      </c>
      <c r="P678">
        <f>IF(AND(ISNUMBER('자료_미국심리'!$D662),ISNUMBER('자료_미국심리'!$E662)),'자료_미국심리'!$D662,"")</f>
        <v/>
      </c>
      <c r="Q678">
        <f>IF(AND(ISNUMBER('자료_미국심리'!$G662),ISNUMBER('자료_미국심리'!$H662)),'자료_미국심리'!$G662,"")</f>
        <v/>
      </c>
    </row>
    <row r="679">
      <c r="A679" s="10">
        <f>IF(661&gt;$E$5,"",SMALL($O$19:$O$4018,$E$6+661))</f>
        <v/>
      </c>
      <c r="B679" s="29">
        <f>IF(A679="","",INDEX('자료_미국심리'!$B$3:$B$4002,MATCH(A679,$O$19:$O$4018,0)))</f>
        <v/>
      </c>
      <c r="C679" s="22">
        <f>IF(A679="","",B679/AVERAGE(B555:B679)-1)</f>
        <v/>
      </c>
      <c r="D679" s="29">
        <f>IF(A679="","",IFERROR(INDEX('자료_미국심리'!$E$3:$E$4002,MATCH(A679,$P$19:$P$4018,0)),D678))</f>
        <v/>
      </c>
      <c r="E679" s="29">
        <f>IF(A679="","",IFERROR(INDEX('자료_미국심리'!$H$3:$H$4002,MATCH(A679,$Q$19:$Q$4018,0)),E678))</f>
        <v/>
      </c>
      <c r="F679">
        <f>IF(A679="",0,IF(A679&gt;$B$5,1,0))</f>
        <v/>
      </c>
      <c r="G679" s="29">
        <f>IF(AND(F679=1,ISNUMBER(D679)),D679,"")</f>
        <v/>
      </c>
      <c r="H679" s="29">
        <f>IF(AND(F679=1,ISNUMBER(E679)),E679,"")</f>
        <v/>
      </c>
      <c r="I679" s="22">
        <f>IF(AND(F679=1,ISNUMBER(C679)),C679,"")</f>
        <v/>
      </c>
      <c r="J679" s="11">
        <f>IF(G679="","",100-IF($G$13=1,50,(_xlfn.RANK.AVG(G679,$G$19:$G$1518,1)-1)/($G$13-1)*100))</f>
        <v/>
      </c>
      <c r="K679" s="11">
        <f>IF(H679="","",100-IF($G$14=1,50,(_xlfn.RANK.AVG(H679,$H$19:$H$1518,1)-1)/($G$14-1)*100))</f>
        <v/>
      </c>
      <c r="L679" s="11">
        <f>IF(I679="","",IF($G$15=1,50,(_xlfn.RANK.AVG(I679,$I$19:$I$1518,1)-1)/($G$15-1)*100))</f>
        <v/>
      </c>
      <c r="M679" s="11">
        <f>IF(COUNT(J679:L679)=3,ROUND(AVERAGE(J679:L679),6),"")</f>
        <v/>
      </c>
      <c r="O679">
        <f>IF(AND(ISNUMBER('자료_미국심리'!$A663),ISNUMBER('자료_미국심리'!$B663)),'자료_미국심리'!$A663,"")</f>
        <v/>
      </c>
      <c r="P679">
        <f>IF(AND(ISNUMBER('자료_미국심리'!$D663),ISNUMBER('자료_미국심리'!$E663)),'자료_미국심리'!$D663,"")</f>
        <v/>
      </c>
      <c r="Q679">
        <f>IF(AND(ISNUMBER('자료_미국심리'!$G663),ISNUMBER('자료_미국심리'!$H663)),'자료_미국심리'!$G663,"")</f>
        <v/>
      </c>
    </row>
    <row r="680">
      <c r="A680" s="10">
        <f>IF(662&gt;$E$5,"",SMALL($O$19:$O$4018,$E$6+662))</f>
        <v/>
      </c>
      <c r="B680" s="29">
        <f>IF(A680="","",INDEX('자료_미국심리'!$B$3:$B$4002,MATCH(A680,$O$19:$O$4018,0)))</f>
        <v/>
      </c>
      <c r="C680" s="22">
        <f>IF(A680="","",B680/AVERAGE(B556:B680)-1)</f>
        <v/>
      </c>
      <c r="D680" s="29">
        <f>IF(A680="","",IFERROR(INDEX('자료_미국심리'!$E$3:$E$4002,MATCH(A680,$P$19:$P$4018,0)),D679))</f>
        <v/>
      </c>
      <c r="E680" s="29">
        <f>IF(A680="","",IFERROR(INDEX('자료_미국심리'!$H$3:$H$4002,MATCH(A680,$Q$19:$Q$4018,0)),E679))</f>
        <v/>
      </c>
      <c r="F680">
        <f>IF(A680="",0,IF(A680&gt;$B$5,1,0))</f>
        <v/>
      </c>
      <c r="G680" s="29">
        <f>IF(AND(F680=1,ISNUMBER(D680)),D680,"")</f>
        <v/>
      </c>
      <c r="H680" s="29">
        <f>IF(AND(F680=1,ISNUMBER(E680)),E680,"")</f>
        <v/>
      </c>
      <c r="I680" s="22">
        <f>IF(AND(F680=1,ISNUMBER(C680)),C680,"")</f>
        <v/>
      </c>
      <c r="J680" s="11">
        <f>IF(G680="","",100-IF($G$13=1,50,(_xlfn.RANK.AVG(G680,$G$19:$G$1518,1)-1)/($G$13-1)*100))</f>
        <v/>
      </c>
      <c r="K680" s="11">
        <f>IF(H680="","",100-IF($G$14=1,50,(_xlfn.RANK.AVG(H680,$H$19:$H$1518,1)-1)/($G$14-1)*100))</f>
        <v/>
      </c>
      <c r="L680" s="11">
        <f>IF(I680="","",IF($G$15=1,50,(_xlfn.RANK.AVG(I680,$I$19:$I$1518,1)-1)/($G$15-1)*100))</f>
        <v/>
      </c>
      <c r="M680" s="11">
        <f>IF(COUNT(J680:L680)=3,ROUND(AVERAGE(J680:L680),6),"")</f>
        <v/>
      </c>
      <c r="O680">
        <f>IF(AND(ISNUMBER('자료_미국심리'!$A664),ISNUMBER('자료_미국심리'!$B664)),'자료_미국심리'!$A664,"")</f>
        <v/>
      </c>
      <c r="P680">
        <f>IF(AND(ISNUMBER('자료_미국심리'!$D664),ISNUMBER('자료_미국심리'!$E664)),'자료_미국심리'!$D664,"")</f>
        <v/>
      </c>
      <c r="Q680">
        <f>IF(AND(ISNUMBER('자료_미국심리'!$G664),ISNUMBER('자료_미국심리'!$H664)),'자료_미국심리'!$G664,"")</f>
        <v/>
      </c>
    </row>
    <row r="681">
      <c r="A681" s="10">
        <f>IF(663&gt;$E$5,"",SMALL($O$19:$O$4018,$E$6+663))</f>
        <v/>
      </c>
      <c r="B681" s="29">
        <f>IF(A681="","",INDEX('자료_미국심리'!$B$3:$B$4002,MATCH(A681,$O$19:$O$4018,0)))</f>
        <v/>
      </c>
      <c r="C681" s="22">
        <f>IF(A681="","",B681/AVERAGE(B557:B681)-1)</f>
        <v/>
      </c>
      <c r="D681" s="29">
        <f>IF(A681="","",IFERROR(INDEX('자료_미국심리'!$E$3:$E$4002,MATCH(A681,$P$19:$P$4018,0)),D680))</f>
        <v/>
      </c>
      <c r="E681" s="29">
        <f>IF(A681="","",IFERROR(INDEX('자료_미국심리'!$H$3:$H$4002,MATCH(A681,$Q$19:$Q$4018,0)),E680))</f>
        <v/>
      </c>
      <c r="F681">
        <f>IF(A681="",0,IF(A681&gt;$B$5,1,0))</f>
        <v/>
      </c>
      <c r="G681" s="29">
        <f>IF(AND(F681=1,ISNUMBER(D681)),D681,"")</f>
        <v/>
      </c>
      <c r="H681" s="29">
        <f>IF(AND(F681=1,ISNUMBER(E681)),E681,"")</f>
        <v/>
      </c>
      <c r="I681" s="22">
        <f>IF(AND(F681=1,ISNUMBER(C681)),C681,"")</f>
        <v/>
      </c>
      <c r="J681" s="11">
        <f>IF(G681="","",100-IF($G$13=1,50,(_xlfn.RANK.AVG(G681,$G$19:$G$1518,1)-1)/($G$13-1)*100))</f>
        <v/>
      </c>
      <c r="K681" s="11">
        <f>IF(H681="","",100-IF($G$14=1,50,(_xlfn.RANK.AVG(H681,$H$19:$H$1518,1)-1)/($G$14-1)*100))</f>
        <v/>
      </c>
      <c r="L681" s="11">
        <f>IF(I681="","",IF($G$15=1,50,(_xlfn.RANK.AVG(I681,$I$19:$I$1518,1)-1)/($G$15-1)*100))</f>
        <v/>
      </c>
      <c r="M681" s="11">
        <f>IF(COUNT(J681:L681)=3,ROUND(AVERAGE(J681:L681),6),"")</f>
        <v/>
      </c>
      <c r="O681">
        <f>IF(AND(ISNUMBER('자료_미국심리'!$A665),ISNUMBER('자료_미국심리'!$B665)),'자료_미국심리'!$A665,"")</f>
        <v/>
      </c>
      <c r="P681">
        <f>IF(AND(ISNUMBER('자료_미국심리'!$D665),ISNUMBER('자료_미국심리'!$E665)),'자료_미국심리'!$D665,"")</f>
        <v/>
      </c>
      <c r="Q681">
        <f>IF(AND(ISNUMBER('자료_미국심리'!$G665),ISNUMBER('자료_미국심리'!$H665)),'자료_미국심리'!$G665,"")</f>
        <v/>
      </c>
    </row>
    <row r="682">
      <c r="A682" s="10">
        <f>IF(664&gt;$E$5,"",SMALL($O$19:$O$4018,$E$6+664))</f>
        <v/>
      </c>
      <c r="B682" s="29">
        <f>IF(A682="","",INDEX('자료_미국심리'!$B$3:$B$4002,MATCH(A682,$O$19:$O$4018,0)))</f>
        <v/>
      </c>
      <c r="C682" s="22">
        <f>IF(A682="","",B682/AVERAGE(B558:B682)-1)</f>
        <v/>
      </c>
      <c r="D682" s="29">
        <f>IF(A682="","",IFERROR(INDEX('자료_미국심리'!$E$3:$E$4002,MATCH(A682,$P$19:$P$4018,0)),D681))</f>
        <v/>
      </c>
      <c r="E682" s="29">
        <f>IF(A682="","",IFERROR(INDEX('자료_미국심리'!$H$3:$H$4002,MATCH(A682,$Q$19:$Q$4018,0)),E681))</f>
        <v/>
      </c>
      <c r="F682">
        <f>IF(A682="",0,IF(A682&gt;$B$5,1,0))</f>
        <v/>
      </c>
      <c r="G682" s="29">
        <f>IF(AND(F682=1,ISNUMBER(D682)),D682,"")</f>
        <v/>
      </c>
      <c r="H682" s="29">
        <f>IF(AND(F682=1,ISNUMBER(E682)),E682,"")</f>
        <v/>
      </c>
      <c r="I682" s="22">
        <f>IF(AND(F682=1,ISNUMBER(C682)),C682,"")</f>
        <v/>
      </c>
      <c r="J682" s="11">
        <f>IF(G682="","",100-IF($G$13=1,50,(_xlfn.RANK.AVG(G682,$G$19:$G$1518,1)-1)/($G$13-1)*100))</f>
        <v/>
      </c>
      <c r="K682" s="11">
        <f>IF(H682="","",100-IF($G$14=1,50,(_xlfn.RANK.AVG(H682,$H$19:$H$1518,1)-1)/($G$14-1)*100))</f>
        <v/>
      </c>
      <c r="L682" s="11">
        <f>IF(I682="","",IF($G$15=1,50,(_xlfn.RANK.AVG(I682,$I$19:$I$1518,1)-1)/($G$15-1)*100))</f>
        <v/>
      </c>
      <c r="M682" s="11">
        <f>IF(COUNT(J682:L682)=3,ROUND(AVERAGE(J682:L682),6),"")</f>
        <v/>
      </c>
      <c r="O682">
        <f>IF(AND(ISNUMBER('자료_미국심리'!$A666),ISNUMBER('자료_미국심리'!$B666)),'자료_미국심리'!$A666,"")</f>
        <v/>
      </c>
      <c r="P682">
        <f>IF(AND(ISNUMBER('자료_미국심리'!$D666),ISNUMBER('자료_미국심리'!$E666)),'자료_미국심리'!$D666,"")</f>
        <v/>
      </c>
      <c r="Q682">
        <f>IF(AND(ISNUMBER('자료_미국심리'!$G666),ISNUMBER('자료_미국심리'!$H666)),'자료_미국심리'!$G666,"")</f>
        <v/>
      </c>
    </row>
    <row r="683">
      <c r="A683" s="10">
        <f>IF(665&gt;$E$5,"",SMALL($O$19:$O$4018,$E$6+665))</f>
        <v/>
      </c>
      <c r="B683" s="29">
        <f>IF(A683="","",INDEX('자료_미국심리'!$B$3:$B$4002,MATCH(A683,$O$19:$O$4018,0)))</f>
        <v/>
      </c>
      <c r="C683" s="22">
        <f>IF(A683="","",B683/AVERAGE(B559:B683)-1)</f>
        <v/>
      </c>
      <c r="D683" s="29">
        <f>IF(A683="","",IFERROR(INDEX('자료_미국심리'!$E$3:$E$4002,MATCH(A683,$P$19:$P$4018,0)),D682))</f>
        <v/>
      </c>
      <c r="E683" s="29">
        <f>IF(A683="","",IFERROR(INDEX('자료_미국심리'!$H$3:$H$4002,MATCH(A683,$Q$19:$Q$4018,0)),E682))</f>
        <v/>
      </c>
      <c r="F683">
        <f>IF(A683="",0,IF(A683&gt;$B$5,1,0))</f>
        <v/>
      </c>
      <c r="G683" s="29">
        <f>IF(AND(F683=1,ISNUMBER(D683)),D683,"")</f>
        <v/>
      </c>
      <c r="H683" s="29">
        <f>IF(AND(F683=1,ISNUMBER(E683)),E683,"")</f>
        <v/>
      </c>
      <c r="I683" s="22">
        <f>IF(AND(F683=1,ISNUMBER(C683)),C683,"")</f>
        <v/>
      </c>
      <c r="J683" s="11">
        <f>IF(G683="","",100-IF($G$13=1,50,(_xlfn.RANK.AVG(G683,$G$19:$G$1518,1)-1)/($G$13-1)*100))</f>
        <v/>
      </c>
      <c r="K683" s="11">
        <f>IF(H683="","",100-IF($G$14=1,50,(_xlfn.RANK.AVG(H683,$H$19:$H$1518,1)-1)/($G$14-1)*100))</f>
        <v/>
      </c>
      <c r="L683" s="11">
        <f>IF(I683="","",IF($G$15=1,50,(_xlfn.RANK.AVG(I683,$I$19:$I$1518,1)-1)/($G$15-1)*100))</f>
        <v/>
      </c>
      <c r="M683" s="11">
        <f>IF(COUNT(J683:L683)=3,ROUND(AVERAGE(J683:L683),6),"")</f>
        <v/>
      </c>
      <c r="O683">
        <f>IF(AND(ISNUMBER('자료_미국심리'!$A667),ISNUMBER('자료_미국심리'!$B667)),'자료_미국심리'!$A667,"")</f>
        <v/>
      </c>
      <c r="P683">
        <f>IF(AND(ISNUMBER('자료_미국심리'!$D667),ISNUMBER('자료_미국심리'!$E667)),'자료_미국심리'!$D667,"")</f>
        <v/>
      </c>
      <c r="Q683">
        <f>IF(AND(ISNUMBER('자료_미국심리'!$G667),ISNUMBER('자료_미국심리'!$H667)),'자료_미국심리'!$G667,"")</f>
        <v/>
      </c>
    </row>
    <row r="684">
      <c r="A684" s="10">
        <f>IF(666&gt;$E$5,"",SMALL($O$19:$O$4018,$E$6+666))</f>
        <v/>
      </c>
      <c r="B684" s="29">
        <f>IF(A684="","",INDEX('자료_미국심리'!$B$3:$B$4002,MATCH(A684,$O$19:$O$4018,0)))</f>
        <v/>
      </c>
      <c r="C684" s="22">
        <f>IF(A684="","",B684/AVERAGE(B560:B684)-1)</f>
        <v/>
      </c>
      <c r="D684" s="29">
        <f>IF(A684="","",IFERROR(INDEX('자료_미국심리'!$E$3:$E$4002,MATCH(A684,$P$19:$P$4018,0)),D683))</f>
        <v/>
      </c>
      <c r="E684" s="29">
        <f>IF(A684="","",IFERROR(INDEX('자료_미국심리'!$H$3:$H$4002,MATCH(A684,$Q$19:$Q$4018,0)),E683))</f>
        <v/>
      </c>
      <c r="F684">
        <f>IF(A684="",0,IF(A684&gt;$B$5,1,0))</f>
        <v/>
      </c>
      <c r="G684" s="29">
        <f>IF(AND(F684=1,ISNUMBER(D684)),D684,"")</f>
        <v/>
      </c>
      <c r="H684" s="29">
        <f>IF(AND(F684=1,ISNUMBER(E684)),E684,"")</f>
        <v/>
      </c>
      <c r="I684" s="22">
        <f>IF(AND(F684=1,ISNUMBER(C684)),C684,"")</f>
        <v/>
      </c>
      <c r="J684" s="11">
        <f>IF(G684="","",100-IF($G$13=1,50,(_xlfn.RANK.AVG(G684,$G$19:$G$1518,1)-1)/($G$13-1)*100))</f>
        <v/>
      </c>
      <c r="K684" s="11">
        <f>IF(H684="","",100-IF($G$14=1,50,(_xlfn.RANK.AVG(H684,$H$19:$H$1518,1)-1)/($G$14-1)*100))</f>
        <v/>
      </c>
      <c r="L684" s="11">
        <f>IF(I684="","",IF($G$15=1,50,(_xlfn.RANK.AVG(I684,$I$19:$I$1518,1)-1)/($G$15-1)*100))</f>
        <v/>
      </c>
      <c r="M684" s="11">
        <f>IF(COUNT(J684:L684)=3,ROUND(AVERAGE(J684:L684),6),"")</f>
        <v/>
      </c>
      <c r="O684">
        <f>IF(AND(ISNUMBER('자료_미국심리'!$A668),ISNUMBER('자료_미국심리'!$B668)),'자료_미국심리'!$A668,"")</f>
        <v/>
      </c>
      <c r="P684">
        <f>IF(AND(ISNUMBER('자료_미국심리'!$D668),ISNUMBER('자료_미국심리'!$E668)),'자료_미국심리'!$D668,"")</f>
        <v/>
      </c>
      <c r="Q684">
        <f>IF(AND(ISNUMBER('자료_미국심리'!$G668),ISNUMBER('자료_미국심리'!$H668)),'자료_미국심리'!$G668,"")</f>
        <v/>
      </c>
    </row>
    <row r="685">
      <c r="A685" s="10">
        <f>IF(667&gt;$E$5,"",SMALL($O$19:$O$4018,$E$6+667))</f>
        <v/>
      </c>
      <c r="B685" s="29">
        <f>IF(A685="","",INDEX('자료_미국심리'!$B$3:$B$4002,MATCH(A685,$O$19:$O$4018,0)))</f>
        <v/>
      </c>
      <c r="C685" s="22">
        <f>IF(A685="","",B685/AVERAGE(B561:B685)-1)</f>
        <v/>
      </c>
      <c r="D685" s="29">
        <f>IF(A685="","",IFERROR(INDEX('자료_미국심리'!$E$3:$E$4002,MATCH(A685,$P$19:$P$4018,0)),D684))</f>
        <v/>
      </c>
      <c r="E685" s="29">
        <f>IF(A685="","",IFERROR(INDEX('자료_미국심리'!$H$3:$H$4002,MATCH(A685,$Q$19:$Q$4018,0)),E684))</f>
        <v/>
      </c>
      <c r="F685">
        <f>IF(A685="",0,IF(A685&gt;$B$5,1,0))</f>
        <v/>
      </c>
      <c r="G685" s="29">
        <f>IF(AND(F685=1,ISNUMBER(D685)),D685,"")</f>
        <v/>
      </c>
      <c r="H685" s="29">
        <f>IF(AND(F685=1,ISNUMBER(E685)),E685,"")</f>
        <v/>
      </c>
      <c r="I685" s="22">
        <f>IF(AND(F685=1,ISNUMBER(C685)),C685,"")</f>
        <v/>
      </c>
      <c r="J685" s="11">
        <f>IF(G685="","",100-IF($G$13=1,50,(_xlfn.RANK.AVG(G685,$G$19:$G$1518,1)-1)/($G$13-1)*100))</f>
        <v/>
      </c>
      <c r="K685" s="11">
        <f>IF(H685="","",100-IF($G$14=1,50,(_xlfn.RANK.AVG(H685,$H$19:$H$1518,1)-1)/($G$14-1)*100))</f>
        <v/>
      </c>
      <c r="L685" s="11">
        <f>IF(I685="","",IF($G$15=1,50,(_xlfn.RANK.AVG(I685,$I$19:$I$1518,1)-1)/($G$15-1)*100))</f>
        <v/>
      </c>
      <c r="M685" s="11">
        <f>IF(COUNT(J685:L685)=3,ROUND(AVERAGE(J685:L685),6),"")</f>
        <v/>
      </c>
      <c r="O685">
        <f>IF(AND(ISNUMBER('자료_미국심리'!$A669),ISNUMBER('자료_미국심리'!$B669)),'자료_미국심리'!$A669,"")</f>
        <v/>
      </c>
      <c r="P685">
        <f>IF(AND(ISNUMBER('자료_미국심리'!$D669),ISNUMBER('자료_미국심리'!$E669)),'자료_미국심리'!$D669,"")</f>
        <v/>
      </c>
      <c r="Q685">
        <f>IF(AND(ISNUMBER('자료_미국심리'!$G669),ISNUMBER('자료_미국심리'!$H669)),'자료_미국심리'!$G669,"")</f>
        <v/>
      </c>
    </row>
    <row r="686">
      <c r="A686" s="10">
        <f>IF(668&gt;$E$5,"",SMALL($O$19:$O$4018,$E$6+668))</f>
        <v/>
      </c>
      <c r="B686" s="29">
        <f>IF(A686="","",INDEX('자료_미국심리'!$B$3:$B$4002,MATCH(A686,$O$19:$O$4018,0)))</f>
        <v/>
      </c>
      <c r="C686" s="22">
        <f>IF(A686="","",B686/AVERAGE(B562:B686)-1)</f>
        <v/>
      </c>
      <c r="D686" s="29">
        <f>IF(A686="","",IFERROR(INDEX('자료_미국심리'!$E$3:$E$4002,MATCH(A686,$P$19:$P$4018,0)),D685))</f>
        <v/>
      </c>
      <c r="E686" s="29">
        <f>IF(A686="","",IFERROR(INDEX('자료_미국심리'!$H$3:$H$4002,MATCH(A686,$Q$19:$Q$4018,0)),E685))</f>
        <v/>
      </c>
      <c r="F686">
        <f>IF(A686="",0,IF(A686&gt;$B$5,1,0))</f>
        <v/>
      </c>
      <c r="G686" s="29">
        <f>IF(AND(F686=1,ISNUMBER(D686)),D686,"")</f>
        <v/>
      </c>
      <c r="H686" s="29">
        <f>IF(AND(F686=1,ISNUMBER(E686)),E686,"")</f>
        <v/>
      </c>
      <c r="I686" s="22">
        <f>IF(AND(F686=1,ISNUMBER(C686)),C686,"")</f>
        <v/>
      </c>
      <c r="J686" s="11">
        <f>IF(G686="","",100-IF($G$13=1,50,(_xlfn.RANK.AVG(G686,$G$19:$G$1518,1)-1)/($G$13-1)*100))</f>
        <v/>
      </c>
      <c r="K686" s="11">
        <f>IF(H686="","",100-IF($G$14=1,50,(_xlfn.RANK.AVG(H686,$H$19:$H$1518,1)-1)/($G$14-1)*100))</f>
        <v/>
      </c>
      <c r="L686" s="11">
        <f>IF(I686="","",IF($G$15=1,50,(_xlfn.RANK.AVG(I686,$I$19:$I$1518,1)-1)/($G$15-1)*100))</f>
        <v/>
      </c>
      <c r="M686" s="11">
        <f>IF(COUNT(J686:L686)=3,ROUND(AVERAGE(J686:L686),6),"")</f>
        <v/>
      </c>
      <c r="O686">
        <f>IF(AND(ISNUMBER('자료_미국심리'!$A670),ISNUMBER('자료_미국심리'!$B670)),'자료_미국심리'!$A670,"")</f>
        <v/>
      </c>
      <c r="P686">
        <f>IF(AND(ISNUMBER('자료_미국심리'!$D670),ISNUMBER('자료_미국심리'!$E670)),'자료_미국심리'!$D670,"")</f>
        <v/>
      </c>
      <c r="Q686">
        <f>IF(AND(ISNUMBER('자료_미국심리'!$G670),ISNUMBER('자료_미국심리'!$H670)),'자료_미국심리'!$G670,"")</f>
        <v/>
      </c>
    </row>
    <row r="687">
      <c r="A687" s="10">
        <f>IF(669&gt;$E$5,"",SMALL($O$19:$O$4018,$E$6+669))</f>
        <v/>
      </c>
      <c r="B687" s="29">
        <f>IF(A687="","",INDEX('자료_미국심리'!$B$3:$B$4002,MATCH(A687,$O$19:$O$4018,0)))</f>
        <v/>
      </c>
      <c r="C687" s="22">
        <f>IF(A687="","",B687/AVERAGE(B563:B687)-1)</f>
        <v/>
      </c>
      <c r="D687" s="29">
        <f>IF(A687="","",IFERROR(INDEX('자료_미국심리'!$E$3:$E$4002,MATCH(A687,$P$19:$P$4018,0)),D686))</f>
        <v/>
      </c>
      <c r="E687" s="29">
        <f>IF(A687="","",IFERROR(INDEX('자료_미국심리'!$H$3:$H$4002,MATCH(A687,$Q$19:$Q$4018,0)),E686))</f>
        <v/>
      </c>
      <c r="F687">
        <f>IF(A687="",0,IF(A687&gt;$B$5,1,0))</f>
        <v/>
      </c>
      <c r="G687" s="29">
        <f>IF(AND(F687=1,ISNUMBER(D687)),D687,"")</f>
        <v/>
      </c>
      <c r="H687" s="29">
        <f>IF(AND(F687=1,ISNUMBER(E687)),E687,"")</f>
        <v/>
      </c>
      <c r="I687" s="22">
        <f>IF(AND(F687=1,ISNUMBER(C687)),C687,"")</f>
        <v/>
      </c>
      <c r="J687" s="11">
        <f>IF(G687="","",100-IF($G$13=1,50,(_xlfn.RANK.AVG(G687,$G$19:$G$1518,1)-1)/($G$13-1)*100))</f>
        <v/>
      </c>
      <c r="K687" s="11">
        <f>IF(H687="","",100-IF($G$14=1,50,(_xlfn.RANK.AVG(H687,$H$19:$H$1518,1)-1)/($G$14-1)*100))</f>
        <v/>
      </c>
      <c r="L687" s="11">
        <f>IF(I687="","",IF($G$15=1,50,(_xlfn.RANK.AVG(I687,$I$19:$I$1518,1)-1)/($G$15-1)*100))</f>
        <v/>
      </c>
      <c r="M687" s="11">
        <f>IF(COUNT(J687:L687)=3,ROUND(AVERAGE(J687:L687),6),"")</f>
        <v/>
      </c>
      <c r="O687">
        <f>IF(AND(ISNUMBER('자료_미국심리'!$A671),ISNUMBER('자료_미국심리'!$B671)),'자료_미국심리'!$A671,"")</f>
        <v/>
      </c>
      <c r="P687">
        <f>IF(AND(ISNUMBER('자료_미국심리'!$D671),ISNUMBER('자료_미국심리'!$E671)),'자료_미국심리'!$D671,"")</f>
        <v/>
      </c>
      <c r="Q687">
        <f>IF(AND(ISNUMBER('자료_미국심리'!$G671),ISNUMBER('자료_미국심리'!$H671)),'자료_미국심리'!$G671,"")</f>
        <v/>
      </c>
    </row>
    <row r="688">
      <c r="A688" s="10">
        <f>IF(670&gt;$E$5,"",SMALL($O$19:$O$4018,$E$6+670))</f>
        <v/>
      </c>
      <c r="B688" s="29">
        <f>IF(A688="","",INDEX('자료_미국심리'!$B$3:$B$4002,MATCH(A688,$O$19:$O$4018,0)))</f>
        <v/>
      </c>
      <c r="C688" s="22">
        <f>IF(A688="","",B688/AVERAGE(B564:B688)-1)</f>
        <v/>
      </c>
      <c r="D688" s="29">
        <f>IF(A688="","",IFERROR(INDEX('자료_미국심리'!$E$3:$E$4002,MATCH(A688,$P$19:$P$4018,0)),D687))</f>
        <v/>
      </c>
      <c r="E688" s="29">
        <f>IF(A688="","",IFERROR(INDEX('자료_미국심리'!$H$3:$H$4002,MATCH(A688,$Q$19:$Q$4018,0)),E687))</f>
        <v/>
      </c>
      <c r="F688">
        <f>IF(A688="",0,IF(A688&gt;$B$5,1,0))</f>
        <v/>
      </c>
      <c r="G688" s="29">
        <f>IF(AND(F688=1,ISNUMBER(D688)),D688,"")</f>
        <v/>
      </c>
      <c r="H688" s="29">
        <f>IF(AND(F688=1,ISNUMBER(E688)),E688,"")</f>
        <v/>
      </c>
      <c r="I688" s="22">
        <f>IF(AND(F688=1,ISNUMBER(C688)),C688,"")</f>
        <v/>
      </c>
      <c r="J688" s="11">
        <f>IF(G688="","",100-IF($G$13=1,50,(_xlfn.RANK.AVG(G688,$G$19:$G$1518,1)-1)/($G$13-1)*100))</f>
        <v/>
      </c>
      <c r="K688" s="11">
        <f>IF(H688="","",100-IF($G$14=1,50,(_xlfn.RANK.AVG(H688,$H$19:$H$1518,1)-1)/($G$14-1)*100))</f>
        <v/>
      </c>
      <c r="L688" s="11">
        <f>IF(I688="","",IF($G$15=1,50,(_xlfn.RANK.AVG(I688,$I$19:$I$1518,1)-1)/($G$15-1)*100))</f>
        <v/>
      </c>
      <c r="M688" s="11">
        <f>IF(COUNT(J688:L688)=3,ROUND(AVERAGE(J688:L688),6),"")</f>
        <v/>
      </c>
      <c r="O688">
        <f>IF(AND(ISNUMBER('자료_미국심리'!$A672),ISNUMBER('자료_미국심리'!$B672)),'자료_미국심리'!$A672,"")</f>
        <v/>
      </c>
      <c r="P688">
        <f>IF(AND(ISNUMBER('자료_미국심리'!$D672),ISNUMBER('자료_미국심리'!$E672)),'자료_미국심리'!$D672,"")</f>
        <v/>
      </c>
      <c r="Q688">
        <f>IF(AND(ISNUMBER('자료_미국심리'!$G672),ISNUMBER('자료_미국심리'!$H672)),'자료_미국심리'!$G672,"")</f>
        <v/>
      </c>
    </row>
    <row r="689">
      <c r="A689" s="10">
        <f>IF(671&gt;$E$5,"",SMALL($O$19:$O$4018,$E$6+671))</f>
        <v/>
      </c>
      <c r="B689" s="29">
        <f>IF(A689="","",INDEX('자료_미국심리'!$B$3:$B$4002,MATCH(A689,$O$19:$O$4018,0)))</f>
        <v/>
      </c>
      <c r="C689" s="22">
        <f>IF(A689="","",B689/AVERAGE(B565:B689)-1)</f>
        <v/>
      </c>
      <c r="D689" s="29">
        <f>IF(A689="","",IFERROR(INDEX('자료_미국심리'!$E$3:$E$4002,MATCH(A689,$P$19:$P$4018,0)),D688))</f>
        <v/>
      </c>
      <c r="E689" s="29">
        <f>IF(A689="","",IFERROR(INDEX('자료_미국심리'!$H$3:$H$4002,MATCH(A689,$Q$19:$Q$4018,0)),E688))</f>
        <v/>
      </c>
      <c r="F689">
        <f>IF(A689="",0,IF(A689&gt;$B$5,1,0))</f>
        <v/>
      </c>
      <c r="G689" s="29">
        <f>IF(AND(F689=1,ISNUMBER(D689)),D689,"")</f>
        <v/>
      </c>
      <c r="H689" s="29">
        <f>IF(AND(F689=1,ISNUMBER(E689)),E689,"")</f>
        <v/>
      </c>
      <c r="I689" s="22">
        <f>IF(AND(F689=1,ISNUMBER(C689)),C689,"")</f>
        <v/>
      </c>
      <c r="J689" s="11">
        <f>IF(G689="","",100-IF($G$13=1,50,(_xlfn.RANK.AVG(G689,$G$19:$G$1518,1)-1)/($G$13-1)*100))</f>
        <v/>
      </c>
      <c r="K689" s="11">
        <f>IF(H689="","",100-IF($G$14=1,50,(_xlfn.RANK.AVG(H689,$H$19:$H$1518,1)-1)/($G$14-1)*100))</f>
        <v/>
      </c>
      <c r="L689" s="11">
        <f>IF(I689="","",IF($G$15=1,50,(_xlfn.RANK.AVG(I689,$I$19:$I$1518,1)-1)/($G$15-1)*100))</f>
        <v/>
      </c>
      <c r="M689" s="11">
        <f>IF(COUNT(J689:L689)=3,ROUND(AVERAGE(J689:L689),6),"")</f>
        <v/>
      </c>
      <c r="O689">
        <f>IF(AND(ISNUMBER('자료_미국심리'!$A673),ISNUMBER('자료_미국심리'!$B673)),'자료_미국심리'!$A673,"")</f>
        <v/>
      </c>
      <c r="P689">
        <f>IF(AND(ISNUMBER('자료_미국심리'!$D673),ISNUMBER('자료_미국심리'!$E673)),'자료_미국심리'!$D673,"")</f>
        <v/>
      </c>
      <c r="Q689">
        <f>IF(AND(ISNUMBER('자료_미국심리'!$G673),ISNUMBER('자료_미국심리'!$H673)),'자료_미국심리'!$G673,"")</f>
        <v/>
      </c>
    </row>
    <row r="690">
      <c r="A690" s="10">
        <f>IF(672&gt;$E$5,"",SMALL($O$19:$O$4018,$E$6+672))</f>
        <v/>
      </c>
      <c r="B690" s="29">
        <f>IF(A690="","",INDEX('자료_미국심리'!$B$3:$B$4002,MATCH(A690,$O$19:$O$4018,0)))</f>
        <v/>
      </c>
      <c r="C690" s="22">
        <f>IF(A690="","",B690/AVERAGE(B566:B690)-1)</f>
        <v/>
      </c>
      <c r="D690" s="29">
        <f>IF(A690="","",IFERROR(INDEX('자료_미국심리'!$E$3:$E$4002,MATCH(A690,$P$19:$P$4018,0)),D689))</f>
        <v/>
      </c>
      <c r="E690" s="29">
        <f>IF(A690="","",IFERROR(INDEX('자료_미국심리'!$H$3:$H$4002,MATCH(A690,$Q$19:$Q$4018,0)),E689))</f>
        <v/>
      </c>
      <c r="F690">
        <f>IF(A690="",0,IF(A690&gt;$B$5,1,0))</f>
        <v/>
      </c>
      <c r="G690" s="29">
        <f>IF(AND(F690=1,ISNUMBER(D690)),D690,"")</f>
        <v/>
      </c>
      <c r="H690" s="29">
        <f>IF(AND(F690=1,ISNUMBER(E690)),E690,"")</f>
        <v/>
      </c>
      <c r="I690" s="22">
        <f>IF(AND(F690=1,ISNUMBER(C690)),C690,"")</f>
        <v/>
      </c>
      <c r="J690" s="11">
        <f>IF(G690="","",100-IF($G$13=1,50,(_xlfn.RANK.AVG(G690,$G$19:$G$1518,1)-1)/($G$13-1)*100))</f>
        <v/>
      </c>
      <c r="K690" s="11">
        <f>IF(H690="","",100-IF($G$14=1,50,(_xlfn.RANK.AVG(H690,$H$19:$H$1518,1)-1)/($G$14-1)*100))</f>
        <v/>
      </c>
      <c r="L690" s="11">
        <f>IF(I690="","",IF($G$15=1,50,(_xlfn.RANK.AVG(I690,$I$19:$I$1518,1)-1)/($G$15-1)*100))</f>
        <v/>
      </c>
      <c r="M690" s="11">
        <f>IF(COUNT(J690:L690)=3,ROUND(AVERAGE(J690:L690),6),"")</f>
        <v/>
      </c>
      <c r="O690">
        <f>IF(AND(ISNUMBER('자료_미국심리'!$A674),ISNUMBER('자료_미국심리'!$B674)),'자료_미국심리'!$A674,"")</f>
        <v/>
      </c>
      <c r="P690">
        <f>IF(AND(ISNUMBER('자료_미국심리'!$D674),ISNUMBER('자료_미국심리'!$E674)),'자료_미국심리'!$D674,"")</f>
        <v/>
      </c>
      <c r="Q690">
        <f>IF(AND(ISNUMBER('자료_미국심리'!$G674),ISNUMBER('자료_미국심리'!$H674)),'자료_미국심리'!$G674,"")</f>
        <v/>
      </c>
    </row>
    <row r="691">
      <c r="A691" s="10">
        <f>IF(673&gt;$E$5,"",SMALL($O$19:$O$4018,$E$6+673))</f>
        <v/>
      </c>
      <c r="B691" s="29">
        <f>IF(A691="","",INDEX('자료_미국심리'!$B$3:$B$4002,MATCH(A691,$O$19:$O$4018,0)))</f>
        <v/>
      </c>
      <c r="C691" s="22">
        <f>IF(A691="","",B691/AVERAGE(B567:B691)-1)</f>
        <v/>
      </c>
      <c r="D691" s="29">
        <f>IF(A691="","",IFERROR(INDEX('자료_미국심리'!$E$3:$E$4002,MATCH(A691,$P$19:$P$4018,0)),D690))</f>
        <v/>
      </c>
      <c r="E691" s="29">
        <f>IF(A691="","",IFERROR(INDEX('자료_미국심리'!$H$3:$H$4002,MATCH(A691,$Q$19:$Q$4018,0)),E690))</f>
        <v/>
      </c>
      <c r="F691">
        <f>IF(A691="",0,IF(A691&gt;$B$5,1,0))</f>
        <v/>
      </c>
      <c r="G691" s="29">
        <f>IF(AND(F691=1,ISNUMBER(D691)),D691,"")</f>
        <v/>
      </c>
      <c r="H691" s="29">
        <f>IF(AND(F691=1,ISNUMBER(E691)),E691,"")</f>
        <v/>
      </c>
      <c r="I691" s="22">
        <f>IF(AND(F691=1,ISNUMBER(C691)),C691,"")</f>
        <v/>
      </c>
      <c r="J691" s="11">
        <f>IF(G691="","",100-IF($G$13=1,50,(_xlfn.RANK.AVG(G691,$G$19:$G$1518,1)-1)/($G$13-1)*100))</f>
        <v/>
      </c>
      <c r="K691" s="11">
        <f>IF(H691="","",100-IF($G$14=1,50,(_xlfn.RANK.AVG(H691,$H$19:$H$1518,1)-1)/($G$14-1)*100))</f>
        <v/>
      </c>
      <c r="L691" s="11">
        <f>IF(I691="","",IF($G$15=1,50,(_xlfn.RANK.AVG(I691,$I$19:$I$1518,1)-1)/($G$15-1)*100))</f>
        <v/>
      </c>
      <c r="M691" s="11">
        <f>IF(COUNT(J691:L691)=3,ROUND(AVERAGE(J691:L691),6),"")</f>
        <v/>
      </c>
      <c r="O691">
        <f>IF(AND(ISNUMBER('자료_미국심리'!$A675),ISNUMBER('자료_미국심리'!$B675)),'자료_미국심리'!$A675,"")</f>
        <v/>
      </c>
      <c r="P691">
        <f>IF(AND(ISNUMBER('자료_미국심리'!$D675),ISNUMBER('자료_미국심리'!$E675)),'자료_미국심리'!$D675,"")</f>
        <v/>
      </c>
      <c r="Q691">
        <f>IF(AND(ISNUMBER('자료_미국심리'!$G675),ISNUMBER('자료_미국심리'!$H675)),'자료_미국심리'!$G675,"")</f>
        <v/>
      </c>
    </row>
    <row r="692">
      <c r="A692" s="10">
        <f>IF(674&gt;$E$5,"",SMALL($O$19:$O$4018,$E$6+674))</f>
        <v/>
      </c>
      <c r="B692" s="29">
        <f>IF(A692="","",INDEX('자료_미국심리'!$B$3:$B$4002,MATCH(A692,$O$19:$O$4018,0)))</f>
        <v/>
      </c>
      <c r="C692" s="22">
        <f>IF(A692="","",B692/AVERAGE(B568:B692)-1)</f>
        <v/>
      </c>
      <c r="D692" s="29">
        <f>IF(A692="","",IFERROR(INDEX('자료_미국심리'!$E$3:$E$4002,MATCH(A692,$P$19:$P$4018,0)),D691))</f>
        <v/>
      </c>
      <c r="E692" s="29">
        <f>IF(A692="","",IFERROR(INDEX('자료_미국심리'!$H$3:$H$4002,MATCH(A692,$Q$19:$Q$4018,0)),E691))</f>
        <v/>
      </c>
      <c r="F692">
        <f>IF(A692="",0,IF(A692&gt;$B$5,1,0))</f>
        <v/>
      </c>
      <c r="G692" s="29">
        <f>IF(AND(F692=1,ISNUMBER(D692)),D692,"")</f>
        <v/>
      </c>
      <c r="H692" s="29">
        <f>IF(AND(F692=1,ISNUMBER(E692)),E692,"")</f>
        <v/>
      </c>
      <c r="I692" s="22">
        <f>IF(AND(F692=1,ISNUMBER(C692)),C692,"")</f>
        <v/>
      </c>
      <c r="J692" s="11">
        <f>IF(G692="","",100-IF($G$13=1,50,(_xlfn.RANK.AVG(G692,$G$19:$G$1518,1)-1)/($G$13-1)*100))</f>
        <v/>
      </c>
      <c r="K692" s="11">
        <f>IF(H692="","",100-IF($G$14=1,50,(_xlfn.RANK.AVG(H692,$H$19:$H$1518,1)-1)/($G$14-1)*100))</f>
        <v/>
      </c>
      <c r="L692" s="11">
        <f>IF(I692="","",IF($G$15=1,50,(_xlfn.RANK.AVG(I692,$I$19:$I$1518,1)-1)/($G$15-1)*100))</f>
        <v/>
      </c>
      <c r="M692" s="11">
        <f>IF(COUNT(J692:L692)=3,ROUND(AVERAGE(J692:L692),6),"")</f>
        <v/>
      </c>
      <c r="O692">
        <f>IF(AND(ISNUMBER('자료_미국심리'!$A676),ISNUMBER('자료_미국심리'!$B676)),'자료_미국심리'!$A676,"")</f>
        <v/>
      </c>
      <c r="P692">
        <f>IF(AND(ISNUMBER('자료_미국심리'!$D676),ISNUMBER('자료_미국심리'!$E676)),'자료_미국심리'!$D676,"")</f>
        <v/>
      </c>
      <c r="Q692">
        <f>IF(AND(ISNUMBER('자료_미국심리'!$G676),ISNUMBER('자료_미국심리'!$H676)),'자료_미국심리'!$G676,"")</f>
        <v/>
      </c>
    </row>
    <row r="693">
      <c r="A693" s="10">
        <f>IF(675&gt;$E$5,"",SMALL($O$19:$O$4018,$E$6+675))</f>
        <v/>
      </c>
      <c r="B693" s="29">
        <f>IF(A693="","",INDEX('자료_미국심리'!$B$3:$B$4002,MATCH(A693,$O$19:$O$4018,0)))</f>
        <v/>
      </c>
      <c r="C693" s="22">
        <f>IF(A693="","",B693/AVERAGE(B569:B693)-1)</f>
        <v/>
      </c>
      <c r="D693" s="29">
        <f>IF(A693="","",IFERROR(INDEX('자료_미국심리'!$E$3:$E$4002,MATCH(A693,$P$19:$P$4018,0)),D692))</f>
        <v/>
      </c>
      <c r="E693" s="29">
        <f>IF(A693="","",IFERROR(INDEX('자료_미국심리'!$H$3:$H$4002,MATCH(A693,$Q$19:$Q$4018,0)),E692))</f>
        <v/>
      </c>
      <c r="F693">
        <f>IF(A693="",0,IF(A693&gt;$B$5,1,0))</f>
        <v/>
      </c>
      <c r="G693" s="29">
        <f>IF(AND(F693=1,ISNUMBER(D693)),D693,"")</f>
        <v/>
      </c>
      <c r="H693" s="29">
        <f>IF(AND(F693=1,ISNUMBER(E693)),E693,"")</f>
        <v/>
      </c>
      <c r="I693" s="22">
        <f>IF(AND(F693=1,ISNUMBER(C693)),C693,"")</f>
        <v/>
      </c>
      <c r="J693" s="11">
        <f>IF(G693="","",100-IF($G$13=1,50,(_xlfn.RANK.AVG(G693,$G$19:$G$1518,1)-1)/($G$13-1)*100))</f>
        <v/>
      </c>
      <c r="K693" s="11">
        <f>IF(H693="","",100-IF($G$14=1,50,(_xlfn.RANK.AVG(H693,$H$19:$H$1518,1)-1)/($G$14-1)*100))</f>
        <v/>
      </c>
      <c r="L693" s="11">
        <f>IF(I693="","",IF($G$15=1,50,(_xlfn.RANK.AVG(I693,$I$19:$I$1518,1)-1)/($G$15-1)*100))</f>
        <v/>
      </c>
      <c r="M693" s="11">
        <f>IF(COUNT(J693:L693)=3,ROUND(AVERAGE(J693:L693),6),"")</f>
        <v/>
      </c>
      <c r="O693">
        <f>IF(AND(ISNUMBER('자료_미국심리'!$A677),ISNUMBER('자료_미국심리'!$B677)),'자료_미국심리'!$A677,"")</f>
        <v/>
      </c>
      <c r="P693">
        <f>IF(AND(ISNUMBER('자료_미국심리'!$D677),ISNUMBER('자료_미국심리'!$E677)),'자료_미국심리'!$D677,"")</f>
        <v/>
      </c>
      <c r="Q693">
        <f>IF(AND(ISNUMBER('자료_미국심리'!$G677),ISNUMBER('자료_미국심리'!$H677)),'자료_미국심리'!$G677,"")</f>
        <v/>
      </c>
    </row>
    <row r="694">
      <c r="A694" s="10">
        <f>IF(676&gt;$E$5,"",SMALL($O$19:$O$4018,$E$6+676))</f>
        <v/>
      </c>
      <c r="B694" s="29">
        <f>IF(A694="","",INDEX('자료_미국심리'!$B$3:$B$4002,MATCH(A694,$O$19:$O$4018,0)))</f>
        <v/>
      </c>
      <c r="C694" s="22">
        <f>IF(A694="","",B694/AVERAGE(B570:B694)-1)</f>
        <v/>
      </c>
      <c r="D694" s="29">
        <f>IF(A694="","",IFERROR(INDEX('자료_미국심리'!$E$3:$E$4002,MATCH(A694,$P$19:$P$4018,0)),D693))</f>
        <v/>
      </c>
      <c r="E694" s="29">
        <f>IF(A694="","",IFERROR(INDEX('자료_미국심리'!$H$3:$H$4002,MATCH(A694,$Q$19:$Q$4018,0)),E693))</f>
        <v/>
      </c>
      <c r="F694">
        <f>IF(A694="",0,IF(A694&gt;$B$5,1,0))</f>
        <v/>
      </c>
      <c r="G694" s="29">
        <f>IF(AND(F694=1,ISNUMBER(D694)),D694,"")</f>
        <v/>
      </c>
      <c r="H694" s="29">
        <f>IF(AND(F694=1,ISNUMBER(E694)),E694,"")</f>
        <v/>
      </c>
      <c r="I694" s="22">
        <f>IF(AND(F694=1,ISNUMBER(C694)),C694,"")</f>
        <v/>
      </c>
      <c r="J694" s="11">
        <f>IF(G694="","",100-IF($G$13=1,50,(_xlfn.RANK.AVG(G694,$G$19:$G$1518,1)-1)/($G$13-1)*100))</f>
        <v/>
      </c>
      <c r="K694" s="11">
        <f>IF(H694="","",100-IF($G$14=1,50,(_xlfn.RANK.AVG(H694,$H$19:$H$1518,1)-1)/($G$14-1)*100))</f>
        <v/>
      </c>
      <c r="L694" s="11">
        <f>IF(I694="","",IF($G$15=1,50,(_xlfn.RANK.AVG(I694,$I$19:$I$1518,1)-1)/($G$15-1)*100))</f>
        <v/>
      </c>
      <c r="M694" s="11">
        <f>IF(COUNT(J694:L694)=3,ROUND(AVERAGE(J694:L694),6),"")</f>
        <v/>
      </c>
      <c r="O694">
        <f>IF(AND(ISNUMBER('자료_미국심리'!$A678),ISNUMBER('자료_미국심리'!$B678)),'자료_미국심리'!$A678,"")</f>
        <v/>
      </c>
      <c r="P694">
        <f>IF(AND(ISNUMBER('자료_미국심리'!$D678),ISNUMBER('자료_미국심리'!$E678)),'자료_미국심리'!$D678,"")</f>
        <v/>
      </c>
      <c r="Q694">
        <f>IF(AND(ISNUMBER('자료_미국심리'!$G678),ISNUMBER('자료_미국심리'!$H678)),'자료_미국심리'!$G678,"")</f>
        <v/>
      </c>
    </row>
    <row r="695">
      <c r="A695" s="10">
        <f>IF(677&gt;$E$5,"",SMALL($O$19:$O$4018,$E$6+677))</f>
        <v/>
      </c>
      <c r="B695" s="29">
        <f>IF(A695="","",INDEX('자료_미국심리'!$B$3:$B$4002,MATCH(A695,$O$19:$O$4018,0)))</f>
        <v/>
      </c>
      <c r="C695" s="22">
        <f>IF(A695="","",B695/AVERAGE(B571:B695)-1)</f>
        <v/>
      </c>
      <c r="D695" s="29">
        <f>IF(A695="","",IFERROR(INDEX('자료_미국심리'!$E$3:$E$4002,MATCH(A695,$P$19:$P$4018,0)),D694))</f>
        <v/>
      </c>
      <c r="E695" s="29">
        <f>IF(A695="","",IFERROR(INDEX('자료_미국심리'!$H$3:$H$4002,MATCH(A695,$Q$19:$Q$4018,0)),E694))</f>
        <v/>
      </c>
      <c r="F695">
        <f>IF(A695="",0,IF(A695&gt;$B$5,1,0))</f>
        <v/>
      </c>
      <c r="G695" s="29">
        <f>IF(AND(F695=1,ISNUMBER(D695)),D695,"")</f>
        <v/>
      </c>
      <c r="H695" s="29">
        <f>IF(AND(F695=1,ISNUMBER(E695)),E695,"")</f>
        <v/>
      </c>
      <c r="I695" s="22">
        <f>IF(AND(F695=1,ISNUMBER(C695)),C695,"")</f>
        <v/>
      </c>
      <c r="J695" s="11">
        <f>IF(G695="","",100-IF($G$13=1,50,(_xlfn.RANK.AVG(G695,$G$19:$G$1518,1)-1)/($G$13-1)*100))</f>
        <v/>
      </c>
      <c r="K695" s="11">
        <f>IF(H695="","",100-IF($G$14=1,50,(_xlfn.RANK.AVG(H695,$H$19:$H$1518,1)-1)/($G$14-1)*100))</f>
        <v/>
      </c>
      <c r="L695" s="11">
        <f>IF(I695="","",IF($G$15=1,50,(_xlfn.RANK.AVG(I695,$I$19:$I$1518,1)-1)/($G$15-1)*100))</f>
        <v/>
      </c>
      <c r="M695" s="11">
        <f>IF(COUNT(J695:L695)=3,ROUND(AVERAGE(J695:L695),6),"")</f>
        <v/>
      </c>
      <c r="O695">
        <f>IF(AND(ISNUMBER('자료_미국심리'!$A679),ISNUMBER('자료_미국심리'!$B679)),'자료_미국심리'!$A679,"")</f>
        <v/>
      </c>
      <c r="P695">
        <f>IF(AND(ISNUMBER('자료_미국심리'!$D679),ISNUMBER('자료_미국심리'!$E679)),'자료_미국심리'!$D679,"")</f>
        <v/>
      </c>
      <c r="Q695">
        <f>IF(AND(ISNUMBER('자료_미국심리'!$G679),ISNUMBER('자료_미국심리'!$H679)),'자료_미국심리'!$G679,"")</f>
        <v/>
      </c>
    </row>
    <row r="696">
      <c r="A696" s="10">
        <f>IF(678&gt;$E$5,"",SMALL($O$19:$O$4018,$E$6+678))</f>
        <v/>
      </c>
      <c r="B696" s="29">
        <f>IF(A696="","",INDEX('자료_미국심리'!$B$3:$B$4002,MATCH(A696,$O$19:$O$4018,0)))</f>
        <v/>
      </c>
      <c r="C696" s="22">
        <f>IF(A696="","",B696/AVERAGE(B572:B696)-1)</f>
        <v/>
      </c>
      <c r="D696" s="29">
        <f>IF(A696="","",IFERROR(INDEX('자료_미국심리'!$E$3:$E$4002,MATCH(A696,$P$19:$P$4018,0)),D695))</f>
        <v/>
      </c>
      <c r="E696" s="29">
        <f>IF(A696="","",IFERROR(INDEX('자료_미국심리'!$H$3:$H$4002,MATCH(A696,$Q$19:$Q$4018,0)),E695))</f>
        <v/>
      </c>
      <c r="F696">
        <f>IF(A696="",0,IF(A696&gt;$B$5,1,0))</f>
        <v/>
      </c>
      <c r="G696" s="29">
        <f>IF(AND(F696=1,ISNUMBER(D696)),D696,"")</f>
        <v/>
      </c>
      <c r="H696" s="29">
        <f>IF(AND(F696=1,ISNUMBER(E696)),E696,"")</f>
        <v/>
      </c>
      <c r="I696" s="22">
        <f>IF(AND(F696=1,ISNUMBER(C696)),C696,"")</f>
        <v/>
      </c>
      <c r="J696" s="11">
        <f>IF(G696="","",100-IF($G$13=1,50,(_xlfn.RANK.AVG(G696,$G$19:$G$1518,1)-1)/($G$13-1)*100))</f>
        <v/>
      </c>
      <c r="K696" s="11">
        <f>IF(H696="","",100-IF($G$14=1,50,(_xlfn.RANK.AVG(H696,$H$19:$H$1518,1)-1)/($G$14-1)*100))</f>
        <v/>
      </c>
      <c r="L696" s="11">
        <f>IF(I696="","",IF($G$15=1,50,(_xlfn.RANK.AVG(I696,$I$19:$I$1518,1)-1)/($G$15-1)*100))</f>
        <v/>
      </c>
      <c r="M696" s="11">
        <f>IF(COUNT(J696:L696)=3,ROUND(AVERAGE(J696:L696),6),"")</f>
        <v/>
      </c>
      <c r="O696">
        <f>IF(AND(ISNUMBER('자료_미국심리'!$A680),ISNUMBER('자료_미국심리'!$B680)),'자료_미국심리'!$A680,"")</f>
        <v/>
      </c>
      <c r="P696">
        <f>IF(AND(ISNUMBER('자료_미국심리'!$D680),ISNUMBER('자료_미국심리'!$E680)),'자료_미국심리'!$D680,"")</f>
        <v/>
      </c>
      <c r="Q696">
        <f>IF(AND(ISNUMBER('자료_미국심리'!$G680),ISNUMBER('자료_미국심리'!$H680)),'자료_미국심리'!$G680,"")</f>
        <v/>
      </c>
    </row>
    <row r="697">
      <c r="A697" s="10">
        <f>IF(679&gt;$E$5,"",SMALL($O$19:$O$4018,$E$6+679))</f>
        <v/>
      </c>
      <c r="B697" s="29">
        <f>IF(A697="","",INDEX('자료_미국심리'!$B$3:$B$4002,MATCH(A697,$O$19:$O$4018,0)))</f>
        <v/>
      </c>
      <c r="C697" s="22">
        <f>IF(A697="","",B697/AVERAGE(B573:B697)-1)</f>
        <v/>
      </c>
      <c r="D697" s="29">
        <f>IF(A697="","",IFERROR(INDEX('자료_미국심리'!$E$3:$E$4002,MATCH(A697,$P$19:$P$4018,0)),D696))</f>
        <v/>
      </c>
      <c r="E697" s="29">
        <f>IF(A697="","",IFERROR(INDEX('자료_미국심리'!$H$3:$H$4002,MATCH(A697,$Q$19:$Q$4018,0)),E696))</f>
        <v/>
      </c>
      <c r="F697">
        <f>IF(A697="",0,IF(A697&gt;$B$5,1,0))</f>
        <v/>
      </c>
      <c r="G697" s="29">
        <f>IF(AND(F697=1,ISNUMBER(D697)),D697,"")</f>
        <v/>
      </c>
      <c r="H697" s="29">
        <f>IF(AND(F697=1,ISNUMBER(E697)),E697,"")</f>
        <v/>
      </c>
      <c r="I697" s="22">
        <f>IF(AND(F697=1,ISNUMBER(C697)),C697,"")</f>
        <v/>
      </c>
      <c r="J697" s="11">
        <f>IF(G697="","",100-IF($G$13=1,50,(_xlfn.RANK.AVG(G697,$G$19:$G$1518,1)-1)/($G$13-1)*100))</f>
        <v/>
      </c>
      <c r="K697" s="11">
        <f>IF(H697="","",100-IF($G$14=1,50,(_xlfn.RANK.AVG(H697,$H$19:$H$1518,1)-1)/($G$14-1)*100))</f>
        <v/>
      </c>
      <c r="L697" s="11">
        <f>IF(I697="","",IF($G$15=1,50,(_xlfn.RANK.AVG(I697,$I$19:$I$1518,1)-1)/($G$15-1)*100))</f>
        <v/>
      </c>
      <c r="M697" s="11">
        <f>IF(COUNT(J697:L697)=3,ROUND(AVERAGE(J697:L697),6),"")</f>
        <v/>
      </c>
      <c r="O697">
        <f>IF(AND(ISNUMBER('자료_미국심리'!$A681),ISNUMBER('자료_미국심리'!$B681)),'자료_미국심리'!$A681,"")</f>
        <v/>
      </c>
      <c r="P697">
        <f>IF(AND(ISNUMBER('자료_미국심리'!$D681),ISNUMBER('자료_미국심리'!$E681)),'자료_미국심리'!$D681,"")</f>
        <v/>
      </c>
      <c r="Q697">
        <f>IF(AND(ISNUMBER('자료_미국심리'!$G681),ISNUMBER('자료_미국심리'!$H681)),'자료_미국심리'!$G681,"")</f>
        <v/>
      </c>
    </row>
    <row r="698">
      <c r="A698" s="10">
        <f>IF(680&gt;$E$5,"",SMALL($O$19:$O$4018,$E$6+680))</f>
        <v/>
      </c>
      <c r="B698" s="29">
        <f>IF(A698="","",INDEX('자료_미국심리'!$B$3:$B$4002,MATCH(A698,$O$19:$O$4018,0)))</f>
        <v/>
      </c>
      <c r="C698" s="22">
        <f>IF(A698="","",B698/AVERAGE(B574:B698)-1)</f>
        <v/>
      </c>
      <c r="D698" s="29">
        <f>IF(A698="","",IFERROR(INDEX('자료_미국심리'!$E$3:$E$4002,MATCH(A698,$P$19:$P$4018,0)),D697))</f>
        <v/>
      </c>
      <c r="E698" s="29">
        <f>IF(A698="","",IFERROR(INDEX('자료_미국심리'!$H$3:$H$4002,MATCH(A698,$Q$19:$Q$4018,0)),E697))</f>
        <v/>
      </c>
      <c r="F698">
        <f>IF(A698="",0,IF(A698&gt;$B$5,1,0))</f>
        <v/>
      </c>
      <c r="G698" s="29">
        <f>IF(AND(F698=1,ISNUMBER(D698)),D698,"")</f>
        <v/>
      </c>
      <c r="H698" s="29">
        <f>IF(AND(F698=1,ISNUMBER(E698)),E698,"")</f>
        <v/>
      </c>
      <c r="I698" s="22">
        <f>IF(AND(F698=1,ISNUMBER(C698)),C698,"")</f>
        <v/>
      </c>
      <c r="J698" s="11">
        <f>IF(G698="","",100-IF($G$13=1,50,(_xlfn.RANK.AVG(G698,$G$19:$G$1518,1)-1)/($G$13-1)*100))</f>
        <v/>
      </c>
      <c r="K698" s="11">
        <f>IF(H698="","",100-IF($G$14=1,50,(_xlfn.RANK.AVG(H698,$H$19:$H$1518,1)-1)/($G$14-1)*100))</f>
        <v/>
      </c>
      <c r="L698" s="11">
        <f>IF(I698="","",IF($G$15=1,50,(_xlfn.RANK.AVG(I698,$I$19:$I$1518,1)-1)/($G$15-1)*100))</f>
        <v/>
      </c>
      <c r="M698" s="11">
        <f>IF(COUNT(J698:L698)=3,ROUND(AVERAGE(J698:L698),6),"")</f>
        <v/>
      </c>
      <c r="O698">
        <f>IF(AND(ISNUMBER('자료_미국심리'!$A682),ISNUMBER('자료_미국심리'!$B682)),'자료_미국심리'!$A682,"")</f>
        <v/>
      </c>
      <c r="P698">
        <f>IF(AND(ISNUMBER('자료_미국심리'!$D682),ISNUMBER('자료_미국심리'!$E682)),'자료_미국심리'!$D682,"")</f>
        <v/>
      </c>
      <c r="Q698">
        <f>IF(AND(ISNUMBER('자료_미국심리'!$G682),ISNUMBER('자료_미국심리'!$H682)),'자료_미국심리'!$G682,"")</f>
        <v/>
      </c>
    </row>
    <row r="699">
      <c r="A699" s="10">
        <f>IF(681&gt;$E$5,"",SMALL($O$19:$O$4018,$E$6+681))</f>
        <v/>
      </c>
      <c r="B699" s="29">
        <f>IF(A699="","",INDEX('자료_미국심리'!$B$3:$B$4002,MATCH(A699,$O$19:$O$4018,0)))</f>
        <v/>
      </c>
      <c r="C699" s="22">
        <f>IF(A699="","",B699/AVERAGE(B575:B699)-1)</f>
        <v/>
      </c>
      <c r="D699" s="29">
        <f>IF(A699="","",IFERROR(INDEX('자료_미국심리'!$E$3:$E$4002,MATCH(A699,$P$19:$P$4018,0)),D698))</f>
        <v/>
      </c>
      <c r="E699" s="29">
        <f>IF(A699="","",IFERROR(INDEX('자료_미국심리'!$H$3:$H$4002,MATCH(A699,$Q$19:$Q$4018,0)),E698))</f>
        <v/>
      </c>
      <c r="F699">
        <f>IF(A699="",0,IF(A699&gt;$B$5,1,0))</f>
        <v/>
      </c>
      <c r="G699" s="29">
        <f>IF(AND(F699=1,ISNUMBER(D699)),D699,"")</f>
        <v/>
      </c>
      <c r="H699" s="29">
        <f>IF(AND(F699=1,ISNUMBER(E699)),E699,"")</f>
        <v/>
      </c>
      <c r="I699" s="22">
        <f>IF(AND(F699=1,ISNUMBER(C699)),C699,"")</f>
        <v/>
      </c>
      <c r="J699" s="11">
        <f>IF(G699="","",100-IF($G$13=1,50,(_xlfn.RANK.AVG(G699,$G$19:$G$1518,1)-1)/($G$13-1)*100))</f>
        <v/>
      </c>
      <c r="K699" s="11">
        <f>IF(H699="","",100-IF($G$14=1,50,(_xlfn.RANK.AVG(H699,$H$19:$H$1518,1)-1)/($G$14-1)*100))</f>
        <v/>
      </c>
      <c r="L699" s="11">
        <f>IF(I699="","",IF($G$15=1,50,(_xlfn.RANK.AVG(I699,$I$19:$I$1518,1)-1)/($G$15-1)*100))</f>
        <v/>
      </c>
      <c r="M699" s="11">
        <f>IF(COUNT(J699:L699)=3,ROUND(AVERAGE(J699:L699),6),"")</f>
        <v/>
      </c>
      <c r="O699">
        <f>IF(AND(ISNUMBER('자료_미국심리'!$A683),ISNUMBER('자료_미국심리'!$B683)),'자료_미국심리'!$A683,"")</f>
        <v/>
      </c>
      <c r="P699">
        <f>IF(AND(ISNUMBER('자료_미국심리'!$D683),ISNUMBER('자료_미국심리'!$E683)),'자료_미국심리'!$D683,"")</f>
        <v/>
      </c>
      <c r="Q699">
        <f>IF(AND(ISNUMBER('자료_미국심리'!$G683),ISNUMBER('자료_미국심리'!$H683)),'자료_미국심리'!$G683,"")</f>
        <v/>
      </c>
    </row>
    <row r="700">
      <c r="A700" s="10">
        <f>IF(682&gt;$E$5,"",SMALL($O$19:$O$4018,$E$6+682))</f>
        <v/>
      </c>
      <c r="B700" s="29">
        <f>IF(A700="","",INDEX('자료_미국심리'!$B$3:$B$4002,MATCH(A700,$O$19:$O$4018,0)))</f>
        <v/>
      </c>
      <c r="C700" s="22">
        <f>IF(A700="","",B700/AVERAGE(B576:B700)-1)</f>
        <v/>
      </c>
      <c r="D700" s="29">
        <f>IF(A700="","",IFERROR(INDEX('자료_미국심리'!$E$3:$E$4002,MATCH(A700,$P$19:$P$4018,0)),D699))</f>
        <v/>
      </c>
      <c r="E700" s="29">
        <f>IF(A700="","",IFERROR(INDEX('자료_미국심리'!$H$3:$H$4002,MATCH(A700,$Q$19:$Q$4018,0)),E699))</f>
        <v/>
      </c>
      <c r="F700">
        <f>IF(A700="",0,IF(A700&gt;$B$5,1,0))</f>
        <v/>
      </c>
      <c r="G700" s="29">
        <f>IF(AND(F700=1,ISNUMBER(D700)),D700,"")</f>
        <v/>
      </c>
      <c r="H700" s="29">
        <f>IF(AND(F700=1,ISNUMBER(E700)),E700,"")</f>
        <v/>
      </c>
      <c r="I700" s="22">
        <f>IF(AND(F700=1,ISNUMBER(C700)),C700,"")</f>
        <v/>
      </c>
      <c r="J700" s="11">
        <f>IF(G700="","",100-IF($G$13=1,50,(_xlfn.RANK.AVG(G700,$G$19:$G$1518,1)-1)/($G$13-1)*100))</f>
        <v/>
      </c>
      <c r="K700" s="11">
        <f>IF(H700="","",100-IF($G$14=1,50,(_xlfn.RANK.AVG(H700,$H$19:$H$1518,1)-1)/($G$14-1)*100))</f>
        <v/>
      </c>
      <c r="L700" s="11">
        <f>IF(I700="","",IF($G$15=1,50,(_xlfn.RANK.AVG(I700,$I$19:$I$1518,1)-1)/($G$15-1)*100))</f>
        <v/>
      </c>
      <c r="M700" s="11">
        <f>IF(COUNT(J700:L700)=3,ROUND(AVERAGE(J700:L700),6),"")</f>
        <v/>
      </c>
      <c r="O700">
        <f>IF(AND(ISNUMBER('자료_미국심리'!$A684),ISNUMBER('자료_미국심리'!$B684)),'자료_미국심리'!$A684,"")</f>
        <v/>
      </c>
      <c r="P700">
        <f>IF(AND(ISNUMBER('자료_미국심리'!$D684),ISNUMBER('자료_미국심리'!$E684)),'자료_미국심리'!$D684,"")</f>
        <v/>
      </c>
      <c r="Q700">
        <f>IF(AND(ISNUMBER('자료_미국심리'!$G684),ISNUMBER('자료_미국심리'!$H684)),'자료_미국심리'!$G684,"")</f>
        <v/>
      </c>
    </row>
    <row r="701">
      <c r="A701" s="10">
        <f>IF(683&gt;$E$5,"",SMALL($O$19:$O$4018,$E$6+683))</f>
        <v/>
      </c>
      <c r="B701" s="29">
        <f>IF(A701="","",INDEX('자료_미국심리'!$B$3:$B$4002,MATCH(A701,$O$19:$O$4018,0)))</f>
        <v/>
      </c>
      <c r="C701" s="22">
        <f>IF(A701="","",B701/AVERAGE(B577:B701)-1)</f>
        <v/>
      </c>
      <c r="D701" s="29">
        <f>IF(A701="","",IFERROR(INDEX('자료_미국심리'!$E$3:$E$4002,MATCH(A701,$P$19:$P$4018,0)),D700))</f>
        <v/>
      </c>
      <c r="E701" s="29">
        <f>IF(A701="","",IFERROR(INDEX('자료_미국심리'!$H$3:$H$4002,MATCH(A701,$Q$19:$Q$4018,0)),E700))</f>
        <v/>
      </c>
      <c r="F701">
        <f>IF(A701="",0,IF(A701&gt;$B$5,1,0))</f>
        <v/>
      </c>
      <c r="G701" s="29">
        <f>IF(AND(F701=1,ISNUMBER(D701)),D701,"")</f>
        <v/>
      </c>
      <c r="H701" s="29">
        <f>IF(AND(F701=1,ISNUMBER(E701)),E701,"")</f>
        <v/>
      </c>
      <c r="I701" s="22">
        <f>IF(AND(F701=1,ISNUMBER(C701)),C701,"")</f>
        <v/>
      </c>
      <c r="J701" s="11">
        <f>IF(G701="","",100-IF($G$13=1,50,(_xlfn.RANK.AVG(G701,$G$19:$G$1518,1)-1)/($G$13-1)*100))</f>
        <v/>
      </c>
      <c r="K701" s="11">
        <f>IF(H701="","",100-IF($G$14=1,50,(_xlfn.RANK.AVG(H701,$H$19:$H$1518,1)-1)/($G$14-1)*100))</f>
        <v/>
      </c>
      <c r="L701" s="11">
        <f>IF(I701="","",IF($G$15=1,50,(_xlfn.RANK.AVG(I701,$I$19:$I$1518,1)-1)/($G$15-1)*100))</f>
        <v/>
      </c>
      <c r="M701" s="11">
        <f>IF(COUNT(J701:L701)=3,ROUND(AVERAGE(J701:L701),6),"")</f>
        <v/>
      </c>
      <c r="O701">
        <f>IF(AND(ISNUMBER('자료_미국심리'!$A685),ISNUMBER('자료_미국심리'!$B685)),'자료_미국심리'!$A685,"")</f>
        <v/>
      </c>
      <c r="P701">
        <f>IF(AND(ISNUMBER('자료_미국심리'!$D685),ISNUMBER('자료_미국심리'!$E685)),'자료_미국심리'!$D685,"")</f>
        <v/>
      </c>
      <c r="Q701">
        <f>IF(AND(ISNUMBER('자료_미국심리'!$G685),ISNUMBER('자료_미국심리'!$H685)),'자료_미국심리'!$G685,"")</f>
        <v/>
      </c>
    </row>
    <row r="702">
      <c r="A702" s="10">
        <f>IF(684&gt;$E$5,"",SMALL($O$19:$O$4018,$E$6+684))</f>
        <v/>
      </c>
      <c r="B702" s="29">
        <f>IF(A702="","",INDEX('자료_미국심리'!$B$3:$B$4002,MATCH(A702,$O$19:$O$4018,0)))</f>
        <v/>
      </c>
      <c r="C702" s="22">
        <f>IF(A702="","",B702/AVERAGE(B578:B702)-1)</f>
        <v/>
      </c>
      <c r="D702" s="29">
        <f>IF(A702="","",IFERROR(INDEX('자료_미국심리'!$E$3:$E$4002,MATCH(A702,$P$19:$P$4018,0)),D701))</f>
        <v/>
      </c>
      <c r="E702" s="29">
        <f>IF(A702="","",IFERROR(INDEX('자료_미국심리'!$H$3:$H$4002,MATCH(A702,$Q$19:$Q$4018,0)),E701))</f>
        <v/>
      </c>
      <c r="F702">
        <f>IF(A702="",0,IF(A702&gt;$B$5,1,0))</f>
        <v/>
      </c>
      <c r="G702" s="29">
        <f>IF(AND(F702=1,ISNUMBER(D702)),D702,"")</f>
        <v/>
      </c>
      <c r="H702" s="29">
        <f>IF(AND(F702=1,ISNUMBER(E702)),E702,"")</f>
        <v/>
      </c>
      <c r="I702" s="22">
        <f>IF(AND(F702=1,ISNUMBER(C702)),C702,"")</f>
        <v/>
      </c>
      <c r="J702" s="11">
        <f>IF(G702="","",100-IF($G$13=1,50,(_xlfn.RANK.AVG(G702,$G$19:$G$1518,1)-1)/($G$13-1)*100))</f>
        <v/>
      </c>
      <c r="K702" s="11">
        <f>IF(H702="","",100-IF($G$14=1,50,(_xlfn.RANK.AVG(H702,$H$19:$H$1518,1)-1)/($G$14-1)*100))</f>
        <v/>
      </c>
      <c r="L702" s="11">
        <f>IF(I702="","",IF($G$15=1,50,(_xlfn.RANK.AVG(I702,$I$19:$I$1518,1)-1)/($G$15-1)*100))</f>
        <v/>
      </c>
      <c r="M702" s="11">
        <f>IF(COUNT(J702:L702)=3,ROUND(AVERAGE(J702:L702),6),"")</f>
        <v/>
      </c>
      <c r="O702">
        <f>IF(AND(ISNUMBER('자료_미국심리'!$A686),ISNUMBER('자료_미국심리'!$B686)),'자료_미국심리'!$A686,"")</f>
        <v/>
      </c>
      <c r="P702">
        <f>IF(AND(ISNUMBER('자료_미국심리'!$D686),ISNUMBER('자료_미국심리'!$E686)),'자료_미국심리'!$D686,"")</f>
        <v/>
      </c>
      <c r="Q702">
        <f>IF(AND(ISNUMBER('자료_미국심리'!$G686),ISNUMBER('자료_미국심리'!$H686)),'자료_미국심리'!$G686,"")</f>
        <v/>
      </c>
    </row>
    <row r="703">
      <c r="A703" s="10">
        <f>IF(685&gt;$E$5,"",SMALL($O$19:$O$4018,$E$6+685))</f>
        <v/>
      </c>
      <c r="B703" s="29">
        <f>IF(A703="","",INDEX('자료_미국심리'!$B$3:$B$4002,MATCH(A703,$O$19:$O$4018,0)))</f>
        <v/>
      </c>
      <c r="C703" s="22">
        <f>IF(A703="","",B703/AVERAGE(B579:B703)-1)</f>
        <v/>
      </c>
      <c r="D703" s="29">
        <f>IF(A703="","",IFERROR(INDEX('자료_미국심리'!$E$3:$E$4002,MATCH(A703,$P$19:$P$4018,0)),D702))</f>
        <v/>
      </c>
      <c r="E703" s="29">
        <f>IF(A703="","",IFERROR(INDEX('자료_미국심리'!$H$3:$H$4002,MATCH(A703,$Q$19:$Q$4018,0)),E702))</f>
        <v/>
      </c>
      <c r="F703">
        <f>IF(A703="",0,IF(A703&gt;$B$5,1,0))</f>
        <v/>
      </c>
      <c r="G703" s="29">
        <f>IF(AND(F703=1,ISNUMBER(D703)),D703,"")</f>
        <v/>
      </c>
      <c r="H703" s="29">
        <f>IF(AND(F703=1,ISNUMBER(E703)),E703,"")</f>
        <v/>
      </c>
      <c r="I703" s="22">
        <f>IF(AND(F703=1,ISNUMBER(C703)),C703,"")</f>
        <v/>
      </c>
      <c r="J703" s="11">
        <f>IF(G703="","",100-IF($G$13=1,50,(_xlfn.RANK.AVG(G703,$G$19:$G$1518,1)-1)/($G$13-1)*100))</f>
        <v/>
      </c>
      <c r="K703" s="11">
        <f>IF(H703="","",100-IF($G$14=1,50,(_xlfn.RANK.AVG(H703,$H$19:$H$1518,1)-1)/($G$14-1)*100))</f>
        <v/>
      </c>
      <c r="L703" s="11">
        <f>IF(I703="","",IF($G$15=1,50,(_xlfn.RANK.AVG(I703,$I$19:$I$1518,1)-1)/($G$15-1)*100))</f>
        <v/>
      </c>
      <c r="M703" s="11">
        <f>IF(COUNT(J703:L703)=3,ROUND(AVERAGE(J703:L703),6),"")</f>
        <v/>
      </c>
      <c r="O703">
        <f>IF(AND(ISNUMBER('자료_미국심리'!$A687),ISNUMBER('자료_미국심리'!$B687)),'자료_미국심리'!$A687,"")</f>
        <v/>
      </c>
      <c r="P703">
        <f>IF(AND(ISNUMBER('자료_미국심리'!$D687),ISNUMBER('자료_미국심리'!$E687)),'자료_미국심리'!$D687,"")</f>
        <v/>
      </c>
      <c r="Q703">
        <f>IF(AND(ISNUMBER('자료_미국심리'!$G687),ISNUMBER('자료_미국심리'!$H687)),'자료_미국심리'!$G687,"")</f>
        <v/>
      </c>
    </row>
    <row r="704">
      <c r="A704" s="10">
        <f>IF(686&gt;$E$5,"",SMALL($O$19:$O$4018,$E$6+686))</f>
        <v/>
      </c>
      <c r="B704" s="29">
        <f>IF(A704="","",INDEX('자료_미국심리'!$B$3:$B$4002,MATCH(A704,$O$19:$O$4018,0)))</f>
        <v/>
      </c>
      <c r="C704" s="22">
        <f>IF(A704="","",B704/AVERAGE(B580:B704)-1)</f>
        <v/>
      </c>
      <c r="D704" s="29">
        <f>IF(A704="","",IFERROR(INDEX('자료_미국심리'!$E$3:$E$4002,MATCH(A704,$P$19:$P$4018,0)),D703))</f>
        <v/>
      </c>
      <c r="E704" s="29">
        <f>IF(A704="","",IFERROR(INDEX('자료_미국심리'!$H$3:$H$4002,MATCH(A704,$Q$19:$Q$4018,0)),E703))</f>
        <v/>
      </c>
      <c r="F704">
        <f>IF(A704="",0,IF(A704&gt;$B$5,1,0))</f>
        <v/>
      </c>
      <c r="G704" s="29">
        <f>IF(AND(F704=1,ISNUMBER(D704)),D704,"")</f>
        <v/>
      </c>
      <c r="H704" s="29">
        <f>IF(AND(F704=1,ISNUMBER(E704)),E704,"")</f>
        <v/>
      </c>
      <c r="I704" s="22">
        <f>IF(AND(F704=1,ISNUMBER(C704)),C704,"")</f>
        <v/>
      </c>
      <c r="J704" s="11">
        <f>IF(G704="","",100-IF($G$13=1,50,(_xlfn.RANK.AVG(G704,$G$19:$G$1518,1)-1)/($G$13-1)*100))</f>
        <v/>
      </c>
      <c r="K704" s="11">
        <f>IF(H704="","",100-IF($G$14=1,50,(_xlfn.RANK.AVG(H704,$H$19:$H$1518,1)-1)/($G$14-1)*100))</f>
        <v/>
      </c>
      <c r="L704" s="11">
        <f>IF(I704="","",IF($G$15=1,50,(_xlfn.RANK.AVG(I704,$I$19:$I$1518,1)-1)/($G$15-1)*100))</f>
        <v/>
      </c>
      <c r="M704" s="11">
        <f>IF(COUNT(J704:L704)=3,ROUND(AVERAGE(J704:L704),6),"")</f>
        <v/>
      </c>
      <c r="O704">
        <f>IF(AND(ISNUMBER('자료_미국심리'!$A688),ISNUMBER('자료_미국심리'!$B688)),'자료_미국심리'!$A688,"")</f>
        <v/>
      </c>
      <c r="P704">
        <f>IF(AND(ISNUMBER('자료_미국심리'!$D688),ISNUMBER('자료_미국심리'!$E688)),'자료_미국심리'!$D688,"")</f>
        <v/>
      </c>
      <c r="Q704">
        <f>IF(AND(ISNUMBER('자료_미국심리'!$G688),ISNUMBER('자료_미국심리'!$H688)),'자료_미국심리'!$G688,"")</f>
        <v/>
      </c>
    </row>
    <row r="705">
      <c r="A705" s="10">
        <f>IF(687&gt;$E$5,"",SMALL($O$19:$O$4018,$E$6+687))</f>
        <v/>
      </c>
      <c r="B705" s="29">
        <f>IF(A705="","",INDEX('자료_미국심리'!$B$3:$B$4002,MATCH(A705,$O$19:$O$4018,0)))</f>
        <v/>
      </c>
      <c r="C705" s="22">
        <f>IF(A705="","",B705/AVERAGE(B581:B705)-1)</f>
        <v/>
      </c>
      <c r="D705" s="29">
        <f>IF(A705="","",IFERROR(INDEX('자료_미국심리'!$E$3:$E$4002,MATCH(A705,$P$19:$P$4018,0)),D704))</f>
        <v/>
      </c>
      <c r="E705" s="29">
        <f>IF(A705="","",IFERROR(INDEX('자료_미국심리'!$H$3:$H$4002,MATCH(A705,$Q$19:$Q$4018,0)),E704))</f>
        <v/>
      </c>
      <c r="F705">
        <f>IF(A705="",0,IF(A705&gt;$B$5,1,0))</f>
        <v/>
      </c>
      <c r="G705" s="29">
        <f>IF(AND(F705=1,ISNUMBER(D705)),D705,"")</f>
        <v/>
      </c>
      <c r="H705" s="29">
        <f>IF(AND(F705=1,ISNUMBER(E705)),E705,"")</f>
        <v/>
      </c>
      <c r="I705" s="22">
        <f>IF(AND(F705=1,ISNUMBER(C705)),C705,"")</f>
        <v/>
      </c>
      <c r="J705" s="11">
        <f>IF(G705="","",100-IF($G$13=1,50,(_xlfn.RANK.AVG(G705,$G$19:$G$1518,1)-1)/($G$13-1)*100))</f>
        <v/>
      </c>
      <c r="K705" s="11">
        <f>IF(H705="","",100-IF($G$14=1,50,(_xlfn.RANK.AVG(H705,$H$19:$H$1518,1)-1)/($G$14-1)*100))</f>
        <v/>
      </c>
      <c r="L705" s="11">
        <f>IF(I705="","",IF($G$15=1,50,(_xlfn.RANK.AVG(I705,$I$19:$I$1518,1)-1)/($G$15-1)*100))</f>
        <v/>
      </c>
      <c r="M705" s="11">
        <f>IF(COUNT(J705:L705)=3,ROUND(AVERAGE(J705:L705),6),"")</f>
        <v/>
      </c>
      <c r="O705">
        <f>IF(AND(ISNUMBER('자료_미국심리'!$A689),ISNUMBER('자료_미국심리'!$B689)),'자료_미국심리'!$A689,"")</f>
        <v/>
      </c>
      <c r="P705">
        <f>IF(AND(ISNUMBER('자료_미국심리'!$D689),ISNUMBER('자료_미국심리'!$E689)),'자료_미국심리'!$D689,"")</f>
        <v/>
      </c>
      <c r="Q705">
        <f>IF(AND(ISNUMBER('자료_미국심리'!$G689),ISNUMBER('자료_미국심리'!$H689)),'자료_미국심리'!$G689,"")</f>
        <v/>
      </c>
    </row>
    <row r="706">
      <c r="A706" s="10">
        <f>IF(688&gt;$E$5,"",SMALL($O$19:$O$4018,$E$6+688))</f>
        <v/>
      </c>
      <c r="B706" s="29">
        <f>IF(A706="","",INDEX('자료_미국심리'!$B$3:$B$4002,MATCH(A706,$O$19:$O$4018,0)))</f>
        <v/>
      </c>
      <c r="C706" s="22">
        <f>IF(A706="","",B706/AVERAGE(B582:B706)-1)</f>
        <v/>
      </c>
      <c r="D706" s="29">
        <f>IF(A706="","",IFERROR(INDEX('자료_미국심리'!$E$3:$E$4002,MATCH(A706,$P$19:$P$4018,0)),D705))</f>
        <v/>
      </c>
      <c r="E706" s="29">
        <f>IF(A706="","",IFERROR(INDEX('자료_미국심리'!$H$3:$H$4002,MATCH(A706,$Q$19:$Q$4018,0)),E705))</f>
        <v/>
      </c>
      <c r="F706">
        <f>IF(A706="",0,IF(A706&gt;$B$5,1,0))</f>
        <v/>
      </c>
      <c r="G706" s="29">
        <f>IF(AND(F706=1,ISNUMBER(D706)),D706,"")</f>
        <v/>
      </c>
      <c r="H706" s="29">
        <f>IF(AND(F706=1,ISNUMBER(E706)),E706,"")</f>
        <v/>
      </c>
      <c r="I706" s="22">
        <f>IF(AND(F706=1,ISNUMBER(C706)),C706,"")</f>
        <v/>
      </c>
      <c r="J706" s="11">
        <f>IF(G706="","",100-IF($G$13=1,50,(_xlfn.RANK.AVG(G706,$G$19:$G$1518,1)-1)/($G$13-1)*100))</f>
        <v/>
      </c>
      <c r="K706" s="11">
        <f>IF(H706="","",100-IF($G$14=1,50,(_xlfn.RANK.AVG(H706,$H$19:$H$1518,1)-1)/($G$14-1)*100))</f>
        <v/>
      </c>
      <c r="L706" s="11">
        <f>IF(I706="","",IF($G$15=1,50,(_xlfn.RANK.AVG(I706,$I$19:$I$1518,1)-1)/($G$15-1)*100))</f>
        <v/>
      </c>
      <c r="M706" s="11">
        <f>IF(COUNT(J706:L706)=3,ROUND(AVERAGE(J706:L706),6),"")</f>
        <v/>
      </c>
      <c r="O706">
        <f>IF(AND(ISNUMBER('자료_미국심리'!$A690),ISNUMBER('자료_미국심리'!$B690)),'자료_미국심리'!$A690,"")</f>
        <v/>
      </c>
      <c r="P706">
        <f>IF(AND(ISNUMBER('자료_미국심리'!$D690),ISNUMBER('자료_미국심리'!$E690)),'자료_미국심리'!$D690,"")</f>
        <v/>
      </c>
      <c r="Q706">
        <f>IF(AND(ISNUMBER('자료_미국심리'!$G690),ISNUMBER('자료_미국심리'!$H690)),'자료_미국심리'!$G690,"")</f>
        <v/>
      </c>
    </row>
    <row r="707">
      <c r="A707" s="10">
        <f>IF(689&gt;$E$5,"",SMALL($O$19:$O$4018,$E$6+689))</f>
        <v/>
      </c>
      <c r="B707" s="29">
        <f>IF(A707="","",INDEX('자료_미국심리'!$B$3:$B$4002,MATCH(A707,$O$19:$O$4018,0)))</f>
        <v/>
      </c>
      <c r="C707" s="22">
        <f>IF(A707="","",B707/AVERAGE(B583:B707)-1)</f>
        <v/>
      </c>
      <c r="D707" s="29">
        <f>IF(A707="","",IFERROR(INDEX('자료_미국심리'!$E$3:$E$4002,MATCH(A707,$P$19:$P$4018,0)),D706))</f>
        <v/>
      </c>
      <c r="E707" s="29">
        <f>IF(A707="","",IFERROR(INDEX('자료_미국심리'!$H$3:$H$4002,MATCH(A707,$Q$19:$Q$4018,0)),E706))</f>
        <v/>
      </c>
      <c r="F707">
        <f>IF(A707="",0,IF(A707&gt;$B$5,1,0))</f>
        <v/>
      </c>
      <c r="G707" s="29">
        <f>IF(AND(F707=1,ISNUMBER(D707)),D707,"")</f>
        <v/>
      </c>
      <c r="H707" s="29">
        <f>IF(AND(F707=1,ISNUMBER(E707)),E707,"")</f>
        <v/>
      </c>
      <c r="I707" s="22">
        <f>IF(AND(F707=1,ISNUMBER(C707)),C707,"")</f>
        <v/>
      </c>
      <c r="J707" s="11">
        <f>IF(G707="","",100-IF($G$13=1,50,(_xlfn.RANK.AVG(G707,$G$19:$G$1518,1)-1)/($G$13-1)*100))</f>
        <v/>
      </c>
      <c r="K707" s="11">
        <f>IF(H707="","",100-IF($G$14=1,50,(_xlfn.RANK.AVG(H707,$H$19:$H$1518,1)-1)/($G$14-1)*100))</f>
        <v/>
      </c>
      <c r="L707" s="11">
        <f>IF(I707="","",IF($G$15=1,50,(_xlfn.RANK.AVG(I707,$I$19:$I$1518,1)-1)/($G$15-1)*100))</f>
        <v/>
      </c>
      <c r="M707" s="11">
        <f>IF(COUNT(J707:L707)=3,ROUND(AVERAGE(J707:L707),6),"")</f>
        <v/>
      </c>
      <c r="O707">
        <f>IF(AND(ISNUMBER('자료_미국심리'!$A691),ISNUMBER('자료_미국심리'!$B691)),'자료_미국심리'!$A691,"")</f>
        <v/>
      </c>
      <c r="P707">
        <f>IF(AND(ISNUMBER('자료_미국심리'!$D691),ISNUMBER('자료_미국심리'!$E691)),'자료_미국심리'!$D691,"")</f>
        <v/>
      </c>
      <c r="Q707">
        <f>IF(AND(ISNUMBER('자료_미국심리'!$G691),ISNUMBER('자료_미국심리'!$H691)),'자료_미국심리'!$G691,"")</f>
        <v/>
      </c>
    </row>
    <row r="708">
      <c r="A708" s="10">
        <f>IF(690&gt;$E$5,"",SMALL($O$19:$O$4018,$E$6+690))</f>
        <v/>
      </c>
      <c r="B708" s="29">
        <f>IF(A708="","",INDEX('자료_미국심리'!$B$3:$B$4002,MATCH(A708,$O$19:$O$4018,0)))</f>
        <v/>
      </c>
      <c r="C708" s="22">
        <f>IF(A708="","",B708/AVERAGE(B584:B708)-1)</f>
        <v/>
      </c>
      <c r="D708" s="29">
        <f>IF(A708="","",IFERROR(INDEX('자료_미국심리'!$E$3:$E$4002,MATCH(A708,$P$19:$P$4018,0)),D707))</f>
        <v/>
      </c>
      <c r="E708" s="29">
        <f>IF(A708="","",IFERROR(INDEX('자료_미국심리'!$H$3:$H$4002,MATCH(A708,$Q$19:$Q$4018,0)),E707))</f>
        <v/>
      </c>
      <c r="F708">
        <f>IF(A708="",0,IF(A708&gt;$B$5,1,0))</f>
        <v/>
      </c>
      <c r="G708" s="29">
        <f>IF(AND(F708=1,ISNUMBER(D708)),D708,"")</f>
        <v/>
      </c>
      <c r="H708" s="29">
        <f>IF(AND(F708=1,ISNUMBER(E708)),E708,"")</f>
        <v/>
      </c>
      <c r="I708" s="22">
        <f>IF(AND(F708=1,ISNUMBER(C708)),C708,"")</f>
        <v/>
      </c>
      <c r="J708" s="11">
        <f>IF(G708="","",100-IF($G$13=1,50,(_xlfn.RANK.AVG(G708,$G$19:$G$1518,1)-1)/($G$13-1)*100))</f>
        <v/>
      </c>
      <c r="K708" s="11">
        <f>IF(H708="","",100-IF($G$14=1,50,(_xlfn.RANK.AVG(H708,$H$19:$H$1518,1)-1)/($G$14-1)*100))</f>
        <v/>
      </c>
      <c r="L708" s="11">
        <f>IF(I708="","",IF($G$15=1,50,(_xlfn.RANK.AVG(I708,$I$19:$I$1518,1)-1)/($G$15-1)*100))</f>
        <v/>
      </c>
      <c r="M708" s="11">
        <f>IF(COUNT(J708:L708)=3,ROUND(AVERAGE(J708:L708),6),"")</f>
        <v/>
      </c>
      <c r="O708">
        <f>IF(AND(ISNUMBER('자료_미국심리'!$A692),ISNUMBER('자료_미국심리'!$B692)),'자료_미국심리'!$A692,"")</f>
        <v/>
      </c>
      <c r="P708">
        <f>IF(AND(ISNUMBER('자료_미국심리'!$D692),ISNUMBER('자료_미국심리'!$E692)),'자료_미국심리'!$D692,"")</f>
        <v/>
      </c>
      <c r="Q708">
        <f>IF(AND(ISNUMBER('자료_미국심리'!$G692),ISNUMBER('자료_미국심리'!$H692)),'자료_미국심리'!$G692,"")</f>
        <v/>
      </c>
    </row>
    <row r="709">
      <c r="A709" s="10">
        <f>IF(691&gt;$E$5,"",SMALL($O$19:$O$4018,$E$6+691))</f>
        <v/>
      </c>
      <c r="B709" s="29">
        <f>IF(A709="","",INDEX('자료_미국심리'!$B$3:$B$4002,MATCH(A709,$O$19:$O$4018,0)))</f>
        <v/>
      </c>
      <c r="C709" s="22">
        <f>IF(A709="","",B709/AVERAGE(B585:B709)-1)</f>
        <v/>
      </c>
      <c r="D709" s="29">
        <f>IF(A709="","",IFERROR(INDEX('자료_미국심리'!$E$3:$E$4002,MATCH(A709,$P$19:$P$4018,0)),D708))</f>
        <v/>
      </c>
      <c r="E709" s="29">
        <f>IF(A709="","",IFERROR(INDEX('자료_미국심리'!$H$3:$H$4002,MATCH(A709,$Q$19:$Q$4018,0)),E708))</f>
        <v/>
      </c>
      <c r="F709">
        <f>IF(A709="",0,IF(A709&gt;$B$5,1,0))</f>
        <v/>
      </c>
      <c r="G709" s="29">
        <f>IF(AND(F709=1,ISNUMBER(D709)),D709,"")</f>
        <v/>
      </c>
      <c r="H709" s="29">
        <f>IF(AND(F709=1,ISNUMBER(E709)),E709,"")</f>
        <v/>
      </c>
      <c r="I709" s="22">
        <f>IF(AND(F709=1,ISNUMBER(C709)),C709,"")</f>
        <v/>
      </c>
      <c r="J709" s="11">
        <f>IF(G709="","",100-IF($G$13=1,50,(_xlfn.RANK.AVG(G709,$G$19:$G$1518,1)-1)/($G$13-1)*100))</f>
        <v/>
      </c>
      <c r="K709" s="11">
        <f>IF(H709="","",100-IF($G$14=1,50,(_xlfn.RANK.AVG(H709,$H$19:$H$1518,1)-1)/($G$14-1)*100))</f>
        <v/>
      </c>
      <c r="L709" s="11">
        <f>IF(I709="","",IF($G$15=1,50,(_xlfn.RANK.AVG(I709,$I$19:$I$1518,1)-1)/($G$15-1)*100))</f>
        <v/>
      </c>
      <c r="M709" s="11">
        <f>IF(COUNT(J709:L709)=3,ROUND(AVERAGE(J709:L709),6),"")</f>
        <v/>
      </c>
      <c r="O709">
        <f>IF(AND(ISNUMBER('자료_미국심리'!$A693),ISNUMBER('자료_미국심리'!$B693)),'자료_미국심리'!$A693,"")</f>
        <v/>
      </c>
      <c r="P709">
        <f>IF(AND(ISNUMBER('자료_미국심리'!$D693),ISNUMBER('자료_미국심리'!$E693)),'자료_미국심리'!$D693,"")</f>
        <v/>
      </c>
      <c r="Q709">
        <f>IF(AND(ISNUMBER('자료_미국심리'!$G693),ISNUMBER('자료_미국심리'!$H693)),'자료_미국심리'!$G693,"")</f>
        <v/>
      </c>
    </row>
    <row r="710">
      <c r="A710" s="10">
        <f>IF(692&gt;$E$5,"",SMALL($O$19:$O$4018,$E$6+692))</f>
        <v/>
      </c>
      <c r="B710" s="29">
        <f>IF(A710="","",INDEX('자료_미국심리'!$B$3:$B$4002,MATCH(A710,$O$19:$O$4018,0)))</f>
        <v/>
      </c>
      <c r="C710" s="22">
        <f>IF(A710="","",B710/AVERAGE(B586:B710)-1)</f>
        <v/>
      </c>
      <c r="D710" s="29">
        <f>IF(A710="","",IFERROR(INDEX('자료_미국심리'!$E$3:$E$4002,MATCH(A710,$P$19:$P$4018,0)),D709))</f>
        <v/>
      </c>
      <c r="E710" s="29">
        <f>IF(A710="","",IFERROR(INDEX('자료_미국심리'!$H$3:$H$4002,MATCH(A710,$Q$19:$Q$4018,0)),E709))</f>
        <v/>
      </c>
      <c r="F710">
        <f>IF(A710="",0,IF(A710&gt;$B$5,1,0))</f>
        <v/>
      </c>
      <c r="G710" s="29">
        <f>IF(AND(F710=1,ISNUMBER(D710)),D710,"")</f>
        <v/>
      </c>
      <c r="H710" s="29">
        <f>IF(AND(F710=1,ISNUMBER(E710)),E710,"")</f>
        <v/>
      </c>
      <c r="I710" s="22">
        <f>IF(AND(F710=1,ISNUMBER(C710)),C710,"")</f>
        <v/>
      </c>
      <c r="J710" s="11">
        <f>IF(G710="","",100-IF($G$13=1,50,(_xlfn.RANK.AVG(G710,$G$19:$G$1518,1)-1)/($G$13-1)*100))</f>
        <v/>
      </c>
      <c r="K710" s="11">
        <f>IF(H710="","",100-IF($G$14=1,50,(_xlfn.RANK.AVG(H710,$H$19:$H$1518,1)-1)/($G$14-1)*100))</f>
        <v/>
      </c>
      <c r="L710" s="11">
        <f>IF(I710="","",IF($G$15=1,50,(_xlfn.RANK.AVG(I710,$I$19:$I$1518,1)-1)/($G$15-1)*100))</f>
        <v/>
      </c>
      <c r="M710" s="11">
        <f>IF(COUNT(J710:L710)=3,ROUND(AVERAGE(J710:L710),6),"")</f>
        <v/>
      </c>
      <c r="O710">
        <f>IF(AND(ISNUMBER('자료_미국심리'!$A694),ISNUMBER('자료_미국심리'!$B694)),'자료_미국심리'!$A694,"")</f>
        <v/>
      </c>
      <c r="P710">
        <f>IF(AND(ISNUMBER('자료_미국심리'!$D694),ISNUMBER('자료_미국심리'!$E694)),'자료_미국심리'!$D694,"")</f>
        <v/>
      </c>
      <c r="Q710">
        <f>IF(AND(ISNUMBER('자료_미국심리'!$G694),ISNUMBER('자료_미국심리'!$H694)),'자료_미국심리'!$G694,"")</f>
        <v/>
      </c>
    </row>
    <row r="711">
      <c r="A711" s="10">
        <f>IF(693&gt;$E$5,"",SMALL($O$19:$O$4018,$E$6+693))</f>
        <v/>
      </c>
      <c r="B711" s="29">
        <f>IF(A711="","",INDEX('자료_미국심리'!$B$3:$B$4002,MATCH(A711,$O$19:$O$4018,0)))</f>
        <v/>
      </c>
      <c r="C711" s="22">
        <f>IF(A711="","",B711/AVERAGE(B587:B711)-1)</f>
        <v/>
      </c>
      <c r="D711" s="29">
        <f>IF(A711="","",IFERROR(INDEX('자료_미국심리'!$E$3:$E$4002,MATCH(A711,$P$19:$P$4018,0)),D710))</f>
        <v/>
      </c>
      <c r="E711" s="29">
        <f>IF(A711="","",IFERROR(INDEX('자료_미국심리'!$H$3:$H$4002,MATCH(A711,$Q$19:$Q$4018,0)),E710))</f>
        <v/>
      </c>
      <c r="F711">
        <f>IF(A711="",0,IF(A711&gt;$B$5,1,0))</f>
        <v/>
      </c>
      <c r="G711" s="29">
        <f>IF(AND(F711=1,ISNUMBER(D711)),D711,"")</f>
        <v/>
      </c>
      <c r="H711" s="29">
        <f>IF(AND(F711=1,ISNUMBER(E711)),E711,"")</f>
        <v/>
      </c>
      <c r="I711" s="22">
        <f>IF(AND(F711=1,ISNUMBER(C711)),C711,"")</f>
        <v/>
      </c>
      <c r="J711" s="11">
        <f>IF(G711="","",100-IF($G$13=1,50,(_xlfn.RANK.AVG(G711,$G$19:$G$1518,1)-1)/($G$13-1)*100))</f>
        <v/>
      </c>
      <c r="K711" s="11">
        <f>IF(H711="","",100-IF($G$14=1,50,(_xlfn.RANK.AVG(H711,$H$19:$H$1518,1)-1)/($G$14-1)*100))</f>
        <v/>
      </c>
      <c r="L711" s="11">
        <f>IF(I711="","",IF($G$15=1,50,(_xlfn.RANK.AVG(I711,$I$19:$I$1518,1)-1)/($G$15-1)*100))</f>
        <v/>
      </c>
      <c r="M711" s="11">
        <f>IF(COUNT(J711:L711)=3,ROUND(AVERAGE(J711:L711),6),"")</f>
        <v/>
      </c>
      <c r="O711">
        <f>IF(AND(ISNUMBER('자료_미국심리'!$A695),ISNUMBER('자료_미국심리'!$B695)),'자료_미국심리'!$A695,"")</f>
        <v/>
      </c>
      <c r="P711">
        <f>IF(AND(ISNUMBER('자료_미국심리'!$D695),ISNUMBER('자료_미국심리'!$E695)),'자료_미국심리'!$D695,"")</f>
        <v/>
      </c>
      <c r="Q711">
        <f>IF(AND(ISNUMBER('자료_미국심리'!$G695),ISNUMBER('자료_미국심리'!$H695)),'자료_미국심리'!$G695,"")</f>
        <v/>
      </c>
    </row>
    <row r="712">
      <c r="A712" s="10">
        <f>IF(694&gt;$E$5,"",SMALL($O$19:$O$4018,$E$6+694))</f>
        <v/>
      </c>
      <c r="B712" s="29">
        <f>IF(A712="","",INDEX('자료_미국심리'!$B$3:$B$4002,MATCH(A712,$O$19:$O$4018,0)))</f>
        <v/>
      </c>
      <c r="C712" s="22">
        <f>IF(A712="","",B712/AVERAGE(B588:B712)-1)</f>
        <v/>
      </c>
      <c r="D712" s="29">
        <f>IF(A712="","",IFERROR(INDEX('자료_미국심리'!$E$3:$E$4002,MATCH(A712,$P$19:$P$4018,0)),D711))</f>
        <v/>
      </c>
      <c r="E712" s="29">
        <f>IF(A712="","",IFERROR(INDEX('자료_미국심리'!$H$3:$H$4002,MATCH(A712,$Q$19:$Q$4018,0)),E711))</f>
        <v/>
      </c>
      <c r="F712">
        <f>IF(A712="",0,IF(A712&gt;$B$5,1,0))</f>
        <v/>
      </c>
      <c r="G712" s="29">
        <f>IF(AND(F712=1,ISNUMBER(D712)),D712,"")</f>
        <v/>
      </c>
      <c r="H712" s="29">
        <f>IF(AND(F712=1,ISNUMBER(E712)),E712,"")</f>
        <v/>
      </c>
      <c r="I712" s="22">
        <f>IF(AND(F712=1,ISNUMBER(C712)),C712,"")</f>
        <v/>
      </c>
      <c r="J712" s="11">
        <f>IF(G712="","",100-IF($G$13=1,50,(_xlfn.RANK.AVG(G712,$G$19:$G$1518,1)-1)/($G$13-1)*100))</f>
        <v/>
      </c>
      <c r="K712" s="11">
        <f>IF(H712="","",100-IF($G$14=1,50,(_xlfn.RANK.AVG(H712,$H$19:$H$1518,1)-1)/($G$14-1)*100))</f>
        <v/>
      </c>
      <c r="L712" s="11">
        <f>IF(I712="","",IF($G$15=1,50,(_xlfn.RANK.AVG(I712,$I$19:$I$1518,1)-1)/($G$15-1)*100))</f>
        <v/>
      </c>
      <c r="M712" s="11">
        <f>IF(COUNT(J712:L712)=3,ROUND(AVERAGE(J712:L712),6),"")</f>
        <v/>
      </c>
      <c r="O712">
        <f>IF(AND(ISNUMBER('자료_미국심리'!$A696),ISNUMBER('자료_미국심리'!$B696)),'자료_미국심리'!$A696,"")</f>
        <v/>
      </c>
      <c r="P712">
        <f>IF(AND(ISNUMBER('자료_미국심리'!$D696),ISNUMBER('자료_미국심리'!$E696)),'자료_미국심리'!$D696,"")</f>
        <v/>
      </c>
      <c r="Q712">
        <f>IF(AND(ISNUMBER('자료_미국심리'!$G696),ISNUMBER('자료_미국심리'!$H696)),'자료_미국심리'!$G696,"")</f>
        <v/>
      </c>
    </row>
    <row r="713">
      <c r="A713" s="10">
        <f>IF(695&gt;$E$5,"",SMALL($O$19:$O$4018,$E$6+695))</f>
        <v/>
      </c>
      <c r="B713" s="29">
        <f>IF(A713="","",INDEX('자료_미국심리'!$B$3:$B$4002,MATCH(A713,$O$19:$O$4018,0)))</f>
        <v/>
      </c>
      <c r="C713" s="22">
        <f>IF(A713="","",B713/AVERAGE(B589:B713)-1)</f>
        <v/>
      </c>
      <c r="D713" s="29">
        <f>IF(A713="","",IFERROR(INDEX('자료_미국심리'!$E$3:$E$4002,MATCH(A713,$P$19:$P$4018,0)),D712))</f>
        <v/>
      </c>
      <c r="E713" s="29">
        <f>IF(A713="","",IFERROR(INDEX('자료_미국심리'!$H$3:$H$4002,MATCH(A713,$Q$19:$Q$4018,0)),E712))</f>
        <v/>
      </c>
      <c r="F713">
        <f>IF(A713="",0,IF(A713&gt;$B$5,1,0))</f>
        <v/>
      </c>
      <c r="G713" s="29">
        <f>IF(AND(F713=1,ISNUMBER(D713)),D713,"")</f>
        <v/>
      </c>
      <c r="H713" s="29">
        <f>IF(AND(F713=1,ISNUMBER(E713)),E713,"")</f>
        <v/>
      </c>
      <c r="I713" s="22">
        <f>IF(AND(F713=1,ISNUMBER(C713)),C713,"")</f>
        <v/>
      </c>
      <c r="J713" s="11">
        <f>IF(G713="","",100-IF($G$13=1,50,(_xlfn.RANK.AVG(G713,$G$19:$G$1518,1)-1)/($G$13-1)*100))</f>
        <v/>
      </c>
      <c r="K713" s="11">
        <f>IF(H713="","",100-IF($G$14=1,50,(_xlfn.RANK.AVG(H713,$H$19:$H$1518,1)-1)/($G$14-1)*100))</f>
        <v/>
      </c>
      <c r="L713" s="11">
        <f>IF(I713="","",IF($G$15=1,50,(_xlfn.RANK.AVG(I713,$I$19:$I$1518,1)-1)/($G$15-1)*100))</f>
        <v/>
      </c>
      <c r="M713" s="11">
        <f>IF(COUNT(J713:L713)=3,ROUND(AVERAGE(J713:L713),6),"")</f>
        <v/>
      </c>
      <c r="O713">
        <f>IF(AND(ISNUMBER('자료_미국심리'!$A697),ISNUMBER('자료_미국심리'!$B697)),'자료_미국심리'!$A697,"")</f>
        <v/>
      </c>
      <c r="P713">
        <f>IF(AND(ISNUMBER('자료_미국심리'!$D697),ISNUMBER('자료_미국심리'!$E697)),'자료_미국심리'!$D697,"")</f>
        <v/>
      </c>
      <c r="Q713">
        <f>IF(AND(ISNUMBER('자료_미국심리'!$G697),ISNUMBER('자료_미국심리'!$H697)),'자료_미국심리'!$G697,"")</f>
        <v/>
      </c>
    </row>
    <row r="714">
      <c r="A714" s="10">
        <f>IF(696&gt;$E$5,"",SMALL($O$19:$O$4018,$E$6+696))</f>
        <v/>
      </c>
      <c r="B714" s="29">
        <f>IF(A714="","",INDEX('자료_미국심리'!$B$3:$B$4002,MATCH(A714,$O$19:$O$4018,0)))</f>
        <v/>
      </c>
      <c r="C714" s="22">
        <f>IF(A714="","",B714/AVERAGE(B590:B714)-1)</f>
        <v/>
      </c>
      <c r="D714" s="29">
        <f>IF(A714="","",IFERROR(INDEX('자료_미국심리'!$E$3:$E$4002,MATCH(A714,$P$19:$P$4018,0)),D713))</f>
        <v/>
      </c>
      <c r="E714" s="29">
        <f>IF(A714="","",IFERROR(INDEX('자료_미국심리'!$H$3:$H$4002,MATCH(A714,$Q$19:$Q$4018,0)),E713))</f>
        <v/>
      </c>
      <c r="F714">
        <f>IF(A714="",0,IF(A714&gt;$B$5,1,0))</f>
        <v/>
      </c>
      <c r="G714" s="29">
        <f>IF(AND(F714=1,ISNUMBER(D714)),D714,"")</f>
        <v/>
      </c>
      <c r="H714" s="29">
        <f>IF(AND(F714=1,ISNUMBER(E714)),E714,"")</f>
        <v/>
      </c>
      <c r="I714" s="22">
        <f>IF(AND(F714=1,ISNUMBER(C714)),C714,"")</f>
        <v/>
      </c>
      <c r="J714" s="11">
        <f>IF(G714="","",100-IF($G$13=1,50,(_xlfn.RANK.AVG(G714,$G$19:$G$1518,1)-1)/($G$13-1)*100))</f>
        <v/>
      </c>
      <c r="K714" s="11">
        <f>IF(H714="","",100-IF($G$14=1,50,(_xlfn.RANK.AVG(H714,$H$19:$H$1518,1)-1)/($G$14-1)*100))</f>
        <v/>
      </c>
      <c r="L714" s="11">
        <f>IF(I714="","",IF($G$15=1,50,(_xlfn.RANK.AVG(I714,$I$19:$I$1518,1)-1)/($G$15-1)*100))</f>
        <v/>
      </c>
      <c r="M714" s="11">
        <f>IF(COUNT(J714:L714)=3,ROUND(AVERAGE(J714:L714),6),"")</f>
        <v/>
      </c>
      <c r="O714">
        <f>IF(AND(ISNUMBER('자료_미국심리'!$A698),ISNUMBER('자료_미국심리'!$B698)),'자료_미국심리'!$A698,"")</f>
        <v/>
      </c>
      <c r="P714">
        <f>IF(AND(ISNUMBER('자료_미국심리'!$D698),ISNUMBER('자료_미국심리'!$E698)),'자료_미국심리'!$D698,"")</f>
        <v/>
      </c>
      <c r="Q714">
        <f>IF(AND(ISNUMBER('자료_미국심리'!$G698),ISNUMBER('자료_미국심리'!$H698)),'자료_미국심리'!$G698,"")</f>
        <v/>
      </c>
    </row>
    <row r="715">
      <c r="A715" s="10">
        <f>IF(697&gt;$E$5,"",SMALL($O$19:$O$4018,$E$6+697))</f>
        <v/>
      </c>
      <c r="B715" s="29">
        <f>IF(A715="","",INDEX('자료_미국심리'!$B$3:$B$4002,MATCH(A715,$O$19:$O$4018,0)))</f>
        <v/>
      </c>
      <c r="C715" s="22">
        <f>IF(A715="","",B715/AVERAGE(B591:B715)-1)</f>
        <v/>
      </c>
      <c r="D715" s="29">
        <f>IF(A715="","",IFERROR(INDEX('자료_미국심리'!$E$3:$E$4002,MATCH(A715,$P$19:$P$4018,0)),D714))</f>
        <v/>
      </c>
      <c r="E715" s="29">
        <f>IF(A715="","",IFERROR(INDEX('자료_미국심리'!$H$3:$H$4002,MATCH(A715,$Q$19:$Q$4018,0)),E714))</f>
        <v/>
      </c>
      <c r="F715">
        <f>IF(A715="",0,IF(A715&gt;$B$5,1,0))</f>
        <v/>
      </c>
      <c r="G715" s="29">
        <f>IF(AND(F715=1,ISNUMBER(D715)),D715,"")</f>
        <v/>
      </c>
      <c r="H715" s="29">
        <f>IF(AND(F715=1,ISNUMBER(E715)),E715,"")</f>
        <v/>
      </c>
      <c r="I715" s="22">
        <f>IF(AND(F715=1,ISNUMBER(C715)),C715,"")</f>
        <v/>
      </c>
      <c r="J715" s="11">
        <f>IF(G715="","",100-IF($G$13=1,50,(_xlfn.RANK.AVG(G715,$G$19:$G$1518,1)-1)/($G$13-1)*100))</f>
        <v/>
      </c>
      <c r="K715" s="11">
        <f>IF(H715="","",100-IF($G$14=1,50,(_xlfn.RANK.AVG(H715,$H$19:$H$1518,1)-1)/($G$14-1)*100))</f>
        <v/>
      </c>
      <c r="L715" s="11">
        <f>IF(I715="","",IF($G$15=1,50,(_xlfn.RANK.AVG(I715,$I$19:$I$1518,1)-1)/($G$15-1)*100))</f>
        <v/>
      </c>
      <c r="M715" s="11">
        <f>IF(COUNT(J715:L715)=3,ROUND(AVERAGE(J715:L715),6),"")</f>
        <v/>
      </c>
      <c r="O715">
        <f>IF(AND(ISNUMBER('자료_미국심리'!$A699),ISNUMBER('자료_미국심리'!$B699)),'자료_미국심리'!$A699,"")</f>
        <v/>
      </c>
      <c r="P715">
        <f>IF(AND(ISNUMBER('자료_미국심리'!$D699),ISNUMBER('자료_미국심리'!$E699)),'자료_미국심리'!$D699,"")</f>
        <v/>
      </c>
      <c r="Q715">
        <f>IF(AND(ISNUMBER('자료_미국심리'!$G699),ISNUMBER('자료_미국심리'!$H699)),'자료_미국심리'!$G699,"")</f>
        <v/>
      </c>
    </row>
    <row r="716">
      <c r="A716" s="10">
        <f>IF(698&gt;$E$5,"",SMALL($O$19:$O$4018,$E$6+698))</f>
        <v/>
      </c>
      <c r="B716" s="29">
        <f>IF(A716="","",INDEX('자료_미국심리'!$B$3:$B$4002,MATCH(A716,$O$19:$O$4018,0)))</f>
        <v/>
      </c>
      <c r="C716" s="22">
        <f>IF(A716="","",B716/AVERAGE(B592:B716)-1)</f>
        <v/>
      </c>
      <c r="D716" s="29">
        <f>IF(A716="","",IFERROR(INDEX('자료_미국심리'!$E$3:$E$4002,MATCH(A716,$P$19:$P$4018,0)),D715))</f>
        <v/>
      </c>
      <c r="E716" s="29">
        <f>IF(A716="","",IFERROR(INDEX('자료_미국심리'!$H$3:$H$4002,MATCH(A716,$Q$19:$Q$4018,0)),E715))</f>
        <v/>
      </c>
      <c r="F716">
        <f>IF(A716="",0,IF(A716&gt;$B$5,1,0))</f>
        <v/>
      </c>
      <c r="G716" s="29">
        <f>IF(AND(F716=1,ISNUMBER(D716)),D716,"")</f>
        <v/>
      </c>
      <c r="H716" s="29">
        <f>IF(AND(F716=1,ISNUMBER(E716)),E716,"")</f>
        <v/>
      </c>
      <c r="I716" s="22">
        <f>IF(AND(F716=1,ISNUMBER(C716)),C716,"")</f>
        <v/>
      </c>
      <c r="J716" s="11">
        <f>IF(G716="","",100-IF($G$13=1,50,(_xlfn.RANK.AVG(G716,$G$19:$G$1518,1)-1)/($G$13-1)*100))</f>
        <v/>
      </c>
      <c r="K716" s="11">
        <f>IF(H716="","",100-IF($G$14=1,50,(_xlfn.RANK.AVG(H716,$H$19:$H$1518,1)-1)/($G$14-1)*100))</f>
        <v/>
      </c>
      <c r="L716" s="11">
        <f>IF(I716="","",IF($G$15=1,50,(_xlfn.RANK.AVG(I716,$I$19:$I$1518,1)-1)/($G$15-1)*100))</f>
        <v/>
      </c>
      <c r="M716" s="11">
        <f>IF(COUNT(J716:L716)=3,ROUND(AVERAGE(J716:L716),6),"")</f>
        <v/>
      </c>
      <c r="O716">
        <f>IF(AND(ISNUMBER('자료_미국심리'!$A700),ISNUMBER('자료_미국심리'!$B700)),'자료_미국심리'!$A700,"")</f>
        <v/>
      </c>
      <c r="P716">
        <f>IF(AND(ISNUMBER('자료_미국심리'!$D700),ISNUMBER('자료_미국심리'!$E700)),'자료_미국심리'!$D700,"")</f>
        <v/>
      </c>
      <c r="Q716">
        <f>IF(AND(ISNUMBER('자료_미국심리'!$G700),ISNUMBER('자료_미국심리'!$H700)),'자료_미국심리'!$G700,"")</f>
        <v/>
      </c>
    </row>
    <row r="717">
      <c r="A717" s="10">
        <f>IF(699&gt;$E$5,"",SMALL($O$19:$O$4018,$E$6+699))</f>
        <v/>
      </c>
      <c r="B717" s="29">
        <f>IF(A717="","",INDEX('자료_미국심리'!$B$3:$B$4002,MATCH(A717,$O$19:$O$4018,0)))</f>
        <v/>
      </c>
      <c r="C717" s="22">
        <f>IF(A717="","",B717/AVERAGE(B593:B717)-1)</f>
        <v/>
      </c>
      <c r="D717" s="29">
        <f>IF(A717="","",IFERROR(INDEX('자료_미국심리'!$E$3:$E$4002,MATCH(A717,$P$19:$P$4018,0)),D716))</f>
        <v/>
      </c>
      <c r="E717" s="29">
        <f>IF(A717="","",IFERROR(INDEX('자료_미국심리'!$H$3:$H$4002,MATCH(A717,$Q$19:$Q$4018,0)),E716))</f>
        <v/>
      </c>
      <c r="F717">
        <f>IF(A717="",0,IF(A717&gt;$B$5,1,0))</f>
        <v/>
      </c>
      <c r="G717" s="29">
        <f>IF(AND(F717=1,ISNUMBER(D717)),D717,"")</f>
        <v/>
      </c>
      <c r="H717" s="29">
        <f>IF(AND(F717=1,ISNUMBER(E717)),E717,"")</f>
        <v/>
      </c>
      <c r="I717" s="22">
        <f>IF(AND(F717=1,ISNUMBER(C717)),C717,"")</f>
        <v/>
      </c>
      <c r="J717" s="11">
        <f>IF(G717="","",100-IF($G$13=1,50,(_xlfn.RANK.AVG(G717,$G$19:$G$1518,1)-1)/($G$13-1)*100))</f>
        <v/>
      </c>
      <c r="K717" s="11">
        <f>IF(H717="","",100-IF($G$14=1,50,(_xlfn.RANK.AVG(H717,$H$19:$H$1518,1)-1)/($G$14-1)*100))</f>
        <v/>
      </c>
      <c r="L717" s="11">
        <f>IF(I717="","",IF($G$15=1,50,(_xlfn.RANK.AVG(I717,$I$19:$I$1518,1)-1)/($G$15-1)*100))</f>
        <v/>
      </c>
      <c r="M717" s="11">
        <f>IF(COUNT(J717:L717)=3,ROUND(AVERAGE(J717:L717),6),"")</f>
        <v/>
      </c>
      <c r="O717">
        <f>IF(AND(ISNUMBER('자료_미국심리'!$A701),ISNUMBER('자료_미국심리'!$B701)),'자료_미국심리'!$A701,"")</f>
        <v/>
      </c>
      <c r="P717">
        <f>IF(AND(ISNUMBER('자료_미국심리'!$D701),ISNUMBER('자료_미국심리'!$E701)),'자료_미국심리'!$D701,"")</f>
        <v/>
      </c>
      <c r="Q717">
        <f>IF(AND(ISNUMBER('자료_미국심리'!$G701),ISNUMBER('자료_미국심리'!$H701)),'자료_미국심리'!$G701,"")</f>
        <v/>
      </c>
    </row>
    <row r="718">
      <c r="A718" s="10">
        <f>IF(700&gt;$E$5,"",SMALL($O$19:$O$4018,$E$6+700))</f>
        <v/>
      </c>
      <c r="B718" s="29">
        <f>IF(A718="","",INDEX('자료_미국심리'!$B$3:$B$4002,MATCH(A718,$O$19:$O$4018,0)))</f>
        <v/>
      </c>
      <c r="C718" s="22">
        <f>IF(A718="","",B718/AVERAGE(B594:B718)-1)</f>
        <v/>
      </c>
      <c r="D718" s="29">
        <f>IF(A718="","",IFERROR(INDEX('자료_미국심리'!$E$3:$E$4002,MATCH(A718,$P$19:$P$4018,0)),D717))</f>
        <v/>
      </c>
      <c r="E718" s="29">
        <f>IF(A718="","",IFERROR(INDEX('자료_미국심리'!$H$3:$H$4002,MATCH(A718,$Q$19:$Q$4018,0)),E717))</f>
        <v/>
      </c>
      <c r="F718">
        <f>IF(A718="",0,IF(A718&gt;$B$5,1,0))</f>
        <v/>
      </c>
      <c r="G718" s="29">
        <f>IF(AND(F718=1,ISNUMBER(D718)),D718,"")</f>
        <v/>
      </c>
      <c r="H718" s="29">
        <f>IF(AND(F718=1,ISNUMBER(E718)),E718,"")</f>
        <v/>
      </c>
      <c r="I718" s="22">
        <f>IF(AND(F718=1,ISNUMBER(C718)),C718,"")</f>
        <v/>
      </c>
      <c r="J718" s="11">
        <f>IF(G718="","",100-IF($G$13=1,50,(_xlfn.RANK.AVG(G718,$G$19:$G$1518,1)-1)/($G$13-1)*100))</f>
        <v/>
      </c>
      <c r="K718" s="11">
        <f>IF(H718="","",100-IF($G$14=1,50,(_xlfn.RANK.AVG(H718,$H$19:$H$1518,1)-1)/($G$14-1)*100))</f>
        <v/>
      </c>
      <c r="L718" s="11">
        <f>IF(I718="","",IF($G$15=1,50,(_xlfn.RANK.AVG(I718,$I$19:$I$1518,1)-1)/($G$15-1)*100))</f>
        <v/>
      </c>
      <c r="M718" s="11">
        <f>IF(COUNT(J718:L718)=3,ROUND(AVERAGE(J718:L718),6),"")</f>
        <v/>
      </c>
      <c r="O718">
        <f>IF(AND(ISNUMBER('자료_미국심리'!$A702),ISNUMBER('자료_미국심리'!$B702)),'자료_미국심리'!$A702,"")</f>
        <v/>
      </c>
      <c r="P718">
        <f>IF(AND(ISNUMBER('자료_미국심리'!$D702),ISNUMBER('자료_미국심리'!$E702)),'자료_미국심리'!$D702,"")</f>
        <v/>
      </c>
      <c r="Q718">
        <f>IF(AND(ISNUMBER('자료_미국심리'!$G702),ISNUMBER('자료_미국심리'!$H702)),'자료_미국심리'!$G702,"")</f>
        <v/>
      </c>
    </row>
    <row r="719">
      <c r="A719" s="10">
        <f>IF(701&gt;$E$5,"",SMALL($O$19:$O$4018,$E$6+701))</f>
        <v/>
      </c>
      <c r="B719" s="29">
        <f>IF(A719="","",INDEX('자료_미국심리'!$B$3:$B$4002,MATCH(A719,$O$19:$O$4018,0)))</f>
        <v/>
      </c>
      <c r="C719" s="22">
        <f>IF(A719="","",B719/AVERAGE(B595:B719)-1)</f>
        <v/>
      </c>
      <c r="D719" s="29">
        <f>IF(A719="","",IFERROR(INDEX('자료_미국심리'!$E$3:$E$4002,MATCH(A719,$P$19:$P$4018,0)),D718))</f>
        <v/>
      </c>
      <c r="E719" s="29">
        <f>IF(A719="","",IFERROR(INDEX('자료_미국심리'!$H$3:$H$4002,MATCH(A719,$Q$19:$Q$4018,0)),E718))</f>
        <v/>
      </c>
      <c r="F719">
        <f>IF(A719="",0,IF(A719&gt;$B$5,1,0))</f>
        <v/>
      </c>
      <c r="G719" s="29">
        <f>IF(AND(F719=1,ISNUMBER(D719)),D719,"")</f>
        <v/>
      </c>
      <c r="H719" s="29">
        <f>IF(AND(F719=1,ISNUMBER(E719)),E719,"")</f>
        <v/>
      </c>
      <c r="I719" s="22">
        <f>IF(AND(F719=1,ISNUMBER(C719)),C719,"")</f>
        <v/>
      </c>
      <c r="J719" s="11">
        <f>IF(G719="","",100-IF($G$13=1,50,(_xlfn.RANK.AVG(G719,$G$19:$G$1518,1)-1)/($G$13-1)*100))</f>
        <v/>
      </c>
      <c r="K719" s="11">
        <f>IF(H719="","",100-IF($G$14=1,50,(_xlfn.RANK.AVG(H719,$H$19:$H$1518,1)-1)/($G$14-1)*100))</f>
        <v/>
      </c>
      <c r="L719" s="11">
        <f>IF(I719="","",IF($G$15=1,50,(_xlfn.RANK.AVG(I719,$I$19:$I$1518,1)-1)/($G$15-1)*100))</f>
        <v/>
      </c>
      <c r="M719" s="11">
        <f>IF(COUNT(J719:L719)=3,ROUND(AVERAGE(J719:L719),6),"")</f>
        <v/>
      </c>
      <c r="O719">
        <f>IF(AND(ISNUMBER('자료_미국심리'!$A703),ISNUMBER('자료_미국심리'!$B703)),'자료_미국심리'!$A703,"")</f>
        <v/>
      </c>
      <c r="P719">
        <f>IF(AND(ISNUMBER('자료_미국심리'!$D703),ISNUMBER('자료_미국심리'!$E703)),'자료_미국심리'!$D703,"")</f>
        <v/>
      </c>
      <c r="Q719">
        <f>IF(AND(ISNUMBER('자료_미국심리'!$G703),ISNUMBER('자료_미국심리'!$H703)),'자료_미국심리'!$G703,"")</f>
        <v/>
      </c>
    </row>
    <row r="720">
      <c r="A720" s="10">
        <f>IF(702&gt;$E$5,"",SMALL($O$19:$O$4018,$E$6+702))</f>
        <v/>
      </c>
      <c r="B720" s="29">
        <f>IF(A720="","",INDEX('자료_미국심리'!$B$3:$B$4002,MATCH(A720,$O$19:$O$4018,0)))</f>
        <v/>
      </c>
      <c r="C720" s="22">
        <f>IF(A720="","",B720/AVERAGE(B596:B720)-1)</f>
        <v/>
      </c>
      <c r="D720" s="29">
        <f>IF(A720="","",IFERROR(INDEX('자료_미국심리'!$E$3:$E$4002,MATCH(A720,$P$19:$P$4018,0)),D719))</f>
        <v/>
      </c>
      <c r="E720" s="29">
        <f>IF(A720="","",IFERROR(INDEX('자료_미국심리'!$H$3:$H$4002,MATCH(A720,$Q$19:$Q$4018,0)),E719))</f>
        <v/>
      </c>
      <c r="F720">
        <f>IF(A720="",0,IF(A720&gt;$B$5,1,0))</f>
        <v/>
      </c>
      <c r="G720" s="29">
        <f>IF(AND(F720=1,ISNUMBER(D720)),D720,"")</f>
        <v/>
      </c>
      <c r="H720" s="29">
        <f>IF(AND(F720=1,ISNUMBER(E720)),E720,"")</f>
        <v/>
      </c>
      <c r="I720" s="22">
        <f>IF(AND(F720=1,ISNUMBER(C720)),C720,"")</f>
        <v/>
      </c>
      <c r="J720" s="11">
        <f>IF(G720="","",100-IF($G$13=1,50,(_xlfn.RANK.AVG(G720,$G$19:$G$1518,1)-1)/($G$13-1)*100))</f>
        <v/>
      </c>
      <c r="K720" s="11">
        <f>IF(H720="","",100-IF($G$14=1,50,(_xlfn.RANK.AVG(H720,$H$19:$H$1518,1)-1)/($G$14-1)*100))</f>
        <v/>
      </c>
      <c r="L720" s="11">
        <f>IF(I720="","",IF($G$15=1,50,(_xlfn.RANK.AVG(I720,$I$19:$I$1518,1)-1)/($G$15-1)*100))</f>
        <v/>
      </c>
      <c r="M720" s="11">
        <f>IF(COUNT(J720:L720)=3,ROUND(AVERAGE(J720:L720),6),"")</f>
        <v/>
      </c>
      <c r="O720">
        <f>IF(AND(ISNUMBER('자료_미국심리'!$A704),ISNUMBER('자료_미국심리'!$B704)),'자료_미국심리'!$A704,"")</f>
        <v/>
      </c>
      <c r="P720">
        <f>IF(AND(ISNUMBER('자료_미국심리'!$D704),ISNUMBER('자료_미국심리'!$E704)),'자료_미국심리'!$D704,"")</f>
        <v/>
      </c>
      <c r="Q720">
        <f>IF(AND(ISNUMBER('자료_미국심리'!$G704),ISNUMBER('자료_미국심리'!$H704)),'자료_미국심리'!$G704,"")</f>
        <v/>
      </c>
    </row>
    <row r="721">
      <c r="A721" s="10">
        <f>IF(703&gt;$E$5,"",SMALL($O$19:$O$4018,$E$6+703))</f>
        <v/>
      </c>
      <c r="B721" s="29">
        <f>IF(A721="","",INDEX('자료_미국심리'!$B$3:$B$4002,MATCH(A721,$O$19:$O$4018,0)))</f>
        <v/>
      </c>
      <c r="C721" s="22">
        <f>IF(A721="","",B721/AVERAGE(B597:B721)-1)</f>
        <v/>
      </c>
      <c r="D721" s="29">
        <f>IF(A721="","",IFERROR(INDEX('자료_미국심리'!$E$3:$E$4002,MATCH(A721,$P$19:$P$4018,0)),D720))</f>
        <v/>
      </c>
      <c r="E721" s="29">
        <f>IF(A721="","",IFERROR(INDEX('자료_미국심리'!$H$3:$H$4002,MATCH(A721,$Q$19:$Q$4018,0)),E720))</f>
        <v/>
      </c>
      <c r="F721">
        <f>IF(A721="",0,IF(A721&gt;$B$5,1,0))</f>
        <v/>
      </c>
      <c r="G721" s="29">
        <f>IF(AND(F721=1,ISNUMBER(D721)),D721,"")</f>
        <v/>
      </c>
      <c r="H721" s="29">
        <f>IF(AND(F721=1,ISNUMBER(E721)),E721,"")</f>
        <v/>
      </c>
      <c r="I721" s="22">
        <f>IF(AND(F721=1,ISNUMBER(C721)),C721,"")</f>
        <v/>
      </c>
      <c r="J721" s="11">
        <f>IF(G721="","",100-IF($G$13=1,50,(_xlfn.RANK.AVG(G721,$G$19:$G$1518,1)-1)/($G$13-1)*100))</f>
        <v/>
      </c>
      <c r="K721" s="11">
        <f>IF(H721="","",100-IF($G$14=1,50,(_xlfn.RANK.AVG(H721,$H$19:$H$1518,1)-1)/($G$14-1)*100))</f>
        <v/>
      </c>
      <c r="L721" s="11">
        <f>IF(I721="","",IF($G$15=1,50,(_xlfn.RANK.AVG(I721,$I$19:$I$1518,1)-1)/($G$15-1)*100))</f>
        <v/>
      </c>
      <c r="M721" s="11">
        <f>IF(COUNT(J721:L721)=3,ROUND(AVERAGE(J721:L721),6),"")</f>
        <v/>
      </c>
      <c r="O721">
        <f>IF(AND(ISNUMBER('자료_미국심리'!$A705),ISNUMBER('자료_미국심리'!$B705)),'자료_미국심리'!$A705,"")</f>
        <v/>
      </c>
      <c r="P721">
        <f>IF(AND(ISNUMBER('자료_미국심리'!$D705),ISNUMBER('자료_미국심리'!$E705)),'자료_미국심리'!$D705,"")</f>
        <v/>
      </c>
      <c r="Q721">
        <f>IF(AND(ISNUMBER('자료_미국심리'!$G705),ISNUMBER('자료_미국심리'!$H705)),'자료_미국심리'!$G705,"")</f>
        <v/>
      </c>
    </row>
    <row r="722">
      <c r="A722" s="10">
        <f>IF(704&gt;$E$5,"",SMALL($O$19:$O$4018,$E$6+704))</f>
        <v/>
      </c>
      <c r="B722" s="29">
        <f>IF(A722="","",INDEX('자료_미국심리'!$B$3:$B$4002,MATCH(A722,$O$19:$O$4018,0)))</f>
        <v/>
      </c>
      <c r="C722" s="22">
        <f>IF(A722="","",B722/AVERAGE(B598:B722)-1)</f>
        <v/>
      </c>
      <c r="D722" s="29">
        <f>IF(A722="","",IFERROR(INDEX('자료_미국심리'!$E$3:$E$4002,MATCH(A722,$P$19:$P$4018,0)),D721))</f>
        <v/>
      </c>
      <c r="E722" s="29">
        <f>IF(A722="","",IFERROR(INDEX('자료_미국심리'!$H$3:$H$4002,MATCH(A722,$Q$19:$Q$4018,0)),E721))</f>
        <v/>
      </c>
      <c r="F722">
        <f>IF(A722="",0,IF(A722&gt;$B$5,1,0))</f>
        <v/>
      </c>
      <c r="G722" s="29">
        <f>IF(AND(F722=1,ISNUMBER(D722)),D722,"")</f>
        <v/>
      </c>
      <c r="H722" s="29">
        <f>IF(AND(F722=1,ISNUMBER(E722)),E722,"")</f>
        <v/>
      </c>
      <c r="I722" s="22">
        <f>IF(AND(F722=1,ISNUMBER(C722)),C722,"")</f>
        <v/>
      </c>
      <c r="J722" s="11">
        <f>IF(G722="","",100-IF($G$13=1,50,(_xlfn.RANK.AVG(G722,$G$19:$G$1518,1)-1)/($G$13-1)*100))</f>
        <v/>
      </c>
      <c r="K722" s="11">
        <f>IF(H722="","",100-IF($G$14=1,50,(_xlfn.RANK.AVG(H722,$H$19:$H$1518,1)-1)/($G$14-1)*100))</f>
        <v/>
      </c>
      <c r="L722" s="11">
        <f>IF(I722="","",IF($G$15=1,50,(_xlfn.RANK.AVG(I722,$I$19:$I$1518,1)-1)/($G$15-1)*100))</f>
        <v/>
      </c>
      <c r="M722" s="11">
        <f>IF(COUNT(J722:L722)=3,ROUND(AVERAGE(J722:L722),6),"")</f>
        <v/>
      </c>
      <c r="O722">
        <f>IF(AND(ISNUMBER('자료_미국심리'!$A706),ISNUMBER('자료_미국심리'!$B706)),'자료_미국심리'!$A706,"")</f>
        <v/>
      </c>
      <c r="P722">
        <f>IF(AND(ISNUMBER('자료_미국심리'!$D706),ISNUMBER('자료_미국심리'!$E706)),'자료_미국심리'!$D706,"")</f>
        <v/>
      </c>
      <c r="Q722">
        <f>IF(AND(ISNUMBER('자료_미국심리'!$G706),ISNUMBER('자료_미국심리'!$H706)),'자료_미국심리'!$G706,"")</f>
        <v/>
      </c>
    </row>
    <row r="723">
      <c r="A723" s="10">
        <f>IF(705&gt;$E$5,"",SMALL($O$19:$O$4018,$E$6+705))</f>
        <v/>
      </c>
      <c r="B723" s="29">
        <f>IF(A723="","",INDEX('자료_미국심리'!$B$3:$B$4002,MATCH(A723,$O$19:$O$4018,0)))</f>
        <v/>
      </c>
      <c r="C723" s="22">
        <f>IF(A723="","",B723/AVERAGE(B599:B723)-1)</f>
        <v/>
      </c>
      <c r="D723" s="29">
        <f>IF(A723="","",IFERROR(INDEX('자료_미국심리'!$E$3:$E$4002,MATCH(A723,$P$19:$P$4018,0)),D722))</f>
        <v/>
      </c>
      <c r="E723" s="29">
        <f>IF(A723="","",IFERROR(INDEX('자료_미국심리'!$H$3:$H$4002,MATCH(A723,$Q$19:$Q$4018,0)),E722))</f>
        <v/>
      </c>
      <c r="F723">
        <f>IF(A723="",0,IF(A723&gt;$B$5,1,0))</f>
        <v/>
      </c>
      <c r="G723" s="29">
        <f>IF(AND(F723=1,ISNUMBER(D723)),D723,"")</f>
        <v/>
      </c>
      <c r="H723" s="29">
        <f>IF(AND(F723=1,ISNUMBER(E723)),E723,"")</f>
        <v/>
      </c>
      <c r="I723" s="22">
        <f>IF(AND(F723=1,ISNUMBER(C723)),C723,"")</f>
        <v/>
      </c>
      <c r="J723" s="11">
        <f>IF(G723="","",100-IF($G$13=1,50,(_xlfn.RANK.AVG(G723,$G$19:$G$1518,1)-1)/($G$13-1)*100))</f>
        <v/>
      </c>
      <c r="K723" s="11">
        <f>IF(H723="","",100-IF($G$14=1,50,(_xlfn.RANK.AVG(H723,$H$19:$H$1518,1)-1)/($G$14-1)*100))</f>
        <v/>
      </c>
      <c r="L723" s="11">
        <f>IF(I723="","",IF($G$15=1,50,(_xlfn.RANK.AVG(I723,$I$19:$I$1518,1)-1)/($G$15-1)*100))</f>
        <v/>
      </c>
      <c r="M723" s="11">
        <f>IF(COUNT(J723:L723)=3,ROUND(AVERAGE(J723:L723),6),"")</f>
        <v/>
      </c>
      <c r="O723">
        <f>IF(AND(ISNUMBER('자료_미국심리'!$A707),ISNUMBER('자료_미국심리'!$B707)),'자료_미국심리'!$A707,"")</f>
        <v/>
      </c>
      <c r="P723">
        <f>IF(AND(ISNUMBER('자료_미국심리'!$D707),ISNUMBER('자료_미국심리'!$E707)),'자료_미국심리'!$D707,"")</f>
        <v/>
      </c>
      <c r="Q723">
        <f>IF(AND(ISNUMBER('자료_미국심리'!$G707),ISNUMBER('자료_미국심리'!$H707)),'자료_미국심리'!$G707,"")</f>
        <v/>
      </c>
    </row>
    <row r="724">
      <c r="A724" s="10">
        <f>IF(706&gt;$E$5,"",SMALL($O$19:$O$4018,$E$6+706))</f>
        <v/>
      </c>
      <c r="B724" s="29">
        <f>IF(A724="","",INDEX('자료_미국심리'!$B$3:$B$4002,MATCH(A724,$O$19:$O$4018,0)))</f>
        <v/>
      </c>
      <c r="C724" s="22">
        <f>IF(A724="","",B724/AVERAGE(B600:B724)-1)</f>
        <v/>
      </c>
      <c r="D724" s="29">
        <f>IF(A724="","",IFERROR(INDEX('자료_미국심리'!$E$3:$E$4002,MATCH(A724,$P$19:$P$4018,0)),D723))</f>
        <v/>
      </c>
      <c r="E724" s="29">
        <f>IF(A724="","",IFERROR(INDEX('자료_미국심리'!$H$3:$H$4002,MATCH(A724,$Q$19:$Q$4018,0)),E723))</f>
        <v/>
      </c>
      <c r="F724">
        <f>IF(A724="",0,IF(A724&gt;$B$5,1,0))</f>
        <v/>
      </c>
      <c r="G724" s="29">
        <f>IF(AND(F724=1,ISNUMBER(D724)),D724,"")</f>
        <v/>
      </c>
      <c r="H724" s="29">
        <f>IF(AND(F724=1,ISNUMBER(E724)),E724,"")</f>
        <v/>
      </c>
      <c r="I724" s="22">
        <f>IF(AND(F724=1,ISNUMBER(C724)),C724,"")</f>
        <v/>
      </c>
      <c r="J724" s="11">
        <f>IF(G724="","",100-IF($G$13=1,50,(_xlfn.RANK.AVG(G724,$G$19:$G$1518,1)-1)/($G$13-1)*100))</f>
        <v/>
      </c>
      <c r="K724" s="11">
        <f>IF(H724="","",100-IF($G$14=1,50,(_xlfn.RANK.AVG(H724,$H$19:$H$1518,1)-1)/($G$14-1)*100))</f>
        <v/>
      </c>
      <c r="L724" s="11">
        <f>IF(I724="","",IF($G$15=1,50,(_xlfn.RANK.AVG(I724,$I$19:$I$1518,1)-1)/($G$15-1)*100))</f>
        <v/>
      </c>
      <c r="M724" s="11">
        <f>IF(COUNT(J724:L724)=3,ROUND(AVERAGE(J724:L724),6),"")</f>
        <v/>
      </c>
      <c r="O724">
        <f>IF(AND(ISNUMBER('자료_미국심리'!$A708),ISNUMBER('자료_미국심리'!$B708)),'자료_미국심리'!$A708,"")</f>
        <v/>
      </c>
      <c r="P724">
        <f>IF(AND(ISNUMBER('자료_미국심리'!$D708),ISNUMBER('자료_미국심리'!$E708)),'자료_미국심리'!$D708,"")</f>
        <v/>
      </c>
      <c r="Q724">
        <f>IF(AND(ISNUMBER('자료_미국심리'!$G708),ISNUMBER('자료_미국심리'!$H708)),'자료_미국심리'!$G708,"")</f>
        <v/>
      </c>
    </row>
    <row r="725">
      <c r="A725" s="10">
        <f>IF(707&gt;$E$5,"",SMALL($O$19:$O$4018,$E$6+707))</f>
        <v/>
      </c>
      <c r="B725" s="29">
        <f>IF(A725="","",INDEX('자료_미국심리'!$B$3:$B$4002,MATCH(A725,$O$19:$O$4018,0)))</f>
        <v/>
      </c>
      <c r="C725" s="22">
        <f>IF(A725="","",B725/AVERAGE(B601:B725)-1)</f>
        <v/>
      </c>
      <c r="D725" s="29">
        <f>IF(A725="","",IFERROR(INDEX('자료_미국심리'!$E$3:$E$4002,MATCH(A725,$P$19:$P$4018,0)),D724))</f>
        <v/>
      </c>
      <c r="E725" s="29">
        <f>IF(A725="","",IFERROR(INDEX('자료_미국심리'!$H$3:$H$4002,MATCH(A725,$Q$19:$Q$4018,0)),E724))</f>
        <v/>
      </c>
      <c r="F725">
        <f>IF(A725="",0,IF(A725&gt;$B$5,1,0))</f>
        <v/>
      </c>
      <c r="G725" s="29">
        <f>IF(AND(F725=1,ISNUMBER(D725)),D725,"")</f>
        <v/>
      </c>
      <c r="H725" s="29">
        <f>IF(AND(F725=1,ISNUMBER(E725)),E725,"")</f>
        <v/>
      </c>
      <c r="I725" s="22">
        <f>IF(AND(F725=1,ISNUMBER(C725)),C725,"")</f>
        <v/>
      </c>
      <c r="J725" s="11">
        <f>IF(G725="","",100-IF($G$13=1,50,(_xlfn.RANK.AVG(G725,$G$19:$G$1518,1)-1)/($G$13-1)*100))</f>
        <v/>
      </c>
      <c r="K725" s="11">
        <f>IF(H725="","",100-IF($G$14=1,50,(_xlfn.RANK.AVG(H725,$H$19:$H$1518,1)-1)/($G$14-1)*100))</f>
        <v/>
      </c>
      <c r="L725" s="11">
        <f>IF(I725="","",IF($G$15=1,50,(_xlfn.RANK.AVG(I725,$I$19:$I$1518,1)-1)/($G$15-1)*100))</f>
        <v/>
      </c>
      <c r="M725" s="11">
        <f>IF(COUNT(J725:L725)=3,ROUND(AVERAGE(J725:L725),6),"")</f>
        <v/>
      </c>
      <c r="O725">
        <f>IF(AND(ISNUMBER('자료_미국심리'!$A709),ISNUMBER('자료_미국심리'!$B709)),'자료_미국심리'!$A709,"")</f>
        <v/>
      </c>
      <c r="P725">
        <f>IF(AND(ISNUMBER('자료_미국심리'!$D709),ISNUMBER('자료_미국심리'!$E709)),'자료_미국심리'!$D709,"")</f>
        <v/>
      </c>
      <c r="Q725">
        <f>IF(AND(ISNUMBER('자료_미국심리'!$G709),ISNUMBER('자료_미국심리'!$H709)),'자료_미국심리'!$G709,"")</f>
        <v/>
      </c>
    </row>
    <row r="726">
      <c r="A726" s="10">
        <f>IF(708&gt;$E$5,"",SMALL($O$19:$O$4018,$E$6+708))</f>
        <v/>
      </c>
      <c r="B726" s="29">
        <f>IF(A726="","",INDEX('자료_미국심리'!$B$3:$B$4002,MATCH(A726,$O$19:$O$4018,0)))</f>
        <v/>
      </c>
      <c r="C726" s="22">
        <f>IF(A726="","",B726/AVERAGE(B602:B726)-1)</f>
        <v/>
      </c>
      <c r="D726" s="29">
        <f>IF(A726="","",IFERROR(INDEX('자료_미국심리'!$E$3:$E$4002,MATCH(A726,$P$19:$P$4018,0)),D725))</f>
        <v/>
      </c>
      <c r="E726" s="29">
        <f>IF(A726="","",IFERROR(INDEX('자료_미국심리'!$H$3:$H$4002,MATCH(A726,$Q$19:$Q$4018,0)),E725))</f>
        <v/>
      </c>
      <c r="F726">
        <f>IF(A726="",0,IF(A726&gt;$B$5,1,0))</f>
        <v/>
      </c>
      <c r="G726" s="29">
        <f>IF(AND(F726=1,ISNUMBER(D726)),D726,"")</f>
        <v/>
      </c>
      <c r="H726" s="29">
        <f>IF(AND(F726=1,ISNUMBER(E726)),E726,"")</f>
        <v/>
      </c>
      <c r="I726" s="22">
        <f>IF(AND(F726=1,ISNUMBER(C726)),C726,"")</f>
        <v/>
      </c>
      <c r="J726" s="11">
        <f>IF(G726="","",100-IF($G$13=1,50,(_xlfn.RANK.AVG(G726,$G$19:$G$1518,1)-1)/($G$13-1)*100))</f>
        <v/>
      </c>
      <c r="K726" s="11">
        <f>IF(H726="","",100-IF($G$14=1,50,(_xlfn.RANK.AVG(H726,$H$19:$H$1518,1)-1)/($G$14-1)*100))</f>
        <v/>
      </c>
      <c r="L726" s="11">
        <f>IF(I726="","",IF($G$15=1,50,(_xlfn.RANK.AVG(I726,$I$19:$I$1518,1)-1)/($G$15-1)*100))</f>
        <v/>
      </c>
      <c r="M726" s="11">
        <f>IF(COUNT(J726:L726)=3,ROUND(AVERAGE(J726:L726),6),"")</f>
        <v/>
      </c>
      <c r="O726">
        <f>IF(AND(ISNUMBER('자료_미국심리'!$A710),ISNUMBER('자료_미국심리'!$B710)),'자료_미국심리'!$A710,"")</f>
        <v/>
      </c>
      <c r="P726">
        <f>IF(AND(ISNUMBER('자료_미국심리'!$D710),ISNUMBER('자료_미국심리'!$E710)),'자료_미국심리'!$D710,"")</f>
        <v/>
      </c>
      <c r="Q726">
        <f>IF(AND(ISNUMBER('자료_미국심리'!$G710),ISNUMBER('자료_미국심리'!$H710)),'자료_미국심리'!$G710,"")</f>
        <v/>
      </c>
    </row>
    <row r="727">
      <c r="A727" s="10">
        <f>IF(709&gt;$E$5,"",SMALL($O$19:$O$4018,$E$6+709))</f>
        <v/>
      </c>
      <c r="B727" s="29">
        <f>IF(A727="","",INDEX('자료_미국심리'!$B$3:$B$4002,MATCH(A727,$O$19:$O$4018,0)))</f>
        <v/>
      </c>
      <c r="C727" s="22">
        <f>IF(A727="","",B727/AVERAGE(B603:B727)-1)</f>
        <v/>
      </c>
      <c r="D727" s="29">
        <f>IF(A727="","",IFERROR(INDEX('자료_미국심리'!$E$3:$E$4002,MATCH(A727,$P$19:$P$4018,0)),D726))</f>
        <v/>
      </c>
      <c r="E727" s="29">
        <f>IF(A727="","",IFERROR(INDEX('자료_미국심리'!$H$3:$H$4002,MATCH(A727,$Q$19:$Q$4018,0)),E726))</f>
        <v/>
      </c>
      <c r="F727">
        <f>IF(A727="",0,IF(A727&gt;$B$5,1,0))</f>
        <v/>
      </c>
      <c r="G727" s="29">
        <f>IF(AND(F727=1,ISNUMBER(D727)),D727,"")</f>
        <v/>
      </c>
      <c r="H727" s="29">
        <f>IF(AND(F727=1,ISNUMBER(E727)),E727,"")</f>
        <v/>
      </c>
      <c r="I727" s="22">
        <f>IF(AND(F727=1,ISNUMBER(C727)),C727,"")</f>
        <v/>
      </c>
      <c r="J727" s="11">
        <f>IF(G727="","",100-IF($G$13=1,50,(_xlfn.RANK.AVG(G727,$G$19:$G$1518,1)-1)/($G$13-1)*100))</f>
        <v/>
      </c>
      <c r="K727" s="11">
        <f>IF(H727="","",100-IF($G$14=1,50,(_xlfn.RANK.AVG(H727,$H$19:$H$1518,1)-1)/($G$14-1)*100))</f>
        <v/>
      </c>
      <c r="L727" s="11">
        <f>IF(I727="","",IF($G$15=1,50,(_xlfn.RANK.AVG(I727,$I$19:$I$1518,1)-1)/($G$15-1)*100))</f>
        <v/>
      </c>
      <c r="M727" s="11">
        <f>IF(COUNT(J727:L727)=3,ROUND(AVERAGE(J727:L727),6),"")</f>
        <v/>
      </c>
      <c r="O727">
        <f>IF(AND(ISNUMBER('자료_미국심리'!$A711),ISNUMBER('자료_미국심리'!$B711)),'자료_미국심리'!$A711,"")</f>
        <v/>
      </c>
      <c r="P727">
        <f>IF(AND(ISNUMBER('자료_미국심리'!$D711),ISNUMBER('자료_미국심리'!$E711)),'자료_미국심리'!$D711,"")</f>
        <v/>
      </c>
      <c r="Q727">
        <f>IF(AND(ISNUMBER('자료_미국심리'!$G711),ISNUMBER('자료_미국심리'!$H711)),'자료_미국심리'!$G711,"")</f>
        <v/>
      </c>
    </row>
    <row r="728">
      <c r="A728" s="10">
        <f>IF(710&gt;$E$5,"",SMALL($O$19:$O$4018,$E$6+710))</f>
        <v/>
      </c>
      <c r="B728" s="29">
        <f>IF(A728="","",INDEX('자료_미국심리'!$B$3:$B$4002,MATCH(A728,$O$19:$O$4018,0)))</f>
        <v/>
      </c>
      <c r="C728" s="22">
        <f>IF(A728="","",B728/AVERAGE(B604:B728)-1)</f>
        <v/>
      </c>
      <c r="D728" s="29">
        <f>IF(A728="","",IFERROR(INDEX('자료_미국심리'!$E$3:$E$4002,MATCH(A728,$P$19:$P$4018,0)),D727))</f>
        <v/>
      </c>
      <c r="E728" s="29">
        <f>IF(A728="","",IFERROR(INDEX('자료_미국심리'!$H$3:$H$4002,MATCH(A728,$Q$19:$Q$4018,0)),E727))</f>
        <v/>
      </c>
      <c r="F728">
        <f>IF(A728="",0,IF(A728&gt;$B$5,1,0))</f>
        <v/>
      </c>
      <c r="G728" s="29">
        <f>IF(AND(F728=1,ISNUMBER(D728)),D728,"")</f>
        <v/>
      </c>
      <c r="H728" s="29">
        <f>IF(AND(F728=1,ISNUMBER(E728)),E728,"")</f>
        <v/>
      </c>
      <c r="I728" s="22">
        <f>IF(AND(F728=1,ISNUMBER(C728)),C728,"")</f>
        <v/>
      </c>
      <c r="J728" s="11">
        <f>IF(G728="","",100-IF($G$13=1,50,(_xlfn.RANK.AVG(G728,$G$19:$G$1518,1)-1)/($G$13-1)*100))</f>
        <v/>
      </c>
      <c r="K728" s="11">
        <f>IF(H728="","",100-IF($G$14=1,50,(_xlfn.RANK.AVG(H728,$H$19:$H$1518,1)-1)/($G$14-1)*100))</f>
        <v/>
      </c>
      <c r="L728" s="11">
        <f>IF(I728="","",IF($G$15=1,50,(_xlfn.RANK.AVG(I728,$I$19:$I$1518,1)-1)/($G$15-1)*100))</f>
        <v/>
      </c>
      <c r="M728" s="11">
        <f>IF(COUNT(J728:L728)=3,ROUND(AVERAGE(J728:L728),6),"")</f>
        <v/>
      </c>
      <c r="O728">
        <f>IF(AND(ISNUMBER('자료_미국심리'!$A712),ISNUMBER('자료_미국심리'!$B712)),'자료_미국심리'!$A712,"")</f>
        <v/>
      </c>
      <c r="P728">
        <f>IF(AND(ISNUMBER('자료_미국심리'!$D712),ISNUMBER('자료_미국심리'!$E712)),'자료_미국심리'!$D712,"")</f>
        <v/>
      </c>
      <c r="Q728">
        <f>IF(AND(ISNUMBER('자료_미국심리'!$G712),ISNUMBER('자료_미국심리'!$H712)),'자료_미국심리'!$G712,"")</f>
        <v/>
      </c>
    </row>
    <row r="729">
      <c r="A729" s="10">
        <f>IF(711&gt;$E$5,"",SMALL($O$19:$O$4018,$E$6+711))</f>
        <v/>
      </c>
      <c r="B729" s="29">
        <f>IF(A729="","",INDEX('자료_미국심리'!$B$3:$B$4002,MATCH(A729,$O$19:$O$4018,0)))</f>
        <v/>
      </c>
      <c r="C729" s="22">
        <f>IF(A729="","",B729/AVERAGE(B605:B729)-1)</f>
        <v/>
      </c>
      <c r="D729" s="29">
        <f>IF(A729="","",IFERROR(INDEX('자료_미국심리'!$E$3:$E$4002,MATCH(A729,$P$19:$P$4018,0)),D728))</f>
        <v/>
      </c>
      <c r="E729" s="29">
        <f>IF(A729="","",IFERROR(INDEX('자료_미국심리'!$H$3:$H$4002,MATCH(A729,$Q$19:$Q$4018,0)),E728))</f>
        <v/>
      </c>
      <c r="F729">
        <f>IF(A729="",0,IF(A729&gt;$B$5,1,0))</f>
        <v/>
      </c>
      <c r="G729" s="29">
        <f>IF(AND(F729=1,ISNUMBER(D729)),D729,"")</f>
        <v/>
      </c>
      <c r="H729" s="29">
        <f>IF(AND(F729=1,ISNUMBER(E729)),E729,"")</f>
        <v/>
      </c>
      <c r="I729" s="22">
        <f>IF(AND(F729=1,ISNUMBER(C729)),C729,"")</f>
        <v/>
      </c>
      <c r="J729" s="11">
        <f>IF(G729="","",100-IF($G$13=1,50,(_xlfn.RANK.AVG(G729,$G$19:$G$1518,1)-1)/($G$13-1)*100))</f>
        <v/>
      </c>
      <c r="K729" s="11">
        <f>IF(H729="","",100-IF($G$14=1,50,(_xlfn.RANK.AVG(H729,$H$19:$H$1518,1)-1)/($G$14-1)*100))</f>
        <v/>
      </c>
      <c r="L729" s="11">
        <f>IF(I729="","",IF($G$15=1,50,(_xlfn.RANK.AVG(I729,$I$19:$I$1518,1)-1)/($G$15-1)*100))</f>
        <v/>
      </c>
      <c r="M729" s="11">
        <f>IF(COUNT(J729:L729)=3,ROUND(AVERAGE(J729:L729),6),"")</f>
        <v/>
      </c>
      <c r="O729">
        <f>IF(AND(ISNUMBER('자료_미국심리'!$A713),ISNUMBER('자료_미국심리'!$B713)),'자료_미국심리'!$A713,"")</f>
        <v/>
      </c>
      <c r="P729">
        <f>IF(AND(ISNUMBER('자료_미국심리'!$D713),ISNUMBER('자료_미국심리'!$E713)),'자료_미국심리'!$D713,"")</f>
        <v/>
      </c>
      <c r="Q729">
        <f>IF(AND(ISNUMBER('자료_미국심리'!$G713),ISNUMBER('자료_미국심리'!$H713)),'자료_미국심리'!$G713,"")</f>
        <v/>
      </c>
    </row>
    <row r="730">
      <c r="A730" s="10">
        <f>IF(712&gt;$E$5,"",SMALL($O$19:$O$4018,$E$6+712))</f>
        <v/>
      </c>
      <c r="B730" s="29">
        <f>IF(A730="","",INDEX('자료_미국심리'!$B$3:$B$4002,MATCH(A730,$O$19:$O$4018,0)))</f>
        <v/>
      </c>
      <c r="C730" s="22">
        <f>IF(A730="","",B730/AVERAGE(B606:B730)-1)</f>
        <v/>
      </c>
      <c r="D730" s="29">
        <f>IF(A730="","",IFERROR(INDEX('자료_미국심리'!$E$3:$E$4002,MATCH(A730,$P$19:$P$4018,0)),D729))</f>
        <v/>
      </c>
      <c r="E730" s="29">
        <f>IF(A730="","",IFERROR(INDEX('자료_미국심리'!$H$3:$H$4002,MATCH(A730,$Q$19:$Q$4018,0)),E729))</f>
        <v/>
      </c>
      <c r="F730">
        <f>IF(A730="",0,IF(A730&gt;$B$5,1,0))</f>
        <v/>
      </c>
      <c r="G730" s="29">
        <f>IF(AND(F730=1,ISNUMBER(D730)),D730,"")</f>
        <v/>
      </c>
      <c r="H730" s="29">
        <f>IF(AND(F730=1,ISNUMBER(E730)),E730,"")</f>
        <v/>
      </c>
      <c r="I730" s="22">
        <f>IF(AND(F730=1,ISNUMBER(C730)),C730,"")</f>
        <v/>
      </c>
      <c r="J730" s="11">
        <f>IF(G730="","",100-IF($G$13=1,50,(_xlfn.RANK.AVG(G730,$G$19:$G$1518,1)-1)/($G$13-1)*100))</f>
        <v/>
      </c>
      <c r="K730" s="11">
        <f>IF(H730="","",100-IF($G$14=1,50,(_xlfn.RANK.AVG(H730,$H$19:$H$1518,1)-1)/($G$14-1)*100))</f>
        <v/>
      </c>
      <c r="L730" s="11">
        <f>IF(I730="","",IF($G$15=1,50,(_xlfn.RANK.AVG(I730,$I$19:$I$1518,1)-1)/($G$15-1)*100))</f>
        <v/>
      </c>
      <c r="M730" s="11">
        <f>IF(COUNT(J730:L730)=3,ROUND(AVERAGE(J730:L730),6),"")</f>
        <v/>
      </c>
      <c r="O730">
        <f>IF(AND(ISNUMBER('자료_미국심리'!$A714),ISNUMBER('자료_미국심리'!$B714)),'자료_미국심리'!$A714,"")</f>
        <v/>
      </c>
      <c r="P730">
        <f>IF(AND(ISNUMBER('자료_미국심리'!$D714),ISNUMBER('자료_미국심리'!$E714)),'자료_미국심리'!$D714,"")</f>
        <v/>
      </c>
      <c r="Q730">
        <f>IF(AND(ISNUMBER('자료_미국심리'!$G714),ISNUMBER('자료_미국심리'!$H714)),'자료_미국심리'!$G714,"")</f>
        <v/>
      </c>
    </row>
    <row r="731">
      <c r="A731" s="10">
        <f>IF(713&gt;$E$5,"",SMALL($O$19:$O$4018,$E$6+713))</f>
        <v/>
      </c>
      <c r="B731" s="29">
        <f>IF(A731="","",INDEX('자료_미국심리'!$B$3:$B$4002,MATCH(A731,$O$19:$O$4018,0)))</f>
        <v/>
      </c>
      <c r="C731" s="22">
        <f>IF(A731="","",B731/AVERAGE(B607:B731)-1)</f>
        <v/>
      </c>
      <c r="D731" s="29">
        <f>IF(A731="","",IFERROR(INDEX('자료_미국심리'!$E$3:$E$4002,MATCH(A731,$P$19:$P$4018,0)),D730))</f>
        <v/>
      </c>
      <c r="E731" s="29">
        <f>IF(A731="","",IFERROR(INDEX('자료_미국심리'!$H$3:$H$4002,MATCH(A731,$Q$19:$Q$4018,0)),E730))</f>
        <v/>
      </c>
      <c r="F731">
        <f>IF(A731="",0,IF(A731&gt;$B$5,1,0))</f>
        <v/>
      </c>
      <c r="G731" s="29">
        <f>IF(AND(F731=1,ISNUMBER(D731)),D731,"")</f>
        <v/>
      </c>
      <c r="H731" s="29">
        <f>IF(AND(F731=1,ISNUMBER(E731)),E731,"")</f>
        <v/>
      </c>
      <c r="I731" s="22">
        <f>IF(AND(F731=1,ISNUMBER(C731)),C731,"")</f>
        <v/>
      </c>
      <c r="J731" s="11">
        <f>IF(G731="","",100-IF($G$13=1,50,(_xlfn.RANK.AVG(G731,$G$19:$G$1518,1)-1)/($G$13-1)*100))</f>
        <v/>
      </c>
      <c r="K731" s="11">
        <f>IF(H731="","",100-IF($G$14=1,50,(_xlfn.RANK.AVG(H731,$H$19:$H$1518,1)-1)/($G$14-1)*100))</f>
        <v/>
      </c>
      <c r="L731" s="11">
        <f>IF(I731="","",IF($G$15=1,50,(_xlfn.RANK.AVG(I731,$I$19:$I$1518,1)-1)/($G$15-1)*100))</f>
        <v/>
      </c>
      <c r="M731" s="11">
        <f>IF(COUNT(J731:L731)=3,ROUND(AVERAGE(J731:L731),6),"")</f>
        <v/>
      </c>
      <c r="O731">
        <f>IF(AND(ISNUMBER('자료_미국심리'!$A715),ISNUMBER('자료_미국심리'!$B715)),'자료_미국심리'!$A715,"")</f>
        <v/>
      </c>
      <c r="P731">
        <f>IF(AND(ISNUMBER('자료_미국심리'!$D715),ISNUMBER('자료_미국심리'!$E715)),'자료_미국심리'!$D715,"")</f>
        <v/>
      </c>
      <c r="Q731">
        <f>IF(AND(ISNUMBER('자료_미국심리'!$G715),ISNUMBER('자료_미국심리'!$H715)),'자료_미국심리'!$G715,"")</f>
        <v/>
      </c>
    </row>
    <row r="732">
      <c r="A732" s="10">
        <f>IF(714&gt;$E$5,"",SMALL($O$19:$O$4018,$E$6+714))</f>
        <v/>
      </c>
      <c r="B732" s="29">
        <f>IF(A732="","",INDEX('자료_미국심리'!$B$3:$B$4002,MATCH(A732,$O$19:$O$4018,0)))</f>
        <v/>
      </c>
      <c r="C732" s="22">
        <f>IF(A732="","",B732/AVERAGE(B608:B732)-1)</f>
        <v/>
      </c>
      <c r="D732" s="29">
        <f>IF(A732="","",IFERROR(INDEX('자료_미국심리'!$E$3:$E$4002,MATCH(A732,$P$19:$P$4018,0)),D731))</f>
        <v/>
      </c>
      <c r="E732" s="29">
        <f>IF(A732="","",IFERROR(INDEX('자료_미국심리'!$H$3:$H$4002,MATCH(A732,$Q$19:$Q$4018,0)),E731))</f>
        <v/>
      </c>
      <c r="F732">
        <f>IF(A732="",0,IF(A732&gt;$B$5,1,0))</f>
        <v/>
      </c>
      <c r="G732" s="29">
        <f>IF(AND(F732=1,ISNUMBER(D732)),D732,"")</f>
        <v/>
      </c>
      <c r="H732" s="29">
        <f>IF(AND(F732=1,ISNUMBER(E732)),E732,"")</f>
        <v/>
      </c>
      <c r="I732" s="22">
        <f>IF(AND(F732=1,ISNUMBER(C732)),C732,"")</f>
        <v/>
      </c>
      <c r="J732" s="11">
        <f>IF(G732="","",100-IF($G$13=1,50,(_xlfn.RANK.AVG(G732,$G$19:$G$1518,1)-1)/($G$13-1)*100))</f>
        <v/>
      </c>
      <c r="K732" s="11">
        <f>IF(H732="","",100-IF($G$14=1,50,(_xlfn.RANK.AVG(H732,$H$19:$H$1518,1)-1)/($G$14-1)*100))</f>
        <v/>
      </c>
      <c r="L732" s="11">
        <f>IF(I732="","",IF($G$15=1,50,(_xlfn.RANK.AVG(I732,$I$19:$I$1518,1)-1)/($G$15-1)*100))</f>
        <v/>
      </c>
      <c r="M732" s="11">
        <f>IF(COUNT(J732:L732)=3,ROUND(AVERAGE(J732:L732),6),"")</f>
        <v/>
      </c>
      <c r="O732">
        <f>IF(AND(ISNUMBER('자료_미국심리'!$A716),ISNUMBER('자료_미국심리'!$B716)),'자료_미국심리'!$A716,"")</f>
        <v/>
      </c>
      <c r="P732">
        <f>IF(AND(ISNUMBER('자료_미국심리'!$D716),ISNUMBER('자료_미국심리'!$E716)),'자료_미국심리'!$D716,"")</f>
        <v/>
      </c>
      <c r="Q732">
        <f>IF(AND(ISNUMBER('자료_미국심리'!$G716),ISNUMBER('자료_미국심리'!$H716)),'자료_미국심리'!$G716,"")</f>
        <v/>
      </c>
    </row>
    <row r="733">
      <c r="A733" s="10">
        <f>IF(715&gt;$E$5,"",SMALL($O$19:$O$4018,$E$6+715))</f>
        <v/>
      </c>
      <c r="B733" s="29">
        <f>IF(A733="","",INDEX('자료_미국심리'!$B$3:$B$4002,MATCH(A733,$O$19:$O$4018,0)))</f>
        <v/>
      </c>
      <c r="C733" s="22">
        <f>IF(A733="","",B733/AVERAGE(B609:B733)-1)</f>
        <v/>
      </c>
      <c r="D733" s="29">
        <f>IF(A733="","",IFERROR(INDEX('자료_미국심리'!$E$3:$E$4002,MATCH(A733,$P$19:$P$4018,0)),D732))</f>
        <v/>
      </c>
      <c r="E733" s="29">
        <f>IF(A733="","",IFERROR(INDEX('자료_미국심리'!$H$3:$H$4002,MATCH(A733,$Q$19:$Q$4018,0)),E732))</f>
        <v/>
      </c>
      <c r="F733">
        <f>IF(A733="",0,IF(A733&gt;$B$5,1,0))</f>
        <v/>
      </c>
      <c r="G733" s="29">
        <f>IF(AND(F733=1,ISNUMBER(D733)),D733,"")</f>
        <v/>
      </c>
      <c r="H733" s="29">
        <f>IF(AND(F733=1,ISNUMBER(E733)),E733,"")</f>
        <v/>
      </c>
      <c r="I733" s="22">
        <f>IF(AND(F733=1,ISNUMBER(C733)),C733,"")</f>
        <v/>
      </c>
      <c r="J733" s="11">
        <f>IF(G733="","",100-IF($G$13=1,50,(_xlfn.RANK.AVG(G733,$G$19:$G$1518,1)-1)/($G$13-1)*100))</f>
        <v/>
      </c>
      <c r="K733" s="11">
        <f>IF(H733="","",100-IF($G$14=1,50,(_xlfn.RANK.AVG(H733,$H$19:$H$1518,1)-1)/($G$14-1)*100))</f>
        <v/>
      </c>
      <c r="L733" s="11">
        <f>IF(I733="","",IF($G$15=1,50,(_xlfn.RANK.AVG(I733,$I$19:$I$1518,1)-1)/($G$15-1)*100))</f>
        <v/>
      </c>
      <c r="M733" s="11">
        <f>IF(COUNT(J733:L733)=3,ROUND(AVERAGE(J733:L733),6),"")</f>
        <v/>
      </c>
      <c r="O733">
        <f>IF(AND(ISNUMBER('자료_미국심리'!$A717),ISNUMBER('자료_미국심리'!$B717)),'자료_미국심리'!$A717,"")</f>
        <v/>
      </c>
      <c r="P733">
        <f>IF(AND(ISNUMBER('자료_미국심리'!$D717),ISNUMBER('자료_미국심리'!$E717)),'자료_미국심리'!$D717,"")</f>
        <v/>
      </c>
      <c r="Q733">
        <f>IF(AND(ISNUMBER('자료_미국심리'!$G717),ISNUMBER('자료_미국심리'!$H717)),'자료_미국심리'!$G717,"")</f>
        <v/>
      </c>
    </row>
    <row r="734">
      <c r="A734" s="10">
        <f>IF(716&gt;$E$5,"",SMALL($O$19:$O$4018,$E$6+716))</f>
        <v/>
      </c>
      <c r="B734" s="29">
        <f>IF(A734="","",INDEX('자료_미국심리'!$B$3:$B$4002,MATCH(A734,$O$19:$O$4018,0)))</f>
        <v/>
      </c>
      <c r="C734" s="22">
        <f>IF(A734="","",B734/AVERAGE(B610:B734)-1)</f>
        <v/>
      </c>
      <c r="D734" s="29">
        <f>IF(A734="","",IFERROR(INDEX('자료_미국심리'!$E$3:$E$4002,MATCH(A734,$P$19:$P$4018,0)),D733))</f>
        <v/>
      </c>
      <c r="E734" s="29">
        <f>IF(A734="","",IFERROR(INDEX('자료_미국심리'!$H$3:$H$4002,MATCH(A734,$Q$19:$Q$4018,0)),E733))</f>
        <v/>
      </c>
      <c r="F734">
        <f>IF(A734="",0,IF(A734&gt;$B$5,1,0))</f>
        <v/>
      </c>
      <c r="G734" s="29">
        <f>IF(AND(F734=1,ISNUMBER(D734)),D734,"")</f>
        <v/>
      </c>
      <c r="H734" s="29">
        <f>IF(AND(F734=1,ISNUMBER(E734)),E734,"")</f>
        <v/>
      </c>
      <c r="I734" s="22">
        <f>IF(AND(F734=1,ISNUMBER(C734)),C734,"")</f>
        <v/>
      </c>
      <c r="J734" s="11">
        <f>IF(G734="","",100-IF($G$13=1,50,(_xlfn.RANK.AVG(G734,$G$19:$G$1518,1)-1)/($G$13-1)*100))</f>
        <v/>
      </c>
      <c r="K734" s="11">
        <f>IF(H734="","",100-IF($G$14=1,50,(_xlfn.RANK.AVG(H734,$H$19:$H$1518,1)-1)/($G$14-1)*100))</f>
        <v/>
      </c>
      <c r="L734" s="11">
        <f>IF(I734="","",IF($G$15=1,50,(_xlfn.RANK.AVG(I734,$I$19:$I$1518,1)-1)/($G$15-1)*100))</f>
        <v/>
      </c>
      <c r="M734" s="11">
        <f>IF(COUNT(J734:L734)=3,ROUND(AVERAGE(J734:L734),6),"")</f>
        <v/>
      </c>
      <c r="O734">
        <f>IF(AND(ISNUMBER('자료_미국심리'!$A718),ISNUMBER('자료_미국심리'!$B718)),'자료_미국심리'!$A718,"")</f>
        <v/>
      </c>
      <c r="P734">
        <f>IF(AND(ISNUMBER('자료_미국심리'!$D718),ISNUMBER('자료_미국심리'!$E718)),'자료_미국심리'!$D718,"")</f>
        <v/>
      </c>
      <c r="Q734">
        <f>IF(AND(ISNUMBER('자료_미국심리'!$G718),ISNUMBER('자료_미국심리'!$H718)),'자료_미국심리'!$G718,"")</f>
        <v/>
      </c>
    </row>
    <row r="735">
      <c r="A735" s="10">
        <f>IF(717&gt;$E$5,"",SMALL($O$19:$O$4018,$E$6+717))</f>
        <v/>
      </c>
      <c r="B735" s="29">
        <f>IF(A735="","",INDEX('자료_미국심리'!$B$3:$B$4002,MATCH(A735,$O$19:$O$4018,0)))</f>
        <v/>
      </c>
      <c r="C735" s="22">
        <f>IF(A735="","",B735/AVERAGE(B611:B735)-1)</f>
        <v/>
      </c>
      <c r="D735" s="29">
        <f>IF(A735="","",IFERROR(INDEX('자료_미국심리'!$E$3:$E$4002,MATCH(A735,$P$19:$P$4018,0)),D734))</f>
        <v/>
      </c>
      <c r="E735" s="29">
        <f>IF(A735="","",IFERROR(INDEX('자료_미국심리'!$H$3:$H$4002,MATCH(A735,$Q$19:$Q$4018,0)),E734))</f>
        <v/>
      </c>
      <c r="F735">
        <f>IF(A735="",0,IF(A735&gt;$B$5,1,0))</f>
        <v/>
      </c>
      <c r="G735" s="29">
        <f>IF(AND(F735=1,ISNUMBER(D735)),D735,"")</f>
        <v/>
      </c>
      <c r="H735" s="29">
        <f>IF(AND(F735=1,ISNUMBER(E735)),E735,"")</f>
        <v/>
      </c>
      <c r="I735" s="22">
        <f>IF(AND(F735=1,ISNUMBER(C735)),C735,"")</f>
        <v/>
      </c>
      <c r="J735" s="11">
        <f>IF(G735="","",100-IF($G$13=1,50,(_xlfn.RANK.AVG(G735,$G$19:$G$1518,1)-1)/($G$13-1)*100))</f>
        <v/>
      </c>
      <c r="K735" s="11">
        <f>IF(H735="","",100-IF($G$14=1,50,(_xlfn.RANK.AVG(H735,$H$19:$H$1518,1)-1)/($G$14-1)*100))</f>
        <v/>
      </c>
      <c r="L735" s="11">
        <f>IF(I735="","",IF($G$15=1,50,(_xlfn.RANK.AVG(I735,$I$19:$I$1518,1)-1)/($G$15-1)*100))</f>
        <v/>
      </c>
      <c r="M735" s="11">
        <f>IF(COUNT(J735:L735)=3,ROUND(AVERAGE(J735:L735),6),"")</f>
        <v/>
      </c>
      <c r="O735">
        <f>IF(AND(ISNUMBER('자료_미국심리'!$A719),ISNUMBER('자료_미국심리'!$B719)),'자료_미국심리'!$A719,"")</f>
        <v/>
      </c>
      <c r="P735">
        <f>IF(AND(ISNUMBER('자료_미국심리'!$D719),ISNUMBER('자료_미국심리'!$E719)),'자료_미국심리'!$D719,"")</f>
        <v/>
      </c>
      <c r="Q735">
        <f>IF(AND(ISNUMBER('자료_미국심리'!$G719),ISNUMBER('자료_미국심리'!$H719)),'자료_미국심리'!$G719,"")</f>
        <v/>
      </c>
    </row>
    <row r="736">
      <c r="A736" s="10">
        <f>IF(718&gt;$E$5,"",SMALL($O$19:$O$4018,$E$6+718))</f>
        <v/>
      </c>
      <c r="B736" s="29">
        <f>IF(A736="","",INDEX('자료_미국심리'!$B$3:$B$4002,MATCH(A736,$O$19:$O$4018,0)))</f>
        <v/>
      </c>
      <c r="C736" s="22">
        <f>IF(A736="","",B736/AVERAGE(B612:B736)-1)</f>
        <v/>
      </c>
      <c r="D736" s="29">
        <f>IF(A736="","",IFERROR(INDEX('자료_미국심리'!$E$3:$E$4002,MATCH(A736,$P$19:$P$4018,0)),D735))</f>
        <v/>
      </c>
      <c r="E736" s="29">
        <f>IF(A736="","",IFERROR(INDEX('자료_미국심리'!$H$3:$H$4002,MATCH(A736,$Q$19:$Q$4018,0)),E735))</f>
        <v/>
      </c>
      <c r="F736">
        <f>IF(A736="",0,IF(A736&gt;$B$5,1,0))</f>
        <v/>
      </c>
      <c r="G736" s="29">
        <f>IF(AND(F736=1,ISNUMBER(D736)),D736,"")</f>
        <v/>
      </c>
      <c r="H736" s="29">
        <f>IF(AND(F736=1,ISNUMBER(E736)),E736,"")</f>
        <v/>
      </c>
      <c r="I736" s="22">
        <f>IF(AND(F736=1,ISNUMBER(C736)),C736,"")</f>
        <v/>
      </c>
      <c r="J736" s="11">
        <f>IF(G736="","",100-IF($G$13=1,50,(_xlfn.RANK.AVG(G736,$G$19:$G$1518,1)-1)/($G$13-1)*100))</f>
        <v/>
      </c>
      <c r="K736" s="11">
        <f>IF(H736="","",100-IF($G$14=1,50,(_xlfn.RANK.AVG(H736,$H$19:$H$1518,1)-1)/($G$14-1)*100))</f>
        <v/>
      </c>
      <c r="L736" s="11">
        <f>IF(I736="","",IF($G$15=1,50,(_xlfn.RANK.AVG(I736,$I$19:$I$1518,1)-1)/($G$15-1)*100))</f>
        <v/>
      </c>
      <c r="M736" s="11">
        <f>IF(COUNT(J736:L736)=3,ROUND(AVERAGE(J736:L736),6),"")</f>
        <v/>
      </c>
      <c r="O736">
        <f>IF(AND(ISNUMBER('자료_미국심리'!$A720),ISNUMBER('자료_미국심리'!$B720)),'자료_미국심리'!$A720,"")</f>
        <v/>
      </c>
      <c r="P736">
        <f>IF(AND(ISNUMBER('자료_미국심리'!$D720),ISNUMBER('자료_미국심리'!$E720)),'자료_미국심리'!$D720,"")</f>
        <v/>
      </c>
      <c r="Q736">
        <f>IF(AND(ISNUMBER('자료_미국심리'!$G720),ISNUMBER('자료_미국심리'!$H720)),'자료_미국심리'!$G720,"")</f>
        <v/>
      </c>
    </row>
    <row r="737">
      <c r="A737" s="10">
        <f>IF(719&gt;$E$5,"",SMALL($O$19:$O$4018,$E$6+719))</f>
        <v/>
      </c>
      <c r="B737" s="29">
        <f>IF(A737="","",INDEX('자료_미국심리'!$B$3:$B$4002,MATCH(A737,$O$19:$O$4018,0)))</f>
        <v/>
      </c>
      <c r="C737" s="22">
        <f>IF(A737="","",B737/AVERAGE(B613:B737)-1)</f>
        <v/>
      </c>
      <c r="D737" s="29">
        <f>IF(A737="","",IFERROR(INDEX('자료_미국심리'!$E$3:$E$4002,MATCH(A737,$P$19:$P$4018,0)),D736))</f>
        <v/>
      </c>
      <c r="E737" s="29">
        <f>IF(A737="","",IFERROR(INDEX('자료_미국심리'!$H$3:$H$4002,MATCH(A737,$Q$19:$Q$4018,0)),E736))</f>
        <v/>
      </c>
      <c r="F737">
        <f>IF(A737="",0,IF(A737&gt;$B$5,1,0))</f>
        <v/>
      </c>
      <c r="G737" s="29">
        <f>IF(AND(F737=1,ISNUMBER(D737)),D737,"")</f>
        <v/>
      </c>
      <c r="H737" s="29">
        <f>IF(AND(F737=1,ISNUMBER(E737)),E737,"")</f>
        <v/>
      </c>
      <c r="I737" s="22">
        <f>IF(AND(F737=1,ISNUMBER(C737)),C737,"")</f>
        <v/>
      </c>
      <c r="J737" s="11">
        <f>IF(G737="","",100-IF($G$13=1,50,(_xlfn.RANK.AVG(G737,$G$19:$G$1518,1)-1)/($G$13-1)*100))</f>
        <v/>
      </c>
      <c r="K737" s="11">
        <f>IF(H737="","",100-IF($G$14=1,50,(_xlfn.RANK.AVG(H737,$H$19:$H$1518,1)-1)/($G$14-1)*100))</f>
        <v/>
      </c>
      <c r="L737" s="11">
        <f>IF(I737="","",IF($G$15=1,50,(_xlfn.RANK.AVG(I737,$I$19:$I$1518,1)-1)/($G$15-1)*100))</f>
        <v/>
      </c>
      <c r="M737" s="11">
        <f>IF(COUNT(J737:L737)=3,ROUND(AVERAGE(J737:L737),6),"")</f>
        <v/>
      </c>
      <c r="O737">
        <f>IF(AND(ISNUMBER('자료_미국심리'!$A721),ISNUMBER('자료_미국심리'!$B721)),'자료_미국심리'!$A721,"")</f>
        <v/>
      </c>
      <c r="P737">
        <f>IF(AND(ISNUMBER('자료_미국심리'!$D721),ISNUMBER('자료_미국심리'!$E721)),'자료_미국심리'!$D721,"")</f>
        <v/>
      </c>
      <c r="Q737">
        <f>IF(AND(ISNUMBER('자료_미국심리'!$G721),ISNUMBER('자료_미국심리'!$H721)),'자료_미국심리'!$G721,"")</f>
        <v/>
      </c>
    </row>
    <row r="738">
      <c r="A738" s="10">
        <f>IF(720&gt;$E$5,"",SMALL($O$19:$O$4018,$E$6+720))</f>
        <v/>
      </c>
      <c r="B738" s="29">
        <f>IF(A738="","",INDEX('자료_미국심리'!$B$3:$B$4002,MATCH(A738,$O$19:$O$4018,0)))</f>
        <v/>
      </c>
      <c r="C738" s="22">
        <f>IF(A738="","",B738/AVERAGE(B614:B738)-1)</f>
        <v/>
      </c>
      <c r="D738" s="29">
        <f>IF(A738="","",IFERROR(INDEX('자료_미국심리'!$E$3:$E$4002,MATCH(A738,$P$19:$P$4018,0)),D737))</f>
        <v/>
      </c>
      <c r="E738" s="29">
        <f>IF(A738="","",IFERROR(INDEX('자료_미국심리'!$H$3:$H$4002,MATCH(A738,$Q$19:$Q$4018,0)),E737))</f>
        <v/>
      </c>
      <c r="F738">
        <f>IF(A738="",0,IF(A738&gt;$B$5,1,0))</f>
        <v/>
      </c>
      <c r="G738" s="29">
        <f>IF(AND(F738=1,ISNUMBER(D738)),D738,"")</f>
        <v/>
      </c>
      <c r="H738" s="29">
        <f>IF(AND(F738=1,ISNUMBER(E738)),E738,"")</f>
        <v/>
      </c>
      <c r="I738" s="22">
        <f>IF(AND(F738=1,ISNUMBER(C738)),C738,"")</f>
        <v/>
      </c>
      <c r="J738" s="11">
        <f>IF(G738="","",100-IF($G$13=1,50,(_xlfn.RANK.AVG(G738,$G$19:$G$1518,1)-1)/($G$13-1)*100))</f>
        <v/>
      </c>
      <c r="K738" s="11">
        <f>IF(H738="","",100-IF($G$14=1,50,(_xlfn.RANK.AVG(H738,$H$19:$H$1518,1)-1)/($G$14-1)*100))</f>
        <v/>
      </c>
      <c r="L738" s="11">
        <f>IF(I738="","",IF($G$15=1,50,(_xlfn.RANK.AVG(I738,$I$19:$I$1518,1)-1)/($G$15-1)*100))</f>
        <v/>
      </c>
      <c r="M738" s="11">
        <f>IF(COUNT(J738:L738)=3,ROUND(AVERAGE(J738:L738),6),"")</f>
        <v/>
      </c>
      <c r="O738">
        <f>IF(AND(ISNUMBER('자료_미국심리'!$A722),ISNUMBER('자료_미국심리'!$B722)),'자료_미국심리'!$A722,"")</f>
        <v/>
      </c>
      <c r="P738">
        <f>IF(AND(ISNUMBER('자료_미국심리'!$D722),ISNUMBER('자료_미국심리'!$E722)),'자료_미국심리'!$D722,"")</f>
        <v/>
      </c>
      <c r="Q738">
        <f>IF(AND(ISNUMBER('자료_미국심리'!$G722),ISNUMBER('자료_미국심리'!$H722)),'자료_미국심리'!$G722,"")</f>
        <v/>
      </c>
    </row>
    <row r="739">
      <c r="A739" s="10">
        <f>IF(721&gt;$E$5,"",SMALL($O$19:$O$4018,$E$6+721))</f>
        <v/>
      </c>
      <c r="B739" s="29">
        <f>IF(A739="","",INDEX('자료_미국심리'!$B$3:$B$4002,MATCH(A739,$O$19:$O$4018,0)))</f>
        <v/>
      </c>
      <c r="C739" s="22">
        <f>IF(A739="","",B739/AVERAGE(B615:B739)-1)</f>
        <v/>
      </c>
      <c r="D739" s="29">
        <f>IF(A739="","",IFERROR(INDEX('자료_미국심리'!$E$3:$E$4002,MATCH(A739,$P$19:$P$4018,0)),D738))</f>
        <v/>
      </c>
      <c r="E739" s="29">
        <f>IF(A739="","",IFERROR(INDEX('자료_미국심리'!$H$3:$H$4002,MATCH(A739,$Q$19:$Q$4018,0)),E738))</f>
        <v/>
      </c>
      <c r="F739">
        <f>IF(A739="",0,IF(A739&gt;$B$5,1,0))</f>
        <v/>
      </c>
      <c r="G739" s="29">
        <f>IF(AND(F739=1,ISNUMBER(D739)),D739,"")</f>
        <v/>
      </c>
      <c r="H739" s="29">
        <f>IF(AND(F739=1,ISNUMBER(E739)),E739,"")</f>
        <v/>
      </c>
      <c r="I739" s="22">
        <f>IF(AND(F739=1,ISNUMBER(C739)),C739,"")</f>
        <v/>
      </c>
      <c r="J739" s="11">
        <f>IF(G739="","",100-IF($G$13=1,50,(_xlfn.RANK.AVG(G739,$G$19:$G$1518,1)-1)/($G$13-1)*100))</f>
        <v/>
      </c>
      <c r="K739" s="11">
        <f>IF(H739="","",100-IF($G$14=1,50,(_xlfn.RANK.AVG(H739,$H$19:$H$1518,1)-1)/($G$14-1)*100))</f>
        <v/>
      </c>
      <c r="L739" s="11">
        <f>IF(I739="","",IF($G$15=1,50,(_xlfn.RANK.AVG(I739,$I$19:$I$1518,1)-1)/($G$15-1)*100))</f>
        <v/>
      </c>
      <c r="M739" s="11">
        <f>IF(COUNT(J739:L739)=3,ROUND(AVERAGE(J739:L739),6),"")</f>
        <v/>
      </c>
      <c r="O739">
        <f>IF(AND(ISNUMBER('자료_미국심리'!$A723),ISNUMBER('자료_미국심리'!$B723)),'자료_미국심리'!$A723,"")</f>
        <v/>
      </c>
      <c r="P739">
        <f>IF(AND(ISNUMBER('자료_미국심리'!$D723),ISNUMBER('자료_미국심리'!$E723)),'자료_미국심리'!$D723,"")</f>
        <v/>
      </c>
      <c r="Q739">
        <f>IF(AND(ISNUMBER('자료_미국심리'!$G723),ISNUMBER('자료_미국심리'!$H723)),'자료_미국심리'!$G723,"")</f>
        <v/>
      </c>
    </row>
    <row r="740">
      <c r="A740" s="10">
        <f>IF(722&gt;$E$5,"",SMALL($O$19:$O$4018,$E$6+722))</f>
        <v/>
      </c>
      <c r="B740" s="29">
        <f>IF(A740="","",INDEX('자료_미국심리'!$B$3:$B$4002,MATCH(A740,$O$19:$O$4018,0)))</f>
        <v/>
      </c>
      <c r="C740" s="22">
        <f>IF(A740="","",B740/AVERAGE(B616:B740)-1)</f>
        <v/>
      </c>
      <c r="D740" s="29">
        <f>IF(A740="","",IFERROR(INDEX('자료_미국심리'!$E$3:$E$4002,MATCH(A740,$P$19:$P$4018,0)),D739))</f>
        <v/>
      </c>
      <c r="E740" s="29">
        <f>IF(A740="","",IFERROR(INDEX('자료_미국심리'!$H$3:$H$4002,MATCH(A740,$Q$19:$Q$4018,0)),E739))</f>
        <v/>
      </c>
      <c r="F740">
        <f>IF(A740="",0,IF(A740&gt;$B$5,1,0))</f>
        <v/>
      </c>
      <c r="G740" s="29">
        <f>IF(AND(F740=1,ISNUMBER(D740)),D740,"")</f>
        <v/>
      </c>
      <c r="H740" s="29">
        <f>IF(AND(F740=1,ISNUMBER(E740)),E740,"")</f>
        <v/>
      </c>
      <c r="I740" s="22">
        <f>IF(AND(F740=1,ISNUMBER(C740)),C740,"")</f>
        <v/>
      </c>
      <c r="J740" s="11">
        <f>IF(G740="","",100-IF($G$13=1,50,(_xlfn.RANK.AVG(G740,$G$19:$G$1518,1)-1)/($G$13-1)*100))</f>
        <v/>
      </c>
      <c r="K740" s="11">
        <f>IF(H740="","",100-IF($G$14=1,50,(_xlfn.RANK.AVG(H740,$H$19:$H$1518,1)-1)/($G$14-1)*100))</f>
        <v/>
      </c>
      <c r="L740" s="11">
        <f>IF(I740="","",IF($G$15=1,50,(_xlfn.RANK.AVG(I740,$I$19:$I$1518,1)-1)/($G$15-1)*100))</f>
        <v/>
      </c>
      <c r="M740" s="11">
        <f>IF(COUNT(J740:L740)=3,ROUND(AVERAGE(J740:L740),6),"")</f>
        <v/>
      </c>
      <c r="O740">
        <f>IF(AND(ISNUMBER('자료_미국심리'!$A724),ISNUMBER('자료_미국심리'!$B724)),'자료_미국심리'!$A724,"")</f>
        <v/>
      </c>
      <c r="P740">
        <f>IF(AND(ISNUMBER('자료_미국심리'!$D724),ISNUMBER('자료_미국심리'!$E724)),'자료_미국심리'!$D724,"")</f>
        <v/>
      </c>
      <c r="Q740">
        <f>IF(AND(ISNUMBER('자료_미국심리'!$G724),ISNUMBER('자료_미국심리'!$H724)),'자료_미국심리'!$G724,"")</f>
        <v/>
      </c>
    </row>
    <row r="741">
      <c r="A741" s="10">
        <f>IF(723&gt;$E$5,"",SMALL($O$19:$O$4018,$E$6+723))</f>
        <v/>
      </c>
      <c r="B741" s="29">
        <f>IF(A741="","",INDEX('자료_미국심리'!$B$3:$B$4002,MATCH(A741,$O$19:$O$4018,0)))</f>
        <v/>
      </c>
      <c r="C741" s="22">
        <f>IF(A741="","",B741/AVERAGE(B617:B741)-1)</f>
        <v/>
      </c>
      <c r="D741" s="29">
        <f>IF(A741="","",IFERROR(INDEX('자료_미국심리'!$E$3:$E$4002,MATCH(A741,$P$19:$P$4018,0)),D740))</f>
        <v/>
      </c>
      <c r="E741" s="29">
        <f>IF(A741="","",IFERROR(INDEX('자료_미국심리'!$H$3:$H$4002,MATCH(A741,$Q$19:$Q$4018,0)),E740))</f>
        <v/>
      </c>
      <c r="F741">
        <f>IF(A741="",0,IF(A741&gt;$B$5,1,0))</f>
        <v/>
      </c>
      <c r="G741" s="29">
        <f>IF(AND(F741=1,ISNUMBER(D741)),D741,"")</f>
        <v/>
      </c>
      <c r="H741" s="29">
        <f>IF(AND(F741=1,ISNUMBER(E741)),E741,"")</f>
        <v/>
      </c>
      <c r="I741" s="22">
        <f>IF(AND(F741=1,ISNUMBER(C741)),C741,"")</f>
        <v/>
      </c>
      <c r="J741" s="11">
        <f>IF(G741="","",100-IF($G$13=1,50,(_xlfn.RANK.AVG(G741,$G$19:$G$1518,1)-1)/($G$13-1)*100))</f>
        <v/>
      </c>
      <c r="K741" s="11">
        <f>IF(H741="","",100-IF($G$14=1,50,(_xlfn.RANK.AVG(H741,$H$19:$H$1518,1)-1)/($G$14-1)*100))</f>
        <v/>
      </c>
      <c r="L741" s="11">
        <f>IF(I741="","",IF($G$15=1,50,(_xlfn.RANK.AVG(I741,$I$19:$I$1518,1)-1)/($G$15-1)*100))</f>
        <v/>
      </c>
      <c r="M741" s="11">
        <f>IF(COUNT(J741:L741)=3,ROUND(AVERAGE(J741:L741),6),"")</f>
        <v/>
      </c>
      <c r="O741">
        <f>IF(AND(ISNUMBER('자료_미국심리'!$A725),ISNUMBER('자료_미국심리'!$B725)),'자료_미국심리'!$A725,"")</f>
        <v/>
      </c>
      <c r="P741">
        <f>IF(AND(ISNUMBER('자료_미국심리'!$D725),ISNUMBER('자료_미국심리'!$E725)),'자료_미국심리'!$D725,"")</f>
        <v/>
      </c>
      <c r="Q741">
        <f>IF(AND(ISNUMBER('자료_미국심리'!$G725),ISNUMBER('자료_미국심리'!$H725)),'자료_미국심리'!$G725,"")</f>
        <v/>
      </c>
    </row>
    <row r="742">
      <c r="A742" s="10">
        <f>IF(724&gt;$E$5,"",SMALL($O$19:$O$4018,$E$6+724))</f>
        <v/>
      </c>
      <c r="B742" s="29">
        <f>IF(A742="","",INDEX('자료_미국심리'!$B$3:$B$4002,MATCH(A742,$O$19:$O$4018,0)))</f>
        <v/>
      </c>
      <c r="C742" s="22">
        <f>IF(A742="","",B742/AVERAGE(B618:B742)-1)</f>
        <v/>
      </c>
      <c r="D742" s="29">
        <f>IF(A742="","",IFERROR(INDEX('자료_미국심리'!$E$3:$E$4002,MATCH(A742,$P$19:$P$4018,0)),D741))</f>
        <v/>
      </c>
      <c r="E742" s="29">
        <f>IF(A742="","",IFERROR(INDEX('자료_미국심리'!$H$3:$H$4002,MATCH(A742,$Q$19:$Q$4018,0)),E741))</f>
        <v/>
      </c>
      <c r="F742">
        <f>IF(A742="",0,IF(A742&gt;$B$5,1,0))</f>
        <v/>
      </c>
      <c r="G742" s="29">
        <f>IF(AND(F742=1,ISNUMBER(D742)),D742,"")</f>
        <v/>
      </c>
      <c r="H742" s="29">
        <f>IF(AND(F742=1,ISNUMBER(E742)),E742,"")</f>
        <v/>
      </c>
      <c r="I742" s="22">
        <f>IF(AND(F742=1,ISNUMBER(C742)),C742,"")</f>
        <v/>
      </c>
      <c r="J742" s="11">
        <f>IF(G742="","",100-IF($G$13=1,50,(_xlfn.RANK.AVG(G742,$G$19:$G$1518,1)-1)/($G$13-1)*100))</f>
        <v/>
      </c>
      <c r="K742" s="11">
        <f>IF(H742="","",100-IF($G$14=1,50,(_xlfn.RANK.AVG(H742,$H$19:$H$1518,1)-1)/($G$14-1)*100))</f>
        <v/>
      </c>
      <c r="L742" s="11">
        <f>IF(I742="","",IF($G$15=1,50,(_xlfn.RANK.AVG(I742,$I$19:$I$1518,1)-1)/($G$15-1)*100))</f>
        <v/>
      </c>
      <c r="M742" s="11">
        <f>IF(COUNT(J742:L742)=3,ROUND(AVERAGE(J742:L742),6),"")</f>
        <v/>
      </c>
      <c r="O742">
        <f>IF(AND(ISNUMBER('자료_미국심리'!$A726),ISNUMBER('자료_미국심리'!$B726)),'자료_미국심리'!$A726,"")</f>
        <v/>
      </c>
      <c r="P742">
        <f>IF(AND(ISNUMBER('자료_미국심리'!$D726),ISNUMBER('자료_미국심리'!$E726)),'자료_미국심리'!$D726,"")</f>
        <v/>
      </c>
      <c r="Q742">
        <f>IF(AND(ISNUMBER('자료_미국심리'!$G726),ISNUMBER('자료_미국심리'!$H726)),'자료_미국심리'!$G726,"")</f>
        <v/>
      </c>
    </row>
    <row r="743">
      <c r="A743" s="10">
        <f>IF(725&gt;$E$5,"",SMALL($O$19:$O$4018,$E$6+725))</f>
        <v/>
      </c>
      <c r="B743" s="29">
        <f>IF(A743="","",INDEX('자료_미국심리'!$B$3:$B$4002,MATCH(A743,$O$19:$O$4018,0)))</f>
        <v/>
      </c>
      <c r="C743" s="22">
        <f>IF(A743="","",B743/AVERAGE(B619:B743)-1)</f>
        <v/>
      </c>
      <c r="D743" s="29">
        <f>IF(A743="","",IFERROR(INDEX('자료_미국심리'!$E$3:$E$4002,MATCH(A743,$P$19:$P$4018,0)),D742))</f>
        <v/>
      </c>
      <c r="E743" s="29">
        <f>IF(A743="","",IFERROR(INDEX('자료_미국심리'!$H$3:$H$4002,MATCH(A743,$Q$19:$Q$4018,0)),E742))</f>
        <v/>
      </c>
      <c r="F743">
        <f>IF(A743="",0,IF(A743&gt;$B$5,1,0))</f>
        <v/>
      </c>
      <c r="G743" s="29">
        <f>IF(AND(F743=1,ISNUMBER(D743)),D743,"")</f>
        <v/>
      </c>
      <c r="H743" s="29">
        <f>IF(AND(F743=1,ISNUMBER(E743)),E743,"")</f>
        <v/>
      </c>
      <c r="I743" s="22">
        <f>IF(AND(F743=1,ISNUMBER(C743)),C743,"")</f>
        <v/>
      </c>
      <c r="J743" s="11">
        <f>IF(G743="","",100-IF($G$13=1,50,(_xlfn.RANK.AVG(G743,$G$19:$G$1518,1)-1)/($G$13-1)*100))</f>
        <v/>
      </c>
      <c r="K743" s="11">
        <f>IF(H743="","",100-IF($G$14=1,50,(_xlfn.RANK.AVG(H743,$H$19:$H$1518,1)-1)/($G$14-1)*100))</f>
        <v/>
      </c>
      <c r="L743" s="11">
        <f>IF(I743="","",IF($G$15=1,50,(_xlfn.RANK.AVG(I743,$I$19:$I$1518,1)-1)/($G$15-1)*100))</f>
        <v/>
      </c>
      <c r="M743" s="11">
        <f>IF(COUNT(J743:L743)=3,ROUND(AVERAGE(J743:L743),6),"")</f>
        <v/>
      </c>
      <c r="O743">
        <f>IF(AND(ISNUMBER('자료_미국심리'!$A727),ISNUMBER('자료_미국심리'!$B727)),'자료_미국심리'!$A727,"")</f>
        <v/>
      </c>
      <c r="P743">
        <f>IF(AND(ISNUMBER('자료_미국심리'!$D727),ISNUMBER('자료_미국심리'!$E727)),'자료_미국심리'!$D727,"")</f>
        <v/>
      </c>
      <c r="Q743">
        <f>IF(AND(ISNUMBER('자료_미국심리'!$G727),ISNUMBER('자료_미국심리'!$H727)),'자료_미국심리'!$G727,"")</f>
        <v/>
      </c>
    </row>
    <row r="744">
      <c r="A744" s="10">
        <f>IF(726&gt;$E$5,"",SMALL($O$19:$O$4018,$E$6+726))</f>
        <v/>
      </c>
      <c r="B744" s="29">
        <f>IF(A744="","",INDEX('자료_미국심리'!$B$3:$B$4002,MATCH(A744,$O$19:$O$4018,0)))</f>
        <v/>
      </c>
      <c r="C744" s="22">
        <f>IF(A744="","",B744/AVERAGE(B620:B744)-1)</f>
        <v/>
      </c>
      <c r="D744" s="29">
        <f>IF(A744="","",IFERROR(INDEX('자료_미국심리'!$E$3:$E$4002,MATCH(A744,$P$19:$P$4018,0)),D743))</f>
        <v/>
      </c>
      <c r="E744" s="29">
        <f>IF(A744="","",IFERROR(INDEX('자료_미국심리'!$H$3:$H$4002,MATCH(A744,$Q$19:$Q$4018,0)),E743))</f>
        <v/>
      </c>
      <c r="F744">
        <f>IF(A744="",0,IF(A744&gt;$B$5,1,0))</f>
        <v/>
      </c>
      <c r="G744" s="29">
        <f>IF(AND(F744=1,ISNUMBER(D744)),D744,"")</f>
        <v/>
      </c>
      <c r="H744" s="29">
        <f>IF(AND(F744=1,ISNUMBER(E744)),E744,"")</f>
        <v/>
      </c>
      <c r="I744" s="22">
        <f>IF(AND(F744=1,ISNUMBER(C744)),C744,"")</f>
        <v/>
      </c>
      <c r="J744" s="11">
        <f>IF(G744="","",100-IF($G$13=1,50,(_xlfn.RANK.AVG(G744,$G$19:$G$1518,1)-1)/($G$13-1)*100))</f>
        <v/>
      </c>
      <c r="K744" s="11">
        <f>IF(H744="","",100-IF($G$14=1,50,(_xlfn.RANK.AVG(H744,$H$19:$H$1518,1)-1)/($G$14-1)*100))</f>
        <v/>
      </c>
      <c r="L744" s="11">
        <f>IF(I744="","",IF($G$15=1,50,(_xlfn.RANK.AVG(I744,$I$19:$I$1518,1)-1)/($G$15-1)*100))</f>
        <v/>
      </c>
      <c r="M744" s="11">
        <f>IF(COUNT(J744:L744)=3,ROUND(AVERAGE(J744:L744),6),"")</f>
        <v/>
      </c>
      <c r="O744">
        <f>IF(AND(ISNUMBER('자료_미국심리'!$A728),ISNUMBER('자료_미국심리'!$B728)),'자료_미국심리'!$A728,"")</f>
        <v/>
      </c>
      <c r="P744">
        <f>IF(AND(ISNUMBER('자료_미국심리'!$D728),ISNUMBER('자료_미국심리'!$E728)),'자료_미국심리'!$D728,"")</f>
        <v/>
      </c>
      <c r="Q744">
        <f>IF(AND(ISNUMBER('자료_미국심리'!$G728),ISNUMBER('자료_미국심리'!$H728)),'자료_미국심리'!$G728,"")</f>
        <v/>
      </c>
    </row>
    <row r="745">
      <c r="A745" s="10">
        <f>IF(727&gt;$E$5,"",SMALL($O$19:$O$4018,$E$6+727))</f>
        <v/>
      </c>
      <c r="B745" s="29">
        <f>IF(A745="","",INDEX('자료_미국심리'!$B$3:$B$4002,MATCH(A745,$O$19:$O$4018,0)))</f>
        <v/>
      </c>
      <c r="C745" s="22">
        <f>IF(A745="","",B745/AVERAGE(B621:B745)-1)</f>
        <v/>
      </c>
      <c r="D745" s="29">
        <f>IF(A745="","",IFERROR(INDEX('자료_미국심리'!$E$3:$E$4002,MATCH(A745,$P$19:$P$4018,0)),D744))</f>
        <v/>
      </c>
      <c r="E745" s="29">
        <f>IF(A745="","",IFERROR(INDEX('자료_미국심리'!$H$3:$H$4002,MATCH(A745,$Q$19:$Q$4018,0)),E744))</f>
        <v/>
      </c>
      <c r="F745">
        <f>IF(A745="",0,IF(A745&gt;$B$5,1,0))</f>
        <v/>
      </c>
      <c r="G745" s="29">
        <f>IF(AND(F745=1,ISNUMBER(D745)),D745,"")</f>
        <v/>
      </c>
      <c r="H745" s="29">
        <f>IF(AND(F745=1,ISNUMBER(E745)),E745,"")</f>
        <v/>
      </c>
      <c r="I745" s="22">
        <f>IF(AND(F745=1,ISNUMBER(C745)),C745,"")</f>
        <v/>
      </c>
      <c r="J745" s="11">
        <f>IF(G745="","",100-IF($G$13=1,50,(_xlfn.RANK.AVG(G745,$G$19:$G$1518,1)-1)/($G$13-1)*100))</f>
        <v/>
      </c>
      <c r="K745" s="11">
        <f>IF(H745="","",100-IF($G$14=1,50,(_xlfn.RANK.AVG(H745,$H$19:$H$1518,1)-1)/($G$14-1)*100))</f>
        <v/>
      </c>
      <c r="L745" s="11">
        <f>IF(I745="","",IF($G$15=1,50,(_xlfn.RANK.AVG(I745,$I$19:$I$1518,1)-1)/($G$15-1)*100))</f>
        <v/>
      </c>
      <c r="M745" s="11">
        <f>IF(COUNT(J745:L745)=3,ROUND(AVERAGE(J745:L745),6),"")</f>
        <v/>
      </c>
      <c r="O745">
        <f>IF(AND(ISNUMBER('자료_미국심리'!$A729),ISNUMBER('자료_미국심리'!$B729)),'자료_미국심리'!$A729,"")</f>
        <v/>
      </c>
      <c r="P745">
        <f>IF(AND(ISNUMBER('자료_미국심리'!$D729),ISNUMBER('자료_미국심리'!$E729)),'자료_미국심리'!$D729,"")</f>
        <v/>
      </c>
      <c r="Q745">
        <f>IF(AND(ISNUMBER('자료_미국심리'!$G729),ISNUMBER('자료_미국심리'!$H729)),'자료_미국심리'!$G729,"")</f>
        <v/>
      </c>
    </row>
    <row r="746">
      <c r="A746" s="10">
        <f>IF(728&gt;$E$5,"",SMALL($O$19:$O$4018,$E$6+728))</f>
        <v/>
      </c>
      <c r="B746" s="29">
        <f>IF(A746="","",INDEX('자료_미국심리'!$B$3:$B$4002,MATCH(A746,$O$19:$O$4018,0)))</f>
        <v/>
      </c>
      <c r="C746" s="22">
        <f>IF(A746="","",B746/AVERAGE(B622:B746)-1)</f>
        <v/>
      </c>
      <c r="D746" s="29">
        <f>IF(A746="","",IFERROR(INDEX('자료_미국심리'!$E$3:$E$4002,MATCH(A746,$P$19:$P$4018,0)),D745))</f>
        <v/>
      </c>
      <c r="E746" s="29">
        <f>IF(A746="","",IFERROR(INDEX('자료_미국심리'!$H$3:$H$4002,MATCH(A746,$Q$19:$Q$4018,0)),E745))</f>
        <v/>
      </c>
      <c r="F746">
        <f>IF(A746="",0,IF(A746&gt;$B$5,1,0))</f>
        <v/>
      </c>
      <c r="G746" s="29">
        <f>IF(AND(F746=1,ISNUMBER(D746)),D746,"")</f>
        <v/>
      </c>
      <c r="H746" s="29">
        <f>IF(AND(F746=1,ISNUMBER(E746)),E746,"")</f>
        <v/>
      </c>
      <c r="I746" s="22">
        <f>IF(AND(F746=1,ISNUMBER(C746)),C746,"")</f>
        <v/>
      </c>
      <c r="J746" s="11">
        <f>IF(G746="","",100-IF($G$13=1,50,(_xlfn.RANK.AVG(G746,$G$19:$G$1518,1)-1)/($G$13-1)*100))</f>
        <v/>
      </c>
      <c r="K746" s="11">
        <f>IF(H746="","",100-IF($G$14=1,50,(_xlfn.RANK.AVG(H746,$H$19:$H$1518,1)-1)/($G$14-1)*100))</f>
        <v/>
      </c>
      <c r="L746" s="11">
        <f>IF(I746="","",IF($G$15=1,50,(_xlfn.RANK.AVG(I746,$I$19:$I$1518,1)-1)/($G$15-1)*100))</f>
        <v/>
      </c>
      <c r="M746" s="11">
        <f>IF(COUNT(J746:L746)=3,ROUND(AVERAGE(J746:L746),6),"")</f>
        <v/>
      </c>
      <c r="O746">
        <f>IF(AND(ISNUMBER('자료_미국심리'!$A730),ISNUMBER('자료_미국심리'!$B730)),'자료_미국심리'!$A730,"")</f>
        <v/>
      </c>
      <c r="P746">
        <f>IF(AND(ISNUMBER('자료_미국심리'!$D730),ISNUMBER('자료_미국심리'!$E730)),'자료_미국심리'!$D730,"")</f>
        <v/>
      </c>
      <c r="Q746">
        <f>IF(AND(ISNUMBER('자료_미국심리'!$G730),ISNUMBER('자료_미국심리'!$H730)),'자료_미국심리'!$G730,"")</f>
        <v/>
      </c>
    </row>
    <row r="747">
      <c r="A747" s="10">
        <f>IF(729&gt;$E$5,"",SMALL($O$19:$O$4018,$E$6+729))</f>
        <v/>
      </c>
      <c r="B747" s="29">
        <f>IF(A747="","",INDEX('자료_미국심리'!$B$3:$B$4002,MATCH(A747,$O$19:$O$4018,0)))</f>
        <v/>
      </c>
      <c r="C747" s="22">
        <f>IF(A747="","",B747/AVERAGE(B623:B747)-1)</f>
        <v/>
      </c>
      <c r="D747" s="29">
        <f>IF(A747="","",IFERROR(INDEX('자료_미국심리'!$E$3:$E$4002,MATCH(A747,$P$19:$P$4018,0)),D746))</f>
        <v/>
      </c>
      <c r="E747" s="29">
        <f>IF(A747="","",IFERROR(INDEX('자료_미국심리'!$H$3:$H$4002,MATCH(A747,$Q$19:$Q$4018,0)),E746))</f>
        <v/>
      </c>
      <c r="F747">
        <f>IF(A747="",0,IF(A747&gt;$B$5,1,0))</f>
        <v/>
      </c>
      <c r="G747" s="29">
        <f>IF(AND(F747=1,ISNUMBER(D747)),D747,"")</f>
        <v/>
      </c>
      <c r="H747" s="29">
        <f>IF(AND(F747=1,ISNUMBER(E747)),E747,"")</f>
        <v/>
      </c>
      <c r="I747" s="22">
        <f>IF(AND(F747=1,ISNUMBER(C747)),C747,"")</f>
        <v/>
      </c>
      <c r="J747" s="11">
        <f>IF(G747="","",100-IF($G$13=1,50,(_xlfn.RANK.AVG(G747,$G$19:$G$1518,1)-1)/($G$13-1)*100))</f>
        <v/>
      </c>
      <c r="K747" s="11">
        <f>IF(H747="","",100-IF($G$14=1,50,(_xlfn.RANK.AVG(H747,$H$19:$H$1518,1)-1)/($G$14-1)*100))</f>
        <v/>
      </c>
      <c r="L747" s="11">
        <f>IF(I747="","",IF($G$15=1,50,(_xlfn.RANK.AVG(I747,$I$19:$I$1518,1)-1)/($G$15-1)*100))</f>
        <v/>
      </c>
      <c r="M747" s="11">
        <f>IF(COUNT(J747:L747)=3,ROUND(AVERAGE(J747:L747),6),"")</f>
        <v/>
      </c>
      <c r="O747">
        <f>IF(AND(ISNUMBER('자료_미국심리'!$A731),ISNUMBER('자료_미국심리'!$B731)),'자료_미국심리'!$A731,"")</f>
        <v/>
      </c>
      <c r="P747">
        <f>IF(AND(ISNUMBER('자료_미국심리'!$D731),ISNUMBER('자료_미국심리'!$E731)),'자료_미국심리'!$D731,"")</f>
        <v/>
      </c>
      <c r="Q747">
        <f>IF(AND(ISNUMBER('자료_미국심리'!$G731),ISNUMBER('자료_미국심리'!$H731)),'자료_미국심리'!$G731,"")</f>
        <v/>
      </c>
    </row>
    <row r="748">
      <c r="A748" s="10">
        <f>IF(730&gt;$E$5,"",SMALL($O$19:$O$4018,$E$6+730))</f>
        <v/>
      </c>
      <c r="B748" s="29">
        <f>IF(A748="","",INDEX('자료_미국심리'!$B$3:$B$4002,MATCH(A748,$O$19:$O$4018,0)))</f>
        <v/>
      </c>
      <c r="C748" s="22">
        <f>IF(A748="","",B748/AVERAGE(B624:B748)-1)</f>
        <v/>
      </c>
      <c r="D748" s="29">
        <f>IF(A748="","",IFERROR(INDEX('자료_미국심리'!$E$3:$E$4002,MATCH(A748,$P$19:$P$4018,0)),D747))</f>
        <v/>
      </c>
      <c r="E748" s="29">
        <f>IF(A748="","",IFERROR(INDEX('자료_미국심리'!$H$3:$H$4002,MATCH(A748,$Q$19:$Q$4018,0)),E747))</f>
        <v/>
      </c>
      <c r="F748">
        <f>IF(A748="",0,IF(A748&gt;$B$5,1,0))</f>
        <v/>
      </c>
      <c r="G748" s="29">
        <f>IF(AND(F748=1,ISNUMBER(D748)),D748,"")</f>
        <v/>
      </c>
      <c r="H748" s="29">
        <f>IF(AND(F748=1,ISNUMBER(E748)),E748,"")</f>
        <v/>
      </c>
      <c r="I748" s="22">
        <f>IF(AND(F748=1,ISNUMBER(C748)),C748,"")</f>
        <v/>
      </c>
      <c r="J748" s="11">
        <f>IF(G748="","",100-IF($G$13=1,50,(_xlfn.RANK.AVG(G748,$G$19:$G$1518,1)-1)/($G$13-1)*100))</f>
        <v/>
      </c>
      <c r="K748" s="11">
        <f>IF(H748="","",100-IF($G$14=1,50,(_xlfn.RANK.AVG(H748,$H$19:$H$1518,1)-1)/($G$14-1)*100))</f>
        <v/>
      </c>
      <c r="L748" s="11">
        <f>IF(I748="","",IF($G$15=1,50,(_xlfn.RANK.AVG(I748,$I$19:$I$1518,1)-1)/($G$15-1)*100))</f>
        <v/>
      </c>
      <c r="M748" s="11">
        <f>IF(COUNT(J748:L748)=3,ROUND(AVERAGE(J748:L748),6),"")</f>
        <v/>
      </c>
      <c r="O748">
        <f>IF(AND(ISNUMBER('자료_미국심리'!$A732),ISNUMBER('자료_미국심리'!$B732)),'자료_미국심리'!$A732,"")</f>
        <v/>
      </c>
      <c r="P748">
        <f>IF(AND(ISNUMBER('자료_미국심리'!$D732),ISNUMBER('자료_미국심리'!$E732)),'자료_미국심리'!$D732,"")</f>
        <v/>
      </c>
      <c r="Q748">
        <f>IF(AND(ISNUMBER('자료_미국심리'!$G732),ISNUMBER('자료_미국심리'!$H732)),'자료_미국심리'!$G732,"")</f>
        <v/>
      </c>
    </row>
    <row r="749">
      <c r="A749" s="10">
        <f>IF(731&gt;$E$5,"",SMALL($O$19:$O$4018,$E$6+731))</f>
        <v/>
      </c>
      <c r="B749" s="29">
        <f>IF(A749="","",INDEX('자료_미국심리'!$B$3:$B$4002,MATCH(A749,$O$19:$O$4018,0)))</f>
        <v/>
      </c>
      <c r="C749" s="22">
        <f>IF(A749="","",B749/AVERAGE(B625:B749)-1)</f>
        <v/>
      </c>
      <c r="D749" s="29">
        <f>IF(A749="","",IFERROR(INDEX('자료_미국심리'!$E$3:$E$4002,MATCH(A749,$P$19:$P$4018,0)),D748))</f>
        <v/>
      </c>
      <c r="E749" s="29">
        <f>IF(A749="","",IFERROR(INDEX('자료_미국심리'!$H$3:$H$4002,MATCH(A749,$Q$19:$Q$4018,0)),E748))</f>
        <v/>
      </c>
      <c r="F749">
        <f>IF(A749="",0,IF(A749&gt;$B$5,1,0))</f>
        <v/>
      </c>
      <c r="G749" s="29">
        <f>IF(AND(F749=1,ISNUMBER(D749)),D749,"")</f>
        <v/>
      </c>
      <c r="H749" s="29">
        <f>IF(AND(F749=1,ISNUMBER(E749)),E749,"")</f>
        <v/>
      </c>
      <c r="I749" s="22">
        <f>IF(AND(F749=1,ISNUMBER(C749)),C749,"")</f>
        <v/>
      </c>
      <c r="J749" s="11">
        <f>IF(G749="","",100-IF($G$13=1,50,(_xlfn.RANK.AVG(G749,$G$19:$G$1518,1)-1)/($G$13-1)*100))</f>
        <v/>
      </c>
      <c r="K749" s="11">
        <f>IF(H749="","",100-IF($G$14=1,50,(_xlfn.RANK.AVG(H749,$H$19:$H$1518,1)-1)/($G$14-1)*100))</f>
        <v/>
      </c>
      <c r="L749" s="11">
        <f>IF(I749="","",IF($G$15=1,50,(_xlfn.RANK.AVG(I749,$I$19:$I$1518,1)-1)/($G$15-1)*100))</f>
        <v/>
      </c>
      <c r="M749" s="11">
        <f>IF(COUNT(J749:L749)=3,ROUND(AVERAGE(J749:L749),6),"")</f>
        <v/>
      </c>
      <c r="O749">
        <f>IF(AND(ISNUMBER('자료_미국심리'!$A733),ISNUMBER('자료_미국심리'!$B733)),'자료_미국심리'!$A733,"")</f>
        <v/>
      </c>
      <c r="P749">
        <f>IF(AND(ISNUMBER('자료_미국심리'!$D733),ISNUMBER('자료_미국심리'!$E733)),'자료_미국심리'!$D733,"")</f>
        <v/>
      </c>
      <c r="Q749">
        <f>IF(AND(ISNUMBER('자료_미국심리'!$G733),ISNUMBER('자료_미국심리'!$H733)),'자료_미국심리'!$G733,"")</f>
        <v/>
      </c>
    </row>
    <row r="750">
      <c r="A750" s="10">
        <f>IF(732&gt;$E$5,"",SMALL($O$19:$O$4018,$E$6+732))</f>
        <v/>
      </c>
      <c r="B750" s="29">
        <f>IF(A750="","",INDEX('자료_미국심리'!$B$3:$B$4002,MATCH(A750,$O$19:$O$4018,0)))</f>
        <v/>
      </c>
      <c r="C750" s="22">
        <f>IF(A750="","",B750/AVERAGE(B626:B750)-1)</f>
        <v/>
      </c>
      <c r="D750" s="29">
        <f>IF(A750="","",IFERROR(INDEX('자료_미국심리'!$E$3:$E$4002,MATCH(A750,$P$19:$P$4018,0)),D749))</f>
        <v/>
      </c>
      <c r="E750" s="29">
        <f>IF(A750="","",IFERROR(INDEX('자료_미국심리'!$H$3:$H$4002,MATCH(A750,$Q$19:$Q$4018,0)),E749))</f>
        <v/>
      </c>
      <c r="F750">
        <f>IF(A750="",0,IF(A750&gt;$B$5,1,0))</f>
        <v/>
      </c>
      <c r="G750" s="29">
        <f>IF(AND(F750=1,ISNUMBER(D750)),D750,"")</f>
        <v/>
      </c>
      <c r="H750" s="29">
        <f>IF(AND(F750=1,ISNUMBER(E750)),E750,"")</f>
        <v/>
      </c>
      <c r="I750" s="22">
        <f>IF(AND(F750=1,ISNUMBER(C750)),C750,"")</f>
        <v/>
      </c>
      <c r="J750" s="11">
        <f>IF(G750="","",100-IF($G$13=1,50,(_xlfn.RANK.AVG(G750,$G$19:$G$1518,1)-1)/($G$13-1)*100))</f>
        <v/>
      </c>
      <c r="K750" s="11">
        <f>IF(H750="","",100-IF($G$14=1,50,(_xlfn.RANK.AVG(H750,$H$19:$H$1518,1)-1)/($G$14-1)*100))</f>
        <v/>
      </c>
      <c r="L750" s="11">
        <f>IF(I750="","",IF($G$15=1,50,(_xlfn.RANK.AVG(I750,$I$19:$I$1518,1)-1)/($G$15-1)*100))</f>
        <v/>
      </c>
      <c r="M750" s="11">
        <f>IF(COUNT(J750:L750)=3,ROUND(AVERAGE(J750:L750),6),"")</f>
        <v/>
      </c>
      <c r="O750">
        <f>IF(AND(ISNUMBER('자료_미국심리'!$A734),ISNUMBER('자료_미국심리'!$B734)),'자료_미국심리'!$A734,"")</f>
        <v/>
      </c>
      <c r="P750">
        <f>IF(AND(ISNUMBER('자료_미국심리'!$D734),ISNUMBER('자료_미국심리'!$E734)),'자료_미국심리'!$D734,"")</f>
        <v/>
      </c>
      <c r="Q750">
        <f>IF(AND(ISNUMBER('자료_미국심리'!$G734),ISNUMBER('자료_미국심리'!$H734)),'자료_미국심리'!$G734,"")</f>
        <v/>
      </c>
    </row>
    <row r="751">
      <c r="A751" s="10">
        <f>IF(733&gt;$E$5,"",SMALL($O$19:$O$4018,$E$6+733))</f>
        <v/>
      </c>
      <c r="B751" s="29">
        <f>IF(A751="","",INDEX('자료_미국심리'!$B$3:$B$4002,MATCH(A751,$O$19:$O$4018,0)))</f>
        <v/>
      </c>
      <c r="C751" s="22">
        <f>IF(A751="","",B751/AVERAGE(B627:B751)-1)</f>
        <v/>
      </c>
      <c r="D751" s="29">
        <f>IF(A751="","",IFERROR(INDEX('자료_미국심리'!$E$3:$E$4002,MATCH(A751,$P$19:$P$4018,0)),D750))</f>
        <v/>
      </c>
      <c r="E751" s="29">
        <f>IF(A751="","",IFERROR(INDEX('자료_미국심리'!$H$3:$H$4002,MATCH(A751,$Q$19:$Q$4018,0)),E750))</f>
        <v/>
      </c>
      <c r="F751">
        <f>IF(A751="",0,IF(A751&gt;$B$5,1,0))</f>
        <v/>
      </c>
      <c r="G751" s="29">
        <f>IF(AND(F751=1,ISNUMBER(D751)),D751,"")</f>
        <v/>
      </c>
      <c r="H751" s="29">
        <f>IF(AND(F751=1,ISNUMBER(E751)),E751,"")</f>
        <v/>
      </c>
      <c r="I751" s="22">
        <f>IF(AND(F751=1,ISNUMBER(C751)),C751,"")</f>
        <v/>
      </c>
      <c r="J751" s="11">
        <f>IF(G751="","",100-IF($G$13=1,50,(_xlfn.RANK.AVG(G751,$G$19:$G$1518,1)-1)/($G$13-1)*100))</f>
        <v/>
      </c>
      <c r="K751" s="11">
        <f>IF(H751="","",100-IF($G$14=1,50,(_xlfn.RANK.AVG(H751,$H$19:$H$1518,1)-1)/($G$14-1)*100))</f>
        <v/>
      </c>
      <c r="L751" s="11">
        <f>IF(I751="","",IF($G$15=1,50,(_xlfn.RANK.AVG(I751,$I$19:$I$1518,1)-1)/($G$15-1)*100))</f>
        <v/>
      </c>
      <c r="M751" s="11">
        <f>IF(COUNT(J751:L751)=3,ROUND(AVERAGE(J751:L751),6),"")</f>
        <v/>
      </c>
      <c r="O751">
        <f>IF(AND(ISNUMBER('자료_미국심리'!$A735),ISNUMBER('자료_미국심리'!$B735)),'자료_미국심리'!$A735,"")</f>
        <v/>
      </c>
      <c r="P751">
        <f>IF(AND(ISNUMBER('자료_미국심리'!$D735),ISNUMBER('자료_미국심리'!$E735)),'자료_미국심리'!$D735,"")</f>
        <v/>
      </c>
      <c r="Q751">
        <f>IF(AND(ISNUMBER('자료_미국심리'!$G735),ISNUMBER('자료_미국심리'!$H735)),'자료_미국심리'!$G735,"")</f>
        <v/>
      </c>
    </row>
    <row r="752">
      <c r="A752" s="10">
        <f>IF(734&gt;$E$5,"",SMALL($O$19:$O$4018,$E$6+734))</f>
        <v/>
      </c>
      <c r="B752" s="29">
        <f>IF(A752="","",INDEX('자료_미국심리'!$B$3:$B$4002,MATCH(A752,$O$19:$O$4018,0)))</f>
        <v/>
      </c>
      <c r="C752" s="22">
        <f>IF(A752="","",B752/AVERAGE(B628:B752)-1)</f>
        <v/>
      </c>
      <c r="D752" s="29">
        <f>IF(A752="","",IFERROR(INDEX('자료_미국심리'!$E$3:$E$4002,MATCH(A752,$P$19:$P$4018,0)),D751))</f>
        <v/>
      </c>
      <c r="E752" s="29">
        <f>IF(A752="","",IFERROR(INDEX('자료_미국심리'!$H$3:$H$4002,MATCH(A752,$Q$19:$Q$4018,0)),E751))</f>
        <v/>
      </c>
      <c r="F752">
        <f>IF(A752="",0,IF(A752&gt;$B$5,1,0))</f>
        <v/>
      </c>
      <c r="G752" s="29">
        <f>IF(AND(F752=1,ISNUMBER(D752)),D752,"")</f>
        <v/>
      </c>
      <c r="H752" s="29">
        <f>IF(AND(F752=1,ISNUMBER(E752)),E752,"")</f>
        <v/>
      </c>
      <c r="I752" s="22">
        <f>IF(AND(F752=1,ISNUMBER(C752)),C752,"")</f>
        <v/>
      </c>
      <c r="J752" s="11">
        <f>IF(G752="","",100-IF($G$13=1,50,(_xlfn.RANK.AVG(G752,$G$19:$G$1518,1)-1)/($G$13-1)*100))</f>
        <v/>
      </c>
      <c r="K752" s="11">
        <f>IF(H752="","",100-IF($G$14=1,50,(_xlfn.RANK.AVG(H752,$H$19:$H$1518,1)-1)/($G$14-1)*100))</f>
        <v/>
      </c>
      <c r="L752" s="11">
        <f>IF(I752="","",IF($G$15=1,50,(_xlfn.RANK.AVG(I752,$I$19:$I$1518,1)-1)/($G$15-1)*100))</f>
        <v/>
      </c>
      <c r="M752" s="11">
        <f>IF(COUNT(J752:L752)=3,ROUND(AVERAGE(J752:L752),6),"")</f>
        <v/>
      </c>
      <c r="O752">
        <f>IF(AND(ISNUMBER('자료_미국심리'!$A736),ISNUMBER('자료_미국심리'!$B736)),'자료_미국심리'!$A736,"")</f>
        <v/>
      </c>
      <c r="P752">
        <f>IF(AND(ISNUMBER('자료_미국심리'!$D736),ISNUMBER('자료_미국심리'!$E736)),'자료_미국심리'!$D736,"")</f>
        <v/>
      </c>
      <c r="Q752">
        <f>IF(AND(ISNUMBER('자료_미국심리'!$G736),ISNUMBER('자료_미국심리'!$H736)),'자료_미국심리'!$G736,"")</f>
        <v/>
      </c>
    </row>
    <row r="753">
      <c r="A753" s="10">
        <f>IF(735&gt;$E$5,"",SMALL($O$19:$O$4018,$E$6+735))</f>
        <v/>
      </c>
      <c r="B753" s="29">
        <f>IF(A753="","",INDEX('자료_미국심리'!$B$3:$B$4002,MATCH(A753,$O$19:$O$4018,0)))</f>
        <v/>
      </c>
      <c r="C753" s="22">
        <f>IF(A753="","",B753/AVERAGE(B629:B753)-1)</f>
        <v/>
      </c>
      <c r="D753" s="29">
        <f>IF(A753="","",IFERROR(INDEX('자료_미국심리'!$E$3:$E$4002,MATCH(A753,$P$19:$P$4018,0)),D752))</f>
        <v/>
      </c>
      <c r="E753" s="29">
        <f>IF(A753="","",IFERROR(INDEX('자료_미국심리'!$H$3:$H$4002,MATCH(A753,$Q$19:$Q$4018,0)),E752))</f>
        <v/>
      </c>
      <c r="F753">
        <f>IF(A753="",0,IF(A753&gt;$B$5,1,0))</f>
        <v/>
      </c>
      <c r="G753" s="29">
        <f>IF(AND(F753=1,ISNUMBER(D753)),D753,"")</f>
        <v/>
      </c>
      <c r="H753" s="29">
        <f>IF(AND(F753=1,ISNUMBER(E753)),E753,"")</f>
        <v/>
      </c>
      <c r="I753" s="22">
        <f>IF(AND(F753=1,ISNUMBER(C753)),C753,"")</f>
        <v/>
      </c>
      <c r="J753" s="11">
        <f>IF(G753="","",100-IF($G$13=1,50,(_xlfn.RANK.AVG(G753,$G$19:$G$1518,1)-1)/($G$13-1)*100))</f>
        <v/>
      </c>
      <c r="K753" s="11">
        <f>IF(H753="","",100-IF($G$14=1,50,(_xlfn.RANK.AVG(H753,$H$19:$H$1518,1)-1)/($G$14-1)*100))</f>
        <v/>
      </c>
      <c r="L753" s="11">
        <f>IF(I753="","",IF($G$15=1,50,(_xlfn.RANK.AVG(I753,$I$19:$I$1518,1)-1)/($G$15-1)*100))</f>
        <v/>
      </c>
      <c r="M753" s="11">
        <f>IF(COUNT(J753:L753)=3,ROUND(AVERAGE(J753:L753),6),"")</f>
        <v/>
      </c>
      <c r="O753">
        <f>IF(AND(ISNUMBER('자료_미국심리'!$A737),ISNUMBER('자료_미국심리'!$B737)),'자료_미국심리'!$A737,"")</f>
        <v/>
      </c>
      <c r="P753">
        <f>IF(AND(ISNUMBER('자료_미국심리'!$D737),ISNUMBER('자료_미국심리'!$E737)),'자료_미국심리'!$D737,"")</f>
        <v/>
      </c>
      <c r="Q753">
        <f>IF(AND(ISNUMBER('자료_미국심리'!$G737),ISNUMBER('자료_미국심리'!$H737)),'자료_미국심리'!$G737,"")</f>
        <v/>
      </c>
    </row>
    <row r="754">
      <c r="A754" s="10">
        <f>IF(736&gt;$E$5,"",SMALL($O$19:$O$4018,$E$6+736))</f>
        <v/>
      </c>
      <c r="B754" s="29">
        <f>IF(A754="","",INDEX('자료_미국심리'!$B$3:$B$4002,MATCH(A754,$O$19:$O$4018,0)))</f>
        <v/>
      </c>
      <c r="C754" s="22">
        <f>IF(A754="","",B754/AVERAGE(B630:B754)-1)</f>
        <v/>
      </c>
      <c r="D754" s="29">
        <f>IF(A754="","",IFERROR(INDEX('자료_미국심리'!$E$3:$E$4002,MATCH(A754,$P$19:$P$4018,0)),D753))</f>
        <v/>
      </c>
      <c r="E754" s="29">
        <f>IF(A754="","",IFERROR(INDEX('자료_미국심리'!$H$3:$H$4002,MATCH(A754,$Q$19:$Q$4018,0)),E753))</f>
        <v/>
      </c>
      <c r="F754">
        <f>IF(A754="",0,IF(A754&gt;$B$5,1,0))</f>
        <v/>
      </c>
      <c r="G754" s="29">
        <f>IF(AND(F754=1,ISNUMBER(D754)),D754,"")</f>
        <v/>
      </c>
      <c r="H754" s="29">
        <f>IF(AND(F754=1,ISNUMBER(E754)),E754,"")</f>
        <v/>
      </c>
      <c r="I754" s="22">
        <f>IF(AND(F754=1,ISNUMBER(C754)),C754,"")</f>
        <v/>
      </c>
      <c r="J754" s="11">
        <f>IF(G754="","",100-IF($G$13=1,50,(_xlfn.RANK.AVG(G754,$G$19:$G$1518,1)-1)/($G$13-1)*100))</f>
        <v/>
      </c>
      <c r="K754" s="11">
        <f>IF(H754="","",100-IF($G$14=1,50,(_xlfn.RANK.AVG(H754,$H$19:$H$1518,1)-1)/($G$14-1)*100))</f>
        <v/>
      </c>
      <c r="L754" s="11">
        <f>IF(I754="","",IF($G$15=1,50,(_xlfn.RANK.AVG(I754,$I$19:$I$1518,1)-1)/($G$15-1)*100))</f>
        <v/>
      </c>
      <c r="M754" s="11">
        <f>IF(COUNT(J754:L754)=3,ROUND(AVERAGE(J754:L754),6),"")</f>
        <v/>
      </c>
      <c r="O754">
        <f>IF(AND(ISNUMBER('자료_미국심리'!$A738),ISNUMBER('자료_미국심리'!$B738)),'자료_미국심리'!$A738,"")</f>
        <v/>
      </c>
      <c r="P754">
        <f>IF(AND(ISNUMBER('자료_미국심리'!$D738),ISNUMBER('자료_미국심리'!$E738)),'자료_미국심리'!$D738,"")</f>
        <v/>
      </c>
      <c r="Q754">
        <f>IF(AND(ISNUMBER('자료_미국심리'!$G738),ISNUMBER('자료_미국심리'!$H738)),'자료_미국심리'!$G738,"")</f>
        <v/>
      </c>
    </row>
    <row r="755">
      <c r="A755" s="10">
        <f>IF(737&gt;$E$5,"",SMALL($O$19:$O$4018,$E$6+737))</f>
        <v/>
      </c>
      <c r="B755" s="29">
        <f>IF(A755="","",INDEX('자료_미국심리'!$B$3:$B$4002,MATCH(A755,$O$19:$O$4018,0)))</f>
        <v/>
      </c>
      <c r="C755" s="22">
        <f>IF(A755="","",B755/AVERAGE(B631:B755)-1)</f>
        <v/>
      </c>
      <c r="D755" s="29">
        <f>IF(A755="","",IFERROR(INDEX('자료_미국심리'!$E$3:$E$4002,MATCH(A755,$P$19:$P$4018,0)),D754))</f>
        <v/>
      </c>
      <c r="E755" s="29">
        <f>IF(A755="","",IFERROR(INDEX('자료_미국심리'!$H$3:$H$4002,MATCH(A755,$Q$19:$Q$4018,0)),E754))</f>
        <v/>
      </c>
      <c r="F755">
        <f>IF(A755="",0,IF(A755&gt;$B$5,1,0))</f>
        <v/>
      </c>
      <c r="G755" s="29">
        <f>IF(AND(F755=1,ISNUMBER(D755)),D755,"")</f>
        <v/>
      </c>
      <c r="H755" s="29">
        <f>IF(AND(F755=1,ISNUMBER(E755)),E755,"")</f>
        <v/>
      </c>
      <c r="I755" s="22">
        <f>IF(AND(F755=1,ISNUMBER(C755)),C755,"")</f>
        <v/>
      </c>
      <c r="J755" s="11">
        <f>IF(G755="","",100-IF($G$13=1,50,(_xlfn.RANK.AVG(G755,$G$19:$G$1518,1)-1)/($G$13-1)*100))</f>
        <v/>
      </c>
      <c r="K755" s="11">
        <f>IF(H755="","",100-IF($G$14=1,50,(_xlfn.RANK.AVG(H755,$H$19:$H$1518,1)-1)/($G$14-1)*100))</f>
        <v/>
      </c>
      <c r="L755" s="11">
        <f>IF(I755="","",IF($G$15=1,50,(_xlfn.RANK.AVG(I755,$I$19:$I$1518,1)-1)/($G$15-1)*100))</f>
        <v/>
      </c>
      <c r="M755" s="11">
        <f>IF(COUNT(J755:L755)=3,ROUND(AVERAGE(J755:L755),6),"")</f>
        <v/>
      </c>
      <c r="O755">
        <f>IF(AND(ISNUMBER('자료_미국심리'!$A739),ISNUMBER('자료_미국심리'!$B739)),'자료_미국심리'!$A739,"")</f>
        <v/>
      </c>
      <c r="P755">
        <f>IF(AND(ISNUMBER('자료_미국심리'!$D739),ISNUMBER('자료_미국심리'!$E739)),'자료_미국심리'!$D739,"")</f>
        <v/>
      </c>
      <c r="Q755">
        <f>IF(AND(ISNUMBER('자료_미국심리'!$G739),ISNUMBER('자료_미국심리'!$H739)),'자료_미국심리'!$G739,"")</f>
        <v/>
      </c>
    </row>
    <row r="756">
      <c r="A756" s="10">
        <f>IF(738&gt;$E$5,"",SMALL($O$19:$O$4018,$E$6+738))</f>
        <v/>
      </c>
      <c r="B756" s="29">
        <f>IF(A756="","",INDEX('자료_미국심리'!$B$3:$B$4002,MATCH(A756,$O$19:$O$4018,0)))</f>
        <v/>
      </c>
      <c r="C756" s="22">
        <f>IF(A756="","",B756/AVERAGE(B632:B756)-1)</f>
        <v/>
      </c>
      <c r="D756" s="29">
        <f>IF(A756="","",IFERROR(INDEX('자료_미국심리'!$E$3:$E$4002,MATCH(A756,$P$19:$P$4018,0)),D755))</f>
        <v/>
      </c>
      <c r="E756" s="29">
        <f>IF(A756="","",IFERROR(INDEX('자료_미국심리'!$H$3:$H$4002,MATCH(A756,$Q$19:$Q$4018,0)),E755))</f>
        <v/>
      </c>
      <c r="F756">
        <f>IF(A756="",0,IF(A756&gt;$B$5,1,0))</f>
        <v/>
      </c>
      <c r="G756" s="29">
        <f>IF(AND(F756=1,ISNUMBER(D756)),D756,"")</f>
        <v/>
      </c>
      <c r="H756" s="29">
        <f>IF(AND(F756=1,ISNUMBER(E756)),E756,"")</f>
        <v/>
      </c>
      <c r="I756" s="22">
        <f>IF(AND(F756=1,ISNUMBER(C756)),C756,"")</f>
        <v/>
      </c>
      <c r="J756" s="11">
        <f>IF(G756="","",100-IF($G$13=1,50,(_xlfn.RANK.AVG(G756,$G$19:$G$1518,1)-1)/($G$13-1)*100))</f>
        <v/>
      </c>
      <c r="K756" s="11">
        <f>IF(H756="","",100-IF($G$14=1,50,(_xlfn.RANK.AVG(H756,$H$19:$H$1518,1)-1)/($G$14-1)*100))</f>
        <v/>
      </c>
      <c r="L756" s="11">
        <f>IF(I756="","",IF($G$15=1,50,(_xlfn.RANK.AVG(I756,$I$19:$I$1518,1)-1)/($G$15-1)*100))</f>
        <v/>
      </c>
      <c r="M756" s="11">
        <f>IF(COUNT(J756:L756)=3,ROUND(AVERAGE(J756:L756),6),"")</f>
        <v/>
      </c>
      <c r="O756">
        <f>IF(AND(ISNUMBER('자료_미국심리'!$A740),ISNUMBER('자료_미국심리'!$B740)),'자료_미국심리'!$A740,"")</f>
        <v/>
      </c>
      <c r="P756">
        <f>IF(AND(ISNUMBER('자료_미국심리'!$D740),ISNUMBER('자료_미국심리'!$E740)),'자료_미국심리'!$D740,"")</f>
        <v/>
      </c>
      <c r="Q756">
        <f>IF(AND(ISNUMBER('자료_미국심리'!$G740),ISNUMBER('자료_미국심리'!$H740)),'자료_미국심리'!$G740,"")</f>
        <v/>
      </c>
    </row>
    <row r="757">
      <c r="A757" s="10">
        <f>IF(739&gt;$E$5,"",SMALL($O$19:$O$4018,$E$6+739))</f>
        <v/>
      </c>
      <c r="B757" s="29">
        <f>IF(A757="","",INDEX('자료_미국심리'!$B$3:$B$4002,MATCH(A757,$O$19:$O$4018,0)))</f>
        <v/>
      </c>
      <c r="C757" s="22">
        <f>IF(A757="","",B757/AVERAGE(B633:B757)-1)</f>
        <v/>
      </c>
      <c r="D757" s="29">
        <f>IF(A757="","",IFERROR(INDEX('자료_미국심리'!$E$3:$E$4002,MATCH(A757,$P$19:$P$4018,0)),D756))</f>
        <v/>
      </c>
      <c r="E757" s="29">
        <f>IF(A757="","",IFERROR(INDEX('자료_미국심리'!$H$3:$H$4002,MATCH(A757,$Q$19:$Q$4018,0)),E756))</f>
        <v/>
      </c>
      <c r="F757">
        <f>IF(A757="",0,IF(A757&gt;$B$5,1,0))</f>
        <v/>
      </c>
      <c r="G757" s="29">
        <f>IF(AND(F757=1,ISNUMBER(D757)),D757,"")</f>
        <v/>
      </c>
      <c r="H757" s="29">
        <f>IF(AND(F757=1,ISNUMBER(E757)),E757,"")</f>
        <v/>
      </c>
      <c r="I757" s="22">
        <f>IF(AND(F757=1,ISNUMBER(C757)),C757,"")</f>
        <v/>
      </c>
      <c r="J757" s="11">
        <f>IF(G757="","",100-IF($G$13=1,50,(_xlfn.RANK.AVG(G757,$G$19:$G$1518,1)-1)/($G$13-1)*100))</f>
        <v/>
      </c>
      <c r="K757" s="11">
        <f>IF(H757="","",100-IF($G$14=1,50,(_xlfn.RANK.AVG(H757,$H$19:$H$1518,1)-1)/($G$14-1)*100))</f>
        <v/>
      </c>
      <c r="L757" s="11">
        <f>IF(I757="","",IF($G$15=1,50,(_xlfn.RANK.AVG(I757,$I$19:$I$1518,1)-1)/($G$15-1)*100))</f>
        <v/>
      </c>
      <c r="M757" s="11">
        <f>IF(COUNT(J757:L757)=3,ROUND(AVERAGE(J757:L757),6),"")</f>
        <v/>
      </c>
      <c r="O757">
        <f>IF(AND(ISNUMBER('자료_미국심리'!$A741),ISNUMBER('자료_미국심리'!$B741)),'자료_미국심리'!$A741,"")</f>
        <v/>
      </c>
      <c r="P757">
        <f>IF(AND(ISNUMBER('자료_미국심리'!$D741),ISNUMBER('자료_미국심리'!$E741)),'자료_미국심리'!$D741,"")</f>
        <v/>
      </c>
      <c r="Q757">
        <f>IF(AND(ISNUMBER('자료_미국심리'!$G741),ISNUMBER('자료_미국심리'!$H741)),'자료_미국심리'!$G741,"")</f>
        <v/>
      </c>
    </row>
    <row r="758">
      <c r="A758" s="10">
        <f>IF(740&gt;$E$5,"",SMALL($O$19:$O$4018,$E$6+740))</f>
        <v/>
      </c>
      <c r="B758" s="29">
        <f>IF(A758="","",INDEX('자료_미국심리'!$B$3:$B$4002,MATCH(A758,$O$19:$O$4018,0)))</f>
        <v/>
      </c>
      <c r="C758" s="22">
        <f>IF(A758="","",B758/AVERAGE(B634:B758)-1)</f>
        <v/>
      </c>
      <c r="D758" s="29">
        <f>IF(A758="","",IFERROR(INDEX('자료_미국심리'!$E$3:$E$4002,MATCH(A758,$P$19:$P$4018,0)),D757))</f>
        <v/>
      </c>
      <c r="E758" s="29">
        <f>IF(A758="","",IFERROR(INDEX('자료_미국심리'!$H$3:$H$4002,MATCH(A758,$Q$19:$Q$4018,0)),E757))</f>
        <v/>
      </c>
      <c r="F758">
        <f>IF(A758="",0,IF(A758&gt;$B$5,1,0))</f>
        <v/>
      </c>
      <c r="G758" s="29">
        <f>IF(AND(F758=1,ISNUMBER(D758)),D758,"")</f>
        <v/>
      </c>
      <c r="H758" s="29">
        <f>IF(AND(F758=1,ISNUMBER(E758)),E758,"")</f>
        <v/>
      </c>
      <c r="I758" s="22">
        <f>IF(AND(F758=1,ISNUMBER(C758)),C758,"")</f>
        <v/>
      </c>
      <c r="J758" s="11">
        <f>IF(G758="","",100-IF($G$13=1,50,(_xlfn.RANK.AVG(G758,$G$19:$G$1518,1)-1)/($G$13-1)*100))</f>
        <v/>
      </c>
      <c r="K758" s="11">
        <f>IF(H758="","",100-IF($G$14=1,50,(_xlfn.RANK.AVG(H758,$H$19:$H$1518,1)-1)/($G$14-1)*100))</f>
        <v/>
      </c>
      <c r="L758" s="11">
        <f>IF(I758="","",IF($G$15=1,50,(_xlfn.RANK.AVG(I758,$I$19:$I$1518,1)-1)/($G$15-1)*100))</f>
        <v/>
      </c>
      <c r="M758" s="11">
        <f>IF(COUNT(J758:L758)=3,ROUND(AVERAGE(J758:L758),6),"")</f>
        <v/>
      </c>
      <c r="O758">
        <f>IF(AND(ISNUMBER('자료_미국심리'!$A742),ISNUMBER('자료_미국심리'!$B742)),'자료_미국심리'!$A742,"")</f>
        <v/>
      </c>
      <c r="P758">
        <f>IF(AND(ISNUMBER('자료_미국심리'!$D742),ISNUMBER('자료_미국심리'!$E742)),'자료_미국심리'!$D742,"")</f>
        <v/>
      </c>
      <c r="Q758">
        <f>IF(AND(ISNUMBER('자료_미국심리'!$G742),ISNUMBER('자료_미국심리'!$H742)),'자료_미국심리'!$G742,"")</f>
        <v/>
      </c>
    </row>
    <row r="759">
      <c r="A759" s="10">
        <f>IF(741&gt;$E$5,"",SMALL($O$19:$O$4018,$E$6+741))</f>
        <v/>
      </c>
      <c r="B759" s="29">
        <f>IF(A759="","",INDEX('자료_미국심리'!$B$3:$B$4002,MATCH(A759,$O$19:$O$4018,0)))</f>
        <v/>
      </c>
      <c r="C759" s="22">
        <f>IF(A759="","",B759/AVERAGE(B635:B759)-1)</f>
        <v/>
      </c>
      <c r="D759" s="29">
        <f>IF(A759="","",IFERROR(INDEX('자료_미국심리'!$E$3:$E$4002,MATCH(A759,$P$19:$P$4018,0)),D758))</f>
        <v/>
      </c>
      <c r="E759" s="29">
        <f>IF(A759="","",IFERROR(INDEX('자료_미국심리'!$H$3:$H$4002,MATCH(A759,$Q$19:$Q$4018,0)),E758))</f>
        <v/>
      </c>
      <c r="F759">
        <f>IF(A759="",0,IF(A759&gt;$B$5,1,0))</f>
        <v/>
      </c>
      <c r="G759" s="29">
        <f>IF(AND(F759=1,ISNUMBER(D759)),D759,"")</f>
        <v/>
      </c>
      <c r="H759" s="29">
        <f>IF(AND(F759=1,ISNUMBER(E759)),E759,"")</f>
        <v/>
      </c>
      <c r="I759" s="22">
        <f>IF(AND(F759=1,ISNUMBER(C759)),C759,"")</f>
        <v/>
      </c>
      <c r="J759" s="11">
        <f>IF(G759="","",100-IF($G$13=1,50,(_xlfn.RANK.AVG(G759,$G$19:$G$1518,1)-1)/($G$13-1)*100))</f>
        <v/>
      </c>
      <c r="K759" s="11">
        <f>IF(H759="","",100-IF($G$14=1,50,(_xlfn.RANK.AVG(H759,$H$19:$H$1518,1)-1)/($G$14-1)*100))</f>
        <v/>
      </c>
      <c r="L759" s="11">
        <f>IF(I759="","",IF($G$15=1,50,(_xlfn.RANK.AVG(I759,$I$19:$I$1518,1)-1)/($G$15-1)*100))</f>
        <v/>
      </c>
      <c r="M759" s="11">
        <f>IF(COUNT(J759:L759)=3,ROUND(AVERAGE(J759:L759),6),"")</f>
        <v/>
      </c>
      <c r="O759">
        <f>IF(AND(ISNUMBER('자료_미국심리'!$A743),ISNUMBER('자료_미국심리'!$B743)),'자료_미국심리'!$A743,"")</f>
        <v/>
      </c>
      <c r="P759">
        <f>IF(AND(ISNUMBER('자료_미국심리'!$D743),ISNUMBER('자료_미국심리'!$E743)),'자료_미국심리'!$D743,"")</f>
        <v/>
      </c>
      <c r="Q759">
        <f>IF(AND(ISNUMBER('자료_미국심리'!$G743),ISNUMBER('자료_미국심리'!$H743)),'자료_미국심리'!$G743,"")</f>
        <v/>
      </c>
    </row>
    <row r="760">
      <c r="A760" s="10">
        <f>IF(742&gt;$E$5,"",SMALL($O$19:$O$4018,$E$6+742))</f>
        <v/>
      </c>
      <c r="B760" s="29">
        <f>IF(A760="","",INDEX('자료_미국심리'!$B$3:$B$4002,MATCH(A760,$O$19:$O$4018,0)))</f>
        <v/>
      </c>
      <c r="C760" s="22">
        <f>IF(A760="","",B760/AVERAGE(B636:B760)-1)</f>
        <v/>
      </c>
      <c r="D760" s="29">
        <f>IF(A760="","",IFERROR(INDEX('자료_미국심리'!$E$3:$E$4002,MATCH(A760,$P$19:$P$4018,0)),D759))</f>
        <v/>
      </c>
      <c r="E760" s="29">
        <f>IF(A760="","",IFERROR(INDEX('자료_미국심리'!$H$3:$H$4002,MATCH(A760,$Q$19:$Q$4018,0)),E759))</f>
        <v/>
      </c>
      <c r="F760">
        <f>IF(A760="",0,IF(A760&gt;$B$5,1,0))</f>
        <v/>
      </c>
      <c r="G760" s="29">
        <f>IF(AND(F760=1,ISNUMBER(D760)),D760,"")</f>
        <v/>
      </c>
      <c r="H760" s="29">
        <f>IF(AND(F760=1,ISNUMBER(E760)),E760,"")</f>
        <v/>
      </c>
      <c r="I760" s="22">
        <f>IF(AND(F760=1,ISNUMBER(C760)),C760,"")</f>
        <v/>
      </c>
      <c r="J760" s="11">
        <f>IF(G760="","",100-IF($G$13=1,50,(_xlfn.RANK.AVG(G760,$G$19:$G$1518,1)-1)/($G$13-1)*100))</f>
        <v/>
      </c>
      <c r="K760" s="11">
        <f>IF(H760="","",100-IF($G$14=1,50,(_xlfn.RANK.AVG(H760,$H$19:$H$1518,1)-1)/($G$14-1)*100))</f>
        <v/>
      </c>
      <c r="L760" s="11">
        <f>IF(I760="","",IF($G$15=1,50,(_xlfn.RANK.AVG(I760,$I$19:$I$1518,1)-1)/($G$15-1)*100))</f>
        <v/>
      </c>
      <c r="M760" s="11">
        <f>IF(COUNT(J760:L760)=3,ROUND(AVERAGE(J760:L760),6),"")</f>
        <v/>
      </c>
      <c r="O760">
        <f>IF(AND(ISNUMBER('자료_미국심리'!$A744),ISNUMBER('자료_미국심리'!$B744)),'자료_미국심리'!$A744,"")</f>
        <v/>
      </c>
      <c r="P760">
        <f>IF(AND(ISNUMBER('자료_미국심리'!$D744),ISNUMBER('자료_미국심리'!$E744)),'자료_미국심리'!$D744,"")</f>
        <v/>
      </c>
      <c r="Q760">
        <f>IF(AND(ISNUMBER('자료_미국심리'!$G744),ISNUMBER('자료_미국심리'!$H744)),'자료_미국심리'!$G744,"")</f>
        <v/>
      </c>
    </row>
    <row r="761">
      <c r="A761" s="10">
        <f>IF(743&gt;$E$5,"",SMALL($O$19:$O$4018,$E$6+743))</f>
        <v/>
      </c>
      <c r="B761" s="29">
        <f>IF(A761="","",INDEX('자료_미국심리'!$B$3:$B$4002,MATCH(A761,$O$19:$O$4018,0)))</f>
        <v/>
      </c>
      <c r="C761" s="22">
        <f>IF(A761="","",B761/AVERAGE(B637:B761)-1)</f>
        <v/>
      </c>
      <c r="D761" s="29">
        <f>IF(A761="","",IFERROR(INDEX('자료_미국심리'!$E$3:$E$4002,MATCH(A761,$P$19:$P$4018,0)),D760))</f>
        <v/>
      </c>
      <c r="E761" s="29">
        <f>IF(A761="","",IFERROR(INDEX('자료_미국심리'!$H$3:$H$4002,MATCH(A761,$Q$19:$Q$4018,0)),E760))</f>
        <v/>
      </c>
      <c r="F761">
        <f>IF(A761="",0,IF(A761&gt;$B$5,1,0))</f>
        <v/>
      </c>
      <c r="G761" s="29">
        <f>IF(AND(F761=1,ISNUMBER(D761)),D761,"")</f>
        <v/>
      </c>
      <c r="H761" s="29">
        <f>IF(AND(F761=1,ISNUMBER(E761)),E761,"")</f>
        <v/>
      </c>
      <c r="I761" s="22">
        <f>IF(AND(F761=1,ISNUMBER(C761)),C761,"")</f>
        <v/>
      </c>
      <c r="J761" s="11">
        <f>IF(G761="","",100-IF($G$13=1,50,(_xlfn.RANK.AVG(G761,$G$19:$G$1518,1)-1)/($G$13-1)*100))</f>
        <v/>
      </c>
      <c r="K761" s="11">
        <f>IF(H761="","",100-IF($G$14=1,50,(_xlfn.RANK.AVG(H761,$H$19:$H$1518,1)-1)/($G$14-1)*100))</f>
        <v/>
      </c>
      <c r="L761" s="11">
        <f>IF(I761="","",IF($G$15=1,50,(_xlfn.RANK.AVG(I761,$I$19:$I$1518,1)-1)/($G$15-1)*100))</f>
        <v/>
      </c>
      <c r="M761" s="11">
        <f>IF(COUNT(J761:L761)=3,ROUND(AVERAGE(J761:L761),6),"")</f>
        <v/>
      </c>
      <c r="O761">
        <f>IF(AND(ISNUMBER('자료_미국심리'!$A745),ISNUMBER('자료_미국심리'!$B745)),'자료_미국심리'!$A745,"")</f>
        <v/>
      </c>
      <c r="P761">
        <f>IF(AND(ISNUMBER('자료_미국심리'!$D745),ISNUMBER('자료_미국심리'!$E745)),'자료_미국심리'!$D745,"")</f>
        <v/>
      </c>
      <c r="Q761">
        <f>IF(AND(ISNUMBER('자료_미국심리'!$G745),ISNUMBER('자료_미국심리'!$H745)),'자료_미국심리'!$G745,"")</f>
        <v/>
      </c>
    </row>
    <row r="762">
      <c r="A762" s="10">
        <f>IF(744&gt;$E$5,"",SMALL($O$19:$O$4018,$E$6+744))</f>
        <v/>
      </c>
      <c r="B762" s="29">
        <f>IF(A762="","",INDEX('자료_미국심리'!$B$3:$B$4002,MATCH(A762,$O$19:$O$4018,0)))</f>
        <v/>
      </c>
      <c r="C762" s="22">
        <f>IF(A762="","",B762/AVERAGE(B638:B762)-1)</f>
        <v/>
      </c>
      <c r="D762" s="29">
        <f>IF(A762="","",IFERROR(INDEX('자료_미국심리'!$E$3:$E$4002,MATCH(A762,$P$19:$P$4018,0)),D761))</f>
        <v/>
      </c>
      <c r="E762" s="29">
        <f>IF(A762="","",IFERROR(INDEX('자료_미국심리'!$H$3:$H$4002,MATCH(A762,$Q$19:$Q$4018,0)),E761))</f>
        <v/>
      </c>
      <c r="F762">
        <f>IF(A762="",0,IF(A762&gt;$B$5,1,0))</f>
        <v/>
      </c>
      <c r="G762" s="29">
        <f>IF(AND(F762=1,ISNUMBER(D762)),D762,"")</f>
        <v/>
      </c>
      <c r="H762" s="29">
        <f>IF(AND(F762=1,ISNUMBER(E762)),E762,"")</f>
        <v/>
      </c>
      <c r="I762" s="22">
        <f>IF(AND(F762=1,ISNUMBER(C762)),C762,"")</f>
        <v/>
      </c>
      <c r="J762" s="11">
        <f>IF(G762="","",100-IF($G$13=1,50,(_xlfn.RANK.AVG(G762,$G$19:$G$1518,1)-1)/($G$13-1)*100))</f>
        <v/>
      </c>
      <c r="K762" s="11">
        <f>IF(H762="","",100-IF($G$14=1,50,(_xlfn.RANK.AVG(H762,$H$19:$H$1518,1)-1)/($G$14-1)*100))</f>
        <v/>
      </c>
      <c r="L762" s="11">
        <f>IF(I762="","",IF($G$15=1,50,(_xlfn.RANK.AVG(I762,$I$19:$I$1518,1)-1)/($G$15-1)*100))</f>
        <v/>
      </c>
      <c r="M762" s="11">
        <f>IF(COUNT(J762:L762)=3,ROUND(AVERAGE(J762:L762),6),"")</f>
        <v/>
      </c>
      <c r="O762">
        <f>IF(AND(ISNUMBER('자료_미국심리'!$A746),ISNUMBER('자료_미국심리'!$B746)),'자료_미국심리'!$A746,"")</f>
        <v/>
      </c>
      <c r="P762">
        <f>IF(AND(ISNUMBER('자료_미국심리'!$D746),ISNUMBER('자료_미국심리'!$E746)),'자료_미국심리'!$D746,"")</f>
        <v/>
      </c>
      <c r="Q762">
        <f>IF(AND(ISNUMBER('자료_미국심리'!$G746),ISNUMBER('자료_미국심리'!$H746)),'자료_미국심리'!$G746,"")</f>
        <v/>
      </c>
    </row>
    <row r="763">
      <c r="A763" s="10">
        <f>IF(745&gt;$E$5,"",SMALL($O$19:$O$4018,$E$6+745))</f>
        <v/>
      </c>
      <c r="B763" s="29">
        <f>IF(A763="","",INDEX('자료_미국심리'!$B$3:$B$4002,MATCH(A763,$O$19:$O$4018,0)))</f>
        <v/>
      </c>
      <c r="C763" s="22">
        <f>IF(A763="","",B763/AVERAGE(B639:B763)-1)</f>
        <v/>
      </c>
      <c r="D763" s="29">
        <f>IF(A763="","",IFERROR(INDEX('자료_미국심리'!$E$3:$E$4002,MATCH(A763,$P$19:$P$4018,0)),D762))</f>
        <v/>
      </c>
      <c r="E763" s="29">
        <f>IF(A763="","",IFERROR(INDEX('자료_미국심리'!$H$3:$H$4002,MATCH(A763,$Q$19:$Q$4018,0)),E762))</f>
        <v/>
      </c>
      <c r="F763">
        <f>IF(A763="",0,IF(A763&gt;$B$5,1,0))</f>
        <v/>
      </c>
      <c r="G763" s="29">
        <f>IF(AND(F763=1,ISNUMBER(D763)),D763,"")</f>
        <v/>
      </c>
      <c r="H763" s="29">
        <f>IF(AND(F763=1,ISNUMBER(E763)),E763,"")</f>
        <v/>
      </c>
      <c r="I763" s="22">
        <f>IF(AND(F763=1,ISNUMBER(C763)),C763,"")</f>
        <v/>
      </c>
      <c r="J763" s="11">
        <f>IF(G763="","",100-IF($G$13=1,50,(_xlfn.RANK.AVG(G763,$G$19:$G$1518,1)-1)/($G$13-1)*100))</f>
        <v/>
      </c>
      <c r="K763" s="11">
        <f>IF(H763="","",100-IF($G$14=1,50,(_xlfn.RANK.AVG(H763,$H$19:$H$1518,1)-1)/($G$14-1)*100))</f>
        <v/>
      </c>
      <c r="L763" s="11">
        <f>IF(I763="","",IF($G$15=1,50,(_xlfn.RANK.AVG(I763,$I$19:$I$1518,1)-1)/($G$15-1)*100))</f>
        <v/>
      </c>
      <c r="M763" s="11">
        <f>IF(COUNT(J763:L763)=3,ROUND(AVERAGE(J763:L763),6),"")</f>
        <v/>
      </c>
      <c r="O763">
        <f>IF(AND(ISNUMBER('자료_미국심리'!$A747),ISNUMBER('자료_미국심리'!$B747)),'자료_미국심리'!$A747,"")</f>
        <v/>
      </c>
      <c r="P763">
        <f>IF(AND(ISNUMBER('자료_미국심리'!$D747),ISNUMBER('자료_미국심리'!$E747)),'자료_미국심리'!$D747,"")</f>
        <v/>
      </c>
      <c r="Q763">
        <f>IF(AND(ISNUMBER('자료_미국심리'!$G747),ISNUMBER('자료_미국심리'!$H747)),'자료_미국심리'!$G747,"")</f>
        <v/>
      </c>
    </row>
    <row r="764">
      <c r="A764" s="10">
        <f>IF(746&gt;$E$5,"",SMALL($O$19:$O$4018,$E$6+746))</f>
        <v/>
      </c>
      <c r="B764" s="29">
        <f>IF(A764="","",INDEX('자료_미국심리'!$B$3:$B$4002,MATCH(A764,$O$19:$O$4018,0)))</f>
        <v/>
      </c>
      <c r="C764" s="22">
        <f>IF(A764="","",B764/AVERAGE(B640:B764)-1)</f>
        <v/>
      </c>
      <c r="D764" s="29">
        <f>IF(A764="","",IFERROR(INDEX('자료_미국심리'!$E$3:$E$4002,MATCH(A764,$P$19:$P$4018,0)),D763))</f>
        <v/>
      </c>
      <c r="E764" s="29">
        <f>IF(A764="","",IFERROR(INDEX('자료_미국심리'!$H$3:$H$4002,MATCH(A764,$Q$19:$Q$4018,0)),E763))</f>
        <v/>
      </c>
      <c r="F764">
        <f>IF(A764="",0,IF(A764&gt;$B$5,1,0))</f>
        <v/>
      </c>
      <c r="G764" s="29">
        <f>IF(AND(F764=1,ISNUMBER(D764)),D764,"")</f>
        <v/>
      </c>
      <c r="H764" s="29">
        <f>IF(AND(F764=1,ISNUMBER(E764)),E764,"")</f>
        <v/>
      </c>
      <c r="I764" s="22">
        <f>IF(AND(F764=1,ISNUMBER(C764)),C764,"")</f>
        <v/>
      </c>
      <c r="J764" s="11">
        <f>IF(G764="","",100-IF($G$13=1,50,(_xlfn.RANK.AVG(G764,$G$19:$G$1518,1)-1)/($G$13-1)*100))</f>
        <v/>
      </c>
      <c r="K764" s="11">
        <f>IF(H764="","",100-IF($G$14=1,50,(_xlfn.RANK.AVG(H764,$H$19:$H$1518,1)-1)/($G$14-1)*100))</f>
        <v/>
      </c>
      <c r="L764" s="11">
        <f>IF(I764="","",IF($G$15=1,50,(_xlfn.RANK.AVG(I764,$I$19:$I$1518,1)-1)/($G$15-1)*100))</f>
        <v/>
      </c>
      <c r="M764" s="11">
        <f>IF(COUNT(J764:L764)=3,ROUND(AVERAGE(J764:L764),6),"")</f>
        <v/>
      </c>
      <c r="O764">
        <f>IF(AND(ISNUMBER('자료_미국심리'!$A748),ISNUMBER('자료_미국심리'!$B748)),'자료_미국심리'!$A748,"")</f>
        <v/>
      </c>
      <c r="P764">
        <f>IF(AND(ISNUMBER('자료_미국심리'!$D748),ISNUMBER('자료_미국심리'!$E748)),'자료_미국심리'!$D748,"")</f>
        <v/>
      </c>
      <c r="Q764">
        <f>IF(AND(ISNUMBER('자료_미국심리'!$G748),ISNUMBER('자료_미국심리'!$H748)),'자료_미국심리'!$G748,"")</f>
        <v/>
      </c>
    </row>
    <row r="765">
      <c r="A765" s="10">
        <f>IF(747&gt;$E$5,"",SMALL($O$19:$O$4018,$E$6+747))</f>
        <v/>
      </c>
      <c r="B765" s="29">
        <f>IF(A765="","",INDEX('자료_미국심리'!$B$3:$B$4002,MATCH(A765,$O$19:$O$4018,0)))</f>
        <v/>
      </c>
      <c r="C765" s="22">
        <f>IF(A765="","",B765/AVERAGE(B641:B765)-1)</f>
        <v/>
      </c>
      <c r="D765" s="29">
        <f>IF(A765="","",IFERROR(INDEX('자료_미국심리'!$E$3:$E$4002,MATCH(A765,$P$19:$P$4018,0)),D764))</f>
        <v/>
      </c>
      <c r="E765" s="29">
        <f>IF(A765="","",IFERROR(INDEX('자료_미국심리'!$H$3:$H$4002,MATCH(A765,$Q$19:$Q$4018,0)),E764))</f>
        <v/>
      </c>
      <c r="F765">
        <f>IF(A765="",0,IF(A765&gt;$B$5,1,0))</f>
        <v/>
      </c>
      <c r="G765" s="29">
        <f>IF(AND(F765=1,ISNUMBER(D765)),D765,"")</f>
        <v/>
      </c>
      <c r="H765" s="29">
        <f>IF(AND(F765=1,ISNUMBER(E765)),E765,"")</f>
        <v/>
      </c>
      <c r="I765" s="22">
        <f>IF(AND(F765=1,ISNUMBER(C765)),C765,"")</f>
        <v/>
      </c>
      <c r="J765" s="11">
        <f>IF(G765="","",100-IF($G$13=1,50,(_xlfn.RANK.AVG(G765,$G$19:$G$1518,1)-1)/($G$13-1)*100))</f>
        <v/>
      </c>
      <c r="K765" s="11">
        <f>IF(H765="","",100-IF($G$14=1,50,(_xlfn.RANK.AVG(H765,$H$19:$H$1518,1)-1)/($G$14-1)*100))</f>
        <v/>
      </c>
      <c r="L765" s="11">
        <f>IF(I765="","",IF($G$15=1,50,(_xlfn.RANK.AVG(I765,$I$19:$I$1518,1)-1)/($G$15-1)*100))</f>
        <v/>
      </c>
      <c r="M765" s="11">
        <f>IF(COUNT(J765:L765)=3,ROUND(AVERAGE(J765:L765),6),"")</f>
        <v/>
      </c>
      <c r="O765">
        <f>IF(AND(ISNUMBER('자료_미국심리'!$A749),ISNUMBER('자료_미국심리'!$B749)),'자료_미국심리'!$A749,"")</f>
        <v/>
      </c>
      <c r="P765">
        <f>IF(AND(ISNUMBER('자료_미국심리'!$D749),ISNUMBER('자료_미국심리'!$E749)),'자료_미국심리'!$D749,"")</f>
        <v/>
      </c>
      <c r="Q765">
        <f>IF(AND(ISNUMBER('자료_미국심리'!$G749),ISNUMBER('자료_미국심리'!$H749)),'자료_미국심리'!$G749,"")</f>
        <v/>
      </c>
    </row>
    <row r="766">
      <c r="A766" s="10">
        <f>IF(748&gt;$E$5,"",SMALL($O$19:$O$4018,$E$6+748))</f>
        <v/>
      </c>
      <c r="B766" s="29">
        <f>IF(A766="","",INDEX('자료_미국심리'!$B$3:$B$4002,MATCH(A766,$O$19:$O$4018,0)))</f>
        <v/>
      </c>
      <c r="C766" s="22">
        <f>IF(A766="","",B766/AVERAGE(B642:B766)-1)</f>
        <v/>
      </c>
      <c r="D766" s="29">
        <f>IF(A766="","",IFERROR(INDEX('자료_미국심리'!$E$3:$E$4002,MATCH(A766,$P$19:$P$4018,0)),D765))</f>
        <v/>
      </c>
      <c r="E766" s="29">
        <f>IF(A766="","",IFERROR(INDEX('자료_미국심리'!$H$3:$H$4002,MATCH(A766,$Q$19:$Q$4018,0)),E765))</f>
        <v/>
      </c>
      <c r="F766">
        <f>IF(A766="",0,IF(A766&gt;$B$5,1,0))</f>
        <v/>
      </c>
      <c r="G766" s="29">
        <f>IF(AND(F766=1,ISNUMBER(D766)),D766,"")</f>
        <v/>
      </c>
      <c r="H766" s="29">
        <f>IF(AND(F766=1,ISNUMBER(E766)),E766,"")</f>
        <v/>
      </c>
      <c r="I766" s="22">
        <f>IF(AND(F766=1,ISNUMBER(C766)),C766,"")</f>
        <v/>
      </c>
      <c r="J766" s="11">
        <f>IF(G766="","",100-IF($G$13=1,50,(_xlfn.RANK.AVG(G766,$G$19:$G$1518,1)-1)/($G$13-1)*100))</f>
        <v/>
      </c>
      <c r="K766" s="11">
        <f>IF(H766="","",100-IF($G$14=1,50,(_xlfn.RANK.AVG(H766,$H$19:$H$1518,1)-1)/($G$14-1)*100))</f>
        <v/>
      </c>
      <c r="L766" s="11">
        <f>IF(I766="","",IF($G$15=1,50,(_xlfn.RANK.AVG(I766,$I$19:$I$1518,1)-1)/($G$15-1)*100))</f>
        <v/>
      </c>
      <c r="M766" s="11">
        <f>IF(COUNT(J766:L766)=3,ROUND(AVERAGE(J766:L766),6),"")</f>
        <v/>
      </c>
      <c r="O766">
        <f>IF(AND(ISNUMBER('자료_미국심리'!$A750),ISNUMBER('자료_미국심리'!$B750)),'자료_미국심리'!$A750,"")</f>
        <v/>
      </c>
      <c r="P766">
        <f>IF(AND(ISNUMBER('자료_미국심리'!$D750),ISNUMBER('자료_미국심리'!$E750)),'자료_미국심리'!$D750,"")</f>
        <v/>
      </c>
      <c r="Q766">
        <f>IF(AND(ISNUMBER('자료_미국심리'!$G750),ISNUMBER('자료_미국심리'!$H750)),'자료_미국심리'!$G750,"")</f>
        <v/>
      </c>
    </row>
    <row r="767">
      <c r="A767" s="10">
        <f>IF(749&gt;$E$5,"",SMALL($O$19:$O$4018,$E$6+749))</f>
        <v/>
      </c>
      <c r="B767" s="29">
        <f>IF(A767="","",INDEX('자료_미국심리'!$B$3:$B$4002,MATCH(A767,$O$19:$O$4018,0)))</f>
        <v/>
      </c>
      <c r="C767" s="22">
        <f>IF(A767="","",B767/AVERAGE(B643:B767)-1)</f>
        <v/>
      </c>
      <c r="D767" s="29">
        <f>IF(A767="","",IFERROR(INDEX('자료_미국심리'!$E$3:$E$4002,MATCH(A767,$P$19:$P$4018,0)),D766))</f>
        <v/>
      </c>
      <c r="E767" s="29">
        <f>IF(A767="","",IFERROR(INDEX('자료_미국심리'!$H$3:$H$4002,MATCH(A767,$Q$19:$Q$4018,0)),E766))</f>
        <v/>
      </c>
      <c r="F767">
        <f>IF(A767="",0,IF(A767&gt;$B$5,1,0))</f>
        <v/>
      </c>
      <c r="G767" s="29">
        <f>IF(AND(F767=1,ISNUMBER(D767)),D767,"")</f>
        <v/>
      </c>
      <c r="H767" s="29">
        <f>IF(AND(F767=1,ISNUMBER(E767)),E767,"")</f>
        <v/>
      </c>
      <c r="I767" s="22">
        <f>IF(AND(F767=1,ISNUMBER(C767)),C767,"")</f>
        <v/>
      </c>
      <c r="J767" s="11">
        <f>IF(G767="","",100-IF($G$13=1,50,(_xlfn.RANK.AVG(G767,$G$19:$G$1518,1)-1)/($G$13-1)*100))</f>
        <v/>
      </c>
      <c r="K767" s="11">
        <f>IF(H767="","",100-IF($G$14=1,50,(_xlfn.RANK.AVG(H767,$H$19:$H$1518,1)-1)/($G$14-1)*100))</f>
        <v/>
      </c>
      <c r="L767" s="11">
        <f>IF(I767="","",IF($G$15=1,50,(_xlfn.RANK.AVG(I767,$I$19:$I$1518,1)-1)/($G$15-1)*100))</f>
        <v/>
      </c>
      <c r="M767" s="11">
        <f>IF(COUNT(J767:L767)=3,ROUND(AVERAGE(J767:L767),6),"")</f>
        <v/>
      </c>
      <c r="O767">
        <f>IF(AND(ISNUMBER('자료_미국심리'!$A751),ISNUMBER('자료_미국심리'!$B751)),'자료_미국심리'!$A751,"")</f>
        <v/>
      </c>
      <c r="P767">
        <f>IF(AND(ISNUMBER('자료_미국심리'!$D751),ISNUMBER('자료_미국심리'!$E751)),'자료_미국심리'!$D751,"")</f>
        <v/>
      </c>
      <c r="Q767">
        <f>IF(AND(ISNUMBER('자료_미국심리'!$G751),ISNUMBER('자료_미국심리'!$H751)),'자료_미국심리'!$G751,"")</f>
        <v/>
      </c>
    </row>
    <row r="768">
      <c r="A768" s="10">
        <f>IF(750&gt;$E$5,"",SMALL($O$19:$O$4018,$E$6+750))</f>
        <v/>
      </c>
      <c r="B768" s="29">
        <f>IF(A768="","",INDEX('자료_미국심리'!$B$3:$B$4002,MATCH(A768,$O$19:$O$4018,0)))</f>
        <v/>
      </c>
      <c r="C768" s="22">
        <f>IF(A768="","",B768/AVERAGE(B644:B768)-1)</f>
        <v/>
      </c>
      <c r="D768" s="29">
        <f>IF(A768="","",IFERROR(INDEX('자료_미국심리'!$E$3:$E$4002,MATCH(A768,$P$19:$P$4018,0)),D767))</f>
        <v/>
      </c>
      <c r="E768" s="29">
        <f>IF(A768="","",IFERROR(INDEX('자료_미국심리'!$H$3:$H$4002,MATCH(A768,$Q$19:$Q$4018,0)),E767))</f>
        <v/>
      </c>
      <c r="F768">
        <f>IF(A768="",0,IF(A768&gt;$B$5,1,0))</f>
        <v/>
      </c>
      <c r="G768" s="29">
        <f>IF(AND(F768=1,ISNUMBER(D768)),D768,"")</f>
        <v/>
      </c>
      <c r="H768" s="29">
        <f>IF(AND(F768=1,ISNUMBER(E768)),E768,"")</f>
        <v/>
      </c>
      <c r="I768" s="22">
        <f>IF(AND(F768=1,ISNUMBER(C768)),C768,"")</f>
        <v/>
      </c>
      <c r="J768" s="11">
        <f>IF(G768="","",100-IF($G$13=1,50,(_xlfn.RANK.AVG(G768,$G$19:$G$1518,1)-1)/($G$13-1)*100))</f>
        <v/>
      </c>
      <c r="K768" s="11">
        <f>IF(H768="","",100-IF($G$14=1,50,(_xlfn.RANK.AVG(H768,$H$19:$H$1518,1)-1)/($G$14-1)*100))</f>
        <v/>
      </c>
      <c r="L768" s="11">
        <f>IF(I768="","",IF($G$15=1,50,(_xlfn.RANK.AVG(I768,$I$19:$I$1518,1)-1)/($G$15-1)*100))</f>
        <v/>
      </c>
      <c r="M768" s="11">
        <f>IF(COUNT(J768:L768)=3,ROUND(AVERAGE(J768:L768),6),"")</f>
        <v/>
      </c>
      <c r="O768">
        <f>IF(AND(ISNUMBER('자료_미국심리'!$A752),ISNUMBER('자료_미국심리'!$B752)),'자료_미국심리'!$A752,"")</f>
        <v/>
      </c>
      <c r="P768">
        <f>IF(AND(ISNUMBER('자료_미국심리'!$D752),ISNUMBER('자료_미국심리'!$E752)),'자료_미국심리'!$D752,"")</f>
        <v/>
      </c>
      <c r="Q768">
        <f>IF(AND(ISNUMBER('자료_미국심리'!$G752),ISNUMBER('자료_미국심리'!$H752)),'자료_미국심리'!$G752,"")</f>
        <v/>
      </c>
    </row>
    <row r="769">
      <c r="A769" s="10">
        <f>IF(751&gt;$E$5,"",SMALL($O$19:$O$4018,$E$6+751))</f>
        <v/>
      </c>
      <c r="B769" s="29">
        <f>IF(A769="","",INDEX('자료_미국심리'!$B$3:$B$4002,MATCH(A769,$O$19:$O$4018,0)))</f>
        <v/>
      </c>
      <c r="C769" s="22">
        <f>IF(A769="","",B769/AVERAGE(B645:B769)-1)</f>
        <v/>
      </c>
      <c r="D769" s="29">
        <f>IF(A769="","",IFERROR(INDEX('자료_미국심리'!$E$3:$E$4002,MATCH(A769,$P$19:$P$4018,0)),D768))</f>
        <v/>
      </c>
      <c r="E769" s="29">
        <f>IF(A769="","",IFERROR(INDEX('자료_미국심리'!$H$3:$H$4002,MATCH(A769,$Q$19:$Q$4018,0)),E768))</f>
        <v/>
      </c>
      <c r="F769">
        <f>IF(A769="",0,IF(A769&gt;$B$5,1,0))</f>
        <v/>
      </c>
      <c r="G769" s="29">
        <f>IF(AND(F769=1,ISNUMBER(D769)),D769,"")</f>
        <v/>
      </c>
      <c r="H769" s="29">
        <f>IF(AND(F769=1,ISNUMBER(E769)),E769,"")</f>
        <v/>
      </c>
      <c r="I769" s="22">
        <f>IF(AND(F769=1,ISNUMBER(C769)),C769,"")</f>
        <v/>
      </c>
      <c r="J769" s="11">
        <f>IF(G769="","",100-IF($G$13=1,50,(_xlfn.RANK.AVG(G769,$G$19:$G$1518,1)-1)/($G$13-1)*100))</f>
        <v/>
      </c>
      <c r="K769" s="11">
        <f>IF(H769="","",100-IF($G$14=1,50,(_xlfn.RANK.AVG(H769,$H$19:$H$1518,1)-1)/($G$14-1)*100))</f>
        <v/>
      </c>
      <c r="L769" s="11">
        <f>IF(I769="","",IF($G$15=1,50,(_xlfn.RANK.AVG(I769,$I$19:$I$1518,1)-1)/($G$15-1)*100))</f>
        <v/>
      </c>
      <c r="M769" s="11">
        <f>IF(COUNT(J769:L769)=3,ROUND(AVERAGE(J769:L769),6),"")</f>
        <v/>
      </c>
      <c r="O769">
        <f>IF(AND(ISNUMBER('자료_미국심리'!$A753),ISNUMBER('자료_미국심리'!$B753)),'자료_미국심리'!$A753,"")</f>
        <v/>
      </c>
      <c r="P769">
        <f>IF(AND(ISNUMBER('자료_미국심리'!$D753),ISNUMBER('자료_미국심리'!$E753)),'자료_미국심리'!$D753,"")</f>
        <v/>
      </c>
      <c r="Q769">
        <f>IF(AND(ISNUMBER('자료_미국심리'!$G753),ISNUMBER('자료_미국심리'!$H753)),'자료_미국심리'!$G753,"")</f>
        <v/>
      </c>
    </row>
    <row r="770">
      <c r="A770" s="10">
        <f>IF(752&gt;$E$5,"",SMALL($O$19:$O$4018,$E$6+752))</f>
        <v/>
      </c>
      <c r="B770" s="29">
        <f>IF(A770="","",INDEX('자료_미국심리'!$B$3:$B$4002,MATCH(A770,$O$19:$O$4018,0)))</f>
        <v/>
      </c>
      <c r="C770" s="22">
        <f>IF(A770="","",B770/AVERAGE(B646:B770)-1)</f>
        <v/>
      </c>
      <c r="D770" s="29">
        <f>IF(A770="","",IFERROR(INDEX('자료_미국심리'!$E$3:$E$4002,MATCH(A770,$P$19:$P$4018,0)),D769))</f>
        <v/>
      </c>
      <c r="E770" s="29">
        <f>IF(A770="","",IFERROR(INDEX('자료_미국심리'!$H$3:$H$4002,MATCH(A770,$Q$19:$Q$4018,0)),E769))</f>
        <v/>
      </c>
      <c r="F770">
        <f>IF(A770="",0,IF(A770&gt;$B$5,1,0))</f>
        <v/>
      </c>
      <c r="G770" s="29">
        <f>IF(AND(F770=1,ISNUMBER(D770)),D770,"")</f>
        <v/>
      </c>
      <c r="H770" s="29">
        <f>IF(AND(F770=1,ISNUMBER(E770)),E770,"")</f>
        <v/>
      </c>
      <c r="I770" s="22">
        <f>IF(AND(F770=1,ISNUMBER(C770)),C770,"")</f>
        <v/>
      </c>
      <c r="J770" s="11">
        <f>IF(G770="","",100-IF($G$13=1,50,(_xlfn.RANK.AVG(G770,$G$19:$G$1518,1)-1)/($G$13-1)*100))</f>
        <v/>
      </c>
      <c r="K770" s="11">
        <f>IF(H770="","",100-IF($G$14=1,50,(_xlfn.RANK.AVG(H770,$H$19:$H$1518,1)-1)/($G$14-1)*100))</f>
        <v/>
      </c>
      <c r="L770" s="11">
        <f>IF(I770="","",IF($G$15=1,50,(_xlfn.RANK.AVG(I770,$I$19:$I$1518,1)-1)/($G$15-1)*100))</f>
        <v/>
      </c>
      <c r="M770" s="11">
        <f>IF(COUNT(J770:L770)=3,ROUND(AVERAGE(J770:L770),6),"")</f>
        <v/>
      </c>
      <c r="O770">
        <f>IF(AND(ISNUMBER('자료_미국심리'!$A754),ISNUMBER('자료_미국심리'!$B754)),'자료_미국심리'!$A754,"")</f>
        <v/>
      </c>
      <c r="P770">
        <f>IF(AND(ISNUMBER('자료_미국심리'!$D754),ISNUMBER('자료_미국심리'!$E754)),'자료_미국심리'!$D754,"")</f>
        <v/>
      </c>
      <c r="Q770">
        <f>IF(AND(ISNUMBER('자료_미국심리'!$G754),ISNUMBER('자료_미국심리'!$H754)),'자료_미국심리'!$G754,"")</f>
        <v/>
      </c>
    </row>
    <row r="771">
      <c r="A771" s="10">
        <f>IF(753&gt;$E$5,"",SMALL($O$19:$O$4018,$E$6+753))</f>
        <v/>
      </c>
      <c r="B771" s="29">
        <f>IF(A771="","",INDEX('자료_미국심리'!$B$3:$B$4002,MATCH(A771,$O$19:$O$4018,0)))</f>
        <v/>
      </c>
      <c r="C771" s="22">
        <f>IF(A771="","",B771/AVERAGE(B647:B771)-1)</f>
        <v/>
      </c>
      <c r="D771" s="29">
        <f>IF(A771="","",IFERROR(INDEX('자료_미국심리'!$E$3:$E$4002,MATCH(A771,$P$19:$P$4018,0)),D770))</f>
        <v/>
      </c>
      <c r="E771" s="29">
        <f>IF(A771="","",IFERROR(INDEX('자료_미국심리'!$H$3:$H$4002,MATCH(A771,$Q$19:$Q$4018,0)),E770))</f>
        <v/>
      </c>
      <c r="F771">
        <f>IF(A771="",0,IF(A771&gt;$B$5,1,0))</f>
        <v/>
      </c>
      <c r="G771" s="29">
        <f>IF(AND(F771=1,ISNUMBER(D771)),D771,"")</f>
        <v/>
      </c>
      <c r="H771" s="29">
        <f>IF(AND(F771=1,ISNUMBER(E771)),E771,"")</f>
        <v/>
      </c>
      <c r="I771" s="22">
        <f>IF(AND(F771=1,ISNUMBER(C771)),C771,"")</f>
        <v/>
      </c>
      <c r="J771" s="11">
        <f>IF(G771="","",100-IF($G$13=1,50,(_xlfn.RANK.AVG(G771,$G$19:$G$1518,1)-1)/($G$13-1)*100))</f>
        <v/>
      </c>
      <c r="K771" s="11">
        <f>IF(H771="","",100-IF($G$14=1,50,(_xlfn.RANK.AVG(H771,$H$19:$H$1518,1)-1)/($G$14-1)*100))</f>
        <v/>
      </c>
      <c r="L771" s="11">
        <f>IF(I771="","",IF($G$15=1,50,(_xlfn.RANK.AVG(I771,$I$19:$I$1518,1)-1)/($G$15-1)*100))</f>
        <v/>
      </c>
      <c r="M771" s="11">
        <f>IF(COUNT(J771:L771)=3,ROUND(AVERAGE(J771:L771),6),"")</f>
        <v/>
      </c>
      <c r="O771">
        <f>IF(AND(ISNUMBER('자료_미국심리'!$A755),ISNUMBER('자료_미국심리'!$B755)),'자료_미국심리'!$A755,"")</f>
        <v/>
      </c>
      <c r="P771">
        <f>IF(AND(ISNUMBER('자료_미국심리'!$D755),ISNUMBER('자료_미국심리'!$E755)),'자료_미국심리'!$D755,"")</f>
        <v/>
      </c>
      <c r="Q771">
        <f>IF(AND(ISNUMBER('자료_미국심리'!$G755),ISNUMBER('자료_미국심리'!$H755)),'자료_미국심리'!$G755,"")</f>
        <v/>
      </c>
    </row>
    <row r="772">
      <c r="A772" s="10">
        <f>IF(754&gt;$E$5,"",SMALL($O$19:$O$4018,$E$6+754))</f>
        <v/>
      </c>
      <c r="B772" s="29">
        <f>IF(A772="","",INDEX('자료_미국심리'!$B$3:$B$4002,MATCH(A772,$O$19:$O$4018,0)))</f>
        <v/>
      </c>
      <c r="C772" s="22">
        <f>IF(A772="","",B772/AVERAGE(B648:B772)-1)</f>
        <v/>
      </c>
      <c r="D772" s="29">
        <f>IF(A772="","",IFERROR(INDEX('자료_미국심리'!$E$3:$E$4002,MATCH(A772,$P$19:$P$4018,0)),D771))</f>
        <v/>
      </c>
      <c r="E772" s="29">
        <f>IF(A772="","",IFERROR(INDEX('자료_미국심리'!$H$3:$H$4002,MATCH(A772,$Q$19:$Q$4018,0)),E771))</f>
        <v/>
      </c>
      <c r="F772">
        <f>IF(A772="",0,IF(A772&gt;$B$5,1,0))</f>
        <v/>
      </c>
      <c r="G772" s="29">
        <f>IF(AND(F772=1,ISNUMBER(D772)),D772,"")</f>
        <v/>
      </c>
      <c r="H772" s="29">
        <f>IF(AND(F772=1,ISNUMBER(E772)),E772,"")</f>
        <v/>
      </c>
      <c r="I772" s="22">
        <f>IF(AND(F772=1,ISNUMBER(C772)),C772,"")</f>
        <v/>
      </c>
      <c r="J772" s="11">
        <f>IF(G772="","",100-IF($G$13=1,50,(_xlfn.RANK.AVG(G772,$G$19:$G$1518,1)-1)/($G$13-1)*100))</f>
        <v/>
      </c>
      <c r="K772" s="11">
        <f>IF(H772="","",100-IF($G$14=1,50,(_xlfn.RANK.AVG(H772,$H$19:$H$1518,1)-1)/($G$14-1)*100))</f>
        <v/>
      </c>
      <c r="L772" s="11">
        <f>IF(I772="","",IF($G$15=1,50,(_xlfn.RANK.AVG(I772,$I$19:$I$1518,1)-1)/($G$15-1)*100))</f>
        <v/>
      </c>
      <c r="M772" s="11">
        <f>IF(COUNT(J772:L772)=3,ROUND(AVERAGE(J772:L772),6),"")</f>
        <v/>
      </c>
      <c r="O772">
        <f>IF(AND(ISNUMBER('자료_미국심리'!$A756),ISNUMBER('자료_미국심리'!$B756)),'자료_미국심리'!$A756,"")</f>
        <v/>
      </c>
      <c r="P772">
        <f>IF(AND(ISNUMBER('자료_미국심리'!$D756),ISNUMBER('자료_미국심리'!$E756)),'자료_미국심리'!$D756,"")</f>
        <v/>
      </c>
      <c r="Q772">
        <f>IF(AND(ISNUMBER('자료_미국심리'!$G756),ISNUMBER('자료_미국심리'!$H756)),'자료_미국심리'!$G756,"")</f>
        <v/>
      </c>
    </row>
    <row r="773">
      <c r="A773" s="10">
        <f>IF(755&gt;$E$5,"",SMALL($O$19:$O$4018,$E$6+755))</f>
        <v/>
      </c>
      <c r="B773" s="29">
        <f>IF(A773="","",INDEX('자료_미국심리'!$B$3:$B$4002,MATCH(A773,$O$19:$O$4018,0)))</f>
        <v/>
      </c>
      <c r="C773" s="22">
        <f>IF(A773="","",B773/AVERAGE(B649:B773)-1)</f>
        <v/>
      </c>
      <c r="D773" s="29">
        <f>IF(A773="","",IFERROR(INDEX('자료_미국심리'!$E$3:$E$4002,MATCH(A773,$P$19:$P$4018,0)),D772))</f>
        <v/>
      </c>
      <c r="E773" s="29">
        <f>IF(A773="","",IFERROR(INDEX('자료_미국심리'!$H$3:$H$4002,MATCH(A773,$Q$19:$Q$4018,0)),E772))</f>
        <v/>
      </c>
      <c r="F773">
        <f>IF(A773="",0,IF(A773&gt;$B$5,1,0))</f>
        <v/>
      </c>
      <c r="G773" s="29">
        <f>IF(AND(F773=1,ISNUMBER(D773)),D773,"")</f>
        <v/>
      </c>
      <c r="H773" s="29">
        <f>IF(AND(F773=1,ISNUMBER(E773)),E773,"")</f>
        <v/>
      </c>
      <c r="I773" s="22">
        <f>IF(AND(F773=1,ISNUMBER(C773)),C773,"")</f>
        <v/>
      </c>
      <c r="J773" s="11">
        <f>IF(G773="","",100-IF($G$13=1,50,(_xlfn.RANK.AVG(G773,$G$19:$G$1518,1)-1)/($G$13-1)*100))</f>
        <v/>
      </c>
      <c r="K773" s="11">
        <f>IF(H773="","",100-IF($G$14=1,50,(_xlfn.RANK.AVG(H773,$H$19:$H$1518,1)-1)/($G$14-1)*100))</f>
        <v/>
      </c>
      <c r="L773" s="11">
        <f>IF(I773="","",IF($G$15=1,50,(_xlfn.RANK.AVG(I773,$I$19:$I$1518,1)-1)/($G$15-1)*100))</f>
        <v/>
      </c>
      <c r="M773" s="11">
        <f>IF(COUNT(J773:L773)=3,ROUND(AVERAGE(J773:L773),6),"")</f>
        <v/>
      </c>
      <c r="O773">
        <f>IF(AND(ISNUMBER('자료_미국심리'!$A757),ISNUMBER('자료_미국심리'!$B757)),'자료_미국심리'!$A757,"")</f>
        <v/>
      </c>
      <c r="P773">
        <f>IF(AND(ISNUMBER('자료_미국심리'!$D757),ISNUMBER('자료_미국심리'!$E757)),'자료_미국심리'!$D757,"")</f>
        <v/>
      </c>
      <c r="Q773">
        <f>IF(AND(ISNUMBER('자료_미국심리'!$G757),ISNUMBER('자료_미국심리'!$H757)),'자료_미국심리'!$G757,"")</f>
        <v/>
      </c>
    </row>
    <row r="774">
      <c r="A774" s="10">
        <f>IF(756&gt;$E$5,"",SMALL($O$19:$O$4018,$E$6+756))</f>
        <v/>
      </c>
      <c r="B774" s="29">
        <f>IF(A774="","",INDEX('자료_미국심리'!$B$3:$B$4002,MATCH(A774,$O$19:$O$4018,0)))</f>
        <v/>
      </c>
      <c r="C774" s="22">
        <f>IF(A774="","",B774/AVERAGE(B650:B774)-1)</f>
        <v/>
      </c>
      <c r="D774" s="29">
        <f>IF(A774="","",IFERROR(INDEX('자료_미국심리'!$E$3:$E$4002,MATCH(A774,$P$19:$P$4018,0)),D773))</f>
        <v/>
      </c>
      <c r="E774" s="29">
        <f>IF(A774="","",IFERROR(INDEX('자료_미국심리'!$H$3:$H$4002,MATCH(A774,$Q$19:$Q$4018,0)),E773))</f>
        <v/>
      </c>
      <c r="F774">
        <f>IF(A774="",0,IF(A774&gt;$B$5,1,0))</f>
        <v/>
      </c>
      <c r="G774" s="29">
        <f>IF(AND(F774=1,ISNUMBER(D774)),D774,"")</f>
        <v/>
      </c>
      <c r="H774" s="29">
        <f>IF(AND(F774=1,ISNUMBER(E774)),E774,"")</f>
        <v/>
      </c>
      <c r="I774" s="22">
        <f>IF(AND(F774=1,ISNUMBER(C774)),C774,"")</f>
        <v/>
      </c>
      <c r="J774" s="11">
        <f>IF(G774="","",100-IF($G$13=1,50,(_xlfn.RANK.AVG(G774,$G$19:$G$1518,1)-1)/($G$13-1)*100))</f>
        <v/>
      </c>
      <c r="K774" s="11">
        <f>IF(H774="","",100-IF($G$14=1,50,(_xlfn.RANK.AVG(H774,$H$19:$H$1518,1)-1)/($G$14-1)*100))</f>
        <v/>
      </c>
      <c r="L774" s="11">
        <f>IF(I774="","",IF($G$15=1,50,(_xlfn.RANK.AVG(I774,$I$19:$I$1518,1)-1)/($G$15-1)*100))</f>
        <v/>
      </c>
      <c r="M774" s="11">
        <f>IF(COUNT(J774:L774)=3,ROUND(AVERAGE(J774:L774),6),"")</f>
        <v/>
      </c>
      <c r="O774">
        <f>IF(AND(ISNUMBER('자료_미국심리'!$A758),ISNUMBER('자료_미국심리'!$B758)),'자료_미국심리'!$A758,"")</f>
        <v/>
      </c>
      <c r="P774">
        <f>IF(AND(ISNUMBER('자료_미국심리'!$D758),ISNUMBER('자료_미국심리'!$E758)),'자료_미국심리'!$D758,"")</f>
        <v/>
      </c>
      <c r="Q774">
        <f>IF(AND(ISNUMBER('자료_미국심리'!$G758),ISNUMBER('자료_미국심리'!$H758)),'자료_미국심리'!$G758,"")</f>
        <v/>
      </c>
    </row>
    <row r="775">
      <c r="A775" s="10">
        <f>IF(757&gt;$E$5,"",SMALL($O$19:$O$4018,$E$6+757))</f>
        <v/>
      </c>
      <c r="B775" s="29">
        <f>IF(A775="","",INDEX('자료_미국심리'!$B$3:$B$4002,MATCH(A775,$O$19:$O$4018,0)))</f>
        <v/>
      </c>
      <c r="C775" s="22">
        <f>IF(A775="","",B775/AVERAGE(B651:B775)-1)</f>
        <v/>
      </c>
      <c r="D775" s="29">
        <f>IF(A775="","",IFERROR(INDEX('자료_미국심리'!$E$3:$E$4002,MATCH(A775,$P$19:$P$4018,0)),D774))</f>
        <v/>
      </c>
      <c r="E775" s="29">
        <f>IF(A775="","",IFERROR(INDEX('자료_미국심리'!$H$3:$H$4002,MATCH(A775,$Q$19:$Q$4018,0)),E774))</f>
        <v/>
      </c>
      <c r="F775">
        <f>IF(A775="",0,IF(A775&gt;$B$5,1,0))</f>
        <v/>
      </c>
      <c r="G775" s="29">
        <f>IF(AND(F775=1,ISNUMBER(D775)),D775,"")</f>
        <v/>
      </c>
      <c r="H775" s="29">
        <f>IF(AND(F775=1,ISNUMBER(E775)),E775,"")</f>
        <v/>
      </c>
      <c r="I775" s="22">
        <f>IF(AND(F775=1,ISNUMBER(C775)),C775,"")</f>
        <v/>
      </c>
      <c r="J775" s="11">
        <f>IF(G775="","",100-IF($G$13=1,50,(_xlfn.RANK.AVG(G775,$G$19:$G$1518,1)-1)/($G$13-1)*100))</f>
        <v/>
      </c>
      <c r="K775" s="11">
        <f>IF(H775="","",100-IF($G$14=1,50,(_xlfn.RANK.AVG(H775,$H$19:$H$1518,1)-1)/($G$14-1)*100))</f>
        <v/>
      </c>
      <c r="L775" s="11">
        <f>IF(I775="","",IF($G$15=1,50,(_xlfn.RANK.AVG(I775,$I$19:$I$1518,1)-1)/($G$15-1)*100))</f>
        <v/>
      </c>
      <c r="M775" s="11">
        <f>IF(COUNT(J775:L775)=3,ROUND(AVERAGE(J775:L775),6),"")</f>
        <v/>
      </c>
      <c r="O775">
        <f>IF(AND(ISNUMBER('자료_미국심리'!$A759),ISNUMBER('자료_미국심리'!$B759)),'자료_미국심리'!$A759,"")</f>
        <v/>
      </c>
      <c r="P775">
        <f>IF(AND(ISNUMBER('자료_미국심리'!$D759),ISNUMBER('자료_미국심리'!$E759)),'자료_미국심리'!$D759,"")</f>
        <v/>
      </c>
      <c r="Q775">
        <f>IF(AND(ISNUMBER('자료_미국심리'!$G759),ISNUMBER('자료_미국심리'!$H759)),'자료_미국심리'!$G759,"")</f>
        <v/>
      </c>
    </row>
    <row r="776">
      <c r="A776" s="10">
        <f>IF(758&gt;$E$5,"",SMALL($O$19:$O$4018,$E$6+758))</f>
        <v/>
      </c>
      <c r="B776" s="29">
        <f>IF(A776="","",INDEX('자료_미국심리'!$B$3:$B$4002,MATCH(A776,$O$19:$O$4018,0)))</f>
        <v/>
      </c>
      <c r="C776" s="22">
        <f>IF(A776="","",B776/AVERAGE(B652:B776)-1)</f>
        <v/>
      </c>
      <c r="D776" s="29">
        <f>IF(A776="","",IFERROR(INDEX('자료_미국심리'!$E$3:$E$4002,MATCH(A776,$P$19:$P$4018,0)),D775))</f>
        <v/>
      </c>
      <c r="E776" s="29">
        <f>IF(A776="","",IFERROR(INDEX('자료_미국심리'!$H$3:$H$4002,MATCH(A776,$Q$19:$Q$4018,0)),E775))</f>
        <v/>
      </c>
      <c r="F776">
        <f>IF(A776="",0,IF(A776&gt;$B$5,1,0))</f>
        <v/>
      </c>
      <c r="G776" s="29">
        <f>IF(AND(F776=1,ISNUMBER(D776)),D776,"")</f>
        <v/>
      </c>
      <c r="H776" s="29">
        <f>IF(AND(F776=1,ISNUMBER(E776)),E776,"")</f>
        <v/>
      </c>
      <c r="I776" s="22">
        <f>IF(AND(F776=1,ISNUMBER(C776)),C776,"")</f>
        <v/>
      </c>
      <c r="J776" s="11">
        <f>IF(G776="","",100-IF($G$13=1,50,(_xlfn.RANK.AVG(G776,$G$19:$G$1518,1)-1)/($G$13-1)*100))</f>
        <v/>
      </c>
      <c r="K776" s="11">
        <f>IF(H776="","",100-IF($G$14=1,50,(_xlfn.RANK.AVG(H776,$H$19:$H$1518,1)-1)/($G$14-1)*100))</f>
        <v/>
      </c>
      <c r="L776" s="11">
        <f>IF(I776="","",IF($G$15=1,50,(_xlfn.RANK.AVG(I776,$I$19:$I$1518,1)-1)/($G$15-1)*100))</f>
        <v/>
      </c>
      <c r="M776" s="11">
        <f>IF(COUNT(J776:L776)=3,ROUND(AVERAGE(J776:L776),6),"")</f>
        <v/>
      </c>
      <c r="O776">
        <f>IF(AND(ISNUMBER('자료_미국심리'!$A760),ISNUMBER('자료_미국심리'!$B760)),'자료_미국심리'!$A760,"")</f>
        <v/>
      </c>
      <c r="P776">
        <f>IF(AND(ISNUMBER('자료_미국심리'!$D760),ISNUMBER('자료_미국심리'!$E760)),'자료_미국심리'!$D760,"")</f>
        <v/>
      </c>
      <c r="Q776">
        <f>IF(AND(ISNUMBER('자료_미국심리'!$G760),ISNUMBER('자료_미국심리'!$H760)),'자료_미국심리'!$G760,"")</f>
        <v/>
      </c>
    </row>
    <row r="777">
      <c r="A777" s="10">
        <f>IF(759&gt;$E$5,"",SMALL($O$19:$O$4018,$E$6+759))</f>
        <v/>
      </c>
      <c r="B777" s="29">
        <f>IF(A777="","",INDEX('자료_미국심리'!$B$3:$B$4002,MATCH(A777,$O$19:$O$4018,0)))</f>
        <v/>
      </c>
      <c r="C777" s="22">
        <f>IF(A777="","",B777/AVERAGE(B653:B777)-1)</f>
        <v/>
      </c>
      <c r="D777" s="29">
        <f>IF(A777="","",IFERROR(INDEX('자료_미국심리'!$E$3:$E$4002,MATCH(A777,$P$19:$P$4018,0)),D776))</f>
        <v/>
      </c>
      <c r="E777" s="29">
        <f>IF(A777="","",IFERROR(INDEX('자료_미국심리'!$H$3:$H$4002,MATCH(A777,$Q$19:$Q$4018,0)),E776))</f>
        <v/>
      </c>
      <c r="F777">
        <f>IF(A777="",0,IF(A777&gt;$B$5,1,0))</f>
        <v/>
      </c>
      <c r="G777" s="29">
        <f>IF(AND(F777=1,ISNUMBER(D777)),D777,"")</f>
        <v/>
      </c>
      <c r="H777" s="29">
        <f>IF(AND(F777=1,ISNUMBER(E777)),E777,"")</f>
        <v/>
      </c>
      <c r="I777" s="22">
        <f>IF(AND(F777=1,ISNUMBER(C777)),C777,"")</f>
        <v/>
      </c>
      <c r="J777" s="11">
        <f>IF(G777="","",100-IF($G$13=1,50,(_xlfn.RANK.AVG(G777,$G$19:$G$1518,1)-1)/($G$13-1)*100))</f>
        <v/>
      </c>
      <c r="K777" s="11">
        <f>IF(H777="","",100-IF($G$14=1,50,(_xlfn.RANK.AVG(H777,$H$19:$H$1518,1)-1)/($G$14-1)*100))</f>
        <v/>
      </c>
      <c r="L777" s="11">
        <f>IF(I777="","",IF($G$15=1,50,(_xlfn.RANK.AVG(I777,$I$19:$I$1518,1)-1)/($G$15-1)*100))</f>
        <v/>
      </c>
      <c r="M777" s="11">
        <f>IF(COUNT(J777:L777)=3,ROUND(AVERAGE(J777:L777),6),"")</f>
        <v/>
      </c>
      <c r="O777">
        <f>IF(AND(ISNUMBER('자료_미국심리'!$A761),ISNUMBER('자료_미국심리'!$B761)),'자료_미국심리'!$A761,"")</f>
        <v/>
      </c>
      <c r="P777">
        <f>IF(AND(ISNUMBER('자료_미국심리'!$D761),ISNUMBER('자료_미국심리'!$E761)),'자료_미국심리'!$D761,"")</f>
        <v/>
      </c>
      <c r="Q777">
        <f>IF(AND(ISNUMBER('자료_미국심리'!$G761),ISNUMBER('자료_미국심리'!$H761)),'자료_미국심리'!$G761,"")</f>
        <v/>
      </c>
    </row>
    <row r="778">
      <c r="A778" s="10">
        <f>IF(760&gt;$E$5,"",SMALL($O$19:$O$4018,$E$6+760))</f>
        <v/>
      </c>
      <c r="B778" s="29">
        <f>IF(A778="","",INDEX('자료_미국심리'!$B$3:$B$4002,MATCH(A778,$O$19:$O$4018,0)))</f>
        <v/>
      </c>
      <c r="C778" s="22">
        <f>IF(A778="","",B778/AVERAGE(B654:B778)-1)</f>
        <v/>
      </c>
      <c r="D778" s="29">
        <f>IF(A778="","",IFERROR(INDEX('자료_미국심리'!$E$3:$E$4002,MATCH(A778,$P$19:$P$4018,0)),D777))</f>
        <v/>
      </c>
      <c r="E778" s="29">
        <f>IF(A778="","",IFERROR(INDEX('자료_미국심리'!$H$3:$H$4002,MATCH(A778,$Q$19:$Q$4018,0)),E777))</f>
        <v/>
      </c>
      <c r="F778">
        <f>IF(A778="",0,IF(A778&gt;$B$5,1,0))</f>
        <v/>
      </c>
      <c r="G778" s="29">
        <f>IF(AND(F778=1,ISNUMBER(D778)),D778,"")</f>
        <v/>
      </c>
      <c r="H778" s="29">
        <f>IF(AND(F778=1,ISNUMBER(E778)),E778,"")</f>
        <v/>
      </c>
      <c r="I778" s="22">
        <f>IF(AND(F778=1,ISNUMBER(C778)),C778,"")</f>
        <v/>
      </c>
      <c r="J778" s="11">
        <f>IF(G778="","",100-IF($G$13=1,50,(_xlfn.RANK.AVG(G778,$G$19:$G$1518,1)-1)/($G$13-1)*100))</f>
        <v/>
      </c>
      <c r="K778" s="11">
        <f>IF(H778="","",100-IF($G$14=1,50,(_xlfn.RANK.AVG(H778,$H$19:$H$1518,1)-1)/($G$14-1)*100))</f>
        <v/>
      </c>
      <c r="L778" s="11">
        <f>IF(I778="","",IF($G$15=1,50,(_xlfn.RANK.AVG(I778,$I$19:$I$1518,1)-1)/($G$15-1)*100))</f>
        <v/>
      </c>
      <c r="M778" s="11">
        <f>IF(COUNT(J778:L778)=3,ROUND(AVERAGE(J778:L778),6),"")</f>
        <v/>
      </c>
      <c r="O778">
        <f>IF(AND(ISNUMBER('자료_미국심리'!$A762),ISNUMBER('자료_미국심리'!$B762)),'자료_미국심리'!$A762,"")</f>
        <v/>
      </c>
      <c r="P778">
        <f>IF(AND(ISNUMBER('자료_미국심리'!$D762),ISNUMBER('자료_미국심리'!$E762)),'자료_미국심리'!$D762,"")</f>
        <v/>
      </c>
      <c r="Q778">
        <f>IF(AND(ISNUMBER('자료_미국심리'!$G762),ISNUMBER('자료_미국심리'!$H762)),'자료_미국심리'!$G762,"")</f>
        <v/>
      </c>
    </row>
    <row r="779">
      <c r="A779" s="10">
        <f>IF(761&gt;$E$5,"",SMALL($O$19:$O$4018,$E$6+761))</f>
        <v/>
      </c>
      <c r="B779" s="29">
        <f>IF(A779="","",INDEX('자료_미국심리'!$B$3:$B$4002,MATCH(A779,$O$19:$O$4018,0)))</f>
        <v/>
      </c>
      <c r="C779" s="22">
        <f>IF(A779="","",B779/AVERAGE(B655:B779)-1)</f>
        <v/>
      </c>
      <c r="D779" s="29">
        <f>IF(A779="","",IFERROR(INDEX('자료_미국심리'!$E$3:$E$4002,MATCH(A779,$P$19:$P$4018,0)),D778))</f>
        <v/>
      </c>
      <c r="E779" s="29">
        <f>IF(A779="","",IFERROR(INDEX('자료_미국심리'!$H$3:$H$4002,MATCH(A779,$Q$19:$Q$4018,0)),E778))</f>
        <v/>
      </c>
      <c r="F779">
        <f>IF(A779="",0,IF(A779&gt;$B$5,1,0))</f>
        <v/>
      </c>
      <c r="G779" s="29">
        <f>IF(AND(F779=1,ISNUMBER(D779)),D779,"")</f>
        <v/>
      </c>
      <c r="H779" s="29">
        <f>IF(AND(F779=1,ISNUMBER(E779)),E779,"")</f>
        <v/>
      </c>
      <c r="I779" s="22">
        <f>IF(AND(F779=1,ISNUMBER(C779)),C779,"")</f>
        <v/>
      </c>
      <c r="J779" s="11">
        <f>IF(G779="","",100-IF($G$13=1,50,(_xlfn.RANK.AVG(G779,$G$19:$G$1518,1)-1)/($G$13-1)*100))</f>
        <v/>
      </c>
      <c r="K779" s="11">
        <f>IF(H779="","",100-IF($G$14=1,50,(_xlfn.RANK.AVG(H779,$H$19:$H$1518,1)-1)/($G$14-1)*100))</f>
        <v/>
      </c>
      <c r="L779" s="11">
        <f>IF(I779="","",IF($G$15=1,50,(_xlfn.RANK.AVG(I779,$I$19:$I$1518,1)-1)/($G$15-1)*100))</f>
        <v/>
      </c>
      <c r="M779" s="11">
        <f>IF(COUNT(J779:L779)=3,ROUND(AVERAGE(J779:L779),6),"")</f>
        <v/>
      </c>
      <c r="O779">
        <f>IF(AND(ISNUMBER('자료_미국심리'!$A763),ISNUMBER('자료_미국심리'!$B763)),'자료_미국심리'!$A763,"")</f>
        <v/>
      </c>
      <c r="P779">
        <f>IF(AND(ISNUMBER('자료_미국심리'!$D763),ISNUMBER('자료_미국심리'!$E763)),'자료_미국심리'!$D763,"")</f>
        <v/>
      </c>
      <c r="Q779">
        <f>IF(AND(ISNUMBER('자료_미국심리'!$G763),ISNUMBER('자료_미국심리'!$H763)),'자료_미국심리'!$G763,"")</f>
        <v/>
      </c>
    </row>
    <row r="780">
      <c r="A780" s="10">
        <f>IF(762&gt;$E$5,"",SMALL($O$19:$O$4018,$E$6+762))</f>
        <v/>
      </c>
      <c r="B780" s="29">
        <f>IF(A780="","",INDEX('자료_미국심리'!$B$3:$B$4002,MATCH(A780,$O$19:$O$4018,0)))</f>
        <v/>
      </c>
      <c r="C780" s="22">
        <f>IF(A780="","",B780/AVERAGE(B656:B780)-1)</f>
        <v/>
      </c>
      <c r="D780" s="29">
        <f>IF(A780="","",IFERROR(INDEX('자료_미국심리'!$E$3:$E$4002,MATCH(A780,$P$19:$P$4018,0)),D779))</f>
        <v/>
      </c>
      <c r="E780" s="29">
        <f>IF(A780="","",IFERROR(INDEX('자료_미국심리'!$H$3:$H$4002,MATCH(A780,$Q$19:$Q$4018,0)),E779))</f>
        <v/>
      </c>
      <c r="F780">
        <f>IF(A780="",0,IF(A780&gt;$B$5,1,0))</f>
        <v/>
      </c>
      <c r="G780" s="29">
        <f>IF(AND(F780=1,ISNUMBER(D780)),D780,"")</f>
        <v/>
      </c>
      <c r="H780" s="29">
        <f>IF(AND(F780=1,ISNUMBER(E780)),E780,"")</f>
        <v/>
      </c>
      <c r="I780" s="22">
        <f>IF(AND(F780=1,ISNUMBER(C780)),C780,"")</f>
        <v/>
      </c>
      <c r="J780" s="11">
        <f>IF(G780="","",100-IF($G$13=1,50,(_xlfn.RANK.AVG(G780,$G$19:$G$1518,1)-1)/($G$13-1)*100))</f>
        <v/>
      </c>
      <c r="K780" s="11">
        <f>IF(H780="","",100-IF($G$14=1,50,(_xlfn.RANK.AVG(H780,$H$19:$H$1518,1)-1)/($G$14-1)*100))</f>
        <v/>
      </c>
      <c r="L780" s="11">
        <f>IF(I780="","",IF($G$15=1,50,(_xlfn.RANK.AVG(I780,$I$19:$I$1518,1)-1)/($G$15-1)*100))</f>
        <v/>
      </c>
      <c r="M780" s="11">
        <f>IF(COUNT(J780:L780)=3,ROUND(AVERAGE(J780:L780),6),"")</f>
        <v/>
      </c>
      <c r="O780">
        <f>IF(AND(ISNUMBER('자료_미국심리'!$A764),ISNUMBER('자료_미국심리'!$B764)),'자료_미국심리'!$A764,"")</f>
        <v/>
      </c>
      <c r="P780">
        <f>IF(AND(ISNUMBER('자료_미국심리'!$D764),ISNUMBER('자료_미국심리'!$E764)),'자료_미국심리'!$D764,"")</f>
        <v/>
      </c>
      <c r="Q780">
        <f>IF(AND(ISNUMBER('자료_미국심리'!$G764),ISNUMBER('자료_미국심리'!$H764)),'자료_미국심리'!$G764,"")</f>
        <v/>
      </c>
    </row>
    <row r="781">
      <c r="A781" s="10">
        <f>IF(763&gt;$E$5,"",SMALL($O$19:$O$4018,$E$6+763))</f>
        <v/>
      </c>
      <c r="B781" s="29">
        <f>IF(A781="","",INDEX('자료_미국심리'!$B$3:$B$4002,MATCH(A781,$O$19:$O$4018,0)))</f>
        <v/>
      </c>
      <c r="C781" s="22">
        <f>IF(A781="","",B781/AVERAGE(B657:B781)-1)</f>
        <v/>
      </c>
      <c r="D781" s="29">
        <f>IF(A781="","",IFERROR(INDEX('자료_미국심리'!$E$3:$E$4002,MATCH(A781,$P$19:$P$4018,0)),D780))</f>
        <v/>
      </c>
      <c r="E781" s="29">
        <f>IF(A781="","",IFERROR(INDEX('자료_미국심리'!$H$3:$H$4002,MATCH(A781,$Q$19:$Q$4018,0)),E780))</f>
        <v/>
      </c>
      <c r="F781">
        <f>IF(A781="",0,IF(A781&gt;$B$5,1,0))</f>
        <v/>
      </c>
      <c r="G781" s="29">
        <f>IF(AND(F781=1,ISNUMBER(D781)),D781,"")</f>
        <v/>
      </c>
      <c r="H781" s="29">
        <f>IF(AND(F781=1,ISNUMBER(E781)),E781,"")</f>
        <v/>
      </c>
      <c r="I781" s="22">
        <f>IF(AND(F781=1,ISNUMBER(C781)),C781,"")</f>
        <v/>
      </c>
      <c r="J781" s="11">
        <f>IF(G781="","",100-IF($G$13=1,50,(_xlfn.RANK.AVG(G781,$G$19:$G$1518,1)-1)/($G$13-1)*100))</f>
        <v/>
      </c>
      <c r="K781" s="11">
        <f>IF(H781="","",100-IF($G$14=1,50,(_xlfn.RANK.AVG(H781,$H$19:$H$1518,1)-1)/($G$14-1)*100))</f>
        <v/>
      </c>
      <c r="L781" s="11">
        <f>IF(I781="","",IF($G$15=1,50,(_xlfn.RANK.AVG(I781,$I$19:$I$1518,1)-1)/($G$15-1)*100))</f>
        <v/>
      </c>
      <c r="M781" s="11">
        <f>IF(COUNT(J781:L781)=3,ROUND(AVERAGE(J781:L781),6),"")</f>
        <v/>
      </c>
      <c r="O781">
        <f>IF(AND(ISNUMBER('자료_미국심리'!$A765),ISNUMBER('자료_미국심리'!$B765)),'자료_미국심리'!$A765,"")</f>
        <v/>
      </c>
      <c r="P781">
        <f>IF(AND(ISNUMBER('자료_미국심리'!$D765),ISNUMBER('자료_미국심리'!$E765)),'자료_미국심리'!$D765,"")</f>
        <v/>
      </c>
      <c r="Q781">
        <f>IF(AND(ISNUMBER('자료_미국심리'!$G765),ISNUMBER('자료_미국심리'!$H765)),'자료_미국심리'!$G765,"")</f>
        <v/>
      </c>
    </row>
    <row r="782">
      <c r="A782" s="10">
        <f>IF(764&gt;$E$5,"",SMALL($O$19:$O$4018,$E$6+764))</f>
        <v/>
      </c>
      <c r="B782" s="29">
        <f>IF(A782="","",INDEX('자료_미국심리'!$B$3:$B$4002,MATCH(A782,$O$19:$O$4018,0)))</f>
        <v/>
      </c>
      <c r="C782" s="22">
        <f>IF(A782="","",B782/AVERAGE(B658:B782)-1)</f>
        <v/>
      </c>
      <c r="D782" s="29">
        <f>IF(A782="","",IFERROR(INDEX('자료_미국심리'!$E$3:$E$4002,MATCH(A782,$P$19:$P$4018,0)),D781))</f>
        <v/>
      </c>
      <c r="E782" s="29">
        <f>IF(A782="","",IFERROR(INDEX('자료_미국심리'!$H$3:$H$4002,MATCH(A782,$Q$19:$Q$4018,0)),E781))</f>
        <v/>
      </c>
      <c r="F782">
        <f>IF(A782="",0,IF(A782&gt;$B$5,1,0))</f>
        <v/>
      </c>
      <c r="G782" s="29">
        <f>IF(AND(F782=1,ISNUMBER(D782)),D782,"")</f>
        <v/>
      </c>
      <c r="H782" s="29">
        <f>IF(AND(F782=1,ISNUMBER(E782)),E782,"")</f>
        <v/>
      </c>
      <c r="I782" s="22">
        <f>IF(AND(F782=1,ISNUMBER(C782)),C782,"")</f>
        <v/>
      </c>
      <c r="J782" s="11">
        <f>IF(G782="","",100-IF($G$13=1,50,(_xlfn.RANK.AVG(G782,$G$19:$G$1518,1)-1)/($G$13-1)*100))</f>
        <v/>
      </c>
      <c r="K782" s="11">
        <f>IF(H782="","",100-IF($G$14=1,50,(_xlfn.RANK.AVG(H782,$H$19:$H$1518,1)-1)/($G$14-1)*100))</f>
        <v/>
      </c>
      <c r="L782" s="11">
        <f>IF(I782="","",IF($G$15=1,50,(_xlfn.RANK.AVG(I782,$I$19:$I$1518,1)-1)/($G$15-1)*100))</f>
        <v/>
      </c>
      <c r="M782" s="11">
        <f>IF(COUNT(J782:L782)=3,ROUND(AVERAGE(J782:L782),6),"")</f>
        <v/>
      </c>
      <c r="O782">
        <f>IF(AND(ISNUMBER('자료_미국심리'!$A766),ISNUMBER('자료_미국심리'!$B766)),'자료_미국심리'!$A766,"")</f>
        <v/>
      </c>
      <c r="P782">
        <f>IF(AND(ISNUMBER('자료_미국심리'!$D766),ISNUMBER('자료_미국심리'!$E766)),'자료_미국심리'!$D766,"")</f>
        <v/>
      </c>
      <c r="Q782">
        <f>IF(AND(ISNUMBER('자료_미국심리'!$G766),ISNUMBER('자료_미국심리'!$H766)),'자료_미국심리'!$G766,"")</f>
        <v/>
      </c>
    </row>
    <row r="783">
      <c r="A783" s="10">
        <f>IF(765&gt;$E$5,"",SMALL($O$19:$O$4018,$E$6+765))</f>
        <v/>
      </c>
      <c r="B783" s="29">
        <f>IF(A783="","",INDEX('자료_미국심리'!$B$3:$B$4002,MATCH(A783,$O$19:$O$4018,0)))</f>
        <v/>
      </c>
      <c r="C783" s="22">
        <f>IF(A783="","",B783/AVERAGE(B659:B783)-1)</f>
        <v/>
      </c>
      <c r="D783" s="29">
        <f>IF(A783="","",IFERROR(INDEX('자료_미국심리'!$E$3:$E$4002,MATCH(A783,$P$19:$P$4018,0)),D782))</f>
        <v/>
      </c>
      <c r="E783" s="29">
        <f>IF(A783="","",IFERROR(INDEX('자료_미국심리'!$H$3:$H$4002,MATCH(A783,$Q$19:$Q$4018,0)),E782))</f>
        <v/>
      </c>
      <c r="F783">
        <f>IF(A783="",0,IF(A783&gt;$B$5,1,0))</f>
        <v/>
      </c>
      <c r="G783" s="29">
        <f>IF(AND(F783=1,ISNUMBER(D783)),D783,"")</f>
        <v/>
      </c>
      <c r="H783" s="29">
        <f>IF(AND(F783=1,ISNUMBER(E783)),E783,"")</f>
        <v/>
      </c>
      <c r="I783" s="22">
        <f>IF(AND(F783=1,ISNUMBER(C783)),C783,"")</f>
        <v/>
      </c>
      <c r="J783" s="11">
        <f>IF(G783="","",100-IF($G$13=1,50,(_xlfn.RANK.AVG(G783,$G$19:$G$1518,1)-1)/($G$13-1)*100))</f>
        <v/>
      </c>
      <c r="K783" s="11">
        <f>IF(H783="","",100-IF($G$14=1,50,(_xlfn.RANK.AVG(H783,$H$19:$H$1518,1)-1)/($G$14-1)*100))</f>
        <v/>
      </c>
      <c r="L783" s="11">
        <f>IF(I783="","",IF($G$15=1,50,(_xlfn.RANK.AVG(I783,$I$19:$I$1518,1)-1)/($G$15-1)*100))</f>
        <v/>
      </c>
      <c r="M783" s="11">
        <f>IF(COUNT(J783:L783)=3,ROUND(AVERAGE(J783:L783),6),"")</f>
        <v/>
      </c>
      <c r="O783">
        <f>IF(AND(ISNUMBER('자료_미국심리'!$A767),ISNUMBER('자료_미국심리'!$B767)),'자료_미국심리'!$A767,"")</f>
        <v/>
      </c>
      <c r="P783">
        <f>IF(AND(ISNUMBER('자료_미국심리'!$D767),ISNUMBER('자료_미국심리'!$E767)),'자료_미국심리'!$D767,"")</f>
        <v/>
      </c>
      <c r="Q783">
        <f>IF(AND(ISNUMBER('자료_미국심리'!$G767),ISNUMBER('자료_미국심리'!$H767)),'자료_미국심리'!$G767,"")</f>
        <v/>
      </c>
    </row>
    <row r="784">
      <c r="A784" s="10">
        <f>IF(766&gt;$E$5,"",SMALL($O$19:$O$4018,$E$6+766))</f>
        <v/>
      </c>
      <c r="B784" s="29">
        <f>IF(A784="","",INDEX('자료_미국심리'!$B$3:$B$4002,MATCH(A784,$O$19:$O$4018,0)))</f>
        <v/>
      </c>
      <c r="C784" s="22">
        <f>IF(A784="","",B784/AVERAGE(B660:B784)-1)</f>
        <v/>
      </c>
      <c r="D784" s="29">
        <f>IF(A784="","",IFERROR(INDEX('자료_미국심리'!$E$3:$E$4002,MATCH(A784,$P$19:$P$4018,0)),D783))</f>
        <v/>
      </c>
      <c r="E784" s="29">
        <f>IF(A784="","",IFERROR(INDEX('자료_미국심리'!$H$3:$H$4002,MATCH(A784,$Q$19:$Q$4018,0)),E783))</f>
        <v/>
      </c>
      <c r="F784">
        <f>IF(A784="",0,IF(A784&gt;$B$5,1,0))</f>
        <v/>
      </c>
      <c r="G784" s="29">
        <f>IF(AND(F784=1,ISNUMBER(D784)),D784,"")</f>
        <v/>
      </c>
      <c r="H784" s="29">
        <f>IF(AND(F784=1,ISNUMBER(E784)),E784,"")</f>
        <v/>
      </c>
      <c r="I784" s="22">
        <f>IF(AND(F784=1,ISNUMBER(C784)),C784,"")</f>
        <v/>
      </c>
      <c r="J784" s="11">
        <f>IF(G784="","",100-IF($G$13=1,50,(_xlfn.RANK.AVG(G784,$G$19:$G$1518,1)-1)/($G$13-1)*100))</f>
        <v/>
      </c>
      <c r="K784" s="11">
        <f>IF(H784="","",100-IF($G$14=1,50,(_xlfn.RANK.AVG(H784,$H$19:$H$1518,1)-1)/($G$14-1)*100))</f>
        <v/>
      </c>
      <c r="L784" s="11">
        <f>IF(I784="","",IF($G$15=1,50,(_xlfn.RANK.AVG(I784,$I$19:$I$1518,1)-1)/($G$15-1)*100))</f>
        <v/>
      </c>
      <c r="M784" s="11">
        <f>IF(COUNT(J784:L784)=3,ROUND(AVERAGE(J784:L784),6),"")</f>
        <v/>
      </c>
      <c r="O784">
        <f>IF(AND(ISNUMBER('자료_미국심리'!$A768),ISNUMBER('자료_미국심리'!$B768)),'자료_미국심리'!$A768,"")</f>
        <v/>
      </c>
      <c r="P784">
        <f>IF(AND(ISNUMBER('자료_미국심리'!$D768),ISNUMBER('자료_미국심리'!$E768)),'자료_미국심리'!$D768,"")</f>
        <v/>
      </c>
      <c r="Q784">
        <f>IF(AND(ISNUMBER('자료_미국심리'!$G768),ISNUMBER('자료_미국심리'!$H768)),'자료_미국심리'!$G768,"")</f>
        <v/>
      </c>
    </row>
    <row r="785">
      <c r="A785" s="10">
        <f>IF(767&gt;$E$5,"",SMALL($O$19:$O$4018,$E$6+767))</f>
        <v/>
      </c>
      <c r="B785" s="29">
        <f>IF(A785="","",INDEX('자료_미국심리'!$B$3:$B$4002,MATCH(A785,$O$19:$O$4018,0)))</f>
        <v/>
      </c>
      <c r="C785" s="22">
        <f>IF(A785="","",B785/AVERAGE(B661:B785)-1)</f>
        <v/>
      </c>
      <c r="D785" s="29">
        <f>IF(A785="","",IFERROR(INDEX('자료_미국심리'!$E$3:$E$4002,MATCH(A785,$P$19:$P$4018,0)),D784))</f>
        <v/>
      </c>
      <c r="E785" s="29">
        <f>IF(A785="","",IFERROR(INDEX('자료_미국심리'!$H$3:$H$4002,MATCH(A785,$Q$19:$Q$4018,0)),E784))</f>
        <v/>
      </c>
      <c r="F785">
        <f>IF(A785="",0,IF(A785&gt;$B$5,1,0))</f>
        <v/>
      </c>
      <c r="G785" s="29">
        <f>IF(AND(F785=1,ISNUMBER(D785)),D785,"")</f>
        <v/>
      </c>
      <c r="H785" s="29">
        <f>IF(AND(F785=1,ISNUMBER(E785)),E785,"")</f>
        <v/>
      </c>
      <c r="I785" s="22">
        <f>IF(AND(F785=1,ISNUMBER(C785)),C785,"")</f>
        <v/>
      </c>
      <c r="J785" s="11">
        <f>IF(G785="","",100-IF($G$13=1,50,(_xlfn.RANK.AVG(G785,$G$19:$G$1518,1)-1)/($G$13-1)*100))</f>
        <v/>
      </c>
      <c r="K785" s="11">
        <f>IF(H785="","",100-IF($G$14=1,50,(_xlfn.RANK.AVG(H785,$H$19:$H$1518,1)-1)/($G$14-1)*100))</f>
        <v/>
      </c>
      <c r="L785" s="11">
        <f>IF(I785="","",IF($G$15=1,50,(_xlfn.RANK.AVG(I785,$I$19:$I$1518,1)-1)/($G$15-1)*100))</f>
        <v/>
      </c>
      <c r="M785" s="11">
        <f>IF(COUNT(J785:L785)=3,ROUND(AVERAGE(J785:L785),6),"")</f>
        <v/>
      </c>
      <c r="O785">
        <f>IF(AND(ISNUMBER('자료_미국심리'!$A769),ISNUMBER('자료_미국심리'!$B769)),'자료_미국심리'!$A769,"")</f>
        <v/>
      </c>
      <c r="P785">
        <f>IF(AND(ISNUMBER('자료_미국심리'!$D769),ISNUMBER('자료_미국심리'!$E769)),'자료_미국심리'!$D769,"")</f>
        <v/>
      </c>
      <c r="Q785">
        <f>IF(AND(ISNUMBER('자료_미국심리'!$G769),ISNUMBER('자료_미국심리'!$H769)),'자료_미국심리'!$G769,"")</f>
        <v/>
      </c>
    </row>
    <row r="786">
      <c r="A786" s="10">
        <f>IF(768&gt;$E$5,"",SMALL($O$19:$O$4018,$E$6+768))</f>
        <v/>
      </c>
      <c r="B786" s="29">
        <f>IF(A786="","",INDEX('자료_미국심리'!$B$3:$B$4002,MATCH(A786,$O$19:$O$4018,0)))</f>
        <v/>
      </c>
      <c r="C786" s="22">
        <f>IF(A786="","",B786/AVERAGE(B662:B786)-1)</f>
        <v/>
      </c>
      <c r="D786" s="29">
        <f>IF(A786="","",IFERROR(INDEX('자료_미국심리'!$E$3:$E$4002,MATCH(A786,$P$19:$P$4018,0)),D785))</f>
        <v/>
      </c>
      <c r="E786" s="29">
        <f>IF(A786="","",IFERROR(INDEX('자료_미국심리'!$H$3:$H$4002,MATCH(A786,$Q$19:$Q$4018,0)),E785))</f>
        <v/>
      </c>
      <c r="F786">
        <f>IF(A786="",0,IF(A786&gt;$B$5,1,0))</f>
        <v/>
      </c>
      <c r="G786" s="29">
        <f>IF(AND(F786=1,ISNUMBER(D786)),D786,"")</f>
        <v/>
      </c>
      <c r="H786" s="29">
        <f>IF(AND(F786=1,ISNUMBER(E786)),E786,"")</f>
        <v/>
      </c>
      <c r="I786" s="22">
        <f>IF(AND(F786=1,ISNUMBER(C786)),C786,"")</f>
        <v/>
      </c>
      <c r="J786" s="11">
        <f>IF(G786="","",100-IF($G$13=1,50,(_xlfn.RANK.AVG(G786,$G$19:$G$1518,1)-1)/($G$13-1)*100))</f>
        <v/>
      </c>
      <c r="K786" s="11">
        <f>IF(H786="","",100-IF($G$14=1,50,(_xlfn.RANK.AVG(H786,$H$19:$H$1518,1)-1)/($G$14-1)*100))</f>
        <v/>
      </c>
      <c r="L786" s="11">
        <f>IF(I786="","",IF($G$15=1,50,(_xlfn.RANK.AVG(I786,$I$19:$I$1518,1)-1)/($G$15-1)*100))</f>
        <v/>
      </c>
      <c r="M786" s="11">
        <f>IF(COUNT(J786:L786)=3,ROUND(AVERAGE(J786:L786),6),"")</f>
        <v/>
      </c>
      <c r="O786">
        <f>IF(AND(ISNUMBER('자료_미국심리'!$A770),ISNUMBER('자료_미국심리'!$B770)),'자료_미국심리'!$A770,"")</f>
        <v/>
      </c>
      <c r="P786">
        <f>IF(AND(ISNUMBER('자료_미국심리'!$D770),ISNUMBER('자료_미국심리'!$E770)),'자료_미국심리'!$D770,"")</f>
        <v/>
      </c>
      <c r="Q786">
        <f>IF(AND(ISNUMBER('자료_미국심리'!$G770),ISNUMBER('자료_미국심리'!$H770)),'자료_미국심리'!$G770,"")</f>
        <v/>
      </c>
    </row>
    <row r="787">
      <c r="A787" s="10">
        <f>IF(769&gt;$E$5,"",SMALL($O$19:$O$4018,$E$6+769))</f>
        <v/>
      </c>
      <c r="B787" s="29">
        <f>IF(A787="","",INDEX('자료_미국심리'!$B$3:$B$4002,MATCH(A787,$O$19:$O$4018,0)))</f>
        <v/>
      </c>
      <c r="C787" s="22">
        <f>IF(A787="","",B787/AVERAGE(B663:B787)-1)</f>
        <v/>
      </c>
      <c r="D787" s="29">
        <f>IF(A787="","",IFERROR(INDEX('자료_미국심리'!$E$3:$E$4002,MATCH(A787,$P$19:$P$4018,0)),D786))</f>
        <v/>
      </c>
      <c r="E787" s="29">
        <f>IF(A787="","",IFERROR(INDEX('자료_미국심리'!$H$3:$H$4002,MATCH(A787,$Q$19:$Q$4018,0)),E786))</f>
        <v/>
      </c>
      <c r="F787">
        <f>IF(A787="",0,IF(A787&gt;$B$5,1,0))</f>
        <v/>
      </c>
      <c r="G787" s="29">
        <f>IF(AND(F787=1,ISNUMBER(D787)),D787,"")</f>
        <v/>
      </c>
      <c r="H787" s="29">
        <f>IF(AND(F787=1,ISNUMBER(E787)),E787,"")</f>
        <v/>
      </c>
      <c r="I787" s="22">
        <f>IF(AND(F787=1,ISNUMBER(C787)),C787,"")</f>
        <v/>
      </c>
      <c r="J787" s="11">
        <f>IF(G787="","",100-IF($G$13=1,50,(_xlfn.RANK.AVG(G787,$G$19:$G$1518,1)-1)/($G$13-1)*100))</f>
        <v/>
      </c>
      <c r="K787" s="11">
        <f>IF(H787="","",100-IF($G$14=1,50,(_xlfn.RANK.AVG(H787,$H$19:$H$1518,1)-1)/($G$14-1)*100))</f>
        <v/>
      </c>
      <c r="L787" s="11">
        <f>IF(I787="","",IF($G$15=1,50,(_xlfn.RANK.AVG(I787,$I$19:$I$1518,1)-1)/($G$15-1)*100))</f>
        <v/>
      </c>
      <c r="M787" s="11">
        <f>IF(COUNT(J787:L787)=3,ROUND(AVERAGE(J787:L787),6),"")</f>
        <v/>
      </c>
      <c r="O787">
        <f>IF(AND(ISNUMBER('자료_미국심리'!$A771),ISNUMBER('자료_미국심리'!$B771)),'자료_미국심리'!$A771,"")</f>
        <v/>
      </c>
      <c r="P787">
        <f>IF(AND(ISNUMBER('자료_미국심리'!$D771),ISNUMBER('자료_미국심리'!$E771)),'자료_미국심리'!$D771,"")</f>
        <v/>
      </c>
      <c r="Q787">
        <f>IF(AND(ISNUMBER('자료_미국심리'!$G771),ISNUMBER('자료_미국심리'!$H771)),'자료_미국심리'!$G771,"")</f>
        <v/>
      </c>
    </row>
    <row r="788">
      <c r="A788" s="10">
        <f>IF(770&gt;$E$5,"",SMALL($O$19:$O$4018,$E$6+770))</f>
        <v/>
      </c>
      <c r="B788" s="29">
        <f>IF(A788="","",INDEX('자료_미국심리'!$B$3:$B$4002,MATCH(A788,$O$19:$O$4018,0)))</f>
        <v/>
      </c>
      <c r="C788" s="22">
        <f>IF(A788="","",B788/AVERAGE(B664:B788)-1)</f>
        <v/>
      </c>
      <c r="D788" s="29">
        <f>IF(A788="","",IFERROR(INDEX('자료_미국심리'!$E$3:$E$4002,MATCH(A788,$P$19:$P$4018,0)),D787))</f>
        <v/>
      </c>
      <c r="E788" s="29">
        <f>IF(A788="","",IFERROR(INDEX('자료_미국심리'!$H$3:$H$4002,MATCH(A788,$Q$19:$Q$4018,0)),E787))</f>
        <v/>
      </c>
      <c r="F788">
        <f>IF(A788="",0,IF(A788&gt;$B$5,1,0))</f>
        <v/>
      </c>
      <c r="G788" s="29">
        <f>IF(AND(F788=1,ISNUMBER(D788)),D788,"")</f>
        <v/>
      </c>
      <c r="H788" s="29">
        <f>IF(AND(F788=1,ISNUMBER(E788)),E788,"")</f>
        <v/>
      </c>
      <c r="I788" s="22">
        <f>IF(AND(F788=1,ISNUMBER(C788)),C788,"")</f>
        <v/>
      </c>
      <c r="J788" s="11">
        <f>IF(G788="","",100-IF($G$13=1,50,(_xlfn.RANK.AVG(G788,$G$19:$G$1518,1)-1)/($G$13-1)*100))</f>
        <v/>
      </c>
      <c r="K788" s="11">
        <f>IF(H788="","",100-IF($G$14=1,50,(_xlfn.RANK.AVG(H788,$H$19:$H$1518,1)-1)/($G$14-1)*100))</f>
        <v/>
      </c>
      <c r="L788" s="11">
        <f>IF(I788="","",IF($G$15=1,50,(_xlfn.RANK.AVG(I788,$I$19:$I$1518,1)-1)/($G$15-1)*100))</f>
        <v/>
      </c>
      <c r="M788" s="11">
        <f>IF(COUNT(J788:L788)=3,ROUND(AVERAGE(J788:L788),6),"")</f>
        <v/>
      </c>
      <c r="O788">
        <f>IF(AND(ISNUMBER('자료_미국심리'!$A772),ISNUMBER('자료_미국심리'!$B772)),'자료_미국심리'!$A772,"")</f>
        <v/>
      </c>
      <c r="P788">
        <f>IF(AND(ISNUMBER('자료_미국심리'!$D772),ISNUMBER('자료_미국심리'!$E772)),'자료_미국심리'!$D772,"")</f>
        <v/>
      </c>
      <c r="Q788">
        <f>IF(AND(ISNUMBER('자료_미국심리'!$G772),ISNUMBER('자료_미국심리'!$H772)),'자료_미국심리'!$G772,"")</f>
        <v/>
      </c>
    </row>
    <row r="789">
      <c r="A789" s="10">
        <f>IF(771&gt;$E$5,"",SMALL($O$19:$O$4018,$E$6+771))</f>
        <v/>
      </c>
      <c r="B789" s="29">
        <f>IF(A789="","",INDEX('자료_미국심리'!$B$3:$B$4002,MATCH(A789,$O$19:$O$4018,0)))</f>
        <v/>
      </c>
      <c r="C789" s="22">
        <f>IF(A789="","",B789/AVERAGE(B665:B789)-1)</f>
        <v/>
      </c>
      <c r="D789" s="29">
        <f>IF(A789="","",IFERROR(INDEX('자료_미국심리'!$E$3:$E$4002,MATCH(A789,$P$19:$P$4018,0)),D788))</f>
        <v/>
      </c>
      <c r="E789" s="29">
        <f>IF(A789="","",IFERROR(INDEX('자료_미국심리'!$H$3:$H$4002,MATCH(A789,$Q$19:$Q$4018,0)),E788))</f>
        <v/>
      </c>
      <c r="F789">
        <f>IF(A789="",0,IF(A789&gt;$B$5,1,0))</f>
        <v/>
      </c>
      <c r="G789" s="29">
        <f>IF(AND(F789=1,ISNUMBER(D789)),D789,"")</f>
        <v/>
      </c>
      <c r="H789" s="29">
        <f>IF(AND(F789=1,ISNUMBER(E789)),E789,"")</f>
        <v/>
      </c>
      <c r="I789" s="22">
        <f>IF(AND(F789=1,ISNUMBER(C789)),C789,"")</f>
        <v/>
      </c>
      <c r="J789" s="11">
        <f>IF(G789="","",100-IF($G$13=1,50,(_xlfn.RANK.AVG(G789,$G$19:$G$1518,1)-1)/($G$13-1)*100))</f>
        <v/>
      </c>
      <c r="K789" s="11">
        <f>IF(H789="","",100-IF($G$14=1,50,(_xlfn.RANK.AVG(H789,$H$19:$H$1518,1)-1)/($G$14-1)*100))</f>
        <v/>
      </c>
      <c r="L789" s="11">
        <f>IF(I789="","",IF($G$15=1,50,(_xlfn.RANK.AVG(I789,$I$19:$I$1518,1)-1)/($G$15-1)*100))</f>
        <v/>
      </c>
      <c r="M789" s="11">
        <f>IF(COUNT(J789:L789)=3,ROUND(AVERAGE(J789:L789),6),"")</f>
        <v/>
      </c>
      <c r="O789">
        <f>IF(AND(ISNUMBER('자료_미국심리'!$A773),ISNUMBER('자료_미국심리'!$B773)),'자료_미국심리'!$A773,"")</f>
        <v/>
      </c>
      <c r="P789">
        <f>IF(AND(ISNUMBER('자료_미국심리'!$D773),ISNUMBER('자료_미국심리'!$E773)),'자료_미국심리'!$D773,"")</f>
        <v/>
      </c>
      <c r="Q789">
        <f>IF(AND(ISNUMBER('자료_미국심리'!$G773),ISNUMBER('자료_미국심리'!$H773)),'자료_미국심리'!$G773,"")</f>
        <v/>
      </c>
    </row>
    <row r="790">
      <c r="A790" s="10">
        <f>IF(772&gt;$E$5,"",SMALL($O$19:$O$4018,$E$6+772))</f>
        <v/>
      </c>
      <c r="B790" s="29">
        <f>IF(A790="","",INDEX('자료_미국심리'!$B$3:$B$4002,MATCH(A790,$O$19:$O$4018,0)))</f>
        <v/>
      </c>
      <c r="C790" s="22">
        <f>IF(A790="","",B790/AVERAGE(B666:B790)-1)</f>
        <v/>
      </c>
      <c r="D790" s="29">
        <f>IF(A790="","",IFERROR(INDEX('자료_미국심리'!$E$3:$E$4002,MATCH(A790,$P$19:$P$4018,0)),D789))</f>
        <v/>
      </c>
      <c r="E790" s="29">
        <f>IF(A790="","",IFERROR(INDEX('자료_미국심리'!$H$3:$H$4002,MATCH(A790,$Q$19:$Q$4018,0)),E789))</f>
        <v/>
      </c>
      <c r="F790">
        <f>IF(A790="",0,IF(A790&gt;$B$5,1,0))</f>
        <v/>
      </c>
      <c r="G790" s="29">
        <f>IF(AND(F790=1,ISNUMBER(D790)),D790,"")</f>
        <v/>
      </c>
      <c r="H790" s="29">
        <f>IF(AND(F790=1,ISNUMBER(E790)),E790,"")</f>
        <v/>
      </c>
      <c r="I790" s="22">
        <f>IF(AND(F790=1,ISNUMBER(C790)),C790,"")</f>
        <v/>
      </c>
      <c r="J790" s="11">
        <f>IF(G790="","",100-IF($G$13=1,50,(_xlfn.RANK.AVG(G790,$G$19:$G$1518,1)-1)/($G$13-1)*100))</f>
        <v/>
      </c>
      <c r="K790" s="11">
        <f>IF(H790="","",100-IF($G$14=1,50,(_xlfn.RANK.AVG(H790,$H$19:$H$1518,1)-1)/($G$14-1)*100))</f>
        <v/>
      </c>
      <c r="L790" s="11">
        <f>IF(I790="","",IF($G$15=1,50,(_xlfn.RANK.AVG(I790,$I$19:$I$1518,1)-1)/($G$15-1)*100))</f>
        <v/>
      </c>
      <c r="M790" s="11">
        <f>IF(COUNT(J790:L790)=3,ROUND(AVERAGE(J790:L790),6),"")</f>
        <v/>
      </c>
      <c r="O790">
        <f>IF(AND(ISNUMBER('자료_미국심리'!$A774),ISNUMBER('자료_미국심리'!$B774)),'자료_미국심리'!$A774,"")</f>
        <v/>
      </c>
      <c r="P790">
        <f>IF(AND(ISNUMBER('자료_미국심리'!$D774),ISNUMBER('자료_미국심리'!$E774)),'자료_미국심리'!$D774,"")</f>
        <v/>
      </c>
      <c r="Q790">
        <f>IF(AND(ISNUMBER('자료_미국심리'!$G774),ISNUMBER('자료_미국심리'!$H774)),'자료_미국심리'!$G774,"")</f>
        <v/>
      </c>
    </row>
    <row r="791">
      <c r="A791" s="10">
        <f>IF(773&gt;$E$5,"",SMALL($O$19:$O$4018,$E$6+773))</f>
        <v/>
      </c>
      <c r="B791" s="29">
        <f>IF(A791="","",INDEX('자료_미국심리'!$B$3:$B$4002,MATCH(A791,$O$19:$O$4018,0)))</f>
        <v/>
      </c>
      <c r="C791" s="22">
        <f>IF(A791="","",B791/AVERAGE(B667:B791)-1)</f>
        <v/>
      </c>
      <c r="D791" s="29">
        <f>IF(A791="","",IFERROR(INDEX('자료_미국심리'!$E$3:$E$4002,MATCH(A791,$P$19:$P$4018,0)),D790))</f>
        <v/>
      </c>
      <c r="E791" s="29">
        <f>IF(A791="","",IFERROR(INDEX('자료_미국심리'!$H$3:$H$4002,MATCH(A791,$Q$19:$Q$4018,0)),E790))</f>
        <v/>
      </c>
      <c r="F791">
        <f>IF(A791="",0,IF(A791&gt;$B$5,1,0))</f>
        <v/>
      </c>
      <c r="G791" s="29">
        <f>IF(AND(F791=1,ISNUMBER(D791)),D791,"")</f>
        <v/>
      </c>
      <c r="H791" s="29">
        <f>IF(AND(F791=1,ISNUMBER(E791)),E791,"")</f>
        <v/>
      </c>
      <c r="I791" s="22">
        <f>IF(AND(F791=1,ISNUMBER(C791)),C791,"")</f>
        <v/>
      </c>
      <c r="J791" s="11">
        <f>IF(G791="","",100-IF($G$13=1,50,(_xlfn.RANK.AVG(G791,$G$19:$G$1518,1)-1)/($G$13-1)*100))</f>
        <v/>
      </c>
      <c r="K791" s="11">
        <f>IF(H791="","",100-IF($G$14=1,50,(_xlfn.RANK.AVG(H791,$H$19:$H$1518,1)-1)/($G$14-1)*100))</f>
        <v/>
      </c>
      <c r="L791" s="11">
        <f>IF(I791="","",IF($G$15=1,50,(_xlfn.RANK.AVG(I791,$I$19:$I$1518,1)-1)/($G$15-1)*100))</f>
        <v/>
      </c>
      <c r="M791" s="11">
        <f>IF(COUNT(J791:L791)=3,ROUND(AVERAGE(J791:L791),6),"")</f>
        <v/>
      </c>
      <c r="O791">
        <f>IF(AND(ISNUMBER('자료_미국심리'!$A775),ISNUMBER('자료_미국심리'!$B775)),'자료_미국심리'!$A775,"")</f>
        <v/>
      </c>
      <c r="P791">
        <f>IF(AND(ISNUMBER('자료_미국심리'!$D775),ISNUMBER('자료_미국심리'!$E775)),'자료_미국심리'!$D775,"")</f>
        <v/>
      </c>
      <c r="Q791">
        <f>IF(AND(ISNUMBER('자료_미국심리'!$G775),ISNUMBER('자료_미국심리'!$H775)),'자료_미국심리'!$G775,"")</f>
        <v/>
      </c>
    </row>
    <row r="792">
      <c r="A792" s="10">
        <f>IF(774&gt;$E$5,"",SMALL($O$19:$O$4018,$E$6+774))</f>
        <v/>
      </c>
      <c r="B792" s="29">
        <f>IF(A792="","",INDEX('자료_미국심리'!$B$3:$B$4002,MATCH(A792,$O$19:$O$4018,0)))</f>
        <v/>
      </c>
      <c r="C792" s="22">
        <f>IF(A792="","",B792/AVERAGE(B668:B792)-1)</f>
        <v/>
      </c>
      <c r="D792" s="29">
        <f>IF(A792="","",IFERROR(INDEX('자료_미국심리'!$E$3:$E$4002,MATCH(A792,$P$19:$P$4018,0)),D791))</f>
        <v/>
      </c>
      <c r="E792" s="29">
        <f>IF(A792="","",IFERROR(INDEX('자료_미국심리'!$H$3:$H$4002,MATCH(A792,$Q$19:$Q$4018,0)),E791))</f>
        <v/>
      </c>
      <c r="F792">
        <f>IF(A792="",0,IF(A792&gt;$B$5,1,0))</f>
        <v/>
      </c>
      <c r="G792" s="29">
        <f>IF(AND(F792=1,ISNUMBER(D792)),D792,"")</f>
        <v/>
      </c>
      <c r="H792" s="29">
        <f>IF(AND(F792=1,ISNUMBER(E792)),E792,"")</f>
        <v/>
      </c>
      <c r="I792" s="22">
        <f>IF(AND(F792=1,ISNUMBER(C792)),C792,"")</f>
        <v/>
      </c>
      <c r="J792" s="11">
        <f>IF(G792="","",100-IF($G$13=1,50,(_xlfn.RANK.AVG(G792,$G$19:$G$1518,1)-1)/($G$13-1)*100))</f>
        <v/>
      </c>
      <c r="K792" s="11">
        <f>IF(H792="","",100-IF($G$14=1,50,(_xlfn.RANK.AVG(H792,$H$19:$H$1518,1)-1)/($G$14-1)*100))</f>
        <v/>
      </c>
      <c r="L792" s="11">
        <f>IF(I792="","",IF($G$15=1,50,(_xlfn.RANK.AVG(I792,$I$19:$I$1518,1)-1)/($G$15-1)*100))</f>
        <v/>
      </c>
      <c r="M792" s="11">
        <f>IF(COUNT(J792:L792)=3,ROUND(AVERAGE(J792:L792),6),"")</f>
        <v/>
      </c>
      <c r="O792">
        <f>IF(AND(ISNUMBER('자료_미국심리'!$A776),ISNUMBER('자료_미국심리'!$B776)),'자료_미국심리'!$A776,"")</f>
        <v/>
      </c>
      <c r="P792">
        <f>IF(AND(ISNUMBER('자료_미국심리'!$D776),ISNUMBER('자료_미국심리'!$E776)),'자료_미국심리'!$D776,"")</f>
        <v/>
      </c>
      <c r="Q792">
        <f>IF(AND(ISNUMBER('자료_미국심리'!$G776),ISNUMBER('자료_미국심리'!$H776)),'자료_미국심리'!$G776,"")</f>
        <v/>
      </c>
    </row>
    <row r="793">
      <c r="A793" s="10">
        <f>IF(775&gt;$E$5,"",SMALL($O$19:$O$4018,$E$6+775))</f>
        <v/>
      </c>
      <c r="B793" s="29">
        <f>IF(A793="","",INDEX('자료_미국심리'!$B$3:$B$4002,MATCH(A793,$O$19:$O$4018,0)))</f>
        <v/>
      </c>
      <c r="C793" s="22">
        <f>IF(A793="","",B793/AVERAGE(B669:B793)-1)</f>
        <v/>
      </c>
      <c r="D793" s="29">
        <f>IF(A793="","",IFERROR(INDEX('자료_미국심리'!$E$3:$E$4002,MATCH(A793,$P$19:$P$4018,0)),D792))</f>
        <v/>
      </c>
      <c r="E793" s="29">
        <f>IF(A793="","",IFERROR(INDEX('자료_미국심리'!$H$3:$H$4002,MATCH(A793,$Q$19:$Q$4018,0)),E792))</f>
        <v/>
      </c>
      <c r="F793">
        <f>IF(A793="",0,IF(A793&gt;$B$5,1,0))</f>
        <v/>
      </c>
      <c r="G793" s="29">
        <f>IF(AND(F793=1,ISNUMBER(D793)),D793,"")</f>
        <v/>
      </c>
      <c r="H793" s="29">
        <f>IF(AND(F793=1,ISNUMBER(E793)),E793,"")</f>
        <v/>
      </c>
      <c r="I793" s="22">
        <f>IF(AND(F793=1,ISNUMBER(C793)),C793,"")</f>
        <v/>
      </c>
      <c r="J793" s="11">
        <f>IF(G793="","",100-IF($G$13=1,50,(_xlfn.RANK.AVG(G793,$G$19:$G$1518,1)-1)/($G$13-1)*100))</f>
        <v/>
      </c>
      <c r="K793" s="11">
        <f>IF(H793="","",100-IF($G$14=1,50,(_xlfn.RANK.AVG(H793,$H$19:$H$1518,1)-1)/($G$14-1)*100))</f>
        <v/>
      </c>
      <c r="L793" s="11">
        <f>IF(I793="","",IF($G$15=1,50,(_xlfn.RANK.AVG(I793,$I$19:$I$1518,1)-1)/($G$15-1)*100))</f>
        <v/>
      </c>
      <c r="M793" s="11">
        <f>IF(COUNT(J793:L793)=3,ROUND(AVERAGE(J793:L793),6),"")</f>
        <v/>
      </c>
      <c r="O793">
        <f>IF(AND(ISNUMBER('자료_미국심리'!$A777),ISNUMBER('자료_미국심리'!$B777)),'자료_미국심리'!$A777,"")</f>
        <v/>
      </c>
      <c r="P793">
        <f>IF(AND(ISNUMBER('자료_미국심리'!$D777),ISNUMBER('자료_미국심리'!$E777)),'자료_미국심리'!$D777,"")</f>
        <v/>
      </c>
      <c r="Q793">
        <f>IF(AND(ISNUMBER('자료_미국심리'!$G777),ISNUMBER('자료_미국심리'!$H777)),'자료_미국심리'!$G777,"")</f>
        <v/>
      </c>
    </row>
    <row r="794">
      <c r="A794" s="10">
        <f>IF(776&gt;$E$5,"",SMALL($O$19:$O$4018,$E$6+776))</f>
        <v/>
      </c>
      <c r="B794" s="29">
        <f>IF(A794="","",INDEX('자료_미국심리'!$B$3:$B$4002,MATCH(A794,$O$19:$O$4018,0)))</f>
        <v/>
      </c>
      <c r="C794" s="22">
        <f>IF(A794="","",B794/AVERAGE(B670:B794)-1)</f>
        <v/>
      </c>
      <c r="D794" s="29">
        <f>IF(A794="","",IFERROR(INDEX('자료_미국심리'!$E$3:$E$4002,MATCH(A794,$P$19:$P$4018,0)),D793))</f>
        <v/>
      </c>
      <c r="E794" s="29">
        <f>IF(A794="","",IFERROR(INDEX('자료_미국심리'!$H$3:$H$4002,MATCH(A794,$Q$19:$Q$4018,0)),E793))</f>
        <v/>
      </c>
      <c r="F794">
        <f>IF(A794="",0,IF(A794&gt;$B$5,1,0))</f>
        <v/>
      </c>
      <c r="G794" s="29">
        <f>IF(AND(F794=1,ISNUMBER(D794)),D794,"")</f>
        <v/>
      </c>
      <c r="H794" s="29">
        <f>IF(AND(F794=1,ISNUMBER(E794)),E794,"")</f>
        <v/>
      </c>
      <c r="I794" s="22">
        <f>IF(AND(F794=1,ISNUMBER(C794)),C794,"")</f>
        <v/>
      </c>
      <c r="J794" s="11">
        <f>IF(G794="","",100-IF($G$13=1,50,(_xlfn.RANK.AVG(G794,$G$19:$G$1518,1)-1)/($G$13-1)*100))</f>
        <v/>
      </c>
      <c r="K794" s="11">
        <f>IF(H794="","",100-IF($G$14=1,50,(_xlfn.RANK.AVG(H794,$H$19:$H$1518,1)-1)/($G$14-1)*100))</f>
        <v/>
      </c>
      <c r="L794" s="11">
        <f>IF(I794="","",IF($G$15=1,50,(_xlfn.RANK.AVG(I794,$I$19:$I$1518,1)-1)/($G$15-1)*100))</f>
        <v/>
      </c>
      <c r="M794" s="11">
        <f>IF(COUNT(J794:L794)=3,ROUND(AVERAGE(J794:L794),6),"")</f>
        <v/>
      </c>
      <c r="O794">
        <f>IF(AND(ISNUMBER('자료_미국심리'!$A778),ISNUMBER('자료_미국심리'!$B778)),'자료_미국심리'!$A778,"")</f>
        <v/>
      </c>
      <c r="P794">
        <f>IF(AND(ISNUMBER('자료_미국심리'!$D778),ISNUMBER('자료_미국심리'!$E778)),'자료_미국심리'!$D778,"")</f>
        <v/>
      </c>
      <c r="Q794">
        <f>IF(AND(ISNUMBER('자료_미국심리'!$G778),ISNUMBER('자료_미국심리'!$H778)),'자료_미국심리'!$G778,"")</f>
        <v/>
      </c>
    </row>
    <row r="795">
      <c r="A795" s="10">
        <f>IF(777&gt;$E$5,"",SMALL($O$19:$O$4018,$E$6+777))</f>
        <v/>
      </c>
      <c r="B795" s="29">
        <f>IF(A795="","",INDEX('자료_미국심리'!$B$3:$B$4002,MATCH(A795,$O$19:$O$4018,0)))</f>
        <v/>
      </c>
      <c r="C795" s="22">
        <f>IF(A795="","",B795/AVERAGE(B671:B795)-1)</f>
        <v/>
      </c>
      <c r="D795" s="29">
        <f>IF(A795="","",IFERROR(INDEX('자료_미국심리'!$E$3:$E$4002,MATCH(A795,$P$19:$P$4018,0)),D794))</f>
        <v/>
      </c>
      <c r="E795" s="29">
        <f>IF(A795="","",IFERROR(INDEX('자료_미국심리'!$H$3:$H$4002,MATCH(A795,$Q$19:$Q$4018,0)),E794))</f>
        <v/>
      </c>
      <c r="F795">
        <f>IF(A795="",0,IF(A795&gt;$B$5,1,0))</f>
        <v/>
      </c>
      <c r="G795" s="29">
        <f>IF(AND(F795=1,ISNUMBER(D795)),D795,"")</f>
        <v/>
      </c>
      <c r="H795" s="29">
        <f>IF(AND(F795=1,ISNUMBER(E795)),E795,"")</f>
        <v/>
      </c>
      <c r="I795" s="22">
        <f>IF(AND(F795=1,ISNUMBER(C795)),C795,"")</f>
        <v/>
      </c>
      <c r="J795" s="11">
        <f>IF(G795="","",100-IF($G$13=1,50,(_xlfn.RANK.AVG(G795,$G$19:$G$1518,1)-1)/($G$13-1)*100))</f>
        <v/>
      </c>
      <c r="K795" s="11">
        <f>IF(H795="","",100-IF($G$14=1,50,(_xlfn.RANK.AVG(H795,$H$19:$H$1518,1)-1)/($G$14-1)*100))</f>
        <v/>
      </c>
      <c r="L795" s="11">
        <f>IF(I795="","",IF($G$15=1,50,(_xlfn.RANK.AVG(I795,$I$19:$I$1518,1)-1)/($G$15-1)*100))</f>
        <v/>
      </c>
      <c r="M795" s="11">
        <f>IF(COUNT(J795:L795)=3,ROUND(AVERAGE(J795:L795),6),"")</f>
        <v/>
      </c>
      <c r="O795">
        <f>IF(AND(ISNUMBER('자료_미국심리'!$A779),ISNUMBER('자료_미국심리'!$B779)),'자료_미국심리'!$A779,"")</f>
        <v/>
      </c>
      <c r="P795">
        <f>IF(AND(ISNUMBER('자료_미국심리'!$D779),ISNUMBER('자료_미국심리'!$E779)),'자료_미국심리'!$D779,"")</f>
        <v/>
      </c>
      <c r="Q795">
        <f>IF(AND(ISNUMBER('자료_미국심리'!$G779),ISNUMBER('자료_미국심리'!$H779)),'자료_미국심리'!$G779,"")</f>
        <v/>
      </c>
    </row>
    <row r="796">
      <c r="A796" s="10">
        <f>IF(778&gt;$E$5,"",SMALL($O$19:$O$4018,$E$6+778))</f>
        <v/>
      </c>
      <c r="B796" s="29">
        <f>IF(A796="","",INDEX('자료_미국심리'!$B$3:$B$4002,MATCH(A796,$O$19:$O$4018,0)))</f>
        <v/>
      </c>
      <c r="C796" s="22">
        <f>IF(A796="","",B796/AVERAGE(B672:B796)-1)</f>
        <v/>
      </c>
      <c r="D796" s="29">
        <f>IF(A796="","",IFERROR(INDEX('자료_미국심리'!$E$3:$E$4002,MATCH(A796,$P$19:$P$4018,0)),D795))</f>
        <v/>
      </c>
      <c r="E796" s="29">
        <f>IF(A796="","",IFERROR(INDEX('자료_미국심리'!$H$3:$H$4002,MATCH(A796,$Q$19:$Q$4018,0)),E795))</f>
        <v/>
      </c>
      <c r="F796">
        <f>IF(A796="",0,IF(A796&gt;$B$5,1,0))</f>
        <v/>
      </c>
      <c r="G796" s="29">
        <f>IF(AND(F796=1,ISNUMBER(D796)),D796,"")</f>
        <v/>
      </c>
      <c r="H796" s="29">
        <f>IF(AND(F796=1,ISNUMBER(E796)),E796,"")</f>
        <v/>
      </c>
      <c r="I796" s="22">
        <f>IF(AND(F796=1,ISNUMBER(C796)),C796,"")</f>
        <v/>
      </c>
      <c r="J796" s="11">
        <f>IF(G796="","",100-IF($G$13=1,50,(_xlfn.RANK.AVG(G796,$G$19:$G$1518,1)-1)/($G$13-1)*100))</f>
        <v/>
      </c>
      <c r="K796" s="11">
        <f>IF(H796="","",100-IF($G$14=1,50,(_xlfn.RANK.AVG(H796,$H$19:$H$1518,1)-1)/($G$14-1)*100))</f>
        <v/>
      </c>
      <c r="L796" s="11">
        <f>IF(I796="","",IF($G$15=1,50,(_xlfn.RANK.AVG(I796,$I$19:$I$1518,1)-1)/($G$15-1)*100))</f>
        <v/>
      </c>
      <c r="M796" s="11">
        <f>IF(COUNT(J796:L796)=3,ROUND(AVERAGE(J796:L796),6),"")</f>
        <v/>
      </c>
      <c r="O796">
        <f>IF(AND(ISNUMBER('자료_미국심리'!$A780),ISNUMBER('자료_미국심리'!$B780)),'자료_미국심리'!$A780,"")</f>
        <v/>
      </c>
      <c r="P796">
        <f>IF(AND(ISNUMBER('자료_미국심리'!$D780),ISNUMBER('자료_미국심리'!$E780)),'자료_미국심리'!$D780,"")</f>
        <v/>
      </c>
      <c r="Q796">
        <f>IF(AND(ISNUMBER('자료_미국심리'!$G780),ISNUMBER('자료_미국심리'!$H780)),'자료_미국심리'!$G780,"")</f>
        <v/>
      </c>
    </row>
    <row r="797">
      <c r="A797" s="10">
        <f>IF(779&gt;$E$5,"",SMALL($O$19:$O$4018,$E$6+779))</f>
        <v/>
      </c>
      <c r="B797" s="29">
        <f>IF(A797="","",INDEX('자료_미국심리'!$B$3:$B$4002,MATCH(A797,$O$19:$O$4018,0)))</f>
        <v/>
      </c>
      <c r="C797" s="22">
        <f>IF(A797="","",B797/AVERAGE(B673:B797)-1)</f>
        <v/>
      </c>
      <c r="D797" s="29">
        <f>IF(A797="","",IFERROR(INDEX('자료_미국심리'!$E$3:$E$4002,MATCH(A797,$P$19:$P$4018,0)),D796))</f>
        <v/>
      </c>
      <c r="E797" s="29">
        <f>IF(A797="","",IFERROR(INDEX('자료_미국심리'!$H$3:$H$4002,MATCH(A797,$Q$19:$Q$4018,0)),E796))</f>
        <v/>
      </c>
      <c r="F797">
        <f>IF(A797="",0,IF(A797&gt;$B$5,1,0))</f>
        <v/>
      </c>
      <c r="G797" s="29">
        <f>IF(AND(F797=1,ISNUMBER(D797)),D797,"")</f>
        <v/>
      </c>
      <c r="H797" s="29">
        <f>IF(AND(F797=1,ISNUMBER(E797)),E797,"")</f>
        <v/>
      </c>
      <c r="I797" s="22">
        <f>IF(AND(F797=1,ISNUMBER(C797)),C797,"")</f>
        <v/>
      </c>
      <c r="J797" s="11">
        <f>IF(G797="","",100-IF($G$13=1,50,(_xlfn.RANK.AVG(G797,$G$19:$G$1518,1)-1)/($G$13-1)*100))</f>
        <v/>
      </c>
      <c r="K797" s="11">
        <f>IF(H797="","",100-IF($G$14=1,50,(_xlfn.RANK.AVG(H797,$H$19:$H$1518,1)-1)/($G$14-1)*100))</f>
        <v/>
      </c>
      <c r="L797" s="11">
        <f>IF(I797="","",IF($G$15=1,50,(_xlfn.RANK.AVG(I797,$I$19:$I$1518,1)-1)/($G$15-1)*100))</f>
        <v/>
      </c>
      <c r="M797" s="11">
        <f>IF(COUNT(J797:L797)=3,ROUND(AVERAGE(J797:L797),6),"")</f>
        <v/>
      </c>
      <c r="O797">
        <f>IF(AND(ISNUMBER('자료_미국심리'!$A781),ISNUMBER('자료_미국심리'!$B781)),'자료_미국심리'!$A781,"")</f>
        <v/>
      </c>
      <c r="P797">
        <f>IF(AND(ISNUMBER('자료_미국심리'!$D781),ISNUMBER('자료_미국심리'!$E781)),'자료_미국심리'!$D781,"")</f>
        <v/>
      </c>
      <c r="Q797">
        <f>IF(AND(ISNUMBER('자료_미국심리'!$G781),ISNUMBER('자료_미국심리'!$H781)),'자료_미국심리'!$G781,"")</f>
        <v/>
      </c>
    </row>
    <row r="798">
      <c r="A798" s="10">
        <f>IF(780&gt;$E$5,"",SMALL($O$19:$O$4018,$E$6+780))</f>
        <v/>
      </c>
      <c r="B798" s="29">
        <f>IF(A798="","",INDEX('자료_미국심리'!$B$3:$B$4002,MATCH(A798,$O$19:$O$4018,0)))</f>
        <v/>
      </c>
      <c r="C798" s="22">
        <f>IF(A798="","",B798/AVERAGE(B674:B798)-1)</f>
        <v/>
      </c>
      <c r="D798" s="29">
        <f>IF(A798="","",IFERROR(INDEX('자료_미국심리'!$E$3:$E$4002,MATCH(A798,$P$19:$P$4018,0)),D797))</f>
        <v/>
      </c>
      <c r="E798" s="29">
        <f>IF(A798="","",IFERROR(INDEX('자료_미국심리'!$H$3:$H$4002,MATCH(A798,$Q$19:$Q$4018,0)),E797))</f>
        <v/>
      </c>
      <c r="F798">
        <f>IF(A798="",0,IF(A798&gt;$B$5,1,0))</f>
        <v/>
      </c>
      <c r="G798" s="29">
        <f>IF(AND(F798=1,ISNUMBER(D798)),D798,"")</f>
        <v/>
      </c>
      <c r="H798" s="29">
        <f>IF(AND(F798=1,ISNUMBER(E798)),E798,"")</f>
        <v/>
      </c>
      <c r="I798" s="22">
        <f>IF(AND(F798=1,ISNUMBER(C798)),C798,"")</f>
        <v/>
      </c>
      <c r="J798" s="11">
        <f>IF(G798="","",100-IF($G$13=1,50,(_xlfn.RANK.AVG(G798,$G$19:$G$1518,1)-1)/($G$13-1)*100))</f>
        <v/>
      </c>
      <c r="K798" s="11">
        <f>IF(H798="","",100-IF($G$14=1,50,(_xlfn.RANK.AVG(H798,$H$19:$H$1518,1)-1)/($G$14-1)*100))</f>
        <v/>
      </c>
      <c r="L798" s="11">
        <f>IF(I798="","",IF($G$15=1,50,(_xlfn.RANK.AVG(I798,$I$19:$I$1518,1)-1)/($G$15-1)*100))</f>
        <v/>
      </c>
      <c r="M798" s="11">
        <f>IF(COUNT(J798:L798)=3,ROUND(AVERAGE(J798:L798),6),"")</f>
        <v/>
      </c>
      <c r="O798">
        <f>IF(AND(ISNUMBER('자료_미국심리'!$A782),ISNUMBER('자료_미국심리'!$B782)),'자료_미국심리'!$A782,"")</f>
        <v/>
      </c>
      <c r="P798">
        <f>IF(AND(ISNUMBER('자료_미국심리'!$D782),ISNUMBER('자료_미국심리'!$E782)),'자료_미국심리'!$D782,"")</f>
        <v/>
      </c>
      <c r="Q798">
        <f>IF(AND(ISNUMBER('자료_미국심리'!$G782),ISNUMBER('자료_미국심리'!$H782)),'자료_미국심리'!$G782,"")</f>
        <v/>
      </c>
    </row>
    <row r="799">
      <c r="A799" s="10">
        <f>IF(781&gt;$E$5,"",SMALL($O$19:$O$4018,$E$6+781))</f>
        <v/>
      </c>
      <c r="B799" s="29">
        <f>IF(A799="","",INDEX('자료_미국심리'!$B$3:$B$4002,MATCH(A799,$O$19:$O$4018,0)))</f>
        <v/>
      </c>
      <c r="C799" s="22">
        <f>IF(A799="","",B799/AVERAGE(B675:B799)-1)</f>
        <v/>
      </c>
      <c r="D799" s="29">
        <f>IF(A799="","",IFERROR(INDEX('자료_미국심리'!$E$3:$E$4002,MATCH(A799,$P$19:$P$4018,0)),D798))</f>
        <v/>
      </c>
      <c r="E799" s="29">
        <f>IF(A799="","",IFERROR(INDEX('자료_미국심리'!$H$3:$H$4002,MATCH(A799,$Q$19:$Q$4018,0)),E798))</f>
        <v/>
      </c>
      <c r="F799">
        <f>IF(A799="",0,IF(A799&gt;$B$5,1,0))</f>
        <v/>
      </c>
      <c r="G799" s="29">
        <f>IF(AND(F799=1,ISNUMBER(D799)),D799,"")</f>
        <v/>
      </c>
      <c r="H799" s="29">
        <f>IF(AND(F799=1,ISNUMBER(E799)),E799,"")</f>
        <v/>
      </c>
      <c r="I799" s="22">
        <f>IF(AND(F799=1,ISNUMBER(C799)),C799,"")</f>
        <v/>
      </c>
      <c r="J799" s="11">
        <f>IF(G799="","",100-IF($G$13=1,50,(_xlfn.RANK.AVG(G799,$G$19:$G$1518,1)-1)/($G$13-1)*100))</f>
        <v/>
      </c>
      <c r="K799" s="11">
        <f>IF(H799="","",100-IF($G$14=1,50,(_xlfn.RANK.AVG(H799,$H$19:$H$1518,1)-1)/($G$14-1)*100))</f>
        <v/>
      </c>
      <c r="L799" s="11">
        <f>IF(I799="","",IF($G$15=1,50,(_xlfn.RANK.AVG(I799,$I$19:$I$1518,1)-1)/($G$15-1)*100))</f>
        <v/>
      </c>
      <c r="M799" s="11">
        <f>IF(COUNT(J799:L799)=3,ROUND(AVERAGE(J799:L799),6),"")</f>
        <v/>
      </c>
      <c r="O799">
        <f>IF(AND(ISNUMBER('자료_미국심리'!$A783),ISNUMBER('자료_미국심리'!$B783)),'자료_미국심리'!$A783,"")</f>
        <v/>
      </c>
      <c r="P799">
        <f>IF(AND(ISNUMBER('자료_미국심리'!$D783),ISNUMBER('자료_미국심리'!$E783)),'자료_미국심리'!$D783,"")</f>
        <v/>
      </c>
      <c r="Q799">
        <f>IF(AND(ISNUMBER('자료_미국심리'!$G783),ISNUMBER('자료_미국심리'!$H783)),'자료_미국심리'!$G783,"")</f>
        <v/>
      </c>
    </row>
    <row r="800">
      <c r="A800" s="10">
        <f>IF(782&gt;$E$5,"",SMALL($O$19:$O$4018,$E$6+782))</f>
        <v/>
      </c>
      <c r="B800" s="29">
        <f>IF(A800="","",INDEX('자료_미국심리'!$B$3:$B$4002,MATCH(A800,$O$19:$O$4018,0)))</f>
        <v/>
      </c>
      <c r="C800" s="22">
        <f>IF(A800="","",B800/AVERAGE(B676:B800)-1)</f>
        <v/>
      </c>
      <c r="D800" s="29">
        <f>IF(A800="","",IFERROR(INDEX('자료_미국심리'!$E$3:$E$4002,MATCH(A800,$P$19:$P$4018,0)),D799))</f>
        <v/>
      </c>
      <c r="E800" s="29">
        <f>IF(A800="","",IFERROR(INDEX('자료_미국심리'!$H$3:$H$4002,MATCH(A800,$Q$19:$Q$4018,0)),E799))</f>
        <v/>
      </c>
      <c r="F800">
        <f>IF(A800="",0,IF(A800&gt;$B$5,1,0))</f>
        <v/>
      </c>
      <c r="G800" s="29">
        <f>IF(AND(F800=1,ISNUMBER(D800)),D800,"")</f>
        <v/>
      </c>
      <c r="H800" s="29">
        <f>IF(AND(F800=1,ISNUMBER(E800)),E800,"")</f>
        <v/>
      </c>
      <c r="I800" s="22">
        <f>IF(AND(F800=1,ISNUMBER(C800)),C800,"")</f>
        <v/>
      </c>
      <c r="J800" s="11">
        <f>IF(G800="","",100-IF($G$13=1,50,(_xlfn.RANK.AVG(G800,$G$19:$G$1518,1)-1)/($G$13-1)*100))</f>
        <v/>
      </c>
      <c r="K800" s="11">
        <f>IF(H800="","",100-IF($G$14=1,50,(_xlfn.RANK.AVG(H800,$H$19:$H$1518,1)-1)/($G$14-1)*100))</f>
        <v/>
      </c>
      <c r="L800" s="11">
        <f>IF(I800="","",IF($G$15=1,50,(_xlfn.RANK.AVG(I800,$I$19:$I$1518,1)-1)/($G$15-1)*100))</f>
        <v/>
      </c>
      <c r="M800" s="11">
        <f>IF(COUNT(J800:L800)=3,ROUND(AVERAGE(J800:L800),6),"")</f>
        <v/>
      </c>
      <c r="O800">
        <f>IF(AND(ISNUMBER('자료_미국심리'!$A784),ISNUMBER('자료_미국심리'!$B784)),'자료_미국심리'!$A784,"")</f>
        <v/>
      </c>
      <c r="P800">
        <f>IF(AND(ISNUMBER('자료_미국심리'!$D784),ISNUMBER('자료_미국심리'!$E784)),'자료_미국심리'!$D784,"")</f>
        <v/>
      </c>
      <c r="Q800">
        <f>IF(AND(ISNUMBER('자료_미국심리'!$G784),ISNUMBER('자료_미국심리'!$H784)),'자료_미국심리'!$G784,"")</f>
        <v/>
      </c>
    </row>
    <row r="801">
      <c r="A801" s="10">
        <f>IF(783&gt;$E$5,"",SMALL($O$19:$O$4018,$E$6+783))</f>
        <v/>
      </c>
      <c r="B801" s="29">
        <f>IF(A801="","",INDEX('자료_미국심리'!$B$3:$B$4002,MATCH(A801,$O$19:$O$4018,0)))</f>
        <v/>
      </c>
      <c r="C801" s="22">
        <f>IF(A801="","",B801/AVERAGE(B677:B801)-1)</f>
        <v/>
      </c>
      <c r="D801" s="29">
        <f>IF(A801="","",IFERROR(INDEX('자료_미국심리'!$E$3:$E$4002,MATCH(A801,$P$19:$P$4018,0)),D800))</f>
        <v/>
      </c>
      <c r="E801" s="29">
        <f>IF(A801="","",IFERROR(INDEX('자료_미국심리'!$H$3:$H$4002,MATCH(A801,$Q$19:$Q$4018,0)),E800))</f>
        <v/>
      </c>
      <c r="F801">
        <f>IF(A801="",0,IF(A801&gt;$B$5,1,0))</f>
        <v/>
      </c>
      <c r="G801" s="29">
        <f>IF(AND(F801=1,ISNUMBER(D801)),D801,"")</f>
        <v/>
      </c>
      <c r="H801" s="29">
        <f>IF(AND(F801=1,ISNUMBER(E801)),E801,"")</f>
        <v/>
      </c>
      <c r="I801" s="22">
        <f>IF(AND(F801=1,ISNUMBER(C801)),C801,"")</f>
        <v/>
      </c>
      <c r="J801" s="11">
        <f>IF(G801="","",100-IF($G$13=1,50,(_xlfn.RANK.AVG(G801,$G$19:$G$1518,1)-1)/($G$13-1)*100))</f>
        <v/>
      </c>
      <c r="K801" s="11">
        <f>IF(H801="","",100-IF($G$14=1,50,(_xlfn.RANK.AVG(H801,$H$19:$H$1518,1)-1)/($G$14-1)*100))</f>
        <v/>
      </c>
      <c r="L801" s="11">
        <f>IF(I801="","",IF($G$15=1,50,(_xlfn.RANK.AVG(I801,$I$19:$I$1518,1)-1)/($G$15-1)*100))</f>
        <v/>
      </c>
      <c r="M801" s="11">
        <f>IF(COUNT(J801:L801)=3,ROUND(AVERAGE(J801:L801),6),"")</f>
        <v/>
      </c>
      <c r="O801">
        <f>IF(AND(ISNUMBER('자료_미국심리'!$A785),ISNUMBER('자료_미국심리'!$B785)),'자료_미국심리'!$A785,"")</f>
        <v/>
      </c>
      <c r="P801">
        <f>IF(AND(ISNUMBER('자료_미국심리'!$D785),ISNUMBER('자료_미국심리'!$E785)),'자료_미국심리'!$D785,"")</f>
        <v/>
      </c>
      <c r="Q801">
        <f>IF(AND(ISNUMBER('자료_미국심리'!$G785),ISNUMBER('자료_미국심리'!$H785)),'자료_미국심리'!$G785,"")</f>
        <v/>
      </c>
    </row>
    <row r="802">
      <c r="A802" s="10">
        <f>IF(784&gt;$E$5,"",SMALL($O$19:$O$4018,$E$6+784))</f>
        <v/>
      </c>
      <c r="B802" s="29">
        <f>IF(A802="","",INDEX('자료_미국심리'!$B$3:$B$4002,MATCH(A802,$O$19:$O$4018,0)))</f>
        <v/>
      </c>
      <c r="C802" s="22">
        <f>IF(A802="","",B802/AVERAGE(B678:B802)-1)</f>
        <v/>
      </c>
      <c r="D802" s="29">
        <f>IF(A802="","",IFERROR(INDEX('자료_미국심리'!$E$3:$E$4002,MATCH(A802,$P$19:$P$4018,0)),D801))</f>
        <v/>
      </c>
      <c r="E802" s="29">
        <f>IF(A802="","",IFERROR(INDEX('자료_미국심리'!$H$3:$H$4002,MATCH(A802,$Q$19:$Q$4018,0)),E801))</f>
        <v/>
      </c>
      <c r="F802">
        <f>IF(A802="",0,IF(A802&gt;$B$5,1,0))</f>
        <v/>
      </c>
      <c r="G802" s="29">
        <f>IF(AND(F802=1,ISNUMBER(D802)),D802,"")</f>
        <v/>
      </c>
      <c r="H802" s="29">
        <f>IF(AND(F802=1,ISNUMBER(E802)),E802,"")</f>
        <v/>
      </c>
      <c r="I802" s="22">
        <f>IF(AND(F802=1,ISNUMBER(C802)),C802,"")</f>
        <v/>
      </c>
      <c r="J802" s="11">
        <f>IF(G802="","",100-IF($G$13=1,50,(_xlfn.RANK.AVG(G802,$G$19:$G$1518,1)-1)/($G$13-1)*100))</f>
        <v/>
      </c>
      <c r="K802" s="11">
        <f>IF(H802="","",100-IF($G$14=1,50,(_xlfn.RANK.AVG(H802,$H$19:$H$1518,1)-1)/($G$14-1)*100))</f>
        <v/>
      </c>
      <c r="L802" s="11">
        <f>IF(I802="","",IF($G$15=1,50,(_xlfn.RANK.AVG(I802,$I$19:$I$1518,1)-1)/($G$15-1)*100))</f>
        <v/>
      </c>
      <c r="M802" s="11">
        <f>IF(COUNT(J802:L802)=3,ROUND(AVERAGE(J802:L802),6),"")</f>
        <v/>
      </c>
      <c r="O802">
        <f>IF(AND(ISNUMBER('자료_미국심리'!$A786),ISNUMBER('자료_미국심리'!$B786)),'자료_미국심리'!$A786,"")</f>
        <v/>
      </c>
      <c r="P802">
        <f>IF(AND(ISNUMBER('자료_미국심리'!$D786),ISNUMBER('자료_미국심리'!$E786)),'자료_미국심리'!$D786,"")</f>
        <v/>
      </c>
      <c r="Q802">
        <f>IF(AND(ISNUMBER('자료_미국심리'!$G786),ISNUMBER('자료_미국심리'!$H786)),'자료_미국심리'!$G786,"")</f>
        <v/>
      </c>
    </row>
    <row r="803">
      <c r="A803" s="10">
        <f>IF(785&gt;$E$5,"",SMALL($O$19:$O$4018,$E$6+785))</f>
        <v/>
      </c>
      <c r="B803" s="29">
        <f>IF(A803="","",INDEX('자료_미국심리'!$B$3:$B$4002,MATCH(A803,$O$19:$O$4018,0)))</f>
        <v/>
      </c>
      <c r="C803" s="22">
        <f>IF(A803="","",B803/AVERAGE(B679:B803)-1)</f>
        <v/>
      </c>
      <c r="D803" s="29">
        <f>IF(A803="","",IFERROR(INDEX('자료_미국심리'!$E$3:$E$4002,MATCH(A803,$P$19:$P$4018,0)),D802))</f>
        <v/>
      </c>
      <c r="E803" s="29">
        <f>IF(A803="","",IFERROR(INDEX('자료_미국심리'!$H$3:$H$4002,MATCH(A803,$Q$19:$Q$4018,0)),E802))</f>
        <v/>
      </c>
      <c r="F803">
        <f>IF(A803="",0,IF(A803&gt;$B$5,1,0))</f>
        <v/>
      </c>
      <c r="G803" s="29">
        <f>IF(AND(F803=1,ISNUMBER(D803)),D803,"")</f>
        <v/>
      </c>
      <c r="H803" s="29">
        <f>IF(AND(F803=1,ISNUMBER(E803)),E803,"")</f>
        <v/>
      </c>
      <c r="I803" s="22">
        <f>IF(AND(F803=1,ISNUMBER(C803)),C803,"")</f>
        <v/>
      </c>
      <c r="J803" s="11">
        <f>IF(G803="","",100-IF($G$13=1,50,(_xlfn.RANK.AVG(G803,$G$19:$G$1518,1)-1)/($G$13-1)*100))</f>
        <v/>
      </c>
      <c r="K803" s="11">
        <f>IF(H803="","",100-IF($G$14=1,50,(_xlfn.RANK.AVG(H803,$H$19:$H$1518,1)-1)/($G$14-1)*100))</f>
        <v/>
      </c>
      <c r="L803" s="11">
        <f>IF(I803="","",IF($G$15=1,50,(_xlfn.RANK.AVG(I803,$I$19:$I$1518,1)-1)/($G$15-1)*100))</f>
        <v/>
      </c>
      <c r="M803" s="11">
        <f>IF(COUNT(J803:L803)=3,ROUND(AVERAGE(J803:L803),6),"")</f>
        <v/>
      </c>
      <c r="O803">
        <f>IF(AND(ISNUMBER('자료_미국심리'!$A787),ISNUMBER('자료_미국심리'!$B787)),'자료_미국심리'!$A787,"")</f>
        <v/>
      </c>
      <c r="P803">
        <f>IF(AND(ISNUMBER('자료_미국심리'!$D787),ISNUMBER('자료_미국심리'!$E787)),'자료_미국심리'!$D787,"")</f>
        <v/>
      </c>
      <c r="Q803">
        <f>IF(AND(ISNUMBER('자료_미국심리'!$G787),ISNUMBER('자료_미국심리'!$H787)),'자료_미국심리'!$G787,"")</f>
        <v/>
      </c>
    </row>
    <row r="804">
      <c r="A804" s="10">
        <f>IF(786&gt;$E$5,"",SMALL($O$19:$O$4018,$E$6+786))</f>
        <v/>
      </c>
      <c r="B804" s="29">
        <f>IF(A804="","",INDEX('자료_미국심리'!$B$3:$B$4002,MATCH(A804,$O$19:$O$4018,0)))</f>
        <v/>
      </c>
      <c r="C804" s="22">
        <f>IF(A804="","",B804/AVERAGE(B680:B804)-1)</f>
        <v/>
      </c>
      <c r="D804" s="29">
        <f>IF(A804="","",IFERROR(INDEX('자료_미국심리'!$E$3:$E$4002,MATCH(A804,$P$19:$P$4018,0)),D803))</f>
        <v/>
      </c>
      <c r="E804" s="29">
        <f>IF(A804="","",IFERROR(INDEX('자료_미국심리'!$H$3:$H$4002,MATCH(A804,$Q$19:$Q$4018,0)),E803))</f>
        <v/>
      </c>
      <c r="F804">
        <f>IF(A804="",0,IF(A804&gt;$B$5,1,0))</f>
        <v/>
      </c>
      <c r="G804" s="29">
        <f>IF(AND(F804=1,ISNUMBER(D804)),D804,"")</f>
        <v/>
      </c>
      <c r="H804" s="29">
        <f>IF(AND(F804=1,ISNUMBER(E804)),E804,"")</f>
        <v/>
      </c>
      <c r="I804" s="22">
        <f>IF(AND(F804=1,ISNUMBER(C804)),C804,"")</f>
        <v/>
      </c>
      <c r="J804" s="11">
        <f>IF(G804="","",100-IF($G$13=1,50,(_xlfn.RANK.AVG(G804,$G$19:$G$1518,1)-1)/($G$13-1)*100))</f>
        <v/>
      </c>
      <c r="K804" s="11">
        <f>IF(H804="","",100-IF($G$14=1,50,(_xlfn.RANK.AVG(H804,$H$19:$H$1518,1)-1)/($G$14-1)*100))</f>
        <v/>
      </c>
      <c r="L804" s="11">
        <f>IF(I804="","",IF($G$15=1,50,(_xlfn.RANK.AVG(I804,$I$19:$I$1518,1)-1)/($G$15-1)*100))</f>
        <v/>
      </c>
      <c r="M804" s="11">
        <f>IF(COUNT(J804:L804)=3,ROUND(AVERAGE(J804:L804),6),"")</f>
        <v/>
      </c>
      <c r="O804">
        <f>IF(AND(ISNUMBER('자료_미국심리'!$A788),ISNUMBER('자료_미국심리'!$B788)),'자료_미국심리'!$A788,"")</f>
        <v/>
      </c>
      <c r="P804">
        <f>IF(AND(ISNUMBER('자료_미국심리'!$D788),ISNUMBER('자료_미국심리'!$E788)),'자료_미국심리'!$D788,"")</f>
        <v/>
      </c>
      <c r="Q804">
        <f>IF(AND(ISNUMBER('자료_미국심리'!$G788),ISNUMBER('자료_미국심리'!$H788)),'자료_미국심리'!$G788,"")</f>
        <v/>
      </c>
    </row>
    <row r="805">
      <c r="A805" s="10">
        <f>IF(787&gt;$E$5,"",SMALL($O$19:$O$4018,$E$6+787))</f>
        <v/>
      </c>
      <c r="B805" s="29">
        <f>IF(A805="","",INDEX('자료_미국심리'!$B$3:$B$4002,MATCH(A805,$O$19:$O$4018,0)))</f>
        <v/>
      </c>
      <c r="C805" s="22">
        <f>IF(A805="","",B805/AVERAGE(B681:B805)-1)</f>
        <v/>
      </c>
      <c r="D805" s="29">
        <f>IF(A805="","",IFERROR(INDEX('자료_미국심리'!$E$3:$E$4002,MATCH(A805,$P$19:$P$4018,0)),D804))</f>
        <v/>
      </c>
      <c r="E805" s="29">
        <f>IF(A805="","",IFERROR(INDEX('자료_미국심리'!$H$3:$H$4002,MATCH(A805,$Q$19:$Q$4018,0)),E804))</f>
        <v/>
      </c>
      <c r="F805">
        <f>IF(A805="",0,IF(A805&gt;$B$5,1,0))</f>
        <v/>
      </c>
      <c r="G805" s="29">
        <f>IF(AND(F805=1,ISNUMBER(D805)),D805,"")</f>
        <v/>
      </c>
      <c r="H805" s="29">
        <f>IF(AND(F805=1,ISNUMBER(E805)),E805,"")</f>
        <v/>
      </c>
      <c r="I805" s="22">
        <f>IF(AND(F805=1,ISNUMBER(C805)),C805,"")</f>
        <v/>
      </c>
      <c r="J805" s="11">
        <f>IF(G805="","",100-IF($G$13=1,50,(_xlfn.RANK.AVG(G805,$G$19:$G$1518,1)-1)/($G$13-1)*100))</f>
        <v/>
      </c>
      <c r="K805" s="11">
        <f>IF(H805="","",100-IF($G$14=1,50,(_xlfn.RANK.AVG(H805,$H$19:$H$1518,1)-1)/($G$14-1)*100))</f>
        <v/>
      </c>
      <c r="L805" s="11">
        <f>IF(I805="","",IF($G$15=1,50,(_xlfn.RANK.AVG(I805,$I$19:$I$1518,1)-1)/($G$15-1)*100))</f>
        <v/>
      </c>
      <c r="M805" s="11">
        <f>IF(COUNT(J805:L805)=3,ROUND(AVERAGE(J805:L805),6),"")</f>
        <v/>
      </c>
      <c r="O805">
        <f>IF(AND(ISNUMBER('자료_미국심리'!$A789),ISNUMBER('자료_미국심리'!$B789)),'자료_미국심리'!$A789,"")</f>
        <v/>
      </c>
      <c r="P805">
        <f>IF(AND(ISNUMBER('자료_미국심리'!$D789),ISNUMBER('자료_미국심리'!$E789)),'자료_미국심리'!$D789,"")</f>
        <v/>
      </c>
      <c r="Q805">
        <f>IF(AND(ISNUMBER('자료_미국심리'!$G789),ISNUMBER('자료_미국심리'!$H789)),'자료_미국심리'!$G789,"")</f>
        <v/>
      </c>
    </row>
    <row r="806">
      <c r="A806" s="10">
        <f>IF(788&gt;$E$5,"",SMALL($O$19:$O$4018,$E$6+788))</f>
        <v/>
      </c>
      <c r="B806" s="29">
        <f>IF(A806="","",INDEX('자료_미국심리'!$B$3:$B$4002,MATCH(A806,$O$19:$O$4018,0)))</f>
        <v/>
      </c>
      <c r="C806" s="22">
        <f>IF(A806="","",B806/AVERAGE(B682:B806)-1)</f>
        <v/>
      </c>
      <c r="D806" s="29">
        <f>IF(A806="","",IFERROR(INDEX('자료_미국심리'!$E$3:$E$4002,MATCH(A806,$P$19:$P$4018,0)),D805))</f>
        <v/>
      </c>
      <c r="E806" s="29">
        <f>IF(A806="","",IFERROR(INDEX('자료_미국심리'!$H$3:$H$4002,MATCH(A806,$Q$19:$Q$4018,0)),E805))</f>
        <v/>
      </c>
      <c r="F806">
        <f>IF(A806="",0,IF(A806&gt;$B$5,1,0))</f>
        <v/>
      </c>
      <c r="G806" s="29">
        <f>IF(AND(F806=1,ISNUMBER(D806)),D806,"")</f>
        <v/>
      </c>
      <c r="H806" s="29">
        <f>IF(AND(F806=1,ISNUMBER(E806)),E806,"")</f>
        <v/>
      </c>
      <c r="I806" s="22">
        <f>IF(AND(F806=1,ISNUMBER(C806)),C806,"")</f>
        <v/>
      </c>
      <c r="J806" s="11">
        <f>IF(G806="","",100-IF($G$13=1,50,(_xlfn.RANK.AVG(G806,$G$19:$G$1518,1)-1)/($G$13-1)*100))</f>
        <v/>
      </c>
      <c r="K806" s="11">
        <f>IF(H806="","",100-IF($G$14=1,50,(_xlfn.RANK.AVG(H806,$H$19:$H$1518,1)-1)/($G$14-1)*100))</f>
        <v/>
      </c>
      <c r="L806" s="11">
        <f>IF(I806="","",IF($G$15=1,50,(_xlfn.RANK.AVG(I806,$I$19:$I$1518,1)-1)/($G$15-1)*100))</f>
        <v/>
      </c>
      <c r="M806" s="11">
        <f>IF(COUNT(J806:L806)=3,ROUND(AVERAGE(J806:L806),6),"")</f>
        <v/>
      </c>
      <c r="O806">
        <f>IF(AND(ISNUMBER('자료_미국심리'!$A790),ISNUMBER('자료_미국심리'!$B790)),'자료_미국심리'!$A790,"")</f>
        <v/>
      </c>
      <c r="P806">
        <f>IF(AND(ISNUMBER('자료_미국심리'!$D790),ISNUMBER('자료_미국심리'!$E790)),'자료_미국심리'!$D790,"")</f>
        <v/>
      </c>
      <c r="Q806">
        <f>IF(AND(ISNUMBER('자료_미국심리'!$G790),ISNUMBER('자료_미국심리'!$H790)),'자료_미국심리'!$G790,"")</f>
        <v/>
      </c>
    </row>
    <row r="807">
      <c r="A807" s="10">
        <f>IF(789&gt;$E$5,"",SMALL($O$19:$O$4018,$E$6+789))</f>
        <v/>
      </c>
      <c r="B807" s="29">
        <f>IF(A807="","",INDEX('자료_미국심리'!$B$3:$B$4002,MATCH(A807,$O$19:$O$4018,0)))</f>
        <v/>
      </c>
      <c r="C807" s="22">
        <f>IF(A807="","",B807/AVERAGE(B683:B807)-1)</f>
        <v/>
      </c>
      <c r="D807" s="29">
        <f>IF(A807="","",IFERROR(INDEX('자료_미국심리'!$E$3:$E$4002,MATCH(A807,$P$19:$P$4018,0)),D806))</f>
        <v/>
      </c>
      <c r="E807" s="29">
        <f>IF(A807="","",IFERROR(INDEX('자료_미국심리'!$H$3:$H$4002,MATCH(A807,$Q$19:$Q$4018,0)),E806))</f>
        <v/>
      </c>
      <c r="F807">
        <f>IF(A807="",0,IF(A807&gt;$B$5,1,0))</f>
        <v/>
      </c>
      <c r="G807" s="29">
        <f>IF(AND(F807=1,ISNUMBER(D807)),D807,"")</f>
        <v/>
      </c>
      <c r="H807" s="29">
        <f>IF(AND(F807=1,ISNUMBER(E807)),E807,"")</f>
        <v/>
      </c>
      <c r="I807" s="22">
        <f>IF(AND(F807=1,ISNUMBER(C807)),C807,"")</f>
        <v/>
      </c>
      <c r="J807" s="11">
        <f>IF(G807="","",100-IF($G$13=1,50,(_xlfn.RANK.AVG(G807,$G$19:$G$1518,1)-1)/($G$13-1)*100))</f>
        <v/>
      </c>
      <c r="K807" s="11">
        <f>IF(H807="","",100-IF($G$14=1,50,(_xlfn.RANK.AVG(H807,$H$19:$H$1518,1)-1)/($G$14-1)*100))</f>
        <v/>
      </c>
      <c r="L807" s="11">
        <f>IF(I807="","",IF($G$15=1,50,(_xlfn.RANK.AVG(I807,$I$19:$I$1518,1)-1)/($G$15-1)*100))</f>
        <v/>
      </c>
      <c r="M807" s="11">
        <f>IF(COUNT(J807:L807)=3,ROUND(AVERAGE(J807:L807),6),"")</f>
        <v/>
      </c>
      <c r="O807">
        <f>IF(AND(ISNUMBER('자료_미국심리'!$A791),ISNUMBER('자료_미국심리'!$B791)),'자료_미국심리'!$A791,"")</f>
        <v/>
      </c>
      <c r="P807">
        <f>IF(AND(ISNUMBER('자료_미국심리'!$D791),ISNUMBER('자료_미국심리'!$E791)),'자료_미국심리'!$D791,"")</f>
        <v/>
      </c>
      <c r="Q807">
        <f>IF(AND(ISNUMBER('자료_미국심리'!$G791),ISNUMBER('자료_미국심리'!$H791)),'자료_미국심리'!$G791,"")</f>
        <v/>
      </c>
    </row>
    <row r="808">
      <c r="A808" s="10">
        <f>IF(790&gt;$E$5,"",SMALL($O$19:$O$4018,$E$6+790))</f>
        <v/>
      </c>
      <c r="B808" s="29">
        <f>IF(A808="","",INDEX('자료_미국심리'!$B$3:$B$4002,MATCH(A808,$O$19:$O$4018,0)))</f>
        <v/>
      </c>
      <c r="C808" s="22">
        <f>IF(A808="","",B808/AVERAGE(B684:B808)-1)</f>
        <v/>
      </c>
      <c r="D808" s="29">
        <f>IF(A808="","",IFERROR(INDEX('자료_미국심리'!$E$3:$E$4002,MATCH(A808,$P$19:$P$4018,0)),D807))</f>
        <v/>
      </c>
      <c r="E808" s="29">
        <f>IF(A808="","",IFERROR(INDEX('자료_미국심리'!$H$3:$H$4002,MATCH(A808,$Q$19:$Q$4018,0)),E807))</f>
        <v/>
      </c>
      <c r="F808">
        <f>IF(A808="",0,IF(A808&gt;$B$5,1,0))</f>
        <v/>
      </c>
      <c r="G808" s="29">
        <f>IF(AND(F808=1,ISNUMBER(D808)),D808,"")</f>
        <v/>
      </c>
      <c r="H808" s="29">
        <f>IF(AND(F808=1,ISNUMBER(E808)),E808,"")</f>
        <v/>
      </c>
      <c r="I808" s="22">
        <f>IF(AND(F808=1,ISNUMBER(C808)),C808,"")</f>
        <v/>
      </c>
      <c r="J808" s="11">
        <f>IF(G808="","",100-IF($G$13=1,50,(_xlfn.RANK.AVG(G808,$G$19:$G$1518,1)-1)/($G$13-1)*100))</f>
        <v/>
      </c>
      <c r="K808" s="11">
        <f>IF(H808="","",100-IF($G$14=1,50,(_xlfn.RANK.AVG(H808,$H$19:$H$1518,1)-1)/($G$14-1)*100))</f>
        <v/>
      </c>
      <c r="L808" s="11">
        <f>IF(I808="","",IF($G$15=1,50,(_xlfn.RANK.AVG(I808,$I$19:$I$1518,1)-1)/($G$15-1)*100))</f>
        <v/>
      </c>
      <c r="M808" s="11">
        <f>IF(COUNT(J808:L808)=3,ROUND(AVERAGE(J808:L808),6),"")</f>
        <v/>
      </c>
      <c r="O808">
        <f>IF(AND(ISNUMBER('자료_미국심리'!$A792),ISNUMBER('자료_미국심리'!$B792)),'자료_미국심리'!$A792,"")</f>
        <v/>
      </c>
      <c r="P808">
        <f>IF(AND(ISNUMBER('자료_미국심리'!$D792),ISNUMBER('자료_미국심리'!$E792)),'자료_미국심리'!$D792,"")</f>
        <v/>
      </c>
      <c r="Q808">
        <f>IF(AND(ISNUMBER('자료_미국심리'!$G792),ISNUMBER('자료_미국심리'!$H792)),'자료_미국심리'!$G792,"")</f>
        <v/>
      </c>
    </row>
    <row r="809">
      <c r="A809" s="10">
        <f>IF(791&gt;$E$5,"",SMALL($O$19:$O$4018,$E$6+791))</f>
        <v/>
      </c>
      <c r="B809" s="29">
        <f>IF(A809="","",INDEX('자료_미국심리'!$B$3:$B$4002,MATCH(A809,$O$19:$O$4018,0)))</f>
        <v/>
      </c>
      <c r="C809" s="22">
        <f>IF(A809="","",B809/AVERAGE(B685:B809)-1)</f>
        <v/>
      </c>
      <c r="D809" s="29">
        <f>IF(A809="","",IFERROR(INDEX('자료_미국심리'!$E$3:$E$4002,MATCH(A809,$P$19:$P$4018,0)),D808))</f>
        <v/>
      </c>
      <c r="E809" s="29">
        <f>IF(A809="","",IFERROR(INDEX('자료_미국심리'!$H$3:$H$4002,MATCH(A809,$Q$19:$Q$4018,0)),E808))</f>
        <v/>
      </c>
      <c r="F809">
        <f>IF(A809="",0,IF(A809&gt;$B$5,1,0))</f>
        <v/>
      </c>
      <c r="G809" s="29">
        <f>IF(AND(F809=1,ISNUMBER(D809)),D809,"")</f>
        <v/>
      </c>
      <c r="H809" s="29">
        <f>IF(AND(F809=1,ISNUMBER(E809)),E809,"")</f>
        <v/>
      </c>
      <c r="I809" s="22">
        <f>IF(AND(F809=1,ISNUMBER(C809)),C809,"")</f>
        <v/>
      </c>
      <c r="J809" s="11">
        <f>IF(G809="","",100-IF($G$13=1,50,(_xlfn.RANK.AVG(G809,$G$19:$G$1518,1)-1)/($G$13-1)*100))</f>
        <v/>
      </c>
      <c r="K809" s="11">
        <f>IF(H809="","",100-IF($G$14=1,50,(_xlfn.RANK.AVG(H809,$H$19:$H$1518,1)-1)/($G$14-1)*100))</f>
        <v/>
      </c>
      <c r="L809" s="11">
        <f>IF(I809="","",IF($G$15=1,50,(_xlfn.RANK.AVG(I809,$I$19:$I$1518,1)-1)/($G$15-1)*100))</f>
        <v/>
      </c>
      <c r="M809" s="11">
        <f>IF(COUNT(J809:L809)=3,ROUND(AVERAGE(J809:L809),6),"")</f>
        <v/>
      </c>
      <c r="O809">
        <f>IF(AND(ISNUMBER('자료_미국심리'!$A793),ISNUMBER('자료_미국심리'!$B793)),'자료_미국심리'!$A793,"")</f>
        <v/>
      </c>
      <c r="P809">
        <f>IF(AND(ISNUMBER('자료_미국심리'!$D793),ISNUMBER('자료_미국심리'!$E793)),'자료_미국심리'!$D793,"")</f>
        <v/>
      </c>
      <c r="Q809">
        <f>IF(AND(ISNUMBER('자료_미국심리'!$G793),ISNUMBER('자료_미국심리'!$H793)),'자료_미국심리'!$G793,"")</f>
        <v/>
      </c>
    </row>
    <row r="810">
      <c r="A810" s="10">
        <f>IF(792&gt;$E$5,"",SMALL($O$19:$O$4018,$E$6+792))</f>
        <v/>
      </c>
      <c r="B810" s="29">
        <f>IF(A810="","",INDEX('자료_미국심리'!$B$3:$B$4002,MATCH(A810,$O$19:$O$4018,0)))</f>
        <v/>
      </c>
      <c r="C810" s="22">
        <f>IF(A810="","",B810/AVERAGE(B686:B810)-1)</f>
        <v/>
      </c>
      <c r="D810" s="29">
        <f>IF(A810="","",IFERROR(INDEX('자료_미국심리'!$E$3:$E$4002,MATCH(A810,$P$19:$P$4018,0)),D809))</f>
        <v/>
      </c>
      <c r="E810" s="29">
        <f>IF(A810="","",IFERROR(INDEX('자료_미국심리'!$H$3:$H$4002,MATCH(A810,$Q$19:$Q$4018,0)),E809))</f>
        <v/>
      </c>
      <c r="F810">
        <f>IF(A810="",0,IF(A810&gt;$B$5,1,0))</f>
        <v/>
      </c>
      <c r="G810" s="29">
        <f>IF(AND(F810=1,ISNUMBER(D810)),D810,"")</f>
        <v/>
      </c>
      <c r="H810" s="29">
        <f>IF(AND(F810=1,ISNUMBER(E810)),E810,"")</f>
        <v/>
      </c>
      <c r="I810" s="22">
        <f>IF(AND(F810=1,ISNUMBER(C810)),C810,"")</f>
        <v/>
      </c>
      <c r="J810" s="11">
        <f>IF(G810="","",100-IF($G$13=1,50,(_xlfn.RANK.AVG(G810,$G$19:$G$1518,1)-1)/($G$13-1)*100))</f>
        <v/>
      </c>
      <c r="K810" s="11">
        <f>IF(H810="","",100-IF($G$14=1,50,(_xlfn.RANK.AVG(H810,$H$19:$H$1518,1)-1)/($G$14-1)*100))</f>
        <v/>
      </c>
      <c r="L810" s="11">
        <f>IF(I810="","",IF($G$15=1,50,(_xlfn.RANK.AVG(I810,$I$19:$I$1518,1)-1)/($G$15-1)*100))</f>
        <v/>
      </c>
      <c r="M810" s="11">
        <f>IF(COUNT(J810:L810)=3,ROUND(AVERAGE(J810:L810),6),"")</f>
        <v/>
      </c>
      <c r="O810">
        <f>IF(AND(ISNUMBER('자료_미국심리'!$A794),ISNUMBER('자료_미국심리'!$B794)),'자료_미국심리'!$A794,"")</f>
        <v/>
      </c>
      <c r="P810">
        <f>IF(AND(ISNUMBER('자료_미국심리'!$D794),ISNUMBER('자료_미국심리'!$E794)),'자료_미국심리'!$D794,"")</f>
        <v/>
      </c>
      <c r="Q810">
        <f>IF(AND(ISNUMBER('자료_미국심리'!$G794),ISNUMBER('자료_미국심리'!$H794)),'자료_미국심리'!$G794,"")</f>
        <v/>
      </c>
    </row>
    <row r="811">
      <c r="A811" s="10">
        <f>IF(793&gt;$E$5,"",SMALL($O$19:$O$4018,$E$6+793))</f>
        <v/>
      </c>
      <c r="B811" s="29">
        <f>IF(A811="","",INDEX('자료_미국심리'!$B$3:$B$4002,MATCH(A811,$O$19:$O$4018,0)))</f>
        <v/>
      </c>
      <c r="C811" s="22">
        <f>IF(A811="","",B811/AVERAGE(B687:B811)-1)</f>
        <v/>
      </c>
      <c r="D811" s="29">
        <f>IF(A811="","",IFERROR(INDEX('자료_미국심리'!$E$3:$E$4002,MATCH(A811,$P$19:$P$4018,0)),D810))</f>
        <v/>
      </c>
      <c r="E811" s="29">
        <f>IF(A811="","",IFERROR(INDEX('자료_미국심리'!$H$3:$H$4002,MATCH(A811,$Q$19:$Q$4018,0)),E810))</f>
        <v/>
      </c>
      <c r="F811">
        <f>IF(A811="",0,IF(A811&gt;$B$5,1,0))</f>
        <v/>
      </c>
      <c r="G811" s="29">
        <f>IF(AND(F811=1,ISNUMBER(D811)),D811,"")</f>
        <v/>
      </c>
      <c r="H811" s="29">
        <f>IF(AND(F811=1,ISNUMBER(E811)),E811,"")</f>
        <v/>
      </c>
      <c r="I811" s="22">
        <f>IF(AND(F811=1,ISNUMBER(C811)),C811,"")</f>
        <v/>
      </c>
      <c r="J811" s="11">
        <f>IF(G811="","",100-IF($G$13=1,50,(_xlfn.RANK.AVG(G811,$G$19:$G$1518,1)-1)/($G$13-1)*100))</f>
        <v/>
      </c>
      <c r="K811" s="11">
        <f>IF(H811="","",100-IF($G$14=1,50,(_xlfn.RANK.AVG(H811,$H$19:$H$1518,1)-1)/($G$14-1)*100))</f>
        <v/>
      </c>
      <c r="L811" s="11">
        <f>IF(I811="","",IF($G$15=1,50,(_xlfn.RANK.AVG(I811,$I$19:$I$1518,1)-1)/($G$15-1)*100))</f>
        <v/>
      </c>
      <c r="M811" s="11">
        <f>IF(COUNT(J811:L811)=3,ROUND(AVERAGE(J811:L811),6),"")</f>
        <v/>
      </c>
      <c r="O811">
        <f>IF(AND(ISNUMBER('자료_미국심리'!$A795),ISNUMBER('자료_미국심리'!$B795)),'자료_미국심리'!$A795,"")</f>
        <v/>
      </c>
      <c r="P811">
        <f>IF(AND(ISNUMBER('자료_미국심리'!$D795),ISNUMBER('자료_미국심리'!$E795)),'자료_미국심리'!$D795,"")</f>
        <v/>
      </c>
      <c r="Q811">
        <f>IF(AND(ISNUMBER('자료_미국심리'!$G795),ISNUMBER('자료_미국심리'!$H795)),'자료_미국심리'!$G795,"")</f>
        <v/>
      </c>
    </row>
    <row r="812">
      <c r="A812" s="10">
        <f>IF(794&gt;$E$5,"",SMALL($O$19:$O$4018,$E$6+794))</f>
        <v/>
      </c>
      <c r="B812" s="29">
        <f>IF(A812="","",INDEX('자료_미국심리'!$B$3:$B$4002,MATCH(A812,$O$19:$O$4018,0)))</f>
        <v/>
      </c>
      <c r="C812" s="22">
        <f>IF(A812="","",B812/AVERAGE(B688:B812)-1)</f>
        <v/>
      </c>
      <c r="D812" s="29">
        <f>IF(A812="","",IFERROR(INDEX('자료_미국심리'!$E$3:$E$4002,MATCH(A812,$P$19:$P$4018,0)),D811))</f>
        <v/>
      </c>
      <c r="E812" s="29">
        <f>IF(A812="","",IFERROR(INDEX('자료_미국심리'!$H$3:$H$4002,MATCH(A812,$Q$19:$Q$4018,0)),E811))</f>
        <v/>
      </c>
      <c r="F812">
        <f>IF(A812="",0,IF(A812&gt;$B$5,1,0))</f>
        <v/>
      </c>
      <c r="G812" s="29">
        <f>IF(AND(F812=1,ISNUMBER(D812)),D812,"")</f>
        <v/>
      </c>
      <c r="H812" s="29">
        <f>IF(AND(F812=1,ISNUMBER(E812)),E812,"")</f>
        <v/>
      </c>
      <c r="I812" s="22">
        <f>IF(AND(F812=1,ISNUMBER(C812)),C812,"")</f>
        <v/>
      </c>
      <c r="J812" s="11">
        <f>IF(G812="","",100-IF($G$13=1,50,(_xlfn.RANK.AVG(G812,$G$19:$G$1518,1)-1)/($G$13-1)*100))</f>
        <v/>
      </c>
      <c r="K812" s="11">
        <f>IF(H812="","",100-IF($G$14=1,50,(_xlfn.RANK.AVG(H812,$H$19:$H$1518,1)-1)/($G$14-1)*100))</f>
        <v/>
      </c>
      <c r="L812" s="11">
        <f>IF(I812="","",IF($G$15=1,50,(_xlfn.RANK.AVG(I812,$I$19:$I$1518,1)-1)/($G$15-1)*100))</f>
        <v/>
      </c>
      <c r="M812" s="11">
        <f>IF(COUNT(J812:L812)=3,ROUND(AVERAGE(J812:L812),6),"")</f>
        <v/>
      </c>
      <c r="O812">
        <f>IF(AND(ISNUMBER('자료_미국심리'!$A796),ISNUMBER('자료_미국심리'!$B796)),'자료_미국심리'!$A796,"")</f>
        <v/>
      </c>
      <c r="P812">
        <f>IF(AND(ISNUMBER('자료_미국심리'!$D796),ISNUMBER('자료_미국심리'!$E796)),'자료_미국심리'!$D796,"")</f>
        <v/>
      </c>
      <c r="Q812">
        <f>IF(AND(ISNUMBER('자료_미국심리'!$G796),ISNUMBER('자료_미국심리'!$H796)),'자료_미국심리'!$G796,"")</f>
        <v/>
      </c>
    </row>
    <row r="813">
      <c r="A813" s="10">
        <f>IF(795&gt;$E$5,"",SMALL($O$19:$O$4018,$E$6+795))</f>
        <v/>
      </c>
      <c r="B813" s="29">
        <f>IF(A813="","",INDEX('자료_미국심리'!$B$3:$B$4002,MATCH(A813,$O$19:$O$4018,0)))</f>
        <v/>
      </c>
      <c r="C813" s="22">
        <f>IF(A813="","",B813/AVERAGE(B689:B813)-1)</f>
        <v/>
      </c>
      <c r="D813" s="29">
        <f>IF(A813="","",IFERROR(INDEX('자료_미국심리'!$E$3:$E$4002,MATCH(A813,$P$19:$P$4018,0)),D812))</f>
        <v/>
      </c>
      <c r="E813" s="29">
        <f>IF(A813="","",IFERROR(INDEX('자료_미국심리'!$H$3:$H$4002,MATCH(A813,$Q$19:$Q$4018,0)),E812))</f>
        <v/>
      </c>
      <c r="F813">
        <f>IF(A813="",0,IF(A813&gt;$B$5,1,0))</f>
        <v/>
      </c>
      <c r="G813" s="29">
        <f>IF(AND(F813=1,ISNUMBER(D813)),D813,"")</f>
        <v/>
      </c>
      <c r="H813" s="29">
        <f>IF(AND(F813=1,ISNUMBER(E813)),E813,"")</f>
        <v/>
      </c>
      <c r="I813" s="22">
        <f>IF(AND(F813=1,ISNUMBER(C813)),C813,"")</f>
        <v/>
      </c>
      <c r="J813" s="11">
        <f>IF(G813="","",100-IF($G$13=1,50,(_xlfn.RANK.AVG(G813,$G$19:$G$1518,1)-1)/($G$13-1)*100))</f>
        <v/>
      </c>
      <c r="K813" s="11">
        <f>IF(H813="","",100-IF($G$14=1,50,(_xlfn.RANK.AVG(H813,$H$19:$H$1518,1)-1)/($G$14-1)*100))</f>
        <v/>
      </c>
      <c r="L813" s="11">
        <f>IF(I813="","",IF($G$15=1,50,(_xlfn.RANK.AVG(I813,$I$19:$I$1518,1)-1)/($G$15-1)*100))</f>
        <v/>
      </c>
      <c r="M813" s="11">
        <f>IF(COUNT(J813:L813)=3,ROUND(AVERAGE(J813:L813),6),"")</f>
        <v/>
      </c>
      <c r="O813">
        <f>IF(AND(ISNUMBER('자료_미국심리'!$A797),ISNUMBER('자료_미국심리'!$B797)),'자료_미국심리'!$A797,"")</f>
        <v/>
      </c>
      <c r="P813">
        <f>IF(AND(ISNUMBER('자료_미국심리'!$D797),ISNUMBER('자료_미국심리'!$E797)),'자료_미국심리'!$D797,"")</f>
        <v/>
      </c>
      <c r="Q813">
        <f>IF(AND(ISNUMBER('자료_미국심리'!$G797),ISNUMBER('자료_미국심리'!$H797)),'자료_미국심리'!$G797,"")</f>
        <v/>
      </c>
    </row>
    <row r="814">
      <c r="A814" s="10">
        <f>IF(796&gt;$E$5,"",SMALL($O$19:$O$4018,$E$6+796))</f>
        <v/>
      </c>
      <c r="B814" s="29">
        <f>IF(A814="","",INDEX('자료_미국심리'!$B$3:$B$4002,MATCH(A814,$O$19:$O$4018,0)))</f>
        <v/>
      </c>
      <c r="C814" s="22">
        <f>IF(A814="","",B814/AVERAGE(B690:B814)-1)</f>
        <v/>
      </c>
      <c r="D814" s="29">
        <f>IF(A814="","",IFERROR(INDEX('자료_미국심리'!$E$3:$E$4002,MATCH(A814,$P$19:$P$4018,0)),D813))</f>
        <v/>
      </c>
      <c r="E814" s="29">
        <f>IF(A814="","",IFERROR(INDEX('자료_미국심리'!$H$3:$H$4002,MATCH(A814,$Q$19:$Q$4018,0)),E813))</f>
        <v/>
      </c>
      <c r="F814">
        <f>IF(A814="",0,IF(A814&gt;$B$5,1,0))</f>
        <v/>
      </c>
      <c r="G814" s="29">
        <f>IF(AND(F814=1,ISNUMBER(D814)),D814,"")</f>
        <v/>
      </c>
      <c r="H814" s="29">
        <f>IF(AND(F814=1,ISNUMBER(E814)),E814,"")</f>
        <v/>
      </c>
      <c r="I814" s="22">
        <f>IF(AND(F814=1,ISNUMBER(C814)),C814,"")</f>
        <v/>
      </c>
      <c r="J814" s="11">
        <f>IF(G814="","",100-IF($G$13=1,50,(_xlfn.RANK.AVG(G814,$G$19:$G$1518,1)-1)/($G$13-1)*100))</f>
        <v/>
      </c>
      <c r="K814" s="11">
        <f>IF(H814="","",100-IF($G$14=1,50,(_xlfn.RANK.AVG(H814,$H$19:$H$1518,1)-1)/($G$14-1)*100))</f>
        <v/>
      </c>
      <c r="L814" s="11">
        <f>IF(I814="","",IF($G$15=1,50,(_xlfn.RANK.AVG(I814,$I$19:$I$1518,1)-1)/($G$15-1)*100))</f>
        <v/>
      </c>
      <c r="M814" s="11">
        <f>IF(COUNT(J814:L814)=3,ROUND(AVERAGE(J814:L814),6),"")</f>
        <v/>
      </c>
      <c r="O814">
        <f>IF(AND(ISNUMBER('자료_미국심리'!$A798),ISNUMBER('자료_미국심리'!$B798)),'자료_미국심리'!$A798,"")</f>
        <v/>
      </c>
      <c r="P814">
        <f>IF(AND(ISNUMBER('자료_미국심리'!$D798),ISNUMBER('자료_미국심리'!$E798)),'자료_미국심리'!$D798,"")</f>
        <v/>
      </c>
      <c r="Q814">
        <f>IF(AND(ISNUMBER('자료_미국심리'!$G798),ISNUMBER('자료_미국심리'!$H798)),'자료_미국심리'!$G798,"")</f>
        <v/>
      </c>
    </row>
    <row r="815">
      <c r="A815" s="10">
        <f>IF(797&gt;$E$5,"",SMALL($O$19:$O$4018,$E$6+797))</f>
        <v/>
      </c>
      <c r="B815" s="29">
        <f>IF(A815="","",INDEX('자료_미국심리'!$B$3:$B$4002,MATCH(A815,$O$19:$O$4018,0)))</f>
        <v/>
      </c>
      <c r="C815" s="22">
        <f>IF(A815="","",B815/AVERAGE(B691:B815)-1)</f>
        <v/>
      </c>
      <c r="D815" s="29">
        <f>IF(A815="","",IFERROR(INDEX('자료_미국심리'!$E$3:$E$4002,MATCH(A815,$P$19:$P$4018,0)),D814))</f>
        <v/>
      </c>
      <c r="E815" s="29">
        <f>IF(A815="","",IFERROR(INDEX('자료_미국심리'!$H$3:$H$4002,MATCH(A815,$Q$19:$Q$4018,0)),E814))</f>
        <v/>
      </c>
      <c r="F815">
        <f>IF(A815="",0,IF(A815&gt;$B$5,1,0))</f>
        <v/>
      </c>
      <c r="G815" s="29">
        <f>IF(AND(F815=1,ISNUMBER(D815)),D815,"")</f>
        <v/>
      </c>
      <c r="H815" s="29">
        <f>IF(AND(F815=1,ISNUMBER(E815)),E815,"")</f>
        <v/>
      </c>
      <c r="I815" s="22">
        <f>IF(AND(F815=1,ISNUMBER(C815)),C815,"")</f>
        <v/>
      </c>
      <c r="J815" s="11">
        <f>IF(G815="","",100-IF($G$13=1,50,(_xlfn.RANK.AVG(G815,$G$19:$G$1518,1)-1)/($G$13-1)*100))</f>
        <v/>
      </c>
      <c r="K815" s="11">
        <f>IF(H815="","",100-IF($G$14=1,50,(_xlfn.RANK.AVG(H815,$H$19:$H$1518,1)-1)/($G$14-1)*100))</f>
        <v/>
      </c>
      <c r="L815" s="11">
        <f>IF(I815="","",IF($G$15=1,50,(_xlfn.RANK.AVG(I815,$I$19:$I$1518,1)-1)/($G$15-1)*100))</f>
        <v/>
      </c>
      <c r="M815" s="11">
        <f>IF(COUNT(J815:L815)=3,ROUND(AVERAGE(J815:L815),6),"")</f>
        <v/>
      </c>
      <c r="O815">
        <f>IF(AND(ISNUMBER('자료_미국심리'!$A799),ISNUMBER('자료_미국심리'!$B799)),'자료_미국심리'!$A799,"")</f>
        <v/>
      </c>
      <c r="P815">
        <f>IF(AND(ISNUMBER('자료_미국심리'!$D799),ISNUMBER('자료_미국심리'!$E799)),'자료_미국심리'!$D799,"")</f>
        <v/>
      </c>
      <c r="Q815">
        <f>IF(AND(ISNUMBER('자료_미국심리'!$G799),ISNUMBER('자료_미국심리'!$H799)),'자료_미국심리'!$G799,"")</f>
        <v/>
      </c>
    </row>
    <row r="816">
      <c r="A816" s="10">
        <f>IF(798&gt;$E$5,"",SMALL($O$19:$O$4018,$E$6+798))</f>
        <v/>
      </c>
      <c r="B816" s="29">
        <f>IF(A816="","",INDEX('자료_미국심리'!$B$3:$B$4002,MATCH(A816,$O$19:$O$4018,0)))</f>
        <v/>
      </c>
      <c r="C816" s="22">
        <f>IF(A816="","",B816/AVERAGE(B692:B816)-1)</f>
        <v/>
      </c>
      <c r="D816" s="29">
        <f>IF(A816="","",IFERROR(INDEX('자료_미국심리'!$E$3:$E$4002,MATCH(A816,$P$19:$P$4018,0)),D815))</f>
        <v/>
      </c>
      <c r="E816" s="29">
        <f>IF(A816="","",IFERROR(INDEX('자료_미국심리'!$H$3:$H$4002,MATCH(A816,$Q$19:$Q$4018,0)),E815))</f>
        <v/>
      </c>
      <c r="F816">
        <f>IF(A816="",0,IF(A816&gt;$B$5,1,0))</f>
        <v/>
      </c>
      <c r="G816" s="29">
        <f>IF(AND(F816=1,ISNUMBER(D816)),D816,"")</f>
        <v/>
      </c>
      <c r="H816" s="29">
        <f>IF(AND(F816=1,ISNUMBER(E816)),E816,"")</f>
        <v/>
      </c>
      <c r="I816" s="22">
        <f>IF(AND(F816=1,ISNUMBER(C816)),C816,"")</f>
        <v/>
      </c>
      <c r="J816" s="11">
        <f>IF(G816="","",100-IF($G$13=1,50,(_xlfn.RANK.AVG(G816,$G$19:$G$1518,1)-1)/($G$13-1)*100))</f>
        <v/>
      </c>
      <c r="K816" s="11">
        <f>IF(H816="","",100-IF($G$14=1,50,(_xlfn.RANK.AVG(H816,$H$19:$H$1518,1)-1)/($G$14-1)*100))</f>
        <v/>
      </c>
      <c r="L816" s="11">
        <f>IF(I816="","",IF($G$15=1,50,(_xlfn.RANK.AVG(I816,$I$19:$I$1518,1)-1)/($G$15-1)*100))</f>
        <v/>
      </c>
      <c r="M816" s="11">
        <f>IF(COUNT(J816:L816)=3,ROUND(AVERAGE(J816:L816),6),"")</f>
        <v/>
      </c>
      <c r="O816">
        <f>IF(AND(ISNUMBER('자료_미국심리'!$A800),ISNUMBER('자료_미국심리'!$B800)),'자료_미국심리'!$A800,"")</f>
        <v/>
      </c>
      <c r="P816">
        <f>IF(AND(ISNUMBER('자료_미국심리'!$D800),ISNUMBER('자료_미국심리'!$E800)),'자료_미국심리'!$D800,"")</f>
        <v/>
      </c>
      <c r="Q816">
        <f>IF(AND(ISNUMBER('자료_미국심리'!$G800),ISNUMBER('자료_미국심리'!$H800)),'자료_미국심리'!$G800,"")</f>
        <v/>
      </c>
    </row>
    <row r="817">
      <c r="A817" s="10">
        <f>IF(799&gt;$E$5,"",SMALL($O$19:$O$4018,$E$6+799))</f>
        <v/>
      </c>
      <c r="B817" s="29">
        <f>IF(A817="","",INDEX('자료_미국심리'!$B$3:$B$4002,MATCH(A817,$O$19:$O$4018,0)))</f>
        <v/>
      </c>
      <c r="C817" s="22">
        <f>IF(A817="","",B817/AVERAGE(B693:B817)-1)</f>
        <v/>
      </c>
      <c r="D817" s="29">
        <f>IF(A817="","",IFERROR(INDEX('자료_미국심리'!$E$3:$E$4002,MATCH(A817,$P$19:$P$4018,0)),D816))</f>
        <v/>
      </c>
      <c r="E817" s="29">
        <f>IF(A817="","",IFERROR(INDEX('자료_미국심리'!$H$3:$H$4002,MATCH(A817,$Q$19:$Q$4018,0)),E816))</f>
        <v/>
      </c>
      <c r="F817">
        <f>IF(A817="",0,IF(A817&gt;$B$5,1,0))</f>
        <v/>
      </c>
      <c r="G817" s="29">
        <f>IF(AND(F817=1,ISNUMBER(D817)),D817,"")</f>
        <v/>
      </c>
      <c r="H817" s="29">
        <f>IF(AND(F817=1,ISNUMBER(E817)),E817,"")</f>
        <v/>
      </c>
      <c r="I817" s="22">
        <f>IF(AND(F817=1,ISNUMBER(C817)),C817,"")</f>
        <v/>
      </c>
      <c r="J817" s="11">
        <f>IF(G817="","",100-IF($G$13=1,50,(_xlfn.RANK.AVG(G817,$G$19:$G$1518,1)-1)/($G$13-1)*100))</f>
        <v/>
      </c>
      <c r="K817" s="11">
        <f>IF(H817="","",100-IF($G$14=1,50,(_xlfn.RANK.AVG(H817,$H$19:$H$1518,1)-1)/($G$14-1)*100))</f>
        <v/>
      </c>
      <c r="L817" s="11">
        <f>IF(I817="","",IF($G$15=1,50,(_xlfn.RANK.AVG(I817,$I$19:$I$1518,1)-1)/($G$15-1)*100))</f>
        <v/>
      </c>
      <c r="M817" s="11">
        <f>IF(COUNT(J817:L817)=3,ROUND(AVERAGE(J817:L817),6),"")</f>
        <v/>
      </c>
      <c r="O817">
        <f>IF(AND(ISNUMBER('자료_미국심리'!$A801),ISNUMBER('자료_미국심리'!$B801)),'자료_미국심리'!$A801,"")</f>
        <v/>
      </c>
      <c r="P817">
        <f>IF(AND(ISNUMBER('자료_미국심리'!$D801),ISNUMBER('자료_미국심리'!$E801)),'자료_미국심리'!$D801,"")</f>
        <v/>
      </c>
      <c r="Q817">
        <f>IF(AND(ISNUMBER('자료_미국심리'!$G801),ISNUMBER('자료_미국심리'!$H801)),'자료_미국심리'!$G801,"")</f>
        <v/>
      </c>
    </row>
    <row r="818">
      <c r="A818" s="10">
        <f>IF(800&gt;$E$5,"",SMALL($O$19:$O$4018,$E$6+800))</f>
        <v/>
      </c>
      <c r="B818" s="29">
        <f>IF(A818="","",INDEX('자료_미국심리'!$B$3:$B$4002,MATCH(A818,$O$19:$O$4018,0)))</f>
        <v/>
      </c>
      <c r="C818" s="22">
        <f>IF(A818="","",B818/AVERAGE(B694:B818)-1)</f>
        <v/>
      </c>
      <c r="D818" s="29">
        <f>IF(A818="","",IFERROR(INDEX('자료_미국심리'!$E$3:$E$4002,MATCH(A818,$P$19:$P$4018,0)),D817))</f>
        <v/>
      </c>
      <c r="E818" s="29">
        <f>IF(A818="","",IFERROR(INDEX('자료_미국심리'!$H$3:$H$4002,MATCH(A818,$Q$19:$Q$4018,0)),E817))</f>
        <v/>
      </c>
      <c r="F818">
        <f>IF(A818="",0,IF(A818&gt;$B$5,1,0))</f>
        <v/>
      </c>
      <c r="G818" s="29">
        <f>IF(AND(F818=1,ISNUMBER(D818)),D818,"")</f>
        <v/>
      </c>
      <c r="H818" s="29">
        <f>IF(AND(F818=1,ISNUMBER(E818)),E818,"")</f>
        <v/>
      </c>
      <c r="I818" s="22">
        <f>IF(AND(F818=1,ISNUMBER(C818)),C818,"")</f>
        <v/>
      </c>
      <c r="J818" s="11">
        <f>IF(G818="","",100-IF($G$13=1,50,(_xlfn.RANK.AVG(G818,$G$19:$G$1518,1)-1)/($G$13-1)*100))</f>
        <v/>
      </c>
      <c r="K818" s="11">
        <f>IF(H818="","",100-IF($G$14=1,50,(_xlfn.RANK.AVG(H818,$H$19:$H$1518,1)-1)/($G$14-1)*100))</f>
        <v/>
      </c>
      <c r="L818" s="11">
        <f>IF(I818="","",IF($G$15=1,50,(_xlfn.RANK.AVG(I818,$I$19:$I$1518,1)-1)/($G$15-1)*100))</f>
        <v/>
      </c>
      <c r="M818" s="11">
        <f>IF(COUNT(J818:L818)=3,ROUND(AVERAGE(J818:L818),6),"")</f>
        <v/>
      </c>
      <c r="O818">
        <f>IF(AND(ISNUMBER('자료_미국심리'!$A802),ISNUMBER('자료_미국심리'!$B802)),'자료_미국심리'!$A802,"")</f>
        <v/>
      </c>
      <c r="P818">
        <f>IF(AND(ISNUMBER('자료_미국심리'!$D802),ISNUMBER('자료_미국심리'!$E802)),'자료_미국심리'!$D802,"")</f>
        <v/>
      </c>
      <c r="Q818">
        <f>IF(AND(ISNUMBER('자료_미국심리'!$G802),ISNUMBER('자료_미국심리'!$H802)),'자료_미국심리'!$G802,"")</f>
        <v/>
      </c>
    </row>
    <row r="819">
      <c r="A819" s="10">
        <f>IF(801&gt;$E$5,"",SMALL($O$19:$O$4018,$E$6+801))</f>
        <v/>
      </c>
      <c r="B819" s="29">
        <f>IF(A819="","",INDEX('자료_미국심리'!$B$3:$B$4002,MATCH(A819,$O$19:$O$4018,0)))</f>
        <v/>
      </c>
      <c r="C819" s="22">
        <f>IF(A819="","",B819/AVERAGE(B695:B819)-1)</f>
        <v/>
      </c>
      <c r="D819" s="29">
        <f>IF(A819="","",IFERROR(INDEX('자료_미국심리'!$E$3:$E$4002,MATCH(A819,$P$19:$P$4018,0)),D818))</f>
        <v/>
      </c>
      <c r="E819" s="29">
        <f>IF(A819="","",IFERROR(INDEX('자료_미국심리'!$H$3:$H$4002,MATCH(A819,$Q$19:$Q$4018,0)),E818))</f>
        <v/>
      </c>
      <c r="F819">
        <f>IF(A819="",0,IF(A819&gt;$B$5,1,0))</f>
        <v/>
      </c>
      <c r="G819" s="29">
        <f>IF(AND(F819=1,ISNUMBER(D819)),D819,"")</f>
        <v/>
      </c>
      <c r="H819" s="29">
        <f>IF(AND(F819=1,ISNUMBER(E819)),E819,"")</f>
        <v/>
      </c>
      <c r="I819" s="22">
        <f>IF(AND(F819=1,ISNUMBER(C819)),C819,"")</f>
        <v/>
      </c>
      <c r="J819" s="11">
        <f>IF(G819="","",100-IF($G$13=1,50,(_xlfn.RANK.AVG(G819,$G$19:$G$1518,1)-1)/($G$13-1)*100))</f>
        <v/>
      </c>
      <c r="K819" s="11">
        <f>IF(H819="","",100-IF($G$14=1,50,(_xlfn.RANK.AVG(H819,$H$19:$H$1518,1)-1)/($G$14-1)*100))</f>
        <v/>
      </c>
      <c r="L819" s="11">
        <f>IF(I819="","",IF($G$15=1,50,(_xlfn.RANK.AVG(I819,$I$19:$I$1518,1)-1)/($G$15-1)*100))</f>
        <v/>
      </c>
      <c r="M819" s="11">
        <f>IF(COUNT(J819:L819)=3,ROUND(AVERAGE(J819:L819),6),"")</f>
        <v/>
      </c>
      <c r="O819">
        <f>IF(AND(ISNUMBER('자료_미국심리'!$A803),ISNUMBER('자료_미국심리'!$B803)),'자료_미국심리'!$A803,"")</f>
        <v/>
      </c>
      <c r="P819">
        <f>IF(AND(ISNUMBER('자료_미국심리'!$D803),ISNUMBER('자료_미국심리'!$E803)),'자료_미국심리'!$D803,"")</f>
        <v/>
      </c>
      <c r="Q819">
        <f>IF(AND(ISNUMBER('자료_미국심리'!$G803),ISNUMBER('자료_미국심리'!$H803)),'자료_미국심리'!$G803,"")</f>
        <v/>
      </c>
    </row>
    <row r="820">
      <c r="A820" s="10">
        <f>IF(802&gt;$E$5,"",SMALL($O$19:$O$4018,$E$6+802))</f>
        <v/>
      </c>
      <c r="B820" s="29">
        <f>IF(A820="","",INDEX('자료_미국심리'!$B$3:$B$4002,MATCH(A820,$O$19:$O$4018,0)))</f>
        <v/>
      </c>
      <c r="C820" s="22">
        <f>IF(A820="","",B820/AVERAGE(B696:B820)-1)</f>
        <v/>
      </c>
      <c r="D820" s="29">
        <f>IF(A820="","",IFERROR(INDEX('자료_미국심리'!$E$3:$E$4002,MATCH(A820,$P$19:$P$4018,0)),D819))</f>
        <v/>
      </c>
      <c r="E820" s="29">
        <f>IF(A820="","",IFERROR(INDEX('자료_미국심리'!$H$3:$H$4002,MATCH(A820,$Q$19:$Q$4018,0)),E819))</f>
        <v/>
      </c>
      <c r="F820">
        <f>IF(A820="",0,IF(A820&gt;$B$5,1,0))</f>
        <v/>
      </c>
      <c r="G820" s="29">
        <f>IF(AND(F820=1,ISNUMBER(D820)),D820,"")</f>
        <v/>
      </c>
      <c r="H820" s="29">
        <f>IF(AND(F820=1,ISNUMBER(E820)),E820,"")</f>
        <v/>
      </c>
      <c r="I820" s="22">
        <f>IF(AND(F820=1,ISNUMBER(C820)),C820,"")</f>
        <v/>
      </c>
      <c r="J820" s="11">
        <f>IF(G820="","",100-IF($G$13=1,50,(_xlfn.RANK.AVG(G820,$G$19:$G$1518,1)-1)/($G$13-1)*100))</f>
        <v/>
      </c>
      <c r="K820" s="11">
        <f>IF(H820="","",100-IF($G$14=1,50,(_xlfn.RANK.AVG(H820,$H$19:$H$1518,1)-1)/($G$14-1)*100))</f>
        <v/>
      </c>
      <c r="L820" s="11">
        <f>IF(I820="","",IF($G$15=1,50,(_xlfn.RANK.AVG(I820,$I$19:$I$1518,1)-1)/($G$15-1)*100))</f>
        <v/>
      </c>
      <c r="M820" s="11">
        <f>IF(COUNT(J820:L820)=3,ROUND(AVERAGE(J820:L820),6),"")</f>
        <v/>
      </c>
      <c r="O820">
        <f>IF(AND(ISNUMBER('자료_미국심리'!$A804),ISNUMBER('자료_미국심리'!$B804)),'자료_미국심리'!$A804,"")</f>
        <v/>
      </c>
      <c r="P820">
        <f>IF(AND(ISNUMBER('자료_미국심리'!$D804),ISNUMBER('자료_미국심리'!$E804)),'자료_미국심리'!$D804,"")</f>
        <v/>
      </c>
      <c r="Q820">
        <f>IF(AND(ISNUMBER('자료_미국심리'!$G804),ISNUMBER('자료_미국심리'!$H804)),'자료_미국심리'!$G804,"")</f>
        <v/>
      </c>
    </row>
    <row r="821">
      <c r="A821" s="10">
        <f>IF(803&gt;$E$5,"",SMALL($O$19:$O$4018,$E$6+803))</f>
        <v/>
      </c>
      <c r="B821" s="29">
        <f>IF(A821="","",INDEX('자료_미국심리'!$B$3:$B$4002,MATCH(A821,$O$19:$O$4018,0)))</f>
        <v/>
      </c>
      <c r="C821" s="22">
        <f>IF(A821="","",B821/AVERAGE(B697:B821)-1)</f>
        <v/>
      </c>
      <c r="D821" s="29">
        <f>IF(A821="","",IFERROR(INDEX('자료_미국심리'!$E$3:$E$4002,MATCH(A821,$P$19:$P$4018,0)),D820))</f>
        <v/>
      </c>
      <c r="E821" s="29">
        <f>IF(A821="","",IFERROR(INDEX('자료_미국심리'!$H$3:$H$4002,MATCH(A821,$Q$19:$Q$4018,0)),E820))</f>
        <v/>
      </c>
      <c r="F821">
        <f>IF(A821="",0,IF(A821&gt;$B$5,1,0))</f>
        <v/>
      </c>
      <c r="G821" s="29">
        <f>IF(AND(F821=1,ISNUMBER(D821)),D821,"")</f>
        <v/>
      </c>
      <c r="H821" s="29">
        <f>IF(AND(F821=1,ISNUMBER(E821)),E821,"")</f>
        <v/>
      </c>
      <c r="I821" s="22">
        <f>IF(AND(F821=1,ISNUMBER(C821)),C821,"")</f>
        <v/>
      </c>
      <c r="J821" s="11">
        <f>IF(G821="","",100-IF($G$13=1,50,(_xlfn.RANK.AVG(G821,$G$19:$G$1518,1)-1)/($G$13-1)*100))</f>
        <v/>
      </c>
      <c r="K821" s="11">
        <f>IF(H821="","",100-IF($G$14=1,50,(_xlfn.RANK.AVG(H821,$H$19:$H$1518,1)-1)/($G$14-1)*100))</f>
        <v/>
      </c>
      <c r="L821" s="11">
        <f>IF(I821="","",IF($G$15=1,50,(_xlfn.RANK.AVG(I821,$I$19:$I$1518,1)-1)/($G$15-1)*100))</f>
        <v/>
      </c>
      <c r="M821" s="11">
        <f>IF(COUNT(J821:L821)=3,ROUND(AVERAGE(J821:L821),6),"")</f>
        <v/>
      </c>
      <c r="O821">
        <f>IF(AND(ISNUMBER('자료_미국심리'!$A805),ISNUMBER('자료_미국심리'!$B805)),'자료_미국심리'!$A805,"")</f>
        <v/>
      </c>
      <c r="P821">
        <f>IF(AND(ISNUMBER('자료_미국심리'!$D805),ISNUMBER('자료_미국심리'!$E805)),'자료_미국심리'!$D805,"")</f>
        <v/>
      </c>
      <c r="Q821">
        <f>IF(AND(ISNUMBER('자료_미국심리'!$G805),ISNUMBER('자료_미국심리'!$H805)),'자료_미국심리'!$G805,"")</f>
        <v/>
      </c>
    </row>
    <row r="822">
      <c r="A822" s="10">
        <f>IF(804&gt;$E$5,"",SMALL($O$19:$O$4018,$E$6+804))</f>
        <v/>
      </c>
      <c r="B822" s="29">
        <f>IF(A822="","",INDEX('자료_미국심리'!$B$3:$B$4002,MATCH(A822,$O$19:$O$4018,0)))</f>
        <v/>
      </c>
      <c r="C822" s="22">
        <f>IF(A822="","",B822/AVERAGE(B698:B822)-1)</f>
        <v/>
      </c>
      <c r="D822" s="29">
        <f>IF(A822="","",IFERROR(INDEX('자료_미국심리'!$E$3:$E$4002,MATCH(A822,$P$19:$P$4018,0)),D821))</f>
        <v/>
      </c>
      <c r="E822" s="29">
        <f>IF(A822="","",IFERROR(INDEX('자료_미국심리'!$H$3:$H$4002,MATCH(A822,$Q$19:$Q$4018,0)),E821))</f>
        <v/>
      </c>
      <c r="F822">
        <f>IF(A822="",0,IF(A822&gt;$B$5,1,0))</f>
        <v/>
      </c>
      <c r="G822" s="29">
        <f>IF(AND(F822=1,ISNUMBER(D822)),D822,"")</f>
        <v/>
      </c>
      <c r="H822" s="29">
        <f>IF(AND(F822=1,ISNUMBER(E822)),E822,"")</f>
        <v/>
      </c>
      <c r="I822" s="22">
        <f>IF(AND(F822=1,ISNUMBER(C822)),C822,"")</f>
        <v/>
      </c>
      <c r="J822" s="11">
        <f>IF(G822="","",100-IF($G$13=1,50,(_xlfn.RANK.AVG(G822,$G$19:$G$1518,1)-1)/($G$13-1)*100))</f>
        <v/>
      </c>
      <c r="K822" s="11">
        <f>IF(H822="","",100-IF($G$14=1,50,(_xlfn.RANK.AVG(H822,$H$19:$H$1518,1)-1)/($G$14-1)*100))</f>
        <v/>
      </c>
      <c r="L822" s="11">
        <f>IF(I822="","",IF($G$15=1,50,(_xlfn.RANK.AVG(I822,$I$19:$I$1518,1)-1)/($G$15-1)*100))</f>
        <v/>
      </c>
      <c r="M822" s="11">
        <f>IF(COUNT(J822:L822)=3,ROUND(AVERAGE(J822:L822),6),"")</f>
        <v/>
      </c>
      <c r="O822">
        <f>IF(AND(ISNUMBER('자료_미국심리'!$A806),ISNUMBER('자료_미국심리'!$B806)),'자료_미국심리'!$A806,"")</f>
        <v/>
      </c>
      <c r="P822">
        <f>IF(AND(ISNUMBER('자료_미국심리'!$D806),ISNUMBER('자료_미국심리'!$E806)),'자료_미국심리'!$D806,"")</f>
        <v/>
      </c>
      <c r="Q822">
        <f>IF(AND(ISNUMBER('자료_미국심리'!$G806),ISNUMBER('자료_미국심리'!$H806)),'자료_미국심리'!$G806,"")</f>
        <v/>
      </c>
    </row>
    <row r="823">
      <c r="A823" s="10">
        <f>IF(805&gt;$E$5,"",SMALL($O$19:$O$4018,$E$6+805))</f>
        <v/>
      </c>
      <c r="B823" s="29">
        <f>IF(A823="","",INDEX('자료_미국심리'!$B$3:$B$4002,MATCH(A823,$O$19:$O$4018,0)))</f>
        <v/>
      </c>
      <c r="C823" s="22">
        <f>IF(A823="","",B823/AVERAGE(B699:B823)-1)</f>
        <v/>
      </c>
      <c r="D823" s="29">
        <f>IF(A823="","",IFERROR(INDEX('자료_미국심리'!$E$3:$E$4002,MATCH(A823,$P$19:$P$4018,0)),D822))</f>
        <v/>
      </c>
      <c r="E823" s="29">
        <f>IF(A823="","",IFERROR(INDEX('자료_미국심리'!$H$3:$H$4002,MATCH(A823,$Q$19:$Q$4018,0)),E822))</f>
        <v/>
      </c>
      <c r="F823">
        <f>IF(A823="",0,IF(A823&gt;$B$5,1,0))</f>
        <v/>
      </c>
      <c r="G823" s="29">
        <f>IF(AND(F823=1,ISNUMBER(D823)),D823,"")</f>
        <v/>
      </c>
      <c r="H823" s="29">
        <f>IF(AND(F823=1,ISNUMBER(E823)),E823,"")</f>
        <v/>
      </c>
      <c r="I823" s="22">
        <f>IF(AND(F823=1,ISNUMBER(C823)),C823,"")</f>
        <v/>
      </c>
      <c r="J823" s="11">
        <f>IF(G823="","",100-IF($G$13=1,50,(_xlfn.RANK.AVG(G823,$G$19:$G$1518,1)-1)/($G$13-1)*100))</f>
        <v/>
      </c>
      <c r="K823" s="11">
        <f>IF(H823="","",100-IF($G$14=1,50,(_xlfn.RANK.AVG(H823,$H$19:$H$1518,1)-1)/($G$14-1)*100))</f>
        <v/>
      </c>
      <c r="L823" s="11">
        <f>IF(I823="","",IF($G$15=1,50,(_xlfn.RANK.AVG(I823,$I$19:$I$1518,1)-1)/($G$15-1)*100))</f>
        <v/>
      </c>
      <c r="M823" s="11">
        <f>IF(COUNT(J823:L823)=3,ROUND(AVERAGE(J823:L823),6),"")</f>
        <v/>
      </c>
      <c r="O823">
        <f>IF(AND(ISNUMBER('자료_미국심리'!$A807),ISNUMBER('자료_미국심리'!$B807)),'자료_미국심리'!$A807,"")</f>
        <v/>
      </c>
      <c r="P823">
        <f>IF(AND(ISNUMBER('자료_미국심리'!$D807),ISNUMBER('자료_미국심리'!$E807)),'자료_미국심리'!$D807,"")</f>
        <v/>
      </c>
      <c r="Q823">
        <f>IF(AND(ISNUMBER('자료_미국심리'!$G807),ISNUMBER('자료_미국심리'!$H807)),'자료_미국심리'!$G807,"")</f>
        <v/>
      </c>
    </row>
    <row r="824">
      <c r="A824" s="10">
        <f>IF(806&gt;$E$5,"",SMALL($O$19:$O$4018,$E$6+806))</f>
        <v/>
      </c>
      <c r="B824" s="29">
        <f>IF(A824="","",INDEX('자료_미국심리'!$B$3:$B$4002,MATCH(A824,$O$19:$O$4018,0)))</f>
        <v/>
      </c>
      <c r="C824" s="22">
        <f>IF(A824="","",B824/AVERAGE(B700:B824)-1)</f>
        <v/>
      </c>
      <c r="D824" s="29">
        <f>IF(A824="","",IFERROR(INDEX('자료_미국심리'!$E$3:$E$4002,MATCH(A824,$P$19:$P$4018,0)),D823))</f>
        <v/>
      </c>
      <c r="E824" s="29">
        <f>IF(A824="","",IFERROR(INDEX('자료_미국심리'!$H$3:$H$4002,MATCH(A824,$Q$19:$Q$4018,0)),E823))</f>
        <v/>
      </c>
      <c r="F824">
        <f>IF(A824="",0,IF(A824&gt;$B$5,1,0))</f>
        <v/>
      </c>
      <c r="G824" s="29">
        <f>IF(AND(F824=1,ISNUMBER(D824)),D824,"")</f>
        <v/>
      </c>
      <c r="H824" s="29">
        <f>IF(AND(F824=1,ISNUMBER(E824)),E824,"")</f>
        <v/>
      </c>
      <c r="I824" s="22">
        <f>IF(AND(F824=1,ISNUMBER(C824)),C824,"")</f>
        <v/>
      </c>
      <c r="J824" s="11">
        <f>IF(G824="","",100-IF($G$13=1,50,(_xlfn.RANK.AVG(G824,$G$19:$G$1518,1)-1)/($G$13-1)*100))</f>
        <v/>
      </c>
      <c r="K824" s="11">
        <f>IF(H824="","",100-IF($G$14=1,50,(_xlfn.RANK.AVG(H824,$H$19:$H$1518,1)-1)/($G$14-1)*100))</f>
        <v/>
      </c>
      <c r="L824" s="11">
        <f>IF(I824="","",IF($G$15=1,50,(_xlfn.RANK.AVG(I824,$I$19:$I$1518,1)-1)/($G$15-1)*100))</f>
        <v/>
      </c>
      <c r="M824" s="11">
        <f>IF(COUNT(J824:L824)=3,ROUND(AVERAGE(J824:L824),6),"")</f>
        <v/>
      </c>
      <c r="O824">
        <f>IF(AND(ISNUMBER('자료_미국심리'!$A808),ISNUMBER('자료_미국심리'!$B808)),'자료_미국심리'!$A808,"")</f>
        <v/>
      </c>
      <c r="P824">
        <f>IF(AND(ISNUMBER('자료_미국심리'!$D808),ISNUMBER('자료_미국심리'!$E808)),'자료_미국심리'!$D808,"")</f>
        <v/>
      </c>
      <c r="Q824">
        <f>IF(AND(ISNUMBER('자료_미국심리'!$G808),ISNUMBER('자료_미국심리'!$H808)),'자료_미국심리'!$G808,"")</f>
        <v/>
      </c>
    </row>
    <row r="825">
      <c r="A825" s="10">
        <f>IF(807&gt;$E$5,"",SMALL($O$19:$O$4018,$E$6+807))</f>
        <v/>
      </c>
      <c r="B825" s="29">
        <f>IF(A825="","",INDEX('자료_미국심리'!$B$3:$B$4002,MATCH(A825,$O$19:$O$4018,0)))</f>
        <v/>
      </c>
      <c r="C825" s="22">
        <f>IF(A825="","",B825/AVERAGE(B701:B825)-1)</f>
        <v/>
      </c>
      <c r="D825" s="29">
        <f>IF(A825="","",IFERROR(INDEX('자료_미국심리'!$E$3:$E$4002,MATCH(A825,$P$19:$P$4018,0)),D824))</f>
        <v/>
      </c>
      <c r="E825" s="29">
        <f>IF(A825="","",IFERROR(INDEX('자료_미국심리'!$H$3:$H$4002,MATCH(A825,$Q$19:$Q$4018,0)),E824))</f>
        <v/>
      </c>
      <c r="F825">
        <f>IF(A825="",0,IF(A825&gt;$B$5,1,0))</f>
        <v/>
      </c>
      <c r="G825" s="29">
        <f>IF(AND(F825=1,ISNUMBER(D825)),D825,"")</f>
        <v/>
      </c>
      <c r="H825" s="29">
        <f>IF(AND(F825=1,ISNUMBER(E825)),E825,"")</f>
        <v/>
      </c>
      <c r="I825" s="22">
        <f>IF(AND(F825=1,ISNUMBER(C825)),C825,"")</f>
        <v/>
      </c>
      <c r="J825" s="11">
        <f>IF(G825="","",100-IF($G$13=1,50,(_xlfn.RANK.AVG(G825,$G$19:$G$1518,1)-1)/($G$13-1)*100))</f>
        <v/>
      </c>
      <c r="K825" s="11">
        <f>IF(H825="","",100-IF($G$14=1,50,(_xlfn.RANK.AVG(H825,$H$19:$H$1518,1)-1)/($G$14-1)*100))</f>
        <v/>
      </c>
      <c r="L825" s="11">
        <f>IF(I825="","",IF($G$15=1,50,(_xlfn.RANK.AVG(I825,$I$19:$I$1518,1)-1)/($G$15-1)*100))</f>
        <v/>
      </c>
      <c r="M825" s="11">
        <f>IF(COUNT(J825:L825)=3,ROUND(AVERAGE(J825:L825),6),"")</f>
        <v/>
      </c>
      <c r="O825">
        <f>IF(AND(ISNUMBER('자료_미국심리'!$A809),ISNUMBER('자료_미국심리'!$B809)),'자료_미국심리'!$A809,"")</f>
        <v/>
      </c>
      <c r="P825">
        <f>IF(AND(ISNUMBER('자료_미국심리'!$D809),ISNUMBER('자료_미국심리'!$E809)),'자료_미국심리'!$D809,"")</f>
        <v/>
      </c>
      <c r="Q825">
        <f>IF(AND(ISNUMBER('자료_미국심리'!$G809),ISNUMBER('자료_미국심리'!$H809)),'자료_미국심리'!$G809,"")</f>
        <v/>
      </c>
    </row>
    <row r="826">
      <c r="A826" s="10">
        <f>IF(808&gt;$E$5,"",SMALL($O$19:$O$4018,$E$6+808))</f>
        <v/>
      </c>
      <c r="B826" s="29">
        <f>IF(A826="","",INDEX('자료_미국심리'!$B$3:$B$4002,MATCH(A826,$O$19:$O$4018,0)))</f>
        <v/>
      </c>
      <c r="C826" s="22">
        <f>IF(A826="","",B826/AVERAGE(B702:B826)-1)</f>
        <v/>
      </c>
      <c r="D826" s="29">
        <f>IF(A826="","",IFERROR(INDEX('자료_미국심리'!$E$3:$E$4002,MATCH(A826,$P$19:$P$4018,0)),D825))</f>
        <v/>
      </c>
      <c r="E826" s="29">
        <f>IF(A826="","",IFERROR(INDEX('자료_미국심리'!$H$3:$H$4002,MATCH(A826,$Q$19:$Q$4018,0)),E825))</f>
        <v/>
      </c>
      <c r="F826">
        <f>IF(A826="",0,IF(A826&gt;$B$5,1,0))</f>
        <v/>
      </c>
      <c r="G826" s="29">
        <f>IF(AND(F826=1,ISNUMBER(D826)),D826,"")</f>
        <v/>
      </c>
      <c r="H826" s="29">
        <f>IF(AND(F826=1,ISNUMBER(E826)),E826,"")</f>
        <v/>
      </c>
      <c r="I826" s="22">
        <f>IF(AND(F826=1,ISNUMBER(C826)),C826,"")</f>
        <v/>
      </c>
      <c r="J826" s="11">
        <f>IF(G826="","",100-IF($G$13=1,50,(_xlfn.RANK.AVG(G826,$G$19:$G$1518,1)-1)/($G$13-1)*100))</f>
        <v/>
      </c>
      <c r="K826" s="11">
        <f>IF(H826="","",100-IF($G$14=1,50,(_xlfn.RANK.AVG(H826,$H$19:$H$1518,1)-1)/($G$14-1)*100))</f>
        <v/>
      </c>
      <c r="L826" s="11">
        <f>IF(I826="","",IF($G$15=1,50,(_xlfn.RANK.AVG(I826,$I$19:$I$1518,1)-1)/($G$15-1)*100))</f>
        <v/>
      </c>
      <c r="M826" s="11">
        <f>IF(COUNT(J826:L826)=3,ROUND(AVERAGE(J826:L826),6),"")</f>
        <v/>
      </c>
      <c r="O826">
        <f>IF(AND(ISNUMBER('자료_미국심리'!$A810),ISNUMBER('자료_미국심리'!$B810)),'자료_미국심리'!$A810,"")</f>
        <v/>
      </c>
      <c r="P826">
        <f>IF(AND(ISNUMBER('자료_미국심리'!$D810),ISNUMBER('자료_미국심리'!$E810)),'자료_미국심리'!$D810,"")</f>
        <v/>
      </c>
      <c r="Q826">
        <f>IF(AND(ISNUMBER('자료_미국심리'!$G810),ISNUMBER('자료_미국심리'!$H810)),'자료_미국심리'!$G810,"")</f>
        <v/>
      </c>
    </row>
    <row r="827">
      <c r="A827" s="10">
        <f>IF(809&gt;$E$5,"",SMALL($O$19:$O$4018,$E$6+809))</f>
        <v/>
      </c>
      <c r="B827" s="29">
        <f>IF(A827="","",INDEX('자료_미국심리'!$B$3:$B$4002,MATCH(A827,$O$19:$O$4018,0)))</f>
        <v/>
      </c>
      <c r="C827" s="22">
        <f>IF(A827="","",B827/AVERAGE(B703:B827)-1)</f>
        <v/>
      </c>
      <c r="D827" s="29">
        <f>IF(A827="","",IFERROR(INDEX('자료_미국심리'!$E$3:$E$4002,MATCH(A827,$P$19:$P$4018,0)),D826))</f>
        <v/>
      </c>
      <c r="E827" s="29">
        <f>IF(A827="","",IFERROR(INDEX('자료_미국심리'!$H$3:$H$4002,MATCH(A827,$Q$19:$Q$4018,0)),E826))</f>
        <v/>
      </c>
      <c r="F827">
        <f>IF(A827="",0,IF(A827&gt;$B$5,1,0))</f>
        <v/>
      </c>
      <c r="G827" s="29">
        <f>IF(AND(F827=1,ISNUMBER(D827)),D827,"")</f>
        <v/>
      </c>
      <c r="H827" s="29">
        <f>IF(AND(F827=1,ISNUMBER(E827)),E827,"")</f>
        <v/>
      </c>
      <c r="I827" s="22">
        <f>IF(AND(F827=1,ISNUMBER(C827)),C827,"")</f>
        <v/>
      </c>
      <c r="J827" s="11">
        <f>IF(G827="","",100-IF($G$13=1,50,(_xlfn.RANK.AVG(G827,$G$19:$G$1518,1)-1)/($G$13-1)*100))</f>
        <v/>
      </c>
      <c r="K827" s="11">
        <f>IF(H827="","",100-IF($G$14=1,50,(_xlfn.RANK.AVG(H827,$H$19:$H$1518,1)-1)/($G$14-1)*100))</f>
        <v/>
      </c>
      <c r="L827" s="11">
        <f>IF(I827="","",IF($G$15=1,50,(_xlfn.RANK.AVG(I827,$I$19:$I$1518,1)-1)/($G$15-1)*100))</f>
        <v/>
      </c>
      <c r="M827" s="11">
        <f>IF(COUNT(J827:L827)=3,ROUND(AVERAGE(J827:L827),6),"")</f>
        <v/>
      </c>
      <c r="O827">
        <f>IF(AND(ISNUMBER('자료_미국심리'!$A811),ISNUMBER('자료_미국심리'!$B811)),'자료_미국심리'!$A811,"")</f>
        <v/>
      </c>
      <c r="P827">
        <f>IF(AND(ISNUMBER('자료_미국심리'!$D811),ISNUMBER('자료_미국심리'!$E811)),'자료_미국심리'!$D811,"")</f>
        <v/>
      </c>
      <c r="Q827">
        <f>IF(AND(ISNUMBER('자료_미국심리'!$G811),ISNUMBER('자료_미국심리'!$H811)),'자료_미국심리'!$G811,"")</f>
        <v/>
      </c>
    </row>
    <row r="828">
      <c r="A828" s="10">
        <f>IF(810&gt;$E$5,"",SMALL($O$19:$O$4018,$E$6+810))</f>
        <v/>
      </c>
      <c r="B828" s="29">
        <f>IF(A828="","",INDEX('자료_미국심리'!$B$3:$B$4002,MATCH(A828,$O$19:$O$4018,0)))</f>
        <v/>
      </c>
      <c r="C828" s="22">
        <f>IF(A828="","",B828/AVERAGE(B704:B828)-1)</f>
        <v/>
      </c>
      <c r="D828" s="29">
        <f>IF(A828="","",IFERROR(INDEX('자료_미국심리'!$E$3:$E$4002,MATCH(A828,$P$19:$P$4018,0)),D827))</f>
        <v/>
      </c>
      <c r="E828" s="29">
        <f>IF(A828="","",IFERROR(INDEX('자료_미국심리'!$H$3:$H$4002,MATCH(A828,$Q$19:$Q$4018,0)),E827))</f>
        <v/>
      </c>
      <c r="F828">
        <f>IF(A828="",0,IF(A828&gt;$B$5,1,0))</f>
        <v/>
      </c>
      <c r="G828" s="29">
        <f>IF(AND(F828=1,ISNUMBER(D828)),D828,"")</f>
        <v/>
      </c>
      <c r="H828" s="29">
        <f>IF(AND(F828=1,ISNUMBER(E828)),E828,"")</f>
        <v/>
      </c>
      <c r="I828" s="22">
        <f>IF(AND(F828=1,ISNUMBER(C828)),C828,"")</f>
        <v/>
      </c>
      <c r="J828" s="11">
        <f>IF(G828="","",100-IF($G$13=1,50,(_xlfn.RANK.AVG(G828,$G$19:$G$1518,1)-1)/($G$13-1)*100))</f>
        <v/>
      </c>
      <c r="K828" s="11">
        <f>IF(H828="","",100-IF($G$14=1,50,(_xlfn.RANK.AVG(H828,$H$19:$H$1518,1)-1)/($G$14-1)*100))</f>
        <v/>
      </c>
      <c r="L828" s="11">
        <f>IF(I828="","",IF($G$15=1,50,(_xlfn.RANK.AVG(I828,$I$19:$I$1518,1)-1)/($G$15-1)*100))</f>
        <v/>
      </c>
      <c r="M828" s="11">
        <f>IF(COUNT(J828:L828)=3,ROUND(AVERAGE(J828:L828),6),"")</f>
        <v/>
      </c>
      <c r="O828">
        <f>IF(AND(ISNUMBER('자료_미국심리'!$A812),ISNUMBER('자료_미국심리'!$B812)),'자료_미국심리'!$A812,"")</f>
        <v/>
      </c>
      <c r="P828">
        <f>IF(AND(ISNUMBER('자료_미국심리'!$D812),ISNUMBER('자료_미국심리'!$E812)),'자료_미국심리'!$D812,"")</f>
        <v/>
      </c>
      <c r="Q828">
        <f>IF(AND(ISNUMBER('자료_미국심리'!$G812),ISNUMBER('자료_미국심리'!$H812)),'자료_미국심리'!$G812,"")</f>
        <v/>
      </c>
    </row>
    <row r="829">
      <c r="A829" s="10">
        <f>IF(811&gt;$E$5,"",SMALL($O$19:$O$4018,$E$6+811))</f>
        <v/>
      </c>
      <c r="B829" s="29">
        <f>IF(A829="","",INDEX('자료_미국심리'!$B$3:$B$4002,MATCH(A829,$O$19:$O$4018,0)))</f>
        <v/>
      </c>
      <c r="C829" s="22">
        <f>IF(A829="","",B829/AVERAGE(B705:B829)-1)</f>
        <v/>
      </c>
      <c r="D829" s="29">
        <f>IF(A829="","",IFERROR(INDEX('자료_미국심리'!$E$3:$E$4002,MATCH(A829,$P$19:$P$4018,0)),D828))</f>
        <v/>
      </c>
      <c r="E829" s="29">
        <f>IF(A829="","",IFERROR(INDEX('자료_미국심리'!$H$3:$H$4002,MATCH(A829,$Q$19:$Q$4018,0)),E828))</f>
        <v/>
      </c>
      <c r="F829">
        <f>IF(A829="",0,IF(A829&gt;$B$5,1,0))</f>
        <v/>
      </c>
      <c r="G829" s="29">
        <f>IF(AND(F829=1,ISNUMBER(D829)),D829,"")</f>
        <v/>
      </c>
      <c r="H829" s="29">
        <f>IF(AND(F829=1,ISNUMBER(E829)),E829,"")</f>
        <v/>
      </c>
      <c r="I829" s="22">
        <f>IF(AND(F829=1,ISNUMBER(C829)),C829,"")</f>
        <v/>
      </c>
      <c r="J829" s="11">
        <f>IF(G829="","",100-IF($G$13=1,50,(_xlfn.RANK.AVG(G829,$G$19:$G$1518,1)-1)/($G$13-1)*100))</f>
        <v/>
      </c>
      <c r="K829" s="11">
        <f>IF(H829="","",100-IF($G$14=1,50,(_xlfn.RANK.AVG(H829,$H$19:$H$1518,1)-1)/($G$14-1)*100))</f>
        <v/>
      </c>
      <c r="L829" s="11">
        <f>IF(I829="","",IF($G$15=1,50,(_xlfn.RANK.AVG(I829,$I$19:$I$1518,1)-1)/($G$15-1)*100))</f>
        <v/>
      </c>
      <c r="M829" s="11">
        <f>IF(COUNT(J829:L829)=3,ROUND(AVERAGE(J829:L829),6),"")</f>
        <v/>
      </c>
      <c r="O829">
        <f>IF(AND(ISNUMBER('자료_미국심리'!$A813),ISNUMBER('자료_미국심리'!$B813)),'자료_미국심리'!$A813,"")</f>
        <v/>
      </c>
      <c r="P829">
        <f>IF(AND(ISNUMBER('자료_미국심리'!$D813),ISNUMBER('자료_미국심리'!$E813)),'자료_미국심리'!$D813,"")</f>
        <v/>
      </c>
      <c r="Q829">
        <f>IF(AND(ISNUMBER('자료_미국심리'!$G813),ISNUMBER('자료_미국심리'!$H813)),'자료_미국심리'!$G813,"")</f>
        <v/>
      </c>
    </row>
    <row r="830">
      <c r="A830" s="10">
        <f>IF(812&gt;$E$5,"",SMALL($O$19:$O$4018,$E$6+812))</f>
        <v/>
      </c>
      <c r="B830" s="29">
        <f>IF(A830="","",INDEX('자료_미국심리'!$B$3:$B$4002,MATCH(A830,$O$19:$O$4018,0)))</f>
        <v/>
      </c>
      <c r="C830" s="22">
        <f>IF(A830="","",B830/AVERAGE(B706:B830)-1)</f>
        <v/>
      </c>
      <c r="D830" s="29">
        <f>IF(A830="","",IFERROR(INDEX('자료_미국심리'!$E$3:$E$4002,MATCH(A830,$P$19:$P$4018,0)),D829))</f>
        <v/>
      </c>
      <c r="E830" s="29">
        <f>IF(A830="","",IFERROR(INDEX('자료_미국심리'!$H$3:$H$4002,MATCH(A830,$Q$19:$Q$4018,0)),E829))</f>
        <v/>
      </c>
      <c r="F830">
        <f>IF(A830="",0,IF(A830&gt;$B$5,1,0))</f>
        <v/>
      </c>
      <c r="G830" s="29">
        <f>IF(AND(F830=1,ISNUMBER(D830)),D830,"")</f>
        <v/>
      </c>
      <c r="H830" s="29">
        <f>IF(AND(F830=1,ISNUMBER(E830)),E830,"")</f>
        <v/>
      </c>
      <c r="I830" s="22">
        <f>IF(AND(F830=1,ISNUMBER(C830)),C830,"")</f>
        <v/>
      </c>
      <c r="J830" s="11">
        <f>IF(G830="","",100-IF($G$13=1,50,(_xlfn.RANK.AVG(G830,$G$19:$G$1518,1)-1)/($G$13-1)*100))</f>
        <v/>
      </c>
      <c r="K830" s="11">
        <f>IF(H830="","",100-IF($G$14=1,50,(_xlfn.RANK.AVG(H830,$H$19:$H$1518,1)-1)/($G$14-1)*100))</f>
        <v/>
      </c>
      <c r="L830" s="11">
        <f>IF(I830="","",IF($G$15=1,50,(_xlfn.RANK.AVG(I830,$I$19:$I$1518,1)-1)/($G$15-1)*100))</f>
        <v/>
      </c>
      <c r="M830" s="11">
        <f>IF(COUNT(J830:L830)=3,ROUND(AVERAGE(J830:L830),6),"")</f>
        <v/>
      </c>
      <c r="O830">
        <f>IF(AND(ISNUMBER('자료_미국심리'!$A814),ISNUMBER('자료_미국심리'!$B814)),'자료_미국심리'!$A814,"")</f>
        <v/>
      </c>
      <c r="P830">
        <f>IF(AND(ISNUMBER('자료_미국심리'!$D814),ISNUMBER('자료_미국심리'!$E814)),'자료_미국심리'!$D814,"")</f>
        <v/>
      </c>
      <c r="Q830">
        <f>IF(AND(ISNUMBER('자료_미국심리'!$G814),ISNUMBER('자료_미국심리'!$H814)),'자료_미국심리'!$G814,"")</f>
        <v/>
      </c>
    </row>
    <row r="831">
      <c r="A831" s="10">
        <f>IF(813&gt;$E$5,"",SMALL($O$19:$O$4018,$E$6+813))</f>
        <v/>
      </c>
      <c r="B831" s="29">
        <f>IF(A831="","",INDEX('자료_미국심리'!$B$3:$B$4002,MATCH(A831,$O$19:$O$4018,0)))</f>
        <v/>
      </c>
      <c r="C831" s="22">
        <f>IF(A831="","",B831/AVERAGE(B707:B831)-1)</f>
        <v/>
      </c>
      <c r="D831" s="29">
        <f>IF(A831="","",IFERROR(INDEX('자료_미국심리'!$E$3:$E$4002,MATCH(A831,$P$19:$P$4018,0)),D830))</f>
        <v/>
      </c>
      <c r="E831" s="29">
        <f>IF(A831="","",IFERROR(INDEX('자료_미국심리'!$H$3:$H$4002,MATCH(A831,$Q$19:$Q$4018,0)),E830))</f>
        <v/>
      </c>
      <c r="F831">
        <f>IF(A831="",0,IF(A831&gt;$B$5,1,0))</f>
        <v/>
      </c>
      <c r="G831" s="29">
        <f>IF(AND(F831=1,ISNUMBER(D831)),D831,"")</f>
        <v/>
      </c>
      <c r="H831" s="29">
        <f>IF(AND(F831=1,ISNUMBER(E831)),E831,"")</f>
        <v/>
      </c>
      <c r="I831" s="22">
        <f>IF(AND(F831=1,ISNUMBER(C831)),C831,"")</f>
        <v/>
      </c>
      <c r="J831" s="11">
        <f>IF(G831="","",100-IF($G$13=1,50,(_xlfn.RANK.AVG(G831,$G$19:$G$1518,1)-1)/($G$13-1)*100))</f>
        <v/>
      </c>
      <c r="K831" s="11">
        <f>IF(H831="","",100-IF($G$14=1,50,(_xlfn.RANK.AVG(H831,$H$19:$H$1518,1)-1)/($G$14-1)*100))</f>
        <v/>
      </c>
      <c r="L831" s="11">
        <f>IF(I831="","",IF($G$15=1,50,(_xlfn.RANK.AVG(I831,$I$19:$I$1518,1)-1)/($G$15-1)*100))</f>
        <v/>
      </c>
      <c r="M831" s="11">
        <f>IF(COUNT(J831:L831)=3,ROUND(AVERAGE(J831:L831),6),"")</f>
        <v/>
      </c>
      <c r="O831">
        <f>IF(AND(ISNUMBER('자료_미국심리'!$A815),ISNUMBER('자료_미국심리'!$B815)),'자료_미국심리'!$A815,"")</f>
        <v/>
      </c>
      <c r="P831">
        <f>IF(AND(ISNUMBER('자료_미국심리'!$D815),ISNUMBER('자료_미국심리'!$E815)),'자료_미국심리'!$D815,"")</f>
        <v/>
      </c>
      <c r="Q831">
        <f>IF(AND(ISNUMBER('자료_미국심리'!$G815),ISNUMBER('자료_미국심리'!$H815)),'자료_미국심리'!$G815,"")</f>
        <v/>
      </c>
    </row>
    <row r="832">
      <c r="A832" s="10">
        <f>IF(814&gt;$E$5,"",SMALL($O$19:$O$4018,$E$6+814))</f>
        <v/>
      </c>
      <c r="B832" s="29">
        <f>IF(A832="","",INDEX('자료_미국심리'!$B$3:$B$4002,MATCH(A832,$O$19:$O$4018,0)))</f>
        <v/>
      </c>
      <c r="C832" s="22">
        <f>IF(A832="","",B832/AVERAGE(B708:B832)-1)</f>
        <v/>
      </c>
      <c r="D832" s="29">
        <f>IF(A832="","",IFERROR(INDEX('자료_미국심리'!$E$3:$E$4002,MATCH(A832,$P$19:$P$4018,0)),D831))</f>
        <v/>
      </c>
      <c r="E832" s="29">
        <f>IF(A832="","",IFERROR(INDEX('자료_미국심리'!$H$3:$H$4002,MATCH(A832,$Q$19:$Q$4018,0)),E831))</f>
        <v/>
      </c>
      <c r="F832">
        <f>IF(A832="",0,IF(A832&gt;$B$5,1,0))</f>
        <v/>
      </c>
      <c r="G832" s="29">
        <f>IF(AND(F832=1,ISNUMBER(D832)),D832,"")</f>
        <v/>
      </c>
      <c r="H832" s="29">
        <f>IF(AND(F832=1,ISNUMBER(E832)),E832,"")</f>
        <v/>
      </c>
      <c r="I832" s="22">
        <f>IF(AND(F832=1,ISNUMBER(C832)),C832,"")</f>
        <v/>
      </c>
      <c r="J832" s="11">
        <f>IF(G832="","",100-IF($G$13=1,50,(_xlfn.RANK.AVG(G832,$G$19:$G$1518,1)-1)/($G$13-1)*100))</f>
        <v/>
      </c>
      <c r="K832" s="11">
        <f>IF(H832="","",100-IF($G$14=1,50,(_xlfn.RANK.AVG(H832,$H$19:$H$1518,1)-1)/($G$14-1)*100))</f>
        <v/>
      </c>
      <c r="L832" s="11">
        <f>IF(I832="","",IF($G$15=1,50,(_xlfn.RANK.AVG(I832,$I$19:$I$1518,1)-1)/($G$15-1)*100))</f>
        <v/>
      </c>
      <c r="M832" s="11">
        <f>IF(COUNT(J832:L832)=3,ROUND(AVERAGE(J832:L832),6),"")</f>
        <v/>
      </c>
      <c r="O832">
        <f>IF(AND(ISNUMBER('자료_미국심리'!$A816),ISNUMBER('자료_미국심리'!$B816)),'자료_미국심리'!$A816,"")</f>
        <v/>
      </c>
      <c r="P832">
        <f>IF(AND(ISNUMBER('자료_미국심리'!$D816),ISNUMBER('자료_미국심리'!$E816)),'자료_미국심리'!$D816,"")</f>
        <v/>
      </c>
      <c r="Q832">
        <f>IF(AND(ISNUMBER('자료_미국심리'!$G816),ISNUMBER('자료_미국심리'!$H816)),'자료_미국심리'!$G816,"")</f>
        <v/>
      </c>
    </row>
    <row r="833">
      <c r="A833" s="10">
        <f>IF(815&gt;$E$5,"",SMALL($O$19:$O$4018,$E$6+815))</f>
        <v/>
      </c>
      <c r="B833" s="29">
        <f>IF(A833="","",INDEX('자료_미국심리'!$B$3:$B$4002,MATCH(A833,$O$19:$O$4018,0)))</f>
        <v/>
      </c>
      <c r="C833" s="22">
        <f>IF(A833="","",B833/AVERAGE(B709:B833)-1)</f>
        <v/>
      </c>
      <c r="D833" s="29">
        <f>IF(A833="","",IFERROR(INDEX('자료_미국심리'!$E$3:$E$4002,MATCH(A833,$P$19:$P$4018,0)),D832))</f>
        <v/>
      </c>
      <c r="E833" s="29">
        <f>IF(A833="","",IFERROR(INDEX('자료_미국심리'!$H$3:$H$4002,MATCH(A833,$Q$19:$Q$4018,0)),E832))</f>
        <v/>
      </c>
      <c r="F833">
        <f>IF(A833="",0,IF(A833&gt;$B$5,1,0))</f>
        <v/>
      </c>
      <c r="G833" s="29">
        <f>IF(AND(F833=1,ISNUMBER(D833)),D833,"")</f>
        <v/>
      </c>
      <c r="H833" s="29">
        <f>IF(AND(F833=1,ISNUMBER(E833)),E833,"")</f>
        <v/>
      </c>
      <c r="I833" s="22">
        <f>IF(AND(F833=1,ISNUMBER(C833)),C833,"")</f>
        <v/>
      </c>
      <c r="J833" s="11">
        <f>IF(G833="","",100-IF($G$13=1,50,(_xlfn.RANK.AVG(G833,$G$19:$G$1518,1)-1)/($G$13-1)*100))</f>
        <v/>
      </c>
      <c r="K833" s="11">
        <f>IF(H833="","",100-IF($G$14=1,50,(_xlfn.RANK.AVG(H833,$H$19:$H$1518,1)-1)/($G$14-1)*100))</f>
        <v/>
      </c>
      <c r="L833" s="11">
        <f>IF(I833="","",IF($G$15=1,50,(_xlfn.RANK.AVG(I833,$I$19:$I$1518,1)-1)/($G$15-1)*100))</f>
        <v/>
      </c>
      <c r="M833" s="11">
        <f>IF(COUNT(J833:L833)=3,ROUND(AVERAGE(J833:L833),6),"")</f>
        <v/>
      </c>
      <c r="O833">
        <f>IF(AND(ISNUMBER('자료_미국심리'!$A817),ISNUMBER('자료_미국심리'!$B817)),'자료_미국심리'!$A817,"")</f>
        <v/>
      </c>
      <c r="P833">
        <f>IF(AND(ISNUMBER('자료_미국심리'!$D817),ISNUMBER('자료_미국심리'!$E817)),'자료_미국심리'!$D817,"")</f>
        <v/>
      </c>
      <c r="Q833">
        <f>IF(AND(ISNUMBER('자료_미국심리'!$G817),ISNUMBER('자료_미국심리'!$H817)),'자료_미국심리'!$G817,"")</f>
        <v/>
      </c>
    </row>
    <row r="834">
      <c r="A834" s="10">
        <f>IF(816&gt;$E$5,"",SMALL($O$19:$O$4018,$E$6+816))</f>
        <v/>
      </c>
      <c r="B834" s="29">
        <f>IF(A834="","",INDEX('자료_미국심리'!$B$3:$B$4002,MATCH(A834,$O$19:$O$4018,0)))</f>
        <v/>
      </c>
      <c r="C834" s="22">
        <f>IF(A834="","",B834/AVERAGE(B710:B834)-1)</f>
        <v/>
      </c>
      <c r="D834" s="29">
        <f>IF(A834="","",IFERROR(INDEX('자료_미국심리'!$E$3:$E$4002,MATCH(A834,$P$19:$P$4018,0)),D833))</f>
        <v/>
      </c>
      <c r="E834" s="29">
        <f>IF(A834="","",IFERROR(INDEX('자료_미국심리'!$H$3:$H$4002,MATCH(A834,$Q$19:$Q$4018,0)),E833))</f>
        <v/>
      </c>
      <c r="F834">
        <f>IF(A834="",0,IF(A834&gt;$B$5,1,0))</f>
        <v/>
      </c>
      <c r="G834" s="29">
        <f>IF(AND(F834=1,ISNUMBER(D834)),D834,"")</f>
        <v/>
      </c>
      <c r="H834" s="29">
        <f>IF(AND(F834=1,ISNUMBER(E834)),E834,"")</f>
        <v/>
      </c>
      <c r="I834" s="22">
        <f>IF(AND(F834=1,ISNUMBER(C834)),C834,"")</f>
        <v/>
      </c>
      <c r="J834" s="11">
        <f>IF(G834="","",100-IF($G$13=1,50,(_xlfn.RANK.AVG(G834,$G$19:$G$1518,1)-1)/($G$13-1)*100))</f>
        <v/>
      </c>
      <c r="K834" s="11">
        <f>IF(H834="","",100-IF($G$14=1,50,(_xlfn.RANK.AVG(H834,$H$19:$H$1518,1)-1)/($G$14-1)*100))</f>
        <v/>
      </c>
      <c r="L834" s="11">
        <f>IF(I834="","",IF($G$15=1,50,(_xlfn.RANK.AVG(I834,$I$19:$I$1518,1)-1)/($G$15-1)*100))</f>
        <v/>
      </c>
      <c r="M834" s="11">
        <f>IF(COUNT(J834:L834)=3,ROUND(AVERAGE(J834:L834),6),"")</f>
        <v/>
      </c>
      <c r="O834">
        <f>IF(AND(ISNUMBER('자료_미국심리'!$A818),ISNUMBER('자료_미국심리'!$B818)),'자료_미국심리'!$A818,"")</f>
        <v/>
      </c>
      <c r="P834">
        <f>IF(AND(ISNUMBER('자료_미국심리'!$D818),ISNUMBER('자료_미국심리'!$E818)),'자료_미국심리'!$D818,"")</f>
        <v/>
      </c>
      <c r="Q834">
        <f>IF(AND(ISNUMBER('자료_미국심리'!$G818),ISNUMBER('자료_미국심리'!$H818)),'자료_미국심리'!$G818,"")</f>
        <v/>
      </c>
    </row>
    <row r="835">
      <c r="A835" s="10">
        <f>IF(817&gt;$E$5,"",SMALL($O$19:$O$4018,$E$6+817))</f>
        <v/>
      </c>
      <c r="B835" s="29">
        <f>IF(A835="","",INDEX('자료_미국심리'!$B$3:$B$4002,MATCH(A835,$O$19:$O$4018,0)))</f>
        <v/>
      </c>
      <c r="C835" s="22">
        <f>IF(A835="","",B835/AVERAGE(B711:B835)-1)</f>
        <v/>
      </c>
      <c r="D835" s="29">
        <f>IF(A835="","",IFERROR(INDEX('자료_미국심리'!$E$3:$E$4002,MATCH(A835,$P$19:$P$4018,0)),D834))</f>
        <v/>
      </c>
      <c r="E835" s="29">
        <f>IF(A835="","",IFERROR(INDEX('자료_미국심리'!$H$3:$H$4002,MATCH(A835,$Q$19:$Q$4018,0)),E834))</f>
        <v/>
      </c>
      <c r="F835">
        <f>IF(A835="",0,IF(A835&gt;$B$5,1,0))</f>
        <v/>
      </c>
      <c r="G835" s="29">
        <f>IF(AND(F835=1,ISNUMBER(D835)),D835,"")</f>
        <v/>
      </c>
      <c r="H835" s="29">
        <f>IF(AND(F835=1,ISNUMBER(E835)),E835,"")</f>
        <v/>
      </c>
      <c r="I835" s="22">
        <f>IF(AND(F835=1,ISNUMBER(C835)),C835,"")</f>
        <v/>
      </c>
      <c r="J835" s="11">
        <f>IF(G835="","",100-IF($G$13=1,50,(_xlfn.RANK.AVG(G835,$G$19:$G$1518,1)-1)/($G$13-1)*100))</f>
        <v/>
      </c>
      <c r="K835" s="11">
        <f>IF(H835="","",100-IF($G$14=1,50,(_xlfn.RANK.AVG(H835,$H$19:$H$1518,1)-1)/($G$14-1)*100))</f>
        <v/>
      </c>
      <c r="L835" s="11">
        <f>IF(I835="","",IF($G$15=1,50,(_xlfn.RANK.AVG(I835,$I$19:$I$1518,1)-1)/($G$15-1)*100))</f>
        <v/>
      </c>
      <c r="M835" s="11">
        <f>IF(COUNT(J835:L835)=3,ROUND(AVERAGE(J835:L835),6),"")</f>
        <v/>
      </c>
      <c r="O835">
        <f>IF(AND(ISNUMBER('자료_미국심리'!$A819),ISNUMBER('자료_미국심리'!$B819)),'자료_미국심리'!$A819,"")</f>
        <v/>
      </c>
      <c r="P835">
        <f>IF(AND(ISNUMBER('자료_미국심리'!$D819),ISNUMBER('자료_미국심리'!$E819)),'자료_미국심리'!$D819,"")</f>
        <v/>
      </c>
      <c r="Q835">
        <f>IF(AND(ISNUMBER('자료_미국심리'!$G819),ISNUMBER('자료_미국심리'!$H819)),'자료_미국심리'!$G819,"")</f>
        <v/>
      </c>
    </row>
    <row r="836">
      <c r="A836" s="10">
        <f>IF(818&gt;$E$5,"",SMALL($O$19:$O$4018,$E$6+818))</f>
        <v/>
      </c>
      <c r="B836" s="29">
        <f>IF(A836="","",INDEX('자료_미국심리'!$B$3:$B$4002,MATCH(A836,$O$19:$O$4018,0)))</f>
        <v/>
      </c>
      <c r="C836" s="22">
        <f>IF(A836="","",B836/AVERAGE(B712:B836)-1)</f>
        <v/>
      </c>
      <c r="D836" s="29">
        <f>IF(A836="","",IFERROR(INDEX('자료_미국심리'!$E$3:$E$4002,MATCH(A836,$P$19:$P$4018,0)),D835))</f>
        <v/>
      </c>
      <c r="E836" s="29">
        <f>IF(A836="","",IFERROR(INDEX('자료_미국심리'!$H$3:$H$4002,MATCH(A836,$Q$19:$Q$4018,0)),E835))</f>
        <v/>
      </c>
      <c r="F836">
        <f>IF(A836="",0,IF(A836&gt;$B$5,1,0))</f>
        <v/>
      </c>
      <c r="G836" s="29">
        <f>IF(AND(F836=1,ISNUMBER(D836)),D836,"")</f>
        <v/>
      </c>
      <c r="H836" s="29">
        <f>IF(AND(F836=1,ISNUMBER(E836)),E836,"")</f>
        <v/>
      </c>
      <c r="I836" s="22">
        <f>IF(AND(F836=1,ISNUMBER(C836)),C836,"")</f>
        <v/>
      </c>
      <c r="J836" s="11">
        <f>IF(G836="","",100-IF($G$13=1,50,(_xlfn.RANK.AVG(G836,$G$19:$G$1518,1)-1)/($G$13-1)*100))</f>
        <v/>
      </c>
      <c r="K836" s="11">
        <f>IF(H836="","",100-IF($G$14=1,50,(_xlfn.RANK.AVG(H836,$H$19:$H$1518,1)-1)/($G$14-1)*100))</f>
        <v/>
      </c>
      <c r="L836" s="11">
        <f>IF(I836="","",IF($G$15=1,50,(_xlfn.RANK.AVG(I836,$I$19:$I$1518,1)-1)/($G$15-1)*100))</f>
        <v/>
      </c>
      <c r="M836" s="11">
        <f>IF(COUNT(J836:L836)=3,ROUND(AVERAGE(J836:L836),6),"")</f>
        <v/>
      </c>
      <c r="O836">
        <f>IF(AND(ISNUMBER('자료_미국심리'!$A820),ISNUMBER('자료_미국심리'!$B820)),'자료_미국심리'!$A820,"")</f>
        <v/>
      </c>
      <c r="P836">
        <f>IF(AND(ISNUMBER('자료_미국심리'!$D820),ISNUMBER('자료_미국심리'!$E820)),'자료_미국심리'!$D820,"")</f>
        <v/>
      </c>
      <c r="Q836">
        <f>IF(AND(ISNUMBER('자료_미국심리'!$G820),ISNUMBER('자료_미국심리'!$H820)),'자료_미국심리'!$G820,"")</f>
        <v/>
      </c>
    </row>
    <row r="837">
      <c r="A837" s="10">
        <f>IF(819&gt;$E$5,"",SMALL($O$19:$O$4018,$E$6+819))</f>
        <v/>
      </c>
      <c r="B837" s="29">
        <f>IF(A837="","",INDEX('자료_미국심리'!$B$3:$B$4002,MATCH(A837,$O$19:$O$4018,0)))</f>
        <v/>
      </c>
      <c r="C837" s="22">
        <f>IF(A837="","",B837/AVERAGE(B713:B837)-1)</f>
        <v/>
      </c>
      <c r="D837" s="29">
        <f>IF(A837="","",IFERROR(INDEX('자료_미국심리'!$E$3:$E$4002,MATCH(A837,$P$19:$P$4018,0)),D836))</f>
        <v/>
      </c>
      <c r="E837" s="29">
        <f>IF(A837="","",IFERROR(INDEX('자료_미국심리'!$H$3:$H$4002,MATCH(A837,$Q$19:$Q$4018,0)),E836))</f>
        <v/>
      </c>
      <c r="F837">
        <f>IF(A837="",0,IF(A837&gt;$B$5,1,0))</f>
        <v/>
      </c>
      <c r="G837" s="29">
        <f>IF(AND(F837=1,ISNUMBER(D837)),D837,"")</f>
        <v/>
      </c>
      <c r="H837" s="29">
        <f>IF(AND(F837=1,ISNUMBER(E837)),E837,"")</f>
        <v/>
      </c>
      <c r="I837" s="22">
        <f>IF(AND(F837=1,ISNUMBER(C837)),C837,"")</f>
        <v/>
      </c>
      <c r="J837" s="11">
        <f>IF(G837="","",100-IF($G$13=1,50,(_xlfn.RANK.AVG(G837,$G$19:$G$1518,1)-1)/($G$13-1)*100))</f>
        <v/>
      </c>
      <c r="K837" s="11">
        <f>IF(H837="","",100-IF($G$14=1,50,(_xlfn.RANK.AVG(H837,$H$19:$H$1518,1)-1)/($G$14-1)*100))</f>
        <v/>
      </c>
      <c r="L837" s="11">
        <f>IF(I837="","",IF($G$15=1,50,(_xlfn.RANK.AVG(I837,$I$19:$I$1518,1)-1)/($G$15-1)*100))</f>
        <v/>
      </c>
      <c r="M837" s="11">
        <f>IF(COUNT(J837:L837)=3,ROUND(AVERAGE(J837:L837),6),"")</f>
        <v/>
      </c>
      <c r="O837">
        <f>IF(AND(ISNUMBER('자료_미국심리'!$A821),ISNUMBER('자료_미국심리'!$B821)),'자료_미국심리'!$A821,"")</f>
        <v/>
      </c>
      <c r="P837">
        <f>IF(AND(ISNUMBER('자료_미국심리'!$D821),ISNUMBER('자료_미국심리'!$E821)),'자료_미국심리'!$D821,"")</f>
        <v/>
      </c>
      <c r="Q837">
        <f>IF(AND(ISNUMBER('자료_미국심리'!$G821),ISNUMBER('자료_미국심리'!$H821)),'자료_미국심리'!$G821,"")</f>
        <v/>
      </c>
    </row>
    <row r="838">
      <c r="A838" s="10">
        <f>IF(820&gt;$E$5,"",SMALL($O$19:$O$4018,$E$6+820))</f>
        <v/>
      </c>
      <c r="B838" s="29">
        <f>IF(A838="","",INDEX('자료_미국심리'!$B$3:$B$4002,MATCH(A838,$O$19:$O$4018,0)))</f>
        <v/>
      </c>
      <c r="C838" s="22">
        <f>IF(A838="","",B838/AVERAGE(B714:B838)-1)</f>
        <v/>
      </c>
      <c r="D838" s="29">
        <f>IF(A838="","",IFERROR(INDEX('자료_미국심리'!$E$3:$E$4002,MATCH(A838,$P$19:$P$4018,0)),D837))</f>
        <v/>
      </c>
      <c r="E838" s="29">
        <f>IF(A838="","",IFERROR(INDEX('자료_미국심리'!$H$3:$H$4002,MATCH(A838,$Q$19:$Q$4018,0)),E837))</f>
        <v/>
      </c>
      <c r="F838">
        <f>IF(A838="",0,IF(A838&gt;$B$5,1,0))</f>
        <v/>
      </c>
      <c r="G838" s="29">
        <f>IF(AND(F838=1,ISNUMBER(D838)),D838,"")</f>
        <v/>
      </c>
      <c r="H838" s="29">
        <f>IF(AND(F838=1,ISNUMBER(E838)),E838,"")</f>
        <v/>
      </c>
      <c r="I838" s="22">
        <f>IF(AND(F838=1,ISNUMBER(C838)),C838,"")</f>
        <v/>
      </c>
      <c r="J838" s="11">
        <f>IF(G838="","",100-IF($G$13=1,50,(_xlfn.RANK.AVG(G838,$G$19:$G$1518,1)-1)/($G$13-1)*100))</f>
        <v/>
      </c>
      <c r="K838" s="11">
        <f>IF(H838="","",100-IF($G$14=1,50,(_xlfn.RANK.AVG(H838,$H$19:$H$1518,1)-1)/($G$14-1)*100))</f>
        <v/>
      </c>
      <c r="L838" s="11">
        <f>IF(I838="","",IF($G$15=1,50,(_xlfn.RANK.AVG(I838,$I$19:$I$1518,1)-1)/($G$15-1)*100))</f>
        <v/>
      </c>
      <c r="M838" s="11">
        <f>IF(COUNT(J838:L838)=3,ROUND(AVERAGE(J838:L838),6),"")</f>
        <v/>
      </c>
      <c r="O838">
        <f>IF(AND(ISNUMBER('자료_미국심리'!$A822),ISNUMBER('자료_미국심리'!$B822)),'자료_미국심리'!$A822,"")</f>
        <v/>
      </c>
      <c r="P838">
        <f>IF(AND(ISNUMBER('자료_미국심리'!$D822),ISNUMBER('자료_미국심리'!$E822)),'자료_미국심리'!$D822,"")</f>
        <v/>
      </c>
      <c r="Q838">
        <f>IF(AND(ISNUMBER('자료_미국심리'!$G822),ISNUMBER('자료_미국심리'!$H822)),'자료_미국심리'!$G822,"")</f>
        <v/>
      </c>
    </row>
    <row r="839">
      <c r="A839" s="10">
        <f>IF(821&gt;$E$5,"",SMALL($O$19:$O$4018,$E$6+821))</f>
        <v/>
      </c>
      <c r="B839" s="29">
        <f>IF(A839="","",INDEX('자료_미국심리'!$B$3:$B$4002,MATCH(A839,$O$19:$O$4018,0)))</f>
        <v/>
      </c>
      <c r="C839" s="22">
        <f>IF(A839="","",B839/AVERAGE(B715:B839)-1)</f>
        <v/>
      </c>
      <c r="D839" s="29">
        <f>IF(A839="","",IFERROR(INDEX('자료_미국심리'!$E$3:$E$4002,MATCH(A839,$P$19:$P$4018,0)),D838))</f>
        <v/>
      </c>
      <c r="E839" s="29">
        <f>IF(A839="","",IFERROR(INDEX('자료_미국심리'!$H$3:$H$4002,MATCH(A839,$Q$19:$Q$4018,0)),E838))</f>
        <v/>
      </c>
      <c r="F839">
        <f>IF(A839="",0,IF(A839&gt;$B$5,1,0))</f>
        <v/>
      </c>
      <c r="G839" s="29">
        <f>IF(AND(F839=1,ISNUMBER(D839)),D839,"")</f>
        <v/>
      </c>
      <c r="H839" s="29">
        <f>IF(AND(F839=1,ISNUMBER(E839)),E839,"")</f>
        <v/>
      </c>
      <c r="I839" s="22">
        <f>IF(AND(F839=1,ISNUMBER(C839)),C839,"")</f>
        <v/>
      </c>
      <c r="J839" s="11">
        <f>IF(G839="","",100-IF($G$13=1,50,(_xlfn.RANK.AVG(G839,$G$19:$G$1518,1)-1)/($G$13-1)*100))</f>
        <v/>
      </c>
      <c r="K839" s="11">
        <f>IF(H839="","",100-IF($G$14=1,50,(_xlfn.RANK.AVG(H839,$H$19:$H$1518,1)-1)/($G$14-1)*100))</f>
        <v/>
      </c>
      <c r="L839" s="11">
        <f>IF(I839="","",IF($G$15=1,50,(_xlfn.RANK.AVG(I839,$I$19:$I$1518,1)-1)/($G$15-1)*100))</f>
        <v/>
      </c>
      <c r="M839" s="11">
        <f>IF(COUNT(J839:L839)=3,ROUND(AVERAGE(J839:L839),6),"")</f>
        <v/>
      </c>
      <c r="O839">
        <f>IF(AND(ISNUMBER('자료_미국심리'!$A823),ISNUMBER('자료_미국심리'!$B823)),'자료_미국심리'!$A823,"")</f>
        <v/>
      </c>
      <c r="P839">
        <f>IF(AND(ISNUMBER('자료_미국심리'!$D823),ISNUMBER('자료_미국심리'!$E823)),'자료_미국심리'!$D823,"")</f>
        <v/>
      </c>
      <c r="Q839">
        <f>IF(AND(ISNUMBER('자료_미국심리'!$G823),ISNUMBER('자료_미국심리'!$H823)),'자료_미국심리'!$G823,"")</f>
        <v/>
      </c>
    </row>
    <row r="840">
      <c r="A840" s="10">
        <f>IF(822&gt;$E$5,"",SMALL($O$19:$O$4018,$E$6+822))</f>
        <v/>
      </c>
      <c r="B840" s="29">
        <f>IF(A840="","",INDEX('자료_미국심리'!$B$3:$B$4002,MATCH(A840,$O$19:$O$4018,0)))</f>
        <v/>
      </c>
      <c r="C840" s="22">
        <f>IF(A840="","",B840/AVERAGE(B716:B840)-1)</f>
        <v/>
      </c>
      <c r="D840" s="29">
        <f>IF(A840="","",IFERROR(INDEX('자료_미국심리'!$E$3:$E$4002,MATCH(A840,$P$19:$P$4018,0)),D839))</f>
        <v/>
      </c>
      <c r="E840" s="29">
        <f>IF(A840="","",IFERROR(INDEX('자료_미국심리'!$H$3:$H$4002,MATCH(A840,$Q$19:$Q$4018,0)),E839))</f>
        <v/>
      </c>
      <c r="F840">
        <f>IF(A840="",0,IF(A840&gt;$B$5,1,0))</f>
        <v/>
      </c>
      <c r="G840" s="29">
        <f>IF(AND(F840=1,ISNUMBER(D840)),D840,"")</f>
        <v/>
      </c>
      <c r="H840" s="29">
        <f>IF(AND(F840=1,ISNUMBER(E840)),E840,"")</f>
        <v/>
      </c>
      <c r="I840" s="22">
        <f>IF(AND(F840=1,ISNUMBER(C840)),C840,"")</f>
        <v/>
      </c>
      <c r="J840" s="11">
        <f>IF(G840="","",100-IF($G$13=1,50,(_xlfn.RANK.AVG(G840,$G$19:$G$1518,1)-1)/($G$13-1)*100))</f>
        <v/>
      </c>
      <c r="K840" s="11">
        <f>IF(H840="","",100-IF($G$14=1,50,(_xlfn.RANK.AVG(H840,$H$19:$H$1518,1)-1)/($G$14-1)*100))</f>
        <v/>
      </c>
      <c r="L840" s="11">
        <f>IF(I840="","",IF($G$15=1,50,(_xlfn.RANK.AVG(I840,$I$19:$I$1518,1)-1)/($G$15-1)*100))</f>
        <v/>
      </c>
      <c r="M840" s="11">
        <f>IF(COUNT(J840:L840)=3,ROUND(AVERAGE(J840:L840),6),"")</f>
        <v/>
      </c>
      <c r="O840">
        <f>IF(AND(ISNUMBER('자료_미국심리'!$A824),ISNUMBER('자료_미국심리'!$B824)),'자료_미국심리'!$A824,"")</f>
        <v/>
      </c>
      <c r="P840">
        <f>IF(AND(ISNUMBER('자료_미국심리'!$D824),ISNUMBER('자료_미국심리'!$E824)),'자료_미국심리'!$D824,"")</f>
        <v/>
      </c>
      <c r="Q840">
        <f>IF(AND(ISNUMBER('자료_미국심리'!$G824),ISNUMBER('자료_미국심리'!$H824)),'자료_미국심리'!$G824,"")</f>
        <v/>
      </c>
    </row>
    <row r="841">
      <c r="A841" s="10">
        <f>IF(823&gt;$E$5,"",SMALL($O$19:$O$4018,$E$6+823))</f>
        <v/>
      </c>
      <c r="B841" s="29">
        <f>IF(A841="","",INDEX('자료_미국심리'!$B$3:$B$4002,MATCH(A841,$O$19:$O$4018,0)))</f>
        <v/>
      </c>
      <c r="C841" s="22">
        <f>IF(A841="","",B841/AVERAGE(B717:B841)-1)</f>
        <v/>
      </c>
      <c r="D841" s="29">
        <f>IF(A841="","",IFERROR(INDEX('자료_미국심리'!$E$3:$E$4002,MATCH(A841,$P$19:$P$4018,0)),D840))</f>
        <v/>
      </c>
      <c r="E841" s="29">
        <f>IF(A841="","",IFERROR(INDEX('자료_미국심리'!$H$3:$H$4002,MATCH(A841,$Q$19:$Q$4018,0)),E840))</f>
        <v/>
      </c>
      <c r="F841">
        <f>IF(A841="",0,IF(A841&gt;$B$5,1,0))</f>
        <v/>
      </c>
      <c r="G841" s="29">
        <f>IF(AND(F841=1,ISNUMBER(D841)),D841,"")</f>
        <v/>
      </c>
      <c r="H841" s="29">
        <f>IF(AND(F841=1,ISNUMBER(E841)),E841,"")</f>
        <v/>
      </c>
      <c r="I841" s="22">
        <f>IF(AND(F841=1,ISNUMBER(C841)),C841,"")</f>
        <v/>
      </c>
      <c r="J841" s="11">
        <f>IF(G841="","",100-IF($G$13=1,50,(_xlfn.RANK.AVG(G841,$G$19:$G$1518,1)-1)/($G$13-1)*100))</f>
        <v/>
      </c>
      <c r="K841" s="11">
        <f>IF(H841="","",100-IF($G$14=1,50,(_xlfn.RANK.AVG(H841,$H$19:$H$1518,1)-1)/($G$14-1)*100))</f>
        <v/>
      </c>
      <c r="L841" s="11">
        <f>IF(I841="","",IF($G$15=1,50,(_xlfn.RANK.AVG(I841,$I$19:$I$1518,1)-1)/($G$15-1)*100))</f>
        <v/>
      </c>
      <c r="M841" s="11">
        <f>IF(COUNT(J841:L841)=3,ROUND(AVERAGE(J841:L841),6),"")</f>
        <v/>
      </c>
      <c r="O841">
        <f>IF(AND(ISNUMBER('자료_미국심리'!$A825),ISNUMBER('자료_미국심리'!$B825)),'자료_미국심리'!$A825,"")</f>
        <v/>
      </c>
      <c r="P841">
        <f>IF(AND(ISNUMBER('자료_미국심리'!$D825),ISNUMBER('자료_미국심리'!$E825)),'자료_미국심리'!$D825,"")</f>
        <v/>
      </c>
      <c r="Q841">
        <f>IF(AND(ISNUMBER('자료_미국심리'!$G825),ISNUMBER('자료_미국심리'!$H825)),'자료_미국심리'!$G825,"")</f>
        <v/>
      </c>
    </row>
    <row r="842">
      <c r="A842" s="10">
        <f>IF(824&gt;$E$5,"",SMALL($O$19:$O$4018,$E$6+824))</f>
        <v/>
      </c>
      <c r="B842" s="29">
        <f>IF(A842="","",INDEX('자료_미국심리'!$B$3:$B$4002,MATCH(A842,$O$19:$O$4018,0)))</f>
        <v/>
      </c>
      <c r="C842" s="22">
        <f>IF(A842="","",B842/AVERAGE(B718:B842)-1)</f>
        <v/>
      </c>
      <c r="D842" s="29">
        <f>IF(A842="","",IFERROR(INDEX('자료_미국심리'!$E$3:$E$4002,MATCH(A842,$P$19:$P$4018,0)),D841))</f>
        <v/>
      </c>
      <c r="E842" s="29">
        <f>IF(A842="","",IFERROR(INDEX('자료_미국심리'!$H$3:$H$4002,MATCH(A842,$Q$19:$Q$4018,0)),E841))</f>
        <v/>
      </c>
      <c r="F842">
        <f>IF(A842="",0,IF(A842&gt;$B$5,1,0))</f>
        <v/>
      </c>
      <c r="G842" s="29">
        <f>IF(AND(F842=1,ISNUMBER(D842)),D842,"")</f>
        <v/>
      </c>
      <c r="H842" s="29">
        <f>IF(AND(F842=1,ISNUMBER(E842)),E842,"")</f>
        <v/>
      </c>
      <c r="I842" s="22">
        <f>IF(AND(F842=1,ISNUMBER(C842)),C842,"")</f>
        <v/>
      </c>
      <c r="J842" s="11">
        <f>IF(G842="","",100-IF($G$13=1,50,(_xlfn.RANK.AVG(G842,$G$19:$G$1518,1)-1)/($G$13-1)*100))</f>
        <v/>
      </c>
      <c r="K842" s="11">
        <f>IF(H842="","",100-IF($G$14=1,50,(_xlfn.RANK.AVG(H842,$H$19:$H$1518,1)-1)/($G$14-1)*100))</f>
        <v/>
      </c>
      <c r="L842" s="11">
        <f>IF(I842="","",IF($G$15=1,50,(_xlfn.RANK.AVG(I842,$I$19:$I$1518,1)-1)/($G$15-1)*100))</f>
        <v/>
      </c>
      <c r="M842" s="11">
        <f>IF(COUNT(J842:L842)=3,ROUND(AVERAGE(J842:L842),6),"")</f>
        <v/>
      </c>
      <c r="O842">
        <f>IF(AND(ISNUMBER('자료_미국심리'!$A826),ISNUMBER('자료_미국심리'!$B826)),'자료_미국심리'!$A826,"")</f>
        <v/>
      </c>
      <c r="P842">
        <f>IF(AND(ISNUMBER('자료_미국심리'!$D826),ISNUMBER('자료_미국심리'!$E826)),'자료_미국심리'!$D826,"")</f>
        <v/>
      </c>
      <c r="Q842">
        <f>IF(AND(ISNUMBER('자료_미국심리'!$G826),ISNUMBER('자료_미국심리'!$H826)),'자료_미국심리'!$G826,"")</f>
        <v/>
      </c>
    </row>
    <row r="843">
      <c r="A843" s="10">
        <f>IF(825&gt;$E$5,"",SMALL($O$19:$O$4018,$E$6+825))</f>
        <v/>
      </c>
      <c r="B843" s="29">
        <f>IF(A843="","",INDEX('자료_미국심리'!$B$3:$B$4002,MATCH(A843,$O$19:$O$4018,0)))</f>
        <v/>
      </c>
      <c r="C843" s="22">
        <f>IF(A843="","",B843/AVERAGE(B719:B843)-1)</f>
        <v/>
      </c>
      <c r="D843" s="29">
        <f>IF(A843="","",IFERROR(INDEX('자료_미국심리'!$E$3:$E$4002,MATCH(A843,$P$19:$P$4018,0)),D842))</f>
        <v/>
      </c>
      <c r="E843" s="29">
        <f>IF(A843="","",IFERROR(INDEX('자료_미국심리'!$H$3:$H$4002,MATCH(A843,$Q$19:$Q$4018,0)),E842))</f>
        <v/>
      </c>
      <c r="F843">
        <f>IF(A843="",0,IF(A843&gt;$B$5,1,0))</f>
        <v/>
      </c>
      <c r="G843" s="29">
        <f>IF(AND(F843=1,ISNUMBER(D843)),D843,"")</f>
        <v/>
      </c>
      <c r="H843" s="29">
        <f>IF(AND(F843=1,ISNUMBER(E843)),E843,"")</f>
        <v/>
      </c>
      <c r="I843" s="22">
        <f>IF(AND(F843=1,ISNUMBER(C843)),C843,"")</f>
        <v/>
      </c>
      <c r="J843" s="11">
        <f>IF(G843="","",100-IF($G$13=1,50,(_xlfn.RANK.AVG(G843,$G$19:$G$1518,1)-1)/($G$13-1)*100))</f>
        <v/>
      </c>
      <c r="K843" s="11">
        <f>IF(H843="","",100-IF($G$14=1,50,(_xlfn.RANK.AVG(H843,$H$19:$H$1518,1)-1)/($G$14-1)*100))</f>
        <v/>
      </c>
      <c r="L843" s="11">
        <f>IF(I843="","",IF($G$15=1,50,(_xlfn.RANK.AVG(I843,$I$19:$I$1518,1)-1)/($G$15-1)*100))</f>
        <v/>
      </c>
      <c r="M843" s="11">
        <f>IF(COUNT(J843:L843)=3,ROUND(AVERAGE(J843:L843),6),"")</f>
        <v/>
      </c>
      <c r="O843">
        <f>IF(AND(ISNUMBER('자료_미국심리'!$A827),ISNUMBER('자료_미국심리'!$B827)),'자료_미국심리'!$A827,"")</f>
        <v/>
      </c>
      <c r="P843">
        <f>IF(AND(ISNUMBER('자료_미국심리'!$D827),ISNUMBER('자료_미국심리'!$E827)),'자료_미국심리'!$D827,"")</f>
        <v/>
      </c>
      <c r="Q843">
        <f>IF(AND(ISNUMBER('자료_미국심리'!$G827),ISNUMBER('자료_미국심리'!$H827)),'자료_미국심리'!$G827,"")</f>
        <v/>
      </c>
    </row>
    <row r="844">
      <c r="A844" s="10">
        <f>IF(826&gt;$E$5,"",SMALL($O$19:$O$4018,$E$6+826))</f>
        <v/>
      </c>
      <c r="B844" s="29">
        <f>IF(A844="","",INDEX('자료_미국심리'!$B$3:$B$4002,MATCH(A844,$O$19:$O$4018,0)))</f>
        <v/>
      </c>
      <c r="C844" s="22">
        <f>IF(A844="","",B844/AVERAGE(B720:B844)-1)</f>
        <v/>
      </c>
      <c r="D844" s="29">
        <f>IF(A844="","",IFERROR(INDEX('자료_미국심리'!$E$3:$E$4002,MATCH(A844,$P$19:$P$4018,0)),D843))</f>
        <v/>
      </c>
      <c r="E844" s="29">
        <f>IF(A844="","",IFERROR(INDEX('자료_미국심리'!$H$3:$H$4002,MATCH(A844,$Q$19:$Q$4018,0)),E843))</f>
        <v/>
      </c>
      <c r="F844">
        <f>IF(A844="",0,IF(A844&gt;$B$5,1,0))</f>
        <v/>
      </c>
      <c r="G844" s="29">
        <f>IF(AND(F844=1,ISNUMBER(D844)),D844,"")</f>
        <v/>
      </c>
      <c r="H844" s="29">
        <f>IF(AND(F844=1,ISNUMBER(E844)),E844,"")</f>
        <v/>
      </c>
      <c r="I844" s="22">
        <f>IF(AND(F844=1,ISNUMBER(C844)),C844,"")</f>
        <v/>
      </c>
      <c r="J844" s="11">
        <f>IF(G844="","",100-IF($G$13=1,50,(_xlfn.RANK.AVG(G844,$G$19:$G$1518,1)-1)/($G$13-1)*100))</f>
        <v/>
      </c>
      <c r="K844" s="11">
        <f>IF(H844="","",100-IF($G$14=1,50,(_xlfn.RANK.AVG(H844,$H$19:$H$1518,1)-1)/($G$14-1)*100))</f>
        <v/>
      </c>
      <c r="L844" s="11">
        <f>IF(I844="","",IF($G$15=1,50,(_xlfn.RANK.AVG(I844,$I$19:$I$1518,1)-1)/($G$15-1)*100))</f>
        <v/>
      </c>
      <c r="M844" s="11">
        <f>IF(COUNT(J844:L844)=3,ROUND(AVERAGE(J844:L844),6),"")</f>
        <v/>
      </c>
      <c r="O844">
        <f>IF(AND(ISNUMBER('자료_미국심리'!$A828),ISNUMBER('자료_미국심리'!$B828)),'자료_미국심리'!$A828,"")</f>
        <v/>
      </c>
      <c r="P844">
        <f>IF(AND(ISNUMBER('자료_미국심리'!$D828),ISNUMBER('자료_미국심리'!$E828)),'자료_미국심리'!$D828,"")</f>
        <v/>
      </c>
      <c r="Q844">
        <f>IF(AND(ISNUMBER('자료_미국심리'!$G828),ISNUMBER('자료_미국심리'!$H828)),'자료_미국심리'!$G828,"")</f>
        <v/>
      </c>
    </row>
    <row r="845">
      <c r="A845" s="10">
        <f>IF(827&gt;$E$5,"",SMALL($O$19:$O$4018,$E$6+827))</f>
        <v/>
      </c>
      <c r="B845" s="29">
        <f>IF(A845="","",INDEX('자료_미국심리'!$B$3:$B$4002,MATCH(A845,$O$19:$O$4018,0)))</f>
        <v/>
      </c>
      <c r="C845" s="22">
        <f>IF(A845="","",B845/AVERAGE(B721:B845)-1)</f>
        <v/>
      </c>
      <c r="D845" s="29">
        <f>IF(A845="","",IFERROR(INDEX('자료_미국심리'!$E$3:$E$4002,MATCH(A845,$P$19:$P$4018,0)),D844))</f>
        <v/>
      </c>
      <c r="E845" s="29">
        <f>IF(A845="","",IFERROR(INDEX('자료_미국심리'!$H$3:$H$4002,MATCH(A845,$Q$19:$Q$4018,0)),E844))</f>
        <v/>
      </c>
      <c r="F845">
        <f>IF(A845="",0,IF(A845&gt;$B$5,1,0))</f>
        <v/>
      </c>
      <c r="G845" s="29">
        <f>IF(AND(F845=1,ISNUMBER(D845)),D845,"")</f>
        <v/>
      </c>
      <c r="H845" s="29">
        <f>IF(AND(F845=1,ISNUMBER(E845)),E845,"")</f>
        <v/>
      </c>
      <c r="I845" s="22">
        <f>IF(AND(F845=1,ISNUMBER(C845)),C845,"")</f>
        <v/>
      </c>
      <c r="J845" s="11">
        <f>IF(G845="","",100-IF($G$13=1,50,(_xlfn.RANK.AVG(G845,$G$19:$G$1518,1)-1)/($G$13-1)*100))</f>
        <v/>
      </c>
      <c r="K845" s="11">
        <f>IF(H845="","",100-IF($G$14=1,50,(_xlfn.RANK.AVG(H845,$H$19:$H$1518,1)-1)/($G$14-1)*100))</f>
        <v/>
      </c>
      <c r="L845" s="11">
        <f>IF(I845="","",IF($G$15=1,50,(_xlfn.RANK.AVG(I845,$I$19:$I$1518,1)-1)/($G$15-1)*100))</f>
        <v/>
      </c>
      <c r="M845" s="11">
        <f>IF(COUNT(J845:L845)=3,ROUND(AVERAGE(J845:L845),6),"")</f>
        <v/>
      </c>
      <c r="O845">
        <f>IF(AND(ISNUMBER('자료_미국심리'!$A829),ISNUMBER('자료_미국심리'!$B829)),'자료_미국심리'!$A829,"")</f>
        <v/>
      </c>
      <c r="P845">
        <f>IF(AND(ISNUMBER('자료_미국심리'!$D829),ISNUMBER('자료_미국심리'!$E829)),'자료_미국심리'!$D829,"")</f>
        <v/>
      </c>
      <c r="Q845">
        <f>IF(AND(ISNUMBER('자료_미국심리'!$G829),ISNUMBER('자료_미국심리'!$H829)),'자료_미국심리'!$G829,"")</f>
        <v/>
      </c>
    </row>
    <row r="846">
      <c r="A846" s="10">
        <f>IF(828&gt;$E$5,"",SMALL($O$19:$O$4018,$E$6+828))</f>
        <v/>
      </c>
      <c r="B846" s="29">
        <f>IF(A846="","",INDEX('자료_미국심리'!$B$3:$B$4002,MATCH(A846,$O$19:$O$4018,0)))</f>
        <v/>
      </c>
      <c r="C846" s="22">
        <f>IF(A846="","",B846/AVERAGE(B722:B846)-1)</f>
        <v/>
      </c>
      <c r="D846" s="29">
        <f>IF(A846="","",IFERROR(INDEX('자료_미국심리'!$E$3:$E$4002,MATCH(A846,$P$19:$P$4018,0)),D845))</f>
        <v/>
      </c>
      <c r="E846" s="29">
        <f>IF(A846="","",IFERROR(INDEX('자료_미국심리'!$H$3:$H$4002,MATCH(A846,$Q$19:$Q$4018,0)),E845))</f>
        <v/>
      </c>
      <c r="F846">
        <f>IF(A846="",0,IF(A846&gt;$B$5,1,0))</f>
        <v/>
      </c>
      <c r="G846" s="29">
        <f>IF(AND(F846=1,ISNUMBER(D846)),D846,"")</f>
        <v/>
      </c>
      <c r="H846" s="29">
        <f>IF(AND(F846=1,ISNUMBER(E846)),E846,"")</f>
        <v/>
      </c>
      <c r="I846" s="22">
        <f>IF(AND(F846=1,ISNUMBER(C846)),C846,"")</f>
        <v/>
      </c>
      <c r="J846" s="11">
        <f>IF(G846="","",100-IF($G$13=1,50,(_xlfn.RANK.AVG(G846,$G$19:$G$1518,1)-1)/($G$13-1)*100))</f>
        <v/>
      </c>
      <c r="K846" s="11">
        <f>IF(H846="","",100-IF($G$14=1,50,(_xlfn.RANK.AVG(H846,$H$19:$H$1518,1)-1)/($G$14-1)*100))</f>
        <v/>
      </c>
      <c r="L846" s="11">
        <f>IF(I846="","",IF($G$15=1,50,(_xlfn.RANK.AVG(I846,$I$19:$I$1518,1)-1)/($G$15-1)*100))</f>
        <v/>
      </c>
      <c r="M846" s="11">
        <f>IF(COUNT(J846:L846)=3,ROUND(AVERAGE(J846:L846),6),"")</f>
        <v/>
      </c>
      <c r="O846">
        <f>IF(AND(ISNUMBER('자료_미국심리'!$A830),ISNUMBER('자료_미국심리'!$B830)),'자료_미국심리'!$A830,"")</f>
        <v/>
      </c>
      <c r="P846">
        <f>IF(AND(ISNUMBER('자료_미국심리'!$D830),ISNUMBER('자료_미국심리'!$E830)),'자료_미국심리'!$D830,"")</f>
        <v/>
      </c>
      <c r="Q846">
        <f>IF(AND(ISNUMBER('자료_미국심리'!$G830),ISNUMBER('자료_미국심리'!$H830)),'자료_미국심리'!$G830,"")</f>
        <v/>
      </c>
    </row>
    <row r="847">
      <c r="A847" s="10">
        <f>IF(829&gt;$E$5,"",SMALL($O$19:$O$4018,$E$6+829))</f>
        <v/>
      </c>
      <c r="B847" s="29">
        <f>IF(A847="","",INDEX('자료_미국심리'!$B$3:$B$4002,MATCH(A847,$O$19:$O$4018,0)))</f>
        <v/>
      </c>
      <c r="C847" s="22">
        <f>IF(A847="","",B847/AVERAGE(B723:B847)-1)</f>
        <v/>
      </c>
      <c r="D847" s="29">
        <f>IF(A847="","",IFERROR(INDEX('자료_미국심리'!$E$3:$E$4002,MATCH(A847,$P$19:$P$4018,0)),D846))</f>
        <v/>
      </c>
      <c r="E847" s="29">
        <f>IF(A847="","",IFERROR(INDEX('자료_미국심리'!$H$3:$H$4002,MATCH(A847,$Q$19:$Q$4018,0)),E846))</f>
        <v/>
      </c>
      <c r="F847">
        <f>IF(A847="",0,IF(A847&gt;$B$5,1,0))</f>
        <v/>
      </c>
      <c r="G847" s="29">
        <f>IF(AND(F847=1,ISNUMBER(D847)),D847,"")</f>
        <v/>
      </c>
      <c r="H847" s="29">
        <f>IF(AND(F847=1,ISNUMBER(E847)),E847,"")</f>
        <v/>
      </c>
      <c r="I847" s="22">
        <f>IF(AND(F847=1,ISNUMBER(C847)),C847,"")</f>
        <v/>
      </c>
      <c r="J847" s="11">
        <f>IF(G847="","",100-IF($G$13=1,50,(_xlfn.RANK.AVG(G847,$G$19:$G$1518,1)-1)/($G$13-1)*100))</f>
        <v/>
      </c>
      <c r="K847" s="11">
        <f>IF(H847="","",100-IF($G$14=1,50,(_xlfn.RANK.AVG(H847,$H$19:$H$1518,1)-1)/($G$14-1)*100))</f>
        <v/>
      </c>
      <c r="L847" s="11">
        <f>IF(I847="","",IF($G$15=1,50,(_xlfn.RANK.AVG(I847,$I$19:$I$1518,1)-1)/($G$15-1)*100))</f>
        <v/>
      </c>
      <c r="M847" s="11">
        <f>IF(COUNT(J847:L847)=3,ROUND(AVERAGE(J847:L847),6),"")</f>
        <v/>
      </c>
      <c r="O847">
        <f>IF(AND(ISNUMBER('자료_미국심리'!$A831),ISNUMBER('자료_미국심리'!$B831)),'자료_미국심리'!$A831,"")</f>
        <v/>
      </c>
      <c r="P847">
        <f>IF(AND(ISNUMBER('자료_미국심리'!$D831),ISNUMBER('자료_미국심리'!$E831)),'자료_미국심리'!$D831,"")</f>
        <v/>
      </c>
      <c r="Q847">
        <f>IF(AND(ISNUMBER('자료_미국심리'!$G831),ISNUMBER('자료_미국심리'!$H831)),'자료_미국심리'!$G831,"")</f>
        <v/>
      </c>
    </row>
    <row r="848">
      <c r="A848" s="10">
        <f>IF(830&gt;$E$5,"",SMALL($O$19:$O$4018,$E$6+830))</f>
        <v/>
      </c>
      <c r="B848" s="29">
        <f>IF(A848="","",INDEX('자료_미국심리'!$B$3:$B$4002,MATCH(A848,$O$19:$O$4018,0)))</f>
        <v/>
      </c>
      <c r="C848" s="22">
        <f>IF(A848="","",B848/AVERAGE(B724:B848)-1)</f>
        <v/>
      </c>
      <c r="D848" s="29">
        <f>IF(A848="","",IFERROR(INDEX('자료_미국심리'!$E$3:$E$4002,MATCH(A848,$P$19:$P$4018,0)),D847))</f>
        <v/>
      </c>
      <c r="E848" s="29">
        <f>IF(A848="","",IFERROR(INDEX('자료_미국심리'!$H$3:$H$4002,MATCH(A848,$Q$19:$Q$4018,0)),E847))</f>
        <v/>
      </c>
      <c r="F848">
        <f>IF(A848="",0,IF(A848&gt;$B$5,1,0))</f>
        <v/>
      </c>
      <c r="G848" s="29">
        <f>IF(AND(F848=1,ISNUMBER(D848)),D848,"")</f>
        <v/>
      </c>
      <c r="H848" s="29">
        <f>IF(AND(F848=1,ISNUMBER(E848)),E848,"")</f>
        <v/>
      </c>
      <c r="I848" s="22">
        <f>IF(AND(F848=1,ISNUMBER(C848)),C848,"")</f>
        <v/>
      </c>
      <c r="J848" s="11">
        <f>IF(G848="","",100-IF($G$13=1,50,(_xlfn.RANK.AVG(G848,$G$19:$G$1518,1)-1)/($G$13-1)*100))</f>
        <v/>
      </c>
      <c r="K848" s="11">
        <f>IF(H848="","",100-IF($G$14=1,50,(_xlfn.RANK.AVG(H848,$H$19:$H$1518,1)-1)/($G$14-1)*100))</f>
        <v/>
      </c>
      <c r="L848" s="11">
        <f>IF(I848="","",IF($G$15=1,50,(_xlfn.RANK.AVG(I848,$I$19:$I$1518,1)-1)/($G$15-1)*100))</f>
        <v/>
      </c>
      <c r="M848" s="11">
        <f>IF(COUNT(J848:L848)=3,ROUND(AVERAGE(J848:L848),6),"")</f>
        <v/>
      </c>
      <c r="O848">
        <f>IF(AND(ISNUMBER('자료_미국심리'!$A832),ISNUMBER('자료_미국심리'!$B832)),'자료_미국심리'!$A832,"")</f>
        <v/>
      </c>
      <c r="P848">
        <f>IF(AND(ISNUMBER('자료_미국심리'!$D832),ISNUMBER('자료_미국심리'!$E832)),'자료_미국심리'!$D832,"")</f>
        <v/>
      </c>
      <c r="Q848">
        <f>IF(AND(ISNUMBER('자료_미국심리'!$G832),ISNUMBER('자료_미국심리'!$H832)),'자료_미국심리'!$G832,"")</f>
        <v/>
      </c>
    </row>
    <row r="849">
      <c r="A849" s="10">
        <f>IF(831&gt;$E$5,"",SMALL($O$19:$O$4018,$E$6+831))</f>
        <v/>
      </c>
      <c r="B849" s="29">
        <f>IF(A849="","",INDEX('자료_미국심리'!$B$3:$B$4002,MATCH(A849,$O$19:$O$4018,0)))</f>
        <v/>
      </c>
      <c r="C849" s="22">
        <f>IF(A849="","",B849/AVERAGE(B725:B849)-1)</f>
        <v/>
      </c>
      <c r="D849" s="29">
        <f>IF(A849="","",IFERROR(INDEX('자료_미국심리'!$E$3:$E$4002,MATCH(A849,$P$19:$P$4018,0)),D848))</f>
        <v/>
      </c>
      <c r="E849" s="29">
        <f>IF(A849="","",IFERROR(INDEX('자료_미국심리'!$H$3:$H$4002,MATCH(A849,$Q$19:$Q$4018,0)),E848))</f>
        <v/>
      </c>
      <c r="F849">
        <f>IF(A849="",0,IF(A849&gt;$B$5,1,0))</f>
        <v/>
      </c>
      <c r="G849" s="29">
        <f>IF(AND(F849=1,ISNUMBER(D849)),D849,"")</f>
        <v/>
      </c>
      <c r="H849" s="29">
        <f>IF(AND(F849=1,ISNUMBER(E849)),E849,"")</f>
        <v/>
      </c>
      <c r="I849" s="22">
        <f>IF(AND(F849=1,ISNUMBER(C849)),C849,"")</f>
        <v/>
      </c>
      <c r="J849" s="11">
        <f>IF(G849="","",100-IF($G$13=1,50,(_xlfn.RANK.AVG(G849,$G$19:$G$1518,1)-1)/($G$13-1)*100))</f>
        <v/>
      </c>
      <c r="K849" s="11">
        <f>IF(H849="","",100-IF($G$14=1,50,(_xlfn.RANK.AVG(H849,$H$19:$H$1518,1)-1)/($G$14-1)*100))</f>
        <v/>
      </c>
      <c r="L849" s="11">
        <f>IF(I849="","",IF($G$15=1,50,(_xlfn.RANK.AVG(I849,$I$19:$I$1518,1)-1)/($G$15-1)*100))</f>
        <v/>
      </c>
      <c r="M849" s="11">
        <f>IF(COUNT(J849:L849)=3,ROUND(AVERAGE(J849:L849),6),"")</f>
        <v/>
      </c>
      <c r="O849">
        <f>IF(AND(ISNUMBER('자료_미국심리'!$A833),ISNUMBER('자료_미국심리'!$B833)),'자료_미국심리'!$A833,"")</f>
        <v/>
      </c>
      <c r="P849">
        <f>IF(AND(ISNUMBER('자료_미국심리'!$D833),ISNUMBER('자료_미국심리'!$E833)),'자료_미국심리'!$D833,"")</f>
        <v/>
      </c>
      <c r="Q849">
        <f>IF(AND(ISNUMBER('자료_미국심리'!$G833),ISNUMBER('자료_미국심리'!$H833)),'자료_미국심리'!$G833,"")</f>
        <v/>
      </c>
    </row>
    <row r="850">
      <c r="A850" s="10">
        <f>IF(832&gt;$E$5,"",SMALL($O$19:$O$4018,$E$6+832))</f>
        <v/>
      </c>
      <c r="B850" s="29">
        <f>IF(A850="","",INDEX('자료_미국심리'!$B$3:$B$4002,MATCH(A850,$O$19:$O$4018,0)))</f>
        <v/>
      </c>
      <c r="C850" s="22">
        <f>IF(A850="","",B850/AVERAGE(B726:B850)-1)</f>
        <v/>
      </c>
      <c r="D850" s="29">
        <f>IF(A850="","",IFERROR(INDEX('자료_미국심리'!$E$3:$E$4002,MATCH(A850,$P$19:$P$4018,0)),D849))</f>
        <v/>
      </c>
      <c r="E850" s="29">
        <f>IF(A850="","",IFERROR(INDEX('자료_미국심리'!$H$3:$H$4002,MATCH(A850,$Q$19:$Q$4018,0)),E849))</f>
        <v/>
      </c>
      <c r="F850">
        <f>IF(A850="",0,IF(A850&gt;$B$5,1,0))</f>
        <v/>
      </c>
      <c r="G850" s="29">
        <f>IF(AND(F850=1,ISNUMBER(D850)),D850,"")</f>
        <v/>
      </c>
      <c r="H850" s="29">
        <f>IF(AND(F850=1,ISNUMBER(E850)),E850,"")</f>
        <v/>
      </c>
      <c r="I850" s="22">
        <f>IF(AND(F850=1,ISNUMBER(C850)),C850,"")</f>
        <v/>
      </c>
      <c r="J850" s="11">
        <f>IF(G850="","",100-IF($G$13=1,50,(_xlfn.RANK.AVG(G850,$G$19:$G$1518,1)-1)/($G$13-1)*100))</f>
        <v/>
      </c>
      <c r="K850" s="11">
        <f>IF(H850="","",100-IF($G$14=1,50,(_xlfn.RANK.AVG(H850,$H$19:$H$1518,1)-1)/($G$14-1)*100))</f>
        <v/>
      </c>
      <c r="L850" s="11">
        <f>IF(I850="","",IF($G$15=1,50,(_xlfn.RANK.AVG(I850,$I$19:$I$1518,1)-1)/($G$15-1)*100))</f>
        <v/>
      </c>
      <c r="M850" s="11">
        <f>IF(COUNT(J850:L850)=3,ROUND(AVERAGE(J850:L850),6),"")</f>
        <v/>
      </c>
      <c r="O850">
        <f>IF(AND(ISNUMBER('자료_미국심리'!$A834),ISNUMBER('자료_미국심리'!$B834)),'자료_미국심리'!$A834,"")</f>
        <v/>
      </c>
      <c r="P850">
        <f>IF(AND(ISNUMBER('자료_미국심리'!$D834),ISNUMBER('자료_미국심리'!$E834)),'자료_미국심리'!$D834,"")</f>
        <v/>
      </c>
      <c r="Q850">
        <f>IF(AND(ISNUMBER('자료_미국심리'!$G834),ISNUMBER('자료_미국심리'!$H834)),'자료_미국심리'!$G834,"")</f>
        <v/>
      </c>
    </row>
    <row r="851">
      <c r="A851" s="10">
        <f>IF(833&gt;$E$5,"",SMALL($O$19:$O$4018,$E$6+833))</f>
        <v/>
      </c>
      <c r="B851" s="29">
        <f>IF(A851="","",INDEX('자료_미국심리'!$B$3:$B$4002,MATCH(A851,$O$19:$O$4018,0)))</f>
        <v/>
      </c>
      <c r="C851" s="22">
        <f>IF(A851="","",B851/AVERAGE(B727:B851)-1)</f>
        <v/>
      </c>
      <c r="D851" s="29">
        <f>IF(A851="","",IFERROR(INDEX('자료_미국심리'!$E$3:$E$4002,MATCH(A851,$P$19:$P$4018,0)),D850))</f>
        <v/>
      </c>
      <c r="E851" s="29">
        <f>IF(A851="","",IFERROR(INDEX('자료_미국심리'!$H$3:$H$4002,MATCH(A851,$Q$19:$Q$4018,0)),E850))</f>
        <v/>
      </c>
      <c r="F851">
        <f>IF(A851="",0,IF(A851&gt;$B$5,1,0))</f>
        <v/>
      </c>
      <c r="G851" s="29">
        <f>IF(AND(F851=1,ISNUMBER(D851)),D851,"")</f>
        <v/>
      </c>
      <c r="H851" s="29">
        <f>IF(AND(F851=1,ISNUMBER(E851)),E851,"")</f>
        <v/>
      </c>
      <c r="I851" s="22">
        <f>IF(AND(F851=1,ISNUMBER(C851)),C851,"")</f>
        <v/>
      </c>
      <c r="J851" s="11">
        <f>IF(G851="","",100-IF($G$13=1,50,(_xlfn.RANK.AVG(G851,$G$19:$G$1518,1)-1)/($G$13-1)*100))</f>
        <v/>
      </c>
      <c r="K851" s="11">
        <f>IF(H851="","",100-IF($G$14=1,50,(_xlfn.RANK.AVG(H851,$H$19:$H$1518,1)-1)/($G$14-1)*100))</f>
        <v/>
      </c>
      <c r="L851" s="11">
        <f>IF(I851="","",IF($G$15=1,50,(_xlfn.RANK.AVG(I851,$I$19:$I$1518,1)-1)/($G$15-1)*100))</f>
        <v/>
      </c>
      <c r="M851" s="11">
        <f>IF(COUNT(J851:L851)=3,ROUND(AVERAGE(J851:L851),6),"")</f>
        <v/>
      </c>
      <c r="O851">
        <f>IF(AND(ISNUMBER('자료_미국심리'!$A835),ISNUMBER('자료_미국심리'!$B835)),'자료_미국심리'!$A835,"")</f>
        <v/>
      </c>
      <c r="P851">
        <f>IF(AND(ISNUMBER('자료_미국심리'!$D835),ISNUMBER('자료_미국심리'!$E835)),'자료_미국심리'!$D835,"")</f>
        <v/>
      </c>
      <c r="Q851">
        <f>IF(AND(ISNUMBER('자료_미국심리'!$G835),ISNUMBER('자료_미국심리'!$H835)),'자료_미국심리'!$G835,"")</f>
        <v/>
      </c>
    </row>
    <row r="852">
      <c r="A852" s="10">
        <f>IF(834&gt;$E$5,"",SMALL($O$19:$O$4018,$E$6+834))</f>
        <v/>
      </c>
      <c r="B852" s="29">
        <f>IF(A852="","",INDEX('자료_미국심리'!$B$3:$B$4002,MATCH(A852,$O$19:$O$4018,0)))</f>
        <v/>
      </c>
      <c r="C852" s="22">
        <f>IF(A852="","",B852/AVERAGE(B728:B852)-1)</f>
        <v/>
      </c>
      <c r="D852" s="29">
        <f>IF(A852="","",IFERROR(INDEX('자료_미국심리'!$E$3:$E$4002,MATCH(A852,$P$19:$P$4018,0)),D851))</f>
        <v/>
      </c>
      <c r="E852" s="29">
        <f>IF(A852="","",IFERROR(INDEX('자료_미국심리'!$H$3:$H$4002,MATCH(A852,$Q$19:$Q$4018,0)),E851))</f>
        <v/>
      </c>
      <c r="F852">
        <f>IF(A852="",0,IF(A852&gt;$B$5,1,0))</f>
        <v/>
      </c>
      <c r="G852" s="29">
        <f>IF(AND(F852=1,ISNUMBER(D852)),D852,"")</f>
        <v/>
      </c>
      <c r="H852" s="29">
        <f>IF(AND(F852=1,ISNUMBER(E852)),E852,"")</f>
        <v/>
      </c>
      <c r="I852" s="22">
        <f>IF(AND(F852=1,ISNUMBER(C852)),C852,"")</f>
        <v/>
      </c>
      <c r="J852" s="11">
        <f>IF(G852="","",100-IF($G$13=1,50,(_xlfn.RANK.AVG(G852,$G$19:$G$1518,1)-1)/($G$13-1)*100))</f>
        <v/>
      </c>
      <c r="K852" s="11">
        <f>IF(H852="","",100-IF($G$14=1,50,(_xlfn.RANK.AVG(H852,$H$19:$H$1518,1)-1)/($G$14-1)*100))</f>
        <v/>
      </c>
      <c r="L852" s="11">
        <f>IF(I852="","",IF($G$15=1,50,(_xlfn.RANK.AVG(I852,$I$19:$I$1518,1)-1)/($G$15-1)*100))</f>
        <v/>
      </c>
      <c r="M852" s="11">
        <f>IF(COUNT(J852:L852)=3,ROUND(AVERAGE(J852:L852),6),"")</f>
        <v/>
      </c>
      <c r="O852">
        <f>IF(AND(ISNUMBER('자료_미국심리'!$A836),ISNUMBER('자료_미국심리'!$B836)),'자료_미국심리'!$A836,"")</f>
        <v/>
      </c>
      <c r="P852">
        <f>IF(AND(ISNUMBER('자료_미국심리'!$D836),ISNUMBER('자료_미국심리'!$E836)),'자료_미국심리'!$D836,"")</f>
        <v/>
      </c>
      <c r="Q852">
        <f>IF(AND(ISNUMBER('자료_미국심리'!$G836),ISNUMBER('자료_미국심리'!$H836)),'자료_미국심리'!$G836,"")</f>
        <v/>
      </c>
    </row>
    <row r="853">
      <c r="A853" s="10">
        <f>IF(835&gt;$E$5,"",SMALL($O$19:$O$4018,$E$6+835))</f>
        <v/>
      </c>
      <c r="B853" s="29">
        <f>IF(A853="","",INDEX('자료_미국심리'!$B$3:$B$4002,MATCH(A853,$O$19:$O$4018,0)))</f>
        <v/>
      </c>
      <c r="C853" s="22">
        <f>IF(A853="","",B853/AVERAGE(B729:B853)-1)</f>
        <v/>
      </c>
      <c r="D853" s="29">
        <f>IF(A853="","",IFERROR(INDEX('자료_미국심리'!$E$3:$E$4002,MATCH(A853,$P$19:$P$4018,0)),D852))</f>
        <v/>
      </c>
      <c r="E853" s="29">
        <f>IF(A853="","",IFERROR(INDEX('자료_미국심리'!$H$3:$H$4002,MATCH(A853,$Q$19:$Q$4018,0)),E852))</f>
        <v/>
      </c>
      <c r="F853">
        <f>IF(A853="",0,IF(A853&gt;$B$5,1,0))</f>
        <v/>
      </c>
      <c r="G853" s="29">
        <f>IF(AND(F853=1,ISNUMBER(D853)),D853,"")</f>
        <v/>
      </c>
      <c r="H853" s="29">
        <f>IF(AND(F853=1,ISNUMBER(E853)),E853,"")</f>
        <v/>
      </c>
      <c r="I853" s="22">
        <f>IF(AND(F853=1,ISNUMBER(C853)),C853,"")</f>
        <v/>
      </c>
      <c r="J853" s="11">
        <f>IF(G853="","",100-IF($G$13=1,50,(_xlfn.RANK.AVG(G853,$G$19:$G$1518,1)-1)/($G$13-1)*100))</f>
        <v/>
      </c>
      <c r="K853" s="11">
        <f>IF(H853="","",100-IF($G$14=1,50,(_xlfn.RANK.AVG(H853,$H$19:$H$1518,1)-1)/($G$14-1)*100))</f>
        <v/>
      </c>
      <c r="L853" s="11">
        <f>IF(I853="","",IF($G$15=1,50,(_xlfn.RANK.AVG(I853,$I$19:$I$1518,1)-1)/($G$15-1)*100))</f>
        <v/>
      </c>
      <c r="M853" s="11">
        <f>IF(COUNT(J853:L853)=3,ROUND(AVERAGE(J853:L853),6),"")</f>
        <v/>
      </c>
      <c r="O853">
        <f>IF(AND(ISNUMBER('자료_미국심리'!$A837),ISNUMBER('자료_미국심리'!$B837)),'자료_미국심리'!$A837,"")</f>
        <v/>
      </c>
      <c r="P853">
        <f>IF(AND(ISNUMBER('자료_미국심리'!$D837),ISNUMBER('자료_미국심리'!$E837)),'자료_미국심리'!$D837,"")</f>
        <v/>
      </c>
      <c r="Q853">
        <f>IF(AND(ISNUMBER('자료_미국심리'!$G837),ISNUMBER('자료_미국심리'!$H837)),'자료_미국심리'!$G837,"")</f>
        <v/>
      </c>
    </row>
    <row r="854">
      <c r="A854" s="10">
        <f>IF(836&gt;$E$5,"",SMALL($O$19:$O$4018,$E$6+836))</f>
        <v/>
      </c>
      <c r="B854" s="29">
        <f>IF(A854="","",INDEX('자료_미국심리'!$B$3:$B$4002,MATCH(A854,$O$19:$O$4018,0)))</f>
        <v/>
      </c>
      <c r="C854" s="22">
        <f>IF(A854="","",B854/AVERAGE(B730:B854)-1)</f>
        <v/>
      </c>
      <c r="D854" s="29">
        <f>IF(A854="","",IFERROR(INDEX('자료_미국심리'!$E$3:$E$4002,MATCH(A854,$P$19:$P$4018,0)),D853))</f>
        <v/>
      </c>
      <c r="E854" s="29">
        <f>IF(A854="","",IFERROR(INDEX('자료_미국심리'!$H$3:$H$4002,MATCH(A854,$Q$19:$Q$4018,0)),E853))</f>
        <v/>
      </c>
      <c r="F854">
        <f>IF(A854="",0,IF(A854&gt;$B$5,1,0))</f>
        <v/>
      </c>
      <c r="G854" s="29">
        <f>IF(AND(F854=1,ISNUMBER(D854)),D854,"")</f>
        <v/>
      </c>
      <c r="H854" s="29">
        <f>IF(AND(F854=1,ISNUMBER(E854)),E854,"")</f>
        <v/>
      </c>
      <c r="I854" s="22">
        <f>IF(AND(F854=1,ISNUMBER(C854)),C854,"")</f>
        <v/>
      </c>
      <c r="J854" s="11">
        <f>IF(G854="","",100-IF($G$13=1,50,(_xlfn.RANK.AVG(G854,$G$19:$G$1518,1)-1)/($G$13-1)*100))</f>
        <v/>
      </c>
      <c r="K854" s="11">
        <f>IF(H854="","",100-IF($G$14=1,50,(_xlfn.RANK.AVG(H854,$H$19:$H$1518,1)-1)/($G$14-1)*100))</f>
        <v/>
      </c>
      <c r="L854" s="11">
        <f>IF(I854="","",IF($G$15=1,50,(_xlfn.RANK.AVG(I854,$I$19:$I$1518,1)-1)/($G$15-1)*100))</f>
        <v/>
      </c>
      <c r="M854" s="11">
        <f>IF(COUNT(J854:L854)=3,ROUND(AVERAGE(J854:L854),6),"")</f>
        <v/>
      </c>
      <c r="O854">
        <f>IF(AND(ISNUMBER('자료_미국심리'!$A838),ISNUMBER('자료_미국심리'!$B838)),'자료_미국심리'!$A838,"")</f>
        <v/>
      </c>
      <c r="P854">
        <f>IF(AND(ISNUMBER('자료_미국심리'!$D838),ISNUMBER('자료_미국심리'!$E838)),'자료_미국심리'!$D838,"")</f>
        <v/>
      </c>
      <c r="Q854">
        <f>IF(AND(ISNUMBER('자료_미국심리'!$G838),ISNUMBER('자료_미국심리'!$H838)),'자료_미국심리'!$G838,"")</f>
        <v/>
      </c>
    </row>
    <row r="855">
      <c r="A855" s="10">
        <f>IF(837&gt;$E$5,"",SMALL($O$19:$O$4018,$E$6+837))</f>
        <v/>
      </c>
      <c r="B855" s="29">
        <f>IF(A855="","",INDEX('자료_미국심리'!$B$3:$B$4002,MATCH(A855,$O$19:$O$4018,0)))</f>
        <v/>
      </c>
      <c r="C855" s="22">
        <f>IF(A855="","",B855/AVERAGE(B731:B855)-1)</f>
        <v/>
      </c>
      <c r="D855" s="29">
        <f>IF(A855="","",IFERROR(INDEX('자료_미국심리'!$E$3:$E$4002,MATCH(A855,$P$19:$P$4018,0)),D854))</f>
        <v/>
      </c>
      <c r="E855" s="29">
        <f>IF(A855="","",IFERROR(INDEX('자료_미국심리'!$H$3:$H$4002,MATCH(A855,$Q$19:$Q$4018,0)),E854))</f>
        <v/>
      </c>
      <c r="F855">
        <f>IF(A855="",0,IF(A855&gt;$B$5,1,0))</f>
        <v/>
      </c>
      <c r="G855" s="29">
        <f>IF(AND(F855=1,ISNUMBER(D855)),D855,"")</f>
        <v/>
      </c>
      <c r="H855" s="29">
        <f>IF(AND(F855=1,ISNUMBER(E855)),E855,"")</f>
        <v/>
      </c>
      <c r="I855" s="22">
        <f>IF(AND(F855=1,ISNUMBER(C855)),C855,"")</f>
        <v/>
      </c>
      <c r="J855" s="11">
        <f>IF(G855="","",100-IF($G$13=1,50,(_xlfn.RANK.AVG(G855,$G$19:$G$1518,1)-1)/($G$13-1)*100))</f>
        <v/>
      </c>
      <c r="K855" s="11">
        <f>IF(H855="","",100-IF($G$14=1,50,(_xlfn.RANK.AVG(H855,$H$19:$H$1518,1)-1)/($G$14-1)*100))</f>
        <v/>
      </c>
      <c r="L855" s="11">
        <f>IF(I855="","",IF($G$15=1,50,(_xlfn.RANK.AVG(I855,$I$19:$I$1518,1)-1)/($G$15-1)*100))</f>
        <v/>
      </c>
      <c r="M855" s="11">
        <f>IF(COUNT(J855:L855)=3,ROUND(AVERAGE(J855:L855),6),"")</f>
        <v/>
      </c>
      <c r="O855">
        <f>IF(AND(ISNUMBER('자료_미국심리'!$A839),ISNUMBER('자료_미국심리'!$B839)),'자료_미국심리'!$A839,"")</f>
        <v/>
      </c>
      <c r="P855">
        <f>IF(AND(ISNUMBER('자료_미국심리'!$D839),ISNUMBER('자료_미국심리'!$E839)),'자료_미국심리'!$D839,"")</f>
        <v/>
      </c>
      <c r="Q855">
        <f>IF(AND(ISNUMBER('자료_미국심리'!$G839),ISNUMBER('자료_미국심리'!$H839)),'자료_미국심리'!$G839,"")</f>
        <v/>
      </c>
    </row>
    <row r="856">
      <c r="A856" s="10">
        <f>IF(838&gt;$E$5,"",SMALL($O$19:$O$4018,$E$6+838))</f>
        <v/>
      </c>
      <c r="B856" s="29">
        <f>IF(A856="","",INDEX('자료_미국심리'!$B$3:$B$4002,MATCH(A856,$O$19:$O$4018,0)))</f>
        <v/>
      </c>
      <c r="C856" s="22">
        <f>IF(A856="","",B856/AVERAGE(B732:B856)-1)</f>
        <v/>
      </c>
      <c r="D856" s="29">
        <f>IF(A856="","",IFERROR(INDEX('자료_미국심리'!$E$3:$E$4002,MATCH(A856,$P$19:$P$4018,0)),D855))</f>
        <v/>
      </c>
      <c r="E856" s="29">
        <f>IF(A856="","",IFERROR(INDEX('자료_미국심리'!$H$3:$H$4002,MATCH(A856,$Q$19:$Q$4018,0)),E855))</f>
        <v/>
      </c>
      <c r="F856">
        <f>IF(A856="",0,IF(A856&gt;$B$5,1,0))</f>
        <v/>
      </c>
      <c r="G856" s="29">
        <f>IF(AND(F856=1,ISNUMBER(D856)),D856,"")</f>
        <v/>
      </c>
      <c r="H856" s="29">
        <f>IF(AND(F856=1,ISNUMBER(E856)),E856,"")</f>
        <v/>
      </c>
      <c r="I856" s="22">
        <f>IF(AND(F856=1,ISNUMBER(C856)),C856,"")</f>
        <v/>
      </c>
      <c r="J856" s="11">
        <f>IF(G856="","",100-IF($G$13=1,50,(_xlfn.RANK.AVG(G856,$G$19:$G$1518,1)-1)/($G$13-1)*100))</f>
        <v/>
      </c>
      <c r="K856" s="11">
        <f>IF(H856="","",100-IF($G$14=1,50,(_xlfn.RANK.AVG(H856,$H$19:$H$1518,1)-1)/($G$14-1)*100))</f>
        <v/>
      </c>
      <c r="L856" s="11">
        <f>IF(I856="","",IF($G$15=1,50,(_xlfn.RANK.AVG(I856,$I$19:$I$1518,1)-1)/($G$15-1)*100))</f>
        <v/>
      </c>
      <c r="M856" s="11">
        <f>IF(COUNT(J856:L856)=3,ROUND(AVERAGE(J856:L856),6),"")</f>
        <v/>
      </c>
      <c r="O856">
        <f>IF(AND(ISNUMBER('자료_미국심리'!$A840),ISNUMBER('자료_미국심리'!$B840)),'자료_미국심리'!$A840,"")</f>
        <v/>
      </c>
      <c r="P856">
        <f>IF(AND(ISNUMBER('자료_미국심리'!$D840),ISNUMBER('자료_미국심리'!$E840)),'자료_미국심리'!$D840,"")</f>
        <v/>
      </c>
      <c r="Q856">
        <f>IF(AND(ISNUMBER('자료_미국심리'!$G840),ISNUMBER('자료_미국심리'!$H840)),'자료_미국심리'!$G840,"")</f>
        <v/>
      </c>
    </row>
    <row r="857">
      <c r="A857" s="10">
        <f>IF(839&gt;$E$5,"",SMALL($O$19:$O$4018,$E$6+839))</f>
        <v/>
      </c>
      <c r="B857" s="29">
        <f>IF(A857="","",INDEX('자료_미국심리'!$B$3:$B$4002,MATCH(A857,$O$19:$O$4018,0)))</f>
        <v/>
      </c>
      <c r="C857" s="22">
        <f>IF(A857="","",B857/AVERAGE(B733:B857)-1)</f>
        <v/>
      </c>
      <c r="D857" s="29">
        <f>IF(A857="","",IFERROR(INDEX('자료_미국심리'!$E$3:$E$4002,MATCH(A857,$P$19:$P$4018,0)),D856))</f>
        <v/>
      </c>
      <c r="E857" s="29">
        <f>IF(A857="","",IFERROR(INDEX('자료_미국심리'!$H$3:$H$4002,MATCH(A857,$Q$19:$Q$4018,0)),E856))</f>
        <v/>
      </c>
      <c r="F857">
        <f>IF(A857="",0,IF(A857&gt;$B$5,1,0))</f>
        <v/>
      </c>
      <c r="G857" s="29">
        <f>IF(AND(F857=1,ISNUMBER(D857)),D857,"")</f>
        <v/>
      </c>
      <c r="H857" s="29">
        <f>IF(AND(F857=1,ISNUMBER(E857)),E857,"")</f>
        <v/>
      </c>
      <c r="I857" s="22">
        <f>IF(AND(F857=1,ISNUMBER(C857)),C857,"")</f>
        <v/>
      </c>
      <c r="J857" s="11">
        <f>IF(G857="","",100-IF($G$13=1,50,(_xlfn.RANK.AVG(G857,$G$19:$G$1518,1)-1)/($G$13-1)*100))</f>
        <v/>
      </c>
      <c r="K857" s="11">
        <f>IF(H857="","",100-IF($G$14=1,50,(_xlfn.RANK.AVG(H857,$H$19:$H$1518,1)-1)/($G$14-1)*100))</f>
        <v/>
      </c>
      <c r="L857" s="11">
        <f>IF(I857="","",IF($G$15=1,50,(_xlfn.RANK.AVG(I857,$I$19:$I$1518,1)-1)/($G$15-1)*100))</f>
        <v/>
      </c>
      <c r="M857" s="11">
        <f>IF(COUNT(J857:L857)=3,ROUND(AVERAGE(J857:L857),6),"")</f>
        <v/>
      </c>
      <c r="O857">
        <f>IF(AND(ISNUMBER('자료_미국심리'!$A841),ISNUMBER('자료_미국심리'!$B841)),'자료_미국심리'!$A841,"")</f>
        <v/>
      </c>
      <c r="P857">
        <f>IF(AND(ISNUMBER('자료_미국심리'!$D841),ISNUMBER('자료_미국심리'!$E841)),'자료_미국심리'!$D841,"")</f>
        <v/>
      </c>
      <c r="Q857">
        <f>IF(AND(ISNUMBER('자료_미국심리'!$G841),ISNUMBER('자료_미국심리'!$H841)),'자료_미국심리'!$G841,"")</f>
        <v/>
      </c>
    </row>
    <row r="858">
      <c r="A858" s="10">
        <f>IF(840&gt;$E$5,"",SMALL($O$19:$O$4018,$E$6+840))</f>
        <v/>
      </c>
      <c r="B858" s="29">
        <f>IF(A858="","",INDEX('자료_미국심리'!$B$3:$B$4002,MATCH(A858,$O$19:$O$4018,0)))</f>
        <v/>
      </c>
      <c r="C858" s="22">
        <f>IF(A858="","",B858/AVERAGE(B734:B858)-1)</f>
        <v/>
      </c>
      <c r="D858" s="29">
        <f>IF(A858="","",IFERROR(INDEX('자료_미국심리'!$E$3:$E$4002,MATCH(A858,$P$19:$P$4018,0)),D857))</f>
        <v/>
      </c>
      <c r="E858" s="29">
        <f>IF(A858="","",IFERROR(INDEX('자료_미국심리'!$H$3:$H$4002,MATCH(A858,$Q$19:$Q$4018,0)),E857))</f>
        <v/>
      </c>
      <c r="F858">
        <f>IF(A858="",0,IF(A858&gt;$B$5,1,0))</f>
        <v/>
      </c>
      <c r="G858" s="29">
        <f>IF(AND(F858=1,ISNUMBER(D858)),D858,"")</f>
        <v/>
      </c>
      <c r="H858" s="29">
        <f>IF(AND(F858=1,ISNUMBER(E858)),E858,"")</f>
        <v/>
      </c>
      <c r="I858" s="22">
        <f>IF(AND(F858=1,ISNUMBER(C858)),C858,"")</f>
        <v/>
      </c>
      <c r="J858" s="11">
        <f>IF(G858="","",100-IF($G$13=1,50,(_xlfn.RANK.AVG(G858,$G$19:$G$1518,1)-1)/($G$13-1)*100))</f>
        <v/>
      </c>
      <c r="K858" s="11">
        <f>IF(H858="","",100-IF($G$14=1,50,(_xlfn.RANK.AVG(H858,$H$19:$H$1518,1)-1)/($G$14-1)*100))</f>
        <v/>
      </c>
      <c r="L858" s="11">
        <f>IF(I858="","",IF($G$15=1,50,(_xlfn.RANK.AVG(I858,$I$19:$I$1518,1)-1)/($G$15-1)*100))</f>
        <v/>
      </c>
      <c r="M858" s="11">
        <f>IF(COUNT(J858:L858)=3,ROUND(AVERAGE(J858:L858),6),"")</f>
        <v/>
      </c>
      <c r="O858">
        <f>IF(AND(ISNUMBER('자료_미국심리'!$A842),ISNUMBER('자료_미국심리'!$B842)),'자료_미국심리'!$A842,"")</f>
        <v/>
      </c>
      <c r="P858">
        <f>IF(AND(ISNUMBER('자료_미국심리'!$D842),ISNUMBER('자료_미국심리'!$E842)),'자료_미국심리'!$D842,"")</f>
        <v/>
      </c>
      <c r="Q858">
        <f>IF(AND(ISNUMBER('자료_미국심리'!$G842),ISNUMBER('자료_미국심리'!$H842)),'자료_미국심리'!$G842,"")</f>
        <v/>
      </c>
    </row>
    <row r="859">
      <c r="A859" s="10">
        <f>IF(841&gt;$E$5,"",SMALL($O$19:$O$4018,$E$6+841))</f>
        <v/>
      </c>
      <c r="B859" s="29">
        <f>IF(A859="","",INDEX('자료_미국심리'!$B$3:$B$4002,MATCH(A859,$O$19:$O$4018,0)))</f>
        <v/>
      </c>
      <c r="C859" s="22">
        <f>IF(A859="","",B859/AVERAGE(B735:B859)-1)</f>
        <v/>
      </c>
      <c r="D859" s="29">
        <f>IF(A859="","",IFERROR(INDEX('자료_미국심리'!$E$3:$E$4002,MATCH(A859,$P$19:$P$4018,0)),D858))</f>
        <v/>
      </c>
      <c r="E859" s="29">
        <f>IF(A859="","",IFERROR(INDEX('자료_미국심리'!$H$3:$H$4002,MATCH(A859,$Q$19:$Q$4018,0)),E858))</f>
        <v/>
      </c>
      <c r="F859">
        <f>IF(A859="",0,IF(A859&gt;$B$5,1,0))</f>
        <v/>
      </c>
      <c r="G859" s="29">
        <f>IF(AND(F859=1,ISNUMBER(D859)),D859,"")</f>
        <v/>
      </c>
      <c r="H859" s="29">
        <f>IF(AND(F859=1,ISNUMBER(E859)),E859,"")</f>
        <v/>
      </c>
      <c r="I859" s="22">
        <f>IF(AND(F859=1,ISNUMBER(C859)),C859,"")</f>
        <v/>
      </c>
      <c r="J859" s="11">
        <f>IF(G859="","",100-IF($G$13=1,50,(_xlfn.RANK.AVG(G859,$G$19:$G$1518,1)-1)/($G$13-1)*100))</f>
        <v/>
      </c>
      <c r="K859" s="11">
        <f>IF(H859="","",100-IF($G$14=1,50,(_xlfn.RANK.AVG(H859,$H$19:$H$1518,1)-1)/($G$14-1)*100))</f>
        <v/>
      </c>
      <c r="L859" s="11">
        <f>IF(I859="","",IF($G$15=1,50,(_xlfn.RANK.AVG(I859,$I$19:$I$1518,1)-1)/($G$15-1)*100))</f>
        <v/>
      </c>
      <c r="M859" s="11">
        <f>IF(COUNT(J859:L859)=3,ROUND(AVERAGE(J859:L859),6),"")</f>
        <v/>
      </c>
      <c r="O859">
        <f>IF(AND(ISNUMBER('자료_미국심리'!$A843),ISNUMBER('자료_미국심리'!$B843)),'자료_미국심리'!$A843,"")</f>
        <v/>
      </c>
      <c r="P859">
        <f>IF(AND(ISNUMBER('자료_미국심리'!$D843),ISNUMBER('자료_미국심리'!$E843)),'자료_미국심리'!$D843,"")</f>
        <v/>
      </c>
      <c r="Q859">
        <f>IF(AND(ISNUMBER('자료_미국심리'!$G843),ISNUMBER('자료_미국심리'!$H843)),'자료_미국심리'!$G843,"")</f>
        <v/>
      </c>
    </row>
    <row r="860">
      <c r="A860" s="10">
        <f>IF(842&gt;$E$5,"",SMALL($O$19:$O$4018,$E$6+842))</f>
        <v/>
      </c>
      <c r="B860" s="29">
        <f>IF(A860="","",INDEX('자료_미국심리'!$B$3:$B$4002,MATCH(A860,$O$19:$O$4018,0)))</f>
        <v/>
      </c>
      <c r="C860" s="22">
        <f>IF(A860="","",B860/AVERAGE(B736:B860)-1)</f>
        <v/>
      </c>
      <c r="D860" s="29">
        <f>IF(A860="","",IFERROR(INDEX('자료_미국심리'!$E$3:$E$4002,MATCH(A860,$P$19:$P$4018,0)),D859))</f>
        <v/>
      </c>
      <c r="E860" s="29">
        <f>IF(A860="","",IFERROR(INDEX('자료_미국심리'!$H$3:$H$4002,MATCH(A860,$Q$19:$Q$4018,0)),E859))</f>
        <v/>
      </c>
      <c r="F860">
        <f>IF(A860="",0,IF(A860&gt;$B$5,1,0))</f>
        <v/>
      </c>
      <c r="G860" s="29">
        <f>IF(AND(F860=1,ISNUMBER(D860)),D860,"")</f>
        <v/>
      </c>
      <c r="H860" s="29">
        <f>IF(AND(F860=1,ISNUMBER(E860)),E860,"")</f>
        <v/>
      </c>
      <c r="I860" s="22">
        <f>IF(AND(F860=1,ISNUMBER(C860)),C860,"")</f>
        <v/>
      </c>
      <c r="J860" s="11">
        <f>IF(G860="","",100-IF($G$13=1,50,(_xlfn.RANK.AVG(G860,$G$19:$G$1518,1)-1)/($G$13-1)*100))</f>
        <v/>
      </c>
      <c r="K860" s="11">
        <f>IF(H860="","",100-IF($G$14=1,50,(_xlfn.RANK.AVG(H860,$H$19:$H$1518,1)-1)/($G$14-1)*100))</f>
        <v/>
      </c>
      <c r="L860" s="11">
        <f>IF(I860="","",IF($G$15=1,50,(_xlfn.RANK.AVG(I860,$I$19:$I$1518,1)-1)/($G$15-1)*100))</f>
        <v/>
      </c>
      <c r="M860" s="11">
        <f>IF(COUNT(J860:L860)=3,ROUND(AVERAGE(J860:L860),6),"")</f>
        <v/>
      </c>
      <c r="O860">
        <f>IF(AND(ISNUMBER('자료_미국심리'!$A844),ISNUMBER('자료_미국심리'!$B844)),'자료_미국심리'!$A844,"")</f>
        <v/>
      </c>
      <c r="P860">
        <f>IF(AND(ISNUMBER('자료_미국심리'!$D844),ISNUMBER('자료_미국심리'!$E844)),'자료_미국심리'!$D844,"")</f>
        <v/>
      </c>
      <c r="Q860">
        <f>IF(AND(ISNUMBER('자료_미국심리'!$G844),ISNUMBER('자료_미국심리'!$H844)),'자료_미국심리'!$G844,"")</f>
        <v/>
      </c>
    </row>
    <row r="861">
      <c r="A861" s="10">
        <f>IF(843&gt;$E$5,"",SMALL($O$19:$O$4018,$E$6+843))</f>
        <v/>
      </c>
      <c r="B861" s="29">
        <f>IF(A861="","",INDEX('자료_미국심리'!$B$3:$B$4002,MATCH(A861,$O$19:$O$4018,0)))</f>
        <v/>
      </c>
      <c r="C861" s="22">
        <f>IF(A861="","",B861/AVERAGE(B737:B861)-1)</f>
        <v/>
      </c>
      <c r="D861" s="29">
        <f>IF(A861="","",IFERROR(INDEX('자료_미국심리'!$E$3:$E$4002,MATCH(A861,$P$19:$P$4018,0)),D860))</f>
        <v/>
      </c>
      <c r="E861" s="29">
        <f>IF(A861="","",IFERROR(INDEX('자료_미국심리'!$H$3:$H$4002,MATCH(A861,$Q$19:$Q$4018,0)),E860))</f>
        <v/>
      </c>
      <c r="F861">
        <f>IF(A861="",0,IF(A861&gt;$B$5,1,0))</f>
        <v/>
      </c>
      <c r="G861" s="29">
        <f>IF(AND(F861=1,ISNUMBER(D861)),D861,"")</f>
        <v/>
      </c>
      <c r="H861" s="29">
        <f>IF(AND(F861=1,ISNUMBER(E861)),E861,"")</f>
        <v/>
      </c>
      <c r="I861" s="22">
        <f>IF(AND(F861=1,ISNUMBER(C861)),C861,"")</f>
        <v/>
      </c>
      <c r="J861" s="11">
        <f>IF(G861="","",100-IF($G$13=1,50,(_xlfn.RANK.AVG(G861,$G$19:$G$1518,1)-1)/($G$13-1)*100))</f>
        <v/>
      </c>
      <c r="K861" s="11">
        <f>IF(H861="","",100-IF($G$14=1,50,(_xlfn.RANK.AVG(H861,$H$19:$H$1518,1)-1)/($G$14-1)*100))</f>
        <v/>
      </c>
      <c r="L861" s="11">
        <f>IF(I861="","",IF($G$15=1,50,(_xlfn.RANK.AVG(I861,$I$19:$I$1518,1)-1)/($G$15-1)*100))</f>
        <v/>
      </c>
      <c r="M861" s="11">
        <f>IF(COUNT(J861:L861)=3,ROUND(AVERAGE(J861:L861),6),"")</f>
        <v/>
      </c>
      <c r="O861">
        <f>IF(AND(ISNUMBER('자료_미국심리'!$A845),ISNUMBER('자료_미국심리'!$B845)),'자료_미국심리'!$A845,"")</f>
        <v/>
      </c>
      <c r="P861">
        <f>IF(AND(ISNUMBER('자료_미국심리'!$D845),ISNUMBER('자료_미국심리'!$E845)),'자료_미국심리'!$D845,"")</f>
        <v/>
      </c>
      <c r="Q861">
        <f>IF(AND(ISNUMBER('자료_미국심리'!$G845),ISNUMBER('자료_미국심리'!$H845)),'자료_미국심리'!$G845,"")</f>
        <v/>
      </c>
    </row>
    <row r="862">
      <c r="A862" s="10">
        <f>IF(844&gt;$E$5,"",SMALL($O$19:$O$4018,$E$6+844))</f>
        <v/>
      </c>
      <c r="B862" s="29">
        <f>IF(A862="","",INDEX('자료_미국심리'!$B$3:$B$4002,MATCH(A862,$O$19:$O$4018,0)))</f>
        <v/>
      </c>
      <c r="C862" s="22">
        <f>IF(A862="","",B862/AVERAGE(B738:B862)-1)</f>
        <v/>
      </c>
      <c r="D862" s="29">
        <f>IF(A862="","",IFERROR(INDEX('자료_미국심리'!$E$3:$E$4002,MATCH(A862,$P$19:$P$4018,0)),D861))</f>
        <v/>
      </c>
      <c r="E862" s="29">
        <f>IF(A862="","",IFERROR(INDEX('자료_미국심리'!$H$3:$H$4002,MATCH(A862,$Q$19:$Q$4018,0)),E861))</f>
        <v/>
      </c>
      <c r="F862">
        <f>IF(A862="",0,IF(A862&gt;$B$5,1,0))</f>
        <v/>
      </c>
      <c r="G862" s="29">
        <f>IF(AND(F862=1,ISNUMBER(D862)),D862,"")</f>
        <v/>
      </c>
      <c r="H862" s="29">
        <f>IF(AND(F862=1,ISNUMBER(E862)),E862,"")</f>
        <v/>
      </c>
      <c r="I862" s="22">
        <f>IF(AND(F862=1,ISNUMBER(C862)),C862,"")</f>
        <v/>
      </c>
      <c r="J862" s="11">
        <f>IF(G862="","",100-IF($G$13=1,50,(_xlfn.RANK.AVG(G862,$G$19:$G$1518,1)-1)/($G$13-1)*100))</f>
        <v/>
      </c>
      <c r="K862" s="11">
        <f>IF(H862="","",100-IF($G$14=1,50,(_xlfn.RANK.AVG(H862,$H$19:$H$1518,1)-1)/($G$14-1)*100))</f>
        <v/>
      </c>
      <c r="L862" s="11">
        <f>IF(I862="","",IF($G$15=1,50,(_xlfn.RANK.AVG(I862,$I$19:$I$1518,1)-1)/($G$15-1)*100))</f>
        <v/>
      </c>
      <c r="M862" s="11">
        <f>IF(COUNT(J862:L862)=3,ROUND(AVERAGE(J862:L862),6),"")</f>
        <v/>
      </c>
      <c r="O862">
        <f>IF(AND(ISNUMBER('자료_미국심리'!$A846),ISNUMBER('자료_미국심리'!$B846)),'자료_미국심리'!$A846,"")</f>
        <v/>
      </c>
      <c r="P862">
        <f>IF(AND(ISNUMBER('자료_미국심리'!$D846),ISNUMBER('자료_미국심리'!$E846)),'자료_미국심리'!$D846,"")</f>
        <v/>
      </c>
      <c r="Q862">
        <f>IF(AND(ISNUMBER('자료_미국심리'!$G846),ISNUMBER('자료_미국심리'!$H846)),'자료_미국심리'!$G846,"")</f>
        <v/>
      </c>
    </row>
    <row r="863">
      <c r="A863" s="10">
        <f>IF(845&gt;$E$5,"",SMALL($O$19:$O$4018,$E$6+845))</f>
        <v/>
      </c>
      <c r="B863" s="29">
        <f>IF(A863="","",INDEX('자료_미국심리'!$B$3:$B$4002,MATCH(A863,$O$19:$O$4018,0)))</f>
        <v/>
      </c>
      <c r="C863" s="22">
        <f>IF(A863="","",B863/AVERAGE(B739:B863)-1)</f>
        <v/>
      </c>
      <c r="D863" s="29">
        <f>IF(A863="","",IFERROR(INDEX('자료_미국심리'!$E$3:$E$4002,MATCH(A863,$P$19:$P$4018,0)),D862))</f>
        <v/>
      </c>
      <c r="E863" s="29">
        <f>IF(A863="","",IFERROR(INDEX('자료_미국심리'!$H$3:$H$4002,MATCH(A863,$Q$19:$Q$4018,0)),E862))</f>
        <v/>
      </c>
      <c r="F863">
        <f>IF(A863="",0,IF(A863&gt;$B$5,1,0))</f>
        <v/>
      </c>
      <c r="G863" s="29">
        <f>IF(AND(F863=1,ISNUMBER(D863)),D863,"")</f>
        <v/>
      </c>
      <c r="H863" s="29">
        <f>IF(AND(F863=1,ISNUMBER(E863)),E863,"")</f>
        <v/>
      </c>
      <c r="I863" s="22">
        <f>IF(AND(F863=1,ISNUMBER(C863)),C863,"")</f>
        <v/>
      </c>
      <c r="J863" s="11">
        <f>IF(G863="","",100-IF($G$13=1,50,(_xlfn.RANK.AVG(G863,$G$19:$G$1518,1)-1)/($G$13-1)*100))</f>
        <v/>
      </c>
      <c r="K863" s="11">
        <f>IF(H863="","",100-IF($G$14=1,50,(_xlfn.RANK.AVG(H863,$H$19:$H$1518,1)-1)/($G$14-1)*100))</f>
        <v/>
      </c>
      <c r="L863" s="11">
        <f>IF(I863="","",IF($G$15=1,50,(_xlfn.RANK.AVG(I863,$I$19:$I$1518,1)-1)/($G$15-1)*100))</f>
        <v/>
      </c>
      <c r="M863" s="11">
        <f>IF(COUNT(J863:L863)=3,ROUND(AVERAGE(J863:L863),6),"")</f>
        <v/>
      </c>
      <c r="O863">
        <f>IF(AND(ISNUMBER('자료_미국심리'!$A847),ISNUMBER('자료_미국심리'!$B847)),'자료_미국심리'!$A847,"")</f>
        <v/>
      </c>
      <c r="P863">
        <f>IF(AND(ISNUMBER('자료_미국심리'!$D847),ISNUMBER('자료_미국심리'!$E847)),'자료_미국심리'!$D847,"")</f>
        <v/>
      </c>
      <c r="Q863">
        <f>IF(AND(ISNUMBER('자료_미국심리'!$G847),ISNUMBER('자료_미국심리'!$H847)),'자료_미국심리'!$G847,"")</f>
        <v/>
      </c>
    </row>
    <row r="864">
      <c r="A864" s="10">
        <f>IF(846&gt;$E$5,"",SMALL($O$19:$O$4018,$E$6+846))</f>
        <v/>
      </c>
      <c r="B864" s="29">
        <f>IF(A864="","",INDEX('자료_미국심리'!$B$3:$B$4002,MATCH(A864,$O$19:$O$4018,0)))</f>
        <v/>
      </c>
      <c r="C864" s="22">
        <f>IF(A864="","",B864/AVERAGE(B740:B864)-1)</f>
        <v/>
      </c>
      <c r="D864" s="29">
        <f>IF(A864="","",IFERROR(INDEX('자료_미국심리'!$E$3:$E$4002,MATCH(A864,$P$19:$P$4018,0)),D863))</f>
        <v/>
      </c>
      <c r="E864" s="29">
        <f>IF(A864="","",IFERROR(INDEX('자료_미국심리'!$H$3:$H$4002,MATCH(A864,$Q$19:$Q$4018,0)),E863))</f>
        <v/>
      </c>
      <c r="F864">
        <f>IF(A864="",0,IF(A864&gt;$B$5,1,0))</f>
        <v/>
      </c>
      <c r="G864" s="29">
        <f>IF(AND(F864=1,ISNUMBER(D864)),D864,"")</f>
        <v/>
      </c>
      <c r="H864" s="29">
        <f>IF(AND(F864=1,ISNUMBER(E864)),E864,"")</f>
        <v/>
      </c>
      <c r="I864" s="22">
        <f>IF(AND(F864=1,ISNUMBER(C864)),C864,"")</f>
        <v/>
      </c>
      <c r="J864" s="11">
        <f>IF(G864="","",100-IF($G$13=1,50,(_xlfn.RANK.AVG(G864,$G$19:$G$1518,1)-1)/($G$13-1)*100))</f>
        <v/>
      </c>
      <c r="K864" s="11">
        <f>IF(H864="","",100-IF($G$14=1,50,(_xlfn.RANK.AVG(H864,$H$19:$H$1518,1)-1)/($G$14-1)*100))</f>
        <v/>
      </c>
      <c r="L864" s="11">
        <f>IF(I864="","",IF($G$15=1,50,(_xlfn.RANK.AVG(I864,$I$19:$I$1518,1)-1)/($G$15-1)*100))</f>
        <v/>
      </c>
      <c r="M864" s="11">
        <f>IF(COUNT(J864:L864)=3,ROUND(AVERAGE(J864:L864),6),"")</f>
        <v/>
      </c>
      <c r="O864">
        <f>IF(AND(ISNUMBER('자료_미국심리'!$A848),ISNUMBER('자료_미국심리'!$B848)),'자료_미국심리'!$A848,"")</f>
        <v/>
      </c>
      <c r="P864">
        <f>IF(AND(ISNUMBER('자료_미국심리'!$D848),ISNUMBER('자료_미국심리'!$E848)),'자료_미국심리'!$D848,"")</f>
        <v/>
      </c>
      <c r="Q864">
        <f>IF(AND(ISNUMBER('자료_미국심리'!$G848),ISNUMBER('자료_미국심리'!$H848)),'자료_미국심리'!$G848,"")</f>
        <v/>
      </c>
    </row>
    <row r="865">
      <c r="A865" s="10">
        <f>IF(847&gt;$E$5,"",SMALL($O$19:$O$4018,$E$6+847))</f>
        <v/>
      </c>
      <c r="B865" s="29">
        <f>IF(A865="","",INDEX('자료_미국심리'!$B$3:$B$4002,MATCH(A865,$O$19:$O$4018,0)))</f>
        <v/>
      </c>
      <c r="C865" s="22">
        <f>IF(A865="","",B865/AVERAGE(B741:B865)-1)</f>
        <v/>
      </c>
      <c r="D865" s="29">
        <f>IF(A865="","",IFERROR(INDEX('자료_미국심리'!$E$3:$E$4002,MATCH(A865,$P$19:$P$4018,0)),D864))</f>
        <v/>
      </c>
      <c r="E865" s="29">
        <f>IF(A865="","",IFERROR(INDEX('자료_미국심리'!$H$3:$H$4002,MATCH(A865,$Q$19:$Q$4018,0)),E864))</f>
        <v/>
      </c>
      <c r="F865">
        <f>IF(A865="",0,IF(A865&gt;$B$5,1,0))</f>
        <v/>
      </c>
      <c r="G865" s="29">
        <f>IF(AND(F865=1,ISNUMBER(D865)),D865,"")</f>
        <v/>
      </c>
      <c r="H865" s="29">
        <f>IF(AND(F865=1,ISNUMBER(E865)),E865,"")</f>
        <v/>
      </c>
      <c r="I865" s="22">
        <f>IF(AND(F865=1,ISNUMBER(C865)),C865,"")</f>
        <v/>
      </c>
      <c r="J865" s="11">
        <f>IF(G865="","",100-IF($G$13=1,50,(_xlfn.RANK.AVG(G865,$G$19:$G$1518,1)-1)/($G$13-1)*100))</f>
        <v/>
      </c>
      <c r="K865" s="11">
        <f>IF(H865="","",100-IF($G$14=1,50,(_xlfn.RANK.AVG(H865,$H$19:$H$1518,1)-1)/($G$14-1)*100))</f>
        <v/>
      </c>
      <c r="L865" s="11">
        <f>IF(I865="","",IF($G$15=1,50,(_xlfn.RANK.AVG(I865,$I$19:$I$1518,1)-1)/($G$15-1)*100))</f>
        <v/>
      </c>
      <c r="M865" s="11">
        <f>IF(COUNT(J865:L865)=3,ROUND(AVERAGE(J865:L865),6),"")</f>
        <v/>
      </c>
      <c r="O865">
        <f>IF(AND(ISNUMBER('자료_미국심리'!$A849),ISNUMBER('자료_미국심리'!$B849)),'자료_미국심리'!$A849,"")</f>
        <v/>
      </c>
      <c r="P865">
        <f>IF(AND(ISNUMBER('자료_미국심리'!$D849),ISNUMBER('자료_미국심리'!$E849)),'자료_미국심리'!$D849,"")</f>
        <v/>
      </c>
      <c r="Q865">
        <f>IF(AND(ISNUMBER('자료_미국심리'!$G849),ISNUMBER('자료_미국심리'!$H849)),'자료_미국심리'!$G849,"")</f>
        <v/>
      </c>
    </row>
    <row r="866">
      <c r="A866" s="10">
        <f>IF(848&gt;$E$5,"",SMALL($O$19:$O$4018,$E$6+848))</f>
        <v/>
      </c>
      <c r="B866" s="29">
        <f>IF(A866="","",INDEX('자료_미국심리'!$B$3:$B$4002,MATCH(A866,$O$19:$O$4018,0)))</f>
        <v/>
      </c>
      <c r="C866" s="22">
        <f>IF(A866="","",B866/AVERAGE(B742:B866)-1)</f>
        <v/>
      </c>
      <c r="D866" s="29">
        <f>IF(A866="","",IFERROR(INDEX('자료_미국심리'!$E$3:$E$4002,MATCH(A866,$P$19:$P$4018,0)),D865))</f>
        <v/>
      </c>
      <c r="E866" s="29">
        <f>IF(A866="","",IFERROR(INDEX('자료_미국심리'!$H$3:$H$4002,MATCH(A866,$Q$19:$Q$4018,0)),E865))</f>
        <v/>
      </c>
      <c r="F866">
        <f>IF(A866="",0,IF(A866&gt;$B$5,1,0))</f>
        <v/>
      </c>
      <c r="G866" s="29">
        <f>IF(AND(F866=1,ISNUMBER(D866)),D866,"")</f>
        <v/>
      </c>
      <c r="H866" s="29">
        <f>IF(AND(F866=1,ISNUMBER(E866)),E866,"")</f>
        <v/>
      </c>
      <c r="I866" s="22">
        <f>IF(AND(F866=1,ISNUMBER(C866)),C866,"")</f>
        <v/>
      </c>
      <c r="J866" s="11">
        <f>IF(G866="","",100-IF($G$13=1,50,(_xlfn.RANK.AVG(G866,$G$19:$G$1518,1)-1)/($G$13-1)*100))</f>
        <v/>
      </c>
      <c r="K866" s="11">
        <f>IF(H866="","",100-IF($G$14=1,50,(_xlfn.RANK.AVG(H866,$H$19:$H$1518,1)-1)/($G$14-1)*100))</f>
        <v/>
      </c>
      <c r="L866" s="11">
        <f>IF(I866="","",IF($G$15=1,50,(_xlfn.RANK.AVG(I866,$I$19:$I$1518,1)-1)/($G$15-1)*100))</f>
        <v/>
      </c>
      <c r="M866" s="11">
        <f>IF(COUNT(J866:L866)=3,ROUND(AVERAGE(J866:L866),6),"")</f>
        <v/>
      </c>
      <c r="O866">
        <f>IF(AND(ISNUMBER('자료_미국심리'!$A850),ISNUMBER('자료_미국심리'!$B850)),'자료_미국심리'!$A850,"")</f>
        <v/>
      </c>
      <c r="P866">
        <f>IF(AND(ISNUMBER('자료_미국심리'!$D850),ISNUMBER('자료_미국심리'!$E850)),'자료_미국심리'!$D850,"")</f>
        <v/>
      </c>
      <c r="Q866">
        <f>IF(AND(ISNUMBER('자료_미국심리'!$G850),ISNUMBER('자료_미국심리'!$H850)),'자료_미국심리'!$G850,"")</f>
        <v/>
      </c>
    </row>
    <row r="867">
      <c r="A867" s="10">
        <f>IF(849&gt;$E$5,"",SMALL($O$19:$O$4018,$E$6+849))</f>
        <v/>
      </c>
      <c r="B867" s="29">
        <f>IF(A867="","",INDEX('자료_미국심리'!$B$3:$B$4002,MATCH(A867,$O$19:$O$4018,0)))</f>
        <v/>
      </c>
      <c r="C867" s="22">
        <f>IF(A867="","",B867/AVERAGE(B743:B867)-1)</f>
        <v/>
      </c>
      <c r="D867" s="29">
        <f>IF(A867="","",IFERROR(INDEX('자료_미국심리'!$E$3:$E$4002,MATCH(A867,$P$19:$P$4018,0)),D866))</f>
        <v/>
      </c>
      <c r="E867" s="29">
        <f>IF(A867="","",IFERROR(INDEX('자료_미국심리'!$H$3:$H$4002,MATCH(A867,$Q$19:$Q$4018,0)),E866))</f>
        <v/>
      </c>
      <c r="F867">
        <f>IF(A867="",0,IF(A867&gt;$B$5,1,0))</f>
        <v/>
      </c>
      <c r="G867" s="29">
        <f>IF(AND(F867=1,ISNUMBER(D867)),D867,"")</f>
        <v/>
      </c>
      <c r="H867" s="29">
        <f>IF(AND(F867=1,ISNUMBER(E867)),E867,"")</f>
        <v/>
      </c>
      <c r="I867" s="22">
        <f>IF(AND(F867=1,ISNUMBER(C867)),C867,"")</f>
        <v/>
      </c>
      <c r="J867" s="11">
        <f>IF(G867="","",100-IF($G$13=1,50,(_xlfn.RANK.AVG(G867,$G$19:$G$1518,1)-1)/($G$13-1)*100))</f>
        <v/>
      </c>
      <c r="K867" s="11">
        <f>IF(H867="","",100-IF($G$14=1,50,(_xlfn.RANK.AVG(H867,$H$19:$H$1518,1)-1)/($G$14-1)*100))</f>
        <v/>
      </c>
      <c r="L867" s="11">
        <f>IF(I867="","",IF($G$15=1,50,(_xlfn.RANK.AVG(I867,$I$19:$I$1518,1)-1)/($G$15-1)*100))</f>
        <v/>
      </c>
      <c r="M867" s="11">
        <f>IF(COUNT(J867:L867)=3,ROUND(AVERAGE(J867:L867),6),"")</f>
        <v/>
      </c>
      <c r="O867">
        <f>IF(AND(ISNUMBER('자료_미국심리'!$A851),ISNUMBER('자료_미국심리'!$B851)),'자료_미국심리'!$A851,"")</f>
        <v/>
      </c>
      <c r="P867">
        <f>IF(AND(ISNUMBER('자료_미국심리'!$D851),ISNUMBER('자료_미국심리'!$E851)),'자료_미국심리'!$D851,"")</f>
        <v/>
      </c>
      <c r="Q867">
        <f>IF(AND(ISNUMBER('자료_미국심리'!$G851),ISNUMBER('자료_미국심리'!$H851)),'자료_미국심리'!$G851,"")</f>
        <v/>
      </c>
    </row>
    <row r="868">
      <c r="A868" s="10">
        <f>IF(850&gt;$E$5,"",SMALL($O$19:$O$4018,$E$6+850))</f>
        <v/>
      </c>
      <c r="B868" s="29">
        <f>IF(A868="","",INDEX('자료_미국심리'!$B$3:$B$4002,MATCH(A868,$O$19:$O$4018,0)))</f>
        <v/>
      </c>
      <c r="C868" s="22">
        <f>IF(A868="","",B868/AVERAGE(B744:B868)-1)</f>
        <v/>
      </c>
      <c r="D868" s="29">
        <f>IF(A868="","",IFERROR(INDEX('자료_미국심리'!$E$3:$E$4002,MATCH(A868,$P$19:$P$4018,0)),D867))</f>
        <v/>
      </c>
      <c r="E868" s="29">
        <f>IF(A868="","",IFERROR(INDEX('자료_미국심리'!$H$3:$H$4002,MATCH(A868,$Q$19:$Q$4018,0)),E867))</f>
        <v/>
      </c>
      <c r="F868">
        <f>IF(A868="",0,IF(A868&gt;$B$5,1,0))</f>
        <v/>
      </c>
      <c r="G868" s="29">
        <f>IF(AND(F868=1,ISNUMBER(D868)),D868,"")</f>
        <v/>
      </c>
      <c r="H868" s="29">
        <f>IF(AND(F868=1,ISNUMBER(E868)),E868,"")</f>
        <v/>
      </c>
      <c r="I868" s="22">
        <f>IF(AND(F868=1,ISNUMBER(C868)),C868,"")</f>
        <v/>
      </c>
      <c r="J868" s="11">
        <f>IF(G868="","",100-IF($G$13=1,50,(_xlfn.RANK.AVG(G868,$G$19:$G$1518,1)-1)/($G$13-1)*100))</f>
        <v/>
      </c>
      <c r="K868" s="11">
        <f>IF(H868="","",100-IF($G$14=1,50,(_xlfn.RANK.AVG(H868,$H$19:$H$1518,1)-1)/($G$14-1)*100))</f>
        <v/>
      </c>
      <c r="L868" s="11">
        <f>IF(I868="","",IF($G$15=1,50,(_xlfn.RANK.AVG(I868,$I$19:$I$1518,1)-1)/($G$15-1)*100))</f>
        <v/>
      </c>
      <c r="M868" s="11">
        <f>IF(COUNT(J868:L868)=3,ROUND(AVERAGE(J868:L868),6),"")</f>
        <v/>
      </c>
      <c r="O868">
        <f>IF(AND(ISNUMBER('자료_미국심리'!$A852),ISNUMBER('자료_미국심리'!$B852)),'자료_미국심리'!$A852,"")</f>
        <v/>
      </c>
      <c r="P868">
        <f>IF(AND(ISNUMBER('자료_미국심리'!$D852),ISNUMBER('자료_미국심리'!$E852)),'자료_미국심리'!$D852,"")</f>
        <v/>
      </c>
      <c r="Q868">
        <f>IF(AND(ISNUMBER('자료_미국심리'!$G852),ISNUMBER('자료_미국심리'!$H852)),'자료_미국심리'!$G852,"")</f>
        <v/>
      </c>
    </row>
    <row r="869">
      <c r="A869" s="10">
        <f>IF(851&gt;$E$5,"",SMALL($O$19:$O$4018,$E$6+851))</f>
        <v/>
      </c>
      <c r="B869" s="29">
        <f>IF(A869="","",INDEX('자료_미국심리'!$B$3:$B$4002,MATCH(A869,$O$19:$O$4018,0)))</f>
        <v/>
      </c>
      <c r="C869" s="22">
        <f>IF(A869="","",B869/AVERAGE(B745:B869)-1)</f>
        <v/>
      </c>
      <c r="D869" s="29">
        <f>IF(A869="","",IFERROR(INDEX('자료_미국심리'!$E$3:$E$4002,MATCH(A869,$P$19:$P$4018,0)),D868))</f>
        <v/>
      </c>
      <c r="E869" s="29">
        <f>IF(A869="","",IFERROR(INDEX('자료_미국심리'!$H$3:$H$4002,MATCH(A869,$Q$19:$Q$4018,0)),E868))</f>
        <v/>
      </c>
      <c r="F869">
        <f>IF(A869="",0,IF(A869&gt;$B$5,1,0))</f>
        <v/>
      </c>
      <c r="G869" s="29">
        <f>IF(AND(F869=1,ISNUMBER(D869)),D869,"")</f>
        <v/>
      </c>
      <c r="H869" s="29">
        <f>IF(AND(F869=1,ISNUMBER(E869)),E869,"")</f>
        <v/>
      </c>
      <c r="I869" s="22">
        <f>IF(AND(F869=1,ISNUMBER(C869)),C869,"")</f>
        <v/>
      </c>
      <c r="J869" s="11">
        <f>IF(G869="","",100-IF($G$13=1,50,(_xlfn.RANK.AVG(G869,$G$19:$G$1518,1)-1)/($G$13-1)*100))</f>
        <v/>
      </c>
      <c r="K869" s="11">
        <f>IF(H869="","",100-IF($G$14=1,50,(_xlfn.RANK.AVG(H869,$H$19:$H$1518,1)-1)/($G$14-1)*100))</f>
        <v/>
      </c>
      <c r="L869" s="11">
        <f>IF(I869="","",IF($G$15=1,50,(_xlfn.RANK.AVG(I869,$I$19:$I$1518,1)-1)/($G$15-1)*100))</f>
        <v/>
      </c>
      <c r="M869" s="11">
        <f>IF(COUNT(J869:L869)=3,ROUND(AVERAGE(J869:L869),6),"")</f>
        <v/>
      </c>
      <c r="O869">
        <f>IF(AND(ISNUMBER('자료_미국심리'!$A853),ISNUMBER('자료_미국심리'!$B853)),'자료_미국심리'!$A853,"")</f>
        <v/>
      </c>
      <c r="P869">
        <f>IF(AND(ISNUMBER('자료_미국심리'!$D853),ISNUMBER('자료_미국심리'!$E853)),'자료_미국심리'!$D853,"")</f>
        <v/>
      </c>
      <c r="Q869">
        <f>IF(AND(ISNUMBER('자료_미국심리'!$G853),ISNUMBER('자료_미국심리'!$H853)),'자료_미국심리'!$G853,"")</f>
        <v/>
      </c>
    </row>
    <row r="870">
      <c r="A870" s="10">
        <f>IF(852&gt;$E$5,"",SMALL($O$19:$O$4018,$E$6+852))</f>
        <v/>
      </c>
      <c r="B870" s="29">
        <f>IF(A870="","",INDEX('자료_미국심리'!$B$3:$B$4002,MATCH(A870,$O$19:$O$4018,0)))</f>
        <v/>
      </c>
      <c r="C870" s="22">
        <f>IF(A870="","",B870/AVERAGE(B746:B870)-1)</f>
        <v/>
      </c>
      <c r="D870" s="29">
        <f>IF(A870="","",IFERROR(INDEX('자료_미국심리'!$E$3:$E$4002,MATCH(A870,$P$19:$P$4018,0)),D869))</f>
        <v/>
      </c>
      <c r="E870" s="29">
        <f>IF(A870="","",IFERROR(INDEX('자료_미국심리'!$H$3:$H$4002,MATCH(A870,$Q$19:$Q$4018,0)),E869))</f>
        <v/>
      </c>
      <c r="F870">
        <f>IF(A870="",0,IF(A870&gt;$B$5,1,0))</f>
        <v/>
      </c>
      <c r="G870" s="29">
        <f>IF(AND(F870=1,ISNUMBER(D870)),D870,"")</f>
        <v/>
      </c>
      <c r="H870" s="29">
        <f>IF(AND(F870=1,ISNUMBER(E870)),E870,"")</f>
        <v/>
      </c>
      <c r="I870" s="22">
        <f>IF(AND(F870=1,ISNUMBER(C870)),C870,"")</f>
        <v/>
      </c>
      <c r="J870" s="11">
        <f>IF(G870="","",100-IF($G$13=1,50,(_xlfn.RANK.AVG(G870,$G$19:$G$1518,1)-1)/($G$13-1)*100))</f>
        <v/>
      </c>
      <c r="K870" s="11">
        <f>IF(H870="","",100-IF($G$14=1,50,(_xlfn.RANK.AVG(H870,$H$19:$H$1518,1)-1)/($G$14-1)*100))</f>
        <v/>
      </c>
      <c r="L870" s="11">
        <f>IF(I870="","",IF($G$15=1,50,(_xlfn.RANK.AVG(I870,$I$19:$I$1518,1)-1)/($G$15-1)*100))</f>
        <v/>
      </c>
      <c r="M870" s="11">
        <f>IF(COUNT(J870:L870)=3,ROUND(AVERAGE(J870:L870),6),"")</f>
        <v/>
      </c>
      <c r="O870">
        <f>IF(AND(ISNUMBER('자료_미국심리'!$A854),ISNUMBER('자료_미국심리'!$B854)),'자료_미국심리'!$A854,"")</f>
        <v/>
      </c>
      <c r="P870">
        <f>IF(AND(ISNUMBER('자료_미국심리'!$D854),ISNUMBER('자료_미국심리'!$E854)),'자료_미국심리'!$D854,"")</f>
        <v/>
      </c>
      <c r="Q870">
        <f>IF(AND(ISNUMBER('자료_미국심리'!$G854),ISNUMBER('자료_미국심리'!$H854)),'자료_미국심리'!$G854,"")</f>
        <v/>
      </c>
    </row>
    <row r="871">
      <c r="A871" s="10">
        <f>IF(853&gt;$E$5,"",SMALL($O$19:$O$4018,$E$6+853))</f>
        <v/>
      </c>
      <c r="B871" s="29">
        <f>IF(A871="","",INDEX('자료_미국심리'!$B$3:$B$4002,MATCH(A871,$O$19:$O$4018,0)))</f>
        <v/>
      </c>
      <c r="C871" s="22">
        <f>IF(A871="","",B871/AVERAGE(B747:B871)-1)</f>
        <v/>
      </c>
      <c r="D871" s="29">
        <f>IF(A871="","",IFERROR(INDEX('자료_미국심리'!$E$3:$E$4002,MATCH(A871,$P$19:$P$4018,0)),D870))</f>
        <v/>
      </c>
      <c r="E871" s="29">
        <f>IF(A871="","",IFERROR(INDEX('자료_미국심리'!$H$3:$H$4002,MATCH(A871,$Q$19:$Q$4018,0)),E870))</f>
        <v/>
      </c>
      <c r="F871">
        <f>IF(A871="",0,IF(A871&gt;$B$5,1,0))</f>
        <v/>
      </c>
      <c r="G871" s="29">
        <f>IF(AND(F871=1,ISNUMBER(D871)),D871,"")</f>
        <v/>
      </c>
      <c r="H871" s="29">
        <f>IF(AND(F871=1,ISNUMBER(E871)),E871,"")</f>
        <v/>
      </c>
      <c r="I871" s="22">
        <f>IF(AND(F871=1,ISNUMBER(C871)),C871,"")</f>
        <v/>
      </c>
      <c r="J871" s="11">
        <f>IF(G871="","",100-IF($G$13=1,50,(_xlfn.RANK.AVG(G871,$G$19:$G$1518,1)-1)/($G$13-1)*100))</f>
        <v/>
      </c>
      <c r="K871" s="11">
        <f>IF(H871="","",100-IF($G$14=1,50,(_xlfn.RANK.AVG(H871,$H$19:$H$1518,1)-1)/($G$14-1)*100))</f>
        <v/>
      </c>
      <c r="L871" s="11">
        <f>IF(I871="","",IF($G$15=1,50,(_xlfn.RANK.AVG(I871,$I$19:$I$1518,1)-1)/($G$15-1)*100))</f>
        <v/>
      </c>
      <c r="M871" s="11">
        <f>IF(COUNT(J871:L871)=3,ROUND(AVERAGE(J871:L871),6),"")</f>
        <v/>
      </c>
      <c r="O871">
        <f>IF(AND(ISNUMBER('자료_미국심리'!$A855),ISNUMBER('자료_미국심리'!$B855)),'자료_미국심리'!$A855,"")</f>
        <v/>
      </c>
      <c r="P871">
        <f>IF(AND(ISNUMBER('자료_미국심리'!$D855),ISNUMBER('자료_미국심리'!$E855)),'자료_미국심리'!$D855,"")</f>
        <v/>
      </c>
      <c r="Q871">
        <f>IF(AND(ISNUMBER('자료_미국심리'!$G855),ISNUMBER('자료_미국심리'!$H855)),'자료_미국심리'!$G855,"")</f>
        <v/>
      </c>
    </row>
    <row r="872">
      <c r="A872" s="10">
        <f>IF(854&gt;$E$5,"",SMALL($O$19:$O$4018,$E$6+854))</f>
        <v/>
      </c>
      <c r="B872" s="29">
        <f>IF(A872="","",INDEX('자료_미국심리'!$B$3:$B$4002,MATCH(A872,$O$19:$O$4018,0)))</f>
        <v/>
      </c>
      <c r="C872" s="22">
        <f>IF(A872="","",B872/AVERAGE(B748:B872)-1)</f>
        <v/>
      </c>
      <c r="D872" s="29">
        <f>IF(A872="","",IFERROR(INDEX('자료_미국심리'!$E$3:$E$4002,MATCH(A872,$P$19:$P$4018,0)),D871))</f>
        <v/>
      </c>
      <c r="E872" s="29">
        <f>IF(A872="","",IFERROR(INDEX('자료_미국심리'!$H$3:$H$4002,MATCH(A872,$Q$19:$Q$4018,0)),E871))</f>
        <v/>
      </c>
      <c r="F872">
        <f>IF(A872="",0,IF(A872&gt;$B$5,1,0))</f>
        <v/>
      </c>
      <c r="G872" s="29">
        <f>IF(AND(F872=1,ISNUMBER(D872)),D872,"")</f>
        <v/>
      </c>
      <c r="H872" s="29">
        <f>IF(AND(F872=1,ISNUMBER(E872)),E872,"")</f>
        <v/>
      </c>
      <c r="I872" s="22">
        <f>IF(AND(F872=1,ISNUMBER(C872)),C872,"")</f>
        <v/>
      </c>
      <c r="J872" s="11">
        <f>IF(G872="","",100-IF($G$13=1,50,(_xlfn.RANK.AVG(G872,$G$19:$G$1518,1)-1)/($G$13-1)*100))</f>
        <v/>
      </c>
      <c r="K872" s="11">
        <f>IF(H872="","",100-IF($G$14=1,50,(_xlfn.RANK.AVG(H872,$H$19:$H$1518,1)-1)/($G$14-1)*100))</f>
        <v/>
      </c>
      <c r="L872" s="11">
        <f>IF(I872="","",IF($G$15=1,50,(_xlfn.RANK.AVG(I872,$I$19:$I$1518,1)-1)/($G$15-1)*100))</f>
        <v/>
      </c>
      <c r="M872" s="11">
        <f>IF(COUNT(J872:L872)=3,ROUND(AVERAGE(J872:L872),6),"")</f>
        <v/>
      </c>
      <c r="O872">
        <f>IF(AND(ISNUMBER('자료_미국심리'!$A856),ISNUMBER('자료_미국심리'!$B856)),'자료_미국심리'!$A856,"")</f>
        <v/>
      </c>
      <c r="P872">
        <f>IF(AND(ISNUMBER('자료_미국심리'!$D856),ISNUMBER('자료_미국심리'!$E856)),'자료_미국심리'!$D856,"")</f>
        <v/>
      </c>
      <c r="Q872">
        <f>IF(AND(ISNUMBER('자료_미국심리'!$G856),ISNUMBER('자료_미국심리'!$H856)),'자료_미국심리'!$G856,"")</f>
        <v/>
      </c>
    </row>
    <row r="873">
      <c r="A873" s="10">
        <f>IF(855&gt;$E$5,"",SMALL($O$19:$O$4018,$E$6+855))</f>
        <v/>
      </c>
      <c r="B873" s="29">
        <f>IF(A873="","",INDEX('자료_미국심리'!$B$3:$B$4002,MATCH(A873,$O$19:$O$4018,0)))</f>
        <v/>
      </c>
      <c r="C873" s="22">
        <f>IF(A873="","",B873/AVERAGE(B749:B873)-1)</f>
        <v/>
      </c>
      <c r="D873" s="29">
        <f>IF(A873="","",IFERROR(INDEX('자료_미국심리'!$E$3:$E$4002,MATCH(A873,$P$19:$P$4018,0)),D872))</f>
        <v/>
      </c>
      <c r="E873" s="29">
        <f>IF(A873="","",IFERROR(INDEX('자료_미국심리'!$H$3:$H$4002,MATCH(A873,$Q$19:$Q$4018,0)),E872))</f>
        <v/>
      </c>
      <c r="F873">
        <f>IF(A873="",0,IF(A873&gt;$B$5,1,0))</f>
        <v/>
      </c>
      <c r="G873" s="29">
        <f>IF(AND(F873=1,ISNUMBER(D873)),D873,"")</f>
        <v/>
      </c>
      <c r="H873" s="29">
        <f>IF(AND(F873=1,ISNUMBER(E873)),E873,"")</f>
        <v/>
      </c>
      <c r="I873" s="22">
        <f>IF(AND(F873=1,ISNUMBER(C873)),C873,"")</f>
        <v/>
      </c>
      <c r="J873" s="11">
        <f>IF(G873="","",100-IF($G$13=1,50,(_xlfn.RANK.AVG(G873,$G$19:$G$1518,1)-1)/($G$13-1)*100))</f>
        <v/>
      </c>
      <c r="K873" s="11">
        <f>IF(H873="","",100-IF($G$14=1,50,(_xlfn.RANK.AVG(H873,$H$19:$H$1518,1)-1)/($G$14-1)*100))</f>
        <v/>
      </c>
      <c r="L873" s="11">
        <f>IF(I873="","",IF($G$15=1,50,(_xlfn.RANK.AVG(I873,$I$19:$I$1518,1)-1)/($G$15-1)*100))</f>
        <v/>
      </c>
      <c r="M873" s="11">
        <f>IF(COUNT(J873:L873)=3,ROUND(AVERAGE(J873:L873),6),"")</f>
        <v/>
      </c>
      <c r="O873">
        <f>IF(AND(ISNUMBER('자료_미국심리'!$A857),ISNUMBER('자료_미국심리'!$B857)),'자료_미국심리'!$A857,"")</f>
        <v/>
      </c>
      <c r="P873">
        <f>IF(AND(ISNUMBER('자료_미국심리'!$D857),ISNUMBER('자료_미국심리'!$E857)),'자료_미국심리'!$D857,"")</f>
        <v/>
      </c>
      <c r="Q873">
        <f>IF(AND(ISNUMBER('자료_미국심리'!$G857),ISNUMBER('자료_미국심리'!$H857)),'자료_미국심리'!$G857,"")</f>
        <v/>
      </c>
    </row>
    <row r="874">
      <c r="A874" s="10">
        <f>IF(856&gt;$E$5,"",SMALL($O$19:$O$4018,$E$6+856))</f>
        <v/>
      </c>
      <c r="B874" s="29">
        <f>IF(A874="","",INDEX('자료_미국심리'!$B$3:$B$4002,MATCH(A874,$O$19:$O$4018,0)))</f>
        <v/>
      </c>
      <c r="C874" s="22">
        <f>IF(A874="","",B874/AVERAGE(B750:B874)-1)</f>
        <v/>
      </c>
      <c r="D874" s="29">
        <f>IF(A874="","",IFERROR(INDEX('자료_미국심리'!$E$3:$E$4002,MATCH(A874,$P$19:$P$4018,0)),D873))</f>
        <v/>
      </c>
      <c r="E874" s="29">
        <f>IF(A874="","",IFERROR(INDEX('자료_미국심리'!$H$3:$H$4002,MATCH(A874,$Q$19:$Q$4018,0)),E873))</f>
        <v/>
      </c>
      <c r="F874">
        <f>IF(A874="",0,IF(A874&gt;$B$5,1,0))</f>
        <v/>
      </c>
      <c r="G874" s="29">
        <f>IF(AND(F874=1,ISNUMBER(D874)),D874,"")</f>
        <v/>
      </c>
      <c r="H874" s="29">
        <f>IF(AND(F874=1,ISNUMBER(E874)),E874,"")</f>
        <v/>
      </c>
      <c r="I874" s="22">
        <f>IF(AND(F874=1,ISNUMBER(C874)),C874,"")</f>
        <v/>
      </c>
      <c r="J874" s="11">
        <f>IF(G874="","",100-IF($G$13=1,50,(_xlfn.RANK.AVG(G874,$G$19:$G$1518,1)-1)/($G$13-1)*100))</f>
        <v/>
      </c>
      <c r="K874" s="11">
        <f>IF(H874="","",100-IF($G$14=1,50,(_xlfn.RANK.AVG(H874,$H$19:$H$1518,1)-1)/($G$14-1)*100))</f>
        <v/>
      </c>
      <c r="L874" s="11">
        <f>IF(I874="","",IF($G$15=1,50,(_xlfn.RANK.AVG(I874,$I$19:$I$1518,1)-1)/($G$15-1)*100))</f>
        <v/>
      </c>
      <c r="M874" s="11">
        <f>IF(COUNT(J874:L874)=3,ROUND(AVERAGE(J874:L874),6),"")</f>
        <v/>
      </c>
      <c r="O874">
        <f>IF(AND(ISNUMBER('자료_미국심리'!$A858),ISNUMBER('자료_미국심리'!$B858)),'자료_미국심리'!$A858,"")</f>
        <v/>
      </c>
      <c r="P874">
        <f>IF(AND(ISNUMBER('자료_미국심리'!$D858),ISNUMBER('자료_미국심리'!$E858)),'자료_미국심리'!$D858,"")</f>
        <v/>
      </c>
      <c r="Q874">
        <f>IF(AND(ISNUMBER('자료_미국심리'!$G858),ISNUMBER('자료_미국심리'!$H858)),'자료_미국심리'!$G858,"")</f>
        <v/>
      </c>
    </row>
    <row r="875">
      <c r="A875" s="10">
        <f>IF(857&gt;$E$5,"",SMALL($O$19:$O$4018,$E$6+857))</f>
        <v/>
      </c>
      <c r="B875" s="29">
        <f>IF(A875="","",INDEX('자료_미국심리'!$B$3:$B$4002,MATCH(A875,$O$19:$O$4018,0)))</f>
        <v/>
      </c>
      <c r="C875" s="22">
        <f>IF(A875="","",B875/AVERAGE(B751:B875)-1)</f>
        <v/>
      </c>
      <c r="D875" s="29">
        <f>IF(A875="","",IFERROR(INDEX('자료_미국심리'!$E$3:$E$4002,MATCH(A875,$P$19:$P$4018,0)),D874))</f>
        <v/>
      </c>
      <c r="E875" s="29">
        <f>IF(A875="","",IFERROR(INDEX('자료_미국심리'!$H$3:$H$4002,MATCH(A875,$Q$19:$Q$4018,0)),E874))</f>
        <v/>
      </c>
      <c r="F875">
        <f>IF(A875="",0,IF(A875&gt;$B$5,1,0))</f>
        <v/>
      </c>
      <c r="G875" s="29">
        <f>IF(AND(F875=1,ISNUMBER(D875)),D875,"")</f>
        <v/>
      </c>
      <c r="H875" s="29">
        <f>IF(AND(F875=1,ISNUMBER(E875)),E875,"")</f>
        <v/>
      </c>
      <c r="I875" s="22">
        <f>IF(AND(F875=1,ISNUMBER(C875)),C875,"")</f>
        <v/>
      </c>
      <c r="J875" s="11">
        <f>IF(G875="","",100-IF($G$13=1,50,(_xlfn.RANK.AVG(G875,$G$19:$G$1518,1)-1)/($G$13-1)*100))</f>
        <v/>
      </c>
      <c r="K875" s="11">
        <f>IF(H875="","",100-IF($G$14=1,50,(_xlfn.RANK.AVG(H875,$H$19:$H$1518,1)-1)/($G$14-1)*100))</f>
        <v/>
      </c>
      <c r="L875" s="11">
        <f>IF(I875="","",IF($G$15=1,50,(_xlfn.RANK.AVG(I875,$I$19:$I$1518,1)-1)/($G$15-1)*100))</f>
        <v/>
      </c>
      <c r="M875" s="11">
        <f>IF(COUNT(J875:L875)=3,ROUND(AVERAGE(J875:L875),6),"")</f>
        <v/>
      </c>
      <c r="O875">
        <f>IF(AND(ISNUMBER('자료_미국심리'!$A859),ISNUMBER('자료_미국심리'!$B859)),'자료_미국심리'!$A859,"")</f>
        <v/>
      </c>
      <c r="P875">
        <f>IF(AND(ISNUMBER('자료_미국심리'!$D859),ISNUMBER('자료_미국심리'!$E859)),'자료_미국심리'!$D859,"")</f>
        <v/>
      </c>
      <c r="Q875">
        <f>IF(AND(ISNUMBER('자료_미국심리'!$G859),ISNUMBER('자료_미국심리'!$H859)),'자료_미국심리'!$G859,"")</f>
        <v/>
      </c>
    </row>
    <row r="876">
      <c r="A876" s="10">
        <f>IF(858&gt;$E$5,"",SMALL($O$19:$O$4018,$E$6+858))</f>
        <v/>
      </c>
      <c r="B876" s="29">
        <f>IF(A876="","",INDEX('자료_미국심리'!$B$3:$B$4002,MATCH(A876,$O$19:$O$4018,0)))</f>
        <v/>
      </c>
      <c r="C876" s="22">
        <f>IF(A876="","",B876/AVERAGE(B752:B876)-1)</f>
        <v/>
      </c>
      <c r="D876" s="29">
        <f>IF(A876="","",IFERROR(INDEX('자료_미국심리'!$E$3:$E$4002,MATCH(A876,$P$19:$P$4018,0)),D875))</f>
        <v/>
      </c>
      <c r="E876" s="29">
        <f>IF(A876="","",IFERROR(INDEX('자료_미국심리'!$H$3:$H$4002,MATCH(A876,$Q$19:$Q$4018,0)),E875))</f>
        <v/>
      </c>
      <c r="F876">
        <f>IF(A876="",0,IF(A876&gt;$B$5,1,0))</f>
        <v/>
      </c>
      <c r="G876" s="29">
        <f>IF(AND(F876=1,ISNUMBER(D876)),D876,"")</f>
        <v/>
      </c>
      <c r="H876" s="29">
        <f>IF(AND(F876=1,ISNUMBER(E876)),E876,"")</f>
        <v/>
      </c>
      <c r="I876" s="22">
        <f>IF(AND(F876=1,ISNUMBER(C876)),C876,"")</f>
        <v/>
      </c>
      <c r="J876" s="11">
        <f>IF(G876="","",100-IF($G$13=1,50,(_xlfn.RANK.AVG(G876,$G$19:$G$1518,1)-1)/($G$13-1)*100))</f>
        <v/>
      </c>
      <c r="K876" s="11">
        <f>IF(H876="","",100-IF($G$14=1,50,(_xlfn.RANK.AVG(H876,$H$19:$H$1518,1)-1)/($G$14-1)*100))</f>
        <v/>
      </c>
      <c r="L876" s="11">
        <f>IF(I876="","",IF($G$15=1,50,(_xlfn.RANK.AVG(I876,$I$19:$I$1518,1)-1)/($G$15-1)*100))</f>
        <v/>
      </c>
      <c r="M876" s="11">
        <f>IF(COUNT(J876:L876)=3,ROUND(AVERAGE(J876:L876),6),"")</f>
        <v/>
      </c>
      <c r="O876">
        <f>IF(AND(ISNUMBER('자료_미국심리'!$A860),ISNUMBER('자료_미국심리'!$B860)),'자료_미국심리'!$A860,"")</f>
        <v/>
      </c>
      <c r="P876">
        <f>IF(AND(ISNUMBER('자료_미국심리'!$D860),ISNUMBER('자료_미국심리'!$E860)),'자료_미국심리'!$D860,"")</f>
        <v/>
      </c>
      <c r="Q876">
        <f>IF(AND(ISNUMBER('자료_미국심리'!$G860),ISNUMBER('자료_미국심리'!$H860)),'자료_미국심리'!$G860,"")</f>
        <v/>
      </c>
    </row>
    <row r="877">
      <c r="A877" s="10">
        <f>IF(859&gt;$E$5,"",SMALL($O$19:$O$4018,$E$6+859))</f>
        <v/>
      </c>
      <c r="B877" s="29">
        <f>IF(A877="","",INDEX('자료_미국심리'!$B$3:$B$4002,MATCH(A877,$O$19:$O$4018,0)))</f>
        <v/>
      </c>
      <c r="C877" s="22">
        <f>IF(A877="","",B877/AVERAGE(B753:B877)-1)</f>
        <v/>
      </c>
      <c r="D877" s="29">
        <f>IF(A877="","",IFERROR(INDEX('자료_미국심리'!$E$3:$E$4002,MATCH(A877,$P$19:$P$4018,0)),D876))</f>
        <v/>
      </c>
      <c r="E877" s="29">
        <f>IF(A877="","",IFERROR(INDEX('자료_미국심리'!$H$3:$H$4002,MATCH(A877,$Q$19:$Q$4018,0)),E876))</f>
        <v/>
      </c>
      <c r="F877">
        <f>IF(A877="",0,IF(A877&gt;$B$5,1,0))</f>
        <v/>
      </c>
      <c r="G877" s="29">
        <f>IF(AND(F877=1,ISNUMBER(D877)),D877,"")</f>
        <v/>
      </c>
      <c r="H877" s="29">
        <f>IF(AND(F877=1,ISNUMBER(E877)),E877,"")</f>
        <v/>
      </c>
      <c r="I877" s="22">
        <f>IF(AND(F877=1,ISNUMBER(C877)),C877,"")</f>
        <v/>
      </c>
      <c r="J877" s="11">
        <f>IF(G877="","",100-IF($G$13=1,50,(_xlfn.RANK.AVG(G877,$G$19:$G$1518,1)-1)/($G$13-1)*100))</f>
        <v/>
      </c>
      <c r="K877" s="11">
        <f>IF(H877="","",100-IF($G$14=1,50,(_xlfn.RANK.AVG(H877,$H$19:$H$1518,1)-1)/($G$14-1)*100))</f>
        <v/>
      </c>
      <c r="L877" s="11">
        <f>IF(I877="","",IF($G$15=1,50,(_xlfn.RANK.AVG(I877,$I$19:$I$1518,1)-1)/($G$15-1)*100))</f>
        <v/>
      </c>
      <c r="M877" s="11">
        <f>IF(COUNT(J877:L877)=3,ROUND(AVERAGE(J877:L877),6),"")</f>
        <v/>
      </c>
      <c r="O877">
        <f>IF(AND(ISNUMBER('자료_미국심리'!$A861),ISNUMBER('자료_미국심리'!$B861)),'자료_미국심리'!$A861,"")</f>
        <v/>
      </c>
      <c r="P877">
        <f>IF(AND(ISNUMBER('자료_미국심리'!$D861),ISNUMBER('자료_미국심리'!$E861)),'자료_미국심리'!$D861,"")</f>
        <v/>
      </c>
      <c r="Q877">
        <f>IF(AND(ISNUMBER('자료_미국심리'!$G861),ISNUMBER('자료_미국심리'!$H861)),'자료_미국심리'!$G861,"")</f>
        <v/>
      </c>
    </row>
    <row r="878">
      <c r="A878" s="10">
        <f>IF(860&gt;$E$5,"",SMALL($O$19:$O$4018,$E$6+860))</f>
        <v/>
      </c>
      <c r="B878" s="29">
        <f>IF(A878="","",INDEX('자료_미국심리'!$B$3:$B$4002,MATCH(A878,$O$19:$O$4018,0)))</f>
        <v/>
      </c>
      <c r="C878" s="22">
        <f>IF(A878="","",B878/AVERAGE(B754:B878)-1)</f>
        <v/>
      </c>
      <c r="D878" s="29">
        <f>IF(A878="","",IFERROR(INDEX('자료_미국심리'!$E$3:$E$4002,MATCH(A878,$P$19:$P$4018,0)),D877))</f>
        <v/>
      </c>
      <c r="E878" s="29">
        <f>IF(A878="","",IFERROR(INDEX('자료_미국심리'!$H$3:$H$4002,MATCH(A878,$Q$19:$Q$4018,0)),E877))</f>
        <v/>
      </c>
      <c r="F878">
        <f>IF(A878="",0,IF(A878&gt;$B$5,1,0))</f>
        <v/>
      </c>
      <c r="G878" s="29">
        <f>IF(AND(F878=1,ISNUMBER(D878)),D878,"")</f>
        <v/>
      </c>
      <c r="H878" s="29">
        <f>IF(AND(F878=1,ISNUMBER(E878)),E878,"")</f>
        <v/>
      </c>
      <c r="I878" s="22">
        <f>IF(AND(F878=1,ISNUMBER(C878)),C878,"")</f>
        <v/>
      </c>
      <c r="J878" s="11">
        <f>IF(G878="","",100-IF($G$13=1,50,(_xlfn.RANK.AVG(G878,$G$19:$G$1518,1)-1)/($G$13-1)*100))</f>
        <v/>
      </c>
      <c r="K878" s="11">
        <f>IF(H878="","",100-IF($G$14=1,50,(_xlfn.RANK.AVG(H878,$H$19:$H$1518,1)-1)/($G$14-1)*100))</f>
        <v/>
      </c>
      <c r="L878" s="11">
        <f>IF(I878="","",IF($G$15=1,50,(_xlfn.RANK.AVG(I878,$I$19:$I$1518,1)-1)/($G$15-1)*100))</f>
        <v/>
      </c>
      <c r="M878" s="11">
        <f>IF(COUNT(J878:L878)=3,ROUND(AVERAGE(J878:L878),6),"")</f>
        <v/>
      </c>
      <c r="O878">
        <f>IF(AND(ISNUMBER('자료_미국심리'!$A862),ISNUMBER('자료_미국심리'!$B862)),'자료_미국심리'!$A862,"")</f>
        <v/>
      </c>
      <c r="P878">
        <f>IF(AND(ISNUMBER('자료_미국심리'!$D862),ISNUMBER('자료_미국심리'!$E862)),'자료_미국심리'!$D862,"")</f>
        <v/>
      </c>
      <c r="Q878">
        <f>IF(AND(ISNUMBER('자료_미국심리'!$G862),ISNUMBER('자료_미국심리'!$H862)),'자료_미국심리'!$G862,"")</f>
        <v/>
      </c>
    </row>
    <row r="879">
      <c r="A879" s="10">
        <f>IF(861&gt;$E$5,"",SMALL($O$19:$O$4018,$E$6+861))</f>
        <v/>
      </c>
      <c r="B879" s="29">
        <f>IF(A879="","",INDEX('자료_미국심리'!$B$3:$B$4002,MATCH(A879,$O$19:$O$4018,0)))</f>
        <v/>
      </c>
      <c r="C879" s="22">
        <f>IF(A879="","",B879/AVERAGE(B755:B879)-1)</f>
        <v/>
      </c>
      <c r="D879" s="29">
        <f>IF(A879="","",IFERROR(INDEX('자료_미국심리'!$E$3:$E$4002,MATCH(A879,$P$19:$P$4018,0)),D878))</f>
        <v/>
      </c>
      <c r="E879" s="29">
        <f>IF(A879="","",IFERROR(INDEX('자료_미국심리'!$H$3:$H$4002,MATCH(A879,$Q$19:$Q$4018,0)),E878))</f>
        <v/>
      </c>
      <c r="F879">
        <f>IF(A879="",0,IF(A879&gt;$B$5,1,0))</f>
        <v/>
      </c>
      <c r="G879" s="29">
        <f>IF(AND(F879=1,ISNUMBER(D879)),D879,"")</f>
        <v/>
      </c>
      <c r="H879" s="29">
        <f>IF(AND(F879=1,ISNUMBER(E879)),E879,"")</f>
        <v/>
      </c>
      <c r="I879" s="22">
        <f>IF(AND(F879=1,ISNUMBER(C879)),C879,"")</f>
        <v/>
      </c>
      <c r="J879" s="11">
        <f>IF(G879="","",100-IF($G$13=1,50,(_xlfn.RANK.AVG(G879,$G$19:$G$1518,1)-1)/($G$13-1)*100))</f>
        <v/>
      </c>
      <c r="K879" s="11">
        <f>IF(H879="","",100-IF($G$14=1,50,(_xlfn.RANK.AVG(H879,$H$19:$H$1518,1)-1)/($G$14-1)*100))</f>
        <v/>
      </c>
      <c r="L879" s="11">
        <f>IF(I879="","",IF($G$15=1,50,(_xlfn.RANK.AVG(I879,$I$19:$I$1518,1)-1)/($G$15-1)*100))</f>
        <v/>
      </c>
      <c r="M879" s="11">
        <f>IF(COUNT(J879:L879)=3,ROUND(AVERAGE(J879:L879),6),"")</f>
        <v/>
      </c>
      <c r="O879">
        <f>IF(AND(ISNUMBER('자료_미국심리'!$A863),ISNUMBER('자료_미국심리'!$B863)),'자료_미국심리'!$A863,"")</f>
        <v/>
      </c>
      <c r="P879">
        <f>IF(AND(ISNUMBER('자료_미국심리'!$D863),ISNUMBER('자료_미국심리'!$E863)),'자료_미국심리'!$D863,"")</f>
        <v/>
      </c>
      <c r="Q879">
        <f>IF(AND(ISNUMBER('자료_미국심리'!$G863),ISNUMBER('자료_미국심리'!$H863)),'자료_미국심리'!$G863,"")</f>
        <v/>
      </c>
    </row>
    <row r="880">
      <c r="A880" s="10">
        <f>IF(862&gt;$E$5,"",SMALL($O$19:$O$4018,$E$6+862))</f>
        <v/>
      </c>
      <c r="B880" s="29">
        <f>IF(A880="","",INDEX('자료_미국심리'!$B$3:$B$4002,MATCH(A880,$O$19:$O$4018,0)))</f>
        <v/>
      </c>
      <c r="C880" s="22">
        <f>IF(A880="","",B880/AVERAGE(B756:B880)-1)</f>
        <v/>
      </c>
      <c r="D880" s="29">
        <f>IF(A880="","",IFERROR(INDEX('자료_미국심리'!$E$3:$E$4002,MATCH(A880,$P$19:$P$4018,0)),D879))</f>
        <v/>
      </c>
      <c r="E880" s="29">
        <f>IF(A880="","",IFERROR(INDEX('자료_미국심리'!$H$3:$H$4002,MATCH(A880,$Q$19:$Q$4018,0)),E879))</f>
        <v/>
      </c>
      <c r="F880">
        <f>IF(A880="",0,IF(A880&gt;$B$5,1,0))</f>
        <v/>
      </c>
      <c r="G880" s="29">
        <f>IF(AND(F880=1,ISNUMBER(D880)),D880,"")</f>
        <v/>
      </c>
      <c r="H880" s="29">
        <f>IF(AND(F880=1,ISNUMBER(E880)),E880,"")</f>
        <v/>
      </c>
      <c r="I880" s="22">
        <f>IF(AND(F880=1,ISNUMBER(C880)),C880,"")</f>
        <v/>
      </c>
      <c r="J880" s="11">
        <f>IF(G880="","",100-IF($G$13=1,50,(_xlfn.RANK.AVG(G880,$G$19:$G$1518,1)-1)/($G$13-1)*100))</f>
        <v/>
      </c>
      <c r="K880" s="11">
        <f>IF(H880="","",100-IF($G$14=1,50,(_xlfn.RANK.AVG(H880,$H$19:$H$1518,1)-1)/($G$14-1)*100))</f>
        <v/>
      </c>
      <c r="L880" s="11">
        <f>IF(I880="","",IF($G$15=1,50,(_xlfn.RANK.AVG(I880,$I$19:$I$1518,1)-1)/($G$15-1)*100))</f>
        <v/>
      </c>
      <c r="M880" s="11">
        <f>IF(COUNT(J880:L880)=3,ROUND(AVERAGE(J880:L880),6),"")</f>
        <v/>
      </c>
      <c r="O880">
        <f>IF(AND(ISNUMBER('자료_미국심리'!$A864),ISNUMBER('자료_미국심리'!$B864)),'자료_미국심리'!$A864,"")</f>
        <v/>
      </c>
      <c r="P880">
        <f>IF(AND(ISNUMBER('자료_미국심리'!$D864),ISNUMBER('자료_미국심리'!$E864)),'자료_미국심리'!$D864,"")</f>
        <v/>
      </c>
      <c r="Q880">
        <f>IF(AND(ISNUMBER('자료_미국심리'!$G864),ISNUMBER('자료_미국심리'!$H864)),'자료_미국심리'!$G864,"")</f>
        <v/>
      </c>
    </row>
    <row r="881">
      <c r="A881" s="10">
        <f>IF(863&gt;$E$5,"",SMALL($O$19:$O$4018,$E$6+863))</f>
        <v/>
      </c>
      <c r="B881" s="29">
        <f>IF(A881="","",INDEX('자료_미국심리'!$B$3:$B$4002,MATCH(A881,$O$19:$O$4018,0)))</f>
        <v/>
      </c>
      <c r="C881" s="22">
        <f>IF(A881="","",B881/AVERAGE(B757:B881)-1)</f>
        <v/>
      </c>
      <c r="D881" s="29">
        <f>IF(A881="","",IFERROR(INDEX('자료_미국심리'!$E$3:$E$4002,MATCH(A881,$P$19:$P$4018,0)),D880))</f>
        <v/>
      </c>
      <c r="E881" s="29">
        <f>IF(A881="","",IFERROR(INDEX('자료_미국심리'!$H$3:$H$4002,MATCH(A881,$Q$19:$Q$4018,0)),E880))</f>
        <v/>
      </c>
      <c r="F881">
        <f>IF(A881="",0,IF(A881&gt;$B$5,1,0))</f>
        <v/>
      </c>
      <c r="G881" s="29">
        <f>IF(AND(F881=1,ISNUMBER(D881)),D881,"")</f>
        <v/>
      </c>
      <c r="H881" s="29">
        <f>IF(AND(F881=1,ISNUMBER(E881)),E881,"")</f>
        <v/>
      </c>
      <c r="I881" s="22">
        <f>IF(AND(F881=1,ISNUMBER(C881)),C881,"")</f>
        <v/>
      </c>
      <c r="J881" s="11">
        <f>IF(G881="","",100-IF($G$13=1,50,(_xlfn.RANK.AVG(G881,$G$19:$G$1518,1)-1)/($G$13-1)*100))</f>
        <v/>
      </c>
      <c r="K881" s="11">
        <f>IF(H881="","",100-IF($G$14=1,50,(_xlfn.RANK.AVG(H881,$H$19:$H$1518,1)-1)/($G$14-1)*100))</f>
        <v/>
      </c>
      <c r="L881" s="11">
        <f>IF(I881="","",IF($G$15=1,50,(_xlfn.RANK.AVG(I881,$I$19:$I$1518,1)-1)/($G$15-1)*100))</f>
        <v/>
      </c>
      <c r="M881" s="11">
        <f>IF(COUNT(J881:L881)=3,ROUND(AVERAGE(J881:L881),6),"")</f>
        <v/>
      </c>
      <c r="O881">
        <f>IF(AND(ISNUMBER('자료_미국심리'!$A865),ISNUMBER('자료_미국심리'!$B865)),'자료_미국심리'!$A865,"")</f>
        <v/>
      </c>
      <c r="P881">
        <f>IF(AND(ISNUMBER('자료_미국심리'!$D865),ISNUMBER('자료_미국심리'!$E865)),'자료_미국심리'!$D865,"")</f>
        <v/>
      </c>
      <c r="Q881">
        <f>IF(AND(ISNUMBER('자료_미국심리'!$G865),ISNUMBER('자료_미국심리'!$H865)),'자료_미국심리'!$G865,"")</f>
        <v/>
      </c>
    </row>
    <row r="882">
      <c r="A882" s="10">
        <f>IF(864&gt;$E$5,"",SMALL($O$19:$O$4018,$E$6+864))</f>
        <v/>
      </c>
      <c r="B882" s="29">
        <f>IF(A882="","",INDEX('자료_미국심리'!$B$3:$B$4002,MATCH(A882,$O$19:$O$4018,0)))</f>
        <v/>
      </c>
      <c r="C882" s="22">
        <f>IF(A882="","",B882/AVERAGE(B758:B882)-1)</f>
        <v/>
      </c>
      <c r="D882" s="29">
        <f>IF(A882="","",IFERROR(INDEX('자료_미국심리'!$E$3:$E$4002,MATCH(A882,$P$19:$P$4018,0)),D881))</f>
        <v/>
      </c>
      <c r="E882" s="29">
        <f>IF(A882="","",IFERROR(INDEX('자료_미국심리'!$H$3:$H$4002,MATCH(A882,$Q$19:$Q$4018,0)),E881))</f>
        <v/>
      </c>
      <c r="F882">
        <f>IF(A882="",0,IF(A882&gt;$B$5,1,0))</f>
        <v/>
      </c>
      <c r="G882" s="29">
        <f>IF(AND(F882=1,ISNUMBER(D882)),D882,"")</f>
        <v/>
      </c>
      <c r="H882" s="29">
        <f>IF(AND(F882=1,ISNUMBER(E882)),E882,"")</f>
        <v/>
      </c>
      <c r="I882" s="22">
        <f>IF(AND(F882=1,ISNUMBER(C882)),C882,"")</f>
        <v/>
      </c>
      <c r="J882" s="11">
        <f>IF(G882="","",100-IF($G$13=1,50,(_xlfn.RANK.AVG(G882,$G$19:$G$1518,1)-1)/($G$13-1)*100))</f>
        <v/>
      </c>
      <c r="K882" s="11">
        <f>IF(H882="","",100-IF($G$14=1,50,(_xlfn.RANK.AVG(H882,$H$19:$H$1518,1)-1)/($G$14-1)*100))</f>
        <v/>
      </c>
      <c r="L882" s="11">
        <f>IF(I882="","",IF($G$15=1,50,(_xlfn.RANK.AVG(I882,$I$19:$I$1518,1)-1)/($G$15-1)*100))</f>
        <v/>
      </c>
      <c r="M882" s="11">
        <f>IF(COUNT(J882:L882)=3,ROUND(AVERAGE(J882:L882),6),"")</f>
        <v/>
      </c>
      <c r="O882">
        <f>IF(AND(ISNUMBER('자료_미국심리'!$A866),ISNUMBER('자료_미국심리'!$B866)),'자료_미국심리'!$A866,"")</f>
        <v/>
      </c>
      <c r="P882">
        <f>IF(AND(ISNUMBER('자료_미국심리'!$D866),ISNUMBER('자료_미국심리'!$E866)),'자료_미국심리'!$D866,"")</f>
        <v/>
      </c>
      <c r="Q882">
        <f>IF(AND(ISNUMBER('자료_미국심리'!$G866),ISNUMBER('자료_미국심리'!$H866)),'자료_미국심리'!$G866,"")</f>
        <v/>
      </c>
    </row>
    <row r="883">
      <c r="A883" s="10">
        <f>IF(865&gt;$E$5,"",SMALL($O$19:$O$4018,$E$6+865))</f>
        <v/>
      </c>
      <c r="B883" s="29">
        <f>IF(A883="","",INDEX('자료_미국심리'!$B$3:$B$4002,MATCH(A883,$O$19:$O$4018,0)))</f>
        <v/>
      </c>
      <c r="C883" s="22">
        <f>IF(A883="","",B883/AVERAGE(B759:B883)-1)</f>
        <v/>
      </c>
      <c r="D883" s="29">
        <f>IF(A883="","",IFERROR(INDEX('자료_미국심리'!$E$3:$E$4002,MATCH(A883,$P$19:$P$4018,0)),D882))</f>
        <v/>
      </c>
      <c r="E883" s="29">
        <f>IF(A883="","",IFERROR(INDEX('자료_미국심리'!$H$3:$H$4002,MATCH(A883,$Q$19:$Q$4018,0)),E882))</f>
        <v/>
      </c>
      <c r="F883">
        <f>IF(A883="",0,IF(A883&gt;$B$5,1,0))</f>
        <v/>
      </c>
      <c r="G883" s="29">
        <f>IF(AND(F883=1,ISNUMBER(D883)),D883,"")</f>
        <v/>
      </c>
      <c r="H883" s="29">
        <f>IF(AND(F883=1,ISNUMBER(E883)),E883,"")</f>
        <v/>
      </c>
      <c r="I883" s="22">
        <f>IF(AND(F883=1,ISNUMBER(C883)),C883,"")</f>
        <v/>
      </c>
      <c r="J883" s="11">
        <f>IF(G883="","",100-IF($G$13=1,50,(_xlfn.RANK.AVG(G883,$G$19:$G$1518,1)-1)/($G$13-1)*100))</f>
        <v/>
      </c>
      <c r="K883" s="11">
        <f>IF(H883="","",100-IF($G$14=1,50,(_xlfn.RANK.AVG(H883,$H$19:$H$1518,1)-1)/($G$14-1)*100))</f>
        <v/>
      </c>
      <c r="L883" s="11">
        <f>IF(I883="","",IF($G$15=1,50,(_xlfn.RANK.AVG(I883,$I$19:$I$1518,1)-1)/($G$15-1)*100))</f>
        <v/>
      </c>
      <c r="M883" s="11">
        <f>IF(COUNT(J883:L883)=3,ROUND(AVERAGE(J883:L883),6),"")</f>
        <v/>
      </c>
      <c r="O883">
        <f>IF(AND(ISNUMBER('자료_미국심리'!$A867),ISNUMBER('자료_미국심리'!$B867)),'자료_미국심리'!$A867,"")</f>
        <v/>
      </c>
      <c r="P883">
        <f>IF(AND(ISNUMBER('자료_미국심리'!$D867),ISNUMBER('자료_미국심리'!$E867)),'자료_미국심리'!$D867,"")</f>
        <v/>
      </c>
      <c r="Q883">
        <f>IF(AND(ISNUMBER('자료_미국심리'!$G867),ISNUMBER('자료_미국심리'!$H867)),'자료_미국심리'!$G867,"")</f>
        <v/>
      </c>
    </row>
    <row r="884">
      <c r="A884" s="10">
        <f>IF(866&gt;$E$5,"",SMALL($O$19:$O$4018,$E$6+866))</f>
        <v/>
      </c>
      <c r="B884" s="29">
        <f>IF(A884="","",INDEX('자료_미국심리'!$B$3:$B$4002,MATCH(A884,$O$19:$O$4018,0)))</f>
        <v/>
      </c>
      <c r="C884" s="22">
        <f>IF(A884="","",B884/AVERAGE(B760:B884)-1)</f>
        <v/>
      </c>
      <c r="D884" s="29">
        <f>IF(A884="","",IFERROR(INDEX('자료_미국심리'!$E$3:$E$4002,MATCH(A884,$P$19:$P$4018,0)),D883))</f>
        <v/>
      </c>
      <c r="E884" s="29">
        <f>IF(A884="","",IFERROR(INDEX('자료_미국심리'!$H$3:$H$4002,MATCH(A884,$Q$19:$Q$4018,0)),E883))</f>
        <v/>
      </c>
      <c r="F884">
        <f>IF(A884="",0,IF(A884&gt;$B$5,1,0))</f>
        <v/>
      </c>
      <c r="G884" s="29">
        <f>IF(AND(F884=1,ISNUMBER(D884)),D884,"")</f>
        <v/>
      </c>
      <c r="H884" s="29">
        <f>IF(AND(F884=1,ISNUMBER(E884)),E884,"")</f>
        <v/>
      </c>
      <c r="I884" s="22">
        <f>IF(AND(F884=1,ISNUMBER(C884)),C884,"")</f>
        <v/>
      </c>
      <c r="J884" s="11">
        <f>IF(G884="","",100-IF($G$13=1,50,(_xlfn.RANK.AVG(G884,$G$19:$G$1518,1)-1)/($G$13-1)*100))</f>
        <v/>
      </c>
      <c r="K884" s="11">
        <f>IF(H884="","",100-IF($G$14=1,50,(_xlfn.RANK.AVG(H884,$H$19:$H$1518,1)-1)/($G$14-1)*100))</f>
        <v/>
      </c>
      <c r="L884" s="11">
        <f>IF(I884="","",IF($G$15=1,50,(_xlfn.RANK.AVG(I884,$I$19:$I$1518,1)-1)/($G$15-1)*100))</f>
        <v/>
      </c>
      <c r="M884" s="11">
        <f>IF(COUNT(J884:L884)=3,ROUND(AVERAGE(J884:L884),6),"")</f>
        <v/>
      </c>
      <c r="O884">
        <f>IF(AND(ISNUMBER('자료_미국심리'!$A868),ISNUMBER('자료_미국심리'!$B868)),'자료_미국심리'!$A868,"")</f>
        <v/>
      </c>
      <c r="P884">
        <f>IF(AND(ISNUMBER('자료_미국심리'!$D868),ISNUMBER('자료_미국심리'!$E868)),'자료_미국심리'!$D868,"")</f>
        <v/>
      </c>
      <c r="Q884">
        <f>IF(AND(ISNUMBER('자료_미국심리'!$G868),ISNUMBER('자료_미국심리'!$H868)),'자료_미국심리'!$G868,"")</f>
        <v/>
      </c>
    </row>
    <row r="885">
      <c r="A885" s="10">
        <f>IF(867&gt;$E$5,"",SMALL($O$19:$O$4018,$E$6+867))</f>
        <v/>
      </c>
      <c r="B885" s="29">
        <f>IF(A885="","",INDEX('자료_미국심리'!$B$3:$B$4002,MATCH(A885,$O$19:$O$4018,0)))</f>
        <v/>
      </c>
      <c r="C885" s="22">
        <f>IF(A885="","",B885/AVERAGE(B761:B885)-1)</f>
        <v/>
      </c>
      <c r="D885" s="29">
        <f>IF(A885="","",IFERROR(INDEX('자료_미국심리'!$E$3:$E$4002,MATCH(A885,$P$19:$P$4018,0)),D884))</f>
        <v/>
      </c>
      <c r="E885" s="29">
        <f>IF(A885="","",IFERROR(INDEX('자료_미국심리'!$H$3:$H$4002,MATCH(A885,$Q$19:$Q$4018,0)),E884))</f>
        <v/>
      </c>
      <c r="F885">
        <f>IF(A885="",0,IF(A885&gt;$B$5,1,0))</f>
        <v/>
      </c>
      <c r="G885" s="29">
        <f>IF(AND(F885=1,ISNUMBER(D885)),D885,"")</f>
        <v/>
      </c>
      <c r="H885" s="29">
        <f>IF(AND(F885=1,ISNUMBER(E885)),E885,"")</f>
        <v/>
      </c>
      <c r="I885" s="22">
        <f>IF(AND(F885=1,ISNUMBER(C885)),C885,"")</f>
        <v/>
      </c>
      <c r="J885" s="11">
        <f>IF(G885="","",100-IF($G$13=1,50,(_xlfn.RANK.AVG(G885,$G$19:$G$1518,1)-1)/($G$13-1)*100))</f>
        <v/>
      </c>
      <c r="K885" s="11">
        <f>IF(H885="","",100-IF($G$14=1,50,(_xlfn.RANK.AVG(H885,$H$19:$H$1518,1)-1)/($G$14-1)*100))</f>
        <v/>
      </c>
      <c r="L885" s="11">
        <f>IF(I885="","",IF($G$15=1,50,(_xlfn.RANK.AVG(I885,$I$19:$I$1518,1)-1)/($G$15-1)*100))</f>
        <v/>
      </c>
      <c r="M885" s="11">
        <f>IF(COUNT(J885:L885)=3,ROUND(AVERAGE(J885:L885),6),"")</f>
        <v/>
      </c>
      <c r="O885">
        <f>IF(AND(ISNUMBER('자료_미국심리'!$A869),ISNUMBER('자료_미국심리'!$B869)),'자료_미국심리'!$A869,"")</f>
        <v/>
      </c>
      <c r="P885">
        <f>IF(AND(ISNUMBER('자료_미국심리'!$D869),ISNUMBER('자료_미국심리'!$E869)),'자료_미국심리'!$D869,"")</f>
        <v/>
      </c>
      <c r="Q885">
        <f>IF(AND(ISNUMBER('자료_미국심리'!$G869),ISNUMBER('자료_미국심리'!$H869)),'자료_미국심리'!$G869,"")</f>
        <v/>
      </c>
    </row>
    <row r="886">
      <c r="A886" s="10">
        <f>IF(868&gt;$E$5,"",SMALL($O$19:$O$4018,$E$6+868))</f>
        <v/>
      </c>
      <c r="B886" s="29">
        <f>IF(A886="","",INDEX('자료_미국심리'!$B$3:$B$4002,MATCH(A886,$O$19:$O$4018,0)))</f>
        <v/>
      </c>
      <c r="C886" s="22">
        <f>IF(A886="","",B886/AVERAGE(B762:B886)-1)</f>
        <v/>
      </c>
      <c r="D886" s="29">
        <f>IF(A886="","",IFERROR(INDEX('자료_미국심리'!$E$3:$E$4002,MATCH(A886,$P$19:$P$4018,0)),D885))</f>
        <v/>
      </c>
      <c r="E886" s="29">
        <f>IF(A886="","",IFERROR(INDEX('자료_미국심리'!$H$3:$H$4002,MATCH(A886,$Q$19:$Q$4018,0)),E885))</f>
        <v/>
      </c>
      <c r="F886">
        <f>IF(A886="",0,IF(A886&gt;$B$5,1,0))</f>
        <v/>
      </c>
      <c r="G886" s="29">
        <f>IF(AND(F886=1,ISNUMBER(D886)),D886,"")</f>
        <v/>
      </c>
      <c r="H886" s="29">
        <f>IF(AND(F886=1,ISNUMBER(E886)),E886,"")</f>
        <v/>
      </c>
      <c r="I886" s="22">
        <f>IF(AND(F886=1,ISNUMBER(C886)),C886,"")</f>
        <v/>
      </c>
      <c r="J886" s="11">
        <f>IF(G886="","",100-IF($G$13=1,50,(_xlfn.RANK.AVG(G886,$G$19:$G$1518,1)-1)/($G$13-1)*100))</f>
        <v/>
      </c>
      <c r="K886" s="11">
        <f>IF(H886="","",100-IF($G$14=1,50,(_xlfn.RANK.AVG(H886,$H$19:$H$1518,1)-1)/($G$14-1)*100))</f>
        <v/>
      </c>
      <c r="L886" s="11">
        <f>IF(I886="","",IF($G$15=1,50,(_xlfn.RANK.AVG(I886,$I$19:$I$1518,1)-1)/($G$15-1)*100))</f>
        <v/>
      </c>
      <c r="M886" s="11">
        <f>IF(COUNT(J886:L886)=3,ROUND(AVERAGE(J886:L886),6),"")</f>
        <v/>
      </c>
      <c r="O886">
        <f>IF(AND(ISNUMBER('자료_미국심리'!$A870),ISNUMBER('자료_미국심리'!$B870)),'자료_미국심리'!$A870,"")</f>
        <v/>
      </c>
      <c r="P886">
        <f>IF(AND(ISNUMBER('자료_미국심리'!$D870),ISNUMBER('자료_미국심리'!$E870)),'자료_미국심리'!$D870,"")</f>
        <v/>
      </c>
      <c r="Q886">
        <f>IF(AND(ISNUMBER('자료_미국심리'!$G870),ISNUMBER('자료_미국심리'!$H870)),'자료_미국심리'!$G870,"")</f>
        <v/>
      </c>
    </row>
    <row r="887">
      <c r="A887" s="10">
        <f>IF(869&gt;$E$5,"",SMALL($O$19:$O$4018,$E$6+869))</f>
        <v/>
      </c>
      <c r="B887" s="29">
        <f>IF(A887="","",INDEX('자료_미국심리'!$B$3:$B$4002,MATCH(A887,$O$19:$O$4018,0)))</f>
        <v/>
      </c>
      <c r="C887" s="22">
        <f>IF(A887="","",B887/AVERAGE(B763:B887)-1)</f>
        <v/>
      </c>
      <c r="D887" s="29">
        <f>IF(A887="","",IFERROR(INDEX('자료_미국심리'!$E$3:$E$4002,MATCH(A887,$P$19:$P$4018,0)),D886))</f>
        <v/>
      </c>
      <c r="E887" s="29">
        <f>IF(A887="","",IFERROR(INDEX('자료_미국심리'!$H$3:$H$4002,MATCH(A887,$Q$19:$Q$4018,0)),E886))</f>
        <v/>
      </c>
      <c r="F887">
        <f>IF(A887="",0,IF(A887&gt;$B$5,1,0))</f>
        <v/>
      </c>
      <c r="G887" s="29">
        <f>IF(AND(F887=1,ISNUMBER(D887)),D887,"")</f>
        <v/>
      </c>
      <c r="H887" s="29">
        <f>IF(AND(F887=1,ISNUMBER(E887)),E887,"")</f>
        <v/>
      </c>
      <c r="I887" s="22">
        <f>IF(AND(F887=1,ISNUMBER(C887)),C887,"")</f>
        <v/>
      </c>
      <c r="J887" s="11">
        <f>IF(G887="","",100-IF($G$13=1,50,(_xlfn.RANK.AVG(G887,$G$19:$G$1518,1)-1)/($G$13-1)*100))</f>
        <v/>
      </c>
      <c r="K887" s="11">
        <f>IF(H887="","",100-IF($G$14=1,50,(_xlfn.RANK.AVG(H887,$H$19:$H$1518,1)-1)/($G$14-1)*100))</f>
        <v/>
      </c>
      <c r="L887" s="11">
        <f>IF(I887="","",IF($G$15=1,50,(_xlfn.RANK.AVG(I887,$I$19:$I$1518,1)-1)/($G$15-1)*100))</f>
        <v/>
      </c>
      <c r="M887" s="11">
        <f>IF(COUNT(J887:L887)=3,ROUND(AVERAGE(J887:L887),6),"")</f>
        <v/>
      </c>
      <c r="O887">
        <f>IF(AND(ISNUMBER('자료_미국심리'!$A871),ISNUMBER('자료_미국심리'!$B871)),'자료_미국심리'!$A871,"")</f>
        <v/>
      </c>
      <c r="P887">
        <f>IF(AND(ISNUMBER('자료_미국심리'!$D871),ISNUMBER('자료_미국심리'!$E871)),'자료_미국심리'!$D871,"")</f>
        <v/>
      </c>
      <c r="Q887">
        <f>IF(AND(ISNUMBER('자료_미국심리'!$G871),ISNUMBER('자료_미국심리'!$H871)),'자료_미국심리'!$G871,"")</f>
        <v/>
      </c>
    </row>
    <row r="888">
      <c r="A888" s="10">
        <f>IF(870&gt;$E$5,"",SMALL($O$19:$O$4018,$E$6+870))</f>
        <v/>
      </c>
      <c r="B888" s="29">
        <f>IF(A888="","",INDEX('자료_미국심리'!$B$3:$B$4002,MATCH(A888,$O$19:$O$4018,0)))</f>
        <v/>
      </c>
      <c r="C888" s="22">
        <f>IF(A888="","",B888/AVERAGE(B764:B888)-1)</f>
        <v/>
      </c>
      <c r="D888" s="29">
        <f>IF(A888="","",IFERROR(INDEX('자료_미국심리'!$E$3:$E$4002,MATCH(A888,$P$19:$P$4018,0)),D887))</f>
        <v/>
      </c>
      <c r="E888" s="29">
        <f>IF(A888="","",IFERROR(INDEX('자료_미국심리'!$H$3:$H$4002,MATCH(A888,$Q$19:$Q$4018,0)),E887))</f>
        <v/>
      </c>
      <c r="F888">
        <f>IF(A888="",0,IF(A888&gt;$B$5,1,0))</f>
        <v/>
      </c>
      <c r="G888" s="29">
        <f>IF(AND(F888=1,ISNUMBER(D888)),D888,"")</f>
        <v/>
      </c>
      <c r="H888" s="29">
        <f>IF(AND(F888=1,ISNUMBER(E888)),E888,"")</f>
        <v/>
      </c>
      <c r="I888" s="22">
        <f>IF(AND(F888=1,ISNUMBER(C888)),C888,"")</f>
        <v/>
      </c>
      <c r="J888" s="11">
        <f>IF(G888="","",100-IF($G$13=1,50,(_xlfn.RANK.AVG(G888,$G$19:$G$1518,1)-1)/($G$13-1)*100))</f>
        <v/>
      </c>
      <c r="K888" s="11">
        <f>IF(H888="","",100-IF($G$14=1,50,(_xlfn.RANK.AVG(H888,$H$19:$H$1518,1)-1)/($G$14-1)*100))</f>
        <v/>
      </c>
      <c r="L888" s="11">
        <f>IF(I888="","",IF($G$15=1,50,(_xlfn.RANK.AVG(I888,$I$19:$I$1518,1)-1)/($G$15-1)*100))</f>
        <v/>
      </c>
      <c r="M888" s="11">
        <f>IF(COUNT(J888:L888)=3,ROUND(AVERAGE(J888:L888),6),"")</f>
        <v/>
      </c>
      <c r="O888">
        <f>IF(AND(ISNUMBER('자료_미국심리'!$A872),ISNUMBER('자료_미국심리'!$B872)),'자료_미국심리'!$A872,"")</f>
        <v/>
      </c>
      <c r="P888">
        <f>IF(AND(ISNUMBER('자료_미국심리'!$D872),ISNUMBER('자료_미국심리'!$E872)),'자료_미국심리'!$D872,"")</f>
        <v/>
      </c>
      <c r="Q888">
        <f>IF(AND(ISNUMBER('자료_미국심리'!$G872),ISNUMBER('자료_미국심리'!$H872)),'자료_미국심리'!$G872,"")</f>
        <v/>
      </c>
    </row>
    <row r="889">
      <c r="A889" s="10">
        <f>IF(871&gt;$E$5,"",SMALL($O$19:$O$4018,$E$6+871))</f>
        <v/>
      </c>
      <c r="B889" s="29">
        <f>IF(A889="","",INDEX('자료_미국심리'!$B$3:$B$4002,MATCH(A889,$O$19:$O$4018,0)))</f>
        <v/>
      </c>
      <c r="C889" s="22">
        <f>IF(A889="","",B889/AVERAGE(B765:B889)-1)</f>
        <v/>
      </c>
      <c r="D889" s="29">
        <f>IF(A889="","",IFERROR(INDEX('자료_미국심리'!$E$3:$E$4002,MATCH(A889,$P$19:$P$4018,0)),D888))</f>
        <v/>
      </c>
      <c r="E889" s="29">
        <f>IF(A889="","",IFERROR(INDEX('자료_미국심리'!$H$3:$H$4002,MATCH(A889,$Q$19:$Q$4018,0)),E888))</f>
        <v/>
      </c>
      <c r="F889">
        <f>IF(A889="",0,IF(A889&gt;$B$5,1,0))</f>
        <v/>
      </c>
      <c r="G889" s="29">
        <f>IF(AND(F889=1,ISNUMBER(D889)),D889,"")</f>
        <v/>
      </c>
      <c r="H889" s="29">
        <f>IF(AND(F889=1,ISNUMBER(E889)),E889,"")</f>
        <v/>
      </c>
      <c r="I889" s="22">
        <f>IF(AND(F889=1,ISNUMBER(C889)),C889,"")</f>
        <v/>
      </c>
      <c r="J889" s="11">
        <f>IF(G889="","",100-IF($G$13=1,50,(_xlfn.RANK.AVG(G889,$G$19:$G$1518,1)-1)/($G$13-1)*100))</f>
        <v/>
      </c>
      <c r="K889" s="11">
        <f>IF(H889="","",100-IF($G$14=1,50,(_xlfn.RANK.AVG(H889,$H$19:$H$1518,1)-1)/($G$14-1)*100))</f>
        <v/>
      </c>
      <c r="L889" s="11">
        <f>IF(I889="","",IF($G$15=1,50,(_xlfn.RANK.AVG(I889,$I$19:$I$1518,1)-1)/($G$15-1)*100))</f>
        <v/>
      </c>
      <c r="M889" s="11">
        <f>IF(COUNT(J889:L889)=3,ROUND(AVERAGE(J889:L889),6),"")</f>
        <v/>
      </c>
      <c r="O889">
        <f>IF(AND(ISNUMBER('자료_미국심리'!$A873),ISNUMBER('자료_미국심리'!$B873)),'자료_미국심리'!$A873,"")</f>
        <v/>
      </c>
      <c r="P889">
        <f>IF(AND(ISNUMBER('자료_미국심리'!$D873),ISNUMBER('자료_미국심리'!$E873)),'자료_미국심리'!$D873,"")</f>
        <v/>
      </c>
      <c r="Q889">
        <f>IF(AND(ISNUMBER('자료_미국심리'!$G873),ISNUMBER('자료_미국심리'!$H873)),'자료_미국심리'!$G873,"")</f>
        <v/>
      </c>
    </row>
    <row r="890">
      <c r="A890" s="10">
        <f>IF(872&gt;$E$5,"",SMALL($O$19:$O$4018,$E$6+872))</f>
        <v/>
      </c>
      <c r="B890" s="29">
        <f>IF(A890="","",INDEX('자료_미국심리'!$B$3:$B$4002,MATCH(A890,$O$19:$O$4018,0)))</f>
        <v/>
      </c>
      <c r="C890" s="22">
        <f>IF(A890="","",B890/AVERAGE(B766:B890)-1)</f>
        <v/>
      </c>
      <c r="D890" s="29">
        <f>IF(A890="","",IFERROR(INDEX('자료_미국심리'!$E$3:$E$4002,MATCH(A890,$P$19:$P$4018,0)),D889))</f>
        <v/>
      </c>
      <c r="E890" s="29">
        <f>IF(A890="","",IFERROR(INDEX('자료_미국심리'!$H$3:$H$4002,MATCH(A890,$Q$19:$Q$4018,0)),E889))</f>
        <v/>
      </c>
      <c r="F890">
        <f>IF(A890="",0,IF(A890&gt;$B$5,1,0))</f>
        <v/>
      </c>
      <c r="G890" s="29">
        <f>IF(AND(F890=1,ISNUMBER(D890)),D890,"")</f>
        <v/>
      </c>
      <c r="H890" s="29">
        <f>IF(AND(F890=1,ISNUMBER(E890)),E890,"")</f>
        <v/>
      </c>
      <c r="I890" s="22">
        <f>IF(AND(F890=1,ISNUMBER(C890)),C890,"")</f>
        <v/>
      </c>
      <c r="J890" s="11">
        <f>IF(G890="","",100-IF($G$13=1,50,(_xlfn.RANK.AVG(G890,$G$19:$G$1518,1)-1)/($G$13-1)*100))</f>
        <v/>
      </c>
      <c r="K890" s="11">
        <f>IF(H890="","",100-IF($G$14=1,50,(_xlfn.RANK.AVG(H890,$H$19:$H$1518,1)-1)/($G$14-1)*100))</f>
        <v/>
      </c>
      <c r="L890" s="11">
        <f>IF(I890="","",IF($G$15=1,50,(_xlfn.RANK.AVG(I890,$I$19:$I$1518,1)-1)/($G$15-1)*100))</f>
        <v/>
      </c>
      <c r="M890" s="11">
        <f>IF(COUNT(J890:L890)=3,ROUND(AVERAGE(J890:L890),6),"")</f>
        <v/>
      </c>
      <c r="O890">
        <f>IF(AND(ISNUMBER('자료_미국심리'!$A874),ISNUMBER('자료_미국심리'!$B874)),'자료_미국심리'!$A874,"")</f>
        <v/>
      </c>
      <c r="P890">
        <f>IF(AND(ISNUMBER('자료_미국심리'!$D874),ISNUMBER('자료_미국심리'!$E874)),'자료_미국심리'!$D874,"")</f>
        <v/>
      </c>
      <c r="Q890">
        <f>IF(AND(ISNUMBER('자료_미국심리'!$G874),ISNUMBER('자료_미국심리'!$H874)),'자료_미국심리'!$G874,"")</f>
        <v/>
      </c>
    </row>
    <row r="891">
      <c r="A891" s="10">
        <f>IF(873&gt;$E$5,"",SMALL($O$19:$O$4018,$E$6+873))</f>
        <v/>
      </c>
      <c r="B891" s="29">
        <f>IF(A891="","",INDEX('자료_미국심리'!$B$3:$B$4002,MATCH(A891,$O$19:$O$4018,0)))</f>
        <v/>
      </c>
      <c r="C891" s="22">
        <f>IF(A891="","",B891/AVERAGE(B767:B891)-1)</f>
        <v/>
      </c>
      <c r="D891" s="29">
        <f>IF(A891="","",IFERROR(INDEX('자료_미국심리'!$E$3:$E$4002,MATCH(A891,$P$19:$P$4018,0)),D890))</f>
        <v/>
      </c>
      <c r="E891" s="29">
        <f>IF(A891="","",IFERROR(INDEX('자료_미국심리'!$H$3:$H$4002,MATCH(A891,$Q$19:$Q$4018,0)),E890))</f>
        <v/>
      </c>
      <c r="F891">
        <f>IF(A891="",0,IF(A891&gt;$B$5,1,0))</f>
        <v/>
      </c>
      <c r="G891" s="29">
        <f>IF(AND(F891=1,ISNUMBER(D891)),D891,"")</f>
        <v/>
      </c>
      <c r="H891" s="29">
        <f>IF(AND(F891=1,ISNUMBER(E891)),E891,"")</f>
        <v/>
      </c>
      <c r="I891" s="22">
        <f>IF(AND(F891=1,ISNUMBER(C891)),C891,"")</f>
        <v/>
      </c>
      <c r="J891" s="11">
        <f>IF(G891="","",100-IF($G$13=1,50,(_xlfn.RANK.AVG(G891,$G$19:$G$1518,1)-1)/($G$13-1)*100))</f>
        <v/>
      </c>
      <c r="K891" s="11">
        <f>IF(H891="","",100-IF($G$14=1,50,(_xlfn.RANK.AVG(H891,$H$19:$H$1518,1)-1)/($G$14-1)*100))</f>
        <v/>
      </c>
      <c r="L891" s="11">
        <f>IF(I891="","",IF($G$15=1,50,(_xlfn.RANK.AVG(I891,$I$19:$I$1518,1)-1)/($G$15-1)*100))</f>
        <v/>
      </c>
      <c r="M891" s="11">
        <f>IF(COUNT(J891:L891)=3,ROUND(AVERAGE(J891:L891),6),"")</f>
        <v/>
      </c>
      <c r="O891">
        <f>IF(AND(ISNUMBER('자료_미국심리'!$A875),ISNUMBER('자료_미국심리'!$B875)),'자료_미국심리'!$A875,"")</f>
        <v/>
      </c>
      <c r="P891">
        <f>IF(AND(ISNUMBER('자료_미국심리'!$D875),ISNUMBER('자료_미국심리'!$E875)),'자료_미국심리'!$D875,"")</f>
        <v/>
      </c>
      <c r="Q891">
        <f>IF(AND(ISNUMBER('자료_미국심리'!$G875),ISNUMBER('자료_미국심리'!$H875)),'자료_미국심리'!$G875,"")</f>
        <v/>
      </c>
    </row>
    <row r="892">
      <c r="A892" s="10">
        <f>IF(874&gt;$E$5,"",SMALL($O$19:$O$4018,$E$6+874))</f>
        <v/>
      </c>
      <c r="B892" s="29">
        <f>IF(A892="","",INDEX('자료_미국심리'!$B$3:$B$4002,MATCH(A892,$O$19:$O$4018,0)))</f>
        <v/>
      </c>
      <c r="C892" s="22">
        <f>IF(A892="","",B892/AVERAGE(B768:B892)-1)</f>
        <v/>
      </c>
      <c r="D892" s="29">
        <f>IF(A892="","",IFERROR(INDEX('자료_미국심리'!$E$3:$E$4002,MATCH(A892,$P$19:$P$4018,0)),D891))</f>
        <v/>
      </c>
      <c r="E892" s="29">
        <f>IF(A892="","",IFERROR(INDEX('자료_미국심리'!$H$3:$H$4002,MATCH(A892,$Q$19:$Q$4018,0)),E891))</f>
        <v/>
      </c>
      <c r="F892">
        <f>IF(A892="",0,IF(A892&gt;$B$5,1,0))</f>
        <v/>
      </c>
      <c r="G892" s="29">
        <f>IF(AND(F892=1,ISNUMBER(D892)),D892,"")</f>
        <v/>
      </c>
      <c r="H892" s="29">
        <f>IF(AND(F892=1,ISNUMBER(E892)),E892,"")</f>
        <v/>
      </c>
      <c r="I892" s="22">
        <f>IF(AND(F892=1,ISNUMBER(C892)),C892,"")</f>
        <v/>
      </c>
      <c r="J892" s="11">
        <f>IF(G892="","",100-IF($G$13=1,50,(_xlfn.RANK.AVG(G892,$G$19:$G$1518,1)-1)/($G$13-1)*100))</f>
        <v/>
      </c>
      <c r="K892" s="11">
        <f>IF(H892="","",100-IF($G$14=1,50,(_xlfn.RANK.AVG(H892,$H$19:$H$1518,1)-1)/($G$14-1)*100))</f>
        <v/>
      </c>
      <c r="L892" s="11">
        <f>IF(I892="","",IF($G$15=1,50,(_xlfn.RANK.AVG(I892,$I$19:$I$1518,1)-1)/($G$15-1)*100))</f>
        <v/>
      </c>
      <c r="M892" s="11">
        <f>IF(COUNT(J892:L892)=3,ROUND(AVERAGE(J892:L892),6),"")</f>
        <v/>
      </c>
      <c r="O892">
        <f>IF(AND(ISNUMBER('자료_미국심리'!$A876),ISNUMBER('자료_미국심리'!$B876)),'자료_미국심리'!$A876,"")</f>
        <v/>
      </c>
      <c r="P892">
        <f>IF(AND(ISNUMBER('자료_미국심리'!$D876),ISNUMBER('자료_미국심리'!$E876)),'자료_미국심리'!$D876,"")</f>
        <v/>
      </c>
      <c r="Q892">
        <f>IF(AND(ISNUMBER('자료_미국심리'!$G876),ISNUMBER('자료_미국심리'!$H876)),'자료_미국심리'!$G876,"")</f>
        <v/>
      </c>
    </row>
    <row r="893">
      <c r="A893" s="10">
        <f>IF(875&gt;$E$5,"",SMALL($O$19:$O$4018,$E$6+875))</f>
        <v/>
      </c>
      <c r="B893" s="29">
        <f>IF(A893="","",INDEX('자료_미국심리'!$B$3:$B$4002,MATCH(A893,$O$19:$O$4018,0)))</f>
        <v/>
      </c>
      <c r="C893" s="22">
        <f>IF(A893="","",B893/AVERAGE(B769:B893)-1)</f>
        <v/>
      </c>
      <c r="D893" s="29">
        <f>IF(A893="","",IFERROR(INDEX('자료_미국심리'!$E$3:$E$4002,MATCH(A893,$P$19:$P$4018,0)),D892))</f>
        <v/>
      </c>
      <c r="E893" s="29">
        <f>IF(A893="","",IFERROR(INDEX('자료_미국심리'!$H$3:$H$4002,MATCH(A893,$Q$19:$Q$4018,0)),E892))</f>
        <v/>
      </c>
      <c r="F893">
        <f>IF(A893="",0,IF(A893&gt;$B$5,1,0))</f>
        <v/>
      </c>
      <c r="G893" s="29">
        <f>IF(AND(F893=1,ISNUMBER(D893)),D893,"")</f>
        <v/>
      </c>
      <c r="H893" s="29">
        <f>IF(AND(F893=1,ISNUMBER(E893)),E893,"")</f>
        <v/>
      </c>
      <c r="I893" s="22">
        <f>IF(AND(F893=1,ISNUMBER(C893)),C893,"")</f>
        <v/>
      </c>
      <c r="J893" s="11">
        <f>IF(G893="","",100-IF($G$13=1,50,(_xlfn.RANK.AVG(G893,$G$19:$G$1518,1)-1)/($G$13-1)*100))</f>
        <v/>
      </c>
      <c r="K893" s="11">
        <f>IF(H893="","",100-IF($G$14=1,50,(_xlfn.RANK.AVG(H893,$H$19:$H$1518,1)-1)/($G$14-1)*100))</f>
        <v/>
      </c>
      <c r="L893" s="11">
        <f>IF(I893="","",IF($G$15=1,50,(_xlfn.RANK.AVG(I893,$I$19:$I$1518,1)-1)/($G$15-1)*100))</f>
        <v/>
      </c>
      <c r="M893" s="11">
        <f>IF(COUNT(J893:L893)=3,ROUND(AVERAGE(J893:L893),6),"")</f>
        <v/>
      </c>
      <c r="O893">
        <f>IF(AND(ISNUMBER('자료_미국심리'!$A877),ISNUMBER('자료_미국심리'!$B877)),'자료_미국심리'!$A877,"")</f>
        <v/>
      </c>
      <c r="P893">
        <f>IF(AND(ISNUMBER('자료_미국심리'!$D877),ISNUMBER('자료_미국심리'!$E877)),'자료_미국심리'!$D877,"")</f>
        <v/>
      </c>
      <c r="Q893">
        <f>IF(AND(ISNUMBER('자료_미국심리'!$G877),ISNUMBER('자료_미국심리'!$H877)),'자료_미국심리'!$G877,"")</f>
        <v/>
      </c>
    </row>
    <row r="894">
      <c r="A894" s="10">
        <f>IF(876&gt;$E$5,"",SMALL($O$19:$O$4018,$E$6+876))</f>
        <v/>
      </c>
      <c r="B894" s="29">
        <f>IF(A894="","",INDEX('자료_미국심리'!$B$3:$B$4002,MATCH(A894,$O$19:$O$4018,0)))</f>
        <v/>
      </c>
      <c r="C894" s="22">
        <f>IF(A894="","",B894/AVERAGE(B770:B894)-1)</f>
        <v/>
      </c>
      <c r="D894" s="29">
        <f>IF(A894="","",IFERROR(INDEX('자료_미국심리'!$E$3:$E$4002,MATCH(A894,$P$19:$P$4018,0)),D893))</f>
        <v/>
      </c>
      <c r="E894" s="29">
        <f>IF(A894="","",IFERROR(INDEX('자료_미국심리'!$H$3:$H$4002,MATCH(A894,$Q$19:$Q$4018,0)),E893))</f>
        <v/>
      </c>
      <c r="F894">
        <f>IF(A894="",0,IF(A894&gt;$B$5,1,0))</f>
        <v/>
      </c>
      <c r="G894" s="29">
        <f>IF(AND(F894=1,ISNUMBER(D894)),D894,"")</f>
        <v/>
      </c>
      <c r="H894" s="29">
        <f>IF(AND(F894=1,ISNUMBER(E894)),E894,"")</f>
        <v/>
      </c>
      <c r="I894" s="22">
        <f>IF(AND(F894=1,ISNUMBER(C894)),C894,"")</f>
        <v/>
      </c>
      <c r="J894" s="11">
        <f>IF(G894="","",100-IF($G$13=1,50,(_xlfn.RANK.AVG(G894,$G$19:$G$1518,1)-1)/($G$13-1)*100))</f>
        <v/>
      </c>
      <c r="K894" s="11">
        <f>IF(H894="","",100-IF($G$14=1,50,(_xlfn.RANK.AVG(H894,$H$19:$H$1518,1)-1)/($G$14-1)*100))</f>
        <v/>
      </c>
      <c r="L894" s="11">
        <f>IF(I894="","",IF($G$15=1,50,(_xlfn.RANK.AVG(I894,$I$19:$I$1518,1)-1)/($G$15-1)*100))</f>
        <v/>
      </c>
      <c r="M894" s="11">
        <f>IF(COUNT(J894:L894)=3,ROUND(AVERAGE(J894:L894),6),"")</f>
        <v/>
      </c>
      <c r="O894">
        <f>IF(AND(ISNUMBER('자료_미국심리'!$A878),ISNUMBER('자료_미국심리'!$B878)),'자료_미국심리'!$A878,"")</f>
        <v/>
      </c>
      <c r="P894">
        <f>IF(AND(ISNUMBER('자료_미국심리'!$D878),ISNUMBER('자료_미국심리'!$E878)),'자료_미국심리'!$D878,"")</f>
        <v/>
      </c>
      <c r="Q894">
        <f>IF(AND(ISNUMBER('자료_미국심리'!$G878),ISNUMBER('자료_미국심리'!$H878)),'자료_미국심리'!$G878,"")</f>
        <v/>
      </c>
    </row>
    <row r="895">
      <c r="A895" s="10">
        <f>IF(877&gt;$E$5,"",SMALL($O$19:$O$4018,$E$6+877))</f>
        <v/>
      </c>
      <c r="B895" s="29">
        <f>IF(A895="","",INDEX('자료_미국심리'!$B$3:$B$4002,MATCH(A895,$O$19:$O$4018,0)))</f>
        <v/>
      </c>
      <c r="C895" s="22">
        <f>IF(A895="","",B895/AVERAGE(B771:B895)-1)</f>
        <v/>
      </c>
      <c r="D895" s="29">
        <f>IF(A895="","",IFERROR(INDEX('자료_미국심리'!$E$3:$E$4002,MATCH(A895,$P$19:$P$4018,0)),D894))</f>
        <v/>
      </c>
      <c r="E895" s="29">
        <f>IF(A895="","",IFERROR(INDEX('자료_미국심리'!$H$3:$H$4002,MATCH(A895,$Q$19:$Q$4018,0)),E894))</f>
        <v/>
      </c>
      <c r="F895">
        <f>IF(A895="",0,IF(A895&gt;$B$5,1,0))</f>
        <v/>
      </c>
      <c r="G895" s="29">
        <f>IF(AND(F895=1,ISNUMBER(D895)),D895,"")</f>
        <v/>
      </c>
      <c r="H895" s="29">
        <f>IF(AND(F895=1,ISNUMBER(E895)),E895,"")</f>
        <v/>
      </c>
      <c r="I895" s="22">
        <f>IF(AND(F895=1,ISNUMBER(C895)),C895,"")</f>
        <v/>
      </c>
      <c r="J895" s="11">
        <f>IF(G895="","",100-IF($G$13=1,50,(_xlfn.RANK.AVG(G895,$G$19:$G$1518,1)-1)/($G$13-1)*100))</f>
        <v/>
      </c>
      <c r="K895" s="11">
        <f>IF(H895="","",100-IF($G$14=1,50,(_xlfn.RANK.AVG(H895,$H$19:$H$1518,1)-1)/($G$14-1)*100))</f>
        <v/>
      </c>
      <c r="L895" s="11">
        <f>IF(I895="","",IF($G$15=1,50,(_xlfn.RANK.AVG(I895,$I$19:$I$1518,1)-1)/($G$15-1)*100))</f>
        <v/>
      </c>
      <c r="M895" s="11">
        <f>IF(COUNT(J895:L895)=3,ROUND(AVERAGE(J895:L895),6),"")</f>
        <v/>
      </c>
      <c r="O895">
        <f>IF(AND(ISNUMBER('자료_미국심리'!$A879),ISNUMBER('자료_미국심리'!$B879)),'자료_미국심리'!$A879,"")</f>
        <v/>
      </c>
      <c r="P895">
        <f>IF(AND(ISNUMBER('자료_미국심리'!$D879),ISNUMBER('자료_미국심리'!$E879)),'자료_미국심리'!$D879,"")</f>
        <v/>
      </c>
      <c r="Q895">
        <f>IF(AND(ISNUMBER('자료_미국심리'!$G879),ISNUMBER('자료_미국심리'!$H879)),'자료_미국심리'!$G879,"")</f>
        <v/>
      </c>
    </row>
    <row r="896">
      <c r="A896" s="10">
        <f>IF(878&gt;$E$5,"",SMALL($O$19:$O$4018,$E$6+878))</f>
        <v/>
      </c>
      <c r="B896" s="29">
        <f>IF(A896="","",INDEX('자료_미국심리'!$B$3:$B$4002,MATCH(A896,$O$19:$O$4018,0)))</f>
        <v/>
      </c>
      <c r="C896" s="22">
        <f>IF(A896="","",B896/AVERAGE(B772:B896)-1)</f>
        <v/>
      </c>
      <c r="D896" s="29">
        <f>IF(A896="","",IFERROR(INDEX('자료_미국심리'!$E$3:$E$4002,MATCH(A896,$P$19:$P$4018,0)),D895))</f>
        <v/>
      </c>
      <c r="E896" s="29">
        <f>IF(A896="","",IFERROR(INDEX('자료_미국심리'!$H$3:$H$4002,MATCH(A896,$Q$19:$Q$4018,0)),E895))</f>
        <v/>
      </c>
      <c r="F896">
        <f>IF(A896="",0,IF(A896&gt;$B$5,1,0))</f>
        <v/>
      </c>
      <c r="G896" s="29">
        <f>IF(AND(F896=1,ISNUMBER(D896)),D896,"")</f>
        <v/>
      </c>
      <c r="H896" s="29">
        <f>IF(AND(F896=1,ISNUMBER(E896)),E896,"")</f>
        <v/>
      </c>
      <c r="I896" s="22">
        <f>IF(AND(F896=1,ISNUMBER(C896)),C896,"")</f>
        <v/>
      </c>
      <c r="J896" s="11">
        <f>IF(G896="","",100-IF($G$13=1,50,(_xlfn.RANK.AVG(G896,$G$19:$G$1518,1)-1)/($G$13-1)*100))</f>
        <v/>
      </c>
      <c r="K896" s="11">
        <f>IF(H896="","",100-IF($G$14=1,50,(_xlfn.RANK.AVG(H896,$H$19:$H$1518,1)-1)/($G$14-1)*100))</f>
        <v/>
      </c>
      <c r="L896" s="11">
        <f>IF(I896="","",IF($G$15=1,50,(_xlfn.RANK.AVG(I896,$I$19:$I$1518,1)-1)/($G$15-1)*100))</f>
        <v/>
      </c>
      <c r="M896" s="11">
        <f>IF(COUNT(J896:L896)=3,ROUND(AVERAGE(J896:L896),6),"")</f>
        <v/>
      </c>
      <c r="O896">
        <f>IF(AND(ISNUMBER('자료_미국심리'!$A880),ISNUMBER('자료_미국심리'!$B880)),'자료_미국심리'!$A880,"")</f>
        <v/>
      </c>
      <c r="P896">
        <f>IF(AND(ISNUMBER('자료_미국심리'!$D880),ISNUMBER('자료_미국심리'!$E880)),'자료_미국심리'!$D880,"")</f>
        <v/>
      </c>
      <c r="Q896">
        <f>IF(AND(ISNUMBER('자료_미국심리'!$G880),ISNUMBER('자료_미국심리'!$H880)),'자료_미국심리'!$G880,"")</f>
        <v/>
      </c>
    </row>
    <row r="897">
      <c r="A897" s="10">
        <f>IF(879&gt;$E$5,"",SMALL($O$19:$O$4018,$E$6+879))</f>
        <v/>
      </c>
      <c r="B897" s="29">
        <f>IF(A897="","",INDEX('자료_미국심리'!$B$3:$B$4002,MATCH(A897,$O$19:$O$4018,0)))</f>
        <v/>
      </c>
      <c r="C897" s="22">
        <f>IF(A897="","",B897/AVERAGE(B773:B897)-1)</f>
        <v/>
      </c>
      <c r="D897" s="29">
        <f>IF(A897="","",IFERROR(INDEX('자료_미국심리'!$E$3:$E$4002,MATCH(A897,$P$19:$P$4018,0)),D896))</f>
        <v/>
      </c>
      <c r="E897" s="29">
        <f>IF(A897="","",IFERROR(INDEX('자료_미국심리'!$H$3:$H$4002,MATCH(A897,$Q$19:$Q$4018,0)),E896))</f>
        <v/>
      </c>
      <c r="F897">
        <f>IF(A897="",0,IF(A897&gt;$B$5,1,0))</f>
        <v/>
      </c>
      <c r="G897" s="29">
        <f>IF(AND(F897=1,ISNUMBER(D897)),D897,"")</f>
        <v/>
      </c>
      <c r="H897" s="29">
        <f>IF(AND(F897=1,ISNUMBER(E897)),E897,"")</f>
        <v/>
      </c>
      <c r="I897" s="22">
        <f>IF(AND(F897=1,ISNUMBER(C897)),C897,"")</f>
        <v/>
      </c>
      <c r="J897" s="11">
        <f>IF(G897="","",100-IF($G$13=1,50,(_xlfn.RANK.AVG(G897,$G$19:$G$1518,1)-1)/($G$13-1)*100))</f>
        <v/>
      </c>
      <c r="K897" s="11">
        <f>IF(H897="","",100-IF($G$14=1,50,(_xlfn.RANK.AVG(H897,$H$19:$H$1518,1)-1)/($G$14-1)*100))</f>
        <v/>
      </c>
      <c r="L897" s="11">
        <f>IF(I897="","",IF($G$15=1,50,(_xlfn.RANK.AVG(I897,$I$19:$I$1518,1)-1)/($G$15-1)*100))</f>
        <v/>
      </c>
      <c r="M897" s="11">
        <f>IF(COUNT(J897:L897)=3,ROUND(AVERAGE(J897:L897),6),"")</f>
        <v/>
      </c>
      <c r="O897">
        <f>IF(AND(ISNUMBER('자료_미국심리'!$A881),ISNUMBER('자료_미국심리'!$B881)),'자료_미국심리'!$A881,"")</f>
        <v/>
      </c>
      <c r="P897">
        <f>IF(AND(ISNUMBER('자료_미국심리'!$D881),ISNUMBER('자료_미국심리'!$E881)),'자료_미국심리'!$D881,"")</f>
        <v/>
      </c>
      <c r="Q897">
        <f>IF(AND(ISNUMBER('자료_미국심리'!$G881),ISNUMBER('자료_미국심리'!$H881)),'자료_미국심리'!$G881,"")</f>
        <v/>
      </c>
    </row>
    <row r="898">
      <c r="A898" s="10">
        <f>IF(880&gt;$E$5,"",SMALL($O$19:$O$4018,$E$6+880))</f>
        <v/>
      </c>
      <c r="B898" s="29">
        <f>IF(A898="","",INDEX('자료_미국심리'!$B$3:$B$4002,MATCH(A898,$O$19:$O$4018,0)))</f>
        <v/>
      </c>
      <c r="C898" s="22">
        <f>IF(A898="","",B898/AVERAGE(B774:B898)-1)</f>
        <v/>
      </c>
      <c r="D898" s="29">
        <f>IF(A898="","",IFERROR(INDEX('자료_미국심리'!$E$3:$E$4002,MATCH(A898,$P$19:$P$4018,0)),D897))</f>
        <v/>
      </c>
      <c r="E898" s="29">
        <f>IF(A898="","",IFERROR(INDEX('자료_미국심리'!$H$3:$H$4002,MATCH(A898,$Q$19:$Q$4018,0)),E897))</f>
        <v/>
      </c>
      <c r="F898">
        <f>IF(A898="",0,IF(A898&gt;$B$5,1,0))</f>
        <v/>
      </c>
      <c r="G898" s="29">
        <f>IF(AND(F898=1,ISNUMBER(D898)),D898,"")</f>
        <v/>
      </c>
      <c r="H898" s="29">
        <f>IF(AND(F898=1,ISNUMBER(E898)),E898,"")</f>
        <v/>
      </c>
      <c r="I898" s="22">
        <f>IF(AND(F898=1,ISNUMBER(C898)),C898,"")</f>
        <v/>
      </c>
      <c r="J898" s="11">
        <f>IF(G898="","",100-IF($G$13=1,50,(_xlfn.RANK.AVG(G898,$G$19:$G$1518,1)-1)/($G$13-1)*100))</f>
        <v/>
      </c>
      <c r="K898" s="11">
        <f>IF(H898="","",100-IF($G$14=1,50,(_xlfn.RANK.AVG(H898,$H$19:$H$1518,1)-1)/($G$14-1)*100))</f>
        <v/>
      </c>
      <c r="L898" s="11">
        <f>IF(I898="","",IF($G$15=1,50,(_xlfn.RANK.AVG(I898,$I$19:$I$1518,1)-1)/($G$15-1)*100))</f>
        <v/>
      </c>
      <c r="M898" s="11">
        <f>IF(COUNT(J898:L898)=3,ROUND(AVERAGE(J898:L898),6),"")</f>
        <v/>
      </c>
      <c r="O898">
        <f>IF(AND(ISNUMBER('자료_미국심리'!$A882),ISNUMBER('자료_미국심리'!$B882)),'자료_미국심리'!$A882,"")</f>
        <v/>
      </c>
      <c r="P898">
        <f>IF(AND(ISNUMBER('자료_미국심리'!$D882),ISNUMBER('자료_미국심리'!$E882)),'자료_미국심리'!$D882,"")</f>
        <v/>
      </c>
      <c r="Q898">
        <f>IF(AND(ISNUMBER('자료_미국심리'!$G882),ISNUMBER('자료_미국심리'!$H882)),'자료_미국심리'!$G882,"")</f>
        <v/>
      </c>
    </row>
    <row r="899">
      <c r="A899" s="10">
        <f>IF(881&gt;$E$5,"",SMALL($O$19:$O$4018,$E$6+881))</f>
        <v/>
      </c>
      <c r="B899" s="29">
        <f>IF(A899="","",INDEX('자료_미국심리'!$B$3:$B$4002,MATCH(A899,$O$19:$O$4018,0)))</f>
        <v/>
      </c>
      <c r="C899" s="22">
        <f>IF(A899="","",B899/AVERAGE(B775:B899)-1)</f>
        <v/>
      </c>
      <c r="D899" s="29">
        <f>IF(A899="","",IFERROR(INDEX('자료_미국심리'!$E$3:$E$4002,MATCH(A899,$P$19:$P$4018,0)),D898))</f>
        <v/>
      </c>
      <c r="E899" s="29">
        <f>IF(A899="","",IFERROR(INDEX('자료_미국심리'!$H$3:$H$4002,MATCH(A899,$Q$19:$Q$4018,0)),E898))</f>
        <v/>
      </c>
      <c r="F899">
        <f>IF(A899="",0,IF(A899&gt;$B$5,1,0))</f>
        <v/>
      </c>
      <c r="G899" s="29">
        <f>IF(AND(F899=1,ISNUMBER(D899)),D899,"")</f>
        <v/>
      </c>
      <c r="H899" s="29">
        <f>IF(AND(F899=1,ISNUMBER(E899)),E899,"")</f>
        <v/>
      </c>
      <c r="I899" s="22">
        <f>IF(AND(F899=1,ISNUMBER(C899)),C899,"")</f>
        <v/>
      </c>
      <c r="J899" s="11">
        <f>IF(G899="","",100-IF($G$13=1,50,(_xlfn.RANK.AVG(G899,$G$19:$G$1518,1)-1)/($G$13-1)*100))</f>
        <v/>
      </c>
      <c r="K899" s="11">
        <f>IF(H899="","",100-IF($G$14=1,50,(_xlfn.RANK.AVG(H899,$H$19:$H$1518,1)-1)/($G$14-1)*100))</f>
        <v/>
      </c>
      <c r="L899" s="11">
        <f>IF(I899="","",IF($G$15=1,50,(_xlfn.RANK.AVG(I899,$I$19:$I$1518,1)-1)/($G$15-1)*100))</f>
        <v/>
      </c>
      <c r="M899" s="11">
        <f>IF(COUNT(J899:L899)=3,ROUND(AVERAGE(J899:L899),6),"")</f>
        <v/>
      </c>
      <c r="O899">
        <f>IF(AND(ISNUMBER('자료_미국심리'!$A883),ISNUMBER('자료_미국심리'!$B883)),'자료_미국심리'!$A883,"")</f>
        <v/>
      </c>
      <c r="P899">
        <f>IF(AND(ISNUMBER('자료_미국심리'!$D883),ISNUMBER('자료_미국심리'!$E883)),'자료_미국심리'!$D883,"")</f>
        <v/>
      </c>
      <c r="Q899">
        <f>IF(AND(ISNUMBER('자료_미국심리'!$G883),ISNUMBER('자료_미국심리'!$H883)),'자료_미국심리'!$G883,"")</f>
        <v/>
      </c>
    </row>
    <row r="900">
      <c r="A900" s="10">
        <f>IF(882&gt;$E$5,"",SMALL($O$19:$O$4018,$E$6+882))</f>
        <v/>
      </c>
      <c r="B900" s="29">
        <f>IF(A900="","",INDEX('자료_미국심리'!$B$3:$B$4002,MATCH(A900,$O$19:$O$4018,0)))</f>
        <v/>
      </c>
      <c r="C900" s="22">
        <f>IF(A900="","",B900/AVERAGE(B776:B900)-1)</f>
        <v/>
      </c>
      <c r="D900" s="29">
        <f>IF(A900="","",IFERROR(INDEX('자료_미국심리'!$E$3:$E$4002,MATCH(A900,$P$19:$P$4018,0)),D899))</f>
        <v/>
      </c>
      <c r="E900" s="29">
        <f>IF(A900="","",IFERROR(INDEX('자료_미국심리'!$H$3:$H$4002,MATCH(A900,$Q$19:$Q$4018,0)),E899))</f>
        <v/>
      </c>
      <c r="F900">
        <f>IF(A900="",0,IF(A900&gt;$B$5,1,0))</f>
        <v/>
      </c>
      <c r="G900" s="29">
        <f>IF(AND(F900=1,ISNUMBER(D900)),D900,"")</f>
        <v/>
      </c>
      <c r="H900" s="29">
        <f>IF(AND(F900=1,ISNUMBER(E900)),E900,"")</f>
        <v/>
      </c>
      <c r="I900" s="22">
        <f>IF(AND(F900=1,ISNUMBER(C900)),C900,"")</f>
        <v/>
      </c>
      <c r="J900" s="11">
        <f>IF(G900="","",100-IF($G$13=1,50,(_xlfn.RANK.AVG(G900,$G$19:$G$1518,1)-1)/($G$13-1)*100))</f>
        <v/>
      </c>
      <c r="K900" s="11">
        <f>IF(H900="","",100-IF($G$14=1,50,(_xlfn.RANK.AVG(H900,$H$19:$H$1518,1)-1)/($G$14-1)*100))</f>
        <v/>
      </c>
      <c r="L900" s="11">
        <f>IF(I900="","",IF($G$15=1,50,(_xlfn.RANK.AVG(I900,$I$19:$I$1518,1)-1)/($G$15-1)*100))</f>
        <v/>
      </c>
      <c r="M900" s="11">
        <f>IF(COUNT(J900:L900)=3,ROUND(AVERAGE(J900:L900),6),"")</f>
        <v/>
      </c>
      <c r="O900">
        <f>IF(AND(ISNUMBER('자료_미국심리'!$A884),ISNUMBER('자료_미국심리'!$B884)),'자료_미국심리'!$A884,"")</f>
        <v/>
      </c>
      <c r="P900">
        <f>IF(AND(ISNUMBER('자료_미국심리'!$D884),ISNUMBER('자료_미국심리'!$E884)),'자료_미국심리'!$D884,"")</f>
        <v/>
      </c>
      <c r="Q900">
        <f>IF(AND(ISNUMBER('자료_미국심리'!$G884),ISNUMBER('자료_미국심리'!$H884)),'자료_미국심리'!$G884,"")</f>
        <v/>
      </c>
    </row>
    <row r="901">
      <c r="A901" s="10">
        <f>IF(883&gt;$E$5,"",SMALL($O$19:$O$4018,$E$6+883))</f>
        <v/>
      </c>
      <c r="B901" s="29">
        <f>IF(A901="","",INDEX('자료_미국심리'!$B$3:$B$4002,MATCH(A901,$O$19:$O$4018,0)))</f>
        <v/>
      </c>
      <c r="C901" s="22">
        <f>IF(A901="","",B901/AVERAGE(B777:B901)-1)</f>
        <v/>
      </c>
      <c r="D901" s="29">
        <f>IF(A901="","",IFERROR(INDEX('자료_미국심리'!$E$3:$E$4002,MATCH(A901,$P$19:$P$4018,0)),D900))</f>
        <v/>
      </c>
      <c r="E901" s="29">
        <f>IF(A901="","",IFERROR(INDEX('자료_미국심리'!$H$3:$H$4002,MATCH(A901,$Q$19:$Q$4018,0)),E900))</f>
        <v/>
      </c>
      <c r="F901">
        <f>IF(A901="",0,IF(A901&gt;$B$5,1,0))</f>
        <v/>
      </c>
      <c r="G901" s="29">
        <f>IF(AND(F901=1,ISNUMBER(D901)),D901,"")</f>
        <v/>
      </c>
      <c r="H901" s="29">
        <f>IF(AND(F901=1,ISNUMBER(E901)),E901,"")</f>
        <v/>
      </c>
      <c r="I901" s="22">
        <f>IF(AND(F901=1,ISNUMBER(C901)),C901,"")</f>
        <v/>
      </c>
      <c r="J901" s="11">
        <f>IF(G901="","",100-IF($G$13=1,50,(_xlfn.RANK.AVG(G901,$G$19:$G$1518,1)-1)/($G$13-1)*100))</f>
        <v/>
      </c>
      <c r="K901" s="11">
        <f>IF(H901="","",100-IF($G$14=1,50,(_xlfn.RANK.AVG(H901,$H$19:$H$1518,1)-1)/($G$14-1)*100))</f>
        <v/>
      </c>
      <c r="L901" s="11">
        <f>IF(I901="","",IF($G$15=1,50,(_xlfn.RANK.AVG(I901,$I$19:$I$1518,1)-1)/($G$15-1)*100))</f>
        <v/>
      </c>
      <c r="M901" s="11">
        <f>IF(COUNT(J901:L901)=3,ROUND(AVERAGE(J901:L901),6),"")</f>
        <v/>
      </c>
      <c r="O901">
        <f>IF(AND(ISNUMBER('자료_미국심리'!$A885),ISNUMBER('자료_미국심리'!$B885)),'자료_미국심리'!$A885,"")</f>
        <v/>
      </c>
      <c r="P901">
        <f>IF(AND(ISNUMBER('자료_미국심리'!$D885),ISNUMBER('자료_미국심리'!$E885)),'자료_미국심리'!$D885,"")</f>
        <v/>
      </c>
      <c r="Q901">
        <f>IF(AND(ISNUMBER('자료_미국심리'!$G885),ISNUMBER('자료_미국심리'!$H885)),'자료_미국심리'!$G885,"")</f>
        <v/>
      </c>
    </row>
    <row r="902">
      <c r="A902" s="10">
        <f>IF(884&gt;$E$5,"",SMALL($O$19:$O$4018,$E$6+884))</f>
        <v/>
      </c>
      <c r="B902" s="29">
        <f>IF(A902="","",INDEX('자료_미국심리'!$B$3:$B$4002,MATCH(A902,$O$19:$O$4018,0)))</f>
        <v/>
      </c>
      <c r="C902" s="22">
        <f>IF(A902="","",B902/AVERAGE(B778:B902)-1)</f>
        <v/>
      </c>
      <c r="D902" s="29">
        <f>IF(A902="","",IFERROR(INDEX('자료_미국심리'!$E$3:$E$4002,MATCH(A902,$P$19:$P$4018,0)),D901))</f>
        <v/>
      </c>
      <c r="E902" s="29">
        <f>IF(A902="","",IFERROR(INDEX('자료_미국심리'!$H$3:$H$4002,MATCH(A902,$Q$19:$Q$4018,0)),E901))</f>
        <v/>
      </c>
      <c r="F902">
        <f>IF(A902="",0,IF(A902&gt;$B$5,1,0))</f>
        <v/>
      </c>
      <c r="G902" s="29">
        <f>IF(AND(F902=1,ISNUMBER(D902)),D902,"")</f>
        <v/>
      </c>
      <c r="H902" s="29">
        <f>IF(AND(F902=1,ISNUMBER(E902)),E902,"")</f>
        <v/>
      </c>
      <c r="I902" s="22">
        <f>IF(AND(F902=1,ISNUMBER(C902)),C902,"")</f>
        <v/>
      </c>
      <c r="J902" s="11">
        <f>IF(G902="","",100-IF($G$13=1,50,(_xlfn.RANK.AVG(G902,$G$19:$G$1518,1)-1)/($G$13-1)*100))</f>
        <v/>
      </c>
      <c r="K902" s="11">
        <f>IF(H902="","",100-IF($G$14=1,50,(_xlfn.RANK.AVG(H902,$H$19:$H$1518,1)-1)/($G$14-1)*100))</f>
        <v/>
      </c>
      <c r="L902" s="11">
        <f>IF(I902="","",IF($G$15=1,50,(_xlfn.RANK.AVG(I902,$I$19:$I$1518,1)-1)/($G$15-1)*100))</f>
        <v/>
      </c>
      <c r="M902" s="11">
        <f>IF(COUNT(J902:L902)=3,ROUND(AVERAGE(J902:L902),6),"")</f>
        <v/>
      </c>
      <c r="O902">
        <f>IF(AND(ISNUMBER('자료_미국심리'!$A886),ISNUMBER('자료_미국심리'!$B886)),'자료_미국심리'!$A886,"")</f>
        <v/>
      </c>
      <c r="P902">
        <f>IF(AND(ISNUMBER('자료_미국심리'!$D886),ISNUMBER('자료_미국심리'!$E886)),'자료_미국심리'!$D886,"")</f>
        <v/>
      </c>
      <c r="Q902">
        <f>IF(AND(ISNUMBER('자료_미국심리'!$G886),ISNUMBER('자료_미국심리'!$H886)),'자료_미국심리'!$G886,"")</f>
        <v/>
      </c>
    </row>
    <row r="903">
      <c r="A903" s="10">
        <f>IF(885&gt;$E$5,"",SMALL($O$19:$O$4018,$E$6+885))</f>
        <v/>
      </c>
      <c r="B903" s="29">
        <f>IF(A903="","",INDEX('자료_미국심리'!$B$3:$B$4002,MATCH(A903,$O$19:$O$4018,0)))</f>
        <v/>
      </c>
      <c r="C903" s="22">
        <f>IF(A903="","",B903/AVERAGE(B779:B903)-1)</f>
        <v/>
      </c>
      <c r="D903" s="29">
        <f>IF(A903="","",IFERROR(INDEX('자료_미국심리'!$E$3:$E$4002,MATCH(A903,$P$19:$P$4018,0)),D902))</f>
        <v/>
      </c>
      <c r="E903" s="29">
        <f>IF(A903="","",IFERROR(INDEX('자료_미국심리'!$H$3:$H$4002,MATCH(A903,$Q$19:$Q$4018,0)),E902))</f>
        <v/>
      </c>
      <c r="F903">
        <f>IF(A903="",0,IF(A903&gt;$B$5,1,0))</f>
        <v/>
      </c>
      <c r="G903" s="29">
        <f>IF(AND(F903=1,ISNUMBER(D903)),D903,"")</f>
        <v/>
      </c>
      <c r="H903" s="29">
        <f>IF(AND(F903=1,ISNUMBER(E903)),E903,"")</f>
        <v/>
      </c>
      <c r="I903" s="22">
        <f>IF(AND(F903=1,ISNUMBER(C903)),C903,"")</f>
        <v/>
      </c>
      <c r="J903" s="11">
        <f>IF(G903="","",100-IF($G$13=1,50,(_xlfn.RANK.AVG(G903,$G$19:$G$1518,1)-1)/($G$13-1)*100))</f>
        <v/>
      </c>
      <c r="K903" s="11">
        <f>IF(H903="","",100-IF($G$14=1,50,(_xlfn.RANK.AVG(H903,$H$19:$H$1518,1)-1)/($G$14-1)*100))</f>
        <v/>
      </c>
      <c r="L903" s="11">
        <f>IF(I903="","",IF($G$15=1,50,(_xlfn.RANK.AVG(I903,$I$19:$I$1518,1)-1)/($G$15-1)*100))</f>
        <v/>
      </c>
      <c r="M903" s="11">
        <f>IF(COUNT(J903:L903)=3,ROUND(AVERAGE(J903:L903),6),"")</f>
        <v/>
      </c>
      <c r="O903">
        <f>IF(AND(ISNUMBER('자료_미국심리'!$A887),ISNUMBER('자료_미국심리'!$B887)),'자료_미국심리'!$A887,"")</f>
        <v/>
      </c>
      <c r="P903">
        <f>IF(AND(ISNUMBER('자료_미국심리'!$D887),ISNUMBER('자료_미국심리'!$E887)),'자료_미국심리'!$D887,"")</f>
        <v/>
      </c>
      <c r="Q903">
        <f>IF(AND(ISNUMBER('자료_미국심리'!$G887),ISNUMBER('자료_미국심리'!$H887)),'자료_미국심리'!$G887,"")</f>
        <v/>
      </c>
    </row>
    <row r="904">
      <c r="A904" s="10">
        <f>IF(886&gt;$E$5,"",SMALL($O$19:$O$4018,$E$6+886))</f>
        <v/>
      </c>
      <c r="B904" s="29">
        <f>IF(A904="","",INDEX('자료_미국심리'!$B$3:$B$4002,MATCH(A904,$O$19:$O$4018,0)))</f>
        <v/>
      </c>
      <c r="C904" s="22">
        <f>IF(A904="","",B904/AVERAGE(B780:B904)-1)</f>
        <v/>
      </c>
      <c r="D904" s="29">
        <f>IF(A904="","",IFERROR(INDEX('자료_미국심리'!$E$3:$E$4002,MATCH(A904,$P$19:$P$4018,0)),D903))</f>
        <v/>
      </c>
      <c r="E904" s="29">
        <f>IF(A904="","",IFERROR(INDEX('자료_미국심리'!$H$3:$H$4002,MATCH(A904,$Q$19:$Q$4018,0)),E903))</f>
        <v/>
      </c>
      <c r="F904">
        <f>IF(A904="",0,IF(A904&gt;$B$5,1,0))</f>
        <v/>
      </c>
      <c r="G904" s="29">
        <f>IF(AND(F904=1,ISNUMBER(D904)),D904,"")</f>
        <v/>
      </c>
      <c r="H904" s="29">
        <f>IF(AND(F904=1,ISNUMBER(E904)),E904,"")</f>
        <v/>
      </c>
      <c r="I904" s="22">
        <f>IF(AND(F904=1,ISNUMBER(C904)),C904,"")</f>
        <v/>
      </c>
      <c r="J904" s="11">
        <f>IF(G904="","",100-IF($G$13=1,50,(_xlfn.RANK.AVG(G904,$G$19:$G$1518,1)-1)/($G$13-1)*100))</f>
        <v/>
      </c>
      <c r="K904" s="11">
        <f>IF(H904="","",100-IF($G$14=1,50,(_xlfn.RANK.AVG(H904,$H$19:$H$1518,1)-1)/($G$14-1)*100))</f>
        <v/>
      </c>
      <c r="L904" s="11">
        <f>IF(I904="","",IF($G$15=1,50,(_xlfn.RANK.AVG(I904,$I$19:$I$1518,1)-1)/($G$15-1)*100))</f>
        <v/>
      </c>
      <c r="M904" s="11">
        <f>IF(COUNT(J904:L904)=3,ROUND(AVERAGE(J904:L904),6),"")</f>
        <v/>
      </c>
      <c r="O904">
        <f>IF(AND(ISNUMBER('자료_미국심리'!$A888),ISNUMBER('자료_미국심리'!$B888)),'자료_미국심리'!$A888,"")</f>
        <v/>
      </c>
      <c r="P904">
        <f>IF(AND(ISNUMBER('자료_미국심리'!$D888),ISNUMBER('자료_미국심리'!$E888)),'자료_미국심리'!$D888,"")</f>
        <v/>
      </c>
      <c r="Q904">
        <f>IF(AND(ISNUMBER('자료_미국심리'!$G888),ISNUMBER('자료_미국심리'!$H888)),'자료_미국심리'!$G888,"")</f>
        <v/>
      </c>
    </row>
    <row r="905">
      <c r="A905" s="10">
        <f>IF(887&gt;$E$5,"",SMALL($O$19:$O$4018,$E$6+887))</f>
        <v/>
      </c>
      <c r="B905" s="29">
        <f>IF(A905="","",INDEX('자료_미국심리'!$B$3:$B$4002,MATCH(A905,$O$19:$O$4018,0)))</f>
        <v/>
      </c>
      <c r="C905" s="22">
        <f>IF(A905="","",B905/AVERAGE(B781:B905)-1)</f>
        <v/>
      </c>
      <c r="D905" s="29">
        <f>IF(A905="","",IFERROR(INDEX('자료_미국심리'!$E$3:$E$4002,MATCH(A905,$P$19:$P$4018,0)),D904))</f>
        <v/>
      </c>
      <c r="E905" s="29">
        <f>IF(A905="","",IFERROR(INDEX('자료_미국심리'!$H$3:$H$4002,MATCH(A905,$Q$19:$Q$4018,0)),E904))</f>
        <v/>
      </c>
      <c r="F905">
        <f>IF(A905="",0,IF(A905&gt;$B$5,1,0))</f>
        <v/>
      </c>
      <c r="G905" s="29">
        <f>IF(AND(F905=1,ISNUMBER(D905)),D905,"")</f>
        <v/>
      </c>
      <c r="H905" s="29">
        <f>IF(AND(F905=1,ISNUMBER(E905)),E905,"")</f>
        <v/>
      </c>
      <c r="I905" s="22">
        <f>IF(AND(F905=1,ISNUMBER(C905)),C905,"")</f>
        <v/>
      </c>
      <c r="J905" s="11">
        <f>IF(G905="","",100-IF($G$13=1,50,(_xlfn.RANK.AVG(G905,$G$19:$G$1518,1)-1)/($G$13-1)*100))</f>
        <v/>
      </c>
      <c r="K905" s="11">
        <f>IF(H905="","",100-IF($G$14=1,50,(_xlfn.RANK.AVG(H905,$H$19:$H$1518,1)-1)/($G$14-1)*100))</f>
        <v/>
      </c>
      <c r="L905" s="11">
        <f>IF(I905="","",IF($G$15=1,50,(_xlfn.RANK.AVG(I905,$I$19:$I$1518,1)-1)/($G$15-1)*100))</f>
        <v/>
      </c>
      <c r="M905" s="11">
        <f>IF(COUNT(J905:L905)=3,ROUND(AVERAGE(J905:L905),6),"")</f>
        <v/>
      </c>
      <c r="O905">
        <f>IF(AND(ISNUMBER('자료_미국심리'!$A889),ISNUMBER('자료_미국심리'!$B889)),'자료_미국심리'!$A889,"")</f>
        <v/>
      </c>
      <c r="P905">
        <f>IF(AND(ISNUMBER('자료_미국심리'!$D889),ISNUMBER('자료_미국심리'!$E889)),'자료_미국심리'!$D889,"")</f>
        <v/>
      </c>
      <c r="Q905">
        <f>IF(AND(ISNUMBER('자료_미국심리'!$G889),ISNUMBER('자료_미국심리'!$H889)),'자료_미국심리'!$G889,"")</f>
        <v/>
      </c>
    </row>
    <row r="906">
      <c r="A906" s="10">
        <f>IF(888&gt;$E$5,"",SMALL($O$19:$O$4018,$E$6+888))</f>
        <v/>
      </c>
      <c r="B906" s="29">
        <f>IF(A906="","",INDEX('자료_미국심리'!$B$3:$B$4002,MATCH(A906,$O$19:$O$4018,0)))</f>
        <v/>
      </c>
      <c r="C906" s="22">
        <f>IF(A906="","",B906/AVERAGE(B782:B906)-1)</f>
        <v/>
      </c>
      <c r="D906" s="29">
        <f>IF(A906="","",IFERROR(INDEX('자료_미국심리'!$E$3:$E$4002,MATCH(A906,$P$19:$P$4018,0)),D905))</f>
        <v/>
      </c>
      <c r="E906" s="29">
        <f>IF(A906="","",IFERROR(INDEX('자료_미국심리'!$H$3:$H$4002,MATCH(A906,$Q$19:$Q$4018,0)),E905))</f>
        <v/>
      </c>
      <c r="F906">
        <f>IF(A906="",0,IF(A906&gt;$B$5,1,0))</f>
        <v/>
      </c>
      <c r="G906" s="29">
        <f>IF(AND(F906=1,ISNUMBER(D906)),D906,"")</f>
        <v/>
      </c>
      <c r="H906" s="29">
        <f>IF(AND(F906=1,ISNUMBER(E906)),E906,"")</f>
        <v/>
      </c>
      <c r="I906" s="22">
        <f>IF(AND(F906=1,ISNUMBER(C906)),C906,"")</f>
        <v/>
      </c>
      <c r="J906" s="11">
        <f>IF(G906="","",100-IF($G$13=1,50,(_xlfn.RANK.AVG(G906,$G$19:$G$1518,1)-1)/($G$13-1)*100))</f>
        <v/>
      </c>
      <c r="K906" s="11">
        <f>IF(H906="","",100-IF($G$14=1,50,(_xlfn.RANK.AVG(H906,$H$19:$H$1518,1)-1)/($G$14-1)*100))</f>
        <v/>
      </c>
      <c r="L906" s="11">
        <f>IF(I906="","",IF($G$15=1,50,(_xlfn.RANK.AVG(I906,$I$19:$I$1518,1)-1)/($G$15-1)*100))</f>
        <v/>
      </c>
      <c r="M906" s="11">
        <f>IF(COUNT(J906:L906)=3,ROUND(AVERAGE(J906:L906),6),"")</f>
        <v/>
      </c>
      <c r="O906">
        <f>IF(AND(ISNUMBER('자료_미국심리'!$A890),ISNUMBER('자료_미국심리'!$B890)),'자료_미국심리'!$A890,"")</f>
        <v/>
      </c>
      <c r="P906">
        <f>IF(AND(ISNUMBER('자료_미국심리'!$D890),ISNUMBER('자료_미국심리'!$E890)),'자료_미국심리'!$D890,"")</f>
        <v/>
      </c>
      <c r="Q906">
        <f>IF(AND(ISNUMBER('자료_미국심리'!$G890),ISNUMBER('자료_미국심리'!$H890)),'자료_미국심리'!$G890,"")</f>
        <v/>
      </c>
    </row>
    <row r="907">
      <c r="A907" s="10">
        <f>IF(889&gt;$E$5,"",SMALL($O$19:$O$4018,$E$6+889))</f>
        <v/>
      </c>
      <c r="B907" s="29">
        <f>IF(A907="","",INDEX('자료_미국심리'!$B$3:$B$4002,MATCH(A907,$O$19:$O$4018,0)))</f>
        <v/>
      </c>
      <c r="C907" s="22">
        <f>IF(A907="","",B907/AVERAGE(B783:B907)-1)</f>
        <v/>
      </c>
      <c r="D907" s="29">
        <f>IF(A907="","",IFERROR(INDEX('자료_미국심리'!$E$3:$E$4002,MATCH(A907,$P$19:$P$4018,0)),D906))</f>
        <v/>
      </c>
      <c r="E907" s="29">
        <f>IF(A907="","",IFERROR(INDEX('자료_미국심리'!$H$3:$H$4002,MATCH(A907,$Q$19:$Q$4018,0)),E906))</f>
        <v/>
      </c>
      <c r="F907">
        <f>IF(A907="",0,IF(A907&gt;$B$5,1,0))</f>
        <v/>
      </c>
      <c r="G907" s="29">
        <f>IF(AND(F907=1,ISNUMBER(D907)),D907,"")</f>
        <v/>
      </c>
      <c r="H907" s="29">
        <f>IF(AND(F907=1,ISNUMBER(E907)),E907,"")</f>
        <v/>
      </c>
      <c r="I907" s="22">
        <f>IF(AND(F907=1,ISNUMBER(C907)),C907,"")</f>
        <v/>
      </c>
      <c r="J907" s="11">
        <f>IF(G907="","",100-IF($G$13=1,50,(_xlfn.RANK.AVG(G907,$G$19:$G$1518,1)-1)/($G$13-1)*100))</f>
        <v/>
      </c>
      <c r="K907" s="11">
        <f>IF(H907="","",100-IF($G$14=1,50,(_xlfn.RANK.AVG(H907,$H$19:$H$1518,1)-1)/($G$14-1)*100))</f>
        <v/>
      </c>
      <c r="L907" s="11">
        <f>IF(I907="","",IF($G$15=1,50,(_xlfn.RANK.AVG(I907,$I$19:$I$1518,1)-1)/($G$15-1)*100))</f>
        <v/>
      </c>
      <c r="M907" s="11">
        <f>IF(COUNT(J907:L907)=3,ROUND(AVERAGE(J907:L907),6),"")</f>
        <v/>
      </c>
      <c r="O907">
        <f>IF(AND(ISNUMBER('자료_미국심리'!$A891),ISNUMBER('자료_미국심리'!$B891)),'자료_미국심리'!$A891,"")</f>
        <v/>
      </c>
      <c r="P907">
        <f>IF(AND(ISNUMBER('자료_미국심리'!$D891),ISNUMBER('자료_미국심리'!$E891)),'자료_미국심리'!$D891,"")</f>
        <v/>
      </c>
      <c r="Q907">
        <f>IF(AND(ISNUMBER('자료_미국심리'!$G891),ISNUMBER('자료_미국심리'!$H891)),'자료_미국심리'!$G891,"")</f>
        <v/>
      </c>
    </row>
    <row r="908">
      <c r="A908" s="10">
        <f>IF(890&gt;$E$5,"",SMALL($O$19:$O$4018,$E$6+890))</f>
        <v/>
      </c>
      <c r="B908" s="29">
        <f>IF(A908="","",INDEX('자료_미국심리'!$B$3:$B$4002,MATCH(A908,$O$19:$O$4018,0)))</f>
        <v/>
      </c>
      <c r="C908" s="22">
        <f>IF(A908="","",B908/AVERAGE(B784:B908)-1)</f>
        <v/>
      </c>
      <c r="D908" s="29">
        <f>IF(A908="","",IFERROR(INDEX('자료_미국심리'!$E$3:$E$4002,MATCH(A908,$P$19:$P$4018,0)),D907))</f>
        <v/>
      </c>
      <c r="E908" s="29">
        <f>IF(A908="","",IFERROR(INDEX('자료_미국심리'!$H$3:$H$4002,MATCH(A908,$Q$19:$Q$4018,0)),E907))</f>
        <v/>
      </c>
      <c r="F908">
        <f>IF(A908="",0,IF(A908&gt;$B$5,1,0))</f>
        <v/>
      </c>
      <c r="G908" s="29">
        <f>IF(AND(F908=1,ISNUMBER(D908)),D908,"")</f>
        <v/>
      </c>
      <c r="H908" s="29">
        <f>IF(AND(F908=1,ISNUMBER(E908)),E908,"")</f>
        <v/>
      </c>
      <c r="I908" s="22">
        <f>IF(AND(F908=1,ISNUMBER(C908)),C908,"")</f>
        <v/>
      </c>
      <c r="J908" s="11">
        <f>IF(G908="","",100-IF($G$13=1,50,(_xlfn.RANK.AVG(G908,$G$19:$G$1518,1)-1)/($G$13-1)*100))</f>
        <v/>
      </c>
      <c r="K908" s="11">
        <f>IF(H908="","",100-IF($G$14=1,50,(_xlfn.RANK.AVG(H908,$H$19:$H$1518,1)-1)/($G$14-1)*100))</f>
        <v/>
      </c>
      <c r="L908" s="11">
        <f>IF(I908="","",IF($G$15=1,50,(_xlfn.RANK.AVG(I908,$I$19:$I$1518,1)-1)/($G$15-1)*100))</f>
        <v/>
      </c>
      <c r="M908" s="11">
        <f>IF(COUNT(J908:L908)=3,ROUND(AVERAGE(J908:L908),6),"")</f>
        <v/>
      </c>
      <c r="O908">
        <f>IF(AND(ISNUMBER('자료_미국심리'!$A892),ISNUMBER('자료_미국심리'!$B892)),'자료_미국심리'!$A892,"")</f>
        <v/>
      </c>
      <c r="P908">
        <f>IF(AND(ISNUMBER('자료_미국심리'!$D892),ISNUMBER('자료_미국심리'!$E892)),'자료_미국심리'!$D892,"")</f>
        <v/>
      </c>
      <c r="Q908">
        <f>IF(AND(ISNUMBER('자료_미국심리'!$G892),ISNUMBER('자료_미국심리'!$H892)),'자료_미국심리'!$G892,"")</f>
        <v/>
      </c>
    </row>
    <row r="909">
      <c r="A909" s="10">
        <f>IF(891&gt;$E$5,"",SMALL($O$19:$O$4018,$E$6+891))</f>
        <v/>
      </c>
      <c r="B909" s="29">
        <f>IF(A909="","",INDEX('자료_미국심리'!$B$3:$B$4002,MATCH(A909,$O$19:$O$4018,0)))</f>
        <v/>
      </c>
      <c r="C909" s="22">
        <f>IF(A909="","",B909/AVERAGE(B785:B909)-1)</f>
        <v/>
      </c>
      <c r="D909" s="29">
        <f>IF(A909="","",IFERROR(INDEX('자료_미국심리'!$E$3:$E$4002,MATCH(A909,$P$19:$P$4018,0)),D908))</f>
        <v/>
      </c>
      <c r="E909" s="29">
        <f>IF(A909="","",IFERROR(INDEX('자료_미국심리'!$H$3:$H$4002,MATCH(A909,$Q$19:$Q$4018,0)),E908))</f>
        <v/>
      </c>
      <c r="F909">
        <f>IF(A909="",0,IF(A909&gt;$B$5,1,0))</f>
        <v/>
      </c>
      <c r="G909" s="29">
        <f>IF(AND(F909=1,ISNUMBER(D909)),D909,"")</f>
        <v/>
      </c>
      <c r="H909" s="29">
        <f>IF(AND(F909=1,ISNUMBER(E909)),E909,"")</f>
        <v/>
      </c>
      <c r="I909" s="22">
        <f>IF(AND(F909=1,ISNUMBER(C909)),C909,"")</f>
        <v/>
      </c>
      <c r="J909" s="11">
        <f>IF(G909="","",100-IF($G$13=1,50,(_xlfn.RANK.AVG(G909,$G$19:$G$1518,1)-1)/($G$13-1)*100))</f>
        <v/>
      </c>
      <c r="K909" s="11">
        <f>IF(H909="","",100-IF($G$14=1,50,(_xlfn.RANK.AVG(H909,$H$19:$H$1518,1)-1)/($G$14-1)*100))</f>
        <v/>
      </c>
      <c r="L909" s="11">
        <f>IF(I909="","",IF($G$15=1,50,(_xlfn.RANK.AVG(I909,$I$19:$I$1518,1)-1)/($G$15-1)*100))</f>
        <v/>
      </c>
      <c r="M909" s="11">
        <f>IF(COUNT(J909:L909)=3,ROUND(AVERAGE(J909:L909),6),"")</f>
        <v/>
      </c>
      <c r="O909">
        <f>IF(AND(ISNUMBER('자료_미국심리'!$A893),ISNUMBER('자료_미국심리'!$B893)),'자료_미국심리'!$A893,"")</f>
        <v/>
      </c>
      <c r="P909">
        <f>IF(AND(ISNUMBER('자료_미국심리'!$D893),ISNUMBER('자료_미국심리'!$E893)),'자료_미국심리'!$D893,"")</f>
        <v/>
      </c>
      <c r="Q909">
        <f>IF(AND(ISNUMBER('자료_미국심리'!$G893),ISNUMBER('자료_미국심리'!$H893)),'자료_미국심리'!$G893,"")</f>
        <v/>
      </c>
    </row>
    <row r="910">
      <c r="A910" s="10">
        <f>IF(892&gt;$E$5,"",SMALL($O$19:$O$4018,$E$6+892))</f>
        <v/>
      </c>
      <c r="B910" s="29">
        <f>IF(A910="","",INDEX('자료_미국심리'!$B$3:$B$4002,MATCH(A910,$O$19:$O$4018,0)))</f>
        <v/>
      </c>
      <c r="C910" s="22">
        <f>IF(A910="","",B910/AVERAGE(B786:B910)-1)</f>
        <v/>
      </c>
      <c r="D910" s="29">
        <f>IF(A910="","",IFERROR(INDEX('자료_미국심리'!$E$3:$E$4002,MATCH(A910,$P$19:$P$4018,0)),D909))</f>
        <v/>
      </c>
      <c r="E910" s="29">
        <f>IF(A910="","",IFERROR(INDEX('자료_미국심리'!$H$3:$H$4002,MATCH(A910,$Q$19:$Q$4018,0)),E909))</f>
        <v/>
      </c>
      <c r="F910">
        <f>IF(A910="",0,IF(A910&gt;$B$5,1,0))</f>
        <v/>
      </c>
      <c r="G910" s="29">
        <f>IF(AND(F910=1,ISNUMBER(D910)),D910,"")</f>
        <v/>
      </c>
      <c r="H910" s="29">
        <f>IF(AND(F910=1,ISNUMBER(E910)),E910,"")</f>
        <v/>
      </c>
      <c r="I910" s="22">
        <f>IF(AND(F910=1,ISNUMBER(C910)),C910,"")</f>
        <v/>
      </c>
      <c r="J910" s="11">
        <f>IF(G910="","",100-IF($G$13=1,50,(_xlfn.RANK.AVG(G910,$G$19:$G$1518,1)-1)/($G$13-1)*100))</f>
        <v/>
      </c>
      <c r="K910" s="11">
        <f>IF(H910="","",100-IF($G$14=1,50,(_xlfn.RANK.AVG(H910,$H$19:$H$1518,1)-1)/($G$14-1)*100))</f>
        <v/>
      </c>
      <c r="L910" s="11">
        <f>IF(I910="","",IF($G$15=1,50,(_xlfn.RANK.AVG(I910,$I$19:$I$1518,1)-1)/($G$15-1)*100))</f>
        <v/>
      </c>
      <c r="M910" s="11">
        <f>IF(COUNT(J910:L910)=3,ROUND(AVERAGE(J910:L910),6),"")</f>
        <v/>
      </c>
      <c r="O910">
        <f>IF(AND(ISNUMBER('자료_미국심리'!$A894),ISNUMBER('자료_미국심리'!$B894)),'자료_미국심리'!$A894,"")</f>
        <v/>
      </c>
      <c r="P910">
        <f>IF(AND(ISNUMBER('자료_미국심리'!$D894),ISNUMBER('자료_미국심리'!$E894)),'자료_미국심리'!$D894,"")</f>
        <v/>
      </c>
      <c r="Q910">
        <f>IF(AND(ISNUMBER('자료_미국심리'!$G894),ISNUMBER('자료_미국심리'!$H894)),'자료_미국심리'!$G894,"")</f>
        <v/>
      </c>
    </row>
    <row r="911">
      <c r="A911" s="10">
        <f>IF(893&gt;$E$5,"",SMALL($O$19:$O$4018,$E$6+893))</f>
        <v/>
      </c>
      <c r="B911" s="29">
        <f>IF(A911="","",INDEX('자료_미국심리'!$B$3:$B$4002,MATCH(A911,$O$19:$O$4018,0)))</f>
        <v/>
      </c>
      <c r="C911" s="22">
        <f>IF(A911="","",B911/AVERAGE(B787:B911)-1)</f>
        <v/>
      </c>
      <c r="D911" s="29">
        <f>IF(A911="","",IFERROR(INDEX('자료_미국심리'!$E$3:$E$4002,MATCH(A911,$P$19:$P$4018,0)),D910))</f>
        <v/>
      </c>
      <c r="E911" s="29">
        <f>IF(A911="","",IFERROR(INDEX('자료_미국심리'!$H$3:$H$4002,MATCH(A911,$Q$19:$Q$4018,0)),E910))</f>
        <v/>
      </c>
      <c r="F911">
        <f>IF(A911="",0,IF(A911&gt;$B$5,1,0))</f>
        <v/>
      </c>
      <c r="G911" s="29">
        <f>IF(AND(F911=1,ISNUMBER(D911)),D911,"")</f>
        <v/>
      </c>
      <c r="H911" s="29">
        <f>IF(AND(F911=1,ISNUMBER(E911)),E911,"")</f>
        <v/>
      </c>
      <c r="I911" s="22">
        <f>IF(AND(F911=1,ISNUMBER(C911)),C911,"")</f>
        <v/>
      </c>
      <c r="J911" s="11">
        <f>IF(G911="","",100-IF($G$13=1,50,(_xlfn.RANK.AVG(G911,$G$19:$G$1518,1)-1)/($G$13-1)*100))</f>
        <v/>
      </c>
      <c r="K911" s="11">
        <f>IF(H911="","",100-IF($G$14=1,50,(_xlfn.RANK.AVG(H911,$H$19:$H$1518,1)-1)/($G$14-1)*100))</f>
        <v/>
      </c>
      <c r="L911" s="11">
        <f>IF(I911="","",IF($G$15=1,50,(_xlfn.RANK.AVG(I911,$I$19:$I$1518,1)-1)/($G$15-1)*100))</f>
        <v/>
      </c>
      <c r="M911" s="11">
        <f>IF(COUNT(J911:L911)=3,ROUND(AVERAGE(J911:L911),6),"")</f>
        <v/>
      </c>
      <c r="O911">
        <f>IF(AND(ISNUMBER('자료_미국심리'!$A895),ISNUMBER('자료_미국심리'!$B895)),'자료_미국심리'!$A895,"")</f>
        <v/>
      </c>
      <c r="P911">
        <f>IF(AND(ISNUMBER('자료_미국심리'!$D895),ISNUMBER('자료_미국심리'!$E895)),'자료_미국심리'!$D895,"")</f>
        <v/>
      </c>
      <c r="Q911">
        <f>IF(AND(ISNUMBER('자료_미국심리'!$G895),ISNUMBER('자료_미국심리'!$H895)),'자료_미국심리'!$G895,"")</f>
        <v/>
      </c>
    </row>
    <row r="912">
      <c r="A912" s="10">
        <f>IF(894&gt;$E$5,"",SMALL($O$19:$O$4018,$E$6+894))</f>
        <v/>
      </c>
      <c r="B912" s="29">
        <f>IF(A912="","",INDEX('자료_미국심리'!$B$3:$B$4002,MATCH(A912,$O$19:$O$4018,0)))</f>
        <v/>
      </c>
      <c r="C912" s="22">
        <f>IF(A912="","",B912/AVERAGE(B788:B912)-1)</f>
        <v/>
      </c>
      <c r="D912" s="29">
        <f>IF(A912="","",IFERROR(INDEX('자료_미국심리'!$E$3:$E$4002,MATCH(A912,$P$19:$P$4018,0)),D911))</f>
        <v/>
      </c>
      <c r="E912" s="29">
        <f>IF(A912="","",IFERROR(INDEX('자료_미국심리'!$H$3:$H$4002,MATCH(A912,$Q$19:$Q$4018,0)),E911))</f>
        <v/>
      </c>
      <c r="F912">
        <f>IF(A912="",0,IF(A912&gt;$B$5,1,0))</f>
        <v/>
      </c>
      <c r="G912" s="29">
        <f>IF(AND(F912=1,ISNUMBER(D912)),D912,"")</f>
        <v/>
      </c>
      <c r="H912" s="29">
        <f>IF(AND(F912=1,ISNUMBER(E912)),E912,"")</f>
        <v/>
      </c>
      <c r="I912" s="22">
        <f>IF(AND(F912=1,ISNUMBER(C912)),C912,"")</f>
        <v/>
      </c>
      <c r="J912" s="11">
        <f>IF(G912="","",100-IF($G$13=1,50,(_xlfn.RANK.AVG(G912,$G$19:$G$1518,1)-1)/($G$13-1)*100))</f>
        <v/>
      </c>
      <c r="K912" s="11">
        <f>IF(H912="","",100-IF($G$14=1,50,(_xlfn.RANK.AVG(H912,$H$19:$H$1518,1)-1)/($G$14-1)*100))</f>
        <v/>
      </c>
      <c r="L912" s="11">
        <f>IF(I912="","",IF($G$15=1,50,(_xlfn.RANK.AVG(I912,$I$19:$I$1518,1)-1)/($G$15-1)*100))</f>
        <v/>
      </c>
      <c r="M912" s="11">
        <f>IF(COUNT(J912:L912)=3,ROUND(AVERAGE(J912:L912),6),"")</f>
        <v/>
      </c>
      <c r="O912">
        <f>IF(AND(ISNUMBER('자료_미국심리'!$A896),ISNUMBER('자료_미국심리'!$B896)),'자료_미국심리'!$A896,"")</f>
        <v/>
      </c>
      <c r="P912">
        <f>IF(AND(ISNUMBER('자료_미국심리'!$D896),ISNUMBER('자료_미국심리'!$E896)),'자료_미국심리'!$D896,"")</f>
        <v/>
      </c>
      <c r="Q912">
        <f>IF(AND(ISNUMBER('자료_미국심리'!$G896),ISNUMBER('자료_미국심리'!$H896)),'자료_미국심리'!$G896,"")</f>
        <v/>
      </c>
    </row>
    <row r="913">
      <c r="A913" s="10">
        <f>IF(895&gt;$E$5,"",SMALL($O$19:$O$4018,$E$6+895))</f>
        <v/>
      </c>
      <c r="B913" s="29">
        <f>IF(A913="","",INDEX('자료_미국심리'!$B$3:$B$4002,MATCH(A913,$O$19:$O$4018,0)))</f>
        <v/>
      </c>
      <c r="C913" s="22">
        <f>IF(A913="","",B913/AVERAGE(B789:B913)-1)</f>
        <v/>
      </c>
      <c r="D913" s="29">
        <f>IF(A913="","",IFERROR(INDEX('자료_미국심리'!$E$3:$E$4002,MATCH(A913,$P$19:$P$4018,0)),D912))</f>
        <v/>
      </c>
      <c r="E913" s="29">
        <f>IF(A913="","",IFERROR(INDEX('자료_미국심리'!$H$3:$H$4002,MATCH(A913,$Q$19:$Q$4018,0)),E912))</f>
        <v/>
      </c>
      <c r="F913">
        <f>IF(A913="",0,IF(A913&gt;$B$5,1,0))</f>
        <v/>
      </c>
      <c r="G913" s="29">
        <f>IF(AND(F913=1,ISNUMBER(D913)),D913,"")</f>
        <v/>
      </c>
      <c r="H913" s="29">
        <f>IF(AND(F913=1,ISNUMBER(E913)),E913,"")</f>
        <v/>
      </c>
      <c r="I913" s="22">
        <f>IF(AND(F913=1,ISNUMBER(C913)),C913,"")</f>
        <v/>
      </c>
      <c r="J913" s="11">
        <f>IF(G913="","",100-IF($G$13=1,50,(_xlfn.RANK.AVG(G913,$G$19:$G$1518,1)-1)/($G$13-1)*100))</f>
        <v/>
      </c>
      <c r="K913" s="11">
        <f>IF(H913="","",100-IF($G$14=1,50,(_xlfn.RANK.AVG(H913,$H$19:$H$1518,1)-1)/($G$14-1)*100))</f>
        <v/>
      </c>
      <c r="L913" s="11">
        <f>IF(I913="","",IF($G$15=1,50,(_xlfn.RANK.AVG(I913,$I$19:$I$1518,1)-1)/($G$15-1)*100))</f>
        <v/>
      </c>
      <c r="M913" s="11">
        <f>IF(COUNT(J913:L913)=3,ROUND(AVERAGE(J913:L913),6),"")</f>
        <v/>
      </c>
      <c r="O913">
        <f>IF(AND(ISNUMBER('자료_미국심리'!$A897),ISNUMBER('자료_미국심리'!$B897)),'자료_미국심리'!$A897,"")</f>
        <v/>
      </c>
      <c r="P913">
        <f>IF(AND(ISNUMBER('자료_미국심리'!$D897),ISNUMBER('자료_미국심리'!$E897)),'자료_미국심리'!$D897,"")</f>
        <v/>
      </c>
      <c r="Q913">
        <f>IF(AND(ISNUMBER('자료_미국심리'!$G897),ISNUMBER('자료_미국심리'!$H897)),'자료_미국심리'!$G897,"")</f>
        <v/>
      </c>
    </row>
    <row r="914">
      <c r="A914" s="10">
        <f>IF(896&gt;$E$5,"",SMALL($O$19:$O$4018,$E$6+896))</f>
        <v/>
      </c>
      <c r="B914" s="29">
        <f>IF(A914="","",INDEX('자료_미국심리'!$B$3:$B$4002,MATCH(A914,$O$19:$O$4018,0)))</f>
        <v/>
      </c>
      <c r="C914" s="22">
        <f>IF(A914="","",B914/AVERAGE(B790:B914)-1)</f>
        <v/>
      </c>
      <c r="D914" s="29">
        <f>IF(A914="","",IFERROR(INDEX('자료_미국심리'!$E$3:$E$4002,MATCH(A914,$P$19:$P$4018,0)),D913))</f>
        <v/>
      </c>
      <c r="E914" s="29">
        <f>IF(A914="","",IFERROR(INDEX('자료_미국심리'!$H$3:$H$4002,MATCH(A914,$Q$19:$Q$4018,0)),E913))</f>
        <v/>
      </c>
      <c r="F914">
        <f>IF(A914="",0,IF(A914&gt;$B$5,1,0))</f>
        <v/>
      </c>
      <c r="G914" s="29">
        <f>IF(AND(F914=1,ISNUMBER(D914)),D914,"")</f>
        <v/>
      </c>
      <c r="H914" s="29">
        <f>IF(AND(F914=1,ISNUMBER(E914)),E914,"")</f>
        <v/>
      </c>
      <c r="I914" s="22">
        <f>IF(AND(F914=1,ISNUMBER(C914)),C914,"")</f>
        <v/>
      </c>
      <c r="J914" s="11">
        <f>IF(G914="","",100-IF($G$13=1,50,(_xlfn.RANK.AVG(G914,$G$19:$G$1518,1)-1)/($G$13-1)*100))</f>
        <v/>
      </c>
      <c r="K914" s="11">
        <f>IF(H914="","",100-IF($G$14=1,50,(_xlfn.RANK.AVG(H914,$H$19:$H$1518,1)-1)/($G$14-1)*100))</f>
        <v/>
      </c>
      <c r="L914" s="11">
        <f>IF(I914="","",IF($G$15=1,50,(_xlfn.RANK.AVG(I914,$I$19:$I$1518,1)-1)/($G$15-1)*100))</f>
        <v/>
      </c>
      <c r="M914" s="11">
        <f>IF(COUNT(J914:L914)=3,ROUND(AVERAGE(J914:L914),6),"")</f>
        <v/>
      </c>
      <c r="O914">
        <f>IF(AND(ISNUMBER('자료_미국심리'!$A898),ISNUMBER('자료_미국심리'!$B898)),'자료_미국심리'!$A898,"")</f>
        <v/>
      </c>
      <c r="P914">
        <f>IF(AND(ISNUMBER('자료_미국심리'!$D898),ISNUMBER('자료_미국심리'!$E898)),'자료_미국심리'!$D898,"")</f>
        <v/>
      </c>
      <c r="Q914">
        <f>IF(AND(ISNUMBER('자료_미국심리'!$G898),ISNUMBER('자료_미국심리'!$H898)),'자료_미국심리'!$G898,"")</f>
        <v/>
      </c>
    </row>
    <row r="915">
      <c r="A915" s="10">
        <f>IF(897&gt;$E$5,"",SMALL($O$19:$O$4018,$E$6+897))</f>
        <v/>
      </c>
      <c r="B915" s="29">
        <f>IF(A915="","",INDEX('자료_미국심리'!$B$3:$B$4002,MATCH(A915,$O$19:$O$4018,0)))</f>
        <v/>
      </c>
      <c r="C915" s="22">
        <f>IF(A915="","",B915/AVERAGE(B791:B915)-1)</f>
        <v/>
      </c>
      <c r="D915" s="29">
        <f>IF(A915="","",IFERROR(INDEX('자료_미국심리'!$E$3:$E$4002,MATCH(A915,$P$19:$P$4018,0)),D914))</f>
        <v/>
      </c>
      <c r="E915" s="29">
        <f>IF(A915="","",IFERROR(INDEX('자료_미국심리'!$H$3:$H$4002,MATCH(A915,$Q$19:$Q$4018,0)),E914))</f>
        <v/>
      </c>
      <c r="F915">
        <f>IF(A915="",0,IF(A915&gt;$B$5,1,0))</f>
        <v/>
      </c>
      <c r="G915" s="29">
        <f>IF(AND(F915=1,ISNUMBER(D915)),D915,"")</f>
        <v/>
      </c>
      <c r="H915" s="29">
        <f>IF(AND(F915=1,ISNUMBER(E915)),E915,"")</f>
        <v/>
      </c>
      <c r="I915" s="22">
        <f>IF(AND(F915=1,ISNUMBER(C915)),C915,"")</f>
        <v/>
      </c>
      <c r="J915" s="11">
        <f>IF(G915="","",100-IF($G$13=1,50,(_xlfn.RANK.AVG(G915,$G$19:$G$1518,1)-1)/($G$13-1)*100))</f>
        <v/>
      </c>
      <c r="K915" s="11">
        <f>IF(H915="","",100-IF($G$14=1,50,(_xlfn.RANK.AVG(H915,$H$19:$H$1518,1)-1)/($G$14-1)*100))</f>
        <v/>
      </c>
      <c r="L915" s="11">
        <f>IF(I915="","",IF($G$15=1,50,(_xlfn.RANK.AVG(I915,$I$19:$I$1518,1)-1)/($G$15-1)*100))</f>
        <v/>
      </c>
      <c r="M915" s="11">
        <f>IF(COUNT(J915:L915)=3,ROUND(AVERAGE(J915:L915),6),"")</f>
        <v/>
      </c>
      <c r="O915">
        <f>IF(AND(ISNUMBER('자료_미국심리'!$A899),ISNUMBER('자료_미국심리'!$B899)),'자료_미국심리'!$A899,"")</f>
        <v/>
      </c>
      <c r="P915">
        <f>IF(AND(ISNUMBER('자료_미국심리'!$D899),ISNUMBER('자료_미국심리'!$E899)),'자료_미국심리'!$D899,"")</f>
        <v/>
      </c>
      <c r="Q915">
        <f>IF(AND(ISNUMBER('자료_미국심리'!$G899),ISNUMBER('자료_미국심리'!$H899)),'자료_미국심리'!$G899,"")</f>
        <v/>
      </c>
    </row>
    <row r="916">
      <c r="A916" s="10">
        <f>IF(898&gt;$E$5,"",SMALL($O$19:$O$4018,$E$6+898))</f>
        <v/>
      </c>
      <c r="B916" s="29">
        <f>IF(A916="","",INDEX('자료_미국심리'!$B$3:$B$4002,MATCH(A916,$O$19:$O$4018,0)))</f>
        <v/>
      </c>
      <c r="C916" s="22">
        <f>IF(A916="","",B916/AVERAGE(B792:B916)-1)</f>
        <v/>
      </c>
      <c r="D916" s="29">
        <f>IF(A916="","",IFERROR(INDEX('자료_미국심리'!$E$3:$E$4002,MATCH(A916,$P$19:$P$4018,0)),D915))</f>
        <v/>
      </c>
      <c r="E916" s="29">
        <f>IF(A916="","",IFERROR(INDEX('자료_미국심리'!$H$3:$H$4002,MATCH(A916,$Q$19:$Q$4018,0)),E915))</f>
        <v/>
      </c>
      <c r="F916">
        <f>IF(A916="",0,IF(A916&gt;$B$5,1,0))</f>
        <v/>
      </c>
      <c r="G916" s="29">
        <f>IF(AND(F916=1,ISNUMBER(D916)),D916,"")</f>
        <v/>
      </c>
      <c r="H916" s="29">
        <f>IF(AND(F916=1,ISNUMBER(E916)),E916,"")</f>
        <v/>
      </c>
      <c r="I916" s="22">
        <f>IF(AND(F916=1,ISNUMBER(C916)),C916,"")</f>
        <v/>
      </c>
      <c r="J916" s="11">
        <f>IF(G916="","",100-IF($G$13=1,50,(_xlfn.RANK.AVG(G916,$G$19:$G$1518,1)-1)/($G$13-1)*100))</f>
        <v/>
      </c>
      <c r="K916" s="11">
        <f>IF(H916="","",100-IF($G$14=1,50,(_xlfn.RANK.AVG(H916,$H$19:$H$1518,1)-1)/($G$14-1)*100))</f>
        <v/>
      </c>
      <c r="L916" s="11">
        <f>IF(I916="","",IF($G$15=1,50,(_xlfn.RANK.AVG(I916,$I$19:$I$1518,1)-1)/($G$15-1)*100))</f>
        <v/>
      </c>
      <c r="M916" s="11">
        <f>IF(COUNT(J916:L916)=3,ROUND(AVERAGE(J916:L916),6),"")</f>
        <v/>
      </c>
      <c r="O916">
        <f>IF(AND(ISNUMBER('자료_미국심리'!$A900),ISNUMBER('자료_미국심리'!$B900)),'자료_미국심리'!$A900,"")</f>
        <v/>
      </c>
      <c r="P916">
        <f>IF(AND(ISNUMBER('자료_미국심리'!$D900),ISNUMBER('자료_미국심리'!$E900)),'자료_미국심리'!$D900,"")</f>
        <v/>
      </c>
      <c r="Q916">
        <f>IF(AND(ISNUMBER('자료_미국심리'!$G900),ISNUMBER('자료_미국심리'!$H900)),'자료_미국심리'!$G900,"")</f>
        <v/>
      </c>
    </row>
    <row r="917">
      <c r="A917" s="10">
        <f>IF(899&gt;$E$5,"",SMALL($O$19:$O$4018,$E$6+899))</f>
        <v/>
      </c>
      <c r="B917" s="29">
        <f>IF(A917="","",INDEX('자료_미국심리'!$B$3:$B$4002,MATCH(A917,$O$19:$O$4018,0)))</f>
        <v/>
      </c>
      <c r="C917" s="22">
        <f>IF(A917="","",B917/AVERAGE(B793:B917)-1)</f>
        <v/>
      </c>
      <c r="D917" s="29">
        <f>IF(A917="","",IFERROR(INDEX('자료_미국심리'!$E$3:$E$4002,MATCH(A917,$P$19:$P$4018,0)),D916))</f>
        <v/>
      </c>
      <c r="E917" s="29">
        <f>IF(A917="","",IFERROR(INDEX('자료_미국심리'!$H$3:$H$4002,MATCH(A917,$Q$19:$Q$4018,0)),E916))</f>
        <v/>
      </c>
      <c r="F917">
        <f>IF(A917="",0,IF(A917&gt;$B$5,1,0))</f>
        <v/>
      </c>
      <c r="G917" s="29">
        <f>IF(AND(F917=1,ISNUMBER(D917)),D917,"")</f>
        <v/>
      </c>
      <c r="H917" s="29">
        <f>IF(AND(F917=1,ISNUMBER(E917)),E917,"")</f>
        <v/>
      </c>
      <c r="I917" s="22">
        <f>IF(AND(F917=1,ISNUMBER(C917)),C917,"")</f>
        <v/>
      </c>
      <c r="J917" s="11">
        <f>IF(G917="","",100-IF($G$13=1,50,(_xlfn.RANK.AVG(G917,$G$19:$G$1518,1)-1)/($G$13-1)*100))</f>
        <v/>
      </c>
      <c r="K917" s="11">
        <f>IF(H917="","",100-IF($G$14=1,50,(_xlfn.RANK.AVG(H917,$H$19:$H$1518,1)-1)/($G$14-1)*100))</f>
        <v/>
      </c>
      <c r="L917" s="11">
        <f>IF(I917="","",IF($G$15=1,50,(_xlfn.RANK.AVG(I917,$I$19:$I$1518,1)-1)/($G$15-1)*100))</f>
        <v/>
      </c>
      <c r="M917" s="11">
        <f>IF(COUNT(J917:L917)=3,ROUND(AVERAGE(J917:L917),6),"")</f>
        <v/>
      </c>
      <c r="O917">
        <f>IF(AND(ISNUMBER('자료_미국심리'!$A901),ISNUMBER('자료_미국심리'!$B901)),'자료_미국심리'!$A901,"")</f>
        <v/>
      </c>
      <c r="P917">
        <f>IF(AND(ISNUMBER('자료_미국심리'!$D901),ISNUMBER('자료_미국심리'!$E901)),'자료_미국심리'!$D901,"")</f>
        <v/>
      </c>
      <c r="Q917">
        <f>IF(AND(ISNUMBER('자료_미국심리'!$G901),ISNUMBER('자료_미국심리'!$H901)),'자료_미국심리'!$G901,"")</f>
        <v/>
      </c>
    </row>
    <row r="918">
      <c r="A918" s="10">
        <f>IF(900&gt;$E$5,"",SMALL($O$19:$O$4018,$E$6+900))</f>
        <v/>
      </c>
      <c r="B918" s="29">
        <f>IF(A918="","",INDEX('자료_미국심리'!$B$3:$B$4002,MATCH(A918,$O$19:$O$4018,0)))</f>
        <v/>
      </c>
      <c r="C918" s="22">
        <f>IF(A918="","",B918/AVERAGE(B794:B918)-1)</f>
        <v/>
      </c>
      <c r="D918" s="29">
        <f>IF(A918="","",IFERROR(INDEX('자료_미국심리'!$E$3:$E$4002,MATCH(A918,$P$19:$P$4018,0)),D917))</f>
        <v/>
      </c>
      <c r="E918" s="29">
        <f>IF(A918="","",IFERROR(INDEX('자료_미국심리'!$H$3:$H$4002,MATCH(A918,$Q$19:$Q$4018,0)),E917))</f>
        <v/>
      </c>
      <c r="F918">
        <f>IF(A918="",0,IF(A918&gt;$B$5,1,0))</f>
        <v/>
      </c>
      <c r="G918" s="29">
        <f>IF(AND(F918=1,ISNUMBER(D918)),D918,"")</f>
        <v/>
      </c>
      <c r="H918" s="29">
        <f>IF(AND(F918=1,ISNUMBER(E918)),E918,"")</f>
        <v/>
      </c>
      <c r="I918" s="22">
        <f>IF(AND(F918=1,ISNUMBER(C918)),C918,"")</f>
        <v/>
      </c>
      <c r="J918" s="11">
        <f>IF(G918="","",100-IF($G$13=1,50,(_xlfn.RANK.AVG(G918,$G$19:$G$1518,1)-1)/($G$13-1)*100))</f>
        <v/>
      </c>
      <c r="K918" s="11">
        <f>IF(H918="","",100-IF($G$14=1,50,(_xlfn.RANK.AVG(H918,$H$19:$H$1518,1)-1)/($G$14-1)*100))</f>
        <v/>
      </c>
      <c r="L918" s="11">
        <f>IF(I918="","",IF($G$15=1,50,(_xlfn.RANK.AVG(I918,$I$19:$I$1518,1)-1)/($G$15-1)*100))</f>
        <v/>
      </c>
      <c r="M918" s="11">
        <f>IF(COUNT(J918:L918)=3,ROUND(AVERAGE(J918:L918),6),"")</f>
        <v/>
      </c>
      <c r="O918">
        <f>IF(AND(ISNUMBER('자료_미국심리'!$A902),ISNUMBER('자료_미국심리'!$B902)),'자료_미국심리'!$A902,"")</f>
        <v/>
      </c>
      <c r="P918">
        <f>IF(AND(ISNUMBER('자료_미국심리'!$D902),ISNUMBER('자료_미국심리'!$E902)),'자료_미국심리'!$D902,"")</f>
        <v/>
      </c>
      <c r="Q918">
        <f>IF(AND(ISNUMBER('자료_미국심리'!$G902),ISNUMBER('자료_미국심리'!$H902)),'자료_미국심리'!$G902,"")</f>
        <v/>
      </c>
    </row>
    <row r="919">
      <c r="A919" s="10">
        <f>IF(901&gt;$E$5,"",SMALL($O$19:$O$4018,$E$6+901))</f>
        <v/>
      </c>
      <c r="B919" s="29">
        <f>IF(A919="","",INDEX('자료_미국심리'!$B$3:$B$4002,MATCH(A919,$O$19:$O$4018,0)))</f>
        <v/>
      </c>
      <c r="C919" s="22">
        <f>IF(A919="","",B919/AVERAGE(B795:B919)-1)</f>
        <v/>
      </c>
      <c r="D919" s="29">
        <f>IF(A919="","",IFERROR(INDEX('자료_미국심리'!$E$3:$E$4002,MATCH(A919,$P$19:$P$4018,0)),D918))</f>
        <v/>
      </c>
      <c r="E919" s="29">
        <f>IF(A919="","",IFERROR(INDEX('자료_미국심리'!$H$3:$H$4002,MATCH(A919,$Q$19:$Q$4018,0)),E918))</f>
        <v/>
      </c>
      <c r="F919">
        <f>IF(A919="",0,IF(A919&gt;$B$5,1,0))</f>
        <v/>
      </c>
      <c r="G919" s="29">
        <f>IF(AND(F919=1,ISNUMBER(D919)),D919,"")</f>
        <v/>
      </c>
      <c r="H919" s="29">
        <f>IF(AND(F919=1,ISNUMBER(E919)),E919,"")</f>
        <v/>
      </c>
      <c r="I919" s="22">
        <f>IF(AND(F919=1,ISNUMBER(C919)),C919,"")</f>
        <v/>
      </c>
      <c r="J919" s="11">
        <f>IF(G919="","",100-IF($G$13=1,50,(_xlfn.RANK.AVG(G919,$G$19:$G$1518,1)-1)/($G$13-1)*100))</f>
        <v/>
      </c>
      <c r="K919" s="11">
        <f>IF(H919="","",100-IF($G$14=1,50,(_xlfn.RANK.AVG(H919,$H$19:$H$1518,1)-1)/($G$14-1)*100))</f>
        <v/>
      </c>
      <c r="L919" s="11">
        <f>IF(I919="","",IF($G$15=1,50,(_xlfn.RANK.AVG(I919,$I$19:$I$1518,1)-1)/($G$15-1)*100))</f>
        <v/>
      </c>
      <c r="M919" s="11">
        <f>IF(COUNT(J919:L919)=3,ROUND(AVERAGE(J919:L919),6),"")</f>
        <v/>
      </c>
      <c r="O919">
        <f>IF(AND(ISNUMBER('자료_미국심리'!$A903),ISNUMBER('자료_미국심리'!$B903)),'자료_미국심리'!$A903,"")</f>
        <v/>
      </c>
      <c r="P919">
        <f>IF(AND(ISNUMBER('자료_미국심리'!$D903),ISNUMBER('자료_미국심리'!$E903)),'자료_미국심리'!$D903,"")</f>
        <v/>
      </c>
      <c r="Q919">
        <f>IF(AND(ISNUMBER('자료_미국심리'!$G903),ISNUMBER('자료_미국심리'!$H903)),'자료_미국심리'!$G903,"")</f>
        <v/>
      </c>
    </row>
    <row r="920">
      <c r="A920" s="10">
        <f>IF(902&gt;$E$5,"",SMALL($O$19:$O$4018,$E$6+902))</f>
        <v/>
      </c>
      <c r="B920" s="29">
        <f>IF(A920="","",INDEX('자료_미국심리'!$B$3:$B$4002,MATCH(A920,$O$19:$O$4018,0)))</f>
        <v/>
      </c>
      <c r="C920" s="22">
        <f>IF(A920="","",B920/AVERAGE(B796:B920)-1)</f>
        <v/>
      </c>
      <c r="D920" s="29">
        <f>IF(A920="","",IFERROR(INDEX('자료_미국심리'!$E$3:$E$4002,MATCH(A920,$P$19:$P$4018,0)),D919))</f>
        <v/>
      </c>
      <c r="E920" s="29">
        <f>IF(A920="","",IFERROR(INDEX('자료_미국심리'!$H$3:$H$4002,MATCH(A920,$Q$19:$Q$4018,0)),E919))</f>
        <v/>
      </c>
      <c r="F920">
        <f>IF(A920="",0,IF(A920&gt;$B$5,1,0))</f>
        <v/>
      </c>
      <c r="G920" s="29">
        <f>IF(AND(F920=1,ISNUMBER(D920)),D920,"")</f>
        <v/>
      </c>
      <c r="H920" s="29">
        <f>IF(AND(F920=1,ISNUMBER(E920)),E920,"")</f>
        <v/>
      </c>
      <c r="I920" s="22">
        <f>IF(AND(F920=1,ISNUMBER(C920)),C920,"")</f>
        <v/>
      </c>
      <c r="J920" s="11">
        <f>IF(G920="","",100-IF($G$13=1,50,(_xlfn.RANK.AVG(G920,$G$19:$G$1518,1)-1)/($G$13-1)*100))</f>
        <v/>
      </c>
      <c r="K920" s="11">
        <f>IF(H920="","",100-IF($G$14=1,50,(_xlfn.RANK.AVG(H920,$H$19:$H$1518,1)-1)/($G$14-1)*100))</f>
        <v/>
      </c>
      <c r="L920" s="11">
        <f>IF(I920="","",IF($G$15=1,50,(_xlfn.RANK.AVG(I920,$I$19:$I$1518,1)-1)/($G$15-1)*100))</f>
        <v/>
      </c>
      <c r="M920" s="11">
        <f>IF(COUNT(J920:L920)=3,ROUND(AVERAGE(J920:L920),6),"")</f>
        <v/>
      </c>
      <c r="O920">
        <f>IF(AND(ISNUMBER('자료_미국심리'!$A904),ISNUMBER('자료_미국심리'!$B904)),'자료_미국심리'!$A904,"")</f>
        <v/>
      </c>
      <c r="P920">
        <f>IF(AND(ISNUMBER('자료_미국심리'!$D904),ISNUMBER('자료_미국심리'!$E904)),'자료_미국심리'!$D904,"")</f>
        <v/>
      </c>
      <c r="Q920">
        <f>IF(AND(ISNUMBER('자료_미국심리'!$G904),ISNUMBER('자료_미국심리'!$H904)),'자료_미국심리'!$G904,"")</f>
        <v/>
      </c>
    </row>
    <row r="921">
      <c r="A921" s="10">
        <f>IF(903&gt;$E$5,"",SMALL($O$19:$O$4018,$E$6+903))</f>
        <v/>
      </c>
      <c r="B921" s="29">
        <f>IF(A921="","",INDEX('자료_미국심리'!$B$3:$B$4002,MATCH(A921,$O$19:$O$4018,0)))</f>
        <v/>
      </c>
      <c r="C921" s="22">
        <f>IF(A921="","",B921/AVERAGE(B797:B921)-1)</f>
        <v/>
      </c>
      <c r="D921" s="29">
        <f>IF(A921="","",IFERROR(INDEX('자료_미국심리'!$E$3:$E$4002,MATCH(A921,$P$19:$P$4018,0)),D920))</f>
        <v/>
      </c>
      <c r="E921" s="29">
        <f>IF(A921="","",IFERROR(INDEX('자료_미국심리'!$H$3:$H$4002,MATCH(A921,$Q$19:$Q$4018,0)),E920))</f>
        <v/>
      </c>
      <c r="F921">
        <f>IF(A921="",0,IF(A921&gt;$B$5,1,0))</f>
        <v/>
      </c>
      <c r="G921" s="29">
        <f>IF(AND(F921=1,ISNUMBER(D921)),D921,"")</f>
        <v/>
      </c>
      <c r="H921" s="29">
        <f>IF(AND(F921=1,ISNUMBER(E921)),E921,"")</f>
        <v/>
      </c>
      <c r="I921" s="22">
        <f>IF(AND(F921=1,ISNUMBER(C921)),C921,"")</f>
        <v/>
      </c>
      <c r="J921" s="11">
        <f>IF(G921="","",100-IF($G$13=1,50,(_xlfn.RANK.AVG(G921,$G$19:$G$1518,1)-1)/($G$13-1)*100))</f>
        <v/>
      </c>
      <c r="K921" s="11">
        <f>IF(H921="","",100-IF($G$14=1,50,(_xlfn.RANK.AVG(H921,$H$19:$H$1518,1)-1)/($G$14-1)*100))</f>
        <v/>
      </c>
      <c r="L921" s="11">
        <f>IF(I921="","",IF($G$15=1,50,(_xlfn.RANK.AVG(I921,$I$19:$I$1518,1)-1)/($G$15-1)*100))</f>
        <v/>
      </c>
      <c r="M921" s="11">
        <f>IF(COUNT(J921:L921)=3,ROUND(AVERAGE(J921:L921),6),"")</f>
        <v/>
      </c>
      <c r="O921">
        <f>IF(AND(ISNUMBER('자료_미국심리'!$A905),ISNUMBER('자료_미국심리'!$B905)),'자료_미국심리'!$A905,"")</f>
        <v/>
      </c>
      <c r="P921">
        <f>IF(AND(ISNUMBER('자료_미국심리'!$D905),ISNUMBER('자료_미국심리'!$E905)),'자료_미국심리'!$D905,"")</f>
        <v/>
      </c>
      <c r="Q921">
        <f>IF(AND(ISNUMBER('자료_미국심리'!$G905),ISNUMBER('자료_미국심리'!$H905)),'자료_미국심리'!$G905,"")</f>
        <v/>
      </c>
    </row>
    <row r="922">
      <c r="A922" s="10">
        <f>IF(904&gt;$E$5,"",SMALL($O$19:$O$4018,$E$6+904))</f>
        <v/>
      </c>
      <c r="B922" s="29">
        <f>IF(A922="","",INDEX('자료_미국심리'!$B$3:$B$4002,MATCH(A922,$O$19:$O$4018,0)))</f>
        <v/>
      </c>
      <c r="C922" s="22">
        <f>IF(A922="","",B922/AVERAGE(B798:B922)-1)</f>
        <v/>
      </c>
      <c r="D922" s="29">
        <f>IF(A922="","",IFERROR(INDEX('자료_미국심리'!$E$3:$E$4002,MATCH(A922,$P$19:$P$4018,0)),D921))</f>
        <v/>
      </c>
      <c r="E922" s="29">
        <f>IF(A922="","",IFERROR(INDEX('자료_미국심리'!$H$3:$H$4002,MATCH(A922,$Q$19:$Q$4018,0)),E921))</f>
        <v/>
      </c>
      <c r="F922">
        <f>IF(A922="",0,IF(A922&gt;$B$5,1,0))</f>
        <v/>
      </c>
      <c r="G922" s="29">
        <f>IF(AND(F922=1,ISNUMBER(D922)),D922,"")</f>
        <v/>
      </c>
      <c r="H922" s="29">
        <f>IF(AND(F922=1,ISNUMBER(E922)),E922,"")</f>
        <v/>
      </c>
      <c r="I922" s="22">
        <f>IF(AND(F922=1,ISNUMBER(C922)),C922,"")</f>
        <v/>
      </c>
      <c r="J922" s="11">
        <f>IF(G922="","",100-IF($G$13=1,50,(_xlfn.RANK.AVG(G922,$G$19:$G$1518,1)-1)/($G$13-1)*100))</f>
        <v/>
      </c>
      <c r="K922" s="11">
        <f>IF(H922="","",100-IF($G$14=1,50,(_xlfn.RANK.AVG(H922,$H$19:$H$1518,1)-1)/($G$14-1)*100))</f>
        <v/>
      </c>
      <c r="L922" s="11">
        <f>IF(I922="","",IF($G$15=1,50,(_xlfn.RANK.AVG(I922,$I$19:$I$1518,1)-1)/($G$15-1)*100))</f>
        <v/>
      </c>
      <c r="M922" s="11">
        <f>IF(COUNT(J922:L922)=3,ROUND(AVERAGE(J922:L922),6),"")</f>
        <v/>
      </c>
      <c r="O922">
        <f>IF(AND(ISNUMBER('자료_미국심리'!$A906),ISNUMBER('자료_미국심리'!$B906)),'자료_미국심리'!$A906,"")</f>
        <v/>
      </c>
      <c r="P922">
        <f>IF(AND(ISNUMBER('자료_미국심리'!$D906),ISNUMBER('자료_미국심리'!$E906)),'자료_미국심리'!$D906,"")</f>
        <v/>
      </c>
      <c r="Q922">
        <f>IF(AND(ISNUMBER('자료_미국심리'!$G906),ISNUMBER('자료_미국심리'!$H906)),'자료_미국심리'!$G906,"")</f>
        <v/>
      </c>
    </row>
    <row r="923">
      <c r="A923" s="10">
        <f>IF(905&gt;$E$5,"",SMALL($O$19:$O$4018,$E$6+905))</f>
        <v/>
      </c>
      <c r="B923" s="29">
        <f>IF(A923="","",INDEX('자료_미국심리'!$B$3:$B$4002,MATCH(A923,$O$19:$O$4018,0)))</f>
        <v/>
      </c>
      <c r="C923" s="22">
        <f>IF(A923="","",B923/AVERAGE(B799:B923)-1)</f>
        <v/>
      </c>
      <c r="D923" s="29">
        <f>IF(A923="","",IFERROR(INDEX('자료_미국심리'!$E$3:$E$4002,MATCH(A923,$P$19:$P$4018,0)),D922))</f>
        <v/>
      </c>
      <c r="E923" s="29">
        <f>IF(A923="","",IFERROR(INDEX('자료_미국심리'!$H$3:$H$4002,MATCH(A923,$Q$19:$Q$4018,0)),E922))</f>
        <v/>
      </c>
      <c r="F923">
        <f>IF(A923="",0,IF(A923&gt;$B$5,1,0))</f>
        <v/>
      </c>
      <c r="G923" s="29">
        <f>IF(AND(F923=1,ISNUMBER(D923)),D923,"")</f>
        <v/>
      </c>
      <c r="H923" s="29">
        <f>IF(AND(F923=1,ISNUMBER(E923)),E923,"")</f>
        <v/>
      </c>
      <c r="I923" s="22">
        <f>IF(AND(F923=1,ISNUMBER(C923)),C923,"")</f>
        <v/>
      </c>
      <c r="J923" s="11">
        <f>IF(G923="","",100-IF($G$13=1,50,(_xlfn.RANK.AVG(G923,$G$19:$G$1518,1)-1)/($G$13-1)*100))</f>
        <v/>
      </c>
      <c r="K923" s="11">
        <f>IF(H923="","",100-IF($G$14=1,50,(_xlfn.RANK.AVG(H923,$H$19:$H$1518,1)-1)/($G$14-1)*100))</f>
        <v/>
      </c>
      <c r="L923" s="11">
        <f>IF(I923="","",IF($G$15=1,50,(_xlfn.RANK.AVG(I923,$I$19:$I$1518,1)-1)/($G$15-1)*100))</f>
        <v/>
      </c>
      <c r="M923" s="11">
        <f>IF(COUNT(J923:L923)=3,ROUND(AVERAGE(J923:L923),6),"")</f>
        <v/>
      </c>
      <c r="O923">
        <f>IF(AND(ISNUMBER('자료_미국심리'!$A907),ISNUMBER('자료_미국심리'!$B907)),'자료_미국심리'!$A907,"")</f>
        <v/>
      </c>
      <c r="P923">
        <f>IF(AND(ISNUMBER('자료_미국심리'!$D907),ISNUMBER('자료_미국심리'!$E907)),'자료_미국심리'!$D907,"")</f>
        <v/>
      </c>
      <c r="Q923">
        <f>IF(AND(ISNUMBER('자료_미국심리'!$G907),ISNUMBER('자료_미국심리'!$H907)),'자료_미국심리'!$G907,"")</f>
        <v/>
      </c>
    </row>
    <row r="924">
      <c r="A924" s="10">
        <f>IF(906&gt;$E$5,"",SMALL($O$19:$O$4018,$E$6+906))</f>
        <v/>
      </c>
      <c r="B924" s="29">
        <f>IF(A924="","",INDEX('자료_미국심리'!$B$3:$B$4002,MATCH(A924,$O$19:$O$4018,0)))</f>
        <v/>
      </c>
      <c r="C924" s="22">
        <f>IF(A924="","",B924/AVERAGE(B800:B924)-1)</f>
        <v/>
      </c>
      <c r="D924" s="29">
        <f>IF(A924="","",IFERROR(INDEX('자료_미국심리'!$E$3:$E$4002,MATCH(A924,$P$19:$P$4018,0)),D923))</f>
        <v/>
      </c>
      <c r="E924" s="29">
        <f>IF(A924="","",IFERROR(INDEX('자료_미국심리'!$H$3:$H$4002,MATCH(A924,$Q$19:$Q$4018,0)),E923))</f>
        <v/>
      </c>
      <c r="F924">
        <f>IF(A924="",0,IF(A924&gt;$B$5,1,0))</f>
        <v/>
      </c>
      <c r="G924" s="29">
        <f>IF(AND(F924=1,ISNUMBER(D924)),D924,"")</f>
        <v/>
      </c>
      <c r="H924" s="29">
        <f>IF(AND(F924=1,ISNUMBER(E924)),E924,"")</f>
        <v/>
      </c>
      <c r="I924" s="22">
        <f>IF(AND(F924=1,ISNUMBER(C924)),C924,"")</f>
        <v/>
      </c>
      <c r="J924" s="11">
        <f>IF(G924="","",100-IF($G$13=1,50,(_xlfn.RANK.AVG(G924,$G$19:$G$1518,1)-1)/($G$13-1)*100))</f>
        <v/>
      </c>
      <c r="K924" s="11">
        <f>IF(H924="","",100-IF($G$14=1,50,(_xlfn.RANK.AVG(H924,$H$19:$H$1518,1)-1)/($G$14-1)*100))</f>
        <v/>
      </c>
      <c r="L924" s="11">
        <f>IF(I924="","",IF($G$15=1,50,(_xlfn.RANK.AVG(I924,$I$19:$I$1518,1)-1)/($G$15-1)*100))</f>
        <v/>
      </c>
      <c r="M924" s="11">
        <f>IF(COUNT(J924:L924)=3,ROUND(AVERAGE(J924:L924),6),"")</f>
        <v/>
      </c>
      <c r="O924">
        <f>IF(AND(ISNUMBER('자료_미국심리'!$A908),ISNUMBER('자료_미국심리'!$B908)),'자료_미국심리'!$A908,"")</f>
        <v/>
      </c>
      <c r="P924">
        <f>IF(AND(ISNUMBER('자료_미국심리'!$D908),ISNUMBER('자료_미국심리'!$E908)),'자료_미국심리'!$D908,"")</f>
        <v/>
      </c>
      <c r="Q924">
        <f>IF(AND(ISNUMBER('자료_미국심리'!$G908),ISNUMBER('자료_미국심리'!$H908)),'자료_미국심리'!$G908,"")</f>
        <v/>
      </c>
    </row>
    <row r="925">
      <c r="A925" s="10">
        <f>IF(907&gt;$E$5,"",SMALL($O$19:$O$4018,$E$6+907))</f>
        <v/>
      </c>
      <c r="B925" s="29">
        <f>IF(A925="","",INDEX('자료_미국심리'!$B$3:$B$4002,MATCH(A925,$O$19:$O$4018,0)))</f>
        <v/>
      </c>
      <c r="C925" s="22">
        <f>IF(A925="","",B925/AVERAGE(B801:B925)-1)</f>
        <v/>
      </c>
      <c r="D925" s="29">
        <f>IF(A925="","",IFERROR(INDEX('자료_미국심리'!$E$3:$E$4002,MATCH(A925,$P$19:$P$4018,0)),D924))</f>
        <v/>
      </c>
      <c r="E925" s="29">
        <f>IF(A925="","",IFERROR(INDEX('자료_미국심리'!$H$3:$H$4002,MATCH(A925,$Q$19:$Q$4018,0)),E924))</f>
        <v/>
      </c>
      <c r="F925">
        <f>IF(A925="",0,IF(A925&gt;$B$5,1,0))</f>
        <v/>
      </c>
      <c r="G925" s="29">
        <f>IF(AND(F925=1,ISNUMBER(D925)),D925,"")</f>
        <v/>
      </c>
      <c r="H925" s="29">
        <f>IF(AND(F925=1,ISNUMBER(E925)),E925,"")</f>
        <v/>
      </c>
      <c r="I925" s="22">
        <f>IF(AND(F925=1,ISNUMBER(C925)),C925,"")</f>
        <v/>
      </c>
      <c r="J925" s="11">
        <f>IF(G925="","",100-IF($G$13=1,50,(_xlfn.RANK.AVG(G925,$G$19:$G$1518,1)-1)/($G$13-1)*100))</f>
        <v/>
      </c>
      <c r="K925" s="11">
        <f>IF(H925="","",100-IF($G$14=1,50,(_xlfn.RANK.AVG(H925,$H$19:$H$1518,1)-1)/($G$14-1)*100))</f>
        <v/>
      </c>
      <c r="L925" s="11">
        <f>IF(I925="","",IF($G$15=1,50,(_xlfn.RANK.AVG(I925,$I$19:$I$1518,1)-1)/($G$15-1)*100))</f>
        <v/>
      </c>
      <c r="M925" s="11">
        <f>IF(COUNT(J925:L925)=3,ROUND(AVERAGE(J925:L925),6),"")</f>
        <v/>
      </c>
      <c r="O925">
        <f>IF(AND(ISNUMBER('자료_미국심리'!$A909),ISNUMBER('자료_미국심리'!$B909)),'자료_미국심리'!$A909,"")</f>
        <v/>
      </c>
      <c r="P925">
        <f>IF(AND(ISNUMBER('자료_미국심리'!$D909),ISNUMBER('자료_미국심리'!$E909)),'자료_미국심리'!$D909,"")</f>
        <v/>
      </c>
      <c r="Q925">
        <f>IF(AND(ISNUMBER('자료_미국심리'!$G909),ISNUMBER('자료_미국심리'!$H909)),'자료_미국심리'!$G909,"")</f>
        <v/>
      </c>
    </row>
    <row r="926">
      <c r="A926" s="10">
        <f>IF(908&gt;$E$5,"",SMALL($O$19:$O$4018,$E$6+908))</f>
        <v/>
      </c>
      <c r="B926" s="29">
        <f>IF(A926="","",INDEX('자료_미국심리'!$B$3:$B$4002,MATCH(A926,$O$19:$O$4018,0)))</f>
        <v/>
      </c>
      <c r="C926" s="22">
        <f>IF(A926="","",B926/AVERAGE(B802:B926)-1)</f>
        <v/>
      </c>
      <c r="D926" s="29">
        <f>IF(A926="","",IFERROR(INDEX('자료_미국심리'!$E$3:$E$4002,MATCH(A926,$P$19:$P$4018,0)),D925))</f>
        <v/>
      </c>
      <c r="E926" s="29">
        <f>IF(A926="","",IFERROR(INDEX('자료_미국심리'!$H$3:$H$4002,MATCH(A926,$Q$19:$Q$4018,0)),E925))</f>
        <v/>
      </c>
      <c r="F926">
        <f>IF(A926="",0,IF(A926&gt;$B$5,1,0))</f>
        <v/>
      </c>
      <c r="G926" s="29">
        <f>IF(AND(F926=1,ISNUMBER(D926)),D926,"")</f>
        <v/>
      </c>
      <c r="H926" s="29">
        <f>IF(AND(F926=1,ISNUMBER(E926)),E926,"")</f>
        <v/>
      </c>
      <c r="I926" s="22">
        <f>IF(AND(F926=1,ISNUMBER(C926)),C926,"")</f>
        <v/>
      </c>
      <c r="J926" s="11">
        <f>IF(G926="","",100-IF($G$13=1,50,(_xlfn.RANK.AVG(G926,$G$19:$G$1518,1)-1)/($G$13-1)*100))</f>
        <v/>
      </c>
      <c r="K926" s="11">
        <f>IF(H926="","",100-IF($G$14=1,50,(_xlfn.RANK.AVG(H926,$H$19:$H$1518,1)-1)/($G$14-1)*100))</f>
        <v/>
      </c>
      <c r="L926" s="11">
        <f>IF(I926="","",IF($G$15=1,50,(_xlfn.RANK.AVG(I926,$I$19:$I$1518,1)-1)/($G$15-1)*100))</f>
        <v/>
      </c>
      <c r="M926" s="11">
        <f>IF(COUNT(J926:L926)=3,ROUND(AVERAGE(J926:L926),6),"")</f>
        <v/>
      </c>
      <c r="O926">
        <f>IF(AND(ISNUMBER('자료_미국심리'!$A910),ISNUMBER('자료_미국심리'!$B910)),'자료_미국심리'!$A910,"")</f>
        <v/>
      </c>
      <c r="P926">
        <f>IF(AND(ISNUMBER('자료_미국심리'!$D910),ISNUMBER('자료_미국심리'!$E910)),'자료_미국심리'!$D910,"")</f>
        <v/>
      </c>
      <c r="Q926">
        <f>IF(AND(ISNUMBER('자료_미국심리'!$G910),ISNUMBER('자료_미국심리'!$H910)),'자료_미국심리'!$G910,"")</f>
        <v/>
      </c>
    </row>
    <row r="927">
      <c r="A927" s="10">
        <f>IF(909&gt;$E$5,"",SMALL($O$19:$O$4018,$E$6+909))</f>
        <v/>
      </c>
      <c r="B927" s="29">
        <f>IF(A927="","",INDEX('자료_미국심리'!$B$3:$B$4002,MATCH(A927,$O$19:$O$4018,0)))</f>
        <v/>
      </c>
      <c r="C927" s="22">
        <f>IF(A927="","",B927/AVERAGE(B803:B927)-1)</f>
        <v/>
      </c>
      <c r="D927" s="29">
        <f>IF(A927="","",IFERROR(INDEX('자료_미국심리'!$E$3:$E$4002,MATCH(A927,$P$19:$P$4018,0)),D926))</f>
        <v/>
      </c>
      <c r="E927" s="29">
        <f>IF(A927="","",IFERROR(INDEX('자료_미국심리'!$H$3:$H$4002,MATCH(A927,$Q$19:$Q$4018,0)),E926))</f>
        <v/>
      </c>
      <c r="F927">
        <f>IF(A927="",0,IF(A927&gt;$B$5,1,0))</f>
        <v/>
      </c>
      <c r="G927" s="29">
        <f>IF(AND(F927=1,ISNUMBER(D927)),D927,"")</f>
        <v/>
      </c>
      <c r="H927" s="29">
        <f>IF(AND(F927=1,ISNUMBER(E927)),E927,"")</f>
        <v/>
      </c>
      <c r="I927" s="22">
        <f>IF(AND(F927=1,ISNUMBER(C927)),C927,"")</f>
        <v/>
      </c>
      <c r="J927" s="11">
        <f>IF(G927="","",100-IF($G$13=1,50,(_xlfn.RANK.AVG(G927,$G$19:$G$1518,1)-1)/($G$13-1)*100))</f>
        <v/>
      </c>
      <c r="K927" s="11">
        <f>IF(H927="","",100-IF($G$14=1,50,(_xlfn.RANK.AVG(H927,$H$19:$H$1518,1)-1)/($G$14-1)*100))</f>
        <v/>
      </c>
      <c r="L927" s="11">
        <f>IF(I927="","",IF($G$15=1,50,(_xlfn.RANK.AVG(I927,$I$19:$I$1518,1)-1)/($G$15-1)*100))</f>
        <v/>
      </c>
      <c r="M927" s="11">
        <f>IF(COUNT(J927:L927)=3,ROUND(AVERAGE(J927:L927),6),"")</f>
        <v/>
      </c>
      <c r="O927">
        <f>IF(AND(ISNUMBER('자료_미국심리'!$A911),ISNUMBER('자료_미국심리'!$B911)),'자료_미국심리'!$A911,"")</f>
        <v/>
      </c>
      <c r="P927">
        <f>IF(AND(ISNUMBER('자료_미국심리'!$D911),ISNUMBER('자료_미국심리'!$E911)),'자료_미국심리'!$D911,"")</f>
        <v/>
      </c>
      <c r="Q927">
        <f>IF(AND(ISNUMBER('자료_미국심리'!$G911),ISNUMBER('자료_미국심리'!$H911)),'자료_미국심리'!$G911,"")</f>
        <v/>
      </c>
    </row>
    <row r="928">
      <c r="A928" s="10">
        <f>IF(910&gt;$E$5,"",SMALL($O$19:$O$4018,$E$6+910))</f>
        <v/>
      </c>
      <c r="B928" s="29">
        <f>IF(A928="","",INDEX('자료_미국심리'!$B$3:$B$4002,MATCH(A928,$O$19:$O$4018,0)))</f>
        <v/>
      </c>
      <c r="C928" s="22">
        <f>IF(A928="","",B928/AVERAGE(B804:B928)-1)</f>
        <v/>
      </c>
      <c r="D928" s="29">
        <f>IF(A928="","",IFERROR(INDEX('자료_미국심리'!$E$3:$E$4002,MATCH(A928,$P$19:$P$4018,0)),D927))</f>
        <v/>
      </c>
      <c r="E928" s="29">
        <f>IF(A928="","",IFERROR(INDEX('자료_미국심리'!$H$3:$H$4002,MATCH(A928,$Q$19:$Q$4018,0)),E927))</f>
        <v/>
      </c>
      <c r="F928">
        <f>IF(A928="",0,IF(A928&gt;$B$5,1,0))</f>
        <v/>
      </c>
      <c r="G928" s="29">
        <f>IF(AND(F928=1,ISNUMBER(D928)),D928,"")</f>
        <v/>
      </c>
      <c r="H928" s="29">
        <f>IF(AND(F928=1,ISNUMBER(E928)),E928,"")</f>
        <v/>
      </c>
      <c r="I928" s="22">
        <f>IF(AND(F928=1,ISNUMBER(C928)),C928,"")</f>
        <v/>
      </c>
      <c r="J928" s="11">
        <f>IF(G928="","",100-IF($G$13=1,50,(_xlfn.RANK.AVG(G928,$G$19:$G$1518,1)-1)/($G$13-1)*100))</f>
        <v/>
      </c>
      <c r="K928" s="11">
        <f>IF(H928="","",100-IF($G$14=1,50,(_xlfn.RANK.AVG(H928,$H$19:$H$1518,1)-1)/($G$14-1)*100))</f>
        <v/>
      </c>
      <c r="L928" s="11">
        <f>IF(I928="","",IF($G$15=1,50,(_xlfn.RANK.AVG(I928,$I$19:$I$1518,1)-1)/($G$15-1)*100))</f>
        <v/>
      </c>
      <c r="M928" s="11">
        <f>IF(COUNT(J928:L928)=3,ROUND(AVERAGE(J928:L928),6),"")</f>
        <v/>
      </c>
      <c r="O928">
        <f>IF(AND(ISNUMBER('자료_미국심리'!$A912),ISNUMBER('자료_미국심리'!$B912)),'자료_미국심리'!$A912,"")</f>
        <v/>
      </c>
      <c r="P928">
        <f>IF(AND(ISNUMBER('자료_미국심리'!$D912),ISNUMBER('자료_미국심리'!$E912)),'자료_미국심리'!$D912,"")</f>
        <v/>
      </c>
      <c r="Q928">
        <f>IF(AND(ISNUMBER('자료_미국심리'!$G912),ISNUMBER('자료_미국심리'!$H912)),'자료_미국심리'!$G912,"")</f>
        <v/>
      </c>
    </row>
    <row r="929">
      <c r="A929" s="10">
        <f>IF(911&gt;$E$5,"",SMALL($O$19:$O$4018,$E$6+911))</f>
        <v/>
      </c>
      <c r="B929" s="29">
        <f>IF(A929="","",INDEX('자료_미국심리'!$B$3:$B$4002,MATCH(A929,$O$19:$O$4018,0)))</f>
        <v/>
      </c>
      <c r="C929" s="22">
        <f>IF(A929="","",B929/AVERAGE(B805:B929)-1)</f>
        <v/>
      </c>
      <c r="D929" s="29">
        <f>IF(A929="","",IFERROR(INDEX('자료_미국심리'!$E$3:$E$4002,MATCH(A929,$P$19:$P$4018,0)),D928))</f>
        <v/>
      </c>
      <c r="E929" s="29">
        <f>IF(A929="","",IFERROR(INDEX('자료_미국심리'!$H$3:$H$4002,MATCH(A929,$Q$19:$Q$4018,0)),E928))</f>
        <v/>
      </c>
      <c r="F929">
        <f>IF(A929="",0,IF(A929&gt;$B$5,1,0))</f>
        <v/>
      </c>
      <c r="G929" s="29">
        <f>IF(AND(F929=1,ISNUMBER(D929)),D929,"")</f>
        <v/>
      </c>
      <c r="H929" s="29">
        <f>IF(AND(F929=1,ISNUMBER(E929)),E929,"")</f>
        <v/>
      </c>
      <c r="I929" s="22">
        <f>IF(AND(F929=1,ISNUMBER(C929)),C929,"")</f>
        <v/>
      </c>
      <c r="J929" s="11">
        <f>IF(G929="","",100-IF($G$13=1,50,(_xlfn.RANK.AVG(G929,$G$19:$G$1518,1)-1)/($G$13-1)*100))</f>
        <v/>
      </c>
      <c r="K929" s="11">
        <f>IF(H929="","",100-IF($G$14=1,50,(_xlfn.RANK.AVG(H929,$H$19:$H$1518,1)-1)/($G$14-1)*100))</f>
        <v/>
      </c>
      <c r="L929" s="11">
        <f>IF(I929="","",IF($G$15=1,50,(_xlfn.RANK.AVG(I929,$I$19:$I$1518,1)-1)/($G$15-1)*100))</f>
        <v/>
      </c>
      <c r="M929" s="11">
        <f>IF(COUNT(J929:L929)=3,ROUND(AVERAGE(J929:L929),6),"")</f>
        <v/>
      </c>
      <c r="O929">
        <f>IF(AND(ISNUMBER('자료_미국심리'!$A913),ISNUMBER('자료_미국심리'!$B913)),'자료_미국심리'!$A913,"")</f>
        <v/>
      </c>
      <c r="P929">
        <f>IF(AND(ISNUMBER('자료_미국심리'!$D913),ISNUMBER('자료_미국심리'!$E913)),'자료_미국심리'!$D913,"")</f>
        <v/>
      </c>
      <c r="Q929">
        <f>IF(AND(ISNUMBER('자료_미국심리'!$G913),ISNUMBER('자료_미국심리'!$H913)),'자료_미국심리'!$G913,"")</f>
        <v/>
      </c>
    </row>
    <row r="930">
      <c r="A930" s="10">
        <f>IF(912&gt;$E$5,"",SMALL($O$19:$O$4018,$E$6+912))</f>
        <v/>
      </c>
      <c r="B930" s="29">
        <f>IF(A930="","",INDEX('자료_미국심리'!$B$3:$B$4002,MATCH(A930,$O$19:$O$4018,0)))</f>
        <v/>
      </c>
      <c r="C930" s="22">
        <f>IF(A930="","",B930/AVERAGE(B806:B930)-1)</f>
        <v/>
      </c>
      <c r="D930" s="29">
        <f>IF(A930="","",IFERROR(INDEX('자료_미국심리'!$E$3:$E$4002,MATCH(A930,$P$19:$P$4018,0)),D929))</f>
        <v/>
      </c>
      <c r="E930" s="29">
        <f>IF(A930="","",IFERROR(INDEX('자료_미국심리'!$H$3:$H$4002,MATCH(A930,$Q$19:$Q$4018,0)),E929))</f>
        <v/>
      </c>
      <c r="F930">
        <f>IF(A930="",0,IF(A930&gt;$B$5,1,0))</f>
        <v/>
      </c>
      <c r="G930" s="29">
        <f>IF(AND(F930=1,ISNUMBER(D930)),D930,"")</f>
        <v/>
      </c>
      <c r="H930" s="29">
        <f>IF(AND(F930=1,ISNUMBER(E930)),E930,"")</f>
        <v/>
      </c>
      <c r="I930" s="22">
        <f>IF(AND(F930=1,ISNUMBER(C930)),C930,"")</f>
        <v/>
      </c>
      <c r="J930" s="11">
        <f>IF(G930="","",100-IF($G$13=1,50,(_xlfn.RANK.AVG(G930,$G$19:$G$1518,1)-1)/($G$13-1)*100))</f>
        <v/>
      </c>
      <c r="K930" s="11">
        <f>IF(H930="","",100-IF($G$14=1,50,(_xlfn.RANK.AVG(H930,$H$19:$H$1518,1)-1)/($G$14-1)*100))</f>
        <v/>
      </c>
      <c r="L930" s="11">
        <f>IF(I930="","",IF($G$15=1,50,(_xlfn.RANK.AVG(I930,$I$19:$I$1518,1)-1)/($G$15-1)*100))</f>
        <v/>
      </c>
      <c r="M930" s="11">
        <f>IF(COUNT(J930:L930)=3,ROUND(AVERAGE(J930:L930),6),"")</f>
        <v/>
      </c>
      <c r="O930">
        <f>IF(AND(ISNUMBER('자료_미국심리'!$A914),ISNUMBER('자료_미국심리'!$B914)),'자료_미국심리'!$A914,"")</f>
        <v/>
      </c>
      <c r="P930">
        <f>IF(AND(ISNUMBER('자료_미국심리'!$D914),ISNUMBER('자료_미국심리'!$E914)),'자료_미국심리'!$D914,"")</f>
        <v/>
      </c>
      <c r="Q930">
        <f>IF(AND(ISNUMBER('자료_미국심리'!$G914),ISNUMBER('자료_미국심리'!$H914)),'자료_미국심리'!$G914,"")</f>
        <v/>
      </c>
    </row>
    <row r="931">
      <c r="A931" s="10">
        <f>IF(913&gt;$E$5,"",SMALL($O$19:$O$4018,$E$6+913))</f>
        <v/>
      </c>
      <c r="B931" s="29">
        <f>IF(A931="","",INDEX('자료_미국심리'!$B$3:$B$4002,MATCH(A931,$O$19:$O$4018,0)))</f>
        <v/>
      </c>
      <c r="C931" s="22">
        <f>IF(A931="","",B931/AVERAGE(B807:B931)-1)</f>
        <v/>
      </c>
      <c r="D931" s="29">
        <f>IF(A931="","",IFERROR(INDEX('자료_미국심리'!$E$3:$E$4002,MATCH(A931,$P$19:$P$4018,0)),D930))</f>
        <v/>
      </c>
      <c r="E931" s="29">
        <f>IF(A931="","",IFERROR(INDEX('자료_미국심리'!$H$3:$H$4002,MATCH(A931,$Q$19:$Q$4018,0)),E930))</f>
        <v/>
      </c>
      <c r="F931">
        <f>IF(A931="",0,IF(A931&gt;$B$5,1,0))</f>
        <v/>
      </c>
      <c r="G931" s="29">
        <f>IF(AND(F931=1,ISNUMBER(D931)),D931,"")</f>
        <v/>
      </c>
      <c r="H931" s="29">
        <f>IF(AND(F931=1,ISNUMBER(E931)),E931,"")</f>
        <v/>
      </c>
      <c r="I931" s="22">
        <f>IF(AND(F931=1,ISNUMBER(C931)),C931,"")</f>
        <v/>
      </c>
      <c r="J931" s="11">
        <f>IF(G931="","",100-IF($G$13=1,50,(_xlfn.RANK.AVG(G931,$G$19:$G$1518,1)-1)/($G$13-1)*100))</f>
        <v/>
      </c>
      <c r="K931" s="11">
        <f>IF(H931="","",100-IF($G$14=1,50,(_xlfn.RANK.AVG(H931,$H$19:$H$1518,1)-1)/($G$14-1)*100))</f>
        <v/>
      </c>
      <c r="L931" s="11">
        <f>IF(I931="","",IF($G$15=1,50,(_xlfn.RANK.AVG(I931,$I$19:$I$1518,1)-1)/($G$15-1)*100))</f>
        <v/>
      </c>
      <c r="M931" s="11">
        <f>IF(COUNT(J931:L931)=3,ROUND(AVERAGE(J931:L931),6),"")</f>
        <v/>
      </c>
      <c r="O931">
        <f>IF(AND(ISNUMBER('자료_미국심리'!$A915),ISNUMBER('자료_미국심리'!$B915)),'자료_미국심리'!$A915,"")</f>
        <v/>
      </c>
      <c r="P931">
        <f>IF(AND(ISNUMBER('자료_미국심리'!$D915),ISNUMBER('자료_미국심리'!$E915)),'자료_미국심리'!$D915,"")</f>
        <v/>
      </c>
      <c r="Q931">
        <f>IF(AND(ISNUMBER('자료_미국심리'!$G915),ISNUMBER('자료_미국심리'!$H915)),'자료_미국심리'!$G915,"")</f>
        <v/>
      </c>
    </row>
    <row r="932">
      <c r="A932" s="10">
        <f>IF(914&gt;$E$5,"",SMALL($O$19:$O$4018,$E$6+914))</f>
        <v/>
      </c>
      <c r="B932" s="29">
        <f>IF(A932="","",INDEX('자료_미국심리'!$B$3:$B$4002,MATCH(A932,$O$19:$O$4018,0)))</f>
        <v/>
      </c>
      <c r="C932" s="22">
        <f>IF(A932="","",B932/AVERAGE(B808:B932)-1)</f>
        <v/>
      </c>
      <c r="D932" s="29">
        <f>IF(A932="","",IFERROR(INDEX('자료_미국심리'!$E$3:$E$4002,MATCH(A932,$P$19:$P$4018,0)),D931))</f>
        <v/>
      </c>
      <c r="E932" s="29">
        <f>IF(A932="","",IFERROR(INDEX('자료_미국심리'!$H$3:$H$4002,MATCH(A932,$Q$19:$Q$4018,0)),E931))</f>
        <v/>
      </c>
      <c r="F932">
        <f>IF(A932="",0,IF(A932&gt;$B$5,1,0))</f>
        <v/>
      </c>
      <c r="G932" s="29">
        <f>IF(AND(F932=1,ISNUMBER(D932)),D932,"")</f>
        <v/>
      </c>
      <c r="H932" s="29">
        <f>IF(AND(F932=1,ISNUMBER(E932)),E932,"")</f>
        <v/>
      </c>
      <c r="I932" s="22">
        <f>IF(AND(F932=1,ISNUMBER(C932)),C932,"")</f>
        <v/>
      </c>
      <c r="J932" s="11">
        <f>IF(G932="","",100-IF($G$13=1,50,(_xlfn.RANK.AVG(G932,$G$19:$G$1518,1)-1)/($G$13-1)*100))</f>
        <v/>
      </c>
      <c r="K932" s="11">
        <f>IF(H932="","",100-IF($G$14=1,50,(_xlfn.RANK.AVG(H932,$H$19:$H$1518,1)-1)/($G$14-1)*100))</f>
        <v/>
      </c>
      <c r="L932" s="11">
        <f>IF(I932="","",IF($G$15=1,50,(_xlfn.RANK.AVG(I932,$I$19:$I$1518,1)-1)/($G$15-1)*100))</f>
        <v/>
      </c>
      <c r="M932" s="11">
        <f>IF(COUNT(J932:L932)=3,ROUND(AVERAGE(J932:L932),6),"")</f>
        <v/>
      </c>
      <c r="O932">
        <f>IF(AND(ISNUMBER('자료_미국심리'!$A916),ISNUMBER('자료_미국심리'!$B916)),'자료_미국심리'!$A916,"")</f>
        <v/>
      </c>
      <c r="P932">
        <f>IF(AND(ISNUMBER('자료_미국심리'!$D916),ISNUMBER('자료_미국심리'!$E916)),'자료_미국심리'!$D916,"")</f>
        <v/>
      </c>
      <c r="Q932">
        <f>IF(AND(ISNUMBER('자료_미국심리'!$G916),ISNUMBER('자료_미국심리'!$H916)),'자료_미국심리'!$G916,"")</f>
        <v/>
      </c>
    </row>
    <row r="933">
      <c r="A933" s="10">
        <f>IF(915&gt;$E$5,"",SMALL($O$19:$O$4018,$E$6+915))</f>
        <v/>
      </c>
      <c r="B933" s="29">
        <f>IF(A933="","",INDEX('자료_미국심리'!$B$3:$B$4002,MATCH(A933,$O$19:$O$4018,0)))</f>
        <v/>
      </c>
      <c r="C933" s="22">
        <f>IF(A933="","",B933/AVERAGE(B809:B933)-1)</f>
        <v/>
      </c>
      <c r="D933" s="29">
        <f>IF(A933="","",IFERROR(INDEX('자료_미국심리'!$E$3:$E$4002,MATCH(A933,$P$19:$P$4018,0)),D932))</f>
        <v/>
      </c>
      <c r="E933" s="29">
        <f>IF(A933="","",IFERROR(INDEX('자료_미국심리'!$H$3:$H$4002,MATCH(A933,$Q$19:$Q$4018,0)),E932))</f>
        <v/>
      </c>
      <c r="F933">
        <f>IF(A933="",0,IF(A933&gt;$B$5,1,0))</f>
        <v/>
      </c>
      <c r="G933" s="29">
        <f>IF(AND(F933=1,ISNUMBER(D933)),D933,"")</f>
        <v/>
      </c>
      <c r="H933" s="29">
        <f>IF(AND(F933=1,ISNUMBER(E933)),E933,"")</f>
        <v/>
      </c>
      <c r="I933" s="22">
        <f>IF(AND(F933=1,ISNUMBER(C933)),C933,"")</f>
        <v/>
      </c>
      <c r="J933" s="11">
        <f>IF(G933="","",100-IF($G$13=1,50,(_xlfn.RANK.AVG(G933,$G$19:$G$1518,1)-1)/($G$13-1)*100))</f>
        <v/>
      </c>
      <c r="K933" s="11">
        <f>IF(H933="","",100-IF($G$14=1,50,(_xlfn.RANK.AVG(H933,$H$19:$H$1518,1)-1)/($G$14-1)*100))</f>
        <v/>
      </c>
      <c r="L933" s="11">
        <f>IF(I933="","",IF($G$15=1,50,(_xlfn.RANK.AVG(I933,$I$19:$I$1518,1)-1)/($G$15-1)*100))</f>
        <v/>
      </c>
      <c r="M933" s="11">
        <f>IF(COUNT(J933:L933)=3,ROUND(AVERAGE(J933:L933),6),"")</f>
        <v/>
      </c>
      <c r="O933">
        <f>IF(AND(ISNUMBER('자료_미국심리'!$A917),ISNUMBER('자료_미국심리'!$B917)),'자료_미국심리'!$A917,"")</f>
        <v/>
      </c>
      <c r="P933">
        <f>IF(AND(ISNUMBER('자료_미국심리'!$D917),ISNUMBER('자료_미국심리'!$E917)),'자료_미국심리'!$D917,"")</f>
        <v/>
      </c>
      <c r="Q933">
        <f>IF(AND(ISNUMBER('자료_미국심리'!$G917),ISNUMBER('자료_미국심리'!$H917)),'자료_미국심리'!$G917,"")</f>
        <v/>
      </c>
    </row>
    <row r="934">
      <c r="A934" s="10">
        <f>IF(916&gt;$E$5,"",SMALL($O$19:$O$4018,$E$6+916))</f>
        <v/>
      </c>
      <c r="B934" s="29">
        <f>IF(A934="","",INDEX('자료_미국심리'!$B$3:$B$4002,MATCH(A934,$O$19:$O$4018,0)))</f>
        <v/>
      </c>
      <c r="C934" s="22">
        <f>IF(A934="","",B934/AVERAGE(B810:B934)-1)</f>
        <v/>
      </c>
      <c r="D934" s="29">
        <f>IF(A934="","",IFERROR(INDEX('자료_미국심리'!$E$3:$E$4002,MATCH(A934,$P$19:$P$4018,0)),D933))</f>
        <v/>
      </c>
      <c r="E934" s="29">
        <f>IF(A934="","",IFERROR(INDEX('자료_미국심리'!$H$3:$H$4002,MATCH(A934,$Q$19:$Q$4018,0)),E933))</f>
        <v/>
      </c>
      <c r="F934">
        <f>IF(A934="",0,IF(A934&gt;$B$5,1,0))</f>
        <v/>
      </c>
      <c r="G934" s="29">
        <f>IF(AND(F934=1,ISNUMBER(D934)),D934,"")</f>
        <v/>
      </c>
      <c r="H934" s="29">
        <f>IF(AND(F934=1,ISNUMBER(E934)),E934,"")</f>
        <v/>
      </c>
      <c r="I934" s="22">
        <f>IF(AND(F934=1,ISNUMBER(C934)),C934,"")</f>
        <v/>
      </c>
      <c r="J934" s="11">
        <f>IF(G934="","",100-IF($G$13=1,50,(_xlfn.RANK.AVG(G934,$G$19:$G$1518,1)-1)/($G$13-1)*100))</f>
        <v/>
      </c>
      <c r="K934" s="11">
        <f>IF(H934="","",100-IF($G$14=1,50,(_xlfn.RANK.AVG(H934,$H$19:$H$1518,1)-1)/($G$14-1)*100))</f>
        <v/>
      </c>
      <c r="L934" s="11">
        <f>IF(I934="","",IF($G$15=1,50,(_xlfn.RANK.AVG(I934,$I$19:$I$1518,1)-1)/($G$15-1)*100))</f>
        <v/>
      </c>
      <c r="M934" s="11">
        <f>IF(COUNT(J934:L934)=3,ROUND(AVERAGE(J934:L934),6),"")</f>
        <v/>
      </c>
      <c r="O934">
        <f>IF(AND(ISNUMBER('자료_미국심리'!$A918),ISNUMBER('자료_미국심리'!$B918)),'자료_미국심리'!$A918,"")</f>
        <v/>
      </c>
      <c r="P934">
        <f>IF(AND(ISNUMBER('자료_미국심리'!$D918),ISNUMBER('자료_미국심리'!$E918)),'자료_미국심리'!$D918,"")</f>
        <v/>
      </c>
      <c r="Q934">
        <f>IF(AND(ISNUMBER('자료_미국심리'!$G918),ISNUMBER('자료_미국심리'!$H918)),'자료_미국심리'!$G918,"")</f>
        <v/>
      </c>
    </row>
    <row r="935">
      <c r="A935" s="10">
        <f>IF(917&gt;$E$5,"",SMALL($O$19:$O$4018,$E$6+917))</f>
        <v/>
      </c>
      <c r="B935" s="29">
        <f>IF(A935="","",INDEX('자료_미국심리'!$B$3:$B$4002,MATCH(A935,$O$19:$O$4018,0)))</f>
        <v/>
      </c>
      <c r="C935" s="22">
        <f>IF(A935="","",B935/AVERAGE(B811:B935)-1)</f>
        <v/>
      </c>
      <c r="D935" s="29">
        <f>IF(A935="","",IFERROR(INDEX('자료_미국심리'!$E$3:$E$4002,MATCH(A935,$P$19:$P$4018,0)),D934))</f>
        <v/>
      </c>
      <c r="E935" s="29">
        <f>IF(A935="","",IFERROR(INDEX('자료_미국심리'!$H$3:$H$4002,MATCH(A935,$Q$19:$Q$4018,0)),E934))</f>
        <v/>
      </c>
      <c r="F935">
        <f>IF(A935="",0,IF(A935&gt;$B$5,1,0))</f>
        <v/>
      </c>
      <c r="G935" s="29">
        <f>IF(AND(F935=1,ISNUMBER(D935)),D935,"")</f>
        <v/>
      </c>
      <c r="H935" s="29">
        <f>IF(AND(F935=1,ISNUMBER(E935)),E935,"")</f>
        <v/>
      </c>
      <c r="I935" s="22">
        <f>IF(AND(F935=1,ISNUMBER(C935)),C935,"")</f>
        <v/>
      </c>
      <c r="J935" s="11">
        <f>IF(G935="","",100-IF($G$13=1,50,(_xlfn.RANK.AVG(G935,$G$19:$G$1518,1)-1)/($G$13-1)*100))</f>
        <v/>
      </c>
      <c r="K935" s="11">
        <f>IF(H935="","",100-IF($G$14=1,50,(_xlfn.RANK.AVG(H935,$H$19:$H$1518,1)-1)/($G$14-1)*100))</f>
        <v/>
      </c>
      <c r="L935" s="11">
        <f>IF(I935="","",IF($G$15=1,50,(_xlfn.RANK.AVG(I935,$I$19:$I$1518,1)-1)/($G$15-1)*100))</f>
        <v/>
      </c>
      <c r="M935" s="11">
        <f>IF(COUNT(J935:L935)=3,ROUND(AVERAGE(J935:L935),6),"")</f>
        <v/>
      </c>
      <c r="O935">
        <f>IF(AND(ISNUMBER('자료_미국심리'!$A919),ISNUMBER('자료_미국심리'!$B919)),'자료_미국심리'!$A919,"")</f>
        <v/>
      </c>
      <c r="P935">
        <f>IF(AND(ISNUMBER('자료_미국심리'!$D919),ISNUMBER('자료_미국심리'!$E919)),'자료_미국심리'!$D919,"")</f>
        <v/>
      </c>
      <c r="Q935">
        <f>IF(AND(ISNUMBER('자료_미국심리'!$G919),ISNUMBER('자료_미국심리'!$H919)),'자료_미국심리'!$G919,"")</f>
        <v/>
      </c>
    </row>
    <row r="936">
      <c r="A936" s="10">
        <f>IF(918&gt;$E$5,"",SMALL($O$19:$O$4018,$E$6+918))</f>
        <v/>
      </c>
      <c r="B936" s="29">
        <f>IF(A936="","",INDEX('자료_미국심리'!$B$3:$B$4002,MATCH(A936,$O$19:$O$4018,0)))</f>
        <v/>
      </c>
      <c r="C936" s="22">
        <f>IF(A936="","",B936/AVERAGE(B812:B936)-1)</f>
        <v/>
      </c>
      <c r="D936" s="29">
        <f>IF(A936="","",IFERROR(INDEX('자료_미국심리'!$E$3:$E$4002,MATCH(A936,$P$19:$P$4018,0)),D935))</f>
        <v/>
      </c>
      <c r="E936" s="29">
        <f>IF(A936="","",IFERROR(INDEX('자료_미국심리'!$H$3:$H$4002,MATCH(A936,$Q$19:$Q$4018,0)),E935))</f>
        <v/>
      </c>
      <c r="F936">
        <f>IF(A936="",0,IF(A936&gt;$B$5,1,0))</f>
        <v/>
      </c>
      <c r="G936" s="29">
        <f>IF(AND(F936=1,ISNUMBER(D936)),D936,"")</f>
        <v/>
      </c>
      <c r="H936" s="29">
        <f>IF(AND(F936=1,ISNUMBER(E936)),E936,"")</f>
        <v/>
      </c>
      <c r="I936" s="22">
        <f>IF(AND(F936=1,ISNUMBER(C936)),C936,"")</f>
        <v/>
      </c>
      <c r="J936" s="11">
        <f>IF(G936="","",100-IF($G$13=1,50,(_xlfn.RANK.AVG(G936,$G$19:$G$1518,1)-1)/($G$13-1)*100))</f>
        <v/>
      </c>
      <c r="K936" s="11">
        <f>IF(H936="","",100-IF($G$14=1,50,(_xlfn.RANK.AVG(H936,$H$19:$H$1518,1)-1)/($G$14-1)*100))</f>
        <v/>
      </c>
      <c r="L936" s="11">
        <f>IF(I936="","",IF($G$15=1,50,(_xlfn.RANK.AVG(I936,$I$19:$I$1518,1)-1)/($G$15-1)*100))</f>
        <v/>
      </c>
      <c r="M936" s="11">
        <f>IF(COUNT(J936:L936)=3,ROUND(AVERAGE(J936:L936),6),"")</f>
        <v/>
      </c>
      <c r="O936">
        <f>IF(AND(ISNUMBER('자료_미국심리'!$A920),ISNUMBER('자료_미국심리'!$B920)),'자료_미국심리'!$A920,"")</f>
        <v/>
      </c>
      <c r="P936">
        <f>IF(AND(ISNUMBER('자료_미국심리'!$D920),ISNUMBER('자료_미국심리'!$E920)),'자료_미국심리'!$D920,"")</f>
        <v/>
      </c>
      <c r="Q936">
        <f>IF(AND(ISNUMBER('자료_미국심리'!$G920),ISNUMBER('자료_미국심리'!$H920)),'자료_미국심리'!$G920,"")</f>
        <v/>
      </c>
    </row>
    <row r="937">
      <c r="A937" s="10">
        <f>IF(919&gt;$E$5,"",SMALL($O$19:$O$4018,$E$6+919))</f>
        <v/>
      </c>
      <c r="B937" s="29">
        <f>IF(A937="","",INDEX('자료_미국심리'!$B$3:$B$4002,MATCH(A937,$O$19:$O$4018,0)))</f>
        <v/>
      </c>
      <c r="C937" s="22">
        <f>IF(A937="","",B937/AVERAGE(B813:B937)-1)</f>
        <v/>
      </c>
      <c r="D937" s="29">
        <f>IF(A937="","",IFERROR(INDEX('자료_미국심리'!$E$3:$E$4002,MATCH(A937,$P$19:$P$4018,0)),D936))</f>
        <v/>
      </c>
      <c r="E937" s="29">
        <f>IF(A937="","",IFERROR(INDEX('자료_미국심리'!$H$3:$H$4002,MATCH(A937,$Q$19:$Q$4018,0)),E936))</f>
        <v/>
      </c>
      <c r="F937">
        <f>IF(A937="",0,IF(A937&gt;$B$5,1,0))</f>
        <v/>
      </c>
      <c r="G937" s="29">
        <f>IF(AND(F937=1,ISNUMBER(D937)),D937,"")</f>
        <v/>
      </c>
      <c r="H937" s="29">
        <f>IF(AND(F937=1,ISNUMBER(E937)),E937,"")</f>
        <v/>
      </c>
      <c r="I937" s="22">
        <f>IF(AND(F937=1,ISNUMBER(C937)),C937,"")</f>
        <v/>
      </c>
      <c r="J937" s="11">
        <f>IF(G937="","",100-IF($G$13=1,50,(_xlfn.RANK.AVG(G937,$G$19:$G$1518,1)-1)/($G$13-1)*100))</f>
        <v/>
      </c>
      <c r="K937" s="11">
        <f>IF(H937="","",100-IF($G$14=1,50,(_xlfn.RANK.AVG(H937,$H$19:$H$1518,1)-1)/($G$14-1)*100))</f>
        <v/>
      </c>
      <c r="L937" s="11">
        <f>IF(I937="","",IF($G$15=1,50,(_xlfn.RANK.AVG(I937,$I$19:$I$1518,1)-1)/($G$15-1)*100))</f>
        <v/>
      </c>
      <c r="M937" s="11">
        <f>IF(COUNT(J937:L937)=3,ROUND(AVERAGE(J937:L937),6),"")</f>
        <v/>
      </c>
      <c r="O937">
        <f>IF(AND(ISNUMBER('자료_미국심리'!$A921),ISNUMBER('자료_미국심리'!$B921)),'자료_미국심리'!$A921,"")</f>
        <v/>
      </c>
      <c r="P937">
        <f>IF(AND(ISNUMBER('자료_미국심리'!$D921),ISNUMBER('자료_미국심리'!$E921)),'자료_미국심리'!$D921,"")</f>
        <v/>
      </c>
      <c r="Q937">
        <f>IF(AND(ISNUMBER('자료_미국심리'!$G921),ISNUMBER('자료_미국심리'!$H921)),'자료_미국심리'!$G921,"")</f>
        <v/>
      </c>
    </row>
    <row r="938">
      <c r="A938" s="10">
        <f>IF(920&gt;$E$5,"",SMALL($O$19:$O$4018,$E$6+920))</f>
        <v/>
      </c>
      <c r="B938" s="29">
        <f>IF(A938="","",INDEX('자료_미국심리'!$B$3:$B$4002,MATCH(A938,$O$19:$O$4018,0)))</f>
        <v/>
      </c>
      <c r="C938" s="22">
        <f>IF(A938="","",B938/AVERAGE(B814:B938)-1)</f>
        <v/>
      </c>
      <c r="D938" s="29">
        <f>IF(A938="","",IFERROR(INDEX('자료_미국심리'!$E$3:$E$4002,MATCH(A938,$P$19:$P$4018,0)),D937))</f>
        <v/>
      </c>
      <c r="E938" s="29">
        <f>IF(A938="","",IFERROR(INDEX('자료_미국심리'!$H$3:$H$4002,MATCH(A938,$Q$19:$Q$4018,0)),E937))</f>
        <v/>
      </c>
      <c r="F938">
        <f>IF(A938="",0,IF(A938&gt;$B$5,1,0))</f>
        <v/>
      </c>
      <c r="G938" s="29">
        <f>IF(AND(F938=1,ISNUMBER(D938)),D938,"")</f>
        <v/>
      </c>
      <c r="H938" s="29">
        <f>IF(AND(F938=1,ISNUMBER(E938)),E938,"")</f>
        <v/>
      </c>
      <c r="I938" s="22">
        <f>IF(AND(F938=1,ISNUMBER(C938)),C938,"")</f>
        <v/>
      </c>
      <c r="J938" s="11">
        <f>IF(G938="","",100-IF($G$13=1,50,(_xlfn.RANK.AVG(G938,$G$19:$G$1518,1)-1)/($G$13-1)*100))</f>
        <v/>
      </c>
      <c r="K938" s="11">
        <f>IF(H938="","",100-IF($G$14=1,50,(_xlfn.RANK.AVG(H938,$H$19:$H$1518,1)-1)/($G$14-1)*100))</f>
        <v/>
      </c>
      <c r="L938" s="11">
        <f>IF(I938="","",IF($G$15=1,50,(_xlfn.RANK.AVG(I938,$I$19:$I$1518,1)-1)/($G$15-1)*100))</f>
        <v/>
      </c>
      <c r="M938" s="11">
        <f>IF(COUNT(J938:L938)=3,ROUND(AVERAGE(J938:L938),6),"")</f>
        <v/>
      </c>
      <c r="O938">
        <f>IF(AND(ISNUMBER('자료_미국심리'!$A922),ISNUMBER('자료_미국심리'!$B922)),'자료_미국심리'!$A922,"")</f>
        <v/>
      </c>
      <c r="P938">
        <f>IF(AND(ISNUMBER('자료_미국심리'!$D922),ISNUMBER('자료_미국심리'!$E922)),'자료_미국심리'!$D922,"")</f>
        <v/>
      </c>
      <c r="Q938">
        <f>IF(AND(ISNUMBER('자료_미국심리'!$G922),ISNUMBER('자료_미국심리'!$H922)),'자료_미국심리'!$G922,"")</f>
        <v/>
      </c>
    </row>
    <row r="939">
      <c r="A939" s="10">
        <f>IF(921&gt;$E$5,"",SMALL($O$19:$O$4018,$E$6+921))</f>
        <v/>
      </c>
      <c r="B939" s="29">
        <f>IF(A939="","",INDEX('자료_미국심리'!$B$3:$B$4002,MATCH(A939,$O$19:$O$4018,0)))</f>
        <v/>
      </c>
      <c r="C939" s="22">
        <f>IF(A939="","",B939/AVERAGE(B815:B939)-1)</f>
        <v/>
      </c>
      <c r="D939" s="29">
        <f>IF(A939="","",IFERROR(INDEX('자료_미국심리'!$E$3:$E$4002,MATCH(A939,$P$19:$P$4018,0)),D938))</f>
        <v/>
      </c>
      <c r="E939" s="29">
        <f>IF(A939="","",IFERROR(INDEX('자료_미국심리'!$H$3:$H$4002,MATCH(A939,$Q$19:$Q$4018,0)),E938))</f>
        <v/>
      </c>
      <c r="F939">
        <f>IF(A939="",0,IF(A939&gt;$B$5,1,0))</f>
        <v/>
      </c>
      <c r="G939" s="29">
        <f>IF(AND(F939=1,ISNUMBER(D939)),D939,"")</f>
        <v/>
      </c>
      <c r="H939" s="29">
        <f>IF(AND(F939=1,ISNUMBER(E939)),E939,"")</f>
        <v/>
      </c>
      <c r="I939" s="22">
        <f>IF(AND(F939=1,ISNUMBER(C939)),C939,"")</f>
        <v/>
      </c>
      <c r="J939" s="11">
        <f>IF(G939="","",100-IF($G$13=1,50,(_xlfn.RANK.AVG(G939,$G$19:$G$1518,1)-1)/($G$13-1)*100))</f>
        <v/>
      </c>
      <c r="K939" s="11">
        <f>IF(H939="","",100-IF($G$14=1,50,(_xlfn.RANK.AVG(H939,$H$19:$H$1518,1)-1)/($G$14-1)*100))</f>
        <v/>
      </c>
      <c r="L939" s="11">
        <f>IF(I939="","",IF($G$15=1,50,(_xlfn.RANK.AVG(I939,$I$19:$I$1518,1)-1)/($G$15-1)*100))</f>
        <v/>
      </c>
      <c r="M939" s="11">
        <f>IF(COUNT(J939:L939)=3,ROUND(AVERAGE(J939:L939),6),"")</f>
        <v/>
      </c>
      <c r="O939">
        <f>IF(AND(ISNUMBER('자료_미국심리'!$A923),ISNUMBER('자료_미국심리'!$B923)),'자료_미국심리'!$A923,"")</f>
        <v/>
      </c>
      <c r="P939">
        <f>IF(AND(ISNUMBER('자료_미국심리'!$D923),ISNUMBER('자료_미국심리'!$E923)),'자료_미국심리'!$D923,"")</f>
        <v/>
      </c>
      <c r="Q939">
        <f>IF(AND(ISNUMBER('자료_미국심리'!$G923),ISNUMBER('자료_미국심리'!$H923)),'자료_미국심리'!$G923,"")</f>
        <v/>
      </c>
    </row>
    <row r="940">
      <c r="A940" s="10">
        <f>IF(922&gt;$E$5,"",SMALL($O$19:$O$4018,$E$6+922))</f>
        <v/>
      </c>
      <c r="B940" s="29">
        <f>IF(A940="","",INDEX('자료_미국심리'!$B$3:$B$4002,MATCH(A940,$O$19:$O$4018,0)))</f>
        <v/>
      </c>
      <c r="C940" s="22">
        <f>IF(A940="","",B940/AVERAGE(B816:B940)-1)</f>
        <v/>
      </c>
      <c r="D940" s="29">
        <f>IF(A940="","",IFERROR(INDEX('자료_미국심리'!$E$3:$E$4002,MATCH(A940,$P$19:$P$4018,0)),D939))</f>
        <v/>
      </c>
      <c r="E940" s="29">
        <f>IF(A940="","",IFERROR(INDEX('자료_미국심리'!$H$3:$H$4002,MATCH(A940,$Q$19:$Q$4018,0)),E939))</f>
        <v/>
      </c>
      <c r="F940">
        <f>IF(A940="",0,IF(A940&gt;$B$5,1,0))</f>
        <v/>
      </c>
      <c r="G940" s="29">
        <f>IF(AND(F940=1,ISNUMBER(D940)),D940,"")</f>
        <v/>
      </c>
      <c r="H940" s="29">
        <f>IF(AND(F940=1,ISNUMBER(E940)),E940,"")</f>
        <v/>
      </c>
      <c r="I940" s="22">
        <f>IF(AND(F940=1,ISNUMBER(C940)),C940,"")</f>
        <v/>
      </c>
      <c r="J940" s="11">
        <f>IF(G940="","",100-IF($G$13=1,50,(_xlfn.RANK.AVG(G940,$G$19:$G$1518,1)-1)/($G$13-1)*100))</f>
        <v/>
      </c>
      <c r="K940" s="11">
        <f>IF(H940="","",100-IF($G$14=1,50,(_xlfn.RANK.AVG(H940,$H$19:$H$1518,1)-1)/($G$14-1)*100))</f>
        <v/>
      </c>
      <c r="L940" s="11">
        <f>IF(I940="","",IF($G$15=1,50,(_xlfn.RANK.AVG(I940,$I$19:$I$1518,1)-1)/($G$15-1)*100))</f>
        <v/>
      </c>
      <c r="M940" s="11">
        <f>IF(COUNT(J940:L940)=3,ROUND(AVERAGE(J940:L940),6),"")</f>
        <v/>
      </c>
      <c r="O940">
        <f>IF(AND(ISNUMBER('자료_미국심리'!$A924),ISNUMBER('자료_미국심리'!$B924)),'자료_미국심리'!$A924,"")</f>
        <v/>
      </c>
      <c r="P940">
        <f>IF(AND(ISNUMBER('자료_미국심리'!$D924),ISNUMBER('자료_미국심리'!$E924)),'자료_미국심리'!$D924,"")</f>
        <v/>
      </c>
      <c r="Q940">
        <f>IF(AND(ISNUMBER('자료_미국심리'!$G924),ISNUMBER('자료_미국심리'!$H924)),'자료_미국심리'!$G924,"")</f>
        <v/>
      </c>
    </row>
    <row r="941">
      <c r="A941" s="10">
        <f>IF(923&gt;$E$5,"",SMALL($O$19:$O$4018,$E$6+923))</f>
        <v/>
      </c>
      <c r="B941" s="29">
        <f>IF(A941="","",INDEX('자료_미국심리'!$B$3:$B$4002,MATCH(A941,$O$19:$O$4018,0)))</f>
        <v/>
      </c>
      <c r="C941" s="22">
        <f>IF(A941="","",B941/AVERAGE(B817:B941)-1)</f>
        <v/>
      </c>
      <c r="D941" s="29">
        <f>IF(A941="","",IFERROR(INDEX('자료_미국심리'!$E$3:$E$4002,MATCH(A941,$P$19:$P$4018,0)),D940))</f>
        <v/>
      </c>
      <c r="E941" s="29">
        <f>IF(A941="","",IFERROR(INDEX('자료_미국심리'!$H$3:$H$4002,MATCH(A941,$Q$19:$Q$4018,0)),E940))</f>
        <v/>
      </c>
      <c r="F941">
        <f>IF(A941="",0,IF(A941&gt;$B$5,1,0))</f>
        <v/>
      </c>
      <c r="G941" s="29">
        <f>IF(AND(F941=1,ISNUMBER(D941)),D941,"")</f>
        <v/>
      </c>
      <c r="H941" s="29">
        <f>IF(AND(F941=1,ISNUMBER(E941)),E941,"")</f>
        <v/>
      </c>
      <c r="I941" s="22">
        <f>IF(AND(F941=1,ISNUMBER(C941)),C941,"")</f>
        <v/>
      </c>
      <c r="J941" s="11">
        <f>IF(G941="","",100-IF($G$13=1,50,(_xlfn.RANK.AVG(G941,$G$19:$G$1518,1)-1)/($G$13-1)*100))</f>
        <v/>
      </c>
      <c r="K941" s="11">
        <f>IF(H941="","",100-IF($G$14=1,50,(_xlfn.RANK.AVG(H941,$H$19:$H$1518,1)-1)/($G$14-1)*100))</f>
        <v/>
      </c>
      <c r="L941" s="11">
        <f>IF(I941="","",IF($G$15=1,50,(_xlfn.RANK.AVG(I941,$I$19:$I$1518,1)-1)/($G$15-1)*100))</f>
        <v/>
      </c>
      <c r="M941" s="11">
        <f>IF(COUNT(J941:L941)=3,ROUND(AVERAGE(J941:L941),6),"")</f>
        <v/>
      </c>
      <c r="O941">
        <f>IF(AND(ISNUMBER('자료_미국심리'!$A925),ISNUMBER('자료_미국심리'!$B925)),'자료_미국심리'!$A925,"")</f>
        <v/>
      </c>
      <c r="P941">
        <f>IF(AND(ISNUMBER('자료_미국심리'!$D925),ISNUMBER('자료_미국심리'!$E925)),'자료_미국심리'!$D925,"")</f>
        <v/>
      </c>
      <c r="Q941">
        <f>IF(AND(ISNUMBER('자료_미국심리'!$G925),ISNUMBER('자료_미국심리'!$H925)),'자료_미국심리'!$G925,"")</f>
        <v/>
      </c>
    </row>
    <row r="942">
      <c r="A942" s="10">
        <f>IF(924&gt;$E$5,"",SMALL($O$19:$O$4018,$E$6+924))</f>
        <v/>
      </c>
      <c r="B942" s="29">
        <f>IF(A942="","",INDEX('자료_미국심리'!$B$3:$B$4002,MATCH(A942,$O$19:$O$4018,0)))</f>
        <v/>
      </c>
      <c r="C942" s="22">
        <f>IF(A942="","",B942/AVERAGE(B818:B942)-1)</f>
        <v/>
      </c>
      <c r="D942" s="29">
        <f>IF(A942="","",IFERROR(INDEX('자료_미국심리'!$E$3:$E$4002,MATCH(A942,$P$19:$P$4018,0)),D941))</f>
        <v/>
      </c>
      <c r="E942" s="29">
        <f>IF(A942="","",IFERROR(INDEX('자료_미국심리'!$H$3:$H$4002,MATCH(A942,$Q$19:$Q$4018,0)),E941))</f>
        <v/>
      </c>
      <c r="F942">
        <f>IF(A942="",0,IF(A942&gt;$B$5,1,0))</f>
        <v/>
      </c>
      <c r="G942" s="29">
        <f>IF(AND(F942=1,ISNUMBER(D942)),D942,"")</f>
        <v/>
      </c>
      <c r="H942" s="29">
        <f>IF(AND(F942=1,ISNUMBER(E942)),E942,"")</f>
        <v/>
      </c>
      <c r="I942" s="22">
        <f>IF(AND(F942=1,ISNUMBER(C942)),C942,"")</f>
        <v/>
      </c>
      <c r="J942" s="11">
        <f>IF(G942="","",100-IF($G$13=1,50,(_xlfn.RANK.AVG(G942,$G$19:$G$1518,1)-1)/($G$13-1)*100))</f>
        <v/>
      </c>
      <c r="K942" s="11">
        <f>IF(H942="","",100-IF($G$14=1,50,(_xlfn.RANK.AVG(H942,$H$19:$H$1518,1)-1)/($G$14-1)*100))</f>
        <v/>
      </c>
      <c r="L942" s="11">
        <f>IF(I942="","",IF($G$15=1,50,(_xlfn.RANK.AVG(I942,$I$19:$I$1518,1)-1)/($G$15-1)*100))</f>
        <v/>
      </c>
      <c r="M942" s="11">
        <f>IF(COUNT(J942:L942)=3,ROUND(AVERAGE(J942:L942),6),"")</f>
        <v/>
      </c>
      <c r="O942">
        <f>IF(AND(ISNUMBER('자료_미국심리'!$A926),ISNUMBER('자료_미국심리'!$B926)),'자료_미국심리'!$A926,"")</f>
        <v/>
      </c>
      <c r="P942">
        <f>IF(AND(ISNUMBER('자료_미국심리'!$D926),ISNUMBER('자료_미국심리'!$E926)),'자료_미국심리'!$D926,"")</f>
        <v/>
      </c>
      <c r="Q942">
        <f>IF(AND(ISNUMBER('자료_미국심리'!$G926),ISNUMBER('자료_미국심리'!$H926)),'자료_미국심리'!$G926,"")</f>
        <v/>
      </c>
    </row>
    <row r="943">
      <c r="A943" s="10">
        <f>IF(925&gt;$E$5,"",SMALL($O$19:$O$4018,$E$6+925))</f>
        <v/>
      </c>
      <c r="B943" s="29">
        <f>IF(A943="","",INDEX('자료_미국심리'!$B$3:$B$4002,MATCH(A943,$O$19:$O$4018,0)))</f>
        <v/>
      </c>
      <c r="C943" s="22">
        <f>IF(A943="","",B943/AVERAGE(B819:B943)-1)</f>
        <v/>
      </c>
      <c r="D943" s="29">
        <f>IF(A943="","",IFERROR(INDEX('자료_미국심리'!$E$3:$E$4002,MATCH(A943,$P$19:$P$4018,0)),D942))</f>
        <v/>
      </c>
      <c r="E943" s="29">
        <f>IF(A943="","",IFERROR(INDEX('자료_미국심리'!$H$3:$H$4002,MATCH(A943,$Q$19:$Q$4018,0)),E942))</f>
        <v/>
      </c>
      <c r="F943">
        <f>IF(A943="",0,IF(A943&gt;$B$5,1,0))</f>
        <v/>
      </c>
      <c r="G943" s="29">
        <f>IF(AND(F943=1,ISNUMBER(D943)),D943,"")</f>
        <v/>
      </c>
      <c r="H943" s="29">
        <f>IF(AND(F943=1,ISNUMBER(E943)),E943,"")</f>
        <v/>
      </c>
      <c r="I943" s="22">
        <f>IF(AND(F943=1,ISNUMBER(C943)),C943,"")</f>
        <v/>
      </c>
      <c r="J943" s="11">
        <f>IF(G943="","",100-IF($G$13=1,50,(_xlfn.RANK.AVG(G943,$G$19:$G$1518,1)-1)/($G$13-1)*100))</f>
        <v/>
      </c>
      <c r="K943" s="11">
        <f>IF(H943="","",100-IF($G$14=1,50,(_xlfn.RANK.AVG(H943,$H$19:$H$1518,1)-1)/($G$14-1)*100))</f>
        <v/>
      </c>
      <c r="L943" s="11">
        <f>IF(I943="","",IF($G$15=1,50,(_xlfn.RANK.AVG(I943,$I$19:$I$1518,1)-1)/($G$15-1)*100))</f>
        <v/>
      </c>
      <c r="M943" s="11">
        <f>IF(COUNT(J943:L943)=3,ROUND(AVERAGE(J943:L943),6),"")</f>
        <v/>
      </c>
      <c r="O943">
        <f>IF(AND(ISNUMBER('자료_미국심리'!$A927),ISNUMBER('자료_미국심리'!$B927)),'자료_미국심리'!$A927,"")</f>
        <v/>
      </c>
      <c r="P943">
        <f>IF(AND(ISNUMBER('자료_미국심리'!$D927),ISNUMBER('자료_미국심리'!$E927)),'자료_미국심리'!$D927,"")</f>
        <v/>
      </c>
      <c r="Q943">
        <f>IF(AND(ISNUMBER('자료_미국심리'!$G927),ISNUMBER('자료_미국심리'!$H927)),'자료_미국심리'!$G927,"")</f>
        <v/>
      </c>
    </row>
    <row r="944">
      <c r="A944" s="10">
        <f>IF(926&gt;$E$5,"",SMALL($O$19:$O$4018,$E$6+926))</f>
        <v/>
      </c>
      <c r="B944" s="29">
        <f>IF(A944="","",INDEX('자료_미국심리'!$B$3:$B$4002,MATCH(A944,$O$19:$O$4018,0)))</f>
        <v/>
      </c>
      <c r="C944" s="22">
        <f>IF(A944="","",B944/AVERAGE(B820:B944)-1)</f>
        <v/>
      </c>
      <c r="D944" s="29">
        <f>IF(A944="","",IFERROR(INDEX('자료_미국심리'!$E$3:$E$4002,MATCH(A944,$P$19:$P$4018,0)),D943))</f>
        <v/>
      </c>
      <c r="E944" s="29">
        <f>IF(A944="","",IFERROR(INDEX('자료_미국심리'!$H$3:$H$4002,MATCH(A944,$Q$19:$Q$4018,0)),E943))</f>
        <v/>
      </c>
      <c r="F944">
        <f>IF(A944="",0,IF(A944&gt;$B$5,1,0))</f>
        <v/>
      </c>
      <c r="G944" s="29">
        <f>IF(AND(F944=1,ISNUMBER(D944)),D944,"")</f>
        <v/>
      </c>
      <c r="H944" s="29">
        <f>IF(AND(F944=1,ISNUMBER(E944)),E944,"")</f>
        <v/>
      </c>
      <c r="I944" s="22">
        <f>IF(AND(F944=1,ISNUMBER(C944)),C944,"")</f>
        <v/>
      </c>
      <c r="J944" s="11">
        <f>IF(G944="","",100-IF($G$13=1,50,(_xlfn.RANK.AVG(G944,$G$19:$G$1518,1)-1)/($G$13-1)*100))</f>
        <v/>
      </c>
      <c r="K944" s="11">
        <f>IF(H944="","",100-IF($G$14=1,50,(_xlfn.RANK.AVG(H944,$H$19:$H$1518,1)-1)/($G$14-1)*100))</f>
        <v/>
      </c>
      <c r="L944" s="11">
        <f>IF(I944="","",IF($G$15=1,50,(_xlfn.RANK.AVG(I944,$I$19:$I$1518,1)-1)/($G$15-1)*100))</f>
        <v/>
      </c>
      <c r="M944" s="11">
        <f>IF(COUNT(J944:L944)=3,ROUND(AVERAGE(J944:L944),6),"")</f>
        <v/>
      </c>
      <c r="O944">
        <f>IF(AND(ISNUMBER('자료_미국심리'!$A928),ISNUMBER('자료_미국심리'!$B928)),'자료_미국심리'!$A928,"")</f>
        <v/>
      </c>
      <c r="P944">
        <f>IF(AND(ISNUMBER('자료_미국심리'!$D928),ISNUMBER('자료_미국심리'!$E928)),'자료_미국심리'!$D928,"")</f>
        <v/>
      </c>
      <c r="Q944">
        <f>IF(AND(ISNUMBER('자료_미국심리'!$G928),ISNUMBER('자료_미국심리'!$H928)),'자료_미국심리'!$G928,"")</f>
        <v/>
      </c>
    </row>
    <row r="945">
      <c r="A945" s="10">
        <f>IF(927&gt;$E$5,"",SMALL($O$19:$O$4018,$E$6+927))</f>
        <v/>
      </c>
      <c r="B945" s="29">
        <f>IF(A945="","",INDEX('자료_미국심리'!$B$3:$B$4002,MATCH(A945,$O$19:$O$4018,0)))</f>
        <v/>
      </c>
      <c r="C945" s="22">
        <f>IF(A945="","",B945/AVERAGE(B821:B945)-1)</f>
        <v/>
      </c>
      <c r="D945" s="29">
        <f>IF(A945="","",IFERROR(INDEX('자료_미국심리'!$E$3:$E$4002,MATCH(A945,$P$19:$P$4018,0)),D944))</f>
        <v/>
      </c>
      <c r="E945" s="29">
        <f>IF(A945="","",IFERROR(INDEX('자료_미국심리'!$H$3:$H$4002,MATCH(A945,$Q$19:$Q$4018,0)),E944))</f>
        <v/>
      </c>
      <c r="F945">
        <f>IF(A945="",0,IF(A945&gt;$B$5,1,0))</f>
        <v/>
      </c>
      <c r="G945" s="29">
        <f>IF(AND(F945=1,ISNUMBER(D945)),D945,"")</f>
        <v/>
      </c>
      <c r="H945" s="29">
        <f>IF(AND(F945=1,ISNUMBER(E945)),E945,"")</f>
        <v/>
      </c>
      <c r="I945" s="22">
        <f>IF(AND(F945=1,ISNUMBER(C945)),C945,"")</f>
        <v/>
      </c>
      <c r="J945" s="11">
        <f>IF(G945="","",100-IF($G$13=1,50,(_xlfn.RANK.AVG(G945,$G$19:$G$1518,1)-1)/($G$13-1)*100))</f>
        <v/>
      </c>
      <c r="K945" s="11">
        <f>IF(H945="","",100-IF($G$14=1,50,(_xlfn.RANK.AVG(H945,$H$19:$H$1518,1)-1)/($G$14-1)*100))</f>
        <v/>
      </c>
      <c r="L945" s="11">
        <f>IF(I945="","",IF($G$15=1,50,(_xlfn.RANK.AVG(I945,$I$19:$I$1518,1)-1)/($G$15-1)*100))</f>
        <v/>
      </c>
      <c r="M945" s="11">
        <f>IF(COUNT(J945:L945)=3,ROUND(AVERAGE(J945:L945),6),"")</f>
        <v/>
      </c>
      <c r="O945">
        <f>IF(AND(ISNUMBER('자료_미국심리'!$A929),ISNUMBER('자료_미국심리'!$B929)),'자료_미국심리'!$A929,"")</f>
        <v/>
      </c>
      <c r="P945">
        <f>IF(AND(ISNUMBER('자료_미국심리'!$D929),ISNUMBER('자료_미국심리'!$E929)),'자료_미국심리'!$D929,"")</f>
        <v/>
      </c>
      <c r="Q945">
        <f>IF(AND(ISNUMBER('자료_미국심리'!$G929),ISNUMBER('자료_미국심리'!$H929)),'자료_미국심리'!$G929,"")</f>
        <v/>
      </c>
    </row>
    <row r="946">
      <c r="A946" s="10">
        <f>IF(928&gt;$E$5,"",SMALL($O$19:$O$4018,$E$6+928))</f>
        <v/>
      </c>
      <c r="B946" s="29">
        <f>IF(A946="","",INDEX('자료_미국심리'!$B$3:$B$4002,MATCH(A946,$O$19:$O$4018,0)))</f>
        <v/>
      </c>
      <c r="C946" s="22">
        <f>IF(A946="","",B946/AVERAGE(B822:B946)-1)</f>
        <v/>
      </c>
      <c r="D946" s="29">
        <f>IF(A946="","",IFERROR(INDEX('자료_미국심리'!$E$3:$E$4002,MATCH(A946,$P$19:$P$4018,0)),D945))</f>
        <v/>
      </c>
      <c r="E946" s="29">
        <f>IF(A946="","",IFERROR(INDEX('자료_미국심리'!$H$3:$H$4002,MATCH(A946,$Q$19:$Q$4018,0)),E945))</f>
        <v/>
      </c>
      <c r="F946">
        <f>IF(A946="",0,IF(A946&gt;$B$5,1,0))</f>
        <v/>
      </c>
      <c r="G946" s="29">
        <f>IF(AND(F946=1,ISNUMBER(D946)),D946,"")</f>
        <v/>
      </c>
      <c r="H946" s="29">
        <f>IF(AND(F946=1,ISNUMBER(E946)),E946,"")</f>
        <v/>
      </c>
      <c r="I946" s="22">
        <f>IF(AND(F946=1,ISNUMBER(C946)),C946,"")</f>
        <v/>
      </c>
      <c r="J946" s="11">
        <f>IF(G946="","",100-IF($G$13=1,50,(_xlfn.RANK.AVG(G946,$G$19:$G$1518,1)-1)/($G$13-1)*100))</f>
        <v/>
      </c>
      <c r="K946" s="11">
        <f>IF(H946="","",100-IF($G$14=1,50,(_xlfn.RANK.AVG(H946,$H$19:$H$1518,1)-1)/($G$14-1)*100))</f>
        <v/>
      </c>
      <c r="L946" s="11">
        <f>IF(I946="","",IF($G$15=1,50,(_xlfn.RANK.AVG(I946,$I$19:$I$1518,1)-1)/($G$15-1)*100))</f>
        <v/>
      </c>
      <c r="M946" s="11">
        <f>IF(COUNT(J946:L946)=3,ROUND(AVERAGE(J946:L946),6),"")</f>
        <v/>
      </c>
      <c r="O946">
        <f>IF(AND(ISNUMBER('자료_미국심리'!$A930),ISNUMBER('자료_미국심리'!$B930)),'자료_미국심리'!$A930,"")</f>
        <v/>
      </c>
      <c r="P946">
        <f>IF(AND(ISNUMBER('자료_미국심리'!$D930),ISNUMBER('자료_미국심리'!$E930)),'자료_미국심리'!$D930,"")</f>
        <v/>
      </c>
      <c r="Q946">
        <f>IF(AND(ISNUMBER('자료_미국심리'!$G930),ISNUMBER('자료_미국심리'!$H930)),'자료_미국심리'!$G930,"")</f>
        <v/>
      </c>
    </row>
    <row r="947">
      <c r="A947" s="10">
        <f>IF(929&gt;$E$5,"",SMALL($O$19:$O$4018,$E$6+929))</f>
        <v/>
      </c>
      <c r="B947" s="29">
        <f>IF(A947="","",INDEX('자료_미국심리'!$B$3:$B$4002,MATCH(A947,$O$19:$O$4018,0)))</f>
        <v/>
      </c>
      <c r="C947" s="22">
        <f>IF(A947="","",B947/AVERAGE(B823:B947)-1)</f>
        <v/>
      </c>
      <c r="D947" s="29">
        <f>IF(A947="","",IFERROR(INDEX('자료_미국심리'!$E$3:$E$4002,MATCH(A947,$P$19:$P$4018,0)),D946))</f>
        <v/>
      </c>
      <c r="E947" s="29">
        <f>IF(A947="","",IFERROR(INDEX('자료_미국심리'!$H$3:$H$4002,MATCH(A947,$Q$19:$Q$4018,0)),E946))</f>
        <v/>
      </c>
      <c r="F947">
        <f>IF(A947="",0,IF(A947&gt;$B$5,1,0))</f>
        <v/>
      </c>
      <c r="G947" s="29">
        <f>IF(AND(F947=1,ISNUMBER(D947)),D947,"")</f>
        <v/>
      </c>
      <c r="H947" s="29">
        <f>IF(AND(F947=1,ISNUMBER(E947)),E947,"")</f>
        <v/>
      </c>
      <c r="I947" s="22">
        <f>IF(AND(F947=1,ISNUMBER(C947)),C947,"")</f>
        <v/>
      </c>
      <c r="J947" s="11">
        <f>IF(G947="","",100-IF($G$13=1,50,(_xlfn.RANK.AVG(G947,$G$19:$G$1518,1)-1)/($G$13-1)*100))</f>
        <v/>
      </c>
      <c r="K947" s="11">
        <f>IF(H947="","",100-IF($G$14=1,50,(_xlfn.RANK.AVG(H947,$H$19:$H$1518,1)-1)/($G$14-1)*100))</f>
        <v/>
      </c>
      <c r="L947" s="11">
        <f>IF(I947="","",IF($G$15=1,50,(_xlfn.RANK.AVG(I947,$I$19:$I$1518,1)-1)/($G$15-1)*100))</f>
        <v/>
      </c>
      <c r="M947" s="11">
        <f>IF(COUNT(J947:L947)=3,ROUND(AVERAGE(J947:L947),6),"")</f>
        <v/>
      </c>
      <c r="O947">
        <f>IF(AND(ISNUMBER('자료_미국심리'!$A931),ISNUMBER('자료_미국심리'!$B931)),'자료_미국심리'!$A931,"")</f>
        <v/>
      </c>
      <c r="P947">
        <f>IF(AND(ISNUMBER('자료_미국심리'!$D931),ISNUMBER('자료_미국심리'!$E931)),'자료_미국심리'!$D931,"")</f>
        <v/>
      </c>
      <c r="Q947">
        <f>IF(AND(ISNUMBER('자료_미국심리'!$G931),ISNUMBER('자료_미국심리'!$H931)),'자료_미국심리'!$G931,"")</f>
        <v/>
      </c>
    </row>
    <row r="948">
      <c r="A948" s="10">
        <f>IF(930&gt;$E$5,"",SMALL($O$19:$O$4018,$E$6+930))</f>
        <v/>
      </c>
      <c r="B948" s="29">
        <f>IF(A948="","",INDEX('자료_미국심리'!$B$3:$B$4002,MATCH(A948,$O$19:$O$4018,0)))</f>
        <v/>
      </c>
      <c r="C948" s="22">
        <f>IF(A948="","",B948/AVERAGE(B824:B948)-1)</f>
        <v/>
      </c>
      <c r="D948" s="29">
        <f>IF(A948="","",IFERROR(INDEX('자료_미국심리'!$E$3:$E$4002,MATCH(A948,$P$19:$P$4018,0)),D947))</f>
        <v/>
      </c>
      <c r="E948" s="29">
        <f>IF(A948="","",IFERROR(INDEX('자료_미국심리'!$H$3:$H$4002,MATCH(A948,$Q$19:$Q$4018,0)),E947))</f>
        <v/>
      </c>
      <c r="F948">
        <f>IF(A948="",0,IF(A948&gt;$B$5,1,0))</f>
        <v/>
      </c>
      <c r="G948" s="29">
        <f>IF(AND(F948=1,ISNUMBER(D948)),D948,"")</f>
        <v/>
      </c>
      <c r="H948" s="29">
        <f>IF(AND(F948=1,ISNUMBER(E948)),E948,"")</f>
        <v/>
      </c>
      <c r="I948" s="22">
        <f>IF(AND(F948=1,ISNUMBER(C948)),C948,"")</f>
        <v/>
      </c>
      <c r="J948" s="11">
        <f>IF(G948="","",100-IF($G$13=1,50,(_xlfn.RANK.AVG(G948,$G$19:$G$1518,1)-1)/($G$13-1)*100))</f>
        <v/>
      </c>
      <c r="K948" s="11">
        <f>IF(H948="","",100-IF($G$14=1,50,(_xlfn.RANK.AVG(H948,$H$19:$H$1518,1)-1)/($G$14-1)*100))</f>
        <v/>
      </c>
      <c r="L948" s="11">
        <f>IF(I948="","",IF($G$15=1,50,(_xlfn.RANK.AVG(I948,$I$19:$I$1518,1)-1)/($G$15-1)*100))</f>
        <v/>
      </c>
      <c r="M948" s="11">
        <f>IF(COUNT(J948:L948)=3,ROUND(AVERAGE(J948:L948),6),"")</f>
        <v/>
      </c>
      <c r="O948">
        <f>IF(AND(ISNUMBER('자료_미국심리'!$A932),ISNUMBER('자료_미국심리'!$B932)),'자료_미국심리'!$A932,"")</f>
        <v/>
      </c>
      <c r="P948">
        <f>IF(AND(ISNUMBER('자료_미국심리'!$D932),ISNUMBER('자료_미국심리'!$E932)),'자료_미국심리'!$D932,"")</f>
        <v/>
      </c>
      <c r="Q948">
        <f>IF(AND(ISNUMBER('자료_미국심리'!$G932),ISNUMBER('자료_미국심리'!$H932)),'자료_미국심리'!$G932,"")</f>
        <v/>
      </c>
    </row>
    <row r="949">
      <c r="A949" s="10">
        <f>IF(931&gt;$E$5,"",SMALL($O$19:$O$4018,$E$6+931))</f>
        <v/>
      </c>
      <c r="B949" s="29">
        <f>IF(A949="","",INDEX('자료_미국심리'!$B$3:$B$4002,MATCH(A949,$O$19:$O$4018,0)))</f>
        <v/>
      </c>
      <c r="C949" s="22">
        <f>IF(A949="","",B949/AVERAGE(B825:B949)-1)</f>
        <v/>
      </c>
      <c r="D949" s="29">
        <f>IF(A949="","",IFERROR(INDEX('자료_미국심리'!$E$3:$E$4002,MATCH(A949,$P$19:$P$4018,0)),D948))</f>
        <v/>
      </c>
      <c r="E949" s="29">
        <f>IF(A949="","",IFERROR(INDEX('자료_미국심리'!$H$3:$H$4002,MATCH(A949,$Q$19:$Q$4018,0)),E948))</f>
        <v/>
      </c>
      <c r="F949">
        <f>IF(A949="",0,IF(A949&gt;$B$5,1,0))</f>
        <v/>
      </c>
      <c r="G949" s="29">
        <f>IF(AND(F949=1,ISNUMBER(D949)),D949,"")</f>
        <v/>
      </c>
      <c r="H949" s="29">
        <f>IF(AND(F949=1,ISNUMBER(E949)),E949,"")</f>
        <v/>
      </c>
      <c r="I949" s="22">
        <f>IF(AND(F949=1,ISNUMBER(C949)),C949,"")</f>
        <v/>
      </c>
      <c r="J949" s="11">
        <f>IF(G949="","",100-IF($G$13=1,50,(_xlfn.RANK.AVG(G949,$G$19:$G$1518,1)-1)/($G$13-1)*100))</f>
        <v/>
      </c>
      <c r="K949" s="11">
        <f>IF(H949="","",100-IF($G$14=1,50,(_xlfn.RANK.AVG(H949,$H$19:$H$1518,1)-1)/($G$14-1)*100))</f>
        <v/>
      </c>
      <c r="L949" s="11">
        <f>IF(I949="","",IF($G$15=1,50,(_xlfn.RANK.AVG(I949,$I$19:$I$1518,1)-1)/($G$15-1)*100))</f>
        <v/>
      </c>
      <c r="M949" s="11">
        <f>IF(COUNT(J949:L949)=3,ROUND(AVERAGE(J949:L949),6),"")</f>
        <v/>
      </c>
      <c r="O949">
        <f>IF(AND(ISNUMBER('자료_미국심리'!$A933),ISNUMBER('자료_미국심리'!$B933)),'자료_미국심리'!$A933,"")</f>
        <v/>
      </c>
      <c r="P949">
        <f>IF(AND(ISNUMBER('자료_미국심리'!$D933),ISNUMBER('자료_미국심리'!$E933)),'자료_미국심리'!$D933,"")</f>
        <v/>
      </c>
      <c r="Q949">
        <f>IF(AND(ISNUMBER('자료_미국심리'!$G933),ISNUMBER('자료_미국심리'!$H933)),'자료_미국심리'!$G933,"")</f>
        <v/>
      </c>
    </row>
    <row r="950">
      <c r="A950" s="10">
        <f>IF(932&gt;$E$5,"",SMALL($O$19:$O$4018,$E$6+932))</f>
        <v/>
      </c>
      <c r="B950" s="29">
        <f>IF(A950="","",INDEX('자료_미국심리'!$B$3:$B$4002,MATCH(A950,$O$19:$O$4018,0)))</f>
        <v/>
      </c>
      <c r="C950" s="22">
        <f>IF(A950="","",B950/AVERAGE(B826:B950)-1)</f>
        <v/>
      </c>
      <c r="D950" s="29">
        <f>IF(A950="","",IFERROR(INDEX('자료_미국심리'!$E$3:$E$4002,MATCH(A950,$P$19:$P$4018,0)),D949))</f>
        <v/>
      </c>
      <c r="E950" s="29">
        <f>IF(A950="","",IFERROR(INDEX('자료_미국심리'!$H$3:$H$4002,MATCH(A950,$Q$19:$Q$4018,0)),E949))</f>
        <v/>
      </c>
      <c r="F950">
        <f>IF(A950="",0,IF(A950&gt;$B$5,1,0))</f>
        <v/>
      </c>
      <c r="G950" s="29">
        <f>IF(AND(F950=1,ISNUMBER(D950)),D950,"")</f>
        <v/>
      </c>
      <c r="H950" s="29">
        <f>IF(AND(F950=1,ISNUMBER(E950)),E950,"")</f>
        <v/>
      </c>
      <c r="I950" s="22">
        <f>IF(AND(F950=1,ISNUMBER(C950)),C950,"")</f>
        <v/>
      </c>
      <c r="J950" s="11">
        <f>IF(G950="","",100-IF($G$13=1,50,(_xlfn.RANK.AVG(G950,$G$19:$G$1518,1)-1)/($G$13-1)*100))</f>
        <v/>
      </c>
      <c r="K950" s="11">
        <f>IF(H950="","",100-IF($G$14=1,50,(_xlfn.RANK.AVG(H950,$H$19:$H$1518,1)-1)/($G$14-1)*100))</f>
        <v/>
      </c>
      <c r="L950" s="11">
        <f>IF(I950="","",IF($G$15=1,50,(_xlfn.RANK.AVG(I950,$I$19:$I$1518,1)-1)/($G$15-1)*100))</f>
        <v/>
      </c>
      <c r="M950" s="11">
        <f>IF(COUNT(J950:L950)=3,ROUND(AVERAGE(J950:L950),6),"")</f>
        <v/>
      </c>
      <c r="O950">
        <f>IF(AND(ISNUMBER('자료_미국심리'!$A934),ISNUMBER('자료_미국심리'!$B934)),'자료_미국심리'!$A934,"")</f>
        <v/>
      </c>
      <c r="P950">
        <f>IF(AND(ISNUMBER('자료_미국심리'!$D934),ISNUMBER('자료_미국심리'!$E934)),'자료_미국심리'!$D934,"")</f>
        <v/>
      </c>
      <c r="Q950">
        <f>IF(AND(ISNUMBER('자료_미국심리'!$G934),ISNUMBER('자료_미국심리'!$H934)),'자료_미국심리'!$G934,"")</f>
        <v/>
      </c>
    </row>
    <row r="951">
      <c r="A951" s="10">
        <f>IF(933&gt;$E$5,"",SMALL($O$19:$O$4018,$E$6+933))</f>
        <v/>
      </c>
      <c r="B951" s="29">
        <f>IF(A951="","",INDEX('자료_미국심리'!$B$3:$B$4002,MATCH(A951,$O$19:$O$4018,0)))</f>
        <v/>
      </c>
      <c r="C951" s="22">
        <f>IF(A951="","",B951/AVERAGE(B827:B951)-1)</f>
        <v/>
      </c>
      <c r="D951" s="29">
        <f>IF(A951="","",IFERROR(INDEX('자료_미국심리'!$E$3:$E$4002,MATCH(A951,$P$19:$P$4018,0)),D950))</f>
        <v/>
      </c>
      <c r="E951" s="29">
        <f>IF(A951="","",IFERROR(INDEX('자료_미국심리'!$H$3:$H$4002,MATCH(A951,$Q$19:$Q$4018,0)),E950))</f>
        <v/>
      </c>
      <c r="F951">
        <f>IF(A951="",0,IF(A951&gt;$B$5,1,0))</f>
        <v/>
      </c>
      <c r="G951" s="29">
        <f>IF(AND(F951=1,ISNUMBER(D951)),D951,"")</f>
        <v/>
      </c>
      <c r="H951" s="29">
        <f>IF(AND(F951=1,ISNUMBER(E951)),E951,"")</f>
        <v/>
      </c>
      <c r="I951" s="22">
        <f>IF(AND(F951=1,ISNUMBER(C951)),C951,"")</f>
        <v/>
      </c>
      <c r="J951" s="11">
        <f>IF(G951="","",100-IF($G$13=1,50,(_xlfn.RANK.AVG(G951,$G$19:$G$1518,1)-1)/($G$13-1)*100))</f>
        <v/>
      </c>
      <c r="K951" s="11">
        <f>IF(H951="","",100-IF($G$14=1,50,(_xlfn.RANK.AVG(H951,$H$19:$H$1518,1)-1)/($G$14-1)*100))</f>
        <v/>
      </c>
      <c r="L951" s="11">
        <f>IF(I951="","",IF($G$15=1,50,(_xlfn.RANK.AVG(I951,$I$19:$I$1518,1)-1)/($G$15-1)*100))</f>
        <v/>
      </c>
      <c r="M951" s="11">
        <f>IF(COUNT(J951:L951)=3,ROUND(AVERAGE(J951:L951),6),"")</f>
        <v/>
      </c>
      <c r="O951">
        <f>IF(AND(ISNUMBER('자료_미국심리'!$A935),ISNUMBER('자료_미국심리'!$B935)),'자료_미국심리'!$A935,"")</f>
        <v/>
      </c>
      <c r="P951">
        <f>IF(AND(ISNUMBER('자료_미국심리'!$D935),ISNUMBER('자료_미국심리'!$E935)),'자료_미국심리'!$D935,"")</f>
        <v/>
      </c>
      <c r="Q951">
        <f>IF(AND(ISNUMBER('자료_미국심리'!$G935),ISNUMBER('자료_미국심리'!$H935)),'자료_미국심리'!$G935,"")</f>
        <v/>
      </c>
    </row>
    <row r="952">
      <c r="A952" s="10">
        <f>IF(934&gt;$E$5,"",SMALL($O$19:$O$4018,$E$6+934))</f>
        <v/>
      </c>
      <c r="B952" s="29">
        <f>IF(A952="","",INDEX('자료_미국심리'!$B$3:$B$4002,MATCH(A952,$O$19:$O$4018,0)))</f>
        <v/>
      </c>
      <c r="C952" s="22">
        <f>IF(A952="","",B952/AVERAGE(B828:B952)-1)</f>
        <v/>
      </c>
      <c r="D952" s="29">
        <f>IF(A952="","",IFERROR(INDEX('자료_미국심리'!$E$3:$E$4002,MATCH(A952,$P$19:$P$4018,0)),D951))</f>
        <v/>
      </c>
      <c r="E952" s="29">
        <f>IF(A952="","",IFERROR(INDEX('자료_미국심리'!$H$3:$H$4002,MATCH(A952,$Q$19:$Q$4018,0)),E951))</f>
        <v/>
      </c>
      <c r="F952">
        <f>IF(A952="",0,IF(A952&gt;$B$5,1,0))</f>
        <v/>
      </c>
      <c r="G952" s="29">
        <f>IF(AND(F952=1,ISNUMBER(D952)),D952,"")</f>
        <v/>
      </c>
      <c r="H952" s="29">
        <f>IF(AND(F952=1,ISNUMBER(E952)),E952,"")</f>
        <v/>
      </c>
      <c r="I952" s="22">
        <f>IF(AND(F952=1,ISNUMBER(C952)),C952,"")</f>
        <v/>
      </c>
      <c r="J952" s="11">
        <f>IF(G952="","",100-IF($G$13=1,50,(_xlfn.RANK.AVG(G952,$G$19:$G$1518,1)-1)/($G$13-1)*100))</f>
        <v/>
      </c>
      <c r="K952" s="11">
        <f>IF(H952="","",100-IF($G$14=1,50,(_xlfn.RANK.AVG(H952,$H$19:$H$1518,1)-1)/($G$14-1)*100))</f>
        <v/>
      </c>
      <c r="L952" s="11">
        <f>IF(I952="","",IF($G$15=1,50,(_xlfn.RANK.AVG(I952,$I$19:$I$1518,1)-1)/($G$15-1)*100))</f>
        <v/>
      </c>
      <c r="M952" s="11">
        <f>IF(COUNT(J952:L952)=3,ROUND(AVERAGE(J952:L952),6),"")</f>
        <v/>
      </c>
      <c r="O952">
        <f>IF(AND(ISNUMBER('자료_미국심리'!$A936),ISNUMBER('자료_미국심리'!$B936)),'자료_미국심리'!$A936,"")</f>
        <v/>
      </c>
      <c r="P952">
        <f>IF(AND(ISNUMBER('자료_미국심리'!$D936),ISNUMBER('자료_미국심리'!$E936)),'자료_미국심리'!$D936,"")</f>
        <v/>
      </c>
      <c r="Q952">
        <f>IF(AND(ISNUMBER('자료_미국심리'!$G936),ISNUMBER('자료_미국심리'!$H936)),'자료_미국심리'!$G936,"")</f>
        <v/>
      </c>
    </row>
    <row r="953">
      <c r="A953" s="10">
        <f>IF(935&gt;$E$5,"",SMALL($O$19:$O$4018,$E$6+935))</f>
        <v/>
      </c>
      <c r="B953" s="29">
        <f>IF(A953="","",INDEX('자료_미국심리'!$B$3:$B$4002,MATCH(A953,$O$19:$O$4018,0)))</f>
        <v/>
      </c>
      <c r="C953" s="22">
        <f>IF(A953="","",B953/AVERAGE(B829:B953)-1)</f>
        <v/>
      </c>
      <c r="D953" s="29">
        <f>IF(A953="","",IFERROR(INDEX('자료_미국심리'!$E$3:$E$4002,MATCH(A953,$P$19:$P$4018,0)),D952))</f>
        <v/>
      </c>
      <c r="E953" s="29">
        <f>IF(A953="","",IFERROR(INDEX('자료_미국심리'!$H$3:$H$4002,MATCH(A953,$Q$19:$Q$4018,0)),E952))</f>
        <v/>
      </c>
      <c r="F953">
        <f>IF(A953="",0,IF(A953&gt;$B$5,1,0))</f>
        <v/>
      </c>
      <c r="G953" s="29">
        <f>IF(AND(F953=1,ISNUMBER(D953)),D953,"")</f>
        <v/>
      </c>
      <c r="H953" s="29">
        <f>IF(AND(F953=1,ISNUMBER(E953)),E953,"")</f>
        <v/>
      </c>
      <c r="I953" s="22">
        <f>IF(AND(F953=1,ISNUMBER(C953)),C953,"")</f>
        <v/>
      </c>
      <c r="J953" s="11">
        <f>IF(G953="","",100-IF($G$13=1,50,(_xlfn.RANK.AVG(G953,$G$19:$G$1518,1)-1)/($G$13-1)*100))</f>
        <v/>
      </c>
      <c r="K953" s="11">
        <f>IF(H953="","",100-IF($G$14=1,50,(_xlfn.RANK.AVG(H953,$H$19:$H$1518,1)-1)/($G$14-1)*100))</f>
        <v/>
      </c>
      <c r="L953" s="11">
        <f>IF(I953="","",IF($G$15=1,50,(_xlfn.RANK.AVG(I953,$I$19:$I$1518,1)-1)/($G$15-1)*100))</f>
        <v/>
      </c>
      <c r="M953" s="11">
        <f>IF(COUNT(J953:L953)=3,ROUND(AVERAGE(J953:L953),6),"")</f>
        <v/>
      </c>
      <c r="O953">
        <f>IF(AND(ISNUMBER('자료_미국심리'!$A937),ISNUMBER('자료_미국심리'!$B937)),'자료_미국심리'!$A937,"")</f>
        <v/>
      </c>
      <c r="P953">
        <f>IF(AND(ISNUMBER('자료_미국심리'!$D937),ISNUMBER('자료_미국심리'!$E937)),'자료_미국심리'!$D937,"")</f>
        <v/>
      </c>
      <c r="Q953">
        <f>IF(AND(ISNUMBER('자료_미국심리'!$G937),ISNUMBER('자료_미국심리'!$H937)),'자료_미국심리'!$G937,"")</f>
        <v/>
      </c>
    </row>
    <row r="954">
      <c r="A954" s="10">
        <f>IF(936&gt;$E$5,"",SMALL($O$19:$O$4018,$E$6+936))</f>
        <v/>
      </c>
      <c r="B954" s="29">
        <f>IF(A954="","",INDEX('자료_미국심리'!$B$3:$B$4002,MATCH(A954,$O$19:$O$4018,0)))</f>
        <v/>
      </c>
      <c r="C954" s="22">
        <f>IF(A954="","",B954/AVERAGE(B830:B954)-1)</f>
        <v/>
      </c>
      <c r="D954" s="29">
        <f>IF(A954="","",IFERROR(INDEX('자료_미국심리'!$E$3:$E$4002,MATCH(A954,$P$19:$P$4018,0)),D953))</f>
        <v/>
      </c>
      <c r="E954" s="29">
        <f>IF(A954="","",IFERROR(INDEX('자료_미국심리'!$H$3:$H$4002,MATCH(A954,$Q$19:$Q$4018,0)),E953))</f>
        <v/>
      </c>
      <c r="F954">
        <f>IF(A954="",0,IF(A954&gt;$B$5,1,0))</f>
        <v/>
      </c>
      <c r="G954" s="29">
        <f>IF(AND(F954=1,ISNUMBER(D954)),D954,"")</f>
        <v/>
      </c>
      <c r="H954" s="29">
        <f>IF(AND(F954=1,ISNUMBER(E954)),E954,"")</f>
        <v/>
      </c>
      <c r="I954" s="22">
        <f>IF(AND(F954=1,ISNUMBER(C954)),C954,"")</f>
        <v/>
      </c>
      <c r="J954" s="11">
        <f>IF(G954="","",100-IF($G$13=1,50,(_xlfn.RANK.AVG(G954,$G$19:$G$1518,1)-1)/($G$13-1)*100))</f>
        <v/>
      </c>
      <c r="K954" s="11">
        <f>IF(H954="","",100-IF($G$14=1,50,(_xlfn.RANK.AVG(H954,$H$19:$H$1518,1)-1)/($G$14-1)*100))</f>
        <v/>
      </c>
      <c r="L954" s="11">
        <f>IF(I954="","",IF($G$15=1,50,(_xlfn.RANK.AVG(I954,$I$19:$I$1518,1)-1)/($G$15-1)*100))</f>
        <v/>
      </c>
      <c r="M954" s="11">
        <f>IF(COUNT(J954:L954)=3,ROUND(AVERAGE(J954:L954),6),"")</f>
        <v/>
      </c>
      <c r="O954">
        <f>IF(AND(ISNUMBER('자료_미국심리'!$A938),ISNUMBER('자료_미국심리'!$B938)),'자료_미국심리'!$A938,"")</f>
        <v/>
      </c>
      <c r="P954">
        <f>IF(AND(ISNUMBER('자료_미국심리'!$D938),ISNUMBER('자료_미국심리'!$E938)),'자료_미국심리'!$D938,"")</f>
        <v/>
      </c>
      <c r="Q954">
        <f>IF(AND(ISNUMBER('자료_미국심리'!$G938),ISNUMBER('자료_미국심리'!$H938)),'자료_미국심리'!$G938,"")</f>
        <v/>
      </c>
    </row>
    <row r="955">
      <c r="A955" s="10">
        <f>IF(937&gt;$E$5,"",SMALL($O$19:$O$4018,$E$6+937))</f>
        <v/>
      </c>
      <c r="B955" s="29">
        <f>IF(A955="","",INDEX('자료_미국심리'!$B$3:$B$4002,MATCH(A955,$O$19:$O$4018,0)))</f>
        <v/>
      </c>
      <c r="C955" s="22">
        <f>IF(A955="","",B955/AVERAGE(B831:B955)-1)</f>
        <v/>
      </c>
      <c r="D955" s="29">
        <f>IF(A955="","",IFERROR(INDEX('자료_미국심리'!$E$3:$E$4002,MATCH(A955,$P$19:$P$4018,0)),D954))</f>
        <v/>
      </c>
      <c r="E955" s="29">
        <f>IF(A955="","",IFERROR(INDEX('자료_미국심리'!$H$3:$H$4002,MATCH(A955,$Q$19:$Q$4018,0)),E954))</f>
        <v/>
      </c>
      <c r="F955">
        <f>IF(A955="",0,IF(A955&gt;$B$5,1,0))</f>
        <v/>
      </c>
      <c r="G955" s="29">
        <f>IF(AND(F955=1,ISNUMBER(D955)),D955,"")</f>
        <v/>
      </c>
      <c r="H955" s="29">
        <f>IF(AND(F955=1,ISNUMBER(E955)),E955,"")</f>
        <v/>
      </c>
      <c r="I955" s="22">
        <f>IF(AND(F955=1,ISNUMBER(C955)),C955,"")</f>
        <v/>
      </c>
      <c r="J955" s="11">
        <f>IF(G955="","",100-IF($G$13=1,50,(_xlfn.RANK.AVG(G955,$G$19:$G$1518,1)-1)/($G$13-1)*100))</f>
        <v/>
      </c>
      <c r="K955" s="11">
        <f>IF(H955="","",100-IF($G$14=1,50,(_xlfn.RANK.AVG(H955,$H$19:$H$1518,1)-1)/($G$14-1)*100))</f>
        <v/>
      </c>
      <c r="L955" s="11">
        <f>IF(I955="","",IF($G$15=1,50,(_xlfn.RANK.AVG(I955,$I$19:$I$1518,1)-1)/($G$15-1)*100))</f>
        <v/>
      </c>
      <c r="M955" s="11">
        <f>IF(COUNT(J955:L955)=3,ROUND(AVERAGE(J955:L955),6),"")</f>
        <v/>
      </c>
      <c r="O955">
        <f>IF(AND(ISNUMBER('자료_미국심리'!$A939),ISNUMBER('자료_미국심리'!$B939)),'자료_미국심리'!$A939,"")</f>
        <v/>
      </c>
      <c r="P955">
        <f>IF(AND(ISNUMBER('자료_미국심리'!$D939),ISNUMBER('자료_미국심리'!$E939)),'자료_미국심리'!$D939,"")</f>
        <v/>
      </c>
      <c r="Q955">
        <f>IF(AND(ISNUMBER('자료_미국심리'!$G939),ISNUMBER('자료_미국심리'!$H939)),'자료_미국심리'!$G939,"")</f>
        <v/>
      </c>
    </row>
    <row r="956">
      <c r="A956" s="10">
        <f>IF(938&gt;$E$5,"",SMALL($O$19:$O$4018,$E$6+938))</f>
        <v/>
      </c>
      <c r="B956" s="29">
        <f>IF(A956="","",INDEX('자료_미국심리'!$B$3:$B$4002,MATCH(A956,$O$19:$O$4018,0)))</f>
        <v/>
      </c>
      <c r="C956" s="22">
        <f>IF(A956="","",B956/AVERAGE(B832:B956)-1)</f>
        <v/>
      </c>
      <c r="D956" s="29">
        <f>IF(A956="","",IFERROR(INDEX('자료_미국심리'!$E$3:$E$4002,MATCH(A956,$P$19:$P$4018,0)),D955))</f>
        <v/>
      </c>
      <c r="E956" s="29">
        <f>IF(A956="","",IFERROR(INDEX('자료_미국심리'!$H$3:$H$4002,MATCH(A956,$Q$19:$Q$4018,0)),E955))</f>
        <v/>
      </c>
      <c r="F956">
        <f>IF(A956="",0,IF(A956&gt;$B$5,1,0))</f>
        <v/>
      </c>
      <c r="G956" s="29">
        <f>IF(AND(F956=1,ISNUMBER(D956)),D956,"")</f>
        <v/>
      </c>
      <c r="H956" s="29">
        <f>IF(AND(F956=1,ISNUMBER(E956)),E956,"")</f>
        <v/>
      </c>
      <c r="I956" s="22">
        <f>IF(AND(F956=1,ISNUMBER(C956)),C956,"")</f>
        <v/>
      </c>
      <c r="J956" s="11">
        <f>IF(G956="","",100-IF($G$13=1,50,(_xlfn.RANK.AVG(G956,$G$19:$G$1518,1)-1)/($G$13-1)*100))</f>
        <v/>
      </c>
      <c r="K956" s="11">
        <f>IF(H956="","",100-IF($G$14=1,50,(_xlfn.RANK.AVG(H956,$H$19:$H$1518,1)-1)/($G$14-1)*100))</f>
        <v/>
      </c>
      <c r="L956" s="11">
        <f>IF(I956="","",IF($G$15=1,50,(_xlfn.RANK.AVG(I956,$I$19:$I$1518,1)-1)/($G$15-1)*100))</f>
        <v/>
      </c>
      <c r="M956" s="11">
        <f>IF(COUNT(J956:L956)=3,ROUND(AVERAGE(J956:L956),6),"")</f>
        <v/>
      </c>
      <c r="O956">
        <f>IF(AND(ISNUMBER('자료_미국심리'!$A940),ISNUMBER('자료_미국심리'!$B940)),'자료_미국심리'!$A940,"")</f>
        <v/>
      </c>
      <c r="P956">
        <f>IF(AND(ISNUMBER('자료_미국심리'!$D940),ISNUMBER('자료_미국심리'!$E940)),'자료_미국심리'!$D940,"")</f>
        <v/>
      </c>
      <c r="Q956">
        <f>IF(AND(ISNUMBER('자료_미국심리'!$G940),ISNUMBER('자료_미국심리'!$H940)),'자료_미국심리'!$G940,"")</f>
        <v/>
      </c>
    </row>
    <row r="957">
      <c r="A957" s="10">
        <f>IF(939&gt;$E$5,"",SMALL($O$19:$O$4018,$E$6+939))</f>
        <v/>
      </c>
      <c r="B957" s="29">
        <f>IF(A957="","",INDEX('자료_미국심리'!$B$3:$B$4002,MATCH(A957,$O$19:$O$4018,0)))</f>
        <v/>
      </c>
      <c r="C957" s="22">
        <f>IF(A957="","",B957/AVERAGE(B833:B957)-1)</f>
        <v/>
      </c>
      <c r="D957" s="29">
        <f>IF(A957="","",IFERROR(INDEX('자료_미국심리'!$E$3:$E$4002,MATCH(A957,$P$19:$P$4018,0)),D956))</f>
        <v/>
      </c>
      <c r="E957" s="29">
        <f>IF(A957="","",IFERROR(INDEX('자료_미국심리'!$H$3:$H$4002,MATCH(A957,$Q$19:$Q$4018,0)),E956))</f>
        <v/>
      </c>
      <c r="F957">
        <f>IF(A957="",0,IF(A957&gt;$B$5,1,0))</f>
        <v/>
      </c>
      <c r="G957" s="29">
        <f>IF(AND(F957=1,ISNUMBER(D957)),D957,"")</f>
        <v/>
      </c>
      <c r="H957" s="29">
        <f>IF(AND(F957=1,ISNUMBER(E957)),E957,"")</f>
        <v/>
      </c>
      <c r="I957" s="22">
        <f>IF(AND(F957=1,ISNUMBER(C957)),C957,"")</f>
        <v/>
      </c>
      <c r="J957" s="11">
        <f>IF(G957="","",100-IF($G$13=1,50,(_xlfn.RANK.AVG(G957,$G$19:$G$1518,1)-1)/($G$13-1)*100))</f>
        <v/>
      </c>
      <c r="K957" s="11">
        <f>IF(H957="","",100-IF($G$14=1,50,(_xlfn.RANK.AVG(H957,$H$19:$H$1518,1)-1)/($G$14-1)*100))</f>
        <v/>
      </c>
      <c r="L957" s="11">
        <f>IF(I957="","",IF($G$15=1,50,(_xlfn.RANK.AVG(I957,$I$19:$I$1518,1)-1)/($G$15-1)*100))</f>
        <v/>
      </c>
      <c r="M957" s="11">
        <f>IF(COUNT(J957:L957)=3,ROUND(AVERAGE(J957:L957),6),"")</f>
        <v/>
      </c>
      <c r="O957">
        <f>IF(AND(ISNUMBER('자료_미국심리'!$A941),ISNUMBER('자료_미국심리'!$B941)),'자료_미국심리'!$A941,"")</f>
        <v/>
      </c>
      <c r="P957">
        <f>IF(AND(ISNUMBER('자료_미국심리'!$D941),ISNUMBER('자료_미국심리'!$E941)),'자료_미국심리'!$D941,"")</f>
        <v/>
      </c>
      <c r="Q957">
        <f>IF(AND(ISNUMBER('자료_미국심리'!$G941),ISNUMBER('자료_미국심리'!$H941)),'자료_미국심리'!$G941,"")</f>
        <v/>
      </c>
    </row>
    <row r="958">
      <c r="A958" s="10">
        <f>IF(940&gt;$E$5,"",SMALL($O$19:$O$4018,$E$6+940))</f>
        <v/>
      </c>
      <c r="B958" s="29">
        <f>IF(A958="","",INDEX('자료_미국심리'!$B$3:$B$4002,MATCH(A958,$O$19:$O$4018,0)))</f>
        <v/>
      </c>
      <c r="C958" s="22">
        <f>IF(A958="","",B958/AVERAGE(B834:B958)-1)</f>
        <v/>
      </c>
      <c r="D958" s="29">
        <f>IF(A958="","",IFERROR(INDEX('자료_미국심리'!$E$3:$E$4002,MATCH(A958,$P$19:$P$4018,0)),D957))</f>
        <v/>
      </c>
      <c r="E958" s="29">
        <f>IF(A958="","",IFERROR(INDEX('자료_미국심리'!$H$3:$H$4002,MATCH(A958,$Q$19:$Q$4018,0)),E957))</f>
        <v/>
      </c>
      <c r="F958">
        <f>IF(A958="",0,IF(A958&gt;$B$5,1,0))</f>
        <v/>
      </c>
      <c r="G958" s="29">
        <f>IF(AND(F958=1,ISNUMBER(D958)),D958,"")</f>
        <v/>
      </c>
      <c r="H958" s="29">
        <f>IF(AND(F958=1,ISNUMBER(E958)),E958,"")</f>
        <v/>
      </c>
      <c r="I958" s="22">
        <f>IF(AND(F958=1,ISNUMBER(C958)),C958,"")</f>
        <v/>
      </c>
      <c r="J958" s="11">
        <f>IF(G958="","",100-IF($G$13=1,50,(_xlfn.RANK.AVG(G958,$G$19:$G$1518,1)-1)/($G$13-1)*100))</f>
        <v/>
      </c>
      <c r="K958" s="11">
        <f>IF(H958="","",100-IF($G$14=1,50,(_xlfn.RANK.AVG(H958,$H$19:$H$1518,1)-1)/($G$14-1)*100))</f>
        <v/>
      </c>
      <c r="L958" s="11">
        <f>IF(I958="","",IF($G$15=1,50,(_xlfn.RANK.AVG(I958,$I$19:$I$1518,1)-1)/($G$15-1)*100))</f>
        <v/>
      </c>
      <c r="M958" s="11">
        <f>IF(COUNT(J958:L958)=3,ROUND(AVERAGE(J958:L958),6),"")</f>
        <v/>
      </c>
      <c r="O958">
        <f>IF(AND(ISNUMBER('자료_미국심리'!$A942),ISNUMBER('자료_미국심리'!$B942)),'자료_미국심리'!$A942,"")</f>
        <v/>
      </c>
      <c r="P958">
        <f>IF(AND(ISNUMBER('자료_미국심리'!$D942),ISNUMBER('자료_미국심리'!$E942)),'자료_미국심리'!$D942,"")</f>
        <v/>
      </c>
      <c r="Q958">
        <f>IF(AND(ISNUMBER('자료_미국심리'!$G942),ISNUMBER('자료_미국심리'!$H942)),'자료_미국심리'!$G942,"")</f>
        <v/>
      </c>
    </row>
    <row r="959">
      <c r="A959" s="10">
        <f>IF(941&gt;$E$5,"",SMALL($O$19:$O$4018,$E$6+941))</f>
        <v/>
      </c>
      <c r="B959" s="29">
        <f>IF(A959="","",INDEX('자료_미국심리'!$B$3:$B$4002,MATCH(A959,$O$19:$O$4018,0)))</f>
        <v/>
      </c>
      <c r="C959" s="22">
        <f>IF(A959="","",B959/AVERAGE(B835:B959)-1)</f>
        <v/>
      </c>
      <c r="D959" s="29">
        <f>IF(A959="","",IFERROR(INDEX('자료_미국심리'!$E$3:$E$4002,MATCH(A959,$P$19:$P$4018,0)),D958))</f>
        <v/>
      </c>
      <c r="E959" s="29">
        <f>IF(A959="","",IFERROR(INDEX('자료_미국심리'!$H$3:$H$4002,MATCH(A959,$Q$19:$Q$4018,0)),E958))</f>
        <v/>
      </c>
      <c r="F959">
        <f>IF(A959="",0,IF(A959&gt;$B$5,1,0))</f>
        <v/>
      </c>
      <c r="G959" s="29">
        <f>IF(AND(F959=1,ISNUMBER(D959)),D959,"")</f>
        <v/>
      </c>
      <c r="H959" s="29">
        <f>IF(AND(F959=1,ISNUMBER(E959)),E959,"")</f>
        <v/>
      </c>
      <c r="I959" s="22">
        <f>IF(AND(F959=1,ISNUMBER(C959)),C959,"")</f>
        <v/>
      </c>
      <c r="J959" s="11">
        <f>IF(G959="","",100-IF($G$13=1,50,(_xlfn.RANK.AVG(G959,$G$19:$G$1518,1)-1)/($G$13-1)*100))</f>
        <v/>
      </c>
      <c r="K959" s="11">
        <f>IF(H959="","",100-IF($G$14=1,50,(_xlfn.RANK.AVG(H959,$H$19:$H$1518,1)-1)/($G$14-1)*100))</f>
        <v/>
      </c>
      <c r="L959" s="11">
        <f>IF(I959="","",IF($G$15=1,50,(_xlfn.RANK.AVG(I959,$I$19:$I$1518,1)-1)/($G$15-1)*100))</f>
        <v/>
      </c>
      <c r="M959" s="11">
        <f>IF(COUNT(J959:L959)=3,ROUND(AVERAGE(J959:L959),6),"")</f>
        <v/>
      </c>
      <c r="O959">
        <f>IF(AND(ISNUMBER('자료_미국심리'!$A943),ISNUMBER('자료_미국심리'!$B943)),'자료_미국심리'!$A943,"")</f>
        <v/>
      </c>
      <c r="P959">
        <f>IF(AND(ISNUMBER('자료_미국심리'!$D943),ISNUMBER('자료_미국심리'!$E943)),'자료_미국심리'!$D943,"")</f>
        <v/>
      </c>
      <c r="Q959">
        <f>IF(AND(ISNUMBER('자료_미국심리'!$G943),ISNUMBER('자료_미국심리'!$H943)),'자료_미국심리'!$G943,"")</f>
        <v/>
      </c>
    </row>
    <row r="960">
      <c r="A960" s="10">
        <f>IF(942&gt;$E$5,"",SMALL($O$19:$O$4018,$E$6+942))</f>
        <v/>
      </c>
      <c r="B960" s="29">
        <f>IF(A960="","",INDEX('자료_미국심리'!$B$3:$B$4002,MATCH(A960,$O$19:$O$4018,0)))</f>
        <v/>
      </c>
      <c r="C960" s="22">
        <f>IF(A960="","",B960/AVERAGE(B836:B960)-1)</f>
        <v/>
      </c>
      <c r="D960" s="29">
        <f>IF(A960="","",IFERROR(INDEX('자료_미국심리'!$E$3:$E$4002,MATCH(A960,$P$19:$P$4018,0)),D959))</f>
        <v/>
      </c>
      <c r="E960" s="29">
        <f>IF(A960="","",IFERROR(INDEX('자료_미국심리'!$H$3:$H$4002,MATCH(A960,$Q$19:$Q$4018,0)),E959))</f>
        <v/>
      </c>
      <c r="F960">
        <f>IF(A960="",0,IF(A960&gt;$B$5,1,0))</f>
        <v/>
      </c>
      <c r="G960" s="29">
        <f>IF(AND(F960=1,ISNUMBER(D960)),D960,"")</f>
        <v/>
      </c>
      <c r="H960" s="29">
        <f>IF(AND(F960=1,ISNUMBER(E960)),E960,"")</f>
        <v/>
      </c>
      <c r="I960" s="22">
        <f>IF(AND(F960=1,ISNUMBER(C960)),C960,"")</f>
        <v/>
      </c>
      <c r="J960" s="11">
        <f>IF(G960="","",100-IF($G$13=1,50,(_xlfn.RANK.AVG(G960,$G$19:$G$1518,1)-1)/($G$13-1)*100))</f>
        <v/>
      </c>
      <c r="K960" s="11">
        <f>IF(H960="","",100-IF($G$14=1,50,(_xlfn.RANK.AVG(H960,$H$19:$H$1518,1)-1)/($G$14-1)*100))</f>
        <v/>
      </c>
      <c r="L960" s="11">
        <f>IF(I960="","",IF($G$15=1,50,(_xlfn.RANK.AVG(I960,$I$19:$I$1518,1)-1)/($G$15-1)*100))</f>
        <v/>
      </c>
      <c r="M960" s="11">
        <f>IF(COUNT(J960:L960)=3,ROUND(AVERAGE(J960:L960),6),"")</f>
        <v/>
      </c>
      <c r="O960">
        <f>IF(AND(ISNUMBER('자료_미국심리'!$A944),ISNUMBER('자료_미국심리'!$B944)),'자료_미국심리'!$A944,"")</f>
        <v/>
      </c>
      <c r="P960">
        <f>IF(AND(ISNUMBER('자료_미국심리'!$D944),ISNUMBER('자료_미국심리'!$E944)),'자료_미국심리'!$D944,"")</f>
        <v/>
      </c>
      <c r="Q960">
        <f>IF(AND(ISNUMBER('자료_미국심리'!$G944),ISNUMBER('자료_미국심리'!$H944)),'자료_미국심리'!$G944,"")</f>
        <v/>
      </c>
    </row>
    <row r="961">
      <c r="A961" s="10">
        <f>IF(943&gt;$E$5,"",SMALL($O$19:$O$4018,$E$6+943))</f>
        <v/>
      </c>
      <c r="B961" s="29">
        <f>IF(A961="","",INDEX('자료_미국심리'!$B$3:$B$4002,MATCH(A961,$O$19:$O$4018,0)))</f>
        <v/>
      </c>
      <c r="C961" s="22">
        <f>IF(A961="","",B961/AVERAGE(B837:B961)-1)</f>
        <v/>
      </c>
      <c r="D961" s="29">
        <f>IF(A961="","",IFERROR(INDEX('자료_미국심리'!$E$3:$E$4002,MATCH(A961,$P$19:$P$4018,0)),D960))</f>
        <v/>
      </c>
      <c r="E961" s="29">
        <f>IF(A961="","",IFERROR(INDEX('자료_미국심리'!$H$3:$H$4002,MATCH(A961,$Q$19:$Q$4018,0)),E960))</f>
        <v/>
      </c>
      <c r="F961">
        <f>IF(A961="",0,IF(A961&gt;$B$5,1,0))</f>
        <v/>
      </c>
      <c r="G961" s="29">
        <f>IF(AND(F961=1,ISNUMBER(D961)),D961,"")</f>
        <v/>
      </c>
      <c r="H961" s="29">
        <f>IF(AND(F961=1,ISNUMBER(E961)),E961,"")</f>
        <v/>
      </c>
      <c r="I961" s="22">
        <f>IF(AND(F961=1,ISNUMBER(C961)),C961,"")</f>
        <v/>
      </c>
      <c r="J961" s="11">
        <f>IF(G961="","",100-IF($G$13=1,50,(_xlfn.RANK.AVG(G961,$G$19:$G$1518,1)-1)/($G$13-1)*100))</f>
        <v/>
      </c>
      <c r="K961" s="11">
        <f>IF(H961="","",100-IF($G$14=1,50,(_xlfn.RANK.AVG(H961,$H$19:$H$1518,1)-1)/($G$14-1)*100))</f>
        <v/>
      </c>
      <c r="L961" s="11">
        <f>IF(I961="","",IF($G$15=1,50,(_xlfn.RANK.AVG(I961,$I$19:$I$1518,1)-1)/($G$15-1)*100))</f>
        <v/>
      </c>
      <c r="M961" s="11">
        <f>IF(COUNT(J961:L961)=3,ROUND(AVERAGE(J961:L961),6),"")</f>
        <v/>
      </c>
      <c r="O961">
        <f>IF(AND(ISNUMBER('자료_미국심리'!$A945),ISNUMBER('자료_미국심리'!$B945)),'자료_미국심리'!$A945,"")</f>
        <v/>
      </c>
      <c r="P961">
        <f>IF(AND(ISNUMBER('자료_미국심리'!$D945),ISNUMBER('자료_미국심리'!$E945)),'자료_미국심리'!$D945,"")</f>
        <v/>
      </c>
      <c r="Q961">
        <f>IF(AND(ISNUMBER('자료_미국심리'!$G945),ISNUMBER('자료_미국심리'!$H945)),'자료_미국심리'!$G945,"")</f>
        <v/>
      </c>
    </row>
    <row r="962">
      <c r="A962" s="10">
        <f>IF(944&gt;$E$5,"",SMALL($O$19:$O$4018,$E$6+944))</f>
        <v/>
      </c>
      <c r="B962" s="29">
        <f>IF(A962="","",INDEX('자료_미국심리'!$B$3:$B$4002,MATCH(A962,$O$19:$O$4018,0)))</f>
        <v/>
      </c>
      <c r="C962" s="22">
        <f>IF(A962="","",B962/AVERAGE(B838:B962)-1)</f>
        <v/>
      </c>
      <c r="D962" s="29">
        <f>IF(A962="","",IFERROR(INDEX('자료_미국심리'!$E$3:$E$4002,MATCH(A962,$P$19:$P$4018,0)),D961))</f>
        <v/>
      </c>
      <c r="E962" s="29">
        <f>IF(A962="","",IFERROR(INDEX('자료_미국심리'!$H$3:$H$4002,MATCH(A962,$Q$19:$Q$4018,0)),E961))</f>
        <v/>
      </c>
      <c r="F962">
        <f>IF(A962="",0,IF(A962&gt;$B$5,1,0))</f>
        <v/>
      </c>
      <c r="G962" s="29">
        <f>IF(AND(F962=1,ISNUMBER(D962)),D962,"")</f>
        <v/>
      </c>
      <c r="H962" s="29">
        <f>IF(AND(F962=1,ISNUMBER(E962)),E962,"")</f>
        <v/>
      </c>
      <c r="I962" s="22">
        <f>IF(AND(F962=1,ISNUMBER(C962)),C962,"")</f>
        <v/>
      </c>
      <c r="J962" s="11">
        <f>IF(G962="","",100-IF($G$13=1,50,(_xlfn.RANK.AVG(G962,$G$19:$G$1518,1)-1)/($G$13-1)*100))</f>
        <v/>
      </c>
      <c r="K962" s="11">
        <f>IF(H962="","",100-IF($G$14=1,50,(_xlfn.RANK.AVG(H962,$H$19:$H$1518,1)-1)/($G$14-1)*100))</f>
        <v/>
      </c>
      <c r="L962" s="11">
        <f>IF(I962="","",IF($G$15=1,50,(_xlfn.RANK.AVG(I962,$I$19:$I$1518,1)-1)/($G$15-1)*100))</f>
        <v/>
      </c>
      <c r="M962" s="11">
        <f>IF(COUNT(J962:L962)=3,ROUND(AVERAGE(J962:L962),6),"")</f>
        <v/>
      </c>
      <c r="O962">
        <f>IF(AND(ISNUMBER('자료_미국심리'!$A946),ISNUMBER('자료_미국심리'!$B946)),'자료_미국심리'!$A946,"")</f>
        <v/>
      </c>
      <c r="P962">
        <f>IF(AND(ISNUMBER('자료_미국심리'!$D946),ISNUMBER('자료_미국심리'!$E946)),'자료_미국심리'!$D946,"")</f>
        <v/>
      </c>
      <c r="Q962">
        <f>IF(AND(ISNUMBER('자료_미국심리'!$G946),ISNUMBER('자료_미국심리'!$H946)),'자료_미국심리'!$G946,"")</f>
        <v/>
      </c>
    </row>
    <row r="963">
      <c r="A963" s="10">
        <f>IF(945&gt;$E$5,"",SMALL($O$19:$O$4018,$E$6+945))</f>
        <v/>
      </c>
      <c r="B963" s="29">
        <f>IF(A963="","",INDEX('자료_미국심리'!$B$3:$B$4002,MATCH(A963,$O$19:$O$4018,0)))</f>
        <v/>
      </c>
      <c r="C963" s="22">
        <f>IF(A963="","",B963/AVERAGE(B839:B963)-1)</f>
        <v/>
      </c>
      <c r="D963" s="29">
        <f>IF(A963="","",IFERROR(INDEX('자료_미국심리'!$E$3:$E$4002,MATCH(A963,$P$19:$P$4018,0)),D962))</f>
        <v/>
      </c>
      <c r="E963" s="29">
        <f>IF(A963="","",IFERROR(INDEX('자료_미국심리'!$H$3:$H$4002,MATCH(A963,$Q$19:$Q$4018,0)),E962))</f>
        <v/>
      </c>
      <c r="F963">
        <f>IF(A963="",0,IF(A963&gt;$B$5,1,0))</f>
        <v/>
      </c>
      <c r="G963" s="29">
        <f>IF(AND(F963=1,ISNUMBER(D963)),D963,"")</f>
        <v/>
      </c>
      <c r="H963" s="29">
        <f>IF(AND(F963=1,ISNUMBER(E963)),E963,"")</f>
        <v/>
      </c>
      <c r="I963" s="22">
        <f>IF(AND(F963=1,ISNUMBER(C963)),C963,"")</f>
        <v/>
      </c>
      <c r="J963" s="11">
        <f>IF(G963="","",100-IF($G$13=1,50,(_xlfn.RANK.AVG(G963,$G$19:$G$1518,1)-1)/($G$13-1)*100))</f>
        <v/>
      </c>
      <c r="K963" s="11">
        <f>IF(H963="","",100-IF($G$14=1,50,(_xlfn.RANK.AVG(H963,$H$19:$H$1518,1)-1)/($G$14-1)*100))</f>
        <v/>
      </c>
      <c r="L963" s="11">
        <f>IF(I963="","",IF($G$15=1,50,(_xlfn.RANK.AVG(I963,$I$19:$I$1518,1)-1)/($G$15-1)*100))</f>
        <v/>
      </c>
      <c r="M963" s="11">
        <f>IF(COUNT(J963:L963)=3,ROUND(AVERAGE(J963:L963),6),"")</f>
        <v/>
      </c>
      <c r="O963">
        <f>IF(AND(ISNUMBER('자료_미국심리'!$A947),ISNUMBER('자료_미국심리'!$B947)),'자료_미국심리'!$A947,"")</f>
        <v/>
      </c>
      <c r="P963">
        <f>IF(AND(ISNUMBER('자료_미국심리'!$D947),ISNUMBER('자료_미국심리'!$E947)),'자료_미국심리'!$D947,"")</f>
        <v/>
      </c>
      <c r="Q963">
        <f>IF(AND(ISNUMBER('자료_미국심리'!$G947),ISNUMBER('자료_미국심리'!$H947)),'자료_미국심리'!$G947,"")</f>
        <v/>
      </c>
    </row>
    <row r="964">
      <c r="A964" s="10">
        <f>IF(946&gt;$E$5,"",SMALL($O$19:$O$4018,$E$6+946))</f>
        <v/>
      </c>
      <c r="B964" s="29">
        <f>IF(A964="","",INDEX('자료_미국심리'!$B$3:$B$4002,MATCH(A964,$O$19:$O$4018,0)))</f>
        <v/>
      </c>
      <c r="C964" s="22">
        <f>IF(A964="","",B964/AVERAGE(B840:B964)-1)</f>
        <v/>
      </c>
      <c r="D964" s="29">
        <f>IF(A964="","",IFERROR(INDEX('자료_미국심리'!$E$3:$E$4002,MATCH(A964,$P$19:$P$4018,0)),D963))</f>
        <v/>
      </c>
      <c r="E964" s="29">
        <f>IF(A964="","",IFERROR(INDEX('자료_미국심리'!$H$3:$H$4002,MATCH(A964,$Q$19:$Q$4018,0)),E963))</f>
        <v/>
      </c>
      <c r="F964">
        <f>IF(A964="",0,IF(A964&gt;$B$5,1,0))</f>
        <v/>
      </c>
      <c r="G964" s="29">
        <f>IF(AND(F964=1,ISNUMBER(D964)),D964,"")</f>
        <v/>
      </c>
      <c r="H964" s="29">
        <f>IF(AND(F964=1,ISNUMBER(E964)),E964,"")</f>
        <v/>
      </c>
      <c r="I964" s="22">
        <f>IF(AND(F964=1,ISNUMBER(C964)),C964,"")</f>
        <v/>
      </c>
      <c r="J964" s="11">
        <f>IF(G964="","",100-IF($G$13=1,50,(_xlfn.RANK.AVG(G964,$G$19:$G$1518,1)-1)/($G$13-1)*100))</f>
        <v/>
      </c>
      <c r="K964" s="11">
        <f>IF(H964="","",100-IF($G$14=1,50,(_xlfn.RANK.AVG(H964,$H$19:$H$1518,1)-1)/($G$14-1)*100))</f>
        <v/>
      </c>
      <c r="L964" s="11">
        <f>IF(I964="","",IF($G$15=1,50,(_xlfn.RANK.AVG(I964,$I$19:$I$1518,1)-1)/($G$15-1)*100))</f>
        <v/>
      </c>
      <c r="M964" s="11">
        <f>IF(COUNT(J964:L964)=3,ROUND(AVERAGE(J964:L964),6),"")</f>
        <v/>
      </c>
      <c r="O964">
        <f>IF(AND(ISNUMBER('자료_미국심리'!$A948),ISNUMBER('자료_미국심리'!$B948)),'자료_미국심리'!$A948,"")</f>
        <v/>
      </c>
      <c r="P964">
        <f>IF(AND(ISNUMBER('자료_미국심리'!$D948),ISNUMBER('자료_미국심리'!$E948)),'자료_미국심리'!$D948,"")</f>
        <v/>
      </c>
      <c r="Q964">
        <f>IF(AND(ISNUMBER('자료_미국심리'!$G948),ISNUMBER('자료_미국심리'!$H948)),'자료_미국심리'!$G948,"")</f>
        <v/>
      </c>
    </row>
    <row r="965">
      <c r="A965" s="10">
        <f>IF(947&gt;$E$5,"",SMALL($O$19:$O$4018,$E$6+947))</f>
        <v/>
      </c>
      <c r="B965" s="29">
        <f>IF(A965="","",INDEX('자료_미국심리'!$B$3:$B$4002,MATCH(A965,$O$19:$O$4018,0)))</f>
        <v/>
      </c>
      <c r="C965" s="22">
        <f>IF(A965="","",B965/AVERAGE(B841:B965)-1)</f>
        <v/>
      </c>
      <c r="D965" s="29">
        <f>IF(A965="","",IFERROR(INDEX('자료_미국심리'!$E$3:$E$4002,MATCH(A965,$P$19:$P$4018,0)),D964))</f>
        <v/>
      </c>
      <c r="E965" s="29">
        <f>IF(A965="","",IFERROR(INDEX('자료_미국심리'!$H$3:$H$4002,MATCH(A965,$Q$19:$Q$4018,0)),E964))</f>
        <v/>
      </c>
      <c r="F965">
        <f>IF(A965="",0,IF(A965&gt;$B$5,1,0))</f>
        <v/>
      </c>
      <c r="G965" s="29">
        <f>IF(AND(F965=1,ISNUMBER(D965)),D965,"")</f>
        <v/>
      </c>
      <c r="H965" s="29">
        <f>IF(AND(F965=1,ISNUMBER(E965)),E965,"")</f>
        <v/>
      </c>
      <c r="I965" s="22">
        <f>IF(AND(F965=1,ISNUMBER(C965)),C965,"")</f>
        <v/>
      </c>
      <c r="J965" s="11">
        <f>IF(G965="","",100-IF($G$13=1,50,(_xlfn.RANK.AVG(G965,$G$19:$G$1518,1)-1)/($G$13-1)*100))</f>
        <v/>
      </c>
      <c r="K965" s="11">
        <f>IF(H965="","",100-IF($G$14=1,50,(_xlfn.RANK.AVG(H965,$H$19:$H$1518,1)-1)/($G$14-1)*100))</f>
        <v/>
      </c>
      <c r="L965" s="11">
        <f>IF(I965="","",IF($G$15=1,50,(_xlfn.RANK.AVG(I965,$I$19:$I$1518,1)-1)/($G$15-1)*100))</f>
        <v/>
      </c>
      <c r="M965" s="11">
        <f>IF(COUNT(J965:L965)=3,ROUND(AVERAGE(J965:L965),6),"")</f>
        <v/>
      </c>
      <c r="O965">
        <f>IF(AND(ISNUMBER('자료_미국심리'!$A949),ISNUMBER('자료_미국심리'!$B949)),'자료_미국심리'!$A949,"")</f>
        <v/>
      </c>
      <c r="P965">
        <f>IF(AND(ISNUMBER('자료_미국심리'!$D949),ISNUMBER('자료_미국심리'!$E949)),'자료_미국심리'!$D949,"")</f>
        <v/>
      </c>
      <c r="Q965">
        <f>IF(AND(ISNUMBER('자료_미국심리'!$G949),ISNUMBER('자료_미국심리'!$H949)),'자료_미국심리'!$G949,"")</f>
        <v/>
      </c>
    </row>
    <row r="966">
      <c r="A966" s="10">
        <f>IF(948&gt;$E$5,"",SMALL($O$19:$O$4018,$E$6+948))</f>
        <v/>
      </c>
      <c r="B966" s="29">
        <f>IF(A966="","",INDEX('자료_미국심리'!$B$3:$B$4002,MATCH(A966,$O$19:$O$4018,0)))</f>
        <v/>
      </c>
      <c r="C966" s="22">
        <f>IF(A966="","",B966/AVERAGE(B842:B966)-1)</f>
        <v/>
      </c>
      <c r="D966" s="29">
        <f>IF(A966="","",IFERROR(INDEX('자료_미국심리'!$E$3:$E$4002,MATCH(A966,$P$19:$P$4018,0)),D965))</f>
        <v/>
      </c>
      <c r="E966" s="29">
        <f>IF(A966="","",IFERROR(INDEX('자료_미국심리'!$H$3:$H$4002,MATCH(A966,$Q$19:$Q$4018,0)),E965))</f>
        <v/>
      </c>
      <c r="F966">
        <f>IF(A966="",0,IF(A966&gt;$B$5,1,0))</f>
        <v/>
      </c>
      <c r="G966" s="29">
        <f>IF(AND(F966=1,ISNUMBER(D966)),D966,"")</f>
        <v/>
      </c>
      <c r="H966" s="29">
        <f>IF(AND(F966=1,ISNUMBER(E966)),E966,"")</f>
        <v/>
      </c>
      <c r="I966" s="22">
        <f>IF(AND(F966=1,ISNUMBER(C966)),C966,"")</f>
        <v/>
      </c>
      <c r="J966" s="11">
        <f>IF(G966="","",100-IF($G$13=1,50,(_xlfn.RANK.AVG(G966,$G$19:$G$1518,1)-1)/($G$13-1)*100))</f>
        <v/>
      </c>
      <c r="K966" s="11">
        <f>IF(H966="","",100-IF($G$14=1,50,(_xlfn.RANK.AVG(H966,$H$19:$H$1518,1)-1)/($G$14-1)*100))</f>
        <v/>
      </c>
      <c r="L966" s="11">
        <f>IF(I966="","",IF($G$15=1,50,(_xlfn.RANK.AVG(I966,$I$19:$I$1518,1)-1)/($G$15-1)*100))</f>
        <v/>
      </c>
      <c r="M966" s="11">
        <f>IF(COUNT(J966:L966)=3,ROUND(AVERAGE(J966:L966),6),"")</f>
        <v/>
      </c>
      <c r="O966">
        <f>IF(AND(ISNUMBER('자료_미국심리'!$A950),ISNUMBER('자료_미국심리'!$B950)),'자료_미국심리'!$A950,"")</f>
        <v/>
      </c>
      <c r="P966">
        <f>IF(AND(ISNUMBER('자료_미국심리'!$D950),ISNUMBER('자료_미국심리'!$E950)),'자료_미국심리'!$D950,"")</f>
        <v/>
      </c>
      <c r="Q966">
        <f>IF(AND(ISNUMBER('자료_미국심리'!$G950),ISNUMBER('자료_미국심리'!$H950)),'자료_미국심리'!$G950,"")</f>
        <v/>
      </c>
    </row>
    <row r="967">
      <c r="A967" s="10">
        <f>IF(949&gt;$E$5,"",SMALL($O$19:$O$4018,$E$6+949))</f>
        <v/>
      </c>
      <c r="B967" s="29">
        <f>IF(A967="","",INDEX('자료_미국심리'!$B$3:$B$4002,MATCH(A967,$O$19:$O$4018,0)))</f>
        <v/>
      </c>
      <c r="C967" s="22">
        <f>IF(A967="","",B967/AVERAGE(B843:B967)-1)</f>
        <v/>
      </c>
      <c r="D967" s="29">
        <f>IF(A967="","",IFERROR(INDEX('자료_미국심리'!$E$3:$E$4002,MATCH(A967,$P$19:$P$4018,0)),D966))</f>
        <v/>
      </c>
      <c r="E967" s="29">
        <f>IF(A967="","",IFERROR(INDEX('자료_미국심리'!$H$3:$H$4002,MATCH(A967,$Q$19:$Q$4018,0)),E966))</f>
        <v/>
      </c>
      <c r="F967">
        <f>IF(A967="",0,IF(A967&gt;$B$5,1,0))</f>
        <v/>
      </c>
      <c r="G967" s="29">
        <f>IF(AND(F967=1,ISNUMBER(D967)),D967,"")</f>
        <v/>
      </c>
      <c r="H967" s="29">
        <f>IF(AND(F967=1,ISNUMBER(E967)),E967,"")</f>
        <v/>
      </c>
      <c r="I967" s="22">
        <f>IF(AND(F967=1,ISNUMBER(C967)),C967,"")</f>
        <v/>
      </c>
      <c r="J967" s="11">
        <f>IF(G967="","",100-IF($G$13=1,50,(_xlfn.RANK.AVG(G967,$G$19:$G$1518,1)-1)/($G$13-1)*100))</f>
        <v/>
      </c>
      <c r="K967" s="11">
        <f>IF(H967="","",100-IF($G$14=1,50,(_xlfn.RANK.AVG(H967,$H$19:$H$1518,1)-1)/($G$14-1)*100))</f>
        <v/>
      </c>
      <c r="L967" s="11">
        <f>IF(I967="","",IF($G$15=1,50,(_xlfn.RANK.AVG(I967,$I$19:$I$1518,1)-1)/($G$15-1)*100))</f>
        <v/>
      </c>
      <c r="M967" s="11">
        <f>IF(COUNT(J967:L967)=3,ROUND(AVERAGE(J967:L967),6),"")</f>
        <v/>
      </c>
      <c r="O967">
        <f>IF(AND(ISNUMBER('자료_미국심리'!$A951),ISNUMBER('자료_미국심리'!$B951)),'자료_미국심리'!$A951,"")</f>
        <v/>
      </c>
      <c r="P967">
        <f>IF(AND(ISNUMBER('자료_미국심리'!$D951),ISNUMBER('자료_미국심리'!$E951)),'자료_미국심리'!$D951,"")</f>
        <v/>
      </c>
      <c r="Q967">
        <f>IF(AND(ISNUMBER('자료_미국심리'!$G951),ISNUMBER('자료_미국심리'!$H951)),'자료_미국심리'!$G951,"")</f>
        <v/>
      </c>
    </row>
    <row r="968">
      <c r="A968" s="10">
        <f>IF(950&gt;$E$5,"",SMALL($O$19:$O$4018,$E$6+950))</f>
        <v/>
      </c>
      <c r="B968" s="29">
        <f>IF(A968="","",INDEX('자료_미국심리'!$B$3:$B$4002,MATCH(A968,$O$19:$O$4018,0)))</f>
        <v/>
      </c>
      <c r="C968" s="22">
        <f>IF(A968="","",B968/AVERAGE(B844:B968)-1)</f>
        <v/>
      </c>
      <c r="D968" s="29">
        <f>IF(A968="","",IFERROR(INDEX('자료_미국심리'!$E$3:$E$4002,MATCH(A968,$P$19:$P$4018,0)),D967))</f>
        <v/>
      </c>
      <c r="E968" s="29">
        <f>IF(A968="","",IFERROR(INDEX('자료_미국심리'!$H$3:$H$4002,MATCH(A968,$Q$19:$Q$4018,0)),E967))</f>
        <v/>
      </c>
      <c r="F968">
        <f>IF(A968="",0,IF(A968&gt;$B$5,1,0))</f>
        <v/>
      </c>
      <c r="G968" s="29">
        <f>IF(AND(F968=1,ISNUMBER(D968)),D968,"")</f>
        <v/>
      </c>
      <c r="H968" s="29">
        <f>IF(AND(F968=1,ISNUMBER(E968)),E968,"")</f>
        <v/>
      </c>
      <c r="I968" s="22">
        <f>IF(AND(F968=1,ISNUMBER(C968)),C968,"")</f>
        <v/>
      </c>
      <c r="J968" s="11">
        <f>IF(G968="","",100-IF($G$13=1,50,(_xlfn.RANK.AVG(G968,$G$19:$G$1518,1)-1)/($G$13-1)*100))</f>
        <v/>
      </c>
      <c r="K968" s="11">
        <f>IF(H968="","",100-IF($G$14=1,50,(_xlfn.RANK.AVG(H968,$H$19:$H$1518,1)-1)/($G$14-1)*100))</f>
        <v/>
      </c>
      <c r="L968" s="11">
        <f>IF(I968="","",IF($G$15=1,50,(_xlfn.RANK.AVG(I968,$I$19:$I$1518,1)-1)/($G$15-1)*100))</f>
        <v/>
      </c>
      <c r="M968" s="11">
        <f>IF(COUNT(J968:L968)=3,ROUND(AVERAGE(J968:L968),6),"")</f>
        <v/>
      </c>
      <c r="O968">
        <f>IF(AND(ISNUMBER('자료_미국심리'!$A952),ISNUMBER('자료_미국심리'!$B952)),'자료_미국심리'!$A952,"")</f>
        <v/>
      </c>
      <c r="P968">
        <f>IF(AND(ISNUMBER('자료_미국심리'!$D952),ISNUMBER('자료_미국심리'!$E952)),'자료_미국심리'!$D952,"")</f>
        <v/>
      </c>
      <c r="Q968">
        <f>IF(AND(ISNUMBER('자료_미국심리'!$G952),ISNUMBER('자료_미국심리'!$H952)),'자료_미국심리'!$G952,"")</f>
        <v/>
      </c>
    </row>
    <row r="969">
      <c r="A969" s="10">
        <f>IF(951&gt;$E$5,"",SMALL($O$19:$O$4018,$E$6+951))</f>
        <v/>
      </c>
      <c r="B969" s="29">
        <f>IF(A969="","",INDEX('자료_미국심리'!$B$3:$B$4002,MATCH(A969,$O$19:$O$4018,0)))</f>
        <v/>
      </c>
      <c r="C969" s="22">
        <f>IF(A969="","",B969/AVERAGE(B845:B969)-1)</f>
        <v/>
      </c>
      <c r="D969" s="29">
        <f>IF(A969="","",IFERROR(INDEX('자료_미국심리'!$E$3:$E$4002,MATCH(A969,$P$19:$P$4018,0)),D968))</f>
        <v/>
      </c>
      <c r="E969" s="29">
        <f>IF(A969="","",IFERROR(INDEX('자료_미국심리'!$H$3:$H$4002,MATCH(A969,$Q$19:$Q$4018,0)),E968))</f>
        <v/>
      </c>
      <c r="F969">
        <f>IF(A969="",0,IF(A969&gt;$B$5,1,0))</f>
        <v/>
      </c>
      <c r="G969" s="29">
        <f>IF(AND(F969=1,ISNUMBER(D969)),D969,"")</f>
        <v/>
      </c>
      <c r="H969" s="29">
        <f>IF(AND(F969=1,ISNUMBER(E969)),E969,"")</f>
        <v/>
      </c>
      <c r="I969" s="22">
        <f>IF(AND(F969=1,ISNUMBER(C969)),C969,"")</f>
        <v/>
      </c>
      <c r="J969" s="11">
        <f>IF(G969="","",100-IF($G$13=1,50,(_xlfn.RANK.AVG(G969,$G$19:$G$1518,1)-1)/($G$13-1)*100))</f>
        <v/>
      </c>
      <c r="K969" s="11">
        <f>IF(H969="","",100-IF($G$14=1,50,(_xlfn.RANK.AVG(H969,$H$19:$H$1518,1)-1)/($G$14-1)*100))</f>
        <v/>
      </c>
      <c r="L969" s="11">
        <f>IF(I969="","",IF($G$15=1,50,(_xlfn.RANK.AVG(I969,$I$19:$I$1518,1)-1)/($G$15-1)*100))</f>
        <v/>
      </c>
      <c r="M969" s="11">
        <f>IF(COUNT(J969:L969)=3,ROUND(AVERAGE(J969:L969),6),"")</f>
        <v/>
      </c>
      <c r="O969">
        <f>IF(AND(ISNUMBER('자료_미국심리'!$A953),ISNUMBER('자료_미국심리'!$B953)),'자료_미국심리'!$A953,"")</f>
        <v/>
      </c>
      <c r="P969">
        <f>IF(AND(ISNUMBER('자료_미국심리'!$D953),ISNUMBER('자료_미국심리'!$E953)),'자료_미국심리'!$D953,"")</f>
        <v/>
      </c>
      <c r="Q969">
        <f>IF(AND(ISNUMBER('자료_미국심리'!$G953),ISNUMBER('자료_미국심리'!$H953)),'자료_미국심리'!$G953,"")</f>
        <v/>
      </c>
    </row>
    <row r="970">
      <c r="A970" s="10">
        <f>IF(952&gt;$E$5,"",SMALL($O$19:$O$4018,$E$6+952))</f>
        <v/>
      </c>
      <c r="B970" s="29">
        <f>IF(A970="","",INDEX('자료_미국심리'!$B$3:$B$4002,MATCH(A970,$O$19:$O$4018,0)))</f>
        <v/>
      </c>
      <c r="C970" s="22">
        <f>IF(A970="","",B970/AVERAGE(B846:B970)-1)</f>
        <v/>
      </c>
      <c r="D970" s="29">
        <f>IF(A970="","",IFERROR(INDEX('자료_미국심리'!$E$3:$E$4002,MATCH(A970,$P$19:$P$4018,0)),D969))</f>
        <v/>
      </c>
      <c r="E970" s="29">
        <f>IF(A970="","",IFERROR(INDEX('자료_미국심리'!$H$3:$H$4002,MATCH(A970,$Q$19:$Q$4018,0)),E969))</f>
        <v/>
      </c>
      <c r="F970">
        <f>IF(A970="",0,IF(A970&gt;$B$5,1,0))</f>
        <v/>
      </c>
      <c r="G970" s="29">
        <f>IF(AND(F970=1,ISNUMBER(D970)),D970,"")</f>
        <v/>
      </c>
      <c r="H970" s="29">
        <f>IF(AND(F970=1,ISNUMBER(E970)),E970,"")</f>
        <v/>
      </c>
      <c r="I970" s="22">
        <f>IF(AND(F970=1,ISNUMBER(C970)),C970,"")</f>
        <v/>
      </c>
      <c r="J970" s="11">
        <f>IF(G970="","",100-IF($G$13=1,50,(_xlfn.RANK.AVG(G970,$G$19:$G$1518,1)-1)/($G$13-1)*100))</f>
        <v/>
      </c>
      <c r="K970" s="11">
        <f>IF(H970="","",100-IF($G$14=1,50,(_xlfn.RANK.AVG(H970,$H$19:$H$1518,1)-1)/($G$14-1)*100))</f>
        <v/>
      </c>
      <c r="L970" s="11">
        <f>IF(I970="","",IF($G$15=1,50,(_xlfn.RANK.AVG(I970,$I$19:$I$1518,1)-1)/($G$15-1)*100))</f>
        <v/>
      </c>
      <c r="M970" s="11">
        <f>IF(COUNT(J970:L970)=3,ROUND(AVERAGE(J970:L970),6),"")</f>
        <v/>
      </c>
      <c r="O970">
        <f>IF(AND(ISNUMBER('자료_미국심리'!$A954),ISNUMBER('자료_미국심리'!$B954)),'자료_미국심리'!$A954,"")</f>
        <v/>
      </c>
      <c r="P970">
        <f>IF(AND(ISNUMBER('자료_미국심리'!$D954),ISNUMBER('자료_미국심리'!$E954)),'자료_미국심리'!$D954,"")</f>
        <v/>
      </c>
      <c r="Q970">
        <f>IF(AND(ISNUMBER('자료_미국심리'!$G954),ISNUMBER('자료_미국심리'!$H954)),'자료_미국심리'!$G954,"")</f>
        <v/>
      </c>
    </row>
    <row r="971">
      <c r="A971" s="10">
        <f>IF(953&gt;$E$5,"",SMALL($O$19:$O$4018,$E$6+953))</f>
        <v/>
      </c>
      <c r="B971" s="29">
        <f>IF(A971="","",INDEX('자료_미국심리'!$B$3:$B$4002,MATCH(A971,$O$19:$O$4018,0)))</f>
        <v/>
      </c>
      <c r="C971" s="22">
        <f>IF(A971="","",B971/AVERAGE(B847:B971)-1)</f>
        <v/>
      </c>
      <c r="D971" s="29">
        <f>IF(A971="","",IFERROR(INDEX('자료_미국심리'!$E$3:$E$4002,MATCH(A971,$P$19:$P$4018,0)),D970))</f>
        <v/>
      </c>
      <c r="E971" s="29">
        <f>IF(A971="","",IFERROR(INDEX('자료_미국심리'!$H$3:$H$4002,MATCH(A971,$Q$19:$Q$4018,0)),E970))</f>
        <v/>
      </c>
      <c r="F971">
        <f>IF(A971="",0,IF(A971&gt;$B$5,1,0))</f>
        <v/>
      </c>
      <c r="G971" s="29">
        <f>IF(AND(F971=1,ISNUMBER(D971)),D971,"")</f>
        <v/>
      </c>
      <c r="H971" s="29">
        <f>IF(AND(F971=1,ISNUMBER(E971)),E971,"")</f>
        <v/>
      </c>
      <c r="I971" s="22">
        <f>IF(AND(F971=1,ISNUMBER(C971)),C971,"")</f>
        <v/>
      </c>
      <c r="J971" s="11">
        <f>IF(G971="","",100-IF($G$13=1,50,(_xlfn.RANK.AVG(G971,$G$19:$G$1518,1)-1)/($G$13-1)*100))</f>
        <v/>
      </c>
      <c r="K971" s="11">
        <f>IF(H971="","",100-IF($G$14=1,50,(_xlfn.RANK.AVG(H971,$H$19:$H$1518,1)-1)/($G$14-1)*100))</f>
        <v/>
      </c>
      <c r="L971" s="11">
        <f>IF(I971="","",IF($G$15=1,50,(_xlfn.RANK.AVG(I971,$I$19:$I$1518,1)-1)/($G$15-1)*100))</f>
        <v/>
      </c>
      <c r="M971" s="11">
        <f>IF(COUNT(J971:L971)=3,ROUND(AVERAGE(J971:L971),6),"")</f>
        <v/>
      </c>
      <c r="O971">
        <f>IF(AND(ISNUMBER('자료_미국심리'!$A955),ISNUMBER('자료_미국심리'!$B955)),'자료_미국심리'!$A955,"")</f>
        <v/>
      </c>
      <c r="P971">
        <f>IF(AND(ISNUMBER('자료_미국심리'!$D955),ISNUMBER('자료_미국심리'!$E955)),'자료_미국심리'!$D955,"")</f>
        <v/>
      </c>
      <c r="Q971">
        <f>IF(AND(ISNUMBER('자료_미국심리'!$G955),ISNUMBER('자료_미국심리'!$H955)),'자료_미국심리'!$G955,"")</f>
        <v/>
      </c>
    </row>
    <row r="972">
      <c r="A972" s="10">
        <f>IF(954&gt;$E$5,"",SMALL($O$19:$O$4018,$E$6+954))</f>
        <v/>
      </c>
      <c r="B972" s="29">
        <f>IF(A972="","",INDEX('자료_미국심리'!$B$3:$B$4002,MATCH(A972,$O$19:$O$4018,0)))</f>
        <v/>
      </c>
      <c r="C972" s="22">
        <f>IF(A972="","",B972/AVERAGE(B848:B972)-1)</f>
        <v/>
      </c>
      <c r="D972" s="29">
        <f>IF(A972="","",IFERROR(INDEX('자료_미국심리'!$E$3:$E$4002,MATCH(A972,$P$19:$P$4018,0)),D971))</f>
        <v/>
      </c>
      <c r="E972" s="29">
        <f>IF(A972="","",IFERROR(INDEX('자료_미국심리'!$H$3:$H$4002,MATCH(A972,$Q$19:$Q$4018,0)),E971))</f>
        <v/>
      </c>
      <c r="F972">
        <f>IF(A972="",0,IF(A972&gt;$B$5,1,0))</f>
        <v/>
      </c>
      <c r="G972" s="29">
        <f>IF(AND(F972=1,ISNUMBER(D972)),D972,"")</f>
        <v/>
      </c>
      <c r="H972" s="29">
        <f>IF(AND(F972=1,ISNUMBER(E972)),E972,"")</f>
        <v/>
      </c>
      <c r="I972" s="22">
        <f>IF(AND(F972=1,ISNUMBER(C972)),C972,"")</f>
        <v/>
      </c>
      <c r="J972" s="11">
        <f>IF(G972="","",100-IF($G$13=1,50,(_xlfn.RANK.AVG(G972,$G$19:$G$1518,1)-1)/($G$13-1)*100))</f>
        <v/>
      </c>
      <c r="K972" s="11">
        <f>IF(H972="","",100-IF($G$14=1,50,(_xlfn.RANK.AVG(H972,$H$19:$H$1518,1)-1)/($G$14-1)*100))</f>
        <v/>
      </c>
      <c r="L972" s="11">
        <f>IF(I972="","",IF($G$15=1,50,(_xlfn.RANK.AVG(I972,$I$19:$I$1518,1)-1)/($G$15-1)*100))</f>
        <v/>
      </c>
      <c r="M972" s="11">
        <f>IF(COUNT(J972:L972)=3,ROUND(AVERAGE(J972:L972),6),"")</f>
        <v/>
      </c>
      <c r="O972">
        <f>IF(AND(ISNUMBER('자료_미국심리'!$A956),ISNUMBER('자료_미국심리'!$B956)),'자료_미국심리'!$A956,"")</f>
        <v/>
      </c>
      <c r="P972">
        <f>IF(AND(ISNUMBER('자료_미국심리'!$D956),ISNUMBER('자료_미국심리'!$E956)),'자료_미국심리'!$D956,"")</f>
        <v/>
      </c>
      <c r="Q972">
        <f>IF(AND(ISNUMBER('자료_미국심리'!$G956),ISNUMBER('자료_미국심리'!$H956)),'자료_미국심리'!$G956,"")</f>
        <v/>
      </c>
    </row>
    <row r="973">
      <c r="A973" s="10">
        <f>IF(955&gt;$E$5,"",SMALL($O$19:$O$4018,$E$6+955))</f>
        <v/>
      </c>
      <c r="B973" s="29">
        <f>IF(A973="","",INDEX('자료_미국심리'!$B$3:$B$4002,MATCH(A973,$O$19:$O$4018,0)))</f>
        <v/>
      </c>
      <c r="C973" s="22">
        <f>IF(A973="","",B973/AVERAGE(B849:B973)-1)</f>
        <v/>
      </c>
      <c r="D973" s="29">
        <f>IF(A973="","",IFERROR(INDEX('자료_미국심리'!$E$3:$E$4002,MATCH(A973,$P$19:$P$4018,0)),D972))</f>
        <v/>
      </c>
      <c r="E973" s="29">
        <f>IF(A973="","",IFERROR(INDEX('자료_미국심리'!$H$3:$H$4002,MATCH(A973,$Q$19:$Q$4018,0)),E972))</f>
        <v/>
      </c>
      <c r="F973">
        <f>IF(A973="",0,IF(A973&gt;$B$5,1,0))</f>
        <v/>
      </c>
      <c r="G973" s="29">
        <f>IF(AND(F973=1,ISNUMBER(D973)),D973,"")</f>
        <v/>
      </c>
      <c r="H973" s="29">
        <f>IF(AND(F973=1,ISNUMBER(E973)),E973,"")</f>
        <v/>
      </c>
      <c r="I973" s="22">
        <f>IF(AND(F973=1,ISNUMBER(C973)),C973,"")</f>
        <v/>
      </c>
      <c r="J973" s="11">
        <f>IF(G973="","",100-IF($G$13=1,50,(_xlfn.RANK.AVG(G973,$G$19:$G$1518,1)-1)/($G$13-1)*100))</f>
        <v/>
      </c>
      <c r="K973" s="11">
        <f>IF(H973="","",100-IF($G$14=1,50,(_xlfn.RANK.AVG(H973,$H$19:$H$1518,1)-1)/($G$14-1)*100))</f>
        <v/>
      </c>
      <c r="L973" s="11">
        <f>IF(I973="","",IF($G$15=1,50,(_xlfn.RANK.AVG(I973,$I$19:$I$1518,1)-1)/($G$15-1)*100))</f>
        <v/>
      </c>
      <c r="M973" s="11">
        <f>IF(COUNT(J973:L973)=3,ROUND(AVERAGE(J973:L973),6),"")</f>
        <v/>
      </c>
      <c r="O973">
        <f>IF(AND(ISNUMBER('자료_미국심리'!$A957),ISNUMBER('자료_미국심리'!$B957)),'자료_미국심리'!$A957,"")</f>
        <v/>
      </c>
      <c r="P973">
        <f>IF(AND(ISNUMBER('자료_미국심리'!$D957),ISNUMBER('자료_미국심리'!$E957)),'자료_미국심리'!$D957,"")</f>
        <v/>
      </c>
      <c r="Q973">
        <f>IF(AND(ISNUMBER('자료_미국심리'!$G957),ISNUMBER('자료_미국심리'!$H957)),'자료_미국심리'!$G957,"")</f>
        <v/>
      </c>
    </row>
    <row r="974">
      <c r="A974" s="10">
        <f>IF(956&gt;$E$5,"",SMALL($O$19:$O$4018,$E$6+956))</f>
        <v/>
      </c>
      <c r="B974" s="29">
        <f>IF(A974="","",INDEX('자료_미국심리'!$B$3:$B$4002,MATCH(A974,$O$19:$O$4018,0)))</f>
        <v/>
      </c>
      <c r="C974" s="22">
        <f>IF(A974="","",B974/AVERAGE(B850:B974)-1)</f>
        <v/>
      </c>
      <c r="D974" s="29">
        <f>IF(A974="","",IFERROR(INDEX('자료_미국심리'!$E$3:$E$4002,MATCH(A974,$P$19:$P$4018,0)),D973))</f>
        <v/>
      </c>
      <c r="E974" s="29">
        <f>IF(A974="","",IFERROR(INDEX('자료_미국심리'!$H$3:$H$4002,MATCH(A974,$Q$19:$Q$4018,0)),E973))</f>
        <v/>
      </c>
      <c r="F974">
        <f>IF(A974="",0,IF(A974&gt;$B$5,1,0))</f>
        <v/>
      </c>
      <c r="G974" s="29">
        <f>IF(AND(F974=1,ISNUMBER(D974)),D974,"")</f>
        <v/>
      </c>
      <c r="H974" s="29">
        <f>IF(AND(F974=1,ISNUMBER(E974)),E974,"")</f>
        <v/>
      </c>
      <c r="I974" s="22">
        <f>IF(AND(F974=1,ISNUMBER(C974)),C974,"")</f>
        <v/>
      </c>
      <c r="J974" s="11">
        <f>IF(G974="","",100-IF($G$13=1,50,(_xlfn.RANK.AVG(G974,$G$19:$G$1518,1)-1)/($G$13-1)*100))</f>
        <v/>
      </c>
      <c r="K974" s="11">
        <f>IF(H974="","",100-IF($G$14=1,50,(_xlfn.RANK.AVG(H974,$H$19:$H$1518,1)-1)/($G$14-1)*100))</f>
        <v/>
      </c>
      <c r="L974" s="11">
        <f>IF(I974="","",IF($G$15=1,50,(_xlfn.RANK.AVG(I974,$I$19:$I$1518,1)-1)/($G$15-1)*100))</f>
        <v/>
      </c>
      <c r="M974" s="11">
        <f>IF(COUNT(J974:L974)=3,ROUND(AVERAGE(J974:L974),6),"")</f>
        <v/>
      </c>
      <c r="O974">
        <f>IF(AND(ISNUMBER('자료_미국심리'!$A958),ISNUMBER('자료_미국심리'!$B958)),'자료_미국심리'!$A958,"")</f>
        <v/>
      </c>
      <c r="P974">
        <f>IF(AND(ISNUMBER('자료_미국심리'!$D958),ISNUMBER('자료_미국심리'!$E958)),'자료_미국심리'!$D958,"")</f>
        <v/>
      </c>
      <c r="Q974">
        <f>IF(AND(ISNUMBER('자료_미국심리'!$G958),ISNUMBER('자료_미국심리'!$H958)),'자료_미국심리'!$G958,"")</f>
        <v/>
      </c>
    </row>
    <row r="975">
      <c r="A975" s="10">
        <f>IF(957&gt;$E$5,"",SMALL($O$19:$O$4018,$E$6+957))</f>
        <v/>
      </c>
      <c r="B975" s="29">
        <f>IF(A975="","",INDEX('자료_미국심리'!$B$3:$B$4002,MATCH(A975,$O$19:$O$4018,0)))</f>
        <v/>
      </c>
      <c r="C975" s="22">
        <f>IF(A975="","",B975/AVERAGE(B851:B975)-1)</f>
        <v/>
      </c>
      <c r="D975" s="29">
        <f>IF(A975="","",IFERROR(INDEX('자료_미국심리'!$E$3:$E$4002,MATCH(A975,$P$19:$P$4018,0)),D974))</f>
        <v/>
      </c>
      <c r="E975" s="29">
        <f>IF(A975="","",IFERROR(INDEX('자료_미국심리'!$H$3:$H$4002,MATCH(A975,$Q$19:$Q$4018,0)),E974))</f>
        <v/>
      </c>
      <c r="F975">
        <f>IF(A975="",0,IF(A975&gt;$B$5,1,0))</f>
        <v/>
      </c>
      <c r="G975" s="29">
        <f>IF(AND(F975=1,ISNUMBER(D975)),D975,"")</f>
        <v/>
      </c>
      <c r="H975" s="29">
        <f>IF(AND(F975=1,ISNUMBER(E975)),E975,"")</f>
        <v/>
      </c>
      <c r="I975" s="22">
        <f>IF(AND(F975=1,ISNUMBER(C975)),C975,"")</f>
        <v/>
      </c>
      <c r="J975" s="11">
        <f>IF(G975="","",100-IF($G$13=1,50,(_xlfn.RANK.AVG(G975,$G$19:$G$1518,1)-1)/($G$13-1)*100))</f>
        <v/>
      </c>
      <c r="K975" s="11">
        <f>IF(H975="","",100-IF($G$14=1,50,(_xlfn.RANK.AVG(H975,$H$19:$H$1518,1)-1)/($G$14-1)*100))</f>
        <v/>
      </c>
      <c r="L975" s="11">
        <f>IF(I975="","",IF($G$15=1,50,(_xlfn.RANK.AVG(I975,$I$19:$I$1518,1)-1)/($G$15-1)*100))</f>
        <v/>
      </c>
      <c r="M975" s="11">
        <f>IF(COUNT(J975:L975)=3,ROUND(AVERAGE(J975:L975),6),"")</f>
        <v/>
      </c>
      <c r="O975">
        <f>IF(AND(ISNUMBER('자료_미국심리'!$A959),ISNUMBER('자료_미국심리'!$B959)),'자료_미국심리'!$A959,"")</f>
        <v/>
      </c>
      <c r="P975">
        <f>IF(AND(ISNUMBER('자료_미국심리'!$D959),ISNUMBER('자료_미국심리'!$E959)),'자료_미국심리'!$D959,"")</f>
        <v/>
      </c>
      <c r="Q975">
        <f>IF(AND(ISNUMBER('자료_미국심리'!$G959),ISNUMBER('자료_미국심리'!$H959)),'자료_미국심리'!$G959,"")</f>
        <v/>
      </c>
    </row>
    <row r="976">
      <c r="A976" s="10">
        <f>IF(958&gt;$E$5,"",SMALL($O$19:$O$4018,$E$6+958))</f>
        <v/>
      </c>
      <c r="B976" s="29">
        <f>IF(A976="","",INDEX('자료_미국심리'!$B$3:$B$4002,MATCH(A976,$O$19:$O$4018,0)))</f>
        <v/>
      </c>
      <c r="C976" s="22">
        <f>IF(A976="","",B976/AVERAGE(B852:B976)-1)</f>
        <v/>
      </c>
      <c r="D976" s="29">
        <f>IF(A976="","",IFERROR(INDEX('자료_미국심리'!$E$3:$E$4002,MATCH(A976,$P$19:$P$4018,0)),D975))</f>
        <v/>
      </c>
      <c r="E976" s="29">
        <f>IF(A976="","",IFERROR(INDEX('자료_미국심리'!$H$3:$H$4002,MATCH(A976,$Q$19:$Q$4018,0)),E975))</f>
        <v/>
      </c>
      <c r="F976">
        <f>IF(A976="",0,IF(A976&gt;$B$5,1,0))</f>
        <v/>
      </c>
      <c r="G976" s="29">
        <f>IF(AND(F976=1,ISNUMBER(D976)),D976,"")</f>
        <v/>
      </c>
      <c r="H976" s="29">
        <f>IF(AND(F976=1,ISNUMBER(E976)),E976,"")</f>
        <v/>
      </c>
      <c r="I976" s="22">
        <f>IF(AND(F976=1,ISNUMBER(C976)),C976,"")</f>
        <v/>
      </c>
      <c r="J976" s="11">
        <f>IF(G976="","",100-IF($G$13=1,50,(_xlfn.RANK.AVG(G976,$G$19:$G$1518,1)-1)/($G$13-1)*100))</f>
        <v/>
      </c>
      <c r="K976" s="11">
        <f>IF(H976="","",100-IF($G$14=1,50,(_xlfn.RANK.AVG(H976,$H$19:$H$1518,1)-1)/($G$14-1)*100))</f>
        <v/>
      </c>
      <c r="L976" s="11">
        <f>IF(I976="","",IF($G$15=1,50,(_xlfn.RANK.AVG(I976,$I$19:$I$1518,1)-1)/($G$15-1)*100))</f>
        <v/>
      </c>
      <c r="M976" s="11">
        <f>IF(COUNT(J976:L976)=3,ROUND(AVERAGE(J976:L976),6),"")</f>
        <v/>
      </c>
      <c r="O976">
        <f>IF(AND(ISNUMBER('자료_미국심리'!$A960),ISNUMBER('자료_미국심리'!$B960)),'자료_미국심리'!$A960,"")</f>
        <v/>
      </c>
      <c r="P976">
        <f>IF(AND(ISNUMBER('자료_미국심리'!$D960),ISNUMBER('자료_미국심리'!$E960)),'자료_미국심리'!$D960,"")</f>
        <v/>
      </c>
      <c r="Q976">
        <f>IF(AND(ISNUMBER('자료_미국심리'!$G960),ISNUMBER('자료_미국심리'!$H960)),'자료_미국심리'!$G960,"")</f>
        <v/>
      </c>
    </row>
    <row r="977">
      <c r="A977" s="10">
        <f>IF(959&gt;$E$5,"",SMALL($O$19:$O$4018,$E$6+959))</f>
        <v/>
      </c>
      <c r="B977" s="29">
        <f>IF(A977="","",INDEX('자료_미국심리'!$B$3:$B$4002,MATCH(A977,$O$19:$O$4018,0)))</f>
        <v/>
      </c>
      <c r="C977" s="22">
        <f>IF(A977="","",B977/AVERAGE(B853:B977)-1)</f>
        <v/>
      </c>
      <c r="D977" s="29">
        <f>IF(A977="","",IFERROR(INDEX('자료_미국심리'!$E$3:$E$4002,MATCH(A977,$P$19:$P$4018,0)),D976))</f>
        <v/>
      </c>
      <c r="E977" s="29">
        <f>IF(A977="","",IFERROR(INDEX('자료_미국심리'!$H$3:$H$4002,MATCH(A977,$Q$19:$Q$4018,0)),E976))</f>
        <v/>
      </c>
      <c r="F977">
        <f>IF(A977="",0,IF(A977&gt;$B$5,1,0))</f>
        <v/>
      </c>
      <c r="G977" s="29">
        <f>IF(AND(F977=1,ISNUMBER(D977)),D977,"")</f>
        <v/>
      </c>
      <c r="H977" s="29">
        <f>IF(AND(F977=1,ISNUMBER(E977)),E977,"")</f>
        <v/>
      </c>
      <c r="I977" s="22">
        <f>IF(AND(F977=1,ISNUMBER(C977)),C977,"")</f>
        <v/>
      </c>
      <c r="J977" s="11">
        <f>IF(G977="","",100-IF($G$13=1,50,(_xlfn.RANK.AVG(G977,$G$19:$G$1518,1)-1)/($G$13-1)*100))</f>
        <v/>
      </c>
      <c r="K977" s="11">
        <f>IF(H977="","",100-IF($G$14=1,50,(_xlfn.RANK.AVG(H977,$H$19:$H$1518,1)-1)/($G$14-1)*100))</f>
        <v/>
      </c>
      <c r="L977" s="11">
        <f>IF(I977="","",IF($G$15=1,50,(_xlfn.RANK.AVG(I977,$I$19:$I$1518,1)-1)/($G$15-1)*100))</f>
        <v/>
      </c>
      <c r="M977" s="11">
        <f>IF(COUNT(J977:L977)=3,ROUND(AVERAGE(J977:L977),6),"")</f>
        <v/>
      </c>
      <c r="O977">
        <f>IF(AND(ISNUMBER('자료_미국심리'!$A961),ISNUMBER('자료_미국심리'!$B961)),'자료_미국심리'!$A961,"")</f>
        <v/>
      </c>
      <c r="P977">
        <f>IF(AND(ISNUMBER('자료_미국심리'!$D961),ISNUMBER('자료_미국심리'!$E961)),'자료_미국심리'!$D961,"")</f>
        <v/>
      </c>
      <c r="Q977">
        <f>IF(AND(ISNUMBER('자료_미국심리'!$G961),ISNUMBER('자료_미국심리'!$H961)),'자료_미국심리'!$G961,"")</f>
        <v/>
      </c>
    </row>
    <row r="978">
      <c r="A978" s="10">
        <f>IF(960&gt;$E$5,"",SMALL($O$19:$O$4018,$E$6+960))</f>
        <v/>
      </c>
      <c r="B978" s="29">
        <f>IF(A978="","",INDEX('자료_미국심리'!$B$3:$B$4002,MATCH(A978,$O$19:$O$4018,0)))</f>
        <v/>
      </c>
      <c r="C978" s="22">
        <f>IF(A978="","",B978/AVERAGE(B854:B978)-1)</f>
        <v/>
      </c>
      <c r="D978" s="29">
        <f>IF(A978="","",IFERROR(INDEX('자료_미국심리'!$E$3:$E$4002,MATCH(A978,$P$19:$P$4018,0)),D977))</f>
        <v/>
      </c>
      <c r="E978" s="29">
        <f>IF(A978="","",IFERROR(INDEX('자료_미국심리'!$H$3:$H$4002,MATCH(A978,$Q$19:$Q$4018,0)),E977))</f>
        <v/>
      </c>
      <c r="F978">
        <f>IF(A978="",0,IF(A978&gt;$B$5,1,0))</f>
        <v/>
      </c>
      <c r="G978" s="29">
        <f>IF(AND(F978=1,ISNUMBER(D978)),D978,"")</f>
        <v/>
      </c>
      <c r="H978" s="29">
        <f>IF(AND(F978=1,ISNUMBER(E978)),E978,"")</f>
        <v/>
      </c>
      <c r="I978" s="22">
        <f>IF(AND(F978=1,ISNUMBER(C978)),C978,"")</f>
        <v/>
      </c>
      <c r="J978" s="11">
        <f>IF(G978="","",100-IF($G$13=1,50,(_xlfn.RANK.AVG(G978,$G$19:$G$1518,1)-1)/($G$13-1)*100))</f>
        <v/>
      </c>
      <c r="K978" s="11">
        <f>IF(H978="","",100-IF($G$14=1,50,(_xlfn.RANK.AVG(H978,$H$19:$H$1518,1)-1)/($G$14-1)*100))</f>
        <v/>
      </c>
      <c r="L978" s="11">
        <f>IF(I978="","",IF($G$15=1,50,(_xlfn.RANK.AVG(I978,$I$19:$I$1518,1)-1)/($G$15-1)*100))</f>
        <v/>
      </c>
      <c r="M978" s="11">
        <f>IF(COUNT(J978:L978)=3,ROUND(AVERAGE(J978:L978),6),"")</f>
        <v/>
      </c>
      <c r="O978">
        <f>IF(AND(ISNUMBER('자료_미국심리'!$A962),ISNUMBER('자료_미국심리'!$B962)),'자료_미국심리'!$A962,"")</f>
        <v/>
      </c>
      <c r="P978">
        <f>IF(AND(ISNUMBER('자료_미국심리'!$D962),ISNUMBER('자료_미국심리'!$E962)),'자료_미국심리'!$D962,"")</f>
        <v/>
      </c>
      <c r="Q978">
        <f>IF(AND(ISNUMBER('자료_미국심리'!$G962),ISNUMBER('자료_미국심리'!$H962)),'자료_미국심리'!$G962,"")</f>
        <v/>
      </c>
    </row>
    <row r="979">
      <c r="A979" s="10">
        <f>IF(961&gt;$E$5,"",SMALL($O$19:$O$4018,$E$6+961))</f>
        <v/>
      </c>
      <c r="B979" s="29">
        <f>IF(A979="","",INDEX('자료_미국심리'!$B$3:$B$4002,MATCH(A979,$O$19:$O$4018,0)))</f>
        <v/>
      </c>
      <c r="C979" s="22">
        <f>IF(A979="","",B979/AVERAGE(B855:B979)-1)</f>
        <v/>
      </c>
      <c r="D979" s="29">
        <f>IF(A979="","",IFERROR(INDEX('자료_미국심리'!$E$3:$E$4002,MATCH(A979,$P$19:$P$4018,0)),D978))</f>
        <v/>
      </c>
      <c r="E979" s="29">
        <f>IF(A979="","",IFERROR(INDEX('자료_미국심리'!$H$3:$H$4002,MATCH(A979,$Q$19:$Q$4018,0)),E978))</f>
        <v/>
      </c>
      <c r="F979">
        <f>IF(A979="",0,IF(A979&gt;$B$5,1,0))</f>
        <v/>
      </c>
      <c r="G979" s="29">
        <f>IF(AND(F979=1,ISNUMBER(D979)),D979,"")</f>
        <v/>
      </c>
      <c r="H979" s="29">
        <f>IF(AND(F979=1,ISNUMBER(E979)),E979,"")</f>
        <v/>
      </c>
      <c r="I979" s="22">
        <f>IF(AND(F979=1,ISNUMBER(C979)),C979,"")</f>
        <v/>
      </c>
      <c r="J979" s="11">
        <f>IF(G979="","",100-IF($G$13=1,50,(_xlfn.RANK.AVG(G979,$G$19:$G$1518,1)-1)/($G$13-1)*100))</f>
        <v/>
      </c>
      <c r="K979" s="11">
        <f>IF(H979="","",100-IF($G$14=1,50,(_xlfn.RANK.AVG(H979,$H$19:$H$1518,1)-1)/($G$14-1)*100))</f>
        <v/>
      </c>
      <c r="L979" s="11">
        <f>IF(I979="","",IF($G$15=1,50,(_xlfn.RANK.AVG(I979,$I$19:$I$1518,1)-1)/($G$15-1)*100))</f>
        <v/>
      </c>
      <c r="M979" s="11">
        <f>IF(COUNT(J979:L979)=3,ROUND(AVERAGE(J979:L979),6),"")</f>
        <v/>
      </c>
      <c r="O979">
        <f>IF(AND(ISNUMBER('자료_미국심리'!$A963),ISNUMBER('자료_미국심리'!$B963)),'자료_미국심리'!$A963,"")</f>
        <v/>
      </c>
      <c r="P979">
        <f>IF(AND(ISNUMBER('자료_미국심리'!$D963),ISNUMBER('자료_미국심리'!$E963)),'자료_미국심리'!$D963,"")</f>
        <v/>
      </c>
      <c r="Q979">
        <f>IF(AND(ISNUMBER('자료_미국심리'!$G963),ISNUMBER('자료_미국심리'!$H963)),'자료_미국심리'!$G963,"")</f>
        <v/>
      </c>
    </row>
    <row r="980">
      <c r="A980" s="10">
        <f>IF(962&gt;$E$5,"",SMALL($O$19:$O$4018,$E$6+962))</f>
        <v/>
      </c>
      <c r="B980" s="29">
        <f>IF(A980="","",INDEX('자료_미국심리'!$B$3:$B$4002,MATCH(A980,$O$19:$O$4018,0)))</f>
        <v/>
      </c>
      <c r="C980" s="22">
        <f>IF(A980="","",B980/AVERAGE(B856:B980)-1)</f>
        <v/>
      </c>
      <c r="D980" s="29">
        <f>IF(A980="","",IFERROR(INDEX('자료_미국심리'!$E$3:$E$4002,MATCH(A980,$P$19:$P$4018,0)),D979))</f>
        <v/>
      </c>
      <c r="E980" s="29">
        <f>IF(A980="","",IFERROR(INDEX('자료_미국심리'!$H$3:$H$4002,MATCH(A980,$Q$19:$Q$4018,0)),E979))</f>
        <v/>
      </c>
      <c r="F980">
        <f>IF(A980="",0,IF(A980&gt;$B$5,1,0))</f>
        <v/>
      </c>
      <c r="G980" s="29">
        <f>IF(AND(F980=1,ISNUMBER(D980)),D980,"")</f>
        <v/>
      </c>
      <c r="H980" s="29">
        <f>IF(AND(F980=1,ISNUMBER(E980)),E980,"")</f>
        <v/>
      </c>
      <c r="I980" s="22">
        <f>IF(AND(F980=1,ISNUMBER(C980)),C980,"")</f>
        <v/>
      </c>
      <c r="J980" s="11">
        <f>IF(G980="","",100-IF($G$13=1,50,(_xlfn.RANK.AVG(G980,$G$19:$G$1518,1)-1)/($G$13-1)*100))</f>
        <v/>
      </c>
      <c r="K980" s="11">
        <f>IF(H980="","",100-IF($G$14=1,50,(_xlfn.RANK.AVG(H980,$H$19:$H$1518,1)-1)/($G$14-1)*100))</f>
        <v/>
      </c>
      <c r="L980" s="11">
        <f>IF(I980="","",IF($G$15=1,50,(_xlfn.RANK.AVG(I980,$I$19:$I$1518,1)-1)/($G$15-1)*100))</f>
        <v/>
      </c>
      <c r="M980" s="11">
        <f>IF(COUNT(J980:L980)=3,ROUND(AVERAGE(J980:L980),6),"")</f>
        <v/>
      </c>
      <c r="O980">
        <f>IF(AND(ISNUMBER('자료_미국심리'!$A964),ISNUMBER('자료_미국심리'!$B964)),'자료_미국심리'!$A964,"")</f>
        <v/>
      </c>
      <c r="P980">
        <f>IF(AND(ISNUMBER('자료_미국심리'!$D964),ISNUMBER('자료_미국심리'!$E964)),'자료_미국심리'!$D964,"")</f>
        <v/>
      </c>
      <c r="Q980">
        <f>IF(AND(ISNUMBER('자료_미국심리'!$G964),ISNUMBER('자료_미국심리'!$H964)),'자료_미국심리'!$G964,"")</f>
        <v/>
      </c>
    </row>
    <row r="981">
      <c r="A981" s="10">
        <f>IF(963&gt;$E$5,"",SMALL($O$19:$O$4018,$E$6+963))</f>
        <v/>
      </c>
      <c r="B981" s="29">
        <f>IF(A981="","",INDEX('자료_미국심리'!$B$3:$B$4002,MATCH(A981,$O$19:$O$4018,0)))</f>
        <v/>
      </c>
      <c r="C981" s="22">
        <f>IF(A981="","",B981/AVERAGE(B857:B981)-1)</f>
        <v/>
      </c>
      <c r="D981" s="29">
        <f>IF(A981="","",IFERROR(INDEX('자료_미국심리'!$E$3:$E$4002,MATCH(A981,$P$19:$P$4018,0)),D980))</f>
        <v/>
      </c>
      <c r="E981" s="29">
        <f>IF(A981="","",IFERROR(INDEX('자료_미국심리'!$H$3:$H$4002,MATCH(A981,$Q$19:$Q$4018,0)),E980))</f>
        <v/>
      </c>
      <c r="F981">
        <f>IF(A981="",0,IF(A981&gt;$B$5,1,0))</f>
        <v/>
      </c>
      <c r="G981" s="29">
        <f>IF(AND(F981=1,ISNUMBER(D981)),D981,"")</f>
        <v/>
      </c>
      <c r="H981" s="29">
        <f>IF(AND(F981=1,ISNUMBER(E981)),E981,"")</f>
        <v/>
      </c>
      <c r="I981" s="22">
        <f>IF(AND(F981=1,ISNUMBER(C981)),C981,"")</f>
        <v/>
      </c>
      <c r="J981" s="11">
        <f>IF(G981="","",100-IF($G$13=1,50,(_xlfn.RANK.AVG(G981,$G$19:$G$1518,1)-1)/($G$13-1)*100))</f>
        <v/>
      </c>
      <c r="K981" s="11">
        <f>IF(H981="","",100-IF($G$14=1,50,(_xlfn.RANK.AVG(H981,$H$19:$H$1518,1)-1)/($G$14-1)*100))</f>
        <v/>
      </c>
      <c r="L981" s="11">
        <f>IF(I981="","",IF($G$15=1,50,(_xlfn.RANK.AVG(I981,$I$19:$I$1518,1)-1)/($G$15-1)*100))</f>
        <v/>
      </c>
      <c r="M981" s="11">
        <f>IF(COUNT(J981:L981)=3,ROUND(AVERAGE(J981:L981),6),"")</f>
        <v/>
      </c>
      <c r="O981">
        <f>IF(AND(ISNUMBER('자료_미국심리'!$A965),ISNUMBER('자료_미국심리'!$B965)),'자료_미국심리'!$A965,"")</f>
        <v/>
      </c>
      <c r="P981">
        <f>IF(AND(ISNUMBER('자료_미국심리'!$D965),ISNUMBER('자료_미국심리'!$E965)),'자료_미국심리'!$D965,"")</f>
        <v/>
      </c>
      <c r="Q981">
        <f>IF(AND(ISNUMBER('자료_미국심리'!$G965),ISNUMBER('자료_미국심리'!$H965)),'자료_미국심리'!$G965,"")</f>
        <v/>
      </c>
    </row>
    <row r="982">
      <c r="A982" s="10">
        <f>IF(964&gt;$E$5,"",SMALL($O$19:$O$4018,$E$6+964))</f>
        <v/>
      </c>
      <c r="B982" s="29">
        <f>IF(A982="","",INDEX('자료_미국심리'!$B$3:$B$4002,MATCH(A982,$O$19:$O$4018,0)))</f>
        <v/>
      </c>
      <c r="C982" s="22">
        <f>IF(A982="","",B982/AVERAGE(B858:B982)-1)</f>
        <v/>
      </c>
      <c r="D982" s="29">
        <f>IF(A982="","",IFERROR(INDEX('자료_미국심리'!$E$3:$E$4002,MATCH(A982,$P$19:$P$4018,0)),D981))</f>
        <v/>
      </c>
      <c r="E982" s="29">
        <f>IF(A982="","",IFERROR(INDEX('자료_미국심리'!$H$3:$H$4002,MATCH(A982,$Q$19:$Q$4018,0)),E981))</f>
        <v/>
      </c>
      <c r="F982">
        <f>IF(A982="",0,IF(A982&gt;$B$5,1,0))</f>
        <v/>
      </c>
      <c r="G982" s="29">
        <f>IF(AND(F982=1,ISNUMBER(D982)),D982,"")</f>
        <v/>
      </c>
      <c r="H982" s="29">
        <f>IF(AND(F982=1,ISNUMBER(E982)),E982,"")</f>
        <v/>
      </c>
      <c r="I982" s="22">
        <f>IF(AND(F982=1,ISNUMBER(C982)),C982,"")</f>
        <v/>
      </c>
      <c r="J982" s="11">
        <f>IF(G982="","",100-IF($G$13=1,50,(_xlfn.RANK.AVG(G982,$G$19:$G$1518,1)-1)/($G$13-1)*100))</f>
        <v/>
      </c>
      <c r="K982" s="11">
        <f>IF(H982="","",100-IF($G$14=1,50,(_xlfn.RANK.AVG(H982,$H$19:$H$1518,1)-1)/($G$14-1)*100))</f>
        <v/>
      </c>
      <c r="L982" s="11">
        <f>IF(I982="","",IF($G$15=1,50,(_xlfn.RANK.AVG(I982,$I$19:$I$1518,1)-1)/($G$15-1)*100))</f>
        <v/>
      </c>
      <c r="M982" s="11">
        <f>IF(COUNT(J982:L982)=3,ROUND(AVERAGE(J982:L982),6),"")</f>
        <v/>
      </c>
      <c r="O982">
        <f>IF(AND(ISNUMBER('자료_미국심리'!$A966),ISNUMBER('자료_미국심리'!$B966)),'자료_미국심리'!$A966,"")</f>
        <v/>
      </c>
      <c r="P982">
        <f>IF(AND(ISNUMBER('자료_미국심리'!$D966),ISNUMBER('자료_미국심리'!$E966)),'자료_미국심리'!$D966,"")</f>
        <v/>
      </c>
      <c r="Q982">
        <f>IF(AND(ISNUMBER('자료_미국심리'!$G966),ISNUMBER('자료_미국심리'!$H966)),'자료_미국심리'!$G966,"")</f>
        <v/>
      </c>
    </row>
    <row r="983">
      <c r="A983" s="10">
        <f>IF(965&gt;$E$5,"",SMALL($O$19:$O$4018,$E$6+965))</f>
        <v/>
      </c>
      <c r="B983" s="29">
        <f>IF(A983="","",INDEX('자료_미국심리'!$B$3:$B$4002,MATCH(A983,$O$19:$O$4018,0)))</f>
        <v/>
      </c>
      <c r="C983" s="22">
        <f>IF(A983="","",B983/AVERAGE(B859:B983)-1)</f>
        <v/>
      </c>
      <c r="D983" s="29">
        <f>IF(A983="","",IFERROR(INDEX('자료_미국심리'!$E$3:$E$4002,MATCH(A983,$P$19:$P$4018,0)),D982))</f>
        <v/>
      </c>
      <c r="E983" s="29">
        <f>IF(A983="","",IFERROR(INDEX('자료_미국심리'!$H$3:$H$4002,MATCH(A983,$Q$19:$Q$4018,0)),E982))</f>
        <v/>
      </c>
      <c r="F983">
        <f>IF(A983="",0,IF(A983&gt;$B$5,1,0))</f>
        <v/>
      </c>
      <c r="G983" s="29">
        <f>IF(AND(F983=1,ISNUMBER(D983)),D983,"")</f>
        <v/>
      </c>
      <c r="H983" s="29">
        <f>IF(AND(F983=1,ISNUMBER(E983)),E983,"")</f>
        <v/>
      </c>
      <c r="I983" s="22">
        <f>IF(AND(F983=1,ISNUMBER(C983)),C983,"")</f>
        <v/>
      </c>
      <c r="J983" s="11">
        <f>IF(G983="","",100-IF($G$13=1,50,(_xlfn.RANK.AVG(G983,$G$19:$G$1518,1)-1)/($G$13-1)*100))</f>
        <v/>
      </c>
      <c r="K983" s="11">
        <f>IF(H983="","",100-IF($G$14=1,50,(_xlfn.RANK.AVG(H983,$H$19:$H$1518,1)-1)/($G$14-1)*100))</f>
        <v/>
      </c>
      <c r="L983" s="11">
        <f>IF(I983="","",IF($G$15=1,50,(_xlfn.RANK.AVG(I983,$I$19:$I$1518,1)-1)/($G$15-1)*100))</f>
        <v/>
      </c>
      <c r="M983" s="11">
        <f>IF(COUNT(J983:L983)=3,ROUND(AVERAGE(J983:L983),6),"")</f>
        <v/>
      </c>
      <c r="O983">
        <f>IF(AND(ISNUMBER('자료_미국심리'!$A967),ISNUMBER('자료_미국심리'!$B967)),'자료_미국심리'!$A967,"")</f>
        <v/>
      </c>
      <c r="P983">
        <f>IF(AND(ISNUMBER('자료_미국심리'!$D967),ISNUMBER('자료_미국심리'!$E967)),'자료_미국심리'!$D967,"")</f>
        <v/>
      </c>
      <c r="Q983">
        <f>IF(AND(ISNUMBER('자료_미국심리'!$G967),ISNUMBER('자료_미국심리'!$H967)),'자료_미국심리'!$G967,"")</f>
        <v/>
      </c>
    </row>
    <row r="984">
      <c r="A984" s="10">
        <f>IF(966&gt;$E$5,"",SMALL($O$19:$O$4018,$E$6+966))</f>
        <v/>
      </c>
      <c r="B984" s="29">
        <f>IF(A984="","",INDEX('자료_미국심리'!$B$3:$B$4002,MATCH(A984,$O$19:$O$4018,0)))</f>
        <v/>
      </c>
      <c r="C984" s="22">
        <f>IF(A984="","",B984/AVERAGE(B860:B984)-1)</f>
        <v/>
      </c>
      <c r="D984" s="29">
        <f>IF(A984="","",IFERROR(INDEX('자료_미국심리'!$E$3:$E$4002,MATCH(A984,$P$19:$P$4018,0)),D983))</f>
        <v/>
      </c>
      <c r="E984" s="29">
        <f>IF(A984="","",IFERROR(INDEX('자료_미국심리'!$H$3:$H$4002,MATCH(A984,$Q$19:$Q$4018,0)),E983))</f>
        <v/>
      </c>
      <c r="F984">
        <f>IF(A984="",0,IF(A984&gt;$B$5,1,0))</f>
        <v/>
      </c>
      <c r="G984" s="29">
        <f>IF(AND(F984=1,ISNUMBER(D984)),D984,"")</f>
        <v/>
      </c>
      <c r="H984" s="29">
        <f>IF(AND(F984=1,ISNUMBER(E984)),E984,"")</f>
        <v/>
      </c>
      <c r="I984" s="22">
        <f>IF(AND(F984=1,ISNUMBER(C984)),C984,"")</f>
        <v/>
      </c>
      <c r="J984" s="11">
        <f>IF(G984="","",100-IF($G$13=1,50,(_xlfn.RANK.AVG(G984,$G$19:$G$1518,1)-1)/($G$13-1)*100))</f>
        <v/>
      </c>
      <c r="K984" s="11">
        <f>IF(H984="","",100-IF($G$14=1,50,(_xlfn.RANK.AVG(H984,$H$19:$H$1518,1)-1)/($G$14-1)*100))</f>
        <v/>
      </c>
      <c r="L984" s="11">
        <f>IF(I984="","",IF($G$15=1,50,(_xlfn.RANK.AVG(I984,$I$19:$I$1518,1)-1)/($G$15-1)*100))</f>
        <v/>
      </c>
      <c r="M984" s="11">
        <f>IF(COUNT(J984:L984)=3,ROUND(AVERAGE(J984:L984),6),"")</f>
        <v/>
      </c>
      <c r="O984">
        <f>IF(AND(ISNUMBER('자료_미국심리'!$A968),ISNUMBER('자료_미국심리'!$B968)),'자료_미국심리'!$A968,"")</f>
        <v/>
      </c>
      <c r="P984">
        <f>IF(AND(ISNUMBER('자료_미국심리'!$D968),ISNUMBER('자료_미국심리'!$E968)),'자료_미국심리'!$D968,"")</f>
        <v/>
      </c>
      <c r="Q984">
        <f>IF(AND(ISNUMBER('자료_미국심리'!$G968),ISNUMBER('자료_미국심리'!$H968)),'자료_미국심리'!$G968,"")</f>
        <v/>
      </c>
    </row>
    <row r="985">
      <c r="A985" s="10">
        <f>IF(967&gt;$E$5,"",SMALL($O$19:$O$4018,$E$6+967))</f>
        <v/>
      </c>
      <c r="B985" s="29">
        <f>IF(A985="","",INDEX('자료_미국심리'!$B$3:$B$4002,MATCH(A985,$O$19:$O$4018,0)))</f>
        <v/>
      </c>
      <c r="C985" s="22">
        <f>IF(A985="","",B985/AVERAGE(B861:B985)-1)</f>
        <v/>
      </c>
      <c r="D985" s="29">
        <f>IF(A985="","",IFERROR(INDEX('자료_미국심리'!$E$3:$E$4002,MATCH(A985,$P$19:$P$4018,0)),D984))</f>
        <v/>
      </c>
      <c r="E985" s="29">
        <f>IF(A985="","",IFERROR(INDEX('자료_미국심리'!$H$3:$H$4002,MATCH(A985,$Q$19:$Q$4018,0)),E984))</f>
        <v/>
      </c>
      <c r="F985">
        <f>IF(A985="",0,IF(A985&gt;$B$5,1,0))</f>
        <v/>
      </c>
      <c r="G985" s="29">
        <f>IF(AND(F985=1,ISNUMBER(D985)),D985,"")</f>
        <v/>
      </c>
      <c r="H985" s="29">
        <f>IF(AND(F985=1,ISNUMBER(E985)),E985,"")</f>
        <v/>
      </c>
      <c r="I985" s="22">
        <f>IF(AND(F985=1,ISNUMBER(C985)),C985,"")</f>
        <v/>
      </c>
      <c r="J985" s="11">
        <f>IF(G985="","",100-IF($G$13=1,50,(_xlfn.RANK.AVG(G985,$G$19:$G$1518,1)-1)/($G$13-1)*100))</f>
        <v/>
      </c>
      <c r="K985" s="11">
        <f>IF(H985="","",100-IF($G$14=1,50,(_xlfn.RANK.AVG(H985,$H$19:$H$1518,1)-1)/($G$14-1)*100))</f>
        <v/>
      </c>
      <c r="L985" s="11">
        <f>IF(I985="","",IF($G$15=1,50,(_xlfn.RANK.AVG(I985,$I$19:$I$1518,1)-1)/($G$15-1)*100))</f>
        <v/>
      </c>
      <c r="M985" s="11">
        <f>IF(COUNT(J985:L985)=3,ROUND(AVERAGE(J985:L985),6),"")</f>
        <v/>
      </c>
      <c r="O985">
        <f>IF(AND(ISNUMBER('자료_미국심리'!$A969),ISNUMBER('자료_미국심리'!$B969)),'자료_미국심리'!$A969,"")</f>
        <v/>
      </c>
      <c r="P985">
        <f>IF(AND(ISNUMBER('자료_미국심리'!$D969),ISNUMBER('자료_미국심리'!$E969)),'자료_미국심리'!$D969,"")</f>
        <v/>
      </c>
      <c r="Q985">
        <f>IF(AND(ISNUMBER('자료_미국심리'!$G969),ISNUMBER('자료_미국심리'!$H969)),'자료_미국심리'!$G969,"")</f>
        <v/>
      </c>
    </row>
    <row r="986">
      <c r="A986" s="10">
        <f>IF(968&gt;$E$5,"",SMALL($O$19:$O$4018,$E$6+968))</f>
        <v/>
      </c>
      <c r="B986" s="29">
        <f>IF(A986="","",INDEX('자료_미국심리'!$B$3:$B$4002,MATCH(A986,$O$19:$O$4018,0)))</f>
        <v/>
      </c>
      <c r="C986" s="22">
        <f>IF(A986="","",B986/AVERAGE(B862:B986)-1)</f>
        <v/>
      </c>
      <c r="D986" s="29">
        <f>IF(A986="","",IFERROR(INDEX('자료_미국심리'!$E$3:$E$4002,MATCH(A986,$P$19:$P$4018,0)),D985))</f>
        <v/>
      </c>
      <c r="E986" s="29">
        <f>IF(A986="","",IFERROR(INDEX('자료_미국심리'!$H$3:$H$4002,MATCH(A986,$Q$19:$Q$4018,0)),E985))</f>
        <v/>
      </c>
      <c r="F986">
        <f>IF(A986="",0,IF(A986&gt;$B$5,1,0))</f>
        <v/>
      </c>
      <c r="G986" s="29">
        <f>IF(AND(F986=1,ISNUMBER(D986)),D986,"")</f>
        <v/>
      </c>
      <c r="H986" s="29">
        <f>IF(AND(F986=1,ISNUMBER(E986)),E986,"")</f>
        <v/>
      </c>
      <c r="I986" s="22">
        <f>IF(AND(F986=1,ISNUMBER(C986)),C986,"")</f>
        <v/>
      </c>
      <c r="J986" s="11">
        <f>IF(G986="","",100-IF($G$13=1,50,(_xlfn.RANK.AVG(G986,$G$19:$G$1518,1)-1)/($G$13-1)*100))</f>
        <v/>
      </c>
      <c r="K986" s="11">
        <f>IF(H986="","",100-IF($G$14=1,50,(_xlfn.RANK.AVG(H986,$H$19:$H$1518,1)-1)/($G$14-1)*100))</f>
        <v/>
      </c>
      <c r="L986" s="11">
        <f>IF(I986="","",IF($G$15=1,50,(_xlfn.RANK.AVG(I986,$I$19:$I$1518,1)-1)/($G$15-1)*100))</f>
        <v/>
      </c>
      <c r="M986" s="11">
        <f>IF(COUNT(J986:L986)=3,ROUND(AVERAGE(J986:L986),6),"")</f>
        <v/>
      </c>
      <c r="O986">
        <f>IF(AND(ISNUMBER('자료_미국심리'!$A970),ISNUMBER('자료_미국심리'!$B970)),'자료_미국심리'!$A970,"")</f>
        <v/>
      </c>
      <c r="P986">
        <f>IF(AND(ISNUMBER('자료_미국심리'!$D970),ISNUMBER('자료_미국심리'!$E970)),'자료_미국심리'!$D970,"")</f>
        <v/>
      </c>
      <c r="Q986">
        <f>IF(AND(ISNUMBER('자료_미국심리'!$G970),ISNUMBER('자료_미국심리'!$H970)),'자료_미국심리'!$G970,"")</f>
        <v/>
      </c>
    </row>
    <row r="987">
      <c r="A987" s="10">
        <f>IF(969&gt;$E$5,"",SMALL($O$19:$O$4018,$E$6+969))</f>
        <v/>
      </c>
      <c r="B987" s="29">
        <f>IF(A987="","",INDEX('자료_미국심리'!$B$3:$B$4002,MATCH(A987,$O$19:$O$4018,0)))</f>
        <v/>
      </c>
      <c r="C987" s="22">
        <f>IF(A987="","",B987/AVERAGE(B863:B987)-1)</f>
        <v/>
      </c>
      <c r="D987" s="29">
        <f>IF(A987="","",IFERROR(INDEX('자료_미국심리'!$E$3:$E$4002,MATCH(A987,$P$19:$P$4018,0)),D986))</f>
        <v/>
      </c>
      <c r="E987" s="29">
        <f>IF(A987="","",IFERROR(INDEX('자료_미국심리'!$H$3:$H$4002,MATCH(A987,$Q$19:$Q$4018,0)),E986))</f>
        <v/>
      </c>
      <c r="F987">
        <f>IF(A987="",0,IF(A987&gt;$B$5,1,0))</f>
        <v/>
      </c>
      <c r="G987" s="29">
        <f>IF(AND(F987=1,ISNUMBER(D987)),D987,"")</f>
        <v/>
      </c>
      <c r="H987" s="29">
        <f>IF(AND(F987=1,ISNUMBER(E987)),E987,"")</f>
        <v/>
      </c>
      <c r="I987" s="22">
        <f>IF(AND(F987=1,ISNUMBER(C987)),C987,"")</f>
        <v/>
      </c>
      <c r="J987" s="11">
        <f>IF(G987="","",100-IF($G$13=1,50,(_xlfn.RANK.AVG(G987,$G$19:$G$1518,1)-1)/($G$13-1)*100))</f>
        <v/>
      </c>
      <c r="K987" s="11">
        <f>IF(H987="","",100-IF($G$14=1,50,(_xlfn.RANK.AVG(H987,$H$19:$H$1518,1)-1)/($G$14-1)*100))</f>
        <v/>
      </c>
      <c r="L987" s="11">
        <f>IF(I987="","",IF($G$15=1,50,(_xlfn.RANK.AVG(I987,$I$19:$I$1518,1)-1)/($G$15-1)*100))</f>
        <v/>
      </c>
      <c r="M987" s="11">
        <f>IF(COUNT(J987:L987)=3,ROUND(AVERAGE(J987:L987),6),"")</f>
        <v/>
      </c>
      <c r="O987">
        <f>IF(AND(ISNUMBER('자료_미국심리'!$A971),ISNUMBER('자료_미국심리'!$B971)),'자료_미국심리'!$A971,"")</f>
        <v/>
      </c>
      <c r="P987">
        <f>IF(AND(ISNUMBER('자료_미국심리'!$D971),ISNUMBER('자료_미국심리'!$E971)),'자료_미국심리'!$D971,"")</f>
        <v/>
      </c>
      <c r="Q987">
        <f>IF(AND(ISNUMBER('자료_미국심리'!$G971),ISNUMBER('자료_미국심리'!$H971)),'자료_미국심리'!$G971,"")</f>
        <v/>
      </c>
    </row>
    <row r="988">
      <c r="A988" s="10">
        <f>IF(970&gt;$E$5,"",SMALL($O$19:$O$4018,$E$6+970))</f>
        <v/>
      </c>
      <c r="B988" s="29">
        <f>IF(A988="","",INDEX('자료_미국심리'!$B$3:$B$4002,MATCH(A988,$O$19:$O$4018,0)))</f>
        <v/>
      </c>
      <c r="C988" s="22">
        <f>IF(A988="","",B988/AVERAGE(B864:B988)-1)</f>
        <v/>
      </c>
      <c r="D988" s="29">
        <f>IF(A988="","",IFERROR(INDEX('자료_미국심리'!$E$3:$E$4002,MATCH(A988,$P$19:$P$4018,0)),D987))</f>
        <v/>
      </c>
      <c r="E988" s="29">
        <f>IF(A988="","",IFERROR(INDEX('자료_미국심리'!$H$3:$H$4002,MATCH(A988,$Q$19:$Q$4018,0)),E987))</f>
        <v/>
      </c>
      <c r="F988">
        <f>IF(A988="",0,IF(A988&gt;$B$5,1,0))</f>
        <v/>
      </c>
      <c r="G988" s="29">
        <f>IF(AND(F988=1,ISNUMBER(D988)),D988,"")</f>
        <v/>
      </c>
      <c r="H988" s="29">
        <f>IF(AND(F988=1,ISNUMBER(E988)),E988,"")</f>
        <v/>
      </c>
      <c r="I988" s="22">
        <f>IF(AND(F988=1,ISNUMBER(C988)),C988,"")</f>
        <v/>
      </c>
      <c r="J988" s="11">
        <f>IF(G988="","",100-IF($G$13=1,50,(_xlfn.RANK.AVG(G988,$G$19:$G$1518,1)-1)/($G$13-1)*100))</f>
        <v/>
      </c>
      <c r="K988" s="11">
        <f>IF(H988="","",100-IF($G$14=1,50,(_xlfn.RANK.AVG(H988,$H$19:$H$1518,1)-1)/($G$14-1)*100))</f>
        <v/>
      </c>
      <c r="L988" s="11">
        <f>IF(I988="","",IF($G$15=1,50,(_xlfn.RANK.AVG(I988,$I$19:$I$1518,1)-1)/($G$15-1)*100))</f>
        <v/>
      </c>
      <c r="M988" s="11">
        <f>IF(COUNT(J988:L988)=3,ROUND(AVERAGE(J988:L988),6),"")</f>
        <v/>
      </c>
      <c r="O988">
        <f>IF(AND(ISNUMBER('자료_미국심리'!$A972),ISNUMBER('자료_미국심리'!$B972)),'자료_미국심리'!$A972,"")</f>
        <v/>
      </c>
      <c r="P988">
        <f>IF(AND(ISNUMBER('자료_미국심리'!$D972),ISNUMBER('자료_미국심리'!$E972)),'자료_미국심리'!$D972,"")</f>
        <v/>
      </c>
      <c r="Q988">
        <f>IF(AND(ISNUMBER('자료_미국심리'!$G972),ISNUMBER('자료_미국심리'!$H972)),'자료_미국심리'!$G972,"")</f>
        <v/>
      </c>
    </row>
    <row r="989">
      <c r="A989" s="10">
        <f>IF(971&gt;$E$5,"",SMALL($O$19:$O$4018,$E$6+971))</f>
        <v/>
      </c>
      <c r="B989" s="29">
        <f>IF(A989="","",INDEX('자료_미국심리'!$B$3:$B$4002,MATCH(A989,$O$19:$O$4018,0)))</f>
        <v/>
      </c>
      <c r="C989" s="22">
        <f>IF(A989="","",B989/AVERAGE(B865:B989)-1)</f>
        <v/>
      </c>
      <c r="D989" s="29">
        <f>IF(A989="","",IFERROR(INDEX('자료_미국심리'!$E$3:$E$4002,MATCH(A989,$P$19:$P$4018,0)),D988))</f>
        <v/>
      </c>
      <c r="E989" s="29">
        <f>IF(A989="","",IFERROR(INDEX('자료_미국심리'!$H$3:$H$4002,MATCH(A989,$Q$19:$Q$4018,0)),E988))</f>
        <v/>
      </c>
      <c r="F989">
        <f>IF(A989="",0,IF(A989&gt;$B$5,1,0))</f>
        <v/>
      </c>
      <c r="G989" s="29">
        <f>IF(AND(F989=1,ISNUMBER(D989)),D989,"")</f>
        <v/>
      </c>
      <c r="H989" s="29">
        <f>IF(AND(F989=1,ISNUMBER(E989)),E989,"")</f>
        <v/>
      </c>
      <c r="I989" s="22">
        <f>IF(AND(F989=1,ISNUMBER(C989)),C989,"")</f>
        <v/>
      </c>
      <c r="J989" s="11">
        <f>IF(G989="","",100-IF($G$13=1,50,(_xlfn.RANK.AVG(G989,$G$19:$G$1518,1)-1)/($G$13-1)*100))</f>
        <v/>
      </c>
      <c r="K989" s="11">
        <f>IF(H989="","",100-IF($G$14=1,50,(_xlfn.RANK.AVG(H989,$H$19:$H$1518,1)-1)/($G$14-1)*100))</f>
        <v/>
      </c>
      <c r="L989" s="11">
        <f>IF(I989="","",IF($G$15=1,50,(_xlfn.RANK.AVG(I989,$I$19:$I$1518,1)-1)/($G$15-1)*100))</f>
        <v/>
      </c>
      <c r="M989" s="11">
        <f>IF(COUNT(J989:L989)=3,ROUND(AVERAGE(J989:L989),6),"")</f>
        <v/>
      </c>
      <c r="O989">
        <f>IF(AND(ISNUMBER('자료_미국심리'!$A973),ISNUMBER('자료_미국심리'!$B973)),'자료_미국심리'!$A973,"")</f>
        <v/>
      </c>
      <c r="P989">
        <f>IF(AND(ISNUMBER('자료_미국심리'!$D973),ISNUMBER('자료_미국심리'!$E973)),'자료_미국심리'!$D973,"")</f>
        <v/>
      </c>
      <c r="Q989">
        <f>IF(AND(ISNUMBER('자료_미국심리'!$G973),ISNUMBER('자료_미국심리'!$H973)),'자료_미국심리'!$G973,"")</f>
        <v/>
      </c>
    </row>
    <row r="990">
      <c r="A990" s="10">
        <f>IF(972&gt;$E$5,"",SMALL($O$19:$O$4018,$E$6+972))</f>
        <v/>
      </c>
      <c r="B990" s="29">
        <f>IF(A990="","",INDEX('자료_미국심리'!$B$3:$B$4002,MATCH(A990,$O$19:$O$4018,0)))</f>
        <v/>
      </c>
      <c r="C990" s="22">
        <f>IF(A990="","",B990/AVERAGE(B866:B990)-1)</f>
        <v/>
      </c>
      <c r="D990" s="29">
        <f>IF(A990="","",IFERROR(INDEX('자료_미국심리'!$E$3:$E$4002,MATCH(A990,$P$19:$P$4018,0)),D989))</f>
        <v/>
      </c>
      <c r="E990" s="29">
        <f>IF(A990="","",IFERROR(INDEX('자료_미국심리'!$H$3:$H$4002,MATCH(A990,$Q$19:$Q$4018,0)),E989))</f>
        <v/>
      </c>
      <c r="F990">
        <f>IF(A990="",0,IF(A990&gt;$B$5,1,0))</f>
        <v/>
      </c>
      <c r="G990" s="29">
        <f>IF(AND(F990=1,ISNUMBER(D990)),D990,"")</f>
        <v/>
      </c>
      <c r="H990" s="29">
        <f>IF(AND(F990=1,ISNUMBER(E990)),E990,"")</f>
        <v/>
      </c>
      <c r="I990" s="22">
        <f>IF(AND(F990=1,ISNUMBER(C990)),C990,"")</f>
        <v/>
      </c>
      <c r="J990" s="11">
        <f>IF(G990="","",100-IF($G$13=1,50,(_xlfn.RANK.AVG(G990,$G$19:$G$1518,1)-1)/($G$13-1)*100))</f>
        <v/>
      </c>
      <c r="K990" s="11">
        <f>IF(H990="","",100-IF($G$14=1,50,(_xlfn.RANK.AVG(H990,$H$19:$H$1518,1)-1)/($G$14-1)*100))</f>
        <v/>
      </c>
      <c r="L990" s="11">
        <f>IF(I990="","",IF($G$15=1,50,(_xlfn.RANK.AVG(I990,$I$19:$I$1518,1)-1)/($G$15-1)*100))</f>
        <v/>
      </c>
      <c r="M990" s="11">
        <f>IF(COUNT(J990:L990)=3,ROUND(AVERAGE(J990:L990),6),"")</f>
        <v/>
      </c>
      <c r="O990">
        <f>IF(AND(ISNUMBER('자료_미국심리'!$A974),ISNUMBER('자료_미국심리'!$B974)),'자료_미국심리'!$A974,"")</f>
        <v/>
      </c>
      <c r="P990">
        <f>IF(AND(ISNUMBER('자료_미국심리'!$D974),ISNUMBER('자료_미국심리'!$E974)),'자료_미국심리'!$D974,"")</f>
        <v/>
      </c>
      <c r="Q990">
        <f>IF(AND(ISNUMBER('자료_미국심리'!$G974),ISNUMBER('자료_미국심리'!$H974)),'자료_미국심리'!$G974,"")</f>
        <v/>
      </c>
    </row>
    <row r="991">
      <c r="A991" s="10">
        <f>IF(973&gt;$E$5,"",SMALL($O$19:$O$4018,$E$6+973))</f>
        <v/>
      </c>
      <c r="B991" s="29">
        <f>IF(A991="","",INDEX('자료_미국심리'!$B$3:$B$4002,MATCH(A991,$O$19:$O$4018,0)))</f>
        <v/>
      </c>
      <c r="C991" s="22">
        <f>IF(A991="","",B991/AVERAGE(B867:B991)-1)</f>
        <v/>
      </c>
      <c r="D991" s="29">
        <f>IF(A991="","",IFERROR(INDEX('자료_미국심리'!$E$3:$E$4002,MATCH(A991,$P$19:$P$4018,0)),D990))</f>
        <v/>
      </c>
      <c r="E991" s="29">
        <f>IF(A991="","",IFERROR(INDEX('자료_미국심리'!$H$3:$H$4002,MATCH(A991,$Q$19:$Q$4018,0)),E990))</f>
        <v/>
      </c>
      <c r="F991">
        <f>IF(A991="",0,IF(A991&gt;$B$5,1,0))</f>
        <v/>
      </c>
      <c r="G991" s="29">
        <f>IF(AND(F991=1,ISNUMBER(D991)),D991,"")</f>
        <v/>
      </c>
      <c r="H991" s="29">
        <f>IF(AND(F991=1,ISNUMBER(E991)),E991,"")</f>
        <v/>
      </c>
      <c r="I991" s="22">
        <f>IF(AND(F991=1,ISNUMBER(C991)),C991,"")</f>
        <v/>
      </c>
      <c r="J991" s="11">
        <f>IF(G991="","",100-IF($G$13=1,50,(_xlfn.RANK.AVG(G991,$G$19:$G$1518,1)-1)/($G$13-1)*100))</f>
        <v/>
      </c>
      <c r="K991" s="11">
        <f>IF(H991="","",100-IF($G$14=1,50,(_xlfn.RANK.AVG(H991,$H$19:$H$1518,1)-1)/($G$14-1)*100))</f>
        <v/>
      </c>
      <c r="L991" s="11">
        <f>IF(I991="","",IF($G$15=1,50,(_xlfn.RANK.AVG(I991,$I$19:$I$1518,1)-1)/($G$15-1)*100))</f>
        <v/>
      </c>
      <c r="M991" s="11">
        <f>IF(COUNT(J991:L991)=3,ROUND(AVERAGE(J991:L991),6),"")</f>
        <v/>
      </c>
      <c r="O991">
        <f>IF(AND(ISNUMBER('자료_미국심리'!$A975),ISNUMBER('자료_미국심리'!$B975)),'자료_미국심리'!$A975,"")</f>
        <v/>
      </c>
      <c r="P991">
        <f>IF(AND(ISNUMBER('자료_미국심리'!$D975),ISNUMBER('자료_미국심리'!$E975)),'자료_미국심리'!$D975,"")</f>
        <v/>
      </c>
      <c r="Q991">
        <f>IF(AND(ISNUMBER('자료_미국심리'!$G975),ISNUMBER('자료_미국심리'!$H975)),'자료_미국심리'!$G975,"")</f>
        <v/>
      </c>
    </row>
    <row r="992">
      <c r="A992" s="10">
        <f>IF(974&gt;$E$5,"",SMALL($O$19:$O$4018,$E$6+974))</f>
        <v/>
      </c>
      <c r="B992" s="29">
        <f>IF(A992="","",INDEX('자료_미국심리'!$B$3:$B$4002,MATCH(A992,$O$19:$O$4018,0)))</f>
        <v/>
      </c>
      <c r="C992" s="22">
        <f>IF(A992="","",B992/AVERAGE(B868:B992)-1)</f>
        <v/>
      </c>
      <c r="D992" s="29">
        <f>IF(A992="","",IFERROR(INDEX('자료_미국심리'!$E$3:$E$4002,MATCH(A992,$P$19:$P$4018,0)),D991))</f>
        <v/>
      </c>
      <c r="E992" s="29">
        <f>IF(A992="","",IFERROR(INDEX('자료_미국심리'!$H$3:$H$4002,MATCH(A992,$Q$19:$Q$4018,0)),E991))</f>
        <v/>
      </c>
      <c r="F992">
        <f>IF(A992="",0,IF(A992&gt;$B$5,1,0))</f>
        <v/>
      </c>
      <c r="G992" s="29">
        <f>IF(AND(F992=1,ISNUMBER(D992)),D992,"")</f>
        <v/>
      </c>
      <c r="H992" s="29">
        <f>IF(AND(F992=1,ISNUMBER(E992)),E992,"")</f>
        <v/>
      </c>
      <c r="I992" s="22">
        <f>IF(AND(F992=1,ISNUMBER(C992)),C992,"")</f>
        <v/>
      </c>
      <c r="J992" s="11">
        <f>IF(G992="","",100-IF($G$13=1,50,(_xlfn.RANK.AVG(G992,$G$19:$G$1518,1)-1)/($G$13-1)*100))</f>
        <v/>
      </c>
      <c r="K992" s="11">
        <f>IF(H992="","",100-IF($G$14=1,50,(_xlfn.RANK.AVG(H992,$H$19:$H$1518,1)-1)/($G$14-1)*100))</f>
        <v/>
      </c>
      <c r="L992" s="11">
        <f>IF(I992="","",IF($G$15=1,50,(_xlfn.RANK.AVG(I992,$I$19:$I$1518,1)-1)/($G$15-1)*100))</f>
        <v/>
      </c>
      <c r="M992" s="11">
        <f>IF(COUNT(J992:L992)=3,ROUND(AVERAGE(J992:L992),6),"")</f>
        <v/>
      </c>
      <c r="O992">
        <f>IF(AND(ISNUMBER('자료_미국심리'!$A976),ISNUMBER('자료_미국심리'!$B976)),'자료_미국심리'!$A976,"")</f>
        <v/>
      </c>
      <c r="P992">
        <f>IF(AND(ISNUMBER('자료_미국심리'!$D976),ISNUMBER('자료_미국심리'!$E976)),'자료_미국심리'!$D976,"")</f>
        <v/>
      </c>
      <c r="Q992">
        <f>IF(AND(ISNUMBER('자료_미국심리'!$G976),ISNUMBER('자료_미국심리'!$H976)),'자료_미국심리'!$G976,"")</f>
        <v/>
      </c>
    </row>
    <row r="993">
      <c r="A993" s="10">
        <f>IF(975&gt;$E$5,"",SMALL($O$19:$O$4018,$E$6+975))</f>
        <v/>
      </c>
      <c r="B993" s="29">
        <f>IF(A993="","",INDEX('자료_미국심리'!$B$3:$B$4002,MATCH(A993,$O$19:$O$4018,0)))</f>
        <v/>
      </c>
      <c r="C993" s="22">
        <f>IF(A993="","",B993/AVERAGE(B869:B993)-1)</f>
        <v/>
      </c>
      <c r="D993" s="29">
        <f>IF(A993="","",IFERROR(INDEX('자료_미국심리'!$E$3:$E$4002,MATCH(A993,$P$19:$P$4018,0)),D992))</f>
        <v/>
      </c>
      <c r="E993" s="29">
        <f>IF(A993="","",IFERROR(INDEX('자료_미국심리'!$H$3:$H$4002,MATCH(A993,$Q$19:$Q$4018,0)),E992))</f>
        <v/>
      </c>
      <c r="F993">
        <f>IF(A993="",0,IF(A993&gt;$B$5,1,0))</f>
        <v/>
      </c>
      <c r="G993" s="29">
        <f>IF(AND(F993=1,ISNUMBER(D993)),D993,"")</f>
        <v/>
      </c>
      <c r="H993" s="29">
        <f>IF(AND(F993=1,ISNUMBER(E993)),E993,"")</f>
        <v/>
      </c>
      <c r="I993" s="22">
        <f>IF(AND(F993=1,ISNUMBER(C993)),C993,"")</f>
        <v/>
      </c>
      <c r="J993" s="11">
        <f>IF(G993="","",100-IF($G$13=1,50,(_xlfn.RANK.AVG(G993,$G$19:$G$1518,1)-1)/($G$13-1)*100))</f>
        <v/>
      </c>
      <c r="K993" s="11">
        <f>IF(H993="","",100-IF($G$14=1,50,(_xlfn.RANK.AVG(H993,$H$19:$H$1518,1)-1)/($G$14-1)*100))</f>
        <v/>
      </c>
      <c r="L993" s="11">
        <f>IF(I993="","",IF($G$15=1,50,(_xlfn.RANK.AVG(I993,$I$19:$I$1518,1)-1)/($G$15-1)*100))</f>
        <v/>
      </c>
      <c r="M993" s="11">
        <f>IF(COUNT(J993:L993)=3,ROUND(AVERAGE(J993:L993),6),"")</f>
        <v/>
      </c>
      <c r="O993">
        <f>IF(AND(ISNUMBER('자료_미국심리'!$A977),ISNUMBER('자료_미국심리'!$B977)),'자료_미국심리'!$A977,"")</f>
        <v/>
      </c>
      <c r="P993">
        <f>IF(AND(ISNUMBER('자료_미국심리'!$D977),ISNUMBER('자료_미국심리'!$E977)),'자료_미국심리'!$D977,"")</f>
        <v/>
      </c>
      <c r="Q993">
        <f>IF(AND(ISNUMBER('자료_미국심리'!$G977),ISNUMBER('자료_미국심리'!$H977)),'자료_미국심리'!$G977,"")</f>
        <v/>
      </c>
    </row>
    <row r="994">
      <c r="A994" s="10">
        <f>IF(976&gt;$E$5,"",SMALL($O$19:$O$4018,$E$6+976))</f>
        <v/>
      </c>
      <c r="B994" s="29">
        <f>IF(A994="","",INDEX('자료_미국심리'!$B$3:$B$4002,MATCH(A994,$O$19:$O$4018,0)))</f>
        <v/>
      </c>
      <c r="C994" s="22">
        <f>IF(A994="","",B994/AVERAGE(B870:B994)-1)</f>
        <v/>
      </c>
      <c r="D994" s="29">
        <f>IF(A994="","",IFERROR(INDEX('자료_미국심리'!$E$3:$E$4002,MATCH(A994,$P$19:$P$4018,0)),D993))</f>
        <v/>
      </c>
      <c r="E994" s="29">
        <f>IF(A994="","",IFERROR(INDEX('자료_미국심리'!$H$3:$H$4002,MATCH(A994,$Q$19:$Q$4018,0)),E993))</f>
        <v/>
      </c>
      <c r="F994">
        <f>IF(A994="",0,IF(A994&gt;$B$5,1,0))</f>
        <v/>
      </c>
      <c r="G994" s="29">
        <f>IF(AND(F994=1,ISNUMBER(D994)),D994,"")</f>
        <v/>
      </c>
      <c r="H994" s="29">
        <f>IF(AND(F994=1,ISNUMBER(E994)),E994,"")</f>
        <v/>
      </c>
      <c r="I994" s="22">
        <f>IF(AND(F994=1,ISNUMBER(C994)),C994,"")</f>
        <v/>
      </c>
      <c r="J994" s="11">
        <f>IF(G994="","",100-IF($G$13=1,50,(_xlfn.RANK.AVG(G994,$G$19:$G$1518,1)-1)/($G$13-1)*100))</f>
        <v/>
      </c>
      <c r="K994" s="11">
        <f>IF(H994="","",100-IF($G$14=1,50,(_xlfn.RANK.AVG(H994,$H$19:$H$1518,1)-1)/($G$14-1)*100))</f>
        <v/>
      </c>
      <c r="L994" s="11">
        <f>IF(I994="","",IF($G$15=1,50,(_xlfn.RANK.AVG(I994,$I$19:$I$1518,1)-1)/($G$15-1)*100))</f>
        <v/>
      </c>
      <c r="M994" s="11">
        <f>IF(COUNT(J994:L994)=3,ROUND(AVERAGE(J994:L994),6),"")</f>
        <v/>
      </c>
      <c r="O994">
        <f>IF(AND(ISNUMBER('자료_미국심리'!$A978),ISNUMBER('자료_미국심리'!$B978)),'자료_미국심리'!$A978,"")</f>
        <v/>
      </c>
      <c r="P994">
        <f>IF(AND(ISNUMBER('자료_미국심리'!$D978),ISNUMBER('자료_미국심리'!$E978)),'자료_미국심리'!$D978,"")</f>
        <v/>
      </c>
      <c r="Q994">
        <f>IF(AND(ISNUMBER('자료_미국심리'!$G978),ISNUMBER('자료_미국심리'!$H978)),'자료_미국심리'!$G978,"")</f>
        <v/>
      </c>
    </row>
    <row r="995">
      <c r="A995" s="10">
        <f>IF(977&gt;$E$5,"",SMALL($O$19:$O$4018,$E$6+977))</f>
        <v/>
      </c>
      <c r="B995" s="29">
        <f>IF(A995="","",INDEX('자료_미국심리'!$B$3:$B$4002,MATCH(A995,$O$19:$O$4018,0)))</f>
        <v/>
      </c>
      <c r="C995" s="22">
        <f>IF(A995="","",B995/AVERAGE(B871:B995)-1)</f>
        <v/>
      </c>
      <c r="D995" s="29">
        <f>IF(A995="","",IFERROR(INDEX('자료_미국심리'!$E$3:$E$4002,MATCH(A995,$P$19:$P$4018,0)),D994))</f>
        <v/>
      </c>
      <c r="E995" s="29">
        <f>IF(A995="","",IFERROR(INDEX('자료_미국심리'!$H$3:$H$4002,MATCH(A995,$Q$19:$Q$4018,0)),E994))</f>
        <v/>
      </c>
      <c r="F995">
        <f>IF(A995="",0,IF(A995&gt;$B$5,1,0))</f>
        <v/>
      </c>
      <c r="G995" s="29">
        <f>IF(AND(F995=1,ISNUMBER(D995)),D995,"")</f>
        <v/>
      </c>
      <c r="H995" s="29">
        <f>IF(AND(F995=1,ISNUMBER(E995)),E995,"")</f>
        <v/>
      </c>
      <c r="I995" s="22">
        <f>IF(AND(F995=1,ISNUMBER(C995)),C995,"")</f>
        <v/>
      </c>
      <c r="J995" s="11">
        <f>IF(G995="","",100-IF($G$13=1,50,(_xlfn.RANK.AVG(G995,$G$19:$G$1518,1)-1)/($G$13-1)*100))</f>
        <v/>
      </c>
      <c r="K995" s="11">
        <f>IF(H995="","",100-IF($G$14=1,50,(_xlfn.RANK.AVG(H995,$H$19:$H$1518,1)-1)/($G$14-1)*100))</f>
        <v/>
      </c>
      <c r="L995" s="11">
        <f>IF(I995="","",IF($G$15=1,50,(_xlfn.RANK.AVG(I995,$I$19:$I$1518,1)-1)/($G$15-1)*100))</f>
        <v/>
      </c>
      <c r="M995" s="11">
        <f>IF(COUNT(J995:L995)=3,ROUND(AVERAGE(J995:L995),6),"")</f>
        <v/>
      </c>
      <c r="O995">
        <f>IF(AND(ISNUMBER('자료_미국심리'!$A979),ISNUMBER('자료_미국심리'!$B979)),'자료_미국심리'!$A979,"")</f>
        <v/>
      </c>
      <c r="P995">
        <f>IF(AND(ISNUMBER('자료_미국심리'!$D979),ISNUMBER('자료_미국심리'!$E979)),'자료_미국심리'!$D979,"")</f>
        <v/>
      </c>
      <c r="Q995">
        <f>IF(AND(ISNUMBER('자료_미국심리'!$G979),ISNUMBER('자료_미국심리'!$H979)),'자료_미국심리'!$G979,"")</f>
        <v/>
      </c>
    </row>
    <row r="996">
      <c r="A996" s="10">
        <f>IF(978&gt;$E$5,"",SMALL($O$19:$O$4018,$E$6+978))</f>
        <v/>
      </c>
      <c r="B996" s="29">
        <f>IF(A996="","",INDEX('자료_미국심리'!$B$3:$B$4002,MATCH(A996,$O$19:$O$4018,0)))</f>
        <v/>
      </c>
      <c r="C996" s="22">
        <f>IF(A996="","",B996/AVERAGE(B872:B996)-1)</f>
        <v/>
      </c>
      <c r="D996" s="29">
        <f>IF(A996="","",IFERROR(INDEX('자료_미국심리'!$E$3:$E$4002,MATCH(A996,$P$19:$P$4018,0)),D995))</f>
        <v/>
      </c>
      <c r="E996" s="29">
        <f>IF(A996="","",IFERROR(INDEX('자료_미국심리'!$H$3:$H$4002,MATCH(A996,$Q$19:$Q$4018,0)),E995))</f>
        <v/>
      </c>
      <c r="F996">
        <f>IF(A996="",0,IF(A996&gt;$B$5,1,0))</f>
        <v/>
      </c>
      <c r="G996" s="29">
        <f>IF(AND(F996=1,ISNUMBER(D996)),D996,"")</f>
        <v/>
      </c>
      <c r="H996" s="29">
        <f>IF(AND(F996=1,ISNUMBER(E996)),E996,"")</f>
        <v/>
      </c>
      <c r="I996" s="22">
        <f>IF(AND(F996=1,ISNUMBER(C996)),C996,"")</f>
        <v/>
      </c>
      <c r="J996" s="11">
        <f>IF(G996="","",100-IF($G$13=1,50,(_xlfn.RANK.AVG(G996,$G$19:$G$1518,1)-1)/($G$13-1)*100))</f>
        <v/>
      </c>
      <c r="K996" s="11">
        <f>IF(H996="","",100-IF($G$14=1,50,(_xlfn.RANK.AVG(H996,$H$19:$H$1518,1)-1)/($G$14-1)*100))</f>
        <v/>
      </c>
      <c r="L996" s="11">
        <f>IF(I996="","",IF($G$15=1,50,(_xlfn.RANK.AVG(I996,$I$19:$I$1518,1)-1)/($G$15-1)*100))</f>
        <v/>
      </c>
      <c r="M996" s="11">
        <f>IF(COUNT(J996:L996)=3,ROUND(AVERAGE(J996:L996),6),"")</f>
        <v/>
      </c>
      <c r="O996">
        <f>IF(AND(ISNUMBER('자료_미국심리'!$A980),ISNUMBER('자료_미국심리'!$B980)),'자료_미국심리'!$A980,"")</f>
        <v/>
      </c>
      <c r="P996">
        <f>IF(AND(ISNUMBER('자료_미국심리'!$D980),ISNUMBER('자료_미국심리'!$E980)),'자료_미국심리'!$D980,"")</f>
        <v/>
      </c>
      <c r="Q996">
        <f>IF(AND(ISNUMBER('자료_미국심리'!$G980),ISNUMBER('자료_미국심리'!$H980)),'자료_미국심리'!$G980,"")</f>
        <v/>
      </c>
    </row>
    <row r="997">
      <c r="A997" s="10">
        <f>IF(979&gt;$E$5,"",SMALL($O$19:$O$4018,$E$6+979))</f>
        <v/>
      </c>
      <c r="B997" s="29">
        <f>IF(A997="","",INDEX('자료_미국심리'!$B$3:$B$4002,MATCH(A997,$O$19:$O$4018,0)))</f>
        <v/>
      </c>
      <c r="C997" s="22">
        <f>IF(A997="","",B997/AVERAGE(B873:B997)-1)</f>
        <v/>
      </c>
      <c r="D997" s="29">
        <f>IF(A997="","",IFERROR(INDEX('자료_미국심리'!$E$3:$E$4002,MATCH(A997,$P$19:$P$4018,0)),D996))</f>
        <v/>
      </c>
      <c r="E997" s="29">
        <f>IF(A997="","",IFERROR(INDEX('자료_미국심리'!$H$3:$H$4002,MATCH(A997,$Q$19:$Q$4018,0)),E996))</f>
        <v/>
      </c>
      <c r="F997">
        <f>IF(A997="",0,IF(A997&gt;$B$5,1,0))</f>
        <v/>
      </c>
      <c r="G997" s="29">
        <f>IF(AND(F997=1,ISNUMBER(D997)),D997,"")</f>
        <v/>
      </c>
      <c r="H997" s="29">
        <f>IF(AND(F997=1,ISNUMBER(E997)),E997,"")</f>
        <v/>
      </c>
      <c r="I997" s="22">
        <f>IF(AND(F997=1,ISNUMBER(C997)),C997,"")</f>
        <v/>
      </c>
      <c r="J997" s="11">
        <f>IF(G997="","",100-IF($G$13=1,50,(_xlfn.RANK.AVG(G997,$G$19:$G$1518,1)-1)/($G$13-1)*100))</f>
        <v/>
      </c>
      <c r="K997" s="11">
        <f>IF(H997="","",100-IF($G$14=1,50,(_xlfn.RANK.AVG(H997,$H$19:$H$1518,1)-1)/($G$14-1)*100))</f>
        <v/>
      </c>
      <c r="L997" s="11">
        <f>IF(I997="","",IF($G$15=1,50,(_xlfn.RANK.AVG(I997,$I$19:$I$1518,1)-1)/($G$15-1)*100))</f>
        <v/>
      </c>
      <c r="M997" s="11">
        <f>IF(COUNT(J997:L997)=3,ROUND(AVERAGE(J997:L997),6),"")</f>
        <v/>
      </c>
      <c r="O997">
        <f>IF(AND(ISNUMBER('자료_미국심리'!$A981),ISNUMBER('자료_미국심리'!$B981)),'자료_미국심리'!$A981,"")</f>
        <v/>
      </c>
      <c r="P997">
        <f>IF(AND(ISNUMBER('자료_미국심리'!$D981),ISNUMBER('자료_미국심리'!$E981)),'자료_미국심리'!$D981,"")</f>
        <v/>
      </c>
      <c r="Q997">
        <f>IF(AND(ISNUMBER('자료_미국심리'!$G981),ISNUMBER('자료_미국심리'!$H981)),'자료_미국심리'!$G981,"")</f>
        <v/>
      </c>
    </row>
    <row r="998">
      <c r="A998" s="10">
        <f>IF(980&gt;$E$5,"",SMALL($O$19:$O$4018,$E$6+980))</f>
        <v/>
      </c>
      <c r="B998" s="29">
        <f>IF(A998="","",INDEX('자료_미국심리'!$B$3:$B$4002,MATCH(A998,$O$19:$O$4018,0)))</f>
        <v/>
      </c>
      <c r="C998" s="22">
        <f>IF(A998="","",B998/AVERAGE(B874:B998)-1)</f>
        <v/>
      </c>
      <c r="D998" s="29">
        <f>IF(A998="","",IFERROR(INDEX('자료_미국심리'!$E$3:$E$4002,MATCH(A998,$P$19:$P$4018,0)),D997))</f>
        <v/>
      </c>
      <c r="E998" s="29">
        <f>IF(A998="","",IFERROR(INDEX('자료_미국심리'!$H$3:$H$4002,MATCH(A998,$Q$19:$Q$4018,0)),E997))</f>
        <v/>
      </c>
      <c r="F998">
        <f>IF(A998="",0,IF(A998&gt;$B$5,1,0))</f>
        <v/>
      </c>
      <c r="G998" s="29">
        <f>IF(AND(F998=1,ISNUMBER(D998)),D998,"")</f>
        <v/>
      </c>
      <c r="H998" s="29">
        <f>IF(AND(F998=1,ISNUMBER(E998)),E998,"")</f>
        <v/>
      </c>
      <c r="I998" s="22">
        <f>IF(AND(F998=1,ISNUMBER(C998)),C998,"")</f>
        <v/>
      </c>
      <c r="J998" s="11">
        <f>IF(G998="","",100-IF($G$13=1,50,(_xlfn.RANK.AVG(G998,$G$19:$G$1518,1)-1)/($G$13-1)*100))</f>
        <v/>
      </c>
      <c r="K998" s="11">
        <f>IF(H998="","",100-IF($G$14=1,50,(_xlfn.RANK.AVG(H998,$H$19:$H$1518,1)-1)/($G$14-1)*100))</f>
        <v/>
      </c>
      <c r="L998" s="11">
        <f>IF(I998="","",IF($G$15=1,50,(_xlfn.RANK.AVG(I998,$I$19:$I$1518,1)-1)/($G$15-1)*100))</f>
        <v/>
      </c>
      <c r="M998" s="11">
        <f>IF(COUNT(J998:L998)=3,ROUND(AVERAGE(J998:L998),6),"")</f>
        <v/>
      </c>
      <c r="O998">
        <f>IF(AND(ISNUMBER('자료_미국심리'!$A982),ISNUMBER('자료_미국심리'!$B982)),'자료_미국심리'!$A982,"")</f>
        <v/>
      </c>
      <c r="P998">
        <f>IF(AND(ISNUMBER('자료_미국심리'!$D982),ISNUMBER('자료_미국심리'!$E982)),'자료_미국심리'!$D982,"")</f>
        <v/>
      </c>
      <c r="Q998">
        <f>IF(AND(ISNUMBER('자료_미국심리'!$G982),ISNUMBER('자료_미국심리'!$H982)),'자료_미국심리'!$G982,"")</f>
        <v/>
      </c>
    </row>
    <row r="999">
      <c r="A999" s="10">
        <f>IF(981&gt;$E$5,"",SMALL($O$19:$O$4018,$E$6+981))</f>
        <v/>
      </c>
      <c r="B999" s="29">
        <f>IF(A999="","",INDEX('자료_미국심리'!$B$3:$B$4002,MATCH(A999,$O$19:$O$4018,0)))</f>
        <v/>
      </c>
      <c r="C999" s="22">
        <f>IF(A999="","",B999/AVERAGE(B875:B999)-1)</f>
        <v/>
      </c>
      <c r="D999" s="29">
        <f>IF(A999="","",IFERROR(INDEX('자료_미국심리'!$E$3:$E$4002,MATCH(A999,$P$19:$P$4018,0)),D998))</f>
        <v/>
      </c>
      <c r="E999" s="29">
        <f>IF(A999="","",IFERROR(INDEX('자료_미국심리'!$H$3:$H$4002,MATCH(A999,$Q$19:$Q$4018,0)),E998))</f>
        <v/>
      </c>
      <c r="F999">
        <f>IF(A999="",0,IF(A999&gt;$B$5,1,0))</f>
        <v/>
      </c>
      <c r="G999" s="29">
        <f>IF(AND(F999=1,ISNUMBER(D999)),D999,"")</f>
        <v/>
      </c>
      <c r="H999" s="29">
        <f>IF(AND(F999=1,ISNUMBER(E999)),E999,"")</f>
        <v/>
      </c>
      <c r="I999" s="22">
        <f>IF(AND(F999=1,ISNUMBER(C999)),C999,"")</f>
        <v/>
      </c>
      <c r="J999" s="11">
        <f>IF(G999="","",100-IF($G$13=1,50,(_xlfn.RANK.AVG(G999,$G$19:$G$1518,1)-1)/($G$13-1)*100))</f>
        <v/>
      </c>
      <c r="K999" s="11">
        <f>IF(H999="","",100-IF($G$14=1,50,(_xlfn.RANK.AVG(H999,$H$19:$H$1518,1)-1)/($G$14-1)*100))</f>
        <v/>
      </c>
      <c r="L999" s="11">
        <f>IF(I999="","",IF($G$15=1,50,(_xlfn.RANK.AVG(I999,$I$19:$I$1518,1)-1)/($G$15-1)*100))</f>
        <v/>
      </c>
      <c r="M999" s="11">
        <f>IF(COUNT(J999:L999)=3,ROUND(AVERAGE(J999:L999),6),"")</f>
        <v/>
      </c>
      <c r="O999">
        <f>IF(AND(ISNUMBER('자료_미국심리'!$A983),ISNUMBER('자료_미국심리'!$B983)),'자료_미국심리'!$A983,"")</f>
        <v/>
      </c>
      <c r="P999">
        <f>IF(AND(ISNUMBER('자료_미국심리'!$D983),ISNUMBER('자료_미국심리'!$E983)),'자료_미국심리'!$D983,"")</f>
        <v/>
      </c>
      <c r="Q999">
        <f>IF(AND(ISNUMBER('자료_미국심리'!$G983),ISNUMBER('자료_미국심리'!$H983)),'자료_미국심리'!$G983,"")</f>
        <v/>
      </c>
    </row>
    <row r="1000">
      <c r="A1000" s="10">
        <f>IF(982&gt;$E$5,"",SMALL($O$19:$O$4018,$E$6+982))</f>
        <v/>
      </c>
      <c r="B1000" s="29">
        <f>IF(A1000="","",INDEX('자료_미국심리'!$B$3:$B$4002,MATCH(A1000,$O$19:$O$4018,0)))</f>
        <v/>
      </c>
      <c r="C1000" s="22">
        <f>IF(A1000="","",B1000/AVERAGE(B876:B1000)-1)</f>
        <v/>
      </c>
      <c r="D1000" s="29">
        <f>IF(A1000="","",IFERROR(INDEX('자료_미국심리'!$E$3:$E$4002,MATCH(A1000,$P$19:$P$4018,0)),D999))</f>
        <v/>
      </c>
      <c r="E1000" s="29">
        <f>IF(A1000="","",IFERROR(INDEX('자료_미국심리'!$H$3:$H$4002,MATCH(A1000,$Q$19:$Q$4018,0)),E999))</f>
        <v/>
      </c>
      <c r="F1000">
        <f>IF(A1000="",0,IF(A1000&gt;$B$5,1,0))</f>
        <v/>
      </c>
      <c r="G1000" s="29">
        <f>IF(AND(F1000=1,ISNUMBER(D1000)),D1000,"")</f>
        <v/>
      </c>
      <c r="H1000" s="29">
        <f>IF(AND(F1000=1,ISNUMBER(E1000)),E1000,"")</f>
        <v/>
      </c>
      <c r="I1000" s="22">
        <f>IF(AND(F1000=1,ISNUMBER(C1000)),C1000,"")</f>
        <v/>
      </c>
      <c r="J1000" s="11">
        <f>IF(G1000="","",100-IF($G$13=1,50,(_xlfn.RANK.AVG(G1000,$G$19:$G$1518,1)-1)/($G$13-1)*100))</f>
        <v/>
      </c>
      <c r="K1000" s="11">
        <f>IF(H1000="","",100-IF($G$14=1,50,(_xlfn.RANK.AVG(H1000,$H$19:$H$1518,1)-1)/($G$14-1)*100))</f>
        <v/>
      </c>
      <c r="L1000" s="11">
        <f>IF(I1000="","",IF($G$15=1,50,(_xlfn.RANK.AVG(I1000,$I$19:$I$1518,1)-1)/($G$15-1)*100))</f>
        <v/>
      </c>
      <c r="M1000" s="11">
        <f>IF(COUNT(J1000:L1000)=3,ROUND(AVERAGE(J1000:L1000),6),"")</f>
        <v/>
      </c>
      <c r="O1000">
        <f>IF(AND(ISNUMBER('자료_미국심리'!$A984),ISNUMBER('자료_미국심리'!$B984)),'자료_미국심리'!$A984,"")</f>
        <v/>
      </c>
      <c r="P1000">
        <f>IF(AND(ISNUMBER('자료_미국심리'!$D984),ISNUMBER('자료_미국심리'!$E984)),'자료_미국심리'!$D984,"")</f>
        <v/>
      </c>
      <c r="Q1000">
        <f>IF(AND(ISNUMBER('자료_미국심리'!$G984),ISNUMBER('자료_미국심리'!$H984)),'자료_미국심리'!$G984,"")</f>
        <v/>
      </c>
    </row>
    <row r="1001">
      <c r="A1001" s="10">
        <f>IF(983&gt;$E$5,"",SMALL($O$19:$O$4018,$E$6+983))</f>
        <v/>
      </c>
      <c r="B1001" s="29">
        <f>IF(A1001="","",INDEX('자료_미국심리'!$B$3:$B$4002,MATCH(A1001,$O$19:$O$4018,0)))</f>
        <v/>
      </c>
      <c r="C1001" s="22">
        <f>IF(A1001="","",B1001/AVERAGE(B877:B1001)-1)</f>
        <v/>
      </c>
      <c r="D1001" s="29">
        <f>IF(A1001="","",IFERROR(INDEX('자료_미국심리'!$E$3:$E$4002,MATCH(A1001,$P$19:$P$4018,0)),D1000))</f>
        <v/>
      </c>
      <c r="E1001" s="29">
        <f>IF(A1001="","",IFERROR(INDEX('자료_미국심리'!$H$3:$H$4002,MATCH(A1001,$Q$19:$Q$4018,0)),E1000))</f>
        <v/>
      </c>
      <c r="F1001">
        <f>IF(A1001="",0,IF(A1001&gt;$B$5,1,0))</f>
        <v/>
      </c>
      <c r="G1001" s="29">
        <f>IF(AND(F1001=1,ISNUMBER(D1001)),D1001,"")</f>
        <v/>
      </c>
      <c r="H1001" s="29">
        <f>IF(AND(F1001=1,ISNUMBER(E1001)),E1001,"")</f>
        <v/>
      </c>
      <c r="I1001" s="22">
        <f>IF(AND(F1001=1,ISNUMBER(C1001)),C1001,"")</f>
        <v/>
      </c>
      <c r="J1001" s="11">
        <f>IF(G1001="","",100-IF($G$13=1,50,(_xlfn.RANK.AVG(G1001,$G$19:$G$1518,1)-1)/($G$13-1)*100))</f>
        <v/>
      </c>
      <c r="K1001" s="11">
        <f>IF(H1001="","",100-IF($G$14=1,50,(_xlfn.RANK.AVG(H1001,$H$19:$H$1518,1)-1)/($G$14-1)*100))</f>
        <v/>
      </c>
      <c r="L1001" s="11">
        <f>IF(I1001="","",IF($G$15=1,50,(_xlfn.RANK.AVG(I1001,$I$19:$I$1518,1)-1)/($G$15-1)*100))</f>
        <v/>
      </c>
      <c r="M1001" s="11">
        <f>IF(COUNT(J1001:L1001)=3,ROUND(AVERAGE(J1001:L1001),6),"")</f>
        <v/>
      </c>
      <c r="O1001">
        <f>IF(AND(ISNUMBER('자료_미국심리'!$A985),ISNUMBER('자료_미국심리'!$B985)),'자료_미국심리'!$A985,"")</f>
        <v/>
      </c>
      <c r="P1001">
        <f>IF(AND(ISNUMBER('자료_미국심리'!$D985),ISNUMBER('자료_미국심리'!$E985)),'자료_미국심리'!$D985,"")</f>
        <v/>
      </c>
      <c r="Q1001">
        <f>IF(AND(ISNUMBER('자료_미국심리'!$G985),ISNUMBER('자료_미국심리'!$H985)),'자료_미국심리'!$G985,"")</f>
        <v/>
      </c>
    </row>
    <row r="1002">
      <c r="A1002" s="10">
        <f>IF(984&gt;$E$5,"",SMALL($O$19:$O$4018,$E$6+984))</f>
        <v/>
      </c>
      <c r="B1002" s="29">
        <f>IF(A1002="","",INDEX('자료_미국심리'!$B$3:$B$4002,MATCH(A1002,$O$19:$O$4018,0)))</f>
        <v/>
      </c>
      <c r="C1002" s="22">
        <f>IF(A1002="","",B1002/AVERAGE(B878:B1002)-1)</f>
        <v/>
      </c>
      <c r="D1002" s="29">
        <f>IF(A1002="","",IFERROR(INDEX('자료_미국심리'!$E$3:$E$4002,MATCH(A1002,$P$19:$P$4018,0)),D1001))</f>
        <v/>
      </c>
      <c r="E1002" s="29">
        <f>IF(A1002="","",IFERROR(INDEX('자료_미국심리'!$H$3:$H$4002,MATCH(A1002,$Q$19:$Q$4018,0)),E1001))</f>
        <v/>
      </c>
      <c r="F1002">
        <f>IF(A1002="",0,IF(A1002&gt;$B$5,1,0))</f>
        <v/>
      </c>
      <c r="G1002" s="29">
        <f>IF(AND(F1002=1,ISNUMBER(D1002)),D1002,"")</f>
        <v/>
      </c>
      <c r="H1002" s="29">
        <f>IF(AND(F1002=1,ISNUMBER(E1002)),E1002,"")</f>
        <v/>
      </c>
      <c r="I1002" s="22">
        <f>IF(AND(F1002=1,ISNUMBER(C1002)),C1002,"")</f>
        <v/>
      </c>
      <c r="J1002" s="11">
        <f>IF(G1002="","",100-IF($G$13=1,50,(_xlfn.RANK.AVG(G1002,$G$19:$G$1518,1)-1)/($G$13-1)*100))</f>
        <v/>
      </c>
      <c r="K1002" s="11">
        <f>IF(H1002="","",100-IF($G$14=1,50,(_xlfn.RANK.AVG(H1002,$H$19:$H$1518,1)-1)/($G$14-1)*100))</f>
        <v/>
      </c>
      <c r="L1002" s="11">
        <f>IF(I1002="","",IF($G$15=1,50,(_xlfn.RANK.AVG(I1002,$I$19:$I$1518,1)-1)/($G$15-1)*100))</f>
        <v/>
      </c>
      <c r="M1002" s="11">
        <f>IF(COUNT(J1002:L1002)=3,ROUND(AVERAGE(J1002:L1002),6),"")</f>
        <v/>
      </c>
      <c r="O1002">
        <f>IF(AND(ISNUMBER('자료_미국심리'!$A986),ISNUMBER('자료_미국심리'!$B986)),'자료_미국심리'!$A986,"")</f>
        <v/>
      </c>
      <c r="P1002">
        <f>IF(AND(ISNUMBER('자료_미국심리'!$D986),ISNUMBER('자료_미국심리'!$E986)),'자료_미국심리'!$D986,"")</f>
        <v/>
      </c>
      <c r="Q1002">
        <f>IF(AND(ISNUMBER('자료_미국심리'!$G986),ISNUMBER('자료_미국심리'!$H986)),'자료_미국심리'!$G986,"")</f>
        <v/>
      </c>
    </row>
    <row r="1003">
      <c r="A1003" s="10">
        <f>IF(985&gt;$E$5,"",SMALL($O$19:$O$4018,$E$6+985))</f>
        <v/>
      </c>
      <c r="B1003" s="29">
        <f>IF(A1003="","",INDEX('자료_미국심리'!$B$3:$B$4002,MATCH(A1003,$O$19:$O$4018,0)))</f>
        <v/>
      </c>
      <c r="C1003" s="22">
        <f>IF(A1003="","",B1003/AVERAGE(B879:B1003)-1)</f>
        <v/>
      </c>
      <c r="D1003" s="29">
        <f>IF(A1003="","",IFERROR(INDEX('자료_미국심리'!$E$3:$E$4002,MATCH(A1003,$P$19:$P$4018,0)),D1002))</f>
        <v/>
      </c>
      <c r="E1003" s="29">
        <f>IF(A1003="","",IFERROR(INDEX('자료_미국심리'!$H$3:$H$4002,MATCH(A1003,$Q$19:$Q$4018,0)),E1002))</f>
        <v/>
      </c>
      <c r="F1003">
        <f>IF(A1003="",0,IF(A1003&gt;$B$5,1,0))</f>
        <v/>
      </c>
      <c r="G1003" s="29">
        <f>IF(AND(F1003=1,ISNUMBER(D1003)),D1003,"")</f>
        <v/>
      </c>
      <c r="H1003" s="29">
        <f>IF(AND(F1003=1,ISNUMBER(E1003)),E1003,"")</f>
        <v/>
      </c>
      <c r="I1003" s="22">
        <f>IF(AND(F1003=1,ISNUMBER(C1003)),C1003,"")</f>
        <v/>
      </c>
      <c r="J1003" s="11">
        <f>IF(G1003="","",100-IF($G$13=1,50,(_xlfn.RANK.AVG(G1003,$G$19:$G$1518,1)-1)/($G$13-1)*100))</f>
        <v/>
      </c>
      <c r="K1003" s="11">
        <f>IF(H1003="","",100-IF($G$14=1,50,(_xlfn.RANK.AVG(H1003,$H$19:$H$1518,1)-1)/($G$14-1)*100))</f>
        <v/>
      </c>
      <c r="L1003" s="11">
        <f>IF(I1003="","",IF($G$15=1,50,(_xlfn.RANK.AVG(I1003,$I$19:$I$1518,1)-1)/($G$15-1)*100))</f>
        <v/>
      </c>
      <c r="M1003" s="11">
        <f>IF(COUNT(J1003:L1003)=3,ROUND(AVERAGE(J1003:L1003),6),"")</f>
        <v/>
      </c>
      <c r="O1003">
        <f>IF(AND(ISNUMBER('자료_미국심리'!$A987),ISNUMBER('자료_미국심리'!$B987)),'자료_미국심리'!$A987,"")</f>
        <v/>
      </c>
      <c r="P1003">
        <f>IF(AND(ISNUMBER('자료_미국심리'!$D987),ISNUMBER('자료_미국심리'!$E987)),'자료_미국심리'!$D987,"")</f>
        <v/>
      </c>
      <c r="Q1003">
        <f>IF(AND(ISNUMBER('자료_미국심리'!$G987),ISNUMBER('자료_미국심리'!$H987)),'자료_미국심리'!$G987,"")</f>
        <v/>
      </c>
    </row>
    <row r="1004">
      <c r="A1004" s="10">
        <f>IF(986&gt;$E$5,"",SMALL($O$19:$O$4018,$E$6+986))</f>
        <v/>
      </c>
      <c r="B1004" s="29">
        <f>IF(A1004="","",INDEX('자료_미국심리'!$B$3:$B$4002,MATCH(A1004,$O$19:$O$4018,0)))</f>
        <v/>
      </c>
      <c r="C1004" s="22">
        <f>IF(A1004="","",B1004/AVERAGE(B880:B1004)-1)</f>
        <v/>
      </c>
      <c r="D1004" s="29">
        <f>IF(A1004="","",IFERROR(INDEX('자료_미국심리'!$E$3:$E$4002,MATCH(A1004,$P$19:$P$4018,0)),D1003))</f>
        <v/>
      </c>
      <c r="E1004" s="29">
        <f>IF(A1004="","",IFERROR(INDEX('자료_미국심리'!$H$3:$H$4002,MATCH(A1004,$Q$19:$Q$4018,0)),E1003))</f>
        <v/>
      </c>
      <c r="F1004">
        <f>IF(A1004="",0,IF(A1004&gt;$B$5,1,0))</f>
        <v/>
      </c>
      <c r="G1004" s="29">
        <f>IF(AND(F1004=1,ISNUMBER(D1004)),D1004,"")</f>
        <v/>
      </c>
      <c r="H1004" s="29">
        <f>IF(AND(F1004=1,ISNUMBER(E1004)),E1004,"")</f>
        <v/>
      </c>
      <c r="I1004" s="22">
        <f>IF(AND(F1004=1,ISNUMBER(C1004)),C1004,"")</f>
        <v/>
      </c>
      <c r="J1004" s="11">
        <f>IF(G1004="","",100-IF($G$13=1,50,(_xlfn.RANK.AVG(G1004,$G$19:$G$1518,1)-1)/($G$13-1)*100))</f>
        <v/>
      </c>
      <c r="K1004" s="11">
        <f>IF(H1004="","",100-IF($G$14=1,50,(_xlfn.RANK.AVG(H1004,$H$19:$H$1518,1)-1)/($G$14-1)*100))</f>
        <v/>
      </c>
      <c r="L1004" s="11">
        <f>IF(I1004="","",IF($G$15=1,50,(_xlfn.RANK.AVG(I1004,$I$19:$I$1518,1)-1)/($G$15-1)*100))</f>
        <v/>
      </c>
      <c r="M1004" s="11">
        <f>IF(COUNT(J1004:L1004)=3,ROUND(AVERAGE(J1004:L1004),6),"")</f>
        <v/>
      </c>
      <c r="O1004">
        <f>IF(AND(ISNUMBER('자료_미국심리'!$A988),ISNUMBER('자료_미국심리'!$B988)),'자료_미국심리'!$A988,"")</f>
        <v/>
      </c>
      <c r="P1004">
        <f>IF(AND(ISNUMBER('자료_미국심리'!$D988),ISNUMBER('자료_미국심리'!$E988)),'자료_미국심리'!$D988,"")</f>
        <v/>
      </c>
      <c r="Q1004">
        <f>IF(AND(ISNUMBER('자료_미국심리'!$G988),ISNUMBER('자료_미국심리'!$H988)),'자료_미국심리'!$G988,"")</f>
        <v/>
      </c>
    </row>
    <row r="1005">
      <c r="A1005" s="10">
        <f>IF(987&gt;$E$5,"",SMALL($O$19:$O$4018,$E$6+987))</f>
        <v/>
      </c>
      <c r="B1005" s="29">
        <f>IF(A1005="","",INDEX('자료_미국심리'!$B$3:$B$4002,MATCH(A1005,$O$19:$O$4018,0)))</f>
        <v/>
      </c>
      <c r="C1005" s="22">
        <f>IF(A1005="","",B1005/AVERAGE(B881:B1005)-1)</f>
        <v/>
      </c>
      <c r="D1005" s="29">
        <f>IF(A1005="","",IFERROR(INDEX('자료_미국심리'!$E$3:$E$4002,MATCH(A1005,$P$19:$P$4018,0)),D1004))</f>
        <v/>
      </c>
      <c r="E1005" s="29">
        <f>IF(A1005="","",IFERROR(INDEX('자료_미국심리'!$H$3:$H$4002,MATCH(A1005,$Q$19:$Q$4018,0)),E1004))</f>
        <v/>
      </c>
      <c r="F1005">
        <f>IF(A1005="",0,IF(A1005&gt;$B$5,1,0))</f>
        <v/>
      </c>
      <c r="G1005" s="29">
        <f>IF(AND(F1005=1,ISNUMBER(D1005)),D1005,"")</f>
        <v/>
      </c>
      <c r="H1005" s="29">
        <f>IF(AND(F1005=1,ISNUMBER(E1005)),E1005,"")</f>
        <v/>
      </c>
      <c r="I1005" s="22">
        <f>IF(AND(F1005=1,ISNUMBER(C1005)),C1005,"")</f>
        <v/>
      </c>
      <c r="J1005" s="11">
        <f>IF(G1005="","",100-IF($G$13=1,50,(_xlfn.RANK.AVG(G1005,$G$19:$G$1518,1)-1)/($G$13-1)*100))</f>
        <v/>
      </c>
      <c r="K1005" s="11">
        <f>IF(H1005="","",100-IF($G$14=1,50,(_xlfn.RANK.AVG(H1005,$H$19:$H$1518,1)-1)/($G$14-1)*100))</f>
        <v/>
      </c>
      <c r="L1005" s="11">
        <f>IF(I1005="","",IF($G$15=1,50,(_xlfn.RANK.AVG(I1005,$I$19:$I$1518,1)-1)/($G$15-1)*100))</f>
        <v/>
      </c>
      <c r="M1005" s="11">
        <f>IF(COUNT(J1005:L1005)=3,ROUND(AVERAGE(J1005:L1005),6),"")</f>
        <v/>
      </c>
      <c r="O1005">
        <f>IF(AND(ISNUMBER('자료_미국심리'!$A989),ISNUMBER('자료_미국심리'!$B989)),'자료_미국심리'!$A989,"")</f>
        <v/>
      </c>
      <c r="P1005">
        <f>IF(AND(ISNUMBER('자료_미국심리'!$D989),ISNUMBER('자료_미국심리'!$E989)),'자료_미국심리'!$D989,"")</f>
        <v/>
      </c>
      <c r="Q1005">
        <f>IF(AND(ISNUMBER('자료_미국심리'!$G989),ISNUMBER('자료_미국심리'!$H989)),'자료_미국심리'!$G989,"")</f>
        <v/>
      </c>
    </row>
    <row r="1006">
      <c r="A1006" s="10">
        <f>IF(988&gt;$E$5,"",SMALL($O$19:$O$4018,$E$6+988))</f>
        <v/>
      </c>
      <c r="B1006" s="29">
        <f>IF(A1006="","",INDEX('자료_미국심리'!$B$3:$B$4002,MATCH(A1006,$O$19:$O$4018,0)))</f>
        <v/>
      </c>
      <c r="C1006" s="22">
        <f>IF(A1006="","",B1006/AVERAGE(B882:B1006)-1)</f>
        <v/>
      </c>
      <c r="D1006" s="29">
        <f>IF(A1006="","",IFERROR(INDEX('자료_미국심리'!$E$3:$E$4002,MATCH(A1006,$P$19:$P$4018,0)),D1005))</f>
        <v/>
      </c>
      <c r="E1006" s="29">
        <f>IF(A1006="","",IFERROR(INDEX('자료_미국심리'!$H$3:$H$4002,MATCH(A1006,$Q$19:$Q$4018,0)),E1005))</f>
        <v/>
      </c>
      <c r="F1006">
        <f>IF(A1006="",0,IF(A1006&gt;$B$5,1,0))</f>
        <v/>
      </c>
      <c r="G1006" s="29">
        <f>IF(AND(F1006=1,ISNUMBER(D1006)),D1006,"")</f>
        <v/>
      </c>
      <c r="H1006" s="29">
        <f>IF(AND(F1006=1,ISNUMBER(E1006)),E1006,"")</f>
        <v/>
      </c>
      <c r="I1006" s="22">
        <f>IF(AND(F1006=1,ISNUMBER(C1006)),C1006,"")</f>
        <v/>
      </c>
      <c r="J1006" s="11">
        <f>IF(G1006="","",100-IF($G$13=1,50,(_xlfn.RANK.AVG(G1006,$G$19:$G$1518,1)-1)/($G$13-1)*100))</f>
        <v/>
      </c>
      <c r="K1006" s="11">
        <f>IF(H1006="","",100-IF($G$14=1,50,(_xlfn.RANK.AVG(H1006,$H$19:$H$1518,1)-1)/($G$14-1)*100))</f>
        <v/>
      </c>
      <c r="L1006" s="11">
        <f>IF(I1006="","",IF($G$15=1,50,(_xlfn.RANK.AVG(I1006,$I$19:$I$1518,1)-1)/($G$15-1)*100))</f>
        <v/>
      </c>
      <c r="M1006" s="11">
        <f>IF(COUNT(J1006:L1006)=3,ROUND(AVERAGE(J1006:L1006),6),"")</f>
        <v/>
      </c>
      <c r="O1006">
        <f>IF(AND(ISNUMBER('자료_미국심리'!$A990),ISNUMBER('자료_미국심리'!$B990)),'자료_미국심리'!$A990,"")</f>
        <v/>
      </c>
      <c r="P1006">
        <f>IF(AND(ISNUMBER('자료_미국심리'!$D990),ISNUMBER('자료_미국심리'!$E990)),'자료_미국심리'!$D990,"")</f>
        <v/>
      </c>
      <c r="Q1006">
        <f>IF(AND(ISNUMBER('자료_미국심리'!$G990),ISNUMBER('자료_미국심리'!$H990)),'자료_미국심리'!$G990,"")</f>
        <v/>
      </c>
    </row>
    <row r="1007">
      <c r="A1007" s="10">
        <f>IF(989&gt;$E$5,"",SMALL($O$19:$O$4018,$E$6+989))</f>
        <v/>
      </c>
      <c r="B1007" s="29">
        <f>IF(A1007="","",INDEX('자료_미국심리'!$B$3:$B$4002,MATCH(A1007,$O$19:$O$4018,0)))</f>
        <v/>
      </c>
      <c r="C1007" s="22">
        <f>IF(A1007="","",B1007/AVERAGE(B883:B1007)-1)</f>
        <v/>
      </c>
      <c r="D1007" s="29">
        <f>IF(A1007="","",IFERROR(INDEX('자료_미국심리'!$E$3:$E$4002,MATCH(A1007,$P$19:$P$4018,0)),D1006))</f>
        <v/>
      </c>
      <c r="E1007" s="29">
        <f>IF(A1007="","",IFERROR(INDEX('자료_미국심리'!$H$3:$H$4002,MATCH(A1007,$Q$19:$Q$4018,0)),E1006))</f>
        <v/>
      </c>
      <c r="F1007">
        <f>IF(A1007="",0,IF(A1007&gt;$B$5,1,0))</f>
        <v/>
      </c>
      <c r="G1007" s="29">
        <f>IF(AND(F1007=1,ISNUMBER(D1007)),D1007,"")</f>
        <v/>
      </c>
      <c r="H1007" s="29">
        <f>IF(AND(F1007=1,ISNUMBER(E1007)),E1007,"")</f>
        <v/>
      </c>
      <c r="I1007" s="22">
        <f>IF(AND(F1007=1,ISNUMBER(C1007)),C1007,"")</f>
        <v/>
      </c>
      <c r="J1007" s="11">
        <f>IF(G1007="","",100-IF($G$13=1,50,(_xlfn.RANK.AVG(G1007,$G$19:$G$1518,1)-1)/($G$13-1)*100))</f>
        <v/>
      </c>
      <c r="K1007" s="11">
        <f>IF(H1007="","",100-IF($G$14=1,50,(_xlfn.RANK.AVG(H1007,$H$19:$H$1518,1)-1)/($G$14-1)*100))</f>
        <v/>
      </c>
      <c r="L1007" s="11">
        <f>IF(I1007="","",IF($G$15=1,50,(_xlfn.RANK.AVG(I1007,$I$19:$I$1518,1)-1)/($G$15-1)*100))</f>
        <v/>
      </c>
      <c r="M1007" s="11">
        <f>IF(COUNT(J1007:L1007)=3,ROUND(AVERAGE(J1007:L1007),6),"")</f>
        <v/>
      </c>
      <c r="O1007">
        <f>IF(AND(ISNUMBER('자료_미국심리'!$A991),ISNUMBER('자료_미국심리'!$B991)),'자료_미국심리'!$A991,"")</f>
        <v/>
      </c>
      <c r="P1007">
        <f>IF(AND(ISNUMBER('자료_미국심리'!$D991),ISNUMBER('자료_미국심리'!$E991)),'자료_미국심리'!$D991,"")</f>
        <v/>
      </c>
      <c r="Q1007">
        <f>IF(AND(ISNUMBER('자료_미국심리'!$G991),ISNUMBER('자료_미국심리'!$H991)),'자료_미국심리'!$G991,"")</f>
        <v/>
      </c>
    </row>
    <row r="1008">
      <c r="A1008" s="10">
        <f>IF(990&gt;$E$5,"",SMALL($O$19:$O$4018,$E$6+990))</f>
        <v/>
      </c>
      <c r="B1008" s="29">
        <f>IF(A1008="","",INDEX('자료_미국심리'!$B$3:$B$4002,MATCH(A1008,$O$19:$O$4018,0)))</f>
        <v/>
      </c>
      <c r="C1008" s="22">
        <f>IF(A1008="","",B1008/AVERAGE(B884:B1008)-1)</f>
        <v/>
      </c>
      <c r="D1008" s="29">
        <f>IF(A1008="","",IFERROR(INDEX('자료_미국심리'!$E$3:$E$4002,MATCH(A1008,$P$19:$P$4018,0)),D1007))</f>
        <v/>
      </c>
      <c r="E1008" s="29">
        <f>IF(A1008="","",IFERROR(INDEX('자료_미국심리'!$H$3:$H$4002,MATCH(A1008,$Q$19:$Q$4018,0)),E1007))</f>
        <v/>
      </c>
      <c r="F1008">
        <f>IF(A1008="",0,IF(A1008&gt;$B$5,1,0))</f>
        <v/>
      </c>
      <c r="G1008" s="29">
        <f>IF(AND(F1008=1,ISNUMBER(D1008)),D1008,"")</f>
        <v/>
      </c>
      <c r="H1008" s="29">
        <f>IF(AND(F1008=1,ISNUMBER(E1008)),E1008,"")</f>
        <v/>
      </c>
      <c r="I1008" s="22">
        <f>IF(AND(F1008=1,ISNUMBER(C1008)),C1008,"")</f>
        <v/>
      </c>
      <c r="J1008" s="11">
        <f>IF(G1008="","",100-IF($G$13=1,50,(_xlfn.RANK.AVG(G1008,$G$19:$G$1518,1)-1)/($G$13-1)*100))</f>
        <v/>
      </c>
      <c r="K1008" s="11">
        <f>IF(H1008="","",100-IF($G$14=1,50,(_xlfn.RANK.AVG(H1008,$H$19:$H$1518,1)-1)/($G$14-1)*100))</f>
        <v/>
      </c>
      <c r="L1008" s="11">
        <f>IF(I1008="","",IF($G$15=1,50,(_xlfn.RANK.AVG(I1008,$I$19:$I$1518,1)-1)/($G$15-1)*100))</f>
        <v/>
      </c>
      <c r="M1008" s="11">
        <f>IF(COUNT(J1008:L1008)=3,ROUND(AVERAGE(J1008:L1008),6),"")</f>
        <v/>
      </c>
      <c r="O1008">
        <f>IF(AND(ISNUMBER('자료_미국심리'!$A992),ISNUMBER('자료_미국심리'!$B992)),'자료_미국심리'!$A992,"")</f>
        <v/>
      </c>
      <c r="P1008">
        <f>IF(AND(ISNUMBER('자료_미국심리'!$D992),ISNUMBER('자료_미국심리'!$E992)),'자료_미국심리'!$D992,"")</f>
        <v/>
      </c>
      <c r="Q1008">
        <f>IF(AND(ISNUMBER('자료_미국심리'!$G992),ISNUMBER('자료_미국심리'!$H992)),'자료_미국심리'!$G992,"")</f>
        <v/>
      </c>
    </row>
    <row r="1009">
      <c r="A1009" s="10">
        <f>IF(991&gt;$E$5,"",SMALL($O$19:$O$4018,$E$6+991))</f>
        <v/>
      </c>
      <c r="B1009" s="29">
        <f>IF(A1009="","",INDEX('자료_미국심리'!$B$3:$B$4002,MATCH(A1009,$O$19:$O$4018,0)))</f>
        <v/>
      </c>
      <c r="C1009" s="22">
        <f>IF(A1009="","",B1009/AVERAGE(B885:B1009)-1)</f>
        <v/>
      </c>
      <c r="D1009" s="29">
        <f>IF(A1009="","",IFERROR(INDEX('자료_미국심리'!$E$3:$E$4002,MATCH(A1009,$P$19:$P$4018,0)),D1008))</f>
        <v/>
      </c>
      <c r="E1009" s="29">
        <f>IF(A1009="","",IFERROR(INDEX('자료_미국심리'!$H$3:$H$4002,MATCH(A1009,$Q$19:$Q$4018,0)),E1008))</f>
        <v/>
      </c>
      <c r="F1009">
        <f>IF(A1009="",0,IF(A1009&gt;$B$5,1,0))</f>
        <v/>
      </c>
      <c r="G1009" s="29">
        <f>IF(AND(F1009=1,ISNUMBER(D1009)),D1009,"")</f>
        <v/>
      </c>
      <c r="H1009" s="29">
        <f>IF(AND(F1009=1,ISNUMBER(E1009)),E1009,"")</f>
        <v/>
      </c>
      <c r="I1009" s="22">
        <f>IF(AND(F1009=1,ISNUMBER(C1009)),C1009,"")</f>
        <v/>
      </c>
      <c r="J1009" s="11">
        <f>IF(G1009="","",100-IF($G$13=1,50,(_xlfn.RANK.AVG(G1009,$G$19:$G$1518,1)-1)/($G$13-1)*100))</f>
        <v/>
      </c>
      <c r="K1009" s="11">
        <f>IF(H1009="","",100-IF($G$14=1,50,(_xlfn.RANK.AVG(H1009,$H$19:$H$1518,1)-1)/($G$14-1)*100))</f>
        <v/>
      </c>
      <c r="L1009" s="11">
        <f>IF(I1009="","",IF($G$15=1,50,(_xlfn.RANK.AVG(I1009,$I$19:$I$1518,1)-1)/($G$15-1)*100))</f>
        <v/>
      </c>
      <c r="M1009" s="11">
        <f>IF(COUNT(J1009:L1009)=3,ROUND(AVERAGE(J1009:L1009),6),"")</f>
        <v/>
      </c>
      <c r="O1009">
        <f>IF(AND(ISNUMBER('자료_미국심리'!$A993),ISNUMBER('자료_미국심리'!$B993)),'자료_미국심리'!$A993,"")</f>
        <v/>
      </c>
      <c r="P1009">
        <f>IF(AND(ISNUMBER('자료_미국심리'!$D993),ISNUMBER('자료_미국심리'!$E993)),'자료_미국심리'!$D993,"")</f>
        <v/>
      </c>
      <c r="Q1009">
        <f>IF(AND(ISNUMBER('자료_미국심리'!$G993),ISNUMBER('자료_미국심리'!$H993)),'자료_미국심리'!$G993,"")</f>
        <v/>
      </c>
    </row>
    <row r="1010">
      <c r="A1010" s="10">
        <f>IF(992&gt;$E$5,"",SMALL($O$19:$O$4018,$E$6+992))</f>
        <v/>
      </c>
      <c r="B1010" s="29">
        <f>IF(A1010="","",INDEX('자료_미국심리'!$B$3:$B$4002,MATCH(A1010,$O$19:$O$4018,0)))</f>
        <v/>
      </c>
      <c r="C1010" s="22">
        <f>IF(A1010="","",B1010/AVERAGE(B886:B1010)-1)</f>
        <v/>
      </c>
      <c r="D1010" s="29">
        <f>IF(A1010="","",IFERROR(INDEX('자료_미국심리'!$E$3:$E$4002,MATCH(A1010,$P$19:$P$4018,0)),D1009))</f>
        <v/>
      </c>
      <c r="E1010" s="29">
        <f>IF(A1010="","",IFERROR(INDEX('자료_미국심리'!$H$3:$H$4002,MATCH(A1010,$Q$19:$Q$4018,0)),E1009))</f>
        <v/>
      </c>
      <c r="F1010">
        <f>IF(A1010="",0,IF(A1010&gt;$B$5,1,0))</f>
        <v/>
      </c>
      <c r="G1010" s="29">
        <f>IF(AND(F1010=1,ISNUMBER(D1010)),D1010,"")</f>
        <v/>
      </c>
      <c r="H1010" s="29">
        <f>IF(AND(F1010=1,ISNUMBER(E1010)),E1010,"")</f>
        <v/>
      </c>
      <c r="I1010" s="22">
        <f>IF(AND(F1010=1,ISNUMBER(C1010)),C1010,"")</f>
        <v/>
      </c>
      <c r="J1010" s="11">
        <f>IF(G1010="","",100-IF($G$13=1,50,(_xlfn.RANK.AVG(G1010,$G$19:$G$1518,1)-1)/($G$13-1)*100))</f>
        <v/>
      </c>
      <c r="K1010" s="11">
        <f>IF(H1010="","",100-IF($G$14=1,50,(_xlfn.RANK.AVG(H1010,$H$19:$H$1518,1)-1)/($G$14-1)*100))</f>
        <v/>
      </c>
      <c r="L1010" s="11">
        <f>IF(I1010="","",IF($G$15=1,50,(_xlfn.RANK.AVG(I1010,$I$19:$I$1518,1)-1)/($G$15-1)*100))</f>
        <v/>
      </c>
      <c r="M1010" s="11">
        <f>IF(COUNT(J1010:L1010)=3,ROUND(AVERAGE(J1010:L1010),6),"")</f>
        <v/>
      </c>
      <c r="O1010">
        <f>IF(AND(ISNUMBER('자료_미국심리'!$A994),ISNUMBER('자료_미국심리'!$B994)),'자료_미국심리'!$A994,"")</f>
        <v/>
      </c>
      <c r="P1010">
        <f>IF(AND(ISNUMBER('자료_미국심리'!$D994),ISNUMBER('자료_미국심리'!$E994)),'자료_미국심리'!$D994,"")</f>
        <v/>
      </c>
      <c r="Q1010">
        <f>IF(AND(ISNUMBER('자료_미국심리'!$G994),ISNUMBER('자료_미국심리'!$H994)),'자료_미국심리'!$G994,"")</f>
        <v/>
      </c>
    </row>
    <row r="1011">
      <c r="A1011" s="10">
        <f>IF(993&gt;$E$5,"",SMALL($O$19:$O$4018,$E$6+993))</f>
        <v/>
      </c>
      <c r="B1011" s="29">
        <f>IF(A1011="","",INDEX('자료_미국심리'!$B$3:$B$4002,MATCH(A1011,$O$19:$O$4018,0)))</f>
        <v/>
      </c>
      <c r="C1011" s="22">
        <f>IF(A1011="","",B1011/AVERAGE(B887:B1011)-1)</f>
        <v/>
      </c>
      <c r="D1011" s="29">
        <f>IF(A1011="","",IFERROR(INDEX('자료_미국심리'!$E$3:$E$4002,MATCH(A1011,$P$19:$P$4018,0)),D1010))</f>
        <v/>
      </c>
      <c r="E1011" s="29">
        <f>IF(A1011="","",IFERROR(INDEX('자료_미국심리'!$H$3:$H$4002,MATCH(A1011,$Q$19:$Q$4018,0)),E1010))</f>
        <v/>
      </c>
      <c r="F1011">
        <f>IF(A1011="",0,IF(A1011&gt;$B$5,1,0))</f>
        <v/>
      </c>
      <c r="G1011" s="29">
        <f>IF(AND(F1011=1,ISNUMBER(D1011)),D1011,"")</f>
        <v/>
      </c>
      <c r="H1011" s="29">
        <f>IF(AND(F1011=1,ISNUMBER(E1011)),E1011,"")</f>
        <v/>
      </c>
      <c r="I1011" s="22">
        <f>IF(AND(F1011=1,ISNUMBER(C1011)),C1011,"")</f>
        <v/>
      </c>
      <c r="J1011" s="11">
        <f>IF(G1011="","",100-IF($G$13=1,50,(_xlfn.RANK.AVG(G1011,$G$19:$G$1518,1)-1)/($G$13-1)*100))</f>
        <v/>
      </c>
      <c r="K1011" s="11">
        <f>IF(H1011="","",100-IF($G$14=1,50,(_xlfn.RANK.AVG(H1011,$H$19:$H$1518,1)-1)/($G$14-1)*100))</f>
        <v/>
      </c>
      <c r="L1011" s="11">
        <f>IF(I1011="","",IF($G$15=1,50,(_xlfn.RANK.AVG(I1011,$I$19:$I$1518,1)-1)/($G$15-1)*100))</f>
        <v/>
      </c>
      <c r="M1011" s="11">
        <f>IF(COUNT(J1011:L1011)=3,ROUND(AVERAGE(J1011:L1011),6),"")</f>
        <v/>
      </c>
      <c r="O1011">
        <f>IF(AND(ISNUMBER('자료_미국심리'!$A995),ISNUMBER('자료_미국심리'!$B995)),'자료_미국심리'!$A995,"")</f>
        <v/>
      </c>
      <c r="P1011">
        <f>IF(AND(ISNUMBER('자료_미국심리'!$D995),ISNUMBER('자료_미국심리'!$E995)),'자료_미국심리'!$D995,"")</f>
        <v/>
      </c>
      <c r="Q1011">
        <f>IF(AND(ISNUMBER('자료_미국심리'!$G995),ISNUMBER('자료_미국심리'!$H995)),'자료_미국심리'!$G995,"")</f>
        <v/>
      </c>
    </row>
    <row r="1012">
      <c r="A1012" s="10">
        <f>IF(994&gt;$E$5,"",SMALL($O$19:$O$4018,$E$6+994))</f>
        <v/>
      </c>
      <c r="B1012" s="29">
        <f>IF(A1012="","",INDEX('자료_미국심리'!$B$3:$B$4002,MATCH(A1012,$O$19:$O$4018,0)))</f>
        <v/>
      </c>
      <c r="C1012" s="22">
        <f>IF(A1012="","",B1012/AVERAGE(B888:B1012)-1)</f>
        <v/>
      </c>
      <c r="D1012" s="29">
        <f>IF(A1012="","",IFERROR(INDEX('자료_미국심리'!$E$3:$E$4002,MATCH(A1012,$P$19:$P$4018,0)),D1011))</f>
        <v/>
      </c>
      <c r="E1012" s="29">
        <f>IF(A1012="","",IFERROR(INDEX('자료_미국심리'!$H$3:$H$4002,MATCH(A1012,$Q$19:$Q$4018,0)),E1011))</f>
        <v/>
      </c>
      <c r="F1012">
        <f>IF(A1012="",0,IF(A1012&gt;$B$5,1,0))</f>
        <v/>
      </c>
      <c r="G1012" s="29">
        <f>IF(AND(F1012=1,ISNUMBER(D1012)),D1012,"")</f>
        <v/>
      </c>
      <c r="H1012" s="29">
        <f>IF(AND(F1012=1,ISNUMBER(E1012)),E1012,"")</f>
        <v/>
      </c>
      <c r="I1012" s="22">
        <f>IF(AND(F1012=1,ISNUMBER(C1012)),C1012,"")</f>
        <v/>
      </c>
      <c r="J1012" s="11">
        <f>IF(G1012="","",100-IF($G$13=1,50,(_xlfn.RANK.AVG(G1012,$G$19:$G$1518,1)-1)/($G$13-1)*100))</f>
        <v/>
      </c>
      <c r="K1012" s="11">
        <f>IF(H1012="","",100-IF($G$14=1,50,(_xlfn.RANK.AVG(H1012,$H$19:$H$1518,1)-1)/($G$14-1)*100))</f>
        <v/>
      </c>
      <c r="L1012" s="11">
        <f>IF(I1012="","",IF($G$15=1,50,(_xlfn.RANK.AVG(I1012,$I$19:$I$1518,1)-1)/($G$15-1)*100))</f>
        <v/>
      </c>
      <c r="M1012" s="11">
        <f>IF(COUNT(J1012:L1012)=3,ROUND(AVERAGE(J1012:L1012),6),"")</f>
        <v/>
      </c>
      <c r="O1012">
        <f>IF(AND(ISNUMBER('자료_미국심리'!$A996),ISNUMBER('자료_미국심리'!$B996)),'자료_미국심리'!$A996,"")</f>
        <v/>
      </c>
      <c r="P1012">
        <f>IF(AND(ISNUMBER('자료_미국심리'!$D996),ISNUMBER('자료_미국심리'!$E996)),'자료_미국심리'!$D996,"")</f>
        <v/>
      </c>
      <c r="Q1012">
        <f>IF(AND(ISNUMBER('자료_미국심리'!$G996),ISNUMBER('자료_미국심리'!$H996)),'자료_미국심리'!$G996,"")</f>
        <v/>
      </c>
    </row>
    <row r="1013">
      <c r="A1013" s="10">
        <f>IF(995&gt;$E$5,"",SMALL($O$19:$O$4018,$E$6+995))</f>
        <v/>
      </c>
      <c r="B1013" s="29">
        <f>IF(A1013="","",INDEX('자료_미국심리'!$B$3:$B$4002,MATCH(A1013,$O$19:$O$4018,0)))</f>
        <v/>
      </c>
      <c r="C1013" s="22">
        <f>IF(A1013="","",B1013/AVERAGE(B889:B1013)-1)</f>
        <v/>
      </c>
      <c r="D1013" s="29">
        <f>IF(A1013="","",IFERROR(INDEX('자료_미국심리'!$E$3:$E$4002,MATCH(A1013,$P$19:$P$4018,0)),D1012))</f>
        <v/>
      </c>
      <c r="E1013" s="29">
        <f>IF(A1013="","",IFERROR(INDEX('자료_미국심리'!$H$3:$H$4002,MATCH(A1013,$Q$19:$Q$4018,0)),E1012))</f>
        <v/>
      </c>
      <c r="F1013">
        <f>IF(A1013="",0,IF(A1013&gt;$B$5,1,0))</f>
        <v/>
      </c>
      <c r="G1013" s="29">
        <f>IF(AND(F1013=1,ISNUMBER(D1013)),D1013,"")</f>
        <v/>
      </c>
      <c r="H1013" s="29">
        <f>IF(AND(F1013=1,ISNUMBER(E1013)),E1013,"")</f>
        <v/>
      </c>
      <c r="I1013" s="22">
        <f>IF(AND(F1013=1,ISNUMBER(C1013)),C1013,"")</f>
        <v/>
      </c>
      <c r="J1013" s="11">
        <f>IF(G1013="","",100-IF($G$13=1,50,(_xlfn.RANK.AVG(G1013,$G$19:$G$1518,1)-1)/($G$13-1)*100))</f>
        <v/>
      </c>
      <c r="K1013" s="11">
        <f>IF(H1013="","",100-IF($G$14=1,50,(_xlfn.RANK.AVG(H1013,$H$19:$H$1518,1)-1)/($G$14-1)*100))</f>
        <v/>
      </c>
      <c r="L1013" s="11">
        <f>IF(I1013="","",IF($G$15=1,50,(_xlfn.RANK.AVG(I1013,$I$19:$I$1518,1)-1)/($G$15-1)*100))</f>
        <v/>
      </c>
      <c r="M1013" s="11">
        <f>IF(COUNT(J1013:L1013)=3,ROUND(AVERAGE(J1013:L1013),6),"")</f>
        <v/>
      </c>
      <c r="O1013">
        <f>IF(AND(ISNUMBER('자료_미국심리'!$A997),ISNUMBER('자료_미국심리'!$B997)),'자료_미국심리'!$A997,"")</f>
        <v/>
      </c>
      <c r="P1013">
        <f>IF(AND(ISNUMBER('자료_미국심리'!$D997),ISNUMBER('자료_미국심리'!$E997)),'자료_미국심리'!$D997,"")</f>
        <v/>
      </c>
      <c r="Q1013">
        <f>IF(AND(ISNUMBER('자료_미국심리'!$G997),ISNUMBER('자료_미국심리'!$H997)),'자료_미국심리'!$G997,"")</f>
        <v/>
      </c>
    </row>
    <row r="1014">
      <c r="A1014" s="10">
        <f>IF(996&gt;$E$5,"",SMALL($O$19:$O$4018,$E$6+996))</f>
        <v/>
      </c>
      <c r="B1014" s="29">
        <f>IF(A1014="","",INDEX('자료_미국심리'!$B$3:$B$4002,MATCH(A1014,$O$19:$O$4018,0)))</f>
        <v/>
      </c>
      <c r="C1014" s="22">
        <f>IF(A1014="","",B1014/AVERAGE(B890:B1014)-1)</f>
        <v/>
      </c>
      <c r="D1014" s="29">
        <f>IF(A1014="","",IFERROR(INDEX('자료_미국심리'!$E$3:$E$4002,MATCH(A1014,$P$19:$P$4018,0)),D1013))</f>
        <v/>
      </c>
      <c r="E1014" s="29">
        <f>IF(A1014="","",IFERROR(INDEX('자료_미국심리'!$H$3:$H$4002,MATCH(A1014,$Q$19:$Q$4018,0)),E1013))</f>
        <v/>
      </c>
      <c r="F1014">
        <f>IF(A1014="",0,IF(A1014&gt;$B$5,1,0))</f>
        <v/>
      </c>
      <c r="G1014" s="29">
        <f>IF(AND(F1014=1,ISNUMBER(D1014)),D1014,"")</f>
        <v/>
      </c>
      <c r="H1014" s="29">
        <f>IF(AND(F1014=1,ISNUMBER(E1014)),E1014,"")</f>
        <v/>
      </c>
      <c r="I1014" s="22">
        <f>IF(AND(F1014=1,ISNUMBER(C1014)),C1014,"")</f>
        <v/>
      </c>
      <c r="J1014" s="11">
        <f>IF(G1014="","",100-IF($G$13=1,50,(_xlfn.RANK.AVG(G1014,$G$19:$G$1518,1)-1)/($G$13-1)*100))</f>
        <v/>
      </c>
      <c r="K1014" s="11">
        <f>IF(H1014="","",100-IF($G$14=1,50,(_xlfn.RANK.AVG(H1014,$H$19:$H$1518,1)-1)/($G$14-1)*100))</f>
        <v/>
      </c>
      <c r="L1014" s="11">
        <f>IF(I1014="","",IF($G$15=1,50,(_xlfn.RANK.AVG(I1014,$I$19:$I$1518,1)-1)/($G$15-1)*100))</f>
        <v/>
      </c>
      <c r="M1014" s="11">
        <f>IF(COUNT(J1014:L1014)=3,ROUND(AVERAGE(J1014:L1014),6),"")</f>
        <v/>
      </c>
      <c r="O1014">
        <f>IF(AND(ISNUMBER('자료_미국심리'!$A998),ISNUMBER('자료_미국심리'!$B998)),'자료_미국심리'!$A998,"")</f>
        <v/>
      </c>
      <c r="P1014">
        <f>IF(AND(ISNUMBER('자료_미국심리'!$D998),ISNUMBER('자료_미국심리'!$E998)),'자료_미국심리'!$D998,"")</f>
        <v/>
      </c>
      <c r="Q1014">
        <f>IF(AND(ISNUMBER('자료_미국심리'!$G998),ISNUMBER('자료_미국심리'!$H998)),'자료_미국심리'!$G998,"")</f>
        <v/>
      </c>
    </row>
    <row r="1015">
      <c r="A1015" s="10">
        <f>IF(997&gt;$E$5,"",SMALL($O$19:$O$4018,$E$6+997))</f>
        <v/>
      </c>
      <c r="B1015" s="29">
        <f>IF(A1015="","",INDEX('자료_미국심리'!$B$3:$B$4002,MATCH(A1015,$O$19:$O$4018,0)))</f>
        <v/>
      </c>
      <c r="C1015" s="22">
        <f>IF(A1015="","",B1015/AVERAGE(B891:B1015)-1)</f>
        <v/>
      </c>
      <c r="D1015" s="29">
        <f>IF(A1015="","",IFERROR(INDEX('자료_미국심리'!$E$3:$E$4002,MATCH(A1015,$P$19:$P$4018,0)),D1014))</f>
        <v/>
      </c>
      <c r="E1015" s="29">
        <f>IF(A1015="","",IFERROR(INDEX('자료_미국심리'!$H$3:$H$4002,MATCH(A1015,$Q$19:$Q$4018,0)),E1014))</f>
        <v/>
      </c>
      <c r="F1015">
        <f>IF(A1015="",0,IF(A1015&gt;$B$5,1,0))</f>
        <v/>
      </c>
      <c r="G1015" s="29">
        <f>IF(AND(F1015=1,ISNUMBER(D1015)),D1015,"")</f>
        <v/>
      </c>
      <c r="H1015" s="29">
        <f>IF(AND(F1015=1,ISNUMBER(E1015)),E1015,"")</f>
        <v/>
      </c>
      <c r="I1015" s="22">
        <f>IF(AND(F1015=1,ISNUMBER(C1015)),C1015,"")</f>
        <v/>
      </c>
      <c r="J1015" s="11">
        <f>IF(G1015="","",100-IF($G$13=1,50,(_xlfn.RANK.AVG(G1015,$G$19:$G$1518,1)-1)/($G$13-1)*100))</f>
        <v/>
      </c>
      <c r="K1015" s="11">
        <f>IF(H1015="","",100-IF($G$14=1,50,(_xlfn.RANK.AVG(H1015,$H$19:$H$1518,1)-1)/($G$14-1)*100))</f>
        <v/>
      </c>
      <c r="L1015" s="11">
        <f>IF(I1015="","",IF($G$15=1,50,(_xlfn.RANK.AVG(I1015,$I$19:$I$1518,1)-1)/($G$15-1)*100))</f>
        <v/>
      </c>
      <c r="M1015" s="11">
        <f>IF(COUNT(J1015:L1015)=3,ROUND(AVERAGE(J1015:L1015),6),"")</f>
        <v/>
      </c>
      <c r="O1015">
        <f>IF(AND(ISNUMBER('자료_미국심리'!$A999),ISNUMBER('자료_미국심리'!$B999)),'자료_미국심리'!$A999,"")</f>
        <v/>
      </c>
      <c r="P1015">
        <f>IF(AND(ISNUMBER('자료_미국심리'!$D999),ISNUMBER('자료_미국심리'!$E999)),'자료_미국심리'!$D999,"")</f>
        <v/>
      </c>
      <c r="Q1015">
        <f>IF(AND(ISNUMBER('자료_미국심리'!$G999),ISNUMBER('자료_미국심리'!$H999)),'자료_미국심리'!$G999,"")</f>
        <v/>
      </c>
    </row>
    <row r="1016">
      <c r="A1016" s="10">
        <f>IF(998&gt;$E$5,"",SMALL($O$19:$O$4018,$E$6+998))</f>
        <v/>
      </c>
      <c r="B1016" s="29">
        <f>IF(A1016="","",INDEX('자료_미국심리'!$B$3:$B$4002,MATCH(A1016,$O$19:$O$4018,0)))</f>
        <v/>
      </c>
      <c r="C1016" s="22">
        <f>IF(A1016="","",B1016/AVERAGE(B892:B1016)-1)</f>
        <v/>
      </c>
      <c r="D1016" s="29">
        <f>IF(A1016="","",IFERROR(INDEX('자료_미국심리'!$E$3:$E$4002,MATCH(A1016,$P$19:$P$4018,0)),D1015))</f>
        <v/>
      </c>
      <c r="E1016" s="29">
        <f>IF(A1016="","",IFERROR(INDEX('자료_미국심리'!$H$3:$H$4002,MATCH(A1016,$Q$19:$Q$4018,0)),E1015))</f>
        <v/>
      </c>
      <c r="F1016">
        <f>IF(A1016="",0,IF(A1016&gt;$B$5,1,0))</f>
        <v/>
      </c>
      <c r="G1016" s="29">
        <f>IF(AND(F1016=1,ISNUMBER(D1016)),D1016,"")</f>
        <v/>
      </c>
      <c r="H1016" s="29">
        <f>IF(AND(F1016=1,ISNUMBER(E1016)),E1016,"")</f>
        <v/>
      </c>
      <c r="I1016" s="22">
        <f>IF(AND(F1016=1,ISNUMBER(C1016)),C1016,"")</f>
        <v/>
      </c>
      <c r="J1016" s="11">
        <f>IF(G1016="","",100-IF($G$13=1,50,(_xlfn.RANK.AVG(G1016,$G$19:$G$1518,1)-1)/($G$13-1)*100))</f>
        <v/>
      </c>
      <c r="K1016" s="11">
        <f>IF(H1016="","",100-IF($G$14=1,50,(_xlfn.RANK.AVG(H1016,$H$19:$H$1518,1)-1)/($G$14-1)*100))</f>
        <v/>
      </c>
      <c r="L1016" s="11">
        <f>IF(I1016="","",IF($G$15=1,50,(_xlfn.RANK.AVG(I1016,$I$19:$I$1518,1)-1)/($G$15-1)*100))</f>
        <v/>
      </c>
      <c r="M1016" s="11">
        <f>IF(COUNT(J1016:L1016)=3,ROUND(AVERAGE(J1016:L1016),6),"")</f>
        <v/>
      </c>
      <c r="O1016">
        <f>IF(AND(ISNUMBER('자료_미국심리'!$A1000),ISNUMBER('자료_미국심리'!$B1000)),'자료_미국심리'!$A1000,"")</f>
        <v/>
      </c>
      <c r="P1016">
        <f>IF(AND(ISNUMBER('자료_미국심리'!$D1000),ISNUMBER('자료_미국심리'!$E1000)),'자료_미국심리'!$D1000,"")</f>
        <v/>
      </c>
      <c r="Q1016">
        <f>IF(AND(ISNUMBER('자료_미국심리'!$G1000),ISNUMBER('자료_미국심리'!$H1000)),'자료_미국심리'!$G1000,"")</f>
        <v/>
      </c>
    </row>
    <row r="1017">
      <c r="A1017" s="10">
        <f>IF(999&gt;$E$5,"",SMALL($O$19:$O$4018,$E$6+999))</f>
        <v/>
      </c>
      <c r="B1017" s="29">
        <f>IF(A1017="","",INDEX('자료_미국심리'!$B$3:$B$4002,MATCH(A1017,$O$19:$O$4018,0)))</f>
        <v/>
      </c>
      <c r="C1017" s="22">
        <f>IF(A1017="","",B1017/AVERAGE(B893:B1017)-1)</f>
        <v/>
      </c>
      <c r="D1017" s="29">
        <f>IF(A1017="","",IFERROR(INDEX('자료_미국심리'!$E$3:$E$4002,MATCH(A1017,$P$19:$P$4018,0)),D1016))</f>
        <v/>
      </c>
      <c r="E1017" s="29">
        <f>IF(A1017="","",IFERROR(INDEX('자료_미국심리'!$H$3:$H$4002,MATCH(A1017,$Q$19:$Q$4018,0)),E1016))</f>
        <v/>
      </c>
      <c r="F1017">
        <f>IF(A1017="",0,IF(A1017&gt;$B$5,1,0))</f>
        <v/>
      </c>
      <c r="G1017" s="29">
        <f>IF(AND(F1017=1,ISNUMBER(D1017)),D1017,"")</f>
        <v/>
      </c>
      <c r="H1017" s="29">
        <f>IF(AND(F1017=1,ISNUMBER(E1017)),E1017,"")</f>
        <v/>
      </c>
      <c r="I1017" s="22">
        <f>IF(AND(F1017=1,ISNUMBER(C1017)),C1017,"")</f>
        <v/>
      </c>
      <c r="J1017" s="11">
        <f>IF(G1017="","",100-IF($G$13=1,50,(_xlfn.RANK.AVG(G1017,$G$19:$G$1518,1)-1)/($G$13-1)*100))</f>
        <v/>
      </c>
      <c r="K1017" s="11">
        <f>IF(H1017="","",100-IF($G$14=1,50,(_xlfn.RANK.AVG(H1017,$H$19:$H$1518,1)-1)/($G$14-1)*100))</f>
        <v/>
      </c>
      <c r="L1017" s="11">
        <f>IF(I1017="","",IF($G$15=1,50,(_xlfn.RANK.AVG(I1017,$I$19:$I$1518,1)-1)/($G$15-1)*100))</f>
        <v/>
      </c>
      <c r="M1017" s="11">
        <f>IF(COUNT(J1017:L1017)=3,ROUND(AVERAGE(J1017:L1017),6),"")</f>
        <v/>
      </c>
      <c r="O1017">
        <f>IF(AND(ISNUMBER('자료_미국심리'!$A1001),ISNUMBER('자료_미국심리'!$B1001)),'자료_미국심리'!$A1001,"")</f>
        <v/>
      </c>
      <c r="P1017">
        <f>IF(AND(ISNUMBER('자료_미국심리'!$D1001),ISNUMBER('자료_미국심리'!$E1001)),'자료_미국심리'!$D1001,"")</f>
        <v/>
      </c>
      <c r="Q1017">
        <f>IF(AND(ISNUMBER('자료_미국심리'!$G1001),ISNUMBER('자료_미국심리'!$H1001)),'자료_미국심리'!$G1001,"")</f>
        <v/>
      </c>
    </row>
    <row r="1018">
      <c r="A1018" s="10">
        <f>IF(1000&gt;$E$5,"",SMALL($O$19:$O$4018,$E$6+1000))</f>
        <v/>
      </c>
      <c r="B1018" s="29">
        <f>IF(A1018="","",INDEX('자료_미국심리'!$B$3:$B$4002,MATCH(A1018,$O$19:$O$4018,0)))</f>
        <v/>
      </c>
      <c r="C1018" s="22">
        <f>IF(A1018="","",B1018/AVERAGE(B894:B1018)-1)</f>
        <v/>
      </c>
      <c r="D1018" s="29">
        <f>IF(A1018="","",IFERROR(INDEX('자료_미국심리'!$E$3:$E$4002,MATCH(A1018,$P$19:$P$4018,0)),D1017))</f>
        <v/>
      </c>
      <c r="E1018" s="29">
        <f>IF(A1018="","",IFERROR(INDEX('자료_미국심리'!$H$3:$H$4002,MATCH(A1018,$Q$19:$Q$4018,0)),E1017))</f>
        <v/>
      </c>
      <c r="F1018">
        <f>IF(A1018="",0,IF(A1018&gt;$B$5,1,0))</f>
        <v/>
      </c>
      <c r="G1018" s="29">
        <f>IF(AND(F1018=1,ISNUMBER(D1018)),D1018,"")</f>
        <v/>
      </c>
      <c r="H1018" s="29">
        <f>IF(AND(F1018=1,ISNUMBER(E1018)),E1018,"")</f>
        <v/>
      </c>
      <c r="I1018" s="22">
        <f>IF(AND(F1018=1,ISNUMBER(C1018)),C1018,"")</f>
        <v/>
      </c>
      <c r="J1018" s="11">
        <f>IF(G1018="","",100-IF($G$13=1,50,(_xlfn.RANK.AVG(G1018,$G$19:$G$1518,1)-1)/($G$13-1)*100))</f>
        <v/>
      </c>
      <c r="K1018" s="11">
        <f>IF(H1018="","",100-IF($G$14=1,50,(_xlfn.RANK.AVG(H1018,$H$19:$H$1518,1)-1)/($G$14-1)*100))</f>
        <v/>
      </c>
      <c r="L1018" s="11">
        <f>IF(I1018="","",IF($G$15=1,50,(_xlfn.RANK.AVG(I1018,$I$19:$I$1518,1)-1)/($G$15-1)*100))</f>
        <v/>
      </c>
      <c r="M1018" s="11">
        <f>IF(COUNT(J1018:L1018)=3,ROUND(AVERAGE(J1018:L1018),6),"")</f>
        <v/>
      </c>
      <c r="O1018">
        <f>IF(AND(ISNUMBER('자료_미국심리'!$A1002),ISNUMBER('자료_미국심리'!$B1002)),'자료_미국심리'!$A1002,"")</f>
        <v/>
      </c>
      <c r="P1018">
        <f>IF(AND(ISNUMBER('자료_미국심리'!$D1002),ISNUMBER('자료_미국심리'!$E1002)),'자료_미국심리'!$D1002,"")</f>
        <v/>
      </c>
      <c r="Q1018">
        <f>IF(AND(ISNUMBER('자료_미국심리'!$G1002),ISNUMBER('자료_미국심리'!$H1002)),'자료_미국심리'!$G1002,"")</f>
        <v/>
      </c>
    </row>
    <row r="1019">
      <c r="A1019" s="10">
        <f>IF(1001&gt;$E$5,"",SMALL($O$19:$O$4018,$E$6+1001))</f>
        <v/>
      </c>
      <c r="B1019" s="29">
        <f>IF(A1019="","",INDEX('자료_미국심리'!$B$3:$B$4002,MATCH(A1019,$O$19:$O$4018,0)))</f>
        <v/>
      </c>
      <c r="C1019" s="22">
        <f>IF(A1019="","",B1019/AVERAGE(B895:B1019)-1)</f>
        <v/>
      </c>
      <c r="D1019" s="29">
        <f>IF(A1019="","",IFERROR(INDEX('자료_미국심리'!$E$3:$E$4002,MATCH(A1019,$P$19:$P$4018,0)),D1018))</f>
        <v/>
      </c>
      <c r="E1019" s="29">
        <f>IF(A1019="","",IFERROR(INDEX('자료_미국심리'!$H$3:$H$4002,MATCH(A1019,$Q$19:$Q$4018,0)),E1018))</f>
        <v/>
      </c>
      <c r="F1019">
        <f>IF(A1019="",0,IF(A1019&gt;$B$5,1,0))</f>
        <v/>
      </c>
      <c r="G1019" s="29">
        <f>IF(AND(F1019=1,ISNUMBER(D1019)),D1019,"")</f>
        <v/>
      </c>
      <c r="H1019" s="29">
        <f>IF(AND(F1019=1,ISNUMBER(E1019)),E1019,"")</f>
        <v/>
      </c>
      <c r="I1019" s="22">
        <f>IF(AND(F1019=1,ISNUMBER(C1019)),C1019,"")</f>
        <v/>
      </c>
      <c r="J1019" s="11">
        <f>IF(G1019="","",100-IF($G$13=1,50,(_xlfn.RANK.AVG(G1019,$G$19:$G$1518,1)-1)/($G$13-1)*100))</f>
        <v/>
      </c>
      <c r="K1019" s="11">
        <f>IF(H1019="","",100-IF($G$14=1,50,(_xlfn.RANK.AVG(H1019,$H$19:$H$1518,1)-1)/($G$14-1)*100))</f>
        <v/>
      </c>
      <c r="L1019" s="11">
        <f>IF(I1019="","",IF($G$15=1,50,(_xlfn.RANK.AVG(I1019,$I$19:$I$1518,1)-1)/($G$15-1)*100))</f>
        <v/>
      </c>
      <c r="M1019" s="11">
        <f>IF(COUNT(J1019:L1019)=3,ROUND(AVERAGE(J1019:L1019),6),"")</f>
        <v/>
      </c>
      <c r="O1019">
        <f>IF(AND(ISNUMBER('자료_미국심리'!$A1003),ISNUMBER('자료_미국심리'!$B1003)),'자료_미국심리'!$A1003,"")</f>
        <v/>
      </c>
      <c r="P1019">
        <f>IF(AND(ISNUMBER('자료_미국심리'!$D1003),ISNUMBER('자료_미국심리'!$E1003)),'자료_미국심리'!$D1003,"")</f>
        <v/>
      </c>
      <c r="Q1019">
        <f>IF(AND(ISNUMBER('자료_미국심리'!$G1003),ISNUMBER('자료_미국심리'!$H1003)),'자료_미국심리'!$G1003,"")</f>
        <v/>
      </c>
    </row>
    <row r="1020">
      <c r="A1020" s="10">
        <f>IF(1002&gt;$E$5,"",SMALL($O$19:$O$4018,$E$6+1002))</f>
        <v/>
      </c>
      <c r="B1020" s="29">
        <f>IF(A1020="","",INDEX('자료_미국심리'!$B$3:$B$4002,MATCH(A1020,$O$19:$O$4018,0)))</f>
        <v/>
      </c>
      <c r="C1020" s="22">
        <f>IF(A1020="","",B1020/AVERAGE(B896:B1020)-1)</f>
        <v/>
      </c>
      <c r="D1020" s="29">
        <f>IF(A1020="","",IFERROR(INDEX('자료_미국심리'!$E$3:$E$4002,MATCH(A1020,$P$19:$P$4018,0)),D1019))</f>
        <v/>
      </c>
      <c r="E1020" s="29">
        <f>IF(A1020="","",IFERROR(INDEX('자료_미국심리'!$H$3:$H$4002,MATCH(A1020,$Q$19:$Q$4018,0)),E1019))</f>
        <v/>
      </c>
      <c r="F1020">
        <f>IF(A1020="",0,IF(A1020&gt;$B$5,1,0))</f>
        <v/>
      </c>
      <c r="G1020" s="29">
        <f>IF(AND(F1020=1,ISNUMBER(D1020)),D1020,"")</f>
        <v/>
      </c>
      <c r="H1020" s="29">
        <f>IF(AND(F1020=1,ISNUMBER(E1020)),E1020,"")</f>
        <v/>
      </c>
      <c r="I1020" s="22">
        <f>IF(AND(F1020=1,ISNUMBER(C1020)),C1020,"")</f>
        <v/>
      </c>
      <c r="J1020" s="11">
        <f>IF(G1020="","",100-IF($G$13=1,50,(_xlfn.RANK.AVG(G1020,$G$19:$G$1518,1)-1)/($G$13-1)*100))</f>
        <v/>
      </c>
      <c r="K1020" s="11">
        <f>IF(H1020="","",100-IF($G$14=1,50,(_xlfn.RANK.AVG(H1020,$H$19:$H$1518,1)-1)/($G$14-1)*100))</f>
        <v/>
      </c>
      <c r="L1020" s="11">
        <f>IF(I1020="","",IF($G$15=1,50,(_xlfn.RANK.AVG(I1020,$I$19:$I$1518,1)-1)/($G$15-1)*100))</f>
        <v/>
      </c>
      <c r="M1020" s="11">
        <f>IF(COUNT(J1020:L1020)=3,ROUND(AVERAGE(J1020:L1020),6),"")</f>
        <v/>
      </c>
      <c r="O1020">
        <f>IF(AND(ISNUMBER('자료_미국심리'!$A1004),ISNUMBER('자료_미국심리'!$B1004)),'자료_미국심리'!$A1004,"")</f>
        <v/>
      </c>
      <c r="P1020">
        <f>IF(AND(ISNUMBER('자료_미국심리'!$D1004),ISNUMBER('자료_미국심리'!$E1004)),'자료_미국심리'!$D1004,"")</f>
        <v/>
      </c>
      <c r="Q1020">
        <f>IF(AND(ISNUMBER('자료_미국심리'!$G1004),ISNUMBER('자료_미국심리'!$H1004)),'자료_미국심리'!$G1004,"")</f>
        <v/>
      </c>
    </row>
    <row r="1021">
      <c r="A1021" s="10">
        <f>IF(1003&gt;$E$5,"",SMALL($O$19:$O$4018,$E$6+1003))</f>
        <v/>
      </c>
      <c r="B1021" s="29">
        <f>IF(A1021="","",INDEX('자료_미국심리'!$B$3:$B$4002,MATCH(A1021,$O$19:$O$4018,0)))</f>
        <v/>
      </c>
      <c r="C1021" s="22">
        <f>IF(A1021="","",B1021/AVERAGE(B897:B1021)-1)</f>
        <v/>
      </c>
      <c r="D1021" s="29">
        <f>IF(A1021="","",IFERROR(INDEX('자료_미국심리'!$E$3:$E$4002,MATCH(A1021,$P$19:$P$4018,0)),D1020))</f>
        <v/>
      </c>
      <c r="E1021" s="29">
        <f>IF(A1021="","",IFERROR(INDEX('자료_미국심리'!$H$3:$H$4002,MATCH(A1021,$Q$19:$Q$4018,0)),E1020))</f>
        <v/>
      </c>
      <c r="F1021">
        <f>IF(A1021="",0,IF(A1021&gt;$B$5,1,0))</f>
        <v/>
      </c>
      <c r="G1021" s="29">
        <f>IF(AND(F1021=1,ISNUMBER(D1021)),D1021,"")</f>
        <v/>
      </c>
      <c r="H1021" s="29">
        <f>IF(AND(F1021=1,ISNUMBER(E1021)),E1021,"")</f>
        <v/>
      </c>
      <c r="I1021" s="22">
        <f>IF(AND(F1021=1,ISNUMBER(C1021)),C1021,"")</f>
        <v/>
      </c>
      <c r="J1021" s="11">
        <f>IF(G1021="","",100-IF($G$13=1,50,(_xlfn.RANK.AVG(G1021,$G$19:$G$1518,1)-1)/($G$13-1)*100))</f>
        <v/>
      </c>
      <c r="K1021" s="11">
        <f>IF(H1021="","",100-IF($G$14=1,50,(_xlfn.RANK.AVG(H1021,$H$19:$H$1518,1)-1)/($G$14-1)*100))</f>
        <v/>
      </c>
      <c r="L1021" s="11">
        <f>IF(I1021="","",IF($G$15=1,50,(_xlfn.RANK.AVG(I1021,$I$19:$I$1518,1)-1)/($G$15-1)*100))</f>
        <v/>
      </c>
      <c r="M1021" s="11">
        <f>IF(COUNT(J1021:L1021)=3,ROUND(AVERAGE(J1021:L1021),6),"")</f>
        <v/>
      </c>
      <c r="O1021">
        <f>IF(AND(ISNUMBER('자료_미국심리'!$A1005),ISNUMBER('자료_미국심리'!$B1005)),'자료_미국심리'!$A1005,"")</f>
        <v/>
      </c>
      <c r="P1021">
        <f>IF(AND(ISNUMBER('자료_미국심리'!$D1005),ISNUMBER('자료_미국심리'!$E1005)),'자료_미국심리'!$D1005,"")</f>
        <v/>
      </c>
      <c r="Q1021">
        <f>IF(AND(ISNUMBER('자료_미국심리'!$G1005),ISNUMBER('자료_미국심리'!$H1005)),'자료_미국심리'!$G1005,"")</f>
        <v/>
      </c>
    </row>
    <row r="1022">
      <c r="A1022" s="10">
        <f>IF(1004&gt;$E$5,"",SMALL($O$19:$O$4018,$E$6+1004))</f>
        <v/>
      </c>
      <c r="B1022" s="29">
        <f>IF(A1022="","",INDEX('자료_미국심리'!$B$3:$B$4002,MATCH(A1022,$O$19:$O$4018,0)))</f>
        <v/>
      </c>
      <c r="C1022" s="22">
        <f>IF(A1022="","",B1022/AVERAGE(B898:B1022)-1)</f>
        <v/>
      </c>
      <c r="D1022" s="29">
        <f>IF(A1022="","",IFERROR(INDEX('자료_미국심리'!$E$3:$E$4002,MATCH(A1022,$P$19:$P$4018,0)),D1021))</f>
        <v/>
      </c>
      <c r="E1022" s="29">
        <f>IF(A1022="","",IFERROR(INDEX('자료_미국심리'!$H$3:$H$4002,MATCH(A1022,$Q$19:$Q$4018,0)),E1021))</f>
        <v/>
      </c>
      <c r="F1022">
        <f>IF(A1022="",0,IF(A1022&gt;$B$5,1,0))</f>
        <v/>
      </c>
      <c r="G1022" s="29">
        <f>IF(AND(F1022=1,ISNUMBER(D1022)),D1022,"")</f>
        <v/>
      </c>
      <c r="H1022" s="29">
        <f>IF(AND(F1022=1,ISNUMBER(E1022)),E1022,"")</f>
        <v/>
      </c>
      <c r="I1022" s="22">
        <f>IF(AND(F1022=1,ISNUMBER(C1022)),C1022,"")</f>
        <v/>
      </c>
      <c r="J1022" s="11">
        <f>IF(G1022="","",100-IF($G$13=1,50,(_xlfn.RANK.AVG(G1022,$G$19:$G$1518,1)-1)/($G$13-1)*100))</f>
        <v/>
      </c>
      <c r="K1022" s="11">
        <f>IF(H1022="","",100-IF($G$14=1,50,(_xlfn.RANK.AVG(H1022,$H$19:$H$1518,1)-1)/($G$14-1)*100))</f>
        <v/>
      </c>
      <c r="L1022" s="11">
        <f>IF(I1022="","",IF($G$15=1,50,(_xlfn.RANK.AVG(I1022,$I$19:$I$1518,1)-1)/($G$15-1)*100))</f>
        <v/>
      </c>
      <c r="M1022" s="11">
        <f>IF(COUNT(J1022:L1022)=3,ROUND(AVERAGE(J1022:L1022),6),"")</f>
        <v/>
      </c>
      <c r="O1022">
        <f>IF(AND(ISNUMBER('자료_미국심리'!$A1006),ISNUMBER('자료_미국심리'!$B1006)),'자료_미국심리'!$A1006,"")</f>
        <v/>
      </c>
      <c r="P1022">
        <f>IF(AND(ISNUMBER('자료_미국심리'!$D1006),ISNUMBER('자료_미국심리'!$E1006)),'자료_미국심리'!$D1006,"")</f>
        <v/>
      </c>
      <c r="Q1022">
        <f>IF(AND(ISNUMBER('자료_미국심리'!$G1006),ISNUMBER('자료_미국심리'!$H1006)),'자료_미국심리'!$G1006,"")</f>
        <v/>
      </c>
    </row>
    <row r="1023">
      <c r="A1023" s="10">
        <f>IF(1005&gt;$E$5,"",SMALL($O$19:$O$4018,$E$6+1005))</f>
        <v/>
      </c>
      <c r="B1023" s="29">
        <f>IF(A1023="","",INDEX('자료_미국심리'!$B$3:$B$4002,MATCH(A1023,$O$19:$O$4018,0)))</f>
        <v/>
      </c>
      <c r="C1023" s="22">
        <f>IF(A1023="","",B1023/AVERAGE(B899:B1023)-1)</f>
        <v/>
      </c>
      <c r="D1023" s="29">
        <f>IF(A1023="","",IFERROR(INDEX('자료_미국심리'!$E$3:$E$4002,MATCH(A1023,$P$19:$P$4018,0)),D1022))</f>
        <v/>
      </c>
      <c r="E1023" s="29">
        <f>IF(A1023="","",IFERROR(INDEX('자료_미국심리'!$H$3:$H$4002,MATCH(A1023,$Q$19:$Q$4018,0)),E1022))</f>
        <v/>
      </c>
      <c r="F1023">
        <f>IF(A1023="",0,IF(A1023&gt;$B$5,1,0))</f>
        <v/>
      </c>
      <c r="G1023" s="29">
        <f>IF(AND(F1023=1,ISNUMBER(D1023)),D1023,"")</f>
        <v/>
      </c>
      <c r="H1023" s="29">
        <f>IF(AND(F1023=1,ISNUMBER(E1023)),E1023,"")</f>
        <v/>
      </c>
      <c r="I1023" s="22">
        <f>IF(AND(F1023=1,ISNUMBER(C1023)),C1023,"")</f>
        <v/>
      </c>
      <c r="J1023" s="11">
        <f>IF(G1023="","",100-IF($G$13=1,50,(_xlfn.RANK.AVG(G1023,$G$19:$G$1518,1)-1)/($G$13-1)*100))</f>
        <v/>
      </c>
      <c r="K1023" s="11">
        <f>IF(H1023="","",100-IF($G$14=1,50,(_xlfn.RANK.AVG(H1023,$H$19:$H$1518,1)-1)/($G$14-1)*100))</f>
        <v/>
      </c>
      <c r="L1023" s="11">
        <f>IF(I1023="","",IF($G$15=1,50,(_xlfn.RANK.AVG(I1023,$I$19:$I$1518,1)-1)/($G$15-1)*100))</f>
        <v/>
      </c>
      <c r="M1023" s="11">
        <f>IF(COUNT(J1023:L1023)=3,ROUND(AVERAGE(J1023:L1023),6),"")</f>
        <v/>
      </c>
      <c r="O1023">
        <f>IF(AND(ISNUMBER('자료_미국심리'!$A1007),ISNUMBER('자료_미국심리'!$B1007)),'자료_미국심리'!$A1007,"")</f>
        <v/>
      </c>
      <c r="P1023">
        <f>IF(AND(ISNUMBER('자료_미국심리'!$D1007),ISNUMBER('자료_미국심리'!$E1007)),'자료_미국심리'!$D1007,"")</f>
        <v/>
      </c>
      <c r="Q1023">
        <f>IF(AND(ISNUMBER('자료_미국심리'!$G1007),ISNUMBER('자료_미국심리'!$H1007)),'자료_미국심리'!$G1007,"")</f>
        <v/>
      </c>
    </row>
    <row r="1024">
      <c r="A1024" s="10">
        <f>IF(1006&gt;$E$5,"",SMALL($O$19:$O$4018,$E$6+1006))</f>
        <v/>
      </c>
      <c r="B1024" s="29">
        <f>IF(A1024="","",INDEX('자료_미국심리'!$B$3:$B$4002,MATCH(A1024,$O$19:$O$4018,0)))</f>
        <v/>
      </c>
      <c r="C1024" s="22">
        <f>IF(A1024="","",B1024/AVERAGE(B900:B1024)-1)</f>
        <v/>
      </c>
      <c r="D1024" s="29">
        <f>IF(A1024="","",IFERROR(INDEX('자료_미국심리'!$E$3:$E$4002,MATCH(A1024,$P$19:$P$4018,0)),D1023))</f>
        <v/>
      </c>
      <c r="E1024" s="29">
        <f>IF(A1024="","",IFERROR(INDEX('자료_미국심리'!$H$3:$H$4002,MATCH(A1024,$Q$19:$Q$4018,0)),E1023))</f>
        <v/>
      </c>
      <c r="F1024">
        <f>IF(A1024="",0,IF(A1024&gt;$B$5,1,0))</f>
        <v/>
      </c>
      <c r="G1024" s="29">
        <f>IF(AND(F1024=1,ISNUMBER(D1024)),D1024,"")</f>
        <v/>
      </c>
      <c r="H1024" s="29">
        <f>IF(AND(F1024=1,ISNUMBER(E1024)),E1024,"")</f>
        <v/>
      </c>
      <c r="I1024" s="22">
        <f>IF(AND(F1024=1,ISNUMBER(C1024)),C1024,"")</f>
        <v/>
      </c>
      <c r="J1024" s="11">
        <f>IF(G1024="","",100-IF($G$13=1,50,(_xlfn.RANK.AVG(G1024,$G$19:$G$1518,1)-1)/($G$13-1)*100))</f>
        <v/>
      </c>
      <c r="K1024" s="11">
        <f>IF(H1024="","",100-IF($G$14=1,50,(_xlfn.RANK.AVG(H1024,$H$19:$H$1518,1)-1)/($G$14-1)*100))</f>
        <v/>
      </c>
      <c r="L1024" s="11">
        <f>IF(I1024="","",IF($G$15=1,50,(_xlfn.RANK.AVG(I1024,$I$19:$I$1518,1)-1)/($G$15-1)*100))</f>
        <v/>
      </c>
      <c r="M1024" s="11">
        <f>IF(COUNT(J1024:L1024)=3,ROUND(AVERAGE(J1024:L1024),6),"")</f>
        <v/>
      </c>
      <c r="O1024">
        <f>IF(AND(ISNUMBER('자료_미국심리'!$A1008),ISNUMBER('자료_미국심리'!$B1008)),'자료_미국심리'!$A1008,"")</f>
        <v/>
      </c>
      <c r="P1024">
        <f>IF(AND(ISNUMBER('자료_미국심리'!$D1008),ISNUMBER('자료_미국심리'!$E1008)),'자료_미국심리'!$D1008,"")</f>
        <v/>
      </c>
      <c r="Q1024">
        <f>IF(AND(ISNUMBER('자료_미국심리'!$G1008),ISNUMBER('자료_미국심리'!$H1008)),'자료_미국심리'!$G1008,"")</f>
        <v/>
      </c>
    </row>
    <row r="1025">
      <c r="A1025" s="10">
        <f>IF(1007&gt;$E$5,"",SMALL($O$19:$O$4018,$E$6+1007))</f>
        <v/>
      </c>
      <c r="B1025" s="29">
        <f>IF(A1025="","",INDEX('자료_미국심리'!$B$3:$B$4002,MATCH(A1025,$O$19:$O$4018,0)))</f>
        <v/>
      </c>
      <c r="C1025" s="22">
        <f>IF(A1025="","",B1025/AVERAGE(B901:B1025)-1)</f>
        <v/>
      </c>
      <c r="D1025" s="29">
        <f>IF(A1025="","",IFERROR(INDEX('자료_미국심리'!$E$3:$E$4002,MATCH(A1025,$P$19:$P$4018,0)),D1024))</f>
        <v/>
      </c>
      <c r="E1025" s="29">
        <f>IF(A1025="","",IFERROR(INDEX('자료_미국심리'!$H$3:$H$4002,MATCH(A1025,$Q$19:$Q$4018,0)),E1024))</f>
        <v/>
      </c>
      <c r="F1025">
        <f>IF(A1025="",0,IF(A1025&gt;$B$5,1,0))</f>
        <v/>
      </c>
      <c r="G1025" s="29">
        <f>IF(AND(F1025=1,ISNUMBER(D1025)),D1025,"")</f>
        <v/>
      </c>
      <c r="H1025" s="29">
        <f>IF(AND(F1025=1,ISNUMBER(E1025)),E1025,"")</f>
        <v/>
      </c>
      <c r="I1025" s="22">
        <f>IF(AND(F1025=1,ISNUMBER(C1025)),C1025,"")</f>
        <v/>
      </c>
      <c r="J1025" s="11">
        <f>IF(G1025="","",100-IF($G$13=1,50,(_xlfn.RANK.AVG(G1025,$G$19:$G$1518,1)-1)/($G$13-1)*100))</f>
        <v/>
      </c>
      <c r="K1025" s="11">
        <f>IF(H1025="","",100-IF($G$14=1,50,(_xlfn.RANK.AVG(H1025,$H$19:$H$1518,1)-1)/($G$14-1)*100))</f>
        <v/>
      </c>
      <c r="L1025" s="11">
        <f>IF(I1025="","",IF($G$15=1,50,(_xlfn.RANK.AVG(I1025,$I$19:$I$1518,1)-1)/($G$15-1)*100))</f>
        <v/>
      </c>
      <c r="M1025" s="11">
        <f>IF(COUNT(J1025:L1025)=3,ROUND(AVERAGE(J1025:L1025),6),"")</f>
        <v/>
      </c>
      <c r="O1025">
        <f>IF(AND(ISNUMBER('자료_미국심리'!$A1009),ISNUMBER('자료_미국심리'!$B1009)),'자료_미국심리'!$A1009,"")</f>
        <v/>
      </c>
      <c r="P1025">
        <f>IF(AND(ISNUMBER('자료_미국심리'!$D1009),ISNUMBER('자료_미국심리'!$E1009)),'자료_미국심리'!$D1009,"")</f>
        <v/>
      </c>
      <c r="Q1025">
        <f>IF(AND(ISNUMBER('자료_미국심리'!$G1009),ISNUMBER('자료_미국심리'!$H1009)),'자료_미국심리'!$G1009,"")</f>
        <v/>
      </c>
    </row>
    <row r="1026">
      <c r="A1026" s="10">
        <f>IF(1008&gt;$E$5,"",SMALL($O$19:$O$4018,$E$6+1008))</f>
        <v/>
      </c>
      <c r="B1026" s="29">
        <f>IF(A1026="","",INDEX('자료_미국심리'!$B$3:$B$4002,MATCH(A1026,$O$19:$O$4018,0)))</f>
        <v/>
      </c>
      <c r="C1026" s="22">
        <f>IF(A1026="","",B1026/AVERAGE(B902:B1026)-1)</f>
        <v/>
      </c>
      <c r="D1026" s="29">
        <f>IF(A1026="","",IFERROR(INDEX('자료_미국심리'!$E$3:$E$4002,MATCH(A1026,$P$19:$P$4018,0)),D1025))</f>
        <v/>
      </c>
      <c r="E1026" s="29">
        <f>IF(A1026="","",IFERROR(INDEX('자료_미국심리'!$H$3:$H$4002,MATCH(A1026,$Q$19:$Q$4018,0)),E1025))</f>
        <v/>
      </c>
      <c r="F1026">
        <f>IF(A1026="",0,IF(A1026&gt;$B$5,1,0))</f>
        <v/>
      </c>
      <c r="G1026" s="29">
        <f>IF(AND(F1026=1,ISNUMBER(D1026)),D1026,"")</f>
        <v/>
      </c>
      <c r="H1026" s="29">
        <f>IF(AND(F1026=1,ISNUMBER(E1026)),E1026,"")</f>
        <v/>
      </c>
      <c r="I1026" s="22">
        <f>IF(AND(F1026=1,ISNUMBER(C1026)),C1026,"")</f>
        <v/>
      </c>
      <c r="J1026" s="11">
        <f>IF(G1026="","",100-IF($G$13=1,50,(_xlfn.RANK.AVG(G1026,$G$19:$G$1518,1)-1)/($G$13-1)*100))</f>
        <v/>
      </c>
      <c r="K1026" s="11">
        <f>IF(H1026="","",100-IF($G$14=1,50,(_xlfn.RANK.AVG(H1026,$H$19:$H$1518,1)-1)/($G$14-1)*100))</f>
        <v/>
      </c>
      <c r="L1026" s="11">
        <f>IF(I1026="","",IF($G$15=1,50,(_xlfn.RANK.AVG(I1026,$I$19:$I$1518,1)-1)/($G$15-1)*100))</f>
        <v/>
      </c>
      <c r="M1026" s="11">
        <f>IF(COUNT(J1026:L1026)=3,ROUND(AVERAGE(J1026:L1026),6),"")</f>
        <v/>
      </c>
      <c r="O1026">
        <f>IF(AND(ISNUMBER('자료_미국심리'!$A1010),ISNUMBER('자료_미국심리'!$B1010)),'자료_미국심리'!$A1010,"")</f>
        <v/>
      </c>
      <c r="P1026">
        <f>IF(AND(ISNUMBER('자료_미국심리'!$D1010),ISNUMBER('자료_미국심리'!$E1010)),'자료_미국심리'!$D1010,"")</f>
        <v/>
      </c>
      <c r="Q1026">
        <f>IF(AND(ISNUMBER('자료_미국심리'!$G1010),ISNUMBER('자료_미국심리'!$H1010)),'자료_미국심리'!$G1010,"")</f>
        <v/>
      </c>
    </row>
    <row r="1027">
      <c r="A1027" s="10">
        <f>IF(1009&gt;$E$5,"",SMALL($O$19:$O$4018,$E$6+1009))</f>
        <v/>
      </c>
      <c r="B1027" s="29">
        <f>IF(A1027="","",INDEX('자료_미국심리'!$B$3:$B$4002,MATCH(A1027,$O$19:$O$4018,0)))</f>
        <v/>
      </c>
      <c r="C1027" s="22">
        <f>IF(A1027="","",B1027/AVERAGE(B903:B1027)-1)</f>
        <v/>
      </c>
      <c r="D1027" s="29">
        <f>IF(A1027="","",IFERROR(INDEX('자료_미국심리'!$E$3:$E$4002,MATCH(A1027,$P$19:$P$4018,0)),D1026))</f>
        <v/>
      </c>
      <c r="E1027" s="29">
        <f>IF(A1027="","",IFERROR(INDEX('자료_미국심리'!$H$3:$H$4002,MATCH(A1027,$Q$19:$Q$4018,0)),E1026))</f>
        <v/>
      </c>
      <c r="F1027">
        <f>IF(A1027="",0,IF(A1027&gt;$B$5,1,0))</f>
        <v/>
      </c>
      <c r="G1027" s="29">
        <f>IF(AND(F1027=1,ISNUMBER(D1027)),D1027,"")</f>
        <v/>
      </c>
      <c r="H1027" s="29">
        <f>IF(AND(F1027=1,ISNUMBER(E1027)),E1027,"")</f>
        <v/>
      </c>
      <c r="I1027" s="22">
        <f>IF(AND(F1027=1,ISNUMBER(C1027)),C1027,"")</f>
        <v/>
      </c>
      <c r="J1027" s="11">
        <f>IF(G1027="","",100-IF($G$13=1,50,(_xlfn.RANK.AVG(G1027,$G$19:$G$1518,1)-1)/($G$13-1)*100))</f>
        <v/>
      </c>
      <c r="K1027" s="11">
        <f>IF(H1027="","",100-IF($G$14=1,50,(_xlfn.RANK.AVG(H1027,$H$19:$H$1518,1)-1)/($G$14-1)*100))</f>
        <v/>
      </c>
      <c r="L1027" s="11">
        <f>IF(I1027="","",IF($G$15=1,50,(_xlfn.RANK.AVG(I1027,$I$19:$I$1518,1)-1)/($G$15-1)*100))</f>
        <v/>
      </c>
      <c r="M1027" s="11">
        <f>IF(COUNT(J1027:L1027)=3,ROUND(AVERAGE(J1027:L1027),6),"")</f>
        <v/>
      </c>
      <c r="O1027">
        <f>IF(AND(ISNUMBER('자료_미국심리'!$A1011),ISNUMBER('자료_미국심리'!$B1011)),'자료_미국심리'!$A1011,"")</f>
        <v/>
      </c>
      <c r="P1027">
        <f>IF(AND(ISNUMBER('자료_미국심리'!$D1011),ISNUMBER('자료_미국심리'!$E1011)),'자료_미국심리'!$D1011,"")</f>
        <v/>
      </c>
      <c r="Q1027">
        <f>IF(AND(ISNUMBER('자료_미국심리'!$G1011),ISNUMBER('자료_미국심리'!$H1011)),'자료_미국심리'!$G1011,"")</f>
        <v/>
      </c>
    </row>
    <row r="1028">
      <c r="A1028" s="10">
        <f>IF(1010&gt;$E$5,"",SMALL($O$19:$O$4018,$E$6+1010))</f>
        <v/>
      </c>
      <c r="B1028" s="29">
        <f>IF(A1028="","",INDEX('자료_미국심리'!$B$3:$B$4002,MATCH(A1028,$O$19:$O$4018,0)))</f>
        <v/>
      </c>
      <c r="C1028" s="22">
        <f>IF(A1028="","",B1028/AVERAGE(B904:B1028)-1)</f>
        <v/>
      </c>
      <c r="D1028" s="29">
        <f>IF(A1028="","",IFERROR(INDEX('자료_미국심리'!$E$3:$E$4002,MATCH(A1028,$P$19:$P$4018,0)),D1027))</f>
        <v/>
      </c>
      <c r="E1028" s="29">
        <f>IF(A1028="","",IFERROR(INDEX('자료_미국심리'!$H$3:$H$4002,MATCH(A1028,$Q$19:$Q$4018,0)),E1027))</f>
        <v/>
      </c>
      <c r="F1028">
        <f>IF(A1028="",0,IF(A1028&gt;$B$5,1,0))</f>
        <v/>
      </c>
      <c r="G1028" s="29">
        <f>IF(AND(F1028=1,ISNUMBER(D1028)),D1028,"")</f>
        <v/>
      </c>
      <c r="H1028" s="29">
        <f>IF(AND(F1028=1,ISNUMBER(E1028)),E1028,"")</f>
        <v/>
      </c>
      <c r="I1028" s="22">
        <f>IF(AND(F1028=1,ISNUMBER(C1028)),C1028,"")</f>
        <v/>
      </c>
      <c r="J1028" s="11">
        <f>IF(G1028="","",100-IF($G$13=1,50,(_xlfn.RANK.AVG(G1028,$G$19:$G$1518,1)-1)/($G$13-1)*100))</f>
        <v/>
      </c>
      <c r="K1028" s="11">
        <f>IF(H1028="","",100-IF($G$14=1,50,(_xlfn.RANK.AVG(H1028,$H$19:$H$1518,1)-1)/($G$14-1)*100))</f>
        <v/>
      </c>
      <c r="L1028" s="11">
        <f>IF(I1028="","",IF($G$15=1,50,(_xlfn.RANK.AVG(I1028,$I$19:$I$1518,1)-1)/($G$15-1)*100))</f>
        <v/>
      </c>
      <c r="M1028" s="11">
        <f>IF(COUNT(J1028:L1028)=3,ROUND(AVERAGE(J1028:L1028),6),"")</f>
        <v/>
      </c>
      <c r="O1028">
        <f>IF(AND(ISNUMBER('자료_미국심리'!$A1012),ISNUMBER('자료_미국심리'!$B1012)),'자료_미국심리'!$A1012,"")</f>
        <v/>
      </c>
      <c r="P1028">
        <f>IF(AND(ISNUMBER('자료_미국심리'!$D1012),ISNUMBER('자료_미국심리'!$E1012)),'자료_미국심리'!$D1012,"")</f>
        <v/>
      </c>
      <c r="Q1028">
        <f>IF(AND(ISNUMBER('자료_미국심리'!$G1012),ISNUMBER('자료_미국심리'!$H1012)),'자료_미국심리'!$G1012,"")</f>
        <v/>
      </c>
    </row>
    <row r="1029">
      <c r="A1029" s="10">
        <f>IF(1011&gt;$E$5,"",SMALL($O$19:$O$4018,$E$6+1011))</f>
        <v/>
      </c>
      <c r="B1029" s="29">
        <f>IF(A1029="","",INDEX('자료_미국심리'!$B$3:$B$4002,MATCH(A1029,$O$19:$O$4018,0)))</f>
        <v/>
      </c>
      <c r="C1029" s="22">
        <f>IF(A1029="","",B1029/AVERAGE(B905:B1029)-1)</f>
        <v/>
      </c>
      <c r="D1029" s="29">
        <f>IF(A1029="","",IFERROR(INDEX('자료_미국심리'!$E$3:$E$4002,MATCH(A1029,$P$19:$P$4018,0)),D1028))</f>
        <v/>
      </c>
      <c r="E1029" s="29">
        <f>IF(A1029="","",IFERROR(INDEX('자료_미국심리'!$H$3:$H$4002,MATCH(A1029,$Q$19:$Q$4018,0)),E1028))</f>
        <v/>
      </c>
      <c r="F1029">
        <f>IF(A1029="",0,IF(A1029&gt;$B$5,1,0))</f>
        <v/>
      </c>
      <c r="G1029" s="29">
        <f>IF(AND(F1029=1,ISNUMBER(D1029)),D1029,"")</f>
        <v/>
      </c>
      <c r="H1029" s="29">
        <f>IF(AND(F1029=1,ISNUMBER(E1029)),E1029,"")</f>
        <v/>
      </c>
      <c r="I1029" s="22">
        <f>IF(AND(F1029=1,ISNUMBER(C1029)),C1029,"")</f>
        <v/>
      </c>
      <c r="J1029" s="11">
        <f>IF(G1029="","",100-IF($G$13=1,50,(_xlfn.RANK.AVG(G1029,$G$19:$G$1518,1)-1)/($G$13-1)*100))</f>
        <v/>
      </c>
      <c r="K1029" s="11">
        <f>IF(H1029="","",100-IF($G$14=1,50,(_xlfn.RANK.AVG(H1029,$H$19:$H$1518,1)-1)/($G$14-1)*100))</f>
        <v/>
      </c>
      <c r="L1029" s="11">
        <f>IF(I1029="","",IF($G$15=1,50,(_xlfn.RANK.AVG(I1029,$I$19:$I$1518,1)-1)/($G$15-1)*100))</f>
        <v/>
      </c>
      <c r="M1029" s="11">
        <f>IF(COUNT(J1029:L1029)=3,ROUND(AVERAGE(J1029:L1029),6),"")</f>
        <v/>
      </c>
      <c r="O1029">
        <f>IF(AND(ISNUMBER('자료_미국심리'!$A1013),ISNUMBER('자료_미국심리'!$B1013)),'자료_미국심리'!$A1013,"")</f>
        <v/>
      </c>
      <c r="P1029">
        <f>IF(AND(ISNUMBER('자료_미국심리'!$D1013),ISNUMBER('자료_미국심리'!$E1013)),'자료_미국심리'!$D1013,"")</f>
        <v/>
      </c>
      <c r="Q1029">
        <f>IF(AND(ISNUMBER('자료_미국심리'!$G1013),ISNUMBER('자료_미국심리'!$H1013)),'자료_미국심리'!$G1013,"")</f>
        <v/>
      </c>
    </row>
    <row r="1030">
      <c r="A1030" s="10">
        <f>IF(1012&gt;$E$5,"",SMALL($O$19:$O$4018,$E$6+1012))</f>
        <v/>
      </c>
      <c r="B1030" s="29">
        <f>IF(A1030="","",INDEX('자료_미국심리'!$B$3:$B$4002,MATCH(A1030,$O$19:$O$4018,0)))</f>
        <v/>
      </c>
      <c r="C1030" s="22">
        <f>IF(A1030="","",B1030/AVERAGE(B906:B1030)-1)</f>
        <v/>
      </c>
      <c r="D1030" s="29">
        <f>IF(A1030="","",IFERROR(INDEX('자료_미국심리'!$E$3:$E$4002,MATCH(A1030,$P$19:$P$4018,0)),D1029))</f>
        <v/>
      </c>
      <c r="E1030" s="29">
        <f>IF(A1030="","",IFERROR(INDEX('자료_미국심리'!$H$3:$H$4002,MATCH(A1030,$Q$19:$Q$4018,0)),E1029))</f>
        <v/>
      </c>
      <c r="F1030">
        <f>IF(A1030="",0,IF(A1030&gt;$B$5,1,0))</f>
        <v/>
      </c>
      <c r="G1030" s="29">
        <f>IF(AND(F1030=1,ISNUMBER(D1030)),D1030,"")</f>
        <v/>
      </c>
      <c r="H1030" s="29">
        <f>IF(AND(F1030=1,ISNUMBER(E1030)),E1030,"")</f>
        <v/>
      </c>
      <c r="I1030" s="22">
        <f>IF(AND(F1030=1,ISNUMBER(C1030)),C1030,"")</f>
        <v/>
      </c>
      <c r="J1030" s="11">
        <f>IF(G1030="","",100-IF($G$13=1,50,(_xlfn.RANK.AVG(G1030,$G$19:$G$1518,1)-1)/($G$13-1)*100))</f>
        <v/>
      </c>
      <c r="K1030" s="11">
        <f>IF(H1030="","",100-IF($G$14=1,50,(_xlfn.RANK.AVG(H1030,$H$19:$H$1518,1)-1)/($G$14-1)*100))</f>
        <v/>
      </c>
      <c r="L1030" s="11">
        <f>IF(I1030="","",IF($G$15=1,50,(_xlfn.RANK.AVG(I1030,$I$19:$I$1518,1)-1)/($G$15-1)*100))</f>
        <v/>
      </c>
      <c r="M1030" s="11">
        <f>IF(COUNT(J1030:L1030)=3,ROUND(AVERAGE(J1030:L1030),6),"")</f>
        <v/>
      </c>
      <c r="O1030">
        <f>IF(AND(ISNUMBER('자료_미국심리'!$A1014),ISNUMBER('자료_미국심리'!$B1014)),'자료_미국심리'!$A1014,"")</f>
        <v/>
      </c>
      <c r="P1030">
        <f>IF(AND(ISNUMBER('자료_미국심리'!$D1014),ISNUMBER('자료_미국심리'!$E1014)),'자료_미국심리'!$D1014,"")</f>
        <v/>
      </c>
      <c r="Q1030">
        <f>IF(AND(ISNUMBER('자료_미국심리'!$G1014),ISNUMBER('자료_미국심리'!$H1014)),'자료_미국심리'!$G1014,"")</f>
        <v/>
      </c>
    </row>
    <row r="1031">
      <c r="A1031" s="10">
        <f>IF(1013&gt;$E$5,"",SMALL($O$19:$O$4018,$E$6+1013))</f>
        <v/>
      </c>
      <c r="B1031" s="29">
        <f>IF(A1031="","",INDEX('자료_미국심리'!$B$3:$B$4002,MATCH(A1031,$O$19:$O$4018,0)))</f>
        <v/>
      </c>
      <c r="C1031" s="22">
        <f>IF(A1031="","",B1031/AVERAGE(B907:B1031)-1)</f>
        <v/>
      </c>
      <c r="D1031" s="29">
        <f>IF(A1031="","",IFERROR(INDEX('자료_미국심리'!$E$3:$E$4002,MATCH(A1031,$P$19:$P$4018,0)),D1030))</f>
        <v/>
      </c>
      <c r="E1031" s="29">
        <f>IF(A1031="","",IFERROR(INDEX('자료_미국심리'!$H$3:$H$4002,MATCH(A1031,$Q$19:$Q$4018,0)),E1030))</f>
        <v/>
      </c>
      <c r="F1031">
        <f>IF(A1031="",0,IF(A1031&gt;$B$5,1,0))</f>
        <v/>
      </c>
      <c r="G1031" s="29">
        <f>IF(AND(F1031=1,ISNUMBER(D1031)),D1031,"")</f>
        <v/>
      </c>
      <c r="H1031" s="29">
        <f>IF(AND(F1031=1,ISNUMBER(E1031)),E1031,"")</f>
        <v/>
      </c>
      <c r="I1031" s="22">
        <f>IF(AND(F1031=1,ISNUMBER(C1031)),C1031,"")</f>
        <v/>
      </c>
      <c r="J1031" s="11">
        <f>IF(G1031="","",100-IF($G$13=1,50,(_xlfn.RANK.AVG(G1031,$G$19:$G$1518,1)-1)/($G$13-1)*100))</f>
        <v/>
      </c>
      <c r="K1031" s="11">
        <f>IF(H1031="","",100-IF($G$14=1,50,(_xlfn.RANK.AVG(H1031,$H$19:$H$1518,1)-1)/($G$14-1)*100))</f>
        <v/>
      </c>
      <c r="L1031" s="11">
        <f>IF(I1031="","",IF($G$15=1,50,(_xlfn.RANK.AVG(I1031,$I$19:$I$1518,1)-1)/($G$15-1)*100))</f>
        <v/>
      </c>
      <c r="M1031" s="11">
        <f>IF(COUNT(J1031:L1031)=3,ROUND(AVERAGE(J1031:L1031),6),"")</f>
        <v/>
      </c>
      <c r="O1031">
        <f>IF(AND(ISNUMBER('자료_미국심리'!$A1015),ISNUMBER('자료_미국심리'!$B1015)),'자료_미국심리'!$A1015,"")</f>
        <v/>
      </c>
      <c r="P1031">
        <f>IF(AND(ISNUMBER('자료_미국심리'!$D1015),ISNUMBER('자료_미국심리'!$E1015)),'자료_미국심리'!$D1015,"")</f>
        <v/>
      </c>
      <c r="Q1031">
        <f>IF(AND(ISNUMBER('자료_미국심리'!$G1015),ISNUMBER('자료_미국심리'!$H1015)),'자료_미국심리'!$G1015,"")</f>
        <v/>
      </c>
    </row>
    <row r="1032">
      <c r="A1032" s="10">
        <f>IF(1014&gt;$E$5,"",SMALL($O$19:$O$4018,$E$6+1014))</f>
        <v/>
      </c>
      <c r="B1032" s="29">
        <f>IF(A1032="","",INDEX('자료_미국심리'!$B$3:$B$4002,MATCH(A1032,$O$19:$O$4018,0)))</f>
        <v/>
      </c>
      <c r="C1032" s="22">
        <f>IF(A1032="","",B1032/AVERAGE(B908:B1032)-1)</f>
        <v/>
      </c>
      <c r="D1032" s="29">
        <f>IF(A1032="","",IFERROR(INDEX('자료_미국심리'!$E$3:$E$4002,MATCH(A1032,$P$19:$P$4018,0)),D1031))</f>
        <v/>
      </c>
      <c r="E1032" s="29">
        <f>IF(A1032="","",IFERROR(INDEX('자료_미국심리'!$H$3:$H$4002,MATCH(A1032,$Q$19:$Q$4018,0)),E1031))</f>
        <v/>
      </c>
      <c r="F1032">
        <f>IF(A1032="",0,IF(A1032&gt;$B$5,1,0))</f>
        <v/>
      </c>
      <c r="G1032" s="29">
        <f>IF(AND(F1032=1,ISNUMBER(D1032)),D1032,"")</f>
        <v/>
      </c>
      <c r="H1032" s="29">
        <f>IF(AND(F1032=1,ISNUMBER(E1032)),E1032,"")</f>
        <v/>
      </c>
      <c r="I1032" s="22">
        <f>IF(AND(F1032=1,ISNUMBER(C1032)),C1032,"")</f>
        <v/>
      </c>
      <c r="J1032" s="11">
        <f>IF(G1032="","",100-IF($G$13=1,50,(_xlfn.RANK.AVG(G1032,$G$19:$G$1518,1)-1)/($G$13-1)*100))</f>
        <v/>
      </c>
      <c r="K1032" s="11">
        <f>IF(H1032="","",100-IF($G$14=1,50,(_xlfn.RANK.AVG(H1032,$H$19:$H$1518,1)-1)/($G$14-1)*100))</f>
        <v/>
      </c>
      <c r="L1032" s="11">
        <f>IF(I1032="","",IF($G$15=1,50,(_xlfn.RANK.AVG(I1032,$I$19:$I$1518,1)-1)/($G$15-1)*100))</f>
        <v/>
      </c>
      <c r="M1032" s="11">
        <f>IF(COUNT(J1032:L1032)=3,ROUND(AVERAGE(J1032:L1032),6),"")</f>
        <v/>
      </c>
      <c r="O1032">
        <f>IF(AND(ISNUMBER('자료_미국심리'!$A1016),ISNUMBER('자료_미국심리'!$B1016)),'자료_미국심리'!$A1016,"")</f>
        <v/>
      </c>
      <c r="P1032">
        <f>IF(AND(ISNUMBER('자료_미국심리'!$D1016),ISNUMBER('자료_미국심리'!$E1016)),'자료_미국심리'!$D1016,"")</f>
        <v/>
      </c>
      <c r="Q1032">
        <f>IF(AND(ISNUMBER('자료_미국심리'!$G1016),ISNUMBER('자료_미국심리'!$H1016)),'자료_미국심리'!$G1016,"")</f>
        <v/>
      </c>
    </row>
    <row r="1033">
      <c r="A1033" s="10">
        <f>IF(1015&gt;$E$5,"",SMALL($O$19:$O$4018,$E$6+1015))</f>
        <v/>
      </c>
      <c r="B1033" s="29">
        <f>IF(A1033="","",INDEX('자료_미국심리'!$B$3:$B$4002,MATCH(A1033,$O$19:$O$4018,0)))</f>
        <v/>
      </c>
      <c r="C1033" s="22">
        <f>IF(A1033="","",B1033/AVERAGE(B909:B1033)-1)</f>
        <v/>
      </c>
      <c r="D1033" s="29">
        <f>IF(A1033="","",IFERROR(INDEX('자료_미국심리'!$E$3:$E$4002,MATCH(A1033,$P$19:$P$4018,0)),D1032))</f>
        <v/>
      </c>
      <c r="E1033" s="29">
        <f>IF(A1033="","",IFERROR(INDEX('자료_미국심리'!$H$3:$H$4002,MATCH(A1033,$Q$19:$Q$4018,0)),E1032))</f>
        <v/>
      </c>
      <c r="F1033">
        <f>IF(A1033="",0,IF(A1033&gt;$B$5,1,0))</f>
        <v/>
      </c>
      <c r="G1033" s="29">
        <f>IF(AND(F1033=1,ISNUMBER(D1033)),D1033,"")</f>
        <v/>
      </c>
      <c r="H1033" s="29">
        <f>IF(AND(F1033=1,ISNUMBER(E1033)),E1033,"")</f>
        <v/>
      </c>
      <c r="I1033" s="22">
        <f>IF(AND(F1033=1,ISNUMBER(C1033)),C1033,"")</f>
        <v/>
      </c>
      <c r="J1033" s="11">
        <f>IF(G1033="","",100-IF($G$13=1,50,(_xlfn.RANK.AVG(G1033,$G$19:$G$1518,1)-1)/($G$13-1)*100))</f>
        <v/>
      </c>
      <c r="K1033" s="11">
        <f>IF(H1033="","",100-IF($G$14=1,50,(_xlfn.RANK.AVG(H1033,$H$19:$H$1518,1)-1)/($G$14-1)*100))</f>
        <v/>
      </c>
      <c r="L1033" s="11">
        <f>IF(I1033="","",IF($G$15=1,50,(_xlfn.RANK.AVG(I1033,$I$19:$I$1518,1)-1)/($G$15-1)*100))</f>
        <v/>
      </c>
      <c r="M1033" s="11">
        <f>IF(COUNT(J1033:L1033)=3,ROUND(AVERAGE(J1033:L1033),6),"")</f>
        <v/>
      </c>
      <c r="O1033">
        <f>IF(AND(ISNUMBER('자료_미국심리'!$A1017),ISNUMBER('자료_미국심리'!$B1017)),'자료_미국심리'!$A1017,"")</f>
        <v/>
      </c>
      <c r="P1033">
        <f>IF(AND(ISNUMBER('자료_미국심리'!$D1017),ISNUMBER('자료_미국심리'!$E1017)),'자료_미국심리'!$D1017,"")</f>
        <v/>
      </c>
      <c r="Q1033">
        <f>IF(AND(ISNUMBER('자료_미국심리'!$G1017),ISNUMBER('자료_미국심리'!$H1017)),'자료_미국심리'!$G1017,"")</f>
        <v/>
      </c>
    </row>
    <row r="1034">
      <c r="A1034" s="10">
        <f>IF(1016&gt;$E$5,"",SMALL($O$19:$O$4018,$E$6+1016))</f>
        <v/>
      </c>
      <c r="B1034" s="29">
        <f>IF(A1034="","",INDEX('자료_미국심리'!$B$3:$B$4002,MATCH(A1034,$O$19:$O$4018,0)))</f>
        <v/>
      </c>
      <c r="C1034" s="22">
        <f>IF(A1034="","",B1034/AVERAGE(B910:B1034)-1)</f>
        <v/>
      </c>
      <c r="D1034" s="29">
        <f>IF(A1034="","",IFERROR(INDEX('자료_미국심리'!$E$3:$E$4002,MATCH(A1034,$P$19:$P$4018,0)),D1033))</f>
        <v/>
      </c>
      <c r="E1034" s="29">
        <f>IF(A1034="","",IFERROR(INDEX('자료_미국심리'!$H$3:$H$4002,MATCH(A1034,$Q$19:$Q$4018,0)),E1033))</f>
        <v/>
      </c>
      <c r="F1034">
        <f>IF(A1034="",0,IF(A1034&gt;$B$5,1,0))</f>
        <v/>
      </c>
      <c r="G1034" s="29">
        <f>IF(AND(F1034=1,ISNUMBER(D1034)),D1034,"")</f>
        <v/>
      </c>
      <c r="H1034" s="29">
        <f>IF(AND(F1034=1,ISNUMBER(E1034)),E1034,"")</f>
        <v/>
      </c>
      <c r="I1034" s="22">
        <f>IF(AND(F1034=1,ISNUMBER(C1034)),C1034,"")</f>
        <v/>
      </c>
      <c r="J1034" s="11">
        <f>IF(G1034="","",100-IF($G$13=1,50,(_xlfn.RANK.AVG(G1034,$G$19:$G$1518,1)-1)/($G$13-1)*100))</f>
        <v/>
      </c>
      <c r="K1034" s="11">
        <f>IF(H1034="","",100-IF($G$14=1,50,(_xlfn.RANK.AVG(H1034,$H$19:$H$1518,1)-1)/($G$14-1)*100))</f>
        <v/>
      </c>
      <c r="L1034" s="11">
        <f>IF(I1034="","",IF($G$15=1,50,(_xlfn.RANK.AVG(I1034,$I$19:$I$1518,1)-1)/($G$15-1)*100))</f>
        <v/>
      </c>
      <c r="M1034" s="11">
        <f>IF(COUNT(J1034:L1034)=3,ROUND(AVERAGE(J1034:L1034),6),"")</f>
        <v/>
      </c>
      <c r="O1034">
        <f>IF(AND(ISNUMBER('자료_미국심리'!$A1018),ISNUMBER('자료_미국심리'!$B1018)),'자료_미국심리'!$A1018,"")</f>
        <v/>
      </c>
      <c r="P1034">
        <f>IF(AND(ISNUMBER('자료_미국심리'!$D1018),ISNUMBER('자료_미국심리'!$E1018)),'자료_미국심리'!$D1018,"")</f>
        <v/>
      </c>
      <c r="Q1034">
        <f>IF(AND(ISNUMBER('자료_미국심리'!$G1018),ISNUMBER('자료_미국심리'!$H1018)),'자료_미국심리'!$G1018,"")</f>
        <v/>
      </c>
    </row>
    <row r="1035">
      <c r="A1035" s="10">
        <f>IF(1017&gt;$E$5,"",SMALL($O$19:$O$4018,$E$6+1017))</f>
        <v/>
      </c>
      <c r="B1035" s="29">
        <f>IF(A1035="","",INDEX('자료_미국심리'!$B$3:$B$4002,MATCH(A1035,$O$19:$O$4018,0)))</f>
        <v/>
      </c>
      <c r="C1035" s="22">
        <f>IF(A1035="","",B1035/AVERAGE(B911:B1035)-1)</f>
        <v/>
      </c>
      <c r="D1035" s="29">
        <f>IF(A1035="","",IFERROR(INDEX('자료_미국심리'!$E$3:$E$4002,MATCH(A1035,$P$19:$P$4018,0)),D1034))</f>
        <v/>
      </c>
      <c r="E1035" s="29">
        <f>IF(A1035="","",IFERROR(INDEX('자료_미국심리'!$H$3:$H$4002,MATCH(A1035,$Q$19:$Q$4018,0)),E1034))</f>
        <v/>
      </c>
      <c r="F1035">
        <f>IF(A1035="",0,IF(A1035&gt;$B$5,1,0))</f>
        <v/>
      </c>
      <c r="G1035" s="29">
        <f>IF(AND(F1035=1,ISNUMBER(D1035)),D1035,"")</f>
        <v/>
      </c>
      <c r="H1035" s="29">
        <f>IF(AND(F1035=1,ISNUMBER(E1035)),E1035,"")</f>
        <v/>
      </c>
      <c r="I1035" s="22">
        <f>IF(AND(F1035=1,ISNUMBER(C1035)),C1035,"")</f>
        <v/>
      </c>
      <c r="J1035" s="11">
        <f>IF(G1035="","",100-IF($G$13=1,50,(_xlfn.RANK.AVG(G1035,$G$19:$G$1518,1)-1)/($G$13-1)*100))</f>
        <v/>
      </c>
      <c r="K1035" s="11">
        <f>IF(H1035="","",100-IF($G$14=1,50,(_xlfn.RANK.AVG(H1035,$H$19:$H$1518,1)-1)/($G$14-1)*100))</f>
        <v/>
      </c>
      <c r="L1035" s="11">
        <f>IF(I1035="","",IF($G$15=1,50,(_xlfn.RANK.AVG(I1035,$I$19:$I$1518,1)-1)/($G$15-1)*100))</f>
        <v/>
      </c>
      <c r="M1035" s="11">
        <f>IF(COUNT(J1035:L1035)=3,ROUND(AVERAGE(J1035:L1035),6),"")</f>
        <v/>
      </c>
      <c r="O1035">
        <f>IF(AND(ISNUMBER('자료_미국심리'!$A1019),ISNUMBER('자료_미국심리'!$B1019)),'자료_미국심리'!$A1019,"")</f>
        <v/>
      </c>
      <c r="P1035">
        <f>IF(AND(ISNUMBER('자료_미국심리'!$D1019),ISNUMBER('자료_미국심리'!$E1019)),'자료_미국심리'!$D1019,"")</f>
        <v/>
      </c>
      <c r="Q1035">
        <f>IF(AND(ISNUMBER('자료_미국심리'!$G1019),ISNUMBER('자료_미국심리'!$H1019)),'자료_미국심리'!$G1019,"")</f>
        <v/>
      </c>
    </row>
    <row r="1036">
      <c r="A1036" s="10">
        <f>IF(1018&gt;$E$5,"",SMALL($O$19:$O$4018,$E$6+1018))</f>
        <v/>
      </c>
      <c r="B1036" s="29">
        <f>IF(A1036="","",INDEX('자료_미국심리'!$B$3:$B$4002,MATCH(A1036,$O$19:$O$4018,0)))</f>
        <v/>
      </c>
      <c r="C1036" s="22">
        <f>IF(A1036="","",B1036/AVERAGE(B912:B1036)-1)</f>
        <v/>
      </c>
      <c r="D1036" s="29">
        <f>IF(A1036="","",IFERROR(INDEX('자료_미국심리'!$E$3:$E$4002,MATCH(A1036,$P$19:$P$4018,0)),D1035))</f>
        <v/>
      </c>
      <c r="E1036" s="29">
        <f>IF(A1036="","",IFERROR(INDEX('자료_미국심리'!$H$3:$H$4002,MATCH(A1036,$Q$19:$Q$4018,0)),E1035))</f>
        <v/>
      </c>
      <c r="F1036">
        <f>IF(A1036="",0,IF(A1036&gt;$B$5,1,0))</f>
        <v/>
      </c>
      <c r="G1036" s="29">
        <f>IF(AND(F1036=1,ISNUMBER(D1036)),D1036,"")</f>
        <v/>
      </c>
      <c r="H1036" s="29">
        <f>IF(AND(F1036=1,ISNUMBER(E1036)),E1036,"")</f>
        <v/>
      </c>
      <c r="I1036" s="22">
        <f>IF(AND(F1036=1,ISNUMBER(C1036)),C1036,"")</f>
        <v/>
      </c>
      <c r="J1036" s="11">
        <f>IF(G1036="","",100-IF($G$13=1,50,(_xlfn.RANK.AVG(G1036,$G$19:$G$1518,1)-1)/($G$13-1)*100))</f>
        <v/>
      </c>
      <c r="K1036" s="11">
        <f>IF(H1036="","",100-IF($G$14=1,50,(_xlfn.RANK.AVG(H1036,$H$19:$H$1518,1)-1)/($G$14-1)*100))</f>
        <v/>
      </c>
      <c r="L1036" s="11">
        <f>IF(I1036="","",IF($G$15=1,50,(_xlfn.RANK.AVG(I1036,$I$19:$I$1518,1)-1)/($G$15-1)*100))</f>
        <v/>
      </c>
      <c r="M1036" s="11">
        <f>IF(COUNT(J1036:L1036)=3,ROUND(AVERAGE(J1036:L1036),6),"")</f>
        <v/>
      </c>
      <c r="O1036">
        <f>IF(AND(ISNUMBER('자료_미국심리'!$A1020),ISNUMBER('자료_미국심리'!$B1020)),'자료_미국심리'!$A1020,"")</f>
        <v/>
      </c>
      <c r="P1036">
        <f>IF(AND(ISNUMBER('자료_미국심리'!$D1020),ISNUMBER('자료_미국심리'!$E1020)),'자료_미국심리'!$D1020,"")</f>
        <v/>
      </c>
      <c r="Q1036">
        <f>IF(AND(ISNUMBER('자료_미국심리'!$G1020),ISNUMBER('자료_미국심리'!$H1020)),'자료_미국심리'!$G1020,"")</f>
        <v/>
      </c>
    </row>
    <row r="1037">
      <c r="A1037" s="10">
        <f>IF(1019&gt;$E$5,"",SMALL($O$19:$O$4018,$E$6+1019))</f>
        <v/>
      </c>
      <c r="B1037" s="29">
        <f>IF(A1037="","",INDEX('자료_미국심리'!$B$3:$B$4002,MATCH(A1037,$O$19:$O$4018,0)))</f>
        <v/>
      </c>
      <c r="C1037" s="22">
        <f>IF(A1037="","",B1037/AVERAGE(B913:B1037)-1)</f>
        <v/>
      </c>
      <c r="D1037" s="29">
        <f>IF(A1037="","",IFERROR(INDEX('자료_미국심리'!$E$3:$E$4002,MATCH(A1037,$P$19:$P$4018,0)),D1036))</f>
        <v/>
      </c>
      <c r="E1037" s="29">
        <f>IF(A1037="","",IFERROR(INDEX('자료_미국심리'!$H$3:$H$4002,MATCH(A1037,$Q$19:$Q$4018,0)),E1036))</f>
        <v/>
      </c>
      <c r="F1037">
        <f>IF(A1037="",0,IF(A1037&gt;$B$5,1,0))</f>
        <v/>
      </c>
      <c r="G1037" s="29">
        <f>IF(AND(F1037=1,ISNUMBER(D1037)),D1037,"")</f>
        <v/>
      </c>
      <c r="H1037" s="29">
        <f>IF(AND(F1037=1,ISNUMBER(E1037)),E1037,"")</f>
        <v/>
      </c>
      <c r="I1037" s="22">
        <f>IF(AND(F1037=1,ISNUMBER(C1037)),C1037,"")</f>
        <v/>
      </c>
      <c r="J1037" s="11">
        <f>IF(G1037="","",100-IF($G$13=1,50,(_xlfn.RANK.AVG(G1037,$G$19:$G$1518,1)-1)/($G$13-1)*100))</f>
        <v/>
      </c>
      <c r="K1037" s="11">
        <f>IF(H1037="","",100-IF($G$14=1,50,(_xlfn.RANK.AVG(H1037,$H$19:$H$1518,1)-1)/($G$14-1)*100))</f>
        <v/>
      </c>
      <c r="L1037" s="11">
        <f>IF(I1037="","",IF($G$15=1,50,(_xlfn.RANK.AVG(I1037,$I$19:$I$1518,1)-1)/($G$15-1)*100))</f>
        <v/>
      </c>
      <c r="M1037" s="11">
        <f>IF(COUNT(J1037:L1037)=3,ROUND(AVERAGE(J1037:L1037),6),"")</f>
        <v/>
      </c>
      <c r="O1037">
        <f>IF(AND(ISNUMBER('자료_미국심리'!$A1021),ISNUMBER('자료_미국심리'!$B1021)),'자료_미국심리'!$A1021,"")</f>
        <v/>
      </c>
      <c r="P1037">
        <f>IF(AND(ISNUMBER('자료_미국심리'!$D1021),ISNUMBER('자료_미국심리'!$E1021)),'자료_미국심리'!$D1021,"")</f>
        <v/>
      </c>
      <c r="Q1037">
        <f>IF(AND(ISNUMBER('자료_미국심리'!$G1021),ISNUMBER('자료_미국심리'!$H1021)),'자료_미국심리'!$G1021,"")</f>
        <v/>
      </c>
    </row>
    <row r="1038">
      <c r="A1038" s="10">
        <f>IF(1020&gt;$E$5,"",SMALL($O$19:$O$4018,$E$6+1020))</f>
        <v/>
      </c>
      <c r="B1038" s="29">
        <f>IF(A1038="","",INDEX('자료_미국심리'!$B$3:$B$4002,MATCH(A1038,$O$19:$O$4018,0)))</f>
        <v/>
      </c>
      <c r="C1038" s="22">
        <f>IF(A1038="","",B1038/AVERAGE(B914:B1038)-1)</f>
        <v/>
      </c>
      <c r="D1038" s="29">
        <f>IF(A1038="","",IFERROR(INDEX('자료_미국심리'!$E$3:$E$4002,MATCH(A1038,$P$19:$P$4018,0)),D1037))</f>
        <v/>
      </c>
      <c r="E1038" s="29">
        <f>IF(A1038="","",IFERROR(INDEX('자료_미국심리'!$H$3:$H$4002,MATCH(A1038,$Q$19:$Q$4018,0)),E1037))</f>
        <v/>
      </c>
      <c r="F1038">
        <f>IF(A1038="",0,IF(A1038&gt;$B$5,1,0))</f>
        <v/>
      </c>
      <c r="G1038" s="29">
        <f>IF(AND(F1038=1,ISNUMBER(D1038)),D1038,"")</f>
        <v/>
      </c>
      <c r="H1038" s="29">
        <f>IF(AND(F1038=1,ISNUMBER(E1038)),E1038,"")</f>
        <v/>
      </c>
      <c r="I1038" s="22">
        <f>IF(AND(F1038=1,ISNUMBER(C1038)),C1038,"")</f>
        <v/>
      </c>
      <c r="J1038" s="11">
        <f>IF(G1038="","",100-IF($G$13=1,50,(_xlfn.RANK.AVG(G1038,$G$19:$G$1518,1)-1)/($G$13-1)*100))</f>
        <v/>
      </c>
      <c r="K1038" s="11">
        <f>IF(H1038="","",100-IF($G$14=1,50,(_xlfn.RANK.AVG(H1038,$H$19:$H$1518,1)-1)/($G$14-1)*100))</f>
        <v/>
      </c>
      <c r="L1038" s="11">
        <f>IF(I1038="","",IF($G$15=1,50,(_xlfn.RANK.AVG(I1038,$I$19:$I$1518,1)-1)/($G$15-1)*100))</f>
        <v/>
      </c>
      <c r="M1038" s="11">
        <f>IF(COUNT(J1038:L1038)=3,ROUND(AVERAGE(J1038:L1038),6),"")</f>
        <v/>
      </c>
      <c r="O1038">
        <f>IF(AND(ISNUMBER('자료_미국심리'!$A1022),ISNUMBER('자료_미국심리'!$B1022)),'자료_미국심리'!$A1022,"")</f>
        <v/>
      </c>
      <c r="P1038">
        <f>IF(AND(ISNUMBER('자료_미국심리'!$D1022),ISNUMBER('자료_미국심리'!$E1022)),'자료_미국심리'!$D1022,"")</f>
        <v/>
      </c>
      <c r="Q1038">
        <f>IF(AND(ISNUMBER('자료_미국심리'!$G1022),ISNUMBER('자료_미국심리'!$H1022)),'자료_미국심리'!$G1022,"")</f>
        <v/>
      </c>
    </row>
    <row r="1039">
      <c r="A1039" s="10">
        <f>IF(1021&gt;$E$5,"",SMALL($O$19:$O$4018,$E$6+1021))</f>
        <v/>
      </c>
      <c r="B1039" s="29">
        <f>IF(A1039="","",INDEX('자료_미국심리'!$B$3:$B$4002,MATCH(A1039,$O$19:$O$4018,0)))</f>
        <v/>
      </c>
      <c r="C1039" s="22">
        <f>IF(A1039="","",B1039/AVERAGE(B915:B1039)-1)</f>
        <v/>
      </c>
      <c r="D1039" s="29">
        <f>IF(A1039="","",IFERROR(INDEX('자료_미국심리'!$E$3:$E$4002,MATCH(A1039,$P$19:$P$4018,0)),D1038))</f>
        <v/>
      </c>
      <c r="E1039" s="29">
        <f>IF(A1039="","",IFERROR(INDEX('자료_미국심리'!$H$3:$H$4002,MATCH(A1039,$Q$19:$Q$4018,0)),E1038))</f>
        <v/>
      </c>
      <c r="F1039">
        <f>IF(A1039="",0,IF(A1039&gt;$B$5,1,0))</f>
        <v/>
      </c>
      <c r="G1039" s="29">
        <f>IF(AND(F1039=1,ISNUMBER(D1039)),D1039,"")</f>
        <v/>
      </c>
      <c r="H1039" s="29">
        <f>IF(AND(F1039=1,ISNUMBER(E1039)),E1039,"")</f>
        <v/>
      </c>
      <c r="I1039" s="22">
        <f>IF(AND(F1039=1,ISNUMBER(C1039)),C1039,"")</f>
        <v/>
      </c>
      <c r="J1039" s="11">
        <f>IF(G1039="","",100-IF($G$13=1,50,(_xlfn.RANK.AVG(G1039,$G$19:$G$1518,1)-1)/($G$13-1)*100))</f>
        <v/>
      </c>
      <c r="K1039" s="11">
        <f>IF(H1039="","",100-IF($G$14=1,50,(_xlfn.RANK.AVG(H1039,$H$19:$H$1518,1)-1)/($G$14-1)*100))</f>
        <v/>
      </c>
      <c r="L1039" s="11">
        <f>IF(I1039="","",IF($G$15=1,50,(_xlfn.RANK.AVG(I1039,$I$19:$I$1518,1)-1)/($G$15-1)*100))</f>
        <v/>
      </c>
      <c r="M1039" s="11">
        <f>IF(COUNT(J1039:L1039)=3,ROUND(AVERAGE(J1039:L1039),6),"")</f>
        <v/>
      </c>
      <c r="O1039">
        <f>IF(AND(ISNUMBER('자료_미국심리'!$A1023),ISNUMBER('자료_미국심리'!$B1023)),'자료_미국심리'!$A1023,"")</f>
        <v/>
      </c>
      <c r="P1039">
        <f>IF(AND(ISNUMBER('자료_미국심리'!$D1023),ISNUMBER('자료_미국심리'!$E1023)),'자료_미국심리'!$D1023,"")</f>
        <v/>
      </c>
      <c r="Q1039">
        <f>IF(AND(ISNUMBER('자료_미국심리'!$G1023),ISNUMBER('자료_미국심리'!$H1023)),'자료_미국심리'!$G1023,"")</f>
        <v/>
      </c>
    </row>
    <row r="1040">
      <c r="A1040" s="10">
        <f>IF(1022&gt;$E$5,"",SMALL($O$19:$O$4018,$E$6+1022))</f>
        <v/>
      </c>
      <c r="B1040" s="29">
        <f>IF(A1040="","",INDEX('자료_미국심리'!$B$3:$B$4002,MATCH(A1040,$O$19:$O$4018,0)))</f>
        <v/>
      </c>
      <c r="C1040" s="22">
        <f>IF(A1040="","",B1040/AVERAGE(B916:B1040)-1)</f>
        <v/>
      </c>
      <c r="D1040" s="29">
        <f>IF(A1040="","",IFERROR(INDEX('자료_미국심리'!$E$3:$E$4002,MATCH(A1040,$P$19:$P$4018,0)),D1039))</f>
        <v/>
      </c>
      <c r="E1040" s="29">
        <f>IF(A1040="","",IFERROR(INDEX('자료_미국심리'!$H$3:$H$4002,MATCH(A1040,$Q$19:$Q$4018,0)),E1039))</f>
        <v/>
      </c>
      <c r="F1040">
        <f>IF(A1040="",0,IF(A1040&gt;$B$5,1,0))</f>
        <v/>
      </c>
      <c r="G1040" s="29">
        <f>IF(AND(F1040=1,ISNUMBER(D1040)),D1040,"")</f>
        <v/>
      </c>
      <c r="H1040" s="29">
        <f>IF(AND(F1040=1,ISNUMBER(E1040)),E1040,"")</f>
        <v/>
      </c>
      <c r="I1040" s="22">
        <f>IF(AND(F1040=1,ISNUMBER(C1040)),C1040,"")</f>
        <v/>
      </c>
      <c r="J1040" s="11">
        <f>IF(G1040="","",100-IF($G$13=1,50,(_xlfn.RANK.AVG(G1040,$G$19:$G$1518,1)-1)/($G$13-1)*100))</f>
        <v/>
      </c>
      <c r="K1040" s="11">
        <f>IF(H1040="","",100-IF($G$14=1,50,(_xlfn.RANK.AVG(H1040,$H$19:$H$1518,1)-1)/($G$14-1)*100))</f>
        <v/>
      </c>
      <c r="L1040" s="11">
        <f>IF(I1040="","",IF($G$15=1,50,(_xlfn.RANK.AVG(I1040,$I$19:$I$1518,1)-1)/($G$15-1)*100))</f>
        <v/>
      </c>
      <c r="M1040" s="11">
        <f>IF(COUNT(J1040:L1040)=3,ROUND(AVERAGE(J1040:L1040),6),"")</f>
        <v/>
      </c>
      <c r="O1040">
        <f>IF(AND(ISNUMBER('자료_미국심리'!$A1024),ISNUMBER('자료_미국심리'!$B1024)),'자료_미국심리'!$A1024,"")</f>
        <v/>
      </c>
      <c r="P1040">
        <f>IF(AND(ISNUMBER('자료_미국심리'!$D1024),ISNUMBER('자료_미국심리'!$E1024)),'자료_미국심리'!$D1024,"")</f>
        <v/>
      </c>
      <c r="Q1040">
        <f>IF(AND(ISNUMBER('자료_미국심리'!$G1024),ISNUMBER('자료_미국심리'!$H1024)),'자료_미국심리'!$G1024,"")</f>
        <v/>
      </c>
    </row>
    <row r="1041">
      <c r="A1041" s="10">
        <f>IF(1023&gt;$E$5,"",SMALL($O$19:$O$4018,$E$6+1023))</f>
        <v/>
      </c>
      <c r="B1041" s="29">
        <f>IF(A1041="","",INDEX('자료_미국심리'!$B$3:$B$4002,MATCH(A1041,$O$19:$O$4018,0)))</f>
        <v/>
      </c>
      <c r="C1041" s="22">
        <f>IF(A1041="","",B1041/AVERAGE(B917:B1041)-1)</f>
        <v/>
      </c>
      <c r="D1041" s="29">
        <f>IF(A1041="","",IFERROR(INDEX('자료_미국심리'!$E$3:$E$4002,MATCH(A1041,$P$19:$P$4018,0)),D1040))</f>
        <v/>
      </c>
      <c r="E1041" s="29">
        <f>IF(A1041="","",IFERROR(INDEX('자료_미국심리'!$H$3:$H$4002,MATCH(A1041,$Q$19:$Q$4018,0)),E1040))</f>
        <v/>
      </c>
      <c r="F1041">
        <f>IF(A1041="",0,IF(A1041&gt;$B$5,1,0))</f>
        <v/>
      </c>
      <c r="G1041" s="29">
        <f>IF(AND(F1041=1,ISNUMBER(D1041)),D1041,"")</f>
        <v/>
      </c>
      <c r="H1041" s="29">
        <f>IF(AND(F1041=1,ISNUMBER(E1041)),E1041,"")</f>
        <v/>
      </c>
      <c r="I1041" s="22">
        <f>IF(AND(F1041=1,ISNUMBER(C1041)),C1041,"")</f>
        <v/>
      </c>
      <c r="J1041" s="11">
        <f>IF(G1041="","",100-IF($G$13=1,50,(_xlfn.RANK.AVG(G1041,$G$19:$G$1518,1)-1)/($G$13-1)*100))</f>
        <v/>
      </c>
      <c r="K1041" s="11">
        <f>IF(H1041="","",100-IF($G$14=1,50,(_xlfn.RANK.AVG(H1041,$H$19:$H$1518,1)-1)/($G$14-1)*100))</f>
        <v/>
      </c>
      <c r="L1041" s="11">
        <f>IF(I1041="","",IF($G$15=1,50,(_xlfn.RANK.AVG(I1041,$I$19:$I$1518,1)-1)/($G$15-1)*100))</f>
        <v/>
      </c>
      <c r="M1041" s="11">
        <f>IF(COUNT(J1041:L1041)=3,ROUND(AVERAGE(J1041:L1041),6),"")</f>
        <v/>
      </c>
      <c r="O1041">
        <f>IF(AND(ISNUMBER('자료_미국심리'!$A1025),ISNUMBER('자료_미국심리'!$B1025)),'자료_미국심리'!$A1025,"")</f>
        <v/>
      </c>
      <c r="P1041">
        <f>IF(AND(ISNUMBER('자료_미국심리'!$D1025),ISNUMBER('자료_미국심리'!$E1025)),'자료_미국심리'!$D1025,"")</f>
        <v/>
      </c>
      <c r="Q1041">
        <f>IF(AND(ISNUMBER('자료_미국심리'!$G1025),ISNUMBER('자료_미국심리'!$H1025)),'자료_미국심리'!$G1025,"")</f>
        <v/>
      </c>
    </row>
    <row r="1042">
      <c r="A1042" s="10">
        <f>IF(1024&gt;$E$5,"",SMALL($O$19:$O$4018,$E$6+1024))</f>
        <v/>
      </c>
      <c r="B1042" s="29">
        <f>IF(A1042="","",INDEX('자료_미국심리'!$B$3:$B$4002,MATCH(A1042,$O$19:$O$4018,0)))</f>
        <v/>
      </c>
      <c r="C1042" s="22">
        <f>IF(A1042="","",B1042/AVERAGE(B918:B1042)-1)</f>
        <v/>
      </c>
      <c r="D1042" s="29">
        <f>IF(A1042="","",IFERROR(INDEX('자료_미국심리'!$E$3:$E$4002,MATCH(A1042,$P$19:$P$4018,0)),D1041))</f>
        <v/>
      </c>
      <c r="E1042" s="29">
        <f>IF(A1042="","",IFERROR(INDEX('자료_미국심리'!$H$3:$H$4002,MATCH(A1042,$Q$19:$Q$4018,0)),E1041))</f>
        <v/>
      </c>
      <c r="F1042">
        <f>IF(A1042="",0,IF(A1042&gt;$B$5,1,0))</f>
        <v/>
      </c>
      <c r="G1042" s="29">
        <f>IF(AND(F1042=1,ISNUMBER(D1042)),D1042,"")</f>
        <v/>
      </c>
      <c r="H1042" s="29">
        <f>IF(AND(F1042=1,ISNUMBER(E1042)),E1042,"")</f>
        <v/>
      </c>
      <c r="I1042" s="22">
        <f>IF(AND(F1042=1,ISNUMBER(C1042)),C1042,"")</f>
        <v/>
      </c>
      <c r="J1042" s="11">
        <f>IF(G1042="","",100-IF($G$13=1,50,(_xlfn.RANK.AVG(G1042,$G$19:$G$1518,1)-1)/($G$13-1)*100))</f>
        <v/>
      </c>
      <c r="K1042" s="11">
        <f>IF(H1042="","",100-IF($G$14=1,50,(_xlfn.RANK.AVG(H1042,$H$19:$H$1518,1)-1)/($G$14-1)*100))</f>
        <v/>
      </c>
      <c r="L1042" s="11">
        <f>IF(I1042="","",IF($G$15=1,50,(_xlfn.RANK.AVG(I1042,$I$19:$I$1518,1)-1)/($G$15-1)*100))</f>
        <v/>
      </c>
      <c r="M1042" s="11">
        <f>IF(COUNT(J1042:L1042)=3,ROUND(AVERAGE(J1042:L1042),6),"")</f>
        <v/>
      </c>
      <c r="O1042">
        <f>IF(AND(ISNUMBER('자료_미국심리'!$A1026),ISNUMBER('자료_미국심리'!$B1026)),'자료_미국심리'!$A1026,"")</f>
        <v/>
      </c>
      <c r="P1042">
        <f>IF(AND(ISNUMBER('자료_미국심리'!$D1026),ISNUMBER('자료_미국심리'!$E1026)),'자료_미국심리'!$D1026,"")</f>
        <v/>
      </c>
      <c r="Q1042">
        <f>IF(AND(ISNUMBER('자료_미국심리'!$G1026),ISNUMBER('자료_미국심리'!$H1026)),'자료_미국심리'!$G1026,"")</f>
        <v/>
      </c>
    </row>
    <row r="1043">
      <c r="A1043" s="10">
        <f>IF(1025&gt;$E$5,"",SMALL($O$19:$O$4018,$E$6+1025))</f>
        <v/>
      </c>
      <c r="B1043" s="29">
        <f>IF(A1043="","",INDEX('자료_미국심리'!$B$3:$B$4002,MATCH(A1043,$O$19:$O$4018,0)))</f>
        <v/>
      </c>
      <c r="C1043" s="22">
        <f>IF(A1043="","",B1043/AVERAGE(B919:B1043)-1)</f>
        <v/>
      </c>
      <c r="D1043" s="29">
        <f>IF(A1043="","",IFERROR(INDEX('자료_미국심리'!$E$3:$E$4002,MATCH(A1043,$P$19:$P$4018,0)),D1042))</f>
        <v/>
      </c>
      <c r="E1043" s="29">
        <f>IF(A1043="","",IFERROR(INDEX('자료_미국심리'!$H$3:$H$4002,MATCH(A1043,$Q$19:$Q$4018,0)),E1042))</f>
        <v/>
      </c>
      <c r="F1043">
        <f>IF(A1043="",0,IF(A1043&gt;$B$5,1,0))</f>
        <v/>
      </c>
      <c r="G1043" s="29">
        <f>IF(AND(F1043=1,ISNUMBER(D1043)),D1043,"")</f>
        <v/>
      </c>
      <c r="H1043" s="29">
        <f>IF(AND(F1043=1,ISNUMBER(E1043)),E1043,"")</f>
        <v/>
      </c>
      <c r="I1043" s="22">
        <f>IF(AND(F1043=1,ISNUMBER(C1043)),C1043,"")</f>
        <v/>
      </c>
      <c r="J1043" s="11">
        <f>IF(G1043="","",100-IF($G$13=1,50,(_xlfn.RANK.AVG(G1043,$G$19:$G$1518,1)-1)/($G$13-1)*100))</f>
        <v/>
      </c>
      <c r="K1043" s="11">
        <f>IF(H1043="","",100-IF($G$14=1,50,(_xlfn.RANK.AVG(H1043,$H$19:$H$1518,1)-1)/($G$14-1)*100))</f>
        <v/>
      </c>
      <c r="L1043" s="11">
        <f>IF(I1043="","",IF($G$15=1,50,(_xlfn.RANK.AVG(I1043,$I$19:$I$1518,1)-1)/($G$15-1)*100))</f>
        <v/>
      </c>
      <c r="M1043" s="11">
        <f>IF(COUNT(J1043:L1043)=3,ROUND(AVERAGE(J1043:L1043),6),"")</f>
        <v/>
      </c>
      <c r="O1043">
        <f>IF(AND(ISNUMBER('자료_미국심리'!$A1027),ISNUMBER('자료_미국심리'!$B1027)),'자료_미국심리'!$A1027,"")</f>
        <v/>
      </c>
      <c r="P1043">
        <f>IF(AND(ISNUMBER('자료_미국심리'!$D1027),ISNUMBER('자료_미국심리'!$E1027)),'자료_미국심리'!$D1027,"")</f>
        <v/>
      </c>
      <c r="Q1043">
        <f>IF(AND(ISNUMBER('자료_미국심리'!$G1027),ISNUMBER('자료_미국심리'!$H1027)),'자료_미국심리'!$G1027,"")</f>
        <v/>
      </c>
    </row>
    <row r="1044">
      <c r="A1044" s="10">
        <f>IF(1026&gt;$E$5,"",SMALL($O$19:$O$4018,$E$6+1026))</f>
        <v/>
      </c>
      <c r="B1044" s="29">
        <f>IF(A1044="","",INDEX('자료_미국심리'!$B$3:$B$4002,MATCH(A1044,$O$19:$O$4018,0)))</f>
        <v/>
      </c>
      <c r="C1044" s="22">
        <f>IF(A1044="","",B1044/AVERAGE(B920:B1044)-1)</f>
        <v/>
      </c>
      <c r="D1044" s="29">
        <f>IF(A1044="","",IFERROR(INDEX('자료_미국심리'!$E$3:$E$4002,MATCH(A1044,$P$19:$P$4018,0)),D1043))</f>
        <v/>
      </c>
      <c r="E1044" s="29">
        <f>IF(A1044="","",IFERROR(INDEX('자료_미국심리'!$H$3:$H$4002,MATCH(A1044,$Q$19:$Q$4018,0)),E1043))</f>
        <v/>
      </c>
      <c r="F1044">
        <f>IF(A1044="",0,IF(A1044&gt;$B$5,1,0))</f>
        <v/>
      </c>
      <c r="G1044" s="29">
        <f>IF(AND(F1044=1,ISNUMBER(D1044)),D1044,"")</f>
        <v/>
      </c>
      <c r="H1044" s="29">
        <f>IF(AND(F1044=1,ISNUMBER(E1044)),E1044,"")</f>
        <v/>
      </c>
      <c r="I1044" s="22">
        <f>IF(AND(F1044=1,ISNUMBER(C1044)),C1044,"")</f>
        <v/>
      </c>
      <c r="J1044" s="11">
        <f>IF(G1044="","",100-IF($G$13=1,50,(_xlfn.RANK.AVG(G1044,$G$19:$G$1518,1)-1)/($G$13-1)*100))</f>
        <v/>
      </c>
      <c r="K1044" s="11">
        <f>IF(H1044="","",100-IF($G$14=1,50,(_xlfn.RANK.AVG(H1044,$H$19:$H$1518,1)-1)/($G$14-1)*100))</f>
        <v/>
      </c>
      <c r="L1044" s="11">
        <f>IF(I1044="","",IF($G$15=1,50,(_xlfn.RANK.AVG(I1044,$I$19:$I$1518,1)-1)/($G$15-1)*100))</f>
        <v/>
      </c>
      <c r="M1044" s="11">
        <f>IF(COUNT(J1044:L1044)=3,ROUND(AVERAGE(J1044:L1044),6),"")</f>
        <v/>
      </c>
      <c r="O1044">
        <f>IF(AND(ISNUMBER('자료_미국심리'!$A1028),ISNUMBER('자료_미국심리'!$B1028)),'자료_미국심리'!$A1028,"")</f>
        <v/>
      </c>
      <c r="P1044">
        <f>IF(AND(ISNUMBER('자료_미국심리'!$D1028),ISNUMBER('자료_미국심리'!$E1028)),'자료_미국심리'!$D1028,"")</f>
        <v/>
      </c>
      <c r="Q1044">
        <f>IF(AND(ISNUMBER('자료_미국심리'!$G1028),ISNUMBER('자료_미국심리'!$H1028)),'자료_미국심리'!$G1028,"")</f>
        <v/>
      </c>
    </row>
    <row r="1045">
      <c r="A1045" s="10">
        <f>IF(1027&gt;$E$5,"",SMALL($O$19:$O$4018,$E$6+1027))</f>
        <v/>
      </c>
      <c r="B1045" s="29">
        <f>IF(A1045="","",INDEX('자료_미국심리'!$B$3:$B$4002,MATCH(A1045,$O$19:$O$4018,0)))</f>
        <v/>
      </c>
      <c r="C1045" s="22">
        <f>IF(A1045="","",B1045/AVERAGE(B921:B1045)-1)</f>
        <v/>
      </c>
      <c r="D1045" s="29">
        <f>IF(A1045="","",IFERROR(INDEX('자료_미국심리'!$E$3:$E$4002,MATCH(A1045,$P$19:$P$4018,0)),D1044))</f>
        <v/>
      </c>
      <c r="E1045" s="29">
        <f>IF(A1045="","",IFERROR(INDEX('자료_미국심리'!$H$3:$H$4002,MATCH(A1045,$Q$19:$Q$4018,0)),E1044))</f>
        <v/>
      </c>
      <c r="F1045">
        <f>IF(A1045="",0,IF(A1045&gt;$B$5,1,0))</f>
        <v/>
      </c>
      <c r="G1045" s="29">
        <f>IF(AND(F1045=1,ISNUMBER(D1045)),D1045,"")</f>
        <v/>
      </c>
      <c r="H1045" s="29">
        <f>IF(AND(F1045=1,ISNUMBER(E1045)),E1045,"")</f>
        <v/>
      </c>
      <c r="I1045" s="22">
        <f>IF(AND(F1045=1,ISNUMBER(C1045)),C1045,"")</f>
        <v/>
      </c>
      <c r="J1045" s="11">
        <f>IF(G1045="","",100-IF($G$13=1,50,(_xlfn.RANK.AVG(G1045,$G$19:$G$1518,1)-1)/($G$13-1)*100))</f>
        <v/>
      </c>
      <c r="K1045" s="11">
        <f>IF(H1045="","",100-IF($G$14=1,50,(_xlfn.RANK.AVG(H1045,$H$19:$H$1518,1)-1)/($G$14-1)*100))</f>
        <v/>
      </c>
      <c r="L1045" s="11">
        <f>IF(I1045="","",IF($G$15=1,50,(_xlfn.RANK.AVG(I1045,$I$19:$I$1518,1)-1)/($G$15-1)*100))</f>
        <v/>
      </c>
      <c r="M1045" s="11">
        <f>IF(COUNT(J1045:L1045)=3,ROUND(AVERAGE(J1045:L1045),6),"")</f>
        <v/>
      </c>
      <c r="O1045">
        <f>IF(AND(ISNUMBER('자료_미국심리'!$A1029),ISNUMBER('자료_미국심리'!$B1029)),'자료_미국심리'!$A1029,"")</f>
        <v/>
      </c>
      <c r="P1045">
        <f>IF(AND(ISNUMBER('자료_미국심리'!$D1029),ISNUMBER('자료_미국심리'!$E1029)),'자료_미국심리'!$D1029,"")</f>
        <v/>
      </c>
      <c r="Q1045">
        <f>IF(AND(ISNUMBER('자료_미국심리'!$G1029),ISNUMBER('자료_미국심리'!$H1029)),'자료_미국심리'!$G1029,"")</f>
        <v/>
      </c>
    </row>
    <row r="1046">
      <c r="A1046" s="10">
        <f>IF(1028&gt;$E$5,"",SMALL($O$19:$O$4018,$E$6+1028))</f>
        <v/>
      </c>
      <c r="B1046" s="29">
        <f>IF(A1046="","",INDEX('자료_미국심리'!$B$3:$B$4002,MATCH(A1046,$O$19:$O$4018,0)))</f>
        <v/>
      </c>
      <c r="C1046" s="22">
        <f>IF(A1046="","",B1046/AVERAGE(B922:B1046)-1)</f>
        <v/>
      </c>
      <c r="D1046" s="29">
        <f>IF(A1046="","",IFERROR(INDEX('자료_미국심리'!$E$3:$E$4002,MATCH(A1046,$P$19:$P$4018,0)),D1045))</f>
        <v/>
      </c>
      <c r="E1046" s="29">
        <f>IF(A1046="","",IFERROR(INDEX('자료_미국심리'!$H$3:$H$4002,MATCH(A1046,$Q$19:$Q$4018,0)),E1045))</f>
        <v/>
      </c>
      <c r="F1046">
        <f>IF(A1046="",0,IF(A1046&gt;$B$5,1,0))</f>
        <v/>
      </c>
      <c r="G1046" s="29">
        <f>IF(AND(F1046=1,ISNUMBER(D1046)),D1046,"")</f>
        <v/>
      </c>
      <c r="H1046" s="29">
        <f>IF(AND(F1046=1,ISNUMBER(E1046)),E1046,"")</f>
        <v/>
      </c>
      <c r="I1046" s="22">
        <f>IF(AND(F1046=1,ISNUMBER(C1046)),C1046,"")</f>
        <v/>
      </c>
      <c r="J1046" s="11">
        <f>IF(G1046="","",100-IF($G$13=1,50,(_xlfn.RANK.AVG(G1046,$G$19:$G$1518,1)-1)/($G$13-1)*100))</f>
        <v/>
      </c>
      <c r="K1046" s="11">
        <f>IF(H1046="","",100-IF($G$14=1,50,(_xlfn.RANK.AVG(H1046,$H$19:$H$1518,1)-1)/($G$14-1)*100))</f>
        <v/>
      </c>
      <c r="L1046" s="11">
        <f>IF(I1046="","",IF($G$15=1,50,(_xlfn.RANK.AVG(I1046,$I$19:$I$1518,1)-1)/($G$15-1)*100))</f>
        <v/>
      </c>
      <c r="M1046" s="11">
        <f>IF(COUNT(J1046:L1046)=3,ROUND(AVERAGE(J1046:L1046),6),"")</f>
        <v/>
      </c>
      <c r="O1046">
        <f>IF(AND(ISNUMBER('자료_미국심리'!$A1030),ISNUMBER('자료_미국심리'!$B1030)),'자료_미국심리'!$A1030,"")</f>
        <v/>
      </c>
      <c r="P1046">
        <f>IF(AND(ISNUMBER('자료_미국심리'!$D1030),ISNUMBER('자료_미국심리'!$E1030)),'자료_미국심리'!$D1030,"")</f>
        <v/>
      </c>
      <c r="Q1046">
        <f>IF(AND(ISNUMBER('자료_미국심리'!$G1030),ISNUMBER('자료_미국심리'!$H1030)),'자료_미국심리'!$G1030,"")</f>
        <v/>
      </c>
    </row>
    <row r="1047">
      <c r="A1047" s="10">
        <f>IF(1029&gt;$E$5,"",SMALL($O$19:$O$4018,$E$6+1029))</f>
        <v/>
      </c>
      <c r="B1047" s="29">
        <f>IF(A1047="","",INDEX('자료_미국심리'!$B$3:$B$4002,MATCH(A1047,$O$19:$O$4018,0)))</f>
        <v/>
      </c>
      <c r="C1047" s="22">
        <f>IF(A1047="","",B1047/AVERAGE(B923:B1047)-1)</f>
        <v/>
      </c>
      <c r="D1047" s="29">
        <f>IF(A1047="","",IFERROR(INDEX('자료_미국심리'!$E$3:$E$4002,MATCH(A1047,$P$19:$P$4018,0)),D1046))</f>
        <v/>
      </c>
      <c r="E1047" s="29">
        <f>IF(A1047="","",IFERROR(INDEX('자료_미국심리'!$H$3:$H$4002,MATCH(A1047,$Q$19:$Q$4018,0)),E1046))</f>
        <v/>
      </c>
      <c r="F1047">
        <f>IF(A1047="",0,IF(A1047&gt;$B$5,1,0))</f>
        <v/>
      </c>
      <c r="G1047" s="29">
        <f>IF(AND(F1047=1,ISNUMBER(D1047)),D1047,"")</f>
        <v/>
      </c>
      <c r="H1047" s="29">
        <f>IF(AND(F1047=1,ISNUMBER(E1047)),E1047,"")</f>
        <v/>
      </c>
      <c r="I1047" s="22">
        <f>IF(AND(F1047=1,ISNUMBER(C1047)),C1047,"")</f>
        <v/>
      </c>
      <c r="J1047" s="11">
        <f>IF(G1047="","",100-IF($G$13=1,50,(_xlfn.RANK.AVG(G1047,$G$19:$G$1518,1)-1)/($G$13-1)*100))</f>
        <v/>
      </c>
      <c r="K1047" s="11">
        <f>IF(H1047="","",100-IF($G$14=1,50,(_xlfn.RANK.AVG(H1047,$H$19:$H$1518,1)-1)/($G$14-1)*100))</f>
        <v/>
      </c>
      <c r="L1047" s="11">
        <f>IF(I1047="","",IF($G$15=1,50,(_xlfn.RANK.AVG(I1047,$I$19:$I$1518,1)-1)/($G$15-1)*100))</f>
        <v/>
      </c>
      <c r="M1047" s="11">
        <f>IF(COUNT(J1047:L1047)=3,ROUND(AVERAGE(J1047:L1047),6),"")</f>
        <v/>
      </c>
      <c r="O1047">
        <f>IF(AND(ISNUMBER('자료_미국심리'!$A1031),ISNUMBER('자료_미국심리'!$B1031)),'자료_미국심리'!$A1031,"")</f>
        <v/>
      </c>
      <c r="P1047">
        <f>IF(AND(ISNUMBER('자료_미국심리'!$D1031),ISNUMBER('자료_미국심리'!$E1031)),'자료_미국심리'!$D1031,"")</f>
        <v/>
      </c>
      <c r="Q1047">
        <f>IF(AND(ISNUMBER('자료_미국심리'!$G1031),ISNUMBER('자료_미국심리'!$H1031)),'자료_미국심리'!$G1031,"")</f>
        <v/>
      </c>
    </row>
    <row r="1048">
      <c r="A1048" s="10">
        <f>IF(1030&gt;$E$5,"",SMALL($O$19:$O$4018,$E$6+1030))</f>
        <v/>
      </c>
      <c r="B1048" s="29">
        <f>IF(A1048="","",INDEX('자료_미국심리'!$B$3:$B$4002,MATCH(A1048,$O$19:$O$4018,0)))</f>
        <v/>
      </c>
      <c r="C1048" s="22">
        <f>IF(A1048="","",B1048/AVERAGE(B924:B1048)-1)</f>
        <v/>
      </c>
      <c r="D1048" s="29">
        <f>IF(A1048="","",IFERROR(INDEX('자료_미국심리'!$E$3:$E$4002,MATCH(A1048,$P$19:$P$4018,0)),D1047))</f>
        <v/>
      </c>
      <c r="E1048" s="29">
        <f>IF(A1048="","",IFERROR(INDEX('자료_미국심리'!$H$3:$H$4002,MATCH(A1048,$Q$19:$Q$4018,0)),E1047))</f>
        <v/>
      </c>
      <c r="F1048">
        <f>IF(A1048="",0,IF(A1048&gt;$B$5,1,0))</f>
        <v/>
      </c>
      <c r="G1048" s="29">
        <f>IF(AND(F1048=1,ISNUMBER(D1048)),D1048,"")</f>
        <v/>
      </c>
      <c r="H1048" s="29">
        <f>IF(AND(F1048=1,ISNUMBER(E1048)),E1048,"")</f>
        <v/>
      </c>
      <c r="I1048" s="22">
        <f>IF(AND(F1048=1,ISNUMBER(C1048)),C1048,"")</f>
        <v/>
      </c>
      <c r="J1048" s="11">
        <f>IF(G1048="","",100-IF($G$13=1,50,(_xlfn.RANK.AVG(G1048,$G$19:$G$1518,1)-1)/($G$13-1)*100))</f>
        <v/>
      </c>
      <c r="K1048" s="11">
        <f>IF(H1048="","",100-IF($G$14=1,50,(_xlfn.RANK.AVG(H1048,$H$19:$H$1518,1)-1)/($G$14-1)*100))</f>
        <v/>
      </c>
      <c r="L1048" s="11">
        <f>IF(I1048="","",IF($G$15=1,50,(_xlfn.RANK.AVG(I1048,$I$19:$I$1518,1)-1)/($G$15-1)*100))</f>
        <v/>
      </c>
      <c r="M1048" s="11">
        <f>IF(COUNT(J1048:L1048)=3,ROUND(AVERAGE(J1048:L1048),6),"")</f>
        <v/>
      </c>
      <c r="O1048">
        <f>IF(AND(ISNUMBER('자료_미국심리'!$A1032),ISNUMBER('자료_미국심리'!$B1032)),'자료_미국심리'!$A1032,"")</f>
        <v/>
      </c>
      <c r="P1048">
        <f>IF(AND(ISNUMBER('자료_미국심리'!$D1032),ISNUMBER('자료_미국심리'!$E1032)),'자료_미국심리'!$D1032,"")</f>
        <v/>
      </c>
      <c r="Q1048">
        <f>IF(AND(ISNUMBER('자료_미국심리'!$G1032),ISNUMBER('자료_미국심리'!$H1032)),'자료_미국심리'!$G1032,"")</f>
        <v/>
      </c>
    </row>
    <row r="1049">
      <c r="A1049" s="10">
        <f>IF(1031&gt;$E$5,"",SMALL($O$19:$O$4018,$E$6+1031))</f>
        <v/>
      </c>
      <c r="B1049" s="29">
        <f>IF(A1049="","",INDEX('자료_미국심리'!$B$3:$B$4002,MATCH(A1049,$O$19:$O$4018,0)))</f>
        <v/>
      </c>
      <c r="C1049" s="22">
        <f>IF(A1049="","",B1049/AVERAGE(B925:B1049)-1)</f>
        <v/>
      </c>
      <c r="D1049" s="29">
        <f>IF(A1049="","",IFERROR(INDEX('자료_미국심리'!$E$3:$E$4002,MATCH(A1049,$P$19:$P$4018,0)),D1048))</f>
        <v/>
      </c>
      <c r="E1049" s="29">
        <f>IF(A1049="","",IFERROR(INDEX('자료_미국심리'!$H$3:$H$4002,MATCH(A1049,$Q$19:$Q$4018,0)),E1048))</f>
        <v/>
      </c>
      <c r="F1049">
        <f>IF(A1049="",0,IF(A1049&gt;$B$5,1,0))</f>
        <v/>
      </c>
      <c r="G1049" s="29">
        <f>IF(AND(F1049=1,ISNUMBER(D1049)),D1049,"")</f>
        <v/>
      </c>
      <c r="H1049" s="29">
        <f>IF(AND(F1049=1,ISNUMBER(E1049)),E1049,"")</f>
        <v/>
      </c>
      <c r="I1049" s="22">
        <f>IF(AND(F1049=1,ISNUMBER(C1049)),C1049,"")</f>
        <v/>
      </c>
      <c r="J1049" s="11">
        <f>IF(G1049="","",100-IF($G$13=1,50,(_xlfn.RANK.AVG(G1049,$G$19:$G$1518,1)-1)/($G$13-1)*100))</f>
        <v/>
      </c>
      <c r="K1049" s="11">
        <f>IF(H1049="","",100-IF($G$14=1,50,(_xlfn.RANK.AVG(H1049,$H$19:$H$1518,1)-1)/($G$14-1)*100))</f>
        <v/>
      </c>
      <c r="L1049" s="11">
        <f>IF(I1049="","",IF($G$15=1,50,(_xlfn.RANK.AVG(I1049,$I$19:$I$1518,1)-1)/($G$15-1)*100))</f>
        <v/>
      </c>
      <c r="M1049" s="11">
        <f>IF(COUNT(J1049:L1049)=3,ROUND(AVERAGE(J1049:L1049),6),"")</f>
        <v/>
      </c>
      <c r="O1049">
        <f>IF(AND(ISNUMBER('자료_미국심리'!$A1033),ISNUMBER('자료_미국심리'!$B1033)),'자료_미국심리'!$A1033,"")</f>
        <v/>
      </c>
      <c r="P1049">
        <f>IF(AND(ISNUMBER('자료_미국심리'!$D1033),ISNUMBER('자료_미국심리'!$E1033)),'자료_미국심리'!$D1033,"")</f>
        <v/>
      </c>
      <c r="Q1049">
        <f>IF(AND(ISNUMBER('자료_미국심리'!$G1033),ISNUMBER('자료_미국심리'!$H1033)),'자료_미국심리'!$G1033,"")</f>
        <v/>
      </c>
    </row>
    <row r="1050">
      <c r="A1050" s="10">
        <f>IF(1032&gt;$E$5,"",SMALL($O$19:$O$4018,$E$6+1032))</f>
        <v/>
      </c>
      <c r="B1050" s="29">
        <f>IF(A1050="","",INDEX('자료_미국심리'!$B$3:$B$4002,MATCH(A1050,$O$19:$O$4018,0)))</f>
        <v/>
      </c>
      <c r="C1050" s="22">
        <f>IF(A1050="","",B1050/AVERAGE(B926:B1050)-1)</f>
        <v/>
      </c>
      <c r="D1050" s="29">
        <f>IF(A1050="","",IFERROR(INDEX('자료_미국심리'!$E$3:$E$4002,MATCH(A1050,$P$19:$P$4018,0)),D1049))</f>
        <v/>
      </c>
      <c r="E1050" s="29">
        <f>IF(A1050="","",IFERROR(INDEX('자료_미국심리'!$H$3:$H$4002,MATCH(A1050,$Q$19:$Q$4018,0)),E1049))</f>
        <v/>
      </c>
      <c r="F1050">
        <f>IF(A1050="",0,IF(A1050&gt;$B$5,1,0))</f>
        <v/>
      </c>
      <c r="G1050" s="29">
        <f>IF(AND(F1050=1,ISNUMBER(D1050)),D1050,"")</f>
        <v/>
      </c>
      <c r="H1050" s="29">
        <f>IF(AND(F1050=1,ISNUMBER(E1050)),E1050,"")</f>
        <v/>
      </c>
      <c r="I1050" s="22">
        <f>IF(AND(F1050=1,ISNUMBER(C1050)),C1050,"")</f>
        <v/>
      </c>
      <c r="J1050" s="11">
        <f>IF(G1050="","",100-IF($G$13=1,50,(_xlfn.RANK.AVG(G1050,$G$19:$G$1518,1)-1)/($G$13-1)*100))</f>
        <v/>
      </c>
      <c r="K1050" s="11">
        <f>IF(H1050="","",100-IF($G$14=1,50,(_xlfn.RANK.AVG(H1050,$H$19:$H$1518,1)-1)/($G$14-1)*100))</f>
        <v/>
      </c>
      <c r="L1050" s="11">
        <f>IF(I1050="","",IF($G$15=1,50,(_xlfn.RANK.AVG(I1050,$I$19:$I$1518,1)-1)/($G$15-1)*100))</f>
        <v/>
      </c>
      <c r="M1050" s="11">
        <f>IF(COUNT(J1050:L1050)=3,ROUND(AVERAGE(J1050:L1050),6),"")</f>
        <v/>
      </c>
      <c r="O1050">
        <f>IF(AND(ISNUMBER('자료_미국심리'!$A1034),ISNUMBER('자료_미국심리'!$B1034)),'자료_미국심리'!$A1034,"")</f>
        <v/>
      </c>
      <c r="P1050">
        <f>IF(AND(ISNUMBER('자료_미국심리'!$D1034),ISNUMBER('자료_미국심리'!$E1034)),'자료_미국심리'!$D1034,"")</f>
        <v/>
      </c>
      <c r="Q1050">
        <f>IF(AND(ISNUMBER('자료_미국심리'!$G1034),ISNUMBER('자료_미국심리'!$H1034)),'자료_미국심리'!$G1034,"")</f>
        <v/>
      </c>
    </row>
    <row r="1051">
      <c r="A1051" s="10">
        <f>IF(1033&gt;$E$5,"",SMALL($O$19:$O$4018,$E$6+1033))</f>
        <v/>
      </c>
      <c r="B1051" s="29">
        <f>IF(A1051="","",INDEX('자료_미국심리'!$B$3:$B$4002,MATCH(A1051,$O$19:$O$4018,0)))</f>
        <v/>
      </c>
      <c r="C1051" s="22">
        <f>IF(A1051="","",B1051/AVERAGE(B927:B1051)-1)</f>
        <v/>
      </c>
      <c r="D1051" s="29">
        <f>IF(A1051="","",IFERROR(INDEX('자료_미국심리'!$E$3:$E$4002,MATCH(A1051,$P$19:$P$4018,0)),D1050))</f>
        <v/>
      </c>
      <c r="E1051" s="29">
        <f>IF(A1051="","",IFERROR(INDEX('자료_미국심리'!$H$3:$H$4002,MATCH(A1051,$Q$19:$Q$4018,0)),E1050))</f>
        <v/>
      </c>
      <c r="F1051">
        <f>IF(A1051="",0,IF(A1051&gt;$B$5,1,0))</f>
        <v/>
      </c>
      <c r="G1051" s="29">
        <f>IF(AND(F1051=1,ISNUMBER(D1051)),D1051,"")</f>
        <v/>
      </c>
      <c r="H1051" s="29">
        <f>IF(AND(F1051=1,ISNUMBER(E1051)),E1051,"")</f>
        <v/>
      </c>
      <c r="I1051" s="22">
        <f>IF(AND(F1051=1,ISNUMBER(C1051)),C1051,"")</f>
        <v/>
      </c>
      <c r="J1051" s="11">
        <f>IF(G1051="","",100-IF($G$13=1,50,(_xlfn.RANK.AVG(G1051,$G$19:$G$1518,1)-1)/($G$13-1)*100))</f>
        <v/>
      </c>
      <c r="K1051" s="11">
        <f>IF(H1051="","",100-IF($G$14=1,50,(_xlfn.RANK.AVG(H1051,$H$19:$H$1518,1)-1)/($G$14-1)*100))</f>
        <v/>
      </c>
      <c r="L1051" s="11">
        <f>IF(I1051="","",IF($G$15=1,50,(_xlfn.RANK.AVG(I1051,$I$19:$I$1518,1)-1)/($G$15-1)*100))</f>
        <v/>
      </c>
      <c r="M1051" s="11">
        <f>IF(COUNT(J1051:L1051)=3,ROUND(AVERAGE(J1051:L1051),6),"")</f>
        <v/>
      </c>
      <c r="O1051">
        <f>IF(AND(ISNUMBER('자료_미국심리'!$A1035),ISNUMBER('자료_미국심리'!$B1035)),'자료_미국심리'!$A1035,"")</f>
        <v/>
      </c>
      <c r="P1051">
        <f>IF(AND(ISNUMBER('자료_미국심리'!$D1035),ISNUMBER('자료_미국심리'!$E1035)),'자료_미국심리'!$D1035,"")</f>
        <v/>
      </c>
      <c r="Q1051">
        <f>IF(AND(ISNUMBER('자료_미국심리'!$G1035),ISNUMBER('자료_미국심리'!$H1035)),'자료_미국심리'!$G1035,"")</f>
        <v/>
      </c>
    </row>
    <row r="1052">
      <c r="A1052" s="10">
        <f>IF(1034&gt;$E$5,"",SMALL($O$19:$O$4018,$E$6+1034))</f>
        <v/>
      </c>
      <c r="B1052" s="29">
        <f>IF(A1052="","",INDEX('자료_미국심리'!$B$3:$B$4002,MATCH(A1052,$O$19:$O$4018,0)))</f>
        <v/>
      </c>
      <c r="C1052" s="22">
        <f>IF(A1052="","",B1052/AVERAGE(B928:B1052)-1)</f>
        <v/>
      </c>
      <c r="D1052" s="29">
        <f>IF(A1052="","",IFERROR(INDEX('자료_미국심리'!$E$3:$E$4002,MATCH(A1052,$P$19:$P$4018,0)),D1051))</f>
        <v/>
      </c>
      <c r="E1052" s="29">
        <f>IF(A1052="","",IFERROR(INDEX('자료_미국심리'!$H$3:$H$4002,MATCH(A1052,$Q$19:$Q$4018,0)),E1051))</f>
        <v/>
      </c>
      <c r="F1052">
        <f>IF(A1052="",0,IF(A1052&gt;$B$5,1,0))</f>
        <v/>
      </c>
      <c r="G1052" s="29">
        <f>IF(AND(F1052=1,ISNUMBER(D1052)),D1052,"")</f>
        <v/>
      </c>
      <c r="H1052" s="29">
        <f>IF(AND(F1052=1,ISNUMBER(E1052)),E1052,"")</f>
        <v/>
      </c>
      <c r="I1052" s="22">
        <f>IF(AND(F1052=1,ISNUMBER(C1052)),C1052,"")</f>
        <v/>
      </c>
      <c r="J1052" s="11">
        <f>IF(G1052="","",100-IF($G$13=1,50,(_xlfn.RANK.AVG(G1052,$G$19:$G$1518,1)-1)/($G$13-1)*100))</f>
        <v/>
      </c>
      <c r="K1052" s="11">
        <f>IF(H1052="","",100-IF($G$14=1,50,(_xlfn.RANK.AVG(H1052,$H$19:$H$1518,1)-1)/($G$14-1)*100))</f>
        <v/>
      </c>
      <c r="L1052" s="11">
        <f>IF(I1052="","",IF($G$15=1,50,(_xlfn.RANK.AVG(I1052,$I$19:$I$1518,1)-1)/($G$15-1)*100))</f>
        <v/>
      </c>
      <c r="M1052" s="11">
        <f>IF(COUNT(J1052:L1052)=3,ROUND(AVERAGE(J1052:L1052),6),"")</f>
        <v/>
      </c>
      <c r="O1052">
        <f>IF(AND(ISNUMBER('자료_미국심리'!$A1036),ISNUMBER('자료_미국심리'!$B1036)),'자료_미국심리'!$A1036,"")</f>
        <v/>
      </c>
      <c r="P1052">
        <f>IF(AND(ISNUMBER('자료_미국심리'!$D1036),ISNUMBER('자료_미국심리'!$E1036)),'자료_미국심리'!$D1036,"")</f>
        <v/>
      </c>
      <c r="Q1052">
        <f>IF(AND(ISNUMBER('자료_미국심리'!$G1036),ISNUMBER('자료_미국심리'!$H1036)),'자료_미국심리'!$G1036,"")</f>
        <v/>
      </c>
    </row>
    <row r="1053">
      <c r="A1053" s="10">
        <f>IF(1035&gt;$E$5,"",SMALL($O$19:$O$4018,$E$6+1035))</f>
        <v/>
      </c>
      <c r="B1053" s="29">
        <f>IF(A1053="","",INDEX('자료_미국심리'!$B$3:$B$4002,MATCH(A1053,$O$19:$O$4018,0)))</f>
        <v/>
      </c>
      <c r="C1053" s="22">
        <f>IF(A1053="","",B1053/AVERAGE(B929:B1053)-1)</f>
        <v/>
      </c>
      <c r="D1053" s="29">
        <f>IF(A1053="","",IFERROR(INDEX('자료_미국심리'!$E$3:$E$4002,MATCH(A1053,$P$19:$P$4018,0)),D1052))</f>
        <v/>
      </c>
      <c r="E1053" s="29">
        <f>IF(A1053="","",IFERROR(INDEX('자료_미국심리'!$H$3:$H$4002,MATCH(A1053,$Q$19:$Q$4018,0)),E1052))</f>
        <v/>
      </c>
      <c r="F1053">
        <f>IF(A1053="",0,IF(A1053&gt;$B$5,1,0))</f>
        <v/>
      </c>
      <c r="G1053" s="29">
        <f>IF(AND(F1053=1,ISNUMBER(D1053)),D1053,"")</f>
        <v/>
      </c>
      <c r="H1053" s="29">
        <f>IF(AND(F1053=1,ISNUMBER(E1053)),E1053,"")</f>
        <v/>
      </c>
      <c r="I1053" s="22">
        <f>IF(AND(F1053=1,ISNUMBER(C1053)),C1053,"")</f>
        <v/>
      </c>
      <c r="J1053" s="11">
        <f>IF(G1053="","",100-IF($G$13=1,50,(_xlfn.RANK.AVG(G1053,$G$19:$G$1518,1)-1)/($G$13-1)*100))</f>
        <v/>
      </c>
      <c r="K1053" s="11">
        <f>IF(H1053="","",100-IF($G$14=1,50,(_xlfn.RANK.AVG(H1053,$H$19:$H$1518,1)-1)/($G$14-1)*100))</f>
        <v/>
      </c>
      <c r="L1053" s="11">
        <f>IF(I1053="","",IF($G$15=1,50,(_xlfn.RANK.AVG(I1053,$I$19:$I$1518,1)-1)/($G$15-1)*100))</f>
        <v/>
      </c>
      <c r="M1053" s="11">
        <f>IF(COUNT(J1053:L1053)=3,ROUND(AVERAGE(J1053:L1053),6),"")</f>
        <v/>
      </c>
      <c r="O1053">
        <f>IF(AND(ISNUMBER('자료_미국심리'!$A1037),ISNUMBER('자료_미국심리'!$B1037)),'자료_미국심리'!$A1037,"")</f>
        <v/>
      </c>
      <c r="P1053">
        <f>IF(AND(ISNUMBER('자료_미국심리'!$D1037),ISNUMBER('자료_미국심리'!$E1037)),'자료_미국심리'!$D1037,"")</f>
        <v/>
      </c>
      <c r="Q1053">
        <f>IF(AND(ISNUMBER('자료_미국심리'!$G1037),ISNUMBER('자료_미국심리'!$H1037)),'자료_미국심리'!$G1037,"")</f>
        <v/>
      </c>
    </row>
    <row r="1054">
      <c r="A1054" s="10">
        <f>IF(1036&gt;$E$5,"",SMALL($O$19:$O$4018,$E$6+1036))</f>
        <v/>
      </c>
      <c r="B1054" s="29">
        <f>IF(A1054="","",INDEX('자료_미국심리'!$B$3:$B$4002,MATCH(A1054,$O$19:$O$4018,0)))</f>
        <v/>
      </c>
      <c r="C1054" s="22">
        <f>IF(A1054="","",B1054/AVERAGE(B930:B1054)-1)</f>
        <v/>
      </c>
      <c r="D1054" s="29">
        <f>IF(A1054="","",IFERROR(INDEX('자료_미국심리'!$E$3:$E$4002,MATCH(A1054,$P$19:$P$4018,0)),D1053))</f>
        <v/>
      </c>
      <c r="E1054" s="29">
        <f>IF(A1054="","",IFERROR(INDEX('자료_미국심리'!$H$3:$H$4002,MATCH(A1054,$Q$19:$Q$4018,0)),E1053))</f>
        <v/>
      </c>
      <c r="F1054">
        <f>IF(A1054="",0,IF(A1054&gt;$B$5,1,0))</f>
        <v/>
      </c>
      <c r="G1054" s="29">
        <f>IF(AND(F1054=1,ISNUMBER(D1054)),D1054,"")</f>
        <v/>
      </c>
      <c r="H1054" s="29">
        <f>IF(AND(F1054=1,ISNUMBER(E1054)),E1054,"")</f>
        <v/>
      </c>
      <c r="I1054" s="22">
        <f>IF(AND(F1054=1,ISNUMBER(C1054)),C1054,"")</f>
        <v/>
      </c>
      <c r="J1054" s="11">
        <f>IF(G1054="","",100-IF($G$13=1,50,(_xlfn.RANK.AVG(G1054,$G$19:$G$1518,1)-1)/($G$13-1)*100))</f>
        <v/>
      </c>
      <c r="K1054" s="11">
        <f>IF(H1054="","",100-IF($G$14=1,50,(_xlfn.RANK.AVG(H1054,$H$19:$H$1518,1)-1)/($G$14-1)*100))</f>
        <v/>
      </c>
      <c r="L1054" s="11">
        <f>IF(I1054="","",IF($G$15=1,50,(_xlfn.RANK.AVG(I1054,$I$19:$I$1518,1)-1)/($G$15-1)*100))</f>
        <v/>
      </c>
      <c r="M1054" s="11">
        <f>IF(COUNT(J1054:L1054)=3,ROUND(AVERAGE(J1054:L1054),6),"")</f>
        <v/>
      </c>
      <c r="O1054">
        <f>IF(AND(ISNUMBER('자료_미국심리'!$A1038),ISNUMBER('자료_미국심리'!$B1038)),'자료_미국심리'!$A1038,"")</f>
        <v/>
      </c>
      <c r="P1054">
        <f>IF(AND(ISNUMBER('자료_미국심리'!$D1038),ISNUMBER('자료_미국심리'!$E1038)),'자료_미국심리'!$D1038,"")</f>
        <v/>
      </c>
      <c r="Q1054">
        <f>IF(AND(ISNUMBER('자료_미국심리'!$G1038),ISNUMBER('자료_미국심리'!$H1038)),'자료_미국심리'!$G1038,"")</f>
        <v/>
      </c>
    </row>
    <row r="1055">
      <c r="A1055" s="10">
        <f>IF(1037&gt;$E$5,"",SMALL($O$19:$O$4018,$E$6+1037))</f>
        <v/>
      </c>
      <c r="B1055" s="29">
        <f>IF(A1055="","",INDEX('자료_미국심리'!$B$3:$B$4002,MATCH(A1055,$O$19:$O$4018,0)))</f>
        <v/>
      </c>
      <c r="C1055" s="22">
        <f>IF(A1055="","",B1055/AVERAGE(B931:B1055)-1)</f>
        <v/>
      </c>
      <c r="D1055" s="29">
        <f>IF(A1055="","",IFERROR(INDEX('자료_미국심리'!$E$3:$E$4002,MATCH(A1055,$P$19:$P$4018,0)),D1054))</f>
        <v/>
      </c>
      <c r="E1055" s="29">
        <f>IF(A1055="","",IFERROR(INDEX('자료_미국심리'!$H$3:$H$4002,MATCH(A1055,$Q$19:$Q$4018,0)),E1054))</f>
        <v/>
      </c>
      <c r="F1055">
        <f>IF(A1055="",0,IF(A1055&gt;$B$5,1,0))</f>
        <v/>
      </c>
      <c r="G1055" s="29">
        <f>IF(AND(F1055=1,ISNUMBER(D1055)),D1055,"")</f>
        <v/>
      </c>
      <c r="H1055" s="29">
        <f>IF(AND(F1055=1,ISNUMBER(E1055)),E1055,"")</f>
        <v/>
      </c>
      <c r="I1055" s="22">
        <f>IF(AND(F1055=1,ISNUMBER(C1055)),C1055,"")</f>
        <v/>
      </c>
      <c r="J1055" s="11">
        <f>IF(G1055="","",100-IF($G$13=1,50,(_xlfn.RANK.AVG(G1055,$G$19:$G$1518,1)-1)/($G$13-1)*100))</f>
        <v/>
      </c>
      <c r="K1055" s="11">
        <f>IF(H1055="","",100-IF($G$14=1,50,(_xlfn.RANK.AVG(H1055,$H$19:$H$1518,1)-1)/($G$14-1)*100))</f>
        <v/>
      </c>
      <c r="L1055" s="11">
        <f>IF(I1055="","",IF($G$15=1,50,(_xlfn.RANK.AVG(I1055,$I$19:$I$1518,1)-1)/($G$15-1)*100))</f>
        <v/>
      </c>
      <c r="M1055" s="11">
        <f>IF(COUNT(J1055:L1055)=3,ROUND(AVERAGE(J1055:L1055),6),"")</f>
        <v/>
      </c>
      <c r="O1055">
        <f>IF(AND(ISNUMBER('자료_미국심리'!$A1039),ISNUMBER('자료_미국심리'!$B1039)),'자료_미국심리'!$A1039,"")</f>
        <v/>
      </c>
      <c r="P1055">
        <f>IF(AND(ISNUMBER('자료_미국심리'!$D1039),ISNUMBER('자료_미국심리'!$E1039)),'자료_미국심리'!$D1039,"")</f>
        <v/>
      </c>
      <c r="Q1055">
        <f>IF(AND(ISNUMBER('자료_미국심리'!$G1039),ISNUMBER('자료_미국심리'!$H1039)),'자료_미국심리'!$G1039,"")</f>
        <v/>
      </c>
    </row>
    <row r="1056">
      <c r="A1056" s="10">
        <f>IF(1038&gt;$E$5,"",SMALL($O$19:$O$4018,$E$6+1038))</f>
        <v/>
      </c>
      <c r="B1056" s="29">
        <f>IF(A1056="","",INDEX('자료_미국심리'!$B$3:$B$4002,MATCH(A1056,$O$19:$O$4018,0)))</f>
        <v/>
      </c>
      <c r="C1056" s="22">
        <f>IF(A1056="","",B1056/AVERAGE(B932:B1056)-1)</f>
        <v/>
      </c>
      <c r="D1056" s="29">
        <f>IF(A1056="","",IFERROR(INDEX('자료_미국심리'!$E$3:$E$4002,MATCH(A1056,$P$19:$P$4018,0)),D1055))</f>
        <v/>
      </c>
      <c r="E1056" s="29">
        <f>IF(A1056="","",IFERROR(INDEX('자료_미국심리'!$H$3:$H$4002,MATCH(A1056,$Q$19:$Q$4018,0)),E1055))</f>
        <v/>
      </c>
      <c r="F1056">
        <f>IF(A1056="",0,IF(A1056&gt;$B$5,1,0))</f>
        <v/>
      </c>
      <c r="G1056" s="29">
        <f>IF(AND(F1056=1,ISNUMBER(D1056)),D1056,"")</f>
        <v/>
      </c>
      <c r="H1056" s="29">
        <f>IF(AND(F1056=1,ISNUMBER(E1056)),E1056,"")</f>
        <v/>
      </c>
      <c r="I1056" s="22">
        <f>IF(AND(F1056=1,ISNUMBER(C1056)),C1056,"")</f>
        <v/>
      </c>
      <c r="J1056" s="11">
        <f>IF(G1056="","",100-IF($G$13=1,50,(_xlfn.RANK.AVG(G1056,$G$19:$G$1518,1)-1)/($G$13-1)*100))</f>
        <v/>
      </c>
      <c r="K1056" s="11">
        <f>IF(H1056="","",100-IF($G$14=1,50,(_xlfn.RANK.AVG(H1056,$H$19:$H$1518,1)-1)/($G$14-1)*100))</f>
        <v/>
      </c>
      <c r="L1056" s="11">
        <f>IF(I1056="","",IF($G$15=1,50,(_xlfn.RANK.AVG(I1056,$I$19:$I$1518,1)-1)/($G$15-1)*100))</f>
        <v/>
      </c>
      <c r="M1056" s="11">
        <f>IF(COUNT(J1056:L1056)=3,ROUND(AVERAGE(J1056:L1056),6),"")</f>
        <v/>
      </c>
      <c r="O1056">
        <f>IF(AND(ISNUMBER('자료_미국심리'!$A1040),ISNUMBER('자료_미국심리'!$B1040)),'자료_미국심리'!$A1040,"")</f>
        <v/>
      </c>
      <c r="P1056">
        <f>IF(AND(ISNUMBER('자료_미국심리'!$D1040),ISNUMBER('자료_미국심리'!$E1040)),'자료_미국심리'!$D1040,"")</f>
        <v/>
      </c>
      <c r="Q1056">
        <f>IF(AND(ISNUMBER('자료_미국심리'!$G1040),ISNUMBER('자료_미국심리'!$H1040)),'자료_미국심리'!$G1040,"")</f>
        <v/>
      </c>
    </row>
    <row r="1057">
      <c r="A1057" s="10">
        <f>IF(1039&gt;$E$5,"",SMALL($O$19:$O$4018,$E$6+1039))</f>
        <v/>
      </c>
      <c r="B1057" s="29">
        <f>IF(A1057="","",INDEX('자료_미국심리'!$B$3:$B$4002,MATCH(A1057,$O$19:$O$4018,0)))</f>
        <v/>
      </c>
      <c r="C1057" s="22">
        <f>IF(A1057="","",B1057/AVERAGE(B933:B1057)-1)</f>
        <v/>
      </c>
      <c r="D1057" s="29">
        <f>IF(A1057="","",IFERROR(INDEX('자료_미국심리'!$E$3:$E$4002,MATCH(A1057,$P$19:$P$4018,0)),D1056))</f>
        <v/>
      </c>
      <c r="E1057" s="29">
        <f>IF(A1057="","",IFERROR(INDEX('자료_미국심리'!$H$3:$H$4002,MATCH(A1057,$Q$19:$Q$4018,0)),E1056))</f>
        <v/>
      </c>
      <c r="F1057">
        <f>IF(A1057="",0,IF(A1057&gt;$B$5,1,0))</f>
        <v/>
      </c>
      <c r="G1057" s="29">
        <f>IF(AND(F1057=1,ISNUMBER(D1057)),D1057,"")</f>
        <v/>
      </c>
      <c r="H1057" s="29">
        <f>IF(AND(F1057=1,ISNUMBER(E1057)),E1057,"")</f>
        <v/>
      </c>
      <c r="I1057" s="22">
        <f>IF(AND(F1057=1,ISNUMBER(C1057)),C1057,"")</f>
        <v/>
      </c>
      <c r="J1057" s="11">
        <f>IF(G1057="","",100-IF($G$13=1,50,(_xlfn.RANK.AVG(G1057,$G$19:$G$1518,1)-1)/($G$13-1)*100))</f>
        <v/>
      </c>
      <c r="K1057" s="11">
        <f>IF(H1057="","",100-IF($G$14=1,50,(_xlfn.RANK.AVG(H1057,$H$19:$H$1518,1)-1)/($G$14-1)*100))</f>
        <v/>
      </c>
      <c r="L1057" s="11">
        <f>IF(I1057="","",IF($G$15=1,50,(_xlfn.RANK.AVG(I1057,$I$19:$I$1518,1)-1)/($G$15-1)*100))</f>
        <v/>
      </c>
      <c r="M1057" s="11">
        <f>IF(COUNT(J1057:L1057)=3,ROUND(AVERAGE(J1057:L1057),6),"")</f>
        <v/>
      </c>
      <c r="O1057">
        <f>IF(AND(ISNUMBER('자료_미국심리'!$A1041),ISNUMBER('자료_미국심리'!$B1041)),'자료_미국심리'!$A1041,"")</f>
        <v/>
      </c>
      <c r="P1057">
        <f>IF(AND(ISNUMBER('자료_미국심리'!$D1041),ISNUMBER('자료_미국심리'!$E1041)),'자료_미국심리'!$D1041,"")</f>
        <v/>
      </c>
      <c r="Q1057">
        <f>IF(AND(ISNUMBER('자료_미국심리'!$G1041),ISNUMBER('자료_미국심리'!$H1041)),'자료_미국심리'!$G1041,"")</f>
        <v/>
      </c>
    </row>
    <row r="1058">
      <c r="A1058" s="10">
        <f>IF(1040&gt;$E$5,"",SMALL($O$19:$O$4018,$E$6+1040))</f>
        <v/>
      </c>
      <c r="B1058" s="29">
        <f>IF(A1058="","",INDEX('자료_미국심리'!$B$3:$B$4002,MATCH(A1058,$O$19:$O$4018,0)))</f>
        <v/>
      </c>
      <c r="C1058" s="22">
        <f>IF(A1058="","",B1058/AVERAGE(B934:B1058)-1)</f>
        <v/>
      </c>
      <c r="D1058" s="29">
        <f>IF(A1058="","",IFERROR(INDEX('자료_미국심리'!$E$3:$E$4002,MATCH(A1058,$P$19:$P$4018,0)),D1057))</f>
        <v/>
      </c>
      <c r="E1058" s="29">
        <f>IF(A1058="","",IFERROR(INDEX('자료_미국심리'!$H$3:$H$4002,MATCH(A1058,$Q$19:$Q$4018,0)),E1057))</f>
        <v/>
      </c>
      <c r="F1058">
        <f>IF(A1058="",0,IF(A1058&gt;$B$5,1,0))</f>
        <v/>
      </c>
      <c r="G1058" s="29">
        <f>IF(AND(F1058=1,ISNUMBER(D1058)),D1058,"")</f>
        <v/>
      </c>
      <c r="H1058" s="29">
        <f>IF(AND(F1058=1,ISNUMBER(E1058)),E1058,"")</f>
        <v/>
      </c>
      <c r="I1058" s="22">
        <f>IF(AND(F1058=1,ISNUMBER(C1058)),C1058,"")</f>
        <v/>
      </c>
      <c r="J1058" s="11">
        <f>IF(G1058="","",100-IF($G$13=1,50,(_xlfn.RANK.AVG(G1058,$G$19:$G$1518,1)-1)/($G$13-1)*100))</f>
        <v/>
      </c>
      <c r="K1058" s="11">
        <f>IF(H1058="","",100-IF($G$14=1,50,(_xlfn.RANK.AVG(H1058,$H$19:$H$1518,1)-1)/($G$14-1)*100))</f>
        <v/>
      </c>
      <c r="L1058" s="11">
        <f>IF(I1058="","",IF($G$15=1,50,(_xlfn.RANK.AVG(I1058,$I$19:$I$1518,1)-1)/($G$15-1)*100))</f>
        <v/>
      </c>
      <c r="M1058" s="11">
        <f>IF(COUNT(J1058:L1058)=3,ROUND(AVERAGE(J1058:L1058),6),"")</f>
        <v/>
      </c>
      <c r="O1058">
        <f>IF(AND(ISNUMBER('자료_미국심리'!$A1042),ISNUMBER('자료_미국심리'!$B1042)),'자료_미국심리'!$A1042,"")</f>
        <v/>
      </c>
      <c r="P1058">
        <f>IF(AND(ISNUMBER('자료_미국심리'!$D1042),ISNUMBER('자료_미국심리'!$E1042)),'자료_미국심리'!$D1042,"")</f>
        <v/>
      </c>
      <c r="Q1058">
        <f>IF(AND(ISNUMBER('자료_미국심리'!$G1042),ISNUMBER('자료_미국심리'!$H1042)),'자료_미국심리'!$G1042,"")</f>
        <v/>
      </c>
    </row>
    <row r="1059">
      <c r="A1059" s="10">
        <f>IF(1041&gt;$E$5,"",SMALL($O$19:$O$4018,$E$6+1041))</f>
        <v/>
      </c>
      <c r="B1059" s="29">
        <f>IF(A1059="","",INDEX('자료_미국심리'!$B$3:$B$4002,MATCH(A1059,$O$19:$O$4018,0)))</f>
        <v/>
      </c>
      <c r="C1059" s="22">
        <f>IF(A1059="","",B1059/AVERAGE(B935:B1059)-1)</f>
        <v/>
      </c>
      <c r="D1059" s="29">
        <f>IF(A1059="","",IFERROR(INDEX('자료_미국심리'!$E$3:$E$4002,MATCH(A1059,$P$19:$P$4018,0)),D1058))</f>
        <v/>
      </c>
      <c r="E1059" s="29">
        <f>IF(A1059="","",IFERROR(INDEX('자료_미국심리'!$H$3:$H$4002,MATCH(A1059,$Q$19:$Q$4018,0)),E1058))</f>
        <v/>
      </c>
      <c r="F1059">
        <f>IF(A1059="",0,IF(A1059&gt;$B$5,1,0))</f>
        <v/>
      </c>
      <c r="G1059" s="29">
        <f>IF(AND(F1059=1,ISNUMBER(D1059)),D1059,"")</f>
        <v/>
      </c>
      <c r="H1059" s="29">
        <f>IF(AND(F1059=1,ISNUMBER(E1059)),E1059,"")</f>
        <v/>
      </c>
      <c r="I1059" s="22">
        <f>IF(AND(F1059=1,ISNUMBER(C1059)),C1059,"")</f>
        <v/>
      </c>
      <c r="J1059" s="11">
        <f>IF(G1059="","",100-IF($G$13=1,50,(_xlfn.RANK.AVG(G1059,$G$19:$G$1518,1)-1)/($G$13-1)*100))</f>
        <v/>
      </c>
      <c r="K1059" s="11">
        <f>IF(H1059="","",100-IF($G$14=1,50,(_xlfn.RANK.AVG(H1059,$H$19:$H$1518,1)-1)/($G$14-1)*100))</f>
        <v/>
      </c>
      <c r="L1059" s="11">
        <f>IF(I1059="","",IF($G$15=1,50,(_xlfn.RANK.AVG(I1059,$I$19:$I$1518,1)-1)/($G$15-1)*100))</f>
        <v/>
      </c>
      <c r="M1059" s="11">
        <f>IF(COUNT(J1059:L1059)=3,ROUND(AVERAGE(J1059:L1059),6),"")</f>
        <v/>
      </c>
      <c r="O1059">
        <f>IF(AND(ISNUMBER('자료_미국심리'!$A1043),ISNUMBER('자료_미국심리'!$B1043)),'자료_미국심리'!$A1043,"")</f>
        <v/>
      </c>
      <c r="P1059">
        <f>IF(AND(ISNUMBER('자료_미국심리'!$D1043),ISNUMBER('자료_미국심리'!$E1043)),'자료_미국심리'!$D1043,"")</f>
        <v/>
      </c>
      <c r="Q1059">
        <f>IF(AND(ISNUMBER('자료_미국심리'!$G1043),ISNUMBER('자료_미국심리'!$H1043)),'자료_미국심리'!$G1043,"")</f>
        <v/>
      </c>
    </row>
    <row r="1060">
      <c r="A1060" s="10">
        <f>IF(1042&gt;$E$5,"",SMALL($O$19:$O$4018,$E$6+1042))</f>
        <v/>
      </c>
      <c r="B1060" s="29">
        <f>IF(A1060="","",INDEX('자료_미국심리'!$B$3:$B$4002,MATCH(A1060,$O$19:$O$4018,0)))</f>
        <v/>
      </c>
      <c r="C1060" s="22">
        <f>IF(A1060="","",B1060/AVERAGE(B936:B1060)-1)</f>
        <v/>
      </c>
      <c r="D1060" s="29">
        <f>IF(A1060="","",IFERROR(INDEX('자료_미국심리'!$E$3:$E$4002,MATCH(A1060,$P$19:$P$4018,0)),D1059))</f>
        <v/>
      </c>
      <c r="E1060" s="29">
        <f>IF(A1060="","",IFERROR(INDEX('자료_미국심리'!$H$3:$H$4002,MATCH(A1060,$Q$19:$Q$4018,0)),E1059))</f>
        <v/>
      </c>
      <c r="F1060">
        <f>IF(A1060="",0,IF(A1060&gt;$B$5,1,0))</f>
        <v/>
      </c>
      <c r="G1060" s="29">
        <f>IF(AND(F1060=1,ISNUMBER(D1060)),D1060,"")</f>
        <v/>
      </c>
      <c r="H1060" s="29">
        <f>IF(AND(F1060=1,ISNUMBER(E1060)),E1060,"")</f>
        <v/>
      </c>
      <c r="I1060" s="22">
        <f>IF(AND(F1060=1,ISNUMBER(C1060)),C1060,"")</f>
        <v/>
      </c>
      <c r="J1060" s="11">
        <f>IF(G1060="","",100-IF($G$13=1,50,(_xlfn.RANK.AVG(G1060,$G$19:$G$1518,1)-1)/($G$13-1)*100))</f>
        <v/>
      </c>
      <c r="K1060" s="11">
        <f>IF(H1060="","",100-IF($G$14=1,50,(_xlfn.RANK.AVG(H1060,$H$19:$H$1518,1)-1)/($G$14-1)*100))</f>
        <v/>
      </c>
      <c r="L1060" s="11">
        <f>IF(I1060="","",IF($G$15=1,50,(_xlfn.RANK.AVG(I1060,$I$19:$I$1518,1)-1)/($G$15-1)*100))</f>
        <v/>
      </c>
      <c r="M1060" s="11">
        <f>IF(COUNT(J1060:L1060)=3,ROUND(AVERAGE(J1060:L1060),6),"")</f>
        <v/>
      </c>
      <c r="O1060">
        <f>IF(AND(ISNUMBER('자료_미국심리'!$A1044),ISNUMBER('자료_미국심리'!$B1044)),'자료_미국심리'!$A1044,"")</f>
        <v/>
      </c>
      <c r="P1060">
        <f>IF(AND(ISNUMBER('자료_미국심리'!$D1044),ISNUMBER('자료_미국심리'!$E1044)),'자료_미국심리'!$D1044,"")</f>
        <v/>
      </c>
      <c r="Q1060">
        <f>IF(AND(ISNUMBER('자료_미국심리'!$G1044),ISNUMBER('자료_미국심리'!$H1044)),'자료_미국심리'!$G1044,"")</f>
        <v/>
      </c>
    </row>
    <row r="1061">
      <c r="A1061" s="10">
        <f>IF(1043&gt;$E$5,"",SMALL($O$19:$O$4018,$E$6+1043))</f>
        <v/>
      </c>
      <c r="B1061" s="29">
        <f>IF(A1061="","",INDEX('자료_미국심리'!$B$3:$B$4002,MATCH(A1061,$O$19:$O$4018,0)))</f>
        <v/>
      </c>
      <c r="C1061" s="22">
        <f>IF(A1061="","",B1061/AVERAGE(B937:B1061)-1)</f>
        <v/>
      </c>
      <c r="D1061" s="29">
        <f>IF(A1061="","",IFERROR(INDEX('자료_미국심리'!$E$3:$E$4002,MATCH(A1061,$P$19:$P$4018,0)),D1060))</f>
        <v/>
      </c>
      <c r="E1061" s="29">
        <f>IF(A1061="","",IFERROR(INDEX('자료_미국심리'!$H$3:$H$4002,MATCH(A1061,$Q$19:$Q$4018,0)),E1060))</f>
        <v/>
      </c>
      <c r="F1061">
        <f>IF(A1061="",0,IF(A1061&gt;$B$5,1,0))</f>
        <v/>
      </c>
      <c r="G1061" s="29">
        <f>IF(AND(F1061=1,ISNUMBER(D1061)),D1061,"")</f>
        <v/>
      </c>
      <c r="H1061" s="29">
        <f>IF(AND(F1061=1,ISNUMBER(E1061)),E1061,"")</f>
        <v/>
      </c>
      <c r="I1061" s="22">
        <f>IF(AND(F1061=1,ISNUMBER(C1061)),C1061,"")</f>
        <v/>
      </c>
      <c r="J1061" s="11">
        <f>IF(G1061="","",100-IF($G$13=1,50,(_xlfn.RANK.AVG(G1061,$G$19:$G$1518,1)-1)/($G$13-1)*100))</f>
        <v/>
      </c>
      <c r="K1061" s="11">
        <f>IF(H1061="","",100-IF($G$14=1,50,(_xlfn.RANK.AVG(H1061,$H$19:$H$1518,1)-1)/($G$14-1)*100))</f>
        <v/>
      </c>
      <c r="L1061" s="11">
        <f>IF(I1061="","",IF($G$15=1,50,(_xlfn.RANK.AVG(I1061,$I$19:$I$1518,1)-1)/($G$15-1)*100))</f>
        <v/>
      </c>
      <c r="M1061" s="11">
        <f>IF(COUNT(J1061:L1061)=3,ROUND(AVERAGE(J1061:L1061),6),"")</f>
        <v/>
      </c>
      <c r="O1061">
        <f>IF(AND(ISNUMBER('자료_미국심리'!$A1045),ISNUMBER('자료_미국심리'!$B1045)),'자료_미국심리'!$A1045,"")</f>
        <v/>
      </c>
      <c r="P1061">
        <f>IF(AND(ISNUMBER('자료_미국심리'!$D1045),ISNUMBER('자료_미국심리'!$E1045)),'자료_미국심리'!$D1045,"")</f>
        <v/>
      </c>
      <c r="Q1061">
        <f>IF(AND(ISNUMBER('자료_미국심리'!$G1045),ISNUMBER('자료_미국심리'!$H1045)),'자료_미국심리'!$G1045,"")</f>
        <v/>
      </c>
    </row>
    <row r="1062">
      <c r="A1062" s="10">
        <f>IF(1044&gt;$E$5,"",SMALL($O$19:$O$4018,$E$6+1044))</f>
        <v/>
      </c>
      <c r="B1062" s="29">
        <f>IF(A1062="","",INDEX('자료_미국심리'!$B$3:$B$4002,MATCH(A1062,$O$19:$O$4018,0)))</f>
        <v/>
      </c>
      <c r="C1062" s="22">
        <f>IF(A1062="","",B1062/AVERAGE(B938:B1062)-1)</f>
        <v/>
      </c>
      <c r="D1062" s="29">
        <f>IF(A1062="","",IFERROR(INDEX('자료_미국심리'!$E$3:$E$4002,MATCH(A1062,$P$19:$P$4018,0)),D1061))</f>
        <v/>
      </c>
      <c r="E1062" s="29">
        <f>IF(A1062="","",IFERROR(INDEX('자료_미국심리'!$H$3:$H$4002,MATCH(A1062,$Q$19:$Q$4018,0)),E1061))</f>
        <v/>
      </c>
      <c r="F1062">
        <f>IF(A1062="",0,IF(A1062&gt;$B$5,1,0))</f>
        <v/>
      </c>
      <c r="G1062" s="29">
        <f>IF(AND(F1062=1,ISNUMBER(D1062)),D1062,"")</f>
        <v/>
      </c>
      <c r="H1062" s="29">
        <f>IF(AND(F1062=1,ISNUMBER(E1062)),E1062,"")</f>
        <v/>
      </c>
      <c r="I1062" s="22">
        <f>IF(AND(F1062=1,ISNUMBER(C1062)),C1062,"")</f>
        <v/>
      </c>
      <c r="J1062" s="11">
        <f>IF(G1062="","",100-IF($G$13=1,50,(_xlfn.RANK.AVG(G1062,$G$19:$G$1518,1)-1)/($G$13-1)*100))</f>
        <v/>
      </c>
      <c r="K1062" s="11">
        <f>IF(H1062="","",100-IF($G$14=1,50,(_xlfn.RANK.AVG(H1062,$H$19:$H$1518,1)-1)/($G$14-1)*100))</f>
        <v/>
      </c>
      <c r="L1062" s="11">
        <f>IF(I1062="","",IF($G$15=1,50,(_xlfn.RANK.AVG(I1062,$I$19:$I$1518,1)-1)/($G$15-1)*100))</f>
        <v/>
      </c>
      <c r="M1062" s="11">
        <f>IF(COUNT(J1062:L1062)=3,ROUND(AVERAGE(J1062:L1062),6),"")</f>
        <v/>
      </c>
      <c r="O1062">
        <f>IF(AND(ISNUMBER('자료_미국심리'!$A1046),ISNUMBER('자료_미국심리'!$B1046)),'자료_미국심리'!$A1046,"")</f>
        <v/>
      </c>
      <c r="P1062">
        <f>IF(AND(ISNUMBER('자료_미국심리'!$D1046),ISNUMBER('자료_미국심리'!$E1046)),'자료_미국심리'!$D1046,"")</f>
        <v/>
      </c>
      <c r="Q1062">
        <f>IF(AND(ISNUMBER('자료_미국심리'!$G1046),ISNUMBER('자료_미국심리'!$H1046)),'자료_미국심리'!$G1046,"")</f>
        <v/>
      </c>
    </row>
    <row r="1063">
      <c r="A1063" s="10">
        <f>IF(1045&gt;$E$5,"",SMALL($O$19:$O$4018,$E$6+1045))</f>
        <v/>
      </c>
      <c r="B1063" s="29">
        <f>IF(A1063="","",INDEX('자료_미국심리'!$B$3:$B$4002,MATCH(A1063,$O$19:$O$4018,0)))</f>
        <v/>
      </c>
      <c r="C1063" s="22">
        <f>IF(A1063="","",B1063/AVERAGE(B939:B1063)-1)</f>
        <v/>
      </c>
      <c r="D1063" s="29">
        <f>IF(A1063="","",IFERROR(INDEX('자료_미국심리'!$E$3:$E$4002,MATCH(A1063,$P$19:$P$4018,0)),D1062))</f>
        <v/>
      </c>
      <c r="E1063" s="29">
        <f>IF(A1063="","",IFERROR(INDEX('자료_미국심리'!$H$3:$H$4002,MATCH(A1063,$Q$19:$Q$4018,0)),E1062))</f>
        <v/>
      </c>
      <c r="F1063">
        <f>IF(A1063="",0,IF(A1063&gt;$B$5,1,0))</f>
        <v/>
      </c>
      <c r="G1063" s="29">
        <f>IF(AND(F1063=1,ISNUMBER(D1063)),D1063,"")</f>
        <v/>
      </c>
      <c r="H1063" s="29">
        <f>IF(AND(F1063=1,ISNUMBER(E1063)),E1063,"")</f>
        <v/>
      </c>
      <c r="I1063" s="22">
        <f>IF(AND(F1063=1,ISNUMBER(C1063)),C1063,"")</f>
        <v/>
      </c>
      <c r="J1063" s="11">
        <f>IF(G1063="","",100-IF($G$13=1,50,(_xlfn.RANK.AVG(G1063,$G$19:$G$1518,1)-1)/($G$13-1)*100))</f>
        <v/>
      </c>
      <c r="K1063" s="11">
        <f>IF(H1063="","",100-IF($G$14=1,50,(_xlfn.RANK.AVG(H1063,$H$19:$H$1518,1)-1)/($G$14-1)*100))</f>
        <v/>
      </c>
      <c r="L1063" s="11">
        <f>IF(I1063="","",IF($G$15=1,50,(_xlfn.RANK.AVG(I1063,$I$19:$I$1518,1)-1)/($G$15-1)*100))</f>
        <v/>
      </c>
      <c r="M1063" s="11">
        <f>IF(COUNT(J1063:L1063)=3,ROUND(AVERAGE(J1063:L1063),6),"")</f>
        <v/>
      </c>
      <c r="O1063">
        <f>IF(AND(ISNUMBER('자료_미국심리'!$A1047),ISNUMBER('자료_미국심리'!$B1047)),'자료_미국심리'!$A1047,"")</f>
        <v/>
      </c>
      <c r="P1063">
        <f>IF(AND(ISNUMBER('자료_미국심리'!$D1047),ISNUMBER('자료_미국심리'!$E1047)),'자료_미국심리'!$D1047,"")</f>
        <v/>
      </c>
      <c r="Q1063">
        <f>IF(AND(ISNUMBER('자료_미국심리'!$G1047),ISNUMBER('자료_미국심리'!$H1047)),'자료_미국심리'!$G1047,"")</f>
        <v/>
      </c>
    </row>
    <row r="1064">
      <c r="A1064" s="10">
        <f>IF(1046&gt;$E$5,"",SMALL($O$19:$O$4018,$E$6+1046))</f>
        <v/>
      </c>
      <c r="B1064" s="29">
        <f>IF(A1064="","",INDEX('자료_미국심리'!$B$3:$B$4002,MATCH(A1064,$O$19:$O$4018,0)))</f>
        <v/>
      </c>
      <c r="C1064" s="22">
        <f>IF(A1064="","",B1064/AVERAGE(B940:B1064)-1)</f>
        <v/>
      </c>
      <c r="D1064" s="29">
        <f>IF(A1064="","",IFERROR(INDEX('자료_미국심리'!$E$3:$E$4002,MATCH(A1064,$P$19:$P$4018,0)),D1063))</f>
        <v/>
      </c>
      <c r="E1064" s="29">
        <f>IF(A1064="","",IFERROR(INDEX('자료_미국심리'!$H$3:$H$4002,MATCH(A1064,$Q$19:$Q$4018,0)),E1063))</f>
        <v/>
      </c>
      <c r="F1064">
        <f>IF(A1064="",0,IF(A1064&gt;$B$5,1,0))</f>
        <v/>
      </c>
      <c r="G1064" s="29">
        <f>IF(AND(F1064=1,ISNUMBER(D1064)),D1064,"")</f>
        <v/>
      </c>
      <c r="H1064" s="29">
        <f>IF(AND(F1064=1,ISNUMBER(E1064)),E1064,"")</f>
        <v/>
      </c>
      <c r="I1064" s="22">
        <f>IF(AND(F1064=1,ISNUMBER(C1064)),C1064,"")</f>
        <v/>
      </c>
      <c r="J1064" s="11">
        <f>IF(G1064="","",100-IF($G$13=1,50,(_xlfn.RANK.AVG(G1064,$G$19:$G$1518,1)-1)/($G$13-1)*100))</f>
        <v/>
      </c>
      <c r="K1064" s="11">
        <f>IF(H1064="","",100-IF($G$14=1,50,(_xlfn.RANK.AVG(H1064,$H$19:$H$1518,1)-1)/($G$14-1)*100))</f>
        <v/>
      </c>
      <c r="L1064" s="11">
        <f>IF(I1064="","",IF($G$15=1,50,(_xlfn.RANK.AVG(I1064,$I$19:$I$1518,1)-1)/($G$15-1)*100))</f>
        <v/>
      </c>
      <c r="M1064" s="11">
        <f>IF(COUNT(J1064:L1064)=3,ROUND(AVERAGE(J1064:L1064),6),"")</f>
        <v/>
      </c>
      <c r="O1064">
        <f>IF(AND(ISNUMBER('자료_미국심리'!$A1048),ISNUMBER('자료_미국심리'!$B1048)),'자료_미국심리'!$A1048,"")</f>
        <v/>
      </c>
      <c r="P1064">
        <f>IF(AND(ISNUMBER('자료_미국심리'!$D1048),ISNUMBER('자료_미국심리'!$E1048)),'자료_미국심리'!$D1048,"")</f>
        <v/>
      </c>
      <c r="Q1064">
        <f>IF(AND(ISNUMBER('자료_미국심리'!$G1048),ISNUMBER('자료_미국심리'!$H1048)),'자료_미국심리'!$G1048,"")</f>
        <v/>
      </c>
    </row>
    <row r="1065">
      <c r="A1065" s="10">
        <f>IF(1047&gt;$E$5,"",SMALL($O$19:$O$4018,$E$6+1047))</f>
        <v/>
      </c>
      <c r="B1065" s="29">
        <f>IF(A1065="","",INDEX('자료_미국심리'!$B$3:$B$4002,MATCH(A1065,$O$19:$O$4018,0)))</f>
        <v/>
      </c>
      <c r="C1065" s="22">
        <f>IF(A1065="","",B1065/AVERAGE(B941:B1065)-1)</f>
        <v/>
      </c>
      <c r="D1065" s="29">
        <f>IF(A1065="","",IFERROR(INDEX('자료_미국심리'!$E$3:$E$4002,MATCH(A1065,$P$19:$P$4018,0)),D1064))</f>
        <v/>
      </c>
      <c r="E1065" s="29">
        <f>IF(A1065="","",IFERROR(INDEX('자료_미국심리'!$H$3:$H$4002,MATCH(A1065,$Q$19:$Q$4018,0)),E1064))</f>
        <v/>
      </c>
      <c r="F1065">
        <f>IF(A1065="",0,IF(A1065&gt;$B$5,1,0))</f>
        <v/>
      </c>
      <c r="G1065" s="29">
        <f>IF(AND(F1065=1,ISNUMBER(D1065)),D1065,"")</f>
        <v/>
      </c>
      <c r="H1065" s="29">
        <f>IF(AND(F1065=1,ISNUMBER(E1065)),E1065,"")</f>
        <v/>
      </c>
      <c r="I1065" s="22">
        <f>IF(AND(F1065=1,ISNUMBER(C1065)),C1065,"")</f>
        <v/>
      </c>
      <c r="J1065" s="11">
        <f>IF(G1065="","",100-IF($G$13=1,50,(_xlfn.RANK.AVG(G1065,$G$19:$G$1518,1)-1)/($G$13-1)*100))</f>
        <v/>
      </c>
      <c r="K1065" s="11">
        <f>IF(H1065="","",100-IF($G$14=1,50,(_xlfn.RANK.AVG(H1065,$H$19:$H$1518,1)-1)/($G$14-1)*100))</f>
        <v/>
      </c>
      <c r="L1065" s="11">
        <f>IF(I1065="","",IF($G$15=1,50,(_xlfn.RANK.AVG(I1065,$I$19:$I$1518,1)-1)/($G$15-1)*100))</f>
        <v/>
      </c>
      <c r="M1065" s="11">
        <f>IF(COUNT(J1065:L1065)=3,ROUND(AVERAGE(J1065:L1065),6),"")</f>
        <v/>
      </c>
      <c r="O1065">
        <f>IF(AND(ISNUMBER('자료_미국심리'!$A1049),ISNUMBER('자료_미국심리'!$B1049)),'자료_미국심리'!$A1049,"")</f>
        <v/>
      </c>
      <c r="P1065">
        <f>IF(AND(ISNUMBER('자료_미국심리'!$D1049),ISNUMBER('자료_미국심리'!$E1049)),'자료_미국심리'!$D1049,"")</f>
        <v/>
      </c>
      <c r="Q1065">
        <f>IF(AND(ISNUMBER('자료_미국심리'!$G1049),ISNUMBER('자료_미국심리'!$H1049)),'자료_미국심리'!$G1049,"")</f>
        <v/>
      </c>
    </row>
    <row r="1066">
      <c r="A1066" s="10">
        <f>IF(1048&gt;$E$5,"",SMALL($O$19:$O$4018,$E$6+1048))</f>
        <v/>
      </c>
      <c r="B1066" s="29">
        <f>IF(A1066="","",INDEX('자료_미국심리'!$B$3:$B$4002,MATCH(A1066,$O$19:$O$4018,0)))</f>
        <v/>
      </c>
      <c r="C1066" s="22">
        <f>IF(A1066="","",B1066/AVERAGE(B942:B1066)-1)</f>
        <v/>
      </c>
      <c r="D1066" s="29">
        <f>IF(A1066="","",IFERROR(INDEX('자료_미국심리'!$E$3:$E$4002,MATCH(A1066,$P$19:$P$4018,0)),D1065))</f>
        <v/>
      </c>
      <c r="E1066" s="29">
        <f>IF(A1066="","",IFERROR(INDEX('자료_미국심리'!$H$3:$H$4002,MATCH(A1066,$Q$19:$Q$4018,0)),E1065))</f>
        <v/>
      </c>
      <c r="F1066">
        <f>IF(A1066="",0,IF(A1066&gt;$B$5,1,0))</f>
        <v/>
      </c>
      <c r="G1066" s="29">
        <f>IF(AND(F1066=1,ISNUMBER(D1066)),D1066,"")</f>
        <v/>
      </c>
      <c r="H1066" s="29">
        <f>IF(AND(F1066=1,ISNUMBER(E1066)),E1066,"")</f>
        <v/>
      </c>
      <c r="I1066" s="22">
        <f>IF(AND(F1066=1,ISNUMBER(C1066)),C1066,"")</f>
        <v/>
      </c>
      <c r="J1066" s="11">
        <f>IF(G1066="","",100-IF($G$13=1,50,(_xlfn.RANK.AVG(G1066,$G$19:$G$1518,1)-1)/($G$13-1)*100))</f>
        <v/>
      </c>
      <c r="K1066" s="11">
        <f>IF(H1066="","",100-IF($G$14=1,50,(_xlfn.RANK.AVG(H1066,$H$19:$H$1518,1)-1)/($G$14-1)*100))</f>
        <v/>
      </c>
      <c r="L1066" s="11">
        <f>IF(I1066="","",IF($G$15=1,50,(_xlfn.RANK.AVG(I1066,$I$19:$I$1518,1)-1)/($G$15-1)*100))</f>
        <v/>
      </c>
      <c r="M1066" s="11">
        <f>IF(COUNT(J1066:L1066)=3,ROUND(AVERAGE(J1066:L1066),6),"")</f>
        <v/>
      </c>
      <c r="O1066">
        <f>IF(AND(ISNUMBER('자료_미국심리'!$A1050),ISNUMBER('자료_미국심리'!$B1050)),'자료_미국심리'!$A1050,"")</f>
        <v/>
      </c>
      <c r="P1066">
        <f>IF(AND(ISNUMBER('자료_미국심리'!$D1050),ISNUMBER('자료_미국심리'!$E1050)),'자료_미국심리'!$D1050,"")</f>
        <v/>
      </c>
      <c r="Q1066">
        <f>IF(AND(ISNUMBER('자료_미국심리'!$G1050),ISNUMBER('자료_미국심리'!$H1050)),'자료_미국심리'!$G1050,"")</f>
        <v/>
      </c>
    </row>
    <row r="1067">
      <c r="A1067" s="10">
        <f>IF(1049&gt;$E$5,"",SMALL($O$19:$O$4018,$E$6+1049))</f>
        <v/>
      </c>
      <c r="B1067" s="29">
        <f>IF(A1067="","",INDEX('자료_미국심리'!$B$3:$B$4002,MATCH(A1067,$O$19:$O$4018,0)))</f>
        <v/>
      </c>
      <c r="C1067" s="22">
        <f>IF(A1067="","",B1067/AVERAGE(B943:B1067)-1)</f>
        <v/>
      </c>
      <c r="D1067" s="29">
        <f>IF(A1067="","",IFERROR(INDEX('자료_미국심리'!$E$3:$E$4002,MATCH(A1067,$P$19:$P$4018,0)),D1066))</f>
        <v/>
      </c>
      <c r="E1067" s="29">
        <f>IF(A1067="","",IFERROR(INDEX('자료_미국심리'!$H$3:$H$4002,MATCH(A1067,$Q$19:$Q$4018,0)),E1066))</f>
        <v/>
      </c>
      <c r="F1067">
        <f>IF(A1067="",0,IF(A1067&gt;$B$5,1,0))</f>
        <v/>
      </c>
      <c r="G1067" s="29">
        <f>IF(AND(F1067=1,ISNUMBER(D1067)),D1067,"")</f>
        <v/>
      </c>
      <c r="H1067" s="29">
        <f>IF(AND(F1067=1,ISNUMBER(E1067)),E1067,"")</f>
        <v/>
      </c>
      <c r="I1067" s="22">
        <f>IF(AND(F1067=1,ISNUMBER(C1067)),C1067,"")</f>
        <v/>
      </c>
      <c r="J1067" s="11">
        <f>IF(G1067="","",100-IF($G$13=1,50,(_xlfn.RANK.AVG(G1067,$G$19:$G$1518,1)-1)/($G$13-1)*100))</f>
        <v/>
      </c>
      <c r="K1067" s="11">
        <f>IF(H1067="","",100-IF($G$14=1,50,(_xlfn.RANK.AVG(H1067,$H$19:$H$1518,1)-1)/($G$14-1)*100))</f>
        <v/>
      </c>
      <c r="L1067" s="11">
        <f>IF(I1067="","",IF($G$15=1,50,(_xlfn.RANK.AVG(I1067,$I$19:$I$1518,1)-1)/($G$15-1)*100))</f>
        <v/>
      </c>
      <c r="M1067" s="11">
        <f>IF(COUNT(J1067:L1067)=3,ROUND(AVERAGE(J1067:L1067),6),"")</f>
        <v/>
      </c>
      <c r="O1067">
        <f>IF(AND(ISNUMBER('자료_미국심리'!$A1051),ISNUMBER('자료_미국심리'!$B1051)),'자료_미국심리'!$A1051,"")</f>
        <v/>
      </c>
      <c r="P1067">
        <f>IF(AND(ISNUMBER('자료_미국심리'!$D1051),ISNUMBER('자료_미국심리'!$E1051)),'자료_미국심리'!$D1051,"")</f>
        <v/>
      </c>
      <c r="Q1067">
        <f>IF(AND(ISNUMBER('자료_미국심리'!$G1051),ISNUMBER('자료_미국심리'!$H1051)),'자료_미국심리'!$G1051,"")</f>
        <v/>
      </c>
    </row>
    <row r="1068">
      <c r="A1068" s="10">
        <f>IF(1050&gt;$E$5,"",SMALL($O$19:$O$4018,$E$6+1050))</f>
        <v/>
      </c>
      <c r="B1068" s="29">
        <f>IF(A1068="","",INDEX('자료_미국심리'!$B$3:$B$4002,MATCH(A1068,$O$19:$O$4018,0)))</f>
        <v/>
      </c>
      <c r="C1068" s="22">
        <f>IF(A1068="","",B1068/AVERAGE(B944:B1068)-1)</f>
        <v/>
      </c>
      <c r="D1068" s="29">
        <f>IF(A1068="","",IFERROR(INDEX('자료_미국심리'!$E$3:$E$4002,MATCH(A1068,$P$19:$P$4018,0)),D1067))</f>
        <v/>
      </c>
      <c r="E1068" s="29">
        <f>IF(A1068="","",IFERROR(INDEX('자료_미국심리'!$H$3:$H$4002,MATCH(A1068,$Q$19:$Q$4018,0)),E1067))</f>
        <v/>
      </c>
      <c r="F1068">
        <f>IF(A1068="",0,IF(A1068&gt;$B$5,1,0))</f>
        <v/>
      </c>
      <c r="G1068" s="29">
        <f>IF(AND(F1068=1,ISNUMBER(D1068)),D1068,"")</f>
        <v/>
      </c>
      <c r="H1068" s="29">
        <f>IF(AND(F1068=1,ISNUMBER(E1068)),E1068,"")</f>
        <v/>
      </c>
      <c r="I1068" s="22">
        <f>IF(AND(F1068=1,ISNUMBER(C1068)),C1068,"")</f>
        <v/>
      </c>
      <c r="J1068" s="11">
        <f>IF(G1068="","",100-IF($G$13=1,50,(_xlfn.RANK.AVG(G1068,$G$19:$G$1518,1)-1)/($G$13-1)*100))</f>
        <v/>
      </c>
      <c r="K1068" s="11">
        <f>IF(H1068="","",100-IF($G$14=1,50,(_xlfn.RANK.AVG(H1068,$H$19:$H$1518,1)-1)/($G$14-1)*100))</f>
        <v/>
      </c>
      <c r="L1068" s="11">
        <f>IF(I1068="","",IF($G$15=1,50,(_xlfn.RANK.AVG(I1068,$I$19:$I$1518,1)-1)/($G$15-1)*100))</f>
        <v/>
      </c>
      <c r="M1068" s="11">
        <f>IF(COUNT(J1068:L1068)=3,ROUND(AVERAGE(J1068:L1068),6),"")</f>
        <v/>
      </c>
      <c r="O1068">
        <f>IF(AND(ISNUMBER('자료_미국심리'!$A1052),ISNUMBER('자료_미국심리'!$B1052)),'자료_미국심리'!$A1052,"")</f>
        <v/>
      </c>
      <c r="P1068">
        <f>IF(AND(ISNUMBER('자료_미국심리'!$D1052),ISNUMBER('자료_미국심리'!$E1052)),'자료_미국심리'!$D1052,"")</f>
        <v/>
      </c>
      <c r="Q1068">
        <f>IF(AND(ISNUMBER('자료_미국심리'!$G1052),ISNUMBER('자료_미국심리'!$H1052)),'자료_미국심리'!$G1052,"")</f>
        <v/>
      </c>
    </row>
    <row r="1069">
      <c r="A1069" s="10">
        <f>IF(1051&gt;$E$5,"",SMALL($O$19:$O$4018,$E$6+1051))</f>
        <v/>
      </c>
      <c r="B1069" s="29">
        <f>IF(A1069="","",INDEX('자료_미국심리'!$B$3:$B$4002,MATCH(A1069,$O$19:$O$4018,0)))</f>
        <v/>
      </c>
      <c r="C1069" s="22">
        <f>IF(A1069="","",B1069/AVERAGE(B945:B1069)-1)</f>
        <v/>
      </c>
      <c r="D1069" s="29">
        <f>IF(A1069="","",IFERROR(INDEX('자료_미국심리'!$E$3:$E$4002,MATCH(A1069,$P$19:$P$4018,0)),D1068))</f>
        <v/>
      </c>
      <c r="E1069" s="29">
        <f>IF(A1069="","",IFERROR(INDEX('자료_미국심리'!$H$3:$H$4002,MATCH(A1069,$Q$19:$Q$4018,0)),E1068))</f>
        <v/>
      </c>
      <c r="F1069">
        <f>IF(A1069="",0,IF(A1069&gt;$B$5,1,0))</f>
        <v/>
      </c>
      <c r="G1069" s="29">
        <f>IF(AND(F1069=1,ISNUMBER(D1069)),D1069,"")</f>
        <v/>
      </c>
      <c r="H1069" s="29">
        <f>IF(AND(F1069=1,ISNUMBER(E1069)),E1069,"")</f>
        <v/>
      </c>
      <c r="I1069" s="22">
        <f>IF(AND(F1069=1,ISNUMBER(C1069)),C1069,"")</f>
        <v/>
      </c>
      <c r="J1069" s="11">
        <f>IF(G1069="","",100-IF($G$13=1,50,(_xlfn.RANK.AVG(G1069,$G$19:$G$1518,1)-1)/($G$13-1)*100))</f>
        <v/>
      </c>
      <c r="K1069" s="11">
        <f>IF(H1069="","",100-IF($G$14=1,50,(_xlfn.RANK.AVG(H1069,$H$19:$H$1518,1)-1)/($G$14-1)*100))</f>
        <v/>
      </c>
      <c r="L1069" s="11">
        <f>IF(I1069="","",IF($G$15=1,50,(_xlfn.RANK.AVG(I1069,$I$19:$I$1518,1)-1)/($G$15-1)*100))</f>
        <v/>
      </c>
      <c r="M1069" s="11">
        <f>IF(COUNT(J1069:L1069)=3,ROUND(AVERAGE(J1069:L1069),6),"")</f>
        <v/>
      </c>
      <c r="O1069">
        <f>IF(AND(ISNUMBER('자료_미국심리'!$A1053),ISNUMBER('자료_미국심리'!$B1053)),'자료_미국심리'!$A1053,"")</f>
        <v/>
      </c>
      <c r="P1069">
        <f>IF(AND(ISNUMBER('자료_미국심리'!$D1053),ISNUMBER('자료_미국심리'!$E1053)),'자료_미국심리'!$D1053,"")</f>
        <v/>
      </c>
      <c r="Q1069">
        <f>IF(AND(ISNUMBER('자료_미국심리'!$G1053),ISNUMBER('자료_미국심리'!$H1053)),'자료_미국심리'!$G1053,"")</f>
        <v/>
      </c>
    </row>
    <row r="1070">
      <c r="A1070" s="10">
        <f>IF(1052&gt;$E$5,"",SMALL($O$19:$O$4018,$E$6+1052))</f>
        <v/>
      </c>
      <c r="B1070" s="29">
        <f>IF(A1070="","",INDEX('자료_미국심리'!$B$3:$B$4002,MATCH(A1070,$O$19:$O$4018,0)))</f>
        <v/>
      </c>
      <c r="C1070" s="22">
        <f>IF(A1070="","",B1070/AVERAGE(B946:B1070)-1)</f>
        <v/>
      </c>
      <c r="D1070" s="29">
        <f>IF(A1070="","",IFERROR(INDEX('자료_미국심리'!$E$3:$E$4002,MATCH(A1070,$P$19:$P$4018,0)),D1069))</f>
        <v/>
      </c>
      <c r="E1070" s="29">
        <f>IF(A1070="","",IFERROR(INDEX('자료_미국심리'!$H$3:$H$4002,MATCH(A1070,$Q$19:$Q$4018,0)),E1069))</f>
        <v/>
      </c>
      <c r="F1070">
        <f>IF(A1070="",0,IF(A1070&gt;$B$5,1,0))</f>
        <v/>
      </c>
      <c r="G1070" s="29">
        <f>IF(AND(F1070=1,ISNUMBER(D1070)),D1070,"")</f>
        <v/>
      </c>
      <c r="H1070" s="29">
        <f>IF(AND(F1070=1,ISNUMBER(E1070)),E1070,"")</f>
        <v/>
      </c>
      <c r="I1070" s="22">
        <f>IF(AND(F1070=1,ISNUMBER(C1070)),C1070,"")</f>
        <v/>
      </c>
      <c r="J1070" s="11">
        <f>IF(G1070="","",100-IF($G$13=1,50,(_xlfn.RANK.AVG(G1070,$G$19:$G$1518,1)-1)/($G$13-1)*100))</f>
        <v/>
      </c>
      <c r="K1070" s="11">
        <f>IF(H1070="","",100-IF($G$14=1,50,(_xlfn.RANK.AVG(H1070,$H$19:$H$1518,1)-1)/($G$14-1)*100))</f>
        <v/>
      </c>
      <c r="L1070" s="11">
        <f>IF(I1070="","",IF($G$15=1,50,(_xlfn.RANK.AVG(I1070,$I$19:$I$1518,1)-1)/($G$15-1)*100))</f>
        <v/>
      </c>
      <c r="M1070" s="11">
        <f>IF(COUNT(J1070:L1070)=3,ROUND(AVERAGE(J1070:L1070),6),"")</f>
        <v/>
      </c>
      <c r="O1070">
        <f>IF(AND(ISNUMBER('자료_미국심리'!$A1054),ISNUMBER('자료_미국심리'!$B1054)),'자료_미국심리'!$A1054,"")</f>
        <v/>
      </c>
      <c r="P1070">
        <f>IF(AND(ISNUMBER('자료_미국심리'!$D1054),ISNUMBER('자료_미국심리'!$E1054)),'자료_미국심리'!$D1054,"")</f>
        <v/>
      </c>
      <c r="Q1070">
        <f>IF(AND(ISNUMBER('자료_미국심리'!$G1054),ISNUMBER('자료_미국심리'!$H1054)),'자료_미국심리'!$G1054,"")</f>
        <v/>
      </c>
    </row>
    <row r="1071">
      <c r="A1071" s="10">
        <f>IF(1053&gt;$E$5,"",SMALL($O$19:$O$4018,$E$6+1053))</f>
        <v/>
      </c>
      <c r="B1071" s="29">
        <f>IF(A1071="","",INDEX('자료_미국심리'!$B$3:$B$4002,MATCH(A1071,$O$19:$O$4018,0)))</f>
        <v/>
      </c>
      <c r="C1071" s="22">
        <f>IF(A1071="","",B1071/AVERAGE(B947:B1071)-1)</f>
        <v/>
      </c>
      <c r="D1071" s="29">
        <f>IF(A1071="","",IFERROR(INDEX('자료_미국심리'!$E$3:$E$4002,MATCH(A1071,$P$19:$P$4018,0)),D1070))</f>
        <v/>
      </c>
      <c r="E1071" s="29">
        <f>IF(A1071="","",IFERROR(INDEX('자료_미국심리'!$H$3:$H$4002,MATCH(A1071,$Q$19:$Q$4018,0)),E1070))</f>
        <v/>
      </c>
      <c r="F1071">
        <f>IF(A1071="",0,IF(A1071&gt;$B$5,1,0))</f>
        <v/>
      </c>
      <c r="G1071" s="29">
        <f>IF(AND(F1071=1,ISNUMBER(D1071)),D1071,"")</f>
        <v/>
      </c>
      <c r="H1071" s="29">
        <f>IF(AND(F1071=1,ISNUMBER(E1071)),E1071,"")</f>
        <v/>
      </c>
      <c r="I1071" s="22">
        <f>IF(AND(F1071=1,ISNUMBER(C1071)),C1071,"")</f>
        <v/>
      </c>
      <c r="J1071" s="11">
        <f>IF(G1071="","",100-IF($G$13=1,50,(_xlfn.RANK.AVG(G1071,$G$19:$G$1518,1)-1)/($G$13-1)*100))</f>
        <v/>
      </c>
      <c r="K1071" s="11">
        <f>IF(H1071="","",100-IF($G$14=1,50,(_xlfn.RANK.AVG(H1071,$H$19:$H$1518,1)-1)/($G$14-1)*100))</f>
        <v/>
      </c>
      <c r="L1071" s="11">
        <f>IF(I1071="","",IF($G$15=1,50,(_xlfn.RANK.AVG(I1071,$I$19:$I$1518,1)-1)/($G$15-1)*100))</f>
        <v/>
      </c>
      <c r="M1071" s="11">
        <f>IF(COUNT(J1071:L1071)=3,ROUND(AVERAGE(J1071:L1071),6),"")</f>
        <v/>
      </c>
      <c r="O1071">
        <f>IF(AND(ISNUMBER('자료_미국심리'!$A1055),ISNUMBER('자료_미국심리'!$B1055)),'자료_미국심리'!$A1055,"")</f>
        <v/>
      </c>
      <c r="P1071">
        <f>IF(AND(ISNUMBER('자료_미국심리'!$D1055),ISNUMBER('자료_미국심리'!$E1055)),'자료_미국심리'!$D1055,"")</f>
        <v/>
      </c>
      <c r="Q1071">
        <f>IF(AND(ISNUMBER('자료_미국심리'!$G1055),ISNUMBER('자료_미국심리'!$H1055)),'자료_미국심리'!$G1055,"")</f>
        <v/>
      </c>
    </row>
    <row r="1072">
      <c r="A1072" s="10">
        <f>IF(1054&gt;$E$5,"",SMALL($O$19:$O$4018,$E$6+1054))</f>
        <v/>
      </c>
      <c r="B1072" s="29">
        <f>IF(A1072="","",INDEX('자료_미국심리'!$B$3:$B$4002,MATCH(A1072,$O$19:$O$4018,0)))</f>
        <v/>
      </c>
      <c r="C1072" s="22">
        <f>IF(A1072="","",B1072/AVERAGE(B948:B1072)-1)</f>
        <v/>
      </c>
      <c r="D1072" s="29">
        <f>IF(A1072="","",IFERROR(INDEX('자료_미국심리'!$E$3:$E$4002,MATCH(A1072,$P$19:$P$4018,0)),D1071))</f>
        <v/>
      </c>
      <c r="E1072" s="29">
        <f>IF(A1072="","",IFERROR(INDEX('자료_미국심리'!$H$3:$H$4002,MATCH(A1072,$Q$19:$Q$4018,0)),E1071))</f>
        <v/>
      </c>
      <c r="F1072">
        <f>IF(A1072="",0,IF(A1072&gt;$B$5,1,0))</f>
        <v/>
      </c>
      <c r="G1072" s="29">
        <f>IF(AND(F1072=1,ISNUMBER(D1072)),D1072,"")</f>
        <v/>
      </c>
      <c r="H1072" s="29">
        <f>IF(AND(F1072=1,ISNUMBER(E1072)),E1072,"")</f>
        <v/>
      </c>
      <c r="I1072" s="22">
        <f>IF(AND(F1072=1,ISNUMBER(C1072)),C1072,"")</f>
        <v/>
      </c>
      <c r="J1072" s="11">
        <f>IF(G1072="","",100-IF($G$13=1,50,(_xlfn.RANK.AVG(G1072,$G$19:$G$1518,1)-1)/($G$13-1)*100))</f>
        <v/>
      </c>
      <c r="K1072" s="11">
        <f>IF(H1072="","",100-IF($G$14=1,50,(_xlfn.RANK.AVG(H1072,$H$19:$H$1518,1)-1)/($G$14-1)*100))</f>
        <v/>
      </c>
      <c r="L1072" s="11">
        <f>IF(I1072="","",IF($G$15=1,50,(_xlfn.RANK.AVG(I1072,$I$19:$I$1518,1)-1)/($G$15-1)*100))</f>
        <v/>
      </c>
      <c r="M1072" s="11">
        <f>IF(COUNT(J1072:L1072)=3,ROUND(AVERAGE(J1072:L1072),6),"")</f>
        <v/>
      </c>
      <c r="O1072">
        <f>IF(AND(ISNUMBER('자료_미국심리'!$A1056),ISNUMBER('자료_미국심리'!$B1056)),'자료_미국심리'!$A1056,"")</f>
        <v/>
      </c>
      <c r="P1072">
        <f>IF(AND(ISNUMBER('자료_미국심리'!$D1056),ISNUMBER('자료_미국심리'!$E1056)),'자료_미국심리'!$D1056,"")</f>
        <v/>
      </c>
      <c r="Q1072">
        <f>IF(AND(ISNUMBER('자료_미국심리'!$G1056),ISNUMBER('자료_미국심리'!$H1056)),'자료_미국심리'!$G1056,"")</f>
        <v/>
      </c>
    </row>
    <row r="1073">
      <c r="A1073" s="10">
        <f>IF(1055&gt;$E$5,"",SMALL($O$19:$O$4018,$E$6+1055))</f>
        <v/>
      </c>
      <c r="B1073" s="29">
        <f>IF(A1073="","",INDEX('자료_미국심리'!$B$3:$B$4002,MATCH(A1073,$O$19:$O$4018,0)))</f>
        <v/>
      </c>
      <c r="C1073" s="22">
        <f>IF(A1073="","",B1073/AVERAGE(B949:B1073)-1)</f>
        <v/>
      </c>
      <c r="D1073" s="29">
        <f>IF(A1073="","",IFERROR(INDEX('자료_미국심리'!$E$3:$E$4002,MATCH(A1073,$P$19:$P$4018,0)),D1072))</f>
        <v/>
      </c>
      <c r="E1073" s="29">
        <f>IF(A1073="","",IFERROR(INDEX('자료_미국심리'!$H$3:$H$4002,MATCH(A1073,$Q$19:$Q$4018,0)),E1072))</f>
        <v/>
      </c>
      <c r="F1073">
        <f>IF(A1073="",0,IF(A1073&gt;$B$5,1,0))</f>
        <v/>
      </c>
      <c r="G1073" s="29">
        <f>IF(AND(F1073=1,ISNUMBER(D1073)),D1073,"")</f>
        <v/>
      </c>
      <c r="H1073" s="29">
        <f>IF(AND(F1073=1,ISNUMBER(E1073)),E1073,"")</f>
        <v/>
      </c>
      <c r="I1073" s="22">
        <f>IF(AND(F1073=1,ISNUMBER(C1073)),C1073,"")</f>
        <v/>
      </c>
      <c r="J1073" s="11">
        <f>IF(G1073="","",100-IF($G$13=1,50,(_xlfn.RANK.AVG(G1073,$G$19:$G$1518,1)-1)/($G$13-1)*100))</f>
        <v/>
      </c>
      <c r="K1073" s="11">
        <f>IF(H1073="","",100-IF($G$14=1,50,(_xlfn.RANK.AVG(H1073,$H$19:$H$1518,1)-1)/($G$14-1)*100))</f>
        <v/>
      </c>
      <c r="L1073" s="11">
        <f>IF(I1073="","",IF($G$15=1,50,(_xlfn.RANK.AVG(I1073,$I$19:$I$1518,1)-1)/($G$15-1)*100))</f>
        <v/>
      </c>
      <c r="M1073" s="11">
        <f>IF(COUNT(J1073:L1073)=3,ROUND(AVERAGE(J1073:L1073),6),"")</f>
        <v/>
      </c>
      <c r="O1073">
        <f>IF(AND(ISNUMBER('자료_미국심리'!$A1057),ISNUMBER('자료_미국심리'!$B1057)),'자료_미국심리'!$A1057,"")</f>
        <v/>
      </c>
      <c r="P1073">
        <f>IF(AND(ISNUMBER('자료_미국심리'!$D1057),ISNUMBER('자료_미국심리'!$E1057)),'자료_미국심리'!$D1057,"")</f>
        <v/>
      </c>
      <c r="Q1073">
        <f>IF(AND(ISNUMBER('자료_미국심리'!$G1057),ISNUMBER('자료_미국심리'!$H1057)),'자료_미국심리'!$G1057,"")</f>
        <v/>
      </c>
    </row>
    <row r="1074">
      <c r="A1074" s="10">
        <f>IF(1056&gt;$E$5,"",SMALL($O$19:$O$4018,$E$6+1056))</f>
        <v/>
      </c>
      <c r="B1074" s="29">
        <f>IF(A1074="","",INDEX('자료_미국심리'!$B$3:$B$4002,MATCH(A1074,$O$19:$O$4018,0)))</f>
        <v/>
      </c>
      <c r="C1074" s="22">
        <f>IF(A1074="","",B1074/AVERAGE(B950:B1074)-1)</f>
        <v/>
      </c>
      <c r="D1074" s="29">
        <f>IF(A1074="","",IFERROR(INDEX('자료_미국심리'!$E$3:$E$4002,MATCH(A1074,$P$19:$P$4018,0)),D1073))</f>
        <v/>
      </c>
      <c r="E1074" s="29">
        <f>IF(A1074="","",IFERROR(INDEX('자료_미국심리'!$H$3:$H$4002,MATCH(A1074,$Q$19:$Q$4018,0)),E1073))</f>
        <v/>
      </c>
      <c r="F1074">
        <f>IF(A1074="",0,IF(A1074&gt;$B$5,1,0))</f>
        <v/>
      </c>
      <c r="G1074" s="29">
        <f>IF(AND(F1074=1,ISNUMBER(D1074)),D1074,"")</f>
        <v/>
      </c>
      <c r="H1074" s="29">
        <f>IF(AND(F1074=1,ISNUMBER(E1074)),E1074,"")</f>
        <v/>
      </c>
      <c r="I1074" s="22">
        <f>IF(AND(F1074=1,ISNUMBER(C1074)),C1074,"")</f>
        <v/>
      </c>
      <c r="J1074" s="11">
        <f>IF(G1074="","",100-IF($G$13=1,50,(_xlfn.RANK.AVG(G1074,$G$19:$G$1518,1)-1)/($G$13-1)*100))</f>
        <v/>
      </c>
      <c r="K1074" s="11">
        <f>IF(H1074="","",100-IF($G$14=1,50,(_xlfn.RANK.AVG(H1074,$H$19:$H$1518,1)-1)/($G$14-1)*100))</f>
        <v/>
      </c>
      <c r="L1074" s="11">
        <f>IF(I1074="","",IF($G$15=1,50,(_xlfn.RANK.AVG(I1074,$I$19:$I$1518,1)-1)/($G$15-1)*100))</f>
        <v/>
      </c>
      <c r="M1074" s="11">
        <f>IF(COUNT(J1074:L1074)=3,ROUND(AVERAGE(J1074:L1074),6),"")</f>
        <v/>
      </c>
      <c r="O1074">
        <f>IF(AND(ISNUMBER('자료_미국심리'!$A1058),ISNUMBER('자료_미국심리'!$B1058)),'자료_미국심리'!$A1058,"")</f>
        <v/>
      </c>
      <c r="P1074">
        <f>IF(AND(ISNUMBER('자료_미국심리'!$D1058),ISNUMBER('자료_미국심리'!$E1058)),'자료_미국심리'!$D1058,"")</f>
        <v/>
      </c>
      <c r="Q1074">
        <f>IF(AND(ISNUMBER('자료_미국심리'!$G1058),ISNUMBER('자료_미국심리'!$H1058)),'자료_미국심리'!$G1058,"")</f>
        <v/>
      </c>
    </row>
    <row r="1075">
      <c r="A1075" s="10">
        <f>IF(1057&gt;$E$5,"",SMALL($O$19:$O$4018,$E$6+1057))</f>
        <v/>
      </c>
      <c r="B1075" s="29">
        <f>IF(A1075="","",INDEX('자료_미국심리'!$B$3:$B$4002,MATCH(A1075,$O$19:$O$4018,0)))</f>
        <v/>
      </c>
      <c r="C1075" s="22">
        <f>IF(A1075="","",B1075/AVERAGE(B951:B1075)-1)</f>
        <v/>
      </c>
      <c r="D1075" s="29">
        <f>IF(A1075="","",IFERROR(INDEX('자료_미국심리'!$E$3:$E$4002,MATCH(A1075,$P$19:$P$4018,0)),D1074))</f>
        <v/>
      </c>
      <c r="E1075" s="29">
        <f>IF(A1075="","",IFERROR(INDEX('자료_미국심리'!$H$3:$H$4002,MATCH(A1075,$Q$19:$Q$4018,0)),E1074))</f>
        <v/>
      </c>
      <c r="F1075">
        <f>IF(A1075="",0,IF(A1075&gt;$B$5,1,0))</f>
        <v/>
      </c>
      <c r="G1075" s="29">
        <f>IF(AND(F1075=1,ISNUMBER(D1075)),D1075,"")</f>
        <v/>
      </c>
      <c r="H1075" s="29">
        <f>IF(AND(F1075=1,ISNUMBER(E1075)),E1075,"")</f>
        <v/>
      </c>
      <c r="I1075" s="22">
        <f>IF(AND(F1075=1,ISNUMBER(C1075)),C1075,"")</f>
        <v/>
      </c>
      <c r="J1075" s="11">
        <f>IF(G1075="","",100-IF($G$13=1,50,(_xlfn.RANK.AVG(G1075,$G$19:$G$1518,1)-1)/($G$13-1)*100))</f>
        <v/>
      </c>
      <c r="K1075" s="11">
        <f>IF(H1075="","",100-IF($G$14=1,50,(_xlfn.RANK.AVG(H1075,$H$19:$H$1518,1)-1)/($G$14-1)*100))</f>
        <v/>
      </c>
      <c r="L1075" s="11">
        <f>IF(I1075="","",IF($G$15=1,50,(_xlfn.RANK.AVG(I1075,$I$19:$I$1518,1)-1)/($G$15-1)*100))</f>
        <v/>
      </c>
      <c r="M1075" s="11">
        <f>IF(COUNT(J1075:L1075)=3,ROUND(AVERAGE(J1075:L1075),6),"")</f>
        <v/>
      </c>
      <c r="O1075">
        <f>IF(AND(ISNUMBER('자료_미국심리'!$A1059),ISNUMBER('자료_미국심리'!$B1059)),'자료_미국심리'!$A1059,"")</f>
        <v/>
      </c>
      <c r="P1075">
        <f>IF(AND(ISNUMBER('자료_미국심리'!$D1059),ISNUMBER('자료_미국심리'!$E1059)),'자료_미국심리'!$D1059,"")</f>
        <v/>
      </c>
      <c r="Q1075">
        <f>IF(AND(ISNUMBER('자료_미국심리'!$G1059),ISNUMBER('자료_미국심리'!$H1059)),'자료_미국심리'!$G1059,"")</f>
        <v/>
      </c>
    </row>
    <row r="1076">
      <c r="A1076" s="10">
        <f>IF(1058&gt;$E$5,"",SMALL($O$19:$O$4018,$E$6+1058))</f>
        <v/>
      </c>
      <c r="B1076" s="29">
        <f>IF(A1076="","",INDEX('자료_미국심리'!$B$3:$B$4002,MATCH(A1076,$O$19:$O$4018,0)))</f>
        <v/>
      </c>
      <c r="C1076" s="22">
        <f>IF(A1076="","",B1076/AVERAGE(B952:B1076)-1)</f>
        <v/>
      </c>
      <c r="D1076" s="29">
        <f>IF(A1076="","",IFERROR(INDEX('자료_미국심리'!$E$3:$E$4002,MATCH(A1076,$P$19:$P$4018,0)),D1075))</f>
        <v/>
      </c>
      <c r="E1076" s="29">
        <f>IF(A1076="","",IFERROR(INDEX('자료_미국심리'!$H$3:$H$4002,MATCH(A1076,$Q$19:$Q$4018,0)),E1075))</f>
        <v/>
      </c>
      <c r="F1076">
        <f>IF(A1076="",0,IF(A1076&gt;$B$5,1,0))</f>
        <v/>
      </c>
      <c r="G1076" s="29">
        <f>IF(AND(F1076=1,ISNUMBER(D1076)),D1076,"")</f>
        <v/>
      </c>
      <c r="H1076" s="29">
        <f>IF(AND(F1076=1,ISNUMBER(E1076)),E1076,"")</f>
        <v/>
      </c>
      <c r="I1076" s="22">
        <f>IF(AND(F1076=1,ISNUMBER(C1076)),C1076,"")</f>
        <v/>
      </c>
      <c r="J1076" s="11">
        <f>IF(G1076="","",100-IF($G$13=1,50,(_xlfn.RANK.AVG(G1076,$G$19:$G$1518,1)-1)/($G$13-1)*100))</f>
        <v/>
      </c>
      <c r="K1076" s="11">
        <f>IF(H1076="","",100-IF($G$14=1,50,(_xlfn.RANK.AVG(H1076,$H$19:$H$1518,1)-1)/($G$14-1)*100))</f>
        <v/>
      </c>
      <c r="L1076" s="11">
        <f>IF(I1076="","",IF($G$15=1,50,(_xlfn.RANK.AVG(I1076,$I$19:$I$1518,1)-1)/($G$15-1)*100))</f>
        <v/>
      </c>
      <c r="M1076" s="11">
        <f>IF(COUNT(J1076:L1076)=3,ROUND(AVERAGE(J1076:L1076),6),"")</f>
        <v/>
      </c>
      <c r="O1076">
        <f>IF(AND(ISNUMBER('자료_미국심리'!$A1060),ISNUMBER('자료_미국심리'!$B1060)),'자료_미국심리'!$A1060,"")</f>
        <v/>
      </c>
      <c r="P1076">
        <f>IF(AND(ISNUMBER('자료_미국심리'!$D1060),ISNUMBER('자료_미국심리'!$E1060)),'자료_미국심리'!$D1060,"")</f>
        <v/>
      </c>
      <c r="Q1076">
        <f>IF(AND(ISNUMBER('자료_미국심리'!$G1060),ISNUMBER('자료_미국심리'!$H1060)),'자료_미국심리'!$G1060,"")</f>
        <v/>
      </c>
    </row>
    <row r="1077">
      <c r="A1077" s="10">
        <f>IF(1059&gt;$E$5,"",SMALL($O$19:$O$4018,$E$6+1059))</f>
        <v/>
      </c>
      <c r="B1077" s="29">
        <f>IF(A1077="","",INDEX('자료_미국심리'!$B$3:$B$4002,MATCH(A1077,$O$19:$O$4018,0)))</f>
        <v/>
      </c>
      <c r="C1077" s="22">
        <f>IF(A1077="","",B1077/AVERAGE(B953:B1077)-1)</f>
        <v/>
      </c>
      <c r="D1077" s="29">
        <f>IF(A1077="","",IFERROR(INDEX('자료_미국심리'!$E$3:$E$4002,MATCH(A1077,$P$19:$P$4018,0)),D1076))</f>
        <v/>
      </c>
      <c r="E1077" s="29">
        <f>IF(A1077="","",IFERROR(INDEX('자료_미국심리'!$H$3:$H$4002,MATCH(A1077,$Q$19:$Q$4018,0)),E1076))</f>
        <v/>
      </c>
      <c r="F1077">
        <f>IF(A1077="",0,IF(A1077&gt;$B$5,1,0))</f>
        <v/>
      </c>
      <c r="G1077" s="29">
        <f>IF(AND(F1077=1,ISNUMBER(D1077)),D1077,"")</f>
        <v/>
      </c>
      <c r="H1077" s="29">
        <f>IF(AND(F1077=1,ISNUMBER(E1077)),E1077,"")</f>
        <v/>
      </c>
      <c r="I1077" s="22">
        <f>IF(AND(F1077=1,ISNUMBER(C1077)),C1077,"")</f>
        <v/>
      </c>
      <c r="J1077" s="11">
        <f>IF(G1077="","",100-IF($G$13=1,50,(_xlfn.RANK.AVG(G1077,$G$19:$G$1518,1)-1)/($G$13-1)*100))</f>
        <v/>
      </c>
      <c r="K1077" s="11">
        <f>IF(H1077="","",100-IF($G$14=1,50,(_xlfn.RANK.AVG(H1077,$H$19:$H$1518,1)-1)/($G$14-1)*100))</f>
        <v/>
      </c>
      <c r="L1077" s="11">
        <f>IF(I1077="","",IF($G$15=1,50,(_xlfn.RANK.AVG(I1077,$I$19:$I$1518,1)-1)/($G$15-1)*100))</f>
        <v/>
      </c>
      <c r="M1077" s="11">
        <f>IF(COUNT(J1077:L1077)=3,ROUND(AVERAGE(J1077:L1077),6),"")</f>
        <v/>
      </c>
      <c r="O1077">
        <f>IF(AND(ISNUMBER('자료_미국심리'!$A1061),ISNUMBER('자료_미국심리'!$B1061)),'자료_미국심리'!$A1061,"")</f>
        <v/>
      </c>
      <c r="P1077">
        <f>IF(AND(ISNUMBER('자료_미국심리'!$D1061),ISNUMBER('자료_미국심리'!$E1061)),'자료_미국심리'!$D1061,"")</f>
        <v/>
      </c>
      <c r="Q1077">
        <f>IF(AND(ISNUMBER('자료_미국심리'!$G1061),ISNUMBER('자료_미국심리'!$H1061)),'자료_미국심리'!$G1061,"")</f>
        <v/>
      </c>
    </row>
    <row r="1078">
      <c r="A1078" s="10">
        <f>IF(1060&gt;$E$5,"",SMALL($O$19:$O$4018,$E$6+1060))</f>
        <v/>
      </c>
      <c r="B1078" s="29">
        <f>IF(A1078="","",INDEX('자료_미국심리'!$B$3:$B$4002,MATCH(A1078,$O$19:$O$4018,0)))</f>
        <v/>
      </c>
      <c r="C1078" s="22">
        <f>IF(A1078="","",B1078/AVERAGE(B954:B1078)-1)</f>
        <v/>
      </c>
      <c r="D1078" s="29">
        <f>IF(A1078="","",IFERROR(INDEX('자료_미국심리'!$E$3:$E$4002,MATCH(A1078,$P$19:$P$4018,0)),D1077))</f>
        <v/>
      </c>
      <c r="E1078" s="29">
        <f>IF(A1078="","",IFERROR(INDEX('자료_미국심리'!$H$3:$H$4002,MATCH(A1078,$Q$19:$Q$4018,0)),E1077))</f>
        <v/>
      </c>
      <c r="F1078">
        <f>IF(A1078="",0,IF(A1078&gt;$B$5,1,0))</f>
        <v/>
      </c>
      <c r="G1078" s="29">
        <f>IF(AND(F1078=1,ISNUMBER(D1078)),D1078,"")</f>
        <v/>
      </c>
      <c r="H1078" s="29">
        <f>IF(AND(F1078=1,ISNUMBER(E1078)),E1078,"")</f>
        <v/>
      </c>
      <c r="I1078" s="22">
        <f>IF(AND(F1078=1,ISNUMBER(C1078)),C1078,"")</f>
        <v/>
      </c>
      <c r="J1078" s="11">
        <f>IF(G1078="","",100-IF($G$13=1,50,(_xlfn.RANK.AVG(G1078,$G$19:$G$1518,1)-1)/($G$13-1)*100))</f>
        <v/>
      </c>
      <c r="K1078" s="11">
        <f>IF(H1078="","",100-IF($G$14=1,50,(_xlfn.RANK.AVG(H1078,$H$19:$H$1518,1)-1)/($G$14-1)*100))</f>
        <v/>
      </c>
      <c r="L1078" s="11">
        <f>IF(I1078="","",IF($G$15=1,50,(_xlfn.RANK.AVG(I1078,$I$19:$I$1518,1)-1)/($G$15-1)*100))</f>
        <v/>
      </c>
      <c r="M1078" s="11">
        <f>IF(COUNT(J1078:L1078)=3,ROUND(AVERAGE(J1078:L1078),6),"")</f>
        <v/>
      </c>
      <c r="O1078">
        <f>IF(AND(ISNUMBER('자료_미국심리'!$A1062),ISNUMBER('자료_미국심리'!$B1062)),'자료_미국심리'!$A1062,"")</f>
        <v/>
      </c>
      <c r="P1078">
        <f>IF(AND(ISNUMBER('자료_미국심리'!$D1062),ISNUMBER('자료_미국심리'!$E1062)),'자료_미국심리'!$D1062,"")</f>
        <v/>
      </c>
      <c r="Q1078">
        <f>IF(AND(ISNUMBER('자료_미국심리'!$G1062),ISNUMBER('자료_미국심리'!$H1062)),'자료_미국심리'!$G1062,"")</f>
        <v/>
      </c>
    </row>
    <row r="1079">
      <c r="A1079" s="10">
        <f>IF(1061&gt;$E$5,"",SMALL($O$19:$O$4018,$E$6+1061))</f>
        <v/>
      </c>
      <c r="B1079" s="29">
        <f>IF(A1079="","",INDEX('자료_미국심리'!$B$3:$B$4002,MATCH(A1079,$O$19:$O$4018,0)))</f>
        <v/>
      </c>
      <c r="C1079" s="22">
        <f>IF(A1079="","",B1079/AVERAGE(B955:B1079)-1)</f>
        <v/>
      </c>
      <c r="D1079" s="29">
        <f>IF(A1079="","",IFERROR(INDEX('자료_미국심리'!$E$3:$E$4002,MATCH(A1079,$P$19:$P$4018,0)),D1078))</f>
        <v/>
      </c>
      <c r="E1079" s="29">
        <f>IF(A1079="","",IFERROR(INDEX('자료_미국심리'!$H$3:$H$4002,MATCH(A1079,$Q$19:$Q$4018,0)),E1078))</f>
        <v/>
      </c>
      <c r="F1079">
        <f>IF(A1079="",0,IF(A1079&gt;$B$5,1,0))</f>
        <v/>
      </c>
      <c r="G1079" s="29">
        <f>IF(AND(F1079=1,ISNUMBER(D1079)),D1079,"")</f>
        <v/>
      </c>
      <c r="H1079" s="29">
        <f>IF(AND(F1079=1,ISNUMBER(E1079)),E1079,"")</f>
        <v/>
      </c>
      <c r="I1079" s="22">
        <f>IF(AND(F1079=1,ISNUMBER(C1079)),C1079,"")</f>
        <v/>
      </c>
      <c r="J1079" s="11">
        <f>IF(G1079="","",100-IF($G$13=1,50,(_xlfn.RANK.AVG(G1079,$G$19:$G$1518,1)-1)/($G$13-1)*100))</f>
        <v/>
      </c>
      <c r="K1079" s="11">
        <f>IF(H1079="","",100-IF($G$14=1,50,(_xlfn.RANK.AVG(H1079,$H$19:$H$1518,1)-1)/($G$14-1)*100))</f>
        <v/>
      </c>
      <c r="L1079" s="11">
        <f>IF(I1079="","",IF($G$15=1,50,(_xlfn.RANK.AVG(I1079,$I$19:$I$1518,1)-1)/($G$15-1)*100))</f>
        <v/>
      </c>
      <c r="M1079" s="11">
        <f>IF(COUNT(J1079:L1079)=3,ROUND(AVERAGE(J1079:L1079),6),"")</f>
        <v/>
      </c>
      <c r="O1079">
        <f>IF(AND(ISNUMBER('자료_미국심리'!$A1063),ISNUMBER('자료_미국심리'!$B1063)),'자료_미국심리'!$A1063,"")</f>
        <v/>
      </c>
      <c r="P1079">
        <f>IF(AND(ISNUMBER('자료_미국심리'!$D1063),ISNUMBER('자료_미국심리'!$E1063)),'자료_미국심리'!$D1063,"")</f>
        <v/>
      </c>
      <c r="Q1079">
        <f>IF(AND(ISNUMBER('자료_미국심리'!$G1063),ISNUMBER('자료_미국심리'!$H1063)),'자료_미국심리'!$G1063,"")</f>
        <v/>
      </c>
    </row>
    <row r="1080">
      <c r="A1080" s="10">
        <f>IF(1062&gt;$E$5,"",SMALL($O$19:$O$4018,$E$6+1062))</f>
        <v/>
      </c>
      <c r="B1080" s="29">
        <f>IF(A1080="","",INDEX('자료_미국심리'!$B$3:$B$4002,MATCH(A1080,$O$19:$O$4018,0)))</f>
        <v/>
      </c>
      <c r="C1080" s="22">
        <f>IF(A1080="","",B1080/AVERAGE(B956:B1080)-1)</f>
        <v/>
      </c>
      <c r="D1080" s="29">
        <f>IF(A1080="","",IFERROR(INDEX('자료_미국심리'!$E$3:$E$4002,MATCH(A1080,$P$19:$P$4018,0)),D1079))</f>
        <v/>
      </c>
      <c r="E1080" s="29">
        <f>IF(A1080="","",IFERROR(INDEX('자료_미국심리'!$H$3:$H$4002,MATCH(A1080,$Q$19:$Q$4018,0)),E1079))</f>
        <v/>
      </c>
      <c r="F1080">
        <f>IF(A1080="",0,IF(A1080&gt;$B$5,1,0))</f>
        <v/>
      </c>
      <c r="G1080" s="29">
        <f>IF(AND(F1080=1,ISNUMBER(D1080)),D1080,"")</f>
        <v/>
      </c>
      <c r="H1080" s="29">
        <f>IF(AND(F1080=1,ISNUMBER(E1080)),E1080,"")</f>
        <v/>
      </c>
      <c r="I1080" s="22">
        <f>IF(AND(F1080=1,ISNUMBER(C1080)),C1080,"")</f>
        <v/>
      </c>
      <c r="J1080" s="11">
        <f>IF(G1080="","",100-IF($G$13=1,50,(_xlfn.RANK.AVG(G1080,$G$19:$G$1518,1)-1)/($G$13-1)*100))</f>
        <v/>
      </c>
      <c r="K1080" s="11">
        <f>IF(H1080="","",100-IF($G$14=1,50,(_xlfn.RANK.AVG(H1080,$H$19:$H$1518,1)-1)/($G$14-1)*100))</f>
        <v/>
      </c>
      <c r="L1080" s="11">
        <f>IF(I1080="","",IF($G$15=1,50,(_xlfn.RANK.AVG(I1080,$I$19:$I$1518,1)-1)/($G$15-1)*100))</f>
        <v/>
      </c>
      <c r="M1080" s="11">
        <f>IF(COUNT(J1080:L1080)=3,ROUND(AVERAGE(J1080:L1080),6),"")</f>
        <v/>
      </c>
      <c r="O1080">
        <f>IF(AND(ISNUMBER('자료_미국심리'!$A1064),ISNUMBER('자료_미국심리'!$B1064)),'자료_미국심리'!$A1064,"")</f>
        <v/>
      </c>
      <c r="P1080">
        <f>IF(AND(ISNUMBER('자료_미국심리'!$D1064),ISNUMBER('자료_미국심리'!$E1064)),'자료_미국심리'!$D1064,"")</f>
        <v/>
      </c>
      <c r="Q1080">
        <f>IF(AND(ISNUMBER('자료_미국심리'!$G1064),ISNUMBER('자료_미국심리'!$H1064)),'자료_미국심리'!$G1064,"")</f>
        <v/>
      </c>
    </row>
    <row r="1081">
      <c r="A1081" s="10">
        <f>IF(1063&gt;$E$5,"",SMALL($O$19:$O$4018,$E$6+1063))</f>
        <v/>
      </c>
      <c r="B1081" s="29">
        <f>IF(A1081="","",INDEX('자료_미국심리'!$B$3:$B$4002,MATCH(A1081,$O$19:$O$4018,0)))</f>
        <v/>
      </c>
      <c r="C1081" s="22">
        <f>IF(A1081="","",B1081/AVERAGE(B957:B1081)-1)</f>
        <v/>
      </c>
      <c r="D1081" s="29">
        <f>IF(A1081="","",IFERROR(INDEX('자료_미국심리'!$E$3:$E$4002,MATCH(A1081,$P$19:$P$4018,0)),D1080))</f>
        <v/>
      </c>
      <c r="E1081" s="29">
        <f>IF(A1081="","",IFERROR(INDEX('자료_미국심리'!$H$3:$H$4002,MATCH(A1081,$Q$19:$Q$4018,0)),E1080))</f>
        <v/>
      </c>
      <c r="F1081">
        <f>IF(A1081="",0,IF(A1081&gt;$B$5,1,0))</f>
        <v/>
      </c>
      <c r="G1081" s="29">
        <f>IF(AND(F1081=1,ISNUMBER(D1081)),D1081,"")</f>
        <v/>
      </c>
      <c r="H1081" s="29">
        <f>IF(AND(F1081=1,ISNUMBER(E1081)),E1081,"")</f>
        <v/>
      </c>
      <c r="I1081" s="22">
        <f>IF(AND(F1081=1,ISNUMBER(C1081)),C1081,"")</f>
        <v/>
      </c>
      <c r="J1081" s="11">
        <f>IF(G1081="","",100-IF($G$13=1,50,(_xlfn.RANK.AVG(G1081,$G$19:$G$1518,1)-1)/($G$13-1)*100))</f>
        <v/>
      </c>
      <c r="K1081" s="11">
        <f>IF(H1081="","",100-IF($G$14=1,50,(_xlfn.RANK.AVG(H1081,$H$19:$H$1518,1)-1)/($G$14-1)*100))</f>
        <v/>
      </c>
      <c r="L1081" s="11">
        <f>IF(I1081="","",IF($G$15=1,50,(_xlfn.RANK.AVG(I1081,$I$19:$I$1518,1)-1)/($G$15-1)*100))</f>
        <v/>
      </c>
      <c r="M1081" s="11">
        <f>IF(COUNT(J1081:L1081)=3,ROUND(AVERAGE(J1081:L1081),6),"")</f>
        <v/>
      </c>
      <c r="O1081">
        <f>IF(AND(ISNUMBER('자료_미국심리'!$A1065),ISNUMBER('자료_미국심리'!$B1065)),'자료_미국심리'!$A1065,"")</f>
        <v/>
      </c>
      <c r="P1081">
        <f>IF(AND(ISNUMBER('자료_미국심리'!$D1065),ISNUMBER('자료_미국심리'!$E1065)),'자료_미국심리'!$D1065,"")</f>
        <v/>
      </c>
      <c r="Q1081">
        <f>IF(AND(ISNUMBER('자료_미국심리'!$G1065),ISNUMBER('자료_미국심리'!$H1065)),'자료_미국심리'!$G1065,"")</f>
        <v/>
      </c>
    </row>
    <row r="1082">
      <c r="A1082" s="10">
        <f>IF(1064&gt;$E$5,"",SMALL($O$19:$O$4018,$E$6+1064))</f>
        <v/>
      </c>
      <c r="B1082" s="29">
        <f>IF(A1082="","",INDEX('자료_미국심리'!$B$3:$B$4002,MATCH(A1082,$O$19:$O$4018,0)))</f>
        <v/>
      </c>
      <c r="C1082" s="22">
        <f>IF(A1082="","",B1082/AVERAGE(B958:B1082)-1)</f>
        <v/>
      </c>
      <c r="D1082" s="29">
        <f>IF(A1082="","",IFERROR(INDEX('자료_미국심리'!$E$3:$E$4002,MATCH(A1082,$P$19:$P$4018,0)),D1081))</f>
        <v/>
      </c>
      <c r="E1082" s="29">
        <f>IF(A1082="","",IFERROR(INDEX('자료_미국심리'!$H$3:$H$4002,MATCH(A1082,$Q$19:$Q$4018,0)),E1081))</f>
        <v/>
      </c>
      <c r="F1082">
        <f>IF(A1082="",0,IF(A1082&gt;$B$5,1,0))</f>
        <v/>
      </c>
      <c r="G1082" s="29">
        <f>IF(AND(F1082=1,ISNUMBER(D1082)),D1082,"")</f>
        <v/>
      </c>
      <c r="H1082" s="29">
        <f>IF(AND(F1082=1,ISNUMBER(E1082)),E1082,"")</f>
        <v/>
      </c>
      <c r="I1082" s="22">
        <f>IF(AND(F1082=1,ISNUMBER(C1082)),C1082,"")</f>
        <v/>
      </c>
      <c r="J1082" s="11">
        <f>IF(G1082="","",100-IF($G$13=1,50,(_xlfn.RANK.AVG(G1082,$G$19:$G$1518,1)-1)/($G$13-1)*100))</f>
        <v/>
      </c>
      <c r="K1082" s="11">
        <f>IF(H1082="","",100-IF($G$14=1,50,(_xlfn.RANK.AVG(H1082,$H$19:$H$1518,1)-1)/($G$14-1)*100))</f>
        <v/>
      </c>
      <c r="L1082" s="11">
        <f>IF(I1082="","",IF($G$15=1,50,(_xlfn.RANK.AVG(I1082,$I$19:$I$1518,1)-1)/($G$15-1)*100))</f>
        <v/>
      </c>
      <c r="M1082" s="11">
        <f>IF(COUNT(J1082:L1082)=3,ROUND(AVERAGE(J1082:L1082),6),"")</f>
        <v/>
      </c>
      <c r="O1082">
        <f>IF(AND(ISNUMBER('자료_미국심리'!$A1066),ISNUMBER('자료_미국심리'!$B1066)),'자료_미국심리'!$A1066,"")</f>
        <v/>
      </c>
      <c r="P1082">
        <f>IF(AND(ISNUMBER('자료_미국심리'!$D1066),ISNUMBER('자료_미국심리'!$E1066)),'자료_미국심리'!$D1066,"")</f>
        <v/>
      </c>
      <c r="Q1082">
        <f>IF(AND(ISNUMBER('자료_미국심리'!$G1066),ISNUMBER('자료_미국심리'!$H1066)),'자료_미국심리'!$G1066,"")</f>
        <v/>
      </c>
    </row>
    <row r="1083">
      <c r="A1083" s="10">
        <f>IF(1065&gt;$E$5,"",SMALL($O$19:$O$4018,$E$6+1065))</f>
        <v/>
      </c>
      <c r="B1083" s="29">
        <f>IF(A1083="","",INDEX('자료_미국심리'!$B$3:$B$4002,MATCH(A1083,$O$19:$O$4018,0)))</f>
        <v/>
      </c>
      <c r="C1083" s="22">
        <f>IF(A1083="","",B1083/AVERAGE(B959:B1083)-1)</f>
        <v/>
      </c>
      <c r="D1083" s="29">
        <f>IF(A1083="","",IFERROR(INDEX('자료_미국심리'!$E$3:$E$4002,MATCH(A1083,$P$19:$P$4018,0)),D1082))</f>
        <v/>
      </c>
      <c r="E1083" s="29">
        <f>IF(A1083="","",IFERROR(INDEX('자료_미국심리'!$H$3:$H$4002,MATCH(A1083,$Q$19:$Q$4018,0)),E1082))</f>
        <v/>
      </c>
      <c r="F1083">
        <f>IF(A1083="",0,IF(A1083&gt;$B$5,1,0))</f>
        <v/>
      </c>
      <c r="G1083" s="29">
        <f>IF(AND(F1083=1,ISNUMBER(D1083)),D1083,"")</f>
        <v/>
      </c>
      <c r="H1083" s="29">
        <f>IF(AND(F1083=1,ISNUMBER(E1083)),E1083,"")</f>
        <v/>
      </c>
      <c r="I1083" s="22">
        <f>IF(AND(F1083=1,ISNUMBER(C1083)),C1083,"")</f>
        <v/>
      </c>
      <c r="J1083" s="11">
        <f>IF(G1083="","",100-IF($G$13=1,50,(_xlfn.RANK.AVG(G1083,$G$19:$G$1518,1)-1)/($G$13-1)*100))</f>
        <v/>
      </c>
      <c r="K1083" s="11">
        <f>IF(H1083="","",100-IF($G$14=1,50,(_xlfn.RANK.AVG(H1083,$H$19:$H$1518,1)-1)/($G$14-1)*100))</f>
        <v/>
      </c>
      <c r="L1083" s="11">
        <f>IF(I1083="","",IF($G$15=1,50,(_xlfn.RANK.AVG(I1083,$I$19:$I$1518,1)-1)/($G$15-1)*100))</f>
        <v/>
      </c>
      <c r="M1083" s="11">
        <f>IF(COUNT(J1083:L1083)=3,ROUND(AVERAGE(J1083:L1083),6),"")</f>
        <v/>
      </c>
      <c r="O1083">
        <f>IF(AND(ISNUMBER('자료_미국심리'!$A1067),ISNUMBER('자료_미국심리'!$B1067)),'자료_미국심리'!$A1067,"")</f>
        <v/>
      </c>
      <c r="P1083">
        <f>IF(AND(ISNUMBER('자료_미국심리'!$D1067),ISNUMBER('자료_미국심리'!$E1067)),'자료_미국심리'!$D1067,"")</f>
        <v/>
      </c>
      <c r="Q1083">
        <f>IF(AND(ISNUMBER('자료_미국심리'!$G1067),ISNUMBER('자료_미국심리'!$H1067)),'자료_미국심리'!$G1067,"")</f>
        <v/>
      </c>
    </row>
    <row r="1084">
      <c r="A1084" s="10">
        <f>IF(1066&gt;$E$5,"",SMALL($O$19:$O$4018,$E$6+1066))</f>
        <v/>
      </c>
      <c r="B1084" s="29">
        <f>IF(A1084="","",INDEX('자료_미국심리'!$B$3:$B$4002,MATCH(A1084,$O$19:$O$4018,0)))</f>
        <v/>
      </c>
      <c r="C1084" s="22">
        <f>IF(A1084="","",B1084/AVERAGE(B960:B1084)-1)</f>
        <v/>
      </c>
      <c r="D1084" s="29">
        <f>IF(A1084="","",IFERROR(INDEX('자료_미국심리'!$E$3:$E$4002,MATCH(A1084,$P$19:$P$4018,0)),D1083))</f>
        <v/>
      </c>
      <c r="E1084" s="29">
        <f>IF(A1084="","",IFERROR(INDEX('자료_미국심리'!$H$3:$H$4002,MATCH(A1084,$Q$19:$Q$4018,0)),E1083))</f>
        <v/>
      </c>
      <c r="F1084">
        <f>IF(A1084="",0,IF(A1084&gt;$B$5,1,0))</f>
        <v/>
      </c>
      <c r="G1084" s="29">
        <f>IF(AND(F1084=1,ISNUMBER(D1084)),D1084,"")</f>
        <v/>
      </c>
      <c r="H1084" s="29">
        <f>IF(AND(F1084=1,ISNUMBER(E1084)),E1084,"")</f>
        <v/>
      </c>
      <c r="I1084" s="22">
        <f>IF(AND(F1084=1,ISNUMBER(C1084)),C1084,"")</f>
        <v/>
      </c>
      <c r="J1084" s="11">
        <f>IF(G1084="","",100-IF($G$13=1,50,(_xlfn.RANK.AVG(G1084,$G$19:$G$1518,1)-1)/($G$13-1)*100))</f>
        <v/>
      </c>
      <c r="K1084" s="11">
        <f>IF(H1084="","",100-IF($G$14=1,50,(_xlfn.RANK.AVG(H1084,$H$19:$H$1518,1)-1)/($G$14-1)*100))</f>
        <v/>
      </c>
      <c r="L1084" s="11">
        <f>IF(I1084="","",IF($G$15=1,50,(_xlfn.RANK.AVG(I1084,$I$19:$I$1518,1)-1)/($G$15-1)*100))</f>
        <v/>
      </c>
      <c r="M1084" s="11">
        <f>IF(COUNT(J1084:L1084)=3,ROUND(AVERAGE(J1084:L1084),6),"")</f>
        <v/>
      </c>
      <c r="O1084">
        <f>IF(AND(ISNUMBER('자료_미국심리'!$A1068),ISNUMBER('자료_미국심리'!$B1068)),'자료_미국심리'!$A1068,"")</f>
        <v/>
      </c>
      <c r="P1084">
        <f>IF(AND(ISNUMBER('자료_미국심리'!$D1068),ISNUMBER('자료_미국심리'!$E1068)),'자료_미국심리'!$D1068,"")</f>
        <v/>
      </c>
      <c r="Q1084">
        <f>IF(AND(ISNUMBER('자료_미국심리'!$G1068),ISNUMBER('자료_미국심리'!$H1068)),'자료_미국심리'!$G1068,"")</f>
        <v/>
      </c>
    </row>
    <row r="1085">
      <c r="A1085" s="10">
        <f>IF(1067&gt;$E$5,"",SMALL($O$19:$O$4018,$E$6+1067))</f>
        <v/>
      </c>
      <c r="B1085" s="29">
        <f>IF(A1085="","",INDEX('자료_미국심리'!$B$3:$B$4002,MATCH(A1085,$O$19:$O$4018,0)))</f>
        <v/>
      </c>
      <c r="C1085" s="22">
        <f>IF(A1085="","",B1085/AVERAGE(B961:B1085)-1)</f>
        <v/>
      </c>
      <c r="D1085" s="29">
        <f>IF(A1085="","",IFERROR(INDEX('자료_미국심리'!$E$3:$E$4002,MATCH(A1085,$P$19:$P$4018,0)),D1084))</f>
        <v/>
      </c>
      <c r="E1085" s="29">
        <f>IF(A1085="","",IFERROR(INDEX('자료_미국심리'!$H$3:$H$4002,MATCH(A1085,$Q$19:$Q$4018,0)),E1084))</f>
        <v/>
      </c>
      <c r="F1085">
        <f>IF(A1085="",0,IF(A1085&gt;$B$5,1,0))</f>
        <v/>
      </c>
      <c r="G1085" s="29">
        <f>IF(AND(F1085=1,ISNUMBER(D1085)),D1085,"")</f>
        <v/>
      </c>
      <c r="H1085" s="29">
        <f>IF(AND(F1085=1,ISNUMBER(E1085)),E1085,"")</f>
        <v/>
      </c>
      <c r="I1085" s="22">
        <f>IF(AND(F1085=1,ISNUMBER(C1085)),C1085,"")</f>
        <v/>
      </c>
      <c r="J1085" s="11">
        <f>IF(G1085="","",100-IF($G$13=1,50,(_xlfn.RANK.AVG(G1085,$G$19:$G$1518,1)-1)/($G$13-1)*100))</f>
        <v/>
      </c>
      <c r="K1085" s="11">
        <f>IF(H1085="","",100-IF($G$14=1,50,(_xlfn.RANK.AVG(H1085,$H$19:$H$1518,1)-1)/($G$14-1)*100))</f>
        <v/>
      </c>
      <c r="L1085" s="11">
        <f>IF(I1085="","",IF($G$15=1,50,(_xlfn.RANK.AVG(I1085,$I$19:$I$1518,1)-1)/($G$15-1)*100))</f>
        <v/>
      </c>
      <c r="M1085" s="11">
        <f>IF(COUNT(J1085:L1085)=3,ROUND(AVERAGE(J1085:L1085),6),"")</f>
        <v/>
      </c>
      <c r="O1085">
        <f>IF(AND(ISNUMBER('자료_미국심리'!$A1069),ISNUMBER('자료_미국심리'!$B1069)),'자료_미국심리'!$A1069,"")</f>
        <v/>
      </c>
      <c r="P1085">
        <f>IF(AND(ISNUMBER('자료_미국심리'!$D1069),ISNUMBER('자료_미국심리'!$E1069)),'자료_미국심리'!$D1069,"")</f>
        <v/>
      </c>
      <c r="Q1085">
        <f>IF(AND(ISNUMBER('자료_미국심리'!$G1069),ISNUMBER('자료_미국심리'!$H1069)),'자료_미국심리'!$G1069,"")</f>
        <v/>
      </c>
    </row>
    <row r="1086">
      <c r="A1086" s="10">
        <f>IF(1068&gt;$E$5,"",SMALL($O$19:$O$4018,$E$6+1068))</f>
        <v/>
      </c>
      <c r="B1086" s="29">
        <f>IF(A1086="","",INDEX('자료_미국심리'!$B$3:$B$4002,MATCH(A1086,$O$19:$O$4018,0)))</f>
        <v/>
      </c>
      <c r="C1086" s="22">
        <f>IF(A1086="","",B1086/AVERAGE(B962:B1086)-1)</f>
        <v/>
      </c>
      <c r="D1086" s="29">
        <f>IF(A1086="","",IFERROR(INDEX('자료_미국심리'!$E$3:$E$4002,MATCH(A1086,$P$19:$P$4018,0)),D1085))</f>
        <v/>
      </c>
      <c r="E1086" s="29">
        <f>IF(A1086="","",IFERROR(INDEX('자료_미국심리'!$H$3:$H$4002,MATCH(A1086,$Q$19:$Q$4018,0)),E1085))</f>
        <v/>
      </c>
      <c r="F1086">
        <f>IF(A1086="",0,IF(A1086&gt;$B$5,1,0))</f>
        <v/>
      </c>
      <c r="G1086" s="29">
        <f>IF(AND(F1086=1,ISNUMBER(D1086)),D1086,"")</f>
        <v/>
      </c>
      <c r="H1086" s="29">
        <f>IF(AND(F1086=1,ISNUMBER(E1086)),E1086,"")</f>
        <v/>
      </c>
      <c r="I1086" s="22">
        <f>IF(AND(F1086=1,ISNUMBER(C1086)),C1086,"")</f>
        <v/>
      </c>
      <c r="J1086" s="11">
        <f>IF(G1086="","",100-IF($G$13=1,50,(_xlfn.RANK.AVG(G1086,$G$19:$G$1518,1)-1)/($G$13-1)*100))</f>
        <v/>
      </c>
      <c r="K1086" s="11">
        <f>IF(H1086="","",100-IF($G$14=1,50,(_xlfn.RANK.AVG(H1086,$H$19:$H$1518,1)-1)/($G$14-1)*100))</f>
        <v/>
      </c>
      <c r="L1086" s="11">
        <f>IF(I1086="","",IF($G$15=1,50,(_xlfn.RANK.AVG(I1086,$I$19:$I$1518,1)-1)/($G$15-1)*100))</f>
        <v/>
      </c>
      <c r="M1086" s="11">
        <f>IF(COUNT(J1086:L1086)=3,ROUND(AVERAGE(J1086:L1086),6),"")</f>
        <v/>
      </c>
      <c r="O1086">
        <f>IF(AND(ISNUMBER('자료_미국심리'!$A1070),ISNUMBER('자료_미국심리'!$B1070)),'자료_미국심리'!$A1070,"")</f>
        <v/>
      </c>
      <c r="P1086">
        <f>IF(AND(ISNUMBER('자료_미국심리'!$D1070),ISNUMBER('자료_미국심리'!$E1070)),'자료_미국심리'!$D1070,"")</f>
        <v/>
      </c>
      <c r="Q1086">
        <f>IF(AND(ISNUMBER('자료_미국심리'!$G1070),ISNUMBER('자료_미국심리'!$H1070)),'자료_미국심리'!$G1070,"")</f>
        <v/>
      </c>
    </row>
    <row r="1087">
      <c r="A1087" s="10">
        <f>IF(1069&gt;$E$5,"",SMALL($O$19:$O$4018,$E$6+1069))</f>
        <v/>
      </c>
      <c r="B1087" s="29">
        <f>IF(A1087="","",INDEX('자료_미국심리'!$B$3:$B$4002,MATCH(A1087,$O$19:$O$4018,0)))</f>
        <v/>
      </c>
      <c r="C1087" s="22">
        <f>IF(A1087="","",B1087/AVERAGE(B963:B1087)-1)</f>
        <v/>
      </c>
      <c r="D1087" s="29">
        <f>IF(A1087="","",IFERROR(INDEX('자료_미국심리'!$E$3:$E$4002,MATCH(A1087,$P$19:$P$4018,0)),D1086))</f>
        <v/>
      </c>
      <c r="E1087" s="29">
        <f>IF(A1087="","",IFERROR(INDEX('자료_미국심리'!$H$3:$H$4002,MATCH(A1087,$Q$19:$Q$4018,0)),E1086))</f>
        <v/>
      </c>
      <c r="F1087">
        <f>IF(A1087="",0,IF(A1087&gt;$B$5,1,0))</f>
        <v/>
      </c>
      <c r="G1087" s="29">
        <f>IF(AND(F1087=1,ISNUMBER(D1087)),D1087,"")</f>
        <v/>
      </c>
      <c r="H1087" s="29">
        <f>IF(AND(F1087=1,ISNUMBER(E1087)),E1087,"")</f>
        <v/>
      </c>
      <c r="I1087" s="22">
        <f>IF(AND(F1087=1,ISNUMBER(C1087)),C1087,"")</f>
        <v/>
      </c>
      <c r="J1087" s="11">
        <f>IF(G1087="","",100-IF($G$13=1,50,(_xlfn.RANK.AVG(G1087,$G$19:$G$1518,1)-1)/($G$13-1)*100))</f>
        <v/>
      </c>
      <c r="K1087" s="11">
        <f>IF(H1087="","",100-IF($G$14=1,50,(_xlfn.RANK.AVG(H1087,$H$19:$H$1518,1)-1)/($G$14-1)*100))</f>
        <v/>
      </c>
      <c r="L1087" s="11">
        <f>IF(I1087="","",IF($G$15=1,50,(_xlfn.RANK.AVG(I1087,$I$19:$I$1518,1)-1)/($G$15-1)*100))</f>
        <v/>
      </c>
      <c r="M1087" s="11">
        <f>IF(COUNT(J1087:L1087)=3,ROUND(AVERAGE(J1087:L1087),6),"")</f>
        <v/>
      </c>
      <c r="O1087">
        <f>IF(AND(ISNUMBER('자료_미국심리'!$A1071),ISNUMBER('자료_미국심리'!$B1071)),'자료_미국심리'!$A1071,"")</f>
        <v/>
      </c>
      <c r="P1087">
        <f>IF(AND(ISNUMBER('자료_미국심리'!$D1071),ISNUMBER('자료_미국심리'!$E1071)),'자료_미국심리'!$D1071,"")</f>
        <v/>
      </c>
      <c r="Q1087">
        <f>IF(AND(ISNUMBER('자료_미국심리'!$G1071),ISNUMBER('자료_미국심리'!$H1071)),'자료_미국심리'!$G1071,"")</f>
        <v/>
      </c>
    </row>
    <row r="1088">
      <c r="A1088" s="10">
        <f>IF(1070&gt;$E$5,"",SMALL($O$19:$O$4018,$E$6+1070))</f>
        <v/>
      </c>
      <c r="B1088" s="29">
        <f>IF(A1088="","",INDEX('자료_미국심리'!$B$3:$B$4002,MATCH(A1088,$O$19:$O$4018,0)))</f>
        <v/>
      </c>
      <c r="C1088" s="22">
        <f>IF(A1088="","",B1088/AVERAGE(B964:B1088)-1)</f>
        <v/>
      </c>
      <c r="D1088" s="29">
        <f>IF(A1088="","",IFERROR(INDEX('자료_미국심리'!$E$3:$E$4002,MATCH(A1088,$P$19:$P$4018,0)),D1087))</f>
        <v/>
      </c>
      <c r="E1088" s="29">
        <f>IF(A1088="","",IFERROR(INDEX('자료_미국심리'!$H$3:$H$4002,MATCH(A1088,$Q$19:$Q$4018,0)),E1087))</f>
        <v/>
      </c>
      <c r="F1088">
        <f>IF(A1088="",0,IF(A1088&gt;$B$5,1,0))</f>
        <v/>
      </c>
      <c r="G1088" s="29">
        <f>IF(AND(F1088=1,ISNUMBER(D1088)),D1088,"")</f>
        <v/>
      </c>
      <c r="H1088" s="29">
        <f>IF(AND(F1088=1,ISNUMBER(E1088)),E1088,"")</f>
        <v/>
      </c>
      <c r="I1088" s="22">
        <f>IF(AND(F1088=1,ISNUMBER(C1088)),C1088,"")</f>
        <v/>
      </c>
      <c r="J1088" s="11">
        <f>IF(G1088="","",100-IF($G$13=1,50,(_xlfn.RANK.AVG(G1088,$G$19:$G$1518,1)-1)/($G$13-1)*100))</f>
        <v/>
      </c>
      <c r="K1088" s="11">
        <f>IF(H1088="","",100-IF($G$14=1,50,(_xlfn.RANK.AVG(H1088,$H$19:$H$1518,1)-1)/($G$14-1)*100))</f>
        <v/>
      </c>
      <c r="L1088" s="11">
        <f>IF(I1088="","",IF($G$15=1,50,(_xlfn.RANK.AVG(I1088,$I$19:$I$1518,1)-1)/($G$15-1)*100))</f>
        <v/>
      </c>
      <c r="M1088" s="11">
        <f>IF(COUNT(J1088:L1088)=3,ROUND(AVERAGE(J1088:L1088),6),"")</f>
        <v/>
      </c>
      <c r="O1088">
        <f>IF(AND(ISNUMBER('자료_미국심리'!$A1072),ISNUMBER('자료_미국심리'!$B1072)),'자료_미국심리'!$A1072,"")</f>
        <v/>
      </c>
      <c r="P1088">
        <f>IF(AND(ISNUMBER('자료_미국심리'!$D1072),ISNUMBER('자료_미국심리'!$E1072)),'자료_미국심리'!$D1072,"")</f>
        <v/>
      </c>
      <c r="Q1088">
        <f>IF(AND(ISNUMBER('자료_미국심리'!$G1072),ISNUMBER('자료_미국심리'!$H1072)),'자료_미국심리'!$G1072,"")</f>
        <v/>
      </c>
    </row>
    <row r="1089">
      <c r="A1089" s="10">
        <f>IF(1071&gt;$E$5,"",SMALL($O$19:$O$4018,$E$6+1071))</f>
        <v/>
      </c>
      <c r="B1089" s="29">
        <f>IF(A1089="","",INDEX('자료_미국심리'!$B$3:$B$4002,MATCH(A1089,$O$19:$O$4018,0)))</f>
        <v/>
      </c>
      <c r="C1089" s="22">
        <f>IF(A1089="","",B1089/AVERAGE(B965:B1089)-1)</f>
        <v/>
      </c>
      <c r="D1089" s="29">
        <f>IF(A1089="","",IFERROR(INDEX('자료_미국심리'!$E$3:$E$4002,MATCH(A1089,$P$19:$P$4018,0)),D1088))</f>
        <v/>
      </c>
      <c r="E1089" s="29">
        <f>IF(A1089="","",IFERROR(INDEX('자료_미국심리'!$H$3:$H$4002,MATCH(A1089,$Q$19:$Q$4018,0)),E1088))</f>
        <v/>
      </c>
      <c r="F1089">
        <f>IF(A1089="",0,IF(A1089&gt;$B$5,1,0))</f>
        <v/>
      </c>
      <c r="G1089" s="29">
        <f>IF(AND(F1089=1,ISNUMBER(D1089)),D1089,"")</f>
        <v/>
      </c>
      <c r="H1089" s="29">
        <f>IF(AND(F1089=1,ISNUMBER(E1089)),E1089,"")</f>
        <v/>
      </c>
      <c r="I1089" s="22">
        <f>IF(AND(F1089=1,ISNUMBER(C1089)),C1089,"")</f>
        <v/>
      </c>
      <c r="J1089" s="11">
        <f>IF(G1089="","",100-IF($G$13=1,50,(_xlfn.RANK.AVG(G1089,$G$19:$G$1518,1)-1)/($G$13-1)*100))</f>
        <v/>
      </c>
      <c r="K1089" s="11">
        <f>IF(H1089="","",100-IF($G$14=1,50,(_xlfn.RANK.AVG(H1089,$H$19:$H$1518,1)-1)/($G$14-1)*100))</f>
        <v/>
      </c>
      <c r="L1089" s="11">
        <f>IF(I1089="","",IF($G$15=1,50,(_xlfn.RANK.AVG(I1089,$I$19:$I$1518,1)-1)/($G$15-1)*100))</f>
        <v/>
      </c>
      <c r="M1089" s="11">
        <f>IF(COUNT(J1089:L1089)=3,ROUND(AVERAGE(J1089:L1089),6),"")</f>
        <v/>
      </c>
      <c r="O1089">
        <f>IF(AND(ISNUMBER('자료_미국심리'!$A1073),ISNUMBER('자료_미국심리'!$B1073)),'자료_미국심리'!$A1073,"")</f>
        <v/>
      </c>
      <c r="P1089">
        <f>IF(AND(ISNUMBER('자료_미국심리'!$D1073),ISNUMBER('자료_미국심리'!$E1073)),'자료_미국심리'!$D1073,"")</f>
        <v/>
      </c>
      <c r="Q1089">
        <f>IF(AND(ISNUMBER('자료_미국심리'!$G1073),ISNUMBER('자료_미국심리'!$H1073)),'자료_미국심리'!$G1073,"")</f>
        <v/>
      </c>
    </row>
    <row r="1090">
      <c r="A1090" s="10">
        <f>IF(1072&gt;$E$5,"",SMALL($O$19:$O$4018,$E$6+1072))</f>
        <v/>
      </c>
      <c r="B1090" s="29">
        <f>IF(A1090="","",INDEX('자료_미국심리'!$B$3:$B$4002,MATCH(A1090,$O$19:$O$4018,0)))</f>
        <v/>
      </c>
      <c r="C1090" s="22">
        <f>IF(A1090="","",B1090/AVERAGE(B966:B1090)-1)</f>
        <v/>
      </c>
      <c r="D1090" s="29">
        <f>IF(A1090="","",IFERROR(INDEX('자료_미국심리'!$E$3:$E$4002,MATCH(A1090,$P$19:$P$4018,0)),D1089))</f>
        <v/>
      </c>
      <c r="E1090" s="29">
        <f>IF(A1090="","",IFERROR(INDEX('자료_미국심리'!$H$3:$H$4002,MATCH(A1090,$Q$19:$Q$4018,0)),E1089))</f>
        <v/>
      </c>
      <c r="F1090">
        <f>IF(A1090="",0,IF(A1090&gt;$B$5,1,0))</f>
        <v/>
      </c>
      <c r="G1090" s="29">
        <f>IF(AND(F1090=1,ISNUMBER(D1090)),D1090,"")</f>
        <v/>
      </c>
      <c r="H1090" s="29">
        <f>IF(AND(F1090=1,ISNUMBER(E1090)),E1090,"")</f>
        <v/>
      </c>
      <c r="I1090" s="22">
        <f>IF(AND(F1090=1,ISNUMBER(C1090)),C1090,"")</f>
        <v/>
      </c>
      <c r="J1090" s="11">
        <f>IF(G1090="","",100-IF($G$13=1,50,(_xlfn.RANK.AVG(G1090,$G$19:$G$1518,1)-1)/($G$13-1)*100))</f>
        <v/>
      </c>
      <c r="K1090" s="11">
        <f>IF(H1090="","",100-IF($G$14=1,50,(_xlfn.RANK.AVG(H1090,$H$19:$H$1518,1)-1)/($G$14-1)*100))</f>
        <v/>
      </c>
      <c r="L1090" s="11">
        <f>IF(I1090="","",IF($G$15=1,50,(_xlfn.RANK.AVG(I1090,$I$19:$I$1518,1)-1)/($G$15-1)*100))</f>
        <v/>
      </c>
      <c r="M1090" s="11">
        <f>IF(COUNT(J1090:L1090)=3,ROUND(AVERAGE(J1090:L1090),6),"")</f>
        <v/>
      </c>
      <c r="O1090">
        <f>IF(AND(ISNUMBER('자료_미국심리'!$A1074),ISNUMBER('자료_미국심리'!$B1074)),'자료_미국심리'!$A1074,"")</f>
        <v/>
      </c>
      <c r="P1090">
        <f>IF(AND(ISNUMBER('자료_미국심리'!$D1074),ISNUMBER('자료_미국심리'!$E1074)),'자료_미국심리'!$D1074,"")</f>
        <v/>
      </c>
      <c r="Q1090">
        <f>IF(AND(ISNUMBER('자료_미국심리'!$G1074),ISNUMBER('자료_미국심리'!$H1074)),'자료_미국심리'!$G1074,"")</f>
        <v/>
      </c>
    </row>
    <row r="1091">
      <c r="A1091" s="10">
        <f>IF(1073&gt;$E$5,"",SMALL($O$19:$O$4018,$E$6+1073))</f>
        <v/>
      </c>
      <c r="B1091" s="29">
        <f>IF(A1091="","",INDEX('자료_미국심리'!$B$3:$B$4002,MATCH(A1091,$O$19:$O$4018,0)))</f>
        <v/>
      </c>
      <c r="C1091" s="22">
        <f>IF(A1091="","",B1091/AVERAGE(B967:B1091)-1)</f>
        <v/>
      </c>
      <c r="D1091" s="29">
        <f>IF(A1091="","",IFERROR(INDEX('자료_미국심리'!$E$3:$E$4002,MATCH(A1091,$P$19:$P$4018,0)),D1090))</f>
        <v/>
      </c>
      <c r="E1091" s="29">
        <f>IF(A1091="","",IFERROR(INDEX('자료_미국심리'!$H$3:$H$4002,MATCH(A1091,$Q$19:$Q$4018,0)),E1090))</f>
        <v/>
      </c>
      <c r="F1091">
        <f>IF(A1091="",0,IF(A1091&gt;$B$5,1,0))</f>
        <v/>
      </c>
      <c r="G1091" s="29">
        <f>IF(AND(F1091=1,ISNUMBER(D1091)),D1091,"")</f>
        <v/>
      </c>
      <c r="H1091" s="29">
        <f>IF(AND(F1091=1,ISNUMBER(E1091)),E1091,"")</f>
        <v/>
      </c>
      <c r="I1091" s="22">
        <f>IF(AND(F1091=1,ISNUMBER(C1091)),C1091,"")</f>
        <v/>
      </c>
      <c r="J1091" s="11">
        <f>IF(G1091="","",100-IF($G$13=1,50,(_xlfn.RANK.AVG(G1091,$G$19:$G$1518,1)-1)/($G$13-1)*100))</f>
        <v/>
      </c>
      <c r="K1091" s="11">
        <f>IF(H1091="","",100-IF($G$14=1,50,(_xlfn.RANK.AVG(H1091,$H$19:$H$1518,1)-1)/($G$14-1)*100))</f>
        <v/>
      </c>
      <c r="L1091" s="11">
        <f>IF(I1091="","",IF($G$15=1,50,(_xlfn.RANK.AVG(I1091,$I$19:$I$1518,1)-1)/($G$15-1)*100))</f>
        <v/>
      </c>
      <c r="M1091" s="11">
        <f>IF(COUNT(J1091:L1091)=3,ROUND(AVERAGE(J1091:L1091),6),"")</f>
        <v/>
      </c>
      <c r="O1091">
        <f>IF(AND(ISNUMBER('자료_미국심리'!$A1075),ISNUMBER('자료_미국심리'!$B1075)),'자료_미국심리'!$A1075,"")</f>
        <v/>
      </c>
      <c r="P1091">
        <f>IF(AND(ISNUMBER('자료_미국심리'!$D1075),ISNUMBER('자료_미국심리'!$E1075)),'자료_미국심리'!$D1075,"")</f>
        <v/>
      </c>
      <c r="Q1091">
        <f>IF(AND(ISNUMBER('자료_미국심리'!$G1075),ISNUMBER('자료_미국심리'!$H1075)),'자료_미국심리'!$G1075,"")</f>
        <v/>
      </c>
    </row>
    <row r="1092">
      <c r="A1092" s="10">
        <f>IF(1074&gt;$E$5,"",SMALL($O$19:$O$4018,$E$6+1074))</f>
        <v/>
      </c>
      <c r="B1092" s="29">
        <f>IF(A1092="","",INDEX('자료_미국심리'!$B$3:$B$4002,MATCH(A1092,$O$19:$O$4018,0)))</f>
        <v/>
      </c>
      <c r="C1092" s="22">
        <f>IF(A1092="","",B1092/AVERAGE(B968:B1092)-1)</f>
        <v/>
      </c>
      <c r="D1092" s="29">
        <f>IF(A1092="","",IFERROR(INDEX('자료_미국심리'!$E$3:$E$4002,MATCH(A1092,$P$19:$P$4018,0)),D1091))</f>
        <v/>
      </c>
      <c r="E1092" s="29">
        <f>IF(A1092="","",IFERROR(INDEX('자료_미국심리'!$H$3:$H$4002,MATCH(A1092,$Q$19:$Q$4018,0)),E1091))</f>
        <v/>
      </c>
      <c r="F1092">
        <f>IF(A1092="",0,IF(A1092&gt;$B$5,1,0))</f>
        <v/>
      </c>
      <c r="G1092" s="29">
        <f>IF(AND(F1092=1,ISNUMBER(D1092)),D1092,"")</f>
        <v/>
      </c>
      <c r="H1092" s="29">
        <f>IF(AND(F1092=1,ISNUMBER(E1092)),E1092,"")</f>
        <v/>
      </c>
      <c r="I1092" s="22">
        <f>IF(AND(F1092=1,ISNUMBER(C1092)),C1092,"")</f>
        <v/>
      </c>
      <c r="J1092" s="11">
        <f>IF(G1092="","",100-IF($G$13=1,50,(_xlfn.RANK.AVG(G1092,$G$19:$G$1518,1)-1)/($G$13-1)*100))</f>
        <v/>
      </c>
      <c r="K1092" s="11">
        <f>IF(H1092="","",100-IF($G$14=1,50,(_xlfn.RANK.AVG(H1092,$H$19:$H$1518,1)-1)/($G$14-1)*100))</f>
        <v/>
      </c>
      <c r="L1092" s="11">
        <f>IF(I1092="","",IF($G$15=1,50,(_xlfn.RANK.AVG(I1092,$I$19:$I$1518,1)-1)/($G$15-1)*100))</f>
        <v/>
      </c>
      <c r="M1092" s="11">
        <f>IF(COUNT(J1092:L1092)=3,ROUND(AVERAGE(J1092:L1092),6),"")</f>
        <v/>
      </c>
      <c r="O1092">
        <f>IF(AND(ISNUMBER('자료_미국심리'!$A1076),ISNUMBER('자료_미국심리'!$B1076)),'자료_미국심리'!$A1076,"")</f>
        <v/>
      </c>
      <c r="P1092">
        <f>IF(AND(ISNUMBER('자료_미국심리'!$D1076),ISNUMBER('자료_미국심리'!$E1076)),'자료_미국심리'!$D1076,"")</f>
        <v/>
      </c>
      <c r="Q1092">
        <f>IF(AND(ISNUMBER('자료_미국심리'!$G1076),ISNUMBER('자료_미국심리'!$H1076)),'자료_미국심리'!$G1076,"")</f>
        <v/>
      </c>
    </row>
    <row r="1093">
      <c r="A1093" s="10">
        <f>IF(1075&gt;$E$5,"",SMALL($O$19:$O$4018,$E$6+1075))</f>
        <v/>
      </c>
      <c r="B1093" s="29">
        <f>IF(A1093="","",INDEX('자료_미국심리'!$B$3:$B$4002,MATCH(A1093,$O$19:$O$4018,0)))</f>
        <v/>
      </c>
      <c r="C1093" s="22">
        <f>IF(A1093="","",B1093/AVERAGE(B969:B1093)-1)</f>
        <v/>
      </c>
      <c r="D1093" s="29">
        <f>IF(A1093="","",IFERROR(INDEX('자료_미국심리'!$E$3:$E$4002,MATCH(A1093,$P$19:$P$4018,0)),D1092))</f>
        <v/>
      </c>
      <c r="E1093" s="29">
        <f>IF(A1093="","",IFERROR(INDEX('자료_미국심리'!$H$3:$H$4002,MATCH(A1093,$Q$19:$Q$4018,0)),E1092))</f>
        <v/>
      </c>
      <c r="F1093">
        <f>IF(A1093="",0,IF(A1093&gt;$B$5,1,0))</f>
        <v/>
      </c>
      <c r="G1093" s="29">
        <f>IF(AND(F1093=1,ISNUMBER(D1093)),D1093,"")</f>
        <v/>
      </c>
      <c r="H1093" s="29">
        <f>IF(AND(F1093=1,ISNUMBER(E1093)),E1093,"")</f>
        <v/>
      </c>
      <c r="I1093" s="22">
        <f>IF(AND(F1093=1,ISNUMBER(C1093)),C1093,"")</f>
        <v/>
      </c>
      <c r="J1093" s="11">
        <f>IF(G1093="","",100-IF($G$13=1,50,(_xlfn.RANK.AVG(G1093,$G$19:$G$1518,1)-1)/($G$13-1)*100))</f>
        <v/>
      </c>
      <c r="K1093" s="11">
        <f>IF(H1093="","",100-IF($G$14=1,50,(_xlfn.RANK.AVG(H1093,$H$19:$H$1518,1)-1)/($G$14-1)*100))</f>
        <v/>
      </c>
      <c r="L1093" s="11">
        <f>IF(I1093="","",IF($G$15=1,50,(_xlfn.RANK.AVG(I1093,$I$19:$I$1518,1)-1)/($G$15-1)*100))</f>
        <v/>
      </c>
      <c r="M1093" s="11">
        <f>IF(COUNT(J1093:L1093)=3,ROUND(AVERAGE(J1093:L1093),6),"")</f>
        <v/>
      </c>
      <c r="O1093">
        <f>IF(AND(ISNUMBER('자료_미국심리'!$A1077),ISNUMBER('자료_미국심리'!$B1077)),'자료_미국심리'!$A1077,"")</f>
        <v/>
      </c>
      <c r="P1093">
        <f>IF(AND(ISNUMBER('자료_미국심리'!$D1077),ISNUMBER('자료_미국심리'!$E1077)),'자료_미국심리'!$D1077,"")</f>
        <v/>
      </c>
      <c r="Q1093">
        <f>IF(AND(ISNUMBER('자료_미국심리'!$G1077),ISNUMBER('자료_미국심리'!$H1077)),'자료_미국심리'!$G1077,"")</f>
        <v/>
      </c>
    </row>
    <row r="1094">
      <c r="A1094" s="10">
        <f>IF(1076&gt;$E$5,"",SMALL($O$19:$O$4018,$E$6+1076))</f>
        <v/>
      </c>
      <c r="B1094" s="29">
        <f>IF(A1094="","",INDEX('자료_미국심리'!$B$3:$B$4002,MATCH(A1094,$O$19:$O$4018,0)))</f>
        <v/>
      </c>
      <c r="C1094" s="22">
        <f>IF(A1094="","",B1094/AVERAGE(B970:B1094)-1)</f>
        <v/>
      </c>
      <c r="D1094" s="29">
        <f>IF(A1094="","",IFERROR(INDEX('자료_미국심리'!$E$3:$E$4002,MATCH(A1094,$P$19:$P$4018,0)),D1093))</f>
        <v/>
      </c>
      <c r="E1094" s="29">
        <f>IF(A1094="","",IFERROR(INDEX('자료_미국심리'!$H$3:$H$4002,MATCH(A1094,$Q$19:$Q$4018,0)),E1093))</f>
        <v/>
      </c>
      <c r="F1094">
        <f>IF(A1094="",0,IF(A1094&gt;$B$5,1,0))</f>
        <v/>
      </c>
      <c r="G1094" s="29">
        <f>IF(AND(F1094=1,ISNUMBER(D1094)),D1094,"")</f>
        <v/>
      </c>
      <c r="H1094" s="29">
        <f>IF(AND(F1094=1,ISNUMBER(E1094)),E1094,"")</f>
        <v/>
      </c>
      <c r="I1094" s="22">
        <f>IF(AND(F1094=1,ISNUMBER(C1094)),C1094,"")</f>
        <v/>
      </c>
      <c r="J1094" s="11">
        <f>IF(G1094="","",100-IF($G$13=1,50,(_xlfn.RANK.AVG(G1094,$G$19:$G$1518,1)-1)/($G$13-1)*100))</f>
        <v/>
      </c>
      <c r="K1094" s="11">
        <f>IF(H1094="","",100-IF($G$14=1,50,(_xlfn.RANK.AVG(H1094,$H$19:$H$1518,1)-1)/($G$14-1)*100))</f>
        <v/>
      </c>
      <c r="L1094" s="11">
        <f>IF(I1094="","",IF($G$15=1,50,(_xlfn.RANK.AVG(I1094,$I$19:$I$1518,1)-1)/($G$15-1)*100))</f>
        <v/>
      </c>
      <c r="M1094" s="11">
        <f>IF(COUNT(J1094:L1094)=3,ROUND(AVERAGE(J1094:L1094),6),"")</f>
        <v/>
      </c>
      <c r="O1094">
        <f>IF(AND(ISNUMBER('자료_미국심리'!$A1078),ISNUMBER('자료_미국심리'!$B1078)),'자료_미국심리'!$A1078,"")</f>
        <v/>
      </c>
      <c r="P1094">
        <f>IF(AND(ISNUMBER('자료_미국심리'!$D1078),ISNUMBER('자료_미국심리'!$E1078)),'자료_미국심리'!$D1078,"")</f>
        <v/>
      </c>
      <c r="Q1094">
        <f>IF(AND(ISNUMBER('자료_미국심리'!$G1078),ISNUMBER('자료_미국심리'!$H1078)),'자료_미국심리'!$G1078,"")</f>
        <v/>
      </c>
    </row>
    <row r="1095">
      <c r="A1095" s="10">
        <f>IF(1077&gt;$E$5,"",SMALL($O$19:$O$4018,$E$6+1077))</f>
        <v/>
      </c>
      <c r="B1095" s="29">
        <f>IF(A1095="","",INDEX('자료_미국심리'!$B$3:$B$4002,MATCH(A1095,$O$19:$O$4018,0)))</f>
        <v/>
      </c>
      <c r="C1095" s="22">
        <f>IF(A1095="","",B1095/AVERAGE(B971:B1095)-1)</f>
        <v/>
      </c>
      <c r="D1095" s="29">
        <f>IF(A1095="","",IFERROR(INDEX('자료_미국심리'!$E$3:$E$4002,MATCH(A1095,$P$19:$P$4018,0)),D1094))</f>
        <v/>
      </c>
      <c r="E1095" s="29">
        <f>IF(A1095="","",IFERROR(INDEX('자료_미국심리'!$H$3:$H$4002,MATCH(A1095,$Q$19:$Q$4018,0)),E1094))</f>
        <v/>
      </c>
      <c r="F1095">
        <f>IF(A1095="",0,IF(A1095&gt;$B$5,1,0))</f>
        <v/>
      </c>
      <c r="G1095" s="29">
        <f>IF(AND(F1095=1,ISNUMBER(D1095)),D1095,"")</f>
        <v/>
      </c>
      <c r="H1095" s="29">
        <f>IF(AND(F1095=1,ISNUMBER(E1095)),E1095,"")</f>
        <v/>
      </c>
      <c r="I1095" s="22">
        <f>IF(AND(F1095=1,ISNUMBER(C1095)),C1095,"")</f>
        <v/>
      </c>
      <c r="J1095" s="11">
        <f>IF(G1095="","",100-IF($G$13=1,50,(_xlfn.RANK.AVG(G1095,$G$19:$G$1518,1)-1)/($G$13-1)*100))</f>
        <v/>
      </c>
      <c r="K1095" s="11">
        <f>IF(H1095="","",100-IF($G$14=1,50,(_xlfn.RANK.AVG(H1095,$H$19:$H$1518,1)-1)/($G$14-1)*100))</f>
        <v/>
      </c>
      <c r="L1095" s="11">
        <f>IF(I1095="","",IF($G$15=1,50,(_xlfn.RANK.AVG(I1095,$I$19:$I$1518,1)-1)/($G$15-1)*100))</f>
        <v/>
      </c>
      <c r="M1095" s="11">
        <f>IF(COUNT(J1095:L1095)=3,ROUND(AVERAGE(J1095:L1095),6),"")</f>
        <v/>
      </c>
      <c r="O1095">
        <f>IF(AND(ISNUMBER('자료_미국심리'!$A1079),ISNUMBER('자료_미국심리'!$B1079)),'자료_미국심리'!$A1079,"")</f>
        <v/>
      </c>
      <c r="P1095">
        <f>IF(AND(ISNUMBER('자료_미국심리'!$D1079),ISNUMBER('자료_미국심리'!$E1079)),'자료_미국심리'!$D1079,"")</f>
        <v/>
      </c>
      <c r="Q1095">
        <f>IF(AND(ISNUMBER('자료_미국심리'!$G1079),ISNUMBER('자료_미국심리'!$H1079)),'자료_미국심리'!$G1079,"")</f>
        <v/>
      </c>
    </row>
    <row r="1096">
      <c r="A1096" s="10">
        <f>IF(1078&gt;$E$5,"",SMALL($O$19:$O$4018,$E$6+1078))</f>
        <v/>
      </c>
      <c r="B1096" s="29">
        <f>IF(A1096="","",INDEX('자료_미국심리'!$B$3:$B$4002,MATCH(A1096,$O$19:$O$4018,0)))</f>
        <v/>
      </c>
      <c r="C1096" s="22">
        <f>IF(A1096="","",B1096/AVERAGE(B972:B1096)-1)</f>
        <v/>
      </c>
      <c r="D1096" s="29">
        <f>IF(A1096="","",IFERROR(INDEX('자료_미국심리'!$E$3:$E$4002,MATCH(A1096,$P$19:$P$4018,0)),D1095))</f>
        <v/>
      </c>
      <c r="E1096" s="29">
        <f>IF(A1096="","",IFERROR(INDEX('자료_미국심리'!$H$3:$H$4002,MATCH(A1096,$Q$19:$Q$4018,0)),E1095))</f>
        <v/>
      </c>
      <c r="F1096">
        <f>IF(A1096="",0,IF(A1096&gt;$B$5,1,0))</f>
        <v/>
      </c>
      <c r="G1096" s="29">
        <f>IF(AND(F1096=1,ISNUMBER(D1096)),D1096,"")</f>
        <v/>
      </c>
      <c r="H1096" s="29">
        <f>IF(AND(F1096=1,ISNUMBER(E1096)),E1096,"")</f>
        <v/>
      </c>
      <c r="I1096" s="22">
        <f>IF(AND(F1096=1,ISNUMBER(C1096)),C1096,"")</f>
        <v/>
      </c>
      <c r="J1096" s="11">
        <f>IF(G1096="","",100-IF($G$13=1,50,(_xlfn.RANK.AVG(G1096,$G$19:$G$1518,1)-1)/($G$13-1)*100))</f>
        <v/>
      </c>
      <c r="K1096" s="11">
        <f>IF(H1096="","",100-IF($G$14=1,50,(_xlfn.RANK.AVG(H1096,$H$19:$H$1518,1)-1)/($G$14-1)*100))</f>
        <v/>
      </c>
      <c r="L1096" s="11">
        <f>IF(I1096="","",IF($G$15=1,50,(_xlfn.RANK.AVG(I1096,$I$19:$I$1518,1)-1)/($G$15-1)*100))</f>
        <v/>
      </c>
      <c r="M1096" s="11">
        <f>IF(COUNT(J1096:L1096)=3,ROUND(AVERAGE(J1096:L1096),6),"")</f>
        <v/>
      </c>
      <c r="O1096">
        <f>IF(AND(ISNUMBER('자료_미국심리'!$A1080),ISNUMBER('자료_미국심리'!$B1080)),'자료_미국심리'!$A1080,"")</f>
        <v/>
      </c>
      <c r="P1096">
        <f>IF(AND(ISNUMBER('자료_미국심리'!$D1080),ISNUMBER('자료_미국심리'!$E1080)),'자료_미국심리'!$D1080,"")</f>
        <v/>
      </c>
      <c r="Q1096">
        <f>IF(AND(ISNUMBER('자료_미국심리'!$G1080),ISNUMBER('자료_미국심리'!$H1080)),'자료_미국심리'!$G1080,"")</f>
        <v/>
      </c>
    </row>
    <row r="1097">
      <c r="A1097" s="10">
        <f>IF(1079&gt;$E$5,"",SMALL($O$19:$O$4018,$E$6+1079))</f>
        <v/>
      </c>
      <c r="B1097" s="29">
        <f>IF(A1097="","",INDEX('자료_미국심리'!$B$3:$B$4002,MATCH(A1097,$O$19:$O$4018,0)))</f>
        <v/>
      </c>
      <c r="C1097" s="22">
        <f>IF(A1097="","",B1097/AVERAGE(B973:B1097)-1)</f>
        <v/>
      </c>
      <c r="D1097" s="29">
        <f>IF(A1097="","",IFERROR(INDEX('자료_미국심리'!$E$3:$E$4002,MATCH(A1097,$P$19:$P$4018,0)),D1096))</f>
        <v/>
      </c>
      <c r="E1097" s="29">
        <f>IF(A1097="","",IFERROR(INDEX('자료_미국심리'!$H$3:$H$4002,MATCH(A1097,$Q$19:$Q$4018,0)),E1096))</f>
        <v/>
      </c>
      <c r="F1097">
        <f>IF(A1097="",0,IF(A1097&gt;$B$5,1,0))</f>
        <v/>
      </c>
      <c r="G1097" s="29">
        <f>IF(AND(F1097=1,ISNUMBER(D1097)),D1097,"")</f>
        <v/>
      </c>
      <c r="H1097" s="29">
        <f>IF(AND(F1097=1,ISNUMBER(E1097)),E1097,"")</f>
        <v/>
      </c>
      <c r="I1097" s="22">
        <f>IF(AND(F1097=1,ISNUMBER(C1097)),C1097,"")</f>
        <v/>
      </c>
      <c r="J1097" s="11">
        <f>IF(G1097="","",100-IF($G$13=1,50,(_xlfn.RANK.AVG(G1097,$G$19:$G$1518,1)-1)/($G$13-1)*100))</f>
        <v/>
      </c>
      <c r="K1097" s="11">
        <f>IF(H1097="","",100-IF($G$14=1,50,(_xlfn.RANK.AVG(H1097,$H$19:$H$1518,1)-1)/($G$14-1)*100))</f>
        <v/>
      </c>
      <c r="L1097" s="11">
        <f>IF(I1097="","",IF($G$15=1,50,(_xlfn.RANK.AVG(I1097,$I$19:$I$1518,1)-1)/($G$15-1)*100))</f>
        <v/>
      </c>
      <c r="M1097" s="11">
        <f>IF(COUNT(J1097:L1097)=3,ROUND(AVERAGE(J1097:L1097),6),"")</f>
        <v/>
      </c>
      <c r="O1097">
        <f>IF(AND(ISNUMBER('자료_미국심리'!$A1081),ISNUMBER('자료_미국심리'!$B1081)),'자료_미국심리'!$A1081,"")</f>
        <v/>
      </c>
      <c r="P1097">
        <f>IF(AND(ISNUMBER('자료_미국심리'!$D1081),ISNUMBER('자료_미국심리'!$E1081)),'자료_미국심리'!$D1081,"")</f>
        <v/>
      </c>
      <c r="Q1097">
        <f>IF(AND(ISNUMBER('자료_미국심리'!$G1081),ISNUMBER('자료_미국심리'!$H1081)),'자료_미국심리'!$G1081,"")</f>
        <v/>
      </c>
    </row>
    <row r="1098">
      <c r="A1098" s="10">
        <f>IF(1080&gt;$E$5,"",SMALL($O$19:$O$4018,$E$6+1080))</f>
        <v/>
      </c>
      <c r="B1098" s="29">
        <f>IF(A1098="","",INDEX('자료_미국심리'!$B$3:$B$4002,MATCH(A1098,$O$19:$O$4018,0)))</f>
        <v/>
      </c>
      <c r="C1098" s="22">
        <f>IF(A1098="","",B1098/AVERAGE(B974:B1098)-1)</f>
        <v/>
      </c>
      <c r="D1098" s="29">
        <f>IF(A1098="","",IFERROR(INDEX('자료_미국심리'!$E$3:$E$4002,MATCH(A1098,$P$19:$P$4018,0)),D1097))</f>
        <v/>
      </c>
      <c r="E1098" s="29">
        <f>IF(A1098="","",IFERROR(INDEX('자료_미국심리'!$H$3:$H$4002,MATCH(A1098,$Q$19:$Q$4018,0)),E1097))</f>
        <v/>
      </c>
      <c r="F1098">
        <f>IF(A1098="",0,IF(A1098&gt;$B$5,1,0))</f>
        <v/>
      </c>
      <c r="G1098" s="29">
        <f>IF(AND(F1098=1,ISNUMBER(D1098)),D1098,"")</f>
        <v/>
      </c>
      <c r="H1098" s="29">
        <f>IF(AND(F1098=1,ISNUMBER(E1098)),E1098,"")</f>
        <v/>
      </c>
      <c r="I1098" s="22">
        <f>IF(AND(F1098=1,ISNUMBER(C1098)),C1098,"")</f>
        <v/>
      </c>
      <c r="J1098" s="11">
        <f>IF(G1098="","",100-IF($G$13=1,50,(_xlfn.RANK.AVG(G1098,$G$19:$G$1518,1)-1)/($G$13-1)*100))</f>
        <v/>
      </c>
      <c r="K1098" s="11">
        <f>IF(H1098="","",100-IF($G$14=1,50,(_xlfn.RANK.AVG(H1098,$H$19:$H$1518,1)-1)/($G$14-1)*100))</f>
        <v/>
      </c>
      <c r="L1098" s="11">
        <f>IF(I1098="","",IF($G$15=1,50,(_xlfn.RANK.AVG(I1098,$I$19:$I$1518,1)-1)/($G$15-1)*100))</f>
        <v/>
      </c>
      <c r="M1098" s="11">
        <f>IF(COUNT(J1098:L1098)=3,ROUND(AVERAGE(J1098:L1098),6),"")</f>
        <v/>
      </c>
      <c r="O1098">
        <f>IF(AND(ISNUMBER('자료_미국심리'!$A1082),ISNUMBER('자료_미국심리'!$B1082)),'자료_미국심리'!$A1082,"")</f>
        <v/>
      </c>
      <c r="P1098">
        <f>IF(AND(ISNUMBER('자료_미국심리'!$D1082),ISNUMBER('자료_미국심리'!$E1082)),'자료_미국심리'!$D1082,"")</f>
        <v/>
      </c>
      <c r="Q1098">
        <f>IF(AND(ISNUMBER('자료_미국심리'!$G1082),ISNUMBER('자료_미국심리'!$H1082)),'자료_미국심리'!$G1082,"")</f>
        <v/>
      </c>
    </row>
    <row r="1099">
      <c r="A1099" s="10">
        <f>IF(1081&gt;$E$5,"",SMALL($O$19:$O$4018,$E$6+1081))</f>
        <v/>
      </c>
      <c r="B1099" s="29">
        <f>IF(A1099="","",INDEX('자료_미국심리'!$B$3:$B$4002,MATCH(A1099,$O$19:$O$4018,0)))</f>
        <v/>
      </c>
      <c r="C1099" s="22">
        <f>IF(A1099="","",B1099/AVERAGE(B975:B1099)-1)</f>
        <v/>
      </c>
      <c r="D1099" s="29">
        <f>IF(A1099="","",IFERROR(INDEX('자료_미국심리'!$E$3:$E$4002,MATCH(A1099,$P$19:$P$4018,0)),D1098))</f>
        <v/>
      </c>
      <c r="E1099" s="29">
        <f>IF(A1099="","",IFERROR(INDEX('자료_미국심리'!$H$3:$H$4002,MATCH(A1099,$Q$19:$Q$4018,0)),E1098))</f>
        <v/>
      </c>
      <c r="F1099">
        <f>IF(A1099="",0,IF(A1099&gt;$B$5,1,0))</f>
        <v/>
      </c>
      <c r="G1099" s="29">
        <f>IF(AND(F1099=1,ISNUMBER(D1099)),D1099,"")</f>
        <v/>
      </c>
      <c r="H1099" s="29">
        <f>IF(AND(F1099=1,ISNUMBER(E1099)),E1099,"")</f>
        <v/>
      </c>
      <c r="I1099" s="22">
        <f>IF(AND(F1099=1,ISNUMBER(C1099)),C1099,"")</f>
        <v/>
      </c>
      <c r="J1099" s="11">
        <f>IF(G1099="","",100-IF($G$13=1,50,(_xlfn.RANK.AVG(G1099,$G$19:$G$1518,1)-1)/($G$13-1)*100))</f>
        <v/>
      </c>
      <c r="K1099" s="11">
        <f>IF(H1099="","",100-IF($G$14=1,50,(_xlfn.RANK.AVG(H1099,$H$19:$H$1518,1)-1)/($G$14-1)*100))</f>
        <v/>
      </c>
      <c r="L1099" s="11">
        <f>IF(I1099="","",IF($G$15=1,50,(_xlfn.RANK.AVG(I1099,$I$19:$I$1518,1)-1)/($G$15-1)*100))</f>
        <v/>
      </c>
      <c r="M1099" s="11">
        <f>IF(COUNT(J1099:L1099)=3,ROUND(AVERAGE(J1099:L1099),6),"")</f>
        <v/>
      </c>
      <c r="O1099">
        <f>IF(AND(ISNUMBER('자료_미국심리'!$A1083),ISNUMBER('자료_미국심리'!$B1083)),'자료_미국심리'!$A1083,"")</f>
        <v/>
      </c>
      <c r="P1099">
        <f>IF(AND(ISNUMBER('자료_미국심리'!$D1083),ISNUMBER('자료_미국심리'!$E1083)),'자료_미국심리'!$D1083,"")</f>
        <v/>
      </c>
      <c r="Q1099">
        <f>IF(AND(ISNUMBER('자료_미국심리'!$G1083),ISNUMBER('자료_미국심리'!$H1083)),'자료_미국심리'!$G1083,"")</f>
        <v/>
      </c>
    </row>
    <row r="1100">
      <c r="A1100" s="10">
        <f>IF(1082&gt;$E$5,"",SMALL($O$19:$O$4018,$E$6+1082))</f>
        <v/>
      </c>
      <c r="B1100" s="29">
        <f>IF(A1100="","",INDEX('자료_미국심리'!$B$3:$B$4002,MATCH(A1100,$O$19:$O$4018,0)))</f>
        <v/>
      </c>
      <c r="C1100" s="22">
        <f>IF(A1100="","",B1100/AVERAGE(B976:B1100)-1)</f>
        <v/>
      </c>
      <c r="D1100" s="29">
        <f>IF(A1100="","",IFERROR(INDEX('자료_미국심리'!$E$3:$E$4002,MATCH(A1100,$P$19:$P$4018,0)),D1099))</f>
        <v/>
      </c>
      <c r="E1100" s="29">
        <f>IF(A1100="","",IFERROR(INDEX('자료_미국심리'!$H$3:$H$4002,MATCH(A1100,$Q$19:$Q$4018,0)),E1099))</f>
        <v/>
      </c>
      <c r="F1100">
        <f>IF(A1100="",0,IF(A1100&gt;$B$5,1,0))</f>
        <v/>
      </c>
      <c r="G1100" s="29">
        <f>IF(AND(F1100=1,ISNUMBER(D1100)),D1100,"")</f>
        <v/>
      </c>
      <c r="H1100" s="29">
        <f>IF(AND(F1100=1,ISNUMBER(E1100)),E1100,"")</f>
        <v/>
      </c>
      <c r="I1100" s="22">
        <f>IF(AND(F1100=1,ISNUMBER(C1100)),C1100,"")</f>
        <v/>
      </c>
      <c r="J1100" s="11">
        <f>IF(G1100="","",100-IF($G$13=1,50,(_xlfn.RANK.AVG(G1100,$G$19:$G$1518,1)-1)/($G$13-1)*100))</f>
        <v/>
      </c>
      <c r="K1100" s="11">
        <f>IF(H1100="","",100-IF($G$14=1,50,(_xlfn.RANK.AVG(H1100,$H$19:$H$1518,1)-1)/($G$14-1)*100))</f>
        <v/>
      </c>
      <c r="L1100" s="11">
        <f>IF(I1100="","",IF($G$15=1,50,(_xlfn.RANK.AVG(I1100,$I$19:$I$1518,1)-1)/($G$15-1)*100))</f>
        <v/>
      </c>
      <c r="M1100" s="11">
        <f>IF(COUNT(J1100:L1100)=3,ROUND(AVERAGE(J1100:L1100),6),"")</f>
        <v/>
      </c>
      <c r="O1100">
        <f>IF(AND(ISNUMBER('자료_미국심리'!$A1084),ISNUMBER('자료_미국심리'!$B1084)),'자료_미국심리'!$A1084,"")</f>
        <v/>
      </c>
      <c r="P1100">
        <f>IF(AND(ISNUMBER('자료_미국심리'!$D1084),ISNUMBER('자료_미국심리'!$E1084)),'자료_미국심리'!$D1084,"")</f>
        <v/>
      </c>
      <c r="Q1100">
        <f>IF(AND(ISNUMBER('자료_미국심리'!$G1084),ISNUMBER('자료_미국심리'!$H1084)),'자료_미국심리'!$G1084,"")</f>
        <v/>
      </c>
    </row>
    <row r="1101">
      <c r="A1101" s="10">
        <f>IF(1083&gt;$E$5,"",SMALL($O$19:$O$4018,$E$6+1083))</f>
        <v/>
      </c>
      <c r="B1101" s="29">
        <f>IF(A1101="","",INDEX('자료_미국심리'!$B$3:$B$4002,MATCH(A1101,$O$19:$O$4018,0)))</f>
        <v/>
      </c>
      <c r="C1101" s="22">
        <f>IF(A1101="","",B1101/AVERAGE(B977:B1101)-1)</f>
        <v/>
      </c>
      <c r="D1101" s="29">
        <f>IF(A1101="","",IFERROR(INDEX('자료_미국심리'!$E$3:$E$4002,MATCH(A1101,$P$19:$P$4018,0)),D1100))</f>
        <v/>
      </c>
      <c r="E1101" s="29">
        <f>IF(A1101="","",IFERROR(INDEX('자료_미국심리'!$H$3:$H$4002,MATCH(A1101,$Q$19:$Q$4018,0)),E1100))</f>
        <v/>
      </c>
      <c r="F1101">
        <f>IF(A1101="",0,IF(A1101&gt;$B$5,1,0))</f>
        <v/>
      </c>
      <c r="G1101" s="29">
        <f>IF(AND(F1101=1,ISNUMBER(D1101)),D1101,"")</f>
        <v/>
      </c>
      <c r="H1101" s="29">
        <f>IF(AND(F1101=1,ISNUMBER(E1101)),E1101,"")</f>
        <v/>
      </c>
      <c r="I1101" s="22">
        <f>IF(AND(F1101=1,ISNUMBER(C1101)),C1101,"")</f>
        <v/>
      </c>
      <c r="J1101" s="11">
        <f>IF(G1101="","",100-IF($G$13=1,50,(_xlfn.RANK.AVG(G1101,$G$19:$G$1518,1)-1)/($G$13-1)*100))</f>
        <v/>
      </c>
      <c r="K1101" s="11">
        <f>IF(H1101="","",100-IF($G$14=1,50,(_xlfn.RANK.AVG(H1101,$H$19:$H$1518,1)-1)/($G$14-1)*100))</f>
        <v/>
      </c>
      <c r="L1101" s="11">
        <f>IF(I1101="","",IF($G$15=1,50,(_xlfn.RANK.AVG(I1101,$I$19:$I$1518,1)-1)/($G$15-1)*100))</f>
        <v/>
      </c>
      <c r="M1101" s="11">
        <f>IF(COUNT(J1101:L1101)=3,ROUND(AVERAGE(J1101:L1101),6),"")</f>
        <v/>
      </c>
      <c r="O1101">
        <f>IF(AND(ISNUMBER('자료_미국심리'!$A1085),ISNUMBER('자료_미국심리'!$B1085)),'자료_미국심리'!$A1085,"")</f>
        <v/>
      </c>
      <c r="P1101">
        <f>IF(AND(ISNUMBER('자료_미국심리'!$D1085),ISNUMBER('자료_미국심리'!$E1085)),'자료_미국심리'!$D1085,"")</f>
        <v/>
      </c>
      <c r="Q1101">
        <f>IF(AND(ISNUMBER('자료_미국심리'!$G1085),ISNUMBER('자료_미국심리'!$H1085)),'자료_미국심리'!$G1085,"")</f>
        <v/>
      </c>
    </row>
    <row r="1102">
      <c r="A1102" s="10">
        <f>IF(1084&gt;$E$5,"",SMALL($O$19:$O$4018,$E$6+1084))</f>
        <v/>
      </c>
      <c r="B1102" s="29">
        <f>IF(A1102="","",INDEX('자료_미국심리'!$B$3:$B$4002,MATCH(A1102,$O$19:$O$4018,0)))</f>
        <v/>
      </c>
      <c r="C1102" s="22">
        <f>IF(A1102="","",B1102/AVERAGE(B978:B1102)-1)</f>
        <v/>
      </c>
      <c r="D1102" s="29">
        <f>IF(A1102="","",IFERROR(INDEX('자료_미국심리'!$E$3:$E$4002,MATCH(A1102,$P$19:$P$4018,0)),D1101))</f>
        <v/>
      </c>
      <c r="E1102" s="29">
        <f>IF(A1102="","",IFERROR(INDEX('자료_미국심리'!$H$3:$H$4002,MATCH(A1102,$Q$19:$Q$4018,0)),E1101))</f>
        <v/>
      </c>
      <c r="F1102">
        <f>IF(A1102="",0,IF(A1102&gt;$B$5,1,0))</f>
        <v/>
      </c>
      <c r="G1102" s="29">
        <f>IF(AND(F1102=1,ISNUMBER(D1102)),D1102,"")</f>
        <v/>
      </c>
      <c r="H1102" s="29">
        <f>IF(AND(F1102=1,ISNUMBER(E1102)),E1102,"")</f>
        <v/>
      </c>
      <c r="I1102" s="22">
        <f>IF(AND(F1102=1,ISNUMBER(C1102)),C1102,"")</f>
        <v/>
      </c>
      <c r="J1102" s="11">
        <f>IF(G1102="","",100-IF($G$13=1,50,(_xlfn.RANK.AVG(G1102,$G$19:$G$1518,1)-1)/($G$13-1)*100))</f>
        <v/>
      </c>
      <c r="K1102" s="11">
        <f>IF(H1102="","",100-IF($G$14=1,50,(_xlfn.RANK.AVG(H1102,$H$19:$H$1518,1)-1)/($G$14-1)*100))</f>
        <v/>
      </c>
      <c r="L1102" s="11">
        <f>IF(I1102="","",IF($G$15=1,50,(_xlfn.RANK.AVG(I1102,$I$19:$I$1518,1)-1)/($G$15-1)*100))</f>
        <v/>
      </c>
      <c r="M1102" s="11">
        <f>IF(COUNT(J1102:L1102)=3,ROUND(AVERAGE(J1102:L1102),6),"")</f>
        <v/>
      </c>
      <c r="O1102">
        <f>IF(AND(ISNUMBER('자료_미국심리'!$A1086),ISNUMBER('자료_미국심리'!$B1086)),'자료_미국심리'!$A1086,"")</f>
        <v/>
      </c>
      <c r="P1102">
        <f>IF(AND(ISNUMBER('자료_미국심리'!$D1086),ISNUMBER('자료_미국심리'!$E1086)),'자료_미국심리'!$D1086,"")</f>
        <v/>
      </c>
      <c r="Q1102">
        <f>IF(AND(ISNUMBER('자료_미국심리'!$G1086),ISNUMBER('자료_미국심리'!$H1086)),'자료_미국심리'!$G1086,"")</f>
        <v/>
      </c>
    </row>
    <row r="1103">
      <c r="A1103" s="10">
        <f>IF(1085&gt;$E$5,"",SMALL($O$19:$O$4018,$E$6+1085))</f>
        <v/>
      </c>
      <c r="B1103" s="29">
        <f>IF(A1103="","",INDEX('자료_미국심리'!$B$3:$B$4002,MATCH(A1103,$O$19:$O$4018,0)))</f>
        <v/>
      </c>
      <c r="C1103" s="22">
        <f>IF(A1103="","",B1103/AVERAGE(B979:B1103)-1)</f>
        <v/>
      </c>
      <c r="D1103" s="29">
        <f>IF(A1103="","",IFERROR(INDEX('자료_미국심리'!$E$3:$E$4002,MATCH(A1103,$P$19:$P$4018,0)),D1102))</f>
        <v/>
      </c>
      <c r="E1103" s="29">
        <f>IF(A1103="","",IFERROR(INDEX('자료_미국심리'!$H$3:$H$4002,MATCH(A1103,$Q$19:$Q$4018,0)),E1102))</f>
        <v/>
      </c>
      <c r="F1103">
        <f>IF(A1103="",0,IF(A1103&gt;$B$5,1,0))</f>
        <v/>
      </c>
      <c r="G1103" s="29">
        <f>IF(AND(F1103=1,ISNUMBER(D1103)),D1103,"")</f>
        <v/>
      </c>
      <c r="H1103" s="29">
        <f>IF(AND(F1103=1,ISNUMBER(E1103)),E1103,"")</f>
        <v/>
      </c>
      <c r="I1103" s="22">
        <f>IF(AND(F1103=1,ISNUMBER(C1103)),C1103,"")</f>
        <v/>
      </c>
      <c r="J1103" s="11">
        <f>IF(G1103="","",100-IF($G$13=1,50,(_xlfn.RANK.AVG(G1103,$G$19:$G$1518,1)-1)/($G$13-1)*100))</f>
        <v/>
      </c>
      <c r="K1103" s="11">
        <f>IF(H1103="","",100-IF($G$14=1,50,(_xlfn.RANK.AVG(H1103,$H$19:$H$1518,1)-1)/($G$14-1)*100))</f>
        <v/>
      </c>
      <c r="L1103" s="11">
        <f>IF(I1103="","",IF($G$15=1,50,(_xlfn.RANK.AVG(I1103,$I$19:$I$1518,1)-1)/($G$15-1)*100))</f>
        <v/>
      </c>
      <c r="M1103" s="11">
        <f>IF(COUNT(J1103:L1103)=3,ROUND(AVERAGE(J1103:L1103),6),"")</f>
        <v/>
      </c>
      <c r="O1103">
        <f>IF(AND(ISNUMBER('자료_미국심리'!$A1087),ISNUMBER('자료_미국심리'!$B1087)),'자료_미국심리'!$A1087,"")</f>
        <v/>
      </c>
      <c r="P1103">
        <f>IF(AND(ISNUMBER('자료_미국심리'!$D1087),ISNUMBER('자료_미국심리'!$E1087)),'자료_미국심리'!$D1087,"")</f>
        <v/>
      </c>
      <c r="Q1103">
        <f>IF(AND(ISNUMBER('자료_미국심리'!$G1087),ISNUMBER('자료_미국심리'!$H1087)),'자료_미국심리'!$G1087,"")</f>
        <v/>
      </c>
    </row>
    <row r="1104">
      <c r="A1104" s="10">
        <f>IF(1086&gt;$E$5,"",SMALL($O$19:$O$4018,$E$6+1086))</f>
        <v/>
      </c>
      <c r="B1104" s="29">
        <f>IF(A1104="","",INDEX('자료_미국심리'!$B$3:$B$4002,MATCH(A1104,$O$19:$O$4018,0)))</f>
        <v/>
      </c>
      <c r="C1104" s="22">
        <f>IF(A1104="","",B1104/AVERAGE(B980:B1104)-1)</f>
        <v/>
      </c>
      <c r="D1104" s="29">
        <f>IF(A1104="","",IFERROR(INDEX('자료_미국심리'!$E$3:$E$4002,MATCH(A1104,$P$19:$P$4018,0)),D1103))</f>
        <v/>
      </c>
      <c r="E1104" s="29">
        <f>IF(A1104="","",IFERROR(INDEX('자료_미국심리'!$H$3:$H$4002,MATCH(A1104,$Q$19:$Q$4018,0)),E1103))</f>
        <v/>
      </c>
      <c r="F1104">
        <f>IF(A1104="",0,IF(A1104&gt;$B$5,1,0))</f>
        <v/>
      </c>
      <c r="G1104" s="29">
        <f>IF(AND(F1104=1,ISNUMBER(D1104)),D1104,"")</f>
        <v/>
      </c>
      <c r="H1104" s="29">
        <f>IF(AND(F1104=1,ISNUMBER(E1104)),E1104,"")</f>
        <v/>
      </c>
      <c r="I1104" s="22">
        <f>IF(AND(F1104=1,ISNUMBER(C1104)),C1104,"")</f>
        <v/>
      </c>
      <c r="J1104" s="11">
        <f>IF(G1104="","",100-IF($G$13=1,50,(_xlfn.RANK.AVG(G1104,$G$19:$G$1518,1)-1)/($G$13-1)*100))</f>
        <v/>
      </c>
      <c r="K1104" s="11">
        <f>IF(H1104="","",100-IF($G$14=1,50,(_xlfn.RANK.AVG(H1104,$H$19:$H$1518,1)-1)/($G$14-1)*100))</f>
        <v/>
      </c>
      <c r="L1104" s="11">
        <f>IF(I1104="","",IF($G$15=1,50,(_xlfn.RANK.AVG(I1104,$I$19:$I$1518,1)-1)/($G$15-1)*100))</f>
        <v/>
      </c>
      <c r="M1104" s="11">
        <f>IF(COUNT(J1104:L1104)=3,ROUND(AVERAGE(J1104:L1104),6),"")</f>
        <v/>
      </c>
      <c r="O1104">
        <f>IF(AND(ISNUMBER('자료_미국심리'!$A1088),ISNUMBER('자료_미국심리'!$B1088)),'자료_미국심리'!$A1088,"")</f>
        <v/>
      </c>
      <c r="P1104">
        <f>IF(AND(ISNUMBER('자료_미국심리'!$D1088),ISNUMBER('자료_미국심리'!$E1088)),'자료_미국심리'!$D1088,"")</f>
        <v/>
      </c>
      <c r="Q1104">
        <f>IF(AND(ISNUMBER('자료_미국심리'!$G1088),ISNUMBER('자료_미국심리'!$H1088)),'자료_미국심리'!$G1088,"")</f>
        <v/>
      </c>
    </row>
    <row r="1105">
      <c r="A1105" s="10">
        <f>IF(1087&gt;$E$5,"",SMALL($O$19:$O$4018,$E$6+1087))</f>
        <v/>
      </c>
      <c r="B1105" s="29">
        <f>IF(A1105="","",INDEX('자료_미국심리'!$B$3:$B$4002,MATCH(A1105,$O$19:$O$4018,0)))</f>
        <v/>
      </c>
      <c r="C1105" s="22">
        <f>IF(A1105="","",B1105/AVERAGE(B981:B1105)-1)</f>
        <v/>
      </c>
      <c r="D1105" s="29">
        <f>IF(A1105="","",IFERROR(INDEX('자료_미국심리'!$E$3:$E$4002,MATCH(A1105,$P$19:$P$4018,0)),D1104))</f>
        <v/>
      </c>
      <c r="E1105" s="29">
        <f>IF(A1105="","",IFERROR(INDEX('자료_미국심리'!$H$3:$H$4002,MATCH(A1105,$Q$19:$Q$4018,0)),E1104))</f>
        <v/>
      </c>
      <c r="F1105">
        <f>IF(A1105="",0,IF(A1105&gt;$B$5,1,0))</f>
        <v/>
      </c>
      <c r="G1105" s="29">
        <f>IF(AND(F1105=1,ISNUMBER(D1105)),D1105,"")</f>
        <v/>
      </c>
      <c r="H1105" s="29">
        <f>IF(AND(F1105=1,ISNUMBER(E1105)),E1105,"")</f>
        <v/>
      </c>
      <c r="I1105" s="22">
        <f>IF(AND(F1105=1,ISNUMBER(C1105)),C1105,"")</f>
        <v/>
      </c>
      <c r="J1105" s="11">
        <f>IF(G1105="","",100-IF($G$13=1,50,(_xlfn.RANK.AVG(G1105,$G$19:$G$1518,1)-1)/($G$13-1)*100))</f>
        <v/>
      </c>
      <c r="K1105" s="11">
        <f>IF(H1105="","",100-IF($G$14=1,50,(_xlfn.RANK.AVG(H1105,$H$19:$H$1518,1)-1)/($G$14-1)*100))</f>
        <v/>
      </c>
      <c r="L1105" s="11">
        <f>IF(I1105="","",IF($G$15=1,50,(_xlfn.RANK.AVG(I1105,$I$19:$I$1518,1)-1)/($G$15-1)*100))</f>
        <v/>
      </c>
      <c r="M1105" s="11">
        <f>IF(COUNT(J1105:L1105)=3,ROUND(AVERAGE(J1105:L1105),6),"")</f>
        <v/>
      </c>
      <c r="O1105">
        <f>IF(AND(ISNUMBER('자료_미국심리'!$A1089),ISNUMBER('자료_미국심리'!$B1089)),'자료_미국심리'!$A1089,"")</f>
        <v/>
      </c>
      <c r="P1105">
        <f>IF(AND(ISNUMBER('자료_미국심리'!$D1089),ISNUMBER('자료_미국심리'!$E1089)),'자료_미국심리'!$D1089,"")</f>
        <v/>
      </c>
      <c r="Q1105">
        <f>IF(AND(ISNUMBER('자료_미국심리'!$G1089),ISNUMBER('자료_미국심리'!$H1089)),'자료_미국심리'!$G1089,"")</f>
        <v/>
      </c>
    </row>
    <row r="1106">
      <c r="A1106" s="10">
        <f>IF(1088&gt;$E$5,"",SMALL($O$19:$O$4018,$E$6+1088))</f>
        <v/>
      </c>
      <c r="B1106" s="29">
        <f>IF(A1106="","",INDEX('자료_미국심리'!$B$3:$B$4002,MATCH(A1106,$O$19:$O$4018,0)))</f>
        <v/>
      </c>
      <c r="C1106" s="22">
        <f>IF(A1106="","",B1106/AVERAGE(B982:B1106)-1)</f>
        <v/>
      </c>
      <c r="D1106" s="29">
        <f>IF(A1106="","",IFERROR(INDEX('자료_미국심리'!$E$3:$E$4002,MATCH(A1106,$P$19:$P$4018,0)),D1105))</f>
        <v/>
      </c>
      <c r="E1106" s="29">
        <f>IF(A1106="","",IFERROR(INDEX('자료_미국심리'!$H$3:$H$4002,MATCH(A1106,$Q$19:$Q$4018,0)),E1105))</f>
        <v/>
      </c>
      <c r="F1106">
        <f>IF(A1106="",0,IF(A1106&gt;$B$5,1,0))</f>
        <v/>
      </c>
      <c r="G1106" s="29">
        <f>IF(AND(F1106=1,ISNUMBER(D1106)),D1106,"")</f>
        <v/>
      </c>
      <c r="H1106" s="29">
        <f>IF(AND(F1106=1,ISNUMBER(E1106)),E1106,"")</f>
        <v/>
      </c>
      <c r="I1106" s="22">
        <f>IF(AND(F1106=1,ISNUMBER(C1106)),C1106,"")</f>
        <v/>
      </c>
      <c r="J1106" s="11">
        <f>IF(G1106="","",100-IF($G$13=1,50,(_xlfn.RANK.AVG(G1106,$G$19:$G$1518,1)-1)/($G$13-1)*100))</f>
        <v/>
      </c>
      <c r="K1106" s="11">
        <f>IF(H1106="","",100-IF($G$14=1,50,(_xlfn.RANK.AVG(H1106,$H$19:$H$1518,1)-1)/($G$14-1)*100))</f>
        <v/>
      </c>
      <c r="L1106" s="11">
        <f>IF(I1106="","",IF($G$15=1,50,(_xlfn.RANK.AVG(I1106,$I$19:$I$1518,1)-1)/($G$15-1)*100))</f>
        <v/>
      </c>
      <c r="M1106" s="11">
        <f>IF(COUNT(J1106:L1106)=3,ROUND(AVERAGE(J1106:L1106),6),"")</f>
        <v/>
      </c>
      <c r="O1106">
        <f>IF(AND(ISNUMBER('자료_미국심리'!$A1090),ISNUMBER('자료_미국심리'!$B1090)),'자료_미국심리'!$A1090,"")</f>
        <v/>
      </c>
      <c r="P1106">
        <f>IF(AND(ISNUMBER('자료_미국심리'!$D1090),ISNUMBER('자료_미국심리'!$E1090)),'자료_미국심리'!$D1090,"")</f>
        <v/>
      </c>
      <c r="Q1106">
        <f>IF(AND(ISNUMBER('자료_미국심리'!$G1090),ISNUMBER('자료_미국심리'!$H1090)),'자료_미국심리'!$G1090,"")</f>
        <v/>
      </c>
    </row>
    <row r="1107">
      <c r="A1107" s="10">
        <f>IF(1089&gt;$E$5,"",SMALL($O$19:$O$4018,$E$6+1089))</f>
        <v/>
      </c>
      <c r="B1107" s="29">
        <f>IF(A1107="","",INDEX('자료_미국심리'!$B$3:$B$4002,MATCH(A1107,$O$19:$O$4018,0)))</f>
        <v/>
      </c>
      <c r="C1107" s="22">
        <f>IF(A1107="","",B1107/AVERAGE(B983:B1107)-1)</f>
        <v/>
      </c>
      <c r="D1107" s="29">
        <f>IF(A1107="","",IFERROR(INDEX('자료_미국심리'!$E$3:$E$4002,MATCH(A1107,$P$19:$P$4018,0)),D1106))</f>
        <v/>
      </c>
      <c r="E1107" s="29">
        <f>IF(A1107="","",IFERROR(INDEX('자료_미국심리'!$H$3:$H$4002,MATCH(A1107,$Q$19:$Q$4018,0)),E1106))</f>
        <v/>
      </c>
      <c r="F1107">
        <f>IF(A1107="",0,IF(A1107&gt;$B$5,1,0))</f>
        <v/>
      </c>
      <c r="G1107" s="29">
        <f>IF(AND(F1107=1,ISNUMBER(D1107)),D1107,"")</f>
        <v/>
      </c>
      <c r="H1107" s="29">
        <f>IF(AND(F1107=1,ISNUMBER(E1107)),E1107,"")</f>
        <v/>
      </c>
      <c r="I1107" s="22">
        <f>IF(AND(F1107=1,ISNUMBER(C1107)),C1107,"")</f>
        <v/>
      </c>
      <c r="J1107" s="11">
        <f>IF(G1107="","",100-IF($G$13=1,50,(_xlfn.RANK.AVG(G1107,$G$19:$G$1518,1)-1)/($G$13-1)*100))</f>
        <v/>
      </c>
      <c r="K1107" s="11">
        <f>IF(H1107="","",100-IF($G$14=1,50,(_xlfn.RANK.AVG(H1107,$H$19:$H$1518,1)-1)/($G$14-1)*100))</f>
        <v/>
      </c>
      <c r="L1107" s="11">
        <f>IF(I1107="","",IF($G$15=1,50,(_xlfn.RANK.AVG(I1107,$I$19:$I$1518,1)-1)/($G$15-1)*100))</f>
        <v/>
      </c>
      <c r="M1107" s="11">
        <f>IF(COUNT(J1107:L1107)=3,ROUND(AVERAGE(J1107:L1107),6),"")</f>
        <v/>
      </c>
      <c r="O1107">
        <f>IF(AND(ISNUMBER('자료_미국심리'!$A1091),ISNUMBER('자료_미국심리'!$B1091)),'자료_미국심리'!$A1091,"")</f>
        <v/>
      </c>
      <c r="P1107">
        <f>IF(AND(ISNUMBER('자료_미국심리'!$D1091),ISNUMBER('자료_미국심리'!$E1091)),'자료_미국심리'!$D1091,"")</f>
        <v/>
      </c>
      <c r="Q1107">
        <f>IF(AND(ISNUMBER('자료_미국심리'!$G1091),ISNUMBER('자료_미국심리'!$H1091)),'자료_미국심리'!$G1091,"")</f>
        <v/>
      </c>
    </row>
    <row r="1108">
      <c r="A1108" s="10">
        <f>IF(1090&gt;$E$5,"",SMALL($O$19:$O$4018,$E$6+1090))</f>
        <v/>
      </c>
      <c r="B1108" s="29">
        <f>IF(A1108="","",INDEX('자료_미국심리'!$B$3:$B$4002,MATCH(A1108,$O$19:$O$4018,0)))</f>
        <v/>
      </c>
      <c r="C1108" s="22">
        <f>IF(A1108="","",B1108/AVERAGE(B984:B1108)-1)</f>
        <v/>
      </c>
      <c r="D1108" s="29">
        <f>IF(A1108="","",IFERROR(INDEX('자료_미국심리'!$E$3:$E$4002,MATCH(A1108,$P$19:$P$4018,0)),D1107))</f>
        <v/>
      </c>
      <c r="E1108" s="29">
        <f>IF(A1108="","",IFERROR(INDEX('자료_미국심리'!$H$3:$H$4002,MATCH(A1108,$Q$19:$Q$4018,0)),E1107))</f>
        <v/>
      </c>
      <c r="F1108">
        <f>IF(A1108="",0,IF(A1108&gt;$B$5,1,0))</f>
        <v/>
      </c>
      <c r="G1108" s="29">
        <f>IF(AND(F1108=1,ISNUMBER(D1108)),D1108,"")</f>
        <v/>
      </c>
      <c r="H1108" s="29">
        <f>IF(AND(F1108=1,ISNUMBER(E1108)),E1108,"")</f>
        <v/>
      </c>
      <c r="I1108" s="22">
        <f>IF(AND(F1108=1,ISNUMBER(C1108)),C1108,"")</f>
        <v/>
      </c>
      <c r="J1108" s="11">
        <f>IF(G1108="","",100-IF($G$13=1,50,(_xlfn.RANK.AVG(G1108,$G$19:$G$1518,1)-1)/($G$13-1)*100))</f>
        <v/>
      </c>
      <c r="K1108" s="11">
        <f>IF(H1108="","",100-IF($G$14=1,50,(_xlfn.RANK.AVG(H1108,$H$19:$H$1518,1)-1)/($G$14-1)*100))</f>
        <v/>
      </c>
      <c r="L1108" s="11">
        <f>IF(I1108="","",IF($G$15=1,50,(_xlfn.RANK.AVG(I1108,$I$19:$I$1518,1)-1)/($G$15-1)*100))</f>
        <v/>
      </c>
      <c r="M1108" s="11">
        <f>IF(COUNT(J1108:L1108)=3,ROUND(AVERAGE(J1108:L1108),6),"")</f>
        <v/>
      </c>
      <c r="O1108">
        <f>IF(AND(ISNUMBER('자료_미국심리'!$A1092),ISNUMBER('자료_미국심리'!$B1092)),'자료_미국심리'!$A1092,"")</f>
        <v/>
      </c>
      <c r="P1108">
        <f>IF(AND(ISNUMBER('자료_미국심리'!$D1092),ISNUMBER('자료_미국심리'!$E1092)),'자료_미국심리'!$D1092,"")</f>
        <v/>
      </c>
      <c r="Q1108">
        <f>IF(AND(ISNUMBER('자료_미국심리'!$G1092),ISNUMBER('자료_미국심리'!$H1092)),'자료_미국심리'!$G1092,"")</f>
        <v/>
      </c>
    </row>
    <row r="1109">
      <c r="A1109" s="10">
        <f>IF(1091&gt;$E$5,"",SMALL($O$19:$O$4018,$E$6+1091))</f>
        <v/>
      </c>
      <c r="B1109" s="29">
        <f>IF(A1109="","",INDEX('자료_미국심리'!$B$3:$B$4002,MATCH(A1109,$O$19:$O$4018,0)))</f>
        <v/>
      </c>
      <c r="C1109" s="22">
        <f>IF(A1109="","",B1109/AVERAGE(B985:B1109)-1)</f>
        <v/>
      </c>
      <c r="D1109" s="29">
        <f>IF(A1109="","",IFERROR(INDEX('자료_미국심리'!$E$3:$E$4002,MATCH(A1109,$P$19:$P$4018,0)),D1108))</f>
        <v/>
      </c>
      <c r="E1109" s="29">
        <f>IF(A1109="","",IFERROR(INDEX('자료_미국심리'!$H$3:$H$4002,MATCH(A1109,$Q$19:$Q$4018,0)),E1108))</f>
        <v/>
      </c>
      <c r="F1109">
        <f>IF(A1109="",0,IF(A1109&gt;$B$5,1,0))</f>
        <v/>
      </c>
      <c r="G1109" s="29">
        <f>IF(AND(F1109=1,ISNUMBER(D1109)),D1109,"")</f>
        <v/>
      </c>
      <c r="H1109" s="29">
        <f>IF(AND(F1109=1,ISNUMBER(E1109)),E1109,"")</f>
        <v/>
      </c>
      <c r="I1109" s="22">
        <f>IF(AND(F1109=1,ISNUMBER(C1109)),C1109,"")</f>
        <v/>
      </c>
      <c r="J1109" s="11">
        <f>IF(G1109="","",100-IF($G$13=1,50,(_xlfn.RANK.AVG(G1109,$G$19:$G$1518,1)-1)/($G$13-1)*100))</f>
        <v/>
      </c>
      <c r="K1109" s="11">
        <f>IF(H1109="","",100-IF($G$14=1,50,(_xlfn.RANK.AVG(H1109,$H$19:$H$1518,1)-1)/($G$14-1)*100))</f>
        <v/>
      </c>
      <c r="L1109" s="11">
        <f>IF(I1109="","",IF($G$15=1,50,(_xlfn.RANK.AVG(I1109,$I$19:$I$1518,1)-1)/($G$15-1)*100))</f>
        <v/>
      </c>
      <c r="M1109" s="11">
        <f>IF(COUNT(J1109:L1109)=3,ROUND(AVERAGE(J1109:L1109),6),"")</f>
        <v/>
      </c>
      <c r="O1109">
        <f>IF(AND(ISNUMBER('자료_미국심리'!$A1093),ISNUMBER('자료_미국심리'!$B1093)),'자료_미국심리'!$A1093,"")</f>
        <v/>
      </c>
      <c r="P1109">
        <f>IF(AND(ISNUMBER('자료_미국심리'!$D1093),ISNUMBER('자료_미국심리'!$E1093)),'자료_미국심리'!$D1093,"")</f>
        <v/>
      </c>
      <c r="Q1109">
        <f>IF(AND(ISNUMBER('자료_미국심리'!$G1093),ISNUMBER('자료_미국심리'!$H1093)),'자료_미국심리'!$G1093,"")</f>
        <v/>
      </c>
    </row>
    <row r="1110">
      <c r="A1110" s="10">
        <f>IF(1092&gt;$E$5,"",SMALL($O$19:$O$4018,$E$6+1092))</f>
        <v/>
      </c>
      <c r="B1110" s="29">
        <f>IF(A1110="","",INDEX('자료_미국심리'!$B$3:$B$4002,MATCH(A1110,$O$19:$O$4018,0)))</f>
        <v/>
      </c>
      <c r="C1110" s="22">
        <f>IF(A1110="","",B1110/AVERAGE(B986:B1110)-1)</f>
        <v/>
      </c>
      <c r="D1110" s="29">
        <f>IF(A1110="","",IFERROR(INDEX('자료_미국심리'!$E$3:$E$4002,MATCH(A1110,$P$19:$P$4018,0)),D1109))</f>
        <v/>
      </c>
      <c r="E1110" s="29">
        <f>IF(A1110="","",IFERROR(INDEX('자료_미국심리'!$H$3:$H$4002,MATCH(A1110,$Q$19:$Q$4018,0)),E1109))</f>
        <v/>
      </c>
      <c r="F1110">
        <f>IF(A1110="",0,IF(A1110&gt;$B$5,1,0))</f>
        <v/>
      </c>
      <c r="G1110" s="29">
        <f>IF(AND(F1110=1,ISNUMBER(D1110)),D1110,"")</f>
        <v/>
      </c>
      <c r="H1110" s="29">
        <f>IF(AND(F1110=1,ISNUMBER(E1110)),E1110,"")</f>
        <v/>
      </c>
      <c r="I1110" s="22">
        <f>IF(AND(F1110=1,ISNUMBER(C1110)),C1110,"")</f>
        <v/>
      </c>
      <c r="J1110" s="11">
        <f>IF(G1110="","",100-IF($G$13=1,50,(_xlfn.RANK.AVG(G1110,$G$19:$G$1518,1)-1)/($G$13-1)*100))</f>
        <v/>
      </c>
      <c r="K1110" s="11">
        <f>IF(H1110="","",100-IF($G$14=1,50,(_xlfn.RANK.AVG(H1110,$H$19:$H$1518,1)-1)/($G$14-1)*100))</f>
        <v/>
      </c>
      <c r="L1110" s="11">
        <f>IF(I1110="","",IF($G$15=1,50,(_xlfn.RANK.AVG(I1110,$I$19:$I$1518,1)-1)/($G$15-1)*100))</f>
        <v/>
      </c>
      <c r="M1110" s="11">
        <f>IF(COUNT(J1110:L1110)=3,ROUND(AVERAGE(J1110:L1110),6),"")</f>
        <v/>
      </c>
      <c r="O1110">
        <f>IF(AND(ISNUMBER('자료_미국심리'!$A1094),ISNUMBER('자료_미국심리'!$B1094)),'자료_미국심리'!$A1094,"")</f>
        <v/>
      </c>
      <c r="P1110">
        <f>IF(AND(ISNUMBER('자료_미국심리'!$D1094),ISNUMBER('자료_미국심리'!$E1094)),'자료_미국심리'!$D1094,"")</f>
        <v/>
      </c>
      <c r="Q1110">
        <f>IF(AND(ISNUMBER('자료_미국심리'!$G1094),ISNUMBER('자료_미국심리'!$H1094)),'자료_미국심리'!$G1094,"")</f>
        <v/>
      </c>
    </row>
    <row r="1111">
      <c r="A1111" s="10">
        <f>IF(1093&gt;$E$5,"",SMALL($O$19:$O$4018,$E$6+1093))</f>
        <v/>
      </c>
      <c r="B1111" s="29">
        <f>IF(A1111="","",INDEX('자료_미국심리'!$B$3:$B$4002,MATCH(A1111,$O$19:$O$4018,0)))</f>
        <v/>
      </c>
      <c r="C1111" s="22">
        <f>IF(A1111="","",B1111/AVERAGE(B987:B1111)-1)</f>
        <v/>
      </c>
      <c r="D1111" s="29">
        <f>IF(A1111="","",IFERROR(INDEX('자료_미국심리'!$E$3:$E$4002,MATCH(A1111,$P$19:$P$4018,0)),D1110))</f>
        <v/>
      </c>
      <c r="E1111" s="29">
        <f>IF(A1111="","",IFERROR(INDEX('자료_미국심리'!$H$3:$H$4002,MATCH(A1111,$Q$19:$Q$4018,0)),E1110))</f>
        <v/>
      </c>
      <c r="F1111">
        <f>IF(A1111="",0,IF(A1111&gt;$B$5,1,0))</f>
        <v/>
      </c>
      <c r="G1111" s="29">
        <f>IF(AND(F1111=1,ISNUMBER(D1111)),D1111,"")</f>
        <v/>
      </c>
      <c r="H1111" s="29">
        <f>IF(AND(F1111=1,ISNUMBER(E1111)),E1111,"")</f>
        <v/>
      </c>
      <c r="I1111" s="22">
        <f>IF(AND(F1111=1,ISNUMBER(C1111)),C1111,"")</f>
        <v/>
      </c>
      <c r="J1111" s="11">
        <f>IF(G1111="","",100-IF($G$13=1,50,(_xlfn.RANK.AVG(G1111,$G$19:$G$1518,1)-1)/($G$13-1)*100))</f>
        <v/>
      </c>
      <c r="K1111" s="11">
        <f>IF(H1111="","",100-IF($G$14=1,50,(_xlfn.RANK.AVG(H1111,$H$19:$H$1518,1)-1)/($G$14-1)*100))</f>
        <v/>
      </c>
      <c r="L1111" s="11">
        <f>IF(I1111="","",IF($G$15=1,50,(_xlfn.RANK.AVG(I1111,$I$19:$I$1518,1)-1)/($G$15-1)*100))</f>
        <v/>
      </c>
      <c r="M1111" s="11">
        <f>IF(COUNT(J1111:L1111)=3,ROUND(AVERAGE(J1111:L1111),6),"")</f>
        <v/>
      </c>
      <c r="O1111">
        <f>IF(AND(ISNUMBER('자료_미국심리'!$A1095),ISNUMBER('자료_미국심리'!$B1095)),'자료_미국심리'!$A1095,"")</f>
        <v/>
      </c>
      <c r="P1111">
        <f>IF(AND(ISNUMBER('자료_미국심리'!$D1095),ISNUMBER('자료_미국심리'!$E1095)),'자료_미국심리'!$D1095,"")</f>
        <v/>
      </c>
      <c r="Q1111">
        <f>IF(AND(ISNUMBER('자료_미국심리'!$G1095),ISNUMBER('자료_미국심리'!$H1095)),'자료_미국심리'!$G1095,"")</f>
        <v/>
      </c>
    </row>
    <row r="1112">
      <c r="A1112" s="10">
        <f>IF(1094&gt;$E$5,"",SMALL($O$19:$O$4018,$E$6+1094))</f>
        <v/>
      </c>
      <c r="B1112" s="29">
        <f>IF(A1112="","",INDEX('자료_미국심리'!$B$3:$B$4002,MATCH(A1112,$O$19:$O$4018,0)))</f>
        <v/>
      </c>
      <c r="C1112" s="22">
        <f>IF(A1112="","",B1112/AVERAGE(B988:B1112)-1)</f>
        <v/>
      </c>
      <c r="D1112" s="29">
        <f>IF(A1112="","",IFERROR(INDEX('자료_미국심리'!$E$3:$E$4002,MATCH(A1112,$P$19:$P$4018,0)),D1111))</f>
        <v/>
      </c>
      <c r="E1112" s="29">
        <f>IF(A1112="","",IFERROR(INDEX('자료_미국심리'!$H$3:$H$4002,MATCH(A1112,$Q$19:$Q$4018,0)),E1111))</f>
        <v/>
      </c>
      <c r="F1112">
        <f>IF(A1112="",0,IF(A1112&gt;$B$5,1,0))</f>
        <v/>
      </c>
      <c r="G1112" s="29">
        <f>IF(AND(F1112=1,ISNUMBER(D1112)),D1112,"")</f>
        <v/>
      </c>
      <c r="H1112" s="29">
        <f>IF(AND(F1112=1,ISNUMBER(E1112)),E1112,"")</f>
        <v/>
      </c>
      <c r="I1112" s="22">
        <f>IF(AND(F1112=1,ISNUMBER(C1112)),C1112,"")</f>
        <v/>
      </c>
      <c r="J1112" s="11">
        <f>IF(G1112="","",100-IF($G$13=1,50,(_xlfn.RANK.AVG(G1112,$G$19:$G$1518,1)-1)/($G$13-1)*100))</f>
        <v/>
      </c>
      <c r="K1112" s="11">
        <f>IF(H1112="","",100-IF($G$14=1,50,(_xlfn.RANK.AVG(H1112,$H$19:$H$1518,1)-1)/($G$14-1)*100))</f>
        <v/>
      </c>
      <c r="L1112" s="11">
        <f>IF(I1112="","",IF($G$15=1,50,(_xlfn.RANK.AVG(I1112,$I$19:$I$1518,1)-1)/($G$15-1)*100))</f>
        <v/>
      </c>
      <c r="M1112" s="11">
        <f>IF(COUNT(J1112:L1112)=3,ROUND(AVERAGE(J1112:L1112),6),"")</f>
        <v/>
      </c>
      <c r="O1112">
        <f>IF(AND(ISNUMBER('자료_미국심리'!$A1096),ISNUMBER('자료_미국심리'!$B1096)),'자료_미국심리'!$A1096,"")</f>
        <v/>
      </c>
      <c r="P1112">
        <f>IF(AND(ISNUMBER('자료_미국심리'!$D1096),ISNUMBER('자료_미국심리'!$E1096)),'자료_미국심리'!$D1096,"")</f>
        <v/>
      </c>
      <c r="Q1112">
        <f>IF(AND(ISNUMBER('자료_미국심리'!$G1096),ISNUMBER('자료_미국심리'!$H1096)),'자료_미국심리'!$G1096,"")</f>
        <v/>
      </c>
    </row>
    <row r="1113">
      <c r="A1113" s="10">
        <f>IF(1095&gt;$E$5,"",SMALL($O$19:$O$4018,$E$6+1095))</f>
        <v/>
      </c>
      <c r="B1113" s="29">
        <f>IF(A1113="","",INDEX('자료_미국심리'!$B$3:$B$4002,MATCH(A1113,$O$19:$O$4018,0)))</f>
        <v/>
      </c>
      <c r="C1113" s="22">
        <f>IF(A1113="","",B1113/AVERAGE(B989:B1113)-1)</f>
        <v/>
      </c>
      <c r="D1113" s="29">
        <f>IF(A1113="","",IFERROR(INDEX('자료_미국심리'!$E$3:$E$4002,MATCH(A1113,$P$19:$P$4018,0)),D1112))</f>
        <v/>
      </c>
      <c r="E1113" s="29">
        <f>IF(A1113="","",IFERROR(INDEX('자료_미국심리'!$H$3:$H$4002,MATCH(A1113,$Q$19:$Q$4018,0)),E1112))</f>
        <v/>
      </c>
      <c r="F1113">
        <f>IF(A1113="",0,IF(A1113&gt;$B$5,1,0))</f>
        <v/>
      </c>
      <c r="G1113" s="29">
        <f>IF(AND(F1113=1,ISNUMBER(D1113)),D1113,"")</f>
        <v/>
      </c>
      <c r="H1113" s="29">
        <f>IF(AND(F1113=1,ISNUMBER(E1113)),E1113,"")</f>
        <v/>
      </c>
      <c r="I1113" s="22">
        <f>IF(AND(F1113=1,ISNUMBER(C1113)),C1113,"")</f>
        <v/>
      </c>
      <c r="J1113" s="11">
        <f>IF(G1113="","",100-IF($G$13=1,50,(_xlfn.RANK.AVG(G1113,$G$19:$G$1518,1)-1)/($G$13-1)*100))</f>
        <v/>
      </c>
      <c r="K1113" s="11">
        <f>IF(H1113="","",100-IF($G$14=1,50,(_xlfn.RANK.AVG(H1113,$H$19:$H$1518,1)-1)/($G$14-1)*100))</f>
        <v/>
      </c>
      <c r="L1113" s="11">
        <f>IF(I1113="","",IF($G$15=1,50,(_xlfn.RANK.AVG(I1113,$I$19:$I$1518,1)-1)/($G$15-1)*100))</f>
        <v/>
      </c>
      <c r="M1113" s="11">
        <f>IF(COUNT(J1113:L1113)=3,ROUND(AVERAGE(J1113:L1113),6),"")</f>
        <v/>
      </c>
      <c r="O1113">
        <f>IF(AND(ISNUMBER('자료_미국심리'!$A1097),ISNUMBER('자료_미국심리'!$B1097)),'자료_미국심리'!$A1097,"")</f>
        <v/>
      </c>
      <c r="P1113">
        <f>IF(AND(ISNUMBER('자료_미국심리'!$D1097),ISNUMBER('자료_미국심리'!$E1097)),'자료_미국심리'!$D1097,"")</f>
        <v/>
      </c>
      <c r="Q1113">
        <f>IF(AND(ISNUMBER('자료_미국심리'!$G1097),ISNUMBER('자료_미국심리'!$H1097)),'자료_미국심리'!$G1097,"")</f>
        <v/>
      </c>
    </row>
    <row r="1114">
      <c r="A1114" s="10">
        <f>IF(1096&gt;$E$5,"",SMALL($O$19:$O$4018,$E$6+1096))</f>
        <v/>
      </c>
      <c r="B1114" s="29">
        <f>IF(A1114="","",INDEX('자료_미국심리'!$B$3:$B$4002,MATCH(A1114,$O$19:$O$4018,0)))</f>
        <v/>
      </c>
      <c r="C1114" s="22">
        <f>IF(A1114="","",B1114/AVERAGE(B990:B1114)-1)</f>
        <v/>
      </c>
      <c r="D1114" s="29">
        <f>IF(A1114="","",IFERROR(INDEX('자료_미국심리'!$E$3:$E$4002,MATCH(A1114,$P$19:$P$4018,0)),D1113))</f>
        <v/>
      </c>
      <c r="E1114" s="29">
        <f>IF(A1114="","",IFERROR(INDEX('자료_미국심리'!$H$3:$H$4002,MATCH(A1114,$Q$19:$Q$4018,0)),E1113))</f>
        <v/>
      </c>
      <c r="F1114">
        <f>IF(A1114="",0,IF(A1114&gt;$B$5,1,0))</f>
        <v/>
      </c>
      <c r="G1114" s="29">
        <f>IF(AND(F1114=1,ISNUMBER(D1114)),D1114,"")</f>
        <v/>
      </c>
      <c r="H1114" s="29">
        <f>IF(AND(F1114=1,ISNUMBER(E1114)),E1114,"")</f>
        <v/>
      </c>
      <c r="I1114" s="22">
        <f>IF(AND(F1114=1,ISNUMBER(C1114)),C1114,"")</f>
        <v/>
      </c>
      <c r="J1114" s="11">
        <f>IF(G1114="","",100-IF($G$13=1,50,(_xlfn.RANK.AVG(G1114,$G$19:$G$1518,1)-1)/($G$13-1)*100))</f>
        <v/>
      </c>
      <c r="K1114" s="11">
        <f>IF(H1114="","",100-IF($G$14=1,50,(_xlfn.RANK.AVG(H1114,$H$19:$H$1518,1)-1)/($G$14-1)*100))</f>
        <v/>
      </c>
      <c r="L1114" s="11">
        <f>IF(I1114="","",IF($G$15=1,50,(_xlfn.RANK.AVG(I1114,$I$19:$I$1518,1)-1)/($G$15-1)*100))</f>
        <v/>
      </c>
      <c r="M1114" s="11">
        <f>IF(COUNT(J1114:L1114)=3,ROUND(AVERAGE(J1114:L1114),6),"")</f>
        <v/>
      </c>
      <c r="O1114">
        <f>IF(AND(ISNUMBER('자료_미국심리'!$A1098),ISNUMBER('자료_미국심리'!$B1098)),'자료_미국심리'!$A1098,"")</f>
        <v/>
      </c>
      <c r="P1114">
        <f>IF(AND(ISNUMBER('자료_미국심리'!$D1098),ISNUMBER('자료_미국심리'!$E1098)),'자료_미국심리'!$D1098,"")</f>
        <v/>
      </c>
      <c r="Q1114">
        <f>IF(AND(ISNUMBER('자료_미국심리'!$G1098),ISNUMBER('자료_미국심리'!$H1098)),'자료_미국심리'!$G1098,"")</f>
        <v/>
      </c>
    </row>
    <row r="1115">
      <c r="A1115" s="10">
        <f>IF(1097&gt;$E$5,"",SMALL($O$19:$O$4018,$E$6+1097))</f>
        <v/>
      </c>
      <c r="B1115" s="29">
        <f>IF(A1115="","",INDEX('자료_미국심리'!$B$3:$B$4002,MATCH(A1115,$O$19:$O$4018,0)))</f>
        <v/>
      </c>
      <c r="C1115" s="22">
        <f>IF(A1115="","",B1115/AVERAGE(B991:B1115)-1)</f>
        <v/>
      </c>
      <c r="D1115" s="29">
        <f>IF(A1115="","",IFERROR(INDEX('자료_미국심리'!$E$3:$E$4002,MATCH(A1115,$P$19:$P$4018,0)),D1114))</f>
        <v/>
      </c>
      <c r="E1115" s="29">
        <f>IF(A1115="","",IFERROR(INDEX('자료_미국심리'!$H$3:$H$4002,MATCH(A1115,$Q$19:$Q$4018,0)),E1114))</f>
        <v/>
      </c>
      <c r="F1115">
        <f>IF(A1115="",0,IF(A1115&gt;$B$5,1,0))</f>
        <v/>
      </c>
      <c r="G1115" s="29">
        <f>IF(AND(F1115=1,ISNUMBER(D1115)),D1115,"")</f>
        <v/>
      </c>
      <c r="H1115" s="29">
        <f>IF(AND(F1115=1,ISNUMBER(E1115)),E1115,"")</f>
        <v/>
      </c>
      <c r="I1115" s="22">
        <f>IF(AND(F1115=1,ISNUMBER(C1115)),C1115,"")</f>
        <v/>
      </c>
      <c r="J1115" s="11">
        <f>IF(G1115="","",100-IF($G$13=1,50,(_xlfn.RANK.AVG(G1115,$G$19:$G$1518,1)-1)/($G$13-1)*100))</f>
        <v/>
      </c>
      <c r="K1115" s="11">
        <f>IF(H1115="","",100-IF($G$14=1,50,(_xlfn.RANK.AVG(H1115,$H$19:$H$1518,1)-1)/($G$14-1)*100))</f>
        <v/>
      </c>
      <c r="L1115" s="11">
        <f>IF(I1115="","",IF($G$15=1,50,(_xlfn.RANK.AVG(I1115,$I$19:$I$1518,1)-1)/($G$15-1)*100))</f>
        <v/>
      </c>
      <c r="M1115" s="11">
        <f>IF(COUNT(J1115:L1115)=3,ROUND(AVERAGE(J1115:L1115),6),"")</f>
        <v/>
      </c>
      <c r="O1115">
        <f>IF(AND(ISNUMBER('자료_미국심리'!$A1099),ISNUMBER('자료_미국심리'!$B1099)),'자료_미국심리'!$A1099,"")</f>
        <v/>
      </c>
      <c r="P1115">
        <f>IF(AND(ISNUMBER('자료_미국심리'!$D1099),ISNUMBER('자료_미국심리'!$E1099)),'자료_미국심리'!$D1099,"")</f>
        <v/>
      </c>
      <c r="Q1115">
        <f>IF(AND(ISNUMBER('자료_미국심리'!$G1099),ISNUMBER('자료_미국심리'!$H1099)),'자료_미국심리'!$G1099,"")</f>
        <v/>
      </c>
    </row>
    <row r="1116">
      <c r="A1116" s="10">
        <f>IF(1098&gt;$E$5,"",SMALL($O$19:$O$4018,$E$6+1098))</f>
        <v/>
      </c>
      <c r="B1116" s="29">
        <f>IF(A1116="","",INDEX('자료_미국심리'!$B$3:$B$4002,MATCH(A1116,$O$19:$O$4018,0)))</f>
        <v/>
      </c>
      <c r="C1116" s="22">
        <f>IF(A1116="","",B1116/AVERAGE(B992:B1116)-1)</f>
        <v/>
      </c>
      <c r="D1116" s="29">
        <f>IF(A1116="","",IFERROR(INDEX('자료_미국심리'!$E$3:$E$4002,MATCH(A1116,$P$19:$P$4018,0)),D1115))</f>
        <v/>
      </c>
      <c r="E1116" s="29">
        <f>IF(A1116="","",IFERROR(INDEX('자료_미국심리'!$H$3:$H$4002,MATCH(A1116,$Q$19:$Q$4018,0)),E1115))</f>
        <v/>
      </c>
      <c r="F1116">
        <f>IF(A1116="",0,IF(A1116&gt;$B$5,1,0))</f>
        <v/>
      </c>
      <c r="G1116" s="29">
        <f>IF(AND(F1116=1,ISNUMBER(D1116)),D1116,"")</f>
        <v/>
      </c>
      <c r="H1116" s="29">
        <f>IF(AND(F1116=1,ISNUMBER(E1116)),E1116,"")</f>
        <v/>
      </c>
      <c r="I1116" s="22">
        <f>IF(AND(F1116=1,ISNUMBER(C1116)),C1116,"")</f>
        <v/>
      </c>
      <c r="J1116" s="11">
        <f>IF(G1116="","",100-IF($G$13=1,50,(_xlfn.RANK.AVG(G1116,$G$19:$G$1518,1)-1)/($G$13-1)*100))</f>
        <v/>
      </c>
      <c r="K1116" s="11">
        <f>IF(H1116="","",100-IF($G$14=1,50,(_xlfn.RANK.AVG(H1116,$H$19:$H$1518,1)-1)/($G$14-1)*100))</f>
        <v/>
      </c>
      <c r="L1116" s="11">
        <f>IF(I1116="","",IF($G$15=1,50,(_xlfn.RANK.AVG(I1116,$I$19:$I$1518,1)-1)/($G$15-1)*100))</f>
        <v/>
      </c>
      <c r="M1116" s="11">
        <f>IF(COUNT(J1116:L1116)=3,ROUND(AVERAGE(J1116:L1116),6),"")</f>
        <v/>
      </c>
      <c r="O1116">
        <f>IF(AND(ISNUMBER('자료_미국심리'!$A1100),ISNUMBER('자료_미국심리'!$B1100)),'자료_미국심리'!$A1100,"")</f>
        <v/>
      </c>
      <c r="P1116">
        <f>IF(AND(ISNUMBER('자료_미국심리'!$D1100),ISNUMBER('자료_미국심리'!$E1100)),'자료_미국심리'!$D1100,"")</f>
        <v/>
      </c>
      <c r="Q1116">
        <f>IF(AND(ISNUMBER('자료_미국심리'!$G1100),ISNUMBER('자료_미국심리'!$H1100)),'자료_미국심리'!$G1100,"")</f>
        <v/>
      </c>
    </row>
    <row r="1117">
      <c r="A1117" s="10">
        <f>IF(1099&gt;$E$5,"",SMALL($O$19:$O$4018,$E$6+1099))</f>
        <v/>
      </c>
      <c r="B1117" s="29">
        <f>IF(A1117="","",INDEX('자료_미국심리'!$B$3:$B$4002,MATCH(A1117,$O$19:$O$4018,0)))</f>
        <v/>
      </c>
      <c r="C1117" s="22">
        <f>IF(A1117="","",B1117/AVERAGE(B993:B1117)-1)</f>
        <v/>
      </c>
      <c r="D1117" s="29">
        <f>IF(A1117="","",IFERROR(INDEX('자료_미국심리'!$E$3:$E$4002,MATCH(A1117,$P$19:$P$4018,0)),D1116))</f>
        <v/>
      </c>
      <c r="E1117" s="29">
        <f>IF(A1117="","",IFERROR(INDEX('자료_미국심리'!$H$3:$H$4002,MATCH(A1117,$Q$19:$Q$4018,0)),E1116))</f>
        <v/>
      </c>
      <c r="F1117">
        <f>IF(A1117="",0,IF(A1117&gt;$B$5,1,0))</f>
        <v/>
      </c>
      <c r="G1117" s="29">
        <f>IF(AND(F1117=1,ISNUMBER(D1117)),D1117,"")</f>
        <v/>
      </c>
      <c r="H1117" s="29">
        <f>IF(AND(F1117=1,ISNUMBER(E1117)),E1117,"")</f>
        <v/>
      </c>
      <c r="I1117" s="22">
        <f>IF(AND(F1117=1,ISNUMBER(C1117)),C1117,"")</f>
        <v/>
      </c>
      <c r="J1117" s="11">
        <f>IF(G1117="","",100-IF($G$13=1,50,(_xlfn.RANK.AVG(G1117,$G$19:$G$1518,1)-1)/($G$13-1)*100))</f>
        <v/>
      </c>
      <c r="K1117" s="11">
        <f>IF(H1117="","",100-IF($G$14=1,50,(_xlfn.RANK.AVG(H1117,$H$19:$H$1518,1)-1)/($G$14-1)*100))</f>
        <v/>
      </c>
      <c r="L1117" s="11">
        <f>IF(I1117="","",IF($G$15=1,50,(_xlfn.RANK.AVG(I1117,$I$19:$I$1518,1)-1)/($G$15-1)*100))</f>
        <v/>
      </c>
      <c r="M1117" s="11">
        <f>IF(COUNT(J1117:L1117)=3,ROUND(AVERAGE(J1117:L1117),6),"")</f>
        <v/>
      </c>
      <c r="O1117">
        <f>IF(AND(ISNUMBER('자료_미국심리'!$A1101),ISNUMBER('자료_미국심리'!$B1101)),'자료_미국심리'!$A1101,"")</f>
        <v/>
      </c>
      <c r="P1117">
        <f>IF(AND(ISNUMBER('자료_미국심리'!$D1101),ISNUMBER('자료_미국심리'!$E1101)),'자료_미국심리'!$D1101,"")</f>
        <v/>
      </c>
      <c r="Q1117">
        <f>IF(AND(ISNUMBER('자료_미국심리'!$G1101),ISNUMBER('자료_미국심리'!$H1101)),'자료_미국심리'!$G1101,"")</f>
        <v/>
      </c>
    </row>
    <row r="1118">
      <c r="A1118" s="10">
        <f>IF(1100&gt;$E$5,"",SMALL($O$19:$O$4018,$E$6+1100))</f>
        <v/>
      </c>
      <c r="B1118" s="29">
        <f>IF(A1118="","",INDEX('자료_미국심리'!$B$3:$B$4002,MATCH(A1118,$O$19:$O$4018,0)))</f>
        <v/>
      </c>
      <c r="C1118" s="22">
        <f>IF(A1118="","",B1118/AVERAGE(B994:B1118)-1)</f>
        <v/>
      </c>
      <c r="D1118" s="29">
        <f>IF(A1118="","",IFERROR(INDEX('자료_미국심리'!$E$3:$E$4002,MATCH(A1118,$P$19:$P$4018,0)),D1117))</f>
        <v/>
      </c>
      <c r="E1118" s="29">
        <f>IF(A1118="","",IFERROR(INDEX('자료_미국심리'!$H$3:$H$4002,MATCH(A1118,$Q$19:$Q$4018,0)),E1117))</f>
        <v/>
      </c>
      <c r="F1118">
        <f>IF(A1118="",0,IF(A1118&gt;$B$5,1,0))</f>
        <v/>
      </c>
      <c r="G1118" s="29">
        <f>IF(AND(F1118=1,ISNUMBER(D1118)),D1118,"")</f>
        <v/>
      </c>
      <c r="H1118" s="29">
        <f>IF(AND(F1118=1,ISNUMBER(E1118)),E1118,"")</f>
        <v/>
      </c>
      <c r="I1118" s="22">
        <f>IF(AND(F1118=1,ISNUMBER(C1118)),C1118,"")</f>
        <v/>
      </c>
      <c r="J1118" s="11">
        <f>IF(G1118="","",100-IF($G$13=1,50,(_xlfn.RANK.AVG(G1118,$G$19:$G$1518,1)-1)/($G$13-1)*100))</f>
        <v/>
      </c>
      <c r="K1118" s="11">
        <f>IF(H1118="","",100-IF($G$14=1,50,(_xlfn.RANK.AVG(H1118,$H$19:$H$1518,1)-1)/($G$14-1)*100))</f>
        <v/>
      </c>
      <c r="L1118" s="11">
        <f>IF(I1118="","",IF($G$15=1,50,(_xlfn.RANK.AVG(I1118,$I$19:$I$1518,1)-1)/($G$15-1)*100))</f>
        <v/>
      </c>
      <c r="M1118" s="11">
        <f>IF(COUNT(J1118:L1118)=3,ROUND(AVERAGE(J1118:L1118),6),"")</f>
        <v/>
      </c>
      <c r="O1118">
        <f>IF(AND(ISNUMBER('자료_미국심리'!$A1102),ISNUMBER('자료_미국심리'!$B1102)),'자료_미국심리'!$A1102,"")</f>
        <v/>
      </c>
      <c r="P1118">
        <f>IF(AND(ISNUMBER('자료_미국심리'!$D1102),ISNUMBER('자료_미국심리'!$E1102)),'자료_미국심리'!$D1102,"")</f>
        <v/>
      </c>
      <c r="Q1118">
        <f>IF(AND(ISNUMBER('자료_미국심리'!$G1102),ISNUMBER('자료_미국심리'!$H1102)),'자료_미국심리'!$G1102,"")</f>
        <v/>
      </c>
    </row>
    <row r="1119">
      <c r="A1119" s="10">
        <f>IF(1101&gt;$E$5,"",SMALL($O$19:$O$4018,$E$6+1101))</f>
        <v/>
      </c>
      <c r="B1119" s="29">
        <f>IF(A1119="","",INDEX('자료_미국심리'!$B$3:$B$4002,MATCH(A1119,$O$19:$O$4018,0)))</f>
        <v/>
      </c>
      <c r="C1119" s="22">
        <f>IF(A1119="","",B1119/AVERAGE(B995:B1119)-1)</f>
        <v/>
      </c>
      <c r="D1119" s="29">
        <f>IF(A1119="","",IFERROR(INDEX('자료_미국심리'!$E$3:$E$4002,MATCH(A1119,$P$19:$P$4018,0)),D1118))</f>
        <v/>
      </c>
      <c r="E1119" s="29">
        <f>IF(A1119="","",IFERROR(INDEX('자료_미국심리'!$H$3:$H$4002,MATCH(A1119,$Q$19:$Q$4018,0)),E1118))</f>
        <v/>
      </c>
      <c r="F1119">
        <f>IF(A1119="",0,IF(A1119&gt;$B$5,1,0))</f>
        <v/>
      </c>
      <c r="G1119" s="29">
        <f>IF(AND(F1119=1,ISNUMBER(D1119)),D1119,"")</f>
        <v/>
      </c>
      <c r="H1119" s="29">
        <f>IF(AND(F1119=1,ISNUMBER(E1119)),E1119,"")</f>
        <v/>
      </c>
      <c r="I1119" s="22">
        <f>IF(AND(F1119=1,ISNUMBER(C1119)),C1119,"")</f>
        <v/>
      </c>
      <c r="J1119" s="11">
        <f>IF(G1119="","",100-IF($G$13=1,50,(_xlfn.RANK.AVG(G1119,$G$19:$G$1518,1)-1)/($G$13-1)*100))</f>
        <v/>
      </c>
      <c r="K1119" s="11">
        <f>IF(H1119="","",100-IF($G$14=1,50,(_xlfn.RANK.AVG(H1119,$H$19:$H$1518,1)-1)/($G$14-1)*100))</f>
        <v/>
      </c>
      <c r="L1119" s="11">
        <f>IF(I1119="","",IF($G$15=1,50,(_xlfn.RANK.AVG(I1119,$I$19:$I$1518,1)-1)/($G$15-1)*100))</f>
        <v/>
      </c>
      <c r="M1119" s="11">
        <f>IF(COUNT(J1119:L1119)=3,ROUND(AVERAGE(J1119:L1119),6),"")</f>
        <v/>
      </c>
      <c r="O1119">
        <f>IF(AND(ISNUMBER('자료_미국심리'!$A1103),ISNUMBER('자료_미국심리'!$B1103)),'자료_미국심리'!$A1103,"")</f>
        <v/>
      </c>
      <c r="P1119">
        <f>IF(AND(ISNUMBER('자료_미국심리'!$D1103),ISNUMBER('자료_미국심리'!$E1103)),'자료_미국심리'!$D1103,"")</f>
        <v/>
      </c>
      <c r="Q1119">
        <f>IF(AND(ISNUMBER('자료_미국심리'!$G1103),ISNUMBER('자료_미국심리'!$H1103)),'자료_미국심리'!$G1103,"")</f>
        <v/>
      </c>
    </row>
    <row r="1120">
      <c r="A1120" s="10">
        <f>IF(1102&gt;$E$5,"",SMALL($O$19:$O$4018,$E$6+1102))</f>
        <v/>
      </c>
      <c r="B1120" s="29">
        <f>IF(A1120="","",INDEX('자료_미국심리'!$B$3:$B$4002,MATCH(A1120,$O$19:$O$4018,0)))</f>
        <v/>
      </c>
      <c r="C1120" s="22">
        <f>IF(A1120="","",B1120/AVERAGE(B996:B1120)-1)</f>
        <v/>
      </c>
      <c r="D1120" s="29">
        <f>IF(A1120="","",IFERROR(INDEX('자료_미국심리'!$E$3:$E$4002,MATCH(A1120,$P$19:$P$4018,0)),D1119))</f>
        <v/>
      </c>
      <c r="E1120" s="29">
        <f>IF(A1120="","",IFERROR(INDEX('자료_미국심리'!$H$3:$H$4002,MATCH(A1120,$Q$19:$Q$4018,0)),E1119))</f>
        <v/>
      </c>
      <c r="F1120">
        <f>IF(A1120="",0,IF(A1120&gt;$B$5,1,0))</f>
        <v/>
      </c>
      <c r="G1120" s="29">
        <f>IF(AND(F1120=1,ISNUMBER(D1120)),D1120,"")</f>
        <v/>
      </c>
      <c r="H1120" s="29">
        <f>IF(AND(F1120=1,ISNUMBER(E1120)),E1120,"")</f>
        <v/>
      </c>
      <c r="I1120" s="22">
        <f>IF(AND(F1120=1,ISNUMBER(C1120)),C1120,"")</f>
        <v/>
      </c>
      <c r="J1120" s="11">
        <f>IF(G1120="","",100-IF($G$13=1,50,(_xlfn.RANK.AVG(G1120,$G$19:$G$1518,1)-1)/($G$13-1)*100))</f>
        <v/>
      </c>
      <c r="K1120" s="11">
        <f>IF(H1120="","",100-IF($G$14=1,50,(_xlfn.RANK.AVG(H1120,$H$19:$H$1518,1)-1)/($G$14-1)*100))</f>
        <v/>
      </c>
      <c r="L1120" s="11">
        <f>IF(I1120="","",IF($G$15=1,50,(_xlfn.RANK.AVG(I1120,$I$19:$I$1518,1)-1)/($G$15-1)*100))</f>
        <v/>
      </c>
      <c r="M1120" s="11">
        <f>IF(COUNT(J1120:L1120)=3,ROUND(AVERAGE(J1120:L1120),6),"")</f>
        <v/>
      </c>
      <c r="O1120">
        <f>IF(AND(ISNUMBER('자료_미국심리'!$A1104),ISNUMBER('자료_미국심리'!$B1104)),'자료_미국심리'!$A1104,"")</f>
        <v/>
      </c>
      <c r="P1120">
        <f>IF(AND(ISNUMBER('자료_미국심리'!$D1104),ISNUMBER('자료_미국심리'!$E1104)),'자료_미국심리'!$D1104,"")</f>
        <v/>
      </c>
      <c r="Q1120">
        <f>IF(AND(ISNUMBER('자료_미국심리'!$G1104),ISNUMBER('자료_미국심리'!$H1104)),'자료_미국심리'!$G1104,"")</f>
        <v/>
      </c>
    </row>
    <row r="1121">
      <c r="A1121" s="10">
        <f>IF(1103&gt;$E$5,"",SMALL($O$19:$O$4018,$E$6+1103))</f>
        <v/>
      </c>
      <c r="B1121" s="29">
        <f>IF(A1121="","",INDEX('자료_미국심리'!$B$3:$B$4002,MATCH(A1121,$O$19:$O$4018,0)))</f>
        <v/>
      </c>
      <c r="C1121" s="22">
        <f>IF(A1121="","",B1121/AVERAGE(B997:B1121)-1)</f>
        <v/>
      </c>
      <c r="D1121" s="29">
        <f>IF(A1121="","",IFERROR(INDEX('자료_미국심리'!$E$3:$E$4002,MATCH(A1121,$P$19:$P$4018,0)),D1120))</f>
        <v/>
      </c>
      <c r="E1121" s="29">
        <f>IF(A1121="","",IFERROR(INDEX('자료_미국심리'!$H$3:$H$4002,MATCH(A1121,$Q$19:$Q$4018,0)),E1120))</f>
        <v/>
      </c>
      <c r="F1121">
        <f>IF(A1121="",0,IF(A1121&gt;$B$5,1,0))</f>
        <v/>
      </c>
      <c r="G1121" s="29">
        <f>IF(AND(F1121=1,ISNUMBER(D1121)),D1121,"")</f>
        <v/>
      </c>
      <c r="H1121" s="29">
        <f>IF(AND(F1121=1,ISNUMBER(E1121)),E1121,"")</f>
        <v/>
      </c>
      <c r="I1121" s="22">
        <f>IF(AND(F1121=1,ISNUMBER(C1121)),C1121,"")</f>
        <v/>
      </c>
      <c r="J1121" s="11">
        <f>IF(G1121="","",100-IF($G$13=1,50,(_xlfn.RANK.AVG(G1121,$G$19:$G$1518,1)-1)/($G$13-1)*100))</f>
        <v/>
      </c>
      <c r="K1121" s="11">
        <f>IF(H1121="","",100-IF($G$14=1,50,(_xlfn.RANK.AVG(H1121,$H$19:$H$1518,1)-1)/($G$14-1)*100))</f>
        <v/>
      </c>
      <c r="L1121" s="11">
        <f>IF(I1121="","",IF($G$15=1,50,(_xlfn.RANK.AVG(I1121,$I$19:$I$1518,1)-1)/($G$15-1)*100))</f>
        <v/>
      </c>
      <c r="M1121" s="11">
        <f>IF(COUNT(J1121:L1121)=3,ROUND(AVERAGE(J1121:L1121),6),"")</f>
        <v/>
      </c>
      <c r="O1121">
        <f>IF(AND(ISNUMBER('자료_미국심리'!$A1105),ISNUMBER('자료_미국심리'!$B1105)),'자료_미국심리'!$A1105,"")</f>
        <v/>
      </c>
      <c r="P1121">
        <f>IF(AND(ISNUMBER('자료_미국심리'!$D1105),ISNUMBER('자료_미국심리'!$E1105)),'자료_미국심리'!$D1105,"")</f>
        <v/>
      </c>
      <c r="Q1121">
        <f>IF(AND(ISNUMBER('자료_미국심리'!$G1105),ISNUMBER('자료_미국심리'!$H1105)),'자료_미국심리'!$G1105,"")</f>
        <v/>
      </c>
    </row>
    <row r="1122">
      <c r="A1122" s="10">
        <f>IF(1104&gt;$E$5,"",SMALL($O$19:$O$4018,$E$6+1104))</f>
        <v/>
      </c>
      <c r="B1122" s="29">
        <f>IF(A1122="","",INDEX('자료_미국심리'!$B$3:$B$4002,MATCH(A1122,$O$19:$O$4018,0)))</f>
        <v/>
      </c>
      <c r="C1122" s="22">
        <f>IF(A1122="","",B1122/AVERAGE(B998:B1122)-1)</f>
        <v/>
      </c>
      <c r="D1122" s="29">
        <f>IF(A1122="","",IFERROR(INDEX('자료_미국심리'!$E$3:$E$4002,MATCH(A1122,$P$19:$P$4018,0)),D1121))</f>
        <v/>
      </c>
      <c r="E1122" s="29">
        <f>IF(A1122="","",IFERROR(INDEX('자료_미국심리'!$H$3:$H$4002,MATCH(A1122,$Q$19:$Q$4018,0)),E1121))</f>
        <v/>
      </c>
      <c r="F1122">
        <f>IF(A1122="",0,IF(A1122&gt;$B$5,1,0))</f>
        <v/>
      </c>
      <c r="G1122" s="29">
        <f>IF(AND(F1122=1,ISNUMBER(D1122)),D1122,"")</f>
        <v/>
      </c>
      <c r="H1122" s="29">
        <f>IF(AND(F1122=1,ISNUMBER(E1122)),E1122,"")</f>
        <v/>
      </c>
      <c r="I1122" s="22">
        <f>IF(AND(F1122=1,ISNUMBER(C1122)),C1122,"")</f>
        <v/>
      </c>
      <c r="J1122" s="11">
        <f>IF(G1122="","",100-IF($G$13=1,50,(_xlfn.RANK.AVG(G1122,$G$19:$G$1518,1)-1)/($G$13-1)*100))</f>
        <v/>
      </c>
      <c r="K1122" s="11">
        <f>IF(H1122="","",100-IF($G$14=1,50,(_xlfn.RANK.AVG(H1122,$H$19:$H$1518,1)-1)/($G$14-1)*100))</f>
        <v/>
      </c>
      <c r="L1122" s="11">
        <f>IF(I1122="","",IF($G$15=1,50,(_xlfn.RANK.AVG(I1122,$I$19:$I$1518,1)-1)/($G$15-1)*100))</f>
        <v/>
      </c>
      <c r="M1122" s="11">
        <f>IF(COUNT(J1122:L1122)=3,ROUND(AVERAGE(J1122:L1122),6),"")</f>
        <v/>
      </c>
      <c r="O1122">
        <f>IF(AND(ISNUMBER('자료_미국심리'!$A1106),ISNUMBER('자료_미국심리'!$B1106)),'자료_미국심리'!$A1106,"")</f>
        <v/>
      </c>
      <c r="P1122">
        <f>IF(AND(ISNUMBER('자료_미국심리'!$D1106),ISNUMBER('자료_미국심리'!$E1106)),'자료_미국심리'!$D1106,"")</f>
        <v/>
      </c>
      <c r="Q1122">
        <f>IF(AND(ISNUMBER('자료_미국심리'!$G1106),ISNUMBER('자료_미국심리'!$H1106)),'자료_미국심리'!$G1106,"")</f>
        <v/>
      </c>
    </row>
    <row r="1123">
      <c r="A1123" s="10">
        <f>IF(1105&gt;$E$5,"",SMALL($O$19:$O$4018,$E$6+1105))</f>
        <v/>
      </c>
      <c r="B1123" s="29">
        <f>IF(A1123="","",INDEX('자료_미국심리'!$B$3:$B$4002,MATCH(A1123,$O$19:$O$4018,0)))</f>
        <v/>
      </c>
      <c r="C1123" s="22">
        <f>IF(A1123="","",B1123/AVERAGE(B999:B1123)-1)</f>
        <v/>
      </c>
      <c r="D1123" s="29">
        <f>IF(A1123="","",IFERROR(INDEX('자료_미국심리'!$E$3:$E$4002,MATCH(A1123,$P$19:$P$4018,0)),D1122))</f>
        <v/>
      </c>
      <c r="E1123" s="29">
        <f>IF(A1123="","",IFERROR(INDEX('자료_미국심리'!$H$3:$H$4002,MATCH(A1123,$Q$19:$Q$4018,0)),E1122))</f>
        <v/>
      </c>
      <c r="F1123">
        <f>IF(A1123="",0,IF(A1123&gt;$B$5,1,0))</f>
        <v/>
      </c>
      <c r="G1123" s="29">
        <f>IF(AND(F1123=1,ISNUMBER(D1123)),D1123,"")</f>
        <v/>
      </c>
      <c r="H1123" s="29">
        <f>IF(AND(F1123=1,ISNUMBER(E1123)),E1123,"")</f>
        <v/>
      </c>
      <c r="I1123" s="22">
        <f>IF(AND(F1123=1,ISNUMBER(C1123)),C1123,"")</f>
        <v/>
      </c>
      <c r="J1123" s="11">
        <f>IF(G1123="","",100-IF($G$13=1,50,(_xlfn.RANK.AVG(G1123,$G$19:$G$1518,1)-1)/($G$13-1)*100))</f>
        <v/>
      </c>
      <c r="K1123" s="11">
        <f>IF(H1123="","",100-IF($G$14=1,50,(_xlfn.RANK.AVG(H1123,$H$19:$H$1518,1)-1)/($G$14-1)*100))</f>
        <v/>
      </c>
      <c r="L1123" s="11">
        <f>IF(I1123="","",IF($G$15=1,50,(_xlfn.RANK.AVG(I1123,$I$19:$I$1518,1)-1)/($G$15-1)*100))</f>
        <v/>
      </c>
      <c r="M1123" s="11">
        <f>IF(COUNT(J1123:L1123)=3,ROUND(AVERAGE(J1123:L1123),6),"")</f>
        <v/>
      </c>
      <c r="O1123">
        <f>IF(AND(ISNUMBER('자료_미국심리'!$A1107),ISNUMBER('자료_미국심리'!$B1107)),'자료_미국심리'!$A1107,"")</f>
        <v/>
      </c>
      <c r="P1123">
        <f>IF(AND(ISNUMBER('자료_미국심리'!$D1107),ISNUMBER('자료_미국심리'!$E1107)),'자료_미국심리'!$D1107,"")</f>
        <v/>
      </c>
      <c r="Q1123">
        <f>IF(AND(ISNUMBER('자료_미국심리'!$G1107),ISNUMBER('자료_미국심리'!$H1107)),'자료_미국심리'!$G1107,"")</f>
        <v/>
      </c>
    </row>
    <row r="1124">
      <c r="A1124" s="10">
        <f>IF(1106&gt;$E$5,"",SMALL($O$19:$O$4018,$E$6+1106))</f>
        <v/>
      </c>
      <c r="B1124" s="29">
        <f>IF(A1124="","",INDEX('자료_미국심리'!$B$3:$B$4002,MATCH(A1124,$O$19:$O$4018,0)))</f>
        <v/>
      </c>
      <c r="C1124" s="22">
        <f>IF(A1124="","",B1124/AVERAGE(B1000:B1124)-1)</f>
        <v/>
      </c>
      <c r="D1124" s="29">
        <f>IF(A1124="","",IFERROR(INDEX('자료_미국심리'!$E$3:$E$4002,MATCH(A1124,$P$19:$P$4018,0)),D1123))</f>
        <v/>
      </c>
      <c r="E1124" s="29">
        <f>IF(A1124="","",IFERROR(INDEX('자료_미국심리'!$H$3:$H$4002,MATCH(A1124,$Q$19:$Q$4018,0)),E1123))</f>
        <v/>
      </c>
      <c r="F1124">
        <f>IF(A1124="",0,IF(A1124&gt;$B$5,1,0))</f>
        <v/>
      </c>
      <c r="G1124" s="29">
        <f>IF(AND(F1124=1,ISNUMBER(D1124)),D1124,"")</f>
        <v/>
      </c>
      <c r="H1124" s="29">
        <f>IF(AND(F1124=1,ISNUMBER(E1124)),E1124,"")</f>
        <v/>
      </c>
      <c r="I1124" s="22">
        <f>IF(AND(F1124=1,ISNUMBER(C1124)),C1124,"")</f>
        <v/>
      </c>
      <c r="J1124" s="11">
        <f>IF(G1124="","",100-IF($G$13=1,50,(_xlfn.RANK.AVG(G1124,$G$19:$G$1518,1)-1)/($G$13-1)*100))</f>
        <v/>
      </c>
      <c r="K1124" s="11">
        <f>IF(H1124="","",100-IF($G$14=1,50,(_xlfn.RANK.AVG(H1124,$H$19:$H$1518,1)-1)/($G$14-1)*100))</f>
        <v/>
      </c>
      <c r="L1124" s="11">
        <f>IF(I1124="","",IF($G$15=1,50,(_xlfn.RANK.AVG(I1124,$I$19:$I$1518,1)-1)/($G$15-1)*100))</f>
        <v/>
      </c>
      <c r="M1124" s="11">
        <f>IF(COUNT(J1124:L1124)=3,ROUND(AVERAGE(J1124:L1124),6),"")</f>
        <v/>
      </c>
      <c r="O1124">
        <f>IF(AND(ISNUMBER('자료_미국심리'!$A1108),ISNUMBER('자료_미국심리'!$B1108)),'자료_미국심리'!$A1108,"")</f>
        <v/>
      </c>
      <c r="P1124">
        <f>IF(AND(ISNUMBER('자료_미국심리'!$D1108),ISNUMBER('자료_미국심리'!$E1108)),'자료_미국심리'!$D1108,"")</f>
        <v/>
      </c>
      <c r="Q1124">
        <f>IF(AND(ISNUMBER('자료_미국심리'!$G1108),ISNUMBER('자료_미국심리'!$H1108)),'자료_미국심리'!$G1108,"")</f>
        <v/>
      </c>
    </row>
    <row r="1125">
      <c r="A1125" s="10">
        <f>IF(1107&gt;$E$5,"",SMALL($O$19:$O$4018,$E$6+1107))</f>
        <v/>
      </c>
      <c r="B1125" s="29">
        <f>IF(A1125="","",INDEX('자료_미국심리'!$B$3:$B$4002,MATCH(A1125,$O$19:$O$4018,0)))</f>
        <v/>
      </c>
      <c r="C1125" s="22">
        <f>IF(A1125="","",B1125/AVERAGE(B1001:B1125)-1)</f>
        <v/>
      </c>
      <c r="D1125" s="29">
        <f>IF(A1125="","",IFERROR(INDEX('자료_미국심리'!$E$3:$E$4002,MATCH(A1125,$P$19:$P$4018,0)),D1124))</f>
        <v/>
      </c>
      <c r="E1125" s="29">
        <f>IF(A1125="","",IFERROR(INDEX('자료_미국심리'!$H$3:$H$4002,MATCH(A1125,$Q$19:$Q$4018,0)),E1124))</f>
        <v/>
      </c>
      <c r="F1125">
        <f>IF(A1125="",0,IF(A1125&gt;$B$5,1,0))</f>
        <v/>
      </c>
      <c r="G1125" s="29">
        <f>IF(AND(F1125=1,ISNUMBER(D1125)),D1125,"")</f>
        <v/>
      </c>
      <c r="H1125" s="29">
        <f>IF(AND(F1125=1,ISNUMBER(E1125)),E1125,"")</f>
        <v/>
      </c>
      <c r="I1125" s="22">
        <f>IF(AND(F1125=1,ISNUMBER(C1125)),C1125,"")</f>
        <v/>
      </c>
      <c r="J1125" s="11">
        <f>IF(G1125="","",100-IF($G$13=1,50,(_xlfn.RANK.AVG(G1125,$G$19:$G$1518,1)-1)/($G$13-1)*100))</f>
        <v/>
      </c>
      <c r="K1125" s="11">
        <f>IF(H1125="","",100-IF($G$14=1,50,(_xlfn.RANK.AVG(H1125,$H$19:$H$1518,1)-1)/($G$14-1)*100))</f>
        <v/>
      </c>
      <c r="L1125" s="11">
        <f>IF(I1125="","",IF($G$15=1,50,(_xlfn.RANK.AVG(I1125,$I$19:$I$1518,1)-1)/($G$15-1)*100))</f>
        <v/>
      </c>
      <c r="M1125" s="11">
        <f>IF(COUNT(J1125:L1125)=3,ROUND(AVERAGE(J1125:L1125),6),"")</f>
        <v/>
      </c>
      <c r="O1125">
        <f>IF(AND(ISNUMBER('자료_미국심리'!$A1109),ISNUMBER('자료_미국심리'!$B1109)),'자료_미국심리'!$A1109,"")</f>
        <v/>
      </c>
      <c r="P1125">
        <f>IF(AND(ISNUMBER('자료_미국심리'!$D1109),ISNUMBER('자료_미국심리'!$E1109)),'자료_미국심리'!$D1109,"")</f>
        <v/>
      </c>
      <c r="Q1125">
        <f>IF(AND(ISNUMBER('자료_미국심리'!$G1109),ISNUMBER('자료_미국심리'!$H1109)),'자료_미국심리'!$G1109,"")</f>
        <v/>
      </c>
    </row>
    <row r="1126">
      <c r="A1126" s="10">
        <f>IF(1108&gt;$E$5,"",SMALL($O$19:$O$4018,$E$6+1108))</f>
        <v/>
      </c>
      <c r="B1126" s="29">
        <f>IF(A1126="","",INDEX('자료_미국심리'!$B$3:$B$4002,MATCH(A1126,$O$19:$O$4018,0)))</f>
        <v/>
      </c>
      <c r="C1126" s="22">
        <f>IF(A1126="","",B1126/AVERAGE(B1002:B1126)-1)</f>
        <v/>
      </c>
      <c r="D1126" s="29">
        <f>IF(A1126="","",IFERROR(INDEX('자료_미국심리'!$E$3:$E$4002,MATCH(A1126,$P$19:$P$4018,0)),D1125))</f>
        <v/>
      </c>
      <c r="E1126" s="29">
        <f>IF(A1126="","",IFERROR(INDEX('자료_미국심리'!$H$3:$H$4002,MATCH(A1126,$Q$19:$Q$4018,0)),E1125))</f>
        <v/>
      </c>
      <c r="F1126">
        <f>IF(A1126="",0,IF(A1126&gt;$B$5,1,0))</f>
        <v/>
      </c>
      <c r="G1126" s="29">
        <f>IF(AND(F1126=1,ISNUMBER(D1126)),D1126,"")</f>
        <v/>
      </c>
      <c r="H1126" s="29">
        <f>IF(AND(F1126=1,ISNUMBER(E1126)),E1126,"")</f>
        <v/>
      </c>
      <c r="I1126" s="22">
        <f>IF(AND(F1126=1,ISNUMBER(C1126)),C1126,"")</f>
        <v/>
      </c>
      <c r="J1126" s="11">
        <f>IF(G1126="","",100-IF($G$13=1,50,(_xlfn.RANK.AVG(G1126,$G$19:$G$1518,1)-1)/($G$13-1)*100))</f>
        <v/>
      </c>
      <c r="K1126" s="11">
        <f>IF(H1126="","",100-IF($G$14=1,50,(_xlfn.RANK.AVG(H1126,$H$19:$H$1518,1)-1)/($G$14-1)*100))</f>
        <v/>
      </c>
      <c r="L1126" s="11">
        <f>IF(I1126="","",IF($G$15=1,50,(_xlfn.RANK.AVG(I1126,$I$19:$I$1518,1)-1)/($G$15-1)*100))</f>
        <v/>
      </c>
      <c r="M1126" s="11">
        <f>IF(COUNT(J1126:L1126)=3,ROUND(AVERAGE(J1126:L1126),6),"")</f>
        <v/>
      </c>
      <c r="O1126">
        <f>IF(AND(ISNUMBER('자료_미국심리'!$A1110),ISNUMBER('자료_미국심리'!$B1110)),'자료_미국심리'!$A1110,"")</f>
        <v/>
      </c>
      <c r="P1126">
        <f>IF(AND(ISNUMBER('자료_미국심리'!$D1110),ISNUMBER('자료_미국심리'!$E1110)),'자료_미국심리'!$D1110,"")</f>
        <v/>
      </c>
      <c r="Q1126">
        <f>IF(AND(ISNUMBER('자료_미국심리'!$G1110),ISNUMBER('자료_미국심리'!$H1110)),'자료_미국심리'!$G1110,"")</f>
        <v/>
      </c>
    </row>
    <row r="1127">
      <c r="A1127" s="10">
        <f>IF(1109&gt;$E$5,"",SMALL($O$19:$O$4018,$E$6+1109))</f>
        <v/>
      </c>
      <c r="B1127" s="29">
        <f>IF(A1127="","",INDEX('자료_미국심리'!$B$3:$B$4002,MATCH(A1127,$O$19:$O$4018,0)))</f>
        <v/>
      </c>
      <c r="C1127" s="22">
        <f>IF(A1127="","",B1127/AVERAGE(B1003:B1127)-1)</f>
        <v/>
      </c>
      <c r="D1127" s="29">
        <f>IF(A1127="","",IFERROR(INDEX('자료_미국심리'!$E$3:$E$4002,MATCH(A1127,$P$19:$P$4018,0)),D1126))</f>
        <v/>
      </c>
      <c r="E1127" s="29">
        <f>IF(A1127="","",IFERROR(INDEX('자료_미국심리'!$H$3:$H$4002,MATCH(A1127,$Q$19:$Q$4018,0)),E1126))</f>
        <v/>
      </c>
      <c r="F1127">
        <f>IF(A1127="",0,IF(A1127&gt;$B$5,1,0))</f>
        <v/>
      </c>
      <c r="G1127" s="29">
        <f>IF(AND(F1127=1,ISNUMBER(D1127)),D1127,"")</f>
        <v/>
      </c>
      <c r="H1127" s="29">
        <f>IF(AND(F1127=1,ISNUMBER(E1127)),E1127,"")</f>
        <v/>
      </c>
      <c r="I1127" s="22">
        <f>IF(AND(F1127=1,ISNUMBER(C1127)),C1127,"")</f>
        <v/>
      </c>
      <c r="J1127" s="11">
        <f>IF(G1127="","",100-IF($G$13=1,50,(_xlfn.RANK.AVG(G1127,$G$19:$G$1518,1)-1)/($G$13-1)*100))</f>
        <v/>
      </c>
      <c r="K1127" s="11">
        <f>IF(H1127="","",100-IF($G$14=1,50,(_xlfn.RANK.AVG(H1127,$H$19:$H$1518,1)-1)/($G$14-1)*100))</f>
        <v/>
      </c>
      <c r="L1127" s="11">
        <f>IF(I1127="","",IF($G$15=1,50,(_xlfn.RANK.AVG(I1127,$I$19:$I$1518,1)-1)/($G$15-1)*100))</f>
        <v/>
      </c>
      <c r="M1127" s="11">
        <f>IF(COUNT(J1127:L1127)=3,ROUND(AVERAGE(J1127:L1127),6),"")</f>
        <v/>
      </c>
      <c r="O1127">
        <f>IF(AND(ISNUMBER('자료_미국심리'!$A1111),ISNUMBER('자료_미국심리'!$B1111)),'자료_미국심리'!$A1111,"")</f>
        <v/>
      </c>
      <c r="P1127">
        <f>IF(AND(ISNUMBER('자료_미국심리'!$D1111),ISNUMBER('자료_미국심리'!$E1111)),'자료_미국심리'!$D1111,"")</f>
        <v/>
      </c>
      <c r="Q1127">
        <f>IF(AND(ISNUMBER('자료_미국심리'!$G1111),ISNUMBER('자료_미국심리'!$H1111)),'자료_미국심리'!$G1111,"")</f>
        <v/>
      </c>
    </row>
    <row r="1128">
      <c r="A1128" s="10">
        <f>IF(1110&gt;$E$5,"",SMALL($O$19:$O$4018,$E$6+1110))</f>
        <v/>
      </c>
      <c r="B1128" s="29">
        <f>IF(A1128="","",INDEX('자료_미국심리'!$B$3:$B$4002,MATCH(A1128,$O$19:$O$4018,0)))</f>
        <v/>
      </c>
      <c r="C1128" s="22">
        <f>IF(A1128="","",B1128/AVERAGE(B1004:B1128)-1)</f>
        <v/>
      </c>
      <c r="D1128" s="29">
        <f>IF(A1128="","",IFERROR(INDEX('자료_미국심리'!$E$3:$E$4002,MATCH(A1128,$P$19:$P$4018,0)),D1127))</f>
        <v/>
      </c>
      <c r="E1128" s="29">
        <f>IF(A1128="","",IFERROR(INDEX('자료_미국심리'!$H$3:$H$4002,MATCH(A1128,$Q$19:$Q$4018,0)),E1127))</f>
        <v/>
      </c>
      <c r="F1128">
        <f>IF(A1128="",0,IF(A1128&gt;$B$5,1,0))</f>
        <v/>
      </c>
      <c r="G1128" s="29">
        <f>IF(AND(F1128=1,ISNUMBER(D1128)),D1128,"")</f>
        <v/>
      </c>
      <c r="H1128" s="29">
        <f>IF(AND(F1128=1,ISNUMBER(E1128)),E1128,"")</f>
        <v/>
      </c>
      <c r="I1128" s="22">
        <f>IF(AND(F1128=1,ISNUMBER(C1128)),C1128,"")</f>
        <v/>
      </c>
      <c r="J1128" s="11">
        <f>IF(G1128="","",100-IF($G$13=1,50,(_xlfn.RANK.AVG(G1128,$G$19:$G$1518,1)-1)/($G$13-1)*100))</f>
        <v/>
      </c>
      <c r="K1128" s="11">
        <f>IF(H1128="","",100-IF($G$14=1,50,(_xlfn.RANK.AVG(H1128,$H$19:$H$1518,1)-1)/($G$14-1)*100))</f>
        <v/>
      </c>
      <c r="L1128" s="11">
        <f>IF(I1128="","",IF($G$15=1,50,(_xlfn.RANK.AVG(I1128,$I$19:$I$1518,1)-1)/($G$15-1)*100))</f>
        <v/>
      </c>
      <c r="M1128" s="11">
        <f>IF(COUNT(J1128:L1128)=3,ROUND(AVERAGE(J1128:L1128),6),"")</f>
        <v/>
      </c>
      <c r="O1128">
        <f>IF(AND(ISNUMBER('자료_미국심리'!$A1112),ISNUMBER('자료_미국심리'!$B1112)),'자료_미국심리'!$A1112,"")</f>
        <v/>
      </c>
      <c r="P1128">
        <f>IF(AND(ISNUMBER('자료_미국심리'!$D1112),ISNUMBER('자료_미국심리'!$E1112)),'자료_미국심리'!$D1112,"")</f>
        <v/>
      </c>
      <c r="Q1128">
        <f>IF(AND(ISNUMBER('자료_미국심리'!$G1112),ISNUMBER('자료_미국심리'!$H1112)),'자료_미국심리'!$G1112,"")</f>
        <v/>
      </c>
    </row>
    <row r="1129">
      <c r="A1129" s="10">
        <f>IF(1111&gt;$E$5,"",SMALL($O$19:$O$4018,$E$6+1111))</f>
        <v/>
      </c>
      <c r="B1129" s="29">
        <f>IF(A1129="","",INDEX('자료_미국심리'!$B$3:$B$4002,MATCH(A1129,$O$19:$O$4018,0)))</f>
        <v/>
      </c>
      <c r="C1129" s="22">
        <f>IF(A1129="","",B1129/AVERAGE(B1005:B1129)-1)</f>
        <v/>
      </c>
      <c r="D1129" s="29">
        <f>IF(A1129="","",IFERROR(INDEX('자료_미국심리'!$E$3:$E$4002,MATCH(A1129,$P$19:$P$4018,0)),D1128))</f>
        <v/>
      </c>
      <c r="E1129" s="29">
        <f>IF(A1129="","",IFERROR(INDEX('자료_미국심리'!$H$3:$H$4002,MATCH(A1129,$Q$19:$Q$4018,0)),E1128))</f>
        <v/>
      </c>
      <c r="F1129">
        <f>IF(A1129="",0,IF(A1129&gt;$B$5,1,0))</f>
        <v/>
      </c>
      <c r="G1129" s="29">
        <f>IF(AND(F1129=1,ISNUMBER(D1129)),D1129,"")</f>
        <v/>
      </c>
      <c r="H1129" s="29">
        <f>IF(AND(F1129=1,ISNUMBER(E1129)),E1129,"")</f>
        <v/>
      </c>
      <c r="I1129" s="22">
        <f>IF(AND(F1129=1,ISNUMBER(C1129)),C1129,"")</f>
        <v/>
      </c>
      <c r="J1129" s="11">
        <f>IF(G1129="","",100-IF($G$13=1,50,(_xlfn.RANK.AVG(G1129,$G$19:$G$1518,1)-1)/($G$13-1)*100))</f>
        <v/>
      </c>
      <c r="K1129" s="11">
        <f>IF(H1129="","",100-IF($G$14=1,50,(_xlfn.RANK.AVG(H1129,$H$19:$H$1518,1)-1)/($G$14-1)*100))</f>
        <v/>
      </c>
      <c r="L1129" s="11">
        <f>IF(I1129="","",IF($G$15=1,50,(_xlfn.RANK.AVG(I1129,$I$19:$I$1518,1)-1)/($G$15-1)*100))</f>
        <v/>
      </c>
      <c r="M1129" s="11">
        <f>IF(COUNT(J1129:L1129)=3,ROUND(AVERAGE(J1129:L1129),6),"")</f>
        <v/>
      </c>
      <c r="O1129">
        <f>IF(AND(ISNUMBER('자료_미국심리'!$A1113),ISNUMBER('자료_미국심리'!$B1113)),'자료_미국심리'!$A1113,"")</f>
        <v/>
      </c>
      <c r="P1129">
        <f>IF(AND(ISNUMBER('자료_미국심리'!$D1113),ISNUMBER('자료_미국심리'!$E1113)),'자료_미국심리'!$D1113,"")</f>
        <v/>
      </c>
      <c r="Q1129">
        <f>IF(AND(ISNUMBER('자료_미국심리'!$G1113),ISNUMBER('자료_미국심리'!$H1113)),'자료_미국심리'!$G1113,"")</f>
        <v/>
      </c>
    </row>
    <row r="1130">
      <c r="A1130" s="10">
        <f>IF(1112&gt;$E$5,"",SMALL($O$19:$O$4018,$E$6+1112))</f>
        <v/>
      </c>
      <c r="B1130" s="29">
        <f>IF(A1130="","",INDEX('자료_미국심리'!$B$3:$B$4002,MATCH(A1130,$O$19:$O$4018,0)))</f>
        <v/>
      </c>
      <c r="C1130" s="22">
        <f>IF(A1130="","",B1130/AVERAGE(B1006:B1130)-1)</f>
        <v/>
      </c>
      <c r="D1130" s="29">
        <f>IF(A1130="","",IFERROR(INDEX('자료_미국심리'!$E$3:$E$4002,MATCH(A1130,$P$19:$P$4018,0)),D1129))</f>
        <v/>
      </c>
      <c r="E1130" s="29">
        <f>IF(A1130="","",IFERROR(INDEX('자료_미국심리'!$H$3:$H$4002,MATCH(A1130,$Q$19:$Q$4018,0)),E1129))</f>
        <v/>
      </c>
      <c r="F1130">
        <f>IF(A1130="",0,IF(A1130&gt;$B$5,1,0))</f>
        <v/>
      </c>
      <c r="G1130" s="29">
        <f>IF(AND(F1130=1,ISNUMBER(D1130)),D1130,"")</f>
        <v/>
      </c>
      <c r="H1130" s="29">
        <f>IF(AND(F1130=1,ISNUMBER(E1130)),E1130,"")</f>
        <v/>
      </c>
      <c r="I1130" s="22">
        <f>IF(AND(F1130=1,ISNUMBER(C1130)),C1130,"")</f>
        <v/>
      </c>
      <c r="J1130" s="11">
        <f>IF(G1130="","",100-IF($G$13=1,50,(_xlfn.RANK.AVG(G1130,$G$19:$G$1518,1)-1)/($G$13-1)*100))</f>
        <v/>
      </c>
      <c r="K1130" s="11">
        <f>IF(H1130="","",100-IF($G$14=1,50,(_xlfn.RANK.AVG(H1130,$H$19:$H$1518,1)-1)/($G$14-1)*100))</f>
        <v/>
      </c>
      <c r="L1130" s="11">
        <f>IF(I1130="","",IF($G$15=1,50,(_xlfn.RANK.AVG(I1130,$I$19:$I$1518,1)-1)/($G$15-1)*100))</f>
        <v/>
      </c>
      <c r="M1130" s="11">
        <f>IF(COUNT(J1130:L1130)=3,ROUND(AVERAGE(J1130:L1130),6),"")</f>
        <v/>
      </c>
      <c r="O1130">
        <f>IF(AND(ISNUMBER('자료_미국심리'!$A1114),ISNUMBER('자료_미국심리'!$B1114)),'자료_미국심리'!$A1114,"")</f>
        <v/>
      </c>
      <c r="P1130">
        <f>IF(AND(ISNUMBER('자료_미국심리'!$D1114),ISNUMBER('자료_미국심리'!$E1114)),'자료_미국심리'!$D1114,"")</f>
        <v/>
      </c>
      <c r="Q1130">
        <f>IF(AND(ISNUMBER('자료_미국심리'!$G1114),ISNUMBER('자료_미국심리'!$H1114)),'자료_미국심리'!$G1114,"")</f>
        <v/>
      </c>
    </row>
    <row r="1131">
      <c r="A1131" s="10">
        <f>IF(1113&gt;$E$5,"",SMALL($O$19:$O$4018,$E$6+1113))</f>
        <v/>
      </c>
      <c r="B1131" s="29">
        <f>IF(A1131="","",INDEX('자료_미국심리'!$B$3:$B$4002,MATCH(A1131,$O$19:$O$4018,0)))</f>
        <v/>
      </c>
      <c r="C1131" s="22">
        <f>IF(A1131="","",B1131/AVERAGE(B1007:B1131)-1)</f>
        <v/>
      </c>
      <c r="D1131" s="29">
        <f>IF(A1131="","",IFERROR(INDEX('자료_미국심리'!$E$3:$E$4002,MATCH(A1131,$P$19:$P$4018,0)),D1130))</f>
        <v/>
      </c>
      <c r="E1131" s="29">
        <f>IF(A1131="","",IFERROR(INDEX('자료_미국심리'!$H$3:$H$4002,MATCH(A1131,$Q$19:$Q$4018,0)),E1130))</f>
        <v/>
      </c>
      <c r="F1131">
        <f>IF(A1131="",0,IF(A1131&gt;$B$5,1,0))</f>
        <v/>
      </c>
      <c r="G1131" s="29">
        <f>IF(AND(F1131=1,ISNUMBER(D1131)),D1131,"")</f>
        <v/>
      </c>
      <c r="H1131" s="29">
        <f>IF(AND(F1131=1,ISNUMBER(E1131)),E1131,"")</f>
        <v/>
      </c>
      <c r="I1131" s="22">
        <f>IF(AND(F1131=1,ISNUMBER(C1131)),C1131,"")</f>
        <v/>
      </c>
      <c r="J1131" s="11">
        <f>IF(G1131="","",100-IF($G$13=1,50,(_xlfn.RANK.AVG(G1131,$G$19:$G$1518,1)-1)/($G$13-1)*100))</f>
        <v/>
      </c>
      <c r="K1131" s="11">
        <f>IF(H1131="","",100-IF($G$14=1,50,(_xlfn.RANK.AVG(H1131,$H$19:$H$1518,1)-1)/($G$14-1)*100))</f>
        <v/>
      </c>
      <c r="L1131" s="11">
        <f>IF(I1131="","",IF($G$15=1,50,(_xlfn.RANK.AVG(I1131,$I$19:$I$1518,1)-1)/($G$15-1)*100))</f>
        <v/>
      </c>
      <c r="M1131" s="11">
        <f>IF(COUNT(J1131:L1131)=3,ROUND(AVERAGE(J1131:L1131),6),"")</f>
        <v/>
      </c>
      <c r="O1131">
        <f>IF(AND(ISNUMBER('자료_미국심리'!$A1115),ISNUMBER('자료_미국심리'!$B1115)),'자료_미국심리'!$A1115,"")</f>
        <v/>
      </c>
      <c r="P1131">
        <f>IF(AND(ISNUMBER('자료_미국심리'!$D1115),ISNUMBER('자료_미국심리'!$E1115)),'자료_미국심리'!$D1115,"")</f>
        <v/>
      </c>
      <c r="Q1131">
        <f>IF(AND(ISNUMBER('자료_미국심리'!$G1115),ISNUMBER('자료_미국심리'!$H1115)),'자료_미국심리'!$G1115,"")</f>
        <v/>
      </c>
    </row>
    <row r="1132">
      <c r="A1132" s="10">
        <f>IF(1114&gt;$E$5,"",SMALL($O$19:$O$4018,$E$6+1114))</f>
        <v/>
      </c>
      <c r="B1132" s="29">
        <f>IF(A1132="","",INDEX('자료_미국심리'!$B$3:$B$4002,MATCH(A1132,$O$19:$O$4018,0)))</f>
        <v/>
      </c>
      <c r="C1132" s="22">
        <f>IF(A1132="","",B1132/AVERAGE(B1008:B1132)-1)</f>
        <v/>
      </c>
      <c r="D1132" s="29">
        <f>IF(A1132="","",IFERROR(INDEX('자료_미국심리'!$E$3:$E$4002,MATCH(A1132,$P$19:$P$4018,0)),D1131))</f>
        <v/>
      </c>
      <c r="E1132" s="29">
        <f>IF(A1132="","",IFERROR(INDEX('자료_미국심리'!$H$3:$H$4002,MATCH(A1132,$Q$19:$Q$4018,0)),E1131))</f>
        <v/>
      </c>
      <c r="F1132">
        <f>IF(A1132="",0,IF(A1132&gt;$B$5,1,0))</f>
        <v/>
      </c>
      <c r="G1132" s="29">
        <f>IF(AND(F1132=1,ISNUMBER(D1132)),D1132,"")</f>
        <v/>
      </c>
      <c r="H1132" s="29">
        <f>IF(AND(F1132=1,ISNUMBER(E1132)),E1132,"")</f>
        <v/>
      </c>
      <c r="I1132" s="22">
        <f>IF(AND(F1132=1,ISNUMBER(C1132)),C1132,"")</f>
        <v/>
      </c>
      <c r="J1132" s="11">
        <f>IF(G1132="","",100-IF($G$13=1,50,(_xlfn.RANK.AVG(G1132,$G$19:$G$1518,1)-1)/($G$13-1)*100))</f>
        <v/>
      </c>
      <c r="K1132" s="11">
        <f>IF(H1132="","",100-IF($G$14=1,50,(_xlfn.RANK.AVG(H1132,$H$19:$H$1518,1)-1)/($G$14-1)*100))</f>
        <v/>
      </c>
      <c r="L1132" s="11">
        <f>IF(I1132="","",IF($G$15=1,50,(_xlfn.RANK.AVG(I1132,$I$19:$I$1518,1)-1)/($G$15-1)*100))</f>
        <v/>
      </c>
      <c r="M1132" s="11">
        <f>IF(COUNT(J1132:L1132)=3,ROUND(AVERAGE(J1132:L1132),6),"")</f>
        <v/>
      </c>
      <c r="O1132">
        <f>IF(AND(ISNUMBER('자료_미국심리'!$A1116),ISNUMBER('자료_미국심리'!$B1116)),'자료_미국심리'!$A1116,"")</f>
        <v/>
      </c>
      <c r="P1132">
        <f>IF(AND(ISNUMBER('자료_미국심리'!$D1116),ISNUMBER('자료_미국심리'!$E1116)),'자료_미국심리'!$D1116,"")</f>
        <v/>
      </c>
      <c r="Q1132">
        <f>IF(AND(ISNUMBER('자료_미국심리'!$G1116),ISNUMBER('자료_미국심리'!$H1116)),'자료_미국심리'!$G1116,"")</f>
        <v/>
      </c>
    </row>
    <row r="1133">
      <c r="A1133" s="10">
        <f>IF(1115&gt;$E$5,"",SMALL($O$19:$O$4018,$E$6+1115))</f>
        <v/>
      </c>
      <c r="B1133" s="29">
        <f>IF(A1133="","",INDEX('자료_미국심리'!$B$3:$B$4002,MATCH(A1133,$O$19:$O$4018,0)))</f>
        <v/>
      </c>
      <c r="C1133" s="22">
        <f>IF(A1133="","",B1133/AVERAGE(B1009:B1133)-1)</f>
        <v/>
      </c>
      <c r="D1133" s="29">
        <f>IF(A1133="","",IFERROR(INDEX('자료_미국심리'!$E$3:$E$4002,MATCH(A1133,$P$19:$P$4018,0)),D1132))</f>
        <v/>
      </c>
      <c r="E1133" s="29">
        <f>IF(A1133="","",IFERROR(INDEX('자료_미국심리'!$H$3:$H$4002,MATCH(A1133,$Q$19:$Q$4018,0)),E1132))</f>
        <v/>
      </c>
      <c r="F1133">
        <f>IF(A1133="",0,IF(A1133&gt;$B$5,1,0))</f>
        <v/>
      </c>
      <c r="G1133" s="29">
        <f>IF(AND(F1133=1,ISNUMBER(D1133)),D1133,"")</f>
        <v/>
      </c>
      <c r="H1133" s="29">
        <f>IF(AND(F1133=1,ISNUMBER(E1133)),E1133,"")</f>
        <v/>
      </c>
      <c r="I1133" s="22">
        <f>IF(AND(F1133=1,ISNUMBER(C1133)),C1133,"")</f>
        <v/>
      </c>
      <c r="J1133" s="11">
        <f>IF(G1133="","",100-IF($G$13=1,50,(_xlfn.RANK.AVG(G1133,$G$19:$G$1518,1)-1)/($G$13-1)*100))</f>
        <v/>
      </c>
      <c r="K1133" s="11">
        <f>IF(H1133="","",100-IF($G$14=1,50,(_xlfn.RANK.AVG(H1133,$H$19:$H$1518,1)-1)/($G$14-1)*100))</f>
        <v/>
      </c>
      <c r="L1133" s="11">
        <f>IF(I1133="","",IF($G$15=1,50,(_xlfn.RANK.AVG(I1133,$I$19:$I$1518,1)-1)/($G$15-1)*100))</f>
        <v/>
      </c>
      <c r="M1133" s="11">
        <f>IF(COUNT(J1133:L1133)=3,ROUND(AVERAGE(J1133:L1133),6),"")</f>
        <v/>
      </c>
      <c r="O1133">
        <f>IF(AND(ISNUMBER('자료_미국심리'!$A1117),ISNUMBER('자료_미국심리'!$B1117)),'자료_미국심리'!$A1117,"")</f>
        <v/>
      </c>
      <c r="P1133">
        <f>IF(AND(ISNUMBER('자료_미국심리'!$D1117),ISNUMBER('자료_미국심리'!$E1117)),'자료_미국심리'!$D1117,"")</f>
        <v/>
      </c>
      <c r="Q1133">
        <f>IF(AND(ISNUMBER('자료_미국심리'!$G1117),ISNUMBER('자료_미국심리'!$H1117)),'자료_미국심리'!$G1117,"")</f>
        <v/>
      </c>
    </row>
    <row r="1134">
      <c r="A1134" s="10">
        <f>IF(1116&gt;$E$5,"",SMALL($O$19:$O$4018,$E$6+1116))</f>
        <v/>
      </c>
      <c r="B1134" s="29">
        <f>IF(A1134="","",INDEX('자료_미국심리'!$B$3:$B$4002,MATCH(A1134,$O$19:$O$4018,0)))</f>
        <v/>
      </c>
      <c r="C1134" s="22">
        <f>IF(A1134="","",B1134/AVERAGE(B1010:B1134)-1)</f>
        <v/>
      </c>
      <c r="D1134" s="29">
        <f>IF(A1134="","",IFERROR(INDEX('자료_미국심리'!$E$3:$E$4002,MATCH(A1134,$P$19:$P$4018,0)),D1133))</f>
        <v/>
      </c>
      <c r="E1134" s="29">
        <f>IF(A1134="","",IFERROR(INDEX('자료_미국심리'!$H$3:$H$4002,MATCH(A1134,$Q$19:$Q$4018,0)),E1133))</f>
        <v/>
      </c>
      <c r="F1134">
        <f>IF(A1134="",0,IF(A1134&gt;$B$5,1,0))</f>
        <v/>
      </c>
      <c r="G1134" s="29">
        <f>IF(AND(F1134=1,ISNUMBER(D1134)),D1134,"")</f>
        <v/>
      </c>
      <c r="H1134" s="29">
        <f>IF(AND(F1134=1,ISNUMBER(E1134)),E1134,"")</f>
        <v/>
      </c>
      <c r="I1134" s="22">
        <f>IF(AND(F1134=1,ISNUMBER(C1134)),C1134,"")</f>
        <v/>
      </c>
      <c r="J1134" s="11">
        <f>IF(G1134="","",100-IF($G$13=1,50,(_xlfn.RANK.AVG(G1134,$G$19:$G$1518,1)-1)/($G$13-1)*100))</f>
        <v/>
      </c>
      <c r="K1134" s="11">
        <f>IF(H1134="","",100-IF($G$14=1,50,(_xlfn.RANK.AVG(H1134,$H$19:$H$1518,1)-1)/($G$14-1)*100))</f>
        <v/>
      </c>
      <c r="L1134" s="11">
        <f>IF(I1134="","",IF($G$15=1,50,(_xlfn.RANK.AVG(I1134,$I$19:$I$1518,1)-1)/($G$15-1)*100))</f>
        <v/>
      </c>
      <c r="M1134" s="11">
        <f>IF(COUNT(J1134:L1134)=3,ROUND(AVERAGE(J1134:L1134),6),"")</f>
        <v/>
      </c>
      <c r="O1134">
        <f>IF(AND(ISNUMBER('자료_미국심리'!$A1118),ISNUMBER('자료_미국심리'!$B1118)),'자료_미국심리'!$A1118,"")</f>
        <v/>
      </c>
      <c r="P1134">
        <f>IF(AND(ISNUMBER('자료_미국심리'!$D1118),ISNUMBER('자료_미국심리'!$E1118)),'자료_미국심리'!$D1118,"")</f>
        <v/>
      </c>
      <c r="Q1134">
        <f>IF(AND(ISNUMBER('자료_미국심리'!$G1118),ISNUMBER('자료_미국심리'!$H1118)),'자료_미국심리'!$G1118,"")</f>
        <v/>
      </c>
    </row>
    <row r="1135">
      <c r="A1135" s="10">
        <f>IF(1117&gt;$E$5,"",SMALL($O$19:$O$4018,$E$6+1117))</f>
        <v/>
      </c>
      <c r="B1135" s="29">
        <f>IF(A1135="","",INDEX('자료_미국심리'!$B$3:$B$4002,MATCH(A1135,$O$19:$O$4018,0)))</f>
        <v/>
      </c>
      <c r="C1135" s="22">
        <f>IF(A1135="","",B1135/AVERAGE(B1011:B1135)-1)</f>
        <v/>
      </c>
      <c r="D1135" s="29">
        <f>IF(A1135="","",IFERROR(INDEX('자료_미국심리'!$E$3:$E$4002,MATCH(A1135,$P$19:$P$4018,0)),D1134))</f>
        <v/>
      </c>
      <c r="E1135" s="29">
        <f>IF(A1135="","",IFERROR(INDEX('자료_미국심리'!$H$3:$H$4002,MATCH(A1135,$Q$19:$Q$4018,0)),E1134))</f>
        <v/>
      </c>
      <c r="F1135">
        <f>IF(A1135="",0,IF(A1135&gt;$B$5,1,0))</f>
        <v/>
      </c>
      <c r="G1135" s="29">
        <f>IF(AND(F1135=1,ISNUMBER(D1135)),D1135,"")</f>
        <v/>
      </c>
      <c r="H1135" s="29">
        <f>IF(AND(F1135=1,ISNUMBER(E1135)),E1135,"")</f>
        <v/>
      </c>
      <c r="I1135" s="22">
        <f>IF(AND(F1135=1,ISNUMBER(C1135)),C1135,"")</f>
        <v/>
      </c>
      <c r="J1135" s="11">
        <f>IF(G1135="","",100-IF($G$13=1,50,(_xlfn.RANK.AVG(G1135,$G$19:$G$1518,1)-1)/($G$13-1)*100))</f>
        <v/>
      </c>
      <c r="K1135" s="11">
        <f>IF(H1135="","",100-IF($G$14=1,50,(_xlfn.RANK.AVG(H1135,$H$19:$H$1518,1)-1)/($G$14-1)*100))</f>
        <v/>
      </c>
      <c r="L1135" s="11">
        <f>IF(I1135="","",IF($G$15=1,50,(_xlfn.RANK.AVG(I1135,$I$19:$I$1518,1)-1)/($G$15-1)*100))</f>
        <v/>
      </c>
      <c r="M1135" s="11">
        <f>IF(COUNT(J1135:L1135)=3,ROUND(AVERAGE(J1135:L1135),6),"")</f>
        <v/>
      </c>
      <c r="O1135">
        <f>IF(AND(ISNUMBER('자료_미국심리'!$A1119),ISNUMBER('자료_미국심리'!$B1119)),'자료_미국심리'!$A1119,"")</f>
        <v/>
      </c>
      <c r="P1135">
        <f>IF(AND(ISNUMBER('자료_미국심리'!$D1119),ISNUMBER('자료_미국심리'!$E1119)),'자료_미국심리'!$D1119,"")</f>
        <v/>
      </c>
      <c r="Q1135">
        <f>IF(AND(ISNUMBER('자료_미국심리'!$G1119),ISNUMBER('자료_미국심리'!$H1119)),'자료_미국심리'!$G1119,"")</f>
        <v/>
      </c>
    </row>
    <row r="1136">
      <c r="A1136" s="10">
        <f>IF(1118&gt;$E$5,"",SMALL($O$19:$O$4018,$E$6+1118))</f>
        <v/>
      </c>
      <c r="B1136" s="29">
        <f>IF(A1136="","",INDEX('자료_미국심리'!$B$3:$B$4002,MATCH(A1136,$O$19:$O$4018,0)))</f>
        <v/>
      </c>
      <c r="C1136" s="22">
        <f>IF(A1136="","",B1136/AVERAGE(B1012:B1136)-1)</f>
        <v/>
      </c>
      <c r="D1136" s="29">
        <f>IF(A1136="","",IFERROR(INDEX('자료_미국심리'!$E$3:$E$4002,MATCH(A1136,$P$19:$P$4018,0)),D1135))</f>
        <v/>
      </c>
      <c r="E1136" s="29">
        <f>IF(A1136="","",IFERROR(INDEX('자료_미국심리'!$H$3:$H$4002,MATCH(A1136,$Q$19:$Q$4018,0)),E1135))</f>
        <v/>
      </c>
      <c r="F1136">
        <f>IF(A1136="",0,IF(A1136&gt;$B$5,1,0))</f>
        <v/>
      </c>
      <c r="G1136" s="29">
        <f>IF(AND(F1136=1,ISNUMBER(D1136)),D1136,"")</f>
        <v/>
      </c>
      <c r="H1136" s="29">
        <f>IF(AND(F1136=1,ISNUMBER(E1136)),E1136,"")</f>
        <v/>
      </c>
      <c r="I1136" s="22">
        <f>IF(AND(F1136=1,ISNUMBER(C1136)),C1136,"")</f>
        <v/>
      </c>
      <c r="J1136" s="11">
        <f>IF(G1136="","",100-IF($G$13=1,50,(_xlfn.RANK.AVG(G1136,$G$19:$G$1518,1)-1)/($G$13-1)*100))</f>
        <v/>
      </c>
      <c r="K1136" s="11">
        <f>IF(H1136="","",100-IF($G$14=1,50,(_xlfn.RANK.AVG(H1136,$H$19:$H$1518,1)-1)/($G$14-1)*100))</f>
        <v/>
      </c>
      <c r="L1136" s="11">
        <f>IF(I1136="","",IF($G$15=1,50,(_xlfn.RANK.AVG(I1136,$I$19:$I$1518,1)-1)/($G$15-1)*100))</f>
        <v/>
      </c>
      <c r="M1136" s="11">
        <f>IF(COUNT(J1136:L1136)=3,ROUND(AVERAGE(J1136:L1136),6),"")</f>
        <v/>
      </c>
      <c r="O1136">
        <f>IF(AND(ISNUMBER('자료_미국심리'!$A1120),ISNUMBER('자료_미국심리'!$B1120)),'자료_미국심리'!$A1120,"")</f>
        <v/>
      </c>
      <c r="P1136">
        <f>IF(AND(ISNUMBER('자료_미국심리'!$D1120),ISNUMBER('자료_미국심리'!$E1120)),'자료_미국심리'!$D1120,"")</f>
        <v/>
      </c>
      <c r="Q1136">
        <f>IF(AND(ISNUMBER('자료_미국심리'!$G1120),ISNUMBER('자료_미국심리'!$H1120)),'자료_미국심리'!$G1120,"")</f>
        <v/>
      </c>
    </row>
    <row r="1137">
      <c r="A1137" s="10">
        <f>IF(1119&gt;$E$5,"",SMALL($O$19:$O$4018,$E$6+1119))</f>
        <v/>
      </c>
      <c r="B1137" s="29">
        <f>IF(A1137="","",INDEX('자료_미국심리'!$B$3:$B$4002,MATCH(A1137,$O$19:$O$4018,0)))</f>
        <v/>
      </c>
      <c r="C1137" s="22">
        <f>IF(A1137="","",B1137/AVERAGE(B1013:B1137)-1)</f>
        <v/>
      </c>
      <c r="D1137" s="29">
        <f>IF(A1137="","",IFERROR(INDEX('자료_미국심리'!$E$3:$E$4002,MATCH(A1137,$P$19:$P$4018,0)),D1136))</f>
        <v/>
      </c>
      <c r="E1137" s="29">
        <f>IF(A1137="","",IFERROR(INDEX('자료_미국심리'!$H$3:$H$4002,MATCH(A1137,$Q$19:$Q$4018,0)),E1136))</f>
        <v/>
      </c>
      <c r="F1137">
        <f>IF(A1137="",0,IF(A1137&gt;$B$5,1,0))</f>
        <v/>
      </c>
      <c r="G1137" s="29">
        <f>IF(AND(F1137=1,ISNUMBER(D1137)),D1137,"")</f>
        <v/>
      </c>
      <c r="H1137" s="29">
        <f>IF(AND(F1137=1,ISNUMBER(E1137)),E1137,"")</f>
        <v/>
      </c>
      <c r="I1137" s="22">
        <f>IF(AND(F1137=1,ISNUMBER(C1137)),C1137,"")</f>
        <v/>
      </c>
      <c r="J1137" s="11">
        <f>IF(G1137="","",100-IF($G$13=1,50,(_xlfn.RANK.AVG(G1137,$G$19:$G$1518,1)-1)/($G$13-1)*100))</f>
        <v/>
      </c>
      <c r="K1137" s="11">
        <f>IF(H1137="","",100-IF($G$14=1,50,(_xlfn.RANK.AVG(H1137,$H$19:$H$1518,1)-1)/($G$14-1)*100))</f>
        <v/>
      </c>
      <c r="L1137" s="11">
        <f>IF(I1137="","",IF($G$15=1,50,(_xlfn.RANK.AVG(I1137,$I$19:$I$1518,1)-1)/($G$15-1)*100))</f>
        <v/>
      </c>
      <c r="M1137" s="11">
        <f>IF(COUNT(J1137:L1137)=3,ROUND(AVERAGE(J1137:L1137),6),"")</f>
        <v/>
      </c>
      <c r="O1137">
        <f>IF(AND(ISNUMBER('자료_미국심리'!$A1121),ISNUMBER('자료_미국심리'!$B1121)),'자료_미국심리'!$A1121,"")</f>
        <v/>
      </c>
      <c r="P1137">
        <f>IF(AND(ISNUMBER('자료_미국심리'!$D1121),ISNUMBER('자료_미국심리'!$E1121)),'자료_미국심리'!$D1121,"")</f>
        <v/>
      </c>
      <c r="Q1137">
        <f>IF(AND(ISNUMBER('자료_미국심리'!$G1121),ISNUMBER('자료_미국심리'!$H1121)),'자료_미국심리'!$G1121,"")</f>
        <v/>
      </c>
    </row>
    <row r="1138">
      <c r="A1138" s="10">
        <f>IF(1120&gt;$E$5,"",SMALL($O$19:$O$4018,$E$6+1120))</f>
        <v/>
      </c>
      <c r="B1138" s="29">
        <f>IF(A1138="","",INDEX('자료_미국심리'!$B$3:$B$4002,MATCH(A1138,$O$19:$O$4018,0)))</f>
        <v/>
      </c>
      <c r="C1138" s="22">
        <f>IF(A1138="","",B1138/AVERAGE(B1014:B1138)-1)</f>
        <v/>
      </c>
      <c r="D1138" s="29">
        <f>IF(A1138="","",IFERROR(INDEX('자료_미국심리'!$E$3:$E$4002,MATCH(A1138,$P$19:$P$4018,0)),D1137))</f>
        <v/>
      </c>
      <c r="E1138" s="29">
        <f>IF(A1138="","",IFERROR(INDEX('자료_미국심리'!$H$3:$H$4002,MATCH(A1138,$Q$19:$Q$4018,0)),E1137))</f>
        <v/>
      </c>
      <c r="F1138">
        <f>IF(A1138="",0,IF(A1138&gt;$B$5,1,0))</f>
        <v/>
      </c>
      <c r="G1138" s="29">
        <f>IF(AND(F1138=1,ISNUMBER(D1138)),D1138,"")</f>
        <v/>
      </c>
      <c r="H1138" s="29">
        <f>IF(AND(F1138=1,ISNUMBER(E1138)),E1138,"")</f>
        <v/>
      </c>
      <c r="I1138" s="22">
        <f>IF(AND(F1138=1,ISNUMBER(C1138)),C1138,"")</f>
        <v/>
      </c>
      <c r="J1138" s="11">
        <f>IF(G1138="","",100-IF($G$13=1,50,(_xlfn.RANK.AVG(G1138,$G$19:$G$1518,1)-1)/($G$13-1)*100))</f>
        <v/>
      </c>
      <c r="K1138" s="11">
        <f>IF(H1138="","",100-IF($G$14=1,50,(_xlfn.RANK.AVG(H1138,$H$19:$H$1518,1)-1)/($G$14-1)*100))</f>
        <v/>
      </c>
      <c r="L1138" s="11">
        <f>IF(I1138="","",IF($G$15=1,50,(_xlfn.RANK.AVG(I1138,$I$19:$I$1518,1)-1)/($G$15-1)*100))</f>
        <v/>
      </c>
      <c r="M1138" s="11">
        <f>IF(COUNT(J1138:L1138)=3,ROUND(AVERAGE(J1138:L1138),6),"")</f>
        <v/>
      </c>
      <c r="O1138">
        <f>IF(AND(ISNUMBER('자료_미국심리'!$A1122),ISNUMBER('자료_미국심리'!$B1122)),'자료_미국심리'!$A1122,"")</f>
        <v/>
      </c>
      <c r="P1138">
        <f>IF(AND(ISNUMBER('자료_미국심리'!$D1122),ISNUMBER('자료_미국심리'!$E1122)),'자료_미국심리'!$D1122,"")</f>
        <v/>
      </c>
      <c r="Q1138">
        <f>IF(AND(ISNUMBER('자료_미국심리'!$G1122),ISNUMBER('자료_미국심리'!$H1122)),'자료_미국심리'!$G1122,"")</f>
        <v/>
      </c>
    </row>
    <row r="1139">
      <c r="A1139" s="10">
        <f>IF(1121&gt;$E$5,"",SMALL($O$19:$O$4018,$E$6+1121))</f>
        <v/>
      </c>
      <c r="B1139" s="29">
        <f>IF(A1139="","",INDEX('자료_미국심리'!$B$3:$B$4002,MATCH(A1139,$O$19:$O$4018,0)))</f>
        <v/>
      </c>
      <c r="C1139" s="22">
        <f>IF(A1139="","",B1139/AVERAGE(B1015:B1139)-1)</f>
        <v/>
      </c>
      <c r="D1139" s="29">
        <f>IF(A1139="","",IFERROR(INDEX('자료_미국심리'!$E$3:$E$4002,MATCH(A1139,$P$19:$P$4018,0)),D1138))</f>
        <v/>
      </c>
      <c r="E1139" s="29">
        <f>IF(A1139="","",IFERROR(INDEX('자료_미국심리'!$H$3:$H$4002,MATCH(A1139,$Q$19:$Q$4018,0)),E1138))</f>
        <v/>
      </c>
      <c r="F1139">
        <f>IF(A1139="",0,IF(A1139&gt;$B$5,1,0))</f>
        <v/>
      </c>
      <c r="G1139" s="29">
        <f>IF(AND(F1139=1,ISNUMBER(D1139)),D1139,"")</f>
        <v/>
      </c>
      <c r="H1139" s="29">
        <f>IF(AND(F1139=1,ISNUMBER(E1139)),E1139,"")</f>
        <v/>
      </c>
      <c r="I1139" s="22">
        <f>IF(AND(F1139=1,ISNUMBER(C1139)),C1139,"")</f>
        <v/>
      </c>
      <c r="J1139" s="11">
        <f>IF(G1139="","",100-IF($G$13=1,50,(_xlfn.RANK.AVG(G1139,$G$19:$G$1518,1)-1)/($G$13-1)*100))</f>
        <v/>
      </c>
      <c r="K1139" s="11">
        <f>IF(H1139="","",100-IF($G$14=1,50,(_xlfn.RANK.AVG(H1139,$H$19:$H$1518,1)-1)/($G$14-1)*100))</f>
        <v/>
      </c>
      <c r="L1139" s="11">
        <f>IF(I1139="","",IF($G$15=1,50,(_xlfn.RANK.AVG(I1139,$I$19:$I$1518,1)-1)/($G$15-1)*100))</f>
        <v/>
      </c>
      <c r="M1139" s="11">
        <f>IF(COUNT(J1139:L1139)=3,ROUND(AVERAGE(J1139:L1139),6),"")</f>
        <v/>
      </c>
      <c r="O1139">
        <f>IF(AND(ISNUMBER('자료_미국심리'!$A1123),ISNUMBER('자료_미국심리'!$B1123)),'자료_미국심리'!$A1123,"")</f>
        <v/>
      </c>
      <c r="P1139">
        <f>IF(AND(ISNUMBER('자료_미국심리'!$D1123),ISNUMBER('자료_미국심리'!$E1123)),'자료_미국심리'!$D1123,"")</f>
        <v/>
      </c>
      <c r="Q1139">
        <f>IF(AND(ISNUMBER('자료_미국심리'!$G1123),ISNUMBER('자료_미국심리'!$H1123)),'자료_미국심리'!$G1123,"")</f>
        <v/>
      </c>
    </row>
    <row r="1140">
      <c r="A1140" s="10">
        <f>IF(1122&gt;$E$5,"",SMALL($O$19:$O$4018,$E$6+1122))</f>
        <v/>
      </c>
      <c r="B1140" s="29">
        <f>IF(A1140="","",INDEX('자료_미국심리'!$B$3:$B$4002,MATCH(A1140,$O$19:$O$4018,0)))</f>
        <v/>
      </c>
      <c r="C1140" s="22">
        <f>IF(A1140="","",B1140/AVERAGE(B1016:B1140)-1)</f>
        <v/>
      </c>
      <c r="D1140" s="29">
        <f>IF(A1140="","",IFERROR(INDEX('자료_미국심리'!$E$3:$E$4002,MATCH(A1140,$P$19:$P$4018,0)),D1139))</f>
        <v/>
      </c>
      <c r="E1140" s="29">
        <f>IF(A1140="","",IFERROR(INDEX('자료_미국심리'!$H$3:$H$4002,MATCH(A1140,$Q$19:$Q$4018,0)),E1139))</f>
        <v/>
      </c>
      <c r="F1140">
        <f>IF(A1140="",0,IF(A1140&gt;$B$5,1,0))</f>
        <v/>
      </c>
      <c r="G1140" s="29">
        <f>IF(AND(F1140=1,ISNUMBER(D1140)),D1140,"")</f>
        <v/>
      </c>
      <c r="H1140" s="29">
        <f>IF(AND(F1140=1,ISNUMBER(E1140)),E1140,"")</f>
        <v/>
      </c>
      <c r="I1140" s="22">
        <f>IF(AND(F1140=1,ISNUMBER(C1140)),C1140,"")</f>
        <v/>
      </c>
      <c r="J1140" s="11">
        <f>IF(G1140="","",100-IF($G$13=1,50,(_xlfn.RANK.AVG(G1140,$G$19:$G$1518,1)-1)/($G$13-1)*100))</f>
        <v/>
      </c>
      <c r="K1140" s="11">
        <f>IF(H1140="","",100-IF($G$14=1,50,(_xlfn.RANK.AVG(H1140,$H$19:$H$1518,1)-1)/($G$14-1)*100))</f>
        <v/>
      </c>
      <c r="L1140" s="11">
        <f>IF(I1140="","",IF($G$15=1,50,(_xlfn.RANK.AVG(I1140,$I$19:$I$1518,1)-1)/($G$15-1)*100))</f>
        <v/>
      </c>
      <c r="M1140" s="11">
        <f>IF(COUNT(J1140:L1140)=3,ROUND(AVERAGE(J1140:L1140),6),"")</f>
        <v/>
      </c>
      <c r="O1140">
        <f>IF(AND(ISNUMBER('자료_미국심리'!$A1124),ISNUMBER('자료_미국심리'!$B1124)),'자료_미국심리'!$A1124,"")</f>
        <v/>
      </c>
      <c r="P1140">
        <f>IF(AND(ISNUMBER('자료_미국심리'!$D1124),ISNUMBER('자료_미국심리'!$E1124)),'자료_미국심리'!$D1124,"")</f>
        <v/>
      </c>
      <c r="Q1140">
        <f>IF(AND(ISNUMBER('자료_미국심리'!$G1124),ISNUMBER('자료_미국심리'!$H1124)),'자료_미국심리'!$G1124,"")</f>
        <v/>
      </c>
    </row>
    <row r="1141">
      <c r="A1141" s="10">
        <f>IF(1123&gt;$E$5,"",SMALL($O$19:$O$4018,$E$6+1123))</f>
        <v/>
      </c>
      <c r="B1141" s="29">
        <f>IF(A1141="","",INDEX('자료_미국심리'!$B$3:$B$4002,MATCH(A1141,$O$19:$O$4018,0)))</f>
        <v/>
      </c>
      <c r="C1141" s="22">
        <f>IF(A1141="","",B1141/AVERAGE(B1017:B1141)-1)</f>
        <v/>
      </c>
      <c r="D1141" s="29">
        <f>IF(A1141="","",IFERROR(INDEX('자료_미국심리'!$E$3:$E$4002,MATCH(A1141,$P$19:$P$4018,0)),D1140))</f>
        <v/>
      </c>
      <c r="E1141" s="29">
        <f>IF(A1141="","",IFERROR(INDEX('자료_미국심리'!$H$3:$H$4002,MATCH(A1141,$Q$19:$Q$4018,0)),E1140))</f>
        <v/>
      </c>
      <c r="F1141">
        <f>IF(A1141="",0,IF(A1141&gt;$B$5,1,0))</f>
        <v/>
      </c>
      <c r="G1141" s="29">
        <f>IF(AND(F1141=1,ISNUMBER(D1141)),D1141,"")</f>
        <v/>
      </c>
      <c r="H1141" s="29">
        <f>IF(AND(F1141=1,ISNUMBER(E1141)),E1141,"")</f>
        <v/>
      </c>
      <c r="I1141" s="22">
        <f>IF(AND(F1141=1,ISNUMBER(C1141)),C1141,"")</f>
        <v/>
      </c>
      <c r="J1141" s="11">
        <f>IF(G1141="","",100-IF($G$13=1,50,(_xlfn.RANK.AVG(G1141,$G$19:$G$1518,1)-1)/($G$13-1)*100))</f>
        <v/>
      </c>
      <c r="K1141" s="11">
        <f>IF(H1141="","",100-IF($G$14=1,50,(_xlfn.RANK.AVG(H1141,$H$19:$H$1518,1)-1)/($G$14-1)*100))</f>
        <v/>
      </c>
      <c r="L1141" s="11">
        <f>IF(I1141="","",IF($G$15=1,50,(_xlfn.RANK.AVG(I1141,$I$19:$I$1518,1)-1)/($G$15-1)*100))</f>
        <v/>
      </c>
      <c r="M1141" s="11">
        <f>IF(COUNT(J1141:L1141)=3,ROUND(AVERAGE(J1141:L1141),6),"")</f>
        <v/>
      </c>
      <c r="O1141">
        <f>IF(AND(ISNUMBER('자료_미국심리'!$A1125),ISNUMBER('자료_미국심리'!$B1125)),'자료_미국심리'!$A1125,"")</f>
        <v/>
      </c>
      <c r="P1141">
        <f>IF(AND(ISNUMBER('자료_미국심리'!$D1125),ISNUMBER('자료_미국심리'!$E1125)),'자료_미국심리'!$D1125,"")</f>
        <v/>
      </c>
      <c r="Q1141">
        <f>IF(AND(ISNUMBER('자료_미국심리'!$G1125),ISNUMBER('자료_미국심리'!$H1125)),'자료_미국심리'!$G1125,"")</f>
        <v/>
      </c>
    </row>
    <row r="1142">
      <c r="A1142" s="10">
        <f>IF(1124&gt;$E$5,"",SMALL($O$19:$O$4018,$E$6+1124))</f>
        <v/>
      </c>
      <c r="B1142" s="29">
        <f>IF(A1142="","",INDEX('자료_미국심리'!$B$3:$B$4002,MATCH(A1142,$O$19:$O$4018,0)))</f>
        <v/>
      </c>
      <c r="C1142" s="22">
        <f>IF(A1142="","",B1142/AVERAGE(B1018:B1142)-1)</f>
        <v/>
      </c>
      <c r="D1142" s="29">
        <f>IF(A1142="","",IFERROR(INDEX('자료_미국심리'!$E$3:$E$4002,MATCH(A1142,$P$19:$P$4018,0)),D1141))</f>
        <v/>
      </c>
      <c r="E1142" s="29">
        <f>IF(A1142="","",IFERROR(INDEX('자료_미국심리'!$H$3:$H$4002,MATCH(A1142,$Q$19:$Q$4018,0)),E1141))</f>
        <v/>
      </c>
      <c r="F1142">
        <f>IF(A1142="",0,IF(A1142&gt;$B$5,1,0))</f>
        <v/>
      </c>
      <c r="G1142" s="29">
        <f>IF(AND(F1142=1,ISNUMBER(D1142)),D1142,"")</f>
        <v/>
      </c>
      <c r="H1142" s="29">
        <f>IF(AND(F1142=1,ISNUMBER(E1142)),E1142,"")</f>
        <v/>
      </c>
      <c r="I1142" s="22">
        <f>IF(AND(F1142=1,ISNUMBER(C1142)),C1142,"")</f>
        <v/>
      </c>
      <c r="J1142" s="11">
        <f>IF(G1142="","",100-IF($G$13=1,50,(_xlfn.RANK.AVG(G1142,$G$19:$G$1518,1)-1)/($G$13-1)*100))</f>
        <v/>
      </c>
      <c r="K1142" s="11">
        <f>IF(H1142="","",100-IF($G$14=1,50,(_xlfn.RANK.AVG(H1142,$H$19:$H$1518,1)-1)/($G$14-1)*100))</f>
        <v/>
      </c>
      <c r="L1142" s="11">
        <f>IF(I1142="","",IF($G$15=1,50,(_xlfn.RANK.AVG(I1142,$I$19:$I$1518,1)-1)/($G$15-1)*100))</f>
        <v/>
      </c>
      <c r="M1142" s="11">
        <f>IF(COUNT(J1142:L1142)=3,ROUND(AVERAGE(J1142:L1142),6),"")</f>
        <v/>
      </c>
      <c r="O1142">
        <f>IF(AND(ISNUMBER('자료_미국심리'!$A1126),ISNUMBER('자료_미국심리'!$B1126)),'자료_미국심리'!$A1126,"")</f>
        <v/>
      </c>
      <c r="P1142">
        <f>IF(AND(ISNUMBER('자료_미국심리'!$D1126),ISNUMBER('자료_미국심리'!$E1126)),'자료_미국심리'!$D1126,"")</f>
        <v/>
      </c>
      <c r="Q1142">
        <f>IF(AND(ISNUMBER('자료_미국심리'!$G1126),ISNUMBER('자료_미국심리'!$H1126)),'자료_미국심리'!$G1126,"")</f>
        <v/>
      </c>
    </row>
    <row r="1143">
      <c r="A1143" s="10">
        <f>IF(1125&gt;$E$5,"",SMALL($O$19:$O$4018,$E$6+1125))</f>
        <v/>
      </c>
      <c r="B1143" s="29">
        <f>IF(A1143="","",INDEX('자료_미국심리'!$B$3:$B$4002,MATCH(A1143,$O$19:$O$4018,0)))</f>
        <v/>
      </c>
      <c r="C1143" s="22">
        <f>IF(A1143="","",B1143/AVERAGE(B1019:B1143)-1)</f>
        <v/>
      </c>
      <c r="D1143" s="29">
        <f>IF(A1143="","",IFERROR(INDEX('자료_미국심리'!$E$3:$E$4002,MATCH(A1143,$P$19:$P$4018,0)),D1142))</f>
        <v/>
      </c>
      <c r="E1143" s="29">
        <f>IF(A1143="","",IFERROR(INDEX('자료_미국심리'!$H$3:$H$4002,MATCH(A1143,$Q$19:$Q$4018,0)),E1142))</f>
        <v/>
      </c>
      <c r="F1143">
        <f>IF(A1143="",0,IF(A1143&gt;$B$5,1,0))</f>
        <v/>
      </c>
      <c r="G1143" s="29">
        <f>IF(AND(F1143=1,ISNUMBER(D1143)),D1143,"")</f>
        <v/>
      </c>
      <c r="H1143" s="29">
        <f>IF(AND(F1143=1,ISNUMBER(E1143)),E1143,"")</f>
        <v/>
      </c>
      <c r="I1143" s="22">
        <f>IF(AND(F1143=1,ISNUMBER(C1143)),C1143,"")</f>
        <v/>
      </c>
      <c r="J1143" s="11">
        <f>IF(G1143="","",100-IF($G$13=1,50,(_xlfn.RANK.AVG(G1143,$G$19:$G$1518,1)-1)/($G$13-1)*100))</f>
        <v/>
      </c>
      <c r="K1143" s="11">
        <f>IF(H1143="","",100-IF($G$14=1,50,(_xlfn.RANK.AVG(H1143,$H$19:$H$1518,1)-1)/($G$14-1)*100))</f>
        <v/>
      </c>
      <c r="L1143" s="11">
        <f>IF(I1143="","",IF($G$15=1,50,(_xlfn.RANK.AVG(I1143,$I$19:$I$1518,1)-1)/($G$15-1)*100))</f>
        <v/>
      </c>
      <c r="M1143" s="11">
        <f>IF(COUNT(J1143:L1143)=3,ROUND(AVERAGE(J1143:L1143),6),"")</f>
        <v/>
      </c>
      <c r="O1143">
        <f>IF(AND(ISNUMBER('자료_미국심리'!$A1127),ISNUMBER('자료_미국심리'!$B1127)),'자료_미국심리'!$A1127,"")</f>
        <v/>
      </c>
      <c r="P1143">
        <f>IF(AND(ISNUMBER('자료_미국심리'!$D1127),ISNUMBER('자료_미국심리'!$E1127)),'자료_미국심리'!$D1127,"")</f>
        <v/>
      </c>
      <c r="Q1143">
        <f>IF(AND(ISNUMBER('자료_미국심리'!$G1127),ISNUMBER('자료_미국심리'!$H1127)),'자료_미국심리'!$G1127,"")</f>
        <v/>
      </c>
    </row>
    <row r="1144">
      <c r="A1144" s="10">
        <f>IF(1126&gt;$E$5,"",SMALL($O$19:$O$4018,$E$6+1126))</f>
        <v/>
      </c>
      <c r="B1144" s="29">
        <f>IF(A1144="","",INDEX('자료_미국심리'!$B$3:$B$4002,MATCH(A1144,$O$19:$O$4018,0)))</f>
        <v/>
      </c>
      <c r="C1144" s="22">
        <f>IF(A1144="","",B1144/AVERAGE(B1020:B1144)-1)</f>
        <v/>
      </c>
      <c r="D1144" s="29">
        <f>IF(A1144="","",IFERROR(INDEX('자료_미국심리'!$E$3:$E$4002,MATCH(A1144,$P$19:$P$4018,0)),D1143))</f>
        <v/>
      </c>
      <c r="E1144" s="29">
        <f>IF(A1144="","",IFERROR(INDEX('자료_미국심리'!$H$3:$H$4002,MATCH(A1144,$Q$19:$Q$4018,0)),E1143))</f>
        <v/>
      </c>
      <c r="F1144">
        <f>IF(A1144="",0,IF(A1144&gt;$B$5,1,0))</f>
        <v/>
      </c>
      <c r="G1144" s="29">
        <f>IF(AND(F1144=1,ISNUMBER(D1144)),D1144,"")</f>
        <v/>
      </c>
      <c r="H1144" s="29">
        <f>IF(AND(F1144=1,ISNUMBER(E1144)),E1144,"")</f>
        <v/>
      </c>
      <c r="I1144" s="22">
        <f>IF(AND(F1144=1,ISNUMBER(C1144)),C1144,"")</f>
        <v/>
      </c>
      <c r="J1144" s="11">
        <f>IF(G1144="","",100-IF($G$13=1,50,(_xlfn.RANK.AVG(G1144,$G$19:$G$1518,1)-1)/($G$13-1)*100))</f>
        <v/>
      </c>
      <c r="K1144" s="11">
        <f>IF(H1144="","",100-IF($G$14=1,50,(_xlfn.RANK.AVG(H1144,$H$19:$H$1518,1)-1)/($G$14-1)*100))</f>
        <v/>
      </c>
      <c r="L1144" s="11">
        <f>IF(I1144="","",IF($G$15=1,50,(_xlfn.RANK.AVG(I1144,$I$19:$I$1518,1)-1)/($G$15-1)*100))</f>
        <v/>
      </c>
      <c r="M1144" s="11">
        <f>IF(COUNT(J1144:L1144)=3,ROUND(AVERAGE(J1144:L1144),6),"")</f>
        <v/>
      </c>
      <c r="O1144">
        <f>IF(AND(ISNUMBER('자료_미국심리'!$A1128),ISNUMBER('자료_미국심리'!$B1128)),'자료_미국심리'!$A1128,"")</f>
        <v/>
      </c>
      <c r="P1144">
        <f>IF(AND(ISNUMBER('자료_미국심리'!$D1128),ISNUMBER('자료_미국심리'!$E1128)),'자료_미국심리'!$D1128,"")</f>
        <v/>
      </c>
      <c r="Q1144">
        <f>IF(AND(ISNUMBER('자료_미국심리'!$G1128),ISNUMBER('자료_미국심리'!$H1128)),'자료_미국심리'!$G1128,"")</f>
        <v/>
      </c>
    </row>
    <row r="1145">
      <c r="A1145" s="10">
        <f>IF(1127&gt;$E$5,"",SMALL($O$19:$O$4018,$E$6+1127))</f>
        <v/>
      </c>
      <c r="B1145" s="29">
        <f>IF(A1145="","",INDEX('자료_미국심리'!$B$3:$B$4002,MATCH(A1145,$O$19:$O$4018,0)))</f>
        <v/>
      </c>
      <c r="C1145" s="22">
        <f>IF(A1145="","",B1145/AVERAGE(B1021:B1145)-1)</f>
        <v/>
      </c>
      <c r="D1145" s="29">
        <f>IF(A1145="","",IFERROR(INDEX('자료_미국심리'!$E$3:$E$4002,MATCH(A1145,$P$19:$P$4018,0)),D1144))</f>
        <v/>
      </c>
      <c r="E1145" s="29">
        <f>IF(A1145="","",IFERROR(INDEX('자료_미국심리'!$H$3:$H$4002,MATCH(A1145,$Q$19:$Q$4018,0)),E1144))</f>
        <v/>
      </c>
      <c r="F1145">
        <f>IF(A1145="",0,IF(A1145&gt;$B$5,1,0))</f>
        <v/>
      </c>
      <c r="G1145" s="29">
        <f>IF(AND(F1145=1,ISNUMBER(D1145)),D1145,"")</f>
        <v/>
      </c>
      <c r="H1145" s="29">
        <f>IF(AND(F1145=1,ISNUMBER(E1145)),E1145,"")</f>
        <v/>
      </c>
      <c r="I1145" s="22">
        <f>IF(AND(F1145=1,ISNUMBER(C1145)),C1145,"")</f>
        <v/>
      </c>
      <c r="J1145" s="11">
        <f>IF(G1145="","",100-IF($G$13=1,50,(_xlfn.RANK.AVG(G1145,$G$19:$G$1518,1)-1)/($G$13-1)*100))</f>
        <v/>
      </c>
      <c r="K1145" s="11">
        <f>IF(H1145="","",100-IF($G$14=1,50,(_xlfn.RANK.AVG(H1145,$H$19:$H$1518,1)-1)/($G$14-1)*100))</f>
        <v/>
      </c>
      <c r="L1145" s="11">
        <f>IF(I1145="","",IF($G$15=1,50,(_xlfn.RANK.AVG(I1145,$I$19:$I$1518,1)-1)/($G$15-1)*100))</f>
        <v/>
      </c>
      <c r="M1145" s="11">
        <f>IF(COUNT(J1145:L1145)=3,ROUND(AVERAGE(J1145:L1145),6),"")</f>
        <v/>
      </c>
      <c r="O1145">
        <f>IF(AND(ISNUMBER('자료_미국심리'!$A1129),ISNUMBER('자료_미국심리'!$B1129)),'자료_미국심리'!$A1129,"")</f>
        <v/>
      </c>
      <c r="P1145">
        <f>IF(AND(ISNUMBER('자료_미국심리'!$D1129),ISNUMBER('자료_미국심리'!$E1129)),'자료_미국심리'!$D1129,"")</f>
        <v/>
      </c>
      <c r="Q1145">
        <f>IF(AND(ISNUMBER('자료_미국심리'!$G1129),ISNUMBER('자료_미국심리'!$H1129)),'자료_미국심리'!$G1129,"")</f>
        <v/>
      </c>
    </row>
    <row r="1146">
      <c r="A1146" s="10">
        <f>IF(1128&gt;$E$5,"",SMALL($O$19:$O$4018,$E$6+1128))</f>
        <v/>
      </c>
      <c r="B1146" s="29">
        <f>IF(A1146="","",INDEX('자료_미국심리'!$B$3:$B$4002,MATCH(A1146,$O$19:$O$4018,0)))</f>
        <v/>
      </c>
      <c r="C1146" s="22">
        <f>IF(A1146="","",B1146/AVERAGE(B1022:B1146)-1)</f>
        <v/>
      </c>
      <c r="D1146" s="29">
        <f>IF(A1146="","",IFERROR(INDEX('자료_미국심리'!$E$3:$E$4002,MATCH(A1146,$P$19:$P$4018,0)),D1145))</f>
        <v/>
      </c>
      <c r="E1146" s="29">
        <f>IF(A1146="","",IFERROR(INDEX('자료_미국심리'!$H$3:$H$4002,MATCH(A1146,$Q$19:$Q$4018,0)),E1145))</f>
        <v/>
      </c>
      <c r="F1146">
        <f>IF(A1146="",0,IF(A1146&gt;$B$5,1,0))</f>
        <v/>
      </c>
      <c r="G1146" s="29">
        <f>IF(AND(F1146=1,ISNUMBER(D1146)),D1146,"")</f>
        <v/>
      </c>
      <c r="H1146" s="29">
        <f>IF(AND(F1146=1,ISNUMBER(E1146)),E1146,"")</f>
        <v/>
      </c>
      <c r="I1146" s="22">
        <f>IF(AND(F1146=1,ISNUMBER(C1146)),C1146,"")</f>
        <v/>
      </c>
      <c r="J1146" s="11">
        <f>IF(G1146="","",100-IF($G$13=1,50,(_xlfn.RANK.AVG(G1146,$G$19:$G$1518,1)-1)/($G$13-1)*100))</f>
        <v/>
      </c>
      <c r="K1146" s="11">
        <f>IF(H1146="","",100-IF($G$14=1,50,(_xlfn.RANK.AVG(H1146,$H$19:$H$1518,1)-1)/($G$14-1)*100))</f>
        <v/>
      </c>
      <c r="L1146" s="11">
        <f>IF(I1146="","",IF($G$15=1,50,(_xlfn.RANK.AVG(I1146,$I$19:$I$1518,1)-1)/($G$15-1)*100))</f>
        <v/>
      </c>
      <c r="M1146" s="11">
        <f>IF(COUNT(J1146:L1146)=3,ROUND(AVERAGE(J1146:L1146),6),"")</f>
        <v/>
      </c>
      <c r="O1146">
        <f>IF(AND(ISNUMBER('자료_미국심리'!$A1130),ISNUMBER('자료_미국심리'!$B1130)),'자료_미국심리'!$A1130,"")</f>
        <v/>
      </c>
      <c r="P1146">
        <f>IF(AND(ISNUMBER('자료_미국심리'!$D1130),ISNUMBER('자료_미국심리'!$E1130)),'자료_미국심리'!$D1130,"")</f>
        <v/>
      </c>
      <c r="Q1146">
        <f>IF(AND(ISNUMBER('자료_미국심리'!$G1130),ISNUMBER('자료_미국심리'!$H1130)),'자료_미국심리'!$G1130,"")</f>
        <v/>
      </c>
    </row>
    <row r="1147">
      <c r="A1147" s="10">
        <f>IF(1129&gt;$E$5,"",SMALL($O$19:$O$4018,$E$6+1129))</f>
        <v/>
      </c>
      <c r="B1147" s="29">
        <f>IF(A1147="","",INDEX('자료_미국심리'!$B$3:$B$4002,MATCH(A1147,$O$19:$O$4018,0)))</f>
        <v/>
      </c>
      <c r="C1147" s="22">
        <f>IF(A1147="","",B1147/AVERAGE(B1023:B1147)-1)</f>
        <v/>
      </c>
      <c r="D1147" s="29">
        <f>IF(A1147="","",IFERROR(INDEX('자료_미국심리'!$E$3:$E$4002,MATCH(A1147,$P$19:$P$4018,0)),D1146))</f>
        <v/>
      </c>
      <c r="E1147" s="29">
        <f>IF(A1147="","",IFERROR(INDEX('자료_미국심리'!$H$3:$H$4002,MATCH(A1147,$Q$19:$Q$4018,0)),E1146))</f>
        <v/>
      </c>
      <c r="F1147">
        <f>IF(A1147="",0,IF(A1147&gt;$B$5,1,0))</f>
        <v/>
      </c>
      <c r="G1147" s="29">
        <f>IF(AND(F1147=1,ISNUMBER(D1147)),D1147,"")</f>
        <v/>
      </c>
      <c r="H1147" s="29">
        <f>IF(AND(F1147=1,ISNUMBER(E1147)),E1147,"")</f>
        <v/>
      </c>
      <c r="I1147" s="22">
        <f>IF(AND(F1147=1,ISNUMBER(C1147)),C1147,"")</f>
        <v/>
      </c>
      <c r="J1147" s="11">
        <f>IF(G1147="","",100-IF($G$13=1,50,(_xlfn.RANK.AVG(G1147,$G$19:$G$1518,1)-1)/($G$13-1)*100))</f>
        <v/>
      </c>
      <c r="K1147" s="11">
        <f>IF(H1147="","",100-IF($G$14=1,50,(_xlfn.RANK.AVG(H1147,$H$19:$H$1518,1)-1)/($G$14-1)*100))</f>
        <v/>
      </c>
      <c r="L1147" s="11">
        <f>IF(I1147="","",IF($G$15=1,50,(_xlfn.RANK.AVG(I1147,$I$19:$I$1518,1)-1)/($G$15-1)*100))</f>
        <v/>
      </c>
      <c r="M1147" s="11">
        <f>IF(COUNT(J1147:L1147)=3,ROUND(AVERAGE(J1147:L1147),6),"")</f>
        <v/>
      </c>
      <c r="O1147">
        <f>IF(AND(ISNUMBER('자료_미국심리'!$A1131),ISNUMBER('자료_미국심리'!$B1131)),'자료_미국심리'!$A1131,"")</f>
        <v/>
      </c>
      <c r="P1147">
        <f>IF(AND(ISNUMBER('자료_미국심리'!$D1131),ISNUMBER('자료_미국심리'!$E1131)),'자료_미국심리'!$D1131,"")</f>
        <v/>
      </c>
      <c r="Q1147">
        <f>IF(AND(ISNUMBER('자료_미국심리'!$G1131),ISNUMBER('자료_미국심리'!$H1131)),'자료_미국심리'!$G1131,"")</f>
        <v/>
      </c>
    </row>
    <row r="1148">
      <c r="A1148" s="10">
        <f>IF(1130&gt;$E$5,"",SMALL($O$19:$O$4018,$E$6+1130))</f>
        <v/>
      </c>
      <c r="B1148" s="29">
        <f>IF(A1148="","",INDEX('자료_미국심리'!$B$3:$B$4002,MATCH(A1148,$O$19:$O$4018,0)))</f>
        <v/>
      </c>
      <c r="C1148" s="22">
        <f>IF(A1148="","",B1148/AVERAGE(B1024:B1148)-1)</f>
        <v/>
      </c>
      <c r="D1148" s="29">
        <f>IF(A1148="","",IFERROR(INDEX('자료_미국심리'!$E$3:$E$4002,MATCH(A1148,$P$19:$P$4018,0)),D1147))</f>
        <v/>
      </c>
      <c r="E1148" s="29">
        <f>IF(A1148="","",IFERROR(INDEX('자료_미국심리'!$H$3:$H$4002,MATCH(A1148,$Q$19:$Q$4018,0)),E1147))</f>
        <v/>
      </c>
      <c r="F1148">
        <f>IF(A1148="",0,IF(A1148&gt;$B$5,1,0))</f>
        <v/>
      </c>
      <c r="G1148" s="29">
        <f>IF(AND(F1148=1,ISNUMBER(D1148)),D1148,"")</f>
        <v/>
      </c>
      <c r="H1148" s="29">
        <f>IF(AND(F1148=1,ISNUMBER(E1148)),E1148,"")</f>
        <v/>
      </c>
      <c r="I1148" s="22">
        <f>IF(AND(F1148=1,ISNUMBER(C1148)),C1148,"")</f>
        <v/>
      </c>
      <c r="J1148" s="11">
        <f>IF(G1148="","",100-IF($G$13=1,50,(_xlfn.RANK.AVG(G1148,$G$19:$G$1518,1)-1)/($G$13-1)*100))</f>
        <v/>
      </c>
      <c r="K1148" s="11">
        <f>IF(H1148="","",100-IF($G$14=1,50,(_xlfn.RANK.AVG(H1148,$H$19:$H$1518,1)-1)/($G$14-1)*100))</f>
        <v/>
      </c>
      <c r="L1148" s="11">
        <f>IF(I1148="","",IF($G$15=1,50,(_xlfn.RANK.AVG(I1148,$I$19:$I$1518,1)-1)/($G$15-1)*100))</f>
        <v/>
      </c>
      <c r="M1148" s="11">
        <f>IF(COUNT(J1148:L1148)=3,ROUND(AVERAGE(J1148:L1148),6),"")</f>
        <v/>
      </c>
      <c r="O1148">
        <f>IF(AND(ISNUMBER('자료_미국심리'!$A1132),ISNUMBER('자료_미국심리'!$B1132)),'자료_미국심리'!$A1132,"")</f>
        <v/>
      </c>
      <c r="P1148">
        <f>IF(AND(ISNUMBER('자료_미국심리'!$D1132),ISNUMBER('자료_미국심리'!$E1132)),'자료_미국심리'!$D1132,"")</f>
        <v/>
      </c>
      <c r="Q1148">
        <f>IF(AND(ISNUMBER('자료_미국심리'!$G1132),ISNUMBER('자료_미국심리'!$H1132)),'자료_미국심리'!$G1132,"")</f>
        <v/>
      </c>
    </row>
    <row r="1149">
      <c r="A1149" s="10">
        <f>IF(1131&gt;$E$5,"",SMALL($O$19:$O$4018,$E$6+1131))</f>
        <v/>
      </c>
      <c r="B1149" s="29">
        <f>IF(A1149="","",INDEX('자료_미국심리'!$B$3:$B$4002,MATCH(A1149,$O$19:$O$4018,0)))</f>
        <v/>
      </c>
      <c r="C1149" s="22">
        <f>IF(A1149="","",B1149/AVERAGE(B1025:B1149)-1)</f>
        <v/>
      </c>
      <c r="D1149" s="29">
        <f>IF(A1149="","",IFERROR(INDEX('자료_미국심리'!$E$3:$E$4002,MATCH(A1149,$P$19:$P$4018,0)),D1148))</f>
        <v/>
      </c>
      <c r="E1149" s="29">
        <f>IF(A1149="","",IFERROR(INDEX('자료_미국심리'!$H$3:$H$4002,MATCH(A1149,$Q$19:$Q$4018,0)),E1148))</f>
        <v/>
      </c>
      <c r="F1149">
        <f>IF(A1149="",0,IF(A1149&gt;$B$5,1,0))</f>
        <v/>
      </c>
      <c r="G1149" s="29">
        <f>IF(AND(F1149=1,ISNUMBER(D1149)),D1149,"")</f>
        <v/>
      </c>
      <c r="H1149" s="29">
        <f>IF(AND(F1149=1,ISNUMBER(E1149)),E1149,"")</f>
        <v/>
      </c>
      <c r="I1149" s="22">
        <f>IF(AND(F1149=1,ISNUMBER(C1149)),C1149,"")</f>
        <v/>
      </c>
      <c r="J1149" s="11">
        <f>IF(G1149="","",100-IF($G$13=1,50,(_xlfn.RANK.AVG(G1149,$G$19:$G$1518,1)-1)/($G$13-1)*100))</f>
        <v/>
      </c>
      <c r="K1149" s="11">
        <f>IF(H1149="","",100-IF($G$14=1,50,(_xlfn.RANK.AVG(H1149,$H$19:$H$1518,1)-1)/($G$14-1)*100))</f>
        <v/>
      </c>
      <c r="L1149" s="11">
        <f>IF(I1149="","",IF($G$15=1,50,(_xlfn.RANK.AVG(I1149,$I$19:$I$1518,1)-1)/($G$15-1)*100))</f>
        <v/>
      </c>
      <c r="M1149" s="11">
        <f>IF(COUNT(J1149:L1149)=3,ROUND(AVERAGE(J1149:L1149),6),"")</f>
        <v/>
      </c>
      <c r="O1149">
        <f>IF(AND(ISNUMBER('자료_미국심리'!$A1133),ISNUMBER('자료_미국심리'!$B1133)),'자료_미국심리'!$A1133,"")</f>
        <v/>
      </c>
      <c r="P1149">
        <f>IF(AND(ISNUMBER('자료_미국심리'!$D1133),ISNUMBER('자료_미국심리'!$E1133)),'자료_미국심리'!$D1133,"")</f>
        <v/>
      </c>
      <c r="Q1149">
        <f>IF(AND(ISNUMBER('자료_미국심리'!$G1133),ISNUMBER('자료_미국심리'!$H1133)),'자료_미국심리'!$G1133,"")</f>
        <v/>
      </c>
    </row>
    <row r="1150">
      <c r="A1150" s="10">
        <f>IF(1132&gt;$E$5,"",SMALL($O$19:$O$4018,$E$6+1132))</f>
        <v/>
      </c>
      <c r="B1150" s="29">
        <f>IF(A1150="","",INDEX('자료_미국심리'!$B$3:$B$4002,MATCH(A1150,$O$19:$O$4018,0)))</f>
        <v/>
      </c>
      <c r="C1150" s="22">
        <f>IF(A1150="","",B1150/AVERAGE(B1026:B1150)-1)</f>
        <v/>
      </c>
      <c r="D1150" s="29">
        <f>IF(A1150="","",IFERROR(INDEX('자료_미국심리'!$E$3:$E$4002,MATCH(A1150,$P$19:$P$4018,0)),D1149))</f>
        <v/>
      </c>
      <c r="E1150" s="29">
        <f>IF(A1150="","",IFERROR(INDEX('자료_미국심리'!$H$3:$H$4002,MATCH(A1150,$Q$19:$Q$4018,0)),E1149))</f>
        <v/>
      </c>
      <c r="F1150">
        <f>IF(A1150="",0,IF(A1150&gt;$B$5,1,0))</f>
        <v/>
      </c>
      <c r="G1150" s="29">
        <f>IF(AND(F1150=1,ISNUMBER(D1150)),D1150,"")</f>
        <v/>
      </c>
      <c r="H1150" s="29">
        <f>IF(AND(F1150=1,ISNUMBER(E1150)),E1150,"")</f>
        <v/>
      </c>
      <c r="I1150" s="22">
        <f>IF(AND(F1150=1,ISNUMBER(C1150)),C1150,"")</f>
        <v/>
      </c>
      <c r="J1150" s="11">
        <f>IF(G1150="","",100-IF($G$13=1,50,(_xlfn.RANK.AVG(G1150,$G$19:$G$1518,1)-1)/($G$13-1)*100))</f>
        <v/>
      </c>
      <c r="K1150" s="11">
        <f>IF(H1150="","",100-IF($G$14=1,50,(_xlfn.RANK.AVG(H1150,$H$19:$H$1518,1)-1)/($G$14-1)*100))</f>
        <v/>
      </c>
      <c r="L1150" s="11">
        <f>IF(I1150="","",IF($G$15=1,50,(_xlfn.RANK.AVG(I1150,$I$19:$I$1518,1)-1)/($G$15-1)*100))</f>
        <v/>
      </c>
      <c r="M1150" s="11">
        <f>IF(COUNT(J1150:L1150)=3,ROUND(AVERAGE(J1150:L1150),6),"")</f>
        <v/>
      </c>
      <c r="O1150">
        <f>IF(AND(ISNUMBER('자료_미국심리'!$A1134),ISNUMBER('자료_미국심리'!$B1134)),'자료_미국심리'!$A1134,"")</f>
        <v/>
      </c>
      <c r="P1150">
        <f>IF(AND(ISNUMBER('자료_미국심리'!$D1134),ISNUMBER('자료_미국심리'!$E1134)),'자료_미국심리'!$D1134,"")</f>
        <v/>
      </c>
      <c r="Q1150">
        <f>IF(AND(ISNUMBER('자료_미국심리'!$G1134),ISNUMBER('자료_미국심리'!$H1134)),'자료_미국심리'!$G1134,"")</f>
        <v/>
      </c>
    </row>
    <row r="1151">
      <c r="A1151" s="10">
        <f>IF(1133&gt;$E$5,"",SMALL($O$19:$O$4018,$E$6+1133))</f>
        <v/>
      </c>
      <c r="B1151" s="29">
        <f>IF(A1151="","",INDEX('자료_미국심리'!$B$3:$B$4002,MATCH(A1151,$O$19:$O$4018,0)))</f>
        <v/>
      </c>
      <c r="C1151" s="22">
        <f>IF(A1151="","",B1151/AVERAGE(B1027:B1151)-1)</f>
        <v/>
      </c>
      <c r="D1151" s="29">
        <f>IF(A1151="","",IFERROR(INDEX('자료_미국심리'!$E$3:$E$4002,MATCH(A1151,$P$19:$P$4018,0)),D1150))</f>
        <v/>
      </c>
      <c r="E1151" s="29">
        <f>IF(A1151="","",IFERROR(INDEX('자료_미국심리'!$H$3:$H$4002,MATCH(A1151,$Q$19:$Q$4018,0)),E1150))</f>
        <v/>
      </c>
      <c r="F1151">
        <f>IF(A1151="",0,IF(A1151&gt;$B$5,1,0))</f>
        <v/>
      </c>
      <c r="G1151" s="29">
        <f>IF(AND(F1151=1,ISNUMBER(D1151)),D1151,"")</f>
        <v/>
      </c>
      <c r="H1151" s="29">
        <f>IF(AND(F1151=1,ISNUMBER(E1151)),E1151,"")</f>
        <v/>
      </c>
      <c r="I1151" s="22">
        <f>IF(AND(F1151=1,ISNUMBER(C1151)),C1151,"")</f>
        <v/>
      </c>
      <c r="J1151" s="11">
        <f>IF(G1151="","",100-IF($G$13=1,50,(_xlfn.RANK.AVG(G1151,$G$19:$G$1518,1)-1)/($G$13-1)*100))</f>
        <v/>
      </c>
      <c r="K1151" s="11">
        <f>IF(H1151="","",100-IF($G$14=1,50,(_xlfn.RANK.AVG(H1151,$H$19:$H$1518,1)-1)/($G$14-1)*100))</f>
        <v/>
      </c>
      <c r="L1151" s="11">
        <f>IF(I1151="","",IF($G$15=1,50,(_xlfn.RANK.AVG(I1151,$I$19:$I$1518,1)-1)/($G$15-1)*100))</f>
        <v/>
      </c>
      <c r="M1151" s="11">
        <f>IF(COUNT(J1151:L1151)=3,ROUND(AVERAGE(J1151:L1151),6),"")</f>
        <v/>
      </c>
      <c r="O1151">
        <f>IF(AND(ISNUMBER('자료_미국심리'!$A1135),ISNUMBER('자료_미국심리'!$B1135)),'자료_미국심리'!$A1135,"")</f>
        <v/>
      </c>
      <c r="P1151">
        <f>IF(AND(ISNUMBER('자료_미국심리'!$D1135),ISNUMBER('자료_미국심리'!$E1135)),'자료_미국심리'!$D1135,"")</f>
        <v/>
      </c>
      <c r="Q1151">
        <f>IF(AND(ISNUMBER('자료_미국심리'!$G1135),ISNUMBER('자료_미국심리'!$H1135)),'자료_미국심리'!$G1135,"")</f>
        <v/>
      </c>
    </row>
    <row r="1152">
      <c r="A1152" s="10">
        <f>IF(1134&gt;$E$5,"",SMALL($O$19:$O$4018,$E$6+1134))</f>
        <v/>
      </c>
      <c r="B1152" s="29">
        <f>IF(A1152="","",INDEX('자료_미국심리'!$B$3:$B$4002,MATCH(A1152,$O$19:$O$4018,0)))</f>
        <v/>
      </c>
      <c r="C1152" s="22">
        <f>IF(A1152="","",B1152/AVERAGE(B1028:B1152)-1)</f>
        <v/>
      </c>
      <c r="D1152" s="29">
        <f>IF(A1152="","",IFERROR(INDEX('자료_미국심리'!$E$3:$E$4002,MATCH(A1152,$P$19:$P$4018,0)),D1151))</f>
        <v/>
      </c>
      <c r="E1152" s="29">
        <f>IF(A1152="","",IFERROR(INDEX('자료_미국심리'!$H$3:$H$4002,MATCH(A1152,$Q$19:$Q$4018,0)),E1151))</f>
        <v/>
      </c>
      <c r="F1152">
        <f>IF(A1152="",0,IF(A1152&gt;$B$5,1,0))</f>
        <v/>
      </c>
      <c r="G1152" s="29">
        <f>IF(AND(F1152=1,ISNUMBER(D1152)),D1152,"")</f>
        <v/>
      </c>
      <c r="H1152" s="29">
        <f>IF(AND(F1152=1,ISNUMBER(E1152)),E1152,"")</f>
        <v/>
      </c>
      <c r="I1152" s="22">
        <f>IF(AND(F1152=1,ISNUMBER(C1152)),C1152,"")</f>
        <v/>
      </c>
      <c r="J1152" s="11">
        <f>IF(G1152="","",100-IF($G$13=1,50,(_xlfn.RANK.AVG(G1152,$G$19:$G$1518,1)-1)/($G$13-1)*100))</f>
        <v/>
      </c>
      <c r="K1152" s="11">
        <f>IF(H1152="","",100-IF($G$14=1,50,(_xlfn.RANK.AVG(H1152,$H$19:$H$1518,1)-1)/($G$14-1)*100))</f>
        <v/>
      </c>
      <c r="L1152" s="11">
        <f>IF(I1152="","",IF($G$15=1,50,(_xlfn.RANK.AVG(I1152,$I$19:$I$1518,1)-1)/($G$15-1)*100))</f>
        <v/>
      </c>
      <c r="M1152" s="11">
        <f>IF(COUNT(J1152:L1152)=3,ROUND(AVERAGE(J1152:L1152),6),"")</f>
        <v/>
      </c>
      <c r="O1152">
        <f>IF(AND(ISNUMBER('자료_미국심리'!$A1136),ISNUMBER('자료_미국심리'!$B1136)),'자료_미국심리'!$A1136,"")</f>
        <v/>
      </c>
      <c r="P1152">
        <f>IF(AND(ISNUMBER('자료_미국심리'!$D1136),ISNUMBER('자료_미국심리'!$E1136)),'자료_미국심리'!$D1136,"")</f>
        <v/>
      </c>
      <c r="Q1152">
        <f>IF(AND(ISNUMBER('자료_미국심리'!$G1136),ISNUMBER('자료_미국심리'!$H1136)),'자료_미국심리'!$G1136,"")</f>
        <v/>
      </c>
    </row>
    <row r="1153">
      <c r="A1153" s="10">
        <f>IF(1135&gt;$E$5,"",SMALL($O$19:$O$4018,$E$6+1135))</f>
        <v/>
      </c>
      <c r="B1153" s="29">
        <f>IF(A1153="","",INDEX('자료_미국심리'!$B$3:$B$4002,MATCH(A1153,$O$19:$O$4018,0)))</f>
        <v/>
      </c>
      <c r="C1153" s="22">
        <f>IF(A1153="","",B1153/AVERAGE(B1029:B1153)-1)</f>
        <v/>
      </c>
      <c r="D1153" s="29">
        <f>IF(A1153="","",IFERROR(INDEX('자료_미국심리'!$E$3:$E$4002,MATCH(A1153,$P$19:$P$4018,0)),D1152))</f>
        <v/>
      </c>
      <c r="E1153" s="29">
        <f>IF(A1153="","",IFERROR(INDEX('자료_미국심리'!$H$3:$H$4002,MATCH(A1153,$Q$19:$Q$4018,0)),E1152))</f>
        <v/>
      </c>
      <c r="F1153">
        <f>IF(A1153="",0,IF(A1153&gt;$B$5,1,0))</f>
        <v/>
      </c>
      <c r="G1153" s="29">
        <f>IF(AND(F1153=1,ISNUMBER(D1153)),D1153,"")</f>
        <v/>
      </c>
      <c r="H1153" s="29">
        <f>IF(AND(F1153=1,ISNUMBER(E1153)),E1153,"")</f>
        <v/>
      </c>
      <c r="I1153" s="22">
        <f>IF(AND(F1153=1,ISNUMBER(C1153)),C1153,"")</f>
        <v/>
      </c>
      <c r="J1153" s="11">
        <f>IF(G1153="","",100-IF($G$13=1,50,(_xlfn.RANK.AVG(G1153,$G$19:$G$1518,1)-1)/($G$13-1)*100))</f>
        <v/>
      </c>
      <c r="K1153" s="11">
        <f>IF(H1153="","",100-IF($G$14=1,50,(_xlfn.RANK.AVG(H1153,$H$19:$H$1518,1)-1)/($G$14-1)*100))</f>
        <v/>
      </c>
      <c r="L1153" s="11">
        <f>IF(I1153="","",IF($G$15=1,50,(_xlfn.RANK.AVG(I1153,$I$19:$I$1518,1)-1)/($G$15-1)*100))</f>
        <v/>
      </c>
      <c r="M1153" s="11">
        <f>IF(COUNT(J1153:L1153)=3,ROUND(AVERAGE(J1153:L1153),6),"")</f>
        <v/>
      </c>
      <c r="O1153">
        <f>IF(AND(ISNUMBER('자료_미국심리'!$A1137),ISNUMBER('자료_미국심리'!$B1137)),'자료_미국심리'!$A1137,"")</f>
        <v/>
      </c>
      <c r="P1153">
        <f>IF(AND(ISNUMBER('자료_미국심리'!$D1137),ISNUMBER('자료_미국심리'!$E1137)),'자료_미국심리'!$D1137,"")</f>
        <v/>
      </c>
      <c r="Q1153">
        <f>IF(AND(ISNUMBER('자료_미국심리'!$G1137),ISNUMBER('자료_미국심리'!$H1137)),'자료_미국심리'!$G1137,"")</f>
        <v/>
      </c>
    </row>
    <row r="1154">
      <c r="A1154" s="10">
        <f>IF(1136&gt;$E$5,"",SMALL($O$19:$O$4018,$E$6+1136))</f>
        <v/>
      </c>
      <c r="B1154" s="29">
        <f>IF(A1154="","",INDEX('자료_미국심리'!$B$3:$B$4002,MATCH(A1154,$O$19:$O$4018,0)))</f>
        <v/>
      </c>
      <c r="C1154" s="22">
        <f>IF(A1154="","",B1154/AVERAGE(B1030:B1154)-1)</f>
        <v/>
      </c>
      <c r="D1154" s="29">
        <f>IF(A1154="","",IFERROR(INDEX('자료_미국심리'!$E$3:$E$4002,MATCH(A1154,$P$19:$P$4018,0)),D1153))</f>
        <v/>
      </c>
      <c r="E1154" s="29">
        <f>IF(A1154="","",IFERROR(INDEX('자료_미국심리'!$H$3:$H$4002,MATCH(A1154,$Q$19:$Q$4018,0)),E1153))</f>
        <v/>
      </c>
      <c r="F1154">
        <f>IF(A1154="",0,IF(A1154&gt;$B$5,1,0))</f>
        <v/>
      </c>
      <c r="G1154" s="29">
        <f>IF(AND(F1154=1,ISNUMBER(D1154)),D1154,"")</f>
        <v/>
      </c>
      <c r="H1154" s="29">
        <f>IF(AND(F1154=1,ISNUMBER(E1154)),E1154,"")</f>
        <v/>
      </c>
      <c r="I1154" s="22">
        <f>IF(AND(F1154=1,ISNUMBER(C1154)),C1154,"")</f>
        <v/>
      </c>
      <c r="J1154" s="11">
        <f>IF(G1154="","",100-IF($G$13=1,50,(_xlfn.RANK.AVG(G1154,$G$19:$G$1518,1)-1)/($G$13-1)*100))</f>
        <v/>
      </c>
      <c r="K1154" s="11">
        <f>IF(H1154="","",100-IF($G$14=1,50,(_xlfn.RANK.AVG(H1154,$H$19:$H$1518,1)-1)/($G$14-1)*100))</f>
        <v/>
      </c>
      <c r="L1154" s="11">
        <f>IF(I1154="","",IF($G$15=1,50,(_xlfn.RANK.AVG(I1154,$I$19:$I$1518,1)-1)/($G$15-1)*100))</f>
        <v/>
      </c>
      <c r="M1154" s="11">
        <f>IF(COUNT(J1154:L1154)=3,ROUND(AVERAGE(J1154:L1154),6),"")</f>
        <v/>
      </c>
      <c r="O1154">
        <f>IF(AND(ISNUMBER('자료_미국심리'!$A1138),ISNUMBER('자료_미국심리'!$B1138)),'자료_미국심리'!$A1138,"")</f>
        <v/>
      </c>
      <c r="P1154">
        <f>IF(AND(ISNUMBER('자료_미국심리'!$D1138),ISNUMBER('자료_미국심리'!$E1138)),'자료_미국심리'!$D1138,"")</f>
        <v/>
      </c>
      <c r="Q1154">
        <f>IF(AND(ISNUMBER('자료_미국심리'!$G1138),ISNUMBER('자료_미국심리'!$H1138)),'자료_미국심리'!$G1138,"")</f>
        <v/>
      </c>
    </row>
    <row r="1155">
      <c r="A1155" s="10">
        <f>IF(1137&gt;$E$5,"",SMALL($O$19:$O$4018,$E$6+1137))</f>
        <v/>
      </c>
      <c r="B1155" s="29">
        <f>IF(A1155="","",INDEX('자료_미국심리'!$B$3:$B$4002,MATCH(A1155,$O$19:$O$4018,0)))</f>
        <v/>
      </c>
      <c r="C1155" s="22">
        <f>IF(A1155="","",B1155/AVERAGE(B1031:B1155)-1)</f>
        <v/>
      </c>
      <c r="D1155" s="29">
        <f>IF(A1155="","",IFERROR(INDEX('자료_미국심리'!$E$3:$E$4002,MATCH(A1155,$P$19:$P$4018,0)),D1154))</f>
        <v/>
      </c>
      <c r="E1155" s="29">
        <f>IF(A1155="","",IFERROR(INDEX('자료_미국심리'!$H$3:$H$4002,MATCH(A1155,$Q$19:$Q$4018,0)),E1154))</f>
        <v/>
      </c>
      <c r="F1155">
        <f>IF(A1155="",0,IF(A1155&gt;$B$5,1,0))</f>
        <v/>
      </c>
      <c r="G1155" s="29">
        <f>IF(AND(F1155=1,ISNUMBER(D1155)),D1155,"")</f>
        <v/>
      </c>
      <c r="H1155" s="29">
        <f>IF(AND(F1155=1,ISNUMBER(E1155)),E1155,"")</f>
        <v/>
      </c>
      <c r="I1155" s="22">
        <f>IF(AND(F1155=1,ISNUMBER(C1155)),C1155,"")</f>
        <v/>
      </c>
      <c r="J1155" s="11">
        <f>IF(G1155="","",100-IF($G$13=1,50,(_xlfn.RANK.AVG(G1155,$G$19:$G$1518,1)-1)/($G$13-1)*100))</f>
        <v/>
      </c>
      <c r="K1155" s="11">
        <f>IF(H1155="","",100-IF($G$14=1,50,(_xlfn.RANK.AVG(H1155,$H$19:$H$1518,1)-1)/($G$14-1)*100))</f>
        <v/>
      </c>
      <c r="L1155" s="11">
        <f>IF(I1155="","",IF($G$15=1,50,(_xlfn.RANK.AVG(I1155,$I$19:$I$1518,1)-1)/($G$15-1)*100))</f>
        <v/>
      </c>
      <c r="M1155" s="11">
        <f>IF(COUNT(J1155:L1155)=3,ROUND(AVERAGE(J1155:L1155),6),"")</f>
        <v/>
      </c>
      <c r="O1155">
        <f>IF(AND(ISNUMBER('자료_미국심리'!$A1139),ISNUMBER('자료_미국심리'!$B1139)),'자료_미국심리'!$A1139,"")</f>
        <v/>
      </c>
      <c r="P1155">
        <f>IF(AND(ISNUMBER('자료_미국심리'!$D1139),ISNUMBER('자료_미국심리'!$E1139)),'자료_미국심리'!$D1139,"")</f>
        <v/>
      </c>
      <c r="Q1155">
        <f>IF(AND(ISNUMBER('자료_미국심리'!$G1139),ISNUMBER('자료_미국심리'!$H1139)),'자료_미국심리'!$G1139,"")</f>
        <v/>
      </c>
    </row>
    <row r="1156">
      <c r="A1156" s="10">
        <f>IF(1138&gt;$E$5,"",SMALL($O$19:$O$4018,$E$6+1138))</f>
        <v/>
      </c>
      <c r="B1156" s="29">
        <f>IF(A1156="","",INDEX('자료_미국심리'!$B$3:$B$4002,MATCH(A1156,$O$19:$O$4018,0)))</f>
        <v/>
      </c>
      <c r="C1156" s="22">
        <f>IF(A1156="","",B1156/AVERAGE(B1032:B1156)-1)</f>
        <v/>
      </c>
      <c r="D1156" s="29">
        <f>IF(A1156="","",IFERROR(INDEX('자료_미국심리'!$E$3:$E$4002,MATCH(A1156,$P$19:$P$4018,0)),D1155))</f>
        <v/>
      </c>
      <c r="E1156" s="29">
        <f>IF(A1156="","",IFERROR(INDEX('자료_미국심리'!$H$3:$H$4002,MATCH(A1156,$Q$19:$Q$4018,0)),E1155))</f>
        <v/>
      </c>
      <c r="F1156">
        <f>IF(A1156="",0,IF(A1156&gt;$B$5,1,0))</f>
        <v/>
      </c>
      <c r="G1156" s="29">
        <f>IF(AND(F1156=1,ISNUMBER(D1156)),D1156,"")</f>
        <v/>
      </c>
      <c r="H1156" s="29">
        <f>IF(AND(F1156=1,ISNUMBER(E1156)),E1156,"")</f>
        <v/>
      </c>
      <c r="I1156" s="22">
        <f>IF(AND(F1156=1,ISNUMBER(C1156)),C1156,"")</f>
        <v/>
      </c>
      <c r="J1156" s="11">
        <f>IF(G1156="","",100-IF($G$13=1,50,(_xlfn.RANK.AVG(G1156,$G$19:$G$1518,1)-1)/($G$13-1)*100))</f>
        <v/>
      </c>
      <c r="K1156" s="11">
        <f>IF(H1156="","",100-IF($G$14=1,50,(_xlfn.RANK.AVG(H1156,$H$19:$H$1518,1)-1)/($G$14-1)*100))</f>
        <v/>
      </c>
      <c r="L1156" s="11">
        <f>IF(I1156="","",IF($G$15=1,50,(_xlfn.RANK.AVG(I1156,$I$19:$I$1518,1)-1)/($G$15-1)*100))</f>
        <v/>
      </c>
      <c r="M1156" s="11">
        <f>IF(COUNT(J1156:L1156)=3,ROUND(AVERAGE(J1156:L1156),6),"")</f>
        <v/>
      </c>
      <c r="O1156">
        <f>IF(AND(ISNUMBER('자료_미국심리'!$A1140),ISNUMBER('자료_미국심리'!$B1140)),'자료_미국심리'!$A1140,"")</f>
        <v/>
      </c>
      <c r="P1156">
        <f>IF(AND(ISNUMBER('자료_미국심리'!$D1140),ISNUMBER('자료_미국심리'!$E1140)),'자료_미국심리'!$D1140,"")</f>
        <v/>
      </c>
      <c r="Q1156">
        <f>IF(AND(ISNUMBER('자료_미국심리'!$G1140),ISNUMBER('자료_미국심리'!$H1140)),'자료_미국심리'!$G1140,"")</f>
        <v/>
      </c>
    </row>
    <row r="1157">
      <c r="A1157" s="10">
        <f>IF(1139&gt;$E$5,"",SMALL($O$19:$O$4018,$E$6+1139))</f>
        <v/>
      </c>
      <c r="B1157" s="29">
        <f>IF(A1157="","",INDEX('자료_미국심리'!$B$3:$B$4002,MATCH(A1157,$O$19:$O$4018,0)))</f>
        <v/>
      </c>
      <c r="C1157" s="22">
        <f>IF(A1157="","",B1157/AVERAGE(B1033:B1157)-1)</f>
        <v/>
      </c>
      <c r="D1157" s="29">
        <f>IF(A1157="","",IFERROR(INDEX('자료_미국심리'!$E$3:$E$4002,MATCH(A1157,$P$19:$P$4018,0)),D1156))</f>
        <v/>
      </c>
      <c r="E1157" s="29">
        <f>IF(A1157="","",IFERROR(INDEX('자료_미국심리'!$H$3:$H$4002,MATCH(A1157,$Q$19:$Q$4018,0)),E1156))</f>
        <v/>
      </c>
      <c r="F1157">
        <f>IF(A1157="",0,IF(A1157&gt;$B$5,1,0))</f>
        <v/>
      </c>
      <c r="G1157" s="29">
        <f>IF(AND(F1157=1,ISNUMBER(D1157)),D1157,"")</f>
        <v/>
      </c>
      <c r="H1157" s="29">
        <f>IF(AND(F1157=1,ISNUMBER(E1157)),E1157,"")</f>
        <v/>
      </c>
      <c r="I1157" s="22">
        <f>IF(AND(F1157=1,ISNUMBER(C1157)),C1157,"")</f>
        <v/>
      </c>
      <c r="J1157" s="11">
        <f>IF(G1157="","",100-IF($G$13=1,50,(_xlfn.RANK.AVG(G1157,$G$19:$G$1518,1)-1)/($G$13-1)*100))</f>
        <v/>
      </c>
      <c r="K1157" s="11">
        <f>IF(H1157="","",100-IF($G$14=1,50,(_xlfn.RANK.AVG(H1157,$H$19:$H$1518,1)-1)/($G$14-1)*100))</f>
        <v/>
      </c>
      <c r="L1157" s="11">
        <f>IF(I1157="","",IF($G$15=1,50,(_xlfn.RANK.AVG(I1157,$I$19:$I$1518,1)-1)/($G$15-1)*100))</f>
        <v/>
      </c>
      <c r="M1157" s="11">
        <f>IF(COUNT(J1157:L1157)=3,ROUND(AVERAGE(J1157:L1157),6),"")</f>
        <v/>
      </c>
      <c r="O1157">
        <f>IF(AND(ISNUMBER('자료_미국심리'!$A1141),ISNUMBER('자료_미국심리'!$B1141)),'자료_미국심리'!$A1141,"")</f>
        <v/>
      </c>
      <c r="P1157">
        <f>IF(AND(ISNUMBER('자료_미국심리'!$D1141),ISNUMBER('자료_미국심리'!$E1141)),'자료_미국심리'!$D1141,"")</f>
        <v/>
      </c>
      <c r="Q1157">
        <f>IF(AND(ISNUMBER('자료_미국심리'!$G1141),ISNUMBER('자료_미국심리'!$H1141)),'자료_미국심리'!$G1141,"")</f>
        <v/>
      </c>
    </row>
    <row r="1158">
      <c r="A1158" s="10">
        <f>IF(1140&gt;$E$5,"",SMALL($O$19:$O$4018,$E$6+1140))</f>
        <v/>
      </c>
      <c r="B1158" s="29">
        <f>IF(A1158="","",INDEX('자료_미국심리'!$B$3:$B$4002,MATCH(A1158,$O$19:$O$4018,0)))</f>
        <v/>
      </c>
      <c r="C1158" s="22">
        <f>IF(A1158="","",B1158/AVERAGE(B1034:B1158)-1)</f>
        <v/>
      </c>
      <c r="D1158" s="29">
        <f>IF(A1158="","",IFERROR(INDEX('자료_미국심리'!$E$3:$E$4002,MATCH(A1158,$P$19:$P$4018,0)),D1157))</f>
        <v/>
      </c>
      <c r="E1158" s="29">
        <f>IF(A1158="","",IFERROR(INDEX('자료_미국심리'!$H$3:$H$4002,MATCH(A1158,$Q$19:$Q$4018,0)),E1157))</f>
        <v/>
      </c>
      <c r="F1158">
        <f>IF(A1158="",0,IF(A1158&gt;$B$5,1,0))</f>
        <v/>
      </c>
      <c r="G1158" s="29">
        <f>IF(AND(F1158=1,ISNUMBER(D1158)),D1158,"")</f>
        <v/>
      </c>
      <c r="H1158" s="29">
        <f>IF(AND(F1158=1,ISNUMBER(E1158)),E1158,"")</f>
        <v/>
      </c>
      <c r="I1158" s="22">
        <f>IF(AND(F1158=1,ISNUMBER(C1158)),C1158,"")</f>
        <v/>
      </c>
      <c r="J1158" s="11">
        <f>IF(G1158="","",100-IF($G$13=1,50,(_xlfn.RANK.AVG(G1158,$G$19:$G$1518,1)-1)/($G$13-1)*100))</f>
        <v/>
      </c>
      <c r="K1158" s="11">
        <f>IF(H1158="","",100-IF($G$14=1,50,(_xlfn.RANK.AVG(H1158,$H$19:$H$1518,1)-1)/($G$14-1)*100))</f>
        <v/>
      </c>
      <c r="L1158" s="11">
        <f>IF(I1158="","",IF($G$15=1,50,(_xlfn.RANK.AVG(I1158,$I$19:$I$1518,1)-1)/($G$15-1)*100))</f>
        <v/>
      </c>
      <c r="M1158" s="11">
        <f>IF(COUNT(J1158:L1158)=3,ROUND(AVERAGE(J1158:L1158),6),"")</f>
        <v/>
      </c>
      <c r="O1158">
        <f>IF(AND(ISNUMBER('자료_미국심리'!$A1142),ISNUMBER('자료_미국심리'!$B1142)),'자료_미국심리'!$A1142,"")</f>
        <v/>
      </c>
      <c r="P1158">
        <f>IF(AND(ISNUMBER('자료_미국심리'!$D1142),ISNUMBER('자료_미국심리'!$E1142)),'자료_미국심리'!$D1142,"")</f>
        <v/>
      </c>
      <c r="Q1158">
        <f>IF(AND(ISNUMBER('자료_미국심리'!$G1142),ISNUMBER('자료_미국심리'!$H1142)),'자료_미국심리'!$G1142,"")</f>
        <v/>
      </c>
    </row>
    <row r="1159">
      <c r="A1159" s="10">
        <f>IF(1141&gt;$E$5,"",SMALL($O$19:$O$4018,$E$6+1141))</f>
        <v/>
      </c>
      <c r="B1159" s="29">
        <f>IF(A1159="","",INDEX('자료_미국심리'!$B$3:$B$4002,MATCH(A1159,$O$19:$O$4018,0)))</f>
        <v/>
      </c>
      <c r="C1159" s="22">
        <f>IF(A1159="","",B1159/AVERAGE(B1035:B1159)-1)</f>
        <v/>
      </c>
      <c r="D1159" s="29">
        <f>IF(A1159="","",IFERROR(INDEX('자료_미국심리'!$E$3:$E$4002,MATCH(A1159,$P$19:$P$4018,0)),D1158))</f>
        <v/>
      </c>
      <c r="E1159" s="29">
        <f>IF(A1159="","",IFERROR(INDEX('자료_미국심리'!$H$3:$H$4002,MATCH(A1159,$Q$19:$Q$4018,0)),E1158))</f>
        <v/>
      </c>
      <c r="F1159">
        <f>IF(A1159="",0,IF(A1159&gt;$B$5,1,0))</f>
        <v/>
      </c>
      <c r="G1159" s="29">
        <f>IF(AND(F1159=1,ISNUMBER(D1159)),D1159,"")</f>
        <v/>
      </c>
      <c r="H1159" s="29">
        <f>IF(AND(F1159=1,ISNUMBER(E1159)),E1159,"")</f>
        <v/>
      </c>
      <c r="I1159" s="22">
        <f>IF(AND(F1159=1,ISNUMBER(C1159)),C1159,"")</f>
        <v/>
      </c>
      <c r="J1159" s="11">
        <f>IF(G1159="","",100-IF($G$13=1,50,(_xlfn.RANK.AVG(G1159,$G$19:$G$1518,1)-1)/($G$13-1)*100))</f>
        <v/>
      </c>
      <c r="K1159" s="11">
        <f>IF(H1159="","",100-IF($G$14=1,50,(_xlfn.RANK.AVG(H1159,$H$19:$H$1518,1)-1)/($G$14-1)*100))</f>
        <v/>
      </c>
      <c r="L1159" s="11">
        <f>IF(I1159="","",IF($G$15=1,50,(_xlfn.RANK.AVG(I1159,$I$19:$I$1518,1)-1)/($G$15-1)*100))</f>
        <v/>
      </c>
      <c r="M1159" s="11">
        <f>IF(COUNT(J1159:L1159)=3,ROUND(AVERAGE(J1159:L1159),6),"")</f>
        <v/>
      </c>
      <c r="O1159">
        <f>IF(AND(ISNUMBER('자료_미국심리'!$A1143),ISNUMBER('자료_미국심리'!$B1143)),'자료_미국심리'!$A1143,"")</f>
        <v/>
      </c>
      <c r="P1159">
        <f>IF(AND(ISNUMBER('자료_미국심리'!$D1143),ISNUMBER('자료_미국심리'!$E1143)),'자료_미국심리'!$D1143,"")</f>
        <v/>
      </c>
      <c r="Q1159">
        <f>IF(AND(ISNUMBER('자료_미국심리'!$G1143),ISNUMBER('자료_미국심리'!$H1143)),'자료_미국심리'!$G1143,"")</f>
        <v/>
      </c>
    </row>
    <row r="1160">
      <c r="A1160" s="10">
        <f>IF(1142&gt;$E$5,"",SMALL($O$19:$O$4018,$E$6+1142))</f>
        <v/>
      </c>
      <c r="B1160" s="29">
        <f>IF(A1160="","",INDEX('자료_미국심리'!$B$3:$B$4002,MATCH(A1160,$O$19:$O$4018,0)))</f>
        <v/>
      </c>
      <c r="C1160" s="22">
        <f>IF(A1160="","",B1160/AVERAGE(B1036:B1160)-1)</f>
        <v/>
      </c>
      <c r="D1160" s="29">
        <f>IF(A1160="","",IFERROR(INDEX('자료_미국심리'!$E$3:$E$4002,MATCH(A1160,$P$19:$P$4018,0)),D1159))</f>
        <v/>
      </c>
      <c r="E1160" s="29">
        <f>IF(A1160="","",IFERROR(INDEX('자료_미국심리'!$H$3:$H$4002,MATCH(A1160,$Q$19:$Q$4018,0)),E1159))</f>
        <v/>
      </c>
      <c r="F1160">
        <f>IF(A1160="",0,IF(A1160&gt;$B$5,1,0))</f>
        <v/>
      </c>
      <c r="G1160" s="29">
        <f>IF(AND(F1160=1,ISNUMBER(D1160)),D1160,"")</f>
        <v/>
      </c>
      <c r="H1160" s="29">
        <f>IF(AND(F1160=1,ISNUMBER(E1160)),E1160,"")</f>
        <v/>
      </c>
      <c r="I1160" s="22">
        <f>IF(AND(F1160=1,ISNUMBER(C1160)),C1160,"")</f>
        <v/>
      </c>
      <c r="J1160" s="11">
        <f>IF(G1160="","",100-IF($G$13=1,50,(_xlfn.RANK.AVG(G1160,$G$19:$G$1518,1)-1)/($G$13-1)*100))</f>
        <v/>
      </c>
      <c r="K1160" s="11">
        <f>IF(H1160="","",100-IF($G$14=1,50,(_xlfn.RANK.AVG(H1160,$H$19:$H$1518,1)-1)/($G$14-1)*100))</f>
        <v/>
      </c>
      <c r="L1160" s="11">
        <f>IF(I1160="","",IF($G$15=1,50,(_xlfn.RANK.AVG(I1160,$I$19:$I$1518,1)-1)/($G$15-1)*100))</f>
        <v/>
      </c>
      <c r="M1160" s="11">
        <f>IF(COUNT(J1160:L1160)=3,ROUND(AVERAGE(J1160:L1160),6),"")</f>
        <v/>
      </c>
      <c r="O1160">
        <f>IF(AND(ISNUMBER('자료_미국심리'!$A1144),ISNUMBER('자료_미국심리'!$B1144)),'자료_미국심리'!$A1144,"")</f>
        <v/>
      </c>
      <c r="P1160">
        <f>IF(AND(ISNUMBER('자료_미국심리'!$D1144),ISNUMBER('자료_미국심리'!$E1144)),'자료_미국심리'!$D1144,"")</f>
        <v/>
      </c>
      <c r="Q1160">
        <f>IF(AND(ISNUMBER('자료_미국심리'!$G1144),ISNUMBER('자료_미국심리'!$H1144)),'자료_미국심리'!$G1144,"")</f>
        <v/>
      </c>
    </row>
    <row r="1161">
      <c r="A1161" s="10">
        <f>IF(1143&gt;$E$5,"",SMALL($O$19:$O$4018,$E$6+1143))</f>
        <v/>
      </c>
      <c r="B1161" s="29">
        <f>IF(A1161="","",INDEX('자료_미국심리'!$B$3:$B$4002,MATCH(A1161,$O$19:$O$4018,0)))</f>
        <v/>
      </c>
      <c r="C1161" s="22">
        <f>IF(A1161="","",B1161/AVERAGE(B1037:B1161)-1)</f>
        <v/>
      </c>
      <c r="D1161" s="29">
        <f>IF(A1161="","",IFERROR(INDEX('자료_미국심리'!$E$3:$E$4002,MATCH(A1161,$P$19:$P$4018,0)),D1160))</f>
        <v/>
      </c>
      <c r="E1161" s="29">
        <f>IF(A1161="","",IFERROR(INDEX('자료_미국심리'!$H$3:$H$4002,MATCH(A1161,$Q$19:$Q$4018,0)),E1160))</f>
        <v/>
      </c>
      <c r="F1161">
        <f>IF(A1161="",0,IF(A1161&gt;$B$5,1,0))</f>
        <v/>
      </c>
      <c r="G1161" s="29">
        <f>IF(AND(F1161=1,ISNUMBER(D1161)),D1161,"")</f>
        <v/>
      </c>
      <c r="H1161" s="29">
        <f>IF(AND(F1161=1,ISNUMBER(E1161)),E1161,"")</f>
        <v/>
      </c>
      <c r="I1161" s="22">
        <f>IF(AND(F1161=1,ISNUMBER(C1161)),C1161,"")</f>
        <v/>
      </c>
      <c r="J1161" s="11">
        <f>IF(G1161="","",100-IF($G$13=1,50,(_xlfn.RANK.AVG(G1161,$G$19:$G$1518,1)-1)/($G$13-1)*100))</f>
        <v/>
      </c>
      <c r="K1161" s="11">
        <f>IF(H1161="","",100-IF($G$14=1,50,(_xlfn.RANK.AVG(H1161,$H$19:$H$1518,1)-1)/($G$14-1)*100))</f>
        <v/>
      </c>
      <c r="L1161" s="11">
        <f>IF(I1161="","",IF($G$15=1,50,(_xlfn.RANK.AVG(I1161,$I$19:$I$1518,1)-1)/($G$15-1)*100))</f>
        <v/>
      </c>
      <c r="M1161" s="11">
        <f>IF(COUNT(J1161:L1161)=3,ROUND(AVERAGE(J1161:L1161),6),"")</f>
        <v/>
      </c>
      <c r="O1161">
        <f>IF(AND(ISNUMBER('자료_미국심리'!$A1145),ISNUMBER('자료_미국심리'!$B1145)),'자료_미국심리'!$A1145,"")</f>
        <v/>
      </c>
      <c r="P1161">
        <f>IF(AND(ISNUMBER('자료_미국심리'!$D1145),ISNUMBER('자료_미국심리'!$E1145)),'자료_미국심리'!$D1145,"")</f>
        <v/>
      </c>
      <c r="Q1161">
        <f>IF(AND(ISNUMBER('자료_미국심리'!$G1145),ISNUMBER('자료_미국심리'!$H1145)),'자료_미국심리'!$G1145,"")</f>
        <v/>
      </c>
    </row>
    <row r="1162">
      <c r="A1162" s="10">
        <f>IF(1144&gt;$E$5,"",SMALL($O$19:$O$4018,$E$6+1144))</f>
        <v/>
      </c>
      <c r="B1162" s="29">
        <f>IF(A1162="","",INDEX('자료_미국심리'!$B$3:$B$4002,MATCH(A1162,$O$19:$O$4018,0)))</f>
        <v/>
      </c>
      <c r="C1162" s="22">
        <f>IF(A1162="","",B1162/AVERAGE(B1038:B1162)-1)</f>
        <v/>
      </c>
      <c r="D1162" s="29">
        <f>IF(A1162="","",IFERROR(INDEX('자료_미국심리'!$E$3:$E$4002,MATCH(A1162,$P$19:$P$4018,0)),D1161))</f>
        <v/>
      </c>
      <c r="E1162" s="29">
        <f>IF(A1162="","",IFERROR(INDEX('자료_미국심리'!$H$3:$H$4002,MATCH(A1162,$Q$19:$Q$4018,0)),E1161))</f>
        <v/>
      </c>
      <c r="F1162">
        <f>IF(A1162="",0,IF(A1162&gt;$B$5,1,0))</f>
        <v/>
      </c>
      <c r="G1162" s="29">
        <f>IF(AND(F1162=1,ISNUMBER(D1162)),D1162,"")</f>
        <v/>
      </c>
      <c r="H1162" s="29">
        <f>IF(AND(F1162=1,ISNUMBER(E1162)),E1162,"")</f>
        <v/>
      </c>
      <c r="I1162" s="22">
        <f>IF(AND(F1162=1,ISNUMBER(C1162)),C1162,"")</f>
        <v/>
      </c>
      <c r="J1162" s="11">
        <f>IF(G1162="","",100-IF($G$13=1,50,(_xlfn.RANK.AVG(G1162,$G$19:$G$1518,1)-1)/($G$13-1)*100))</f>
        <v/>
      </c>
      <c r="K1162" s="11">
        <f>IF(H1162="","",100-IF($G$14=1,50,(_xlfn.RANK.AVG(H1162,$H$19:$H$1518,1)-1)/($G$14-1)*100))</f>
        <v/>
      </c>
      <c r="L1162" s="11">
        <f>IF(I1162="","",IF($G$15=1,50,(_xlfn.RANK.AVG(I1162,$I$19:$I$1518,1)-1)/($G$15-1)*100))</f>
        <v/>
      </c>
      <c r="M1162" s="11">
        <f>IF(COUNT(J1162:L1162)=3,ROUND(AVERAGE(J1162:L1162),6),"")</f>
        <v/>
      </c>
      <c r="O1162">
        <f>IF(AND(ISNUMBER('자료_미국심리'!$A1146),ISNUMBER('자료_미국심리'!$B1146)),'자료_미국심리'!$A1146,"")</f>
        <v/>
      </c>
      <c r="P1162">
        <f>IF(AND(ISNUMBER('자료_미국심리'!$D1146),ISNUMBER('자료_미국심리'!$E1146)),'자료_미국심리'!$D1146,"")</f>
        <v/>
      </c>
      <c r="Q1162">
        <f>IF(AND(ISNUMBER('자료_미국심리'!$G1146),ISNUMBER('자료_미국심리'!$H1146)),'자료_미국심리'!$G1146,"")</f>
        <v/>
      </c>
    </row>
    <row r="1163">
      <c r="A1163" s="10">
        <f>IF(1145&gt;$E$5,"",SMALL($O$19:$O$4018,$E$6+1145))</f>
        <v/>
      </c>
      <c r="B1163" s="29">
        <f>IF(A1163="","",INDEX('자료_미국심리'!$B$3:$B$4002,MATCH(A1163,$O$19:$O$4018,0)))</f>
        <v/>
      </c>
      <c r="C1163" s="22">
        <f>IF(A1163="","",B1163/AVERAGE(B1039:B1163)-1)</f>
        <v/>
      </c>
      <c r="D1163" s="29">
        <f>IF(A1163="","",IFERROR(INDEX('자료_미국심리'!$E$3:$E$4002,MATCH(A1163,$P$19:$P$4018,0)),D1162))</f>
        <v/>
      </c>
      <c r="E1163" s="29">
        <f>IF(A1163="","",IFERROR(INDEX('자료_미국심리'!$H$3:$H$4002,MATCH(A1163,$Q$19:$Q$4018,0)),E1162))</f>
        <v/>
      </c>
      <c r="F1163">
        <f>IF(A1163="",0,IF(A1163&gt;$B$5,1,0))</f>
        <v/>
      </c>
      <c r="G1163" s="29">
        <f>IF(AND(F1163=1,ISNUMBER(D1163)),D1163,"")</f>
        <v/>
      </c>
      <c r="H1163" s="29">
        <f>IF(AND(F1163=1,ISNUMBER(E1163)),E1163,"")</f>
        <v/>
      </c>
      <c r="I1163" s="22">
        <f>IF(AND(F1163=1,ISNUMBER(C1163)),C1163,"")</f>
        <v/>
      </c>
      <c r="J1163" s="11">
        <f>IF(G1163="","",100-IF($G$13=1,50,(_xlfn.RANK.AVG(G1163,$G$19:$G$1518,1)-1)/($G$13-1)*100))</f>
        <v/>
      </c>
      <c r="K1163" s="11">
        <f>IF(H1163="","",100-IF($G$14=1,50,(_xlfn.RANK.AVG(H1163,$H$19:$H$1518,1)-1)/($G$14-1)*100))</f>
        <v/>
      </c>
      <c r="L1163" s="11">
        <f>IF(I1163="","",IF($G$15=1,50,(_xlfn.RANK.AVG(I1163,$I$19:$I$1518,1)-1)/($G$15-1)*100))</f>
        <v/>
      </c>
      <c r="M1163" s="11">
        <f>IF(COUNT(J1163:L1163)=3,ROUND(AVERAGE(J1163:L1163),6),"")</f>
        <v/>
      </c>
      <c r="O1163">
        <f>IF(AND(ISNUMBER('자료_미국심리'!$A1147),ISNUMBER('자료_미국심리'!$B1147)),'자료_미국심리'!$A1147,"")</f>
        <v/>
      </c>
      <c r="P1163">
        <f>IF(AND(ISNUMBER('자료_미국심리'!$D1147),ISNUMBER('자료_미국심리'!$E1147)),'자료_미국심리'!$D1147,"")</f>
        <v/>
      </c>
      <c r="Q1163">
        <f>IF(AND(ISNUMBER('자료_미국심리'!$G1147),ISNUMBER('자료_미국심리'!$H1147)),'자료_미국심리'!$G1147,"")</f>
        <v/>
      </c>
    </row>
    <row r="1164">
      <c r="A1164" s="10">
        <f>IF(1146&gt;$E$5,"",SMALL($O$19:$O$4018,$E$6+1146))</f>
        <v/>
      </c>
      <c r="B1164" s="29">
        <f>IF(A1164="","",INDEX('자료_미국심리'!$B$3:$B$4002,MATCH(A1164,$O$19:$O$4018,0)))</f>
        <v/>
      </c>
      <c r="C1164" s="22">
        <f>IF(A1164="","",B1164/AVERAGE(B1040:B1164)-1)</f>
        <v/>
      </c>
      <c r="D1164" s="29">
        <f>IF(A1164="","",IFERROR(INDEX('자료_미국심리'!$E$3:$E$4002,MATCH(A1164,$P$19:$P$4018,0)),D1163))</f>
        <v/>
      </c>
      <c r="E1164" s="29">
        <f>IF(A1164="","",IFERROR(INDEX('자료_미국심리'!$H$3:$H$4002,MATCH(A1164,$Q$19:$Q$4018,0)),E1163))</f>
        <v/>
      </c>
      <c r="F1164">
        <f>IF(A1164="",0,IF(A1164&gt;$B$5,1,0))</f>
        <v/>
      </c>
      <c r="G1164" s="29">
        <f>IF(AND(F1164=1,ISNUMBER(D1164)),D1164,"")</f>
        <v/>
      </c>
      <c r="H1164" s="29">
        <f>IF(AND(F1164=1,ISNUMBER(E1164)),E1164,"")</f>
        <v/>
      </c>
      <c r="I1164" s="22">
        <f>IF(AND(F1164=1,ISNUMBER(C1164)),C1164,"")</f>
        <v/>
      </c>
      <c r="J1164" s="11">
        <f>IF(G1164="","",100-IF($G$13=1,50,(_xlfn.RANK.AVG(G1164,$G$19:$G$1518,1)-1)/($G$13-1)*100))</f>
        <v/>
      </c>
      <c r="K1164" s="11">
        <f>IF(H1164="","",100-IF($G$14=1,50,(_xlfn.RANK.AVG(H1164,$H$19:$H$1518,1)-1)/($G$14-1)*100))</f>
        <v/>
      </c>
      <c r="L1164" s="11">
        <f>IF(I1164="","",IF($G$15=1,50,(_xlfn.RANK.AVG(I1164,$I$19:$I$1518,1)-1)/($G$15-1)*100))</f>
        <v/>
      </c>
      <c r="M1164" s="11">
        <f>IF(COUNT(J1164:L1164)=3,ROUND(AVERAGE(J1164:L1164),6),"")</f>
        <v/>
      </c>
      <c r="O1164">
        <f>IF(AND(ISNUMBER('자료_미국심리'!$A1148),ISNUMBER('자료_미국심리'!$B1148)),'자료_미국심리'!$A1148,"")</f>
        <v/>
      </c>
      <c r="P1164">
        <f>IF(AND(ISNUMBER('자료_미국심리'!$D1148),ISNUMBER('자료_미국심리'!$E1148)),'자료_미국심리'!$D1148,"")</f>
        <v/>
      </c>
      <c r="Q1164">
        <f>IF(AND(ISNUMBER('자료_미국심리'!$G1148),ISNUMBER('자료_미국심리'!$H1148)),'자료_미국심리'!$G1148,"")</f>
        <v/>
      </c>
    </row>
    <row r="1165">
      <c r="A1165" s="10">
        <f>IF(1147&gt;$E$5,"",SMALL($O$19:$O$4018,$E$6+1147))</f>
        <v/>
      </c>
      <c r="B1165" s="29">
        <f>IF(A1165="","",INDEX('자료_미국심리'!$B$3:$B$4002,MATCH(A1165,$O$19:$O$4018,0)))</f>
        <v/>
      </c>
      <c r="C1165" s="22">
        <f>IF(A1165="","",B1165/AVERAGE(B1041:B1165)-1)</f>
        <v/>
      </c>
      <c r="D1165" s="29">
        <f>IF(A1165="","",IFERROR(INDEX('자료_미국심리'!$E$3:$E$4002,MATCH(A1165,$P$19:$P$4018,0)),D1164))</f>
        <v/>
      </c>
      <c r="E1165" s="29">
        <f>IF(A1165="","",IFERROR(INDEX('자료_미국심리'!$H$3:$H$4002,MATCH(A1165,$Q$19:$Q$4018,0)),E1164))</f>
        <v/>
      </c>
      <c r="F1165">
        <f>IF(A1165="",0,IF(A1165&gt;$B$5,1,0))</f>
        <v/>
      </c>
      <c r="G1165" s="29">
        <f>IF(AND(F1165=1,ISNUMBER(D1165)),D1165,"")</f>
        <v/>
      </c>
      <c r="H1165" s="29">
        <f>IF(AND(F1165=1,ISNUMBER(E1165)),E1165,"")</f>
        <v/>
      </c>
      <c r="I1165" s="22">
        <f>IF(AND(F1165=1,ISNUMBER(C1165)),C1165,"")</f>
        <v/>
      </c>
      <c r="J1165" s="11">
        <f>IF(G1165="","",100-IF($G$13=1,50,(_xlfn.RANK.AVG(G1165,$G$19:$G$1518,1)-1)/($G$13-1)*100))</f>
        <v/>
      </c>
      <c r="K1165" s="11">
        <f>IF(H1165="","",100-IF($G$14=1,50,(_xlfn.RANK.AVG(H1165,$H$19:$H$1518,1)-1)/($G$14-1)*100))</f>
        <v/>
      </c>
      <c r="L1165" s="11">
        <f>IF(I1165="","",IF($G$15=1,50,(_xlfn.RANK.AVG(I1165,$I$19:$I$1518,1)-1)/($G$15-1)*100))</f>
        <v/>
      </c>
      <c r="M1165" s="11">
        <f>IF(COUNT(J1165:L1165)=3,ROUND(AVERAGE(J1165:L1165),6),"")</f>
        <v/>
      </c>
      <c r="O1165">
        <f>IF(AND(ISNUMBER('자료_미국심리'!$A1149),ISNUMBER('자료_미국심리'!$B1149)),'자료_미국심리'!$A1149,"")</f>
        <v/>
      </c>
      <c r="P1165">
        <f>IF(AND(ISNUMBER('자료_미국심리'!$D1149),ISNUMBER('자료_미국심리'!$E1149)),'자료_미국심리'!$D1149,"")</f>
        <v/>
      </c>
      <c r="Q1165">
        <f>IF(AND(ISNUMBER('자료_미국심리'!$G1149),ISNUMBER('자료_미국심리'!$H1149)),'자료_미국심리'!$G1149,"")</f>
        <v/>
      </c>
    </row>
    <row r="1166">
      <c r="A1166" s="10">
        <f>IF(1148&gt;$E$5,"",SMALL($O$19:$O$4018,$E$6+1148))</f>
        <v/>
      </c>
      <c r="B1166" s="29">
        <f>IF(A1166="","",INDEX('자료_미국심리'!$B$3:$B$4002,MATCH(A1166,$O$19:$O$4018,0)))</f>
        <v/>
      </c>
      <c r="C1166" s="22">
        <f>IF(A1166="","",B1166/AVERAGE(B1042:B1166)-1)</f>
        <v/>
      </c>
      <c r="D1166" s="29">
        <f>IF(A1166="","",IFERROR(INDEX('자료_미국심리'!$E$3:$E$4002,MATCH(A1166,$P$19:$P$4018,0)),D1165))</f>
        <v/>
      </c>
      <c r="E1166" s="29">
        <f>IF(A1166="","",IFERROR(INDEX('자료_미국심리'!$H$3:$H$4002,MATCH(A1166,$Q$19:$Q$4018,0)),E1165))</f>
        <v/>
      </c>
      <c r="F1166">
        <f>IF(A1166="",0,IF(A1166&gt;$B$5,1,0))</f>
        <v/>
      </c>
      <c r="G1166" s="29">
        <f>IF(AND(F1166=1,ISNUMBER(D1166)),D1166,"")</f>
        <v/>
      </c>
      <c r="H1166" s="29">
        <f>IF(AND(F1166=1,ISNUMBER(E1166)),E1166,"")</f>
        <v/>
      </c>
      <c r="I1166" s="22">
        <f>IF(AND(F1166=1,ISNUMBER(C1166)),C1166,"")</f>
        <v/>
      </c>
      <c r="J1166" s="11">
        <f>IF(G1166="","",100-IF($G$13=1,50,(_xlfn.RANK.AVG(G1166,$G$19:$G$1518,1)-1)/($G$13-1)*100))</f>
        <v/>
      </c>
      <c r="K1166" s="11">
        <f>IF(H1166="","",100-IF($G$14=1,50,(_xlfn.RANK.AVG(H1166,$H$19:$H$1518,1)-1)/($G$14-1)*100))</f>
        <v/>
      </c>
      <c r="L1166" s="11">
        <f>IF(I1166="","",IF($G$15=1,50,(_xlfn.RANK.AVG(I1166,$I$19:$I$1518,1)-1)/($G$15-1)*100))</f>
        <v/>
      </c>
      <c r="M1166" s="11">
        <f>IF(COUNT(J1166:L1166)=3,ROUND(AVERAGE(J1166:L1166),6),"")</f>
        <v/>
      </c>
      <c r="O1166">
        <f>IF(AND(ISNUMBER('자료_미국심리'!$A1150),ISNUMBER('자료_미국심리'!$B1150)),'자료_미국심리'!$A1150,"")</f>
        <v/>
      </c>
      <c r="P1166">
        <f>IF(AND(ISNUMBER('자료_미국심리'!$D1150),ISNUMBER('자료_미국심리'!$E1150)),'자료_미국심리'!$D1150,"")</f>
        <v/>
      </c>
      <c r="Q1166">
        <f>IF(AND(ISNUMBER('자료_미국심리'!$G1150),ISNUMBER('자료_미국심리'!$H1150)),'자료_미국심리'!$G1150,"")</f>
        <v/>
      </c>
    </row>
    <row r="1167">
      <c r="A1167" s="10">
        <f>IF(1149&gt;$E$5,"",SMALL($O$19:$O$4018,$E$6+1149))</f>
        <v/>
      </c>
      <c r="B1167" s="29">
        <f>IF(A1167="","",INDEX('자료_미국심리'!$B$3:$B$4002,MATCH(A1167,$O$19:$O$4018,0)))</f>
        <v/>
      </c>
      <c r="C1167" s="22">
        <f>IF(A1167="","",B1167/AVERAGE(B1043:B1167)-1)</f>
        <v/>
      </c>
      <c r="D1167" s="29">
        <f>IF(A1167="","",IFERROR(INDEX('자료_미국심리'!$E$3:$E$4002,MATCH(A1167,$P$19:$P$4018,0)),D1166))</f>
        <v/>
      </c>
      <c r="E1167" s="29">
        <f>IF(A1167="","",IFERROR(INDEX('자료_미국심리'!$H$3:$H$4002,MATCH(A1167,$Q$19:$Q$4018,0)),E1166))</f>
        <v/>
      </c>
      <c r="F1167">
        <f>IF(A1167="",0,IF(A1167&gt;$B$5,1,0))</f>
        <v/>
      </c>
      <c r="G1167" s="29">
        <f>IF(AND(F1167=1,ISNUMBER(D1167)),D1167,"")</f>
        <v/>
      </c>
      <c r="H1167" s="29">
        <f>IF(AND(F1167=1,ISNUMBER(E1167)),E1167,"")</f>
        <v/>
      </c>
      <c r="I1167" s="22">
        <f>IF(AND(F1167=1,ISNUMBER(C1167)),C1167,"")</f>
        <v/>
      </c>
      <c r="J1167" s="11">
        <f>IF(G1167="","",100-IF($G$13=1,50,(_xlfn.RANK.AVG(G1167,$G$19:$G$1518,1)-1)/($G$13-1)*100))</f>
        <v/>
      </c>
      <c r="K1167" s="11">
        <f>IF(H1167="","",100-IF($G$14=1,50,(_xlfn.RANK.AVG(H1167,$H$19:$H$1518,1)-1)/($G$14-1)*100))</f>
        <v/>
      </c>
      <c r="L1167" s="11">
        <f>IF(I1167="","",IF($G$15=1,50,(_xlfn.RANK.AVG(I1167,$I$19:$I$1518,1)-1)/($G$15-1)*100))</f>
        <v/>
      </c>
      <c r="M1167" s="11">
        <f>IF(COUNT(J1167:L1167)=3,ROUND(AVERAGE(J1167:L1167),6),"")</f>
        <v/>
      </c>
      <c r="O1167">
        <f>IF(AND(ISNUMBER('자료_미국심리'!$A1151),ISNUMBER('자료_미국심리'!$B1151)),'자료_미국심리'!$A1151,"")</f>
        <v/>
      </c>
      <c r="P1167">
        <f>IF(AND(ISNUMBER('자료_미국심리'!$D1151),ISNUMBER('자료_미국심리'!$E1151)),'자료_미국심리'!$D1151,"")</f>
        <v/>
      </c>
      <c r="Q1167">
        <f>IF(AND(ISNUMBER('자료_미국심리'!$G1151),ISNUMBER('자료_미국심리'!$H1151)),'자료_미국심리'!$G1151,"")</f>
        <v/>
      </c>
    </row>
    <row r="1168">
      <c r="A1168" s="10">
        <f>IF(1150&gt;$E$5,"",SMALL($O$19:$O$4018,$E$6+1150))</f>
        <v/>
      </c>
      <c r="B1168" s="29">
        <f>IF(A1168="","",INDEX('자료_미국심리'!$B$3:$B$4002,MATCH(A1168,$O$19:$O$4018,0)))</f>
        <v/>
      </c>
      <c r="C1168" s="22">
        <f>IF(A1168="","",B1168/AVERAGE(B1044:B1168)-1)</f>
        <v/>
      </c>
      <c r="D1168" s="29">
        <f>IF(A1168="","",IFERROR(INDEX('자료_미국심리'!$E$3:$E$4002,MATCH(A1168,$P$19:$P$4018,0)),D1167))</f>
        <v/>
      </c>
      <c r="E1168" s="29">
        <f>IF(A1168="","",IFERROR(INDEX('자료_미국심리'!$H$3:$H$4002,MATCH(A1168,$Q$19:$Q$4018,0)),E1167))</f>
        <v/>
      </c>
      <c r="F1168">
        <f>IF(A1168="",0,IF(A1168&gt;$B$5,1,0))</f>
        <v/>
      </c>
      <c r="G1168" s="29">
        <f>IF(AND(F1168=1,ISNUMBER(D1168)),D1168,"")</f>
        <v/>
      </c>
      <c r="H1168" s="29">
        <f>IF(AND(F1168=1,ISNUMBER(E1168)),E1168,"")</f>
        <v/>
      </c>
      <c r="I1168" s="22">
        <f>IF(AND(F1168=1,ISNUMBER(C1168)),C1168,"")</f>
        <v/>
      </c>
      <c r="J1168" s="11">
        <f>IF(G1168="","",100-IF($G$13=1,50,(_xlfn.RANK.AVG(G1168,$G$19:$G$1518,1)-1)/($G$13-1)*100))</f>
        <v/>
      </c>
      <c r="K1168" s="11">
        <f>IF(H1168="","",100-IF($G$14=1,50,(_xlfn.RANK.AVG(H1168,$H$19:$H$1518,1)-1)/($G$14-1)*100))</f>
        <v/>
      </c>
      <c r="L1168" s="11">
        <f>IF(I1168="","",IF($G$15=1,50,(_xlfn.RANK.AVG(I1168,$I$19:$I$1518,1)-1)/($G$15-1)*100))</f>
        <v/>
      </c>
      <c r="M1168" s="11">
        <f>IF(COUNT(J1168:L1168)=3,ROUND(AVERAGE(J1168:L1168),6),"")</f>
        <v/>
      </c>
      <c r="O1168">
        <f>IF(AND(ISNUMBER('자료_미국심리'!$A1152),ISNUMBER('자료_미국심리'!$B1152)),'자료_미국심리'!$A1152,"")</f>
        <v/>
      </c>
      <c r="P1168">
        <f>IF(AND(ISNUMBER('자료_미국심리'!$D1152),ISNUMBER('자료_미국심리'!$E1152)),'자료_미국심리'!$D1152,"")</f>
        <v/>
      </c>
      <c r="Q1168">
        <f>IF(AND(ISNUMBER('자료_미국심리'!$G1152),ISNUMBER('자료_미국심리'!$H1152)),'자료_미국심리'!$G1152,"")</f>
        <v/>
      </c>
    </row>
    <row r="1169">
      <c r="A1169" s="10">
        <f>IF(1151&gt;$E$5,"",SMALL($O$19:$O$4018,$E$6+1151))</f>
        <v/>
      </c>
      <c r="B1169" s="29">
        <f>IF(A1169="","",INDEX('자료_미국심리'!$B$3:$B$4002,MATCH(A1169,$O$19:$O$4018,0)))</f>
        <v/>
      </c>
      <c r="C1169" s="22">
        <f>IF(A1169="","",B1169/AVERAGE(B1045:B1169)-1)</f>
        <v/>
      </c>
      <c r="D1169" s="29">
        <f>IF(A1169="","",IFERROR(INDEX('자료_미국심리'!$E$3:$E$4002,MATCH(A1169,$P$19:$P$4018,0)),D1168))</f>
        <v/>
      </c>
      <c r="E1169" s="29">
        <f>IF(A1169="","",IFERROR(INDEX('자료_미국심리'!$H$3:$H$4002,MATCH(A1169,$Q$19:$Q$4018,0)),E1168))</f>
        <v/>
      </c>
      <c r="F1169">
        <f>IF(A1169="",0,IF(A1169&gt;$B$5,1,0))</f>
        <v/>
      </c>
      <c r="G1169" s="29">
        <f>IF(AND(F1169=1,ISNUMBER(D1169)),D1169,"")</f>
        <v/>
      </c>
      <c r="H1169" s="29">
        <f>IF(AND(F1169=1,ISNUMBER(E1169)),E1169,"")</f>
        <v/>
      </c>
      <c r="I1169" s="22">
        <f>IF(AND(F1169=1,ISNUMBER(C1169)),C1169,"")</f>
        <v/>
      </c>
      <c r="J1169" s="11">
        <f>IF(G1169="","",100-IF($G$13=1,50,(_xlfn.RANK.AVG(G1169,$G$19:$G$1518,1)-1)/($G$13-1)*100))</f>
        <v/>
      </c>
      <c r="K1169" s="11">
        <f>IF(H1169="","",100-IF($G$14=1,50,(_xlfn.RANK.AVG(H1169,$H$19:$H$1518,1)-1)/($G$14-1)*100))</f>
        <v/>
      </c>
      <c r="L1169" s="11">
        <f>IF(I1169="","",IF($G$15=1,50,(_xlfn.RANK.AVG(I1169,$I$19:$I$1518,1)-1)/($G$15-1)*100))</f>
        <v/>
      </c>
      <c r="M1169" s="11">
        <f>IF(COUNT(J1169:L1169)=3,ROUND(AVERAGE(J1169:L1169),6),"")</f>
        <v/>
      </c>
      <c r="O1169">
        <f>IF(AND(ISNUMBER('자료_미국심리'!$A1153),ISNUMBER('자료_미국심리'!$B1153)),'자료_미국심리'!$A1153,"")</f>
        <v/>
      </c>
      <c r="P1169">
        <f>IF(AND(ISNUMBER('자료_미국심리'!$D1153),ISNUMBER('자료_미국심리'!$E1153)),'자료_미국심리'!$D1153,"")</f>
        <v/>
      </c>
      <c r="Q1169">
        <f>IF(AND(ISNUMBER('자료_미국심리'!$G1153),ISNUMBER('자료_미국심리'!$H1153)),'자료_미국심리'!$G1153,"")</f>
        <v/>
      </c>
    </row>
    <row r="1170">
      <c r="A1170" s="10">
        <f>IF(1152&gt;$E$5,"",SMALL($O$19:$O$4018,$E$6+1152))</f>
        <v/>
      </c>
      <c r="B1170" s="29">
        <f>IF(A1170="","",INDEX('자료_미국심리'!$B$3:$B$4002,MATCH(A1170,$O$19:$O$4018,0)))</f>
        <v/>
      </c>
      <c r="C1170" s="22">
        <f>IF(A1170="","",B1170/AVERAGE(B1046:B1170)-1)</f>
        <v/>
      </c>
      <c r="D1170" s="29">
        <f>IF(A1170="","",IFERROR(INDEX('자료_미국심리'!$E$3:$E$4002,MATCH(A1170,$P$19:$P$4018,0)),D1169))</f>
        <v/>
      </c>
      <c r="E1170" s="29">
        <f>IF(A1170="","",IFERROR(INDEX('자료_미국심리'!$H$3:$H$4002,MATCH(A1170,$Q$19:$Q$4018,0)),E1169))</f>
        <v/>
      </c>
      <c r="F1170">
        <f>IF(A1170="",0,IF(A1170&gt;$B$5,1,0))</f>
        <v/>
      </c>
      <c r="G1170" s="29">
        <f>IF(AND(F1170=1,ISNUMBER(D1170)),D1170,"")</f>
        <v/>
      </c>
      <c r="H1170" s="29">
        <f>IF(AND(F1170=1,ISNUMBER(E1170)),E1170,"")</f>
        <v/>
      </c>
      <c r="I1170" s="22">
        <f>IF(AND(F1170=1,ISNUMBER(C1170)),C1170,"")</f>
        <v/>
      </c>
      <c r="J1170" s="11">
        <f>IF(G1170="","",100-IF($G$13=1,50,(_xlfn.RANK.AVG(G1170,$G$19:$G$1518,1)-1)/($G$13-1)*100))</f>
        <v/>
      </c>
      <c r="K1170" s="11">
        <f>IF(H1170="","",100-IF($G$14=1,50,(_xlfn.RANK.AVG(H1170,$H$19:$H$1518,1)-1)/($G$14-1)*100))</f>
        <v/>
      </c>
      <c r="L1170" s="11">
        <f>IF(I1170="","",IF($G$15=1,50,(_xlfn.RANK.AVG(I1170,$I$19:$I$1518,1)-1)/($G$15-1)*100))</f>
        <v/>
      </c>
      <c r="M1170" s="11">
        <f>IF(COUNT(J1170:L1170)=3,ROUND(AVERAGE(J1170:L1170),6),"")</f>
        <v/>
      </c>
      <c r="O1170">
        <f>IF(AND(ISNUMBER('자료_미국심리'!$A1154),ISNUMBER('자료_미국심리'!$B1154)),'자료_미국심리'!$A1154,"")</f>
        <v/>
      </c>
      <c r="P1170">
        <f>IF(AND(ISNUMBER('자료_미국심리'!$D1154),ISNUMBER('자료_미국심리'!$E1154)),'자료_미국심리'!$D1154,"")</f>
        <v/>
      </c>
      <c r="Q1170">
        <f>IF(AND(ISNUMBER('자료_미국심리'!$G1154),ISNUMBER('자료_미국심리'!$H1154)),'자료_미국심리'!$G1154,"")</f>
        <v/>
      </c>
    </row>
    <row r="1171">
      <c r="A1171" s="10">
        <f>IF(1153&gt;$E$5,"",SMALL($O$19:$O$4018,$E$6+1153))</f>
        <v/>
      </c>
      <c r="B1171" s="29">
        <f>IF(A1171="","",INDEX('자료_미국심리'!$B$3:$B$4002,MATCH(A1171,$O$19:$O$4018,0)))</f>
        <v/>
      </c>
      <c r="C1171" s="22">
        <f>IF(A1171="","",B1171/AVERAGE(B1047:B1171)-1)</f>
        <v/>
      </c>
      <c r="D1171" s="29">
        <f>IF(A1171="","",IFERROR(INDEX('자료_미국심리'!$E$3:$E$4002,MATCH(A1171,$P$19:$P$4018,0)),D1170))</f>
        <v/>
      </c>
      <c r="E1171" s="29">
        <f>IF(A1171="","",IFERROR(INDEX('자료_미국심리'!$H$3:$H$4002,MATCH(A1171,$Q$19:$Q$4018,0)),E1170))</f>
        <v/>
      </c>
      <c r="F1171">
        <f>IF(A1171="",0,IF(A1171&gt;$B$5,1,0))</f>
        <v/>
      </c>
      <c r="G1171" s="29">
        <f>IF(AND(F1171=1,ISNUMBER(D1171)),D1171,"")</f>
        <v/>
      </c>
      <c r="H1171" s="29">
        <f>IF(AND(F1171=1,ISNUMBER(E1171)),E1171,"")</f>
        <v/>
      </c>
      <c r="I1171" s="22">
        <f>IF(AND(F1171=1,ISNUMBER(C1171)),C1171,"")</f>
        <v/>
      </c>
      <c r="J1171" s="11">
        <f>IF(G1171="","",100-IF($G$13=1,50,(_xlfn.RANK.AVG(G1171,$G$19:$G$1518,1)-1)/($G$13-1)*100))</f>
        <v/>
      </c>
      <c r="K1171" s="11">
        <f>IF(H1171="","",100-IF($G$14=1,50,(_xlfn.RANK.AVG(H1171,$H$19:$H$1518,1)-1)/($G$14-1)*100))</f>
        <v/>
      </c>
      <c r="L1171" s="11">
        <f>IF(I1171="","",IF($G$15=1,50,(_xlfn.RANK.AVG(I1171,$I$19:$I$1518,1)-1)/($G$15-1)*100))</f>
        <v/>
      </c>
      <c r="M1171" s="11">
        <f>IF(COUNT(J1171:L1171)=3,ROUND(AVERAGE(J1171:L1171),6),"")</f>
        <v/>
      </c>
      <c r="O1171">
        <f>IF(AND(ISNUMBER('자료_미국심리'!$A1155),ISNUMBER('자료_미국심리'!$B1155)),'자료_미국심리'!$A1155,"")</f>
        <v/>
      </c>
      <c r="P1171">
        <f>IF(AND(ISNUMBER('자료_미국심리'!$D1155),ISNUMBER('자료_미국심리'!$E1155)),'자료_미국심리'!$D1155,"")</f>
        <v/>
      </c>
      <c r="Q1171">
        <f>IF(AND(ISNUMBER('자료_미국심리'!$G1155),ISNUMBER('자료_미국심리'!$H1155)),'자료_미국심리'!$G1155,"")</f>
        <v/>
      </c>
    </row>
    <row r="1172">
      <c r="A1172" s="10">
        <f>IF(1154&gt;$E$5,"",SMALL($O$19:$O$4018,$E$6+1154))</f>
        <v/>
      </c>
      <c r="B1172" s="29">
        <f>IF(A1172="","",INDEX('자료_미국심리'!$B$3:$B$4002,MATCH(A1172,$O$19:$O$4018,0)))</f>
        <v/>
      </c>
      <c r="C1172" s="22">
        <f>IF(A1172="","",B1172/AVERAGE(B1048:B1172)-1)</f>
        <v/>
      </c>
      <c r="D1172" s="29">
        <f>IF(A1172="","",IFERROR(INDEX('자료_미국심리'!$E$3:$E$4002,MATCH(A1172,$P$19:$P$4018,0)),D1171))</f>
        <v/>
      </c>
      <c r="E1172" s="29">
        <f>IF(A1172="","",IFERROR(INDEX('자료_미국심리'!$H$3:$H$4002,MATCH(A1172,$Q$19:$Q$4018,0)),E1171))</f>
        <v/>
      </c>
      <c r="F1172">
        <f>IF(A1172="",0,IF(A1172&gt;$B$5,1,0))</f>
        <v/>
      </c>
      <c r="G1172" s="29">
        <f>IF(AND(F1172=1,ISNUMBER(D1172)),D1172,"")</f>
        <v/>
      </c>
      <c r="H1172" s="29">
        <f>IF(AND(F1172=1,ISNUMBER(E1172)),E1172,"")</f>
        <v/>
      </c>
      <c r="I1172" s="22">
        <f>IF(AND(F1172=1,ISNUMBER(C1172)),C1172,"")</f>
        <v/>
      </c>
      <c r="J1172" s="11">
        <f>IF(G1172="","",100-IF($G$13=1,50,(_xlfn.RANK.AVG(G1172,$G$19:$G$1518,1)-1)/($G$13-1)*100))</f>
        <v/>
      </c>
      <c r="K1172" s="11">
        <f>IF(H1172="","",100-IF($G$14=1,50,(_xlfn.RANK.AVG(H1172,$H$19:$H$1518,1)-1)/($G$14-1)*100))</f>
        <v/>
      </c>
      <c r="L1172" s="11">
        <f>IF(I1172="","",IF($G$15=1,50,(_xlfn.RANK.AVG(I1172,$I$19:$I$1518,1)-1)/($G$15-1)*100))</f>
        <v/>
      </c>
      <c r="M1172" s="11">
        <f>IF(COUNT(J1172:L1172)=3,ROUND(AVERAGE(J1172:L1172),6),"")</f>
        <v/>
      </c>
      <c r="O1172">
        <f>IF(AND(ISNUMBER('자료_미국심리'!$A1156),ISNUMBER('자료_미국심리'!$B1156)),'자료_미국심리'!$A1156,"")</f>
        <v/>
      </c>
      <c r="P1172">
        <f>IF(AND(ISNUMBER('자료_미국심리'!$D1156),ISNUMBER('자료_미국심리'!$E1156)),'자료_미국심리'!$D1156,"")</f>
        <v/>
      </c>
      <c r="Q1172">
        <f>IF(AND(ISNUMBER('자료_미국심리'!$G1156),ISNUMBER('자료_미국심리'!$H1156)),'자료_미국심리'!$G1156,"")</f>
        <v/>
      </c>
    </row>
    <row r="1173">
      <c r="A1173" s="10">
        <f>IF(1155&gt;$E$5,"",SMALL($O$19:$O$4018,$E$6+1155))</f>
        <v/>
      </c>
      <c r="B1173" s="29">
        <f>IF(A1173="","",INDEX('자료_미국심리'!$B$3:$B$4002,MATCH(A1173,$O$19:$O$4018,0)))</f>
        <v/>
      </c>
      <c r="C1173" s="22">
        <f>IF(A1173="","",B1173/AVERAGE(B1049:B1173)-1)</f>
        <v/>
      </c>
      <c r="D1173" s="29">
        <f>IF(A1173="","",IFERROR(INDEX('자료_미국심리'!$E$3:$E$4002,MATCH(A1173,$P$19:$P$4018,0)),D1172))</f>
        <v/>
      </c>
      <c r="E1173" s="29">
        <f>IF(A1173="","",IFERROR(INDEX('자료_미국심리'!$H$3:$H$4002,MATCH(A1173,$Q$19:$Q$4018,0)),E1172))</f>
        <v/>
      </c>
      <c r="F1173">
        <f>IF(A1173="",0,IF(A1173&gt;$B$5,1,0))</f>
        <v/>
      </c>
      <c r="G1173" s="29">
        <f>IF(AND(F1173=1,ISNUMBER(D1173)),D1173,"")</f>
        <v/>
      </c>
      <c r="H1173" s="29">
        <f>IF(AND(F1173=1,ISNUMBER(E1173)),E1173,"")</f>
        <v/>
      </c>
      <c r="I1173" s="22">
        <f>IF(AND(F1173=1,ISNUMBER(C1173)),C1173,"")</f>
        <v/>
      </c>
      <c r="J1173" s="11">
        <f>IF(G1173="","",100-IF($G$13=1,50,(_xlfn.RANK.AVG(G1173,$G$19:$G$1518,1)-1)/($G$13-1)*100))</f>
        <v/>
      </c>
      <c r="K1173" s="11">
        <f>IF(H1173="","",100-IF($G$14=1,50,(_xlfn.RANK.AVG(H1173,$H$19:$H$1518,1)-1)/($G$14-1)*100))</f>
        <v/>
      </c>
      <c r="L1173" s="11">
        <f>IF(I1173="","",IF($G$15=1,50,(_xlfn.RANK.AVG(I1173,$I$19:$I$1518,1)-1)/($G$15-1)*100))</f>
        <v/>
      </c>
      <c r="M1173" s="11">
        <f>IF(COUNT(J1173:L1173)=3,ROUND(AVERAGE(J1173:L1173),6),"")</f>
        <v/>
      </c>
      <c r="O1173">
        <f>IF(AND(ISNUMBER('자료_미국심리'!$A1157),ISNUMBER('자료_미국심리'!$B1157)),'자료_미국심리'!$A1157,"")</f>
        <v/>
      </c>
      <c r="P1173">
        <f>IF(AND(ISNUMBER('자료_미국심리'!$D1157),ISNUMBER('자료_미국심리'!$E1157)),'자료_미국심리'!$D1157,"")</f>
        <v/>
      </c>
      <c r="Q1173">
        <f>IF(AND(ISNUMBER('자료_미국심리'!$G1157),ISNUMBER('자료_미국심리'!$H1157)),'자료_미국심리'!$G1157,"")</f>
        <v/>
      </c>
    </row>
    <row r="1174">
      <c r="A1174" s="10">
        <f>IF(1156&gt;$E$5,"",SMALL($O$19:$O$4018,$E$6+1156))</f>
        <v/>
      </c>
      <c r="B1174" s="29">
        <f>IF(A1174="","",INDEX('자료_미국심리'!$B$3:$B$4002,MATCH(A1174,$O$19:$O$4018,0)))</f>
        <v/>
      </c>
      <c r="C1174" s="22">
        <f>IF(A1174="","",B1174/AVERAGE(B1050:B1174)-1)</f>
        <v/>
      </c>
      <c r="D1174" s="29">
        <f>IF(A1174="","",IFERROR(INDEX('자료_미국심리'!$E$3:$E$4002,MATCH(A1174,$P$19:$P$4018,0)),D1173))</f>
        <v/>
      </c>
      <c r="E1174" s="29">
        <f>IF(A1174="","",IFERROR(INDEX('자료_미국심리'!$H$3:$H$4002,MATCH(A1174,$Q$19:$Q$4018,0)),E1173))</f>
        <v/>
      </c>
      <c r="F1174">
        <f>IF(A1174="",0,IF(A1174&gt;$B$5,1,0))</f>
        <v/>
      </c>
      <c r="G1174" s="29">
        <f>IF(AND(F1174=1,ISNUMBER(D1174)),D1174,"")</f>
        <v/>
      </c>
      <c r="H1174" s="29">
        <f>IF(AND(F1174=1,ISNUMBER(E1174)),E1174,"")</f>
        <v/>
      </c>
      <c r="I1174" s="22">
        <f>IF(AND(F1174=1,ISNUMBER(C1174)),C1174,"")</f>
        <v/>
      </c>
      <c r="J1174" s="11">
        <f>IF(G1174="","",100-IF($G$13=1,50,(_xlfn.RANK.AVG(G1174,$G$19:$G$1518,1)-1)/($G$13-1)*100))</f>
        <v/>
      </c>
      <c r="K1174" s="11">
        <f>IF(H1174="","",100-IF($G$14=1,50,(_xlfn.RANK.AVG(H1174,$H$19:$H$1518,1)-1)/($G$14-1)*100))</f>
        <v/>
      </c>
      <c r="L1174" s="11">
        <f>IF(I1174="","",IF($G$15=1,50,(_xlfn.RANK.AVG(I1174,$I$19:$I$1518,1)-1)/($G$15-1)*100))</f>
        <v/>
      </c>
      <c r="M1174" s="11">
        <f>IF(COUNT(J1174:L1174)=3,ROUND(AVERAGE(J1174:L1174),6),"")</f>
        <v/>
      </c>
      <c r="O1174">
        <f>IF(AND(ISNUMBER('자료_미국심리'!$A1158),ISNUMBER('자료_미국심리'!$B1158)),'자료_미국심리'!$A1158,"")</f>
        <v/>
      </c>
      <c r="P1174">
        <f>IF(AND(ISNUMBER('자료_미국심리'!$D1158),ISNUMBER('자료_미국심리'!$E1158)),'자료_미국심리'!$D1158,"")</f>
        <v/>
      </c>
      <c r="Q1174">
        <f>IF(AND(ISNUMBER('자료_미국심리'!$G1158),ISNUMBER('자료_미국심리'!$H1158)),'자료_미국심리'!$G1158,"")</f>
        <v/>
      </c>
    </row>
    <row r="1175">
      <c r="A1175" s="10">
        <f>IF(1157&gt;$E$5,"",SMALL($O$19:$O$4018,$E$6+1157))</f>
        <v/>
      </c>
      <c r="B1175" s="29">
        <f>IF(A1175="","",INDEX('자료_미국심리'!$B$3:$B$4002,MATCH(A1175,$O$19:$O$4018,0)))</f>
        <v/>
      </c>
      <c r="C1175" s="22">
        <f>IF(A1175="","",B1175/AVERAGE(B1051:B1175)-1)</f>
        <v/>
      </c>
      <c r="D1175" s="29">
        <f>IF(A1175="","",IFERROR(INDEX('자료_미국심리'!$E$3:$E$4002,MATCH(A1175,$P$19:$P$4018,0)),D1174))</f>
        <v/>
      </c>
      <c r="E1175" s="29">
        <f>IF(A1175="","",IFERROR(INDEX('자료_미국심리'!$H$3:$H$4002,MATCH(A1175,$Q$19:$Q$4018,0)),E1174))</f>
        <v/>
      </c>
      <c r="F1175">
        <f>IF(A1175="",0,IF(A1175&gt;$B$5,1,0))</f>
        <v/>
      </c>
      <c r="G1175" s="29">
        <f>IF(AND(F1175=1,ISNUMBER(D1175)),D1175,"")</f>
        <v/>
      </c>
      <c r="H1175" s="29">
        <f>IF(AND(F1175=1,ISNUMBER(E1175)),E1175,"")</f>
        <v/>
      </c>
      <c r="I1175" s="22">
        <f>IF(AND(F1175=1,ISNUMBER(C1175)),C1175,"")</f>
        <v/>
      </c>
      <c r="J1175" s="11">
        <f>IF(G1175="","",100-IF($G$13=1,50,(_xlfn.RANK.AVG(G1175,$G$19:$G$1518,1)-1)/($G$13-1)*100))</f>
        <v/>
      </c>
      <c r="K1175" s="11">
        <f>IF(H1175="","",100-IF($G$14=1,50,(_xlfn.RANK.AVG(H1175,$H$19:$H$1518,1)-1)/($G$14-1)*100))</f>
        <v/>
      </c>
      <c r="L1175" s="11">
        <f>IF(I1175="","",IF($G$15=1,50,(_xlfn.RANK.AVG(I1175,$I$19:$I$1518,1)-1)/($G$15-1)*100))</f>
        <v/>
      </c>
      <c r="M1175" s="11">
        <f>IF(COUNT(J1175:L1175)=3,ROUND(AVERAGE(J1175:L1175),6),"")</f>
        <v/>
      </c>
      <c r="O1175">
        <f>IF(AND(ISNUMBER('자료_미국심리'!$A1159),ISNUMBER('자료_미국심리'!$B1159)),'자료_미국심리'!$A1159,"")</f>
        <v/>
      </c>
      <c r="P1175">
        <f>IF(AND(ISNUMBER('자료_미국심리'!$D1159),ISNUMBER('자료_미국심리'!$E1159)),'자료_미국심리'!$D1159,"")</f>
        <v/>
      </c>
      <c r="Q1175">
        <f>IF(AND(ISNUMBER('자료_미국심리'!$G1159),ISNUMBER('자료_미국심리'!$H1159)),'자료_미국심리'!$G1159,"")</f>
        <v/>
      </c>
    </row>
    <row r="1176">
      <c r="A1176" s="10">
        <f>IF(1158&gt;$E$5,"",SMALL($O$19:$O$4018,$E$6+1158))</f>
        <v/>
      </c>
      <c r="B1176" s="29">
        <f>IF(A1176="","",INDEX('자료_미국심리'!$B$3:$B$4002,MATCH(A1176,$O$19:$O$4018,0)))</f>
        <v/>
      </c>
      <c r="C1176" s="22">
        <f>IF(A1176="","",B1176/AVERAGE(B1052:B1176)-1)</f>
        <v/>
      </c>
      <c r="D1176" s="29">
        <f>IF(A1176="","",IFERROR(INDEX('자료_미국심리'!$E$3:$E$4002,MATCH(A1176,$P$19:$P$4018,0)),D1175))</f>
        <v/>
      </c>
      <c r="E1176" s="29">
        <f>IF(A1176="","",IFERROR(INDEX('자료_미국심리'!$H$3:$H$4002,MATCH(A1176,$Q$19:$Q$4018,0)),E1175))</f>
        <v/>
      </c>
      <c r="F1176">
        <f>IF(A1176="",0,IF(A1176&gt;$B$5,1,0))</f>
        <v/>
      </c>
      <c r="G1176" s="29">
        <f>IF(AND(F1176=1,ISNUMBER(D1176)),D1176,"")</f>
        <v/>
      </c>
      <c r="H1176" s="29">
        <f>IF(AND(F1176=1,ISNUMBER(E1176)),E1176,"")</f>
        <v/>
      </c>
      <c r="I1176" s="22">
        <f>IF(AND(F1176=1,ISNUMBER(C1176)),C1176,"")</f>
        <v/>
      </c>
      <c r="J1176" s="11">
        <f>IF(G1176="","",100-IF($G$13=1,50,(_xlfn.RANK.AVG(G1176,$G$19:$G$1518,1)-1)/($G$13-1)*100))</f>
        <v/>
      </c>
      <c r="K1176" s="11">
        <f>IF(H1176="","",100-IF($G$14=1,50,(_xlfn.RANK.AVG(H1176,$H$19:$H$1518,1)-1)/($G$14-1)*100))</f>
        <v/>
      </c>
      <c r="L1176" s="11">
        <f>IF(I1176="","",IF($G$15=1,50,(_xlfn.RANK.AVG(I1176,$I$19:$I$1518,1)-1)/($G$15-1)*100))</f>
        <v/>
      </c>
      <c r="M1176" s="11">
        <f>IF(COUNT(J1176:L1176)=3,ROUND(AVERAGE(J1176:L1176),6),"")</f>
        <v/>
      </c>
      <c r="O1176">
        <f>IF(AND(ISNUMBER('자료_미국심리'!$A1160),ISNUMBER('자료_미국심리'!$B1160)),'자료_미국심리'!$A1160,"")</f>
        <v/>
      </c>
      <c r="P1176">
        <f>IF(AND(ISNUMBER('자료_미국심리'!$D1160),ISNUMBER('자료_미국심리'!$E1160)),'자료_미국심리'!$D1160,"")</f>
        <v/>
      </c>
      <c r="Q1176">
        <f>IF(AND(ISNUMBER('자료_미국심리'!$G1160),ISNUMBER('자료_미국심리'!$H1160)),'자료_미국심리'!$G1160,"")</f>
        <v/>
      </c>
    </row>
    <row r="1177">
      <c r="A1177" s="10">
        <f>IF(1159&gt;$E$5,"",SMALL($O$19:$O$4018,$E$6+1159))</f>
        <v/>
      </c>
      <c r="B1177" s="29">
        <f>IF(A1177="","",INDEX('자료_미국심리'!$B$3:$B$4002,MATCH(A1177,$O$19:$O$4018,0)))</f>
        <v/>
      </c>
      <c r="C1177" s="22">
        <f>IF(A1177="","",B1177/AVERAGE(B1053:B1177)-1)</f>
        <v/>
      </c>
      <c r="D1177" s="29">
        <f>IF(A1177="","",IFERROR(INDEX('자료_미국심리'!$E$3:$E$4002,MATCH(A1177,$P$19:$P$4018,0)),D1176))</f>
        <v/>
      </c>
      <c r="E1177" s="29">
        <f>IF(A1177="","",IFERROR(INDEX('자료_미국심리'!$H$3:$H$4002,MATCH(A1177,$Q$19:$Q$4018,0)),E1176))</f>
        <v/>
      </c>
      <c r="F1177">
        <f>IF(A1177="",0,IF(A1177&gt;$B$5,1,0))</f>
        <v/>
      </c>
      <c r="G1177" s="29">
        <f>IF(AND(F1177=1,ISNUMBER(D1177)),D1177,"")</f>
        <v/>
      </c>
      <c r="H1177" s="29">
        <f>IF(AND(F1177=1,ISNUMBER(E1177)),E1177,"")</f>
        <v/>
      </c>
      <c r="I1177" s="22">
        <f>IF(AND(F1177=1,ISNUMBER(C1177)),C1177,"")</f>
        <v/>
      </c>
      <c r="J1177" s="11">
        <f>IF(G1177="","",100-IF($G$13=1,50,(_xlfn.RANK.AVG(G1177,$G$19:$G$1518,1)-1)/($G$13-1)*100))</f>
        <v/>
      </c>
      <c r="K1177" s="11">
        <f>IF(H1177="","",100-IF($G$14=1,50,(_xlfn.RANK.AVG(H1177,$H$19:$H$1518,1)-1)/($G$14-1)*100))</f>
        <v/>
      </c>
      <c r="L1177" s="11">
        <f>IF(I1177="","",IF($G$15=1,50,(_xlfn.RANK.AVG(I1177,$I$19:$I$1518,1)-1)/($G$15-1)*100))</f>
        <v/>
      </c>
      <c r="M1177" s="11">
        <f>IF(COUNT(J1177:L1177)=3,ROUND(AVERAGE(J1177:L1177),6),"")</f>
        <v/>
      </c>
      <c r="O1177">
        <f>IF(AND(ISNUMBER('자료_미국심리'!$A1161),ISNUMBER('자료_미국심리'!$B1161)),'자료_미국심리'!$A1161,"")</f>
        <v/>
      </c>
      <c r="P1177">
        <f>IF(AND(ISNUMBER('자료_미국심리'!$D1161),ISNUMBER('자료_미국심리'!$E1161)),'자료_미국심리'!$D1161,"")</f>
        <v/>
      </c>
      <c r="Q1177">
        <f>IF(AND(ISNUMBER('자료_미국심리'!$G1161),ISNUMBER('자료_미국심리'!$H1161)),'자료_미국심리'!$G1161,"")</f>
        <v/>
      </c>
    </row>
    <row r="1178">
      <c r="A1178" s="10">
        <f>IF(1160&gt;$E$5,"",SMALL($O$19:$O$4018,$E$6+1160))</f>
        <v/>
      </c>
      <c r="B1178" s="29">
        <f>IF(A1178="","",INDEX('자료_미국심리'!$B$3:$B$4002,MATCH(A1178,$O$19:$O$4018,0)))</f>
        <v/>
      </c>
      <c r="C1178" s="22">
        <f>IF(A1178="","",B1178/AVERAGE(B1054:B1178)-1)</f>
        <v/>
      </c>
      <c r="D1178" s="29">
        <f>IF(A1178="","",IFERROR(INDEX('자료_미국심리'!$E$3:$E$4002,MATCH(A1178,$P$19:$P$4018,0)),D1177))</f>
        <v/>
      </c>
      <c r="E1178" s="29">
        <f>IF(A1178="","",IFERROR(INDEX('자료_미국심리'!$H$3:$H$4002,MATCH(A1178,$Q$19:$Q$4018,0)),E1177))</f>
        <v/>
      </c>
      <c r="F1178">
        <f>IF(A1178="",0,IF(A1178&gt;$B$5,1,0))</f>
        <v/>
      </c>
      <c r="G1178" s="29">
        <f>IF(AND(F1178=1,ISNUMBER(D1178)),D1178,"")</f>
        <v/>
      </c>
      <c r="H1178" s="29">
        <f>IF(AND(F1178=1,ISNUMBER(E1178)),E1178,"")</f>
        <v/>
      </c>
      <c r="I1178" s="22">
        <f>IF(AND(F1178=1,ISNUMBER(C1178)),C1178,"")</f>
        <v/>
      </c>
      <c r="J1178" s="11">
        <f>IF(G1178="","",100-IF($G$13=1,50,(_xlfn.RANK.AVG(G1178,$G$19:$G$1518,1)-1)/($G$13-1)*100))</f>
        <v/>
      </c>
      <c r="K1178" s="11">
        <f>IF(H1178="","",100-IF($G$14=1,50,(_xlfn.RANK.AVG(H1178,$H$19:$H$1518,1)-1)/($G$14-1)*100))</f>
        <v/>
      </c>
      <c r="L1178" s="11">
        <f>IF(I1178="","",IF($G$15=1,50,(_xlfn.RANK.AVG(I1178,$I$19:$I$1518,1)-1)/($G$15-1)*100))</f>
        <v/>
      </c>
      <c r="M1178" s="11">
        <f>IF(COUNT(J1178:L1178)=3,ROUND(AVERAGE(J1178:L1178),6),"")</f>
        <v/>
      </c>
      <c r="O1178">
        <f>IF(AND(ISNUMBER('자료_미국심리'!$A1162),ISNUMBER('자료_미국심리'!$B1162)),'자료_미국심리'!$A1162,"")</f>
        <v/>
      </c>
      <c r="P1178">
        <f>IF(AND(ISNUMBER('자료_미국심리'!$D1162),ISNUMBER('자료_미국심리'!$E1162)),'자료_미국심리'!$D1162,"")</f>
        <v/>
      </c>
      <c r="Q1178">
        <f>IF(AND(ISNUMBER('자료_미국심리'!$G1162),ISNUMBER('자료_미국심리'!$H1162)),'자료_미국심리'!$G1162,"")</f>
        <v/>
      </c>
    </row>
    <row r="1179">
      <c r="A1179" s="10">
        <f>IF(1161&gt;$E$5,"",SMALL($O$19:$O$4018,$E$6+1161))</f>
        <v/>
      </c>
      <c r="B1179" s="29">
        <f>IF(A1179="","",INDEX('자료_미국심리'!$B$3:$B$4002,MATCH(A1179,$O$19:$O$4018,0)))</f>
        <v/>
      </c>
      <c r="C1179" s="22">
        <f>IF(A1179="","",B1179/AVERAGE(B1055:B1179)-1)</f>
        <v/>
      </c>
      <c r="D1179" s="29">
        <f>IF(A1179="","",IFERROR(INDEX('자료_미국심리'!$E$3:$E$4002,MATCH(A1179,$P$19:$P$4018,0)),D1178))</f>
        <v/>
      </c>
      <c r="E1179" s="29">
        <f>IF(A1179="","",IFERROR(INDEX('자료_미국심리'!$H$3:$H$4002,MATCH(A1179,$Q$19:$Q$4018,0)),E1178))</f>
        <v/>
      </c>
      <c r="F1179">
        <f>IF(A1179="",0,IF(A1179&gt;$B$5,1,0))</f>
        <v/>
      </c>
      <c r="G1179" s="29">
        <f>IF(AND(F1179=1,ISNUMBER(D1179)),D1179,"")</f>
        <v/>
      </c>
      <c r="H1179" s="29">
        <f>IF(AND(F1179=1,ISNUMBER(E1179)),E1179,"")</f>
        <v/>
      </c>
      <c r="I1179" s="22">
        <f>IF(AND(F1179=1,ISNUMBER(C1179)),C1179,"")</f>
        <v/>
      </c>
      <c r="J1179" s="11">
        <f>IF(G1179="","",100-IF($G$13=1,50,(_xlfn.RANK.AVG(G1179,$G$19:$G$1518,1)-1)/($G$13-1)*100))</f>
        <v/>
      </c>
      <c r="K1179" s="11">
        <f>IF(H1179="","",100-IF($G$14=1,50,(_xlfn.RANK.AVG(H1179,$H$19:$H$1518,1)-1)/($G$14-1)*100))</f>
        <v/>
      </c>
      <c r="L1179" s="11">
        <f>IF(I1179="","",IF($G$15=1,50,(_xlfn.RANK.AVG(I1179,$I$19:$I$1518,1)-1)/($G$15-1)*100))</f>
        <v/>
      </c>
      <c r="M1179" s="11">
        <f>IF(COUNT(J1179:L1179)=3,ROUND(AVERAGE(J1179:L1179),6),"")</f>
        <v/>
      </c>
      <c r="O1179">
        <f>IF(AND(ISNUMBER('자료_미국심리'!$A1163),ISNUMBER('자료_미국심리'!$B1163)),'자료_미국심리'!$A1163,"")</f>
        <v/>
      </c>
      <c r="P1179">
        <f>IF(AND(ISNUMBER('자료_미국심리'!$D1163),ISNUMBER('자료_미국심리'!$E1163)),'자료_미국심리'!$D1163,"")</f>
        <v/>
      </c>
      <c r="Q1179">
        <f>IF(AND(ISNUMBER('자료_미국심리'!$G1163),ISNUMBER('자료_미국심리'!$H1163)),'자료_미국심리'!$G1163,"")</f>
        <v/>
      </c>
    </row>
    <row r="1180">
      <c r="A1180" s="10">
        <f>IF(1162&gt;$E$5,"",SMALL($O$19:$O$4018,$E$6+1162))</f>
        <v/>
      </c>
      <c r="B1180" s="29">
        <f>IF(A1180="","",INDEX('자료_미국심리'!$B$3:$B$4002,MATCH(A1180,$O$19:$O$4018,0)))</f>
        <v/>
      </c>
      <c r="C1180" s="22">
        <f>IF(A1180="","",B1180/AVERAGE(B1056:B1180)-1)</f>
        <v/>
      </c>
      <c r="D1180" s="29">
        <f>IF(A1180="","",IFERROR(INDEX('자료_미국심리'!$E$3:$E$4002,MATCH(A1180,$P$19:$P$4018,0)),D1179))</f>
        <v/>
      </c>
      <c r="E1180" s="29">
        <f>IF(A1180="","",IFERROR(INDEX('자료_미국심리'!$H$3:$H$4002,MATCH(A1180,$Q$19:$Q$4018,0)),E1179))</f>
        <v/>
      </c>
      <c r="F1180">
        <f>IF(A1180="",0,IF(A1180&gt;$B$5,1,0))</f>
        <v/>
      </c>
      <c r="G1180" s="29">
        <f>IF(AND(F1180=1,ISNUMBER(D1180)),D1180,"")</f>
        <v/>
      </c>
      <c r="H1180" s="29">
        <f>IF(AND(F1180=1,ISNUMBER(E1180)),E1180,"")</f>
        <v/>
      </c>
      <c r="I1180" s="22">
        <f>IF(AND(F1180=1,ISNUMBER(C1180)),C1180,"")</f>
        <v/>
      </c>
      <c r="J1180" s="11">
        <f>IF(G1180="","",100-IF($G$13=1,50,(_xlfn.RANK.AVG(G1180,$G$19:$G$1518,1)-1)/($G$13-1)*100))</f>
        <v/>
      </c>
      <c r="K1180" s="11">
        <f>IF(H1180="","",100-IF($G$14=1,50,(_xlfn.RANK.AVG(H1180,$H$19:$H$1518,1)-1)/($G$14-1)*100))</f>
        <v/>
      </c>
      <c r="L1180" s="11">
        <f>IF(I1180="","",IF($G$15=1,50,(_xlfn.RANK.AVG(I1180,$I$19:$I$1518,1)-1)/($G$15-1)*100))</f>
        <v/>
      </c>
      <c r="M1180" s="11">
        <f>IF(COUNT(J1180:L1180)=3,ROUND(AVERAGE(J1180:L1180),6),"")</f>
        <v/>
      </c>
      <c r="O1180">
        <f>IF(AND(ISNUMBER('자료_미국심리'!$A1164),ISNUMBER('자료_미국심리'!$B1164)),'자료_미국심리'!$A1164,"")</f>
        <v/>
      </c>
      <c r="P1180">
        <f>IF(AND(ISNUMBER('자료_미국심리'!$D1164),ISNUMBER('자료_미국심리'!$E1164)),'자료_미국심리'!$D1164,"")</f>
        <v/>
      </c>
      <c r="Q1180">
        <f>IF(AND(ISNUMBER('자료_미국심리'!$G1164),ISNUMBER('자료_미국심리'!$H1164)),'자료_미국심리'!$G1164,"")</f>
        <v/>
      </c>
    </row>
    <row r="1181">
      <c r="A1181" s="10">
        <f>IF(1163&gt;$E$5,"",SMALL($O$19:$O$4018,$E$6+1163))</f>
        <v/>
      </c>
      <c r="B1181" s="29">
        <f>IF(A1181="","",INDEX('자료_미국심리'!$B$3:$B$4002,MATCH(A1181,$O$19:$O$4018,0)))</f>
        <v/>
      </c>
      <c r="C1181" s="22">
        <f>IF(A1181="","",B1181/AVERAGE(B1057:B1181)-1)</f>
        <v/>
      </c>
      <c r="D1181" s="29">
        <f>IF(A1181="","",IFERROR(INDEX('자료_미국심리'!$E$3:$E$4002,MATCH(A1181,$P$19:$P$4018,0)),D1180))</f>
        <v/>
      </c>
      <c r="E1181" s="29">
        <f>IF(A1181="","",IFERROR(INDEX('자료_미국심리'!$H$3:$H$4002,MATCH(A1181,$Q$19:$Q$4018,0)),E1180))</f>
        <v/>
      </c>
      <c r="F1181">
        <f>IF(A1181="",0,IF(A1181&gt;$B$5,1,0))</f>
        <v/>
      </c>
      <c r="G1181" s="29">
        <f>IF(AND(F1181=1,ISNUMBER(D1181)),D1181,"")</f>
        <v/>
      </c>
      <c r="H1181" s="29">
        <f>IF(AND(F1181=1,ISNUMBER(E1181)),E1181,"")</f>
        <v/>
      </c>
      <c r="I1181" s="22">
        <f>IF(AND(F1181=1,ISNUMBER(C1181)),C1181,"")</f>
        <v/>
      </c>
      <c r="J1181" s="11">
        <f>IF(G1181="","",100-IF($G$13=1,50,(_xlfn.RANK.AVG(G1181,$G$19:$G$1518,1)-1)/($G$13-1)*100))</f>
        <v/>
      </c>
      <c r="K1181" s="11">
        <f>IF(H1181="","",100-IF($G$14=1,50,(_xlfn.RANK.AVG(H1181,$H$19:$H$1518,1)-1)/($G$14-1)*100))</f>
        <v/>
      </c>
      <c r="L1181" s="11">
        <f>IF(I1181="","",IF($G$15=1,50,(_xlfn.RANK.AVG(I1181,$I$19:$I$1518,1)-1)/($G$15-1)*100))</f>
        <v/>
      </c>
      <c r="M1181" s="11">
        <f>IF(COUNT(J1181:L1181)=3,ROUND(AVERAGE(J1181:L1181),6),"")</f>
        <v/>
      </c>
      <c r="O1181">
        <f>IF(AND(ISNUMBER('자료_미국심리'!$A1165),ISNUMBER('자료_미국심리'!$B1165)),'자료_미국심리'!$A1165,"")</f>
        <v/>
      </c>
      <c r="P1181">
        <f>IF(AND(ISNUMBER('자료_미국심리'!$D1165),ISNUMBER('자료_미국심리'!$E1165)),'자료_미국심리'!$D1165,"")</f>
        <v/>
      </c>
      <c r="Q1181">
        <f>IF(AND(ISNUMBER('자료_미국심리'!$G1165),ISNUMBER('자료_미국심리'!$H1165)),'자료_미국심리'!$G1165,"")</f>
        <v/>
      </c>
    </row>
    <row r="1182">
      <c r="A1182" s="10">
        <f>IF(1164&gt;$E$5,"",SMALL($O$19:$O$4018,$E$6+1164))</f>
        <v/>
      </c>
      <c r="B1182" s="29">
        <f>IF(A1182="","",INDEX('자료_미국심리'!$B$3:$B$4002,MATCH(A1182,$O$19:$O$4018,0)))</f>
        <v/>
      </c>
      <c r="C1182" s="22">
        <f>IF(A1182="","",B1182/AVERAGE(B1058:B1182)-1)</f>
        <v/>
      </c>
      <c r="D1182" s="29">
        <f>IF(A1182="","",IFERROR(INDEX('자료_미국심리'!$E$3:$E$4002,MATCH(A1182,$P$19:$P$4018,0)),D1181))</f>
        <v/>
      </c>
      <c r="E1182" s="29">
        <f>IF(A1182="","",IFERROR(INDEX('자료_미국심리'!$H$3:$H$4002,MATCH(A1182,$Q$19:$Q$4018,0)),E1181))</f>
        <v/>
      </c>
      <c r="F1182">
        <f>IF(A1182="",0,IF(A1182&gt;$B$5,1,0))</f>
        <v/>
      </c>
      <c r="G1182" s="29">
        <f>IF(AND(F1182=1,ISNUMBER(D1182)),D1182,"")</f>
        <v/>
      </c>
      <c r="H1182" s="29">
        <f>IF(AND(F1182=1,ISNUMBER(E1182)),E1182,"")</f>
        <v/>
      </c>
      <c r="I1182" s="22">
        <f>IF(AND(F1182=1,ISNUMBER(C1182)),C1182,"")</f>
        <v/>
      </c>
      <c r="J1182" s="11">
        <f>IF(G1182="","",100-IF($G$13=1,50,(_xlfn.RANK.AVG(G1182,$G$19:$G$1518,1)-1)/($G$13-1)*100))</f>
        <v/>
      </c>
      <c r="K1182" s="11">
        <f>IF(H1182="","",100-IF($G$14=1,50,(_xlfn.RANK.AVG(H1182,$H$19:$H$1518,1)-1)/($G$14-1)*100))</f>
        <v/>
      </c>
      <c r="L1182" s="11">
        <f>IF(I1182="","",IF($G$15=1,50,(_xlfn.RANK.AVG(I1182,$I$19:$I$1518,1)-1)/($G$15-1)*100))</f>
        <v/>
      </c>
      <c r="M1182" s="11">
        <f>IF(COUNT(J1182:L1182)=3,ROUND(AVERAGE(J1182:L1182),6),"")</f>
        <v/>
      </c>
      <c r="O1182">
        <f>IF(AND(ISNUMBER('자료_미국심리'!$A1166),ISNUMBER('자료_미국심리'!$B1166)),'자료_미국심리'!$A1166,"")</f>
        <v/>
      </c>
      <c r="P1182">
        <f>IF(AND(ISNUMBER('자료_미국심리'!$D1166),ISNUMBER('자료_미국심리'!$E1166)),'자료_미국심리'!$D1166,"")</f>
        <v/>
      </c>
      <c r="Q1182">
        <f>IF(AND(ISNUMBER('자료_미국심리'!$G1166),ISNUMBER('자료_미국심리'!$H1166)),'자료_미국심리'!$G1166,"")</f>
        <v/>
      </c>
    </row>
    <row r="1183">
      <c r="A1183" s="10">
        <f>IF(1165&gt;$E$5,"",SMALL($O$19:$O$4018,$E$6+1165))</f>
        <v/>
      </c>
      <c r="B1183" s="29">
        <f>IF(A1183="","",INDEX('자료_미국심리'!$B$3:$B$4002,MATCH(A1183,$O$19:$O$4018,0)))</f>
        <v/>
      </c>
      <c r="C1183" s="22">
        <f>IF(A1183="","",B1183/AVERAGE(B1059:B1183)-1)</f>
        <v/>
      </c>
      <c r="D1183" s="29">
        <f>IF(A1183="","",IFERROR(INDEX('자료_미국심리'!$E$3:$E$4002,MATCH(A1183,$P$19:$P$4018,0)),D1182))</f>
        <v/>
      </c>
      <c r="E1183" s="29">
        <f>IF(A1183="","",IFERROR(INDEX('자료_미국심리'!$H$3:$H$4002,MATCH(A1183,$Q$19:$Q$4018,0)),E1182))</f>
        <v/>
      </c>
      <c r="F1183">
        <f>IF(A1183="",0,IF(A1183&gt;$B$5,1,0))</f>
        <v/>
      </c>
      <c r="G1183" s="29">
        <f>IF(AND(F1183=1,ISNUMBER(D1183)),D1183,"")</f>
        <v/>
      </c>
      <c r="H1183" s="29">
        <f>IF(AND(F1183=1,ISNUMBER(E1183)),E1183,"")</f>
        <v/>
      </c>
      <c r="I1183" s="22">
        <f>IF(AND(F1183=1,ISNUMBER(C1183)),C1183,"")</f>
        <v/>
      </c>
      <c r="J1183" s="11">
        <f>IF(G1183="","",100-IF($G$13=1,50,(_xlfn.RANK.AVG(G1183,$G$19:$G$1518,1)-1)/($G$13-1)*100))</f>
        <v/>
      </c>
      <c r="K1183" s="11">
        <f>IF(H1183="","",100-IF($G$14=1,50,(_xlfn.RANK.AVG(H1183,$H$19:$H$1518,1)-1)/($G$14-1)*100))</f>
        <v/>
      </c>
      <c r="L1183" s="11">
        <f>IF(I1183="","",IF($G$15=1,50,(_xlfn.RANK.AVG(I1183,$I$19:$I$1518,1)-1)/($G$15-1)*100))</f>
        <v/>
      </c>
      <c r="M1183" s="11">
        <f>IF(COUNT(J1183:L1183)=3,ROUND(AVERAGE(J1183:L1183),6),"")</f>
        <v/>
      </c>
      <c r="O1183">
        <f>IF(AND(ISNUMBER('자료_미국심리'!$A1167),ISNUMBER('자료_미국심리'!$B1167)),'자료_미국심리'!$A1167,"")</f>
        <v/>
      </c>
      <c r="P1183">
        <f>IF(AND(ISNUMBER('자료_미국심리'!$D1167),ISNUMBER('자료_미국심리'!$E1167)),'자료_미국심리'!$D1167,"")</f>
        <v/>
      </c>
      <c r="Q1183">
        <f>IF(AND(ISNUMBER('자료_미국심리'!$G1167),ISNUMBER('자료_미국심리'!$H1167)),'자료_미국심리'!$G1167,"")</f>
        <v/>
      </c>
    </row>
    <row r="1184">
      <c r="A1184" s="10">
        <f>IF(1166&gt;$E$5,"",SMALL($O$19:$O$4018,$E$6+1166))</f>
        <v/>
      </c>
      <c r="B1184" s="29">
        <f>IF(A1184="","",INDEX('자료_미국심리'!$B$3:$B$4002,MATCH(A1184,$O$19:$O$4018,0)))</f>
        <v/>
      </c>
      <c r="C1184" s="22">
        <f>IF(A1184="","",B1184/AVERAGE(B1060:B1184)-1)</f>
        <v/>
      </c>
      <c r="D1184" s="29">
        <f>IF(A1184="","",IFERROR(INDEX('자료_미국심리'!$E$3:$E$4002,MATCH(A1184,$P$19:$P$4018,0)),D1183))</f>
        <v/>
      </c>
      <c r="E1184" s="29">
        <f>IF(A1184="","",IFERROR(INDEX('자료_미국심리'!$H$3:$H$4002,MATCH(A1184,$Q$19:$Q$4018,0)),E1183))</f>
        <v/>
      </c>
      <c r="F1184">
        <f>IF(A1184="",0,IF(A1184&gt;$B$5,1,0))</f>
        <v/>
      </c>
      <c r="G1184" s="29">
        <f>IF(AND(F1184=1,ISNUMBER(D1184)),D1184,"")</f>
        <v/>
      </c>
      <c r="H1184" s="29">
        <f>IF(AND(F1184=1,ISNUMBER(E1184)),E1184,"")</f>
        <v/>
      </c>
      <c r="I1184" s="22">
        <f>IF(AND(F1184=1,ISNUMBER(C1184)),C1184,"")</f>
        <v/>
      </c>
      <c r="J1184" s="11">
        <f>IF(G1184="","",100-IF($G$13=1,50,(_xlfn.RANK.AVG(G1184,$G$19:$G$1518,1)-1)/($G$13-1)*100))</f>
        <v/>
      </c>
      <c r="K1184" s="11">
        <f>IF(H1184="","",100-IF($G$14=1,50,(_xlfn.RANK.AVG(H1184,$H$19:$H$1518,1)-1)/($G$14-1)*100))</f>
        <v/>
      </c>
      <c r="L1184" s="11">
        <f>IF(I1184="","",IF($G$15=1,50,(_xlfn.RANK.AVG(I1184,$I$19:$I$1518,1)-1)/($G$15-1)*100))</f>
        <v/>
      </c>
      <c r="M1184" s="11">
        <f>IF(COUNT(J1184:L1184)=3,ROUND(AVERAGE(J1184:L1184),6),"")</f>
        <v/>
      </c>
      <c r="O1184">
        <f>IF(AND(ISNUMBER('자료_미국심리'!$A1168),ISNUMBER('자료_미국심리'!$B1168)),'자료_미국심리'!$A1168,"")</f>
        <v/>
      </c>
      <c r="P1184">
        <f>IF(AND(ISNUMBER('자료_미국심리'!$D1168),ISNUMBER('자료_미국심리'!$E1168)),'자료_미국심리'!$D1168,"")</f>
        <v/>
      </c>
      <c r="Q1184">
        <f>IF(AND(ISNUMBER('자료_미국심리'!$G1168),ISNUMBER('자료_미국심리'!$H1168)),'자료_미국심리'!$G1168,"")</f>
        <v/>
      </c>
    </row>
    <row r="1185">
      <c r="A1185" s="10">
        <f>IF(1167&gt;$E$5,"",SMALL($O$19:$O$4018,$E$6+1167))</f>
        <v/>
      </c>
      <c r="B1185" s="29">
        <f>IF(A1185="","",INDEX('자료_미국심리'!$B$3:$B$4002,MATCH(A1185,$O$19:$O$4018,0)))</f>
        <v/>
      </c>
      <c r="C1185" s="22">
        <f>IF(A1185="","",B1185/AVERAGE(B1061:B1185)-1)</f>
        <v/>
      </c>
      <c r="D1185" s="29">
        <f>IF(A1185="","",IFERROR(INDEX('자료_미국심리'!$E$3:$E$4002,MATCH(A1185,$P$19:$P$4018,0)),D1184))</f>
        <v/>
      </c>
      <c r="E1185" s="29">
        <f>IF(A1185="","",IFERROR(INDEX('자료_미국심리'!$H$3:$H$4002,MATCH(A1185,$Q$19:$Q$4018,0)),E1184))</f>
        <v/>
      </c>
      <c r="F1185">
        <f>IF(A1185="",0,IF(A1185&gt;$B$5,1,0))</f>
        <v/>
      </c>
      <c r="G1185" s="29">
        <f>IF(AND(F1185=1,ISNUMBER(D1185)),D1185,"")</f>
        <v/>
      </c>
      <c r="H1185" s="29">
        <f>IF(AND(F1185=1,ISNUMBER(E1185)),E1185,"")</f>
        <v/>
      </c>
      <c r="I1185" s="22">
        <f>IF(AND(F1185=1,ISNUMBER(C1185)),C1185,"")</f>
        <v/>
      </c>
      <c r="J1185" s="11">
        <f>IF(G1185="","",100-IF($G$13=1,50,(_xlfn.RANK.AVG(G1185,$G$19:$G$1518,1)-1)/($G$13-1)*100))</f>
        <v/>
      </c>
      <c r="K1185" s="11">
        <f>IF(H1185="","",100-IF($G$14=1,50,(_xlfn.RANK.AVG(H1185,$H$19:$H$1518,1)-1)/($G$14-1)*100))</f>
        <v/>
      </c>
      <c r="L1185" s="11">
        <f>IF(I1185="","",IF($G$15=1,50,(_xlfn.RANK.AVG(I1185,$I$19:$I$1518,1)-1)/($G$15-1)*100))</f>
        <v/>
      </c>
      <c r="M1185" s="11">
        <f>IF(COUNT(J1185:L1185)=3,ROUND(AVERAGE(J1185:L1185),6),"")</f>
        <v/>
      </c>
      <c r="O1185">
        <f>IF(AND(ISNUMBER('자료_미국심리'!$A1169),ISNUMBER('자료_미국심리'!$B1169)),'자료_미국심리'!$A1169,"")</f>
        <v/>
      </c>
      <c r="P1185">
        <f>IF(AND(ISNUMBER('자료_미국심리'!$D1169),ISNUMBER('자료_미국심리'!$E1169)),'자료_미국심리'!$D1169,"")</f>
        <v/>
      </c>
      <c r="Q1185">
        <f>IF(AND(ISNUMBER('자료_미국심리'!$G1169),ISNUMBER('자료_미국심리'!$H1169)),'자료_미국심리'!$G1169,"")</f>
        <v/>
      </c>
    </row>
    <row r="1186">
      <c r="A1186" s="10">
        <f>IF(1168&gt;$E$5,"",SMALL($O$19:$O$4018,$E$6+1168))</f>
        <v/>
      </c>
      <c r="B1186" s="29">
        <f>IF(A1186="","",INDEX('자료_미국심리'!$B$3:$B$4002,MATCH(A1186,$O$19:$O$4018,0)))</f>
        <v/>
      </c>
      <c r="C1186" s="22">
        <f>IF(A1186="","",B1186/AVERAGE(B1062:B1186)-1)</f>
        <v/>
      </c>
      <c r="D1186" s="29">
        <f>IF(A1186="","",IFERROR(INDEX('자료_미국심리'!$E$3:$E$4002,MATCH(A1186,$P$19:$P$4018,0)),D1185))</f>
        <v/>
      </c>
      <c r="E1186" s="29">
        <f>IF(A1186="","",IFERROR(INDEX('자료_미국심리'!$H$3:$H$4002,MATCH(A1186,$Q$19:$Q$4018,0)),E1185))</f>
        <v/>
      </c>
      <c r="F1186">
        <f>IF(A1186="",0,IF(A1186&gt;$B$5,1,0))</f>
        <v/>
      </c>
      <c r="G1186" s="29">
        <f>IF(AND(F1186=1,ISNUMBER(D1186)),D1186,"")</f>
        <v/>
      </c>
      <c r="H1186" s="29">
        <f>IF(AND(F1186=1,ISNUMBER(E1186)),E1186,"")</f>
        <v/>
      </c>
      <c r="I1186" s="22">
        <f>IF(AND(F1186=1,ISNUMBER(C1186)),C1186,"")</f>
        <v/>
      </c>
      <c r="J1186" s="11">
        <f>IF(G1186="","",100-IF($G$13=1,50,(_xlfn.RANK.AVG(G1186,$G$19:$G$1518,1)-1)/($G$13-1)*100))</f>
        <v/>
      </c>
      <c r="K1186" s="11">
        <f>IF(H1186="","",100-IF($G$14=1,50,(_xlfn.RANK.AVG(H1186,$H$19:$H$1518,1)-1)/($G$14-1)*100))</f>
        <v/>
      </c>
      <c r="L1186" s="11">
        <f>IF(I1186="","",IF($G$15=1,50,(_xlfn.RANK.AVG(I1186,$I$19:$I$1518,1)-1)/($G$15-1)*100))</f>
        <v/>
      </c>
      <c r="M1186" s="11">
        <f>IF(COUNT(J1186:L1186)=3,ROUND(AVERAGE(J1186:L1186),6),"")</f>
        <v/>
      </c>
      <c r="O1186">
        <f>IF(AND(ISNUMBER('자료_미국심리'!$A1170),ISNUMBER('자료_미국심리'!$B1170)),'자료_미국심리'!$A1170,"")</f>
        <v/>
      </c>
      <c r="P1186">
        <f>IF(AND(ISNUMBER('자료_미국심리'!$D1170),ISNUMBER('자료_미국심리'!$E1170)),'자료_미국심리'!$D1170,"")</f>
        <v/>
      </c>
      <c r="Q1186">
        <f>IF(AND(ISNUMBER('자료_미국심리'!$G1170),ISNUMBER('자료_미국심리'!$H1170)),'자료_미국심리'!$G1170,"")</f>
        <v/>
      </c>
    </row>
    <row r="1187">
      <c r="A1187" s="10">
        <f>IF(1169&gt;$E$5,"",SMALL($O$19:$O$4018,$E$6+1169))</f>
        <v/>
      </c>
      <c r="B1187" s="29">
        <f>IF(A1187="","",INDEX('자료_미국심리'!$B$3:$B$4002,MATCH(A1187,$O$19:$O$4018,0)))</f>
        <v/>
      </c>
      <c r="C1187" s="22">
        <f>IF(A1187="","",B1187/AVERAGE(B1063:B1187)-1)</f>
        <v/>
      </c>
      <c r="D1187" s="29">
        <f>IF(A1187="","",IFERROR(INDEX('자료_미국심리'!$E$3:$E$4002,MATCH(A1187,$P$19:$P$4018,0)),D1186))</f>
        <v/>
      </c>
      <c r="E1187" s="29">
        <f>IF(A1187="","",IFERROR(INDEX('자료_미국심리'!$H$3:$H$4002,MATCH(A1187,$Q$19:$Q$4018,0)),E1186))</f>
        <v/>
      </c>
      <c r="F1187">
        <f>IF(A1187="",0,IF(A1187&gt;$B$5,1,0))</f>
        <v/>
      </c>
      <c r="G1187" s="29">
        <f>IF(AND(F1187=1,ISNUMBER(D1187)),D1187,"")</f>
        <v/>
      </c>
      <c r="H1187" s="29">
        <f>IF(AND(F1187=1,ISNUMBER(E1187)),E1187,"")</f>
        <v/>
      </c>
      <c r="I1187" s="22">
        <f>IF(AND(F1187=1,ISNUMBER(C1187)),C1187,"")</f>
        <v/>
      </c>
      <c r="J1187" s="11">
        <f>IF(G1187="","",100-IF($G$13=1,50,(_xlfn.RANK.AVG(G1187,$G$19:$G$1518,1)-1)/($G$13-1)*100))</f>
        <v/>
      </c>
      <c r="K1187" s="11">
        <f>IF(H1187="","",100-IF($G$14=1,50,(_xlfn.RANK.AVG(H1187,$H$19:$H$1518,1)-1)/($G$14-1)*100))</f>
        <v/>
      </c>
      <c r="L1187" s="11">
        <f>IF(I1187="","",IF($G$15=1,50,(_xlfn.RANK.AVG(I1187,$I$19:$I$1518,1)-1)/($G$15-1)*100))</f>
        <v/>
      </c>
      <c r="M1187" s="11">
        <f>IF(COUNT(J1187:L1187)=3,ROUND(AVERAGE(J1187:L1187),6),"")</f>
        <v/>
      </c>
      <c r="O1187">
        <f>IF(AND(ISNUMBER('자료_미국심리'!$A1171),ISNUMBER('자료_미국심리'!$B1171)),'자료_미국심리'!$A1171,"")</f>
        <v/>
      </c>
      <c r="P1187">
        <f>IF(AND(ISNUMBER('자료_미국심리'!$D1171),ISNUMBER('자료_미국심리'!$E1171)),'자료_미국심리'!$D1171,"")</f>
        <v/>
      </c>
      <c r="Q1187">
        <f>IF(AND(ISNUMBER('자료_미국심리'!$G1171),ISNUMBER('자료_미국심리'!$H1171)),'자료_미국심리'!$G1171,"")</f>
        <v/>
      </c>
    </row>
    <row r="1188">
      <c r="A1188" s="10">
        <f>IF(1170&gt;$E$5,"",SMALL($O$19:$O$4018,$E$6+1170))</f>
        <v/>
      </c>
      <c r="B1188" s="29">
        <f>IF(A1188="","",INDEX('자료_미국심리'!$B$3:$B$4002,MATCH(A1188,$O$19:$O$4018,0)))</f>
        <v/>
      </c>
      <c r="C1188" s="22">
        <f>IF(A1188="","",B1188/AVERAGE(B1064:B1188)-1)</f>
        <v/>
      </c>
      <c r="D1188" s="29">
        <f>IF(A1188="","",IFERROR(INDEX('자료_미국심리'!$E$3:$E$4002,MATCH(A1188,$P$19:$P$4018,0)),D1187))</f>
        <v/>
      </c>
      <c r="E1188" s="29">
        <f>IF(A1188="","",IFERROR(INDEX('자료_미국심리'!$H$3:$H$4002,MATCH(A1188,$Q$19:$Q$4018,0)),E1187))</f>
        <v/>
      </c>
      <c r="F1188">
        <f>IF(A1188="",0,IF(A1188&gt;$B$5,1,0))</f>
        <v/>
      </c>
      <c r="G1188" s="29">
        <f>IF(AND(F1188=1,ISNUMBER(D1188)),D1188,"")</f>
        <v/>
      </c>
      <c r="H1188" s="29">
        <f>IF(AND(F1188=1,ISNUMBER(E1188)),E1188,"")</f>
        <v/>
      </c>
      <c r="I1188" s="22">
        <f>IF(AND(F1188=1,ISNUMBER(C1188)),C1188,"")</f>
        <v/>
      </c>
      <c r="J1188" s="11">
        <f>IF(G1188="","",100-IF($G$13=1,50,(_xlfn.RANK.AVG(G1188,$G$19:$G$1518,1)-1)/($G$13-1)*100))</f>
        <v/>
      </c>
      <c r="K1188" s="11">
        <f>IF(H1188="","",100-IF($G$14=1,50,(_xlfn.RANK.AVG(H1188,$H$19:$H$1518,1)-1)/($G$14-1)*100))</f>
        <v/>
      </c>
      <c r="L1188" s="11">
        <f>IF(I1188="","",IF($G$15=1,50,(_xlfn.RANK.AVG(I1188,$I$19:$I$1518,1)-1)/($G$15-1)*100))</f>
        <v/>
      </c>
      <c r="M1188" s="11">
        <f>IF(COUNT(J1188:L1188)=3,ROUND(AVERAGE(J1188:L1188),6),"")</f>
        <v/>
      </c>
      <c r="O1188">
        <f>IF(AND(ISNUMBER('자료_미국심리'!$A1172),ISNUMBER('자료_미국심리'!$B1172)),'자료_미국심리'!$A1172,"")</f>
        <v/>
      </c>
      <c r="P1188">
        <f>IF(AND(ISNUMBER('자료_미국심리'!$D1172),ISNUMBER('자료_미국심리'!$E1172)),'자료_미국심리'!$D1172,"")</f>
        <v/>
      </c>
      <c r="Q1188">
        <f>IF(AND(ISNUMBER('자료_미국심리'!$G1172),ISNUMBER('자료_미국심리'!$H1172)),'자료_미국심리'!$G1172,"")</f>
        <v/>
      </c>
    </row>
    <row r="1189">
      <c r="A1189" s="10">
        <f>IF(1171&gt;$E$5,"",SMALL($O$19:$O$4018,$E$6+1171))</f>
        <v/>
      </c>
      <c r="B1189" s="29">
        <f>IF(A1189="","",INDEX('자료_미국심리'!$B$3:$B$4002,MATCH(A1189,$O$19:$O$4018,0)))</f>
        <v/>
      </c>
      <c r="C1189" s="22">
        <f>IF(A1189="","",B1189/AVERAGE(B1065:B1189)-1)</f>
        <v/>
      </c>
      <c r="D1189" s="29">
        <f>IF(A1189="","",IFERROR(INDEX('자료_미국심리'!$E$3:$E$4002,MATCH(A1189,$P$19:$P$4018,0)),D1188))</f>
        <v/>
      </c>
      <c r="E1189" s="29">
        <f>IF(A1189="","",IFERROR(INDEX('자료_미국심리'!$H$3:$H$4002,MATCH(A1189,$Q$19:$Q$4018,0)),E1188))</f>
        <v/>
      </c>
      <c r="F1189">
        <f>IF(A1189="",0,IF(A1189&gt;$B$5,1,0))</f>
        <v/>
      </c>
      <c r="G1189" s="29">
        <f>IF(AND(F1189=1,ISNUMBER(D1189)),D1189,"")</f>
        <v/>
      </c>
      <c r="H1189" s="29">
        <f>IF(AND(F1189=1,ISNUMBER(E1189)),E1189,"")</f>
        <v/>
      </c>
      <c r="I1189" s="22">
        <f>IF(AND(F1189=1,ISNUMBER(C1189)),C1189,"")</f>
        <v/>
      </c>
      <c r="J1189" s="11">
        <f>IF(G1189="","",100-IF($G$13=1,50,(_xlfn.RANK.AVG(G1189,$G$19:$G$1518,1)-1)/($G$13-1)*100))</f>
        <v/>
      </c>
      <c r="K1189" s="11">
        <f>IF(H1189="","",100-IF($G$14=1,50,(_xlfn.RANK.AVG(H1189,$H$19:$H$1518,1)-1)/($G$14-1)*100))</f>
        <v/>
      </c>
      <c r="L1189" s="11">
        <f>IF(I1189="","",IF($G$15=1,50,(_xlfn.RANK.AVG(I1189,$I$19:$I$1518,1)-1)/($G$15-1)*100))</f>
        <v/>
      </c>
      <c r="M1189" s="11">
        <f>IF(COUNT(J1189:L1189)=3,ROUND(AVERAGE(J1189:L1189),6),"")</f>
        <v/>
      </c>
      <c r="O1189">
        <f>IF(AND(ISNUMBER('자료_미국심리'!$A1173),ISNUMBER('자료_미국심리'!$B1173)),'자료_미국심리'!$A1173,"")</f>
        <v/>
      </c>
      <c r="P1189">
        <f>IF(AND(ISNUMBER('자료_미국심리'!$D1173),ISNUMBER('자료_미국심리'!$E1173)),'자료_미국심리'!$D1173,"")</f>
        <v/>
      </c>
      <c r="Q1189">
        <f>IF(AND(ISNUMBER('자료_미국심리'!$G1173),ISNUMBER('자료_미국심리'!$H1173)),'자료_미국심리'!$G1173,"")</f>
        <v/>
      </c>
    </row>
    <row r="1190">
      <c r="A1190" s="10">
        <f>IF(1172&gt;$E$5,"",SMALL($O$19:$O$4018,$E$6+1172))</f>
        <v/>
      </c>
      <c r="B1190" s="29">
        <f>IF(A1190="","",INDEX('자료_미국심리'!$B$3:$B$4002,MATCH(A1190,$O$19:$O$4018,0)))</f>
        <v/>
      </c>
      <c r="C1190" s="22">
        <f>IF(A1190="","",B1190/AVERAGE(B1066:B1190)-1)</f>
        <v/>
      </c>
      <c r="D1190" s="29">
        <f>IF(A1190="","",IFERROR(INDEX('자료_미국심리'!$E$3:$E$4002,MATCH(A1190,$P$19:$P$4018,0)),D1189))</f>
        <v/>
      </c>
      <c r="E1190" s="29">
        <f>IF(A1190="","",IFERROR(INDEX('자료_미국심리'!$H$3:$H$4002,MATCH(A1190,$Q$19:$Q$4018,0)),E1189))</f>
        <v/>
      </c>
      <c r="F1190">
        <f>IF(A1190="",0,IF(A1190&gt;$B$5,1,0))</f>
        <v/>
      </c>
      <c r="G1190" s="29">
        <f>IF(AND(F1190=1,ISNUMBER(D1190)),D1190,"")</f>
        <v/>
      </c>
      <c r="H1190" s="29">
        <f>IF(AND(F1190=1,ISNUMBER(E1190)),E1190,"")</f>
        <v/>
      </c>
      <c r="I1190" s="22">
        <f>IF(AND(F1190=1,ISNUMBER(C1190)),C1190,"")</f>
        <v/>
      </c>
      <c r="J1190" s="11">
        <f>IF(G1190="","",100-IF($G$13=1,50,(_xlfn.RANK.AVG(G1190,$G$19:$G$1518,1)-1)/($G$13-1)*100))</f>
        <v/>
      </c>
      <c r="K1190" s="11">
        <f>IF(H1190="","",100-IF($G$14=1,50,(_xlfn.RANK.AVG(H1190,$H$19:$H$1518,1)-1)/($G$14-1)*100))</f>
        <v/>
      </c>
      <c r="L1190" s="11">
        <f>IF(I1190="","",IF($G$15=1,50,(_xlfn.RANK.AVG(I1190,$I$19:$I$1518,1)-1)/($G$15-1)*100))</f>
        <v/>
      </c>
      <c r="M1190" s="11">
        <f>IF(COUNT(J1190:L1190)=3,ROUND(AVERAGE(J1190:L1190),6),"")</f>
        <v/>
      </c>
      <c r="O1190">
        <f>IF(AND(ISNUMBER('자료_미국심리'!$A1174),ISNUMBER('자료_미국심리'!$B1174)),'자료_미국심리'!$A1174,"")</f>
        <v/>
      </c>
      <c r="P1190">
        <f>IF(AND(ISNUMBER('자료_미국심리'!$D1174),ISNUMBER('자료_미국심리'!$E1174)),'자료_미국심리'!$D1174,"")</f>
        <v/>
      </c>
      <c r="Q1190">
        <f>IF(AND(ISNUMBER('자료_미국심리'!$G1174),ISNUMBER('자료_미국심리'!$H1174)),'자료_미국심리'!$G1174,"")</f>
        <v/>
      </c>
    </row>
    <row r="1191">
      <c r="A1191" s="10">
        <f>IF(1173&gt;$E$5,"",SMALL($O$19:$O$4018,$E$6+1173))</f>
        <v/>
      </c>
      <c r="B1191" s="29">
        <f>IF(A1191="","",INDEX('자료_미국심리'!$B$3:$B$4002,MATCH(A1191,$O$19:$O$4018,0)))</f>
        <v/>
      </c>
      <c r="C1191" s="22">
        <f>IF(A1191="","",B1191/AVERAGE(B1067:B1191)-1)</f>
        <v/>
      </c>
      <c r="D1191" s="29">
        <f>IF(A1191="","",IFERROR(INDEX('자료_미국심리'!$E$3:$E$4002,MATCH(A1191,$P$19:$P$4018,0)),D1190))</f>
        <v/>
      </c>
      <c r="E1191" s="29">
        <f>IF(A1191="","",IFERROR(INDEX('자료_미국심리'!$H$3:$H$4002,MATCH(A1191,$Q$19:$Q$4018,0)),E1190))</f>
        <v/>
      </c>
      <c r="F1191">
        <f>IF(A1191="",0,IF(A1191&gt;$B$5,1,0))</f>
        <v/>
      </c>
      <c r="G1191" s="29">
        <f>IF(AND(F1191=1,ISNUMBER(D1191)),D1191,"")</f>
        <v/>
      </c>
      <c r="H1191" s="29">
        <f>IF(AND(F1191=1,ISNUMBER(E1191)),E1191,"")</f>
        <v/>
      </c>
      <c r="I1191" s="22">
        <f>IF(AND(F1191=1,ISNUMBER(C1191)),C1191,"")</f>
        <v/>
      </c>
      <c r="J1191" s="11">
        <f>IF(G1191="","",100-IF($G$13=1,50,(_xlfn.RANK.AVG(G1191,$G$19:$G$1518,1)-1)/($G$13-1)*100))</f>
        <v/>
      </c>
      <c r="K1191" s="11">
        <f>IF(H1191="","",100-IF($G$14=1,50,(_xlfn.RANK.AVG(H1191,$H$19:$H$1518,1)-1)/($G$14-1)*100))</f>
        <v/>
      </c>
      <c r="L1191" s="11">
        <f>IF(I1191="","",IF($G$15=1,50,(_xlfn.RANK.AVG(I1191,$I$19:$I$1518,1)-1)/($G$15-1)*100))</f>
        <v/>
      </c>
      <c r="M1191" s="11">
        <f>IF(COUNT(J1191:L1191)=3,ROUND(AVERAGE(J1191:L1191),6),"")</f>
        <v/>
      </c>
      <c r="O1191">
        <f>IF(AND(ISNUMBER('자료_미국심리'!$A1175),ISNUMBER('자료_미국심리'!$B1175)),'자료_미국심리'!$A1175,"")</f>
        <v/>
      </c>
      <c r="P1191">
        <f>IF(AND(ISNUMBER('자료_미국심리'!$D1175),ISNUMBER('자료_미국심리'!$E1175)),'자료_미국심리'!$D1175,"")</f>
        <v/>
      </c>
      <c r="Q1191">
        <f>IF(AND(ISNUMBER('자료_미국심리'!$G1175),ISNUMBER('자료_미국심리'!$H1175)),'자료_미국심리'!$G1175,"")</f>
        <v/>
      </c>
    </row>
    <row r="1192">
      <c r="A1192" s="10">
        <f>IF(1174&gt;$E$5,"",SMALL($O$19:$O$4018,$E$6+1174))</f>
        <v/>
      </c>
      <c r="B1192" s="29">
        <f>IF(A1192="","",INDEX('자료_미국심리'!$B$3:$B$4002,MATCH(A1192,$O$19:$O$4018,0)))</f>
        <v/>
      </c>
      <c r="C1192" s="22">
        <f>IF(A1192="","",B1192/AVERAGE(B1068:B1192)-1)</f>
        <v/>
      </c>
      <c r="D1192" s="29">
        <f>IF(A1192="","",IFERROR(INDEX('자료_미국심리'!$E$3:$E$4002,MATCH(A1192,$P$19:$P$4018,0)),D1191))</f>
        <v/>
      </c>
      <c r="E1192" s="29">
        <f>IF(A1192="","",IFERROR(INDEX('자료_미국심리'!$H$3:$H$4002,MATCH(A1192,$Q$19:$Q$4018,0)),E1191))</f>
        <v/>
      </c>
      <c r="F1192">
        <f>IF(A1192="",0,IF(A1192&gt;$B$5,1,0))</f>
        <v/>
      </c>
      <c r="G1192" s="29">
        <f>IF(AND(F1192=1,ISNUMBER(D1192)),D1192,"")</f>
        <v/>
      </c>
      <c r="H1192" s="29">
        <f>IF(AND(F1192=1,ISNUMBER(E1192)),E1192,"")</f>
        <v/>
      </c>
      <c r="I1192" s="22">
        <f>IF(AND(F1192=1,ISNUMBER(C1192)),C1192,"")</f>
        <v/>
      </c>
      <c r="J1192" s="11">
        <f>IF(G1192="","",100-IF($G$13=1,50,(_xlfn.RANK.AVG(G1192,$G$19:$G$1518,1)-1)/($G$13-1)*100))</f>
        <v/>
      </c>
      <c r="K1192" s="11">
        <f>IF(H1192="","",100-IF($G$14=1,50,(_xlfn.RANK.AVG(H1192,$H$19:$H$1518,1)-1)/($G$14-1)*100))</f>
        <v/>
      </c>
      <c r="L1192" s="11">
        <f>IF(I1192="","",IF($G$15=1,50,(_xlfn.RANK.AVG(I1192,$I$19:$I$1518,1)-1)/($G$15-1)*100))</f>
        <v/>
      </c>
      <c r="M1192" s="11">
        <f>IF(COUNT(J1192:L1192)=3,ROUND(AVERAGE(J1192:L1192),6),"")</f>
        <v/>
      </c>
      <c r="O1192">
        <f>IF(AND(ISNUMBER('자료_미국심리'!$A1176),ISNUMBER('자료_미국심리'!$B1176)),'자료_미국심리'!$A1176,"")</f>
        <v/>
      </c>
      <c r="P1192">
        <f>IF(AND(ISNUMBER('자료_미국심리'!$D1176),ISNUMBER('자료_미국심리'!$E1176)),'자료_미국심리'!$D1176,"")</f>
        <v/>
      </c>
      <c r="Q1192">
        <f>IF(AND(ISNUMBER('자료_미국심리'!$G1176),ISNUMBER('자료_미국심리'!$H1176)),'자료_미국심리'!$G1176,"")</f>
        <v/>
      </c>
    </row>
    <row r="1193">
      <c r="A1193" s="10">
        <f>IF(1175&gt;$E$5,"",SMALL($O$19:$O$4018,$E$6+1175))</f>
        <v/>
      </c>
      <c r="B1193" s="29">
        <f>IF(A1193="","",INDEX('자료_미국심리'!$B$3:$B$4002,MATCH(A1193,$O$19:$O$4018,0)))</f>
        <v/>
      </c>
      <c r="C1193" s="22">
        <f>IF(A1193="","",B1193/AVERAGE(B1069:B1193)-1)</f>
        <v/>
      </c>
      <c r="D1193" s="29">
        <f>IF(A1193="","",IFERROR(INDEX('자료_미국심리'!$E$3:$E$4002,MATCH(A1193,$P$19:$P$4018,0)),D1192))</f>
        <v/>
      </c>
      <c r="E1193" s="29">
        <f>IF(A1193="","",IFERROR(INDEX('자료_미국심리'!$H$3:$H$4002,MATCH(A1193,$Q$19:$Q$4018,0)),E1192))</f>
        <v/>
      </c>
      <c r="F1193">
        <f>IF(A1193="",0,IF(A1193&gt;$B$5,1,0))</f>
        <v/>
      </c>
      <c r="G1193" s="29">
        <f>IF(AND(F1193=1,ISNUMBER(D1193)),D1193,"")</f>
        <v/>
      </c>
      <c r="H1193" s="29">
        <f>IF(AND(F1193=1,ISNUMBER(E1193)),E1193,"")</f>
        <v/>
      </c>
      <c r="I1193" s="22">
        <f>IF(AND(F1193=1,ISNUMBER(C1193)),C1193,"")</f>
        <v/>
      </c>
      <c r="J1193" s="11">
        <f>IF(G1193="","",100-IF($G$13=1,50,(_xlfn.RANK.AVG(G1193,$G$19:$G$1518,1)-1)/($G$13-1)*100))</f>
        <v/>
      </c>
      <c r="K1193" s="11">
        <f>IF(H1193="","",100-IF($G$14=1,50,(_xlfn.RANK.AVG(H1193,$H$19:$H$1518,1)-1)/($G$14-1)*100))</f>
        <v/>
      </c>
      <c r="L1193" s="11">
        <f>IF(I1193="","",IF($G$15=1,50,(_xlfn.RANK.AVG(I1193,$I$19:$I$1518,1)-1)/($G$15-1)*100))</f>
        <v/>
      </c>
      <c r="M1193" s="11">
        <f>IF(COUNT(J1193:L1193)=3,ROUND(AVERAGE(J1193:L1193),6),"")</f>
        <v/>
      </c>
      <c r="O1193">
        <f>IF(AND(ISNUMBER('자료_미국심리'!$A1177),ISNUMBER('자료_미국심리'!$B1177)),'자료_미국심리'!$A1177,"")</f>
        <v/>
      </c>
      <c r="P1193">
        <f>IF(AND(ISNUMBER('자료_미국심리'!$D1177),ISNUMBER('자료_미국심리'!$E1177)),'자료_미국심리'!$D1177,"")</f>
        <v/>
      </c>
      <c r="Q1193">
        <f>IF(AND(ISNUMBER('자료_미국심리'!$G1177),ISNUMBER('자료_미국심리'!$H1177)),'자료_미국심리'!$G1177,"")</f>
        <v/>
      </c>
    </row>
    <row r="1194">
      <c r="A1194" s="10">
        <f>IF(1176&gt;$E$5,"",SMALL($O$19:$O$4018,$E$6+1176))</f>
        <v/>
      </c>
      <c r="B1194" s="29">
        <f>IF(A1194="","",INDEX('자료_미국심리'!$B$3:$B$4002,MATCH(A1194,$O$19:$O$4018,0)))</f>
        <v/>
      </c>
      <c r="C1194" s="22">
        <f>IF(A1194="","",B1194/AVERAGE(B1070:B1194)-1)</f>
        <v/>
      </c>
      <c r="D1194" s="29">
        <f>IF(A1194="","",IFERROR(INDEX('자료_미국심리'!$E$3:$E$4002,MATCH(A1194,$P$19:$P$4018,0)),D1193))</f>
        <v/>
      </c>
      <c r="E1194" s="29">
        <f>IF(A1194="","",IFERROR(INDEX('자료_미국심리'!$H$3:$H$4002,MATCH(A1194,$Q$19:$Q$4018,0)),E1193))</f>
        <v/>
      </c>
      <c r="F1194">
        <f>IF(A1194="",0,IF(A1194&gt;$B$5,1,0))</f>
        <v/>
      </c>
      <c r="G1194" s="29">
        <f>IF(AND(F1194=1,ISNUMBER(D1194)),D1194,"")</f>
        <v/>
      </c>
      <c r="H1194" s="29">
        <f>IF(AND(F1194=1,ISNUMBER(E1194)),E1194,"")</f>
        <v/>
      </c>
      <c r="I1194" s="22">
        <f>IF(AND(F1194=1,ISNUMBER(C1194)),C1194,"")</f>
        <v/>
      </c>
      <c r="J1194" s="11">
        <f>IF(G1194="","",100-IF($G$13=1,50,(_xlfn.RANK.AVG(G1194,$G$19:$G$1518,1)-1)/($G$13-1)*100))</f>
        <v/>
      </c>
      <c r="K1194" s="11">
        <f>IF(H1194="","",100-IF($G$14=1,50,(_xlfn.RANK.AVG(H1194,$H$19:$H$1518,1)-1)/($G$14-1)*100))</f>
        <v/>
      </c>
      <c r="L1194" s="11">
        <f>IF(I1194="","",IF($G$15=1,50,(_xlfn.RANK.AVG(I1194,$I$19:$I$1518,1)-1)/($G$15-1)*100))</f>
        <v/>
      </c>
      <c r="M1194" s="11">
        <f>IF(COUNT(J1194:L1194)=3,ROUND(AVERAGE(J1194:L1194),6),"")</f>
        <v/>
      </c>
      <c r="O1194">
        <f>IF(AND(ISNUMBER('자료_미국심리'!$A1178),ISNUMBER('자료_미국심리'!$B1178)),'자료_미국심리'!$A1178,"")</f>
        <v/>
      </c>
      <c r="P1194">
        <f>IF(AND(ISNUMBER('자료_미국심리'!$D1178),ISNUMBER('자료_미국심리'!$E1178)),'자료_미국심리'!$D1178,"")</f>
        <v/>
      </c>
      <c r="Q1194">
        <f>IF(AND(ISNUMBER('자료_미국심리'!$G1178),ISNUMBER('자료_미국심리'!$H1178)),'자료_미국심리'!$G1178,"")</f>
        <v/>
      </c>
    </row>
    <row r="1195">
      <c r="A1195" s="10">
        <f>IF(1177&gt;$E$5,"",SMALL($O$19:$O$4018,$E$6+1177))</f>
        <v/>
      </c>
      <c r="B1195" s="29">
        <f>IF(A1195="","",INDEX('자료_미국심리'!$B$3:$B$4002,MATCH(A1195,$O$19:$O$4018,0)))</f>
        <v/>
      </c>
      <c r="C1195" s="22">
        <f>IF(A1195="","",B1195/AVERAGE(B1071:B1195)-1)</f>
        <v/>
      </c>
      <c r="D1195" s="29">
        <f>IF(A1195="","",IFERROR(INDEX('자료_미국심리'!$E$3:$E$4002,MATCH(A1195,$P$19:$P$4018,0)),D1194))</f>
        <v/>
      </c>
      <c r="E1195" s="29">
        <f>IF(A1195="","",IFERROR(INDEX('자료_미국심리'!$H$3:$H$4002,MATCH(A1195,$Q$19:$Q$4018,0)),E1194))</f>
        <v/>
      </c>
      <c r="F1195">
        <f>IF(A1195="",0,IF(A1195&gt;$B$5,1,0))</f>
        <v/>
      </c>
      <c r="G1195" s="29">
        <f>IF(AND(F1195=1,ISNUMBER(D1195)),D1195,"")</f>
        <v/>
      </c>
      <c r="H1195" s="29">
        <f>IF(AND(F1195=1,ISNUMBER(E1195)),E1195,"")</f>
        <v/>
      </c>
      <c r="I1195" s="22">
        <f>IF(AND(F1195=1,ISNUMBER(C1195)),C1195,"")</f>
        <v/>
      </c>
      <c r="J1195" s="11">
        <f>IF(G1195="","",100-IF($G$13=1,50,(_xlfn.RANK.AVG(G1195,$G$19:$G$1518,1)-1)/($G$13-1)*100))</f>
        <v/>
      </c>
      <c r="K1195" s="11">
        <f>IF(H1195="","",100-IF($G$14=1,50,(_xlfn.RANK.AVG(H1195,$H$19:$H$1518,1)-1)/($G$14-1)*100))</f>
        <v/>
      </c>
      <c r="L1195" s="11">
        <f>IF(I1195="","",IF($G$15=1,50,(_xlfn.RANK.AVG(I1195,$I$19:$I$1518,1)-1)/($G$15-1)*100))</f>
        <v/>
      </c>
      <c r="M1195" s="11">
        <f>IF(COUNT(J1195:L1195)=3,ROUND(AVERAGE(J1195:L1195),6),"")</f>
        <v/>
      </c>
      <c r="O1195">
        <f>IF(AND(ISNUMBER('자료_미국심리'!$A1179),ISNUMBER('자료_미국심리'!$B1179)),'자료_미국심리'!$A1179,"")</f>
        <v/>
      </c>
      <c r="P1195">
        <f>IF(AND(ISNUMBER('자료_미국심리'!$D1179),ISNUMBER('자료_미국심리'!$E1179)),'자료_미국심리'!$D1179,"")</f>
        <v/>
      </c>
      <c r="Q1195">
        <f>IF(AND(ISNUMBER('자료_미국심리'!$G1179),ISNUMBER('자료_미국심리'!$H1179)),'자료_미국심리'!$G1179,"")</f>
        <v/>
      </c>
    </row>
    <row r="1196">
      <c r="A1196" s="10">
        <f>IF(1178&gt;$E$5,"",SMALL($O$19:$O$4018,$E$6+1178))</f>
        <v/>
      </c>
      <c r="B1196" s="29">
        <f>IF(A1196="","",INDEX('자료_미국심리'!$B$3:$B$4002,MATCH(A1196,$O$19:$O$4018,0)))</f>
        <v/>
      </c>
      <c r="C1196" s="22">
        <f>IF(A1196="","",B1196/AVERAGE(B1072:B1196)-1)</f>
        <v/>
      </c>
      <c r="D1196" s="29">
        <f>IF(A1196="","",IFERROR(INDEX('자료_미국심리'!$E$3:$E$4002,MATCH(A1196,$P$19:$P$4018,0)),D1195))</f>
        <v/>
      </c>
      <c r="E1196" s="29">
        <f>IF(A1196="","",IFERROR(INDEX('자료_미국심리'!$H$3:$H$4002,MATCH(A1196,$Q$19:$Q$4018,0)),E1195))</f>
        <v/>
      </c>
      <c r="F1196">
        <f>IF(A1196="",0,IF(A1196&gt;$B$5,1,0))</f>
        <v/>
      </c>
      <c r="G1196" s="29">
        <f>IF(AND(F1196=1,ISNUMBER(D1196)),D1196,"")</f>
        <v/>
      </c>
      <c r="H1196" s="29">
        <f>IF(AND(F1196=1,ISNUMBER(E1196)),E1196,"")</f>
        <v/>
      </c>
      <c r="I1196" s="22">
        <f>IF(AND(F1196=1,ISNUMBER(C1196)),C1196,"")</f>
        <v/>
      </c>
      <c r="J1196" s="11">
        <f>IF(G1196="","",100-IF($G$13=1,50,(_xlfn.RANK.AVG(G1196,$G$19:$G$1518,1)-1)/($G$13-1)*100))</f>
        <v/>
      </c>
      <c r="K1196" s="11">
        <f>IF(H1196="","",100-IF($G$14=1,50,(_xlfn.RANK.AVG(H1196,$H$19:$H$1518,1)-1)/($G$14-1)*100))</f>
        <v/>
      </c>
      <c r="L1196" s="11">
        <f>IF(I1196="","",IF($G$15=1,50,(_xlfn.RANK.AVG(I1196,$I$19:$I$1518,1)-1)/($G$15-1)*100))</f>
        <v/>
      </c>
      <c r="M1196" s="11">
        <f>IF(COUNT(J1196:L1196)=3,ROUND(AVERAGE(J1196:L1196),6),"")</f>
        <v/>
      </c>
      <c r="O1196">
        <f>IF(AND(ISNUMBER('자료_미국심리'!$A1180),ISNUMBER('자료_미국심리'!$B1180)),'자료_미국심리'!$A1180,"")</f>
        <v/>
      </c>
      <c r="P1196">
        <f>IF(AND(ISNUMBER('자료_미국심리'!$D1180),ISNUMBER('자료_미국심리'!$E1180)),'자료_미국심리'!$D1180,"")</f>
        <v/>
      </c>
      <c r="Q1196">
        <f>IF(AND(ISNUMBER('자료_미국심리'!$G1180),ISNUMBER('자료_미국심리'!$H1180)),'자료_미국심리'!$G1180,"")</f>
        <v/>
      </c>
    </row>
    <row r="1197">
      <c r="A1197" s="10">
        <f>IF(1179&gt;$E$5,"",SMALL($O$19:$O$4018,$E$6+1179))</f>
        <v/>
      </c>
      <c r="B1197" s="29">
        <f>IF(A1197="","",INDEX('자료_미국심리'!$B$3:$B$4002,MATCH(A1197,$O$19:$O$4018,0)))</f>
        <v/>
      </c>
      <c r="C1197" s="22">
        <f>IF(A1197="","",B1197/AVERAGE(B1073:B1197)-1)</f>
        <v/>
      </c>
      <c r="D1197" s="29">
        <f>IF(A1197="","",IFERROR(INDEX('자료_미국심리'!$E$3:$E$4002,MATCH(A1197,$P$19:$P$4018,0)),D1196))</f>
        <v/>
      </c>
      <c r="E1197" s="29">
        <f>IF(A1197="","",IFERROR(INDEX('자료_미국심리'!$H$3:$H$4002,MATCH(A1197,$Q$19:$Q$4018,0)),E1196))</f>
        <v/>
      </c>
      <c r="F1197">
        <f>IF(A1197="",0,IF(A1197&gt;$B$5,1,0))</f>
        <v/>
      </c>
      <c r="G1197" s="29">
        <f>IF(AND(F1197=1,ISNUMBER(D1197)),D1197,"")</f>
        <v/>
      </c>
      <c r="H1197" s="29">
        <f>IF(AND(F1197=1,ISNUMBER(E1197)),E1197,"")</f>
        <v/>
      </c>
      <c r="I1197" s="22">
        <f>IF(AND(F1197=1,ISNUMBER(C1197)),C1197,"")</f>
        <v/>
      </c>
      <c r="J1197" s="11">
        <f>IF(G1197="","",100-IF($G$13=1,50,(_xlfn.RANK.AVG(G1197,$G$19:$G$1518,1)-1)/($G$13-1)*100))</f>
        <v/>
      </c>
      <c r="K1197" s="11">
        <f>IF(H1197="","",100-IF($G$14=1,50,(_xlfn.RANK.AVG(H1197,$H$19:$H$1518,1)-1)/($G$14-1)*100))</f>
        <v/>
      </c>
      <c r="L1197" s="11">
        <f>IF(I1197="","",IF($G$15=1,50,(_xlfn.RANK.AVG(I1197,$I$19:$I$1518,1)-1)/($G$15-1)*100))</f>
        <v/>
      </c>
      <c r="M1197" s="11">
        <f>IF(COUNT(J1197:L1197)=3,ROUND(AVERAGE(J1197:L1197),6),"")</f>
        <v/>
      </c>
      <c r="O1197">
        <f>IF(AND(ISNUMBER('자료_미국심리'!$A1181),ISNUMBER('자료_미국심리'!$B1181)),'자료_미국심리'!$A1181,"")</f>
        <v/>
      </c>
      <c r="P1197">
        <f>IF(AND(ISNUMBER('자료_미국심리'!$D1181),ISNUMBER('자료_미국심리'!$E1181)),'자료_미국심리'!$D1181,"")</f>
        <v/>
      </c>
      <c r="Q1197">
        <f>IF(AND(ISNUMBER('자료_미국심리'!$G1181),ISNUMBER('자료_미국심리'!$H1181)),'자료_미국심리'!$G1181,"")</f>
        <v/>
      </c>
    </row>
    <row r="1198">
      <c r="A1198" s="10">
        <f>IF(1180&gt;$E$5,"",SMALL($O$19:$O$4018,$E$6+1180))</f>
        <v/>
      </c>
      <c r="B1198" s="29">
        <f>IF(A1198="","",INDEX('자료_미국심리'!$B$3:$B$4002,MATCH(A1198,$O$19:$O$4018,0)))</f>
        <v/>
      </c>
      <c r="C1198" s="22">
        <f>IF(A1198="","",B1198/AVERAGE(B1074:B1198)-1)</f>
        <v/>
      </c>
      <c r="D1198" s="29">
        <f>IF(A1198="","",IFERROR(INDEX('자료_미국심리'!$E$3:$E$4002,MATCH(A1198,$P$19:$P$4018,0)),D1197))</f>
        <v/>
      </c>
      <c r="E1198" s="29">
        <f>IF(A1198="","",IFERROR(INDEX('자료_미국심리'!$H$3:$H$4002,MATCH(A1198,$Q$19:$Q$4018,0)),E1197))</f>
        <v/>
      </c>
      <c r="F1198">
        <f>IF(A1198="",0,IF(A1198&gt;$B$5,1,0))</f>
        <v/>
      </c>
      <c r="G1198" s="29">
        <f>IF(AND(F1198=1,ISNUMBER(D1198)),D1198,"")</f>
        <v/>
      </c>
      <c r="H1198" s="29">
        <f>IF(AND(F1198=1,ISNUMBER(E1198)),E1198,"")</f>
        <v/>
      </c>
      <c r="I1198" s="22">
        <f>IF(AND(F1198=1,ISNUMBER(C1198)),C1198,"")</f>
        <v/>
      </c>
      <c r="J1198" s="11">
        <f>IF(G1198="","",100-IF($G$13=1,50,(_xlfn.RANK.AVG(G1198,$G$19:$G$1518,1)-1)/($G$13-1)*100))</f>
        <v/>
      </c>
      <c r="K1198" s="11">
        <f>IF(H1198="","",100-IF($G$14=1,50,(_xlfn.RANK.AVG(H1198,$H$19:$H$1518,1)-1)/($G$14-1)*100))</f>
        <v/>
      </c>
      <c r="L1198" s="11">
        <f>IF(I1198="","",IF($G$15=1,50,(_xlfn.RANK.AVG(I1198,$I$19:$I$1518,1)-1)/($G$15-1)*100))</f>
        <v/>
      </c>
      <c r="M1198" s="11">
        <f>IF(COUNT(J1198:L1198)=3,ROUND(AVERAGE(J1198:L1198),6),"")</f>
        <v/>
      </c>
      <c r="O1198">
        <f>IF(AND(ISNUMBER('자료_미국심리'!$A1182),ISNUMBER('자료_미국심리'!$B1182)),'자료_미국심리'!$A1182,"")</f>
        <v/>
      </c>
      <c r="P1198">
        <f>IF(AND(ISNUMBER('자료_미국심리'!$D1182),ISNUMBER('자료_미국심리'!$E1182)),'자료_미국심리'!$D1182,"")</f>
        <v/>
      </c>
      <c r="Q1198">
        <f>IF(AND(ISNUMBER('자료_미국심리'!$G1182),ISNUMBER('자료_미국심리'!$H1182)),'자료_미국심리'!$G1182,"")</f>
        <v/>
      </c>
    </row>
    <row r="1199">
      <c r="A1199" s="10">
        <f>IF(1181&gt;$E$5,"",SMALL($O$19:$O$4018,$E$6+1181))</f>
        <v/>
      </c>
      <c r="B1199" s="29">
        <f>IF(A1199="","",INDEX('자료_미국심리'!$B$3:$B$4002,MATCH(A1199,$O$19:$O$4018,0)))</f>
        <v/>
      </c>
      <c r="C1199" s="22">
        <f>IF(A1199="","",B1199/AVERAGE(B1075:B1199)-1)</f>
        <v/>
      </c>
      <c r="D1199" s="29">
        <f>IF(A1199="","",IFERROR(INDEX('자료_미국심리'!$E$3:$E$4002,MATCH(A1199,$P$19:$P$4018,0)),D1198))</f>
        <v/>
      </c>
      <c r="E1199" s="29">
        <f>IF(A1199="","",IFERROR(INDEX('자료_미국심리'!$H$3:$H$4002,MATCH(A1199,$Q$19:$Q$4018,0)),E1198))</f>
        <v/>
      </c>
      <c r="F1199">
        <f>IF(A1199="",0,IF(A1199&gt;$B$5,1,0))</f>
        <v/>
      </c>
      <c r="G1199" s="29">
        <f>IF(AND(F1199=1,ISNUMBER(D1199)),D1199,"")</f>
        <v/>
      </c>
      <c r="H1199" s="29">
        <f>IF(AND(F1199=1,ISNUMBER(E1199)),E1199,"")</f>
        <v/>
      </c>
      <c r="I1199" s="22">
        <f>IF(AND(F1199=1,ISNUMBER(C1199)),C1199,"")</f>
        <v/>
      </c>
      <c r="J1199" s="11">
        <f>IF(G1199="","",100-IF($G$13=1,50,(_xlfn.RANK.AVG(G1199,$G$19:$G$1518,1)-1)/($G$13-1)*100))</f>
        <v/>
      </c>
      <c r="K1199" s="11">
        <f>IF(H1199="","",100-IF($G$14=1,50,(_xlfn.RANK.AVG(H1199,$H$19:$H$1518,1)-1)/($G$14-1)*100))</f>
        <v/>
      </c>
      <c r="L1199" s="11">
        <f>IF(I1199="","",IF($G$15=1,50,(_xlfn.RANK.AVG(I1199,$I$19:$I$1518,1)-1)/($G$15-1)*100))</f>
        <v/>
      </c>
      <c r="M1199" s="11">
        <f>IF(COUNT(J1199:L1199)=3,ROUND(AVERAGE(J1199:L1199),6),"")</f>
        <v/>
      </c>
      <c r="O1199">
        <f>IF(AND(ISNUMBER('자료_미국심리'!$A1183),ISNUMBER('자료_미국심리'!$B1183)),'자료_미국심리'!$A1183,"")</f>
        <v/>
      </c>
      <c r="P1199">
        <f>IF(AND(ISNUMBER('자료_미국심리'!$D1183),ISNUMBER('자료_미국심리'!$E1183)),'자료_미국심리'!$D1183,"")</f>
        <v/>
      </c>
      <c r="Q1199">
        <f>IF(AND(ISNUMBER('자료_미국심리'!$G1183),ISNUMBER('자료_미국심리'!$H1183)),'자료_미국심리'!$G1183,"")</f>
        <v/>
      </c>
    </row>
    <row r="1200">
      <c r="A1200" s="10">
        <f>IF(1182&gt;$E$5,"",SMALL($O$19:$O$4018,$E$6+1182))</f>
        <v/>
      </c>
      <c r="B1200" s="29">
        <f>IF(A1200="","",INDEX('자료_미국심리'!$B$3:$B$4002,MATCH(A1200,$O$19:$O$4018,0)))</f>
        <v/>
      </c>
      <c r="C1200" s="22">
        <f>IF(A1200="","",B1200/AVERAGE(B1076:B1200)-1)</f>
        <v/>
      </c>
      <c r="D1200" s="29">
        <f>IF(A1200="","",IFERROR(INDEX('자료_미국심리'!$E$3:$E$4002,MATCH(A1200,$P$19:$P$4018,0)),D1199))</f>
        <v/>
      </c>
      <c r="E1200" s="29">
        <f>IF(A1200="","",IFERROR(INDEX('자료_미국심리'!$H$3:$H$4002,MATCH(A1200,$Q$19:$Q$4018,0)),E1199))</f>
        <v/>
      </c>
      <c r="F1200">
        <f>IF(A1200="",0,IF(A1200&gt;$B$5,1,0))</f>
        <v/>
      </c>
      <c r="G1200" s="29">
        <f>IF(AND(F1200=1,ISNUMBER(D1200)),D1200,"")</f>
        <v/>
      </c>
      <c r="H1200" s="29">
        <f>IF(AND(F1200=1,ISNUMBER(E1200)),E1200,"")</f>
        <v/>
      </c>
      <c r="I1200" s="22">
        <f>IF(AND(F1200=1,ISNUMBER(C1200)),C1200,"")</f>
        <v/>
      </c>
      <c r="J1200" s="11">
        <f>IF(G1200="","",100-IF($G$13=1,50,(_xlfn.RANK.AVG(G1200,$G$19:$G$1518,1)-1)/($G$13-1)*100))</f>
        <v/>
      </c>
      <c r="K1200" s="11">
        <f>IF(H1200="","",100-IF($G$14=1,50,(_xlfn.RANK.AVG(H1200,$H$19:$H$1518,1)-1)/($G$14-1)*100))</f>
        <v/>
      </c>
      <c r="L1200" s="11">
        <f>IF(I1200="","",IF($G$15=1,50,(_xlfn.RANK.AVG(I1200,$I$19:$I$1518,1)-1)/($G$15-1)*100))</f>
        <v/>
      </c>
      <c r="M1200" s="11">
        <f>IF(COUNT(J1200:L1200)=3,ROUND(AVERAGE(J1200:L1200),6),"")</f>
        <v/>
      </c>
      <c r="O1200">
        <f>IF(AND(ISNUMBER('자료_미국심리'!$A1184),ISNUMBER('자료_미국심리'!$B1184)),'자료_미국심리'!$A1184,"")</f>
        <v/>
      </c>
      <c r="P1200">
        <f>IF(AND(ISNUMBER('자료_미국심리'!$D1184),ISNUMBER('자료_미국심리'!$E1184)),'자료_미국심리'!$D1184,"")</f>
        <v/>
      </c>
      <c r="Q1200">
        <f>IF(AND(ISNUMBER('자료_미국심리'!$G1184),ISNUMBER('자료_미국심리'!$H1184)),'자료_미국심리'!$G1184,"")</f>
        <v/>
      </c>
    </row>
    <row r="1201">
      <c r="A1201" s="10">
        <f>IF(1183&gt;$E$5,"",SMALL($O$19:$O$4018,$E$6+1183))</f>
        <v/>
      </c>
      <c r="B1201" s="29">
        <f>IF(A1201="","",INDEX('자료_미국심리'!$B$3:$B$4002,MATCH(A1201,$O$19:$O$4018,0)))</f>
        <v/>
      </c>
      <c r="C1201" s="22">
        <f>IF(A1201="","",B1201/AVERAGE(B1077:B1201)-1)</f>
        <v/>
      </c>
      <c r="D1201" s="29">
        <f>IF(A1201="","",IFERROR(INDEX('자료_미국심리'!$E$3:$E$4002,MATCH(A1201,$P$19:$P$4018,0)),D1200))</f>
        <v/>
      </c>
      <c r="E1201" s="29">
        <f>IF(A1201="","",IFERROR(INDEX('자료_미국심리'!$H$3:$H$4002,MATCH(A1201,$Q$19:$Q$4018,0)),E1200))</f>
        <v/>
      </c>
      <c r="F1201">
        <f>IF(A1201="",0,IF(A1201&gt;$B$5,1,0))</f>
        <v/>
      </c>
      <c r="G1201" s="29">
        <f>IF(AND(F1201=1,ISNUMBER(D1201)),D1201,"")</f>
        <v/>
      </c>
      <c r="H1201" s="29">
        <f>IF(AND(F1201=1,ISNUMBER(E1201)),E1201,"")</f>
        <v/>
      </c>
      <c r="I1201" s="22">
        <f>IF(AND(F1201=1,ISNUMBER(C1201)),C1201,"")</f>
        <v/>
      </c>
      <c r="J1201" s="11">
        <f>IF(G1201="","",100-IF($G$13=1,50,(_xlfn.RANK.AVG(G1201,$G$19:$G$1518,1)-1)/($G$13-1)*100))</f>
        <v/>
      </c>
      <c r="K1201" s="11">
        <f>IF(H1201="","",100-IF($G$14=1,50,(_xlfn.RANK.AVG(H1201,$H$19:$H$1518,1)-1)/($G$14-1)*100))</f>
        <v/>
      </c>
      <c r="L1201" s="11">
        <f>IF(I1201="","",IF($G$15=1,50,(_xlfn.RANK.AVG(I1201,$I$19:$I$1518,1)-1)/($G$15-1)*100))</f>
        <v/>
      </c>
      <c r="M1201" s="11">
        <f>IF(COUNT(J1201:L1201)=3,ROUND(AVERAGE(J1201:L1201),6),"")</f>
        <v/>
      </c>
      <c r="O1201">
        <f>IF(AND(ISNUMBER('자료_미국심리'!$A1185),ISNUMBER('자료_미국심리'!$B1185)),'자료_미국심리'!$A1185,"")</f>
        <v/>
      </c>
      <c r="P1201">
        <f>IF(AND(ISNUMBER('자료_미국심리'!$D1185),ISNUMBER('자료_미국심리'!$E1185)),'자료_미국심리'!$D1185,"")</f>
        <v/>
      </c>
      <c r="Q1201">
        <f>IF(AND(ISNUMBER('자료_미국심리'!$G1185),ISNUMBER('자료_미국심리'!$H1185)),'자료_미국심리'!$G1185,"")</f>
        <v/>
      </c>
    </row>
    <row r="1202">
      <c r="A1202" s="10">
        <f>IF(1184&gt;$E$5,"",SMALL($O$19:$O$4018,$E$6+1184))</f>
        <v/>
      </c>
      <c r="B1202" s="29">
        <f>IF(A1202="","",INDEX('자료_미국심리'!$B$3:$B$4002,MATCH(A1202,$O$19:$O$4018,0)))</f>
        <v/>
      </c>
      <c r="C1202" s="22">
        <f>IF(A1202="","",B1202/AVERAGE(B1078:B1202)-1)</f>
        <v/>
      </c>
      <c r="D1202" s="29">
        <f>IF(A1202="","",IFERROR(INDEX('자료_미국심리'!$E$3:$E$4002,MATCH(A1202,$P$19:$P$4018,0)),D1201))</f>
        <v/>
      </c>
      <c r="E1202" s="29">
        <f>IF(A1202="","",IFERROR(INDEX('자료_미국심리'!$H$3:$H$4002,MATCH(A1202,$Q$19:$Q$4018,0)),E1201))</f>
        <v/>
      </c>
      <c r="F1202">
        <f>IF(A1202="",0,IF(A1202&gt;$B$5,1,0))</f>
        <v/>
      </c>
      <c r="G1202" s="29">
        <f>IF(AND(F1202=1,ISNUMBER(D1202)),D1202,"")</f>
        <v/>
      </c>
      <c r="H1202" s="29">
        <f>IF(AND(F1202=1,ISNUMBER(E1202)),E1202,"")</f>
        <v/>
      </c>
      <c r="I1202" s="22">
        <f>IF(AND(F1202=1,ISNUMBER(C1202)),C1202,"")</f>
        <v/>
      </c>
      <c r="J1202" s="11">
        <f>IF(G1202="","",100-IF($G$13=1,50,(_xlfn.RANK.AVG(G1202,$G$19:$G$1518,1)-1)/($G$13-1)*100))</f>
        <v/>
      </c>
      <c r="K1202" s="11">
        <f>IF(H1202="","",100-IF($G$14=1,50,(_xlfn.RANK.AVG(H1202,$H$19:$H$1518,1)-1)/($G$14-1)*100))</f>
        <v/>
      </c>
      <c r="L1202" s="11">
        <f>IF(I1202="","",IF($G$15=1,50,(_xlfn.RANK.AVG(I1202,$I$19:$I$1518,1)-1)/($G$15-1)*100))</f>
        <v/>
      </c>
      <c r="M1202" s="11">
        <f>IF(COUNT(J1202:L1202)=3,ROUND(AVERAGE(J1202:L1202),6),"")</f>
        <v/>
      </c>
      <c r="O1202">
        <f>IF(AND(ISNUMBER('자료_미국심리'!$A1186),ISNUMBER('자료_미국심리'!$B1186)),'자료_미국심리'!$A1186,"")</f>
        <v/>
      </c>
      <c r="P1202">
        <f>IF(AND(ISNUMBER('자료_미국심리'!$D1186),ISNUMBER('자료_미국심리'!$E1186)),'자료_미국심리'!$D1186,"")</f>
        <v/>
      </c>
      <c r="Q1202">
        <f>IF(AND(ISNUMBER('자료_미국심리'!$G1186),ISNUMBER('자료_미국심리'!$H1186)),'자료_미국심리'!$G1186,"")</f>
        <v/>
      </c>
    </row>
    <row r="1203">
      <c r="A1203" s="10">
        <f>IF(1185&gt;$E$5,"",SMALL($O$19:$O$4018,$E$6+1185))</f>
        <v/>
      </c>
      <c r="B1203" s="29">
        <f>IF(A1203="","",INDEX('자료_미국심리'!$B$3:$B$4002,MATCH(A1203,$O$19:$O$4018,0)))</f>
        <v/>
      </c>
      <c r="C1203" s="22">
        <f>IF(A1203="","",B1203/AVERAGE(B1079:B1203)-1)</f>
        <v/>
      </c>
      <c r="D1203" s="29">
        <f>IF(A1203="","",IFERROR(INDEX('자료_미국심리'!$E$3:$E$4002,MATCH(A1203,$P$19:$P$4018,0)),D1202))</f>
        <v/>
      </c>
      <c r="E1203" s="29">
        <f>IF(A1203="","",IFERROR(INDEX('자료_미국심리'!$H$3:$H$4002,MATCH(A1203,$Q$19:$Q$4018,0)),E1202))</f>
        <v/>
      </c>
      <c r="F1203">
        <f>IF(A1203="",0,IF(A1203&gt;$B$5,1,0))</f>
        <v/>
      </c>
      <c r="G1203" s="29">
        <f>IF(AND(F1203=1,ISNUMBER(D1203)),D1203,"")</f>
        <v/>
      </c>
      <c r="H1203" s="29">
        <f>IF(AND(F1203=1,ISNUMBER(E1203)),E1203,"")</f>
        <v/>
      </c>
      <c r="I1203" s="22">
        <f>IF(AND(F1203=1,ISNUMBER(C1203)),C1203,"")</f>
        <v/>
      </c>
      <c r="J1203" s="11">
        <f>IF(G1203="","",100-IF($G$13=1,50,(_xlfn.RANK.AVG(G1203,$G$19:$G$1518,1)-1)/($G$13-1)*100))</f>
        <v/>
      </c>
      <c r="K1203" s="11">
        <f>IF(H1203="","",100-IF($G$14=1,50,(_xlfn.RANK.AVG(H1203,$H$19:$H$1518,1)-1)/($G$14-1)*100))</f>
        <v/>
      </c>
      <c r="L1203" s="11">
        <f>IF(I1203="","",IF($G$15=1,50,(_xlfn.RANK.AVG(I1203,$I$19:$I$1518,1)-1)/($G$15-1)*100))</f>
        <v/>
      </c>
      <c r="M1203" s="11">
        <f>IF(COUNT(J1203:L1203)=3,ROUND(AVERAGE(J1203:L1203),6),"")</f>
        <v/>
      </c>
      <c r="O1203">
        <f>IF(AND(ISNUMBER('자료_미국심리'!$A1187),ISNUMBER('자료_미국심리'!$B1187)),'자료_미국심리'!$A1187,"")</f>
        <v/>
      </c>
      <c r="P1203">
        <f>IF(AND(ISNUMBER('자료_미국심리'!$D1187),ISNUMBER('자료_미국심리'!$E1187)),'자료_미국심리'!$D1187,"")</f>
        <v/>
      </c>
      <c r="Q1203">
        <f>IF(AND(ISNUMBER('자료_미국심리'!$G1187),ISNUMBER('자료_미국심리'!$H1187)),'자료_미국심리'!$G1187,"")</f>
        <v/>
      </c>
    </row>
    <row r="1204">
      <c r="A1204" s="10">
        <f>IF(1186&gt;$E$5,"",SMALL($O$19:$O$4018,$E$6+1186))</f>
        <v/>
      </c>
      <c r="B1204" s="29">
        <f>IF(A1204="","",INDEX('자료_미국심리'!$B$3:$B$4002,MATCH(A1204,$O$19:$O$4018,0)))</f>
        <v/>
      </c>
      <c r="C1204" s="22">
        <f>IF(A1204="","",B1204/AVERAGE(B1080:B1204)-1)</f>
        <v/>
      </c>
      <c r="D1204" s="29">
        <f>IF(A1204="","",IFERROR(INDEX('자료_미국심리'!$E$3:$E$4002,MATCH(A1204,$P$19:$P$4018,0)),D1203))</f>
        <v/>
      </c>
      <c r="E1204" s="29">
        <f>IF(A1204="","",IFERROR(INDEX('자료_미국심리'!$H$3:$H$4002,MATCH(A1204,$Q$19:$Q$4018,0)),E1203))</f>
        <v/>
      </c>
      <c r="F1204">
        <f>IF(A1204="",0,IF(A1204&gt;$B$5,1,0))</f>
        <v/>
      </c>
      <c r="G1204" s="29">
        <f>IF(AND(F1204=1,ISNUMBER(D1204)),D1204,"")</f>
        <v/>
      </c>
      <c r="H1204" s="29">
        <f>IF(AND(F1204=1,ISNUMBER(E1204)),E1204,"")</f>
        <v/>
      </c>
      <c r="I1204" s="22">
        <f>IF(AND(F1204=1,ISNUMBER(C1204)),C1204,"")</f>
        <v/>
      </c>
      <c r="J1204" s="11">
        <f>IF(G1204="","",100-IF($G$13=1,50,(_xlfn.RANK.AVG(G1204,$G$19:$G$1518,1)-1)/($G$13-1)*100))</f>
        <v/>
      </c>
      <c r="K1204" s="11">
        <f>IF(H1204="","",100-IF($G$14=1,50,(_xlfn.RANK.AVG(H1204,$H$19:$H$1518,1)-1)/($G$14-1)*100))</f>
        <v/>
      </c>
      <c r="L1204" s="11">
        <f>IF(I1204="","",IF($G$15=1,50,(_xlfn.RANK.AVG(I1204,$I$19:$I$1518,1)-1)/($G$15-1)*100))</f>
        <v/>
      </c>
      <c r="M1204" s="11">
        <f>IF(COUNT(J1204:L1204)=3,ROUND(AVERAGE(J1204:L1204),6),"")</f>
        <v/>
      </c>
      <c r="O1204">
        <f>IF(AND(ISNUMBER('자료_미국심리'!$A1188),ISNUMBER('자료_미국심리'!$B1188)),'자료_미국심리'!$A1188,"")</f>
        <v/>
      </c>
      <c r="P1204">
        <f>IF(AND(ISNUMBER('자료_미국심리'!$D1188),ISNUMBER('자료_미국심리'!$E1188)),'자료_미국심리'!$D1188,"")</f>
        <v/>
      </c>
      <c r="Q1204">
        <f>IF(AND(ISNUMBER('자료_미국심리'!$G1188),ISNUMBER('자료_미국심리'!$H1188)),'자료_미국심리'!$G1188,"")</f>
        <v/>
      </c>
    </row>
    <row r="1205">
      <c r="A1205" s="10">
        <f>IF(1187&gt;$E$5,"",SMALL($O$19:$O$4018,$E$6+1187))</f>
        <v/>
      </c>
      <c r="B1205" s="29">
        <f>IF(A1205="","",INDEX('자료_미국심리'!$B$3:$B$4002,MATCH(A1205,$O$19:$O$4018,0)))</f>
        <v/>
      </c>
      <c r="C1205" s="22">
        <f>IF(A1205="","",B1205/AVERAGE(B1081:B1205)-1)</f>
        <v/>
      </c>
      <c r="D1205" s="29">
        <f>IF(A1205="","",IFERROR(INDEX('자료_미국심리'!$E$3:$E$4002,MATCH(A1205,$P$19:$P$4018,0)),D1204))</f>
        <v/>
      </c>
      <c r="E1205" s="29">
        <f>IF(A1205="","",IFERROR(INDEX('자료_미국심리'!$H$3:$H$4002,MATCH(A1205,$Q$19:$Q$4018,0)),E1204))</f>
        <v/>
      </c>
      <c r="F1205">
        <f>IF(A1205="",0,IF(A1205&gt;$B$5,1,0))</f>
        <v/>
      </c>
      <c r="G1205" s="29">
        <f>IF(AND(F1205=1,ISNUMBER(D1205)),D1205,"")</f>
        <v/>
      </c>
      <c r="H1205" s="29">
        <f>IF(AND(F1205=1,ISNUMBER(E1205)),E1205,"")</f>
        <v/>
      </c>
      <c r="I1205" s="22">
        <f>IF(AND(F1205=1,ISNUMBER(C1205)),C1205,"")</f>
        <v/>
      </c>
      <c r="J1205" s="11">
        <f>IF(G1205="","",100-IF($G$13=1,50,(_xlfn.RANK.AVG(G1205,$G$19:$G$1518,1)-1)/($G$13-1)*100))</f>
        <v/>
      </c>
      <c r="K1205" s="11">
        <f>IF(H1205="","",100-IF($G$14=1,50,(_xlfn.RANK.AVG(H1205,$H$19:$H$1518,1)-1)/($G$14-1)*100))</f>
        <v/>
      </c>
      <c r="L1205" s="11">
        <f>IF(I1205="","",IF($G$15=1,50,(_xlfn.RANK.AVG(I1205,$I$19:$I$1518,1)-1)/($G$15-1)*100))</f>
        <v/>
      </c>
      <c r="M1205" s="11">
        <f>IF(COUNT(J1205:L1205)=3,ROUND(AVERAGE(J1205:L1205),6),"")</f>
        <v/>
      </c>
      <c r="O1205">
        <f>IF(AND(ISNUMBER('자료_미국심리'!$A1189),ISNUMBER('자료_미국심리'!$B1189)),'자료_미국심리'!$A1189,"")</f>
        <v/>
      </c>
      <c r="P1205">
        <f>IF(AND(ISNUMBER('자료_미국심리'!$D1189),ISNUMBER('자료_미국심리'!$E1189)),'자료_미국심리'!$D1189,"")</f>
        <v/>
      </c>
      <c r="Q1205">
        <f>IF(AND(ISNUMBER('자료_미국심리'!$G1189),ISNUMBER('자료_미국심리'!$H1189)),'자료_미국심리'!$G1189,"")</f>
        <v/>
      </c>
    </row>
    <row r="1206">
      <c r="A1206" s="10">
        <f>IF(1188&gt;$E$5,"",SMALL($O$19:$O$4018,$E$6+1188))</f>
        <v/>
      </c>
      <c r="B1206" s="29">
        <f>IF(A1206="","",INDEX('자료_미국심리'!$B$3:$B$4002,MATCH(A1206,$O$19:$O$4018,0)))</f>
        <v/>
      </c>
      <c r="C1206" s="22">
        <f>IF(A1206="","",B1206/AVERAGE(B1082:B1206)-1)</f>
        <v/>
      </c>
      <c r="D1206" s="29">
        <f>IF(A1206="","",IFERROR(INDEX('자료_미국심리'!$E$3:$E$4002,MATCH(A1206,$P$19:$P$4018,0)),D1205))</f>
        <v/>
      </c>
      <c r="E1206" s="29">
        <f>IF(A1206="","",IFERROR(INDEX('자료_미국심리'!$H$3:$H$4002,MATCH(A1206,$Q$19:$Q$4018,0)),E1205))</f>
        <v/>
      </c>
      <c r="F1206">
        <f>IF(A1206="",0,IF(A1206&gt;$B$5,1,0))</f>
        <v/>
      </c>
      <c r="G1206" s="29">
        <f>IF(AND(F1206=1,ISNUMBER(D1206)),D1206,"")</f>
        <v/>
      </c>
      <c r="H1206" s="29">
        <f>IF(AND(F1206=1,ISNUMBER(E1206)),E1206,"")</f>
        <v/>
      </c>
      <c r="I1206" s="22">
        <f>IF(AND(F1206=1,ISNUMBER(C1206)),C1206,"")</f>
        <v/>
      </c>
      <c r="J1206" s="11">
        <f>IF(G1206="","",100-IF($G$13=1,50,(_xlfn.RANK.AVG(G1206,$G$19:$G$1518,1)-1)/($G$13-1)*100))</f>
        <v/>
      </c>
      <c r="K1206" s="11">
        <f>IF(H1206="","",100-IF($G$14=1,50,(_xlfn.RANK.AVG(H1206,$H$19:$H$1518,1)-1)/($G$14-1)*100))</f>
        <v/>
      </c>
      <c r="L1206" s="11">
        <f>IF(I1206="","",IF($G$15=1,50,(_xlfn.RANK.AVG(I1206,$I$19:$I$1518,1)-1)/($G$15-1)*100))</f>
        <v/>
      </c>
      <c r="M1206" s="11">
        <f>IF(COUNT(J1206:L1206)=3,ROUND(AVERAGE(J1206:L1206),6),"")</f>
        <v/>
      </c>
      <c r="O1206">
        <f>IF(AND(ISNUMBER('자료_미국심리'!$A1190),ISNUMBER('자료_미국심리'!$B1190)),'자료_미국심리'!$A1190,"")</f>
        <v/>
      </c>
      <c r="P1206">
        <f>IF(AND(ISNUMBER('자료_미국심리'!$D1190),ISNUMBER('자료_미국심리'!$E1190)),'자료_미국심리'!$D1190,"")</f>
        <v/>
      </c>
      <c r="Q1206">
        <f>IF(AND(ISNUMBER('자료_미국심리'!$G1190),ISNUMBER('자료_미국심리'!$H1190)),'자료_미국심리'!$G1190,"")</f>
        <v/>
      </c>
    </row>
    <row r="1207">
      <c r="A1207" s="10">
        <f>IF(1189&gt;$E$5,"",SMALL($O$19:$O$4018,$E$6+1189))</f>
        <v/>
      </c>
      <c r="B1207" s="29">
        <f>IF(A1207="","",INDEX('자료_미국심리'!$B$3:$B$4002,MATCH(A1207,$O$19:$O$4018,0)))</f>
        <v/>
      </c>
      <c r="C1207" s="22">
        <f>IF(A1207="","",B1207/AVERAGE(B1083:B1207)-1)</f>
        <v/>
      </c>
      <c r="D1207" s="29">
        <f>IF(A1207="","",IFERROR(INDEX('자료_미국심리'!$E$3:$E$4002,MATCH(A1207,$P$19:$P$4018,0)),D1206))</f>
        <v/>
      </c>
      <c r="E1207" s="29">
        <f>IF(A1207="","",IFERROR(INDEX('자료_미국심리'!$H$3:$H$4002,MATCH(A1207,$Q$19:$Q$4018,0)),E1206))</f>
        <v/>
      </c>
      <c r="F1207">
        <f>IF(A1207="",0,IF(A1207&gt;$B$5,1,0))</f>
        <v/>
      </c>
      <c r="G1207" s="29">
        <f>IF(AND(F1207=1,ISNUMBER(D1207)),D1207,"")</f>
        <v/>
      </c>
      <c r="H1207" s="29">
        <f>IF(AND(F1207=1,ISNUMBER(E1207)),E1207,"")</f>
        <v/>
      </c>
      <c r="I1207" s="22">
        <f>IF(AND(F1207=1,ISNUMBER(C1207)),C1207,"")</f>
        <v/>
      </c>
      <c r="J1207" s="11">
        <f>IF(G1207="","",100-IF($G$13=1,50,(_xlfn.RANK.AVG(G1207,$G$19:$G$1518,1)-1)/($G$13-1)*100))</f>
        <v/>
      </c>
      <c r="K1207" s="11">
        <f>IF(H1207="","",100-IF($G$14=1,50,(_xlfn.RANK.AVG(H1207,$H$19:$H$1518,1)-1)/($G$14-1)*100))</f>
        <v/>
      </c>
      <c r="L1207" s="11">
        <f>IF(I1207="","",IF($G$15=1,50,(_xlfn.RANK.AVG(I1207,$I$19:$I$1518,1)-1)/($G$15-1)*100))</f>
        <v/>
      </c>
      <c r="M1207" s="11">
        <f>IF(COUNT(J1207:L1207)=3,ROUND(AVERAGE(J1207:L1207),6),"")</f>
        <v/>
      </c>
      <c r="O1207">
        <f>IF(AND(ISNUMBER('자료_미국심리'!$A1191),ISNUMBER('자료_미국심리'!$B1191)),'자료_미국심리'!$A1191,"")</f>
        <v/>
      </c>
      <c r="P1207">
        <f>IF(AND(ISNUMBER('자료_미국심리'!$D1191),ISNUMBER('자료_미국심리'!$E1191)),'자료_미국심리'!$D1191,"")</f>
        <v/>
      </c>
      <c r="Q1207">
        <f>IF(AND(ISNUMBER('자료_미국심리'!$G1191),ISNUMBER('자료_미국심리'!$H1191)),'자료_미국심리'!$G1191,"")</f>
        <v/>
      </c>
    </row>
    <row r="1208">
      <c r="A1208" s="10">
        <f>IF(1190&gt;$E$5,"",SMALL($O$19:$O$4018,$E$6+1190))</f>
        <v/>
      </c>
      <c r="B1208" s="29">
        <f>IF(A1208="","",INDEX('자료_미국심리'!$B$3:$B$4002,MATCH(A1208,$O$19:$O$4018,0)))</f>
        <v/>
      </c>
      <c r="C1208" s="22">
        <f>IF(A1208="","",B1208/AVERAGE(B1084:B1208)-1)</f>
        <v/>
      </c>
      <c r="D1208" s="29">
        <f>IF(A1208="","",IFERROR(INDEX('자료_미국심리'!$E$3:$E$4002,MATCH(A1208,$P$19:$P$4018,0)),D1207))</f>
        <v/>
      </c>
      <c r="E1208" s="29">
        <f>IF(A1208="","",IFERROR(INDEX('자료_미국심리'!$H$3:$H$4002,MATCH(A1208,$Q$19:$Q$4018,0)),E1207))</f>
        <v/>
      </c>
      <c r="F1208">
        <f>IF(A1208="",0,IF(A1208&gt;$B$5,1,0))</f>
        <v/>
      </c>
      <c r="G1208" s="29">
        <f>IF(AND(F1208=1,ISNUMBER(D1208)),D1208,"")</f>
        <v/>
      </c>
      <c r="H1208" s="29">
        <f>IF(AND(F1208=1,ISNUMBER(E1208)),E1208,"")</f>
        <v/>
      </c>
      <c r="I1208" s="22">
        <f>IF(AND(F1208=1,ISNUMBER(C1208)),C1208,"")</f>
        <v/>
      </c>
      <c r="J1208" s="11">
        <f>IF(G1208="","",100-IF($G$13=1,50,(_xlfn.RANK.AVG(G1208,$G$19:$G$1518,1)-1)/($G$13-1)*100))</f>
        <v/>
      </c>
      <c r="K1208" s="11">
        <f>IF(H1208="","",100-IF($G$14=1,50,(_xlfn.RANK.AVG(H1208,$H$19:$H$1518,1)-1)/($G$14-1)*100))</f>
        <v/>
      </c>
      <c r="L1208" s="11">
        <f>IF(I1208="","",IF($G$15=1,50,(_xlfn.RANK.AVG(I1208,$I$19:$I$1518,1)-1)/($G$15-1)*100))</f>
        <v/>
      </c>
      <c r="M1208" s="11">
        <f>IF(COUNT(J1208:L1208)=3,ROUND(AVERAGE(J1208:L1208),6),"")</f>
        <v/>
      </c>
      <c r="O1208">
        <f>IF(AND(ISNUMBER('자료_미국심리'!$A1192),ISNUMBER('자료_미국심리'!$B1192)),'자료_미국심리'!$A1192,"")</f>
        <v/>
      </c>
      <c r="P1208">
        <f>IF(AND(ISNUMBER('자료_미국심리'!$D1192),ISNUMBER('자료_미국심리'!$E1192)),'자료_미국심리'!$D1192,"")</f>
        <v/>
      </c>
      <c r="Q1208">
        <f>IF(AND(ISNUMBER('자료_미국심리'!$G1192),ISNUMBER('자료_미국심리'!$H1192)),'자료_미국심리'!$G1192,"")</f>
        <v/>
      </c>
    </row>
    <row r="1209">
      <c r="A1209" s="10">
        <f>IF(1191&gt;$E$5,"",SMALL($O$19:$O$4018,$E$6+1191))</f>
        <v/>
      </c>
      <c r="B1209" s="29">
        <f>IF(A1209="","",INDEX('자료_미국심리'!$B$3:$B$4002,MATCH(A1209,$O$19:$O$4018,0)))</f>
        <v/>
      </c>
      <c r="C1209" s="22">
        <f>IF(A1209="","",B1209/AVERAGE(B1085:B1209)-1)</f>
        <v/>
      </c>
      <c r="D1209" s="29">
        <f>IF(A1209="","",IFERROR(INDEX('자료_미국심리'!$E$3:$E$4002,MATCH(A1209,$P$19:$P$4018,0)),D1208))</f>
        <v/>
      </c>
      <c r="E1209" s="29">
        <f>IF(A1209="","",IFERROR(INDEX('자료_미국심리'!$H$3:$H$4002,MATCH(A1209,$Q$19:$Q$4018,0)),E1208))</f>
        <v/>
      </c>
      <c r="F1209">
        <f>IF(A1209="",0,IF(A1209&gt;$B$5,1,0))</f>
        <v/>
      </c>
      <c r="G1209" s="29">
        <f>IF(AND(F1209=1,ISNUMBER(D1209)),D1209,"")</f>
        <v/>
      </c>
      <c r="H1209" s="29">
        <f>IF(AND(F1209=1,ISNUMBER(E1209)),E1209,"")</f>
        <v/>
      </c>
      <c r="I1209" s="22">
        <f>IF(AND(F1209=1,ISNUMBER(C1209)),C1209,"")</f>
        <v/>
      </c>
      <c r="J1209" s="11">
        <f>IF(G1209="","",100-IF($G$13=1,50,(_xlfn.RANK.AVG(G1209,$G$19:$G$1518,1)-1)/($G$13-1)*100))</f>
        <v/>
      </c>
      <c r="K1209" s="11">
        <f>IF(H1209="","",100-IF($G$14=1,50,(_xlfn.RANK.AVG(H1209,$H$19:$H$1518,1)-1)/($G$14-1)*100))</f>
        <v/>
      </c>
      <c r="L1209" s="11">
        <f>IF(I1209="","",IF($G$15=1,50,(_xlfn.RANK.AVG(I1209,$I$19:$I$1518,1)-1)/($G$15-1)*100))</f>
        <v/>
      </c>
      <c r="M1209" s="11">
        <f>IF(COUNT(J1209:L1209)=3,ROUND(AVERAGE(J1209:L1209),6),"")</f>
        <v/>
      </c>
      <c r="O1209">
        <f>IF(AND(ISNUMBER('자료_미국심리'!$A1193),ISNUMBER('자료_미국심리'!$B1193)),'자료_미국심리'!$A1193,"")</f>
        <v/>
      </c>
      <c r="P1209">
        <f>IF(AND(ISNUMBER('자료_미국심리'!$D1193),ISNUMBER('자료_미국심리'!$E1193)),'자료_미국심리'!$D1193,"")</f>
        <v/>
      </c>
      <c r="Q1209">
        <f>IF(AND(ISNUMBER('자료_미국심리'!$G1193),ISNUMBER('자료_미국심리'!$H1193)),'자료_미국심리'!$G1193,"")</f>
        <v/>
      </c>
    </row>
    <row r="1210">
      <c r="A1210" s="10">
        <f>IF(1192&gt;$E$5,"",SMALL($O$19:$O$4018,$E$6+1192))</f>
        <v/>
      </c>
      <c r="B1210" s="29">
        <f>IF(A1210="","",INDEX('자료_미국심리'!$B$3:$B$4002,MATCH(A1210,$O$19:$O$4018,0)))</f>
        <v/>
      </c>
      <c r="C1210" s="22">
        <f>IF(A1210="","",B1210/AVERAGE(B1086:B1210)-1)</f>
        <v/>
      </c>
      <c r="D1210" s="29">
        <f>IF(A1210="","",IFERROR(INDEX('자료_미국심리'!$E$3:$E$4002,MATCH(A1210,$P$19:$P$4018,0)),D1209))</f>
        <v/>
      </c>
      <c r="E1210" s="29">
        <f>IF(A1210="","",IFERROR(INDEX('자료_미국심리'!$H$3:$H$4002,MATCH(A1210,$Q$19:$Q$4018,0)),E1209))</f>
        <v/>
      </c>
      <c r="F1210">
        <f>IF(A1210="",0,IF(A1210&gt;$B$5,1,0))</f>
        <v/>
      </c>
      <c r="G1210" s="29">
        <f>IF(AND(F1210=1,ISNUMBER(D1210)),D1210,"")</f>
        <v/>
      </c>
      <c r="H1210" s="29">
        <f>IF(AND(F1210=1,ISNUMBER(E1210)),E1210,"")</f>
        <v/>
      </c>
      <c r="I1210" s="22">
        <f>IF(AND(F1210=1,ISNUMBER(C1210)),C1210,"")</f>
        <v/>
      </c>
      <c r="J1210" s="11">
        <f>IF(G1210="","",100-IF($G$13=1,50,(_xlfn.RANK.AVG(G1210,$G$19:$G$1518,1)-1)/($G$13-1)*100))</f>
        <v/>
      </c>
      <c r="K1210" s="11">
        <f>IF(H1210="","",100-IF($G$14=1,50,(_xlfn.RANK.AVG(H1210,$H$19:$H$1518,1)-1)/($G$14-1)*100))</f>
        <v/>
      </c>
      <c r="L1210" s="11">
        <f>IF(I1210="","",IF($G$15=1,50,(_xlfn.RANK.AVG(I1210,$I$19:$I$1518,1)-1)/($G$15-1)*100))</f>
        <v/>
      </c>
      <c r="M1210" s="11">
        <f>IF(COUNT(J1210:L1210)=3,ROUND(AVERAGE(J1210:L1210),6),"")</f>
        <v/>
      </c>
      <c r="O1210">
        <f>IF(AND(ISNUMBER('자료_미국심리'!$A1194),ISNUMBER('자료_미국심리'!$B1194)),'자료_미국심리'!$A1194,"")</f>
        <v/>
      </c>
      <c r="P1210">
        <f>IF(AND(ISNUMBER('자료_미국심리'!$D1194),ISNUMBER('자료_미국심리'!$E1194)),'자료_미국심리'!$D1194,"")</f>
        <v/>
      </c>
      <c r="Q1210">
        <f>IF(AND(ISNUMBER('자료_미국심리'!$G1194),ISNUMBER('자료_미국심리'!$H1194)),'자료_미국심리'!$G1194,"")</f>
        <v/>
      </c>
    </row>
    <row r="1211">
      <c r="A1211" s="10">
        <f>IF(1193&gt;$E$5,"",SMALL($O$19:$O$4018,$E$6+1193))</f>
        <v/>
      </c>
      <c r="B1211" s="29">
        <f>IF(A1211="","",INDEX('자료_미국심리'!$B$3:$B$4002,MATCH(A1211,$O$19:$O$4018,0)))</f>
        <v/>
      </c>
      <c r="C1211" s="22">
        <f>IF(A1211="","",B1211/AVERAGE(B1087:B1211)-1)</f>
        <v/>
      </c>
      <c r="D1211" s="29">
        <f>IF(A1211="","",IFERROR(INDEX('자료_미국심리'!$E$3:$E$4002,MATCH(A1211,$P$19:$P$4018,0)),D1210))</f>
        <v/>
      </c>
      <c r="E1211" s="29">
        <f>IF(A1211="","",IFERROR(INDEX('자료_미국심리'!$H$3:$H$4002,MATCH(A1211,$Q$19:$Q$4018,0)),E1210))</f>
        <v/>
      </c>
      <c r="F1211">
        <f>IF(A1211="",0,IF(A1211&gt;$B$5,1,0))</f>
        <v/>
      </c>
      <c r="G1211" s="29">
        <f>IF(AND(F1211=1,ISNUMBER(D1211)),D1211,"")</f>
        <v/>
      </c>
      <c r="H1211" s="29">
        <f>IF(AND(F1211=1,ISNUMBER(E1211)),E1211,"")</f>
        <v/>
      </c>
      <c r="I1211" s="22">
        <f>IF(AND(F1211=1,ISNUMBER(C1211)),C1211,"")</f>
        <v/>
      </c>
      <c r="J1211" s="11">
        <f>IF(G1211="","",100-IF($G$13=1,50,(_xlfn.RANK.AVG(G1211,$G$19:$G$1518,1)-1)/($G$13-1)*100))</f>
        <v/>
      </c>
      <c r="K1211" s="11">
        <f>IF(H1211="","",100-IF($G$14=1,50,(_xlfn.RANK.AVG(H1211,$H$19:$H$1518,1)-1)/($G$14-1)*100))</f>
        <v/>
      </c>
      <c r="L1211" s="11">
        <f>IF(I1211="","",IF($G$15=1,50,(_xlfn.RANK.AVG(I1211,$I$19:$I$1518,1)-1)/($G$15-1)*100))</f>
        <v/>
      </c>
      <c r="M1211" s="11">
        <f>IF(COUNT(J1211:L1211)=3,ROUND(AVERAGE(J1211:L1211),6),"")</f>
        <v/>
      </c>
      <c r="O1211">
        <f>IF(AND(ISNUMBER('자료_미국심리'!$A1195),ISNUMBER('자료_미국심리'!$B1195)),'자료_미국심리'!$A1195,"")</f>
        <v/>
      </c>
      <c r="P1211">
        <f>IF(AND(ISNUMBER('자료_미국심리'!$D1195),ISNUMBER('자료_미국심리'!$E1195)),'자료_미국심리'!$D1195,"")</f>
        <v/>
      </c>
      <c r="Q1211">
        <f>IF(AND(ISNUMBER('자료_미국심리'!$G1195),ISNUMBER('자료_미국심리'!$H1195)),'자료_미국심리'!$G1195,"")</f>
        <v/>
      </c>
    </row>
    <row r="1212">
      <c r="A1212" s="10">
        <f>IF(1194&gt;$E$5,"",SMALL($O$19:$O$4018,$E$6+1194))</f>
        <v/>
      </c>
      <c r="B1212" s="29">
        <f>IF(A1212="","",INDEX('자료_미국심리'!$B$3:$B$4002,MATCH(A1212,$O$19:$O$4018,0)))</f>
        <v/>
      </c>
      <c r="C1212" s="22">
        <f>IF(A1212="","",B1212/AVERAGE(B1088:B1212)-1)</f>
        <v/>
      </c>
      <c r="D1212" s="29">
        <f>IF(A1212="","",IFERROR(INDEX('자료_미국심리'!$E$3:$E$4002,MATCH(A1212,$P$19:$P$4018,0)),D1211))</f>
        <v/>
      </c>
      <c r="E1212" s="29">
        <f>IF(A1212="","",IFERROR(INDEX('자료_미국심리'!$H$3:$H$4002,MATCH(A1212,$Q$19:$Q$4018,0)),E1211))</f>
        <v/>
      </c>
      <c r="F1212">
        <f>IF(A1212="",0,IF(A1212&gt;$B$5,1,0))</f>
        <v/>
      </c>
      <c r="G1212" s="29">
        <f>IF(AND(F1212=1,ISNUMBER(D1212)),D1212,"")</f>
        <v/>
      </c>
      <c r="H1212" s="29">
        <f>IF(AND(F1212=1,ISNUMBER(E1212)),E1212,"")</f>
        <v/>
      </c>
      <c r="I1212" s="22">
        <f>IF(AND(F1212=1,ISNUMBER(C1212)),C1212,"")</f>
        <v/>
      </c>
      <c r="J1212" s="11">
        <f>IF(G1212="","",100-IF($G$13=1,50,(_xlfn.RANK.AVG(G1212,$G$19:$G$1518,1)-1)/($G$13-1)*100))</f>
        <v/>
      </c>
      <c r="K1212" s="11">
        <f>IF(H1212="","",100-IF($G$14=1,50,(_xlfn.RANK.AVG(H1212,$H$19:$H$1518,1)-1)/($G$14-1)*100))</f>
        <v/>
      </c>
      <c r="L1212" s="11">
        <f>IF(I1212="","",IF($G$15=1,50,(_xlfn.RANK.AVG(I1212,$I$19:$I$1518,1)-1)/($G$15-1)*100))</f>
        <v/>
      </c>
      <c r="M1212" s="11">
        <f>IF(COUNT(J1212:L1212)=3,ROUND(AVERAGE(J1212:L1212),6),"")</f>
        <v/>
      </c>
      <c r="O1212">
        <f>IF(AND(ISNUMBER('자료_미국심리'!$A1196),ISNUMBER('자료_미국심리'!$B1196)),'자료_미국심리'!$A1196,"")</f>
        <v/>
      </c>
      <c r="P1212">
        <f>IF(AND(ISNUMBER('자료_미국심리'!$D1196),ISNUMBER('자료_미국심리'!$E1196)),'자료_미국심리'!$D1196,"")</f>
        <v/>
      </c>
      <c r="Q1212">
        <f>IF(AND(ISNUMBER('자료_미국심리'!$G1196),ISNUMBER('자료_미국심리'!$H1196)),'자료_미국심리'!$G1196,"")</f>
        <v/>
      </c>
    </row>
    <row r="1213">
      <c r="A1213" s="10">
        <f>IF(1195&gt;$E$5,"",SMALL($O$19:$O$4018,$E$6+1195))</f>
        <v/>
      </c>
      <c r="B1213" s="29">
        <f>IF(A1213="","",INDEX('자료_미국심리'!$B$3:$B$4002,MATCH(A1213,$O$19:$O$4018,0)))</f>
        <v/>
      </c>
      <c r="C1213" s="22">
        <f>IF(A1213="","",B1213/AVERAGE(B1089:B1213)-1)</f>
        <v/>
      </c>
      <c r="D1213" s="29">
        <f>IF(A1213="","",IFERROR(INDEX('자료_미국심리'!$E$3:$E$4002,MATCH(A1213,$P$19:$P$4018,0)),D1212))</f>
        <v/>
      </c>
      <c r="E1213" s="29">
        <f>IF(A1213="","",IFERROR(INDEX('자료_미국심리'!$H$3:$H$4002,MATCH(A1213,$Q$19:$Q$4018,0)),E1212))</f>
        <v/>
      </c>
      <c r="F1213">
        <f>IF(A1213="",0,IF(A1213&gt;$B$5,1,0))</f>
        <v/>
      </c>
      <c r="G1213" s="29">
        <f>IF(AND(F1213=1,ISNUMBER(D1213)),D1213,"")</f>
        <v/>
      </c>
      <c r="H1213" s="29">
        <f>IF(AND(F1213=1,ISNUMBER(E1213)),E1213,"")</f>
        <v/>
      </c>
      <c r="I1213" s="22">
        <f>IF(AND(F1213=1,ISNUMBER(C1213)),C1213,"")</f>
        <v/>
      </c>
      <c r="J1213" s="11">
        <f>IF(G1213="","",100-IF($G$13=1,50,(_xlfn.RANK.AVG(G1213,$G$19:$G$1518,1)-1)/($G$13-1)*100))</f>
        <v/>
      </c>
      <c r="K1213" s="11">
        <f>IF(H1213="","",100-IF($G$14=1,50,(_xlfn.RANK.AVG(H1213,$H$19:$H$1518,1)-1)/($G$14-1)*100))</f>
        <v/>
      </c>
      <c r="L1213" s="11">
        <f>IF(I1213="","",IF($G$15=1,50,(_xlfn.RANK.AVG(I1213,$I$19:$I$1518,1)-1)/($G$15-1)*100))</f>
        <v/>
      </c>
      <c r="M1213" s="11">
        <f>IF(COUNT(J1213:L1213)=3,ROUND(AVERAGE(J1213:L1213),6),"")</f>
        <v/>
      </c>
      <c r="O1213">
        <f>IF(AND(ISNUMBER('자료_미국심리'!$A1197),ISNUMBER('자료_미국심리'!$B1197)),'자료_미국심리'!$A1197,"")</f>
        <v/>
      </c>
      <c r="P1213">
        <f>IF(AND(ISNUMBER('자료_미국심리'!$D1197),ISNUMBER('자료_미국심리'!$E1197)),'자료_미국심리'!$D1197,"")</f>
        <v/>
      </c>
      <c r="Q1213">
        <f>IF(AND(ISNUMBER('자료_미국심리'!$G1197),ISNUMBER('자료_미국심리'!$H1197)),'자료_미국심리'!$G1197,"")</f>
        <v/>
      </c>
    </row>
    <row r="1214">
      <c r="A1214" s="10">
        <f>IF(1196&gt;$E$5,"",SMALL($O$19:$O$4018,$E$6+1196))</f>
        <v/>
      </c>
      <c r="B1214" s="29">
        <f>IF(A1214="","",INDEX('자료_미국심리'!$B$3:$B$4002,MATCH(A1214,$O$19:$O$4018,0)))</f>
        <v/>
      </c>
      <c r="C1214" s="22">
        <f>IF(A1214="","",B1214/AVERAGE(B1090:B1214)-1)</f>
        <v/>
      </c>
      <c r="D1214" s="29">
        <f>IF(A1214="","",IFERROR(INDEX('자료_미국심리'!$E$3:$E$4002,MATCH(A1214,$P$19:$P$4018,0)),D1213))</f>
        <v/>
      </c>
      <c r="E1214" s="29">
        <f>IF(A1214="","",IFERROR(INDEX('자료_미국심리'!$H$3:$H$4002,MATCH(A1214,$Q$19:$Q$4018,0)),E1213))</f>
        <v/>
      </c>
      <c r="F1214">
        <f>IF(A1214="",0,IF(A1214&gt;$B$5,1,0))</f>
        <v/>
      </c>
      <c r="G1214" s="29">
        <f>IF(AND(F1214=1,ISNUMBER(D1214)),D1214,"")</f>
        <v/>
      </c>
      <c r="H1214" s="29">
        <f>IF(AND(F1214=1,ISNUMBER(E1214)),E1214,"")</f>
        <v/>
      </c>
      <c r="I1214" s="22">
        <f>IF(AND(F1214=1,ISNUMBER(C1214)),C1214,"")</f>
        <v/>
      </c>
      <c r="J1214" s="11">
        <f>IF(G1214="","",100-IF($G$13=1,50,(_xlfn.RANK.AVG(G1214,$G$19:$G$1518,1)-1)/($G$13-1)*100))</f>
        <v/>
      </c>
      <c r="K1214" s="11">
        <f>IF(H1214="","",100-IF($G$14=1,50,(_xlfn.RANK.AVG(H1214,$H$19:$H$1518,1)-1)/($G$14-1)*100))</f>
        <v/>
      </c>
      <c r="L1214" s="11">
        <f>IF(I1214="","",IF($G$15=1,50,(_xlfn.RANK.AVG(I1214,$I$19:$I$1518,1)-1)/($G$15-1)*100))</f>
        <v/>
      </c>
      <c r="M1214" s="11">
        <f>IF(COUNT(J1214:L1214)=3,ROUND(AVERAGE(J1214:L1214),6),"")</f>
        <v/>
      </c>
      <c r="O1214">
        <f>IF(AND(ISNUMBER('자료_미국심리'!$A1198),ISNUMBER('자료_미국심리'!$B1198)),'자료_미국심리'!$A1198,"")</f>
        <v/>
      </c>
      <c r="P1214">
        <f>IF(AND(ISNUMBER('자료_미국심리'!$D1198),ISNUMBER('자료_미국심리'!$E1198)),'자료_미국심리'!$D1198,"")</f>
        <v/>
      </c>
      <c r="Q1214">
        <f>IF(AND(ISNUMBER('자료_미국심리'!$G1198),ISNUMBER('자료_미국심리'!$H1198)),'자료_미국심리'!$G1198,"")</f>
        <v/>
      </c>
    </row>
    <row r="1215">
      <c r="A1215" s="10">
        <f>IF(1197&gt;$E$5,"",SMALL($O$19:$O$4018,$E$6+1197))</f>
        <v/>
      </c>
      <c r="B1215" s="29">
        <f>IF(A1215="","",INDEX('자료_미국심리'!$B$3:$B$4002,MATCH(A1215,$O$19:$O$4018,0)))</f>
        <v/>
      </c>
      <c r="C1215" s="22">
        <f>IF(A1215="","",B1215/AVERAGE(B1091:B1215)-1)</f>
        <v/>
      </c>
      <c r="D1215" s="29">
        <f>IF(A1215="","",IFERROR(INDEX('자료_미국심리'!$E$3:$E$4002,MATCH(A1215,$P$19:$P$4018,0)),D1214))</f>
        <v/>
      </c>
      <c r="E1215" s="29">
        <f>IF(A1215="","",IFERROR(INDEX('자료_미국심리'!$H$3:$H$4002,MATCH(A1215,$Q$19:$Q$4018,0)),E1214))</f>
        <v/>
      </c>
      <c r="F1215">
        <f>IF(A1215="",0,IF(A1215&gt;$B$5,1,0))</f>
        <v/>
      </c>
      <c r="G1215" s="29">
        <f>IF(AND(F1215=1,ISNUMBER(D1215)),D1215,"")</f>
        <v/>
      </c>
      <c r="H1215" s="29">
        <f>IF(AND(F1215=1,ISNUMBER(E1215)),E1215,"")</f>
        <v/>
      </c>
      <c r="I1215" s="22">
        <f>IF(AND(F1215=1,ISNUMBER(C1215)),C1215,"")</f>
        <v/>
      </c>
      <c r="J1215" s="11">
        <f>IF(G1215="","",100-IF($G$13=1,50,(_xlfn.RANK.AVG(G1215,$G$19:$G$1518,1)-1)/($G$13-1)*100))</f>
        <v/>
      </c>
      <c r="K1215" s="11">
        <f>IF(H1215="","",100-IF($G$14=1,50,(_xlfn.RANK.AVG(H1215,$H$19:$H$1518,1)-1)/($G$14-1)*100))</f>
        <v/>
      </c>
      <c r="L1215" s="11">
        <f>IF(I1215="","",IF($G$15=1,50,(_xlfn.RANK.AVG(I1215,$I$19:$I$1518,1)-1)/($G$15-1)*100))</f>
        <v/>
      </c>
      <c r="M1215" s="11">
        <f>IF(COUNT(J1215:L1215)=3,ROUND(AVERAGE(J1215:L1215),6),"")</f>
        <v/>
      </c>
      <c r="O1215">
        <f>IF(AND(ISNUMBER('자료_미국심리'!$A1199),ISNUMBER('자료_미국심리'!$B1199)),'자료_미국심리'!$A1199,"")</f>
        <v/>
      </c>
      <c r="P1215">
        <f>IF(AND(ISNUMBER('자료_미국심리'!$D1199),ISNUMBER('자료_미국심리'!$E1199)),'자료_미국심리'!$D1199,"")</f>
        <v/>
      </c>
      <c r="Q1215">
        <f>IF(AND(ISNUMBER('자료_미국심리'!$G1199),ISNUMBER('자료_미국심리'!$H1199)),'자료_미국심리'!$G1199,"")</f>
        <v/>
      </c>
    </row>
    <row r="1216">
      <c r="A1216" s="10">
        <f>IF(1198&gt;$E$5,"",SMALL($O$19:$O$4018,$E$6+1198))</f>
        <v/>
      </c>
      <c r="B1216" s="29">
        <f>IF(A1216="","",INDEX('자료_미국심리'!$B$3:$B$4002,MATCH(A1216,$O$19:$O$4018,0)))</f>
        <v/>
      </c>
      <c r="C1216" s="22">
        <f>IF(A1216="","",B1216/AVERAGE(B1092:B1216)-1)</f>
        <v/>
      </c>
      <c r="D1216" s="29">
        <f>IF(A1216="","",IFERROR(INDEX('자료_미국심리'!$E$3:$E$4002,MATCH(A1216,$P$19:$P$4018,0)),D1215))</f>
        <v/>
      </c>
      <c r="E1216" s="29">
        <f>IF(A1216="","",IFERROR(INDEX('자료_미국심리'!$H$3:$H$4002,MATCH(A1216,$Q$19:$Q$4018,0)),E1215))</f>
        <v/>
      </c>
      <c r="F1216">
        <f>IF(A1216="",0,IF(A1216&gt;$B$5,1,0))</f>
        <v/>
      </c>
      <c r="G1216" s="29">
        <f>IF(AND(F1216=1,ISNUMBER(D1216)),D1216,"")</f>
        <v/>
      </c>
      <c r="H1216" s="29">
        <f>IF(AND(F1216=1,ISNUMBER(E1216)),E1216,"")</f>
        <v/>
      </c>
      <c r="I1216" s="22">
        <f>IF(AND(F1216=1,ISNUMBER(C1216)),C1216,"")</f>
        <v/>
      </c>
      <c r="J1216" s="11">
        <f>IF(G1216="","",100-IF($G$13=1,50,(_xlfn.RANK.AVG(G1216,$G$19:$G$1518,1)-1)/($G$13-1)*100))</f>
        <v/>
      </c>
      <c r="K1216" s="11">
        <f>IF(H1216="","",100-IF($G$14=1,50,(_xlfn.RANK.AVG(H1216,$H$19:$H$1518,1)-1)/($G$14-1)*100))</f>
        <v/>
      </c>
      <c r="L1216" s="11">
        <f>IF(I1216="","",IF($G$15=1,50,(_xlfn.RANK.AVG(I1216,$I$19:$I$1518,1)-1)/($G$15-1)*100))</f>
        <v/>
      </c>
      <c r="M1216" s="11">
        <f>IF(COUNT(J1216:L1216)=3,ROUND(AVERAGE(J1216:L1216),6),"")</f>
        <v/>
      </c>
      <c r="O1216">
        <f>IF(AND(ISNUMBER('자료_미국심리'!$A1200),ISNUMBER('자료_미국심리'!$B1200)),'자료_미국심리'!$A1200,"")</f>
        <v/>
      </c>
      <c r="P1216">
        <f>IF(AND(ISNUMBER('자료_미국심리'!$D1200),ISNUMBER('자료_미국심리'!$E1200)),'자료_미국심리'!$D1200,"")</f>
        <v/>
      </c>
      <c r="Q1216">
        <f>IF(AND(ISNUMBER('자료_미국심리'!$G1200),ISNUMBER('자료_미국심리'!$H1200)),'자료_미국심리'!$G1200,"")</f>
        <v/>
      </c>
    </row>
    <row r="1217">
      <c r="A1217" s="10">
        <f>IF(1199&gt;$E$5,"",SMALL($O$19:$O$4018,$E$6+1199))</f>
        <v/>
      </c>
      <c r="B1217" s="29">
        <f>IF(A1217="","",INDEX('자료_미국심리'!$B$3:$B$4002,MATCH(A1217,$O$19:$O$4018,0)))</f>
        <v/>
      </c>
      <c r="C1217" s="22">
        <f>IF(A1217="","",B1217/AVERAGE(B1093:B1217)-1)</f>
        <v/>
      </c>
      <c r="D1217" s="29">
        <f>IF(A1217="","",IFERROR(INDEX('자료_미국심리'!$E$3:$E$4002,MATCH(A1217,$P$19:$P$4018,0)),D1216))</f>
        <v/>
      </c>
      <c r="E1217" s="29">
        <f>IF(A1217="","",IFERROR(INDEX('자료_미국심리'!$H$3:$H$4002,MATCH(A1217,$Q$19:$Q$4018,0)),E1216))</f>
        <v/>
      </c>
      <c r="F1217">
        <f>IF(A1217="",0,IF(A1217&gt;$B$5,1,0))</f>
        <v/>
      </c>
      <c r="G1217" s="29">
        <f>IF(AND(F1217=1,ISNUMBER(D1217)),D1217,"")</f>
        <v/>
      </c>
      <c r="H1217" s="29">
        <f>IF(AND(F1217=1,ISNUMBER(E1217)),E1217,"")</f>
        <v/>
      </c>
      <c r="I1217" s="22">
        <f>IF(AND(F1217=1,ISNUMBER(C1217)),C1217,"")</f>
        <v/>
      </c>
      <c r="J1217" s="11">
        <f>IF(G1217="","",100-IF($G$13=1,50,(_xlfn.RANK.AVG(G1217,$G$19:$G$1518,1)-1)/($G$13-1)*100))</f>
        <v/>
      </c>
      <c r="K1217" s="11">
        <f>IF(H1217="","",100-IF($G$14=1,50,(_xlfn.RANK.AVG(H1217,$H$19:$H$1518,1)-1)/($G$14-1)*100))</f>
        <v/>
      </c>
      <c r="L1217" s="11">
        <f>IF(I1217="","",IF($G$15=1,50,(_xlfn.RANK.AVG(I1217,$I$19:$I$1518,1)-1)/($G$15-1)*100))</f>
        <v/>
      </c>
      <c r="M1217" s="11">
        <f>IF(COUNT(J1217:L1217)=3,ROUND(AVERAGE(J1217:L1217),6),"")</f>
        <v/>
      </c>
      <c r="O1217">
        <f>IF(AND(ISNUMBER('자료_미국심리'!$A1201),ISNUMBER('자료_미국심리'!$B1201)),'자료_미국심리'!$A1201,"")</f>
        <v/>
      </c>
      <c r="P1217">
        <f>IF(AND(ISNUMBER('자료_미국심리'!$D1201),ISNUMBER('자료_미국심리'!$E1201)),'자료_미국심리'!$D1201,"")</f>
        <v/>
      </c>
      <c r="Q1217">
        <f>IF(AND(ISNUMBER('자료_미국심리'!$G1201),ISNUMBER('자료_미국심리'!$H1201)),'자료_미국심리'!$G1201,"")</f>
        <v/>
      </c>
    </row>
    <row r="1218">
      <c r="A1218" s="10">
        <f>IF(1200&gt;$E$5,"",SMALL($O$19:$O$4018,$E$6+1200))</f>
        <v/>
      </c>
      <c r="B1218" s="29">
        <f>IF(A1218="","",INDEX('자료_미국심리'!$B$3:$B$4002,MATCH(A1218,$O$19:$O$4018,0)))</f>
        <v/>
      </c>
      <c r="C1218" s="22">
        <f>IF(A1218="","",B1218/AVERAGE(B1094:B1218)-1)</f>
        <v/>
      </c>
      <c r="D1218" s="29">
        <f>IF(A1218="","",IFERROR(INDEX('자료_미국심리'!$E$3:$E$4002,MATCH(A1218,$P$19:$P$4018,0)),D1217))</f>
        <v/>
      </c>
      <c r="E1218" s="29">
        <f>IF(A1218="","",IFERROR(INDEX('자료_미국심리'!$H$3:$H$4002,MATCH(A1218,$Q$19:$Q$4018,0)),E1217))</f>
        <v/>
      </c>
      <c r="F1218">
        <f>IF(A1218="",0,IF(A1218&gt;$B$5,1,0))</f>
        <v/>
      </c>
      <c r="G1218" s="29">
        <f>IF(AND(F1218=1,ISNUMBER(D1218)),D1218,"")</f>
        <v/>
      </c>
      <c r="H1218" s="29">
        <f>IF(AND(F1218=1,ISNUMBER(E1218)),E1218,"")</f>
        <v/>
      </c>
      <c r="I1218" s="22">
        <f>IF(AND(F1218=1,ISNUMBER(C1218)),C1218,"")</f>
        <v/>
      </c>
      <c r="J1218" s="11">
        <f>IF(G1218="","",100-IF($G$13=1,50,(_xlfn.RANK.AVG(G1218,$G$19:$G$1518,1)-1)/($G$13-1)*100))</f>
        <v/>
      </c>
      <c r="K1218" s="11">
        <f>IF(H1218="","",100-IF($G$14=1,50,(_xlfn.RANK.AVG(H1218,$H$19:$H$1518,1)-1)/($G$14-1)*100))</f>
        <v/>
      </c>
      <c r="L1218" s="11">
        <f>IF(I1218="","",IF($G$15=1,50,(_xlfn.RANK.AVG(I1218,$I$19:$I$1518,1)-1)/($G$15-1)*100))</f>
        <v/>
      </c>
      <c r="M1218" s="11">
        <f>IF(COUNT(J1218:L1218)=3,ROUND(AVERAGE(J1218:L1218),6),"")</f>
        <v/>
      </c>
      <c r="O1218">
        <f>IF(AND(ISNUMBER('자료_미국심리'!$A1202),ISNUMBER('자료_미국심리'!$B1202)),'자료_미국심리'!$A1202,"")</f>
        <v/>
      </c>
      <c r="P1218">
        <f>IF(AND(ISNUMBER('자료_미국심리'!$D1202),ISNUMBER('자료_미국심리'!$E1202)),'자료_미국심리'!$D1202,"")</f>
        <v/>
      </c>
      <c r="Q1218">
        <f>IF(AND(ISNUMBER('자료_미국심리'!$G1202),ISNUMBER('자료_미국심리'!$H1202)),'자료_미국심리'!$G1202,"")</f>
        <v/>
      </c>
    </row>
    <row r="1219">
      <c r="A1219" s="10">
        <f>IF(1201&gt;$E$5,"",SMALL($O$19:$O$4018,$E$6+1201))</f>
        <v/>
      </c>
      <c r="B1219" s="29">
        <f>IF(A1219="","",INDEX('자료_미국심리'!$B$3:$B$4002,MATCH(A1219,$O$19:$O$4018,0)))</f>
        <v/>
      </c>
      <c r="C1219" s="22">
        <f>IF(A1219="","",B1219/AVERAGE(B1095:B1219)-1)</f>
        <v/>
      </c>
      <c r="D1219" s="29">
        <f>IF(A1219="","",IFERROR(INDEX('자료_미국심리'!$E$3:$E$4002,MATCH(A1219,$P$19:$P$4018,0)),D1218))</f>
        <v/>
      </c>
      <c r="E1219" s="29">
        <f>IF(A1219="","",IFERROR(INDEX('자료_미국심리'!$H$3:$H$4002,MATCH(A1219,$Q$19:$Q$4018,0)),E1218))</f>
        <v/>
      </c>
      <c r="F1219">
        <f>IF(A1219="",0,IF(A1219&gt;$B$5,1,0))</f>
        <v/>
      </c>
      <c r="G1219" s="29">
        <f>IF(AND(F1219=1,ISNUMBER(D1219)),D1219,"")</f>
        <v/>
      </c>
      <c r="H1219" s="29">
        <f>IF(AND(F1219=1,ISNUMBER(E1219)),E1219,"")</f>
        <v/>
      </c>
      <c r="I1219" s="22">
        <f>IF(AND(F1219=1,ISNUMBER(C1219)),C1219,"")</f>
        <v/>
      </c>
      <c r="J1219" s="11">
        <f>IF(G1219="","",100-IF($G$13=1,50,(_xlfn.RANK.AVG(G1219,$G$19:$G$1518,1)-1)/($G$13-1)*100))</f>
        <v/>
      </c>
      <c r="K1219" s="11">
        <f>IF(H1219="","",100-IF($G$14=1,50,(_xlfn.RANK.AVG(H1219,$H$19:$H$1518,1)-1)/($G$14-1)*100))</f>
        <v/>
      </c>
      <c r="L1219" s="11">
        <f>IF(I1219="","",IF($G$15=1,50,(_xlfn.RANK.AVG(I1219,$I$19:$I$1518,1)-1)/($G$15-1)*100))</f>
        <v/>
      </c>
      <c r="M1219" s="11">
        <f>IF(COUNT(J1219:L1219)=3,ROUND(AVERAGE(J1219:L1219),6),"")</f>
        <v/>
      </c>
      <c r="O1219">
        <f>IF(AND(ISNUMBER('자료_미국심리'!$A1203),ISNUMBER('자료_미국심리'!$B1203)),'자료_미국심리'!$A1203,"")</f>
        <v/>
      </c>
      <c r="P1219">
        <f>IF(AND(ISNUMBER('자료_미국심리'!$D1203),ISNUMBER('자료_미국심리'!$E1203)),'자료_미국심리'!$D1203,"")</f>
        <v/>
      </c>
      <c r="Q1219">
        <f>IF(AND(ISNUMBER('자료_미국심리'!$G1203),ISNUMBER('자료_미국심리'!$H1203)),'자료_미국심리'!$G1203,"")</f>
        <v/>
      </c>
    </row>
    <row r="1220">
      <c r="A1220" s="10">
        <f>IF(1202&gt;$E$5,"",SMALL($O$19:$O$4018,$E$6+1202))</f>
        <v/>
      </c>
      <c r="B1220" s="29">
        <f>IF(A1220="","",INDEX('자료_미국심리'!$B$3:$B$4002,MATCH(A1220,$O$19:$O$4018,0)))</f>
        <v/>
      </c>
      <c r="C1220" s="22">
        <f>IF(A1220="","",B1220/AVERAGE(B1096:B1220)-1)</f>
        <v/>
      </c>
      <c r="D1220" s="29">
        <f>IF(A1220="","",IFERROR(INDEX('자료_미국심리'!$E$3:$E$4002,MATCH(A1220,$P$19:$P$4018,0)),D1219))</f>
        <v/>
      </c>
      <c r="E1220" s="29">
        <f>IF(A1220="","",IFERROR(INDEX('자료_미국심리'!$H$3:$H$4002,MATCH(A1220,$Q$19:$Q$4018,0)),E1219))</f>
        <v/>
      </c>
      <c r="F1220">
        <f>IF(A1220="",0,IF(A1220&gt;$B$5,1,0))</f>
        <v/>
      </c>
      <c r="G1220" s="29">
        <f>IF(AND(F1220=1,ISNUMBER(D1220)),D1220,"")</f>
        <v/>
      </c>
      <c r="H1220" s="29">
        <f>IF(AND(F1220=1,ISNUMBER(E1220)),E1220,"")</f>
        <v/>
      </c>
      <c r="I1220" s="22">
        <f>IF(AND(F1220=1,ISNUMBER(C1220)),C1220,"")</f>
        <v/>
      </c>
      <c r="J1220" s="11">
        <f>IF(G1220="","",100-IF($G$13=1,50,(_xlfn.RANK.AVG(G1220,$G$19:$G$1518,1)-1)/($G$13-1)*100))</f>
        <v/>
      </c>
      <c r="K1220" s="11">
        <f>IF(H1220="","",100-IF($G$14=1,50,(_xlfn.RANK.AVG(H1220,$H$19:$H$1518,1)-1)/($G$14-1)*100))</f>
        <v/>
      </c>
      <c r="L1220" s="11">
        <f>IF(I1220="","",IF($G$15=1,50,(_xlfn.RANK.AVG(I1220,$I$19:$I$1518,1)-1)/($G$15-1)*100))</f>
        <v/>
      </c>
      <c r="M1220" s="11">
        <f>IF(COUNT(J1220:L1220)=3,ROUND(AVERAGE(J1220:L1220),6),"")</f>
        <v/>
      </c>
      <c r="O1220">
        <f>IF(AND(ISNUMBER('자료_미국심리'!$A1204),ISNUMBER('자료_미국심리'!$B1204)),'자료_미국심리'!$A1204,"")</f>
        <v/>
      </c>
      <c r="P1220">
        <f>IF(AND(ISNUMBER('자료_미국심리'!$D1204),ISNUMBER('자료_미국심리'!$E1204)),'자료_미국심리'!$D1204,"")</f>
        <v/>
      </c>
      <c r="Q1220">
        <f>IF(AND(ISNUMBER('자료_미국심리'!$G1204),ISNUMBER('자료_미국심리'!$H1204)),'자료_미국심리'!$G1204,"")</f>
        <v/>
      </c>
    </row>
    <row r="1221">
      <c r="A1221" s="10">
        <f>IF(1203&gt;$E$5,"",SMALL($O$19:$O$4018,$E$6+1203))</f>
        <v/>
      </c>
      <c r="B1221" s="29">
        <f>IF(A1221="","",INDEX('자료_미국심리'!$B$3:$B$4002,MATCH(A1221,$O$19:$O$4018,0)))</f>
        <v/>
      </c>
      <c r="C1221" s="22">
        <f>IF(A1221="","",B1221/AVERAGE(B1097:B1221)-1)</f>
        <v/>
      </c>
      <c r="D1221" s="29">
        <f>IF(A1221="","",IFERROR(INDEX('자료_미국심리'!$E$3:$E$4002,MATCH(A1221,$P$19:$P$4018,0)),D1220))</f>
        <v/>
      </c>
      <c r="E1221" s="29">
        <f>IF(A1221="","",IFERROR(INDEX('자료_미국심리'!$H$3:$H$4002,MATCH(A1221,$Q$19:$Q$4018,0)),E1220))</f>
        <v/>
      </c>
      <c r="F1221">
        <f>IF(A1221="",0,IF(A1221&gt;$B$5,1,0))</f>
        <v/>
      </c>
      <c r="G1221" s="29">
        <f>IF(AND(F1221=1,ISNUMBER(D1221)),D1221,"")</f>
        <v/>
      </c>
      <c r="H1221" s="29">
        <f>IF(AND(F1221=1,ISNUMBER(E1221)),E1221,"")</f>
        <v/>
      </c>
      <c r="I1221" s="22">
        <f>IF(AND(F1221=1,ISNUMBER(C1221)),C1221,"")</f>
        <v/>
      </c>
      <c r="J1221" s="11">
        <f>IF(G1221="","",100-IF($G$13=1,50,(_xlfn.RANK.AVG(G1221,$G$19:$G$1518,1)-1)/($G$13-1)*100))</f>
        <v/>
      </c>
      <c r="K1221" s="11">
        <f>IF(H1221="","",100-IF($G$14=1,50,(_xlfn.RANK.AVG(H1221,$H$19:$H$1518,1)-1)/($G$14-1)*100))</f>
        <v/>
      </c>
      <c r="L1221" s="11">
        <f>IF(I1221="","",IF($G$15=1,50,(_xlfn.RANK.AVG(I1221,$I$19:$I$1518,1)-1)/($G$15-1)*100))</f>
        <v/>
      </c>
      <c r="M1221" s="11">
        <f>IF(COUNT(J1221:L1221)=3,ROUND(AVERAGE(J1221:L1221),6),"")</f>
        <v/>
      </c>
      <c r="O1221">
        <f>IF(AND(ISNUMBER('자료_미국심리'!$A1205),ISNUMBER('자료_미국심리'!$B1205)),'자료_미국심리'!$A1205,"")</f>
        <v/>
      </c>
      <c r="P1221">
        <f>IF(AND(ISNUMBER('자료_미국심리'!$D1205),ISNUMBER('자료_미국심리'!$E1205)),'자료_미국심리'!$D1205,"")</f>
        <v/>
      </c>
      <c r="Q1221">
        <f>IF(AND(ISNUMBER('자료_미국심리'!$G1205),ISNUMBER('자료_미국심리'!$H1205)),'자료_미국심리'!$G1205,"")</f>
        <v/>
      </c>
    </row>
    <row r="1222">
      <c r="A1222" s="10">
        <f>IF(1204&gt;$E$5,"",SMALL($O$19:$O$4018,$E$6+1204))</f>
        <v/>
      </c>
      <c r="B1222" s="29">
        <f>IF(A1222="","",INDEX('자료_미국심리'!$B$3:$B$4002,MATCH(A1222,$O$19:$O$4018,0)))</f>
        <v/>
      </c>
      <c r="C1222" s="22">
        <f>IF(A1222="","",B1222/AVERAGE(B1098:B1222)-1)</f>
        <v/>
      </c>
      <c r="D1222" s="29">
        <f>IF(A1222="","",IFERROR(INDEX('자료_미국심리'!$E$3:$E$4002,MATCH(A1222,$P$19:$P$4018,0)),D1221))</f>
        <v/>
      </c>
      <c r="E1222" s="29">
        <f>IF(A1222="","",IFERROR(INDEX('자료_미국심리'!$H$3:$H$4002,MATCH(A1222,$Q$19:$Q$4018,0)),E1221))</f>
        <v/>
      </c>
      <c r="F1222">
        <f>IF(A1222="",0,IF(A1222&gt;$B$5,1,0))</f>
        <v/>
      </c>
      <c r="G1222" s="29">
        <f>IF(AND(F1222=1,ISNUMBER(D1222)),D1222,"")</f>
        <v/>
      </c>
      <c r="H1222" s="29">
        <f>IF(AND(F1222=1,ISNUMBER(E1222)),E1222,"")</f>
        <v/>
      </c>
      <c r="I1222" s="22">
        <f>IF(AND(F1222=1,ISNUMBER(C1222)),C1222,"")</f>
        <v/>
      </c>
      <c r="J1222" s="11">
        <f>IF(G1222="","",100-IF($G$13=1,50,(_xlfn.RANK.AVG(G1222,$G$19:$G$1518,1)-1)/($G$13-1)*100))</f>
        <v/>
      </c>
      <c r="K1222" s="11">
        <f>IF(H1222="","",100-IF($G$14=1,50,(_xlfn.RANK.AVG(H1222,$H$19:$H$1518,1)-1)/($G$14-1)*100))</f>
        <v/>
      </c>
      <c r="L1222" s="11">
        <f>IF(I1222="","",IF($G$15=1,50,(_xlfn.RANK.AVG(I1222,$I$19:$I$1518,1)-1)/($G$15-1)*100))</f>
        <v/>
      </c>
      <c r="M1222" s="11">
        <f>IF(COUNT(J1222:L1222)=3,ROUND(AVERAGE(J1222:L1222),6),"")</f>
        <v/>
      </c>
      <c r="O1222">
        <f>IF(AND(ISNUMBER('자료_미국심리'!$A1206),ISNUMBER('자료_미국심리'!$B1206)),'자료_미국심리'!$A1206,"")</f>
        <v/>
      </c>
      <c r="P1222">
        <f>IF(AND(ISNUMBER('자료_미국심리'!$D1206),ISNUMBER('자료_미국심리'!$E1206)),'자료_미국심리'!$D1206,"")</f>
        <v/>
      </c>
      <c r="Q1222">
        <f>IF(AND(ISNUMBER('자료_미국심리'!$G1206),ISNUMBER('자료_미국심리'!$H1206)),'자료_미국심리'!$G1206,"")</f>
        <v/>
      </c>
    </row>
    <row r="1223">
      <c r="A1223" s="10">
        <f>IF(1205&gt;$E$5,"",SMALL($O$19:$O$4018,$E$6+1205))</f>
        <v/>
      </c>
      <c r="B1223" s="29">
        <f>IF(A1223="","",INDEX('자료_미국심리'!$B$3:$B$4002,MATCH(A1223,$O$19:$O$4018,0)))</f>
        <v/>
      </c>
      <c r="C1223" s="22">
        <f>IF(A1223="","",B1223/AVERAGE(B1099:B1223)-1)</f>
        <v/>
      </c>
      <c r="D1223" s="29">
        <f>IF(A1223="","",IFERROR(INDEX('자료_미국심리'!$E$3:$E$4002,MATCH(A1223,$P$19:$P$4018,0)),D1222))</f>
        <v/>
      </c>
      <c r="E1223" s="29">
        <f>IF(A1223="","",IFERROR(INDEX('자료_미국심리'!$H$3:$H$4002,MATCH(A1223,$Q$19:$Q$4018,0)),E1222))</f>
        <v/>
      </c>
      <c r="F1223">
        <f>IF(A1223="",0,IF(A1223&gt;$B$5,1,0))</f>
        <v/>
      </c>
      <c r="G1223" s="29">
        <f>IF(AND(F1223=1,ISNUMBER(D1223)),D1223,"")</f>
        <v/>
      </c>
      <c r="H1223" s="29">
        <f>IF(AND(F1223=1,ISNUMBER(E1223)),E1223,"")</f>
        <v/>
      </c>
      <c r="I1223" s="22">
        <f>IF(AND(F1223=1,ISNUMBER(C1223)),C1223,"")</f>
        <v/>
      </c>
      <c r="J1223" s="11">
        <f>IF(G1223="","",100-IF($G$13=1,50,(_xlfn.RANK.AVG(G1223,$G$19:$G$1518,1)-1)/($G$13-1)*100))</f>
        <v/>
      </c>
      <c r="K1223" s="11">
        <f>IF(H1223="","",100-IF($G$14=1,50,(_xlfn.RANK.AVG(H1223,$H$19:$H$1518,1)-1)/($G$14-1)*100))</f>
        <v/>
      </c>
      <c r="L1223" s="11">
        <f>IF(I1223="","",IF($G$15=1,50,(_xlfn.RANK.AVG(I1223,$I$19:$I$1518,1)-1)/($G$15-1)*100))</f>
        <v/>
      </c>
      <c r="M1223" s="11">
        <f>IF(COUNT(J1223:L1223)=3,ROUND(AVERAGE(J1223:L1223),6),"")</f>
        <v/>
      </c>
      <c r="O1223">
        <f>IF(AND(ISNUMBER('자료_미국심리'!$A1207),ISNUMBER('자료_미국심리'!$B1207)),'자료_미국심리'!$A1207,"")</f>
        <v/>
      </c>
      <c r="P1223">
        <f>IF(AND(ISNUMBER('자료_미국심리'!$D1207),ISNUMBER('자료_미국심리'!$E1207)),'자료_미국심리'!$D1207,"")</f>
        <v/>
      </c>
      <c r="Q1223">
        <f>IF(AND(ISNUMBER('자료_미국심리'!$G1207),ISNUMBER('자료_미국심리'!$H1207)),'자료_미국심리'!$G1207,"")</f>
        <v/>
      </c>
    </row>
    <row r="1224">
      <c r="A1224" s="10">
        <f>IF(1206&gt;$E$5,"",SMALL($O$19:$O$4018,$E$6+1206))</f>
        <v/>
      </c>
      <c r="B1224" s="29">
        <f>IF(A1224="","",INDEX('자료_미국심리'!$B$3:$B$4002,MATCH(A1224,$O$19:$O$4018,0)))</f>
        <v/>
      </c>
      <c r="C1224" s="22">
        <f>IF(A1224="","",B1224/AVERAGE(B1100:B1224)-1)</f>
        <v/>
      </c>
      <c r="D1224" s="29">
        <f>IF(A1224="","",IFERROR(INDEX('자료_미국심리'!$E$3:$E$4002,MATCH(A1224,$P$19:$P$4018,0)),D1223))</f>
        <v/>
      </c>
      <c r="E1224" s="29">
        <f>IF(A1224="","",IFERROR(INDEX('자료_미국심리'!$H$3:$H$4002,MATCH(A1224,$Q$19:$Q$4018,0)),E1223))</f>
        <v/>
      </c>
      <c r="F1224">
        <f>IF(A1224="",0,IF(A1224&gt;$B$5,1,0))</f>
        <v/>
      </c>
      <c r="G1224" s="29">
        <f>IF(AND(F1224=1,ISNUMBER(D1224)),D1224,"")</f>
        <v/>
      </c>
      <c r="H1224" s="29">
        <f>IF(AND(F1224=1,ISNUMBER(E1224)),E1224,"")</f>
        <v/>
      </c>
      <c r="I1224" s="22">
        <f>IF(AND(F1224=1,ISNUMBER(C1224)),C1224,"")</f>
        <v/>
      </c>
      <c r="J1224" s="11">
        <f>IF(G1224="","",100-IF($G$13=1,50,(_xlfn.RANK.AVG(G1224,$G$19:$G$1518,1)-1)/($G$13-1)*100))</f>
        <v/>
      </c>
      <c r="K1224" s="11">
        <f>IF(H1224="","",100-IF($G$14=1,50,(_xlfn.RANK.AVG(H1224,$H$19:$H$1518,1)-1)/($G$14-1)*100))</f>
        <v/>
      </c>
      <c r="L1224" s="11">
        <f>IF(I1224="","",IF($G$15=1,50,(_xlfn.RANK.AVG(I1224,$I$19:$I$1518,1)-1)/($G$15-1)*100))</f>
        <v/>
      </c>
      <c r="M1224" s="11">
        <f>IF(COUNT(J1224:L1224)=3,ROUND(AVERAGE(J1224:L1224),6),"")</f>
        <v/>
      </c>
      <c r="O1224">
        <f>IF(AND(ISNUMBER('자료_미국심리'!$A1208),ISNUMBER('자료_미국심리'!$B1208)),'자료_미국심리'!$A1208,"")</f>
        <v/>
      </c>
      <c r="P1224">
        <f>IF(AND(ISNUMBER('자료_미국심리'!$D1208),ISNUMBER('자료_미국심리'!$E1208)),'자료_미국심리'!$D1208,"")</f>
        <v/>
      </c>
      <c r="Q1224">
        <f>IF(AND(ISNUMBER('자료_미국심리'!$G1208),ISNUMBER('자료_미국심리'!$H1208)),'자료_미국심리'!$G1208,"")</f>
        <v/>
      </c>
    </row>
    <row r="1225">
      <c r="A1225" s="10">
        <f>IF(1207&gt;$E$5,"",SMALL($O$19:$O$4018,$E$6+1207))</f>
        <v/>
      </c>
      <c r="B1225" s="29">
        <f>IF(A1225="","",INDEX('자료_미국심리'!$B$3:$B$4002,MATCH(A1225,$O$19:$O$4018,0)))</f>
        <v/>
      </c>
      <c r="C1225" s="22">
        <f>IF(A1225="","",B1225/AVERAGE(B1101:B1225)-1)</f>
        <v/>
      </c>
      <c r="D1225" s="29">
        <f>IF(A1225="","",IFERROR(INDEX('자료_미국심리'!$E$3:$E$4002,MATCH(A1225,$P$19:$P$4018,0)),D1224))</f>
        <v/>
      </c>
      <c r="E1225" s="29">
        <f>IF(A1225="","",IFERROR(INDEX('자료_미국심리'!$H$3:$H$4002,MATCH(A1225,$Q$19:$Q$4018,0)),E1224))</f>
        <v/>
      </c>
      <c r="F1225">
        <f>IF(A1225="",0,IF(A1225&gt;$B$5,1,0))</f>
        <v/>
      </c>
      <c r="G1225" s="29">
        <f>IF(AND(F1225=1,ISNUMBER(D1225)),D1225,"")</f>
        <v/>
      </c>
      <c r="H1225" s="29">
        <f>IF(AND(F1225=1,ISNUMBER(E1225)),E1225,"")</f>
        <v/>
      </c>
      <c r="I1225" s="22">
        <f>IF(AND(F1225=1,ISNUMBER(C1225)),C1225,"")</f>
        <v/>
      </c>
      <c r="J1225" s="11">
        <f>IF(G1225="","",100-IF($G$13=1,50,(_xlfn.RANK.AVG(G1225,$G$19:$G$1518,1)-1)/($G$13-1)*100))</f>
        <v/>
      </c>
      <c r="K1225" s="11">
        <f>IF(H1225="","",100-IF($G$14=1,50,(_xlfn.RANK.AVG(H1225,$H$19:$H$1518,1)-1)/($G$14-1)*100))</f>
        <v/>
      </c>
      <c r="L1225" s="11">
        <f>IF(I1225="","",IF($G$15=1,50,(_xlfn.RANK.AVG(I1225,$I$19:$I$1518,1)-1)/($G$15-1)*100))</f>
        <v/>
      </c>
      <c r="M1225" s="11">
        <f>IF(COUNT(J1225:L1225)=3,ROUND(AVERAGE(J1225:L1225),6),"")</f>
        <v/>
      </c>
      <c r="O1225">
        <f>IF(AND(ISNUMBER('자료_미국심리'!$A1209),ISNUMBER('자료_미국심리'!$B1209)),'자료_미국심리'!$A1209,"")</f>
        <v/>
      </c>
      <c r="P1225">
        <f>IF(AND(ISNUMBER('자료_미국심리'!$D1209),ISNUMBER('자료_미국심리'!$E1209)),'자료_미국심리'!$D1209,"")</f>
        <v/>
      </c>
      <c r="Q1225">
        <f>IF(AND(ISNUMBER('자료_미국심리'!$G1209),ISNUMBER('자료_미국심리'!$H1209)),'자료_미국심리'!$G1209,"")</f>
        <v/>
      </c>
    </row>
    <row r="1226">
      <c r="A1226" s="10">
        <f>IF(1208&gt;$E$5,"",SMALL($O$19:$O$4018,$E$6+1208))</f>
        <v/>
      </c>
      <c r="B1226" s="29">
        <f>IF(A1226="","",INDEX('자료_미국심리'!$B$3:$B$4002,MATCH(A1226,$O$19:$O$4018,0)))</f>
        <v/>
      </c>
      <c r="C1226" s="22">
        <f>IF(A1226="","",B1226/AVERAGE(B1102:B1226)-1)</f>
        <v/>
      </c>
      <c r="D1226" s="29">
        <f>IF(A1226="","",IFERROR(INDEX('자료_미국심리'!$E$3:$E$4002,MATCH(A1226,$P$19:$P$4018,0)),D1225))</f>
        <v/>
      </c>
      <c r="E1226" s="29">
        <f>IF(A1226="","",IFERROR(INDEX('자료_미국심리'!$H$3:$H$4002,MATCH(A1226,$Q$19:$Q$4018,0)),E1225))</f>
        <v/>
      </c>
      <c r="F1226">
        <f>IF(A1226="",0,IF(A1226&gt;$B$5,1,0))</f>
        <v/>
      </c>
      <c r="G1226" s="29">
        <f>IF(AND(F1226=1,ISNUMBER(D1226)),D1226,"")</f>
        <v/>
      </c>
      <c r="H1226" s="29">
        <f>IF(AND(F1226=1,ISNUMBER(E1226)),E1226,"")</f>
        <v/>
      </c>
      <c r="I1226" s="22">
        <f>IF(AND(F1226=1,ISNUMBER(C1226)),C1226,"")</f>
        <v/>
      </c>
      <c r="J1226" s="11">
        <f>IF(G1226="","",100-IF($G$13=1,50,(_xlfn.RANK.AVG(G1226,$G$19:$G$1518,1)-1)/($G$13-1)*100))</f>
        <v/>
      </c>
      <c r="K1226" s="11">
        <f>IF(H1226="","",100-IF($G$14=1,50,(_xlfn.RANK.AVG(H1226,$H$19:$H$1518,1)-1)/($G$14-1)*100))</f>
        <v/>
      </c>
      <c r="L1226" s="11">
        <f>IF(I1226="","",IF($G$15=1,50,(_xlfn.RANK.AVG(I1226,$I$19:$I$1518,1)-1)/($G$15-1)*100))</f>
        <v/>
      </c>
      <c r="M1226" s="11">
        <f>IF(COUNT(J1226:L1226)=3,ROUND(AVERAGE(J1226:L1226),6),"")</f>
        <v/>
      </c>
      <c r="O1226">
        <f>IF(AND(ISNUMBER('자료_미국심리'!$A1210),ISNUMBER('자료_미국심리'!$B1210)),'자료_미국심리'!$A1210,"")</f>
        <v/>
      </c>
      <c r="P1226">
        <f>IF(AND(ISNUMBER('자료_미국심리'!$D1210),ISNUMBER('자료_미국심리'!$E1210)),'자료_미국심리'!$D1210,"")</f>
        <v/>
      </c>
      <c r="Q1226">
        <f>IF(AND(ISNUMBER('자료_미국심리'!$G1210),ISNUMBER('자료_미국심리'!$H1210)),'자료_미국심리'!$G1210,"")</f>
        <v/>
      </c>
    </row>
    <row r="1227">
      <c r="A1227" s="10">
        <f>IF(1209&gt;$E$5,"",SMALL($O$19:$O$4018,$E$6+1209))</f>
        <v/>
      </c>
      <c r="B1227" s="29">
        <f>IF(A1227="","",INDEX('자료_미국심리'!$B$3:$B$4002,MATCH(A1227,$O$19:$O$4018,0)))</f>
        <v/>
      </c>
      <c r="C1227" s="22">
        <f>IF(A1227="","",B1227/AVERAGE(B1103:B1227)-1)</f>
        <v/>
      </c>
      <c r="D1227" s="29">
        <f>IF(A1227="","",IFERROR(INDEX('자료_미국심리'!$E$3:$E$4002,MATCH(A1227,$P$19:$P$4018,0)),D1226))</f>
        <v/>
      </c>
      <c r="E1227" s="29">
        <f>IF(A1227="","",IFERROR(INDEX('자료_미국심리'!$H$3:$H$4002,MATCH(A1227,$Q$19:$Q$4018,0)),E1226))</f>
        <v/>
      </c>
      <c r="F1227">
        <f>IF(A1227="",0,IF(A1227&gt;$B$5,1,0))</f>
        <v/>
      </c>
      <c r="G1227" s="29">
        <f>IF(AND(F1227=1,ISNUMBER(D1227)),D1227,"")</f>
        <v/>
      </c>
      <c r="H1227" s="29">
        <f>IF(AND(F1227=1,ISNUMBER(E1227)),E1227,"")</f>
        <v/>
      </c>
      <c r="I1227" s="22">
        <f>IF(AND(F1227=1,ISNUMBER(C1227)),C1227,"")</f>
        <v/>
      </c>
      <c r="J1227" s="11">
        <f>IF(G1227="","",100-IF($G$13=1,50,(_xlfn.RANK.AVG(G1227,$G$19:$G$1518,1)-1)/($G$13-1)*100))</f>
        <v/>
      </c>
      <c r="K1227" s="11">
        <f>IF(H1227="","",100-IF($G$14=1,50,(_xlfn.RANK.AVG(H1227,$H$19:$H$1518,1)-1)/($G$14-1)*100))</f>
        <v/>
      </c>
      <c r="L1227" s="11">
        <f>IF(I1227="","",IF($G$15=1,50,(_xlfn.RANK.AVG(I1227,$I$19:$I$1518,1)-1)/($G$15-1)*100))</f>
        <v/>
      </c>
      <c r="M1227" s="11">
        <f>IF(COUNT(J1227:L1227)=3,ROUND(AVERAGE(J1227:L1227),6),"")</f>
        <v/>
      </c>
      <c r="O1227">
        <f>IF(AND(ISNUMBER('자료_미국심리'!$A1211),ISNUMBER('자료_미국심리'!$B1211)),'자료_미국심리'!$A1211,"")</f>
        <v/>
      </c>
      <c r="P1227">
        <f>IF(AND(ISNUMBER('자료_미국심리'!$D1211),ISNUMBER('자료_미국심리'!$E1211)),'자료_미국심리'!$D1211,"")</f>
        <v/>
      </c>
      <c r="Q1227">
        <f>IF(AND(ISNUMBER('자료_미국심리'!$G1211),ISNUMBER('자료_미국심리'!$H1211)),'자료_미국심리'!$G1211,"")</f>
        <v/>
      </c>
    </row>
    <row r="1228">
      <c r="A1228" s="10">
        <f>IF(1210&gt;$E$5,"",SMALL($O$19:$O$4018,$E$6+1210))</f>
        <v/>
      </c>
      <c r="B1228" s="29">
        <f>IF(A1228="","",INDEX('자료_미국심리'!$B$3:$B$4002,MATCH(A1228,$O$19:$O$4018,0)))</f>
        <v/>
      </c>
      <c r="C1228" s="22">
        <f>IF(A1228="","",B1228/AVERAGE(B1104:B1228)-1)</f>
        <v/>
      </c>
      <c r="D1228" s="29">
        <f>IF(A1228="","",IFERROR(INDEX('자료_미국심리'!$E$3:$E$4002,MATCH(A1228,$P$19:$P$4018,0)),D1227))</f>
        <v/>
      </c>
      <c r="E1228" s="29">
        <f>IF(A1228="","",IFERROR(INDEX('자료_미국심리'!$H$3:$H$4002,MATCH(A1228,$Q$19:$Q$4018,0)),E1227))</f>
        <v/>
      </c>
      <c r="F1228">
        <f>IF(A1228="",0,IF(A1228&gt;$B$5,1,0))</f>
        <v/>
      </c>
      <c r="G1228" s="29">
        <f>IF(AND(F1228=1,ISNUMBER(D1228)),D1228,"")</f>
        <v/>
      </c>
      <c r="H1228" s="29">
        <f>IF(AND(F1228=1,ISNUMBER(E1228)),E1228,"")</f>
        <v/>
      </c>
      <c r="I1228" s="22">
        <f>IF(AND(F1228=1,ISNUMBER(C1228)),C1228,"")</f>
        <v/>
      </c>
      <c r="J1228" s="11">
        <f>IF(G1228="","",100-IF($G$13=1,50,(_xlfn.RANK.AVG(G1228,$G$19:$G$1518,1)-1)/($G$13-1)*100))</f>
        <v/>
      </c>
      <c r="K1228" s="11">
        <f>IF(H1228="","",100-IF($G$14=1,50,(_xlfn.RANK.AVG(H1228,$H$19:$H$1518,1)-1)/($G$14-1)*100))</f>
        <v/>
      </c>
      <c r="L1228" s="11">
        <f>IF(I1228="","",IF($G$15=1,50,(_xlfn.RANK.AVG(I1228,$I$19:$I$1518,1)-1)/($G$15-1)*100))</f>
        <v/>
      </c>
      <c r="M1228" s="11">
        <f>IF(COUNT(J1228:L1228)=3,ROUND(AVERAGE(J1228:L1228),6),"")</f>
        <v/>
      </c>
      <c r="O1228">
        <f>IF(AND(ISNUMBER('자료_미국심리'!$A1212),ISNUMBER('자료_미국심리'!$B1212)),'자료_미국심리'!$A1212,"")</f>
        <v/>
      </c>
      <c r="P1228">
        <f>IF(AND(ISNUMBER('자료_미국심리'!$D1212),ISNUMBER('자료_미국심리'!$E1212)),'자료_미국심리'!$D1212,"")</f>
        <v/>
      </c>
      <c r="Q1228">
        <f>IF(AND(ISNUMBER('자료_미국심리'!$G1212),ISNUMBER('자료_미국심리'!$H1212)),'자료_미국심리'!$G1212,"")</f>
        <v/>
      </c>
    </row>
    <row r="1229">
      <c r="A1229" s="10">
        <f>IF(1211&gt;$E$5,"",SMALL($O$19:$O$4018,$E$6+1211))</f>
        <v/>
      </c>
      <c r="B1229" s="29">
        <f>IF(A1229="","",INDEX('자료_미국심리'!$B$3:$B$4002,MATCH(A1229,$O$19:$O$4018,0)))</f>
        <v/>
      </c>
      <c r="C1229" s="22">
        <f>IF(A1229="","",B1229/AVERAGE(B1105:B1229)-1)</f>
        <v/>
      </c>
      <c r="D1229" s="29">
        <f>IF(A1229="","",IFERROR(INDEX('자료_미국심리'!$E$3:$E$4002,MATCH(A1229,$P$19:$P$4018,0)),D1228))</f>
        <v/>
      </c>
      <c r="E1229" s="29">
        <f>IF(A1229="","",IFERROR(INDEX('자료_미국심리'!$H$3:$H$4002,MATCH(A1229,$Q$19:$Q$4018,0)),E1228))</f>
        <v/>
      </c>
      <c r="F1229">
        <f>IF(A1229="",0,IF(A1229&gt;$B$5,1,0))</f>
        <v/>
      </c>
      <c r="G1229" s="29">
        <f>IF(AND(F1229=1,ISNUMBER(D1229)),D1229,"")</f>
        <v/>
      </c>
      <c r="H1229" s="29">
        <f>IF(AND(F1229=1,ISNUMBER(E1229)),E1229,"")</f>
        <v/>
      </c>
      <c r="I1229" s="22">
        <f>IF(AND(F1229=1,ISNUMBER(C1229)),C1229,"")</f>
        <v/>
      </c>
      <c r="J1229" s="11">
        <f>IF(G1229="","",100-IF($G$13=1,50,(_xlfn.RANK.AVG(G1229,$G$19:$G$1518,1)-1)/($G$13-1)*100))</f>
        <v/>
      </c>
      <c r="K1229" s="11">
        <f>IF(H1229="","",100-IF($G$14=1,50,(_xlfn.RANK.AVG(H1229,$H$19:$H$1518,1)-1)/($G$14-1)*100))</f>
        <v/>
      </c>
      <c r="L1229" s="11">
        <f>IF(I1229="","",IF($G$15=1,50,(_xlfn.RANK.AVG(I1229,$I$19:$I$1518,1)-1)/($G$15-1)*100))</f>
        <v/>
      </c>
      <c r="M1229" s="11">
        <f>IF(COUNT(J1229:L1229)=3,ROUND(AVERAGE(J1229:L1229),6),"")</f>
        <v/>
      </c>
      <c r="O1229">
        <f>IF(AND(ISNUMBER('자료_미국심리'!$A1213),ISNUMBER('자료_미국심리'!$B1213)),'자료_미국심리'!$A1213,"")</f>
        <v/>
      </c>
      <c r="P1229">
        <f>IF(AND(ISNUMBER('자료_미국심리'!$D1213),ISNUMBER('자료_미국심리'!$E1213)),'자료_미국심리'!$D1213,"")</f>
        <v/>
      </c>
      <c r="Q1229">
        <f>IF(AND(ISNUMBER('자료_미국심리'!$G1213),ISNUMBER('자료_미국심리'!$H1213)),'자료_미국심리'!$G1213,"")</f>
        <v/>
      </c>
    </row>
    <row r="1230">
      <c r="A1230" s="10">
        <f>IF(1212&gt;$E$5,"",SMALL($O$19:$O$4018,$E$6+1212))</f>
        <v/>
      </c>
      <c r="B1230" s="29">
        <f>IF(A1230="","",INDEX('자료_미국심리'!$B$3:$B$4002,MATCH(A1230,$O$19:$O$4018,0)))</f>
        <v/>
      </c>
      <c r="C1230" s="22">
        <f>IF(A1230="","",B1230/AVERAGE(B1106:B1230)-1)</f>
        <v/>
      </c>
      <c r="D1230" s="29">
        <f>IF(A1230="","",IFERROR(INDEX('자료_미국심리'!$E$3:$E$4002,MATCH(A1230,$P$19:$P$4018,0)),D1229))</f>
        <v/>
      </c>
      <c r="E1230" s="29">
        <f>IF(A1230="","",IFERROR(INDEX('자료_미국심리'!$H$3:$H$4002,MATCH(A1230,$Q$19:$Q$4018,0)),E1229))</f>
        <v/>
      </c>
      <c r="F1230">
        <f>IF(A1230="",0,IF(A1230&gt;$B$5,1,0))</f>
        <v/>
      </c>
      <c r="G1230" s="29">
        <f>IF(AND(F1230=1,ISNUMBER(D1230)),D1230,"")</f>
        <v/>
      </c>
      <c r="H1230" s="29">
        <f>IF(AND(F1230=1,ISNUMBER(E1230)),E1230,"")</f>
        <v/>
      </c>
      <c r="I1230" s="22">
        <f>IF(AND(F1230=1,ISNUMBER(C1230)),C1230,"")</f>
        <v/>
      </c>
      <c r="J1230" s="11">
        <f>IF(G1230="","",100-IF($G$13=1,50,(_xlfn.RANK.AVG(G1230,$G$19:$G$1518,1)-1)/($G$13-1)*100))</f>
        <v/>
      </c>
      <c r="K1230" s="11">
        <f>IF(H1230="","",100-IF($G$14=1,50,(_xlfn.RANK.AVG(H1230,$H$19:$H$1518,1)-1)/($G$14-1)*100))</f>
        <v/>
      </c>
      <c r="L1230" s="11">
        <f>IF(I1230="","",IF($G$15=1,50,(_xlfn.RANK.AVG(I1230,$I$19:$I$1518,1)-1)/($G$15-1)*100))</f>
        <v/>
      </c>
      <c r="M1230" s="11">
        <f>IF(COUNT(J1230:L1230)=3,ROUND(AVERAGE(J1230:L1230),6),"")</f>
        <v/>
      </c>
      <c r="O1230">
        <f>IF(AND(ISNUMBER('자료_미국심리'!$A1214),ISNUMBER('자료_미국심리'!$B1214)),'자료_미국심리'!$A1214,"")</f>
        <v/>
      </c>
      <c r="P1230">
        <f>IF(AND(ISNUMBER('자료_미국심리'!$D1214),ISNUMBER('자료_미국심리'!$E1214)),'자료_미국심리'!$D1214,"")</f>
        <v/>
      </c>
      <c r="Q1230">
        <f>IF(AND(ISNUMBER('자료_미국심리'!$G1214),ISNUMBER('자료_미국심리'!$H1214)),'자료_미국심리'!$G1214,"")</f>
        <v/>
      </c>
    </row>
    <row r="1231">
      <c r="A1231" s="10">
        <f>IF(1213&gt;$E$5,"",SMALL($O$19:$O$4018,$E$6+1213))</f>
        <v/>
      </c>
      <c r="B1231" s="29">
        <f>IF(A1231="","",INDEX('자료_미국심리'!$B$3:$B$4002,MATCH(A1231,$O$19:$O$4018,0)))</f>
        <v/>
      </c>
      <c r="C1231" s="22">
        <f>IF(A1231="","",B1231/AVERAGE(B1107:B1231)-1)</f>
        <v/>
      </c>
      <c r="D1231" s="29">
        <f>IF(A1231="","",IFERROR(INDEX('자료_미국심리'!$E$3:$E$4002,MATCH(A1231,$P$19:$P$4018,0)),D1230))</f>
        <v/>
      </c>
      <c r="E1231" s="29">
        <f>IF(A1231="","",IFERROR(INDEX('자료_미국심리'!$H$3:$H$4002,MATCH(A1231,$Q$19:$Q$4018,0)),E1230))</f>
        <v/>
      </c>
      <c r="F1231">
        <f>IF(A1231="",0,IF(A1231&gt;$B$5,1,0))</f>
        <v/>
      </c>
      <c r="G1231" s="29">
        <f>IF(AND(F1231=1,ISNUMBER(D1231)),D1231,"")</f>
        <v/>
      </c>
      <c r="H1231" s="29">
        <f>IF(AND(F1231=1,ISNUMBER(E1231)),E1231,"")</f>
        <v/>
      </c>
      <c r="I1231" s="22">
        <f>IF(AND(F1231=1,ISNUMBER(C1231)),C1231,"")</f>
        <v/>
      </c>
      <c r="J1231" s="11">
        <f>IF(G1231="","",100-IF($G$13=1,50,(_xlfn.RANK.AVG(G1231,$G$19:$G$1518,1)-1)/($G$13-1)*100))</f>
        <v/>
      </c>
      <c r="K1231" s="11">
        <f>IF(H1231="","",100-IF($G$14=1,50,(_xlfn.RANK.AVG(H1231,$H$19:$H$1518,1)-1)/($G$14-1)*100))</f>
        <v/>
      </c>
      <c r="L1231" s="11">
        <f>IF(I1231="","",IF($G$15=1,50,(_xlfn.RANK.AVG(I1231,$I$19:$I$1518,1)-1)/($G$15-1)*100))</f>
        <v/>
      </c>
      <c r="M1231" s="11">
        <f>IF(COUNT(J1231:L1231)=3,ROUND(AVERAGE(J1231:L1231),6),"")</f>
        <v/>
      </c>
      <c r="O1231">
        <f>IF(AND(ISNUMBER('자료_미국심리'!$A1215),ISNUMBER('자료_미국심리'!$B1215)),'자료_미국심리'!$A1215,"")</f>
        <v/>
      </c>
      <c r="P1231">
        <f>IF(AND(ISNUMBER('자료_미국심리'!$D1215),ISNUMBER('자료_미국심리'!$E1215)),'자료_미국심리'!$D1215,"")</f>
        <v/>
      </c>
      <c r="Q1231">
        <f>IF(AND(ISNUMBER('자료_미국심리'!$G1215),ISNUMBER('자료_미국심리'!$H1215)),'자료_미국심리'!$G1215,"")</f>
        <v/>
      </c>
    </row>
    <row r="1232">
      <c r="A1232" s="10">
        <f>IF(1214&gt;$E$5,"",SMALL($O$19:$O$4018,$E$6+1214))</f>
        <v/>
      </c>
      <c r="B1232" s="29">
        <f>IF(A1232="","",INDEX('자료_미국심리'!$B$3:$B$4002,MATCH(A1232,$O$19:$O$4018,0)))</f>
        <v/>
      </c>
      <c r="C1232" s="22">
        <f>IF(A1232="","",B1232/AVERAGE(B1108:B1232)-1)</f>
        <v/>
      </c>
      <c r="D1232" s="29">
        <f>IF(A1232="","",IFERROR(INDEX('자료_미국심리'!$E$3:$E$4002,MATCH(A1232,$P$19:$P$4018,0)),D1231))</f>
        <v/>
      </c>
      <c r="E1232" s="29">
        <f>IF(A1232="","",IFERROR(INDEX('자료_미국심리'!$H$3:$H$4002,MATCH(A1232,$Q$19:$Q$4018,0)),E1231))</f>
        <v/>
      </c>
      <c r="F1232">
        <f>IF(A1232="",0,IF(A1232&gt;$B$5,1,0))</f>
        <v/>
      </c>
      <c r="G1232" s="29">
        <f>IF(AND(F1232=1,ISNUMBER(D1232)),D1232,"")</f>
        <v/>
      </c>
      <c r="H1232" s="29">
        <f>IF(AND(F1232=1,ISNUMBER(E1232)),E1232,"")</f>
        <v/>
      </c>
      <c r="I1232" s="22">
        <f>IF(AND(F1232=1,ISNUMBER(C1232)),C1232,"")</f>
        <v/>
      </c>
      <c r="J1232" s="11">
        <f>IF(G1232="","",100-IF($G$13=1,50,(_xlfn.RANK.AVG(G1232,$G$19:$G$1518,1)-1)/($G$13-1)*100))</f>
        <v/>
      </c>
      <c r="K1232" s="11">
        <f>IF(H1232="","",100-IF($G$14=1,50,(_xlfn.RANK.AVG(H1232,$H$19:$H$1518,1)-1)/($G$14-1)*100))</f>
        <v/>
      </c>
      <c r="L1232" s="11">
        <f>IF(I1232="","",IF($G$15=1,50,(_xlfn.RANK.AVG(I1232,$I$19:$I$1518,1)-1)/($G$15-1)*100))</f>
        <v/>
      </c>
      <c r="M1232" s="11">
        <f>IF(COUNT(J1232:L1232)=3,ROUND(AVERAGE(J1232:L1232),6),"")</f>
        <v/>
      </c>
      <c r="O1232">
        <f>IF(AND(ISNUMBER('자료_미국심리'!$A1216),ISNUMBER('자료_미국심리'!$B1216)),'자료_미국심리'!$A1216,"")</f>
        <v/>
      </c>
      <c r="P1232">
        <f>IF(AND(ISNUMBER('자료_미국심리'!$D1216),ISNUMBER('자료_미국심리'!$E1216)),'자료_미국심리'!$D1216,"")</f>
        <v/>
      </c>
      <c r="Q1232">
        <f>IF(AND(ISNUMBER('자료_미국심리'!$G1216),ISNUMBER('자료_미국심리'!$H1216)),'자료_미국심리'!$G1216,"")</f>
        <v/>
      </c>
    </row>
    <row r="1233">
      <c r="A1233" s="10">
        <f>IF(1215&gt;$E$5,"",SMALL($O$19:$O$4018,$E$6+1215))</f>
        <v/>
      </c>
      <c r="B1233" s="29">
        <f>IF(A1233="","",INDEX('자료_미국심리'!$B$3:$B$4002,MATCH(A1233,$O$19:$O$4018,0)))</f>
        <v/>
      </c>
      <c r="C1233" s="22">
        <f>IF(A1233="","",B1233/AVERAGE(B1109:B1233)-1)</f>
        <v/>
      </c>
      <c r="D1233" s="29">
        <f>IF(A1233="","",IFERROR(INDEX('자료_미국심리'!$E$3:$E$4002,MATCH(A1233,$P$19:$P$4018,0)),D1232))</f>
        <v/>
      </c>
      <c r="E1233" s="29">
        <f>IF(A1233="","",IFERROR(INDEX('자료_미국심리'!$H$3:$H$4002,MATCH(A1233,$Q$19:$Q$4018,0)),E1232))</f>
        <v/>
      </c>
      <c r="F1233">
        <f>IF(A1233="",0,IF(A1233&gt;$B$5,1,0))</f>
        <v/>
      </c>
      <c r="G1233" s="29">
        <f>IF(AND(F1233=1,ISNUMBER(D1233)),D1233,"")</f>
        <v/>
      </c>
      <c r="H1233" s="29">
        <f>IF(AND(F1233=1,ISNUMBER(E1233)),E1233,"")</f>
        <v/>
      </c>
      <c r="I1233" s="22">
        <f>IF(AND(F1233=1,ISNUMBER(C1233)),C1233,"")</f>
        <v/>
      </c>
      <c r="J1233" s="11">
        <f>IF(G1233="","",100-IF($G$13=1,50,(_xlfn.RANK.AVG(G1233,$G$19:$G$1518,1)-1)/($G$13-1)*100))</f>
        <v/>
      </c>
      <c r="K1233" s="11">
        <f>IF(H1233="","",100-IF($G$14=1,50,(_xlfn.RANK.AVG(H1233,$H$19:$H$1518,1)-1)/($G$14-1)*100))</f>
        <v/>
      </c>
      <c r="L1233" s="11">
        <f>IF(I1233="","",IF($G$15=1,50,(_xlfn.RANK.AVG(I1233,$I$19:$I$1518,1)-1)/($G$15-1)*100))</f>
        <v/>
      </c>
      <c r="M1233" s="11">
        <f>IF(COUNT(J1233:L1233)=3,ROUND(AVERAGE(J1233:L1233),6),"")</f>
        <v/>
      </c>
      <c r="O1233">
        <f>IF(AND(ISNUMBER('자료_미국심리'!$A1217),ISNUMBER('자료_미국심리'!$B1217)),'자료_미국심리'!$A1217,"")</f>
        <v/>
      </c>
      <c r="P1233">
        <f>IF(AND(ISNUMBER('자료_미국심리'!$D1217),ISNUMBER('자료_미국심리'!$E1217)),'자료_미국심리'!$D1217,"")</f>
        <v/>
      </c>
      <c r="Q1233">
        <f>IF(AND(ISNUMBER('자료_미국심리'!$G1217),ISNUMBER('자료_미국심리'!$H1217)),'자료_미국심리'!$G1217,"")</f>
        <v/>
      </c>
    </row>
    <row r="1234">
      <c r="A1234" s="10">
        <f>IF(1216&gt;$E$5,"",SMALL($O$19:$O$4018,$E$6+1216))</f>
        <v/>
      </c>
      <c r="B1234" s="29">
        <f>IF(A1234="","",INDEX('자료_미국심리'!$B$3:$B$4002,MATCH(A1234,$O$19:$O$4018,0)))</f>
        <v/>
      </c>
      <c r="C1234" s="22">
        <f>IF(A1234="","",B1234/AVERAGE(B1110:B1234)-1)</f>
        <v/>
      </c>
      <c r="D1234" s="29">
        <f>IF(A1234="","",IFERROR(INDEX('자료_미국심리'!$E$3:$E$4002,MATCH(A1234,$P$19:$P$4018,0)),D1233))</f>
        <v/>
      </c>
      <c r="E1234" s="29">
        <f>IF(A1234="","",IFERROR(INDEX('자료_미국심리'!$H$3:$H$4002,MATCH(A1234,$Q$19:$Q$4018,0)),E1233))</f>
        <v/>
      </c>
      <c r="F1234">
        <f>IF(A1234="",0,IF(A1234&gt;$B$5,1,0))</f>
        <v/>
      </c>
      <c r="G1234" s="29">
        <f>IF(AND(F1234=1,ISNUMBER(D1234)),D1234,"")</f>
        <v/>
      </c>
      <c r="H1234" s="29">
        <f>IF(AND(F1234=1,ISNUMBER(E1234)),E1234,"")</f>
        <v/>
      </c>
      <c r="I1234" s="22">
        <f>IF(AND(F1234=1,ISNUMBER(C1234)),C1234,"")</f>
        <v/>
      </c>
      <c r="J1234" s="11">
        <f>IF(G1234="","",100-IF($G$13=1,50,(_xlfn.RANK.AVG(G1234,$G$19:$G$1518,1)-1)/($G$13-1)*100))</f>
        <v/>
      </c>
      <c r="K1234" s="11">
        <f>IF(H1234="","",100-IF($G$14=1,50,(_xlfn.RANK.AVG(H1234,$H$19:$H$1518,1)-1)/($G$14-1)*100))</f>
        <v/>
      </c>
      <c r="L1234" s="11">
        <f>IF(I1234="","",IF($G$15=1,50,(_xlfn.RANK.AVG(I1234,$I$19:$I$1518,1)-1)/($G$15-1)*100))</f>
        <v/>
      </c>
      <c r="M1234" s="11">
        <f>IF(COUNT(J1234:L1234)=3,ROUND(AVERAGE(J1234:L1234),6),"")</f>
        <v/>
      </c>
      <c r="O1234">
        <f>IF(AND(ISNUMBER('자료_미국심리'!$A1218),ISNUMBER('자료_미국심리'!$B1218)),'자료_미국심리'!$A1218,"")</f>
        <v/>
      </c>
      <c r="P1234">
        <f>IF(AND(ISNUMBER('자료_미국심리'!$D1218),ISNUMBER('자료_미국심리'!$E1218)),'자료_미국심리'!$D1218,"")</f>
        <v/>
      </c>
      <c r="Q1234">
        <f>IF(AND(ISNUMBER('자료_미국심리'!$G1218),ISNUMBER('자료_미국심리'!$H1218)),'자료_미국심리'!$G1218,"")</f>
        <v/>
      </c>
    </row>
    <row r="1235">
      <c r="A1235" s="10">
        <f>IF(1217&gt;$E$5,"",SMALL($O$19:$O$4018,$E$6+1217))</f>
        <v/>
      </c>
      <c r="B1235" s="29">
        <f>IF(A1235="","",INDEX('자료_미국심리'!$B$3:$B$4002,MATCH(A1235,$O$19:$O$4018,0)))</f>
        <v/>
      </c>
      <c r="C1235" s="22">
        <f>IF(A1235="","",B1235/AVERAGE(B1111:B1235)-1)</f>
        <v/>
      </c>
      <c r="D1235" s="29">
        <f>IF(A1235="","",IFERROR(INDEX('자료_미국심리'!$E$3:$E$4002,MATCH(A1235,$P$19:$P$4018,0)),D1234))</f>
        <v/>
      </c>
      <c r="E1235" s="29">
        <f>IF(A1235="","",IFERROR(INDEX('자료_미국심리'!$H$3:$H$4002,MATCH(A1235,$Q$19:$Q$4018,0)),E1234))</f>
        <v/>
      </c>
      <c r="F1235">
        <f>IF(A1235="",0,IF(A1235&gt;$B$5,1,0))</f>
        <v/>
      </c>
      <c r="G1235" s="29">
        <f>IF(AND(F1235=1,ISNUMBER(D1235)),D1235,"")</f>
        <v/>
      </c>
      <c r="H1235" s="29">
        <f>IF(AND(F1235=1,ISNUMBER(E1235)),E1235,"")</f>
        <v/>
      </c>
      <c r="I1235" s="22">
        <f>IF(AND(F1235=1,ISNUMBER(C1235)),C1235,"")</f>
        <v/>
      </c>
      <c r="J1235" s="11">
        <f>IF(G1235="","",100-IF($G$13=1,50,(_xlfn.RANK.AVG(G1235,$G$19:$G$1518,1)-1)/($G$13-1)*100))</f>
        <v/>
      </c>
      <c r="K1235" s="11">
        <f>IF(H1235="","",100-IF($G$14=1,50,(_xlfn.RANK.AVG(H1235,$H$19:$H$1518,1)-1)/($G$14-1)*100))</f>
        <v/>
      </c>
      <c r="L1235" s="11">
        <f>IF(I1235="","",IF($G$15=1,50,(_xlfn.RANK.AVG(I1235,$I$19:$I$1518,1)-1)/($G$15-1)*100))</f>
        <v/>
      </c>
      <c r="M1235" s="11">
        <f>IF(COUNT(J1235:L1235)=3,ROUND(AVERAGE(J1235:L1235),6),"")</f>
        <v/>
      </c>
      <c r="O1235">
        <f>IF(AND(ISNUMBER('자료_미국심리'!$A1219),ISNUMBER('자료_미국심리'!$B1219)),'자료_미국심리'!$A1219,"")</f>
        <v/>
      </c>
      <c r="P1235">
        <f>IF(AND(ISNUMBER('자료_미국심리'!$D1219),ISNUMBER('자료_미국심리'!$E1219)),'자료_미국심리'!$D1219,"")</f>
        <v/>
      </c>
      <c r="Q1235">
        <f>IF(AND(ISNUMBER('자료_미국심리'!$G1219),ISNUMBER('자료_미국심리'!$H1219)),'자료_미국심리'!$G1219,"")</f>
        <v/>
      </c>
    </row>
    <row r="1236">
      <c r="A1236" s="10">
        <f>IF(1218&gt;$E$5,"",SMALL($O$19:$O$4018,$E$6+1218))</f>
        <v/>
      </c>
      <c r="B1236" s="29">
        <f>IF(A1236="","",INDEX('자료_미국심리'!$B$3:$B$4002,MATCH(A1236,$O$19:$O$4018,0)))</f>
        <v/>
      </c>
      <c r="C1236" s="22">
        <f>IF(A1236="","",B1236/AVERAGE(B1112:B1236)-1)</f>
        <v/>
      </c>
      <c r="D1236" s="29">
        <f>IF(A1236="","",IFERROR(INDEX('자료_미국심리'!$E$3:$E$4002,MATCH(A1236,$P$19:$P$4018,0)),D1235))</f>
        <v/>
      </c>
      <c r="E1236" s="29">
        <f>IF(A1236="","",IFERROR(INDEX('자료_미국심리'!$H$3:$H$4002,MATCH(A1236,$Q$19:$Q$4018,0)),E1235))</f>
        <v/>
      </c>
      <c r="F1236">
        <f>IF(A1236="",0,IF(A1236&gt;$B$5,1,0))</f>
        <v/>
      </c>
      <c r="G1236" s="29">
        <f>IF(AND(F1236=1,ISNUMBER(D1236)),D1236,"")</f>
        <v/>
      </c>
      <c r="H1236" s="29">
        <f>IF(AND(F1236=1,ISNUMBER(E1236)),E1236,"")</f>
        <v/>
      </c>
      <c r="I1236" s="22">
        <f>IF(AND(F1236=1,ISNUMBER(C1236)),C1236,"")</f>
        <v/>
      </c>
      <c r="J1236" s="11">
        <f>IF(G1236="","",100-IF($G$13=1,50,(_xlfn.RANK.AVG(G1236,$G$19:$G$1518,1)-1)/($G$13-1)*100))</f>
        <v/>
      </c>
      <c r="K1236" s="11">
        <f>IF(H1236="","",100-IF($G$14=1,50,(_xlfn.RANK.AVG(H1236,$H$19:$H$1518,1)-1)/($G$14-1)*100))</f>
        <v/>
      </c>
      <c r="L1236" s="11">
        <f>IF(I1236="","",IF($G$15=1,50,(_xlfn.RANK.AVG(I1236,$I$19:$I$1518,1)-1)/($G$15-1)*100))</f>
        <v/>
      </c>
      <c r="M1236" s="11">
        <f>IF(COUNT(J1236:L1236)=3,ROUND(AVERAGE(J1236:L1236),6),"")</f>
        <v/>
      </c>
      <c r="O1236">
        <f>IF(AND(ISNUMBER('자료_미국심리'!$A1220),ISNUMBER('자료_미국심리'!$B1220)),'자료_미국심리'!$A1220,"")</f>
        <v/>
      </c>
      <c r="P1236">
        <f>IF(AND(ISNUMBER('자료_미국심리'!$D1220),ISNUMBER('자료_미국심리'!$E1220)),'자료_미국심리'!$D1220,"")</f>
        <v/>
      </c>
      <c r="Q1236">
        <f>IF(AND(ISNUMBER('자료_미국심리'!$G1220),ISNUMBER('자료_미국심리'!$H1220)),'자료_미국심리'!$G1220,"")</f>
        <v/>
      </c>
    </row>
    <row r="1237">
      <c r="A1237" s="10">
        <f>IF(1219&gt;$E$5,"",SMALL($O$19:$O$4018,$E$6+1219))</f>
        <v/>
      </c>
      <c r="B1237" s="29">
        <f>IF(A1237="","",INDEX('자료_미국심리'!$B$3:$B$4002,MATCH(A1237,$O$19:$O$4018,0)))</f>
        <v/>
      </c>
      <c r="C1237" s="22">
        <f>IF(A1237="","",B1237/AVERAGE(B1113:B1237)-1)</f>
        <v/>
      </c>
      <c r="D1237" s="29">
        <f>IF(A1237="","",IFERROR(INDEX('자료_미국심리'!$E$3:$E$4002,MATCH(A1237,$P$19:$P$4018,0)),D1236))</f>
        <v/>
      </c>
      <c r="E1237" s="29">
        <f>IF(A1237="","",IFERROR(INDEX('자료_미국심리'!$H$3:$H$4002,MATCH(A1237,$Q$19:$Q$4018,0)),E1236))</f>
        <v/>
      </c>
      <c r="F1237">
        <f>IF(A1237="",0,IF(A1237&gt;$B$5,1,0))</f>
        <v/>
      </c>
      <c r="G1237" s="29">
        <f>IF(AND(F1237=1,ISNUMBER(D1237)),D1237,"")</f>
        <v/>
      </c>
      <c r="H1237" s="29">
        <f>IF(AND(F1237=1,ISNUMBER(E1237)),E1237,"")</f>
        <v/>
      </c>
      <c r="I1237" s="22">
        <f>IF(AND(F1237=1,ISNUMBER(C1237)),C1237,"")</f>
        <v/>
      </c>
      <c r="J1237" s="11">
        <f>IF(G1237="","",100-IF($G$13=1,50,(_xlfn.RANK.AVG(G1237,$G$19:$G$1518,1)-1)/($G$13-1)*100))</f>
        <v/>
      </c>
      <c r="K1237" s="11">
        <f>IF(H1237="","",100-IF($G$14=1,50,(_xlfn.RANK.AVG(H1237,$H$19:$H$1518,1)-1)/($G$14-1)*100))</f>
        <v/>
      </c>
      <c r="L1237" s="11">
        <f>IF(I1237="","",IF($G$15=1,50,(_xlfn.RANK.AVG(I1237,$I$19:$I$1518,1)-1)/($G$15-1)*100))</f>
        <v/>
      </c>
      <c r="M1237" s="11">
        <f>IF(COUNT(J1237:L1237)=3,ROUND(AVERAGE(J1237:L1237),6),"")</f>
        <v/>
      </c>
      <c r="O1237">
        <f>IF(AND(ISNUMBER('자료_미국심리'!$A1221),ISNUMBER('자료_미국심리'!$B1221)),'자료_미국심리'!$A1221,"")</f>
        <v/>
      </c>
      <c r="P1237">
        <f>IF(AND(ISNUMBER('자료_미국심리'!$D1221),ISNUMBER('자료_미국심리'!$E1221)),'자료_미국심리'!$D1221,"")</f>
        <v/>
      </c>
      <c r="Q1237">
        <f>IF(AND(ISNUMBER('자료_미국심리'!$G1221),ISNUMBER('자료_미국심리'!$H1221)),'자료_미국심리'!$G1221,"")</f>
        <v/>
      </c>
    </row>
    <row r="1238">
      <c r="A1238" s="10">
        <f>IF(1220&gt;$E$5,"",SMALL($O$19:$O$4018,$E$6+1220))</f>
        <v/>
      </c>
      <c r="B1238" s="29">
        <f>IF(A1238="","",INDEX('자료_미국심리'!$B$3:$B$4002,MATCH(A1238,$O$19:$O$4018,0)))</f>
        <v/>
      </c>
      <c r="C1238" s="22">
        <f>IF(A1238="","",B1238/AVERAGE(B1114:B1238)-1)</f>
        <v/>
      </c>
      <c r="D1238" s="29">
        <f>IF(A1238="","",IFERROR(INDEX('자료_미국심리'!$E$3:$E$4002,MATCH(A1238,$P$19:$P$4018,0)),D1237))</f>
        <v/>
      </c>
      <c r="E1238" s="29">
        <f>IF(A1238="","",IFERROR(INDEX('자료_미국심리'!$H$3:$H$4002,MATCH(A1238,$Q$19:$Q$4018,0)),E1237))</f>
        <v/>
      </c>
      <c r="F1238">
        <f>IF(A1238="",0,IF(A1238&gt;$B$5,1,0))</f>
        <v/>
      </c>
      <c r="G1238" s="29">
        <f>IF(AND(F1238=1,ISNUMBER(D1238)),D1238,"")</f>
        <v/>
      </c>
      <c r="H1238" s="29">
        <f>IF(AND(F1238=1,ISNUMBER(E1238)),E1238,"")</f>
        <v/>
      </c>
      <c r="I1238" s="22">
        <f>IF(AND(F1238=1,ISNUMBER(C1238)),C1238,"")</f>
        <v/>
      </c>
      <c r="J1238" s="11">
        <f>IF(G1238="","",100-IF($G$13=1,50,(_xlfn.RANK.AVG(G1238,$G$19:$G$1518,1)-1)/($G$13-1)*100))</f>
        <v/>
      </c>
      <c r="K1238" s="11">
        <f>IF(H1238="","",100-IF($G$14=1,50,(_xlfn.RANK.AVG(H1238,$H$19:$H$1518,1)-1)/($G$14-1)*100))</f>
        <v/>
      </c>
      <c r="L1238" s="11">
        <f>IF(I1238="","",IF($G$15=1,50,(_xlfn.RANK.AVG(I1238,$I$19:$I$1518,1)-1)/($G$15-1)*100))</f>
        <v/>
      </c>
      <c r="M1238" s="11">
        <f>IF(COUNT(J1238:L1238)=3,ROUND(AVERAGE(J1238:L1238),6),"")</f>
        <v/>
      </c>
      <c r="O1238">
        <f>IF(AND(ISNUMBER('자료_미국심리'!$A1222),ISNUMBER('자료_미국심리'!$B1222)),'자료_미국심리'!$A1222,"")</f>
        <v/>
      </c>
      <c r="P1238">
        <f>IF(AND(ISNUMBER('자료_미국심리'!$D1222),ISNUMBER('자료_미국심리'!$E1222)),'자료_미국심리'!$D1222,"")</f>
        <v/>
      </c>
      <c r="Q1238">
        <f>IF(AND(ISNUMBER('자료_미국심리'!$G1222),ISNUMBER('자료_미국심리'!$H1222)),'자료_미국심리'!$G1222,"")</f>
        <v/>
      </c>
    </row>
    <row r="1239">
      <c r="A1239" s="10">
        <f>IF(1221&gt;$E$5,"",SMALL($O$19:$O$4018,$E$6+1221))</f>
        <v/>
      </c>
      <c r="B1239" s="29">
        <f>IF(A1239="","",INDEX('자료_미국심리'!$B$3:$B$4002,MATCH(A1239,$O$19:$O$4018,0)))</f>
        <v/>
      </c>
      <c r="C1239" s="22">
        <f>IF(A1239="","",B1239/AVERAGE(B1115:B1239)-1)</f>
        <v/>
      </c>
      <c r="D1239" s="29">
        <f>IF(A1239="","",IFERROR(INDEX('자료_미국심리'!$E$3:$E$4002,MATCH(A1239,$P$19:$P$4018,0)),D1238))</f>
        <v/>
      </c>
      <c r="E1239" s="29">
        <f>IF(A1239="","",IFERROR(INDEX('자료_미국심리'!$H$3:$H$4002,MATCH(A1239,$Q$19:$Q$4018,0)),E1238))</f>
        <v/>
      </c>
      <c r="F1239">
        <f>IF(A1239="",0,IF(A1239&gt;$B$5,1,0))</f>
        <v/>
      </c>
      <c r="G1239" s="29">
        <f>IF(AND(F1239=1,ISNUMBER(D1239)),D1239,"")</f>
        <v/>
      </c>
      <c r="H1239" s="29">
        <f>IF(AND(F1239=1,ISNUMBER(E1239)),E1239,"")</f>
        <v/>
      </c>
      <c r="I1239" s="22">
        <f>IF(AND(F1239=1,ISNUMBER(C1239)),C1239,"")</f>
        <v/>
      </c>
      <c r="J1239" s="11">
        <f>IF(G1239="","",100-IF($G$13=1,50,(_xlfn.RANK.AVG(G1239,$G$19:$G$1518,1)-1)/($G$13-1)*100))</f>
        <v/>
      </c>
      <c r="K1239" s="11">
        <f>IF(H1239="","",100-IF($G$14=1,50,(_xlfn.RANK.AVG(H1239,$H$19:$H$1518,1)-1)/($G$14-1)*100))</f>
        <v/>
      </c>
      <c r="L1239" s="11">
        <f>IF(I1239="","",IF($G$15=1,50,(_xlfn.RANK.AVG(I1239,$I$19:$I$1518,1)-1)/($G$15-1)*100))</f>
        <v/>
      </c>
      <c r="M1239" s="11">
        <f>IF(COUNT(J1239:L1239)=3,ROUND(AVERAGE(J1239:L1239),6),"")</f>
        <v/>
      </c>
      <c r="O1239">
        <f>IF(AND(ISNUMBER('자료_미국심리'!$A1223),ISNUMBER('자료_미국심리'!$B1223)),'자료_미국심리'!$A1223,"")</f>
        <v/>
      </c>
      <c r="P1239">
        <f>IF(AND(ISNUMBER('자료_미국심리'!$D1223),ISNUMBER('자료_미국심리'!$E1223)),'자료_미국심리'!$D1223,"")</f>
        <v/>
      </c>
      <c r="Q1239">
        <f>IF(AND(ISNUMBER('자료_미국심리'!$G1223),ISNUMBER('자료_미국심리'!$H1223)),'자료_미국심리'!$G1223,"")</f>
        <v/>
      </c>
    </row>
    <row r="1240">
      <c r="A1240" s="10">
        <f>IF(1222&gt;$E$5,"",SMALL($O$19:$O$4018,$E$6+1222))</f>
        <v/>
      </c>
      <c r="B1240" s="29">
        <f>IF(A1240="","",INDEX('자료_미국심리'!$B$3:$B$4002,MATCH(A1240,$O$19:$O$4018,0)))</f>
        <v/>
      </c>
      <c r="C1240" s="22">
        <f>IF(A1240="","",B1240/AVERAGE(B1116:B1240)-1)</f>
        <v/>
      </c>
      <c r="D1240" s="29">
        <f>IF(A1240="","",IFERROR(INDEX('자료_미국심리'!$E$3:$E$4002,MATCH(A1240,$P$19:$P$4018,0)),D1239))</f>
        <v/>
      </c>
      <c r="E1240" s="29">
        <f>IF(A1240="","",IFERROR(INDEX('자료_미국심리'!$H$3:$H$4002,MATCH(A1240,$Q$19:$Q$4018,0)),E1239))</f>
        <v/>
      </c>
      <c r="F1240">
        <f>IF(A1240="",0,IF(A1240&gt;$B$5,1,0))</f>
        <v/>
      </c>
      <c r="G1240" s="29">
        <f>IF(AND(F1240=1,ISNUMBER(D1240)),D1240,"")</f>
        <v/>
      </c>
      <c r="H1240" s="29">
        <f>IF(AND(F1240=1,ISNUMBER(E1240)),E1240,"")</f>
        <v/>
      </c>
      <c r="I1240" s="22">
        <f>IF(AND(F1240=1,ISNUMBER(C1240)),C1240,"")</f>
        <v/>
      </c>
      <c r="J1240" s="11">
        <f>IF(G1240="","",100-IF($G$13=1,50,(_xlfn.RANK.AVG(G1240,$G$19:$G$1518,1)-1)/($G$13-1)*100))</f>
        <v/>
      </c>
      <c r="K1240" s="11">
        <f>IF(H1240="","",100-IF($G$14=1,50,(_xlfn.RANK.AVG(H1240,$H$19:$H$1518,1)-1)/($G$14-1)*100))</f>
        <v/>
      </c>
      <c r="L1240" s="11">
        <f>IF(I1240="","",IF($G$15=1,50,(_xlfn.RANK.AVG(I1240,$I$19:$I$1518,1)-1)/($G$15-1)*100))</f>
        <v/>
      </c>
      <c r="M1240" s="11">
        <f>IF(COUNT(J1240:L1240)=3,ROUND(AVERAGE(J1240:L1240),6),"")</f>
        <v/>
      </c>
      <c r="O1240">
        <f>IF(AND(ISNUMBER('자료_미국심리'!$A1224),ISNUMBER('자료_미국심리'!$B1224)),'자료_미국심리'!$A1224,"")</f>
        <v/>
      </c>
      <c r="P1240">
        <f>IF(AND(ISNUMBER('자료_미국심리'!$D1224),ISNUMBER('자료_미국심리'!$E1224)),'자료_미국심리'!$D1224,"")</f>
        <v/>
      </c>
      <c r="Q1240">
        <f>IF(AND(ISNUMBER('자료_미국심리'!$G1224),ISNUMBER('자료_미국심리'!$H1224)),'자료_미국심리'!$G1224,"")</f>
        <v/>
      </c>
    </row>
    <row r="1241">
      <c r="A1241" s="10">
        <f>IF(1223&gt;$E$5,"",SMALL($O$19:$O$4018,$E$6+1223))</f>
        <v/>
      </c>
      <c r="B1241" s="29">
        <f>IF(A1241="","",INDEX('자료_미국심리'!$B$3:$B$4002,MATCH(A1241,$O$19:$O$4018,0)))</f>
        <v/>
      </c>
      <c r="C1241" s="22">
        <f>IF(A1241="","",B1241/AVERAGE(B1117:B1241)-1)</f>
        <v/>
      </c>
      <c r="D1241" s="29">
        <f>IF(A1241="","",IFERROR(INDEX('자료_미국심리'!$E$3:$E$4002,MATCH(A1241,$P$19:$P$4018,0)),D1240))</f>
        <v/>
      </c>
      <c r="E1241" s="29">
        <f>IF(A1241="","",IFERROR(INDEX('자료_미국심리'!$H$3:$H$4002,MATCH(A1241,$Q$19:$Q$4018,0)),E1240))</f>
        <v/>
      </c>
      <c r="F1241">
        <f>IF(A1241="",0,IF(A1241&gt;$B$5,1,0))</f>
        <v/>
      </c>
      <c r="G1241" s="29">
        <f>IF(AND(F1241=1,ISNUMBER(D1241)),D1241,"")</f>
        <v/>
      </c>
      <c r="H1241" s="29">
        <f>IF(AND(F1241=1,ISNUMBER(E1241)),E1241,"")</f>
        <v/>
      </c>
      <c r="I1241" s="22">
        <f>IF(AND(F1241=1,ISNUMBER(C1241)),C1241,"")</f>
        <v/>
      </c>
      <c r="J1241" s="11">
        <f>IF(G1241="","",100-IF($G$13=1,50,(_xlfn.RANK.AVG(G1241,$G$19:$G$1518,1)-1)/($G$13-1)*100))</f>
        <v/>
      </c>
      <c r="K1241" s="11">
        <f>IF(H1241="","",100-IF($G$14=1,50,(_xlfn.RANK.AVG(H1241,$H$19:$H$1518,1)-1)/($G$14-1)*100))</f>
        <v/>
      </c>
      <c r="L1241" s="11">
        <f>IF(I1241="","",IF($G$15=1,50,(_xlfn.RANK.AVG(I1241,$I$19:$I$1518,1)-1)/($G$15-1)*100))</f>
        <v/>
      </c>
      <c r="M1241" s="11">
        <f>IF(COUNT(J1241:L1241)=3,ROUND(AVERAGE(J1241:L1241),6),"")</f>
        <v/>
      </c>
      <c r="O1241">
        <f>IF(AND(ISNUMBER('자료_미국심리'!$A1225),ISNUMBER('자료_미국심리'!$B1225)),'자료_미국심리'!$A1225,"")</f>
        <v/>
      </c>
      <c r="P1241">
        <f>IF(AND(ISNUMBER('자료_미국심리'!$D1225),ISNUMBER('자료_미국심리'!$E1225)),'자료_미국심리'!$D1225,"")</f>
        <v/>
      </c>
      <c r="Q1241">
        <f>IF(AND(ISNUMBER('자료_미국심리'!$G1225),ISNUMBER('자료_미국심리'!$H1225)),'자료_미국심리'!$G1225,"")</f>
        <v/>
      </c>
    </row>
    <row r="1242">
      <c r="A1242" s="10">
        <f>IF(1224&gt;$E$5,"",SMALL($O$19:$O$4018,$E$6+1224))</f>
        <v/>
      </c>
      <c r="B1242" s="29">
        <f>IF(A1242="","",INDEX('자료_미국심리'!$B$3:$B$4002,MATCH(A1242,$O$19:$O$4018,0)))</f>
        <v/>
      </c>
      <c r="C1242" s="22">
        <f>IF(A1242="","",B1242/AVERAGE(B1118:B1242)-1)</f>
        <v/>
      </c>
      <c r="D1242" s="29">
        <f>IF(A1242="","",IFERROR(INDEX('자료_미국심리'!$E$3:$E$4002,MATCH(A1242,$P$19:$P$4018,0)),D1241))</f>
        <v/>
      </c>
      <c r="E1242" s="29">
        <f>IF(A1242="","",IFERROR(INDEX('자료_미국심리'!$H$3:$H$4002,MATCH(A1242,$Q$19:$Q$4018,0)),E1241))</f>
        <v/>
      </c>
      <c r="F1242">
        <f>IF(A1242="",0,IF(A1242&gt;$B$5,1,0))</f>
        <v/>
      </c>
      <c r="G1242" s="29">
        <f>IF(AND(F1242=1,ISNUMBER(D1242)),D1242,"")</f>
        <v/>
      </c>
      <c r="H1242" s="29">
        <f>IF(AND(F1242=1,ISNUMBER(E1242)),E1242,"")</f>
        <v/>
      </c>
      <c r="I1242" s="22">
        <f>IF(AND(F1242=1,ISNUMBER(C1242)),C1242,"")</f>
        <v/>
      </c>
      <c r="J1242" s="11">
        <f>IF(G1242="","",100-IF($G$13=1,50,(_xlfn.RANK.AVG(G1242,$G$19:$G$1518,1)-1)/($G$13-1)*100))</f>
        <v/>
      </c>
      <c r="K1242" s="11">
        <f>IF(H1242="","",100-IF($G$14=1,50,(_xlfn.RANK.AVG(H1242,$H$19:$H$1518,1)-1)/($G$14-1)*100))</f>
        <v/>
      </c>
      <c r="L1242" s="11">
        <f>IF(I1242="","",IF($G$15=1,50,(_xlfn.RANK.AVG(I1242,$I$19:$I$1518,1)-1)/($G$15-1)*100))</f>
        <v/>
      </c>
      <c r="M1242" s="11">
        <f>IF(COUNT(J1242:L1242)=3,ROUND(AVERAGE(J1242:L1242),6),"")</f>
        <v/>
      </c>
      <c r="O1242">
        <f>IF(AND(ISNUMBER('자료_미국심리'!$A1226),ISNUMBER('자료_미국심리'!$B1226)),'자료_미국심리'!$A1226,"")</f>
        <v/>
      </c>
      <c r="P1242">
        <f>IF(AND(ISNUMBER('자료_미국심리'!$D1226),ISNUMBER('자료_미국심리'!$E1226)),'자료_미국심리'!$D1226,"")</f>
        <v/>
      </c>
      <c r="Q1242">
        <f>IF(AND(ISNUMBER('자료_미국심리'!$G1226),ISNUMBER('자료_미국심리'!$H1226)),'자료_미국심리'!$G1226,"")</f>
        <v/>
      </c>
    </row>
    <row r="1243">
      <c r="A1243" s="10">
        <f>IF(1225&gt;$E$5,"",SMALL($O$19:$O$4018,$E$6+1225))</f>
        <v/>
      </c>
      <c r="B1243" s="29">
        <f>IF(A1243="","",INDEX('자료_미국심리'!$B$3:$B$4002,MATCH(A1243,$O$19:$O$4018,0)))</f>
        <v/>
      </c>
      <c r="C1243" s="22">
        <f>IF(A1243="","",B1243/AVERAGE(B1119:B1243)-1)</f>
        <v/>
      </c>
      <c r="D1243" s="29">
        <f>IF(A1243="","",IFERROR(INDEX('자료_미국심리'!$E$3:$E$4002,MATCH(A1243,$P$19:$P$4018,0)),D1242))</f>
        <v/>
      </c>
      <c r="E1243" s="29">
        <f>IF(A1243="","",IFERROR(INDEX('자료_미국심리'!$H$3:$H$4002,MATCH(A1243,$Q$19:$Q$4018,0)),E1242))</f>
        <v/>
      </c>
      <c r="F1243">
        <f>IF(A1243="",0,IF(A1243&gt;$B$5,1,0))</f>
        <v/>
      </c>
      <c r="G1243" s="29">
        <f>IF(AND(F1243=1,ISNUMBER(D1243)),D1243,"")</f>
        <v/>
      </c>
      <c r="H1243" s="29">
        <f>IF(AND(F1243=1,ISNUMBER(E1243)),E1243,"")</f>
        <v/>
      </c>
      <c r="I1243" s="22">
        <f>IF(AND(F1243=1,ISNUMBER(C1243)),C1243,"")</f>
        <v/>
      </c>
      <c r="J1243" s="11">
        <f>IF(G1243="","",100-IF($G$13=1,50,(_xlfn.RANK.AVG(G1243,$G$19:$G$1518,1)-1)/($G$13-1)*100))</f>
        <v/>
      </c>
      <c r="K1243" s="11">
        <f>IF(H1243="","",100-IF($G$14=1,50,(_xlfn.RANK.AVG(H1243,$H$19:$H$1518,1)-1)/($G$14-1)*100))</f>
        <v/>
      </c>
      <c r="L1243" s="11">
        <f>IF(I1243="","",IF($G$15=1,50,(_xlfn.RANK.AVG(I1243,$I$19:$I$1518,1)-1)/($G$15-1)*100))</f>
        <v/>
      </c>
      <c r="M1243" s="11">
        <f>IF(COUNT(J1243:L1243)=3,ROUND(AVERAGE(J1243:L1243),6),"")</f>
        <v/>
      </c>
      <c r="O1243">
        <f>IF(AND(ISNUMBER('자료_미국심리'!$A1227),ISNUMBER('자료_미국심리'!$B1227)),'자료_미국심리'!$A1227,"")</f>
        <v/>
      </c>
      <c r="P1243">
        <f>IF(AND(ISNUMBER('자료_미국심리'!$D1227),ISNUMBER('자료_미국심리'!$E1227)),'자료_미국심리'!$D1227,"")</f>
        <v/>
      </c>
      <c r="Q1243">
        <f>IF(AND(ISNUMBER('자료_미국심리'!$G1227),ISNUMBER('자료_미국심리'!$H1227)),'자료_미국심리'!$G1227,"")</f>
        <v/>
      </c>
    </row>
    <row r="1244">
      <c r="A1244" s="10">
        <f>IF(1226&gt;$E$5,"",SMALL($O$19:$O$4018,$E$6+1226))</f>
        <v/>
      </c>
      <c r="B1244" s="29">
        <f>IF(A1244="","",INDEX('자료_미국심리'!$B$3:$B$4002,MATCH(A1244,$O$19:$O$4018,0)))</f>
        <v/>
      </c>
      <c r="C1244" s="22">
        <f>IF(A1244="","",B1244/AVERAGE(B1120:B1244)-1)</f>
        <v/>
      </c>
      <c r="D1244" s="29">
        <f>IF(A1244="","",IFERROR(INDEX('자료_미국심리'!$E$3:$E$4002,MATCH(A1244,$P$19:$P$4018,0)),D1243))</f>
        <v/>
      </c>
      <c r="E1244" s="29">
        <f>IF(A1244="","",IFERROR(INDEX('자료_미국심리'!$H$3:$H$4002,MATCH(A1244,$Q$19:$Q$4018,0)),E1243))</f>
        <v/>
      </c>
      <c r="F1244">
        <f>IF(A1244="",0,IF(A1244&gt;$B$5,1,0))</f>
        <v/>
      </c>
      <c r="G1244" s="29">
        <f>IF(AND(F1244=1,ISNUMBER(D1244)),D1244,"")</f>
        <v/>
      </c>
      <c r="H1244" s="29">
        <f>IF(AND(F1244=1,ISNUMBER(E1244)),E1244,"")</f>
        <v/>
      </c>
      <c r="I1244" s="22">
        <f>IF(AND(F1244=1,ISNUMBER(C1244)),C1244,"")</f>
        <v/>
      </c>
      <c r="J1244" s="11">
        <f>IF(G1244="","",100-IF($G$13=1,50,(_xlfn.RANK.AVG(G1244,$G$19:$G$1518,1)-1)/($G$13-1)*100))</f>
        <v/>
      </c>
      <c r="K1244" s="11">
        <f>IF(H1244="","",100-IF($G$14=1,50,(_xlfn.RANK.AVG(H1244,$H$19:$H$1518,1)-1)/($G$14-1)*100))</f>
        <v/>
      </c>
      <c r="L1244" s="11">
        <f>IF(I1244="","",IF($G$15=1,50,(_xlfn.RANK.AVG(I1244,$I$19:$I$1518,1)-1)/($G$15-1)*100))</f>
        <v/>
      </c>
      <c r="M1244" s="11">
        <f>IF(COUNT(J1244:L1244)=3,ROUND(AVERAGE(J1244:L1244),6),"")</f>
        <v/>
      </c>
      <c r="O1244">
        <f>IF(AND(ISNUMBER('자료_미국심리'!$A1228),ISNUMBER('자료_미국심리'!$B1228)),'자료_미국심리'!$A1228,"")</f>
        <v/>
      </c>
      <c r="P1244">
        <f>IF(AND(ISNUMBER('자료_미국심리'!$D1228),ISNUMBER('자료_미국심리'!$E1228)),'자료_미국심리'!$D1228,"")</f>
        <v/>
      </c>
      <c r="Q1244">
        <f>IF(AND(ISNUMBER('자료_미국심리'!$G1228),ISNUMBER('자료_미국심리'!$H1228)),'자료_미국심리'!$G1228,"")</f>
        <v/>
      </c>
    </row>
    <row r="1245">
      <c r="A1245" s="10">
        <f>IF(1227&gt;$E$5,"",SMALL($O$19:$O$4018,$E$6+1227))</f>
        <v/>
      </c>
      <c r="B1245" s="29">
        <f>IF(A1245="","",INDEX('자료_미국심리'!$B$3:$B$4002,MATCH(A1245,$O$19:$O$4018,0)))</f>
        <v/>
      </c>
      <c r="C1245" s="22">
        <f>IF(A1245="","",B1245/AVERAGE(B1121:B1245)-1)</f>
        <v/>
      </c>
      <c r="D1245" s="29">
        <f>IF(A1245="","",IFERROR(INDEX('자료_미국심리'!$E$3:$E$4002,MATCH(A1245,$P$19:$P$4018,0)),D1244))</f>
        <v/>
      </c>
      <c r="E1245" s="29">
        <f>IF(A1245="","",IFERROR(INDEX('자료_미국심리'!$H$3:$H$4002,MATCH(A1245,$Q$19:$Q$4018,0)),E1244))</f>
        <v/>
      </c>
      <c r="F1245">
        <f>IF(A1245="",0,IF(A1245&gt;$B$5,1,0))</f>
        <v/>
      </c>
      <c r="G1245" s="29">
        <f>IF(AND(F1245=1,ISNUMBER(D1245)),D1245,"")</f>
        <v/>
      </c>
      <c r="H1245" s="29">
        <f>IF(AND(F1245=1,ISNUMBER(E1245)),E1245,"")</f>
        <v/>
      </c>
      <c r="I1245" s="22">
        <f>IF(AND(F1245=1,ISNUMBER(C1245)),C1245,"")</f>
        <v/>
      </c>
      <c r="J1245" s="11">
        <f>IF(G1245="","",100-IF($G$13=1,50,(_xlfn.RANK.AVG(G1245,$G$19:$G$1518,1)-1)/($G$13-1)*100))</f>
        <v/>
      </c>
      <c r="K1245" s="11">
        <f>IF(H1245="","",100-IF($G$14=1,50,(_xlfn.RANK.AVG(H1245,$H$19:$H$1518,1)-1)/($G$14-1)*100))</f>
        <v/>
      </c>
      <c r="L1245" s="11">
        <f>IF(I1245="","",IF($G$15=1,50,(_xlfn.RANK.AVG(I1245,$I$19:$I$1518,1)-1)/($G$15-1)*100))</f>
        <v/>
      </c>
      <c r="M1245" s="11">
        <f>IF(COUNT(J1245:L1245)=3,ROUND(AVERAGE(J1245:L1245),6),"")</f>
        <v/>
      </c>
      <c r="O1245">
        <f>IF(AND(ISNUMBER('자료_미국심리'!$A1229),ISNUMBER('자료_미국심리'!$B1229)),'자료_미국심리'!$A1229,"")</f>
        <v/>
      </c>
      <c r="P1245">
        <f>IF(AND(ISNUMBER('자료_미국심리'!$D1229),ISNUMBER('자료_미국심리'!$E1229)),'자료_미국심리'!$D1229,"")</f>
        <v/>
      </c>
      <c r="Q1245">
        <f>IF(AND(ISNUMBER('자료_미국심리'!$G1229),ISNUMBER('자료_미국심리'!$H1229)),'자료_미국심리'!$G1229,"")</f>
        <v/>
      </c>
    </row>
    <row r="1246">
      <c r="A1246" s="10">
        <f>IF(1228&gt;$E$5,"",SMALL($O$19:$O$4018,$E$6+1228))</f>
        <v/>
      </c>
      <c r="B1246" s="29">
        <f>IF(A1246="","",INDEX('자료_미국심리'!$B$3:$B$4002,MATCH(A1246,$O$19:$O$4018,0)))</f>
        <v/>
      </c>
      <c r="C1246" s="22">
        <f>IF(A1246="","",B1246/AVERAGE(B1122:B1246)-1)</f>
        <v/>
      </c>
      <c r="D1246" s="29">
        <f>IF(A1246="","",IFERROR(INDEX('자료_미국심리'!$E$3:$E$4002,MATCH(A1246,$P$19:$P$4018,0)),D1245))</f>
        <v/>
      </c>
      <c r="E1246" s="29">
        <f>IF(A1246="","",IFERROR(INDEX('자료_미국심리'!$H$3:$H$4002,MATCH(A1246,$Q$19:$Q$4018,0)),E1245))</f>
        <v/>
      </c>
      <c r="F1246">
        <f>IF(A1246="",0,IF(A1246&gt;$B$5,1,0))</f>
        <v/>
      </c>
      <c r="G1246" s="29">
        <f>IF(AND(F1246=1,ISNUMBER(D1246)),D1246,"")</f>
        <v/>
      </c>
      <c r="H1246" s="29">
        <f>IF(AND(F1246=1,ISNUMBER(E1246)),E1246,"")</f>
        <v/>
      </c>
      <c r="I1246" s="22">
        <f>IF(AND(F1246=1,ISNUMBER(C1246)),C1246,"")</f>
        <v/>
      </c>
      <c r="J1246" s="11">
        <f>IF(G1246="","",100-IF($G$13=1,50,(_xlfn.RANK.AVG(G1246,$G$19:$G$1518,1)-1)/($G$13-1)*100))</f>
        <v/>
      </c>
      <c r="K1246" s="11">
        <f>IF(H1246="","",100-IF($G$14=1,50,(_xlfn.RANK.AVG(H1246,$H$19:$H$1518,1)-1)/($G$14-1)*100))</f>
        <v/>
      </c>
      <c r="L1246" s="11">
        <f>IF(I1246="","",IF($G$15=1,50,(_xlfn.RANK.AVG(I1246,$I$19:$I$1518,1)-1)/($G$15-1)*100))</f>
        <v/>
      </c>
      <c r="M1246" s="11">
        <f>IF(COUNT(J1246:L1246)=3,ROUND(AVERAGE(J1246:L1246),6),"")</f>
        <v/>
      </c>
      <c r="O1246">
        <f>IF(AND(ISNUMBER('자료_미국심리'!$A1230),ISNUMBER('자료_미국심리'!$B1230)),'자료_미국심리'!$A1230,"")</f>
        <v/>
      </c>
      <c r="P1246">
        <f>IF(AND(ISNUMBER('자료_미국심리'!$D1230),ISNUMBER('자료_미국심리'!$E1230)),'자료_미국심리'!$D1230,"")</f>
        <v/>
      </c>
      <c r="Q1246">
        <f>IF(AND(ISNUMBER('자료_미국심리'!$G1230),ISNUMBER('자료_미국심리'!$H1230)),'자료_미국심리'!$G1230,"")</f>
        <v/>
      </c>
    </row>
    <row r="1247">
      <c r="A1247" s="10">
        <f>IF(1229&gt;$E$5,"",SMALL($O$19:$O$4018,$E$6+1229))</f>
        <v/>
      </c>
      <c r="B1247" s="29">
        <f>IF(A1247="","",INDEX('자료_미국심리'!$B$3:$B$4002,MATCH(A1247,$O$19:$O$4018,0)))</f>
        <v/>
      </c>
      <c r="C1247" s="22">
        <f>IF(A1247="","",B1247/AVERAGE(B1123:B1247)-1)</f>
        <v/>
      </c>
      <c r="D1247" s="29">
        <f>IF(A1247="","",IFERROR(INDEX('자료_미국심리'!$E$3:$E$4002,MATCH(A1247,$P$19:$P$4018,0)),D1246))</f>
        <v/>
      </c>
      <c r="E1247" s="29">
        <f>IF(A1247="","",IFERROR(INDEX('자료_미국심리'!$H$3:$H$4002,MATCH(A1247,$Q$19:$Q$4018,0)),E1246))</f>
        <v/>
      </c>
      <c r="F1247">
        <f>IF(A1247="",0,IF(A1247&gt;$B$5,1,0))</f>
        <v/>
      </c>
      <c r="G1247" s="29">
        <f>IF(AND(F1247=1,ISNUMBER(D1247)),D1247,"")</f>
        <v/>
      </c>
      <c r="H1247" s="29">
        <f>IF(AND(F1247=1,ISNUMBER(E1247)),E1247,"")</f>
        <v/>
      </c>
      <c r="I1247" s="22">
        <f>IF(AND(F1247=1,ISNUMBER(C1247)),C1247,"")</f>
        <v/>
      </c>
      <c r="J1247" s="11">
        <f>IF(G1247="","",100-IF($G$13=1,50,(_xlfn.RANK.AVG(G1247,$G$19:$G$1518,1)-1)/($G$13-1)*100))</f>
        <v/>
      </c>
      <c r="K1247" s="11">
        <f>IF(H1247="","",100-IF($G$14=1,50,(_xlfn.RANK.AVG(H1247,$H$19:$H$1518,1)-1)/($G$14-1)*100))</f>
        <v/>
      </c>
      <c r="L1247" s="11">
        <f>IF(I1247="","",IF($G$15=1,50,(_xlfn.RANK.AVG(I1247,$I$19:$I$1518,1)-1)/($G$15-1)*100))</f>
        <v/>
      </c>
      <c r="M1247" s="11">
        <f>IF(COUNT(J1247:L1247)=3,ROUND(AVERAGE(J1247:L1247),6),"")</f>
        <v/>
      </c>
      <c r="O1247">
        <f>IF(AND(ISNUMBER('자료_미국심리'!$A1231),ISNUMBER('자료_미국심리'!$B1231)),'자료_미국심리'!$A1231,"")</f>
        <v/>
      </c>
      <c r="P1247">
        <f>IF(AND(ISNUMBER('자료_미국심리'!$D1231),ISNUMBER('자료_미국심리'!$E1231)),'자료_미국심리'!$D1231,"")</f>
        <v/>
      </c>
      <c r="Q1247">
        <f>IF(AND(ISNUMBER('자료_미국심리'!$G1231),ISNUMBER('자료_미국심리'!$H1231)),'자료_미국심리'!$G1231,"")</f>
        <v/>
      </c>
    </row>
    <row r="1248">
      <c r="A1248" s="10">
        <f>IF(1230&gt;$E$5,"",SMALL($O$19:$O$4018,$E$6+1230))</f>
        <v/>
      </c>
      <c r="B1248" s="29">
        <f>IF(A1248="","",INDEX('자료_미국심리'!$B$3:$B$4002,MATCH(A1248,$O$19:$O$4018,0)))</f>
        <v/>
      </c>
      <c r="C1248" s="22">
        <f>IF(A1248="","",B1248/AVERAGE(B1124:B1248)-1)</f>
        <v/>
      </c>
      <c r="D1248" s="29">
        <f>IF(A1248="","",IFERROR(INDEX('자료_미국심리'!$E$3:$E$4002,MATCH(A1248,$P$19:$P$4018,0)),D1247))</f>
        <v/>
      </c>
      <c r="E1248" s="29">
        <f>IF(A1248="","",IFERROR(INDEX('자료_미국심리'!$H$3:$H$4002,MATCH(A1248,$Q$19:$Q$4018,0)),E1247))</f>
        <v/>
      </c>
      <c r="F1248">
        <f>IF(A1248="",0,IF(A1248&gt;$B$5,1,0))</f>
        <v/>
      </c>
      <c r="G1248" s="29">
        <f>IF(AND(F1248=1,ISNUMBER(D1248)),D1248,"")</f>
        <v/>
      </c>
      <c r="H1248" s="29">
        <f>IF(AND(F1248=1,ISNUMBER(E1248)),E1248,"")</f>
        <v/>
      </c>
      <c r="I1248" s="22">
        <f>IF(AND(F1248=1,ISNUMBER(C1248)),C1248,"")</f>
        <v/>
      </c>
      <c r="J1248" s="11">
        <f>IF(G1248="","",100-IF($G$13=1,50,(_xlfn.RANK.AVG(G1248,$G$19:$G$1518,1)-1)/($G$13-1)*100))</f>
        <v/>
      </c>
      <c r="K1248" s="11">
        <f>IF(H1248="","",100-IF($G$14=1,50,(_xlfn.RANK.AVG(H1248,$H$19:$H$1518,1)-1)/($G$14-1)*100))</f>
        <v/>
      </c>
      <c r="L1248" s="11">
        <f>IF(I1248="","",IF($G$15=1,50,(_xlfn.RANK.AVG(I1248,$I$19:$I$1518,1)-1)/($G$15-1)*100))</f>
        <v/>
      </c>
      <c r="M1248" s="11">
        <f>IF(COUNT(J1248:L1248)=3,ROUND(AVERAGE(J1248:L1248),6),"")</f>
        <v/>
      </c>
      <c r="O1248">
        <f>IF(AND(ISNUMBER('자료_미국심리'!$A1232),ISNUMBER('자료_미국심리'!$B1232)),'자료_미국심리'!$A1232,"")</f>
        <v/>
      </c>
      <c r="P1248">
        <f>IF(AND(ISNUMBER('자료_미국심리'!$D1232),ISNUMBER('자료_미국심리'!$E1232)),'자료_미국심리'!$D1232,"")</f>
        <v/>
      </c>
      <c r="Q1248">
        <f>IF(AND(ISNUMBER('자료_미국심리'!$G1232),ISNUMBER('자료_미국심리'!$H1232)),'자료_미국심리'!$G1232,"")</f>
        <v/>
      </c>
    </row>
    <row r="1249">
      <c r="A1249" s="10">
        <f>IF(1231&gt;$E$5,"",SMALL($O$19:$O$4018,$E$6+1231))</f>
        <v/>
      </c>
      <c r="B1249" s="29">
        <f>IF(A1249="","",INDEX('자료_미국심리'!$B$3:$B$4002,MATCH(A1249,$O$19:$O$4018,0)))</f>
        <v/>
      </c>
      <c r="C1249" s="22">
        <f>IF(A1249="","",B1249/AVERAGE(B1125:B1249)-1)</f>
        <v/>
      </c>
      <c r="D1249" s="29">
        <f>IF(A1249="","",IFERROR(INDEX('자료_미국심리'!$E$3:$E$4002,MATCH(A1249,$P$19:$P$4018,0)),D1248))</f>
        <v/>
      </c>
      <c r="E1249" s="29">
        <f>IF(A1249="","",IFERROR(INDEX('자료_미국심리'!$H$3:$H$4002,MATCH(A1249,$Q$19:$Q$4018,0)),E1248))</f>
        <v/>
      </c>
      <c r="F1249">
        <f>IF(A1249="",0,IF(A1249&gt;$B$5,1,0))</f>
        <v/>
      </c>
      <c r="G1249" s="29">
        <f>IF(AND(F1249=1,ISNUMBER(D1249)),D1249,"")</f>
        <v/>
      </c>
      <c r="H1249" s="29">
        <f>IF(AND(F1249=1,ISNUMBER(E1249)),E1249,"")</f>
        <v/>
      </c>
      <c r="I1249" s="22">
        <f>IF(AND(F1249=1,ISNUMBER(C1249)),C1249,"")</f>
        <v/>
      </c>
      <c r="J1249" s="11">
        <f>IF(G1249="","",100-IF($G$13=1,50,(_xlfn.RANK.AVG(G1249,$G$19:$G$1518,1)-1)/($G$13-1)*100))</f>
        <v/>
      </c>
      <c r="K1249" s="11">
        <f>IF(H1249="","",100-IF($G$14=1,50,(_xlfn.RANK.AVG(H1249,$H$19:$H$1518,1)-1)/($G$14-1)*100))</f>
        <v/>
      </c>
      <c r="L1249" s="11">
        <f>IF(I1249="","",IF($G$15=1,50,(_xlfn.RANK.AVG(I1249,$I$19:$I$1518,1)-1)/($G$15-1)*100))</f>
        <v/>
      </c>
      <c r="M1249" s="11">
        <f>IF(COUNT(J1249:L1249)=3,ROUND(AVERAGE(J1249:L1249),6),"")</f>
        <v/>
      </c>
      <c r="O1249">
        <f>IF(AND(ISNUMBER('자료_미국심리'!$A1233),ISNUMBER('자료_미국심리'!$B1233)),'자료_미국심리'!$A1233,"")</f>
        <v/>
      </c>
      <c r="P1249">
        <f>IF(AND(ISNUMBER('자료_미국심리'!$D1233),ISNUMBER('자료_미국심리'!$E1233)),'자료_미국심리'!$D1233,"")</f>
        <v/>
      </c>
      <c r="Q1249">
        <f>IF(AND(ISNUMBER('자료_미국심리'!$G1233),ISNUMBER('자료_미국심리'!$H1233)),'자료_미국심리'!$G1233,"")</f>
        <v/>
      </c>
    </row>
    <row r="1250">
      <c r="A1250" s="10">
        <f>IF(1232&gt;$E$5,"",SMALL($O$19:$O$4018,$E$6+1232))</f>
        <v/>
      </c>
      <c r="B1250" s="29">
        <f>IF(A1250="","",INDEX('자료_미국심리'!$B$3:$B$4002,MATCH(A1250,$O$19:$O$4018,0)))</f>
        <v/>
      </c>
      <c r="C1250" s="22">
        <f>IF(A1250="","",B1250/AVERAGE(B1126:B1250)-1)</f>
        <v/>
      </c>
      <c r="D1250" s="29">
        <f>IF(A1250="","",IFERROR(INDEX('자료_미국심리'!$E$3:$E$4002,MATCH(A1250,$P$19:$P$4018,0)),D1249))</f>
        <v/>
      </c>
      <c r="E1250" s="29">
        <f>IF(A1250="","",IFERROR(INDEX('자료_미국심리'!$H$3:$H$4002,MATCH(A1250,$Q$19:$Q$4018,0)),E1249))</f>
        <v/>
      </c>
      <c r="F1250">
        <f>IF(A1250="",0,IF(A1250&gt;$B$5,1,0))</f>
        <v/>
      </c>
      <c r="G1250" s="29">
        <f>IF(AND(F1250=1,ISNUMBER(D1250)),D1250,"")</f>
        <v/>
      </c>
      <c r="H1250" s="29">
        <f>IF(AND(F1250=1,ISNUMBER(E1250)),E1250,"")</f>
        <v/>
      </c>
      <c r="I1250" s="22">
        <f>IF(AND(F1250=1,ISNUMBER(C1250)),C1250,"")</f>
        <v/>
      </c>
      <c r="J1250" s="11">
        <f>IF(G1250="","",100-IF($G$13=1,50,(_xlfn.RANK.AVG(G1250,$G$19:$G$1518,1)-1)/($G$13-1)*100))</f>
        <v/>
      </c>
      <c r="K1250" s="11">
        <f>IF(H1250="","",100-IF($G$14=1,50,(_xlfn.RANK.AVG(H1250,$H$19:$H$1518,1)-1)/($G$14-1)*100))</f>
        <v/>
      </c>
      <c r="L1250" s="11">
        <f>IF(I1250="","",IF($G$15=1,50,(_xlfn.RANK.AVG(I1250,$I$19:$I$1518,1)-1)/($G$15-1)*100))</f>
        <v/>
      </c>
      <c r="M1250" s="11">
        <f>IF(COUNT(J1250:L1250)=3,ROUND(AVERAGE(J1250:L1250),6),"")</f>
        <v/>
      </c>
      <c r="O1250">
        <f>IF(AND(ISNUMBER('자료_미국심리'!$A1234),ISNUMBER('자료_미국심리'!$B1234)),'자료_미국심리'!$A1234,"")</f>
        <v/>
      </c>
      <c r="P1250">
        <f>IF(AND(ISNUMBER('자료_미국심리'!$D1234),ISNUMBER('자료_미국심리'!$E1234)),'자료_미국심리'!$D1234,"")</f>
        <v/>
      </c>
      <c r="Q1250">
        <f>IF(AND(ISNUMBER('자료_미국심리'!$G1234),ISNUMBER('자료_미국심리'!$H1234)),'자료_미국심리'!$G1234,"")</f>
        <v/>
      </c>
    </row>
    <row r="1251">
      <c r="A1251" s="10">
        <f>IF(1233&gt;$E$5,"",SMALL($O$19:$O$4018,$E$6+1233))</f>
        <v/>
      </c>
      <c r="B1251" s="29">
        <f>IF(A1251="","",INDEX('자료_미국심리'!$B$3:$B$4002,MATCH(A1251,$O$19:$O$4018,0)))</f>
        <v/>
      </c>
      <c r="C1251" s="22">
        <f>IF(A1251="","",B1251/AVERAGE(B1127:B1251)-1)</f>
        <v/>
      </c>
      <c r="D1251" s="29">
        <f>IF(A1251="","",IFERROR(INDEX('자료_미국심리'!$E$3:$E$4002,MATCH(A1251,$P$19:$P$4018,0)),D1250))</f>
        <v/>
      </c>
      <c r="E1251" s="29">
        <f>IF(A1251="","",IFERROR(INDEX('자료_미국심리'!$H$3:$H$4002,MATCH(A1251,$Q$19:$Q$4018,0)),E1250))</f>
        <v/>
      </c>
      <c r="F1251">
        <f>IF(A1251="",0,IF(A1251&gt;$B$5,1,0))</f>
        <v/>
      </c>
      <c r="G1251" s="29">
        <f>IF(AND(F1251=1,ISNUMBER(D1251)),D1251,"")</f>
        <v/>
      </c>
      <c r="H1251" s="29">
        <f>IF(AND(F1251=1,ISNUMBER(E1251)),E1251,"")</f>
        <v/>
      </c>
      <c r="I1251" s="22">
        <f>IF(AND(F1251=1,ISNUMBER(C1251)),C1251,"")</f>
        <v/>
      </c>
      <c r="J1251" s="11">
        <f>IF(G1251="","",100-IF($G$13=1,50,(_xlfn.RANK.AVG(G1251,$G$19:$G$1518,1)-1)/($G$13-1)*100))</f>
        <v/>
      </c>
      <c r="K1251" s="11">
        <f>IF(H1251="","",100-IF($G$14=1,50,(_xlfn.RANK.AVG(H1251,$H$19:$H$1518,1)-1)/($G$14-1)*100))</f>
        <v/>
      </c>
      <c r="L1251" s="11">
        <f>IF(I1251="","",IF($G$15=1,50,(_xlfn.RANK.AVG(I1251,$I$19:$I$1518,1)-1)/($G$15-1)*100))</f>
        <v/>
      </c>
      <c r="M1251" s="11">
        <f>IF(COUNT(J1251:L1251)=3,ROUND(AVERAGE(J1251:L1251),6),"")</f>
        <v/>
      </c>
      <c r="O1251">
        <f>IF(AND(ISNUMBER('자료_미국심리'!$A1235),ISNUMBER('자료_미국심리'!$B1235)),'자료_미국심리'!$A1235,"")</f>
        <v/>
      </c>
      <c r="P1251">
        <f>IF(AND(ISNUMBER('자료_미국심리'!$D1235),ISNUMBER('자료_미국심리'!$E1235)),'자료_미국심리'!$D1235,"")</f>
        <v/>
      </c>
      <c r="Q1251">
        <f>IF(AND(ISNUMBER('자료_미국심리'!$G1235),ISNUMBER('자료_미국심리'!$H1235)),'자료_미국심리'!$G1235,"")</f>
        <v/>
      </c>
    </row>
    <row r="1252">
      <c r="A1252" s="10">
        <f>IF(1234&gt;$E$5,"",SMALL($O$19:$O$4018,$E$6+1234))</f>
        <v/>
      </c>
      <c r="B1252" s="29">
        <f>IF(A1252="","",INDEX('자료_미국심리'!$B$3:$B$4002,MATCH(A1252,$O$19:$O$4018,0)))</f>
        <v/>
      </c>
      <c r="C1252" s="22">
        <f>IF(A1252="","",B1252/AVERAGE(B1128:B1252)-1)</f>
        <v/>
      </c>
      <c r="D1252" s="29">
        <f>IF(A1252="","",IFERROR(INDEX('자료_미국심리'!$E$3:$E$4002,MATCH(A1252,$P$19:$P$4018,0)),D1251))</f>
        <v/>
      </c>
      <c r="E1252" s="29">
        <f>IF(A1252="","",IFERROR(INDEX('자료_미국심리'!$H$3:$H$4002,MATCH(A1252,$Q$19:$Q$4018,0)),E1251))</f>
        <v/>
      </c>
      <c r="F1252">
        <f>IF(A1252="",0,IF(A1252&gt;$B$5,1,0))</f>
        <v/>
      </c>
      <c r="G1252" s="29">
        <f>IF(AND(F1252=1,ISNUMBER(D1252)),D1252,"")</f>
        <v/>
      </c>
      <c r="H1252" s="29">
        <f>IF(AND(F1252=1,ISNUMBER(E1252)),E1252,"")</f>
        <v/>
      </c>
      <c r="I1252" s="22">
        <f>IF(AND(F1252=1,ISNUMBER(C1252)),C1252,"")</f>
        <v/>
      </c>
      <c r="J1252" s="11">
        <f>IF(G1252="","",100-IF($G$13=1,50,(_xlfn.RANK.AVG(G1252,$G$19:$G$1518,1)-1)/($G$13-1)*100))</f>
        <v/>
      </c>
      <c r="K1252" s="11">
        <f>IF(H1252="","",100-IF($G$14=1,50,(_xlfn.RANK.AVG(H1252,$H$19:$H$1518,1)-1)/($G$14-1)*100))</f>
        <v/>
      </c>
      <c r="L1252" s="11">
        <f>IF(I1252="","",IF($G$15=1,50,(_xlfn.RANK.AVG(I1252,$I$19:$I$1518,1)-1)/($G$15-1)*100))</f>
        <v/>
      </c>
      <c r="M1252" s="11">
        <f>IF(COUNT(J1252:L1252)=3,ROUND(AVERAGE(J1252:L1252),6),"")</f>
        <v/>
      </c>
      <c r="O1252">
        <f>IF(AND(ISNUMBER('자료_미국심리'!$A1236),ISNUMBER('자료_미국심리'!$B1236)),'자료_미국심리'!$A1236,"")</f>
        <v/>
      </c>
      <c r="P1252">
        <f>IF(AND(ISNUMBER('자료_미국심리'!$D1236),ISNUMBER('자료_미국심리'!$E1236)),'자료_미국심리'!$D1236,"")</f>
        <v/>
      </c>
      <c r="Q1252">
        <f>IF(AND(ISNUMBER('자료_미국심리'!$G1236),ISNUMBER('자료_미국심리'!$H1236)),'자료_미국심리'!$G1236,"")</f>
        <v/>
      </c>
    </row>
    <row r="1253">
      <c r="A1253" s="10">
        <f>IF(1235&gt;$E$5,"",SMALL($O$19:$O$4018,$E$6+1235))</f>
        <v/>
      </c>
      <c r="B1253" s="29">
        <f>IF(A1253="","",INDEX('자료_미국심리'!$B$3:$B$4002,MATCH(A1253,$O$19:$O$4018,0)))</f>
        <v/>
      </c>
      <c r="C1253" s="22">
        <f>IF(A1253="","",B1253/AVERAGE(B1129:B1253)-1)</f>
        <v/>
      </c>
      <c r="D1253" s="29">
        <f>IF(A1253="","",IFERROR(INDEX('자료_미국심리'!$E$3:$E$4002,MATCH(A1253,$P$19:$P$4018,0)),D1252))</f>
        <v/>
      </c>
      <c r="E1253" s="29">
        <f>IF(A1253="","",IFERROR(INDEX('자료_미국심리'!$H$3:$H$4002,MATCH(A1253,$Q$19:$Q$4018,0)),E1252))</f>
        <v/>
      </c>
      <c r="F1253">
        <f>IF(A1253="",0,IF(A1253&gt;$B$5,1,0))</f>
        <v/>
      </c>
      <c r="G1253" s="29">
        <f>IF(AND(F1253=1,ISNUMBER(D1253)),D1253,"")</f>
        <v/>
      </c>
      <c r="H1253" s="29">
        <f>IF(AND(F1253=1,ISNUMBER(E1253)),E1253,"")</f>
        <v/>
      </c>
      <c r="I1253" s="22">
        <f>IF(AND(F1253=1,ISNUMBER(C1253)),C1253,"")</f>
        <v/>
      </c>
      <c r="J1253" s="11">
        <f>IF(G1253="","",100-IF($G$13=1,50,(_xlfn.RANK.AVG(G1253,$G$19:$G$1518,1)-1)/($G$13-1)*100))</f>
        <v/>
      </c>
      <c r="K1253" s="11">
        <f>IF(H1253="","",100-IF($G$14=1,50,(_xlfn.RANK.AVG(H1253,$H$19:$H$1518,1)-1)/($G$14-1)*100))</f>
        <v/>
      </c>
      <c r="L1253" s="11">
        <f>IF(I1253="","",IF($G$15=1,50,(_xlfn.RANK.AVG(I1253,$I$19:$I$1518,1)-1)/($G$15-1)*100))</f>
        <v/>
      </c>
      <c r="M1253" s="11">
        <f>IF(COUNT(J1253:L1253)=3,ROUND(AVERAGE(J1253:L1253),6),"")</f>
        <v/>
      </c>
      <c r="O1253">
        <f>IF(AND(ISNUMBER('자료_미국심리'!$A1237),ISNUMBER('자료_미국심리'!$B1237)),'자료_미국심리'!$A1237,"")</f>
        <v/>
      </c>
      <c r="P1253">
        <f>IF(AND(ISNUMBER('자료_미국심리'!$D1237),ISNUMBER('자료_미국심리'!$E1237)),'자료_미국심리'!$D1237,"")</f>
        <v/>
      </c>
      <c r="Q1253">
        <f>IF(AND(ISNUMBER('자료_미국심리'!$G1237),ISNUMBER('자료_미국심리'!$H1237)),'자료_미국심리'!$G1237,"")</f>
        <v/>
      </c>
    </row>
    <row r="1254">
      <c r="A1254" s="10">
        <f>IF(1236&gt;$E$5,"",SMALL($O$19:$O$4018,$E$6+1236))</f>
        <v/>
      </c>
      <c r="B1254" s="29">
        <f>IF(A1254="","",INDEX('자료_미국심리'!$B$3:$B$4002,MATCH(A1254,$O$19:$O$4018,0)))</f>
        <v/>
      </c>
      <c r="C1254" s="22">
        <f>IF(A1254="","",B1254/AVERAGE(B1130:B1254)-1)</f>
        <v/>
      </c>
      <c r="D1254" s="29">
        <f>IF(A1254="","",IFERROR(INDEX('자료_미국심리'!$E$3:$E$4002,MATCH(A1254,$P$19:$P$4018,0)),D1253))</f>
        <v/>
      </c>
      <c r="E1254" s="29">
        <f>IF(A1254="","",IFERROR(INDEX('자료_미국심리'!$H$3:$H$4002,MATCH(A1254,$Q$19:$Q$4018,0)),E1253))</f>
        <v/>
      </c>
      <c r="F1254">
        <f>IF(A1254="",0,IF(A1254&gt;$B$5,1,0))</f>
        <v/>
      </c>
      <c r="G1254" s="29">
        <f>IF(AND(F1254=1,ISNUMBER(D1254)),D1254,"")</f>
        <v/>
      </c>
      <c r="H1254" s="29">
        <f>IF(AND(F1254=1,ISNUMBER(E1254)),E1254,"")</f>
        <v/>
      </c>
      <c r="I1254" s="22">
        <f>IF(AND(F1254=1,ISNUMBER(C1254)),C1254,"")</f>
        <v/>
      </c>
      <c r="J1254" s="11">
        <f>IF(G1254="","",100-IF($G$13=1,50,(_xlfn.RANK.AVG(G1254,$G$19:$G$1518,1)-1)/($G$13-1)*100))</f>
        <v/>
      </c>
      <c r="K1254" s="11">
        <f>IF(H1254="","",100-IF($G$14=1,50,(_xlfn.RANK.AVG(H1254,$H$19:$H$1518,1)-1)/($G$14-1)*100))</f>
        <v/>
      </c>
      <c r="L1254" s="11">
        <f>IF(I1254="","",IF($G$15=1,50,(_xlfn.RANK.AVG(I1254,$I$19:$I$1518,1)-1)/($G$15-1)*100))</f>
        <v/>
      </c>
      <c r="M1254" s="11">
        <f>IF(COUNT(J1254:L1254)=3,ROUND(AVERAGE(J1254:L1254),6),"")</f>
        <v/>
      </c>
      <c r="O1254">
        <f>IF(AND(ISNUMBER('자료_미국심리'!$A1238),ISNUMBER('자료_미국심리'!$B1238)),'자료_미국심리'!$A1238,"")</f>
        <v/>
      </c>
      <c r="P1254">
        <f>IF(AND(ISNUMBER('자료_미국심리'!$D1238),ISNUMBER('자료_미국심리'!$E1238)),'자료_미국심리'!$D1238,"")</f>
        <v/>
      </c>
      <c r="Q1254">
        <f>IF(AND(ISNUMBER('자료_미국심리'!$G1238),ISNUMBER('자료_미국심리'!$H1238)),'자료_미국심리'!$G1238,"")</f>
        <v/>
      </c>
    </row>
    <row r="1255">
      <c r="A1255" s="10">
        <f>IF(1237&gt;$E$5,"",SMALL($O$19:$O$4018,$E$6+1237))</f>
        <v/>
      </c>
      <c r="B1255" s="29">
        <f>IF(A1255="","",INDEX('자료_미국심리'!$B$3:$B$4002,MATCH(A1255,$O$19:$O$4018,0)))</f>
        <v/>
      </c>
      <c r="C1255" s="22">
        <f>IF(A1255="","",B1255/AVERAGE(B1131:B1255)-1)</f>
        <v/>
      </c>
      <c r="D1255" s="29">
        <f>IF(A1255="","",IFERROR(INDEX('자료_미국심리'!$E$3:$E$4002,MATCH(A1255,$P$19:$P$4018,0)),D1254))</f>
        <v/>
      </c>
      <c r="E1255" s="29">
        <f>IF(A1255="","",IFERROR(INDEX('자료_미국심리'!$H$3:$H$4002,MATCH(A1255,$Q$19:$Q$4018,0)),E1254))</f>
        <v/>
      </c>
      <c r="F1255">
        <f>IF(A1255="",0,IF(A1255&gt;$B$5,1,0))</f>
        <v/>
      </c>
      <c r="G1255" s="29">
        <f>IF(AND(F1255=1,ISNUMBER(D1255)),D1255,"")</f>
        <v/>
      </c>
      <c r="H1255" s="29">
        <f>IF(AND(F1255=1,ISNUMBER(E1255)),E1255,"")</f>
        <v/>
      </c>
      <c r="I1255" s="22">
        <f>IF(AND(F1255=1,ISNUMBER(C1255)),C1255,"")</f>
        <v/>
      </c>
      <c r="J1255" s="11">
        <f>IF(G1255="","",100-IF($G$13=1,50,(_xlfn.RANK.AVG(G1255,$G$19:$G$1518,1)-1)/($G$13-1)*100))</f>
        <v/>
      </c>
      <c r="K1255" s="11">
        <f>IF(H1255="","",100-IF($G$14=1,50,(_xlfn.RANK.AVG(H1255,$H$19:$H$1518,1)-1)/($G$14-1)*100))</f>
        <v/>
      </c>
      <c r="L1255" s="11">
        <f>IF(I1255="","",IF($G$15=1,50,(_xlfn.RANK.AVG(I1255,$I$19:$I$1518,1)-1)/($G$15-1)*100))</f>
        <v/>
      </c>
      <c r="M1255" s="11">
        <f>IF(COUNT(J1255:L1255)=3,ROUND(AVERAGE(J1255:L1255),6),"")</f>
        <v/>
      </c>
      <c r="O1255">
        <f>IF(AND(ISNUMBER('자료_미국심리'!$A1239),ISNUMBER('자료_미국심리'!$B1239)),'자료_미국심리'!$A1239,"")</f>
        <v/>
      </c>
      <c r="P1255">
        <f>IF(AND(ISNUMBER('자료_미국심리'!$D1239),ISNUMBER('자료_미국심리'!$E1239)),'자료_미국심리'!$D1239,"")</f>
        <v/>
      </c>
      <c r="Q1255">
        <f>IF(AND(ISNUMBER('자료_미국심리'!$G1239),ISNUMBER('자료_미국심리'!$H1239)),'자료_미국심리'!$G1239,"")</f>
        <v/>
      </c>
    </row>
    <row r="1256">
      <c r="A1256" s="10">
        <f>IF(1238&gt;$E$5,"",SMALL($O$19:$O$4018,$E$6+1238))</f>
        <v/>
      </c>
      <c r="B1256" s="29">
        <f>IF(A1256="","",INDEX('자료_미국심리'!$B$3:$B$4002,MATCH(A1256,$O$19:$O$4018,0)))</f>
        <v/>
      </c>
      <c r="C1256" s="22">
        <f>IF(A1256="","",B1256/AVERAGE(B1132:B1256)-1)</f>
        <v/>
      </c>
      <c r="D1256" s="29">
        <f>IF(A1256="","",IFERROR(INDEX('자료_미국심리'!$E$3:$E$4002,MATCH(A1256,$P$19:$P$4018,0)),D1255))</f>
        <v/>
      </c>
      <c r="E1256" s="29">
        <f>IF(A1256="","",IFERROR(INDEX('자료_미국심리'!$H$3:$H$4002,MATCH(A1256,$Q$19:$Q$4018,0)),E1255))</f>
        <v/>
      </c>
      <c r="F1256">
        <f>IF(A1256="",0,IF(A1256&gt;$B$5,1,0))</f>
        <v/>
      </c>
      <c r="G1256" s="29">
        <f>IF(AND(F1256=1,ISNUMBER(D1256)),D1256,"")</f>
        <v/>
      </c>
      <c r="H1256" s="29">
        <f>IF(AND(F1256=1,ISNUMBER(E1256)),E1256,"")</f>
        <v/>
      </c>
      <c r="I1256" s="22">
        <f>IF(AND(F1256=1,ISNUMBER(C1256)),C1256,"")</f>
        <v/>
      </c>
      <c r="J1256" s="11">
        <f>IF(G1256="","",100-IF($G$13=1,50,(_xlfn.RANK.AVG(G1256,$G$19:$G$1518,1)-1)/($G$13-1)*100))</f>
        <v/>
      </c>
      <c r="K1256" s="11">
        <f>IF(H1256="","",100-IF($G$14=1,50,(_xlfn.RANK.AVG(H1256,$H$19:$H$1518,1)-1)/($G$14-1)*100))</f>
        <v/>
      </c>
      <c r="L1256" s="11">
        <f>IF(I1256="","",IF($G$15=1,50,(_xlfn.RANK.AVG(I1256,$I$19:$I$1518,1)-1)/($G$15-1)*100))</f>
        <v/>
      </c>
      <c r="M1256" s="11">
        <f>IF(COUNT(J1256:L1256)=3,ROUND(AVERAGE(J1256:L1256),6),"")</f>
        <v/>
      </c>
      <c r="O1256">
        <f>IF(AND(ISNUMBER('자료_미국심리'!$A1240),ISNUMBER('자료_미국심리'!$B1240)),'자료_미국심리'!$A1240,"")</f>
        <v/>
      </c>
      <c r="P1256">
        <f>IF(AND(ISNUMBER('자료_미국심리'!$D1240),ISNUMBER('자료_미국심리'!$E1240)),'자료_미국심리'!$D1240,"")</f>
        <v/>
      </c>
      <c r="Q1256">
        <f>IF(AND(ISNUMBER('자료_미국심리'!$G1240),ISNUMBER('자료_미국심리'!$H1240)),'자료_미국심리'!$G1240,"")</f>
        <v/>
      </c>
    </row>
    <row r="1257">
      <c r="A1257" s="10">
        <f>IF(1239&gt;$E$5,"",SMALL($O$19:$O$4018,$E$6+1239))</f>
        <v/>
      </c>
      <c r="B1257" s="29">
        <f>IF(A1257="","",INDEX('자료_미국심리'!$B$3:$B$4002,MATCH(A1257,$O$19:$O$4018,0)))</f>
        <v/>
      </c>
      <c r="C1257" s="22">
        <f>IF(A1257="","",B1257/AVERAGE(B1133:B1257)-1)</f>
        <v/>
      </c>
      <c r="D1257" s="29">
        <f>IF(A1257="","",IFERROR(INDEX('자료_미국심리'!$E$3:$E$4002,MATCH(A1257,$P$19:$P$4018,0)),D1256))</f>
        <v/>
      </c>
      <c r="E1257" s="29">
        <f>IF(A1257="","",IFERROR(INDEX('자료_미국심리'!$H$3:$H$4002,MATCH(A1257,$Q$19:$Q$4018,0)),E1256))</f>
        <v/>
      </c>
      <c r="F1257">
        <f>IF(A1257="",0,IF(A1257&gt;$B$5,1,0))</f>
        <v/>
      </c>
      <c r="G1257" s="29">
        <f>IF(AND(F1257=1,ISNUMBER(D1257)),D1257,"")</f>
        <v/>
      </c>
      <c r="H1257" s="29">
        <f>IF(AND(F1257=1,ISNUMBER(E1257)),E1257,"")</f>
        <v/>
      </c>
      <c r="I1257" s="22">
        <f>IF(AND(F1257=1,ISNUMBER(C1257)),C1257,"")</f>
        <v/>
      </c>
      <c r="J1257" s="11">
        <f>IF(G1257="","",100-IF($G$13=1,50,(_xlfn.RANK.AVG(G1257,$G$19:$G$1518,1)-1)/($G$13-1)*100))</f>
        <v/>
      </c>
      <c r="K1257" s="11">
        <f>IF(H1257="","",100-IF($G$14=1,50,(_xlfn.RANK.AVG(H1257,$H$19:$H$1518,1)-1)/($G$14-1)*100))</f>
        <v/>
      </c>
      <c r="L1257" s="11">
        <f>IF(I1257="","",IF($G$15=1,50,(_xlfn.RANK.AVG(I1257,$I$19:$I$1518,1)-1)/($G$15-1)*100))</f>
        <v/>
      </c>
      <c r="M1257" s="11">
        <f>IF(COUNT(J1257:L1257)=3,ROUND(AVERAGE(J1257:L1257),6),"")</f>
        <v/>
      </c>
      <c r="O1257">
        <f>IF(AND(ISNUMBER('자료_미국심리'!$A1241),ISNUMBER('자료_미국심리'!$B1241)),'자료_미국심리'!$A1241,"")</f>
        <v/>
      </c>
      <c r="P1257">
        <f>IF(AND(ISNUMBER('자료_미국심리'!$D1241),ISNUMBER('자료_미국심리'!$E1241)),'자료_미국심리'!$D1241,"")</f>
        <v/>
      </c>
      <c r="Q1257">
        <f>IF(AND(ISNUMBER('자료_미국심리'!$G1241),ISNUMBER('자료_미국심리'!$H1241)),'자료_미국심리'!$G1241,"")</f>
        <v/>
      </c>
    </row>
    <row r="1258">
      <c r="A1258" s="10">
        <f>IF(1240&gt;$E$5,"",SMALL($O$19:$O$4018,$E$6+1240))</f>
        <v/>
      </c>
      <c r="B1258" s="29">
        <f>IF(A1258="","",INDEX('자료_미국심리'!$B$3:$B$4002,MATCH(A1258,$O$19:$O$4018,0)))</f>
        <v/>
      </c>
      <c r="C1258" s="22">
        <f>IF(A1258="","",B1258/AVERAGE(B1134:B1258)-1)</f>
        <v/>
      </c>
      <c r="D1258" s="29">
        <f>IF(A1258="","",IFERROR(INDEX('자료_미국심리'!$E$3:$E$4002,MATCH(A1258,$P$19:$P$4018,0)),D1257))</f>
        <v/>
      </c>
      <c r="E1258" s="29">
        <f>IF(A1258="","",IFERROR(INDEX('자료_미국심리'!$H$3:$H$4002,MATCH(A1258,$Q$19:$Q$4018,0)),E1257))</f>
        <v/>
      </c>
      <c r="F1258">
        <f>IF(A1258="",0,IF(A1258&gt;$B$5,1,0))</f>
        <v/>
      </c>
      <c r="G1258" s="29">
        <f>IF(AND(F1258=1,ISNUMBER(D1258)),D1258,"")</f>
        <v/>
      </c>
      <c r="H1258" s="29">
        <f>IF(AND(F1258=1,ISNUMBER(E1258)),E1258,"")</f>
        <v/>
      </c>
      <c r="I1258" s="22">
        <f>IF(AND(F1258=1,ISNUMBER(C1258)),C1258,"")</f>
        <v/>
      </c>
      <c r="J1258" s="11">
        <f>IF(G1258="","",100-IF($G$13=1,50,(_xlfn.RANK.AVG(G1258,$G$19:$G$1518,1)-1)/($G$13-1)*100))</f>
        <v/>
      </c>
      <c r="K1258" s="11">
        <f>IF(H1258="","",100-IF($G$14=1,50,(_xlfn.RANK.AVG(H1258,$H$19:$H$1518,1)-1)/($G$14-1)*100))</f>
        <v/>
      </c>
      <c r="L1258" s="11">
        <f>IF(I1258="","",IF($G$15=1,50,(_xlfn.RANK.AVG(I1258,$I$19:$I$1518,1)-1)/($G$15-1)*100))</f>
        <v/>
      </c>
      <c r="M1258" s="11">
        <f>IF(COUNT(J1258:L1258)=3,ROUND(AVERAGE(J1258:L1258),6),"")</f>
        <v/>
      </c>
      <c r="O1258">
        <f>IF(AND(ISNUMBER('자료_미국심리'!$A1242),ISNUMBER('자료_미국심리'!$B1242)),'자료_미국심리'!$A1242,"")</f>
        <v/>
      </c>
      <c r="P1258">
        <f>IF(AND(ISNUMBER('자료_미국심리'!$D1242),ISNUMBER('자료_미국심리'!$E1242)),'자료_미국심리'!$D1242,"")</f>
        <v/>
      </c>
      <c r="Q1258">
        <f>IF(AND(ISNUMBER('자료_미국심리'!$G1242),ISNUMBER('자료_미국심리'!$H1242)),'자료_미국심리'!$G1242,"")</f>
        <v/>
      </c>
    </row>
    <row r="1259">
      <c r="A1259" s="10">
        <f>IF(1241&gt;$E$5,"",SMALL($O$19:$O$4018,$E$6+1241))</f>
        <v/>
      </c>
      <c r="B1259" s="29">
        <f>IF(A1259="","",INDEX('자료_미국심리'!$B$3:$B$4002,MATCH(A1259,$O$19:$O$4018,0)))</f>
        <v/>
      </c>
      <c r="C1259" s="22">
        <f>IF(A1259="","",B1259/AVERAGE(B1135:B1259)-1)</f>
        <v/>
      </c>
      <c r="D1259" s="29">
        <f>IF(A1259="","",IFERROR(INDEX('자료_미국심리'!$E$3:$E$4002,MATCH(A1259,$P$19:$P$4018,0)),D1258))</f>
        <v/>
      </c>
      <c r="E1259" s="29">
        <f>IF(A1259="","",IFERROR(INDEX('자료_미국심리'!$H$3:$H$4002,MATCH(A1259,$Q$19:$Q$4018,0)),E1258))</f>
        <v/>
      </c>
      <c r="F1259">
        <f>IF(A1259="",0,IF(A1259&gt;$B$5,1,0))</f>
        <v/>
      </c>
      <c r="G1259" s="29">
        <f>IF(AND(F1259=1,ISNUMBER(D1259)),D1259,"")</f>
        <v/>
      </c>
      <c r="H1259" s="29">
        <f>IF(AND(F1259=1,ISNUMBER(E1259)),E1259,"")</f>
        <v/>
      </c>
      <c r="I1259" s="22">
        <f>IF(AND(F1259=1,ISNUMBER(C1259)),C1259,"")</f>
        <v/>
      </c>
      <c r="J1259" s="11">
        <f>IF(G1259="","",100-IF($G$13=1,50,(_xlfn.RANK.AVG(G1259,$G$19:$G$1518,1)-1)/($G$13-1)*100))</f>
        <v/>
      </c>
      <c r="K1259" s="11">
        <f>IF(H1259="","",100-IF($G$14=1,50,(_xlfn.RANK.AVG(H1259,$H$19:$H$1518,1)-1)/($G$14-1)*100))</f>
        <v/>
      </c>
      <c r="L1259" s="11">
        <f>IF(I1259="","",IF($G$15=1,50,(_xlfn.RANK.AVG(I1259,$I$19:$I$1518,1)-1)/($G$15-1)*100))</f>
        <v/>
      </c>
      <c r="M1259" s="11">
        <f>IF(COUNT(J1259:L1259)=3,ROUND(AVERAGE(J1259:L1259),6),"")</f>
        <v/>
      </c>
      <c r="O1259">
        <f>IF(AND(ISNUMBER('자료_미국심리'!$A1243),ISNUMBER('자료_미국심리'!$B1243)),'자료_미국심리'!$A1243,"")</f>
        <v/>
      </c>
      <c r="P1259">
        <f>IF(AND(ISNUMBER('자료_미국심리'!$D1243),ISNUMBER('자료_미국심리'!$E1243)),'자료_미국심리'!$D1243,"")</f>
        <v/>
      </c>
      <c r="Q1259">
        <f>IF(AND(ISNUMBER('자료_미국심리'!$G1243),ISNUMBER('자료_미국심리'!$H1243)),'자료_미국심리'!$G1243,"")</f>
        <v/>
      </c>
    </row>
    <row r="1260">
      <c r="A1260" s="10">
        <f>IF(1242&gt;$E$5,"",SMALL($O$19:$O$4018,$E$6+1242))</f>
        <v/>
      </c>
      <c r="B1260" s="29">
        <f>IF(A1260="","",INDEX('자료_미국심리'!$B$3:$B$4002,MATCH(A1260,$O$19:$O$4018,0)))</f>
        <v/>
      </c>
      <c r="C1260" s="22">
        <f>IF(A1260="","",B1260/AVERAGE(B1136:B1260)-1)</f>
        <v/>
      </c>
      <c r="D1260" s="29">
        <f>IF(A1260="","",IFERROR(INDEX('자료_미국심리'!$E$3:$E$4002,MATCH(A1260,$P$19:$P$4018,0)),D1259))</f>
        <v/>
      </c>
      <c r="E1260" s="29">
        <f>IF(A1260="","",IFERROR(INDEX('자료_미국심리'!$H$3:$H$4002,MATCH(A1260,$Q$19:$Q$4018,0)),E1259))</f>
        <v/>
      </c>
      <c r="F1260">
        <f>IF(A1260="",0,IF(A1260&gt;$B$5,1,0))</f>
        <v/>
      </c>
      <c r="G1260" s="29">
        <f>IF(AND(F1260=1,ISNUMBER(D1260)),D1260,"")</f>
        <v/>
      </c>
      <c r="H1260" s="29">
        <f>IF(AND(F1260=1,ISNUMBER(E1260)),E1260,"")</f>
        <v/>
      </c>
      <c r="I1260" s="22">
        <f>IF(AND(F1260=1,ISNUMBER(C1260)),C1260,"")</f>
        <v/>
      </c>
      <c r="J1260" s="11">
        <f>IF(G1260="","",100-IF($G$13=1,50,(_xlfn.RANK.AVG(G1260,$G$19:$G$1518,1)-1)/($G$13-1)*100))</f>
        <v/>
      </c>
      <c r="K1260" s="11">
        <f>IF(H1260="","",100-IF($G$14=1,50,(_xlfn.RANK.AVG(H1260,$H$19:$H$1518,1)-1)/($G$14-1)*100))</f>
        <v/>
      </c>
      <c r="L1260" s="11">
        <f>IF(I1260="","",IF($G$15=1,50,(_xlfn.RANK.AVG(I1260,$I$19:$I$1518,1)-1)/($G$15-1)*100))</f>
        <v/>
      </c>
      <c r="M1260" s="11">
        <f>IF(COUNT(J1260:L1260)=3,ROUND(AVERAGE(J1260:L1260),6),"")</f>
        <v/>
      </c>
      <c r="O1260">
        <f>IF(AND(ISNUMBER('자료_미국심리'!$A1244),ISNUMBER('자료_미국심리'!$B1244)),'자료_미국심리'!$A1244,"")</f>
        <v/>
      </c>
      <c r="P1260">
        <f>IF(AND(ISNUMBER('자료_미국심리'!$D1244),ISNUMBER('자료_미국심리'!$E1244)),'자료_미국심리'!$D1244,"")</f>
        <v/>
      </c>
      <c r="Q1260">
        <f>IF(AND(ISNUMBER('자료_미국심리'!$G1244),ISNUMBER('자료_미국심리'!$H1244)),'자료_미국심리'!$G1244,"")</f>
        <v/>
      </c>
    </row>
    <row r="1261">
      <c r="A1261" s="10">
        <f>IF(1243&gt;$E$5,"",SMALL($O$19:$O$4018,$E$6+1243))</f>
        <v/>
      </c>
      <c r="B1261" s="29">
        <f>IF(A1261="","",INDEX('자료_미국심리'!$B$3:$B$4002,MATCH(A1261,$O$19:$O$4018,0)))</f>
        <v/>
      </c>
      <c r="C1261" s="22">
        <f>IF(A1261="","",B1261/AVERAGE(B1137:B1261)-1)</f>
        <v/>
      </c>
      <c r="D1261" s="29">
        <f>IF(A1261="","",IFERROR(INDEX('자료_미국심리'!$E$3:$E$4002,MATCH(A1261,$P$19:$P$4018,0)),D1260))</f>
        <v/>
      </c>
      <c r="E1261" s="29">
        <f>IF(A1261="","",IFERROR(INDEX('자료_미국심리'!$H$3:$H$4002,MATCH(A1261,$Q$19:$Q$4018,0)),E1260))</f>
        <v/>
      </c>
      <c r="F1261">
        <f>IF(A1261="",0,IF(A1261&gt;$B$5,1,0))</f>
        <v/>
      </c>
      <c r="G1261" s="29">
        <f>IF(AND(F1261=1,ISNUMBER(D1261)),D1261,"")</f>
        <v/>
      </c>
      <c r="H1261" s="29">
        <f>IF(AND(F1261=1,ISNUMBER(E1261)),E1261,"")</f>
        <v/>
      </c>
      <c r="I1261" s="22">
        <f>IF(AND(F1261=1,ISNUMBER(C1261)),C1261,"")</f>
        <v/>
      </c>
      <c r="J1261" s="11">
        <f>IF(G1261="","",100-IF($G$13=1,50,(_xlfn.RANK.AVG(G1261,$G$19:$G$1518,1)-1)/($G$13-1)*100))</f>
        <v/>
      </c>
      <c r="K1261" s="11">
        <f>IF(H1261="","",100-IF($G$14=1,50,(_xlfn.RANK.AVG(H1261,$H$19:$H$1518,1)-1)/($G$14-1)*100))</f>
        <v/>
      </c>
      <c r="L1261" s="11">
        <f>IF(I1261="","",IF($G$15=1,50,(_xlfn.RANK.AVG(I1261,$I$19:$I$1518,1)-1)/($G$15-1)*100))</f>
        <v/>
      </c>
      <c r="M1261" s="11">
        <f>IF(COUNT(J1261:L1261)=3,ROUND(AVERAGE(J1261:L1261),6),"")</f>
        <v/>
      </c>
      <c r="O1261">
        <f>IF(AND(ISNUMBER('자료_미국심리'!$A1245),ISNUMBER('자료_미국심리'!$B1245)),'자료_미국심리'!$A1245,"")</f>
        <v/>
      </c>
      <c r="P1261">
        <f>IF(AND(ISNUMBER('자료_미국심리'!$D1245),ISNUMBER('자료_미국심리'!$E1245)),'자료_미국심리'!$D1245,"")</f>
        <v/>
      </c>
      <c r="Q1261">
        <f>IF(AND(ISNUMBER('자료_미국심리'!$G1245),ISNUMBER('자료_미국심리'!$H1245)),'자료_미국심리'!$G1245,"")</f>
        <v/>
      </c>
    </row>
    <row r="1262">
      <c r="A1262" s="10">
        <f>IF(1244&gt;$E$5,"",SMALL($O$19:$O$4018,$E$6+1244))</f>
        <v/>
      </c>
      <c r="B1262" s="29">
        <f>IF(A1262="","",INDEX('자료_미국심리'!$B$3:$B$4002,MATCH(A1262,$O$19:$O$4018,0)))</f>
        <v/>
      </c>
      <c r="C1262" s="22">
        <f>IF(A1262="","",B1262/AVERAGE(B1138:B1262)-1)</f>
        <v/>
      </c>
      <c r="D1262" s="29">
        <f>IF(A1262="","",IFERROR(INDEX('자료_미국심리'!$E$3:$E$4002,MATCH(A1262,$P$19:$P$4018,0)),D1261))</f>
        <v/>
      </c>
      <c r="E1262" s="29">
        <f>IF(A1262="","",IFERROR(INDEX('자료_미국심리'!$H$3:$H$4002,MATCH(A1262,$Q$19:$Q$4018,0)),E1261))</f>
        <v/>
      </c>
      <c r="F1262">
        <f>IF(A1262="",0,IF(A1262&gt;$B$5,1,0))</f>
        <v/>
      </c>
      <c r="G1262" s="29">
        <f>IF(AND(F1262=1,ISNUMBER(D1262)),D1262,"")</f>
        <v/>
      </c>
      <c r="H1262" s="29">
        <f>IF(AND(F1262=1,ISNUMBER(E1262)),E1262,"")</f>
        <v/>
      </c>
      <c r="I1262" s="22">
        <f>IF(AND(F1262=1,ISNUMBER(C1262)),C1262,"")</f>
        <v/>
      </c>
      <c r="J1262" s="11">
        <f>IF(G1262="","",100-IF($G$13=1,50,(_xlfn.RANK.AVG(G1262,$G$19:$G$1518,1)-1)/($G$13-1)*100))</f>
        <v/>
      </c>
      <c r="K1262" s="11">
        <f>IF(H1262="","",100-IF($G$14=1,50,(_xlfn.RANK.AVG(H1262,$H$19:$H$1518,1)-1)/($G$14-1)*100))</f>
        <v/>
      </c>
      <c r="L1262" s="11">
        <f>IF(I1262="","",IF($G$15=1,50,(_xlfn.RANK.AVG(I1262,$I$19:$I$1518,1)-1)/($G$15-1)*100))</f>
        <v/>
      </c>
      <c r="M1262" s="11">
        <f>IF(COUNT(J1262:L1262)=3,ROUND(AVERAGE(J1262:L1262),6),"")</f>
        <v/>
      </c>
      <c r="O1262">
        <f>IF(AND(ISNUMBER('자료_미국심리'!$A1246),ISNUMBER('자료_미국심리'!$B1246)),'자료_미국심리'!$A1246,"")</f>
        <v/>
      </c>
      <c r="P1262">
        <f>IF(AND(ISNUMBER('자료_미국심리'!$D1246),ISNUMBER('자료_미국심리'!$E1246)),'자료_미국심리'!$D1246,"")</f>
        <v/>
      </c>
      <c r="Q1262">
        <f>IF(AND(ISNUMBER('자료_미국심리'!$G1246),ISNUMBER('자료_미국심리'!$H1246)),'자료_미국심리'!$G1246,"")</f>
        <v/>
      </c>
    </row>
    <row r="1263">
      <c r="A1263" s="10">
        <f>IF(1245&gt;$E$5,"",SMALL($O$19:$O$4018,$E$6+1245))</f>
        <v/>
      </c>
      <c r="B1263" s="29">
        <f>IF(A1263="","",INDEX('자료_미국심리'!$B$3:$B$4002,MATCH(A1263,$O$19:$O$4018,0)))</f>
        <v/>
      </c>
      <c r="C1263" s="22">
        <f>IF(A1263="","",B1263/AVERAGE(B1139:B1263)-1)</f>
        <v/>
      </c>
      <c r="D1263" s="29">
        <f>IF(A1263="","",IFERROR(INDEX('자료_미국심리'!$E$3:$E$4002,MATCH(A1263,$P$19:$P$4018,0)),D1262))</f>
        <v/>
      </c>
      <c r="E1263" s="29">
        <f>IF(A1263="","",IFERROR(INDEX('자료_미국심리'!$H$3:$H$4002,MATCH(A1263,$Q$19:$Q$4018,0)),E1262))</f>
        <v/>
      </c>
      <c r="F1263">
        <f>IF(A1263="",0,IF(A1263&gt;$B$5,1,0))</f>
        <v/>
      </c>
      <c r="G1263" s="29">
        <f>IF(AND(F1263=1,ISNUMBER(D1263)),D1263,"")</f>
        <v/>
      </c>
      <c r="H1263" s="29">
        <f>IF(AND(F1263=1,ISNUMBER(E1263)),E1263,"")</f>
        <v/>
      </c>
      <c r="I1263" s="22">
        <f>IF(AND(F1263=1,ISNUMBER(C1263)),C1263,"")</f>
        <v/>
      </c>
      <c r="J1263" s="11">
        <f>IF(G1263="","",100-IF($G$13=1,50,(_xlfn.RANK.AVG(G1263,$G$19:$G$1518,1)-1)/($G$13-1)*100))</f>
        <v/>
      </c>
      <c r="K1263" s="11">
        <f>IF(H1263="","",100-IF($G$14=1,50,(_xlfn.RANK.AVG(H1263,$H$19:$H$1518,1)-1)/($G$14-1)*100))</f>
        <v/>
      </c>
      <c r="L1263" s="11">
        <f>IF(I1263="","",IF($G$15=1,50,(_xlfn.RANK.AVG(I1263,$I$19:$I$1518,1)-1)/($G$15-1)*100))</f>
        <v/>
      </c>
      <c r="M1263" s="11">
        <f>IF(COUNT(J1263:L1263)=3,ROUND(AVERAGE(J1263:L1263),6),"")</f>
        <v/>
      </c>
      <c r="O1263">
        <f>IF(AND(ISNUMBER('자료_미국심리'!$A1247),ISNUMBER('자료_미국심리'!$B1247)),'자료_미국심리'!$A1247,"")</f>
        <v/>
      </c>
      <c r="P1263">
        <f>IF(AND(ISNUMBER('자료_미국심리'!$D1247),ISNUMBER('자료_미국심리'!$E1247)),'자료_미국심리'!$D1247,"")</f>
        <v/>
      </c>
      <c r="Q1263">
        <f>IF(AND(ISNUMBER('자료_미국심리'!$G1247),ISNUMBER('자료_미국심리'!$H1247)),'자료_미국심리'!$G1247,"")</f>
        <v/>
      </c>
    </row>
    <row r="1264">
      <c r="A1264" s="10">
        <f>IF(1246&gt;$E$5,"",SMALL($O$19:$O$4018,$E$6+1246))</f>
        <v/>
      </c>
      <c r="B1264" s="29">
        <f>IF(A1264="","",INDEX('자료_미국심리'!$B$3:$B$4002,MATCH(A1264,$O$19:$O$4018,0)))</f>
        <v/>
      </c>
      <c r="C1264" s="22">
        <f>IF(A1264="","",B1264/AVERAGE(B1140:B1264)-1)</f>
        <v/>
      </c>
      <c r="D1264" s="29">
        <f>IF(A1264="","",IFERROR(INDEX('자료_미국심리'!$E$3:$E$4002,MATCH(A1264,$P$19:$P$4018,0)),D1263))</f>
        <v/>
      </c>
      <c r="E1264" s="29">
        <f>IF(A1264="","",IFERROR(INDEX('자료_미국심리'!$H$3:$H$4002,MATCH(A1264,$Q$19:$Q$4018,0)),E1263))</f>
        <v/>
      </c>
      <c r="F1264">
        <f>IF(A1264="",0,IF(A1264&gt;$B$5,1,0))</f>
        <v/>
      </c>
      <c r="G1264" s="29">
        <f>IF(AND(F1264=1,ISNUMBER(D1264)),D1264,"")</f>
        <v/>
      </c>
      <c r="H1264" s="29">
        <f>IF(AND(F1264=1,ISNUMBER(E1264)),E1264,"")</f>
        <v/>
      </c>
      <c r="I1264" s="22">
        <f>IF(AND(F1264=1,ISNUMBER(C1264)),C1264,"")</f>
        <v/>
      </c>
      <c r="J1264" s="11">
        <f>IF(G1264="","",100-IF($G$13=1,50,(_xlfn.RANK.AVG(G1264,$G$19:$G$1518,1)-1)/($G$13-1)*100))</f>
        <v/>
      </c>
      <c r="K1264" s="11">
        <f>IF(H1264="","",100-IF($G$14=1,50,(_xlfn.RANK.AVG(H1264,$H$19:$H$1518,1)-1)/($G$14-1)*100))</f>
        <v/>
      </c>
      <c r="L1264" s="11">
        <f>IF(I1264="","",IF($G$15=1,50,(_xlfn.RANK.AVG(I1264,$I$19:$I$1518,1)-1)/($G$15-1)*100))</f>
        <v/>
      </c>
      <c r="M1264" s="11">
        <f>IF(COUNT(J1264:L1264)=3,ROUND(AVERAGE(J1264:L1264),6),"")</f>
        <v/>
      </c>
      <c r="O1264">
        <f>IF(AND(ISNUMBER('자료_미국심리'!$A1248),ISNUMBER('자료_미국심리'!$B1248)),'자료_미국심리'!$A1248,"")</f>
        <v/>
      </c>
      <c r="P1264">
        <f>IF(AND(ISNUMBER('자료_미국심리'!$D1248),ISNUMBER('자료_미국심리'!$E1248)),'자료_미국심리'!$D1248,"")</f>
        <v/>
      </c>
      <c r="Q1264">
        <f>IF(AND(ISNUMBER('자료_미국심리'!$G1248),ISNUMBER('자료_미국심리'!$H1248)),'자료_미국심리'!$G1248,"")</f>
        <v/>
      </c>
    </row>
    <row r="1265">
      <c r="A1265" s="10">
        <f>IF(1247&gt;$E$5,"",SMALL($O$19:$O$4018,$E$6+1247))</f>
        <v/>
      </c>
      <c r="B1265" s="29">
        <f>IF(A1265="","",INDEX('자료_미국심리'!$B$3:$B$4002,MATCH(A1265,$O$19:$O$4018,0)))</f>
        <v/>
      </c>
      <c r="C1265" s="22">
        <f>IF(A1265="","",B1265/AVERAGE(B1141:B1265)-1)</f>
        <v/>
      </c>
      <c r="D1265" s="29">
        <f>IF(A1265="","",IFERROR(INDEX('자료_미국심리'!$E$3:$E$4002,MATCH(A1265,$P$19:$P$4018,0)),D1264))</f>
        <v/>
      </c>
      <c r="E1265" s="29">
        <f>IF(A1265="","",IFERROR(INDEX('자료_미국심리'!$H$3:$H$4002,MATCH(A1265,$Q$19:$Q$4018,0)),E1264))</f>
        <v/>
      </c>
      <c r="F1265">
        <f>IF(A1265="",0,IF(A1265&gt;$B$5,1,0))</f>
        <v/>
      </c>
      <c r="G1265" s="29">
        <f>IF(AND(F1265=1,ISNUMBER(D1265)),D1265,"")</f>
        <v/>
      </c>
      <c r="H1265" s="29">
        <f>IF(AND(F1265=1,ISNUMBER(E1265)),E1265,"")</f>
        <v/>
      </c>
      <c r="I1265" s="22">
        <f>IF(AND(F1265=1,ISNUMBER(C1265)),C1265,"")</f>
        <v/>
      </c>
      <c r="J1265" s="11">
        <f>IF(G1265="","",100-IF($G$13=1,50,(_xlfn.RANK.AVG(G1265,$G$19:$G$1518,1)-1)/($G$13-1)*100))</f>
        <v/>
      </c>
      <c r="K1265" s="11">
        <f>IF(H1265="","",100-IF($G$14=1,50,(_xlfn.RANK.AVG(H1265,$H$19:$H$1518,1)-1)/($G$14-1)*100))</f>
        <v/>
      </c>
      <c r="L1265" s="11">
        <f>IF(I1265="","",IF($G$15=1,50,(_xlfn.RANK.AVG(I1265,$I$19:$I$1518,1)-1)/($G$15-1)*100))</f>
        <v/>
      </c>
      <c r="M1265" s="11">
        <f>IF(COUNT(J1265:L1265)=3,ROUND(AVERAGE(J1265:L1265),6),"")</f>
        <v/>
      </c>
      <c r="O1265">
        <f>IF(AND(ISNUMBER('자료_미국심리'!$A1249),ISNUMBER('자료_미국심리'!$B1249)),'자료_미국심리'!$A1249,"")</f>
        <v/>
      </c>
      <c r="P1265">
        <f>IF(AND(ISNUMBER('자료_미국심리'!$D1249),ISNUMBER('자료_미국심리'!$E1249)),'자료_미국심리'!$D1249,"")</f>
        <v/>
      </c>
      <c r="Q1265">
        <f>IF(AND(ISNUMBER('자료_미국심리'!$G1249),ISNUMBER('자료_미국심리'!$H1249)),'자료_미국심리'!$G1249,"")</f>
        <v/>
      </c>
    </row>
    <row r="1266">
      <c r="A1266" s="10">
        <f>IF(1248&gt;$E$5,"",SMALL($O$19:$O$4018,$E$6+1248))</f>
        <v/>
      </c>
      <c r="B1266" s="29">
        <f>IF(A1266="","",INDEX('자료_미국심리'!$B$3:$B$4002,MATCH(A1266,$O$19:$O$4018,0)))</f>
        <v/>
      </c>
      <c r="C1266" s="22">
        <f>IF(A1266="","",B1266/AVERAGE(B1142:B1266)-1)</f>
        <v/>
      </c>
      <c r="D1266" s="29">
        <f>IF(A1266="","",IFERROR(INDEX('자료_미국심리'!$E$3:$E$4002,MATCH(A1266,$P$19:$P$4018,0)),D1265))</f>
        <v/>
      </c>
      <c r="E1266" s="29">
        <f>IF(A1266="","",IFERROR(INDEX('자료_미국심리'!$H$3:$H$4002,MATCH(A1266,$Q$19:$Q$4018,0)),E1265))</f>
        <v/>
      </c>
      <c r="F1266">
        <f>IF(A1266="",0,IF(A1266&gt;$B$5,1,0))</f>
        <v/>
      </c>
      <c r="G1266" s="29">
        <f>IF(AND(F1266=1,ISNUMBER(D1266)),D1266,"")</f>
        <v/>
      </c>
      <c r="H1266" s="29">
        <f>IF(AND(F1266=1,ISNUMBER(E1266)),E1266,"")</f>
        <v/>
      </c>
      <c r="I1266" s="22">
        <f>IF(AND(F1266=1,ISNUMBER(C1266)),C1266,"")</f>
        <v/>
      </c>
      <c r="J1266" s="11">
        <f>IF(G1266="","",100-IF($G$13=1,50,(_xlfn.RANK.AVG(G1266,$G$19:$G$1518,1)-1)/($G$13-1)*100))</f>
        <v/>
      </c>
      <c r="K1266" s="11">
        <f>IF(H1266="","",100-IF($G$14=1,50,(_xlfn.RANK.AVG(H1266,$H$19:$H$1518,1)-1)/($G$14-1)*100))</f>
        <v/>
      </c>
      <c r="L1266" s="11">
        <f>IF(I1266="","",IF($G$15=1,50,(_xlfn.RANK.AVG(I1266,$I$19:$I$1518,1)-1)/($G$15-1)*100))</f>
        <v/>
      </c>
      <c r="M1266" s="11">
        <f>IF(COUNT(J1266:L1266)=3,ROUND(AVERAGE(J1266:L1266),6),"")</f>
        <v/>
      </c>
      <c r="O1266">
        <f>IF(AND(ISNUMBER('자료_미국심리'!$A1250),ISNUMBER('자료_미국심리'!$B1250)),'자료_미국심리'!$A1250,"")</f>
        <v/>
      </c>
      <c r="P1266">
        <f>IF(AND(ISNUMBER('자료_미국심리'!$D1250),ISNUMBER('자료_미국심리'!$E1250)),'자료_미국심리'!$D1250,"")</f>
        <v/>
      </c>
      <c r="Q1266">
        <f>IF(AND(ISNUMBER('자료_미국심리'!$G1250),ISNUMBER('자료_미국심리'!$H1250)),'자료_미국심리'!$G1250,"")</f>
        <v/>
      </c>
    </row>
    <row r="1267">
      <c r="A1267" s="10">
        <f>IF(1249&gt;$E$5,"",SMALL($O$19:$O$4018,$E$6+1249))</f>
        <v/>
      </c>
      <c r="B1267" s="29">
        <f>IF(A1267="","",INDEX('자료_미국심리'!$B$3:$B$4002,MATCH(A1267,$O$19:$O$4018,0)))</f>
        <v/>
      </c>
      <c r="C1267" s="22">
        <f>IF(A1267="","",B1267/AVERAGE(B1143:B1267)-1)</f>
        <v/>
      </c>
      <c r="D1267" s="29">
        <f>IF(A1267="","",IFERROR(INDEX('자료_미국심리'!$E$3:$E$4002,MATCH(A1267,$P$19:$P$4018,0)),D1266))</f>
        <v/>
      </c>
      <c r="E1267" s="29">
        <f>IF(A1267="","",IFERROR(INDEX('자료_미국심리'!$H$3:$H$4002,MATCH(A1267,$Q$19:$Q$4018,0)),E1266))</f>
        <v/>
      </c>
      <c r="F1267">
        <f>IF(A1267="",0,IF(A1267&gt;$B$5,1,0))</f>
        <v/>
      </c>
      <c r="G1267" s="29">
        <f>IF(AND(F1267=1,ISNUMBER(D1267)),D1267,"")</f>
        <v/>
      </c>
      <c r="H1267" s="29">
        <f>IF(AND(F1267=1,ISNUMBER(E1267)),E1267,"")</f>
        <v/>
      </c>
      <c r="I1267" s="22">
        <f>IF(AND(F1267=1,ISNUMBER(C1267)),C1267,"")</f>
        <v/>
      </c>
      <c r="J1267" s="11">
        <f>IF(G1267="","",100-IF($G$13=1,50,(_xlfn.RANK.AVG(G1267,$G$19:$G$1518,1)-1)/($G$13-1)*100))</f>
        <v/>
      </c>
      <c r="K1267" s="11">
        <f>IF(H1267="","",100-IF($G$14=1,50,(_xlfn.RANK.AVG(H1267,$H$19:$H$1518,1)-1)/($G$14-1)*100))</f>
        <v/>
      </c>
      <c r="L1267" s="11">
        <f>IF(I1267="","",IF($G$15=1,50,(_xlfn.RANK.AVG(I1267,$I$19:$I$1518,1)-1)/($G$15-1)*100))</f>
        <v/>
      </c>
      <c r="M1267" s="11">
        <f>IF(COUNT(J1267:L1267)=3,ROUND(AVERAGE(J1267:L1267),6),"")</f>
        <v/>
      </c>
      <c r="O1267">
        <f>IF(AND(ISNUMBER('자료_미국심리'!$A1251),ISNUMBER('자료_미국심리'!$B1251)),'자료_미국심리'!$A1251,"")</f>
        <v/>
      </c>
      <c r="P1267">
        <f>IF(AND(ISNUMBER('자료_미국심리'!$D1251),ISNUMBER('자료_미국심리'!$E1251)),'자료_미국심리'!$D1251,"")</f>
        <v/>
      </c>
      <c r="Q1267">
        <f>IF(AND(ISNUMBER('자료_미국심리'!$G1251),ISNUMBER('자료_미국심리'!$H1251)),'자료_미국심리'!$G1251,"")</f>
        <v/>
      </c>
    </row>
    <row r="1268">
      <c r="A1268" s="10">
        <f>IF(1250&gt;$E$5,"",SMALL($O$19:$O$4018,$E$6+1250))</f>
        <v/>
      </c>
      <c r="B1268" s="29">
        <f>IF(A1268="","",INDEX('자료_미국심리'!$B$3:$B$4002,MATCH(A1268,$O$19:$O$4018,0)))</f>
        <v/>
      </c>
      <c r="C1268" s="22">
        <f>IF(A1268="","",B1268/AVERAGE(B1144:B1268)-1)</f>
        <v/>
      </c>
      <c r="D1268" s="29">
        <f>IF(A1268="","",IFERROR(INDEX('자료_미국심리'!$E$3:$E$4002,MATCH(A1268,$P$19:$P$4018,0)),D1267))</f>
        <v/>
      </c>
      <c r="E1268" s="29">
        <f>IF(A1268="","",IFERROR(INDEX('자료_미국심리'!$H$3:$H$4002,MATCH(A1268,$Q$19:$Q$4018,0)),E1267))</f>
        <v/>
      </c>
      <c r="F1268">
        <f>IF(A1268="",0,IF(A1268&gt;$B$5,1,0))</f>
        <v/>
      </c>
      <c r="G1268" s="29">
        <f>IF(AND(F1268=1,ISNUMBER(D1268)),D1268,"")</f>
        <v/>
      </c>
      <c r="H1268" s="29">
        <f>IF(AND(F1268=1,ISNUMBER(E1268)),E1268,"")</f>
        <v/>
      </c>
      <c r="I1268" s="22">
        <f>IF(AND(F1268=1,ISNUMBER(C1268)),C1268,"")</f>
        <v/>
      </c>
      <c r="J1268" s="11">
        <f>IF(G1268="","",100-IF($G$13=1,50,(_xlfn.RANK.AVG(G1268,$G$19:$G$1518,1)-1)/($G$13-1)*100))</f>
        <v/>
      </c>
      <c r="K1268" s="11">
        <f>IF(H1268="","",100-IF($G$14=1,50,(_xlfn.RANK.AVG(H1268,$H$19:$H$1518,1)-1)/($G$14-1)*100))</f>
        <v/>
      </c>
      <c r="L1268" s="11">
        <f>IF(I1268="","",IF($G$15=1,50,(_xlfn.RANK.AVG(I1268,$I$19:$I$1518,1)-1)/($G$15-1)*100))</f>
        <v/>
      </c>
      <c r="M1268" s="11">
        <f>IF(COUNT(J1268:L1268)=3,ROUND(AVERAGE(J1268:L1268),6),"")</f>
        <v/>
      </c>
      <c r="O1268">
        <f>IF(AND(ISNUMBER('자료_미국심리'!$A1252),ISNUMBER('자료_미국심리'!$B1252)),'자료_미국심리'!$A1252,"")</f>
        <v/>
      </c>
      <c r="P1268">
        <f>IF(AND(ISNUMBER('자료_미국심리'!$D1252),ISNUMBER('자료_미국심리'!$E1252)),'자료_미국심리'!$D1252,"")</f>
        <v/>
      </c>
      <c r="Q1268">
        <f>IF(AND(ISNUMBER('자료_미국심리'!$G1252),ISNUMBER('자료_미국심리'!$H1252)),'자료_미국심리'!$G1252,"")</f>
        <v/>
      </c>
    </row>
    <row r="1269">
      <c r="A1269" s="10">
        <f>IF(1251&gt;$E$5,"",SMALL($O$19:$O$4018,$E$6+1251))</f>
        <v/>
      </c>
      <c r="B1269" s="29">
        <f>IF(A1269="","",INDEX('자료_미국심리'!$B$3:$B$4002,MATCH(A1269,$O$19:$O$4018,0)))</f>
        <v/>
      </c>
      <c r="C1269" s="22">
        <f>IF(A1269="","",B1269/AVERAGE(B1145:B1269)-1)</f>
        <v/>
      </c>
      <c r="D1269" s="29">
        <f>IF(A1269="","",IFERROR(INDEX('자료_미국심리'!$E$3:$E$4002,MATCH(A1269,$P$19:$P$4018,0)),D1268))</f>
        <v/>
      </c>
      <c r="E1269" s="29">
        <f>IF(A1269="","",IFERROR(INDEX('자료_미국심리'!$H$3:$H$4002,MATCH(A1269,$Q$19:$Q$4018,0)),E1268))</f>
        <v/>
      </c>
      <c r="F1269">
        <f>IF(A1269="",0,IF(A1269&gt;$B$5,1,0))</f>
        <v/>
      </c>
      <c r="G1269" s="29">
        <f>IF(AND(F1269=1,ISNUMBER(D1269)),D1269,"")</f>
        <v/>
      </c>
      <c r="H1269" s="29">
        <f>IF(AND(F1269=1,ISNUMBER(E1269)),E1269,"")</f>
        <v/>
      </c>
      <c r="I1269" s="22">
        <f>IF(AND(F1269=1,ISNUMBER(C1269)),C1269,"")</f>
        <v/>
      </c>
      <c r="J1269" s="11">
        <f>IF(G1269="","",100-IF($G$13=1,50,(_xlfn.RANK.AVG(G1269,$G$19:$G$1518,1)-1)/($G$13-1)*100))</f>
        <v/>
      </c>
      <c r="K1269" s="11">
        <f>IF(H1269="","",100-IF($G$14=1,50,(_xlfn.RANK.AVG(H1269,$H$19:$H$1518,1)-1)/($G$14-1)*100))</f>
        <v/>
      </c>
      <c r="L1269" s="11">
        <f>IF(I1269="","",IF($G$15=1,50,(_xlfn.RANK.AVG(I1269,$I$19:$I$1518,1)-1)/($G$15-1)*100))</f>
        <v/>
      </c>
      <c r="M1269" s="11">
        <f>IF(COUNT(J1269:L1269)=3,ROUND(AVERAGE(J1269:L1269),6),"")</f>
        <v/>
      </c>
      <c r="O1269">
        <f>IF(AND(ISNUMBER('자료_미국심리'!$A1253),ISNUMBER('자료_미국심리'!$B1253)),'자료_미국심리'!$A1253,"")</f>
        <v/>
      </c>
      <c r="P1269">
        <f>IF(AND(ISNUMBER('자료_미국심리'!$D1253),ISNUMBER('자료_미국심리'!$E1253)),'자료_미국심리'!$D1253,"")</f>
        <v/>
      </c>
      <c r="Q1269">
        <f>IF(AND(ISNUMBER('자료_미국심리'!$G1253),ISNUMBER('자료_미국심리'!$H1253)),'자료_미국심리'!$G1253,"")</f>
        <v/>
      </c>
    </row>
    <row r="1270">
      <c r="A1270" s="10">
        <f>IF(1252&gt;$E$5,"",SMALL($O$19:$O$4018,$E$6+1252))</f>
        <v/>
      </c>
      <c r="B1270" s="29">
        <f>IF(A1270="","",INDEX('자료_미국심리'!$B$3:$B$4002,MATCH(A1270,$O$19:$O$4018,0)))</f>
        <v/>
      </c>
      <c r="C1270" s="22">
        <f>IF(A1270="","",B1270/AVERAGE(B1146:B1270)-1)</f>
        <v/>
      </c>
      <c r="D1270" s="29">
        <f>IF(A1270="","",IFERROR(INDEX('자료_미국심리'!$E$3:$E$4002,MATCH(A1270,$P$19:$P$4018,0)),D1269))</f>
        <v/>
      </c>
      <c r="E1270" s="29">
        <f>IF(A1270="","",IFERROR(INDEX('자료_미국심리'!$H$3:$H$4002,MATCH(A1270,$Q$19:$Q$4018,0)),E1269))</f>
        <v/>
      </c>
      <c r="F1270">
        <f>IF(A1270="",0,IF(A1270&gt;$B$5,1,0))</f>
        <v/>
      </c>
      <c r="G1270" s="29">
        <f>IF(AND(F1270=1,ISNUMBER(D1270)),D1270,"")</f>
        <v/>
      </c>
      <c r="H1270" s="29">
        <f>IF(AND(F1270=1,ISNUMBER(E1270)),E1270,"")</f>
        <v/>
      </c>
      <c r="I1270" s="22">
        <f>IF(AND(F1270=1,ISNUMBER(C1270)),C1270,"")</f>
        <v/>
      </c>
      <c r="J1270" s="11">
        <f>IF(G1270="","",100-IF($G$13=1,50,(_xlfn.RANK.AVG(G1270,$G$19:$G$1518,1)-1)/($G$13-1)*100))</f>
        <v/>
      </c>
      <c r="K1270" s="11">
        <f>IF(H1270="","",100-IF($G$14=1,50,(_xlfn.RANK.AVG(H1270,$H$19:$H$1518,1)-1)/($G$14-1)*100))</f>
        <v/>
      </c>
      <c r="L1270" s="11">
        <f>IF(I1270="","",IF($G$15=1,50,(_xlfn.RANK.AVG(I1270,$I$19:$I$1518,1)-1)/($G$15-1)*100))</f>
        <v/>
      </c>
      <c r="M1270" s="11">
        <f>IF(COUNT(J1270:L1270)=3,ROUND(AVERAGE(J1270:L1270),6),"")</f>
        <v/>
      </c>
      <c r="O1270">
        <f>IF(AND(ISNUMBER('자료_미국심리'!$A1254),ISNUMBER('자료_미국심리'!$B1254)),'자료_미국심리'!$A1254,"")</f>
        <v/>
      </c>
      <c r="P1270">
        <f>IF(AND(ISNUMBER('자료_미국심리'!$D1254),ISNUMBER('자료_미국심리'!$E1254)),'자료_미국심리'!$D1254,"")</f>
        <v/>
      </c>
      <c r="Q1270">
        <f>IF(AND(ISNUMBER('자료_미국심리'!$G1254),ISNUMBER('자료_미국심리'!$H1254)),'자료_미국심리'!$G1254,"")</f>
        <v/>
      </c>
    </row>
    <row r="1271">
      <c r="A1271" s="10">
        <f>IF(1253&gt;$E$5,"",SMALL($O$19:$O$4018,$E$6+1253))</f>
        <v/>
      </c>
      <c r="B1271" s="29">
        <f>IF(A1271="","",INDEX('자료_미국심리'!$B$3:$B$4002,MATCH(A1271,$O$19:$O$4018,0)))</f>
        <v/>
      </c>
      <c r="C1271" s="22">
        <f>IF(A1271="","",B1271/AVERAGE(B1147:B1271)-1)</f>
        <v/>
      </c>
      <c r="D1271" s="29">
        <f>IF(A1271="","",IFERROR(INDEX('자료_미국심리'!$E$3:$E$4002,MATCH(A1271,$P$19:$P$4018,0)),D1270))</f>
        <v/>
      </c>
      <c r="E1271" s="29">
        <f>IF(A1271="","",IFERROR(INDEX('자료_미국심리'!$H$3:$H$4002,MATCH(A1271,$Q$19:$Q$4018,0)),E1270))</f>
        <v/>
      </c>
      <c r="F1271">
        <f>IF(A1271="",0,IF(A1271&gt;$B$5,1,0))</f>
        <v/>
      </c>
      <c r="G1271" s="29">
        <f>IF(AND(F1271=1,ISNUMBER(D1271)),D1271,"")</f>
        <v/>
      </c>
      <c r="H1271" s="29">
        <f>IF(AND(F1271=1,ISNUMBER(E1271)),E1271,"")</f>
        <v/>
      </c>
      <c r="I1271" s="22">
        <f>IF(AND(F1271=1,ISNUMBER(C1271)),C1271,"")</f>
        <v/>
      </c>
      <c r="J1271" s="11">
        <f>IF(G1271="","",100-IF($G$13=1,50,(_xlfn.RANK.AVG(G1271,$G$19:$G$1518,1)-1)/($G$13-1)*100))</f>
        <v/>
      </c>
      <c r="K1271" s="11">
        <f>IF(H1271="","",100-IF($G$14=1,50,(_xlfn.RANK.AVG(H1271,$H$19:$H$1518,1)-1)/($G$14-1)*100))</f>
        <v/>
      </c>
      <c r="L1271" s="11">
        <f>IF(I1271="","",IF($G$15=1,50,(_xlfn.RANK.AVG(I1271,$I$19:$I$1518,1)-1)/($G$15-1)*100))</f>
        <v/>
      </c>
      <c r="M1271" s="11">
        <f>IF(COUNT(J1271:L1271)=3,ROUND(AVERAGE(J1271:L1271),6),"")</f>
        <v/>
      </c>
      <c r="O1271">
        <f>IF(AND(ISNUMBER('자료_미국심리'!$A1255),ISNUMBER('자료_미국심리'!$B1255)),'자료_미국심리'!$A1255,"")</f>
        <v/>
      </c>
      <c r="P1271">
        <f>IF(AND(ISNUMBER('자료_미국심리'!$D1255),ISNUMBER('자료_미국심리'!$E1255)),'자료_미국심리'!$D1255,"")</f>
        <v/>
      </c>
      <c r="Q1271">
        <f>IF(AND(ISNUMBER('자료_미국심리'!$G1255),ISNUMBER('자료_미국심리'!$H1255)),'자료_미국심리'!$G1255,"")</f>
        <v/>
      </c>
    </row>
    <row r="1272">
      <c r="A1272" s="10">
        <f>IF(1254&gt;$E$5,"",SMALL($O$19:$O$4018,$E$6+1254))</f>
        <v/>
      </c>
      <c r="B1272" s="29">
        <f>IF(A1272="","",INDEX('자료_미국심리'!$B$3:$B$4002,MATCH(A1272,$O$19:$O$4018,0)))</f>
        <v/>
      </c>
      <c r="C1272" s="22">
        <f>IF(A1272="","",B1272/AVERAGE(B1148:B1272)-1)</f>
        <v/>
      </c>
      <c r="D1272" s="29">
        <f>IF(A1272="","",IFERROR(INDEX('자료_미국심리'!$E$3:$E$4002,MATCH(A1272,$P$19:$P$4018,0)),D1271))</f>
        <v/>
      </c>
      <c r="E1272" s="29">
        <f>IF(A1272="","",IFERROR(INDEX('자료_미국심리'!$H$3:$H$4002,MATCH(A1272,$Q$19:$Q$4018,0)),E1271))</f>
        <v/>
      </c>
      <c r="F1272">
        <f>IF(A1272="",0,IF(A1272&gt;$B$5,1,0))</f>
        <v/>
      </c>
      <c r="G1272" s="29">
        <f>IF(AND(F1272=1,ISNUMBER(D1272)),D1272,"")</f>
        <v/>
      </c>
      <c r="H1272" s="29">
        <f>IF(AND(F1272=1,ISNUMBER(E1272)),E1272,"")</f>
        <v/>
      </c>
      <c r="I1272" s="22">
        <f>IF(AND(F1272=1,ISNUMBER(C1272)),C1272,"")</f>
        <v/>
      </c>
      <c r="J1272" s="11">
        <f>IF(G1272="","",100-IF($G$13=1,50,(_xlfn.RANK.AVG(G1272,$G$19:$G$1518,1)-1)/($G$13-1)*100))</f>
        <v/>
      </c>
      <c r="K1272" s="11">
        <f>IF(H1272="","",100-IF($G$14=1,50,(_xlfn.RANK.AVG(H1272,$H$19:$H$1518,1)-1)/($G$14-1)*100))</f>
        <v/>
      </c>
      <c r="L1272" s="11">
        <f>IF(I1272="","",IF($G$15=1,50,(_xlfn.RANK.AVG(I1272,$I$19:$I$1518,1)-1)/($G$15-1)*100))</f>
        <v/>
      </c>
      <c r="M1272" s="11">
        <f>IF(COUNT(J1272:L1272)=3,ROUND(AVERAGE(J1272:L1272),6),"")</f>
        <v/>
      </c>
      <c r="O1272">
        <f>IF(AND(ISNUMBER('자료_미국심리'!$A1256),ISNUMBER('자료_미국심리'!$B1256)),'자료_미국심리'!$A1256,"")</f>
        <v/>
      </c>
      <c r="P1272">
        <f>IF(AND(ISNUMBER('자료_미국심리'!$D1256),ISNUMBER('자료_미국심리'!$E1256)),'자료_미국심리'!$D1256,"")</f>
        <v/>
      </c>
      <c r="Q1272">
        <f>IF(AND(ISNUMBER('자료_미국심리'!$G1256),ISNUMBER('자료_미국심리'!$H1256)),'자료_미국심리'!$G1256,"")</f>
        <v/>
      </c>
    </row>
    <row r="1273">
      <c r="A1273" s="10">
        <f>IF(1255&gt;$E$5,"",SMALL($O$19:$O$4018,$E$6+1255))</f>
        <v/>
      </c>
      <c r="B1273" s="29">
        <f>IF(A1273="","",INDEX('자료_미국심리'!$B$3:$B$4002,MATCH(A1273,$O$19:$O$4018,0)))</f>
        <v/>
      </c>
      <c r="C1273" s="22">
        <f>IF(A1273="","",B1273/AVERAGE(B1149:B1273)-1)</f>
        <v/>
      </c>
      <c r="D1273" s="29">
        <f>IF(A1273="","",IFERROR(INDEX('자료_미국심리'!$E$3:$E$4002,MATCH(A1273,$P$19:$P$4018,0)),D1272))</f>
        <v/>
      </c>
      <c r="E1273" s="29">
        <f>IF(A1273="","",IFERROR(INDEX('자료_미국심리'!$H$3:$H$4002,MATCH(A1273,$Q$19:$Q$4018,0)),E1272))</f>
        <v/>
      </c>
      <c r="F1273">
        <f>IF(A1273="",0,IF(A1273&gt;$B$5,1,0))</f>
        <v/>
      </c>
      <c r="G1273" s="29">
        <f>IF(AND(F1273=1,ISNUMBER(D1273)),D1273,"")</f>
        <v/>
      </c>
      <c r="H1273" s="29">
        <f>IF(AND(F1273=1,ISNUMBER(E1273)),E1273,"")</f>
        <v/>
      </c>
      <c r="I1273" s="22">
        <f>IF(AND(F1273=1,ISNUMBER(C1273)),C1273,"")</f>
        <v/>
      </c>
      <c r="J1273" s="11">
        <f>IF(G1273="","",100-IF($G$13=1,50,(_xlfn.RANK.AVG(G1273,$G$19:$G$1518,1)-1)/($G$13-1)*100))</f>
        <v/>
      </c>
      <c r="K1273" s="11">
        <f>IF(H1273="","",100-IF($G$14=1,50,(_xlfn.RANK.AVG(H1273,$H$19:$H$1518,1)-1)/($G$14-1)*100))</f>
        <v/>
      </c>
      <c r="L1273" s="11">
        <f>IF(I1273="","",IF($G$15=1,50,(_xlfn.RANK.AVG(I1273,$I$19:$I$1518,1)-1)/($G$15-1)*100))</f>
        <v/>
      </c>
      <c r="M1273" s="11">
        <f>IF(COUNT(J1273:L1273)=3,ROUND(AVERAGE(J1273:L1273),6),"")</f>
        <v/>
      </c>
      <c r="O1273">
        <f>IF(AND(ISNUMBER('자료_미국심리'!$A1257),ISNUMBER('자료_미국심리'!$B1257)),'자료_미국심리'!$A1257,"")</f>
        <v/>
      </c>
      <c r="P1273">
        <f>IF(AND(ISNUMBER('자료_미국심리'!$D1257),ISNUMBER('자료_미국심리'!$E1257)),'자료_미국심리'!$D1257,"")</f>
        <v/>
      </c>
      <c r="Q1273">
        <f>IF(AND(ISNUMBER('자료_미국심리'!$G1257),ISNUMBER('자료_미국심리'!$H1257)),'자료_미국심리'!$G1257,"")</f>
        <v/>
      </c>
    </row>
    <row r="1274">
      <c r="A1274" s="10">
        <f>IF(1256&gt;$E$5,"",SMALL($O$19:$O$4018,$E$6+1256))</f>
        <v/>
      </c>
      <c r="B1274" s="29">
        <f>IF(A1274="","",INDEX('자료_미국심리'!$B$3:$B$4002,MATCH(A1274,$O$19:$O$4018,0)))</f>
        <v/>
      </c>
      <c r="C1274" s="22">
        <f>IF(A1274="","",B1274/AVERAGE(B1150:B1274)-1)</f>
        <v/>
      </c>
      <c r="D1274" s="29">
        <f>IF(A1274="","",IFERROR(INDEX('자료_미국심리'!$E$3:$E$4002,MATCH(A1274,$P$19:$P$4018,0)),D1273))</f>
        <v/>
      </c>
      <c r="E1274" s="29">
        <f>IF(A1274="","",IFERROR(INDEX('자료_미국심리'!$H$3:$H$4002,MATCH(A1274,$Q$19:$Q$4018,0)),E1273))</f>
        <v/>
      </c>
      <c r="F1274">
        <f>IF(A1274="",0,IF(A1274&gt;$B$5,1,0))</f>
        <v/>
      </c>
      <c r="G1274" s="29">
        <f>IF(AND(F1274=1,ISNUMBER(D1274)),D1274,"")</f>
        <v/>
      </c>
      <c r="H1274" s="29">
        <f>IF(AND(F1274=1,ISNUMBER(E1274)),E1274,"")</f>
        <v/>
      </c>
      <c r="I1274" s="22">
        <f>IF(AND(F1274=1,ISNUMBER(C1274)),C1274,"")</f>
        <v/>
      </c>
      <c r="J1274" s="11">
        <f>IF(G1274="","",100-IF($G$13=1,50,(_xlfn.RANK.AVG(G1274,$G$19:$G$1518,1)-1)/($G$13-1)*100))</f>
        <v/>
      </c>
      <c r="K1274" s="11">
        <f>IF(H1274="","",100-IF($G$14=1,50,(_xlfn.RANK.AVG(H1274,$H$19:$H$1518,1)-1)/($G$14-1)*100))</f>
        <v/>
      </c>
      <c r="L1274" s="11">
        <f>IF(I1274="","",IF($G$15=1,50,(_xlfn.RANK.AVG(I1274,$I$19:$I$1518,1)-1)/($G$15-1)*100))</f>
        <v/>
      </c>
      <c r="M1274" s="11">
        <f>IF(COUNT(J1274:L1274)=3,ROUND(AVERAGE(J1274:L1274),6),"")</f>
        <v/>
      </c>
      <c r="O1274">
        <f>IF(AND(ISNUMBER('자료_미국심리'!$A1258),ISNUMBER('자료_미국심리'!$B1258)),'자료_미국심리'!$A1258,"")</f>
        <v/>
      </c>
      <c r="P1274">
        <f>IF(AND(ISNUMBER('자료_미국심리'!$D1258),ISNUMBER('자료_미국심리'!$E1258)),'자료_미국심리'!$D1258,"")</f>
        <v/>
      </c>
      <c r="Q1274">
        <f>IF(AND(ISNUMBER('자료_미국심리'!$G1258),ISNUMBER('자료_미국심리'!$H1258)),'자료_미국심리'!$G1258,"")</f>
        <v/>
      </c>
    </row>
    <row r="1275">
      <c r="A1275" s="10">
        <f>IF(1257&gt;$E$5,"",SMALL($O$19:$O$4018,$E$6+1257))</f>
        <v/>
      </c>
      <c r="B1275" s="29">
        <f>IF(A1275="","",INDEX('자료_미국심리'!$B$3:$B$4002,MATCH(A1275,$O$19:$O$4018,0)))</f>
        <v/>
      </c>
      <c r="C1275" s="22">
        <f>IF(A1275="","",B1275/AVERAGE(B1151:B1275)-1)</f>
        <v/>
      </c>
      <c r="D1275" s="29">
        <f>IF(A1275="","",IFERROR(INDEX('자료_미국심리'!$E$3:$E$4002,MATCH(A1275,$P$19:$P$4018,0)),D1274))</f>
        <v/>
      </c>
      <c r="E1275" s="29">
        <f>IF(A1275="","",IFERROR(INDEX('자료_미국심리'!$H$3:$H$4002,MATCH(A1275,$Q$19:$Q$4018,0)),E1274))</f>
        <v/>
      </c>
      <c r="F1275">
        <f>IF(A1275="",0,IF(A1275&gt;$B$5,1,0))</f>
        <v/>
      </c>
      <c r="G1275" s="29">
        <f>IF(AND(F1275=1,ISNUMBER(D1275)),D1275,"")</f>
        <v/>
      </c>
      <c r="H1275" s="29">
        <f>IF(AND(F1275=1,ISNUMBER(E1275)),E1275,"")</f>
        <v/>
      </c>
      <c r="I1275" s="22">
        <f>IF(AND(F1275=1,ISNUMBER(C1275)),C1275,"")</f>
        <v/>
      </c>
      <c r="J1275" s="11">
        <f>IF(G1275="","",100-IF($G$13=1,50,(_xlfn.RANK.AVG(G1275,$G$19:$G$1518,1)-1)/($G$13-1)*100))</f>
        <v/>
      </c>
      <c r="K1275" s="11">
        <f>IF(H1275="","",100-IF($G$14=1,50,(_xlfn.RANK.AVG(H1275,$H$19:$H$1518,1)-1)/($G$14-1)*100))</f>
        <v/>
      </c>
      <c r="L1275" s="11">
        <f>IF(I1275="","",IF($G$15=1,50,(_xlfn.RANK.AVG(I1275,$I$19:$I$1518,1)-1)/($G$15-1)*100))</f>
        <v/>
      </c>
      <c r="M1275" s="11">
        <f>IF(COUNT(J1275:L1275)=3,ROUND(AVERAGE(J1275:L1275),6),"")</f>
        <v/>
      </c>
      <c r="O1275">
        <f>IF(AND(ISNUMBER('자료_미국심리'!$A1259),ISNUMBER('자료_미국심리'!$B1259)),'자료_미국심리'!$A1259,"")</f>
        <v/>
      </c>
      <c r="P1275">
        <f>IF(AND(ISNUMBER('자료_미국심리'!$D1259),ISNUMBER('자료_미국심리'!$E1259)),'자료_미국심리'!$D1259,"")</f>
        <v/>
      </c>
      <c r="Q1275">
        <f>IF(AND(ISNUMBER('자료_미국심리'!$G1259),ISNUMBER('자료_미국심리'!$H1259)),'자료_미국심리'!$G1259,"")</f>
        <v/>
      </c>
    </row>
    <row r="1276">
      <c r="A1276" s="10">
        <f>IF(1258&gt;$E$5,"",SMALL($O$19:$O$4018,$E$6+1258))</f>
        <v/>
      </c>
      <c r="B1276" s="29">
        <f>IF(A1276="","",INDEX('자료_미국심리'!$B$3:$B$4002,MATCH(A1276,$O$19:$O$4018,0)))</f>
        <v/>
      </c>
      <c r="C1276" s="22">
        <f>IF(A1276="","",B1276/AVERAGE(B1152:B1276)-1)</f>
        <v/>
      </c>
      <c r="D1276" s="29">
        <f>IF(A1276="","",IFERROR(INDEX('자료_미국심리'!$E$3:$E$4002,MATCH(A1276,$P$19:$P$4018,0)),D1275))</f>
        <v/>
      </c>
      <c r="E1276" s="29">
        <f>IF(A1276="","",IFERROR(INDEX('자료_미국심리'!$H$3:$H$4002,MATCH(A1276,$Q$19:$Q$4018,0)),E1275))</f>
        <v/>
      </c>
      <c r="F1276">
        <f>IF(A1276="",0,IF(A1276&gt;$B$5,1,0))</f>
        <v/>
      </c>
      <c r="G1276" s="29">
        <f>IF(AND(F1276=1,ISNUMBER(D1276)),D1276,"")</f>
        <v/>
      </c>
      <c r="H1276" s="29">
        <f>IF(AND(F1276=1,ISNUMBER(E1276)),E1276,"")</f>
        <v/>
      </c>
      <c r="I1276" s="22">
        <f>IF(AND(F1276=1,ISNUMBER(C1276)),C1276,"")</f>
        <v/>
      </c>
      <c r="J1276" s="11">
        <f>IF(G1276="","",100-IF($G$13=1,50,(_xlfn.RANK.AVG(G1276,$G$19:$G$1518,1)-1)/($G$13-1)*100))</f>
        <v/>
      </c>
      <c r="K1276" s="11">
        <f>IF(H1276="","",100-IF($G$14=1,50,(_xlfn.RANK.AVG(H1276,$H$19:$H$1518,1)-1)/($G$14-1)*100))</f>
        <v/>
      </c>
      <c r="L1276" s="11">
        <f>IF(I1276="","",IF($G$15=1,50,(_xlfn.RANK.AVG(I1276,$I$19:$I$1518,1)-1)/($G$15-1)*100))</f>
        <v/>
      </c>
      <c r="M1276" s="11">
        <f>IF(COUNT(J1276:L1276)=3,ROUND(AVERAGE(J1276:L1276),6),"")</f>
        <v/>
      </c>
      <c r="O1276">
        <f>IF(AND(ISNUMBER('자료_미국심리'!$A1260),ISNUMBER('자료_미국심리'!$B1260)),'자료_미국심리'!$A1260,"")</f>
        <v/>
      </c>
      <c r="P1276">
        <f>IF(AND(ISNUMBER('자료_미국심리'!$D1260),ISNUMBER('자료_미국심리'!$E1260)),'자료_미국심리'!$D1260,"")</f>
        <v/>
      </c>
      <c r="Q1276">
        <f>IF(AND(ISNUMBER('자료_미국심리'!$G1260),ISNUMBER('자료_미국심리'!$H1260)),'자료_미국심리'!$G1260,"")</f>
        <v/>
      </c>
    </row>
    <row r="1277">
      <c r="A1277" s="10">
        <f>IF(1259&gt;$E$5,"",SMALL($O$19:$O$4018,$E$6+1259))</f>
        <v/>
      </c>
      <c r="B1277" s="29">
        <f>IF(A1277="","",INDEX('자료_미국심리'!$B$3:$B$4002,MATCH(A1277,$O$19:$O$4018,0)))</f>
        <v/>
      </c>
      <c r="C1277" s="22">
        <f>IF(A1277="","",B1277/AVERAGE(B1153:B1277)-1)</f>
        <v/>
      </c>
      <c r="D1277" s="29">
        <f>IF(A1277="","",IFERROR(INDEX('자료_미국심리'!$E$3:$E$4002,MATCH(A1277,$P$19:$P$4018,0)),D1276))</f>
        <v/>
      </c>
      <c r="E1277" s="29">
        <f>IF(A1277="","",IFERROR(INDEX('자료_미국심리'!$H$3:$H$4002,MATCH(A1277,$Q$19:$Q$4018,0)),E1276))</f>
        <v/>
      </c>
      <c r="F1277">
        <f>IF(A1277="",0,IF(A1277&gt;$B$5,1,0))</f>
        <v/>
      </c>
      <c r="G1277" s="29">
        <f>IF(AND(F1277=1,ISNUMBER(D1277)),D1277,"")</f>
        <v/>
      </c>
      <c r="H1277" s="29">
        <f>IF(AND(F1277=1,ISNUMBER(E1277)),E1277,"")</f>
        <v/>
      </c>
      <c r="I1277" s="22">
        <f>IF(AND(F1277=1,ISNUMBER(C1277)),C1277,"")</f>
        <v/>
      </c>
      <c r="J1277" s="11">
        <f>IF(G1277="","",100-IF($G$13=1,50,(_xlfn.RANK.AVG(G1277,$G$19:$G$1518,1)-1)/($G$13-1)*100))</f>
        <v/>
      </c>
      <c r="K1277" s="11">
        <f>IF(H1277="","",100-IF($G$14=1,50,(_xlfn.RANK.AVG(H1277,$H$19:$H$1518,1)-1)/($G$14-1)*100))</f>
        <v/>
      </c>
      <c r="L1277" s="11">
        <f>IF(I1277="","",IF($G$15=1,50,(_xlfn.RANK.AVG(I1277,$I$19:$I$1518,1)-1)/($G$15-1)*100))</f>
        <v/>
      </c>
      <c r="M1277" s="11">
        <f>IF(COUNT(J1277:L1277)=3,ROUND(AVERAGE(J1277:L1277),6),"")</f>
        <v/>
      </c>
      <c r="O1277">
        <f>IF(AND(ISNUMBER('자료_미국심리'!$A1261),ISNUMBER('자료_미국심리'!$B1261)),'자료_미국심리'!$A1261,"")</f>
        <v/>
      </c>
      <c r="P1277">
        <f>IF(AND(ISNUMBER('자료_미국심리'!$D1261),ISNUMBER('자료_미국심리'!$E1261)),'자료_미국심리'!$D1261,"")</f>
        <v/>
      </c>
      <c r="Q1277">
        <f>IF(AND(ISNUMBER('자료_미국심리'!$G1261),ISNUMBER('자료_미국심리'!$H1261)),'자료_미국심리'!$G1261,"")</f>
        <v/>
      </c>
    </row>
    <row r="1278">
      <c r="A1278" s="10">
        <f>IF(1260&gt;$E$5,"",SMALL($O$19:$O$4018,$E$6+1260))</f>
        <v/>
      </c>
      <c r="B1278" s="29">
        <f>IF(A1278="","",INDEX('자료_미국심리'!$B$3:$B$4002,MATCH(A1278,$O$19:$O$4018,0)))</f>
        <v/>
      </c>
      <c r="C1278" s="22">
        <f>IF(A1278="","",B1278/AVERAGE(B1154:B1278)-1)</f>
        <v/>
      </c>
      <c r="D1278" s="29">
        <f>IF(A1278="","",IFERROR(INDEX('자료_미국심리'!$E$3:$E$4002,MATCH(A1278,$P$19:$P$4018,0)),D1277))</f>
        <v/>
      </c>
      <c r="E1278" s="29">
        <f>IF(A1278="","",IFERROR(INDEX('자료_미국심리'!$H$3:$H$4002,MATCH(A1278,$Q$19:$Q$4018,0)),E1277))</f>
        <v/>
      </c>
      <c r="F1278">
        <f>IF(A1278="",0,IF(A1278&gt;$B$5,1,0))</f>
        <v/>
      </c>
      <c r="G1278" s="29">
        <f>IF(AND(F1278=1,ISNUMBER(D1278)),D1278,"")</f>
        <v/>
      </c>
      <c r="H1278" s="29">
        <f>IF(AND(F1278=1,ISNUMBER(E1278)),E1278,"")</f>
        <v/>
      </c>
      <c r="I1278" s="22">
        <f>IF(AND(F1278=1,ISNUMBER(C1278)),C1278,"")</f>
        <v/>
      </c>
      <c r="J1278" s="11">
        <f>IF(G1278="","",100-IF($G$13=1,50,(_xlfn.RANK.AVG(G1278,$G$19:$G$1518,1)-1)/($G$13-1)*100))</f>
        <v/>
      </c>
      <c r="K1278" s="11">
        <f>IF(H1278="","",100-IF($G$14=1,50,(_xlfn.RANK.AVG(H1278,$H$19:$H$1518,1)-1)/($G$14-1)*100))</f>
        <v/>
      </c>
      <c r="L1278" s="11">
        <f>IF(I1278="","",IF($G$15=1,50,(_xlfn.RANK.AVG(I1278,$I$19:$I$1518,1)-1)/($G$15-1)*100))</f>
        <v/>
      </c>
      <c r="M1278" s="11">
        <f>IF(COUNT(J1278:L1278)=3,ROUND(AVERAGE(J1278:L1278),6),"")</f>
        <v/>
      </c>
      <c r="O1278">
        <f>IF(AND(ISNUMBER('자료_미국심리'!$A1262),ISNUMBER('자료_미국심리'!$B1262)),'자료_미국심리'!$A1262,"")</f>
        <v/>
      </c>
      <c r="P1278">
        <f>IF(AND(ISNUMBER('자료_미국심리'!$D1262),ISNUMBER('자료_미국심리'!$E1262)),'자료_미국심리'!$D1262,"")</f>
        <v/>
      </c>
      <c r="Q1278">
        <f>IF(AND(ISNUMBER('자료_미국심리'!$G1262),ISNUMBER('자료_미국심리'!$H1262)),'자료_미국심리'!$G1262,"")</f>
        <v/>
      </c>
    </row>
    <row r="1279">
      <c r="A1279" s="10">
        <f>IF(1261&gt;$E$5,"",SMALL($O$19:$O$4018,$E$6+1261))</f>
        <v/>
      </c>
      <c r="B1279" s="29">
        <f>IF(A1279="","",INDEX('자료_미국심리'!$B$3:$B$4002,MATCH(A1279,$O$19:$O$4018,0)))</f>
        <v/>
      </c>
      <c r="C1279" s="22">
        <f>IF(A1279="","",B1279/AVERAGE(B1155:B1279)-1)</f>
        <v/>
      </c>
      <c r="D1279" s="29">
        <f>IF(A1279="","",IFERROR(INDEX('자료_미국심리'!$E$3:$E$4002,MATCH(A1279,$P$19:$P$4018,0)),D1278))</f>
        <v/>
      </c>
      <c r="E1279" s="29">
        <f>IF(A1279="","",IFERROR(INDEX('자료_미국심리'!$H$3:$H$4002,MATCH(A1279,$Q$19:$Q$4018,0)),E1278))</f>
        <v/>
      </c>
      <c r="F1279">
        <f>IF(A1279="",0,IF(A1279&gt;$B$5,1,0))</f>
        <v/>
      </c>
      <c r="G1279" s="29">
        <f>IF(AND(F1279=1,ISNUMBER(D1279)),D1279,"")</f>
        <v/>
      </c>
      <c r="H1279" s="29">
        <f>IF(AND(F1279=1,ISNUMBER(E1279)),E1279,"")</f>
        <v/>
      </c>
      <c r="I1279" s="22">
        <f>IF(AND(F1279=1,ISNUMBER(C1279)),C1279,"")</f>
        <v/>
      </c>
      <c r="J1279" s="11">
        <f>IF(G1279="","",100-IF($G$13=1,50,(_xlfn.RANK.AVG(G1279,$G$19:$G$1518,1)-1)/($G$13-1)*100))</f>
        <v/>
      </c>
      <c r="K1279" s="11">
        <f>IF(H1279="","",100-IF($G$14=1,50,(_xlfn.RANK.AVG(H1279,$H$19:$H$1518,1)-1)/($G$14-1)*100))</f>
        <v/>
      </c>
      <c r="L1279" s="11">
        <f>IF(I1279="","",IF($G$15=1,50,(_xlfn.RANK.AVG(I1279,$I$19:$I$1518,1)-1)/($G$15-1)*100))</f>
        <v/>
      </c>
      <c r="M1279" s="11">
        <f>IF(COUNT(J1279:L1279)=3,ROUND(AVERAGE(J1279:L1279),6),"")</f>
        <v/>
      </c>
      <c r="O1279">
        <f>IF(AND(ISNUMBER('자료_미국심리'!$A1263),ISNUMBER('자료_미국심리'!$B1263)),'자료_미국심리'!$A1263,"")</f>
        <v/>
      </c>
      <c r="P1279">
        <f>IF(AND(ISNUMBER('자료_미국심리'!$D1263),ISNUMBER('자료_미국심리'!$E1263)),'자료_미국심리'!$D1263,"")</f>
        <v/>
      </c>
      <c r="Q1279">
        <f>IF(AND(ISNUMBER('자료_미국심리'!$G1263),ISNUMBER('자료_미국심리'!$H1263)),'자료_미국심리'!$G1263,"")</f>
        <v/>
      </c>
    </row>
    <row r="1280">
      <c r="A1280" s="10">
        <f>IF(1262&gt;$E$5,"",SMALL($O$19:$O$4018,$E$6+1262))</f>
        <v/>
      </c>
      <c r="B1280" s="29">
        <f>IF(A1280="","",INDEX('자료_미국심리'!$B$3:$B$4002,MATCH(A1280,$O$19:$O$4018,0)))</f>
        <v/>
      </c>
      <c r="C1280" s="22">
        <f>IF(A1280="","",B1280/AVERAGE(B1156:B1280)-1)</f>
        <v/>
      </c>
      <c r="D1280" s="29">
        <f>IF(A1280="","",IFERROR(INDEX('자료_미국심리'!$E$3:$E$4002,MATCH(A1280,$P$19:$P$4018,0)),D1279))</f>
        <v/>
      </c>
      <c r="E1280" s="29">
        <f>IF(A1280="","",IFERROR(INDEX('자료_미국심리'!$H$3:$H$4002,MATCH(A1280,$Q$19:$Q$4018,0)),E1279))</f>
        <v/>
      </c>
      <c r="F1280">
        <f>IF(A1280="",0,IF(A1280&gt;$B$5,1,0))</f>
        <v/>
      </c>
      <c r="G1280" s="29">
        <f>IF(AND(F1280=1,ISNUMBER(D1280)),D1280,"")</f>
        <v/>
      </c>
      <c r="H1280" s="29">
        <f>IF(AND(F1280=1,ISNUMBER(E1280)),E1280,"")</f>
        <v/>
      </c>
      <c r="I1280" s="22">
        <f>IF(AND(F1280=1,ISNUMBER(C1280)),C1280,"")</f>
        <v/>
      </c>
      <c r="J1280" s="11">
        <f>IF(G1280="","",100-IF($G$13=1,50,(_xlfn.RANK.AVG(G1280,$G$19:$G$1518,1)-1)/($G$13-1)*100))</f>
        <v/>
      </c>
      <c r="K1280" s="11">
        <f>IF(H1280="","",100-IF($G$14=1,50,(_xlfn.RANK.AVG(H1280,$H$19:$H$1518,1)-1)/($G$14-1)*100))</f>
        <v/>
      </c>
      <c r="L1280" s="11">
        <f>IF(I1280="","",IF($G$15=1,50,(_xlfn.RANK.AVG(I1280,$I$19:$I$1518,1)-1)/($G$15-1)*100))</f>
        <v/>
      </c>
      <c r="M1280" s="11">
        <f>IF(COUNT(J1280:L1280)=3,ROUND(AVERAGE(J1280:L1280),6),"")</f>
        <v/>
      </c>
      <c r="O1280">
        <f>IF(AND(ISNUMBER('자료_미국심리'!$A1264),ISNUMBER('자료_미국심리'!$B1264)),'자료_미국심리'!$A1264,"")</f>
        <v/>
      </c>
      <c r="P1280">
        <f>IF(AND(ISNUMBER('자료_미국심리'!$D1264),ISNUMBER('자료_미국심리'!$E1264)),'자료_미국심리'!$D1264,"")</f>
        <v/>
      </c>
      <c r="Q1280">
        <f>IF(AND(ISNUMBER('자료_미국심리'!$G1264),ISNUMBER('자료_미국심리'!$H1264)),'자료_미국심리'!$G1264,"")</f>
        <v/>
      </c>
    </row>
    <row r="1281">
      <c r="A1281" s="10">
        <f>IF(1263&gt;$E$5,"",SMALL($O$19:$O$4018,$E$6+1263))</f>
        <v/>
      </c>
      <c r="B1281" s="29">
        <f>IF(A1281="","",INDEX('자료_미국심리'!$B$3:$B$4002,MATCH(A1281,$O$19:$O$4018,0)))</f>
        <v/>
      </c>
      <c r="C1281" s="22">
        <f>IF(A1281="","",B1281/AVERAGE(B1157:B1281)-1)</f>
        <v/>
      </c>
      <c r="D1281" s="29">
        <f>IF(A1281="","",IFERROR(INDEX('자료_미국심리'!$E$3:$E$4002,MATCH(A1281,$P$19:$P$4018,0)),D1280))</f>
        <v/>
      </c>
      <c r="E1281" s="29">
        <f>IF(A1281="","",IFERROR(INDEX('자료_미국심리'!$H$3:$H$4002,MATCH(A1281,$Q$19:$Q$4018,0)),E1280))</f>
        <v/>
      </c>
      <c r="F1281">
        <f>IF(A1281="",0,IF(A1281&gt;$B$5,1,0))</f>
        <v/>
      </c>
      <c r="G1281" s="29">
        <f>IF(AND(F1281=1,ISNUMBER(D1281)),D1281,"")</f>
        <v/>
      </c>
      <c r="H1281" s="29">
        <f>IF(AND(F1281=1,ISNUMBER(E1281)),E1281,"")</f>
        <v/>
      </c>
      <c r="I1281" s="22">
        <f>IF(AND(F1281=1,ISNUMBER(C1281)),C1281,"")</f>
        <v/>
      </c>
      <c r="J1281" s="11">
        <f>IF(G1281="","",100-IF($G$13=1,50,(_xlfn.RANK.AVG(G1281,$G$19:$G$1518,1)-1)/($G$13-1)*100))</f>
        <v/>
      </c>
      <c r="K1281" s="11">
        <f>IF(H1281="","",100-IF($G$14=1,50,(_xlfn.RANK.AVG(H1281,$H$19:$H$1518,1)-1)/($G$14-1)*100))</f>
        <v/>
      </c>
      <c r="L1281" s="11">
        <f>IF(I1281="","",IF($G$15=1,50,(_xlfn.RANK.AVG(I1281,$I$19:$I$1518,1)-1)/($G$15-1)*100))</f>
        <v/>
      </c>
      <c r="M1281" s="11">
        <f>IF(COUNT(J1281:L1281)=3,ROUND(AVERAGE(J1281:L1281),6),"")</f>
        <v/>
      </c>
      <c r="O1281">
        <f>IF(AND(ISNUMBER('자료_미국심리'!$A1265),ISNUMBER('자료_미국심리'!$B1265)),'자료_미국심리'!$A1265,"")</f>
        <v/>
      </c>
      <c r="P1281">
        <f>IF(AND(ISNUMBER('자료_미국심리'!$D1265),ISNUMBER('자료_미국심리'!$E1265)),'자료_미국심리'!$D1265,"")</f>
        <v/>
      </c>
      <c r="Q1281">
        <f>IF(AND(ISNUMBER('자료_미국심리'!$G1265),ISNUMBER('자료_미국심리'!$H1265)),'자료_미국심리'!$G1265,"")</f>
        <v/>
      </c>
    </row>
    <row r="1282">
      <c r="A1282" s="10">
        <f>IF(1264&gt;$E$5,"",SMALL($O$19:$O$4018,$E$6+1264))</f>
        <v/>
      </c>
      <c r="B1282" s="29">
        <f>IF(A1282="","",INDEX('자료_미국심리'!$B$3:$B$4002,MATCH(A1282,$O$19:$O$4018,0)))</f>
        <v/>
      </c>
      <c r="C1282" s="22">
        <f>IF(A1282="","",B1282/AVERAGE(B1158:B1282)-1)</f>
        <v/>
      </c>
      <c r="D1282" s="29">
        <f>IF(A1282="","",IFERROR(INDEX('자료_미국심리'!$E$3:$E$4002,MATCH(A1282,$P$19:$P$4018,0)),D1281))</f>
        <v/>
      </c>
      <c r="E1282" s="29">
        <f>IF(A1282="","",IFERROR(INDEX('자료_미국심리'!$H$3:$H$4002,MATCH(A1282,$Q$19:$Q$4018,0)),E1281))</f>
        <v/>
      </c>
      <c r="F1282">
        <f>IF(A1282="",0,IF(A1282&gt;$B$5,1,0))</f>
        <v/>
      </c>
      <c r="G1282" s="29">
        <f>IF(AND(F1282=1,ISNUMBER(D1282)),D1282,"")</f>
        <v/>
      </c>
      <c r="H1282" s="29">
        <f>IF(AND(F1282=1,ISNUMBER(E1282)),E1282,"")</f>
        <v/>
      </c>
      <c r="I1282" s="22">
        <f>IF(AND(F1282=1,ISNUMBER(C1282)),C1282,"")</f>
        <v/>
      </c>
      <c r="J1282" s="11">
        <f>IF(G1282="","",100-IF($G$13=1,50,(_xlfn.RANK.AVG(G1282,$G$19:$G$1518,1)-1)/($G$13-1)*100))</f>
        <v/>
      </c>
      <c r="K1282" s="11">
        <f>IF(H1282="","",100-IF($G$14=1,50,(_xlfn.RANK.AVG(H1282,$H$19:$H$1518,1)-1)/($G$14-1)*100))</f>
        <v/>
      </c>
      <c r="L1282" s="11">
        <f>IF(I1282="","",IF($G$15=1,50,(_xlfn.RANK.AVG(I1282,$I$19:$I$1518,1)-1)/($G$15-1)*100))</f>
        <v/>
      </c>
      <c r="M1282" s="11">
        <f>IF(COUNT(J1282:L1282)=3,ROUND(AVERAGE(J1282:L1282),6),"")</f>
        <v/>
      </c>
      <c r="O1282">
        <f>IF(AND(ISNUMBER('자료_미국심리'!$A1266),ISNUMBER('자료_미국심리'!$B1266)),'자료_미국심리'!$A1266,"")</f>
        <v/>
      </c>
      <c r="P1282">
        <f>IF(AND(ISNUMBER('자료_미국심리'!$D1266),ISNUMBER('자료_미국심리'!$E1266)),'자료_미국심리'!$D1266,"")</f>
        <v/>
      </c>
      <c r="Q1282">
        <f>IF(AND(ISNUMBER('자료_미국심리'!$G1266),ISNUMBER('자료_미국심리'!$H1266)),'자료_미국심리'!$G1266,"")</f>
        <v/>
      </c>
    </row>
    <row r="1283">
      <c r="A1283" s="10">
        <f>IF(1265&gt;$E$5,"",SMALL($O$19:$O$4018,$E$6+1265))</f>
        <v/>
      </c>
      <c r="B1283" s="29">
        <f>IF(A1283="","",INDEX('자료_미국심리'!$B$3:$B$4002,MATCH(A1283,$O$19:$O$4018,0)))</f>
        <v/>
      </c>
      <c r="C1283" s="22">
        <f>IF(A1283="","",B1283/AVERAGE(B1159:B1283)-1)</f>
        <v/>
      </c>
      <c r="D1283" s="29">
        <f>IF(A1283="","",IFERROR(INDEX('자료_미국심리'!$E$3:$E$4002,MATCH(A1283,$P$19:$P$4018,0)),D1282))</f>
        <v/>
      </c>
      <c r="E1283" s="29">
        <f>IF(A1283="","",IFERROR(INDEX('자료_미국심리'!$H$3:$H$4002,MATCH(A1283,$Q$19:$Q$4018,0)),E1282))</f>
        <v/>
      </c>
      <c r="F1283">
        <f>IF(A1283="",0,IF(A1283&gt;$B$5,1,0))</f>
        <v/>
      </c>
      <c r="G1283" s="29">
        <f>IF(AND(F1283=1,ISNUMBER(D1283)),D1283,"")</f>
        <v/>
      </c>
      <c r="H1283" s="29">
        <f>IF(AND(F1283=1,ISNUMBER(E1283)),E1283,"")</f>
        <v/>
      </c>
      <c r="I1283" s="22">
        <f>IF(AND(F1283=1,ISNUMBER(C1283)),C1283,"")</f>
        <v/>
      </c>
      <c r="J1283" s="11">
        <f>IF(G1283="","",100-IF($G$13=1,50,(_xlfn.RANK.AVG(G1283,$G$19:$G$1518,1)-1)/($G$13-1)*100))</f>
        <v/>
      </c>
      <c r="K1283" s="11">
        <f>IF(H1283="","",100-IF($G$14=1,50,(_xlfn.RANK.AVG(H1283,$H$19:$H$1518,1)-1)/($G$14-1)*100))</f>
        <v/>
      </c>
      <c r="L1283" s="11">
        <f>IF(I1283="","",IF($G$15=1,50,(_xlfn.RANK.AVG(I1283,$I$19:$I$1518,1)-1)/($G$15-1)*100))</f>
        <v/>
      </c>
      <c r="M1283" s="11">
        <f>IF(COUNT(J1283:L1283)=3,ROUND(AVERAGE(J1283:L1283),6),"")</f>
        <v/>
      </c>
      <c r="O1283">
        <f>IF(AND(ISNUMBER('자료_미국심리'!$A1267),ISNUMBER('자료_미국심리'!$B1267)),'자료_미국심리'!$A1267,"")</f>
        <v/>
      </c>
      <c r="P1283">
        <f>IF(AND(ISNUMBER('자료_미국심리'!$D1267),ISNUMBER('자료_미국심리'!$E1267)),'자료_미국심리'!$D1267,"")</f>
        <v/>
      </c>
      <c r="Q1283">
        <f>IF(AND(ISNUMBER('자료_미국심리'!$G1267),ISNUMBER('자료_미국심리'!$H1267)),'자료_미국심리'!$G1267,"")</f>
        <v/>
      </c>
    </row>
    <row r="1284">
      <c r="A1284" s="10">
        <f>IF(1266&gt;$E$5,"",SMALL($O$19:$O$4018,$E$6+1266))</f>
        <v/>
      </c>
      <c r="B1284" s="29">
        <f>IF(A1284="","",INDEX('자료_미국심리'!$B$3:$B$4002,MATCH(A1284,$O$19:$O$4018,0)))</f>
        <v/>
      </c>
      <c r="C1284" s="22">
        <f>IF(A1284="","",B1284/AVERAGE(B1160:B1284)-1)</f>
        <v/>
      </c>
      <c r="D1284" s="29">
        <f>IF(A1284="","",IFERROR(INDEX('자료_미국심리'!$E$3:$E$4002,MATCH(A1284,$P$19:$P$4018,0)),D1283))</f>
        <v/>
      </c>
      <c r="E1284" s="29">
        <f>IF(A1284="","",IFERROR(INDEX('자료_미국심리'!$H$3:$H$4002,MATCH(A1284,$Q$19:$Q$4018,0)),E1283))</f>
        <v/>
      </c>
      <c r="F1284">
        <f>IF(A1284="",0,IF(A1284&gt;$B$5,1,0))</f>
        <v/>
      </c>
      <c r="G1284" s="29">
        <f>IF(AND(F1284=1,ISNUMBER(D1284)),D1284,"")</f>
        <v/>
      </c>
      <c r="H1284" s="29">
        <f>IF(AND(F1284=1,ISNUMBER(E1284)),E1284,"")</f>
        <v/>
      </c>
      <c r="I1284" s="22">
        <f>IF(AND(F1284=1,ISNUMBER(C1284)),C1284,"")</f>
        <v/>
      </c>
      <c r="J1284" s="11">
        <f>IF(G1284="","",100-IF($G$13=1,50,(_xlfn.RANK.AVG(G1284,$G$19:$G$1518,1)-1)/($G$13-1)*100))</f>
        <v/>
      </c>
      <c r="K1284" s="11">
        <f>IF(H1284="","",100-IF($G$14=1,50,(_xlfn.RANK.AVG(H1284,$H$19:$H$1518,1)-1)/($G$14-1)*100))</f>
        <v/>
      </c>
      <c r="L1284" s="11">
        <f>IF(I1284="","",IF($G$15=1,50,(_xlfn.RANK.AVG(I1284,$I$19:$I$1518,1)-1)/($G$15-1)*100))</f>
        <v/>
      </c>
      <c r="M1284" s="11">
        <f>IF(COUNT(J1284:L1284)=3,ROUND(AVERAGE(J1284:L1284),6),"")</f>
        <v/>
      </c>
      <c r="O1284">
        <f>IF(AND(ISNUMBER('자료_미국심리'!$A1268),ISNUMBER('자료_미국심리'!$B1268)),'자료_미국심리'!$A1268,"")</f>
        <v/>
      </c>
      <c r="P1284">
        <f>IF(AND(ISNUMBER('자료_미국심리'!$D1268),ISNUMBER('자료_미국심리'!$E1268)),'자료_미국심리'!$D1268,"")</f>
        <v/>
      </c>
      <c r="Q1284">
        <f>IF(AND(ISNUMBER('자료_미국심리'!$G1268),ISNUMBER('자료_미국심리'!$H1268)),'자료_미국심리'!$G1268,"")</f>
        <v/>
      </c>
    </row>
    <row r="1285">
      <c r="A1285" s="10">
        <f>IF(1267&gt;$E$5,"",SMALL($O$19:$O$4018,$E$6+1267))</f>
        <v/>
      </c>
      <c r="B1285" s="29">
        <f>IF(A1285="","",INDEX('자료_미국심리'!$B$3:$B$4002,MATCH(A1285,$O$19:$O$4018,0)))</f>
        <v/>
      </c>
      <c r="C1285" s="22">
        <f>IF(A1285="","",B1285/AVERAGE(B1161:B1285)-1)</f>
        <v/>
      </c>
      <c r="D1285" s="29">
        <f>IF(A1285="","",IFERROR(INDEX('자료_미국심리'!$E$3:$E$4002,MATCH(A1285,$P$19:$P$4018,0)),D1284))</f>
        <v/>
      </c>
      <c r="E1285" s="29">
        <f>IF(A1285="","",IFERROR(INDEX('자료_미국심리'!$H$3:$H$4002,MATCH(A1285,$Q$19:$Q$4018,0)),E1284))</f>
        <v/>
      </c>
      <c r="F1285">
        <f>IF(A1285="",0,IF(A1285&gt;$B$5,1,0))</f>
        <v/>
      </c>
      <c r="G1285" s="29">
        <f>IF(AND(F1285=1,ISNUMBER(D1285)),D1285,"")</f>
        <v/>
      </c>
      <c r="H1285" s="29">
        <f>IF(AND(F1285=1,ISNUMBER(E1285)),E1285,"")</f>
        <v/>
      </c>
      <c r="I1285" s="22">
        <f>IF(AND(F1285=1,ISNUMBER(C1285)),C1285,"")</f>
        <v/>
      </c>
      <c r="J1285" s="11">
        <f>IF(G1285="","",100-IF($G$13=1,50,(_xlfn.RANK.AVG(G1285,$G$19:$G$1518,1)-1)/($G$13-1)*100))</f>
        <v/>
      </c>
      <c r="K1285" s="11">
        <f>IF(H1285="","",100-IF($G$14=1,50,(_xlfn.RANK.AVG(H1285,$H$19:$H$1518,1)-1)/($G$14-1)*100))</f>
        <v/>
      </c>
      <c r="L1285" s="11">
        <f>IF(I1285="","",IF($G$15=1,50,(_xlfn.RANK.AVG(I1285,$I$19:$I$1518,1)-1)/($G$15-1)*100))</f>
        <v/>
      </c>
      <c r="M1285" s="11">
        <f>IF(COUNT(J1285:L1285)=3,ROUND(AVERAGE(J1285:L1285),6),"")</f>
        <v/>
      </c>
      <c r="O1285">
        <f>IF(AND(ISNUMBER('자료_미국심리'!$A1269),ISNUMBER('자료_미국심리'!$B1269)),'자료_미국심리'!$A1269,"")</f>
        <v/>
      </c>
      <c r="P1285">
        <f>IF(AND(ISNUMBER('자료_미국심리'!$D1269),ISNUMBER('자료_미국심리'!$E1269)),'자료_미국심리'!$D1269,"")</f>
        <v/>
      </c>
      <c r="Q1285">
        <f>IF(AND(ISNUMBER('자료_미국심리'!$G1269),ISNUMBER('자료_미국심리'!$H1269)),'자료_미국심리'!$G1269,"")</f>
        <v/>
      </c>
    </row>
    <row r="1286">
      <c r="A1286" s="10">
        <f>IF(1268&gt;$E$5,"",SMALL($O$19:$O$4018,$E$6+1268))</f>
        <v/>
      </c>
      <c r="B1286" s="29">
        <f>IF(A1286="","",INDEX('자료_미국심리'!$B$3:$B$4002,MATCH(A1286,$O$19:$O$4018,0)))</f>
        <v/>
      </c>
      <c r="C1286" s="22">
        <f>IF(A1286="","",B1286/AVERAGE(B1162:B1286)-1)</f>
        <v/>
      </c>
      <c r="D1286" s="29">
        <f>IF(A1286="","",IFERROR(INDEX('자료_미국심리'!$E$3:$E$4002,MATCH(A1286,$P$19:$P$4018,0)),D1285))</f>
        <v/>
      </c>
      <c r="E1286" s="29">
        <f>IF(A1286="","",IFERROR(INDEX('자료_미국심리'!$H$3:$H$4002,MATCH(A1286,$Q$19:$Q$4018,0)),E1285))</f>
        <v/>
      </c>
      <c r="F1286">
        <f>IF(A1286="",0,IF(A1286&gt;$B$5,1,0))</f>
        <v/>
      </c>
      <c r="G1286" s="29">
        <f>IF(AND(F1286=1,ISNUMBER(D1286)),D1286,"")</f>
        <v/>
      </c>
      <c r="H1286" s="29">
        <f>IF(AND(F1286=1,ISNUMBER(E1286)),E1286,"")</f>
        <v/>
      </c>
      <c r="I1286" s="22">
        <f>IF(AND(F1286=1,ISNUMBER(C1286)),C1286,"")</f>
        <v/>
      </c>
      <c r="J1286" s="11">
        <f>IF(G1286="","",100-IF($G$13=1,50,(_xlfn.RANK.AVG(G1286,$G$19:$G$1518,1)-1)/($G$13-1)*100))</f>
        <v/>
      </c>
      <c r="K1286" s="11">
        <f>IF(H1286="","",100-IF($G$14=1,50,(_xlfn.RANK.AVG(H1286,$H$19:$H$1518,1)-1)/($G$14-1)*100))</f>
        <v/>
      </c>
      <c r="L1286" s="11">
        <f>IF(I1286="","",IF($G$15=1,50,(_xlfn.RANK.AVG(I1286,$I$19:$I$1518,1)-1)/($G$15-1)*100))</f>
        <v/>
      </c>
      <c r="M1286" s="11">
        <f>IF(COUNT(J1286:L1286)=3,ROUND(AVERAGE(J1286:L1286),6),"")</f>
        <v/>
      </c>
      <c r="O1286">
        <f>IF(AND(ISNUMBER('자료_미국심리'!$A1270),ISNUMBER('자료_미국심리'!$B1270)),'자료_미국심리'!$A1270,"")</f>
        <v/>
      </c>
      <c r="P1286">
        <f>IF(AND(ISNUMBER('자료_미국심리'!$D1270),ISNUMBER('자료_미국심리'!$E1270)),'자료_미국심리'!$D1270,"")</f>
        <v/>
      </c>
      <c r="Q1286">
        <f>IF(AND(ISNUMBER('자료_미국심리'!$G1270),ISNUMBER('자료_미국심리'!$H1270)),'자료_미국심리'!$G1270,"")</f>
        <v/>
      </c>
    </row>
    <row r="1287">
      <c r="A1287" s="10">
        <f>IF(1269&gt;$E$5,"",SMALL($O$19:$O$4018,$E$6+1269))</f>
        <v/>
      </c>
      <c r="B1287" s="29">
        <f>IF(A1287="","",INDEX('자료_미국심리'!$B$3:$B$4002,MATCH(A1287,$O$19:$O$4018,0)))</f>
        <v/>
      </c>
      <c r="C1287" s="22">
        <f>IF(A1287="","",B1287/AVERAGE(B1163:B1287)-1)</f>
        <v/>
      </c>
      <c r="D1287" s="29">
        <f>IF(A1287="","",IFERROR(INDEX('자료_미국심리'!$E$3:$E$4002,MATCH(A1287,$P$19:$P$4018,0)),D1286))</f>
        <v/>
      </c>
      <c r="E1287" s="29">
        <f>IF(A1287="","",IFERROR(INDEX('자료_미국심리'!$H$3:$H$4002,MATCH(A1287,$Q$19:$Q$4018,0)),E1286))</f>
        <v/>
      </c>
      <c r="F1287">
        <f>IF(A1287="",0,IF(A1287&gt;$B$5,1,0))</f>
        <v/>
      </c>
      <c r="G1287" s="29">
        <f>IF(AND(F1287=1,ISNUMBER(D1287)),D1287,"")</f>
        <v/>
      </c>
      <c r="H1287" s="29">
        <f>IF(AND(F1287=1,ISNUMBER(E1287)),E1287,"")</f>
        <v/>
      </c>
      <c r="I1287" s="22">
        <f>IF(AND(F1287=1,ISNUMBER(C1287)),C1287,"")</f>
        <v/>
      </c>
      <c r="J1287" s="11">
        <f>IF(G1287="","",100-IF($G$13=1,50,(_xlfn.RANK.AVG(G1287,$G$19:$G$1518,1)-1)/($G$13-1)*100))</f>
        <v/>
      </c>
      <c r="K1287" s="11">
        <f>IF(H1287="","",100-IF($G$14=1,50,(_xlfn.RANK.AVG(H1287,$H$19:$H$1518,1)-1)/($G$14-1)*100))</f>
        <v/>
      </c>
      <c r="L1287" s="11">
        <f>IF(I1287="","",IF($G$15=1,50,(_xlfn.RANK.AVG(I1287,$I$19:$I$1518,1)-1)/($G$15-1)*100))</f>
        <v/>
      </c>
      <c r="M1287" s="11">
        <f>IF(COUNT(J1287:L1287)=3,ROUND(AVERAGE(J1287:L1287),6),"")</f>
        <v/>
      </c>
      <c r="O1287">
        <f>IF(AND(ISNUMBER('자료_미국심리'!$A1271),ISNUMBER('자료_미국심리'!$B1271)),'자료_미국심리'!$A1271,"")</f>
        <v/>
      </c>
      <c r="P1287">
        <f>IF(AND(ISNUMBER('자료_미국심리'!$D1271),ISNUMBER('자료_미국심리'!$E1271)),'자료_미국심리'!$D1271,"")</f>
        <v/>
      </c>
      <c r="Q1287">
        <f>IF(AND(ISNUMBER('자료_미국심리'!$G1271),ISNUMBER('자료_미국심리'!$H1271)),'자료_미국심리'!$G1271,"")</f>
        <v/>
      </c>
    </row>
    <row r="1288">
      <c r="A1288" s="10">
        <f>IF(1270&gt;$E$5,"",SMALL($O$19:$O$4018,$E$6+1270))</f>
        <v/>
      </c>
      <c r="B1288" s="29">
        <f>IF(A1288="","",INDEX('자료_미국심리'!$B$3:$B$4002,MATCH(A1288,$O$19:$O$4018,0)))</f>
        <v/>
      </c>
      <c r="C1288" s="22">
        <f>IF(A1288="","",B1288/AVERAGE(B1164:B1288)-1)</f>
        <v/>
      </c>
      <c r="D1288" s="29">
        <f>IF(A1288="","",IFERROR(INDEX('자료_미국심리'!$E$3:$E$4002,MATCH(A1288,$P$19:$P$4018,0)),D1287))</f>
        <v/>
      </c>
      <c r="E1288" s="29">
        <f>IF(A1288="","",IFERROR(INDEX('자료_미국심리'!$H$3:$H$4002,MATCH(A1288,$Q$19:$Q$4018,0)),E1287))</f>
        <v/>
      </c>
      <c r="F1288">
        <f>IF(A1288="",0,IF(A1288&gt;$B$5,1,0))</f>
        <v/>
      </c>
      <c r="G1288" s="29">
        <f>IF(AND(F1288=1,ISNUMBER(D1288)),D1288,"")</f>
        <v/>
      </c>
      <c r="H1288" s="29">
        <f>IF(AND(F1288=1,ISNUMBER(E1288)),E1288,"")</f>
        <v/>
      </c>
      <c r="I1288" s="22">
        <f>IF(AND(F1288=1,ISNUMBER(C1288)),C1288,"")</f>
        <v/>
      </c>
      <c r="J1288" s="11">
        <f>IF(G1288="","",100-IF($G$13=1,50,(_xlfn.RANK.AVG(G1288,$G$19:$G$1518,1)-1)/($G$13-1)*100))</f>
        <v/>
      </c>
      <c r="K1288" s="11">
        <f>IF(H1288="","",100-IF($G$14=1,50,(_xlfn.RANK.AVG(H1288,$H$19:$H$1518,1)-1)/($G$14-1)*100))</f>
        <v/>
      </c>
      <c r="L1288" s="11">
        <f>IF(I1288="","",IF($G$15=1,50,(_xlfn.RANK.AVG(I1288,$I$19:$I$1518,1)-1)/($G$15-1)*100))</f>
        <v/>
      </c>
      <c r="M1288" s="11">
        <f>IF(COUNT(J1288:L1288)=3,ROUND(AVERAGE(J1288:L1288),6),"")</f>
        <v/>
      </c>
      <c r="O1288">
        <f>IF(AND(ISNUMBER('자료_미국심리'!$A1272),ISNUMBER('자료_미국심리'!$B1272)),'자료_미국심리'!$A1272,"")</f>
        <v/>
      </c>
      <c r="P1288">
        <f>IF(AND(ISNUMBER('자료_미국심리'!$D1272),ISNUMBER('자료_미국심리'!$E1272)),'자료_미국심리'!$D1272,"")</f>
        <v/>
      </c>
      <c r="Q1288">
        <f>IF(AND(ISNUMBER('자료_미국심리'!$G1272),ISNUMBER('자료_미국심리'!$H1272)),'자료_미국심리'!$G1272,"")</f>
        <v/>
      </c>
    </row>
    <row r="1289">
      <c r="A1289" s="10">
        <f>IF(1271&gt;$E$5,"",SMALL($O$19:$O$4018,$E$6+1271))</f>
        <v/>
      </c>
      <c r="B1289" s="29">
        <f>IF(A1289="","",INDEX('자료_미국심리'!$B$3:$B$4002,MATCH(A1289,$O$19:$O$4018,0)))</f>
        <v/>
      </c>
      <c r="C1289" s="22">
        <f>IF(A1289="","",B1289/AVERAGE(B1165:B1289)-1)</f>
        <v/>
      </c>
      <c r="D1289" s="29">
        <f>IF(A1289="","",IFERROR(INDEX('자료_미국심리'!$E$3:$E$4002,MATCH(A1289,$P$19:$P$4018,0)),D1288))</f>
        <v/>
      </c>
      <c r="E1289" s="29">
        <f>IF(A1289="","",IFERROR(INDEX('자료_미국심리'!$H$3:$H$4002,MATCH(A1289,$Q$19:$Q$4018,0)),E1288))</f>
        <v/>
      </c>
      <c r="F1289">
        <f>IF(A1289="",0,IF(A1289&gt;$B$5,1,0))</f>
        <v/>
      </c>
      <c r="G1289" s="29">
        <f>IF(AND(F1289=1,ISNUMBER(D1289)),D1289,"")</f>
        <v/>
      </c>
      <c r="H1289" s="29">
        <f>IF(AND(F1289=1,ISNUMBER(E1289)),E1289,"")</f>
        <v/>
      </c>
      <c r="I1289" s="22">
        <f>IF(AND(F1289=1,ISNUMBER(C1289)),C1289,"")</f>
        <v/>
      </c>
      <c r="J1289" s="11">
        <f>IF(G1289="","",100-IF($G$13=1,50,(_xlfn.RANK.AVG(G1289,$G$19:$G$1518,1)-1)/($G$13-1)*100))</f>
        <v/>
      </c>
      <c r="K1289" s="11">
        <f>IF(H1289="","",100-IF($G$14=1,50,(_xlfn.RANK.AVG(H1289,$H$19:$H$1518,1)-1)/($G$14-1)*100))</f>
        <v/>
      </c>
      <c r="L1289" s="11">
        <f>IF(I1289="","",IF($G$15=1,50,(_xlfn.RANK.AVG(I1289,$I$19:$I$1518,1)-1)/($G$15-1)*100))</f>
        <v/>
      </c>
      <c r="M1289" s="11">
        <f>IF(COUNT(J1289:L1289)=3,ROUND(AVERAGE(J1289:L1289),6),"")</f>
        <v/>
      </c>
      <c r="O1289">
        <f>IF(AND(ISNUMBER('자료_미국심리'!$A1273),ISNUMBER('자료_미국심리'!$B1273)),'자료_미국심리'!$A1273,"")</f>
        <v/>
      </c>
      <c r="P1289">
        <f>IF(AND(ISNUMBER('자료_미국심리'!$D1273),ISNUMBER('자료_미국심리'!$E1273)),'자료_미국심리'!$D1273,"")</f>
        <v/>
      </c>
      <c r="Q1289">
        <f>IF(AND(ISNUMBER('자료_미국심리'!$G1273),ISNUMBER('자료_미국심리'!$H1273)),'자료_미국심리'!$G1273,"")</f>
        <v/>
      </c>
    </row>
    <row r="1290">
      <c r="A1290" s="10">
        <f>IF(1272&gt;$E$5,"",SMALL($O$19:$O$4018,$E$6+1272))</f>
        <v/>
      </c>
      <c r="B1290" s="29">
        <f>IF(A1290="","",INDEX('자료_미국심리'!$B$3:$B$4002,MATCH(A1290,$O$19:$O$4018,0)))</f>
        <v/>
      </c>
      <c r="C1290" s="22">
        <f>IF(A1290="","",B1290/AVERAGE(B1166:B1290)-1)</f>
        <v/>
      </c>
      <c r="D1290" s="29">
        <f>IF(A1290="","",IFERROR(INDEX('자료_미국심리'!$E$3:$E$4002,MATCH(A1290,$P$19:$P$4018,0)),D1289))</f>
        <v/>
      </c>
      <c r="E1290" s="29">
        <f>IF(A1290="","",IFERROR(INDEX('자료_미국심리'!$H$3:$H$4002,MATCH(A1290,$Q$19:$Q$4018,0)),E1289))</f>
        <v/>
      </c>
      <c r="F1290">
        <f>IF(A1290="",0,IF(A1290&gt;$B$5,1,0))</f>
        <v/>
      </c>
      <c r="G1290" s="29">
        <f>IF(AND(F1290=1,ISNUMBER(D1290)),D1290,"")</f>
        <v/>
      </c>
      <c r="H1290" s="29">
        <f>IF(AND(F1290=1,ISNUMBER(E1290)),E1290,"")</f>
        <v/>
      </c>
      <c r="I1290" s="22">
        <f>IF(AND(F1290=1,ISNUMBER(C1290)),C1290,"")</f>
        <v/>
      </c>
      <c r="J1290" s="11">
        <f>IF(G1290="","",100-IF($G$13=1,50,(_xlfn.RANK.AVG(G1290,$G$19:$G$1518,1)-1)/($G$13-1)*100))</f>
        <v/>
      </c>
      <c r="K1290" s="11">
        <f>IF(H1290="","",100-IF($G$14=1,50,(_xlfn.RANK.AVG(H1290,$H$19:$H$1518,1)-1)/($G$14-1)*100))</f>
        <v/>
      </c>
      <c r="L1290" s="11">
        <f>IF(I1290="","",IF($G$15=1,50,(_xlfn.RANK.AVG(I1290,$I$19:$I$1518,1)-1)/($G$15-1)*100))</f>
        <v/>
      </c>
      <c r="M1290" s="11">
        <f>IF(COUNT(J1290:L1290)=3,ROUND(AVERAGE(J1290:L1290),6),"")</f>
        <v/>
      </c>
      <c r="O1290">
        <f>IF(AND(ISNUMBER('자료_미국심리'!$A1274),ISNUMBER('자료_미국심리'!$B1274)),'자료_미국심리'!$A1274,"")</f>
        <v/>
      </c>
      <c r="P1290">
        <f>IF(AND(ISNUMBER('자료_미국심리'!$D1274),ISNUMBER('자료_미국심리'!$E1274)),'자료_미국심리'!$D1274,"")</f>
        <v/>
      </c>
      <c r="Q1290">
        <f>IF(AND(ISNUMBER('자료_미국심리'!$G1274),ISNUMBER('자료_미국심리'!$H1274)),'자료_미국심리'!$G1274,"")</f>
        <v/>
      </c>
    </row>
    <row r="1291">
      <c r="A1291" s="10">
        <f>IF(1273&gt;$E$5,"",SMALL($O$19:$O$4018,$E$6+1273))</f>
        <v/>
      </c>
      <c r="B1291" s="29">
        <f>IF(A1291="","",INDEX('자료_미국심리'!$B$3:$B$4002,MATCH(A1291,$O$19:$O$4018,0)))</f>
        <v/>
      </c>
      <c r="C1291" s="22">
        <f>IF(A1291="","",B1291/AVERAGE(B1167:B1291)-1)</f>
        <v/>
      </c>
      <c r="D1291" s="29">
        <f>IF(A1291="","",IFERROR(INDEX('자료_미국심리'!$E$3:$E$4002,MATCH(A1291,$P$19:$P$4018,0)),D1290))</f>
        <v/>
      </c>
      <c r="E1291" s="29">
        <f>IF(A1291="","",IFERROR(INDEX('자료_미국심리'!$H$3:$H$4002,MATCH(A1291,$Q$19:$Q$4018,0)),E1290))</f>
        <v/>
      </c>
      <c r="F1291">
        <f>IF(A1291="",0,IF(A1291&gt;$B$5,1,0))</f>
        <v/>
      </c>
      <c r="G1291" s="29">
        <f>IF(AND(F1291=1,ISNUMBER(D1291)),D1291,"")</f>
        <v/>
      </c>
      <c r="H1291" s="29">
        <f>IF(AND(F1291=1,ISNUMBER(E1291)),E1291,"")</f>
        <v/>
      </c>
      <c r="I1291" s="22">
        <f>IF(AND(F1291=1,ISNUMBER(C1291)),C1291,"")</f>
        <v/>
      </c>
      <c r="J1291" s="11">
        <f>IF(G1291="","",100-IF($G$13=1,50,(_xlfn.RANK.AVG(G1291,$G$19:$G$1518,1)-1)/($G$13-1)*100))</f>
        <v/>
      </c>
      <c r="K1291" s="11">
        <f>IF(H1291="","",100-IF($G$14=1,50,(_xlfn.RANK.AVG(H1291,$H$19:$H$1518,1)-1)/($G$14-1)*100))</f>
        <v/>
      </c>
      <c r="L1291" s="11">
        <f>IF(I1291="","",IF($G$15=1,50,(_xlfn.RANK.AVG(I1291,$I$19:$I$1518,1)-1)/($G$15-1)*100))</f>
        <v/>
      </c>
      <c r="M1291" s="11">
        <f>IF(COUNT(J1291:L1291)=3,ROUND(AVERAGE(J1291:L1291),6),"")</f>
        <v/>
      </c>
      <c r="O1291">
        <f>IF(AND(ISNUMBER('자료_미국심리'!$A1275),ISNUMBER('자료_미국심리'!$B1275)),'자료_미국심리'!$A1275,"")</f>
        <v/>
      </c>
      <c r="P1291">
        <f>IF(AND(ISNUMBER('자료_미국심리'!$D1275),ISNUMBER('자료_미국심리'!$E1275)),'자료_미국심리'!$D1275,"")</f>
        <v/>
      </c>
      <c r="Q1291">
        <f>IF(AND(ISNUMBER('자료_미국심리'!$G1275),ISNUMBER('자료_미국심리'!$H1275)),'자료_미국심리'!$G1275,"")</f>
        <v/>
      </c>
    </row>
    <row r="1292">
      <c r="A1292" s="10">
        <f>IF(1274&gt;$E$5,"",SMALL($O$19:$O$4018,$E$6+1274))</f>
        <v/>
      </c>
      <c r="B1292" s="29">
        <f>IF(A1292="","",INDEX('자료_미국심리'!$B$3:$B$4002,MATCH(A1292,$O$19:$O$4018,0)))</f>
        <v/>
      </c>
      <c r="C1292" s="22">
        <f>IF(A1292="","",B1292/AVERAGE(B1168:B1292)-1)</f>
        <v/>
      </c>
      <c r="D1292" s="29">
        <f>IF(A1292="","",IFERROR(INDEX('자료_미국심리'!$E$3:$E$4002,MATCH(A1292,$P$19:$P$4018,0)),D1291))</f>
        <v/>
      </c>
      <c r="E1292" s="29">
        <f>IF(A1292="","",IFERROR(INDEX('자료_미국심리'!$H$3:$H$4002,MATCH(A1292,$Q$19:$Q$4018,0)),E1291))</f>
        <v/>
      </c>
      <c r="F1292">
        <f>IF(A1292="",0,IF(A1292&gt;$B$5,1,0))</f>
        <v/>
      </c>
      <c r="G1292" s="29">
        <f>IF(AND(F1292=1,ISNUMBER(D1292)),D1292,"")</f>
        <v/>
      </c>
      <c r="H1292" s="29">
        <f>IF(AND(F1292=1,ISNUMBER(E1292)),E1292,"")</f>
        <v/>
      </c>
      <c r="I1292" s="22">
        <f>IF(AND(F1292=1,ISNUMBER(C1292)),C1292,"")</f>
        <v/>
      </c>
      <c r="J1292" s="11">
        <f>IF(G1292="","",100-IF($G$13=1,50,(_xlfn.RANK.AVG(G1292,$G$19:$G$1518,1)-1)/($G$13-1)*100))</f>
        <v/>
      </c>
      <c r="K1292" s="11">
        <f>IF(H1292="","",100-IF($G$14=1,50,(_xlfn.RANK.AVG(H1292,$H$19:$H$1518,1)-1)/($G$14-1)*100))</f>
        <v/>
      </c>
      <c r="L1292" s="11">
        <f>IF(I1292="","",IF($G$15=1,50,(_xlfn.RANK.AVG(I1292,$I$19:$I$1518,1)-1)/($G$15-1)*100))</f>
        <v/>
      </c>
      <c r="M1292" s="11">
        <f>IF(COUNT(J1292:L1292)=3,ROUND(AVERAGE(J1292:L1292),6),"")</f>
        <v/>
      </c>
      <c r="O1292">
        <f>IF(AND(ISNUMBER('자료_미국심리'!$A1276),ISNUMBER('자료_미국심리'!$B1276)),'자료_미국심리'!$A1276,"")</f>
        <v/>
      </c>
      <c r="P1292">
        <f>IF(AND(ISNUMBER('자료_미국심리'!$D1276),ISNUMBER('자료_미국심리'!$E1276)),'자료_미국심리'!$D1276,"")</f>
        <v/>
      </c>
      <c r="Q1292">
        <f>IF(AND(ISNUMBER('자료_미국심리'!$G1276),ISNUMBER('자료_미국심리'!$H1276)),'자료_미국심리'!$G1276,"")</f>
        <v/>
      </c>
    </row>
    <row r="1293">
      <c r="A1293" s="10">
        <f>IF(1275&gt;$E$5,"",SMALL($O$19:$O$4018,$E$6+1275))</f>
        <v/>
      </c>
      <c r="B1293" s="29">
        <f>IF(A1293="","",INDEX('자료_미국심리'!$B$3:$B$4002,MATCH(A1293,$O$19:$O$4018,0)))</f>
        <v/>
      </c>
      <c r="C1293" s="22">
        <f>IF(A1293="","",B1293/AVERAGE(B1169:B1293)-1)</f>
        <v/>
      </c>
      <c r="D1293" s="29">
        <f>IF(A1293="","",IFERROR(INDEX('자료_미국심리'!$E$3:$E$4002,MATCH(A1293,$P$19:$P$4018,0)),D1292))</f>
        <v/>
      </c>
      <c r="E1293" s="29">
        <f>IF(A1293="","",IFERROR(INDEX('자료_미국심리'!$H$3:$H$4002,MATCH(A1293,$Q$19:$Q$4018,0)),E1292))</f>
        <v/>
      </c>
      <c r="F1293">
        <f>IF(A1293="",0,IF(A1293&gt;$B$5,1,0))</f>
        <v/>
      </c>
      <c r="G1293" s="29">
        <f>IF(AND(F1293=1,ISNUMBER(D1293)),D1293,"")</f>
        <v/>
      </c>
      <c r="H1293" s="29">
        <f>IF(AND(F1293=1,ISNUMBER(E1293)),E1293,"")</f>
        <v/>
      </c>
      <c r="I1293" s="22">
        <f>IF(AND(F1293=1,ISNUMBER(C1293)),C1293,"")</f>
        <v/>
      </c>
      <c r="J1293" s="11">
        <f>IF(G1293="","",100-IF($G$13=1,50,(_xlfn.RANK.AVG(G1293,$G$19:$G$1518,1)-1)/($G$13-1)*100))</f>
        <v/>
      </c>
      <c r="K1293" s="11">
        <f>IF(H1293="","",100-IF($G$14=1,50,(_xlfn.RANK.AVG(H1293,$H$19:$H$1518,1)-1)/($G$14-1)*100))</f>
        <v/>
      </c>
      <c r="L1293" s="11">
        <f>IF(I1293="","",IF($G$15=1,50,(_xlfn.RANK.AVG(I1293,$I$19:$I$1518,1)-1)/($G$15-1)*100))</f>
        <v/>
      </c>
      <c r="M1293" s="11">
        <f>IF(COUNT(J1293:L1293)=3,ROUND(AVERAGE(J1293:L1293),6),"")</f>
        <v/>
      </c>
      <c r="O1293">
        <f>IF(AND(ISNUMBER('자료_미국심리'!$A1277),ISNUMBER('자료_미국심리'!$B1277)),'자료_미국심리'!$A1277,"")</f>
        <v/>
      </c>
      <c r="P1293">
        <f>IF(AND(ISNUMBER('자료_미국심리'!$D1277),ISNUMBER('자료_미국심리'!$E1277)),'자료_미국심리'!$D1277,"")</f>
        <v/>
      </c>
      <c r="Q1293">
        <f>IF(AND(ISNUMBER('자료_미국심리'!$G1277),ISNUMBER('자료_미국심리'!$H1277)),'자료_미국심리'!$G1277,"")</f>
        <v/>
      </c>
    </row>
    <row r="1294">
      <c r="A1294" s="10">
        <f>IF(1276&gt;$E$5,"",SMALL($O$19:$O$4018,$E$6+1276))</f>
        <v/>
      </c>
      <c r="B1294" s="29">
        <f>IF(A1294="","",INDEX('자료_미국심리'!$B$3:$B$4002,MATCH(A1294,$O$19:$O$4018,0)))</f>
        <v/>
      </c>
      <c r="C1294" s="22">
        <f>IF(A1294="","",B1294/AVERAGE(B1170:B1294)-1)</f>
        <v/>
      </c>
      <c r="D1294" s="29">
        <f>IF(A1294="","",IFERROR(INDEX('자료_미국심리'!$E$3:$E$4002,MATCH(A1294,$P$19:$P$4018,0)),D1293))</f>
        <v/>
      </c>
      <c r="E1294" s="29">
        <f>IF(A1294="","",IFERROR(INDEX('자료_미국심리'!$H$3:$H$4002,MATCH(A1294,$Q$19:$Q$4018,0)),E1293))</f>
        <v/>
      </c>
      <c r="F1294">
        <f>IF(A1294="",0,IF(A1294&gt;$B$5,1,0))</f>
        <v/>
      </c>
      <c r="G1294" s="29">
        <f>IF(AND(F1294=1,ISNUMBER(D1294)),D1294,"")</f>
        <v/>
      </c>
      <c r="H1294" s="29">
        <f>IF(AND(F1294=1,ISNUMBER(E1294)),E1294,"")</f>
        <v/>
      </c>
      <c r="I1294" s="22">
        <f>IF(AND(F1294=1,ISNUMBER(C1294)),C1294,"")</f>
        <v/>
      </c>
      <c r="J1294" s="11">
        <f>IF(G1294="","",100-IF($G$13=1,50,(_xlfn.RANK.AVG(G1294,$G$19:$G$1518,1)-1)/($G$13-1)*100))</f>
        <v/>
      </c>
      <c r="K1294" s="11">
        <f>IF(H1294="","",100-IF($G$14=1,50,(_xlfn.RANK.AVG(H1294,$H$19:$H$1518,1)-1)/($G$14-1)*100))</f>
        <v/>
      </c>
      <c r="L1294" s="11">
        <f>IF(I1294="","",IF($G$15=1,50,(_xlfn.RANK.AVG(I1294,$I$19:$I$1518,1)-1)/($G$15-1)*100))</f>
        <v/>
      </c>
      <c r="M1294" s="11">
        <f>IF(COUNT(J1294:L1294)=3,ROUND(AVERAGE(J1294:L1294),6),"")</f>
        <v/>
      </c>
      <c r="O1294">
        <f>IF(AND(ISNUMBER('자료_미국심리'!$A1278),ISNUMBER('자료_미국심리'!$B1278)),'자료_미국심리'!$A1278,"")</f>
        <v/>
      </c>
      <c r="P1294">
        <f>IF(AND(ISNUMBER('자료_미국심리'!$D1278),ISNUMBER('자료_미국심리'!$E1278)),'자료_미국심리'!$D1278,"")</f>
        <v/>
      </c>
      <c r="Q1294">
        <f>IF(AND(ISNUMBER('자료_미국심리'!$G1278),ISNUMBER('자료_미국심리'!$H1278)),'자료_미국심리'!$G1278,"")</f>
        <v/>
      </c>
    </row>
    <row r="1295">
      <c r="A1295" s="10">
        <f>IF(1277&gt;$E$5,"",SMALL($O$19:$O$4018,$E$6+1277))</f>
        <v/>
      </c>
      <c r="B1295" s="29">
        <f>IF(A1295="","",INDEX('자료_미국심리'!$B$3:$B$4002,MATCH(A1295,$O$19:$O$4018,0)))</f>
        <v/>
      </c>
      <c r="C1295" s="22">
        <f>IF(A1295="","",B1295/AVERAGE(B1171:B1295)-1)</f>
        <v/>
      </c>
      <c r="D1295" s="29">
        <f>IF(A1295="","",IFERROR(INDEX('자료_미국심리'!$E$3:$E$4002,MATCH(A1295,$P$19:$P$4018,0)),D1294))</f>
        <v/>
      </c>
      <c r="E1295" s="29">
        <f>IF(A1295="","",IFERROR(INDEX('자료_미국심리'!$H$3:$H$4002,MATCH(A1295,$Q$19:$Q$4018,0)),E1294))</f>
        <v/>
      </c>
      <c r="F1295">
        <f>IF(A1295="",0,IF(A1295&gt;$B$5,1,0))</f>
        <v/>
      </c>
      <c r="G1295" s="29">
        <f>IF(AND(F1295=1,ISNUMBER(D1295)),D1295,"")</f>
        <v/>
      </c>
      <c r="H1295" s="29">
        <f>IF(AND(F1295=1,ISNUMBER(E1295)),E1295,"")</f>
        <v/>
      </c>
      <c r="I1295" s="22">
        <f>IF(AND(F1295=1,ISNUMBER(C1295)),C1295,"")</f>
        <v/>
      </c>
      <c r="J1295" s="11">
        <f>IF(G1295="","",100-IF($G$13=1,50,(_xlfn.RANK.AVG(G1295,$G$19:$G$1518,1)-1)/($G$13-1)*100))</f>
        <v/>
      </c>
      <c r="K1295" s="11">
        <f>IF(H1295="","",100-IF($G$14=1,50,(_xlfn.RANK.AVG(H1295,$H$19:$H$1518,1)-1)/($G$14-1)*100))</f>
        <v/>
      </c>
      <c r="L1295" s="11">
        <f>IF(I1295="","",IF($G$15=1,50,(_xlfn.RANK.AVG(I1295,$I$19:$I$1518,1)-1)/($G$15-1)*100))</f>
        <v/>
      </c>
      <c r="M1295" s="11">
        <f>IF(COUNT(J1295:L1295)=3,ROUND(AVERAGE(J1295:L1295),6),"")</f>
        <v/>
      </c>
      <c r="O1295">
        <f>IF(AND(ISNUMBER('자료_미국심리'!$A1279),ISNUMBER('자료_미국심리'!$B1279)),'자료_미국심리'!$A1279,"")</f>
        <v/>
      </c>
      <c r="P1295">
        <f>IF(AND(ISNUMBER('자료_미국심리'!$D1279),ISNUMBER('자료_미국심리'!$E1279)),'자료_미국심리'!$D1279,"")</f>
        <v/>
      </c>
      <c r="Q1295">
        <f>IF(AND(ISNUMBER('자료_미국심리'!$G1279),ISNUMBER('자료_미국심리'!$H1279)),'자료_미국심리'!$G1279,"")</f>
        <v/>
      </c>
    </row>
    <row r="1296">
      <c r="A1296" s="10">
        <f>IF(1278&gt;$E$5,"",SMALL($O$19:$O$4018,$E$6+1278))</f>
        <v/>
      </c>
      <c r="B1296" s="29">
        <f>IF(A1296="","",INDEX('자료_미국심리'!$B$3:$B$4002,MATCH(A1296,$O$19:$O$4018,0)))</f>
        <v/>
      </c>
      <c r="C1296" s="22">
        <f>IF(A1296="","",B1296/AVERAGE(B1172:B1296)-1)</f>
        <v/>
      </c>
      <c r="D1296" s="29">
        <f>IF(A1296="","",IFERROR(INDEX('자료_미국심리'!$E$3:$E$4002,MATCH(A1296,$P$19:$P$4018,0)),D1295))</f>
        <v/>
      </c>
      <c r="E1296" s="29">
        <f>IF(A1296="","",IFERROR(INDEX('자료_미국심리'!$H$3:$H$4002,MATCH(A1296,$Q$19:$Q$4018,0)),E1295))</f>
        <v/>
      </c>
      <c r="F1296">
        <f>IF(A1296="",0,IF(A1296&gt;$B$5,1,0))</f>
        <v/>
      </c>
      <c r="G1296" s="29">
        <f>IF(AND(F1296=1,ISNUMBER(D1296)),D1296,"")</f>
        <v/>
      </c>
      <c r="H1296" s="29">
        <f>IF(AND(F1296=1,ISNUMBER(E1296)),E1296,"")</f>
        <v/>
      </c>
      <c r="I1296" s="22">
        <f>IF(AND(F1296=1,ISNUMBER(C1296)),C1296,"")</f>
        <v/>
      </c>
      <c r="J1296" s="11">
        <f>IF(G1296="","",100-IF($G$13=1,50,(_xlfn.RANK.AVG(G1296,$G$19:$G$1518,1)-1)/($G$13-1)*100))</f>
        <v/>
      </c>
      <c r="K1296" s="11">
        <f>IF(H1296="","",100-IF($G$14=1,50,(_xlfn.RANK.AVG(H1296,$H$19:$H$1518,1)-1)/($G$14-1)*100))</f>
        <v/>
      </c>
      <c r="L1296" s="11">
        <f>IF(I1296="","",IF($G$15=1,50,(_xlfn.RANK.AVG(I1296,$I$19:$I$1518,1)-1)/($G$15-1)*100))</f>
        <v/>
      </c>
      <c r="M1296" s="11">
        <f>IF(COUNT(J1296:L1296)=3,ROUND(AVERAGE(J1296:L1296),6),"")</f>
        <v/>
      </c>
      <c r="O1296">
        <f>IF(AND(ISNUMBER('자료_미국심리'!$A1280),ISNUMBER('자료_미국심리'!$B1280)),'자료_미국심리'!$A1280,"")</f>
        <v/>
      </c>
      <c r="P1296">
        <f>IF(AND(ISNUMBER('자료_미국심리'!$D1280),ISNUMBER('자료_미국심리'!$E1280)),'자료_미국심리'!$D1280,"")</f>
        <v/>
      </c>
      <c r="Q1296">
        <f>IF(AND(ISNUMBER('자료_미국심리'!$G1280),ISNUMBER('자료_미국심리'!$H1280)),'자료_미국심리'!$G1280,"")</f>
        <v/>
      </c>
    </row>
    <row r="1297">
      <c r="A1297" s="10">
        <f>IF(1279&gt;$E$5,"",SMALL($O$19:$O$4018,$E$6+1279))</f>
        <v/>
      </c>
      <c r="B1297" s="29">
        <f>IF(A1297="","",INDEX('자료_미국심리'!$B$3:$B$4002,MATCH(A1297,$O$19:$O$4018,0)))</f>
        <v/>
      </c>
      <c r="C1297" s="22">
        <f>IF(A1297="","",B1297/AVERAGE(B1173:B1297)-1)</f>
        <v/>
      </c>
      <c r="D1297" s="29">
        <f>IF(A1297="","",IFERROR(INDEX('자료_미국심리'!$E$3:$E$4002,MATCH(A1297,$P$19:$P$4018,0)),D1296))</f>
        <v/>
      </c>
      <c r="E1297" s="29">
        <f>IF(A1297="","",IFERROR(INDEX('자료_미국심리'!$H$3:$H$4002,MATCH(A1297,$Q$19:$Q$4018,0)),E1296))</f>
        <v/>
      </c>
      <c r="F1297">
        <f>IF(A1297="",0,IF(A1297&gt;$B$5,1,0))</f>
        <v/>
      </c>
      <c r="G1297" s="29">
        <f>IF(AND(F1297=1,ISNUMBER(D1297)),D1297,"")</f>
        <v/>
      </c>
      <c r="H1297" s="29">
        <f>IF(AND(F1297=1,ISNUMBER(E1297)),E1297,"")</f>
        <v/>
      </c>
      <c r="I1297" s="22">
        <f>IF(AND(F1297=1,ISNUMBER(C1297)),C1297,"")</f>
        <v/>
      </c>
      <c r="J1297" s="11">
        <f>IF(G1297="","",100-IF($G$13=1,50,(_xlfn.RANK.AVG(G1297,$G$19:$G$1518,1)-1)/($G$13-1)*100))</f>
        <v/>
      </c>
      <c r="K1297" s="11">
        <f>IF(H1297="","",100-IF($G$14=1,50,(_xlfn.RANK.AVG(H1297,$H$19:$H$1518,1)-1)/($G$14-1)*100))</f>
        <v/>
      </c>
      <c r="L1297" s="11">
        <f>IF(I1297="","",IF($G$15=1,50,(_xlfn.RANK.AVG(I1297,$I$19:$I$1518,1)-1)/($G$15-1)*100))</f>
        <v/>
      </c>
      <c r="M1297" s="11">
        <f>IF(COUNT(J1297:L1297)=3,ROUND(AVERAGE(J1297:L1297),6),"")</f>
        <v/>
      </c>
      <c r="O1297">
        <f>IF(AND(ISNUMBER('자료_미국심리'!$A1281),ISNUMBER('자료_미국심리'!$B1281)),'자료_미국심리'!$A1281,"")</f>
        <v/>
      </c>
      <c r="P1297">
        <f>IF(AND(ISNUMBER('자료_미국심리'!$D1281),ISNUMBER('자료_미국심리'!$E1281)),'자료_미국심리'!$D1281,"")</f>
        <v/>
      </c>
      <c r="Q1297">
        <f>IF(AND(ISNUMBER('자료_미국심리'!$G1281),ISNUMBER('자료_미국심리'!$H1281)),'자료_미국심리'!$G1281,"")</f>
        <v/>
      </c>
    </row>
    <row r="1298">
      <c r="A1298" s="10">
        <f>IF(1280&gt;$E$5,"",SMALL($O$19:$O$4018,$E$6+1280))</f>
        <v/>
      </c>
      <c r="B1298" s="29">
        <f>IF(A1298="","",INDEX('자료_미국심리'!$B$3:$B$4002,MATCH(A1298,$O$19:$O$4018,0)))</f>
        <v/>
      </c>
      <c r="C1298" s="22">
        <f>IF(A1298="","",B1298/AVERAGE(B1174:B1298)-1)</f>
        <v/>
      </c>
      <c r="D1298" s="29">
        <f>IF(A1298="","",IFERROR(INDEX('자료_미국심리'!$E$3:$E$4002,MATCH(A1298,$P$19:$P$4018,0)),D1297))</f>
        <v/>
      </c>
      <c r="E1298" s="29">
        <f>IF(A1298="","",IFERROR(INDEX('자료_미국심리'!$H$3:$H$4002,MATCH(A1298,$Q$19:$Q$4018,0)),E1297))</f>
        <v/>
      </c>
      <c r="F1298">
        <f>IF(A1298="",0,IF(A1298&gt;$B$5,1,0))</f>
        <v/>
      </c>
      <c r="G1298" s="29">
        <f>IF(AND(F1298=1,ISNUMBER(D1298)),D1298,"")</f>
        <v/>
      </c>
      <c r="H1298" s="29">
        <f>IF(AND(F1298=1,ISNUMBER(E1298)),E1298,"")</f>
        <v/>
      </c>
      <c r="I1298" s="22">
        <f>IF(AND(F1298=1,ISNUMBER(C1298)),C1298,"")</f>
        <v/>
      </c>
      <c r="J1298" s="11">
        <f>IF(G1298="","",100-IF($G$13=1,50,(_xlfn.RANK.AVG(G1298,$G$19:$G$1518,1)-1)/($G$13-1)*100))</f>
        <v/>
      </c>
      <c r="K1298" s="11">
        <f>IF(H1298="","",100-IF($G$14=1,50,(_xlfn.RANK.AVG(H1298,$H$19:$H$1518,1)-1)/($G$14-1)*100))</f>
        <v/>
      </c>
      <c r="L1298" s="11">
        <f>IF(I1298="","",IF($G$15=1,50,(_xlfn.RANK.AVG(I1298,$I$19:$I$1518,1)-1)/($G$15-1)*100))</f>
        <v/>
      </c>
      <c r="M1298" s="11">
        <f>IF(COUNT(J1298:L1298)=3,ROUND(AVERAGE(J1298:L1298),6),"")</f>
        <v/>
      </c>
      <c r="O1298">
        <f>IF(AND(ISNUMBER('자료_미국심리'!$A1282),ISNUMBER('자료_미국심리'!$B1282)),'자료_미국심리'!$A1282,"")</f>
        <v/>
      </c>
      <c r="P1298">
        <f>IF(AND(ISNUMBER('자료_미국심리'!$D1282),ISNUMBER('자료_미국심리'!$E1282)),'자료_미국심리'!$D1282,"")</f>
        <v/>
      </c>
      <c r="Q1298">
        <f>IF(AND(ISNUMBER('자료_미국심리'!$G1282),ISNUMBER('자료_미국심리'!$H1282)),'자료_미국심리'!$G1282,"")</f>
        <v/>
      </c>
    </row>
    <row r="1299">
      <c r="A1299" s="10">
        <f>IF(1281&gt;$E$5,"",SMALL($O$19:$O$4018,$E$6+1281))</f>
        <v/>
      </c>
      <c r="B1299" s="29">
        <f>IF(A1299="","",INDEX('자료_미국심리'!$B$3:$B$4002,MATCH(A1299,$O$19:$O$4018,0)))</f>
        <v/>
      </c>
      <c r="C1299" s="22">
        <f>IF(A1299="","",B1299/AVERAGE(B1175:B1299)-1)</f>
        <v/>
      </c>
      <c r="D1299" s="29">
        <f>IF(A1299="","",IFERROR(INDEX('자료_미국심리'!$E$3:$E$4002,MATCH(A1299,$P$19:$P$4018,0)),D1298))</f>
        <v/>
      </c>
      <c r="E1299" s="29">
        <f>IF(A1299="","",IFERROR(INDEX('자료_미국심리'!$H$3:$H$4002,MATCH(A1299,$Q$19:$Q$4018,0)),E1298))</f>
        <v/>
      </c>
      <c r="F1299">
        <f>IF(A1299="",0,IF(A1299&gt;$B$5,1,0))</f>
        <v/>
      </c>
      <c r="G1299" s="29">
        <f>IF(AND(F1299=1,ISNUMBER(D1299)),D1299,"")</f>
        <v/>
      </c>
      <c r="H1299" s="29">
        <f>IF(AND(F1299=1,ISNUMBER(E1299)),E1299,"")</f>
        <v/>
      </c>
      <c r="I1299" s="22">
        <f>IF(AND(F1299=1,ISNUMBER(C1299)),C1299,"")</f>
        <v/>
      </c>
      <c r="J1299" s="11">
        <f>IF(G1299="","",100-IF($G$13=1,50,(_xlfn.RANK.AVG(G1299,$G$19:$G$1518,1)-1)/($G$13-1)*100))</f>
        <v/>
      </c>
      <c r="K1299" s="11">
        <f>IF(H1299="","",100-IF($G$14=1,50,(_xlfn.RANK.AVG(H1299,$H$19:$H$1518,1)-1)/($G$14-1)*100))</f>
        <v/>
      </c>
      <c r="L1299" s="11">
        <f>IF(I1299="","",IF($G$15=1,50,(_xlfn.RANK.AVG(I1299,$I$19:$I$1518,1)-1)/($G$15-1)*100))</f>
        <v/>
      </c>
      <c r="M1299" s="11">
        <f>IF(COUNT(J1299:L1299)=3,ROUND(AVERAGE(J1299:L1299),6),"")</f>
        <v/>
      </c>
      <c r="O1299">
        <f>IF(AND(ISNUMBER('자료_미국심리'!$A1283),ISNUMBER('자료_미국심리'!$B1283)),'자료_미국심리'!$A1283,"")</f>
        <v/>
      </c>
      <c r="P1299">
        <f>IF(AND(ISNUMBER('자료_미국심리'!$D1283),ISNUMBER('자료_미국심리'!$E1283)),'자료_미국심리'!$D1283,"")</f>
        <v/>
      </c>
      <c r="Q1299">
        <f>IF(AND(ISNUMBER('자료_미국심리'!$G1283),ISNUMBER('자료_미국심리'!$H1283)),'자료_미국심리'!$G1283,"")</f>
        <v/>
      </c>
    </row>
    <row r="1300">
      <c r="A1300" s="10">
        <f>IF(1282&gt;$E$5,"",SMALL($O$19:$O$4018,$E$6+1282))</f>
        <v/>
      </c>
      <c r="B1300" s="29">
        <f>IF(A1300="","",INDEX('자료_미국심리'!$B$3:$B$4002,MATCH(A1300,$O$19:$O$4018,0)))</f>
        <v/>
      </c>
      <c r="C1300" s="22">
        <f>IF(A1300="","",B1300/AVERAGE(B1176:B1300)-1)</f>
        <v/>
      </c>
      <c r="D1300" s="29">
        <f>IF(A1300="","",IFERROR(INDEX('자료_미국심리'!$E$3:$E$4002,MATCH(A1300,$P$19:$P$4018,0)),D1299))</f>
        <v/>
      </c>
      <c r="E1300" s="29">
        <f>IF(A1300="","",IFERROR(INDEX('자료_미국심리'!$H$3:$H$4002,MATCH(A1300,$Q$19:$Q$4018,0)),E1299))</f>
        <v/>
      </c>
      <c r="F1300">
        <f>IF(A1300="",0,IF(A1300&gt;$B$5,1,0))</f>
        <v/>
      </c>
      <c r="G1300" s="29">
        <f>IF(AND(F1300=1,ISNUMBER(D1300)),D1300,"")</f>
        <v/>
      </c>
      <c r="H1300" s="29">
        <f>IF(AND(F1300=1,ISNUMBER(E1300)),E1300,"")</f>
        <v/>
      </c>
      <c r="I1300" s="22">
        <f>IF(AND(F1300=1,ISNUMBER(C1300)),C1300,"")</f>
        <v/>
      </c>
      <c r="J1300" s="11">
        <f>IF(G1300="","",100-IF($G$13=1,50,(_xlfn.RANK.AVG(G1300,$G$19:$G$1518,1)-1)/($G$13-1)*100))</f>
        <v/>
      </c>
      <c r="K1300" s="11">
        <f>IF(H1300="","",100-IF($G$14=1,50,(_xlfn.RANK.AVG(H1300,$H$19:$H$1518,1)-1)/($G$14-1)*100))</f>
        <v/>
      </c>
      <c r="L1300" s="11">
        <f>IF(I1300="","",IF($G$15=1,50,(_xlfn.RANK.AVG(I1300,$I$19:$I$1518,1)-1)/($G$15-1)*100))</f>
        <v/>
      </c>
      <c r="M1300" s="11">
        <f>IF(COUNT(J1300:L1300)=3,ROUND(AVERAGE(J1300:L1300),6),"")</f>
        <v/>
      </c>
      <c r="O1300">
        <f>IF(AND(ISNUMBER('자료_미국심리'!$A1284),ISNUMBER('자료_미국심리'!$B1284)),'자료_미국심리'!$A1284,"")</f>
        <v/>
      </c>
      <c r="P1300">
        <f>IF(AND(ISNUMBER('자료_미국심리'!$D1284),ISNUMBER('자료_미국심리'!$E1284)),'자료_미국심리'!$D1284,"")</f>
        <v/>
      </c>
      <c r="Q1300">
        <f>IF(AND(ISNUMBER('자료_미국심리'!$G1284),ISNUMBER('자료_미국심리'!$H1284)),'자료_미국심리'!$G1284,"")</f>
        <v/>
      </c>
    </row>
    <row r="1301">
      <c r="A1301" s="10">
        <f>IF(1283&gt;$E$5,"",SMALL($O$19:$O$4018,$E$6+1283))</f>
        <v/>
      </c>
      <c r="B1301" s="29">
        <f>IF(A1301="","",INDEX('자료_미국심리'!$B$3:$B$4002,MATCH(A1301,$O$19:$O$4018,0)))</f>
        <v/>
      </c>
      <c r="C1301" s="22">
        <f>IF(A1301="","",B1301/AVERAGE(B1177:B1301)-1)</f>
        <v/>
      </c>
      <c r="D1301" s="29">
        <f>IF(A1301="","",IFERROR(INDEX('자료_미국심리'!$E$3:$E$4002,MATCH(A1301,$P$19:$P$4018,0)),D1300))</f>
        <v/>
      </c>
      <c r="E1301" s="29">
        <f>IF(A1301="","",IFERROR(INDEX('자료_미국심리'!$H$3:$H$4002,MATCH(A1301,$Q$19:$Q$4018,0)),E1300))</f>
        <v/>
      </c>
      <c r="F1301">
        <f>IF(A1301="",0,IF(A1301&gt;$B$5,1,0))</f>
        <v/>
      </c>
      <c r="G1301" s="29">
        <f>IF(AND(F1301=1,ISNUMBER(D1301)),D1301,"")</f>
        <v/>
      </c>
      <c r="H1301" s="29">
        <f>IF(AND(F1301=1,ISNUMBER(E1301)),E1301,"")</f>
        <v/>
      </c>
      <c r="I1301" s="22">
        <f>IF(AND(F1301=1,ISNUMBER(C1301)),C1301,"")</f>
        <v/>
      </c>
      <c r="J1301" s="11">
        <f>IF(G1301="","",100-IF($G$13=1,50,(_xlfn.RANK.AVG(G1301,$G$19:$G$1518,1)-1)/($G$13-1)*100))</f>
        <v/>
      </c>
      <c r="K1301" s="11">
        <f>IF(H1301="","",100-IF($G$14=1,50,(_xlfn.RANK.AVG(H1301,$H$19:$H$1518,1)-1)/($G$14-1)*100))</f>
        <v/>
      </c>
      <c r="L1301" s="11">
        <f>IF(I1301="","",IF($G$15=1,50,(_xlfn.RANK.AVG(I1301,$I$19:$I$1518,1)-1)/($G$15-1)*100))</f>
        <v/>
      </c>
      <c r="M1301" s="11">
        <f>IF(COUNT(J1301:L1301)=3,ROUND(AVERAGE(J1301:L1301),6),"")</f>
        <v/>
      </c>
      <c r="O1301">
        <f>IF(AND(ISNUMBER('자료_미국심리'!$A1285),ISNUMBER('자료_미국심리'!$B1285)),'자료_미국심리'!$A1285,"")</f>
        <v/>
      </c>
      <c r="P1301">
        <f>IF(AND(ISNUMBER('자료_미국심리'!$D1285),ISNUMBER('자료_미국심리'!$E1285)),'자료_미국심리'!$D1285,"")</f>
        <v/>
      </c>
      <c r="Q1301">
        <f>IF(AND(ISNUMBER('자료_미국심리'!$G1285),ISNUMBER('자료_미국심리'!$H1285)),'자료_미국심리'!$G1285,"")</f>
        <v/>
      </c>
    </row>
    <row r="1302">
      <c r="A1302" s="10">
        <f>IF(1284&gt;$E$5,"",SMALL($O$19:$O$4018,$E$6+1284))</f>
        <v/>
      </c>
      <c r="B1302" s="29">
        <f>IF(A1302="","",INDEX('자료_미국심리'!$B$3:$B$4002,MATCH(A1302,$O$19:$O$4018,0)))</f>
        <v/>
      </c>
      <c r="C1302" s="22">
        <f>IF(A1302="","",B1302/AVERAGE(B1178:B1302)-1)</f>
        <v/>
      </c>
      <c r="D1302" s="29">
        <f>IF(A1302="","",IFERROR(INDEX('자료_미국심리'!$E$3:$E$4002,MATCH(A1302,$P$19:$P$4018,0)),D1301))</f>
        <v/>
      </c>
      <c r="E1302" s="29">
        <f>IF(A1302="","",IFERROR(INDEX('자료_미국심리'!$H$3:$H$4002,MATCH(A1302,$Q$19:$Q$4018,0)),E1301))</f>
        <v/>
      </c>
      <c r="F1302">
        <f>IF(A1302="",0,IF(A1302&gt;$B$5,1,0))</f>
        <v/>
      </c>
      <c r="G1302" s="29">
        <f>IF(AND(F1302=1,ISNUMBER(D1302)),D1302,"")</f>
        <v/>
      </c>
      <c r="H1302" s="29">
        <f>IF(AND(F1302=1,ISNUMBER(E1302)),E1302,"")</f>
        <v/>
      </c>
      <c r="I1302" s="22">
        <f>IF(AND(F1302=1,ISNUMBER(C1302)),C1302,"")</f>
        <v/>
      </c>
      <c r="J1302" s="11">
        <f>IF(G1302="","",100-IF($G$13=1,50,(_xlfn.RANK.AVG(G1302,$G$19:$G$1518,1)-1)/($G$13-1)*100))</f>
        <v/>
      </c>
      <c r="K1302" s="11">
        <f>IF(H1302="","",100-IF($G$14=1,50,(_xlfn.RANK.AVG(H1302,$H$19:$H$1518,1)-1)/($G$14-1)*100))</f>
        <v/>
      </c>
      <c r="L1302" s="11">
        <f>IF(I1302="","",IF($G$15=1,50,(_xlfn.RANK.AVG(I1302,$I$19:$I$1518,1)-1)/($G$15-1)*100))</f>
        <v/>
      </c>
      <c r="M1302" s="11">
        <f>IF(COUNT(J1302:L1302)=3,ROUND(AVERAGE(J1302:L1302),6),"")</f>
        <v/>
      </c>
      <c r="O1302">
        <f>IF(AND(ISNUMBER('자료_미국심리'!$A1286),ISNUMBER('자료_미국심리'!$B1286)),'자료_미국심리'!$A1286,"")</f>
        <v/>
      </c>
      <c r="P1302">
        <f>IF(AND(ISNUMBER('자료_미국심리'!$D1286),ISNUMBER('자료_미국심리'!$E1286)),'자료_미국심리'!$D1286,"")</f>
        <v/>
      </c>
      <c r="Q1302">
        <f>IF(AND(ISNUMBER('자료_미국심리'!$G1286),ISNUMBER('자료_미국심리'!$H1286)),'자료_미국심리'!$G1286,"")</f>
        <v/>
      </c>
    </row>
    <row r="1303">
      <c r="A1303" s="10">
        <f>IF(1285&gt;$E$5,"",SMALL($O$19:$O$4018,$E$6+1285))</f>
        <v/>
      </c>
      <c r="B1303" s="29">
        <f>IF(A1303="","",INDEX('자료_미국심리'!$B$3:$B$4002,MATCH(A1303,$O$19:$O$4018,0)))</f>
        <v/>
      </c>
      <c r="C1303" s="22">
        <f>IF(A1303="","",B1303/AVERAGE(B1179:B1303)-1)</f>
        <v/>
      </c>
      <c r="D1303" s="29">
        <f>IF(A1303="","",IFERROR(INDEX('자료_미국심리'!$E$3:$E$4002,MATCH(A1303,$P$19:$P$4018,0)),D1302))</f>
        <v/>
      </c>
      <c r="E1303" s="29">
        <f>IF(A1303="","",IFERROR(INDEX('자료_미국심리'!$H$3:$H$4002,MATCH(A1303,$Q$19:$Q$4018,0)),E1302))</f>
        <v/>
      </c>
      <c r="F1303">
        <f>IF(A1303="",0,IF(A1303&gt;$B$5,1,0))</f>
        <v/>
      </c>
      <c r="G1303" s="29">
        <f>IF(AND(F1303=1,ISNUMBER(D1303)),D1303,"")</f>
        <v/>
      </c>
      <c r="H1303" s="29">
        <f>IF(AND(F1303=1,ISNUMBER(E1303)),E1303,"")</f>
        <v/>
      </c>
      <c r="I1303" s="22">
        <f>IF(AND(F1303=1,ISNUMBER(C1303)),C1303,"")</f>
        <v/>
      </c>
      <c r="J1303" s="11">
        <f>IF(G1303="","",100-IF($G$13=1,50,(_xlfn.RANK.AVG(G1303,$G$19:$G$1518,1)-1)/($G$13-1)*100))</f>
        <v/>
      </c>
      <c r="K1303" s="11">
        <f>IF(H1303="","",100-IF($G$14=1,50,(_xlfn.RANK.AVG(H1303,$H$19:$H$1518,1)-1)/($G$14-1)*100))</f>
        <v/>
      </c>
      <c r="L1303" s="11">
        <f>IF(I1303="","",IF($G$15=1,50,(_xlfn.RANK.AVG(I1303,$I$19:$I$1518,1)-1)/($G$15-1)*100))</f>
        <v/>
      </c>
      <c r="M1303" s="11">
        <f>IF(COUNT(J1303:L1303)=3,ROUND(AVERAGE(J1303:L1303),6),"")</f>
        <v/>
      </c>
      <c r="O1303">
        <f>IF(AND(ISNUMBER('자료_미국심리'!$A1287),ISNUMBER('자료_미국심리'!$B1287)),'자료_미국심리'!$A1287,"")</f>
        <v/>
      </c>
      <c r="P1303">
        <f>IF(AND(ISNUMBER('자료_미국심리'!$D1287),ISNUMBER('자료_미국심리'!$E1287)),'자료_미국심리'!$D1287,"")</f>
        <v/>
      </c>
      <c r="Q1303">
        <f>IF(AND(ISNUMBER('자료_미국심리'!$G1287),ISNUMBER('자료_미국심리'!$H1287)),'자료_미국심리'!$G1287,"")</f>
        <v/>
      </c>
    </row>
    <row r="1304">
      <c r="A1304" s="10">
        <f>IF(1286&gt;$E$5,"",SMALL($O$19:$O$4018,$E$6+1286))</f>
        <v/>
      </c>
      <c r="B1304" s="29">
        <f>IF(A1304="","",INDEX('자료_미국심리'!$B$3:$B$4002,MATCH(A1304,$O$19:$O$4018,0)))</f>
        <v/>
      </c>
      <c r="C1304" s="22">
        <f>IF(A1304="","",B1304/AVERAGE(B1180:B1304)-1)</f>
        <v/>
      </c>
      <c r="D1304" s="29">
        <f>IF(A1304="","",IFERROR(INDEX('자료_미국심리'!$E$3:$E$4002,MATCH(A1304,$P$19:$P$4018,0)),D1303))</f>
        <v/>
      </c>
      <c r="E1304" s="29">
        <f>IF(A1304="","",IFERROR(INDEX('자료_미국심리'!$H$3:$H$4002,MATCH(A1304,$Q$19:$Q$4018,0)),E1303))</f>
        <v/>
      </c>
      <c r="F1304">
        <f>IF(A1304="",0,IF(A1304&gt;$B$5,1,0))</f>
        <v/>
      </c>
      <c r="G1304" s="29">
        <f>IF(AND(F1304=1,ISNUMBER(D1304)),D1304,"")</f>
        <v/>
      </c>
      <c r="H1304" s="29">
        <f>IF(AND(F1304=1,ISNUMBER(E1304)),E1304,"")</f>
        <v/>
      </c>
      <c r="I1304" s="22">
        <f>IF(AND(F1304=1,ISNUMBER(C1304)),C1304,"")</f>
        <v/>
      </c>
      <c r="J1304" s="11">
        <f>IF(G1304="","",100-IF($G$13=1,50,(_xlfn.RANK.AVG(G1304,$G$19:$G$1518,1)-1)/($G$13-1)*100))</f>
        <v/>
      </c>
      <c r="K1304" s="11">
        <f>IF(H1304="","",100-IF($G$14=1,50,(_xlfn.RANK.AVG(H1304,$H$19:$H$1518,1)-1)/($G$14-1)*100))</f>
        <v/>
      </c>
      <c r="L1304" s="11">
        <f>IF(I1304="","",IF($G$15=1,50,(_xlfn.RANK.AVG(I1304,$I$19:$I$1518,1)-1)/($G$15-1)*100))</f>
        <v/>
      </c>
      <c r="M1304" s="11">
        <f>IF(COUNT(J1304:L1304)=3,ROUND(AVERAGE(J1304:L1304),6),"")</f>
        <v/>
      </c>
      <c r="O1304">
        <f>IF(AND(ISNUMBER('자료_미국심리'!$A1288),ISNUMBER('자료_미국심리'!$B1288)),'자료_미국심리'!$A1288,"")</f>
        <v/>
      </c>
      <c r="P1304">
        <f>IF(AND(ISNUMBER('자료_미국심리'!$D1288),ISNUMBER('자료_미국심리'!$E1288)),'자료_미국심리'!$D1288,"")</f>
        <v/>
      </c>
      <c r="Q1304">
        <f>IF(AND(ISNUMBER('자료_미국심리'!$G1288),ISNUMBER('자료_미국심리'!$H1288)),'자료_미국심리'!$G1288,"")</f>
        <v/>
      </c>
    </row>
    <row r="1305">
      <c r="A1305" s="10">
        <f>IF(1287&gt;$E$5,"",SMALL($O$19:$O$4018,$E$6+1287))</f>
        <v/>
      </c>
      <c r="B1305" s="29">
        <f>IF(A1305="","",INDEX('자료_미국심리'!$B$3:$B$4002,MATCH(A1305,$O$19:$O$4018,0)))</f>
        <v/>
      </c>
      <c r="C1305" s="22">
        <f>IF(A1305="","",B1305/AVERAGE(B1181:B1305)-1)</f>
        <v/>
      </c>
      <c r="D1305" s="29">
        <f>IF(A1305="","",IFERROR(INDEX('자료_미국심리'!$E$3:$E$4002,MATCH(A1305,$P$19:$P$4018,0)),D1304))</f>
        <v/>
      </c>
      <c r="E1305" s="29">
        <f>IF(A1305="","",IFERROR(INDEX('자료_미국심리'!$H$3:$H$4002,MATCH(A1305,$Q$19:$Q$4018,0)),E1304))</f>
        <v/>
      </c>
      <c r="F1305">
        <f>IF(A1305="",0,IF(A1305&gt;$B$5,1,0))</f>
        <v/>
      </c>
      <c r="G1305" s="29">
        <f>IF(AND(F1305=1,ISNUMBER(D1305)),D1305,"")</f>
        <v/>
      </c>
      <c r="H1305" s="29">
        <f>IF(AND(F1305=1,ISNUMBER(E1305)),E1305,"")</f>
        <v/>
      </c>
      <c r="I1305" s="22">
        <f>IF(AND(F1305=1,ISNUMBER(C1305)),C1305,"")</f>
        <v/>
      </c>
      <c r="J1305" s="11">
        <f>IF(G1305="","",100-IF($G$13=1,50,(_xlfn.RANK.AVG(G1305,$G$19:$G$1518,1)-1)/($G$13-1)*100))</f>
        <v/>
      </c>
      <c r="K1305" s="11">
        <f>IF(H1305="","",100-IF($G$14=1,50,(_xlfn.RANK.AVG(H1305,$H$19:$H$1518,1)-1)/($G$14-1)*100))</f>
        <v/>
      </c>
      <c r="L1305" s="11">
        <f>IF(I1305="","",IF($G$15=1,50,(_xlfn.RANK.AVG(I1305,$I$19:$I$1518,1)-1)/($G$15-1)*100))</f>
        <v/>
      </c>
      <c r="M1305" s="11">
        <f>IF(COUNT(J1305:L1305)=3,ROUND(AVERAGE(J1305:L1305),6),"")</f>
        <v/>
      </c>
      <c r="O1305">
        <f>IF(AND(ISNUMBER('자료_미국심리'!$A1289),ISNUMBER('자료_미국심리'!$B1289)),'자료_미국심리'!$A1289,"")</f>
        <v/>
      </c>
      <c r="P1305">
        <f>IF(AND(ISNUMBER('자료_미국심리'!$D1289),ISNUMBER('자료_미국심리'!$E1289)),'자료_미국심리'!$D1289,"")</f>
        <v/>
      </c>
      <c r="Q1305">
        <f>IF(AND(ISNUMBER('자료_미국심리'!$G1289),ISNUMBER('자료_미국심리'!$H1289)),'자료_미국심리'!$G1289,"")</f>
        <v/>
      </c>
    </row>
    <row r="1306">
      <c r="A1306" s="10">
        <f>IF(1288&gt;$E$5,"",SMALL($O$19:$O$4018,$E$6+1288))</f>
        <v/>
      </c>
      <c r="B1306" s="29">
        <f>IF(A1306="","",INDEX('자료_미국심리'!$B$3:$B$4002,MATCH(A1306,$O$19:$O$4018,0)))</f>
        <v/>
      </c>
      <c r="C1306" s="22">
        <f>IF(A1306="","",B1306/AVERAGE(B1182:B1306)-1)</f>
        <v/>
      </c>
      <c r="D1306" s="29">
        <f>IF(A1306="","",IFERROR(INDEX('자료_미국심리'!$E$3:$E$4002,MATCH(A1306,$P$19:$P$4018,0)),D1305))</f>
        <v/>
      </c>
      <c r="E1306" s="29">
        <f>IF(A1306="","",IFERROR(INDEX('자료_미국심리'!$H$3:$H$4002,MATCH(A1306,$Q$19:$Q$4018,0)),E1305))</f>
        <v/>
      </c>
      <c r="F1306">
        <f>IF(A1306="",0,IF(A1306&gt;$B$5,1,0))</f>
        <v/>
      </c>
      <c r="G1306" s="29">
        <f>IF(AND(F1306=1,ISNUMBER(D1306)),D1306,"")</f>
        <v/>
      </c>
      <c r="H1306" s="29">
        <f>IF(AND(F1306=1,ISNUMBER(E1306)),E1306,"")</f>
        <v/>
      </c>
      <c r="I1306" s="22">
        <f>IF(AND(F1306=1,ISNUMBER(C1306)),C1306,"")</f>
        <v/>
      </c>
      <c r="J1306" s="11">
        <f>IF(G1306="","",100-IF($G$13=1,50,(_xlfn.RANK.AVG(G1306,$G$19:$G$1518,1)-1)/($G$13-1)*100))</f>
        <v/>
      </c>
      <c r="K1306" s="11">
        <f>IF(H1306="","",100-IF($G$14=1,50,(_xlfn.RANK.AVG(H1306,$H$19:$H$1518,1)-1)/($G$14-1)*100))</f>
        <v/>
      </c>
      <c r="L1306" s="11">
        <f>IF(I1306="","",IF($G$15=1,50,(_xlfn.RANK.AVG(I1306,$I$19:$I$1518,1)-1)/($G$15-1)*100))</f>
        <v/>
      </c>
      <c r="M1306" s="11">
        <f>IF(COUNT(J1306:L1306)=3,ROUND(AVERAGE(J1306:L1306),6),"")</f>
        <v/>
      </c>
      <c r="O1306">
        <f>IF(AND(ISNUMBER('자료_미국심리'!$A1290),ISNUMBER('자료_미국심리'!$B1290)),'자료_미국심리'!$A1290,"")</f>
        <v/>
      </c>
      <c r="P1306">
        <f>IF(AND(ISNUMBER('자료_미국심리'!$D1290),ISNUMBER('자료_미국심리'!$E1290)),'자료_미국심리'!$D1290,"")</f>
        <v/>
      </c>
      <c r="Q1306">
        <f>IF(AND(ISNUMBER('자료_미국심리'!$G1290),ISNUMBER('자료_미국심리'!$H1290)),'자료_미국심리'!$G1290,"")</f>
        <v/>
      </c>
    </row>
    <row r="1307">
      <c r="A1307" s="10">
        <f>IF(1289&gt;$E$5,"",SMALL($O$19:$O$4018,$E$6+1289))</f>
        <v/>
      </c>
      <c r="B1307" s="29">
        <f>IF(A1307="","",INDEX('자료_미국심리'!$B$3:$B$4002,MATCH(A1307,$O$19:$O$4018,0)))</f>
        <v/>
      </c>
      <c r="C1307" s="22">
        <f>IF(A1307="","",B1307/AVERAGE(B1183:B1307)-1)</f>
        <v/>
      </c>
      <c r="D1307" s="29">
        <f>IF(A1307="","",IFERROR(INDEX('자료_미국심리'!$E$3:$E$4002,MATCH(A1307,$P$19:$P$4018,0)),D1306))</f>
        <v/>
      </c>
      <c r="E1307" s="29">
        <f>IF(A1307="","",IFERROR(INDEX('자료_미국심리'!$H$3:$H$4002,MATCH(A1307,$Q$19:$Q$4018,0)),E1306))</f>
        <v/>
      </c>
      <c r="F1307">
        <f>IF(A1307="",0,IF(A1307&gt;$B$5,1,0))</f>
        <v/>
      </c>
      <c r="G1307" s="29">
        <f>IF(AND(F1307=1,ISNUMBER(D1307)),D1307,"")</f>
        <v/>
      </c>
      <c r="H1307" s="29">
        <f>IF(AND(F1307=1,ISNUMBER(E1307)),E1307,"")</f>
        <v/>
      </c>
      <c r="I1307" s="22">
        <f>IF(AND(F1307=1,ISNUMBER(C1307)),C1307,"")</f>
        <v/>
      </c>
      <c r="J1307" s="11">
        <f>IF(G1307="","",100-IF($G$13=1,50,(_xlfn.RANK.AVG(G1307,$G$19:$G$1518,1)-1)/($G$13-1)*100))</f>
        <v/>
      </c>
      <c r="K1307" s="11">
        <f>IF(H1307="","",100-IF($G$14=1,50,(_xlfn.RANK.AVG(H1307,$H$19:$H$1518,1)-1)/($G$14-1)*100))</f>
        <v/>
      </c>
      <c r="L1307" s="11">
        <f>IF(I1307="","",IF($G$15=1,50,(_xlfn.RANK.AVG(I1307,$I$19:$I$1518,1)-1)/($G$15-1)*100))</f>
        <v/>
      </c>
      <c r="M1307" s="11">
        <f>IF(COUNT(J1307:L1307)=3,ROUND(AVERAGE(J1307:L1307),6),"")</f>
        <v/>
      </c>
      <c r="O1307">
        <f>IF(AND(ISNUMBER('자료_미국심리'!$A1291),ISNUMBER('자료_미국심리'!$B1291)),'자료_미국심리'!$A1291,"")</f>
        <v/>
      </c>
      <c r="P1307">
        <f>IF(AND(ISNUMBER('자료_미국심리'!$D1291),ISNUMBER('자료_미국심리'!$E1291)),'자료_미국심리'!$D1291,"")</f>
        <v/>
      </c>
      <c r="Q1307">
        <f>IF(AND(ISNUMBER('자료_미국심리'!$G1291),ISNUMBER('자료_미국심리'!$H1291)),'자료_미국심리'!$G1291,"")</f>
        <v/>
      </c>
    </row>
    <row r="1308">
      <c r="A1308" s="10">
        <f>IF(1290&gt;$E$5,"",SMALL($O$19:$O$4018,$E$6+1290))</f>
        <v/>
      </c>
      <c r="B1308" s="29">
        <f>IF(A1308="","",INDEX('자료_미국심리'!$B$3:$B$4002,MATCH(A1308,$O$19:$O$4018,0)))</f>
        <v/>
      </c>
      <c r="C1308" s="22">
        <f>IF(A1308="","",B1308/AVERAGE(B1184:B1308)-1)</f>
        <v/>
      </c>
      <c r="D1308" s="29">
        <f>IF(A1308="","",IFERROR(INDEX('자료_미국심리'!$E$3:$E$4002,MATCH(A1308,$P$19:$P$4018,0)),D1307))</f>
        <v/>
      </c>
      <c r="E1308" s="29">
        <f>IF(A1308="","",IFERROR(INDEX('자료_미국심리'!$H$3:$H$4002,MATCH(A1308,$Q$19:$Q$4018,0)),E1307))</f>
        <v/>
      </c>
      <c r="F1308">
        <f>IF(A1308="",0,IF(A1308&gt;$B$5,1,0))</f>
        <v/>
      </c>
      <c r="G1308" s="29">
        <f>IF(AND(F1308=1,ISNUMBER(D1308)),D1308,"")</f>
        <v/>
      </c>
      <c r="H1308" s="29">
        <f>IF(AND(F1308=1,ISNUMBER(E1308)),E1308,"")</f>
        <v/>
      </c>
      <c r="I1308" s="22">
        <f>IF(AND(F1308=1,ISNUMBER(C1308)),C1308,"")</f>
        <v/>
      </c>
      <c r="J1308" s="11">
        <f>IF(G1308="","",100-IF($G$13=1,50,(_xlfn.RANK.AVG(G1308,$G$19:$G$1518,1)-1)/($G$13-1)*100))</f>
        <v/>
      </c>
      <c r="K1308" s="11">
        <f>IF(H1308="","",100-IF($G$14=1,50,(_xlfn.RANK.AVG(H1308,$H$19:$H$1518,1)-1)/($G$14-1)*100))</f>
        <v/>
      </c>
      <c r="L1308" s="11">
        <f>IF(I1308="","",IF($G$15=1,50,(_xlfn.RANK.AVG(I1308,$I$19:$I$1518,1)-1)/($G$15-1)*100))</f>
        <v/>
      </c>
      <c r="M1308" s="11">
        <f>IF(COUNT(J1308:L1308)=3,ROUND(AVERAGE(J1308:L1308),6),"")</f>
        <v/>
      </c>
      <c r="O1308">
        <f>IF(AND(ISNUMBER('자료_미국심리'!$A1292),ISNUMBER('자료_미국심리'!$B1292)),'자료_미국심리'!$A1292,"")</f>
        <v/>
      </c>
      <c r="P1308">
        <f>IF(AND(ISNUMBER('자료_미국심리'!$D1292),ISNUMBER('자료_미국심리'!$E1292)),'자료_미국심리'!$D1292,"")</f>
        <v/>
      </c>
      <c r="Q1308">
        <f>IF(AND(ISNUMBER('자료_미국심리'!$G1292),ISNUMBER('자료_미국심리'!$H1292)),'자료_미국심리'!$G1292,"")</f>
        <v/>
      </c>
    </row>
    <row r="1309">
      <c r="A1309" s="10">
        <f>IF(1291&gt;$E$5,"",SMALL($O$19:$O$4018,$E$6+1291))</f>
        <v/>
      </c>
      <c r="B1309" s="29">
        <f>IF(A1309="","",INDEX('자료_미국심리'!$B$3:$B$4002,MATCH(A1309,$O$19:$O$4018,0)))</f>
        <v/>
      </c>
      <c r="C1309" s="22">
        <f>IF(A1309="","",B1309/AVERAGE(B1185:B1309)-1)</f>
        <v/>
      </c>
      <c r="D1309" s="29">
        <f>IF(A1309="","",IFERROR(INDEX('자료_미국심리'!$E$3:$E$4002,MATCH(A1309,$P$19:$P$4018,0)),D1308))</f>
        <v/>
      </c>
      <c r="E1309" s="29">
        <f>IF(A1309="","",IFERROR(INDEX('자료_미국심리'!$H$3:$H$4002,MATCH(A1309,$Q$19:$Q$4018,0)),E1308))</f>
        <v/>
      </c>
      <c r="F1309">
        <f>IF(A1309="",0,IF(A1309&gt;$B$5,1,0))</f>
        <v/>
      </c>
      <c r="G1309" s="29">
        <f>IF(AND(F1309=1,ISNUMBER(D1309)),D1309,"")</f>
        <v/>
      </c>
      <c r="H1309" s="29">
        <f>IF(AND(F1309=1,ISNUMBER(E1309)),E1309,"")</f>
        <v/>
      </c>
      <c r="I1309" s="22">
        <f>IF(AND(F1309=1,ISNUMBER(C1309)),C1309,"")</f>
        <v/>
      </c>
      <c r="J1309" s="11">
        <f>IF(G1309="","",100-IF($G$13=1,50,(_xlfn.RANK.AVG(G1309,$G$19:$G$1518,1)-1)/($G$13-1)*100))</f>
        <v/>
      </c>
      <c r="K1309" s="11">
        <f>IF(H1309="","",100-IF($G$14=1,50,(_xlfn.RANK.AVG(H1309,$H$19:$H$1518,1)-1)/($G$14-1)*100))</f>
        <v/>
      </c>
      <c r="L1309" s="11">
        <f>IF(I1309="","",IF($G$15=1,50,(_xlfn.RANK.AVG(I1309,$I$19:$I$1518,1)-1)/($G$15-1)*100))</f>
        <v/>
      </c>
      <c r="M1309" s="11">
        <f>IF(COUNT(J1309:L1309)=3,ROUND(AVERAGE(J1309:L1309),6),"")</f>
        <v/>
      </c>
      <c r="O1309">
        <f>IF(AND(ISNUMBER('자료_미국심리'!$A1293),ISNUMBER('자료_미국심리'!$B1293)),'자료_미국심리'!$A1293,"")</f>
        <v/>
      </c>
      <c r="P1309">
        <f>IF(AND(ISNUMBER('자료_미국심리'!$D1293),ISNUMBER('자료_미국심리'!$E1293)),'자료_미국심리'!$D1293,"")</f>
        <v/>
      </c>
      <c r="Q1309">
        <f>IF(AND(ISNUMBER('자료_미국심리'!$G1293),ISNUMBER('자료_미국심리'!$H1293)),'자료_미국심리'!$G1293,"")</f>
        <v/>
      </c>
    </row>
    <row r="1310">
      <c r="A1310" s="10">
        <f>IF(1292&gt;$E$5,"",SMALL($O$19:$O$4018,$E$6+1292))</f>
        <v/>
      </c>
      <c r="B1310" s="29">
        <f>IF(A1310="","",INDEX('자료_미국심리'!$B$3:$B$4002,MATCH(A1310,$O$19:$O$4018,0)))</f>
        <v/>
      </c>
      <c r="C1310" s="22">
        <f>IF(A1310="","",B1310/AVERAGE(B1186:B1310)-1)</f>
        <v/>
      </c>
      <c r="D1310" s="29">
        <f>IF(A1310="","",IFERROR(INDEX('자료_미국심리'!$E$3:$E$4002,MATCH(A1310,$P$19:$P$4018,0)),D1309))</f>
        <v/>
      </c>
      <c r="E1310" s="29">
        <f>IF(A1310="","",IFERROR(INDEX('자료_미국심리'!$H$3:$H$4002,MATCH(A1310,$Q$19:$Q$4018,0)),E1309))</f>
        <v/>
      </c>
      <c r="F1310">
        <f>IF(A1310="",0,IF(A1310&gt;$B$5,1,0))</f>
        <v/>
      </c>
      <c r="G1310" s="29">
        <f>IF(AND(F1310=1,ISNUMBER(D1310)),D1310,"")</f>
        <v/>
      </c>
      <c r="H1310" s="29">
        <f>IF(AND(F1310=1,ISNUMBER(E1310)),E1310,"")</f>
        <v/>
      </c>
      <c r="I1310" s="22">
        <f>IF(AND(F1310=1,ISNUMBER(C1310)),C1310,"")</f>
        <v/>
      </c>
      <c r="J1310" s="11">
        <f>IF(G1310="","",100-IF($G$13=1,50,(_xlfn.RANK.AVG(G1310,$G$19:$G$1518,1)-1)/($G$13-1)*100))</f>
        <v/>
      </c>
      <c r="K1310" s="11">
        <f>IF(H1310="","",100-IF($G$14=1,50,(_xlfn.RANK.AVG(H1310,$H$19:$H$1518,1)-1)/($G$14-1)*100))</f>
        <v/>
      </c>
      <c r="L1310" s="11">
        <f>IF(I1310="","",IF($G$15=1,50,(_xlfn.RANK.AVG(I1310,$I$19:$I$1518,1)-1)/($G$15-1)*100))</f>
        <v/>
      </c>
      <c r="M1310" s="11">
        <f>IF(COUNT(J1310:L1310)=3,ROUND(AVERAGE(J1310:L1310),6),"")</f>
        <v/>
      </c>
      <c r="O1310">
        <f>IF(AND(ISNUMBER('자료_미국심리'!$A1294),ISNUMBER('자료_미국심리'!$B1294)),'자료_미국심리'!$A1294,"")</f>
        <v/>
      </c>
      <c r="P1310">
        <f>IF(AND(ISNUMBER('자료_미국심리'!$D1294),ISNUMBER('자료_미국심리'!$E1294)),'자료_미국심리'!$D1294,"")</f>
        <v/>
      </c>
      <c r="Q1310">
        <f>IF(AND(ISNUMBER('자료_미국심리'!$G1294),ISNUMBER('자료_미국심리'!$H1294)),'자료_미국심리'!$G1294,"")</f>
        <v/>
      </c>
    </row>
    <row r="1311">
      <c r="A1311" s="10">
        <f>IF(1293&gt;$E$5,"",SMALL($O$19:$O$4018,$E$6+1293))</f>
        <v/>
      </c>
      <c r="B1311" s="29">
        <f>IF(A1311="","",INDEX('자료_미국심리'!$B$3:$B$4002,MATCH(A1311,$O$19:$O$4018,0)))</f>
        <v/>
      </c>
      <c r="C1311" s="22">
        <f>IF(A1311="","",B1311/AVERAGE(B1187:B1311)-1)</f>
        <v/>
      </c>
      <c r="D1311" s="29">
        <f>IF(A1311="","",IFERROR(INDEX('자료_미국심리'!$E$3:$E$4002,MATCH(A1311,$P$19:$P$4018,0)),D1310))</f>
        <v/>
      </c>
      <c r="E1311" s="29">
        <f>IF(A1311="","",IFERROR(INDEX('자료_미국심리'!$H$3:$H$4002,MATCH(A1311,$Q$19:$Q$4018,0)),E1310))</f>
        <v/>
      </c>
      <c r="F1311">
        <f>IF(A1311="",0,IF(A1311&gt;$B$5,1,0))</f>
        <v/>
      </c>
      <c r="G1311" s="29">
        <f>IF(AND(F1311=1,ISNUMBER(D1311)),D1311,"")</f>
        <v/>
      </c>
      <c r="H1311" s="29">
        <f>IF(AND(F1311=1,ISNUMBER(E1311)),E1311,"")</f>
        <v/>
      </c>
      <c r="I1311" s="22">
        <f>IF(AND(F1311=1,ISNUMBER(C1311)),C1311,"")</f>
        <v/>
      </c>
      <c r="J1311" s="11">
        <f>IF(G1311="","",100-IF($G$13=1,50,(_xlfn.RANK.AVG(G1311,$G$19:$G$1518,1)-1)/($G$13-1)*100))</f>
        <v/>
      </c>
      <c r="K1311" s="11">
        <f>IF(H1311="","",100-IF($G$14=1,50,(_xlfn.RANK.AVG(H1311,$H$19:$H$1518,1)-1)/($G$14-1)*100))</f>
        <v/>
      </c>
      <c r="L1311" s="11">
        <f>IF(I1311="","",IF($G$15=1,50,(_xlfn.RANK.AVG(I1311,$I$19:$I$1518,1)-1)/($G$15-1)*100))</f>
        <v/>
      </c>
      <c r="M1311" s="11">
        <f>IF(COUNT(J1311:L1311)=3,ROUND(AVERAGE(J1311:L1311),6),"")</f>
        <v/>
      </c>
      <c r="O1311">
        <f>IF(AND(ISNUMBER('자료_미국심리'!$A1295),ISNUMBER('자료_미국심리'!$B1295)),'자료_미국심리'!$A1295,"")</f>
        <v/>
      </c>
      <c r="P1311">
        <f>IF(AND(ISNUMBER('자료_미국심리'!$D1295),ISNUMBER('자료_미국심리'!$E1295)),'자료_미국심리'!$D1295,"")</f>
        <v/>
      </c>
      <c r="Q1311">
        <f>IF(AND(ISNUMBER('자료_미국심리'!$G1295),ISNUMBER('자료_미국심리'!$H1295)),'자료_미국심리'!$G1295,"")</f>
        <v/>
      </c>
    </row>
    <row r="1312">
      <c r="A1312" s="10">
        <f>IF(1294&gt;$E$5,"",SMALL($O$19:$O$4018,$E$6+1294))</f>
        <v/>
      </c>
      <c r="B1312" s="29">
        <f>IF(A1312="","",INDEX('자료_미국심리'!$B$3:$B$4002,MATCH(A1312,$O$19:$O$4018,0)))</f>
        <v/>
      </c>
      <c r="C1312" s="22">
        <f>IF(A1312="","",B1312/AVERAGE(B1188:B1312)-1)</f>
        <v/>
      </c>
      <c r="D1312" s="29">
        <f>IF(A1312="","",IFERROR(INDEX('자료_미국심리'!$E$3:$E$4002,MATCH(A1312,$P$19:$P$4018,0)),D1311))</f>
        <v/>
      </c>
      <c r="E1312" s="29">
        <f>IF(A1312="","",IFERROR(INDEX('자료_미국심리'!$H$3:$H$4002,MATCH(A1312,$Q$19:$Q$4018,0)),E1311))</f>
        <v/>
      </c>
      <c r="F1312">
        <f>IF(A1312="",0,IF(A1312&gt;$B$5,1,0))</f>
        <v/>
      </c>
      <c r="G1312" s="29">
        <f>IF(AND(F1312=1,ISNUMBER(D1312)),D1312,"")</f>
        <v/>
      </c>
      <c r="H1312" s="29">
        <f>IF(AND(F1312=1,ISNUMBER(E1312)),E1312,"")</f>
        <v/>
      </c>
      <c r="I1312" s="22">
        <f>IF(AND(F1312=1,ISNUMBER(C1312)),C1312,"")</f>
        <v/>
      </c>
      <c r="J1312" s="11">
        <f>IF(G1312="","",100-IF($G$13=1,50,(_xlfn.RANK.AVG(G1312,$G$19:$G$1518,1)-1)/($G$13-1)*100))</f>
        <v/>
      </c>
      <c r="K1312" s="11">
        <f>IF(H1312="","",100-IF($G$14=1,50,(_xlfn.RANK.AVG(H1312,$H$19:$H$1518,1)-1)/($G$14-1)*100))</f>
        <v/>
      </c>
      <c r="L1312" s="11">
        <f>IF(I1312="","",IF($G$15=1,50,(_xlfn.RANK.AVG(I1312,$I$19:$I$1518,1)-1)/($G$15-1)*100))</f>
        <v/>
      </c>
      <c r="M1312" s="11">
        <f>IF(COUNT(J1312:L1312)=3,ROUND(AVERAGE(J1312:L1312),6),"")</f>
        <v/>
      </c>
      <c r="O1312">
        <f>IF(AND(ISNUMBER('자료_미국심리'!$A1296),ISNUMBER('자료_미국심리'!$B1296)),'자료_미국심리'!$A1296,"")</f>
        <v/>
      </c>
      <c r="P1312">
        <f>IF(AND(ISNUMBER('자료_미국심리'!$D1296),ISNUMBER('자료_미국심리'!$E1296)),'자료_미국심리'!$D1296,"")</f>
        <v/>
      </c>
      <c r="Q1312">
        <f>IF(AND(ISNUMBER('자료_미국심리'!$G1296),ISNUMBER('자료_미국심리'!$H1296)),'자료_미국심리'!$G1296,"")</f>
        <v/>
      </c>
    </row>
    <row r="1313">
      <c r="A1313" s="10">
        <f>IF(1295&gt;$E$5,"",SMALL($O$19:$O$4018,$E$6+1295))</f>
        <v/>
      </c>
      <c r="B1313" s="29">
        <f>IF(A1313="","",INDEX('자료_미국심리'!$B$3:$B$4002,MATCH(A1313,$O$19:$O$4018,0)))</f>
        <v/>
      </c>
      <c r="C1313" s="22">
        <f>IF(A1313="","",B1313/AVERAGE(B1189:B1313)-1)</f>
        <v/>
      </c>
      <c r="D1313" s="29">
        <f>IF(A1313="","",IFERROR(INDEX('자료_미국심리'!$E$3:$E$4002,MATCH(A1313,$P$19:$P$4018,0)),D1312))</f>
        <v/>
      </c>
      <c r="E1313" s="29">
        <f>IF(A1313="","",IFERROR(INDEX('자료_미국심리'!$H$3:$H$4002,MATCH(A1313,$Q$19:$Q$4018,0)),E1312))</f>
        <v/>
      </c>
      <c r="F1313">
        <f>IF(A1313="",0,IF(A1313&gt;$B$5,1,0))</f>
        <v/>
      </c>
      <c r="G1313" s="29">
        <f>IF(AND(F1313=1,ISNUMBER(D1313)),D1313,"")</f>
        <v/>
      </c>
      <c r="H1313" s="29">
        <f>IF(AND(F1313=1,ISNUMBER(E1313)),E1313,"")</f>
        <v/>
      </c>
      <c r="I1313" s="22">
        <f>IF(AND(F1313=1,ISNUMBER(C1313)),C1313,"")</f>
        <v/>
      </c>
      <c r="J1313" s="11">
        <f>IF(G1313="","",100-IF($G$13=1,50,(_xlfn.RANK.AVG(G1313,$G$19:$G$1518,1)-1)/($G$13-1)*100))</f>
        <v/>
      </c>
      <c r="K1313" s="11">
        <f>IF(H1313="","",100-IF($G$14=1,50,(_xlfn.RANK.AVG(H1313,$H$19:$H$1518,1)-1)/($G$14-1)*100))</f>
        <v/>
      </c>
      <c r="L1313" s="11">
        <f>IF(I1313="","",IF($G$15=1,50,(_xlfn.RANK.AVG(I1313,$I$19:$I$1518,1)-1)/($G$15-1)*100))</f>
        <v/>
      </c>
      <c r="M1313" s="11">
        <f>IF(COUNT(J1313:L1313)=3,ROUND(AVERAGE(J1313:L1313),6),"")</f>
        <v/>
      </c>
      <c r="O1313">
        <f>IF(AND(ISNUMBER('자료_미국심리'!$A1297),ISNUMBER('자료_미국심리'!$B1297)),'자료_미국심리'!$A1297,"")</f>
        <v/>
      </c>
      <c r="P1313">
        <f>IF(AND(ISNUMBER('자료_미국심리'!$D1297),ISNUMBER('자료_미국심리'!$E1297)),'자료_미국심리'!$D1297,"")</f>
        <v/>
      </c>
      <c r="Q1313">
        <f>IF(AND(ISNUMBER('자료_미국심리'!$G1297),ISNUMBER('자료_미국심리'!$H1297)),'자료_미국심리'!$G1297,"")</f>
        <v/>
      </c>
    </row>
    <row r="1314">
      <c r="A1314" s="10">
        <f>IF(1296&gt;$E$5,"",SMALL($O$19:$O$4018,$E$6+1296))</f>
        <v/>
      </c>
      <c r="B1314" s="29">
        <f>IF(A1314="","",INDEX('자료_미국심리'!$B$3:$B$4002,MATCH(A1314,$O$19:$O$4018,0)))</f>
        <v/>
      </c>
      <c r="C1314" s="22">
        <f>IF(A1314="","",B1314/AVERAGE(B1190:B1314)-1)</f>
        <v/>
      </c>
      <c r="D1314" s="29">
        <f>IF(A1314="","",IFERROR(INDEX('자료_미국심리'!$E$3:$E$4002,MATCH(A1314,$P$19:$P$4018,0)),D1313))</f>
        <v/>
      </c>
      <c r="E1314" s="29">
        <f>IF(A1314="","",IFERROR(INDEX('자료_미국심리'!$H$3:$H$4002,MATCH(A1314,$Q$19:$Q$4018,0)),E1313))</f>
        <v/>
      </c>
      <c r="F1314">
        <f>IF(A1314="",0,IF(A1314&gt;$B$5,1,0))</f>
        <v/>
      </c>
      <c r="G1314" s="29">
        <f>IF(AND(F1314=1,ISNUMBER(D1314)),D1314,"")</f>
        <v/>
      </c>
      <c r="H1314" s="29">
        <f>IF(AND(F1314=1,ISNUMBER(E1314)),E1314,"")</f>
        <v/>
      </c>
      <c r="I1314" s="22">
        <f>IF(AND(F1314=1,ISNUMBER(C1314)),C1314,"")</f>
        <v/>
      </c>
      <c r="J1314" s="11">
        <f>IF(G1314="","",100-IF($G$13=1,50,(_xlfn.RANK.AVG(G1314,$G$19:$G$1518,1)-1)/($G$13-1)*100))</f>
        <v/>
      </c>
      <c r="K1314" s="11">
        <f>IF(H1314="","",100-IF($G$14=1,50,(_xlfn.RANK.AVG(H1314,$H$19:$H$1518,1)-1)/($G$14-1)*100))</f>
        <v/>
      </c>
      <c r="L1314" s="11">
        <f>IF(I1314="","",IF($G$15=1,50,(_xlfn.RANK.AVG(I1314,$I$19:$I$1518,1)-1)/($G$15-1)*100))</f>
        <v/>
      </c>
      <c r="M1314" s="11">
        <f>IF(COUNT(J1314:L1314)=3,ROUND(AVERAGE(J1314:L1314),6),"")</f>
        <v/>
      </c>
      <c r="O1314">
        <f>IF(AND(ISNUMBER('자료_미국심리'!$A1298),ISNUMBER('자료_미국심리'!$B1298)),'자료_미국심리'!$A1298,"")</f>
        <v/>
      </c>
      <c r="P1314">
        <f>IF(AND(ISNUMBER('자료_미국심리'!$D1298),ISNUMBER('자료_미국심리'!$E1298)),'자료_미국심리'!$D1298,"")</f>
        <v/>
      </c>
      <c r="Q1314">
        <f>IF(AND(ISNUMBER('자료_미국심리'!$G1298),ISNUMBER('자료_미국심리'!$H1298)),'자료_미국심리'!$G1298,"")</f>
        <v/>
      </c>
    </row>
    <row r="1315">
      <c r="A1315" s="10">
        <f>IF(1297&gt;$E$5,"",SMALL($O$19:$O$4018,$E$6+1297))</f>
        <v/>
      </c>
      <c r="B1315" s="29">
        <f>IF(A1315="","",INDEX('자료_미국심리'!$B$3:$B$4002,MATCH(A1315,$O$19:$O$4018,0)))</f>
        <v/>
      </c>
      <c r="C1315" s="22">
        <f>IF(A1315="","",B1315/AVERAGE(B1191:B1315)-1)</f>
        <v/>
      </c>
      <c r="D1315" s="29">
        <f>IF(A1315="","",IFERROR(INDEX('자료_미국심리'!$E$3:$E$4002,MATCH(A1315,$P$19:$P$4018,0)),D1314))</f>
        <v/>
      </c>
      <c r="E1315" s="29">
        <f>IF(A1315="","",IFERROR(INDEX('자료_미국심리'!$H$3:$H$4002,MATCH(A1315,$Q$19:$Q$4018,0)),E1314))</f>
        <v/>
      </c>
      <c r="F1315">
        <f>IF(A1315="",0,IF(A1315&gt;$B$5,1,0))</f>
        <v/>
      </c>
      <c r="G1315" s="29">
        <f>IF(AND(F1315=1,ISNUMBER(D1315)),D1315,"")</f>
        <v/>
      </c>
      <c r="H1315" s="29">
        <f>IF(AND(F1315=1,ISNUMBER(E1315)),E1315,"")</f>
        <v/>
      </c>
      <c r="I1315" s="22">
        <f>IF(AND(F1315=1,ISNUMBER(C1315)),C1315,"")</f>
        <v/>
      </c>
      <c r="J1315" s="11">
        <f>IF(G1315="","",100-IF($G$13=1,50,(_xlfn.RANK.AVG(G1315,$G$19:$G$1518,1)-1)/($G$13-1)*100))</f>
        <v/>
      </c>
      <c r="K1315" s="11">
        <f>IF(H1315="","",100-IF($G$14=1,50,(_xlfn.RANK.AVG(H1315,$H$19:$H$1518,1)-1)/($G$14-1)*100))</f>
        <v/>
      </c>
      <c r="L1315" s="11">
        <f>IF(I1315="","",IF($G$15=1,50,(_xlfn.RANK.AVG(I1315,$I$19:$I$1518,1)-1)/($G$15-1)*100))</f>
        <v/>
      </c>
      <c r="M1315" s="11">
        <f>IF(COUNT(J1315:L1315)=3,ROUND(AVERAGE(J1315:L1315),6),"")</f>
        <v/>
      </c>
      <c r="O1315">
        <f>IF(AND(ISNUMBER('자료_미국심리'!$A1299),ISNUMBER('자료_미국심리'!$B1299)),'자료_미국심리'!$A1299,"")</f>
        <v/>
      </c>
      <c r="P1315">
        <f>IF(AND(ISNUMBER('자료_미국심리'!$D1299),ISNUMBER('자료_미국심리'!$E1299)),'자료_미국심리'!$D1299,"")</f>
        <v/>
      </c>
      <c r="Q1315">
        <f>IF(AND(ISNUMBER('자료_미국심리'!$G1299),ISNUMBER('자료_미국심리'!$H1299)),'자료_미국심리'!$G1299,"")</f>
        <v/>
      </c>
    </row>
    <row r="1316">
      <c r="A1316" s="10">
        <f>IF(1298&gt;$E$5,"",SMALL($O$19:$O$4018,$E$6+1298))</f>
        <v/>
      </c>
      <c r="B1316" s="29">
        <f>IF(A1316="","",INDEX('자료_미국심리'!$B$3:$B$4002,MATCH(A1316,$O$19:$O$4018,0)))</f>
        <v/>
      </c>
      <c r="C1316" s="22">
        <f>IF(A1316="","",B1316/AVERAGE(B1192:B1316)-1)</f>
        <v/>
      </c>
      <c r="D1316" s="29">
        <f>IF(A1316="","",IFERROR(INDEX('자료_미국심리'!$E$3:$E$4002,MATCH(A1316,$P$19:$P$4018,0)),D1315))</f>
        <v/>
      </c>
      <c r="E1316" s="29">
        <f>IF(A1316="","",IFERROR(INDEX('자료_미국심리'!$H$3:$H$4002,MATCH(A1316,$Q$19:$Q$4018,0)),E1315))</f>
        <v/>
      </c>
      <c r="F1316">
        <f>IF(A1316="",0,IF(A1316&gt;$B$5,1,0))</f>
        <v/>
      </c>
      <c r="G1316" s="29">
        <f>IF(AND(F1316=1,ISNUMBER(D1316)),D1316,"")</f>
        <v/>
      </c>
      <c r="H1316" s="29">
        <f>IF(AND(F1316=1,ISNUMBER(E1316)),E1316,"")</f>
        <v/>
      </c>
      <c r="I1316" s="22">
        <f>IF(AND(F1316=1,ISNUMBER(C1316)),C1316,"")</f>
        <v/>
      </c>
      <c r="J1316" s="11">
        <f>IF(G1316="","",100-IF($G$13=1,50,(_xlfn.RANK.AVG(G1316,$G$19:$G$1518,1)-1)/($G$13-1)*100))</f>
        <v/>
      </c>
      <c r="K1316" s="11">
        <f>IF(H1316="","",100-IF($G$14=1,50,(_xlfn.RANK.AVG(H1316,$H$19:$H$1518,1)-1)/($G$14-1)*100))</f>
        <v/>
      </c>
      <c r="L1316" s="11">
        <f>IF(I1316="","",IF($G$15=1,50,(_xlfn.RANK.AVG(I1316,$I$19:$I$1518,1)-1)/($G$15-1)*100))</f>
        <v/>
      </c>
      <c r="M1316" s="11">
        <f>IF(COUNT(J1316:L1316)=3,ROUND(AVERAGE(J1316:L1316),6),"")</f>
        <v/>
      </c>
      <c r="O1316">
        <f>IF(AND(ISNUMBER('자료_미국심리'!$A1300),ISNUMBER('자료_미국심리'!$B1300)),'자료_미국심리'!$A1300,"")</f>
        <v/>
      </c>
      <c r="P1316">
        <f>IF(AND(ISNUMBER('자료_미국심리'!$D1300),ISNUMBER('자료_미국심리'!$E1300)),'자료_미국심리'!$D1300,"")</f>
        <v/>
      </c>
      <c r="Q1316">
        <f>IF(AND(ISNUMBER('자료_미국심리'!$G1300),ISNUMBER('자료_미국심리'!$H1300)),'자료_미국심리'!$G1300,"")</f>
        <v/>
      </c>
    </row>
    <row r="1317">
      <c r="A1317" s="10">
        <f>IF(1299&gt;$E$5,"",SMALL($O$19:$O$4018,$E$6+1299))</f>
        <v/>
      </c>
      <c r="B1317" s="29">
        <f>IF(A1317="","",INDEX('자료_미국심리'!$B$3:$B$4002,MATCH(A1317,$O$19:$O$4018,0)))</f>
        <v/>
      </c>
      <c r="C1317" s="22">
        <f>IF(A1317="","",B1317/AVERAGE(B1193:B1317)-1)</f>
        <v/>
      </c>
      <c r="D1317" s="29">
        <f>IF(A1317="","",IFERROR(INDEX('자료_미국심리'!$E$3:$E$4002,MATCH(A1317,$P$19:$P$4018,0)),D1316))</f>
        <v/>
      </c>
      <c r="E1317" s="29">
        <f>IF(A1317="","",IFERROR(INDEX('자료_미국심리'!$H$3:$H$4002,MATCH(A1317,$Q$19:$Q$4018,0)),E1316))</f>
        <v/>
      </c>
      <c r="F1317">
        <f>IF(A1317="",0,IF(A1317&gt;$B$5,1,0))</f>
        <v/>
      </c>
      <c r="G1317" s="29">
        <f>IF(AND(F1317=1,ISNUMBER(D1317)),D1317,"")</f>
        <v/>
      </c>
      <c r="H1317" s="29">
        <f>IF(AND(F1317=1,ISNUMBER(E1317)),E1317,"")</f>
        <v/>
      </c>
      <c r="I1317" s="22">
        <f>IF(AND(F1317=1,ISNUMBER(C1317)),C1317,"")</f>
        <v/>
      </c>
      <c r="J1317" s="11">
        <f>IF(G1317="","",100-IF($G$13=1,50,(_xlfn.RANK.AVG(G1317,$G$19:$G$1518,1)-1)/($G$13-1)*100))</f>
        <v/>
      </c>
      <c r="K1317" s="11">
        <f>IF(H1317="","",100-IF($G$14=1,50,(_xlfn.RANK.AVG(H1317,$H$19:$H$1518,1)-1)/($G$14-1)*100))</f>
        <v/>
      </c>
      <c r="L1317" s="11">
        <f>IF(I1317="","",IF($G$15=1,50,(_xlfn.RANK.AVG(I1317,$I$19:$I$1518,1)-1)/($G$15-1)*100))</f>
        <v/>
      </c>
      <c r="M1317" s="11">
        <f>IF(COUNT(J1317:L1317)=3,ROUND(AVERAGE(J1317:L1317),6),"")</f>
        <v/>
      </c>
      <c r="O1317">
        <f>IF(AND(ISNUMBER('자료_미국심리'!$A1301),ISNUMBER('자료_미국심리'!$B1301)),'자료_미국심리'!$A1301,"")</f>
        <v/>
      </c>
      <c r="P1317">
        <f>IF(AND(ISNUMBER('자료_미국심리'!$D1301),ISNUMBER('자료_미국심리'!$E1301)),'자료_미국심리'!$D1301,"")</f>
        <v/>
      </c>
      <c r="Q1317">
        <f>IF(AND(ISNUMBER('자료_미국심리'!$G1301),ISNUMBER('자료_미국심리'!$H1301)),'자료_미국심리'!$G1301,"")</f>
        <v/>
      </c>
    </row>
    <row r="1318">
      <c r="A1318" s="10">
        <f>IF(1300&gt;$E$5,"",SMALL($O$19:$O$4018,$E$6+1300))</f>
        <v/>
      </c>
      <c r="B1318" s="29">
        <f>IF(A1318="","",INDEX('자료_미국심리'!$B$3:$B$4002,MATCH(A1318,$O$19:$O$4018,0)))</f>
        <v/>
      </c>
      <c r="C1318" s="22">
        <f>IF(A1318="","",B1318/AVERAGE(B1194:B1318)-1)</f>
        <v/>
      </c>
      <c r="D1318" s="29">
        <f>IF(A1318="","",IFERROR(INDEX('자료_미국심리'!$E$3:$E$4002,MATCH(A1318,$P$19:$P$4018,0)),D1317))</f>
        <v/>
      </c>
      <c r="E1318" s="29">
        <f>IF(A1318="","",IFERROR(INDEX('자료_미국심리'!$H$3:$H$4002,MATCH(A1318,$Q$19:$Q$4018,0)),E1317))</f>
        <v/>
      </c>
      <c r="F1318">
        <f>IF(A1318="",0,IF(A1318&gt;$B$5,1,0))</f>
        <v/>
      </c>
      <c r="G1318" s="29">
        <f>IF(AND(F1318=1,ISNUMBER(D1318)),D1318,"")</f>
        <v/>
      </c>
      <c r="H1318" s="29">
        <f>IF(AND(F1318=1,ISNUMBER(E1318)),E1318,"")</f>
        <v/>
      </c>
      <c r="I1318" s="22">
        <f>IF(AND(F1318=1,ISNUMBER(C1318)),C1318,"")</f>
        <v/>
      </c>
      <c r="J1318" s="11">
        <f>IF(G1318="","",100-IF($G$13=1,50,(_xlfn.RANK.AVG(G1318,$G$19:$G$1518,1)-1)/($G$13-1)*100))</f>
        <v/>
      </c>
      <c r="K1318" s="11">
        <f>IF(H1318="","",100-IF($G$14=1,50,(_xlfn.RANK.AVG(H1318,$H$19:$H$1518,1)-1)/($G$14-1)*100))</f>
        <v/>
      </c>
      <c r="L1318" s="11">
        <f>IF(I1318="","",IF($G$15=1,50,(_xlfn.RANK.AVG(I1318,$I$19:$I$1518,1)-1)/($G$15-1)*100))</f>
        <v/>
      </c>
      <c r="M1318" s="11">
        <f>IF(COUNT(J1318:L1318)=3,ROUND(AVERAGE(J1318:L1318),6),"")</f>
        <v/>
      </c>
      <c r="O1318">
        <f>IF(AND(ISNUMBER('자료_미국심리'!$A1302),ISNUMBER('자료_미국심리'!$B1302)),'자료_미국심리'!$A1302,"")</f>
        <v/>
      </c>
      <c r="P1318">
        <f>IF(AND(ISNUMBER('자료_미국심리'!$D1302),ISNUMBER('자료_미국심리'!$E1302)),'자료_미국심리'!$D1302,"")</f>
        <v/>
      </c>
      <c r="Q1318">
        <f>IF(AND(ISNUMBER('자료_미국심리'!$G1302),ISNUMBER('자료_미국심리'!$H1302)),'자료_미국심리'!$G1302,"")</f>
        <v/>
      </c>
    </row>
    <row r="1319">
      <c r="A1319" s="10">
        <f>IF(1301&gt;$E$5,"",SMALL($O$19:$O$4018,$E$6+1301))</f>
        <v/>
      </c>
      <c r="B1319" s="29">
        <f>IF(A1319="","",INDEX('자료_미국심리'!$B$3:$B$4002,MATCH(A1319,$O$19:$O$4018,0)))</f>
        <v/>
      </c>
      <c r="C1319" s="22">
        <f>IF(A1319="","",B1319/AVERAGE(B1195:B1319)-1)</f>
        <v/>
      </c>
      <c r="D1319" s="29">
        <f>IF(A1319="","",IFERROR(INDEX('자료_미국심리'!$E$3:$E$4002,MATCH(A1319,$P$19:$P$4018,0)),D1318))</f>
        <v/>
      </c>
      <c r="E1319" s="29">
        <f>IF(A1319="","",IFERROR(INDEX('자료_미국심리'!$H$3:$H$4002,MATCH(A1319,$Q$19:$Q$4018,0)),E1318))</f>
        <v/>
      </c>
      <c r="F1319">
        <f>IF(A1319="",0,IF(A1319&gt;$B$5,1,0))</f>
        <v/>
      </c>
      <c r="G1319" s="29">
        <f>IF(AND(F1319=1,ISNUMBER(D1319)),D1319,"")</f>
        <v/>
      </c>
      <c r="H1319" s="29">
        <f>IF(AND(F1319=1,ISNUMBER(E1319)),E1319,"")</f>
        <v/>
      </c>
      <c r="I1319" s="22">
        <f>IF(AND(F1319=1,ISNUMBER(C1319)),C1319,"")</f>
        <v/>
      </c>
      <c r="J1319" s="11">
        <f>IF(G1319="","",100-IF($G$13=1,50,(_xlfn.RANK.AVG(G1319,$G$19:$G$1518,1)-1)/($G$13-1)*100))</f>
        <v/>
      </c>
      <c r="K1319" s="11">
        <f>IF(H1319="","",100-IF($G$14=1,50,(_xlfn.RANK.AVG(H1319,$H$19:$H$1518,1)-1)/($G$14-1)*100))</f>
        <v/>
      </c>
      <c r="L1319" s="11">
        <f>IF(I1319="","",IF($G$15=1,50,(_xlfn.RANK.AVG(I1319,$I$19:$I$1518,1)-1)/($G$15-1)*100))</f>
        <v/>
      </c>
      <c r="M1319" s="11">
        <f>IF(COUNT(J1319:L1319)=3,ROUND(AVERAGE(J1319:L1319),6),"")</f>
        <v/>
      </c>
      <c r="O1319">
        <f>IF(AND(ISNUMBER('자료_미국심리'!$A1303),ISNUMBER('자료_미국심리'!$B1303)),'자료_미국심리'!$A1303,"")</f>
        <v/>
      </c>
      <c r="P1319">
        <f>IF(AND(ISNUMBER('자료_미국심리'!$D1303),ISNUMBER('자료_미국심리'!$E1303)),'자료_미국심리'!$D1303,"")</f>
        <v/>
      </c>
      <c r="Q1319">
        <f>IF(AND(ISNUMBER('자료_미국심리'!$G1303),ISNUMBER('자료_미국심리'!$H1303)),'자료_미국심리'!$G1303,"")</f>
        <v/>
      </c>
    </row>
    <row r="1320">
      <c r="A1320" s="10">
        <f>IF(1302&gt;$E$5,"",SMALL($O$19:$O$4018,$E$6+1302))</f>
        <v/>
      </c>
      <c r="B1320" s="29">
        <f>IF(A1320="","",INDEX('자료_미국심리'!$B$3:$B$4002,MATCH(A1320,$O$19:$O$4018,0)))</f>
        <v/>
      </c>
      <c r="C1320" s="22">
        <f>IF(A1320="","",B1320/AVERAGE(B1196:B1320)-1)</f>
        <v/>
      </c>
      <c r="D1320" s="29">
        <f>IF(A1320="","",IFERROR(INDEX('자료_미국심리'!$E$3:$E$4002,MATCH(A1320,$P$19:$P$4018,0)),D1319))</f>
        <v/>
      </c>
      <c r="E1320" s="29">
        <f>IF(A1320="","",IFERROR(INDEX('자료_미국심리'!$H$3:$H$4002,MATCH(A1320,$Q$19:$Q$4018,0)),E1319))</f>
        <v/>
      </c>
      <c r="F1320">
        <f>IF(A1320="",0,IF(A1320&gt;$B$5,1,0))</f>
        <v/>
      </c>
      <c r="G1320" s="29">
        <f>IF(AND(F1320=1,ISNUMBER(D1320)),D1320,"")</f>
        <v/>
      </c>
      <c r="H1320" s="29">
        <f>IF(AND(F1320=1,ISNUMBER(E1320)),E1320,"")</f>
        <v/>
      </c>
      <c r="I1320" s="22">
        <f>IF(AND(F1320=1,ISNUMBER(C1320)),C1320,"")</f>
        <v/>
      </c>
      <c r="J1320" s="11">
        <f>IF(G1320="","",100-IF($G$13=1,50,(_xlfn.RANK.AVG(G1320,$G$19:$G$1518,1)-1)/($G$13-1)*100))</f>
        <v/>
      </c>
      <c r="K1320" s="11">
        <f>IF(H1320="","",100-IF($G$14=1,50,(_xlfn.RANK.AVG(H1320,$H$19:$H$1518,1)-1)/($G$14-1)*100))</f>
        <v/>
      </c>
      <c r="L1320" s="11">
        <f>IF(I1320="","",IF($G$15=1,50,(_xlfn.RANK.AVG(I1320,$I$19:$I$1518,1)-1)/($G$15-1)*100))</f>
        <v/>
      </c>
      <c r="M1320" s="11">
        <f>IF(COUNT(J1320:L1320)=3,ROUND(AVERAGE(J1320:L1320),6),"")</f>
        <v/>
      </c>
      <c r="O1320">
        <f>IF(AND(ISNUMBER('자료_미국심리'!$A1304),ISNUMBER('자료_미국심리'!$B1304)),'자료_미국심리'!$A1304,"")</f>
        <v/>
      </c>
      <c r="P1320">
        <f>IF(AND(ISNUMBER('자료_미국심리'!$D1304),ISNUMBER('자료_미국심리'!$E1304)),'자료_미국심리'!$D1304,"")</f>
        <v/>
      </c>
      <c r="Q1320">
        <f>IF(AND(ISNUMBER('자료_미국심리'!$G1304),ISNUMBER('자료_미국심리'!$H1304)),'자료_미국심리'!$G1304,"")</f>
        <v/>
      </c>
    </row>
    <row r="1321">
      <c r="A1321" s="10">
        <f>IF(1303&gt;$E$5,"",SMALL($O$19:$O$4018,$E$6+1303))</f>
        <v/>
      </c>
      <c r="B1321" s="29">
        <f>IF(A1321="","",INDEX('자료_미국심리'!$B$3:$B$4002,MATCH(A1321,$O$19:$O$4018,0)))</f>
        <v/>
      </c>
      <c r="C1321" s="22">
        <f>IF(A1321="","",B1321/AVERAGE(B1197:B1321)-1)</f>
        <v/>
      </c>
      <c r="D1321" s="29">
        <f>IF(A1321="","",IFERROR(INDEX('자료_미국심리'!$E$3:$E$4002,MATCH(A1321,$P$19:$P$4018,0)),D1320))</f>
        <v/>
      </c>
      <c r="E1321" s="29">
        <f>IF(A1321="","",IFERROR(INDEX('자료_미국심리'!$H$3:$H$4002,MATCH(A1321,$Q$19:$Q$4018,0)),E1320))</f>
        <v/>
      </c>
      <c r="F1321">
        <f>IF(A1321="",0,IF(A1321&gt;$B$5,1,0))</f>
        <v/>
      </c>
      <c r="G1321" s="29">
        <f>IF(AND(F1321=1,ISNUMBER(D1321)),D1321,"")</f>
        <v/>
      </c>
      <c r="H1321" s="29">
        <f>IF(AND(F1321=1,ISNUMBER(E1321)),E1321,"")</f>
        <v/>
      </c>
      <c r="I1321" s="22">
        <f>IF(AND(F1321=1,ISNUMBER(C1321)),C1321,"")</f>
        <v/>
      </c>
      <c r="J1321" s="11">
        <f>IF(G1321="","",100-IF($G$13=1,50,(_xlfn.RANK.AVG(G1321,$G$19:$G$1518,1)-1)/($G$13-1)*100))</f>
        <v/>
      </c>
      <c r="K1321" s="11">
        <f>IF(H1321="","",100-IF($G$14=1,50,(_xlfn.RANK.AVG(H1321,$H$19:$H$1518,1)-1)/($G$14-1)*100))</f>
        <v/>
      </c>
      <c r="L1321" s="11">
        <f>IF(I1321="","",IF($G$15=1,50,(_xlfn.RANK.AVG(I1321,$I$19:$I$1518,1)-1)/($G$15-1)*100))</f>
        <v/>
      </c>
      <c r="M1321" s="11">
        <f>IF(COUNT(J1321:L1321)=3,ROUND(AVERAGE(J1321:L1321),6),"")</f>
        <v/>
      </c>
      <c r="O1321">
        <f>IF(AND(ISNUMBER('자료_미국심리'!$A1305),ISNUMBER('자료_미국심리'!$B1305)),'자료_미국심리'!$A1305,"")</f>
        <v/>
      </c>
      <c r="P1321">
        <f>IF(AND(ISNUMBER('자료_미국심리'!$D1305),ISNUMBER('자료_미국심리'!$E1305)),'자료_미국심리'!$D1305,"")</f>
        <v/>
      </c>
      <c r="Q1321">
        <f>IF(AND(ISNUMBER('자료_미국심리'!$G1305),ISNUMBER('자료_미국심리'!$H1305)),'자료_미국심리'!$G1305,"")</f>
        <v/>
      </c>
    </row>
    <row r="1322">
      <c r="A1322" s="10">
        <f>IF(1304&gt;$E$5,"",SMALL($O$19:$O$4018,$E$6+1304))</f>
        <v/>
      </c>
      <c r="B1322" s="29">
        <f>IF(A1322="","",INDEX('자료_미국심리'!$B$3:$B$4002,MATCH(A1322,$O$19:$O$4018,0)))</f>
        <v/>
      </c>
      <c r="C1322" s="22">
        <f>IF(A1322="","",B1322/AVERAGE(B1198:B1322)-1)</f>
        <v/>
      </c>
      <c r="D1322" s="29">
        <f>IF(A1322="","",IFERROR(INDEX('자료_미국심리'!$E$3:$E$4002,MATCH(A1322,$P$19:$P$4018,0)),D1321))</f>
        <v/>
      </c>
      <c r="E1322" s="29">
        <f>IF(A1322="","",IFERROR(INDEX('자료_미국심리'!$H$3:$H$4002,MATCH(A1322,$Q$19:$Q$4018,0)),E1321))</f>
        <v/>
      </c>
      <c r="F1322">
        <f>IF(A1322="",0,IF(A1322&gt;$B$5,1,0))</f>
        <v/>
      </c>
      <c r="G1322" s="29">
        <f>IF(AND(F1322=1,ISNUMBER(D1322)),D1322,"")</f>
        <v/>
      </c>
      <c r="H1322" s="29">
        <f>IF(AND(F1322=1,ISNUMBER(E1322)),E1322,"")</f>
        <v/>
      </c>
      <c r="I1322" s="22">
        <f>IF(AND(F1322=1,ISNUMBER(C1322)),C1322,"")</f>
        <v/>
      </c>
      <c r="J1322" s="11">
        <f>IF(G1322="","",100-IF($G$13=1,50,(_xlfn.RANK.AVG(G1322,$G$19:$G$1518,1)-1)/($G$13-1)*100))</f>
        <v/>
      </c>
      <c r="K1322" s="11">
        <f>IF(H1322="","",100-IF($G$14=1,50,(_xlfn.RANK.AVG(H1322,$H$19:$H$1518,1)-1)/($G$14-1)*100))</f>
        <v/>
      </c>
      <c r="L1322" s="11">
        <f>IF(I1322="","",IF($G$15=1,50,(_xlfn.RANK.AVG(I1322,$I$19:$I$1518,1)-1)/($G$15-1)*100))</f>
        <v/>
      </c>
      <c r="M1322" s="11">
        <f>IF(COUNT(J1322:L1322)=3,ROUND(AVERAGE(J1322:L1322),6),"")</f>
        <v/>
      </c>
      <c r="O1322">
        <f>IF(AND(ISNUMBER('자료_미국심리'!$A1306),ISNUMBER('자료_미국심리'!$B1306)),'자료_미국심리'!$A1306,"")</f>
        <v/>
      </c>
      <c r="P1322">
        <f>IF(AND(ISNUMBER('자료_미국심리'!$D1306),ISNUMBER('자료_미국심리'!$E1306)),'자료_미국심리'!$D1306,"")</f>
        <v/>
      </c>
      <c r="Q1322">
        <f>IF(AND(ISNUMBER('자료_미국심리'!$G1306),ISNUMBER('자료_미국심리'!$H1306)),'자료_미국심리'!$G1306,"")</f>
        <v/>
      </c>
    </row>
    <row r="1323">
      <c r="A1323" s="10">
        <f>IF(1305&gt;$E$5,"",SMALL($O$19:$O$4018,$E$6+1305))</f>
        <v/>
      </c>
      <c r="B1323" s="29">
        <f>IF(A1323="","",INDEX('자료_미국심리'!$B$3:$B$4002,MATCH(A1323,$O$19:$O$4018,0)))</f>
        <v/>
      </c>
      <c r="C1323" s="22">
        <f>IF(A1323="","",B1323/AVERAGE(B1199:B1323)-1)</f>
        <v/>
      </c>
      <c r="D1323" s="29">
        <f>IF(A1323="","",IFERROR(INDEX('자료_미국심리'!$E$3:$E$4002,MATCH(A1323,$P$19:$P$4018,0)),D1322))</f>
        <v/>
      </c>
      <c r="E1323" s="29">
        <f>IF(A1323="","",IFERROR(INDEX('자료_미국심리'!$H$3:$H$4002,MATCH(A1323,$Q$19:$Q$4018,0)),E1322))</f>
        <v/>
      </c>
      <c r="F1323">
        <f>IF(A1323="",0,IF(A1323&gt;$B$5,1,0))</f>
        <v/>
      </c>
      <c r="G1323" s="29">
        <f>IF(AND(F1323=1,ISNUMBER(D1323)),D1323,"")</f>
        <v/>
      </c>
      <c r="H1323" s="29">
        <f>IF(AND(F1323=1,ISNUMBER(E1323)),E1323,"")</f>
        <v/>
      </c>
      <c r="I1323" s="22">
        <f>IF(AND(F1323=1,ISNUMBER(C1323)),C1323,"")</f>
        <v/>
      </c>
      <c r="J1323" s="11">
        <f>IF(G1323="","",100-IF($G$13=1,50,(_xlfn.RANK.AVG(G1323,$G$19:$G$1518,1)-1)/($G$13-1)*100))</f>
        <v/>
      </c>
      <c r="K1323" s="11">
        <f>IF(H1323="","",100-IF($G$14=1,50,(_xlfn.RANK.AVG(H1323,$H$19:$H$1518,1)-1)/($G$14-1)*100))</f>
        <v/>
      </c>
      <c r="L1323" s="11">
        <f>IF(I1323="","",IF($G$15=1,50,(_xlfn.RANK.AVG(I1323,$I$19:$I$1518,1)-1)/($G$15-1)*100))</f>
        <v/>
      </c>
      <c r="M1323" s="11">
        <f>IF(COUNT(J1323:L1323)=3,ROUND(AVERAGE(J1323:L1323),6),"")</f>
        <v/>
      </c>
      <c r="O1323">
        <f>IF(AND(ISNUMBER('자료_미국심리'!$A1307),ISNUMBER('자료_미국심리'!$B1307)),'자료_미국심리'!$A1307,"")</f>
        <v/>
      </c>
      <c r="P1323">
        <f>IF(AND(ISNUMBER('자료_미국심리'!$D1307),ISNUMBER('자료_미국심리'!$E1307)),'자료_미국심리'!$D1307,"")</f>
        <v/>
      </c>
      <c r="Q1323">
        <f>IF(AND(ISNUMBER('자료_미국심리'!$G1307),ISNUMBER('자료_미국심리'!$H1307)),'자료_미국심리'!$G1307,"")</f>
        <v/>
      </c>
    </row>
    <row r="1324">
      <c r="A1324" s="10">
        <f>IF(1306&gt;$E$5,"",SMALL($O$19:$O$4018,$E$6+1306))</f>
        <v/>
      </c>
      <c r="B1324" s="29">
        <f>IF(A1324="","",INDEX('자료_미국심리'!$B$3:$B$4002,MATCH(A1324,$O$19:$O$4018,0)))</f>
        <v/>
      </c>
      <c r="C1324" s="22">
        <f>IF(A1324="","",B1324/AVERAGE(B1200:B1324)-1)</f>
        <v/>
      </c>
      <c r="D1324" s="29">
        <f>IF(A1324="","",IFERROR(INDEX('자료_미국심리'!$E$3:$E$4002,MATCH(A1324,$P$19:$P$4018,0)),D1323))</f>
        <v/>
      </c>
      <c r="E1324" s="29">
        <f>IF(A1324="","",IFERROR(INDEX('자료_미국심리'!$H$3:$H$4002,MATCH(A1324,$Q$19:$Q$4018,0)),E1323))</f>
        <v/>
      </c>
      <c r="F1324">
        <f>IF(A1324="",0,IF(A1324&gt;$B$5,1,0))</f>
        <v/>
      </c>
      <c r="G1324" s="29">
        <f>IF(AND(F1324=1,ISNUMBER(D1324)),D1324,"")</f>
        <v/>
      </c>
      <c r="H1324" s="29">
        <f>IF(AND(F1324=1,ISNUMBER(E1324)),E1324,"")</f>
        <v/>
      </c>
      <c r="I1324" s="22">
        <f>IF(AND(F1324=1,ISNUMBER(C1324)),C1324,"")</f>
        <v/>
      </c>
      <c r="J1324" s="11">
        <f>IF(G1324="","",100-IF($G$13=1,50,(_xlfn.RANK.AVG(G1324,$G$19:$G$1518,1)-1)/($G$13-1)*100))</f>
        <v/>
      </c>
      <c r="K1324" s="11">
        <f>IF(H1324="","",100-IF($G$14=1,50,(_xlfn.RANK.AVG(H1324,$H$19:$H$1518,1)-1)/($G$14-1)*100))</f>
        <v/>
      </c>
      <c r="L1324" s="11">
        <f>IF(I1324="","",IF($G$15=1,50,(_xlfn.RANK.AVG(I1324,$I$19:$I$1518,1)-1)/($G$15-1)*100))</f>
        <v/>
      </c>
      <c r="M1324" s="11">
        <f>IF(COUNT(J1324:L1324)=3,ROUND(AVERAGE(J1324:L1324),6),"")</f>
        <v/>
      </c>
      <c r="O1324">
        <f>IF(AND(ISNUMBER('자료_미국심리'!$A1308),ISNUMBER('자료_미국심리'!$B1308)),'자료_미국심리'!$A1308,"")</f>
        <v/>
      </c>
      <c r="P1324">
        <f>IF(AND(ISNUMBER('자료_미국심리'!$D1308),ISNUMBER('자료_미국심리'!$E1308)),'자료_미국심리'!$D1308,"")</f>
        <v/>
      </c>
      <c r="Q1324">
        <f>IF(AND(ISNUMBER('자료_미국심리'!$G1308),ISNUMBER('자료_미국심리'!$H1308)),'자료_미국심리'!$G1308,"")</f>
        <v/>
      </c>
    </row>
    <row r="1325">
      <c r="A1325" s="10">
        <f>IF(1307&gt;$E$5,"",SMALL($O$19:$O$4018,$E$6+1307))</f>
        <v/>
      </c>
      <c r="B1325" s="29">
        <f>IF(A1325="","",INDEX('자료_미국심리'!$B$3:$B$4002,MATCH(A1325,$O$19:$O$4018,0)))</f>
        <v/>
      </c>
      <c r="C1325" s="22">
        <f>IF(A1325="","",B1325/AVERAGE(B1201:B1325)-1)</f>
        <v/>
      </c>
      <c r="D1325" s="29">
        <f>IF(A1325="","",IFERROR(INDEX('자료_미국심리'!$E$3:$E$4002,MATCH(A1325,$P$19:$P$4018,0)),D1324))</f>
        <v/>
      </c>
      <c r="E1325" s="29">
        <f>IF(A1325="","",IFERROR(INDEX('자료_미국심리'!$H$3:$H$4002,MATCH(A1325,$Q$19:$Q$4018,0)),E1324))</f>
        <v/>
      </c>
      <c r="F1325">
        <f>IF(A1325="",0,IF(A1325&gt;$B$5,1,0))</f>
        <v/>
      </c>
      <c r="G1325" s="29">
        <f>IF(AND(F1325=1,ISNUMBER(D1325)),D1325,"")</f>
        <v/>
      </c>
      <c r="H1325" s="29">
        <f>IF(AND(F1325=1,ISNUMBER(E1325)),E1325,"")</f>
        <v/>
      </c>
      <c r="I1325" s="22">
        <f>IF(AND(F1325=1,ISNUMBER(C1325)),C1325,"")</f>
        <v/>
      </c>
      <c r="J1325" s="11">
        <f>IF(G1325="","",100-IF($G$13=1,50,(_xlfn.RANK.AVG(G1325,$G$19:$G$1518,1)-1)/($G$13-1)*100))</f>
        <v/>
      </c>
      <c r="K1325" s="11">
        <f>IF(H1325="","",100-IF($G$14=1,50,(_xlfn.RANK.AVG(H1325,$H$19:$H$1518,1)-1)/($G$14-1)*100))</f>
        <v/>
      </c>
      <c r="L1325" s="11">
        <f>IF(I1325="","",IF($G$15=1,50,(_xlfn.RANK.AVG(I1325,$I$19:$I$1518,1)-1)/($G$15-1)*100))</f>
        <v/>
      </c>
      <c r="M1325" s="11">
        <f>IF(COUNT(J1325:L1325)=3,ROUND(AVERAGE(J1325:L1325),6),"")</f>
        <v/>
      </c>
      <c r="O1325">
        <f>IF(AND(ISNUMBER('자료_미국심리'!$A1309),ISNUMBER('자료_미국심리'!$B1309)),'자료_미국심리'!$A1309,"")</f>
        <v/>
      </c>
      <c r="P1325">
        <f>IF(AND(ISNUMBER('자료_미국심리'!$D1309),ISNUMBER('자료_미국심리'!$E1309)),'자료_미국심리'!$D1309,"")</f>
        <v/>
      </c>
      <c r="Q1325">
        <f>IF(AND(ISNUMBER('자료_미국심리'!$G1309),ISNUMBER('자료_미국심리'!$H1309)),'자료_미국심리'!$G1309,"")</f>
        <v/>
      </c>
    </row>
    <row r="1326">
      <c r="A1326" s="10">
        <f>IF(1308&gt;$E$5,"",SMALL($O$19:$O$4018,$E$6+1308))</f>
        <v/>
      </c>
      <c r="B1326" s="29">
        <f>IF(A1326="","",INDEX('자료_미국심리'!$B$3:$B$4002,MATCH(A1326,$O$19:$O$4018,0)))</f>
        <v/>
      </c>
      <c r="C1326" s="22">
        <f>IF(A1326="","",B1326/AVERAGE(B1202:B1326)-1)</f>
        <v/>
      </c>
      <c r="D1326" s="29">
        <f>IF(A1326="","",IFERROR(INDEX('자료_미국심리'!$E$3:$E$4002,MATCH(A1326,$P$19:$P$4018,0)),D1325))</f>
        <v/>
      </c>
      <c r="E1326" s="29">
        <f>IF(A1326="","",IFERROR(INDEX('자료_미국심리'!$H$3:$H$4002,MATCH(A1326,$Q$19:$Q$4018,0)),E1325))</f>
        <v/>
      </c>
      <c r="F1326">
        <f>IF(A1326="",0,IF(A1326&gt;$B$5,1,0))</f>
        <v/>
      </c>
      <c r="G1326" s="29">
        <f>IF(AND(F1326=1,ISNUMBER(D1326)),D1326,"")</f>
        <v/>
      </c>
      <c r="H1326" s="29">
        <f>IF(AND(F1326=1,ISNUMBER(E1326)),E1326,"")</f>
        <v/>
      </c>
      <c r="I1326" s="22">
        <f>IF(AND(F1326=1,ISNUMBER(C1326)),C1326,"")</f>
        <v/>
      </c>
      <c r="J1326" s="11">
        <f>IF(G1326="","",100-IF($G$13=1,50,(_xlfn.RANK.AVG(G1326,$G$19:$G$1518,1)-1)/($G$13-1)*100))</f>
        <v/>
      </c>
      <c r="K1326" s="11">
        <f>IF(H1326="","",100-IF($G$14=1,50,(_xlfn.RANK.AVG(H1326,$H$19:$H$1518,1)-1)/($G$14-1)*100))</f>
        <v/>
      </c>
      <c r="L1326" s="11">
        <f>IF(I1326="","",IF($G$15=1,50,(_xlfn.RANK.AVG(I1326,$I$19:$I$1518,1)-1)/($G$15-1)*100))</f>
        <v/>
      </c>
      <c r="M1326" s="11">
        <f>IF(COUNT(J1326:L1326)=3,ROUND(AVERAGE(J1326:L1326),6),"")</f>
        <v/>
      </c>
      <c r="O1326">
        <f>IF(AND(ISNUMBER('자료_미국심리'!$A1310),ISNUMBER('자료_미국심리'!$B1310)),'자료_미국심리'!$A1310,"")</f>
        <v/>
      </c>
      <c r="P1326">
        <f>IF(AND(ISNUMBER('자료_미국심리'!$D1310),ISNUMBER('자료_미국심리'!$E1310)),'자료_미국심리'!$D1310,"")</f>
        <v/>
      </c>
      <c r="Q1326">
        <f>IF(AND(ISNUMBER('자료_미국심리'!$G1310),ISNUMBER('자료_미국심리'!$H1310)),'자료_미국심리'!$G1310,"")</f>
        <v/>
      </c>
    </row>
    <row r="1327">
      <c r="A1327" s="10">
        <f>IF(1309&gt;$E$5,"",SMALL($O$19:$O$4018,$E$6+1309))</f>
        <v/>
      </c>
      <c r="B1327" s="29">
        <f>IF(A1327="","",INDEX('자료_미국심리'!$B$3:$B$4002,MATCH(A1327,$O$19:$O$4018,0)))</f>
        <v/>
      </c>
      <c r="C1327" s="22">
        <f>IF(A1327="","",B1327/AVERAGE(B1203:B1327)-1)</f>
        <v/>
      </c>
      <c r="D1327" s="29">
        <f>IF(A1327="","",IFERROR(INDEX('자료_미국심리'!$E$3:$E$4002,MATCH(A1327,$P$19:$P$4018,0)),D1326))</f>
        <v/>
      </c>
      <c r="E1327" s="29">
        <f>IF(A1327="","",IFERROR(INDEX('자료_미국심리'!$H$3:$H$4002,MATCH(A1327,$Q$19:$Q$4018,0)),E1326))</f>
        <v/>
      </c>
      <c r="F1327">
        <f>IF(A1327="",0,IF(A1327&gt;$B$5,1,0))</f>
        <v/>
      </c>
      <c r="G1327" s="29">
        <f>IF(AND(F1327=1,ISNUMBER(D1327)),D1327,"")</f>
        <v/>
      </c>
      <c r="H1327" s="29">
        <f>IF(AND(F1327=1,ISNUMBER(E1327)),E1327,"")</f>
        <v/>
      </c>
      <c r="I1327" s="22">
        <f>IF(AND(F1327=1,ISNUMBER(C1327)),C1327,"")</f>
        <v/>
      </c>
      <c r="J1327" s="11">
        <f>IF(G1327="","",100-IF($G$13=1,50,(_xlfn.RANK.AVG(G1327,$G$19:$G$1518,1)-1)/($G$13-1)*100))</f>
        <v/>
      </c>
      <c r="K1327" s="11">
        <f>IF(H1327="","",100-IF($G$14=1,50,(_xlfn.RANK.AVG(H1327,$H$19:$H$1518,1)-1)/($G$14-1)*100))</f>
        <v/>
      </c>
      <c r="L1327" s="11">
        <f>IF(I1327="","",IF($G$15=1,50,(_xlfn.RANK.AVG(I1327,$I$19:$I$1518,1)-1)/($G$15-1)*100))</f>
        <v/>
      </c>
      <c r="M1327" s="11">
        <f>IF(COUNT(J1327:L1327)=3,ROUND(AVERAGE(J1327:L1327),6),"")</f>
        <v/>
      </c>
      <c r="O1327">
        <f>IF(AND(ISNUMBER('자료_미국심리'!$A1311),ISNUMBER('자료_미국심리'!$B1311)),'자료_미국심리'!$A1311,"")</f>
        <v/>
      </c>
      <c r="P1327">
        <f>IF(AND(ISNUMBER('자료_미국심리'!$D1311),ISNUMBER('자료_미국심리'!$E1311)),'자료_미국심리'!$D1311,"")</f>
        <v/>
      </c>
      <c r="Q1327">
        <f>IF(AND(ISNUMBER('자료_미국심리'!$G1311),ISNUMBER('자료_미국심리'!$H1311)),'자료_미국심리'!$G1311,"")</f>
        <v/>
      </c>
    </row>
    <row r="1328">
      <c r="A1328" s="10">
        <f>IF(1310&gt;$E$5,"",SMALL($O$19:$O$4018,$E$6+1310))</f>
        <v/>
      </c>
      <c r="B1328" s="29">
        <f>IF(A1328="","",INDEX('자료_미국심리'!$B$3:$B$4002,MATCH(A1328,$O$19:$O$4018,0)))</f>
        <v/>
      </c>
      <c r="C1328" s="22">
        <f>IF(A1328="","",B1328/AVERAGE(B1204:B1328)-1)</f>
        <v/>
      </c>
      <c r="D1328" s="29">
        <f>IF(A1328="","",IFERROR(INDEX('자료_미국심리'!$E$3:$E$4002,MATCH(A1328,$P$19:$P$4018,0)),D1327))</f>
        <v/>
      </c>
      <c r="E1328" s="29">
        <f>IF(A1328="","",IFERROR(INDEX('자료_미국심리'!$H$3:$H$4002,MATCH(A1328,$Q$19:$Q$4018,0)),E1327))</f>
        <v/>
      </c>
      <c r="F1328">
        <f>IF(A1328="",0,IF(A1328&gt;$B$5,1,0))</f>
        <v/>
      </c>
      <c r="G1328" s="29">
        <f>IF(AND(F1328=1,ISNUMBER(D1328)),D1328,"")</f>
        <v/>
      </c>
      <c r="H1328" s="29">
        <f>IF(AND(F1328=1,ISNUMBER(E1328)),E1328,"")</f>
        <v/>
      </c>
      <c r="I1328" s="22">
        <f>IF(AND(F1328=1,ISNUMBER(C1328)),C1328,"")</f>
        <v/>
      </c>
      <c r="J1328" s="11">
        <f>IF(G1328="","",100-IF($G$13=1,50,(_xlfn.RANK.AVG(G1328,$G$19:$G$1518,1)-1)/($G$13-1)*100))</f>
        <v/>
      </c>
      <c r="K1328" s="11">
        <f>IF(H1328="","",100-IF($G$14=1,50,(_xlfn.RANK.AVG(H1328,$H$19:$H$1518,1)-1)/($G$14-1)*100))</f>
        <v/>
      </c>
      <c r="L1328" s="11">
        <f>IF(I1328="","",IF($G$15=1,50,(_xlfn.RANK.AVG(I1328,$I$19:$I$1518,1)-1)/($G$15-1)*100))</f>
        <v/>
      </c>
      <c r="M1328" s="11">
        <f>IF(COUNT(J1328:L1328)=3,ROUND(AVERAGE(J1328:L1328),6),"")</f>
        <v/>
      </c>
      <c r="O1328">
        <f>IF(AND(ISNUMBER('자료_미국심리'!$A1312),ISNUMBER('자료_미국심리'!$B1312)),'자료_미국심리'!$A1312,"")</f>
        <v/>
      </c>
      <c r="P1328">
        <f>IF(AND(ISNUMBER('자료_미국심리'!$D1312),ISNUMBER('자료_미국심리'!$E1312)),'자료_미국심리'!$D1312,"")</f>
        <v/>
      </c>
      <c r="Q1328">
        <f>IF(AND(ISNUMBER('자료_미국심리'!$G1312),ISNUMBER('자료_미국심리'!$H1312)),'자료_미국심리'!$G1312,"")</f>
        <v/>
      </c>
    </row>
    <row r="1329">
      <c r="A1329" s="10">
        <f>IF(1311&gt;$E$5,"",SMALL($O$19:$O$4018,$E$6+1311))</f>
        <v/>
      </c>
      <c r="B1329" s="29">
        <f>IF(A1329="","",INDEX('자료_미국심리'!$B$3:$B$4002,MATCH(A1329,$O$19:$O$4018,0)))</f>
        <v/>
      </c>
      <c r="C1329" s="22">
        <f>IF(A1329="","",B1329/AVERAGE(B1205:B1329)-1)</f>
        <v/>
      </c>
      <c r="D1329" s="29">
        <f>IF(A1329="","",IFERROR(INDEX('자료_미국심리'!$E$3:$E$4002,MATCH(A1329,$P$19:$P$4018,0)),D1328))</f>
        <v/>
      </c>
      <c r="E1329" s="29">
        <f>IF(A1329="","",IFERROR(INDEX('자료_미국심리'!$H$3:$H$4002,MATCH(A1329,$Q$19:$Q$4018,0)),E1328))</f>
        <v/>
      </c>
      <c r="F1329">
        <f>IF(A1329="",0,IF(A1329&gt;$B$5,1,0))</f>
        <v/>
      </c>
      <c r="G1329" s="29">
        <f>IF(AND(F1329=1,ISNUMBER(D1329)),D1329,"")</f>
        <v/>
      </c>
      <c r="H1329" s="29">
        <f>IF(AND(F1329=1,ISNUMBER(E1329)),E1329,"")</f>
        <v/>
      </c>
      <c r="I1329" s="22">
        <f>IF(AND(F1329=1,ISNUMBER(C1329)),C1329,"")</f>
        <v/>
      </c>
      <c r="J1329" s="11">
        <f>IF(G1329="","",100-IF($G$13=1,50,(_xlfn.RANK.AVG(G1329,$G$19:$G$1518,1)-1)/($G$13-1)*100))</f>
        <v/>
      </c>
      <c r="K1329" s="11">
        <f>IF(H1329="","",100-IF($G$14=1,50,(_xlfn.RANK.AVG(H1329,$H$19:$H$1518,1)-1)/($G$14-1)*100))</f>
        <v/>
      </c>
      <c r="L1329" s="11">
        <f>IF(I1329="","",IF($G$15=1,50,(_xlfn.RANK.AVG(I1329,$I$19:$I$1518,1)-1)/($G$15-1)*100))</f>
        <v/>
      </c>
      <c r="M1329" s="11">
        <f>IF(COUNT(J1329:L1329)=3,ROUND(AVERAGE(J1329:L1329),6),"")</f>
        <v/>
      </c>
      <c r="O1329">
        <f>IF(AND(ISNUMBER('자료_미국심리'!$A1313),ISNUMBER('자료_미국심리'!$B1313)),'자료_미국심리'!$A1313,"")</f>
        <v/>
      </c>
      <c r="P1329">
        <f>IF(AND(ISNUMBER('자료_미국심리'!$D1313),ISNUMBER('자료_미국심리'!$E1313)),'자료_미국심리'!$D1313,"")</f>
        <v/>
      </c>
      <c r="Q1329">
        <f>IF(AND(ISNUMBER('자료_미국심리'!$G1313),ISNUMBER('자료_미국심리'!$H1313)),'자료_미국심리'!$G1313,"")</f>
        <v/>
      </c>
    </row>
    <row r="1330">
      <c r="A1330" s="10">
        <f>IF(1312&gt;$E$5,"",SMALL($O$19:$O$4018,$E$6+1312))</f>
        <v/>
      </c>
      <c r="B1330" s="29">
        <f>IF(A1330="","",INDEX('자료_미국심리'!$B$3:$B$4002,MATCH(A1330,$O$19:$O$4018,0)))</f>
        <v/>
      </c>
      <c r="C1330" s="22">
        <f>IF(A1330="","",B1330/AVERAGE(B1206:B1330)-1)</f>
        <v/>
      </c>
      <c r="D1330" s="29">
        <f>IF(A1330="","",IFERROR(INDEX('자료_미국심리'!$E$3:$E$4002,MATCH(A1330,$P$19:$P$4018,0)),D1329))</f>
        <v/>
      </c>
      <c r="E1330" s="29">
        <f>IF(A1330="","",IFERROR(INDEX('자료_미국심리'!$H$3:$H$4002,MATCH(A1330,$Q$19:$Q$4018,0)),E1329))</f>
        <v/>
      </c>
      <c r="F1330">
        <f>IF(A1330="",0,IF(A1330&gt;$B$5,1,0))</f>
        <v/>
      </c>
      <c r="G1330" s="29">
        <f>IF(AND(F1330=1,ISNUMBER(D1330)),D1330,"")</f>
        <v/>
      </c>
      <c r="H1330" s="29">
        <f>IF(AND(F1330=1,ISNUMBER(E1330)),E1330,"")</f>
        <v/>
      </c>
      <c r="I1330" s="22">
        <f>IF(AND(F1330=1,ISNUMBER(C1330)),C1330,"")</f>
        <v/>
      </c>
      <c r="J1330" s="11">
        <f>IF(G1330="","",100-IF($G$13=1,50,(_xlfn.RANK.AVG(G1330,$G$19:$G$1518,1)-1)/($G$13-1)*100))</f>
        <v/>
      </c>
      <c r="K1330" s="11">
        <f>IF(H1330="","",100-IF($G$14=1,50,(_xlfn.RANK.AVG(H1330,$H$19:$H$1518,1)-1)/($G$14-1)*100))</f>
        <v/>
      </c>
      <c r="L1330" s="11">
        <f>IF(I1330="","",IF($G$15=1,50,(_xlfn.RANK.AVG(I1330,$I$19:$I$1518,1)-1)/($G$15-1)*100))</f>
        <v/>
      </c>
      <c r="M1330" s="11">
        <f>IF(COUNT(J1330:L1330)=3,ROUND(AVERAGE(J1330:L1330),6),"")</f>
        <v/>
      </c>
      <c r="O1330">
        <f>IF(AND(ISNUMBER('자료_미국심리'!$A1314),ISNUMBER('자료_미국심리'!$B1314)),'자료_미국심리'!$A1314,"")</f>
        <v/>
      </c>
      <c r="P1330">
        <f>IF(AND(ISNUMBER('자료_미국심리'!$D1314),ISNUMBER('자료_미국심리'!$E1314)),'자료_미국심리'!$D1314,"")</f>
        <v/>
      </c>
      <c r="Q1330">
        <f>IF(AND(ISNUMBER('자료_미국심리'!$G1314),ISNUMBER('자료_미국심리'!$H1314)),'자료_미국심리'!$G1314,"")</f>
        <v/>
      </c>
    </row>
    <row r="1331">
      <c r="A1331" s="10">
        <f>IF(1313&gt;$E$5,"",SMALL($O$19:$O$4018,$E$6+1313))</f>
        <v/>
      </c>
      <c r="B1331" s="29">
        <f>IF(A1331="","",INDEX('자료_미국심리'!$B$3:$B$4002,MATCH(A1331,$O$19:$O$4018,0)))</f>
        <v/>
      </c>
      <c r="C1331" s="22">
        <f>IF(A1331="","",B1331/AVERAGE(B1207:B1331)-1)</f>
        <v/>
      </c>
      <c r="D1331" s="29">
        <f>IF(A1331="","",IFERROR(INDEX('자료_미국심리'!$E$3:$E$4002,MATCH(A1331,$P$19:$P$4018,0)),D1330))</f>
        <v/>
      </c>
      <c r="E1331" s="29">
        <f>IF(A1331="","",IFERROR(INDEX('자료_미국심리'!$H$3:$H$4002,MATCH(A1331,$Q$19:$Q$4018,0)),E1330))</f>
        <v/>
      </c>
      <c r="F1331">
        <f>IF(A1331="",0,IF(A1331&gt;$B$5,1,0))</f>
        <v/>
      </c>
      <c r="G1331" s="29">
        <f>IF(AND(F1331=1,ISNUMBER(D1331)),D1331,"")</f>
        <v/>
      </c>
      <c r="H1331" s="29">
        <f>IF(AND(F1331=1,ISNUMBER(E1331)),E1331,"")</f>
        <v/>
      </c>
      <c r="I1331" s="22">
        <f>IF(AND(F1331=1,ISNUMBER(C1331)),C1331,"")</f>
        <v/>
      </c>
      <c r="J1331" s="11">
        <f>IF(G1331="","",100-IF($G$13=1,50,(_xlfn.RANK.AVG(G1331,$G$19:$G$1518,1)-1)/($G$13-1)*100))</f>
        <v/>
      </c>
      <c r="K1331" s="11">
        <f>IF(H1331="","",100-IF($G$14=1,50,(_xlfn.RANK.AVG(H1331,$H$19:$H$1518,1)-1)/($G$14-1)*100))</f>
        <v/>
      </c>
      <c r="L1331" s="11">
        <f>IF(I1331="","",IF($G$15=1,50,(_xlfn.RANK.AVG(I1331,$I$19:$I$1518,1)-1)/($G$15-1)*100))</f>
        <v/>
      </c>
      <c r="M1331" s="11">
        <f>IF(COUNT(J1331:L1331)=3,ROUND(AVERAGE(J1331:L1331),6),"")</f>
        <v/>
      </c>
      <c r="O1331">
        <f>IF(AND(ISNUMBER('자료_미국심리'!$A1315),ISNUMBER('자료_미국심리'!$B1315)),'자료_미국심리'!$A1315,"")</f>
        <v/>
      </c>
      <c r="P1331">
        <f>IF(AND(ISNUMBER('자료_미국심리'!$D1315),ISNUMBER('자료_미국심리'!$E1315)),'자료_미국심리'!$D1315,"")</f>
        <v/>
      </c>
      <c r="Q1331">
        <f>IF(AND(ISNUMBER('자료_미국심리'!$G1315),ISNUMBER('자료_미국심리'!$H1315)),'자료_미국심리'!$G1315,"")</f>
        <v/>
      </c>
    </row>
    <row r="1332">
      <c r="A1332" s="10">
        <f>IF(1314&gt;$E$5,"",SMALL($O$19:$O$4018,$E$6+1314))</f>
        <v/>
      </c>
      <c r="B1332" s="29">
        <f>IF(A1332="","",INDEX('자료_미국심리'!$B$3:$B$4002,MATCH(A1332,$O$19:$O$4018,0)))</f>
        <v/>
      </c>
      <c r="C1332" s="22">
        <f>IF(A1332="","",B1332/AVERAGE(B1208:B1332)-1)</f>
        <v/>
      </c>
      <c r="D1332" s="29">
        <f>IF(A1332="","",IFERROR(INDEX('자료_미국심리'!$E$3:$E$4002,MATCH(A1332,$P$19:$P$4018,0)),D1331))</f>
        <v/>
      </c>
      <c r="E1332" s="29">
        <f>IF(A1332="","",IFERROR(INDEX('자료_미국심리'!$H$3:$H$4002,MATCH(A1332,$Q$19:$Q$4018,0)),E1331))</f>
        <v/>
      </c>
      <c r="F1332">
        <f>IF(A1332="",0,IF(A1332&gt;$B$5,1,0))</f>
        <v/>
      </c>
      <c r="G1332" s="29">
        <f>IF(AND(F1332=1,ISNUMBER(D1332)),D1332,"")</f>
        <v/>
      </c>
      <c r="H1332" s="29">
        <f>IF(AND(F1332=1,ISNUMBER(E1332)),E1332,"")</f>
        <v/>
      </c>
      <c r="I1332" s="22">
        <f>IF(AND(F1332=1,ISNUMBER(C1332)),C1332,"")</f>
        <v/>
      </c>
      <c r="J1332" s="11">
        <f>IF(G1332="","",100-IF($G$13=1,50,(_xlfn.RANK.AVG(G1332,$G$19:$G$1518,1)-1)/($G$13-1)*100))</f>
        <v/>
      </c>
      <c r="K1332" s="11">
        <f>IF(H1332="","",100-IF($G$14=1,50,(_xlfn.RANK.AVG(H1332,$H$19:$H$1518,1)-1)/($G$14-1)*100))</f>
        <v/>
      </c>
      <c r="L1332" s="11">
        <f>IF(I1332="","",IF($G$15=1,50,(_xlfn.RANK.AVG(I1332,$I$19:$I$1518,1)-1)/($G$15-1)*100))</f>
        <v/>
      </c>
      <c r="M1332" s="11">
        <f>IF(COUNT(J1332:L1332)=3,ROUND(AVERAGE(J1332:L1332),6),"")</f>
        <v/>
      </c>
      <c r="O1332">
        <f>IF(AND(ISNUMBER('자료_미국심리'!$A1316),ISNUMBER('자료_미국심리'!$B1316)),'자료_미국심리'!$A1316,"")</f>
        <v/>
      </c>
      <c r="P1332">
        <f>IF(AND(ISNUMBER('자료_미국심리'!$D1316),ISNUMBER('자료_미국심리'!$E1316)),'자료_미국심리'!$D1316,"")</f>
        <v/>
      </c>
      <c r="Q1332">
        <f>IF(AND(ISNUMBER('자료_미국심리'!$G1316),ISNUMBER('자료_미국심리'!$H1316)),'자료_미국심리'!$G1316,"")</f>
        <v/>
      </c>
    </row>
    <row r="1333">
      <c r="A1333" s="10">
        <f>IF(1315&gt;$E$5,"",SMALL($O$19:$O$4018,$E$6+1315))</f>
        <v/>
      </c>
      <c r="B1333" s="29">
        <f>IF(A1333="","",INDEX('자료_미국심리'!$B$3:$B$4002,MATCH(A1333,$O$19:$O$4018,0)))</f>
        <v/>
      </c>
      <c r="C1333" s="22">
        <f>IF(A1333="","",B1333/AVERAGE(B1209:B1333)-1)</f>
        <v/>
      </c>
      <c r="D1333" s="29">
        <f>IF(A1333="","",IFERROR(INDEX('자료_미국심리'!$E$3:$E$4002,MATCH(A1333,$P$19:$P$4018,0)),D1332))</f>
        <v/>
      </c>
      <c r="E1333" s="29">
        <f>IF(A1333="","",IFERROR(INDEX('자료_미국심리'!$H$3:$H$4002,MATCH(A1333,$Q$19:$Q$4018,0)),E1332))</f>
        <v/>
      </c>
      <c r="F1333">
        <f>IF(A1333="",0,IF(A1333&gt;$B$5,1,0))</f>
        <v/>
      </c>
      <c r="G1333" s="29">
        <f>IF(AND(F1333=1,ISNUMBER(D1333)),D1333,"")</f>
        <v/>
      </c>
      <c r="H1333" s="29">
        <f>IF(AND(F1333=1,ISNUMBER(E1333)),E1333,"")</f>
        <v/>
      </c>
      <c r="I1333" s="22">
        <f>IF(AND(F1333=1,ISNUMBER(C1333)),C1333,"")</f>
        <v/>
      </c>
      <c r="J1333" s="11">
        <f>IF(G1333="","",100-IF($G$13=1,50,(_xlfn.RANK.AVG(G1333,$G$19:$G$1518,1)-1)/($G$13-1)*100))</f>
        <v/>
      </c>
      <c r="K1333" s="11">
        <f>IF(H1333="","",100-IF($G$14=1,50,(_xlfn.RANK.AVG(H1333,$H$19:$H$1518,1)-1)/($G$14-1)*100))</f>
        <v/>
      </c>
      <c r="L1333" s="11">
        <f>IF(I1333="","",IF($G$15=1,50,(_xlfn.RANK.AVG(I1333,$I$19:$I$1518,1)-1)/($G$15-1)*100))</f>
        <v/>
      </c>
      <c r="M1333" s="11">
        <f>IF(COUNT(J1333:L1333)=3,ROUND(AVERAGE(J1333:L1333),6),"")</f>
        <v/>
      </c>
      <c r="O1333">
        <f>IF(AND(ISNUMBER('자료_미국심리'!$A1317),ISNUMBER('자료_미국심리'!$B1317)),'자료_미국심리'!$A1317,"")</f>
        <v/>
      </c>
      <c r="P1333">
        <f>IF(AND(ISNUMBER('자료_미국심리'!$D1317),ISNUMBER('자료_미국심리'!$E1317)),'자료_미국심리'!$D1317,"")</f>
        <v/>
      </c>
      <c r="Q1333">
        <f>IF(AND(ISNUMBER('자료_미국심리'!$G1317),ISNUMBER('자료_미국심리'!$H1317)),'자료_미국심리'!$G1317,"")</f>
        <v/>
      </c>
    </row>
    <row r="1334">
      <c r="A1334" s="10">
        <f>IF(1316&gt;$E$5,"",SMALL($O$19:$O$4018,$E$6+1316))</f>
        <v/>
      </c>
      <c r="B1334" s="29">
        <f>IF(A1334="","",INDEX('자료_미국심리'!$B$3:$B$4002,MATCH(A1334,$O$19:$O$4018,0)))</f>
        <v/>
      </c>
      <c r="C1334" s="22">
        <f>IF(A1334="","",B1334/AVERAGE(B1210:B1334)-1)</f>
        <v/>
      </c>
      <c r="D1334" s="29">
        <f>IF(A1334="","",IFERROR(INDEX('자료_미국심리'!$E$3:$E$4002,MATCH(A1334,$P$19:$P$4018,0)),D1333))</f>
        <v/>
      </c>
      <c r="E1334" s="29">
        <f>IF(A1334="","",IFERROR(INDEX('자료_미국심리'!$H$3:$H$4002,MATCH(A1334,$Q$19:$Q$4018,0)),E1333))</f>
        <v/>
      </c>
      <c r="F1334">
        <f>IF(A1334="",0,IF(A1334&gt;$B$5,1,0))</f>
        <v/>
      </c>
      <c r="G1334" s="29">
        <f>IF(AND(F1334=1,ISNUMBER(D1334)),D1334,"")</f>
        <v/>
      </c>
      <c r="H1334" s="29">
        <f>IF(AND(F1334=1,ISNUMBER(E1334)),E1334,"")</f>
        <v/>
      </c>
      <c r="I1334" s="22">
        <f>IF(AND(F1334=1,ISNUMBER(C1334)),C1334,"")</f>
        <v/>
      </c>
      <c r="J1334" s="11">
        <f>IF(G1334="","",100-IF($G$13=1,50,(_xlfn.RANK.AVG(G1334,$G$19:$G$1518,1)-1)/($G$13-1)*100))</f>
        <v/>
      </c>
      <c r="K1334" s="11">
        <f>IF(H1334="","",100-IF($G$14=1,50,(_xlfn.RANK.AVG(H1334,$H$19:$H$1518,1)-1)/($G$14-1)*100))</f>
        <v/>
      </c>
      <c r="L1334" s="11">
        <f>IF(I1334="","",IF($G$15=1,50,(_xlfn.RANK.AVG(I1334,$I$19:$I$1518,1)-1)/($G$15-1)*100))</f>
        <v/>
      </c>
      <c r="M1334" s="11">
        <f>IF(COUNT(J1334:L1334)=3,ROUND(AVERAGE(J1334:L1334),6),"")</f>
        <v/>
      </c>
      <c r="O1334">
        <f>IF(AND(ISNUMBER('자료_미국심리'!$A1318),ISNUMBER('자료_미국심리'!$B1318)),'자료_미국심리'!$A1318,"")</f>
        <v/>
      </c>
      <c r="P1334">
        <f>IF(AND(ISNUMBER('자료_미국심리'!$D1318),ISNUMBER('자료_미국심리'!$E1318)),'자료_미국심리'!$D1318,"")</f>
        <v/>
      </c>
      <c r="Q1334">
        <f>IF(AND(ISNUMBER('자료_미국심리'!$G1318),ISNUMBER('자료_미국심리'!$H1318)),'자료_미국심리'!$G1318,"")</f>
        <v/>
      </c>
    </row>
    <row r="1335">
      <c r="A1335" s="10">
        <f>IF(1317&gt;$E$5,"",SMALL($O$19:$O$4018,$E$6+1317))</f>
        <v/>
      </c>
      <c r="B1335" s="29">
        <f>IF(A1335="","",INDEX('자료_미국심리'!$B$3:$B$4002,MATCH(A1335,$O$19:$O$4018,0)))</f>
        <v/>
      </c>
      <c r="C1335" s="22">
        <f>IF(A1335="","",B1335/AVERAGE(B1211:B1335)-1)</f>
        <v/>
      </c>
      <c r="D1335" s="29">
        <f>IF(A1335="","",IFERROR(INDEX('자료_미국심리'!$E$3:$E$4002,MATCH(A1335,$P$19:$P$4018,0)),D1334))</f>
        <v/>
      </c>
      <c r="E1335" s="29">
        <f>IF(A1335="","",IFERROR(INDEX('자료_미국심리'!$H$3:$H$4002,MATCH(A1335,$Q$19:$Q$4018,0)),E1334))</f>
        <v/>
      </c>
      <c r="F1335">
        <f>IF(A1335="",0,IF(A1335&gt;$B$5,1,0))</f>
        <v/>
      </c>
      <c r="G1335" s="29">
        <f>IF(AND(F1335=1,ISNUMBER(D1335)),D1335,"")</f>
        <v/>
      </c>
      <c r="H1335" s="29">
        <f>IF(AND(F1335=1,ISNUMBER(E1335)),E1335,"")</f>
        <v/>
      </c>
      <c r="I1335" s="22">
        <f>IF(AND(F1335=1,ISNUMBER(C1335)),C1335,"")</f>
        <v/>
      </c>
      <c r="J1335" s="11">
        <f>IF(G1335="","",100-IF($G$13=1,50,(_xlfn.RANK.AVG(G1335,$G$19:$G$1518,1)-1)/($G$13-1)*100))</f>
        <v/>
      </c>
      <c r="K1335" s="11">
        <f>IF(H1335="","",100-IF($G$14=1,50,(_xlfn.RANK.AVG(H1335,$H$19:$H$1518,1)-1)/($G$14-1)*100))</f>
        <v/>
      </c>
      <c r="L1335" s="11">
        <f>IF(I1335="","",IF($G$15=1,50,(_xlfn.RANK.AVG(I1335,$I$19:$I$1518,1)-1)/($G$15-1)*100))</f>
        <v/>
      </c>
      <c r="M1335" s="11">
        <f>IF(COUNT(J1335:L1335)=3,ROUND(AVERAGE(J1335:L1335),6),"")</f>
        <v/>
      </c>
      <c r="O1335">
        <f>IF(AND(ISNUMBER('자료_미국심리'!$A1319),ISNUMBER('자료_미국심리'!$B1319)),'자료_미국심리'!$A1319,"")</f>
        <v/>
      </c>
      <c r="P1335">
        <f>IF(AND(ISNUMBER('자료_미국심리'!$D1319),ISNUMBER('자료_미국심리'!$E1319)),'자료_미국심리'!$D1319,"")</f>
        <v/>
      </c>
      <c r="Q1335">
        <f>IF(AND(ISNUMBER('자료_미국심리'!$G1319),ISNUMBER('자료_미국심리'!$H1319)),'자료_미국심리'!$G1319,"")</f>
        <v/>
      </c>
    </row>
    <row r="1336">
      <c r="A1336" s="10">
        <f>IF(1318&gt;$E$5,"",SMALL($O$19:$O$4018,$E$6+1318))</f>
        <v/>
      </c>
      <c r="B1336" s="29">
        <f>IF(A1336="","",INDEX('자료_미국심리'!$B$3:$B$4002,MATCH(A1336,$O$19:$O$4018,0)))</f>
        <v/>
      </c>
      <c r="C1336" s="22">
        <f>IF(A1336="","",B1336/AVERAGE(B1212:B1336)-1)</f>
        <v/>
      </c>
      <c r="D1336" s="29">
        <f>IF(A1336="","",IFERROR(INDEX('자료_미국심리'!$E$3:$E$4002,MATCH(A1336,$P$19:$P$4018,0)),D1335))</f>
        <v/>
      </c>
      <c r="E1336" s="29">
        <f>IF(A1336="","",IFERROR(INDEX('자료_미국심리'!$H$3:$H$4002,MATCH(A1336,$Q$19:$Q$4018,0)),E1335))</f>
        <v/>
      </c>
      <c r="F1336">
        <f>IF(A1336="",0,IF(A1336&gt;$B$5,1,0))</f>
        <v/>
      </c>
      <c r="G1336" s="29">
        <f>IF(AND(F1336=1,ISNUMBER(D1336)),D1336,"")</f>
        <v/>
      </c>
      <c r="H1336" s="29">
        <f>IF(AND(F1336=1,ISNUMBER(E1336)),E1336,"")</f>
        <v/>
      </c>
      <c r="I1336" s="22">
        <f>IF(AND(F1336=1,ISNUMBER(C1336)),C1336,"")</f>
        <v/>
      </c>
      <c r="J1336" s="11">
        <f>IF(G1336="","",100-IF($G$13=1,50,(_xlfn.RANK.AVG(G1336,$G$19:$G$1518,1)-1)/($G$13-1)*100))</f>
        <v/>
      </c>
      <c r="K1336" s="11">
        <f>IF(H1336="","",100-IF($G$14=1,50,(_xlfn.RANK.AVG(H1336,$H$19:$H$1518,1)-1)/($G$14-1)*100))</f>
        <v/>
      </c>
      <c r="L1336" s="11">
        <f>IF(I1336="","",IF($G$15=1,50,(_xlfn.RANK.AVG(I1336,$I$19:$I$1518,1)-1)/($G$15-1)*100))</f>
        <v/>
      </c>
      <c r="M1336" s="11">
        <f>IF(COUNT(J1336:L1336)=3,ROUND(AVERAGE(J1336:L1336),6),"")</f>
        <v/>
      </c>
      <c r="O1336">
        <f>IF(AND(ISNUMBER('자료_미국심리'!$A1320),ISNUMBER('자료_미국심리'!$B1320)),'자료_미국심리'!$A1320,"")</f>
        <v/>
      </c>
      <c r="P1336">
        <f>IF(AND(ISNUMBER('자료_미국심리'!$D1320),ISNUMBER('자료_미국심리'!$E1320)),'자료_미국심리'!$D1320,"")</f>
        <v/>
      </c>
      <c r="Q1336">
        <f>IF(AND(ISNUMBER('자료_미국심리'!$G1320),ISNUMBER('자료_미국심리'!$H1320)),'자료_미국심리'!$G1320,"")</f>
        <v/>
      </c>
    </row>
    <row r="1337">
      <c r="A1337" s="10">
        <f>IF(1319&gt;$E$5,"",SMALL($O$19:$O$4018,$E$6+1319))</f>
        <v/>
      </c>
      <c r="B1337" s="29">
        <f>IF(A1337="","",INDEX('자료_미국심리'!$B$3:$B$4002,MATCH(A1337,$O$19:$O$4018,0)))</f>
        <v/>
      </c>
      <c r="C1337" s="22">
        <f>IF(A1337="","",B1337/AVERAGE(B1213:B1337)-1)</f>
        <v/>
      </c>
      <c r="D1337" s="29">
        <f>IF(A1337="","",IFERROR(INDEX('자료_미국심리'!$E$3:$E$4002,MATCH(A1337,$P$19:$P$4018,0)),D1336))</f>
        <v/>
      </c>
      <c r="E1337" s="29">
        <f>IF(A1337="","",IFERROR(INDEX('자료_미국심리'!$H$3:$H$4002,MATCH(A1337,$Q$19:$Q$4018,0)),E1336))</f>
        <v/>
      </c>
      <c r="F1337">
        <f>IF(A1337="",0,IF(A1337&gt;$B$5,1,0))</f>
        <v/>
      </c>
      <c r="G1337" s="29">
        <f>IF(AND(F1337=1,ISNUMBER(D1337)),D1337,"")</f>
        <v/>
      </c>
      <c r="H1337" s="29">
        <f>IF(AND(F1337=1,ISNUMBER(E1337)),E1337,"")</f>
        <v/>
      </c>
      <c r="I1337" s="22">
        <f>IF(AND(F1337=1,ISNUMBER(C1337)),C1337,"")</f>
        <v/>
      </c>
      <c r="J1337" s="11">
        <f>IF(G1337="","",100-IF($G$13=1,50,(_xlfn.RANK.AVG(G1337,$G$19:$G$1518,1)-1)/($G$13-1)*100))</f>
        <v/>
      </c>
      <c r="K1337" s="11">
        <f>IF(H1337="","",100-IF($G$14=1,50,(_xlfn.RANK.AVG(H1337,$H$19:$H$1518,1)-1)/($G$14-1)*100))</f>
        <v/>
      </c>
      <c r="L1337" s="11">
        <f>IF(I1337="","",IF($G$15=1,50,(_xlfn.RANK.AVG(I1337,$I$19:$I$1518,1)-1)/($G$15-1)*100))</f>
        <v/>
      </c>
      <c r="M1337" s="11">
        <f>IF(COUNT(J1337:L1337)=3,ROUND(AVERAGE(J1337:L1337),6),"")</f>
        <v/>
      </c>
      <c r="O1337">
        <f>IF(AND(ISNUMBER('자료_미국심리'!$A1321),ISNUMBER('자료_미국심리'!$B1321)),'자료_미국심리'!$A1321,"")</f>
        <v/>
      </c>
      <c r="P1337">
        <f>IF(AND(ISNUMBER('자료_미국심리'!$D1321),ISNUMBER('자료_미국심리'!$E1321)),'자료_미국심리'!$D1321,"")</f>
        <v/>
      </c>
      <c r="Q1337">
        <f>IF(AND(ISNUMBER('자료_미국심리'!$G1321),ISNUMBER('자료_미국심리'!$H1321)),'자료_미국심리'!$G1321,"")</f>
        <v/>
      </c>
    </row>
    <row r="1338">
      <c r="A1338" s="10">
        <f>IF(1320&gt;$E$5,"",SMALL($O$19:$O$4018,$E$6+1320))</f>
        <v/>
      </c>
      <c r="B1338" s="29">
        <f>IF(A1338="","",INDEX('자료_미국심리'!$B$3:$B$4002,MATCH(A1338,$O$19:$O$4018,0)))</f>
        <v/>
      </c>
      <c r="C1338" s="22">
        <f>IF(A1338="","",B1338/AVERAGE(B1214:B1338)-1)</f>
        <v/>
      </c>
      <c r="D1338" s="29">
        <f>IF(A1338="","",IFERROR(INDEX('자료_미국심리'!$E$3:$E$4002,MATCH(A1338,$P$19:$P$4018,0)),D1337))</f>
        <v/>
      </c>
      <c r="E1338" s="29">
        <f>IF(A1338="","",IFERROR(INDEX('자료_미국심리'!$H$3:$H$4002,MATCH(A1338,$Q$19:$Q$4018,0)),E1337))</f>
        <v/>
      </c>
      <c r="F1338">
        <f>IF(A1338="",0,IF(A1338&gt;$B$5,1,0))</f>
        <v/>
      </c>
      <c r="G1338" s="29">
        <f>IF(AND(F1338=1,ISNUMBER(D1338)),D1338,"")</f>
        <v/>
      </c>
      <c r="H1338" s="29">
        <f>IF(AND(F1338=1,ISNUMBER(E1338)),E1338,"")</f>
        <v/>
      </c>
      <c r="I1338" s="22">
        <f>IF(AND(F1338=1,ISNUMBER(C1338)),C1338,"")</f>
        <v/>
      </c>
      <c r="J1338" s="11">
        <f>IF(G1338="","",100-IF($G$13=1,50,(_xlfn.RANK.AVG(G1338,$G$19:$G$1518,1)-1)/($G$13-1)*100))</f>
        <v/>
      </c>
      <c r="K1338" s="11">
        <f>IF(H1338="","",100-IF($G$14=1,50,(_xlfn.RANK.AVG(H1338,$H$19:$H$1518,1)-1)/($G$14-1)*100))</f>
        <v/>
      </c>
      <c r="L1338" s="11">
        <f>IF(I1338="","",IF($G$15=1,50,(_xlfn.RANK.AVG(I1338,$I$19:$I$1518,1)-1)/($G$15-1)*100))</f>
        <v/>
      </c>
      <c r="M1338" s="11">
        <f>IF(COUNT(J1338:L1338)=3,ROUND(AVERAGE(J1338:L1338),6),"")</f>
        <v/>
      </c>
      <c r="O1338">
        <f>IF(AND(ISNUMBER('자료_미국심리'!$A1322),ISNUMBER('자료_미국심리'!$B1322)),'자료_미국심리'!$A1322,"")</f>
        <v/>
      </c>
      <c r="P1338">
        <f>IF(AND(ISNUMBER('자료_미국심리'!$D1322),ISNUMBER('자료_미국심리'!$E1322)),'자료_미국심리'!$D1322,"")</f>
        <v/>
      </c>
      <c r="Q1338">
        <f>IF(AND(ISNUMBER('자료_미국심리'!$G1322),ISNUMBER('자료_미국심리'!$H1322)),'자료_미국심리'!$G1322,"")</f>
        <v/>
      </c>
    </row>
    <row r="1339">
      <c r="A1339" s="10">
        <f>IF(1321&gt;$E$5,"",SMALL($O$19:$O$4018,$E$6+1321))</f>
        <v/>
      </c>
      <c r="B1339" s="29">
        <f>IF(A1339="","",INDEX('자료_미국심리'!$B$3:$B$4002,MATCH(A1339,$O$19:$O$4018,0)))</f>
        <v/>
      </c>
      <c r="C1339" s="22">
        <f>IF(A1339="","",B1339/AVERAGE(B1215:B1339)-1)</f>
        <v/>
      </c>
      <c r="D1339" s="29">
        <f>IF(A1339="","",IFERROR(INDEX('자료_미국심리'!$E$3:$E$4002,MATCH(A1339,$P$19:$P$4018,0)),D1338))</f>
        <v/>
      </c>
      <c r="E1339" s="29">
        <f>IF(A1339="","",IFERROR(INDEX('자료_미국심리'!$H$3:$H$4002,MATCH(A1339,$Q$19:$Q$4018,0)),E1338))</f>
        <v/>
      </c>
      <c r="F1339">
        <f>IF(A1339="",0,IF(A1339&gt;$B$5,1,0))</f>
        <v/>
      </c>
      <c r="G1339" s="29">
        <f>IF(AND(F1339=1,ISNUMBER(D1339)),D1339,"")</f>
        <v/>
      </c>
      <c r="H1339" s="29">
        <f>IF(AND(F1339=1,ISNUMBER(E1339)),E1339,"")</f>
        <v/>
      </c>
      <c r="I1339" s="22">
        <f>IF(AND(F1339=1,ISNUMBER(C1339)),C1339,"")</f>
        <v/>
      </c>
      <c r="J1339" s="11">
        <f>IF(G1339="","",100-IF($G$13=1,50,(_xlfn.RANK.AVG(G1339,$G$19:$G$1518,1)-1)/($G$13-1)*100))</f>
        <v/>
      </c>
      <c r="K1339" s="11">
        <f>IF(H1339="","",100-IF($G$14=1,50,(_xlfn.RANK.AVG(H1339,$H$19:$H$1518,1)-1)/($G$14-1)*100))</f>
        <v/>
      </c>
      <c r="L1339" s="11">
        <f>IF(I1339="","",IF($G$15=1,50,(_xlfn.RANK.AVG(I1339,$I$19:$I$1518,1)-1)/($G$15-1)*100))</f>
        <v/>
      </c>
      <c r="M1339" s="11">
        <f>IF(COUNT(J1339:L1339)=3,ROUND(AVERAGE(J1339:L1339),6),"")</f>
        <v/>
      </c>
      <c r="O1339">
        <f>IF(AND(ISNUMBER('자료_미국심리'!$A1323),ISNUMBER('자료_미국심리'!$B1323)),'자료_미국심리'!$A1323,"")</f>
        <v/>
      </c>
      <c r="P1339">
        <f>IF(AND(ISNUMBER('자료_미국심리'!$D1323),ISNUMBER('자료_미국심리'!$E1323)),'자료_미국심리'!$D1323,"")</f>
        <v/>
      </c>
      <c r="Q1339">
        <f>IF(AND(ISNUMBER('자료_미국심리'!$G1323),ISNUMBER('자료_미국심리'!$H1323)),'자료_미국심리'!$G1323,"")</f>
        <v/>
      </c>
    </row>
    <row r="1340">
      <c r="A1340" s="10">
        <f>IF(1322&gt;$E$5,"",SMALL($O$19:$O$4018,$E$6+1322))</f>
        <v/>
      </c>
      <c r="B1340" s="29">
        <f>IF(A1340="","",INDEX('자료_미국심리'!$B$3:$B$4002,MATCH(A1340,$O$19:$O$4018,0)))</f>
        <v/>
      </c>
      <c r="C1340" s="22">
        <f>IF(A1340="","",B1340/AVERAGE(B1216:B1340)-1)</f>
        <v/>
      </c>
      <c r="D1340" s="29">
        <f>IF(A1340="","",IFERROR(INDEX('자료_미국심리'!$E$3:$E$4002,MATCH(A1340,$P$19:$P$4018,0)),D1339))</f>
        <v/>
      </c>
      <c r="E1340" s="29">
        <f>IF(A1340="","",IFERROR(INDEX('자료_미국심리'!$H$3:$H$4002,MATCH(A1340,$Q$19:$Q$4018,0)),E1339))</f>
        <v/>
      </c>
      <c r="F1340">
        <f>IF(A1340="",0,IF(A1340&gt;$B$5,1,0))</f>
        <v/>
      </c>
      <c r="G1340" s="29">
        <f>IF(AND(F1340=1,ISNUMBER(D1340)),D1340,"")</f>
        <v/>
      </c>
      <c r="H1340" s="29">
        <f>IF(AND(F1340=1,ISNUMBER(E1340)),E1340,"")</f>
        <v/>
      </c>
      <c r="I1340" s="22">
        <f>IF(AND(F1340=1,ISNUMBER(C1340)),C1340,"")</f>
        <v/>
      </c>
      <c r="J1340" s="11">
        <f>IF(G1340="","",100-IF($G$13=1,50,(_xlfn.RANK.AVG(G1340,$G$19:$G$1518,1)-1)/($G$13-1)*100))</f>
        <v/>
      </c>
      <c r="K1340" s="11">
        <f>IF(H1340="","",100-IF($G$14=1,50,(_xlfn.RANK.AVG(H1340,$H$19:$H$1518,1)-1)/($G$14-1)*100))</f>
        <v/>
      </c>
      <c r="L1340" s="11">
        <f>IF(I1340="","",IF($G$15=1,50,(_xlfn.RANK.AVG(I1340,$I$19:$I$1518,1)-1)/($G$15-1)*100))</f>
        <v/>
      </c>
      <c r="M1340" s="11">
        <f>IF(COUNT(J1340:L1340)=3,ROUND(AVERAGE(J1340:L1340),6),"")</f>
        <v/>
      </c>
      <c r="O1340">
        <f>IF(AND(ISNUMBER('자료_미국심리'!$A1324),ISNUMBER('자료_미국심리'!$B1324)),'자료_미국심리'!$A1324,"")</f>
        <v/>
      </c>
      <c r="P1340">
        <f>IF(AND(ISNUMBER('자료_미국심리'!$D1324),ISNUMBER('자료_미국심리'!$E1324)),'자료_미국심리'!$D1324,"")</f>
        <v/>
      </c>
      <c r="Q1340">
        <f>IF(AND(ISNUMBER('자료_미국심리'!$G1324),ISNUMBER('자료_미국심리'!$H1324)),'자료_미국심리'!$G1324,"")</f>
        <v/>
      </c>
    </row>
    <row r="1341">
      <c r="A1341" s="10">
        <f>IF(1323&gt;$E$5,"",SMALL($O$19:$O$4018,$E$6+1323))</f>
        <v/>
      </c>
      <c r="B1341" s="29">
        <f>IF(A1341="","",INDEX('자료_미국심리'!$B$3:$B$4002,MATCH(A1341,$O$19:$O$4018,0)))</f>
        <v/>
      </c>
      <c r="C1341" s="22">
        <f>IF(A1341="","",B1341/AVERAGE(B1217:B1341)-1)</f>
        <v/>
      </c>
      <c r="D1341" s="29">
        <f>IF(A1341="","",IFERROR(INDEX('자료_미국심리'!$E$3:$E$4002,MATCH(A1341,$P$19:$P$4018,0)),D1340))</f>
        <v/>
      </c>
      <c r="E1341" s="29">
        <f>IF(A1341="","",IFERROR(INDEX('자료_미국심리'!$H$3:$H$4002,MATCH(A1341,$Q$19:$Q$4018,0)),E1340))</f>
        <v/>
      </c>
      <c r="F1341">
        <f>IF(A1341="",0,IF(A1341&gt;$B$5,1,0))</f>
        <v/>
      </c>
      <c r="G1341" s="29">
        <f>IF(AND(F1341=1,ISNUMBER(D1341)),D1341,"")</f>
        <v/>
      </c>
      <c r="H1341" s="29">
        <f>IF(AND(F1341=1,ISNUMBER(E1341)),E1341,"")</f>
        <v/>
      </c>
      <c r="I1341" s="22">
        <f>IF(AND(F1341=1,ISNUMBER(C1341)),C1341,"")</f>
        <v/>
      </c>
      <c r="J1341" s="11">
        <f>IF(G1341="","",100-IF($G$13=1,50,(_xlfn.RANK.AVG(G1341,$G$19:$G$1518,1)-1)/($G$13-1)*100))</f>
        <v/>
      </c>
      <c r="K1341" s="11">
        <f>IF(H1341="","",100-IF($G$14=1,50,(_xlfn.RANK.AVG(H1341,$H$19:$H$1518,1)-1)/($G$14-1)*100))</f>
        <v/>
      </c>
      <c r="L1341" s="11">
        <f>IF(I1341="","",IF($G$15=1,50,(_xlfn.RANK.AVG(I1341,$I$19:$I$1518,1)-1)/($G$15-1)*100))</f>
        <v/>
      </c>
      <c r="M1341" s="11">
        <f>IF(COUNT(J1341:L1341)=3,ROUND(AVERAGE(J1341:L1341),6),"")</f>
        <v/>
      </c>
      <c r="O1341">
        <f>IF(AND(ISNUMBER('자료_미국심리'!$A1325),ISNUMBER('자료_미국심리'!$B1325)),'자료_미국심리'!$A1325,"")</f>
        <v/>
      </c>
      <c r="P1341">
        <f>IF(AND(ISNUMBER('자료_미국심리'!$D1325),ISNUMBER('자료_미국심리'!$E1325)),'자료_미국심리'!$D1325,"")</f>
        <v/>
      </c>
      <c r="Q1341">
        <f>IF(AND(ISNUMBER('자료_미국심리'!$G1325),ISNUMBER('자료_미국심리'!$H1325)),'자료_미국심리'!$G1325,"")</f>
        <v/>
      </c>
    </row>
    <row r="1342">
      <c r="A1342" s="10">
        <f>IF(1324&gt;$E$5,"",SMALL($O$19:$O$4018,$E$6+1324))</f>
        <v/>
      </c>
      <c r="B1342" s="29">
        <f>IF(A1342="","",INDEX('자료_미국심리'!$B$3:$B$4002,MATCH(A1342,$O$19:$O$4018,0)))</f>
        <v/>
      </c>
      <c r="C1342" s="22">
        <f>IF(A1342="","",B1342/AVERAGE(B1218:B1342)-1)</f>
        <v/>
      </c>
      <c r="D1342" s="29">
        <f>IF(A1342="","",IFERROR(INDEX('자료_미국심리'!$E$3:$E$4002,MATCH(A1342,$P$19:$P$4018,0)),D1341))</f>
        <v/>
      </c>
      <c r="E1342" s="29">
        <f>IF(A1342="","",IFERROR(INDEX('자료_미국심리'!$H$3:$H$4002,MATCH(A1342,$Q$19:$Q$4018,0)),E1341))</f>
        <v/>
      </c>
      <c r="F1342">
        <f>IF(A1342="",0,IF(A1342&gt;$B$5,1,0))</f>
        <v/>
      </c>
      <c r="G1342" s="29">
        <f>IF(AND(F1342=1,ISNUMBER(D1342)),D1342,"")</f>
        <v/>
      </c>
      <c r="H1342" s="29">
        <f>IF(AND(F1342=1,ISNUMBER(E1342)),E1342,"")</f>
        <v/>
      </c>
      <c r="I1342" s="22">
        <f>IF(AND(F1342=1,ISNUMBER(C1342)),C1342,"")</f>
        <v/>
      </c>
      <c r="J1342" s="11">
        <f>IF(G1342="","",100-IF($G$13=1,50,(_xlfn.RANK.AVG(G1342,$G$19:$G$1518,1)-1)/($G$13-1)*100))</f>
        <v/>
      </c>
      <c r="K1342" s="11">
        <f>IF(H1342="","",100-IF($G$14=1,50,(_xlfn.RANK.AVG(H1342,$H$19:$H$1518,1)-1)/($G$14-1)*100))</f>
        <v/>
      </c>
      <c r="L1342" s="11">
        <f>IF(I1342="","",IF($G$15=1,50,(_xlfn.RANK.AVG(I1342,$I$19:$I$1518,1)-1)/($G$15-1)*100))</f>
        <v/>
      </c>
      <c r="M1342" s="11">
        <f>IF(COUNT(J1342:L1342)=3,ROUND(AVERAGE(J1342:L1342),6),"")</f>
        <v/>
      </c>
      <c r="O1342">
        <f>IF(AND(ISNUMBER('자료_미국심리'!$A1326),ISNUMBER('자료_미국심리'!$B1326)),'자료_미국심리'!$A1326,"")</f>
        <v/>
      </c>
      <c r="P1342">
        <f>IF(AND(ISNUMBER('자료_미국심리'!$D1326),ISNUMBER('자료_미국심리'!$E1326)),'자료_미국심리'!$D1326,"")</f>
        <v/>
      </c>
      <c r="Q1342">
        <f>IF(AND(ISNUMBER('자료_미국심리'!$G1326),ISNUMBER('자료_미국심리'!$H1326)),'자료_미국심리'!$G1326,"")</f>
        <v/>
      </c>
    </row>
    <row r="1343">
      <c r="A1343" s="10">
        <f>IF(1325&gt;$E$5,"",SMALL($O$19:$O$4018,$E$6+1325))</f>
        <v/>
      </c>
      <c r="B1343" s="29">
        <f>IF(A1343="","",INDEX('자료_미국심리'!$B$3:$B$4002,MATCH(A1343,$O$19:$O$4018,0)))</f>
        <v/>
      </c>
      <c r="C1343" s="22">
        <f>IF(A1343="","",B1343/AVERAGE(B1219:B1343)-1)</f>
        <v/>
      </c>
      <c r="D1343" s="29">
        <f>IF(A1343="","",IFERROR(INDEX('자료_미국심리'!$E$3:$E$4002,MATCH(A1343,$P$19:$P$4018,0)),D1342))</f>
        <v/>
      </c>
      <c r="E1343" s="29">
        <f>IF(A1343="","",IFERROR(INDEX('자료_미국심리'!$H$3:$H$4002,MATCH(A1343,$Q$19:$Q$4018,0)),E1342))</f>
        <v/>
      </c>
      <c r="F1343">
        <f>IF(A1343="",0,IF(A1343&gt;$B$5,1,0))</f>
        <v/>
      </c>
      <c r="G1343" s="29">
        <f>IF(AND(F1343=1,ISNUMBER(D1343)),D1343,"")</f>
        <v/>
      </c>
      <c r="H1343" s="29">
        <f>IF(AND(F1343=1,ISNUMBER(E1343)),E1343,"")</f>
        <v/>
      </c>
      <c r="I1343" s="22">
        <f>IF(AND(F1343=1,ISNUMBER(C1343)),C1343,"")</f>
        <v/>
      </c>
      <c r="J1343" s="11">
        <f>IF(G1343="","",100-IF($G$13=1,50,(_xlfn.RANK.AVG(G1343,$G$19:$G$1518,1)-1)/($G$13-1)*100))</f>
        <v/>
      </c>
      <c r="K1343" s="11">
        <f>IF(H1343="","",100-IF($G$14=1,50,(_xlfn.RANK.AVG(H1343,$H$19:$H$1518,1)-1)/($G$14-1)*100))</f>
        <v/>
      </c>
      <c r="L1343" s="11">
        <f>IF(I1343="","",IF($G$15=1,50,(_xlfn.RANK.AVG(I1343,$I$19:$I$1518,1)-1)/($G$15-1)*100))</f>
        <v/>
      </c>
      <c r="M1343" s="11">
        <f>IF(COUNT(J1343:L1343)=3,ROUND(AVERAGE(J1343:L1343),6),"")</f>
        <v/>
      </c>
      <c r="O1343">
        <f>IF(AND(ISNUMBER('자료_미국심리'!$A1327),ISNUMBER('자료_미국심리'!$B1327)),'자료_미국심리'!$A1327,"")</f>
        <v/>
      </c>
      <c r="P1343">
        <f>IF(AND(ISNUMBER('자료_미국심리'!$D1327),ISNUMBER('자료_미국심리'!$E1327)),'자료_미국심리'!$D1327,"")</f>
        <v/>
      </c>
      <c r="Q1343">
        <f>IF(AND(ISNUMBER('자료_미국심리'!$G1327),ISNUMBER('자료_미국심리'!$H1327)),'자료_미국심리'!$G1327,"")</f>
        <v/>
      </c>
    </row>
    <row r="1344">
      <c r="A1344" s="10">
        <f>IF(1326&gt;$E$5,"",SMALL($O$19:$O$4018,$E$6+1326))</f>
        <v/>
      </c>
      <c r="B1344" s="29">
        <f>IF(A1344="","",INDEX('자료_미국심리'!$B$3:$B$4002,MATCH(A1344,$O$19:$O$4018,0)))</f>
        <v/>
      </c>
      <c r="C1344" s="22">
        <f>IF(A1344="","",B1344/AVERAGE(B1220:B1344)-1)</f>
        <v/>
      </c>
      <c r="D1344" s="29">
        <f>IF(A1344="","",IFERROR(INDEX('자료_미국심리'!$E$3:$E$4002,MATCH(A1344,$P$19:$P$4018,0)),D1343))</f>
        <v/>
      </c>
      <c r="E1344" s="29">
        <f>IF(A1344="","",IFERROR(INDEX('자료_미국심리'!$H$3:$H$4002,MATCH(A1344,$Q$19:$Q$4018,0)),E1343))</f>
        <v/>
      </c>
      <c r="F1344">
        <f>IF(A1344="",0,IF(A1344&gt;$B$5,1,0))</f>
        <v/>
      </c>
      <c r="G1344" s="29">
        <f>IF(AND(F1344=1,ISNUMBER(D1344)),D1344,"")</f>
        <v/>
      </c>
      <c r="H1344" s="29">
        <f>IF(AND(F1344=1,ISNUMBER(E1344)),E1344,"")</f>
        <v/>
      </c>
      <c r="I1344" s="22">
        <f>IF(AND(F1344=1,ISNUMBER(C1344)),C1344,"")</f>
        <v/>
      </c>
      <c r="J1344" s="11">
        <f>IF(G1344="","",100-IF($G$13=1,50,(_xlfn.RANK.AVG(G1344,$G$19:$G$1518,1)-1)/($G$13-1)*100))</f>
        <v/>
      </c>
      <c r="K1344" s="11">
        <f>IF(H1344="","",100-IF($G$14=1,50,(_xlfn.RANK.AVG(H1344,$H$19:$H$1518,1)-1)/($G$14-1)*100))</f>
        <v/>
      </c>
      <c r="L1344" s="11">
        <f>IF(I1344="","",IF($G$15=1,50,(_xlfn.RANK.AVG(I1344,$I$19:$I$1518,1)-1)/($G$15-1)*100))</f>
        <v/>
      </c>
      <c r="M1344" s="11">
        <f>IF(COUNT(J1344:L1344)=3,ROUND(AVERAGE(J1344:L1344),6),"")</f>
        <v/>
      </c>
      <c r="O1344">
        <f>IF(AND(ISNUMBER('자료_미국심리'!$A1328),ISNUMBER('자료_미국심리'!$B1328)),'자료_미국심리'!$A1328,"")</f>
        <v/>
      </c>
      <c r="P1344">
        <f>IF(AND(ISNUMBER('자료_미국심리'!$D1328),ISNUMBER('자료_미국심리'!$E1328)),'자료_미국심리'!$D1328,"")</f>
        <v/>
      </c>
      <c r="Q1344">
        <f>IF(AND(ISNUMBER('자료_미국심리'!$G1328),ISNUMBER('자료_미국심리'!$H1328)),'자료_미국심리'!$G1328,"")</f>
        <v/>
      </c>
    </row>
    <row r="1345">
      <c r="A1345" s="10">
        <f>IF(1327&gt;$E$5,"",SMALL($O$19:$O$4018,$E$6+1327))</f>
        <v/>
      </c>
      <c r="B1345" s="29">
        <f>IF(A1345="","",INDEX('자료_미국심리'!$B$3:$B$4002,MATCH(A1345,$O$19:$O$4018,0)))</f>
        <v/>
      </c>
      <c r="C1345" s="22">
        <f>IF(A1345="","",B1345/AVERAGE(B1221:B1345)-1)</f>
        <v/>
      </c>
      <c r="D1345" s="29">
        <f>IF(A1345="","",IFERROR(INDEX('자료_미국심리'!$E$3:$E$4002,MATCH(A1345,$P$19:$P$4018,0)),D1344))</f>
        <v/>
      </c>
      <c r="E1345" s="29">
        <f>IF(A1345="","",IFERROR(INDEX('자료_미국심리'!$H$3:$H$4002,MATCH(A1345,$Q$19:$Q$4018,0)),E1344))</f>
        <v/>
      </c>
      <c r="F1345">
        <f>IF(A1345="",0,IF(A1345&gt;$B$5,1,0))</f>
        <v/>
      </c>
      <c r="G1345" s="29">
        <f>IF(AND(F1345=1,ISNUMBER(D1345)),D1345,"")</f>
        <v/>
      </c>
      <c r="H1345" s="29">
        <f>IF(AND(F1345=1,ISNUMBER(E1345)),E1345,"")</f>
        <v/>
      </c>
      <c r="I1345" s="22">
        <f>IF(AND(F1345=1,ISNUMBER(C1345)),C1345,"")</f>
        <v/>
      </c>
      <c r="J1345" s="11">
        <f>IF(G1345="","",100-IF($G$13=1,50,(_xlfn.RANK.AVG(G1345,$G$19:$G$1518,1)-1)/($G$13-1)*100))</f>
        <v/>
      </c>
      <c r="K1345" s="11">
        <f>IF(H1345="","",100-IF($G$14=1,50,(_xlfn.RANK.AVG(H1345,$H$19:$H$1518,1)-1)/($G$14-1)*100))</f>
        <v/>
      </c>
      <c r="L1345" s="11">
        <f>IF(I1345="","",IF($G$15=1,50,(_xlfn.RANK.AVG(I1345,$I$19:$I$1518,1)-1)/($G$15-1)*100))</f>
        <v/>
      </c>
      <c r="M1345" s="11">
        <f>IF(COUNT(J1345:L1345)=3,ROUND(AVERAGE(J1345:L1345),6),"")</f>
        <v/>
      </c>
      <c r="O1345">
        <f>IF(AND(ISNUMBER('자료_미국심리'!$A1329),ISNUMBER('자료_미국심리'!$B1329)),'자료_미국심리'!$A1329,"")</f>
        <v/>
      </c>
      <c r="P1345">
        <f>IF(AND(ISNUMBER('자료_미국심리'!$D1329),ISNUMBER('자료_미국심리'!$E1329)),'자료_미국심리'!$D1329,"")</f>
        <v/>
      </c>
      <c r="Q1345">
        <f>IF(AND(ISNUMBER('자료_미국심리'!$G1329),ISNUMBER('자료_미국심리'!$H1329)),'자료_미국심리'!$G1329,"")</f>
        <v/>
      </c>
    </row>
    <row r="1346">
      <c r="A1346" s="10">
        <f>IF(1328&gt;$E$5,"",SMALL($O$19:$O$4018,$E$6+1328))</f>
        <v/>
      </c>
      <c r="B1346" s="29">
        <f>IF(A1346="","",INDEX('자료_미국심리'!$B$3:$B$4002,MATCH(A1346,$O$19:$O$4018,0)))</f>
        <v/>
      </c>
      <c r="C1346" s="22">
        <f>IF(A1346="","",B1346/AVERAGE(B1222:B1346)-1)</f>
        <v/>
      </c>
      <c r="D1346" s="29">
        <f>IF(A1346="","",IFERROR(INDEX('자료_미국심리'!$E$3:$E$4002,MATCH(A1346,$P$19:$P$4018,0)),D1345))</f>
        <v/>
      </c>
      <c r="E1346" s="29">
        <f>IF(A1346="","",IFERROR(INDEX('자료_미국심리'!$H$3:$H$4002,MATCH(A1346,$Q$19:$Q$4018,0)),E1345))</f>
        <v/>
      </c>
      <c r="F1346">
        <f>IF(A1346="",0,IF(A1346&gt;$B$5,1,0))</f>
        <v/>
      </c>
      <c r="G1346" s="29">
        <f>IF(AND(F1346=1,ISNUMBER(D1346)),D1346,"")</f>
        <v/>
      </c>
      <c r="H1346" s="29">
        <f>IF(AND(F1346=1,ISNUMBER(E1346)),E1346,"")</f>
        <v/>
      </c>
      <c r="I1346" s="22">
        <f>IF(AND(F1346=1,ISNUMBER(C1346)),C1346,"")</f>
        <v/>
      </c>
      <c r="J1346" s="11">
        <f>IF(G1346="","",100-IF($G$13=1,50,(_xlfn.RANK.AVG(G1346,$G$19:$G$1518,1)-1)/($G$13-1)*100))</f>
        <v/>
      </c>
      <c r="K1346" s="11">
        <f>IF(H1346="","",100-IF($G$14=1,50,(_xlfn.RANK.AVG(H1346,$H$19:$H$1518,1)-1)/($G$14-1)*100))</f>
        <v/>
      </c>
      <c r="L1346" s="11">
        <f>IF(I1346="","",IF($G$15=1,50,(_xlfn.RANK.AVG(I1346,$I$19:$I$1518,1)-1)/($G$15-1)*100))</f>
        <v/>
      </c>
      <c r="M1346" s="11">
        <f>IF(COUNT(J1346:L1346)=3,ROUND(AVERAGE(J1346:L1346),6),"")</f>
        <v/>
      </c>
      <c r="O1346">
        <f>IF(AND(ISNUMBER('자료_미국심리'!$A1330),ISNUMBER('자료_미국심리'!$B1330)),'자료_미국심리'!$A1330,"")</f>
        <v/>
      </c>
      <c r="P1346">
        <f>IF(AND(ISNUMBER('자료_미국심리'!$D1330),ISNUMBER('자료_미국심리'!$E1330)),'자료_미국심리'!$D1330,"")</f>
        <v/>
      </c>
      <c r="Q1346">
        <f>IF(AND(ISNUMBER('자료_미국심리'!$G1330),ISNUMBER('자료_미국심리'!$H1330)),'자료_미국심리'!$G1330,"")</f>
        <v/>
      </c>
    </row>
    <row r="1347">
      <c r="A1347" s="10">
        <f>IF(1329&gt;$E$5,"",SMALL($O$19:$O$4018,$E$6+1329))</f>
        <v/>
      </c>
      <c r="B1347" s="29">
        <f>IF(A1347="","",INDEX('자료_미국심리'!$B$3:$B$4002,MATCH(A1347,$O$19:$O$4018,0)))</f>
        <v/>
      </c>
      <c r="C1347" s="22">
        <f>IF(A1347="","",B1347/AVERAGE(B1223:B1347)-1)</f>
        <v/>
      </c>
      <c r="D1347" s="29">
        <f>IF(A1347="","",IFERROR(INDEX('자료_미국심리'!$E$3:$E$4002,MATCH(A1347,$P$19:$P$4018,0)),D1346))</f>
        <v/>
      </c>
      <c r="E1347" s="29">
        <f>IF(A1347="","",IFERROR(INDEX('자료_미국심리'!$H$3:$H$4002,MATCH(A1347,$Q$19:$Q$4018,0)),E1346))</f>
        <v/>
      </c>
      <c r="F1347">
        <f>IF(A1347="",0,IF(A1347&gt;$B$5,1,0))</f>
        <v/>
      </c>
      <c r="G1347" s="29">
        <f>IF(AND(F1347=1,ISNUMBER(D1347)),D1347,"")</f>
        <v/>
      </c>
      <c r="H1347" s="29">
        <f>IF(AND(F1347=1,ISNUMBER(E1347)),E1347,"")</f>
        <v/>
      </c>
      <c r="I1347" s="22">
        <f>IF(AND(F1347=1,ISNUMBER(C1347)),C1347,"")</f>
        <v/>
      </c>
      <c r="J1347" s="11">
        <f>IF(G1347="","",100-IF($G$13=1,50,(_xlfn.RANK.AVG(G1347,$G$19:$G$1518,1)-1)/($G$13-1)*100))</f>
        <v/>
      </c>
      <c r="K1347" s="11">
        <f>IF(H1347="","",100-IF($G$14=1,50,(_xlfn.RANK.AVG(H1347,$H$19:$H$1518,1)-1)/($G$14-1)*100))</f>
        <v/>
      </c>
      <c r="L1347" s="11">
        <f>IF(I1347="","",IF($G$15=1,50,(_xlfn.RANK.AVG(I1347,$I$19:$I$1518,1)-1)/($G$15-1)*100))</f>
        <v/>
      </c>
      <c r="M1347" s="11">
        <f>IF(COUNT(J1347:L1347)=3,ROUND(AVERAGE(J1347:L1347),6),"")</f>
        <v/>
      </c>
      <c r="O1347">
        <f>IF(AND(ISNUMBER('자료_미국심리'!$A1331),ISNUMBER('자료_미국심리'!$B1331)),'자료_미국심리'!$A1331,"")</f>
        <v/>
      </c>
      <c r="P1347">
        <f>IF(AND(ISNUMBER('자료_미국심리'!$D1331),ISNUMBER('자료_미국심리'!$E1331)),'자료_미국심리'!$D1331,"")</f>
        <v/>
      </c>
      <c r="Q1347">
        <f>IF(AND(ISNUMBER('자료_미국심리'!$G1331),ISNUMBER('자료_미국심리'!$H1331)),'자료_미국심리'!$G1331,"")</f>
        <v/>
      </c>
    </row>
    <row r="1348">
      <c r="A1348" s="10">
        <f>IF(1330&gt;$E$5,"",SMALL($O$19:$O$4018,$E$6+1330))</f>
        <v/>
      </c>
      <c r="B1348" s="29">
        <f>IF(A1348="","",INDEX('자료_미국심리'!$B$3:$B$4002,MATCH(A1348,$O$19:$O$4018,0)))</f>
        <v/>
      </c>
      <c r="C1348" s="22">
        <f>IF(A1348="","",B1348/AVERAGE(B1224:B1348)-1)</f>
        <v/>
      </c>
      <c r="D1348" s="29">
        <f>IF(A1348="","",IFERROR(INDEX('자료_미국심리'!$E$3:$E$4002,MATCH(A1348,$P$19:$P$4018,0)),D1347))</f>
        <v/>
      </c>
      <c r="E1348" s="29">
        <f>IF(A1348="","",IFERROR(INDEX('자료_미국심리'!$H$3:$H$4002,MATCH(A1348,$Q$19:$Q$4018,0)),E1347))</f>
        <v/>
      </c>
      <c r="F1348">
        <f>IF(A1348="",0,IF(A1348&gt;$B$5,1,0))</f>
        <v/>
      </c>
      <c r="G1348" s="29">
        <f>IF(AND(F1348=1,ISNUMBER(D1348)),D1348,"")</f>
        <v/>
      </c>
      <c r="H1348" s="29">
        <f>IF(AND(F1348=1,ISNUMBER(E1348)),E1348,"")</f>
        <v/>
      </c>
      <c r="I1348" s="22">
        <f>IF(AND(F1348=1,ISNUMBER(C1348)),C1348,"")</f>
        <v/>
      </c>
      <c r="J1348" s="11">
        <f>IF(G1348="","",100-IF($G$13=1,50,(_xlfn.RANK.AVG(G1348,$G$19:$G$1518,1)-1)/($G$13-1)*100))</f>
        <v/>
      </c>
      <c r="K1348" s="11">
        <f>IF(H1348="","",100-IF($G$14=1,50,(_xlfn.RANK.AVG(H1348,$H$19:$H$1518,1)-1)/($G$14-1)*100))</f>
        <v/>
      </c>
      <c r="L1348" s="11">
        <f>IF(I1348="","",IF($G$15=1,50,(_xlfn.RANK.AVG(I1348,$I$19:$I$1518,1)-1)/($G$15-1)*100))</f>
        <v/>
      </c>
      <c r="M1348" s="11">
        <f>IF(COUNT(J1348:L1348)=3,ROUND(AVERAGE(J1348:L1348),6),"")</f>
        <v/>
      </c>
      <c r="O1348">
        <f>IF(AND(ISNUMBER('자료_미국심리'!$A1332),ISNUMBER('자료_미국심리'!$B1332)),'자료_미국심리'!$A1332,"")</f>
        <v/>
      </c>
      <c r="P1348">
        <f>IF(AND(ISNUMBER('자료_미국심리'!$D1332),ISNUMBER('자료_미국심리'!$E1332)),'자료_미국심리'!$D1332,"")</f>
        <v/>
      </c>
      <c r="Q1348">
        <f>IF(AND(ISNUMBER('자료_미국심리'!$G1332),ISNUMBER('자료_미국심리'!$H1332)),'자료_미국심리'!$G1332,"")</f>
        <v/>
      </c>
    </row>
    <row r="1349">
      <c r="A1349" s="10">
        <f>IF(1331&gt;$E$5,"",SMALL($O$19:$O$4018,$E$6+1331))</f>
        <v/>
      </c>
      <c r="B1349" s="29">
        <f>IF(A1349="","",INDEX('자료_미국심리'!$B$3:$B$4002,MATCH(A1349,$O$19:$O$4018,0)))</f>
        <v/>
      </c>
      <c r="C1349" s="22">
        <f>IF(A1349="","",B1349/AVERAGE(B1225:B1349)-1)</f>
        <v/>
      </c>
      <c r="D1349" s="29">
        <f>IF(A1349="","",IFERROR(INDEX('자료_미국심리'!$E$3:$E$4002,MATCH(A1349,$P$19:$P$4018,0)),D1348))</f>
        <v/>
      </c>
      <c r="E1349" s="29">
        <f>IF(A1349="","",IFERROR(INDEX('자료_미국심리'!$H$3:$H$4002,MATCH(A1349,$Q$19:$Q$4018,0)),E1348))</f>
        <v/>
      </c>
      <c r="F1349">
        <f>IF(A1349="",0,IF(A1349&gt;$B$5,1,0))</f>
        <v/>
      </c>
      <c r="G1349" s="29">
        <f>IF(AND(F1349=1,ISNUMBER(D1349)),D1349,"")</f>
        <v/>
      </c>
      <c r="H1349" s="29">
        <f>IF(AND(F1349=1,ISNUMBER(E1349)),E1349,"")</f>
        <v/>
      </c>
      <c r="I1349" s="22">
        <f>IF(AND(F1349=1,ISNUMBER(C1349)),C1349,"")</f>
        <v/>
      </c>
      <c r="J1349" s="11">
        <f>IF(G1349="","",100-IF($G$13=1,50,(_xlfn.RANK.AVG(G1349,$G$19:$G$1518,1)-1)/($G$13-1)*100))</f>
        <v/>
      </c>
      <c r="K1349" s="11">
        <f>IF(H1349="","",100-IF($G$14=1,50,(_xlfn.RANK.AVG(H1349,$H$19:$H$1518,1)-1)/($G$14-1)*100))</f>
        <v/>
      </c>
      <c r="L1349" s="11">
        <f>IF(I1349="","",IF($G$15=1,50,(_xlfn.RANK.AVG(I1349,$I$19:$I$1518,1)-1)/($G$15-1)*100))</f>
        <v/>
      </c>
      <c r="M1349" s="11">
        <f>IF(COUNT(J1349:L1349)=3,ROUND(AVERAGE(J1349:L1349),6),"")</f>
        <v/>
      </c>
      <c r="O1349">
        <f>IF(AND(ISNUMBER('자료_미국심리'!$A1333),ISNUMBER('자료_미국심리'!$B1333)),'자료_미국심리'!$A1333,"")</f>
        <v/>
      </c>
      <c r="P1349">
        <f>IF(AND(ISNUMBER('자료_미국심리'!$D1333),ISNUMBER('자료_미국심리'!$E1333)),'자료_미국심리'!$D1333,"")</f>
        <v/>
      </c>
      <c r="Q1349">
        <f>IF(AND(ISNUMBER('자료_미국심리'!$G1333),ISNUMBER('자료_미국심리'!$H1333)),'자료_미국심리'!$G1333,"")</f>
        <v/>
      </c>
    </row>
    <row r="1350">
      <c r="A1350" s="10">
        <f>IF(1332&gt;$E$5,"",SMALL($O$19:$O$4018,$E$6+1332))</f>
        <v/>
      </c>
      <c r="B1350" s="29">
        <f>IF(A1350="","",INDEX('자료_미국심리'!$B$3:$B$4002,MATCH(A1350,$O$19:$O$4018,0)))</f>
        <v/>
      </c>
      <c r="C1350" s="22">
        <f>IF(A1350="","",B1350/AVERAGE(B1226:B1350)-1)</f>
        <v/>
      </c>
      <c r="D1350" s="29">
        <f>IF(A1350="","",IFERROR(INDEX('자료_미국심리'!$E$3:$E$4002,MATCH(A1350,$P$19:$P$4018,0)),D1349))</f>
        <v/>
      </c>
      <c r="E1350" s="29">
        <f>IF(A1350="","",IFERROR(INDEX('자료_미국심리'!$H$3:$H$4002,MATCH(A1350,$Q$19:$Q$4018,0)),E1349))</f>
        <v/>
      </c>
      <c r="F1350">
        <f>IF(A1350="",0,IF(A1350&gt;$B$5,1,0))</f>
        <v/>
      </c>
      <c r="G1350" s="29">
        <f>IF(AND(F1350=1,ISNUMBER(D1350)),D1350,"")</f>
        <v/>
      </c>
      <c r="H1350" s="29">
        <f>IF(AND(F1350=1,ISNUMBER(E1350)),E1350,"")</f>
        <v/>
      </c>
      <c r="I1350" s="22">
        <f>IF(AND(F1350=1,ISNUMBER(C1350)),C1350,"")</f>
        <v/>
      </c>
      <c r="J1350" s="11">
        <f>IF(G1350="","",100-IF($G$13=1,50,(_xlfn.RANK.AVG(G1350,$G$19:$G$1518,1)-1)/($G$13-1)*100))</f>
        <v/>
      </c>
      <c r="K1350" s="11">
        <f>IF(H1350="","",100-IF($G$14=1,50,(_xlfn.RANK.AVG(H1350,$H$19:$H$1518,1)-1)/($G$14-1)*100))</f>
        <v/>
      </c>
      <c r="L1350" s="11">
        <f>IF(I1350="","",IF($G$15=1,50,(_xlfn.RANK.AVG(I1350,$I$19:$I$1518,1)-1)/($G$15-1)*100))</f>
        <v/>
      </c>
      <c r="M1350" s="11">
        <f>IF(COUNT(J1350:L1350)=3,ROUND(AVERAGE(J1350:L1350),6),"")</f>
        <v/>
      </c>
      <c r="O1350">
        <f>IF(AND(ISNUMBER('자료_미국심리'!$A1334),ISNUMBER('자료_미국심리'!$B1334)),'자료_미국심리'!$A1334,"")</f>
        <v/>
      </c>
      <c r="P1350">
        <f>IF(AND(ISNUMBER('자료_미국심리'!$D1334),ISNUMBER('자료_미국심리'!$E1334)),'자료_미국심리'!$D1334,"")</f>
        <v/>
      </c>
      <c r="Q1350">
        <f>IF(AND(ISNUMBER('자료_미국심리'!$G1334),ISNUMBER('자료_미국심리'!$H1334)),'자료_미국심리'!$G1334,"")</f>
        <v/>
      </c>
    </row>
    <row r="1351">
      <c r="A1351" s="10">
        <f>IF(1333&gt;$E$5,"",SMALL($O$19:$O$4018,$E$6+1333))</f>
        <v/>
      </c>
      <c r="B1351" s="29">
        <f>IF(A1351="","",INDEX('자료_미국심리'!$B$3:$B$4002,MATCH(A1351,$O$19:$O$4018,0)))</f>
        <v/>
      </c>
      <c r="C1351" s="22">
        <f>IF(A1351="","",B1351/AVERAGE(B1227:B1351)-1)</f>
        <v/>
      </c>
      <c r="D1351" s="29">
        <f>IF(A1351="","",IFERROR(INDEX('자료_미국심리'!$E$3:$E$4002,MATCH(A1351,$P$19:$P$4018,0)),D1350))</f>
        <v/>
      </c>
      <c r="E1351" s="29">
        <f>IF(A1351="","",IFERROR(INDEX('자료_미국심리'!$H$3:$H$4002,MATCH(A1351,$Q$19:$Q$4018,0)),E1350))</f>
        <v/>
      </c>
      <c r="F1351">
        <f>IF(A1351="",0,IF(A1351&gt;$B$5,1,0))</f>
        <v/>
      </c>
      <c r="G1351" s="29">
        <f>IF(AND(F1351=1,ISNUMBER(D1351)),D1351,"")</f>
        <v/>
      </c>
      <c r="H1351" s="29">
        <f>IF(AND(F1351=1,ISNUMBER(E1351)),E1351,"")</f>
        <v/>
      </c>
      <c r="I1351" s="22">
        <f>IF(AND(F1351=1,ISNUMBER(C1351)),C1351,"")</f>
        <v/>
      </c>
      <c r="J1351" s="11">
        <f>IF(G1351="","",100-IF($G$13=1,50,(_xlfn.RANK.AVG(G1351,$G$19:$G$1518,1)-1)/($G$13-1)*100))</f>
        <v/>
      </c>
      <c r="K1351" s="11">
        <f>IF(H1351="","",100-IF($G$14=1,50,(_xlfn.RANK.AVG(H1351,$H$19:$H$1518,1)-1)/($G$14-1)*100))</f>
        <v/>
      </c>
      <c r="L1351" s="11">
        <f>IF(I1351="","",IF($G$15=1,50,(_xlfn.RANK.AVG(I1351,$I$19:$I$1518,1)-1)/($G$15-1)*100))</f>
        <v/>
      </c>
      <c r="M1351" s="11">
        <f>IF(COUNT(J1351:L1351)=3,ROUND(AVERAGE(J1351:L1351),6),"")</f>
        <v/>
      </c>
      <c r="O1351">
        <f>IF(AND(ISNUMBER('자료_미국심리'!$A1335),ISNUMBER('자료_미국심리'!$B1335)),'자료_미국심리'!$A1335,"")</f>
        <v/>
      </c>
      <c r="P1351">
        <f>IF(AND(ISNUMBER('자료_미국심리'!$D1335),ISNUMBER('자료_미국심리'!$E1335)),'자료_미국심리'!$D1335,"")</f>
        <v/>
      </c>
      <c r="Q1351">
        <f>IF(AND(ISNUMBER('자료_미국심리'!$G1335),ISNUMBER('자료_미국심리'!$H1335)),'자료_미국심리'!$G1335,"")</f>
        <v/>
      </c>
    </row>
    <row r="1352">
      <c r="A1352" s="10">
        <f>IF(1334&gt;$E$5,"",SMALL($O$19:$O$4018,$E$6+1334))</f>
        <v/>
      </c>
      <c r="B1352" s="29">
        <f>IF(A1352="","",INDEX('자료_미국심리'!$B$3:$B$4002,MATCH(A1352,$O$19:$O$4018,0)))</f>
        <v/>
      </c>
      <c r="C1352" s="22">
        <f>IF(A1352="","",B1352/AVERAGE(B1228:B1352)-1)</f>
        <v/>
      </c>
      <c r="D1352" s="29">
        <f>IF(A1352="","",IFERROR(INDEX('자료_미국심리'!$E$3:$E$4002,MATCH(A1352,$P$19:$P$4018,0)),D1351))</f>
        <v/>
      </c>
      <c r="E1352" s="29">
        <f>IF(A1352="","",IFERROR(INDEX('자료_미국심리'!$H$3:$H$4002,MATCH(A1352,$Q$19:$Q$4018,0)),E1351))</f>
        <v/>
      </c>
      <c r="F1352">
        <f>IF(A1352="",0,IF(A1352&gt;$B$5,1,0))</f>
        <v/>
      </c>
      <c r="G1352" s="29">
        <f>IF(AND(F1352=1,ISNUMBER(D1352)),D1352,"")</f>
        <v/>
      </c>
      <c r="H1352" s="29">
        <f>IF(AND(F1352=1,ISNUMBER(E1352)),E1352,"")</f>
        <v/>
      </c>
      <c r="I1352" s="22">
        <f>IF(AND(F1352=1,ISNUMBER(C1352)),C1352,"")</f>
        <v/>
      </c>
      <c r="J1352" s="11">
        <f>IF(G1352="","",100-IF($G$13=1,50,(_xlfn.RANK.AVG(G1352,$G$19:$G$1518,1)-1)/($G$13-1)*100))</f>
        <v/>
      </c>
      <c r="K1352" s="11">
        <f>IF(H1352="","",100-IF($G$14=1,50,(_xlfn.RANK.AVG(H1352,$H$19:$H$1518,1)-1)/($G$14-1)*100))</f>
        <v/>
      </c>
      <c r="L1352" s="11">
        <f>IF(I1352="","",IF($G$15=1,50,(_xlfn.RANK.AVG(I1352,$I$19:$I$1518,1)-1)/($G$15-1)*100))</f>
        <v/>
      </c>
      <c r="M1352" s="11">
        <f>IF(COUNT(J1352:L1352)=3,ROUND(AVERAGE(J1352:L1352),6),"")</f>
        <v/>
      </c>
      <c r="O1352">
        <f>IF(AND(ISNUMBER('자료_미국심리'!$A1336),ISNUMBER('자료_미국심리'!$B1336)),'자료_미국심리'!$A1336,"")</f>
        <v/>
      </c>
      <c r="P1352">
        <f>IF(AND(ISNUMBER('자료_미국심리'!$D1336),ISNUMBER('자료_미국심리'!$E1336)),'자료_미국심리'!$D1336,"")</f>
        <v/>
      </c>
      <c r="Q1352">
        <f>IF(AND(ISNUMBER('자료_미국심리'!$G1336),ISNUMBER('자료_미국심리'!$H1336)),'자료_미국심리'!$G1336,"")</f>
        <v/>
      </c>
    </row>
    <row r="1353">
      <c r="A1353" s="10">
        <f>IF(1335&gt;$E$5,"",SMALL($O$19:$O$4018,$E$6+1335))</f>
        <v/>
      </c>
      <c r="B1353" s="29">
        <f>IF(A1353="","",INDEX('자료_미국심리'!$B$3:$B$4002,MATCH(A1353,$O$19:$O$4018,0)))</f>
        <v/>
      </c>
      <c r="C1353" s="22">
        <f>IF(A1353="","",B1353/AVERAGE(B1229:B1353)-1)</f>
        <v/>
      </c>
      <c r="D1353" s="29">
        <f>IF(A1353="","",IFERROR(INDEX('자료_미국심리'!$E$3:$E$4002,MATCH(A1353,$P$19:$P$4018,0)),D1352))</f>
        <v/>
      </c>
      <c r="E1353" s="29">
        <f>IF(A1353="","",IFERROR(INDEX('자료_미국심리'!$H$3:$H$4002,MATCH(A1353,$Q$19:$Q$4018,0)),E1352))</f>
        <v/>
      </c>
      <c r="F1353">
        <f>IF(A1353="",0,IF(A1353&gt;$B$5,1,0))</f>
        <v/>
      </c>
      <c r="G1353" s="29">
        <f>IF(AND(F1353=1,ISNUMBER(D1353)),D1353,"")</f>
        <v/>
      </c>
      <c r="H1353" s="29">
        <f>IF(AND(F1353=1,ISNUMBER(E1353)),E1353,"")</f>
        <v/>
      </c>
      <c r="I1353" s="22">
        <f>IF(AND(F1353=1,ISNUMBER(C1353)),C1353,"")</f>
        <v/>
      </c>
      <c r="J1353" s="11">
        <f>IF(G1353="","",100-IF($G$13=1,50,(_xlfn.RANK.AVG(G1353,$G$19:$G$1518,1)-1)/($G$13-1)*100))</f>
        <v/>
      </c>
      <c r="K1353" s="11">
        <f>IF(H1353="","",100-IF($G$14=1,50,(_xlfn.RANK.AVG(H1353,$H$19:$H$1518,1)-1)/($G$14-1)*100))</f>
        <v/>
      </c>
      <c r="L1353" s="11">
        <f>IF(I1353="","",IF($G$15=1,50,(_xlfn.RANK.AVG(I1353,$I$19:$I$1518,1)-1)/($G$15-1)*100))</f>
        <v/>
      </c>
      <c r="M1353" s="11">
        <f>IF(COUNT(J1353:L1353)=3,ROUND(AVERAGE(J1353:L1353),6),"")</f>
        <v/>
      </c>
      <c r="O1353">
        <f>IF(AND(ISNUMBER('자료_미국심리'!$A1337),ISNUMBER('자료_미국심리'!$B1337)),'자료_미국심리'!$A1337,"")</f>
        <v/>
      </c>
      <c r="P1353">
        <f>IF(AND(ISNUMBER('자료_미국심리'!$D1337),ISNUMBER('자료_미국심리'!$E1337)),'자료_미국심리'!$D1337,"")</f>
        <v/>
      </c>
      <c r="Q1353">
        <f>IF(AND(ISNUMBER('자료_미국심리'!$G1337),ISNUMBER('자료_미국심리'!$H1337)),'자료_미국심리'!$G1337,"")</f>
        <v/>
      </c>
    </row>
    <row r="1354">
      <c r="A1354" s="10">
        <f>IF(1336&gt;$E$5,"",SMALL($O$19:$O$4018,$E$6+1336))</f>
        <v/>
      </c>
      <c r="B1354" s="29">
        <f>IF(A1354="","",INDEX('자료_미국심리'!$B$3:$B$4002,MATCH(A1354,$O$19:$O$4018,0)))</f>
        <v/>
      </c>
      <c r="C1354" s="22">
        <f>IF(A1354="","",B1354/AVERAGE(B1230:B1354)-1)</f>
        <v/>
      </c>
      <c r="D1354" s="29">
        <f>IF(A1354="","",IFERROR(INDEX('자료_미국심리'!$E$3:$E$4002,MATCH(A1354,$P$19:$P$4018,0)),D1353))</f>
        <v/>
      </c>
      <c r="E1354" s="29">
        <f>IF(A1354="","",IFERROR(INDEX('자료_미국심리'!$H$3:$H$4002,MATCH(A1354,$Q$19:$Q$4018,0)),E1353))</f>
        <v/>
      </c>
      <c r="F1354">
        <f>IF(A1354="",0,IF(A1354&gt;$B$5,1,0))</f>
        <v/>
      </c>
      <c r="G1354" s="29">
        <f>IF(AND(F1354=1,ISNUMBER(D1354)),D1354,"")</f>
        <v/>
      </c>
      <c r="H1354" s="29">
        <f>IF(AND(F1354=1,ISNUMBER(E1354)),E1354,"")</f>
        <v/>
      </c>
      <c r="I1354" s="22">
        <f>IF(AND(F1354=1,ISNUMBER(C1354)),C1354,"")</f>
        <v/>
      </c>
      <c r="J1354" s="11">
        <f>IF(G1354="","",100-IF($G$13=1,50,(_xlfn.RANK.AVG(G1354,$G$19:$G$1518,1)-1)/($G$13-1)*100))</f>
        <v/>
      </c>
      <c r="K1354" s="11">
        <f>IF(H1354="","",100-IF($G$14=1,50,(_xlfn.RANK.AVG(H1354,$H$19:$H$1518,1)-1)/($G$14-1)*100))</f>
        <v/>
      </c>
      <c r="L1354" s="11">
        <f>IF(I1354="","",IF($G$15=1,50,(_xlfn.RANK.AVG(I1354,$I$19:$I$1518,1)-1)/($G$15-1)*100))</f>
        <v/>
      </c>
      <c r="M1354" s="11">
        <f>IF(COUNT(J1354:L1354)=3,ROUND(AVERAGE(J1354:L1354),6),"")</f>
        <v/>
      </c>
      <c r="O1354">
        <f>IF(AND(ISNUMBER('자료_미국심리'!$A1338),ISNUMBER('자료_미국심리'!$B1338)),'자료_미국심리'!$A1338,"")</f>
        <v/>
      </c>
      <c r="P1354">
        <f>IF(AND(ISNUMBER('자료_미국심리'!$D1338),ISNUMBER('자료_미국심리'!$E1338)),'자료_미국심리'!$D1338,"")</f>
        <v/>
      </c>
      <c r="Q1354">
        <f>IF(AND(ISNUMBER('자료_미국심리'!$G1338),ISNUMBER('자료_미국심리'!$H1338)),'자료_미국심리'!$G1338,"")</f>
        <v/>
      </c>
    </row>
    <row r="1355">
      <c r="A1355" s="10">
        <f>IF(1337&gt;$E$5,"",SMALL($O$19:$O$4018,$E$6+1337))</f>
        <v/>
      </c>
      <c r="B1355" s="29">
        <f>IF(A1355="","",INDEX('자료_미국심리'!$B$3:$B$4002,MATCH(A1355,$O$19:$O$4018,0)))</f>
        <v/>
      </c>
      <c r="C1355" s="22">
        <f>IF(A1355="","",B1355/AVERAGE(B1231:B1355)-1)</f>
        <v/>
      </c>
      <c r="D1355" s="29">
        <f>IF(A1355="","",IFERROR(INDEX('자료_미국심리'!$E$3:$E$4002,MATCH(A1355,$P$19:$P$4018,0)),D1354))</f>
        <v/>
      </c>
      <c r="E1355" s="29">
        <f>IF(A1355="","",IFERROR(INDEX('자료_미국심리'!$H$3:$H$4002,MATCH(A1355,$Q$19:$Q$4018,0)),E1354))</f>
        <v/>
      </c>
      <c r="F1355">
        <f>IF(A1355="",0,IF(A1355&gt;$B$5,1,0))</f>
        <v/>
      </c>
      <c r="G1355" s="29">
        <f>IF(AND(F1355=1,ISNUMBER(D1355)),D1355,"")</f>
        <v/>
      </c>
      <c r="H1355" s="29">
        <f>IF(AND(F1355=1,ISNUMBER(E1355)),E1355,"")</f>
        <v/>
      </c>
      <c r="I1355" s="22">
        <f>IF(AND(F1355=1,ISNUMBER(C1355)),C1355,"")</f>
        <v/>
      </c>
      <c r="J1355" s="11">
        <f>IF(G1355="","",100-IF($G$13=1,50,(_xlfn.RANK.AVG(G1355,$G$19:$G$1518,1)-1)/($G$13-1)*100))</f>
        <v/>
      </c>
      <c r="K1355" s="11">
        <f>IF(H1355="","",100-IF($G$14=1,50,(_xlfn.RANK.AVG(H1355,$H$19:$H$1518,1)-1)/($G$14-1)*100))</f>
        <v/>
      </c>
      <c r="L1355" s="11">
        <f>IF(I1355="","",IF($G$15=1,50,(_xlfn.RANK.AVG(I1355,$I$19:$I$1518,1)-1)/($G$15-1)*100))</f>
        <v/>
      </c>
      <c r="M1355" s="11">
        <f>IF(COUNT(J1355:L1355)=3,ROUND(AVERAGE(J1355:L1355),6),"")</f>
        <v/>
      </c>
      <c r="O1355">
        <f>IF(AND(ISNUMBER('자료_미국심리'!$A1339),ISNUMBER('자료_미국심리'!$B1339)),'자료_미국심리'!$A1339,"")</f>
        <v/>
      </c>
      <c r="P1355">
        <f>IF(AND(ISNUMBER('자료_미국심리'!$D1339),ISNUMBER('자료_미국심리'!$E1339)),'자료_미국심리'!$D1339,"")</f>
        <v/>
      </c>
      <c r="Q1355">
        <f>IF(AND(ISNUMBER('자료_미국심리'!$G1339),ISNUMBER('자료_미국심리'!$H1339)),'자료_미국심리'!$G1339,"")</f>
        <v/>
      </c>
    </row>
    <row r="1356">
      <c r="A1356" s="10">
        <f>IF(1338&gt;$E$5,"",SMALL($O$19:$O$4018,$E$6+1338))</f>
        <v/>
      </c>
      <c r="B1356" s="29">
        <f>IF(A1356="","",INDEX('자료_미국심리'!$B$3:$B$4002,MATCH(A1356,$O$19:$O$4018,0)))</f>
        <v/>
      </c>
      <c r="C1356" s="22">
        <f>IF(A1356="","",B1356/AVERAGE(B1232:B1356)-1)</f>
        <v/>
      </c>
      <c r="D1356" s="29">
        <f>IF(A1356="","",IFERROR(INDEX('자료_미국심리'!$E$3:$E$4002,MATCH(A1356,$P$19:$P$4018,0)),D1355))</f>
        <v/>
      </c>
      <c r="E1356" s="29">
        <f>IF(A1356="","",IFERROR(INDEX('자료_미국심리'!$H$3:$H$4002,MATCH(A1356,$Q$19:$Q$4018,0)),E1355))</f>
        <v/>
      </c>
      <c r="F1356">
        <f>IF(A1356="",0,IF(A1356&gt;$B$5,1,0))</f>
        <v/>
      </c>
      <c r="G1356" s="29">
        <f>IF(AND(F1356=1,ISNUMBER(D1356)),D1356,"")</f>
        <v/>
      </c>
      <c r="H1356" s="29">
        <f>IF(AND(F1356=1,ISNUMBER(E1356)),E1356,"")</f>
        <v/>
      </c>
      <c r="I1356" s="22">
        <f>IF(AND(F1356=1,ISNUMBER(C1356)),C1356,"")</f>
        <v/>
      </c>
      <c r="J1356" s="11">
        <f>IF(G1356="","",100-IF($G$13=1,50,(_xlfn.RANK.AVG(G1356,$G$19:$G$1518,1)-1)/($G$13-1)*100))</f>
        <v/>
      </c>
      <c r="K1356" s="11">
        <f>IF(H1356="","",100-IF($G$14=1,50,(_xlfn.RANK.AVG(H1356,$H$19:$H$1518,1)-1)/($G$14-1)*100))</f>
        <v/>
      </c>
      <c r="L1356" s="11">
        <f>IF(I1356="","",IF($G$15=1,50,(_xlfn.RANK.AVG(I1356,$I$19:$I$1518,1)-1)/($G$15-1)*100))</f>
        <v/>
      </c>
      <c r="M1356" s="11">
        <f>IF(COUNT(J1356:L1356)=3,ROUND(AVERAGE(J1356:L1356),6),"")</f>
        <v/>
      </c>
      <c r="O1356">
        <f>IF(AND(ISNUMBER('자료_미국심리'!$A1340),ISNUMBER('자료_미국심리'!$B1340)),'자료_미국심리'!$A1340,"")</f>
        <v/>
      </c>
      <c r="P1356">
        <f>IF(AND(ISNUMBER('자료_미국심리'!$D1340),ISNUMBER('자료_미국심리'!$E1340)),'자료_미국심리'!$D1340,"")</f>
        <v/>
      </c>
      <c r="Q1356">
        <f>IF(AND(ISNUMBER('자료_미국심리'!$G1340),ISNUMBER('자료_미국심리'!$H1340)),'자료_미국심리'!$G1340,"")</f>
        <v/>
      </c>
    </row>
    <row r="1357">
      <c r="A1357" s="10">
        <f>IF(1339&gt;$E$5,"",SMALL($O$19:$O$4018,$E$6+1339))</f>
        <v/>
      </c>
      <c r="B1357" s="29">
        <f>IF(A1357="","",INDEX('자료_미국심리'!$B$3:$B$4002,MATCH(A1357,$O$19:$O$4018,0)))</f>
        <v/>
      </c>
      <c r="C1357" s="22">
        <f>IF(A1357="","",B1357/AVERAGE(B1233:B1357)-1)</f>
        <v/>
      </c>
      <c r="D1357" s="29">
        <f>IF(A1357="","",IFERROR(INDEX('자료_미국심리'!$E$3:$E$4002,MATCH(A1357,$P$19:$P$4018,0)),D1356))</f>
        <v/>
      </c>
      <c r="E1357" s="29">
        <f>IF(A1357="","",IFERROR(INDEX('자료_미국심리'!$H$3:$H$4002,MATCH(A1357,$Q$19:$Q$4018,0)),E1356))</f>
        <v/>
      </c>
      <c r="F1357">
        <f>IF(A1357="",0,IF(A1357&gt;$B$5,1,0))</f>
        <v/>
      </c>
      <c r="G1357" s="29">
        <f>IF(AND(F1357=1,ISNUMBER(D1357)),D1357,"")</f>
        <v/>
      </c>
      <c r="H1357" s="29">
        <f>IF(AND(F1357=1,ISNUMBER(E1357)),E1357,"")</f>
        <v/>
      </c>
      <c r="I1357" s="22">
        <f>IF(AND(F1357=1,ISNUMBER(C1357)),C1357,"")</f>
        <v/>
      </c>
      <c r="J1357" s="11">
        <f>IF(G1357="","",100-IF($G$13=1,50,(_xlfn.RANK.AVG(G1357,$G$19:$G$1518,1)-1)/($G$13-1)*100))</f>
        <v/>
      </c>
      <c r="K1357" s="11">
        <f>IF(H1357="","",100-IF($G$14=1,50,(_xlfn.RANK.AVG(H1357,$H$19:$H$1518,1)-1)/($G$14-1)*100))</f>
        <v/>
      </c>
      <c r="L1357" s="11">
        <f>IF(I1357="","",IF($G$15=1,50,(_xlfn.RANK.AVG(I1357,$I$19:$I$1518,1)-1)/($G$15-1)*100))</f>
        <v/>
      </c>
      <c r="M1357" s="11">
        <f>IF(COUNT(J1357:L1357)=3,ROUND(AVERAGE(J1357:L1357),6),"")</f>
        <v/>
      </c>
      <c r="O1357">
        <f>IF(AND(ISNUMBER('자료_미국심리'!$A1341),ISNUMBER('자료_미국심리'!$B1341)),'자료_미국심리'!$A1341,"")</f>
        <v/>
      </c>
      <c r="P1357">
        <f>IF(AND(ISNUMBER('자료_미국심리'!$D1341),ISNUMBER('자료_미국심리'!$E1341)),'자료_미국심리'!$D1341,"")</f>
        <v/>
      </c>
      <c r="Q1357">
        <f>IF(AND(ISNUMBER('자료_미국심리'!$G1341),ISNUMBER('자료_미국심리'!$H1341)),'자료_미국심리'!$G1341,"")</f>
        <v/>
      </c>
    </row>
    <row r="1358">
      <c r="A1358" s="10">
        <f>IF(1340&gt;$E$5,"",SMALL($O$19:$O$4018,$E$6+1340))</f>
        <v/>
      </c>
      <c r="B1358" s="29">
        <f>IF(A1358="","",INDEX('자료_미국심리'!$B$3:$B$4002,MATCH(A1358,$O$19:$O$4018,0)))</f>
        <v/>
      </c>
      <c r="C1358" s="22">
        <f>IF(A1358="","",B1358/AVERAGE(B1234:B1358)-1)</f>
        <v/>
      </c>
      <c r="D1358" s="29">
        <f>IF(A1358="","",IFERROR(INDEX('자료_미국심리'!$E$3:$E$4002,MATCH(A1358,$P$19:$P$4018,0)),D1357))</f>
        <v/>
      </c>
      <c r="E1358" s="29">
        <f>IF(A1358="","",IFERROR(INDEX('자료_미국심리'!$H$3:$H$4002,MATCH(A1358,$Q$19:$Q$4018,0)),E1357))</f>
        <v/>
      </c>
      <c r="F1358">
        <f>IF(A1358="",0,IF(A1358&gt;$B$5,1,0))</f>
        <v/>
      </c>
      <c r="G1358" s="29">
        <f>IF(AND(F1358=1,ISNUMBER(D1358)),D1358,"")</f>
        <v/>
      </c>
      <c r="H1358" s="29">
        <f>IF(AND(F1358=1,ISNUMBER(E1358)),E1358,"")</f>
        <v/>
      </c>
      <c r="I1358" s="22">
        <f>IF(AND(F1358=1,ISNUMBER(C1358)),C1358,"")</f>
        <v/>
      </c>
      <c r="J1358" s="11">
        <f>IF(G1358="","",100-IF($G$13=1,50,(_xlfn.RANK.AVG(G1358,$G$19:$G$1518,1)-1)/($G$13-1)*100))</f>
        <v/>
      </c>
      <c r="K1358" s="11">
        <f>IF(H1358="","",100-IF($G$14=1,50,(_xlfn.RANK.AVG(H1358,$H$19:$H$1518,1)-1)/($G$14-1)*100))</f>
        <v/>
      </c>
      <c r="L1358" s="11">
        <f>IF(I1358="","",IF($G$15=1,50,(_xlfn.RANK.AVG(I1358,$I$19:$I$1518,1)-1)/($G$15-1)*100))</f>
        <v/>
      </c>
      <c r="M1358" s="11">
        <f>IF(COUNT(J1358:L1358)=3,ROUND(AVERAGE(J1358:L1358),6),"")</f>
        <v/>
      </c>
      <c r="O1358">
        <f>IF(AND(ISNUMBER('자료_미국심리'!$A1342),ISNUMBER('자료_미국심리'!$B1342)),'자료_미국심리'!$A1342,"")</f>
        <v/>
      </c>
      <c r="P1358">
        <f>IF(AND(ISNUMBER('자료_미국심리'!$D1342),ISNUMBER('자료_미국심리'!$E1342)),'자료_미국심리'!$D1342,"")</f>
        <v/>
      </c>
      <c r="Q1358">
        <f>IF(AND(ISNUMBER('자료_미국심리'!$G1342),ISNUMBER('자료_미국심리'!$H1342)),'자료_미국심리'!$G1342,"")</f>
        <v/>
      </c>
    </row>
    <row r="1359">
      <c r="A1359" s="10">
        <f>IF(1341&gt;$E$5,"",SMALL($O$19:$O$4018,$E$6+1341))</f>
        <v/>
      </c>
      <c r="B1359" s="29">
        <f>IF(A1359="","",INDEX('자료_미국심리'!$B$3:$B$4002,MATCH(A1359,$O$19:$O$4018,0)))</f>
        <v/>
      </c>
      <c r="C1359" s="22">
        <f>IF(A1359="","",B1359/AVERAGE(B1235:B1359)-1)</f>
        <v/>
      </c>
      <c r="D1359" s="29">
        <f>IF(A1359="","",IFERROR(INDEX('자료_미국심리'!$E$3:$E$4002,MATCH(A1359,$P$19:$P$4018,0)),D1358))</f>
        <v/>
      </c>
      <c r="E1359" s="29">
        <f>IF(A1359="","",IFERROR(INDEX('자료_미국심리'!$H$3:$H$4002,MATCH(A1359,$Q$19:$Q$4018,0)),E1358))</f>
        <v/>
      </c>
      <c r="F1359">
        <f>IF(A1359="",0,IF(A1359&gt;$B$5,1,0))</f>
        <v/>
      </c>
      <c r="G1359" s="29">
        <f>IF(AND(F1359=1,ISNUMBER(D1359)),D1359,"")</f>
        <v/>
      </c>
      <c r="H1359" s="29">
        <f>IF(AND(F1359=1,ISNUMBER(E1359)),E1359,"")</f>
        <v/>
      </c>
      <c r="I1359" s="22">
        <f>IF(AND(F1359=1,ISNUMBER(C1359)),C1359,"")</f>
        <v/>
      </c>
      <c r="J1359" s="11">
        <f>IF(G1359="","",100-IF($G$13=1,50,(_xlfn.RANK.AVG(G1359,$G$19:$G$1518,1)-1)/($G$13-1)*100))</f>
        <v/>
      </c>
      <c r="K1359" s="11">
        <f>IF(H1359="","",100-IF($G$14=1,50,(_xlfn.RANK.AVG(H1359,$H$19:$H$1518,1)-1)/($G$14-1)*100))</f>
        <v/>
      </c>
      <c r="L1359" s="11">
        <f>IF(I1359="","",IF($G$15=1,50,(_xlfn.RANK.AVG(I1359,$I$19:$I$1518,1)-1)/($G$15-1)*100))</f>
        <v/>
      </c>
      <c r="M1359" s="11">
        <f>IF(COUNT(J1359:L1359)=3,ROUND(AVERAGE(J1359:L1359),6),"")</f>
        <v/>
      </c>
      <c r="O1359">
        <f>IF(AND(ISNUMBER('자료_미국심리'!$A1343),ISNUMBER('자료_미국심리'!$B1343)),'자료_미국심리'!$A1343,"")</f>
        <v/>
      </c>
      <c r="P1359">
        <f>IF(AND(ISNUMBER('자료_미국심리'!$D1343),ISNUMBER('자료_미국심리'!$E1343)),'자료_미국심리'!$D1343,"")</f>
        <v/>
      </c>
      <c r="Q1359">
        <f>IF(AND(ISNUMBER('자료_미국심리'!$G1343),ISNUMBER('자료_미국심리'!$H1343)),'자료_미국심리'!$G1343,"")</f>
        <v/>
      </c>
    </row>
    <row r="1360">
      <c r="A1360" s="10">
        <f>IF(1342&gt;$E$5,"",SMALL($O$19:$O$4018,$E$6+1342))</f>
        <v/>
      </c>
      <c r="B1360" s="29">
        <f>IF(A1360="","",INDEX('자료_미국심리'!$B$3:$B$4002,MATCH(A1360,$O$19:$O$4018,0)))</f>
        <v/>
      </c>
      <c r="C1360" s="22">
        <f>IF(A1360="","",B1360/AVERAGE(B1236:B1360)-1)</f>
        <v/>
      </c>
      <c r="D1360" s="29">
        <f>IF(A1360="","",IFERROR(INDEX('자료_미국심리'!$E$3:$E$4002,MATCH(A1360,$P$19:$P$4018,0)),D1359))</f>
        <v/>
      </c>
      <c r="E1360" s="29">
        <f>IF(A1360="","",IFERROR(INDEX('자료_미국심리'!$H$3:$H$4002,MATCH(A1360,$Q$19:$Q$4018,0)),E1359))</f>
        <v/>
      </c>
      <c r="F1360">
        <f>IF(A1360="",0,IF(A1360&gt;$B$5,1,0))</f>
        <v/>
      </c>
      <c r="G1360" s="29">
        <f>IF(AND(F1360=1,ISNUMBER(D1360)),D1360,"")</f>
        <v/>
      </c>
      <c r="H1360" s="29">
        <f>IF(AND(F1360=1,ISNUMBER(E1360)),E1360,"")</f>
        <v/>
      </c>
      <c r="I1360" s="22">
        <f>IF(AND(F1360=1,ISNUMBER(C1360)),C1360,"")</f>
        <v/>
      </c>
      <c r="J1360" s="11">
        <f>IF(G1360="","",100-IF($G$13=1,50,(_xlfn.RANK.AVG(G1360,$G$19:$G$1518,1)-1)/($G$13-1)*100))</f>
        <v/>
      </c>
      <c r="K1360" s="11">
        <f>IF(H1360="","",100-IF($G$14=1,50,(_xlfn.RANK.AVG(H1360,$H$19:$H$1518,1)-1)/($G$14-1)*100))</f>
        <v/>
      </c>
      <c r="L1360" s="11">
        <f>IF(I1360="","",IF($G$15=1,50,(_xlfn.RANK.AVG(I1360,$I$19:$I$1518,1)-1)/($G$15-1)*100))</f>
        <v/>
      </c>
      <c r="M1360" s="11">
        <f>IF(COUNT(J1360:L1360)=3,ROUND(AVERAGE(J1360:L1360),6),"")</f>
        <v/>
      </c>
      <c r="O1360">
        <f>IF(AND(ISNUMBER('자료_미국심리'!$A1344),ISNUMBER('자료_미국심리'!$B1344)),'자료_미국심리'!$A1344,"")</f>
        <v/>
      </c>
      <c r="P1360">
        <f>IF(AND(ISNUMBER('자료_미국심리'!$D1344),ISNUMBER('자료_미국심리'!$E1344)),'자료_미국심리'!$D1344,"")</f>
        <v/>
      </c>
      <c r="Q1360">
        <f>IF(AND(ISNUMBER('자료_미국심리'!$G1344),ISNUMBER('자료_미국심리'!$H1344)),'자료_미국심리'!$G1344,"")</f>
        <v/>
      </c>
    </row>
    <row r="1361">
      <c r="A1361" s="10">
        <f>IF(1343&gt;$E$5,"",SMALL($O$19:$O$4018,$E$6+1343))</f>
        <v/>
      </c>
      <c r="B1361" s="29">
        <f>IF(A1361="","",INDEX('자료_미국심리'!$B$3:$B$4002,MATCH(A1361,$O$19:$O$4018,0)))</f>
        <v/>
      </c>
      <c r="C1361" s="22">
        <f>IF(A1361="","",B1361/AVERAGE(B1237:B1361)-1)</f>
        <v/>
      </c>
      <c r="D1361" s="29">
        <f>IF(A1361="","",IFERROR(INDEX('자료_미국심리'!$E$3:$E$4002,MATCH(A1361,$P$19:$P$4018,0)),D1360))</f>
        <v/>
      </c>
      <c r="E1361" s="29">
        <f>IF(A1361="","",IFERROR(INDEX('자료_미국심리'!$H$3:$H$4002,MATCH(A1361,$Q$19:$Q$4018,0)),E1360))</f>
        <v/>
      </c>
      <c r="F1361">
        <f>IF(A1361="",0,IF(A1361&gt;$B$5,1,0))</f>
        <v/>
      </c>
      <c r="G1361" s="29">
        <f>IF(AND(F1361=1,ISNUMBER(D1361)),D1361,"")</f>
        <v/>
      </c>
      <c r="H1361" s="29">
        <f>IF(AND(F1361=1,ISNUMBER(E1361)),E1361,"")</f>
        <v/>
      </c>
      <c r="I1361" s="22">
        <f>IF(AND(F1361=1,ISNUMBER(C1361)),C1361,"")</f>
        <v/>
      </c>
      <c r="J1361" s="11">
        <f>IF(G1361="","",100-IF($G$13=1,50,(_xlfn.RANK.AVG(G1361,$G$19:$G$1518,1)-1)/($G$13-1)*100))</f>
        <v/>
      </c>
      <c r="K1361" s="11">
        <f>IF(H1361="","",100-IF($G$14=1,50,(_xlfn.RANK.AVG(H1361,$H$19:$H$1518,1)-1)/($G$14-1)*100))</f>
        <v/>
      </c>
      <c r="L1361" s="11">
        <f>IF(I1361="","",IF($G$15=1,50,(_xlfn.RANK.AVG(I1361,$I$19:$I$1518,1)-1)/($G$15-1)*100))</f>
        <v/>
      </c>
      <c r="M1361" s="11">
        <f>IF(COUNT(J1361:L1361)=3,ROUND(AVERAGE(J1361:L1361),6),"")</f>
        <v/>
      </c>
      <c r="O1361">
        <f>IF(AND(ISNUMBER('자료_미국심리'!$A1345),ISNUMBER('자료_미국심리'!$B1345)),'자료_미국심리'!$A1345,"")</f>
        <v/>
      </c>
      <c r="P1361">
        <f>IF(AND(ISNUMBER('자료_미국심리'!$D1345),ISNUMBER('자료_미국심리'!$E1345)),'자료_미국심리'!$D1345,"")</f>
        <v/>
      </c>
      <c r="Q1361">
        <f>IF(AND(ISNUMBER('자료_미국심리'!$G1345),ISNUMBER('자료_미국심리'!$H1345)),'자료_미국심리'!$G1345,"")</f>
        <v/>
      </c>
    </row>
    <row r="1362">
      <c r="A1362" s="10">
        <f>IF(1344&gt;$E$5,"",SMALL($O$19:$O$4018,$E$6+1344))</f>
        <v/>
      </c>
      <c r="B1362" s="29">
        <f>IF(A1362="","",INDEX('자료_미국심리'!$B$3:$B$4002,MATCH(A1362,$O$19:$O$4018,0)))</f>
        <v/>
      </c>
      <c r="C1362" s="22">
        <f>IF(A1362="","",B1362/AVERAGE(B1238:B1362)-1)</f>
        <v/>
      </c>
      <c r="D1362" s="29">
        <f>IF(A1362="","",IFERROR(INDEX('자료_미국심리'!$E$3:$E$4002,MATCH(A1362,$P$19:$P$4018,0)),D1361))</f>
        <v/>
      </c>
      <c r="E1362" s="29">
        <f>IF(A1362="","",IFERROR(INDEX('자료_미국심리'!$H$3:$H$4002,MATCH(A1362,$Q$19:$Q$4018,0)),E1361))</f>
        <v/>
      </c>
      <c r="F1362">
        <f>IF(A1362="",0,IF(A1362&gt;$B$5,1,0))</f>
        <v/>
      </c>
      <c r="G1362" s="29">
        <f>IF(AND(F1362=1,ISNUMBER(D1362)),D1362,"")</f>
        <v/>
      </c>
      <c r="H1362" s="29">
        <f>IF(AND(F1362=1,ISNUMBER(E1362)),E1362,"")</f>
        <v/>
      </c>
      <c r="I1362" s="22">
        <f>IF(AND(F1362=1,ISNUMBER(C1362)),C1362,"")</f>
        <v/>
      </c>
      <c r="J1362" s="11">
        <f>IF(G1362="","",100-IF($G$13=1,50,(_xlfn.RANK.AVG(G1362,$G$19:$G$1518,1)-1)/($G$13-1)*100))</f>
        <v/>
      </c>
      <c r="K1362" s="11">
        <f>IF(H1362="","",100-IF($G$14=1,50,(_xlfn.RANK.AVG(H1362,$H$19:$H$1518,1)-1)/($G$14-1)*100))</f>
        <v/>
      </c>
      <c r="L1362" s="11">
        <f>IF(I1362="","",IF($G$15=1,50,(_xlfn.RANK.AVG(I1362,$I$19:$I$1518,1)-1)/($G$15-1)*100))</f>
        <v/>
      </c>
      <c r="M1362" s="11">
        <f>IF(COUNT(J1362:L1362)=3,ROUND(AVERAGE(J1362:L1362),6),"")</f>
        <v/>
      </c>
      <c r="O1362">
        <f>IF(AND(ISNUMBER('자료_미국심리'!$A1346),ISNUMBER('자료_미국심리'!$B1346)),'자료_미국심리'!$A1346,"")</f>
        <v/>
      </c>
      <c r="P1362">
        <f>IF(AND(ISNUMBER('자료_미국심리'!$D1346),ISNUMBER('자료_미국심리'!$E1346)),'자료_미국심리'!$D1346,"")</f>
        <v/>
      </c>
      <c r="Q1362">
        <f>IF(AND(ISNUMBER('자료_미국심리'!$G1346),ISNUMBER('자료_미국심리'!$H1346)),'자료_미국심리'!$G1346,"")</f>
        <v/>
      </c>
    </row>
    <row r="1363">
      <c r="A1363" s="10">
        <f>IF(1345&gt;$E$5,"",SMALL($O$19:$O$4018,$E$6+1345))</f>
        <v/>
      </c>
      <c r="B1363" s="29">
        <f>IF(A1363="","",INDEX('자료_미국심리'!$B$3:$B$4002,MATCH(A1363,$O$19:$O$4018,0)))</f>
        <v/>
      </c>
      <c r="C1363" s="22">
        <f>IF(A1363="","",B1363/AVERAGE(B1239:B1363)-1)</f>
        <v/>
      </c>
      <c r="D1363" s="29">
        <f>IF(A1363="","",IFERROR(INDEX('자료_미국심리'!$E$3:$E$4002,MATCH(A1363,$P$19:$P$4018,0)),D1362))</f>
        <v/>
      </c>
      <c r="E1363" s="29">
        <f>IF(A1363="","",IFERROR(INDEX('자료_미국심리'!$H$3:$H$4002,MATCH(A1363,$Q$19:$Q$4018,0)),E1362))</f>
        <v/>
      </c>
      <c r="F1363">
        <f>IF(A1363="",0,IF(A1363&gt;$B$5,1,0))</f>
        <v/>
      </c>
      <c r="G1363" s="29">
        <f>IF(AND(F1363=1,ISNUMBER(D1363)),D1363,"")</f>
        <v/>
      </c>
      <c r="H1363" s="29">
        <f>IF(AND(F1363=1,ISNUMBER(E1363)),E1363,"")</f>
        <v/>
      </c>
      <c r="I1363" s="22">
        <f>IF(AND(F1363=1,ISNUMBER(C1363)),C1363,"")</f>
        <v/>
      </c>
      <c r="J1363" s="11">
        <f>IF(G1363="","",100-IF($G$13=1,50,(_xlfn.RANK.AVG(G1363,$G$19:$G$1518,1)-1)/($G$13-1)*100))</f>
        <v/>
      </c>
      <c r="K1363" s="11">
        <f>IF(H1363="","",100-IF($G$14=1,50,(_xlfn.RANK.AVG(H1363,$H$19:$H$1518,1)-1)/($G$14-1)*100))</f>
        <v/>
      </c>
      <c r="L1363" s="11">
        <f>IF(I1363="","",IF($G$15=1,50,(_xlfn.RANK.AVG(I1363,$I$19:$I$1518,1)-1)/($G$15-1)*100))</f>
        <v/>
      </c>
      <c r="M1363" s="11">
        <f>IF(COUNT(J1363:L1363)=3,ROUND(AVERAGE(J1363:L1363),6),"")</f>
        <v/>
      </c>
      <c r="O1363">
        <f>IF(AND(ISNUMBER('자료_미국심리'!$A1347),ISNUMBER('자료_미국심리'!$B1347)),'자료_미국심리'!$A1347,"")</f>
        <v/>
      </c>
      <c r="P1363">
        <f>IF(AND(ISNUMBER('자료_미국심리'!$D1347),ISNUMBER('자료_미국심리'!$E1347)),'자료_미국심리'!$D1347,"")</f>
        <v/>
      </c>
      <c r="Q1363">
        <f>IF(AND(ISNUMBER('자료_미국심리'!$G1347),ISNUMBER('자료_미국심리'!$H1347)),'자료_미국심리'!$G1347,"")</f>
        <v/>
      </c>
    </row>
    <row r="1364">
      <c r="A1364" s="10">
        <f>IF(1346&gt;$E$5,"",SMALL($O$19:$O$4018,$E$6+1346))</f>
        <v/>
      </c>
      <c r="B1364" s="29">
        <f>IF(A1364="","",INDEX('자료_미국심리'!$B$3:$B$4002,MATCH(A1364,$O$19:$O$4018,0)))</f>
        <v/>
      </c>
      <c r="C1364" s="22">
        <f>IF(A1364="","",B1364/AVERAGE(B1240:B1364)-1)</f>
        <v/>
      </c>
      <c r="D1364" s="29">
        <f>IF(A1364="","",IFERROR(INDEX('자료_미국심리'!$E$3:$E$4002,MATCH(A1364,$P$19:$P$4018,0)),D1363))</f>
        <v/>
      </c>
      <c r="E1364" s="29">
        <f>IF(A1364="","",IFERROR(INDEX('자료_미국심리'!$H$3:$H$4002,MATCH(A1364,$Q$19:$Q$4018,0)),E1363))</f>
        <v/>
      </c>
      <c r="F1364">
        <f>IF(A1364="",0,IF(A1364&gt;$B$5,1,0))</f>
        <v/>
      </c>
      <c r="G1364" s="29">
        <f>IF(AND(F1364=1,ISNUMBER(D1364)),D1364,"")</f>
        <v/>
      </c>
      <c r="H1364" s="29">
        <f>IF(AND(F1364=1,ISNUMBER(E1364)),E1364,"")</f>
        <v/>
      </c>
      <c r="I1364" s="22">
        <f>IF(AND(F1364=1,ISNUMBER(C1364)),C1364,"")</f>
        <v/>
      </c>
      <c r="J1364" s="11">
        <f>IF(G1364="","",100-IF($G$13=1,50,(_xlfn.RANK.AVG(G1364,$G$19:$G$1518,1)-1)/($G$13-1)*100))</f>
        <v/>
      </c>
      <c r="K1364" s="11">
        <f>IF(H1364="","",100-IF($G$14=1,50,(_xlfn.RANK.AVG(H1364,$H$19:$H$1518,1)-1)/($G$14-1)*100))</f>
        <v/>
      </c>
      <c r="L1364" s="11">
        <f>IF(I1364="","",IF($G$15=1,50,(_xlfn.RANK.AVG(I1364,$I$19:$I$1518,1)-1)/($G$15-1)*100))</f>
        <v/>
      </c>
      <c r="M1364" s="11">
        <f>IF(COUNT(J1364:L1364)=3,ROUND(AVERAGE(J1364:L1364),6),"")</f>
        <v/>
      </c>
      <c r="O1364">
        <f>IF(AND(ISNUMBER('자료_미국심리'!$A1348),ISNUMBER('자료_미국심리'!$B1348)),'자료_미국심리'!$A1348,"")</f>
        <v/>
      </c>
      <c r="P1364">
        <f>IF(AND(ISNUMBER('자료_미국심리'!$D1348),ISNUMBER('자료_미국심리'!$E1348)),'자료_미국심리'!$D1348,"")</f>
        <v/>
      </c>
      <c r="Q1364">
        <f>IF(AND(ISNUMBER('자료_미국심리'!$G1348),ISNUMBER('자료_미국심리'!$H1348)),'자료_미국심리'!$G1348,"")</f>
        <v/>
      </c>
    </row>
    <row r="1365">
      <c r="A1365" s="10">
        <f>IF(1347&gt;$E$5,"",SMALL($O$19:$O$4018,$E$6+1347))</f>
        <v/>
      </c>
      <c r="B1365" s="29">
        <f>IF(A1365="","",INDEX('자료_미국심리'!$B$3:$B$4002,MATCH(A1365,$O$19:$O$4018,0)))</f>
        <v/>
      </c>
      <c r="C1365" s="22">
        <f>IF(A1365="","",B1365/AVERAGE(B1241:B1365)-1)</f>
        <v/>
      </c>
      <c r="D1365" s="29">
        <f>IF(A1365="","",IFERROR(INDEX('자료_미국심리'!$E$3:$E$4002,MATCH(A1365,$P$19:$P$4018,0)),D1364))</f>
        <v/>
      </c>
      <c r="E1365" s="29">
        <f>IF(A1365="","",IFERROR(INDEX('자료_미국심리'!$H$3:$H$4002,MATCH(A1365,$Q$19:$Q$4018,0)),E1364))</f>
        <v/>
      </c>
      <c r="F1365">
        <f>IF(A1365="",0,IF(A1365&gt;$B$5,1,0))</f>
        <v/>
      </c>
      <c r="G1365" s="29">
        <f>IF(AND(F1365=1,ISNUMBER(D1365)),D1365,"")</f>
        <v/>
      </c>
      <c r="H1365" s="29">
        <f>IF(AND(F1365=1,ISNUMBER(E1365)),E1365,"")</f>
        <v/>
      </c>
      <c r="I1365" s="22">
        <f>IF(AND(F1365=1,ISNUMBER(C1365)),C1365,"")</f>
        <v/>
      </c>
      <c r="J1365" s="11">
        <f>IF(G1365="","",100-IF($G$13=1,50,(_xlfn.RANK.AVG(G1365,$G$19:$G$1518,1)-1)/($G$13-1)*100))</f>
        <v/>
      </c>
      <c r="K1365" s="11">
        <f>IF(H1365="","",100-IF($G$14=1,50,(_xlfn.RANK.AVG(H1365,$H$19:$H$1518,1)-1)/($G$14-1)*100))</f>
        <v/>
      </c>
      <c r="L1365" s="11">
        <f>IF(I1365="","",IF($G$15=1,50,(_xlfn.RANK.AVG(I1365,$I$19:$I$1518,1)-1)/($G$15-1)*100))</f>
        <v/>
      </c>
      <c r="M1365" s="11">
        <f>IF(COUNT(J1365:L1365)=3,ROUND(AVERAGE(J1365:L1365),6),"")</f>
        <v/>
      </c>
      <c r="O1365">
        <f>IF(AND(ISNUMBER('자료_미국심리'!$A1349),ISNUMBER('자료_미국심리'!$B1349)),'자료_미국심리'!$A1349,"")</f>
        <v/>
      </c>
      <c r="P1365">
        <f>IF(AND(ISNUMBER('자료_미국심리'!$D1349),ISNUMBER('자료_미국심리'!$E1349)),'자료_미국심리'!$D1349,"")</f>
        <v/>
      </c>
      <c r="Q1365">
        <f>IF(AND(ISNUMBER('자료_미국심리'!$G1349),ISNUMBER('자료_미국심리'!$H1349)),'자료_미국심리'!$G1349,"")</f>
        <v/>
      </c>
    </row>
    <row r="1366">
      <c r="A1366" s="10">
        <f>IF(1348&gt;$E$5,"",SMALL($O$19:$O$4018,$E$6+1348))</f>
        <v/>
      </c>
      <c r="B1366" s="29">
        <f>IF(A1366="","",INDEX('자료_미국심리'!$B$3:$B$4002,MATCH(A1366,$O$19:$O$4018,0)))</f>
        <v/>
      </c>
      <c r="C1366" s="22">
        <f>IF(A1366="","",B1366/AVERAGE(B1242:B1366)-1)</f>
        <v/>
      </c>
      <c r="D1366" s="29">
        <f>IF(A1366="","",IFERROR(INDEX('자료_미국심리'!$E$3:$E$4002,MATCH(A1366,$P$19:$P$4018,0)),D1365))</f>
        <v/>
      </c>
      <c r="E1366" s="29">
        <f>IF(A1366="","",IFERROR(INDEX('자료_미국심리'!$H$3:$H$4002,MATCH(A1366,$Q$19:$Q$4018,0)),E1365))</f>
        <v/>
      </c>
      <c r="F1366">
        <f>IF(A1366="",0,IF(A1366&gt;$B$5,1,0))</f>
        <v/>
      </c>
      <c r="G1366" s="29">
        <f>IF(AND(F1366=1,ISNUMBER(D1366)),D1366,"")</f>
        <v/>
      </c>
      <c r="H1366" s="29">
        <f>IF(AND(F1366=1,ISNUMBER(E1366)),E1366,"")</f>
        <v/>
      </c>
      <c r="I1366" s="22">
        <f>IF(AND(F1366=1,ISNUMBER(C1366)),C1366,"")</f>
        <v/>
      </c>
      <c r="J1366" s="11">
        <f>IF(G1366="","",100-IF($G$13=1,50,(_xlfn.RANK.AVG(G1366,$G$19:$G$1518,1)-1)/($G$13-1)*100))</f>
        <v/>
      </c>
      <c r="K1366" s="11">
        <f>IF(H1366="","",100-IF($G$14=1,50,(_xlfn.RANK.AVG(H1366,$H$19:$H$1518,1)-1)/($G$14-1)*100))</f>
        <v/>
      </c>
      <c r="L1366" s="11">
        <f>IF(I1366="","",IF($G$15=1,50,(_xlfn.RANK.AVG(I1366,$I$19:$I$1518,1)-1)/($G$15-1)*100))</f>
        <v/>
      </c>
      <c r="M1366" s="11">
        <f>IF(COUNT(J1366:L1366)=3,ROUND(AVERAGE(J1366:L1366),6),"")</f>
        <v/>
      </c>
      <c r="O1366">
        <f>IF(AND(ISNUMBER('자료_미국심리'!$A1350),ISNUMBER('자료_미국심리'!$B1350)),'자료_미국심리'!$A1350,"")</f>
        <v/>
      </c>
      <c r="P1366">
        <f>IF(AND(ISNUMBER('자료_미국심리'!$D1350),ISNUMBER('자료_미국심리'!$E1350)),'자료_미국심리'!$D1350,"")</f>
        <v/>
      </c>
      <c r="Q1366">
        <f>IF(AND(ISNUMBER('자료_미국심리'!$G1350),ISNUMBER('자료_미국심리'!$H1350)),'자료_미국심리'!$G1350,"")</f>
        <v/>
      </c>
    </row>
    <row r="1367">
      <c r="A1367" s="10">
        <f>IF(1349&gt;$E$5,"",SMALL($O$19:$O$4018,$E$6+1349))</f>
        <v/>
      </c>
      <c r="B1367" s="29">
        <f>IF(A1367="","",INDEX('자료_미국심리'!$B$3:$B$4002,MATCH(A1367,$O$19:$O$4018,0)))</f>
        <v/>
      </c>
      <c r="C1367" s="22">
        <f>IF(A1367="","",B1367/AVERAGE(B1243:B1367)-1)</f>
        <v/>
      </c>
      <c r="D1367" s="29">
        <f>IF(A1367="","",IFERROR(INDEX('자료_미국심리'!$E$3:$E$4002,MATCH(A1367,$P$19:$P$4018,0)),D1366))</f>
        <v/>
      </c>
      <c r="E1367" s="29">
        <f>IF(A1367="","",IFERROR(INDEX('자료_미국심리'!$H$3:$H$4002,MATCH(A1367,$Q$19:$Q$4018,0)),E1366))</f>
        <v/>
      </c>
      <c r="F1367">
        <f>IF(A1367="",0,IF(A1367&gt;$B$5,1,0))</f>
        <v/>
      </c>
      <c r="G1367" s="29">
        <f>IF(AND(F1367=1,ISNUMBER(D1367)),D1367,"")</f>
        <v/>
      </c>
      <c r="H1367" s="29">
        <f>IF(AND(F1367=1,ISNUMBER(E1367)),E1367,"")</f>
        <v/>
      </c>
      <c r="I1367" s="22">
        <f>IF(AND(F1367=1,ISNUMBER(C1367)),C1367,"")</f>
        <v/>
      </c>
      <c r="J1367" s="11">
        <f>IF(G1367="","",100-IF($G$13=1,50,(_xlfn.RANK.AVG(G1367,$G$19:$G$1518,1)-1)/($G$13-1)*100))</f>
        <v/>
      </c>
      <c r="K1367" s="11">
        <f>IF(H1367="","",100-IF($G$14=1,50,(_xlfn.RANK.AVG(H1367,$H$19:$H$1518,1)-1)/($G$14-1)*100))</f>
        <v/>
      </c>
      <c r="L1367" s="11">
        <f>IF(I1367="","",IF($G$15=1,50,(_xlfn.RANK.AVG(I1367,$I$19:$I$1518,1)-1)/($G$15-1)*100))</f>
        <v/>
      </c>
      <c r="M1367" s="11">
        <f>IF(COUNT(J1367:L1367)=3,ROUND(AVERAGE(J1367:L1367),6),"")</f>
        <v/>
      </c>
      <c r="O1367">
        <f>IF(AND(ISNUMBER('자료_미국심리'!$A1351),ISNUMBER('자료_미국심리'!$B1351)),'자료_미국심리'!$A1351,"")</f>
        <v/>
      </c>
      <c r="P1367">
        <f>IF(AND(ISNUMBER('자료_미국심리'!$D1351),ISNUMBER('자료_미국심리'!$E1351)),'자료_미국심리'!$D1351,"")</f>
        <v/>
      </c>
      <c r="Q1367">
        <f>IF(AND(ISNUMBER('자료_미국심리'!$G1351),ISNUMBER('자료_미국심리'!$H1351)),'자료_미국심리'!$G1351,"")</f>
        <v/>
      </c>
    </row>
    <row r="1368">
      <c r="A1368" s="10">
        <f>IF(1350&gt;$E$5,"",SMALL($O$19:$O$4018,$E$6+1350))</f>
        <v/>
      </c>
      <c r="B1368" s="29">
        <f>IF(A1368="","",INDEX('자료_미국심리'!$B$3:$B$4002,MATCH(A1368,$O$19:$O$4018,0)))</f>
        <v/>
      </c>
      <c r="C1368" s="22">
        <f>IF(A1368="","",B1368/AVERAGE(B1244:B1368)-1)</f>
        <v/>
      </c>
      <c r="D1368" s="29">
        <f>IF(A1368="","",IFERROR(INDEX('자료_미국심리'!$E$3:$E$4002,MATCH(A1368,$P$19:$P$4018,0)),D1367))</f>
        <v/>
      </c>
      <c r="E1368" s="29">
        <f>IF(A1368="","",IFERROR(INDEX('자료_미국심리'!$H$3:$H$4002,MATCH(A1368,$Q$19:$Q$4018,0)),E1367))</f>
        <v/>
      </c>
      <c r="F1368">
        <f>IF(A1368="",0,IF(A1368&gt;$B$5,1,0))</f>
        <v/>
      </c>
      <c r="G1368" s="29">
        <f>IF(AND(F1368=1,ISNUMBER(D1368)),D1368,"")</f>
        <v/>
      </c>
      <c r="H1368" s="29">
        <f>IF(AND(F1368=1,ISNUMBER(E1368)),E1368,"")</f>
        <v/>
      </c>
      <c r="I1368" s="22">
        <f>IF(AND(F1368=1,ISNUMBER(C1368)),C1368,"")</f>
        <v/>
      </c>
      <c r="J1368" s="11">
        <f>IF(G1368="","",100-IF($G$13=1,50,(_xlfn.RANK.AVG(G1368,$G$19:$G$1518,1)-1)/($G$13-1)*100))</f>
        <v/>
      </c>
      <c r="K1368" s="11">
        <f>IF(H1368="","",100-IF($G$14=1,50,(_xlfn.RANK.AVG(H1368,$H$19:$H$1518,1)-1)/($G$14-1)*100))</f>
        <v/>
      </c>
      <c r="L1368" s="11">
        <f>IF(I1368="","",IF($G$15=1,50,(_xlfn.RANK.AVG(I1368,$I$19:$I$1518,1)-1)/($G$15-1)*100))</f>
        <v/>
      </c>
      <c r="M1368" s="11">
        <f>IF(COUNT(J1368:L1368)=3,ROUND(AVERAGE(J1368:L1368),6),"")</f>
        <v/>
      </c>
      <c r="O1368">
        <f>IF(AND(ISNUMBER('자료_미국심리'!$A1352),ISNUMBER('자료_미국심리'!$B1352)),'자료_미국심리'!$A1352,"")</f>
        <v/>
      </c>
      <c r="P1368">
        <f>IF(AND(ISNUMBER('자료_미국심리'!$D1352),ISNUMBER('자료_미국심리'!$E1352)),'자료_미국심리'!$D1352,"")</f>
        <v/>
      </c>
      <c r="Q1368">
        <f>IF(AND(ISNUMBER('자료_미국심리'!$G1352),ISNUMBER('자료_미국심리'!$H1352)),'자료_미국심리'!$G1352,"")</f>
        <v/>
      </c>
    </row>
    <row r="1369">
      <c r="A1369" s="10">
        <f>IF(1351&gt;$E$5,"",SMALL($O$19:$O$4018,$E$6+1351))</f>
        <v/>
      </c>
      <c r="B1369" s="29">
        <f>IF(A1369="","",INDEX('자료_미국심리'!$B$3:$B$4002,MATCH(A1369,$O$19:$O$4018,0)))</f>
        <v/>
      </c>
      <c r="C1369" s="22">
        <f>IF(A1369="","",B1369/AVERAGE(B1245:B1369)-1)</f>
        <v/>
      </c>
      <c r="D1369" s="29">
        <f>IF(A1369="","",IFERROR(INDEX('자료_미국심리'!$E$3:$E$4002,MATCH(A1369,$P$19:$P$4018,0)),D1368))</f>
        <v/>
      </c>
      <c r="E1369" s="29">
        <f>IF(A1369="","",IFERROR(INDEX('자료_미국심리'!$H$3:$H$4002,MATCH(A1369,$Q$19:$Q$4018,0)),E1368))</f>
        <v/>
      </c>
      <c r="F1369">
        <f>IF(A1369="",0,IF(A1369&gt;$B$5,1,0))</f>
        <v/>
      </c>
      <c r="G1369" s="29">
        <f>IF(AND(F1369=1,ISNUMBER(D1369)),D1369,"")</f>
        <v/>
      </c>
      <c r="H1369" s="29">
        <f>IF(AND(F1369=1,ISNUMBER(E1369)),E1369,"")</f>
        <v/>
      </c>
      <c r="I1369" s="22">
        <f>IF(AND(F1369=1,ISNUMBER(C1369)),C1369,"")</f>
        <v/>
      </c>
      <c r="J1369" s="11">
        <f>IF(G1369="","",100-IF($G$13=1,50,(_xlfn.RANK.AVG(G1369,$G$19:$G$1518,1)-1)/($G$13-1)*100))</f>
        <v/>
      </c>
      <c r="K1369" s="11">
        <f>IF(H1369="","",100-IF($G$14=1,50,(_xlfn.RANK.AVG(H1369,$H$19:$H$1518,1)-1)/($G$14-1)*100))</f>
        <v/>
      </c>
      <c r="L1369" s="11">
        <f>IF(I1369="","",IF($G$15=1,50,(_xlfn.RANK.AVG(I1369,$I$19:$I$1518,1)-1)/($G$15-1)*100))</f>
        <v/>
      </c>
      <c r="M1369" s="11">
        <f>IF(COUNT(J1369:L1369)=3,ROUND(AVERAGE(J1369:L1369),6),"")</f>
        <v/>
      </c>
      <c r="O1369">
        <f>IF(AND(ISNUMBER('자료_미국심리'!$A1353),ISNUMBER('자료_미국심리'!$B1353)),'자료_미국심리'!$A1353,"")</f>
        <v/>
      </c>
      <c r="P1369">
        <f>IF(AND(ISNUMBER('자료_미국심리'!$D1353),ISNUMBER('자료_미국심리'!$E1353)),'자료_미국심리'!$D1353,"")</f>
        <v/>
      </c>
      <c r="Q1369">
        <f>IF(AND(ISNUMBER('자료_미국심리'!$G1353),ISNUMBER('자료_미국심리'!$H1353)),'자료_미국심리'!$G1353,"")</f>
        <v/>
      </c>
    </row>
    <row r="1370">
      <c r="A1370" s="10">
        <f>IF(1352&gt;$E$5,"",SMALL($O$19:$O$4018,$E$6+1352))</f>
        <v/>
      </c>
      <c r="B1370" s="29">
        <f>IF(A1370="","",INDEX('자료_미국심리'!$B$3:$B$4002,MATCH(A1370,$O$19:$O$4018,0)))</f>
        <v/>
      </c>
      <c r="C1370" s="22">
        <f>IF(A1370="","",B1370/AVERAGE(B1246:B1370)-1)</f>
        <v/>
      </c>
      <c r="D1370" s="29">
        <f>IF(A1370="","",IFERROR(INDEX('자료_미국심리'!$E$3:$E$4002,MATCH(A1370,$P$19:$P$4018,0)),D1369))</f>
        <v/>
      </c>
      <c r="E1370" s="29">
        <f>IF(A1370="","",IFERROR(INDEX('자료_미국심리'!$H$3:$H$4002,MATCH(A1370,$Q$19:$Q$4018,0)),E1369))</f>
        <v/>
      </c>
      <c r="F1370">
        <f>IF(A1370="",0,IF(A1370&gt;$B$5,1,0))</f>
        <v/>
      </c>
      <c r="G1370" s="29">
        <f>IF(AND(F1370=1,ISNUMBER(D1370)),D1370,"")</f>
        <v/>
      </c>
      <c r="H1370" s="29">
        <f>IF(AND(F1370=1,ISNUMBER(E1370)),E1370,"")</f>
        <v/>
      </c>
      <c r="I1370" s="22">
        <f>IF(AND(F1370=1,ISNUMBER(C1370)),C1370,"")</f>
        <v/>
      </c>
      <c r="J1370" s="11">
        <f>IF(G1370="","",100-IF($G$13=1,50,(_xlfn.RANK.AVG(G1370,$G$19:$G$1518,1)-1)/($G$13-1)*100))</f>
        <v/>
      </c>
      <c r="K1370" s="11">
        <f>IF(H1370="","",100-IF($G$14=1,50,(_xlfn.RANK.AVG(H1370,$H$19:$H$1518,1)-1)/($G$14-1)*100))</f>
        <v/>
      </c>
      <c r="L1370" s="11">
        <f>IF(I1370="","",IF($G$15=1,50,(_xlfn.RANK.AVG(I1370,$I$19:$I$1518,1)-1)/($G$15-1)*100))</f>
        <v/>
      </c>
      <c r="M1370" s="11">
        <f>IF(COUNT(J1370:L1370)=3,ROUND(AVERAGE(J1370:L1370),6),"")</f>
        <v/>
      </c>
      <c r="O1370">
        <f>IF(AND(ISNUMBER('자료_미국심리'!$A1354),ISNUMBER('자료_미국심리'!$B1354)),'자료_미국심리'!$A1354,"")</f>
        <v/>
      </c>
      <c r="P1370">
        <f>IF(AND(ISNUMBER('자료_미국심리'!$D1354),ISNUMBER('자료_미국심리'!$E1354)),'자료_미국심리'!$D1354,"")</f>
        <v/>
      </c>
      <c r="Q1370">
        <f>IF(AND(ISNUMBER('자료_미국심리'!$G1354),ISNUMBER('자료_미국심리'!$H1354)),'자료_미국심리'!$G1354,"")</f>
        <v/>
      </c>
    </row>
    <row r="1371">
      <c r="A1371" s="10">
        <f>IF(1353&gt;$E$5,"",SMALL($O$19:$O$4018,$E$6+1353))</f>
        <v/>
      </c>
      <c r="B1371" s="29">
        <f>IF(A1371="","",INDEX('자료_미국심리'!$B$3:$B$4002,MATCH(A1371,$O$19:$O$4018,0)))</f>
        <v/>
      </c>
      <c r="C1371" s="22">
        <f>IF(A1371="","",B1371/AVERAGE(B1247:B1371)-1)</f>
        <v/>
      </c>
      <c r="D1371" s="29">
        <f>IF(A1371="","",IFERROR(INDEX('자료_미국심리'!$E$3:$E$4002,MATCH(A1371,$P$19:$P$4018,0)),D1370))</f>
        <v/>
      </c>
      <c r="E1371" s="29">
        <f>IF(A1371="","",IFERROR(INDEX('자료_미국심리'!$H$3:$H$4002,MATCH(A1371,$Q$19:$Q$4018,0)),E1370))</f>
        <v/>
      </c>
      <c r="F1371">
        <f>IF(A1371="",0,IF(A1371&gt;$B$5,1,0))</f>
        <v/>
      </c>
      <c r="G1371" s="29">
        <f>IF(AND(F1371=1,ISNUMBER(D1371)),D1371,"")</f>
        <v/>
      </c>
      <c r="H1371" s="29">
        <f>IF(AND(F1371=1,ISNUMBER(E1371)),E1371,"")</f>
        <v/>
      </c>
      <c r="I1371" s="22">
        <f>IF(AND(F1371=1,ISNUMBER(C1371)),C1371,"")</f>
        <v/>
      </c>
      <c r="J1371" s="11">
        <f>IF(G1371="","",100-IF($G$13=1,50,(_xlfn.RANK.AVG(G1371,$G$19:$G$1518,1)-1)/($G$13-1)*100))</f>
        <v/>
      </c>
      <c r="K1371" s="11">
        <f>IF(H1371="","",100-IF($G$14=1,50,(_xlfn.RANK.AVG(H1371,$H$19:$H$1518,1)-1)/($G$14-1)*100))</f>
        <v/>
      </c>
      <c r="L1371" s="11">
        <f>IF(I1371="","",IF($G$15=1,50,(_xlfn.RANK.AVG(I1371,$I$19:$I$1518,1)-1)/($G$15-1)*100))</f>
        <v/>
      </c>
      <c r="M1371" s="11">
        <f>IF(COUNT(J1371:L1371)=3,ROUND(AVERAGE(J1371:L1371),6),"")</f>
        <v/>
      </c>
      <c r="O1371">
        <f>IF(AND(ISNUMBER('자료_미국심리'!$A1355),ISNUMBER('자료_미국심리'!$B1355)),'자료_미국심리'!$A1355,"")</f>
        <v/>
      </c>
      <c r="P1371">
        <f>IF(AND(ISNUMBER('자료_미국심리'!$D1355),ISNUMBER('자료_미국심리'!$E1355)),'자료_미국심리'!$D1355,"")</f>
        <v/>
      </c>
      <c r="Q1371">
        <f>IF(AND(ISNUMBER('자료_미국심리'!$G1355),ISNUMBER('자료_미국심리'!$H1355)),'자료_미국심리'!$G1355,"")</f>
        <v/>
      </c>
    </row>
    <row r="1372">
      <c r="A1372" s="10">
        <f>IF(1354&gt;$E$5,"",SMALL($O$19:$O$4018,$E$6+1354))</f>
        <v/>
      </c>
      <c r="B1372" s="29">
        <f>IF(A1372="","",INDEX('자료_미국심리'!$B$3:$B$4002,MATCH(A1372,$O$19:$O$4018,0)))</f>
        <v/>
      </c>
      <c r="C1372" s="22">
        <f>IF(A1372="","",B1372/AVERAGE(B1248:B1372)-1)</f>
        <v/>
      </c>
      <c r="D1372" s="29">
        <f>IF(A1372="","",IFERROR(INDEX('자료_미국심리'!$E$3:$E$4002,MATCH(A1372,$P$19:$P$4018,0)),D1371))</f>
        <v/>
      </c>
      <c r="E1372" s="29">
        <f>IF(A1372="","",IFERROR(INDEX('자료_미국심리'!$H$3:$H$4002,MATCH(A1372,$Q$19:$Q$4018,0)),E1371))</f>
        <v/>
      </c>
      <c r="F1372">
        <f>IF(A1372="",0,IF(A1372&gt;$B$5,1,0))</f>
        <v/>
      </c>
      <c r="G1372" s="29">
        <f>IF(AND(F1372=1,ISNUMBER(D1372)),D1372,"")</f>
        <v/>
      </c>
      <c r="H1372" s="29">
        <f>IF(AND(F1372=1,ISNUMBER(E1372)),E1372,"")</f>
        <v/>
      </c>
      <c r="I1372" s="22">
        <f>IF(AND(F1372=1,ISNUMBER(C1372)),C1372,"")</f>
        <v/>
      </c>
      <c r="J1372" s="11">
        <f>IF(G1372="","",100-IF($G$13=1,50,(_xlfn.RANK.AVG(G1372,$G$19:$G$1518,1)-1)/($G$13-1)*100))</f>
        <v/>
      </c>
      <c r="K1372" s="11">
        <f>IF(H1372="","",100-IF($G$14=1,50,(_xlfn.RANK.AVG(H1372,$H$19:$H$1518,1)-1)/($G$14-1)*100))</f>
        <v/>
      </c>
      <c r="L1372" s="11">
        <f>IF(I1372="","",IF($G$15=1,50,(_xlfn.RANK.AVG(I1372,$I$19:$I$1518,1)-1)/($G$15-1)*100))</f>
        <v/>
      </c>
      <c r="M1372" s="11">
        <f>IF(COUNT(J1372:L1372)=3,ROUND(AVERAGE(J1372:L1372),6),"")</f>
        <v/>
      </c>
      <c r="O1372">
        <f>IF(AND(ISNUMBER('자료_미국심리'!$A1356),ISNUMBER('자료_미국심리'!$B1356)),'자료_미국심리'!$A1356,"")</f>
        <v/>
      </c>
      <c r="P1372">
        <f>IF(AND(ISNUMBER('자료_미국심리'!$D1356),ISNUMBER('자료_미국심리'!$E1356)),'자료_미국심리'!$D1356,"")</f>
        <v/>
      </c>
      <c r="Q1372">
        <f>IF(AND(ISNUMBER('자료_미국심리'!$G1356),ISNUMBER('자료_미국심리'!$H1356)),'자료_미국심리'!$G1356,"")</f>
        <v/>
      </c>
    </row>
    <row r="1373">
      <c r="A1373" s="10">
        <f>IF(1355&gt;$E$5,"",SMALL($O$19:$O$4018,$E$6+1355))</f>
        <v/>
      </c>
      <c r="B1373" s="29">
        <f>IF(A1373="","",INDEX('자료_미국심리'!$B$3:$B$4002,MATCH(A1373,$O$19:$O$4018,0)))</f>
        <v/>
      </c>
      <c r="C1373" s="22">
        <f>IF(A1373="","",B1373/AVERAGE(B1249:B1373)-1)</f>
        <v/>
      </c>
      <c r="D1373" s="29">
        <f>IF(A1373="","",IFERROR(INDEX('자료_미국심리'!$E$3:$E$4002,MATCH(A1373,$P$19:$P$4018,0)),D1372))</f>
        <v/>
      </c>
      <c r="E1373" s="29">
        <f>IF(A1373="","",IFERROR(INDEX('자료_미국심리'!$H$3:$H$4002,MATCH(A1373,$Q$19:$Q$4018,0)),E1372))</f>
        <v/>
      </c>
      <c r="F1373">
        <f>IF(A1373="",0,IF(A1373&gt;$B$5,1,0))</f>
        <v/>
      </c>
      <c r="G1373" s="29">
        <f>IF(AND(F1373=1,ISNUMBER(D1373)),D1373,"")</f>
        <v/>
      </c>
      <c r="H1373" s="29">
        <f>IF(AND(F1373=1,ISNUMBER(E1373)),E1373,"")</f>
        <v/>
      </c>
      <c r="I1373" s="22">
        <f>IF(AND(F1373=1,ISNUMBER(C1373)),C1373,"")</f>
        <v/>
      </c>
      <c r="J1373" s="11">
        <f>IF(G1373="","",100-IF($G$13=1,50,(_xlfn.RANK.AVG(G1373,$G$19:$G$1518,1)-1)/($G$13-1)*100))</f>
        <v/>
      </c>
      <c r="K1373" s="11">
        <f>IF(H1373="","",100-IF($G$14=1,50,(_xlfn.RANK.AVG(H1373,$H$19:$H$1518,1)-1)/($G$14-1)*100))</f>
        <v/>
      </c>
      <c r="L1373" s="11">
        <f>IF(I1373="","",IF($G$15=1,50,(_xlfn.RANK.AVG(I1373,$I$19:$I$1518,1)-1)/($G$15-1)*100))</f>
        <v/>
      </c>
      <c r="M1373" s="11">
        <f>IF(COUNT(J1373:L1373)=3,ROUND(AVERAGE(J1373:L1373),6),"")</f>
        <v/>
      </c>
      <c r="O1373">
        <f>IF(AND(ISNUMBER('자료_미국심리'!$A1357),ISNUMBER('자료_미국심리'!$B1357)),'자료_미국심리'!$A1357,"")</f>
        <v/>
      </c>
      <c r="P1373">
        <f>IF(AND(ISNUMBER('자료_미국심리'!$D1357),ISNUMBER('자료_미국심리'!$E1357)),'자료_미국심리'!$D1357,"")</f>
        <v/>
      </c>
      <c r="Q1373">
        <f>IF(AND(ISNUMBER('자료_미국심리'!$G1357),ISNUMBER('자료_미국심리'!$H1357)),'자료_미국심리'!$G1357,"")</f>
        <v/>
      </c>
    </row>
    <row r="1374">
      <c r="A1374" s="10">
        <f>IF(1356&gt;$E$5,"",SMALL($O$19:$O$4018,$E$6+1356))</f>
        <v/>
      </c>
      <c r="B1374" s="29">
        <f>IF(A1374="","",INDEX('자료_미국심리'!$B$3:$B$4002,MATCH(A1374,$O$19:$O$4018,0)))</f>
        <v/>
      </c>
      <c r="C1374" s="22">
        <f>IF(A1374="","",B1374/AVERAGE(B1250:B1374)-1)</f>
        <v/>
      </c>
      <c r="D1374" s="29">
        <f>IF(A1374="","",IFERROR(INDEX('자료_미국심리'!$E$3:$E$4002,MATCH(A1374,$P$19:$P$4018,0)),D1373))</f>
        <v/>
      </c>
      <c r="E1374" s="29">
        <f>IF(A1374="","",IFERROR(INDEX('자료_미국심리'!$H$3:$H$4002,MATCH(A1374,$Q$19:$Q$4018,0)),E1373))</f>
        <v/>
      </c>
      <c r="F1374">
        <f>IF(A1374="",0,IF(A1374&gt;$B$5,1,0))</f>
        <v/>
      </c>
      <c r="G1374" s="29">
        <f>IF(AND(F1374=1,ISNUMBER(D1374)),D1374,"")</f>
        <v/>
      </c>
      <c r="H1374" s="29">
        <f>IF(AND(F1374=1,ISNUMBER(E1374)),E1374,"")</f>
        <v/>
      </c>
      <c r="I1374" s="22">
        <f>IF(AND(F1374=1,ISNUMBER(C1374)),C1374,"")</f>
        <v/>
      </c>
      <c r="J1374" s="11">
        <f>IF(G1374="","",100-IF($G$13=1,50,(_xlfn.RANK.AVG(G1374,$G$19:$G$1518,1)-1)/($G$13-1)*100))</f>
        <v/>
      </c>
      <c r="K1374" s="11">
        <f>IF(H1374="","",100-IF($G$14=1,50,(_xlfn.RANK.AVG(H1374,$H$19:$H$1518,1)-1)/($G$14-1)*100))</f>
        <v/>
      </c>
      <c r="L1374" s="11">
        <f>IF(I1374="","",IF($G$15=1,50,(_xlfn.RANK.AVG(I1374,$I$19:$I$1518,1)-1)/($G$15-1)*100))</f>
        <v/>
      </c>
      <c r="M1374" s="11">
        <f>IF(COUNT(J1374:L1374)=3,ROUND(AVERAGE(J1374:L1374),6),"")</f>
        <v/>
      </c>
      <c r="O1374">
        <f>IF(AND(ISNUMBER('자료_미국심리'!$A1358),ISNUMBER('자료_미국심리'!$B1358)),'자료_미국심리'!$A1358,"")</f>
        <v/>
      </c>
      <c r="P1374">
        <f>IF(AND(ISNUMBER('자료_미국심리'!$D1358),ISNUMBER('자료_미국심리'!$E1358)),'자료_미국심리'!$D1358,"")</f>
        <v/>
      </c>
      <c r="Q1374">
        <f>IF(AND(ISNUMBER('자료_미국심리'!$G1358),ISNUMBER('자료_미국심리'!$H1358)),'자료_미국심리'!$G1358,"")</f>
        <v/>
      </c>
    </row>
    <row r="1375">
      <c r="A1375" s="10">
        <f>IF(1357&gt;$E$5,"",SMALL($O$19:$O$4018,$E$6+1357))</f>
        <v/>
      </c>
      <c r="B1375" s="29">
        <f>IF(A1375="","",INDEX('자료_미국심리'!$B$3:$B$4002,MATCH(A1375,$O$19:$O$4018,0)))</f>
        <v/>
      </c>
      <c r="C1375" s="22">
        <f>IF(A1375="","",B1375/AVERAGE(B1251:B1375)-1)</f>
        <v/>
      </c>
      <c r="D1375" s="29">
        <f>IF(A1375="","",IFERROR(INDEX('자료_미국심리'!$E$3:$E$4002,MATCH(A1375,$P$19:$P$4018,0)),D1374))</f>
        <v/>
      </c>
      <c r="E1375" s="29">
        <f>IF(A1375="","",IFERROR(INDEX('자료_미국심리'!$H$3:$H$4002,MATCH(A1375,$Q$19:$Q$4018,0)),E1374))</f>
        <v/>
      </c>
      <c r="F1375">
        <f>IF(A1375="",0,IF(A1375&gt;$B$5,1,0))</f>
        <v/>
      </c>
      <c r="G1375" s="29">
        <f>IF(AND(F1375=1,ISNUMBER(D1375)),D1375,"")</f>
        <v/>
      </c>
      <c r="H1375" s="29">
        <f>IF(AND(F1375=1,ISNUMBER(E1375)),E1375,"")</f>
        <v/>
      </c>
      <c r="I1375" s="22">
        <f>IF(AND(F1375=1,ISNUMBER(C1375)),C1375,"")</f>
        <v/>
      </c>
      <c r="J1375" s="11">
        <f>IF(G1375="","",100-IF($G$13=1,50,(_xlfn.RANK.AVG(G1375,$G$19:$G$1518,1)-1)/($G$13-1)*100))</f>
        <v/>
      </c>
      <c r="K1375" s="11">
        <f>IF(H1375="","",100-IF($G$14=1,50,(_xlfn.RANK.AVG(H1375,$H$19:$H$1518,1)-1)/($G$14-1)*100))</f>
        <v/>
      </c>
      <c r="L1375" s="11">
        <f>IF(I1375="","",IF($G$15=1,50,(_xlfn.RANK.AVG(I1375,$I$19:$I$1518,1)-1)/($G$15-1)*100))</f>
        <v/>
      </c>
      <c r="M1375" s="11">
        <f>IF(COUNT(J1375:L1375)=3,ROUND(AVERAGE(J1375:L1375),6),"")</f>
        <v/>
      </c>
      <c r="O1375">
        <f>IF(AND(ISNUMBER('자료_미국심리'!$A1359),ISNUMBER('자료_미국심리'!$B1359)),'자료_미국심리'!$A1359,"")</f>
        <v/>
      </c>
      <c r="P1375">
        <f>IF(AND(ISNUMBER('자료_미국심리'!$D1359),ISNUMBER('자료_미국심리'!$E1359)),'자료_미국심리'!$D1359,"")</f>
        <v/>
      </c>
      <c r="Q1375">
        <f>IF(AND(ISNUMBER('자료_미국심리'!$G1359),ISNUMBER('자료_미국심리'!$H1359)),'자료_미국심리'!$G1359,"")</f>
        <v/>
      </c>
    </row>
    <row r="1376">
      <c r="A1376" s="10">
        <f>IF(1358&gt;$E$5,"",SMALL($O$19:$O$4018,$E$6+1358))</f>
        <v/>
      </c>
      <c r="B1376" s="29">
        <f>IF(A1376="","",INDEX('자료_미국심리'!$B$3:$B$4002,MATCH(A1376,$O$19:$O$4018,0)))</f>
        <v/>
      </c>
      <c r="C1376" s="22">
        <f>IF(A1376="","",B1376/AVERAGE(B1252:B1376)-1)</f>
        <v/>
      </c>
      <c r="D1376" s="29">
        <f>IF(A1376="","",IFERROR(INDEX('자료_미국심리'!$E$3:$E$4002,MATCH(A1376,$P$19:$P$4018,0)),D1375))</f>
        <v/>
      </c>
      <c r="E1376" s="29">
        <f>IF(A1376="","",IFERROR(INDEX('자료_미국심리'!$H$3:$H$4002,MATCH(A1376,$Q$19:$Q$4018,0)),E1375))</f>
        <v/>
      </c>
      <c r="F1376">
        <f>IF(A1376="",0,IF(A1376&gt;$B$5,1,0))</f>
        <v/>
      </c>
      <c r="G1376" s="29">
        <f>IF(AND(F1376=1,ISNUMBER(D1376)),D1376,"")</f>
        <v/>
      </c>
      <c r="H1376" s="29">
        <f>IF(AND(F1376=1,ISNUMBER(E1376)),E1376,"")</f>
        <v/>
      </c>
      <c r="I1376" s="22">
        <f>IF(AND(F1376=1,ISNUMBER(C1376)),C1376,"")</f>
        <v/>
      </c>
      <c r="J1376" s="11">
        <f>IF(G1376="","",100-IF($G$13=1,50,(_xlfn.RANK.AVG(G1376,$G$19:$G$1518,1)-1)/($G$13-1)*100))</f>
        <v/>
      </c>
      <c r="K1376" s="11">
        <f>IF(H1376="","",100-IF($G$14=1,50,(_xlfn.RANK.AVG(H1376,$H$19:$H$1518,1)-1)/($G$14-1)*100))</f>
        <v/>
      </c>
      <c r="L1376" s="11">
        <f>IF(I1376="","",IF($G$15=1,50,(_xlfn.RANK.AVG(I1376,$I$19:$I$1518,1)-1)/($G$15-1)*100))</f>
        <v/>
      </c>
      <c r="M1376" s="11">
        <f>IF(COUNT(J1376:L1376)=3,ROUND(AVERAGE(J1376:L1376),6),"")</f>
        <v/>
      </c>
      <c r="O1376">
        <f>IF(AND(ISNUMBER('자료_미국심리'!$A1360),ISNUMBER('자료_미국심리'!$B1360)),'자료_미국심리'!$A1360,"")</f>
        <v/>
      </c>
      <c r="P1376">
        <f>IF(AND(ISNUMBER('자료_미국심리'!$D1360),ISNUMBER('자료_미국심리'!$E1360)),'자료_미국심리'!$D1360,"")</f>
        <v/>
      </c>
      <c r="Q1376">
        <f>IF(AND(ISNUMBER('자료_미국심리'!$G1360),ISNUMBER('자료_미국심리'!$H1360)),'자료_미국심리'!$G1360,"")</f>
        <v/>
      </c>
    </row>
    <row r="1377">
      <c r="A1377" s="10">
        <f>IF(1359&gt;$E$5,"",SMALL($O$19:$O$4018,$E$6+1359))</f>
        <v/>
      </c>
      <c r="B1377" s="29">
        <f>IF(A1377="","",INDEX('자료_미국심리'!$B$3:$B$4002,MATCH(A1377,$O$19:$O$4018,0)))</f>
        <v/>
      </c>
      <c r="C1377" s="22">
        <f>IF(A1377="","",B1377/AVERAGE(B1253:B1377)-1)</f>
        <v/>
      </c>
      <c r="D1377" s="29">
        <f>IF(A1377="","",IFERROR(INDEX('자료_미국심리'!$E$3:$E$4002,MATCH(A1377,$P$19:$P$4018,0)),D1376))</f>
        <v/>
      </c>
      <c r="E1377" s="29">
        <f>IF(A1377="","",IFERROR(INDEX('자료_미국심리'!$H$3:$H$4002,MATCH(A1377,$Q$19:$Q$4018,0)),E1376))</f>
        <v/>
      </c>
      <c r="F1377">
        <f>IF(A1377="",0,IF(A1377&gt;$B$5,1,0))</f>
        <v/>
      </c>
      <c r="G1377" s="29">
        <f>IF(AND(F1377=1,ISNUMBER(D1377)),D1377,"")</f>
        <v/>
      </c>
      <c r="H1377" s="29">
        <f>IF(AND(F1377=1,ISNUMBER(E1377)),E1377,"")</f>
        <v/>
      </c>
      <c r="I1377" s="22">
        <f>IF(AND(F1377=1,ISNUMBER(C1377)),C1377,"")</f>
        <v/>
      </c>
      <c r="J1377" s="11">
        <f>IF(G1377="","",100-IF($G$13=1,50,(_xlfn.RANK.AVG(G1377,$G$19:$G$1518,1)-1)/($G$13-1)*100))</f>
        <v/>
      </c>
      <c r="K1377" s="11">
        <f>IF(H1377="","",100-IF($G$14=1,50,(_xlfn.RANK.AVG(H1377,$H$19:$H$1518,1)-1)/($G$14-1)*100))</f>
        <v/>
      </c>
      <c r="L1377" s="11">
        <f>IF(I1377="","",IF($G$15=1,50,(_xlfn.RANK.AVG(I1377,$I$19:$I$1518,1)-1)/($G$15-1)*100))</f>
        <v/>
      </c>
      <c r="M1377" s="11">
        <f>IF(COUNT(J1377:L1377)=3,ROUND(AVERAGE(J1377:L1377),6),"")</f>
        <v/>
      </c>
      <c r="O1377">
        <f>IF(AND(ISNUMBER('자료_미국심리'!$A1361),ISNUMBER('자료_미국심리'!$B1361)),'자료_미국심리'!$A1361,"")</f>
        <v/>
      </c>
      <c r="P1377">
        <f>IF(AND(ISNUMBER('자료_미국심리'!$D1361),ISNUMBER('자료_미국심리'!$E1361)),'자료_미국심리'!$D1361,"")</f>
        <v/>
      </c>
      <c r="Q1377">
        <f>IF(AND(ISNUMBER('자료_미국심리'!$G1361),ISNUMBER('자료_미국심리'!$H1361)),'자료_미국심리'!$G1361,"")</f>
        <v/>
      </c>
    </row>
    <row r="1378">
      <c r="A1378" s="10">
        <f>IF(1360&gt;$E$5,"",SMALL($O$19:$O$4018,$E$6+1360))</f>
        <v/>
      </c>
      <c r="B1378" s="29">
        <f>IF(A1378="","",INDEX('자료_미국심리'!$B$3:$B$4002,MATCH(A1378,$O$19:$O$4018,0)))</f>
        <v/>
      </c>
      <c r="C1378" s="22">
        <f>IF(A1378="","",B1378/AVERAGE(B1254:B1378)-1)</f>
        <v/>
      </c>
      <c r="D1378" s="29">
        <f>IF(A1378="","",IFERROR(INDEX('자료_미국심리'!$E$3:$E$4002,MATCH(A1378,$P$19:$P$4018,0)),D1377))</f>
        <v/>
      </c>
      <c r="E1378" s="29">
        <f>IF(A1378="","",IFERROR(INDEX('자료_미국심리'!$H$3:$H$4002,MATCH(A1378,$Q$19:$Q$4018,0)),E1377))</f>
        <v/>
      </c>
      <c r="F1378">
        <f>IF(A1378="",0,IF(A1378&gt;$B$5,1,0))</f>
        <v/>
      </c>
      <c r="G1378" s="29">
        <f>IF(AND(F1378=1,ISNUMBER(D1378)),D1378,"")</f>
        <v/>
      </c>
      <c r="H1378" s="29">
        <f>IF(AND(F1378=1,ISNUMBER(E1378)),E1378,"")</f>
        <v/>
      </c>
      <c r="I1378" s="22">
        <f>IF(AND(F1378=1,ISNUMBER(C1378)),C1378,"")</f>
        <v/>
      </c>
      <c r="J1378" s="11">
        <f>IF(G1378="","",100-IF($G$13=1,50,(_xlfn.RANK.AVG(G1378,$G$19:$G$1518,1)-1)/($G$13-1)*100))</f>
        <v/>
      </c>
      <c r="K1378" s="11">
        <f>IF(H1378="","",100-IF($G$14=1,50,(_xlfn.RANK.AVG(H1378,$H$19:$H$1518,1)-1)/($G$14-1)*100))</f>
        <v/>
      </c>
      <c r="L1378" s="11">
        <f>IF(I1378="","",IF($G$15=1,50,(_xlfn.RANK.AVG(I1378,$I$19:$I$1518,1)-1)/($G$15-1)*100))</f>
        <v/>
      </c>
      <c r="M1378" s="11">
        <f>IF(COUNT(J1378:L1378)=3,ROUND(AVERAGE(J1378:L1378),6),"")</f>
        <v/>
      </c>
      <c r="O1378">
        <f>IF(AND(ISNUMBER('자료_미국심리'!$A1362),ISNUMBER('자료_미국심리'!$B1362)),'자료_미국심리'!$A1362,"")</f>
        <v/>
      </c>
      <c r="P1378">
        <f>IF(AND(ISNUMBER('자료_미국심리'!$D1362),ISNUMBER('자료_미국심리'!$E1362)),'자료_미국심리'!$D1362,"")</f>
        <v/>
      </c>
      <c r="Q1378">
        <f>IF(AND(ISNUMBER('자료_미국심리'!$G1362),ISNUMBER('자료_미국심리'!$H1362)),'자료_미국심리'!$G1362,"")</f>
        <v/>
      </c>
    </row>
    <row r="1379">
      <c r="A1379" s="10">
        <f>IF(1361&gt;$E$5,"",SMALL($O$19:$O$4018,$E$6+1361))</f>
        <v/>
      </c>
      <c r="B1379" s="29">
        <f>IF(A1379="","",INDEX('자료_미국심리'!$B$3:$B$4002,MATCH(A1379,$O$19:$O$4018,0)))</f>
        <v/>
      </c>
      <c r="C1379" s="22">
        <f>IF(A1379="","",B1379/AVERAGE(B1255:B1379)-1)</f>
        <v/>
      </c>
      <c r="D1379" s="29">
        <f>IF(A1379="","",IFERROR(INDEX('자료_미국심리'!$E$3:$E$4002,MATCH(A1379,$P$19:$P$4018,0)),D1378))</f>
        <v/>
      </c>
      <c r="E1379" s="29">
        <f>IF(A1379="","",IFERROR(INDEX('자료_미국심리'!$H$3:$H$4002,MATCH(A1379,$Q$19:$Q$4018,0)),E1378))</f>
        <v/>
      </c>
      <c r="F1379">
        <f>IF(A1379="",0,IF(A1379&gt;$B$5,1,0))</f>
        <v/>
      </c>
      <c r="G1379" s="29">
        <f>IF(AND(F1379=1,ISNUMBER(D1379)),D1379,"")</f>
        <v/>
      </c>
      <c r="H1379" s="29">
        <f>IF(AND(F1379=1,ISNUMBER(E1379)),E1379,"")</f>
        <v/>
      </c>
      <c r="I1379" s="22">
        <f>IF(AND(F1379=1,ISNUMBER(C1379)),C1379,"")</f>
        <v/>
      </c>
      <c r="J1379" s="11">
        <f>IF(G1379="","",100-IF($G$13=1,50,(_xlfn.RANK.AVG(G1379,$G$19:$G$1518,1)-1)/($G$13-1)*100))</f>
        <v/>
      </c>
      <c r="K1379" s="11">
        <f>IF(H1379="","",100-IF($G$14=1,50,(_xlfn.RANK.AVG(H1379,$H$19:$H$1518,1)-1)/($G$14-1)*100))</f>
        <v/>
      </c>
      <c r="L1379" s="11">
        <f>IF(I1379="","",IF($G$15=1,50,(_xlfn.RANK.AVG(I1379,$I$19:$I$1518,1)-1)/($G$15-1)*100))</f>
        <v/>
      </c>
      <c r="M1379" s="11">
        <f>IF(COUNT(J1379:L1379)=3,ROUND(AVERAGE(J1379:L1379),6),"")</f>
        <v/>
      </c>
      <c r="O1379">
        <f>IF(AND(ISNUMBER('자료_미국심리'!$A1363),ISNUMBER('자료_미국심리'!$B1363)),'자료_미국심리'!$A1363,"")</f>
        <v/>
      </c>
      <c r="P1379">
        <f>IF(AND(ISNUMBER('자료_미국심리'!$D1363),ISNUMBER('자료_미국심리'!$E1363)),'자료_미국심리'!$D1363,"")</f>
        <v/>
      </c>
      <c r="Q1379">
        <f>IF(AND(ISNUMBER('자료_미국심리'!$G1363),ISNUMBER('자료_미국심리'!$H1363)),'자료_미국심리'!$G1363,"")</f>
        <v/>
      </c>
    </row>
    <row r="1380">
      <c r="A1380" s="10">
        <f>IF(1362&gt;$E$5,"",SMALL($O$19:$O$4018,$E$6+1362))</f>
        <v/>
      </c>
      <c r="B1380" s="29">
        <f>IF(A1380="","",INDEX('자료_미국심리'!$B$3:$B$4002,MATCH(A1380,$O$19:$O$4018,0)))</f>
        <v/>
      </c>
      <c r="C1380" s="22">
        <f>IF(A1380="","",B1380/AVERAGE(B1256:B1380)-1)</f>
        <v/>
      </c>
      <c r="D1380" s="29">
        <f>IF(A1380="","",IFERROR(INDEX('자료_미국심리'!$E$3:$E$4002,MATCH(A1380,$P$19:$P$4018,0)),D1379))</f>
        <v/>
      </c>
      <c r="E1380" s="29">
        <f>IF(A1380="","",IFERROR(INDEX('자료_미국심리'!$H$3:$H$4002,MATCH(A1380,$Q$19:$Q$4018,0)),E1379))</f>
        <v/>
      </c>
      <c r="F1380">
        <f>IF(A1380="",0,IF(A1380&gt;$B$5,1,0))</f>
        <v/>
      </c>
      <c r="G1380" s="29">
        <f>IF(AND(F1380=1,ISNUMBER(D1380)),D1380,"")</f>
        <v/>
      </c>
      <c r="H1380" s="29">
        <f>IF(AND(F1380=1,ISNUMBER(E1380)),E1380,"")</f>
        <v/>
      </c>
      <c r="I1380" s="22">
        <f>IF(AND(F1380=1,ISNUMBER(C1380)),C1380,"")</f>
        <v/>
      </c>
      <c r="J1380" s="11">
        <f>IF(G1380="","",100-IF($G$13=1,50,(_xlfn.RANK.AVG(G1380,$G$19:$G$1518,1)-1)/($G$13-1)*100))</f>
        <v/>
      </c>
      <c r="K1380" s="11">
        <f>IF(H1380="","",100-IF($G$14=1,50,(_xlfn.RANK.AVG(H1380,$H$19:$H$1518,1)-1)/($G$14-1)*100))</f>
        <v/>
      </c>
      <c r="L1380" s="11">
        <f>IF(I1380="","",IF($G$15=1,50,(_xlfn.RANK.AVG(I1380,$I$19:$I$1518,1)-1)/($G$15-1)*100))</f>
        <v/>
      </c>
      <c r="M1380" s="11">
        <f>IF(COUNT(J1380:L1380)=3,ROUND(AVERAGE(J1380:L1380),6),"")</f>
        <v/>
      </c>
      <c r="O1380">
        <f>IF(AND(ISNUMBER('자료_미국심리'!$A1364),ISNUMBER('자료_미국심리'!$B1364)),'자료_미국심리'!$A1364,"")</f>
        <v/>
      </c>
      <c r="P1380">
        <f>IF(AND(ISNUMBER('자료_미국심리'!$D1364),ISNUMBER('자료_미국심리'!$E1364)),'자료_미국심리'!$D1364,"")</f>
        <v/>
      </c>
      <c r="Q1380">
        <f>IF(AND(ISNUMBER('자료_미국심리'!$G1364),ISNUMBER('자료_미국심리'!$H1364)),'자료_미국심리'!$G1364,"")</f>
        <v/>
      </c>
    </row>
    <row r="1381">
      <c r="A1381" s="10">
        <f>IF(1363&gt;$E$5,"",SMALL($O$19:$O$4018,$E$6+1363))</f>
        <v/>
      </c>
      <c r="B1381" s="29">
        <f>IF(A1381="","",INDEX('자료_미국심리'!$B$3:$B$4002,MATCH(A1381,$O$19:$O$4018,0)))</f>
        <v/>
      </c>
      <c r="C1381" s="22">
        <f>IF(A1381="","",B1381/AVERAGE(B1257:B1381)-1)</f>
        <v/>
      </c>
      <c r="D1381" s="29">
        <f>IF(A1381="","",IFERROR(INDEX('자료_미국심리'!$E$3:$E$4002,MATCH(A1381,$P$19:$P$4018,0)),D1380))</f>
        <v/>
      </c>
      <c r="E1381" s="29">
        <f>IF(A1381="","",IFERROR(INDEX('자료_미국심리'!$H$3:$H$4002,MATCH(A1381,$Q$19:$Q$4018,0)),E1380))</f>
        <v/>
      </c>
      <c r="F1381">
        <f>IF(A1381="",0,IF(A1381&gt;$B$5,1,0))</f>
        <v/>
      </c>
      <c r="G1381" s="29">
        <f>IF(AND(F1381=1,ISNUMBER(D1381)),D1381,"")</f>
        <v/>
      </c>
      <c r="H1381" s="29">
        <f>IF(AND(F1381=1,ISNUMBER(E1381)),E1381,"")</f>
        <v/>
      </c>
      <c r="I1381" s="22">
        <f>IF(AND(F1381=1,ISNUMBER(C1381)),C1381,"")</f>
        <v/>
      </c>
      <c r="J1381" s="11">
        <f>IF(G1381="","",100-IF($G$13=1,50,(_xlfn.RANK.AVG(G1381,$G$19:$G$1518,1)-1)/($G$13-1)*100))</f>
        <v/>
      </c>
      <c r="K1381" s="11">
        <f>IF(H1381="","",100-IF($G$14=1,50,(_xlfn.RANK.AVG(H1381,$H$19:$H$1518,1)-1)/($G$14-1)*100))</f>
        <v/>
      </c>
      <c r="L1381" s="11">
        <f>IF(I1381="","",IF($G$15=1,50,(_xlfn.RANK.AVG(I1381,$I$19:$I$1518,1)-1)/($G$15-1)*100))</f>
        <v/>
      </c>
      <c r="M1381" s="11">
        <f>IF(COUNT(J1381:L1381)=3,ROUND(AVERAGE(J1381:L1381),6),"")</f>
        <v/>
      </c>
      <c r="O1381">
        <f>IF(AND(ISNUMBER('자료_미국심리'!$A1365),ISNUMBER('자료_미국심리'!$B1365)),'자료_미국심리'!$A1365,"")</f>
        <v/>
      </c>
      <c r="P1381">
        <f>IF(AND(ISNUMBER('자료_미국심리'!$D1365),ISNUMBER('자료_미국심리'!$E1365)),'자료_미국심리'!$D1365,"")</f>
        <v/>
      </c>
      <c r="Q1381">
        <f>IF(AND(ISNUMBER('자료_미국심리'!$G1365),ISNUMBER('자료_미국심리'!$H1365)),'자료_미국심리'!$G1365,"")</f>
        <v/>
      </c>
    </row>
    <row r="1382">
      <c r="A1382" s="10">
        <f>IF(1364&gt;$E$5,"",SMALL($O$19:$O$4018,$E$6+1364))</f>
        <v/>
      </c>
      <c r="B1382" s="29">
        <f>IF(A1382="","",INDEX('자료_미국심리'!$B$3:$B$4002,MATCH(A1382,$O$19:$O$4018,0)))</f>
        <v/>
      </c>
      <c r="C1382" s="22">
        <f>IF(A1382="","",B1382/AVERAGE(B1258:B1382)-1)</f>
        <v/>
      </c>
      <c r="D1382" s="29">
        <f>IF(A1382="","",IFERROR(INDEX('자료_미국심리'!$E$3:$E$4002,MATCH(A1382,$P$19:$P$4018,0)),D1381))</f>
        <v/>
      </c>
      <c r="E1382" s="29">
        <f>IF(A1382="","",IFERROR(INDEX('자료_미국심리'!$H$3:$H$4002,MATCH(A1382,$Q$19:$Q$4018,0)),E1381))</f>
        <v/>
      </c>
      <c r="F1382">
        <f>IF(A1382="",0,IF(A1382&gt;$B$5,1,0))</f>
        <v/>
      </c>
      <c r="G1382" s="29">
        <f>IF(AND(F1382=1,ISNUMBER(D1382)),D1382,"")</f>
        <v/>
      </c>
      <c r="H1382" s="29">
        <f>IF(AND(F1382=1,ISNUMBER(E1382)),E1382,"")</f>
        <v/>
      </c>
      <c r="I1382" s="22">
        <f>IF(AND(F1382=1,ISNUMBER(C1382)),C1382,"")</f>
        <v/>
      </c>
      <c r="J1382" s="11">
        <f>IF(G1382="","",100-IF($G$13=1,50,(_xlfn.RANK.AVG(G1382,$G$19:$G$1518,1)-1)/($G$13-1)*100))</f>
        <v/>
      </c>
      <c r="K1382" s="11">
        <f>IF(H1382="","",100-IF($G$14=1,50,(_xlfn.RANK.AVG(H1382,$H$19:$H$1518,1)-1)/($G$14-1)*100))</f>
        <v/>
      </c>
      <c r="L1382" s="11">
        <f>IF(I1382="","",IF($G$15=1,50,(_xlfn.RANK.AVG(I1382,$I$19:$I$1518,1)-1)/($G$15-1)*100))</f>
        <v/>
      </c>
      <c r="M1382" s="11">
        <f>IF(COUNT(J1382:L1382)=3,ROUND(AVERAGE(J1382:L1382),6),"")</f>
        <v/>
      </c>
      <c r="O1382">
        <f>IF(AND(ISNUMBER('자료_미국심리'!$A1366),ISNUMBER('자료_미국심리'!$B1366)),'자료_미국심리'!$A1366,"")</f>
        <v/>
      </c>
      <c r="P1382">
        <f>IF(AND(ISNUMBER('자료_미국심리'!$D1366),ISNUMBER('자료_미국심리'!$E1366)),'자료_미국심리'!$D1366,"")</f>
        <v/>
      </c>
      <c r="Q1382">
        <f>IF(AND(ISNUMBER('자료_미국심리'!$G1366),ISNUMBER('자료_미국심리'!$H1366)),'자료_미국심리'!$G1366,"")</f>
        <v/>
      </c>
    </row>
    <row r="1383">
      <c r="A1383" s="10">
        <f>IF(1365&gt;$E$5,"",SMALL($O$19:$O$4018,$E$6+1365))</f>
        <v/>
      </c>
      <c r="B1383" s="29">
        <f>IF(A1383="","",INDEX('자료_미국심리'!$B$3:$B$4002,MATCH(A1383,$O$19:$O$4018,0)))</f>
        <v/>
      </c>
      <c r="C1383" s="22">
        <f>IF(A1383="","",B1383/AVERAGE(B1259:B1383)-1)</f>
        <v/>
      </c>
      <c r="D1383" s="29">
        <f>IF(A1383="","",IFERROR(INDEX('자료_미국심리'!$E$3:$E$4002,MATCH(A1383,$P$19:$P$4018,0)),D1382))</f>
        <v/>
      </c>
      <c r="E1383" s="29">
        <f>IF(A1383="","",IFERROR(INDEX('자료_미국심리'!$H$3:$H$4002,MATCH(A1383,$Q$19:$Q$4018,0)),E1382))</f>
        <v/>
      </c>
      <c r="F1383">
        <f>IF(A1383="",0,IF(A1383&gt;$B$5,1,0))</f>
        <v/>
      </c>
      <c r="G1383" s="29">
        <f>IF(AND(F1383=1,ISNUMBER(D1383)),D1383,"")</f>
        <v/>
      </c>
      <c r="H1383" s="29">
        <f>IF(AND(F1383=1,ISNUMBER(E1383)),E1383,"")</f>
        <v/>
      </c>
      <c r="I1383" s="22">
        <f>IF(AND(F1383=1,ISNUMBER(C1383)),C1383,"")</f>
        <v/>
      </c>
      <c r="J1383" s="11">
        <f>IF(G1383="","",100-IF($G$13=1,50,(_xlfn.RANK.AVG(G1383,$G$19:$G$1518,1)-1)/($G$13-1)*100))</f>
        <v/>
      </c>
      <c r="K1383" s="11">
        <f>IF(H1383="","",100-IF($G$14=1,50,(_xlfn.RANK.AVG(H1383,$H$19:$H$1518,1)-1)/($G$14-1)*100))</f>
        <v/>
      </c>
      <c r="L1383" s="11">
        <f>IF(I1383="","",IF($G$15=1,50,(_xlfn.RANK.AVG(I1383,$I$19:$I$1518,1)-1)/($G$15-1)*100))</f>
        <v/>
      </c>
      <c r="M1383" s="11">
        <f>IF(COUNT(J1383:L1383)=3,ROUND(AVERAGE(J1383:L1383),6),"")</f>
        <v/>
      </c>
      <c r="O1383">
        <f>IF(AND(ISNUMBER('자료_미국심리'!$A1367),ISNUMBER('자료_미국심리'!$B1367)),'자료_미국심리'!$A1367,"")</f>
        <v/>
      </c>
      <c r="P1383">
        <f>IF(AND(ISNUMBER('자료_미국심리'!$D1367),ISNUMBER('자료_미국심리'!$E1367)),'자료_미국심리'!$D1367,"")</f>
        <v/>
      </c>
      <c r="Q1383">
        <f>IF(AND(ISNUMBER('자료_미국심리'!$G1367),ISNUMBER('자료_미국심리'!$H1367)),'자료_미국심리'!$G1367,"")</f>
        <v/>
      </c>
    </row>
    <row r="1384">
      <c r="A1384" s="10">
        <f>IF(1366&gt;$E$5,"",SMALL($O$19:$O$4018,$E$6+1366))</f>
        <v/>
      </c>
      <c r="B1384" s="29">
        <f>IF(A1384="","",INDEX('자료_미국심리'!$B$3:$B$4002,MATCH(A1384,$O$19:$O$4018,0)))</f>
        <v/>
      </c>
      <c r="C1384" s="22">
        <f>IF(A1384="","",B1384/AVERAGE(B1260:B1384)-1)</f>
        <v/>
      </c>
      <c r="D1384" s="29">
        <f>IF(A1384="","",IFERROR(INDEX('자료_미국심리'!$E$3:$E$4002,MATCH(A1384,$P$19:$P$4018,0)),D1383))</f>
        <v/>
      </c>
      <c r="E1384" s="29">
        <f>IF(A1384="","",IFERROR(INDEX('자료_미국심리'!$H$3:$H$4002,MATCH(A1384,$Q$19:$Q$4018,0)),E1383))</f>
        <v/>
      </c>
      <c r="F1384">
        <f>IF(A1384="",0,IF(A1384&gt;$B$5,1,0))</f>
        <v/>
      </c>
      <c r="G1384" s="29">
        <f>IF(AND(F1384=1,ISNUMBER(D1384)),D1384,"")</f>
        <v/>
      </c>
      <c r="H1384" s="29">
        <f>IF(AND(F1384=1,ISNUMBER(E1384)),E1384,"")</f>
        <v/>
      </c>
      <c r="I1384" s="22">
        <f>IF(AND(F1384=1,ISNUMBER(C1384)),C1384,"")</f>
        <v/>
      </c>
      <c r="J1384" s="11">
        <f>IF(G1384="","",100-IF($G$13=1,50,(_xlfn.RANK.AVG(G1384,$G$19:$G$1518,1)-1)/($G$13-1)*100))</f>
        <v/>
      </c>
      <c r="K1384" s="11">
        <f>IF(H1384="","",100-IF($G$14=1,50,(_xlfn.RANK.AVG(H1384,$H$19:$H$1518,1)-1)/($G$14-1)*100))</f>
        <v/>
      </c>
      <c r="L1384" s="11">
        <f>IF(I1384="","",IF($G$15=1,50,(_xlfn.RANK.AVG(I1384,$I$19:$I$1518,1)-1)/($G$15-1)*100))</f>
        <v/>
      </c>
      <c r="M1384" s="11">
        <f>IF(COUNT(J1384:L1384)=3,ROUND(AVERAGE(J1384:L1384),6),"")</f>
        <v/>
      </c>
      <c r="O1384">
        <f>IF(AND(ISNUMBER('자료_미국심리'!$A1368),ISNUMBER('자료_미국심리'!$B1368)),'자료_미국심리'!$A1368,"")</f>
        <v/>
      </c>
      <c r="P1384">
        <f>IF(AND(ISNUMBER('자료_미국심리'!$D1368),ISNUMBER('자료_미국심리'!$E1368)),'자료_미국심리'!$D1368,"")</f>
        <v/>
      </c>
      <c r="Q1384">
        <f>IF(AND(ISNUMBER('자료_미국심리'!$G1368),ISNUMBER('자료_미국심리'!$H1368)),'자료_미국심리'!$G1368,"")</f>
        <v/>
      </c>
    </row>
    <row r="1385">
      <c r="A1385" s="10">
        <f>IF(1367&gt;$E$5,"",SMALL($O$19:$O$4018,$E$6+1367))</f>
        <v/>
      </c>
      <c r="B1385" s="29">
        <f>IF(A1385="","",INDEX('자료_미국심리'!$B$3:$B$4002,MATCH(A1385,$O$19:$O$4018,0)))</f>
        <v/>
      </c>
      <c r="C1385" s="22">
        <f>IF(A1385="","",B1385/AVERAGE(B1261:B1385)-1)</f>
        <v/>
      </c>
      <c r="D1385" s="29">
        <f>IF(A1385="","",IFERROR(INDEX('자료_미국심리'!$E$3:$E$4002,MATCH(A1385,$P$19:$P$4018,0)),D1384))</f>
        <v/>
      </c>
      <c r="E1385" s="29">
        <f>IF(A1385="","",IFERROR(INDEX('자료_미국심리'!$H$3:$H$4002,MATCH(A1385,$Q$19:$Q$4018,0)),E1384))</f>
        <v/>
      </c>
      <c r="F1385">
        <f>IF(A1385="",0,IF(A1385&gt;$B$5,1,0))</f>
        <v/>
      </c>
      <c r="G1385" s="29">
        <f>IF(AND(F1385=1,ISNUMBER(D1385)),D1385,"")</f>
        <v/>
      </c>
      <c r="H1385" s="29">
        <f>IF(AND(F1385=1,ISNUMBER(E1385)),E1385,"")</f>
        <v/>
      </c>
      <c r="I1385" s="22">
        <f>IF(AND(F1385=1,ISNUMBER(C1385)),C1385,"")</f>
        <v/>
      </c>
      <c r="J1385" s="11">
        <f>IF(G1385="","",100-IF($G$13=1,50,(_xlfn.RANK.AVG(G1385,$G$19:$G$1518,1)-1)/($G$13-1)*100))</f>
        <v/>
      </c>
      <c r="K1385" s="11">
        <f>IF(H1385="","",100-IF($G$14=1,50,(_xlfn.RANK.AVG(H1385,$H$19:$H$1518,1)-1)/($G$14-1)*100))</f>
        <v/>
      </c>
      <c r="L1385" s="11">
        <f>IF(I1385="","",IF($G$15=1,50,(_xlfn.RANK.AVG(I1385,$I$19:$I$1518,1)-1)/($G$15-1)*100))</f>
        <v/>
      </c>
      <c r="M1385" s="11">
        <f>IF(COUNT(J1385:L1385)=3,ROUND(AVERAGE(J1385:L1385),6),"")</f>
        <v/>
      </c>
      <c r="O1385">
        <f>IF(AND(ISNUMBER('자료_미국심리'!$A1369),ISNUMBER('자료_미국심리'!$B1369)),'자료_미국심리'!$A1369,"")</f>
        <v/>
      </c>
      <c r="P1385">
        <f>IF(AND(ISNUMBER('자료_미국심리'!$D1369),ISNUMBER('자료_미국심리'!$E1369)),'자료_미국심리'!$D1369,"")</f>
        <v/>
      </c>
      <c r="Q1385">
        <f>IF(AND(ISNUMBER('자료_미국심리'!$G1369),ISNUMBER('자료_미국심리'!$H1369)),'자료_미국심리'!$G1369,"")</f>
        <v/>
      </c>
    </row>
    <row r="1386">
      <c r="A1386" s="10">
        <f>IF(1368&gt;$E$5,"",SMALL($O$19:$O$4018,$E$6+1368))</f>
        <v/>
      </c>
      <c r="B1386" s="29">
        <f>IF(A1386="","",INDEX('자료_미국심리'!$B$3:$B$4002,MATCH(A1386,$O$19:$O$4018,0)))</f>
        <v/>
      </c>
      <c r="C1386" s="22">
        <f>IF(A1386="","",B1386/AVERAGE(B1262:B1386)-1)</f>
        <v/>
      </c>
      <c r="D1386" s="29">
        <f>IF(A1386="","",IFERROR(INDEX('자료_미국심리'!$E$3:$E$4002,MATCH(A1386,$P$19:$P$4018,0)),D1385))</f>
        <v/>
      </c>
      <c r="E1386" s="29">
        <f>IF(A1386="","",IFERROR(INDEX('자료_미국심리'!$H$3:$H$4002,MATCH(A1386,$Q$19:$Q$4018,0)),E1385))</f>
        <v/>
      </c>
      <c r="F1386">
        <f>IF(A1386="",0,IF(A1386&gt;$B$5,1,0))</f>
        <v/>
      </c>
      <c r="G1386" s="29">
        <f>IF(AND(F1386=1,ISNUMBER(D1386)),D1386,"")</f>
        <v/>
      </c>
      <c r="H1386" s="29">
        <f>IF(AND(F1386=1,ISNUMBER(E1386)),E1386,"")</f>
        <v/>
      </c>
      <c r="I1386" s="22">
        <f>IF(AND(F1386=1,ISNUMBER(C1386)),C1386,"")</f>
        <v/>
      </c>
      <c r="J1386" s="11">
        <f>IF(G1386="","",100-IF($G$13=1,50,(_xlfn.RANK.AVG(G1386,$G$19:$G$1518,1)-1)/($G$13-1)*100))</f>
        <v/>
      </c>
      <c r="K1386" s="11">
        <f>IF(H1386="","",100-IF($G$14=1,50,(_xlfn.RANK.AVG(H1386,$H$19:$H$1518,1)-1)/($G$14-1)*100))</f>
        <v/>
      </c>
      <c r="L1386" s="11">
        <f>IF(I1386="","",IF($G$15=1,50,(_xlfn.RANK.AVG(I1386,$I$19:$I$1518,1)-1)/($G$15-1)*100))</f>
        <v/>
      </c>
      <c r="M1386" s="11">
        <f>IF(COUNT(J1386:L1386)=3,ROUND(AVERAGE(J1386:L1386),6),"")</f>
        <v/>
      </c>
      <c r="O1386">
        <f>IF(AND(ISNUMBER('자료_미국심리'!$A1370),ISNUMBER('자료_미국심리'!$B1370)),'자료_미국심리'!$A1370,"")</f>
        <v/>
      </c>
      <c r="P1386">
        <f>IF(AND(ISNUMBER('자료_미국심리'!$D1370),ISNUMBER('자료_미국심리'!$E1370)),'자료_미국심리'!$D1370,"")</f>
        <v/>
      </c>
      <c r="Q1386">
        <f>IF(AND(ISNUMBER('자료_미국심리'!$G1370),ISNUMBER('자료_미국심리'!$H1370)),'자료_미국심리'!$G1370,"")</f>
        <v/>
      </c>
    </row>
    <row r="1387">
      <c r="A1387" s="10">
        <f>IF(1369&gt;$E$5,"",SMALL($O$19:$O$4018,$E$6+1369))</f>
        <v/>
      </c>
      <c r="B1387" s="29">
        <f>IF(A1387="","",INDEX('자료_미국심리'!$B$3:$B$4002,MATCH(A1387,$O$19:$O$4018,0)))</f>
        <v/>
      </c>
      <c r="C1387" s="22">
        <f>IF(A1387="","",B1387/AVERAGE(B1263:B1387)-1)</f>
        <v/>
      </c>
      <c r="D1387" s="29">
        <f>IF(A1387="","",IFERROR(INDEX('자료_미국심리'!$E$3:$E$4002,MATCH(A1387,$P$19:$P$4018,0)),D1386))</f>
        <v/>
      </c>
      <c r="E1387" s="29">
        <f>IF(A1387="","",IFERROR(INDEX('자료_미국심리'!$H$3:$H$4002,MATCH(A1387,$Q$19:$Q$4018,0)),E1386))</f>
        <v/>
      </c>
      <c r="F1387">
        <f>IF(A1387="",0,IF(A1387&gt;$B$5,1,0))</f>
        <v/>
      </c>
      <c r="G1387" s="29">
        <f>IF(AND(F1387=1,ISNUMBER(D1387)),D1387,"")</f>
        <v/>
      </c>
      <c r="H1387" s="29">
        <f>IF(AND(F1387=1,ISNUMBER(E1387)),E1387,"")</f>
        <v/>
      </c>
      <c r="I1387" s="22">
        <f>IF(AND(F1387=1,ISNUMBER(C1387)),C1387,"")</f>
        <v/>
      </c>
      <c r="J1387" s="11">
        <f>IF(G1387="","",100-IF($G$13=1,50,(_xlfn.RANK.AVG(G1387,$G$19:$G$1518,1)-1)/($G$13-1)*100))</f>
        <v/>
      </c>
      <c r="K1387" s="11">
        <f>IF(H1387="","",100-IF($G$14=1,50,(_xlfn.RANK.AVG(H1387,$H$19:$H$1518,1)-1)/($G$14-1)*100))</f>
        <v/>
      </c>
      <c r="L1387" s="11">
        <f>IF(I1387="","",IF($G$15=1,50,(_xlfn.RANK.AVG(I1387,$I$19:$I$1518,1)-1)/($G$15-1)*100))</f>
        <v/>
      </c>
      <c r="M1387" s="11">
        <f>IF(COUNT(J1387:L1387)=3,ROUND(AVERAGE(J1387:L1387),6),"")</f>
        <v/>
      </c>
      <c r="O1387">
        <f>IF(AND(ISNUMBER('자료_미국심리'!$A1371),ISNUMBER('자료_미국심리'!$B1371)),'자료_미국심리'!$A1371,"")</f>
        <v/>
      </c>
      <c r="P1387">
        <f>IF(AND(ISNUMBER('자료_미국심리'!$D1371),ISNUMBER('자료_미국심리'!$E1371)),'자료_미국심리'!$D1371,"")</f>
        <v/>
      </c>
      <c r="Q1387">
        <f>IF(AND(ISNUMBER('자료_미국심리'!$G1371),ISNUMBER('자료_미국심리'!$H1371)),'자료_미국심리'!$G1371,"")</f>
        <v/>
      </c>
    </row>
    <row r="1388">
      <c r="A1388" s="10">
        <f>IF(1370&gt;$E$5,"",SMALL($O$19:$O$4018,$E$6+1370))</f>
        <v/>
      </c>
      <c r="B1388" s="29">
        <f>IF(A1388="","",INDEX('자료_미국심리'!$B$3:$B$4002,MATCH(A1388,$O$19:$O$4018,0)))</f>
        <v/>
      </c>
      <c r="C1388" s="22">
        <f>IF(A1388="","",B1388/AVERAGE(B1264:B1388)-1)</f>
        <v/>
      </c>
      <c r="D1388" s="29">
        <f>IF(A1388="","",IFERROR(INDEX('자료_미국심리'!$E$3:$E$4002,MATCH(A1388,$P$19:$P$4018,0)),D1387))</f>
        <v/>
      </c>
      <c r="E1388" s="29">
        <f>IF(A1388="","",IFERROR(INDEX('자료_미국심리'!$H$3:$H$4002,MATCH(A1388,$Q$19:$Q$4018,0)),E1387))</f>
        <v/>
      </c>
      <c r="F1388">
        <f>IF(A1388="",0,IF(A1388&gt;$B$5,1,0))</f>
        <v/>
      </c>
      <c r="G1388" s="29">
        <f>IF(AND(F1388=1,ISNUMBER(D1388)),D1388,"")</f>
        <v/>
      </c>
      <c r="H1388" s="29">
        <f>IF(AND(F1388=1,ISNUMBER(E1388)),E1388,"")</f>
        <v/>
      </c>
      <c r="I1388" s="22">
        <f>IF(AND(F1388=1,ISNUMBER(C1388)),C1388,"")</f>
        <v/>
      </c>
      <c r="J1388" s="11">
        <f>IF(G1388="","",100-IF($G$13=1,50,(_xlfn.RANK.AVG(G1388,$G$19:$G$1518,1)-1)/($G$13-1)*100))</f>
        <v/>
      </c>
      <c r="K1388" s="11">
        <f>IF(H1388="","",100-IF($G$14=1,50,(_xlfn.RANK.AVG(H1388,$H$19:$H$1518,1)-1)/($G$14-1)*100))</f>
        <v/>
      </c>
      <c r="L1388" s="11">
        <f>IF(I1388="","",IF($G$15=1,50,(_xlfn.RANK.AVG(I1388,$I$19:$I$1518,1)-1)/($G$15-1)*100))</f>
        <v/>
      </c>
      <c r="M1388" s="11">
        <f>IF(COUNT(J1388:L1388)=3,ROUND(AVERAGE(J1388:L1388),6),"")</f>
        <v/>
      </c>
      <c r="O1388">
        <f>IF(AND(ISNUMBER('자료_미국심리'!$A1372),ISNUMBER('자료_미국심리'!$B1372)),'자료_미국심리'!$A1372,"")</f>
        <v/>
      </c>
      <c r="P1388">
        <f>IF(AND(ISNUMBER('자료_미국심리'!$D1372),ISNUMBER('자료_미국심리'!$E1372)),'자료_미국심리'!$D1372,"")</f>
        <v/>
      </c>
      <c r="Q1388">
        <f>IF(AND(ISNUMBER('자료_미국심리'!$G1372),ISNUMBER('자료_미국심리'!$H1372)),'자료_미국심리'!$G1372,"")</f>
        <v/>
      </c>
    </row>
    <row r="1389">
      <c r="A1389" s="10">
        <f>IF(1371&gt;$E$5,"",SMALL($O$19:$O$4018,$E$6+1371))</f>
        <v/>
      </c>
      <c r="B1389" s="29">
        <f>IF(A1389="","",INDEX('자료_미국심리'!$B$3:$B$4002,MATCH(A1389,$O$19:$O$4018,0)))</f>
        <v/>
      </c>
      <c r="C1389" s="22">
        <f>IF(A1389="","",B1389/AVERAGE(B1265:B1389)-1)</f>
        <v/>
      </c>
      <c r="D1389" s="29">
        <f>IF(A1389="","",IFERROR(INDEX('자료_미국심리'!$E$3:$E$4002,MATCH(A1389,$P$19:$P$4018,0)),D1388))</f>
        <v/>
      </c>
      <c r="E1389" s="29">
        <f>IF(A1389="","",IFERROR(INDEX('자료_미국심리'!$H$3:$H$4002,MATCH(A1389,$Q$19:$Q$4018,0)),E1388))</f>
        <v/>
      </c>
      <c r="F1389">
        <f>IF(A1389="",0,IF(A1389&gt;$B$5,1,0))</f>
        <v/>
      </c>
      <c r="G1389" s="29">
        <f>IF(AND(F1389=1,ISNUMBER(D1389)),D1389,"")</f>
        <v/>
      </c>
      <c r="H1389" s="29">
        <f>IF(AND(F1389=1,ISNUMBER(E1389)),E1389,"")</f>
        <v/>
      </c>
      <c r="I1389" s="22">
        <f>IF(AND(F1389=1,ISNUMBER(C1389)),C1389,"")</f>
        <v/>
      </c>
      <c r="J1389" s="11">
        <f>IF(G1389="","",100-IF($G$13=1,50,(_xlfn.RANK.AVG(G1389,$G$19:$G$1518,1)-1)/($G$13-1)*100))</f>
        <v/>
      </c>
      <c r="K1389" s="11">
        <f>IF(H1389="","",100-IF($G$14=1,50,(_xlfn.RANK.AVG(H1389,$H$19:$H$1518,1)-1)/($G$14-1)*100))</f>
        <v/>
      </c>
      <c r="L1389" s="11">
        <f>IF(I1389="","",IF($G$15=1,50,(_xlfn.RANK.AVG(I1389,$I$19:$I$1518,1)-1)/($G$15-1)*100))</f>
        <v/>
      </c>
      <c r="M1389" s="11">
        <f>IF(COUNT(J1389:L1389)=3,ROUND(AVERAGE(J1389:L1389),6),"")</f>
        <v/>
      </c>
      <c r="O1389">
        <f>IF(AND(ISNUMBER('자료_미국심리'!$A1373),ISNUMBER('자료_미국심리'!$B1373)),'자료_미국심리'!$A1373,"")</f>
        <v/>
      </c>
      <c r="P1389">
        <f>IF(AND(ISNUMBER('자료_미국심리'!$D1373),ISNUMBER('자료_미국심리'!$E1373)),'자료_미국심리'!$D1373,"")</f>
        <v/>
      </c>
      <c r="Q1389">
        <f>IF(AND(ISNUMBER('자료_미국심리'!$G1373),ISNUMBER('자료_미국심리'!$H1373)),'자료_미국심리'!$G1373,"")</f>
        <v/>
      </c>
    </row>
    <row r="1390">
      <c r="A1390" s="10">
        <f>IF(1372&gt;$E$5,"",SMALL($O$19:$O$4018,$E$6+1372))</f>
        <v/>
      </c>
      <c r="B1390" s="29">
        <f>IF(A1390="","",INDEX('자료_미국심리'!$B$3:$B$4002,MATCH(A1390,$O$19:$O$4018,0)))</f>
        <v/>
      </c>
      <c r="C1390" s="22">
        <f>IF(A1390="","",B1390/AVERAGE(B1266:B1390)-1)</f>
        <v/>
      </c>
      <c r="D1390" s="29">
        <f>IF(A1390="","",IFERROR(INDEX('자료_미국심리'!$E$3:$E$4002,MATCH(A1390,$P$19:$P$4018,0)),D1389))</f>
        <v/>
      </c>
      <c r="E1390" s="29">
        <f>IF(A1390="","",IFERROR(INDEX('자료_미국심리'!$H$3:$H$4002,MATCH(A1390,$Q$19:$Q$4018,0)),E1389))</f>
        <v/>
      </c>
      <c r="F1390">
        <f>IF(A1390="",0,IF(A1390&gt;$B$5,1,0))</f>
        <v/>
      </c>
      <c r="G1390" s="29">
        <f>IF(AND(F1390=1,ISNUMBER(D1390)),D1390,"")</f>
        <v/>
      </c>
      <c r="H1390" s="29">
        <f>IF(AND(F1390=1,ISNUMBER(E1390)),E1390,"")</f>
        <v/>
      </c>
      <c r="I1390" s="22">
        <f>IF(AND(F1390=1,ISNUMBER(C1390)),C1390,"")</f>
        <v/>
      </c>
      <c r="J1390" s="11">
        <f>IF(G1390="","",100-IF($G$13=1,50,(_xlfn.RANK.AVG(G1390,$G$19:$G$1518,1)-1)/($G$13-1)*100))</f>
        <v/>
      </c>
      <c r="K1390" s="11">
        <f>IF(H1390="","",100-IF($G$14=1,50,(_xlfn.RANK.AVG(H1390,$H$19:$H$1518,1)-1)/($G$14-1)*100))</f>
        <v/>
      </c>
      <c r="L1390" s="11">
        <f>IF(I1390="","",IF($G$15=1,50,(_xlfn.RANK.AVG(I1390,$I$19:$I$1518,1)-1)/($G$15-1)*100))</f>
        <v/>
      </c>
      <c r="M1390" s="11">
        <f>IF(COUNT(J1390:L1390)=3,ROUND(AVERAGE(J1390:L1390),6),"")</f>
        <v/>
      </c>
      <c r="O1390">
        <f>IF(AND(ISNUMBER('자료_미국심리'!$A1374),ISNUMBER('자료_미국심리'!$B1374)),'자료_미국심리'!$A1374,"")</f>
        <v/>
      </c>
      <c r="P1390">
        <f>IF(AND(ISNUMBER('자료_미국심리'!$D1374),ISNUMBER('자료_미국심리'!$E1374)),'자료_미국심리'!$D1374,"")</f>
        <v/>
      </c>
      <c r="Q1390">
        <f>IF(AND(ISNUMBER('자료_미국심리'!$G1374),ISNUMBER('자료_미국심리'!$H1374)),'자료_미국심리'!$G1374,"")</f>
        <v/>
      </c>
    </row>
    <row r="1391">
      <c r="A1391" s="10">
        <f>IF(1373&gt;$E$5,"",SMALL($O$19:$O$4018,$E$6+1373))</f>
        <v/>
      </c>
      <c r="B1391" s="29">
        <f>IF(A1391="","",INDEX('자료_미국심리'!$B$3:$B$4002,MATCH(A1391,$O$19:$O$4018,0)))</f>
        <v/>
      </c>
      <c r="C1391" s="22">
        <f>IF(A1391="","",B1391/AVERAGE(B1267:B1391)-1)</f>
        <v/>
      </c>
      <c r="D1391" s="29">
        <f>IF(A1391="","",IFERROR(INDEX('자료_미국심리'!$E$3:$E$4002,MATCH(A1391,$P$19:$P$4018,0)),D1390))</f>
        <v/>
      </c>
      <c r="E1391" s="29">
        <f>IF(A1391="","",IFERROR(INDEX('자료_미국심리'!$H$3:$H$4002,MATCH(A1391,$Q$19:$Q$4018,0)),E1390))</f>
        <v/>
      </c>
      <c r="F1391">
        <f>IF(A1391="",0,IF(A1391&gt;$B$5,1,0))</f>
        <v/>
      </c>
      <c r="G1391" s="29">
        <f>IF(AND(F1391=1,ISNUMBER(D1391)),D1391,"")</f>
        <v/>
      </c>
      <c r="H1391" s="29">
        <f>IF(AND(F1391=1,ISNUMBER(E1391)),E1391,"")</f>
        <v/>
      </c>
      <c r="I1391" s="22">
        <f>IF(AND(F1391=1,ISNUMBER(C1391)),C1391,"")</f>
        <v/>
      </c>
      <c r="J1391" s="11">
        <f>IF(G1391="","",100-IF($G$13=1,50,(_xlfn.RANK.AVG(G1391,$G$19:$G$1518,1)-1)/($G$13-1)*100))</f>
        <v/>
      </c>
      <c r="K1391" s="11">
        <f>IF(H1391="","",100-IF($G$14=1,50,(_xlfn.RANK.AVG(H1391,$H$19:$H$1518,1)-1)/($G$14-1)*100))</f>
        <v/>
      </c>
      <c r="L1391" s="11">
        <f>IF(I1391="","",IF($G$15=1,50,(_xlfn.RANK.AVG(I1391,$I$19:$I$1518,1)-1)/($G$15-1)*100))</f>
        <v/>
      </c>
      <c r="M1391" s="11">
        <f>IF(COUNT(J1391:L1391)=3,ROUND(AVERAGE(J1391:L1391),6),"")</f>
        <v/>
      </c>
      <c r="O1391">
        <f>IF(AND(ISNUMBER('자료_미국심리'!$A1375),ISNUMBER('자료_미국심리'!$B1375)),'자료_미국심리'!$A1375,"")</f>
        <v/>
      </c>
      <c r="P1391">
        <f>IF(AND(ISNUMBER('자료_미국심리'!$D1375),ISNUMBER('자료_미국심리'!$E1375)),'자료_미국심리'!$D1375,"")</f>
        <v/>
      </c>
      <c r="Q1391">
        <f>IF(AND(ISNUMBER('자료_미국심리'!$G1375),ISNUMBER('자료_미국심리'!$H1375)),'자료_미국심리'!$G1375,"")</f>
        <v/>
      </c>
    </row>
    <row r="1392">
      <c r="A1392" s="10">
        <f>IF(1374&gt;$E$5,"",SMALL($O$19:$O$4018,$E$6+1374))</f>
        <v/>
      </c>
      <c r="B1392" s="29">
        <f>IF(A1392="","",INDEX('자료_미국심리'!$B$3:$B$4002,MATCH(A1392,$O$19:$O$4018,0)))</f>
        <v/>
      </c>
      <c r="C1392" s="22">
        <f>IF(A1392="","",B1392/AVERAGE(B1268:B1392)-1)</f>
        <v/>
      </c>
      <c r="D1392" s="29">
        <f>IF(A1392="","",IFERROR(INDEX('자료_미국심리'!$E$3:$E$4002,MATCH(A1392,$P$19:$P$4018,0)),D1391))</f>
        <v/>
      </c>
      <c r="E1392" s="29">
        <f>IF(A1392="","",IFERROR(INDEX('자료_미국심리'!$H$3:$H$4002,MATCH(A1392,$Q$19:$Q$4018,0)),E1391))</f>
        <v/>
      </c>
      <c r="F1392">
        <f>IF(A1392="",0,IF(A1392&gt;$B$5,1,0))</f>
        <v/>
      </c>
      <c r="G1392" s="29">
        <f>IF(AND(F1392=1,ISNUMBER(D1392)),D1392,"")</f>
        <v/>
      </c>
      <c r="H1392" s="29">
        <f>IF(AND(F1392=1,ISNUMBER(E1392)),E1392,"")</f>
        <v/>
      </c>
      <c r="I1392" s="22">
        <f>IF(AND(F1392=1,ISNUMBER(C1392)),C1392,"")</f>
        <v/>
      </c>
      <c r="J1392" s="11">
        <f>IF(G1392="","",100-IF($G$13=1,50,(_xlfn.RANK.AVG(G1392,$G$19:$G$1518,1)-1)/($G$13-1)*100))</f>
        <v/>
      </c>
      <c r="K1392" s="11">
        <f>IF(H1392="","",100-IF($G$14=1,50,(_xlfn.RANK.AVG(H1392,$H$19:$H$1518,1)-1)/($G$14-1)*100))</f>
        <v/>
      </c>
      <c r="L1392" s="11">
        <f>IF(I1392="","",IF($G$15=1,50,(_xlfn.RANK.AVG(I1392,$I$19:$I$1518,1)-1)/($G$15-1)*100))</f>
        <v/>
      </c>
      <c r="M1392" s="11">
        <f>IF(COUNT(J1392:L1392)=3,ROUND(AVERAGE(J1392:L1392),6),"")</f>
        <v/>
      </c>
      <c r="O1392">
        <f>IF(AND(ISNUMBER('자료_미국심리'!$A1376),ISNUMBER('자료_미국심리'!$B1376)),'자료_미국심리'!$A1376,"")</f>
        <v/>
      </c>
      <c r="P1392">
        <f>IF(AND(ISNUMBER('자료_미국심리'!$D1376),ISNUMBER('자료_미국심리'!$E1376)),'자료_미국심리'!$D1376,"")</f>
        <v/>
      </c>
      <c r="Q1392">
        <f>IF(AND(ISNUMBER('자료_미국심리'!$G1376),ISNUMBER('자료_미국심리'!$H1376)),'자료_미국심리'!$G1376,"")</f>
        <v/>
      </c>
    </row>
    <row r="1393">
      <c r="A1393" s="10">
        <f>IF(1375&gt;$E$5,"",SMALL($O$19:$O$4018,$E$6+1375))</f>
        <v/>
      </c>
      <c r="B1393" s="29">
        <f>IF(A1393="","",INDEX('자료_미국심리'!$B$3:$B$4002,MATCH(A1393,$O$19:$O$4018,0)))</f>
        <v/>
      </c>
      <c r="C1393" s="22">
        <f>IF(A1393="","",B1393/AVERAGE(B1269:B1393)-1)</f>
        <v/>
      </c>
      <c r="D1393" s="29">
        <f>IF(A1393="","",IFERROR(INDEX('자료_미국심리'!$E$3:$E$4002,MATCH(A1393,$P$19:$P$4018,0)),D1392))</f>
        <v/>
      </c>
      <c r="E1393" s="29">
        <f>IF(A1393="","",IFERROR(INDEX('자료_미국심리'!$H$3:$H$4002,MATCH(A1393,$Q$19:$Q$4018,0)),E1392))</f>
        <v/>
      </c>
      <c r="F1393">
        <f>IF(A1393="",0,IF(A1393&gt;$B$5,1,0))</f>
        <v/>
      </c>
      <c r="G1393" s="29">
        <f>IF(AND(F1393=1,ISNUMBER(D1393)),D1393,"")</f>
        <v/>
      </c>
      <c r="H1393" s="29">
        <f>IF(AND(F1393=1,ISNUMBER(E1393)),E1393,"")</f>
        <v/>
      </c>
      <c r="I1393" s="22">
        <f>IF(AND(F1393=1,ISNUMBER(C1393)),C1393,"")</f>
        <v/>
      </c>
      <c r="J1393" s="11">
        <f>IF(G1393="","",100-IF($G$13=1,50,(_xlfn.RANK.AVG(G1393,$G$19:$G$1518,1)-1)/($G$13-1)*100))</f>
        <v/>
      </c>
      <c r="K1393" s="11">
        <f>IF(H1393="","",100-IF($G$14=1,50,(_xlfn.RANK.AVG(H1393,$H$19:$H$1518,1)-1)/($G$14-1)*100))</f>
        <v/>
      </c>
      <c r="L1393" s="11">
        <f>IF(I1393="","",IF($G$15=1,50,(_xlfn.RANK.AVG(I1393,$I$19:$I$1518,1)-1)/($G$15-1)*100))</f>
        <v/>
      </c>
      <c r="M1393" s="11">
        <f>IF(COUNT(J1393:L1393)=3,ROUND(AVERAGE(J1393:L1393),6),"")</f>
        <v/>
      </c>
      <c r="O1393">
        <f>IF(AND(ISNUMBER('자료_미국심리'!$A1377),ISNUMBER('자료_미국심리'!$B1377)),'자료_미국심리'!$A1377,"")</f>
        <v/>
      </c>
      <c r="P1393">
        <f>IF(AND(ISNUMBER('자료_미국심리'!$D1377),ISNUMBER('자료_미국심리'!$E1377)),'자료_미국심리'!$D1377,"")</f>
        <v/>
      </c>
      <c r="Q1393">
        <f>IF(AND(ISNUMBER('자료_미국심리'!$G1377),ISNUMBER('자료_미국심리'!$H1377)),'자료_미국심리'!$G1377,"")</f>
        <v/>
      </c>
    </row>
    <row r="1394">
      <c r="A1394" s="10">
        <f>IF(1376&gt;$E$5,"",SMALL($O$19:$O$4018,$E$6+1376))</f>
        <v/>
      </c>
      <c r="B1394" s="29">
        <f>IF(A1394="","",INDEX('자료_미국심리'!$B$3:$B$4002,MATCH(A1394,$O$19:$O$4018,0)))</f>
        <v/>
      </c>
      <c r="C1394" s="22">
        <f>IF(A1394="","",B1394/AVERAGE(B1270:B1394)-1)</f>
        <v/>
      </c>
      <c r="D1394" s="29">
        <f>IF(A1394="","",IFERROR(INDEX('자료_미국심리'!$E$3:$E$4002,MATCH(A1394,$P$19:$P$4018,0)),D1393))</f>
        <v/>
      </c>
      <c r="E1394" s="29">
        <f>IF(A1394="","",IFERROR(INDEX('자료_미국심리'!$H$3:$H$4002,MATCH(A1394,$Q$19:$Q$4018,0)),E1393))</f>
        <v/>
      </c>
      <c r="F1394">
        <f>IF(A1394="",0,IF(A1394&gt;$B$5,1,0))</f>
        <v/>
      </c>
      <c r="G1394" s="29">
        <f>IF(AND(F1394=1,ISNUMBER(D1394)),D1394,"")</f>
        <v/>
      </c>
      <c r="H1394" s="29">
        <f>IF(AND(F1394=1,ISNUMBER(E1394)),E1394,"")</f>
        <v/>
      </c>
      <c r="I1394" s="22">
        <f>IF(AND(F1394=1,ISNUMBER(C1394)),C1394,"")</f>
        <v/>
      </c>
      <c r="J1394" s="11">
        <f>IF(G1394="","",100-IF($G$13=1,50,(_xlfn.RANK.AVG(G1394,$G$19:$G$1518,1)-1)/($G$13-1)*100))</f>
        <v/>
      </c>
      <c r="K1394" s="11">
        <f>IF(H1394="","",100-IF($G$14=1,50,(_xlfn.RANK.AVG(H1394,$H$19:$H$1518,1)-1)/($G$14-1)*100))</f>
        <v/>
      </c>
      <c r="L1394" s="11">
        <f>IF(I1394="","",IF($G$15=1,50,(_xlfn.RANK.AVG(I1394,$I$19:$I$1518,1)-1)/($G$15-1)*100))</f>
        <v/>
      </c>
      <c r="M1394" s="11">
        <f>IF(COUNT(J1394:L1394)=3,ROUND(AVERAGE(J1394:L1394),6),"")</f>
        <v/>
      </c>
      <c r="O1394">
        <f>IF(AND(ISNUMBER('자료_미국심리'!$A1378),ISNUMBER('자료_미국심리'!$B1378)),'자료_미국심리'!$A1378,"")</f>
        <v/>
      </c>
      <c r="P1394">
        <f>IF(AND(ISNUMBER('자료_미국심리'!$D1378),ISNUMBER('자료_미국심리'!$E1378)),'자료_미국심리'!$D1378,"")</f>
        <v/>
      </c>
      <c r="Q1394">
        <f>IF(AND(ISNUMBER('자료_미국심리'!$G1378),ISNUMBER('자료_미국심리'!$H1378)),'자료_미국심리'!$G1378,"")</f>
        <v/>
      </c>
    </row>
    <row r="1395">
      <c r="A1395" s="10">
        <f>IF(1377&gt;$E$5,"",SMALL($O$19:$O$4018,$E$6+1377))</f>
        <v/>
      </c>
      <c r="B1395" s="29">
        <f>IF(A1395="","",INDEX('자료_미국심리'!$B$3:$B$4002,MATCH(A1395,$O$19:$O$4018,0)))</f>
        <v/>
      </c>
      <c r="C1395" s="22">
        <f>IF(A1395="","",B1395/AVERAGE(B1271:B1395)-1)</f>
        <v/>
      </c>
      <c r="D1395" s="29">
        <f>IF(A1395="","",IFERROR(INDEX('자료_미국심리'!$E$3:$E$4002,MATCH(A1395,$P$19:$P$4018,0)),D1394))</f>
        <v/>
      </c>
      <c r="E1395" s="29">
        <f>IF(A1395="","",IFERROR(INDEX('자료_미국심리'!$H$3:$H$4002,MATCH(A1395,$Q$19:$Q$4018,0)),E1394))</f>
        <v/>
      </c>
      <c r="F1395">
        <f>IF(A1395="",0,IF(A1395&gt;$B$5,1,0))</f>
        <v/>
      </c>
      <c r="G1395" s="29">
        <f>IF(AND(F1395=1,ISNUMBER(D1395)),D1395,"")</f>
        <v/>
      </c>
      <c r="H1395" s="29">
        <f>IF(AND(F1395=1,ISNUMBER(E1395)),E1395,"")</f>
        <v/>
      </c>
      <c r="I1395" s="22">
        <f>IF(AND(F1395=1,ISNUMBER(C1395)),C1395,"")</f>
        <v/>
      </c>
      <c r="J1395" s="11">
        <f>IF(G1395="","",100-IF($G$13=1,50,(_xlfn.RANK.AVG(G1395,$G$19:$G$1518,1)-1)/($G$13-1)*100))</f>
        <v/>
      </c>
      <c r="K1395" s="11">
        <f>IF(H1395="","",100-IF($G$14=1,50,(_xlfn.RANK.AVG(H1395,$H$19:$H$1518,1)-1)/($G$14-1)*100))</f>
        <v/>
      </c>
      <c r="L1395" s="11">
        <f>IF(I1395="","",IF($G$15=1,50,(_xlfn.RANK.AVG(I1395,$I$19:$I$1518,1)-1)/($G$15-1)*100))</f>
        <v/>
      </c>
      <c r="M1395" s="11">
        <f>IF(COUNT(J1395:L1395)=3,ROUND(AVERAGE(J1395:L1395),6),"")</f>
        <v/>
      </c>
      <c r="O1395">
        <f>IF(AND(ISNUMBER('자료_미국심리'!$A1379),ISNUMBER('자료_미국심리'!$B1379)),'자료_미국심리'!$A1379,"")</f>
        <v/>
      </c>
      <c r="P1395">
        <f>IF(AND(ISNUMBER('자료_미국심리'!$D1379),ISNUMBER('자료_미국심리'!$E1379)),'자료_미국심리'!$D1379,"")</f>
        <v/>
      </c>
      <c r="Q1395">
        <f>IF(AND(ISNUMBER('자료_미국심리'!$G1379),ISNUMBER('자료_미국심리'!$H1379)),'자료_미국심리'!$G1379,"")</f>
        <v/>
      </c>
    </row>
    <row r="1396">
      <c r="A1396" s="10">
        <f>IF(1378&gt;$E$5,"",SMALL($O$19:$O$4018,$E$6+1378))</f>
        <v/>
      </c>
      <c r="B1396" s="29">
        <f>IF(A1396="","",INDEX('자료_미국심리'!$B$3:$B$4002,MATCH(A1396,$O$19:$O$4018,0)))</f>
        <v/>
      </c>
      <c r="C1396" s="22">
        <f>IF(A1396="","",B1396/AVERAGE(B1272:B1396)-1)</f>
        <v/>
      </c>
      <c r="D1396" s="29">
        <f>IF(A1396="","",IFERROR(INDEX('자료_미국심리'!$E$3:$E$4002,MATCH(A1396,$P$19:$P$4018,0)),D1395))</f>
        <v/>
      </c>
      <c r="E1396" s="29">
        <f>IF(A1396="","",IFERROR(INDEX('자료_미국심리'!$H$3:$H$4002,MATCH(A1396,$Q$19:$Q$4018,0)),E1395))</f>
        <v/>
      </c>
      <c r="F1396">
        <f>IF(A1396="",0,IF(A1396&gt;$B$5,1,0))</f>
        <v/>
      </c>
      <c r="G1396" s="29">
        <f>IF(AND(F1396=1,ISNUMBER(D1396)),D1396,"")</f>
        <v/>
      </c>
      <c r="H1396" s="29">
        <f>IF(AND(F1396=1,ISNUMBER(E1396)),E1396,"")</f>
        <v/>
      </c>
      <c r="I1396" s="22">
        <f>IF(AND(F1396=1,ISNUMBER(C1396)),C1396,"")</f>
        <v/>
      </c>
      <c r="J1396" s="11">
        <f>IF(G1396="","",100-IF($G$13=1,50,(_xlfn.RANK.AVG(G1396,$G$19:$G$1518,1)-1)/($G$13-1)*100))</f>
        <v/>
      </c>
      <c r="K1396" s="11">
        <f>IF(H1396="","",100-IF($G$14=1,50,(_xlfn.RANK.AVG(H1396,$H$19:$H$1518,1)-1)/($G$14-1)*100))</f>
        <v/>
      </c>
      <c r="L1396" s="11">
        <f>IF(I1396="","",IF($G$15=1,50,(_xlfn.RANK.AVG(I1396,$I$19:$I$1518,1)-1)/($G$15-1)*100))</f>
        <v/>
      </c>
      <c r="M1396" s="11">
        <f>IF(COUNT(J1396:L1396)=3,ROUND(AVERAGE(J1396:L1396),6),"")</f>
        <v/>
      </c>
      <c r="O1396">
        <f>IF(AND(ISNUMBER('자료_미국심리'!$A1380),ISNUMBER('자료_미국심리'!$B1380)),'자료_미국심리'!$A1380,"")</f>
        <v/>
      </c>
      <c r="P1396">
        <f>IF(AND(ISNUMBER('자료_미국심리'!$D1380),ISNUMBER('자료_미국심리'!$E1380)),'자료_미국심리'!$D1380,"")</f>
        <v/>
      </c>
      <c r="Q1396">
        <f>IF(AND(ISNUMBER('자료_미국심리'!$G1380),ISNUMBER('자료_미국심리'!$H1380)),'자료_미국심리'!$G1380,"")</f>
        <v/>
      </c>
    </row>
    <row r="1397">
      <c r="A1397" s="10">
        <f>IF(1379&gt;$E$5,"",SMALL($O$19:$O$4018,$E$6+1379))</f>
        <v/>
      </c>
      <c r="B1397" s="29">
        <f>IF(A1397="","",INDEX('자료_미국심리'!$B$3:$B$4002,MATCH(A1397,$O$19:$O$4018,0)))</f>
        <v/>
      </c>
      <c r="C1397" s="22">
        <f>IF(A1397="","",B1397/AVERAGE(B1273:B1397)-1)</f>
        <v/>
      </c>
      <c r="D1397" s="29">
        <f>IF(A1397="","",IFERROR(INDEX('자료_미국심리'!$E$3:$E$4002,MATCH(A1397,$P$19:$P$4018,0)),D1396))</f>
        <v/>
      </c>
      <c r="E1397" s="29">
        <f>IF(A1397="","",IFERROR(INDEX('자료_미국심리'!$H$3:$H$4002,MATCH(A1397,$Q$19:$Q$4018,0)),E1396))</f>
        <v/>
      </c>
      <c r="F1397">
        <f>IF(A1397="",0,IF(A1397&gt;$B$5,1,0))</f>
        <v/>
      </c>
      <c r="G1397" s="29">
        <f>IF(AND(F1397=1,ISNUMBER(D1397)),D1397,"")</f>
        <v/>
      </c>
      <c r="H1397" s="29">
        <f>IF(AND(F1397=1,ISNUMBER(E1397)),E1397,"")</f>
        <v/>
      </c>
      <c r="I1397" s="22">
        <f>IF(AND(F1397=1,ISNUMBER(C1397)),C1397,"")</f>
        <v/>
      </c>
      <c r="J1397" s="11">
        <f>IF(G1397="","",100-IF($G$13=1,50,(_xlfn.RANK.AVG(G1397,$G$19:$G$1518,1)-1)/($G$13-1)*100))</f>
        <v/>
      </c>
      <c r="K1397" s="11">
        <f>IF(H1397="","",100-IF($G$14=1,50,(_xlfn.RANK.AVG(H1397,$H$19:$H$1518,1)-1)/($G$14-1)*100))</f>
        <v/>
      </c>
      <c r="L1397" s="11">
        <f>IF(I1397="","",IF($G$15=1,50,(_xlfn.RANK.AVG(I1397,$I$19:$I$1518,1)-1)/($G$15-1)*100))</f>
        <v/>
      </c>
      <c r="M1397" s="11">
        <f>IF(COUNT(J1397:L1397)=3,ROUND(AVERAGE(J1397:L1397),6),"")</f>
        <v/>
      </c>
      <c r="O1397">
        <f>IF(AND(ISNUMBER('자료_미국심리'!$A1381),ISNUMBER('자료_미국심리'!$B1381)),'자료_미국심리'!$A1381,"")</f>
        <v/>
      </c>
      <c r="P1397">
        <f>IF(AND(ISNUMBER('자료_미국심리'!$D1381),ISNUMBER('자료_미국심리'!$E1381)),'자료_미국심리'!$D1381,"")</f>
        <v/>
      </c>
      <c r="Q1397">
        <f>IF(AND(ISNUMBER('자료_미국심리'!$G1381),ISNUMBER('자료_미국심리'!$H1381)),'자료_미국심리'!$G1381,"")</f>
        <v/>
      </c>
    </row>
    <row r="1398">
      <c r="A1398" s="10">
        <f>IF(1380&gt;$E$5,"",SMALL($O$19:$O$4018,$E$6+1380))</f>
        <v/>
      </c>
      <c r="B1398" s="29">
        <f>IF(A1398="","",INDEX('자료_미국심리'!$B$3:$B$4002,MATCH(A1398,$O$19:$O$4018,0)))</f>
        <v/>
      </c>
      <c r="C1398" s="22">
        <f>IF(A1398="","",B1398/AVERAGE(B1274:B1398)-1)</f>
        <v/>
      </c>
      <c r="D1398" s="29">
        <f>IF(A1398="","",IFERROR(INDEX('자료_미국심리'!$E$3:$E$4002,MATCH(A1398,$P$19:$P$4018,0)),D1397))</f>
        <v/>
      </c>
      <c r="E1398" s="29">
        <f>IF(A1398="","",IFERROR(INDEX('자료_미국심리'!$H$3:$H$4002,MATCH(A1398,$Q$19:$Q$4018,0)),E1397))</f>
        <v/>
      </c>
      <c r="F1398">
        <f>IF(A1398="",0,IF(A1398&gt;$B$5,1,0))</f>
        <v/>
      </c>
      <c r="G1398" s="29">
        <f>IF(AND(F1398=1,ISNUMBER(D1398)),D1398,"")</f>
        <v/>
      </c>
      <c r="H1398" s="29">
        <f>IF(AND(F1398=1,ISNUMBER(E1398)),E1398,"")</f>
        <v/>
      </c>
      <c r="I1398" s="22">
        <f>IF(AND(F1398=1,ISNUMBER(C1398)),C1398,"")</f>
        <v/>
      </c>
      <c r="J1398" s="11">
        <f>IF(G1398="","",100-IF($G$13=1,50,(_xlfn.RANK.AVG(G1398,$G$19:$G$1518,1)-1)/($G$13-1)*100))</f>
        <v/>
      </c>
      <c r="K1398" s="11">
        <f>IF(H1398="","",100-IF($G$14=1,50,(_xlfn.RANK.AVG(H1398,$H$19:$H$1518,1)-1)/($G$14-1)*100))</f>
        <v/>
      </c>
      <c r="L1398" s="11">
        <f>IF(I1398="","",IF($G$15=1,50,(_xlfn.RANK.AVG(I1398,$I$19:$I$1518,1)-1)/($G$15-1)*100))</f>
        <v/>
      </c>
      <c r="M1398" s="11">
        <f>IF(COUNT(J1398:L1398)=3,ROUND(AVERAGE(J1398:L1398),6),"")</f>
        <v/>
      </c>
      <c r="O1398">
        <f>IF(AND(ISNUMBER('자료_미국심리'!$A1382),ISNUMBER('자료_미국심리'!$B1382)),'자료_미국심리'!$A1382,"")</f>
        <v/>
      </c>
      <c r="P1398">
        <f>IF(AND(ISNUMBER('자료_미국심리'!$D1382),ISNUMBER('자료_미국심리'!$E1382)),'자료_미국심리'!$D1382,"")</f>
        <v/>
      </c>
      <c r="Q1398">
        <f>IF(AND(ISNUMBER('자료_미국심리'!$G1382),ISNUMBER('자료_미국심리'!$H1382)),'자료_미국심리'!$G1382,"")</f>
        <v/>
      </c>
    </row>
    <row r="1399">
      <c r="A1399" s="10">
        <f>IF(1381&gt;$E$5,"",SMALL($O$19:$O$4018,$E$6+1381))</f>
        <v/>
      </c>
      <c r="B1399" s="29">
        <f>IF(A1399="","",INDEX('자료_미국심리'!$B$3:$B$4002,MATCH(A1399,$O$19:$O$4018,0)))</f>
        <v/>
      </c>
      <c r="C1399" s="22">
        <f>IF(A1399="","",B1399/AVERAGE(B1275:B1399)-1)</f>
        <v/>
      </c>
      <c r="D1399" s="29">
        <f>IF(A1399="","",IFERROR(INDEX('자료_미국심리'!$E$3:$E$4002,MATCH(A1399,$P$19:$P$4018,0)),D1398))</f>
        <v/>
      </c>
      <c r="E1399" s="29">
        <f>IF(A1399="","",IFERROR(INDEX('자료_미국심리'!$H$3:$H$4002,MATCH(A1399,$Q$19:$Q$4018,0)),E1398))</f>
        <v/>
      </c>
      <c r="F1399">
        <f>IF(A1399="",0,IF(A1399&gt;$B$5,1,0))</f>
        <v/>
      </c>
      <c r="G1399" s="29">
        <f>IF(AND(F1399=1,ISNUMBER(D1399)),D1399,"")</f>
        <v/>
      </c>
      <c r="H1399" s="29">
        <f>IF(AND(F1399=1,ISNUMBER(E1399)),E1399,"")</f>
        <v/>
      </c>
      <c r="I1399" s="22">
        <f>IF(AND(F1399=1,ISNUMBER(C1399)),C1399,"")</f>
        <v/>
      </c>
      <c r="J1399" s="11">
        <f>IF(G1399="","",100-IF($G$13=1,50,(_xlfn.RANK.AVG(G1399,$G$19:$G$1518,1)-1)/($G$13-1)*100))</f>
        <v/>
      </c>
      <c r="K1399" s="11">
        <f>IF(H1399="","",100-IF($G$14=1,50,(_xlfn.RANK.AVG(H1399,$H$19:$H$1518,1)-1)/($G$14-1)*100))</f>
        <v/>
      </c>
      <c r="L1399" s="11">
        <f>IF(I1399="","",IF($G$15=1,50,(_xlfn.RANK.AVG(I1399,$I$19:$I$1518,1)-1)/($G$15-1)*100))</f>
        <v/>
      </c>
      <c r="M1399" s="11">
        <f>IF(COUNT(J1399:L1399)=3,ROUND(AVERAGE(J1399:L1399),6),"")</f>
        <v/>
      </c>
      <c r="O1399">
        <f>IF(AND(ISNUMBER('자료_미국심리'!$A1383),ISNUMBER('자료_미국심리'!$B1383)),'자료_미국심리'!$A1383,"")</f>
        <v/>
      </c>
      <c r="P1399">
        <f>IF(AND(ISNUMBER('자료_미국심리'!$D1383),ISNUMBER('자료_미국심리'!$E1383)),'자료_미국심리'!$D1383,"")</f>
        <v/>
      </c>
      <c r="Q1399">
        <f>IF(AND(ISNUMBER('자료_미국심리'!$G1383),ISNUMBER('자료_미국심리'!$H1383)),'자료_미국심리'!$G1383,"")</f>
        <v/>
      </c>
    </row>
    <row r="1400">
      <c r="A1400" s="10">
        <f>IF(1382&gt;$E$5,"",SMALL($O$19:$O$4018,$E$6+1382))</f>
        <v/>
      </c>
      <c r="B1400" s="29">
        <f>IF(A1400="","",INDEX('자료_미국심리'!$B$3:$B$4002,MATCH(A1400,$O$19:$O$4018,0)))</f>
        <v/>
      </c>
      <c r="C1400" s="22">
        <f>IF(A1400="","",B1400/AVERAGE(B1276:B1400)-1)</f>
        <v/>
      </c>
      <c r="D1400" s="29">
        <f>IF(A1400="","",IFERROR(INDEX('자료_미국심리'!$E$3:$E$4002,MATCH(A1400,$P$19:$P$4018,0)),D1399))</f>
        <v/>
      </c>
      <c r="E1400" s="29">
        <f>IF(A1400="","",IFERROR(INDEX('자료_미국심리'!$H$3:$H$4002,MATCH(A1400,$Q$19:$Q$4018,0)),E1399))</f>
        <v/>
      </c>
      <c r="F1400">
        <f>IF(A1400="",0,IF(A1400&gt;$B$5,1,0))</f>
        <v/>
      </c>
      <c r="G1400" s="29">
        <f>IF(AND(F1400=1,ISNUMBER(D1400)),D1400,"")</f>
        <v/>
      </c>
      <c r="H1400" s="29">
        <f>IF(AND(F1400=1,ISNUMBER(E1400)),E1400,"")</f>
        <v/>
      </c>
      <c r="I1400" s="22">
        <f>IF(AND(F1400=1,ISNUMBER(C1400)),C1400,"")</f>
        <v/>
      </c>
      <c r="J1400" s="11">
        <f>IF(G1400="","",100-IF($G$13=1,50,(_xlfn.RANK.AVG(G1400,$G$19:$G$1518,1)-1)/($G$13-1)*100))</f>
        <v/>
      </c>
      <c r="K1400" s="11">
        <f>IF(H1400="","",100-IF($G$14=1,50,(_xlfn.RANK.AVG(H1400,$H$19:$H$1518,1)-1)/($G$14-1)*100))</f>
        <v/>
      </c>
      <c r="L1400" s="11">
        <f>IF(I1400="","",IF($G$15=1,50,(_xlfn.RANK.AVG(I1400,$I$19:$I$1518,1)-1)/($G$15-1)*100))</f>
        <v/>
      </c>
      <c r="M1400" s="11">
        <f>IF(COUNT(J1400:L1400)=3,ROUND(AVERAGE(J1400:L1400),6),"")</f>
        <v/>
      </c>
      <c r="O1400">
        <f>IF(AND(ISNUMBER('자료_미국심리'!$A1384),ISNUMBER('자료_미국심리'!$B1384)),'자료_미국심리'!$A1384,"")</f>
        <v/>
      </c>
      <c r="P1400">
        <f>IF(AND(ISNUMBER('자료_미국심리'!$D1384),ISNUMBER('자료_미국심리'!$E1384)),'자료_미국심리'!$D1384,"")</f>
        <v/>
      </c>
      <c r="Q1400">
        <f>IF(AND(ISNUMBER('자료_미국심리'!$G1384),ISNUMBER('자료_미국심리'!$H1384)),'자료_미국심리'!$G1384,"")</f>
        <v/>
      </c>
    </row>
    <row r="1401">
      <c r="A1401" s="10">
        <f>IF(1383&gt;$E$5,"",SMALL($O$19:$O$4018,$E$6+1383))</f>
        <v/>
      </c>
      <c r="B1401" s="29">
        <f>IF(A1401="","",INDEX('자료_미국심리'!$B$3:$B$4002,MATCH(A1401,$O$19:$O$4018,0)))</f>
        <v/>
      </c>
      <c r="C1401" s="22">
        <f>IF(A1401="","",B1401/AVERAGE(B1277:B1401)-1)</f>
        <v/>
      </c>
      <c r="D1401" s="29">
        <f>IF(A1401="","",IFERROR(INDEX('자료_미국심리'!$E$3:$E$4002,MATCH(A1401,$P$19:$P$4018,0)),D1400))</f>
        <v/>
      </c>
      <c r="E1401" s="29">
        <f>IF(A1401="","",IFERROR(INDEX('자료_미국심리'!$H$3:$H$4002,MATCH(A1401,$Q$19:$Q$4018,0)),E1400))</f>
        <v/>
      </c>
      <c r="F1401">
        <f>IF(A1401="",0,IF(A1401&gt;$B$5,1,0))</f>
        <v/>
      </c>
      <c r="G1401" s="29">
        <f>IF(AND(F1401=1,ISNUMBER(D1401)),D1401,"")</f>
        <v/>
      </c>
      <c r="H1401" s="29">
        <f>IF(AND(F1401=1,ISNUMBER(E1401)),E1401,"")</f>
        <v/>
      </c>
      <c r="I1401" s="22">
        <f>IF(AND(F1401=1,ISNUMBER(C1401)),C1401,"")</f>
        <v/>
      </c>
      <c r="J1401" s="11">
        <f>IF(G1401="","",100-IF($G$13=1,50,(_xlfn.RANK.AVG(G1401,$G$19:$G$1518,1)-1)/($G$13-1)*100))</f>
        <v/>
      </c>
      <c r="K1401" s="11">
        <f>IF(H1401="","",100-IF($G$14=1,50,(_xlfn.RANK.AVG(H1401,$H$19:$H$1518,1)-1)/($G$14-1)*100))</f>
        <v/>
      </c>
      <c r="L1401" s="11">
        <f>IF(I1401="","",IF($G$15=1,50,(_xlfn.RANK.AVG(I1401,$I$19:$I$1518,1)-1)/($G$15-1)*100))</f>
        <v/>
      </c>
      <c r="M1401" s="11">
        <f>IF(COUNT(J1401:L1401)=3,ROUND(AVERAGE(J1401:L1401),6),"")</f>
        <v/>
      </c>
      <c r="O1401">
        <f>IF(AND(ISNUMBER('자료_미국심리'!$A1385),ISNUMBER('자료_미국심리'!$B1385)),'자료_미국심리'!$A1385,"")</f>
        <v/>
      </c>
      <c r="P1401">
        <f>IF(AND(ISNUMBER('자료_미국심리'!$D1385),ISNUMBER('자료_미국심리'!$E1385)),'자료_미국심리'!$D1385,"")</f>
        <v/>
      </c>
      <c r="Q1401">
        <f>IF(AND(ISNUMBER('자료_미국심리'!$G1385),ISNUMBER('자료_미국심리'!$H1385)),'자료_미국심리'!$G1385,"")</f>
        <v/>
      </c>
    </row>
    <row r="1402">
      <c r="A1402" s="10">
        <f>IF(1384&gt;$E$5,"",SMALL($O$19:$O$4018,$E$6+1384))</f>
        <v/>
      </c>
      <c r="B1402" s="29">
        <f>IF(A1402="","",INDEX('자료_미국심리'!$B$3:$B$4002,MATCH(A1402,$O$19:$O$4018,0)))</f>
        <v/>
      </c>
      <c r="C1402" s="22">
        <f>IF(A1402="","",B1402/AVERAGE(B1278:B1402)-1)</f>
        <v/>
      </c>
      <c r="D1402" s="29">
        <f>IF(A1402="","",IFERROR(INDEX('자료_미국심리'!$E$3:$E$4002,MATCH(A1402,$P$19:$P$4018,0)),D1401))</f>
        <v/>
      </c>
      <c r="E1402" s="29">
        <f>IF(A1402="","",IFERROR(INDEX('자료_미국심리'!$H$3:$H$4002,MATCH(A1402,$Q$19:$Q$4018,0)),E1401))</f>
        <v/>
      </c>
      <c r="F1402">
        <f>IF(A1402="",0,IF(A1402&gt;$B$5,1,0))</f>
        <v/>
      </c>
      <c r="G1402" s="29">
        <f>IF(AND(F1402=1,ISNUMBER(D1402)),D1402,"")</f>
        <v/>
      </c>
      <c r="H1402" s="29">
        <f>IF(AND(F1402=1,ISNUMBER(E1402)),E1402,"")</f>
        <v/>
      </c>
      <c r="I1402" s="22">
        <f>IF(AND(F1402=1,ISNUMBER(C1402)),C1402,"")</f>
        <v/>
      </c>
      <c r="J1402" s="11">
        <f>IF(G1402="","",100-IF($G$13=1,50,(_xlfn.RANK.AVG(G1402,$G$19:$G$1518,1)-1)/($G$13-1)*100))</f>
        <v/>
      </c>
      <c r="K1402" s="11">
        <f>IF(H1402="","",100-IF($G$14=1,50,(_xlfn.RANK.AVG(H1402,$H$19:$H$1518,1)-1)/($G$14-1)*100))</f>
        <v/>
      </c>
      <c r="L1402" s="11">
        <f>IF(I1402="","",IF($G$15=1,50,(_xlfn.RANK.AVG(I1402,$I$19:$I$1518,1)-1)/($G$15-1)*100))</f>
        <v/>
      </c>
      <c r="M1402" s="11">
        <f>IF(COUNT(J1402:L1402)=3,ROUND(AVERAGE(J1402:L1402),6),"")</f>
        <v/>
      </c>
      <c r="O1402">
        <f>IF(AND(ISNUMBER('자료_미국심리'!$A1386),ISNUMBER('자료_미국심리'!$B1386)),'자료_미국심리'!$A1386,"")</f>
        <v/>
      </c>
      <c r="P1402">
        <f>IF(AND(ISNUMBER('자료_미국심리'!$D1386),ISNUMBER('자료_미국심리'!$E1386)),'자료_미국심리'!$D1386,"")</f>
        <v/>
      </c>
      <c r="Q1402">
        <f>IF(AND(ISNUMBER('자료_미국심리'!$G1386),ISNUMBER('자료_미국심리'!$H1386)),'자료_미국심리'!$G1386,"")</f>
        <v/>
      </c>
    </row>
    <row r="1403">
      <c r="A1403" s="10">
        <f>IF(1385&gt;$E$5,"",SMALL($O$19:$O$4018,$E$6+1385))</f>
        <v/>
      </c>
      <c r="B1403" s="29">
        <f>IF(A1403="","",INDEX('자료_미국심리'!$B$3:$B$4002,MATCH(A1403,$O$19:$O$4018,0)))</f>
        <v/>
      </c>
      <c r="C1403" s="22">
        <f>IF(A1403="","",B1403/AVERAGE(B1279:B1403)-1)</f>
        <v/>
      </c>
      <c r="D1403" s="29">
        <f>IF(A1403="","",IFERROR(INDEX('자료_미국심리'!$E$3:$E$4002,MATCH(A1403,$P$19:$P$4018,0)),D1402))</f>
        <v/>
      </c>
      <c r="E1403" s="29">
        <f>IF(A1403="","",IFERROR(INDEX('자료_미국심리'!$H$3:$H$4002,MATCH(A1403,$Q$19:$Q$4018,0)),E1402))</f>
        <v/>
      </c>
      <c r="F1403">
        <f>IF(A1403="",0,IF(A1403&gt;$B$5,1,0))</f>
        <v/>
      </c>
      <c r="G1403" s="29">
        <f>IF(AND(F1403=1,ISNUMBER(D1403)),D1403,"")</f>
        <v/>
      </c>
      <c r="H1403" s="29">
        <f>IF(AND(F1403=1,ISNUMBER(E1403)),E1403,"")</f>
        <v/>
      </c>
      <c r="I1403" s="22">
        <f>IF(AND(F1403=1,ISNUMBER(C1403)),C1403,"")</f>
        <v/>
      </c>
      <c r="J1403" s="11">
        <f>IF(G1403="","",100-IF($G$13=1,50,(_xlfn.RANK.AVG(G1403,$G$19:$G$1518,1)-1)/($G$13-1)*100))</f>
        <v/>
      </c>
      <c r="K1403" s="11">
        <f>IF(H1403="","",100-IF($G$14=1,50,(_xlfn.RANK.AVG(H1403,$H$19:$H$1518,1)-1)/($G$14-1)*100))</f>
        <v/>
      </c>
      <c r="L1403" s="11">
        <f>IF(I1403="","",IF($G$15=1,50,(_xlfn.RANK.AVG(I1403,$I$19:$I$1518,1)-1)/($G$15-1)*100))</f>
        <v/>
      </c>
      <c r="M1403" s="11">
        <f>IF(COUNT(J1403:L1403)=3,ROUND(AVERAGE(J1403:L1403),6),"")</f>
        <v/>
      </c>
      <c r="O1403">
        <f>IF(AND(ISNUMBER('자료_미국심리'!$A1387),ISNUMBER('자료_미국심리'!$B1387)),'자료_미국심리'!$A1387,"")</f>
        <v/>
      </c>
      <c r="P1403">
        <f>IF(AND(ISNUMBER('자료_미국심리'!$D1387),ISNUMBER('자료_미국심리'!$E1387)),'자료_미국심리'!$D1387,"")</f>
        <v/>
      </c>
      <c r="Q1403">
        <f>IF(AND(ISNUMBER('자료_미국심리'!$G1387),ISNUMBER('자료_미국심리'!$H1387)),'자료_미국심리'!$G1387,"")</f>
        <v/>
      </c>
    </row>
    <row r="1404">
      <c r="A1404" s="10">
        <f>IF(1386&gt;$E$5,"",SMALL($O$19:$O$4018,$E$6+1386))</f>
        <v/>
      </c>
      <c r="B1404" s="29">
        <f>IF(A1404="","",INDEX('자료_미국심리'!$B$3:$B$4002,MATCH(A1404,$O$19:$O$4018,0)))</f>
        <v/>
      </c>
      <c r="C1404" s="22">
        <f>IF(A1404="","",B1404/AVERAGE(B1280:B1404)-1)</f>
        <v/>
      </c>
      <c r="D1404" s="29">
        <f>IF(A1404="","",IFERROR(INDEX('자료_미국심리'!$E$3:$E$4002,MATCH(A1404,$P$19:$P$4018,0)),D1403))</f>
        <v/>
      </c>
      <c r="E1404" s="29">
        <f>IF(A1404="","",IFERROR(INDEX('자료_미국심리'!$H$3:$H$4002,MATCH(A1404,$Q$19:$Q$4018,0)),E1403))</f>
        <v/>
      </c>
      <c r="F1404">
        <f>IF(A1404="",0,IF(A1404&gt;$B$5,1,0))</f>
        <v/>
      </c>
      <c r="G1404" s="29">
        <f>IF(AND(F1404=1,ISNUMBER(D1404)),D1404,"")</f>
        <v/>
      </c>
      <c r="H1404" s="29">
        <f>IF(AND(F1404=1,ISNUMBER(E1404)),E1404,"")</f>
        <v/>
      </c>
      <c r="I1404" s="22">
        <f>IF(AND(F1404=1,ISNUMBER(C1404)),C1404,"")</f>
        <v/>
      </c>
      <c r="J1404" s="11">
        <f>IF(G1404="","",100-IF($G$13=1,50,(_xlfn.RANK.AVG(G1404,$G$19:$G$1518,1)-1)/($G$13-1)*100))</f>
        <v/>
      </c>
      <c r="K1404" s="11">
        <f>IF(H1404="","",100-IF($G$14=1,50,(_xlfn.RANK.AVG(H1404,$H$19:$H$1518,1)-1)/($G$14-1)*100))</f>
        <v/>
      </c>
      <c r="L1404" s="11">
        <f>IF(I1404="","",IF($G$15=1,50,(_xlfn.RANK.AVG(I1404,$I$19:$I$1518,1)-1)/($G$15-1)*100))</f>
        <v/>
      </c>
      <c r="M1404" s="11">
        <f>IF(COUNT(J1404:L1404)=3,ROUND(AVERAGE(J1404:L1404),6),"")</f>
        <v/>
      </c>
      <c r="O1404">
        <f>IF(AND(ISNUMBER('자료_미국심리'!$A1388),ISNUMBER('자료_미국심리'!$B1388)),'자료_미국심리'!$A1388,"")</f>
        <v/>
      </c>
      <c r="P1404">
        <f>IF(AND(ISNUMBER('자료_미국심리'!$D1388),ISNUMBER('자료_미국심리'!$E1388)),'자료_미국심리'!$D1388,"")</f>
        <v/>
      </c>
      <c r="Q1404">
        <f>IF(AND(ISNUMBER('자료_미국심리'!$G1388),ISNUMBER('자료_미국심리'!$H1388)),'자료_미국심리'!$G1388,"")</f>
        <v/>
      </c>
    </row>
    <row r="1405">
      <c r="A1405" s="10">
        <f>IF(1387&gt;$E$5,"",SMALL($O$19:$O$4018,$E$6+1387))</f>
        <v/>
      </c>
      <c r="B1405" s="29">
        <f>IF(A1405="","",INDEX('자료_미국심리'!$B$3:$B$4002,MATCH(A1405,$O$19:$O$4018,0)))</f>
        <v/>
      </c>
      <c r="C1405" s="22">
        <f>IF(A1405="","",B1405/AVERAGE(B1281:B1405)-1)</f>
        <v/>
      </c>
      <c r="D1405" s="29">
        <f>IF(A1405="","",IFERROR(INDEX('자료_미국심리'!$E$3:$E$4002,MATCH(A1405,$P$19:$P$4018,0)),D1404))</f>
        <v/>
      </c>
      <c r="E1405" s="29">
        <f>IF(A1405="","",IFERROR(INDEX('자료_미국심리'!$H$3:$H$4002,MATCH(A1405,$Q$19:$Q$4018,0)),E1404))</f>
        <v/>
      </c>
      <c r="F1405">
        <f>IF(A1405="",0,IF(A1405&gt;$B$5,1,0))</f>
        <v/>
      </c>
      <c r="G1405" s="29">
        <f>IF(AND(F1405=1,ISNUMBER(D1405)),D1405,"")</f>
        <v/>
      </c>
      <c r="H1405" s="29">
        <f>IF(AND(F1405=1,ISNUMBER(E1405)),E1405,"")</f>
        <v/>
      </c>
      <c r="I1405" s="22">
        <f>IF(AND(F1405=1,ISNUMBER(C1405)),C1405,"")</f>
        <v/>
      </c>
      <c r="J1405" s="11">
        <f>IF(G1405="","",100-IF($G$13=1,50,(_xlfn.RANK.AVG(G1405,$G$19:$G$1518,1)-1)/($G$13-1)*100))</f>
        <v/>
      </c>
      <c r="K1405" s="11">
        <f>IF(H1405="","",100-IF($G$14=1,50,(_xlfn.RANK.AVG(H1405,$H$19:$H$1518,1)-1)/($G$14-1)*100))</f>
        <v/>
      </c>
      <c r="L1405" s="11">
        <f>IF(I1405="","",IF($G$15=1,50,(_xlfn.RANK.AVG(I1405,$I$19:$I$1518,1)-1)/($G$15-1)*100))</f>
        <v/>
      </c>
      <c r="M1405" s="11">
        <f>IF(COUNT(J1405:L1405)=3,ROUND(AVERAGE(J1405:L1405),6),"")</f>
        <v/>
      </c>
      <c r="O1405">
        <f>IF(AND(ISNUMBER('자료_미국심리'!$A1389),ISNUMBER('자료_미국심리'!$B1389)),'자료_미국심리'!$A1389,"")</f>
        <v/>
      </c>
      <c r="P1405">
        <f>IF(AND(ISNUMBER('자료_미국심리'!$D1389),ISNUMBER('자료_미국심리'!$E1389)),'자료_미국심리'!$D1389,"")</f>
        <v/>
      </c>
      <c r="Q1405">
        <f>IF(AND(ISNUMBER('자료_미국심리'!$G1389),ISNUMBER('자료_미국심리'!$H1389)),'자료_미국심리'!$G1389,"")</f>
        <v/>
      </c>
    </row>
    <row r="1406">
      <c r="A1406" s="10">
        <f>IF(1388&gt;$E$5,"",SMALL($O$19:$O$4018,$E$6+1388))</f>
        <v/>
      </c>
      <c r="B1406" s="29">
        <f>IF(A1406="","",INDEX('자료_미국심리'!$B$3:$B$4002,MATCH(A1406,$O$19:$O$4018,0)))</f>
        <v/>
      </c>
      <c r="C1406" s="22">
        <f>IF(A1406="","",B1406/AVERAGE(B1282:B1406)-1)</f>
        <v/>
      </c>
      <c r="D1406" s="29">
        <f>IF(A1406="","",IFERROR(INDEX('자료_미국심리'!$E$3:$E$4002,MATCH(A1406,$P$19:$P$4018,0)),D1405))</f>
        <v/>
      </c>
      <c r="E1406" s="29">
        <f>IF(A1406="","",IFERROR(INDEX('자료_미국심리'!$H$3:$H$4002,MATCH(A1406,$Q$19:$Q$4018,0)),E1405))</f>
        <v/>
      </c>
      <c r="F1406">
        <f>IF(A1406="",0,IF(A1406&gt;$B$5,1,0))</f>
        <v/>
      </c>
      <c r="G1406" s="29">
        <f>IF(AND(F1406=1,ISNUMBER(D1406)),D1406,"")</f>
        <v/>
      </c>
      <c r="H1406" s="29">
        <f>IF(AND(F1406=1,ISNUMBER(E1406)),E1406,"")</f>
        <v/>
      </c>
      <c r="I1406" s="22">
        <f>IF(AND(F1406=1,ISNUMBER(C1406)),C1406,"")</f>
        <v/>
      </c>
      <c r="J1406" s="11">
        <f>IF(G1406="","",100-IF($G$13=1,50,(_xlfn.RANK.AVG(G1406,$G$19:$G$1518,1)-1)/($G$13-1)*100))</f>
        <v/>
      </c>
      <c r="K1406" s="11">
        <f>IF(H1406="","",100-IF($G$14=1,50,(_xlfn.RANK.AVG(H1406,$H$19:$H$1518,1)-1)/($G$14-1)*100))</f>
        <v/>
      </c>
      <c r="L1406" s="11">
        <f>IF(I1406="","",IF($G$15=1,50,(_xlfn.RANK.AVG(I1406,$I$19:$I$1518,1)-1)/($G$15-1)*100))</f>
        <v/>
      </c>
      <c r="M1406" s="11">
        <f>IF(COUNT(J1406:L1406)=3,ROUND(AVERAGE(J1406:L1406),6),"")</f>
        <v/>
      </c>
      <c r="O1406">
        <f>IF(AND(ISNUMBER('자료_미국심리'!$A1390),ISNUMBER('자료_미국심리'!$B1390)),'자료_미국심리'!$A1390,"")</f>
        <v/>
      </c>
      <c r="P1406">
        <f>IF(AND(ISNUMBER('자료_미국심리'!$D1390),ISNUMBER('자료_미국심리'!$E1390)),'자료_미국심리'!$D1390,"")</f>
        <v/>
      </c>
      <c r="Q1406">
        <f>IF(AND(ISNUMBER('자료_미국심리'!$G1390),ISNUMBER('자료_미국심리'!$H1390)),'자료_미국심리'!$G1390,"")</f>
        <v/>
      </c>
    </row>
    <row r="1407">
      <c r="A1407" s="10">
        <f>IF(1389&gt;$E$5,"",SMALL($O$19:$O$4018,$E$6+1389))</f>
        <v/>
      </c>
      <c r="B1407" s="29">
        <f>IF(A1407="","",INDEX('자료_미국심리'!$B$3:$B$4002,MATCH(A1407,$O$19:$O$4018,0)))</f>
        <v/>
      </c>
      <c r="C1407" s="22">
        <f>IF(A1407="","",B1407/AVERAGE(B1283:B1407)-1)</f>
        <v/>
      </c>
      <c r="D1407" s="29">
        <f>IF(A1407="","",IFERROR(INDEX('자료_미국심리'!$E$3:$E$4002,MATCH(A1407,$P$19:$P$4018,0)),D1406))</f>
        <v/>
      </c>
      <c r="E1407" s="29">
        <f>IF(A1407="","",IFERROR(INDEX('자료_미국심리'!$H$3:$H$4002,MATCH(A1407,$Q$19:$Q$4018,0)),E1406))</f>
        <v/>
      </c>
      <c r="F1407">
        <f>IF(A1407="",0,IF(A1407&gt;$B$5,1,0))</f>
        <v/>
      </c>
      <c r="G1407" s="29">
        <f>IF(AND(F1407=1,ISNUMBER(D1407)),D1407,"")</f>
        <v/>
      </c>
      <c r="H1407" s="29">
        <f>IF(AND(F1407=1,ISNUMBER(E1407)),E1407,"")</f>
        <v/>
      </c>
      <c r="I1407" s="22">
        <f>IF(AND(F1407=1,ISNUMBER(C1407)),C1407,"")</f>
        <v/>
      </c>
      <c r="J1407" s="11">
        <f>IF(G1407="","",100-IF($G$13=1,50,(_xlfn.RANK.AVG(G1407,$G$19:$G$1518,1)-1)/($G$13-1)*100))</f>
        <v/>
      </c>
      <c r="K1407" s="11">
        <f>IF(H1407="","",100-IF($G$14=1,50,(_xlfn.RANK.AVG(H1407,$H$19:$H$1518,1)-1)/($G$14-1)*100))</f>
        <v/>
      </c>
      <c r="L1407" s="11">
        <f>IF(I1407="","",IF($G$15=1,50,(_xlfn.RANK.AVG(I1407,$I$19:$I$1518,1)-1)/($G$15-1)*100))</f>
        <v/>
      </c>
      <c r="M1407" s="11">
        <f>IF(COUNT(J1407:L1407)=3,ROUND(AVERAGE(J1407:L1407),6),"")</f>
        <v/>
      </c>
      <c r="O1407">
        <f>IF(AND(ISNUMBER('자료_미국심리'!$A1391),ISNUMBER('자료_미국심리'!$B1391)),'자료_미국심리'!$A1391,"")</f>
        <v/>
      </c>
      <c r="P1407">
        <f>IF(AND(ISNUMBER('자료_미국심리'!$D1391),ISNUMBER('자료_미국심리'!$E1391)),'자료_미국심리'!$D1391,"")</f>
        <v/>
      </c>
      <c r="Q1407">
        <f>IF(AND(ISNUMBER('자료_미국심리'!$G1391),ISNUMBER('자료_미국심리'!$H1391)),'자료_미국심리'!$G1391,"")</f>
        <v/>
      </c>
    </row>
    <row r="1408">
      <c r="A1408" s="10">
        <f>IF(1390&gt;$E$5,"",SMALL($O$19:$O$4018,$E$6+1390))</f>
        <v/>
      </c>
      <c r="B1408" s="29">
        <f>IF(A1408="","",INDEX('자료_미국심리'!$B$3:$B$4002,MATCH(A1408,$O$19:$O$4018,0)))</f>
        <v/>
      </c>
      <c r="C1408" s="22">
        <f>IF(A1408="","",B1408/AVERAGE(B1284:B1408)-1)</f>
        <v/>
      </c>
      <c r="D1408" s="29">
        <f>IF(A1408="","",IFERROR(INDEX('자료_미국심리'!$E$3:$E$4002,MATCH(A1408,$P$19:$P$4018,0)),D1407))</f>
        <v/>
      </c>
      <c r="E1408" s="29">
        <f>IF(A1408="","",IFERROR(INDEX('자료_미국심리'!$H$3:$H$4002,MATCH(A1408,$Q$19:$Q$4018,0)),E1407))</f>
        <v/>
      </c>
      <c r="F1408">
        <f>IF(A1408="",0,IF(A1408&gt;$B$5,1,0))</f>
        <v/>
      </c>
      <c r="G1408" s="29">
        <f>IF(AND(F1408=1,ISNUMBER(D1408)),D1408,"")</f>
        <v/>
      </c>
      <c r="H1408" s="29">
        <f>IF(AND(F1408=1,ISNUMBER(E1408)),E1408,"")</f>
        <v/>
      </c>
      <c r="I1408" s="22">
        <f>IF(AND(F1408=1,ISNUMBER(C1408)),C1408,"")</f>
        <v/>
      </c>
      <c r="J1408" s="11">
        <f>IF(G1408="","",100-IF($G$13=1,50,(_xlfn.RANK.AVG(G1408,$G$19:$G$1518,1)-1)/($G$13-1)*100))</f>
        <v/>
      </c>
      <c r="K1408" s="11">
        <f>IF(H1408="","",100-IF($G$14=1,50,(_xlfn.RANK.AVG(H1408,$H$19:$H$1518,1)-1)/($G$14-1)*100))</f>
        <v/>
      </c>
      <c r="L1408" s="11">
        <f>IF(I1408="","",IF($G$15=1,50,(_xlfn.RANK.AVG(I1408,$I$19:$I$1518,1)-1)/($G$15-1)*100))</f>
        <v/>
      </c>
      <c r="M1408" s="11">
        <f>IF(COUNT(J1408:L1408)=3,ROUND(AVERAGE(J1408:L1408),6),"")</f>
        <v/>
      </c>
      <c r="O1408">
        <f>IF(AND(ISNUMBER('자료_미국심리'!$A1392),ISNUMBER('자료_미국심리'!$B1392)),'자료_미국심리'!$A1392,"")</f>
        <v/>
      </c>
      <c r="P1408">
        <f>IF(AND(ISNUMBER('자료_미국심리'!$D1392),ISNUMBER('자료_미국심리'!$E1392)),'자료_미국심리'!$D1392,"")</f>
        <v/>
      </c>
      <c r="Q1408">
        <f>IF(AND(ISNUMBER('자료_미국심리'!$G1392),ISNUMBER('자료_미국심리'!$H1392)),'자료_미국심리'!$G1392,"")</f>
        <v/>
      </c>
    </row>
    <row r="1409">
      <c r="A1409" s="10">
        <f>IF(1391&gt;$E$5,"",SMALL($O$19:$O$4018,$E$6+1391))</f>
        <v/>
      </c>
      <c r="B1409" s="29">
        <f>IF(A1409="","",INDEX('자료_미국심리'!$B$3:$B$4002,MATCH(A1409,$O$19:$O$4018,0)))</f>
        <v/>
      </c>
      <c r="C1409" s="22">
        <f>IF(A1409="","",B1409/AVERAGE(B1285:B1409)-1)</f>
        <v/>
      </c>
      <c r="D1409" s="29">
        <f>IF(A1409="","",IFERROR(INDEX('자료_미국심리'!$E$3:$E$4002,MATCH(A1409,$P$19:$P$4018,0)),D1408))</f>
        <v/>
      </c>
      <c r="E1409" s="29">
        <f>IF(A1409="","",IFERROR(INDEX('자료_미국심리'!$H$3:$H$4002,MATCH(A1409,$Q$19:$Q$4018,0)),E1408))</f>
        <v/>
      </c>
      <c r="F1409">
        <f>IF(A1409="",0,IF(A1409&gt;$B$5,1,0))</f>
        <v/>
      </c>
      <c r="G1409" s="29">
        <f>IF(AND(F1409=1,ISNUMBER(D1409)),D1409,"")</f>
        <v/>
      </c>
      <c r="H1409" s="29">
        <f>IF(AND(F1409=1,ISNUMBER(E1409)),E1409,"")</f>
        <v/>
      </c>
      <c r="I1409" s="22">
        <f>IF(AND(F1409=1,ISNUMBER(C1409)),C1409,"")</f>
        <v/>
      </c>
      <c r="J1409" s="11">
        <f>IF(G1409="","",100-IF($G$13=1,50,(_xlfn.RANK.AVG(G1409,$G$19:$G$1518,1)-1)/($G$13-1)*100))</f>
        <v/>
      </c>
      <c r="K1409" s="11">
        <f>IF(H1409="","",100-IF($G$14=1,50,(_xlfn.RANK.AVG(H1409,$H$19:$H$1518,1)-1)/($G$14-1)*100))</f>
        <v/>
      </c>
      <c r="L1409" s="11">
        <f>IF(I1409="","",IF($G$15=1,50,(_xlfn.RANK.AVG(I1409,$I$19:$I$1518,1)-1)/($G$15-1)*100))</f>
        <v/>
      </c>
      <c r="M1409" s="11">
        <f>IF(COUNT(J1409:L1409)=3,ROUND(AVERAGE(J1409:L1409),6),"")</f>
        <v/>
      </c>
      <c r="O1409">
        <f>IF(AND(ISNUMBER('자료_미국심리'!$A1393),ISNUMBER('자료_미국심리'!$B1393)),'자료_미국심리'!$A1393,"")</f>
        <v/>
      </c>
      <c r="P1409">
        <f>IF(AND(ISNUMBER('자료_미국심리'!$D1393),ISNUMBER('자료_미국심리'!$E1393)),'자료_미국심리'!$D1393,"")</f>
        <v/>
      </c>
      <c r="Q1409">
        <f>IF(AND(ISNUMBER('자료_미국심리'!$G1393),ISNUMBER('자료_미국심리'!$H1393)),'자료_미국심리'!$G1393,"")</f>
        <v/>
      </c>
    </row>
    <row r="1410">
      <c r="A1410" s="10">
        <f>IF(1392&gt;$E$5,"",SMALL($O$19:$O$4018,$E$6+1392))</f>
        <v/>
      </c>
      <c r="B1410" s="29">
        <f>IF(A1410="","",INDEX('자료_미국심리'!$B$3:$B$4002,MATCH(A1410,$O$19:$O$4018,0)))</f>
        <v/>
      </c>
      <c r="C1410" s="22">
        <f>IF(A1410="","",B1410/AVERAGE(B1286:B1410)-1)</f>
        <v/>
      </c>
      <c r="D1410" s="29">
        <f>IF(A1410="","",IFERROR(INDEX('자료_미국심리'!$E$3:$E$4002,MATCH(A1410,$P$19:$P$4018,0)),D1409))</f>
        <v/>
      </c>
      <c r="E1410" s="29">
        <f>IF(A1410="","",IFERROR(INDEX('자료_미국심리'!$H$3:$H$4002,MATCH(A1410,$Q$19:$Q$4018,0)),E1409))</f>
        <v/>
      </c>
      <c r="F1410">
        <f>IF(A1410="",0,IF(A1410&gt;$B$5,1,0))</f>
        <v/>
      </c>
      <c r="G1410" s="29">
        <f>IF(AND(F1410=1,ISNUMBER(D1410)),D1410,"")</f>
        <v/>
      </c>
      <c r="H1410" s="29">
        <f>IF(AND(F1410=1,ISNUMBER(E1410)),E1410,"")</f>
        <v/>
      </c>
      <c r="I1410" s="22">
        <f>IF(AND(F1410=1,ISNUMBER(C1410)),C1410,"")</f>
        <v/>
      </c>
      <c r="J1410" s="11">
        <f>IF(G1410="","",100-IF($G$13=1,50,(_xlfn.RANK.AVG(G1410,$G$19:$G$1518,1)-1)/($G$13-1)*100))</f>
        <v/>
      </c>
      <c r="K1410" s="11">
        <f>IF(H1410="","",100-IF($G$14=1,50,(_xlfn.RANK.AVG(H1410,$H$19:$H$1518,1)-1)/($G$14-1)*100))</f>
        <v/>
      </c>
      <c r="L1410" s="11">
        <f>IF(I1410="","",IF($G$15=1,50,(_xlfn.RANK.AVG(I1410,$I$19:$I$1518,1)-1)/($G$15-1)*100))</f>
        <v/>
      </c>
      <c r="M1410" s="11">
        <f>IF(COUNT(J1410:L1410)=3,ROUND(AVERAGE(J1410:L1410),6),"")</f>
        <v/>
      </c>
      <c r="O1410">
        <f>IF(AND(ISNUMBER('자료_미국심리'!$A1394),ISNUMBER('자료_미국심리'!$B1394)),'자료_미국심리'!$A1394,"")</f>
        <v/>
      </c>
      <c r="P1410">
        <f>IF(AND(ISNUMBER('자료_미국심리'!$D1394),ISNUMBER('자료_미국심리'!$E1394)),'자료_미국심리'!$D1394,"")</f>
        <v/>
      </c>
      <c r="Q1410">
        <f>IF(AND(ISNUMBER('자료_미국심리'!$G1394),ISNUMBER('자료_미국심리'!$H1394)),'자료_미국심리'!$G1394,"")</f>
        <v/>
      </c>
    </row>
    <row r="1411">
      <c r="A1411" s="10">
        <f>IF(1393&gt;$E$5,"",SMALL($O$19:$O$4018,$E$6+1393))</f>
        <v/>
      </c>
      <c r="B1411" s="29">
        <f>IF(A1411="","",INDEX('자료_미국심리'!$B$3:$B$4002,MATCH(A1411,$O$19:$O$4018,0)))</f>
        <v/>
      </c>
      <c r="C1411" s="22">
        <f>IF(A1411="","",B1411/AVERAGE(B1287:B1411)-1)</f>
        <v/>
      </c>
      <c r="D1411" s="29">
        <f>IF(A1411="","",IFERROR(INDEX('자료_미국심리'!$E$3:$E$4002,MATCH(A1411,$P$19:$P$4018,0)),D1410))</f>
        <v/>
      </c>
      <c r="E1411" s="29">
        <f>IF(A1411="","",IFERROR(INDEX('자료_미국심리'!$H$3:$H$4002,MATCH(A1411,$Q$19:$Q$4018,0)),E1410))</f>
        <v/>
      </c>
      <c r="F1411">
        <f>IF(A1411="",0,IF(A1411&gt;$B$5,1,0))</f>
        <v/>
      </c>
      <c r="G1411" s="29">
        <f>IF(AND(F1411=1,ISNUMBER(D1411)),D1411,"")</f>
        <v/>
      </c>
      <c r="H1411" s="29">
        <f>IF(AND(F1411=1,ISNUMBER(E1411)),E1411,"")</f>
        <v/>
      </c>
      <c r="I1411" s="22">
        <f>IF(AND(F1411=1,ISNUMBER(C1411)),C1411,"")</f>
        <v/>
      </c>
      <c r="J1411" s="11">
        <f>IF(G1411="","",100-IF($G$13=1,50,(_xlfn.RANK.AVG(G1411,$G$19:$G$1518,1)-1)/($G$13-1)*100))</f>
        <v/>
      </c>
      <c r="K1411" s="11">
        <f>IF(H1411="","",100-IF($G$14=1,50,(_xlfn.RANK.AVG(H1411,$H$19:$H$1518,1)-1)/($G$14-1)*100))</f>
        <v/>
      </c>
      <c r="L1411" s="11">
        <f>IF(I1411="","",IF($G$15=1,50,(_xlfn.RANK.AVG(I1411,$I$19:$I$1518,1)-1)/($G$15-1)*100))</f>
        <v/>
      </c>
      <c r="M1411" s="11">
        <f>IF(COUNT(J1411:L1411)=3,ROUND(AVERAGE(J1411:L1411),6),"")</f>
        <v/>
      </c>
      <c r="O1411">
        <f>IF(AND(ISNUMBER('자료_미국심리'!$A1395),ISNUMBER('자료_미국심리'!$B1395)),'자료_미국심리'!$A1395,"")</f>
        <v/>
      </c>
      <c r="P1411">
        <f>IF(AND(ISNUMBER('자료_미국심리'!$D1395),ISNUMBER('자료_미국심리'!$E1395)),'자료_미국심리'!$D1395,"")</f>
        <v/>
      </c>
      <c r="Q1411">
        <f>IF(AND(ISNUMBER('자료_미국심리'!$G1395),ISNUMBER('자료_미국심리'!$H1395)),'자료_미국심리'!$G1395,"")</f>
        <v/>
      </c>
    </row>
    <row r="1412">
      <c r="A1412" s="10">
        <f>IF(1394&gt;$E$5,"",SMALL($O$19:$O$4018,$E$6+1394))</f>
        <v/>
      </c>
      <c r="B1412" s="29">
        <f>IF(A1412="","",INDEX('자료_미국심리'!$B$3:$B$4002,MATCH(A1412,$O$19:$O$4018,0)))</f>
        <v/>
      </c>
      <c r="C1412" s="22">
        <f>IF(A1412="","",B1412/AVERAGE(B1288:B1412)-1)</f>
        <v/>
      </c>
      <c r="D1412" s="29">
        <f>IF(A1412="","",IFERROR(INDEX('자료_미국심리'!$E$3:$E$4002,MATCH(A1412,$P$19:$P$4018,0)),D1411))</f>
        <v/>
      </c>
      <c r="E1412" s="29">
        <f>IF(A1412="","",IFERROR(INDEX('자료_미국심리'!$H$3:$H$4002,MATCH(A1412,$Q$19:$Q$4018,0)),E1411))</f>
        <v/>
      </c>
      <c r="F1412">
        <f>IF(A1412="",0,IF(A1412&gt;$B$5,1,0))</f>
        <v/>
      </c>
      <c r="G1412" s="29">
        <f>IF(AND(F1412=1,ISNUMBER(D1412)),D1412,"")</f>
        <v/>
      </c>
      <c r="H1412" s="29">
        <f>IF(AND(F1412=1,ISNUMBER(E1412)),E1412,"")</f>
        <v/>
      </c>
      <c r="I1412" s="22">
        <f>IF(AND(F1412=1,ISNUMBER(C1412)),C1412,"")</f>
        <v/>
      </c>
      <c r="J1412" s="11">
        <f>IF(G1412="","",100-IF($G$13=1,50,(_xlfn.RANK.AVG(G1412,$G$19:$G$1518,1)-1)/($G$13-1)*100))</f>
        <v/>
      </c>
      <c r="K1412" s="11">
        <f>IF(H1412="","",100-IF($G$14=1,50,(_xlfn.RANK.AVG(H1412,$H$19:$H$1518,1)-1)/($G$14-1)*100))</f>
        <v/>
      </c>
      <c r="L1412" s="11">
        <f>IF(I1412="","",IF($G$15=1,50,(_xlfn.RANK.AVG(I1412,$I$19:$I$1518,1)-1)/($G$15-1)*100))</f>
        <v/>
      </c>
      <c r="M1412" s="11">
        <f>IF(COUNT(J1412:L1412)=3,ROUND(AVERAGE(J1412:L1412),6),"")</f>
        <v/>
      </c>
      <c r="O1412">
        <f>IF(AND(ISNUMBER('자료_미국심리'!$A1396),ISNUMBER('자료_미국심리'!$B1396)),'자료_미국심리'!$A1396,"")</f>
        <v/>
      </c>
      <c r="P1412">
        <f>IF(AND(ISNUMBER('자료_미국심리'!$D1396),ISNUMBER('자료_미국심리'!$E1396)),'자료_미국심리'!$D1396,"")</f>
        <v/>
      </c>
      <c r="Q1412">
        <f>IF(AND(ISNUMBER('자료_미국심리'!$G1396),ISNUMBER('자료_미국심리'!$H1396)),'자료_미국심리'!$G1396,"")</f>
        <v/>
      </c>
    </row>
    <row r="1413">
      <c r="A1413" s="10">
        <f>IF(1395&gt;$E$5,"",SMALL($O$19:$O$4018,$E$6+1395))</f>
        <v/>
      </c>
      <c r="B1413" s="29">
        <f>IF(A1413="","",INDEX('자료_미국심리'!$B$3:$B$4002,MATCH(A1413,$O$19:$O$4018,0)))</f>
        <v/>
      </c>
      <c r="C1413" s="22">
        <f>IF(A1413="","",B1413/AVERAGE(B1289:B1413)-1)</f>
        <v/>
      </c>
      <c r="D1413" s="29">
        <f>IF(A1413="","",IFERROR(INDEX('자료_미국심리'!$E$3:$E$4002,MATCH(A1413,$P$19:$P$4018,0)),D1412))</f>
        <v/>
      </c>
      <c r="E1413" s="29">
        <f>IF(A1413="","",IFERROR(INDEX('자료_미국심리'!$H$3:$H$4002,MATCH(A1413,$Q$19:$Q$4018,0)),E1412))</f>
        <v/>
      </c>
      <c r="F1413">
        <f>IF(A1413="",0,IF(A1413&gt;$B$5,1,0))</f>
        <v/>
      </c>
      <c r="G1413" s="29">
        <f>IF(AND(F1413=1,ISNUMBER(D1413)),D1413,"")</f>
        <v/>
      </c>
      <c r="H1413" s="29">
        <f>IF(AND(F1413=1,ISNUMBER(E1413)),E1413,"")</f>
        <v/>
      </c>
      <c r="I1413" s="22">
        <f>IF(AND(F1413=1,ISNUMBER(C1413)),C1413,"")</f>
        <v/>
      </c>
      <c r="J1413" s="11">
        <f>IF(G1413="","",100-IF($G$13=1,50,(_xlfn.RANK.AVG(G1413,$G$19:$G$1518,1)-1)/($G$13-1)*100))</f>
        <v/>
      </c>
      <c r="K1413" s="11">
        <f>IF(H1413="","",100-IF($G$14=1,50,(_xlfn.RANK.AVG(H1413,$H$19:$H$1518,1)-1)/($G$14-1)*100))</f>
        <v/>
      </c>
      <c r="L1413" s="11">
        <f>IF(I1413="","",IF($G$15=1,50,(_xlfn.RANK.AVG(I1413,$I$19:$I$1518,1)-1)/($G$15-1)*100))</f>
        <v/>
      </c>
      <c r="M1413" s="11">
        <f>IF(COUNT(J1413:L1413)=3,ROUND(AVERAGE(J1413:L1413),6),"")</f>
        <v/>
      </c>
      <c r="O1413">
        <f>IF(AND(ISNUMBER('자료_미국심리'!$A1397),ISNUMBER('자료_미국심리'!$B1397)),'자료_미국심리'!$A1397,"")</f>
        <v/>
      </c>
      <c r="P1413">
        <f>IF(AND(ISNUMBER('자료_미국심리'!$D1397),ISNUMBER('자료_미국심리'!$E1397)),'자료_미국심리'!$D1397,"")</f>
        <v/>
      </c>
      <c r="Q1413">
        <f>IF(AND(ISNUMBER('자료_미국심리'!$G1397),ISNUMBER('자료_미국심리'!$H1397)),'자료_미국심리'!$G1397,"")</f>
        <v/>
      </c>
    </row>
    <row r="1414">
      <c r="A1414" s="10">
        <f>IF(1396&gt;$E$5,"",SMALL($O$19:$O$4018,$E$6+1396))</f>
        <v/>
      </c>
      <c r="B1414" s="29">
        <f>IF(A1414="","",INDEX('자료_미국심리'!$B$3:$B$4002,MATCH(A1414,$O$19:$O$4018,0)))</f>
        <v/>
      </c>
      <c r="C1414" s="22">
        <f>IF(A1414="","",B1414/AVERAGE(B1290:B1414)-1)</f>
        <v/>
      </c>
      <c r="D1414" s="29">
        <f>IF(A1414="","",IFERROR(INDEX('자료_미국심리'!$E$3:$E$4002,MATCH(A1414,$P$19:$P$4018,0)),D1413))</f>
        <v/>
      </c>
      <c r="E1414" s="29">
        <f>IF(A1414="","",IFERROR(INDEX('자료_미국심리'!$H$3:$H$4002,MATCH(A1414,$Q$19:$Q$4018,0)),E1413))</f>
        <v/>
      </c>
      <c r="F1414">
        <f>IF(A1414="",0,IF(A1414&gt;$B$5,1,0))</f>
        <v/>
      </c>
      <c r="G1414" s="29">
        <f>IF(AND(F1414=1,ISNUMBER(D1414)),D1414,"")</f>
        <v/>
      </c>
      <c r="H1414" s="29">
        <f>IF(AND(F1414=1,ISNUMBER(E1414)),E1414,"")</f>
        <v/>
      </c>
      <c r="I1414" s="22">
        <f>IF(AND(F1414=1,ISNUMBER(C1414)),C1414,"")</f>
        <v/>
      </c>
      <c r="J1414" s="11">
        <f>IF(G1414="","",100-IF($G$13=1,50,(_xlfn.RANK.AVG(G1414,$G$19:$G$1518,1)-1)/($G$13-1)*100))</f>
        <v/>
      </c>
      <c r="K1414" s="11">
        <f>IF(H1414="","",100-IF($G$14=1,50,(_xlfn.RANK.AVG(H1414,$H$19:$H$1518,1)-1)/($G$14-1)*100))</f>
        <v/>
      </c>
      <c r="L1414" s="11">
        <f>IF(I1414="","",IF($G$15=1,50,(_xlfn.RANK.AVG(I1414,$I$19:$I$1518,1)-1)/($G$15-1)*100))</f>
        <v/>
      </c>
      <c r="M1414" s="11">
        <f>IF(COUNT(J1414:L1414)=3,ROUND(AVERAGE(J1414:L1414),6),"")</f>
        <v/>
      </c>
      <c r="O1414">
        <f>IF(AND(ISNUMBER('자료_미국심리'!$A1398),ISNUMBER('자료_미국심리'!$B1398)),'자료_미국심리'!$A1398,"")</f>
        <v/>
      </c>
      <c r="P1414">
        <f>IF(AND(ISNUMBER('자료_미국심리'!$D1398),ISNUMBER('자료_미국심리'!$E1398)),'자료_미국심리'!$D1398,"")</f>
        <v/>
      </c>
      <c r="Q1414">
        <f>IF(AND(ISNUMBER('자료_미국심리'!$G1398),ISNUMBER('자료_미국심리'!$H1398)),'자료_미국심리'!$G1398,"")</f>
        <v/>
      </c>
    </row>
    <row r="1415">
      <c r="A1415" s="10">
        <f>IF(1397&gt;$E$5,"",SMALL($O$19:$O$4018,$E$6+1397))</f>
        <v/>
      </c>
      <c r="B1415" s="29">
        <f>IF(A1415="","",INDEX('자료_미국심리'!$B$3:$B$4002,MATCH(A1415,$O$19:$O$4018,0)))</f>
        <v/>
      </c>
      <c r="C1415" s="22">
        <f>IF(A1415="","",B1415/AVERAGE(B1291:B1415)-1)</f>
        <v/>
      </c>
      <c r="D1415" s="29">
        <f>IF(A1415="","",IFERROR(INDEX('자료_미국심리'!$E$3:$E$4002,MATCH(A1415,$P$19:$P$4018,0)),D1414))</f>
        <v/>
      </c>
      <c r="E1415" s="29">
        <f>IF(A1415="","",IFERROR(INDEX('자료_미국심리'!$H$3:$H$4002,MATCH(A1415,$Q$19:$Q$4018,0)),E1414))</f>
        <v/>
      </c>
      <c r="F1415">
        <f>IF(A1415="",0,IF(A1415&gt;$B$5,1,0))</f>
        <v/>
      </c>
      <c r="G1415" s="29">
        <f>IF(AND(F1415=1,ISNUMBER(D1415)),D1415,"")</f>
        <v/>
      </c>
      <c r="H1415" s="29">
        <f>IF(AND(F1415=1,ISNUMBER(E1415)),E1415,"")</f>
        <v/>
      </c>
      <c r="I1415" s="22">
        <f>IF(AND(F1415=1,ISNUMBER(C1415)),C1415,"")</f>
        <v/>
      </c>
      <c r="J1415" s="11">
        <f>IF(G1415="","",100-IF($G$13=1,50,(_xlfn.RANK.AVG(G1415,$G$19:$G$1518,1)-1)/($G$13-1)*100))</f>
        <v/>
      </c>
      <c r="K1415" s="11">
        <f>IF(H1415="","",100-IF($G$14=1,50,(_xlfn.RANK.AVG(H1415,$H$19:$H$1518,1)-1)/($G$14-1)*100))</f>
        <v/>
      </c>
      <c r="L1415" s="11">
        <f>IF(I1415="","",IF($G$15=1,50,(_xlfn.RANK.AVG(I1415,$I$19:$I$1518,1)-1)/($G$15-1)*100))</f>
        <v/>
      </c>
      <c r="M1415" s="11">
        <f>IF(COUNT(J1415:L1415)=3,ROUND(AVERAGE(J1415:L1415),6),"")</f>
        <v/>
      </c>
      <c r="O1415">
        <f>IF(AND(ISNUMBER('자료_미국심리'!$A1399),ISNUMBER('자료_미국심리'!$B1399)),'자료_미국심리'!$A1399,"")</f>
        <v/>
      </c>
      <c r="P1415">
        <f>IF(AND(ISNUMBER('자료_미국심리'!$D1399),ISNUMBER('자료_미국심리'!$E1399)),'자료_미국심리'!$D1399,"")</f>
        <v/>
      </c>
      <c r="Q1415">
        <f>IF(AND(ISNUMBER('자료_미국심리'!$G1399),ISNUMBER('자료_미국심리'!$H1399)),'자료_미국심리'!$G1399,"")</f>
        <v/>
      </c>
    </row>
    <row r="1416">
      <c r="A1416" s="10">
        <f>IF(1398&gt;$E$5,"",SMALL($O$19:$O$4018,$E$6+1398))</f>
        <v/>
      </c>
      <c r="B1416" s="29">
        <f>IF(A1416="","",INDEX('자료_미국심리'!$B$3:$B$4002,MATCH(A1416,$O$19:$O$4018,0)))</f>
        <v/>
      </c>
      <c r="C1416" s="22">
        <f>IF(A1416="","",B1416/AVERAGE(B1292:B1416)-1)</f>
        <v/>
      </c>
      <c r="D1416" s="29">
        <f>IF(A1416="","",IFERROR(INDEX('자료_미국심리'!$E$3:$E$4002,MATCH(A1416,$P$19:$P$4018,0)),D1415))</f>
        <v/>
      </c>
      <c r="E1416" s="29">
        <f>IF(A1416="","",IFERROR(INDEX('자료_미국심리'!$H$3:$H$4002,MATCH(A1416,$Q$19:$Q$4018,0)),E1415))</f>
        <v/>
      </c>
      <c r="F1416">
        <f>IF(A1416="",0,IF(A1416&gt;$B$5,1,0))</f>
        <v/>
      </c>
      <c r="G1416" s="29">
        <f>IF(AND(F1416=1,ISNUMBER(D1416)),D1416,"")</f>
        <v/>
      </c>
      <c r="H1416" s="29">
        <f>IF(AND(F1416=1,ISNUMBER(E1416)),E1416,"")</f>
        <v/>
      </c>
      <c r="I1416" s="22">
        <f>IF(AND(F1416=1,ISNUMBER(C1416)),C1416,"")</f>
        <v/>
      </c>
      <c r="J1416" s="11">
        <f>IF(G1416="","",100-IF($G$13=1,50,(_xlfn.RANK.AVG(G1416,$G$19:$G$1518,1)-1)/($G$13-1)*100))</f>
        <v/>
      </c>
      <c r="K1416" s="11">
        <f>IF(H1416="","",100-IF($G$14=1,50,(_xlfn.RANK.AVG(H1416,$H$19:$H$1518,1)-1)/($G$14-1)*100))</f>
        <v/>
      </c>
      <c r="L1416" s="11">
        <f>IF(I1416="","",IF($G$15=1,50,(_xlfn.RANK.AVG(I1416,$I$19:$I$1518,1)-1)/($G$15-1)*100))</f>
        <v/>
      </c>
      <c r="M1416" s="11">
        <f>IF(COUNT(J1416:L1416)=3,ROUND(AVERAGE(J1416:L1416),6),"")</f>
        <v/>
      </c>
      <c r="O1416">
        <f>IF(AND(ISNUMBER('자료_미국심리'!$A1400),ISNUMBER('자료_미국심리'!$B1400)),'자료_미국심리'!$A1400,"")</f>
        <v/>
      </c>
      <c r="P1416">
        <f>IF(AND(ISNUMBER('자료_미국심리'!$D1400),ISNUMBER('자료_미국심리'!$E1400)),'자료_미국심리'!$D1400,"")</f>
        <v/>
      </c>
      <c r="Q1416">
        <f>IF(AND(ISNUMBER('자료_미국심리'!$G1400),ISNUMBER('자료_미국심리'!$H1400)),'자료_미국심리'!$G1400,"")</f>
        <v/>
      </c>
    </row>
    <row r="1417">
      <c r="A1417" s="10">
        <f>IF(1399&gt;$E$5,"",SMALL($O$19:$O$4018,$E$6+1399))</f>
        <v/>
      </c>
      <c r="B1417" s="29">
        <f>IF(A1417="","",INDEX('자료_미국심리'!$B$3:$B$4002,MATCH(A1417,$O$19:$O$4018,0)))</f>
        <v/>
      </c>
      <c r="C1417" s="22">
        <f>IF(A1417="","",B1417/AVERAGE(B1293:B1417)-1)</f>
        <v/>
      </c>
      <c r="D1417" s="29">
        <f>IF(A1417="","",IFERROR(INDEX('자료_미국심리'!$E$3:$E$4002,MATCH(A1417,$P$19:$P$4018,0)),D1416))</f>
        <v/>
      </c>
      <c r="E1417" s="29">
        <f>IF(A1417="","",IFERROR(INDEX('자료_미국심리'!$H$3:$H$4002,MATCH(A1417,$Q$19:$Q$4018,0)),E1416))</f>
        <v/>
      </c>
      <c r="F1417">
        <f>IF(A1417="",0,IF(A1417&gt;$B$5,1,0))</f>
        <v/>
      </c>
      <c r="G1417" s="29">
        <f>IF(AND(F1417=1,ISNUMBER(D1417)),D1417,"")</f>
        <v/>
      </c>
      <c r="H1417" s="29">
        <f>IF(AND(F1417=1,ISNUMBER(E1417)),E1417,"")</f>
        <v/>
      </c>
      <c r="I1417" s="22">
        <f>IF(AND(F1417=1,ISNUMBER(C1417)),C1417,"")</f>
        <v/>
      </c>
      <c r="J1417" s="11">
        <f>IF(G1417="","",100-IF($G$13=1,50,(_xlfn.RANK.AVG(G1417,$G$19:$G$1518,1)-1)/($G$13-1)*100))</f>
        <v/>
      </c>
      <c r="K1417" s="11">
        <f>IF(H1417="","",100-IF($G$14=1,50,(_xlfn.RANK.AVG(H1417,$H$19:$H$1518,1)-1)/($G$14-1)*100))</f>
        <v/>
      </c>
      <c r="L1417" s="11">
        <f>IF(I1417="","",IF($G$15=1,50,(_xlfn.RANK.AVG(I1417,$I$19:$I$1518,1)-1)/($G$15-1)*100))</f>
        <v/>
      </c>
      <c r="M1417" s="11">
        <f>IF(COUNT(J1417:L1417)=3,ROUND(AVERAGE(J1417:L1417),6),"")</f>
        <v/>
      </c>
      <c r="O1417">
        <f>IF(AND(ISNUMBER('자료_미국심리'!$A1401),ISNUMBER('자료_미국심리'!$B1401)),'자료_미국심리'!$A1401,"")</f>
        <v/>
      </c>
      <c r="P1417">
        <f>IF(AND(ISNUMBER('자료_미국심리'!$D1401),ISNUMBER('자료_미국심리'!$E1401)),'자료_미국심리'!$D1401,"")</f>
        <v/>
      </c>
      <c r="Q1417">
        <f>IF(AND(ISNUMBER('자료_미국심리'!$G1401),ISNUMBER('자료_미국심리'!$H1401)),'자료_미국심리'!$G1401,"")</f>
        <v/>
      </c>
    </row>
    <row r="1418">
      <c r="A1418" s="10">
        <f>IF(1400&gt;$E$5,"",SMALL($O$19:$O$4018,$E$6+1400))</f>
        <v/>
      </c>
      <c r="B1418" s="29">
        <f>IF(A1418="","",INDEX('자료_미국심리'!$B$3:$B$4002,MATCH(A1418,$O$19:$O$4018,0)))</f>
        <v/>
      </c>
      <c r="C1418" s="22">
        <f>IF(A1418="","",B1418/AVERAGE(B1294:B1418)-1)</f>
        <v/>
      </c>
      <c r="D1418" s="29">
        <f>IF(A1418="","",IFERROR(INDEX('자료_미국심리'!$E$3:$E$4002,MATCH(A1418,$P$19:$P$4018,0)),D1417))</f>
        <v/>
      </c>
      <c r="E1418" s="29">
        <f>IF(A1418="","",IFERROR(INDEX('자료_미국심리'!$H$3:$H$4002,MATCH(A1418,$Q$19:$Q$4018,0)),E1417))</f>
        <v/>
      </c>
      <c r="F1418">
        <f>IF(A1418="",0,IF(A1418&gt;$B$5,1,0))</f>
        <v/>
      </c>
      <c r="G1418" s="29">
        <f>IF(AND(F1418=1,ISNUMBER(D1418)),D1418,"")</f>
        <v/>
      </c>
      <c r="H1418" s="29">
        <f>IF(AND(F1418=1,ISNUMBER(E1418)),E1418,"")</f>
        <v/>
      </c>
      <c r="I1418" s="22">
        <f>IF(AND(F1418=1,ISNUMBER(C1418)),C1418,"")</f>
        <v/>
      </c>
      <c r="J1418" s="11">
        <f>IF(G1418="","",100-IF($G$13=1,50,(_xlfn.RANK.AVG(G1418,$G$19:$G$1518,1)-1)/($G$13-1)*100))</f>
        <v/>
      </c>
      <c r="K1418" s="11">
        <f>IF(H1418="","",100-IF($G$14=1,50,(_xlfn.RANK.AVG(H1418,$H$19:$H$1518,1)-1)/($G$14-1)*100))</f>
        <v/>
      </c>
      <c r="L1418" s="11">
        <f>IF(I1418="","",IF($G$15=1,50,(_xlfn.RANK.AVG(I1418,$I$19:$I$1518,1)-1)/($G$15-1)*100))</f>
        <v/>
      </c>
      <c r="M1418" s="11">
        <f>IF(COUNT(J1418:L1418)=3,ROUND(AVERAGE(J1418:L1418),6),"")</f>
        <v/>
      </c>
      <c r="O1418">
        <f>IF(AND(ISNUMBER('자료_미국심리'!$A1402),ISNUMBER('자료_미국심리'!$B1402)),'자료_미국심리'!$A1402,"")</f>
        <v/>
      </c>
      <c r="P1418">
        <f>IF(AND(ISNUMBER('자료_미국심리'!$D1402),ISNUMBER('자료_미국심리'!$E1402)),'자료_미국심리'!$D1402,"")</f>
        <v/>
      </c>
      <c r="Q1418">
        <f>IF(AND(ISNUMBER('자료_미국심리'!$G1402),ISNUMBER('자료_미국심리'!$H1402)),'자료_미국심리'!$G1402,"")</f>
        <v/>
      </c>
    </row>
    <row r="1419">
      <c r="A1419" s="10">
        <f>IF(1401&gt;$E$5,"",SMALL($O$19:$O$4018,$E$6+1401))</f>
        <v/>
      </c>
      <c r="B1419" s="29">
        <f>IF(A1419="","",INDEX('자료_미국심리'!$B$3:$B$4002,MATCH(A1419,$O$19:$O$4018,0)))</f>
        <v/>
      </c>
      <c r="C1419" s="22">
        <f>IF(A1419="","",B1419/AVERAGE(B1295:B1419)-1)</f>
        <v/>
      </c>
      <c r="D1419" s="29">
        <f>IF(A1419="","",IFERROR(INDEX('자료_미국심리'!$E$3:$E$4002,MATCH(A1419,$P$19:$P$4018,0)),D1418))</f>
        <v/>
      </c>
      <c r="E1419" s="29">
        <f>IF(A1419="","",IFERROR(INDEX('자료_미국심리'!$H$3:$H$4002,MATCH(A1419,$Q$19:$Q$4018,0)),E1418))</f>
        <v/>
      </c>
      <c r="F1419">
        <f>IF(A1419="",0,IF(A1419&gt;$B$5,1,0))</f>
        <v/>
      </c>
      <c r="G1419" s="29">
        <f>IF(AND(F1419=1,ISNUMBER(D1419)),D1419,"")</f>
        <v/>
      </c>
      <c r="H1419" s="29">
        <f>IF(AND(F1419=1,ISNUMBER(E1419)),E1419,"")</f>
        <v/>
      </c>
      <c r="I1419" s="22">
        <f>IF(AND(F1419=1,ISNUMBER(C1419)),C1419,"")</f>
        <v/>
      </c>
      <c r="J1419" s="11">
        <f>IF(G1419="","",100-IF($G$13=1,50,(_xlfn.RANK.AVG(G1419,$G$19:$G$1518,1)-1)/($G$13-1)*100))</f>
        <v/>
      </c>
      <c r="K1419" s="11">
        <f>IF(H1419="","",100-IF($G$14=1,50,(_xlfn.RANK.AVG(H1419,$H$19:$H$1518,1)-1)/($G$14-1)*100))</f>
        <v/>
      </c>
      <c r="L1419" s="11">
        <f>IF(I1419="","",IF($G$15=1,50,(_xlfn.RANK.AVG(I1419,$I$19:$I$1518,1)-1)/($G$15-1)*100))</f>
        <v/>
      </c>
      <c r="M1419" s="11">
        <f>IF(COUNT(J1419:L1419)=3,ROUND(AVERAGE(J1419:L1419),6),"")</f>
        <v/>
      </c>
      <c r="O1419">
        <f>IF(AND(ISNUMBER('자료_미국심리'!$A1403),ISNUMBER('자료_미국심리'!$B1403)),'자료_미국심리'!$A1403,"")</f>
        <v/>
      </c>
      <c r="P1419">
        <f>IF(AND(ISNUMBER('자료_미국심리'!$D1403),ISNUMBER('자료_미국심리'!$E1403)),'자료_미국심리'!$D1403,"")</f>
        <v/>
      </c>
      <c r="Q1419">
        <f>IF(AND(ISNUMBER('자료_미국심리'!$G1403),ISNUMBER('자료_미국심리'!$H1403)),'자료_미국심리'!$G1403,"")</f>
        <v/>
      </c>
    </row>
    <row r="1420">
      <c r="A1420" s="10">
        <f>IF(1402&gt;$E$5,"",SMALL($O$19:$O$4018,$E$6+1402))</f>
        <v/>
      </c>
      <c r="B1420" s="29">
        <f>IF(A1420="","",INDEX('자료_미국심리'!$B$3:$B$4002,MATCH(A1420,$O$19:$O$4018,0)))</f>
        <v/>
      </c>
      <c r="C1420" s="22">
        <f>IF(A1420="","",B1420/AVERAGE(B1296:B1420)-1)</f>
        <v/>
      </c>
      <c r="D1420" s="29">
        <f>IF(A1420="","",IFERROR(INDEX('자료_미국심리'!$E$3:$E$4002,MATCH(A1420,$P$19:$P$4018,0)),D1419))</f>
        <v/>
      </c>
      <c r="E1420" s="29">
        <f>IF(A1420="","",IFERROR(INDEX('자료_미국심리'!$H$3:$H$4002,MATCH(A1420,$Q$19:$Q$4018,0)),E1419))</f>
        <v/>
      </c>
      <c r="F1420">
        <f>IF(A1420="",0,IF(A1420&gt;$B$5,1,0))</f>
        <v/>
      </c>
      <c r="G1420" s="29">
        <f>IF(AND(F1420=1,ISNUMBER(D1420)),D1420,"")</f>
        <v/>
      </c>
      <c r="H1420" s="29">
        <f>IF(AND(F1420=1,ISNUMBER(E1420)),E1420,"")</f>
        <v/>
      </c>
      <c r="I1420" s="22">
        <f>IF(AND(F1420=1,ISNUMBER(C1420)),C1420,"")</f>
        <v/>
      </c>
      <c r="J1420" s="11">
        <f>IF(G1420="","",100-IF($G$13=1,50,(_xlfn.RANK.AVG(G1420,$G$19:$G$1518,1)-1)/($G$13-1)*100))</f>
        <v/>
      </c>
      <c r="K1420" s="11">
        <f>IF(H1420="","",100-IF($G$14=1,50,(_xlfn.RANK.AVG(H1420,$H$19:$H$1518,1)-1)/($G$14-1)*100))</f>
        <v/>
      </c>
      <c r="L1420" s="11">
        <f>IF(I1420="","",IF($G$15=1,50,(_xlfn.RANK.AVG(I1420,$I$19:$I$1518,1)-1)/($G$15-1)*100))</f>
        <v/>
      </c>
      <c r="M1420" s="11">
        <f>IF(COUNT(J1420:L1420)=3,ROUND(AVERAGE(J1420:L1420),6),"")</f>
        <v/>
      </c>
      <c r="O1420">
        <f>IF(AND(ISNUMBER('자료_미국심리'!$A1404),ISNUMBER('자료_미국심리'!$B1404)),'자료_미국심리'!$A1404,"")</f>
        <v/>
      </c>
      <c r="P1420">
        <f>IF(AND(ISNUMBER('자료_미국심리'!$D1404),ISNUMBER('자료_미국심리'!$E1404)),'자료_미국심리'!$D1404,"")</f>
        <v/>
      </c>
      <c r="Q1420">
        <f>IF(AND(ISNUMBER('자료_미국심리'!$G1404),ISNUMBER('자료_미국심리'!$H1404)),'자료_미국심리'!$G1404,"")</f>
        <v/>
      </c>
    </row>
    <row r="1421">
      <c r="A1421" s="10">
        <f>IF(1403&gt;$E$5,"",SMALL($O$19:$O$4018,$E$6+1403))</f>
        <v/>
      </c>
      <c r="B1421" s="29">
        <f>IF(A1421="","",INDEX('자료_미국심리'!$B$3:$B$4002,MATCH(A1421,$O$19:$O$4018,0)))</f>
        <v/>
      </c>
      <c r="C1421" s="22">
        <f>IF(A1421="","",B1421/AVERAGE(B1297:B1421)-1)</f>
        <v/>
      </c>
      <c r="D1421" s="29">
        <f>IF(A1421="","",IFERROR(INDEX('자료_미국심리'!$E$3:$E$4002,MATCH(A1421,$P$19:$P$4018,0)),D1420))</f>
        <v/>
      </c>
      <c r="E1421" s="29">
        <f>IF(A1421="","",IFERROR(INDEX('자료_미국심리'!$H$3:$H$4002,MATCH(A1421,$Q$19:$Q$4018,0)),E1420))</f>
        <v/>
      </c>
      <c r="F1421">
        <f>IF(A1421="",0,IF(A1421&gt;$B$5,1,0))</f>
        <v/>
      </c>
      <c r="G1421" s="29">
        <f>IF(AND(F1421=1,ISNUMBER(D1421)),D1421,"")</f>
        <v/>
      </c>
      <c r="H1421" s="29">
        <f>IF(AND(F1421=1,ISNUMBER(E1421)),E1421,"")</f>
        <v/>
      </c>
      <c r="I1421" s="22">
        <f>IF(AND(F1421=1,ISNUMBER(C1421)),C1421,"")</f>
        <v/>
      </c>
      <c r="J1421" s="11">
        <f>IF(G1421="","",100-IF($G$13=1,50,(_xlfn.RANK.AVG(G1421,$G$19:$G$1518,1)-1)/($G$13-1)*100))</f>
        <v/>
      </c>
      <c r="K1421" s="11">
        <f>IF(H1421="","",100-IF($G$14=1,50,(_xlfn.RANK.AVG(H1421,$H$19:$H$1518,1)-1)/($G$14-1)*100))</f>
        <v/>
      </c>
      <c r="L1421" s="11">
        <f>IF(I1421="","",IF($G$15=1,50,(_xlfn.RANK.AVG(I1421,$I$19:$I$1518,1)-1)/($G$15-1)*100))</f>
        <v/>
      </c>
      <c r="M1421" s="11">
        <f>IF(COUNT(J1421:L1421)=3,ROUND(AVERAGE(J1421:L1421),6),"")</f>
        <v/>
      </c>
      <c r="O1421">
        <f>IF(AND(ISNUMBER('자료_미국심리'!$A1405),ISNUMBER('자료_미국심리'!$B1405)),'자료_미국심리'!$A1405,"")</f>
        <v/>
      </c>
      <c r="P1421">
        <f>IF(AND(ISNUMBER('자료_미국심리'!$D1405),ISNUMBER('자료_미국심리'!$E1405)),'자료_미국심리'!$D1405,"")</f>
        <v/>
      </c>
      <c r="Q1421">
        <f>IF(AND(ISNUMBER('자료_미국심리'!$G1405),ISNUMBER('자료_미국심리'!$H1405)),'자료_미국심리'!$G1405,"")</f>
        <v/>
      </c>
    </row>
    <row r="1422">
      <c r="A1422" s="10">
        <f>IF(1404&gt;$E$5,"",SMALL($O$19:$O$4018,$E$6+1404))</f>
        <v/>
      </c>
      <c r="B1422" s="29">
        <f>IF(A1422="","",INDEX('자료_미국심리'!$B$3:$B$4002,MATCH(A1422,$O$19:$O$4018,0)))</f>
        <v/>
      </c>
      <c r="C1422" s="22">
        <f>IF(A1422="","",B1422/AVERAGE(B1298:B1422)-1)</f>
        <v/>
      </c>
      <c r="D1422" s="29">
        <f>IF(A1422="","",IFERROR(INDEX('자료_미국심리'!$E$3:$E$4002,MATCH(A1422,$P$19:$P$4018,0)),D1421))</f>
        <v/>
      </c>
      <c r="E1422" s="29">
        <f>IF(A1422="","",IFERROR(INDEX('자료_미국심리'!$H$3:$H$4002,MATCH(A1422,$Q$19:$Q$4018,0)),E1421))</f>
        <v/>
      </c>
      <c r="F1422">
        <f>IF(A1422="",0,IF(A1422&gt;$B$5,1,0))</f>
        <v/>
      </c>
      <c r="G1422" s="29">
        <f>IF(AND(F1422=1,ISNUMBER(D1422)),D1422,"")</f>
        <v/>
      </c>
      <c r="H1422" s="29">
        <f>IF(AND(F1422=1,ISNUMBER(E1422)),E1422,"")</f>
        <v/>
      </c>
      <c r="I1422" s="22">
        <f>IF(AND(F1422=1,ISNUMBER(C1422)),C1422,"")</f>
        <v/>
      </c>
      <c r="J1422" s="11">
        <f>IF(G1422="","",100-IF($G$13=1,50,(_xlfn.RANK.AVG(G1422,$G$19:$G$1518,1)-1)/($G$13-1)*100))</f>
        <v/>
      </c>
      <c r="K1422" s="11">
        <f>IF(H1422="","",100-IF($G$14=1,50,(_xlfn.RANK.AVG(H1422,$H$19:$H$1518,1)-1)/($G$14-1)*100))</f>
        <v/>
      </c>
      <c r="L1422" s="11">
        <f>IF(I1422="","",IF($G$15=1,50,(_xlfn.RANK.AVG(I1422,$I$19:$I$1518,1)-1)/($G$15-1)*100))</f>
        <v/>
      </c>
      <c r="M1422" s="11">
        <f>IF(COUNT(J1422:L1422)=3,ROUND(AVERAGE(J1422:L1422),6),"")</f>
        <v/>
      </c>
      <c r="O1422">
        <f>IF(AND(ISNUMBER('자료_미국심리'!$A1406),ISNUMBER('자료_미국심리'!$B1406)),'자료_미국심리'!$A1406,"")</f>
        <v/>
      </c>
      <c r="P1422">
        <f>IF(AND(ISNUMBER('자료_미국심리'!$D1406),ISNUMBER('자료_미국심리'!$E1406)),'자료_미국심리'!$D1406,"")</f>
        <v/>
      </c>
      <c r="Q1422">
        <f>IF(AND(ISNUMBER('자료_미국심리'!$G1406),ISNUMBER('자료_미국심리'!$H1406)),'자료_미국심리'!$G1406,"")</f>
        <v/>
      </c>
    </row>
    <row r="1423">
      <c r="A1423" s="10">
        <f>IF(1405&gt;$E$5,"",SMALL($O$19:$O$4018,$E$6+1405))</f>
        <v/>
      </c>
      <c r="B1423" s="29">
        <f>IF(A1423="","",INDEX('자료_미국심리'!$B$3:$B$4002,MATCH(A1423,$O$19:$O$4018,0)))</f>
        <v/>
      </c>
      <c r="C1423" s="22">
        <f>IF(A1423="","",B1423/AVERAGE(B1299:B1423)-1)</f>
        <v/>
      </c>
      <c r="D1423" s="29">
        <f>IF(A1423="","",IFERROR(INDEX('자료_미국심리'!$E$3:$E$4002,MATCH(A1423,$P$19:$P$4018,0)),D1422))</f>
        <v/>
      </c>
      <c r="E1423" s="29">
        <f>IF(A1423="","",IFERROR(INDEX('자료_미국심리'!$H$3:$H$4002,MATCH(A1423,$Q$19:$Q$4018,0)),E1422))</f>
        <v/>
      </c>
      <c r="F1423">
        <f>IF(A1423="",0,IF(A1423&gt;$B$5,1,0))</f>
        <v/>
      </c>
      <c r="G1423" s="29">
        <f>IF(AND(F1423=1,ISNUMBER(D1423)),D1423,"")</f>
        <v/>
      </c>
      <c r="H1423" s="29">
        <f>IF(AND(F1423=1,ISNUMBER(E1423)),E1423,"")</f>
        <v/>
      </c>
      <c r="I1423" s="22">
        <f>IF(AND(F1423=1,ISNUMBER(C1423)),C1423,"")</f>
        <v/>
      </c>
      <c r="J1423" s="11">
        <f>IF(G1423="","",100-IF($G$13=1,50,(_xlfn.RANK.AVG(G1423,$G$19:$G$1518,1)-1)/($G$13-1)*100))</f>
        <v/>
      </c>
      <c r="K1423" s="11">
        <f>IF(H1423="","",100-IF($G$14=1,50,(_xlfn.RANK.AVG(H1423,$H$19:$H$1518,1)-1)/($G$14-1)*100))</f>
        <v/>
      </c>
      <c r="L1423" s="11">
        <f>IF(I1423="","",IF($G$15=1,50,(_xlfn.RANK.AVG(I1423,$I$19:$I$1518,1)-1)/($G$15-1)*100))</f>
        <v/>
      </c>
      <c r="M1423" s="11">
        <f>IF(COUNT(J1423:L1423)=3,ROUND(AVERAGE(J1423:L1423),6),"")</f>
        <v/>
      </c>
      <c r="O1423">
        <f>IF(AND(ISNUMBER('자료_미국심리'!$A1407),ISNUMBER('자료_미국심리'!$B1407)),'자료_미국심리'!$A1407,"")</f>
        <v/>
      </c>
      <c r="P1423">
        <f>IF(AND(ISNUMBER('자료_미국심리'!$D1407),ISNUMBER('자료_미국심리'!$E1407)),'자료_미국심리'!$D1407,"")</f>
        <v/>
      </c>
      <c r="Q1423">
        <f>IF(AND(ISNUMBER('자료_미국심리'!$G1407),ISNUMBER('자료_미국심리'!$H1407)),'자료_미국심리'!$G1407,"")</f>
        <v/>
      </c>
    </row>
    <row r="1424">
      <c r="A1424" s="10">
        <f>IF(1406&gt;$E$5,"",SMALL($O$19:$O$4018,$E$6+1406))</f>
        <v/>
      </c>
      <c r="B1424" s="29">
        <f>IF(A1424="","",INDEX('자료_미국심리'!$B$3:$B$4002,MATCH(A1424,$O$19:$O$4018,0)))</f>
        <v/>
      </c>
      <c r="C1424" s="22">
        <f>IF(A1424="","",B1424/AVERAGE(B1300:B1424)-1)</f>
        <v/>
      </c>
      <c r="D1424" s="29">
        <f>IF(A1424="","",IFERROR(INDEX('자료_미국심리'!$E$3:$E$4002,MATCH(A1424,$P$19:$P$4018,0)),D1423))</f>
        <v/>
      </c>
      <c r="E1424" s="29">
        <f>IF(A1424="","",IFERROR(INDEX('자료_미국심리'!$H$3:$H$4002,MATCH(A1424,$Q$19:$Q$4018,0)),E1423))</f>
        <v/>
      </c>
      <c r="F1424">
        <f>IF(A1424="",0,IF(A1424&gt;$B$5,1,0))</f>
        <v/>
      </c>
      <c r="G1424" s="29">
        <f>IF(AND(F1424=1,ISNUMBER(D1424)),D1424,"")</f>
        <v/>
      </c>
      <c r="H1424" s="29">
        <f>IF(AND(F1424=1,ISNUMBER(E1424)),E1424,"")</f>
        <v/>
      </c>
      <c r="I1424" s="22">
        <f>IF(AND(F1424=1,ISNUMBER(C1424)),C1424,"")</f>
        <v/>
      </c>
      <c r="J1424" s="11">
        <f>IF(G1424="","",100-IF($G$13=1,50,(_xlfn.RANK.AVG(G1424,$G$19:$G$1518,1)-1)/($G$13-1)*100))</f>
        <v/>
      </c>
      <c r="K1424" s="11">
        <f>IF(H1424="","",100-IF($G$14=1,50,(_xlfn.RANK.AVG(H1424,$H$19:$H$1518,1)-1)/($G$14-1)*100))</f>
        <v/>
      </c>
      <c r="L1424" s="11">
        <f>IF(I1424="","",IF($G$15=1,50,(_xlfn.RANK.AVG(I1424,$I$19:$I$1518,1)-1)/($G$15-1)*100))</f>
        <v/>
      </c>
      <c r="M1424" s="11">
        <f>IF(COUNT(J1424:L1424)=3,ROUND(AVERAGE(J1424:L1424),6),"")</f>
        <v/>
      </c>
      <c r="O1424">
        <f>IF(AND(ISNUMBER('자료_미국심리'!$A1408),ISNUMBER('자료_미국심리'!$B1408)),'자료_미국심리'!$A1408,"")</f>
        <v/>
      </c>
      <c r="P1424">
        <f>IF(AND(ISNUMBER('자료_미국심리'!$D1408),ISNUMBER('자료_미국심리'!$E1408)),'자료_미국심리'!$D1408,"")</f>
        <v/>
      </c>
      <c r="Q1424">
        <f>IF(AND(ISNUMBER('자료_미국심리'!$G1408),ISNUMBER('자료_미국심리'!$H1408)),'자료_미국심리'!$G1408,"")</f>
        <v/>
      </c>
    </row>
    <row r="1425">
      <c r="A1425" s="10">
        <f>IF(1407&gt;$E$5,"",SMALL($O$19:$O$4018,$E$6+1407))</f>
        <v/>
      </c>
      <c r="B1425" s="29">
        <f>IF(A1425="","",INDEX('자료_미국심리'!$B$3:$B$4002,MATCH(A1425,$O$19:$O$4018,0)))</f>
        <v/>
      </c>
      <c r="C1425" s="22">
        <f>IF(A1425="","",B1425/AVERAGE(B1301:B1425)-1)</f>
        <v/>
      </c>
      <c r="D1425" s="29">
        <f>IF(A1425="","",IFERROR(INDEX('자료_미국심리'!$E$3:$E$4002,MATCH(A1425,$P$19:$P$4018,0)),D1424))</f>
        <v/>
      </c>
      <c r="E1425" s="29">
        <f>IF(A1425="","",IFERROR(INDEX('자료_미국심리'!$H$3:$H$4002,MATCH(A1425,$Q$19:$Q$4018,0)),E1424))</f>
        <v/>
      </c>
      <c r="F1425">
        <f>IF(A1425="",0,IF(A1425&gt;$B$5,1,0))</f>
        <v/>
      </c>
      <c r="G1425" s="29">
        <f>IF(AND(F1425=1,ISNUMBER(D1425)),D1425,"")</f>
        <v/>
      </c>
      <c r="H1425" s="29">
        <f>IF(AND(F1425=1,ISNUMBER(E1425)),E1425,"")</f>
        <v/>
      </c>
      <c r="I1425" s="22">
        <f>IF(AND(F1425=1,ISNUMBER(C1425)),C1425,"")</f>
        <v/>
      </c>
      <c r="J1425" s="11">
        <f>IF(G1425="","",100-IF($G$13=1,50,(_xlfn.RANK.AVG(G1425,$G$19:$G$1518,1)-1)/($G$13-1)*100))</f>
        <v/>
      </c>
      <c r="K1425" s="11">
        <f>IF(H1425="","",100-IF($G$14=1,50,(_xlfn.RANK.AVG(H1425,$H$19:$H$1518,1)-1)/($G$14-1)*100))</f>
        <v/>
      </c>
      <c r="L1425" s="11">
        <f>IF(I1425="","",IF($G$15=1,50,(_xlfn.RANK.AVG(I1425,$I$19:$I$1518,1)-1)/($G$15-1)*100))</f>
        <v/>
      </c>
      <c r="M1425" s="11">
        <f>IF(COUNT(J1425:L1425)=3,ROUND(AVERAGE(J1425:L1425),6),"")</f>
        <v/>
      </c>
      <c r="O1425">
        <f>IF(AND(ISNUMBER('자료_미국심리'!$A1409),ISNUMBER('자료_미국심리'!$B1409)),'자료_미국심리'!$A1409,"")</f>
        <v/>
      </c>
      <c r="P1425">
        <f>IF(AND(ISNUMBER('자료_미국심리'!$D1409),ISNUMBER('자료_미국심리'!$E1409)),'자료_미국심리'!$D1409,"")</f>
        <v/>
      </c>
      <c r="Q1425">
        <f>IF(AND(ISNUMBER('자료_미국심리'!$G1409),ISNUMBER('자료_미국심리'!$H1409)),'자료_미국심리'!$G1409,"")</f>
        <v/>
      </c>
    </row>
    <row r="1426">
      <c r="A1426" s="10">
        <f>IF(1408&gt;$E$5,"",SMALL($O$19:$O$4018,$E$6+1408))</f>
        <v/>
      </c>
      <c r="B1426" s="29">
        <f>IF(A1426="","",INDEX('자료_미국심리'!$B$3:$B$4002,MATCH(A1426,$O$19:$O$4018,0)))</f>
        <v/>
      </c>
      <c r="C1426" s="22">
        <f>IF(A1426="","",B1426/AVERAGE(B1302:B1426)-1)</f>
        <v/>
      </c>
      <c r="D1426" s="29">
        <f>IF(A1426="","",IFERROR(INDEX('자료_미국심리'!$E$3:$E$4002,MATCH(A1426,$P$19:$P$4018,0)),D1425))</f>
        <v/>
      </c>
      <c r="E1426" s="29">
        <f>IF(A1426="","",IFERROR(INDEX('자료_미국심리'!$H$3:$H$4002,MATCH(A1426,$Q$19:$Q$4018,0)),E1425))</f>
        <v/>
      </c>
      <c r="F1426">
        <f>IF(A1426="",0,IF(A1426&gt;$B$5,1,0))</f>
        <v/>
      </c>
      <c r="G1426" s="29">
        <f>IF(AND(F1426=1,ISNUMBER(D1426)),D1426,"")</f>
        <v/>
      </c>
      <c r="H1426" s="29">
        <f>IF(AND(F1426=1,ISNUMBER(E1426)),E1426,"")</f>
        <v/>
      </c>
      <c r="I1426" s="22">
        <f>IF(AND(F1426=1,ISNUMBER(C1426)),C1426,"")</f>
        <v/>
      </c>
      <c r="J1426" s="11">
        <f>IF(G1426="","",100-IF($G$13=1,50,(_xlfn.RANK.AVG(G1426,$G$19:$G$1518,1)-1)/($G$13-1)*100))</f>
        <v/>
      </c>
      <c r="K1426" s="11">
        <f>IF(H1426="","",100-IF($G$14=1,50,(_xlfn.RANK.AVG(H1426,$H$19:$H$1518,1)-1)/($G$14-1)*100))</f>
        <v/>
      </c>
      <c r="L1426" s="11">
        <f>IF(I1426="","",IF($G$15=1,50,(_xlfn.RANK.AVG(I1426,$I$19:$I$1518,1)-1)/($G$15-1)*100))</f>
        <v/>
      </c>
      <c r="M1426" s="11">
        <f>IF(COUNT(J1426:L1426)=3,ROUND(AVERAGE(J1426:L1426),6),"")</f>
        <v/>
      </c>
      <c r="O1426">
        <f>IF(AND(ISNUMBER('자료_미국심리'!$A1410),ISNUMBER('자료_미국심리'!$B1410)),'자료_미국심리'!$A1410,"")</f>
        <v/>
      </c>
      <c r="P1426">
        <f>IF(AND(ISNUMBER('자료_미국심리'!$D1410),ISNUMBER('자료_미국심리'!$E1410)),'자료_미국심리'!$D1410,"")</f>
        <v/>
      </c>
      <c r="Q1426">
        <f>IF(AND(ISNUMBER('자료_미국심리'!$G1410),ISNUMBER('자료_미국심리'!$H1410)),'자료_미국심리'!$G1410,"")</f>
        <v/>
      </c>
    </row>
    <row r="1427">
      <c r="A1427" s="10">
        <f>IF(1409&gt;$E$5,"",SMALL($O$19:$O$4018,$E$6+1409))</f>
        <v/>
      </c>
      <c r="B1427" s="29">
        <f>IF(A1427="","",INDEX('자료_미국심리'!$B$3:$B$4002,MATCH(A1427,$O$19:$O$4018,0)))</f>
        <v/>
      </c>
      <c r="C1427" s="22">
        <f>IF(A1427="","",B1427/AVERAGE(B1303:B1427)-1)</f>
        <v/>
      </c>
      <c r="D1427" s="29">
        <f>IF(A1427="","",IFERROR(INDEX('자료_미국심리'!$E$3:$E$4002,MATCH(A1427,$P$19:$P$4018,0)),D1426))</f>
        <v/>
      </c>
      <c r="E1427" s="29">
        <f>IF(A1427="","",IFERROR(INDEX('자료_미국심리'!$H$3:$H$4002,MATCH(A1427,$Q$19:$Q$4018,0)),E1426))</f>
        <v/>
      </c>
      <c r="F1427">
        <f>IF(A1427="",0,IF(A1427&gt;$B$5,1,0))</f>
        <v/>
      </c>
      <c r="G1427" s="29">
        <f>IF(AND(F1427=1,ISNUMBER(D1427)),D1427,"")</f>
        <v/>
      </c>
      <c r="H1427" s="29">
        <f>IF(AND(F1427=1,ISNUMBER(E1427)),E1427,"")</f>
        <v/>
      </c>
      <c r="I1427" s="22">
        <f>IF(AND(F1427=1,ISNUMBER(C1427)),C1427,"")</f>
        <v/>
      </c>
      <c r="J1427" s="11">
        <f>IF(G1427="","",100-IF($G$13=1,50,(_xlfn.RANK.AVG(G1427,$G$19:$G$1518,1)-1)/($G$13-1)*100))</f>
        <v/>
      </c>
      <c r="K1427" s="11">
        <f>IF(H1427="","",100-IF($G$14=1,50,(_xlfn.RANK.AVG(H1427,$H$19:$H$1518,1)-1)/($G$14-1)*100))</f>
        <v/>
      </c>
      <c r="L1427" s="11">
        <f>IF(I1427="","",IF($G$15=1,50,(_xlfn.RANK.AVG(I1427,$I$19:$I$1518,1)-1)/($G$15-1)*100))</f>
        <v/>
      </c>
      <c r="M1427" s="11">
        <f>IF(COUNT(J1427:L1427)=3,ROUND(AVERAGE(J1427:L1427),6),"")</f>
        <v/>
      </c>
      <c r="O1427">
        <f>IF(AND(ISNUMBER('자료_미국심리'!$A1411),ISNUMBER('자료_미국심리'!$B1411)),'자료_미국심리'!$A1411,"")</f>
        <v/>
      </c>
      <c r="P1427">
        <f>IF(AND(ISNUMBER('자료_미국심리'!$D1411),ISNUMBER('자료_미국심리'!$E1411)),'자료_미국심리'!$D1411,"")</f>
        <v/>
      </c>
      <c r="Q1427">
        <f>IF(AND(ISNUMBER('자료_미국심리'!$G1411),ISNUMBER('자료_미국심리'!$H1411)),'자료_미국심리'!$G1411,"")</f>
        <v/>
      </c>
    </row>
    <row r="1428">
      <c r="A1428" s="10">
        <f>IF(1410&gt;$E$5,"",SMALL($O$19:$O$4018,$E$6+1410))</f>
        <v/>
      </c>
      <c r="B1428" s="29">
        <f>IF(A1428="","",INDEX('자료_미국심리'!$B$3:$B$4002,MATCH(A1428,$O$19:$O$4018,0)))</f>
        <v/>
      </c>
      <c r="C1428" s="22">
        <f>IF(A1428="","",B1428/AVERAGE(B1304:B1428)-1)</f>
        <v/>
      </c>
      <c r="D1428" s="29">
        <f>IF(A1428="","",IFERROR(INDEX('자료_미국심리'!$E$3:$E$4002,MATCH(A1428,$P$19:$P$4018,0)),D1427))</f>
        <v/>
      </c>
      <c r="E1428" s="29">
        <f>IF(A1428="","",IFERROR(INDEX('자료_미국심리'!$H$3:$H$4002,MATCH(A1428,$Q$19:$Q$4018,0)),E1427))</f>
        <v/>
      </c>
      <c r="F1428">
        <f>IF(A1428="",0,IF(A1428&gt;$B$5,1,0))</f>
        <v/>
      </c>
      <c r="G1428" s="29">
        <f>IF(AND(F1428=1,ISNUMBER(D1428)),D1428,"")</f>
        <v/>
      </c>
      <c r="H1428" s="29">
        <f>IF(AND(F1428=1,ISNUMBER(E1428)),E1428,"")</f>
        <v/>
      </c>
      <c r="I1428" s="22">
        <f>IF(AND(F1428=1,ISNUMBER(C1428)),C1428,"")</f>
        <v/>
      </c>
      <c r="J1428" s="11">
        <f>IF(G1428="","",100-IF($G$13=1,50,(_xlfn.RANK.AVG(G1428,$G$19:$G$1518,1)-1)/($G$13-1)*100))</f>
        <v/>
      </c>
      <c r="K1428" s="11">
        <f>IF(H1428="","",100-IF($G$14=1,50,(_xlfn.RANK.AVG(H1428,$H$19:$H$1518,1)-1)/($G$14-1)*100))</f>
        <v/>
      </c>
      <c r="L1428" s="11">
        <f>IF(I1428="","",IF($G$15=1,50,(_xlfn.RANK.AVG(I1428,$I$19:$I$1518,1)-1)/($G$15-1)*100))</f>
        <v/>
      </c>
      <c r="M1428" s="11">
        <f>IF(COUNT(J1428:L1428)=3,ROUND(AVERAGE(J1428:L1428),6),"")</f>
        <v/>
      </c>
      <c r="O1428">
        <f>IF(AND(ISNUMBER('자료_미국심리'!$A1412),ISNUMBER('자료_미국심리'!$B1412)),'자료_미국심리'!$A1412,"")</f>
        <v/>
      </c>
      <c r="P1428">
        <f>IF(AND(ISNUMBER('자료_미국심리'!$D1412),ISNUMBER('자료_미국심리'!$E1412)),'자료_미국심리'!$D1412,"")</f>
        <v/>
      </c>
      <c r="Q1428">
        <f>IF(AND(ISNUMBER('자료_미국심리'!$G1412),ISNUMBER('자료_미국심리'!$H1412)),'자료_미국심리'!$G1412,"")</f>
        <v/>
      </c>
    </row>
    <row r="1429">
      <c r="A1429" s="10">
        <f>IF(1411&gt;$E$5,"",SMALL($O$19:$O$4018,$E$6+1411))</f>
        <v/>
      </c>
      <c r="B1429" s="29">
        <f>IF(A1429="","",INDEX('자료_미국심리'!$B$3:$B$4002,MATCH(A1429,$O$19:$O$4018,0)))</f>
        <v/>
      </c>
      <c r="C1429" s="22">
        <f>IF(A1429="","",B1429/AVERAGE(B1305:B1429)-1)</f>
        <v/>
      </c>
      <c r="D1429" s="29">
        <f>IF(A1429="","",IFERROR(INDEX('자료_미국심리'!$E$3:$E$4002,MATCH(A1429,$P$19:$P$4018,0)),D1428))</f>
        <v/>
      </c>
      <c r="E1429" s="29">
        <f>IF(A1429="","",IFERROR(INDEX('자료_미국심리'!$H$3:$H$4002,MATCH(A1429,$Q$19:$Q$4018,0)),E1428))</f>
        <v/>
      </c>
      <c r="F1429">
        <f>IF(A1429="",0,IF(A1429&gt;$B$5,1,0))</f>
        <v/>
      </c>
      <c r="G1429" s="29">
        <f>IF(AND(F1429=1,ISNUMBER(D1429)),D1429,"")</f>
        <v/>
      </c>
      <c r="H1429" s="29">
        <f>IF(AND(F1429=1,ISNUMBER(E1429)),E1429,"")</f>
        <v/>
      </c>
      <c r="I1429" s="22">
        <f>IF(AND(F1429=1,ISNUMBER(C1429)),C1429,"")</f>
        <v/>
      </c>
      <c r="J1429" s="11">
        <f>IF(G1429="","",100-IF($G$13=1,50,(_xlfn.RANK.AVG(G1429,$G$19:$G$1518,1)-1)/($G$13-1)*100))</f>
        <v/>
      </c>
      <c r="K1429" s="11">
        <f>IF(H1429="","",100-IF($G$14=1,50,(_xlfn.RANK.AVG(H1429,$H$19:$H$1518,1)-1)/($G$14-1)*100))</f>
        <v/>
      </c>
      <c r="L1429" s="11">
        <f>IF(I1429="","",IF($G$15=1,50,(_xlfn.RANK.AVG(I1429,$I$19:$I$1518,1)-1)/($G$15-1)*100))</f>
        <v/>
      </c>
      <c r="M1429" s="11">
        <f>IF(COUNT(J1429:L1429)=3,ROUND(AVERAGE(J1429:L1429),6),"")</f>
        <v/>
      </c>
      <c r="O1429">
        <f>IF(AND(ISNUMBER('자료_미국심리'!$A1413),ISNUMBER('자료_미국심리'!$B1413)),'자료_미국심리'!$A1413,"")</f>
        <v/>
      </c>
      <c r="P1429">
        <f>IF(AND(ISNUMBER('자료_미국심리'!$D1413),ISNUMBER('자료_미국심리'!$E1413)),'자료_미국심리'!$D1413,"")</f>
        <v/>
      </c>
      <c r="Q1429">
        <f>IF(AND(ISNUMBER('자료_미국심리'!$G1413),ISNUMBER('자료_미국심리'!$H1413)),'자료_미국심리'!$G1413,"")</f>
        <v/>
      </c>
    </row>
    <row r="1430">
      <c r="A1430" s="10">
        <f>IF(1412&gt;$E$5,"",SMALL($O$19:$O$4018,$E$6+1412))</f>
        <v/>
      </c>
      <c r="B1430" s="29">
        <f>IF(A1430="","",INDEX('자료_미국심리'!$B$3:$B$4002,MATCH(A1430,$O$19:$O$4018,0)))</f>
        <v/>
      </c>
      <c r="C1430" s="22">
        <f>IF(A1430="","",B1430/AVERAGE(B1306:B1430)-1)</f>
        <v/>
      </c>
      <c r="D1430" s="29">
        <f>IF(A1430="","",IFERROR(INDEX('자료_미국심리'!$E$3:$E$4002,MATCH(A1430,$P$19:$P$4018,0)),D1429))</f>
        <v/>
      </c>
      <c r="E1430" s="29">
        <f>IF(A1430="","",IFERROR(INDEX('자료_미국심리'!$H$3:$H$4002,MATCH(A1430,$Q$19:$Q$4018,0)),E1429))</f>
        <v/>
      </c>
      <c r="F1430">
        <f>IF(A1430="",0,IF(A1430&gt;$B$5,1,0))</f>
        <v/>
      </c>
      <c r="G1430" s="29">
        <f>IF(AND(F1430=1,ISNUMBER(D1430)),D1430,"")</f>
        <v/>
      </c>
      <c r="H1430" s="29">
        <f>IF(AND(F1430=1,ISNUMBER(E1430)),E1430,"")</f>
        <v/>
      </c>
      <c r="I1430" s="22">
        <f>IF(AND(F1430=1,ISNUMBER(C1430)),C1430,"")</f>
        <v/>
      </c>
      <c r="J1430" s="11">
        <f>IF(G1430="","",100-IF($G$13=1,50,(_xlfn.RANK.AVG(G1430,$G$19:$G$1518,1)-1)/($G$13-1)*100))</f>
        <v/>
      </c>
      <c r="K1430" s="11">
        <f>IF(H1430="","",100-IF($G$14=1,50,(_xlfn.RANK.AVG(H1430,$H$19:$H$1518,1)-1)/($G$14-1)*100))</f>
        <v/>
      </c>
      <c r="L1430" s="11">
        <f>IF(I1430="","",IF($G$15=1,50,(_xlfn.RANK.AVG(I1430,$I$19:$I$1518,1)-1)/($G$15-1)*100))</f>
        <v/>
      </c>
      <c r="M1430" s="11">
        <f>IF(COUNT(J1430:L1430)=3,ROUND(AVERAGE(J1430:L1430),6),"")</f>
        <v/>
      </c>
      <c r="O1430">
        <f>IF(AND(ISNUMBER('자료_미국심리'!$A1414),ISNUMBER('자료_미국심리'!$B1414)),'자료_미국심리'!$A1414,"")</f>
        <v/>
      </c>
      <c r="P1430">
        <f>IF(AND(ISNUMBER('자료_미국심리'!$D1414),ISNUMBER('자료_미국심리'!$E1414)),'자료_미국심리'!$D1414,"")</f>
        <v/>
      </c>
      <c r="Q1430">
        <f>IF(AND(ISNUMBER('자료_미국심리'!$G1414),ISNUMBER('자료_미국심리'!$H1414)),'자료_미국심리'!$G1414,"")</f>
        <v/>
      </c>
    </row>
    <row r="1431">
      <c r="A1431" s="10">
        <f>IF(1413&gt;$E$5,"",SMALL($O$19:$O$4018,$E$6+1413))</f>
        <v/>
      </c>
      <c r="B1431" s="29">
        <f>IF(A1431="","",INDEX('자료_미국심리'!$B$3:$B$4002,MATCH(A1431,$O$19:$O$4018,0)))</f>
        <v/>
      </c>
      <c r="C1431" s="22">
        <f>IF(A1431="","",B1431/AVERAGE(B1307:B1431)-1)</f>
        <v/>
      </c>
      <c r="D1431" s="29">
        <f>IF(A1431="","",IFERROR(INDEX('자료_미국심리'!$E$3:$E$4002,MATCH(A1431,$P$19:$P$4018,0)),D1430))</f>
        <v/>
      </c>
      <c r="E1431" s="29">
        <f>IF(A1431="","",IFERROR(INDEX('자료_미국심리'!$H$3:$H$4002,MATCH(A1431,$Q$19:$Q$4018,0)),E1430))</f>
        <v/>
      </c>
      <c r="F1431">
        <f>IF(A1431="",0,IF(A1431&gt;$B$5,1,0))</f>
        <v/>
      </c>
      <c r="G1431" s="29">
        <f>IF(AND(F1431=1,ISNUMBER(D1431)),D1431,"")</f>
        <v/>
      </c>
      <c r="H1431" s="29">
        <f>IF(AND(F1431=1,ISNUMBER(E1431)),E1431,"")</f>
        <v/>
      </c>
      <c r="I1431" s="22">
        <f>IF(AND(F1431=1,ISNUMBER(C1431)),C1431,"")</f>
        <v/>
      </c>
      <c r="J1431" s="11">
        <f>IF(G1431="","",100-IF($G$13=1,50,(_xlfn.RANK.AVG(G1431,$G$19:$G$1518,1)-1)/($G$13-1)*100))</f>
        <v/>
      </c>
      <c r="K1431" s="11">
        <f>IF(H1431="","",100-IF($G$14=1,50,(_xlfn.RANK.AVG(H1431,$H$19:$H$1518,1)-1)/($G$14-1)*100))</f>
        <v/>
      </c>
      <c r="L1431" s="11">
        <f>IF(I1431="","",IF($G$15=1,50,(_xlfn.RANK.AVG(I1431,$I$19:$I$1518,1)-1)/($G$15-1)*100))</f>
        <v/>
      </c>
      <c r="M1431" s="11">
        <f>IF(COUNT(J1431:L1431)=3,ROUND(AVERAGE(J1431:L1431),6),"")</f>
        <v/>
      </c>
      <c r="O1431">
        <f>IF(AND(ISNUMBER('자료_미국심리'!$A1415),ISNUMBER('자료_미국심리'!$B1415)),'자료_미국심리'!$A1415,"")</f>
        <v/>
      </c>
      <c r="P1431">
        <f>IF(AND(ISNUMBER('자료_미국심리'!$D1415),ISNUMBER('자료_미국심리'!$E1415)),'자료_미국심리'!$D1415,"")</f>
        <v/>
      </c>
      <c r="Q1431">
        <f>IF(AND(ISNUMBER('자료_미국심리'!$G1415),ISNUMBER('자료_미국심리'!$H1415)),'자료_미국심리'!$G1415,"")</f>
        <v/>
      </c>
    </row>
    <row r="1432">
      <c r="A1432" s="10">
        <f>IF(1414&gt;$E$5,"",SMALL($O$19:$O$4018,$E$6+1414))</f>
        <v/>
      </c>
      <c r="B1432" s="29">
        <f>IF(A1432="","",INDEX('자료_미국심리'!$B$3:$B$4002,MATCH(A1432,$O$19:$O$4018,0)))</f>
        <v/>
      </c>
      <c r="C1432" s="22">
        <f>IF(A1432="","",B1432/AVERAGE(B1308:B1432)-1)</f>
        <v/>
      </c>
      <c r="D1432" s="29">
        <f>IF(A1432="","",IFERROR(INDEX('자료_미국심리'!$E$3:$E$4002,MATCH(A1432,$P$19:$P$4018,0)),D1431))</f>
        <v/>
      </c>
      <c r="E1432" s="29">
        <f>IF(A1432="","",IFERROR(INDEX('자료_미국심리'!$H$3:$H$4002,MATCH(A1432,$Q$19:$Q$4018,0)),E1431))</f>
        <v/>
      </c>
      <c r="F1432">
        <f>IF(A1432="",0,IF(A1432&gt;$B$5,1,0))</f>
        <v/>
      </c>
      <c r="G1432" s="29">
        <f>IF(AND(F1432=1,ISNUMBER(D1432)),D1432,"")</f>
        <v/>
      </c>
      <c r="H1432" s="29">
        <f>IF(AND(F1432=1,ISNUMBER(E1432)),E1432,"")</f>
        <v/>
      </c>
      <c r="I1432" s="22">
        <f>IF(AND(F1432=1,ISNUMBER(C1432)),C1432,"")</f>
        <v/>
      </c>
      <c r="J1432" s="11">
        <f>IF(G1432="","",100-IF($G$13=1,50,(_xlfn.RANK.AVG(G1432,$G$19:$G$1518,1)-1)/($G$13-1)*100))</f>
        <v/>
      </c>
      <c r="K1432" s="11">
        <f>IF(H1432="","",100-IF($G$14=1,50,(_xlfn.RANK.AVG(H1432,$H$19:$H$1518,1)-1)/($G$14-1)*100))</f>
        <v/>
      </c>
      <c r="L1432" s="11">
        <f>IF(I1432="","",IF($G$15=1,50,(_xlfn.RANK.AVG(I1432,$I$19:$I$1518,1)-1)/($G$15-1)*100))</f>
        <v/>
      </c>
      <c r="M1432" s="11">
        <f>IF(COUNT(J1432:L1432)=3,ROUND(AVERAGE(J1432:L1432),6),"")</f>
        <v/>
      </c>
      <c r="O1432">
        <f>IF(AND(ISNUMBER('자료_미국심리'!$A1416),ISNUMBER('자료_미국심리'!$B1416)),'자료_미국심리'!$A1416,"")</f>
        <v/>
      </c>
      <c r="P1432">
        <f>IF(AND(ISNUMBER('자료_미국심리'!$D1416),ISNUMBER('자료_미국심리'!$E1416)),'자료_미국심리'!$D1416,"")</f>
        <v/>
      </c>
      <c r="Q1432">
        <f>IF(AND(ISNUMBER('자료_미국심리'!$G1416),ISNUMBER('자료_미국심리'!$H1416)),'자료_미국심리'!$G1416,"")</f>
        <v/>
      </c>
    </row>
    <row r="1433">
      <c r="A1433" s="10">
        <f>IF(1415&gt;$E$5,"",SMALL($O$19:$O$4018,$E$6+1415))</f>
        <v/>
      </c>
      <c r="B1433" s="29">
        <f>IF(A1433="","",INDEX('자료_미국심리'!$B$3:$B$4002,MATCH(A1433,$O$19:$O$4018,0)))</f>
        <v/>
      </c>
      <c r="C1433" s="22">
        <f>IF(A1433="","",B1433/AVERAGE(B1309:B1433)-1)</f>
        <v/>
      </c>
      <c r="D1433" s="29">
        <f>IF(A1433="","",IFERROR(INDEX('자료_미국심리'!$E$3:$E$4002,MATCH(A1433,$P$19:$P$4018,0)),D1432))</f>
        <v/>
      </c>
      <c r="E1433" s="29">
        <f>IF(A1433="","",IFERROR(INDEX('자료_미국심리'!$H$3:$H$4002,MATCH(A1433,$Q$19:$Q$4018,0)),E1432))</f>
        <v/>
      </c>
      <c r="F1433">
        <f>IF(A1433="",0,IF(A1433&gt;$B$5,1,0))</f>
        <v/>
      </c>
      <c r="G1433" s="29">
        <f>IF(AND(F1433=1,ISNUMBER(D1433)),D1433,"")</f>
        <v/>
      </c>
      <c r="H1433" s="29">
        <f>IF(AND(F1433=1,ISNUMBER(E1433)),E1433,"")</f>
        <v/>
      </c>
      <c r="I1433" s="22">
        <f>IF(AND(F1433=1,ISNUMBER(C1433)),C1433,"")</f>
        <v/>
      </c>
      <c r="J1433" s="11">
        <f>IF(G1433="","",100-IF($G$13=1,50,(_xlfn.RANK.AVG(G1433,$G$19:$G$1518,1)-1)/($G$13-1)*100))</f>
        <v/>
      </c>
      <c r="K1433" s="11">
        <f>IF(H1433="","",100-IF($G$14=1,50,(_xlfn.RANK.AVG(H1433,$H$19:$H$1518,1)-1)/($G$14-1)*100))</f>
        <v/>
      </c>
      <c r="L1433" s="11">
        <f>IF(I1433="","",IF($G$15=1,50,(_xlfn.RANK.AVG(I1433,$I$19:$I$1518,1)-1)/($G$15-1)*100))</f>
        <v/>
      </c>
      <c r="M1433" s="11">
        <f>IF(COUNT(J1433:L1433)=3,ROUND(AVERAGE(J1433:L1433),6),"")</f>
        <v/>
      </c>
      <c r="O1433">
        <f>IF(AND(ISNUMBER('자료_미국심리'!$A1417),ISNUMBER('자료_미국심리'!$B1417)),'자료_미국심리'!$A1417,"")</f>
        <v/>
      </c>
      <c r="P1433">
        <f>IF(AND(ISNUMBER('자료_미국심리'!$D1417),ISNUMBER('자료_미국심리'!$E1417)),'자료_미국심리'!$D1417,"")</f>
        <v/>
      </c>
      <c r="Q1433">
        <f>IF(AND(ISNUMBER('자료_미국심리'!$G1417),ISNUMBER('자료_미국심리'!$H1417)),'자료_미국심리'!$G1417,"")</f>
        <v/>
      </c>
    </row>
    <row r="1434">
      <c r="A1434" s="10">
        <f>IF(1416&gt;$E$5,"",SMALL($O$19:$O$4018,$E$6+1416))</f>
        <v/>
      </c>
      <c r="B1434" s="29">
        <f>IF(A1434="","",INDEX('자료_미국심리'!$B$3:$B$4002,MATCH(A1434,$O$19:$O$4018,0)))</f>
        <v/>
      </c>
      <c r="C1434" s="22">
        <f>IF(A1434="","",B1434/AVERAGE(B1310:B1434)-1)</f>
        <v/>
      </c>
      <c r="D1434" s="29">
        <f>IF(A1434="","",IFERROR(INDEX('자료_미국심리'!$E$3:$E$4002,MATCH(A1434,$P$19:$P$4018,0)),D1433))</f>
        <v/>
      </c>
      <c r="E1434" s="29">
        <f>IF(A1434="","",IFERROR(INDEX('자료_미국심리'!$H$3:$H$4002,MATCH(A1434,$Q$19:$Q$4018,0)),E1433))</f>
        <v/>
      </c>
      <c r="F1434">
        <f>IF(A1434="",0,IF(A1434&gt;$B$5,1,0))</f>
        <v/>
      </c>
      <c r="G1434" s="29">
        <f>IF(AND(F1434=1,ISNUMBER(D1434)),D1434,"")</f>
        <v/>
      </c>
      <c r="H1434" s="29">
        <f>IF(AND(F1434=1,ISNUMBER(E1434)),E1434,"")</f>
        <v/>
      </c>
      <c r="I1434" s="22">
        <f>IF(AND(F1434=1,ISNUMBER(C1434)),C1434,"")</f>
        <v/>
      </c>
      <c r="J1434" s="11">
        <f>IF(G1434="","",100-IF($G$13=1,50,(_xlfn.RANK.AVG(G1434,$G$19:$G$1518,1)-1)/($G$13-1)*100))</f>
        <v/>
      </c>
      <c r="K1434" s="11">
        <f>IF(H1434="","",100-IF($G$14=1,50,(_xlfn.RANK.AVG(H1434,$H$19:$H$1518,1)-1)/($G$14-1)*100))</f>
        <v/>
      </c>
      <c r="L1434" s="11">
        <f>IF(I1434="","",IF($G$15=1,50,(_xlfn.RANK.AVG(I1434,$I$19:$I$1518,1)-1)/($G$15-1)*100))</f>
        <v/>
      </c>
      <c r="M1434" s="11">
        <f>IF(COUNT(J1434:L1434)=3,ROUND(AVERAGE(J1434:L1434),6),"")</f>
        <v/>
      </c>
      <c r="O1434">
        <f>IF(AND(ISNUMBER('자료_미국심리'!$A1418),ISNUMBER('자료_미국심리'!$B1418)),'자료_미국심리'!$A1418,"")</f>
        <v/>
      </c>
      <c r="P1434">
        <f>IF(AND(ISNUMBER('자료_미국심리'!$D1418),ISNUMBER('자료_미국심리'!$E1418)),'자료_미국심리'!$D1418,"")</f>
        <v/>
      </c>
      <c r="Q1434">
        <f>IF(AND(ISNUMBER('자료_미국심리'!$G1418),ISNUMBER('자료_미국심리'!$H1418)),'자료_미국심리'!$G1418,"")</f>
        <v/>
      </c>
    </row>
    <row r="1435">
      <c r="A1435" s="10">
        <f>IF(1417&gt;$E$5,"",SMALL($O$19:$O$4018,$E$6+1417))</f>
        <v/>
      </c>
      <c r="B1435" s="29">
        <f>IF(A1435="","",INDEX('자료_미국심리'!$B$3:$B$4002,MATCH(A1435,$O$19:$O$4018,0)))</f>
        <v/>
      </c>
      <c r="C1435" s="22">
        <f>IF(A1435="","",B1435/AVERAGE(B1311:B1435)-1)</f>
        <v/>
      </c>
      <c r="D1435" s="29">
        <f>IF(A1435="","",IFERROR(INDEX('자료_미국심리'!$E$3:$E$4002,MATCH(A1435,$P$19:$P$4018,0)),D1434))</f>
        <v/>
      </c>
      <c r="E1435" s="29">
        <f>IF(A1435="","",IFERROR(INDEX('자료_미국심리'!$H$3:$H$4002,MATCH(A1435,$Q$19:$Q$4018,0)),E1434))</f>
        <v/>
      </c>
      <c r="F1435">
        <f>IF(A1435="",0,IF(A1435&gt;$B$5,1,0))</f>
        <v/>
      </c>
      <c r="G1435" s="29">
        <f>IF(AND(F1435=1,ISNUMBER(D1435)),D1435,"")</f>
        <v/>
      </c>
      <c r="H1435" s="29">
        <f>IF(AND(F1435=1,ISNUMBER(E1435)),E1435,"")</f>
        <v/>
      </c>
      <c r="I1435" s="22">
        <f>IF(AND(F1435=1,ISNUMBER(C1435)),C1435,"")</f>
        <v/>
      </c>
      <c r="J1435" s="11">
        <f>IF(G1435="","",100-IF($G$13=1,50,(_xlfn.RANK.AVG(G1435,$G$19:$G$1518,1)-1)/($G$13-1)*100))</f>
        <v/>
      </c>
      <c r="K1435" s="11">
        <f>IF(H1435="","",100-IF($G$14=1,50,(_xlfn.RANK.AVG(H1435,$H$19:$H$1518,1)-1)/($G$14-1)*100))</f>
        <v/>
      </c>
      <c r="L1435" s="11">
        <f>IF(I1435="","",IF($G$15=1,50,(_xlfn.RANK.AVG(I1435,$I$19:$I$1518,1)-1)/($G$15-1)*100))</f>
        <v/>
      </c>
      <c r="M1435" s="11">
        <f>IF(COUNT(J1435:L1435)=3,ROUND(AVERAGE(J1435:L1435),6),"")</f>
        <v/>
      </c>
      <c r="O1435">
        <f>IF(AND(ISNUMBER('자료_미국심리'!$A1419),ISNUMBER('자료_미국심리'!$B1419)),'자료_미국심리'!$A1419,"")</f>
        <v/>
      </c>
      <c r="P1435">
        <f>IF(AND(ISNUMBER('자료_미국심리'!$D1419),ISNUMBER('자료_미국심리'!$E1419)),'자료_미국심리'!$D1419,"")</f>
        <v/>
      </c>
      <c r="Q1435">
        <f>IF(AND(ISNUMBER('자료_미국심리'!$G1419),ISNUMBER('자료_미국심리'!$H1419)),'자료_미국심리'!$G1419,"")</f>
        <v/>
      </c>
    </row>
    <row r="1436">
      <c r="A1436" s="10">
        <f>IF(1418&gt;$E$5,"",SMALL($O$19:$O$4018,$E$6+1418))</f>
        <v/>
      </c>
      <c r="B1436" s="29">
        <f>IF(A1436="","",INDEX('자료_미국심리'!$B$3:$B$4002,MATCH(A1436,$O$19:$O$4018,0)))</f>
        <v/>
      </c>
      <c r="C1436" s="22">
        <f>IF(A1436="","",B1436/AVERAGE(B1312:B1436)-1)</f>
        <v/>
      </c>
      <c r="D1436" s="29">
        <f>IF(A1436="","",IFERROR(INDEX('자료_미국심리'!$E$3:$E$4002,MATCH(A1436,$P$19:$P$4018,0)),D1435))</f>
        <v/>
      </c>
      <c r="E1436" s="29">
        <f>IF(A1436="","",IFERROR(INDEX('자료_미국심리'!$H$3:$H$4002,MATCH(A1436,$Q$19:$Q$4018,0)),E1435))</f>
        <v/>
      </c>
      <c r="F1436">
        <f>IF(A1436="",0,IF(A1436&gt;$B$5,1,0))</f>
        <v/>
      </c>
      <c r="G1436" s="29">
        <f>IF(AND(F1436=1,ISNUMBER(D1436)),D1436,"")</f>
        <v/>
      </c>
      <c r="H1436" s="29">
        <f>IF(AND(F1436=1,ISNUMBER(E1436)),E1436,"")</f>
        <v/>
      </c>
      <c r="I1436" s="22">
        <f>IF(AND(F1436=1,ISNUMBER(C1436)),C1436,"")</f>
        <v/>
      </c>
      <c r="J1436" s="11">
        <f>IF(G1436="","",100-IF($G$13=1,50,(_xlfn.RANK.AVG(G1436,$G$19:$G$1518,1)-1)/($G$13-1)*100))</f>
        <v/>
      </c>
      <c r="K1436" s="11">
        <f>IF(H1436="","",100-IF($G$14=1,50,(_xlfn.RANK.AVG(H1436,$H$19:$H$1518,1)-1)/($G$14-1)*100))</f>
        <v/>
      </c>
      <c r="L1436" s="11">
        <f>IF(I1436="","",IF($G$15=1,50,(_xlfn.RANK.AVG(I1436,$I$19:$I$1518,1)-1)/($G$15-1)*100))</f>
        <v/>
      </c>
      <c r="M1436" s="11">
        <f>IF(COUNT(J1436:L1436)=3,ROUND(AVERAGE(J1436:L1436),6),"")</f>
        <v/>
      </c>
      <c r="O1436">
        <f>IF(AND(ISNUMBER('자료_미국심리'!$A1420),ISNUMBER('자료_미국심리'!$B1420)),'자료_미국심리'!$A1420,"")</f>
        <v/>
      </c>
      <c r="P1436">
        <f>IF(AND(ISNUMBER('자료_미국심리'!$D1420),ISNUMBER('자료_미국심리'!$E1420)),'자료_미국심리'!$D1420,"")</f>
        <v/>
      </c>
      <c r="Q1436">
        <f>IF(AND(ISNUMBER('자료_미국심리'!$G1420),ISNUMBER('자료_미국심리'!$H1420)),'자료_미국심리'!$G1420,"")</f>
        <v/>
      </c>
    </row>
    <row r="1437">
      <c r="A1437" s="10">
        <f>IF(1419&gt;$E$5,"",SMALL($O$19:$O$4018,$E$6+1419))</f>
        <v/>
      </c>
      <c r="B1437" s="29">
        <f>IF(A1437="","",INDEX('자료_미국심리'!$B$3:$B$4002,MATCH(A1437,$O$19:$O$4018,0)))</f>
        <v/>
      </c>
      <c r="C1437" s="22">
        <f>IF(A1437="","",B1437/AVERAGE(B1313:B1437)-1)</f>
        <v/>
      </c>
      <c r="D1437" s="29">
        <f>IF(A1437="","",IFERROR(INDEX('자료_미국심리'!$E$3:$E$4002,MATCH(A1437,$P$19:$P$4018,0)),D1436))</f>
        <v/>
      </c>
      <c r="E1437" s="29">
        <f>IF(A1437="","",IFERROR(INDEX('자료_미국심리'!$H$3:$H$4002,MATCH(A1437,$Q$19:$Q$4018,0)),E1436))</f>
        <v/>
      </c>
      <c r="F1437">
        <f>IF(A1437="",0,IF(A1437&gt;$B$5,1,0))</f>
        <v/>
      </c>
      <c r="G1437" s="29">
        <f>IF(AND(F1437=1,ISNUMBER(D1437)),D1437,"")</f>
        <v/>
      </c>
      <c r="H1437" s="29">
        <f>IF(AND(F1437=1,ISNUMBER(E1437)),E1437,"")</f>
        <v/>
      </c>
      <c r="I1437" s="22">
        <f>IF(AND(F1437=1,ISNUMBER(C1437)),C1437,"")</f>
        <v/>
      </c>
      <c r="J1437" s="11">
        <f>IF(G1437="","",100-IF($G$13=1,50,(_xlfn.RANK.AVG(G1437,$G$19:$G$1518,1)-1)/($G$13-1)*100))</f>
        <v/>
      </c>
      <c r="K1437" s="11">
        <f>IF(H1437="","",100-IF($G$14=1,50,(_xlfn.RANK.AVG(H1437,$H$19:$H$1518,1)-1)/($G$14-1)*100))</f>
        <v/>
      </c>
      <c r="L1437" s="11">
        <f>IF(I1437="","",IF($G$15=1,50,(_xlfn.RANK.AVG(I1437,$I$19:$I$1518,1)-1)/($G$15-1)*100))</f>
        <v/>
      </c>
      <c r="M1437" s="11">
        <f>IF(COUNT(J1437:L1437)=3,ROUND(AVERAGE(J1437:L1437),6),"")</f>
        <v/>
      </c>
      <c r="O1437">
        <f>IF(AND(ISNUMBER('자료_미국심리'!$A1421),ISNUMBER('자료_미국심리'!$B1421)),'자료_미국심리'!$A1421,"")</f>
        <v/>
      </c>
      <c r="P1437">
        <f>IF(AND(ISNUMBER('자료_미국심리'!$D1421),ISNUMBER('자료_미국심리'!$E1421)),'자료_미국심리'!$D1421,"")</f>
        <v/>
      </c>
      <c r="Q1437">
        <f>IF(AND(ISNUMBER('자료_미국심리'!$G1421),ISNUMBER('자료_미국심리'!$H1421)),'자료_미국심리'!$G1421,"")</f>
        <v/>
      </c>
    </row>
    <row r="1438">
      <c r="A1438" s="10">
        <f>IF(1420&gt;$E$5,"",SMALL($O$19:$O$4018,$E$6+1420))</f>
        <v/>
      </c>
      <c r="B1438" s="29">
        <f>IF(A1438="","",INDEX('자료_미국심리'!$B$3:$B$4002,MATCH(A1438,$O$19:$O$4018,0)))</f>
        <v/>
      </c>
      <c r="C1438" s="22">
        <f>IF(A1438="","",B1438/AVERAGE(B1314:B1438)-1)</f>
        <v/>
      </c>
      <c r="D1438" s="29">
        <f>IF(A1438="","",IFERROR(INDEX('자료_미국심리'!$E$3:$E$4002,MATCH(A1438,$P$19:$P$4018,0)),D1437))</f>
        <v/>
      </c>
      <c r="E1438" s="29">
        <f>IF(A1438="","",IFERROR(INDEX('자료_미국심리'!$H$3:$H$4002,MATCH(A1438,$Q$19:$Q$4018,0)),E1437))</f>
        <v/>
      </c>
      <c r="F1438">
        <f>IF(A1438="",0,IF(A1438&gt;$B$5,1,0))</f>
        <v/>
      </c>
      <c r="G1438" s="29">
        <f>IF(AND(F1438=1,ISNUMBER(D1438)),D1438,"")</f>
        <v/>
      </c>
      <c r="H1438" s="29">
        <f>IF(AND(F1438=1,ISNUMBER(E1438)),E1438,"")</f>
        <v/>
      </c>
      <c r="I1438" s="22">
        <f>IF(AND(F1438=1,ISNUMBER(C1438)),C1438,"")</f>
        <v/>
      </c>
      <c r="J1438" s="11">
        <f>IF(G1438="","",100-IF($G$13=1,50,(_xlfn.RANK.AVG(G1438,$G$19:$G$1518,1)-1)/($G$13-1)*100))</f>
        <v/>
      </c>
      <c r="K1438" s="11">
        <f>IF(H1438="","",100-IF($G$14=1,50,(_xlfn.RANK.AVG(H1438,$H$19:$H$1518,1)-1)/($G$14-1)*100))</f>
        <v/>
      </c>
      <c r="L1438" s="11">
        <f>IF(I1438="","",IF($G$15=1,50,(_xlfn.RANK.AVG(I1438,$I$19:$I$1518,1)-1)/($G$15-1)*100))</f>
        <v/>
      </c>
      <c r="M1438" s="11">
        <f>IF(COUNT(J1438:L1438)=3,ROUND(AVERAGE(J1438:L1438),6),"")</f>
        <v/>
      </c>
      <c r="O1438">
        <f>IF(AND(ISNUMBER('자료_미국심리'!$A1422),ISNUMBER('자료_미국심리'!$B1422)),'자료_미국심리'!$A1422,"")</f>
        <v/>
      </c>
      <c r="P1438">
        <f>IF(AND(ISNUMBER('자료_미국심리'!$D1422),ISNUMBER('자료_미국심리'!$E1422)),'자료_미국심리'!$D1422,"")</f>
        <v/>
      </c>
      <c r="Q1438">
        <f>IF(AND(ISNUMBER('자료_미국심리'!$G1422),ISNUMBER('자료_미국심리'!$H1422)),'자료_미국심리'!$G1422,"")</f>
        <v/>
      </c>
    </row>
    <row r="1439">
      <c r="A1439" s="10">
        <f>IF(1421&gt;$E$5,"",SMALL($O$19:$O$4018,$E$6+1421))</f>
        <v/>
      </c>
      <c r="B1439" s="29">
        <f>IF(A1439="","",INDEX('자료_미국심리'!$B$3:$B$4002,MATCH(A1439,$O$19:$O$4018,0)))</f>
        <v/>
      </c>
      <c r="C1439" s="22">
        <f>IF(A1439="","",B1439/AVERAGE(B1315:B1439)-1)</f>
        <v/>
      </c>
      <c r="D1439" s="29">
        <f>IF(A1439="","",IFERROR(INDEX('자료_미국심리'!$E$3:$E$4002,MATCH(A1439,$P$19:$P$4018,0)),D1438))</f>
        <v/>
      </c>
      <c r="E1439" s="29">
        <f>IF(A1439="","",IFERROR(INDEX('자료_미국심리'!$H$3:$H$4002,MATCH(A1439,$Q$19:$Q$4018,0)),E1438))</f>
        <v/>
      </c>
      <c r="F1439">
        <f>IF(A1439="",0,IF(A1439&gt;$B$5,1,0))</f>
        <v/>
      </c>
      <c r="G1439" s="29">
        <f>IF(AND(F1439=1,ISNUMBER(D1439)),D1439,"")</f>
        <v/>
      </c>
      <c r="H1439" s="29">
        <f>IF(AND(F1439=1,ISNUMBER(E1439)),E1439,"")</f>
        <v/>
      </c>
      <c r="I1439" s="22">
        <f>IF(AND(F1439=1,ISNUMBER(C1439)),C1439,"")</f>
        <v/>
      </c>
      <c r="J1439" s="11">
        <f>IF(G1439="","",100-IF($G$13=1,50,(_xlfn.RANK.AVG(G1439,$G$19:$G$1518,1)-1)/($G$13-1)*100))</f>
        <v/>
      </c>
      <c r="K1439" s="11">
        <f>IF(H1439="","",100-IF($G$14=1,50,(_xlfn.RANK.AVG(H1439,$H$19:$H$1518,1)-1)/($G$14-1)*100))</f>
        <v/>
      </c>
      <c r="L1439" s="11">
        <f>IF(I1439="","",IF($G$15=1,50,(_xlfn.RANK.AVG(I1439,$I$19:$I$1518,1)-1)/($G$15-1)*100))</f>
        <v/>
      </c>
      <c r="M1439" s="11">
        <f>IF(COUNT(J1439:L1439)=3,ROUND(AVERAGE(J1439:L1439),6),"")</f>
        <v/>
      </c>
      <c r="O1439">
        <f>IF(AND(ISNUMBER('자료_미국심리'!$A1423),ISNUMBER('자료_미국심리'!$B1423)),'자료_미국심리'!$A1423,"")</f>
        <v/>
      </c>
      <c r="P1439">
        <f>IF(AND(ISNUMBER('자료_미국심리'!$D1423),ISNUMBER('자료_미국심리'!$E1423)),'자료_미국심리'!$D1423,"")</f>
        <v/>
      </c>
      <c r="Q1439">
        <f>IF(AND(ISNUMBER('자료_미국심리'!$G1423),ISNUMBER('자료_미국심리'!$H1423)),'자료_미국심리'!$G1423,"")</f>
        <v/>
      </c>
    </row>
    <row r="1440">
      <c r="A1440" s="10">
        <f>IF(1422&gt;$E$5,"",SMALL($O$19:$O$4018,$E$6+1422))</f>
        <v/>
      </c>
      <c r="B1440" s="29">
        <f>IF(A1440="","",INDEX('자료_미국심리'!$B$3:$B$4002,MATCH(A1440,$O$19:$O$4018,0)))</f>
        <v/>
      </c>
      <c r="C1440" s="22">
        <f>IF(A1440="","",B1440/AVERAGE(B1316:B1440)-1)</f>
        <v/>
      </c>
      <c r="D1440" s="29">
        <f>IF(A1440="","",IFERROR(INDEX('자료_미국심리'!$E$3:$E$4002,MATCH(A1440,$P$19:$P$4018,0)),D1439))</f>
        <v/>
      </c>
      <c r="E1440" s="29">
        <f>IF(A1440="","",IFERROR(INDEX('자료_미국심리'!$H$3:$H$4002,MATCH(A1440,$Q$19:$Q$4018,0)),E1439))</f>
        <v/>
      </c>
      <c r="F1440">
        <f>IF(A1440="",0,IF(A1440&gt;$B$5,1,0))</f>
        <v/>
      </c>
      <c r="G1440" s="29">
        <f>IF(AND(F1440=1,ISNUMBER(D1440)),D1440,"")</f>
        <v/>
      </c>
      <c r="H1440" s="29">
        <f>IF(AND(F1440=1,ISNUMBER(E1440)),E1440,"")</f>
        <v/>
      </c>
      <c r="I1440" s="22">
        <f>IF(AND(F1440=1,ISNUMBER(C1440)),C1440,"")</f>
        <v/>
      </c>
      <c r="J1440" s="11">
        <f>IF(G1440="","",100-IF($G$13=1,50,(_xlfn.RANK.AVG(G1440,$G$19:$G$1518,1)-1)/($G$13-1)*100))</f>
        <v/>
      </c>
      <c r="K1440" s="11">
        <f>IF(H1440="","",100-IF($G$14=1,50,(_xlfn.RANK.AVG(H1440,$H$19:$H$1518,1)-1)/($G$14-1)*100))</f>
        <v/>
      </c>
      <c r="L1440" s="11">
        <f>IF(I1440="","",IF($G$15=1,50,(_xlfn.RANK.AVG(I1440,$I$19:$I$1518,1)-1)/($G$15-1)*100))</f>
        <v/>
      </c>
      <c r="M1440" s="11">
        <f>IF(COUNT(J1440:L1440)=3,ROUND(AVERAGE(J1440:L1440),6),"")</f>
        <v/>
      </c>
      <c r="O1440">
        <f>IF(AND(ISNUMBER('자료_미국심리'!$A1424),ISNUMBER('자료_미국심리'!$B1424)),'자료_미국심리'!$A1424,"")</f>
        <v/>
      </c>
      <c r="P1440">
        <f>IF(AND(ISNUMBER('자료_미국심리'!$D1424),ISNUMBER('자료_미국심리'!$E1424)),'자료_미국심리'!$D1424,"")</f>
        <v/>
      </c>
      <c r="Q1440">
        <f>IF(AND(ISNUMBER('자료_미국심리'!$G1424),ISNUMBER('자료_미국심리'!$H1424)),'자료_미국심리'!$G1424,"")</f>
        <v/>
      </c>
    </row>
    <row r="1441">
      <c r="A1441" s="10">
        <f>IF(1423&gt;$E$5,"",SMALL($O$19:$O$4018,$E$6+1423))</f>
        <v/>
      </c>
      <c r="B1441" s="29">
        <f>IF(A1441="","",INDEX('자료_미국심리'!$B$3:$B$4002,MATCH(A1441,$O$19:$O$4018,0)))</f>
        <v/>
      </c>
      <c r="C1441" s="22">
        <f>IF(A1441="","",B1441/AVERAGE(B1317:B1441)-1)</f>
        <v/>
      </c>
      <c r="D1441" s="29">
        <f>IF(A1441="","",IFERROR(INDEX('자료_미국심리'!$E$3:$E$4002,MATCH(A1441,$P$19:$P$4018,0)),D1440))</f>
        <v/>
      </c>
      <c r="E1441" s="29">
        <f>IF(A1441="","",IFERROR(INDEX('자료_미국심리'!$H$3:$H$4002,MATCH(A1441,$Q$19:$Q$4018,0)),E1440))</f>
        <v/>
      </c>
      <c r="F1441">
        <f>IF(A1441="",0,IF(A1441&gt;$B$5,1,0))</f>
        <v/>
      </c>
      <c r="G1441" s="29">
        <f>IF(AND(F1441=1,ISNUMBER(D1441)),D1441,"")</f>
        <v/>
      </c>
      <c r="H1441" s="29">
        <f>IF(AND(F1441=1,ISNUMBER(E1441)),E1441,"")</f>
        <v/>
      </c>
      <c r="I1441" s="22">
        <f>IF(AND(F1441=1,ISNUMBER(C1441)),C1441,"")</f>
        <v/>
      </c>
      <c r="J1441" s="11">
        <f>IF(G1441="","",100-IF($G$13=1,50,(_xlfn.RANK.AVG(G1441,$G$19:$G$1518,1)-1)/($G$13-1)*100))</f>
        <v/>
      </c>
      <c r="K1441" s="11">
        <f>IF(H1441="","",100-IF($G$14=1,50,(_xlfn.RANK.AVG(H1441,$H$19:$H$1518,1)-1)/($G$14-1)*100))</f>
        <v/>
      </c>
      <c r="L1441" s="11">
        <f>IF(I1441="","",IF($G$15=1,50,(_xlfn.RANK.AVG(I1441,$I$19:$I$1518,1)-1)/($G$15-1)*100))</f>
        <v/>
      </c>
      <c r="M1441" s="11">
        <f>IF(COUNT(J1441:L1441)=3,ROUND(AVERAGE(J1441:L1441),6),"")</f>
        <v/>
      </c>
      <c r="O1441">
        <f>IF(AND(ISNUMBER('자료_미국심리'!$A1425),ISNUMBER('자료_미국심리'!$B1425)),'자료_미국심리'!$A1425,"")</f>
        <v/>
      </c>
      <c r="P1441">
        <f>IF(AND(ISNUMBER('자료_미국심리'!$D1425),ISNUMBER('자료_미국심리'!$E1425)),'자료_미국심리'!$D1425,"")</f>
        <v/>
      </c>
      <c r="Q1441">
        <f>IF(AND(ISNUMBER('자료_미국심리'!$G1425),ISNUMBER('자료_미국심리'!$H1425)),'자료_미국심리'!$G1425,"")</f>
        <v/>
      </c>
    </row>
    <row r="1442">
      <c r="A1442" s="10">
        <f>IF(1424&gt;$E$5,"",SMALL($O$19:$O$4018,$E$6+1424))</f>
        <v/>
      </c>
      <c r="B1442" s="29">
        <f>IF(A1442="","",INDEX('자료_미국심리'!$B$3:$B$4002,MATCH(A1442,$O$19:$O$4018,0)))</f>
        <v/>
      </c>
      <c r="C1442" s="22">
        <f>IF(A1442="","",B1442/AVERAGE(B1318:B1442)-1)</f>
        <v/>
      </c>
      <c r="D1442" s="29">
        <f>IF(A1442="","",IFERROR(INDEX('자료_미국심리'!$E$3:$E$4002,MATCH(A1442,$P$19:$P$4018,0)),D1441))</f>
        <v/>
      </c>
      <c r="E1442" s="29">
        <f>IF(A1442="","",IFERROR(INDEX('자료_미국심리'!$H$3:$H$4002,MATCH(A1442,$Q$19:$Q$4018,0)),E1441))</f>
        <v/>
      </c>
      <c r="F1442">
        <f>IF(A1442="",0,IF(A1442&gt;$B$5,1,0))</f>
        <v/>
      </c>
      <c r="G1442" s="29">
        <f>IF(AND(F1442=1,ISNUMBER(D1442)),D1442,"")</f>
        <v/>
      </c>
      <c r="H1442" s="29">
        <f>IF(AND(F1442=1,ISNUMBER(E1442)),E1442,"")</f>
        <v/>
      </c>
      <c r="I1442" s="22">
        <f>IF(AND(F1442=1,ISNUMBER(C1442)),C1442,"")</f>
        <v/>
      </c>
      <c r="J1442" s="11">
        <f>IF(G1442="","",100-IF($G$13=1,50,(_xlfn.RANK.AVG(G1442,$G$19:$G$1518,1)-1)/($G$13-1)*100))</f>
        <v/>
      </c>
      <c r="K1442" s="11">
        <f>IF(H1442="","",100-IF($G$14=1,50,(_xlfn.RANK.AVG(H1442,$H$19:$H$1518,1)-1)/($G$14-1)*100))</f>
        <v/>
      </c>
      <c r="L1442" s="11">
        <f>IF(I1442="","",IF($G$15=1,50,(_xlfn.RANK.AVG(I1442,$I$19:$I$1518,1)-1)/($G$15-1)*100))</f>
        <v/>
      </c>
      <c r="M1442" s="11">
        <f>IF(COUNT(J1442:L1442)=3,ROUND(AVERAGE(J1442:L1442),6),"")</f>
        <v/>
      </c>
      <c r="O1442">
        <f>IF(AND(ISNUMBER('자료_미국심리'!$A1426),ISNUMBER('자료_미국심리'!$B1426)),'자료_미국심리'!$A1426,"")</f>
        <v/>
      </c>
      <c r="P1442">
        <f>IF(AND(ISNUMBER('자료_미국심리'!$D1426),ISNUMBER('자료_미국심리'!$E1426)),'자료_미국심리'!$D1426,"")</f>
        <v/>
      </c>
      <c r="Q1442">
        <f>IF(AND(ISNUMBER('자료_미국심리'!$G1426),ISNUMBER('자료_미국심리'!$H1426)),'자료_미국심리'!$G1426,"")</f>
        <v/>
      </c>
    </row>
    <row r="1443">
      <c r="A1443" s="10">
        <f>IF(1425&gt;$E$5,"",SMALL($O$19:$O$4018,$E$6+1425))</f>
        <v/>
      </c>
      <c r="B1443" s="29">
        <f>IF(A1443="","",INDEX('자료_미국심리'!$B$3:$B$4002,MATCH(A1443,$O$19:$O$4018,0)))</f>
        <v/>
      </c>
      <c r="C1443" s="22">
        <f>IF(A1443="","",B1443/AVERAGE(B1319:B1443)-1)</f>
        <v/>
      </c>
      <c r="D1443" s="29">
        <f>IF(A1443="","",IFERROR(INDEX('자료_미국심리'!$E$3:$E$4002,MATCH(A1443,$P$19:$P$4018,0)),D1442))</f>
        <v/>
      </c>
      <c r="E1443" s="29">
        <f>IF(A1443="","",IFERROR(INDEX('자료_미국심리'!$H$3:$H$4002,MATCH(A1443,$Q$19:$Q$4018,0)),E1442))</f>
        <v/>
      </c>
      <c r="F1443">
        <f>IF(A1443="",0,IF(A1443&gt;$B$5,1,0))</f>
        <v/>
      </c>
      <c r="G1443" s="29">
        <f>IF(AND(F1443=1,ISNUMBER(D1443)),D1443,"")</f>
        <v/>
      </c>
      <c r="H1443" s="29">
        <f>IF(AND(F1443=1,ISNUMBER(E1443)),E1443,"")</f>
        <v/>
      </c>
      <c r="I1443" s="22">
        <f>IF(AND(F1443=1,ISNUMBER(C1443)),C1443,"")</f>
        <v/>
      </c>
      <c r="J1443" s="11">
        <f>IF(G1443="","",100-IF($G$13=1,50,(_xlfn.RANK.AVG(G1443,$G$19:$G$1518,1)-1)/($G$13-1)*100))</f>
        <v/>
      </c>
      <c r="K1443" s="11">
        <f>IF(H1443="","",100-IF($G$14=1,50,(_xlfn.RANK.AVG(H1443,$H$19:$H$1518,1)-1)/($G$14-1)*100))</f>
        <v/>
      </c>
      <c r="L1443" s="11">
        <f>IF(I1443="","",IF($G$15=1,50,(_xlfn.RANK.AVG(I1443,$I$19:$I$1518,1)-1)/($G$15-1)*100))</f>
        <v/>
      </c>
      <c r="M1443" s="11">
        <f>IF(COUNT(J1443:L1443)=3,ROUND(AVERAGE(J1443:L1443),6),"")</f>
        <v/>
      </c>
      <c r="O1443">
        <f>IF(AND(ISNUMBER('자료_미국심리'!$A1427),ISNUMBER('자료_미국심리'!$B1427)),'자료_미국심리'!$A1427,"")</f>
        <v/>
      </c>
      <c r="P1443">
        <f>IF(AND(ISNUMBER('자료_미국심리'!$D1427),ISNUMBER('자료_미국심리'!$E1427)),'자료_미국심리'!$D1427,"")</f>
        <v/>
      </c>
      <c r="Q1443">
        <f>IF(AND(ISNUMBER('자료_미국심리'!$G1427),ISNUMBER('자료_미국심리'!$H1427)),'자료_미국심리'!$G1427,"")</f>
        <v/>
      </c>
    </row>
    <row r="1444">
      <c r="A1444" s="10">
        <f>IF(1426&gt;$E$5,"",SMALL($O$19:$O$4018,$E$6+1426))</f>
        <v/>
      </c>
      <c r="B1444" s="29">
        <f>IF(A1444="","",INDEX('자료_미국심리'!$B$3:$B$4002,MATCH(A1444,$O$19:$O$4018,0)))</f>
        <v/>
      </c>
      <c r="C1444" s="22">
        <f>IF(A1444="","",B1444/AVERAGE(B1320:B1444)-1)</f>
        <v/>
      </c>
      <c r="D1444" s="29">
        <f>IF(A1444="","",IFERROR(INDEX('자료_미국심리'!$E$3:$E$4002,MATCH(A1444,$P$19:$P$4018,0)),D1443))</f>
        <v/>
      </c>
      <c r="E1444" s="29">
        <f>IF(A1444="","",IFERROR(INDEX('자료_미국심리'!$H$3:$H$4002,MATCH(A1444,$Q$19:$Q$4018,0)),E1443))</f>
        <v/>
      </c>
      <c r="F1444">
        <f>IF(A1444="",0,IF(A1444&gt;$B$5,1,0))</f>
        <v/>
      </c>
      <c r="G1444" s="29">
        <f>IF(AND(F1444=1,ISNUMBER(D1444)),D1444,"")</f>
        <v/>
      </c>
      <c r="H1444" s="29">
        <f>IF(AND(F1444=1,ISNUMBER(E1444)),E1444,"")</f>
        <v/>
      </c>
      <c r="I1444" s="22">
        <f>IF(AND(F1444=1,ISNUMBER(C1444)),C1444,"")</f>
        <v/>
      </c>
      <c r="J1444" s="11">
        <f>IF(G1444="","",100-IF($G$13=1,50,(_xlfn.RANK.AVG(G1444,$G$19:$G$1518,1)-1)/($G$13-1)*100))</f>
        <v/>
      </c>
      <c r="K1444" s="11">
        <f>IF(H1444="","",100-IF($G$14=1,50,(_xlfn.RANK.AVG(H1444,$H$19:$H$1518,1)-1)/($G$14-1)*100))</f>
        <v/>
      </c>
      <c r="L1444" s="11">
        <f>IF(I1444="","",IF($G$15=1,50,(_xlfn.RANK.AVG(I1444,$I$19:$I$1518,1)-1)/($G$15-1)*100))</f>
        <v/>
      </c>
      <c r="M1444" s="11">
        <f>IF(COUNT(J1444:L1444)=3,ROUND(AVERAGE(J1444:L1444),6),"")</f>
        <v/>
      </c>
      <c r="O1444">
        <f>IF(AND(ISNUMBER('자료_미국심리'!$A1428),ISNUMBER('자료_미국심리'!$B1428)),'자료_미국심리'!$A1428,"")</f>
        <v/>
      </c>
      <c r="P1444">
        <f>IF(AND(ISNUMBER('자료_미국심리'!$D1428),ISNUMBER('자료_미국심리'!$E1428)),'자료_미국심리'!$D1428,"")</f>
        <v/>
      </c>
      <c r="Q1444">
        <f>IF(AND(ISNUMBER('자료_미국심리'!$G1428),ISNUMBER('자료_미국심리'!$H1428)),'자료_미국심리'!$G1428,"")</f>
        <v/>
      </c>
    </row>
    <row r="1445">
      <c r="A1445" s="10">
        <f>IF(1427&gt;$E$5,"",SMALL($O$19:$O$4018,$E$6+1427))</f>
        <v/>
      </c>
      <c r="B1445" s="29">
        <f>IF(A1445="","",INDEX('자료_미국심리'!$B$3:$B$4002,MATCH(A1445,$O$19:$O$4018,0)))</f>
        <v/>
      </c>
      <c r="C1445" s="22">
        <f>IF(A1445="","",B1445/AVERAGE(B1321:B1445)-1)</f>
        <v/>
      </c>
      <c r="D1445" s="29">
        <f>IF(A1445="","",IFERROR(INDEX('자료_미국심리'!$E$3:$E$4002,MATCH(A1445,$P$19:$P$4018,0)),D1444))</f>
        <v/>
      </c>
      <c r="E1445" s="29">
        <f>IF(A1445="","",IFERROR(INDEX('자료_미국심리'!$H$3:$H$4002,MATCH(A1445,$Q$19:$Q$4018,0)),E1444))</f>
        <v/>
      </c>
      <c r="F1445">
        <f>IF(A1445="",0,IF(A1445&gt;$B$5,1,0))</f>
        <v/>
      </c>
      <c r="G1445" s="29">
        <f>IF(AND(F1445=1,ISNUMBER(D1445)),D1445,"")</f>
        <v/>
      </c>
      <c r="H1445" s="29">
        <f>IF(AND(F1445=1,ISNUMBER(E1445)),E1445,"")</f>
        <v/>
      </c>
      <c r="I1445" s="22">
        <f>IF(AND(F1445=1,ISNUMBER(C1445)),C1445,"")</f>
        <v/>
      </c>
      <c r="J1445" s="11">
        <f>IF(G1445="","",100-IF($G$13=1,50,(_xlfn.RANK.AVG(G1445,$G$19:$G$1518,1)-1)/($G$13-1)*100))</f>
        <v/>
      </c>
      <c r="K1445" s="11">
        <f>IF(H1445="","",100-IF($G$14=1,50,(_xlfn.RANK.AVG(H1445,$H$19:$H$1518,1)-1)/($G$14-1)*100))</f>
        <v/>
      </c>
      <c r="L1445" s="11">
        <f>IF(I1445="","",IF($G$15=1,50,(_xlfn.RANK.AVG(I1445,$I$19:$I$1518,1)-1)/($G$15-1)*100))</f>
        <v/>
      </c>
      <c r="M1445" s="11">
        <f>IF(COUNT(J1445:L1445)=3,ROUND(AVERAGE(J1445:L1445),6),"")</f>
        <v/>
      </c>
      <c r="O1445">
        <f>IF(AND(ISNUMBER('자료_미국심리'!$A1429),ISNUMBER('자료_미국심리'!$B1429)),'자료_미국심리'!$A1429,"")</f>
        <v/>
      </c>
      <c r="P1445">
        <f>IF(AND(ISNUMBER('자료_미국심리'!$D1429),ISNUMBER('자료_미국심리'!$E1429)),'자료_미국심리'!$D1429,"")</f>
        <v/>
      </c>
      <c r="Q1445">
        <f>IF(AND(ISNUMBER('자료_미국심리'!$G1429),ISNUMBER('자료_미국심리'!$H1429)),'자료_미국심리'!$G1429,"")</f>
        <v/>
      </c>
    </row>
    <row r="1446">
      <c r="A1446" s="10">
        <f>IF(1428&gt;$E$5,"",SMALL($O$19:$O$4018,$E$6+1428))</f>
        <v/>
      </c>
      <c r="B1446" s="29">
        <f>IF(A1446="","",INDEX('자료_미국심리'!$B$3:$B$4002,MATCH(A1446,$O$19:$O$4018,0)))</f>
        <v/>
      </c>
      <c r="C1446" s="22">
        <f>IF(A1446="","",B1446/AVERAGE(B1322:B1446)-1)</f>
        <v/>
      </c>
      <c r="D1446" s="29">
        <f>IF(A1446="","",IFERROR(INDEX('자료_미국심리'!$E$3:$E$4002,MATCH(A1446,$P$19:$P$4018,0)),D1445))</f>
        <v/>
      </c>
      <c r="E1446" s="29">
        <f>IF(A1446="","",IFERROR(INDEX('자료_미국심리'!$H$3:$H$4002,MATCH(A1446,$Q$19:$Q$4018,0)),E1445))</f>
        <v/>
      </c>
      <c r="F1446">
        <f>IF(A1446="",0,IF(A1446&gt;$B$5,1,0))</f>
        <v/>
      </c>
      <c r="G1446" s="29">
        <f>IF(AND(F1446=1,ISNUMBER(D1446)),D1446,"")</f>
        <v/>
      </c>
      <c r="H1446" s="29">
        <f>IF(AND(F1446=1,ISNUMBER(E1446)),E1446,"")</f>
        <v/>
      </c>
      <c r="I1446" s="22">
        <f>IF(AND(F1446=1,ISNUMBER(C1446)),C1446,"")</f>
        <v/>
      </c>
      <c r="J1446" s="11">
        <f>IF(G1446="","",100-IF($G$13=1,50,(_xlfn.RANK.AVG(G1446,$G$19:$G$1518,1)-1)/($G$13-1)*100))</f>
        <v/>
      </c>
      <c r="K1446" s="11">
        <f>IF(H1446="","",100-IF($G$14=1,50,(_xlfn.RANK.AVG(H1446,$H$19:$H$1518,1)-1)/($G$14-1)*100))</f>
        <v/>
      </c>
      <c r="L1446" s="11">
        <f>IF(I1446="","",IF($G$15=1,50,(_xlfn.RANK.AVG(I1446,$I$19:$I$1518,1)-1)/($G$15-1)*100))</f>
        <v/>
      </c>
      <c r="M1446" s="11">
        <f>IF(COUNT(J1446:L1446)=3,ROUND(AVERAGE(J1446:L1446),6),"")</f>
        <v/>
      </c>
      <c r="O1446">
        <f>IF(AND(ISNUMBER('자료_미국심리'!$A1430),ISNUMBER('자료_미국심리'!$B1430)),'자료_미국심리'!$A1430,"")</f>
        <v/>
      </c>
      <c r="P1446">
        <f>IF(AND(ISNUMBER('자료_미국심리'!$D1430),ISNUMBER('자료_미국심리'!$E1430)),'자료_미국심리'!$D1430,"")</f>
        <v/>
      </c>
      <c r="Q1446">
        <f>IF(AND(ISNUMBER('자료_미국심리'!$G1430),ISNUMBER('자료_미국심리'!$H1430)),'자료_미국심리'!$G1430,"")</f>
        <v/>
      </c>
    </row>
    <row r="1447">
      <c r="A1447" s="10">
        <f>IF(1429&gt;$E$5,"",SMALL($O$19:$O$4018,$E$6+1429))</f>
        <v/>
      </c>
      <c r="B1447" s="29">
        <f>IF(A1447="","",INDEX('자료_미국심리'!$B$3:$B$4002,MATCH(A1447,$O$19:$O$4018,0)))</f>
        <v/>
      </c>
      <c r="C1447" s="22">
        <f>IF(A1447="","",B1447/AVERAGE(B1323:B1447)-1)</f>
        <v/>
      </c>
      <c r="D1447" s="29">
        <f>IF(A1447="","",IFERROR(INDEX('자료_미국심리'!$E$3:$E$4002,MATCH(A1447,$P$19:$P$4018,0)),D1446))</f>
        <v/>
      </c>
      <c r="E1447" s="29">
        <f>IF(A1447="","",IFERROR(INDEX('자료_미국심리'!$H$3:$H$4002,MATCH(A1447,$Q$19:$Q$4018,0)),E1446))</f>
        <v/>
      </c>
      <c r="F1447">
        <f>IF(A1447="",0,IF(A1447&gt;$B$5,1,0))</f>
        <v/>
      </c>
      <c r="G1447" s="29">
        <f>IF(AND(F1447=1,ISNUMBER(D1447)),D1447,"")</f>
        <v/>
      </c>
      <c r="H1447" s="29">
        <f>IF(AND(F1447=1,ISNUMBER(E1447)),E1447,"")</f>
        <v/>
      </c>
      <c r="I1447" s="22">
        <f>IF(AND(F1447=1,ISNUMBER(C1447)),C1447,"")</f>
        <v/>
      </c>
      <c r="J1447" s="11">
        <f>IF(G1447="","",100-IF($G$13=1,50,(_xlfn.RANK.AVG(G1447,$G$19:$G$1518,1)-1)/($G$13-1)*100))</f>
        <v/>
      </c>
      <c r="K1447" s="11">
        <f>IF(H1447="","",100-IF($G$14=1,50,(_xlfn.RANK.AVG(H1447,$H$19:$H$1518,1)-1)/($G$14-1)*100))</f>
        <v/>
      </c>
      <c r="L1447" s="11">
        <f>IF(I1447="","",IF($G$15=1,50,(_xlfn.RANK.AVG(I1447,$I$19:$I$1518,1)-1)/($G$15-1)*100))</f>
        <v/>
      </c>
      <c r="M1447" s="11">
        <f>IF(COUNT(J1447:L1447)=3,ROUND(AVERAGE(J1447:L1447),6),"")</f>
        <v/>
      </c>
      <c r="O1447">
        <f>IF(AND(ISNUMBER('자료_미국심리'!$A1431),ISNUMBER('자료_미국심리'!$B1431)),'자료_미국심리'!$A1431,"")</f>
        <v/>
      </c>
      <c r="P1447">
        <f>IF(AND(ISNUMBER('자료_미국심리'!$D1431),ISNUMBER('자료_미국심리'!$E1431)),'자료_미국심리'!$D1431,"")</f>
        <v/>
      </c>
      <c r="Q1447">
        <f>IF(AND(ISNUMBER('자료_미국심리'!$G1431),ISNUMBER('자료_미국심리'!$H1431)),'자료_미국심리'!$G1431,"")</f>
        <v/>
      </c>
    </row>
    <row r="1448">
      <c r="A1448" s="10">
        <f>IF(1430&gt;$E$5,"",SMALL($O$19:$O$4018,$E$6+1430))</f>
        <v/>
      </c>
      <c r="B1448" s="29">
        <f>IF(A1448="","",INDEX('자료_미국심리'!$B$3:$B$4002,MATCH(A1448,$O$19:$O$4018,0)))</f>
        <v/>
      </c>
      <c r="C1448" s="22">
        <f>IF(A1448="","",B1448/AVERAGE(B1324:B1448)-1)</f>
        <v/>
      </c>
      <c r="D1448" s="29">
        <f>IF(A1448="","",IFERROR(INDEX('자료_미국심리'!$E$3:$E$4002,MATCH(A1448,$P$19:$P$4018,0)),D1447))</f>
        <v/>
      </c>
      <c r="E1448" s="29">
        <f>IF(A1448="","",IFERROR(INDEX('자료_미국심리'!$H$3:$H$4002,MATCH(A1448,$Q$19:$Q$4018,0)),E1447))</f>
        <v/>
      </c>
      <c r="F1448">
        <f>IF(A1448="",0,IF(A1448&gt;$B$5,1,0))</f>
        <v/>
      </c>
      <c r="G1448" s="29">
        <f>IF(AND(F1448=1,ISNUMBER(D1448)),D1448,"")</f>
        <v/>
      </c>
      <c r="H1448" s="29">
        <f>IF(AND(F1448=1,ISNUMBER(E1448)),E1448,"")</f>
        <v/>
      </c>
      <c r="I1448" s="22">
        <f>IF(AND(F1448=1,ISNUMBER(C1448)),C1448,"")</f>
        <v/>
      </c>
      <c r="J1448" s="11">
        <f>IF(G1448="","",100-IF($G$13=1,50,(_xlfn.RANK.AVG(G1448,$G$19:$G$1518,1)-1)/($G$13-1)*100))</f>
        <v/>
      </c>
      <c r="K1448" s="11">
        <f>IF(H1448="","",100-IF($G$14=1,50,(_xlfn.RANK.AVG(H1448,$H$19:$H$1518,1)-1)/($G$14-1)*100))</f>
        <v/>
      </c>
      <c r="L1448" s="11">
        <f>IF(I1448="","",IF($G$15=1,50,(_xlfn.RANK.AVG(I1448,$I$19:$I$1518,1)-1)/($G$15-1)*100))</f>
        <v/>
      </c>
      <c r="M1448" s="11">
        <f>IF(COUNT(J1448:L1448)=3,ROUND(AVERAGE(J1448:L1448),6),"")</f>
        <v/>
      </c>
      <c r="O1448">
        <f>IF(AND(ISNUMBER('자료_미국심리'!$A1432),ISNUMBER('자료_미국심리'!$B1432)),'자료_미국심리'!$A1432,"")</f>
        <v/>
      </c>
      <c r="P1448">
        <f>IF(AND(ISNUMBER('자료_미국심리'!$D1432),ISNUMBER('자료_미국심리'!$E1432)),'자료_미국심리'!$D1432,"")</f>
        <v/>
      </c>
      <c r="Q1448">
        <f>IF(AND(ISNUMBER('자료_미국심리'!$G1432),ISNUMBER('자료_미국심리'!$H1432)),'자료_미국심리'!$G1432,"")</f>
        <v/>
      </c>
    </row>
    <row r="1449">
      <c r="A1449" s="10">
        <f>IF(1431&gt;$E$5,"",SMALL($O$19:$O$4018,$E$6+1431))</f>
        <v/>
      </c>
      <c r="B1449" s="29">
        <f>IF(A1449="","",INDEX('자료_미국심리'!$B$3:$B$4002,MATCH(A1449,$O$19:$O$4018,0)))</f>
        <v/>
      </c>
      <c r="C1449" s="22">
        <f>IF(A1449="","",B1449/AVERAGE(B1325:B1449)-1)</f>
        <v/>
      </c>
      <c r="D1449" s="29">
        <f>IF(A1449="","",IFERROR(INDEX('자료_미국심리'!$E$3:$E$4002,MATCH(A1449,$P$19:$P$4018,0)),D1448))</f>
        <v/>
      </c>
      <c r="E1449" s="29">
        <f>IF(A1449="","",IFERROR(INDEX('자료_미국심리'!$H$3:$H$4002,MATCH(A1449,$Q$19:$Q$4018,0)),E1448))</f>
        <v/>
      </c>
      <c r="F1449">
        <f>IF(A1449="",0,IF(A1449&gt;$B$5,1,0))</f>
        <v/>
      </c>
      <c r="G1449" s="29">
        <f>IF(AND(F1449=1,ISNUMBER(D1449)),D1449,"")</f>
        <v/>
      </c>
      <c r="H1449" s="29">
        <f>IF(AND(F1449=1,ISNUMBER(E1449)),E1449,"")</f>
        <v/>
      </c>
      <c r="I1449" s="22">
        <f>IF(AND(F1449=1,ISNUMBER(C1449)),C1449,"")</f>
        <v/>
      </c>
      <c r="J1449" s="11">
        <f>IF(G1449="","",100-IF($G$13=1,50,(_xlfn.RANK.AVG(G1449,$G$19:$G$1518,1)-1)/($G$13-1)*100))</f>
        <v/>
      </c>
      <c r="K1449" s="11">
        <f>IF(H1449="","",100-IF($G$14=1,50,(_xlfn.RANK.AVG(H1449,$H$19:$H$1518,1)-1)/($G$14-1)*100))</f>
        <v/>
      </c>
      <c r="L1449" s="11">
        <f>IF(I1449="","",IF($G$15=1,50,(_xlfn.RANK.AVG(I1449,$I$19:$I$1518,1)-1)/($G$15-1)*100))</f>
        <v/>
      </c>
      <c r="M1449" s="11">
        <f>IF(COUNT(J1449:L1449)=3,ROUND(AVERAGE(J1449:L1449),6),"")</f>
        <v/>
      </c>
      <c r="O1449">
        <f>IF(AND(ISNUMBER('자료_미국심리'!$A1433),ISNUMBER('자료_미국심리'!$B1433)),'자료_미국심리'!$A1433,"")</f>
        <v/>
      </c>
      <c r="P1449">
        <f>IF(AND(ISNUMBER('자료_미국심리'!$D1433),ISNUMBER('자료_미국심리'!$E1433)),'자료_미국심리'!$D1433,"")</f>
        <v/>
      </c>
      <c r="Q1449">
        <f>IF(AND(ISNUMBER('자료_미국심리'!$G1433),ISNUMBER('자료_미국심리'!$H1433)),'자료_미국심리'!$G1433,"")</f>
        <v/>
      </c>
    </row>
    <row r="1450">
      <c r="A1450" s="10">
        <f>IF(1432&gt;$E$5,"",SMALL($O$19:$O$4018,$E$6+1432))</f>
        <v/>
      </c>
      <c r="B1450" s="29">
        <f>IF(A1450="","",INDEX('자료_미국심리'!$B$3:$B$4002,MATCH(A1450,$O$19:$O$4018,0)))</f>
        <v/>
      </c>
      <c r="C1450" s="22">
        <f>IF(A1450="","",B1450/AVERAGE(B1326:B1450)-1)</f>
        <v/>
      </c>
      <c r="D1450" s="29">
        <f>IF(A1450="","",IFERROR(INDEX('자료_미국심리'!$E$3:$E$4002,MATCH(A1450,$P$19:$P$4018,0)),D1449))</f>
        <v/>
      </c>
      <c r="E1450" s="29">
        <f>IF(A1450="","",IFERROR(INDEX('자료_미국심리'!$H$3:$H$4002,MATCH(A1450,$Q$19:$Q$4018,0)),E1449))</f>
        <v/>
      </c>
      <c r="F1450">
        <f>IF(A1450="",0,IF(A1450&gt;$B$5,1,0))</f>
        <v/>
      </c>
      <c r="G1450" s="29">
        <f>IF(AND(F1450=1,ISNUMBER(D1450)),D1450,"")</f>
        <v/>
      </c>
      <c r="H1450" s="29">
        <f>IF(AND(F1450=1,ISNUMBER(E1450)),E1450,"")</f>
        <v/>
      </c>
      <c r="I1450" s="22">
        <f>IF(AND(F1450=1,ISNUMBER(C1450)),C1450,"")</f>
        <v/>
      </c>
      <c r="J1450" s="11">
        <f>IF(G1450="","",100-IF($G$13=1,50,(_xlfn.RANK.AVG(G1450,$G$19:$G$1518,1)-1)/($G$13-1)*100))</f>
        <v/>
      </c>
      <c r="K1450" s="11">
        <f>IF(H1450="","",100-IF($G$14=1,50,(_xlfn.RANK.AVG(H1450,$H$19:$H$1518,1)-1)/($G$14-1)*100))</f>
        <v/>
      </c>
      <c r="L1450" s="11">
        <f>IF(I1450="","",IF($G$15=1,50,(_xlfn.RANK.AVG(I1450,$I$19:$I$1518,1)-1)/($G$15-1)*100))</f>
        <v/>
      </c>
      <c r="M1450" s="11">
        <f>IF(COUNT(J1450:L1450)=3,ROUND(AVERAGE(J1450:L1450),6),"")</f>
        <v/>
      </c>
      <c r="O1450">
        <f>IF(AND(ISNUMBER('자료_미국심리'!$A1434),ISNUMBER('자료_미국심리'!$B1434)),'자료_미국심리'!$A1434,"")</f>
        <v/>
      </c>
      <c r="P1450">
        <f>IF(AND(ISNUMBER('자료_미국심리'!$D1434),ISNUMBER('자료_미국심리'!$E1434)),'자료_미국심리'!$D1434,"")</f>
        <v/>
      </c>
      <c r="Q1450">
        <f>IF(AND(ISNUMBER('자료_미국심리'!$G1434),ISNUMBER('자료_미국심리'!$H1434)),'자료_미국심리'!$G1434,"")</f>
        <v/>
      </c>
    </row>
    <row r="1451">
      <c r="A1451" s="10">
        <f>IF(1433&gt;$E$5,"",SMALL($O$19:$O$4018,$E$6+1433))</f>
        <v/>
      </c>
      <c r="B1451" s="29">
        <f>IF(A1451="","",INDEX('자료_미국심리'!$B$3:$B$4002,MATCH(A1451,$O$19:$O$4018,0)))</f>
        <v/>
      </c>
      <c r="C1451" s="22">
        <f>IF(A1451="","",B1451/AVERAGE(B1327:B1451)-1)</f>
        <v/>
      </c>
      <c r="D1451" s="29">
        <f>IF(A1451="","",IFERROR(INDEX('자료_미국심리'!$E$3:$E$4002,MATCH(A1451,$P$19:$P$4018,0)),D1450))</f>
        <v/>
      </c>
      <c r="E1451" s="29">
        <f>IF(A1451="","",IFERROR(INDEX('자료_미국심리'!$H$3:$H$4002,MATCH(A1451,$Q$19:$Q$4018,0)),E1450))</f>
        <v/>
      </c>
      <c r="F1451">
        <f>IF(A1451="",0,IF(A1451&gt;$B$5,1,0))</f>
        <v/>
      </c>
      <c r="G1451" s="29">
        <f>IF(AND(F1451=1,ISNUMBER(D1451)),D1451,"")</f>
        <v/>
      </c>
      <c r="H1451" s="29">
        <f>IF(AND(F1451=1,ISNUMBER(E1451)),E1451,"")</f>
        <v/>
      </c>
      <c r="I1451" s="22">
        <f>IF(AND(F1451=1,ISNUMBER(C1451)),C1451,"")</f>
        <v/>
      </c>
      <c r="J1451" s="11">
        <f>IF(G1451="","",100-IF($G$13=1,50,(_xlfn.RANK.AVG(G1451,$G$19:$G$1518,1)-1)/($G$13-1)*100))</f>
        <v/>
      </c>
      <c r="K1451" s="11">
        <f>IF(H1451="","",100-IF($G$14=1,50,(_xlfn.RANK.AVG(H1451,$H$19:$H$1518,1)-1)/($G$14-1)*100))</f>
        <v/>
      </c>
      <c r="L1451" s="11">
        <f>IF(I1451="","",IF($G$15=1,50,(_xlfn.RANK.AVG(I1451,$I$19:$I$1518,1)-1)/($G$15-1)*100))</f>
        <v/>
      </c>
      <c r="M1451" s="11">
        <f>IF(COUNT(J1451:L1451)=3,ROUND(AVERAGE(J1451:L1451),6),"")</f>
        <v/>
      </c>
      <c r="O1451">
        <f>IF(AND(ISNUMBER('자료_미국심리'!$A1435),ISNUMBER('자료_미국심리'!$B1435)),'자료_미국심리'!$A1435,"")</f>
        <v/>
      </c>
      <c r="P1451">
        <f>IF(AND(ISNUMBER('자료_미국심리'!$D1435),ISNUMBER('자료_미국심리'!$E1435)),'자료_미국심리'!$D1435,"")</f>
        <v/>
      </c>
      <c r="Q1451">
        <f>IF(AND(ISNUMBER('자료_미국심리'!$G1435),ISNUMBER('자료_미국심리'!$H1435)),'자료_미국심리'!$G1435,"")</f>
        <v/>
      </c>
    </row>
    <row r="1452">
      <c r="A1452" s="10">
        <f>IF(1434&gt;$E$5,"",SMALL($O$19:$O$4018,$E$6+1434))</f>
        <v/>
      </c>
      <c r="B1452" s="29">
        <f>IF(A1452="","",INDEX('자료_미국심리'!$B$3:$B$4002,MATCH(A1452,$O$19:$O$4018,0)))</f>
        <v/>
      </c>
      <c r="C1452" s="22">
        <f>IF(A1452="","",B1452/AVERAGE(B1328:B1452)-1)</f>
        <v/>
      </c>
      <c r="D1452" s="29">
        <f>IF(A1452="","",IFERROR(INDEX('자료_미국심리'!$E$3:$E$4002,MATCH(A1452,$P$19:$P$4018,0)),D1451))</f>
        <v/>
      </c>
      <c r="E1452" s="29">
        <f>IF(A1452="","",IFERROR(INDEX('자료_미국심리'!$H$3:$H$4002,MATCH(A1452,$Q$19:$Q$4018,0)),E1451))</f>
        <v/>
      </c>
      <c r="F1452">
        <f>IF(A1452="",0,IF(A1452&gt;$B$5,1,0))</f>
        <v/>
      </c>
      <c r="G1452" s="29">
        <f>IF(AND(F1452=1,ISNUMBER(D1452)),D1452,"")</f>
        <v/>
      </c>
      <c r="H1452" s="29">
        <f>IF(AND(F1452=1,ISNUMBER(E1452)),E1452,"")</f>
        <v/>
      </c>
      <c r="I1452" s="22">
        <f>IF(AND(F1452=1,ISNUMBER(C1452)),C1452,"")</f>
        <v/>
      </c>
      <c r="J1452" s="11">
        <f>IF(G1452="","",100-IF($G$13=1,50,(_xlfn.RANK.AVG(G1452,$G$19:$G$1518,1)-1)/($G$13-1)*100))</f>
        <v/>
      </c>
      <c r="K1452" s="11">
        <f>IF(H1452="","",100-IF($G$14=1,50,(_xlfn.RANK.AVG(H1452,$H$19:$H$1518,1)-1)/($G$14-1)*100))</f>
        <v/>
      </c>
      <c r="L1452" s="11">
        <f>IF(I1452="","",IF($G$15=1,50,(_xlfn.RANK.AVG(I1452,$I$19:$I$1518,1)-1)/($G$15-1)*100))</f>
        <v/>
      </c>
      <c r="M1452" s="11">
        <f>IF(COUNT(J1452:L1452)=3,ROUND(AVERAGE(J1452:L1452),6),"")</f>
        <v/>
      </c>
      <c r="O1452">
        <f>IF(AND(ISNUMBER('자료_미국심리'!$A1436),ISNUMBER('자료_미국심리'!$B1436)),'자료_미국심리'!$A1436,"")</f>
        <v/>
      </c>
      <c r="P1452">
        <f>IF(AND(ISNUMBER('자료_미국심리'!$D1436),ISNUMBER('자료_미국심리'!$E1436)),'자료_미국심리'!$D1436,"")</f>
        <v/>
      </c>
      <c r="Q1452">
        <f>IF(AND(ISNUMBER('자료_미국심리'!$G1436),ISNUMBER('자료_미국심리'!$H1436)),'자료_미국심리'!$G1436,"")</f>
        <v/>
      </c>
    </row>
    <row r="1453">
      <c r="A1453" s="10">
        <f>IF(1435&gt;$E$5,"",SMALL($O$19:$O$4018,$E$6+1435))</f>
        <v/>
      </c>
      <c r="B1453" s="29">
        <f>IF(A1453="","",INDEX('자료_미국심리'!$B$3:$B$4002,MATCH(A1453,$O$19:$O$4018,0)))</f>
        <v/>
      </c>
      <c r="C1453" s="22">
        <f>IF(A1453="","",B1453/AVERAGE(B1329:B1453)-1)</f>
        <v/>
      </c>
      <c r="D1453" s="29">
        <f>IF(A1453="","",IFERROR(INDEX('자료_미국심리'!$E$3:$E$4002,MATCH(A1453,$P$19:$P$4018,0)),D1452))</f>
        <v/>
      </c>
      <c r="E1453" s="29">
        <f>IF(A1453="","",IFERROR(INDEX('자료_미국심리'!$H$3:$H$4002,MATCH(A1453,$Q$19:$Q$4018,0)),E1452))</f>
        <v/>
      </c>
      <c r="F1453">
        <f>IF(A1453="",0,IF(A1453&gt;$B$5,1,0))</f>
        <v/>
      </c>
      <c r="G1453" s="29">
        <f>IF(AND(F1453=1,ISNUMBER(D1453)),D1453,"")</f>
        <v/>
      </c>
      <c r="H1453" s="29">
        <f>IF(AND(F1453=1,ISNUMBER(E1453)),E1453,"")</f>
        <v/>
      </c>
      <c r="I1453" s="22">
        <f>IF(AND(F1453=1,ISNUMBER(C1453)),C1453,"")</f>
        <v/>
      </c>
      <c r="J1453" s="11">
        <f>IF(G1453="","",100-IF($G$13=1,50,(_xlfn.RANK.AVG(G1453,$G$19:$G$1518,1)-1)/($G$13-1)*100))</f>
        <v/>
      </c>
      <c r="K1453" s="11">
        <f>IF(H1453="","",100-IF($G$14=1,50,(_xlfn.RANK.AVG(H1453,$H$19:$H$1518,1)-1)/($G$14-1)*100))</f>
        <v/>
      </c>
      <c r="L1453" s="11">
        <f>IF(I1453="","",IF($G$15=1,50,(_xlfn.RANK.AVG(I1453,$I$19:$I$1518,1)-1)/($G$15-1)*100))</f>
        <v/>
      </c>
      <c r="M1453" s="11">
        <f>IF(COUNT(J1453:L1453)=3,ROUND(AVERAGE(J1453:L1453),6),"")</f>
        <v/>
      </c>
      <c r="O1453">
        <f>IF(AND(ISNUMBER('자료_미국심리'!$A1437),ISNUMBER('자료_미국심리'!$B1437)),'자료_미국심리'!$A1437,"")</f>
        <v/>
      </c>
      <c r="P1453">
        <f>IF(AND(ISNUMBER('자료_미국심리'!$D1437),ISNUMBER('자료_미국심리'!$E1437)),'자료_미국심리'!$D1437,"")</f>
        <v/>
      </c>
      <c r="Q1453">
        <f>IF(AND(ISNUMBER('자료_미국심리'!$G1437),ISNUMBER('자료_미국심리'!$H1437)),'자료_미국심리'!$G1437,"")</f>
        <v/>
      </c>
    </row>
    <row r="1454">
      <c r="A1454" s="10">
        <f>IF(1436&gt;$E$5,"",SMALL($O$19:$O$4018,$E$6+1436))</f>
        <v/>
      </c>
      <c r="B1454" s="29">
        <f>IF(A1454="","",INDEX('자료_미국심리'!$B$3:$B$4002,MATCH(A1454,$O$19:$O$4018,0)))</f>
        <v/>
      </c>
      <c r="C1454" s="22">
        <f>IF(A1454="","",B1454/AVERAGE(B1330:B1454)-1)</f>
        <v/>
      </c>
      <c r="D1454" s="29">
        <f>IF(A1454="","",IFERROR(INDEX('자료_미국심리'!$E$3:$E$4002,MATCH(A1454,$P$19:$P$4018,0)),D1453))</f>
        <v/>
      </c>
      <c r="E1454" s="29">
        <f>IF(A1454="","",IFERROR(INDEX('자료_미국심리'!$H$3:$H$4002,MATCH(A1454,$Q$19:$Q$4018,0)),E1453))</f>
        <v/>
      </c>
      <c r="F1454">
        <f>IF(A1454="",0,IF(A1454&gt;$B$5,1,0))</f>
        <v/>
      </c>
      <c r="G1454" s="29">
        <f>IF(AND(F1454=1,ISNUMBER(D1454)),D1454,"")</f>
        <v/>
      </c>
      <c r="H1454" s="29">
        <f>IF(AND(F1454=1,ISNUMBER(E1454)),E1454,"")</f>
        <v/>
      </c>
      <c r="I1454" s="22">
        <f>IF(AND(F1454=1,ISNUMBER(C1454)),C1454,"")</f>
        <v/>
      </c>
      <c r="J1454" s="11">
        <f>IF(G1454="","",100-IF($G$13=1,50,(_xlfn.RANK.AVG(G1454,$G$19:$G$1518,1)-1)/($G$13-1)*100))</f>
        <v/>
      </c>
      <c r="K1454" s="11">
        <f>IF(H1454="","",100-IF($G$14=1,50,(_xlfn.RANK.AVG(H1454,$H$19:$H$1518,1)-1)/($G$14-1)*100))</f>
        <v/>
      </c>
      <c r="L1454" s="11">
        <f>IF(I1454="","",IF($G$15=1,50,(_xlfn.RANK.AVG(I1454,$I$19:$I$1518,1)-1)/($G$15-1)*100))</f>
        <v/>
      </c>
      <c r="M1454" s="11">
        <f>IF(COUNT(J1454:L1454)=3,ROUND(AVERAGE(J1454:L1454),6),"")</f>
        <v/>
      </c>
      <c r="O1454">
        <f>IF(AND(ISNUMBER('자료_미국심리'!$A1438),ISNUMBER('자료_미국심리'!$B1438)),'자료_미국심리'!$A1438,"")</f>
        <v/>
      </c>
      <c r="P1454">
        <f>IF(AND(ISNUMBER('자료_미국심리'!$D1438),ISNUMBER('자료_미국심리'!$E1438)),'자료_미국심리'!$D1438,"")</f>
        <v/>
      </c>
      <c r="Q1454">
        <f>IF(AND(ISNUMBER('자료_미국심리'!$G1438),ISNUMBER('자료_미국심리'!$H1438)),'자료_미국심리'!$G1438,"")</f>
        <v/>
      </c>
    </row>
    <row r="1455">
      <c r="A1455" s="10">
        <f>IF(1437&gt;$E$5,"",SMALL($O$19:$O$4018,$E$6+1437))</f>
        <v/>
      </c>
      <c r="B1455" s="29">
        <f>IF(A1455="","",INDEX('자료_미국심리'!$B$3:$B$4002,MATCH(A1455,$O$19:$O$4018,0)))</f>
        <v/>
      </c>
      <c r="C1455" s="22">
        <f>IF(A1455="","",B1455/AVERAGE(B1331:B1455)-1)</f>
        <v/>
      </c>
      <c r="D1455" s="29">
        <f>IF(A1455="","",IFERROR(INDEX('자료_미국심리'!$E$3:$E$4002,MATCH(A1455,$P$19:$P$4018,0)),D1454))</f>
        <v/>
      </c>
      <c r="E1455" s="29">
        <f>IF(A1455="","",IFERROR(INDEX('자료_미국심리'!$H$3:$H$4002,MATCH(A1455,$Q$19:$Q$4018,0)),E1454))</f>
        <v/>
      </c>
      <c r="F1455">
        <f>IF(A1455="",0,IF(A1455&gt;$B$5,1,0))</f>
        <v/>
      </c>
      <c r="G1455" s="29">
        <f>IF(AND(F1455=1,ISNUMBER(D1455)),D1455,"")</f>
        <v/>
      </c>
      <c r="H1455" s="29">
        <f>IF(AND(F1455=1,ISNUMBER(E1455)),E1455,"")</f>
        <v/>
      </c>
      <c r="I1455" s="22">
        <f>IF(AND(F1455=1,ISNUMBER(C1455)),C1455,"")</f>
        <v/>
      </c>
      <c r="J1455" s="11">
        <f>IF(G1455="","",100-IF($G$13=1,50,(_xlfn.RANK.AVG(G1455,$G$19:$G$1518,1)-1)/($G$13-1)*100))</f>
        <v/>
      </c>
      <c r="K1455" s="11">
        <f>IF(H1455="","",100-IF($G$14=1,50,(_xlfn.RANK.AVG(H1455,$H$19:$H$1518,1)-1)/($G$14-1)*100))</f>
        <v/>
      </c>
      <c r="L1455" s="11">
        <f>IF(I1455="","",IF($G$15=1,50,(_xlfn.RANK.AVG(I1455,$I$19:$I$1518,1)-1)/($G$15-1)*100))</f>
        <v/>
      </c>
      <c r="M1455" s="11">
        <f>IF(COUNT(J1455:L1455)=3,ROUND(AVERAGE(J1455:L1455),6),"")</f>
        <v/>
      </c>
      <c r="O1455">
        <f>IF(AND(ISNUMBER('자료_미국심리'!$A1439),ISNUMBER('자료_미국심리'!$B1439)),'자료_미국심리'!$A1439,"")</f>
        <v/>
      </c>
      <c r="P1455">
        <f>IF(AND(ISNUMBER('자료_미국심리'!$D1439),ISNUMBER('자료_미국심리'!$E1439)),'자료_미국심리'!$D1439,"")</f>
        <v/>
      </c>
      <c r="Q1455">
        <f>IF(AND(ISNUMBER('자료_미국심리'!$G1439),ISNUMBER('자료_미국심리'!$H1439)),'자료_미국심리'!$G1439,"")</f>
        <v/>
      </c>
    </row>
    <row r="1456">
      <c r="A1456" s="10">
        <f>IF(1438&gt;$E$5,"",SMALL($O$19:$O$4018,$E$6+1438))</f>
        <v/>
      </c>
      <c r="B1456" s="29">
        <f>IF(A1456="","",INDEX('자료_미국심리'!$B$3:$B$4002,MATCH(A1456,$O$19:$O$4018,0)))</f>
        <v/>
      </c>
      <c r="C1456" s="22">
        <f>IF(A1456="","",B1456/AVERAGE(B1332:B1456)-1)</f>
        <v/>
      </c>
      <c r="D1456" s="29">
        <f>IF(A1456="","",IFERROR(INDEX('자료_미국심리'!$E$3:$E$4002,MATCH(A1456,$P$19:$P$4018,0)),D1455))</f>
        <v/>
      </c>
      <c r="E1456" s="29">
        <f>IF(A1456="","",IFERROR(INDEX('자료_미국심리'!$H$3:$H$4002,MATCH(A1456,$Q$19:$Q$4018,0)),E1455))</f>
        <v/>
      </c>
      <c r="F1456">
        <f>IF(A1456="",0,IF(A1456&gt;$B$5,1,0))</f>
        <v/>
      </c>
      <c r="G1456" s="29">
        <f>IF(AND(F1456=1,ISNUMBER(D1456)),D1456,"")</f>
        <v/>
      </c>
      <c r="H1456" s="29">
        <f>IF(AND(F1456=1,ISNUMBER(E1456)),E1456,"")</f>
        <v/>
      </c>
      <c r="I1456" s="22">
        <f>IF(AND(F1456=1,ISNUMBER(C1456)),C1456,"")</f>
        <v/>
      </c>
      <c r="J1456" s="11">
        <f>IF(G1456="","",100-IF($G$13=1,50,(_xlfn.RANK.AVG(G1456,$G$19:$G$1518,1)-1)/($G$13-1)*100))</f>
        <v/>
      </c>
      <c r="K1456" s="11">
        <f>IF(H1456="","",100-IF($G$14=1,50,(_xlfn.RANK.AVG(H1456,$H$19:$H$1518,1)-1)/($G$14-1)*100))</f>
        <v/>
      </c>
      <c r="L1456" s="11">
        <f>IF(I1456="","",IF($G$15=1,50,(_xlfn.RANK.AVG(I1456,$I$19:$I$1518,1)-1)/($G$15-1)*100))</f>
        <v/>
      </c>
      <c r="M1456" s="11">
        <f>IF(COUNT(J1456:L1456)=3,ROUND(AVERAGE(J1456:L1456),6),"")</f>
        <v/>
      </c>
      <c r="O1456">
        <f>IF(AND(ISNUMBER('자료_미국심리'!$A1440),ISNUMBER('자료_미국심리'!$B1440)),'자료_미국심리'!$A1440,"")</f>
        <v/>
      </c>
      <c r="P1456">
        <f>IF(AND(ISNUMBER('자료_미국심리'!$D1440),ISNUMBER('자료_미국심리'!$E1440)),'자료_미국심리'!$D1440,"")</f>
        <v/>
      </c>
      <c r="Q1456">
        <f>IF(AND(ISNUMBER('자료_미국심리'!$G1440),ISNUMBER('자료_미국심리'!$H1440)),'자료_미국심리'!$G1440,"")</f>
        <v/>
      </c>
    </row>
    <row r="1457">
      <c r="A1457" s="10">
        <f>IF(1439&gt;$E$5,"",SMALL($O$19:$O$4018,$E$6+1439))</f>
        <v/>
      </c>
      <c r="B1457" s="29">
        <f>IF(A1457="","",INDEX('자료_미국심리'!$B$3:$B$4002,MATCH(A1457,$O$19:$O$4018,0)))</f>
        <v/>
      </c>
      <c r="C1457" s="22">
        <f>IF(A1457="","",B1457/AVERAGE(B1333:B1457)-1)</f>
        <v/>
      </c>
      <c r="D1457" s="29">
        <f>IF(A1457="","",IFERROR(INDEX('자료_미국심리'!$E$3:$E$4002,MATCH(A1457,$P$19:$P$4018,0)),D1456))</f>
        <v/>
      </c>
      <c r="E1457" s="29">
        <f>IF(A1457="","",IFERROR(INDEX('자료_미국심리'!$H$3:$H$4002,MATCH(A1457,$Q$19:$Q$4018,0)),E1456))</f>
        <v/>
      </c>
      <c r="F1457">
        <f>IF(A1457="",0,IF(A1457&gt;$B$5,1,0))</f>
        <v/>
      </c>
      <c r="G1457" s="29">
        <f>IF(AND(F1457=1,ISNUMBER(D1457)),D1457,"")</f>
        <v/>
      </c>
      <c r="H1457" s="29">
        <f>IF(AND(F1457=1,ISNUMBER(E1457)),E1457,"")</f>
        <v/>
      </c>
      <c r="I1457" s="22">
        <f>IF(AND(F1457=1,ISNUMBER(C1457)),C1457,"")</f>
        <v/>
      </c>
      <c r="J1457" s="11">
        <f>IF(G1457="","",100-IF($G$13=1,50,(_xlfn.RANK.AVG(G1457,$G$19:$G$1518,1)-1)/($G$13-1)*100))</f>
        <v/>
      </c>
      <c r="K1457" s="11">
        <f>IF(H1457="","",100-IF($G$14=1,50,(_xlfn.RANK.AVG(H1457,$H$19:$H$1518,1)-1)/($G$14-1)*100))</f>
        <v/>
      </c>
      <c r="L1457" s="11">
        <f>IF(I1457="","",IF($G$15=1,50,(_xlfn.RANK.AVG(I1457,$I$19:$I$1518,1)-1)/($G$15-1)*100))</f>
        <v/>
      </c>
      <c r="M1457" s="11">
        <f>IF(COUNT(J1457:L1457)=3,ROUND(AVERAGE(J1457:L1457),6),"")</f>
        <v/>
      </c>
      <c r="O1457">
        <f>IF(AND(ISNUMBER('자료_미국심리'!$A1441),ISNUMBER('자료_미국심리'!$B1441)),'자료_미국심리'!$A1441,"")</f>
        <v/>
      </c>
      <c r="P1457">
        <f>IF(AND(ISNUMBER('자료_미국심리'!$D1441),ISNUMBER('자료_미국심리'!$E1441)),'자료_미국심리'!$D1441,"")</f>
        <v/>
      </c>
      <c r="Q1457">
        <f>IF(AND(ISNUMBER('자료_미국심리'!$G1441),ISNUMBER('자료_미국심리'!$H1441)),'자료_미국심리'!$G1441,"")</f>
        <v/>
      </c>
    </row>
    <row r="1458">
      <c r="A1458" s="10">
        <f>IF(1440&gt;$E$5,"",SMALL($O$19:$O$4018,$E$6+1440))</f>
        <v/>
      </c>
      <c r="B1458" s="29">
        <f>IF(A1458="","",INDEX('자료_미국심리'!$B$3:$B$4002,MATCH(A1458,$O$19:$O$4018,0)))</f>
        <v/>
      </c>
      <c r="C1458" s="22">
        <f>IF(A1458="","",B1458/AVERAGE(B1334:B1458)-1)</f>
        <v/>
      </c>
      <c r="D1458" s="29">
        <f>IF(A1458="","",IFERROR(INDEX('자료_미국심리'!$E$3:$E$4002,MATCH(A1458,$P$19:$P$4018,0)),D1457))</f>
        <v/>
      </c>
      <c r="E1458" s="29">
        <f>IF(A1458="","",IFERROR(INDEX('자료_미국심리'!$H$3:$H$4002,MATCH(A1458,$Q$19:$Q$4018,0)),E1457))</f>
        <v/>
      </c>
      <c r="F1458">
        <f>IF(A1458="",0,IF(A1458&gt;$B$5,1,0))</f>
        <v/>
      </c>
      <c r="G1458" s="29">
        <f>IF(AND(F1458=1,ISNUMBER(D1458)),D1458,"")</f>
        <v/>
      </c>
      <c r="H1458" s="29">
        <f>IF(AND(F1458=1,ISNUMBER(E1458)),E1458,"")</f>
        <v/>
      </c>
      <c r="I1458" s="22">
        <f>IF(AND(F1458=1,ISNUMBER(C1458)),C1458,"")</f>
        <v/>
      </c>
      <c r="J1458" s="11">
        <f>IF(G1458="","",100-IF($G$13=1,50,(_xlfn.RANK.AVG(G1458,$G$19:$G$1518,1)-1)/($G$13-1)*100))</f>
        <v/>
      </c>
      <c r="K1458" s="11">
        <f>IF(H1458="","",100-IF($G$14=1,50,(_xlfn.RANK.AVG(H1458,$H$19:$H$1518,1)-1)/($G$14-1)*100))</f>
        <v/>
      </c>
      <c r="L1458" s="11">
        <f>IF(I1458="","",IF($G$15=1,50,(_xlfn.RANK.AVG(I1458,$I$19:$I$1518,1)-1)/($G$15-1)*100))</f>
        <v/>
      </c>
      <c r="M1458" s="11">
        <f>IF(COUNT(J1458:L1458)=3,ROUND(AVERAGE(J1458:L1458),6),"")</f>
        <v/>
      </c>
      <c r="O1458">
        <f>IF(AND(ISNUMBER('자료_미국심리'!$A1442),ISNUMBER('자료_미국심리'!$B1442)),'자료_미국심리'!$A1442,"")</f>
        <v/>
      </c>
      <c r="P1458">
        <f>IF(AND(ISNUMBER('자료_미국심리'!$D1442),ISNUMBER('자료_미국심리'!$E1442)),'자료_미국심리'!$D1442,"")</f>
        <v/>
      </c>
      <c r="Q1458">
        <f>IF(AND(ISNUMBER('자료_미국심리'!$G1442),ISNUMBER('자료_미국심리'!$H1442)),'자료_미국심리'!$G1442,"")</f>
        <v/>
      </c>
    </row>
    <row r="1459">
      <c r="A1459" s="10">
        <f>IF(1441&gt;$E$5,"",SMALL($O$19:$O$4018,$E$6+1441))</f>
        <v/>
      </c>
      <c r="B1459" s="29">
        <f>IF(A1459="","",INDEX('자료_미국심리'!$B$3:$B$4002,MATCH(A1459,$O$19:$O$4018,0)))</f>
        <v/>
      </c>
      <c r="C1459" s="22">
        <f>IF(A1459="","",B1459/AVERAGE(B1335:B1459)-1)</f>
        <v/>
      </c>
      <c r="D1459" s="29">
        <f>IF(A1459="","",IFERROR(INDEX('자료_미국심리'!$E$3:$E$4002,MATCH(A1459,$P$19:$P$4018,0)),D1458))</f>
        <v/>
      </c>
      <c r="E1459" s="29">
        <f>IF(A1459="","",IFERROR(INDEX('자료_미국심리'!$H$3:$H$4002,MATCH(A1459,$Q$19:$Q$4018,0)),E1458))</f>
        <v/>
      </c>
      <c r="F1459">
        <f>IF(A1459="",0,IF(A1459&gt;$B$5,1,0))</f>
        <v/>
      </c>
      <c r="G1459" s="29">
        <f>IF(AND(F1459=1,ISNUMBER(D1459)),D1459,"")</f>
        <v/>
      </c>
      <c r="H1459" s="29">
        <f>IF(AND(F1459=1,ISNUMBER(E1459)),E1459,"")</f>
        <v/>
      </c>
      <c r="I1459" s="22">
        <f>IF(AND(F1459=1,ISNUMBER(C1459)),C1459,"")</f>
        <v/>
      </c>
      <c r="J1459" s="11">
        <f>IF(G1459="","",100-IF($G$13=1,50,(_xlfn.RANK.AVG(G1459,$G$19:$G$1518,1)-1)/($G$13-1)*100))</f>
        <v/>
      </c>
      <c r="K1459" s="11">
        <f>IF(H1459="","",100-IF($G$14=1,50,(_xlfn.RANK.AVG(H1459,$H$19:$H$1518,1)-1)/($G$14-1)*100))</f>
        <v/>
      </c>
      <c r="L1459" s="11">
        <f>IF(I1459="","",IF($G$15=1,50,(_xlfn.RANK.AVG(I1459,$I$19:$I$1518,1)-1)/($G$15-1)*100))</f>
        <v/>
      </c>
      <c r="M1459" s="11">
        <f>IF(COUNT(J1459:L1459)=3,ROUND(AVERAGE(J1459:L1459),6),"")</f>
        <v/>
      </c>
      <c r="O1459">
        <f>IF(AND(ISNUMBER('자료_미국심리'!$A1443),ISNUMBER('자료_미국심리'!$B1443)),'자료_미국심리'!$A1443,"")</f>
        <v/>
      </c>
      <c r="P1459">
        <f>IF(AND(ISNUMBER('자료_미국심리'!$D1443),ISNUMBER('자료_미국심리'!$E1443)),'자료_미국심리'!$D1443,"")</f>
        <v/>
      </c>
      <c r="Q1459">
        <f>IF(AND(ISNUMBER('자료_미국심리'!$G1443),ISNUMBER('자료_미국심리'!$H1443)),'자료_미국심리'!$G1443,"")</f>
        <v/>
      </c>
    </row>
    <row r="1460">
      <c r="A1460" s="10">
        <f>IF(1442&gt;$E$5,"",SMALL($O$19:$O$4018,$E$6+1442))</f>
        <v/>
      </c>
      <c r="B1460" s="29">
        <f>IF(A1460="","",INDEX('자료_미국심리'!$B$3:$B$4002,MATCH(A1460,$O$19:$O$4018,0)))</f>
        <v/>
      </c>
      <c r="C1460" s="22">
        <f>IF(A1460="","",B1460/AVERAGE(B1336:B1460)-1)</f>
        <v/>
      </c>
      <c r="D1460" s="29">
        <f>IF(A1460="","",IFERROR(INDEX('자료_미국심리'!$E$3:$E$4002,MATCH(A1460,$P$19:$P$4018,0)),D1459))</f>
        <v/>
      </c>
      <c r="E1460" s="29">
        <f>IF(A1460="","",IFERROR(INDEX('자료_미국심리'!$H$3:$H$4002,MATCH(A1460,$Q$19:$Q$4018,0)),E1459))</f>
        <v/>
      </c>
      <c r="F1460">
        <f>IF(A1460="",0,IF(A1460&gt;$B$5,1,0))</f>
        <v/>
      </c>
      <c r="G1460" s="29">
        <f>IF(AND(F1460=1,ISNUMBER(D1460)),D1460,"")</f>
        <v/>
      </c>
      <c r="H1460" s="29">
        <f>IF(AND(F1460=1,ISNUMBER(E1460)),E1460,"")</f>
        <v/>
      </c>
      <c r="I1460" s="22">
        <f>IF(AND(F1460=1,ISNUMBER(C1460)),C1460,"")</f>
        <v/>
      </c>
      <c r="J1460" s="11">
        <f>IF(G1460="","",100-IF($G$13=1,50,(_xlfn.RANK.AVG(G1460,$G$19:$G$1518,1)-1)/($G$13-1)*100))</f>
        <v/>
      </c>
      <c r="K1460" s="11">
        <f>IF(H1460="","",100-IF($G$14=1,50,(_xlfn.RANK.AVG(H1460,$H$19:$H$1518,1)-1)/($G$14-1)*100))</f>
        <v/>
      </c>
      <c r="L1460" s="11">
        <f>IF(I1460="","",IF($G$15=1,50,(_xlfn.RANK.AVG(I1460,$I$19:$I$1518,1)-1)/($G$15-1)*100))</f>
        <v/>
      </c>
      <c r="M1460" s="11">
        <f>IF(COUNT(J1460:L1460)=3,ROUND(AVERAGE(J1460:L1460),6),"")</f>
        <v/>
      </c>
      <c r="O1460">
        <f>IF(AND(ISNUMBER('자료_미국심리'!$A1444),ISNUMBER('자료_미국심리'!$B1444)),'자료_미국심리'!$A1444,"")</f>
        <v/>
      </c>
      <c r="P1460">
        <f>IF(AND(ISNUMBER('자료_미국심리'!$D1444),ISNUMBER('자료_미국심리'!$E1444)),'자료_미국심리'!$D1444,"")</f>
        <v/>
      </c>
      <c r="Q1460">
        <f>IF(AND(ISNUMBER('자료_미국심리'!$G1444),ISNUMBER('자료_미국심리'!$H1444)),'자료_미국심리'!$G1444,"")</f>
        <v/>
      </c>
    </row>
    <row r="1461">
      <c r="A1461" s="10">
        <f>IF(1443&gt;$E$5,"",SMALL($O$19:$O$4018,$E$6+1443))</f>
        <v/>
      </c>
      <c r="B1461" s="29">
        <f>IF(A1461="","",INDEX('자료_미국심리'!$B$3:$B$4002,MATCH(A1461,$O$19:$O$4018,0)))</f>
        <v/>
      </c>
      <c r="C1461" s="22">
        <f>IF(A1461="","",B1461/AVERAGE(B1337:B1461)-1)</f>
        <v/>
      </c>
      <c r="D1461" s="29">
        <f>IF(A1461="","",IFERROR(INDEX('자료_미국심리'!$E$3:$E$4002,MATCH(A1461,$P$19:$P$4018,0)),D1460))</f>
        <v/>
      </c>
      <c r="E1461" s="29">
        <f>IF(A1461="","",IFERROR(INDEX('자료_미국심리'!$H$3:$H$4002,MATCH(A1461,$Q$19:$Q$4018,0)),E1460))</f>
        <v/>
      </c>
      <c r="F1461">
        <f>IF(A1461="",0,IF(A1461&gt;$B$5,1,0))</f>
        <v/>
      </c>
      <c r="G1461" s="29">
        <f>IF(AND(F1461=1,ISNUMBER(D1461)),D1461,"")</f>
        <v/>
      </c>
      <c r="H1461" s="29">
        <f>IF(AND(F1461=1,ISNUMBER(E1461)),E1461,"")</f>
        <v/>
      </c>
      <c r="I1461" s="22">
        <f>IF(AND(F1461=1,ISNUMBER(C1461)),C1461,"")</f>
        <v/>
      </c>
      <c r="J1461" s="11">
        <f>IF(G1461="","",100-IF($G$13=1,50,(_xlfn.RANK.AVG(G1461,$G$19:$G$1518,1)-1)/($G$13-1)*100))</f>
        <v/>
      </c>
      <c r="K1461" s="11">
        <f>IF(H1461="","",100-IF($G$14=1,50,(_xlfn.RANK.AVG(H1461,$H$19:$H$1518,1)-1)/($G$14-1)*100))</f>
        <v/>
      </c>
      <c r="L1461" s="11">
        <f>IF(I1461="","",IF($G$15=1,50,(_xlfn.RANK.AVG(I1461,$I$19:$I$1518,1)-1)/($G$15-1)*100))</f>
        <v/>
      </c>
      <c r="M1461" s="11">
        <f>IF(COUNT(J1461:L1461)=3,ROUND(AVERAGE(J1461:L1461),6),"")</f>
        <v/>
      </c>
      <c r="O1461">
        <f>IF(AND(ISNUMBER('자료_미국심리'!$A1445),ISNUMBER('자료_미국심리'!$B1445)),'자료_미국심리'!$A1445,"")</f>
        <v/>
      </c>
      <c r="P1461">
        <f>IF(AND(ISNUMBER('자료_미국심리'!$D1445),ISNUMBER('자료_미국심리'!$E1445)),'자료_미국심리'!$D1445,"")</f>
        <v/>
      </c>
      <c r="Q1461">
        <f>IF(AND(ISNUMBER('자료_미국심리'!$G1445),ISNUMBER('자료_미국심리'!$H1445)),'자료_미국심리'!$G1445,"")</f>
        <v/>
      </c>
    </row>
    <row r="1462">
      <c r="A1462" s="10">
        <f>IF(1444&gt;$E$5,"",SMALL($O$19:$O$4018,$E$6+1444))</f>
        <v/>
      </c>
      <c r="B1462" s="29">
        <f>IF(A1462="","",INDEX('자료_미국심리'!$B$3:$B$4002,MATCH(A1462,$O$19:$O$4018,0)))</f>
        <v/>
      </c>
      <c r="C1462" s="22">
        <f>IF(A1462="","",B1462/AVERAGE(B1338:B1462)-1)</f>
        <v/>
      </c>
      <c r="D1462" s="29">
        <f>IF(A1462="","",IFERROR(INDEX('자료_미국심리'!$E$3:$E$4002,MATCH(A1462,$P$19:$P$4018,0)),D1461))</f>
        <v/>
      </c>
      <c r="E1462" s="29">
        <f>IF(A1462="","",IFERROR(INDEX('자료_미국심리'!$H$3:$H$4002,MATCH(A1462,$Q$19:$Q$4018,0)),E1461))</f>
        <v/>
      </c>
      <c r="F1462">
        <f>IF(A1462="",0,IF(A1462&gt;$B$5,1,0))</f>
        <v/>
      </c>
      <c r="G1462" s="29">
        <f>IF(AND(F1462=1,ISNUMBER(D1462)),D1462,"")</f>
        <v/>
      </c>
      <c r="H1462" s="29">
        <f>IF(AND(F1462=1,ISNUMBER(E1462)),E1462,"")</f>
        <v/>
      </c>
      <c r="I1462" s="22">
        <f>IF(AND(F1462=1,ISNUMBER(C1462)),C1462,"")</f>
        <v/>
      </c>
      <c r="J1462" s="11">
        <f>IF(G1462="","",100-IF($G$13=1,50,(_xlfn.RANK.AVG(G1462,$G$19:$G$1518,1)-1)/($G$13-1)*100))</f>
        <v/>
      </c>
      <c r="K1462" s="11">
        <f>IF(H1462="","",100-IF($G$14=1,50,(_xlfn.RANK.AVG(H1462,$H$19:$H$1518,1)-1)/($G$14-1)*100))</f>
        <v/>
      </c>
      <c r="L1462" s="11">
        <f>IF(I1462="","",IF($G$15=1,50,(_xlfn.RANK.AVG(I1462,$I$19:$I$1518,1)-1)/($G$15-1)*100))</f>
        <v/>
      </c>
      <c r="M1462" s="11">
        <f>IF(COUNT(J1462:L1462)=3,ROUND(AVERAGE(J1462:L1462),6),"")</f>
        <v/>
      </c>
      <c r="O1462">
        <f>IF(AND(ISNUMBER('자료_미국심리'!$A1446),ISNUMBER('자료_미국심리'!$B1446)),'자료_미국심리'!$A1446,"")</f>
        <v/>
      </c>
      <c r="P1462">
        <f>IF(AND(ISNUMBER('자료_미국심리'!$D1446),ISNUMBER('자료_미국심리'!$E1446)),'자료_미국심리'!$D1446,"")</f>
        <v/>
      </c>
      <c r="Q1462">
        <f>IF(AND(ISNUMBER('자료_미국심리'!$G1446),ISNUMBER('자료_미국심리'!$H1446)),'자료_미국심리'!$G1446,"")</f>
        <v/>
      </c>
    </row>
    <row r="1463">
      <c r="A1463" s="10">
        <f>IF(1445&gt;$E$5,"",SMALL($O$19:$O$4018,$E$6+1445))</f>
        <v/>
      </c>
      <c r="B1463" s="29">
        <f>IF(A1463="","",INDEX('자료_미국심리'!$B$3:$B$4002,MATCH(A1463,$O$19:$O$4018,0)))</f>
        <v/>
      </c>
      <c r="C1463" s="22">
        <f>IF(A1463="","",B1463/AVERAGE(B1339:B1463)-1)</f>
        <v/>
      </c>
      <c r="D1463" s="29">
        <f>IF(A1463="","",IFERROR(INDEX('자료_미국심리'!$E$3:$E$4002,MATCH(A1463,$P$19:$P$4018,0)),D1462))</f>
        <v/>
      </c>
      <c r="E1463" s="29">
        <f>IF(A1463="","",IFERROR(INDEX('자료_미국심리'!$H$3:$H$4002,MATCH(A1463,$Q$19:$Q$4018,0)),E1462))</f>
        <v/>
      </c>
      <c r="F1463">
        <f>IF(A1463="",0,IF(A1463&gt;$B$5,1,0))</f>
        <v/>
      </c>
      <c r="G1463" s="29">
        <f>IF(AND(F1463=1,ISNUMBER(D1463)),D1463,"")</f>
        <v/>
      </c>
      <c r="H1463" s="29">
        <f>IF(AND(F1463=1,ISNUMBER(E1463)),E1463,"")</f>
        <v/>
      </c>
      <c r="I1463" s="22">
        <f>IF(AND(F1463=1,ISNUMBER(C1463)),C1463,"")</f>
        <v/>
      </c>
      <c r="J1463" s="11">
        <f>IF(G1463="","",100-IF($G$13=1,50,(_xlfn.RANK.AVG(G1463,$G$19:$G$1518,1)-1)/($G$13-1)*100))</f>
        <v/>
      </c>
      <c r="K1463" s="11">
        <f>IF(H1463="","",100-IF($G$14=1,50,(_xlfn.RANK.AVG(H1463,$H$19:$H$1518,1)-1)/($G$14-1)*100))</f>
        <v/>
      </c>
      <c r="L1463" s="11">
        <f>IF(I1463="","",IF($G$15=1,50,(_xlfn.RANK.AVG(I1463,$I$19:$I$1518,1)-1)/($G$15-1)*100))</f>
        <v/>
      </c>
      <c r="M1463" s="11">
        <f>IF(COUNT(J1463:L1463)=3,ROUND(AVERAGE(J1463:L1463),6),"")</f>
        <v/>
      </c>
      <c r="O1463">
        <f>IF(AND(ISNUMBER('자료_미국심리'!$A1447),ISNUMBER('자료_미국심리'!$B1447)),'자료_미국심리'!$A1447,"")</f>
        <v/>
      </c>
      <c r="P1463">
        <f>IF(AND(ISNUMBER('자료_미국심리'!$D1447),ISNUMBER('자료_미국심리'!$E1447)),'자료_미국심리'!$D1447,"")</f>
        <v/>
      </c>
      <c r="Q1463">
        <f>IF(AND(ISNUMBER('자료_미국심리'!$G1447),ISNUMBER('자료_미국심리'!$H1447)),'자료_미국심리'!$G1447,"")</f>
        <v/>
      </c>
    </row>
    <row r="1464">
      <c r="A1464" s="10">
        <f>IF(1446&gt;$E$5,"",SMALL($O$19:$O$4018,$E$6+1446))</f>
        <v/>
      </c>
      <c r="B1464" s="29">
        <f>IF(A1464="","",INDEX('자료_미국심리'!$B$3:$B$4002,MATCH(A1464,$O$19:$O$4018,0)))</f>
        <v/>
      </c>
      <c r="C1464" s="22">
        <f>IF(A1464="","",B1464/AVERAGE(B1340:B1464)-1)</f>
        <v/>
      </c>
      <c r="D1464" s="29">
        <f>IF(A1464="","",IFERROR(INDEX('자료_미국심리'!$E$3:$E$4002,MATCH(A1464,$P$19:$P$4018,0)),D1463))</f>
        <v/>
      </c>
      <c r="E1464" s="29">
        <f>IF(A1464="","",IFERROR(INDEX('자료_미국심리'!$H$3:$H$4002,MATCH(A1464,$Q$19:$Q$4018,0)),E1463))</f>
        <v/>
      </c>
      <c r="F1464">
        <f>IF(A1464="",0,IF(A1464&gt;$B$5,1,0))</f>
        <v/>
      </c>
      <c r="G1464" s="29">
        <f>IF(AND(F1464=1,ISNUMBER(D1464)),D1464,"")</f>
        <v/>
      </c>
      <c r="H1464" s="29">
        <f>IF(AND(F1464=1,ISNUMBER(E1464)),E1464,"")</f>
        <v/>
      </c>
      <c r="I1464" s="22">
        <f>IF(AND(F1464=1,ISNUMBER(C1464)),C1464,"")</f>
        <v/>
      </c>
      <c r="J1464" s="11">
        <f>IF(G1464="","",100-IF($G$13=1,50,(_xlfn.RANK.AVG(G1464,$G$19:$G$1518,1)-1)/($G$13-1)*100))</f>
        <v/>
      </c>
      <c r="K1464" s="11">
        <f>IF(H1464="","",100-IF($G$14=1,50,(_xlfn.RANK.AVG(H1464,$H$19:$H$1518,1)-1)/($G$14-1)*100))</f>
        <v/>
      </c>
      <c r="L1464" s="11">
        <f>IF(I1464="","",IF($G$15=1,50,(_xlfn.RANK.AVG(I1464,$I$19:$I$1518,1)-1)/($G$15-1)*100))</f>
        <v/>
      </c>
      <c r="M1464" s="11">
        <f>IF(COUNT(J1464:L1464)=3,ROUND(AVERAGE(J1464:L1464),6),"")</f>
        <v/>
      </c>
      <c r="O1464">
        <f>IF(AND(ISNUMBER('자료_미국심리'!$A1448),ISNUMBER('자료_미국심리'!$B1448)),'자료_미국심리'!$A1448,"")</f>
        <v/>
      </c>
      <c r="P1464">
        <f>IF(AND(ISNUMBER('자료_미국심리'!$D1448),ISNUMBER('자료_미국심리'!$E1448)),'자료_미국심리'!$D1448,"")</f>
        <v/>
      </c>
      <c r="Q1464">
        <f>IF(AND(ISNUMBER('자료_미국심리'!$G1448),ISNUMBER('자료_미국심리'!$H1448)),'자료_미국심리'!$G1448,"")</f>
        <v/>
      </c>
    </row>
    <row r="1465">
      <c r="A1465" s="10">
        <f>IF(1447&gt;$E$5,"",SMALL($O$19:$O$4018,$E$6+1447))</f>
        <v/>
      </c>
      <c r="B1465" s="29">
        <f>IF(A1465="","",INDEX('자료_미국심리'!$B$3:$B$4002,MATCH(A1465,$O$19:$O$4018,0)))</f>
        <v/>
      </c>
      <c r="C1465" s="22">
        <f>IF(A1465="","",B1465/AVERAGE(B1341:B1465)-1)</f>
        <v/>
      </c>
      <c r="D1465" s="29">
        <f>IF(A1465="","",IFERROR(INDEX('자료_미국심리'!$E$3:$E$4002,MATCH(A1465,$P$19:$P$4018,0)),D1464))</f>
        <v/>
      </c>
      <c r="E1465" s="29">
        <f>IF(A1465="","",IFERROR(INDEX('자료_미국심리'!$H$3:$H$4002,MATCH(A1465,$Q$19:$Q$4018,0)),E1464))</f>
        <v/>
      </c>
      <c r="F1465">
        <f>IF(A1465="",0,IF(A1465&gt;$B$5,1,0))</f>
        <v/>
      </c>
      <c r="G1465" s="29">
        <f>IF(AND(F1465=1,ISNUMBER(D1465)),D1465,"")</f>
        <v/>
      </c>
      <c r="H1465" s="29">
        <f>IF(AND(F1465=1,ISNUMBER(E1465)),E1465,"")</f>
        <v/>
      </c>
      <c r="I1465" s="22">
        <f>IF(AND(F1465=1,ISNUMBER(C1465)),C1465,"")</f>
        <v/>
      </c>
      <c r="J1465" s="11">
        <f>IF(G1465="","",100-IF($G$13=1,50,(_xlfn.RANK.AVG(G1465,$G$19:$G$1518,1)-1)/($G$13-1)*100))</f>
        <v/>
      </c>
      <c r="K1465" s="11">
        <f>IF(H1465="","",100-IF($G$14=1,50,(_xlfn.RANK.AVG(H1465,$H$19:$H$1518,1)-1)/($G$14-1)*100))</f>
        <v/>
      </c>
      <c r="L1465" s="11">
        <f>IF(I1465="","",IF($G$15=1,50,(_xlfn.RANK.AVG(I1465,$I$19:$I$1518,1)-1)/($G$15-1)*100))</f>
        <v/>
      </c>
      <c r="M1465" s="11">
        <f>IF(COUNT(J1465:L1465)=3,ROUND(AVERAGE(J1465:L1465),6),"")</f>
        <v/>
      </c>
      <c r="O1465">
        <f>IF(AND(ISNUMBER('자료_미국심리'!$A1449),ISNUMBER('자료_미국심리'!$B1449)),'자료_미국심리'!$A1449,"")</f>
        <v/>
      </c>
      <c r="P1465">
        <f>IF(AND(ISNUMBER('자료_미국심리'!$D1449),ISNUMBER('자료_미국심리'!$E1449)),'자료_미국심리'!$D1449,"")</f>
        <v/>
      </c>
      <c r="Q1465">
        <f>IF(AND(ISNUMBER('자료_미국심리'!$G1449),ISNUMBER('자료_미국심리'!$H1449)),'자료_미국심리'!$G1449,"")</f>
        <v/>
      </c>
    </row>
    <row r="1466">
      <c r="A1466" s="10">
        <f>IF(1448&gt;$E$5,"",SMALL($O$19:$O$4018,$E$6+1448))</f>
        <v/>
      </c>
      <c r="B1466" s="29">
        <f>IF(A1466="","",INDEX('자료_미국심리'!$B$3:$B$4002,MATCH(A1466,$O$19:$O$4018,0)))</f>
        <v/>
      </c>
      <c r="C1466" s="22">
        <f>IF(A1466="","",B1466/AVERAGE(B1342:B1466)-1)</f>
        <v/>
      </c>
      <c r="D1466" s="29">
        <f>IF(A1466="","",IFERROR(INDEX('자료_미국심리'!$E$3:$E$4002,MATCH(A1466,$P$19:$P$4018,0)),D1465))</f>
        <v/>
      </c>
      <c r="E1466" s="29">
        <f>IF(A1466="","",IFERROR(INDEX('자료_미국심리'!$H$3:$H$4002,MATCH(A1466,$Q$19:$Q$4018,0)),E1465))</f>
        <v/>
      </c>
      <c r="F1466">
        <f>IF(A1466="",0,IF(A1466&gt;$B$5,1,0))</f>
        <v/>
      </c>
      <c r="G1466" s="29">
        <f>IF(AND(F1466=1,ISNUMBER(D1466)),D1466,"")</f>
        <v/>
      </c>
      <c r="H1466" s="29">
        <f>IF(AND(F1466=1,ISNUMBER(E1466)),E1466,"")</f>
        <v/>
      </c>
      <c r="I1466" s="22">
        <f>IF(AND(F1466=1,ISNUMBER(C1466)),C1466,"")</f>
        <v/>
      </c>
      <c r="J1466" s="11">
        <f>IF(G1466="","",100-IF($G$13=1,50,(_xlfn.RANK.AVG(G1466,$G$19:$G$1518,1)-1)/($G$13-1)*100))</f>
        <v/>
      </c>
      <c r="K1466" s="11">
        <f>IF(H1466="","",100-IF($G$14=1,50,(_xlfn.RANK.AVG(H1466,$H$19:$H$1518,1)-1)/($G$14-1)*100))</f>
        <v/>
      </c>
      <c r="L1466" s="11">
        <f>IF(I1466="","",IF($G$15=1,50,(_xlfn.RANK.AVG(I1466,$I$19:$I$1518,1)-1)/($G$15-1)*100))</f>
        <v/>
      </c>
      <c r="M1466" s="11">
        <f>IF(COUNT(J1466:L1466)=3,ROUND(AVERAGE(J1466:L1466),6),"")</f>
        <v/>
      </c>
      <c r="O1466">
        <f>IF(AND(ISNUMBER('자료_미국심리'!$A1450),ISNUMBER('자료_미국심리'!$B1450)),'자료_미국심리'!$A1450,"")</f>
        <v/>
      </c>
      <c r="P1466">
        <f>IF(AND(ISNUMBER('자료_미국심리'!$D1450),ISNUMBER('자료_미국심리'!$E1450)),'자료_미국심리'!$D1450,"")</f>
        <v/>
      </c>
      <c r="Q1466">
        <f>IF(AND(ISNUMBER('자료_미국심리'!$G1450),ISNUMBER('자료_미국심리'!$H1450)),'자료_미국심리'!$G1450,"")</f>
        <v/>
      </c>
    </row>
    <row r="1467">
      <c r="A1467" s="10">
        <f>IF(1449&gt;$E$5,"",SMALL($O$19:$O$4018,$E$6+1449))</f>
        <v/>
      </c>
      <c r="B1467" s="29">
        <f>IF(A1467="","",INDEX('자료_미국심리'!$B$3:$B$4002,MATCH(A1467,$O$19:$O$4018,0)))</f>
        <v/>
      </c>
      <c r="C1467" s="22">
        <f>IF(A1467="","",B1467/AVERAGE(B1343:B1467)-1)</f>
        <v/>
      </c>
      <c r="D1467" s="29">
        <f>IF(A1467="","",IFERROR(INDEX('자료_미국심리'!$E$3:$E$4002,MATCH(A1467,$P$19:$P$4018,0)),D1466))</f>
        <v/>
      </c>
      <c r="E1467" s="29">
        <f>IF(A1467="","",IFERROR(INDEX('자료_미국심리'!$H$3:$H$4002,MATCH(A1467,$Q$19:$Q$4018,0)),E1466))</f>
        <v/>
      </c>
      <c r="F1467">
        <f>IF(A1467="",0,IF(A1467&gt;$B$5,1,0))</f>
        <v/>
      </c>
      <c r="G1467" s="29">
        <f>IF(AND(F1467=1,ISNUMBER(D1467)),D1467,"")</f>
        <v/>
      </c>
      <c r="H1467" s="29">
        <f>IF(AND(F1467=1,ISNUMBER(E1467)),E1467,"")</f>
        <v/>
      </c>
      <c r="I1467" s="22">
        <f>IF(AND(F1467=1,ISNUMBER(C1467)),C1467,"")</f>
        <v/>
      </c>
      <c r="J1467" s="11">
        <f>IF(G1467="","",100-IF($G$13=1,50,(_xlfn.RANK.AVG(G1467,$G$19:$G$1518,1)-1)/($G$13-1)*100))</f>
        <v/>
      </c>
      <c r="K1467" s="11">
        <f>IF(H1467="","",100-IF($G$14=1,50,(_xlfn.RANK.AVG(H1467,$H$19:$H$1518,1)-1)/($G$14-1)*100))</f>
        <v/>
      </c>
      <c r="L1467" s="11">
        <f>IF(I1467="","",IF($G$15=1,50,(_xlfn.RANK.AVG(I1467,$I$19:$I$1518,1)-1)/($G$15-1)*100))</f>
        <v/>
      </c>
      <c r="M1467" s="11">
        <f>IF(COUNT(J1467:L1467)=3,ROUND(AVERAGE(J1467:L1467),6),"")</f>
        <v/>
      </c>
      <c r="O1467">
        <f>IF(AND(ISNUMBER('자료_미국심리'!$A1451),ISNUMBER('자료_미국심리'!$B1451)),'자료_미국심리'!$A1451,"")</f>
        <v/>
      </c>
      <c r="P1467">
        <f>IF(AND(ISNUMBER('자료_미국심리'!$D1451),ISNUMBER('자료_미국심리'!$E1451)),'자료_미국심리'!$D1451,"")</f>
        <v/>
      </c>
      <c r="Q1467">
        <f>IF(AND(ISNUMBER('자료_미국심리'!$G1451),ISNUMBER('자료_미국심리'!$H1451)),'자료_미국심리'!$G1451,"")</f>
        <v/>
      </c>
    </row>
    <row r="1468">
      <c r="A1468" s="10">
        <f>IF(1450&gt;$E$5,"",SMALL($O$19:$O$4018,$E$6+1450))</f>
        <v/>
      </c>
      <c r="B1468" s="29">
        <f>IF(A1468="","",INDEX('자료_미국심리'!$B$3:$B$4002,MATCH(A1468,$O$19:$O$4018,0)))</f>
        <v/>
      </c>
      <c r="C1468" s="22">
        <f>IF(A1468="","",B1468/AVERAGE(B1344:B1468)-1)</f>
        <v/>
      </c>
      <c r="D1468" s="29">
        <f>IF(A1468="","",IFERROR(INDEX('자료_미국심리'!$E$3:$E$4002,MATCH(A1468,$P$19:$P$4018,0)),D1467))</f>
        <v/>
      </c>
      <c r="E1468" s="29">
        <f>IF(A1468="","",IFERROR(INDEX('자료_미국심리'!$H$3:$H$4002,MATCH(A1468,$Q$19:$Q$4018,0)),E1467))</f>
        <v/>
      </c>
      <c r="F1468">
        <f>IF(A1468="",0,IF(A1468&gt;$B$5,1,0))</f>
        <v/>
      </c>
      <c r="G1468" s="29">
        <f>IF(AND(F1468=1,ISNUMBER(D1468)),D1468,"")</f>
        <v/>
      </c>
      <c r="H1468" s="29">
        <f>IF(AND(F1468=1,ISNUMBER(E1468)),E1468,"")</f>
        <v/>
      </c>
      <c r="I1468" s="22">
        <f>IF(AND(F1468=1,ISNUMBER(C1468)),C1468,"")</f>
        <v/>
      </c>
      <c r="J1468" s="11">
        <f>IF(G1468="","",100-IF($G$13=1,50,(_xlfn.RANK.AVG(G1468,$G$19:$G$1518,1)-1)/($G$13-1)*100))</f>
        <v/>
      </c>
      <c r="K1468" s="11">
        <f>IF(H1468="","",100-IF($G$14=1,50,(_xlfn.RANK.AVG(H1468,$H$19:$H$1518,1)-1)/($G$14-1)*100))</f>
        <v/>
      </c>
      <c r="L1468" s="11">
        <f>IF(I1468="","",IF($G$15=1,50,(_xlfn.RANK.AVG(I1468,$I$19:$I$1518,1)-1)/($G$15-1)*100))</f>
        <v/>
      </c>
      <c r="M1468" s="11">
        <f>IF(COUNT(J1468:L1468)=3,ROUND(AVERAGE(J1468:L1468),6),"")</f>
        <v/>
      </c>
      <c r="O1468">
        <f>IF(AND(ISNUMBER('자료_미국심리'!$A1452),ISNUMBER('자료_미국심리'!$B1452)),'자료_미국심리'!$A1452,"")</f>
        <v/>
      </c>
      <c r="P1468">
        <f>IF(AND(ISNUMBER('자료_미국심리'!$D1452),ISNUMBER('자료_미국심리'!$E1452)),'자료_미국심리'!$D1452,"")</f>
        <v/>
      </c>
      <c r="Q1468">
        <f>IF(AND(ISNUMBER('자료_미국심리'!$G1452),ISNUMBER('자료_미국심리'!$H1452)),'자료_미국심리'!$G1452,"")</f>
        <v/>
      </c>
    </row>
    <row r="1469">
      <c r="A1469" s="10">
        <f>IF(1451&gt;$E$5,"",SMALL($O$19:$O$4018,$E$6+1451))</f>
        <v/>
      </c>
      <c r="B1469" s="29">
        <f>IF(A1469="","",INDEX('자료_미국심리'!$B$3:$B$4002,MATCH(A1469,$O$19:$O$4018,0)))</f>
        <v/>
      </c>
      <c r="C1469" s="22">
        <f>IF(A1469="","",B1469/AVERAGE(B1345:B1469)-1)</f>
        <v/>
      </c>
      <c r="D1469" s="29">
        <f>IF(A1469="","",IFERROR(INDEX('자료_미국심리'!$E$3:$E$4002,MATCH(A1469,$P$19:$P$4018,0)),D1468))</f>
        <v/>
      </c>
      <c r="E1469" s="29">
        <f>IF(A1469="","",IFERROR(INDEX('자료_미국심리'!$H$3:$H$4002,MATCH(A1469,$Q$19:$Q$4018,0)),E1468))</f>
        <v/>
      </c>
      <c r="F1469">
        <f>IF(A1469="",0,IF(A1469&gt;$B$5,1,0))</f>
        <v/>
      </c>
      <c r="G1469" s="29">
        <f>IF(AND(F1469=1,ISNUMBER(D1469)),D1469,"")</f>
        <v/>
      </c>
      <c r="H1469" s="29">
        <f>IF(AND(F1469=1,ISNUMBER(E1469)),E1469,"")</f>
        <v/>
      </c>
      <c r="I1469" s="22">
        <f>IF(AND(F1469=1,ISNUMBER(C1469)),C1469,"")</f>
        <v/>
      </c>
      <c r="J1469" s="11">
        <f>IF(G1469="","",100-IF($G$13=1,50,(_xlfn.RANK.AVG(G1469,$G$19:$G$1518,1)-1)/($G$13-1)*100))</f>
        <v/>
      </c>
      <c r="K1469" s="11">
        <f>IF(H1469="","",100-IF($G$14=1,50,(_xlfn.RANK.AVG(H1469,$H$19:$H$1518,1)-1)/($G$14-1)*100))</f>
        <v/>
      </c>
      <c r="L1469" s="11">
        <f>IF(I1469="","",IF($G$15=1,50,(_xlfn.RANK.AVG(I1469,$I$19:$I$1518,1)-1)/($G$15-1)*100))</f>
        <v/>
      </c>
      <c r="M1469" s="11">
        <f>IF(COUNT(J1469:L1469)=3,ROUND(AVERAGE(J1469:L1469),6),"")</f>
        <v/>
      </c>
      <c r="O1469">
        <f>IF(AND(ISNUMBER('자료_미국심리'!$A1453),ISNUMBER('자료_미국심리'!$B1453)),'자료_미국심리'!$A1453,"")</f>
        <v/>
      </c>
      <c r="P1469">
        <f>IF(AND(ISNUMBER('자료_미국심리'!$D1453),ISNUMBER('자료_미국심리'!$E1453)),'자료_미국심리'!$D1453,"")</f>
        <v/>
      </c>
      <c r="Q1469">
        <f>IF(AND(ISNUMBER('자료_미국심리'!$G1453),ISNUMBER('자료_미국심리'!$H1453)),'자료_미국심리'!$G1453,"")</f>
        <v/>
      </c>
    </row>
    <row r="1470">
      <c r="A1470" s="10">
        <f>IF(1452&gt;$E$5,"",SMALL($O$19:$O$4018,$E$6+1452))</f>
        <v/>
      </c>
      <c r="B1470" s="29">
        <f>IF(A1470="","",INDEX('자료_미국심리'!$B$3:$B$4002,MATCH(A1470,$O$19:$O$4018,0)))</f>
        <v/>
      </c>
      <c r="C1470" s="22">
        <f>IF(A1470="","",B1470/AVERAGE(B1346:B1470)-1)</f>
        <v/>
      </c>
      <c r="D1470" s="29">
        <f>IF(A1470="","",IFERROR(INDEX('자료_미국심리'!$E$3:$E$4002,MATCH(A1470,$P$19:$P$4018,0)),D1469))</f>
        <v/>
      </c>
      <c r="E1470" s="29">
        <f>IF(A1470="","",IFERROR(INDEX('자료_미국심리'!$H$3:$H$4002,MATCH(A1470,$Q$19:$Q$4018,0)),E1469))</f>
        <v/>
      </c>
      <c r="F1470">
        <f>IF(A1470="",0,IF(A1470&gt;$B$5,1,0))</f>
        <v/>
      </c>
      <c r="G1470" s="29">
        <f>IF(AND(F1470=1,ISNUMBER(D1470)),D1470,"")</f>
        <v/>
      </c>
      <c r="H1470" s="29">
        <f>IF(AND(F1470=1,ISNUMBER(E1470)),E1470,"")</f>
        <v/>
      </c>
      <c r="I1470" s="22">
        <f>IF(AND(F1470=1,ISNUMBER(C1470)),C1470,"")</f>
        <v/>
      </c>
      <c r="J1470" s="11">
        <f>IF(G1470="","",100-IF($G$13=1,50,(_xlfn.RANK.AVG(G1470,$G$19:$G$1518,1)-1)/($G$13-1)*100))</f>
        <v/>
      </c>
      <c r="K1470" s="11">
        <f>IF(H1470="","",100-IF($G$14=1,50,(_xlfn.RANK.AVG(H1470,$H$19:$H$1518,1)-1)/($G$14-1)*100))</f>
        <v/>
      </c>
      <c r="L1470" s="11">
        <f>IF(I1470="","",IF($G$15=1,50,(_xlfn.RANK.AVG(I1470,$I$19:$I$1518,1)-1)/($G$15-1)*100))</f>
        <v/>
      </c>
      <c r="M1470" s="11">
        <f>IF(COUNT(J1470:L1470)=3,ROUND(AVERAGE(J1470:L1470),6),"")</f>
        <v/>
      </c>
      <c r="O1470">
        <f>IF(AND(ISNUMBER('자료_미국심리'!$A1454),ISNUMBER('자료_미국심리'!$B1454)),'자료_미국심리'!$A1454,"")</f>
        <v/>
      </c>
      <c r="P1470">
        <f>IF(AND(ISNUMBER('자료_미국심리'!$D1454),ISNUMBER('자료_미국심리'!$E1454)),'자료_미국심리'!$D1454,"")</f>
        <v/>
      </c>
      <c r="Q1470">
        <f>IF(AND(ISNUMBER('자료_미국심리'!$G1454),ISNUMBER('자료_미국심리'!$H1454)),'자료_미국심리'!$G1454,"")</f>
        <v/>
      </c>
    </row>
    <row r="1471">
      <c r="A1471" s="10">
        <f>IF(1453&gt;$E$5,"",SMALL($O$19:$O$4018,$E$6+1453))</f>
        <v/>
      </c>
      <c r="B1471" s="29">
        <f>IF(A1471="","",INDEX('자료_미국심리'!$B$3:$B$4002,MATCH(A1471,$O$19:$O$4018,0)))</f>
        <v/>
      </c>
      <c r="C1471" s="22">
        <f>IF(A1471="","",B1471/AVERAGE(B1347:B1471)-1)</f>
        <v/>
      </c>
      <c r="D1471" s="29">
        <f>IF(A1471="","",IFERROR(INDEX('자료_미국심리'!$E$3:$E$4002,MATCH(A1471,$P$19:$P$4018,0)),D1470))</f>
        <v/>
      </c>
      <c r="E1471" s="29">
        <f>IF(A1471="","",IFERROR(INDEX('자료_미국심리'!$H$3:$H$4002,MATCH(A1471,$Q$19:$Q$4018,0)),E1470))</f>
        <v/>
      </c>
      <c r="F1471">
        <f>IF(A1471="",0,IF(A1471&gt;$B$5,1,0))</f>
        <v/>
      </c>
      <c r="G1471" s="29">
        <f>IF(AND(F1471=1,ISNUMBER(D1471)),D1471,"")</f>
        <v/>
      </c>
      <c r="H1471" s="29">
        <f>IF(AND(F1471=1,ISNUMBER(E1471)),E1471,"")</f>
        <v/>
      </c>
      <c r="I1471" s="22">
        <f>IF(AND(F1471=1,ISNUMBER(C1471)),C1471,"")</f>
        <v/>
      </c>
      <c r="J1471" s="11">
        <f>IF(G1471="","",100-IF($G$13=1,50,(_xlfn.RANK.AVG(G1471,$G$19:$G$1518,1)-1)/($G$13-1)*100))</f>
        <v/>
      </c>
      <c r="K1471" s="11">
        <f>IF(H1471="","",100-IF($G$14=1,50,(_xlfn.RANK.AVG(H1471,$H$19:$H$1518,1)-1)/($G$14-1)*100))</f>
        <v/>
      </c>
      <c r="L1471" s="11">
        <f>IF(I1471="","",IF($G$15=1,50,(_xlfn.RANK.AVG(I1471,$I$19:$I$1518,1)-1)/($G$15-1)*100))</f>
        <v/>
      </c>
      <c r="M1471" s="11">
        <f>IF(COUNT(J1471:L1471)=3,ROUND(AVERAGE(J1471:L1471),6),"")</f>
        <v/>
      </c>
      <c r="O1471">
        <f>IF(AND(ISNUMBER('자료_미국심리'!$A1455),ISNUMBER('자료_미국심리'!$B1455)),'자료_미국심리'!$A1455,"")</f>
        <v/>
      </c>
      <c r="P1471">
        <f>IF(AND(ISNUMBER('자료_미국심리'!$D1455),ISNUMBER('자료_미국심리'!$E1455)),'자료_미국심리'!$D1455,"")</f>
        <v/>
      </c>
      <c r="Q1471">
        <f>IF(AND(ISNUMBER('자료_미국심리'!$G1455),ISNUMBER('자료_미국심리'!$H1455)),'자료_미국심리'!$G1455,"")</f>
        <v/>
      </c>
    </row>
    <row r="1472">
      <c r="A1472" s="10">
        <f>IF(1454&gt;$E$5,"",SMALL($O$19:$O$4018,$E$6+1454))</f>
        <v/>
      </c>
      <c r="B1472" s="29">
        <f>IF(A1472="","",INDEX('자료_미국심리'!$B$3:$B$4002,MATCH(A1472,$O$19:$O$4018,0)))</f>
        <v/>
      </c>
      <c r="C1472" s="22">
        <f>IF(A1472="","",B1472/AVERAGE(B1348:B1472)-1)</f>
        <v/>
      </c>
      <c r="D1472" s="29">
        <f>IF(A1472="","",IFERROR(INDEX('자료_미국심리'!$E$3:$E$4002,MATCH(A1472,$P$19:$P$4018,0)),D1471))</f>
        <v/>
      </c>
      <c r="E1472" s="29">
        <f>IF(A1472="","",IFERROR(INDEX('자료_미국심리'!$H$3:$H$4002,MATCH(A1472,$Q$19:$Q$4018,0)),E1471))</f>
        <v/>
      </c>
      <c r="F1472">
        <f>IF(A1472="",0,IF(A1472&gt;$B$5,1,0))</f>
        <v/>
      </c>
      <c r="G1472" s="29">
        <f>IF(AND(F1472=1,ISNUMBER(D1472)),D1472,"")</f>
        <v/>
      </c>
      <c r="H1472" s="29">
        <f>IF(AND(F1472=1,ISNUMBER(E1472)),E1472,"")</f>
        <v/>
      </c>
      <c r="I1472" s="22">
        <f>IF(AND(F1472=1,ISNUMBER(C1472)),C1472,"")</f>
        <v/>
      </c>
      <c r="J1472" s="11">
        <f>IF(G1472="","",100-IF($G$13=1,50,(_xlfn.RANK.AVG(G1472,$G$19:$G$1518,1)-1)/($G$13-1)*100))</f>
        <v/>
      </c>
      <c r="K1472" s="11">
        <f>IF(H1472="","",100-IF($G$14=1,50,(_xlfn.RANK.AVG(H1472,$H$19:$H$1518,1)-1)/($G$14-1)*100))</f>
        <v/>
      </c>
      <c r="L1472" s="11">
        <f>IF(I1472="","",IF($G$15=1,50,(_xlfn.RANK.AVG(I1472,$I$19:$I$1518,1)-1)/($G$15-1)*100))</f>
        <v/>
      </c>
      <c r="M1472" s="11">
        <f>IF(COUNT(J1472:L1472)=3,ROUND(AVERAGE(J1472:L1472),6),"")</f>
        <v/>
      </c>
      <c r="O1472">
        <f>IF(AND(ISNUMBER('자료_미국심리'!$A1456),ISNUMBER('자료_미국심리'!$B1456)),'자료_미국심리'!$A1456,"")</f>
        <v/>
      </c>
      <c r="P1472">
        <f>IF(AND(ISNUMBER('자료_미국심리'!$D1456),ISNUMBER('자료_미국심리'!$E1456)),'자료_미국심리'!$D1456,"")</f>
        <v/>
      </c>
      <c r="Q1472">
        <f>IF(AND(ISNUMBER('자료_미국심리'!$G1456),ISNUMBER('자료_미국심리'!$H1456)),'자료_미국심리'!$G1456,"")</f>
        <v/>
      </c>
    </row>
    <row r="1473">
      <c r="A1473" s="10">
        <f>IF(1455&gt;$E$5,"",SMALL($O$19:$O$4018,$E$6+1455))</f>
        <v/>
      </c>
      <c r="B1473" s="29">
        <f>IF(A1473="","",INDEX('자료_미국심리'!$B$3:$B$4002,MATCH(A1473,$O$19:$O$4018,0)))</f>
        <v/>
      </c>
      <c r="C1473" s="22">
        <f>IF(A1473="","",B1473/AVERAGE(B1349:B1473)-1)</f>
        <v/>
      </c>
      <c r="D1473" s="29">
        <f>IF(A1473="","",IFERROR(INDEX('자료_미국심리'!$E$3:$E$4002,MATCH(A1473,$P$19:$P$4018,0)),D1472))</f>
        <v/>
      </c>
      <c r="E1473" s="29">
        <f>IF(A1473="","",IFERROR(INDEX('자료_미국심리'!$H$3:$H$4002,MATCH(A1473,$Q$19:$Q$4018,0)),E1472))</f>
        <v/>
      </c>
      <c r="F1473">
        <f>IF(A1473="",0,IF(A1473&gt;$B$5,1,0))</f>
        <v/>
      </c>
      <c r="G1473" s="29">
        <f>IF(AND(F1473=1,ISNUMBER(D1473)),D1473,"")</f>
        <v/>
      </c>
      <c r="H1473" s="29">
        <f>IF(AND(F1473=1,ISNUMBER(E1473)),E1473,"")</f>
        <v/>
      </c>
      <c r="I1473" s="22">
        <f>IF(AND(F1473=1,ISNUMBER(C1473)),C1473,"")</f>
        <v/>
      </c>
      <c r="J1473" s="11">
        <f>IF(G1473="","",100-IF($G$13=1,50,(_xlfn.RANK.AVG(G1473,$G$19:$G$1518,1)-1)/($G$13-1)*100))</f>
        <v/>
      </c>
      <c r="K1473" s="11">
        <f>IF(H1473="","",100-IF($G$14=1,50,(_xlfn.RANK.AVG(H1473,$H$19:$H$1518,1)-1)/($G$14-1)*100))</f>
        <v/>
      </c>
      <c r="L1473" s="11">
        <f>IF(I1473="","",IF($G$15=1,50,(_xlfn.RANK.AVG(I1473,$I$19:$I$1518,1)-1)/($G$15-1)*100))</f>
        <v/>
      </c>
      <c r="M1473" s="11">
        <f>IF(COUNT(J1473:L1473)=3,ROUND(AVERAGE(J1473:L1473),6),"")</f>
        <v/>
      </c>
      <c r="O1473">
        <f>IF(AND(ISNUMBER('자료_미국심리'!$A1457),ISNUMBER('자료_미국심리'!$B1457)),'자료_미국심리'!$A1457,"")</f>
        <v/>
      </c>
      <c r="P1473">
        <f>IF(AND(ISNUMBER('자료_미국심리'!$D1457),ISNUMBER('자료_미국심리'!$E1457)),'자료_미국심리'!$D1457,"")</f>
        <v/>
      </c>
      <c r="Q1473">
        <f>IF(AND(ISNUMBER('자료_미국심리'!$G1457),ISNUMBER('자료_미국심리'!$H1457)),'자료_미국심리'!$G1457,"")</f>
        <v/>
      </c>
    </row>
    <row r="1474">
      <c r="A1474" s="10">
        <f>IF(1456&gt;$E$5,"",SMALL($O$19:$O$4018,$E$6+1456))</f>
        <v/>
      </c>
      <c r="B1474" s="29">
        <f>IF(A1474="","",INDEX('자료_미국심리'!$B$3:$B$4002,MATCH(A1474,$O$19:$O$4018,0)))</f>
        <v/>
      </c>
      <c r="C1474" s="22">
        <f>IF(A1474="","",B1474/AVERAGE(B1350:B1474)-1)</f>
        <v/>
      </c>
      <c r="D1474" s="29">
        <f>IF(A1474="","",IFERROR(INDEX('자료_미국심리'!$E$3:$E$4002,MATCH(A1474,$P$19:$P$4018,0)),D1473))</f>
        <v/>
      </c>
      <c r="E1474" s="29">
        <f>IF(A1474="","",IFERROR(INDEX('자료_미국심리'!$H$3:$H$4002,MATCH(A1474,$Q$19:$Q$4018,0)),E1473))</f>
        <v/>
      </c>
      <c r="F1474">
        <f>IF(A1474="",0,IF(A1474&gt;$B$5,1,0))</f>
        <v/>
      </c>
      <c r="G1474" s="29">
        <f>IF(AND(F1474=1,ISNUMBER(D1474)),D1474,"")</f>
        <v/>
      </c>
      <c r="H1474" s="29">
        <f>IF(AND(F1474=1,ISNUMBER(E1474)),E1474,"")</f>
        <v/>
      </c>
      <c r="I1474" s="22">
        <f>IF(AND(F1474=1,ISNUMBER(C1474)),C1474,"")</f>
        <v/>
      </c>
      <c r="J1474" s="11">
        <f>IF(G1474="","",100-IF($G$13=1,50,(_xlfn.RANK.AVG(G1474,$G$19:$G$1518,1)-1)/($G$13-1)*100))</f>
        <v/>
      </c>
      <c r="K1474" s="11">
        <f>IF(H1474="","",100-IF($G$14=1,50,(_xlfn.RANK.AVG(H1474,$H$19:$H$1518,1)-1)/($G$14-1)*100))</f>
        <v/>
      </c>
      <c r="L1474" s="11">
        <f>IF(I1474="","",IF($G$15=1,50,(_xlfn.RANK.AVG(I1474,$I$19:$I$1518,1)-1)/($G$15-1)*100))</f>
        <v/>
      </c>
      <c r="M1474" s="11">
        <f>IF(COUNT(J1474:L1474)=3,ROUND(AVERAGE(J1474:L1474),6),"")</f>
        <v/>
      </c>
      <c r="O1474">
        <f>IF(AND(ISNUMBER('자료_미국심리'!$A1458),ISNUMBER('자료_미국심리'!$B1458)),'자료_미국심리'!$A1458,"")</f>
        <v/>
      </c>
      <c r="P1474">
        <f>IF(AND(ISNUMBER('자료_미국심리'!$D1458),ISNUMBER('자료_미국심리'!$E1458)),'자료_미국심리'!$D1458,"")</f>
        <v/>
      </c>
      <c r="Q1474">
        <f>IF(AND(ISNUMBER('자료_미국심리'!$G1458),ISNUMBER('자료_미국심리'!$H1458)),'자료_미국심리'!$G1458,"")</f>
        <v/>
      </c>
    </row>
    <row r="1475">
      <c r="A1475" s="10">
        <f>IF(1457&gt;$E$5,"",SMALL($O$19:$O$4018,$E$6+1457))</f>
        <v/>
      </c>
      <c r="B1475" s="29">
        <f>IF(A1475="","",INDEX('자료_미국심리'!$B$3:$B$4002,MATCH(A1475,$O$19:$O$4018,0)))</f>
        <v/>
      </c>
      <c r="C1475" s="22">
        <f>IF(A1475="","",B1475/AVERAGE(B1351:B1475)-1)</f>
        <v/>
      </c>
      <c r="D1475" s="29">
        <f>IF(A1475="","",IFERROR(INDEX('자료_미국심리'!$E$3:$E$4002,MATCH(A1475,$P$19:$P$4018,0)),D1474))</f>
        <v/>
      </c>
      <c r="E1475" s="29">
        <f>IF(A1475="","",IFERROR(INDEX('자료_미국심리'!$H$3:$H$4002,MATCH(A1475,$Q$19:$Q$4018,0)),E1474))</f>
        <v/>
      </c>
      <c r="F1475">
        <f>IF(A1475="",0,IF(A1475&gt;$B$5,1,0))</f>
        <v/>
      </c>
      <c r="G1475" s="29">
        <f>IF(AND(F1475=1,ISNUMBER(D1475)),D1475,"")</f>
        <v/>
      </c>
      <c r="H1475" s="29">
        <f>IF(AND(F1475=1,ISNUMBER(E1475)),E1475,"")</f>
        <v/>
      </c>
      <c r="I1475" s="22">
        <f>IF(AND(F1475=1,ISNUMBER(C1475)),C1475,"")</f>
        <v/>
      </c>
      <c r="J1475" s="11">
        <f>IF(G1475="","",100-IF($G$13=1,50,(_xlfn.RANK.AVG(G1475,$G$19:$G$1518,1)-1)/($G$13-1)*100))</f>
        <v/>
      </c>
      <c r="K1475" s="11">
        <f>IF(H1475="","",100-IF($G$14=1,50,(_xlfn.RANK.AVG(H1475,$H$19:$H$1518,1)-1)/($G$14-1)*100))</f>
        <v/>
      </c>
      <c r="L1475" s="11">
        <f>IF(I1475="","",IF($G$15=1,50,(_xlfn.RANK.AVG(I1475,$I$19:$I$1518,1)-1)/($G$15-1)*100))</f>
        <v/>
      </c>
      <c r="M1475" s="11">
        <f>IF(COUNT(J1475:L1475)=3,ROUND(AVERAGE(J1475:L1475),6),"")</f>
        <v/>
      </c>
      <c r="O1475">
        <f>IF(AND(ISNUMBER('자료_미국심리'!$A1459),ISNUMBER('자료_미국심리'!$B1459)),'자료_미국심리'!$A1459,"")</f>
        <v/>
      </c>
      <c r="P1475">
        <f>IF(AND(ISNUMBER('자료_미국심리'!$D1459),ISNUMBER('자료_미국심리'!$E1459)),'자료_미국심리'!$D1459,"")</f>
        <v/>
      </c>
      <c r="Q1475">
        <f>IF(AND(ISNUMBER('자료_미국심리'!$G1459),ISNUMBER('자료_미국심리'!$H1459)),'자료_미국심리'!$G1459,"")</f>
        <v/>
      </c>
    </row>
    <row r="1476">
      <c r="A1476" s="10">
        <f>IF(1458&gt;$E$5,"",SMALL($O$19:$O$4018,$E$6+1458))</f>
        <v/>
      </c>
      <c r="B1476" s="29">
        <f>IF(A1476="","",INDEX('자료_미국심리'!$B$3:$B$4002,MATCH(A1476,$O$19:$O$4018,0)))</f>
        <v/>
      </c>
      <c r="C1476" s="22">
        <f>IF(A1476="","",B1476/AVERAGE(B1352:B1476)-1)</f>
        <v/>
      </c>
      <c r="D1476" s="29">
        <f>IF(A1476="","",IFERROR(INDEX('자료_미국심리'!$E$3:$E$4002,MATCH(A1476,$P$19:$P$4018,0)),D1475))</f>
        <v/>
      </c>
      <c r="E1476" s="29">
        <f>IF(A1476="","",IFERROR(INDEX('자료_미국심리'!$H$3:$H$4002,MATCH(A1476,$Q$19:$Q$4018,0)),E1475))</f>
        <v/>
      </c>
      <c r="F1476">
        <f>IF(A1476="",0,IF(A1476&gt;$B$5,1,0))</f>
        <v/>
      </c>
      <c r="G1476" s="29">
        <f>IF(AND(F1476=1,ISNUMBER(D1476)),D1476,"")</f>
        <v/>
      </c>
      <c r="H1476" s="29">
        <f>IF(AND(F1476=1,ISNUMBER(E1476)),E1476,"")</f>
        <v/>
      </c>
      <c r="I1476" s="22">
        <f>IF(AND(F1476=1,ISNUMBER(C1476)),C1476,"")</f>
        <v/>
      </c>
      <c r="J1476" s="11">
        <f>IF(G1476="","",100-IF($G$13=1,50,(_xlfn.RANK.AVG(G1476,$G$19:$G$1518,1)-1)/($G$13-1)*100))</f>
        <v/>
      </c>
      <c r="K1476" s="11">
        <f>IF(H1476="","",100-IF($G$14=1,50,(_xlfn.RANK.AVG(H1476,$H$19:$H$1518,1)-1)/($G$14-1)*100))</f>
        <v/>
      </c>
      <c r="L1476" s="11">
        <f>IF(I1476="","",IF($G$15=1,50,(_xlfn.RANK.AVG(I1476,$I$19:$I$1518,1)-1)/($G$15-1)*100))</f>
        <v/>
      </c>
      <c r="M1476" s="11">
        <f>IF(COUNT(J1476:L1476)=3,ROUND(AVERAGE(J1476:L1476),6),"")</f>
        <v/>
      </c>
      <c r="O1476">
        <f>IF(AND(ISNUMBER('자료_미국심리'!$A1460),ISNUMBER('자료_미국심리'!$B1460)),'자료_미국심리'!$A1460,"")</f>
        <v/>
      </c>
      <c r="P1476">
        <f>IF(AND(ISNUMBER('자료_미국심리'!$D1460),ISNUMBER('자료_미국심리'!$E1460)),'자료_미국심리'!$D1460,"")</f>
        <v/>
      </c>
      <c r="Q1476">
        <f>IF(AND(ISNUMBER('자료_미국심리'!$G1460),ISNUMBER('자료_미국심리'!$H1460)),'자료_미국심리'!$G1460,"")</f>
        <v/>
      </c>
    </row>
    <row r="1477">
      <c r="A1477" s="10">
        <f>IF(1459&gt;$E$5,"",SMALL($O$19:$O$4018,$E$6+1459))</f>
        <v/>
      </c>
      <c r="B1477" s="29">
        <f>IF(A1477="","",INDEX('자료_미국심리'!$B$3:$B$4002,MATCH(A1477,$O$19:$O$4018,0)))</f>
        <v/>
      </c>
      <c r="C1477" s="22">
        <f>IF(A1477="","",B1477/AVERAGE(B1353:B1477)-1)</f>
        <v/>
      </c>
      <c r="D1477" s="29">
        <f>IF(A1477="","",IFERROR(INDEX('자료_미국심리'!$E$3:$E$4002,MATCH(A1477,$P$19:$P$4018,0)),D1476))</f>
        <v/>
      </c>
      <c r="E1477" s="29">
        <f>IF(A1477="","",IFERROR(INDEX('자료_미국심리'!$H$3:$H$4002,MATCH(A1477,$Q$19:$Q$4018,0)),E1476))</f>
        <v/>
      </c>
      <c r="F1477">
        <f>IF(A1477="",0,IF(A1477&gt;$B$5,1,0))</f>
        <v/>
      </c>
      <c r="G1477" s="29">
        <f>IF(AND(F1477=1,ISNUMBER(D1477)),D1477,"")</f>
        <v/>
      </c>
      <c r="H1477" s="29">
        <f>IF(AND(F1477=1,ISNUMBER(E1477)),E1477,"")</f>
        <v/>
      </c>
      <c r="I1477" s="22">
        <f>IF(AND(F1477=1,ISNUMBER(C1477)),C1477,"")</f>
        <v/>
      </c>
      <c r="J1477" s="11">
        <f>IF(G1477="","",100-IF($G$13=1,50,(_xlfn.RANK.AVG(G1477,$G$19:$G$1518,1)-1)/($G$13-1)*100))</f>
        <v/>
      </c>
      <c r="K1477" s="11">
        <f>IF(H1477="","",100-IF($G$14=1,50,(_xlfn.RANK.AVG(H1477,$H$19:$H$1518,1)-1)/($G$14-1)*100))</f>
        <v/>
      </c>
      <c r="L1477" s="11">
        <f>IF(I1477="","",IF($G$15=1,50,(_xlfn.RANK.AVG(I1477,$I$19:$I$1518,1)-1)/($G$15-1)*100))</f>
        <v/>
      </c>
      <c r="M1477" s="11">
        <f>IF(COUNT(J1477:L1477)=3,ROUND(AVERAGE(J1477:L1477),6),"")</f>
        <v/>
      </c>
      <c r="O1477">
        <f>IF(AND(ISNUMBER('자료_미국심리'!$A1461),ISNUMBER('자료_미국심리'!$B1461)),'자료_미국심리'!$A1461,"")</f>
        <v/>
      </c>
      <c r="P1477">
        <f>IF(AND(ISNUMBER('자료_미국심리'!$D1461),ISNUMBER('자료_미국심리'!$E1461)),'자료_미국심리'!$D1461,"")</f>
        <v/>
      </c>
      <c r="Q1477">
        <f>IF(AND(ISNUMBER('자료_미국심리'!$G1461),ISNUMBER('자료_미국심리'!$H1461)),'자료_미국심리'!$G1461,"")</f>
        <v/>
      </c>
    </row>
    <row r="1478">
      <c r="A1478" s="10">
        <f>IF(1460&gt;$E$5,"",SMALL($O$19:$O$4018,$E$6+1460))</f>
        <v/>
      </c>
      <c r="B1478" s="29">
        <f>IF(A1478="","",INDEX('자료_미국심리'!$B$3:$B$4002,MATCH(A1478,$O$19:$O$4018,0)))</f>
        <v/>
      </c>
      <c r="C1478" s="22">
        <f>IF(A1478="","",B1478/AVERAGE(B1354:B1478)-1)</f>
        <v/>
      </c>
      <c r="D1478" s="29">
        <f>IF(A1478="","",IFERROR(INDEX('자료_미국심리'!$E$3:$E$4002,MATCH(A1478,$P$19:$P$4018,0)),D1477))</f>
        <v/>
      </c>
      <c r="E1478" s="29">
        <f>IF(A1478="","",IFERROR(INDEX('자료_미국심리'!$H$3:$H$4002,MATCH(A1478,$Q$19:$Q$4018,0)),E1477))</f>
        <v/>
      </c>
      <c r="F1478">
        <f>IF(A1478="",0,IF(A1478&gt;$B$5,1,0))</f>
        <v/>
      </c>
      <c r="G1478" s="29">
        <f>IF(AND(F1478=1,ISNUMBER(D1478)),D1478,"")</f>
        <v/>
      </c>
      <c r="H1478" s="29">
        <f>IF(AND(F1478=1,ISNUMBER(E1478)),E1478,"")</f>
        <v/>
      </c>
      <c r="I1478" s="22">
        <f>IF(AND(F1478=1,ISNUMBER(C1478)),C1478,"")</f>
        <v/>
      </c>
      <c r="J1478" s="11">
        <f>IF(G1478="","",100-IF($G$13=1,50,(_xlfn.RANK.AVG(G1478,$G$19:$G$1518,1)-1)/($G$13-1)*100))</f>
        <v/>
      </c>
      <c r="K1478" s="11">
        <f>IF(H1478="","",100-IF($G$14=1,50,(_xlfn.RANK.AVG(H1478,$H$19:$H$1518,1)-1)/($G$14-1)*100))</f>
        <v/>
      </c>
      <c r="L1478" s="11">
        <f>IF(I1478="","",IF($G$15=1,50,(_xlfn.RANK.AVG(I1478,$I$19:$I$1518,1)-1)/($G$15-1)*100))</f>
        <v/>
      </c>
      <c r="M1478" s="11">
        <f>IF(COUNT(J1478:L1478)=3,ROUND(AVERAGE(J1478:L1478),6),"")</f>
        <v/>
      </c>
      <c r="O1478">
        <f>IF(AND(ISNUMBER('자료_미국심리'!$A1462),ISNUMBER('자료_미국심리'!$B1462)),'자료_미국심리'!$A1462,"")</f>
        <v/>
      </c>
      <c r="P1478">
        <f>IF(AND(ISNUMBER('자료_미국심리'!$D1462),ISNUMBER('자료_미국심리'!$E1462)),'자료_미국심리'!$D1462,"")</f>
        <v/>
      </c>
      <c r="Q1478">
        <f>IF(AND(ISNUMBER('자료_미국심리'!$G1462),ISNUMBER('자료_미국심리'!$H1462)),'자료_미국심리'!$G1462,"")</f>
        <v/>
      </c>
    </row>
    <row r="1479">
      <c r="A1479" s="10">
        <f>IF(1461&gt;$E$5,"",SMALL($O$19:$O$4018,$E$6+1461))</f>
        <v/>
      </c>
      <c r="B1479" s="29">
        <f>IF(A1479="","",INDEX('자료_미국심리'!$B$3:$B$4002,MATCH(A1479,$O$19:$O$4018,0)))</f>
        <v/>
      </c>
      <c r="C1479" s="22">
        <f>IF(A1479="","",B1479/AVERAGE(B1355:B1479)-1)</f>
        <v/>
      </c>
      <c r="D1479" s="29">
        <f>IF(A1479="","",IFERROR(INDEX('자료_미국심리'!$E$3:$E$4002,MATCH(A1479,$P$19:$P$4018,0)),D1478))</f>
        <v/>
      </c>
      <c r="E1479" s="29">
        <f>IF(A1479="","",IFERROR(INDEX('자료_미국심리'!$H$3:$H$4002,MATCH(A1479,$Q$19:$Q$4018,0)),E1478))</f>
        <v/>
      </c>
      <c r="F1479">
        <f>IF(A1479="",0,IF(A1479&gt;$B$5,1,0))</f>
        <v/>
      </c>
      <c r="G1479" s="29">
        <f>IF(AND(F1479=1,ISNUMBER(D1479)),D1479,"")</f>
        <v/>
      </c>
      <c r="H1479" s="29">
        <f>IF(AND(F1479=1,ISNUMBER(E1479)),E1479,"")</f>
        <v/>
      </c>
      <c r="I1479" s="22">
        <f>IF(AND(F1479=1,ISNUMBER(C1479)),C1479,"")</f>
        <v/>
      </c>
      <c r="J1479" s="11">
        <f>IF(G1479="","",100-IF($G$13=1,50,(_xlfn.RANK.AVG(G1479,$G$19:$G$1518,1)-1)/($G$13-1)*100))</f>
        <v/>
      </c>
      <c r="K1479" s="11">
        <f>IF(H1479="","",100-IF($G$14=1,50,(_xlfn.RANK.AVG(H1479,$H$19:$H$1518,1)-1)/($G$14-1)*100))</f>
        <v/>
      </c>
      <c r="L1479" s="11">
        <f>IF(I1479="","",IF($G$15=1,50,(_xlfn.RANK.AVG(I1479,$I$19:$I$1518,1)-1)/($G$15-1)*100))</f>
        <v/>
      </c>
      <c r="M1479" s="11">
        <f>IF(COUNT(J1479:L1479)=3,ROUND(AVERAGE(J1479:L1479),6),"")</f>
        <v/>
      </c>
      <c r="O1479">
        <f>IF(AND(ISNUMBER('자료_미국심리'!$A1463),ISNUMBER('자료_미국심리'!$B1463)),'자료_미국심리'!$A1463,"")</f>
        <v/>
      </c>
      <c r="P1479">
        <f>IF(AND(ISNUMBER('자료_미국심리'!$D1463),ISNUMBER('자료_미국심리'!$E1463)),'자료_미국심리'!$D1463,"")</f>
        <v/>
      </c>
      <c r="Q1479">
        <f>IF(AND(ISNUMBER('자료_미국심리'!$G1463),ISNUMBER('자료_미국심리'!$H1463)),'자료_미국심리'!$G1463,"")</f>
        <v/>
      </c>
    </row>
    <row r="1480">
      <c r="A1480" s="10">
        <f>IF(1462&gt;$E$5,"",SMALL($O$19:$O$4018,$E$6+1462))</f>
        <v/>
      </c>
      <c r="B1480" s="29">
        <f>IF(A1480="","",INDEX('자료_미국심리'!$B$3:$B$4002,MATCH(A1480,$O$19:$O$4018,0)))</f>
        <v/>
      </c>
      <c r="C1480" s="22">
        <f>IF(A1480="","",B1480/AVERAGE(B1356:B1480)-1)</f>
        <v/>
      </c>
      <c r="D1480" s="29">
        <f>IF(A1480="","",IFERROR(INDEX('자료_미국심리'!$E$3:$E$4002,MATCH(A1480,$P$19:$P$4018,0)),D1479))</f>
        <v/>
      </c>
      <c r="E1480" s="29">
        <f>IF(A1480="","",IFERROR(INDEX('자료_미국심리'!$H$3:$H$4002,MATCH(A1480,$Q$19:$Q$4018,0)),E1479))</f>
        <v/>
      </c>
      <c r="F1480">
        <f>IF(A1480="",0,IF(A1480&gt;$B$5,1,0))</f>
        <v/>
      </c>
      <c r="G1480" s="29">
        <f>IF(AND(F1480=1,ISNUMBER(D1480)),D1480,"")</f>
        <v/>
      </c>
      <c r="H1480" s="29">
        <f>IF(AND(F1480=1,ISNUMBER(E1480)),E1480,"")</f>
        <v/>
      </c>
      <c r="I1480" s="22">
        <f>IF(AND(F1480=1,ISNUMBER(C1480)),C1480,"")</f>
        <v/>
      </c>
      <c r="J1480" s="11">
        <f>IF(G1480="","",100-IF($G$13=1,50,(_xlfn.RANK.AVG(G1480,$G$19:$G$1518,1)-1)/($G$13-1)*100))</f>
        <v/>
      </c>
      <c r="K1480" s="11">
        <f>IF(H1480="","",100-IF($G$14=1,50,(_xlfn.RANK.AVG(H1480,$H$19:$H$1518,1)-1)/($G$14-1)*100))</f>
        <v/>
      </c>
      <c r="L1480" s="11">
        <f>IF(I1480="","",IF($G$15=1,50,(_xlfn.RANK.AVG(I1480,$I$19:$I$1518,1)-1)/($G$15-1)*100))</f>
        <v/>
      </c>
      <c r="M1480" s="11">
        <f>IF(COUNT(J1480:L1480)=3,ROUND(AVERAGE(J1480:L1480),6),"")</f>
        <v/>
      </c>
      <c r="O1480">
        <f>IF(AND(ISNUMBER('자료_미국심리'!$A1464),ISNUMBER('자료_미국심리'!$B1464)),'자료_미국심리'!$A1464,"")</f>
        <v/>
      </c>
      <c r="P1480">
        <f>IF(AND(ISNUMBER('자료_미국심리'!$D1464),ISNUMBER('자료_미국심리'!$E1464)),'자료_미국심리'!$D1464,"")</f>
        <v/>
      </c>
      <c r="Q1480">
        <f>IF(AND(ISNUMBER('자료_미국심리'!$G1464),ISNUMBER('자료_미국심리'!$H1464)),'자료_미국심리'!$G1464,"")</f>
        <v/>
      </c>
    </row>
    <row r="1481">
      <c r="A1481" s="10">
        <f>IF(1463&gt;$E$5,"",SMALL($O$19:$O$4018,$E$6+1463))</f>
        <v/>
      </c>
      <c r="B1481" s="29">
        <f>IF(A1481="","",INDEX('자료_미국심리'!$B$3:$B$4002,MATCH(A1481,$O$19:$O$4018,0)))</f>
        <v/>
      </c>
      <c r="C1481" s="22">
        <f>IF(A1481="","",B1481/AVERAGE(B1357:B1481)-1)</f>
        <v/>
      </c>
      <c r="D1481" s="29">
        <f>IF(A1481="","",IFERROR(INDEX('자료_미국심리'!$E$3:$E$4002,MATCH(A1481,$P$19:$P$4018,0)),D1480))</f>
        <v/>
      </c>
      <c r="E1481" s="29">
        <f>IF(A1481="","",IFERROR(INDEX('자료_미국심리'!$H$3:$H$4002,MATCH(A1481,$Q$19:$Q$4018,0)),E1480))</f>
        <v/>
      </c>
      <c r="F1481">
        <f>IF(A1481="",0,IF(A1481&gt;$B$5,1,0))</f>
        <v/>
      </c>
      <c r="G1481" s="29">
        <f>IF(AND(F1481=1,ISNUMBER(D1481)),D1481,"")</f>
        <v/>
      </c>
      <c r="H1481" s="29">
        <f>IF(AND(F1481=1,ISNUMBER(E1481)),E1481,"")</f>
        <v/>
      </c>
      <c r="I1481" s="22">
        <f>IF(AND(F1481=1,ISNUMBER(C1481)),C1481,"")</f>
        <v/>
      </c>
      <c r="J1481" s="11">
        <f>IF(G1481="","",100-IF($G$13=1,50,(_xlfn.RANK.AVG(G1481,$G$19:$G$1518,1)-1)/($G$13-1)*100))</f>
        <v/>
      </c>
      <c r="K1481" s="11">
        <f>IF(H1481="","",100-IF($G$14=1,50,(_xlfn.RANK.AVG(H1481,$H$19:$H$1518,1)-1)/($G$14-1)*100))</f>
        <v/>
      </c>
      <c r="L1481" s="11">
        <f>IF(I1481="","",IF($G$15=1,50,(_xlfn.RANK.AVG(I1481,$I$19:$I$1518,1)-1)/($G$15-1)*100))</f>
        <v/>
      </c>
      <c r="M1481" s="11">
        <f>IF(COUNT(J1481:L1481)=3,ROUND(AVERAGE(J1481:L1481),6),"")</f>
        <v/>
      </c>
      <c r="O1481">
        <f>IF(AND(ISNUMBER('자료_미국심리'!$A1465),ISNUMBER('자료_미국심리'!$B1465)),'자료_미국심리'!$A1465,"")</f>
        <v/>
      </c>
      <c r="P1481">
        <f>IF(AND(ISNUMBER('자료_미국심리'!$D1465),ISNUMBER('자료_미국심리'!$E1465)),'자료_미국심리'!$D1465,"")</f>
        <v/>
      </c>
      <c r="Q1481">
        <f>IF(AND(ISNUMBER('자료_미국심리'!$G1465),ISNUMBER('자료_미국심리'!$H1465)),'자료_미국심리'!$G1465,"")</f>
        <v/>
      </c>
    </row>
    <row r="1482">
      <c r="A1482" s="10">
        <f>IF(1464&gt;$E$5,"",SMALL($O$19:$O$4018,$E$6+1464))</f>
        <v/>
      </c>
      <c r="B1482" s="29">
        <f>IF(A1482="","",INDEX('자료_미국심리'!$B$3:$B$4002,MATCH(A1482,$O$19:$O$4018,0)))</f>
        <v/>
      </c>
      <c r="C1482" s="22">
        <f>IF(A1482="","",B1482/AVERAGE(B1358:B1482)-1)</f>
        <v/>
      </c>
      <c r="D1482" s="29">
        <f>IF(A1482="","",IFERROR(INDEX('자료_미국심리'!$E$3:$E$4002,MATCH(A1482,$P$19:$P$4018,0)),D1481))</f>
        <v/>
      </c>
      <c r="E1482" s="29">
        <f>IF(A1482="","",IFERROR(INDEX('자료_미국심리'!$H$3:$H$4002,MATCH(A1482,$Q$19:$Q$4018,0)),E1481))</f>
        <v/>
      </c>
      <c r="F1482">
        <f>IF(A1482="",0,IF(A1482&gt;$B$5,1,0))</f>
        <v/>
      </c>
      <c r="G1482" s="29">
        <f>IF(AND(F1482=1,ISNUMBER(D1482)),D1482,"")</f>
        <v/>
      </c>
      <c r="H1482" s="29">
        <f>IF(AND(F1482=1,ISNUMBER(E1482)),E1482,"")</f>
        <v/>
      </c>
      <c r="I1482" s="22">
        <f>IF(AND(F1482=1,ISNUMBER(C1482)),C1482,"")</f>
        <v/>
      </c>
      <c r="J1482" s="11">
        <f>IF(G1482="","",100-IF($G$13=1,50,(_xlfn.RANK.AVG(G1482,$G$19:$G$1518,1)-1)/($G$13-1)*100))</f>
        <v/>
      </c>
      <c r="K1482" s="11">
        <f>IF(H1482="","",100-IF($G$14=1,50,(_xlfn.RANK.AVG(H1482,$H$19:$H$1518,1)-1)/($G$14-1)*100))</f>
        <v/>
      </c>
      <c r="L1482" s="11">
        <f>IF(I1482="","",IF($G$15=1,50,(_xlfn.RANK.AVG(I1482,$I$19:$I$1518,1)-1)/($G$15-1)*100))</f>
        <v/>
      </c>
      <c r="M1482" s="11">
        <f>IF(COUNT(J1482:L1482)=3,ROUND(AVERAGE(J1482:L1482),6),"")</f>
        <v/>
      </c>
      <c r="O1482">
        <f>IF(AND(ISNUMBER('자료_미국심리'!$A1466),ISNUMBER('자료_미국심리'!$B1466)),'자료_미국심리'!$A1466,"")</f>
        <v/>
      </c>
      <c r="P1482">
        <f>IF(AND(ISNUMBER('자료_미국심리'!$D1466),ISNUMBER('자료_미국심리'!$E1466)),'자료_미국심리'!$D1466,"")</f>
        <v/>
      </c>
      <c r="Q1482">
        <f>IF(AND(ISNUMBER('자료_미국심리'!$G1466),ISNUMBER('자료_미국심리'!$H1466)),'자료_미국심리'!$G1466,"")</f>
        <v/>
      </c>
    </row>
    <row r="1483">
      <c r="A1483" s="10">
        <f>IF(1465&gt;$E$5,"",SMALL($O$19:$O$4018,$E$6+1465))</f>
        <v/>
      </c>
      <c r="B1483" s="29">
        <f>IF(A1483="","",INDEX('자료_미국심리'!$B$3:$B$4002,MATCH(A1483,$O$19:$O$4018,0)))</f>
        <v/>
      </c>
      <c r="C1483" s="22">
        <f>IF(A1483="","",B1483/AVERAGE(B1359:B1483)-1)</f>
        <v/>
      </c>
      <c r="D1483" s="29">
        <f>IF(A1483="","",IFERROR(INDEX('자료_미국심리'!$E$3:$E$4002,MATCH(A1483,$P$19:$P$4018,0)),D1482))</f>
        <v/>
      </c>
      <c r="E1483" s="29">
        <f>IF(A1483="","",IFERROR(INDEX('자료_미국심리'!$H$3:$H$4002,MATCH(A1483,$Q$19:$Q$4018,0)),E1482))</f>
        <v/>
      </c>
      <c r="F1483">
        <f>IF(A1483="",0,IF(A1483&gt;$B$5,1,0))</f>
        <v/>
      </c>
      <c r="G1483" s="29">
        <f>IF(AND(F1483=1,ISNUMBER(D1483)),D1483,"")</f>
        <v/>
      </c>
      <c r="H1483" s="29">
        <f>IF(AND(F1483=1,ISNUMBER(E1483)),E1483,"")</f>
        <v/>
      </c>
      <c r="I1483" s="22">
        <f>IF(AND(F1483=1,ISNUMBER(C1483)),C1483,"")</f>
        <v/>
      </c>
      <c r="J1483" s="11">
        <f>IF(G1483="","",100-IF($G$13=1,50,(_xlfn.RANK.AVG(G1483,$G$19:$G$1518,1)-1)/($G$13-1)*100))</f>
        <v/>
      </c>
      <c r="K1483" s="11">
        <f>IF(H1483="","",100-IF($G$14=1,50,(_xlfn.RANK.AVG(H1483,$H$19:$H$1518,1)-1)/($G$14-1)*100))</f>
        <v/>
      </c>
      <c r="L1483" s="11">
        <f>IF(I1483="","",IF($G$15=1,50,(_xlfn.RANK.AVG(I1483,$I$19:$I$1518,1)-1)/($G$15-1)*100))</f>
        <v/>
      </c>
      <c r="M1483" s="11">
        <f>IF(COUNT(J1483:L1483)=3,ROUND(AVERAGE(J1483:L1483),6),"")</f>
        <v/>
      </c>
      <c r="O1483">
        <f>IF(AND(ISNUMBER('자료_미국심리'!$A1467),ISNUMBER('자료_미국심리'!$B1467)),'자료_미국심리'!$A1467,"")</f>
        <v/>
      </c>
      <c r="P1483">
        <f>IF(AND(ISNUMBER('자료_미국심리'!$D1467),ISNUMBER('자료_미국심리'!$E1467)),'자료_미국심리'!$D1467,"")</f>
        <v/>
      </c>
      <c r="Q1483">
        <f>IF(AND(ISNUMBER('자료_미국심리'!$G1467),ISNUMBER('자료_미국심리'!$H1467)),'자료_미국심리'!$G1467,"")</f>
        <v/>
      </c>
    </row>
    <row r="1484">
      <c r="A1484" s="10">
        <f>IF(1466&gt;$E$5,"",SMALL($O$19:$O$4018,$E$6+1466))</f>
        <v/>
      </c>
      <c r="B1484" s="29">
        <f>IF(A1484="","",INDEX('자료_미국심리'!$B$3:$B$4002,MATCH(A1484,$O$19:$O$4018,0)))</f>
        <v/>
      </c>
      <c r="C1484" s="22">
        <f>IF(A1484="","",B1484/AVERAGE(B1360:B1484)-1)</f>
        <v/>
      </c>
      <c r="D1484" s="29">
        <f>IF(A1484="","",IFERROR(INDEX('자료_미국심리'!$E$3:$E$4002,MATCH(A1484,$P$19:$P$4018,0)),D1483))</f>
        <v/>
      </c>
      <c r="E1484" s="29">
        <f>IF(A1484="","",IFERROR(INDEX('자료_미국심리'!$H$3:$H$4002,MATCH(A1484,$Q$19:$Q$4018,0)),E1483))</f>
        <v/>
      </c>
      <c r="F1484">
        <f>IF(A1484="",0,IF(A1484&gt;$B$5,1,0))</f>
        <v/>
      </c>
      <c r="G1484" s="29">
        <f>IF(AND(F1484=1,ISNUMBER(D1484)),D1484,"")</f>
        <v/>
      </c>
      <c r="H1484" s="29">
        <f>IF(AND(F1484=1,ISNUMBER(E1484)),E1484,"")</f>
        <v/>
      </c>
      <c r="I1484" s="22">
        <f>IF(AND(F1484=1,ISNUMBER(C1484)),C1484,"")</f>
        <v/>
      </c>
      <c r="J1484" s="11">
        <f>IF(G1484="","",100-IF($G$13=1,50,(_xlfn.RANK.AVG(G1484,$G$19:$G$1518,1)-1)/($G$13-1)*100))</f>
        <v/>
      </c>
      <c r="K1484" s="11">
        <f>IF(H1484="","",100-IF($G$14=1,50,(_xlfn.RANK.AVG(H1484,$H$19:$H$1518,1)-1)/($G$14-1)*100))</f>
        <v/>
      </c>
      <c r="L1484" s="11">
        <f>IF(I1484="","",IF($G$15=1,50,(_xlfn.RANK.AVG(I1484,$I$19:$I$1518,1)-1)/($G$15-1)*100))</f>
        <v/>
      </c>
      <c r="M1484" s="11">
        <f>IF(COUNT(J1484:L1484)=3,ROUND(AVERAGE(J1484:L1484),6),"")</f>
        <v/>
      </c>
      <c r="O1484">
        <f>IF(AND(ISNUMBER('자료_미국심리'!$A1468),ISNUMBER('자료_미국심리'!$B1468)),'자료_미국심리'!$A1468,"")</f>
        <v/>
      </c>
      <c r="P1484">
        <f>IF(AND(ISNUMBER('자료_미국심리'!$D1468),ISNUMBER('자료_미국심리'!$E1468)),'자료_미국심리'!$D1468,"")</f>
        <v/>
      </c>
      <c r="Q1484">
        <f>IF(AND(ISNUMBER('자료_미국심리'!$G1468),ISNUMBER('자료_미국심리'!$H1468)),'자료_미국심리'!$G1468,"")</f>
        <v/>
      </c>
    </row>
    <row r="1485">
      <c r="A1485" s="10">
        <f>IF(1467&gt;$E$5,"",SMALL($O$19:$O$4018,$E$6+1467))</f>
        <v/>
      </c>
      <c r="B1485" s="29">
        <f>IF(A1485="","",INDEX('자료_미국심리'!$B$3:$B$4002,MATCH(A1485,$O$19:$O$4018,0)))</f>
        <v/>
      </c>
      <c r="C1485" s="22">
        <f>IF(A1485="","",B1485/AVERAGE(B1361:B1485)-1)</f>
        <v/>
      </c>
      <c r="D1485" s="29">
        <f>IF(A1485="","",IFERROR(INDEX('자료_미국심리'!$E$3:$E$4002,MATCH(A1485,$P$19:$P$4018,0)),D1484))</f>
        <v/>
      </c>
      <c r="E1485" s="29">
        <f>IF(A1485="","",IFERROR(INDEX('자료_미국심리'!$H$3:$H$4002,MATCH(A1485,$Q$19:$Q$4018,0)),E1484))</f>
        <v/>
      </c>
      <c r="F1485">
        <f>IF(A1485="",0,IF(A1485&gt;$B$5,1,0))</f>
        <v/>
      </c>
      <c r="G1485" s="29">
        <f>IF(AND(F1485=1,ISNUMBER(D1485)),D1485,"")</f>
        <v/>
      </c>
      <c r="H1485" s="29">
        <f>IF(AND(F1485=1,ISNUMBER(E1485)),E1485,"")</f>
        <v/>
      </c>
      <c r="I1485" s="22">
        <f>IF(AND(F1485=1,ISNUMBER(C1485)),C1485,"")</f>
        <v/>
      </c>
      <c r="J1485" s="11">
        <f>IF(G1485="","",100-IF($G$13=1,50,(_xlfn.RANK.AVG(G1485,$G$19:$G$1518,1)-1)/($G$13-1)*100))</f>
        <v/>
      </c>
      <c r="K1485" s="11">
        <f>IF(H1485="","",100-IF($G$14=1,50,(_xlfn.RANK.AVG(H1485,$H$19:$H$1518,1)-1)/($G$14-1)*100))</f>
        <v/>
      </c>
      <c r="L1485" s="11">
        <f>IF(I1485="","",IF($G$15=1,50,(_xlfn.RANK.AVG(I1485,$I$19:$I$1518,1)-1)/($G$15-1)*100))</f>
        <v/>
      </c>
      <c r="M1485" s="11">
        <f>IF(COUNT(J1485:L1485)=3,ROUND(AVERAGE(J1485:L1485),6),"")</f>
        <v/>
      </c>
      <c r="O1485">
        <f>IF(AND(ISNUMBER('자료_미국심리'!$A1469),ISNUMBER('자료_미국심리'!$B1469)),'자료_미국심리'!$A1469,"")</f>
        <v/>
      </c>
      <c r="P1485">
        <f>IF(AND(ISNUMBER('자료_미국심리'!$D1469),ISNUMBER('자료_미국심리'!$E1469)),'자료_미국심리'!$D1469,"")</f>
        <v/>
      </c>
      <c r="Q1485">
        <f>IF(AND(ISNUMBER('자료_미국심리'!$G1469),ISNUMBER('자료_미국심리'!$H1469)),'자료_미국심리'!$G1469,"")</f>
        <v/>
      </c>
    </row>
    <row r="1486">
      <c r="A1486" s="10">
        <f>IF(1468&gt;$E$5,"",SMALL($O$19:$O$4018,$E$6+1468))</f>
        <v/>
      </c>
      <c r="B1486" s="29">
        <f>IF(A1486="","",INDEX('자료_미국심리'!$B$3:$B$4002,MATCH(A1486,$O$19:$O$4018,0)))</f>
        <v/>
      </c>
      <c r="C1486" s="22">
        <f>IF(A1486="","",B1486/AVERAGE(B1362:B1486)-1)</f>
        <v/>
      </c>
      <c r="D1486" s="29">
        <f>IF(A1486="","",IFERROR(INDEX('자료_미국심리'!$E$3:$E$4002,MATCH(A1486,$P$19:$P$4018,0)),D1485))</f>
        <v/>
      </c>
      <c r="E1486" s="29">
        <f>IF(A1486="","",IFERROR(INDEX('자료_미국심리'!$H$3:$H$4002,MATCH(A1486,$Q$19:$Q$4018,0)),E1485))</f>
        <v/>
      </c>
      <c r="F1486">
        <f>IF(A1486="",0,IF(A1486&gt;$B$5,1,0))</f>
        <v/>
      </c>
      <c r="G1486" s="29">
        <f>IF(AND(F1486=1,ISNUMBER(D1486)),D1486,"")</f>
        <v/>
      </c>
      <c r="H1486" s="29">
        <f>IF(AND(F1486=1,ISNUMBER(E1486)),E1486,"")</f>
        <v/>
      </c>
      <c r="I1486" s="22">
        <f>IF(AND(F1486=1,ISNUMBER(C1486)),C1486,"")</f>
        <v/>
      </c>
      <c r="J1486" s="11">
        <f>IF(G1486="","",100-IF($G$13=1,50,(_xlfn.RANK.AVG(G1486,$G$19:$G$1518,1)-1)/($G$13-1)*100))</f>
        <v/>
      </c>
      <c r="K1486" s="11">
        <f>IF(H1486="","",100-IF($G$14=1,50,(_xlfn.RANK.AVG(H1486,$H$19:$H$1518,1)-1)/($G$14-1)*100))</f>
        <v/>
      </c>
      <c r="L1486" s="11">
        <f>IF(I1486="","",IF($G$15=1,50,(_xlfn.RANK.AVG(I1486,$I$19:$I$1518,1)-1)/($G$15-1)*100))</f>
        <v/>
      </c>
      <c r="M1486" s="11">
        <f>IF(COUNT(J1486:L1486)=3,ROUND(AVERAGE(J1486:L1486),6),"")</f>
        <v/>
      </c>
      <c r="O1486">
        <f>IF(AND(ISNUMBER('자료_미국심리'!$A1470),ISNUMBER('자료_미국심리'!$B1470)),'자료_미국심리'!$A1470,"")</f>
        <v/>
      </c>
      <c r="P1486">
        <f>IF(AND(ISNUMBER('자료_미국심리'!$D1470),ISNUMBER('자료_미국심리'!$E1470)),'자료_미국심리'!$D1470,"")</f>
        <v/>
      </c>
      <c r="Q1486">
        <f>IF(AND(ISNUMBER('자료_미국심리'!$G1470),ISNUMBER('자료_미국심리'!$H1470)),'자료_미국심리'!$G1470,"")</f>
        <v/>
      </c>
    </row>
    <row r="1487">
      <c r="A1487" s="10">
        <f>IF(1469&gt;$E$5,"",SMALL($O$19:$O$4018,$E$6+1469))</f>
        <v/>
      </c>
      <c r="B1487" s="29">
        <f>IF(A1487="","",INDEX('자료_미국심리'!$B$3:$B$4002,MATCH(A1487,$O$19:$O$4018,0)))</f>
        <v/>
      </c>
      <c r="C1487" s="22">
        <f>IF(A1487="","",B1487/AVERAGE(B1363:B1487)-1)</f>
        <v/>
      </c>
      <c r="D1487" s="29">
        <f>IF(A1487="","",IFERROR(INDEX('자료_미국심리'!$E$3:$E$4002,MATCH(A1487,$P$19:$P$4018,0)),D1486))</f>
        <v/>
      </c>
      <c r="E1487" s="29">
        <f>IF(A1487="","",IFERROR(INDEX('자료_미국심리'!$H$3:$H$4002,MATCH(A1487,$Q$19:$Q$4018,0)),E1486))</f>
        <v/>
      </c>
      <c r="F1487">
        <f>IF(A1487="",0,IF(A1487&gt;$B$5,1,0))</f>
        <v/>
      </c>
      <c r="G1487" s="29">
        <f>IF(AND(F1487=1,ISNUMBER(D1487)),D1487,"")</f>
        <v/>
      </c>
      <c r="H1487" s="29">
        <f>IF(AND(F1487=1,ISNUMBER(E1487)),E1487,"")</f>
        <v/>
      </c>
      <c r="I1487" s="22">
        <f>IF(AND(F1487=1,ISNUMBER(C1487)),C1487,"")</f>
        <v/>
      </c>
      <c r="J1487" s="11">
        <f>IF(G1487="","",100-IF($G$13=1,50,(_xlfn.RANK.AVG(G1487,$G$19:$G$1518,1)-1)/($G$13-1)*100))</f>
        <v/>
      </c>
      <c r="K1487" s="11">
        <f>IF(H1487="","",100-IF($G$14=1,50,(_xlfn.RANK.AVG(H1487,$H$19:$H$1518,1)-1)/($G$14-1)*100))</f>
        <v/>
      </c>
      <c r="L1487" s="11">
        <f>IF(I1487="","",IF($G$15=1,50,(_xlfn.RANK.AVG(I1487,$I$19:$I$1518,1)-1)/($G$15-1)*100))</f>
        <v/>
      </c>
      <c r="M1487" s="11">
        <f>IF(COUNT(J1487:L1487)=3,ROUND(AVERAGE(J1487:L1487),6),"")</f>
        <v/>
      </c>
      <c r="O1487">
        <f>IF(AND(ISNUMBER('자료_미국심리'!$A1471),ISNUMBER('자료_미국심리'!$B1471)),'자료_미국심리'!$A1471,"")</f>
        <v/>
      </c>
      <c r="P1487">
        <f>IF(AND(ISNUMBER('자료_미국심리'!$D1471),ISNUMBER('자료_미국심리'!$E1471)),'자료_미국심리'!$D1471,"")</f>
        <v/>
      </c>
      <c r="Q1487">
        <f>IF(AND(ISNUMBER('자료_미국심리'!$G1471),ISNUMBER('자료_미국심리'!$H1471)),'자료_미국심리'!$G1471,"")</f>
        <v/>
      </c>
    </row>
    <row r="1488">
      <c r="A1488" s="10">
        <f>IF(1470&gt;$E$5,"",SMALL($O$19:$O$4018,$E$6+1470))</f>
        <v/>
      </c>
      <c r="B1488" s="29">
        <f>IF(A1488="","",INDEX('자료_미국심리'!$B$3:$B$4002,MATCH(A1488,$O$19:$O$4018,0)))</f>
        <v/>
      </c>
      <c r="C1488" s="22">
        <f>IF(A1488="","",B1488/AVERAGE(B1364:B1488)-1)</f>
        <v/>
      </c>
      <c r="D1488" s="29">
        <f>IF(A1488="","",IFERROR(INDEX('자료_미국심리'!$E$3:$E$4002,MATCH(A1488,$P$19:$P$4018,0)),D1487))</f>
        <v/>
      </c>
      <c r="E1488" s="29">
        <f>IF(A1488="","",IFERROR(INDEX('자료_미국심리'!$H$3:$H$4002,MATCH(A1488,$Q$19:$Q$4018,0)),E1487))</f>
        <v/>
      </c>
      <c r="F1488">
        <f>IF(A1488="",0,IF(A1488&gt;$B$5,1,0))</f>
        <v/>
      </c>
      <c r="G1488" s="29">
        <f>IF(AND(F1488=1,ISNUMBER(D1488)),D1488,"")</f>
        <v/>
      </c>
      <c r="H1488" s="29">
        <f>IF(AND(F1488=1,ISNUMBER(E1488)),E1488,"")</f>
        <v/>
      </c>
      <c r="I1488" s="22">
        <f>IF(AND(F1488=1,ISNUMBER(C1488)),C1488,"")</f>
        <v/>
      </c>
      <c r="J1488" s="11">
        <f>IF(G1488="","",100-IF($G$13=1,50,(_xlfn.RANK.AVG(G1488,$G$19:$G$1518,1)-1)/($G$13-1)*100))</f>
        <v/>
      </c>
      <c r="K1488" s="11">
        <f>IF(H1488="","",100-IF($G$14=1,50,(_xlfn.RANK.AVG(H1488,$H$19:$H$1518,1)-1)/($G$14-1)*100))</f>
        <v/>
      </c>
      <c r="L1488" s="11">
        <f>IF(I1488="","",IF($G$15=1,50,(_xlfn.RANK.AVG(I1488,$I$19:$I$1518,1)-1)/($G$15-1)*100))</f>
        <v/>
      </c>
      <c r="M1488" s="11">
        <f>IF(COUNT(J1488:L1488)=3,ROUND(AVERAGE(J1488:L1488),6),"")</f>
        <v/>
      </c>
      <c r="O1488">
        <f>IF(AND(ISNUMBER('자료_미국심리'!$A1472),ISNUMBER('자료_미국심리'!$B1472)),'자료_미국심리'!$A1472,"")</f>
        <v/>
      </c>
      <c r="P1488">
        <f>IF(AND(ISNUMBER('자료_미국심리'!$D1472),ISNUMBER('자료_미국심리'!$E1472)),'자료_미국심리'!$D1472,"")</f>
        <v/>
      </c>
      <c r="Q1488">
        <f>IF(AND(ISNUMBER('자료_미국심리'!$G1472),ISNUMBER('자료_미국심리'!$H1472)),'자료_미국심리'!$G1472,"")</f>
        <v/>
      </c>
    </row>
    <row r="1489">
      <c r="A1489" s="10">
        <f>IF(1471&gt;$E$5,"",SMALL($O$19:$O$4018,$E$6+1471))</f>
        <v/>
      </c>
      <c r="B1489" s="29">
        <f>IF(A1489="","",INDEX('자료_미국심리'!$B$3:$B$4002,MATCH(A1489,$O$19:$O$4018,0)))</f>
        <v/>
      </c>
      <c r="C1489" s="22">
        <f>IF(A1489="","",B1489/AVERAGE(B1365:B1489)-1)</f>
        <v/>
      </c>
      <c r="D1489" s="29">
        <f>IF(A1489="","",IFERROR(INDEX('자료_미국심리'!$E$3:$E$4002,MATCH(A1489,$P$19:$P$4018,0)),D1488))</f>
        <v/>
      </c>
      <c r="E1489" s="29">
        <f>IF(A1489="","",IFERROR(INDEX('자료_미국심리'!$H$3:$H$4002,MATCH(A1489,$Q$19:$Q$4018,0)),E1488))</f>
        <v/>
      </c>
      <c r="F1489">
        <f>IF(A1489="",0,IF(A1489&gt;$B$5,1,0))</f>
        <v/>
      </c>
      <c r="G1489" s="29">
        <f>IF(AND(F1489=1,ISNUMBER(D1489)),D1489,"")</f>
        <v/>
      </c>
      <c r="H1489" s="29">
        <f>IF(AND(F1489=1,ISNUMBER(E1489)),E1489,"")</f>
        <v/>
      </c>
      <c r="I1489" s="22">
        <f>IF(AND(F1489=1,ISNUMBER(C1489)),C1489,"")</f>
        <v/>
      </c>
      <c r="J1489" s="11">
        <f>IF(G1489="","",100-IF($G$13=1,50,(_xlfn.RANK.AVG(G1489,$G$19:$G$1518,1)-1)/($G$13-1)*100))</f>
        <v/>
      </c>
      <c r="K1489" s="11">
        <f>IF(H1489="","",100-IF($G$14=1,50,(_xlfn.RANK.AVG(H1489,$H$19:$H$1518,1)-1)/($G$14-1)*100))</f>
        <v/>
      </c>
      <c r="L1489" s="11">
        <f>IF(I1489="","",IF($G$15=1,50,(_xlfn.RANK.AVG(I1489,$I$19:$I$1518,1)-1)/($G$15-1)*100))</f>
        <v/>
      </c>
      <c r="M1489" s="11">
        <f>IF(COUNT(J1489:L1489)=3,ROUND(AVERAGE(J1489:L1489),6),"")</f>
        <v/>
      </c>
      <c r="O1489">
        <f>IF(AND(ISNUMBER('자료_미국심리'!$A1473),ISNUMBER('자료_미국심리'!$B1473)),'자료_미국심리'!$A1473,"")</f>
        <v/>
      </c>
      <c r="P1489">
        <f>IF(AND(ISNUMBER('자료_미국심리'!$D1473),ISNUMBER('자료_미국심리'!$E1473)),'자료_미국심리'!$D1473,"")</f>
        <v/>
      </c>
      <c r="Q1489">
        <f>IF(AND(ISNUMBER('자료_미국심리'!$G1473),ISNUMBER('자료_미국심리'!$H1473)),'자료_미국심리'!$G1473,"")</f>
        <v/>
      </c>
    </row>
    <row r="1490">
      <c r="A1490" s="10">
        <f>IF(1472&gt;$E$5,"",SMALL($O$19:$O$4018,$E$6+1472))</f>
        <v/>
      </c>
      <c r="B1490" s="29">
        <f>IF(A1490="","",INDEX('자료_미국심리'!$B$3:$B$4002,MATCH(A1490,$O$19:$O$4018,0)))</f>
        <v/>
      </c>
      <c r="C1490" s="22">
        <f>IF(A1490="","",B1490/AVERAGE(B1366:B1490)-1)</f>
        <v/>
      </c>
      <c r="D1490" s="29">
        <f>IF(A1490="","",IFERROR(INDEX('자료_미국심리'!$E$3:$E$4002,MATCH(A1490,$P$19:$P$4018,0)),D1489))</f>
        <v/>
      </c>
      <c r="E1490" s="29">
        <f>IF(A1490="","",IFERROR(INDEX('자료_미국심리'!$H$3:$H$4002,MATCH(A1490,$Q$19:$Q$4018,0)),E1489))</f>
        <v/>
      </c>
      <c r="F1490">
        <f>IF(A1490="",0,IF(A1490&gt;$B$5,1,0))</f>
        <v/>
      </c>
      <c r="G1490" s="29">
        <f>IF(AND(F1490=1,ISNUMBER(D1490)),D1490,"")</f>
        <v/>
      </c>
      <c r="H1490" s="29">
        <f>IF(AND(F1490=1,ISNUMBER(E1490)),E1490,"")</f>
        <v/>
      </c>
      <c r="I1490" s="22">
        <f>IF(AND(F1490=1,ISNUMBER(C1490)),C1490,"")</f>
        <v/>
      </c>
      <c r="J1490" s="11">
        <f>IF(G1490="","",100-IF($G$13=1,50,(_xlfn.RANK.AVG(G1490,$G$19:$G$1518,1)-1)/($G$13-1)*100))</f>
        <v/>
      </c>
      <c r="K1490" s="11">
        <f>IF(H1490="","",100-IF($G$14=1,50,(_xlfn.RANK.AVG(H1490,$H$19:$H$1518,1)-1)/($G$14-1)*100))</f>
        <v/>
      </c>
      <c r="L1490" s="11">
        <f>IF(I1490="","",IF($G$15=1,50,(_xlfn.RANK.AVG(I1490,$I$19:$I$1518,1)-1)/($G$15-1)*100))</f>
        <v/>
      </c>
      <c r="M1490" s="11">
        <f>IF(COUNT(J1490:L1490)=3,ROUND(AVERAGE(J1490:L1490),6),"")</f>
        <v/>
      </c>
      <c r="O1490">
        <f>IF(AND(ISNUMBER('자료_미국심리'!$A1474),ISNUMBER('자료_미국심리'!$B1474)),'자료_미국심리'!$A1474,"")</f>
        <v/>
      </c>
      <c r="P1490">
        <f>IF(AND(ISNUMBER('자료_미국심리'!$D1474),ISNUMBER('자료_미국심리'!$E1474)),'자료_미국심리'!$D1474,"")</f>
        <v/>
      </c>
      <c r="Q1490">
        <f>IF(AND(ISNUMBER('자료_미국심리'!$G1474),ISNUMBER('자료_미국심리'!$H1474)),'자료_미국심리'!$G1474,"")</f>
        <v/>
      </c>
    </row>
    <row r="1491">
      <c r="A1491" s="10">
        <f>IF(1473&gt;$E$5,"",SMALL($O$19:$O$4018,$E$6+1473))</f>
        <v/>
      </c>
      <c r="B1491" s="29">
        <f>IF(A1491="","",INDEX('자료_미국심리'!$B$3:$B$4002,MATCH(A1491,$O$19:$O$4018,0)))</f>
        <v/>
      </c>
      <c r="C1491" s="22">
        <f>IF(A1491="","",B1491/AVERAGE(B1367:B1491)-1)</f>
        <v/>
      </c>
      <c r="D1491" s="29">
        <f>IF(A1491="","",IFERROR(INDEX('자료_미국심리'!$E$3:$E$4002,MATCH(A1491,$P$19:$P$4018,0)),D1490))</f>
        <v/>
      </c>
      <c r="E1491" s="29">
        <f>IF(A1491="","",IFERROR(INDEX('자료_미국심리'!$H$3:$H$4002,MATCH(A1491,$Q$19:$Q$4018,0)),E1490))</f>
        <v/>
      </c>
      <c r="F1491">
        <f>IF(A1491="",0,IF(A1491&gt;$B$5,1,0))</f>
        <v/>
      </c>
      <c r="G1491" s="29">
        <f>IF(AND(F1491=1,ISNUMBER(D1491)),D1491,"")</f>
        <v/>
      </c>
      <c r="H1491" s="29">
        <f>IF(AND(F1491=1,ISNUMBER(E1491)),E1491,"")</f>
        <v/>
      </c>
      <c r="I1491" s="22">
        <f>IF(AND(F1491=1,ISNUMBER(C1491)),C1491,"")</f>
        <v/>
      </c>
      <c r="J1491" s="11">
        <f>IF(G1491="","",100-IF($G$13=1,50,(_xlfn.RANK.AVG(G1491,$G$19:$G$1518,1)-1)/($G$13-1)*100))</f>
        <v/>
      </c>
      <c r="K1491" s="11">
        <f>IF(H1491="","",100-IF($G$14=1,50,(_xlfn.RANK.AVG(H1491,$H$19:$H$1518,1)-1)/($G$14-1)*100))</f>
        <v/>
      </c>
      <c r="L1491" s="11">
        <f>IF(I1491="","",IF($G$15=1,50,(_xlfn.RANK.AVG(I1491,$I$19:$I$1518,1)-1)/($G$15-1)*100))</f>
        <v/>
      </c>
      <c r="M1491" s="11">
        <f>IF(COUNT(J1491:L1491)=3,ROUND(AVERAGE(J1491:L1491),6),"")</f>
        <v/>
      </c>
      <c r="O1491">
        <f>IF(AND(ISNUMBER('자료_미국심리'!$A1475),ISNUMBER('자료_미국심리'!$B1475)),'자료_미국심리'!$A1475,"")</f>
        <v/>
      </c>
      <c r="P1491">
        <f>IF(AND(ISNUMBER('자료_미국심리'!$D1475),ISNUMBER('자료_미국심리'!$E1475)),'자료_미국심리'!$D1475,"")</f>
        <v/>
      </c>
      <c r="Q1491">
        <f>IF(AND(ISNUMBER('자료_미국심리'!$G1475),ISNUMBER('자료_미국심리'!$H1475)),'자료_미국심리'!$G1475,"")</f>
        <v/>
      </c>
    </row>
    <row r="1492">
      <c r="A1492" s="10">
        <f>IF(1474&gt;$E$5,"",SMALL($O$19:$O$4018,$E$6+1474))</f>
        <v/>
      </c>
      <c r="B1492" s="29">
        <f>IF(A1492="","",INDEX('자료_미국심리'!$B$3:$B$4002,MATCH(A1492,$O$19:$O$4018,0)))</f>
        <v/>
      </c>
      <c r="C1492" s="22">
        <f>IF(A1492="","",B1492/AVERAGE(B1368:B1492)-1)</f>
        <v/>
      </c>
      <c r="D1492" s="29">
        <f>IF(A1492="","",IFERROR(INDEX('자료_미국심리'!$E$3:$E$4002,MATCH(A1492,$P$19:$P$4018,0)),D1491))</f>
        <v/>
      </c>
      <c r="E1492" s="29">
        <f>IF(A1492="","",IFERROR(INDEX('자료_미국심리'!$H$3:$H$4002,MATCH(A1492,$Q$19:$Q$4018,0)),E1491))</f>
        <v/>
      </c>
      <c r="F1492">
        <f>IF(A1492="",0,IF(A1492&gt;$B$5,1,0))</f>
        <v/>
      </c>
      <c r="G1492" s="29">
        <f>IF(AND(F1492=1,ISNUMBER(D1492)),D1492,"")</f>
        <v/>
      </c>
      <c r="H1492" s="29">
        <f>IF(AND(F1492=1,ISNUMBER(E1492)),E1492,"")</f>
        <v/>
      </c>
      <c r="I1492" s="22">
        <f>IF(AND(F1492=1,ISNUMBER(C1492)),C1492,"")</f>
        <v/>
      </c>
      <c r="J1492" s="11">
        <f>IF(G1492="","",100-IF($G$13=1,50,(_xlfn.RANK.AVG(G1492,$G$19:$G$1518,1)-1)/($G$13-1)*100))</f>
        <v/>
      </c>
      <c r="K1492" s="11">
        <f>IF(H1492="","",100-IF($G$14=1,50,(_xlfn.RANK.AVG(H1492,$H$19:$H$1518,1)-1)/($G$14-1)*100))</f>
        <v/>
      </c>
      <c r="L1492" s="11">
        <f>IF(I1492="","",IF($G$15=1,50,(_xlfn.RANK.AVG(I1492,$I$19:$I$1518,1)-1)/($G$15-1)*100))</f>
        <v/>
      </c>
      <c r="M1492" s="11">
        <f>IF(COUNT(J1492:L1492)=3,ROUND(AVERAGE(J1492:L1492),6),"")</f>
        <v/>
      </c>
      <c r="O1492">
        <f>IF(AND(ISNUMBER('자료_미국심리'!$A1476),ISNUMBER('자료_미국심리'!$B1476)),'자료_미국심리'!$A1476,"")</f>
        <v/>
      </c>
      <c r="P1492">
        <f>IF(AND(ISNUMBER('자료_미국심리'!$D1476),ISNUMBER('자료_미국심리'!$E1476)),'자료_미국심리'!$D1476,"")</f>
        <v/>
      </c>
      <c r="Q1492">
        <f>IF(AND(ISNUMBER('자료_미국심리'!$G1476),ISNUMBER('자료_미국심리'!$H1476)),'자료_미국심리'!$G1476,"")</f>
        <v/>
      </c>
    </row>
    <row r="1493">
      <c r="A1493" s="10">
        <f>IF(1475&gt;$E$5,"",SMALL($O$19:$O$4018,$E$6+1475))</f>
        <v/>
      </c>
      <c r="B1493" s="29">
        <f>IF(A1493="","",INDEX('자료_미국심리'!$B$3:$B$4002,MATCH(A1493,$O$19:$O$4018,0)))</f>
        <v/>
      </c>
      <c r="C1493" s="22">
        <f>IF(A1493="","",B1493/AVERAGE(B1369:B1493)-1)</f>
        <v/>
      </c>
      <c r="D1493" s="29">
        <f>IF(A1493="","",IFERROR(INDEX('자료_미국심리'!$E$3:$E$4002,MATCH(A1493,$P$19:$P$4018,0)),D1492))</f>
        <v/>
      </c>
      <c r="E1493" s="29">
        <f>IF(A1493="","",IFERROR(INDEX('자료_미국심리'!$H$3:$H$4002,MATCH(A1493,$Q$19:$Q$4018,0)),E1492))</f>
        <v/>
      </c>
      <c r="F1493">
        <f>IF(A1493="",0,IF(A1493&gt;$B$5,1,0))</f>
        <v/>
      </c>
      <c r="G1493" s="29">
        <f>IF(AND(F1493=1,ISNUMBER(D1493)),D1493,"")</f>
        <v/>
      </c>
      <c r="H1493" s="29">
        <f>IF(AND(F1493=1,ISNUMBER(E1493)),E1493,"")</f>
        <v/>
      </c>
      <c r="I1493" s="22">
        <f>IF(AND(F1493=1,ISNUMBER(C1493)),C1493,"")</f>
        <v/>
      </c>
      <c r="J1493" s="11">
        <f>IF(G1493="","",100-IF($G$13=1,50,(_xlfn.RANK.AVG(G1493,$G$19:$G$1518,1)-1)/($G$13-1)*100))</f>
        <v/>
      </c>
      <c r="K1493" s="11">
        <f>IF(H1493="","",100-IF($G$14=1,50,(_xlfn.RANK.AVG(H1493,$H$19:$H$1518,1)-1)/($G$14-1)*100))</f>
        <v/>
      </c>
      <c r="L1493" s="11">
        <f>IF(I1493="","",IF($G$15=1,50,(_xlfn.RANK.AVG(I1493,$I$19:$I$1518,1)-1)/($G$15-1)*100))</f>
        <v/>
      </c>
      <c r="M1493" s="11">
        <f>IF(COUNT(J1493:L1493)=3,ROUND(AVERAGE(J1493:L1493),6),"")</f>
        <v/>
      </c>
      <c r="O1493">
        <f>IF(AND(ISNUMBER('자료_미국심리'!$A1477),ISNUMBER('자료_미국심리'!$B1477)),'자료_미국심리'!$A1477,"")</f>
        <v/>
      </c>
      <c r="P1493">
        <f>IF(AND(ISNUMBER('자료_미국심리'!$D1477),ISNUMBER('자료_미국심리'!$E1477)),'자료_미국심리'!$D1477,"")</f>
        <v/>
      </c>
      <c r="Q1493">
        <f>IF(AND(ISNUMBER('자료_미국심리'!$G1477),ISNUMBER('자료_미국심리'!$H1477)),'자료_미국심리'!$G1477,"")</f>
        <v/>
      </c>
    </row>
    <row r="1494">
      <c r="A1494" s="10">
        <f>IF(1476&gt;$E$5,"",SMALL($O$19:$O$4018,$E$6+1476))</f>
        <v/>
      </c>
      <c r="B1494" s="29">
        <f>IF(A1494="","",INDEX('자료_미국심리'!$B$3:$B$4002,MATCH(A1494,$O$19:$O$4018,0)))</f>
        <v/>
      </c>
      <c r="C1494" s="22">
        <f>IF(A1494="","",B1494/AVERAGE(B1370:B1494)-1)</f>
        <v/>
      </c>
      <c r="D1494" s="29">
        <f>IF(A1494="","",IFERROR(INDEX('자료_미국심리'!$E$3:$E$4002,MATCH(A1494,$P$19:$P$4018,0)),D1493))</f>
        <v/>
      </c>
      <c r="E1494" s="29">
        <f>IF(A1494="","",IFERROR(INDEX('자료_미국심리'!$H$3:$H$4002,MATCH(A1494,$Q$19:$Q$4018,0)),E1493))</f>
        <v/>
      </c>
      <c r="F1494">
        <f>IF(A1494="",0,IF(A1494&gt;$B$5,1,0))</f>
        <v/>
      </c>
      <c r="G1494" s="29">
        <f>IF(AND(F1494=1,ISNUMBER(D1494)),D1494,"")</f>
        <v/>
      </c>
      <c r="H1494" s="29">
        <f>IF(AND(F1494=1,ISNUMBER(E1494)),E1494,"")</f>
        <v/>
      </c>
      <c r="I1494" s="22">
        <f>IF(AND(F1494=1,ISNUMBER(C1494)),C1494,"")</f>
        <v/>
      </c>
      <c r="J1494" s="11">
        <f>IF(G1494="","",100-IF($G$13=1,50,(_xlfn.RANK.AVG(G1494,$G$19:$G$1518,1)-1)/($G$13-1)*100))</f>
        <v/>
      </c>
      <c r="K1494" s="11">
        <f>IF(H1494="","",100-IF($G$14=1,50,(_xlfn.RANK.AVG(H1494,$H$19:$H$1518,1)-1)/($G$14-1)*100))</f>
        <v/>
      </c>
      <c r="L1494" s="11">
        <f>IF(I1494="","",IF($G$15=1,50,(_xlfn.RANK.AVG(I1494,$I$19:$I$1518,1)-1)/($G$15-1)*100))</f>
        <v/>
      </c>
      <c r="M1494" s="11">
        <f>IF(COUNT(J1494:L1494)=3,ROUND(AVERAGE(J1494:L1494),6),"")</f>
        <v/>
      </c>
      <c r="O1494">
        <f>IF(AND(ISNUMBER('자료_미국심리'!$A1478),ISNUMBER('자료_미국심리'!$B1478)),'자료_미국심리'!$A1478,"")</f>
        <v/>
      </c>
      <c r="P1494">
        <f>IF(AND(ISNUMBER('자료_미국심리'!$D1478),ISNUMBER('자료_미국심리'!$E1478)),'자료_미국심리'!$D1478,"")</f>
        <v/>
      </c>
      <c r="Q1494">
        <f>IF(AND(ISNUMBER('자료_미국심리'!$G1478),ISNUMBER('자료_미국심리'!$H1478)),'자료_미국심리'!$G1478,"")</f>
        <v/>
      </c>
    </row>
    <row r="1495">
      <c r="A1495" s="10">
        <f>IF(1477&gt;$E$5,"",SMALL($O$19:$O$4018,$E$6+1477))</f>
        <v/>
      </c>
      <c r="B1495" s="29">
        <f>IF(A1495="","",INDEX('자료_미국심리'!$B$3:$B$4002,MATCH(A1495,$O$19:$O$4018,0)))</f>
        <v/>
      </c>
      <c r="C1495" s="22">
        <f>IF(A1495="","",B1495/AVERAGE(B1371:B1495)-1)</f>
        <v/>
      </c>
      <c r="D1495" s="29">
        <f>IF(A1495="","",IFERROR(INDEX('자료_미국심리'!$E$3:$E$4002,MATCH(A1495,$P$19:$P$4018,0)),D1494))</f>
        <v/>
      </c>
      <c r="E1495" s="29">
        <f>IF(A1495="","",IFERROR(INDEX('자료_미국심리'!$H$3:$H$4002,MATCH(A1495,$Q$19:$Q$4018,0)),E1494))</f>
        <v/>
      </c>
      <c r="F1495">
        <f>IF(A1495="",0,IF(A1495&gt;$B$5,1,0))</f>
        <v/>
      </c>
      <c r="G1495" s="29">
        <f>IF(AND(F1495=1,ISNUMBER(D1495)),D1495,"")</f>
        <v/>
      </c>
      <c r="H1495" s="29">
        <f>IF(AND(F1495=1,ISNUMBER(E1495)),E1495,"")</f>
        <v/>
      </c>
      <c r="I1495" s="22">
        <f>IF(AND(F1495=1,ISNUMBER(C1495)),C1495,"")</f>
        <v/>
      </c>
      <c r="J1495" s="11">
        <f>IF(G1495="","",100-IF($G$13=1,50,(_xlfn.RANK.AVG(G1495,$G$19:$G$1518,1)-1)/($G$13-1)*100))</f>
        <v/>
      </c>
      <c r="K1495" s="11">
        <f>IF(H1495="","",100-IF($G$14=1,50,(_xlfn.RANK.AVG(H1495,$H$19:$H$1518,1)-1)/($G$14-1)*100))</f>
        <v/>
      </c>
      <c r="L1495" s="11">
        <f>IF(I1495="","",IF($G$15=1,50,(_xlfn.RANK.AVG(I1495,$I$19:$I$1518,1)-1)/($G$15-1)*100))</f>
        <v/>
      </c>
      <c r="M1495" s="11">
        <f>IF(COUNT(J1495:L1495)=3,ROUND(AVERAGE(J1495:L1495),6),"")</f>
        <v/>
      </c>
      <c r="O1495">
        <f>IF(AND(ISNUMBER('자료_미국심리'!$A1479),ISNUMBER('자료_미국심리'!$B1479)),'자료_미국심리'!$A1479,"")</f>
        <v/>
      </c>
      <c r="P1495">
        <f>IF(AND(ISNUMBER('자료_미국심리'!$D1479),ISNUMBER('자료_미국심리'!$E1479)),'자료_미국심리'!$D1479,"")</f>
        <v/>
      </c>
      <c r="Q1495">
        <f>IF(AND(ISNUMBER('자료_미국심리'!$G1479),ISNUMBER('자료_미국심리'!$H1479)),'자료_미국심리'!$G1479,"")</f>
        <v/>
      </c>
    </row>
    <row r="1496">
      <c r="A1496" s="10">
        <f>IF(1478&gt;$E$5,"",SMALL($O$19:$O$4018,$E$6+1478))</f>
        <v/>
      </c>
      <c r="B1496" s="29">
        <f>IF(A1496="","",INDEX('자료_미국심리'!$B$3:$B$4002,MATCH(A1496,$O$19:$O$4018,0)))</f>
        <v/>
      </c>
      <c r="C1496" s="22">
        <f>IF(A1496="","",B1496/AVERAGE(B1372:B1496)-1)</f>
        <v/>
      </c>
      <c r="D1496" s="29">
        <f>IF(A1496="","",IFERROR(INDEX('자료_미국심리'!$E$3:$E$4002,MATCH(A1496,$P$19:$P$4018,0)),D1495))</f>
        <v/>
      </c>
      <c r="E1496" s="29">
        <f>IF(A1496="","",IFERROR(INDEX('자료_미국심리'!$H$3:$H$4002,MATCH(A1496,$Q$19:$Q$4018,0)),E1495))</f>
        <v/>
      </c>
      <c r="F1496">
        <f>IF(A1496="",0,IF(A1496&gt;$B$5,1,0))</f>
        <v/>
      </c>
      <c r="G1496" s="29">
        <f>IF(AND(F1496=1,ISNUMBER(D1496)),D1496,"")</f>
        <v/>
      </c>
      <c r="H1496" s="29">
        <f>IF(AND(F1496=1,ISNUMBER(E1496)),E1496,"")</f>
        <v/>
      </c>
      <c r="I1496" s="22">
        <f>IF(AND(F1496=1,ISNUMBER(C1496)),C1496,"")</f>
        <v/>
      </c>
      <c r="J1496" s="11">
        <f>IF(G1496="","",100-IF($G$13=1,50,(_xlfn.RANK.AVG(G1496,$G$19:$G$1518,1)-1)/($G$13-1)*100))</f>
        <v/>
      </c>
      <c r="K1496" s="11">
        <f>IF(H1496="","",100-IF($G$14=1,50,(_xlfn.RANK.AVG(H1496,$H$19:$H$1518,1)-1)/($G$14-1)*100))</f>
        <v/>
      </c>
      <c r="L1496" s="11">
        <f>IF(I1496="","",IF($G$15=1,50,(_xlfn.RANK.AVG(I1496,$I$19:$I$1518,1)-1)/($G$15-1)*100))</f>
        <v/>
      </c>
      <c r="M1496" s="11">
        <f>IF(COUNT(J1496:L1496)=3,ROUND(AVERAGE(J1496:L1496),6),"")</f>
        <v/>
      </c>
      <c r="O1496">
        <f>IF(AND(ISNUMBER('자료_미국심리'!$A1480),ISNUMBER('자료_미국심리'!$B1480)),'자료_미국심리'!$A1480,"")</f>
        <v/>
      </c>
      <c r="P1496">
        <f>IF(AND(ISNUMBER('자료_미국심리'!$D1480),ISNUMBER('자료_미국심리'!$E1480)),'자료_미국심리'!$D1480,"")</f>
        <v/>
      </c>
      <c r="Q1496">
        <f>IF(AND(ISNUMBER('자료_미국심리'!$G1480),ISNUMBER('자료_미국심리'!$H1480)),'자료_미국심리'!$G1480,"")</f>
        <v/>
      </c>
    </row>
    <row r="1497">
      <c r="A1497" s="10">
        <f>IF(1479&gt;$E$5,"",SMALL($O$19:$O$4018,$E$6+1479))</f>
        <v/>
      </c>
      <c r="B1497" s="29">
        <f>IF(A1497="","",INDEX('자료_미국심리'!$B$3:$B$4002,MATCH(A1497,$O$19:$O$4018,0)))</f>
        <v/>
      </c>
      <c r="C1497" s="22">
        <f>IF(A1497="","",B1497/AVERAGE(B1373:B1497)-1)</f>
        <v/>
      </c>
      <c r="D1497" s="29">
        <f>IF(A1497="","",IFERROR(INDEX('자료_미국심리'!$E$3:$E$4002,MATCH(A1497,$P$19:$P$4018,0)),D1496))</f>
        <v/>
      </c>
      <c r="E1497" s="29">
        <f>IF(A1497="","",IFERROR(INDEX('자료_미국심리'!$H$3:$H$4002,MATCH(A1497,$Q$19:$Q$4018,0)),E1496))</f>
        <v/>
      </c>
      <c r="F1497">
        <f>IF(A1497="",0,IF(A1497&gt;$B$5,1,0))</f>
        <v/>
      </c>
      <c r="G1497" s="29">
        <f>IF(AND(F1497=1,ISNUMBER(D1497)),D1497,"")</f>
        <v/>
      </c>
      <c r="H1497" s="29">
        <f>IF(AND(F1497=1,ISNUMBER(E1497)),E1497,"")</f>
        <v/>
      </c>
      <c r="I1497" s="22">
        <f>IF(AND(F1497=1,ISNUMBER(C1497)),C1497,"")</f>
        <v/>
      </c>
      <c r="J1497" s="11">
        <f>IF(G1497="","",100-IF($G$13=1,50,(_xlfn.RANK.AVG(G1497,$G$19:$G$1518,1)-1)/($G$13-1)*100))</f>
        <v/>
      </c>
      <c r="K1497" s="11">
        <f>IF(H1497="","",100-IF($G$14=1,50,(_xlfn.RANK.AVG(H1497,$H$19:$H$1518,1)-1)/($G$14-1)*100))</f>
        <v/>
      </c>
      <c r="L1497" s="11">
        <f>IF(I1497="","",IF($G$15=1,50,(_xlfn.RANK.AVG(I1497,$I$19:$I$1518,1)-1)/($G$15-1)*100))</f>
        <v/>
      </c>
      <c r="M1497" s="11">
        <f>IF(COUNT(J1497:L1497)=3,ROUND(AVERAGE(J1497:L1497),6),"")</f>
        <v/>
      </c>
      <c r="O1497">
        <f>IF(AND(ISNUMBER('자료_미국심리'!$A1481),ISNUMBER('자료_미국심리'!$B1481)),'자료_미국심리'!$A1481,"")</f>
        <v/>
      </c>
      <c r="P1497">
        <f>IF(AND(ISNUMBER('자료_미국심리'!$D1481),ISNUMBER('자료_미국심리'!$E1481)),'자료_미국심리'!$D1481,"")</f>
        <v/>
      </c>
      <c r="Q1497">
        <f>IF(AND(ISNUMBER('자료_미국심리'!$G1481),ISNUMBER('자료_미국심리'!$H1481)),'자료_미국심리'!$G1481,"")</f>
        <v/>
      </c>
    </row>
    <row r="1498">
      <c r="A1498" s="10">
        <f>IF(1480&gt;$E$5,"",SMALL($O$19:$O$4018,$E$6+1480))</f>
        <v/>
      </c>
      <c r="B1498" s="29">
        <f>IF(A1498="","",INDEX('자료_미국심리'!$B$3:$B$4002,MATCH(A1498,$O$19:$O$4018,0)))</f>
        <v/>
      </c>
      <c r="C1498" s="22">
        <f>IF(A1498="","",B1498/AVERAGE(B1374:B1498)-1)</f>
        <v/>
      </c>
      <c r="D1498" s="29">
        <f>IF(A1498="","",IFERROR(INDEX('자료_미국심리'!$E$3:$E$4002,MATCH(A1498,$P$19:$P$4018,0)),D1497))</f>
        <v/>
      </c>
      <c r="E1498" s="29">
        <f>IF(A1498="","",IFERROR(INDEX('자료_미국심리'!$H$3:$H$4002,MATCH(A1498,$Q$19:$Q$4018,0)),E1497))</f>
        <v/>
      </c>
      <c r="F1498">
        <f>IF(A1498="",0,IF(A1498&gt;$B$5,1,0))</f>
        <v/>
      </c>
      <c r="G1498" s="29">
        <f>IF(AND(F1498=1,ISNUMBER(D1498)),D1498,"")</f>
        <v/>
      </c>
      <c r="H1498" s="29">
        <f>IF(AND(F1498=1,ISNUMBER(E1498)),E1498,"")</f>
        <v/>
      </c>
      <c r="I1498" s="22">
        <f>IF(AND(F1498=1,ISNUMBER(C1498)),C1498,"")</f>
        <v/>
      </c>
      <c r="J1498" s="11">
        <f>IF(G1498="","",100-IF($G$13=1,50,(_xlfn.RANK.AVG(G1498,$G$19:$G$1518,1)-1)/($G$13-1)*100))</f>
        <v/>
      </c>
      <c r="K1498" s="11">
        <f>IF(H1498="","",100-IF($G$14=1,50,(_xlfn.RANK.AVG(H1498,$H$19:$H$1518,1)-1)/($G$14-1)*100))</f>
        <v/>
      </c>
      <c r="L1498" s="11">
        <f>IF(I1498="","",IF($G$15=1,50,(_xlfn.RANK.AVG(I1498,$I$19:$I$1518,1)-1)/($G$15-1)*100))</f>
        <v/>
      </c>
      <c r="M1498" s="11">
        <f>IF(COUNT(J1498:L1498)=3,ROUND(AVERAGE(J1498:L1498),6),"")</f>
        <v/>
      </c>
      <c r="O1498">
        <f>IF(AND(ISNUMBER('자료_미국심리'!$A1482),ISNUMBER('자료_미국심리'!$B1482)),'자료_미국심리'!$A1482,"")</f>
        <v/>
      </c>
      <c r="P1498">
        <f>IF(AND(ISNUMBER('자료_미국심리'!$D1482),ISNUMBER('자료_미국심리'!$E1482)),'자료_미국심리'!$D1482,"")</f>
        <v/>
      </c>
      <c r="Q1498">
        <f>IF(AND(ISNUMBER('자료_미국심리'!$G1482),ISNUMBER('자료_미국심리'!$H1482)),'자료_미국심리'!$G1482,"")</f>
        <v/>
      </c>
    </row>
    <row r="1499">
      <c r="A1499" s="10">
        <f>IF(1481&gt;$E$5,"",SMALL($O$19:$O$4018,$E$6+1481))</f>
        <v/>
      </c>
      <c r="B1499" s="29">
        <f>IF(A1499="","",INDEX('자료_미국심리'!$B$3:$B$4002,MATCH(A1499,$O$19:$O$4018,0)))</f>
        <v/>
      </c>
      <c r="C1499" s="22">
        <f>IF(A1499="","",B1499/AVERAGE(B1375:B1499)-1)</f>
        <v/>
      </c>
      <c r="D1499" s="29">
        <f>IF(A1499="","",IFERROR(INDEX('자료_미국심리'!$E$3:$E$4002,MATCH(A1499,$P$19:$P$4018,0)),D1498))</f>
        <v/>
      </c>
      <c r="E1499" s="29">
        <f>IF(A1499="","",IFERROR(INDEX('자료_미국심리'!$H$3:$H$4002,MATCH(A1499,$Q$19:$Q$4018,0)),E1498))</f>
        <v/>
      </c>
      <c r="F1499">
        <f>IF(A1499="",0,IF(A1499&gt;$B$5,1,0))</f>
        <v/>
      </c>
      <c r="G1499" s="29">
        <f>IF(AND(F1499=1,ISNUMBER(D1499)),D1499,"")</f>
        <v/>
      </c>
      <c r="H1499" s="29">
        <f>IF(AND(F1499=1,ISNUMBER(E1499)),E1499,"")</f>
        <v/>
      </c>
      <c r="I1499" s="22">
        <f>IF(AND(F1499=1,ISNUMBER(C1499)),C1499,"")</f>
        <v/>
      </c>
      <c r="J1499" s="11">
        <f>IF(G1499="","",100-IF($G$13=1,50,(_xlfn.RANK.AVG(G1499,$G$19:$G$1518,1)-1)/($G$13-1)*100))</f>
        <v/>
      </c>
      <c r="K1499" s="11">
        <f>IF(H1499="","",100-IF($G$14=1,50,(_xlfn.RANK.AVG(H1499,$H$19:$H$1518,1)-1)/($G$14-1)*100))</f>
        <v/>
      </c>
      <c r="L1499" s="11">
        <f>IF(I1499="","",IF($G$15=1,50,(_xlfn.RANK.AVG(I1499,$I$19:$I$1518,1)-1)/($G$15-1)*100))</f>
        <v/>
      </c>
      <c r="M1499" s="11">
        <f>IF(COUNT(J1499:L1499)=3,ROUND(AVERAGE(J1499:L1499),6),"")</f>
        <v/>
      </c>
      <c r="O1499">
        <f>IF(AND(ISNUMBER('자료_미국심리'!$A1483),ISNUMBER('자료_미국심리'!$B1483)),'자료_미국심리'!$A1483,"")</f>
        <v/>
      </c>
      <c r="P1499">
        <f>IF(AND(ISNUMBER('자료_미국심리'!$D1483),ISNUMBER('자료_미국심리'!$E1483)),'자료_미국심리'!$D1483,"")</f>
        <v/>
      </c>
      <c r="Q1499">
        <f>IF(AND(ISNUMBER('자료_미국심리'!$G1483),ISNUMBER('자료_미국심리'!$H1483)),'자료_미국심리'!$G1483,"")</f>
        <v/>
      </c>
    </row>
    <row r="1500">
      <c r="A1500" s="10">
        <f>IF(1482&gt;$E$5,"",SMALL($O$19:$O$4018,$E$6+1482))</f>
        <v/>
      </c>
      <c r="B1500" s="29">
        <f>IF(A1500="","",INDEX('자료_미국심리'!$B$3:$B$4002,MATCH(A1500,$O$19:$O$4018,0)))</f>
        <v/>
      </c>
      <c r="C1500" s="22">
        <f>IF(A1500="","",B1500/AVERAGE(B1376:B1500)-1)</f>
        <v/>
      </c>
      <c r="D1500" s="29">
        <f>IF(A1500="","",IFERROR(INDEX('자료_미국심리'!$E$3:$E$4002,MATCH(A1500,$P$19:$P$4018,0)),D1499))</f>
        <v/>
      </c>
      <c r="E1500" s="29">
        <f>IF(A1500="","",IFERROR(INDEX('자료_미국심리'!$H$3:$H$4002,MATCH(A1500,$Q$19:$Q$4018,0)),E1499))</f>
        <v/>
      </c>
      <c r="F1500">
        <f>IF(A1500="",0,IF(A1500&gt;$B$5,1,0))</f>
        <v/>
      </c>
      <c r="G1500" s="29">
        <f>IF(AND(F1500=1,ISNUMBER(D1500)),D1500,"")</f>
        <v/>
      </c>
      <c r="H1500" s="29">
        <f>IF(AND(F1500=1,ISNUMBER(E1500)),E1500,"")</f>
        <v/>
      </c>
      <c r="I1500" s="22">
        <f>IF(AND(F1500=1,ISNUMBER(C1500)),C1500,"")</f>
        <v/>
      </c>
      <c r="J1500" s="11">
        <f>IF(G1500="","",100-IF($G$13=1,50,(_xlfn.RANK.AVG(G1500,$G$19:$G$1518,1)-1)/($G$13-1)*100))</f>
        <v/>
      </c>
      <c r="K1500" s="11">
        <f>IF(H1500="","",100-IF($G$14=1,50,(_xlfn.RANK.AVG(H1500,$H$19:$H$1518,1)-1)/($G$14-1)*100))</f>
        <v/>
      </c>
      <c r="L1500" s="11">
        <f>IF(I1500="","",IF($G$15=1,50,(_xlfn.RANK.AVG(I1500,$I$19:$I$1518,1)-1)/($G$15-1)*100))</f>
        <v/>
      </c>
      <c r="M1500" s="11">
        <f>IF(COUNT(J1500:L1500)=3,ROUND(AVERAGE(J1500:L1500),6),"")</f>
        <v/>
      </c>
      <c r="O1500">
        <f>IF(AND(ISNUMBER('자료_미국심리'!$A1484),ISNUMBER('자료_미국심리'!$B1484)),'자료_미국심리'!$A1484,"")</f>
        <v/>
      </c>
      <c r="P1500">
        <f>IF(AND(ISNUMBER('자료_미국심리'!$D1484),ISNUMBER('자료_미국심리'!$E1484)),'자료_미국심리'!$D1484,"")</f>
        <v/>
      </c>
      <c r="Q1500">
        <f>IF(AND(ISNUMBER('자료_미국심리'!$G1484),ISNUMBER('자료_미국심리'!$H1484)),'자료_미국심리'!$G1484,"")</f>
        <v/>
      </c>
    </row>
    <row r="1501">
      <c r="A1501" s="10">
        <f>IF(1483&gt;$E$5,"",SMALL($O$19:$O$4018,$E$6+1483))</f>
        <v/>
      </c>
      <c r="B1501" s="29">
        <f>IF(A1501="","",INDEX('자료_미국심리'!$B$3:$B$4002,MATCH(A1501,$O$19:$O$4018,0)))</f>
        <v/>
      </c>
      <c r="C1501" s="22">
        <f>IF(A1501="","",B1501/AVERAGE(B1377:B1501)-1)</f>
        <v/>
      </c>
      <c r="D1501" s="29">
        <f>IF(A1501="","",IFERROR(INDEX('자료_미국심리'!$E$3:$E$4002,MATCH(A1501,$P$19:$P$4018,0)),D1500))</f>
        <v/>
      </c>
      <c r="E1501" s="29">
        <f>IF(A1501="","",IFERROR(INDEX('자료_미국심리'!$H$3:$H$4002,MATCH(A1501,$Q$19:$Q$4018,0)),E1500))</f>
        <v/>
      </c>
      <c r="F1501">
        <f>IF(A1501="",0,IF(A1501&gt;$B$5,1,0))</f>
        <v/>
      </c>
      <c r="G1501" s="29">
        <f>IF(AND(F1501=1,ISNUMBER(D1501)),D1501,"")</f>
        <v/>
      </c>
      <c r="H1501" s="29">
        <f>IF(AND(F1501=1,ISNUMBER(E1501)),E1501,"")</f>
        <v/>
      </c>
      <c r="I1501" s="22">
        <f>IF(AND(F1501=1,ISNUMBER(C1501)),C1501,"")</f>
        <v/>
      </c>
      <c r="J1501" s="11">
        <f>IF(G1501="","",100-IF($G$13=1,50,(_xlfn.RANK.AVG(G1501,$G$19:$G$1518,1)-1)/($G$13-1)*100))</f>
        <v/>
      </c>
      <c r="K1501" s="11">
        <f>IF(H1501="","",100-IF($G$14=1,50,(_xlfn.RANK.AVG(H1501,$H$19:$H$1518,1)-1)/($G$14-1)*100))</f>
        <v/>
      </c>
      <c r="L1501" s="11">
        <f>IF(I1501="","",IF($G$15=1,50,(_xlfn.RANK.AVG(I1501,$I$19:$I$1518,1)-1)/($G$15-1)*100))</f>
        <v/>
      </c>
      <c r="M1501" s="11">
        <f>IF(COUNT(J1501:L1501)=3,ROUND(AVERAGE(J1501:L1501),6),"")</f>
        <v/>
      </c>
      <c r="O1501">
        <f>IF(AND(ISNUMBER('자료_미국심리'!$A1485),ISNUMBER('자료_미국심리'!$B1485)),'자료_미국심리'!$A1485,"")</f>
        <v/>
      </c>
      <c r="P1501">
        <f>IF(AND(ISNUMBER('자료_미국심리'!$D1485),ISNUMBER('자료_미국심리'!$E1485)),'자료_미국심리'!$D1485,"")</f>
        <v/>
      </c>
      <c r="Q1501">
        <f>IF(AND(ISNUMBER('자료_미국심리'!$G1485),ISNUMBER('자료_미국심리'!$H1485)),'자료_미국심리'!$G1485,"")</f>
        <v/>
      </c>
    </row>
    <row r="1502">
      <c r="A1502" s="10">
        <f>IF(1484&gt;$E$5,"",SMALL($O$19:$O$4018,$E$6+1484))</f>
        <v/>
      </c>
      <c r="B1502" s="29">
        <f>IF(A1502="","",INDEX('자료_미국심리'!$B$3:$B$4002,MATCH(A1502,$O$19:$O$4018,0)))</f>
        <v/>
      </c>
      <c r="C1502" s="22">
        <f>IF(A1502="","",B1502/AVERAGE(B1378:B1502)-1)</f>
        <v/>
      </c>
      <c r="D1502" s="29">
        <f>IF(A1502="","",IFERROR(INDEX('자료_미국심리'!$E$3:$E$4002,MATCH(A1502,$P$19:$P$4018,0)),D1501))</f>
        <v/>
      </c>
      <c r="E1502" s="29">
        <f>IF(A1502="","",IFERROR(INDEX('자료_미국심리'!$H$3:$H$4002,MATCH(A1502,$Q$19:$Q$4018,0)),E1501))</f>
        <v/>
      </c>
      <c r="F1502">
        <f>IF(A1502="",0,IF(A1502&gt;$B$5,1,0))</f>
        <v/>
      </c>
      <c r="G1502" s="29">
        <f>IF(AND(F1502=1,ISNUMBER(D1502)),D1502,"")</f>
        <v/>
      </c>
      <c r="H1502" s="29">
        <f>IF(AND(F1502=1,ISNUMBER(E1502)),E1502,"")</f>
        <v/>
      </c>
      <c r="I1502" s="22">
        <f>IF(AND(F1502=1,ISNUMBER(C1502)),C1502,"")</f>
        <v/>
      </c>
      <c r="J1502" s="11">
        <f>IF(G1502="","",100-IF($G$13=1,50,(_xlfn.RANK.AVG(G1502,$G$19:$G$1518,1)-1)/($G$13-1)*100))</f>
        <v/>
      </c>
      <c r="K1502" s="11">
        <f>IF(H1502="","",100-IF($G$14=1,50,(_xlfn.RANK.AVG(H1502,$H$19:$H$1518,1)-1)/($G$14-1)*100))</f>
        <v/>
      </c>
      <c r="L1502" s="11">
        <f>IF(I1502="","",IF($G$15=1,50,(_xlfn.RANK.AVG(I1502,$I$19:$I$1518,1)-1)/($G$15-1)*100))</f>
        <v/>
      </c>
      <c r="M1502" s="11">
        <f>IF(COUNT(J1502:L1502)=3,ROUND(AVERAGE(J1502:L1502),6),"")</f>
        <v/>
      </c>
      <c r="O1502">
        <f>IF(AND(ISNUMBER('자료_미국심리'!$A1486),ISNUMBER('자료_미국심리'!$B1486)),'자료_미국심리'!$A1486,"")</f>
        <v/>
      </c>
      <c r="P1502">
        <f>IF(AND(ISNUMBER('자료_미국심리'!$D1486),ISNUMBER('자료_미국심리'!$E1486)),'자료_미국심리'!$D1486,"")</f>
        <v/>
      </c>
      <c r="Q1502">
        <f>IF(AND(ISNUMBER('자료_미국심리'!$G1486),ISNUMBER('자료_미국심리'!$H1486)),'자료_미국심리'!$G1486,"")</f>
        <v/>
      </c>
    </row>
    <row r="1503">
      <c r="A1503" s="10">
        <f>IF(1485&gt;$E$5,"",SMALL($O$19:$O$4018,$E$6+1485))</f>
        <v/>
      </c>
      <c r="B1503" s="29">
        <f>IF(A1503="","",INDEX('자료_미국심리'!$B$3:$B$4002,MATCH(A1503,$O$19:$O$4018,0)))</f>
        <v/>
      </c>
      <c r="C1503" s="22">
        <f>IF(A1503="","",B1503/AVERAGE(B1379:B1503)-1)</f>
        <v/>
      </c>
      <c r="D1503" s="29">
        <f>IF(A1503="","",IFERROR(INDEX('자료_미국심리'!$E$3:$E$4002,MATCH(A1503,$P$19:$P$4018,0)),D1502))</f>
        <v/>
      </c>
      <c r="E1503" s="29">
        <f>IF(A1503="","",IFERROR(INDEX('자료_미국심리'!$H$3:$H$4002,MATCH(A1503,$Q$19:$Q$4018,0)),E1502))</f>
        <v/>
      </c>
      <c r="F1503">
        <f>IF(A1503="",0,IF(A1503&gt;$B$5,1,0))</f>
        <v/>
      </c>
      <c r="G1503" s="29">
        <f>IF(AND(F1503=1,ISNUMBER(D1503)),D1503,"")</f>
        <v/>
      </c>
      <c r="H1503" s="29">
        <f>IF(AND(F1503=1,ISNUMBER(E1503)),E1503,"")</f>
        <v/>
      </c>
      <c r="I1503" s="22">
        <f>IF(AND(F1503=1,ISNUMBER(C1503)),C1503,"")</f>
        <v/>
      </c>
      <c r="J1503" s="11">
        <f>IF(G1503="","",100-IF($G$13=1,50,(_xlfn.RANK.AVG(G1503,$G$19:$G$1518,1)-1)/($G$13-1)*100))</f>
        <v/>
      </c>
      <c r="K1503" s="11">
        <f>IF(H1503="","",100-IF($G$14=1,50,(_xlfn.RANK.AVG(H1503,$H$19:$H$1518,1)-1)/($G$14-1)*100))</f>
        <v/>
      </c>
      <c r="L1503" s="11">
        <f>IF(I1503="","",IF($G$15=1,50,(_xlfn.RANK.AVG(I1503,$I$19:$I$1518,1)-1)/($G$15-1)*100))</f>
        <v/>
      </c>
      <c r="M1503" s="11">
        <f>IF(COUNT(J1503:L1503)=3,ROUND(AVERAGE(J1503:L1503),6),"")</f>
        <v/>
      </c>
      <c r="O1503">
        <f>IF(AND(ISNUMBER('자료_미국심리'!$A1487),ISNUMBER('자료_미국심리'!$B1487)),'자료_미국심리'!$A1487,"")</f>
        <v/>
      </c>
      <c r="P1503">
        <f>IF(AND(ISNUMBER('자료_미국심리'!$D1487),ISNUMBER('자료_미국심리'!$E1487)),'자료_미국심리'!$D1487,"")</f>
        <v/>
      </c>
      <c r="Q1503">
        <f>IF(AND(ISNUMBER('자료_미국심리'!$G1487),ISNUMBER('자료_미국심리'!$H1487)),'자료_미국심리'!$G1487,"")</f>
        <v/>
      </c>
    </row>
    <row r="1504">
      <c r="A1504" s="10">
        <f>IF(1486&gt;$E$5,"",SMALL($O$19:$O$4018,$E$6+1486))</f>
        <v/>
      </c>
      <c r="B1504" s="29">
        <f>IF(A1504="","",INDEX('자료_미국심리'!$B$3:$B$4002,MATCH(A1504,$O$19:$O$4018,0)))</f>
        <v/>
      </c>
      <c r="C1504" s="22">
        <f>IF(A1504="","",B1504/AVERAGE(B1380:B1504)-1)</f>
        <v/>
      </c>
      <c r="D1504" s="29">
        <f>IF(A1504="","",IFERROR(INDEX('자료_미국심리'!$E$3:$E$4002,MATCH(A1504,$P$19:$P$4018,0)),D1503))</f>
        <v/>
      </c>
      <c r="E1504" s="29">
        <f>IF(A1504="","",IFERROR(INDEX('자료_미국심리'!$H$3:$H$4002,MATCH(A1504,$Q$19:$Q$4018,0)),E1503))</f>
        <v/>
      </c>
      <c r="F1504">
        <f>IF(A1504="",0,IF(A1504&gt;$B$5,1,0))</f>
        <v/>
      </c>
      <c r="G1504" s="29">
        <f>IF(AND(F1504=1,ISNUMBER(D1504)),D1504,"")</f>
        <v/>
      </c>
      <c r="H1504" s="29">
        <f>IF(AND(F1504=1,ISNUMBER(E1504)),E1504,"")</f>
        <v/>
      </c>
      <c r="I1504" s="22">
        <f>IF(AND(F1504=1,ISNUMBER(C1504)),C1504,"")</f>
        <v/>
      </c>
      <c r="J1504" s="11">
        <f>IF(G1504="","",100-IF($G$13=1,50,(_xlfn.RANK.AVG(G1504,$G$19:$G$1518,1)-1)/($G$13-1)*100))</f>
        <v/>
      </c>
      <c r="K1504" s="11">
        <f>IF(H1504="","",100-IF($G$14=1,50,(_xlfn.RANK.AVG(H1504,$H$19:$H$1518,1)-1)/($G$14-1)*100))</f>
        <v/>
      </c>
      <c r="L1504" s="11">
        <f>IF(I1504="","",IF($G$15=1,50,(_xlfn.RANK.AVG(I1504,$I$19:$I$1518,1)-1)/($G$15-1)*100))</f>
        <v/>
      </c>
      <c r="M1504" s="11">
        <f>IF(COUNT(J1504:L1504)=3,ROUND(AVERAGE(J1504:L1504),6),"")</f>
        <v/>
      </c>
      <c r="O1504">
        <f>IF(AND(ISNUMBER('자료_미국심리'!$A1488),ISNUMBER('자료_미국심리'!$B1488)),'자료_미국심리'!$A1488,"")</f>
        <v/>
      </c>
      <c r="P1504">
        <f>IF(AND(ISNUMBER('자료_미국심리'!$D1488),ISNUMBER('자료_미국심리'!$E1488)),'자료_미국심리'!$D1488,"")</f>
        <v/>
      </c>
      <c r="Q1504">
        <f>IF(AND(ISNUMBER('자료_미국심리'!$G1488),ISNUMBER('자료_미국심리'!$H1488)),'자료_미국심리'!$G1488,"")</f>
        <v/>
      </c>
    </row>
    <row r="1505">
      <c r="A1505" s="10">
        <f>IF(1487&gt;$E$5,"",SMALL($O$19:$O$4018,$E$6+1487))</f>
        <v/>
      </c>
      <c r="B1505" s="29">
        <f>IF(A1505="","",INDEX('자료_미국심리'!$B$3:$B$4002,MATCH(A1505,$O$19:$O$4018,0)))</f>
        <v/>
      </c>
      <c r="C1505" s="22">
        <f>IF(A1505="","",B1505/AVERAGE(B1381:B1505)-1)</f>
        <v/>
      </c>
      <c r="D1505" s="29">
        <f>IF(A1505="","",IFERROR(INDEX('자료_미국심리'!$E$3:$E$4002,MATCH(A1505,$P$19:$P$4018,0)),D1504))</f>
        <v/>
      </c>
      <c r="E1505" s="29">
        <f>IF(A1505="","",IFERROR(INDEX('자료_미국심리'!$H$3:$H$4002,MATCH(A1505,$Q$19:$Q$4018,0)),E1504))</f>
        <v/>
      </c>
      <c r="F1505">
        <f>IF(A1505="",0,IF(A1505&gt;$B$5,1,0))</f>
        <v/>
      </c>
      <c r="G1505" s="29">
        <f>IF(AND(F1505=1,ISNUMBER(D1505)),D1505,"")</f>
        <v/>
      </c>
      <c r="H1505" s="29">
        <f>IF(AND(F1505=1,ISNUMBER(E1505)),E1505,"")</f>
        <v/>
      </c>
      <c r="I1505" s="22">
        <f>IF(AND(F1505=1,ISNUMBER(C1505)),C1505,"")</f>
        <v/>
      </c>
      <c r="J1505" s="11">
        <f>IF(G1505="","",100-IF($G$13=1,50,(_xlfn.RANK.AVG(G1505,$G$19:$G$1518,1)-1)/($G$13-1)*100))</f>
        <v/>
      </c>
      <c r="K1505" s="11">
        <f>IF(H1505="","",100-IF($G$14=1,50,(_xlfn.RANK.AVG(H1505,$H$19:$H$1518,1)-1)/($G$14-1)*100))</f>
        <v/>
      </c>
      <c r="L1505" s="11">
        <f>IF(I1505="","",IF($G$15=1,50,(_xlfn.RANK.AVG(I1505,$I$19:$I$1518,1)-1)/($G$15-1)*100))</f>
        <v/>
      </c>
      <c r="M1505" s="11">
        <f>IF(COUNT(J1505:L1505)=3,ROUND(AVERAGE(J1505:L1505),6),"")</f>
        <v/>
      </c>
      <c r="O1505">
        <f>IF(AND(ISNUMBER('자료_미국심리'!$A1489),ISNUMBER('자료_미국심리'!$B1489)),'자료_미국심리'!$A1489,"")</f>
        <v/>
      </c>
      <c r="P1505">
        <f>IF(AND(ISNUMBER('자료_미국심리'!$D1489),ISNUMBER('자료_미국심리'!$E1489)),'자료_미국심리'!$D1489,"")</f>
        <v/>
      </c>
      <c r="Q1505">
        <f>IF(AND(ISNUMBER('자료_미국심리'!$G1489),ISNUMBER('자료_미국심리'!$H1489)),'자료_미국심리'!$G1489,"")</f>
        <v/>
      </c>
    </row>
    <row r="1506">
      <c r="A1506" s="10">
        <f>IF(1488&gt;$E$5,"",SMALL($O$19:$O$4018,$E$6+1488))</f>
        <v/>
      </c>
      <c r="B1506" s="29">
        <f>IF(A1506="","",INDEX('자료_미국심리'!$B$3:$B$4002,MATCH(A1506,$O$19:$O$4018,0)))</f>
        <v/>
      </c>
      <c r="C1506" s="22">
        <f>IF(A1506="","",B1506/AVERAGE(B1382:B1506)-1)</f>
        <v/>
      </c>
      <c r="D1506" s="29">
        <f>IF(A1506="","",IFERROR(INDEX('자료_미국심리'!$E$3:$E$4002,MATCH(A1506,$P$19:$P$4018,0)),D1505))</f>
        <v/>
      </c>
      <c r="E1506" s="29">
        <f>IF(A1506="","",IFERROR(INDEX('자료_미국심리'!$H$3:$H$4002,MATCH(A1506,$Q$19:$Q$4018,0)),E1505))</f>
        <v/>
      </c>
      <c r="F1506">
        <f>IF(A1506="",0,IF(A1506&gt;$B$5,1,0))</f>
        <v/>
      </c>
      <c r="G1506" s="29">
        <f>IF(AND(F1506=1,ISNUMBER(D1506)),D1506,"")</f>
        <v/>
      </c>
      <c r="H1506" s="29">
        <f>IF(AND(F1506=1,ISNUMBER(E1506)),E1506,"")</f>
        <v/>
      </c>
      <c r="I1506" s="22">
        <f>IF(AND(F1506=1,ISNUMBER(C1506)),C1506,"")</f>
        <v/>
      </c>
      <c r="J1506" s="11">
        <f>IF(G1506="","",100-IF($G$13=1,50,(_xlfn.RANK.AVG(G1506,$G$19:$G$1518,1)-1)/($G$13-1)*100))</f>
        <v/>
      </c>
      <c r="K1506" s="11">
        <f>IF(H1506="","",100-IF($G$14=1,50,(_xlfn.RANK.AVG(H1506,$H$19:$H$1518,1)-1)/($G$14-1)*100))</f>
        <v/>
      </c>
      <c r="L1506" s="11">
        <f>IF(I1506="","",IF($G$15=1,50,(_xlfn.RANK.AVG(I1506,$I$19:$I$1518,1)-1)/($G$15-1)*100))</f>
        <v/>
      </c>
      <c r="M1506" s="11">
        <f>IF(COUNT(J1506:L1506)=3,ROUND(AVERAGE(J1506:L1506),6),"")</f>
        <v/>
      </c>
      <c r="O1506">
        <f>IF(AND(ISNUMBER('자료_미국심리'!$A1490),ISNUMBER('자료_미국심리'!$B1490)),'자료_미국심리'!$A1490,"")</f>
        <v/>
      </c>
      <c r="P1506">
        <f>IF(AND(ISNUMBER('자료_미국심리'!$D1490),ISNUMBER('자료_미국심리'!$E1490)),'자료_미국심리'!$D1490,"")</f>
        <v/>
      </c>
      <c r="Q1506">
        <f>IF(AND(ISNUMBER('자료_미국심리'!$G1490),ISNUMBER('자료_미국심리'!$H1490)),'자료_미국심리'!$G1490,"")</f>
        <v/>
      </c>
    </row>
    <row r="1507">
      <c r="A1507" s="10">
        <f>IF(1489&gt;$E$5,"",SMALL($O$19:$O$4018,$E$6+1489))</f>
        <v/>
      </c>
      <c r="B1507" s="29">
        <f>IF(A1507="","",INDEX('자료_미국심리'!$B$3:$B$4002,MATCH(A1507,$O$19:$O$4018,0)))</f>
        <v/>
      </c>
      <c r="C1507" s="22">
        <f>IF(A1507="","",B1507/AVERAGE(B1383:B1507)-1)</f>
        <v/>
      </c>
      <c r="D1507" s="29">
        <f>IF(A1507="","",IFERROR(INDEX('자료_미국심리'!$E$3:$E$4002,MATCH(A1507,$P$19:$P$4018,0)),D1506))</f>
        <v/>
      </c>
      <c r="E1507" s="29">
        <f>IF(A1507="","",IFERROR(INDEX('자료_미국심리'!$H$3:$H$4002,MATCH(A1507,$Q$19:$Q$4018,0)),E1506))</f>
        <v/>
      </c>
      <c r="F1507">
        <f>IF(A1507="",0,IF(A1507&gt;$B$5,1,0))</f>
        <v/>
      </c>
      <c r="G1507" s="29">
        <f>IF(AND(F1507=1,ISNUMBER(D1507)),D1507,"")</f>
        <v/>
      </c>
      <c r="H1507" s="29">
        <f>IF(AND(F1507=1,ISNUMBER(E1507)),E1507,"")</f>
        <v/>
      </c>
      <c r="I1507" s="22">
        <f>IF(AND(F1507=1,ISNUMBER(C1507)),C1507,"")</f>
        <v/>
      </c>
      <c r="J1507" s="11">
        <f>IF(G1507="","",100-IF($G$13=1,50,(_xlfn.RANK.AVG(G1507,$G$19:$G$1518,1)-1)/($G$13-1)*100))</f>
        <v/>
      </c>
      <c r="K1507" s="11">
        <f>IF(H1507="","",100-IF($G$14=1,50,(_xlfn.RANK.AVG(H1507,$H$19:$H$1518,1)-1)/($G$14-1)*100))</f>
        <v/>
      </c>
      <c r="L1507" s="11">
        <f>IF(I1507="","",IF($G$15=1,50,(_xlfn.RANK.AVG(I1507,$I$19:$I$1518,1)-1)/($G$15-1)*100))</f>
        <v/>
      </c>
      <c r="M1507" s="11">
        <f>IF(COUNT(J1507:L1507)=3,ROUND(AVERAGE(J1507:L1507),6),"")</f>
        <v/>
      </c>
      <c r="O1507">
        <f>IF(AND(ISNUMBER('자료_미국심리'!$A1491),ISNUMBER('자료_미국심리'!$B1491)),'자료_미국심리'!$A1491,"")</f>
        <v/>
      </c>
      <c r="P1507">
        <f>IF(AND(ISNUMBER('자료_미국심리'!$D1491),ISNUMBER('자료_미국심리'!$E1491)),'자료_미국심리'!$D1491,"")</f>
        <v/>
      </c>
      <c r="Q1507">
        <f>IF(AND(ISNUMBER('자료_미국심리'!$G1491),ISNUMBER('자료_미국심리'!$H1491)),'자료_미국심리'!$G1491,"")</f>
        <v/>
      </c>
    </row>
    <row r="1508">
      <c r="A1508" s="10">
        <f>IF(1490&gt;$E$5,"",SMALL($O$19:$O$4018,$E$6+1490))</f>
        <v/>
      </c>
      <c r="B1508" s="29">
        <f>IF(A1508="","",INDEX('자료_미국심리'!$B$3:$B$4002,MATCH(A1508,$O$19:$O$4018,0)))</f>
        <v/>
      </c>
      <c r="C1508" s="22">
        <f>IF(A1508="","",B1508/AVERAGE(B1384:B1508)-1)</f>
        <v/>
      </c>
      <c r="D1508" s="29">
        <f>IF(A1508="","",IFERROR(INDEX('자료_미국심리'!$E$3:$E$4002,MATCH(A1508,$P$19:$P$4018,0)),D1507))</f>
        <v/>
      </c>
      <c r="E1508" s="29">
        <f>IF(A1508="","",IFERROR(INDEX('자료_미국심리'!$H$3:$H$4002,MATCH(A1508,$Q$19:$Q$4018,0)),E1507))</f>
        <v/>
      </c>
      <c r="F1508">
        <f>IF(A1508="",0,IF(A1508&gt;$B$5,1,0))</f>
        <v/>
      </c>
      <c r="G1508" s="29">
        <f>IF(AND(F1508=1,ISNUMBER(D1508)),D1508,"")</f>
        <v/>
      </c>
      <c r="H1508" s="29">
        <f>IF(AND(F1508=1,ISNUMBER(E1508)),E1508,"")</f>
        <v/>
      </c>
      <c r="I1508" s="22">
        <f>IF(AND(F1508=1,ISNUMBER(C1508)),C1508,"")</f>
        <v/>
      </c>
      <c r="J1508" s="11">
        <f>IF(G1508="","",100-IF($G$13=1,50,(_xlfn.RANK.AVG(G1508,$G$19:$G$1518,1)-1)/($G$13-1)*100))</f>
        <v/>
      </c>
      <c r="K1508" s="11">
        <f>IF(H1508="","",100-IF($G$14=1,50,(_xlfn.RANK.AVG(H1508,$H$19:$H$1518,1)-1)/($G$14-1)*100))</f>
        <v/>
      </c>
      <c r="L1508" s="11">
        <f>IF(I1508="","",IF($G$15=1,50,(_xlfn.RANK.AVG(I1508,$I$19:$I$1518,1)-1)/($G$15-1)*100))</f>
        <v/>
      </c>
      <c r="M1508" s="11">
        <f>IF(COUNT(J1508:L1508)=3,ROUND(AVERAGE(J1508:L1508),6),"")</f>
        <v/>
      </c>
      <c r="O1508">
        <f>IF(AND(ISNUMBER('자료_미국심리'!$A1492),ISNUMBER('자료_미국심리'!$B1492)),'자료_미국심리'!$A1492,"")</f>
        <v/>
      </c>
      <c r="P1508">
        <f>IF(AND(ISNUMBER('자료_미국심리'!$D1492),ISNUMBER('자료_미국심리'!$E1492)),'자료_미국심리'!$D1492,"")</f>
        <v/>
      </c>
      <c r="Q1508">
        <f>IF(AND(ISNUMBER('자료_미국심리'!$G1492),ISNUMBER('자료_미국심리'!$H1492)),'자료_미국심리'!$G1492,"")</f>
        <v/>
      </c>
    </row>
    <row r="1509">
      <c r="A1509" s="10">
        <f>IF(1491&gt;$E$5,"",SMALL($O$19:$O$4018,$E$6+1491))</f>
        <v/>
      </c>
      <c r="B1509" s="29">
        <f>IF(A1509="","",INDEX('자료_미국심리'!$B$3:$B$4002,MATCH(A1509,$O$19:$O$4018,0)))</f>
        <v/>
      </c>
      <c r="C1509" s="22">
        <f>IF(A1509="","",B1509/AVERAGE(B1385:B1509)-1)</f>
        <v/>
      </c>
      <c r="D1509" s="29">
        <f>IF(A1509="","",IFERROR(INDEX('자료_미국심리'!$E$3:$E$4002,MATCH(A1509,$P$19:$P$4018,0)),D1508))</f>
        <v/>
      </c>
      <c r="E1509" s="29">
        <f>IF(A1509="","",IFERROR(INDEX('자료_미국심리'!$H$3:$H$4002,MATCH(A1509,$Q$19:$Q$4018,0)),E1508))</f>
        <v/>
      </c>
      <c r="F1509">
        <f>IF(A1509="",0,IF(A1509&gt;$B$5,1,0))</f>
        <v/>
      </c>
      <c r="G1509" s="29">
        <f>IF(AND(F1509=1,ISNUMBER(D1509)),D1509,"")</f>
        <v/>
      </c>
      <c r="H1509" s="29">
        <f>IF(AND(F1509=1,ISNUMBER(E1509)),E1509,"")</f>
        <v/>
      </c>
      <c r="I1509" s="22">
        <f>IF(AND(F1509=1,ISNUMBER(C1509)),C1509,"")</f>
        <v/>
      </c>
      <c r="J1509" s="11">
        <f>IF(G1509="","",100-IF($G$13=1,50,(_xlfn.RANK.AVG(G1509,$G$19:$G$1518,1)-1)/($G$13-1)*100))</f>
        <v/>
      </c>
      <c r="K1509" s="11">
        <f>IF(H1509="","",100-IF($G$14=1,50,(_xlfn.RANK.AVG(H1509,$H$19:$H$1518,1)-1)/($G$14-1)*100))</f>
        <v/>
      </c>
      <c r="L1509" s="11">
        <f>IF(I1509="","",IF($G$15=1,50,(_xlfn.RANK.AVG(I1509,$I$19:$I$1518,1)-1)/($G$15-1)*100))</f>
        <v/>
      </c>
      <c r="M1509" s="11">
        <f>IF(COUNT(J1509:L1509)=3,ROUND(AVERAGE(J1509:L1509),6),"")</f>
        <v/>
      </c>
      <c r="O1509">
        <f>IF(AND(ISNUMBER('자료_미국심리'!$A1493),ISNUMBER('자료_미국심리'!$B1493)),'자료_미국심리'!$A1493,"")</f>
        <v/>
      </c>
      <c r="P1509">
        <f>IF(AND(ISNUMBER('자료_미국심리'!$D1493),ISNUMBER('자료_미국심리'!$E1493)),'자료_미국심리'!$D1493,"")</f>
        <v/>
      </c>
      <c r="Q1509">
        <f>IF(AND(ISNUMBER('자료_미국심리'!$G1493),ISNUMBER('자료_미국심리'!$H1493)),'자료_미국심리'!$G1493,"")</f>
        <v/>
      </c>
    </row>
    <row r="1510">
      <c r="A1510" s="10">
        <f>IF(1492&gt;$E$5,"",SMALL($O$19:$O$4018,$E$6+1492))</f>
        <v/>
      </c>
      <c r="B1510" s="29">
        <f>IF(A1510="","",INDEX('자료_미국심리'!$B$3:$B$4002,MATCH(A1510,$O$19:$O$4018,0)))</f>
        <v/>
      </c>
      <c r="C1510" s="22">
        <f>IF(A1510="","",B1510/AVERAGE(B1386:B1510)-1)</f>
        <v/>
      </c>
      <c r="D1510" s="29">
        <f>IF(A1510="","",IFERROR(INDEX('자료_미국심리'!$E$3:$E$4002,MATCH(A1510,$P$19:$P$4018,0)),D1509))</f>
        <v/>
      </c>
      <c r="E1510" s="29">
        <f>IF(A1510="","",IFERROR(INDEX('자료_미국심리'!$H$3:$H$4002,MATCH(A1510,$Q$19:$Q$4018,0)),E1509))</f>
        <v/>
      </c>
      <c r="F1510">
        <f>IF(A1510="",0,IF(A1510&gt;$B$5,1,0))</f>
        <v/>
      </c>
      <c r="G1510" s="29">
        <f>IF(AND(F1510=1,ISNUMBER(D1510)),D1510,"")</f>
        <v/>
      </c>
      <c r="H1510" s="29">
        <f>IF(AND(F1510=1,ISNUMBER(E1510)),E1510,"")</f>
        <v/>
      </c>
      <c r="I1510" s="22">
        <f>IF(AND(F1510=1,ISNUMBER(C1510)),C1510,"")</f>
        <v/>
      </c>
      <c r="J1510" s="11">
        <f>IF(G1510="","",100-IF($G$13=1,50,(_xlfn.RANK.AVG(G1510,$G$19:$G$1518,1)-1)/($G$13-1)*100))</f>
        <v/>
      </c>
      <c r="K1510" s="11">
        <f>IF(H1510="","",100-IF($G$14=1,50,(_xlfn.RANK.AVG(H1510,$H$19:$H$1518,1)-1)/($G$14-1)*100))</f>
        <v/>
      </c>
      <c r="L1510" s="11">
        <f>IF(I1510="","",IF($G$15=1,50,(_xlfn.RANK.AVG(I1510,$I$19:$I$1518,1)-1)/($G$15-1)*100))</f>
        <v/>
      </c>
      <c r="M1510" s="11">
        <f>IF(COUNT(J1510:L1510)=3,ROUND(AVERAGE(J1510:L1510),6),"")</f>
        <v/>
      </c>
      <c r="O1510">
        <f>IF(AND(ISNUMBER('자료_미국심리'!$A1494),ISNUMBER('자료_미국심리'!$B1494)),'자료_미국심리'!$A1494,"")</f>
        <v/>
      </c>
      <c r="P1510">
        <f>IF(AND(ISNUMBER('자료_미국심리'!$D1494),ISNUMBER('자료_미국심리'!$E1494)),'자료_미국심리'!$D1494,"")</f>
        <v/>
      </c>
      <c r="Q1510">
        <f>IF(AND(ISNUMBER('자료_미국심리'!$G1494),ISNUMBER('자료_미국심리'!$H1494)),'자료_미국심리'!$G1494,"")</f>
        <v/>
      </c>
    </row>
    <row r="1511">
      <c r="A1511" s="10">
        <f>IF(1493&gt;$E$5,"",SMALL($O$19:$O$4018,$E$6+1493))</f>
        <v/>
      </c>
      <c r="B1511" s="29">
        <f>IF(A1511="","",INDEX('자료_미국심리'!$B$3:$B$4002,MATCH(A1511,$O$19:$O$4018,0)))</f>
        <v/>
      </c>
      <c r="C1511" s="22">
        <f>IF(A1511="","",B1511/AVERAGE(B1387:B1511)-1)</f>
        <v/>
      </c>
      <c r="D1511" s="29">
        <f>IF(A1511="","",IFERROR(INDEX('자료_미국심리'!$E$3:$E$4002,MATCH(A1511,$P$19:$P$4018,0)),D1510))</f>
        <v/>
      </c>
      <c r="E1511" s="29">
        <f>IF(A1511="","",IFERROR(INDEX('자료_미국심리'!$H$3:$H$4002,MATCH(A1511,$Q$19:$Q$4018,0)),E1510))</f>
        <v/>
      </c>
      <c r="F1511">
        <f>IF(A1511="",0,IF(A1511&gt;$B$5,1,0))</f>
        <v/>
      </c>
      <c r="G1511" s="29">
        <f>IF(AND(F1511=1,ISNUMBER(D1511)),D1511,"")</f>
        <v/>
      </c>
      <c r="H1511" s="29">
        <f>IF(AND(F1511=1,ISNUMBER(E1511)),E1511,"")</f>
        <v/>
      </c>
      <c r="I1511" s="22">
        <f>IF(AND(F1511=1,ISNUMBER(C1511)),C1511,"")</f>
        <v/>
      </c>
      <c r="J1511" s="11">
        <f>IF(G1511="","",100-IF($G$13=1,50,(_xlfn.RANK.AVG(G1511,$G$19:$G$1518,1)-1)/($G$13-1)*100))</f>
        <v/>
      </c>
      <c r="K1511" s="11">
        <f>IF(H1511="","",100-IF($G$14=1,50,(_xlfn.RANK.AVG(H1511,$H$19:$H$1518,1)-1)/($G$14-1)*100))</f>
        <v/>
      </c>
      <c r="L1511" s="11">
        <f>IF(I1511="","",IF($G$15=1,50,(_xlfn.RANK.AVG(I1511,$I$19:$I$1518,1)-1)/($G$15-1)*100))</f>
        <v/>
      </c>
      <c r="M1511" s="11">
        <f>IF(COUNT(J1511:L1511)=3,ROUND(AVERAGE(J1511:L1511),6),"")</f>
        <v/>
      </c>
      <c r="O1511">
        <f>IF(AND(ISNUMBER('자료_미국심리'!$A1495),ISNUMBER('자료_미국심리'!$B1495)),'자료_미국심리'!$A1495,"")</f>
        <v/>
      </c>
      <c r="P1511">
        <f>IF(AND(ISNUMBER('자료_미국심리'!$D1495),ISNUMBER('자료_미국심리'!$E1495)),'자료_미국심리'!$D1495,"")</f>
        <v/>
      </c>
      <c r="Q1511">
        <f>IF(AND(ISNUMBER('자료_미국심리'!$G1495),ISNUMBER('자료_미국심리'!$H1495)),'자료_미국심리'!$G1495,"")</f>
        <v/>
      </c>
    </row>
    <row r="1512">
      <c r="A1512" s="10">
        <f>IF(1494&gt;$E$5,"",SMALL($O$19:$O$4018,$E$6+1494))</f>
        <v/>
      </c>
      <c r="B1512" s="29">
        <f>IF(A1512="","",INDEX('자료_미국심리'!$B$3:$B$4002,MATCH(A1512,$O$19:$O$4018,0)))</f>
        <v/>
      </c>
      <c r="C1512" s="22">
        <f>IF(A1512="","",B1512/AVERAGE(B1388:B1512)-1)</f>
        <v/>
      </c>
      <c r="D1512" s="29">
        <f>IF(A1512="","",IFERROR(INDEX('자료_미국심리'!$E$3:$E$4002,MATCH(A1512,$P$19:$P$4018,0)),D1511))</f>
        <v/>
      </c>
      <c r="E1512" s="29">
        <f>IF(A1512="","",IFERROR(INDEX('자료_미국심리'!$H$3:$H$4002,MATCH(A1512,$Q$19:$Q$4018,0)),E1511))</f>
        <v/>
      </c>
      <c r="F1512">
        <f>IF(A1512="",0,IF(A1512&gt;$B$5,1,0))</f>
        <v/>
      </c>
      <c r="G1512" s="29">
        <f>IF(AND(F1512=1,ISNUMBER(D1512)),D1512,"")</f>
        <v/>
      </c>
      <c r="H1512" s="29">
        <f>IF(AND(F1512=1,ISNUMBER(E1512)),E1512,"")</f>
        <v/>
      </c>
      <c r="I1512" s="22">
        <f>IF(AND(F1512=1,ISNUMBER(C1512)),C1512,"")</f>
        <v/>
      </c>
      <c r="J1512" s="11">
        <f>IF(G1512="","",100-IF($G$13=1,50,(_xlfn.RANK.AVG(G1512,$G$19:$G$1518,1)-1)/($G$13-1)*100))</f>
        <v/>
      </c>
      <c r="K1512" s="11">
        <f>IF(H1512="","",100-IF($G$14=1,50,(_xlfn.RANK.AVG(H1512,$H$19:$H$1518,1)-1)/($G$14-1)*100))</f>
        <v/>
      </c>
      <c r="L1512" s="11">
        <f>IF(I1512="","",IF($G$15=1,50,(_xlfn.RANK.AVG(I1512,$I$19:$I$1518,1)-1)/($G$15-1)*100))</f>
        <v/>
      </c>
      <c r="M1512" s="11">
        <f>IF(COUNT(J1512:L1512)=3,ROUND(AVERAGE(J1512:L1512),6),"")</f>
        <v/>
      </c>
      <c r="O1512">
        <f>IF(AND(ISNUMBER('자료_미국심리'!$A1496),ISNUMBER('자료_미국심리'!$B1496)),'자료_미국심리'!$A1496,"")</f>
        <v/>
      </c>
      <c r="P1512">
        <f>IF(AND(ISNUMBER('자료_미국심리'!$D1496),ISNUMBER('자료_미국심리'!$E1496)),'자료_미국심리'!$D1496,"")</f>
        <v/>
      </c>
      <c r="Q1512">
        <f>IF(AND(ISNUMBER('자료_미국심리'!$G1496),ISNUMBER('자료_미국심리'!$H1496)),'자료_미국심리'!$G1496,"")</f>
        <v/>
      </c>
    </row>
    <row r="1513">
      <c r="A1513" s="10">
        <f>IF(1495&gt;$E$5,"",SMALL($O$19:$O$4018,$E$6+1495))</f>
        <v/>
      </c>
      <c r="B1513" s="29">
        <f>IF(A1513="","",INDEX('자료_미국심리'!$B$3:$B$4002,MATCH(A1513,$O$19:$O$4018,0)))</f>
        <v/>
      </c>
      <c r="C1513" s="22">
        <f>IF(A1513="","",B1513/AVERAGE(B1389:B1513)-1)</f>
        <v/>
      </c>
      <c r="D1513" s="29">
        <f>IF(A1513="","",IFERROR(INDEX('자료_미국심리'!$E$3:$E$4002,MATCH(A1513,$P$19:$P$4018,0)),D1512))</f>
        <v/>
      </c>
      <c r="E1513" s="29">
        <f>IF(A1513="","",IFERROR(INDEX('자료_미국심리'!$H$3:$H$4002,MATCH(A1513,$Q$19:$Q$4018,0)),E1512))</f>
        <v/>
      </c>
      <c r="F1513">
        <f>IF(A1513="",0,IF(A1513&gt;$B$5,1,0))</f>
        <v/>
      </c>
      <c r="G1513" s="29">
        <f>IF(AND(F1513=1,ISNUMBER(D1513)),D1513,"")</f>
        <v/>
      </c>
      <c r="H1513" s="29">
        <f>IF(AND(F1513=1,ISNUMBER(E1513)),E1513,"")</f>
        <v/>
      </c>
      <c r="I1513" s="22">
        <f>IF(AND(F1513=1,ISNUMBER(C1513)),C1513,"")</f>
        <v/>
      </c>
      <c r="J1513" s="11">
        <f>IF(G1513="","",100-IF($G$13=1,50,(_xlfn.RANK.AVG(G1513,$G$19:$G$1518,1)-1)/($G$13-1)*100))</f>
        <v/>
      </c>
      <c r="K1513" s="11">
        <f>IF(H1513="","",100-IF($G$14=1,50,(_xlfn.RANK.AVG(H1513,$H$19:$H$1518,1)-1)/($G$14-1)*100))</f>
        <v/>
      </c>
      <c r="L1513" s="11">
        <f>IF(I1513="","",IF($G$15=1,50,(_xlfn.RANK.AVG(I1513,$I$19:$I$1518,1)-1)/($G$15-1)*100))</f>
        <v/>
      </c>
      <c r="M1513" s="11">
        <f>IF(COUNT(J1513:L1513)=3,ROUND(AVERAGE(J1513:L1513),6),"")</f>
        <v/>
      </c>
      <c r="O1513">
        <f>IF(AND(ISNUMBER('자료_미국심리'!$A1497),ISNUMBER('자료_미국심리'!$B1497)),'자료_미국심리'!$A1497,"")</f>
        <v/>
      </c>
      <c r="P1513">
        <f>IF(AND(ISNUMBER('자료_미국심리'!$D1497),ISNUMBER('자료_미국심리'!$E1497)),'자료_미국심리'!$D1497,"")</f>
        <v/>
      </c>
      <c r="Q1513">
        <f>IF(AND(ISNUMBER('자료_미국심리'!$G1497),ISNUMBER('자료_미국심리'!$H1497)),'자료_미국심리'!$G1497,"")</f>
        <v/>
      </c>
    </row>
    <row r="1514">
      <c r="A1514" s="10">
        <f>IF(1496&gt;$E$5,"",SMALL($O$19:$O$4018,$E$6+1496))</f>
        <v/>
      </c>
      <c r="B1514" s="29">
        <f>IF(A1514="","",INDEX('자료_미국심리'!$B$3:$B$4002,MATCH(A1514,$O$19:$O$4018,0)))</f>
        <v/>
      </c>
      <c r="C1514" s="22">
        <f>IF(A1514="","",B1514/AVERAGE(B1390:B1514)-1)</f>
        <v/>
      </c>
      <c r="D1514" s="29">
        <f>IF(A1514="","",IFERROR(INDEX('자료_미국심리'!$E$3:$E$4002,MATCH(A1514,$P$19:$P$4018,0)),D1513))</f>
        <v/>
      </c>
      <c r="E1514" s="29">
        <f>IF(A1514="","",IFERROR(INDEX('자료_미국심리'!$H$3:$H$4002,MATCH(A1514,$Q$19:$Q$4018,0)),E1513))</f>
        <v/>
      </c>
      <c r="F1514">
        <f>IF(A1514="",0,IF(A1514&gt;$B$5,1,0))</f>
        <v/>
      </c>
      <c r="G1514" s="29">
        <f>IF(AND(F1514=1,ISNUMBER(D1514)),D1514,"")</f>
        <v/>
      </c>
      <c r="H1514" s="29">
        <f>IF(AND(F1514=1,ISNUMBER(E1514)),E1514,"")</f>
        <v/>
      </c>
      <c r="I1514" s="22">
        <f>IF(AND(F1514=1,ISNUMBER(C1514)),C1514,"")</f>
        <v/>
      </c>
      <c r="J1514" s="11">
        <f>IF(G1514="","",100-IF($G$13=1,50,(_xlfn.RANK.AVG(G1514,$G$19:$G$1518,1)-1)/($G$13-1)*100))</f>
        <v/>
      </c>
      <c r="K1514" s="11">
        <f>IF(H1514="","",100-IF($G$14=1,50,(_xlfn.RANK.AVG(H1514,$H$19:$H$1518,1)-1)/($G$14-1)*100))</f>
        <v/>
      </c>
      <c r="L1514" s="11">
        <f>IF(I1514="","",IF($G$15=1,50,(_xlfn.RANK.AVG(I1514,$I$19:$I$1518,1)-1)/($G$15-1)*100))</f>
        <v/>
      </c>
      <c r="M1514" s="11">
        <f>IF(COUNT(J1514:L1514)=3,ROUND(AVERAGE(J1514:L1514),6),"")</f>
        <v/>
      </c>
      <c r="O1514">
        <f>IF(AND(ISNUMBER('자료_미국심리'!$A1498),ISNUMBER('자료_미국심리'!$B1498)),'자료_미국심리'!$A1498,"")</f>
        <v/>
      </c>
      <c r="P1514">
        <f>IF(AND(ISNUMBER('자료_미국심리'!$D1498),ISNUMBER('자료_미국심리'!$E1498)),'자료_미국심리'!$D1498,"")</f>
        <v/>
      </c>
      <c r="Q1514">
        <f>IF(AND(ISNUMBER('자료_미국심리'!$G1498),ISNUMBER('자료_미국심리'!$H1498)),'자료_미국심리'!$G1498,"")</f>
        <v/>
      </c>
    </row>
    <row r="1515">
      <c r="A1515" s="10">
        <f>IF(1497&gt;$E$5,"",SMALL($O$19:$O$4018,$E$6+1497))</f>
        <v/>
      </c>
      <c r="B1515" s="29">
        <f>IF(A1515="","",INDEX('자료_미국심리'!$B$3:$B$4002,MATCH(A1515,$O$19:$O$4018,0)))</f>
        <v/>
      </c>
      <c r="C1515" s="22">
        <f>IF(A1515="","",B1515/AVERAGE(B1391:B1515)-1)</f>
        <v/>
      </c>
      <c r="D1515" s="29">
        <f>IF(A1515="","",IFERROR(INDEX('자료_미국심리'!$E$3:$E$4002,MATCH(A1515,$P$19:$P$4018,0)),D1514))</f>
        <v/>
      </c>
      <c r="E1515" s="29">
        <f>IF(A1515="","",IFERROR(INDEX('자료_미국심리'!$H$3:$H$4002,MATCH(A1515,$Q$19:$Q$4018,0)),E1514))</f>
        <v/>
      </c>
      <c r="F1515">
        <f>IF(A1515="",0,IF(A1515&gt;$B$5,1,0))</f>
        <v/>
      </c>
      <c r="G1515" s="29">
        <f>IF(AND(F1515=1,ISNUMBER(D1515)),D1515,"")</f>
        <v/>
      </c>
      <c r="H1515" s="29">
        <f>IF(AND(F1515=1,ISNUMBER(E1515)),E1515,"")</f>
        <v/>
      </c>
      <c r="I1515" s="22">
        <f>IF(AND(F1515=1,ISNUMBER(C1515)),C1515,"")</f>
        <v/>
      </c>
      <c r="J1515" s="11">
        <f>IF(G1515="","",100-IF($G$13=1,50,(_xlfn.RANK.AVG(G1515,$G$19:$G$1518,1)-1)/($G$13-1)*100))</f>
        <v/>
      </c>
      <c r="K1515" s="11">
        <f>IF(H1515="","",100-IF($G$14=1,50,(_xlfn.RANK.AVG(H1515,$H$19:$H$1518,1)-1)/($G$14-1)*100))</f>
        <v/>
      </c>
      <c r="L1515" s="11">
        <f>IF(I1515="","",IF($G$15=1,50,(_xlfn.RANK.AVG(I1515,$I$19:$I$1518,1)-1)/($G$15-1)*100))</f>
        <v/>
      </c>
      <c r="M1515" s="11">
        <f>IF(COUNT(J1515:L1515)=3,ROUND(AVERAGE(J1515:L1515),6),"")</f>
        <v/>
      </c>
      <c r="O1515">
        <f>IF(AND(ISNUMBER('자료_미국심리'!$A1499),ISNUMBER('자료_미국심리'!$B1499)),'자료_미국심리'!$A1499,"")</f>
        <v/>
      </c>
      <c r="P1515">
        <f>IF(AND(ISNUMBER('자료_미국심리'!$D1499),ISNUMBER('자료_미국심리'!$E1499)),'자료_미국심리'!$D1499,"")</f>
        <v/>
      </c>
      <c r="Q1515">
        <f>IF(AND(ISNUMBER('자료_미국심리'!$G1499),ISNUMBER('자료_미국심리'!$H1499)),'자료_미국심리'!$G1499,"")</f>
        <v/>
      </c>
    </row>
    <row r="1516">
      <c r="A1516" s="10">
        <f>IF(1498&gt;$E$5,"",SMALL($O$19:$O$4018,$E$6+1498))</f>
        <v/>
      </c>
      <c r="B1516" s="29">
        <f>IF(A1516="","",INDEX('자료_미국심리'!$B$3:$B$4002,MATCH(A1516,$O$19:$O$4018,0)))</f>
        <v/>
      </c>
      <c r="C1516" s="22">
        <f>IF(A1516="","",B1516/AVERAGE(B1392:B1516)-1)</f>
        <v/>
      </c>
      <c r="D1516" s="29">
        <f>IF(A1516="","",IFERROR(INDEX('자료_미국심리'!$E$3:$E$4002,MATCH(A1516,$P$19:$P$4018,0)),D1515))</f>
        <v/>
      </c>
      <c r="E1516" s="29">
        <f>IF(A1516="","",IFERROR(INDEX('자료_미국심리'!$H$3:$H$4002,MATCH(A1516,$Q$19:$Q$4018,0)),E1515))</f>
        <v/>
      </c>
      <c r="F1516">
        <f>IF(A1516="",0,IF(A1516&gt;$B$5,1,0))</f>
        <v/>
      </c>
      <c r="G1516" s="29">
        <f>IF(AND(F1516=1,ISNUMBER(D1516)),D1516,"")</f>
        <v/>
      </c>
      <c r="H1516" s="29">
        <f>IF(AND(F1516=1,ISNUMBER(E1516)),E1516,"")</f>
        <v/>
      </c>
      <c r="I1516" s="22">
        <f>IF(AND(F1516=1,ISNUMBER(C1516)),C1516,"")</f>
        <v/>
      </c>
      <c r="J1516" s="11">
        <f>IF(G1516="","",100-IF($G$13=1,50,(_xlfn.RANK.AVG(G1516,$G$19:$G$1518,1)-1)/($G$13-1)*100))</f>
        <v/>
      </c>
      <c r="K1516" s="11">
        <f>IF(H1516="","",100-IF($G$14=1,50,(_xlfn.RANK.AVG(H1516,$H$19:$H$1518,1)-1)/($G$14-1)*100))</f>
        <v/>
      </c>
      <c r="L1516" s="11">
        <f>IF(I1516="","",IF($G$15=1,50,(_xlfn.RANK.AVG(I1516,$I$19:$I$1518,1)-1)/($G$15-1)*100))</f>
        <v/>
      </c>
      <c r="M1516" s="11">
        <f>IF(COUNT(J1516:L1516)=3,ROUND(AVERAGE(J1516:L1516),6),"")</f>
        <v/>
      </c>
      <c r="O1516">
        <f>IF(AND(ISNUMBER('자료_미국심리'!$A1500),ISNUMBER('자료_미국심리'!$B1500)),'자료_미국심리'!$A1500,"")</f>
        <v/>
      </c>
      <c r="P1516">
        <f>IF(AND(ISNUMBER('자료_미국심리'!$D1500),ISNUMBER('자료_미국심리'!$E1500)),'자료_미국심리'!$D1500,"")</f>
        <v/>
      </c>
      <c r="Q1516">
        <f>IF(AND(ISNUMBER('자료_미국심리'!$G1500),ISNUMBER('자료_미국심리'!$H1500)),'자료_미국심리'!$G1500,"")</f>
        <v/>
      </c>
    </row>
    <row r="1517">
      <c r="A1517" s="10">
        <f>IF(1499&gt;$E$5,"",SMALL($O$19:$O$4018,$E$6+1499))</f>
        <v/>
      </c>
      <c r="B1517" s="29">
        <f>IF(A1517="","",INDEX('자료_미국심리'!$B$3:$B$4002,MATCH(A1517,$O$19:$O$4018,0)))</f>
        <v/>
      </c>
      <c r="C1517" s="22">
        <f>IF(A1517="","",B1517/AVERAGE(B1393:B1517)-1)</f>
        <v/>
      </c>
      <c r="D1517" s="29">
        <f>IF(A1517="","",IFERROR(INDEX('자료_미국심리'!$E$3:$E$4002,MATCH(A1517,$P$19:$P$4018,0)),D1516))</f>
        <v/>
      </c>
      <c r="E1517" s="29">
        <f>IF(A1517="","",IFERROR(INDEX('자료_미국심리'!$H$3:$H$4002,MATCH(A1517,$Q$19:$Q$4018,0)),E1516))</f>
        <v/>
      </c>
      <c r="F1517">
        <f>IF(A1517="",0,IF(A1517&gt;$B$5,1,0))</f>
        <v/>
      </c>
      <c r="G1517" s="29">
        <f>IF(AND(F1517=1,ISNUMBER(D1517)),D1517,"")</f>
        <v/>
      </c>
      <c r="H1517" s="29">
        <f>IF(AND(F1517=1,ISNUMBER(E1517)),E1517,"")</f>
        <v/>
      </c>
      <c r="I1517" s="22">
        <f>IF(AND(F1517=1,ISNUMBER(C1517)),C1517,"")</f>
        <v/>
      </c>
      <c r="J1517" s="11">
        <f>IF(G1517="","",100-IF($G$13=1,50,(_xlfn.RANK.AVG(G1517,$G$19:$G$1518,1)-1)/($G$13-1)*100))</f>
        <v/>
      </c>
      <c r="K1517" s="11">
        <f>IF(H1517="","",100-IF($G$14=1,50,(_xlfn.RANK.AVG(H1517,$H$19:$H$1518,1)-1)/($G$14-1)*100))</f>
        <v/>
      </c>
      <c r="L1517" s="11">
        <f>IF(I1517="","",IF($G$15=1,50,(_xlfn.RANK.AVG(I1517,$I$19:$I$1518,1)-1)/($G$15-1)*100))</f>
        <v/>
      </c>
      <c r="M1517" s="11">
        <f>IF(COUNT(J1517:L1517)=3,ROUND(AVERAGE(J1517:L1517),6),"")</f>
        <v/>
      </c>
      <c r="O1517">
        <f>IF(AND(ISNUMBER('자료_미국심리'!$A1501),ISNUMBER('자료_미국심리'!$B1501)),'자료_미국심리'!$A1501,"")</f>
        <v/>
      </c>
      <c r="P1517">
        <f>IF(AND(ISNUMBER('자료_미국심리'!$D1501),ISNUMBER('자료_미국심리'!$E1501)),'자료_미국심리'!$D1501,"")</f>
        <v/>
      </c>
      <c r="Q1517">
        <f>IF(AND(ISNUMBER('자료_미국심리'!$G1501),ISNUMBER('자료_미국심리'!$H1501)),'자료_미국심리'!$G1501,"")</f>
        <v/>
      </c>
    </row>
    <row r="1518">
      <c r="A1518" s="10">
        <f>IF(1500&gt;$E$5,"",SMALL($O$19:$O$4018,$E$6+1500))</f>
        <v/>
      </c>
      <c r="B1518" s="29">
        <f>IF(A1518="","",INDEX('자료_미국심리'!$B$3:$B$4002,MATCH(A1518,$O$19:$O$4018,0)))</f>
        <v/>
      </c>
      <c r="C1518" s="22">
        <f>IF(A1518="","",B1518/AVERAGE(B1394:B1518)-1)</f>
        <v/>
      </c>
      <c r="D1518" s="29">
        <f>IF(A1518="","",IFERROR(INDEX('자료_미국심리'!$E$3:$E$4002,MATCH(A1518,$P$19:$P$4018,0)),D1517))</f>
        <v/>
      </c>
      <c r="E1518" s="29">
        <f>IF(A1518="","",IFERROR(INDEX('자료_미국심리'!$H$3:$H$4002,MATCH(A1518,$Q$19:$Q$4018,0)),E1517))</f>
        <v/>
      </c>
      <c r="F1518">
        <f>IF(A1518="",0,IF(A1518&gt;$B$5,1,0))</f>
        <v/>
      </c>
      <c r="G1518" s="29">
        <f>IF(AND(F1518=1,ISNUMBER(D1518)),D1518,"")</f>
        <v/>
      </c>
      <c r="H1518" s="29">
        <f>IF(AND(F1518=1,ISNUMBER(E1518)),E1518,"")</f>
        <v/>
      </c>
      <c r="I1518" s="22">
        <f>IF(AND(F1518=1,ISNUMBER(C1518)),C1518,"")</f>
        <v/>
      </c>
      <c r="J1518" s="11">
        <f>IF(G1518="","",100-IF($G$13=1,50,(_xlfn.RANK.AVG(G1518,$G$19:$G$1518,1)-1)/($G$13-1)*100))</f>
        <v/>
      </c>
      <c r="K1518" s="11">
        <f>IF(H1518="","",100-IF($G$14=1,50,(_xlfn.RANK.AVG(H1518,$H$19:$H$1518,1)-1)/($G$14-1)*100))</f>
        <v/>
      </c>
      <c r="L1518" s="11">
        <f>IF(I1518="","",IF($G$15=1,50,(_xlfn.RANK.AVG(I1518,$I$19:$I$1518,1)-1)/($G$15-1)*100))</f>
        <v/>
      </c>
      <c r="M1518" s="11">
        <f>IF(COUNT(J1518:L1518)=3,ROUND(AVERAGE(J1518:L1518),6),"")</f>
        <v/>
      </c>
      <c r="O1518">
        <f>IF(AND(ISNUMBER('자료_미국심리'!$A1502),ISNUMBER('자료_미국심리'!$B1502)),'자료_미국심리'!$A1502,"")</f>
        <v/>
      </c>
      <c r="P1518">
        <f>IF(AND(ISNUMBER('자료_미국심리'!$D1502),ISNUMBER('자료_미국심리'!$E1502)),'자료_미국심리'!$D1502,"")</f>
        <v/>
      </c>
      <c r="Q1518">
        <f>IF(AND(ISNUMBER('자료_미국심리'!$G1502),ISNUMBER('자료_미국심리'!$H1502)),'자료_미국심리'!$G1502,"")</f>
        <v/>
      </c>
    </row>
    <row r="1519">
      <c r="O1519">
        <f>IF(AND(ISNUMBER('자료_미국심리'!$A1503),ISNUMBER('자료_미국심리'!$B1503)),'자료_미국심리'!$A1503,"")</f>
        <v/>
      </c>
      <c r="P1519">
        <f>IF(AND(ISNUMBER('자료_미국심리'!$D1503),ISNUMBER('자료_미국심리'!$E1503)),'자료_미국심리'!$D1503,"")</f>
        <v/>
      </c>
      <c r="Q1519">
        <f>IF(AND(ISNUMBER('자료_미국심리'!$G1503),ISNUMBER('자료_미국심리'!$H1503)),'자료_미국심리'!$G1503,"")</f>
        <v/>
      </c>
    </row>
    <row r="1520">
      <c r="O1520">
        <f>IF(AND(ISNUMBER('자료_미국심리'!$A1504),ISNUMBER('자료_미국심리'!$B1504)),'자료_미국심리'!$A1504,"")</f>
        <v/>
      </c>
      <c r="P1520">
        <f>IF(AND(ISNUMBER('자료_미국심리'!$D1504),ISNUMBER('자료_미국심리'!$E1504)),'자료_미국심리'!$D1504,"")</f>
        <v/>
      </c>
      <c r="Q1520">
        <f>IF(AND(ISNUMBER('자료_미국심리'!$G1504),ISNUMBER('자료_미국심리'!$H1504)),'자료_미국심리'!$G1504,"")</f>
        <v/>
      </c>
    </row>
    <row r="1521">
      <c r="O1521">
        <f>IF(AND(ISNUMBER('자료_미국심리'!$A1505),ISNUMBER('자료_미국심리'!$B1505)),'자료_미국심리'!$A1505,"")</f>
        <v/>
      </c>
      <c r="P1521">
        <f>IF(AND(ISNUMBER('자료_미국심리'!$D1505),ISNUMBER('자료_미국심리'!$E1505)),'자료_미국심리'!$D1505,"")</f>
        <v/>
      </c>
      <c r="Q1521">
        <f>IF(AND(ISNUMBER('자료_미국심리'!$G1505),ISNUMBER('자료_미국심리'!$H1505)),'자료_미국심리'!$G1505,"")</f>
        <v/>
      </c>
    </row>
    <row r="1522">
      <c r="O1522">
        <f>IF(AND(ISNUMBER('자료_미국심리'!$A1506),ISNUMBER('자료_미국심리'!$B1506)),'자료_미국심리'!$A1506,"")</f>
        <v/>
      </c>
      <c r="P1522">
        <f>IF(AND(ISNUMBER('자료_미국심리'!$D1506),ISNUMBER('자료_미국심리'!$E1506)),'자료_미국심리'!$D1506,"")</f>
        <v/>
      </c>
      <c r="Q1522">
        <f>IF(AND(ISNUMBER('자료_미국심리'!$G1506),ISNUMBER('자료_미국심리'!$H1506)),'자료_미국심리'!$G1506,"")</f>
        <v/>
      </c>
    </row>
    <row r="1523">
      <c r="O1523">
        <f>IF(AND(ISNUMBER('자료_미국심리'!$A1507),ISNUMBER('자료_미국심리'!$B1507)),'자료_미국심리'!$A1507,"")</f>
        <v/>
      </c>
      <c r="P1523">
        <f>IF(AND(ISNUMBER('자료_미국심리'!$D1507),ISNUMBER('자료_미국심리'!$E1507)),'자료_미국심리'!$D1507,"")</f>
        <v/>
      </c>
      <c r="Q1523">
        <f>IF(AND(ISNUMBER('자료_미국심리'!$G1507),ISNUMBER('자료_미국심리'!$H1507)),'자료_미국심리'!$G1507,"")</f>
        <v/>
      </c>
    </row>
    <row r="1524">
      <c r="O1524">
        <f>IF(AND(ISNUMBER('자료_미국심리'!$A1508),ISNUMBER('자료_미국심리'!$B1508)),'자료_미국심리'!$A1508,"")</f>
        <v/>
      </c>
      <c r="P1524">
        <f>IF(AND(ISNUMBER('자료_미국심리'!$D1508),ISNUMBER('자료_미국심리'!$E1508)),'자료_미국심리'!$D1508,"")</f>
        <v/>
      </c>
      <c r="Q1524">
        <f>IF(AND(ISNUMBER('자료_미국심리'!$G1508),ISNUMBER('자료_미국심리'!$H1508)),'자료_미국심리'!$G1508,"")</f>
        <v/>
      </c>
    </row>
    <row r="1525">
      <c r="O1525">
        <f>IF(AND(ISNUMBER('자료_미국심리'!$A1509),ISNUMBER('자료_미국심리'!$B1509)),'자료_미국심리'!$A1509,"")</f>
        <v/>
      </c>
      <c r="P1525">
        <f>IF(AND(ISNUMBER('자료_미국심리'!$D1509),ISNUMBER('자료_미국심리'!$E1509)),'자료_미국심리'!$D1509,"")</f>
        <v/>
      </c>
      <c r="Q1525">
        <f>IF(AND(ISNUMBER('자료_미국심리'!$G1509),ISNUMBER('자료_미국심리'!$H1509)),'자료_미국심리'!$G1509,"")</f>
        <v/>
      </c>
    </row>
    <row r="1526">
      <c r="O1526">
        <f>IF(AND(ISNUMBER('자료_미국심리'!$A1510),ISNUMBER('자료_미국심리'!$B1510)),'자료_미국심리'!$A1510,"")</f>
        <v/>
      </c>
      <c r="P1526">
        <f>IF(AND(ISNUMBER('자료_미국심리'!$D1510),ISNUMBER('자료_미국심리'!$E1510)),'자료_미국심리'!$D1510,"")</f>
        <v/>
      </c>
      <c r="Q1526">
        <f>IF(AND(ISNUMBER('자료_미국심리'!$G1510),ISNUMBER('자료_미국심리'!$H1510)),'자료_미국심리'!$G1510,"")</f>
        <v/>
      </c>
    </row>
    <row r="1527">
      <c r="O1527">
        <f>IF(AND(ISNUMBER('자료_미국심리'!$A1511),ISNUMBER('자료_미국심리'!$B1511)),'자료_미국심리'!$A1511,"")</f>
        <v/>
      </c>
      <c r="P1527">
        <f>IF(AND(ISNUMBER('자료_미국심리'!$D1511),ISNUMBER('자료_미국심리'!$E1511)),'자료_미국심리'!$D1511,"")</f>
        <v/>
      </c>
      <c r="Q1527">
        <f>IF(AND(ISNUMBER('자료_미국심리'!$G1511),ISNUMBER('자료_미국심리'!$H1511)),'자료_미국심리'!$G1511,"")</f>
        <v/>
      </c>
    </row>
    <row r="1528">
      <c r="O1528">
        <f>IF(AND(ISNUMBER('자료_미국심리'!$A1512),ISNUMBER('자료_미국심리'!$B1512)),'자료_미국심리'!$A1512,"")</f>
        <v/>
      </c>
      <c r="P1528">
        <f>IF(AND(ISNUMBER('자료_미국심리'!$D1512),ISNUMBER('자료_미국심리'!$E1512)),'자료_미국심리'!$D1512,"")</f>
        <v/>
      </c>
      <c r="Q1528">
        <f>IF(AND(ISNUMBER('자료_미국심리'!$G1512),ISNUMBER('자료_미국심리'!$H1512)),'자료_미국심리'!$G1512,"")</f>
        <v/>
      </c>
    </row>
    <row r="1529">
      <c r="O1529">
        <f>IF(AND(ISNUMBER('자료_미국심리'!$A1513),ISNUMBER('자료_미국심리'!$B1513)),'자료_미국심리'!$A1513,"")</f>
        <v/>
      </c>
      <c r="P1529">
        <f>IF(AND(ISNUMBER('자료_미국심리'!$D1513),ISNUMBER('자료_미국심리'!$E1513)),'자료_미국심리'!$D1513,"")</f>
        <v/>
      </c>
      <c r="Q1529">
        <f>IF(AND(ISNUMBER('자료_미국심리'!$G1513),ISNUMBER('자료_미국심리'!$H1513)),'자료_미국심리'!$G1513,"")</f>
        <v/>
      </c>
    </row>
    <row r="1530">
      <c r="O1530">
        <f>IF(AND(ISNUMBER('자료_미국심리'!$A1514),ISNUMBER('자료_미국심리'!$B1514)),'자료_미국심리'!$A1514,"")</f>
        <v/>
      </c>
      <c r="P1530">
        <f>IF(AND(ISNUMBER('자료_미국심리'!$D1514),ISNUMBER('자료_미국심리'!$E1514)),'자료_미국심리'!$D1514,"")</f>
        <v/>
      </c>
      <c r="Q1530">
        <f>IF(AND(ISNUMBER('자료_미국심리'!$G1514),ISNUMBER('자료_미국심리'!$H1514)),'자료_미국심리'!$G1514,"")</f>
        <v/>
      </c>
    </row>
    <row r="1531">
      <c r="O1531">
        <f>IF(AND(ISNUMBER('자료_미국심리'!$A1515),ISNUMBER('자료_미국심리'!$B1515)),'자료_미국심리'!$A1515,"")</f>
        <v/>
      </c>
      <c r="P1531">
        <f>IF(AND(ISNUMBER('자료_미국심리'!$D1515),ISNUMBER('자료_미국심리'!$E1515)),'자료_미국심리'!$D1515,"")</f>
        <v/>
      </c>
      <c r="Q1531">
        <f>IF(AND(ISNUMBER('자료_미국심리'!$G1515),ISNUMBER('자료_미국심리'!$H1515)),'자료_미국심리'!$G1515,"")</f>
        <v/>
      </c>
    </row>
    <row r="1532">
      <c r="O1532">
        <f>IF(AND(ISNUMBER('자료_미국심리'!$A1516),ISNUMBER('자료_미국심리'!$B1516)),'자료_미국심리'!$A1516,"")</f>
        <v/>
      </c>
      <c r="P1532">
        <f>IF(AND(ISNUMBER('자료_미국심리'!$D1516),ISNUMBER('자료_미국심리'!$E1516)),'자료_미국심리'!$D1516,"")</f>
        <v/>
      </c>
      <c r="Q1532">
        <f>IF(AND(ISNUMBER('자료_미국심리'!$G1516),ISNUMBER('자료_미국심리'!$H1516)),'자료_미국심리'!$G1516,"")</f>
        <v/>
      </c>
    </row>
    <row r="1533">
      <c r="O1533">
        <f>IF(AND(ISNUMBER('자료_미국심리'!$A1517),ISNUMBER('자료_미국심리'!$B1517)),'자료_미국심리'!$A1517,"")</f>
        <v/>
      </c>
      <c r="P1533">
        <f>IF(AND(ISNUMBER('자료_미국심리'!$D1517),ISNUMBER('자료_미국심리'!$E1517)),'자료_미국심리'!$D1517,"")</f>
        <v/>
      </c>
      <c r="Q1533">
        <f>IF(AND(ISNUMBER('자료_미국심리'!$G1517),ISNUMBER('자료_미국심리'!$H1517)),'자료_미국심리'!$G1517,"")</f>
        <v/>
      </c>
    </row>
    <row r="1534">
      <c r="O1534">
        <f>IF(AND(ISNUMBER('자료_미국심리'!$A1518),ISNUMBER('자료_미국심리'!$B1518)),'자료_미국심리'!$A1518,"")</f>
        <v/>
      </c>
      <c r="P1534">
        <f>IF(AND(ISNUMBER('자료_미국심리'!$D1518),ISNUMBER('자료_미국심리'!$E1518)),'자료_미국심리'!$D1518,"")</f>
        <v/>
      </c>
      <c r="Q1534">
        <f>IF(AND(ISNUMBER('자료_미국심리'!$G1518),ISNUMBER('자료_미국심리'!$H1518)),'자료_미국심리'!$G1518,"")</f>
        <v/>
      </c>
    </row>
    <row r="1535">
      <c r="O1535">
        <f>IF(AND(ISNUMBER('자료_미국심리'!$A1519),ISNUMBER('자료_미국심리'!$B1519)),'자료_미국심리'!$A1519,"")</f>
        <v/>
      </c>
      <c r="P1535">
        <f>IF(AND(ISNUMBER('자료_미국심리'!$D1519),ISNUMBER('자료_미국심리'!$E1519)),'자료_미국심리'!$D1519,"")</f>
        <v/>
      </c>
      <c r="Q1535">
        <f>IF(AND(ISNUMBER('자료_미국심리'!$G1519),ISNUMBER('자료_미국심리'!$H1519)),'자료_미국심리'!$G1519,"")</f>
        <v/>
      </c>
    </row>
    <row r="1536">
      <c r="O1536">
        <f>IF(AND(ISNUMBER('자료_미국심리'!$A1520),ISNUMBER('자료_미국심리'!$B1520)),'자료_미국심리'!$A1520,"")</f>
        <v/>
      </c>
      <c r="P1536">
        <f>IF(AND(ISNUMBER('자료_미국심리'!$D1520),ISNUMBER('자료_미국심리'!$E1520)),'자료_미국심리'!$D1520,"")</f>
        <v/>
      </c>
      <c r="Q1536">
        <f>IF(AND(ISNUMBER('자료_미국심리'!$G1520),ISNUMBER('자료_미국심리'!$H1520)),'자료_미국심리'!$G1520,"")</f>
        <v/>
      </c>
    </row>
    <row r="1537">
      <c r="O1537">
        <f>IF(AND(ISNUMBER('자료_미국심리'!$A1521),ISNUMBER('자료_미국심리'!$B1521)),'자료_미국심리'!$A1521,"")</f>
        <v/>
      </c>
      <c r="P1537">
        <f>IF(AND(ISNUMBER('자료_미국심리'!$D1521),ISNUMBER('자료_미국심리'!$E1521)),'자료_미국심리'!$D1521,"")</f>
        <v/>
      </c>
      <c r="Q1537">
        <f>IF(AND(ISNUMBER('자료_미국심리'!$G1521),ISNUMBER('자료_미국심리'!$H1521)),'자료_미국심리'!$G1521,"")</f>
        <v/>
      </c>
    </row>
    <row r="1538">
      <c r="O1538">
        <f>IF(AND(ISNUMBER('자료_미국심리'!$A1522),ISNUMBER('자료_미국심리'!$B1522)),'자료_미국심리'!$A1522,"")</f>
        <v/>
      </c>
      <c r="P1538">
        <f>IF(AND(ISNUMBER('자료_미국심리'!$D1522),ISNUMBER('자료_미국심리'!$E1522)),'자료_미국심리'!$D1522,"")</f>
        <v/>
      </c>
      <c r="Q1538">
        <f>IF(AND(ISNUMBER('자료_미국심리'!$G1522),ISNUMBER('자료_미국심리'!$H1522)),'자료_미국심리'!$G1522,"")</f>
        <v/>
      </c>
    </row>
    <row r="1539">
      <c r="O1539">
        <f>IF(AND(ISNUMBER('자료_미국심리'!$A1523),ISNUMBER('자료_미국심리'!$B1523)),'자료_미국심리'!$A1523,"")</f>
        <v/>
      </c>
      <c r="P1539">
        <f>IF(AND(ISNUMBER('자료_미국심리'!$D1523),ISNUMBER('자료_미국심리'!$E1523)),'자료_미국심리'!$D1523,"")</f>
        <v/>
      </c>
      <c r="Q1539">
        <f>IF(AND(ISNUMBER('자료_미국심리'!$G1523),ISNUMBER('자료_미국심리'!$H1523)),'자료_미국심리'!$G1523,"")</f>
        <v/>
      </c>
    </row>
    <row r="1540">
      <c r="O1540">
        <f>IF(AND(ISNUMBER('자료_미국심리'!$A1524),ISNUMBER('자료_미국심리'!$B1524)),'자료_미국심리'!$A1524,"")</f>
        <v/>
      </c>
      <c r="P1540">
        <f>IF(AND(ISNUMBER('자료_미국심리'!$D1524),ISNUMBER('자료_미국심리'!$E1524)),'자료_미국심리'!$D1524,"")</f>
        <v/>
      </c>
      <c r="Q1540">
        <f>IF(AND(ISNUMBER('자료_미국심리'!$G1524),ISNUMBER('자료_미국심리'!$H1524)),'자료_미국심리'!$G1524,"")</f>
        <v/>
      </c>
    </row>
    <row r="1541">
      <c r="O1541">
        <f>IF(AND(ISNUMBER('자료_미국심리'!$A1525),ISNUMBER('자료_미국심리'!$B1525)),'자료_미국심리'!$A1525,"")</f>
        <v/>
      </c>
      <c r="P1541">
        <f>IF(AND(ISNUMBER('자료_미국심리'!$D1525),ISNUMBER('자료_미국심리'!$E1525)),'자료_미국심리'!$D1525,"")</f>
        <v/>
      </c>
      <c r="Q1541">
        <f>IF(AND(ISNUMBER('자료_미국심리'!$G1525),ISNUMBER('자료_미국심리'!$H1525)),'자료_미국심리'!$G1525,"")</f>
        <v/>
      </c>
    </row>
    <row r="1542">
      <c r="O1542">
        <f>IF(AND(ISNUMBER('자료_미국심리'!$A1526),ISNUMBER('자료_미국심리'!$B1526)),'자료_미국심리'!$A1526,"")</f>
        <v/>
      </c>
      <c r="P1542">
        <f>IF(AND(ISNUMBER('자료_미국심리'!$D1526),ISNUMBER('자료_미국심리'!$E1526)),'자료_미국심리'!$D1526,"")</f>
        <v/>
      </c>
      <c r="Q1542">
        <f>IF(AND(ISNUMBER('자료_미국심리'!$G1526),ISNUMBER('자료_미국심리'!$H1526)),'자료_미국심리'!$G1526,"")</f>
        <v/>
      </c>
    </row>
    <row r="1543">
      <c r="O1543">
        <f>IF(AND(ISNUMBER('자료_미국심리'!$A1527),ISNUMBER('자료_미국심리'!$B1527)),'자료_미국심리'!$A1527,"")</f>
        <v/>
      </c>
      <c r="P1543">
        <f>IF(AND(ISNUMBER('자료_미국심리'!$D1527),ISNUMBER('자료_미국심리'!$E1527)),'자료_미국심리'!$D1527,"")</f>
        <v/>
      </c>
      <c r="Q1543">
        <f>IF(AND(ISNUMBER('자료_미국심리'!$G1527),ISNUMBER('자료_미국심리'!$H1527)),'자료_미국심리'!$G1527,"")</f>
        <v/>
      </c>
    </row>
    <row r="1544">
      <c r="O1544">
        <f>IF(AND(ISNUMBER('자료_미국심리'!$A1528),ISNUMBER('자료_미국심리'!$B1528)),'자료_미국심리'!$A1528,"")</f>
        <v/>
      </c>
      <c r="P1544">
        <f>IF(AND(ISNUMBER('자료_미국심리'!$D1528),ISNUMBER('자료_미국심리'!$E1528)),'자료_미국심리'!$D1528,"")</f>
        <v/>
      </c>
      <c r="Q1544">
        <f>IF(AND(ISNUMBER('자료_미국심리'!$G1528),ISNUMBER('자료_미국심리'!$H1528)),'자료_미국심리'!$G1528,"")</f>
        <v/>
      </c>
    </row>
    <row r="1545">
      <c r="O1545">
        <f>IF(AND(ISNUMBER('자료_미국심리'!$A1529),ISNUMBER('자료_미국심리'!$B1529)),'자료_미국심리'!$A1529,"")</f>
        <v/>
      </c>
      <c r="P1545">
        <f>IF(AND(ISNUMBER('자료_미국심리'!$D1529),ISNUMBER('자료_미국심리'!$E1529)),'자료_미국심리'!$D1529,"")</f>
        <v/>
      </c>
      <c r="Q1545">
        <f>IF(AND(ISNUMBER('자료_미국심리'!$G1529),ISNUMBER('자료_미국심리'!$H1529)),'자료_미국심리'!$G1529,"")</f>
        <v/>
      </c>
    </row>
    <row r="1546">
      <c r="O1546">
        <f>IF(AND(ISNUMBER('자료_미국심리'!$A1530),ISNUMBER('자료_미국심리'!$B1530)),'자료_미국심리'!$A1530,"")</f>
        <v/>
      </c>
      <c r="P1546">
        <f>IF(AND(ISNUMBER('자료_미국심리'!$D1530),ISNUMBER('자료_미국심리'!$E1530)),'자료_미국심리'!$D1530,"")</f>
        <v/>
      </c>
      <c r="Q1546">
        <f>IF(AND(ISNUMBER('자료_미국심리'!$G1530),ISNUMBER('자료_미국심리'!$H1530)),'자료_미국심리'!$G1530,"")</f>
        <v/>
      </c>
    </row>
    <row r="1547">
      <c r="O1547">
        <f>IF(AND(ISNUMBER('자료_미국심리'!$A1531),ISNUMBER('자료_미국심리'!$B1531)),'자료_미국심리'!$A1531,"")</f>
        <v/>
      </c>
      <c r="P1547">
        <f>IF(AND(ISNUMBER('자료_미국심리'!$D1531),ISNUMBER('자료_미국심리'!$E1531)),'자료_미국심리'!$D1531,"")</f>
        <v/>
      </c>
      <c r="Q1547">
        <f>IF(AND(ISNUMBER('자료_미국심리'!$G1531),ISNUMBER('자료_미국심리'!$H1531)),'자료_미국심리'!$G1531,"")</f>
        <v/>
      </c>
    </row>
    <row r="1548">
      <c r="O1548">
        <f>IF(AND(ISNUMBER('자료_미국심리'!$A1532),ISNUMBER('자료_미국심리'!$B1532)),'자료_미국심리'!$A1532,"")</f>
        <v/>
      </c>
      <c r="P1548">
        <f>IF(AND(ISNUMBER('자료_미국심리'!$D1532),ISNUMBER('자료_미국심리'!$E1532)),'자료_미국심리'!$D1532,"")</f>
        <v/>
      </c>
      <c r="Q1548">
        <f>IF(AND(ISNUMBER('자료_미국심리'!$G1532),ISNUMBER('자료_미국심리'!$H1532)),'자료_미국심리'!$G1532,"")</f>
        <v/>
      </c>
    </row>
    <row r="1549">
      <c r="O1549">
        <f>IF(AND(ISNUMBER('자료_미국심리'!$A1533),ISNUMBER('자료_미국심리'!$B1533)),'자료_미국심리'!$A1533,"")</f>
        <v/>
      </c>
      <c r="P1549">
        <f>IF(AND(ISNUMBER('자료_미국심리'!$D1533),ISNUMBER('자료_미국심리'!$E1533)),'자료_미국심리'!$D1533,"")</f>
        <v/>
      </c>
      <c r="Q1549">
        <f>IF(AND(ISNUMBER('자료_미국심리'!$G1533),ISNUMBER('자료_미국심리'!$H1533)),'자료_미국심리'!$G1533,"")</f>
        <v/>
      </c>
    </row>
    <row r="1550">
      <c r="O1550">
        <f>IF(AND(ISNUMBER('자료_미국심리'!$A1534),ISNUMBER('자료_미국심리'!$B1534)),'자료_미국심리'!$A1534,"")</f>
        <v/>
      </c>
      <c r="P1550">
        <f>IF(AND(ISNUMBER('자료_미국심리'!$D1534),ISNUMBER('자료_미국심리'!$E1534)),'자료_미국심리'!$D1534,"")</f>
        <v/>
      </c>
      <c r="Q1550">
        <f>IF(AND(ISNUMBER('자료_미국심리'!$G1534),ISNUMBER('자료_미국심리'!$H1534)),'자료_미국심리'!$G1534,"")</f>
        <v/>
      </c>
    </row>
    <row r="1551">
      <c r="O1551">
        <f>IF(AND(ISNUMBER('자료_미국심리'!$A1535),ISNUMBER('자료_미국심리'!$B1535)),'자료_미국심리'!$A1535,"")</f>
        <v/>
      </c>
      <c r="P1551">
        <f>IF(AND(ISNUMBER('자료_미국심리'!$D1535),ISNUMBER('자료_미국심리'!$E1535)),'자료_미국심리'!$D1535,"")</f>
        <v/>
      </c>
      <c r="Q1551">
        <f>IF(AND(ISNUMBER('자료_미국심리'!$G1535),ISNUMBER('자료_미국심리'!$H1535)),'자료_미국심리'!$G1535,"")</f>
        <v/>
      </c>
    </row>
    <row r="1552">
      <c r="O1552">
        <f>IF(AND(ISNUMBER('자료_미국심리'!$A1536),ISNUMBER('자료_미국심리'!$B1536)),'자료_미국심리'!$A1536,"")</f>
        <v/>
      </c>
      <c r="P1552">
        <f>IF(AND(ISNUMBER('자료_미국심리'!$D1536),ISNUMBER('자료_미국심리'!$E1536)),'자료_미국심리'!$D1536,"")</f>
        <v/>
      </c>
      <c r="Q1552">
        <f>IF(AND(ISNUMBER('자료_미국심리'!$G1536),ISNUMBER('자료_미국심리'!$H1536)),'자료_미국심리'!$G1536,"")</f>
        <v/>
      </c>
    </row>
    <row r="1553">
      <c r="O1553">
        <f>IF(AND(ISNUMBER('자료_미국심리'!$A1537),ISNUMBER('자료_미국심리'!$B1537)),'자료_미국심리'!$A1537,"")</f>
        <v/>
      </c>
      <c r="P1553">
        <f>IF(AND(ISNUMBER('자료_미국심리'!$D1537),ISNUMBER('자료_미국심리'!$E1537)),'자료_미국심리'!$D1537,"")</f>
        <v/>
      </c>
      <c r="Q1553">
        <f>IF(AND(ISNUMBER('자료_미국심리'!$G1537),ISNUMBER('자료_미국심리'!$H1537)),'자료_미국심리'!$G1537,"")</f>
        <v/>
      </c>
    </row>
    <row r="1554">
      <c r="O1554">
        <f>IF(AND(ISNUMBER('자료_미국심리'!$A1538),ISNUMBER('자료_미국심리'!$B1538)),'자료_미국심리'!$A1538,"")</f>
        <v/>
      </c>
      <c r="P1554">
        <f>IF(AND(ISNUMBER('자료_미국심리'!$D1538),ISNUMBER('자료_미국심리'!$E1538)),'자료_미국심리'!$D1538,"")</f>
        <v/>
      </c>
      <c r="Q1554">
        <f>IF(AND(ISNUMBER('자료_미국심리'!$G1538),ISNUMBER('자료_미국심리'!$H1538)),'자료_미국심리'!$G1538,"")</f>
        <v/>
      </c>
    </row>
    <row r="1555">
      <c r="O1555">
        <f>IF(AND(ISNUMBER('자료_미국심리'!$A1539),ISNUMBER('자료_미국심리'!$B1539)),'자료_미국심리'!$A1539,"")</f>
        <v/>
      </c>
      <c r="P1555">
        <f>IF(AND(ISNUMBER('자료_미국심리'!$D1539),ISNUMBER('자료_미국심리'!$E1539)),'자료_미국심리'!$D1539,"")</f>
        <v/>
      </c>
      <c r="Q1555">
        <f>IF(AND(ISNUMBER('자료_미국심리'!$G1539),ISNUMBER('자료_미국심리'!$H1539)),'자료_미국심리'!$G1539,"")</f>
        <v/>
      </c>
    </row>
    <row r="1556">
      <c r="O1556">
        <f>IF(AND(ISNUMBER('자료_미국심리'!$A1540),ISNUMBER('자료_미국심리'!$B1540)),'자료_미국심리'!$A1540,"")</f>
        <v/>
      </c>
      <c r="P1556">
        <f>IF(AND(ISNUMBER('자료_미국심리'!$D1540),ISNUMBER('자료_미국심리'!$E1540)),'자료_미국심리'!$D1540,"")</f>
        <v/>
      </c>
      <c r="Q1556">
        <f>IF(AND(ISNUMBER('자료_미국심리'!$G1540),ISNUMBER('자료_미국심리'!$H1540)),'자료_미국심리'!$G1540,"")</f>
        <v/>
      </c>
    </row>
    <row r="1557">
      <c r="O1557">
        <f>IF(AND(ISNUMBER('자료_미국심리'!$A1541),ISNUMBER('자료_미국심리'!$B1541)),'자료_미국심리'!$A1541,"")</f>
        <v/>
      </c>
      <c r="P1557">
        <f>IF(AND(ISNUMBER('자료_미국심리'!$D1541),ISNUMBER('자료_미국심리'!$E1541)),'자료_미국심리'!$D1541,"")</f>
        <v/>
      </c>
      <c r="Q1557">
        <f>IF(AND(ISNUMBER('자료_미국심리'!$G1541),ISNUMBER('자료_미국심리'!$H1541)),'자료_미국심리'!$G1541,"")</f>
        <v/>
      </c>
    </row>
    <row r="1558">
      <c r="O1558">
        <f>IF(AND(ISNUMBER('자료_미국심리'!$A1542),ISNUMBER('자료_미국심리'!$B1542)),'자료_미국심리'!$A1542,"")</f>
        <v/>
      </c>
      <c r="P1558">
        <f>IF(AND(ISNUMBER('자료_미국심리'!$D1542),ISNUMBER('자료_미국심리'!$E1542)),'자료_미국심리'!$D1542,"")</f>
        <v/>
      </c>
      <c r="Q1558">
        <f>IF(AND(ISNUMBER('자료_미국심리'!$G1542),ISNUMBER('자료_미국심리'!$H1542)),'자료_미국심리'!$G1542,"")</f>
        <v/>
      </c>
    </row>
    <row r="1559">
      <c r="O1559">
        <f>IF(AND(ISNUMBER('자료_미국심리'!$A1543),ISNUMBER('자료_미국심리'!$B1543)),'자료_미국심리'!$A1543,"")</f>
        <v/>
      </c>
      <c r="P1559">
        <f>IF(AND(ISNUMBER('자료_미국심리'!$D1543),ISNUMBER('자료_미국심리'!$E1543)),'자료_미국심리'!$D1543,"")</f>
        <v/>
      </c>
      <c r="Q1559">
        <f>IF(AND(ISNUMBER('자료_미국심리'!$G1543),ISNUMBER('자료_미국심리'!$H1543)),'자료_미국심리'!$G1543,"")</f>
        <v/>
      </c>
    </row>
    <row r="1560">
      <c r="O1560">
        <f>IF(AND(ISNUMBER('자료_미국심리'!$A1544),ISNUMBER('자료_미국심리'!$B1544)),'자료_미국심리'!$A1544,"")</f>
        <v/>
      </c>
      <c r="P1560">
        <f>IF(AND(ISNUMBER('자료_미국심리'!$D1544),ISNUMBER('자료_미국심리'!$E1544)),'자료_미국심리'!$D1544,"")</f>
        <v/>
      </c>
      <c r="Q1560">
        <f>IF(AND(ISNUMBER('자료_미국심리'!$G1544),ISNUMBER('자료_미국심리'!$H1544)),'자료_미국심리'!$G1544,"")</f>
        <v/>
      </c>
    </row>
    <row r="1561">
      <c r="O1561">
        <f>IF(AND(ISNUMBER('자료_미국심리'!$A1545),ISNUMBER('자료_미국심리'!$B1545)),'자료_미국심리'!$A1545,"")</f>
        <v/>
      </c>
      <c r="P1561">
        <f>IF(AND(ISNUMBER('자료_미국심리'!$D1545),ISNUMBER('자료_미국심리'!$E1545)),'자료_미국심리'!$D1545,"")</f>
        <v/>
      </c>
      <c r="Q1561">
        <f>IF(AND(ISNUMBER('자료_미국심리'!$G1545),ISNUMBER('자료_미국심리'!$H1545)),'자료_미국심리'!$G1545,"")</f>
        <v/>
      </c>
    </row>
    <row r="1562">
      <c r="O1562">
        <f>IF(AND(ISNUMBER('자료_미국심리'!$A1546),ISNUMBER('자료_미국심리'!$B1546)),'자료_미국심리'!$A1546,"")</f>
        <v/>
      </c>
      <c r="P1562">
        <f>IF(AND(ISNUMBER('자료_미국심리'!$D1546),ISNUMBER('자료_미국심리'!$E1546)),'자료_미국심리'!$D1546,"")</f>
        <v/>
      </c>
      <c r="Q1562">
        <f>IF(AND(ISNUMBER('자료_미국심리'!$G1546),ISNUMBER('자료_미국심리'!$H1546)),'자료_미국심리'!$G1546,"")</f>
        <v/>
      </c>
    </row>
    <row r="1563">
      <c r="O1563">
        <f>IF(AND(ISNUMBER('자료_미국심리'!$A1547),ISNUMBER('자료_미국심리'!$B1547)),'자료_미국심리'!$A1547,"")</f>
        <v/>
      </c>
      <c r="P1563">
        <f>IF(AND(ISNUMBER('자료_미국심리'!$D1547),ISNUMBER('자료_미국심리'!$E1547)),'자료_미국심리'!$D1547,"")</f>
        <v/>
      </c>
      <c r="Q1563">
        <f>IF(AND(ISNUMBER('자료_미국심리'!$G1547),ISNUMBER('자료_미국심리'!$H1547)),'자료_미국심리'!$G1547,"")</f>
        <v/>
      </c>
    </row>
    <row r="1564">
      <c r="O1564">
        <f>IF(AND(ISNUMBER('자료_미국심리'!$A1548),ISNUMBER('자료_미국심리'!$B1548)),'자료_미국심리'!$A1548,"")</f>
        <v/>
      </c>
      <c r="P1564">
        <f>IF(AND(ISNUMBER('자료_미국심리'!$D1548),ISNUMBER('자료_미국심리'!$E1548)),'자료_미국심리'!$D1548,"")</f>
        <v/>
      </c>
      <c r="Q1564">
        <f>IF(AND(ISNUMBER('자료_미국심리'!$G1548),ISNUMBER('자료_미국심리'!$H1548)),'자료_미국심리'!$G1548,"")</f>
        <v/>
      </c>
    </row>
    <row r="1565">
      <c r="O1565">
        <f>IF(AND(ISNUMBER('자료_미국심리'!$A1549),ISNUMBER('자료_미국심리'!$B1549)),'자료_미국심리'!$A1549,"")</f>
        <v/>
      </c>
      <c r="P1565">
        <f>IF(AND(ISNUMBER('자료_미국심리'!$D1549),ISNUMBER('자료_미국심리'!$E1549)),'자료_미국심리'!$D1549,"")</f>
        <v/>
      </c>
      <c r="Q1565">
        <f>IF(AND(ISNUMBER('자료_미국심리'!$G1549),ISNUMBER('자료_미국심리'!$H1549)),'자료_미국심리'!$G1549,"")</f>
        <v/>
      </c>
    </row>
    <row r="1566">
      <c r="O1566">
        <f>IF(AND(ISNUMBER('자료_미국심리'!$A1550),ISNUMBER('자료_미국심리'!$B1550)),'자료_미국심리'!$A1550,"")</f>
        <v/>
      </c>
      <c r="P1566">
        <f>IF(AND(ISNUMBER('자료_미국심리'!$D1550),ISNUMBER('자료_미국심리'!$E1550)),'자료_미국심리'!$D1550,"")</f>
        <v/>
      </c>
      <c r="Q1566">
        <f>IF(AND(ISNUMBER('자료_미국심리'!$G1550),ISNUMBER('자료_미국심리'!$H1550)),'자료_미국심리'!$G1550,"")</f>
        <v/>
      </c>
    </row>
    <row r="1567">
      <c r="O1567">
        <f>IF(AND(ISNUMBER('자료_미국심리'!$A1551),ISNUMBER('자료_미국심리'!$B1551)),'자료_미국심리'!$A1551,"")</f>
        <v/>
      </c>
      <c r="P1567">
        <f>IF(AND(ISNUMBER('자료_미국심리'!$D1551),ISNUMBER('자료_미국심리'!$E1551)),'자료_미국심리'!$D1551,"")</f>
        <v/>
      </c>
      <c r="Q1567">
        <f>IF(AND(ISNUMBER('자료_미국심리'!$G1551),ISNUMBER('자료_미국심리'!$H1551)),'자료_미국심리'!$G1551,"")</f>
        <v/>
      </c>
    </row>
    <row r="1568">
      <c r="O1568">
        <f>IF(AND(ISNUMBER('자료_미국심리'!$A1552),ISNUMBER('자료_미국심리'!$B1552)),'자료_미국심리'!$A1552,"")</f>
        <v/>
      </c>
      <c r="P1568">
        <f>IF(AND(ISNUMBER('자료_미국심리'!$D1552),ISNUMBER('자료_미국심리'!$E1552)),'자료_미국심리'!$D1552,"")</f>
        <v/>
      </c>
      <c r="Q1568">
        <f>IF(AND(ISNUMBER('자료_미국심리'!$G1552),ISNUMBER('자료_미국심리'!$H1552)),'자료_미국심리'!$G1552,"")</f>
        <v/>
      </c>
    </row>
    <row r="1569">
      <c r="O1569">
        <f>IF(AND(ISNUMBER('자료_미국심리'!$A1553),ISNUMBER('자료_미국심리'!$B1553)),'자료_미국심리'!$A1553,"")</f>
        <v/>
      </c>
      <c r="P1569">
        <f>IF(AND(ISNUMBER('자료_미국심리'!$D1553),ISNUMBER('자료_미국심리'!$E1553)),'자료_미국심리'!$D1553,"")</f>
        <v/>
      </c>
      <c r="Q1569">
        <f>IF(AND(ISNUMBER('자료_미국심리'!$G1553),ISNUMBER('자료_미국심리'!$H1553)),'자료_미국심리'!$G1553,"")</f>
        <v/>
      </c>
    </row>
    <row r="1570">
      <c r="O1570">
        <f>IF(AND(ISNUMBER('자료_미국심리'!$A1554),ISNUMBER('자료_미국심리'!$B1554)),'자료_미국심리'!$A1554,"")</f>
        <v/>
      </c>
      <c r="P1570">
        <f>IF(AND(ISNUMBER('자료_미국심리'!$D1554),ISNUMBER('자료_미국심리'!$E1554)),'자료_미국심리'!$D1554,"")</f>
        <v/>
      </c>
      <c r="Q1570">
        <f>IF(AND(ISNUMBER('자료_미국심리'!$G1554),ISNUMBER('자료_미국심리'!$H1554)),'자료_미국심리'!$G1554,"")</f>
        <v/>
      </c>
    </row>
    <row r="1571">
      <c r="O1571">
        <f>IF(AND(ISNUMBER('자료_미국심리'!$A1555),ISNUMBER('자료_미국심리'!$B1555)),'자료_미국심리'!$A1555,"")</f>
        <v/>
      </c>
      <c r="P1571">
        <f>IF(AND(ISNUMBER('자료_미국심리'!$D1555),ISNUMBER('자료_미국심리'!$E1555)),'자료_미국심리'!$D1555,"")</f>
        <v/>
      </c>
      <c r="Q1571">
        <f>IF(AND(ISNUMBER('자료_미국심리'!$G1555),ISNUMBER('자료_미국심리'!$H1555)),'자료_미국심리'!$G1555,"")</f>
        <v/>
      </c>
    </row>
    <row r="1572">
      <c r="O1572">
        <f>IF(AND(ISNUMBER('자료_미국심리'!$A1556),ISNUMBER('자료_미국심리'!$B1556)),'자료_미국심리'!$A1556,"")</f>
        <v/>
      </c>
      <c r="P1572">
        <f>IF(AND(ISNUMBER('자료_미국심리'!$D1556),ISNUMBER('자료_미국심리'!$E1556)),'자료_미국심리'!$D1556,"")</f>
        <v/>
      </c>
      <c r="Q1572">
        <f>IF(AND(ISNUMBER('자료_미국심리'!$G1556),ISNUMBER('자료_미국심리'!$H1556)),'자료_미국심리'!$G1556,"")</f>
        <v/>
      </c>
    </row>
    <row r="1573">
      <c r="O1573">
        <f>IF(AND(ISNUMBER('자료_미국심리'!$A1557),ISNUMBER('자료_미국심리'!$B1557)),'자료_미국심리'!$A1557,"")</f>
        <v/>
      </c>
      <c r="P1573">
        <f>IF(AND(ISNUMBER('자료_미국심리'!$D1557),ISNUMBER('자료_미국심리'!$E1557)),'자료_미국심리'!$D1557,"")</f>
        <v/>
      </c>
      <c r="Q1573">
        <f>IF(AND(ISNUMBER('자료_미국심리'!$G1557),ISNUMBER('자료_미국심리'!$H1557)),'자료_미국심리'!$G1557,"")</f>
        <v/>
      </c>
    </row>
    <row r="1574">
      <c r="O1574">
        <f>IF(AND(ISNUMBER('자료_미국심리'!$A1558),ISNUMBER('자료_미국심리'!$B1558)),'자료_미국심리'!$A1558,"")</f>
        <v/>
      </c>
      <c r="P1574">
        <f>IF(AND(ISNUMBER('자료_미국심리'!$D1558),ISNUMBER('자료_미국심리'!$E1558)),'자료_미국심리'!$D1558,"")</f>
        <v/>
      </c>
      <c r="Q1574">
        <f>IF(AND(ISNUMBER('자료_미국심리'!$G1558),ISNUMBER('자료_미국심리'!$H1558)),'자료_미국심리'!$G1558,"")</f>
        <v/>
      </c>
    </row>
    <row r="1575">
      <c r="O1575">
        <f>IF(AND(ISNUMBER('자료_미국심리'!$A1559),ISNUMBER('자료_미국심리'!$B1559)),'자료_미국심리'!$A1559,"")</f>
        <v/>
      </c>
      <c r="P1575">
        <f>IF(AND(ISNUMBER('자료_미국심리'!$D1559),ISNUMBER('자료_미국심리'!$E1559)),'자료_미국심리'!$D1559,"")</f>
        <v/>
      </c>
      <c r="Q1575">
        <f>IF(AND(ISNUMBER('자료_미국심리'!$G1559),ISNUMBER('자료_미국심리'!$H1559)),'자료_미국심리'!$G1559,"")</f>
        <v/>
      </c>
    </row>
    <row r="1576">
      <c r="O1576">
        <f>IF(AND(ISNUMBER('자료_미국심리'!$A1560),ISNUMBER('자료_미국심리'!$B1560)),'자료_미국심리'!$A1560,"")</f>
        <v/>
      </c>
      <c r="P1576">
        <f>IF(AND(ISNUMBER('자료_미국심리'!$D1560),ISNUMBER('자료_미국심리'!$E1560)),'자료_미국심리'!$D1560,"")</f>
        <v/>
      </c>
      <c r="Q1576">
        <f>IF(AND(ISNUMBER('자료_미국심리'!$G1560),ISNUMBER('자료_미국심리'!$H1560)),'자료_미국심리'!$G1560,"")</f>
        <v/>
      </c>
    </row>
    <row r="1577">
      <c r="O1577">
        <f>IF(AND(ISNUMBER('자료_미국심리'!$A1561),ISNUMBER('자료_미국심리'!$B1561)),'자료_미국심리'!$A1561,"")</f>
        <v/>
      </c>
      <c r="P1577">
        <f>IF(AND(ISNUMBER('자료_미국심리'!$D1561),ISNUMBER('자료_미국심리'!$E1561)),'자료_미국심리'!$D1561,"")</f>
        <v/>
      </c>
      <c r="Q1577">
        <f>IF(AND(ISNUMBER('자료_미국심리'!$G1561),ISNUMBER('자료_미국심리'!$H1561)),'자료_미국심리'!$G1561,"")</f>
        <v/>
      </c>
    </row>
    <row r="1578">
      <c r="O1578">
        <f>IF(AND(ISNUMBER('자료_미국심리'!$A1562),ISNUMBER('자료_미국심리'!$B1562)),'자료_미국심리'!$A1562,"")</f>
        <v/>
      </c>
      <c r="P1578">
        <f>IF(AND(ISNUMBER('자료_미국심리'!$D1562),ISNUMBER('자료_미국심리'!$E1562)),'자료_미국심리'!$D1562,"")</f>
        <v/>
      </c>
      <c r="Q1578">
        <f>IF(AND(ISNUMBER('자료_미국심리'!$G1562),ISNUMBER('자료_미국심리'!$H1562)),'자료_미국심리'!$G1562,"")</f>
        <v/>
      </c>
    </row>
    <row r="1579">
      <c r="O1579">
        <f>IF(AND(ISNUMBER('자료_미국심리'!$A1563),ISNUMBER('자료_미국심리'!$B1563)),'자료_미국심리'!$A1563,"")</f>
        <v/>
      </c>
      <c r="P1579">
        <f>IF(AND(ISNUMBER('자료_미국심리'!$D1563),ISNUMBER('자료_미국심리'!$E1563)),'자료_미국심리'!$D1563,"")</f>
        <v/>
      </c>
      <c r="Q1579">
        <f>IF(AND(ISNUMBER('자료_미국심리'!$G1563),ISNUMBER('자료_미국심리'!$H1563)),'자료_미국심리'!$G1563,"")</f>
        <v/>
      </c>
    </row>
    <row r="1580">
      <c r="O1580">
        <f>IF(AND(ISNUMBER('자료_미국심리'!$A1564),ISNUMBER('자료_미국심리'!$B1564)),'자료_미국심리'!$A1564,"")</f>
        <v/>
      </c>
      <c r="P1580">
        <f>IF(AND(ISNUMBER('자료_미국심리'!$D1564),ISNUMBER('자료_미국심리'!$E1564)),'자료_미국심리'!$D1564,"")</f>
        <v/>
      </c>
      <c r="Q1580">
        <f>IF(AND(ISNUMBER('자료_미국심리'!$G1564),ISNUMBER('자료_미국심리'!$H1564)),'자료_미국심리'!$G1564,"")</f>
        <v/>
      </c>
    </row>
    <row r="1581">
      <c r="O1581">
        <f>IF(AND(ISNUMBER('자료_미국심리'!$A1565),ISNUMBER('자료_미국심리'!$B1565)),'자료_미국심리'!$A1565,"")</f>
        <v/>
      </c>
      <c r="P1581">
        <f>IF(AND(ISNUMBER('자료_미국심리'!$D1565),ISNUMBER('자료_미국심리'!$E1565)),'자료_미국심리'!$D1565,"")</f>
        <v/>
      </c>
      <c r="Q1581">
        <f>IF(AND(ISNUMBER('자료_미국심리'!$G1565),ISNUMBER('자료_미국심리'!$H1565)),'자료_미국심리'!$G1565,"")</f>
        <v/>
      </c>
    </row>
    <row r="1582">
      <c r="O1582">
        <f>IF(AND(ISNUMBER('자료_미국심리'!$A1566),ISNUMBER('자료_미국심리'!$B1566)),'자료_미국심리'!$A1566,"")</f>
        <v/>
      </c>
      <c r="P1582">
        <f>IF(AND(ISNUMBER('자료_미국심리'!$D1566),ISNUMBER('자료_미국심리'!$E1566)),'자료_미국심리'!$D1566,"")</f>
        <v/>
      </c>
      <c r="Q1582">
        <f>IF(AND(ISNUMBER('자료_미국심리'!$G1566),ISNUMBER('자료_미국심리'!$H1566)),'자료_미국심리'!$G1566,"")</f>
        <v/>
      </c>
    </row>
    <row r="1583">
      <c r="O1583">
        <f>IF(AND(ISNUMBER('자료_미국심리'!$A1567),ISNUMBER('자료_미국심리'!$B1567)),'자료_미국심리'!$A1567,"")</f>
        <v/>
      </c>
      <c r="P1583">
        <f>IF(AND(ISNUMBER('자료_미국심리'!$D1567),ISNUMBER('자료_미국심리'!$E1567)),'자료_미국심리'!$D1567,"")</f>
        <v/>
      </c>
      <c r="Q1583">
        <f>IF(AND(ISNUMBER('자료_미국심리'!$G1567),ISNUMBER('자료_미국심리'!$H1567)),'자료_미국심리'!$G1567,"")</f>
        <v/>
      </c>
    </row>
    <row r="1584">
      <c r="O1584">
        <f>IF(AND(ISNUMBER('자료_미국심리'!$A1568),ISNUMBER('자료_미국심리'!$B1568)),'자료_미국심리'!$A1568,"")</f>
        <v/>
      </c>
      <c r="P1584">
        <f>IF(AND(ISNUMBER('자료_미국심리'!$D1568),ISNUMBER('자료_미국심리'!$E1568)),'자료_미국심리'!$D1568,"")</f>
        <v/>
      </c>
      <c r="Q1584">
        <f>IF(AND(ISNUMBER('자료_미국심리'!$G1568),ISNUMBER('자료_미국심리'!$H1568)),'자료_미국심리'!$G1568,"")</f>
        <v/>
      </c>
    </row>
    <row r="1585">
      <c r="O1585">
        <f>IF(AND(ISNUMBER('자료_미국심리'!$A1569),ISNUMBER('자료_미국심리'!$B1569)),'자료_미국심리'!$A1569,"")</f>
        <v/>
      </c>
      <c r="P1585">
        <f>IF(AND(ISNUMBER('자료_미국심리'!$D1569),ISNUMBER('자료_미국심리'!$E1569)),'자료_미국심리'!$D1569,"")</f>
        <v/>
      </c>
      <c r="Q1585">
        <f>IF(AND(ISNUMBER('자료_미국심리'!$G1569),ISNUMBER('자료_미국심리'!$H1569)),'자료_미국심리'!$G1569,"")</f>
        <v/>
      </c>
    </row>
    <row r="1586">
      <c r="O1586">
        <f>IF(AND(ISNUMBER('자료_미국심리'!$A1570),ISNUMBER('자료_미국심리'!$B1570)),'자료_미국심리'!$A1570,"")</f>
        <v/>
      </c>
      <c r="P1586">
        <f>IF(AND(ISNUMBER('자료_미국심리'!$D1570),ISNUMBER('자료_미국심리'!$E1570)),'자료_미국심리'!$D1570,"")</f>
        <v/>
      </c>
      <c r="Q1586">
        <f>IF(AND(ISNUMBER('자료_미국심리'!$G1570),ISNUMBER('자료_미국심리'!$H1570)),'자료_미국심리'!$G1570,"")</f>
        <v/>
      </c>
    </row>
    <row r="1587">
      <c r="O1587">
        <f>IF(AND(ISNUMBER('자료_미국심리'!$A1571),ISNUMBER('자료_미국심리'!$B1571)),'자료_미국심리'!$A1571,"")</f>
        <v/>
      </c>
      <c r="P1587">
        <f>IF(AND(ISNUMBER('자료_미국심리'!$D1571),ISNUMBER('자료_미국심리'!$E1571)),'자료_미국심리'!$D1571,"")</f>
        <v/>
      </c>
      <c r="Q1587">
        <f>IF(AND(ISNUMBER('자료_미국심리'!$G1571),ISNUMBER('자료_미국심리'!$H1571)),'자료_미국심리'!$G1571,"")</f>
        <v/>
      </c>
    </row>
    <row r="1588">
      <c r="O1588">
        <f>IF(AND(ISNUMBER('자료_미국심리'!$A1572),ISNUMBER('자료_미국심리'!$B1572)),'자료_미국심리'!$A1572,"")</f>
        <v/>
      </c>
      <c r="P1588">
        <f>IF(AND(ISNUMBER('자료_미국심리'!$D1572),ISNUMBER('자료_미국심리'!$E1572)),'자료_미국심리'!$D1572,"")</f>
        <v/>
      </c>
      <c r="Q1588">
        <f>IF(AND(ISNUMBER('자료_미국심리'!$G1572),ISNUMBER('자료_미국심리'!$H1572)),'자료_미국심리'!$G1572,"")</f>
        <v/>
      </c>
    </row>
    <row r="1589">
      <c r="O1589">
        <f>IF(AND(ISNUMBER('자료_미국심리'!$A1573),ISNUMBER('자료_미국심리'!$B1573)),'자료_미국심리'!$A1573,"")</f>
        <v/>
      </c>
      <c r="P1589">
        <f>IF(AND(ISNUMBER('자료_미국심리'!$D1573),ISNUMBER('자료_미국심리'!$E1573)),'자료_미국심리'!$D1573,"")</f>
        <v/>
      </c>
      <c r="Q1589">
        <f>IF(AND(ISNUMBER('자료_미국심리'!$G1573),ISNUMBER('자료_미국심리'!$H1573)),'자료_미국심리'!$G1573,"")</f>
        <v/>
      </c>
    </row>
    <row r="1590">
      <c r="O1590">
        <f>IF(AND(ISNUMBER('자료_미국심리'!$A1574),ISNUMBER('자료_미국심리'!$B1574)),'자료_미국심리'!$A1574,"")</f>
        <v/>
      </c>
      <c r="P1590">
        <f>IF(AND(ISNUMBER('자료_미국심리'!$D1574),ISNUMBER('자료_미국심리'!$E1574)),'자료_미국심리'!$D1574,"")</f>
        <v/>
      </c>
      <c r="Q1590">
        <f>IF(AND(ISNUMBER('자료_미국심리'!$G1574),ISNUMBER('자료_미국심리'!$H1574)),'자료_미국심리'!$G1574,"")</f>
        <v/>
      </c>
    </row>
    <row r="1591">
      <c r="O1591">
        <f>IF(AND(ISNUMBER('자료_미국심리'!$A1575),ISNUMBER('자료_미국심리'!$B1575)),'자료_미국심리'!$A1575,"")</f>
        <v/>
      </c>
      <c r="P1591">
        <f>IF(AND(ISNUMBER('자료_미국심리'!$D1575),ISNUMBER('자료_미국심리'!$E1575)),'자료_미국심리'!$D1575,"")</f>
        <v/>
      </c>
      <c r="Q1591">
        <f>IF(AND(ISNUMBER('자료_미국심리'!$G1575),ISNUMBER('자료_미국심리'!$H1575)),'자료_미국심리'!$G1575,"")</f>
        <v/>
      </c>
    </row>
    <row r="1592">
      <c r="O1592">
        <f>IF(AND(ISNUMBER('자료_미국심리'!$A1576),ISNUMBER('자료_미국심리'!$B1576)),'자료_미국심리'!$A1576,"")</f>
        <v/>
      </c>
      <c r="P1592">
        <f>IF(AND(ISNUMBER('자료_미국심리'!$D1576),ISNUMBER('자료_미국심리'!$E1576)),'자료_미국심리'!$D1576,"")</f>
        <v/>
      </c>
      <c r="Q1592">
        <f>IF(AND(ISNUMBER('자료_미국심리'!$G1576),ISNUMBER('자료_미국심리'!$H1576)),'자료_미국심리'!$G1576,"")</f>
        <v/>
      </c>
    </row>
    <row r="1593">
      <c r="O1593">
        <f>IF(AND(ISNUMBER('자료_미국심리'!$A1577),ISNUMBER('자료_미국심리'!$B1577)),'자료_미국심리'!$A1577,"")</f>
        <v/>
      </c>
      <c r="P1593">
        <f>IF(AND(ISNUMBER('자료_미국심리'!$D1577),ISNUMBER('자료_미국심리'!$E1577)),'자료_미국심리'!$D1577,"")</f>
        <v/>
      </c>
      <c r="Q1593">
        <f>IF(AND(ISNUMBER('자료_미국심리'!$G1577),ISNUMBER('자료_미국심리'!$H1577)),'자료_미국심리'!$G1577,"")</f>
        <v/>
      </c>
    </row>
    <row r="1594">
      <c r="O1594">
        <f>IF(AND(ISNUMBER('자료_미국심리'!$A1578),ISNUMBER('자료_미국심리'!$B1578)),'자료_미국심리'!$A1578,"")</f>
        <v/>
      </c>
      <c r="P1594">
        <f>IF(AND(ISNUMBER('자료_미국심리'!$D1578),ISNUMBER('자료_미국심리'!$E1578)),'자료_미국심리'!$D1578,"")</f>
        <v/>
      </c>
      <c r="Q1594">
        <f>IF(AND(ISNUMBER('자료_미국심리'!$G1578),ISNUMBER('자료_미국심리'!$H1578)),'자료_미국심리'!$G1578,"")</f>
        <v/>
      </c>
    </row>
    <row r="1595">
      <c r="O1595">
        <f>IF(AND(ISNUMBER('자료_미국심리'!$A1579),ISNUMBER('자료_미국심리'!$B1579)),'자료_미국심리'!$A1579,"")</f>
        <v/>
      </c>
      <c r="P1595">
        <f>IF(AND(ISNUMBER('자료_미국심리'!$D1579),ISNUMBER('자료_미국심리'!$E1579)),'자료_미국심리'!$D1579,"")</f>
        <v/>
      </c>
      <c r="Q1595">
        <f>IF(AND(ISNUMBER('자료_미국심리'!$G1579),ISNUMBER('자료_미국심리'!$H1579)),'자료_미국심리'!$G1579,"")</f>
        <v/>
      </c>
    </row>
    <row r="1596">
      <c r="O1596">
        <f>IF(AND(ISNUMBER('자료_미국심리'!$A1580),ISNUMBER('자료_미국심리'!$B1580)),'자료_미국심리'!$A1580,"")</f>
        <v/>
      </c>
      <c r="P1596">
        <f>IF(AND(ISNUMBER('자료_미국심리'!$D1580),ISNUMBER('자료_미국심리'!$E1580)),'자료_미국심리'!$D1580,"")</f>
        <v/>
      </c>
      <c r="Q1596">
        <f>IF(AND(ISNUMBER('자료_미국심리'!$G1580),ISNUMBER('자료_미국심리'!$H1580)),'자료_미국심리'!$G1580,"")</f>
        <v/>
      </c>
    </row>
    <row r="1597">
      <c r="O1597">
        <f>IF(AND(ISNUMBER('자료_미국심리'!$A1581),ISNUMBER('자료_미국심리'!$B1581)),'자료_미국심리'!$A1581,"")</f>
        <v/>
      </c>
      <c r="P1597">
        <f>IF(AND(ISNUMBER('자료_미국심리'!$D1581),ISNUMBER('자료_미국심리'!$E1581)),'자료_미국심리'!$D1581,"")</f>
        <v/>
      </c>
      <c r="Q1597">
        <f>IF(AND(ISNUMBER('자료_미국심리'!$G1581),ISNUMBER('자료_미국심리'!$H1581)),'자료_미국심리'!$G1581,"")</f>
        <v/>
      </c>
    </row>
    <row r="1598">
      <c r="O1598">
        <f>IF(AND(ISNUMBER('자료_미국심리'!$A1582),ISNUMBER('자료_미국심리'!$B1582)),'자료_미국심리'!$A1582,"")</f>
        <v/>
      </c>
      <c r="P1598">
        <f>IF(AND(ISNUMBER('자료_미국심리'!$D1582),ISNUMBER('자료_미국심리'!$E1582)),'자료_미국심리'!$D1582,"")</f>
        <v/>
      </c>
      <c r="Q1598">
        <f>IF(AND(ISNUMBER('자료_미국심리'!$G1582),ISNUMBER('자료_미국심리'!$H1582)),'자료_미국심리'!$G1582,"")</f>
        <v/>
      </c>
    </row>
    <row r="1599">
      <c r="O1599">
        <f>IF(AND(ISNUMBER('자료_미국심리'!$A1583),ISNUMBER('자료_미국심리'!$B1583)),'자료_미국심리'!$A1583,"")</f>
        <v/>
      </c>
      <c r="P1599">
        <f>IF(AND(ISNUMBER('자료_미국심리'!$D1583),ISNUMBER('자료_미국심리'!$E1583)),'자료_미국심리'!$D1583,"")</f>
        <v/>
      </c>
      <c r="Q1599">
        <f>IF(AND(ISNUMBER('자료_미국심리'!$G1583),ISNUMBER('자료_미국심리'!$H1583)),'자료_미국심리'!$G1583,"")</f>
        <v/>
      </c>
    </row>
    <row r="1600">
      <c r="O1600">
        <f>IF(AND(ISNUMBER('자료_미국심리'!$A1584),ISNUMBER('자료_미국심리'!$B1584)),'자료_미국심리'!$A1584,"")</f>
        <v/>
      </c>
      <c r="P1600">
        <f>IF(AND(ISNUMBER('자료_미국심리'!$D1584),ISNUMBER('자료_미국심리'!$E1584)),'자료_미국심리'!$D1584,"")</f>
        <v/>
      </c>
      <c r="Q1600">
        <f>IF(AND(ISNUMBER('자료_미국심리'!$G1584),ISNUMBER('자료_미국심리'!$H1584)),'자료_미국심리'!$G1584,"")</f>
        <v/>
      </c>
    </row>
    <row r="1601">
      <c r="O1601">
        <f>IF(AND(ISNUMBER('자료_미국심리'!$A1585),ISNUMBER('자료_미국심리'!$B1585)),'자료_미국심리'!$A1585,"")</f>
        <v/>
      </c>
      <c r="P1601">
        <f>IF(AND(ISNUMBER('자료_미국심리'!$D1585),ISNUMBER('자료_미국심리'!$E1585)),'자료_미국심리'!$D1585,"")</f>
        <v/>
      </c>
      <c r="Q1601">
        <f>IF(AND(ISNUMBER('자료_미국심리'!$G1585),ISNUMBER('자료_미국심리'!$H1585)),'자료_미국심리'!$G1585,"")</f>
        <v/>
      </c>
    </row>
    <row r="1602">
      <c r="O1602">
        <f>IF(AND(ISNUMBER('자료_미국심리'!$A1586),ISNUMBER('자료_미국심리'!$B1586)),'자료_미국심리'!$A1586,"")</f>
        <v/>
      </c>
      <c r="P1602">
        <f>IF(AND(ISNUMBER('자료_미국심리'!$D1586),ISNUMBER('자료_미국심리'!$E1586)),'자료_미국심리'!$D1586,"")</f>
        <v/>
      </c>
      <c r="Q1602">
        <f>IF(AND(ISNUMBER('자료_미국심리'!$G1586),ISNUMBER('자료_미국심리'!$H1586)),'자료_미국심리'!$G1586,"")</f>
        <v/>
      </c>
    </row>
    <row r="1603">
      <c r="O1603">
        <f>IF(AND(ISNUMBER('자료_미국심리'!$A1587),ISNUMBER('자료_미국심리'!$B1587)),'자료_미국심리'!$A1587,"")</f>
        <v/>
      </c>
      <c r="P1603">
        <f>IF(AND(ISNUMBER('자료_미국심리'!$D1587),ISNUMBER('자료_미국심리'!$E1587)),'자료_미국심리'!$D1587,"")</f>
        <v/>
      </c>
      <c r="Q1603">
        <f>IF(AND(ISNUMBER('자료_미국심리'!$G1587),ISNUMBER('자료_미국심리'!$H1587)),'자료_미국심리'!$G1587,"")</f>
        <v/>
      </c>
    </row>
    <row r="1604">
      <c r="O1604">
        <f>IF(AND(ISNUMBER('자료_미국심리'!$A1588),ISNUMBER('자료_미국심리'!$B1588)),'자료_미국심리'!$A1588,"")</f>
        <v/>
      </c>
      <c r="P1604">
        <f>IF(AND(ISNUMBER('자료_미국심리'!$D1588),ISNUMBER('자료_미국심리'!$E1588)),'자료_미국심리'!$D1588,"")</f>
        <v/>
      </c>
      <c r="Q1604">
        <f>IF(AND(ISNUMBER('자료_미국심리'!$G1588),ISNUMBER('자료_미국심리'!$H1588)),'자료_미국심리'!$G1588,"")</f>
        <v/>
      </c>
    </row>
    <row r="1605">
      <c r="O1605">
        <f>IF(AND(ISNUMBER('자료_미국심리'!$A1589),ISNUMBER('자료_미국심리'!$B1589)),'자료_미국심리'!$A1589,"")</f>
        <v/>
      </c>
      <c r="P1605">
        <f>IF(AND(ISNUMBER('자료_미국심리'!$D1589),ISNUMBER('자료_미국심리'!$E1589)),'자료_미국심리'!$D1589,"")</f>
        <v/>
      </c>
      <c r="Q1605">
        <f>IF(AND(ISNUMBER('자료_미국심리'!$G1589),ISNUMBER('자료_미국심리'!$H1589)),'자료_미국심리'!$G1589,"")</f>
        <v/>
      </c>
    </row>
    <row r="1606">
      <c r="O1606">
        <f>IF(AND(ISNUMBER('자료_미국심리'!$A1590),ISNUMBER('자료_미국심리'!$B1590)),'자료_미국심리'!$A1590,"")</f>
        <v/>
      </c>
      <c r="P1606">
        <f>IF(AND(ISNUMBER('자료_미국심리'!$D1590),ISNUMBER('자료_미국심리'!$E1590)),'자료_미국심리'!$D1590,"")</f>
        <v/>
      </c>
      <c r="Q1606">
        <f>IF(AND(ISNUMBER('자료_미국심리'!$G1590),ISNUMBER('자료_미국심리'!$H1590)),'자료_미국심리'!$G1590,"")</f>
        <v/>
      </c>
    </row>
    <row r="1607">
      <c r="O1607">
        <f>IF(AND(ISNUMBER('자료_미국심리'!$A1591),ISNUMBER('자료_미국심리'!$B1591)),'자료_미국심리'!$A1591,"")</f>
        <v/>
      </c>
      <c r="P1607">
        <f>IF(AND(ISNUMBER('자료_미국심리'!$D1591),ISNUMBER('자료_미국심리'!$E1591)),'자료_미국심리'!$D1591,"")</f>
        <v/>
      </c>
      <c r="Q1607">
        <f>IF(AND(ISNUMBER('자료_미국심리'!$G1591),ISNUMBER('자료_미국심리'!$H1591)),'자료_미국심리'!$G1591,"")</f>
        <v/>
      </c>
    </row>
    <row r="1608">
      <c r="O1608">
        <f>IF(AND(ISNUMBER('자료_미국심리'!$A1592),ISNUMBER('자료_미국심리'!$B1592)),'자료_미국심리'!$A1592,"")</f>
        <v/>
      </c>
      <c r="P1608">
        <f>IF(AND(ISNUMBER('자료_미국심리'!$D1592),ISNUMBER('자료_미국심리'!$E1592)),'자료_미국심리'!$D1592,"")</f>
        <v/>
      </c>
      <c r="Q1608">
        <f>IF(AND(ISNUMBER('자료_미국심리'!$G1592),ISNUMBER('자료_미국심리'!$H1592)),'자료_미국심리'!$G1592,"")</f>
        <v/>
      </c>
    </row>
    <row r="1609">
      <c r="O1609">
        <f>IF(AND(ISNUMBER('자료_미국심리'!$A1593),ISNUMBER('자료_미국심리'!$B1593)),'자료_미국심리'!$A1593,"")</f>
        <v/>
      </c>
      <c r="P1609">
        <f>IF(AND(ISNUMBER('자료_미국심리'!$D1593),ISNUMBER('자료_미국심리'!$E1593)),'자료_미국심리'!$D1593,"")</f>
        <v/>
      </c>
      <c r="Q1609">
        <f>IF(AND(ISNUMBER('자료_미국심리'!$G1593),ISNUMBER('자료_미국심리'!$H1593)),'자료_미국심리'!$G1593,"")</f>
        <v/>
      </c>
    </row>
    <row r="1610">
      <c r="O1610">
        <f>IF(AND(ISNUMBER('자료_미국심리'!$A1594),ISNUMBER('자료_미국심리'!$B1594)),'자료_미국심리'!$A1594,"")</f>
        <v/>
      </c>
      <c r="P1610">
        <f>IF(AND(ISNUMBER('자료_미국심리'!$D1594),ISNUMBER('자료_미국심리'!$E1594)),'자료_미국심리'!$D1594,"")</f>
        <v/>
      </c>
      <c r="Q1610">
        <f>IF(AND(ISNUMBER('자료_미국심리'!$G1594),ISNUMBER('자료_미국심리'!$H1594)),'자료_미국심리'!$G1594,"")</f>
        <v/>
      </c>
    </row>
    <row r="1611">
      <c r="O1611">
        <f>IF(AND(ISNUMBER('자료_미국심리'!$A1595),ISNUMBER('자료_미국심리'!$B1595)),'자료_미국심리'!$A1595,"")</f>
        <v/>
      </c>
      <c r="P1611">
        <f>IF(AND(ISNUMBER('자료_미국심리'!$D1595),ISNUMBER('자료_미국심리'!$E1595)),'자료_미국심리'!$D1595,"")</f>
        <v/>
      </c>
      <c r="Q1611">
        <f>IF(AND(ISNUMBER('자료_미국심리'!$G1595),ISNUMBER('자료_미국심리'!$H1595)),'자료_미국심리'!$G1595,"")</f>
        <v/>
      </c>
    </row>
    <row r="1612">
      <c r="O1612">
        <f>IF(AND(ISNUMBER('자료_미국심리'!$A1596),ISNUMBER('자료_미국심리'!$B1596)),'자료_미국심리'!$A1596,"")</f>
        <v/>
      </c>
      <c r="P1612">
        <f>IF(AND(ISNUMBER('자료_미국심리'!$D1596),ISNUMBER('자료_미국심리'!$E1596)),'자료_미국심리'!$D1596,"")</f>
        <v/>
      </c>
      <c r="Q1612">
        <f>IF(AND(ISNUMBER('자료_미국심리'!$G1596),ISNUMBER('자료_미국심리'!$H1596)),'자료_미국심리'!$G1596,"")</f>
        <v/>
      </c>
    </row>
    <row r="1613">
      <c r="O1613">
        <f>IF(AND(ISNUMBER('자료_미국심리'!$A1597),ISNUMBER('자료_미국심리'!$B1597)),'자료_미국심리'!$A1597,"")</f>
        <v/>
      </c>
      <c r="P1613">
        <f>IF(AND(ISNUMBER('자료_미국심리'!$D1597),ISNUMBER('자료_미국심리'!$E1597)),'자료_미국심리'!$D1597,"")</f>
        <v/>
      </c>
      <c r="Q1613">
        <f>IF(AND(ISNUMBER('자료_미국심리'!$G1597),ISNUMBER('자료_미국심리'!$H1597)),'자료_미국심리'!$G1597,"")</f>
        <v/>
      </c>
    </row>
    <row r="1614">
      <c r="O1614">
        <f>IF(AND(ISNUMBER('자료_미국심리'!$A1598),ISNUMBER('자료_미국심리'!$B1598)),'자료_미국심리'!$A1598,"")</f>
        <v/>
      </c>
      <c r="P1614">
        <f>IF(AND(ISNUMBER('자료_미국심리'!$D1598),ISNUMBER('자료_미국심리'!$E1598)),'자료_미국심리'!$D1598,"")</f>
        <v/>
      </c>
      <c r="Q1614">
        <f>IF(AND(ISNUMBER('자료_미국심리'!$G1598),ISNUMBER('자료_미국심리'!$H1598)),'자료_미국심리'!$G1598,"")</f>
        <v/>
      </c>
    </row>
    <row r="1615">
      <c r="O1615">
        <f>IF(AND(ISNUMBER('자료_미국심리'!$A1599),ISNUMBER('자료_미국심리'!$B1599)),'자료_미국심리'!$A1599,"")</f>
        <v/>
      </c>
      <c r="P1615">
        <f>IF(AND(ISNUMBER('자료_미국심리'!$D1599),ISNUMBER('자료_미국심리'!$E1599)),'자료_미국심리'!$D1599,"")</f>
        <v/>
      </c>
      <c r="Q1615">
        <f>IF(AND(ISNUMBER('자료_미국심리'!$G1599),ISNUMBER('자료_미국심리'!$H1599)),'자료_미국심리'!$G1599,"")</f>
        <v/>
      </c>
    </row>
    <row r="1616">
      <c r="O1616">
        <f>IF(AND(ISNUMBER('자료_미국심리'!$A1600),ISNUMBER('자료_미국심리'!$B1600)),'자료_미국심리'!$A1600,"")</f>
        <v/>
      </c>
      <c r="P1616">
        <f>IF(AND(ISNUMBER('자료_미국심리'!$D1600),ISNUMBER('자료_미국심리'!$E1600)),'자료_미국심리'!$D1600,"")</f>
        <v/>
      </c>
      <c r="Q1616">
        <f>IF(AND(ISNUMBER('자료_미국심리'!$G1600),ISNUMBER('자료_미국심리'!$H1600)),'자료_미국심리'!$G1600,"")</f>
        <v/>
      </c>
    </row>
    <row r="1617">
      <c r="O1617">
        <f>IF(AND(ISNUMBER('자료_미국심리'!$A1601),ISNUMBER('자료_미국심리'!$B1601)),'자료_미국심리'!$A1601,"")</f>
        <v/>
      </c>
      <c r="P1617">
        <f>IF(AND(ISNUMBER('자료_미국심리'!$D1601),ISNUMBER('자료_미국심리'!$E1601)),'자료_미국심리'!$D1601,"")</f>
        <v/>
      </c>
      <c r="Q1617">
        <f>IF(AND(ISNUMBER('자료_미국심리'!$G1601),ISNUMBER('자료_미국심리'!$H1601)),'자료_미국심리'!$G1601,"")</f>
        <v/>
      </c>
    </row>
    <row r="1618">
      <c r="O1618">
        <f>IF(AND(ISNUMBER('자료_미국심리'!$A1602),ISNUMBER('자료_미국심리'!$B1602)),'자료_미국심리'!$A1602,"")</f>
        <v/>
      </c>
      <c r="P1618">
        <f>IF(AND(ISNUMBER('자료_미국심리'!$D1602),ISNUMBER('자료_미국심리'!$E1602)),'자료_미국심리'!$D1602,"")</f>
        <v/>
      </c>
      <c r="Q1618">
        <f>IF(AND(ISNUMBER('자료_미국심리'!$G1602),ISNUMBER('자료_미국심리'!$H1602)),'자료_미국심리'!$G1602,"")</f>
        <v/>
      </c>
    </row>
    <row r="1619">
      <c r="O1619">
        <f>IF(AND(ISNUMBER('자료_미국심리'!$A1603),ISNUMBER('자료_미국심리'!$B1603)),'자료_미국심리'!$A1603,"")</f>
        <v/>
      </c>
      <c r="P1619">
        <f>IF(AND(ISNUMBER('자료_미국심리'!$D1603),ISNUMBER('자료_미국심리'!$E1603)),'자료_미국심리'!$D1603,"")</f>
        <v/>
      </c>
      <c r="Q1619">
        <f>IF(AND(ISNUMBER('자료_미국심리'!$G1603),ISNUMBER('자료_미국심리'!$H1603)),'자료_미국심리'!$G1603,"")</f>
        <v/>
      </c>
    </row>
    <row r="1620">
      <c r="O1620">
        <f>IF(AND(ISNUMBER('자료_미국심리'!$A1604),ISNUMBER('자료_미국심리'!$B1604)),'자료_미국심리'!$A1604,"")</f>
        <v/>
      </c>
      <c r="P1620">
        <f>IF(AND(ISNUMBER('자료_미국심리'!$D1604),ISNUMBER('자료_미국심리'!$E1604)),'자료_미국심리'!$D1604,"")</f>
        <v/>
      </c>
      <c r="Q1620">
        <f>IF(AND(ISNUMBER('자료_미국심리'!$G1604),ISNUMBER('자료_미국심리'!$H1604)),'자료_미국심리'!$G1604,"")</f>
        <v/>
      </c>
    </row>
    <row r="1621">
      <c r="O1621">
        <f>IF(AND(ISNUMBER('자료_미국심리'!$A1605),ISNUMBER('자료_미국심리'!$B1605)),'자료_미국심리'!$A1605,"")</f>
        <v/>
      </c>
      <c r="P1621">
        <f>IF(AND(ISNUMBER('자료_미국심리'!$D1605),ISNUMBER('자료_미국심리'!$E1605)),'자료_미국심리'!$D1605,"")</f>
        <v/>
      </c>
      <c r="Q1621">
        <f>IF(AND(ISNUMBER('자료_미국심리'!$G1605),ISNUMBER('자료_미국심리'!$H1605)),'자료_미국심리'!$G1605,"")</f>
        <v/>
      </c>
    </row>
    <row r="1622">
      <c r="O1622">
        <f>IF(AND(ISNUMBER('자료_미국심리'!$A1606),ISNUMBER('자료_미국심리'!$B1606)),'자료_미국심리'!$A1606,"")</f>
        <v/>
      </c>
      <c r="P1622">
        <f>IF(AND(ISNUMBER('자료_미국심리'!$D1606),ISNUMBER('자료_미국심리'!$E1606)),'자료_미국심리'!$D1606,"")</f>
        <v/>
      </c>
      <c r="Q1622">
        <f>IF(AND(ISNUMBER('자료_미국심리'!$G1606),ISNUMBER('자료_미국심리'!$H1606)),'자료_미국심리'!$G1606,"")</f>
        <v/>
      </c>
    </row>
    <row r="1623">
      <c r="O1623">
        <f>IF(AND(ISNUMBER('자료_미국심리'!$A1607),ISNUMBER('자료_미국심리'!$B1607)),'자료_미국심리'!$A1607,"")</f>
        <v/>
      </c>
      <c r="P1623">
        <f>IF(AND(ISNUMBER('자료_미국심리'!$D1607),ISNUMBER('자료_미국심리'!$E1607)),'자료_미국심리'!$D1607,"")</f>
        <v/>
      </c>
      <c r="Q1623">
        <f>IF(AND(ISNUMBER('자료_미국심리'!$G1607),ISNUMBER('자료_미국심리'!$H1607)),'자료_미국심리'!$G1607,"")</f>
        <v/>
      </c>
    </row>
    <row r="1624">
      <c r="O1624">
        <f>IF(AND(ISNUMBER('자료_미국심리'!$A1608),ISNUMBER('자료_미국심리'!$B1608)),'자료_미국심리'!$A1608,"")</f>
        <v/>
      </c>
      <c r="P1624">
        <f>IF(AND(ISNUMBER('자료_미국심리'!$D1608),ISNUMBER('자료_미국심리'!$E1608)),'자료_미국심리'!$D1608,"")</f>
        <v/>
      </c>
      <c r="Q1624">
        <f>IF(AND(ISNUMBER('자료_미국심리'!$G1608),ISNUMBER('자료_미국심리'!$H1608)),'자료_미국심리'!$G1608,"")</f>
        <v/>
      </c>
    </row>
    <row r="1625">
      <c r="O1625">
        <f>IF(AND(ISNUMBER('자료_미국심리'!$A1609),ISNUMBER('자료_미국심리'!$B1609)),'자료_미국심리'!$A1609,"")</f>
        <v/>
      </c>
      <c r="P1625">
        <f>IF(AND(ISNUMBER('자료_미국심리'!$D1609),ISNUMBER('자료_미국심리'!$E1609)),'자료_미국심리'!$D1609,"")</f>
        <v/>
      </c>
      <c r="Q1625">
        <f>IF(AND(ISNUMBER('자료_미국심리'!$G1609),ISNUMBER('자료_미국심리'!$H1609)),'자료_미국심리'!$G1609,"")</f>
        <v/>
      </c>
    </row>
    <row r="1626">
      <c r="O1626">
        <f>IF(AND(ISNUMBER('자료_미국심리'!$A1610),ISNUMBER('자료_미국심리'!$B1610)),'자료_미국심리'!$A1610,"")</f>
        <v/>
      </c>
      <c r="P1626">
        <f>IF(AND(ISNUMBER('자료_미국심리'!$D1610),ISNUMBER('자료_미국심리'!$E1610)),'자료_미국심리'!$D1610,"")</f>
        <v/>
      </c>
      <c r="Q1626">
        <f>IF(AND(ISNUMBER('자료_미국심리'!$G1610),ISNUMBER('자료_미국심리'!$H1610)),'자료_미국심리'!$G1610,"")</f>
        <v/>
      </c>
    </row>
    <row r="1627">
      <c r="O1627">
        <f>IF(AND(ISNUMBER('자료_미국심리'!$A1611),ISNUMBER('자료_미국심리'!$B1611)),'자료_미국심리'!$A1611,"")</f>
        <v/>
      </c>
      <c r="P1627">
        <f>IF(AND(ISNUMBER('자료_미국심리'!$D1611),ISNUMBER('자료_미국심리'!$E1611)),'자료_미국심리'!$D1611,"")</f>
        <v/>
      </c>
      <c r="Q1627">
        <f>IF(AND(ISNUMBER('자료_미국심리'!$G1611),ISNUMBER('자료_미국심리'!$H1611)),'자료_미국심리'!$G1611,"")</f>
        <v/>
      </c>
    </row>
    <row r="1628">
      <c r="O1628">
        <f>IF(AND(ISNUMBER('자료_미국심리'!$A1612),ISNUMBER('자료_미국심리'!$B1612)),'자료_미국심리'!$A1612,"")</f>
        <v/>
      </c>
      <c r="P1628">
        <f>IF(AND(ISNUMBER('자료_미국심리'!$D1612),ISNUMBER('자료_미국심리'!$E1612)),'자료_미국심리'!$D1612,"")</f>
        <v/>
      </c>
      <c r="Q1628">
        <f>IF(AND(ISNUMBER('자료_미국심리'!$G1612),ISNUMBER('자료_미국심리'!$H1612)),'자료_미국심리'!$G1612,"")</f>
        <v/>
      </c>
    </row>
    <row r="1629">
      <c r="O1629">
        <f>IF(AND(ISNUMBER('자료_미국심리'!$A1613),ISNUMBER('자료_미국심리'!$B1613)),'자료_미국심리'!$A1613,"")</f>
        <v/>
      </c>
      <c r="P1629">
        <f>IF(AND(ISNUMBER('자료_미국심리'!$D1613),ISNUMBER('자료_미국심리'!$E1613)),'자료_미국심리'!$D1613,"")</f>
        <v/>
      </c>
      <c r="Q1629">
        <f>IF(AND(ISNUMBER('자료_미국심리'!$G1613),ISNUMBER('자료_미국심리'!$H1613)),'자료_미국심리'!$G1613,"")</f>
        <v/>
      </c>
    </row>
    <row r="1630">
      <c r="O1630">
        <f>IF(AND(ISNUMBER('자료_미국심리'!$A1614),ISNUMBER('자료_미국심리'!$B1614)),'자료_미국심리'!$A1614,"")</f>
        <v/>
      </c>
      <c r="P1630">
        <f>IF(AND(ISNUMBER('자료_미국심리'!$D1614),ISNUMBER('자료_미국심리'!$E1614)),'자료_미국심리'!$D1614,"")</f>
        <v/>
      </c>
      <c r="Q1630">
        <f>IF(AND(ISNUMBER('자료_미국심리'!$G1614),ISNUMBER('자료_미국심리'!$H1614)),'자료_미국심리'!$G1614,"")</f>
        <v/>
      </c>
    </row>
    <row r="1631">
      <c r="O1631">
        <f>IF(AND(ISNUMBER('자료_미국심리'!$A1615),ISNUMBER('자료_미국심리'!$B1615)),'자료_미국심리'!$A1615,"")</f>
        <v/>
      </c>
      <c r="P1631">
        <f>IF(AND(ISNUMBER('자료_미국심리'!$D1615),ISNUMBER('자료_미국심리'!$E1615)),'자료_미국심리'!$D1615,"")</f>
        <v/>
      </c>
      <c r="Q1631">
        <f>IF(AND(ISNUMBER('자료_미국심리'!$G1615),ISNUMBER('자료_미국심리'!$H1615)),'자료_미국심리'!$G1615,"")</f>
        <v/>
      </c>
    </row>
    <row r="1632">
      <c r="O1632">
        <f>IF(AND(ISNUMBER('자료_미국심리'!$A1616),ISNUMBER('자료_미국심리'!$B1616)),'자료_미국심리'!$A1616,"")</f>
        <v/>
      </c>
      <c r="P1632">
        <f>IF(AND(ISNUMBER('자료_미국심리'!$D1616),ISNUMBER('자료_미국심리'!$E1616)),'자료_미국심리'!$D1616,"")</f>
        <v/>
      </c>
      <c r="Q1632">
        <f>IF(AND(ISNUMBER('자료_미국심리'!$G1616),ISNUMBER('자료_미국심리'!$H1616)),'자료_미국심리'!$G1616,"")</f>
        <v/>
      </c>
    </row>
    <row r="1633">
      <c r="O1633">
        <f>IF(AND(ISNUMBER('자료_미국심리'!$A1617),ISNUMBER('자료_미국심리'!$B1617)),'자료_미국심리'!$A1617,"")</f>
        <v/>
      </c>
      <c r="P1633">
        <f>IF(AND(ISNUMBER('자료_미국심리'!$D1617),ISNUMBER('자료_미국심리'!$E1617)),'자료_미국심리'!$D1617,"")</f>
        <v/>
      </c>
      <c r="Q1633">
        <f>IF(AND(ISNUMBER('자료_미국심리'!$G1617),ISNUMBER('자료_미국심리'!$H1617)),'자료_미국심리'!$G1617,"")</f>
        <v/>
      </c>
    </row>
    <row r="1634">
      <c r="O1634">
        <f>IF(AND(ISNUMBER('자료_미국심리'!$A1618),ISNUMBER('자료_미국심리'!$B1618)),'자료_미국심리'!$A1618,"")</f>
        <v/>
      </c>
      <c r="P1634">
        <f>IF(AND(ISNUMBER('자료_미국심리'!$D1618),ISNUMBER('자료_미국심리'!$E1618)),'자료_미국심리'!$D1618,"")</f>
        <v/>
      </c>
      <c r="Q1634">
        <f>IF(AND(ISNUMBER('자료_미국심리'!$G1618),ISNUMBER('자료_미국심리'!$H1618)),'자료_미국심리'!$G1618,"")</f>
        <v/>
      </c>
    </row>
    <row r="1635">
      <c r="O1635">
        <f>IF(AND(ISNUMBER('자료_미국심리'!$A1619),ISNUMBER('자료_미국심리'!$B1619)),'자료_미국심리'!$A1619,"")</f>
        <v/>
      </c>
      <c r="P1635">
        <f>IF(AND(ISNUMBER('자료_미국심리'!$D1619),ISNUMBER('자료_미국심리'!$E1619)),'자료_미국심리'!$D1619,"")</f>
        <v/>
      </c>
      <c r="Q1635">
        <f>IF(AND(ISNUMBER('자료_미국심리'!$G1619),ISNUMBER('자료_미국심리'!$H1619)),'자료_미국심리'!$G1619,"")</f>
        <v/>
      </c>
    </row>
    <row r="1636">
      <c r="O1636">
        <f>IF(AND(ISNUMBER('자료_미국심리'!$A1620),ISNUMBER('자료_미국심리'!$B1620)),'자료_미국심리'!$A1620,"")</f>
        <v/>
      </c>
      <c r="P1636">
        <f>IF(AND(ISNUMBER('자료_미국심리'!$D1620),ISNUMBER('자료_미국심리'!$E1620)),'자료_미국심리'!$D1620,"")</f>
        <v/>
      </c>
      <c r="Q1636">
        <f>IF(AND(ISNUMBER('자료_미국심리'!$G1620),ISNUMBER('자료_미국심리'!$H1620)),'자료_미국심리'!$G1620,"")</f>
        <v/>
      </c>
    </row>
    <row r="1637">
      <c r="O1637">
        <f>IF(AND(ISNUMBER('자료_미국심리'!$A1621),ISNUMBER('자료_미국심리'!$B1621)),'자료_미국심리'!$A1621,"")</f>
        <v/>
      </c>
      <c r="P1637">
        <f>IF(AND(ISNUMBER('자료_미국심리'!$D1621),ISNUMBER('자료_미국심리'!$E1621)),'자료_미국심리'!$D1621,"")</f>
        <v/>
      </c>
      <c r="Q1637">
        <f>IF(AND(ISNUMBER('자료_미국심리'!$G1621),ISNUMBER('자료_미국심리'!$H1621)),'자료_미국심리'!$G1621,"")</f>
        <v/>
      </c>
    </row>
    <row r="1638">
      <c r="O1638">
        <f>IF(AND(ISNUMBER('자료_미국심리'!$A1622),ISNUMBER('자료_미국심리'!$B1622)),'자료_미국심리'!$A1622,"")</f>
        <v/>
      </c>
      <c r="P1638">
        <f>IF(AND(ISNUMBER('자료_미국심리'!$D1622),ISNUMBER('자료_미국심리'!$E1622)),'자료_미국심리'!$D1622,"")</f>
        <v/>
      </c>
      <c r="Q1638">
        <f>IF(AND(ISNUMBER('자료_미국심리'!$G1622),ISNUMBER('자료_미국심리'!$H1622)),'자료_미국심리'!$G1622,"")</f>
        <v/>
      </c>
    </row>
    <row r="1639">
      <c r="O1639">
        <f>IF(AND(ISNUMBER('자료_미국심리'!$A1623),ISNUMBER('자료_미국심리'!$B1623)),'자료_미국심리'!$A1623,"")</f>
        <v/>
      </c>
      <c r="P1639">
        <f>IF(AND(ISNUMBER('자료_미국심리'!$D1623),ISNUMBER('자료_미국심리'!$E1623)),'자료_미국심리'!$D1623,"")</f>
        <v/>
      </c>
      <c r="Q1639">
        <f>IF(AND(ISNUMBER('자료_미국심리'!$G1623),ISNUMBER('자료_미국심리'!$H1623)),'자료_미국심리'!$G1623,"")</f>
        <v/>
      </c>
    </row>
    <row r="1640">
      <c r="O1640">
        <f>IF(AND(ISNUMBER('자료_미국심리'!$A1624),ISNUMBER('자료_미국심리'!$B1624)),'자료_미국심리'!$A1624,"")</f>
        <v/>
      </c>
      <c r="P1640">
        <f>IF(AND(ISNUMBER('자료_미국심리'!$D1624),ISNUMBER('자료_미국심리'!$E1624)),'자료_미국심리'!$D1624,"")</f>
        <v/>
      </c>
      <c r="Q1640">
        <f>IF(AND(ISNUMBER('자료_미국심리'!$G1624),ISNUMBER('자료_미국심리'!$H1624)),'자료_미국심리'!$G1624,"")</f>
        <v/>
      </c>
    </row>
    <row r="1641">
      <c r="O1641">
        <f>IF(AND(ISNUMBER('자료_미국심리'!$A1625),ISNUMBER('자료_미국심리'!$B1625)),'자료_미국심리'!$A1625,"")</f>
        <v/>
      </c>
      <c r="P1641">
        <f>IF(AND(ISNUMBER('자료_미국심리'!$D1625),ISNUMBER('자료_미국심리'!$E1625)),'자료_미국심리'!$D1625,"")</f>
        <v/>
      </c>
      <c r="Q1641">
        <f>IF(AND(ISNUMBER('자료_미국심리'!$G1625),ISNUMBER('자료_미국심리'!$H1625)),'자료_미국심리'!$G1625,"")</f>
        <v/>
      </c>
    </row>
    <row r="1642">
      <c r="O1642">
        <f>IF(AND(ISNUMBER('자료_미국심리'!$A1626),ISNUMBER('자료_미국심리'!$B1626)),'자료_미국심리'!$A1626,"")</f>
        <v/>
      </c>
      <c r="P1642">
        <f>IF(AND(ISNUMBER('자료_미국심리'!$D1626),ISNUMBER('자료_미국심리'!$E1626)),'자료_미국심리'!$D1626,"")</f>
        <v/>
      </c>
      <c r="Q1642">
        <f>IF(AND(ISNUMBER('자료_미국심리'!$G1626),ISNUMBER('자료_미국심리'!$H1626)),'자료_미국심리'!$G1626,"")</f>
        <v/>
      </c>
    </row>
    <row r="1643">
      <c r="O1643">
        <f>IF(AND(ISNUMBER('자료_미국심리'!$A1627),ISNUMBER('자료_미국심리'!$B1627)),'자료_미국심리'!$A1627,"")</f>
        <v/>
      </c>
      <c r="P1643">
        <f>IF(AND(ISNUMBER('자료_미국심리'!$D1627),ISNUMBER('자료_미국심리'!$E1627)),'자료_미국심리'!$D1627,"")</f>
        <v/>
      </c>
      <c r="Q1643">
        <f>IF(AND(ISNUMBER('자료_미국심리'!$G1627),ISNUMBER('자료_미국심리'!$H1627)),'자료_미국심리'!$G1627,"")</f>
        <v/>
      </c>
    </row>
    <row r="1644">
      <c r="O1644">
        <f>IF(AND(ISNUMBER('자료_미국심리'!$A1628),ISNUMBER('자료_미국심리'!$B1628)),'자료_미국심리'!$A1628,"")</f>
        <v/>
      </c>
      <c r="P1644">
        <f>IF(AND(ISNUMBER('자료_미국심리'!$D1628),ISNUMBER('자료_미국심리'!$E1628)),'자료_미국심리'!$D1628,"")</f>
        <v/>
      </c>
      <c r="Q1644">
        <f>IF(AND(ISNUMBER('자료_미국심리'!$G1628),ISNUMBER('자료_미국심리'!$H1628)),'자료_미국심리'!$G1628,"")</f>
        <v/>
      </c>
    </row>
    <row r="1645">
      <c r="O1645">
        <f>IF(AND(ISNUMBER('자료_미국심리'!$A1629),ISNUMBER('자료_미국심리'!$B1629)),'자료_미국심리'!$A1629,"")</f>
        <v/>
      </c>
      <c r="P1645">
        <f>IF(AND(ISNUMBER('자료_미국심리'!$D1629),ISNUMBER('자료_미국심리'!$E1629)),'자료_미국심리'!$D1629,"")</f>
        <v/>
      </c>
      <c r="Q1645">
        <f>IF(AND(ISNUMBER('자료_미국심리'!$G1629),ISNUMBER('자료_미국심리'!$H1629)),'자료_미국심리'!$G1629,"")</f>
        <v/>
      </c>
    </row>
    <row r="1646">
      <c r="O1646">
        <f>IF(AND(ISNUMBER('자료_미국심리'!$A1630),ISNUMBER('자료_미국심리'!$B1630)),'자료_미국심리'!$A1630,"")</f>
        <v/>
      </c>
      <c r="P1646">
        <f>IF(AND(ISNUMBER('자료_미국심리'!$D1630),ISNUMBER('자료_미국심리'!$E1630)),'자료_미국심리'!$D1630,"")</f>
        <v/>
      </c>
      <c r="Q1646">
        <f>IF(AND(ISNUMBER('자료_미국심리'!$G1630),ISNUMBER('자료_미국심리'!$H1630)),'자료_미국심리'!$G1630,"")</f>
        <v/>
      </c>
    </row>
    <row r="1647">
      <c r="O1647">
        <f>IF(AND(ISNUMBER('자료_미국심리'!$A1631),ISNUMBER('자료_미국심리'!$B1631)),'자료_미국심리'!$A1631,"")</f>
        <v/>
      </c>
      <c r="P1647">
        <f>IF(AND(ISNUMBER('자료_미국심리'!$D1631),ISNUMBER('자료_미국심리'!$E1631)),'자료_미국심리'!$D1631,"")</f>
        <v/>
      </c>
      <c r="Q1647">
        <f>IF(AND(ISNUMBER('자료_미국심리'!$G1631),ISNUMBER('자료_미국심리'!$H1631)),'자료_미국심리'!$G1631,"")</f>
        <v/>
      </c>
    </row>
    <row r="1648">
      <c r="O1648">
        <f>IF(AND(ISNUMBER('자료_미국심리'!$A1632),ISNUMBER('자료_미국심리'!$B1632)),'자료_미국심리'!$A1632,"")</f>
        <v/>
      </c>
      <c r="P1648">
        <f>IF(AND(ISNUMBER('자료_미국심리'!$D1632),ISNUMBER('자료_미국심리'!$E1632)),'자료_미국심리'!$D1632,"")</f>
        <v/>
      </c>
      <c r="Q1648">
        <f>IF(AND(ISNUMBER('자료_미국심리'!$G1632),ISNUMBER('자료_미국심리'!$H1632)),'자료_미국심리'!$G1632,"")</f>
        <v/>
      </c>
    </row>
    <row r="1649">
      <c r="O1649">
        <f>IF(AND(ISNUMBER('자료_미국심리'!$A1633),ISNUMBER('자료_미국심리'!$B1633)),'자료_미국심리'!$A1633,"")</f>
        <v/>
      </c>
      <c r="P1649">
        <f>IF(AND(ISNUMBER('자료_미국심리'!$D1633),ISNUMBER('자료_미국심리'!$E1633)),'자료_미국심리'!$D1633,"")</f>
        <v/>
      </c>
      <c r="Q1649">
        <f>IF(AND(ISNUMBER('자료_미국심리'!$G1633),ISNUMBER('자료_미국심리'!$H1633)),'자료_미국심리'!$G1633,"")</f>
        <v/>
      </c>
    </row>
    <row r="1650">
      <c r="O1650">
        <f>IF(AND(ISNUMBER('자료_미국심리'!$A1634),ISNUMBER('자료_미국심리'!$B1634)),'자료_미국심리'!$A1634,"")</f>
        <v/>
      </c>
      <c r="P1650">
        <f>IF(AND(ISNUMBER('자료_미국심리'!$D1634),ISNUMBER('자료_미국심리'!$E1634)),'자료_미국심리'!$D1634,"")</f>
        <v/>
      </c>
      <c r="Q1650">
        <f>IF(AND(ISNUMBER('자료_미국심리'!$G1634),ISNUMBER('자료_미국심리'!$H1634)),'자료_미국심리'!$G1634,"")</f>
        <v/>
      </c>
    </row>
    <row r="1651">
      <c r="O1651">
        <f>IF(AND(ISNUMBER('자료_미국심리'!$A1635),ISNUMBER('자료_미국심리'!$B1635)),'자료_미국심리'!$A1635,"")</f>
        <v/>
      </c>
      <c r="P1651">
        <f>IF(AND(ISNUMBER('자료_미국심리'!$D1635),ISNUMBER('자료_미국심리'!$E1635)),'자료_미국심리'!$D1635,"")</f>
        <v/>
      </c>
      <c r="Q1651">
        <f>IF(AND(ISNUMBER('자료_미국심리'!$G1635),ISNUMBER('자료_미국심리'!$H1635)),'자료_미국심리'!$G1635,"")</f>
        <v/>
      </c>
    </row>
    <row r="1652">
      <c r="O1652">
        <f>IF(AND(ISNUMBER('자료_미국심리'!$A1636),ISNUMBER('자료_미국심리'!$B1636)),'자료_미국심리'!$A1636,"")</f>
        <v/>
      </c>
      <c r="P1652">
        <f>IF(AND(ISNUMBER('자료_미국심리'!$D1636),ISNUMBER('자료_미국심리'!$E1636)),'자료_미국심리'!$D1636,"")</f>
        <v/>
      </c>
      <c r="Q1652">
        <f>IF(AND(ISNUMBER('자료_미국심리'!$G1636),ISNUMBER('자료_미국심리'!$H1636)),'자료_미국심리'!$G1636,"")</f>
        <v/>
      </c>
    </row>
    <row r="1653">
      <c r="O1653">
        <f>IF(AND(ISNUMBER('자료_미국심리'!$A1637),ISNUMBER('자료_미국심리'!$B1637)),'자료_미국심리'!$A1637,"")</f>
        <v/>
      </c>
      <c r="P1653">
        <f>IF(AND(ISNUMBER('자료_미국심리'!$D1637),ISNUMBER('자료_미국심리'!$E1637)),'자료_미국심리'!$D1637,"")</f>
        <v/>
      </c>
      <c r="Q1653">
        <f>IF(AND(ISNUMBER('자료_미국심리'!$G1637),ISNUMBER('자료_미국심리'!$H1637)),'자료_미국심리'!$G1637,"")</f>
        <v/>
      </c>
    </row>
    <row r="1654">
      <c r="O1654">
        <f>IF(AND(ISNUMBER('자료_미국심리'!$A1638),ISNUMBER('자료_미국심리'!$B1638)),'자료_미국심리'!$A1638,"")</f>
        <v/>
      </c>
      <c r="P1654">
        <f>IF(AND(ISNUMBER('자료_미국심리'!$D1638),ISNUMBER('자료_미국심리'!$E1638)),'자료_미국심리'!$D1638,"")</f>
        <v/>
      </c>
      <c r="Q1654">
        <f>IF(AND(ISNUMBER('자료_미국심리'!$G1638),ISNUMBER('자료_미국심리'!$H1638)),'자료_미국심리'!$G1638,"")</f>
        <v/>
      </c>
    </row>
    <row r="1655">
      <c r="O1655">
        <f>IF(AND(ISNUMBER('자료_미국심리'!$A1639),ISNUMBER('자료_미국심리'!$B1639)),'자료_미국심리'!$A1639,"")</f>
        <v/>
      </c>
      <c r="P1655">
        <f>IF(AND(ISNUMBER('자료_미국심리'!$D1639),ISNUMBER('자료_미국심리'!$E1639)),'자료_미국심리'!$D1639,"")</f>
        <v/>
      </c>
      <c r="Q1655">
        <f>IF(AND(ISNUMBER('자료_미국심리'!$G1639),ISNUMBER('자료_미국심리'!$H1639)),'자료_미국심리'!$G1639,"")</f>
        <v/>
      </c>
    </row>
    <row r="1656">
      <c r="O1656">
        <f>IF(AND(ISNUMBER('자료_미국심리'!$A1640),ISNUMBER('자료_미국심리'!$B1640)),'자료_미국심리'!$A1640,"")</f>
        <v/>
      </c>
      <c r="P1656">
        <f>IF(AND(ISNUMBER('자료_미국심리'!$D1640),ISNUMBER('자료_미국심리'!$E1640)),'자료_미국심리'!$D1640,"")</f>
        <v/>
      </c>
      <c r="Q1656">
        <f>IF(AND(ISNUMBER('자료_미국심리'!$G1640),ISNUMBER('자료_미국심리'!$H1640)),'자료_미국심리'!$G1640,"")</f>
        <v/>
      </c>
    </row>
    <row r="1657">
      <c r="O1657">
        <f>IF(AND(ISNUMBER('자료_미국심리'!$A1641),ISNUMBER('자료_미국심리'!$B1641)),'자료_미국심리'!$A1641,"")</f>
        <v/>
      </c>
      <c r="P1657">
        <f>IF(AND(ISNUMBER('자료_미국심리'!$D1641),ISNUMBER('자료_미국심리'!$E1641)),'자료_미국심리'!$D1641,"")</f>
        <v/>
      </c>
      <c r="Q1657">
        <f>IF(AND(ISNUMBER('자료_미국심리'!$G1641),ISNUMBER('자료_미국심리'!$H1641)),'자료_미국심리'!$G1641,"")</f>
        <v/>
      </c>
    </row>
    <row r="1658">
      <c r="O1658">
        <f>IF(AND(ISNUMBER('자료_미국심리'!$A1642),ISNUMBER('자료_미국심리'!$B1642)),'자료_미국심리'!$A1642,"")</f>
        <v/>
      </c>
      <c r="P1658">
        <f>IF(AND(ISNUMBER('자료_미국심리'!$D1642),ISNUMBER('자료_미국심리'!$E1642)),'자료_미국심리'!$D1642,"")</f>
        <v/>
      </c>
      <c r="Q1658">
        <f>IF(AND(ISNUMBER('자료_미국심리'!$G1642),ISNUMBER('자료_미국심리'!$H1642)),'자료_미국심리'!$G1642,"")</f>
        <v/>
      </c>
    </row>
    <row r="1659">
      <c r="O1659">
        <f>IF(AND(ISNUMBER('자료_미국심리'!$A1643),ISNUMBER('자료_미국심리'!$B1643)),'자료_미국심리'!$A1643,"")</f>
        <v/>
      </c>
      <c r="P1659">
        <f>IF(AND(ISNUMBER('자료_미국심리'!$D1643),ISNUMBER('자료_미국심리'!$E1643)),'자료_미국심리'!$D1643,"")</f>
        <v/>
      </c>
      <c r="Q1659">
        <f>IF(AND(ISNUMBER('자료_미국심리'!$G1643),ISNUMBER('자료_미국심리'!$H1643)),'자료_미국심리'!$G1643,"")</f>
        <v/>
      </c>
    </row>
    <row r="1660">
      <c r="O1660">
        <f>IF(AND(ISNUMBER('자료_미국심리'!$A1644),ISNUMBER('자료_미국심리'!$B1644)),'자료_미국심리'!$A1644,"")</f>
        <v/>
      </c>
      <c r="P1660">
        <f>IF(AND(ISNUMBER('자료_미국심리'!$D1644),ISNUMBER('자료_미국심리'!$E1644)),'자료_미국심리'!$D1644,"")</f>
        <v/>
      </c>
      <c r="Q1660">
        <f>IF(AND(ISNUMBER('자료_미국심리'!$G1644),ISNUMBER('자료_미국심리'!$H1644)),'자료_미국심리'!$G1644,"")</f>
        <v/>
      </c>
    </row>
    <row r="1661">
      <c r="O1661">
        <f>IF(AND(ISNUMBER('자료_미국심리'!$A1645),ISNUMBER('자료_미국심리'!$B1645)),'자료_미국심리'!$A1645,"")</f>
        <v/>
      </c>
      <c r="P1661">
        <f>IF(AND(ISNUMBER('자료_미국심리'!$D1645),ISNUMBER('자료_미국심리'!$E1645)),'자료_미국심리'!$D1645,"")</f>
        <v/>
      </c>
      <c r="Q1661">
        <f>IF(AND(ISNUMBER('자료_미국심리'!$G1645),ISNUMBER('자료_미국심리'!$H1645)),'자료_미국심리'!$G1645,"")</f>
        <v/>
      </c>
    </row>
    <row r="1662">
      <c r="O1662">
        <f>IF(AND(ISNUMBER('자료_미국심리'!$A1646),ISNUMBER('자료_미국심리'!$B1646)),'자료_미국심리'!$A1646,"")</f>
        <v/>
      </c>
      <c r="P1662">
        <f>IF(AND(ISNUMBER('자료_미국심리'!$D1646),ISNUMBER('자료_미국심리'!$E1646)),'자료_미국심리'!$D1646,"")</f>
        <v/>
      </c>
      <c r="Q1662">
        <f>IF(AND(ISNUMBER('자료_미국심리'!$G1646),ISNUMBER('자료_미국심리'!$H1646)),'자료_미국심리'!$G1646,"")</f>
        <v/>
      </c>
    </row>
    <row r="1663">
      <c r="O1663">
        <f>IF(AND(ISNUMBER('자료_미국심리'!$A1647),ISNUMBER('자료_미국심리'!$B1647)),'자료_미국심리'!$A1647,"")</f>
        <v/>
      </c>
      <c r="P1663">
        <f>IF(AND(ISNUMBER('자료_미국심리'!$D1647),ISNUMBER('자료_미국심리'!$E1647)),'자료_미국심리'!$D1647,"")</f>
        <v/>
      </c>
      <c r="Q1663">
        <f>IF(AND(ISNUMBER('자료_미국심리'!$G1647),ISNUMBER('자료_미국심리'!$H1647)),'자료_미국심리'!$G1647,"")</f>
        <v/>
      </c>
    </row>
    <row r="1664">
      <c r="O1664">
        <f>IF(AND(ISNUMBER('자료_미국심리'!$A1648),ISNUMBER('자료_미국심리'!$B1648)),'자료_미국심리'!$A1648,"")</f>
        <v/>
      </c>
      <c r="P1664">
        <f>IF(AND(ISNUMBER('자료_미국심리'!$D1648),ISNUMBER('자료_미국심리'!$E1648)),'자료_미국심리'!$D1648,"")</f>
        <v/>
      </c>
      <c r="Q1664">
        <f>IF(AND(ISNUMBER('자료_미국심리'!$G1648),ISNUMBER('자료_미국심리'!$H1648)),'자료_미국심리'!$G1648,"")</f>
        <v/>
      </c>
    </row>
    <row r="1665">
      <c r="O1665">
        <f>IF(AND(ISNUMBER('자료_미국심리'!$A1649),ISNUMBER('자료_미국심리'!$B1649)),'자료_미국심리'!$A1649,"")</f>
        <v/>
      </c>
      <c r="P1665">
        <f>IF(AND(ISNUMBER('자료_미국심리'!$D1649),ISNUMBER('자료_미국심리'!$E1649)),'자료_미국심리'!$D1649,"")</f>
        <v/>
      </c>
      <c r="Q1665">
        <f>IF(AND(ISNUMBER('자료_미국심리'!$G1649),ISNUMBER('자료_미국심리'!$H1649)),'자료_미국심리'!$G1649,"")</f>
        <v/>
      </c>
    </row>
    <row r="1666">
      <c r="O1666">
        <f>IF(AND(ISNUMBER('자료_미국심리'!$A1650),ISNUMBER('자료_미국심리'!$B1650)),'자료_미국심리'!$A1650,"")</f>
        <v/>
      </c>
      <c r="P1666">
        <f>IF(AND(ISNUMBER('자료_미국심리'!$D1650),ISNUMBER('자료_미국심리'!$E1650)),'자료_미국심리'!$D1650,"")</f>
        <v/>
      </c>
      <c r="Q1666">
        <f>IF(AND(ISNUMBER('자료_미국심리'!$G1650),ISNUMBER('자료_미국심리'!$H1650)),'자료_미국심리'!$G1650,"")</f>
        <v/>
      </c>
    </row>
    <row r="1667">
      <c r="O1667">
        <f>IF(AND(ISNUMBER('자료_미국심리'!$A1651),ISNUMBER('자료_미국심리'!$B1651)),'자료_미국심리'!$A1651,"")</f>
        <v/>
      </c>
      <c r="P1667">
        <f>IF(AND(ISNUMBER('자료_미국심리'!$D1651),ISNUMBER('자료_미국심리'!$E1651)),'자료_미국심리'!$D1651,"")</f>
        <v/>
      </c>
      <c r="Q1667">
        <f>IF(AND(ISNUMBER('자료_미국심리'!$G1651),ISNUMBER('자료_미국심리'!$H1651)),'자료_미국심리'!$G1651,"")</f>
        <v/>
      </c>
    </row>
    <row r="1668">
      <c r="O1668">
        <f>IF(AND(ISNUMBER('자료_미국심리'!$A1652),ISNUMBER('자료_미국심리'!$B1652)),'자료_미국심리'!$A1652,"")</f>
        <v/>
      </c>
      <c r="P1668">
        <f>IF(AND(ISNUMBER('자료_미국심리'!$D1652),ISNUMBER('자료_미국심리'!$E1652)),'자료_미국심리'!$D1652,"")</f>
        <v/>
      </c>
      <c r="Q1668">
        <f>IF(AND(ISNUMBER('자료_미국심리'!$G1652),ISNUMBER('자료_미국심리'!$H1652)),'자료_미국심리'!$G1652,"")</f>
        <v/>
      </c>
    </row>
    <row r="1669">
      <c r="O1669">
        <f>IF(AND(ISNUMBER('자료_미국심리'!$A1653),ISNUMBER('자료_미국심리'!$B1653)),'자료_미국심리'!$A1653,"")</f>
        <v/>
      </c>
      <c r="P1669">
        <f>IF(AND(ISNUMBER('자료_미국심리'!$D1653),ISNUMBER('자료_미국심리'!$E1653)),'자료_미국심리'!$D1653,"")</f>
        <v/>
      </c>
      <c r="Q1669">
        <f>IF(AND(ISNUMBER('자료_미국심리'!$G1653),ISNUMBER('자료_미국심리'!$H1653)),'자료_미국심리'!$G1653,"")</f>
        <v/>
      </c>
    </row>
    <row r="1670">
      <c r="O1670">
        <f>IF(AND(ISNUMBER('자료_미국심리'!$A1654),ISNUMBER('자료_미국심리'!$B1654)),'자료_미국심리'!$A1654,"")</f>
        <v/>
      </c>
      <c r="P1670">
        <f>IF(AND(ISNUMBER('자료_미국심리'!$D1654),ISNUMBER('자료_미국심리'!$E1654)),'자료_미국심리'!$D1654,"")</f>
        <v/>
      </c>
      <c r="Q1670">
        <f>IF(AND(ISNUMBER('자료_미국심리'!$G1654),ISNUMBER('자료_미국심리'!$H1654)),'자료_미국심리'!$G1654,"")</f>
        <v/>
      </c>
    </row>
    <row r="1671">
      <c r="O1671">
        <f>IF(AND(ISNUMBER('자료_미국심리'!$A1655),ISNUMBER('자료_미국심리'!$B1655)),'자료_미국심리'!$A1655,"")</f>
        <v/>
      </c>
      <c r="P1671">
        <f>IF(AND(ISNUMBER('자료_미국심리'!$D1655),ISNUMBER('자료_미국심리'!$E1655)),'자료_미국심리'!$D1655,"")</f>
        <v/>
      </c>
      <c r="Q1671">
        <f>IF(AND(ISNUMBER('자료_미국심리'!$G1655),ISNUMBER('자료_미국심리'!$H1655)),'자료_미국심리'!$G1655,"")</f>
        <v/>
      </c>
    </row>
    <row r="1672">
      <c r="O1672">
        <f>IF(AND(ISNUMBER('자료_미국심리'!$A1656),ISNUMBER('자료_미국심리'!$B1656)),'자료_미국심리'!$A1656,"")</f>
        <v/>
      </c>
      <c r="P1672">
        <f>IF(AND(ISNUMBER('자료_미국심리'!$D1656),ISNUMBER('자료_미국심리'!$E1656)),'자료_미국심리'!$D1656,"")</f>
        <v/>
      </c>
      <c r="Q1672">
        <f>IF(AND(ISNUMBER('자료_미국심리'!$G1656),ISNUMBER('자료_미국심리'!$H1656)),'자료_미국심리'!$G1656,"")</f>
        <v/>
      </c>
    </row>
    <row r="1673">
      <c r="O1673">
        <f>IF(AND(ISNUMBER('자료_미국심리'!$A1657),ISNUMBER('자료_미국심리'!$B1657)),'자료_미국심리'!$A1657,"")</f>
        <v/>
      </c>
      <c r="P1673">
        <f>IF(AND(ISNUMBER('자료_미국심리'!$D1657),ISNUMBER('자료_미국심리'!$E1657)),'자료_미국심리'!$D1657,"")</f>
        <v/>
      </c>
      <c r="Q1673">
        <f>IF(AND(ISNUMBER('자료_미국심리'!$G1657),ISNUMBER('자료_미국심리'!$H1657)),'자료_미국심리'!$G1657,"")</f>
        <v/>
      </c>
    </row>
    <row r="1674">
      <c r="O1674">
        <f>IF(AND(ISNUMBER('자료_미국심리'!$A1658),ISNUMBER('자료_미국심리'!$B1658)),'자료_미국심리'!$A1658,"")</f>
        <v/>
      </c>
      <c r="P1674">
        <f>IF(AND(ISNUMBER('자료_미국심리'!$D1658),ISNUMBER('자료_미국심리'!$E1658)),'자료_미국심리'!$D1658,"")</f>
        <v/>
      </c>
      <c r="Q1674">
        <f>IF(AND(ISNUMBER('자료_미국심리'!$G1658),ISNUMBER('자료_미국심리'!$H1658)),'자료_미국심리'!$G1658,"")</f>
        <v/>
      </c>
    </row>
    <row r="1675">
      <c r="O1675">
        <f>IF(AND(ISNUMBER('자료_미국심리'!$A1659),ISNUMBER('자료_미국심리'!$B1659)),'자료_미국심리'!$A1659,"")</f>
        <v/>
      </c>
      <c r="P1675">
        <f>IF(AND(ISNUMBER('자료_미국심리'!$D1659),ISNUMBER('자료_미국심리'!$E1659)),'자료_미국심리'!$D1659,"")</f>
        <v/>
      </c>
      <c r="Q1675">
        <f>IF(AND(ISNUMBER('자료_미국심리'!$G1659),ISNUMBER('자료_미국심리'!$H1659)),'자료_미국심리'!$G1659,"")</f>
        <v/>
      </c>
    </row>
    <row r="1676">
      <c r="O1676">
        <f>IF(AND(ISNUMBER('자료_미국심리'!$A1660),ISNUMBER('자료_미국심리'!$B1660)),'자료_미국심리'!$A1660,"")</f>
        <v/>
      </c>
      <c r="P1676">
        <f>IF(AND(ISNUMBER('자료_미국심리'!$D1660),ISNUMBER('자료_미국심리'!$E1660)),'자료_미국심리'!$D1660,"")</f>
        <v/>
      </c>
      <c r="Q1676">
        <f>IF(AND(ISNUMBER('자료_미국심리'!$G1660),ISNUMBER('자료_미국심리'!$H1660)),'자료_미국심리'!$G1660,"")</f>
        <v/>
      </c>
    </row>
    <row r="1677">
      <c r="O1677">
        <f>IF(AND(ISNUMBER('자료_미국심리'!$A1661),ISNUMBER('자료_미국심리'!$B1661)),'자료_미국심리'!$A1661,"")</f>
        <v/>
      </c>
      <c r="P1677">
        <f>IF(AND(ISNUMBER('자료_미국심리'!$D1661),ISNUMBER('자료_미국심리'!$E1661)),'자료_미국심리'!$D1661,"")</f>
        <v/>
      </c>
      <c r="Q1677">
        <f>IF(AND(ISNUMBER('자료_미국심리'!$G1661),ISNUMBER('자료_미국심리'!$H1661)),'자료_미국심리'!$G1661,"")</f>
        <v/>
      </c>
    </row>
    <row r="1678">
      <c r="O1678">
        <f>IF(AND(ISNUMBER('자료_미국심리'!$A1662),ISNUMBER('자료_미국심리'!$B1662)),'자료_미국심리'!$A1662,"")</f>
        <v/>
      </c>
      <c r="P1678">
        <f>IF(AND(ISNUMBER('자료_미국심리'!$D1662),ISNUMBER('자료_미국심리'!$E1662)),'자료_미국심리'!$D1662,"")</f>
        <v/>
      </c>
      <c r="Q1678">
        <f>IF(AND(ISNUMBER('자료_미국심리'!$G1662),ISNUMBER('자료_미국심리'!$H1662)),'자료_미국심리'!$G1662,"")</f>
        <v/>
      </c>
    </row>
    <row r="1679">
      <c r="O1679">
        <f>IF(AND(ISNUMBER('자료_미국심리'!$A1663),ISNUMBER('자료_미국심리'!$B1663)),'자료_미국심리'!$A1663,"")</f>
        <v/>
      </c>
      <c r="P1679">
        <f>IF(AND(ISNUMBER('자료_미국심리'!$D1663),ISNUMBER('자료_미국심리'!$E1663)),'자료_미국심리'!$D1663,"")</f>
        <v/>
      </c>
      <c r="Q1679">
        <f>IF(AND(ISNUMBER('자료_미국심리'!$G1663),ISNUMBER('자료_미국심리'!$H1663)),'자료_미국심리'!$G1663,"")</f>
        <v/>
      </c>
    </row>
    <row r="1680">
      <c r="O1680">
        <f>IF(AND(ISNUMBER('자료_미국심리'!$A1664),ISNUMBER('자료_미국심리'!$B1664)),'자료_미국심리'!$A1664,"")</f>
        <v/>
      </c>
      <c r="P1680">
        <f>IF(AND(ISNUMBER('자료_미국심리'!$D1664),ISNUMBER('자료_미국심리'!$E1664)),'자료_미국심리'!$D1664,"")</f>
        <v/>
      </c>
      <c r="Q1680">
        <f>IF(AND(ISNUMBER('자료_미국심리'!$G1664),ISNUMBER('자료_미국심리'!$H1664)),'자료_미국심리'!$G1664,"")</f>
        <v/>
      </c>
    </row>
    <row r="1681">
      <c r="O1681">
        <f>IF(AND(ISNUMBER('자료_미국심리'!$A1665),ISNUMBER('자료_미국심리'!$B1665)),'자료_미국심리'!$A1665,"")</f>
        <v/>
      </c>
      <c r="P1681">
        <f>IF(AND(ISNUMBER('자료_미국심리'!$D1665),ISNUMBER('자료_미국심리'!$E1665)),'자료_미국심리'!$D1665,"")</f>
        <v/>
      </c>
      <c r="Q1681">
        <f>IF(AND(ISNUMBER('자료_미국심리'!$G1665),ISNUMBER('자료_미국심리'!$H1665)),'자료_미국심리'!$G1665,"")</f>
        <v/>
      </c>
    </row>
    <row r="1682">
      <c r="O1682">
        <f>IF(AND(ISNUMBER('자료_미국심리'!$A1666),ISNUMBER('자료_미국심리'!$B1666)),'자료_미국심리'!$A1666,"")</f>
        <v/>
      </c>
      <c r="P1682">
        <f>IF(AND(ISNUMBER('자료_미국심리'!$D1666),ISNUMBER('자료_미국심리'!$E1666)),'자료_미국심리'!$D1666,"")</f>
        <v/>
      </c>
      <c r="Q1682">
        <f>IF(AND(ISNUMBER('자료_미국심리'!$G1666),ISNUMBER('자료_미국심리'!$H1666)),'자료_미국심리'!$G1666,"")</f>
        <v/>
      </c>
    </row>
    <row r="1683">
      <c r="O1683">
        <f>IF(AND(ISNUMBER('자료_미국심리'!$A1667),ISNUMBER('자료_미국심리'!$B1667)),'자료_미국심리'!$A1667,"")</f>
        <v/>
      </c>
      <c r="P1683">
        <f>IF(AND(ISNUMBER('자료_미국심리'!$D1667),ISNUMBER('자료_미국심리'!$E1667)),'자료_미국심리'!$D1667,"")</f>
        <v/>
      </c>
      <c r="Q1683">
        <f>IF(AND(ISNUMBER('자료_미국심리'!$G1667),ISNUMBER('자료_미국심리'!$H1667)),'자료_미국심리'!$G1667,"")</f>
        <v/>
      </c>
    </row>
    <row r="1684">
      <c r="O1684">
        <f>IF(AND(ISNUMBER('자료_미국심리'!$A1668),ISNUMBER('자료_미국심리'!$B1668)),'자료_미국심리'!$A1668,"")</f>
        <v/>
      </c>
      <c r="P1684">
        <f>IF(AND(ISNUMBER('자료_미국심리'!$D1668),ISNUMBER('자료_미국심리'!$E1668)),'자료_미국심리'!$D1668,"")</f>
        <v/>
      </c>
      <c r="Q1684">
        <f>IF(AND(ISNUMBER('자료_미국심리'!$G1668),ISNUMBER('자료_미국심리'!$H1668)),'자료_미국심리'!$G1668,"")</f>
        <v/>
      </c>
    </row>
    <row r="1685">
      <c r="O1685">
        <f>IF(AND(ISNUMBER('자료_미국심리'!$A1669),ISNUMBER('자료_미국심리'!$B1669)),'자료_미국심리'!$A1669,"")</f>
        <v/>
      </c>
      <c r="P1685">
        <f>IF(AND(ISNUMBER('자료_미국심리'!$D1669),ISNUMBER('자료_미국심리'!$E1669)),'자료_미국심리'!$D1669,"")</f>
        <v/>
      </c>
      <c r="Q1685">
        <f>IF(AND(ISNUMBER('자료_미국심리'!$G1669),ISNUMBER('자료_미국심리'!$H1669)),'자료_미국심리'!$G1669,"")</f>
        <v/>
      </c>
    </row>
    <row r="1686">
      <c r="O1686">
        <f>IF(AND(ISNUMBER('자료_미국심리'!$A1670),ISNUMBER('자료_미국심리'!$B1670)),'자료_미국심리'!$A1670,"")</f>
        <v/>
      </c>
      <c r="P1686">
        <f>IF(AND(ISNUMBER('자료_미국심리'!$D1670),ISNUMBER('자료_미국심리'!$E1670)),'자료_미국심리'!$D1670,"")</f>
        <v/>
      </c>
      <c r="Q1686">
        <f>IF(AND(ISNUMBER('자료_미국심리'!$G1670),ISNUMBER('자료_미국심리'!$H1670)),'자료_미국심리'!$G1670,"")</f>
        <v/>
      </c>
    </row>
    <row r="1687">
      <c r="O1687">
        <f>IF(AND(ISNUMBER('자료_미국심리'!$A1671),ISNUMBER('자료_미국심리'!$B1671)),'자료_미국심리'!$A1671,"")</f>
        <v/>
      </c>
      <c r="P1687">
        <f>IF(AND(ISNUMBER('자료_미국심리'!$D1671),ISNUMBER('자료_미국심리'!$E1671)),'자료_미국심리'!$D1671,"")</f>
        <v/>
      </c>
      <c r="Q1687">
        <f>IF(AND(ISNUMBER('자료_미국심리'!$G1671),ISNUMBER('자료_미국심리'!$H1671)),'자료_미국심리'!$G1671,"")</f>
        <v/>
      </c>
    </row>
    <row r="1688">
      <c r="O1688">
        <f>IF(AND(ISNUMBER('자료_미국심리'!$A1672),ISNUMBER('자료_미국심리'!$B1672)),'자료_미국심리'!$A1672,"")</f>
        <v/>
      </c>
      <c r="P1688">
        <f>IF(AND(ISNUMBER('자료_미국심리'!$D1672),ISNUMBER('자료_미국심리'!$E1672)),'자료_미국심리'!$D1672,"")</f>
        <v/>
      </c>
      <c r="Q1688">
        <f>IF(AND(ISNUMBER('자료_미국심리'!$G1672),ISNUMBER('자료_미국심리'!$H1672)),'자료_미국심리'!$G1672,"")</f>
        <v/>
      </c>
    </row>
    <row r="1689">
      <c r="O1689">
        <f>IF(AND(ISNUMBER('자료_미국심리'!$A1673),ISNUMBER('자료_미국심리'!$B1673)),'자료_미국심리'!$A1673,"")</f>
        <v/>
      </c>
      <c r="P1689">
        <f>IF(AND(ISNUMBER('자료_미국심리'!$D1673),ISNUMBER('자료_미국심리'!$E1673)),'자료_미국심리'!$D1673,"")</f>
        <v/>
      </c>
      <c r="Q1689">
        <f>IF(AND(ISNUMBER('자료_미국심리'!$G1673),ISNUMBER('자료_미국심리'!$H1673)),'자료_미국심리'!$G1673,"")</f>
        <v/>
      </c>
    </row>
    <row r="1690">
      <c r="O1690">
        <f>IF(AND(ISNUMBER('자료_미국심리'!$A1674),ISNUMBER('자료_미국심리'!$B1674)),'자료_미국심리'!$A1674,"")</f>
        <v/>
      </c>
      <c r="P1690">
        <f>IF(AND(ISNUMBER('자료_미국심리'!$D1674),ISNUMBER('자료_미국심리'!$E1674)),'자료_미국심리'!$D1674,"")</f>
        <v/>
      </c>
      <c r="Q1690">
        <f>IF(AND(ISNUMBER('자료_미국심리'!$G1674),ISNUMBER('자료_미국심리'!$H1674)),'자료_미국심리'!$G1674,"")</f>
        <v/>
      </c>
    </row>
    <row r="1691">
      <c r="O1691">
        <f>IF(AND(ISNUMBER('자료_미국심리'!$A1675),ISNUMBER('자료_미국심리'!$B1675)),'자료_미국심리'!$A1675,"")</f>
        <v/>
      </c>
      <c r="P1691">
        <f>IF(AND(ISNUMBER('자료_미국심리'!$D1675),ISNUMBER('자료_미국심리'!$E1675)),'자료_미국심리'!$D1675,"")</f>
        <v/>
      </c>
      <c r="Q1691">
        <f>IF(AND(ISNUMBER('자료_미국심리'!$G1675),ISNUMBER('자료_미국심리'!$H1675)),'자료_미국심리'!$G1675,"")</f>
        <v/>
      </c>
    </row>
    <row r="1692">
      <c r="O1692">
        <f>IF(AND(ISNUMBER('자료_미국심리'!$A1676),ISNUMBER('자료_미국심리'!$B1676)),'자료_미국심리'!$A1676,"")</f>
        <v/>
      </c>
      <c r="P1692">
        <f>IF(AND(ISNUMBER('자료_미국심리'!$D1676),ISNUMBER('자료_미국심리'!$E1676)),'자료_미국심리'!$D1676,"")</f>
        <v/>
      </c>
      <c r="Q1692">
        <f>IF(AND(ISNUMBER('자료_미국심리'!$G1676),ISNUMBER('자료_미국심리'!$H1676)),'자료_미국심리'!$G1676,"")</f>
        <v/>
      </c>
    </row>
    <row r="1693">
      <c r="O1693">
        <f>IF(AND(ISNUMBER('자료_미국심리'!$A1677),ISNUMBER('자료_미국심리'!$B1677)),'자료_미국심리'!$A1677,"")</f>
        <v/>
      </c>
      <c r="P1693">
        <f>IF(AND(ISNUMBER('자료_미국심리'!$D1677),ISNUMBER('자료_미국심리'!$E1677)),'자료_미국심리'!$D1677,"")</f>
        <v/>
      </c>
      <c r="Q1693">
        <f>IF(AND(ISNUMBER('자료_미국심리'!$G1677),ISNUMBER('자료_미국심리'!$H1677)),'자료_미국심리'!$G1677,"")</f>
        <v/>
      </c>
    </row>
    <row r="1694">
      <c r="O1694">
        <f>IF(AND(ISNUMBER('자료_미국심리'!$A1678),ISNUMBER('자료_미국심리'!$B1678)),'자료_미국심리'!$A1678,"")</f>
        <v/>
      </c>
      <c r="P1694">
        <f>IF(AND(ISNUMBER('자료_미국심리'!$D1678),ISNUMBER('자료_미국심리'!$E1678)),'자료_미국심리'!$D1678,"")</f>
        <v/>
      </c>
      <c r="Q1694">
        <f>IF(AND(ISNUMBER('자료_미국심리'!$G1678),ISNUMBER('자료_미국심리'!$H1678)),'자료_미국심리'!$G1678,"")</f>
        <v/>
      </c>
    </row>
    <row r="1695">
      <c r="O1695">
        <f>IF(AND(ISNUMBER('자료_미국심리'!$A1679),ISNUMBER('자료_미국심리'!$B1679)),'자료_미국심리'!$A1679,"")</f>
        <v/>
      </c>
      <c r="P1695">
        <f>IF(AND(ISNUMBER('자료_미국심리'!$D1679),ISNUMBER('자료_미국심리'!$E1679)),'자료_미국심리'!$D1679,"")</f>
        <v/>
      </c>
      <c r="Q1695">
        <f>IF(AND(ISNUMBER('자료_미국심리'!$G1679),ISNUMBER('자료_미국심리'!$H1679)),'자료_미국심리'!$G1679,"")</f>
        <v/>
      </c>
    </row>
    <row r="1696">
      <c r="O1696">
        <f>IF(AND(ISNUMBER('자료_미국심리'!$A1680),ISNUMBER('자료_미국심리'!$B1680)),'자료_미국심리'!$A1680,"")</f>
        <v/>
      </c>
      <c r="P1696">
        <f>IF(AND(ISNUMBER('자료_미국심리'!$D1680),ISNUMBER('자료_미국심리'!$E1680)),'자료_미국심리'!$D1680,"")</f>
        <v/>
      </c>
      <c r="Q1696">
        <f>IF(AND(ISNUMBER('자료_미국심리'!$G1680),ISNUMBER('자료_미국심리'!$H1680)),'자료_미국심리'!$G1680,"")</f>
        <v/>
      </c>
    </row>
    <row r="1697">
      <c r="O1697">
        <f>IF(AND(ISNUMBER('자료_미국심리'!$A1681),ISNUMBER('자료_미국심리'!$B1681)),'자료_미국심리'!$A1681,"")</f>
        <v/>
      </c>
      <c r="P1697">
        <f>IF(AND(ISNUMBER('자료_미국심리'!$D1681),ISNUMBER('자료_미국심리'!$E1681)),'자료_미국심리'!$D1681,"")</f>
        <v/>
      </c>
      <c r="Q1697">
        <f>IF(AND(ISNUMBER('자료_미국심리'!$G1681),ISNUMBER('자료_미국심리'!$H1681)),'자료_미국심리'!$G1681,"")</f>
        <v/>
      </c>
    </row>
    <row r="1698">
      <c r="O1698">
        <f>IF(AND(ISNUMBER('자료_미국심리'!$A1682),ISNUMBER('자료_미국심리'!$B1682)),'자료_미국심리'!$A1682,"")</f>
        <v/>
      </c>
      <c r="P1698">
        <f>IF(AND(ISNUMBER('자료_미국심리'!$D1682),ISNUMBER('자료_미국심리'!$E1682)),'자료_미국심리'!$D1682,"")</f>
        <v/>
      </c>
      <c r="Q1698">
        <f>IF(AND(ISNUMBER('자료_미국심리'!$G1682),ISNUMBER('자료_미국심리'!$H1682)),'자료_미국심리'!$G1682,"")</f>
        <v/>
      </c>
    </row>
    <row r="1699">
      <c r="O1699">
        <f>IF(AND(ISNUMBER('자료_미국심리'!$A1683),ISNUMBER('자료_미국심리'!$B1683)),'자료_미국심리'!$A1683,"")</f>
        <v/>
      </c>
      <c r="P1699">
        <f>IF(AND(ISNUMBER('자료_미국심리'!$D1683),ISNUMBER('자료_미국심리'!$E1683)),'자료_미국심리'!$D1683,"")</f>
        <v/>
      </c>
      <c r="Q1699">
        <f>IF(AND(ISNUMBER('자료_미국심리'!$G1683),ISNUMBER('자료_미국심리'!$H1683)),'자료_미국심리'!$G1683,"")</f>
        <v/>
      </c>
    </row>
    <row r="1700">
      <c r="O1700">
        <f>IF(AND(ISNUMBER('자료_미국심리'!$A1684),ISNUMBER('자료_미국심리'!$B1684)),'자료_미국심리'!$A1684,"")</f>
        <v/>
      </c>
      <c r="P1700">
        <f>IF(AND(ISNUMBER('자료_미국심리'!$D1684),ISNUMBER('자료_미국심리'!$E1684)),'자료_미국심리'!$D1684,"")</f>
        <v/>
      </c>
      <c r="Q1700">
        <f>IF(AND(ISNUMBER('자료_미국심리'!$G1684),ISNUMBER('자료_미국심리'!$H1684)),'자료_미국심리'!$G1684,"")</f>
        <v/>
      </c>
    </row>
    <row r="1701">
      <c r="O1701">
        <f>IF(AND(ISNUMBER('자료_미국심리'!$A1685),ISNUMBER('자료_미국심리'!$B1685)),'자료_미국심리'!$A1685,"")</f>
        <v/>
      </c>
      <c r="P1701">
        <f>IF(AND(ISNUMBER('자료_미국심리'!$D1685),ISNUMBER('자료_미국심리'!$E1685)),'자료_미국심리'!$D1685,"")</f>
        <v/>
      </c>
      <c r="Q1701">
        <f>IF(AND(ISNUMBER('자료_미국심리'!$G1685),ISNUMBER('자료_미국심리'!$H1685)),'자료_미국심리'!$G1685,"")</f>
        <v/>
      </c>
    </row>
    <row r="1702">
      <c r="O1702">
        <f>IF(AND(ISNUMBER('자료_미국심리'!$A1686),ISNUMBER('자료_미국심리'!$B1686)),'자료_미국심리'!$A1686,"")</f>
        <v/>
      </c>
      <c r="P1702">
        <f>IF(AND(ISNUMBER('자료_미국심리'!$D1686),ISNUMBER('자료_미국심리'!$E1686)),'자료_미국심리'!$D1686,"")</f>
        <v/>
      </c>
      <c r="Q1702">
        <f>IF(AND(ISNUMBER('자료_미국심리'!$G1686),ISNUMBER('자료_미국심리'!$H1686)),'자료_미국심리'!$G1686,"")</f>
        <v/>
      </c>
    </row>
    <row r="1703">
      <c r="O1703">
        <f>IF(AND(ISNUMBER('자료_미국심리'!$A1687),ISNUMBER('자료_미국심리'!$B1687)),'자료_미국심리'!$A1687,"")</f>
        <v/>
      </c>
      <c r="P1703">
        <f>IF(AND(ISNUMBER('자료_미국심리'!$D1687),ISNUMBER('자료_미국심리'!$E1687)),'자료_미국심리'!$D1687,"")</f>
        <v/>
      </c>
      <c r="Q1703">
        <f>IF(AND(ISNUMBER('자료_미국심리'!$G1687),ISNUMBER('자료_미국심리'!$H1687)),'자료_미국심리'!$G1687,"")</f>
        <v/>
      </c>
    </row>
    <row r="1704">
      <c r="O1704">
        <f>IF(AND(ISNUMBER('자료_미국심리'!$A1688),ISNUMBER('자료_미국심리'!$B1688)),'자료_미국심리'!$A1688,"")</f>
        <v/>
      </c>
      <c r="P1704">
        <f>IF(AND(ISNUMBER('자료_미국심리'!$D1688),ISNUMBER('자료_미국심리'!$E1688)),'자료_미국심리'!$D1688,"")</f>
        <v/>
      </c>
      <c r="Q1704">
        <f>IF(AND(ISNUMBER('자료_미국심리'!$G1688),ISNUMBER('자료_미국심리'!$H1688)),'자료_미국심리'!$G1688,"")</f>
        <v/>
      </c>
    </row>
    <row r="1705">
      <c r="O1705">
        <f>IF(AND(ISNUMBER('자료_미국심리'!$A1689),ISNUMBER('자료_미국심리'!$B1689)),'자료_미국심리'!$A1689,"")</f>
        <v/>
      </c>
      <c r="P1705">
        <f>IF(AND(ISNUMBER('자료_미국심리'!$D1689),ISNUMBER('자료_미국심리'!$E1689)),'자료_미국심리'!$D1689,"")</f>
        <v/>
      </c>
      <c r="Q1705">
        <f>IF(AND(ISNUMBER('자료_미국심리'!$G1689),ISNUMBER('자료_미국심리'!$H1689)),'자료_미국심리'!$G1689,"")</f>
        <v/>
      </c>
    </row>
    <row r="1706">
      <c r="O1706">
        <f>IF(AND(ISNUMBER('자료_미국심리'!$A1690),ISNUMBER('자료_미국심리'!$B1690)),'자료_미국심리'!$A1690,"")</f>
        <v/>
      </c>
      <c r="P1706">
        <f>IF(AND(ISNUMBER('자료_미국심리'!$D1690),ISNUMBER('자료_미국심리'!$E1690)),'자료_미국심리'!$D1690,"")</f>
        <v/>
      </c>
      <c r="Q1706">
        <f>IF(AND(ISNUMBER('자료_미국심리'!$G1690),ISNUMBER('자료_미국심리'!$H1690)),'자료_미국심리'!$G1690,"")</f>
        <v/>
      </c>
    </row>
    <row r="1707">
      <c r="O1707">
        <f>IF(AND(ISNUMBER('자료_미국심리'!$A1691),ISNUMBER('자료_미국심리'!$B1691)),'자료_미국심리'!$A1691,"")</f>
        <v/>
      </c>
      <c r="P1707">
        <f>IF(AND(ISNUMBER('자료_미국심리'!$D1691),ISNUMBER('자료_미국심리'!$E1691)),'자료_미국심리'!$D1691,"")</f>
        <v/>
      </c>
      <c r="Q1707">
        <f>IF(AND(ISNUMBER('자료_미국심리'!$G1691),ISNUMBER('자료_미국심리'!$H1691)),'자료_미국심리'!$G1691,"")</f>
        <v/>
      </c>
    </row>
    <row r="1708">
      <c r="O1708">
        <f>IF(AND(ISNUMBER('자료_미국심리'!$A1692),ISNUMBER('자료_미국심리'!$B1692)),'자료_미국심리'!$A1692,"")</f>
        <v/>
      </c>
      <c r="P1708">
        <f>IF(AND(ISNUMBER('자료_미국심리'!$D1692),ISNUMBER('자료_미국심리'!$E1692)),'자료_미국심리'!$D1692,"")</f>
        <v/>
      </c>
      <c r="Q1708">
        <f>IF(AND(ISNUMBER('자료_미국심리'!$G1692),ISNUMBER('자료_미국심리'!$H1692)),'자료_미국심리'!$G1692,"")</f>
        <v/>
      </c>
    </row>
    <row r="1709">
      <c r="O1709">
        <f>IF(AND(ISNUMBER('자료_미국심리'!$A1693),ISNUMBER('자료_미국심리'!$B1693)),'자료_미국심리'!$A1693,"")</f>
        <v/>
      </c>
      <c r="P1709">
        <f>IF(AND(ISNUMBER('자료_미국심리'!$D1693),ISNUMBER('자료_미국심리'!$E1693)),'자료_미국심리'!$D1693,"")</f>
        <v/>
      </c>
      <c r="Q1709">
        <f>IF(AND(ISNUMBER('자료_미국심리'!$G1693),ISNUMBER('자료_미국심리'!$H1693)),'자료_미국심리'!$G1693,"")</f>
        <v/>
      </c>
    </row>
    <row r="1710">
      <c r="O1710">
        <f>IF(AND(ISNUMBER('자료_미국심리'!$A1694),ISNUMBER('자료_미국심리'!$B1694)),'자료_미국심리'!$A1694,"")</f>
        <v/>
      </c>
      <c r="P1710">
        <f>IF(AND(ISNUMBER('자료_미국심리'!$D1694),ISNUMBER('자료_미국심리'!$E1694)),'자료_미국심리'!$D1694,"")</f>
        <v/>
      </c>
      <c r="Q1710">
        <f>IF(AND(ISNUMBER('자료_미국심리'!$G1694),ISNUMBER('자료_미국심리'!$H1694)),'자료_미국심리'!$G1694,"")</f>
        <v/>
      </c>
    </row>
    <row r="1711">
      <c r="O1711">
        <f>IF(AND(ISNUMBER('자료_미국심리'!$A1695),ISNUMBER('자료_미국심리'!$B1695)),'자료_미국심리'!$A1695,"")</f>
        <v/>
      </c>
      <c r="P1711">
        <f>IF(AND(ISNUMBER('자료_미국심리'!$D1695),ISNUMBER('자료_미국심리'!$E1695)),'자료_미국심리'!$D1695,"")</f>
        <v/>
      </c>
      <c r="Q1711">
        <f>IF(AND(ISNUMBER('자료_미국심리'!$G1695),ISNUMBER('자료_미국심리'!$H1695)),'자료_미국심리'!$G1695,"")</f>
        <v/>
      </c>
    </row>
    <row r="1712">
      <c r="O1712">
        <f>IF(AND(ISNUMBER('자료_미국심리'!$A1696),ISNUMBER('자료_미국심리'!$B1696)),'자료_미국심리'!$A1696,"")</f>
        <v/>
      </c>
      <c r="P1712">
        <f>IF(AND(ISNUMBER('자료_미국심리'!$D1696),ISNUMBER('자료_미국심리'!$E1696)),'자료_미국심리'!$D1696,"")</f>
        <v/>
      </c>
      <c r="Q1712">
        <f>IF(AND(ISNUMBER('자료_미국심리'!$G1696),ISNUMBER('자료_미국심리'!$H1696)),'자료_미국심리'!$G1696,"")</f>
        <v/>
      </c>
    </row>
    <row r="1713">
      <c r="O1713">
        <f>IF(AND(ISNUMBER('자료_미국심리'!$A1697),ISNUMBER('자료_미국심리'!$B1697)),'자료_미국심리'!$A1697,"")</f>
        <v/>
      </c>
      <c r="P1713">
        <f>IF(AND(ISNUMBER('자료_미국심리'!$D1697),ISNUMBER('자료_미국심리'!$E1697)),'자료_미국심리'!$D1697,"")</f>
        <v/>
      </c>
      <c r="Q1713">
        <f>IF(AND(ISNUMBER('자료_미국심리'!$G1697),ISNUMBER('자료_미국심리'!$H1697)),'자료_미국심리'!$G1697,"")</f>
        <v/>
      </c>
    </row>
    <row r="1714">
      <c r="O1714">
        <f>IF(AND(ISNUMBER('자료_미국심리'!$A1698),ISNUMBER('자료_미국심리'!$B1698)),'자료_미국심리'!$A1698,"")</f>
        <v/>
      </c>
      <c r="P1714">
        <f>IF(AND(ISNUMBER('자료_미국심리'!$D1698),ISNUMBER('자료_미국심리'!$E1698)),'자료_미국심리'!$D1698,"")</f>
        <v/>
      </c>
      <c r="Q1714">
        <f>IF(AND(ISNUMBER('자료_미국심리'!$G1698),ISNUMBER('자료_미국심리'!$H1698)),'자료_미국심리'!$G1698,"")</f>
        <v/>
      </c>
    </row>
    <row r="1715">
      <c r="O1715">
        <f>IF(AND(ISNUMBER('자료_미국심리'!$A1699),ISNUMBER('자료_미국심리'!$B1699)),'자료_미국심리'!$A1699,"")</f>
        <v/>
      </c>
      <c r="P1715">
        <f>IF(AND(ISNUMBER('자료_미국심리'!$D1699),ISNUMBER('자료_미국심리'!$E1699)),'자료_미국심리'!$D1699,"")</f>
        <v/>
      </c>
      <c r="Q1715">
        <f>IF(AND(ISNUMBER('자료_미국심리'!$G1699),ISNUMBER('자료_미국심리'!$H1699)),'자료_미국심리'!$G1699,"")</f>
        <v/>
      </c>
    </row>
    <row r="1716">
      <c r="O1716">
        <f>IF(AND(ISNUMBER('자료_미국심리'!$A1700),ISNUMBER('자료_미국심리'!$B1700)),'자료_미국심리'!$A1700,"")</f>
        <v/>
      </c>
      <c r="P1716">
        <f>IF(AND(ISNUMBER('자료_미국심리'!$D1700),ISNUMBER('자료_미국심리'!$E1700)),'자료_미국심리'!$D1700,"")</f>
        <v/>
      </c>
      <c r="Q1716">
        <f>IF(AND(ISNUMBER('자료_미국심리'!$G1700),ISNUMBER('자료_미국심리'!$H1700)),'자료_미국심리'!$G1700,"")</f>
        <v/>
      </c>
    </row>
    <row r="1717">
      <c r="O1717">
        <f>IF(AND(ISNUMBER('자료_미국심리'!$A1701),ISNUMBER('자료_미국심리'!$B1701)),'자료_미국심리'!$A1701,"")</f>
        <v/>
      </c>
      <c r="P1717">
        <f>IF(AND(ISNUMBER('자료_미국심리'!$D1701),ISNUMBER('자료_미국심리'!$E1701)),'자료_미국심리'!$D1701,"")</f>
        <v/>
      </c>
      <c r="Q1717">
        <f>IF(AND(ISNUMBER('자료_미국심리'!$G1701),ISNUMBER('자료_미국심리'!$H1701)),'자료_미국심리'!$G1701,"")</f>
        <v/>
      </c>
    </row>
    <row r="1718">
      <c r="O1718">
        <f>IF(AND(ISNUMBER('자료_미국심리'!$A1702),ISNUMBER('자료_미국심리'!$B1702)),'자료_미국심리'!$A1702,"")</f>
        <v/>
      </c>
      <c r="P1718">
        <f>IF(AND(ISNUMBER('자료_미국심리'!$D1702),ISNUMBER('자료_미국심리'!$E1702)),'자료_미국심리'!$D1702,"")</f>
        <v/>
      </c>
      <c r="Q1718">
        <f>IF(AND(ISNUMBER('자료_미국심리'!$G1702),ISNUMBER('자료_미국심리'!$H1702)),'자료_미국심리'!$G1702,"")</f>
        <v/>
      </c>
    </row>
    <row r="1719">
      <c r="O1719">
        <f>IF(AND(ISNUMBER('자료_미국심리'!$A1703),ISNUMBER('자료_미국심리'!$B1703)),'자료_미국심리'!$A1703,"")</f>
        <v/>
      </c>
      <c r="P1719">
        <f>IF(AND(ISNUMBER('자료_미국심리'!$D1703),ISNUMBER('자료_미국심리'!$E1703)),'자료_미국심리'!$D1703,"")</f>
        <v/>
      </c>
      <c r="Q1719">
        <f>IF(AND(ISNUMBER('자료_미국심리'!$G1703),ISNUMBER('자료_미국심리'!$H1703)),'자료_미국심리'!$G1703,"")</f>
        <v/>
      </c>
    </row>
    <row r="1720">
      <c r="O1720">
        <f>IF(AND(ISNUMBER('자료_미국심리'!$A1704),ISNUMBER('자료_미국심리'!$B1704)),'자료_미국심리'!$A1704,"")</f>
        <v/>
      </c>
      <c r="P1720">
        <f>IF(AND(ISNUMBER('자료_미국심리'!$D1704),ISNUMBER('자료_미국심리'!$E1704)),'자료_미국심리'!$D1704,"")</f>
        <v/>
      </c>
      <c r="Q1720">
        <f>IF(AND(ISNUMBER('자료_미국심리'!$G1704),ISNUMBER('자료_미국심리'!$H1704)),'자료_미국심리'!$G1704,"")</f>
        <v/>
      </c>
    </row>
    <row r="1721">
      <c r="O1721">
        <f>IF(AND(ISNUMBER('자료_미국심리'!$A1705),ISNUMBER('자료_미국심리'!$B1705)),'자료_미국심리'!$A1705,"")</f>
        <v/>
      </c>
      <c r="P1721">
        <f>IF(AND(ISNUMBER('자료_미국심리'!$D1705),ISNUMBER('자료_미국심리'!$E1705)),'자료_미국심리'!$D1705,"")</f>
        <v/>
      </c>
      <c r="Q1721">
        <f>IF(AND(ISNUMBER('자료_미국심리'!$G1705),ISNUMBER('자료_미국심리'!$H1705)),'자료_미국심리'!$G1705,"")</f>
        <v/>
      </c>
    </row>
    <row r="1722">
      <c r="O1722">
        <f>IF(AND(ISNUMBER('자료_미국심리'!$A1706),ISNUMBER('자료_미국심리'!$B1706)),'자료_미국심리'!$A1706,"")</f>
        <v/>
      </c>
      <c r="P1722">
        <f>IF(AND(ISNUMBER('자료_미국심리'!$D1706),ISNUMBER('자료_미국심리'!$E1706)),'자료_미국심리'!$D1706,"")</f>
        <v/>
      </c>
      <c r="Q1722">
        <f>IF(AND(ISNUMBER('자료_미국심리'!$G1706),ISNUMBER('자료_미국심리'!$H1706)),'자료_미국심리'!$G1706,"")</f>
        <v/>
      </c>
    </row>
    <row r="1723">
      <c r="O1723">
        <f>IF(AND(ISNUMBER('자료_미국심리'!$A1707),ISNUMBER('자료_미국심리'!$B1707)),'자료_미국심리'!$A1707,"")</f>
        <v/>
      </c>
      <c r="P1723">
        <f>IF(AND(ISNUMBER('자료_미국심리'!$D1707),ISNUMBER('자료_미국심리'!$E1707)),'자료_미국심리'!$D1707,"")</f>
        <v/>
      </c>
      <c r="Q1723">
        <f>IF(AND(ISNUMBER('자료_미국심리'!$G1707),ISNUMBER('자료_미국심리'!$H1707)),'자료_미국심리'!$G1707,"")</f>
        <v/>
      </c>
    </row>
    <row r="1724">
      <c r="O1724">
        <f>IF(AND(ISNUMBER('자료_미국심리'!$A1708),ISNUMBER('자료_미국심리'!$B1708)),'자료_미국심리'!$A1708,"")</f>
        <v/>
      </c>
      <c r="P1724">
        <f>IF(AND(ISNUMBER('자료_미국심리'!$D1708),ISNUMBER('자료_미국심리'!$E1708)),'자료_미국심리'!$D1708,"")</f>
        <v/>
      </c>
      <c r="Q1724">
        <f>IF(AND(ISNUMBER('자료_미국심리'!$G1708),ISNUMBER('자료_미국심리'!$H1708)),'자료_미국심리'!$G1708,"")</f>
        <v/>
      </c>
    </row>
    <row r="1725">
      <c r="O1725">
        <f>IF(AND(ISNUMBER('자료_미국심리'!$A1709),ISNUMBER('자료_미국심리'!$B1709)),'자료_미국심리'!$A1709,"")</f>
        <v/>
      </c>
      <c r="P1725">
        <f>IF(AND(ISNUMBER('자료_미국심리'!$D1709),ISNUMBER('자료_미국심리'!$E1709)),'자료_미국심리'!$D1709,"")</f>
        <v/>
      </c>
      <c r="Q1725">
        <f>IF(AND(ISNUMBER('자료_미국심리'!$G1709),ISNUMBER('자료_미국심리'!$H1709)),'자료_미국심리'!$G1709,"")</f>
        <v/>
      </c>
    </row>
    <row r="1726">
      <c r="O1726">
        <f>IF(AND(ISNUMBER('자료_미국심리'!$A1710),ISNUMBER('자료_미국심리'!$B1710)),'자료_미국심리'!$A1710,"")</f>
        <v/>
      </c>
      <c r="P1726">
        <f>IF(AND(ISNUMBER('자료_미국심리'!$D1710),ISNUMBER('자료_미국심리'!$E1710)),'자료_미국심리'!$D1710,"")</f>
        <v/>
      </c>
      <c r="Q1726">
        <f>IF(AND(ISNUMBER('자료_미국심리'!$G1710),ISNUMBER('자료_미국심리'!$H1710)),'자료_미국심리'!$G1710,"")</f>
        <v/>
      </c>
    </row>
    <row r="1727">
      <c r="O1727">
        <f>IF(AND(ISNUMBER('자료_미국심리'!$A1711),ISNUMBER('자료_미국심리'!$B1711)),'자료_미국심리'!$A1711,"")</f>
        <v/>
      </c>
      <c r="P1727">
        <f>IF(AND(ISNUMBER('자료_미국심리'!$D1711),ISNUMBER('자료_미국심리'!$E1711)),'자료_미국심리'!$D1711,"")</f>
        <v/>
      </c>
      <c r="Q1727">
        <f>IF(AND(ISNUMBER('자료_미국심리'!$G1711),ISNUMBER('자료_미국심리'!$H1711)),'자료_미국심리'!$G1711,"")</f>
        <v/>
      </c>
    </row>
    <row r="1728">
      <c r="O1728">
        <f>IF(AND(ISNUMBER('자료_미국심리'!$A1712),ISNUMBER('자료_미국심리'!$B1712)),'자료_미국심리'!$A1712,"")</f>
        <v/>
      </c>
      <c r="P1728">
        <f>IF(AND(ISNUMBER('자료_미국심리'!$D1712),ISNUMBER('자료_미국심리'!$E1712)),'자료_미국심리'!$D1712,"")</f>
        <v/>
      </c>
      <c r="Q1728">
        <f>IF(AND(ISNUMBER('자료_미국심리'!$G1712),ISNUMBER('자료_미국심리'!$H1712)),'자료_미국심리'!$G1712,"")</f>
        <v/>
      </c>
    </row>
    <row r="1729">
      <c r="O1729">
        <f>IF(AND(ISNUMBER('자료_미국심리'!$A1713),ISNUMBER('자료_미국심리'!$B1713)),'자료_미국심리'!$A1713,"")</f>
        <v/>
      </c>
      <c r="P1729">
        <f>IF(AND(ISNUMBER('자료_미국심리'!$D1713),ISNUMBER('자료_미국심리'!$E1713)),'자료_미국심리'!$D1713,"")</f>
        <v/>
      </c>
      <c r="Q1729">
        <f>IF(AND(ISNUMBER('자료_미국심리'!$G1713),ISNUMBER('자료_미국심리'!$H1713)),'자료_미국심리'!$G1713,"")</f>
        <v/>
      </c>
    </row>
    <row r="1730">
      <c r="O1730">
        <f>IF(AND(ISNUMBER('자료_미국심리'!$A1714),ISNUMBER('자료_미국심리'!$B1714)),'자료_미국심리'!$A1714,"")</f>
        <v/>
      </c>
      <c r="P1730">
        <f>IF(AND(ISNUMBER('자료_미국심리'!$D1714),ISNUMBER('자료_미국심리'!$E1714)),'자료_미국심리'!$D1714,"")</f>
        <v/>
      </c>
      <c r="Q1730">
        <f>IF(AND(ISNUMBER('자료_미국심리'!$G1714),ISNUMBER('자료_미국심리'!$H1714)),'자료_미국심리'!$G1714,"")</f>
        <v/>
      </c>
    </row>
    <row r="1731">
      <c r="O1731">
        <f>IF(AND(ISNUMBER('자료_미국심리'!$A1715),ISNUMBER('자료_미국심리'!$B1715)),'자료_미국심리'!$A1715,"")</f>
        <v/>
      </c>
      <c r="P1731">
        <f>IF(AND(ISNUMBER('자료_미국심리'!$D1715),ISNUMBER('자료_미국심리'!$E1715)),'자료_미국심리'!$D1715,"")</f>
        <v/>
      </c>
      <c r="Q1731">
        <f>IF(AND(ISNUMBER('자료_미국심리'!$G1715),ISNUMBER('자료_미국심리'!$H1715)),'자료_미국심리'!$G1715,"")</f>
        <v/>
      </c>
    </row>
    <row r="1732">
      <c r="O1732">
        <f>IF(AND(ISNUMBER('자료_미국심리'!$A1716),ISNUMBER('자료_미국심리'!$B1716)),'자료_미국심리'!$A1716,"")</f>
        <v/>
      </c>
      <c r="P1732">
        <f>IF(AND(ISNUMBER('자료_미국심리'!$D1716),ISNUMBER('자료_미국심리'!$E1716)),'자료_미국심리'!$D1716,"")</f>
        <v/>
      </c>
      <c r="Q1732">
        <f>IF(AND(ISNUMBER('자료_미국심리'!$G1716),ISNUMBER('자료_미국심리'!$H1716)),'자료_미국심리'!$G1716,"")</f>
        <v/>
      </c>
    </row>
    <row r="1733">
      <c r="O1733">
        <f>IF(AND(ISNUMBER('자료_미국심리'!$A1717),ISNUMBER('자료_미국심리'!$B1717)),'자료_미국심리'!$A1717,"")</f>
        <v/>
      </c>
      <c r="P1733">
        <f>IF(AND(ISNUMBER('자료_미국심리'!$D1717),ISNUMBER('자료_미국심리'!$E1717)),'자료_미국심리'!$D1717,"")</f>
        <v/>
      </c>
      <c r="Q1733">
        <f>IF(AND(ISNUMBER('자료_미국심리'!$G1717),ISNUMBER('자료_미국심리'!$H1717)),'자료_미국심리'!$G1717,"")</f>
        <v/>
      </c>
    </row>
    <row r="1734">
      <c r="O1734">
        <f>IF(AND(ISNUMBER('자료_미국심리'!$A1718),ISNUMBER('자료_미국심리'!$B1718)),'자료_미국심리'!$A1718,"")</f>
        <v/>
      </c>
      <c r="P1734">
        <f>IF(AND(ISNUMBER('자료_미국심리'!$D1718),ISNUMBER('자료_미국심리'!$E1718)),'자료_미국심리'!$D1718,"")</f>
        <v/>
      </c>
      <c r="Q1734">
        <f>IF(AND(ISNUMBER('자료_미국심리'!$G1718),ISNUMBER('자료_미국심리'!$H1718)),'자료_미국심리'!$G1718,"")</f>
        <v/>
      </c>
    </row>
    <row r="1735">
      <c r="O1735">
        <f>IF(AND(ISNUMBER('자료_미국심리'!$A1719),ISNUMBER('자료_미국심리'!$B1719)),'자료_미국심리'!$A1719,"")</f>
        <v/>
      </c>
      <c r="P1735">
        <f>IF(AND(ISNUMBER('자료_미국심리'!$D1719),ISNUMBER('자료_미국심리'!$E1719)),'자료_미국심리'!$D1719,"")</f>
        <v/>
      </c>
      <c r="Q1735">
        <f>IF(AND(ISNUMBER('자료_미국심리'!$G1719),ISNUMBER('자료_미국심리'!$H1719)),'자료_미국심리'!$G1719,"")</f>
        <v/>
      </c>
    </row>
    <row r="1736">
      <c r="O1736">
        <f>IF(AND(ISNUMBER('자료_미국심리'!$A1720),ISNUMBER('자료_미국심리'!$B1720)),'자료_미국심리'!$A1720,"")</f>
        <v/>
      </c>
      <c r="P1736">
        <f>IF(AND(ISNUMBER('자료_미국심리'!$D1720),ISNUMBER('자료_미국심리'!$E1720)),'자료_미국심리'!$D1720,"")</f>
        <v/>
      </c>
      <c r="Q1736">
        <f>IF(AND(ISNUMBER('자료_미국심리'!$G1720),ISNUMBER('자료_미국심리'!$H1720)),'자료_미국심리'!$G1720,"")</f>
        <v/>
      </c>
    </row>
    <row r="1737">
      <c r="O1737">
        <f>IF(AND(ISNUMBER('자료_미국심리'!$A1721),ISNUMBER('자료_미국심리'!$B1721)),'자료_미국심리'!$A1721,"")</f>
        <v/>
      </c>
      <c r="P1737">
        <f>IF(AND(ISNUMBER('자료_미국심리'!$D1721),ISNUMBER('자료_미국심리'!$E1721)),'자료_미국심리'!$D1721,"")</f>
        <v/>
      </c>
      <c r="Q1737">
        <f>IF(AND(ISNUMBER('자료_미국심리'!$G1721),ISNUMBER('자료_미국심리'!$H1721)),'자료_미국심리'!$G1721,"")</f>
        <v/>
      </c>
    </row>
    <row r="1738">
      <c r="O1738">
        <f>IF(AND(ISNUMBER('자료_미국심리'!$A1722),ISNUMBER('자료_미국심리'!$B1722)),'자료_미국심리'!$A1722,"")</f>
        <v/>
      </c>
      <c r="P1738">
        <f>IF(AND(ISNUMBER('자료_미국심리'!$D1722),ISNUMBER('자료_미국심리'!$E1722)),'자료_미국심리'!$D1722,"")</f>
        <v/>
      </c>
      <c r="Q1738">
        <f>IF(AND(ISNUMBER('자료_미국심리'!$G1722),ISNUMBER('자료_미국심리'!$H1722)),'자료_미국심리'!$G1722,"")</f>
        <v/>
      </c>
    </row>
    <row r="1739">
      <c r="O1739">
        <f>IF(AND(ISNUMBER('자료_미국심리'!$A1723),ISNUMBER('자료_미국심리'!$B1723)),'자료_미국심리'!$A1723,"")</f>
        <v/>
      </c>
      <c r="P1739">
        <f>IF(AND(ISNUMBER('자료_미국심리'!$D1723),ISNUMBER('자료_미국심리'!$E1723)),'자료_미국심리'!$D1723,"")</f>
        <v/>
      </c>
      <c r="Q1739">
        <f>IF(AND(ISNUMBER('자료_미국심리'!$G1723),ISNUMBER('자료_미국심리'!$H1723)),'자료_미국심리'!$G1723,"")</f>
        <v/>
      </c>
    </row>
    <row r="1740">
      <c r="O1740">
        <f>IF(AND(ISNUMBER('자료_미국심리'!$A1724),ISNUMBER('자료_미국심리'!$B1724)),'자료_미국심리'!$A1724,"")</f>
        <v/>
      </c>
      <c r="P1740">
        <f>IF(AND(ISNUMBER('자료_미국심리'!$D1724),ISNUMBER('자료_미국심리'!$E1724)),'자료_미국심리'!$D1724,"")</f>
        <v/>
      </c>
      <c r="Q1740">
        <f>IF(AND(ISNUMBER('자료_미국심리'!$G1724),ISNUMBER('자료_미국심리'!$H1724)),'자료_미국심리'!$G1724,"")</f>
        <v/>
      </c>
    </row>
    <row r="1741">
      <c r="O1741">
        <f>IF(AND(ISNUMBER('자료_미국심리'!$A1725),ISNUMBER('자료_미국심리'!$B1725)),'자료_미국심리'!$A1725,"")</f>
        <v/>
      </c>
      <c r="P1741">
        <f>IF(AND(ISNUMBER('자료_미국심리'!$D1725),ISNUMBER('자료_미국심리'!$E1725)),'자료_미국심리'!$D1725,"")</f>
        <v/>
      </c>
      <c r="Q1741">
        <f>IF(AND(ISNUMBER('자료_미국심리'!$G1725),ISNUMBER('자료_미국심리'!$H1725)),'자료_미국심리'!$G1725,"")</f>
        <v/>
      </c>
    </row>
    <row r="1742">
      <c r="O1742">
        <f>IF(AND(ISNUMBER('자료_미국심리'!$A1726),ISNUMBER('자료_미국심리'!$B1726)),'자료_미국심리'!$A1726,"")</f>
        <v/>
      </c>
      <c r="P1742">
        <f>IF(AND(ISNUMBER('자료_미국심리'!$D1726),ISNUMBER('자료_미국심리'!$E1726)),'자료_미국심리'!$D1726,"")</f>
        <v/>
      </c>
      <c r="Q1742">
        <f>IF(AND(ISNUMBER('자료_미국심리'!$G1726),ISNUMBER('자료_미국심리'!$H1726)),'자료_미국심리'!$G1726,"")</f>
        <v/>
      </c>
    </row>
    <row r="1743">
      <c r="O1743">
        <f>IF(AND(ISNUMBER('자료_미국심리'!$A1727),ISNUMBER('자료_미국심리'!$B1727)),'자료_미국심리'!$A1727,"")</f>
        <v/>
      </c>
      <c r="P1743">
        <f>IF(AND(ISNUMBER('자료_미국심리'!$D1727),ISNUMBER('자료_미국심리'!$E1727)),'자료_미국심리'!$D1727,"")</f>
        <v/>
      </c>
      <c r="Q1743">
        <f>IF(AND(ISNUMBER('자료_미국심리'!$G1727),ISNUMBER('자료_미국심리'!$H1727)),'자료_미국심리'!$G1727,"")</f>
        <v/>
      </c>
    </row>
    <row r="1744">
      <c r="O1744">
        <f>IF(AND(ISNUMBER('자료_미국심리'!$A1728),ISNUMBER('자료_미국심리'!$B1728)),'자료_미국심리'!$A1728,"")</f>
        <v/>
      </c>
      <c r="P1744">
        <f>IF(AND(ISNUMBER('자료_미국심리'!$D1728),ISNUMBER('자료_미국심리'!$E1728)),'자료_미국심리'!$D1728,"")</f>
        <v/>
      </c>
      <c r="Q1744">
        <f>IF(AND(ISNUMBER('자료_미국심리'!$G1728),ISNUMBER('자료_미국심리'!$H1728)),'자료_미국심리'!$G1728,"")</f>
        <v/>
      </c>
    </row>
    <row r="1745">
      <c r="O1745">
        <f>IF(AND(ISNUMBER('자료_미국심리'!$A1729),ISNUMBER('자료_미국심리'!$B1729)),'자료_미국심리'!$A1729,"")</f>
        <v/>
      </c>
      <c r="P1745">
        <f>IF(AND(ISNUMBER('자료_미국심리'!$D1729),ISNUMBER('자료_미국심리'!$E1729)),'자료_미국심리'!$D1729,"")</f>
        <v/>
      </c>
      <c r="Q1745">
        <f>IF(AND(ISNUMBER('자료_미국심리'!$G1729),ISNUMBER('자료_미국심리'!$H1729)),'자료_미국심리'!$G1729,"")</f>
        <v/>
      </c>
    </row>
    <row r="1746">
      <c r="O1746">
        <f>IF(AND(ISNUMBER('자료_미국심리'!$A1730),ISNUMBER('자료_미국심리'!$B1730)),'자료_미국심리'!$A1730,"")</f>
        <v/>
      </c>
      <c r="P1746">
        <f>IF(AND(ISNUMBER('자료_미국심리'!$D1730),ISNUMBER('자료_미국심리'!$E1730)),'자료_미국심리'!$D1730,"")</f>
        <v/>
      </c>
      <c r="Q1746">
        <f>IF(AND(ISNUMBER('자료_미국심리'!$G1730),ISNUMBER('자료_미국심리'!$H1730)),'자료_미국심리'!$G1730,"")</f>
        <v/>
      </c>
    </row>
    <row r="1747">
      <c r="O1747">
        <f>IF(AND(ISNUMBER('자료_미국심리'!$A1731),ISNUMBER('자료_미국심리'!$B1731)),'자료_미국심리'!$A1731,"")</f>
        <v/>
      </c>
      <c r="P1747">
        <f>IF(AND(ISNUMBER('자료_미국심리'!$D1731),ISNUMBER('자료_미국심리'!$E1731)),'자료_미국심리'!$D1731,"")</f>
        <v/>
      </c>
      <c r="Q1747">
        <f>IF(AND(ISNUMBER('자료_미국심리'!$G1731),ISNUMBER('자료_미국심리'!$H1731)),'자료_미국심리'!$G1731,"")</f>
        <v/>
      </c>
    </row>
    <row r="1748">
      <c r="O1748">
        <f>IF(AND(ISNUMBER('자료_미국심리'!$A1732),ISNUMBER('자료_미국심리'!$B1732)),'자료_미국심리'!$A1732,"")</f>
        <v/>
      </c>
      <c r="P1748">
        <f>IF(AND(ISNUMBER('자료_미국심리'!$D1732),ISNUMBER('자료_미국심리'!$E1732)),'자료_미국심리'!$D1732,"")</f>
        <v/>
      </c>
      <c r="Q1748">
        <f>IF(AND(ISNUMBER('자료_미국심리'!$G1732),ISNUMBER('자료_미국심리'!$H1732)),'자료_미국심리'!$G1732,"")</f>
        <v/>
      </c>
    </row>
    <row r="1749">
      <c r="O1749">
        <f>IF(AND(ISNUMBER('자료_미국심리'!$A1733),ISNUMBER('자료_미국심리'!$B1733)),'자료_미국심리'!$A1733,"")</f>
        <v/>
      </c>
      <c r="P1749">
        <f>IF(AND(ISNUMBER('자료_미국심리'!$D1733),ISNUMBER('자료_미국심리'!$E1733)),'자료_미국심리'!$D1733,"")</f>
        <v/>
      </c>
      <c r="Q1749">
        <f>IF(AND(ISNUMBER('자료_미국심리'!$G1733),ISNUMBER('자료_미국심리'!$H1733)),'자료_미국심리'!$G1733,"")</f>
        <v/>
      </c>
    </row>
    <row r="1750">
      <c r="O1750">
        <f>IF(AND(ISNUMBER('자료_미국심리'!$A1734),ISNUMBER('자료_미국심리'!$B1734)),'자료_미국심리'!$A1734,"")</f>
        <v/>
      </c>
      <c r="P1750">
        <f>IF(AND(ISNUMBER('자료_미국심리'!$D1734),ISNUMBER('자료_미국심리'!$E1734)),'자료_미국심리'!$D1734,"")</f>
        <v/>
      </c>
      <c r="Q1750">
        <f>IF(AND(ISNUMBER('자료_미국심리'!$G1734),ISNUMBER('자료_미국심리'!$H1734)),'자료_미국심리'!$G1734,"")</f>
        <v/>
      </c>
    </row>
    <row r="1751">
      <c r="O1751">
        <f>IF(AND(ISNUMBER('자료_미국심리'!$A1735),ISNUMBER('자료_미국심리'!$B1735)),'자료_미국심리'!$A1735,"")</f>
        <v/>
      </c>
      <c r="P1751">
        <f>IF(AND(ISNUMBER('자료_미국심리'!$D1735),ISNUMBER('자료_미국심리'!$E1735)),'자료_미국심리'!$D1735,"")</f>
        <v/>
      </c>
      <c r="Q1751">
        <f>IF(AND(ISNUMBER('자료_미국심리'!$G1735),ISNUMBER('자료_미국심리'!$H1735)),'자료_미국심리'!$G1735,"")</f>
        <v/>
      </c>
    </row>
    <row r="1752">
      <c r="O1752">
        <f>IF(AND(ISNUMBER('자료_미국심리'!$A1736),ISNUMBER('자료_미국심리'!$B1736)),'자료_미국심리'!$A1736,"")</f>
        <v/>
      </c>
      <c r="P1752">
        <f>IF(AND(ISNUMBER('자료_미국심리'!$D1736),ISNUMBER('자료_미국심리'!$E1736)),'자료_미국심리'!$D1736,"")</f>
        <v/>
      </c>
      <c r="Q1752">
        <f>IF(AND(ISNUMBER('자료_미국심리'!$G1736),ISNUMBER('자료_미국심리'!$H1736)),'자료_미국심리'!$G1736,"")</f>
        <v/>
      </c>
    </row>
    <row r="1753">
      <c r="O1753">
        <f>IF(AND(ISNUMBER('자료_미국심리'!$A1737),ISNUMBER('자료_미국심리'!$B1737)),'자료_미국심리'!$A1737,"")</f>
        <v/>
      </c>
      <c r="P1753">
        <f>IF(AND(ISNUMBER('자료_미국심리'!$D1737),ISNUMBER('자료_미국심리'!$E1737)),'자료_미국심리'!$D1737,"")</f>
        <v/>
      </c>
      <c r="Q1753">
        <f>IF(AND(ISNUMBER('자료_미국심리'!$G1737),ISNUMBER('자료_미국심리'!$H1737)),'자료_미국심리'!$G1737,"")</f>
        <v/>
      </c>
    </row>
    <row r="1754">
      <c r="O1754">
        <f>IF(AND(ISNUMBER('자료_미국심리'!$A1738),ISNUMBER('자료_미국심리'!$B1738)),'자료_미국심리'!$A1738,"")</f>
        <v/>
      </c>
      <c r="P1754">
        <f>IF(AND(ISNUMBER('자료_미국심리'!$D1738),ISNUMBER('자료_미국심리'!$E1738)),'자료_미국심리'!$D1738,"")</f>
        <v/>
      </c>
      <c r="Q1754">
        <f>IF(AND(ISNUMBER('자료_미국심리'!$G1738),ISNUMBER('자료_미국심리'!$H1738)),'자료_미국심리'!$G1738,"")</f>
        <v/>
      </c>
    </row>
    <row r="1755">
      <c r="O1755">
        <f>IF(AND(ISNUMBER('자료_미국심리'!$A1739),ISNUMBER('자료_미국심리'!$B1739)),'자료_미국심리'!$A1739,"")</f>
        <v/>
      </c>
      <c r="P1755">
        <f>IF(AND(ISNUMBER('자료_미국심리'!$D1739),ISNUMBER('자료_미국심리'!$E1739)),'자료_미국심리'!$D1739,"")</f>
        <v/>
      </c>
      <c r="Q1755">
        <f>IF(AND(ISNUMBER('자료_미국심리'!$G1739),ISNUMBER('자료_미국심리'!$H1739)),'자료_미국심리'!$G1739,"")</f>
        <v/>
      </c>
    </row>
    <row r="1756">
      <c r="O1756">
        <f>IF(AND(ISNUMBER('자료_미국심리'!$A1740),ISNUMBER('자료_미국심리'!$B1740)),'자료_미국심리'!$A1740,"")</f>
        <v/>
      </c>
      <c r="P1756">
        <f>IF(AND(ISNUMBER('자료_미국심리'!$D1740),ISNUMBER('자료_미국심리'!$E1740)),'자료_미국심리'!$D1740,"")</f>
        <v/>
      </c>
      <c r="Q1756">
        <f>IF(AND(ISNUMBER('자료_미국심리'!$G1740),ISNUMBER('자료_미국심리'!$H1740)),'자료_미국심리'!$G1740,"")</f>
        <v/>
      </c>
    </row>
    <row r="1757">
      <c r="O1757">
        <f>IF(AND(ISNUMBER('자료_미국심리'!$A1741),ISNUMBER('자료_미국심리'!$B1741)),'자료_미국심리'!$A1741,"")</f>
        <v/>
      </c>
      <c r="P1757">
        <f>IF(AND(ISNUMBER('자료_미국심리'!$D1741),ISNUMBER('자료_미국심리'!$E1741)),'자료_미국심리'!$D1741,"")</f>
        <v/>
      </c>
      <c r="Q1757">
        <f>IF(AND(ISNUMBER('자료_미국심리'!$G1741),ISNUMBER('자료_미국심리'!$H1741)),'자료_미국심리'!$G1741,"")</f>
        <v/>
      </c>
    </row>
    <row r="1758">
      <c r="O1758">
        <f>IF(AND(ISNUMBER('자료_미국심리'!$A1742),ISNUMBER('자료_미국심리'!$B1742)),'자료_미국심리'!$A1742,"")</f>
        <v/>
      </c>
      <c r="P1758">
        <f>IF(AND(ISNUMBER('자료_미국심리'!$D1742),ISNUMBER('자료_미국심리'!$E1742)),'자료_미국심리'!$D1742,"")</f>
        <v/>
      </c>
      <c r="Q1758">
        <f>IF(AND(ISNUMBER('자료_미국심리'!$G1742),ISNUMBER('자료_미국심리'!$H1742)),'자료_미국심리'!$G1742,"")</f>
        <v/>
      </c>
    </row>
    <row r="1759">
      <c r="O1759">
        <f>IF(AND(ISNUMBER('자료_미국심리'!$A1743),ISNUMBER('자료_미국심리'!$B1743)),'자료_미국심리'!$A1743,"")</f>
        <v/>
      </c>
      <c r="P1759">
        <f>IF(AND(ISNUMBER('자료_미국심리'!$D1743),ISNUMBER('자료_미국심리'!$E1743)),'자료_미국심리'!$D1743,"")</f>
        <v/>
      </c>
      <c r="Q1759">
        <f>IF(AND(ISNUMBER('자료_미국심리'!$G1743),ISNUMBER('자료_미국심리'!$H1743)),'자료_미국심리'!$G1743,"")</f>
        <v/>
      </c>
    </row>
    <row r="1760">
      <c r="O1760">
        <f>IF(AND(ISNUMBER('자료_미국심리'!$A1744),ISNUMBER('자료_미국심리'!$B1744)),'자료_미국심리'!$A1744,"")</f>
        <v/>
      </c>
      <c r="P1760">
        <f>IF(AND(ISNUMBER('자료_미국심리'!$D1744),ISNUMBER('자료_미국심리'!$E1744)),'자료_미국심리'!$D1744,"")</f>
        <v/>
      </c>
      <c r="Q1760">
        <f>IF(AND(ISNUMBER('자료_미국심리'!$G1744),ISNUMBER('자료_미국심리'!$H1744)),'자료_미국심리'!$G1744,"")</f>
        <v/>
      </c>
    </row>
    <row r="1761">
      <c r="O1761">
        <f>IF(AND(ISNUMBER('자료_미국심리'!$A1745),ISNUMBER('자료_미국심리'!$B1745)),'자료_미국심리'!$A1745,"")</f>
        <v/>
      </c>
      <c r="P1761">
        <f>IF(AND(ISNUMBER('자료_미국심리'!$D1745),ISNUMBER('자료_미국심리'!$E1745)),'자료_미국심리'!$D1745,"")</f>
        <v/>
      </c>
      <c r="Q1761">
        <f>IF(AND(ISNUMBER('자료_미국심리'!$G1745),ISNUMBER('자료_미국심리'!$H1745)),'자료_미국심리'!$G1745,"")</f>
        <v/>
      </c>
    </row>
    <row r="1762">
      <c r="O1762">
        <f>IF(AND(ISNUMBER('자료_미국심리'!$A1746),ISNUMBER('자료_미국심리'!$B1746)),'자료_미국심리'!$A1746,"")</f>
        <v/>
      </c>
      <c r="P1762">
        <f>IF(AND(ISNUMBER('자료_미국심리'!$D1746),ISNUMBER('자료_미국심리'!$E1746)),'자료_미국심리'!$D1746,"")</f>
        <v/>
      </c>
      <c r="Q1762">
        <f>IF(AND(ISNUMBER('자료_미국심리'!$G1746),ISNUMBER('자료_미국심리'!$H1746)),'자료_미국심리'!$G1746,"")</f>
        <v/>
      </c>
    </row>
    <row r="1763">
      <c r="O1763">
        <f>IF(AND(ISNUMBER('자료_미국심리'!$A1747),ISNUMBER('자료_미국심리'!$B1747)),'자료_미국심리'!$A1747,"")</f>
        <v/>
      </c>
      <c r="P1763">
        <f>IF(AND(ISNUMBER('자료_미국심리'!$D1747),ISNUMBER('자료_미국심리'!$E1747)),'자료_미국심리'!$D1747,"")</f>
        <v/>
      </c>
      <c r="Q1763">
        <f>IF(AND(ISNUMBER('자료_미국심리'!$G1747),ISNUMBER('자료_미국심리'!$H1747)),'자료_미국심리'!$G1747,"")</f>
        <v/>
      </c>
    </row>
    <row r="1764">
      <c r="O1764">
        <f>IF(AND(ISNUMBER('자료_미국심리'!$A1748),ISNUMBER('자료_미국심리'!$B1748)),'자료_미국심리'!$A1748,"")</f>
        <v/>
      </c>
      <c r="P1764">
        <f>IF(AND(ISNUMBER('자료_미국심리'!$D1748),ISNUMBER('자료_미국심리'!$E1748)),'자료_미국심리'!$D1748,"")</f>
        <v/>
      </c>
      <c r="Q1764">
        <f>IF(AND(ISNUMBER('자료_미국심리'!$G1748),ISNUMBER('자료_미국심리'!$H1748)),'자료_미국심리'!$G1748,"")</f>
        <v/>
      </c>
    </row>
    <row r="1765">
      <c r="O1765">
        <f>IF(AND(ISNUMBER('자료_미국심리'!$A1749),ISNUMBER('자료_미국심리'!$B1749)),'자료_미국심리'!$A1749,"")</f>
        <v/>
      </c>
      <c r="P1765">
        <f>IF(AND(ISNUMBER('자료_미국심리'!$D1749),ISNUMBER('자료_미국심리'!$E1749)),'자료_미국심리'!$D1749,"")</f>
        <v/>
      </c>
      <c r="Q1765">
        <f>IF(AND(ISNUMBER('자료_미국심리'!$G1749),ISNUMBER('자료_미국심리'!$H1749)),'자료_미국심리'!$G1749,"")</f>
        <v/>
      </c>
    </row>
    <row r="1766">
      <c r="O1766">
        <f>IF(AND(ISNUMBER('자료_미국심리'!$A1750),ISNUMBER('자료_미국심리'!$B1750)),'자료_미국심리'!$A1750,"")</f>
        <v/>
      </c>
      <c r="P1766">
        <f>IF(AND(ISNUMBER('자료_미국심리'!$D1750),ISNUMBER('자료_미국심리'!$E1750)),'자료_미국심리'!$D1750,"")</f>
        <v/>
      </c>
      <c r="Q1766">
        <f>IF(AND(ISNUMBER('자료_미국심리'!$G1750),ISNUMBER('자료_미국심리'!$H1750)),'자료_미국심리'!$G1750,"")</f>
        <v/>
      </c>
    </row>
    <row r="1767">
      <c r="O1767">
        <f>IF(AND(ISNUMBER('자료_미국심리'!$A1751),ISNUMBER('자료_미국심리'!$B1751)),'자료_미국심리'!$A1751,"")</f>
        <v/>
      </c>
      <c r="P1767">
        <f>IF(AND(ISNUMBER('자료_미국심리'!$D1751),ISNUMBER('자료_미국심리'!$E1751)),'자료_미국심리'!$D1751,"")</f>
        <v/>
      </c>
      <c r="Q1767">
        <f>IF(AND(ISNUMBER('자료_미국심리'!$G1751),ISNUMBER('자료_미국심리'!$H1751)),'자료_미국심리'!$G1751,"")</f>
        <v/>
      </c>
    </row>
    <row r="1768">
      <c r="O1768">
        <f>IF(AND(ISNUMBER('자료_미국심리'!$A1752),ISNUMBER('자료_미국심리'!$B1752)),'자료_미국심리'!$A1752,"")</f>
        <v/>
      </c>
      <c r="P1768">
        <f>IF(AND(ISNUMBER('자료_미국심리'!$D1752),ISNUMBER('자료_미국심리'!$E1752)),'자료_미국심리'!$D1752,"")</f>
        <v/>
      </c>
      <c r="Q1768">
        <f>IF(AND(ISNUMBER('자료_미국심리'!$G1752),ISNUMBER('자료_미국심리'!$H1752)),'자료_미국심리'!$G1752,"")</f>
        <v/>
      </c>
    </row>
    <row r="1769">
      <c r="O1769">
        <f>IF(AND(ISNUMBER('자료_미국심리'!$A1753),ISNUMBER('자료_미국심리'!$B1753)),'자료_미국심리'!$A1753,"")</f>
        <v/>
      </c>
      <c r="P1769">
        <f>IF(AND(ISNUMBER('자료_미국심리'!$D1753),ISNUMBER('자료_미국심리'!$E1753)),'자료_미국심리'!$D1753,"")</f>
        <v/>
      </c>
      <c r="Q1769">
        <f>IF(AND(ISNUMBER('자료_미국심리'!$G1753),ISNUMBER('자료_미국심리'!$H1753)),'자료_미국심리'!$G1753,"")</f>
        <v/>
      </c>
    </row>
    <row r="1770">
      <c r="O1770">
        <f>IF(AND(ISNUMBER('자료_미국심리'!$A1754),ISNUMBER('자료_미국심리'!$B1754)),'자료_미국심리'!$A1754,"")</f>
        <v/>
      </c>
      <c r="P1770">
        <f>IF(AND(ISNUMBER('자료_미국심리'!$D1754),ISNUMBER('자료_미국심리'!$E1754)),'자료_미국심리'!$D1754,"")</f>
        <v/>
      </c>
      <c r="Q1770">
        <f>IF(AND(ISNUMBER('자료_미국심리'!$G1754),ISNUMBER('자료_미국심리'!$H1754)),'자료_미국심리'!$G1754,"")</f>
        <v/>
      </c>
    </row>
    <row r="1771">
      <c r="O1771">
        <f>IF(AND(ISNUMBER('자료_미국심리'!$A1755),ISNUMBER('자료_미국심리'!$B1755)),'자료_미국심리'!$A1755,"")</f>
        <v/>
      </c>
      <c r="P1771">
        <f>IF(AND(ISNUMBER('자료_미국심리'!$D1755),ISNUMBER('자료_미국심리'!$E1755)),'자료_미국심리'!$D1755,"")</f>
        <v/>
      </c>
      <c r="Q1771">
        <f>IF(AND(ISNUMBER('자료_미국심리'!$G1755),ISNUMBER('자료_미국심리'!$H1755)),'자료_미국심리'!$G1755,"")</f>
        <v/>
      </c>
    </row>
    <row r="1772">
      <c r="O1772">
        <f>IF(AND(ISNUMBER('자료_미국심리'!$A1756),ISNUMBER('자료_미국심리'!$B1756)),'자료_미국심리'!$A1756,"")</f>
        <v/>
      </c>
      <c r="P1772">
        <f>IF(AND(ISNUMBER('자료_미국심리'!$D1756),ISNUMBER('자료_미국심리'!$E1756)),'자료_미국심리'!$D1756,"")</f>
        <v/>
      </c>
      <c r="Q1772">
        <f>IF(AND(ISNUMBER('자료_미국심리'!$G1756),ISNUMBER('자료_미국심리'!$H1756)),'자료_미국심리'!$G1756,"")</f>
        <v/>
      </c>
    </row>
    <row r="1773">
      <c r="O1773">
        <f>IF(AND(ISNUMBER('자료_미국심리'!$A1757),ISNUMBER('자료_미국심리'!$B1757)),'자료_미국심리'!$A1757,"")</f>
        <v/>
      </c>
      <c r="P1773">
        <f>IF(AND(ISNUMBER('자료_미국심리'!$D1757),ISNUMBER('자료_미국심리'!$E1757)),'자료_미국심리'!$D1757,"")</f>
        <v/>
      </c>
      <c r="Q1773">
        <f>IF(AND(ISNUMBER('자료_미국심리'!$G1757),ISNUMBER('자료_미국심리'!$H1757)),'자료_미국심리'!$G1757,"")</f>
        <v/>
      </c>
    </row>
    <row r="1774">
      <c r="O1774">
        <f>IF(AND(ISNUMBER('자료_미국심리'!$A1758),ISNUMBER('자료_미국심리'!$B1758)),'자료_미국심리'!$A1758,"")</f>
        <v/>
      </c>
      <c r="P1774">
        <f>IF(AND(ISNUMBER('자료_미국심리'!$D1758),ISNUMBER('자료_미국심리'!$E1758)),'자료_미국심리'!$D1758,"")</f>
        <v/>
      </c>
      <c r="Q1774">
        <f>IF(AND(ISNUMBER('자료_미국심리'!$G1758),ISNUMBER('자료_미국심리'!$H1758)),'자료_미국심리'!$G1758,"")</f>
        <v/>
      </c>
    </row>
    <row r="1775">
      <c r="O1775">
        <f>IF(AND(ISNUMBER('자료_미국심리'!$A1759),ISNUMBER('자료_미국심리'!$B1759)),'자료_미국심리'!$A1759,"")</f>
        <v/>
      </c>
      <c r="P1775">
        <f>IF(AND(ISNUMBER('자료_미국심리'!$D1759),ISNUMBER('자료_미국심리'!$E1759)),'자료_미국심리'!$D1759,"")</f>
        <v/>
      </c>
      <c r="Q1775">
        <f>IF(AND(ISNUMBER('자료_미국심리'!$G1759),ISNUMBER('자료_미국심리'!$H1759)),'자료_미국심리'!$G1759,"")</f>
        <v/>
      </c>
    </row>
    <row r="1776">
      <c r="O1776">
        <f>IF(AND(ISNUMBER('자료_미국심리'!$A1760),ISNUMBER('자료_미국심리'!$B1760)),'자료_미국심리'!$A1760,"")</f>
        <v/>
      </c>
      <c r="P1776">
        <f>IF(AND(ISNUMBER('자료_미국심리'!$D1760),ISNUMBER('자료_미국심리'!$E1760)),'자료_미국심리'!$D1760,"")</f>
        <v/>
      </c>
      <c r="Q1776">
        <f>IF(AND(ISNUMBER('자료_미국심리'!$G1760),ISNUMBER('자료_미국심리'!$H1760)),'자료_미국심리'!$G1760,"")</f>
        <v/>
      </c>
    </row>
    <row r="1777">
      <c r="O1777">
        <f>IF(AND(ISNUMBER('자료_미국심리'!$A1761),ISNUMBER('자료_미국심리'!$B1761)),'자료_미국심리'!$A1761,"")</f>
        <v/>
      </c>
      <c r="P1777">
        <f>IF(AND(ISNUMBER('자료_미국심리'!$D1761),ISNUMBER('자료_미국심리'!$E1761)),'자료_미국심리'!$D1761,"")</f>
        <v/>
      </c>
      <c r="Q1777">
        <f>IF(AND(ISNUMBER('자료_미국심리'!$G1761),ISNUMBER('자료_미국심리'!$H1761)),'자료_미국심리'!$G1761,"")</f>
        <v/>
      </c>
    </row>
    <row r="1778">
      <c r="O1778">
        <f>IF(AND(ISNUMBER('자료_미국심리'!$A1762),ISNUMBER('자료_미국심리'!$B1762)),'자료_미국심리'!$A1762,"")</f>
        <v/>
      </c>
      <c r="P1778">
        <f>IF(AND(ISNUMBER('자료_미국심리'!$D1762),ISNUMBER('자료_미국심리'!$E1762)),'자료_미국심리'!$D1762,"")</f>
        <v/>
      </c>
      <c r="Q1778">
        <f>IF(AND(ISNUMBER('자료_미국심리'!$G1762),ISNUMBER('자료_미국심리'!$H1762)),'자료_미국심리'!$G1762,"")</f>
        <v/>
      </c>
    </row>
    <row r="1779">
      <c r="O1779">
        <f>IF(AND(ISNUMBER('자료_미국심리'!$A1763),ISNUMBER('자료_미국심리'!$B1763)),'자료_미국심리'!$A1763,"")</f>
        <v/>
      </c>
      <c r="P1779">
        <f>IF(AND(ISNUMBER('자료_미국심리'!$D1763),ISNUMBER('자료_미국심리'!$E1763)),'자료_미국심리'!$D1763,"")</f>
        <v/>
      </c>
      <c r="Q1779">
        <f>IF(AND(ISNUMBER('자료_미국심리'!$G1763),ISNUMBER('자료_미국심리'!$H1763)),'자료_미국심리'!$G1763,"")</f>
        <v/>
      </c>
    </row>
    <row r="1780">
      <c r="O1780">
        <f>IF(AND(ISNUMBER('자료_미국심리'!$A1764),ISNUMBER('자료_미국심리'!$B1764)),'자료_미국심리'!$A1764,"")</f>
        <v/>
      </c>
      <c r="P1780">
        <f>IF(AND(ISNUMBER('자료_미국심리'!$D1764),ISNUMBER('자료_미국심리'!$E1764)),'자료_미국심리'!$D1764,"")</f>
        <v/>
      </c>
      <c r="Q1780">
        <f>IF(AND(ISNUMBER('자료_미국심리'!$G1764),ISNUMBER('자료_미국심리'!$H1764)),'자료_미국심리'!$G1764,"")</f>
        <v/>
      </c>
    </row>
    <row r="1781">
      <c r="O1781">
        <f>IF(AND(ISNUMBER('자료_미국심리'!$A1765),ISNUMBER('자료_미국심리'!$B1765)),'자료_미국심리'!$A1765,"")</f>
        <v/>
      </c>
      <c r="P1781">
        <f>IF(AND(ISNUMBER('자료_미국심리'!$D1765),ISNUMBER('자료_미국심리'!$E1765)),'자료_미국심리'!$D1765,"")</f>
        <v/>
      </c>
      <c r="Q1781">
        <f>IF(AND(ISNUMBER('자료_미국심리'!$G1765),ISNUMBER('자료_미국심리'!$H1765)),'자료_미국심리'!$G1765,"")</f>
        <v/>
      </c>
    </row>
    <row r="1782">
      <c r="O1782">
        <f>IF(AND(ISNUMBER('자료_미국심리'!$A1766),ISNUMBER('자료_미국심리'!$B1766)),'자료_미국심리'!$A1766,"")</f>
        <v/>
      </c>
      <c r="P1782">
        <f>IF(AND(ISNUMBER('자료_미국심리'!$D1766),ISNUMBER('자료_미국심리'!$E1766)),'자료_미국심리'!$D1766,"")</f>
        <v/>
      </c>
      <c r="Q1782">
        <f>IF(AND(ISNUMBER('자료_미국심리'!$G1766),ISNUMBER('자료_미국심리'!$H1766)),'자료_미국심리'!$G1766,"")</f>
        <v/>
      </c>
    </row>
    <row r="1783">
      <c r="O1783">
        <f>IF(AND(ISNUMBER('자료_미국심리'!$A1767),ISNUMBER('자료_미국심리'!$B1767)),'자료_미국심리'!$A1767,"")</f>
        <v/>
      </c>
      <c r="P1783">
        <f>IF(AND(ISNUMBER('자료_미국심리'!$D1767),ISNUMBER('자료_미국심리'!$E1767)),'자료_미국심리'!$D1767,"")</f>
        <v/>
      </c>
      <c r="Q1783">
        <f>IF(AND(ISNUMBER('자료_미국심리'!$G1767),ISNUMBER('자료_미국심리'!$H1767)),'자료_미국심리'!$G1767,"")</f>
        <v/>
      </c>
    </row>
    <row r="1784">
      <c r="O1784">
        <f>IF(AND(ISNUMBER('자료_미국심리'!$A1768),ISNUMBER('자료_미국심리'!$B1768)),'자료_미국심리'!$A1768,"")</f>
        <v/>
      </c>
      <c r="P1784">
        <f>IF(AND(ISNUMBER('자료_미국심리'!$D1768),ISNUMBER('자료_미국심리'!$E1768)),'자료_미국심리'!$D1768,"")</f>
        <v/>
      </c>
      <c r="Q1784">
        <f>IF(AND(ISNUMBER('자료_미국심리'!$G1768),ISNUMBER('자료_미국심리'!$H1768)),'자료_미국심리'!$G1768,"")</f>
        <v/>
      </c>
    </row>
    <row r="1785">
      <c r="O1785">
        <f>IF(AND(ISNUMBER('자료_미국심리'!$A1769),ISNUMBER('자료_미국심리'!$B1769)),'자료_미국심리'!$A1769,"")</f>
        <v/>
      </c>
      <c r="P1785">
        <f>IF(AND(ISNUMBER('자료_미국심리'!$D1769),ISNUMBER('자료_미국심리'!$E1769)),'자료_미국심리'!$D1769,"")</f>
        <v/>
      </c>
      <c r="Q1785">
        <f>IF(AND(ISNUMBER('자료_미국심리'!$G1769),ISNUMBER('자료_미국심리'!$H1769)),'자료_미국심리'!$G1769,"")</f>
        <v/>
      </c>
    </row>
    <row r="1786">
      <c r="O1786">
        <f>IF(AND(ISNUMBER('자료_미국심리'!$A1770),ISNUMBER('자료_미국심리'!$B1770)),'자료_미국심리'!$A1770,"")</f>
        <v/>
      </c>
      <c r="P1786">
        <f>IF(AND(ISNUMBER('자료_미국심리'!$D1770),ISNUMBER('자료_미국심리'!$E1770)),'자료_미국심리'!$D1770,"")</f>
        <v/>
      </c>
      <c r="Q1786">
        <f>IF(AND(ISNUMBER('자료_미국심리'!$G1770),ISNUMBER('자료_미국심리'!$H1770)),'자료_미국심리'!$G1770,"")</f>
        <v/>
      </c>
    </row>
    <row r="1787">
      <c r="O1787">
        <f>IF(AND(ISNUMBER('자료_미국심리'!$A1771),ISNUMBER('자료_미국심리'!$B1771)),'자료_미국심리'!$A1771,"")</f>
        <v/>
      </c>
      <c r="P1787">
        <f>IF(AND(ISNUMBER('자료_미국심리'!$D1771),ISNUMBER('자료_미국심리'!$E1771)),'자료_미국심리'!$D1771,"")</f>
        <v/>
      </c>
      <c r="Q1787">
        <f>IF(AND(ISNUMBER('자료_미국심리'!$G1771),ISNUMBER('자료_미국심리'!$H1771)),'자료_미국심리'!$G1771,"")</f>
        <v/>
      </c>
    </row>
    <row r="1788">
      <c r="O1788">
        <f>IF(AND(ISNUMBER('자료_미국심리'!$A1772),ISNUMBER('자료_미국심리'!$B1772)),'자료_미국심리'!$A1772,"")</f>
        <v/>
      </c>
      <c r="P1788">
        <f>IF(AND(ISNUMBER('자료_미국심리'!$D1772),ISNUMBER('자료_미국심리'!$E1772)),'자료_미국심리'!$D1772,"")</f>
        <v/>
      </c>
      <c r="Q1788">
        <f>IF(AND(ISNUMBER('자료_미국심리'!$G1772),ISNUMBER('자료_미국심리'!$H1772)),'자료_미국심리'!$G1772,"")</f>
        <v/>
      </c>
    </row>
    <row r="1789">
      <c r="O1789">
        <f>IF(AND(ISNUMBER('자료_미국심리'!$A1773),ISNUMBER('자료_미국심리'!$B1773)),'자료_미국심리'!$A1773,"")</f>
        <v/>
      </c>
      <c r="P1789">
        <f>IF(AND(ISNUMBER('자료_미국심리'!$D1773),ISNUMBER('자료_미국심리'!$E1773)),'자료_미국심리'!$D1773,"")</f>
        <v/>
      </c>
      <c r="Q1789">
        <f>IF(AND(ISNUMBER('자료_미국심리'!$G1773),ISNUMBER('자료_미국심리'!$H1773)),'자료_미국심리'!$G1773,"")</f>
        <v/>
      </c>
    </row>
    <row r="1790">
      <c r="O1790">
        <f>IF(AND(ISNUMBER('자료_미국심리'!$A1774),ISNUMBER('자료_미국심리'!$B1774)),'자료_미국심리'!$A1774,"")</f>
        <v/>
      </c>
      <c r="P1790">
        <f>IF(AND(ISNUMBER('자료_미국심리'!$D1774),ISNUMBER('자료_미국심리'!$E1774)),'자료_미국심리'!$D1774,"")</f>
        <v/>
      </c>
      <c r="Q1790">
        <f>IF(AND(ISNUMBER('자료_미국심리'!$G1774),ISNUMBER('자료_미국심리'!$H1774)),'자료_미국심리'!$G1774,"")</f>
        <v/>
      </c>
    </row>
    <row r="1791">
      <c r="O1791">
        <f>IF(AND(ISNUMBER('자료_미국심리'!$A1775),ISNUMBER('자료_미국심리'!$B1775)),'자료_미국심리'!$A1775,"")</f>
        <v/>
      </c>
      <c r="P1791">
        <f>IF(AND(ISNUMBER('자료_미국심리'!$D1775),ISNUMBER('자료_미국심리'!$E1775)),'자료_미국심리'!$D1775,"")</f>
        <v/>
      </c>
      <c r="Q1791">
        <f>IF(AND(ISNUMBER('자료_미국심리'!$G1775),ISNUMBER('자료_미국심리'!$H1775)),'자료_미국심리'!$G1775,"")</f>
        <v/>
      </c>
    </row>
    <row r="1792">
      <c r="O1792">
        <f>IF(AND(ISNUMBER('자료_미국심리'!$A1776),ISNUMBER('자료_미국심리'!$B1776)),'자료_미국심리'!$A1776,"")</f>
        <v/>
      </c>
      <c r="P1792">
        <f>IF(AND(ISNUMBER('자료_미국심리'!$D1776),ISNUMBER('자료_미국심리'!$E1776)),'자료_미국심리'!$D1776,"")</f>
        <v/>
      </c>
      <c r="Q1792">
        <f>IF(AND(ISNUMBER('자료_미국심리'!$G1776),ISNUMBER('자료_미국심리'!$H1776)),'자료_미국심리'!$G1776,"")</f>
        <v/>
      </c>
    </row>
    <row r="1793">
      <c r="O1793">
        <f>IF(AND(ISNUMBER('자료_미국심리'!$A1777),ISNUMBER('자료_미국심리'!$B1777)),'자료_미국심리'!$A1777,"")</f>
        <v/>
      </c>
      <c r="P1793">
        <f>IF(AND(ISNUMBER('자료_미국심리'!$D1777),ISNUMBER('자료_미국심리'!$E1777)),'자료_미국심리'!$D1777,"")</f>
        <v/>
      </c>
      <c r="Q1793">
        <f>IF(AND(ISNUMBER('자료_미국심리'!$G1777),ISNUMBER('자료_미국심리'!$H1777)),'자료_미국심리'!$G1777,"")</f>
        <v/>
      </c>
    </row>
    <row r="1794">
      <c r="O1794">
        <f>IF(AND(ISNUMBER('자료_미국심리'!$A1778),ISNUMBER('자료_미국심리'!$B1778)),'자료_미국심리'!$A1778,"")</f>
        <v/>
      </c>
      <c r="P1794">
        <f>IF(AND(ISNUMBER('자료_미국심리'!$D1778),ISNUMBER('자료_미국심리'!$E1778)),'자료_미국심리'!$D1778,"")</f>
        <v/>
      </c>
      <c r="Q1794">
        <f>IF(AND(ISNUMBER('자료_미국심리'!$G1778),ISNUMBER('자료_미국심리'!$H1778)),'자료_미국심리'!$G1778,"")</f>
        <v/>
      </c>
    </row>
    <row r="1795">
      <c r="O1795">
        <f>IF(AND(ISNUMBER('자료_미국심리'!$A1779),ISNUMBER('자료_미국심리'!$B1779)),'자료_미국심리'!$A1779,"")</f>
        <v/>
      </c>
      <c r="P1795">
        <f>IF(AND(ISNUMBER('자료_미국심리'!$D1779),ISNUMBER('자료_미국심리'!$E1779)),'자료_미국심리'!$D1779,"")</f>
        <v/>
      </c>
      <c r="Q1795">
        <f>IF(AND(ISNUMBER('자료_미국심리'!$G1779),ISNUMBER('자료_미국심리'!$H1779)),'자료_미국심리'!$G1779,"")</f>
        <v/>
      </c>
    </row>
    <row r="1796">
      <c r="O1796">
        <f>IF(AND(ISNUMBER('자료_미국심리'!$A1780),ISNUMBER('자료_미국심리'!$B1780)),'자료_미국심리'!$A1780,"")</f>
        <v/>
      </c>
      <c r="P1796">
        <f>IF(AND(ISNUMBER('자료_미국심리'!$D1780),ISNUMBER('자료_미국심리'!$E1780)),'자료_미국심리'!$D1780,"")</f>
        <v/>
      </c>
      <c r="Q1796">
        <f>IF(AND(ISNUMBER('자료_미국심리'!$G1780),ISNUMBER('자료_미국심리'!$H1780)),'자료_미국심리'!$G1780,"")</f>
        <v/>
      </c>
    </row>
    <row r="1797">
      <c r="O1797">
        <f>IF(AND(ISNUMBER('자료_미국심리'!$A1781),ISNUMBER('자료_미국심리'!$B1781)),'자료_미국심리'!$A1781,"")</f>
        <v/>
      </c>
      <c r="P1797">
        <f>IF(AND(ISNUMBER('자료_미국심리'!$D1781),ISNUMBER('자료_미국심리'!$E1781)),'자료_미국심리'!$D1781,"")</f>
        <v/>
      </c>
      <c r="Q1797">
        <f>IF(AND(ISNUMBER('자료_미국심리'!$G1781),ISNUMBER('자료_미국심리'!$H1781)),'자료_미국심리'!$G1781,"")</f>
        <v/>
      </c>
    </row>
    <row r="1798">
      <c r="O1798">
        <f>IF(AND(ISNUMBER('자료_미국심리'!$A1782),ISNUMBER('자료_미국심리'!$B1782)),'자료_미국심리'!$A1782,"")</f>
        <v/>
      </c>
      <c r="P1798">
        <f>IF(AND(ISNUMBER('자료_미국심리'!$D1782),ISNUMBER('자료_미국심리'!$E1782)),'자료_미국심리'!$D1782,"")</f>
        <v/>
      </c>
      <c r="Q1798">
        <f>IF(AND(ISNUMBER('자료_미국심리'!$G1782),ISNUMBER('자료_미국심리'!$H1782)),'자료_미국심리'!$G1782,"")</f>
        <v/>
      </c>
    </row>
    <row r="1799">
      <c r="O1799">
        <f>IF(AND(ISNUMBER('자료_미국심리'!$A1783),ISNUMBER('자료_미국심리'!$B1783)),'자료_미국심리'!$A1783,"")</f>
        <v/>
      </c>
      <c r="P1799">
        <f>IF(AND(ISNUMBER('자료_미국심리'!$D1783),ISNUMBER('자료_미국심리'!$E1783)),'자료_미국심리'!$D1783,"")</f>
        <v/>
      </c>
      <c r="Q1799">
        <f>IF(AND(ISNUMBER('자료_미국심리'!$G1783),ISNUMBER('자료_미국심리'!$H1783)),'자료_미국심리'!$G1783,"")</f>
        <v/>
      </c>
    </row>
    <row r="1800">
      <c r="O1800">
        <f>IF(AND(ISNUMBER('자료_미국심리'!$A1784),ISNUMBER('자료_미국심리'!$B1784)),'자료_미국심리'!$A1784,"")</f>
        <v/>
      </c>
      <c r="P1800">
        <f>IF(AND(ISNUMBER('자료_미국심리'!$D1784),ISNUMBER('자료_미국심리'!$E1784)),'자료_미국심리'!$D1784,"")</f>
        <v/>
      </c>
      <c r="Q1800">
        <f>IF(AND(ISNUMBER('자료_미국심리'!$G1784),ISNUMBER('자료_미국심리'!$H1784)),'자료_미국심리'!$G1784,"")</f>
        <v/>
      </c>
    </row>
    <row r="1801">
      <c r="O1801">
        <f>IF(AND(ISNUMBER('자료_미국심리'!$A1785),ISNUMBER('자료_미국심리'!$B1785)),'자료_미국심리'!$A1785,"")</f>
        <v/>
      </c>
      <c r="P1801">
        <f>IF(AND(ISNUMBER('자료_미국심리'!$D1785),ISNUMBER('자료_미국심리'!$E1785)),'자료_미국심리'!$D1785,"")</f>
        <v/>
      </c>
      <c r="Q1801">
        <f>IF(AND(ISNUMBER('자료_미국심리'!$G1785),ISNUMBER('자료_미국심리'!$H1785)),'자료_미국심리'!$G1785,"")</f>
        <v/>
      </c>
    </row>
    <row r="1802">
      <c r="O1802">
        <f>IF(AND(ISNUMBER('자료_미국심리'!$A1786),ISNUMBER('자료_미국심리'!$B1786)),'자료_미국심리'!$A1786,"")</f>
        <v/>
      </c>
      <c r="P1802">
        <f>IF(AND(ISNUMBER('자료_미국심리'!$D1786),ISNUMBER('자료_미국심리'!$E1786)),'자료_미국심리'!$D1786,"")</f>
        <v/>
      </c>
      <c r="Q1802">
        <f>IF(AND(ISNUMBER('자료_미국심리'!$G1786),ISNUMBER('자료_미국심리'!$H1786)),'자료_미국심리'!$G1786,"")</f>
        <v/>
      </c>
    </row>
    <row r="1803">
      <c r="O1803">
        <f>IF(AND(ISNUMBER('자료_미국심리'!$A1787),ISNUMBER('자료_미국심리'!$B1787)),'자료_미국심리'!$A1787,"")</f>
        <v/>
      </c>
      <c r="P1803">
        <f>IF(AND(ISNUMBER('자료_미국심리'!$D1787),ISNUMBER('자료_미국심리'!$E1787)),'자료_미국심리'!$D1787,"")</f>
        <v/>
      </c>
      <c r="Q1803">
        <f>IF(AND(ISNUMBER('자료_미국심리'!$G1787),ISNUMBER('자료_미국심리'!$H1787)),'자료_미국심리'!$G1787,"")</f>
        <v/>
      </c>
    </row>
    <row r="1804">
      <c r="O1804">
        <f>IF(AND(ISNUMBER('자료_미국심리'!$A1788),ISNUMBER('자료_미국심리'!$B1788)),'자료_미국심리'!$A1788,"")</f>
        <v/>
      </c>
      <c r="P1804">
        <f>IF(AND(ISNUMBER('자료_미국심리'!$D1788),ISNUMBER('자료_미국심리'!$E1788)),'자료_미국심리'!$D1788,"")</f>
        <v/>
      </c>
      <c r="Q1804">
        <f>IF(AND(ISNUMBER('자료_미국심리'!$G1788),ISNUMBER('자료_미국심리'!$H1788)),'자료_미국심리'!$G1788,"")</f>
        <v/>
      </c>
    </row>
    <row r="1805">
      <c r="O1805">
        <f>IF(AND(ISNUMBER('자료_미국심리'!$A1789),ISNUMBER('자료_미국심리'!$B1789)),'자료_미국심리'!$A1789,"")</f>
        <v/>
      </c>
      <c r="P1805">
        <f>IF(AND(ISNUMBER('자료_미국심리'!$D1789),ISNUMBER('자료_미국심리'!$E1789)),'자료_미국심리'!$D1789,"")</f>
        <v/>
      </c>
      <c r="Q1805">
        <f>IF(AND(ISNUMBER('자료_미국심리'!$G1789),ISNUMBER('자료_미국심리'!$H1789)),'자료_미국심리'!$G1789,"")</f>
        <v/>
      </c>
    </row>
    <row r="1806">
      <c r="O1806">
        <f>IF(AND(ISNUMBER('자료_미국심리'!$A1790),ISNUMBER('자료_미국심리'!$B1790)),'자료_미국심리'!$A1790,"")</f>
        <v/>
      </c>
      <c r="P1806">
        <f>IF(AND(ISNUMBER('자료_미국심리'!$D1790),ISNUMBER('자료_미국심리'!$E1790)),'자료_미국심리'!$D1790,"")</f>
        <v/>
      </c>
      <c r="Q1806">
        <f>IF(AND(ISNUMBER('자료_미국심리'!$G1790),ISNUMBER('자료_미국심리'!$H1790)),'자료_미국심리'!$G1790,"")</f>
        <v/>
      </c>
    </row>
    <row r="1807">
      <c r="O1807">
        <f>IF(AND(ISNUMBER('자료_미국심리'!$A1791),ISNUMBER('자료_미국심리'!$B1791)),'자료_미국심리'!$A1791,"")</f>
        <v/>
      </c>
      <c r="P1807">
        <f>IF(AND(ISNUMBER('자료_미국심리'!$D1791),ISNUMBER('자료_미국심리'!$E1791)),'자료_미국심리'!$D1791,"")</f>
        <v/>
      </c>
      <c r="Q1807">
        <f>IF(AND(ISNUMBER('자료_미국심리'!$G1791),ISNUMBER('자료_미국심리'!$H1791)),'자료_미국심리'!$G1791,"")</f>
        <v/>
      </c>
    </row>
    <row r="1808">
      <c r="O1808">
        <f>IF(AND(ISNUMBER('자료_미국심리'!$A1792),ISNUMBER('자료_미국심리'!$B1792)),'자료_미국심리'!$A1792,"")</f>
        <v/>
      </c>
      <c r="P1808">
        <f>IF(AND(ISNUMBER('자료_미국심리'!$D1792),ISNUMBER('자료_미국심리'!$E1792)),'자료_미국심리'!$D1792,"")</f>
        <v/>
      </c>
      <c r="Q1808">
        <f>IF(AND(ISNUMBER('자료_미국심리'!$G1792),ISNUMBER('자료_미국심리'!$H1792)),'자료_미국심리'!$G1792,"")</f>
        <v/>
      </c>
    </row>
    <row r="1809">
      <c r="O1809">
        <f>IF(AND(ISNUMBER('자료_미국심리'!$A1793),ISNUMBER('자료_미국심리'!$B1793)),'자료_미국심리'!$A1793,"")</f>
        <v/>
      </c>
      <c r="P1809">
        <f>IF(AND(ISNUMBER('자료_미국심리'!$D1793),ISNUMBER('자료_미국심리'!$E1793)),'자료_미국심리'!$D1793,"")</f>
        <v/>
      </c>
      <c r="Q1809">
        <f>IF(AND(ISNUMBER('자료_미국심리'!$G1793),ISNUMBER('자료_미국심리'!$H1793)),'자료_미국심리'!$G1793,"")</f>
        <v/>
      </c>
    </row>
    <row r="1810">
      <c r="O1810">
        <f>IF(AND(ISNUMBER('자료_미국심리'!$A1794),ISNUMBER('자료_미국심리'!$B1794)),'자료_미국심리'!$A1794,"")</f>
        <v/>
      </c>
      <c r="P1810">
        <f>IF(AND(ISNUMBER('자료_미국심리'!$D1794),ISNUMBER('자료_미국심리'!$E1794)),'자료_미국심리'!$D1794,"")</f>
        <v/>
      </c>
      <c r="Q1810">
        <f>IF(AND(ISNUMBER('자료_미국심리'!$G1794),ISNUMBER('자료_미국심리'!$H1794)),'자료_미국심리'!$G1794,"")</f>
        <v/>
      </c>
    </row>
    <row r="1811">
      <c r="O1811">
        <f>IF(AND(ISNUMBER('자료_미국심리'!$A1795),ISNUMBER('자료_미국심리'!$B1795)),'자료_미국심리'!$A1795,"")</f>
        <v/>
      </c>
      <c r="P1811">
        <f>IF(AND(ISNUMBER('자료_미국심리'!$D1795),ISNUMBER('자료_미국심리'!$E1795)),'자료_미국심리'!$D1795,"")</f>
        <v/>
      </c>
      <c r="Q1811">
        <f>IF(AND(ISNUMBER('자료_미국심리'!$G1795),ISNUMBER('자료_미국심리'!$H1795)),'자료_미국심리'!$G1795,"")</f>
        <v/>
      </c>
    </row>
    <row r="1812">
      <c r="O1812">
        <f>IF(AND(ISNUMBER('자료_미국심리'!$A1796),ISNUMBER('자료_미국심리'!$B1796)),'자료_미국심리'!$A1796,"")</f>
        <v/>
      </c>
      <c r="P1812">
        <f>IF(AND(ISNUMBER('자료_미국심리'!$D1796),ISNUMBER('자료_미국심리'!$E1796)),'자료_미국심리'!$D1796,"")</f>
        <v/>
      </c>
      <c r="Q1812">
        <f>IF(AND(ISNUMBER('자료_미국심리'!$G1796),ISNUMBER('자료_미국심리'!$H1796)),'자료_미국심리'!$G1796,"")</f>
        <v/>
      </c>
    </row>
    <row r="1813">
      <c r="O1813">
        <f>IF(AND(ISNUMBER('자료_미국심리'!$A1797),ISNUMBER('자료_미국심리'!$B1797)),'자료_미국심리'!$A1797,"")</f>
        <v/>
      </c>
      <c r="P1813">
        <f>IF(AND(ISNUMBER('자료_미국심리'!$D1797),ISNUMBER('자료_미국심리'!$E1797)),'자료_미국심리'!$D1797,"")</f>
        <v/>
      </c>
      <c r="Q1813">
        <f>IF(AND(ISNUMBER('자료_미국심리'!$G1797),ISNUMBER('자료_미국심리'!$H1797)),'자료_미국심리'!$G1797,"")</f>
        <v/>
      </c>
    </row>
    <row r="1814">
      <c r="O1814">
        <f>IF(AND(ISNUMBER('자료_미국심리'!$A1798),ISNUMBER('자료_미국심리'!$B1798)),'자료_미국심리'!$A1798,"")</f>
        <v/>
      </c>
      <c r="P1814">
        <f>IF(AND(ISNUMBER('자료_미국심리'!$D1798),ISNUMBER('자료_미국심리'!$E1798)),'자료_미국심리'!$D1798,"")</f>
        <v/>
      </c>
      <c r="Q1814">
        <f>IF(AND(ISNUMBER('자료_미국심리'!$G1798),ISNUMBER('자료_미국심리'!$H1798)),'자료_미국심리'!$G1798,"")</f>
        <v/>
      </c>
    </row>
    <row r="1815">
      <c r="O1815">
        <f>IF(AND(ISNUMBER('자료_미국심리'!$A1799),ISNUMBER('자료_미국심리'!$B1799)),'자료_미국심리'!$A1799,"")</f>
        <v/>
      </c>
      <c r="P1815">
        <f>IF(AND(ISNUMBER('자료_미국심리'!$D1799),ISNUMBER('자료_미국심리'!$E1799)),'자료_미국심리'!$D1799,"")</f>
        <v/>
      </c>
      <c r="Q1815">
        <f>IF(AND(ISNUMBER('자료_미국심리'!$G1799),ISNUMBER('자료_미국심리'!$H1799)),'자료_미국심리'!$G1799,"")</f>
        <v/>
      </c>
    </row>
    <row r="1816">
      <c r="O1816">
        <f>IF(AND(ISNUMBER('자료_미국심리'!$A1800),ISNUMBER('자료_미국심리'!$B1800)),'자료_미국심리'!$A1800,"")</f>
        <v/>
      </c>
      <c r="P1816">
        <f>IF(AND(ISNUMBER('자료_미국심리'!$D1800),ISNUMBER('자료_미국심리'!$E1800)),'자료_미국심리'!$D1800,"")</f>
        <v/>
      </c>
      <c r="Q1816">
        <f>IF(AND(ISNUMBER('자료_미국심리'!$G1800),ISNUMBER('자료_미국심리'!$H1800)),'자료_미국심리'!$G1800,"")</f>
        <v/>
      </c>
    </row>
    <row r="1817">
      <c r="O1817">
        <f>IF(AND(ISNUMBER('자료_미국심리'!$A1801),ISNUMBER('자료_미국심리'!$B1801)),'자료_미국심리'!$A1801,"")</f>
        <v/>
      </c>
      <c r="P1817">
        <f>IF(AND(ISNUMBER('자료_미국심리'!$D1801),ISNUMBER('자료_미국심리'!$E1801)),'자료_미국심리'!$D1801,"")</f>
        <v/>
      </c>
      <c r="Q1817">
        <f>IF(AND(ISNUMBER('자료_미국심리'!$G1801),ISNUMBER('자료_미국심리'!$H1801)),'자료_미국심리'!$G1801,"")</f>
        <v/>
      </c>
    </row>
    <row r="1818">
      <c r="O1818">
        <f>IF(AND(ISNUMBER('자료_미국심리'!$A1802),ISNUMBER('자료_미국심리'!$B1802)),'자료_미국심리'!$A1802,"")</f>
        <v/>
      </c>
      <c r="P1818">
        <f>IF(AND(ISNUMBER('자료_미국심리'!$D1802),ISNUMBER('자료_미국심리'!$E1802)),'자료_미국심리'!$D1802,"")</f>
        <v/>
      </c>
      <c r="Q1818">
        <f>IF(AND(ISNUMBER('자료_미국심리'!$G1802),ISNUMBER('자료_미국심리'!$H1802)),'자료_미국심리'!$G1802,"")</f>
        <v/>
      </c>
    </row>
    <row r="1819">
      <c r="O1819">
        <f>IF(AND(ISNUMBER('자료_미국심리'!$A1803),ISNUMBER('자료_미국심리'!$B1803)),'자료_미국심리'!$A1803,"")</f>
        <v/>
      </c>
      <c r="P1819">
        <f>IF(AND(ISNUMBER('자료_미국심리'!$D1803),ISNUMBER('자료_미국심리'!$E1803)),'자료_미국심리'!$D1803,"")</f>
        <v/>
      </c>
      <c r="Q1819">
        <f>IF(AND(ISNUMBER('자료_미국심리'!$G1803),ISNUMBER('자료_미국심리'!$H1803)),'자료_미국심리'!$G1803,"")</f>
        <v/>
      </c>
    </row>
    <row r="1820">
      <c r="O1820">
        <f>IF(AND(ISNUMBER('자료_미국심리'!$A1804),ISNUMBER('자료_미국심리'!$B1804)),'자료_미국심리'!$A1804,"")</f>
        <v/>
      </c>
      <c r="P1820">
        <f>IF(AND(ISNUMBER('자료_미국심리'!$D1804),ISNUMBER('자료_미국심리'!$E1804)),'자료_미국심리'!$D1804,"")</f>
        <v/>
      </c>
      <c r="Q1820">
        <f>IF(AND(ISNUMBER('자료_미국심리'!$G1804),ISNUMBER('자료_미국심리'!$H1804)),'자료_미국심리'!$G1804,"")</f>
        <v/>
      </c>
    </row>
    <row r="1821">
      <c r="O1821">
        <f>IF(AND(ISNUMBER('자료_미국심리'!$A1805),ISNUMBER('자료_미국심리'!$B1805)),'자료_미국심리'!$A1805,"")</f>
        <v/>
      </c>
      <c r="P1821">
        <f>IF(AND(ISNUMBER('자료_미국심리'!$D1805),ISNUMBER('자료_미국심리'!$E1805)),'자료_미국심리'!$D1805,"")</f>
        <v/>
      </c>
      <c r="Q1821">
        <f>IF(AND(ISNUMBER('자료_미국심리'!$G1805),ISNUMBER('자료_미국심리'!$H1805)),'자료_미국심리'!$G1805,"")</f>
        <v/>
      </c>
    </row>
    <row r="1822">
      <c r="O1822">
        <f>IF(AND(ISNUMBER('자료_미국심리'!$A1806),ISNUMBER('자료_미국심리'!$B1806)),'자료_미국심리'!$A1806,"")</f>
        <v/>
      </c>
      <c r="P1822">
        <f>IF(AND(ISNUMBER('자료_미국심리'!$D1806),ISNUMBER('자료_미국심리'!$E1806)),'자료_미국심리'!$D1806,"")</f>
        <v/>
      </c>
      <c r="Q1822">
        <f>IF(AND(ISNUMBER('자료_미국심리'!$G1806),ISNUMBER('자료_미국심리'!$H1806)),'자료_미국심리'!$G1806,"")</f>
        <v/>
      </c>
    </row>
    <row r="1823">
      <c r="O1823">
        <f>IF(AND(ISNUMBER('자료_미국심리'!$A1807),ISNUMBER('자료_미국심리'!$B1807)),'자료_미국심리'!$A1807,"")</f>
        <v/>
      </c>
      <c r="P1823">
        <f>IF(AND(ISNUMBER('자료_미국심리'!$D1807),ISNUMBER('자료_미국심리'!$E1807)),'자료_미국심리'!$D1807,"")</f>
        <v/>
      </c>
      <c r="Q1823">
        <f>IF(AND(ISNUMBER('자료_미국심리'!$G1807),ISNUMBER('자료_미국심리'!$H1807)),'자료_미국심리'!$G1807,"")</f>
        <v/>
      </c>
    </row>
    <row r="1824">
      <c r="O1824">
        <f>IF(AND(ISNUMBER('자료_미국심리'!$A1808),ISNUMBER('자료_미국심리'!$B1808)),'자료_미국심리'!$A1808,"")</f>
        <v/>
      </c>
      <c r="P1824">
        <f>IF(AND(ISNUMBER('자료_미국심리'!$D1808),ISNUMBER('자료_미국심리'!$E1808)),'자료_미국심리'!$D1808,"")</f>
        <v/>
      </c>
      <c r="Q1824">
        <f>IF(AND(ISNUMBER('자료_미국심리'!$G1808),ISNUMBER('자료_미국심리'!$H1808)),'자료_미국심리'!$G1808,"")</f>
        <v/>
      </c>
    </row>
    <row r="1825">
      <c r="O1825">
        <f>IF(AND(ISNUMBER('자료_미국심리'!$A1809),ISNUMBER('자료_미국심리'!$B1809)),'자료_미국심리'!$A1809,"")</f>
        <v/>
      </c>
      <c r="P1825">
        <f>IF(AND(ISNUMBER('자료_미국심리'!$D1809),ISNUMBER('자료_미국심리'!$E1809)),'자료_미국심리'!$D1809,"")</f>
        <v/>
      </c>
      <c r="Q1825">
        <f>IF(AND(ISNUMBER('자료_미국심리'!$G1809),ISNUMBER('자료_미국심리'!$H1809)),'자료_미국심리'!$G1809,"")</f>
        <v/>
      </c>
    </row>
    <row r="1826">
      <c r="O1826">
        <f>IF(AND(ISNUMBER('자료_미국심리'!$A1810),ISNUMBER('자료_미국심리'!$B1810)),'자료_미국심리'!$A1810,"")</f>
        <v/>
      </c>
      <c r="P1826">
        <f>IF(AND(ISNUMBER('자료_미국심리'!$D1810),ISNUMBER('자료_미국심리'!$E1810)),'자료_미국심리'!$D1810,"")</f>
        <v/>
      </c>
      <c r="Q1826">
        <f>IF(AND(ISNUMBER('자료_미국심리'!$G1810),ISNUMBER('자료_미국심리'!$H1810)),'자료_미국심리'!$G1810,"")</f>
        <v/>
      </c>
    </row>
    <row r="1827">
      <c r="O1827">
        <f>IF(AND(ISNUMBER('자료_미국심리'!$A1811),ISNUMBER('자료_미국심리'!$B1811)),'자료_미국심리'!$A1811,"")</f>
        <v/>
      </c>
      <c r="P1827">
        <f>IF(AND(ISNUMBER('자료_미국심리'!$D1811),ISNUMBER('자료_미국심리'!$E1811)),'자료_미국심리'!$D1811,"")</f>
        <v/>
      </c>
      <c r="Q1827">
        <f>IF(AND(ISNUMBER('자료_미국심리'!$G1811),ISNUMBER('자료_미국심리'!$H1811)),'자료_미국심리'!$G1811,"")</f>
        <v/>
      </c>
    </row>
    <row r="1828">
      <c r="O1828">
        <f>IF(AND(ISNUMBER('자료_미국심리'!$A1812),ISNUMBER('자료_미국심리'!$B1812)),'자료_미국심리'!$A1812,"")</f>
        <v/>
      </c>
      <c r="P1828">
        <f>IF(AND(ISNUMBER('자료_미국심리'!$D1812),ISNUMBER('자료_미국심리'!$E1812)),'자료_미국심리'!$D1812,"")</f>
        <v/>
      </c>
      <c r="Q1828">
        <f>IF(AND(ISNUMBER('자료_미국심리'!$G1812),ISNUMBER('자료_미국심리'!$H1812)),'자료_미국심리'!$G1812,"")</f>
        <v/>
      </c>
    </row>
    <row r="1829">
      <c r="O1829">
        <f>IF(AND(ISNUMBER('자료_미국심리'!$A1813),ISNUMBER('자료_미국심리'!$B1813)),'자료_미국심리'!$A1813,"")</f>
        <v/>
      </c>
      <c r="P1829">
        <f>IF(AND(ISNUMBER('자료_미국심리'!$D1813),ISNUMBER('자료_미국심리'!$E1813)),'자료_미국심리'!$D1813,"")</f>
        <v/>
      </c>
      <c r="Q1829">
        <f>IF(AND(ISNUMBER('자료_미국심리'!$G1813),ISNUMBER('자료_미국심리'!$H1813)),'자료_미국심리'!$G1813,"")</f>
        <v/>
      </c>
    </row>
    <row r="1830">
      <c r="O1830">
        <f>IF(AND(ISNUMBER('자료_미국심리'!$A1814),ISNUMBER('자료_미국심리'!$B1814)),'자료_미국심리'!$A1814,"")</f>
        <v/>
      </c>
      <c r="P1830">
        <f>IF(AND(ISNUMBER('자료_미국심리'!$D1814),ISNUMBER('자료_미국심리'!$E1814)),'자료_미국심리'!$D1814,"")</f>
        <v/>
      </c>
      <c r="Q1830">
        <f>IF(AND(ISNUMBER('자료_미국심리'!$G1814),ISNUMBER('자료_미국심리'!$H1814)),'자료_미국심리'!$G1814,"")</f>
        <v/>
      </c>
    </row>
    <row r="1831">
      <c r="O1831">
        <f>IF(AND(ISNUMBER('자료_미국심리'!$A1815),ISNUMBER('자료_미국심리'!$B1815)),'자료_미국심리'!$A1815,"")</f>
        <v/>
      </c>
      <c r="P1831">
        <f>IF(AND(ISNUMBER('자료_미국심리'!$D1815),ISNUMBER('자료_미국심리'!$E1815)),'자료_미국심리'!$D1815,"")</f>
        <v/>
      </c>
      <c r="Q1831">
        <f>IF(AND(ISNUMBER('자료_미국심리'!$G1815),ISNUMBER('자료_미국심리'!$H1815)),'자료_미국심리'!$G1815,"")</f>
        <v/>
      </c>
    </row>
    <row r="1832">
      <c r="O1832">
        <f>IF(AND(ISNUMBER('자료_미국심리'!$A1816),ISNUMBER('자료_미국심리'!$B1816)),'자료_미국심리'!$A1816,"")</f>
        <v/>
      </c>
      <c r="P1832">
        <f>IF(AND(ISNUMBER('자료_미국심리'!$D1816),ISNUMBER('자료_미국심리'!$E1816)),'자료_미국심리'!$D1816,"")</f>
        <v/>
      </c>
      <c r="Q1832">
        <f>IF(AND(ISNUMBER('자료_미국심리'!$G1816),ISNUMBER('자료_미국심리'!$H1816)),'자료_미국심리'!$G1816,"")</f>
        <v/>
      </c>
    </row>
    <row r="1833">
      <c r="O1833">
        <f>IF(AND(ISNUMBER('자료_미국심리'!$A1817),ISNUMBER('자료_미국심리'!$B1817)),'자료_미국심리'!$A1817,"")</f>
        <v/>
      </c>
      <c r="P1833">
        <f>IF(AND(ISNUMBER('자료_미국심리'!$D1817),ISNUMBER('자료_미국심리'!$E1817)),'자료_미국심리'!$D1817,"")</f>
        <v/>
      </c>
      <c r="Q1833">
        <f>IF(AND(ISNUMBER('자료_미국심리'!$G1817),ISNUMBER('자료_미국심리'!$H1817)),'자료_미국심리'!$G1817,"")</f>
        <v/>
      </c>
    </row>
    <row r="1834">
      <c r="O1834">
        <f>IF(AND(ISNUMBER('자료_미국심리'!$A1818),ISNUMBER('자료_미국심리'!$B1818)),'자료_미국심리'!$A1818,"")</f>
        <v/>
      </c>
      <c r="P1834">
        <f>IF(AND(ISNUMBER('자료_미국심리'!$D1818),ISNUMBER('자료_미국심리'!$E1818)),'자료_미국심리'!$D1818,"")</f>
        <v/>
      </c>
      <c r="Q1834">
        <f>IF(AND(ISNUMBER('자료_미국심리'!$G1818),ISNUMBER('자료_미국심리'!$H1818)),'자료_미국심리'!$G1818,"")</f>
        <v/>
      </c>
    </row>
    <row r="1835">
      <c r="O1835">
        <f>IF(AND(ISNUMBER('자료_미국심리'!$A1819),ISNUMBER('자료_미국심리'!$B1819)),'자료_미국심리'!$A1819,"")</f>
        <v/>
      </c>
      <c r="P1835">
        <f>IF(AND(ISNUMBER('자료_미국심리'!$D1819),ISNUMBER('자료_미국심리'!$E1819)),'자료_미국심리'!$D1819,"")</f>
        <v/>
      </c>
      <c r="Q1835">
        <f>IF(AND(ISNUMBER('자료_미국심리'!$G1819),ISNUMBER('자료_미국심리'!$H1819)),'자료_미국심리'!$G1819,"")</f>
        <v/>
      </c>
    </row>
    <row r="1836">
      <c r="O1836">
        <f>IF(AND(ISNUMBER('자료_미국심리'!$A1820),ISNUMBER('자료_미국심리'!$B1820)),'자료_미국심리'!$A1820,"")</f>
        <v/>
      </c>
      <c r="P1836">
        <f>IF(AND(ISNUMBER('자료_미국심리'!$D1820),ISNUMBER('자료_미국심리'!$E1820)),'자료_미국심리'!$D1820,"")</f>
        <v/>
      </c>
      <c r="Q1836">
        <f>IF(AND(ISNUMBER('자료_미국심리'!$G1820),ISNUMBER('자료_미국심리'!$H1820)),'자료_미국심리'!$G1820,"")</f>
        <v/>
      </c>
    </row>
    <row r="1837">
      <c r="O1837">
        <f>IF(AND(ISNUMBER('자료_미국심리'!$A1821),ISNUMBER('자료_미국심리'!$B1821)),'자료_미국심리'!$A1821,"")</f>
        <v/>
      </c>
      <c r="P1837">
        <f>IF(AND(ISNUMBER('자료_미국심리'!$D1821),ISNUMBER('자료_미국심리'!$E1821)),'자료_미국심리'!$D1821,"")</f>
        <v/>
      </c>
      <c r="Q1837">
        <f>IF(AND(ISNUMBER('자료_미국심리'!$G1821),ISNUMBER('자료_미국심리'!$H1821)),'자료_미국심리'!$G1821,"")</f>
        <v/>
      </c>
    </row>
    <row r="1838">
      <c r="O1838">
        <f>IF(AND(ISNUMBER('자료_미국심리'!$A1822),ISNUMBER('자료_미국심리'!$B1822)),'자료_미국심리'!$A1822,"")</f>
        <v/>
      </c>
      <c r="P1838">
        <f>IF(AND(ISNUMBER('자료_미국심리'!$D1822),ISNUMBER('자료_미국심리'!$E1822)),'자료_미국심리'!$D1822,"")</f>
        <v/>
      </c>
      <c r="Q1838">
        <f>IF(AND(ISNUMBER('자료_미국심리'!$G1822),ISNUMBER('자료_미국심리'!$H1822)),'자료_미국심리'!$G1822,"")</f>
        <v/>
      </c>
    </row>
    <row r="1839">
      <c r="O1839">
        <f>IF(AND(ISNUMBER('자료_미국심리'!$A1823),ISNUMBER('자료_미국심리'!$B1823)),'자료_미국심리'!$A1823,"")</f>
        <v/>
      </c>
      <c r="P1839">
        <f>IF(AND(ISNUMBER('자료_미국심리'!$D1823),ISNUMBER('자료_미국심리'!$E1823)),'자료_미국심리'!$D1823,"")</f>
        <v/>
      </c>
      <c r="Q1839">
        <f>IF(AND(ISNUMBER('자료_미국심리'!$G1823),ISNUMBER('자료_미국심리'!$H1823)),'자료_미국심리'!$G1823,"")</f>
        <v/>
      </c>
    </row>
    <row r="1840">
      <c r="O1840">
        <f>IF(AND(ISNUMBER('자료_미국심리'!$A1824),ISNUMBER('자료_미국심리'!$B1824)),'자료_미국심리'!$A1824,"")</f>
        <v/>
      </c>
      <c r="P1840">
        <f>IF(AND(ISNUMBER('자료_미국심리'!$D1824),ISNUMBER('자료_미국심리'!$E1824)),'자료_미국심리'!$D1824,"")</f>
        <v/>
      </c>
      <c r="Q1840">
        <f>IF(AND(ISNUMBER('자료_미국심리'!$G1824),ISNUMBER('자료_미국심리'!$H1824)),'자료_미국심리'!$G1824,"")</f>
        <v/>
      </c>
    </row>
    <row r="1841">
      <c r="O1841">
        <f>IF(AND(ISNUMBER('자료_미국심리'!$A1825),ISNUMBER('자료_미국심리'!$B1825)),'자료_미국심리'!$A1825,"")</f>
        <v/>
      </c>
      <c r="P1841">
        <f>IF(AND(ISNUMBER('자료_미국심리'!$D1825),ISNUMBER('자료_미국심리'!$E1825)),'자료_미국심리'!$D1825,"")</f>
        <v/>
      </c>
      <c r="Q1841">
        <f>IF(AND(ISNUMBER('자료_미국심리'!$G1825),ISNUMBER('자료_미국심리'!$H1825)),'자료_미국심리'!$G1825,"")</f>
        <v/>
      </c>
    </row>
    <row r="1842">
      <c r="O1842">
        <f>IF(AND(ISNUMBER('자료_미국심리'!$A1826),ISNUMBER('자료_미국심리'!$B1826)),'자료_미국심리'!$A1826,"")</f>
        <v/>
      </c>
      <c r="P1842">
        <f>IF(AND(ISNUMBER('자료_미국심리'!$D1826),ISNUMBER('자료_미국심리'!$E1826)),'자료_미국심리'!$D1826,"")</f>
        <v/>
      </c>
      <c r="Q1842">
        <f>IF(AND(ISNUMBER('자료_미국심리'!$G1826),ISNUMBER('자료_미국심리'!$H1826)),'자료_미국심리'!$G1826,"")</f>
        <v/>
      </c>
    </row>
    <row r="1843">
      <c r="O1843">
        <f>IF(AND(ISNUMBER('자료_미국심리'!$A1827),ISNUMBER('자료_미국심리'!$B1827)),'자료_미국심리'!$A1827,"")</f>
        <v/>
      </c>
      <c r="P1843">
        <f>IF(AND(ISNUMBER('자료_미국심리'!$D1827),ISNUMBER('자료_미국심리'!$E1827)),'자료_미국심리'!$D1827,"")</f>
        <v/>
      </c>
      <c r="Q1843">
        <f>IF(AND(ISNUMBER('자료_미국심리'!$G1827),ISNUMBER('자료_미국심리'!$H1827)),'자료_미국심리'!$G1827,"")</f>
        <v/>
      </c>
    </row>
    <row r="1844">
      <c r="O1844">
        <f>IF(AND(ISNUMBER('자료_미국심리'!$A1828),ISNUMBER('자료_미국심리'!$B1828)),'자료_미국심리'!$A1828,"")</f>
        <v/>
      </c>
      <c r="P1844">
        <f>IF(AND(ISNUMBER('자료_미국심리'!$D1828),ISNUMBER('자료_미국심리'!$E1828)),'자료_미국심리'!$D1828,"")</f>
        <v/>
      </c>
      <c r="Q1844">
        <f>IF(AND(ISNUMBER('자료_미국심리'!$G1828),ISNUMBER('자료_미국심리'!$H1828)),'자료_미국심리'!$G1828,"")</f>
        <v/>
      </c>
    </row>
    <row r="1845">
      <c r="O1845">
        <f>IF(AND(ISNUMBER('자료_미국심리'!$A1829),ISNUMBER('자료_미국심리'!$B1829)),'자료_미국심리'!$A1829,"")</f>
        <v/>
      </c>
      <c r="P1845">
        <f>IF(AND(ISNUMBER('자료_미국심리'!$D1829),ISNUMBER('자료_미국심리'!$E1829)),'자료_미국심리'!$D1829,"")</f>
        <v/>
      </c>
      <c r="Q1845">
        <f>IF(AND(ISNUMBER('자료_미국심리'!$G1829),ISNUMBER('자료_미국심리'!$H1829)),'자료_미국심리'!$G1829,"")</f>
        <v/>
      </c>
    </row>
    <row r="1846">
      <c r="O1846">
        <f>IF(AND(ISNUMBER('자료_미국심리'!$A1830),ISNUMBER('자료_미국심리'!$B1830)),'자료_미국심리'!$A1830,"")</f>
        <v/>
      </c>
      <c r="P1846">
        <f>IF(AND(ISNUMBER('자료_미국심리'!$D1830),ISNUMBER('자료_미국심리'!$E1830)),'자료_미국심리'!$D1830,"")</f>
        <v/>
      </c>
      <c r="Q1846">
        <f>IF(AND(ISNUMBER('자료_미국심리'!$G1830),ISNUMBER('자료_미국심리'!$H1830)),'자료_미국심리'!$G1830,"")</f>
        <v/>
      </c>
    </row>
    <row r="1847">
      <c r="O1847">
        <f>IF(AND(ISNUMBER('자료_미국심리'!$A1831),ISNUMBER('자료_미국심리'!$B1831)),'자료_미국심리'!$A1831,"")</f>
        <v/>
      </c>
      <c r="P1847">
        <f>IF(AND(ISNUMBER('자료_미국심리'!$D1831),ISNUMBER('자료_미국심리'!$E1831)),'자료_미국심리'!$D1831,"")</f>
        <v/>
      </c>
      <c r="Q1847">
        <f>IF(AND(ISNUMBER('자료_미국심리'!$G1831),ISNUMBER('자료_미국심리'!$H1831)),'자료_미국심리'!$G1831,"")</f>
        <v/>
      </c>
    </row>
    <row r="1848">
      <c r="O1848">
        <f>IF(AND(ISNUMBER('자료_미국심리'!$A1832),ISNUMBER('자료_미국심리'!$B1832)),'자료_미국심리'!$A1832,"")</f>
        <v/>
      </c>
      <c r="P1848">
        <f>IF(AND(ISNUMBER('자료_미국심리'!$D1832),ISNUMBER('자료_미국심리'!$E1832)),'자료_미국심리'!$D1832,"")</f>
        <v/>
      </c>
      <c r="Q1848">
        <f>IF(AND(ISNUMBER('자료_미국심리'!$G1832),ISNUMBER('자료_미국심리'!$H1832)),'자료_미국심리'!$G1832,"")</f>
        <v/>
      </c>
    </row>
    <row r="1849">
      <c r="O1849">
        <f>IF(AND(ISNUMBER('자료_미국심리'!$A1833),ISNUMBER('자료_미국심리'!$B1833)),'자료_미국심리'!$A1833,"")</f>
        <v/>
      </c>
      <c r="P1849">
        <f>IF(AND(ISNUMBER('자료_미국심리'!$D1833),ISNUMBER('자료_미국심리'!$E1833)),'자료_미국심리'!$D1833,"")</f>
        <v/>
      </c>
      <c r="Q1849">
        <f>IF(AND(ISNUMBER('자료_미국심리'!$G1833),ISNUMBER('자료_미국심리'!$H1833)),'자료_미국심리'!$G1833,"")</f>
        <v/>
      </c>
    </row>
    <row r="1850">
      <c r="O1850">
        <f>IF(AND(ISNUMBER('자료_미국심리'!$A1834),ISNUMBER('자료_미국심리'!$B1834)),'자료_미국심리'!$A1834,"")</f>
        <v/>
      </c>
      <c r="P1850">
        <f>IF(AND(ISNUMBER('자료_미국심리'!$D1834),ISNUMBER('자료_미국심리'!$E1834)),'자료_미국심리'!$D1834,"")</f>
        <v/>
      </c>
      <c r="Q1850">
        <f>IF(AND(ISNUMBER('자료_미국심리'!$G1834),ISNUMBER('자료_미국심리'!$H1834)),'자료_미국심리'!$G1834,"")</f>
        <v/>
      </c>
    </row>
    <row r="1851">
      <c r="O1851">
        <f>IF(AND(ISNUMBER('자료_미국심리'!$A1835),ISNUMBER('자료_미국심리'!$B1835)),'자료_미국심리'!$A1835,"")</f>
        <v/>
      </c>
      <c r="P1851">
        <f>IF(AND(ISNUMBER('자료_미국심리'!$D1835),ISNUMBER('자료_미국심리'!$E1835)),'자료_미국심리'!$D1835,"")</f>
        <v/>
      </c>
      <c r="Q1851">
        <f>IF(AND(ISNUMBER('자료_미국심리'!$G1835),ISNUMBER('자료_미국심리'!$H1835)),'자료_미국심리'!$G1835,"")</f>
        <v/>
      </c>
    </row>
    <row r="1852">
      <c r="O1852">
        <f>IF(AND(ISNUMBER('자료_미국심리'!$A1836),ISNUMBER('자료_미국심리'!$B1836)),'자료_미국심리'!$A1836,"")</f>
        <v/>
      </c>
      <c r="P1852">
        <f>IF(AND(ISNUMBER('자료_미국심리'!$D1836),ISNUMBER('자료_미국심리'!$E1836)),'자료_미국심리'!$D1836,"")</f>
        <v/>
      </c>
      <c r="Q1852">
        <f>IF(AND(ISNUMBER('자료_미국심리'!$G1836),ISNUMBER('자료_미국심리'!$H1836)),'자료_미국심리'!$G1836,"")</f>
        <v/>
      </c>
    </row>
    <row r="1853">
      <c r="O1853">
        <f>IF(AND(ISNUMBER('자료_미국심리'!$A1837),ISNUMBER('자료_미국심리'!$B1837)),'자료_미국심리'!$A1837,"")</f>
        <v/>
      </c>
      <c r="P1853">
        <f>IF(AND(ISNUMBER('자료_미국심리'!$D1837),ISNUMBER('자료_미국심리'!$E1837)),'자료_미국심리'!$D1837,"")</f>
        <v/>
      </c>
      <c r="Q1853">
        <f>IF(AND(ISNUMBER('자료_미국심리'!$G1837),ISNUMBER('자료_미국심리'!$H1837)),'자료_미국심리'!$G1837,"")</f>
        <v/>
      </c>
    </row>
    <row r="1854">
      <c r="O1854">
        <f>IF(AND(ISNUMBER('자료_미국심리'!$A1838),ISNUMBER('자료_미국심리'!$B1838)),'자료_미국심리'!$A1838,"")</f>
        <v/>
      </c>
      <c r="P1854">
        <f>IF(AND(ISNUMBER('자료_미국심리'!$D1838),ISNUMBER('자료_미국심리'!$E1838)),'자료_미국심리'!$D1838,"")</f>
        <v/>
      </c>
      <c r="Q1854">
        <f>IF(AND(ISNUMBER('자료_미국심리'!$G1838),ISNUMBER('자료_미국심리'!$H1838)),'자료_미국심리'!$G1838,"")</f>
        <v/>
      </c>
    </row>
    <row r="1855">
      <c r="O1855">
        <f>IF(AND(ISNUMBER('자료_미국심리'!$A1839),ISNUMBER('자료_미국심리'!$B1839)),'자료_미국심리'!$A1839,"")</f>
        <v/>
      </c>
      <c r="P1855">
        <f>IF(AND(ISNUMBER('자료_미국심리'!$D1839),ISNUMBER('자료_미국심리'!$E1839)),'자료_미국심리'!$D1839,"")</f>
        <v/>
      </c>
      <c r="Q1855">
        <f>IF(AND(ISNUMBER('자료_미국심리'!$G1839),ISNUMBER('자료_미국심리'!$H1839)),'자료_미국심리'!$G1839,"")</f>
        <v/>
      </c>
    </row>
    <row r="1856">
      <c r="O1856">
        <f>IF(AND(ISNUMBER('자료_미국심리'!$A1840),ISNUMBER('자료_미국심리'!$B1840)),'자료_미국심리'!$A1840,"")</f>
        <v/>
      </c>
      <c r="P1856">
        <f>IF(AND(ISNUMBER('자료_미국심리'!$D1840),ISNUMBER('자료_미국심리'!$E1840)),'자료_미국심리'!$D1840,"")</f>
        <v/>
      </c>
      <c r="Q1856">
        <f>IF(AND(ISNUMBER('자료_미국심리'!$G1840),ISNUMBER('자료_미국심리'!$H1840)),'자료_미국심리'!$G1840,"")</f>
        <v/>
      </c>
    </row>
    <row r="1857">
      <c r="O1857">
        <f>IF(AND(ISNUMBER('자료_미국심리'!$A1841),ISNUMBER('자료_미국심리'!$B1841)),'자료_미국심리'!$A1841,"")</f>
        <v/>
      </c>
      <c r="P1857">
        <f>IF(AND(ISNUMBER('자료_미국심리'!$D1841),ISNUMBER('자료_미국심리'!$E1841)),'자료_미국심리'!$D1841,"")</f>
        <v/>
      </c>
      <c r="Q1857">
        <f>IF(AND(ISNUMBER('자료_미국심리'!$G1841),ISNUMBER('자료_미국심리'!$H1841)),'자료_미국심리'!$G1841,"")</f>
        <v/>
      </c>
    </row>
    <row r="1858">
      <c r="O1858">
        <f>IF(AND(ISNUMBER('자료_미국심리'!$A1842),ISNUMBER('자료_미국심리'!$B1842)),'자료_미국심리'!$A1842,"")</f>
        <v/>
      </c>
      <c r="P1858">
        <f>IF(AND(ISNUMBER('자료_미국심리'!$D1842),ISNUMBER('자료_미국심리'!$E1842)),'자료_미국심리'!$D1842,"")</f>
        <v/>
      </c>
      <c r="Q1858">
        <f>IF(AND(ISNUMBER('자료_미국심리'!$G1842),ISNUMBER('자료_미국심리'!$H1842)),'자료_미국심리'!$G1842,"")</f>
        <v/>
      </c>
    </row>
    <row r="1859">
      <c r="O1859">
        <f>IF(AND(ISNUMBER('자료_미국심리'!$A1843),ISNUMBER('자료_미국심리'!$B1843)),'자료_미국심리'!$A1843,"")</f>
        <v/>
      </c>
      <c r="P1859">
        <f>IF(AND(ISNUMBER('자료_미국심리'!$D1843),ISNUMBER('자료_미국심리'!$E1843)),'자료_미국심리'!$D1843,"")</f>
        <v/>
      </c>
      <c r="Q1859">
        <f>IF(AND(ISNUMBER('자료_미국심리'!$G1843),ISNUMBER('자료_미국심리'!$H1843)),'자료_미국심리'!$G1843,"")</f>
        <v/>
      </c>
    </row>
    <row r="1860">
      <c r="O1860">
        <f>IF(AND(ISNUMBER('자료_미국심리'!$A1844),ISNUMBER('자료_미국심리'!$B1844)),'자료_미국심리'!$A1844,"")</f>
        <v/>
      </c>
      <c r="P1860">
        <f>IF(AND(ISNUMBER('자료_미국심리'!$D1844),ISNUMBER('자료_미국심리'!$E1844)),'자료_미국심리'!$D1844,"")</f>
        <v/>
      </c>
      <c r="Q1860">
        <f>IF(AND(ISNUMBER('자료_미국심리'!$G1844),ISNUMBER('자료_미국심리'!$H1844)),'자료_미국심리'!$G1844,"")</f>
        <v/>
      </c>
    </row>
    <row r="1861">
      <c r="O1861">
        <f>IF(AND(ISNUMBER('자료_미국심리'!$A1845),ISNUMBER('자료_미국심리'!$B1845)),'자료_미국심리'!$A1845,"")</f>
        <v/>
      </c>
      <c r="P1861">
        <f>IF(AND(ISNUMBER('자료_미국심리'!$D1845),ISNUMBER('자료_미국심리'!$E1845)),'자료_미국심리'!$D1845,"")</f>
        <v/>
      </c>
      <c r="Q1861">
        <f>IF(AND(ISNUMBER('자료_미국심리'!$G1845),ISNUMBER('자료_미국심리'!$H1845)),'자료_미국심리'!$G1845,"")</f>
        <v/>
      </c>
    </row>
    <row r="1862">
      <c r="O1862">
        <f>IF(AND(ISNUMBER('자료_미국심리'!$A1846),ISNUMBER('자료_미국심리'!$B1846)),'자료_미국심리'!$A1846,"")</f>
        <v/>
      </c>
      <c r="P1862">
        <f>IF(AND(ISNUMBER('자료_미국심리'!$D1846),ISNUMBER('자료_미국심리'!$E1846)),'자료_미국심리'!$D1846,"")</f>
        <v/>
      </c>
      <c r="Q1862">
        <f>IF(AND(ISNUMBER('자료_미국심리'!$G1846),ISNUMBER('자료_미국심리'!$H1846)),'자료_미국심리'!$G1846,"")</f>
        <v/>
      </c>
    </row>
    <row r="1863">
      <c r="O1863">
        <f>IF(AND(ISNUMBER('자료_미국심리'!$A1847),ISNUMBER('자료_미국심리'!$B1847)),'자료_미국심리'!$A1847,"")</f>
        <v/>
      </c>
      <c r="P1863">
        <f>IF(AND(ISNUMBER('자료_미국심리'!$D1847),ISNUMBER('자료_미국심리'!$E1847)),'자료_미국심리'!$D1847,"")</f>
        <v/>
      </c>
      <c r="Q1863">
        <f>IF(AND(ISNUMBER('자료_미국심리'!$G1847),ISNUMBER('자료_미국심리'!$H1847)),'자료_미국심리'!$G1847,"")</f>
        <v/>
      </c>
    </row>
    <row r="1864">
      <c r="O1864">
        <f>IF(AND(ISNUMBER('자료_미국심리'!$A1848),ISNUMBER('자료_미국심리'!$B1848)),'자료_미국심리'!$A1848,"")</f>
        <v/>
      </c>
      <c r="P1864">
        <f>IF(AND(ISNUMBER('자료_미국심리'!$D1848),ISNUMBER('자료_미국심리'!$E1848)),'자료_미국심리'!$D1848,"")</f>
        <v/>
      </c>
      <c r="Q1864">
        <f>IF(AND(ISNUMBER('자료_미국심리'!$G1848),ISNUMBER('자료_미국심리'!$H1848)),'자료_미국심리'!$G1848,"")</f>
        <v/>
      </c>
    </row>
    <row r="1865">
      <c r="O1865">
        <f>IF(AND(ISNUMBER('자료_미국심리'!$A1849),ISNUMBER('자료_미국심리'!$B1849)),'자료_미국심리'!$A1849,"")</f>
        <v/>
      </c>
      <c r="P1865">
        <f>IF(AND(ISNUMBER('자료_미국심리'!$D1849),ISNUMBER('자료_미국심리'!$E1849)),'자료_미국심리'!$D1849,"")</f>
        <v/>
      </c>
      <c r="Q1865">
        <f>IF(AND(ISNUMBER('자료_미국심리'!$G1849),ISNUMBER('자료_미국심리'!$H1849)),'자료_미국심리'!$G1849,"")</f>
        <v/>
      </c>
    </row>
    <row r="1866">
      <c r="O1866">
        <f>IF(AND(ISNUMBER('자료_미국심리'!$A1850),ISNUMBER('자료_미국심리'!$B1850)),'자료_미국심리'!$A1850,"")</f>
        <v/>
      </c>
      <c r="P1866">
        <f>IF(AND(ISNUMBER('자료_미국심리'!$D1850),ISNUMBER('자료_미국심리'!$E1850)),'자료_미국심리'!$D1850,"")</f>
        <v/>
      </c>
      <c r="Q1866">
        <f>IF(AND(ISNUMBER('자료_미국심리'!$G1850),ISNUMBER('자료_미국심리'!$H1850)),'자료_미국심리'!$G1850,"")</f>
        <v/>
      </c>
    </row>
    <row r="1867">
      <c r="O1867">
        <f>IF(AND(ISNUMBER('자료_미국심리'!$A1851),ISNUMBER('자료_미국심리'!$B1851)),'자료_미국심리'!$A1851,"")</f>
        <v/>
      </c>
      <c r="P1867">
        <f>IF(AND(ISNUMBER('자료_미국심리'!$D1851),ISNUMBER('자료_미국심리'!$E1851)),'자료_미국심리'!$D1851,"")</f>
        <v/>
      </c>
      <c r="Q1867">
        <f>IF(AND(ISNUMBER('자료_미국심리'!$G1851),ISNUMBER('자료_미국심리'!$H1851)),'자료_미국심리'!$G1851,"")</f>
        <v/>
      </c>
    </row>
    <row r="1868">
      <c r="O1868">
        <f>IF(AND(ISNUMBER('자료_미국심리'!$A1852),ISNUMBER('자료_미국심리'!$B1852)),'자료_미국심리'!$A1852,"")</f>
        <v/>
      </c>
      <c r="P1868">
        <f>IF(AND(ISNUMBER('자료_미국심리'!$D1852),ISNUMBER('자료_미국심리'!$E1852)),'자료_미국심리'!$D1852,"")</f>
        <v/>
      </c>
      <c r="Q1868">
        <f>IF(AND(ISNUMBER('자료_미국심리'!$G1852),ISNUMBER('자료_미국심리'!$H1852)),'자료_미국심리'!$G1852,"")</f>
        <v/>
      </c>
    </row>
    <row r="1869">
      <c r="O1869">
        <f>IF(AND(ISNUMBER('자료_미국심리'!$A1853),ISNUMBER('자료_미국심리'!$B1853)),'자료_미국심리'!$A1853,"")</f>
        <v/>
      </c>
      <c r="P1869">
        <f>IF(AND(ISNUMBER('자료_미국심리'!$D1853),ISNUMBER('자료_미국심리'!$E1853)),'자료_미국심리'!$D1853,"")</f>
        <v/>
      </c>
      <c r="Q1869">
        <f>IF(AND(ISNUMBER('자료_미국심리'!$G1853),ISNUMBER('자료_미국심리'!$H1853)),'자료_미국심리'!$G1853,"")</f>
        <v/>
      </c>
    </row>
    <row r="1870">
      <c r="O1870">
        <f>IF(AND(ISNUMBER('자료_미국심리'!$A1854),ISNUMBER('자료_미국심리'!$B1854)),'자료_미국심리'!$A1854,"")</f>
        <v/>
      </c>
      <c r="P1870">
        <f>IF(AND(ISNUMBER('자료_미국심리'!$D1854),ISNUMBER('자료_미국심리'!$E1854)),'자료_미국심리'!$D1854,"")</f>
        <v/>
      </c>
      <c r="Q1870">
        <f>IF(AND(ISNUMBER('자료_미국심리'!$G1854),ISNUMBER('자료_미국심리'!$H1854)),'자료_미국심리'!$G1854,"")</f>
        <v/>
      </c>
    </row>
    <row r="1871">
      <c r="O1871">
        <f>IF(AND(ISNUMBER('자료_미국심리'!$A1855),ISNUMBER('자료_미국심리'!$B1855)),'자료_미국심리'!$A1855,"")</f>
        <v/>
      </c>
      <c r="P1871">
        <f>IF(AND(ISNUMBER('자료_미국심리'!$D1855),ISNUMBER('자료_미국심리'!$E1855)),'자료_미국심리'!$D1855,"")</f>
        <v/>
      </c>
      <c r="Q1871">
        <f>IF(AND(ISNUMBER('자료_미국심리'!$G1855),ISNUMBER('자료_미국심리'!$H1855)),'자료_미국심리'!$G1855,"")</f>
        <v/>
      </c>
    </row>
    <row r="1872">
      <c r="O1872">
        <f>IF(AND(ISNUMBER('자료_미국심리'!$A1856),ISNUMBER('자료_미국심리'!$B1856)),'자료_미국심리'!$A1856,"")</f>
        <v/>
      </c>
      <c r="P1872">
        <f>IF(AND(ISNUMBER('자료_미국심리'!$D1856),ISNUMBER('자료_미국심리'!$E1856)),'자료_미국심리'!$D1856,"")</f>
        <v/>
      </c>
      <c r="Q1872">
        <f>IF(AND(ISNUMBER('자료_미국심리'!$G1856),ISNUMBER('자료_미국심리'!$H1856)),'자료_미국심리'!$G1856,"")</f>
        <v/>
      </c>
    </row>
    <row r="1873">
      <c r="O1873">
        <f>IF(AND(ISNUMBER('자료_미국심리'!$A1857),ISNUMBER('자료_미국심리'!$B1857)),'자료_미국심리'!$A1857,"")</f>
        <v/>
      </c>
      <c r="P1873">
        <f>IF(AND(ISNUMBER('자료_미국심리'!$D1857),ISNUMBER('자료_미국심리'!$E1857)),'자료_미국심리'!$D1857,"")</f>
        <v/>
      </c>
      <c r="Q1873">
        <f>IF(AND(ISNUMBER('자료_미국심리'!$G1857),ISNUMBER('자료_미국심리'!$H1857)),'자료_미국심리'!$G1857,"")</f>
        <v/>
      </c>
    </row>
    <row r="1874">
      <c r="O1874">
        <f>IF(AND(ISNUMBER('자료_미국심리'!$A1858),ISNUMBER('자료_미국심리'!$B1858)),'자료_미국심리'!$A1858,"")</f>
        <v/>
      </c>
      <c r="P1874">
        <f>IF(AND(ISNUMBER('자료_미국심리'!$D1858),ISNUMBER('자료_미국심리'!$E1858)),'자료_미국심리'!$D1858,"")</f>
        <v/>
      </c>
      <c r="Q1874">
        <f>IF(AND(ISNUMBER('자료_미국심리'!$G1858),ISNUMBER('자료_미국심리'!$H1858)),'자료_미국심리'!$G1858,"")</f>
        <v/>
      </c>
    </row>
    <row r="1875">
      <c r="O1875">
        <f>IF(AND(ISNUMBER('자료_미국심리'!$A1859),ISNUMBER('자료_미국심리'!$B1859)),'자료_미국심리'!$A1859,"")</f>
        <v/>
      </c>
      <c r="P1875">
        <f>IF(AND(ISNUMBER('자료_미국심리'!$D1859),ISNUMBER('자료_미국심리'!$E1859)),'자료_미국심리'!$D1859,"")</f>
        <v/>
      </c>
      <c r="Q1875">
        <f>IF(AND(ISNUMBER('자료_미국심리'!$G1859),ISNUMBER('자료_미국심리'!$H1859)),'자료_미국심리'!$G1859,"")</f>
        <v/>
      </c>
    </row>
    <row r="1876">
      <c r="O1876">
        <f>IF(AND(ISNUMBER('자료_미국심리'!$A1860),ISNUMBER('자료_미국심리'!$B1860)),'자료_미국심리'!$A1860,"")</f>
        <v/>
      </c>
      <c r="P1876">
        <f>IF(AND(ISNUMBER('자료_미국심리'!$D1860),ISNUMBER('자료_미국심리'!$E1860)),'자료_미국심리'!$D1860,"")</f>
        <v/>
      </c>
      <c r="Q1876">
        <f>IF(AND(ISNUMBER('자료_미국심리'!$G1860),ISNUMBER('자료_미국심리'!$H1860)),'자료_미국심리'!$G1860,"")</f>
        <v/>
      </c>
    </row>
    <row r="1877">
      <c r="O1877">
        <f>IF(AND(ISNUMBER('자료_미국심리'!$A1861),ISNUMBER('자료_미국심리'!$B1861)),'자료_미국심리'!$A1861,"")</f>
        <v/>
      </c>
      <c r="P1877">
        <f>IF(AND(ISNUMBER('자료_미국심리'!$D1861),ISNUMBER('자료_미국심리'!$E1861)),'자료_미국심리'!$D1861,"")</f>
        <v/>
      </c>
      <c r="Q1877">
        <f>IF(AND(ISNUMBER('자료_미국심리'!$G1861),ISNUMBER('자료_미국심리'!$H1861)),'자료_미국심리'!$G1861,"")</f>
        <v/>
      </c>
    </row>
    <row r="1878">
      <c r="O1878">
        <f>IF(AND(ISNUMBER('자료_미국심리'!$A1862),ISNUMBER('자료_미국심리'!$B1862)),'자료_미국심리'!$A1862,"")</f>
        <v/>
      </c>
      <c r="P1878">
        <f>IF(AND(ISNUMBER('자료_미국심리'!$D1862),ISNUMBER('자료_미국심리'!$E1862)),'자료_미국심리'!$D1862,"")</f>
        <v/>
      </c>
      <c r="Q1878">
        <f>IF(AND(ISNUMBER('자료_미국심리'!$G1862),ISNUMBER('자료_미국심리'!$H1862)),'자료_미국심리'!$G1862,"")</f>
        <v/>
      </c>
    </row>
    <row r="1879">
      <c r="O1879">
        <f>IF(AND(ISNUMBER('자료_미국심리'!$A1863),ISNUMBER('자료_미국심리'!$B1863)),'자료_미국심리'!$A1863,"")</f>
        <v/>
      </c>
      <c r="P1879">
        <f>IF(AND(ISNUMBER('자료_미국심리'!$D1863),ISNUMBER('자료_미국심리'!$E1863)),'자료_미국심리'!$D1863,"")</f>
        <v/>
      </c>
      <c r="Q1879">
        <f>IF(AND(ISNUMBER('자료_미국심리'!$G1863),ISNUMBER('자료_미국심리'!$H1863)),'자료_미국심리'!$G1863,"")</f>
        <v/>
      </c>
    </row>
    <row r="1880">
      <c r="O1880">
        <f>IF(AND(ISNUMBER('자료_미국심리'!$A1864),ISNUMBER('자료_미국심리'!$B1864)),'자료_미국심리'!$A1864,"")</f>
        <v/>
      </c>
      <c r="P1880">
        <f>IF(AND(ISNUMBER('자료_미국심리'!$D1864),ISNUMBER('자료_미국심리'!$E1864)),'자료_미국심리'!$D1864,"")</f>
        <v/>
      </c>
      <c r="Q1880">
        <f>IF(AND(ISNUMBER('자료_미국심리'!$G1864),ISNUMBER('자료_미국심리'!$H1864)),'자료_미국심리'!$G1864,"")</f>
        <v/>
      </c>
    </row>
    <row r="1881">
      <c r="O1881">
        <f>IF(AND(ISNUMBER('자료_미국심리'!$A1865),ISNUMBER('자료_미국심리'!$B1865)),'자료_미국심리'!$A1865,"")</f>
        <v/>
      </c>
      <c r="P1881">
        <f>IF(AND(ISNUMBER('자료_미국심리'!$D1865),ISNUMBER('자료_미국심리'!$E1865)),'자료_미국심리'!$D1865,"")</f>
        <v/>
      </c>
      <c r="Q1881">
        <f>IF(AND(ISNUMBER('자료_미국심리'!$G1865),ISNUMBER('자료_미국심리'!$H1865)),'자료_미국심리'!$G1865,"")</f>
        <v/>
      </c>
    </row>
    <row r="1882">
      <c r="O1882">
        <f>IF(AND(ISNUMBER('자료_미국심리'!$A1866),ISNUMBER('자료_미국심리'!$B1866)),'자료_미국심리'!$A1866,"")</f>
        <v/>
      </c>
      <c r="P1882">
        <f>IF(AND(ISNUMBER('자료_미국심리'!$D1866),ISNUMBER('자료_미국심리'!$E1866)),'자료_미국심리'!$D1866,"")</f>
        <v/>
      </c>
      <c r="Q1882">
        <f>IF(AND(ISNUMBER('자료_미국심리'!$G1866),ISNUMBER('자료_미국심리'!$H1866)),'자료_미국심리'!$G1866,"")</f>
        <v/>
      </c>
    </row>
    <row r="1883">
      <c r="O1883">
        <f>IF(AND(ISNUMBER('자료_미국심리'!$A1867),ISNUMBER('자료_미국심리'!$B1867)),'자료_미국심리'!$A1867,"")</f>
        <v/>
      </c>
      <c r="P1883">
        <f>IF(AND(ISNUMBER('자료_미국심리'!$D1867),ISNUMBER('자료_미국심리'!$E1867)),'자료_미국심리'!$D1867,"")</f>
        <v/>
      </c>
      <c r="Q1883">
        <f>IF(AND(ISNUMBER('자료_미국심리'!$G1867),ISNUMBER('자료_미국심리'!$H1867)),'자료_미국심리'!$G1867,"")</f>
        <v/>
      </c>
    </row>
    <row r="1884">
      <c r="O1884">
        <f>IF(AND(ISNUMBER('자료_미국심리'!$A1868),ISNUMBER('자료_미국심리'!$B1868)),'자료_미국심리'!$A1868,"")</f>
        <v/>
      </c>
      <c r="P1884">
        <f>IF(AND(ISNUMBER('자료_미국심리'!$D1868),ISNUMBER('자료_미국심리'!$E1868)),'자료_미국심리'!$D1868,"")</f>
        <v/>
      </c>
      <c r="Q1884">
        <f>IF(AND(ISNUMBER('자료_미국심리'!$G1868),ISNUMBER('자료_미국심리'!$H1868)),'자료_미국심리'!$G1868,"")</f>
        <v/>
      </c>
    </row>
    <row r="1885">
      <c r="O1885">
        <f>IF(AND(ISNUMBER('자료_미국심리'!$A1869),ISNUMBER('자료_미국심리'!$B1869)),'자료_미국심리'!$A1869,"")</f>
        <v/>
      </c>
      <c r="P1885">
        <f>IF(AND(ISNUMBER('자료_미국심리'!$D1869),ISNUMBER('자료_미국심리'!$E1869)),'자료_미국심리'!$D1869,"")</f>
        <v/>
      </c>
      <c r="Q1885">
        <f>IF(AND(ISNUMBER('자료_미국심리'!$G1869),ISNUMBER('자료_미국심리'!$H1869)),'자료_미국심리'!$G1869,"")</f>
        <v/>
      </c>
    </row>
    <row r="1886">
      <c r="O1886">
        <f>IF(AND(ISNUMBER('자료_미국심리'!$A1870),ISNUMBER('자료_미국심리'!$B1870)),'자료_미국심리'!$A1870,"")</f>
        <v/>
      </c>
      <c r="P1886">
        <f>IF(AND(ISNUMBER('자료_미국심리'!$D1870),ISNUMBER('자료_미국심리'!$E1870)),'자료_미국심리'!$D1870,"")</f>
        <v/>
      </c>
      <c r="Q1886">
        <f>IF(AND(ISNUMBER('자료_미국심리'!$G1870),ISNUMBER('자료_미국심리'!$H1870)),'자료_미국심리'!$G1870,"")</f>
        <v/>
      </c>
    </row>
    <row r="1887">
      <c r="O1887">
        <f>IF(AND(ISNUMBER('자료_미국심리'!$A1871),ISNUMBER('자료_미국심리'!$B1871)),'자료_미국심리'!$A1871,"")</f>
        <v/>
      </c>
      <c r="P1887">
        <f>IF(AND(ISNUMBER('자료_미국심리'!$D1871),ISNUMBER('자료_미국심리'!$E1871)),'자료_미국심리'!$D1871,"")</f>
        <v/>
      </c>
      <c r="Q1887">
        <f>IF(AND(ISNUMBER('자료_미국심리'!$G1871),ISNUMBER('자료_미국심리'!$H1871)),'자료_미국심리'!$G1871,"")</f>
        <v/>
      </c>
    </row>
    <row r="1888">
      <c r="O1888">
        <f>IF(AND(ISNUMBER('자료_미국심리'!$A1872),ISNUMBER('자료_미국심리'!$B1872)),'자료_미국심리'!$A1872,"")</f>
        <v/>
      </c>
      <c r="P1888">
        <f>IF(AND(ISNUMBER('자료_미국심리'!$D1872),ISNUMBER('자료_미국심리'!$E1872)),'자료_미국심리'!$D1872,"")</f>
        <v/>
      </c>
      <c r="Q1888">
        <f>IF(AND(ISNUMBER('자료_미국심리'!$G1872),ISNUMBER('자료_미국심리'!$H1872)),'자료_미국심리'!$G1872,"")</f>
        <v/>
      </c>
    </row>
    <row r="1889">
      <c r="O1889">
        <f>IF(AND(ISNUMBER('자료_미국심리'!$A1873),ISNUMBER('자료_미국심리'!$B1873)),'자료_미국심리'!$A1873,"")</f>
        <v/>
      </c>
      <c r="P1889">
        <f>IF(AND(ISNUMBER('자료_미국심리'!$D1873),ISNUMBER('자료_미국심리'!$E1873)),'자료_미국심리'!$D1873,"")</f>
        <v/>
      </c>
      <c r="Q1889">
        <f>IF(AND(ISNUMBER('자료_미국심리'!$G1873),ISNUMBER('자료_미국심리'!$H1873)),'자료_미국심리'!$G1873,"")</f>
        <v/>
      </c>
    </row>
    <row r="1890">
      <c r="O1890">
        <f>IF(AND(ISNUMBER('자료_미국심리'!$A1874),ISNUMBER('자료_미국심리'!$B1874)),'자료_미국심리'!$A1874,"")</f>
        <v/>
      </c>
      <c r="P1890">
        <f>IF(AND(ISNUMBER('자료_미국심리'!$D1874),ISNUMBER('자료_미국심리'!$E1874)),'자료_미국심리'!$D1874,"")</f>
        <v/>
      </c>
      <c r="Q1890">
        <f>IF(AND(ISNUMBER('자료_미국심리'!$G1874),ISNUMBER('자료_미국심리'!$H1874)),'자료_미국심리'!$G1874,"")</f>
        <v/>
      </c>
    </row>
    <row r="1891">
      <c r="O1891">
        <f>IF(AND(ISNUMBER('자료_미국심리'!$A1875),ISNUMBER('자료_미국심리'!$B1875)),'자료_미국심리'!$A1875,"")</f>
        <v/>
      </c>
      <c r="P1891">
        <f>IF(AND(ISNUMBER('자료_미국심리'!$D1875),ISNUMBER('자료_미국심리'!$E1875)),'자료_미국심리'!$D1875,"")</f>
        <v/>
      </c>
      <c r="Q1891">
        <f>IF(AND(ISNUMBER('자료_미국심리'!$G1875),ISNUMBER('자료_미국심리'!$H1875)),'자료_미국심리'!$G1875,"")</f>
        <v/>
      </c>
    </row>
    <row r="1892">
      <c r="O1892">
        <f>IF(AND(ISNUMBER('자료_미국심리'!$A1876),ISNUMBER('자료_미국심리'!$B1876)),'자료_미국심리'!$A1876,"")</f>
        <v/>
      </c>
      <c r="P1892">
        <f>IF(AND(ISNUMBER('자료_미국심리'!$D1876),ISNUMBER('자료_미국심리'!$E1876)),'자료_미국심리'!$D1876,"")</f>
        <v/>
      </c>
      <c r="Q1892">
        <f>IF(AND(ISNUMBER('자료_미국심리'!$G1876),ISNUMBER('자료_미국심리'!$H1876)),'자료_미국심리'!$G1876,"")</f>
        <v/>
      </c>
    </row>
    <row r="1893">
      <c r="O1893">
        <f>IF(AND(ISNUMBER('자료_미국심리'!$A1877),ISNUMBER('자료_미국심리'!$B1877)),'자료_미국심리'!$A1877,"")</f>
        <v/>
      </c>
      <c r="P1893">
        <f>IF(AND(ISNUMBER('자료_미국심리'!$D1877),ISNUMBER('자료_미국심리'!$E1877)),'자료_미국심리'!$D1877,"")</f>
        <v/>
      </c>
      <c r="Q1893">
        <f>IF(AND(ISNUMBER('자료_미국심리'!$G1877),ISNUMBER('자료_미국심리'!$H1877)),'자료_미국심리'!$G1877,"")</f>
        <v/>
      </c>
    </row>
    <row r="1894">
      <c r="O1894">
        <f>IF(AND(ISNUMBER('자료_미국심리'!$A1878),ISNUMBER('자료_미국심리'!$B1878)),'자료_미국심리'!$A1878,"")</f>
        <v/>
      </c>
      <c r="P1894">
        <f>IF(AND(ISNUMBER('자료_미국심리'!$D1878),ISNUMBER('자료_미국심리'!$E1878)),'자료_미국심리'!$D1878,"")</f>
        <v/>
      </c>
      <c r="Q1894">
        <f>IF(AND(ISNUMBER('자료_미국심리'!$G1878),ISNUMBER('자료_미국심리'!$H1878)),'자료_미국심리'!$G1878,"")</f>
        <v/>
      </c>
    </row>
    <row r="1895">
      <c r="O1895">
        <f>IF(AND(ISNUMBER('자료_미국심리'!$A1879),ISNUMBER('자료_미국심리'!$B1879)),'자료_미국심리'!$A1879,"")</f>
        <v/>
      </c>
      <c r="P1895">
        <f>IF(AND(ISNUMBER('자료_미국심리'!$D1879),ISNUMBER('자료_미국심리'!$E1879)),'자료_미국심리'!$D1879,"")</f>
        <v/>
      </c>
      <c r="Q1895">
        <f>IF(AND(ISNUMBER('자료_미국심리'!$G1879),ISNUMBER('자료_미국심리'!$H1879)),'자료_미국심리'!$G1879,"")</f>
        <v/>
      </c>
    </row>
    <row r="1896">
      <c r="O1896">
        <f>IF(AND(ISNUMBER('자료_미국심리'!$A1880),ISNUMBER('자료_미국심리'!$B1880)),'자료_미국심리'!$A1880,"")</f>
        <v/>
      </c>
      <c r="P1896">
        <f>IF(AND(ISNUMBER('자료_미국심리'!$D1880),ISNUMBER('자료_미국심리'!$E1880)),'자료_미국심리'!$D1880,"")</f>
        <v/>
      </c>
      <c r="Q1896">
        <f>IF(AND(ISNUMBER('자료_미국심리'!$G1880),ISNUMBER('자료_미국심리'!$H1880)),'자료_미국심리'!$G1880,"")</f>
        <v/>
      </c>
    </row>
    <row r="1897">
      <c r="O1897">
        <f>IF(AND(ISNUMBER('자료_미국심리'!$A1881),ISNUMBER('자료_미국심리'!$B1881)),'자료_미국심리'!$A1881,"")</f>
        <v/>
      </c>
      <c r="P1897">
        <f>IF(AND(ISNUMBER('자료_미국심리'!$D1881),ISNUMBER('자료_미국심리'!$E1881)),'자료_미국심리'!$D1881,"")</f>
        <v/>
      </c>
      <c r="Q1897">
        <f>IF(AND(ISNUMBER('자료_미국심리'!$G1881),ISNUMBER('자료_미국심리'!$H1881)),'자료_미국심리'!$G1881,"")</f>
        <v/>
      </c>
    </row>
    <row r="1898">
      <c r="O1898">
        <f>IF(AND(ISNUMBER('자료_미국심리'!$A1882),ISNUMBER('자료_미국심리'!$B1882)),'자료_미국심리'!$A1882,"")</f>
        <v/>
      </c>
      <c r="P1898">
        <f>IF(AND(ISNUMBER('자료_미국심리'!$D1882),ISNUMBER('자료_미국심리'!$E1882)),'자료_미국심리'!$D1882,"")</f>
        <v/>
      </c>
      <c r="Q1898">
        <f>IF(AND(ISNUMBER('자료_미국심리'!$G1882),ISNUMBER('자료_미국심리'!$H1882)),'자료_미국심리'!$G1882,"")</f>
        <v/>
      </c>
    </row>
    <row r="1899">
      <c r="O1899">
        <f>IF(AND(ISNUMBER('자료_미국심리'!$A1883),ISNUMBER('자료_미국심리'!$B1883)),'자료_미국심리'!$A1883,"")</f>
        <v/>
      </c>
      <c r="P1899">
        <f>IF(AND(ISNUMBER('자료_미국심리'!$D1883),ISNUMBER('자료_미국심리'!$E1883)),'자료_미국심리'!$D1883,"")</f>
        <v/>
      </c>
      <c r="Q1899">
        <f>IF(AND(ISNUMBER('자료_미국심리'!$G1883),ISNUMBER('자료_미국심리'!$H1883)),'자료_미국심리'!$G1883,"")</f>
        <v/>
      </c>
    </row>
    <row r="1900">
      <c r="O1900">
        <f>IF(AND(ISNUMBER('자료_미국심리'!$A1884),ISNUMBER('자료_미국심리'!$B1884)),'자료_미국심리'!$A1884,"")</f>
        <v/>
      </c>
      <c r="P1900">
        <f>IF(AND(ISNUMBER('자료_미국심리'!$D1884),ISNUMBER('자료_미국심리'!$E1884)),'자료_미국심리'!$D1884,"")</f>
        <v/>
      </c>
      <c r="Q1900">
        <f>IF(AND(ISNUMBER('자료_미국심리'!$G1884),ISNUMBER('자료_미국심리'!$H1884)),'자료_미국심리'!$G1884,"")</f>
        <v/>
      </c>
    </row>
    <row r="1901">
      <c r="O1901">
        <f>IF(AND(ISNUMBER('자료_미국심리'!$A1885),ISNUMBER('자료_미국심리'!$B1885)),'자료_미국심리'!$A1885,"")</f>
        <v/>
      </c>
      <c r="P1901">
        <f>IF(AND(ISNUMBER('자료_미국심리'!$D1885),ISNUMBER('자료_미국심리'!$E1885)),'자료_미국심리'!$D1885,"")</f>
        <v/>
      </c>
      <c r="Q1901">
        <f>IF(AND(ISNUMBER('자료_미국심리'!$G1885),ISNUMBER('자료_미국심리'!$H1885)),'자료_미국심리'!$G1885,"")</f>
        <v/>
      </c>
    </row>
    <row r="1902">
      <c r="O1902">
        <f>IF(AND(ISNUMBER('자료_미국심리'!$A1886),ISNUMBER('자료_미국심리'!$B1886)),'자료_미국심리'!$A1886,"")</f>
        <v/>
      </c>
      <c r="P1902">
        <f>IF(AND(ISNUMBER('자료_미국심리'!$D1886),ISNUMBER('자료_미국심리'!$E1886)),'자료_미국심리'!$D1886,"")</f>
        <v/>
      </c>
      <c r="Q1902">
        <f>IF(AND(ISNUMBER('자료_미국심리'!$G1886),ISNUMBER('자료_미국심리'!$H1886)),'자료_미국심리'!$G1886,"")</f>
        <v/>
      </c>
    </row>
    <row r="1903">
      <c r="O1903">
        <f>IF(AND(ISNUMBER('자료_미국심리'!$A1887),ISNUMBER('자료_미국심리'!$B1887)),'자료_미국심리'!$A1887,"")</f>
        <v/>
      </c>
      <c r="P1903">
        <f>IF(AND(ISNUMBER('자료_미국심리'!$D1887),ISNUMBER('자료_미국심리'!$E1887)),'자료_미국심리'!$D1887,"")</f>
        <v/>
      </c>
      <c r="Q1903">
        <f>IF(AND(ISNUMBER('자료_미국심리'!$G1887),ISNUMBER('자료_미국심리'!$H1887)),'자료_미국심리'!$G1887,"")</f>
        <v/>
      </c>
    </row>
    <row r="1904">
      <c r="O1904">
        <f>IF(AND(ISNUMBER('자료_미국심리'!$A1888),ISNUMBER('자료_미국심리'!$B1888)),'자료_미국심리'!$A1888,"")</f>
        <v/>
      </c>
      <c r="P1904">
        <f>IF(AND(ISNUMBER('자료_미국심리'!$D1888),ISNUMBER('자료_미국심리'!$E1888)),'자료_미국심리'!$D1888,"")</f>
        <v/>
      </c>
      <c r="Q1904">
        <f>IF(AND(ISNUMBER('자료_미국심리'!$G1888),ISNUMBER('자료_미국심리'!$H1888)),'자료_미국심리'!$G1888,"")</f>
        <v/>
      </c>
    </row>
    <row r="1905">
      <c r="O1905">
        <f>IF(AND(ISNUMBER('자료_미국심리'!$A1889),ISNUMBER('자료_미국심리'!$B1889)),'자료_미국심리'!$A1889,"")</f>
        <v/>
      </c>
      <c r="P1905">
        <f>IF(AND(ISNUMBER('자료_미국심리'!$D1889),ISNUMBER('자료_미국심리'!$E1889)),'자료_미국심리'!$D1889,"")</f>
        <v/>
      </c>
      <c r="Q1905">
        <f>IF(AND(ISNUMBER('자료_미국심리'!$G1889),ISNUMBER('자료_미국심리'!$H1889)),'자료_미국심리'!$G1889,"")</f>
        <v/>
      </c>
    </row>
    <row r="1906">
      <c r="O1906">
        <f>IF(AND(ISNUMBER('자료_미국심리'!$A1890),ISNUMBER('자료_미국심리'!$B1890)),'자료_미국심리'!$A1890,"")</f>
        <v/>
      </c>
      <c r="P1906">
        <f>IF(AND(ISNUMBER('자료_미국심리'!$D1890),ISNUMBER('자료_미국심리'!$E1890)),'자료_미국심리'!$D1890,"")</f>
        <v/>
      </c>
      <c r="Q1906">
        <f>IF(AND(ISNUMBER('자료_미국심리'!$G1890),ISNUMBER('자료_미국심리'!$H1890)),'자료_미국심리'!$G1890,"")</f>
        <v/>
      </c>
    </row>
    <row r="1907">
      <c r="O1907">
        <f>IF(AND(ISNUMBER('자료_미국심리'!$A1891),ISNUMBER('자료_미국심리'!$B1891)),'자료_미국심리'!$A1891,"")</f>
        <v/>
      </c>
      <c r="P1907">
        <f>IF(AND(ISNUMBER('자료_미국심리'!$D1891),ISNUMBER('자료_미국심리'!$E1891)),'자료_미국심리'!$D1891,"")</f>
        <v/>
      </c>
      <c r="Q1907">
        <f>IF(AND(ISNUMBER('자료_미국심리'!$G1891),ISNUMBER('자료_미국심리'!$H1891)),'자료_미국심리'!$G1891,"")</f>
        <v/>
      </c>
    </row>
    <row r="1908">
      <c r="O1908">
        <f>IF(AND(ISNUMBER('자료_미국심리'!$A1892),ISNUMBER('자료_미국심리'!$B1892)),'자료_미국심리'!$A1892,"")</f>
        <v/>
      </c>
      <c r="P1908">
        <f>IF(AND(ISNUMBER('자료_미국심리'!$D1892),ISNUMBER('자료_미국심리'!$E1892)),'자료_미국심리'!$D1892,"")</f>
        <v/>
      </c>
      <c r="Q1908">
        <f>IF(AND(ISNUMBER('자료_미국심리'!$G1892),ISNUMBER('자료_미국심리'!$H1892)),'자료_미국심리'!$G1892,"")</f>
        <v/>
      </c>
    </row>
    <row r="1909">
      <c r="O1909">
        <f>IF(AND(ISNUMBER('자료_미국심리'!$A1893),ISNUMBER('자료_미국심리'!$B1893)),'자료_미국심리'!$A1893,"")</f>
        <v/>
      </c>
      <c r="P1909">
        <f>IF(AND(ISNUMBER('자료_미국심리'!$D1893),ISNUMBER('자료_미국심리'!$E1893)),'자료_미국심리'!$D1893,"")</f>
        <v/>
      </c>
      <c r="Q1909">
        <f>IF(AND(ISNUMBER('자료_미국심리'!$G1893),ISNUMBER('자료_미국심리'!$H1893)),'자료_미국심리'!$G1893,"")</f>
        <v/>
      </c>
    </row>
    <row r="1910">
      <c r="O1910">
        <f>IF(AND(ISNUMBER('자료_미국심리'!$A1894),ISNUMBER('자료_미국심리'!$B1894)),'자료_미국심리'!$A1894,"")</f>
        <v/>
      </c>
      <c r="P1910">
        <f>IF(AND(ISNUMBER('자료_미국심리'!$D1894),ISNUMBER('자료_미국심리'!$E1894)),'자료_미국심리'!$D1894,"")</f>
        <v/>
      </c>
      <c r="Q1910">
        <f>IF(AND(ISNUMBER('자료_미국심리'!$G1894),ISNUMBER('자료_미국심리'!$H1894)),'자료_미국심리'!$G1894,"")</f>
        <v/>
      </c>
    </row>
    <row r="1911">
      <c r="O1911">
        <f>IF(AND(ISNUMBER('자료_미국심리'!$A1895),ISNUMBER('자료_미국심리'!$B1895)),'자료_미국심리'!$A1895,"")</f>
        <v/>
      </c>
      <c r="P1911">
        <f>IF(AND(ISNUMBER('자료_미국심리'!$D1895),ISNUMBER('자료_미국심리'!$E1895)),'자료_미국심리'!$D1895,"")</f>
        <v/>
      </c>
      <c r="Q1911">
        <f>IF(AND(ISNUMBER('자료_미국심리'!$G1895),ISNUMBER('자료_미국심리'!$H1895)),'자료_미국심리'!$G1895,"")</f>
        <v/>
      </c>
    </row>
    <row r="1912">
      <c r="O1912">
        <f>IF(AND(ISNUMBER('자료_미국심리'!$A1896),ISNUMBER('자료_미국심리'!$B1896)),'자료_미국심리'!$A1896,"")</f>
        <v/>
      </c>
      <c r="P1912">
        <f>IF(AND(ISNUMBER('자료_미국심리'!$D1896),ISNUMBER('자료_미국심리'!$E1896)),'자료_미국심리'!$D1896,"")</f>
        <v/>
      </c>
      <c r="Q1912">
        <f>IF(AND(ISNUMBER('자료_미국심리'!$G1896),ISNUMBER('자료_미국심리'!$H1896)),'자료_미국심리'!$G1896,"")</f>
        <v/>
      </c>
    </row>
    <row r="1913">
      <c r="O1913">
        <f>IF(AND(ISNUMBER('자료_미국심리'!$A1897),ISNUMBER('자료_미국심리'!$B1897)),'자료_미국심리'!$A1897,"")</f>
        <v/>
      </c>
      <c r="P1913">
        <f>IF(AND(ISNUMBER('자료_미국심리'!$D1897),ISNUMBER('자료_미국심리'!$E1897)),'자료_미국심리'!$D1897,"")</f>
        <v/>
      </c>
      <c r="Q1913">
        <f>IF(AND(ISNUMBER('자료_미국심리'!$G1897),ISNUMBER('자료_미국심리'!$H1897)),'자료_미국심리'!$G1897,"")</f>
        <v/>
      </c>
    </row>
    <row r="1914">
      <c r="O1914">
        <f>IF(AND(ISNUMBER('자료_미국심리'!$A1898),ISNUMBER('자료_미국심리'!$B1898)),'자료_미국심리'!$A1898,"")</f>
        <v/>
      </c>
      <c r="P1914">
        <f>IF(AND(ISNUMBER('자료_미국심리'!$D1898),ISNUMBER('자료_미국심리'!$E1898)),'자료_미국심리'!$D1898,"")</f>
        <v/>
      </c>
      <c r="Q1914">
        <f>IF(AND(ISNUMBER('자료_미국심리'!$G1898),ISNUMBER('자료_미국심리'!$H1898)),'자료_미국심리'!$G1898,"")</f>
        <v/>
      </c>
    </row>
    <row r="1915">
      <c r="O1915">
        <f>IF(AND(ISNUMBER('자료_미국심리'!$A1899),ISNUMBER('자료_미국심리'!$B1899)),'자료_미국심리'!$A1899,"")</f>
        <v/>
      </c>
      <c r="P1915">
        <f>IF(AND(ISNUMBER('자료_미국심리'!$D1899),ISNUMBER('자료_미국심리'!$E1899)),'자료_미국심리'!$D1899,"")</f>
        <v/>
      </c>
      <c r="Q1915">
        <f>IF(AND(ISNUMBER('자료_미국심리'!$G1899),ISNUMBER('자료_미국심리'!$H1899)),'자료_미국심리'!$G1899,"")</f>
        <v/>
      </c>
    </row>
    <row r="1916">
      <c r="O1916">
        <f>IF(AND(ISNUMBER('자료_미국심리'!$A1900),ISNUMBER('자료_미국심리'!$B1900)),'자료_미국심리'!$A1900,"")</f>
        <v/>
      </c>
      <c r="P1916">
        <f>IF(AND(ISNUMBER('자료_미국심리'!$D1900),ISNUMBER('자료_미국심리'!$E1900)),'자료_미국심리'!$D1900,"")</f>
        <v/>
      </c>
      <c r="Q1916">
        <f>IF(AND(ISNUMBER('자료_미국심리'!$G1900),ISNUMBER('자료_미국심리'!$H1900)),'자료_미국심리'!$G1900,"")</f>
        <v/>
      </c>
    </row>
    <row r="1917">
      <c r="O1917">
        <f>IF(AND(ISNUMBER('자료_미국심리'!$A1901),ISNUMBER('자료_미국심리'!$B1901)),'자료_미국심리'!$A1901,"")</f>
        <v/>
      </c>
      <c r="P1917">
        <f>IF(AND(ISNUMBER('자료_미국심리'!$D1901),ISNUMBER('자료_미국심리'!$E1901)),'자료_미국심리'!$D1901,"")</f>
        <v/>
      </c>
      <c r="Q1917">
        <f>IF(AND(ISNUMBER('자료_미국심리'!$G1901),ISNUMBER('자료_미국심리'!$H1901)),'자료_미국심리'!$G1901,"")</f>
        <v/>
      </c>
    </row>
    <row r="1918">
      <c r="O1918">
        <f>IF(AND(ISNUMBER('자료_미국심리'!$A1902),ISNUMBER('자료_미국심리'!$B1902)),'자료_미국심리'!$A1902,"")</f>
        <v/>
      </c>
      <c r="P1918">
        <f>IF(AND(ISNUMBER('자료_미국심리'!$D1902),ISNUMBER('자료_미국심리'!$E1902)),'자료_미국심리'!$D1902,"")</f>
        <v/>
      </c>
      <c r="Q1918">
        <f>IF(AND(ISNUMBER('자료_미국심리'!$G1902),ISNUMBER('자료_미국심리'!$H1902)),'자료_미국심리'!$G1902,"")</f>
        <v/>
      </c>
    </row>
    <row r="1919">
      <c r="O1919">
        <f>IF(AND(ISNUMBER('자료_미국심리'!$A1903),ISNUMBER('자료_미국심리'!$B1903)),'자료_미국심리'!$A1903,"")</f>
        <v/>
      </c>
      <c r="P1919">
        <f>IF(AND(ISNUMBER('자료_미국심리'!$D1903),ISNUMBER('자료_미국심리'!$E1903)),'자료_미국심리'!$D1903,"")</f>
        <v/>
      </c>
      <c r="Q1919">
        <f>IF(AND(ISNUMBER('자료_미국심리'!$G1903),ISNUMBER('자료_미국심리'!$H1903)),'자료_미국심리'!$G1903,"")</f>
        <v/>
      </c>
    </row>
    <row r="1920">
      <c r="O1920">
        <f>IF(AND(ISNUMBER('자료_미국심리'!$A1904),ISNUMBER('자료_미국심리'!$B1904)),'자료_미국심리'!$A1904,"")</f>
        <v/>
      </c>
      <c r="P1920">
        <f>IF(AND(ISNUMBER('자료_미국심리'!$D1904),ISNUMBER('자료_미국심리'!$E1904)),'자료_미국심리'!$D1904,"")</f>
        <v/>
      </c>
      <c r="Q1920">
        <f>IF(AND(ISNUMBER('자료_미국심리'!$G1904),ISNUMBER('자료_미국심리'!$H1904)),'자료_미국심리'!$G1904,"")</f>
        <v/>
      </c>
    </row>
    <row r="1921">
      <c r="O1921">
        <f>IF(AND(ISNUMBER('자료_미국심리'!$A1905),ISNUMBER('자료_미국심리'!$B1905)),'자료_미국심리'!$A1905,"")</f>
        <v/>
      </c>
      <c r="P1921">
        <f>IF(AND(ISNUMBER('자료_미국심리'!$D1905),ISNUMBER('자료_미국심리'!$E1905)),'자료_미국심리'!$D1905,"")</f>
        <v/>
      </c>
      <c r="Q1921">
        <f>IF(AND(ISNUMBER('자료_미국심리'!$G1905),ISNUMBER('자료_미국심리'!$H1905)),'자료_미국심리'!$G1905,"")</f>
        <v/>
      </c>
    </row>
    <row r="1922">
      <c r="O1922">
        <f>IF(AND(ISNUMBER('자료_미국심리'!$A1906),ISNUMBER('자료_미국심리'!$B1906)),'자료_미국심리'!$A1906,"")</f>
        <v/>
      </c>
      <c r="P1922">
        <f>IF(AND(ISNUMBER('자료_미국심리'!$D1906),ISNUMBER('자료_미국심리'!$E1906)),'자료_미국심리'!$D1906,"")</f>
        <v/>
      </c>
      <c r="Q1922">
        <f>IF(AND(ISNUMBER('자료_미국심리'!$G1906),ISNUMBER('자료_미국심리'!$H1906)),'자료_미국심리'!$G1906,"")</f>
        <v/>
      </c>
    </row>
    <row r="1923">
      <c r="O1923">
        <f>IF(AND(ISNUMBER('자료_미국심리'!$A1907),ISNUMBER('자료_미국심리'!$B1907)),'자료_미국심리'!$A1907,"")</f>
        <v/>
      </c>
      <c r="P1923">
        <f>IF(AND(ISNUMBER('자료_미국심리'!$D1907),ISNUMBER('자료_미국심리'!$E1907)),'자료_미국심리'!$D1907,"")</f>
        <v/>
      </c>
      <c r="Q1923">
        <f>IF(AND(ISNUMBER('자료_미국심리'!$G1907),ISNUMBER('자료_미국심리'!$H1907)),'자료_미국심리'!$G1907,"")</f>
        <v/>
      </c>
    </row>
    <row r="1924">
      <c r="O1924">
        <f>IF(AND(ISNUMBER('자료_미국심리'!$A1908),ISNUMBER('자료_미국심리'!$B1908)),'자료_미국심리'!$A1908,"")</f>
        <v/>
      </c>
      <c r="P1924">
        <f>IF(AND(ISNUMBER('자료_미국심리'!$D1908),ISNUMBER('자료_미국심리'!$E1908)),'자료_미국심리'!$D1908,"")</f>
        <v/>
      </c>
      <c r="Q1924">
        <f>IF(AND(ISNUMBER('자료_미국심리'!$G1908),ISNUMBER('자료_미국심리'!$H1908)),'자료_미국심리'!$G1908,"")</f>
        <v/>
      </c>
    </row>
    <row r="1925">
      <c r="O1925">
        <f>IF(AND(ISNUMBER('자료_미국심리'!$A1909),ISNUMBER('자료_미국심리'!$B1909)),'자료_미국심리'!$A1909,"")</f>
        <v/>
      </c>
      <c r="P1925">
        <f>IF(AND(ISNUMBER('자료_미국심리'!$D1909),ISNUMBER('자료_미국심리'!$E1909)),'자료_미국심리'!$D1909,"")</f>
        <v/>
      </c>
      <c r="Q1925">
        <f>IF(AND(ISNUMBER('자료_미국심리'!$G1909),ISNUMBER('자료_미국심리'!$H1909)),'자료_미국심리'!$G1909,"")</f>
        <v/>
      </c>
    </row>
    <row r="1926">
      <c r="O1926">
        <f>IF(AND(ISNUMBER('자료_미국심리'!$A1910),ISNUMBER('자료_미국심리'!$B1910)),'자료_미국심리'!$A1910,"")</f>
        <v/>
      </c>
      <c r="P1926">
        <f>IF(AND(ISNUMBER('자료_미국심리'!$D1910),ISNUMBER('자료_미국심리'!$E1910)),'자료_미국심리'!$D1910,"")</f>
        <v/>
      </c>
      <c r="Q1926">
        <f>IF(AND(ISNUMBER('자료_미국심리'!$G1910),ISNUMBER('자료_미국심리'!$H1910)),'자료_미국심리'!$G1910,"")</f>
        <v/>
      </c>
    </row>
    <row r="1927">
      <c r="O1927">
        <f>IF(AND(ISNUMBER('자료_미국심리'!$A1911),ISNUMBER('자료_미국심리'!$B1911)),'자료_미국심리'!$A1911,"")</f>
        <v/>
      </c>
      <c r="P1927">
        <f>IF(AND(ISNUMBER('자료_미국심리'!$D1911),ISNUMBER('자료_미국심리'!$E1911)),'자료_미국심리'!$D1911,"")</f>
        <v/>
      </c>
      <c r="Q1927">
        <f>IF(AND(ISNUMBER('자료_미국심리'!$G1911),ISNUMBER('자료_미국심리'!$H1911)),'자료_미국심리'!$G1911,"")</f>
        <v/>
      </c>
    </row>
    <row r="1928">
      <c r="O1928">
        <f>IF(AND(ISNUMBER('자료_미국심리'!$A1912),ISNUMBER('자료_미국심리'!$B1912)),'자료_미국심리'!$A1912,"")</f>
        <v/>
      </c>
      <c r="P1928">
        <f>IF(AND(ISNUMBER('자료_미국심리'!$D1912),ISNUMBER('자료_미국심리'!$E1912)),'자료_미국심리'!$D1912,"")</f>
        <v/>
      </c>
      <c r="Q1928">
        <f>IF(AND(ISNUMBER('자료_미국심리'!$G1912),ISNUMBER('자료_미국심리'!$H1912)),'자료_미국심리'!$G1912,"")</f>
        <v/>
      </c>
    </row>
    <row r="1929">
      <c r="O1929">
        <f>IF(AND(ISNUMBER('자료_미국심리'!$A1913),ISNUMBER('자료_미국심리'!$B1913)),'자료_미국심리'!$A1913,"")</f>
        <v/>
      </c>
      <c r="P1929">
        <f>IF(AND(ISNUMBER('자료_미국심리'!$D1913),ISNUMBER('자료_미국심리'!$E1913)),'자료_미국심리'!$D1913,"")</f>
        <v/>
      </c>
      <c r="Q1929">
        <f>IF(AND(ISNUMBER('자료_미국심리'!$G1913),ISNUMBER('자료_미국심리'!$H1913)),'자료_미국심리'!$G1913,"")</f>
        <v/>
      </c>
    </row>
    <row r="1930">
      <c r="O1930">
        <f>IF(AND(ISNUMBER('자료_미국심리'!$A1914),ISNUMBER('자료_미국심리'!$B1914)),'자료_미국심리'!$A1914,"")</f>
        <v/>
      </c>
      <c r="P1930">
        <f>IF(AND(ISNUMBER('자료_미국심리'!$D1914),ISNUMBER('자료_미국심리'!$E1914)),'자료_미국심리'!$D1914,"")</f>
        <v/>
      </c>
      <c r="Q1930">
        <f>IF(AND(ISNUMBER('자료_미국심리'!$G1914),ISNUMBER('자료_미국심리'!$H1914)),'자료_미국심리'!$G1914,"")</f>
        <v/>
      </c>
    </row>
    <row r="1931">
      <c r="O1931">
        <f>IF(AND(ISNUMBER('자료_미국심리'!$A1915),ISNUMBER('자료_미국심리'!$B1915)),'자료_미국심리'!$A1915,"")</f>
        <v/>
      </c>
      <c r="P1931">
        <f>IF(AND(ISNUMBER('자료_미국심리'!$D1915),ISNUMBER('자료_미국심리'!$E1915)),'자료_미국심리'!$D1915,"")</f>
        <v/>
      </c>
      <c r="Q1931">
        <f>IF(AND(ISNUMBER('자료_미국심리'!$G1915),ISNUMBER('자료_미국심리'!$H1915)),'자료_미국심리'!$G1915,"")</f>
        <v/>
      </c>
    </row>
    <row r="1932">
      <c r="O1932">
        <f>IF(AND(ISNUMBER('자료_미국심리'!$A1916),ISNUMBER('자료_미국심리'!$B1916)),'자료_미국심리'!$A1916,"")</f>
        <v/>
      </c>
      <c r="P1932">
        <f>IF(AND(ISNUMBER('자료_미국심리'!$D1916),ISNUMBER('자료_미국심리'!$E1916)),'자료_미국심리'!$D1916,"")</f>
        <v/>
      </c>
      <c r="Q1932">
        <f>IF(AND(ISNUMBER('자료_미국심리'!$G1916),ISNUMBER('자료_미국심리'!$H1916)),'자료_미국심리'!$G1916,"")</f>
        <v/>
      </c>
    </row>
    <row r="1933">
      <c r="O1933">
        <f>IF(AND(ISNUMBER('자료_미국심리'!$A1917),ISNUMBER('자료_미국심리'!$B1917)),'자료_미국심리'!$A1917,"")</f>
        <v/>
      </c>
      <c r="P1933">
        <f>IF(AND(ISNUMBER('자료_미국심리'!$D1917),ISNUMBER('자료_미국심리'!$E1917)),'자료_미국심리'!$D1917,"")</f>
        <v/>
      </c>
      <c r="Q1933">
        <f>IF(AND(ISNUMBER('자료_미국심리'!$G1917),ISNUMBER('자료_미국심리'!$H1917)),'자료_미국심리'!$G1917,"")</f>
        <v/>
      </c>
    </row>
    <row r="1934">
      <c r="O1934">
        <f>IF(AND(ISNUMBER('자료_미국심리'!$A1918),ISNUMBER('자료_미국심리'!$B1918)),'자료_미국심리'!$A1918,"")</f>
        <v/>
      </c>
      <c r="P1934">
        <f>IF(AND(ISNUMBER('자료_미국심리'!$D1918),ISNUMBER('자료_미국심리'!$E1918)),'자료_미국심리'!$D1918,"")</f>
        <v/>
      </c>
      <c r="Q1934">
        <f>IF(AND(ISNUMBER('자료_미국심리'!$G1918),ISNUMBER('자료_미국심리'!$H1918)),'자료_미국심리'!$G1918,"")</f>
        <v/>
      </c>
    </row>
    <row r="1935">
      <c r="O1935">
        <f>IF(AND(ISNUMBER('자료_미국심리'!$A1919),ISNUMBER('자료_미국심리'!$B1919)),'자료_미국심리'!$A1919,"")</f>
        <v/>
      </c>
      <c r="P1935">
        <f>IF(AND(ISNUMBER('자료_미국심리'!$D1919),ISNUMBER('자료_미국심리'!$E1919)),'자료_미국심리'!$D1919,"")</f>
        <v/>
      </c>
      <c r="Q1935">
        <f>IF(AND(ISNUMBER('자료_미국심리'!$G1919),ISNUMBER('자료_미국심리'!$H1919)),'자료_미국심리'!$G1919,"")</f>
        <v/>
      </c>
    </row>
    <row r="1936">
      <c r="O1936">
        <f>IF(AND(ISNUMBER('자료_미국심리'!$A1920),ISNUMBER('자료_미국심리'!$B1920)),'자료_미국심리'!$A1920,"")</f>
        <v/>
      </c>
      <c r="P1936">
        <f>IF(AND(ISNUMBER('자료_미국심리'!$D1920),ISNUMBER('자료_미국심리'!$E1920)),'자료_미국심리'!$D1920,"")</f>
        <v/>
      </c>
      <c r="Q1936">
        <f>IF(AND(ISNUMBER('자료_미국심리'!$G1920),ISNUMBER('자료_미국심리'!$H1920)),'자료_미국심리'!$G1920,"")</f>
        <v/>
      </c>
    </row>
    <row r="1937">
      <c r="O1937">
        <f>IF(AND(ISNUMBER('자료_미국심리'!$A1921),ISNUMBER('자료_미국심리'!$B1921)),'자료_미국심리'!$A1921,"")</f>
        <v/>
      </c>
      <c r="P1937">
        <f>IF(AND(ISNUMBER('자료_미국심리'!$D1921),ISNUMBER('자료_미국심리'!$E1921)),'자료_미국심리'!$D1921,"")</f>
        <v/>
      </c>
      <c r="Q1937">
        <f>IF(AND(ISNUMBER('자료_미국심리'!$G1921),ISNUMBER('자료_미국심리'!$H1921)),'자료_미국심리'!$G1921,"")</f>
        <v/>
      </c>
    </row>
    <row r="1938">
      <c r="O1938">
        <f>IF(AND(ISNUMBER('자료_미국심리'!$A1922),ISNUMBER('자료_미국심리'!$B1922)),'자료_미국심리'!$A1922,"")</f>
        <v/>
      </c>
      <c r="P1938">
        <f>IF(AND(ISNUMBER('자료_미국심리'!$D1922),ISNUMBER('자료_미국심리'!$E1922)),'자료_미국심리'!$D1922,"")</f>
        <v/>
      </c>
      <c r="Q1938">
        <f>IF(AND(ISNUMBER('자료_미국심리'!$G1922),ISNUMBER('자료_미국심리'!$H1922)),'자료_미국심리'!$G1922,"")</f>
        <v/>
      </c>
    </row>
    <row r="1939">
      <c r="O1939">
        <f>IF(AND(ISNUMBER('자료_미국심리'!$A1923),ISNUMBER('자료_미국심리'!$B1923)),'자료_미국심리'!$A1923,"")</f>
        <v/>
      </c>
      <c r="P1939">
        <f>IF(AND(ISNUMBER('자료_미국심리'!$D1923),ISNUMBER('자료_미국심리'!$E1923)),'자료_미국심리'!$D1923,"")</f>
        <v/>
      </c>
      <c r="Q1939">
        <f>IF(AND(ISNUMBER('자료_미국심리'!$G1923),ISNUMBER('자료_미국심리'!$H1923)),'자료_미국심리'!$G1923,"")</f>
        <v/>
      </c>
    </row>
    <row r="1940">
      <c r="O1940">
        <f>IF(AND(ISNUMBER('자료_미국심리'!$A1924),ISNUMBER('자료_미국심리'!$B1924)),'자료_미국심리'!$A1924,"")</f>
        <v/>
      </c>
      <c r="P1940">
        <f>IF(AND(ISNUMBER('자료_미국심리'!$D1924),ISNUMBER('자료_미국심리'!$E1924)),'자료_미국심리'!$D1924,"")</f>
        <v/>
      </c>
      <c r="Q1940">
        <f>IF(AND(ISNUMBER('자료_미국심리'!$G1924),ISNUMBER('자료_미국심리'!$H1924)),'자료_미국심리'!$G1924,"")</f>
        <v/>
      </c>
    </row>
    <row r="1941">
      <c r="O1941">
        <f>IF(AND(ISNUMBER('자료_미국심리'!$A1925),ISNUMBER('자료_미국심리'!$B1925)),'자료_미국심리'!$A1925,"")</f>
        <v/>
      </c>
      <c r="P1941">
        <f>IF(AND(ISNUMBER('자료_미국심리'!$D1925),ISNUMBER('자료_미국심리'!$E1925)),'자료_미국심리'!$D1925,"")</f>
        <v/>
      </c>
      <c r="Q1941">
        <f>IF(AND(ISNUMBER('자료_미국심리'!$G1925),ISNUMBER('자료_미국심리'!$H1925)),'자료_미국심리'!$G1925,"")</f>
        <v/>
      </c>
    </row>
    <row r="1942">
      <c r="O1942">
        <f>IF(AND(ISNUMBER('자료_미국심리'!$A1926),ISNUMBER('자료_미국심리'!$B1926)),'자료_미국심리'!$A1926,"")</f>
        <v/>
      </c>
      <c r="P1942">
        <f>IF(AND(ISNUMBER('자료_미국심리'!$D1926),ISNUMBER('자료_미국심리'!$E1926)),'자료_미국심리'!$D1926,"")</f>
        <v/>
      </c>
      <c r="Q1942">
        <f>IF(AND(ISNUMBER('자료_미국심리'!$G1926),ISNUMBER('자료_미국심리'!$H1926)),'자료_미국심리'!$G1926,"")</f>
        <v/>
      </c>
    </row>
    <row r="1943">
      <c r="O1943">
        <f>IF(AND(ISNUMBER('자료_미국심리'!$A1927),ISNUMBER('자료_미국심리'!$B1927)),'자료_미국심리'!$A1927,"")</f>
        <v/>
      </c>
      <c r="P1943">
        <f>IF(AND(ISNUMBER('자료_미국심리'!$D1927),ISNUMBER('자료_미국심리'!$E1927)),'자료_미국심리'!$D1927,"")</f>
        <v/>
      </c>
      <c r="Q1943">
        <f>IF(AND(ISNUMBER('자료_미국심리'!$G1927),ISNUMBER('자료_미국심리'!$H1927)),'자료_미국심리'!$G1927,"")</f>
        <v/>
      </c>
    </row>
    <row r="1944">
      <c r="O1944">
        <f>IF(AND(ISNUMBER('자료_미국심리'!$A1928),ISNUMBER('자료_미국심리'!$B1928)),'자료_미국심리'!$A1928,"")</f>
        <v/>
      </c>
      <c r="P1944">
        <f>IF(AND(ISNUMBER('자료_미국심리'!$D1928),ISNUMBER('자료_미국심리'!$E1928)),'자료_미국심리'!$D1928,"")</f>
        <v/>
      </c>
      <c r="Q1944">
        <f>IF(AND(ISNUMBER('자료_미국심리'!$G1928),ISNUMBER('자료_미국심리'!$H1928)),'자료_미국심리'!$G1928,"")</f>
        <v/>
      </c>
    </row>
    <row r="1945">
      <c r="O1945">
        <f>IF(AND(ISNUMBER('자료_미국심리'!$A1929),ISNUMBER('자료_미국심리'!$B1929)),'자료_미국심리'!$A1929,"")</f>
        <v/>
      </c>
      <c r="P1945">
        <f>IF(AND(ISNUMBER('자료_미국심리'!$D1929),ISNUMBER('자료_미국심리'!$E1929)),'자료_미국심리'!$D1929,"")</f>
        <v/>
      </c>
      <c r="Q1945">
        <f>IF(AND(ISNUMBER('자료_미국심리'!$G1929),ISNUMBER('자료_미국심리'!$H1929)),'자료_미국심리'!$G1929,"")</f>
        <v/>
      </c>
    </row>
    <row r="1946">
      <c r="O1946">
        <f>IF(AND(ISNUMBER('자료_미국심리'!$A1930),ISNUMBER('자료_미국심리'!$B1930)),'자료_미국심리'!$A1930,"")</f>
        <v/>
      </c>
      <c r="P1946">
        <f>IF(AND(ISNUMBER('자료_미국심리'!$D1930),ISNUMBER('자료_미국심리'!$E1930)),'자료_미국심리'!$D1930,"")</f>
        <v/>
      </c>
      <c r="Q1946">
        <f>IF(AND(ISNUMBER('자료_미국심리'!$G1930),ISNUMBER('자료_미국심리'!$H1930)),'자료_미국심리'!$G1930,"")</f>
        <v/>
      </c>
    </row>
    <row r="1947">
      <c r="O1947">
        <f>IF(AND(ISNUMBER('자료_미국심리'!$A1931),ISNUMBER('자료_미국심리'!$B1931)),'자료_미국심리'!$A1931,"")</f>
        <v/>
      </c>
      <c r="P1947">
        <f>IF(AND(ISNUMBER('자료_미국심리'!$D1931),ISNUMBER('자료_미국심리'!$E1931)),'자료_미국심리'!$D1931,"")</f>
        <v/>
      </c>
      <c r="Q1947">
        <f>IF(AND(ISNUMBER('자료_미국심리'!$G1931),ISNUMBER('자료_미국심리'!$H1931)),'자료_미국심리'!$G1931,"")</f>
        <v/>
      </c>
    </row>
    <row r="1948">
      <c r="O1948">
        <f>IF(AND(ISNUMBER('자료_미국심리'!$A1932),ISNUMBER('자료_미국심리'!$B1932)),'자료_미국심리'!$A1932,"")</f>
        <v/>
      </c>
      <c r="P1948">
        <f>IF(AND(ISNUMBER('자료_미국심리'!$D1932),ISNUMBER('자료_미국심리'!$E1932)),'자료_미국심리'!$D1932,"")</f>
        <v/>
      </c>
      <c r="Q1948">
        <f>IF(AND(ISNUMBER('자료_미국심리'!$G1932),ISNUMBER('자료_미국심리'!$H1932)),'자료_미국심리'!$G1932,"")</f>
        <v/>
      </c>
    </row>
    <row r="1949">
      <c r="O1949">
        <f>IF(AND(ISNUMBER('자료_미국심리'!$A1933),ISNUMBER('자료_미국심리'!$B1933)),'자료_미국심리'!$A1933,"")</f>
        <v/>
      </c>
      <c r="P1949">
        <f>IF(AND(ISNUMBER('자료_미국심리'!$D1933),ISNUMBER('자료_미국심리'!$E1933)),'자료_미국심리'!$D1933,"")</f>
        <v/>
      </c>
      <c r="Q1949">
        <f>IF(AND(ISNUMBER('자료_미국심리'!$G1933),ISNUMBER('자료_미국심리'!$H1933)),'자료_미국심리'!$G1933,"")</f>
        <v/>
      </c>
    </row>
    <row r="1950">
      <c r="O1950">
        <f>IF(AND(ISNUMBER('자료_미국심리'!$A1934),ISNUMBER('자료_미국심리'!$B1934)),'자료_미국심리'!$A1934,"")</f>
        <v/>
      </c>
      <c r="P1950">
        <f>IF(AND(ISNUMBER('자료_미국심리'!$D1934),ISNUMBER('자료_미국심리'!$E1934)),'자료_미국심리'!$D1934,"")</f>
        <v/>
      </c>
      <c r="Q1950">
        <f>IF(AND(ISNUMBER('자료_미국심리'!$G1934),ISNUMBER('자료_미국심리'!$H1934)),'자료_미국심리'!$G1934,"")</f>
        <v/>
      </c>
    </row>
    <row r="1951">
      <c r="O1951">
        <f>IF(AND(ISNUMBER('자료_미국심리'!$A1935),ISNUMBER('자료_미국심리'!$B1935)),'자료_미국심리'!$A1935,"")</f>
        <v/>
      </c>
      <c r="P1951">
        <f>IF(AND(ISNUMBER('자료_미국심리'!$D1935),ISNUMBER('자료_미국심리'!$E1935)),'자료_미국심리'!$D1935,"")</f>
        <v/>
      </c>
      <c r="Q1951">
        <f>IF(AND(ISNUMBER('자료_미국심리'!$G1935),ISNUMBER('자료_미국심리'!$H1935)),'자료_미국심리'!$G1935,"")</f>
        <v/>
      </c>
    </row>
    <row r="1952">
      <c r="O1952">
        <f>IF(AND(ISNUMBER('자료_미국심리'!$A1936),ISNUMBER('자료_미국심리'!$B1936)),'자료_미국심리'!$A1936,"")</f>
        <v/>
      </c>
      <c r="P1952">
        <f>IF(AND(ISNUMBER('자료_미국심리'!$D1936),ISNUMBER('자료_미국심리'!$E1936)),'자료_미국심리'!$D1936,"")</f>
        <v/>
      </c>
      <c r="Q1952">
        <f>IF(AND(ISNUMBER('자료_미국심리'!$G1936),ISNUMBER('자료_미국심리'!$H1936)),'자료_미국심리'!$G1936,"")</f>
        <v/>
      </c>
    </row>
    <row r="1953">
      <c r="O1953">
        <f>IF(AND(ISNUMBER('자료_미국심리'!$A1937),ISNUMBER('자료_미국심리'!$B1937)),'자료_미국심리'!$A1937,"")</f>
        <v/>
      </c>
      <c r="P1953">
        <f>IF(AND(ISNUMBER('자료_미국심리'!$D1937),ISNUMBER('자료_미국심리'!$E1937)),'자료_미국심리'!$D1937,"")</f>
        <v/>
      </c>
      <c r="Q1953">
        <f>IF(AND(ISNUMBER('자료_미국심리'!$G1937),ISNUMBER('자료_미국심리'!$H1937)),'자료_미국심리'!$G1937,"")</f>
        <v/>
      </c>
    </row>
    <row r="1954">
      <c r="O1954">
        <f>IF(AND(ISNUMBER('자료_미국심리'!$A1938),ISNUMBER('자료_미국심리'!$B1938)),'자료_미국심리'!$A1938,"")</f>
        <v/>
      </c>
      <c r="P1954">
        <f>IF(AND(ISNUMBER('자료_미국심리'!$D1938),ISNUMBER('자료_미국심리'!$E1938)),'자료_미국심리'!$D1938,"")</f>
        <v/>
      </c>
      <c r="Q1954">
        <f>IF(AND(ISNUMBER('자료_미국심리'!$G1938),ISNUMBER('자료_미국심리'!$H1938)),'자료_미국심리'!$G1938,"")</f>
        <v/>
      </c>
    </row>
    <row r="1955">
      <c r="O1955">
        <f>IF(AND(ISNUMBER('자료_미국심리'!$A1939),ISNUMBER('자료_미국심리'!$B1939)),'자료_미국심리'!$A1939,"")</f>
        <v/>
      </c>
      <c r="P1955">
        <f>IF(AND(ISNUMBER('자료_미국심리'!$D1939),ISNUMBER('자료_미국심리'!$E1939)),'자료_미국심리'!$D1939,"")</f>
        <v/>
      </c>
      <c r="Q1955">
        <f>IF(AND(ISNUMBER('자료_미국심리'!$G1939),ISNUMBER('자료_미국심리'!$H1939)),'자료_미국심리'!$G1939,"")</f>
        <v/>
      </c>
    </row>
    <row r="1956">
      <c r="O1956">
        <f>IF(AND(ISNUMBER('자료_미국심리'!$A1940),ISNUMBER('자료_미국심리'!$B1940)),'자료_미국심리'!$A1940,"")</f>
        <v/>
      </c>
      <c r="P1956">
        <f>IF(AND(ISNUMBER('자료_미국심리'!$D1940),ISNUMBER('자료_미국심리'!$E1940)),'자료_미국심리'!$D1940,"")</f>
        <v/>
      </c>
      <c r="Q1956">
        <f>IF(AND(ISNUMBER('자료_미국심리'!$G1940),ISNUMBER('자료_미국심리'!$H1940)),'자료_미국심리'!$G1940,"")</f>
        <v/>
      </c>
    </row>
    <row r="1957">
      <c r="O1957">
        <f>IF(AND(ISNUMBER('자료_미국심리'!$A1941),ISNUMBER('자료_미국심리'!$B1941)),'자료_미국심리'!$A1941,"")</f>
        <v/>
      </c>
      <c r="P1957">
        <f>IF(AND(ISNUMBER('자료_미국심리'!$D1941),ISNUMBER('자료_미국심리'!$E1941)),'자료_미국심리'!$D1941,"")</f>
        <v/>
      </c>
      <c r="Q1957">
        <f>IF(AND(ISNUMBER('자료_미국심리'!$G1941),ISNUMBER('자료_미국심리'!$H1941)),'자료_미국심리'!$G1941,"")</f>
        <v/>
      </c>
    </row>
    <row r="1958">
      <c r="O1958">
        <f>IF(AND(ISNUMBER('자료_미국심리'!$A1942),ISNUMBER('자료_미국심리'!$B1942)),'자료_미국심리'!$A1942,"")</f>
        <v/>
      </c>
      <c r="P1958">
        <f>IF(AND(ISNUMBER('자료_미국심리'!$D1942),ISNUMBER('자료_미국심리'!$E1942)),'자료_미국심리'!$D1942,"")</f>
        <v/>
      </c>
      <c r="Q1958">
        <f>IF(AND(ISNUMBER('자료_미국심리'!$G1942),ISNUMBER('자료_미국심리'!$H1942)),'자료_미국심리'!$G1942,"")</f>
        <v/>
      </c>
    </row>
    <row r="1959">
      <c r="O1959">
        <f>IF(AND(ISNUMBER('자료_미국심리'!$A1943),ISNUMBER('자료_미국심리'!$B1943)),'자료_미국심리'!$A1943,"")</f>
        <v/>
      </c>
      <c r="P1959">
        <f>IF(AND(ISNUMBER('자료_미국심리'!$D1943),ISNUMBER('자료_미국심리'!$E1943)),'자료_미국심리'!$D1943,"")</f>
        <v/>
      </c>
      <c r="Q1959">
        <f>IF(AND(ISNUMBER('자료_미국심리'!$G1943),ISNUMBER('자료_미국심리'!$H1943)),'자료_미국심리'!$G1943,"")</f>
        <v/>
      </c>
    </row>
    <row r="1960">
      <c r="O1960">
        <f>IF(AND(ISNUMBER('자료_미국심리'!$A1944),ISNUMBER('자료_미국심리'!$B1944)),'자료_미국심리'!$A1944,"")</f>
        <v/>
      </c>
      <c r="P1960">
        <f>IF(AND(ISNUMBER('자료_미국심리'!$D1944),ISNUMBER('자료_미국심리'!$E1944)),'자료_미국심리'!$D1944,"")</f>
        <v/>
      </c>
      <c r="Q1960">
        <f>IF(AND(ISNUMBER('자료_미국심리'!$G1944),ISNUMBER('자료_미국심리'!$H1944)),'자료_미국심리'!$G1944,"")</f>
        <v/>
      </c>
    </row>
    <row r="1961">
      <c r="O1961">
        <f>IF(AND(ISNUMBER('자료_미국심리'!$A1945),ISNUMBER('자료_미국심리'!$B1945)),'자료_미국심리'!$A1945,"")</f>
        <v/>
      </c>
      <c r="P1961">
        <f>IF(AND(ISNUMBER('자료_미국심리'!$D1945),ISNUMBER('자료_미국심리'!$E1945)),'자료_미국심리'!$D1945,"")</f>
        <v/>
      </c>
      <c r="Q1961">
        <f>IF(AND(ISNUMBER('자료_미국심리'!$G1945),ISNUMBER('자료_미국심리'!$H1945)),'자료_미국심리'!$G1945,"")</f>
        <v/>
      </c>
    </row>
    <row r="1962">
      <c r="O1962">
        <f>IF(AND(ISNUMBER('자료_미국심리'!$A1946),ISNUMBER('자료_미국심리'!$B1946)),'자료_미국심리'!$A1946,"")</f>
        <v/>
      </c>
      <c r="P1962">
        <f>IF(AND(ISNUMBER('자료_미국심리'!$D1946),ISNUMBER('자료_미국심리'!$E1946)),'자료_미국심리'!$D1946,"")</f>
        <v/>
      </c>
      <c r="Q1962">
        <f>IF(AND(ISNUMBER('자료_미국심리'!$G1946),ISNUMBER('자료_미국심리'!$H1946)),'자료_미국심리'!$G1946,"")</f>
        <v/>
      </c>
    </row>
    <row r="1963">
      <c r="O1963">
        <f>IF(AND(ISNUMBER('자료_미국심리'!$A1947),ISNUMBER('자료_미국심리'!$B1947)),'자료_미국심리'!$A1947,"")</f>
        <v/>
      </c>
      <c r="P1963">
        <f>IF(AND(ISNUMBER('자료_미국심리'!$D1947),ISNUMBER('자료_미국심리'!$E1947)),'자료_미국심리'!$D1947,"")</f>
        <v/>
      </c>
      <c r="Q1963">
        <f>IF(AND(ISNUMBER('자료_미국심리'!$G1947),ISNUMBER('자료_미국심리'!$H1947)),'자료_미국심리'!$G1947,"")</f>
        <v/>
      </c>
    </row>
    <row r="1964">
      <c r="O1964">
        <f>IF(AND(ISNUMBER('자료_미국심리'!$A1948),ISNUMBER('자료_미국심리'!$B1948)),'자료_미국심리'!$A1948,"")</f>
        <v/>
      </c>
      <c r="P1964">
        <f>IF(AND(ISNUMBER('자료_미국심리'!$D1948),ISNUMBER('자료_미국심리'!$E1948)),'자료_미국심리'!$D1948,"")</f>
        <v/>
      </c>
      <c r="Q1964">
        <f>IF(AND(ISNUMBER('자료_미국심리'!$G1948),ISNUMBER('자료_미국심리'!$H1948)),'자료_미국심리'!$G1948,"")</f>
        <v/>
      </c>
    </row>
    <row r="1965">
      <c r="O1965">
        <f>IF(AND(ISNUMBER('자료_미국심리'!$A1949),ISNUMBER('자료_미국심리'!$B1949)),'자료_미국심리'!$A1949,"")</f>
        <v/>
      </c>
      <c r="P1965">
        <f>IF(AND(ISNUMBER('자료_미국심리'!$D1949),ISNUMBER('자료_미국심리'!$E1949)),'자료_미국심리'!$D1949,"")</f>
        <v/>
      </c>
      <c r="Q1965">
        <f>IF(AND(ISNUMBER('자료_미국심리'!$G1949),ISNUMBER('자료_미국심리'!$H1949)),'자료_미국심리'!$G1949,"")</f>
        <v/>
      </c>
    </row>
    <row r="1966">
      <c r="O1966">
        <f>IF(AND(ISNUMBER('자료_미국심리'!$A1950),ISNUMBER('자료_미국심리'!$B1950)),'자료_미국심리'!$A1950,"")</f>
        <v/>
      </c>
      <c r="P1966">
        <f>IF(AND(ISNUMBER('자료_미국심리'!$D1950),ISNUMBER('자료_미국심리'!$E1950)),'자료_미국심리'!$D1950,"")</f>
        <v/>
      </c>
      <c r="Q1966">
        <f>IF(AND(ISNUMBER('자료_미국심리'!$G1950),ISNUMBER('자료_미국심리'!$H1950)),'자료_미국심리'!$G1950,"")</f>
        <v/>
      </c>
    </row>
    <row r="1967">
      <c r="O1967">
        <f>IF(AND(ISNUMBER('자료_미국심리'!$A1951),ISNUMBER('자료_미국심리'!$B1951)),'자료_미국심리'!$A1951,"")</f>
        <v/>
      </c>
      <c r="P1967">
        <f>IF(AND(ISNUMBER('자료_미국심리'!$D1951),ISNUMBER('자료_미국심리'!$E1951)),'자료_미국심리'!$D1951,"")</f>
        <v/>
      </c>
      <c r="Q1967">
        <f>IF(AND(ISNUMBER('자료_미국심리'!$G1951),ISNUMBER('자료_미국심리'!$H1951)),'자료_미국심리'!$G1951,"")</f>
        <v/>
      </c>
    </row>
    <row r="1968">
      <c r="O1968">
        <f>IF(AND(ISNUMBER('자료_미국심리'!$A1952),ISNUMBER('자료_미국심리'!$B1952)),'자료_미국심리'!$A1952,"")</f>
        <v/>
      </c>
      <c r="P1968">
        <f>IF(AND(ISNUMBER('자료_미국심리'!$D1952),ISNUMBER('자료_미국심리'!$E1952)),'자료_미국심리'!$D1952,"")</f>
        <v/>
      </c>
      <c r="Q1968">
        <f>IF(AND(ISNUMBER('자료_미국심리'!$G1952),ISNUMBER('자료_미국심리'!$H1952)),'자료_미국심리'!$G1952,"")</f>
        <v/>
      </c>
    </row>
    <row r="1969">
      <c r="O1969">
        <f>IF(AND(ISNUMBER('자료_미국심리'!$A1953),ISNUMBER('자료_미국심리'!$B1953)),'자료_미국심리'!$A1953,"")</f>
        <v/>
      </c>
      <c r="P1969">
        <f>IF(AND(ISNUMBER('자료_미국심리'!$D1953),ISNUMBER('자료_미국심리'!$E1953)),'자료_미국심리'!$D1953,"")</f>
        <v/>
      </c>
      <c r="Q1969">
        <f>IF(AND(ISNUMBER('자료_미국심리'!$G1953),ISNUMBER('자료_미국심리'!$H1953)),'자료_미국심리'!$G1953,"")</f>
        <v/>
      </c>
    </row>
    <row r="1970">
      <c r="O1970">
        <f>IF(AND(ISNUMBER('자료_미국심리'!$A1954),ISNUMBER('자료_미국심리'!$B1954)),'자료_미국심리'!$A1954,"")</f>
        <v/>
      </c>
      <c r="P1970">
        <f>IF(AND(ISNUMBER('자료_미국심리'!$D1954),ISNUMBER('자료_미국심리'!$E1954)),'자료_미국심리'!$D1954,"")</f>
        <v/>
      </c>
      <c r="Q1970">
        <f>IF(AND(ISNUMBER('자료_미국심리'!$G1954),ISNUMBER('자료_미국심리'!$H1954)),'자료_미국심리'!$G1954,"")</f>
        <v/>
      </c>
    </row>
    <row r="1971">
      <c r="O1971">
        <f>IF(AND(ISNUMBER('자료_미국심리'!$A1955),ISNUMBER('자료_미국심리'!$B1955)),'자료_미국심리'!$A1955,"")</f>
        <v/>
      </c>
      <c r="P1971">
        <f>IF(AND(ISNUMBER('자료_미국심리'!$D1955),ISNUMBER('자료_미국심리'!$E1955)),'자료_미국심리'!$D1955,"")</f>
        <v/>
      </c>
      <c r="Q1971">
        <f>IF(AND(ISNUMBER('자료_미국심리'!$G1955),ISNUMBER('자료_미국심리'!$H1955)),'자료_미국심리'!$G1955,"")</f>
        <v/>
      </c>
    </row>
    <row r="1972">
      <c r="O1972">
        <f>IF(AND(ISNUMBER('자료_미국심리'!$A1956),ISNUMBER('자료_미국심리'!$B1956)),'자료_미국심리'!$A1956,"")</f>
        <v/>
      </c>
      <c r="P1972">
        <f>IF(AND(ISNUMBER('자료_미국심리'!$D1956),ISNUMBER('자료_미국심리'!$E1956)),'자료_미국심리'!$D1956,"")</f>
        <v/>
      </c>
      <c r="Q1972">
        <f>IF(AND(ISNUMBER('자료_미국심리'!$G1956),ISNUMBER('자료_미국심리'!$H1956)),'자료_미국심리'!$G1956,"")</f>
        <v/>
      </c>
    </row>
    <row r="1973">
      <c r="O1973">
        <f>IF(AND(ISNUMBER('자료_미국심리'!$A1957),ISNUMBER('자료_미국심리'!$B1957)),'자료_미국심리'!$A1957,"")</f>
        <v/>
      </c>
      <c r="P1973">
        <f>IF(AND(ISNUMBER('자료_미국심리'!$D1957),ISNUMBER('자료_미국심리'!$E1957)),'자료_미국심리'!$D1957,"")</f>
        <v/>
      </c>
      <c r="Q1973">
        <f>IF(AND(ISNUMBER('자료_미국심리'!$G1957),ISNUMBER('자료_미국심리'!$H1957)),'자료_미국심리'!$G1957,"")</f>
        <v/>
      </c>
    </row>
    <row r="1974">
      <c r="O1974">
        <f>IF(AND(ISNUMBER('자료_미국심리'!$A1958),ISNUMBER('자료_미국심리'!$B1958)),'자료_미국심리'!$A1958,"")</f>
        <v/>
      </c>
      <c r="P1974">
        <f>IF(AND(ISNUMBER('자료_미국심리'!$D1958),ISNUMBER('자료_미국심리'!$E1958)),'자료_미국심리'!$D1958,"")</f>
        <v/>
      </c>
      <c r="Q1974">
        <f>IF(AND(ISNUMBER('자료_미국심리'!$G1958),ISNUMBER('자료_미국심리'!$H1958)),'자료_미국심리'!$G1958,"")</f>
        <v/>
      </c>
    </row>
    <row r="1975">
      <c r="O1975">
        <f>IF(AND(ISNUMBER('자료_미국심리'!$A1959),ISNUMBER('자료_미국심리'!$B1959)),'자료_미국심리'!$A1959,"")</f>
        <v/>
      </c>
      <c r="P1975">
        <f>IF(AND(ISNUMBER('자료_미국심리'!$D1959),ISNUMBER('자료_미국심리'!$E1959)),'자료_미국심리'!$D1959,"")</f>
        <v/>
      </c>
      <c r="Q1975">
        <f>IF(AND(ISNUMBER('자료_미국심리'!$G1959),ISNUMBER('자료_미국심리'!$H1959)),'자료_미국심리'!$G1959,"")</f>
        <v/>
      </c>
    </row>
    <row r="1976">
      <c r="O1976">
        <f>IF(AND(ISNUMBER('자료_미국심리'!$A1960),ISNUMBER('자료_미국심리'!$B1960)),'자료_미국심리'!$A1960,"")</f>
        <v/>
      </c>
      <c r="P1976">
        <f>IF(AND(ISNUMBER('자료_미국심리'!$D1960),ISNUMBER('자료_미국심리'!$E1960)),'자료_미국심리'!$D1960,"")</f>
        <v/>
      </c>
      <c r="Q1976">
        <f>IF(AND(ISNUMBER('자료_미국심리'!$G1960),ISNUMBER('자료_미국심리'!$H1960)),'자료_미국심리'!$G1960,"")</f>
        <v/>
      </c>
    </row>
    <row r="1977">
      <c r="O1977">
        <f>IF(AND(ISNUMBER('자료_미국심리'!$A1961),ISNUMBER('자료_미국심리'!$B1961)),'자료_미국심리'!$A1961,"")</f>
        <v/>
      </c>
      <c r="P1977">
        <f>IF(AND(ISNUMBER('자료_미국심리'!$D1961),ISNUMBER('자료_미국심리'!$E1961)),'자료_미국심리'!$D1961,"")</f>
        <v/>
      </c>
      <c r="Q1977">
        <f>IF(AND(ISNUMBER('자료_미국심리'!$G1961),ISNUMBER('자료_미국심리'!$H1961)),'자료_미국심리'!$G1961,"")</f>
        <v/>
      </c>
    </row>
    <row r="1978">
      <c r="O1978">
        <f>IF(AND(ISNUMBER('자료_미국심리'!$A1962),ISNUMBER('자료_미국심리'!$B1962)),'자료_미국심리'!$A1962,"")</f>
        <v/>
      </c>
      <c r="P1978">
        <f>IF(AND(ISNUMBER('자료_미국심리'!$D1962),ISNUMBER('자료_미국심리'!$E1962)),'자료_미국심리'!$D1962,"")</f>
        <v/>
      </c>
      <c r="Q1978">
        <f>IF(AND(ISNUMBER('자료_미국심리'!$G1962),ISNUMBER('자료_미국심리'!$H1962)),'자료_미국심리'!$G1962,"")</f>
        <v/>
      </c>
    </row>
    <row r="1979">
      <c r="O1979">
        <f>IF(AND(ISNUMBER('자료_미국심리'!$A1963),ISNUMBER('자료_미국심리'!$B1963)),'자료_미국심리'!$A1963,"")</f>
        <v/>
      </c>
      <c r="P1979">
        <f>IF(AND(ISNUMBER('자료_미국심리'!$D1963),ISNUMBER('자료_미국심리'!$E1963)),'자료_미국심리'!$D1963,"")</f>
        <v/>
      </c>
      <c r="Q1979">
        <f>IF(AND(ISNUMBER('자료_미국심리'!$G1963),ISNUMBER('자료_미국심리'!$H1963)),'자료_미국심리'!$G1963,"")</f>
        <v/>
      </c>
    </row>
    <row r="1980">
      <c r="O1980">
        <f>IF(AND(ISNUMBER('자료_미국심리'!$A1964),ISNUMBER('자료_미국심리'!$B1964)),'자료_미국심리'!$A1964,"")</f>
        <v/>
      </c>
      <c r="P1980">
        <f>IF(AND(ISNUMBER('자료_미국심리'!$D1964),ISNUMBER('자료_미국심리'!$E1964)),'자료_미국심리'!$D1964,"")</f>
        <v/>
      </c>
      <c r="Q1980">
        <f>IF(AND(ISNUMBER('자료_미국심리'!$G1964),ISNUMBER('자료_미국심리'!$H1964)),'자료_미국심리'!$G1964,"")</f>
        <v/>
      </c>
    </row>
    <row r="1981">
      <c r="O1981">
        <f>IF(AND(ISNUMBER('자료_미국심리'!$A1965),ISNUMBER('자료_미국심리'!$B1965)),'자료_미국심리'!$A1965,"")</f>
        <v/>
      </c>
      <c r="P1981">
        <f>IF(AND(ISNUMBER('자료_미국심리'!$D1965),ISNUMBER('자료_미국심리'!$E1965)),'자료_미국심리'!$D1965,"")</f>
        <v/>
      </c>
      <c r="Q1981">
        <f>IF(AND(ISNUMBER('자료_미국심리'!$G1965),ISNUMBER('자료_미국심리'!$H1965)),'자료_미국심리'!$G1965,"")</f>
        <v/>
      </c>
    </row>
    <row r="1982">
      <c r="O1982">
        <f>IF(AND(ISNUMBER('자료_미국심리'!$A1966),ISNUMBER('자료_미국심리'!$B1966)),'자료_미국심리'!$A1966,"")</f>
        <v/>
      </c>
      <c r="P1982">
        <f>IF(AND(ISNUMBER('자료_미국심리'!$D1966),ISNUMBER('자료_미국심리'!$E1966)),'자료_미국심리'!$D1966,"")</f>
        <v/>
      </c>
      <c r="Q1982">
        <f>IF(AND(ISNUMBER('자료_미국심리'!$G1966),ISNUMBER('자료_미국심리'!$H1966)),'자료_미국심리'!$G1966,"")</f>
        <v/>
      </c>
    </row>
    <row r="1983">
      <c r="O1983">
        <f>IF(AND(ISNUMBER('자료_미국심리'!$A1967),ISNUMBER('자료_미국심리'!$B1967)),'자료_미국심리'!$A1967,"")</f>
        <v/>
      </c>
      <c r="P1983">
        <f>IF(AND(ISNUMBER('자료_미국심리'!$D1967),ISNUMBER('자료_미국심리'!$E1967)),'자료_미국심리'!$D1967,"")</f>
        <v/>
      </c>
      <c r="Q1983">
        <f>IF(AND(ISNUMBER('자료_미국심리'!$G1967),ISNUMBER('자료_미국심리'!$H1967)),'자료_미국심리'!$G1967,"")</f>
        <v/>
      </c>
    </row>
    <row r="1984">
      <c r="O1984">
        <f>IF(AND(ISNUMBER('자료_미국심리'!$A1968),ISNUMBER('자료_미국심리'!$B1968)),'자료_미국심리'!$A1968,"")</f>
        <v/>
      </c>
      <c r="P1984">
        <f>IF(AND(ISNUMBER('자료_미국심리'!$D1968),ISNUMBER('자료_미국심리'!$E1968)),'자료_미국심리'!$D1968,"")</f>
        <v/>
      </c>
      <c r="Q1984">
        <f>IF(AND(ISNUMBER('자료_미국심리'!$G1968),ISNUMBER('자료_미국심리'!$H1968)),'자료_미국심리'!$G1968,"")</f>
        <v/>
      </c>
    </row>
    <row r="1985">
      <c r="O1985">
        <f>IF(AND(ISNUMBER('자료_미국심리'!$A1969),ISNUMBER('자료_미국심리'!$B1969)),'자료_미국심리'!$A1969,"")</f>
        <v/>
      </c>
      <c r="P1985">
        <f>IF(AND(ISNUMBER('자료_미국심리'!$D1969),ISNUMBER('자료_미국심리'!$E1969)),'자료_미국심리'!$D1969,"")</f>
        <v/>
      </c>
      <c r="Q1985">
        <f>IF(AND(ISNUMBER('자료_미국심리'!$G1969),ISNUMBER('자료_미국심리'!$H1969)),'자료_미국심리'!$G1969,"")</f>
        <v/>
      </c>
    </row>
    <row r="1986">
      <c r="O1986">
        <f>IF(AND(ISNUMBER('자료_미국심리'!$A1970),ISNUMBER('자료_미국심리'!$B1970)),'자료_미국심리'!$A1970,"")</f>
        <v/>
      </c>
      <c r="P1986">
        <f>IF(AND(ISNUMBER('자료_미국심리'!$D1970),ISNUMBER('자료_미국심리'!$E1970)),'자료_미국심리'!$D1970,"")</f>
        <v/>
      </c>
      <c r="Q1986">
        <f>IF(AND(ISNUMBER('자료_미국심리'!$G1970),ISNUMBER('자료_미국심리'!$H1970)),'자료_미국심리'!$G1970,"")</f>
        <v/>
      </c>
    </row>
    <row r="1987">
      <c r="O1987">
        <f>IF(AND(ISNUMBER('자료_미국심리'!$A1971),ISNUMBER('자료_미국심리'!$B1971)),'자료_미국심리'!$A1971,"")</f>
        <v/>
      </c>
      <c r="P1987">
        <f>IF(AND(ISNUMBER('자료_미국심리'!$D1971),ISNUMBER('자료_미국심리'!$E1971)),'자료_미국심리'!$D1971,"")</f>
        <v/>
      </c>
      <c r="Q1987">
        <f>IF(AND(ISNUMBER('자료_미국심리'!$G1971),ISNUMBER('자료_미국심리'!$H1971)),'자료_미국심리'!$G1971,"")</f>
        <v/>
      </c>
    </row>
    <row r="1988">
      <c r="O1988">
        <f>IF(AND(ISNUMBER('자료_미국심리'!$A1972),ISNUMBER('자료_미국심리'!$B1972)),'자료_미국심리'!$A1972,"")</f>
        <v/>
      </c>
      <c r="P1988">
        <f>IF(AND(ISNUMBER('자료_미국심리'!$D1972),ISNUMBER('자료_미국심리'!$E1972)),'자료_미국심리'!$D1972,"")</f>
        <v/>
      </c>
      <c r="Q1988">
        <f>IF(AND(ISNUMBER('자료_미국심리'!$G1972),ISNUMBER('자료_미국심리'!$H1972)),'자료_미국심리'!$G1972,"")</f>
        <v/>
      </c>
    </row>
    <row r="1989">
      <c r="O1989">
        <f>IF(AND(ISNUMBER('자료_미국심리'!$A1973),ISNUMBER('자료_미국심리'!$B1973)),'자료_미국심리'!$A1973,"")</f>
        <v/>
      </c>
      <c r="P1989">
        <f>IF(AND(ISNUMBER('자료_미국심리'!$D1973),ISNUMBER('자료_미국심리'!$E1973)),'자료_미국심리'!$D1973,"")</f>
        <v/>
      </c>
      <c r="Q1989">
        <f>IF(AND(ISNUMBER('자료_미국심리'!$G1973),ISNUMBER('자료_미국심리'!$H1973)),'자료_미국심리'!$G1973,"")</f>
        <v/>
      </c>
    </row>
    <row r="1990">
      <c r="O1990">
        <f>IF(AND(ISNUMBER('자료_미국심리'!$A1974),ISNUMBER('자료_미국심리'!$B1974)),'자료_미국심리'!$A1974,"")</f>
        <v/>
      </c>
      <c r="P1990">
        <f>IF(AND(ISNUMBER('자료_미국심리'!$D1974),ISNUMBER('자료_미국심리'!$E1974)),'자료_미국심리'!$D1974,"")</f>
        <v/>
      </c>
      <c r="Q1990">
        <f>IF(AND(ISNUMBER('자료_미국심리'!$G1974),ISNUMBER('자료_미국심리'!$H1974)),'자료_미국심리'!$G1974,"")</f>
        <v/>
      </c>
    </row>
    <row r="1991">
      <c r="O1991">
        <f>IF(AND(ISNUMBER('자료_미국심리'!$A1975),ISNUMBER('자료_미국심리'!$B1975)),'자료_미국심리'!$A1975,"")</f>
        <v/>
      </c>
      <c r="P1991">
        <f>IF(AND(ISNUMBER('자료_미국심리'!$D1975),ISNUMBER('자료_미국심리'!$E1975)),'자료_미국심리'!$D1975,"")</f>
        <v/>
      </c>
      <c r="Q1991">
        <f>IF(AND(ISNUMBER('자료_미국심리'!$G1975),ISNUMBER('자료_미국심리'!$H1975)),'자료_미국심리'!$G1975,"")</f>
        <v/>
      </c>
    </row>
    <row r="1992">
      <c r="O1992">
        <f>IF(AND(ISNUMBER('자료_미국심리'!$A1976),ISNUMBER('자료_미국심리'!$B1976)),'자료_미국심리'!$A1976,"")</f>
        <v/>
      </c>
      <c r="P1992">
        <f>IF(AND(ISNUMBER('자료_미국심리'!$D1976),ISNUMBER('자료_미국심리'!$E1976)),'자료_미국심리'!$D1976,"")</f>
        <v/>
      </c>
      <c r="Q1992">
        <f>IF(AND(ISNUMBER('자료_미국심리'!$G1976),ISNUMBER('자료_미국심리'!$H1976)),'자료_미국심리'!$G1976,"")</f>
        <v/>
      </c>
    </row>
    <row r="1993">
      <c r="O1993">
        <f>IF(AND(ISNUMBER('자료_미국심리'!$A1977),ISNUMBER('자료_미국심리'!$B1977)),'자료_미국심리'!$A1977,"")</f>
        <v/>
      </c>
      <c r="P1993">
        <f>IF(AND(ISNUMBER('자료_미국심리'!$D1977),ISNUMBER('자료_미국심리'!$E1977)),'자료_미국심리'!$D1977,"")</f>
        <v/>
      </c>
      <c r="Q1993">
        <f>IF(AND(ISNUMBER('자료_미국심리'!$G1977),ISNUMBER('자료_미국심리'!$H1977)),'자료_미국심리'!$G1977,"")</f>
        <v/>
      </c>
    </row>
    <row r="1994">
      <c r="O1994">
        <f>IF(AND(ISNUMBER('자료_미국심리'!$A1978),ISNUMBER('자료_미국심리'!$B1978)),'자료_미국심리'!$A1978,"")</f>
        <v/>
      </c>
      <c r="P1994">
        <f>IF(AND(ISNUMBER('자료_미국심리'!$D1978),ISNUMBER('자료_미국심리'!$E1978)),'자료_미국심리'!$D1978,"")</f>
        <v/>
      </c>
      <c r="Q1994">
        <f>IF(AND(ISNUMBER('자료_미국심리'!$G1978),ISNUMBER('자료_미국심리'!$H1978)),'자료_미국심리'!$G1978,"")</f>
        <v/>
      </c>
    </row>
    <row r="1995">
      <c r="O1995">
        <f>IF(AND(ISNUMBER('자료_미국심리'!$A1979),ISNUMBER('자료_미국심리'!$B1979)),'자료_미국심리'!$A1979,"")</f>
        <v/>
      </c>
      <c r="P1995">
        <f>IF(AND(ISNUMBER('자료_미국심리'!$D1979),ISNUMBER('자료_미국심리'!$E1979)),'자료_미국심리'!$D1979,"")</f>
        <v/>
      </c>
      <c r="Q1995">
        <f>IF(AND(ISNUMBER('자료_미국심리'!$G1979),ISNUMBER('자료_미국심리'!$H1979)),'자료_미국심리'!$G1979,"")</f>
        <v/>
      </c>
    </row>
    <row r="1996">
      <c r="O1996">
        <f>IF(AND(ISNUMBER('자료_미국심리'!$A1980),ISNUMBER('자료_미국심리'!$B1980)),'자료_미국심리'!$A1980,"")</f>
        <v/>
      </c>
      <c r="P1996">
        <f>IF(AND(ISNUMBER('자료_미국심리'!$D1980),ISNUMBER('자료_미국심리'!$E1980)),'자료_미국심리'!$D1980,"")</f>
        <v/>
      </c>
      <c r="Q1996">
        <f>IF(AND(ISNUMBER('자료_미국심리'!$G1980),ISNUMBER('자료_미국심리'!$H1980)),'자료_미국심리'!$G1980,"")</f>
        <v/>
      </c>
    </row>
    <row r="1997">
      <c r="O1997">
        <f>IF(AND(ISNUMBER('자료_미국심리'!$A1981),ISNUMBER('자료_미국심리'!$B1981)),'자료_미국심리'!$A1981,"")</f>
        <v/>
      </c>
      <c r="P1997">
        <f>IF(AND(ISNUMBER('자료_미국심리'!$D1981),ISNUMBER('자료_미국심리'!$E1981)),'자료_미국심리'!$D1981,"")</f>
        <v/>
      </c>
      <c r="Q1997">
        <f>IF(AND(ISNUMBER('자료_미국심리'!$G1981),ISNUMBER('자료_미국심리'!$H1981)),'자료_미국심리'!$G1981,"")</f>
        <v/>
      </c>
    </row>
    <row r="1998">
      <c r="O1998">
        <f>IF(AND(ISNUMBER('자료_미국심리'!$A1982),ISNUMBER('자료_미국심리'!$B1982)),'자료_미국심리'!$A1982,"")</f>
        <v/>
      </c>
      <c r="P1998">
        <f>IF(AND(ISNUMBER('자료_미국심리'!$D1982),ISNUMBER('자료_미국심리'!$E1982)),'자료_미국심리'!$D1982,"")</f>
        <v/>
      </c>
      <c r="Q1998">
        <f>IF(AND(ISNUMBER('자료_미국심리'!$G1982),ISNUMBER('자료_미국심리'!$H1982)),'자료_미국심리'!$G1982,"")</f>
        <v/>
      </c>
    </row>
    <row r="1999">
      <c r="O1999">
        <f>IF(AND(ISNUMBER('자료_미국심리'!$A1983),ISNUMBER('자료_미국심리'!$B1983)),'자료_미국심리'!$A1983,"")</f>
        <v/>
      </c>
      <c r="P1999">
        <f>IF(AND(ISNUMBER('자료_미국심리'!$D1983),ISNUMBER('자료_미국심리'!$E1983)),'자료_미국심리'!$D1983,"")</f>
        <v/>
      </c>
      <c r="Q1999">
        <f>IF(AND(ISNUMBER('자료_미국심리'!$G1983),ISNUMBER('자료_미국심리'!$H1983)),'자료_미국심리'!$G1983,"")</f>
        <v/>
      </c>
    </row>
    <row r="2000">
      <c r="O2000">
        <f>IF(AND(ISNUMBER('자료_미국심리'!$A1984),ISNUMBER('자료_미국심리'!$B1984)),'자료_미국심리'!$A1984,"")</f>
        <v/>
      </c>
      <c r="P2000">
        <f>IF(AND(ISNUMBER('자료_미국심리'!$D1984),ISNUMBER('자료_미국심리'!$E1984)),'자료_미국심리'!$D1984,"")</f>
        <v/>
      </c>
      <c r="Q2000">
        <f>IF(AND(ISNUMBER('자료_미국심리'!$G1984),ISNUMBER('자료_미국심리'!$H1984)),'자료_미국심리'!$G1984,"")</f>
        <v/>
      </c>
    </row>
    <row r="2001">
      <c r="O2001">
        <f>IF(AND(ISNUMBER('자료_미국심리'!$A1985),ISNUMBER('자료_미국심리'!$B1985)),'자료_미국심리'!$A1985,"")</f>
        <v/>
      </c>
      <c r="P2001">
        <f>IF(AND(ISNUMBER('자료_미국심리'!$D1985),ISNUMBER('자료_미국심리'!$E1985)),'자료_미국심리'!$D1985,"")</f>
        <v/>
      </c>
      <c r="Q2001">
        <f>IF(AND(ISNUMBER('자료_미국심리'!$G1985),ISNUMBER('자료_미국심리'!$H1985)),'자료_미국심리'!$G1985,"")</f>
        <v/>
      </c>
    </row>
    <row r="2002">
      <c r="O2002">
        <f>IF(AND(ISNUMBER('자료_미국심리'!$A1986),ISNUMBER('자료_미국심리'!$B1986)),'자료_미국심리'!$A1986,"")</f>
        <v/>
      </c>
      <c r="P2002">
        <f>IF(AND(ISNUMBER('자료_미국심리'!$D1986),ISNUMBER('자료_미국심리'!$E1986)),'자료_미국심리'!$D1986,"")</f>
        <v/>
      </c>
      <c r="Q2002">
        <f>IF(AND(ISNUMBER('자료_미국심리'!$G1986),ISNUMBER('자료_미국심리'!$H1986)),'자료_미국심리'!$G1986,"")</f>
        <v/>
      </c>
    </row>
    <row r="2003">
      <c r="O2003">
        <f>IF(AND(ISNUMBER('자료_미국심리'!$A1987),ISNUMBER('자료_미국심리'!$B1987)),'자료_미국심리'!$A1987,"")</f>
        <v/>
      </c>
      <c r="P2003">
        <f>IF(AND(ISNUMBER('자료_미국심리'!$D1987),ISNUMBER('자료_미국심리'!$E1987)),'자료_미국심리'!$D1987,"")</f>
        <v/>
      </c>
      <c r="Q2003">
        <f>IF(AND(ISNUMBER('자료_미국심리'!$G1987),ISNUMBER('자료_미국심리'!$H1987)),'자료_미국심리'!$G1987,"")</f>
        <v/>
      </c>
    </row>
    <row r="2004">
      <c r="O2004">
        <f>IF(AND(ISNUMBER('자료_미국심리'!$A1988),ISNUMBER('자료_미국심리'!$B1988)),'자료_미국심리'!$A1988,"")</f>
        <v/>
      </c>
      <c r="P2004">
        <f>IF(AND(ISNUMBER('자료_미국심리'!$D1988),ISNUMBER('자료_미국심리'!$E1988)),'자료_미국심리'!$D1988,"")</f>
        <v/>
      </c>
      <c r="Q2004">
        <f>IF(AND(ISNUMBER('자료_미국심리'!$G1988),ISNUMBER('자료_미국심리'!$H1988)),'자료_미국심리'!$G1988,"")</f>
        <v/>
      </c>
    </row>
    <row r="2005">
      <c r="O2005">
        <f>IF(AND(ISNUMBER('자료_미국심리'!$A1989),ISNUMBER('자료_미국심리'!$B1989)),'자료_미국심리'!$A1989,"")</f>
        <v/>
      </c>
      <c r="P2005">
        <f>IF(AND(ISNUMBER('자료_미국심리'!$D1989),ISNUMBER('자료_미국심리'!$E1989)),'자료_미국심리'!$D1989,"")</f>
        <v/>
      </c>
      <c r="Q2005">
        <f>IF(AND(ISNUMBER('자료_미국심리'!$G1989),ISNUMBER('자료_미국심리'!$H1989)),'자료_미국심리'!$G1989,"")</f>
        <v/>
      </c>
    </row>
    <row r="2006">
      <c r="O2006">
        <f>IF(AND(ISNUMBER('자료_미국심리'!$A1990),ISNUMBER('자료_미국심리'!$B1990)),'자료_미국심리'!$A1990,"")</f>
        <v/>
      </c>
      <c r="P2006">
        <f>IF(AND(ISNUMBER('자료_미국심리'!$D1990),ISNUMBER('자료_미국심리'!$E1990)),'자료_미국심리'!$D1990,"")</f>
        <v/>
      </c>
      <c r="Q2006">
        <f>IF(AND(ISNUMBER('자료_미국심리'!$G1990),ISNUMBER('자료_미국심리'!$H1990)),'자료_미국심리'!$G1990,"")</f>
        <v/>
      </c>
    </row>
    <row r="2007">
      <c r="O2007">
        <f>IF(AND(ISNUMBER('자료_미국심리'!$A1991),ISNUMBER('자료_미국심리'!$B1991)),'자료_미국심리'!$A1991,"")</f>
        <v/>
      </c>
      <c r="P2007">
        <f>IF(AND(ISNUMBER('자료_미국심리'!$D1991),ISNUMBER('자료_미국심리'!$E1991)),'자료_미국심리'!$D1991,"")</f>
        <v/>
      </c>
      <c r="Q2007">
        <f>IF(AND(ISNUMBER('자료_미국심리'!$G1991),ISNUMBER('자료_미국심리'!$H1991)),'자료_미국심리'!$G1991,"")</f>
        <v/>
      </c>
    </row>
    <row r="2008">
      <c r="O2008">
        <f>IF(AND(ISNUMBER('자료_미국심리'!$A1992),ISNUMBER('자료_미국심리'!$B1992)),'자료_미국심리'!$A1992,"")</f>
        <v/>
      </c>
      <c r="P2008">
        <f>IF(AND(ISNUMBER('자료_미국심리'!$D1992),ISNUMBER('자료_미국심리'!$E1992)),'자료_미국심리'!$D1992,"")</f>
        <v/>
      </c>
      <c r="Q2008">
        <f>IF(AND(ISNUMBER('자료_미국심리'!$G1992),ISNUMBER('자료_미국심리'!$H1992)),'자료_미국심리'!$G1992,"")</f>
        <v/>
      </c>
    </row>
    <row r="2009">
      <c r="O2009">
        <f>IF(AND(ISNUMBER('자료_미국심리'!$A1993),ISNUMBER('자료_미국심리'!$B1993)),'자료_미국심리'!$A1993,"")</f>
        <v/>
      </c>
      <c r="P2009">
        <f>IF(AND(ISNUMBER('자료_미국심리'!$D1993),ISNUMBER('자료_미국심리'!$E1993)),'자료_미국심리'!$D1993,"")</f>
        <v/>
      </c>
      <c r="Q2009">
        <f>IF(AND(ISNUMBER('자료_미국심리'!$G1993),ISNUMBER('자료_미국심리'!$H1993)),'자료_미국심리'!$G1993,"")</f>
        <v/>
      </c>
    </row>
    <row r="2010">
      <c r="O2010">
        <f>IF(AND(ISNUMBER('자료_미국심리'!$A1994),ISNUMBER('자료_미국심리'!$B1994)),'자료_미국심리'!$A1994,"")</f>
        <v/>
      </c>
      <c r="P2010">
        <f>IF(AND(ISNUMBER('자료_미국심리'!$D1994),ISNUMBER('자료_미국심리'!$E1994)),'자료_미국심리'!$D1994,"")</f>
        <v/>
      </c>
      <c r="Q2010">
        <f>IF(AND(ISNUMBER('자료_미국심리'!$G1994),ISNUMBER('자료_미국심리'!$H1994)),'자료_미국심리'!$G1994,"")</f>
        <v/>
      </c>
    </row>
    <row r="2011">
      <c r="O2011">
        <f>IF(AND(ISNUMBER('자료_미국심리'!$A1995),ISNUMBER('자료_미국심리'!$B1995)),'자료_미국심리'!$A1995,"")</f>
        <v/>
      </c>
      <c r="P2011">
        <f>IF(AND(ISNUMBER('자료_미국심리'!$D1995),ISNUMBER('자료_미국심리'!$E1995)),'자료_미국심리'!$D1995,"")</f>
        <v/>
      </c>
      <c r="Q2011">
        <f>IF(AND(ISNUMBER('자료_미국심리'!$G1995),ISNUMBER('자료_미국심리'!$H1995)),'자료_미국심리'!$G1995,"")</f>
        <v/>
      </c>
    </row>
    <row r="2012">
      <c r="O2012">
        <f>IF(AND(ISNUMBER('자료_미국심리'!$A1996),ISNUMBER('자료_미국심리'!$B1996)),'자료_미국심리'!$A1996,"")</f>
        <v/>
      </c>
      <c r="P2012">
        <f>IF(AND(ISNUMBER('자료_미국심리'!$D1996),ISNUMBER('자료_미국심리'!$E1996)),'자료_미국심리'!$D1996,"")</f>
        <v/>
      </c>
      <c r="Q2012">
        <f>IF(AND(ISNUMBER('자료_미국심리'!$G1996),ISNUMBER('자료_미국심리'!$H1996)),'자료_미국심리'!$G1996,"")</f>
        <v/>
      </c>
    </row>
    <row r="2013">
      <c r="O2013">
        <f>IF(AND(ISNUMBER('자료_미국심리'!$A1997),ISNUMBER('자료_미국심리'!$B1997)),'자료_미국심리'!$A1997,"")</f>
        <v/>
      </c>
      <c r="P2013">
        <f>IF(AND(ISNUMBER('자료_미국심리'!$D1997),ISNUMBER('자료_미국심리'!$E1997)),'자료_미국심리'!$D1997,"")</f>
        <v/>
      </c>
      <c r="Q2013">
        <f>IF(AND(ISNUMBER('자료_미국심리'!$G1997),ISNUMBER('자료_미국심리'!$H1997)),'자료_미국심리'!$G1997,"")</f>
        <v/>
      </c>
    </row>
    <row r="2014">
      <c r="O2014">
        <f>IF(AND(ISNUMBER('자료_미국심리'!$A1998),ISNUMBER('자료_미국심리'!$B1998)),'자료_미국심리'!$A1998,"")</f>
        <v/>
      </c>
      <c r="P2014">
        <f>IF(AND(ISNUMBER('자료_미국심리'!$D1998),ISNUMBER('자료_미국심리'!$E1998)),'자료_미국심리'!$D1998,"")</f>
        <v/>
      </c>
      <c r="Q2014">
        <f>IF(AND(ISNUMBER('자료_미국심리'!$G1998),ISNUMBER('자료_미국심리'!$H1998)),'자료_미국심리'!$G1998,"")</f>
        <v/>
      </c>
    </row>
    <row r="2015">
      <c r="O2015">
        <f>IF(AND(ISNUMBER('자료_미국심리'!$A1999),ISNUMBER('자료_미국심리'!$B1999)),'자료_미국심리'!$A1999,"")</f>
        <v/>
      </c>
      <c r="P2015">
        <f>IF(AND(ISNUMBER('자료_미국심리'!$D1999),ISNUMBER('자료_미국심리'!$E1999)),'자료_미국심리'!$D1999,"")</f>
        <v/>
      </c>
      <c r="Q2015">
        <f>IF(AND(ISNUMBER('자료_미국심리'!$G1999),ISNUMBER('자료_미국심리'!$H1999)),'자료_미국심리'!$G1999,"")</f>
        <v/>
      </c>
    </row>
    <row r="2016">
      <c r="O2016">
        <f>IF(AND(ISNUMBER('자료_미국심리'!$A2000),ISNUMBER('자료_미국심리'!$B2000)),'자료_미국심리'!$A2000,"")</f>
        <v/>
      </c>
      <c r="P2016">
        <f>IF(AND(ISNUMBER('자료_미국심리'!$D2000),ISNUMBER('자료_미국심리'!$E2000)),'자료_미국심리'!$D2000,"")</f>
        <v/>
      </c>
      <c r="Q2016">
        <f>IF(AND(ISNUMBER('자료_미국심리'!$G2000),ISNUMBER('자료_미국심리'!$H2000)),'자료_미국심리'!$G2000,"")</f>
        <v/>
      </c>
    </row>
    <row r="2017">
      <c r="O2017">
        <f>IF(AND(ISNUMBER('자료_미국심리'!$A2001),ISNUMBER('자료_미국심리'!$B2001)),'자료_미국심리'!$A2001,"")</f>
        <v/>
      </c>
      <c r="P2017">
        <f>IF(AND(ISNUMBER('자료_미국심리'!$D2001),ISNUMBER('자료_미국심리'!$E2001)),'자료_미국심리'!$D2001,"")</f>
        <v/>
      </c>
      <c r="Q2017">
        <f>IF(AND(ISNUMBER('자료_미국심리'!$G2001),ISNUMBER('자료_미국심리'!$H2001)),'자료_미국심리'!$G2001,"")</f>
        <v/>
      </c>
    </row>
    <row r="2018">
      <c r="O2018">
        <f>IF(AND(ISNUMBER('자료_미국심리'!$A2002),ISNUMBER('자료_미국심리'!$B2002)),'자료_미국심리'!$A2002,"")</f>
        <v/>
      </c>
      <c r="P2018">
        <f>IF(AND(ISNUMBER('자료_미국심리'!$D2002),ISNUMBER('자료_미국심리'!$E2002)),'자료_미국심리'!$D2002,"")</f>
        <v/>
      </c>
      <c r="Q2018">
        <f>IF(AND(ISNUMBER('자료_미국심리'!$G2002),ISNUMBER('자료_미국심리'!$H2002)),'자료_미국심리'!$G2002,"")</f>
        <v/>
      </c>
    </row>
    <row r="2019">
      <c r="O2019">
        <f>IF(AND(ISNUMBER('자료_미국심리'!$A2003),ISNUMBER('자료_미국심리'!$B2003)),'자료_미국심리'!$A2003,"")</f>
        <v/>
      </c>
      <c r="P2019">
        <f>IF(AND(ISNUMBER('자료_미국심리'!$D2003),ISNUMBER('자료_미국심리'!$E2003)),'자료_미국심리'!$D2003,"")</f>
        <v/>
      </c>
      <c r="Q2019">
        <f>IF(AND(ISNUMBER('자료_미국심리'!$G2003),ISNUMBER('자료_미국심리'!$H2003)),'자료_미국심리'!$G2003,"")</f>
        <v/>
      </c>
    </row>
    <row r="2020">
      <c r="O2020">
        <f>IF(AND(ISNUMBER('자료_미국심리'!$A2004),ISNUMBER('자료_미국심리'!$B2004)),'자료_미국심리'!$A2004,"")</f>
        <v/>
      </c>
      <c r="P2020">
        <f>IF(AND(ISNUMBER('자료_미국심리'!$D2004),ISNUMBER('자료_미국심리'!$E2004)),'자료_미국심리'!$D2004,"")</f>
        <v/>
      </c>
      <c r="Q2020">
        <f>IF(AND(ISNUMBER('자료_미국심리'!$G2004),ISNUMBER('자료_미국심리'!$H2004)),'자료_미국심리'!$G2004,"")</f>
        <v/>
      </c>
    </row>
    <row r="2021">
      <c r="O2021">
        <f>IF(AND(ISNUMBER('자료_미국심리'!$A2005),ISNUMBER('자료_미국심리'!$B2005)),'자료_미국심리'!$A2005,"")</f>
        <v/>
      </c>
      <c r="P2021">
        <f>IF(AND(ISNUMBER('자료_미국심리'!$D2005),ISNUMBER('자료_미국심리'!$E2005)),'자료_미국심리'!$D2005,"")</f>
        <v/>
      </c>
      <c r="Q2021">
        <f>IF(AND(ISNUMBER('자료_미국심리'!$G2005),ISNUMBER('자료_미국심리'!$H2005)),'자료_미국심리'!$G2005,"")</f>
        <v/>
      </c>
    </row>
    <row r="2022">
      <c r="O2022">
        <f>IF(AND(ISNUMBER('자료_미국심리'!$A2006),ISNUMBER('자료_미국심리'!$B2006)),'자료_미국심리'!$A2006,"")</f>
        <v/>
      </c>
      <c r="P2022">
        <f>IF(AND(ISNUMBER('자료_미국심리'!$D2006),ISNUMBER('자료_미국심리'!$E2006)),'자료_미국심리'!$D2006,"")</f>
        <v/>
      </c>
      <c r="Q2022">
        <f>IF(AND(ISNUMBER('자료_미국심리'!$G2006),ISNUMBER('자료_미국심리'!$H2006)),'자료_미국심리'!$G2006,"")</f>
        <v/>
      </c>
    </row>
    <row r="2023">
      <c r="O2023">
        <f>IF(AND(ISNUMBER('자료_미국심리'!$A2007),ISNUMBER('자료_미국심리'!$B2007)),'자료_미국심리'!$A2007,"")</f>
        <v/>
      </c>
      <c r="P2023">
        <f>IF(AND(ISNUMBER('자료_미국심리'!$D2007),ISNUMBER('자료_미국심리'!$E2007)),'자료_미국심리'!$D2007,"")</f>
        <v/>
      </c>
      <c r="Q2023">
        <f>IF(AND(ISNUMBER('자료_미국심리'!$G2007),ISNUMBER('자료_미국심리'!$H2007)),'자료_미국심리'!$G2007,"")</f>
        <v/>
      </c>
    </row>
    <row r="2024">
      <c r="O2024">
        <f>IF(AND(ISNUMBER('자료_미국심리'!$A2008),ISNUMBER('자료_미국심리'!$B2008)),'자료_미국심리'!$A2008,"")</f>
        <v/>
      </c>
      <c r="P2024">
        <f>IF(AND(ISNUMBER('자료_미국심리'!$D2008),ISNUMBER('자료_미국심리'!$E2008)),'자료_미국심리'!$D2008,"")</f>
        <v/>
      </c>
      <c r="Q2024">
        <f>IF(AND(ISNUMBER('자료_미국심리'!$G2008),ISNUMBER('자료_미국심리'!$H2008)),'자료_미국심리'!$G2008,"")</f>
        <v/>
      </c>
    </row>
    <row r="2025">
      <c r="O2025">
        <f>IF(AND(ISNUMBER('자료_미국심리'!$A2009),ISNUMBER('자료_미국심리'!$B2009)),'자료_미국심리'!$A2009,"")</f>
        <v/>
      </c>
      <c r="P2025">
        <f>IF(AND(ISNUMBER('자료_미국심리'!$D2009),ISNUMBER('자료_미국심리'!$E2009)),'자료_미국심리'!$D2009,"")</f>
        <v/>
      </c>
      <c r="Q2025">
        <f>IF(AND(ISNUMBER('자료_미국심리'!$G2009),ISNUMBER('자료_미국심리'!$H2009)),'자료_미국심리'!$G2009,"")</f>
        <v/>
      </c>
    </row>
    <row r="2026">
      <c r="O2026">
        <f>IF(AND(ISNUMBER('자료_미국심리'!$A2010),ISNUMBER('자료_미국심리'!$B2010)),'자료_미국심리'!$A2010,"")</f>
        <v/>
      </c>
      <c r="P2026">
        <f>IF(AND(ISNUMBER('자료_미국심리'!$D2010),ISNUMBER('자료_미국심리'!$E2010)),'자료_미국심리'!$D2010,"")</f>
        <v/>
      </c>
      <c r="Q2026">
        <f>IF(AND(ISNUMBER('자료_미국심리'!$G2010),ISNUMBER('자료_미국심리'!$H2010)),'자료_미국심리'!$G2010,"")</f>
        <v/>
      </c>
    </row>
    <row r="2027">
      <c r="O2027">
        <f>IF(AND(ISNUMBER('자료_미국심리'!$A2011),ISNUMBER('자료_미국심리'!$B2011)),'자료_미국심리'!$A2011,"")</f>
        <v/>
      </c>
      <c r="P2027">
        <f>IF(AND(ISNUMBER('자료_미국심리'!$D2011),ISNUMBER('자료_미국심리'!$E2011)),'자료_미국심리'!$D2011,"")</f>
        <v/>
      </c>
      <c r="Q2027">
        <f>IF(AND(ISNUMBER('자료_미국심리'!$G2011),ISNUMBER('자료_미국심리'!$H2011)),'자료_미국심리'!$G2011,"")</f>
        <v/>
      </c>
    </row>
    <row r="2028">
      <c r="O2028">
        <f>IF(AND(ISNUMBER('자료_미국심리'!$A2012),ISNUMBER('자료_미국심리'!$B2012)),'자료_미국심리'!$A2012,"")</f>
        <v/>
      </c>
      <c r="P2028">
        <f>IF(AND(ISNUMBER('자료_미국심리'!$D2012),ISNUMBER('자료_미국심리'!$E2012)),'자료_미국심리'!$D2012,"")</f>
        <v/>
      </c>
      <c r="Q2028">
        <f>IF(AND(ISNUMBER('자료_미국심리'!$G2012),ISNUMBER('자료_미국심리'!$H2012)),'자료_미국심리'!$G2012,"")</f>
        <v/>
      </c>
    </row>
    <row r="2029">
      <c r="O2029">
        <f>IF(AND(ISNUMBER('자료_미국심리'!$A2013),ISNUMBER('자료_미국심리'!$B2013)),'자료_미국심리'!$A2013,"")</f>
        <v/>
      </c>
      <c r="P2029">
        <f>IF(AND(ISNUMBER('자료_미국심리'!$D2013),ISNUMBER('자료_미국심리'!$E2013)),'자료_미국심리'!$D2013,"")</f>
        <v/>
      </c>
      <c r="Q2029">
        <f>IF(AND(ISNUMBER('자료_미국심리'!$G2013),ISNUMBER('자료_미국심리'!$H2013)),'자료_미국심리'!$G2013,"")</f>
        <v/>
      </c>
    </row>
    <row r="2030">
      <c r="O2030">
        <f>IF(AND(ISNUMBER('자료_미국심리'!$A2014),ISNUMBER('자료_미국심리'!$B2014)),'자료_미국심리'!$A2014,"")</f>
        <v/>
      </c>
      <c r="P2030">
        <f>IF(AND(ISNUMBER('자료_미국심리'!$D2014),ISNUMBER('자료_미국심리'!$E2014)),'자료_미국심리'!$D2014,"")</f>
        <v/>
      </c>
      <c r="Q2030">
        <f>IF(AND(ISNUMBER('자료_미국심리'!$G2014),ISNUMBER('자료_미국심리'!$H2014)),'자료_미국심리'!$G2014,"")</f>
        <v/>
      </c>
    </row>
    <row r="2031">
      <c r="O2031">
        <f>IF(AND(ISNUMBER('자료_미국심리'!$A2015),ISNUMBER('자료_미국심리'!$B2015)),'자료_미국심리'!$A2015,"")</f>
        <v/>
      </c>
      <c r="P2031">
        <f>IF(AND(ISNUMBER('자료_미국심리'!$D2015),ISNUMBER('자료_미국심리'!$E2015)),'자료_미국심리'!$D2015,"")</f>
        <v/>
      </c>
      <c r="Q2031">
        <f>IF(AND(ISNUMBER('자료_미국심리'!$G2015),ISNUMBER('자료_미국심리'!$H2015)),'자료_미국심리'!$G2015,"")</f>
        <v/>
      </c>
    </row>
    <row r="2032">
      <c r="O2032">
        <f>IF(AND(ISNUMBER('자료_미국심리'!$A2016),ISNUMBER('자료_미국심리'!$B2016)),'자료_미국심리'!$A2016,"")</f>
        <v/>
      </c>
      <c r="P2032">
        <f>IF(AND(ISNUMBER('자료_미국심리'!$D2016),ISNUMBER('자료_미국심리'!$E2016)),'자료_미국심리'!$D2016,"")</f>
        <v/>
      </c>
      <c r="Q2032">
        <f>IF(AND(ISNUMBER('자료_미국심리'!$G2016),ISNUMBER('자료_미국심리'!$H2016)),'자료_미국심리'!$G2016,"")</f>
        <v/>
      </c>
    </row>
    <row r="2033">
      <c r="O2033">
        <f>IF(AND(ISNUMBER('자료_미국심리'!$A2017),ISNUMBER('자료_미국심리'!$B2017)),'자료_미국심리'!$A2017,"")</f>
        <v/>
      </c>
      <c r="P2033">
        <f>IF(AND(ISNUMBER('자료_미국심리'!$D2017),ISNUMBER('자료_미국심리'!$E2017)),'자료_미국심리'!$D2017,"")</f>
        <v/>
      </c>
      <c r="Q2033">
        <f>IF(AND(ISNUMBER('자료_미국심리'!$G2017),ISNUMBER('자료_미국심리'!$H2017)),'자료_미국심리'!$G2017,"")</f>
        <v/>
      </c>
    </row>
    <row r="2034">
      <c r="O2034">
        <f>IF(AND(ISNUMBER('자료_미국심리'!$A2018),ISNUMBER('자료_미국심리'!$B2018)),'자료_미국심리'!$A2018,"")</f>
        <v/>
      </c>
      <c r="P2034">
        <f>IF(AND(ISNUMBER('자료_미국심리'!$D2018),ISNUMBER('자료_미국심리'!$E2018)),'자료_미국심리'!$D2018,"")</f>
        <v/>
      </c>
      <c r="Q2034">
        <f>IF(AND(ISNUMBER('자료_미국심리'!$G2018),ISNUMBER('자료_미국심리'!$H2018)),'자료_미국심리'!$G2018,"")</f>
        <v/>
      </c>
    </row>
    <row r="2035">
      <c r="O2035">
        <f>IF(AND(ISNUMBER('자료_미국심리'!$A2019),ISNUMBER('자료_미국심리'!$B2019)),'자료_미국심리'!$A2019,"")</f>
        <v/>
      </c>
      <c r="P2035">
        <f>IF(AND(ISNUMBER('자료_미국심리'!$D2019),ISNUMBER('자료_미국심리'!$E2019)),'자료_미국심리'!$D2019,"")</f>
        <v/>
      </c>
      <c r="Q2035">
        <f>IF(AND(ISNUMBER('자료_미국심리'!$G2019),ISNUMBER('자료_미국심리'!$H2019)),'자료_미국심리'!$G2019,"")</f>
        <v/>
      </c>
    </row>
    <row r="2036">
      <c r="O2036">
        <f>IF(AND(ISNUMBER('자료_미국심리'!$A2020),ISNUMBER('자료_미국심리'!$B2020)),'자료_미국심리'!$A2020,"")</f>
        <v/>
      </c>
      <c r="P2036">
        <f>IF(AND(ISNUMBER('자료_미국심리'!$D2020),ISNUMBER('자료_미국심리'!$E2020)),'자료_미국심리'!$D2020,"")</f>
        <v/>
      </c>
      <c r="Q2036">
        <f>IF(AND(ISNUMBER('자료_미국심리'!$G2020),ISNUMBER('자료_미국심리'!$H2020)),'자료_미국심리'!$G2020,"")</f>
        <v/>
      </c>
    </row>
    <row r="2037">
      <c r="O2037">
        <f>IF(AND(ISNUMBER('자료_미국심리'!$A2021),ISNUMBER('자료_미국심리'!$B2021)),'자료_미국심리'!$A2021,"")</f>
        <v/>
      </c>
      <c r="P2037">
        <f>IF(AND(ISNUMBER('자료_미국심리'!$D2021),ISNUMBER('자료_미국심리'!$E2021)),'자료_미국심리'!$D2021,"")</f>
        <v/>
      </c>
      <c r="Q2037">
        <f>IF(AND(ISNUMBER('자료_미국심리'!$G2021),ISNUMBER('자료_미국심리'!$H2021)),'자료_미국심리'!$G2021,"")</f>
        <v/>
      </c>
    </row>
    <row r="2038">
      <c r="O2038">
        <f>IF(AND(ISNUMBER('자료_미국심리'!$A2022),ISNUMBER('자료_미국심리'!$B2022)),'자료_미국심리'!$A2022,"")</f>
        <v/>
      </c>
      <c r="P2038">
        <f>IF(AND(ISNUMBER('자료_미국심리'!$D2022),ISNUMBER('자료_미국심리'!$E2022)),'자료_미국심리'!$D2022,"")</f>
        <v/>
      </c>
      <c r="Q2038">
        <f>IF(AND(ISNUMBER('자료_미국심리'!$G2022),ISNUMBER('자료_미국심리'!$H2022)),'자료_미국심리'!$G2022,"")</f>
        <v/>
      </c>
    </row>
    <row r="2039">
      <c r="O2039">
        <f>IF(AND(ISNUMBER('자료_미국심리'!$A2023),ISNUMBER('자료_미국심리'!$B2023)),'자료_미국심리'!$A2023,"")</f>
        <v/>
      </c>
      <c r="P2039">
        <f>IF(AND(ISNUMBER('자료_미국심리'!$D2023),ISNUMBER('자료_미국심리'!$E2023)),'자료_미국심리'!$D2023,"")</f>
        <v/>
      </c>
      <c r="Q2039">
        <f>IF(AND(ISNUMBER('자료_미국심리'!$G2023),ISNUMBER('자료_미국심리'!$H2023)),'자료_미국심리'!$G2023,"")</f>
        <v/>
      </c>
    </row>
    <row r="2040">
      <c r="O2040">
        <f>IF(AND(ISNUMBER('자료_미국심리'!$A2024),ISNUMBER('자료_미국심리'!$B2024)),'자료_미국심리'!$A2024,"")</f>
        <v/>
      </c>
      <c r="P2040">
        <f>IF(AND(ISNUMBER('자료_미국심리'!$D2024),ISNUMBER('자료_미국심리'!$E2024)),'자료_미국심리'!$D2024,"")</f>
        <v/>
      </c>
      <c r="Q2040">
        <f>IF(AND(ISNUMBER('자료_미국심리'!$G2024),ISNUMBER('자료_미국심리'!$H2024)),'자료_미국심리'!$G2024,"")</f>
        <v/>
      </c>
    </row>
    <row r="2041">
      <c r="O2041">
        <f>IF(AND(ISNUMBER('자료_미국심리'!$A2025),ISNUMBER('자료_미국심리'!$B2025)),'자료_미국심리'!$A2025,"")</f>
        <v/>
      </c>
      <c r="P2041">
        <f>IF(AND(ISNUMBER('자료_미국심리'!$D2025),ISNUMBER('자료_미국심리'!$E2025)),'자료_미국심리'!$D2025,"")</f>
        <v/>
      </c>
      <c r="Q2041">
        <f>IF(AND(ISNUMBER('자료_미국심리'!$G2025),ISNUMBER('자료_미국심리'!$H2025)),'자료_미국심리'!$G2025,"")</f>
        <v/>
      </c>
    </row>
    <row r="2042">
      <c r="O2042">
        <f>IF(AND(ISNUMBER('자료_미국심리'!$A2026),ISNUMBER('자료_미국심리'!$B2026)),'자료_미국심리'!$A2026,"")</f>
        <v/>
      </c>
      <c r="P2042">
        <f>IF(AND(ISNUMBER('자료_미국심리'!$D2026),ISNUMBER('자료_미국심리'!$E2026)),'자료_미국심리'!$D2026,"")</f>
        <v/>
      </c>
      <c r="Q2042">
        <f>IF(AND(ISNUMBER('자료_미국심리'!$G2026),ISNUMBER('자료_미국심리'!$H2026)),'자료_미국심리'!$G2026,"")</f>
        <v/>
      </c>
    </row>
    <row r="2043">
      <c r="O2043">
        <f>IF(AND(ISNUMBER('자료_미국심리'!$A2027),ISNUMBER('자료_미국심리'!$B2027)),'자료_미국심리'!$A2027,"")</f>
        <v/>
      </c>
      <c r="P2043">
        <f>IF(AND(ISNUMBER('자료_미국심리'!$D2027),ISNUMBER('자료_미국심리'!$E2027)),'자료_미국심리'!$D2027,"")</f>
        <v/>
      </c>
      <c r="Q2043">
        <f>IF(AND(ISNUMBER('자료_미국심리'!$G2027),ISNUMBER('자료_미국심리'!$H2027)),'자료_미국심리'!$G2027,"")</f>
        <v/>
      </c>
    </row>
    <row r="2044">
      <c r="O2044">
        <f>IF(AND(ISNUMBER('자료_미국심리'!$A2028),ISNUMBER('자료_미국심리'!$B2028)),'자료_미국심리'!$A2028,"")</f>
        <v/>
      </c>
      <c r="P2044">
        <f>IF(AND(ISNUMBER('자료_미국심리'!$D2028),ISNUMBER('자료_미국심리'!$E2028)),'자료_미국심리'!$D2028,"")</f>
        <v/>
      </c>
      <c r="Q2044">
        <f>IF(AND(ISNUMBER('자료_미국심리'!$G2028),ISNUMBER('자료_미국심리'!$H2028)),'자료_미국심리'!$G2028,"")</f>
        <v/>
      </c>
    </row>
    <row r="2045">
      <c r="O2045">
        <f>IF(AND(ISNUMBER('자료_미국심리'!$A2029),ISNUMBER('자료_미국심리'!$B2029)),'자료_미국심리'!$A2029,"")</f>
        <v/>
      </c>
      <c r="P2045">
        <f>IF(AND(ISNUMBER('자료_미국심리'!$D2029),ISNUMBER('자료_미국심리'!$E2029)),'자료_미국심리'!$D2029,"")</f>
        <v/>
      </c>
      <c r="Q2045">
        <f>IF(AND(ISNUMBER('자료_미국심리'!$G2029),ISNUMBER('자료_미국심리'!$H2029)),'자료_미국심리'!$G2029,"")</f>
        <v/>
      </c>
    </row>
    <row r="2046">
      <c r="O2046">
        <f>IF(AND(ISNUMBER('자료_미국심리'!$A2030),ISNUMBER('자료_미국심리'!$B2030)),'자료_미국심리'!$A2030,"")</f>
        <v/>
      </c>
      <c r="P2046">
        <f>IF(AND(ISNUMBER('자료_미국심리'!$D2030),ISNUMBER('자료_미국심리'!$E2030)),'자료_미국심리'!$D2030,"")</f>
        <v/>
      </c>
      <c r="Q2046">
        <f>IF(AND(ISNUMBER('자료_미국심리'!$G2030),ISNUMBER('자료_미국심리'!$H2030)),'자료_미국심리'!$G2030,"")</f>
        <v/>
      </c>
    </row>
    <row r="2047">
      <c r="O2047">
        <f>IF(AND(ISNUMBER('자료_미국심리'!$A2031),ISNUMBER('자료_미국심리'!$B2031)),'자료_미국심리'!$A2031,"")</f>
        <v/>
      </c>
      <c r="P2047">
        <f>IF(AND(ISNUMBER('자료_미국심리'!$D2031),ISNUMBER('자료_미국심리'!$E2031)),'자료_미국심리'!$D2031,"")</f>
        <v/>
      </c>
      <c r="Q2047">
        <f>IF(AND(ISNUMBER('자료_미국심리'!$G2031),ISNUMBER('자료_미국심리'!$H2031)),'자료_미국심리'!$G2031,"")</f>
        <v/>
      </c>
    </row>
    <row r="2048">
      <c r="O2048">
        <f>IF(AND(ISNUMBER('자료_미국심리'!$A2032),ISNUMBER('자료_미국심리'!$B2032)),'자료_미국심리'!$A2032,"")</f>
        <v/>
      </c>
      <c r="P2048">
        <f>IF(AND(ISNUMBER('자료_미국심리'!$D2032),ISNUMBER('자료_미국심리'!$E2032)),'자료_미국심리'!$D2032,"")</f>
        <v/>
      </c>
      <c r="Q2048">
        <f>IF(AND(ISNUMBER('자료_미국심리'!$G2032),ISNUMBER('자료_미국심리'!$H2032)),'자료_미국심리'!$G2032,"")</f>
        <v/>
      </c>
    </row>
    <row r="2049">
      <c r="O2049">
        <f>IF(AND(ISNUMBER('자료_미국심리'!$A2033),ISNUMBER('자료_미국심리'!$B2033)),'자료_미국심리'!$A2033,"")</f>
        <v/>
      </c>
      <c r="P2049">
        <f>IF(AND(ISNUMBER('자료_미국심리'!$D2033),ISNUMBER('자료_미국심리'!$E2033)),'자료_미국심리'!$D2033,"")</f>
        <v/>
      </c>
      <c r="Q2049">
        <f>IF(AND(ISNUMBER('자료_미국심리'!$G2033),ISNUMBER('자료_미국심리'!$H2033)),'자료_미국심리'!$G2033,"")</f>
        <v/>
      </c>
    </row>
    <row r="2050">
      <c r="O2050">
        <f>IF(AND(ISNUMBER('자료_미국심리'!$A2034),ISNUMBER('자료_미국심리'!$B2034)),'자료_미국심리'!$A2034,"")</f>
        <v/>
      </c>
      <c r="P2050">
        <f>IF(AND(ISNUMBER('자료_미국심리'!$D2034),ISNUMBER('자료_미국심리'!$E2034)),'자료_미국심리'!$D2034,"")</f>
        <v/>
      </c>
      <c r="Q2050">
        <f>IF(AND(ISNUMBER('자료_미국심리'!$G2034),ISNUMBER('자료_미국심리'!$H2034)),'자료_미국심리'!$G2034,"")</f>
        <v/>
      </c>
    </row>
    <row r="2051">
      <c r="O2051">
        <f>IF(AND(ISNUMBER('자료_미국심리'!$A2035),ISNUMBER('자료_미국심리'!$B2035)),'자료_미국심리'!$A2035,"")</f>
        <v/>
      </c>
      <c r="P2051">
        <f>IF(AND(ISNUMBER('자료_미국심리'!$D2035),ISNUMBER('자료_미국심리'!$E2035)),'자료_미국심리'!$D2035,"")</f>
        <v/>
      </c>
      <c r="Q2051">
        <f>IF(AND(ISNUMBER('자료_미국심리'!$G2035),ISNUMBER('자료_미국심리'!$H2035)),'자료_미국심리'!$G2035,"")</f>
        <v/>
      </c>
    </row>
    <row r="2052">
      <c r="O2052">
        <f>IF(AND(ISNUMBER('자료_미국심리'!$A2036),ISNUMBER('자료_미국심리'!$B2036)),'자료_미국심리'!$A2036,"")</f>
        <v/>
      </c>
      <c r="P2052">
        <f>IF(AND(ISNUMBER('자료_미국심리'!$D2036),ISNUMBER('자료_미국심리'!$E2036)),'자료_미국심리'!$D2036,"")</f>
        <v/>
      </c>
      <c r="Q2052">
        <f>IF(AND(ISNUMBER('자료_미국심리'!$G2036),ISNUMBER('자료_미국심리'!$H2036)),'자료_미국심리'!$G2036,"")</f>
        <v/>
      </c>
    </row>
    <row r="2053">
      <c r="O2053">
        <f>IF(AND(ISNUMBER('자료_미국심리'!$A2037),ISNUMBER('자료_미국심리'!$B2037)),'자료_미국심리'!$A2037,"")</f>
        <v/>
      </c>
      <c r="P2053">
        <f>IF(AND(ISNUMBER('자료_미국심리'!$D2037),ISNUMBER('자료_미국심리'!$E2037)),'자료_미국심리'!$D2037,"")</f>
        <v/>
      </c>
      <c r="Q2053">
        <f>IF(AND(ISNUMBER('자료_미국심리'!$G2037),ISNUMBER('자료_미국심리'!$H2037)),'자료_미국심리'!$G2037,"")</f>
        <v/>
      </c>
    </row>
    <row r="2054">
      <c r="O2054">
        <f>IF(AND(ISNUMBER('자료_미국심리'!$A2038),ISNUMBER('자료_미국심리'!$B2038)),'자료_미국심리'!$A2038,"")</f>
        <v/>
      </c>
      <c r="P2054">
        <f>IF(AND(ISNUMBER('자료_미국심리'!$D2038),ISNUMBER('자료_미국심리'!$E2038)),'자료_미국심리'!$D2038,"")</f>
        <v/>
      </c>
      <c r="Q2054">
        <f>IF(AND(ISNUMBER('자료_미국심리'!$G2038),ISNUMBER('자료_미국심리'!$H2038)),'자료_미국심리'!$G2038,"")</f>
        <v/>
      </c>
    </row>
    <row r="2055">
      <c r="O2055">
        <f>IF(AND(ISNUMBER('자료_미국심리'!$A2039),ISNUMBER('자료_미국심리'!$B2039)),'자료_미국심리'!$A2039,"")</f>
        <v/>
      </c>
      <c r="P2055">
        <f>IF(AND(ISNUMBER('자료_미국심리'!$D2039),ISNUMBER('자료_미국심리'!$E2039)),'자료_미국심리'!$D2039,"")</f>
        <v/>
      </c>
      <c r="Q2055">
        <f>IF(AND(ISNUMBER('자료_미국심리'!$G2039),ISNUMBER('자료_미국심리'!$H2039)),'자료_미국심리'!$G2039,"")</f>
        <v/>
      </c>
    </row>
    <row r="2056">
      <c r="O2056">
        <f>IF(AND(ISNUMBER('자료_미국심리'!$A2040),ISNUMBER('자료_미국심리'!$B2040)),'자료_미국심리'!$A2040,"")</f>
        <v/>
      </c>
      <c r="P2056">
        <f>IF(AND(ISNUMBER('자료_미국심리'!$D2040),ISNUMBER('자료_미국심리'!$E2040)),'자료_미국심리'!$D2040,"")</f>
        <v/>
      </c>
      <c r="Q2056">
        <f>IF(AND(ISNUMBER('자료_미국심리'!$G2040),ISNUMBER('자료_미국심리'!$H2040)),'자료_미국심리'!$G2040,"")</f>
        <v/>
      </c>
    </row>
    <row r="2057">
      <c r="O2057">
        <f>IF(AND(ISNUMBER('자료_미국심리'!$A2041),ISNUMBER('자료_미국심리'!$B2041)),'자료_미국심리'!$A2041,"")</f>
        <v/>
      </c>
      <c r="P2057">
        <f>IF(AND(ISNUMBER('자료_미국심리'!$D2041),ISNUMBER('자료_미국심리'!$E2041)),'자료_미국심리'!$D2041,"")</f>
        <v/>
      </c>
      <c r="Q2057">
        <f>IF(AND(ISNUMBER('자료_미국심리'!$G2041),ISNUMBER('자료_미국심리'!$H2041)),'자료_미국심리'!$G2041,"")</f>
        <v/>
      </c>
    </row>
    <row r="2058">
      <c r="O2058">
        <f>IF(AND(ISNUMBER('자료_미국심리'!$A2042),ISNUMBER('자료_미국심리'!$B2042)),'자료_미국심리'!$A2042,"")</f>
        <v/>
      </c>
      <c r="P2058">
        <f>IF(AND(ISNUMBER('자료_미국심리'!$D2042),ISNUMBER('자료_미국심리'!$E2042)),'자료_미국심리'!$D2042,"")</f>
        <v/>
      </c>
      <c r="Q2058">
        <f>IF(AND(ISNUMBER('자료_미국심리'!$G2042),ISNUMBER('자료_미국심리'!$H2042)),'자료_미국심리'!$G2042,"")</f>
        <v/>
      </c>
    </row>
    <row r="2059">
      <c r="O2059">
        <f>IF(AND(ISNUMBER('자료_미국심리'!$A2043),ISNUMBER('자료_미국심리'!$B2043)),'자료_미국심리'!$A2043,"")</f>
        <v/>
      </c>
      <c r="P2059">
        <f>IF(AND(ISNUMBER('자료_미국심리'!$D2043),ISNUMBER('자료_미국심리'!$E2043)),'자료_미국심리'!$D2043,"")</f>
        <v/>
      </c>
      <c r="Q2059">
        <f>IF(AND(ISNUMBER('자료_미국심리'!$G2043),ISNUMBER('자료_미국심리'!$H2043)),'자료_미국심리'!$G2043,"")</f>
        <v/>
      </c>
    </row>
    <row r="2060">
      <c r="O2060">
        <f>IF(AND(ISNUMBER('자료_미국심리'!$A2044),ISNUMBER('자료_미국심리'!$B2044)),'자료_미국심리'!$A2044,"")</f>
        <v/>
      </c>
      <c r="P2060">
        <f>IF(AND(ISNUMBER('자료_미국심리'!$D2044),ISNUMBER('자료_미국심리'!$E2044)),'자료_미국심리'!$D2044,"")</f>
        <v/>
      </c>
      <c r="Q2060">
        <f>IF(AND(ISNUMBER('자료_미국심리'!$G2044),ISNUMBER('자료_미국심리'!$H2044)),'자료_미국심리'!$G2044,"")</f>
        <v/>
      </c>
    </row>
    <row r="2061">
      <c r="O2061">
        <f>IF(AND(ISNUMBER('자료_미국심리'!$A2045),ISNUMBER('자료_미국심리'!$B2045)),'자료_미국심리'!$A2045,"")</f>
        <v/>
      </c>
      <c r="P2061">
        <f>IF(AND(ISNUMBER('자료_미국심리'!$D2045),ISNUMBER('자료_미국심리'!$E2045)),'자료_미국심리'!$D2045,"")</f>
        <v/>
      </c>
      <c r="Q2061">
        <f>IF(AND(ISNUMBER('자료_미국심리'!$G2045),ISNUMBER('자료_미국심리'!$H2045)),'자료_미국심리'!$G2045,"")</f>
        <v/>
      </c>
    </row>
    <row r="2062">
      <c r="O2062">
        <f>IF(AND(ISNUMBER('자료_미국심리'!$A2046),ISNUMBER('자료_미국심리'!$B2046)),'자료_미국심리'!$A2046,"")</f>
        <v/>
      </c>
      <c r="P2062">
        <f>IF(AND(ISNUMBER('자료_미국심리'!$D2046),ISNUMBER('자료_미국심리'!$E2046)),'자료_미국심리'!$D2046,"")</f>
        <v/>
      </c>
      <c r="Q2062">
        <f>IF(AND(ISNUMBER('자료_미국심리'!$G2046),ISNUMBER('자료_미국심리'!$H2046)),'자료_미국심리'!$G2046,"")</f>
        <v/>
      </c>
    </row>
    <row r="2063">
      <c r="O2063">
        <f>IF(AND(ISNUMBER('자료_미국심리'!$A2047),ISNUMBER('자료_미국심리'!$B2047)),'자료_미국심리'!$A2047,"")</f>
        <v/>
      </c>
      <c r="P2063">
        <f>IF(AND(ISNUMBER('자료_미국심리'!$D2047),ISNUMBER('자료_미국심리'!$E2047)),'자료_미국심리'!$D2047,"")</f>
        <v/>
      </c>
      <c r="Q2063">
        <f>IF(AND(ISNUMBER('자료_미국심리'!$G2047),ISNUMBER('자료_미국심리'!$H2047)),'자료_미국심리'!$G2047,"")</f>
        <v/>
      </c>
    </row>
    <row r="2064">
      <c r="O2064">
        <f>IF(AND(ISNUMBER('자료_미국심리'!$A2048),ISNUMBER('자료_미국심리'!$B2048)),'자료_미국심리'!$A2048,"")</f>
        <v/>
      </c>
      <c r="P2064">
        <f>IF(AND(ISNUMBER('자료_미국심리'!$D2048),ISNUMBER('자료_미국심리'!$E2048)),'자료_미국심리'!$D2048,"")</f>
        <v/>
      </c>
      <c r="Q2064">
        <f>IF(AND(ISNUMBER('자료_미국심리'!$G2048),ISNUMBER('자료_미국심리'!$H2048)),'자료_미국심리'!$G2048,"")</f>
        <v/>
      </c>
    </row>
    <row r="2065">
      <c r="O2065">
        <f>IF(AND(ISNUMBER('자료_미국심리'!$A2049),ISNUMBER('자료_미국심리'!$B2049)),'자료_미국심리'!$A2049,"")</f>
        <v/>
      </c>
      <c r="P2065">
        <f>IF(AND(ISNUMBER('자료_미국심리'!$D2049),ISNUMBER('자료_미국심리'!$E2049)),'자료_미국심리'!$D2049,"")</f>
        <v/>
      </c>
      <c r="Q2065">
        <f>IF(AND(ISNUMBER('자료_미국심리'!$G2049),ISNUMBER('자료_미국심리'!$H2049)),'자료_미국심리'!$G2049,"")</f>
        <v/>
      </c>
    </row>
    <row r="2066">
      <c r="O2066">
        <f>IF(AND(ISNUMBER('자료_미국심리'!$A2050),ISNUMBER('자료_미국심리'!$B2050)),'자료_미국심리'!$A2050,"")</f>
        <v/>
      </c>
      <c r="P2066">
        <f>IF(AND(ISNUMBER('자료_미국심리'!$D2050),ISNUMBER('자료_미국심리'!$E2050)),'자료_미국심리'!$D2050,"")</f>
        <v/>
      </c>
      <c r="Q2066">
        <f>IF(AND(ISNUMBER('자료_미국심리'!$G2050),ISNUMBER('자료_미국심리'!$H2050)),'자료_미국심리'!$G2050,"")</f>
        <v/>
      </c>
    </row>
    <row r="2067">
      <c r="O2067">
        <f>IF(AND(ISNUMBER('자료_미국심리'!$A2051),ISNUMBER('자료_미국심리'!$B2051)),'자료_미국심리'!$A2051,"")</f>
        <v/>
      </c>
      <c r="P2067">
        <f>IF(AND(ISNUMBER('자료_미국심리'!$D2051),ISNUMBER('자료_미국심리'!$E2051)),'자료_미국심리'!$D2051,"")</f>
        <v/>
      </c>
      <c r="Q2067">
        <f>IF(AND(ISNUMBER('자료_미국심리'!$G2051),ISNUMBER('자료_미국심리'!$H2051)),'자료_미국심리'!$G2051,"")</f>
        <v/>
      </c>
    </row>
    <row r="2068">
      <c r="O2068">
        <f>IF(AND(ISNUMBER('자료_미국심리'!$A2052),ISNUMBER('자료_미국심리'!$B2052)),'자료_미국심리'!$A2052,"")</f>
        <v/>
      </c>
      <c r="P2068">
        <f>IF(AND(ISNUMBER('자료_미국심리'!$D2052),ISNUMBER('자료_미국심리'!$E2052)),'자료_미국심리'!$D2052,"")</f>
        <v/>
      </c>
      <c r="Q2068">
        <f>IF(AND(ISNUMBER('자료_미국심리'!$G2052),ISNUMBER('자료_미국심리'!$H2052)),'자료_미국심리'!$G2052,"")</f>
        <v/>
      </c>
    </row>
    <row r="2069">
      <c r="O2069">
        <f>IF(AND(ISNUMBER('자료_미국심리'!$A2053),ISNUMBER('자료_미국심리'!$B2053)),'자료_미국심리'!$A2053,"")</f>
        <v/>
      </c>
      <c r="P2069">
        <f>IF(AND(ISNUMBER('자료_미국심리'!$D2053),ISNUMBER('자료_미국심리'!$E2053)),'자료_미국심리'!$D2053,"")</f>
        <v/>
      </c>
      <c r="Q2069">
        <f>IF(AND(ISNUMBER('자료_미국심리'!$G2053),ISNUMBER('자료_미국심리'!$H2053)),'자료_미국심리'!$G2053,"")</f>
        <v/>
      </c>
    </row>
    <row r="2070">
      <c r="O2070">
        <f>IF(AND(ISNUMBER('자료_미국심리'!$A2054),ISNUMBER('자료_미국심리'!$B2054)),'자료_미국심리'!$A2054,"")</f>
        <v/>
      </c>
      <c r="P2070">
        <f>IF(AND(ISNUMBER('자료_미국심리'!$D2054),ISNUMBER('자료_미국심리'!$E2054)),'자료_미국심리'!$D2054,"")</f>
        <v/>
      </c>
      <c r="Q2070">
        <f>IF(AND(ISNUMBER('자료_미국심리'!$G2054),ISNUMBER('자료_미국심리'!$H2054)),'자료_미국심리'!$G2054,"")</f>
        <v/>
      </c>
    </row>
    <row r="2071">
      <c r="O2071">
        <f>IF(AND(ISNUMBER('자료_미국심리'!$A2055),ISNUMBER('자료_미국심리'!$B2055)),'자료_미국심리'!$A2055,"")</f>
        <v/>
      </c>
      <c r="P2071">
        <f>IF(AND(ISNUMBER('자료_미국심리'!$D2055),ISNUMBER('자료_미국심리'!$E2055)),'자료_미국심리'!$D2055,"")</f>
        <v/>
      </c>
      <c r="Q2071">
        <f>IF(AND(ISNUMBER('자료_미국심리'!$G2055),ISNUMBER('자료_미국심리'!$H2055)),'자료_미국심리'!$G2055,"")</f>
        <v/>
      </c>
    </row>
    <row r="2072">
      <c r="O2072">
        <f>IF(AND(ISNUMBER('자료_미국심리'!$A2056),ISNUMBER('자료_미국심리'!$B2056)),'자료_미국심리'!$A2056,"")</f>
        <v/>
      </c>
      <c r="P2072">
        <f>IF(AND(ISNUMBER('자료_미국심리'!$D2056),ISNUMBER('자료_미국심리'!$E2056)),'자료_미국심리'!$D2056,"")</f>
        <v/>
      </c>
      <c r="Q2072">
        <f>IF(AND(ISNUMBER('자료_미국심리'!$G2056),ISNUMBER('자료_미국심리'!$H2056)),'자료_미국심리'!$G2056,"")</f>
        <v/>
      </c>
    </row>
    <row r="2073">
      <c r="O2073">
        <f>IF(AND(ISNUMBER('자료_미국심리'!$A2057),ISNUMBER('자료_미국심리'!$B2057)),'자료_미국심리'!$A2057,"")</f>
        <v/>
      </c>
      <c r="P2073">
        <f>IF(AND(ISNUMBER('자료_미국심리'!$D2057),ISNUMBER('자료_미국심리'!$E2057)),'자료_미국심리'!$D2057,"")</f>
        <v/>
      </c>
      <c r="Q2073">
        <f>IF(AND(ISNUMBER('자료_미국심리'!$G2057),ISNUMBER('자료_미국심리'!$H2057)),'자료_미국심리'!$G2057,"")</f>
        <v/>
      </c>
    </row>
    <row r="2074">
      <c r="O2074">
        <f>IF(AND(ISNUMBER('자료_미국심리'!$A2058),ISNUMBER('자료_미국심리'!$B2058)),'자료_미국심리'!$A2058,"")</f>
        <v/>
      </c>
      <c r="P2074">
        <f>IF(AND(ISNUMBER('자료_미국심리'!$D2058),ISNUMBER('자료_미국심리'!$E2058)),'자료_미국심리'!$D2058,"")</f>
        <v/>
      </c>
      <c r="Q2074">
        <f>IF(AND(ISNUMBER('자료_미국심리'!$G2058),ISNUMBER('자료_미국심리'!$H2058)),'자료_미국심리'!$G2058,"")</f>
        <v/>
      </c>
    </row>
    <row r="2075">
      <c r="O2075">
        <f>IF(AND(ISNUMBER('자료_미국심리'!$A2059),ISNUMBER('자료_미국심리'!$B2059)),'자료_미국심리'!$A2059,"")</f>
        <v/>
      </c>
      <c r="P2075">
        <f>IF(AND(ISNUMBER('자료_미국심리'!$D2059),ISNUMBER('자료_미국심리'!$E2059)),'자료_미국심리'!$D2059,"")</f>
        <v/>
      </c>
      <c r="Q2075">
        <f>IF(AND(ISNUMBER('자료_미국심리'!$G2059),ISNUMBER('자료_미국심리'!$H2059)),'자료_미국심리'!$G2059,"")</f>
        <v/>
      </c>
    </row>
    <row r="2076">
      <c r="O2076">
        <f>IF(AND(ISNUMBER('자료_미국심리'!$A2060),ISNUMBER('자료_미국심리'!$B2060)),'자료_미국심리'!$A2060,"")</f>
        <v/>
      </c>
      <c r="P2076">
        <f>IF(AND(ISNUMBER('자료_미국심리'!$D2060),ISNUMBER('자료_미국심리'!$E2060)),'자료_미국심리'!$D2060,"")</f>
        <v/>
      </c>
      <c r="Q2076">
        <f>IF(AND(ISNUMBER('자료_미국심리'!$G2060),ISNUMBER('자료_미국심리'!$H2060)),'자료_미국심리'!$G2060,"")</f>
        <v/>
      </c>
    </row>
    <row r="2077">
      <c r="O2077">
        <f>IF(AND(ISNUMBER('자료_미국심리'!$A2061),ISNUMBER('자료_미국심리'!$B2061)),'자료_미국심리'!$A2061,"")</f>
        <v/>
      </c>
      <c r="P2077">
        <f>IF(AND(ISNUMBER('자료_미국심리'!$D2061),ISNUMBER('자료_미국심리'!$E2061)),'자료_미국심리'!$D2061,"")</f>
        <v/>
      </c>
      <c r="Q2077">
        <f>IF(AND(ISNUMBER('자료_미국심리'!$G2061),ISNUMBER('자료_미국심리'!$H2061)),'자료_미국심리'!$G2061,"")</f>
        <v/>
      </c>
    </row>
    <row r="2078">
      <c r="O2078">
        <f>IF(AND(ISNUMBER('자료_미국심리'!$A2062),ISNUMBER('자료_미국심리'!$B2062)),'자료_미국심리'!$A2062,"")</f>
        <v/>
      </c>
      <c r="P2078">
        <f>IF(AND(ISNUMBER('자료_미국심리'!$D2062),ISNUMBER('자료_미국심리'!$E2062)),'자료_미국심리'!$D2062,"")</f>
        <v/>
      </c>
      <c r="Q2078">
        <f>IF(AND(ISNUMBER('자료_미국심리'!$G2062),ISNUMBER('자료_미국심리'!$H2062)),'자료_미국심리'!$G2062,"")</f>
        <v/>
      </c>
    </row>
    <row r="2079">
      <c r="O2079">
        <f>IF(AND(ISNUMBER('자료_미국심리'!$A2063),ISNUMBER('자료_미국심리'!$B2063)),'자료_미국심리'!$A2063,"")</f>
        <v/>
      </c>
      <c r="P2079">
        <f>IF(AND(ISNUMBER('자료_미국심리'!$D2063),ISNUMBER('자료_미국심리'!$E2063)),'자료_미국심리'!$D2063,"")</f>
        <v/>
      </c>
      <c r="Q2079">
        <f>IF(AND(ISNUMBER('자료_미국심리'!$G2063),ISNUMBER('자료_미국심리'!$H2063)),'자료_미국심리'!$G2063,"")</f>
        <v/>
      </c>
    </row>
    <row r="2080">
      <c r="O2080">
        <f>IF(AND(ISNUMBER('자료_미국심리'!$A2064),ISNUMBER('자료_미국심리'!$B2064)),'자료_미국심리'!$A2064,"")</f>
        <v/>
      </c>
      <c r="P2080">
        <f>IF(AND(ISNUMBER('자료_미국심리'!$D2064),ISNUMBER('자료_미국심리'!$E2064)),'자료_미국심리'!$D2064,"")</f>
        <v/>
      </c>
      <c r="Q2080">
        <f>IF(AND(ISNUMBER('자료_미국심리'!$G2064),ISNUMBER('자료_미국심리'!$H2064)),'자료_미국심리'!$G2064,"")</f>
        <v/>
      </c>
    </row>
    <row r="2081">
      <c r="O2081">
        <f>IF(AND(ISNUMBER('자료_미국심리'!$A2065),ISNUMBER('자료_미국심리'!$B2065)),'자료_미국심리'!$A2065,"")</f>
        <v/>
      </c>
      <c r="P2081">
        <f>IF(AND(ISNUMBER('자료_미국심리'!$D2065),ISNUMBER('자료_미국심리'!$E2065)),'자료_미국심리'!$D2065,"")</f>
        <v/>
      </c>
      <c r="Q2081">
        <f>IF(AND(ISNUMBER('자료_미국심리'!$G2065),ISNUMBER('자료_미국심리'!$H2065)),'자료_미국심리'!$G2065,"")</f>
        <v/>
      </c>
    </row>
    <row r="2082">
      <c r="O2082">
        <f>IF(AND(ISNUMBER('자료_미국심리'!$A2066),ISNUMBER('자료_미국심리'!$B2066)),'자료_미국심리'!$A2066,"")</f>
        <v/>
      </c>
      <c r="P2082">
        <f>IF(AND(ISNUMBER('자료_미국심리'!$D2066),ISNUMBER('자료_미국심리'!$E2066)),'자료_미국심리'!$D2066,"")</f>
        <v/>
      </c>
      <c r="Q2082">
        <f>IF(AND(ISNUMBER('자료_미국심리'!$G2066),ISNUMBER('자료_미국심리'!$H2066)),'자료_미국심리'!$G2066,"")</f>
        <v/>
      </c>
    </row>
    <row r="2083">
      <c r="O2083">
        <f>IF(AND(ISNUMBER('자료_미국심리'!$A2067),ISNUMBER('자료_미국심리'!$B2067)),'자료_미국심리'!$A2067,"")</f>
        <v/>
      </c>
      <c r="P2083">
        <f>IF(AND(ISNUMBER('자료_미국심리'!$D2067),ISNUMBER('자료_미국심리'!$E2067)),'자료_미국심리'!$D2067,"")</f>
        <v/>
      </c>
      <c r="Q2083">
        <f>IF(AND(ISNUMBER('자료_미국심리'!$G2067),ISNUMBER('자료_미국심리'!$H2067)),'자료_미국심리'!$G2067,"")</f>
        <v/>
      </c>
    </row>
    <row r="2084">
      <c r="O2084">
        <f>IF(AND(ISNUMBER('자료_미국심리'!$A2068),ISNUMBER('자료_미국심리'!$B2068)),'자료_미국심리'!$A2068,"")</f>
        <v/>
      </c>
      <c r="P2084">
        <f>IF(AND(ISNUMBER('자료_미국심리'!$D2068),ISNUMBER('자료_미국심리'!$E2068)),'자료_미국심리'!$D2068,"")</f>
        <v/>
      </c>
      <c r="Q2084">
        <f>IF(AND(ISNUMBER('자료_미국심리'!$G2068),ISNUMBER('자료_미국심리'!$H2068)),'자료_미국심리'!$G2068,"")</f>
        <v/>
      </c>
    </row>
    <row r="2085">
      <c r="O2085">
        <f>IF(AND(ISNUMBER('자료_미국심리'!$A2069),ISNUMBER('자료_미국심리'!$B2069)),'자료_미국심리'!$A2069,"")</f>
        <v/>
      </c>
      <c r="P2085">
        <f>IF(AND(ISNUMBER('자료_미국심리'!$D2069),ISNUMBER('자료_미국심리'!$E2069)),'자료_미국심리'!$D2069,"")</f>
        <v/>
      </c>
      <c r="Q2085">
        <f>IF(AND(ISNUMBER('자료_미국심리'!$G2069),ISNUMBER('자료_미국심리'!$H2069)),'자료_미국심리'!$G2069,"")</f>
        <v/>
      </c>
    </row>
    <row r="2086">
      <c r="O2086">
        <f>IF(AND(ISNUMBER('자료_미국심리'!$A2070),ISNUMBER('자료_미국심리'!$B2070)),'자료_미국심리'!$A2070,"")</f>
        <v/>
      </c>
      <c r="P2086">
        <f>IF(AND(ISNUMBER('자료_미국심리'!$D2070),ISNUMBER('자료_미국심리'!$E2070)),'자료_미국심리'!$D2070,"")</f>
        <v/>
      </c>
      <c r="Q2086">
        <f>IF(AND(ISNUMBER('자료_미국심리'!$G2070),ISNUMBER('자료_미국심리'!$H2070)),'자료_미국심리'!$G2070,"")</f>
        <v/>
      </c>
    </row>
    <row r="2087">
      <c r="O2087">
        <f>IF(AND(ISNUMBER('자료_미국심리'!$A2071),ISNUMBER('자료_미국심리'!$B2071)),'자료_미국심리'!$A2071,"")</f>
        <v/>
      </c>
      <c r="P2087">
        <f>IF(AND(ISNUMBER('자료_미국심리'!$D2071),ISNUMBER('자료_미국심리'!$E2071)),'자료_미국심리'!$D2071,"")</f>
        <v/>
      </c>
      <c r="Q2087">
        <f>IF(AND(ISNUMBER('자료_미국심리'!$G2071),ISNUMBER('자료_미국심리'!$H2071)),'자료_미국심리'!$G2071,"")</f>
        <v/>
      </c>
    </row>
    <row r="2088">
      <c r="O2088">
        <f>IF(AND(ISNUMBER('자료_미국심리'!$A2072),ISNUMBER('자료_미국심리'!$B2072)),'자료_미국심리'!$A2072,"")</f>
        <v/>
      </c>
      <c r="P2088">
        <f>IF(AND(ISNUMBER('자료_미국심리'!$D2072),ISNUMBER('자료_미국심리'!$E2072)),'자료_미국심리'!$D2072,"")</f>
        <v/>
      </c>
      <c r="Q2088">
        <f>IF(AND(ISNUMBER('자료_미국심리'!$G2072),ISNUMBER('자료_미국심리'!$H2072)),'자료_미국심리'!$G2072,"")</f>
        <v/>
      </c>
    </row>
    <row r="2089">
      <c r="O2089">
        <f>IF(AND(ISNUMBER('자료_미국심리'!$A2073),ISNUMBER('자료_미국심리'!$B2073)),'자료_미국심리'!$A2073,"")</f>
        <v/>
      </c>
      <c r="P2089">
        <f>IF(AND(ISNUMBER('자료_미국심리'!$D2073),ISNUMBER('자료_미국심리'!$E2073)),'자료_미국심리'!$D2073,"")</f>
        <v/>
      </c>
      <c r="Q2089">
        <f>IF(AND(ISNUMBER('자료_미국심리'!$G2073),ISNUMBER('자료_미국심리'!$H2073)),'자료_미국심리'!$G2073,"")</f>
        <v/>
      </c>
    </row>
    <row r="2090">
      <c r="O2090">
        <f>IF(AND(ISNUMBER('자료_미국심리'!$A2074),ISNUMBER('자료_미국심리'!$B2074)),'자료_미국심리'!$A2074,"")</f>
        <v/>
      </c>
      <c r="P2090">
        <f>IF(AND(ISNUMBER('자료_미국심리'!$D2074),ISNUMBER('자료_미국심리'!$E2074)),'자료_미국심리'!$D2074,"")</f>
        <v/>
      </c>
      <c r="Q2090">
        <f>IF(AND(ISNUMBER('자료_미국심리'!$G2074),ISNUMBER('자료_미국심리'!$H2074)),'자료_미국심리'!$G2074,"")</f>
        <v/>
      </c>
    </row>
    <row r="2091">
      <c r="O2091">
        <f>IF(AND(ISNUMBER('자료_미국심리'!$A2075),ISNUMBER('자료_미국심리'!$B2075)),'자료_미국심리'!$A2075,"")</f>
        <v/>
      </c>
      <c r="P2091">
        <f>IF(AND(ISNUMBER('자료_미국심리'!$D2075),ISNUMBER('자료_미국심리'!$E2075)),'자료_미국심리'!$D2075,"")</f>
        <v/>
      </c>
      <c r="Q2091">
        <f>IF(AND(ISNUMBER('자료_미국심리'!$G2075),ISNUMBER('자료_미국심리'!$H2075)),'자료_미국심리'!$G2075,"")</f>
        <v/>
      </c>
    </row>
    <row r="2092">
      <c r="O2092">
        <f>IF(AND(ISNUMBER('자료_미국심리'!$A2076),ISNUMBER('자료_미국심리'!$B2076)),'자료_미국심리'!$A2076,"")</f>
        <v/>
      </c>
      <c r="P2092">
        <f>IF(AND(ISNUMBER('자료_미국심리'!$D2076),ISNUMBER('자료_미국심리'!$E2076)),'자료_미국심리'!$D2076,"")</f>
        <v/>
      </c>
      <c r="Q2092">
        <f>IF(AND(ISNUMBER('자료_미국심리'!$G2076),ISNUMBER('자료_미국심리'!$H2076)),'자료_미국심리'!$G2076,"")</f>
        <v/>
      </c>
    </row>
    <row r="2093">
      <c r="O2093">
        <f>IF(AND(ISNUMBER('자료_미국심리'!$A2077),ISNUMBER('자료_미국심리'!$B2077)),'자료_미국심리'!$A2077,"")</f>
        <v/>
      </c>
      <c r="P2093">
        <f>IF(AND(ISNUMBER('자료_미국심리'!$D2077),ISNUMBER('자료_미국심리'!$E2077)),'자료_미국심리'!$D2077,"")</f>
        <v/>
      </c>
      <c r="Q2093">
        <f>IF(AND(ISNUMBER('자료_미국심리'!$G2077),ISNUMBER('자료_미국심리'!$H2077)),'자료_미국심리'!$G2077,"")</f>
        <v/>
      </c>
    </row>
    <row r="2094">
      <c r="O2094">
        <f>IF(AND(ISNUMBER('자료_미국심리'!$A2078),ISNUMBER('자료_미국심리'!$B2078)),'자료_미국심리'!$A2078,"")</f>
        <v/>
      </c>
      <c r="P2094">
        <f>IF(AND(ISNUMBER('자료_미국심리'!$D2078),ISNUMBER('자료_미국심리'!$E2078)),'자료_미국심리'!$D2078,"")</f>
        <v/>
      </c>
      <c r="Q2094">
        <f>IF(AND(ISNUMBER('자료_미국심리'!$G2078),ISNUMBER('자료_미국심리'!$H2078)),'자료_미국심리'!$G2078,"")</f>
        <v/>
      </c>
    </row>
    <row r="2095">
      <c r="O2095">
        <f>IF(AND(ISNUMBER('자료_미국심리'!$A2079),ISNUMBER('자료_미국심리'!$B2079)),'자료_미국심리'!$A2079,"")</f>
        <v/>
      </c>
      <c r="P2095">
        <f>IF(AND(ISNUMBER('자료_미국심리'!$D2079),ISNUMBER('자료_미국심리'!$E2079)),'자료_미국심리'!$D2079,"")</f>
        <v/>
      </c>
      <c r="Q2095">
        <f>IF(AND(ISNUMBER('자료_미국심리'!$G2079),ISNUMBER('자료_미국심리'!$H2079)),'자료_미국심리'!$G2079,"")</f>
        <v/>
      </c>
    </row>
    <row r="2096">
      <c r="O2096">
        <f>IF(AND(ISNUMBER('자료_미국심리'!$A2080),ISNUMBER('자료_미국심리'!$B2080)),'자료_미국심리'!$A2080,"")</f>
        <v/>
      </c>
      <c r="P2096">
        <f>IF(AND(ISNUMBER('자료_미국심리'!$D2080),ISNUMBER('자료_미국심리'!$E2080)),'자료_미국심리'!$D2080,"")</f>
        <v/>
      </c>
      <c r="Q2096">
        <f>IF(AND(ISNUMBER('자료_미국심리'!$G2080),ISNUMBER('자료_미국심리'!$H2080)),'자료_미국심리'!$G2080,"")</f>
        <v/>
      </c>
    </row>
    <row r="2097">
      <c r="O2097">
        <f>IF(AND(ISNUMBER('자료_미국심리'!$A2081),ISNUMBER('자료_미국심리'!$B2081)),'자료_미국심리'!$A2081,"")</f>
        <v/>
      </c>
      <c r="P2097">
        <f>IF(AND(ISNUMBER('자료_미국심리'!$D2081),ISNUMBER('자료_미국심리'!$E2081)),'자료_미국심리'!$D2081,"")</f>
        <v/>
      </c>
      <c r="Q2097">
        <f>IF(AND(ISNUMBER('자료_미국심리'!$G2081),ISNUMBER('자료_미국심리'!$H2081)),'자료_미국심리'!$G2081,"")</f>
        <v/>
      </c>
    </row>
    <row r="2098">
      <c r="O2098">
        <f>IF(AND(ISNUMBER('자료_미국심리'!$A2082),ISNUMBER('자료_미국심리'!$B2082)),'자료_미국심리'!$A2082,"")</f>
        <v/>
      </c>
      <c r="P2098">
        <f>IF(AND(ISNUMBER('자료_미국심리'!$D2082),ISNUMBER('자료_미국심리'!$E2082)),'자료_미국심리'!$D2082,"")</f>
        <v/>
      </c>
      <c r="Q2098">
        <f>IF(AND(ISNUMBER('자료_미국심리'!$G2082),ISNUMBER('자료_미국심리'!$H2082)),'자료_미국심리'!$G2082,"")</f>
        <v/>
      </c>
    </row>
    <row r="2099">
      <c r="O2099">
        <f>IF(AND(ISNUMBER('자료_미국심리'!$A2083),ISNUMBER('자료_미국심리'!$B2083)),'자료_미국심리'!$A2083,"")</f>
        <v/>
      </c>
      <c r="P2099">
        <f>IF(AND(ISNUMBER('자료_미국심리'!$D2083),ISNUMBER('자료_미국심리'!$E2083)),'자료_미국심리'!$D2083,"")</f>
        <v/>
      </c>
      <c r="Q2099">
        <f>IF(AND(ISNUMBER('자료_미국심리'!$G2083),ISNUMBER('자료_미국심리'!$H2083)),'자료_미국심리'!$G2083,"")</f>
        <v/>
      </c>
    </row>
    <row r="2100">
      <c r="O2100">
        <f>IF(AND(ISNUMBER('자료_미국심리'!$A2084),ISNUMBER('자료_미국심리'!$B2084)),'자료_미국심리'!$A2084,"")</f>
        <v/>
      </c>
      <c r="P2100">
        <f>IF(AND(ISNUMBER('자료_미국심리'!$D2084),ISNUMBER('자료_미국심리'!$E2084)),'자료_미국심리'!$D2084,"")</f>
        <v/>
      </c>
      <c r="Q2100">
        <f>IF(AND(ISNUMBER('자료_미국심리'!$G2084),ISNUMBER('자료_미국심리'!$H2084)),'자료_미국심리'!$G2084,"")</f>
        <v/>
      </c>
    </row>
    <row r="2101">
      <c r="O2101">
        <f>IF(AND(ISNUMBER('자료_미국심리'!$A2085),ISNUMBER('자료_미국심리'!$B2085)),'자료_미국심리'!$A2085,"")</f>
        <v/>
      </c>
      <c r="P2101">
        <f>IF(AND(ISNUMBER('자료_미국심리'!$D2085),ISNUMBER('자료_미국심리'!$E2085)),'자료_미국심리'!$D2085,"")</f>
        <v/>
      </c>
      <c r="Q2101">
        <f>IF(AND(ISNUMBER('자료_미국심리'!$G2085),ISNUMBER('자료_미국심리'!$H2085)),'자료_미국심리'!$G2085,"")</f>
        <v/>
      </c>
    </row>
    <row r="2102">
      <c r="O2102">
        <f>IF(AND(ISNUMBER('자료_미국심리'!$A2086),ISNUMBER('자료_미국심리'!$B2086)),'자료_미국심리'!$A2086,"")</f>
        <v/>
      </c>
      <c r="P2102">
        <f>IF(AND(ISNUMBER('자료_미국심리'!$D2086),ISNUMBER('자료_미국심리'!$E2086)),'자료_미국심리'!$D2086,"")</f>
        <v/>
      </c>
      <c r="Q2102">
        <f>IF(AND(ISNUMBER('자료_미국심리'!$G2086),ISNUMBER('자료_미국심리'!$H2086)),'자료_미국심리'!$G2086,"")</f>
        <v/>
      </c>
    </row>
    <row r="2103">
      <c r="O2103">
        <f>IF(AND(ISNUMBER('자료_미국심리'!$A2087),ISNUMBER('자료_미국심리'!$B2087)),'자료_미국심리'!$A2087,"")</f>
        <v/>
      </c>
      <c r="P2103">
        <f>IF(AND(ISNUMBER('자료_미국심리'!$D2087),ISNUMBER('자료_미국심리'!$E2087)),'자료_미국심리'!$D2087,"")</f>
        <v/>
      </c>
      <c r="Q2103">
        <f>IF(AND(ISNUMBER('자료_미국심리'!$G2087),ISNUMBER('자료_미국심리'!$H2087)),'자료_미국심리'!$G2087,"")</f>
        <v/>
      </c>
    </row>
    <row r="2104">
      <c r="O2104">
        <f>IF(AND(ISNUMBER('자료_미국심리'!$A2088),ISNUMBER('자료_미국심리'!$B2088)),'자료_미국심리'!$A2088,"")</f>
        <v/>
      </c>
      <c r="P2104">
        <f>IF(AND(ISNUMBER('자료_미국심리'!$D2088),ISNUMBER('자료_미국심리'!$E2088)),'자료_미국심리'!$D2088,"")</f>
        <v/>
      </c>
      <c r="Q2104">
        <f>IF(AND(ISNUMBER('자료_미국심리'!$G2088),ISNUMBER('자료_미국심리'!$H2088)),'자료_미국심리'!$G2088,"")</f>
        <v/>
      </c>
    </row>
    <row r="2105">
      <c r="O2105">
        <f>IF(AND(ISNUMBER('자료_미국심리'!$A2089),ISNUMBER('자료_미국심리'!$B2089)),'자료_미국심리'!$A2089,"")</f>
        <v/>
      </c>
      <c r="P2105">
        <f>IF(AND(ISNUMBER('자료_미국심리'!$D2089),ISNUMBER('자료_미국심리'!$E2089)),'자료_미국심리'!$D2089,"")</f>
        <v/>
      </c>
      <c r="Q2105">
        <f>IF(AND(ISNUMBER('자료_미국심리'!$G2089),ISNUMBER('자료_미국심리'!$H2089)),'자료_미국심리'!$G2089,"")</f>
        <v/>
      </c>
    </row>
    <row r="2106">
      <c r="O2106">
        <f>IF(AND(ISNUMBER('자료_미국심리'!$A2090),ISNUMBER('자료_미국심리'!$B2090)),'자료_미국심리'!$A2090,"")</f>
        <v/>
      </c>
      <c r="P2106">
        <f>IF(AND(ISNUMBER('자료_미국심리'!$D2090),ISNUMBER('자료_미국심리'!$E2090)),'자료_미국심리'!$D2090,"")</f>
        <v/>
      </c>
      <c r="Q2106">
        <f>IF(AND(ISNUMBER('자료_미국심리'!$G2090),ISNUMBER('자료_미국심리'!$H2090)),'자료_미국심리'!$G2090,"")</f>
        <v/>
      </c>
    </row>
    <row r="2107">
      <c r="O2107">
        <f>IF(AND(ISNUMBER('자료_미국심리'!$A2091),ISNUMBER('자료_미국심리'!$B2091)),'자료_미국심리'!$A2091,"")</f>
        <v/>
      </c>
      <c r="P2107">
        <f>IF(AND(ISNUMBER('자료_미국심리'!$D2091),ISNUMBER('자료_미국심리'!$E2091)),'자료_미국심리'!$D2091,"")</f>
        <v/>
      </c>
      <c r="Q2107">
        <f>IF(AND(ISNUMBER('자료_미국심리'!$G2091),ISNUMBER('자료_미국심리'!$H2091)),'자료_미국심리'!$G2091,"")</f>
        <v/>
      </c>
    </row>
    <row r="2108">
      <c r="O2108">
        <f>IF(AND(ISNUMBER('자료_미국심리'!$A2092),ISNUMBER('자료_미국심리'!$B2092)),'자료_미국심리'!$A2092,"")</f>
        <v/>
      </c>
      <c r="P2108">
        <f>IF(AND(ISNUMBER('자료_미국심리'!$D2092),ISNUMBER('자료_미국심리'!$E2092)),'자료_미국심리'!$D2092,"")</f>
        <v/>
      </c>
      <c r="Q2108">
        <f>IF(AND(ISNUMBER('자료_미국심리'!$G2092),ISNUMBER('자료_미국심리'!$H2092)),'자료_미국심리'!$G2092,"")</f>
        <v/>
      </c>
    </row>
    <row r="2109">
      <c r="O2109">
        <f>IF(AND(ISNUMBER('자료_미국심리'!$A2093),ISNUMBER('자료_미국심리'!$B2093)),'자료_미국심리'!$A2093,"")</f>
        <v/>
      </c>
      <c r="P2109">
        <f>IF(AND(ISNUMBER('자료_미국심리'!$D2093),ISNUMBER('자료_미국심리'!$E2093)),'자료_미국심리'!$D2093,"")</f>
        <v/>
      </c>
      <c r="Q2109">
        <f>IF(AND(ISNUMBER('자료_미국심리'!$G2093),ISNUMBER('자료_미국심리'!$H2093)),'자료_미국심리'!$G2093,"")</f>
        <v/>
      </c>
    </row>
    <row r="2110">
      <c r="O2110">
        <f>IF(AND(ISNUMBER('자료_미국심리'!$A2094),ISNUMBER('자료_미국심리'!$B2094)),'자료_미국심리'!$A2094,"")</f>
        <v/>
      </c>
      <c r="P2110">
        <f>IF(AND(ISNUMBER('자료_미국심리'!$D2094),ISNUMBER('자료_미국심리'!$E2094)),'자료_미국심리'!$D2094,"")</f>
        <v/>
      </c>
      <c r="Q2110">
        <f>IF(AND(ISNUMBER('자료_미국심리'!$G2094),ISNUMBER('자료_미국심리'!$H2094)),'자료_미국심리'!$G2094,"")</f>
        <v/>
      </c>
    </row>
    <row r="2111">
      <c r="O2111">
        <f>IF(AND(ISNUMBER('자료_미국심리'!$A2095),ISNUMBER('자료_미국심리'!$B2095)),'자료_미국심리'!$A2095,"")</f>
        <v/>
      </c>
      <c r="P2111">
        <f>IF(AND(ISNUMBER('자료_미국심리'!$D2095),ISNUMBER('자료_미국심리'!$E2095)),'자료_미국심리'!$D2095,"")</f>
        <v/>
      </c>
      <c r="Q2111">
        <f>IF(AND(ISNUMBER('자료_미국심리'!$G2095),ISNUMBER('자료_미국심리'!$H2095)),'자료_미국심리'!$G2095,"")</f>
        <v/>
      </c>
    </row>
    <row r="2112">
      <c r="O2112">
        <f>IF(AND(ISNUMBER('자료_미국심리'!$A2096),ISNUMBER('자료_미국심리'!$B2096)),'자료_미국심리'!$A2096,"")</f>
        <v/>
      </c>
      <c r="P2112">
        <f>IF(AND(ISNUMBER('자료_미국심리'!$D2096),ISNUMBER('자료_미국심리'!$E2096)),'자료_미국심리'!$D2096,"")</f>
        <v/>
      </c>
      <c r="Q2112">
        <f>IF(AND(ISNUMBER('자료_미국심리'!$G2096),ISNUMBER('자료_미국심리'!$H2096)),'자료_미국심리'!$G2096,"")</f>
        <v/>
      </c>
    </row>
    <row r="2113">
      <c r="O2113">
        <f>IF(AND(ISNUMBER('자료_미국심리'!$A2097),ISNUMBER('자료_미국심리'!$B2097)),'자료_미국심리'!$A2097,"")</f>
        <v/>
      </c>
      <c r="P2113">
        <f>IF(AND(ISNUMBER('자료_미국심리'!$D2097),ISNUMBER('자료_미국심리'!$E2097)),'자료_미국심리'!$D2097,"")</f>
        <v/>
      </c>
      <c r="Q2113">
        <f>IF(AND(ISNUMBER('자료_미국심리'!$G2097),ISNUMBER('자료_미국심리'!$H2097)),'자료_미국심리'!$G2097,"")</f>
        <v/>
      </c>
    </row>
    <row r="2114">
      <c r="O2114">
        <f>IF(AND(ISNUMBER('자료_미국심리'!$A2098),ISNUMBER('자료_미국심리'!$B2098)),'자료_미국심리'!$A2098,"")</f>
        <v/>
      </c>
      <c r="P2114">
        <f>IF(AND(ISNUMBER('자료_미국심리'!$D2098),ISNUMBER('자료_미국심리'!$E2098)),'자료_미국심리'!$D2098,"")</f>
        <v/>
      </c>
      <c r="Q2114">
        <f>IF(AND(ISNUMBER('자료_미국심리'!$G2098),ISNUMBER('자료_미국심리'!$H2098)),'자료_미국심리'!$G2098,"")</f>
        <v/>
      </c>
    </row>
    <row r="2115">
      <c r="O2115">
        <f>IF(AND(ISNUMBER('자료_미국심리'!$A2099),ISNUMBER('자료_미국심리'!$B2099)),'자료_미국심리'!$A2099,"")</f>
        <v/>
      </c>
      <c r="P2115">
        <f>IF(AND(ISNUMBER('자료_미국심리'!$D2099),ISNUMBER('자료_미국심리'!$E2099)),'자료_미국심리'!$D2099,"")</f>
        <v/>
      </c>
      <c r="Q2115">
        <f>IF(AND(ISNUMBER('자료_미국심리'!$G2099),ISNUMBER('자료_미국심리'!$H2099)),'자료_미국심리'!$G2099,"")</f>
        <v/>
      </c>
    </row>
    <row r="2116">
      <c r="O2116">
        <f>IF(AND(ISNUMBER('자료_미국심리'!$A2100),ISNUMBER('자료_미국심리'!$B2100)),'자료_미국심리'!$A2100,"")</f>
        <v/>
      </c>
      <c r="P2116">
        <f>IF(AND(ISNUMBER('자료_미국심리'!$D2100),ISNUMBER('자료_미국심리'!$E2100)),'자료_미국심리'!$D2100,"")</f>
        <v/>
      </c>
      <c r="Q2116">
        <f>IF(AND(ISNUMBER('자료_미국심리'!$G2100),ISNUMBER('자료_미국심리'!$H2100)),'자료_미국심리'!$G2100,"")</f>
        <v/>
      </c>
    </row>
    <row r="2117">
      <c r="O2117">
        <f>IF(AND(ISNUMBER('자료_미국심리'!$A2101),ISNUMBER('자료_미국심리'!$B2101)),'자료_미국심리'!$A2101,"")</f>
        <v/>
      </c>
      <c r="P2117">
        <f>IF(AND(ISNUMBER('자료_미국심리'!$D2101),ISNUMBER('자료_미국심리'!$E2101)),'자료_미국심리'!$D2101,"")</f>
        <v/>
      </c>
      <c r="Q2117">
        <f>IF(AND(ISNUMBER('자료_미국심리'!$G2101),ISNUMBER('자료_미국심리'!$H2101)),'자료_미국심리'!$G2101,"")</f>
        <v/>
      </c>
    </row>
    <row r="2118">
      <c r="O2118">
        <f>IF(AND(ISNUMBER('자료_미국심리'!$A2102),ISNUMBER('자료_미국심리'!$B2102)),'자료_미국심리'!$A2102,"")</f>
        <v/>
      </c>
      <c r="P2118">
        <f>IF(AND(ISNUMBER('자료_미국심리'!$D2102),ISNUMBER('자료_미국심리'!$E2102)),'자료_미국심리'!$D2102,"")</f>
        <v/>
      </c>
      <c r="Q2118">
        <f>IF(AND(ISNUMBER('자료_미국심리'!$G2102),ISNUMBER('자료_미국심리'!$H2102)),'자료_미국심리'!$G2102,"")</f>
        <v/>
      </c>
    </row>
    <row r="2119">
      <c r="O2119">
        <f>IF(AND(ISNUMBER('자료_미국심리'!$A2103),ISNUMBER('자료_미국심리'!$B2103)),'자료_미국심리'!$A2103,"")</f>
        <v/>
      </c>
      <c r="P2119">
        <f>IF(AND(ISNUMBER('자료_미국심리'!$D2103),ISNUMBER('자료_미국심리'!$E2103)),'자료_미국심리'!$D2103,"")</f>
        <v/>
      </c>
      <c r="Q2119">
        <f>IF(AND(ISNUMBER('자료_미국심리'!$G2103),ISNUMBER('자료_미국심리'!$H2103)),'자료_미국심리'!$G2103,"")</f>
        <v/>
      </c>
    </row>
    <row r="2120">
      <c r="O2120">
        <f>IF(AND(ISNUMBER('자료_미국심리'!$A2104),ISNUMBER('자료_미국심리'!$B2104)),'자료_미국심리'!$A2104,"")</f>
        <v/>
      </c>
      <c r="P2120">
        <f>IF(AND(ISNUMBER('자료_미국심리'!$D2104),ISNUMBER('자료_미국심리'!$E2104)),'자료_미국심리'!$D2104,"")</f>
        <v/>
      </c>
      <c r="Q2120">
        <f>IF(AND(ISNUMBER('자료_미국심리'!$G2104),ISNUMBER('자료_미국심리'!$H2104)),'자료_미국심리'!$G2104,"")</f>
        <v/>
      </c>
    </row>
    <row r="2121">
      <c r="O2121">
        <f>IF(AND(ISNUMBER('자료_미국심리'!$A2105),ISNUMBER('자료_미국심리'!$B2105)),'자료_미국심리'!$A2105,"")</f>
        <v/>
      </c>
      <c r="P2121">
        <f>IF(AND(ISNUMBER('자료_미국심리'!$D2105),ISNUMBER('자료_미국심리'!$E2105)),'자료_미국심리'!$D2105,"")</f>
        <v/>
      </c>
      <c r="Q2121">
        <f>IF(AND(ISNUMBER('자료_미국심리'!$G2105),ISNUMBER('자료_미국심리'!$H2105)),'자료_미국심리'!$G2105,"")</f>
        <v/>
      </c>
    </row>
    <row r="2122">
      <c r="O2122">
        <f>IF(AND(ISNUMBER('자료_미국심리'!$A2106),ISNUMBER('자료_미국심리'!$B2106)),'자료_미국심리'!$A2106,"")</f>
        <v/>
      </c>
      <c r="P2122">
        <f>IF(AND(ISNUMBER('자료_미국심리'!$D2106),ISNUMBER('자료_미국심리'!$E2106)),'자료_미국심리'!$D2106,"")</f>
        <v/>
      </c>
      <c r="Q2122">
        <f>IF(AND(ISNUMBER('자료_미국심리'!$G2106),ISNUMBER('자료_미국심리'!$H2106)),'자료_미국심리'!$G2106,"")</f>
        <v/>
      </c>
    </row>
    <row r="2123">
      <c r="O2123">
        <f>IF(AND(ISNUMBER('자료_미국심리'!$A2107),ISNUMBER('자료_미국심리'!$B2107)),'자료_미국심리'!$A2107,"")</f>
        <v/>
      </c>
      <c r="P2123">
        <f>IF(AND(ISNUMBER('자료_미국심리'!$D2107),ISNUMBER('자료_미국심리'!$E2107)),'자료_미국심리'!$D2107,"")</f>
        <v/>
      </c>
      <c r="Q2123">
        <f>IF(AND(ISNUMBER('자료_미국심리'!$G2107),ISNUMBER('자료_미국심리'!$H2107)),'자료_미국심리'!$G2107,"")</f>
        <v/>
      </c>
    </row>
    <row r="2124">
      <c r="O2124">
        <f>IF(AND(ISNUMBER('자료_미국심리'!$A2108),ISNUMBER('자료_미국심리'!$B2108)),'자료_미국심리'!$A2108,"")</f>
        <v/>
      </c>
      <c r="P2124">
        <f>IF(AND(ISNUMBER('자료_미국심리'!$D2108),ISNUMBER('자료_미국심리'!$E2108)),'자료_미국심리'!$D2108,"")</f>
        <v/>
      </c>
      <c r="Q2124">
        <f>IF(AND(ISNUMBER('자료_미국심리'!$G2108),ISNUMBER('자료_미국심리'!$H2108)),'자료_미국심리'!$G2108,"")</f>
        <v/>
      </c>
    </row>
    <row r="2125">
      <c r="O2125">
        <f>IF(AND(ISNUMBER('자료_미국심리'!$A2109),ISNUMBER('자료_미국심리'!$B2109)),'자료_미국심리'!$A2109,"")</f>
        <v/>
      </c>
      <c r="P2125">
        <f>IF(AND(ISNUMBER('자료_미국심리'!$D2109),ISNUMBER('자료_미국심리'!$E2109)),'자료_미국심리'!$D2109,"")</f>
        <v/>
      </c>
      <c r="Q2125">
        <f>IF(AND(ISNUMBER('자료_미국심리'!$G2109),ISNUMBER('자료_미국심리'!$H2109)),'자료_미국심리'!$G2109,"")</f>
        <v/>
      </c>
    </row>
    <row r="2126">
      <c r="O2126">
        <f>IF(AND(ISNUMBER('자료_미국심리'!$A2110),ISNUMBER('자료_미국심리'!$B2110)),'자료_미국심리'!$A2110,"")</f>
        <v/>
      </c>
      <c r="P2126">
        <f>IF(AND(ISNUMBER('자료_미국심리'!$D2110),ISNUMBER('자료_미국심리'!$E2110)),'자료_미국심리'!$D2110,"")</f>
        <v/>
      </c>
      <c r="Q2126">
        <f>IF(AND(ISNUMBER('자료_미국심리'!$G2110),ISNUMBER('자료_미국심리'!$H2110)),'자료_미국심리'!$G2110,"")</f>
        <v/>
      </c>
    </row>
    <row r="2127">
      <c r="O2127">
        <f>IF(AND(ISNUMBER('자료_미국심리'!$A2111),ISNUMBER('자료_미국심리'!$B2111)),'자료_미국심리'!$A2111,"")</f>
        <v/>
      </c>
      <c r="P2127">
        <f>IF(AND(ISNUMBER('자료_미국심리'!$D2111),ISNUMBER('자료_미국심리'!$E2111)),'자료_미국심리'!$D2111,"")</f>
        <v/>
      </c>
      <c r="Q2127">
        <f>IF(AND(ISNUMBER('자료_미국심리'!$G2111),ISNUMBER('자료_미국심리'!$H2111)),'자료_미국심리'!$G2111,"")</f>
        <v/>
      </c>
    </row>
    <row r="2128">
      <c r="O2128">
        <f>IF(AND(ISNUMBER('자료_미국심리'!$A2112),ISNUMBER('자료_미국심리'!$B2112)),'자료_미국심리'!$A2112,"")</f>
        <v/>
      </c>
      <c r="P2128">
        <f>IF(AND(ISNUMBER('자료_미국심리'!$D2112),ISNUMBER('자료_미국심리'!$E2112)),'자료_미국심리'!$D2112,"")</f>
        <v/>
      </c>
      <c r="Q2128">
        <f>IF(AND(ISNUMBER('자료_미국심리'!$G2112),ISNUMBER('자료_미국심리'!$H2112)),'자료_미국심리'!$G2112,"")</f>
        <v/>
      </c>
    </row>
    <row r="2129">
      <c r="O2129">
        <f>IF(AND(ISNUMBER('자료_미국심리'!$A2113),ISNUMBER('자료_미국심리'!$B2113)),'자료_미국심리'!$A2113,"")</f>
        <v/>
      </c>
      <c r="P2129">
        <f>IF(AND(ISNUMBER('자료_미국심리'!$D2113),ISNUMBER('자료_미국심리'!$E2113)),'자료_미국심리'!$D2113,"")</f>
        <v/>
      </c>
      <c r="Q2129">
        <f>IF(AND(ISNUMBER('자료_미국심리'!$G2113),ISNUMBER('자료_미국심리'!$H2113)),'자료_미국심리'!$G2113,"")</f>
        <v/>
      </c>
    </row>
    <row r="2130">
      <c r="O2130">
        <f>IF(AND(ISNUMBER('자료_미국심리'!$A2114),ISNUMBER('자료_미국심리'!$B2114)),'자료_미국심리'!$A2114,"")</f>
        <v/>
      </c>
      <c r="P2130">
        <f>IF(AND(ISNUMBER('자료_미국심리'!$D2114),ISNUMBER('자료_미국심리'!$E2114)),'자료_미국심리'!$D2114,"")</f>
        <v/>
      </c>
      <c r="Q2130">
        <f>IF(AND(ISNUMBER('자료_미국심리'!$G2114),ISNUMBER('자료_미국심리'!$H2114)),'자료_미국심리'!$G2114,"")</f>
        <v/>
      </c>
    </row>
    <row r="2131">
      <c r="O2131">
        <f>IF(AND(ISNUMBER('자료_미국심리'!$A2115),ISNUMBER('자료_미국심리'!$B2115)),'자료_미국심리'!$A2115,"")</f>
        <v/>
      </c>
      <c r="P2131">
        <f>IF(AND(ISNUMBER('자료_미국심리'!$D2115),ISNUMBER('자료_미국심리'!$E2115)),'자료_미국심리'!$D2115,"")</f>
        <v/>
      </c>
      <c r="Q2131">
        <f>IF(AND(ISNUMBER('자료_미국심리'!$G2115),ISNUMBER('자료_미국심리'!$H2115)),'자료_미국심리'!$G2115,"")</f>
        <v/>
      </c>
    </row>
    <row r="2132">
      <c r="O2132">
        <f>IF(AND(ISNUMBER('자료_미국심리'!$A2116),ISNUMBER('자료_미국심리'!$B2116)),'자료_미국심리'!$A2116,"")</f>
        <v/>
      </c>
      <c r="P2132">
        <f>IF(AND(ISNUMBER('자료_미국심리'!$D2116),ISNUMBER('자료_미국심리'!$E2116)),'자료_미국심리'!$D2116,"")</f>
        <v/>
      </c>
      <c r="Q2132">
        <f>IF(AND(ISNUMBER('자료_미국심리'!$G2116),ISNUMBER('자료_미국심리'!$H2116)),'자료_미국심리'!$G2116,"")</f>
        <v/>
      </c>
    </row>
    <row r="2133">
      <c r="O2133">
        <f>IF(AND(ISNUMBER('자료_미국심리'!$A2117),ISNUMBER('자료_미국심리'!$B2117)),'자료_미국심리'!$A2117,"")</f>
        <v/>
      </c>
      <c r="P2133">
        <f>IF(AND(ISNUMBER('자료_미국심리'!$D2117),ISNUMBER('자료_미국심리'!$E2117)),'자료_미국심리'!$D2117,"")</f>
        <v/>
      </c>
      <c r="Q2133">
        <f>IF(AND(ISNUMBER('자료_미국심리'!$G2117),ISNUMBER('자료_미국심리'!$H2117)),'자료_미국심리'!$G2117,"")</f>
        <v/>
      </c>
    </row>
    <row r="2134">
      <c r="O2134">
        <f>IF(AND(ISNUMBER('자료_미국심리'!$A2118),ISNUMBER('자료_미국심리'!$B2118)),'자료_미국심리'!$A2118,"")</f>
        <v/>
      </c>
      <c r="P2134">
        <f>IF(AND(ISNUMBER('자료_미국심리'!$D2118),ISNUMBER('자료_미국심리'!$E2118)),'자료_미국심리'!$D2118,"")</f>
        <v/>
      </c>
      <c r="Q2134">
        <f>IF(AND(ISNUMBER('자료_미국심리'!$G2118),ISNUMBER('자료_미국심리'!$H2118)),'자료_미국심리'!$G2118,"")</f>
        <v/>
      </c>
    </row>
    <row r="2135">
      <c r="O2135">
        <f>IF(AND(ISNUMBER('자료_미국심리'!$A2119),ISNUMBER('자료_미국심리'!$B2119)),'자료_미국심리'!$A2119,"")</f>
        <v/>
      </c>
      <c r="P2135">
        <f>IF(AND(ISNUMBER('자료_미국심리'!$D2119),ISNUMBER('자료_미국심리'!$E2119)),'자료_미국심리'!$D2119,"")</f>
        <v/>
      </c>
      <c r="Q2135">
        <f>IF(AND(ISNUMBER('자료_미국심리'!$G2119),ISNUMBER('자료_미국심리'!$H2119)),'자료_미국심리'!$G2119,"")</f>
        <v/>
      </c>
    </row>
    <row r="2136">
      <c r="O2136">
        <f>IF(AND(ISNUMBER('자료_미국심리'!$A2120),ISNUMBER('자료_미국심리'!$B2120)),'자료_미국심리'!$A2120,"")</f>
        <v/>
      </c>
      <c r="P2136">
        <f>IF(AND(ISNUMBER('자료_미국심리'!$D2120),ISNUMBER('자료_미국심리'!$E2120)),'자료_미국심리'!$D2120,"")</f>
        <v/>
      </c>
      <c r="Q2136">
        <f>IF(AND(ISNUMBER('자료_미국심리'!$G2120),ISNUMBER('자료_미국심리'!$H2120)),'자료_미국심리'!$G2120,"")</f>
        <v/>
      </c>
    </row>
    <row r="2137">
      <c r="O2137">
        <f>IF(AND(ISNUMBER('자료_미국심리'!$A2121),ISNUMBER('자료_미국심리'!$B2121)),'자료_미국심리'!$A2121,"")</f>
        <v/>
      </c>
      <c r="P2137">
        <f>IF(AND(ISNUMBER('자료_미국심리'!$D2121),ISNUMBER('자료_미국심리'!$E2121)),'자료_미국심리'!$D2121,"")</f>
        <v/>
      </c>
      <c r="Q2137">
        <f>IF(AND(ISNUMBER('자료_미국심리'!$G2121),ISNUMBER('자료_미국심리'!$H2121)),'자료_미국심리'!$G2121,"")</f>
        <v/>
      </c>
    </row>
    <row r="2138">
      <c r="O2138">
        <f>IF(AND(ISNUMBER('자료_미국심리'!$A2122),ISNUMBER('자료_미국심리'!$B2122)),'자료_미국심리'!$A2122,"")</f>
        <v/>
      </c>
      <c r="P2138">
        <f>IF(AND(ISNUMBER('자료_미국심리'!$D2122),ISNUMBER('자료_미국심리'!$E2122)),'자료_미국심리'!$D2122,"")</f>
        <v/>
      </c>
      <c r="Q2138">
        <f>IF(AND(ISNUMBER('자료_미국심리'!$G2122),ISNUMBER('자료_미국심리'!$H2122)),'자료_미국심리'!$G2122,"")</f>
        <v/>
      </c>
    </row>
    <row r="2139">
      <c r="O2139">
        <f>IF(AND(ISNUMBER('자료_미국심리'!$A2123),ISNUMBER('자료_미국심리'!$B2123)),'자료_미국심리'!$A2123,"")</f>
        <v/>
      </c>
      <c r="P2139">
        <f>IF(AND(ISNUMBER('자료_미국심리'!$D2123),ISNUMBER('자료_미국심리'!$E2123)),'자료_미국심리'!$D2123,"")</f>
        <v/>
      </c>
      <c r="Q2139">
        <f>IF(AND(ISNUMBER('자료_미국심리'!$G2123),ISNUMBER('자료_미국심리'!$H2123)),'자료_미국심리'!$G2123,"")</f>
        <v/>
      </c>
    </row>
    <row r="2140">
      <c r="O2140">
        <f>IF(AND(ISNUMBER('자료_미국심리'!$A2124),ISNUMBER('자료_미국심리'!$B2124)),'자료_미국심리'!$A2124,"")</f>
        <v/>
      </c>
      <c r="P2140">
        <f>IF(AND(ISNUMBER('자료_미국심리'!$D2124),ISNUMBER('자료_미국심리'!$E2124)),'자료_미국심리'!$D2124,"")</f>
        <v/>
      </c>
      <c r="Q2140">
        <f>IF(AND(ISNUMBER('자료_미국심리'!$G2124),ISNUMBER('자료_미국심리'!$H2124)),'자료_미국심리'!$G2124,"")</f>
        <v/>
      </c>
    </row>
    <row r="2141">
      <c r="O2141">
        <f>IF(AND(ISNUMBER('자료_미국심리'!$A2125),ISNUMBER('자료_미국심리'!$B2125)),'자료_미국심리'!$A2125,"")</f>
        <v/>
      </c>
      <c r="P2141">
        <f>IF(AND(ISNUMBER('자료_미국심리'!$D2125),ISNUMBER('자료_미국심리'!$E2125)),'자료_미국심리'!$D2125,"")</f>
        <v/>
      </c>
      <c r="Q2141">
        <f>IF(AND(ISNUMBER('자료_미국심리'!$G2125),ISNUMBER('자료_미국심리'!$H2125)),'자료_미국심리'!$G2125,"")</f>
        <v/>
      </c>
    </row>
    <row r="2142">
      <c r="O2142">
        <f>IF(AND(ISNUMBER('자료_미국심리'!$A2126),ISNUMBER('자료_미국심리'!$B2126)),'자료_미국심리'!$A2126,"")</f>
        <v/>
      </c>
      <c r="P2142">
        <f>IF(AND(ISNUMBER('자료_미국심리'!$D2126),ISNUMBER('자료_미국심리'!$E2126)),'자료_미국심리'!$D2126,"")</f>
        <v/>
      </c>
      <c r="Q2142">
        <f>IF(AND(ISNUMBER('자료_미국심리'!$G2126),ISNUMBER('자료_미국심리'!$H2126)),'자료_미국심리'!$G2126,"")</f>
        <v/>
      </c>
    </row>
    <row r="2143">
      <c r="O2143">
        <f>IF(AND(ISNUMBER('자료_미국심리'!$A2127),ISNUMBER('자료_미국심리'!$B2127)),'자료_미국심리'!$A2127,"")</f>
        <v/>
      </c>
      <c r="P2143">
        <f>IF(AND(ISNUMBER('자료_미국심리'!$D2127),ISNUMBER('자료_미국심리'!$E2127)),'자료_미국심리'!$D2127,"")</f>
        <v/>
      </c>
      <c r="Q2143">
        <f>IF(AND(ISNUMBER('자료_미국심리'!$G2127),ISNUMBER('자료_미국심리'!$H2127)),'자료_미국심리'!$G2127,"")</f>
        <v/>
      </c>
    </row>
    <row r="2144">
      <c r="O2144">
        <f>IF(AND(ISNUMBER('자료_미국심리'!$A2128),ISNUMBER('자료_미국심리'!$B2128)),'자료_미국심리'!$A2128,"")</f>
        <v/>
      </c>
      <c r="P2144">
        <f>IF(AND(ISNUMBER('자료_미국심리'!$D2128),ISNUMBER('자료_미국심리'!$E2128)),'자료_미국심리'!$D2128,"")</f>
        <v/>
      </c>
      <c r="Q2144">
        <f>IF(AND(ISNUMBER('자료_미국심리'!$G2128),ISNUMBER('자료_미국심리'!$H2128)),'자료_미국심리'!$G2128,"")</f>
        <v/>
      </c>
    </row>
    <row r="2145">
      <c r="O2145">
        <f>IF(AND(ISNUMBER('자료_미국심리'!$A2129),ISNUMBER('자료_미국심리'!$B2129)),'자료_미국심리'!$A2129,"")</f>
        <v/>
      </c>
      <c r="P2145">
        <f>IF(AND(ISNUMBER('자료_미국심리'!$D2129),ISNUMBER('자료_미국심리'!$E2129)),'자료_미국심리'!$D2129,"")</f>
        <v/>
      </c>
      <c r="Q2145">
        <f>IF(AND(ISNUMBER('자료_미국심리'!$G2129),ISNUMBER('자료_미국심리'!$H2129)),'자료_미국심리'!$G2129,"")</f>
        <v/>
      </c>
    </row>
    <row r="2146">
      <c r="O2146">
        <f>IF(AND(ISNUMBER('자료_미국심리'!$A2130),ISNUMBER('자료_미국심리'!$B2130)),'자료_미국심리'!$A2130,"")</f>
        <v/>
      </c>
      <c r="P2146">
        <f>IF(AND(ISNUMBER('자료_미국심리'!$D2130),ISNUMBER('자료_미국심리'!$E2130)),'자료_미국심리'!$D2130,"")</f>
        <v/>
      </c>
      <c r="Q2146">
        <f>IF(AND(ISNUMBER('자료_미국심리'!$G2130),ISNUMBER('자료_미국심리'!$H2130)),'자료_미국심리'!$G2130,"")</f>
        <v/>
      </c>
    </row>
    <row r="2147">
      <c r="O2147">
        <f>IF(AND(ISNUMBER('자료_미국심리'!$A2131),ISNUMBER('자료_미국심리'!$B2131)),'자료_미국심리'!$A2131,"")</f>
        <v/>
      </c>
      <c r="P2147">
        <f>IF(AND(ISNUMBER('자료_미국심리'!$D2131),ISNUMBER('자료_미국심리'!$E2131)),'자료_미국심리'!$D2131,"")</f>
        <v/>
      </c>
      <c r="Q2147">
        <f>IF(AND(ISNUMBER('자료_미국심리'!$G2131),ISNUMBER('자료_미국심리'!$H2131)),'자료_미국심리'!$G2131,"")</f>
        <v/>
      </c>
    </row>
    <row r="2148">
      <c r="O2148">
        <f>IF(AND(ISNUMBER('자료_미국심리'!$A2132),ISNUMBER('자료_미국심리'!$B2132)),'자료_미국심리'!$A2132,"")</f>
        <v/>
      </c>
      <c r="P2148">
        <f>IF(AND(ISNUMBER('자료_미국심리'!$D2132),ISNUMBER('자료_미국심리'!$E2132)),'자료_미국심리'!$D2132,"")</f>
        <v/>
      </c>
      <c r="Q2148">
        <f>IF(AND(ISNUMBER('자료_미국심리'!$G2132),ISNUMBER('자료_미국심리'!$H2132)),'자료_미국심리'!$G2132,"")</f>
        <v/>
      </c>
    </row>
    <row r="2149">
      <c r="O2149">
        <f>IF(AND(ISNUMBER('자료_미국심리'!$A2133),ISNUMBER('자료_미국심리'!$B2133)),'자료_미국심리'!$A2133,"")</f>
        <v/>
      </c>
      <c r="P2149">
        <f>IF(AND(ISNUMBER('자료_미국심리'!$D2133),ISNUMBER('자료_미국심리'!$E2133)),'자료_미국심리'!$D2133,"")</f>
        <v/>
      </c>
      <c r="Q2149">
        <f>IF(AND(ISNUMBER('자료_미국심리'!$G2133),ISNUMBER('자료_미국심리'!$H2133)),'자료_미국심리'!$G2133,"")</f>
        <v/>
      </c>
    </row>
    <row r="2150">
      <c r="O2150">
        <f>IF(AND(ISNUMBER('자료_미국심리'!$A2134),ISNUMBER('자료_미국심리'!$B2134)),'자료_미국심리'!$A2134,"")</f>
        <v/>
      </c>
      <c r="P2150">
        <f>IF(AND(ISNUMBER('자료_미국심리'!$D2134),ISNUMBER('자료_미국심리'!$E2134)),'자료_미국심리'!$D2134,"")</f>
        <v/>
      </c>
      <c r="Q2150">
        <f>IF(AND(ISNUMBER('자료_미국심리'!$G2134),ISNUMBER('자료_미국심리'!$H2134)),'자료_미국심리'!$G2134,"")</f>
        <v/>
      </c>
    </row>
    <row r="2151">
      <c r="O2151">
        <f>IF(AND(ISNUMBER('자료_미국심리'!$A2135),ISNUMBER('자료_미국심리'!$B2135)),'자료_미국심리'!$A2135,"")</f>
        <v/>
      </c>
      <c r="P2151">
        <f>IF(AND(ISNUMBER('자료_미국심리'!$D2135),ISNUMBER('자료_미국심리'!$E2135)),'자료_미국심리'!$D2135,"")</f>
        <v/>
      </c>
      <c r="Q2151">
        <f>IF(AND(ISNUMBER('자료_미국심리'!$G2135),ISNUMBER('자료_미국심리'!$H2135)),'자료_미국심리'!$G2135,"")</f>
        <v/>
      </c>
    </row>
    <row r="2152">
      <c r="O2152">
        <f>IF(AND(ISNUMBER('자료_미국심리'!$A2136),ISNUMBER('자료_미국심리'!$B2136)),'자료_미국심리'!$A2136,"")</f>
        <v/>
      </c>
      <c r="P2152">
        <f>IF(AND(ISNUMBER('자료_미국심리'!$D2136),ISNUMBER('자료_미국심리'!$E2136)),'자료_미국심리'!$D2136,"")</f>
        <v/>
      </c>
      <c r="Q2152">
        <f>IF(AND(ISNUMBER('자료_미국심리'!$G2136),ISNUMBER('자료_미국심리'!$H2136)),'자료_미국심리'!$G2136,"")</f>
        <v/>
      </c>
    </row>
    <row r="2153">
      <c r="O2153">
        <f>IF(AND(ISNUMBER('자료_미국심리'!$A2137),ISNUMBER('자료_미국심리'!$B2137)),'자료_미국심리'!$A2137,"")</f>
        <v/>
      </c>
      <c r="P2153">
        <f>IF(AND(ISNUMBER('자료_미국심리'!$D2137),ISNUMBER('자료_미국심리'!$E2137)),'자료_미국심리'!$D2137,"")</f>
        <v/>
      </c>
      <c r="Q2153">
        <f>IF(AND(ISNUMBER('자료_미국심리'!$G2137),ISNUMBER('자료_미국심리'!$H2137)),'자료_미국심리'!$G2137,"")</f>
        <v/>
      </c>
    </row>
    <row r="2154">
      <c r="O2154">
        <f>IF(AND(ISNUMBER('자료_미국심리'!$A2138),ISNUMBER('자료_미국심리'!$B2138)),'자료_미국심리'!$A2138,"")</f>
        <v/>
      </c>
      <c r="P2154">
        <f>IF(AND(ISNUMBER('자료_미국심리'!$D2138),ISNUMBER('자료_미국심리'!$E2138)),'자료_미국심리'!$D2138,"")</f>
        <v/>
      </c>
      <c r="Q2154">
        <f>IF(AND(ISNUMBER('자료_미국심리'!$G2138),ISNUMBER('자료_미국심리'!$H2138)),'자료_미국심리'!$G2138,"")</f>
        <v/>
      </c>
    </row>
    <row r="2155">
      <c r="O2155">
        <f>IF(AND(ISNUMBER('자료_미국심리'!$A2139),ISNUMBER('자료_미국심리'!$B2139)),'자료_미국심리'!$A2139,"")</f>
        <v/>
      </c>
      <c r="P2155">
        <f>IF(AND(ISNUMBER('자료_미국심리'!$D2139),ISNUMBER('자료_미국심리'!$E2139)),'자료_미국심리'!$D2139,"")</f>
        <v/>
      </c>
      <c r="Q2155">
        <f>IF(AND(ISNUMBER('자료_미국심리'!$G2139),ISNUMBER('자료_미국심리'!$H2139)),'자료_미국심리'!$G2139,"")</f>
        <v/>
      </c>
    </row>
    <row r="2156">
      <c r="O2156">
        <f>IF(AND(ISNUMBER('자료_미국심리'!$A2140),ISNUMBER('자료_미국심리'!$B2140)),'자료_미국심리'!$A2140,"")</f>
        <v/>
      </c>
      <c r="P2156">
        <f>IF(AND(ISNUMBER('자료_미국심리'!$D2140),ISNUMBER('자료_미국심리'!$E2140)),'자료_미국심리'!$D2140,"")</f>
        <v/>
      </c>
      <c r="Q2156">
        <f>IF(AND(ISNUMBER('자료_미국심리'!$G2140),ISNUMBER('자료_미국심리'!$H2140)),'자료_미국심리'!$G2140,"")</f>
        <v/>
      </c>
    </row>
    <row r="2157">
      <c r="O2157">
        <f>IF(AND(ISNUMBER('자료_미국심리'!$A2141),ISNUMBER('자료_미국심리'!$B2141)),'자료_미국심리'!$A2141,"")</f>
        <v/>
      </c>
      <c r="P2157">
        <f>IF(AND(ISNUMBER('자료_미국심리'!$D2141),ISNUMBER('자료_미국심리'!$E2141)),'자료_미국심리'!$D2141,"")</f>
        <v/>
      </c>
      <c r="Q2157">
        <f>IF(AND(ISNUMBER('자료_미국심리'!$G2141),ISNUMBER('자료_미국심리'!$H2141)),'자료_미국심리'!$G2141,"")</f>
        <v/>
      </c>
    </row>
    <row r="2158">
      <c r="O2158">
        <f>IF(AND(ISNUMBER('자료_미국심리'!$A2142),ISNUMBER('자료_미국심리'!$B2142)),'자료_미국심리'!$A2142,"")</f>
        <v/>
      </c>
      <c r="P2158">
        <f>IF(AND(ISNUMBER('자료_미국심리'!$D2142),ISNUMBER('자료_미국심리'!$E2142)),'자료_미국심리'!$D2142,"")</f>
        <v/>
      </c>
      <c r="Q2158">
        <f>IF(AND(ISNUMBER('자료_미국심리'!$G2142),ISNUMBER('자료_미국심리'!$H2142)),'자료_미국심리'!$G2142,"")</f>
        <v/>
      </c>
    </row>
    <row r="2159">
      <c r="O2159">
        <f>IF(AND(ISNUMBER('자료_미국심리'!$A2143),ISNUMBER('자료_미국심리'!$B2143)),'자료_미국심리'!$A2143,"")</f>
        <v/>
      </c>
      <c r="P2159">
        <f>IF(AND(ISNUMBER('자료_미국심리'!$D2143),ISNUMBER('자료_미국심리'!$E2143)),'자료_미국심리'!$D2143,"")</f>
        <v/>
      </c>
      <c r="Q2159">
        <f>IF(AND(ISNUMBER('자료_미국심리'!$G2143),ISNUMBER('자료_미국심리'!$H2143)),'자료_미국심리'!$G2143,"")</f>
        <v/>
      </c>
    </row>
    <row r="2160">
      <c r="O2160">
        <f>IF(AND(ISNUMBER('자료_미국심리'!$A2144),ISNUMBER('자료_미국심리'!$B2144)),'자료_미국심리'!$A2144,"")</f>
        <v/>
      </c>
      <c r="P2160">
        <f>IF(AND(ISNUMBER('자료_미국심리'!$D2144),ISNUMBER('자료_미국심리'!$E2144)),'자료_미국심리'!$D2144,"")</f>
        <v/>
      </c>
      <c r="Q2160">
        <f>IF(AND(ISNUMBER('자료_미국심리'!$G2144),ISNUMBER('자료_미국심리'!$H2144)),'자료_미국심리'!$G2144,"")</f>
        <v/>
      </c>
    </row>
    <row r="2161">
      <c r="O2161">
        <f>IF(AND(ISNUMBER('자료_미국심리'!$A2145),ISNUMBER('자료_미국심리'!$B2145)),'자료_미국심리'!$A2145,"")</f>
        <v/>
      </c>
      <c r="P2161">
        <f>IF(AND(ISNUMBER('자료_미국심리'!$D2145),ISNUMBER('자료_미국심리'!$E2145)),'자료_미국심리'!$D2145,"")</f>
        <v/>
      </c>
      <c r="Q2161">
        <f>IF(AND(ISNUMBER('자료_미국심리'!$G2145),ISNUMBER('자료_미국심리'!$H2145)),'자료_미국심리'!$G2145,"")</f>
        <v/>
      </c>
    </row>
    <row r="2162">
      <c r="O2162">
        <f>IF(AND(ISNUMBER('자료_미국심리'!$A2146),ISNUMBER('자료_미국심리'!$B2146)),'자료_미국심리'!$A2146,"")</f>
        <v/>
      </c>
      <c r="P2162">
        <f>IF(AND(ISNUMBER('자료_미국심리'!$D2146),ISNUMBER('자료_미국심리'!$E2146)),'자료_미국심리'!$D2146,"")</f>
        <v/>
      </c>
      <c r="Q2162">
        <f>IF(AND(ISNUMBER('자료_미국심리'!$G2146),ISNUMBER('자료_미국심리'!$H2146)),'자료_미국심리'!$G2146,"")</f>
        <v/>
      </c>
    </row>
    <row r="2163">
      <c r="O2163">
        <f>IF(AND(ISNUMBER('자료_미국심리'!$A2147),ISNUMBER('자료_미국심리'!$B2147)),'자료_미국심리'!$A2147,"")</f>
        <v/>
      </c>
      <c r="P2163">
        <f>IF(AND(ISNUMBER('자료_미국심리'!$D2147),ISNUMBER('자료_미국심리'!$E2147)),'자료_미국심리'!$D2147,"")</f>
        <v/>
      </c>
      <c r="Q2163">
        <f>IF(AND(ISNUMBER('자료_미국심리'!$G2147),ISNUMBER('자료_미국심리'!$H2147)),'자료_미국심리'!$G2147,"")</f>
        <v/>
      </c>
    </row>
    <row r="2164">
      <c r="O2164">
        <f>IF(AND(ISNUMBER('자료_미국심리'!$A2148),ISNUMBER('자료_미국심리'!$B2148)),'자료_미국심리'!$A2148,"")</f>
        <v/>
      </c>
      <c r="P2164">
        <f>IF(AND(ISNUMBER('자료_미국심리'!$D2148),ISNUMBER('자료_미국심리'!$E2148)),'자료_미국심리'!$D2148,"")</f>
        <v/>
      </c>
      <c r="Q2164">
        <f>IF(AND(ISNUMBER('자료_미국심리'!$G2148),ISNUMBER('자료_미국심리'!$H2148)),'자료_미국심리'!$G2148,"")</f>
        <v/>
      </c>
    </row>
    <row r="2165">
      <c r="O2165">
        <f>IF(AND(ISNUMBER('자료_미국심리'!$A2149),ISNUMBER('자료_미국심리'!$B2149)),'자료_미국심리'!$A2149,"")</f>
        <v/>
      </c>
      <c r="P2165">
        <f>IF(AND(ISNUMBER('자료_미국심리'!$D2149),ISNUMBER('자료_미국심리'!$E2149)),'자료_미국심리'!$D2149,"")</f>
        <v/>
      </c>
      <c r="Q2165">
        <f>IF(AND(ISNUMBER('자료_미국심리'!$G2149),ISNUMBER('자료_미국심리'!$H2149)),'자료_미국심리'!$G2149,"")</f>
        <v/>
      </c>
    </row>
    <row r="2166">
      <c r="O2166">
        <f>IF(AND(ISNUMBER('자료_미국심리'!$A2150),ISNUMBER('자료_미국심리'!$B2150)),'자료_미국심리'!$A2150,"")</f>
        <v/>
      </c>
      <c r="P2166">
        <f>IF(AND(ISNUMBER('자료_미국심리'!$D2150),ISNUMBER('자료_미국심리'!$E2150)),'자료_미국심리'!$D2150,"")</f>
        <v/>
      </c>
      <c r="Q2166">
        <f>IF(AND(ISNUMBER('자료_미국심리'!$G2150),ISNUMBER('자료_미국심리'!$H2150)),'자료_미국심리'!$G2150,"")</f>
        <v/>
      </c>
    </row>
    <row r="2167">
      <c r="O2167">
        <f>IF(AND(ISNUMBER('자료_미국심리'!$A2151),ISNUMBER('자료_미국심리'!$B2151)),'자료_미국심리'!$A2151,"")</f>
        <v/>
      </c>
      <c r="P2167">
        <f>IF(AND(ISNUMBER('자료_미국심리'!$D2151),ISNUMBER('자료_미국심리'!$E2151)),'자료_미국심리'!$D2151,"")</f>
        <v/>
      </c>
      <c r="Q2167">
        <f>IF(AND(ISNUMBER('자료_미국심리'!$G2151),ISNUMBER('자료_미국심리'!$H2151)),'자료_미국심리'!$G2151,"")</f>
        <v/>
      </c>
    </row>
    <row r="2168">
      <c r="O2168">
        <f>IF(AND(ISNUMBER('자료_미국심리'!$A2152),ISNUMBER('자료_미국심리'!$B2152)),'자료_미국심리'!$A2152,"")</f>
        <v/>
      </c>
      <c r="P2168">
        <f>IF(AND(ISNUMBER('자료_미국심리'!$D2152),ISNUMBER('자료_미국심리'!$E2152)),'자료_미국심리'!$D2152,"")</f>
        <v/>
      </c>
      <c r="Q2168">
        <f>IF(AND(ISNUMBER('자료_미국심리'!$G2152),ISNUMBER('자료_미국심리'!$H2152)),'자료_미국심리'!$G2152,"")</f>
        <v/>
      </c>
    </row>
    <row r="2169">
      <c r="O2169">
        <f>IF(AND(ISNUMBER('자료_미국심리'!$A2153),ISNUMBER('자료_미국심리'!$B2153)),'자료_미국심리'!$A2153,"")</f>
        <v/>
      </c>
      <c r="P2169">
        <f>IF(AND(ISNUMBER('자료_미국심리'!$D2153),ISNUMBER('자료_미국심리'!$E2153)),'자료_미국심리'!$D2153,"")</f>
        <v/>
      </c>
      <c r="Q2169">
        <f>IF(AND(ISNUMBER('자료_미국심리'!$G2153),ISNUMBER('자료_미국심리'!$H2153)),'자료_미국심리'!$G2153,"")</f>
        <v/>
      </c>
    </row>
    <row r="2170">
      <c r="O2170">
        <f>IF(AND(ISNUMBER('자료_미국심리'!$A2154),ISNUMBER('자료_미국심리'!$B2154)),'자료_미국심리'!$A2154,"")</f>
        <v/>
      </c>
      <c r="P2170">
        <f>IF(AND(ISNUMBER('자료_미국심리'!$D2154),ISNUMBER('자료_미국심리'!$E2154)),'자료_미국심리'!$D2154,"")</f>
        <v/>
      </c>
      <c r="Q2170">
        <f>IF(AND(ISNUMBER('자료_미국심리'!$G2154),ISNUMBER('자료_미국심리'!$H2154)),'자료_미국심리'!$G2154,"")</f>
        <v/>
      </c>
    </row>
    <row r="2171">
      <c r="O2171">
        <f>IF(AND(ISNUMBER('자료_미국심리'!$A2155),ISNUMBER('자료_미국심리'!$B2155)),'자료_미국심리'!$A2155,"")</f>
        <v/>
      </c>
      <c r="P2171">
        <f>IF(AND(ISNUMBER('자료_미국심리'!$D2155),ISNUMBER('자료_미국심리'!$E2155)),'자료_미국심리'!$D2155,"")</f>
        <v/>
      </c>
      <c r="Q2171">
        <f>IF(AND(ISNUMBER('자료_미국심리'!$G2155),ISNUMBER('자료_미국심리'!$H2155)),'자료_미국심리'!$G2155,"")</f>
        <v/>
      </c>
    </row>
    <row r="2172">
      <c r="O2172">
        <f>IF(AND(ISNUMBER('자료_미국심리'!$A2156),ISNUMBER('자료_미국심리'!$B2156)),'자료_미국심리'!$A2156,"")</f>
        <v/>
      </c>
      <c r="P2172">
        <f>IF(AND(ISNUMBER('자료_미국심리'!$D2156),ISNUMBER('자료_미국심리'!$E2156)),'자료_미국심리'!$D2156,"")</f>
        <v/>
      </c>
      <c r="Q2172">
        <f>IF(AND(ISNUMBER('자료_미국심리'!$G2156),ISNUMBER('자료_미국심리'!$H2156)),'자료_미국심리'!$G2156,"")</f>
        <v/>
      </c>
    </row>
    <row r="2173">
      <c r="O2173">
        <f>IF(AND(ISNUMBER('자료_미국심리'!$A2157),ISNUMBER('자료_미국심리'!$B2157)),'자료_미국심리'!$A2157,"")</f>
        <v/>
      </c>
      <c r="P2173">
        <f>IF(AND(ISNUMBER('자료_미국심리'!$D2157),ISNUMBER('자료_미국심리'!$E2157)),'자료_미국심리'!$D2157,"")</f>
        <v/>
      </c>
      <c r="Q2173">
        <f>IF(AND(ISNUMBER('자료_미국심리'!$G2157),ISNUMBER('자료_미국심리'!$H2157)),'자료_미국심리'!$G2157,"")</f>
        <v/>
      </c>
    </row>
    <row r="2174">
      <c r="O2174">
        <f>IF(AND(ISNUMBER('자료_미국심리'!$A2158),ISNUMBER('자료_미국심리'!$B2158)),'자료_미국심리'!$A2158,"")</f>
        <v/>
      </c>
      <c r="P2174">
        <f>IF(AND(ISNUMBER('자료_미국심리'!$D2158),ISNUMBER('자료_미국심리'!$E2158)),'자료_미국심리'!$D2158,"")</f>
        <v/>
      </c>
      <c r="Q2174">
        <f>IF(AND(ISNUMBER('자료_미국심리'!$G2158),ISNUMBER('자료_미국심리'!$H2158)),'자료_미국심리'!$G2158,"")</f>
        <v/>
      </c>
    </row>
    <row r="2175">
      <c r="O2175">
        <f>IF(AND(ISNUMBER('자료_미국심리'!$A2159),ISNUMBER('자료_미국심리'!$B2159)),'자료_미국심리'!$A2159,"")</f>
        <v/>
      </c>
      <c r="P2175">
        <f>IF(AND(ISNUMBER('자료_미국심리'!$D2159),ISNUMBER('자료_미국심리'!$E2159)),'자료_미국심리'!$D2159,"")</f>
        <v/>
      </c>
      <c r="Q2175">
        <f>IF(AND(ISNUMBER('자료_미국심리'!$G2159),ISNUMBER('자료_미국심리'!$H2159)),'자료_미국심리'!$G2159,"")</f>
        <v/>
      </c>
    </row>
    <row r="2176">
      <c r="O2176">
        <f>IF(AND(ISNUMBER('자료_미국심리'!$A2160),ISNUMBER('자료_미국심리'!$B2160)),'자료_미국심리'!$A2160,"")</f>
        <v/>
      </c>
      <c r="P2176">
        <f>IF(AND(ISNUMBER('자료_미국심리'!$D2160),ISNUMBER('자료_미국심리'!$E2160)),'자료_미국심리'!$D2160,"")</f>
        <v/>
      </c>
      <c r="Q2176">
        <f>IF(AND(ISNUMBER('자료_미국심리'!$G2160),ISNUMBER('자료_미국심리'!$H2160)),'자료_미국심리'!$G2160,"")</f>
        <v/>
      </c>
    </row>
    <row r="2177">
      <c r="O2177">
        <f>IF(AND(ISNUMBER('자료_미국심리'!$A2161),ISNUMBER('자료_미국심리'!$B2161)),'자료_미국심리'!$A2161,"")</f>
        <v/>
      </c>
      <c r="P2177">
        <f>IF(AND(ISNUMBER('자료_미국심리'!$D2161),ISNUMBER('자료_미국심리'!$E2161)),'자료_미국심리'!$D2161,"")</f>
        <v/>
      </c>
      <c r="Q2177">
        <f>IF(AND(ISNUMBER('자료_미국심리'!$G2161),ISNUMBER('자료_미국심리'!$H2161)),'자료_미국심리'!$G2161,"")</f>
        <v/>
      </c>
    </row>
    <row r="2178">
      <c r="O2178">
        <f>IF(AND(ISNUMBER('자료_미국심리'!$A2162),ISNUMBER('자료_미국심리'!$B2162)),'자료_미국심리'!$A2162,"")</f>
        <v/>
      </c>
      <c r="P2178">
        <f>IF(AND(ISNUMBER('자료_미국심리'!$D2162),ISNUMBER('자료_미국심리'!$E2162)),'자료_미국심리'!$D2162,"")</f>
        <v/>
      </c>
      <c r="Q2178">
        <f>IF(AND(ISNUMBER('자료_미국심리'!$G2162),ISNUMBER('자료_미국심리'!$H2162)),'자료_미국심리'!$G2162,"")</f>
        <v/>
      </c>
    </row>
    <row r="2179">
      <c r="O2179">
        <f>IF(AND(ISNUMBER('자료_미국심리'!$A2163),ISNUMBER('자료_미국심리'!$B2163)),'자료_미국심리'!$A2163,"")</f>
        <v/>
      </c>
      <c r="P2179">
        <f>IF(AND(ISNUMBER('자료_미국심리'!$D2163),ISNUMBER('자료_미국심리'!$E2163)),'자료_미국심리'!$D2163,"")</f>
        <v/>
      </c>
      <c r="Q2179">
        <f>IF(AND(ISNUMBER('자료_미국심리'!$G2163),ISNUMBER('자료_미국심리'!$H2163)),'자료_미국심리'!$G2163,"")</f>
        <v/>
      </c>
    </row>
    <row r="2180">
      <c r="O2180">
        <f>IF(AND(ISNUMBER('자료_미국심리'!$A2164),ISNUMBER('자료_미국심리'!$B2164)),'자료_미국심리'!$A2164,"")</f>
        <v/>
      </c>
      <c r="P2180">
        <f>IF(AND(ISNUMBER('자료_미국심리'!$D2164),ISNUMBER('자료_미국심리'!$E2164)),'자료_미국심리'!$D2164,"")</f>
        <v/>
      </c>
      <c r="Q2180">
        <f>IF(AND(ISNUMBER('자료_미국심리'!$G2164),ISNUMBER('자료_미국심리'!$H2164)),'자료_미국심리'!$G2164,"")</f>
        <v/>
      </c>
    </row>
    <row r="2181">
      <c r="O2181">
        <f>IF(AND(ISNUMBER('자료_미국심리'!$A2165),ISNUMBER('자료_미국심리'!$B2165)),'자료_미국심리'!$A2165,"")</f>
        <v/>
      </c>
      <c r="P2181">
        <f>IF(AND(ISNUMBER('자료_미국심리'!$D2165),ISNUMBER('자료_미국심리'!$E2165)),'자료_미국심리'!$D2165,"")</f>
        <v/>
      </c>
      <c r="Q2181">
        <f>IF(AND(ISNUMBER('자료_미국심리'!$G2165),ISNUMBER('자료_미국심리'!$H2165)),'자료_미국심리'!$G2165,"")</f>
        <v/>
      </c>
    </row>
    <row r="2182">
      <c r="O2182">
        <f>IF(AND(ISNUMBER('자료_미국심리'!$A2166),ISNUMBER('자료_미국심리'!$B2166)),'자료_미국심리'!$A2166,"")</f>
        <v/>
      </c>
      <c r="P2182">
        <f>IF(AND(ISNUMBER('자료_미국심리'!$D2166),ISNUMBER('자료_미국심리'!$E2166)),'자료_미국심리'!$D2166,"")</f>
        <v/>
      </c>
      <c r="Q2182">
        <f>IF(AND(ISNUMBER('자료_미국심리'!$G2166),ISNUMBER('자료_미국심리'!$H2166)),'자료_미국심리'!$G2166,"")</f>
        <v/>
      </c>
    </row>
    <row r="2183">
      <c r="O2183">
        <f>IF(AND(ISNUMBER('자료_미국심리'!$A2167),ISNUMBER('자료_미국심리'!$B2167)),'자료_미국심리'!$A2167,"")</f>
        <v/>
      </c>
      <c r="P2183">
        <f>IF(AND(ISNUMBER('자료_미국심리'!$D2167),ISNUMBER('자료_미국심리'!$E2167)),'자료_미국심리'!$D2167,"")</f>
        <v/>
      </c>
      <c r="Q2183">
        <f>IF(AND(ISNUMBER('자료_미국심리'!$G2167),ISNUMBER('자료_미국심리'!$H2167)),'자료_미국심리'!$G2167,"")</f>
        <v/>
      </c>
    </row>
    <row r="2184">
      <c r="O2184">
        <f>IF(AND(ISNUMBER('자료_미국심리'!$A2168),ISNUMBER('자료_미국심리'!$B2168)),'자료_미국심리'!$A2168,"")</f>
        <v/>
      </c>
      <c r="P2184">
        <f>IF(AND(ISNUMBER('자료_미국심리'!$D2168),ISNUMBER('자료_미국심리'!$E2168)),'자료_미국심리'!$D2168,"")</f>
        <v/>
      </c>
      <c r="Q2184">
        <f>IF(AND(ISNUMBER('자료_미국심리'!$G2168),ISNUMBER('자료_미국심리'!$H2168)),'자료_미국심리'!$G2168,"")</f>
        <v/>
      </c>
    </row>
    <row r="2185">
      <c r="O2185">
        <f>IF(AND(ISNUMBER('자료_미국심리'!$A2169),ISNUMBER('자료_미국심리'!$B2169)),'자료_미국심리'!$A2169,"")</f>
        <v/>
      </c>
      <c r="P2185">
        <f>IF(AND(ISNUMBER('자료_미국심리'!$D2169),ISNUMBER('자료_미국심리'!$E2169)),'자료_미국심리'!$D2169,"")</f>
        <v/>
      </c>
      <c r="Q2185">
        <f>IF(AND(ISNUMBER('자료_미국심리'!$G2169),ISNUMBER('자료_미국심리'!$H2169)),'자료_미국심리'!$G2169,"")</f>
        <v/>
      </c>
    </row>
    <row r="2186">
      <c r="O2186">
        <f>IF(AND(ISNUMBER('자료_미국심리'!$A2170),ISNUMBER('자료_미국심리'!$B2170)),'자료_미국심리'!$A2170,"")</f>
        <v/>
      </c>
      <c r="P2186">
        <f>IF(AND(ISNUMBER('자료_미국심리'!$D2170),ISNUMBER('자료_미국심리'!$E2170)),'자료_미국심리'!$D2170,"")</f>
        <v/>
      </c>
      <c r="Q2186">
        <f>IF(AND(ISNUMBER('자료_미국심리'!$G2170),ISNUMBER('자료_미국심리'!$H2170)),'자료_미국심리'!$G2170,"")</f>
        <v/>
      </c>
    </row>
    <row r="2187">
      <c r="O2187">
        <f>IF(AND(ISNUMBER('자료_미국심리'!$A2171),ISNUMBER('자료_미국심리'!$B2171)),'자료_미국심리'!$A2171,"")</f>
        <v/>
      </c>
      <c r="P2187">
        <f>IF(AND(ISNUMBER('자료_미국심리'!$D2171),ISNUMBER('자료_미국심리'!$E2171)),'자료_미국심리'!$D2171,"")</f>
        <v/>
      </c>
      <c r="Q2187">
        <f>IF(AND(ISNUMBER('자료_미국심리'!$G2171),ISNUMBER('자료_미국심리'!$H2171)),'자료_미국심리'!$G2171,"")</f>
        <v/>
      </c>
    </row>
    <row r="2188">
      <c r="O2188">
        <f>IF(AND(ISNUMBER('자료_미국심리'!$A2172),ISNUMBER('자료_미국심리'!$B2172)),'자료_미국심리'!$A2172,"")</f>
        <v/>
      </c>
      <c r="P2188">
        <f>IF(AND(ISNUMBER('자료_미국심리'!$D2172),ISNUMBER('자료_미국심리'!$E2172)),'자료_미국심리'!$D2172,"")</f>
        <v/>
      </c>
      <c r="Q2188">
        <f>IF(AND(ISNUMBER('자료_미국심리'!$G2172),ISNUMBER('자료_미국심리'!$H2172)),'자료_미국심리'!$G2172,"")</f>
        <v/>
      </c>
    </row>
    <row r="2189">
      <c r="O2189">
        <f>IF(AND(ISNUMBER('자료_미국심리'!$A2173),ISNUMBER('자료_미국심리'!$B2173)),'자료_미국심리'!$A2173,"")</f>
        <v/>
      </c>
      <c r="P2189">
        <f>IF(AND(ISNUMBER('자료_미국심리'!$D2173),ISNUMBER('자료_미국심리'!$E2173)),'자료_미국심리'!$D2173,"")</f>
        <v/>
      </c>
      <c r="Q2189">
        <f>IF(AND(ISNUMBER('자료_미국심리'!$G2173),ISNUMBER('자료_미국심리'!$H2173)),'자료_미국심리'!$G2173,"")</f>
        <v/>
      </c>
    </row>
    <row r="2190">
      <c r="O2190">
        <f>IF(AND(ISNUMBER('자료_미국심리'!$A2174),ISNUMBER('자료_미국심리'!$B2174)),'자료_미국심리'!$A2174,"")</f>
        <v/>
      </c>
      <c r="P2190">
        <f>IF(AND(ISNUMBER('자료_미국심리'!$D2174),ISNUMBER('자료_미국심리'!$E2174)),'자료_미국심리'!$D2174,"")</f>
        <v/>
      </c>
      <c r="Q2190">
        <f>IF(AND(ISNUMBER('자료_미국심리'!$G2174),ISNUMBER('자료_미국심리'!$H2174)),'자료_미국심리'!$G2174,"")</f>
        <v/>
      </c>
    </row>
    <row r="2191">
      <c r="O2191">
        <f>IF(AND(ISNUMBER('자료_미국심리'!$A2175),ISNUMBER('자료_미국심리'!$B2175)),'자료_미국심리'!$A2175,"")</f>
        <v/>
      </c>
      <c r="P2191">
        <f>IF(AND(ISNUMBER('자료_미국심리'!$D2175),ISNUMBER('자료_미국심리'!$E2175)),'자료_미국심리'!$D2175,"")</f>
        <v/>
      </c>
      <c r="Q2191">
        <f>IF(AND(ISNUMBER('자료_미국심리'!$G2175),ISNUMBER('자료_미국심리'!$H2175)),'자료_미국심리'!$G2175,"")</f>
        <v/>
      </c>
    </row>
    <row r="2192">
      <c r="O2192">
        <f>IF(AND(ISNUMBER('자료_미국심리'!$A2176),ISNUMBER('자료_미국심리'!$B2176)),'자료_미국심리'!$A2176,"")</f>
        <v/>
      </c>
      <c r="P2192">
        <f>IF(AND(ISNUMBER('자료_미국심리'!$D2176),ISNUMBER('자료_미국심리'!$E2176)),'자료_미국심리'!$D2176,"")</f>
        <v/>
      </c>
      <c r="Q2192">
        <f>IF(AND(ISNUMBER('자료_미국심리'!$G2176),ISNUMBER('자료_미국심리'!$H2176)),'자료_미국심리'!$G2176,"")</f>
        <v/>
      </c>
    </row>
    <row r="2193">
      <c r="O2193">
        <f>IF(AND(ISNUMBER('자료_미국심리'!$A2177),ISNUMBER('자료_미국심리'!$B2177)),'자료_미국심리'!$A2177,"")</f>
        <v/>
      </c>
      <c r="P2193">
        <f>IF(AND(ISNUMBER('자료_미국심리'!$D2177),ISNUMBER('자료_미국심리'!$E2177)),'자료_미국심리'!$D2177,"")</f>
        <v/>
      </c>
      <c r="Q2193">
        <f>IF(AND(ISNUMBER('자료_미국심리'!$G2177),ISNUMBER('자료_미국심리'!$H2177)),'자료_미국심리'!$G2177,"")</f>
        <v/>
      </c>
    </row>
    <row r="2194">
      <c r="O2194">
        <f>IF(AND(ISNUMBER('자료_미국심리'!$A2178),ISNUMBER('자료_미국심리'!$B2178)),'자료_미국심리'!$A2178,"")</f>
        <v/>
      </c>
      <c r="P2194">
        <f>IF(AND(ISNUMBER('자료_미국심리'!$D2178),ISNUMBER('자료_미국심리'!$E2178)),'자료_미국심리'!$D2178,"")</f>
        <v/>
      </c>
      <c r="Q2194">
        <f>IF(AND(ISNUMBER('자료_미국심리'!$G2178),ISNUMBER('자료_미국심리'!$H2178)),'자료_미국심리'!$G2178,"")</f>
        <v/>
      </c>
    </row>
    <row r="2195">
      <c r="O2195">
        <f>IF(AND(ISNUMBER('자료_미국심리'!$A2179),ISNUMBER('자료_미국심리'!$B2179)),'자료_미국심리'!$A2179,"")</f>
        <v/>
      </c>
      <c r="P2195">
        <f>IF(AND(ISNUMBER('자료_미국심리'!$D2179),ISNUMBER('자료_미국심리'!$E2179)),'자료_미국심리'!$D2179,"")</f>
        <v/>
      </c>
      <c r="Q2195">
        <f>IF(AND(ISNUMBER('자료_미국심리'!$G2179),ISNUMBER('자료_미국심리'!$H2179)),'자료_미국심리'!$G2179,"")</f>
        <v/>
      </c>
    </row>
    <row r="2196">
      <c r="O2196">
        <f>IF(AND(ISNUMBER('자료_미국심리'!$A2180),ISNUMBER('자료_미국심리'!$B2180)),'자료_미국심리'!$A2180,"")</f>
        <v/>
      </c>
      <c r="P2196">
        <f>IF(AND(ISNUMBER('자료_미국심리'!$D2180),ISNUMBER('자료_미국심리'!$E2180)),'자료_미국심리'!$D2180,"")</f>
        <v/>
      </c>
      <c r="Q2196">
        <f>IF(AND(ISNUMBER('자료_미국심리'!$G2180),ISNUMBER('자료_미국심리'!$H2180)),'자료_미국심리'!$G2180,"")</f>
        <v/>
      </c>
    </row>
    <row r="2197">
      <c r="O2197">
        <f>IF(AND(ISNUMBER('자료_미국심리'!$A2181),ISNUMBER('자료_미국심리'!$B2181)),'자료_미국심리'!$A2181,"")</f>
        <v/>
      </c>
      <c r="P2197">
        <f>IF(AND(ISNUMBER('자료_미국심리'!$D2181),ISNUMBER('자료_미국심리'!$E2181)),'자료_미국심리'!$D2181,"")</f>
        <v/>
      </c>
      <c r="Q2197">
        <f>IF(AND(ISNUMBER('자료_미국심리'!$G2181),ISNUMBER('자료_미국심리'!$H2181)),'자료_미국심리'!$G2181,"")</f>
        <v/>
      </c>
    </row>
    <row r="2198">
      <c r="O2198">
        <f>IF(AND(ISNUMBER('자료_미국심리'!$A2182),ISNUMBER('자료_미국심리'!$B2182)),'자료_미국심리'!$A2182,"")</f>
        <v/>
      </c>
      <c r="P2198">
        <f>IF(AND(ISNUMBER('자료_미국심리'!$D2182),ISNUMBER('자료_미국심리'!$E2182)),'자료_미국심리'!$D2182,"")</f>
        <v/>
      </c>
      <c r="Q2198">
        <f>IF(AND(ISNUMBER('자료_미국심리'!$G2182),ISNUMBER('자료_미국심리'!$H2182)),'자료_미국심리'!$G2182,"")</f>
        <v/>
      </c>
    </row>
    <row r="2199">
      <c r="O2199">
        <f>IF(AND(ISNUMBER('자료_미국심리'!$A2183),ISNUMBER('자료_미국심리'!$B2183)),'자료_미국심리'!$A2183,"")</f>
        <v/>
      </c>
      <c r="P2199">
        <f>IF(AND(ISNUMBER('자료_미국심리'!$D2183),ISNUMBER('자료_미국심리'!$E2183)),'자료_미국심리'!$D2183,"")</f>
        <v/>
      </c>
      <c r="Q2199">
        <f>IF(AND(ISNUMBER('자료_미국심리'!$G2183),ISNUMBER('자료_미국심리'!$H2183)),'자료_미국심리'!$G2183,"")</f>
        <v/>
      </c>
    </row>
    <row r="2200">
      <c r="O2200">
        <f>IF(AND(ISNUMBER('자료_미국심리'!$A2184),ISNUMBER('자료_미국심리'!$B2184)),'자료_미국심리'!$A2184,"")</f>
        <v/>
      </c>
      <c r="P2200">
        <f>IF(AND(ISNUMBER('자료_미국심리'!$D2184),ISNUMBER('자료_미국심리'!$E2184)),'자료_미국심리'!$D2184,"")</f>
        <v/>
      </c>
      <c r="Q2200">
        <f>IF(AND(ISNUMBER('자료_미국심리'!$G2184),ISNUMBER('자료_미국심리'!$H2184)),'자료_미국심리'!$G2184,"")</f>
        <v/>
      </c>
    </row>
    <row r="2201">
      <c r="O2201">
        <f>IF(AND(ISNUMBER('자료_미국심리'!$A2185),ISNUMBER('자료_미국심리'!$B2185)),'자료_미국심리'!$A2185,"")</f>
        <v/>
      </c>
      <c r="P2201">
        <f>IF(AND(ISNUMBER('자료_미국심리'!$D2185),ISNUMBER('자료_미국심리'!$E2185)),'자료_미국심리'!$D2185,"")</f>
        <v/>
      </c>
      <c r="Q2201">
        <f>IF(AND(ISNUMBER('자료_미국심리'!$G2185),ISNUMBER('자료_미국심리'!$H2185)),'자료_미국심리'!$G2185,"")</f>
        <v/>
      </c>
    </row>
    <row r="2202">
      <c r="O2202">
        <f>IF(AND(ISNUMBER('자료_미국심리'!$A2186),ISNUMBER('자료_미국심리'!$B2186)),'자료_미국심리'!$A2186,"")</f>
        <v/>
      </c>
      <c r="P2202">
        <f>IF(AND(ISNUMBER('자료_미국심리'!$D2186),ISNUMBER('자료_미국심리'!$E2186)),'자료_미국심리'!$D2186,"")</f>
        <v/>
      </c>
      <c r="Q2202">
        <f>IF(AND(ISNUMBER('자료_미국심리'!$G2186),ISNUMBER('자료_미국심리'!$H2186)),'자료_미국심리'!$G2186,"")</f>
        <v/>
      </c>
    </row>
    <row r="2203">
      <c r="O2203">
        <f>IF(AND(ISNUMBER('자료_미국심리'!$A2187),ISNUMBER('자료_미국심리'!$B2187)),'자료_미국심리'!$A2187,"")</f>
        <v/>
      </c>
      <c r="P2203">
        <f>IF(AND(ISNUMBER('자료_미국심리'!$D2187),ISNUMBER('자료_미국심리'!$E2187)),'자료_미국심리'!$D2187,"")</f>
        <v/>
      </c>
      <c r="Q2203">
        <f>IF(AND(ISNUMBER('자료_미국심리'!$G2187),ISNUMBER('자료_미국심리'!$H2187)),'자료_미국심리'!$G2187,"")</f>
        <v/>
      </c>
    </row>
    <row r="2204">
      <c r="O2204">
        <f>IF(AND(ISNUMBER('자료_미국심리'!$A2188),ISNUMBER('자료_미국심리'!$B2188)),'자료_미국심리'!$A2188,"")</f>
        <v/>
      </c>
      <c r="P2204">
        <f>IF(AND(ISNUMBER('자료_미국심리'!$D2188),ISNUMBER('자료_미국심리'!$E2188)),'자료_미국심리'!$D2188,"")</f>
        <v/>
      </c>
      <c r="Q2204">
        <f>IF(AND(ISNUMBER('자료_미국심리'!$G2188),ISNUMBER('자료_미국심리'!$H2188)),'자료_미국심리'!$G2188,"")</f>
        <v/>
      </c>
    </row>
    <row r="2205">
      <c r="O2205">
        <f>IF(AND(ISNUMBER('자료_미국심리'!$A2189),ISNUMBER('자료_미국심리'!$B2189)),'자료_미국심리'!$A2189,"")</f>
        <v/>
      </c>
      <c r="P2205">
        <f>IF(AND(ISNUMBER('자료_미국심리'!$D2189),ISNUMBER('자료_미국심리'!$E2189)),'자료_미국심리'!$D2189,"")</f>
        <v/>
      </c>
      <c r="Q2205">
        <f>IF(AND(ISNUMBER('자료_미국심리'!$G2189),ISNUMBER('자료_미국심리'!$H2189)),'자료_미국심리'!$G2189,"")</f>
        <v/>
      </c>
    </row>
    <row r="2206">
      <c r="O2206">
        <f>IF(AND(ISNUMBER('자료_미국심리'!$A2190),ISNUMBER('자료_미국심리'!$B2190)),'자료_미국심리'!$A2190,"")</f>
        <v/>
      </c>
      <c r="P2206">
        <f>IF(AND(ISNUMBER('자료_미국심리'!$D2190),ISNUMBER('자료_미국심리'!$E2190)),'자료_미국심리'!$D2190,"")</f>
        <v/>
      </c>
      <c r="Q2206">
        <f>IF(AND(ISNUMBER('자료_미국심리'!$G2190),ISNUMBER('자료_미국심리'!$H2190)),'자료_미국심리'!$G2190,"")</f>
        <v/>
      </c>
    </row>
    <row r="2207">
      <c r="O2207">
        <f>IF(AND(ISNUMBER('자료_미국심리'!$A2191),ISNUMBER('자료_미국심리'!$B2191)),'자료_미국심리'!$A2191,"")</f>
        <v/>
      </c>
      <c r="P2207">
        <f>IF(AND(ISNUMBER('자료_미국심리'!$D2191),ISNUMBER('자료_미국심리'!$E2191)),'자료_미국심리'!$D2191,"")</f>
        <v/>
      </c>
      <c r="Q2207">
        <f>IF(AND(ISNUMBER('자료_미국심리'!$G2191),ISNUMBER('자료_미국심리'!$H2191)),'자료_미국심리'!$G2191,"")</f>
        <v/>
      </c>
    </row>
    <row r="2208">
      <c r="O2208">
        <f>IF(AND(ISNUMBER('자료_미국심리'!$A2192),ISNUMBER('자료_미국심리'!$B2192)),'자료_미국심리'!$A2192,"")</f>
        <v/>
      </c>
      <c r="P2208">
        <f>IF(AND(ISNUMBER('자료_미국심리'!$D2192),ISNUMBER('자료_미국심리'!$E2192)),'자료_미국심리'!$D2192,"")</f>
        <v/>
      </c>
      <c r="Q2208">
        <f>IF(AND(ISNUMBER('자료_미국심리'!$G2192),ISNUMBER('자료_미국심리'!$H2192)),'자료_미국심리'!$G2192,"")</f>
        <v/>
      </c>
    </row>
    <row r="2209">
      <c r="O2209">
        <f>IF(AND(ISNUMBER('자료_미국심리'!$A2193),ISNUMBER('자료_미국심리'!$B2193)),'자료_미국심리'!$A2193,"")</f>
        <v/>
      </c>
      <c r="P2209">
        <f>IF(AND(ISNUMBER('자료_미국심리'!$D2193),ISNUMBER('자료_미국심리'!$E2193)),'자료_미국심리'!$D2193,"")</f>
        <v/>
      </c>
      <c r="Q2209">
        <f>IF(AND(ISNUMBER('자료_미국심리'!$G2193),ISNUMBER('자료_미국심리'!$H2193)),'자료_미국심리'!$G2193,"")</f>
        <v/>
      </c>
    </row>
    <row r="2210">
      <c r="O2210">
        <f>IF(AND(ISNUMBER('자료_미국심리'!$A2194),ISNUMBER('자료_미국심리'!$B2194)),'자료_미국심리'!$A2194,"")</f>
        <v/>
      </c>
      <c r="P2210">
        <f>IF(AND(ISNUMBER('자료_미국심리'!$D2194),ISNUMBER('자료_미국심리'!$E2194)),'자료_미국심리'!$D2194,"")</f>
        <v/>
      </c>
      <c r="Q2210">
        <f>IF(AND(ISNUMBER('자료_미국심리'!$G2194),ISNUMBER('자료_미국심리'!$H2194)),'자료_미국심리'!$G2194,"")</f>
        <v/>
      </c>
    </row>
    <row r="2211">
      <c r="O2211">
        <f>IF(AND(ISNUMBER('자료_미국심리'!$A2195),ISNUMBER('자료_미국심리'!$B2195)),'자료_미국심리'!$A2195,"")</f>
        <v/>
      </c>
      <c r="P2211">
        <f>IF(AND(ISNUMBER('자료_미국심리'!$D2195),ISNUMBER('자료_미국심리'!$E2195)),'자료_미국심리'!$D2195,"")</f>
        <v/>
      </c>
      <c r="Q2211">
        <f>IF(AND(ISNUMBER('자료_미국심리'!$G2195),ISNUMBER('자료_미국심리'!$H2195)),'자료_미국심리'!$G2195,"")</f>
        <v/>
      </c>
    </row>
    <row r="2212">
      <c r="O2212">
        <f>IF(AND(ISNUMBER('자료_미국심리'!$A2196),ISNUMBER('자료_미국심리'!$B2196)),'자료_미국심리'!$A2196,"")</f>
        <v/>
      </c>
      <c r="P2212">
        <f>IF(AND(ISNUMBER('자료_미국심리'!$D2196),ISNUMBER('자료_미국심리'!$E2196)),'자료_미국심리'!$D2196,"")</f>
        <v/>
      </c>
      <c r="Q2212">
        <f>IF(AND(ISNUMBER('자료_미국심리'!$G2196),ISNUMBER('자료_미국심리'!$H2196)),'자료_미국심리'!$G2196,"")</f>
        <v/>
      </c>
    </row>
    <row r="2213">
      <c r="O2213">
        <f>IF(AND(ISNUMBER('자료_미국심리'!$A2197),ISNUMBER('자료_미국심리'!$B2197)),'자료_미국심리'!$A2197,"")</f>
        <v/>
      </c>
      <c r="P2213">
        <f>IF(AND(ISNUMBER('자료_미국심리'!$D2197),ISNUMBER('자료_미국심리'!$E2197)),'자료_미국심리'!$D2197,"")</f>
        <v/>
      </c>
      <c r="Q2213">
        <f>IF(AND(ISNUMBER('자료_미국심리'!$G2197),ISNUMBER('자료_미국심리'!$H2197)),'자료_미국심리'!$G2197,"")</f>
        <v/>
      </c>
    </row>
    <row r="2214">
      <c r="O2214">
        <f>IF(AND(ISNUMBER('자료_미국심리'!$A2198),ISNUMBER('자료_미국심리'!$B2198)),'자료_미국심리'!$A2198,"")</f>
        <v/>
      </c>
      <c r="P2214">
        <f>IF(AND(ISNUMBER('자료_미국심리'!$D2198),ISNUMBER('자료_미국심리'!$E2198)),'자료_미국심리'!$D2198,"")</f>
        <v/>
      </c>
      <c r="Q2214">
        <f>IF(AND(ISNUMBER('자료_미국심리'!$G2198),ISNUMBER('자료_미국심리'!$H2198)),'자료_미국심리'!$G2198,"")</f>
        <v/>
      </c>
    </row>
    <row r="2215">
      <c r="O2215">
        <f>IF(AND(ISNUMBER('자료_미국심리'!$A2199),ISNUMBER('자료_미국심리'!$B2199)),'자료_미국심리'!$A2199,"")</f>
        <v/>
      </c>
      <c r="P2215">
        <f>IF(AND(ISNUMBER('자료_미국심리'!$D2199),ISNUMBER('자료_미국심리'!$E2199)),'자료_미국심리'!$D2199,"")</f>
        <v/>
      </c>
      <c r="Q2215">
        <f>IF(AND(ISNUMBER('자료_미국심리'!$G2199),ISNUMBER('자료_미국심리'!$H2199)),'자료_미국심리'!$G2199,"")</f>
        <v/>
      </c>
    </row>
    <row r="2216">
      <c r="O2216">
        <f>IF(AND(ISNUMBER('자료_미국심리'!$A2200),ISNUMBER('자료_미국심리'!$B2200)),'자료_미국심리'!$A2200,"")</f>
        <v/>
      </c>
      <c r="P2216">
        <f>IF(AND(ISNUMBER('자료_미국심리'!$D2200),ISNUMBER('자료_미국심리'!$E2200)),'자료_미국심리'!$D2200,"")</f>
        <v/>
      </c>
      <c r="Q2216">
        <f>IF(AND(ISNUMBER('자료_미국심리'!$G2200),ISNUMBER('자료_미국심리'!$H2200)),'자료_미국심리'!$G2200,"")</f>
        <v/>
      </c>
    </row>
    <row r="2217">
      <c r="O2217">
        <f>IF(AND(ISNUMBER('자료_미국심리'!$A2201),ISNUMBER('자료_미국심리'!$B2201)),'자료_미국심리'!$A2201,"")</f>
        <v/>
      </c>
      <c r="P2217">
        <f>IF(AND(ISNUMBER('자료_미국심리'!$D2201),ISNUMBER('자료_미국심리'!$E2201)),'자료_미국심리'!$D2201,"")</f>
        <v/>
      </c>
      <c r="Q2217">
        <f>IF(AND(ISNUMBER('자료_미국심리'!$G2201),ISNUMBER('자료_미국심리'!$H2201)),'자료_미국심리'!$G2201,"")</f>
        <v/>
      </c>
    </row>
    <row r="2218">
      <c r="O2218">
        <f>IF(AND(ISNUMBER('자료_미국심리'!$A2202),ISNUMBER('자료_미국심리'!$B2202)),'자료_미국심리'!$A2202,"")</f>
        <v/>
      </c>
      <c r="P2218">
        <f>IF(AND(ISNUMBER('자료_미국심리'!$D2202),ISNUMBER('자료_미국심리'!$E2202)),'자료_미국심리'!$D2202,"")</f>
        <v/>
      </c>
      <c r="Q2218">
        <f>IF(AND(ISNUMBER('자료_미국심리'!$G2202),ISNUMBER('자료_미국심리'!$H2202)),'자료_미국심리'!$G2202,"")</f>
        <v/>
      </c>
    </row>
    <row r="2219">
      <c r="O2219">
        <f>IF(AND(ISNUMBER('자료_미국심리'!$A2203),ISNUMBER('자료_미국심리'!$B2203)),'자료_미국심리'!$A2203,"")</f>
        <v/>
      </c>
      <c r="P2219">
        <f>IF(AND(ISNUMBER('자료_미국심리'!$D2203),ISNUMBER('자료_미국심리'!$E2203)),'자료_미국심리'!$D2203,"")</f>
        <v/>
      </c>
      <c r="Q2219">
        <f>IF(AND(ISNUMBER('자료_미국심리'!$G2203),ISNUMBER('자료_미국심리'!$H2203)),'자료_미국심리'!$G2203,"")</f>
        <v/>
      </c>
    </row>
    <row r="2220">
      <c r="O2220">
        <f>IF(AND(ISNUMBER('자료_미국심리'!$A2204),ISNUMBER('자료_미국심리'!$B2204)),'자료_미국심리'!$A2204,"")</f>
        <v/>
      </c>
      <c r="P2220">
        <f>IF(AND(ISNUMBER('자료_미국심리'!$D2204),ISNUMBER('자료_미국심리'!$E2204)),'자료_미국심리'!$D2204,"")</f>
        <v/>
      </c>
      <c r="Q2220">
        <f>IF(AND(ISNUMBER('자료_미국심리'!$G2204),ISNUMBER('자료_미국심리'!$H2204)),'자료_미국심리'!$G2204,"")</f>
        <v/>
      </c>
    </row>
    <row r="2221">
      <c r="O2221">
        <f>IF(AND(ISNUMBER('자료_미국심리'!$A2205),ISNUMBER('자료_미국심리'!$B2205)),'자료_미국심리'!$A2205,"")</f>
        <v/>
      </c>
      <c r="P2221">
        <f>IF(AND(ISNUMBER('자료_미국심리'!$D2205),ISNUMBER('자료_미국심리'!$E2205)),'자료_미국심리'!$D2205,"")</f>
        <v/>
      </c>
      <c r="Q2221">
        <f>IF(AND(ISNUMBER('자료_미국심리'!$G2205),ISNUMBER('자료_미국심리'!$H2205)),'자료_미국심리'!$G2205,"")</f>
        <v/>
      </c>
    </row>
    <row r="2222">
      <c r="O2222">
        <f>IF(AND(ISNUMBER('자료_미국심리'!$A2206),ISNUMBER('자료_미국심리'!$B2206)),'자료_미국심리'!$A2206,"")</f>
        <v/>
      </c>
      <c r="P2222">
        <f>IF(AND(ISNUMBER('자료_미국심리'!$D2206),ISNUMBER('자료_미국심리'!$E2206)),'자료_미국심리'!$D2206,"")</f>
        <v/>
      </c>
      <c r="Q2222">
        <f>IF(AND(ISNUMBER('자료_미국심리'!$G2206),ISNUMBER('자료_미국심리'!$H2206)),'자료_미국심리'!$G2206,"")</f>
        <v/>
      </c>
    </row>
    <row r="2223">
      <c r="O2223">
        <f>IF(AND(ISNUMBER('자료_미국심리'!$A2207),ISNUMBER('자료_미국심리'!$B2207)),'자료_미국심리'!$A2207,"")</f>
        <v/>
      </c>
      <c r="P2223">
        <f>IF(AND(ISNUMBER('자료_미국심리'!$D2207),ISNUMBER('자료_미국심리'!$E2207)),'자료_미국심리'!$D2207,"")</f>
        <v/>
      </c>
      <c r="Q2223">
        <f>IF(AND(ISNUMBER('자료_미국심리'!$G2207),ISNUMBER('자료_미국심리'!$H2207)),'자료_미국심리'!$G2207,"")</f>
        <v/>
      </c>
    </row>
    <row r="2224">
      <c r="O2224">
        <f>IF(AND(ISNUMBER('자료_미국심리'!$A2208),ISNUMBER('자료_미국심리'!$B2208)),'자료_미국심리'!$A2208,"")</f>
        <v/>
      </c>
      <c r="P2224">
        <f>IF(AND(ISNUMBER('자료_미국심리'!$D2208),ISNUMBER('자료_미국심리'!$E2208)),'자료_미국심리'!$D2208,"")</f>
        <v/>
      </c>
      <c r="Q2224">
        <f>IF(AND(ISNUMBER('자료_미국심리'!$G2208),ISNUMBER('자료_미국심리'!$H2208)),'자료_미국심리'!$G2208,"")</f>
        <v/>
      </c>
    </row>
    <row r="2225">
      <c r="O2225">
        <f>IF(AND(ISNUMBER('자료_미국심리'!$A2209),ISNUMBER('자료_미국심리'!$B2209)),'자료_미국심리'!$A2209,"")</f>
        <v/>
      </c>
      <c r="P2225">
        <f>IF(AND(ISNUMBER('자료_미국심리'!$D2209),ISNUMBER('자료_미국심리'!$E2209)),'자료_미국심리'!$D2209,"")</f>
        <v/>
      </c>
      <c r="Q2225">
        <f>IF(AND(ISNUMBER('자료_미국심리'!$G2209),ISNUMBER('자료_미국심리'!$H2209)),'자료_미국심리'!$G2209,"")</f>
        <v/>
      </c>
    </row>
    <row r="2226">
      <c r="O2226">
        <f>IF(AND(ISNUMBER('자료_미국심리'!$A2210),ISNUMBER('자료_미국심리'!$B2210)),'자료_미국심리'!$A2210,"")</f>
        <v/>
      </c>
      <c r="P2226">
        <f>IF(AND(ISNUMBER('자료_미국심리'!$D2210),ISNUMBER('자료_미국심리'!$E2210)),'자료_미국심리'!$D2210,"")</f>
        <v/>
      </c>
      <c r="Q2226">
        <f>IF(AND(ISNUMBER('자료_미국심리'!$G2210),ISNUMBER('자료_미국심리'!$H2210)),'자료_미국심리'!$G2210,"")</f>
        <v/>
      </c>
    </row>
    <row r="2227">
      <c r="O2227">
        <f>IF(AND(ISNUMBER('자료_미국심리'!$A2211),ISNUMBER('자료_미국심리'!$B2211)),'자료_미국심리'!$A2211,"")</f>
        <v/>
      </c>
      <c r="P2227">
        <f>IF(AND(ISNUMBER('자료_미국심리'!$D2211),ISNUMBER('자료_미국심리'!$E2211)),'자료_미국심리'!$D2211,"")</f>
        <v/>
      </c>
      <c r="Q2227">
        <f>IF(AND(ISNUMBER('자료_미국심리'!$G2211),ISNUMBER('자료_미국심리'!$H2211)),'자료_미국심리'!$G2211,"")</f>
        <v/>
      </c>
    </row>
    <row r="2228">
      <c r="O2228">
        <f>IF(AND(ISNUMBER('자료_미국심리'!$A2212),ISNUMBER('자료_미국심리'!$B2212)),'자료_미국심리'!$A2212,"")</f>
        <v/>
      </c>
      <c r="P2228">
        <f>IF(AND(ISNUMBER('자료_미국심리'!$D2212),ISNUMBER('자료_미국심리'!$E2212)),'자료_미국심리'!$D2212,"")</f>
        <v/>
      </c>
      <c r="Q2228">
        <f>IF(AND(ISNUMBER('자료_미국심리'!$G2212),ISNUMBER('자료_미국심리'!$H2212)),'자료_미국심리'!$G2212,"")</f>
        <v/>
      </c>
    </row>
    <row r="2229">
      <c r="O2229">
        <f>IF(AND(ISNUMBER('자료_미국심리'!$A2213),ISNUMBER('자료_미국심리'!$B2213)),'자료_미국심리'!$A2213,"")</f>
        <v/>
      </c>
      <c r="P2229">
        <f>IF(AND(ISNUMBER('자료_미국심리'!$D2213),ISNUMBER('자료_미국심리'!$E2213)),'자료_미국심리'!$D2213,"")</f>
        <v/>
      </c>
      <c r="Q2229">
        <f>IF(AND(ISNUMBER('자료_미국심리'!$G2213),ISNUMBER('자료_미국심리'!$H2213)),'자료_미국심리'!$G2213,"")</f>
        <v/>
      </c>
    </row>
    <row r="2230">
      <c r="O2230">
        <f>IF(AND(ISNUMBER('자료_미국심리'!$A2214),ISNUMBER('자료_미국심리'!$B2214)),'자료_미국심리'!$A2214,"")</f>
        <v/>
      </c>
      <c r="P2230">
        <f>IF(AND(ISNUMBER('자료_미국심리'!$D2214),ISNUMBER('자료_미국심리'!$E2214)),'자료_미국심리'!$D2214,"")</f>
        <v/>
      </c>
      <c r="Q2230">
        <f>IF(AND(ISNUMBER('자료_미국심리'!$G2214),ISNUMBER('자료_미국심리'!$H2214)),'자료_미국심리'!$G2214,"")</f>
        <v/>
      </c>
    </row>
    <row r="2231">
      <c r="O2231">
        <f>IF(AND(ISNUMBER('자료_미국심리'!$A2215),ISNUMBER('자료_미국심리'!$B2215)),'자료_미국심리'!$A2215,"")</f>
        <v/>
      </c>
      <c r="P2231">
        <f>IF(AND(ISNUMBER('자료_미국심리'!$D2215),ISNUMBER('자료_미국심리'!$E2215)),'자료_미국심리'!$D2215,"")</f>
        <v/>
      </c>
      <c r="Q2231">
        <f>IF(AND(ISNUMBER('자료_미국심리'!$G2215),ISNUMBER('자료_미국심리'!$H2215)),'자료_미국심리'!$G2215,"")</f>
        <v/>
      </c>
    </row>
    <row r="2232">
      <c r="O2232">
        <f>IF(AND(ISNUMBER('자료_미국심리'!$A2216),ISNUMBER('자료_미국심리'!$B2216)),'자료_미국심리'!$A2216,"")</f>
        <v/>
      </c>
      <c r="P2232">
        <f>IF(AND(ISNUMBER('자료_미국심리'!$D2216),ISNUMBER('자료_미국심리'!$E2216)),'자료_미국심리'!$D2216,"")</f>
        <v/>
      </c>
      <c r="Q2232">
        <f>IF(AND(ISNUMBER('자료_미국심리'!$G2216),ISNUMBER('자료_미국심리'!$H2216)),'자료_미국심리'!$G2216,"")</f>
        <v/>
      </c>
    </row>
    <row r="2233">
      <c r="O2233">
        <f>IF(AND(ISNUMBER('자료_미국심리'!$A2217),ISNUMBER('자료_미국심리'!$B2217)),'자료_미국심리'!$A2217,"")</f>
        <v/>
      </c>
      <c r="P2233">
        <f>IF(AND(ISNUMBER('자료_미국심리'!$D2217),ISNUMBER('자료_미국심리'!$E2217)),'자료_미국심리'!$D2217,"")</f>
        <v/>
      </c>
      <c r="Q2233">
        <f>IF(AND(ISNUMBER('자료_미국심리'!$G2217),ISNUMBER('자료_미국심리'!$H2217)),'자료_미국심리'!$G2217,"")</f>
        <v/>
      </c>
    </row>
    <row r="2234">
      <c r="O2234">
        <f>IF(AND(ISNUMBER('자료_미국심리'!$A2218),ISNUMBER('자료_미국심리'!$B2218)),'자료_미국심리'!$A2218,"")</f>
        <v/>
      </c>
      <c r="P2234">
        <f>IF(AND(ISNUMBER('자료_미국심리'!$D2218),ISNUMBER('자료_미국심리'!$E2218)),'자료_미국심리'!$D2218,"")</f>
        <v/>
      </c>
      <c r="Q2234">
        <f>IF(AND(ISNUMBER('자료_미국심리'!$G2218),ISNUMBER('자료_미국심리'!$H2218)),'자료_미국심리'!$G2218,"")</f>
        <v/>
      </c>
    </row>
    <row r="2235">
      <c r="O2235">
        <f>IF(AND(ISNUMBER('자료_미국심리'!$A2219),ISNUMBER('자료_미국심리'!$B2219)),'자료_미국심리'!$A2219,"")</f>
        <v/>
      </c>
      <c r="P2235">
        <f>IF(AND(ISNUMBER('자료_미국심리'!$D2219),ISNUMBER('자료_미국심리'!$E2219)),'자료_미국심리'!$D2219,"")</f>
        <v/>
      </c>
      <c r="Q2235">
        <f>IF(AND(ISNUMBER('자료_미국심리'!$G2219),ISNUMBER('자료_미국심리'!$H2219)),'자료_미국심리'!$G2219,"")</f>
        <v/>
      </c>
    </row>
    <row r="2236">
      <c r="O2236">
        <f>IF(AND(ISNUMBER('자료_미국심리'!$A2220),ISNUMBER('자료_미국심리'!$B2220)),'자료_미국심리'!$A2220,"")</f>
        <v/>
      </c>
      <c r="P2236">
        <f>IF(AND(ISNUMBER('자료_미국심리'!$D2220),ISNUMBER('자료_미국심리'!$E2220)),'자료_미국심리'!$D2220,"")</f>
        <v/>
      </c>
      <c r="Q2236">
        <f>IF(AND(ISNUMBER('자료_미국심리'!$G2220),ISNUMBER('자료_미국심리'!$H2220)),'자료_미국심리'!$G2220,"")</f>
        <v/>
      </c>
    </row>
    <row r="2237">
      <c r="O2237">
        <f>IF(AND(ISNUMBER('자료_미국심리'!$A2221),ISNUMBER('자료_미국심리'!$B2221)),'자료_미국심리'!$A2221,"")</f>
        <v/>
      </c>
      <c r="P2237">
        <f>IF(AND(ISNUMBER('자료_미국심리'!$D2221),ISNUMBER('자료_미국심리'!$E2221)),'자료_미국심리'!$D2221,"")</f>
        <v/>
      </c>
      <c r="Q2237">
        <f>IF(AND(ISNUMBER('자료_미국심리'!$G2221),ISNUMBER('자료_미국심리'!$H2221)),'자료_미국심리'!$G2221,"")</f>
        <v/>
      </c>
    </row>
    <row r="2238">
      <c r="O2238">
        <f>IF(AND(ISNUMBER('자료_미국심리'!$A2222),ISNUMBER('자료_미국심리'!$B2222)),'자료_미국심리'!$A2222,"")</f>
        <v/>
      </c>
      <c r="P2238">
        <f>IF(AND(ISNUMBER('자료_미국심리'!$D2222),ISNUMBER('자료_미국심리'!$E2222)),'자료_미국심리'!$D2222,"")</f>
        <v/>
      </c>
      <c r="Q2238">
        <f>IF(AND(ISNUMBER('자료_미국심리'!$G2222),ISNUMBER('자료_미국심리'!$H2222)),'자료_미국심리'!$G2222,"")</f>
        <v/>
      </c>
    </row>
    <row r="2239">
      <c r="O2239">
        <f>IF(AND(ISNUMBER('자료_미국심리'!$A2223),ISNUMBER('자료_미국심리'!$B2223)),'자료_미국심리'!$A2223,"")</f>
        <v/>
      </c>
      <c r="P2239">
        <f>IF(AND(ISNUMBER('자료_미국심리'!$D2223),ISNUMBER('자료_미국심리'!$E2223)),'자료_미국심리'!$D2223,"")</f>
        <v/>
      </c>
      <c r="Q2239">
        <f>IF(AND(ISNUMBER('자료_미국심리'!$G2223),ISNUMBER('자료_미국심리'!$H2223)),'자료_미국심리'!$G2223,"")</f>
        <v/>
      </c>
    </row>
    <row r="2240">
      <c r="O2240">
        <f>IF(AND(ISNUMBER('자료_미국심리'!$A2224),ISNUMBER('자료_미국심리'!$B2224)),'자료_미국심리'!$A2224,"")</f>
        <v/>
      </c>
      <c r="P2240">
        <f>IF(AND(ISNUMBER('자료_미국심리'!$D2224),ISNUMBER('자료_미국심리'!$E2224)),'자료_미국심리'!$D2224,"")</f>
        <v/>
      </c>
      <c r="Q2240">
        <f>IF(AND(ISNUMBER('자료_미국심리'!$G2224),ISNUMBER('자료_미국심리'!$H2224)),'자료_미국심리'!$G2224,"")</f>
        <v/>
      </c>
    </row>
    <row r="2241">
      <c r="O2241">
        <f>IF(AND(ISNUMBER('자료_미국심리'!$A2225),ISNUMBER('자료_미국심리'!$B2225)),'자료_미국심리'!$A2225,"")</f>
        <v/>
      </c>
      <c r="P2241">
        <f>IF(AND(ISNUMBER('자료_미국심리'!$D2225),ISNUMBER('자료_미국심리'!$E2225)),'자료_미국심리'!$D2225,"")</f>
        <v/>
      </c>
      <c r="Q2241">
        <f>IF(AND(ISNUMBER('자료_미국심리'!$G2225),ISNUMBER('자료_미국심리'!$H2225)),'자료_미국심리'!$G2225,"")</f>
        <v/>
      </c>
    </row>
    <row r="2242">
      <c r="O2242">
        <f>IF(AND(ISNUMBER('자료_미국심리'!$A2226),ISNUMBER('자료_미국심리'!$B2226)),'자료_미국심리'!$A2226,"")</f>
        <v/>
      </c>
      <c r="P2242">
        <f>IF(AND(ISNUMBER('자료_미국심리'!$D2226),ISNUMBER('자료_미국심리'!$E2226)),'자료_미국심리'!$D2226,"")</f>
        <v/>
      </c>
      <c r="Q2242">
        <f>IF(AND(ISNUMBER('자료_미국심리'!$G2226),ISNUMBER('자료_미국심리'!$H2226)),'자료_미국심리'!$G2226,"")</f>
        <v/>
      </c>
    </row>
    <row r="2243">
      <c r="O2243">
        <f>IF(AND(ISNUMBER('자료_미국심리'!$A2227),ISNUMBER('자료_미국심리'!$B2227)),'자료_미국심리'!$A2227,"")</f>
        <v/>
      </c>
      <c r="P2243">
        <f>IF(AND(ISNUMBER('자료_미국심리'!$D2227),ISNUMBER('자료_미국심리'!$E2227)),'자료_미국심리'!$D2227,"")</f>
        <v/>
      </c>
      <c r="Q2243">
        <f>IF(AND(ISNUMBER('자료_미국심리'!$G2227),ISNUMBER('자료_미국심리'!$H2227)),'자료_미국심리'!$G2227,"")</f>
        <v/>
      </c>
    </row>
    <row r="2244">
      <c r="O2244">
        <f>IF(AND(ISNUMBER('자료_미국심리'!$A2228),ISNUMBER('자료_미국심리'!$B2228)),'자료_미국심리'!$A2228,"")</f>
        <v/>
      </c>
      <c r="P2244">
        <f>IF(AND(ISNUMBER('자료_미국심리'!$D2228),ISNUMBER('자료_미국심리'!$E2228)),'자료_미국심리'!$D2228,"")</f>
        <v/>
      </c>
      <c r="Q2244">
        <f>IF(AND(ISNUMBER('자료_미국심리'!$G2228),ISNUMBER('자료_미국심리'!$H2228)),'자료_미국심리'!$G2228,"")</f>
        <v/>
      </c>
    </row>
    <row r="2245">
      <c r="O2245">
        <f>IF(AND(ISNUMBER('자료_미국심리'!$A2229),ISNUMBER('자료_미국심리'!$B2229)),'자료_미국심리'!$A2229,"")</f>
        <v/>
      </c>
      <c r="P2245">
        <f>IF(AND(ISNUMBER('자료_미국심리'!$D2229),ISNUMBER('자료_미국심리'!$E2229)),'자료_미국심리'!$D2229,"")</f>
        <v/>
      </c>
      <c r="Q2245">
        <f>IF(AND(ISNUMBER('자료_미국심리'!$G2229),ISNUMBER('자료_미국심리'!$H2229)),'자료_미국심리'!$G2229,"")</f>
        <v/>
      </c>
    </row>
    <row r="2246">
      <c r="O2246">
        <f>IF(AND(ISNUMBER('자료_미국심리'!$A2230),ISNUMBER('자료_미국심리'!$B2230)),'자료_미국심리'!$A2230,"")</f>
        <v/>
      </c>
      <c r="P2246">
        <f>IF(AND(ISNUMBER('자료_미국심리'!$D2230),ISNUMBER('자료_미국심리'!$E2230)),'자료_미국심리'!$D2230,"")</f>
        <v/>
      </c>
      <c r="Q2246">
        <f>IF(AND(ISNUMBER('자료_미국심리'!$G2230),ISNUMBER('자료_미국심리'!$H2230)),'자료_미국심리'!$G2230,"")</f>
        <v/>
      </c>
    </row>
    <row r="2247">
      <c r="O2247">
        <f>IF(AND(ISNUMBER('자료_미국심리'!$A2231),ISNUMBER('자료_미국심리'!$B2231)),'자료_미국심리'!$A2231,"")</f>
        <v/>
      </c>
      <c r="P2247">
        <f>IF(AND(ISNUMBER('자료_미국심리'!$D2231),ISNUMBER('자료_미국심리'!$E2231)),'자료_미국심리'!$D2231,"")</f>
        <v/>
      </c>
      <c r="Q2247">
        <f>IF(AND(ISNUMBER('자료_미국심리'!$G2231),ISNUMBER('자료_미국심리'!$H2231)),'자료_미국심리'!$G2231,"")</f>
        <v/>
      </c>
    </row>
    <row r="2248">
      <c r="O2248">
        <f>IF(AND(ISNUMBER('자료_미국심리'!$A2232),ISNUMBER('자료_미국심리'!$B2232)),'자료_미국심리'!$A2232,"")</f>
        <v/>
      </c>
      <c r="P2248">
        <f>IF(AND(ISNUMBER('자료_미국심리'!$D2232),ISNUMBER('자료_미국심리'!$E2232)),'자료_미국심리'!$D2232,"")</f>
        <v/>
      </c>
      <c r="Q2248">
        <f>IF(AND(ISNUMBER('자료_미국심리'!$G2232),ISNUMBER('자료_미국심리'!$H2232)),'자료_미국심리'!$G2232,"")</f>
        <v/>
      </c>
    </row>
    <row r="2249">
      <c r="O2249">
        <f>IF(AND(ISNUMBER('자료_미국심리'!$A2233),ISNUMBER('자료_미국심리'!$B2233)),'자료_미국심리'!$A2233,"")</f>
        <v/>
      </c>
      <c r="P2249">
        <f>IF(AND(ISNUMBER('자료_미국심리'!$D2233),ISNUMBER('자료_미국심리'!$E2233)),'자료_미국심리'!$D2233,"")</f>
        <v/>
      </c>
      <c r="Q2249">
        <f>IF(AND(ISNUMBER('자료_미국심리'!$G2233),ISNUMBER('자료_미국심리'!$H2233)),'자료_미국심리'!$G2233,"")</f>
        <v/>
      </c>
    </row>
    <row r="2250">
      <c r="O2250">
        <f>IF(AND(ISNUMBER('자료_미국심리'!$A2234),ISNUMBER('자료_미국심리'!$B2234)),'자료_미국심리'!$A2234,"")</f>
        <v/>
      </c>
      <c r="P2250">
        <f>IF(AND(ISNUMBER('자료_미국심리'!$D2234),ISNUMBER('자료_미국심리'!$E2234)),'자료_미국심리'!$D2234,"")</f>
        <v/>
      </c>
      <c r="Q2250">
        <f>IF(AND(ISNUMBER('자료_미국심리'!$G2234),ISNUMBER('자료_미국심리'!$H2234)),'자료_미국심리'!$G2234,"")</f>
        <v/>
      </c>
    </row>
    <row r="2251">
      <c r="O2251">
        <f>IF(AND(ISNUMBER('자료_미국심리'!$A2235),ISNUMBER('자료_미국심리'!$B2235)),'자료_미국심리'!$A2235,"")</f>
        <v/>
      </c>
      <c r="P2251">
        <f>IF(AND(ISNUMBER('자료_미국심리'!$D2235),ISNUMBER('자료_미국심리'!$E2235)),'자료_미국심리'!$D2235,"")</f>
        <v/>
      </c>
      <c r="Q2251">
        <f>IF(AND(ISNUMBER('자료_미국심리'!$G2235),ISNUMBER('자료_미국심리'!$H2235)),'자료_미국심리'!$G2235,"")</f>
        <v/>
      </c>
    </row>
    <row r="2252">
      <c r="O2252">
        <f>IF(AND(ISNUMBER('자료_미국심리'!$A2236),ISNUMBER('자료_미국심리'!$B2236)),'자료_미국심리'!$A2236,"")</f>
        <v/>
      </c>
      <c r="P2252">
        <f>IF(AND(ISNUMBER('자료_미국심리'!$D2236),ISNUMBER('자료_미국심리'!$E2236)),'자료_미국심리'!$D2236,"")</f>
        <v/>
      </c>
      <c r="Q2252">
        <f>IF(AND(ISNUMBER('자료_미국심리'!$G2236),ISNUMBER('자료_미국심리'!$H2236)),'자료_미국심리'!$G2236,"")</f>
        <v/>
      </c>
    </row>
    <row r="2253">
      <c r="O2253">
        <f>IF(AND(ISNUMBER('자료_미국심리'!$A2237),ISNUMBER('자료_미국심리'!$B2237)),'자료_미국심리'!$A2237,"")</f>
        <v/>
      </c>
      <c r="P2253">
        <f>IF(AND(ISNUMBER('자료_미국심리'!$D2237),ISNUMBER('자료_미국심리'!$E2237)),'자료_미국심리'!$D2237,"")</f>
        <v/>
      </c>
      <c r="Q2253">
        <f>IF(AND(ISNUMBER('자료_미국심리'!$G2237),ISNUMBER('자료_미국심리'!$H2237)),'자료_미국심리'!$G2237,"")</f>
        <v/>
      </c>
    </row>
    <row r="2254">
      <c r="O2254">
        <f>IF(AND(ISNUMBER('자료_미국심리'!$A2238),ISNUMBER('자료_미국심리'!$B2238)),'자료_미국심리'!$A2238,"")</f>
        <v/>
      </c>
      <c r="P2254">
        <f>IF(AND(ISNUMBER('자료_미국심리'!$D2238),ISNUMBER('자료_미국심리'!$E2238)),'자료_미국심리'!$D2238,"")</f>
        <v/>
      </c>
      <c r="Q2254">
        <f>IF(AND(ISNUMBER('자료_미국심리'!$G2238),ISNUMBER('자료_미국심리'!$H2238)),'자료_미국심리'!$G2238,"")</f>
        <v/>
      </c>
    </row>
    <row r="2255">
      <c r="O2255">
        <f>IF(AND(ISNUMBER('자료_미국심리'!$A2239),ISNUMBER('자료_미국심리'!$B2239)),'자료_미국심리'!$A2239,"")</f>
        <v/>
      </c>
      <c r="P2255">
        <f>IF(AND(ISNUMBER('자료_미국심리'!$D2239),ISNUMBER('자료_미국심리'!$E2239)),'자료_미국심리'!$D2239,"")</f>
        <v/>
      </c>
      <c r="Q2255">
        <f>IF(AND(ISNUMBER('자료_미국심리'!$G2239),ISNUMBER('자료_미국심리'!$H2239)),'자료_미국심리'!$G2239,"")</f>
        <v/>
      </c>
    </row>
    <row r="2256">
      <c r="O2256">
        <f>IF(AND(ISNUMBER('자료_미국심리'!$A2240),ISNUMBER('자료_미국심리'!$B2240)),'자료_미국심리'!$A2240,"")</f>
        <v/>
      </c>
      <c r="P2256">
        <f>IF(AND(ISNUMBER('자료_미국심리'!$D2240),ISNUMBER('자료_미국심리'!$E2240)),'자료_미국심리'!$D2240,"")</f>
        <v/>
      </c>
      <c r="Q2256">
        <f>IF(AND(ISNUMBER('자료_미국심리'!$G2240),ISNUMBER('자료_미국심리'!$H2240)),'자료_미국심리'!$G2240,"")</f>
        <v/>
      </c>
    </row>
    <row r="2257">
      <c r="O2257">
        <f>IF(AND(ISNUMBER('자료_미국심리'!$A2241),ISNUMBER('자료_미국심리'!$B2241)),'자료_미국심리'!$A2241,"")</f>
        <v/>
      </c>
      <c r="P2257">
        <f>IF(AND(ISNUMBER('자료_미국심리'!$D2241),ISNUMBER('자료_미국심리'!$E2241)),'자료_미국심리'!$D2241,"")</f>
        <v/>
      </c>
      <c r="Q2257">
        <f>IF(AND(ISNUMBER('자료_미국심리'!$G2241),ISNUMBER('자료_미국심리'!$H2241)),'자료_미국심리'!$G2241,"")</f>
        <v/>
      </c>
    </row>
    <row r="2258">
      <c r="O2258">
        <f>IF(AND(ISNUMBER('자료_미국심리'!$A2242),ISNUMBER('자료_미국심리'!$B2242)),'자료_미국심리'!$A2242,"")</f>
        <v/>
      </c>
      <c r="P2258">
        <f>IF(AND(ISNUMBER('자료_미국심리'!$D2242),ISNUMBER('자료_미국심리'!$E2242)),'자료_미국심리'!$D2242,"")</f>
        <v/>
      </c>
      <c r="Q2258">
        <f>IF(AND(ISNUMBER('자료_미국심리'!$G2242),ISNUMBER('자료_미국심리'!$H2242)),'자료_미국심리'!$G2242,"")</f>
        <v/>
      </c>
    </row>
    <row r="2259">
      <c r="O2259">
        <f>IF(AND(ISNUMBER('자료_미국심리'!$A2243),ISNUMBER('자료_미국심리'!$B2243)),'자료_미국심리'!$A2243,"")</f>
        <v/>
      </c>
      <c r="P2259">
        <f>IF(AND(ISNUMBER('자료_미국심리'!$D2243),ISNUMBER('자료_미국심리'!$E2243)),'자료_미국심리'!$D2243,"")</f>
        <v/>
      </c>
      <c r="Q2259">
        <f>IF(AND(ISNUMBER('자료_미국심리'!$G2243),ISNUMBER('자료_미국심리'!$H2243)),'자료_미국심리'!$G2243,"")</f>
        <v/>
      </c>
    </row>
    <row r="2260">
      <c r="O2260">
        <f>IF(AND(ISNUMBER('자료_미국심리'!$A2244),ISNUMBER('자료_미국심리'!$B2244)),'자료_미국심리'!$A2244,"")</f>
        <v/>
      </c>
      <c r="P2260">
        <f>IF(AND(ISNUMBER('자료_미국심리'!$D2244),ISNUMBER('자료_미국심리'!$E2244)),'자료_미국심리'!$D2244,"")</f>
        <v/>
      </c>
      <c r="Q2260">
        <f>IF(AND(ISNUMBER('자료_미국심리'!$G2244),ISNUMBER('자료_미국심리'!$H2244)),'자료_미국심리'!$G2244,"")</f>
        <v/>
      </c>
    </row>
    <row r="2261">
      <c r="O2261">
        <f>IF(AND(ISNUMBER('자료_미국심리'!$A2245),ISNUMBER('자료_미국심리'!$B2245)),'자료_미국심리'!$A2245,"")</f>
        <v/>
      </c>
      <c r="P2261">
        <f>IF(AND(ISNUMBER('자료_미국심리'!$D2245),ISNUMBER('자료_미국심리'!$E2245)),'자료_미국심리'!$D2245,"")</f>
        <v/>
      </c>
      <c r="Q2261">
        <f>IF(AND(ISNUMBER('자료_미국심리'!$G2245),ISNUMBER('자료_미국심리'!$H2245)),'자료_미국심리'!$G2245,"")</f>
        <v/>
      </c>
    </row>
    <row r="2262">
      <c r="O2262">
        <f>IF(AND(ISNUMBER('자료_미국심리'!$A2246),ISNUMBER('자료_미국심리'!$B2246)),'자료_미국심리'!$A2246,"")</f>
        <v/>
      </c>
      <c r="P2262">
        <f>IF(AND(ISNUMBER('자료_미국심리'!$D2246),ISNUMBER('자료_미국심리'!$E2246)),'자료_미국심리'!$D2246,"")</f>
        <v/>
      </c>
      <c r="Q2262">
        <f>IF(AND(ISNUMBER('자료_미국심리'!$G2246),ISNUMBER('자료_미국심리'!$H2246)),'자료_미국심리'!$G2246,"")</f>
        <v/>
      </c>
    </row>
    <row r="2263">
      <c r="O2263">
        <f>IF(AND(ISNUMBER('자료_미국심리'!$A2247),ISNUMBER('자료_미국심리'!$B2247)),'자료_미국심리'!$A2247,"")</f>
        <v/>
      </c>
      <c r="P2263">
        <f>IF(AND(ISNUMBER('자료_미국심리'!$D2247),ISNUMBER('자료_미국심리'!$E2247)),'자료_미국심리'!$D2247,"")</f>
        <v/>
      </c>
      <c r="Q2263">
        <f>IF(AND(ISNUMBER('자료_미국심리'!$G2247),ISNUMBER('자료_미국심리'!$H2247)),'자료_미국심리'!$G2247,"")</f>
        <v/>
      </c>
    </row>
    <row r="2264">
      <c r="O2264">
        <f>IF(AND(ISNUMBER('자료_미국심리'!$A2248),ISNUMBER('자료_미국심리'!$B2248)),'자료_미국심리'!$A2248,"")</f>
        <v/>
      </c>
      <c r="P2264">
        <f>IF(AND(ISNUMBER('자료_미국심리'!$D2248),ISNUMBER('자료_미국심리'!$E2248)),'자료_미국심리'!$D2248,"")</f>
        <v/>
      </c>
      <c r="Q2264">
        <f>IF(AND(ISNUMBER('자료_미국심리'!$G2248),ISNUMBER('자료_미국심리'!$H2248)),'자료_미국심리'!$G2248,"")</f>
        <v/>
      </c>
    </row>
    <row r="2265">
      <c r="O2265">
        <f>IF(AND(ISNUMBER('자료_미국심리'!$A2249),ISNUMBER('자료_미국심리'!$B2249)),'자료_미국심리'!$A2249,"")</f>
        <v/>
      </c>
      <c r="P2265">
        <f>IF(AND(ISNUMBER('자료_미국심리'!$D2249),ISNUMBER('자료_미국심리'!$E2249)),'자료_미국심리'!$D2249,"")</f>
        <v/>
      </c>
      <c r="Q2265">
        <f>IF(AND(ISNUMBER('자료_미국심리'!$G2249),ISNUMBER('자료_미국심리'!$H2249)),'자료_미국심리'!$G2249,"")</f>
        <v/>
      </c>
    </row>
    <row r="2266">
      <c r="O2266">
        <f>IF(AND(ISNUMBER('자료_미국심리'!$A2250),ISNUMBER('자료_미국심리'!$B2250)),'자료_미국심리'!$A2250,"")</f>
        <v/>
      </c>
      <c r="P2266">
        <f>IF(AND(ISNUMBER('자료_미국심리'!$D2250),ISNUMBER('자료_미국심리'!$E2250)),'자료_미국심리'!$D2250,"")</f>
        <v/>
      </c>
      <c r="Q2266">
        <f>IF(AND(ISNUMBER('자료_미국심리'!$G2250),ISNUMBER('자료_미국심리'!$H2250)),'자료_미국심리'!$G2250,"")</f>
        <v/>
      </c>
    </row>
    <row r="2267">
      <c r="O2267">
        <f>IF(AND(ISNUMBER('자료_미국심리'!$A2251),ISNUMBER('자료_미국심리'!$B2251)),'자료_미국심리'!$A2251,"")</f>
        <v/>
      </c>
      <c r="P2267">
        <f>IF(AND(ISNUMBER('자료_미국심리'!$D2251),ISNUMBER('자료_미국심리'!$E2251)),'자료_미국심리'!$D2251,"")</f>
        <v/>
      </c>
      <c r="Q2267">
        <f>IF(AND(ISNUMBER('자료_미국심리'!$G2251),ISNUMBER('자료_미국심리'!$H2251)),'자료_미국심리'!$G2251,"")</f>
        <v/>
      </c>
    </row>
    <row r="2268">
      <c r="O2268">
        <f>IF(AND(ISNUMBER('자료_미국심리'!$A2252),ISNUMBER('자료_미국심리'!$B2252)),'자료_미국심리'!$A2252,"")</f>
        <v/>
      </c>
      <c r="P2268">
        <f>IF(AND(ISNUMBER('자료_미국심리'!$D2252),ISNUMBER('자료_미국심리'!$E2252)),'자료_미국심리'!$D2252,"")</f>
        <v/>
      </c>
      <c r="Q2268">
        <f>IF(AND(ISNUMBER('자료_미국심리'!$G2252),ISNUMBER('자료_미국심리'!$H2252)),'자료_미국심리'!$G2252,"")</f>
        <v/>
      </c>
    </row>
    <row r="2269">
      <c r="O2269">
        <f>IF(AND(ISNUMBER('자료_미국심리'!$A2253),ISNUMBER('자료_미국심리'!$B2253)),'자료_미국심리'!$A2253,"")</f>
        <v/>
      </c>
      <c r="P2269">
        <f>IF(AND(ISNUMBER('자료_미국심리'!$D2253),ISNUMBER('자료_미국심리'!$E2253)),'자료_미국심리'!$D2253,"")</f>
        <v/>
      </c>
      <c r="Q2269">
        <f>IF(AND(ISNUMBER('자료_미국심리'!$G2253),ISNUMBER('자료_미국심리'!$H2253)),'자료_미국심리'!$G2253,"")</f>
        <v/>
      </c>
    </row>
    <row r="2270">
      <c r="O2270">
        <f>IF(AND(ISNUMBER('자료_미국심리'!$A2254),ISNUMBER('자료_미국심리'!$B2254)),'자료_미국심리'!$A2254,"")</f>
        <v/>
      </c>
      <c r="P2270">
        <f>IF(AND(ISNUMBER('자료_미국심리'!$D2254),ISNUMBER('자료_미국심리'!$E2254)),'자료_미국심리'!$D2254,"")</f>
        <v/>
      </c>
      <c r="Q2270">
        <f>IF(AND(ISNUMBER('자료_미국심리'!$G2254),ISNUMBER('자료_미국심리'!$H2254)),'자료_미국심리'!$G2254,"")</f>
        <v/>
      </c>
    </row>
    <row r="2271">
      <c r="O2271">
        <f>IF(AND(ISNUMBER('자료_미국심리'!$A2255),ISNUMBER('자료_미국심리'!$B2255)),'자료_미국심리'!$A2255,"")</f>
        <v/>
      </c>
      <c r="P2271">
        <f>IF(AND(ISNUMBER('자료_미국심리'!$D2255),ISNUMBER('자료_미국심리'!$E2255)),'자료_미국심리'!$D2255,"")</f>
        <v/>
      </c>
      <c r="Q2271">
        <f>IF(AND(ISNUMBER('자료_미국심리'!$G2255),ISNUMBER('자료_미국심리'!$H2255)),'자료_미국심리'!$G2255,"")</f>
        <v/>
      </c>
    </row>
    <row r="2272">
      <c r="O2272">
        <f>IF(AND(ISNUMBER('자료_미국심리'!$A2256),ISNUMBER('자료_미국심리'!$B2256)),'자료_미국심리'!$A2256,"")</f>
        <v/>
      </c>
      <c r="P2272">
        <f>IF(AND(ISNUMBER('자료_미국심리'!$D2256),ISNUMBER('자료_미국심리'!$E2256)),'자료_미국심리'!$D2256,"")</f>
        <v/>
      </c>
      <c r="Q2272">
        <f>IF(AND(ISNUMBER('자료_미국심리'!$G2256),ISNUMBER('자료_미국심리'!$H2256)),'자료_미국심리'!$G2256,"")</f>
        <v/>
      </c>
    </row>
    <row r="2273">
      <c r="O2273">
        <f>IF(AND(ISNUMBER('자료_미국심리'!$A2257),ISNUMBER('자료_미국심리'!$B2257)),'자료_미국심리'!$A2257,"")</f>
        <v/>
      </c>
      <c r="P2273">
        <f>IF(AND(ISNUMBER('자료_미국심리'!$D2257),ISNUMBER('자료_미국심리'!$E2257)),'자료_미국심리'!$D2257,"")</f>
        <v/>
      </c>
      <c r="Q2273">
        <f>IF(AND(ISNUMBER('자료_미국심리'!$G2257),ISNUMBER('자료_미국심리'!$H2257)),'자료_미국심리'!$G2257,"")</f>
        <v/>
      </c>
    </row>
    <row r="2274">
      <c r="O2274">
        <f>IF(AND(ISNUMBER('자료_미국심리'!$A2258),ISNUMBER('자료_미국심리'!$B2258)),'자료_미국심리'!$A2258,"")</f>
        <v/>
      </c>
      <c r="P2274">
        <f>IF(AND(ISNUMBER('자료_미국심리'!$D2258),ISNUMBER('자료_미국심리'!$E2258)),'자료_미국심리'!$D2258,"")</f>
        <v/>
      </c>
      <c r="Q2274">
        <f>IF(AND(ISNUMBER('자료_미국심리'!$G2258),ISNUMBER('자료_미국심리'!$H2258)),'자료_미국심리'!$G2258,"")</f>
        <v/>
      </c>
    </row>
    <row r="2275">
      <c r="O2275">
        <f>IF(AND(ISNUMBER('자료_미국심리'!$A2259),ISNUMBER('자료_미국심리'!$B2259)),'자료_미국심리'!$A2259,"")</f>
        <v/>
      </c>
      <c r="P2275">
        <f>IF(AND(ISNUMBER('자료_미국심리'!$D2259),ISNUMBER('자료_미국심리'!$E2259)),'자료_미국심리'!$D2259,"")</f>
        <v/>
      </c>
      <c r="Q2275">
        <f>IF(AND(ISNUMBER('자료_미국심리'!$G2259),ISNUMBER('자료_미국심리'!$H2259)),'자료_미국심리'!$G2259,"")</f>
        <v/>
      </c>
    </row>
    <row r="2276">
      <c r="O2276">
        <f>IF(AND(ISNUMBER('자료_미국심리'!$A2260),ISNUMBER('자료_미국심리'!$B2260)),'자료_미국심리'!$A2260,"")</f>
        <v/>
      </c>
      <c r="P2276">
        <f>IF(AND(ISNUMBER('자료_미국심리'!$D2260),ISNUMBER('자료_미국심리'!$E2260)),'자료_미국심리'!$D2260,"")</f>
        <v/>
      </c>
      <c r="Q2276">
        <f>IF(AND(ISNUMBER('자료_미국심리'!$G2260),ISNUMBER('자료_미국심리'!$H2260)),'자료_미국심리'!$G2260,"")</f>
        <v/>
      </c>
    </row>
    <row r="2277">
      <c r="O2277">
        <f>IF(AND(ISNUMBER('자료_미국심리'!$A2261),ISNUMBER('자료_미국심리'!$B2261)),'자료_미국심리'!$A2261,"")</f>
        <v/>
      </c>
      <c r="P2277">
        <f>IF(AND(ISNUMBER('자료_미국심리'!$D2261),ISNUMBER('자료_미국심리'!$E2261)),'자료_미국심리'!$D2261,"")</f>
        <v/>
      </c>
      <c r="Q2277">
        <f>IF(AND(ISNUMBER('자료_미국심리'!$G2261),ISNUMBER('자료_미국심리'!$H2261)),'자료_미국심리'!$G2261,"")</f>
        <v/>
      </c>
    </row>
    <row r="2278">
      <c r="O2278">
        <f>IF(AND(ISNUMBER('자료_미국심리'!$A2262),ISNUMBER('자료_미국심리'!$B2262)),'자료_미국심리'!$A2262,"")</f>
        <v/>
      </c>
      <c r="P2278">
        <f>IF(AND(ISNUMBER('자료_미국심리'!$D2262),ISNUMBER('자료_미국심리'!$E2262)),'자료_미국심리'!$D2262,"")</f>
        <v/>
      </c>
      <c r="Q2278">
        <f>IF(AND(ISNUMBER('자료_미국심리'!$G2262),ISNUMBER('자료_미국심리'!$H2262)),'자료_미국심리'!$G2262,"")</f>
        <v/>
      </c>
    </row>
    <row r="2279">
      <c r="O2279">
        <f>IF(AND(ISNUMBER('자료_미국심리'!$A2263),ISNUMBER('자료_미국심리'!$B2263)),'자료_미국심리'!$A2263,"")</f>
        <v/>
      </c>
      <c r="P2279">
        <f>IF(AND(ISNUMBER('자료_미국심리'!$D2263),ISNUMBER('자료_미국심리'!$E2263)),'자료_미국심리'!$D2263,"")</f>
        <v/>
      </c>
      <c r="Q2279">
        <f>IF(AND(ISNUMBER('자료_미국심리'!$G2263),ISNUMBER('자료_미국심리'!$H2263)),'자료_미국심리'!$G2263,"")</f>
        <v/>
      </c>
    </row>
    <row r="2280">
      <c r="O2280">
        <f>IF(AND(ISNUMBER('자료_미국심리'!$A2264),ISNUMBER('자료_미국심리'!$B2264)),'자료_미국심리'!$A2264,"")</f>
        <v/>
      </c>
      <c r="P2280">
        <f>IF(AND(ISNUMBER('자료_미국심리'!$D2264),ISNUMBER('자료_미국심리'!$E2264)),'자료_미국심리'!$D2264,"")</f>
        <v/>
      </c>
      <c r="Q2280">
        <f>IF(AND(ISNUMBER('자료_미국심리'!$G2264),ISNUMBER('자료_미국심리'!$H2264)),'자료_미국심리'!$G2264,"")</f>
        <v/>
      </c>
    </row>
    <row r="2281">
      <c r="O2281">
        <f>IF(AND(ISNUMBER('자료_미국심리'!$A2265),ISNUMBER('자료_미국심리'!$B2265)),'자료_미국심리'!$A2265,"")</f>
        <v/>
      </c>
      <c r="P2281">
        <f>IF(AND(ISNUMBER('자료_미국심리'!$D2265),ISNUMBER('자료_미국심리'!$E2265)),'자료_미국심리'!$D2265,"")</f>
        <v/>
      </c>
      <c r="Q2281">
        <f>IF(AND(ISNUMBER('자료_미국심리'!$G2265),ISNUMBER('자료_미국심리'!$H2265)),'자료_미국심리'!$G2265,"")</f>
        <v/>
      </c>
    </row>
    <row r="2282">
      <c r="O2282">
        <f>IF(AND(ISNUMBER('자료_미국심리'!$A2266),ISNUMBER('자료_미국심리'!$B2266)),'자료_미국심리'!$A2266,"")</f>
        <v/>
      </c>
      <c r="P2282">
        <f>IF(AND(ISNUMBER('자료_미국심리'!$D2266),ISNUMBER('자료_미국심리'!$E2266)),'자료_미국심리'!$D2266,"")</f>
        <v/>
      </c>
      <c r="Q2282">
        <f>IF(AND(ISNUMBER('자료_미국심리'!$G2266),ISNUMBER('자료_미국심리'!$H2266)),'자료_미국심리'!$G2266,"")</f>
        <v/>
      </c>
    </row>
    <row r="2283">
      <c r="O2283">
        <f>IF(AND(ISNUMBER('자료_미국심리'!$A2267),ISNUMBER('자료_미국심리'!$B2267)),'자료_미국심리'!$A2267,"")</f>
        <v/>
      </c>
      <c r="P2283">
        <f>IF(AND(ISNUMBER('자료_미국심리'!$D2267),ISNUMBER('자료_미국심리'!$E2267)),'자료_미국심리'!$D2267,"")</f>
        <v/>
      </c>
      <c r="Q2283">
        <f>IF(AND(ISNUMBER('자료_미국심리'!$G2267),ISNUMBER('자료_미국심리'!$H2267)),'자료_미국심리'!$G2267,"")</f>
        <v/>
      </c>
    </row>
    <row r="2284">
      <c r="O2284">
        <f>IF(AND(ISNUMBER('자료_미국심리'!$A2268),ISNUMBER('자료_미국심리'!$B2268)),'자료_미국심리'!$A2268,"")</f>
        <v/>
      </c>
      <c r="P2284">
        <f>IF(AND(ISNUMBER('자료_미국심리'!$D2268),ISNUMBER('자료_미국심리'!$E2268)),'자료_미국심리'!$D2268,"")</f>
        <v/>
      </c>
      <c r="Q2284">
        <f>IF(AND(ISNUMBER('자료_미국심리'!$G2268),ISNUMBER('자료_미국심리'!$H2268)),'자료_미국심리'!$G2268,"")</f>
        <v/>
      </c>
    </row>
    <row r="2285">
      <c r="O2285">
        <f>IF(AND(ISNUMBER('자료_미국심리'!$A2269),ISNUMBER('자료_미국심리'!$B2269)),'자료_미국심리'!$A2269,"")</f>
        <v/>
      </c>
      <c r="P2285">
        <f>IF(AND(ISNUMBER('자료_미국심리'!$D2269),ISNUMBER('자료_미국심리'!$E2269)),'자료_미국심리'!$D2269,"")</f>
        <v/>
      </c>
      <c r="Q2285">
        <f>IF(AND(ISNUMBER('자료_미국심리'!$G2269),ISNUMBER('자료_미국심리'!$H2269)),'자료_미국심리'!$G2269,"")</f>
        <v/>
      </c>
    </row>
    <row r="2286">
      <c r="O2286">
        <f>IF(AND(ISNUMBER('자료_미국심리'!$A2270),ISNUMBER('자료_미국심리'!$B2270)),'자료_미국심리'!$A2270,"")</f>
        <v/>
      </c>
      <c r="P2286">
        <f>IF(AND(ISNUMBER('자료_미국심리'!$D2270),ISNUMBER('자료_미국심리'!$E2270)),'자료_미국심리'!$D2270,"")</f>
        <v/>
      </c>
      <c r="Q2286">
        <f>IF(AND(ISNUMBER('자료_미국심리'!$G2270),ISNUMBER('자료_미국심리'!$H2270)),'자료_미국심리'!$G2270,"")</f>
        <v/>
      </c>
    </row>
    <row r="2287">
      <c r="O2287">
        <f>IF(AND(ISNUMBER('자료_미국심리'!$A2271),ISNUMBER('자료_미국심리'!$B2271)),'자료_미국심리'!$A2271,"")</f>
        <v/>
      </c>
      <c r="P2287">
        <f>IF(AND(ISNUMBER('자료_미국심리'!$D2271),ISNUMBER('자료_미국심리'!$E2271)),'자료_미국심리'!$D2271,"")</f>
        <v/>
      </c>
      <c r="Q2287">
        <f>IF(AND(ISNUMBER('자료_미국심리'!$G2271),ISNUMBER('자료_미국심리'!$H2271)),'자료_미국심리'!$G2271,"")</f>
        <v/>
      </c>
    </row>
    <row r="2288">
      <c r="O2288">
        <f>IF(AND(ISNUMBER('자료_미국심리'!$A2272),ISNUMBER('자료_미국심리'!$B2272)),'자료_미국심리'!$A2272,"")</f>
        <v/>
      </c>
      <c r="P2288">
        <f>IF(AND(ISNUMBER('자료_미국심리'!$D2272),ISNUMBER('자료_미국심리'!$E2272)),'자료_미국심리'!$D2272,"")</f>
        <v/>
      </c>
      <c r="Q2288">
        <f>IF(AND(ISNUMBER('자료_미국심리'!$G2272),ISNUMBER('자료_미국심리'!$H2272)),'자료_미국심리'!$G2272,"")</f>
        <v/>
      </c>
    </row>
    <row r="2289">
      <c r="O2289">
        <f>IF(AND(ISNUMBER('자료_미국심리'!$A2273),ISNUMBER('자료_미국심리'!$B2273)),'자료_미국심리'!$A2273,"")</f>
        <v/>
      </c>
      <c r="P2289">
        <f>IF(AND(ISNUMBER('자료_미국심리'!$D2273),ISNUMBER('자료_미국심리'!$E2273)),'자료_미국심리'!$D2273,"")</f>
        <v/>
      </c>
      <c r="Q2289">
        <f>IF(AND(ISNUMBER('자료_미국심리'!$G2273),ISNUMBER('자료_미국심리'!$H2273)),'자료_미국심리'!$G2273,"")</f>
        <v/>
      </c>
    </row>
    <row r="2290">
      <c r="O2290">
        <f>IF(AND(ISNUMBER('자료_미국심리'!$A2274),ISNUMBER('자료_미국심리'!$B2274)),'자료_미국심리'!$A2274,"")</f>
        <v/>
      </c>
      <c r="P2290">
        <f>IF(AND(ISNUMBER('자료_미국심리'!$D2274),ISNUMBER('자료_미국심리'!$E2274)),'자료_미국심리'!$D2274,"")</f>
        <v/>
      </c>
      <c r="Q2290">
        <f>IF(AND(ISNUMBER('자료_미국심리'!$G2274),ISNUMBER('자료_미국심리'!$H2274)),'자료_미국심리'!$G2274,"")</f>
        <v/>
      </c>
    </row>
    <row r="2291">
      <c r="O2291">
        <f>IF(AND(ISNUMBER('자료_미국심리'!$A2275),ISNUMBER('자료_미국심리'!$B2275)),'자료_미국심리'!$A2275,"")</f>
        <v/>
      </c>
      <c r="P2291">
        <f>IF(AND(ISNUMBER('자료_미국심리'!$D2275),ISNUMBER('자료_미국심리'!$E2275)),'자료_미국심리'!$D2275,"")</f>
        <v/>
      </c>
      <c r="Q2291">
        <f>IF(AND(ISNUMBER('자료_미국심리'!$G2275),ISNUMBER('자료_미국심리'!$H2275)),'자료_미국심리'!$G2275,"")</f>
        <v/>
      </c>
    </row>
    <row r="2292">
      <c r="O2292">
        <f>IF(AND(ISNUMBER('자료_미국심리'!$A2276),ISNUMBER('자료_미국심리'!$B2276)),'자료_미국심리'!$A2276,"")</f>
        <v/>
      </c>
      <c r="P2292">
        <f>IF(AND(ISNUMBER('자료_미국심리'!$D2276),ISNUMBER('자료_미국심리'!$E2276)),'자료_미국심리'!$D2276,"")</f>
        <v/>
      </c>
      <c r="Q2292">
        <f>IF(AND(ISNUMBER('자료_미국심리'!$G2276),ISNUMBER('자료_미국심리'!$H2276)),'자료_미국심리'!$G2276,"")</f>
        <v/>
      </c>
    </row>
    <row r="2293">
      <c r="O2293">
        <f>IF(AND(ISNUMBER('자료_미국심리'!$A2277),ISNUMBER('자료_미국심리'!$B2277)),'자료_미국심리'!$A2277,"")</f>
        <v/>
      </c>
      <c r="P2293">
        <f>IF(AND(ISNUMBER('자료_미국심리'!$D2277),ISNUMBER('자료_미국심리'!$E2277)),'자료_미국심리'!$D2277,"")</f>
        <v/>
      </c>
      <c r="Q2293">
        <f>IF(AND(ISNUMBER('자료_미국심리'!$G2277),ISNUMBER('자료_미국심리'!$H2277)),'자료_미국심리'!$G2277,"")</f>
        <v/>
      </c>
    </row>
    <row r="2294">
      <c r="O2294">
        <f>IF(AND(ISNUMBER('자료_미국심리'!$A2278),ISNUMBER('자료_미국심리'!$B2278)),'자료_미국심리'!$A2278,"")</f>
        <v/>
      </c>
      <c r="P2294">
        <f>IF(AND(ISNUMBER('자료_미국심리'!$D2278),ISNUMBER('자료_미국심리'!$E2278)),'자료_미국심리'!$D2278,"")</f>
        <v/>
      </c>
      <c r="Q2294">
        <f>IF(AND(ISNUMBER('자료_미국심리'!$G2278),ISNUMBER('자료_미국심리'!$H2278)),'자료_미국심리'!$G2278,"")</f>
        <v/>
      </c>
    </row>
    <row r="2295">
      <c r="O2295">
        <f>IF(AND(ISNUMBER('자료_미국심리'!$A2279),ISNUMBER('자료_미국심리'!$B2279)),'자료_미국심리'!$A2279,"")</f>
        <v/>
      </c>
      <c r="P2295">
        <f>IF(AND(ISNUMBER('자료_미국심리'!$D2279),ISNUMBER('자료_미국심리'!$E2279)),'자료_미국심리'!$D2279,"")</f>
        <v/>
      </c>
      <c r="Q2295">
        <f>IF(AND(ISNUMBER('자료_미국심리'!$G2279),ISNUMBER('자료_미국심리'!$H2279)),'자료_미국심리'!$G2279,"")</f>
        <v/>
      </c>
    </row>
    <row r="2296">
      <c r="O2296">
        <f>IF(AND(ISNUMBER('자료_미국심리'!$A2280),ISNUMBER('자료_미국심리'!$B2280)),'자료_미국심리'!$A2280,"")</f>
        <v/>
      </c>
      <c r="P2296">
        <f>IF(AND(ISNUMBER('자료_미국심리'!$D2280),ISNUMBER('자료_미국심리'!$E2280)),'자료_미국심리'!$D2280,"")</f>
        <v/>
      </c>
      <c r="Q2296">
        <f>IF(AND(ISNUMBER('자료_미국심리'!$G2280),ISNUMBER('자료_미국심리'!$H2280)),'자료_미국심리'!$G2280,"")</f>
        <v/>
      </c>
    </row>
    <row r="2297">
      <c r="O2297">
        <f>IF(AND(ISNUMBER('자료_미국심리'!$A2281),ISNUMBER('자료_미국심리'!$B2281)),'자료_미국심리'!$A2281,"")</f>
        <v/>
      </c>
      <c r="P2297">
        <f>IF(AND(ISNUMBER('자료_미국심리'!$D2281),ISNUMBER('자료_미국심리'!$E2281)),'자료_미국심리'!$D2281,"")</f>
        <v/>
      </c>
      <c r="Q2297">
        <f>IF(AND(ISNUMBER('자료_미국심리'!$G2281),ISNUMBER('자료_미국심리'!$H2281)),'자료_미국심리'!$G2281,"")</f>
        <v/>
      </c>
    </row>
    <row r="2298">
      <c r="O2298">
        <f>IF(AND(ISNUMBER('자료_미국심리'!$A2282),ISNUMBER('자료_미국심리'!$B2282)),'자료_미국심리'!$A2282,"")</f>
        <v/>
      </c>
      <c r="P2298">
        <f>IF(AND(ISNUMBER('자료_미국심리'!$D2282),ISNUMBER('자료_미국심리'!$E2282)),'자료_미국심리'!$D2282,"")</f>
        <v/>
      </c>
      <c r="Q2298">
        <f>IF(AND(ISNUMBER('자료_미국심리'!$G2282),ISNUMBER('자료_미국심리'!$H2282)),'자료_미국심리'!$G2282,"")</f>
        <v/>
      </c>
    </row>
    <row r="2299">
      <c r="O2299">
        <f>IF(AND(ISNUMBER('자료_미국심리'!$A2283),ISNUMBER('자료_미국심리'!$B2283)),'자료_미국심리'!$A2283,"")</f>
        <v/>
      </c>
      <c r="P2299">
        <f>IF(AND(ISNUMBER('자료_미국심리'!$D2283),ISNUMBER('자료_미국심리'!$E2283)),'자료_미국심리'!$D2283,"")</f>
        <v/>
      </c>
      <c r="Q2299">
        <f>IF(AND(ISNUMBER('자료_미국심리'!$G2283),ISNUMBER('자료_미국심리'!$H2283)),'자료_미국심리'!$G2283,"")</f>
        <v/>
      </c>
    </row>
    <row r="2300">
      <c r="O2300">
        <f>IF(AND(ISNUMBER('자료_미국심리'!$A2284),ISNUMBER('자료_미국심리'!$B2284)),'자료_미국심리'!$A2284,"")</f>
        <v/>
      </c>
      <c r="P2300">
        <f>IF(AND(ISNUMBER('자료_미국심리'!$D2284),ISNUMBER('자료_미국심리'!$E2284)),'자료_미국심리'!$D2284,"")</f>
        <v/>
      </c>
      <c r="Q2300">
        <f>IF(AND(ISNUMBER('자료_미국심리'!$G2284),ISNUMBER('자료_미국심리'!$H2284)),'자료_미국심리'!$G2284,"")</f>
        <v/>
      </c>
    </row>
    <row r="2301">
      <c r="O2301">
        <f>IF(AND(ISNUMBER('자료_미국심리'!$A2285),ISNUMBER('자료_미국심리'!$B2285)),'자료_미국심리'!$A2285,"")</f>
        <v/>
      </c>
      <c r="P2301">
        <f>IF(AND(ISNUMBER('자료_미국심리'!$D2285),ISNUMBER('자료_미국심리'!$E2285)),'자료_미국심리'!$D2285,"")</f>
        <v/>
      </c>
      <c r="Q2301">
        <f>IF(AND(ISNUMBER('자료_미국심리'!$G2285),ISNUMBER('자료_미국심리'!$H2285)),'자료_미국심리'!$G2285,"")</f>
        <v/>
      </c>
    </row>
    <row r="2302">
      <c r="O2302">
        <f>IF(AND(ISNUMBER('자료_미국심리'!$A2286),ISNUMBER('자료_미국심리'!$B2286)),'자료_미국심리'!$A2286,"")</f>
        <v/>
      </c>
      <c r="P2302">
        <f>IF(AND(ISNUMBER('자료_미국심리'!$D2286),ISNUMBER('자료_미국심리'!$E2286)),'자료_미국심리'!$D2286,"")</f>
        <v/>
      </c>
      <c r="Q2302">
        <f>IF(AND(ISNUMBER('자료_미국심리'!$G2286),ISNUMBER('자료_미국심리'!$H2286)),'자료_미국심리'!$G2286,"")</f>
        <v/>
      </c>
    </row>
    <row r="2303">
      <c r="O2303">
        <f>IF(AND(ISNUMBER('자료_미국심리'!$A2287),ISNUMBER('자료_미국심리'!$B2287)),'자료_미국심리'!$A2287,"")</f>
        <v/>
      </c>
      <c r="P2303">
        <f>IF(AND(ISNUMBER('자료_미국심리'!$D2287),ISNUMBER('자료_미국심리'!$E2287)),'자료_미국심리'!$D2287,"")</f>
        <v/>
      </c>
      <c r="Q2303">
        <f>IF(AND(ISNUMBER('자료_미국심리'!$G2287),ISNUMBER('자료_미국심리'!$H2287)),'자료_미국심리'!$G2287,"")</f>
        <v/>
      </c>
    </row>
    <row r="2304">
      <c r="O2304">
        <f>IF(AND(ISNUMBER('자료_미국심리'!$A2288),ISNUMBER('자료_미국심리'!$B2288)),'자료_미국심리'!$A2288,"")</f>
        <v/>
      </c>
      <c r="P2304">
        <f>IF(AND(ISNUMBER('자료_미국심리'!$D2288),ISNUMBER('자료_미국심리'!$E2288)),'자료_미국심리'!$D2288,"")</f>
        <v/>
      </c>
      <c r="Q2304">
        <f>IF(AND(ISNUMBER('자료_미국심리'!$G2288),ISNUMBER('자료_미국심리'!$H2288)),'자료_미국심리'!$G2288,"")</f>
        <v/>
      </c>
    </row>
    <row r="2305">
      <c r="O2305">
        <f>IF(AND(ISNUMBER('자료_미국심리'!$A2289),ISNUMBER('자료_미국심리'!$B2289)),'자료_미국심리'!$A2289,"")</f>
        <v/>
      </c>
      <c r="P2305">
        <f>IF(AND(ISNUMBER('자료_미국심리'!$D2289),ISNUMBER('자료_미국심리'!$E2289)),'자료_미국심리'!$D2289,"")</f>
        <v/>
      </c>
      <c r="Q2305">
        <f>IF(AND(ISNUMBER('자료_미국심리'!$G2289),ISNUMBER('자료_미국심리'!$H2289)),'자료_미국심리'!$G2289,"")</f>
        <v/>
      </c>
    </row>
    <row r="2306">
      <c r="O2306">
        <f>IF(AND(ISNUMBER('자료_미국심리'!$A2290),ISNUMBER('자료_미국심리'!$B2290)),'자료_미국심리'!$A2290,"")</f>
        <v/>
      </c>
      <c r="P2306">
        <f>IF(AND(ISNUMBER('자료_미국심리'!$D2290),ISNUMBER('자료_미국심리'!$E2290)),'자료_미국심리'!$D2290,"")</f>
        <v/>
      </c>
      <c r="Q2306">
        <f>IF(AND(ISNUMBER('자료_미국심리'!$G2290),ISNUMBER('자료_미국심리'!$H2290)),'자료_미국심리'!$G2290,"")</f>
        <v/>
      </c>
    </row>
    <row r="2307">
      <c r="O2307">
        <f>IF(AND(ISNUMBER('자료_미국심리'!$A2291),ISNUMBER('자료_미국심리'!$B2291)),'자료_미국심리'!$A2291,"")</f>
        <v/>
      </c>
      <c r="P2307">
        <f>IF(AND(ISNUMBER('자료_미국심리'!$D2291),ISNUMBER('자료_미국심리'!$E2291)),'자료_미국심리'!$D2291,"")</f>
        <v/>
      </c>
      <c r="Q2307">
        <f>IF(AND(ISNUMBER('자료_미국심리'!$G2291),ISNUMBER('자료_미국심리'!$H2291)),'자료_미국심리'!$G2291,"")</f>
        <v/>
      </c>
    </row>
    <row r="2308">
      <c r="O2308">
        <f>IF(AND(ISNUMBER('자료_미국심리'!$A2292),ISNUMBER('자료_미국심리'!$B2292)),'자료_미국심리'!$A2292,"")</f>
        <v/>
      </c>
      <c r="P2308">
        <f>IF(AND(ISNUMBER('자료_미국심리'!$D2292),ISNUMBER('자료_미국심리'!$E2292)),'자료_미국심리'!$D2292,"")</f>
        <v/>
      </c>
      <c r="Q2308">
        <f>IF(AND(ISNUMBER('자료_미국심리'!$G2292),ISNUMBER('자료_미국심리'!$H2292)),'자료_미국심리'!$G2292,"")</f>
        <v/>
      </c>
    </row>
    <row r="2309">
      <c r="O2309">
        <f>IF(AND(ISNUMBER('자료_미국심리'!$A2293),ISNUMBER('자료_미국심리'!$B2293)),'자료_미국심리'!$A2293,"")</f>
        <v/>
      </c>
      <c r="P2309">
        <f>IF(AND(ISNUMBER('자료_미국심리'!$D2293),ISNUMBER('자료_미국심리'!$E2293)),'자료_미국심리'!$D2293,"")</f>
        <v/>
      </c>
      <c r="Q2309">
        <f>IF(AND(ISNUMBER('자료_미국심리'!$G2293),ISNUMBER('자료_미국심리'!$H2293)),'자료_미국심리'!$G2293,"")</f>
        <v/>
      </c>
    </row>
    <row r="2310">
      <c r="O2310">
        <f>IF(AND(ISNUMBER('자료_미국심리'!$A2294),ISNUMBER('자료_미국심리'!$B2294)),'자료_미국심리'!$A2294,"")</f>
        <v/>
      </c>
      <c r="P2310">
        <f>IF(AND(ISNUMBER('자료_미국심리'!$D2294),ISNUMBER('자료_미국심리'!$E2294)),'자료_미국심리'!$D2294,"")</f>
        <v/>
      </c>
      <c r="Q2310">
        <f>IF(AND(ISNUMBER('자료_미국심리'!$G2294),ISNUMBER('자료_미국심리'!$H2294)),'자료_미국심리'!$G2294,"")</f>
        <v/>
      </c>
    </row>
    <row r="2311">
      <c r="O2311">
        <f>IF(AND(ISNUMBER('자료_미국심리'!$A2295),ISNUMBER('자료_미국심리'!$B2295)),'자료_미국심리'!$A2295,"")</f>
        <v/>
      </c>
      <c r="P2311">
        <f>IF(AND(ISNUMBER('자료_미국심리'!$D2295),ISNUMBER('자료_미국심리'!$E2295)),'자료_미국심리'!$D2295,"")</f>
        <v/>
      </c>
      <c r="Q2311">
        <f>IF(AND(ISNUMBER('자료_미국심리'!$G2295),ISNUMBER('자료_미국심리'!$H2295)),'자료_미국심리'!$G2295,"")</f>
        <v/>
      </c>
    </row>
    <row r="2312">
      <c r="O2312">
        <f>IF(AND(ISNUMBER('자료_미국심리'!$A2296),ISNUMBER('자료_미국심리'!$B2296)),'자료_미국심리'!$A2296,"")</f>
        <v/>
      </c>
      <c r="P2312">
        <f>IF(AND(ISNUMBER('자료_미국심리'!$D2296),ISNUMBER('자료_미국심리'!$E2296)),'자료_미국심리'!$D2296,"")</f>
        <v/>
      </c>
      <c r="Q2312">
        <f>IF(AND(ISNUMBER('자료_미국심리'!$G2296),ISNUMBER('자료_미국심리'!$H2296)),'자료_미국심리'!$G2296,"")</f>
        <v/>
      </c>
    </row>
    <row r="2313">
      <c r="O2313">
        <f>IF(AND(ISNUMBER('자료_미국심리'!$A2297),ISNUMBER('자료_미국심리'!$B2297)),'자료_미국심리'!$A2297,"")</f>
        <v/>
      </c>
      <c r="P2313">
        <f>IF(AND(ISNUMBER('자료_미국심리'!$D2297),ISNUMBER('자료_미국심리'!$E2297)),'자료_미국심리'!$D2297,"")</f>
        <v/>
      </c>
      <c r="Q2313">
        <f>IF(AND(ISNUMBER('자료_미국심리'!$G2297),ISNUMBER('자료_미국심리'!$H2297)),'자료_미국심리'!$G2297,"")</f>
        <v/>
      </c>
    </row>
    <row r="2314">
      <c r="O2314">
        <f>IF(AND(ISNUMBER('자료_미국심리'!$A2298),ISNUMBER('자료_미국심리'!$B2298)),'자료_미국심리'!$A2298,"")</f>
        <v/>
      </c>
      <c r="P2314">
        <f>IF(AND(ISNUMBER('자료_미국심리'!$D2298),ISNUMBER('자료_미국심리'!$E2298)),'자료_미국심리'!$D2298,"")</f>
        <v/>
      </c>
      <c r="Q2314">
        <f>IF(AND(ISNUMBER('자료_미국심리'!$G2298),ISNUMBER('자료_미국심리'!$H2298)),'자료_미국심리'!$G2298,"")</f>
        <v/>
      </c>
    </row>
    <row r="2315">
      <c r="O2315">
        <f>IF(AND(ISNUMBER('자료_미국심리'!$A2299),ISNUMBER('자료_미국심리'!$B2299)),'자료_미국심리'!$A2299,"")</f>
        <v/>
      </c>
      <c r="P2315">
        <f>IF(AND(ISNUMBER('자료_미국심리'!$D2299),ISNUMBER('자료_미국심리'!$E2299)),'자료_미국심리'!$D2299,"")</f>
        <v/>
      </c>
      <c r="Q2315">
        <f>IF(AND(ISNUMBER('자료_미국심리'!$G2299),ISNUMBER('자료_미국심리'!$H2299)),'자료_미국심리'!$G2299,"")</f>
        <v/>
      </c>
    </row>
    <row r="2316">
      <c r="O2316">
        <f>IF(AND(ISNUMBER('자료_미국심리'!$A2300),ISNUMBER('자료_미국심리'!$B2300)),'자료_미국심리'!$A2300,"")</f>
        <v/>
      </c>
      <c r="P2316">
        <f>IF(AND(ISNUMBER('자료_미국심리'!$D2300),ISNUMBER('자료_미국심리'!$E2300)),'자료_미국심리'!$D2300,"")</f>
        <v/>
      </c>
      <c r="Q2316">
        <f>IF(AND(ISNUMBER('자료_미국심리'!$G2300),ISNUMBER('자료_미국심리'!$H2300)),'자료_미국심리'!$G2300,"")</f>
        <v/>
      </c>
    </row>
    <row r="2317">
      <c r="O2317">
        <f>IF(AND(ISNUMBER('자료_미국심리'!$A2301),ISNUMBER('자료_미국심리'!$B2301)),'자료_미국심리'!$A2301,"")</f>
        <v/>
      </c>
      <c r="P2317">
        <f>IF(AND(ISNUMBER('자료_미국심리'!$D2301),ISNUMBER('자료_미국심리'!$E2301)),'자료_미국심리'!$D2301,"")</f>
        <v/>
      </c>
      <c r="Q2317">
        <f>IF(AND(ISNUMBER('자료_미국심리'!$G2301),ISNUMBER('자료_미국심리'!$H2301)),'자료_미국심리'!$G2301,"")</f>
        <v/>
      </c>
    </row>
    <row r="2318">
      <c r="O2318">
        <f>IF(AND(ISNUMBER('자료_미국심리'!$A2302),ISNUMBER('자료_미국심리'!$B2302)),'자료_미국심리'!$A2302,"")</f>
        <v/>
      </c>
      <c r="P2318">
        <f>IF(AND(ISNUMBER('자료_미국심리'!$D2302),ISNUMBER('자료_미국심리'!$E2302)),'자료_미국심리'!$D2302,"")</f>
        <v/>
      </c>
      <c r="Q2318">
        <f>IF(AND(ISNUMBER('자료_미국심리'!$G2302),ISNUMBER('자료_미국심리'!$H2302)),'자료_미국심리'!$G2302,"")</f>
        <v/>
      </c>
    </row>
    <row r="2319">
      <c r="O2319">
        <f>IF(AND(ISNUMBER('자료_미국심리'!$A2303),ISNUMBER('자료_미국심리'!$B2303)),'자료_미국심리'!$A2303,"")</f>
        <v/>
      </c>
      <c r="P2319">
        <f>IF(AND(ISNUMBER('자료_미국심리'!$D2303),ISNUMBER('자료_미국심리'!$E2303)),'자료_미국심리'!$D2303,"")</f>
        <v/>
      </c>
      <c r="Q2319">
        <f>IF(AND(ISNUMBER('자료_미국심리'!$G2303),ISNUMBER('자료_미국심리'!$H2303)),'자료_미국심리'!$G2303,"")</f>
        <v/>
      </c>
    </row>
    <row r="2320">
      <c r="O2320">
        <f>IF(AND(ISNUMBER('자료_미국심리'!$A2304),ISNUMBER('자료_미국심리'!$B2304)),'자료_미국심리'!$A2304,"")</f>
        <v/>
      </c>
      <c r="P2320">
        <f>IF(AND(ISNUMBER('자료_미국심리'!$D2304),ISNUMBER('자료_미국심리'!$E2304)),'자료_미국심리'!$D2304,"")</f>
        <v/>
      </c>
      <c r="Q2320">
        <f>IF(AND(ISNUMBER('자료_미국심리'!$G2304),ISNUMBER('자료_미국심리'!$H2304)),'자료_미국심리'!$G2304,"")</f>
        <v/>
      </c>
    </row>
    <row r="2321">
      <c r="O2321">
        <f>IF(AND(ISNUMBER('자료_미국심리'!$A2305),ISNUMBER('자료_미국심리'!$B2305)),'자료_미국심리'!$A2305,"")</f>
        <v/>
      </c>
      <c r="P2321">
        <f>IF(AND(ISNUMBER('자료_미국심리'!$D2305),ISNUMBER('자료_미국심리'!$E2305)),'자료_미국심리'!$D2305,"")</f>
        <v/>
      </c>
      <c r="Q2321">
        <f>IF(AND(ISNUMBER('자료_미국심리'!$G2305),ISNUMBER('자료_미국심리'!$H2305)),'자료_미국심리'!$G2305,"")</f>
        <v/>
      </c>
    </row>
    <row r="2322">
      <c r="O2322">
        <f>IF(AND(ISNUMBER('자료_미국심리'!$A2306),ISNUMBER('자료_미국심리'!$B2306)),'자료_미국심리'!$A2306,"")</f>
        <v/>
      </c>
      <c r="P2322">
        <f>IF(AND(ISNUMBER('자료_미국심리'!$D2306),ISNUMBER('자료_미국심리'!$E2306)),'자료_미국심리'!$D2306,"")</f>
        <v/>
      </c>
      <c r="Q2322">
        <f>IF(AND(ISNUMBER('자료_미국심리'!$G2306),ISNUMBER('자료_미국심리'!$H2306)),'자료_미국심리'!$G2306,"")</f>
        <v/>
      </c>
    </row>
    <row r="2323">
      <c r="O2323">
        <f>IF(AND(ISNUMBER('자료_미국심리'!$A2307),ISNUMBER('자료_미국심리'!$B2307)),'자료_미국심리'!$A2307,"")</f>
        <v/>
      </c>
      <c r="P2323">
        <f>IF(AND(ISNUMBER('자료_미국심리'!$D2307),ISNUMBER('자료_미국심리'!$E2307)),'자료_미국심리'!$D2307,"")</f>
        <v/>
      </c>
      <c r="Q2323">
        <f>IF(AND(ISNUMBER('자료_미국심리'!$G2307),ISNUMBER('자료_미국심리'!$H2307)),'자료_미국심리'!$G2307,"")</f>
        <v/>
      </c>
    </row>
    <row r="2324">
      <c r="O2324">
        <f>IF(AND(ISNUMBER('자료_미국심리'!$A2308),ISNUMBER('자료_미국심리'!$B2308)),'자료_미국심리'!$A2308,"")</f>
        <v/>
      </c>
      <c r="P2324">
        <f>IF(AND(ISNUMBER('자료_미국심리'!$D2308),ISNUMBER('자료_미국심리'!$E2308)),'자료_미국심리'!$D2308,"")</f>
        <v/>
      </c>
      <c r="Q2324">
        <f>IF(AND(ISNUMBER('자료_미국심리'!$G2308),ISNUMBER('자료_미국심리'!$H2308)),'자료_미국심리'!$G2308,"")</f>
        <v/>
      </c>
    </row>
    <row r="2325">
      <c r="O2325">
        <f>IF(AND(ISNUMBER('자료_미국심리'!$A2309),ISNUMBER('자료_미국심리'!$B2309)),'자료_미국심리'!$A2309,"")</f>
        <v/>
      </c>
      <c r="P2325">
        <f>IF(AND(ISNUMBER('자료_미국심리'!$D2309),ISNUMBER('자료_미국심리'!$E2309)),'자료_미국심리'!$D2309,"")</f>
        <v/>
      </c>
      <c r="Q2325">
        <f>IF(AND(ISNUMBER('자료_미국심리'!$G2309),ISNUMBER('자료_미국심리'!$H2309)),'자료_미국심리'!$G2309,"")</f>
        <v/>
      </c>
    </row>
    <row r="2326">
      <c r="O2326">
        <f>IF(AND(ISNUMBER('자료_미국심리'!$A2310),ISNUMBER('자료_미국심리'!$B2310)),'자료_미국심리'!$A2310,"")</f>
        <v/>
      </c>
      <c r="P2326">
        <f>IF(AND(ISNUMBER('자료_미국심리'!$D2310),ISNUMBER('자료_미국심리'!$E2310)),'자료_미국심리'!$D2310,"")</f>
        <v/>
      </c>
      <c r="Q2326">
        <f>IF(AND(ISNUMBER('자료_미국심리'!$G2310),ISNUMBER('자료_미국심리'!$H2310)),'자료_미국심리'!$G2310,"")</f>
        <v/>
      </c>
    </row>
    <row r="2327">
      <c r="O2327">
        <f>IF(AND(ISNUMBER('자료_미국심리'!$A2311),ISNUMBER('자료_미국심리'!$B2311)),'자료_미국심리'!$A2311,"")</f>
        <v/>
      </c>
      <c r="P2327">
        <f>IF(AND(ISNUMBER('자료_미국심리'!$D2311),ISNUMBER('자료_미국심리'!$E2311)),'자료_미국심리'!$D2311,"")</f>
        <v/>
      </c>
      <c r="Q2327">
        <f>IF(AND(ISNUMBER('자료_미국심리'!$G2311),ISNUMBER('자료_미국심리'!$H2311)),'자료_미국심리'!$G2311,"")</f>
        <v/>
      </c>
    </row>
    <row r="2328">
      <c r="O2328">
        <f>IF(AND(ISNUMBER('자료_미국심리'!$A2312),ISNUMBER('자료_미국심리'!$B2312)),'자료_미국심리'!$A2312,"")</f>
        <v/>
      </c>
      <c r="P2328">
        <f>IF(AND(ISNUMBER('자료_미국심리'!$D2312),ISNUMBER('자료_미국심리'!$E2312)),'자료_미국심리'!$D2312,"")</f>
        <v/>
      </c>
      <c r="Q2328">
        <f>IF(AND(ISNUMBER('자료_미국심리'!$G2312),ISNUMBER('자료_미국심리'!$H2312)),'자료_미국심리'!$G2312,"")</f>
        <v/>
      </c>
    </row>
    <row r="2329">
      <c r="O2329">
        <f>IF(AND(ISNUMBER('자료_미국심리'!$A2313),ISNUMBER('자료_미국심리'!$B2313)),'자료_미국심리'!$A2313,"")</f>
        <v/>
      </c>
      <c r="P2329">
        <f>IF(AND(ISNUMBER('자료_미국심리'!$D2313),ISNUMBER('자료_미국심리'!$E2313)),'자료_미국심리'!$D2313,"")</f>
        <v/>
      </c>
      <c r="Q2329">
        <f>IF(AND(ISNUMBER('자료_미국심리'!$G2313),ISNUMBER('자료_미국심리'!$H2313)),'자료_미국심리'!$G2313,"")</f>
        <v/>
      </c>
    </row>
    <row r="2330">
      <c r="O2330">
        <f>IF(AND(ISNUMBER('자료_미국심리'!$A2314),ISNUMBER('자료_미국심리'!$B2314)),'자료_미국심리'!$A2314,"")</f>
        <v/>
      </c>
      <c r="P2330">
        <f>IF(AND(ISNUMBER('자료_미국심리'!$D2314),ISNUMBER('자료_미국심리'!$E2314)),'자료_미국심리'!$D2314,"")</f>
        <v/>
      </c>
      <c r="Q2330">
        <f>IF(AND(ISNUMBER('자료_미국심리'!$G2314),ISNUMBER('자료_미국심리'!$H2314)),'자료_미국심리'!$G2314,"")</f>
        <v/>
      </c>
    </row>
    <row r="2331">
      <c r="O2331">
        <f>IF(AND(ISNUMBER('자료_미국심리'!$A2315),ISNUMBER('자료_미국심리'!$B2315)),'자료_미국심리'!$A2315,"")</f>
        <v/>
      </c>
      <c r="P2331">
        <f>IF(AND(ISNUMBER('자료_미국심리'!$D2315),ISNUMBER('자료_미국심리'!$E2315)),'자료_미국심리'!$D2315,"")</f>
        <v/>
      </c>
      <c r="Q2331">
        <f>IF(AND(ISNUMBER('자료_미국심리'!$G2315),ISNUMBER('자료_미국심리'!$H2315)),'자료_미국심리'!$G2315,"")</f>
        <v/>
      </c>
    </row>
    <row r="2332">
      <c r="O2332">
        <f>IF(AND(ISNUMBER('자료_미국심리'!$A2316),ISNUMBER('자료_미국심리'!$B2316)),'자료_미국심리'!$A2316,"")</f>
        <v/>
      </c>
      <c r="P2332">
        <f>IF(AND(ISNUMBER('자료_미국심리'!$D2316),ISNUMBER('자료_미국심리'!$E2316)),'자료_미국심리'!$D2316,"")</f>
        <v/>
      </c>
      <c r="Q2332">
        <f>IF(AND(ISNUMBER('자료_미국심리'!$G2316),ISNUMBER('자료_미국심리'!$H2316)),'자료_미국심리'!$G2316,"")</f>
        <v/>
      </c>
    </row>
    <row r="2333">
      <c r="O2333">
        <f>IF(AND(ISNUMBER('자료_미국심리'!$A2317),ISNUMBER('자료_미국심리'!$B2317)),'자료_미국심리'!$A2317,"")</f>
        <v/>
      </c>
      <c r="P2333">
        <f>IF(AND(ISNUMBER('자료_미국심리'!$D2317),ISNUMBER('자료_미국심리'!$E2317)),'자료_미국심리'!$D2317,"")</f>
        <v/>
      </c>
      <c r="Q2333">
        <f>IF(AND(ISNUMBER('자료_미국심리'!$G2317),ISNUMBER('자료_미국심리'!$H2317)),'자료_미국심리'!$G2317,"")</f>
        <v/>
      </c>
    </row>
    <row r="2334">
      <c r="O2334">
        <f>IF(AND(ISNUMBER('자료_미국심리'!$A2318),ISNUMBER('자료_미국심리'!$B2318)),'자료_미국심리'!$A2318,"")</f>
        <v/>
      </c>
      <c r="P2334">
        <f>IF(AND(ISNUMBER('자료_미국심리'!$D2318),ISNUMBER('자료_미국심리'!$E2318)),'자료_미국심리'!$D2318,"")</f>
        <v/>
      </c>
      <c r="Q2334">
        <f>IF(AND(ISNUMBER('자료_미국심리'!$G2318),ISNUMBER('자료_미국심리'!$H2318)),'자료_미국심리'!$G2318,"")</f>
        <v/>
      </c>
    </row>
    <row r="2335">
      <c r="O2335">
        <f>IF(AND(ISNUMBER('자료_미국심리'!$A2319),ISNUMBER('자료_미국심리'!$B2319)),'자료_미국심리'!$A2319,"")</f>
        <v/>
      </c>
      <c r="P2335">
        <f>IF(AND(ISNUMBER('자료_미국심리'!$D2319),ISNUMBER('자료_미국심리'!$E2319)),'자료_미국심리'!$D2319,"")</f>
        <v/>
      </c>
      <c r="Q2335">
        <f>IF(AND(ISNUMBER('자료_미국심리'!$G2319),ISNUMBER('자료_미국심리'!$H2319)),'자료_미국심리'!$G2319,"")</f>
        <v/>
      </c>
    </row>
    <row r="2336">
      <c r="O2336">
        <f>IF(AND(ISNUMBER('자료_미국심리'!$A2320),ISNUMBER('자료_미국심리'!$B2320)),'자료_미국심리'!$A2320,"")</f>
        <v/>
      </c>
      <c r="P2336">
        <f>IF(AND(ISNUMBER('자료_미국심리'!$D2320),ISNUMBER('자료_미국심리'!$E2320)),'자료_미국심리'!$D2320,"")</f>
        <v/>
      </c>
      <c r="Q2336">
        <f>IF(AND(ISNUMBER('자료_미국심리'!$G2320),ISNUMBER('자료_미국심리'!$H2320)),'자료_미국심리'!$G2320,"")</f>
        <v/>
      </c>
    </row>
    <row r="2337">
      <c r="O2337">
        <f>IF(AND(ISNUMBER('자료_미국심리'!$A2321),ISNUMBER('자료_미국심리'!$B2321)),'자료_미국심리'!$A2321,"")</f>
        <v/>
      </c>
      <c r="P2337">
        <f>IF(AND(ISNUMBER('자료_미국심리'!$D2321),ISNUMBER('자료_미국심리'!$E2321)),'자료_미국심리'!$D2321,"")</f>
        <v/>
      </c>
      <c r="Q2337">
        <f>IF(AND(ISNUMBER('자료_미국심리'!$G2321),ISNUMBER('자료_미국심리'!$H2321)),'자료_미국심리'!$G2321,"")</f>
        <v/>
      </c>
    </row>
    <row r="2338">
      <c r="O2338">
        <f>IF(AND(ISNUMBER('자료_미국심리'!$A2322),ISNUMBER('자료_미국심리'!$B2322)),'자료_미국심리'!$A2322,"")</f>
        <v/>
      </c>
      <c r="P2338">
        <f>IF(AND(ISNUMBER('자료_미국심리'!$D2322),ISNUMBER('자료_미국심리'!$E2322)),'자료_미국심리'!$D2322,"")</f>
        <v/>
      </c>
      <c r="Q2338">
        <f>IF(AND(ISNUMBER('자료_미국심리'!$G2322),ISNUMBER('자료_미국심리'!$H2322)),'자료_미국심리'!$G2322,"")</f>
        <v/>
      </c>
    </row>
    <row r="2339">
      <c r="O2339">
        <f>IF(AND(ISNUMBER('자료_미국심리'!$A2323),ISNUMBER('자료_미국심리'!$B2323)),'자료_미국심리'!$A2323,"")</f>
        <v/>
      </c>
      <c r="P2339">
        <f>IF(AND(ISNUMBER('자료_미국심리'!$D2323),ISNUMBER('자료_미국심리'!$E2323)),'자료_미국심리'!$D2323,"")</f>
        <v/>
      </c>
      <c r="Q2339">
        <f>IF(AND(ISNUMBER('자료_미국심리'!$G2323),ISNUMBER('자료_미국심리'!$H2323)),'자료_미국심리'!$G2323,"")</f>
        <v/>
      </c>
    </row>
    <row r="2340">
      <c r="O2340">
        <f>IF(AND(ISNUMBER('자료_미국심리'!$A2324),ISNUMBER('자료_미국심리'!$B2324)),'자료_미국심리'!$A2324,"")</f>
        <v/>
      </c>
      <c r="P2340">
        <f>IF(AND(ISNUMBER('자료_미국심리'!$D2324),ISNUMBER('자료_미국심리'!$E2324)),'자료_미국심리'!$D2324,"")</f>
        <v/>
      </c>
      <c r="Q2340">
        <f>IF(AND(ISNUMBER('자료_미국심리'!$G2324),ISNUMBER('자료_미국심리'!$H2324)),'자료_미국심리'!$G2324,"")</f>
        <v/>
      </c>
    </row>
    <row r="2341">
      <c r="O2341">
        <f>IF(AND(ISNUMBER('자료_미국심리'!$A2325),ISNUMBER('자료_미국심리'!$B2325)),'자료_미국심리'!$A2325,"")</f>
        <v/>
      </c>
      <c r="P2341">
        <f>IF(AND(ISNUMBER('자료_미국심리'!$D2325),ISNUMBER('자료_미국심리'!$E2325)),'자료_미국심리'!$D2325,"")</f>
        <v/>
      </c>
      <c r="Q2341">
        <f>IF(AND(ISNUMBER('자료_미국심리'!$G2325),ISNUMBER('자료_미국심리'!$H2325)),'자료_미국심리'!$G2325,"")</f>
        <v/>
      </c>
    </row>
    <row r="2342">
      <c r="O2342">
        <f>IF(AND(ISNUMBER('자료_미국심리'!$A2326),ISNUMBER('자료_미국심리'!$B2326)),'자료_미국심리'!$A2326,"")</f>
        <v/>
      </c>
      <c r="P2342">
        <f>IF(AND(ISNUMBER('자료_미국심리'!$D2326),ISNUMBER('자료_미국심리'!$E2326)),'자료_미국심리'!$D2326,"")</f>
        <v/>
      </c>
      <c r="Q2342">
        <f>IF(AND(ISNUMBER('자료_미국심리'!$G2326),ISNUMBER('자료_미국심리'!$H2326)),'자료_미국심리'!$G2326,"")</f>
        <v/>
      </c>
    </row>
    <row r="2343">
      <c r="O2343">
        <f>IF(AND(ISNUMBER('자료_미국심리'!$A2327),ISNUMBER('자료_미국심리'!$B2327)),'자료_미국심리'!$A2327,"")</f>
        <v/>
      </c>
      <c r="P2343">
        <f>IF(AND(ISNUMBER('자료_미국심리'!$D2327),ISNUMBER('자료_미국심리'!$E2327)),'자료_미국심리'!$D2327,"")</f>
        <v/>
      </c>
      <c r="Q2343">
        <f>IF(AND(ISNUMBER('자료_미국심리'!$G2327),ISNUMBER('자료_미국심리'!$H2327)),'자료_미국심리'!$G2327,"")</f>
        <v/>
      </c>
    </row>
    <row r="2344">
      <c r="O2344">
        <f>IF(AND(ISNUMBER('자료_미국심리'!$A2328),ISNUMBER('자료_미국심리'!$B2328)),'자료_미국심리'!$A2328,"")</f>
        <v/>
      </c>
      <c r="P2344">
        <f>IF(AND(ISNUMBER('자료_미국심리'!$D2328),ISNUMBER('자료_미국심리'!$E2328)),'자료_미국심리'!$D2328,"")</f>
        <v/>
      </c>
      <c r="Q2344">
        <f>IF(AND(ISNUMBER('자료_미국심리'!$G2328),ISNUMBER('자료_미국심리'!$H2328)),'자료_미국심리'!$G2328,"")</f>
        <v/>
      </c>
    </row>
    <row r="2345">
      <c r="O2345">
        <f>IF(AND(ISNUMBER('자료_미국심리'!$A2329),ISNUMBER('자료_미국심리'!$B2329)),'자료_미국심리'!$A2329,"")</f>
        <v/>
      </c>
      <c r="P2345">
        <f>IF(AND(ISNUMBER('자료_미국심리'!$D2329),ISNUMBER('자료_미국심리'!$E2329)),'자료_미국심리'!$D2329,"")</f>
        <v/>
      </c>
      <c r="Q2345">
        <f>IF(AND(ISNUMBER('자료_미국심리'!$G2329),ISNUMBER('자료_미국심리'!$H2329)),'자료_미국심리'!$G2329,"")</f>
        <v/>
      </c>
    </row>
    <row r="2346">
      <c r="O2346">
        <f>IF(AND(ISNUMBER('자료_미국심리'!$A2330),ISNUMBER('자료_미국심리'!$B2330)),'자료_미국심리'!$A2330,"")</f>
        <v/>
      </c>
      <c r="P2346">
        <f>IF(AND(ISNUMBER('자료_미국심리'!$D2330),ISNUMBER('자료_미국심리'!$E2330)),'자료_미국심리'!$D2330,"")</f>
        <v/>
      </c>
      <c r="Q2346">
        <f>IF(AND(ISNUMBER('자료_미국심리'!$G2330),ISNUMBER('자료_미국심리'!$H2330)),'자료_미국심리'!$G2330,"")</f>
        <v/>
      </c>
    </row>
    <row r="2347">
      <c r="O2347">
        <f>IF(AND(ISNUMBER('자료_미국심리'!$A2331),ISNUMBER('자료_미국심리'!$B2331)),'자료_미국심리'!$A2331,"")</f>
        <v/>
      </c>
      <c r="P2347">
        <f>IF(AND(ISNUMBER('자료_미국심리'!$D2331),ISNUMBER('자료_미국심리'!$E2331)),'자료_미국심리'!$D2331,"")</f>
        <v/>
      </c>
      <c r="Q2347">
        <f>IF(AND(ISNUMBER('자료_미국심리'!$G2331),ISNUMBER('자료_미국심리'!$H2331)),'자료_미국심리'!$G2331,"")</f>
        <v/>
      </c>
    </row>
    <row r="2348">
      <c r="O2348">
        <f>IF(AND(ISNUMBER('자료_미국심리'!$A2332),ISNUMBER('자료_미국심리'!$B2332)),'자료_미국심리'!$A2332,"")</f>
        <v/>
      </c>
      <c r="P2348">
        <f>IF(AND(ISNUMBER('자료_미국심리'!$D2332),ISNUMBER('자료_미국심리'!$E2332)),'자료_미국심리'!$D2332,"")</f>
        <v/>
      </c>
      <c r="Q2348">
        <f>IF(AND(ISNUMBER('자료_미국심리'!$G2332),ISNUMBER('자료_미국심리'!$H2332)),'자료_미국심리'!$G2332,"")</f>
        <v/>
      </c>
    </row>
    <row r="2349">
      <c r="O2349">
        <f>IF(AND(ISNUMBER('자료_미국심리'!$A2333),ISNUMBER('자료_미국심리'!$B2333)),'자료_미국심리'!$A2333,"")</f>
        <v/>
      </c>
      <c r="P2349">
        <f>IF(AND(ISNUMBER('자료_미국심리'!$D2333),ISNUMBER('자료_미국심리'!$E2333)),'자료_미국심리'!$D2333,"")</f>
        <v/>
      </c>
      <c r="Q2349">
        <f>IF(AND(ISNUMBER('자료_미국심리'!$G2333),ISNUMBER('자료_미국심리'!$H2333)),'자료_미국심리'!$G2333,"")</f>
        <v/>
      </c>
    </row>
    <row r="2350">
      <c r="O2350">
        <f>IF(AND(ISNUMBER('자료_미국심리'!$A2334),ISNUMBER('자료_미국심리'!$B2334)),'자료_미국심리'!$A2334,"")</f>
        <v/>
      </c>
      <c r="P2350">
        <f>IF(AND(ISNUMBER('자료_미국심리'!$D2334),ISNUMBER('자료_미국심리'!$E2334)),'자료_미국심리'!$D2334,"")</f>
        <v/>
      </c>
      <c r="Q2350">
        <f>IF(AND(ISNUMBER('자료_미국심리'!$G2334),ISNUMBER('자료_미국심리'!$H2334)),'자료_미국심리'!$G2334,"")</f>
        <v/>
      </c>
    </row>
    <row r="2351">
      <c r="O2351">
        <f>IF(AND(ISNUMBER('자료_미국심리'!$A2335),ISNUMBER('자료_미국심리'!$B2335)),'자료_미국심리'!$A2335,"")</f>
        <v/>
      </c>
      <c r="P2351">
        <f>IF(AND(ISNUMBER('자료_미국심리'!$D2335),ISNUMBER('자료_미국심리'!$E2335)),'자료_미국심리'!$D2335,"")</f>
        <v/>
      </c>
      <c r="Q2351">
        <f>IF(AND(ISNUMBER('자료_미국심리'!$G2335),ISNUMBER('자료_미국심리'!$H2335)),'자료_미국심리'!$G2335,"")</f>
        <v/>
      </c>
    </row>
    <row r="2352">
      <c r="O2352">
        <f>IF(AND(ISNUMBER('자료_미국심리'!$A2336),ISNUMBER('자료_미국심리'!$B2336)),'자료_미국심리'!$A2336,"")</f>
        <v/>
      </c>
      <c r="P2352">
        <f>IF(AND(ISNUMBER('자료_미국심리'!$D2336),ISNUMBER('자료_미국심리'!$E2336)),'자료_미국심리'!$D2336,"")</f>
        <v/>
      </c>
      <c r="Q2352">
        <f>IF(AND(ISNUMBER('자료_미국심리'!$G2336),ISNUMBER('자료_미국심리'!$H2336)),'자료_미국심리'!$G2336,"")</f>
        <v/>
      </c>
    </row>
    <row r="2353">
      <c r="O2353">
        <f>IF(AND(ISNUMBER('자료_미국심리'!$A2337),ISNUMBER('자료_미국심리'!$B2337)),'자료_미국심리'!$A2337,"")</f>
        <v/>
      </c>
      <c r="P2353">
        <f>IF(AND(ISNUMBER('자료_미국심리'!$D2337),ISNUMBER('자료_미국심리'!$E2337)),'자료_미국심리'!$D2337,"")</f>
        <v/>
      </c>
      <c r="Q2353">
        <f>IF(AND(ISNUMBER('자료_미국심리'!$G2337),ISNUMBER('자료_미국심리'!$H2337)),'자료_미국심리'!$G2337,"")</f>
        <v/>
      </c>
    </row>
    <row r="2354">
      <c r="O2354">
        <f>IF(AND(ISNUMBER('자료_미국심리'!$A2338),ISNUMBER('자료_미국심리'!$B2338)),'자료_미국심리'!$A2338,"")</f>
        <v/>
      </c>
      <c r="P2354">
        <f>IF(AND(ISNUMBER('자료_미국심리'!$D2338),ISNUMBER('자료_미국심리'!$E2338)),'자료_미국심리'!$D2338,"")</f>
        <v/>
      </c>
      <c r="Q2354">
        <f>IF(AND(ISNUMBER('자료_미국심리'!$G2338),ISNUMBER('자료_미국심리'!$H2338)),'자료_미국심리'!$G2338,"")</f>
        <v/>
      </c>
    </row>
    <row r="2355">
      <c r="O2355">
        <f>IF(AND(ISNUMBER('자료_미국심리'!$A2339),ISNUMBER('자료_미국심리'!$B2339)),'자료_미국심리'!$A2339,"")</f>
        <v/>
      </c>
      <c r="P2355">
        <f>IF(AND(ISNUMBER('자료_미국심리'!$D2339),ISNUMBER('자료_미국심리'!$E2339)),'자료_미국심리'!$D2339,"")</f>
        <v/>
      </c>
      <c r="Q2355">
        <f>IF(AND(ISNUMBER('자료_미국심리'!$G2339),ISNUMBER('자료_미국심리'!$H2339)),'자료_미국심리'!$G2339,"")</f>
        <v/>
      </c>
    </row>
    <row r="2356">
      <c r="O2356">
        <f>IF(AND(ISNUMBER('자료_미국심리'!$A2340),ISNUMBER('자료_미국심리'!$B2340)),'자료_미국심리'!$A2340,"")</f>
        <v/>
      </c>
      <c r="P2356">
        <f>IF(AND(ISNUMBER('자료_미국심리'!$D2340),ISNUMBER('자료_미국심리'!$E2340)),'자료_미국심리'!$D2340,"")</f>
        <v/>
      </c>
      <c r="Q2356">
        <f>IF(AND(ISNUMBER('자료_미국심리'!$G2340),ISNUMBER('자료_미국심리'!$H2340)),'자료_미국심리'!$G2340,"")</f>
        <v/>
      </c>
    </row>
    <row r="2357">
      <c r="O2357">
        <f>IF(AND(ISNUMBER('자료_미국심리'!$A2341),ISNUMBER('자료_미국심리'!$B2341)),'자료_미국심리'!$A2341,"")</f>
        <v/>
      </c>
      <c r="P2357">
        <f>IF(AND(ISNUMBER('자료_미국심리'!$D2341),ISNUMBER('자료_미국심리'!$E2341)),'자료_미국심리'!$D2341,"")</f>
        <v/>
      </c>
      <c r="Q2357">
        <f>IF(AND(ISNUMBER('자료_미국심리'!$G2341),ISNUMBER('자료_미국심리'!$H2341)),'자료_미국심리'!$G2341,"")</f>
        <v/>
      </c>
    </row>
    <row r="2358">
      <c r="O2358">
        <f>IF(AND(ISNUMBER('자료_미국심리'!$A2342),ISNUMBER('자료_미국심리'!$B2342)),'자료_미국심리'!$A2342,"")</f>
        <v/>
      </c>
      <c r="P2358">
        <f>IF(AND(ISNUMBER('자료_미국심리'!$D2342),ISNUMBER('자료_미국심리'!$E2342)),'자료_미국심리'!$D2342,"")</f>
        <v/>
      </c>
      <c r="Q2358">
        <f>IF(AND(ISNUMBER('자료_미국심리'!$G2342),ISNUMBER('자료_미국심리'!$H2342)),'자료_미국심리'!$G2342,"")</f>
        <v/>
      </c>
    </row>
    <row r="2359">
      <c r="O2359">
        <f>IF(AND(ISNUMBER('자료_미국심리'!$A2343),ISNUMBER('자료_미국심리'!$B2343)),'자료_미국심리'!$A2343,"")</f>
        <v/>
      </c>
      <c r="P2359">
        <f>IF(AND(ISNUMBER('자료_미국심리'!$D2343),ISNUMBER('자료_미국심리'!$E2343)),'자료_미국심리'!$D2343,"")</f>
        <v/>
      </c>
      <c r="Q2359">
        <f>IF(AND(ISNUMBER('자료_미국심리'!$G2343),ISNUMBER('자료_미국심리'!$H2343)),'자료_미국심리'!$G2343,"")</f>
        <v/>
      </c>
    </row>
    <row r="2360">
      <c r="O2360">
        <f>IF(AND(ISNUMBER('자료_미국심리'!$A2344),ISNUMBER('자료_미국심리'!$B2344)),'자료_미국심리'!$A2344,"")</f>
        <v/>
      </c>
      <c r="P2360">
        <f>IF(AND(ISNUMBER('자료_미국심리'!$D2344),ISNUMBER('자료_미국심리'!$E2344)),'자료_미국심리'!$D2344,"")</f>
        <v/>
      </c>
      <c r="Q2360">
        <f>IF(AND(ISNUMBER('자료_미국심리'!$G2344),ISNUMBER('자료_미국심리'!$H2344)),'자료_미국심리'!$G2344,"")</f>
        <v/>
      </c>
    </row>
    <row r="2361">
      <c r="O2361">
        <f>IF(AND(ISNUMBER('자료_미국심리'!$A2345),ISNUMBER('자료_미국심리'!$B2345)),'자료_미국심리'!$A2345,"")</f>
        <v/>
      </c>
      <c r="P2361">
        <f>IF(AND(ISNUMBER('자료_미국심리'!$D2345),ISNUMBER('자료_미국심리'!$E2345)),'자료_미국심리'!$D2345,"")</f>
        <v/>
      </c>
      <c r="Q2361">
        <f>IF(AND(ISNUMBER('자료_미국심리'!$G2345),ISNUMBER('자료_미국심리'!$H2345)),'자료_미국심리'!$G2345,"")</f>
        <v/>
      </c>
    </row>
    <row r="2362">
      <c r="O2362">
        <f>IF(AND(ISNUMBER('자료_미국심리'!$A2346),ISNUMBER('자료_미국심리'!$B2346)),'자료_미국심리'!$A2346,"")</f>
        <v/>
      </c>
      <c r="P2362">
        <f>IF(AND(ISNUMBER('자료_미국심리'!$D2346),ISNUMBER('자료_미국심리'!$E2346)),'자료_미국심리'!$D2346,"")</f>
        <v/>
      </c>
      <c r="Q2362">
        <f>IF(AND(ISNUMBER('자료_미국심리'!$G2346),ISNUMBER('자료_미국심리'!$H2346)),'자료_미국심리'!$G2346,"")</f>
        <v/>
      </c>
    </row>
    <row r="2363">
      <c r="O2363">
        <f>IF(AND(ISNUMBER('자료_미국심리'!$A2347),ISNUMBER('자료_미국심리'!$B2347)),'자료_미국심리'!$A2347,"")</f>
        <v/>
      </c>
      <c r="P2363">
        <f>IF(AND(ISNUMBER('자료_미국심리'!$D2347),ISNUMBER('자료_미국심리'!$E2347)),'자료_미국심리'!$D2347,"")</f>
        <v/>
      </c>
      <c r="Q2363">
        <f>IF(AND(ISNUMBER('자료_미국심리'!$G2347),ISNUMBER('자료_미국심리'!$H2347)),'자료_미국심리'!$G2347,"")</f>
        <v/>
      </c>
    </row>
    <row r="2364">
      <c r="O2364">
        <f>IF(AND(ISNUMBER('자료_미국심리'!$A2348),ISNUMBER('자료_미국심리'!$B2348)),'자료_미국심리'!$A2348,"")</f>
        <v/>
      </c>
      <c r="P2364">
        <f>IF(AND(ISNUMBER('자료_미국심리'!$D2348),ISNUMBER('자료_미국심리'!$E2348)),'자료_미국심리'!$D2348,"")</f>
        <v/>
      </c>
      <c r="Q2364">
        <f>IF(AND(ISNUMBER('자료_미국심리'!$G2348),ISNUMBER('자료_미국심리'!$H2348)),'자료_미국심리'!$G2348,"")</f>
        <v/>
      </c>
    </row>
    <row r="2365">
      <c r="O2365">
        <f>IF(AND(ISNUMBER('자료_미국심리'!$A2349),ISNUMBER('자료_미국심리'!$B2349)),'자료_미국심리'!$A2349,"")</f>
        <v/>
      </c>
      <c r="P2365">
        <f>IF(AND(ISNUMBER('자료_미국심리'!$D2349),ISNUMBER('자료_미국심리'!$E2349)),'자료_미국심리'!$D2349,"")</f>
        <v/>
      </c>
      <c r="Q2365">
        <f>IF(AND(ISNUMBER('자료_미국심리'!$G2349),ISNUMBER('자료_미국심리'!$H2349)),'자료_미국심리'!$G2349,"")</f>
        <v/>
      </c>
    </row>
    <row r="2366">
      <c r="O2366">
        <f>IF(AND(ISNUMBER('자료_미국심리'!$A2350),ISNUMBER('자료_미국심리'!$B2350)),'자료_미국심리'!$A2350,"")</f>
        <v/>
      </c>
      <c r="P2366">
        <f>IF(AND(ISNUMBER('자료_미국심리'!$D2350),ISNUMBER('자료_미국심리'!$E2350)),'자료_미국심리'!$D2350,"")</f>
        <v/>
      </c>
      <c r="Q2366">
        <f>IF(AND(ISNUMBER('자료_미국심리'!$G2350),ISNUMBER('자료_미국심리'!$H2350)),'자료_미국심리'!$G2350,"")</f>
        <v/>
      </c>
    </row>
    <row r="2367">
      <c r="O2367">
        <f>IF(AND(ISNUMBER('자료_미국심리'!$A2351),ISNUMBER('자료_미국심리'!$B2351)),'자료_미국심리'!$A2351,"")</f>
        <v/>
      </c>
      <c r="P2367">
        <f>IF(AND(ISNUMBER('자료_미국심리'!$D2351),ISNUMBER('자료_미국심리'!$E2351)),'자료_미국심리'!$D2351,"")</f>
        <v/>
      </c>
      <c r="Q2367">
        <f>IF(AND(ISNUMBER('자료_미국심리'!$G2351),ISNUMBER('자료_미국심리'!$H2351)),'자료_미국심리'!$G2351,"")</f>
        <v/>
      </c>
    </row>
    <row r="2368">
      <c r="O2368">
        <f>IF(AND(ISNUMBER('자료_미국심리'!$A2352),ISNUMBER('자료_미국심리'!$B2352)),'자료_미국심리'!$A2352,"")</f>
        <v/>
      </c>
      <c r="P2368">
        <f>IF(AND(ISNUMBER('자료_미국심리'!$D2352),ISNUMBER('자료_미국심리'!$E2352)),'자료_미국심리'!$D2352,"")</f>
        <v/>
      </c>
      <c r="Q2368">
        <f>IF(AND(ISNUMBER('자료_미국심리'!$G2352),ISNUMBER('자료_미국심리'!$H2352)),'자료_미국심리'!$G2352,"")</f>
        <v/>
      </c>
    </row>
    <row r="2369">
      <c r="O2369">
        <f>IF(AND(ISNUMBER('자료_미국심리'!$A2353),ISNUMBER('자료_미국심리'!$B2353)),'자료_미국심리'!$A2353,"")</f>
        <v/>
      </c>
      <c r="P2369">
        <f>IF(AND(ISNUMBER('자료_미국심리'!$D2353),ISNUMBER('자료_미국심리'!$E2353)),'자료_미국심리'!$D2353,"")</f>
        <v/>
      </c>
      <c r="Q2369">
        <f>IF(AND(ISNUMBER('자료_미국심리'!$G2353),ISNUMBER('자료_미국심리'!$H2353)),'자료_미국심리'!$G2353,"")</f>
        <v/>
      </c>
    </row>
    <row r="2370">
      <c r="O2370">
        <f>IF(AND(ISNUMBER('자료_미국심리'!$A2354),ISNUMBER('자료_미국심리'!$B2354)),'자료_미국심리'!$A2354,"")</f>
        <v/>
      </c>
      <c r="P2370">
        <f>IF(AND(ISNUMBER('자료_미국심리'!$D2354),ISNUMBER('자료_미국심리'!$E2354)),'자료_미국심리'!$D2354,"")</f>
        <v/>
      </c>
      <c r="Q2370">
        <f>IF(AND(ISNUMBER('자료_미국심리'!$G2354),ISNUMBER('자료_미국심리'!$H2354)),'자료_미국심리'!$G2354,"")</f>
        <v/>
      </c>
    </row>
    <row r="2371">
      <c r="O2371">
        <f>IF(AND(ISNUMBER('자료_미국심리'!$A2355),ISNUMBER('자료_미국심리'!$B2355)),'자료_미국심리'!$A2355,"")</f>
        <v/>
      </c>
      <c r="P2371">
        <f>IF(AND(ISNUMBER('자료_미국심리'!$D2355),ISNUMBER('자료_미국심리'!$E2355)),'자료_미국심리'!$D2355,"")</f>
        <v/>
      </c>
      <c r="Q2371">
        <f>IF(AND(ISNUMBER('자료_미국심리'!$G2355),ISNUMBER('자료_미국심리'!$H2355)),'자료_미국심리'!$G2355,"")</f>
        <v/>
      </c>
    </row>
    <row r="2372">
      <c r="O2372">
        <f>IF(AND(ISNUMBER('자료_미국심리'!$A2356),ISNUMBER('자료_미국심리'!$B2356)),'자료_미국심리'!$A2356,"")</f>
        <v/>
      </c>
      <c r="P2372">
        <f>IF(AND(ISNUMBER('자료_미국심리'!$D2356),ISNUMBER('자료_미국심리'!$E2356)),'자료_미국심리'!$D2356,"")</f>
        <v/>
      </c>
      <c r="Q2372">
        <f>IF(AND(ISNUMBER('자료_미국심리'!$G2356),ISNUMBER('자료_미국심리'!$H2356)),'자료_미국심리'!$G2356,"")</f>
        <v/>
      </c>
    </row>
    <row r="2373">
      <c r="O2373">
        <f>IF(AND(ISNUMBER('자료_미국심리'!$A2357),ISNUMBER('자료_미국심리'!$B2357)),'자료_미국심리'!$A2357,"")</f>
        <v/>
      </c>
      <c r="P2373">
        <f>IF(AND(ISNUMBER('자료_미국심리'!$D2357),ISNUMBER('자료_미국심리'!$E2357)),'자료_미국심리'!$D2357,"")</f>
        <v/>
      </c>
      <c r="Q2373">
        <f>IF(AND(ISNUMBER('자료_미국심리'!$G2357),ISNUMBER('자료_미국심리'!$H2357)),'자료_미국심리'!$G2357,"")</f>
        <v/>
      </c>
    </row>
    <row r="2374">
      <c r="O2374">
        <f>IF(AND(ISNUMBER('자료_미국심리'!$A2358),ISNUMBER('자료_미국심리'!$B2358)),'자료_미국심리'!$A2358,"")</f>
        <v/>
      </c>
      <c r="P2374">
        <f>IF(AND(ISNUMBER('자료_미국심리'!$D2358),ISNUMBER('자료_미국심리'!$E2358)),'자료_미국심리'!$D2358,"")</f>
        <v/>
      </c>
      <c r="Q2374">
        <f>IF(AND(ISNUMBER('자료_미국심리'!$G2358),ISNUMBER('자료_미국심리'!$H2358)),'자료_미국심리'!$G2358,"")</f>
        <v/>
      </c>
    </row>
    <row r="2375">
      <c r="O2375">
        <f>IF(AND(ISNUMBER('자료_미국심리'!$A2359),ISNUMBER('자료_미국심리'!$B2359)),'자료_미국심리'!$A2359,"")</f>
        <v/>
      </c>
      <c r="P2375">
        <f>IF(AND(ISNUMBER('자료_미국심리'!$D2359),ISNUMBER('자료_미국심리'!$E2359)),'자료_미국심리'!$D2359,"")</f>
        <v/>
      </c>
      <c r="Q2375">
        <f>IF(AND(ISNUMBER('자료_미국심리'!$G2359),ISNUMBER('자료_미국심리'!$H2359)),'자료_미국심리'!$G2359,"")</f>
        <v/>
      </c>
    </row>
    <row r="2376">
      <c r="O2376">
        <f>IF(AND(ISNUMBER('자료_미국심리'!$A2360),ISNUMBER('자료_미국심리'!$B2360)),'자료_미국심리'!$A2360,"")</f>
        <v/>
      </c>
      <c r="P2376">
        <f>IF(AND(ISNUMBER('자료_미국심리'!$D2360),ISNUMBER('자료_미국심리'!$E2360)),'자료_미국심리'!$D2360,"")</f>
        <v/>
      </c>
      <c r="Q2376">
        <f>IF(AND(ISNUMBER('자료_미국심리'!$G2360),ISNUMBER('자료_미국심리'!$H2360)),'자료_미국심리'!$G2360,"")</f>
        <v/>
      </c>
    </row>
    <row r="2377">
      <c r="O2377">
        <f>IF(AND(ISNUMBER('자료_미국심리'!$A2361),ISNUMBER('자료_미국심리'!$B2361)),'자료_미국심리'!$A2361,"")</f>
        <v/>
      </c>
      <c r="P2377">
        <f>IF(AND(ISNUMBER('자료_미국심리'!$D2361),ISNUMBER('자료_미국심리'!$E2361)),'자료_미국심리'!$D2361,"")</f>
        <v/>
      </c>
      <c r="Q2377">
        <f>IF(AND(ISNUMBER('자료_미국심리'!$G2361),ISNUMBER('자료_미국심리'!$H2361)),'자료_미국심리'!$G2361,"")</f>
        <v/>
      </c>
    </row>
    <row r="2378">
      <c r="O2378">
        <f>IF(AND(ISNUMBER('자료_미국심리'!$A2362),ISNUMBER('자료_미국심리'!$B2362)),'자료_미국심리'!$A2362,"")</f>
        <v/>
      </c>
      <c r="P2378">
        <f>IF(AND(ISNUMBER('자료_미국심리'!$D2362),ISNUMBER('자료_미국심리'!$E2362)),'자료_미국심리'!$D2362,"")</f>
        <v/>
      </c>
      <c r="Q2378">
        <f>IF(AND(ISNUMBER('자료_미국심리'!$G2362),ISNUMBER('자료_미국심리'!$H2362)),'자료_미국심리'!$G2362,"")</f>
        <v/>
      </c>
    </row>
    <row r="2379">
      <c r="O2379">
        <f>IF(AND(ISNUMBER('자료_미국심리'!$A2363),ISNUMBER('자료_미국심리'!$B2363)),'자료_미국심리'!$A2363,"")</f>
        <v/>
      </c>
      <c r="P2379">
        <f>IF(AND(ISNUMBER('자료_미국심리'!$D2363),ISNUMBER('자료_미국심리'!$E2363)),'자료_미국심리'!$D2363,"")</f>
        <v/>
      </c>
      <c r="Q2379">
        <f>IF(AND(ISNUMBER('자료_미국심리'!$G2363),ISNUMBER('자료_미국심리'!$H2363)),'자료_미국심리'!$G2363,"")</f>
        <v/>
      </c>
    </row>
    <row r="2380">
      <c r="O2380">
        <f>IF(AND(ISNUMBER('자료_미국심리'!$A2364),ISNUMBER('자료_미국심리'!$B2364)),'자료_미국심리'!$A2364,"")</f>
        <v/>
      </c>
      <c r="P2380">
        <f>IF(AND(ISNUMBER('자료_미국심리'!$D2364),ISNUMBER('자료_미국심리'!$E2364)),'자료_미국심리'!$D2364,"")</f>
        <v/>
      </c>
      <c r="Q2380">
        <f>IF(AND(ISNUMBER('자료_미국심리'!$G2364),ISNUMBER('자료_미국심리'!$H2364)),'자료_미국심리'!$G2364,"")</f>
        <v/>
      </c>
    </row>
    <row r="2381">
      <c r="O2381">
        <f>IF(AND(ISNUMBER('자료_미국심리'!$A2365),ISNUMBER('자료_미국심리'!$B2365)),'자료_미국심리'!$A2365,"")</f>
        <v/>
      </c>
      <c r="P2381">
        <f>IF(AND(ISNUMBER('자료_미국심리'!$D2365),ISNUMBER('자료_미국심리'!$E2365)),'자료_미국심리'!$D2365,"")</f>
        <v/>
      </c>
      <c r="Q2381">
        <f>IF(AND(ISNUMBER('자료_미국심리'!$G2365),ISNUMBER('자료_미국심리'!$H2365)),'자료_미국심리'!$G2365,"")</f>
        <v/>
      </c>
    </row>
    <row r="2382">
      <c r="O2382">
        <f>IF(AND(ISNUMBER('자료_미국심리'!$A2366),ISNUMBER('자료_미국심리'!$B2366)),'자료_미국심리'!$A2366,"")</f>
        <v/>
      </c>
      <c r="P2382">
        <f>IF(AND(ISNUMBER('자료_미국심리'!$D2366),ISNUMBER('자료_미국심리'!$E2366)),'자료_미국심리'!$D2366,"")</f>
        <v/>
      </c>
      <c r="Q2382">
        <f>IF(AND(ISNUMBER('자료_미국심리'!$G2366),ISNUMBER('자료_미국심리'!$H2366)),'자료_미국심리'!$G2366,"")</f>
        <v/>
      </c>
    </row>
    <row r="2383">
      <c r="O2383">
        <f>IF(AND(ISNUMBER('자료_미국심리'!$A2367),ISNUMBER('자료_미국심리'!$B2367)),'자료_미국심리'!$A2367,"")</f>
        <v/>
      </c>
      <c r="P2383">
        <f>IF(AND(ISNUMBER('자료_미국심리'!$D2367),ISNUMBER('자료_미국심리'!$E2367)),'자료_미국심리'!$D2367,"")</f>
        <v/>
      </c>
      <c r="Q2383">
        <f>IF(AND(ISNUMBER('자료_미국심리'!$G2367),ISNUMBER('자료_미국심리'!$H2367)),'자료_미국심리'!$G2367,"")</f>
        <v/>
      </c>
    </row>
    <row r="2384">
      <c r="O2384">
        <f>IF(AND(ISNUMBER('자료_미국심리'!$A2368),ISNUMBER('자료_미국심리'!$B2368)),'자료_미국심리'!$A2368,"")</f>
        <v/>
      </c>
      <c r="P2384">
        <f>IF(AND(ISNUMBER('자료_미국심리'!$D2368),ISNUMBER('자료_미국심리'!$E2368)),'자료_미국심리'!$D2368,"")</f>
        <v/>
      </c>
      <c r="Q2384">
        <f>IF(AND(ISNUMBER('자료_미국심리'!$G2368),ISNUMBER('자료_미국심리'!$H2368)),'자료_미국심리'!$G2368,"")</f>
        <v/>
      </c>
    </row>
    <row r="2385">
      <c r="O2385">
        <f>IF(AND(ISNUMBER('자료_미국심리'!$A2369),ISNUMBER('자료_미국심리'!$B2369)),'자료_미국심리'!$A2369,"")</f>
        <v/>
      </c>
      <c r="P2385">
        <f>IF(AND(ISNUMBER('자료_미국심리'!$D2369),ISNUMBER('자료_미국심리'!$E2369)),'자료_미국심리'!$D2369,"")</f>
        <v/>
      </c>
      <c r="Q2385">
        <f>IF(AND(ISNUMBER('자료_미국심리'!$G2369),ISNUMBER('자료_미국심리'!$H2369)),'자료_미국심리'!$G2369,"")</f>
        <v/>
      </c>
    </row>
    <row r="2386">
      <c r="O2386">
        <f>IF(AND(ISNUMBER('자료_미국심리'!$A2370),ISNUMBER('자료_미국심리'!$B2370)),'자료_미국심리'!$A2370,"")</f>
        <v/>
      </c>
      <c r="P2386">
        <f>IF(AND(ISNUMBER('자료_미국심리'!$D2370),ISNUMBER('자료_미국심리'!$E2370)),'자료_미국심리'!$D2370,"")</f>
        <v/>
      </c>
      <c r="Q2386">
        <f>IF(AND(ISNUMBER('자료_미국심리'!$G2370),ISNUMBER('자료_미국심리'!$H2370)),'자료_미국심리'!$G2370,"")</f>
        <v/>
      </c>
    </row>
    <row r="2387">
      <c r="O2387">
        <f>IF(AND(ISNUMBER('자료_미국심리'!$A2371),ISNUMBER('자료_미국심리'!$B2371)),'자료_미국심리'!$A2371,"")</f>
        <v/>
      </c>
      <c r="P2387">
        <f>IF(AND(ISNUMBER('자료_미국심리'!$D2371),ISNUMBER('자료_미국심리'!$E2371)),'자료_미국심리'!$D2371,"")</f>
        <v/>
      </c>
      <c r="Q2387">
        <f>IF(AND(ISNUMBER('자료_미국심리'!$G2371),ISNUMBER('자료_미국심리'!$H2371)),'자료_미국심리'!$G2371,"")</f>
        <v/>
      </c>
    </row>
    <row r="2388">
      <c r="O2388">
        <f>IF(AND(ISNUMBER('자료_미국심리'!$A2372),ISNUMBER('자료_미국심리'!$B2372)),'자료_미국심리'!$A2372,"")</f>
        <v/>
      </c>
      <c r="P2388">
        <f>IF(AND(ISNUMBER('자료_미국심리'!$D2372),ISNUMBER('자료_미국심리'!$E2372)),'자료_미국심리'!$D2372,"")</f>
        <v/>
      </c>
      <c r="Q2388">
        <f>IF(AND(ISNUMBER('자료_미국심리'!$G2372),ISNUMBER('자료_미국심리'!$H2372)),'자료_미국심리'!$G2372,"")</f>
        <v/>
      </c>
    </row>
    <row r="2389">
      <c r="O2389">
        <f>IF(AND(ISNUMBER('자료_미국심리'!$A2373),ISNUMBER('자료_미국심리'!$B2373)),'자료_미국심리'!$A2373,"")</f>
        <v/>
      </c>
      <c r="P2389">
        <f>IF(AND(ISNUMBER('자료_미국심리'!$D2373),ISNUMBER('자료_미국심리'!$E2373)),'자료_미국심리'!$D2373,"")</f>
        <v/>
      </c>
      <c r="Q2389">
        <f>IF(AND(ISNUMBER('자료_미국심리'!$G2373),ISNUMBER('자료_미국심리'!$H2373)),'자료_미국심리'!$G2373,"")</f>
        <v/>
      </c>
    </row>
    <row r="2390">
      <c r="O2390">
        <f>IF(AND(ISNUMBER('자료_미국심리'!$A2374),ISNUMBER('자료_미국심리'!$B2374)),'자료_미국심리'!$A2374,"")</f>
        <v/>
      </c>
      <c r="P2390">
        <f>IF(AND(ISNUMBER('자료_미국심리'!$D2374),ISNUMBER('자료_미국심리'!$E2374)),'자료_미국심리'!$D2374,"")</f>
        <v/>
      </c>
      <c r="Q2390">
        <f>IF(AND(ISNUMBER('자료_미국심리'!$G2374),ISNUMBER('자료_미국심리'!$H2374)),'자료_미국심리'!$G2374,"")</f>
        <v/>
      </c>
    </row>
    <row r="2391">
      <c r="O2391">
        <f>IF(AND(ISNUMBER('자료_미국심리'!$A2375),ISNUMBER('자료_미국심리'!$B2375)),'자료_미국심리'!$A2375,"")</f>
        <v/>
      </c>
      <c r="P2391">
        <f>IF(AND(ISNUMBER('자료_미국심리'!$D2375),ISNUMBER('자료_미국심리'!$E2375)),'자료_미국심리'!$D2375,"")</f>
        <v/>
      </c>
      <c r="Q2391">
        <f>IF(AND(ISNUMBER('자료_미국심리'!$G2375),ISNUMBER('자료_미국심리'!$H2375)),'자료_미국심리'!$G2375,"")</f>
        <v/>
      </c>
    </row>
    <row r="2392">
      <c r="O2392">
        <f>IF(AND(ISNUMBER('자료_미국심리'!$A2376),ISNUMBER('자료_미국심리'!$B2376)),'자료_미국심리'!$A2376,"")</f>
        <v/>
      </c>
      <c r="P2392">
        <f>IF(AND(ISNUMBER('자료_미국심리'!$D2376),ISNUMBER('자료_미국심리'!$E2376)),'자료_미국심리'!$D2376,"")</f>
        <v/>
      </c>
      <c r="Q2392">
        <f>IF(AND(ISNUMBER('자료_미국심리'!$G2376),ISNUMBER('자료_미국심리'!$H2376)),'자료_미국심리'!$G2376,"")</f>
        <v/>
      </c>
    </row>
    <row r="2393">
      <c r="O2393">
        <f>IF(AND(ISNUMBER('자료_미국심리'!$A2377),ISNUMBER('자료_미국심리'!$B2377)),'자료_미국심리'!$A2377,"")</f>
        <v/>
      </c>
      <c r="P2393">
        <f>IF(AND(ISNUMBER('자료_미국심리'!$D2377),ISNUMBER('자료_미국심리'!$E2377)),'자료_미국심리'!$D2377,"")</f>
        <v/>
      </c>
      <c r="Q2393">
        <f>IF(AND(ISNUMBER('자료_미국심리'!$G2377),ISNUMBER('자료_미국심리'!$H2377)),'자료_미국심리'!$G2377,"")</f>
        <v/>
      </c>
    </row>
    <row r="2394">
      <c r="O2394">
        <f>IF(AND(ISNUMBER('자료_미국심리'!$A2378),ISNUMBER('자료_미국심리'!$B2378)),'자료_미국심리'!$A2378,"")</f>
        <v/>
      </c>
      <c r="P2394">
        <f>IF(AND(ISNUMBER('자료_미국심리'!$D2378),ISNUMBER('자료_미국심리'!$E2378)),'자료_미국심리'!$D2378,"")</f>
        <v/>
      </c>
      <c r="Q2394">
        <f>IF(AND(ISNUMBER('자료_미국심리'!$G2378),ISNUMBER('자료_미국심리'!$H2378)),'자료_미국심리'!$G2378,"")</f>
        <v/>
      </c>
    </row>
    <row r="2395">
      <c r="O2395">
        <f>IF(AND(ISNUMBER('자료_미국심리'!$A2379),ISNUMBER('자료_미국심리'!$B2379)),'자료_미국심리'!$A2379,"")</f>
        <v/>
      </c>
      <c r="P2395">
        <f>IF(AND(ISNUMBER('자료_미국심리'!$D2379),ISNUMBER('자료_미국심리'!$E2379)),'자료_미국심리'!$D2379,"")</f>
        <v/>
      </c>
      <c r="Q2395">
        <f>IF(AND(ISNUMBER('자료_미국심리'!$G2379),ISNUMBER('자료_미국심리'!$H2379)),'자료_미국심리'!$G2379,"")</f>
        <v/>
      </c>
    </row>
    <row r="2396">
      <c r="O2396">
        <f>IF(AND(ISNUMBER('자료_미국심리'!$A2380),ISNUMBER('자료_미국심리'!$B2380)),'자료_미국심리'!$A2380,"")</f>
        <v/>
      </c>
      <c r="P2396">
        <f>IF(AND(ISNUMBER('자료_미국심리'!$D2380),ISNUMBER('자료_미국심리'!$E2380)),'자료_미국심리'!$D2380,"")</f>
        <v/>
      </c>
      <c r="Q2396">
        <f>IF(AND(ISNUMBER('자료_미국심리'!$G2380),ISNUMBER('자료_미국심리'!$H2380)),'자료_미국심리'!$G2380,"")</f>
        <v/>
      </c>
    </row>
    <row r="2397">
      <c r="O2397">
        <f>IF(AND(ISNUMBER('자료_미국심리'!$A2381),ISNUMBER('자료_미국심리'!$B2381)),'자료_미국심리'!$A2381,"")</f>
        <v/>
      </c>
      <c r="P2397">
        <f>IF(AND(ISNUMBER('자료_미국심리'!$D2381),ISNUMBER('자료_미국심리'!$E2381)),'자료_미국심리'!$D2381,"")</f>
        <v/>
      </c>
      <c r="Q2397">
        <f>IF(AND(ISNUMBER('자료_미국심리'!$G2381),ISNUMBER('자료_미국심리'!$H2381)),'자료_미국심리'!$G2381,"")</f>
        <v/>
      </c>
    </row>
    <row r="2398">
      <c r="O2398">
        <f>IF(AND(ISNUMBER('자료_미국심리'!$A2382),ISNUMBER('자료_미국심리'!$B2382)),'자료_미국심리'!$A2382,"")</f>
        <v/>
      </c>
      <c r="P2398">
        <f>IF(AND(ISNUMBER('자료_미국심리'!$D2382),ISNUMBER('자료_미국심리'!$E2382)),'자료_미국심리'!$D2382,"")</f>
        <v/>
      </c>
      <c r="Q2398">
        <f>IF(AND(ISNUMBER('자료_미국심리'!$G2382),ISNUMBER('자료_미국심리'!$H2382)),'자료_미국심리'!$G2382,"")</f>
        <v/>
      </c>
    </row>
    <row r="2399">
      <c r="O2399">
        <f>IF(AND(ISNUMBER('자료_미국심리'!$A2383),ISNUMBER('자료_미국심리'!$B2383)),'자료_미국심리'!$A2383,"")</f>
        <v/>
      </c>
      <c r="P2399">
        <f>IF(AND(ISNUMBER('자료_미국심리'!$D2383),ISNUMBER('자료_미국심리'!$E2383)),'자료_미국심리'!$D2383,"")</f>
        <v/>
      </c>
      <c r="Q2399">
        <f>IF(AND(ISNUMBER('자료_미국심리'!$G2383),ISNUMBER('자료_미국심리'!$H2383)),'자료_미국심리'!$G2383,"")</f>
        <v/>
      </c>
    </row>
    <row r="2400">
      <c r="O2400">
        <f>IF(AND(ISNUMBER('자료_미국심리'!$A2384),ISNUMBER('자료_미국심리'!$B2384)),'자료_미국심리'!$A2384,"")</f>
        <v/>
      </c>
      <c r="P2400">
        <f>IF(AND(ISNUMBER('자료_미국심리'!$D2384),ISNUMBER('자료_미국심리'!$E2384)),'자료_미국심리'!$D2384,"")</f>
        <v/>
      </c>
      <c r="Q2400">
        <f>IF(AND(ISNUMBER('자료_미국심리'!$G2384),ISNUMBER('자료_미국심리'!$H2384)),'자료_미국심리'!$G2384,"")</f>
        <v/>
      </c>
    </row>
    <row r="2401">
      <c r="O2401">
        <f>IF(AND(ISNUMBER('자료_미국심리'!$A2385),ISNUMBER('자료_미국심리'!$B2385)),'자료_미국심리'!$A2385,"")</f>
        <v/>
      </c>
      <c r="P2401">
        <f>IF(AND(ISNUMBER('자료_미국심리'!$D2385),ISNUMBER('자료_미국심리'!$E2385)),'자료_미국심리'!$D2385,"")</f>
        <v/>
      </c>
      <c r="Q2401">
        <f>IF(AND(ISNUMBER('자료_미국심리'!$G2385),ISNUMBER('자료_미국심리'!$H2385)),'자료_미국심리'!$G2385,"")</f>
        <v/>
      </c>
    </row>
    <row r="2402">
      <c r="O2402">
        <f>IF(AND(ISNUMBER('자료_미국심리'!$A2386),ISNUMBER('자료_미국심리'!$B2386)),'자료_미국심리'!$A2386,"")</f>
        <v/>
      </c>
      <c r="P2402">
        <f>IF(AND(ISNUMBER('자료_미국심리'!$D2386),ISNUMBER('자료_미국심리'!$E2386)),'자료_미국심리'!$D2386,"")</f>
        <v/>
      </c>
      <c r="Q2402">
        <f>IF(AND(ISNUMBER('자료_미국심리'!$G2386),ISNUMBER('자료_미국심리'!$H2386)),'자료_미국심리'!$G2386,"")</f>
        <v/>
      </c>
    </row>
    <row r="2403">
      <c r="O2403">
        <f>IF(AND(ISNUMBER('자료_미국심리'!$A2387),ISNUMBER('자료_미국심리'!$B2387)),'자료_미국심리'!$A2387,"")</f>
        <v/>
      </c>
      <c r="P2403">
        <f>IF(AND(ISNUMBER('자료_미국심리'!$D2387),ISNUMBER('자료_미국심리'!$E2387)),'자료_미국심리'!$D2387,"")</f>
        <v/>
      </c>
      <c r="Q2403">
        <f>IF(AND(ISNUMBER('자료_미국심리'!$G2387),ISNUMBER('자료_미국심리'!$H2387)),'자료_미국심리'!$G2387,"")</f>
        <v/>
      </c>
    </row>
    <row r="2404">
      <c r="O2404">
        <f>IF(AND(ISNUMBER('자료_미국심리'!$A2388),ISNUMBER('자료_미국심리'!$B2388)),'자료_미국심리'!$A2388,"")</f>
        <v/>
      </c>
      <c r="P2404">
        <f>IF(AND(ISNUMBER('자료_미국심리'!$D2388),ISNUMBER('자료_미국심리'!$E2388)),'자료_미국심리'!$D2388,"")</f>
        <v/>
      </c>
      <c r="Q2404">
        <f>IF(AND(ISNUMBER('자료_미국심리'!$G2388),ISNUMBER('자료_미국심리'!$H2388)),'자료_미국심리'!$G2388,"")</f>
        <v/>
      </c>
    </row>
    <row r="2405">
      <c r="O2405">
        <f>IF(AND(ISNUMBER('자료_미국심리'!$A2389),ISNUMBER('자료_미국심리'!$B2389)),'자료_미국심리'!$A2389,"")</f>
        <v/>
      </c>
      <c r="P2405">
        <f>IF(AND(ISNUMBER('자료_미국심리'!$D2389),ISNUMBER('자료_미국심리'!$E2389)),'자료_미국심리'!$D2389,"")</f>
        <v/>
      </c>
      <c r="Q2405">
        <f>IF(AND(ISNUMBER('자료_미국심리'!$G2389),ISNUMBER('자료_미국심리'!$H2389)),'자료_미국심리'!$G2389,"")</f>
        <v/>
      </c>
    </row>
    <row r="2406">
      <c r="O2406">
        <f>IF(AND(ISNUMBER('자료_미국심리'!$A2390),ISNUMBER('자료_미국심리'!$B2390)),'자료_미국심리'!$A2390,"")</f>
        <v/>
      </c>
      <c r="P2406">
        <f>IF(AND(ISNUMBER('자료_미국심리'!$D2390),ISNUMBER('자료_미국심리'!$E2390)),'자료_미국심리'!$D2390,"")</f>
        <v/>
      </c>
      <c r="Q2406">
        <f>IF(AND(ISNUMBER('자료_미국심리'!$G2390),ISNUMBER('자료_미국심리'!$H2390)),'자료_미국심리'!$G2390,"")</f>
        <v/>
      </c>
    </row>
    <row r="2407">
      <c r="O2407">
        <f>IF(AND(ISNUMBER('자료_미국심리'!$A2391),ISNUMBER('자료_미국심리'!$B2391)),'자료_미국심리'!$A2391,"")</f>
        <v/>
      </c>
      <c r="P2407">
        <f>IF(AND(ISNUMBER('자료_미국심리'!$D2391),ISNUMBER('자료_미국심리'!$E2391)),'자료_미국심리'!$D2391,"")</f>
        <v/>
      </c>
      <c r="Q2407">
        <f>IF(AND(ISNUMBER('자료_미국심리'!$G2391),ISNUMBER('자료_미국심리'!$H2391)),'자료_미국심리'!$G2391,"")</f>
        <v/>
      </c>
    </row>
    <row r="2408">
      <c r="O2408">
        <f>IF(AND(ISNUMBER('자료_미국심리'!$A2392),ISNUMBER('자료_미국심리'!$B2392)),'자료_미국심리'!$A2392,"")</f>
        <v/>
      </c>
      <c r="P2408">
        <f>IF(AND(ISNUMBER('자료_미국심리'!$D2392),ISNUMBER('자료_미국심리'!$E2392)),'자료_미국심리'!$D2392,"")</f>
        <v/>
      </c>
      <c r="Q2408">
        <f>IF(AND(ISNUMBER('자료_미국심리'!$G2392),ISNUMBER('자료_미국심리'!$H2392)),'자료_미국심리'!$G2392,"")</f>
        <v/>
      </c>
    </row>
    <row r="2409">
      <c r="O2409">
        <f>IF(AND(ISNUMBER('자료_미국심리'!$A2393),ISNUMBER('자료_미국심리'!$B2393)),'자료_미국심리'!$A2393,"")</f>
        <v/>
      </c>
      <c r="P2409">
        <f>IF(AND(ISNUMBER('자료_미국심리'!$D2393),ISNUMBER('자료_미국심리'!$E2393)),'자료_미국심리'!$D2393,"")</f>
        <v/>
      </c>
      <c r="Q2409">
        <f>IF(AND(ISNUMBER('자료_미국심리'!$G2393),ISNUMBER('자료_미국심리'!$H2393)),'자료_미국심리'!$G2393,"")</f>
        <v/>
      </c>
    </row>
    <row r="2410">
      <c r="O2410">
        <f>IF(AND(ISNUMBER('자료_미국심리'!$A2394),ISNUMBER('자료_미국심리'!$B2394)),'자료_미국심리'!$A2394,"")</f>
        <v/>
      </c>
      <c r="P2410">
        <f>IF(AND(ISNUMBER('자료_미국심리'!$D2394),ISNUMBER('자료_미국심리'!$E2394)),'자료_미국심리'!$D2394,"")</f>
        <v/>
      </c>
      <c r="Q2410">
        <f>IF(AND(ISNUMBER('자료_미국심리'!$G2394),ISNUMBER('자료_미국심리'!$H2394)),'자료_미국심리'!$G2394,"")</f>
        <v/>
      </c>
    </row>
    <row r="2411">
      <c r="O2411">
        <f>IF(AND(ISNUMBER('자료_미국심리'!$A2395),ISNUMBER('자료_미국심리'!$B2395)),'자료_미국심리'!$A2395,"")</f>
        <v/>
      </c>
      <c r="P2411">
        <f>IF(AND(ISNUMBER('자료_미국심리'!$D2395),ISNUMBER('자료_미국심리'!$E2395)),'자료_미국심리'!$D2395,"")</f>
        <v/>
      </c>
      <c r="Q2411">
        <f>IF(AND(ISNUMBER('자료_미국심리'!$G2395),ISNUMBER('자료_미국심리'!$H2395)),'자료_미국심리'!$G2395,"")</f>
        <v/>
      </c>
    </row>
    <row r="2412">
      <c r="O2412">
        <f>IF(AND(ISNUMBER('자료_미국심리'!$A2396),ISNUMBER('자료_미국심리'!$B2396)),'자료_미국심리'!$A2396,"")</f>
        <v/>
      </c>
      <c r="P2412">
        <f>IF(AND(ISNUMBER('자료_미국심리'!$D2396),ISNUMBER('자료_미국심리'!$E2396)),'자료_미국심리'!$D2396,"")</f>
        <v/>
      </c>
      <c r="Q2412">
        <f>IF(AND(ISNUMBER('자료_미국심리'!$G2396),ISNUMBER('자료_미국심리'!$H2396)),'자료_미국심리'!$G2396,"")</f>
        <v/>
      </c>
    </row>
    <row r="2413">
      <c r="O2413">
        <f>IF(AND(ISNUMBER('자료_미국심리'!$A2397),ISNUMBER('자료_미국심리'!$B2397)),'자료_미국심리'!$A2397,"")</f>
        <v/>
      </c>
      <c r="P2413">
        <f>IF(AND(ISNUMBER('자료_미국심리'!$D2397),ISNUMBER('자료_미국심리'!$E2397)),'자료_미국심리'!$D2397,"")</f>
        <v/>
      </c>
      <c r="Q2413">
        <f>IF(AND(ISNUMBER('자료_미국심리'!$G2397),ISNUMBER('자료_미국심리'!$H2397)),'자료_미국심리'!$G2397,"")</f>
        <v/>
      </c>
    </row>
    <row r="2414">
      <c r="O2414">
        <f>IF(AND(ISNUMBER('자료_미국심리'!$A2398),ISNUMBER('자료_미국심리'!$B2398)),'자료_미국심리'!$A2398,"")</f>
        <v/>
      </c>
      <c r="P2414">
        <f>IF(AND(ISNUMBER('자료_미국심리'!$D2398),ISNUMBER('자료_미국심리'!$E2398)),'자료_미국심리'!$D2398,"")</f>
        <v/>
      </c>
      <c r="Q2414">
        <f>IF(AND(ISNUMBER('자료_미국심리'!$G2398),ISNUMBER('자료_미국심리'!$H2398)),'자료_미국심리'!$G2398,"")</f>
        <v/>
      </c>
    </row>
    <row r="2415">
      <c r="O2415">
        <f>IF(AND(ISNUMBER('자료_미국심리'!$A2399),ISNUMBER('자료_미국심리'!$B2399)),'자료_미국심리'!$A2399,"")</f>
        <v/>
      </c>
      <c r="P2415">
        <f>IF(AND(ISNUMBER('자료_미국심리'!$D2399),ISNUMBER('자료_미국심리'!$E2399)),'자료_미국심리'!$D2399,"")</f>
        <v/>
      </c>
      <c r="Q2415">
        <f>IF(AND(ISNUMBER('자료_미국심리'!$G2399),ISNUMBER('자료_미국심리'!$H2399)),'자료_미국심리'!$G2399,"")</f>
        <v/>
      </c>
    </row>
    <row r="2416">
      <c r="O2416">
        <f>IF(AND(ISNUMBER('자료_미국심리'!$A2400),ISNUMBER('자료_미국심리'!$B2400)),'자료_미국심리'!$A2400,"")</f>
        <v/>
      </c>
      <c r="P2416">
        <f>IF(AND(ISNUMBER('자료_미국심리'!$D2400),ISNUMBER('자료_미국심리'!$E2400)),'자료_미국심리'!$D2400,"")</f>
        <v/>
      </c>
      <c r="Q2416">
        <f>IF(AND(ISNUMBER('자료_미국심리'!$G2400),ISNUMBER('자료_미국심리'!$H2400)),'자료_미국심리'!$G2400,"")</f>
        <v/>
      </c>
    </row>
    <row r="2417">
      <c r="O2417">
        <f>IF(AND(ISNUMBER('자료_미국심리'!$A2401),ISNUMBER('자료_미국심리'!$B2401)),'자료_미국심리'!$A2401,"")</f>
        <v/>
      </c>
      <c r="P2417">
        <f>IF(AND(ISNUMBER('자료_미국심리'!$D2401),ISNUMBER('자료_미국심리'!$E2401)),'자료_미국심리'!$D2401,"")</f>
        <v/>
      </c>
      <c r="Q2417">
        <f>IF(AND(ISNUMBER('자료_미국심리'!$G2401),ISNUMBER('자료_미국심리'!$H2401)),'자료_미국심리'!$G2401,"")</f>
        <v/>
      </c>
    </row>
    <row r="2418">
      <c r="O2418">
        <f>IF(AND(ISNUMBER('자료_미국심리'!$A2402),ISNUMBER('자료_미국심리'!$B2402)),'자료_미국심리'!$A2402,"")</f>
        <v/>
      </c>
      <c r="P2418">
        <f>IF(AND(ISNUMBER('자료_미국심리'!$D2402),ISNUMBER('자료_미국심리'!$E2402)),'자료_미국심리'!$D2402,"")</f>
        <v/>
      </c>
      <c r="Q2418">
        <f>IF(AND(ISNUMBER('자료_미국심리'!$G2402),ISNUMBER('자료_미국심리'!$H2402)),'자료_미국심리'!$G2402,"")</f>
        <v/>
      </c>
    </row>
    <row r="2419">
      <c r="O2419">
        <f>IF(AND(ISNUMBER('자료_미국심리'!$A2403),ISNUMBER('자료_미국심리'!$B2403)),'자료_미국심리'!$A2403,"")</f>
        <v/>
      </c>
      <c r="P2419">
        <f>IF(AND(ISNUMBER('자료_미국심리'!$D2403),ISNUMBER('자료_미국심리'!$E2403)),'자료_미국심리'!$D2403,"")</f>
        <v/>
      </c>
      <c r="Q2419">
        <f>IF(AND(ISNUMBER('자료_미국심리'!$G2403),ISNUMBER('자료_미국심리'!$H2403)),'자료_미국심리'!$G2403,"")</f>
        <v/>
      </c>
    </row>
    <row r="2420">
      <c r="O2420">
        <f>IF(AND(ISNUMBER('자료_미국심리'!$A2404),ISNUMBER('자료_미국심리'!$B2404)),'자료_미국심리'!$A2404,"")</f>
        <v/>
      </c>
      <c r="P2420">
        <f>IF(AND(ISNUMBER('자료_미국심리'!$D2404),ISNUMBER('자료_미국심리'!$E2404)),'자료_미국심리'!$D2404,"")</f>
        <v/>
      </c>
      <c r="Q2420">
        <f>IF(AND(ISNUMBER('자료_미국심리'!$G2404),ISNUMBER('자료_미국심리'!$H2404)),'자료_미국심리'!$G2404,"")</f>
        <v/>
      </c>
    </row>
    <row r="2421">
      <c r="O2421">
        <f>IF(AND(ISNUMBER('자료_미국심리'!$A2405),ISNUMBER('자료_미국심리'!$B2405)),'자료_미국심리'!$A2405,"")</f>
        <v/>
      </c>
      <c r="P2421">
        <f>IF(AND(ISNUMBER('자료_미국심리'!$D2405),ISNUMBER('자료_미국심리'!$E2405)),'자료_미국심리'!$D2405,"")</f>
        <v/>
      </c>
      <c r="Q2421">
        <f>IF(AND(ISNUMBER('자료_미국심리'!$G2405),ISNUMBER('자료_미국심리'!$H2405)),'자료_미국심리'!$G2405,"")</f>
        <v/>
      </c>
    </row>
    <row r="2422">
      <c r="O2422">
        <f>IF(AND(ISNUMBER('자료_미국심리'!$A2406),ISNUMBER('자료_미국심리'!$B2406)),'자료_미국심리'!$A2406,"")</f>
        <v/>
      </c>
      <c r="P2422">
        <f>IF(AND(ISNUMBER('자료_미국심리'!$D2406),ISNUMBER('자료_미국심리'!$E2406)),'자료_미국심리'!$D2406,"")</f>
        <v/>
      </c>
      <c r="Q2422">
        <f>IF(AND(ISNUMBER('자료_미국심리'!$G2406),ISNUMBER('자료_미국심리'!$H2406)),'자료_미국심리'!$G2406,"")</f>
        <v/>
      </c>
    </row>
    <row r="2423">
      <c r="O2423">
        <f>IF(AND(ISNUMBER('자료_미국심리'!$A2407),ISNUMBER('자료_미국심리'!$B2407)),'자료_미국심리'!$A2407,"")</f>
        <v/>
      </c>
      <c r="P2423">
        <f>IF(AND(ISNUMBER('자료_미국심리'!$D2407),ISNUMBER('자료_미국심리'!$E2407)),'자료_미국심리'!$D2407,"")</f>
        <v/>
      </c>
      <c r="Q2423">
        <f>IF(AND(ISNUMBER('자료_미국심리'!$G2407),ISNUMBER('자료_미국심리'!$H2407)),'자료_미국심리'!$G2407,"")</f>
        <v/>
      </c>
    </row>
    <row r="2424">
      <c r="O2424">
        <f>IF(AND(ISNUMBER('자료_미국심리'!$A2408),ISNUMBER('자료_미국심리'!$B2408)),'자료_미국심리'!$A2408,"")</f>
        <v/>
      </c>
      <c r="P2424">
        <f>IF(AND(ISNUMBER('자료_미국심리'!$D2408),ISNUMBER('자료_미국심리'!$E2408)),'자료_미국심리'!$D2408,"")</f>
        <v/>
      </c>
      <c r="Q2424">
        <f>IF(AND(ISNUMBER('자료_미국심리'!$G2408),ISNUMBER('자료_미국심리'!$H2408)),'자료_미국심리'!$G2408,"")</f>
        <v/>
      </c>
    </row>
    <row r="2425">
      <c r="O2425">
        <f>IF(AND(ISNUMBER('자료_미국심리'!$A2409),ISNUMBER('자료_미국심리'!$B2409)),'자료_미국심리'!$A2409,"")</f>
        <v/>
      </c>
      <c r="P2425">
        <f>IF(AND(ISNUMBER('자료_미국심리'!$D2409),ISNUMBER('자료_미국심리'!$E2409)),'자료_미국심리'!$D2409,"")</f>
        <v/>
      </c>
      <c r="Q2425">
        <f>IF(AND(ISNUMBER('자료_미국심리'!$G2409),ISNUMBER('자료_미국심리'!$H2409)),'자료_미국심리'!$G2409,"")</f>
        <v/>
      </c>
    </row>
    <row r="2426">
      <c r="O2426">
        <f>IF(AND(ISNUMBER('자료_미국심리'!$A2410),ISNUMBER('자료_미국심리'!$B2410)),'자료_미국심리'!$A2410,"")</f>
        <v/>
      </c>
      <c r="P2426">
        <f>IF(AND(ISNUMBER('자료_미국심리'!$D2410),ISNUMBER('자료_미국심리'!$E2410)),'자료_미국심리'!$D2410,"")</f>
        <v/>
      </c>
      <c r="Q2426">
        <f>IF(AND(ISNUMBER('자료_미국심리'!$G2410),ISNUMBER('자료_미국심리'!$H2410)),'자료_미국심리'!$G2410,"")</f>
        <v/>
      </c>
    </row>
    <row r="2427">
      <c r="O2427">
        <f>IF(AND(ISNUMBER('자료_미국심리'!$A2411),ISNUMBER('자료_미국심리'!$B2411)),'자료_미국심리'!$A2411,"")</f>
        <v/>
      </c>
      <c r="P2427">
        <f>IF(AND(ISNUMBER('자료_미국심리'!$D2411),ISNUMBER('자료_미국심리'!$E2411)),'자료_미국심리'!$D2411,"")</f>
        <v/>
      </c>
      <c r="Q2427">
        <f>IF(AND(ISNUMBER('자료_미국심리'!$G2411),ISNUMBER('자료_미국심리'!$H2411)),'자료_미국심리'!$G2411,"")</f>
        <v/>
      </c>
    </row>
    <row r="2428">
      <c r="O2428">
        <f>IF(AND(ISNUMBER('자료_미국심리'!$A2412),ISNUMBER('자료_미국심리'!$B2412)),'자료_미국심리'!$A2412,"")</f>
        <v/>
      </c>
      <c r="P2428">
        <f>IF(AND(ISNUMBER('자료_미국심리'!$D2412),ISNUMBER('자료_미국심리'!$E2412)),'자료_미국심리'!$D2412,"")</f>
        <v/>
      </c>
      <c r="Q2428">
        <f>IF(AND(ISNUMBER('자료_미국심리'!$G2412),ISNUMBER('자료_미국심리'!$H2412)),'자료_미국심리'!$G2412,"")</f>
        <v/>
      </c>
    </row>
    <row r="2429">
      <c r="O2429">
        <f>IF(AND(ISNUMBER('자료_미국심리'!$A2413),ISNUMBER('자료_미국심리'!$B2413)),'자료_미국심리'!$A2413,"")</f>
        <v/>
      </c>
      <c r="P2429">
        <f>IF(AND(ISNUMBER('자료_미국심리'!$D2413),ISNUMBER('자료_미국심리'!$E2413)),'자료_미국심리'!$D2413,"")</f>
        <v/>
      </c>
      <c r="Q2429">
        <f>IF(AND(ISNUMBER('자료_미국심리'!$G2413),ISNUMBER('자료_미국심리'!$H2413)),'자료_미국심리'!$G2413,"")</f>
        <v/>
      </c>
    </row>
    <row r="2430">
      <c r="O2430">
        <f>IF(AND(ISNUMBER('자료_미국심리'!$A2414),ISNUMBER('자료_미국심리'!$B2414)),'자료_미국심리'!$A2414,"")</f>
        <v/>
      </c>
      <c r="P2430">
        <f>IF(AND(ISNUMBER('자료_미국심리'!$D2414),ISNUMBER('자료_미국심리'!$E2414)),'자료_미국심리'!$D2414,"")</f>
        <v/>
      </c>
      <c r="Q2430">
        <f>IF(AND(ISNUMBER('자료_미국심리'!$G2414),ISNUMBER('자료_미국심리'!$H2414)),'자료_미국심리'!$G2414,"")</f>
        <v/>
      </c>
    </row>
    <row r="2431">
      <c r="O2431">
        <f>IF(AND(ISNUMBER('자료_미국심리'!$A2415),ISNUMBER('자료_미국심리'!$B2415)),'자료_미국심리'!$A2415,"")</f>
        <v/>
      </c>
      <c r="P2431">
        <f>IF(AND(ISNUMBER('자료_미국심리'!$D2415),ISNUMBER('자료_미국심리'!$E2415)),'자료_미국심리'!$D2415,"")</f>
        <v/>
      </c>
      <c r="Q2431">
        <f>IF(AND(ISNUMBER('자료_미국심리'!$G2415),ISNUMBER('자료_미국심리'!$H2415)),'자료_미국심리'!$G2415,"")</f>
        <v/>
      </c>
    </row>
    <row r="2432">
      <c r="O2432">
        <f>IF(AND(ISNUMBER('자료_미국심리'!$A2416),ISNUMBER('자료_미국심리'!$B2416)),'자료_미국심리'!$A2416,"")</f>
        <v/>
      </c>
      <c r="P2432">
        <f>IF(AND(ISNUMBER('자료_미국심리'!$D2416),ISNUMBER('자료_미국심리'!$E2416)),'자료_미국심리'!$D2416,"")</f>
        <v/>
      </c>
      <c r="Q2432">
        <f>IF(AND(ISNUMBER('자료_미국심리'!$G2416),ISNUMBER('자료_미국심리'!$H2416)),'자료_미국심리'!$G2416,"")</f>
        <v/>
      </c>
    </row>
    <row r="2433">
      <c r="O2433">
        <f>IF(AND(ISNUMBER('자료_미국심리'!$A2417),ISNUMBER('자료_미국심리'!$B2417)),'자료_미국심리'!$A2417,"")</f>
        <v/>
      </c>
      <c r="P2433">
        <f>IF(AND(ISNUMBER('자료_미국심리'!$D2417),ISNUMBER('자료_미국심리'!$E2417)),'자료_미국심리'!$D2417,"")</f>
        <v/>
      </c>
      <c r="Q2433">
        <f>IF(AND(ISNUMBER('자료_미국심리'!$G2417),ISNUMBER('자료_미국심리'!$H2417)),'자료_미국심리'!$G2417,"")</f>
        <v/>
      </c>
    </row>
    <row r="2434">
      <c r="O2434">
        <f>IF(AND(ISNUMBER('자료_미국심리'!$A2418),ISNUMBER('자료_미국심리'!$B2418)),'자료_미국심리'!$A2418,"")</f>
        <v/>
      </c>
      <c r="P2434">
        <f>IF(AND(ISNUMBER('자료_미국심리'!$D2418),ISNUMBER('자료_미국심리'!$E2418)),'자료_미국심리'!$D2418,"")</f>
        <v/>
      </c>
      <c r="Q2434">
        <f>IF(AND(ISNUMBER('자료_미국심리'!$G2418),ISNUMBER('자료_미국심리'!$H2418)),'자료_미국심리'!$G2418,"")</f>
        <v/>
      </c>
    </row>
    <row r="2435">
      <c r="O2435">
        <f>IF(AND(ISNUMBER('자료_미국심리'!$A2419),ISNUMBER('자료_미국심리'!$B2419)),'자료_미국심리'!$A2419,"")</f>
        <v/>
      </c>
      <c r="P2435">
        <f>IF(AND(ISNUMBER('자료_미국심리'!$D2419),ISNUMBER('자료_미국심리'!$E2419)),'자료_미국심리'!$D2419,"")</f>
        <v/>
      </c>
      <c r="Q2435">
        <f>IF(AND(ISNUMBER('자료_미국심리'!$G2419),ISNUMBER('자료_미국심리'!$H2419)),'자료_미국심리'!$G2419,"")</f>
        <v/>
      </c>
    </row>
    <row r="2436">
      <c r="O2436">
        <f>IF(AND(ISNUMBER('자료_미국심리'!$A2420),ISNUMBER('자료_미국심리'!$B2420)),'자료_미국심리'!$A2420,"")</f>
        <v/>
      </c>
      <c r="P2436">
        <f>IF(AND(ISNUMBER('자료_미국심리'!$D2420),ISNUMBER('자료_미국심리'!$E2420)),'자료_미국심리'!$D2420,"")</f>
        <v/>
      </c>
      <c r="Q2436">
        <f>IF(AND(ISNUMBER('자료_미국심리'!$G2420),ISNUMBER('자료_미국심리'!$H2420)),'자료_미국심리'!$G2420,"")</f>
        <v/>
      </c>
    </row>
    <row r="2437">
      <c r="O2437">
        <f>IF(AND(ISNUMBER('자료_미국심리'!$A2421),ISNUMBER('자료_미국심리'!$B2421)),'자료_미국심리'!$A2421,"")</f>
        <v/>
      </c>
      <c r="P2437">
        <f>IF(AND(ISNUMBER('자료_미국심리'!$D2421),ISNUMBER('자료_미국심리'!$E2421)),'자료_미국심리'!$D2421,"")</f>
        <v/>
      </c>
      <c r="Q2437">
        <f>IF(AND(ISNUMBER('자료_미국심리'!$G2421),ISNUMBER('자료_미국심리'!$H2421)),'자료_미국심리'!$G2421,"")</f>
        <v/>
      </c>
    </row>
    <row r="2438">
      <c r="O2438">
        <f>IF(AND(ISNUMBER('자료_미국심리'!$A2422),ISNUMBER('자료_미국심리'!$B2422)),'자료_미국심리'!$A2422,"")</f>
        <v/>
      </c>
      <c r="P2438">
        <f>IF(AND(ISNUMBER('자료_미국심리'!$D2422),ISNUMBER('자료_미국심리'!$E2422)),'자료_미국심리'!$D2422,"")</f>
        <v/>
      </c>
      <c r="Q2438">
        <f>IF(AND(ISNUMBER('자료_미국심리'!$G2422),ISNUMBER('자료_미국심리'!$H2422)),'자료_미국심리'!$G2422,"")</f>
        <v/>
      </c>
    </row>
    <row r="2439">
      <c r="O2439">
        <f>IF(AND(ISNUMBER('자료_미국심리'!$A2423),ISNUMBER('자료_미국심리'!$B2423)),'자료_미국심리'!$A2423,"")</f>
        <v/>
      </c>
      <c r="P2439">
        <f>IF(AND(ISNUMBER('자료_미국심리'!$D2423),ISNUMBER('자료_미국심리'!$E2423)),'자료_미국심리'!$D2423,"")</f>
        <v/>
      </c>
      <c r="Q2439">
        <f>IF(AND(ISNUMBER('자료_미국심리'!$G2423),ISNUMBER('자료_미국심리'!$H2423)),'자료_미국심리'!$G2423,"")</f>
        <v/>
      </c>
    </row>
    <row r="2440">
      <c r="O2440">
        <f>IF(AND(ISNUMBER('자료_미국심리'!$A2424),ISNUMBER('자료_미국심리'!$B2424)),'자료_미국심리'!$A2424,"")</f>
        <v/>
      </c>
      <c r="P2440">
        <f>IF(AND(ISNUMBER('자료_미국심리'!$D2424),ISNUMBER('자료_미국심리'!$E2424)),'자료_미국심리'!$D2424,"")</f>
        <v/>
      </c>
      <c r="Q2440">
        <f>IF(AND(ISNUMBER('자료_미국심리'!$G2424),ISNUMBER('자료_미국심리'!$H2424)),'자료_미국심리'!$G2424,"")</f>
        <v/>
      </c>
    </row>
    <row r="2441">
      <c r="O2441">
        <f>IF(AND(ISNUMBER('자료_미국심리'!$A2425),ISNUMBER('자료_미국심리'!$B2425)),'자료_미국심리'!$A2425,"")</f>
        <v/>
      </c>
      <c r="P2441">
        <f>IF(AND(ISNUMBER('자료_미국심리'!$D2425),ISNUMBER('자료_미국심리'!$E2425)),'자료_미국심리'!$D2425,"")</f>
        <v/>
      </c>
      <c r="Q2441">
        <f>IF(AND(ISNUMBER('자료_미국심리'!$G2425),ISNUMBER('자료_미국심리'!$H2425)),'자료_미국심리'!$G2425,"")</f>
        <v/>
      </c>
    </row>
    <row r="2442">
      <c r="O2442">
        <f>IF(AND(ISNUMBER('자료_미국심리'!$A2426),ISNUMBER('자료_미국심리'!$B2426)),'자료_미국심리'!$A2426,"")</f>
        <v/>
      </c>
      <c r="P2442">
        <f>IF(AND(ISNUMBER('자료_미국심리'!$D2426),ISNUMBER('자료_미국심리'!$E2426)),'자료_미국심리'!$D2426,"")</f>
        <v/>
      </c>
      <c r="Q2442">
        <f>IF(AND(ISNUMBER('자료_미국심리'!$G2426),ISNUMBER('자료_미국심리'!$H2426)),'자료_미국심리'!$G2426,"")</f>
        <v/>
      </c>
    </row>
    <row r="2443">
      <c r="O2443">
        <f>IF(AND(ISNUMBER('자료_미국심리'!$A2427),ISNUMBER('자료_미국심리'!$B2427)),'자료_미국심리'!$A2427,"")</f>
        <v/>
      </c>
      <c r="P2443">
        <f>IF(AND(ISNUMBER('자료_미국심리'!$D2427),ISNUMBER('자료_미국심리'!$E2427)),'자료_미국심리'!$D2427,"")</f>
        <v/>
      </c>
      <c r="Q2443">
        <f>IF(AND(ISNUMBER('자료_미국심리'!$G2427),ISNUMBER('자료_미국심리'!$H2427)),'자료_미국심리'!$G2427,"")</f>
        <v/>
      </c>
    </row>
    <row r="2444">
      <c r="O2444">
        <f>IF(AND(ISNUMBER('자료_미국심리'!$A2428),ISNUMBER('자료_미국심리'!$B2428)),'자료_미국심리'!$A2428,"")</f>
        <v/>
      </c>
      <c r="P2444">
        <f>IF(AND(ISNUMBER('자료_미국심리'!$D2428),ISNUMBER('자료_미국심리'!$E2428)),'자료_미국심리'!$D2428,"")</f>
        <v/>
      </c>
      <c r="Q2444">
        <f>IF(AND(ISNUMBER('자료_미국심리'!$G2428),ISNUMBER('자료_미국심리'!$H2428)),'자료_미국심리'!$G2428,"")</f>
        <v/>
      </c>
    </row>
    <row r="2445">
      <c r="O2445">
        <f>IF(AND(ISNUMBER('자료_미국심리'!$A2429),ISNUMBER('자료_미국심리'!$B2429)),'자료_미국심리'!$A2429,"")</f>
        <v/>
      </c>
      <c r="P2445">
        <f>IF(AND(ISNUMBER('자료_미국심리'!$D2429),ISNUMBER('자료_미국심리'!$E2429)),'자료_미국심리'!$D2429,"")</f>
        <v/>
      </c>
      <c r="Q2445">
        <f>IF(AND(ISNUMBER('자료_미국심리'!$G2429),ISNUMBER('자료_미국심리'!$H2429)),'자료_미국심리'!$G2429,"")</f>
        <v/>
      </c>
    </row>
    <row r="2446">
      <c r="O2446">
        <f>IF(AND(ISNUMBER('자료_미국심리'!$A2430),ISNUMBER('자료_미국심리'!$B2430)),'자료_미국심리'!$A2430,"")</f>
        <v/>
      </c>
      <c r="P2446">
        <f>IF(AND(ISNUMBER('자료_미국심리'!$D2430),ISNUMBER('자료_미국심리'!$E2430)),'자료_미국심리'!$D2430,"")</f>
        <v/>
      </c>
      <c r="Q2446">
        <f>IF(AND(ISNUMBER('자료_미국심리'!$G2430),ISNUMBER('자료_미국심리'!$H2430)),'자료_미국심리'!$G2430,"")</f>
        <v/>
      </c>
    </row>
    <row r="2447">
      <c r="O2447">
        <f>IF(AND(ISNUMBER('자료_미국심리'!$A2431),ISNUMBER('자료_미국심리'!$B2431)),'자료_미국심리'!$A2431,"")</f>
        <v/>
      </c>
      <c r="P2447">
        <f>IF(AND(ISNUMBER('자료_미국심리'!$D2431),ISNUMBER('자료_미국심리'!$E2431)),'자료_미국심리'!$D2431,"")</f>
        <v/>
      </c>
      <c r="Q2447">
        <f>IF(AND(ISNUMBER('자료_미국심리'!$G2431),ISNUMBER('자료_미국심리'!$H2431)),'자료_미국심리'!$G2431,"")</f>
        <v/>
      </c>
    </row>
    <row r="2448">
      <c r="O2448">
        <f>IF(AND(ISNUMBER('자료_미국심리'!$A2432),ISNUMBER('자료_미국심리'!$B2432)),'자료_미국심리'!$A2432,"")</f>
        <v/>
      </c>
      <c r="P2448">
        <f>IF(AND(ISNUMBER('자료_미국심리'!$D2432),ISNUMBER('자료_미국심리'!$E2432)),'자료_미국심리'!$D2432,"")</f>
        <v/>
      </c>
      <c r="Q2448">
        <f>IF(AND(ISNUMBER('자료_미국심리'!$G2432),ISNUMBER('자료_미국심리'!$H2432)),'자료_미국심리'!$G2432,"")</f>
        <v/>
      </c>
    </row>
    <row r="2449">
      <c r="O2449">
        <f>IF(AND(ISNUMBER('자료_미국심리'!$A2433),ISNUMBER('자료_미국심리'!$B2433)),'자료_미국심리'!$A2433,"")</f>
        <v/>
      </c>
      <c r="P2449">
        <f>IF(AND(ISNUMBER('자료_미국심리'!$D2433),ISNUMBER('자료_미국심리'!$E2433)),'자료_미국심리'!$D2433,"")</f>
        <v/>
      </c>
      <c r="Q2449">
        <f>IF(AND(ISNUMBER('자료_미국심리'!$G2433),ISNUMBER('자료_미국심리'!$H2433)),'자료_미국심리'!$G2433,"")</f>
        <v/>
      </c>
    </row>
    <row r="2450">
      <c r="O2450">
        <f>IF(AND(ISNUMBER('자료_미국심리'!$A2434),ISNUMBER('자료_미국심리'!$B2434)),'자료_미국심리'!$A2434,"")</f>
        <v/>
      </c>
      <c r="P2450">
        <f>IF(AND(ISNUMBER('자료_미국심리'!$D2434),ISNUMBER('자료_미국심리'!$E2434)),'자료_미국심리'!$D2434,"")</f>
        <v/>
      </c>
      <c r="Q2450">
        <f>IF(AND(ISNUMBER('자료_미국심리'!$G2434),ISNUMBER('자료_미국심리'!$H2434)),'자료_미국심리'!$G2434,"")</f>
        <v/>
      </c>
    </row>
    <row r="2451">
      <c r="O2451">
        <f>IF(AND(ISNUMBER('자료_미국심리'!$A2435),ISNUMBER('자료_미국심리'!$B2435)),'자료_미국심리'!$A2435,"")</f>
        <v/>
      </c>
      <c r="P2451">
        <f>IF(AND(ISNUMBER('자료_미국심리'!$D2435),ISNUMBER('자료_미국심리'!$E2435)),'자료_미국심리'!$D2435,"")</f>
        <v/>
      </c>
      <c r="Q2451">
        <f>IF(AND(ISNUMBER('자료_미국심리'!$G2435),ISNUMBER('자료_미국심리'!$H2435)),'자료_미국심리'!$G2435,"")</f>
        <v/>
      </c>
    </row>
    <row r="2452">
      <c r="O2452">
        <f>IF(AND(ISNUMBER('자료_미국심리'!$A2436),ISNUMBER('자료_미국심리'!$B2436)),'자료_미국심리'!$A2436,"")</f>
        <v/>
      </c>
      <c r="P2452">
        <f>IF(AND(ISNUMBER('자료_미국심리'!$D2436),ISNUMBER('자료_미국심리'!$E2436)),'자료_미국심리'!$D2436,"")</f>
        <v/>
      </c>
      <c r="Q2452">
        <f>IF(AND(ISNUMBER('자료_미국심리'!$G2436),ISNUMBER('자료_미국심리'!$H2436)),'자료_미국심리'!$G2436,"")</f>
        <v/>
      </c>
    </row>
    <row r="2453">
      <c r="O2453">
        <f>IF(AND(ISNUMBER('자료_미국심리'!$A2437),ISNUMBER('자료_미국심리'!$B2437)),'자료_미국심리'!$A2437,"")</f>
        <v/>
      </c>
      <c r="P2453">
        <f>IF(AND(ISNUMBER('자료_미국심리'!$D2437),ISNUMBER('자료_미국심리'!$E2437)),'자료_미국심리'!$D2437,"")</f>
        <v/>
      </c>
      <c r="Q2453">
        <f>IF(AND(ISNUMBER('자료_미국심리'!$G2437),ISNUMBER('자료_미국심리'!$H2437)),'자료_미국심리'!$G2437,"")</f>
        <v/>
      </c>
    </row>
    <row r="2454">
      <c r="O2454">
        <f>IF(AND(ISNUMBER('자료_미국심리'!$A2438),ISNUMBER('자료_미국심리'!$B2438)),'자료_미국심리'!$A2438,"")</f>
        <v/>
      </c>
      <c r="P2454">
        <f>IF(AND(ISNUMBER('자료_미국심리'!$D2438),ISNUMBER('자료_미국심리'!$E2438)),'자료_미국심리'!$D2438,"")</f>
        <v/>
      </c>
      <c r="Q2454">
        <f>IF(AND(ISNUMBER('자료_미국심리'!$G2438),ISNUMBER('자료_미국심리'!$H2438)),'자료_미국심리'!$G2438,"")</f>
        <v/>
      </c>
    </row>
    <row r="2455">
      <c r="O2455">
        <f>IF(AND(ISNUMBER('자료_미국심리'!$A2439),ISNUMBER('자료_미국심리'!$B2439)),'자료_미국심리'!$A2439,"")</f>
        <v/>
      </c>
      <c r="P2455">
        <f>IF(AND(ISNUMBER('자료_미국심리'!$D2439),ISNUMBER('자료_미국심리'!$E2439)),'자료_미국심리'!$D2439,"")</f>
        <v/>
      </c>
      <c r="Q2455">
        <f>IF(AND(ISNUMBER('자료_미국심리'!$G2439),ISNUMBER('자료_미국심리'!$H2439)),'자료_미국심리'!$G2439,"")</f>
        <v/>
      </c>
    </row>
    <row r="2456">
      <c r="O2456">
        <f>IF(AND(ISNUMBER('자료_미국심리'!$A2440),ISNUMBER('자료_미국심리'!$B2440)),'자료_미국심리'!$A2440,"")</f>
        <v/>
      </c>
      <c r="P2456">
        <f>IF(AND(ISNUMBER('자료_미국심리'!$D2440),ISNUMBER('자료_미국심리'!$E2440)),'자료_미국심리'!$D2440,"")</f>
        <v/>
      </c>
      <c r="Q2456">
        <f>IF(AND(ISNUMBER('자료_미국심리'!$G2440),ISNUMBER('자료_미국심리'!$H2440)),'자료_미국심리'!$G2440,"")</f>
        <v/>
      </c>
    </row>
    <row r="2457">
      <c r="O2457">
        <f>IF(AND(ISNUMBER('자료_미국심리'!$A2441),ISNUMBER('자료_미국심리'!$B2441)),'자료_미국심리'!$A2441,"")</f>
        <v/>
      </c>
      <c r="P2457">
        <f>IF(AND(ISNUMBER('자료_미국심리'!$D2441),ISNUMBER('자료_미국심리'!$E2441)),'자료_미국심리'!$D2441,"")</f>
        <v/>
      </c>
      <c r="Q2457">
        <f>IF(AND(ISNUMBER('자료_미국심리'!$G2441),ISNUMBER('자료_미국심리'!$H2441)),'자료_미국심리'!$G2441,"")</f>
        <v/>
      </c>
    </row>
    <row r="2458">
      <c r="O2458">
        <f>IF(AND(ISNUMBER('자료_미국심리'!$A2442),ISNUMBER('자료_미국심리'!$B2442)),'자료_미국심리'!$A2442,"")</f>
        <v/>
      </c>
      <c r="P2458">
        <f>IF(AND(ISNUMBER('자료_미국심리'!$D2442),ISNUMBER('자료_미국심리'!$E2442)),'자료_미국심리'!$D2442,"")</f>
        <v/>
      </c>
      <c r="Q2458">
        <f>IF(AND(ISNUMBER('자료_미국심리'!$G2442),ISNUMBER('자료_미국심리'!$H2442)),'자료_미국심리'!$G2442,"")</f>
        <v/>
      </c>
    </row>
    <row r="2459">
      <c r="O2459">
        <f>IF(AND(ISNUMBER('자료_미국심리'!$A2443),ISNUMBER('자료_미국심리'!$B2443)),'자료_미국심리'!$A2443,"")</f>
        <v/>
      </c>
      <c r="P2459">
        <f>IF(AND(ISNUMBER('자료_미국심리'!$D2443),ISNUMBER('자료_미국심리'!$E2443)),'자료_미국심리'!$D2443,"")</f>
        <v/>
      </c>
      <c r="Q2459">
        <f>IF(AND(ISNUMBER('자료_미국심리'!$G2443),ISNUMBER('자료_미국심리'!$H2443)),'자료_미국심리'!$G2443,"")</f>
        <v/>
      </c>
    </row>
    <row r="2460">
      <c r="O2460">
        <f>IF(AND(ISNUMBER('자료_미국심리'!$A2444),ISNUMBER('자료_미국심리'!$B2444)),'자료_미국심리'!$A2444,"")</f>
        <v/>
      </c>
      <c r="P2460">
        <f>IF(AND(ISNUMBER('자료_미국심리'!$D2444),ISNUMBER('자료_미국심리'!$E2444)),'자료_미국심리'!$D2444,"")</f>
        <v/>
      </c>
      <c r="Q2460">
        <f>IF(AND(ISNUMBER('자료_미국심리'!$G2444),ISNUMBER('자료_미국심리'!$H2444)),'자료_미국심리'!$G2444,"")</f>
        <v/>
      </c>
    </row>
    <row r="2461">
      <c r="O2461">
        <f>IF(AND(ISNUMBER('자료_미국심리'!$A2445),ISNUMBER('자료_미국심리'!$B2445)),'자료_미국심리'!$A2445,"")</f>
        <v/>
      </c>
      <c r="P2461">
        <f>IF(AND(ISNUMBER('자료_미국심리'!$D2445),ISNUMBER('자료_미국심리'!$E2445)),'자료_미국심리'!$D2445,"")</f>
        <v/>
      </c>
      <c r="Q2461">
        <f>IF(AND(ISNUMBER('자료_미국심리'!$G2445),ISNUMBER('자료_미국심리'!$H2445)),'자료_미국심리'!$G2445,"")</f>
        <v/>
      </c>
    </row>
    <row r="2462">
      <c r="O2462">
        <f>IF(AND(ISNUMBER('자료_미국심리'!$A2446),ISNUMBER('자료_미국심리'!$B2446)),'자료_미국심리'!$A2446,"")</f>
        <v/>
      </c>
      <c r="P2462">
        <f>IF(AND(ISNUMBER('자료_미국심리'!$D2446),ISNUMBER('자료_미국심리'!$E2446)),'자료_미국심리'!$D2446,"")</f>
        <v/>
      </c>
      <c r="Q2462">
        <f>IF(AND(ISNUMBER('자료_미국심리'!$G2446),ISNUMBER('자료_미국심리'!$H2446)),'자료_미국심리'!$G2446,"")</f>
        <v/>
      </c>
    </row>
    <row r="2463">
      <c r="O2463">
        <f>IF(AND(ISNUMBER('자료_미국심리'!$A2447),ISNUMBER('자료_미국심리'!$B2447)),'자료_미국심리'!$A2447,"")</f>
        <v/>
      </c>
      <c r="P2463">
        <f>IF(AND(ISNUMBER('자료_미국심리'!$D2447),ISNUMBER('자료_미국심리'!$E2447)),'자료_미국심리'!$D2447,"")</f>
        <v/>
      </c>
      <c r="Q2463">
        <f>IF(AND(ISNUMBER('자료_미국심리'!$G2447),ISNUMBER('자료_미국심리'!$H2447)),'자료_미국심리'!$G2447,"")</f>
        <v/>
      </c>
    </row>
    <row r="2464">
      <c r="O2464">
        <f>IF(AND(ISNUMBER('자료_미국심리'!$A2448),ISNUMBER('자료_미국심리'!$B2448)),'자료_미국심리'!$A2448,"")</f>
        <v/>
      </c>
      <c r="P2464">
        <f>IF(AND(ISNUMBER('자료_미국심리'!$D2448),ISNUMBER('자료_미국심리'!$E2448)),'자료_미국심리'!$D2448,"")</f>
        <v/>
      </c>
      <c r="Q2464">
        <f>IF(AND(ISNUMBER('자료_미국심리'!$G2448),ISNUMBER('자료_미국심리'!$H2448)),'자료_미국심리'!$G2448,"")</f>
        <v/>
      </c>
    </row>
    <row r="2465">
      <c r="O2465">
        <f>IF(AND(ISNUMBER('자료_미국심리'!$A2449),ISNUMBER('자료_미국심리'!$B2449)),'자료_미국심리'!$A2449,"")</f>
        <v/>
      </c>
      <c r="P2465">
        <f>IF(AND(ISNUMBER('자료_미국심리'!$D2449),ISNUMBER('자료_미국심리'!$E2449)),'자료_미국심리'!$D2449,"")</f>
        <v/>
      </c>
      <c r="Q2465">
        <f>IF(AND(ISNUMBER('자료_미국심리'!$G2449),ISNUMBER('자료_미국심리'!$H2449)),'자료_미국심리'!$G2449,"")</f>
        <v/>
      </c>
    </row>
    <row r="2466">
      <c r="O2466">
        <f>IF(AND(ISNUMBER('자료_미국심리'!$A2450),ISNUMBER('자료_미국심리'!$B2450)),'자료_미국심리'!$A2450,"")</f>
        <v/>
      </c>
      <c r="P2466">
        <f>IF(AND(ISNUMBER('자료_미국심리'!$D2450),ISNUMBER('자료_미국심리'!$E2450)),'자료_미국심리'!$D2450,"")</f>
        <v/>
      </c>
      <c r="Q2466">
        <f>IF(AND(ISNUMBER('자료_미국심리'!$G2450),ISNUMBER('자료_미국심리'!$H2450)),'자료_미국심리'!$G2450,"")</f>
        <v/>
      </c>
    </row>
    <row r="2467">
      <c r="O2467">
        <f>IF(AND(ISNUMBER('자료_미국심리'!$A2451),ISNUMBER('자료_미국심리'!$B2451)),'자료_미국심리'!$A2451,"")</f>
        <v/>
      </c>
      <c r="P2467">
        <f>IF(AND(ISNUMBER('자료_미국심리'!$D2451),ISNUMBER('자료_미국심리'!$E2451)),'자료_미국심리'!$D2451,"")</f>
        <v/>
      </c>
      <c r="Q2467">
        <f>IF(AND(ISNUMBER('자료_미국심리'!$G2451),ISNUMBER('자료_미국심리'!$H2451)),'자료_미국심리'!$G2451,"")</f>
        <v/>
      </c>
    </row>
    <row r="2468">
      <c r="O2468">
        <f>IF(AND(ISNUMBER('자료_미국심리'!$A2452),ISNUMBER('자료_미국심리'!$B2452)),'자료_미국심리'!$A2452,"")</f>
        <v/>
      </c>
      <c r="P2468">
        <f>IF(AND(ISNUMBER('자료_미국심리'!$D2452),ISNUMBER('자료_미국심리'!$E2452)),'자료_미국심리'!$D2452,"")</f>
        <v/>
      </c>
      <c r="Q2468">
        <f>IF(AND(ISNUMBER('자료_미국심리'!$G2452),ISNUMBER('자료_미국심리'!$H2452)),'자료_미국심리'!$G2452,"")</f>
        <v/>
      </c>
    </row>
    <row r="2469">
      <c r="O2469">
        <f>IF(AND(ISNUMBER('자료_미국심리'!$A2453),ISNUMBER('자료_미국심리'!$B2453)),'자료_미국심리'!$A2453,"")</f>
        <v/>
      </c>
      <c r="P2469">
        <f>IF(AND(ISNUMBER('자료_미국심리'!$D2453),ISNUMBER('자료_미국심리'!$E2453)),'자료_미국심리'!$D2453,"")</f>
        <v/>
      </c>
      <c r="Q2469">
        <f>IF(AND(ISNUMBER('자료_미국심리'!$G2453),ISNUMBER('자료_미국심리'!$H2453)),'자료_미국심리'!$G2453,"")</f>
        <v/>
      </c>
    </row>
    <row r="2470">
      <c r="O2470">
        <f>IF(AND(ISNUMBER('자료_미국심리'!$A2454),ISNUMBER('자료_미국심리'!$B2454)),'자료_미국심리'!$A2454,"")</f>
        <v/>
      </c>
      <c r="P2470">
        <f>IF(AND(ISNUMBER('자료_미국심리'!$D2454),ISNUMBER('자료_미국심리'!$E2454)),'자료_미국심리'!$D2454,"")</f>
        <v/>
      </c>
      <c r="Q2470">
        <f>IF(AND(ISNUMBER('자료_미국심리'!$G2454),ISNUMBER('자료_미국심리'!$H2454)),'자료_미국심리'!$G2454,"")</f>
        <v/>
      </c>
    </row>
    <row r="2471">
      <c r="O2471">
        <f>IF(AND(ISNUMBER('자료_미국심리'!$A2455),ISNUMBER('자료_미국심리'!$B2455)),'자료_미국심리'!$A2455,"")</f>
        <v/>
      </c>
      <c r="P2471">
        <f>IF(AND(ISNUMBER('자료_미국심리'!$D2455),ISNUMBER('자료_미국심리'!$E2455)),'자료_미국심리'!$D2455,"")</f>
        <v/>
      </c>
      <c r="Q2471">
        <f>IF(AND(ISNUMBER('자료_미국심리'!$G2455),ISNUMBER('자료_미국심리'!$H2455)),'자료_미국심리'!$G2455,"")</f>
        <v/>
      </c>
    </row>
    <row r="2472">
      <c r="O2472">
        <f>IF(AND(ISNUMBER('자료_미국심리'!$A2456),ISNUMBER('자료_미국심리'!$B2456)),'자료_미국심리'!$A2456,"")</f>
        <v/>
      </c>
      <c r="P2472">
        <f>IF(AND(ISNUMBER('자료_미국심리'!$D2456),ISNUMBER('자료_미국심리'!$E2456)),'자료_미국심리'!$D2456,"")</f>
        <v/>
      </c>
      <c r="Q2472">
        <f>IF(AND(ISNUMBER('자료_미국심리'!$G2456),ISNUMBER('자료_미국심리'!$H2456)),'자료_미국심리'!$G2456,"")</f>
        <v/>
      </c>
    </row>
    <row r="2473">
      <c r="O2473">
        <f>IF(AND(ISNUMBER('자료_미국심리'!$A2457),ISNUMBER('자료_미국심리'!$B2457)),'자료_미국심리'!$A2457,"")</f>
        <v/>
      </c>
      <c r="P2473">
        <f>IF(AND(ISNUMBER('자료_미국심리'!$D2457),ISNUMBER('자료_미국심리'!$E2457)),'자료_미국심리'!$D2457,"")</f>
        <v/>
      </c>
      <c r="Q2473">
        <f>IF(AND(ISNUMBER('자료_미국심리'!$G2457),ISNUMBER('자료_미국심리'!$H2457)),'자료_미국심리'!$G2457,"")</f>
        <v/>
      </c>
    </row>
    <row r="2474">
      <c r="O2474">
        <f>IF(AND(ISNUMBER('자료_미국심리'!$A2458),ISNUMBER('자료_미국심리'!$B2458)),'자료_미국심리'!$A2458,"")</f>
        <v/>
      </c>
      <c r="P2474">
        <f>IF(AND(ISNUMBER('자료_미국심리'!$D2458),ISNUMBER('자료_미국심리'!$E2458)),'자료_미국심리'!$D2458,"")</f>
        <v/>
      </c>
      <c r="Q2474">
        <f>IF(AND(ISNUMBER('자료_미국심리'!$G2458),ISNUMBER('자료_미국심리'!$H2458)),'자료_미국심리'!$G2458,"")</f>
        <v/>
      </c>
    </row>
    <row r="2475">
      <c r="O2475">
        <f>IF(AND(ISNUMBER('자료_미국심리'!$A2459),ISNUMBER('자료_미국심리'!$B2459)),'자료_미국심리'!$A2459,"")</f>
        <v/>
      </c>
      <c r="P2475">
        <f>IF(AND(ISNUMBER('자료_미국심리'!$D2459),ISNUMBER('자료_미국심리'!$E2459)),'자료_미국심리'!$D2459,"")</f>
        <v/>
      </c>
      <c r="Q2475">
        <f>IF(AND(ISNUMBER('자료_미국심리'!$G2459),ISNUMBER('자료_미국심리'!$H2459)),'자료_미국심리'!$G2459,"")</f>
        <v/>
      </c>
    </row>
    <row r="2476">
      <c r="O2476">
        <f>IF(AND(ISNUMBER('자료_미국심리'!$A2460),ISNUMBER('자료_미국심리'!$B2460)),'자료_미국심리'!$A2460,"")</f>
        <v/>
      </c>
      <c r="P2476">
        <f>IF(AND(ISNUMBER('자료_미국심리'!$D2460),ISNUMBER('자료_미국심리'!$E2460)),'자료_미국심리'!$D2460,"")</f>
        <v/>
      </c>
      <c r="Q2476">
        <f>IF(AND(ISNUMBER('자료_미국심리'!$G2460),ISNUMBER('자료_미국심리'!$H2460)),'자료_미국심리'!$G2460,"")</f>
        <v/>
      </c>
    </row>
    <row r="2477">
      <c r="O2477">
        <f>IF(AND(ISNUMBER('자료_미국심리'!$A2461),ISNUMBER('자료_미국심리'!$B2461)),'자료_미국심리'!$A2461,"")</f>
        <v/>
      </c>
      <c r="P2477">
        <f>IF(AND(ISNUMBER('자료_미국심리'!$D2461),ISNUMBER('자료_미국심리'!$E2461)),'자료_미국심리'!$D2461,"")</f>
        <v/>
      </c>
      <c r="Q2477">
        <f>IF(AND(ISNUMBER('자료_미국심리'!$G2461),ISNUMBER('자료_미국심리'!$H2461)),'자료_미국심리'!$G2461,"")</f>
        <v/>
      </c>
    </row>
    <row r="2478">
      <c r="O2478">
        <f>IF(AND(ISNUMBER('자료_미국심리'!$A2462),ISNUMBER('자료_미국심리'!$B2462)),'자료_미국심리'!$A2462,"")</f>
        <v/>
      </c>
      <c r="P2478">
        <f>IF(AND(ISNUMBER('자료_미국심리'!$D2462),ISNUMBER('자료_미국심리'!$E2462)),'자료_미국심리'!$D2462,"")</f>
        <v/>
      </c>
      <c r="Q2478">
        <f>IF(AND(ISNUMBER('자료_미국심리'!$G2462),ISNUMBER('자료_미국심리'!$H2462)),'자료_미국심리'!$G2462,"")</f>
        <v/>
      </c>
    </row>
    <row r="2479">
      <c r="O2479">
        <f>IF(AND(ISNUMBER('자료_미국심리'!$A2463),ISNUMBER('자료_미국심리'!$B2463)),'자료_미국심리'!$A2463,"")</f>
        <v/>
      </c>
      <c r="P2479">
        <f>IF(AND(ISNUMBER('자료_미국심리'!$D2463),ISNUMBER('자료_미국심리'!$E2463)),'자료_미국심리'!$D2463,"")</f>
        <v/>
      </c>
      <c r="Q2479">
        <f>IF(AND(ISNUMBER('자료_미국심리'!$G2463),ISNUMBER('자료_미국심리'!$H2463)),'자료_미국심리'!$G2463,"")</f>
        <v/>
      </c>
    </row>
    <row r="2480">
      <c r="O2480">
        <f>IF(AND(ISNUMBER('자료_미국심리'!$A2464),ISNUMBER('자료_미국심리'!$B2464)),'자료_미국심리'!$A2464,"")</f>
        <v/>
      </c>
      <c r="P2480">
        <f>IF(AND(ISNUMBER('자료_미국심리'!$D2464),ISNUMBER('자료_미국심리'!$E2464)),'자료_미국심리'!$D2464,"")</f>
        <v/>
      </c>
      <c r="Q2480">
        <f>IF(AND(ISNUMBER('자료_미국심리'!$G2464),ISNUMBER('자료_미국심리'!$H2464)),'자료_미국심리'!$G2464,"")</f>
        <v/>
      </c>
    </row>
    <row r="2481">
      <c r="O2481">
        <f>IF(AND(ISNUMBER('자료_미국심리'!$A2465),ISNUMBER('자료_미국심리'!$B2465)),'자료_미국심리'!$A2465,"")</f>
        <v/>
      </c>
      <c r="P2481">
        <f>IF(AND(ISNUMBER('자료_미국심리'!$D2465),ISNUMBER('자료_미국심리'!$E2465)),'자료_미국심리'!$D2465,"")</f>
        <v/>
      </c>
      <c r="Q2481">
        <f>IF(AND(ISNUMBER('자료_미국심리'!$G2465),ISNUMBER('자료_미국심리'!$H2465)),'자료_미국심리'!$G2465,"")</f>
        <v/>
      </c>
    </row>
    <row r="2482">
      <c r="O2482">
        <f>IF(AND(ISNUMBER('자료_미국심리'!$A2466),ISNUMBER('자료_미국심리'!$B2466)),'자료_미국심리'!$A2466,"")</f>
        <v/>
      </c>
      <c r="P2482">
        <f>IF(AND(ISNUMBER('자료_미국심리'!$D2466),ISNUMBER('자료_미국심리'!$E2466)),'자료_미국심리'!$D2466,"")</f>
        <v/>
      </c>
      <c r="Q2482">
        <f>IF(AND(ISNUMBER('자료_미국심리'!$G2466),ISNUMBER('자료_미국심리'!$H2466)),'자료_미국심리'!$G2466,"")</f>
        <v/>
      </c>
    </row>
    <row r="2483">
      <c r="O2483">
        <f>IF(AND(ISNUMBER('자료_미국심리'!$A2467),ISNUMBER('자료_미국심리'!$B2467)),'자료_미국심리'!$A2467,"")</f>
        <v/>
      </c>
      <c r="P2483">
        <f>IF(AND(ISNUMBER('자료_미국심리'!$D2467),ISNUMBER('자료_미국심리'!$E2467)),'자료_미국심리'!$D2467,"")</f>
        <v/>
      </c>
      <c r="Q2483">
        <f>IF(AND(ISNUMBER('자료_미국심리'!$G2467),ISNUMBER('자료_미국심리'!$H2467)),'자료_미국심리'!$G2467,"")</f>
        <v/>
      </c>
    </row>
    <row r="2484">
      <c r="O2484">
        <f>IF(AND(ISNUMBER('자료_미국심리'!$A2468),ISNUMBER('자료_미국심리'!$B2468)),'자료_미국심리'!$A2468,"")</f>
        <v/>
      </c>
      <c r="P2484">
        <f>IF(AND(ISNUMBER('자료_미국심리'!$D2468),ISNUMBER('자료_미국심리'!$E2468)),'자료_미국심리'!$D2468,"")</f>
        <v/>
      </c>
      <c r="Q2484">
        <f>IF(AND(ISNUMBER('자료_미국심리'!$G2468),ISNUMBER('자료_미국심리'!$H2468)),'자료_미국심리'!$G2468,"")</f>
        <v/>
      </c>
    </row>
    <row r="2485">
      <c r="O2485">
        <f>IF(AND(ISNUMBER('자료_미국심리'!$A2469),ISNUMBER('자료_미국심리'!$B2469)),'자료_미국심리'!$A2469,"")</f>
        <v/>
      </c>
      <c r="P2485">
        <f>IF(AND(ISNUMBER('자료_미국심리'!$D2469),ISNUMBER('자료_미국심리'!$E2469)),'자료_미국심리'!$D2469,"")</f>
        <v/>
      </c>
      <c r="Q2485">
        <f>IF(AND(ISNUMBER('자료_미국심리'!$G2469),ISNUMBER('자료_미국심리'!$H2469)),'자료_미국심리'!$G2469,"")</f>
        <v/>
      </c>
    </row>
    <row r="2486">
      <c r="O2486">
        <f>IF(AND(ISNUMBER('자료_미국심리'!$A2470),ISNUMBER('자료_미국심리'!$B2470)),'자료_미국심리'!$A2470,"")</f>
        <v/>
      </c>
      <c r="P2486">
        <f>IF(AND(ISNUMBER('자료_미국심리'!$D2470),ISNUMBER('자료_미국심리'!$E2470)),'자료_미국심리'!$D2470,"")</f>
        <v/>
      </c>
      <c r="Q2486">
        <f>IF(AND(ISNUMBER('자료_미국심리'!$G2470),ISNUMBER('자료_미국심리'!$H2470)),'자료_미국심리'!$G2470,"")</f>
        <v/>
      </c>
    </row>
    <row r="2487">
      <c r="O2487">
        <f>IF(AND(ISNUMBER('자료_미국심리'!$A2471),ISNUMBER('자료_미국심리'!$B2471)),'자료_미국심리'!$A2471,"")</f>
        <v/>
      </c>
      <c r="P2487">
        <f>IF(AND(ISNUMBER('자료_미국심리'!$D2471),ISNUMBER('자료_미국심리'!$E2471)),'자료_미국심리'!$D2471,"")</f>
        <v/>
      </c>
      <c r="Q2487">
        <f>IF(AND(ISNUMBER('자료_미국심리'!$G2471),ISNUMBER('자료_미국심리'!$H2471)),'자료_미국심리'!$G2471,"")</f>
        <v/>
      </c>
    </row>
    <row r="2488">
      <c r="O2488">
        <f>IF(AND(ISNUMBER('자료_미국심리'!$A2472),ISNUMBER('자료_미국심리'!$B2472)),'자료_미국심리'!$A2472,"")</f>
        <v/>
      </c>
      <c r="P2488">
        <f>IF(AND(ISNUMBER('자료_미국심리'!$D2472),ISNUMBER('자료_미국심리'!$E2472)),'자료_미국심리'!$D2472,"")</f>
        <v/>
      </c>
      <c r="Q2488">
        <f>IF(AND(ISNUMBER('자료_미국심리'!$G2472),ISNUMBER('자료_미국심리'!$H2472)),'자료_미국심리'!$G2472,"")</f>
        <v/>
      </c>
    </row>
    <row r="2489">
      <c r="O2489">
        <f>IF(AND(ISNUMBER('자료_미국심리'!$A2473),ISNUMBER('자료_미국심리'!$B2473)),'자료_미국심리'!$A2473,"")</f>
        <v/>
      </c>
      <c r="P2489">
        <f>IF(AND(ISNUMBER('자료_미국심리'!$D2473),ISNUMBER('자료_미국심리'!$E2473)),'자료_미국심리'!$D2473,"")</f>
        <v/>
      </c>
      <c r="Q2489">
        <f>IF(AND(ISNUMBER('자료_미국심리'!$G2473),ISNUMBER('자료_미국심리'!$H2473)),'자료_미국심리'!$G2473,"")</f>
        <v/>
      </c>
    </row>
    <row r="2490">
      <c r="O2490">
        <f>IF(AND(ISNUMBER('자료_미국심리'!$A2474),ISNUMBER('자료_미국심리'!$B2474)),'자료_미국심리'!$A2474,"")</f>
        <v/>
      </c>
      <c r="P2490">
        <f>IF(AND(ISNUMBER('자료_미국심리'!$D2474),ISNUMBER('자료_미국심리'!$E2474)),'자료_미국심리'!$D2474,"")</f>
        <v/>
      </c>
      <c r="Q2490">
        <f>IF(AND(ISNUMBER('자료_미국심리'!$G2474),ISNUMBER('자료_미국심리'!$H2474)),'자료_미국심리'!$G2474,"")</f>
        <v/>
      </c>
    </row>
    <row r="2491">
      <c r="O2491">
        <f>IF(AND(ISNUMBER('자료_미국심리'!$A2475),ISNUMBER('자료_미국심리'!$B2475)),'자료_미국심리'!$A2475,"")</f>
        <v/>
      </c>
      <c r="P2491">
        <f>IF(AND(ISNUMBER('자료_미국심리'!$D2475),ISNUMBER('자료_미국심리'!$E2475)),'자료_미국심리'!$D2475,"")</f>
        <v/>
      </c>
      <c r="Q2491">
        <f>IF(AND(ISNUMBER('자료_미국심리'!$G2475),ISNUMBER('자료_미국심리'!$H2475)),'자료_미국심리'!$G2475,"")</f>
        <v/>
      </c>
    </row>
    <row r="2492">
      <c r="O2492">
        <f>IF(AND(ISNUMBER('자료_미국심리'!$A2476),ISNUMBER('자료_미국심리'!$B2476)),'자료_미국심리'!$A2476,"")</f>
        <v/>
      </c>
      <c r="P2492">
        <f>IF(AND(ISNUMBER('자료_미국심리'!$D2476),ISNUMBER('자료_미국심리'!$E2476)),'자료_미국심리'!$D2476,"")</f>
        <v/>
      </c>
      <c r="Q2492">
        <f>IF(AND(ISNUMBER('자료_미국심리'!$G2476),ISNUMBER('자료_미국심리'!$H2476)),'자료_미국심리'!$G2476,"")</f>
        <v/>
      </c>
    </row>
    <row r="2493">
      <c r="O2493">
        <f>IF(AND(ISNUMBER('자료_미국심리'!$A2477),ISNUMBER('자료_미국심리'!$B2477)),'자료_미국심리'!$A2477,"")</f>
        <v/>
      </c>
      <c r="P2493">
        <f>IF(AND(ISNUMBER('자료_미국심리'!$D2477),ISNUMBER('자료_미국심리'!$E2477)),'자료_미국심리'!$D2477,"")</f>
        <v/>
      </c>
      <c r="Q2493">
        <f>IF(AND(ISNUMBER('자료_미국심리'!$G2477),ISNUMBER('자료_미국심리'!$H2477)),'자료_미국심리'!$G2477,"")</f>
        <v/>
      </c>
    </row>
    <row r="2494">
      <c r="O2494">
        <f>IF(AND(ISNUMBER('자료_미국심리'!$A2478),ISNUMBER('자료_미국심리'!$B2478)),'자료_미국심리'!$A2478,"")</f>
        <v/>
      </c>
      <c r="P2494">
        <f>IF(AND(ISNUMBER('자료_미국심리'!$D2478),ISNUMBER('자료_미국심리'!$E2478)),'자료_미국심리'!$D2478,"")</f>
        <v/>
      </c>
      <c r="Q2494">
        <f>IF(AND(ISNUMBER('자료_미국심리'!$G2478),ISNUMBER('자료_미국심리'!$H2478)),'자료_미국심리'!$G2478,"")</f>
        <v/>
      </c>
    </row>
    <row r="2495">
      <c r="O2495">
        <f>IF(AND(ISNUMBER('자료_미국심리'!$A2479),ISNUMBER('자료_미국심리'!$B2479)),'자료_미국심리'!$A2479,"")</f>
        <v/>
      </c>
      <c r="P2495">
        <f>IF(AND(ISNUMBER('자료_미국심리'!$D2479),ISNUMBER('자료_미국심리'!$E2479)),'자료_미국심리'!$D2479,"")</f>
        <v/>
      </c>
      <c r="Q2495">
        <f>IF(AND(ISNUMBER('자료_미국심리'!$G2479),ISNUMBER('자료_미국심리'!$H2479)),'자료_미국심리'!$G2479,"")</f>
        <v/>
      </c>
    </row>
    <row r="2496">
      <c r="O2496">
        <f>IF(AND(ISNUMBER('자료_미국심리'!$A2480),ISNUMBER('자료_미국심리'!$B2480)),'자료_미국심리'!$A2480,"")</f>
        <v/>
      </c>
      <c r="P2496">
        <f>IF(AND(ISNUMBER('자료_미국심리'!$D2480),ISNUMBER('자료_미국심리'!$E2480)),'자료_미국심리'!$D2480,"")</f>
        <v/>
      </c>
      <c r="Q2496">
        <f>IF(AND(ISNUMBER('자료_미국심리'!$G2480),ISNUMBER('자료_미국심리'!$H2480)),'자료_미국심리'!$G2480,"")</f>
        <v/>
      </c>
    </row>
    <row r="2497">
      <c r="O2497">
        <f>IF(AND(ISNUMBER('자료_미국심리'!$A2481),ISNUMBER('자료_미국심리'!$B2481)),'자료_미국심리'!$A2481,"")</f>
        <v/>
      </c>
      <c r="P2497">
        <f>IF(AND(ISNUMBER('자료_미국심리'!$D2481),ISNUMBER('자료_미국심리'!$E2481)),'자료_미국심리'!$D2481,"")</f>
        <v/>
      </c>
      <c r="Q2497">
        <f>IF(AND(ISNUMBER('자료_미국심리'!$G2481),ISNUMBER('자료_미국심리'!$H2481)),'자료_미국심리'!$G2481,"")</f>
        <v/>
      </c>
    </row>
    <row r="2498">
      <c r="O2498">
        <f>IF(AND(ISNUMBER('자료_미국심리'!$A2482),ISNUMBER('자료_미국심리'!$B2482)),'자료_미국심리'!$A2482,"")</f>
        <v/>
      </c>
      <c r="P2498">
        <f>IF(AND(ISNUMBER('자료_미국심리'!$D2482),ISNUMBER('자료_미국심리'!$E2482)),'자료_미국심리'!$D2482,"")</f>
        <v/>
      </c>
      <c r="Q2498">
        <f>IF(AND(ISNUMBER('자료_미국심리'!$G2482),ISNUMBER('자료_미국심리'!$H2482)),'자료_미국심리'!$G2482,"")</f>
        <v/>
      </c>
    </row>
    <row r="2499">
      <c r="O2499">
        <f>IF(AND(ISNUMBER('자료_미국심리'!$A2483),ISNUMBER('자료_미국심리'!$B2483)),'자료_미국심리'!$A2483,"")</f>
        <v/>
      </c>
      <c r="P2499">
        <f>IF(AND(ISNUMBER('자료_미국심리'!$D2483),ISNUMBER('자료_미국심리'!$E2483)),'자료_미국심리'!$D2483,"")</f>
        <v/>
      </c>
      <c r="Q2499">
        <f>IF(AND(ISNUMBER('자료_미국심리'!$G2483),ISNUMBER('자료_미국심리'!$H2483)),'자료_미국심리'!$G2483,"")</f>
        <v/>
      </c>
    </row>
    <row r="2500">
      <c r="O2500">
        <f>IF(AND(ISNUMBER('자료_미국심리'!$A2484),ISNUMBER('자료_미국심리'!$B2484)),'자료_미국심리'!$A2484,"")</f>
        <v/>
      </c>
      <c r="P2500">
        <f>IF(AND(ISNUMBER('자료_미국심리'!$D2484),ISNUMBER('자료_미국심리'!$E2484)),'자료_미국심리'!$D2484,"")</f>
        <v/>
      </c>
      <c r="Q2500">
        <f>IF(AND(ISNUMBER('자료_미국심리'!$G2484),ISNUMBER('자료_미국심리'!$H2484)),'자료_미국심리'!$G2484,"")</f>
        <v/>
      </c>
    </row>
    <row r="2501">
      <c r="O2501">
        <f>IF(AND(ISNUMBER('자료_미국심리'!$A2485),ISNUMBER('자료_미국심리'!$B2485)),'자료_미국심리'!$A2485,"")</f>
        <v/>
      </c>
      <c r="P2501">
        <f>IF(AND(ISNUMBER('자료_미국심리'!$D2485),ISNUMBER('자료_미국심리'!$E2485)),'자료_미국심리'!$D2485,"")</f>
        <v/>
      </c>
      <c r="Q2501">
        <f>IF(AND(ISNUMBER('자료_미국심리'!$G2485),ISNUMBER('자료_미국심리'!$H2485)),'자료_미국심리'!$G2485,"")</f>
        <v/>
      </c>
    </row>
    <row r="2502">
      <c r="O2502">
        <f>IF(AND(ISNUMBER('자료_미국심리'!$A2486),ISNUMBER('자료_미국심리'!$B2486)),'자료_미국심리'!$A2486,"")</f>
        <v/>
      </c>
      <c r="P2502">
        <f>IF(AND(ISNUMBER('자료_미국심리'!$D2486),ISNUMBER('자료_미국심리'!$E2486)),'자료_미국심리'!$D2486,"")</f>
        <v/>
      </c>
      <c r="Q2502">
        <f>IF(AND(ISNUMBER('자료_미국심리'!$G2486),ISNUMBER('자료_미국심리'!$H2486)),'자료_미국심리'!$G2486,"")</f>
        <v/>
      </c>
    </row>
    <row r="2503">
      <c r="O2503">
        <f>IF(AND(ISNUMBER('자료_미국심리'!$A2487),ISNUMBER('자료_미국심리'!$B2487)),'자료_미국심리'!$A2487,"")</f>
        <v/>
      </c>
      <c r="P2503">
        <f>IF(AND(ISNUMBER('자료_미국심리'!$D2487),ISNUMBER('자료_미국심리'!$E2487)),'자료_미국심리'!$D2487,"")</f>
        <v/>
      </c>
      <c r="Q2503">
        <f>IF(AND(ISNUMBER('자료_미국심리'!$G2487),ISNUMBER('자료_미국심리'!$H2487)),'자료_미국심리'!$G2487,"")</f>
        <v/>
      </c>
    </row>
    <row r="2504">
      <c r="O2504">
        <f>IF(AND(ISNUMBER('자료_미국심리'!$A2488),ISNUMBER('자료_미국심리'!$B2488)),'자료_미국심리'!$A2488,"")</f>
        <v/>
      </c>
      <c r="P2504">
        <f>IF(AND(ISNUMBER('자료_미국심리'!$D2488),ISNUMBER('자료_미국심리'!$E2488)),'자료_미국심리'!$D2488,"")</f>
        <v/>
      </c>
      <c r="Q2504">
        <f>IF(AND(ISNUMBER('자료_미국심리'!$G2488),ISNUMBER('자료_미국심리'!$H2488)),'자료_미국심리'!$G2488,"")</f>
        <v/>
      </c>
    </row>
    <row r="2505">
      <c r="O2505">
        <f>IF(AND(ISNUMBER('자료_미국심리'!$A2489),ISNUMBER('자료_미국심리'!$B2489)),'자료_미국심리'!$A2489,"")</f>
        <v/>
      </c>
      <c r="P2505">
        <f>IF(AND(ISNUMBER('자료_미국심리'!$D2489),ISNUMBER('자료_미국심리'!$E2489)),'자료_미국심리'!$D2489,"")</f>
        <v/>
      </c>
      <c r="Q2505">
        <f>IF(AND(ISNUMBER('자료_미국심리'!$G2489),ISNUMBER('자료_미국심리'!$H2489)),'자료_미국심리'!$G2489,"")</f>
        <v/>
      </c>
    </row>
    <row r="2506">
      <c r="O2506">
        <f>IF(AND(ISNUMBER('자료_미국심리'!$A2490),ISNUMBER('자료_미국심리'!$B2490)),'자료_미국심리'!$A2490,"")</f>
        <v/>
      </c>
      <c r="P2506">
        <f>IF(AND(ISNUMBER('자료_미국심리'!$D2490),ISNUMBER('자료_미국심리'!$E2490)),'자료_미국심리'!$D2490,"")</f>
        <v/>
      </c>
      <c r="Q2506">
        <f>IF(AND(ISNUMBER('자료_미국심리'!$G2490),ISNUMBER('자료_미국심리'!$H2490)),'자료_미국심리'!$G2490,"")</f>
        <v/>
      </c>
    </row>
    <row r="2507">
      <c r="O2507">
        <f>IF(AND(ISNUMBER('자료_미국심리'!$A2491),ISNUMBER('자료_미국심리'!$B2491)),'자료_미국심리'!$A2491,"")</f>
        <v/>
      </c>
      <c r="P2507">
        <f>IF(AND(ISNUMBER('자료_미국심리'!$D2491),ISNUMBER('자료_미국심리'!$E2491)),'자료_미국심리'!$D2491,"")</f>
        <v/>
      </c>
      <c r="Q2507">
        <f>IF(AND(ISNUMBER('자료_미국심리'!$G2491),ISNUMBER('자료_미국심리'!$H2491)),'자료_미국심리'!$G2491,"")</f>
        <v/>
      </c>
    </row>
    <row r="2508">
      <c r="O2508">
        <f>IF(AND(ISNUMBER('자료_미국심리'!$A2492),ISNUMBER('자료_미국심리'!$B2492)),'자료_미국심리'!$A2492,"")</f>
        <v/>
      </c>
      <c r="P2508">
        <f>IF(AND(ISNUMBER('자료_미국심리'!$D2492),ISNUMBER('자료_미국심리'!$E2492)),'자료_미국심리'!$D2492,"")</f>
        <v/>
      </c>
      <c r="Q2508">
        <f>IF(AND(ISNUMBER('자료_미국심리'!$G2492),ISNUMBER('자료_미국심리'!$H2492)),'자료_미국심리'!$G2492,"")</f>
        <v/>
      </c>
    </row>
    <row r="2509">
      <c r="O2509">
        <f>IF(AND(ISNUMBER('자료_미국심리'!$A2493),ISNUMBER('자료_미국심리'!$B2493)),'자료_미국심리'!$A2493,"")</f>
        <v/>
      </c>
      <c r="P2509">
        <f>IF(AND(ISNUMBER('자료_미국심리'!$D2493),ISNUMBER('자료_미국심리'!$E2493)),'자료_미국심리'!$D2493,"")</f>
        <v/>
      </c>
      <c r="Q2509">
        <f>IF(AND(ISNUMBER('자료_미국심리'!$G2493),ISNUMBER('자료_미국심리'!$H2493)),'자료_미국심리'!$G2493,"")</f>
        <v/>
      </c>
    </row>
    <row r="2510">
      <c r="O2510">
        <f>IF(AND(ISNUMBER('자료_미국심리'!$A2494),ISNUMBER('자료_미국심리'!$B2494)),'자료_미국심리'!$A2494,"")</f>
        <v/>
      </c>
      <c r="P2510">
        <f>IF(AND(ISNUMBER('자료_미국심리'!$D2494),ISNUMBER('자료_미국심리'!$E2494)),'자료_미국심리'!$D2494,"")</f>
        <v/>
      </c>
      <c r="Q2510">
        <f>IF(AND(ISNUMBER('자료_미국심리'!$G2494),ISNUMBER('자료_미국심리'!$H2494)),'자료_미국심리'!$G2494,"")</f>
        <v/>
      </c>
    </row>
    <row r="2511">
      <c r="O2511">
        <f>IF(AND(ISNUMBER('자료_미국심리'!$A2495),ISNUMBER('자료_미국심리'!$B2495)),'자료_미국심리'!$A2495,"")</f>
        <v/>
      </c>
      <c r="P2511">
        <f>IF(AND(ISNUMBER('자료_미국심리'!$D2495),ISNUMBER('자료_미국심리'!$E2495)),'자료_미국심리'!$D2495,"")</f>
        <v/>
      </c>
      <c r="Q2511">
        <f>IF(AND(ISNUMBER('자료_미국심리'!$G2495),ISNUMBER('자료_미국심리'!$H2495)),'자료_미국심리'!$G2495,"")</f>
        <v/>
      </c>
    </row>
    <row r="2512">
      <c r="O2512">
        <f>IF(AND(ISNUMBER('자료_미국심리'!$A2496),ISNUMBER('자료_미국심리'!$B2496)),'자료_미국심리'!$A2496,"")</f>
        <v/>
      </c>
      <c r="P2512">
        <f>IF(AND(ISNUMBER('자료_미국심리'!$D2496),ISNUMBER('자료_미국심리'!$E2496)),'자료_미국심리'!$D2496,"")</f>
        <v/>
      </c>
      <c r="Q2512">
        <f>IF(AND(ISNUMBER('자료_미국심리'!$G2496),ISNUMBER('자료_미국심리'!$H2496)),'자료_미국심리'!$G2496,"")</f>
        <v/>
      </c>
    </row>
    <row r="2513">
      <c r="O2513">
        <f>IF(AND(ISNUMBER('자료_미국심리'!$A2497),ISNUMBER('자료_미국심리'!$B2497)),'자료_미국심리'!$A2497,"")</f>
        <v/>
      </c>
      <c r="P2513">
        <f>IF(AND(ISNUMBER('자료_미국심리'!$D2497),ISNUMBER('자료_미국심리'!$E2497)),'자료_미국심리'!$D2497,"")</f>
        <v/>
      </c>
      <c r="Q2513">
        <f>IF(AND(ISNUMBER('자료_미국심리'!$G2497),ISNUMBER('자료_미국심리'!$H2497)),'자료_미국심리'!$G2497,"")</f>
        <v/>
      </c>
    </row>
    <row r="2514">
      <c r="O2514">
        <f>IF(AND(ISNUMBER('자료_미국심리'!$A2498),ISNUMBER('자료_미국심리'!$B2498)),'자료_미국심리'!$A2498,"")</f>
        <v/>
      </c>
      <c r="P2514">
        <f>IF(AND(ISNUMBER('자료_미국심리'!$D2498),ISNUMBER('자료_미국심리'!$E2498)),'자료_미국심리'!$D2498,"")</f>
        <v/>
      </c>
      <c r="Q2514">
        <f>IF(AND(ISNUMBER('자료_미국심리'!$G2498),ISNUMBER('자료_미국심리'!$H2498)),'자료_미국심리'!$G2498,"")</f>
        <v/>
      </c>
    </row>
    <row r="2515">
      <c r="O2515">
        <f>IF(AND(ISNUMBER('자료_미국심리'!$A2499),ISNUMBER('자료_미국심리'!$B2499)),'자료_미국심리'!$A2499,"")</f>
        <v/>
      </c>
      <c r="P2515">
        <f>IF(AND(ISNUMBER('자료_미국심리'!$D2499),ISNUMBER('자료_미국심리'!$E2499)),'자료_미국심리'!$D2499,"")</f>
        <v/>
      </c>
      <c r="Q2515">
        <f>IF(AND(ISNUMBER('자료_미국심리'!$G2499),ISNUMBER('자료_미국심리'!$H2499)),'자료_미국심리'!$G2499,"")</f>
        <v/>
      </c>
    </row>
    <row r="2516">
      <c r="O2516">
        <f>IF(AND(ISNUMBER('자료_미국심리'!$A2500),ISNUMBER('자료_미국심리'!$B2500)),'자료_미국심리'!$A2500,"")</f>
        <v/>
      </c>
      <c r="P2516">
        <f>IF(AND(ISNUMBER('자료_미국심리'!$D2500),ISNUMBER('자료_미국심리'!$E2500)),'자료_미국심리'!$D2500,"")</f>
        <v/>
      </c>
      <c r="Q2516">
        <f>IF(AND(ISNUMBER('자료_미국심리'!$G2500),ISNUMBER('자료_미국심리'!$H2500)),'자료_미국심리'!$G2500,"")</f>
        <v/>
      </c>
    </row>
    <row r="2517">
      <c r="O2517">
        <f>IF(AND(ISNUMBER('자료_미국심리'!$A2501),ISNUMBER('자료_미국심리'!$B2501)),'자료_미국심리'!$A2501,"")</f>
        <v/>
      </c>
      <c r="P2517">
        <f>IF(AND(ISNUMBER('자료_미국심리'!$D2501),ISNUMBER('자료_미국심리'!$E2501)),'자료_미국심리'!$D2501,"")</f>
        <v/>
      </c>
      <c r="Q2517">
        <f>IF(AND(ISNUMBER('자료_미국심리'!$G2501),ISNUMBER('자료_미국심리'!$H2501)),'자료_미국심리'!$G2501,"")</f>
        <v/>
      </c>
    </row>
    <row r="2518">
      <c r="O2518">
        <f>IF(AND(ISNUMBER('자료_미국심리'!$A2502),ISNUMBER('자료_미국심리'!$B2502)),'자료_미국심리'!$A2502,"")</f>
        <v/>
      </c>
      <c r="P2518">
        <f>IF(AND(ISNUMBER('자료_미국심리'!$D2502),ISNUMBER('자료_미국심리'!$E2502)),'자료_미국심리'!$D2502,"")</f>
        <v/>
      </c>
      <c r="Q2518">
        <f>IF(AND(ISNUMBER('자료_미국심리'!$G2502),ISNUMBER('자료_미국심리'!$H2502)),'자료_미국심리'!$G2502,"")</f>
        <v/>
      </c>
    </row>
    <row r="2519">
      <c r="O2519">
        <f>IF(AND(ISNUMBER('자료_미국심리'!$A2503),ISNUMBER('자료_미국심리'!$B2503)),'자료_미국심리'!$A2503,"")</f>
        <v/>
      </c>
      <c r="P2519">
        <f>IF(AND(ISNUMBER('자료_미국심리'!$D2503),ISNUMBER('자료_미국심리'!$E2503)),'자료_미국심리'!$D2503,"")</f>
        <v/>
      </c>
      <c r="Q2519">
        <f>IF(AND(ISNUMBER('자료_미국심리'!$G2503),ISNUMBER('자료_미국심리'!$H2503)),'자료_미국심리'!$G2503,"")</f>
        <v/>
      </c>
    </row>
    <row r="2520">
      <c r="O2520">
        <f>IF(AND(ISNUMBER('자료_미국심리'!$A2504),ISNUMBER('자료_미국심리'!$B2504)),'자료_미국심리'!$A2504,"")</f>
        <v/>
      </c>
      <c r="P2520">
        <f>IF(AND(ISNUMBER('자료_미국심리'!$D2504),ISNUMBER('자료_미국심리'!$E2504)),'자료_미국심리'!$D2504,"")</f>
        <v/>
      </c>
      <c r="Q2520">
        <f>IF(AND(ISNUMBER('자료_미국심리'!$G2504),ISNUMBER('자료_미국심리'!$H2504)),'자료_미국심리'!$G2504,"")</f>
        <v/>
      </c>
    </row>
    <row r="2521">
      <c r="O2521">
        <f>IF(AND(ISNUMBER('자료_미국심리'!$A2505),ISNUMBER('자료_미국심리'!$B2505)),'자료_미국심리'!$A2505,"")</f>
        <v/>
      </c>
      <c r="P2521">
        <f>IF(AND(ISNUMBER('자료_미국심리'!$D2505),ISNUMBER('자료_미국심리'!$E2505)),'자료_미국심리'!$D2505,"")</f>
        <v/>
      </c>
      <c r="Q2521">
        <f>IF(AND(ISNUMBER('자료_미국심리'!$G2505),ISNUMBER('자료_미국심리'!$H2505)),'자료_미국심리'!$G2505,"")</f>
        <v/>
      </c>
    </row>
    <row r="2522">
      <c r="O2522">
        <f>IF(AND(ISNUMBER('자료_미국심리'!$A2506),ISNUMBER('자료_미국심리'!$B2506)),'자료_미국심리'!$A2506,"")</f>
        <v/>
      </c>
      <c r="P2522">
        <f>IF(AND(ISNUMBER('자료_미국심리'!$D2506),ISNUMBER('자료_미국심리'!$E2506)),'자료_미국심리'!$D2506,"")</f>
        <v/>
      </c>
      <c r="Q2522">
        <f>IF(AND(ISNUMBER('자료_미국심리'!$G2506),ISNUMBER('자료_미국심리'!$H2506)),'자료_미국심리'!$G2506,"")</f>
        <v/>
      </c>
    </row>
    <row r="2523">
      <c r="O2523">
        <f>IF(AND(ISNUMBER('자료_미국심리'!$A2507),ISNUMBER('자료_미국심리'!$B2507)),'자료_미국심리'!$A2507,"")</f>
        <v/>
      </c>
      <c r="P2523">
        <f>IF(AND(ISNUMBER('자료_미국심리'!$D2507),ISNUMBER('자료_미국심리'!$E2507)),'자료_미국심리'!$D2507,"")</f>
        <v/>
      </c>
      <c r="Q2523">
        <f>IF(AND(ISNUMBER('자료_미국심리'!$G2507),ISNUMBER('자료_미국심리'!$H2507)),'자료_미국심리'!$G2507,"")</f>
        <v/>
      </c>
    </row>
    <row r="2524">
      <c r="O2524">
        <f>IF(AND(ISNUMBER('자료_미국심리'!$A2508),ISNUMBER('자료_미국심리'!$B2508)),'자료_미국심리'!$A2508,"")</f>
        <v/>
      </c>
      <c r="P2524">
        <f>IF(AND(ISNUMBER('자료_미국심리'!$D2508),ISNUMBER('자료_미국심리'!$E2508)),'자료_미국심리'!$D2508,"")</f>
        <v/>
      </c>
      <c r="Q2524">
        <f>IF(AND(ISNUMBER('자료_미국심리'!$G2508),ISNUMBER('자료_미국심리'!$H2508)),'자료_미국심리'!$G2508,"")</f>
        <v/>
      </c>
    </row>
    <row r="2525">
      <c r="O2525">
        <f>IF(AND(ISNUMBER('자료_미국심리'!$A2509),ISNUMBER('자료_미국심리'!$B2509)),'자료_미국심리'!$A2509,"")</f>
        <v/>
      </c>
      <c r="P2525">
        <f>IF(AND(ISNUMBER('자료_미국심리'!$D2509),ISNUMBER('자료_미국심리'!$E2509)),'자료_미국심리'!$D2509,"")</f>
        <v/>
      </c>
      <c r="Q2525">
        <f>IF(AND(ISNUMBER('자료_미국심리'!$G2509),ISNUMBER('자료_미국심리'!$H2509)),'자료_미국심리'!$G2509,"")</f>
        <v/>
      </c>
    </row>
    <row r="2526">
      <c r="O2526">
        <f>IF(AND(ISNUMBER('자료_미국심리'!$A2510),ISNUMBER('자료_미국심리'!$B2510)),'자료_미국심리'!$A2510,"")</f>
        <v/>
      </c>
      <c r="P2526">
        <f>IF(AND(ISNUMBER('자료_미국심리'!$D2510),ISNUMBER('자료_미국심리'!$E2510)),'자료_미국심리'!$D2510,"")</f>
        <v/>
      </c>
      <c r="Q2526">
        <f>IF(AND(ISNUMBER('자료_미국심리'!$G2510),ISNUMBER('자료_미국심리'!$H2510)),'자료_미국심리'!$G2510,"")</f>
        <v/>
      </c>
    </row>
    <row r="2527">
      <c r="O2527">
        <f>IF(AND(ISNUMBER('자료_미국심리'!$A2511),ISNUMBER('자료_미국심리'!$B2511)),'자료_미국심리'!$A2511,"")</f>
        <v/>
      </c>
      <c r="P2527">
        <f>IF(AND(ISNUMBER('자료_미국심리'!$D2511),ISNUMBER('자료_미국심리'!$E2511)),'자료_미국심리'!$D2511,"")</f>
        <v/>
      </c>
      <c r="Q2527">
        <f>IF(AND(ISNUMBER('자료_미국심리'!$G2511),ISNUMBER('자료_미국심리'!$H2511)),'자료_미국심리'!$G2511,"")</f>
        <v/>
      </c>
    </row>
    <row r="2528">
      <c r="O2528">
        <f>IF(AND(ISNUMBER('자료_미국심리'!$A2512),ISNUMBER('자료_미국심리'!$B2512)),'자료_미국심리'!$A2512,"")</f>
        <v/>
      </c>
      <c r="P2528">
        <f>IF(AND(ISNUMBER('자료_미국심리'!$D2512),ISNUMBER('자료_미국심리'!$E2512)),'자료_미국심리'!$D2512,"")</f>
        <v/>
      </c>
      <c r="Q2528">
        <f>IF(AND(ISNUMBER('자료_미국심리'!$G2512),ISNUMBER('자료_미국심리'!$H2512)),'자료_미국심리'!$G2512,"")</f>
        <v/>
      </c>
    </row>
    <row r="2529">
      <c r="O2529">
        <f>IF(AND(ISNUMBER('자료_미국심리'!$A2513),ISNUMBER('자료_미국심리'!$B2513)),'자료_미국심리'!$A2513,"")</f>
        <v/>
      </c>
      <c r="P2529">
        <f>IF(AND(ISNUMBER('자료_미국심리'!$D2513),ISNUMBER('자료_미국심리'!$E2513)),'자료_미국심리'!$D2513,"")</f>
        <v/>
      </c>
      <c r="Q2529">
        <f>IF(AND(ISNUMBER('자료_미국심리'!$G2513),ISNUMBER('자료_미국심리'!$H2513)),'자료_미국심리'!$G2513,"")</f>
        <v/>
      </c>
    </row>
    <row r="2530">
      <c r="O2530">
        <f>IF(AND(ISNUMBER('자료_미국심리'!$A2514),ISNUMBER('자료_미국심리'!$B2514)),'자료_미국심리'!$A2514,"")</f>
        <v/>
      </c>
      <c r="P2530">
        <f>IF(AND(ISNUMBER('자료_미국심리'!$D2514),ISNUMBER('자료_미국심리'!$E2514)),'자료_미국심리'!$D2514,"")</f>
        <v/>
      </c>
      <c r="Q2530">
        <f>IF(AND(ISNUMBER('자료_미국심리'!$G2514),ISNUMBER('자료_미국심리'!$H2514)),'자료_미국심리'!$G2514,"")</f>
        <v/>
      </c>
    </row>
    <row r="2531">
      <c r="O2531">
        <f>IF(AND(ISNUMBER('자료_미국심리'!$A2515),ISNUMBER('자료_미국심리'!$B2515)),'자료_미국심리'!$A2515,"")</f>
        <v/>
      </c>
      <c r="P2531">
        <f>IF(AND(ISNUMBER('자료_미국심리'!$D2515),ISNUMBER('자료_미국심리'!$E2515)),'자료_미국심리'!$D2515,"")</f>
        <v/>
      </c>
      <c r="Q2531">
        <f>IF(AND(ISNUMBER('자료_미국심리'!$G2515),ISNUMBER('자료_미국심리'!$H2515)),'자료_미국심리'!$G2515,"")</f>
        <v/>
      </c>
    </row>
    <row r="2532">
      <c r="O2532">
        <f>IF(AND(ISNUMBER('자료_미국심리'!$A2516),ISNUMBER('자료_미국심리'!$B2516)),'자료_미국심리'!$A2516,"")</f>
        <v/>
      </c>
      <c r="P2532">
        <f>IF(AND(ISNUMBER('자료_미국심리'!$D2516),ISNUMBER('자료_미국심리'!$E2516)),'자료_미국심리'!$D2516,"")</f>
        <v/>
      </c>
      <c r="Q2532">
        <f>IF(AND(ISNUMBER('자료_미국심리'!$G2516),ISNUMBER('자료_미국심리'!$H2516)),'자료_미국심리'!$G2516,"")</f>
        <v/>
      </c>
    </row>
    <row r="2533">
      <c r="O2533">
        <f>IF(AND(ISNUMBER('자료_미국심리'!$A2517),ISNUMBER('자료_미국심리'!$B2517)),'자료_미국심리'!$A2517,"")</f>
        <v/>
      </c>
      <c r="P2533">
        <f>IF(AND(ISNUMBER('자료_미국심리'!$D2517),ISNUMBER('자료_미국심리'!$E2517)),'자료_미국심리'!$D2517,"")</f>
        <v/>
      </c>
      <c r="Q2533">
        <f>IF(AND(ISNUMBER('자료_미국심리'!$G2517),ISNUMBER('자료_미국심리'!$H2517)),'자료_미국심리'!$G2517,"")</f>
        <v/>
      </c>
    </row>
    <row r="2534">
      <c r="O2534">
        <f>IF(AND(ISNUMBER('자료_미국심리'!$A2518),ISNUMBER('자료_미국심리'!$B2518)),'자료_미국심리'!$A2518,"")</f>
        <v/>
      </c>
      <c r="P2534">
        <f>IF(AND(ISNUMBER('자료_미국심리'!$D2518),ISNUMBER('자료_미국심리'!$E2518)),'자료_미국심리'!$D2518,"")</f>
        <v/>
      </c>
      <c r="Q2534">
        <f>IF(AND(ISNUMBER('자료_미국심리'!$G2518),ISNUMBER('자료_미국심리'!$H2518)),'자료_미국심리'!$G2518,"")</f>
        <v/>
      </c>
    </row>
    <row r="2535">
      <c r="O2535">
        <f>IF(AND(ISNUMBER('자료_미국심리'!$A2519),ISNUMBER('자료_미국심리'!$B2519)),'자료_미국심리'!$A2519,"")</f>
        <v/>
      </c>
      <c r="P2535">
        <f>IF(AND(ISNUMBER('자료_미국심리'!$D2519),ISNUMBER('자료_미국심리'!$E2519)),'자료_미국심리'!$D2519,"")</f>
        <v/>
      </c>
      <c r="Q2535">
        <f>IF(AND(ISNUMBER('자료_미국심리'!$G2519),ISNUMBER('자료_미국심리'!$H2519)),'자료_미국심리'!$G2519,"")</f>
        <v/>
      </c>
    </row>
    <row r="2536">
      <c r="O2536">
        <f>IF(AND(ISNUMBER('자료_미국심리'!$A2520),ISNUMBER('자료_미국심리'!$B2520)),'자료_미국심리'!$A2520,"")</f>
        <v/>
      </c>
      <c r="P2536">
        <f>IF(AND(ISNUMBER('자료_미국심리'!$D2520),ISNUMBER('자료_미국심리'!$E2520)),'자료_미국심리'!$D2520,"")</f>
        <v/>
      </c>
      <c r="Q2536">
        <f>IF(AND(ISNUMBER('자료_미국심리'!$G2520),ISNUMBER('자료_미국심리'!$H2520)),'자료_미국심리'!$G2520,"")</f>
        <v/>
      </c>
    </row>
    <row r="2537">
      <c r="O2537">
        <f>IF(AND(ISNUMBER('자료_미국심리'!$A2521),ISNUMBER('자료_미국심리'!$B2521)),'자료_미국심리'!$A2521,"")</f>
        <v/>
      </c>
      <c r="P2537">
        <f>IF(AND(ISNUMBER('자료_미국심리'!$D2521),ISNUMBER('자료_미국심리'!$E2521)),'자료_미국심리'!$D2521,"")</f>
        <v/>
      </c>
      <c r="Q2537">
        <f>IF(AND(ISNUMBER('자료_미국심리'!$G2521),ISNUMBER('자료_미국심리'!$H2521)),'자료_미국심리'!$G2521,"")</f>
        <v/>
      </c>
    </row>
    <row r="2538">
      <c r="O2538">
        <f>IF(AND(ISNUMBER('자료_미국심리'!$A2522),ISNUMBER('자료_미국심리'!$B2522)),'자료_미국심리'!$A2522,"")</f>
        <v/>
      </c>
      <c r="P2538">
        <f>IF(AND(ISNUMBER('자료_미국심리'!$D2522),ISNUMBER('자료_미국심리'!$E2522)),'자료_미국심리'!$D2522,"")</f>
        <v/>
      </c>
      <c r="Q2538">
        <f>IF(AND(ISNUMBER('자료_미국심리'!$G2522),ISNUMBER('자료_미국심리'!$H2522)),'자료_미국심리'!$G2522,"")</f>
        <v/>
      </c>
    </row>
    <row r="2539">
      <c r="O2539">
        <f>IF(AND(ISNUMBER('자료_미국심리'!$A2523),ISNUMBER('자료_미국심리'!$B2523)),'자료_미국심리'!$A2523,"")</f>
        <v/>
      </c>
      <c r="P2539">
        <f>IF(AND(ISNUMBER('자료_미국심리'!$D2523),ISNUMBER('자료_미국심리'!$E2523)),'자료_미국심리'!$D2523,"")</f>
        <v/>
      </c>
      <c r="Q2539">
        <f>IF(AND(ISNUMBER('자료_미국심리'!$G2523),ISNUMBER('자료_미국심리'!$H2523)),'자료_미국심리'!$G2523,"")</f>
        <v/>
      </c>
    </row>
    <row r="2540">
      <c r="O2540">
        <f>IF(AND(ISNUMBER('자료_미국심리'!$A2524),ISNUMBER('자료_미국심리'!$B2524)),'자료_미국심리'!$A2524,"")</f>
        <v/>
      </c>
      <c r="P2540">
        <f>IF(AND(ISNUMBER('자료_미국심리'!$D2524),ISNUMBER('자료_미국심리'!$E2524)),'자료_미국심리'!$D2524,"")</f>
        <v/>
      </c>
      <c r="Q2540">
        <f>IF(AND(ISNUMBER('자료_미국심리'!$G2524),ISNUMBER('자료_미국심리'!$H2524)),'자료_미국심리'!$G2524,"")</f>
        <v/>
      </c>
    </row>
    <row r="2541">
      <c r="O2541">
        <f>IF(AND(ISNUMBER('자료_미국심리'!$A2525),ISNUMBER('자료_미국심리'!$B2525)),'자료_미국심리'!$A2525,"")</f>
        <v/>
      </c>
      <c r="P2541">
        <f>IF(AND(ISNUMBER('자료_미국심리'!$D2525),ISNUMBER('자료_미국심리'!$E2525)),'자료_미국심리'!$D2525,"")</f>
        <v/>
      </c>
      <c r="Q2541">
        <f>IF(AND(ISNUMBER('자료_미국심리'!$G2525),ISNUMBER('자료_미국심리'!$H2525)),'자료_미국심리'!$G2525,"")</f>
        <v/>
      </c>
    </row>
    <row r="2542">
      <c r="O2542">
        <f>IF(AND(ISNUMBER('자료_미국심리'!$A2526),ISNUMBER('자료_미국심리'!$B2526)),'자료_미국심리'!$A2526,"")</f>
        <v/>
      </c>
      <c r="P2542">
        <f>IF(AND(ISNUMBER('자료_미국심리'!$D2526),ISNUMBER('자료_미국심리'!$E2526)),'자료_미국심리'!$D2526,"")</f>
        <v/>
      </c>
      <c r="Q2542">
        <f>IF(AND(ISNUMBER('자료_미국심리'!$G2526),ISNUMBER('자료_미국심리'!$H2526)),'자료_미국심리'!$G2526,"")</f>
        <v/>
      </c>
    </row>
    <row r="2543">
      <c r="O2543">
        <f>IF(AND(ISNUMBER('자료_미국심리'!$A2527),ISNUMBER('자료_미국심리'!$B2527)),'자료_미국심리'!$A2527,"")</f>
        <v/>
      </c>
      <c r="P2543">
        <f>IF(AND(ISNUMBER('자료_미국심리'!$D2527),ISNUMBER('자료_미국심리'!$E2527)),'자료_미국심리'!$D2527,"")</f>
        <v/>
      </c>
      <c r="Q2543">
        <f>IF(AND(ISNUMBER('자료_미국심리'!$G2527),ISNUMBER('자료_미국심리'!$H2527)),'자료_미국심리'!$G2527,"")</f>
        <v/>
      </c>
    </row>
    <row r="2544">
      <c r="O2544">
        <f>IF(AND(ISNUMBER('자료_미국심리'!$A2528),ISNUMBER('자료_미국심리'!$B2528)),'자료_미국심리'!$A2528,"")</f>
        <v/>
      </c>
      <c r="P2544">
        <f>IF(AND(ISNUMBER('자료_미국심리'!$D2528),ISNUMBER('자료_미국심리'!$E2528)),'자료_미국심리'!$D2528,"")</f>
        <v/>
      </c>
      <c r="Q2544">
        <f>IF(AND(ISNUMBER('자료_미국심리'!$G2528),ISNUMBER('자료_미국심리'!$H2528)),'자료_미국심리'!$G2528,"")</f>
        <v/>
      </c>
    </row>
    <row r="2545">
      <c r="O2545">
        <f>IF(AND(ISNUMBER('자료_미국심리'!$A2529),ISNUMBER('자료_미국심리'!$B2529)),'자료_미국심리'!$A2529,"")</f>
        <v/>
      </c>
      <c r="P2545">
        <f>IF(AND(ISNUMBER('자료_미국심리'!$D2529),ISNUMBER('자료_미국심리'!$E2529)),'자료_미국심리'!$D2529,"")</f>
        <v/>
      </c>
      <c r="Q2545">
        <f>IF(AND(ISNUMBER('자료_미국심리'!$G2529),ISNUMBER('자료_미국심리'!$H2529)),'자료_미국심리'!$G2529,"")</f>
        <v/>
      </c>
    </row>
    <row r="2546">
      <c r="O2546">
        <f>IF(AND(ISNUMBER('자료_미국심리'!$A2530),ISNUMBER('자료_미국심리'!$B2530)),'자료_미국심리'!$A2530,"")</f>
        <v/>
      </c>
      <c r="P2546">
        <f>IF(AND(ISNUMBER('자료_미국심리'!$D2530),ISNUMBER('자료_미국심리'!$E2530)),'자료_미국심리'!$D2530,"")</f>
        <v/>
      </c>
      <c r="Q2546">
        <f>IF(AND(ISNUMBER('자료_미국심리'!$G2530),ISNUMBER('자료_미국심리'!$H2530)),'자료_미국심리'!$G2530,"")</f>
        <v/>
      </c>
    </row>
    <row r="2547">
      <c r="O2547">
        <f>IF(AND(ISNUMBER('자료_미국심리'!$A2531),ISNUMBER('자료_미국심리'!$B2531)),'자료_미국심리'!$A2531,"")</f>
        <v/>
      </c>
      <c r="P2547">
        <f>IF(AND(ISNUMBER('자료_미국심리'!$D2531),ISNUMBER('자료_미국심리'!$E2531)),'자료_미국심리'!$D2531,"")</f>
        <v/>
      </c>
      <c r="Q2547">
        <f>IF(AND(ISNUMBER('자료_미국심리'!$G2531),ISNUMBER('자료_미국심리'!$H2531)),'자료_미국심리'!$G2531,"")</f>
        <v/>
      </c>
    </row>
    <row r="2548">
      <c r="O2548">
        <f>IF(AND(ISNUMBER('자료_미국심리'!$A2532),ISNUMBER('자료_미국심리'!$B2532)),'자료_미국심리'!$A2532,"")</f>
        <v/>
      </c>
      <c r="P2548">
        <f>IF(AND(ISNUMBER('자료_미국심리'!$D2532),ISNUMBER('자료_미국심리'!$E2532)),'자료_미국심리'!$D2532,"")</f>
        <v/>
      </c>
      <c r="Q2548">
        <f>IF(AND(ISNUMBER('자료_미국심리'!$G2532),ISNUMBER('자료_미국심리'!$H2532)),'자료_미국심리'!$G2532,"")</f>
        <v/>
      </c>
    </row>
    <row r="2549">
      <c r="O2549">
        <f>IF(AND(ISNUMBER('자료_미국심리'!$A2533),ISNUMBER('자료_미국심리'!$B2533)),'자료_미국심리'!$A2533,"")</f>
        <v/>
      </c>
      <c r="P2549">
        <f>IF(AND(ISNUMBER('자료_미국심리'!$D2533),ISNUMBER('자료_미국심리'!$E2533)),'자료_미국심리'!$D2533,"")</f>
        <v/>
      </c>
      <c r="Q2549">
        <f>IF(AND(ISNUMBER('자료_미국심리'!$G2533),ISNUMBER('자료_미국심리'!$H2533)),'자료_미국심리'!$G2533,"")</f>
        <v/>
      </c>
    </row>
    <row r="2550">
      <c r="O2550">
        <f>IF(AND(ISNUMBER('자료_미국심리'!$A2534),ISNUMBER('자료_미국심리'!$B2534)),'자료_미국심리'!$A2534,"")</f>
        <v/>
      </c>
      <c r="P2550">
        <f>IF(AND(ISNUMBER('자료_미국심리'!$D2534),ISNUMBER('자료_미국심리'!$E2534)),'자료_미국심리'!$D2534,"")</f>
        <v/>
      </c>
      <c r="Q2550">
        <f>IF(AND(ISNUMBER('자료_미국심리'!$G2534),ISNUMBER('자료_미국심리'!$H2534)),'자료_미국심리'!$G2534,"")</f>
        <v/>
      </c>
    </row>
    <row r="2551">
      <c r="O2551">
        <f>IF(AND(ISNUMBER('자료_미국심리'!$A2535),ISNUMBER('자료_미국심리'!$B2535)),'자료_미국심리'!$A2535,"")</f>
        <v/>
      </c>
      <c r="P2551">
        <f>IF(AND(ISNUMBER('자료_미국심리'!$D2535),ISNUMBER('자료_미국심리'!$E2535)),'자료_미국심리'!$D2535,"")</f>
        <v/>
      </c>
      <c r="Q2551">
        <f>IF(AND(ISNUMBER('자료_미국심리'!$G2535),ISNUMBER('자료_미국심리'!$H2535)),'자료_미국심리'!$G2535,"")</f>
        <v/>
      </c>
    </row>
    <row r="2552">
      <c r="O2552">
        <f>IF(AND(ISNUMBER('자료_미국심리'!$A2536),ISNUMBER('자료_미국심리'!$B2536)),'자료_미국심리'!$A2536,"")</f>
        <v/>
      </c>
      <c r="P2552">
        <f>IF(AND(ISNUMBER('자료_미국심리'!$D2536),ISNUMBER('자료_미국심리'!$E2536)),'자료_미국심리'!$D2536,"")</f>
        <v/>
      </c>
      <c r="Q2552">
        <f>IF(AND(ISNUMBER('자료_미국심리'!$G2536),ISNUMBER('자료_미국심리'!$H2536)),'자료_미국심리'!$G2536,"")</f>
        <v/>
      </c>
    </row>
    <row r="2553">
      <c r="O2553">
        <f>IF(AND(ISNUMBER('자료_미국심리'!$A2537),ISNUMBER('자료_미국심리'!$B2537)),'자료_미국심리'!$A2537,"")</f>
        <v/>
      </c>
      <c r="P2553">
        <f>IF(AND(ISNUMBER('자료_미국심리'!$D2537),ISNUMBER('자료_미국심리'!$E2537)),'자료_미국심리'!$D2537,"")</f>
        <v/>
      </c>
      <c r="Q2553">
        <f>IF(AND(ISNUMBER('자료_미국심리'!$G2537),ISNUMBER('자료_미국심리'!$H2537)),'자료_미국심리'!$G2537,"")</f>
        <v/>
      </c>
    </row>
    <row r="2554">
      <c r="O2554">
        <f>IF(AND(ISNUMBER('자료_미국심리'!$A2538),ISNUMBER('자료_미국심리'!$B2538)),'자료_미국심리'!$A2538,"")</f>
        <v/>
      </c>
      <c r="P2554">
        <f>IF(AND(ISNUMBER('자료_미국심리'!$D2538),ISNUMBER('자료_미국심리'!$E2538)),'자료_미국심리'!$D2538,"")</f>
        <v/>
      </c>
      <c r="Q2554">
        <f>IF(AND(ISNUMBER('자료_미국심리'!$G2538),ISNUMBER('자료_미국심리'!$H2538)),'자료_미국심리'!$G2538,"")</f>
        <v/>
      </c>
    </row>
    <row r="2555">
      <c r="O2555">
        <f>IF(AND(ISNUMBER('자료_미국심리'!$A2539),ISNUMBER('자료_미국심리'!$B2539)),'자료_미국심리'!$A2539,"")</f>
        <v/>
      </c>
      <c r="P2555">
        <f>IF(AND(ISNUMBER('자료_미국심리'!$D2539),ISNUMBER('자료_미국심리'!$E2539)),'자료_미국심리'!$D2539,"")</f>
        <v/>
      </c>
      <c r="Q2555">
        <f>IF(AND(ISNUMBER('자료_미국심리'!$G2539),ISNUMBER('자료_미국심리'!$H2539)),'자료_미국심리'!$G2539,"")</f>
        <v/>
      </c>
    </row>
    <row r="2556">
      <c r="O2556">
        <f>IF(AND(ISNUMBER('자료_미국심리'!$A2540),ISNUMBER('자료_미국심리'!$B2540)),'자료_미국심리'!$A2540,"")</f>
        <v/>
      </c>
      <c r="P2556">
        <f>IF(AND(ISNUMBER('자료_미국심리'!$D2540),ISNUMBER('자료_미국심리'!$E2540)),'자료_미국심리'!$D2540,"")</f>
        <v/>
      </c>
      <c r="Q2556">
        <f>IF(AND(ISNUMBER('자료_미국심리'!$G2540),ISNUMBER('자료_미국심리'!$H2540)),'자료_미국심리'!$G2540,"")</f>
        <v/>
      </c>
    </row>
    <row r="2557">
      <c r="O2557">
        <f>IF(AND(ISNUMBER('자료_미국심리'!$A2541),ISNUMBER('자료_미국심리'!$B2541)),'자료_미국심리'!$A2541,"")</f>
        <v/>
      </c>
      <c r="P2557">
        <f>IF(AND(ISNUMBER('자료_미국심리'!$D2541),ISNUMBER('자료_미국심리'!$E2541)),'자료_미국심리'!$D2541,"")</f>
        <v/>
      </c>
      <c r="Q2557">
        <f>IF(AND(ISNUMBER('자료_미국심리'!$G2541),ISNUMBER('자료_미국심리'!$H2541)),'자료_미국심리'!$G2541,"")</f>
        <v/>
      </c>
    </row>
    <row r="2558">
      <c r="O2558">
        <f>IF(AND(ISNUMBER('자료_미국심리'!$A2542),ISNUMBER('자료_미국심리'!$B2542)),'자료_미국심리'!$A2542,"")</f>
        <v/>
      </c>
      <c r="P2558">
        <f>IF(AND(ISNUMBER('자료_미국심리'!$D2542),ISNUMBER('자료_미국심리'!$E2542)),'자료_미국심리'!$D2542,"")</f>
        <v/>
      </c>
      <c r="Q2558">
        <f>IF(AND(ISNUMBER('자료_미국심리'!$G2542),ISNUMBER('자료_미국심리'!$H2542)),'자료_미국심리'!$G2542,"")</f>
        <v/>
      </c>
    </row>
    <row r="2559">
      <c r="O2559">
        <f>IF(AND(ISNUMBER('자료_미국심리'!$A2543),ISNUMBER('자료_미국심리'!$B2543)),'자료_미국심리'!$A2543,"")</f>
        <v/>
      </c>
      <c r="P2559">
        <f>IF(AND(ISNUMBER('자료_미국심리'!$D2543),ISNUMBER('자료_미국심리'!$E2543)),'자료_미국심리'!$D2543,"")</f>
        <v/>
      </c>
      <c r="Q2559">
        <f>IF(AND(ISNUMBER('자료_미국심리'!$G2543),ISNUMBER('자료_미국심리'!$H2543)),'자료_미국심리'!$G2543,"")</f>
        <v/>
      </c>
    </row>
    <row r="2560">
      <c r="O2560">
        <f>IF(AND(ISNUMBER('자료_미국심리'!$A2544),ISNUMBER('자료_미국심리'!$B2544)),'자료_미국심리'!$A2544,"")</f>
        <v/>
      </c>
      <c r="P2560">
        <f>IF(AND(ISNUMBER('자료_미국심리'!$D2544),ISNUMBER('자료_미국심리'!$E2544)),'자료_미국심리'!$D2544,"")</f>
        <v/>
      </c>
      <c r="Q2560">
        <f>IF(AND(ISNUMBER('자료_미국심리'!$G2544),ISNUMBER('자료_미국심리'!$H2544)),'자료_미국심리'!$G2544,"")</f>
        <v/>
      </c>
    </row>
    <row r="2561">
      <c r="O2561">
        <f>IF(AND(ISNUMBER('자료_미국심리'!$A2545),ISNUMBER('자료_미국심리'!$B2545)),'자료_미국심리'!$A2545,"")</f>
        <v/>
      </c>
      <c r="P2561">
        <f>IF(AND(ISNUMBER('자료_미국심리'!$D2545),ISNUMBER('자료_미국심리'!$E2545)),'자료_미국심리'!$D2545,"")</f>
        <v/>
      </c>
      <c r="Q2561">
        <f>IF(AND(ISNUMBER('자료_미국심리'!$G2545),ISNUMBER('자료_미국심리'!$H2545)),'자료_미국심리'!$G2545,"")</f>
        <v/>
      </c>
    </row>
    <row r="2562">
      <c r="O2562">
        <f>IF(AND(ISNUMBER('자료_미국심리'!$A2546),ISNUMBER('자료_미국심리'!$B2546)),'자료_미국심리'!$A2546,"")</f>
        <v/>
      </c>
      <c r="P2562">
        <f>IF(AND(ISNUMBER('자료_미국심리'!$D2546),ISNUMBER('자료_미국심리'!$E2546)),'자료_미국심리'!$D2546,"")</f>
        <v/>
      </c>
      <c r="Q2562">
        <f>IF(AND(ISNUMBER('자료_미국심리'!$G2546),ISNUMBER('자료_미국심리'!$H2546)),'자료_미국심리'!$G2546,"")</f>
        <v/>
      </c>
    </row>
    <row r="2563">
      <c r="O2563">
        <f>IF(AND(ISNUMBER('자료_미국심리'!$A2547),ISNUMBER('자료_미국심리'!$B2547)),'자료_미국심리'!$A2547,"")</f>
        <v/>
      </c>
      <c r="P2563">
        <f>IF(AND(ISNUMBER('자료_미국심리'!$D2547),ISNUMBER('자료_미국심리'!$E2547)),'자료_미국심리'!$D2547,"")</f>
        <v/>
      </c>
      <c r="Q2563">
        <f>IF(AND(ISNUMBER('자료_미국심리'!$G2547),ISNUMBER('자료_미국심리'!$H2547)),'자료_미국심리'!$G2547,"")</f>
        <v/>
      </c>
    </row>
    <row r="2564">
      <c r="O2564">
        <f>IF(AND(ISNUMBER('자료_미국심리'!$A2548),ISNUMBER('자료_미국심리'!$B2548)),'자료_미국심리'!$A2548,"")</f>
        <v/>
      </c>
      <c r="P2564">
        <f>IF(AND(ISNUMBER('자료_미국심리'!$D2548),ISNUMBER('자료_미국심리'!$E2548)),'자료_미국심리'!$D2548,"")</f>
        <v/>
      </c>
      <c r="Q2564">
        <f>IF(AND(ISNUMBER('자료_미국심리'!$G2548),ISNUMBER('자료_미국심리'!$H2548)),'자료_미국심리'!$G2548,"")</f>
        <v/>
      </c>
    </row>
    <row r="2565">
      <c r="O2565">
        <f>IF(AND(ISNUMBER('자료_미국심리'!$A2549),ISNUMBER('자료_미국심리'!$B2549)),'자료_미국심리'!$A2549,"")</f>
        <v/>
      </c>
      <c r="P2565">
        <f>IF(AND(ISNUMBER('자료_미국심리'!$D2549),ISNUMBER('자료_미국심리'!$E2549)),'자료_미국심리'!$D2549,"")</f>
        <v/>
      </c>
      <c r="Q2565">
        <f>IF(AND(ISNUMBER('자료_미국심리'!$G2549),ISNUMBER('자료_미국심리'!$H2549)),'자료_미국심리'!$G2549,"")</f>
        <v/>
      </c>
    </row>
    <row r="2566">
      <c r="O2566">
        <f>IF(AND(ISNUMBER('자료_미국심리'!$A2550),ISNUMBER('자료_미국심리'!$B2550)),'자료_미국심리'!$A2550,"")</f>
        <v/>
      </c>
      <c r="P2566">
        <f>IF(AND(ISNUMBER('자료_미국심리'!$D2550),ISNUMBER('자료_미국심리'!$E2550)),'자료_미국심리'!$D2550,"")</f>
        <v/>
      </c>
      <c r="Q2566">
        <f>IF(AND(ISNUMBER('자료_미국심리'!$G2550),ISNUMBER('자료_미국심리'!$H2550)),'자료_미국심리'!$G2550,"")</f>
        <v/>
      </c>
    </row>
    <row r="2567">
      <c r="O2567">
        <f>IF(AND(ISNUMBER('자료_미국심리'!$A2551),ISNUMBER('자료_미국심리'!$B2551)),'자료_미국심리'!$A2551,"")</f>
        <v/>
      </c>
      <c r="P2567">
        <f>IF(AND(ISNUMBER('자료_미국심리'!$D2551),ISNUMBER('자료_미국심리'!$E2551)),'자료_미국심리'!$D2551,"")</f>
        <v/>
      </c>
      <c r="Q2567">
        <f>IF(AND(ISNUMBER('자료_미국심리'!$G2551),ISNUMBER('자료_미국심리'!$H2551)),'자료_미국심리'!$G2551,"")</f>
        <v/>
      </c>
    </row>
    <row r="2568">
      <c r="O2568">
        <f>IF(AND(ISNUMBER('자료_미국심리'!$A2552),ISNUMBER('자료_미국심리'!$B2552)),'자료_미국심리'!$A2552,"")</f>
        <v/>
      </c>
      <c r="P2568">
        <f>IF(AND(ISNUMBER('자료_미국심리'!$D2552),ISNUMBER('자료_미국심리'!$E2552)),'자료_미국심리'!$D2552,"")</f>
        <v/>
      </c>
      <c r="Q2568">
        <f>IF(AND(ISNUMBER('자료_미국심리'!$G2552),ISNUMBER('자료_미국심리'!$H2552)),'자료_미국심리'!$G2552,"")</f>
        <v/>
      </c>
    </row>
    <row r="2569">
      <c r="O2569">
        <f>IF(AND(ISNUMBER('자료_미국심리'!$A2553),ISNUMBER('자료_미국심리'!$B2553)),'자료_미국심리'!$A2553,"")</f>
        <v/>
      </c>
      <c r="P2569">
        <f>IF(AND(ISNUMBER('자료_미국심리'!$D2553),ISNUMBER('자료_미국심리'!$E2553)),'자료_미국심리'!$D2553,"")</f>
        <v/>
      </c>
      <c r="Q2569">
        <f>IF(AND(ISNUMBER('자료_미국심리'!$G2553),ISNUMBER('자료_미국심리'!$H2553)),'자료_미국심리'!$G2553,"")</f>
        <v/>
      </c>
    </row>
    <row r="2570">
      <c r="O2570">
        <f>IF(AND(ISNUMBER('자료_미국심리'!$A2554),ISNUMBER('자료_미국심리'!$B2554)),'자료_미국심리'!$A2554,"")</f>
        <v/>
      </c>
      <c r="P2570">
        <f>IF(AND(ISNUMBER('자료_미국심리'!$D2554),ISNUMBER('자료_미국심리'!$E2554)),'자료_미국심리'!$D2554,"")</f>
        <v/>
      </c>
      <c r="Q2570">
        <f>IF(AND(ISNUMBER('자료_미국심리'!$G2554),ISNUMBER('자료_미국심리'!$H2554)),'자료_미국심리'!$G2554,"")</f>
        <v/>
      </c>
    </row>
    <row r="2571">
      <c r="O2571">
        <f>IF(AND(ISNUMBER('자료_미국심리'!$A2555),ISNUMBER('자료_미국심리'!$B2555)),'자료_미국심리'!$A2555,"")</f>
        <v/>
      </c>
      <c r="P2571">
        <f>IF(AND(ISNUMBER('자료_미국심리'!$D2555),ISNUMBER('자료_미국심리'!$E2555)),'자료_미국심리'!$D2555,"")</f>
        <v/>
      </c>
      <c r="Q2571">
        <f>IF(AND(ISNUMBER('자료_미국심리'!$G2555),ISNUMBER('자료_미국심리'!$H2555)),'자료_미국심리'!$G2555,"")</f>
        <v/>
      </c>
    </row>
    <row r="2572">
      <c r="O2572">
        <f>IF(AND(ISNUMBER('자료_미국심리'!$A2556),ISNUMBER('자료_미국심리'!$B2556)),'자료_미국심리'!$A2556,"")</f>
        <v/>
      </c>
      <c r="P2572">
        <f>IF(AND(ISNUMBER('자료_미국심리'!$D2556),ISNUMBER('자료_미국심리'!$E2556)),'자료_미국심리'!$D2556,"")</f>
        <v/>
      </c>
      <c r="Q2572">
        <f>IF(AND(ISNUMBER('자료_미국심리'!$G2556),ISNUMBER('자료_미국심리'!$H2556)),'자료_미국심리'!$G2556,"")</f>
        <v/>
      </c>
    </row>
    <row r="2573">
      <c r="O2573">
        <f>IF(AND(ISNUMBER('자료_미국심리'!$A2557),ISNUMBER('자료_미국심리'!$B2557)),'자료_미국심리'!$A2557,"")</f>
        <v/>
      </c>
      <c r="P2573">
        <f>IF(AND(ISNUMBER('자료_미국심리'!$D2557),ISNUMBER('자료_미국심리'!$E2557)),'자료_미국심리'!$D2557,"")</f>
        <v/>
      </c>
      <c r="Q2573">
        <f>IF(AND(ISNUMBER('자료_미국심리'!$G2557),ISNUMBER('자료_미국심리'!$H2557)),'자료_미국심리'!$G2557,"")</f>
        <v/>
      </c>
    </row>
    <row r="2574">
      <c r="O2574">
        <f>IF(AND(ISNUMBER('자료_미국심리'!$A2558),ISNUMBER('자료_미국심리'!$B2558)),'자료_미국심리'!$A2558,"")</f>
        <v/>
      </c>
      <c r="P2574">
        <f>IF(AND(ISNUMBER('자료_미국심리'!$D2558),ISNUMBER('자료_미국심리'!$E2558)),'자료_미국심리'!$D2558,"")</f>
        <v/>
      </c>
      <c r="Q2574">
        <f>IF(AND(ISNUMBER('자료_미국심리'!$G2558),ISNUMBER('자료_미국심리'!$H2558)),'자료_미국심리'!$G2558,"")</f>
        <v/>
      </c>
    </row>
    <row r="2575">
      <c r="O2575">
        <f>IF(AND(ISNUMBER('자료_미국심리'!$A2559),ISNUMBER('자료_미국심리'!$B2559)),'자료_미국심리'!$A2559,"")</f>
        <v/>
      </c>
      <c r="P2575">
        <f>IF(AND(ISNUMBER('자료_미국심리'!$D2559),ISNUMBER('자료_미국심리'!$E2559)),'자료_미국심리'!$D2559,"")</f>
        <v/>
      </c>
      <c r="Q2575">
        <f>IF(AND(ISNUMBER('자료_미국심리'!$G2559),ISNUMBER('자료_미국심리'!$H2559)),'자료_미국심리'!$G2559,"")</f>
        <v/>
      </c>
    </row>
    <row r="2576">
      <c r="O2576">
        <f>IF(AND(ISNUMBER('자료_미국심리'!$A2560),ISNUMBER('자료_미국심리'!$B2560)),'자료_미국심리'!$A2560,"")</f>
        <v/>
      </c>
      <c r="P2576">
        <f>IF(AND(ISNUMBER('자료_미국심리'!$D2560),ISNUMBER('자료_미국심리'!$E2560)),'자료_미국심리'!$D2560,"")</f>
        <v/>
      </c>
      <c r="Q2576">
        <f>IF(AND(ISNUMBER('자료_미국심리'!$G2560),ISNUMBER('자료_미국심리'!$H2560)),'자료_미국심리'!$G2560,"")</f>
        <v/>
      </c>
    </row>
    <row r="2577">
      <c r="O2577">
        <f>IF(AND(ISNUMBER('자료_미국심리'!$A2561),ISNUMBER('자료_미국심리'!$B2561)),'자료_미국심리'!$A2561,"")</f>
        <v/>
      </c>
      <c r="P2577">
        <f>IF(AND(ISNUMBER('자료_미국심리'!$D2561),ISNUMBER('자료_미국심리'!$E2561)),'자료_미국심리'!$D2561,"")</f>
        <v/>
      </c>
      <c r="Q2577">
        <f>IF(AND(ISNUMBER('자료_미국심리'!$G2561),ISNUMBER('자료_미국심리'!$H2561)),'자료_미국심리'!$G2561,"")</f>
        <v/>
      </c>
    </row>
    <row r="2578">
      <c r="O2578">
        <f>IF(AND(ISNUMBER('자료_미국심리'!$A2562),ISNUMBER('자료_미국심리'!$B2562)),'자료_미국심리'!$A2562,"")</f>
        <v/>
      </c>
      <c r="P2578">
        <f>IF(AND(ISNUMBER('자료_미국심리'!$D2562),ISNUMBER('자료_미국심리'!$E2562)),'자료_미국심리'!$D2562,"")</f>
        <v/>
      </c>
      <c r="Q2578">
        <f>IF(AND(ISNUMBER('자료_미국심리'!$G2562),ISNUMBER('자료_미국심리'!$H2562)),'자료_미국심리'!$G2562,"")</f>
        <v/>
      </c>
    </row>
    <row r="2579">
      <c r="O2579">
        <f>IF(AND(ISNUMBER('자료_미국심리'!$A2563),ISNUMBER('자료_미국심리'!$B2563)),'자료_미국심리'!$A2563,"")</f>
        <v/>
      </c>
      <c r="P2579">
        <f>IF(AND(ISNUMBER('자료_미국심리'!$D2563),ISNUMBER('자료_미국심리'!$E2563)),'자료_미국심리'!$D2563,"")</f>
        <v/>
      </c>
      <c r="Q2579">
        <f>IF(AND(ISNUMBER('자료_미국심리'!$G2563),ISNUMBER('자료_미국심리'!$H2563)),'자료_미국심리'!$G2563,"")</f>
        <v/>
      </c>
    </row>
    <row r="2580">
      <c r="O2580">
        <f>IF(AND(ISNUMBER('자료_미국심리'!$A2564),ISNUMBER('자료_미국심리'!$B2564)),'자료_미국심리'!$A2564,"")</f>
        <v/>
      </c>
      <c r="P2580">
        <f>IF(AND(ISNUMBER('자료_미국심리'!$D2564),ISNUMBER('자료_미국심리'!$E2564)),'자료_미국심리'!$D2564,"")</f>
        <v/>
      </c>
      <c r="Q2580">
        <f>IF(AND(ISNUMBER('자료_미국심리'!$G2564),ISNUMBER('자료_미국심리'!$H2564)),'자료_미국심리'!$G2564,"")</f>
        <v/>
      </c>
    </row>
    <row r="2581">
      <c r="O2581">
        <f>IF(AND(ISNUMBER('자료_미국심리'!$A2565),ISNUMBER('자료_미국심리'!$B2565)),'자료_미국심리'!$A2565,"")</f>
        <v/>
      </c>
      <c r="P2581">
        <f>IF(AND(ISNUMBER('자료_미국심리'!$D2565),ISNUMBER('자료_미국심리'!$E2565)),'자료_미국심리'!$D2565,"")</f>
        <v/>
      </c>
      <c r="Q2581">
        <f>IF(AND(ISNUMBER('자료_미국심리'!$G2565),ISNUMBER('자료_미국심리'!$H2565)),'자료_미국심리'!$G2565,"")</f>
        <v/>
      </c>
    </row>
    <row r="2582">
      <c r="O2582">
        <f>IF(AND(ISNUMBER('자료_미국심리'!$A2566),ISNUMBER('자료_미국심리'!$B2566)),'자료_미국심리'!$A2566,"")</f>
        <v/>
      </c>
      <c r="P2582">
        <f>IF(AND(ISNUMBER('자료_미국심리'!$D2566),ISNUMBER('자료_미국심리'!$E2566)),'자료_미국심리'!$D2566,"")</f>
        <v/>
      </c>
      <c r="Q2582">
        <f>IF(AND(ISNUMBER('자료_미국심리'!$G2566),ISNUMBER('자료_미국심리'!$H2566)),'자료_미국심리'!$G2566,"")</f>
        <v/>
      </c>
    </row>
    <row r="2583">
      <c r="O2583">
        <f>IF(AND(ISNUMBER('자료_미국심리'!$A2567),ISNUMBER('자료_미국심리'!$B2567)),'자료_미국심리'!$A2567,"")</f>
        <v/>
      </c>
      <c r="P2583">
        <f>IF(AND(ISNUMBER('자료_미국심리'!$D2567),ISNUMBER('자료_미국심리'!$E2567)),'자료_미국심리'!$D2567,"")</f>
        <v/>
      </c>
      <c r="Q2583">
        <f>IF(AND(ISNUMBER('자료_미국심리'!$G2567),ISNUMBER('자료_미국심리'!$H2567)),'자료_미국심리'!$G2567,"")</f>
        <v/>
      </c>
    </row>
    <row r="2584">
      <c r="O2584">
        <f>IF(AND(ISNUMBER('자료_미국심리'!$A2568),ISNUMBER('자료_미국심리'!$B2568)),'자료_미국심리'!$A2568,"")</f>
        <v/>
      </c>
      <c r="P2584">
        <f>IF(AND(ISNUMBER('자료_미국심리'!$D2568),ISNUMBER('자료_미국심리'!$E2568)),'자료_미국심리'!$D2568,"")</f>
        <v/>
      </c>
      <c r="Q2584">
        <f>IF(AND(ISNUMBER('자료_미국심리'!$G2568),ISNUMBER('자료_미국심리'!$H2568)),'자료_미국심리'!$G2568,"")</f>
        <v/>
      </c>
    </row>
    <row r="2585">
      <c r="O2585">
        <f>IF(AND(ISNUMBER('자료_미국심리'!$A2569),ISNUMBER('자료_미국심리'!$B2569)),'자료_미국심리'!$A2569,"")</f>
        <v/>
      </c>
      <c r="P2585">
        <f>IF(AND(ISNUMBER('자료_미국심리'!$D2569),ISNUMBER('자료_미국심리'!$E2569)),'자료_미국심리'!$D2569,"")</f>
        <v/>
      </c>
      <c r="Q2585">
        <f>IF(AND(ISNUMBER('자료_미국심리'!$G2569),ISNUMBER('자료_미국심리'!$H2569)),'자료_미국심리'!$G2569,"")</f>
        <v/>
      </c>
    </row>
    <row r="2586">
      <c r="O2586">
        <f>IF(AND(ISNUMBER('자료_미국심리'!$A2570),ISNUMBER('자료_미국심리'!$B2570)),'자료_미국심리'!$A2570,"")</f>
        <v/>
      </c>
      <c r="P2586">
        <f>IF(AND(ISNUMBER('자료_미국심리'!$D2570),ISNUMBER('자료_미국심리'!$E2570)),'자료_미국심리'!$D2570,"")</f>
        <v/>
      </c>
      <c r="Q2586">
        <f>IF(AND(ISNUMBER('자료_미국심리'!$G2570),ISNUMBER('자료_미국심리'!$H2570)),'자료_미국심리'!$G2570,"")</f>
        <v/>
      </c>
    </row>
    <row r="2587">
      <c r="O2587">
        <f>IF(AND(ISNUMBER('자료_미국심리'!$A2571),ISNUMBER('자료_미국심리'!$B2571)),'자료_미국심리'!$A2571,"")</f>
        <v/>
      </c>
      <c r="P2587">
        <f>IF(AND(ISNUMBER('자료_미국심리'!$D2571),ISNUMBER('자료_미국심리'!$E2571)),'자료_미국심리'!$D2571,"")</f>
        <v/>
      </c>
      <c r="Q2587">
        <f>IF(AND(ISNUMBER('자료_미국심리'!$G2571),ISNUMBER('자료_미국심리'!$H2571)),'자료_미국심리'!$G2571,"")</f>
        <v/>
      </c>
    </row>
    <row r="2588">
      <c r="O2588">
        <f>IF(AND(ISNUMBER('자료_미국심리'!$A2572),ISNUMBER('자료_미국심리'!$B2572)),'자료_미국심리'!$A2572,"")</f>
        <v/>
      </c>
      <c r="P2588">
        <f>IF(AND(ISNUMBER('자료_미국심리'!$D2572),ISNUMBER('자료_미국심리'!$E2572)),'자료_미국심리'!$D2572,"")</f>
        <v/>
      </c>
      <c r="Q2588">
        <f>IF(AND(ISNUMBER('자료_미국심리'!$G2572),ISNUMBER('자료_미국심리'!$H2572)),'자료_미국심리'!$G2572,"")</f>
        <v/>
      </c>
    </row>
    <row r="2589">
      <c r="O2589">
        <f>IF(AND(ISNUMBER('자료_미국심리'!$A2573),ISNUMBER('자료_미국심리'!$B2573)),'자료_미국심리'!$A2573,"")</f>
        <v/>
      </c>
      <c r="P2589">
        <f>IF(AND(ISNUMBER('자료_미국심리'!$D2573),ISNUMBER('자료_미국심리'!$E2573)),'자료_미국심리'!$D2573,"")</f>
        <v/>
      </c>
      <c r="Q2589">
        <f>IF(AND(ISNUMBER('자료_미국심리'!$G2573),ISNUMBER('자료_미국심리'!$H2573)),'자료_미국심리'!$G2573,"")</f>
        <v/>
      </c>
    </row>
    <row r="2590">
      <c r="O2590">
        <f>IF(AND(ISNUMBER('자료_미국심리'!$A2574),ISNUMBER('자료_미국심리'!$B2574)),'자료_미국심리'!$A2574,"")</f>
        <v/>
      </c>
      <c r="P2590">
        <f>IF(AND(ISNUMBER('자료_미국심리'!$D2574),ISNUMBER('자료_미국심리'!$E2574)),'자료_미국심리'!$D2574,"")</f>
        <v/>
      </c>
      <c r="Q2590">
        <f>IF(AND(ISNUMBER('자료_미국심리'!$G2574),ISNUMBER('자료_미국심리'!$H2574)),'자료_미국심리'!$G2574,"")</f>
        <v/>
      </c>
    </row>
    <row r="2591">
      <c r="O2591">
        <f>IF(AND(ISNUMBER('자료_미국심리'!$A2575),ISNUMBER('자료_미국심리'!$B2575)),'자료_미국심리'!$A2575,"")</f>
        <v/>
      </c>
      <c r="P2591">
        <f>IF(AND(ISNUMBER('자료_미국심리'!$D2575),ISNUMBER('자료_미국심리'!$E2575)),'자료_미국심리'!$D2575,"")</f>
        <v/>
      </c>
      <c r="Q2591">
        <f>IF(AND(ISNUMBER('자료_미국심리'!$G2575),ISNUMBER('자료_미국심리'!$H2575)),'자료_미국심리'!$G2575,"")</f>
        <v/>
      </c>
    </row>
    <row r="2592">
      <c r="O2592">
        <f>IF(AND(ISNUMBER('자료_미국심리'!$A2576),ISNUMBER('자료_미국심리'!$B2576)),'자료_미국심리'!$A2576,"")</f>
        <v/>
      </c>
      <c r="P2592">
        <f>IF(AND(ISNUMBER('자료_미국심리'!$D2576),ISNUMBER('자료_미국심리'!$E2576)),'자료_미국심리'!$D2576,"")</f>
        <v/>
      </c>
      <c r="Q2592">
        <f>IF(AND(ISNUMBER('자료_미국심리'!$G2576),ISNUMBER('자료_미국심리'!$H2576)),'자료_미국심리'!$G2576,"")</f>
        <v/>
      </c>
    </row>
    <row r="2593">
      <c r="O2593">
        <f>IF(AND(ISNUMBER('자료_미국심리'!$A2577),ISNUMBER('자료_미국심리'!$B2577)),'자료_미국심리'!$A2577,"")</f>
        <v/>
      </c>
      <c r="P2593">
        <f>IF(AND(ISNUMBER('자료_미국심리'!$D2577),ISNUMBER('자료_미국심리'!$E2577)),'자료_미국심리'!$D2577,"")</f>
        <v/>
      </c>
      <c r="Q2593">
        <f>IF(AND(ISNUMBER('자료_미국심리'!$G2577),ISNUMBER('자료_미국심리'!$H2577)),'자료_미국심리'!$G2577,"")</f>
        <v/>
      </c>
    </row>
    <row r="2594">
      <c r="O2594">
        <f>IF(AND(ISNUMBER('자료_미국심리'!$A2578),ISNUMBER('자료_미국심리'!$B2578)),'자료_미국심리'!$A2578,"")</f>
        <v/>
      </c>
      <c r="P2594">
        <f>IF(AND(ISNUMBER('자료_미국심리'!$D2578),ISNUMBER('자료_미국심리'!$E2578)),'자료_미국심리'!$D2578,"")</f>
        <v/>
      </c>
      <c r="Q2594">
        <f>IF(AND(ISNUMBER('자료_미국심리'!$G2578),ISNUMBER('자료_미국심리'!$H2578)),'자료_미국심리'!$G2578,"")</f>
        <v/>
      </c>
    </row>
    <row r="2595">
      <c r="O2595">
        <f>IF(AND(ISNUMBER('자료_미국심리'!$A2579),ISNUMBER('자료_미국심리'!$B2579)),'자료_미국심리'!$A2579,"")</f>
        <v/>
      </c>
      <c r="P2595">
        <f>IF(AND(ISNUMBER('자료_미국심리'!$D2579),ISNUMBER('자료_미국심리'!$E2579)),'자료_미국심리'!$D2579,"")</f>
        <v/>
      </c>
      <c r="Q2595">
        <f>IF(AND(ISNUMBER('자료_미국심리'!$G2579),ISNUMBER('자료_미국심리'!$H2579)),'자료_미국심리'!$G2579,"")</f>
        <v/>
      </c>
    </row>
    <row r="2596">
      <c r="O2596">
        <f>IF(AND(ISNUMBER('자료_미국심리'!$A2580),ISNUMBER('자료_미국심리'!$B2580)),'자료_미국심리'!$A2580,"")</f>
        <v/>
      </c>
      <c r="P2596">
        <f>IF(AND(ISNUMBER('자료_미국심리'!$D2580),ISNUMBER('자료_미국심리'!$E2580)),'자료_미국심리'!$D2580,"")</f>
        <v/>
      </c>
      <c r="Q2596">
        <f>IF(AND(ISNUMBER('자료_미국심리'!$G2580),ISNUMBER('자료_미국심리'!$H2580)),'자료_미국심리'!$G2580,"")</f>
        <v/>
      </c>
    </row>
    <row r="2597">
      <c r="O2597">
        <f>IF(AND(ISNUMBER('자료_미국심리'!$A2581),ISNUMBER('자료_미국심리'!$B2581)),'자료_미국심리'!$A2581,"")</f>
        <v/>
      </c>
      <c r="P2597">
        <f>IF(AND(ISNUMBER('자료_미국심리'!$D2581),ISNUMBER('자료_미국심리'!$E2581)),'자료_미국심리'!$D2581,"")</f>
        <v/>
      </c>
      <c r="Q2597">
        <f>IF(AND(ISNUMBER('자료_미국심리'!$G2581),ISNUMBER('자료_미국심리'!$H2581)),'자료_미국심리'!$G2581,"")</f>
        <v/>
      </c>
    </row>
    <row r="2598">
      <c r="O2598">
        <f>IF(AND(ISNUMBER('자료_미국심리'!$A2582),ISNUMBER('자료_미국심리'!$B2582)),'자료_미국심리'!$A2582,"")</f>
        <v/>
      </c>
      <c r="P2598">
        <f>IF(AND(ISNUMBER('자료_미국심리'!$D2582),ISNUMBER('자료_미국심리'!$E2582)),'자료_미국심리'!$D2582,"")</f>
        <v/>
      </c>
      <c r="Q2598">
        <f>IF(AND(ISNUMBER('자료_미국심리'!$G2582),ISNUMBER('자료_미국심리'!$H2582)),'자료_미국심리'!$G2582,"")</f>
        <v/>
      </c>
    </row>
    <row r="2599">
      <c r="O2599">
        <f>IF(AND(ISNUMBER('자료_미국심리'!$A2583),ISNUMBER('자료_미국심리'!$B2583)),'자료_미국심리'!$A2583,"")</f>
        <v/>
      </c>
      <c r="P2599">
        <f>IF(AND(ISNUMBER('자료_미국심리'!$D2583),ISNUMBER('자료_미국심리'!$E2583)),'자료_미국심리'!$D2583,"")</f>
        <v/>
      </c>
      <c r="Q2599">
        <f>IF(AND(ISNUMBER('자료_미국심리'!$G2583),ISNUMBER('자료_미국심리'!$H2583)),'자료_미국심리'!$G2583,"")</f>
        <v/>
      </c>
    </row>
    <row r="2600">
      <c r="O2600">
        <f>IF(AND(ISNUMBER('자료_미국심리'!$A2584),ISNUMBER('자료_미국심리'!$B2584)),'자료_미국심리'!$A2584,"")</f>
        <v/>
      </c>
      <c r="P2600">
        <f>IF(AND(ISNUMBER('자료_미국심리'!$D2584),ISNUMBER('자료_미국심리'!$E2584)),'자료_미국심리'!$D2584,"")</f>
        <v/>
      </c>
      <c r="Q2600">
        <f>IF(AND(ISNUMBER('자료_미국심리'!$G2584),ISNUMBER('자료_미국심리'!$H2584)),'자료_미국심리'!$G2584,"")</f>
        <v/>
      </c>
    </row>
    <row r="2601">
      <c r="O2601">
        <f>IF(AND(ISNUMBER('자료_미국심리'!$A2585),ISNUMBER('자료_미국심리'!$B2585)),'자료_미국심리'!$A2585,"")</f>
        <v/>
      </c>
      <c r="P2601">
        <f>IF(AND(ISNUMBER('자료_미국심리'!$D2585),ISNUMBER('자료_미국심리'!$E2585)),'자료_미국심리'!$D2585,"")</f>
        <v/>
      </c>
      <c r="Q2601">
        <f>IF(AND(ISNUMBER('자료_미국심리'!$G2585),ISNUMBER('자료_미국심리'!$H2585)),'자료_미국심리'!$G2585,"")</f>
        <v/>
      </c>
    </row>
    <row r="2602">
      <c r="O2602">
        <f>IF(AND(ISNUMBER('자료_미국심리'!$A2586),ISNUMBER('자료_미국심리'!$B2586)),'자료_미국심리'!$A2586,"")</f>
        <v/>
      </c>
      <c r="P2602">
        <f>IF(AND(ISNUMBER('자료_미국심리'!$D2586),ISNUMBER('자료_미국심리'!$E2586)),'자료_미국심리'!$D2586,"")</f>
        <v/>
      </c>
      <c r="Q2602">
        <f>IF(AND(ISNUMBER('자료_미국심리'!$G2586),ISNUMBER('자료_미국심리'!$H2586)),'자료_미국심리'!$G2586,"")</f>
        <v/>
      </c>
    </row>
    <row r="2603">
      <c r="O2603">
        <f>IF(AND(ISNUMBER('자료_미국심리'!$A2587),ISNUMBER('자료_미국심리'!$B2587)),'자료_미국심리'!$A2587,"")</f>
        <v/>
      </c>
      <c r="P2603">
        <f>IF(AND(ISNUMBER('자료_미국심리'!$D2587),ISNUMBER('자료_미국심리'!$E2587)),'자료_미국심리'!$D2587,"")</f>
        <v/>
      </c>
      <c r="Q2603">
        <f>IF(AND(ISNUMBER('자료_미국심리'!$G2587),ISNUMBER('자료_미국심리'!$H2587)),'자료_미국심리'!$G2587,"")</f>
        <v/>
      </c>
    </row>
    <row r="2604">
      <c r="O2604">
        <f>IF(AND(ISNUMBER('자료_미국심리'!$A2588),ISNUMBER('자료_미국심리'!$B2588)),'자료_미국심리'!$A2588,"")</f>
        <v/>
      </c>
      <c r="P2604">
        <f>IF(AND(ISNUMBER('자료_미국심리'!$D2588),ISNUMBER('자료_미국심리'!$E2588)),'자료_미국심리'!$D2588,"")</f>
        <v/>
      </c>
      <c r="Q2604">
        <f>IF(AND(ISNUMBER('자료_미국심리'!$G2588),ISNUMBER('자료_미국심리'!$H2588)),'자료_미국심리'!$G2588,"")</f>
        <v/>
      </c>
    </row>
    <row r="2605">
      <c r="O2605">
        <f>IF(AND(ISNUMBER('자료_미국심리'!$A2589),ISNUMBER('자료_미국심리'!$B2589)),'자료_미국심리'!$A2589,"")</f>
        <v/>
      </c>
      <c r="P2605">
        <f>IF(AND(ISNUMBER('자료_미국심리'!$D2589),ISNUMBER('자료_미국심리'!$E2589)),'자료_미국심리'!$D2589,"")</f>
        <v/>
      </c>
      <c r="Q2605">
        <f>IF(AND(ISNUMBER('자료_미국심리'!$G2589),ISNUMBER('자료_미국심리'!$H2589)),'자료_미국심리'!$G2589,"")</f>
        <v/>
      </c>
    </row>
    <row r="2606">
      <c r="O2606">
        <f>IF(AND(ISNUMBER('자료_미국심리'!$A2590),ISNUMBER('자료_미국심리'!$B2590)),'자료_미국심리'!$A2590,"")</f>
        <v/>
      </c>
      <c r="P2606">
        <f>IF(AND(ISNUMBER('자료_미국심리'!$D2590),ISNUMBER('자료_미국심리'!$E2590)),'자료_미국심리'!$D2590,"")</f>
        <v/>
      </c>
      <c r="Q2606">
        <f>IF(AND(ISNUMBER('자료_미국심리'!$G2590),ISNUMBER('자료_미국심리'!$H2590)),'자료_미국심리'!$G2590,"")</f>
        <v/>
      </c>
    </row>
    <row r="2607">
      <c r="O2607">
        <f>IF(AND(ISNUMBER('자료_미국심리'!$A2591),ISNUMBER('자료_미국심리'!$B2591)),'자료_미국심리'!$A2591,"")</f>
        <v/>
      </c>
      <c r="P2607">
        <f>IF(AND(ISNUMBER('자료_미국심리'!$D2591),ISNUMBER('자료_미국심리'!$E2591)),'자료_미국심리'!$D2591,"")</f>
        <v/>
      </c>
      <c r="Q2607">
        <f>IF(AND(ISNUMBER('자료_미국심리'!$G2591),ISNUMBER('자료_미국심리'!$H2591)),'자료_미국심리'!$G2591,"")</f>
        <v/>
      </c>
    </row>
    <row r="2608">
      <c r="O2608">
        <f>IF(AND(ISNUMBER('자료_미국심리'!$A2592),ISNUMBER('자료_미국심리'!$B2592)),'자료_미국심리'!$A2592,"")</f>
        <v/>
      </c>
      <c r="P2608">
        <f>IF(AND(ISNUMBER('자료_미국심리'!$D2592),ISNUMBER('자료_미국심리'!$E2592)),'자료_미국심리'!$D2592,"")</f>
        <v/>
      </c>
      <c r="Q2608">
        <f>IF(AND(ISNUMBER('자료_미국심리'!$G2592),ISNUMBER('자료_미국심리'!$H2592)),'자료_미국심리'!$G2592,"")</f>
        <v/>
      </c>
    </row>
    <row r="2609">
      <c r="O2609">
        <f>IF(AND(ISNUMBER('자료_미국심리'!$A2593),ISNUMBER('자료_미국심리'!$B2593)),'자료_미국심리'!$A2593,"")</f>
        <v/>
      </c>
      <c r="P2609">
        <f>IF(AND(ISNUMBER('자료_미국심리'!$D2593),ISNUMBER('자료_미국심리'!$E2593)),'자료_미국심리'!$D2593,"")</f>
        <v/>
      </c>
      <c r="Q2609">
        <f>IF(AND(ISNUMBER('자료_미국심리'!$G2593),ISNUMBER('자료_미국심리'!$H2593)),'자료_미국심리'!$G2593,"")</f>
        <v/>
      </c>
    </row>
    <row r="2610">
      <c r="O2610">
        <f>IF(AND(ISNUMBER('자료_미국심리'!$A2594),ISNUMBER('자료_미국심리'!$B2594)),'자료_미국심리'!$A2594,"")</f>
        <v/>
      </c>
      <c r="P2610">
        <f>IF(AND(ISNUMBER('자료_미국심리'!$D2594),ISNUMBER('자료_미국심리'!$E2594)),'자료_미국심리'!$D2594,"")</f>
        <v/>
      </c>
      <c r="Q2610">
        <f>IF(AND(ISNUMBER('자료_미국심리'!$G2594),ISNUMBER('자료_미국심리'!$H2594)),'자료_미국심리'!$G2594,"")</f>
        <v/>
      </c>
    </row>
    <row r="2611">
      <c r="O2611">
        <f>IF(AND(ISNUMBER('자료_미국심리'!$A2595),ISNUMBER('자료_미국심리'!$B2595)),'자료_미국심리'!$A2595,"")</f>
        <v/>
      </c>
      <c r="P2611">
        <f>IF(AND(ISNUMBER('자료_미국심리'!$D2595),ISNUMBER('자료_미국심리'!$E2595)),'자료_미국심리'!$D2595,"")</f>
        <v/>
      </c>
      <c r="Q2611">
        <f>IF(AND(ISNUMBER('자료_미국심리'!$G2595),ISNUMBER('자료_미국심리'!$H2595)),'자료_미국심리'!$G2595,"")</f>
        <v/>
      </c>
    </row>
    <row r="2612">
      <c r="O2612">
        <f>IF(AND(ISNUMBER('자료_미국심리'!$A2596),ISNUMBER('자료_미국심리'!$B2596)),'자료_미국심리'!$A2596,"")</f>
        <v/>
      </c>
      <c r="P2612">
        <f>IF(AND(ISNUMBER('자료_미국심리'!$D2596),ISNUMBER('자료_미국심리'!$E2596)),'자료_미국심리'!$D2596,"")</f>
        <v/>
      </c>
      <c r="Q2612">
        <f>IF(AND(ISNUMBER('자료_미국심리'!$G2596),ISNUMBER('자료_미국심리'!$H2596)),'자료_미국심리'!$G2596,"")</f>
        <v/>
      </c>
    </row>
    <row r="2613">
      <c r="O2613">
        <f>IF(AND(ISNUMBER('자료_미국심리'!$A2597),ISNUMBER('자료_미국심리'!$B2597)),'자료_미국심리'!$A2597,"")</f>
        <v/>
      </c>
      <c r="P2613">
        <f>IF(AND(ISNUMBER('자료_미국심리'!$D2597),ISNUMBER('자료_미국심리'!$E2597)),'자료_미국심리'!$D2597,"")</f>
        <v/>
      </c>
      <c r="Q2613">
        <f>IF(AND(ISNUMBER('자료_미국심리'!$G2597),ISNUMBER('자료_미국심리'!$H2597)),'자료_미국심리'!$G2597,"")</f>
        <v/>
      </c>
    </row>
    <row r="2614">
      <c r="O2614">
        <f>IF(AND(ISNUMBER('자료_미국심리'!$A2598),ISNUMBER('자료_미국심리'!$B2598)),'자료_미국심리'!$A2598,"")</f>
        <v/>
      </c>
      <c r="P2614">
        <f>IF(AND(ISNUMBER('자료_미국심리'!$D2598),ISNUMBER('자료_미국심리'!$E2598)),'자료_미국심리'!$D2598,"")</f>
        <v/>
      </c>
      <c r="Q2614">
        <f>IF(AND(ISNUMBER('자료_미국심리'!$G2598),ISNUMBER('자료_미국심리'!$H2598)),'자료_미국심리'!$G2598,"")</f>
        <v/>
      </c>
    </row>
    <row r="2615">
      <c r="O2615">
        <f>IF(AND(ISNUMBER('자료_미국심리'!$A2599),ISNUMBER('자료_미국심리'!$B2599)),'자료_미국심리'!$A2599,"")</f>
        <v/>
      </c>
      <c r="P2615">
        <f>IF(AND(ISNUMBER('자료_미국심리'!$D2599),ISNUMBER('자료_미국심리'!$E2599)),'자료_미국심리'!$D2599,"")</f>
        <v/>
      </c>
      <c r="Q2615">
        <f>IF(AND(ISNUMBER('자료_미국심리'!$G2599),ISNUMBER('자료_미국심리'!$H2599)),'자료_미국심리'!$G2599,"")</f>
        <v/>
      </c>
    </row>
    <row r="2616">
      <c r="O2616">
        <f>IF(AND(ISNUMBER('자료_미국심리'!$A2600),ISNUMBER('자료_미국심리'!$B2600)),'자료_미국심리'!$A2600,"")</f>
        <v/>
      </c>
      <c r="P2616">
        <f>IF(AND(ISNUMBER('자료_미국심리'!$D2600),ISNUMBER('자료_미국심리'!$E2600)),'자료_미국심리'!$D2600,"")</f>
        <v/>
      </c>
      <c r="Q2616">
        <f>IF(AND(ISNUMBER('자료_미국심리'!$G2600),ISNUMBER('자료_미국심리'!$H2600)),'자료_미국심리'!$G2600,"")</f>
        <v/>
      </c>
    </row>
    <row r="2617">
      <c r="O2617">
        <f>IF(AND(ISNUMBER('자료_미국심리'!$A2601),ISNUMBER('자료_미국심리'!$B2601)),'자료_미국심리'!$A2601,"")</f>
        <v/>
      </c>
      <c r="P2617">
        <f>IF(AND(ISNUMBER('자료_미국심리'!$D2601),ISNUMBER('자료_미국심리'!$E2601)),'자료_미국심리'!$D2601,"")</f>
        <v/>
      </c>
      <c r="Q2617">
        <f>IF(AND(ISNUMBER('자료_미국심리'!$G2601),ISNUMBER('자료_미국심리'!$H2601)),'자료_미국심리'!$G2601,"")</f>
        <v/>
      </c>
    </row>
    <row r="2618">
      <c r="O2618">
        <f>IF(AND(ISNUMBER('자료_미국심리'!$A2602),ISNUMBER('자료_미국심리'!$B2602)),'자료_미국심리'!$A2602,"")</f>
        <v/>
      </c>
      <c r="P2618">
        <f>IF(AND(ISNUMBER('자료_미국심리'!$D2602),ISNUMBER('자료_미국심리'!$E2602)),'자료_미국심리'!$D2602,"")</f>
        <v/>
      </c>
      <c r="Q2618">
        <f>IF(AND(ISNUMBER('자료_미국심리'!$G2602),ISNUMBER('자료_미국심리'!$H2602)),'자료_미국심리'!$G2602,"")</f>
        <v/>
      </c>
    </row>
    <row r="2619">
      <c r="O2619">
        <f>IF(AND(ISNUMBER('자료_미국심리'!$A2603),ISNUMBER('자료_미국심리'!$B2603)),'자료_미국심리'!$A2603,"")</f>
        <v/>
      </c>
      <c r="P2619">
        <f>IF(AND(ISNUMBER('자료_미국심리'!$D2603),ISNUMBER('자료_미국심리'!$E2603)),'자료_미국심리'!$D2603,"")</f>
        <v/>
      </c>
      <c r="Q2619">
        <f>IF(AND(ISNUMBER('자료_미국심리'!$G2603),ISNUMBER('자료_미국심리'!$H2603)),'자료_미국심리'!$G2603,"")</f>
        <v/>
      </c>
    </row>
    <row r="2620">
      <c r="O2620">
        <f>IF(AND(ISNUMBER('자료_미국심리'!$A2604),ISNUMBER('자료_미국심리'!$B2604)),'자료_미국심리'!$A2604,"")</f>
        <v/>
      </c>
      <c r="P2620">
        <f>IF(AND(ISNUMBER('자료_미국심리'!$D2604),ISNUMBER('자료_미국심리'!$E2604)),'자료_미국심리'!$D2604,"")</f>
        <v/>
      </c>
      <c r="Q2620">
        <f>IF(AND(ISNUMBER('자료_미국심리'!$G2604),ISNUMBER('자료_미국심리'!$H2604)),'자료_미국심리'!$G2604,"")</f>
        <v/>
      </c>
    </row>
    <row r="2621">
      <c r="O2621">
        <f>IF(AND(ISNUMBER('자료_미국심리'!$A2605),ISNUMBER('자료_미국심리'!$B2605)),'자료_미국심리'!$A2605,"")</f>
        <v/>
      </c>
      <c r="P2621">
        <f>IF(AND(ISNUMBER('자료_미국심리'!$D2605),ISNUMBER('자료_미국심리'!$E2605)),'자료_미국심리'!$D2605,"")</f>
        <v/>
      </c>
      <c r="Q2621">
        <f>IF(AND(ISNUMBER('자료_미국심리'!$G2605),ISNUMBER('자료_미국심리'!$H2605)),'자료_미국심리'!$G2605,"")</f>
        <v/>
      </c>
    </row>
    <row r="2622">
      <c r="O2622">
        <f>IF(AND(ISNUMBER('자료_미국심리'!$A2606),ISNUMBER('자료_미국심리'!$B2606)),'자료_미국심리'!$A2606,"")</f>
        <v/>
      </c>
      <c r="P2622">
        <f>IF(AND(ISNUMBER('자료_미국심리'!$D2606),ISNUMBER('자료_미국심리'!$E2606)),'자료_미국심리'!$D2606,"")</f>
        <v/>
      </c>
      <c r="Q2622">
        <f>IF(AND(ISNUMBER('자료_미국심리'!$G2606),ISNUMBER('자료_미국심리'!$H2606)),'자료_미국심리'!$G2606,"")</f>
        <v/>
      </c>
    </row>
    <row r="2623">
      <c r="O2623">
        <f>IF(AND(ISNUMBER('자료_미국심리'!$A2607),ISNUMBER('자료_미국심리'!$B2607)),'자료_미국심리'!$A2607,"")</f>
        <v/>
      </c>
      <c r="P2623">
        <f>IF(AND(ISNUMBER('자료_미국심리'!$D2607),ISNUMBER('자료_미국심리'!$E2607)),'자료_미국심리'!$D2607,"")</f>
        <v/>
      </c>
      <c r="Q2623">
        <f>IF(AND(ISNUMBER('자료_미국심리'!$G2607),ISNUMBER('자료_미국심리'!$H2607)),'자료_미국심리'!$G2607,"")</f>
        <v/>
      </c>
    </row>
    <row r="2624">
      <c r="O2624">
        <f>IF(AND(ISNUMBER('자료_미국심리'!$A2608),ISNUMBER('자료_미국심리'!$B2608)),'자료_미국심리'!$A2608,"")</f>
        <v/>
      </c>
      <c r="P2624">
        <f>IF(AND(ISNUMBER('자료_미국심리'!$D2608),ISNUMBER('자료_미국심리'!$E2608)),'자료_미국심리'!$D2608,"")</f>
        <v/>
      </c>
      <c r="Q2624">
        <f>IF(AND(ISNUMBER('자료_미국심리'!$G2608),ISNUMBER('자료_미국심리'!$H2608)),'자료_미국심리'!$G2608,"")</f>
        <v/>
      </c>
    </row>
    <row r="2625">
      <c r="O2625">
        <f>IF(AND(ISNUMBER('자료_미국심리'!$A2609),ISNUMBER('자료_미국심리'!$B2609)),'자료_미국심리'!$A2609,"")</f>
        <v/>
      </c>
      <c r="P2625">
        <f>IF(AND(ISNUMBER('자료_미국심리'!$D2609),ISNUMBER('자료_미국심리'!$E2609)),'자료_미국심리'!$D2609,"")</f>
        <v/>
      </c>
      <c r="Q2625">
        <f>IF(AND(ISNUMBER('자료_미국심리'!$G2609),ISNUMBER('자료_미국심리'!$H2609)),'자료_미국심리'!$G2609,"")</f>
        <v/>
      </c>
    </row>
    <row r="2626">
      <c r="O2626">
        <f>IF(AND(ISNUMBER('자료_미국심리'!$A2610),ISNUMBER('자료_미국심리'!$B2610)),'자료_미국심리'!$A2610,"")</f>
        <v/>
      </c>
      <c r="P2626">
        <f>IF(AND(ISNUMBER('자료_미국심리'!$D2610),ISNUMBER('자료_미국심리'!$E2610)),'자료_미국심리'!$D2610,"")</f>
        <v/>
      </c>
      <c r="Q2626">
        <f>IF(AND(ISNUMBER('자료_미국심리'!$G2610),ISNUMBER('자료_미국심리'!$H2610)),'자료_미국심리'!$G2610,"")</f>
        <v/>
      </c>
    </row>
    <row r="2627">
      <c r="O2627">
        <f>IF(AND(ISNUMBER('자료_미국심리'!$A2611),ISNUMBER('자료_미국심리'!$B2611)),'자료_미국심리'!$A2611,"")</f>
        <v/>
      </c>
      <c r="P2627">
        <f>IF(AND(ISNUMBER('자료_미국심리'!$D2611),ISNUMBER('자료_미국심리'!$E2611)),'자료_미국심리'!$D2611,"")</f>
        <v/>
      </c>
      <c r="Q2627">
        <f>IF(AND(ISNUMBER('자료_미국심리'!$G2611),ISNUMBER('자료_미국심리'!$H2611)),'자료_미국심리'!$G2611,"")</f>
        <v/>
      </c>
    </row>
    <row r="2628">
      <c r="O2628">
        <f>IF(AND(ISNUMBER('자료_미국심리'!$A2612),ISNUMBER('자료_미국심리'!$B2612)),'자료_미국심리'!$A2612,"")</f>
        <v/>
      </c>
      <c r="P2628">
        <f>IF(AND(ISNUMBER('자료_미국심리'!$D2612),ISNUMBER('자료_미국심리'!$E2612)),'자료_미국심리'!$D2612,"")</f>
        <v/>
      </c>
      <c r="Q2628">
        <f>IF(AND(ISNUMBER('자료_미국심리'!$G2612),ISNUMBER('자료_미국심리'!$H2612)),'자료_미국심리'!$G2612,"")</f>
        <v/>
      </c>
    </row>
    <row r="2629">
      <c r="O2629">
        <f>IF(AND(ISNUMBER('자료_미국심리'!$A2613),ISNUMBER('자료_미국심리'!$B2613)),'자료_미국심리'!$A2613,"")</f>
        <v/>
      </c>
      <c r="P2629">
        <f>IF(AND(ISNUMBER('자료_미국심리'!$D2613),ISNUMBER('자료_미국심리'!$E2613)),'자료_미국심리'!$D2613,"")</f>
        <v/>
      </c>
      <c r="Q2629">
        <f>IF(AND(ISNUMBER('자료_미국심리'!$G2613),ISNUMBER('자료_미국심리'!$H2613)),'자료_미국심리'!$G2613,"")</f>
        <v/>
      </c>
    </row>
    <row r="2630">
      <c r="O2630">
        <f>IF(AND(ISNUMBER('자료_미국심리'!$A2614),ISNUMBER('자료_미국심리'!$B2614)),'자료_미국심리'!$A2614,"")</f>
        <v/>
      </c>
      <c r="P2630">
        <f>IF(AND(ISNUMBER('자료_미국심리'!$D2614),ISNUMBER('자료_미국심리'!$E2614)),'자료_미국심리'!$D2614,"")</f>
        <v/>
      </c>
      <c r="Q2630">
        <f>IF(AND(ISNUMBER('자료_미국심리'!$G2614),ISNUMBER('자료_미국심리'!$H2614)),'자료_미국심리'!$G2614,"")</f>
        <v/>
      </c>
    </row>
    <row r="2631">
      <c r="O2631">
        <f>IF(AND(ISNUMBER('자료_미국심리'!$A2615),ISNUMBER('자료_미국심리'!$B2615)),'자료_미국심리'!$A2615,"")</f>
        <v/>
      </c>
      <c r="P2631">
        <f>IF(AND(ISNUMBER('자료_미국심리'!$D2615),ISNUMBER('자료_미국심리'!$E2615)),'자료_미국심리'!$D2615,"")</f>
        <v/>
      </c>
      <c r="Q2631">
        <f>IF(AND(ISNUMBER('자료_미국심리'!$G2615),ISNUMBER('자료_미국심리'!$H2615)),'자료_미국심리'!$G2615,"")</f>
        <v/>
      </c>
    </row>
    <row r="2632">
      <c r="O2632">
        <f>IF(AND(ISNUMBER('자료_미국심리'!$A2616),ISNUMBER('자료_미국심리'!$B2616)),'자료_미국심리'!$A2616,"")</f>
        <v/>
      </c>
      <c r="P2632">
        <f>IF(AND(ISNUMBER('자료_미국심리'!$D2616),ISNUMBER('자료_미국심리'!$E2616)),'자료_미국심리'!$D2616,"")</f>
        <v/>
      </c>
      <c r="Q2632">
        <f>IF(AND(ISNUMBER('자료_미국심리'!$G2616),ISNUMBER('자료_미국심리'!$H2616)),'자료_미국심리'!$G2616,"")</f>
        <v/>
      </c>
    </row>
    <row r="2633">
      <c r="O2633">
        <f>IF(AND(ISNUMBER('자료_미국심리'!$A2617),ISNUMBER('자료_미국심리'!$B2617)),'자료_미국심리'!$A2617,"")</f>
        <v/>
      </c>
      <c r="P2633">
        <f>IF(AND(ISNUMBER('자료_미국심리'!$D2617),ISNUMBER('자료_미국심리'!$E2617)),'자료_미국심리'!$D2617,"")</f>
        <v/>
      </c>
      <c r="Q2633">
        <f>IF(AND(ISNUMBER('자료_미국심리'!$G2617),ISNUMBER('자료_미국심리'!$H2617)),'자료_미국심리'!$G2617,"")</f>
        <v/>
      </c>
    </row>
    <row r="2634">
      <c r="O2634">
        <f>IF(AND(ISNUMBER('자료_미국심리'!$A2618),ISNUMBER('자료_미국심리'!$B2618)),'자료_미국심리'!$A2618,"")</f>
        <v/>
      </c>
      <c r="P2634">
        <f>IF(AND(ISNUMBER('자료_미국심리'!$D2618),ISNUMBER('자료_미국심리'!$E2618)),'자료_미국심리'!$D2618,"")</f>
        <v/>
      </c>
      <c r="Q2634">
        <f>IF(AND(ISNUMBER('자료_미국심리'!$G2618),ISNUMBER('자료_미국심리'!$H2618)),'자료_미국심리'!$G2618,"")</f>
        <v/>
      </c>
    </row>
    <row r="2635">
      <c r="O2635">
        <f>IF(AND(ISNUMBER('자료_미국심리'!$A2619),ISNUMBER('자료_미국심리'!$B2619)),'자료_미국심리'!$A2619,"")</f>
        <v/>
      </c>
      <c r="P2635">
        <f>IF(AND(ISNUMBER('자료_미국심리'!$D2619),ISNUMBER('자료_미국심리'!$E2619)),'자료_미국심리'!$D2619,"")</f>
        <v/>
      </c>
      <c r="Q2635">
        <f>IF(AND(ISNUMBER('자료_미국심리'!$G2619),ISNUMBER('자료_미국심리'!$H2619)),'자료_미국심리'!$G2619,"")</f>
        <v/>
      </c>
    </row>
    <row r="2636">
      <c r="O2636">
        <f>IF(AND(ISNUMBER('자료_미국심리'!$A2620),ISNUMBER('자료_미국심리'!$B2620)),'자료_미국심리'!$A2620,"")</f>
        <v/>
      </c>
      <c r="P2636">
        <f>IF(AND(ISNUMBER('자료_미국심리'!$D2620),ISNUMBER('자료_미국심리'!$E2620)),'자료_미국심리'!$D2620,"")</f>
        <v/>
      </c>
      <c r="Q2636">
        <f>IF(AND(ISNUMBER('자료_미국심리'!$G2620),ISNUMBER('자료_미국심리'!$H2620)),'자료_미국심리'!$G2620,"")</f>
        <v/>
      </c>
    </row>
    <row r="2637">
      <c r="O2637">
        <f>IF(AND(ISNUMBER('자료_미국심리'!$A2621),ISNUMBER('자료_미국심리'!$B2621)),'자료_미국심리'!$A2621,"")</f>
        <v/>
      </c>
      <c r="P2637">
        <f>IF(AND(ISNUMBER('자료_미국심리'!$D2621),ISNUMBER('자료_미국심리'!$E2621)),'자료_미국심리'!$D2621,"")</f>
        <v/>
      </c>
      <c r="Q2637">
        <f>IF(AND(ISNUMBER('자료_미국심리'!$G2621),ISNUMBER('자료_미국심리'!$H2621)),'자료_미국심리'!$G2621,"")</f>
        <v/>
      </c>
    </row>
    <row r="2638">
      <c r="O2638">
        <f>IF(AND(ISNUMBER('자료_미국심리'!$A2622),ISNUMBER('자료_미국심리'!$B2622)),'자료_미국심리'!$A2622,"")</f>
        <v/>
      </c>
      <c r="P2638">
        <f>IF(AND(ISNUMBER('자료_미국심리'!$D2622),ISNUMBER('자료_미국심리'!$E2622)),'자료_미국심리'!$D2622,"")</f>
        <v/>
      </c>
      <c r="Q2638">
        <f>IF(AND(ISNUMBER('자료_미국심리'!$G2622),ISNUMBER('자료_미국심리'!$H2622)),'자료_미국심리'!$G2622,"")</f>
        <v/>
      </c>
    </row>
    <row r="2639">
      <c r="O2639">
        <f>IF(AND(ISNUMBER('자료_미국심리'!$A2623),ISNUMBER('자료_미국심리'!$B2623)),'자료_미국심리'!$A2623,"")</f>
        <v/>
      </c>
      <c r="P2639">
        <f>IF(AND(ISNUMBER('자료_미국심리'!$D2623),ISNUMBER('자료_미국심리'!$E2623)),'자료_미국심리'!$D2623,"")</f>
        <v/>
      </c>
      <c r="Q2639">
        <f>IF(AND(ISNUMBER('자료_미국심리'!$G2623),ISNUMBER('자료_미국심리'!$H2623)),'자료_미국심리'!$G2623,"")</f>
        <v/>
      </c>
    </row>
    <row r="2640">
      <c r="O2640">
        <f>IF(AND(ISNUMBER('자료_미국심리'!$A2624),ISNUMBER('자료_미국심리'!$B2624)),'자료_미국심리'!$A2624,"")</f>
        <v/>
      </c>
      <c r="P2640">
        <f>IF(AND(ISNUMBER('자료_미국심리'!$D2624),ISNUMBER('자료_미국심리'!$E2624)),'자료_미국심리'!$D2624,"")</f>
        <v/>
      </c>
      <c r="Q2640">
        <f>IF(AND(ISNUMBER('자료_미국심리'!$G2624),ISNUMBER('자료_미국심리'!$H2624)),'자료_미국심리'!$G2624,"")</f>
        <v/>
      </c>
    </row>
    <row r="2641">
      <c r="O2641">
        <f>IF(AND(ISNUMBER('자료_미국심리'!$A2625),ISNUMBER('자료_미국심리'!$B2625)),'자료_미국심리'!$A2625,"")</f>
        <v/>
      </c>
      <c r="P2641">
        <f>IF(AND(ISNUMBER('자료_미국심리'!$D2625),ISNUMBER('자료_미국심리'!$E2625)),'자료_미국심리'!$D2625,"")</f>
        <v/>
      </c>
      <c r="Q2641">
        <f>IF(AND(ISNUMBER('자료_미국심리'!$G2625),ISNUMBER('자료_미국심리'!$H2625)),'자료_미국심리'!$G2625,"")</f>
        <v/>
      </c>
    </row>
    <row r="2642">
      <c r="O2642">
        <f>IF(AND(ISNUMBER('자료_미국심리'!$A2626),ISNUMBER('자료_미국심리'!$B2626)),'자료_미국심리'!$A2626,"")</f>
        <v/>
      </c>
      <c r="P2642">
        <f>IF(AND(ISNUMBER('자료_미국심리'!$D2626),ISNUMBER('자료_미국심리'!$E2626)),'자료_미국심리'!$D2626,"")</f>
        <v/>
      </c>
      <c r="Q2642">
        <f>IF(AND(ISNUMBER('자료_미국심리'!$G2626),ISNUMBER('자료_미국심리'!$H2626)),'자료_미국심리'!$G2626,"")</f>
        <v/>
      </c>
    </row>
    <row r="2643">
      <c r="O2643">
        <f>IF(AND(ISNUMBER('자료_미국심리'!$A2627),ISNUMBER('자료_미국심리'!$B2627)),'자료_미국심리'!$A2627,"")</f>
        <v/>
      </c>
      <c r="P2643">
        <f>IF(AND(ISNUMBER('자료_미국심리'!$D2627),ISNUMBER('자료_미국심리'!$E2627)),'자료_미국심리'!$D2627,"")</f>
        <v/>
      </c>
      <c r="Q2643">
        <f>IF(AND(ISNUMBER('자료_미국심리'!$G2627),ISNUMBER('자료_미국심리'!$H2627)),'자료_미국심리'!$G2627,"")</f>
        <v/>
      </c>
    </row>
    <row r="2644">
      <c r="O2644">
        <f>IF(AND(ISNUMBER('자료_미국심리'!$A2628),ISNUMBER('자료_미국심리'!$B2628)),'자료_미국심리'!$A2628,"")</f>
        <v/>
      </c>
      <c r="P2644">
        <f>IF(AND(ISNUMBER('자료_미국심리'!$D2628),ISNUMBER('자료_미국심리'!$E2628)),'자료_미국심리'!$D2628,"")</f>
        <v/>
      </c>
      <c r="Q2644">
        <f>IF(AND(ISNUMBER('자료_미국심리'!$G2628),ISNUMBER('자료_미국심리'!$H2628)),'자료_미국심리'!$G2628,"")</f>
        <v/>
      </c>
    </row>
    <row r="2645">
      <c r="O2645">
        <f>IF(AND(ISNUMBER('자료_미국심리'!$A2629),ISNUMBER('자료_미국심리'!$B2629)),'자료_미국심리'!$A2629,"")</f>
        <v/>
      </c>
      <c r="P2645">
        <f>IF(AND(ISNUMBER('자료_미국심리'!$D2629),ISNUMBER('자료_미국심리'!$E2629)),'자료_미국심리'!$D2629,"")</f>
        <v/>
      </c>
      <c r="Q2645">
        <f>IF(AND(ISNUMBER('자료_미국심리'!$G2629),ISNUMBER('자료_미국심리'!$H2629)),'자료_미국심리'!$G2629,"")</f>
        <v/>
      </c>
    </row>
    <row r="2646">
      <c r="O2646">
        <f>IF(AND(ISNUMBER('자료_미국심리'!$A2630),ISNUMBER('자료_미국심리'!$B2630)),'자료_미국심리'!$A2630,"")</f>
        <v/>
      </c>
      <c r="P2646">
        <f>IF(AND(ISNUMBER('자료_미국심리'!$D2630),ISNUMBER('자료_미국심리'!$E2630)),'자료_미국심리'!$D2630,"")</f>
        <v/>
      </c>
      <c r="Q2646">
        <f>IF(AND(ISNUMBER('자료_미국심리'!$G2630),ISNUMBER('자료_미국심리'!$H2630)),'자료_미국심리'!$G2630,"")</f>
        <v/>
      </c>
    </row>
    <row r="2647">
      <c r="O2647">
        <f>IF(AND(ISNUMBER('자료_미국심리'!$A2631),ISNUMBER('자료_미국심리'!$B2631)),'자료_미국심리'!$A2631,"")</f>
        <v/>
      </c>
      <c r="P2647">
        <f>IF(AND(ISNUMBER('자료_미국심리'!$D2631),ISNUMBER('자료_미국심리'!$E2631)),'자료_미국심리'!$D2631,"")</f>
        <v/>
      </c>
      <c r="Q2647">
        <f>IF(AND(ISNUMBER('자료_미국심리'!$G2631),ISNUMBER('자료_미국심리'!$H2631)),'자료_미국심리'!$G2631,"")</f>
        <v/>
      </c>
    </row>
    <row r="2648">
      <c r="O2648">
        <f>IF(AND(ISNUMBER('자료_미국심리'!$A2632),ISNUMBER('자료_미국심리'!$B2632)),'자료_미국심리'!$A2632,"")</f>
        <v/>
      </c>
      <c r="P2648">
        <f>IF(AND(ISNUMBER('자료_미국심리'!$D2632),ISNUMBER('자료_미국심리'!$E2632)),'자료_미국심리'!$D2632,"")</f>
        <v/>
      </c>
      <c r="Q2648">
        <f>IF(AND(ISNUMBER('자료_미국심리'!$G2632),ISNUMBER('자료_미국심리'!$H2632)),'자료_미국심리'!$G2632,"")</f>
        <v/>
      </c>
    </row>
    <row r="2649">
      <c r="O2649">
        <f>IF(AND(ISNUMBER('자료_미국심리'!$A2633),ISNUMBER('자료_미국심리'!$B2633)),'자료_미국심리'!$A2633,"")</f>
        <v/>
      </c>
      <c r="P2649">
        <f>IF(AND(ISNUMBER('자료_미국심리'!$D2633),ISNUMBER('자료_미국심리'!$E2633)),'자료_미국심리'!$D2633,"")</f>
        <v/>
      </c>
      <c r="Q2649">
        <f>IF(AND(ISNUMBER('자료_미국심리'!$G2633),ISNUMBER('자료_미국심리'!$H2633)),'자료_미국심리'!$G2633,"")</f>
        <v/>
      </c>
    </row>
    <row r="2650">
      <c r="O2650">
        <f>IF(AND(ISNUMBER('자료_미국심리'!$A2634),ISNUMBER('자료_미국심리'!$B2634)),'자료_미국심리'!$A2634,"")</f>
        <v/>
      </c>
      <c r="P2650">
        <f>IF(AND(ISNUMBER('자료_미국심리'!$D2634),ISNUMBER('자료_미국심리'!$E2634)),'자료_미국심리'!$D2634,"")</f>
        <v/>
      </c>
      <c r="Q2650">
        <f>IF(AND(ISNUMBER('자료_미국심리'!$G2634),ISNUMBER('자료_미국심리'!$H2634)),'자료_미국심리'!$G2634,"")</f>
        <v/>
      </c>
    </row>
    <row r="2651">
      <c r="O2651">
        <f>IF(AND(ISNUMBER('자료_미국심리'!$A2635),ISNUMBER('자료_미국심리'!$B2635)),'자료_미국심리'!$A2635,"")</f>
        <v/>
      </c>
      <c r="P2651">
        <f>IF(AND(ISNUMBER('자료_미국심리'!$D2635),ISNUMBER('자료_미국심리'!$E2635)),'자료_미국심리'!$D2635,"")</f>
        <v/>
      </c>
      <c r="Q2651">
        <f>IF(AND(ISNUMBER('자료_미국심리'!$G2635),ISNUMBER('자료_미국심리'!$H2635)),'자료_미국심리'!$G2635,"")</f>
        <v/>
      </c>
    </row>
    <row r="2652">
      <c r="O2652">
        <f>IF(AND(ISNUMBER('자료_미국심리'!$A2636),ISNUMBER('자료_미국심리'!$B2636)),'자료_미국심리'!$A2636,"")</f>
        <v/>
      </c>
      <c r="P2652">
        <f>IF(AND(ISNUMBER('자료_미국심리'!$D2636),ISNUMBER('자료_미국심리'!$E2636)),'자료_미국심리'!$D2636,"")</f>
        <v/>
      </c>
      <c r="Q2652">
        <f>IF(AND(ISNUMBER('자료_미국심리'!$G2636),ISNUMBER('자료_미국심리'!$H2636)),'자료_미국심리'!$G2636,"")</f>
        <v/>
      </c>
    </row>
    <row r="2653">
      <c r="O2653">
        <f>IF(AND(ISNUMBER('자료_미국심리'!$A2637),ISNUMBER('자료_미국심리'!$B2637)),'자료_미국심리'!$A2637,"")</f>
        <v/>
      </c>
      <c r="P2653">
        <f>IF(AND(ISNUMBER('자료_미국심리'!$D2637),ISNUMBER('자료_미국심리'!$E2637)),'자료_미국심리'!$D2637,"")</f>
        <v/>
      </c>
      <c r="Q2653">
        <f>IF(AND(ISNUMBER('자료_미국심리'!$G2637),ISNUMBER('자료_미국심리'!$H2637)),'자료_미국심리'!$G2637,"")</f>
        <v/>
      </c>
    </row>
    <row r="2654">
      <c r="O2654">
        <f>IF(AND(ISNUMBER('자료_미국심리'!$A2638),ISNUMBER('자료_미국심리'!$B2638)),'자료_미국심리'!$A2638,"")</f>
        <v/>
      </c>
      <c r="P2654">
        <f>IF(AND(ISNUMBER('자료_미국심리'!$D2638),ISNUMBER('자료_미국심리'!$E2638)),'자료_미국심리'!$D2638,"")</f>
        <v/>
      </c>
      <c r="Q2654">
        <f>IF(AND(ISNUMBER('자료_미국심리'!$G2638),ISNUMBER('자료_미국심리'!$H2638)),'자료_미국심리'!$G2638,"")</f>
        <v/>
      </c>
    </row>
    <row r="2655">
      <c r="O2655">
        <f>IF(AND(ISNUMBER('자료_미국심리'!$A2639),ISNUMBER('자료_미국심리'!$B2639)),'자료_미국심리'!$A2639,"")</f>
        <v/>
      </c>
      <c r="P2655">
        <f>IF(AND(ISNUMBER('자료_미국심리'!$D2639),ISNUMBER('자료_미국심리'!$E2639)),'자료_미국심리'!$D2639,"")</f>
        <v/>
      </c>
      <c r="Q2655">
        <f>IF(AND(ISNUMBER('자료_미국심리'!$G2639),ISNUMBER('자료_미국심리'!$H2639)),'자료_미국심리'!$G2639,"")</f>
        <v/>
      </c>
    </row>
    <row r="2656">
      <c r="O2656">
        <f>IF(AND(ISNUMBER('자료_미국심리'!$A2640),ISNUMBER('자료_미국심리'!$B2640)),'자료_미국심리'!$A2640,"")</f>
        <v/>
      </c>
      <c r="P2656">
        <f>IF(AND(ISNUMBER('자료_미국심리'!$D2640),ISNUMBER('자료_미국심리'!$E2640)),'자료_미국심리'!$D2640,"")</f>
        <v/>
      </c>
      <c r="Q2656">
        <f>IF(AND(ISNUMBER('자료_미국심리'!$G2640),ISNUMBER('자료_미국심리'!$H2640)),'자료_미국심리'!$G2640,"")</f>
        <v/>
      </c>
    </row>
    <row r="2657">
      <c r="O2657">
        <f>IF(AND(ISNUMBER('자료_미국심리'!$A2641),ISNUMBER('자료_미국심리'!$B2641)),'자료_미국심리'!$A2641,"")</f>
        <v/>
      </c>
      <c r="P2657">
        <f>IF(AND(ISNUMBER('자료_미국심리'!$D2641),ISNUMBER('자료_미국심리'!$E2641)),'자료_미국심리'!$D2641,"")</f>
        <v/>
      </c>
      <c r="Q2657">
        <f>IF(AND(ISNUMBER('자료_미국심리'!$G2641),ISNUMBER('자료_미국심리'!$H2641)),'자료_미국심리'!$G2641,"")</f>
        <v/>
      </c>
    </row>
    <row r="2658">
      <c r="O2658">
        <f>IF(AND(ISNUMBER('자료_미국심리'!$A2642),ISNUMBER('자료_미국심리'!$B2642)),'자료_미국심리'!$A2642,"")</f>
        <v/>
      </c>
      <c r="P2658">
        <f>IF(AND(ISNUMBER('자료_미국심리'!$D2642),ISNUMBER('자료_미국심리'!$E2642)),'자료_미국심리'!$D2642,"")</f>
        <v/>
      </c>
      <c r="Q2658">
        <f>IF(AND(ISNUMBER('자료_미국심리'!$G2642),ISNUMBER('자료_미국심리'!$H2642)),'자료_미국심리'!$G2642,"")</f>
        <v/>
      </c>
    </row>
    <row r="2659">
      <c r="O2659">
        <f>IF(AND(ISNUMBER('자료_미국심리'!$A2643),ISNUMBER('자료_미국심리'!$B2643)),'자료_미국심리'!$A2643,"")</f>
        <v/>
      </c>
      <c r="P2659">
        <f>IF(AND(ISNUMBER('자료_미국심리'!$D2643),ISNUMBER('자료_미국심리'!$E2643)),'자료_미국심리'!$D2643,"")</f>
        <v/>
      </c>
      <c r="Q2659">
        <f>IF(AND(ISNUMBER('자료_미국심리'!$G2643),ISNUMBER('자료_미국심리'!$H2643)),'자료_미국심리'!$G2643,"")</f>
        <v/>
      </c>
    </row>
    <row r="2660">
      <c r="O2660">
        <f>IF(AND(ISNUMBER('자료_미국심리'!$A2644),ISNUMBER('자료_미국심리'!$B2644)),'자료_미국심리'!$A2644,"")</f>
        <v/>
      </c>
      <c r="P2660">
        <f>IF(AND(ISNUMBER('자료_미국심리'!$D2644),ISNUMBER('자료_미국심리'!$E2644)),'자료_미국심리'!$D2644,"")</f>
        <v/>
      </c>
      <c r="Q2660">
        <f>IF(AND(ISNUMBER('자료_미국심리'!$G2644),ISNUMBER('자료_미국심리'!$H2644)),'자료_미국심리'!$G2644,"")</f>
        <v/>
      </c>
    </row>
    <row r="2661">
      <c r="O2661">
        <f>IF(AND(ISNUMBER('자료_미국심리'!$A2645),ISNUMBER('자료_미국심리'!$B2645)),'자료_미국심리'!$A2645,"")</f>
        <v/>
      </c>
      <c r="P2661">
        <f>IF(AND(ISNUMBER('자료_미국심리'!$D2645),ISNUMBER('자료_미국심리'!$E2645)),'자료_미국심리'!$D2645,"")</f>
        <v/>
      </c>
      <c r="Q2661">
        <f>IF(AND(ISNUMBER('자료_미국심리'!$G2645),ISNUMBER('자료_미국심리'!$H2645)),'자료_미국심리'!$G2645,"")</f>
        <v/>
      </c>
    </row>
    <row r="2662">
      <c r="O2662">
        <f>IF(AND(ISNUMBER('자료_미국심리'!$A2646),ISNUMBER('자료_미국심리'!$B2646)),'자료_미국심리'!$A2646,"")</f>
        <v/>
      </c>
      <c r="P2662">
        <f>IF(AND(ISNUMBER('자료_미국심리'!$D2646),ISNUMBER('자료_미국심리'!$E2646)),'자료_미국심리'!$D2646,"")</f>
        <v/>
      </c>
      <c r="Q2662">
        <f>IF(AND(ISNUMBER('자료_미국심리'!$G2646),ISNUMBER('자료_미국심리'!$H2646)),'자료_미국심리'!$G2646,"")</f>
        <v/>
      </c>
    </row>
    <row r="2663">
      <c r="O2663">
        <f>IF(AND(ISNUMBER('자료_미국심리'!$A2647),ISNUMBER('자료_미국심리'!$B2647)),'자료_미국심리'!$A2647,"")</f>
        <v/>
      </c>
      <c r="P2663">
        <f>IF(AND(ISNUMBER('자료_미국심리'!$D2647),ISNUMBER('자료_미국심리'!$E2647)),'자료_미국심리'!$D2647,"")</f>
        <v/>
      </c>
      <c r="Q2663">
        <f>IF(AND(ISNUMBER('자료_미국심리'!$G2647),ISNUMBER('자료_미국심리'!$H2647)),'자료_미국심리'!$G2647,"")</f>
        <v/>
      </c>
    </row>
    <row r="2664">
      <c r="O2664">
        <f>IF(AND(ISNUMBER('자료_미국심리'!$A2648),ISNUMBER('자료_미국심리'!$B2648)),'자료_미국심리'!$A2648,"")</f>
        <v/>
      </c>
      <c r="P2664">
        <f>IF(AND(ISNUMBER('자료_미국심리'!$D2648),ISNUMBER('자료_미국심리'!$E2648)),'자료_미국심리'!$D2648,"")</f>
        <v/>
      </c>
      <c r="Q2664">
        <f>IF(AND(ISNUMBER('자료_미국심리'!$G2648),ISNUMBER('자료_미국심리'!$H2648)),'자료_미국심리'!$G2648,"")</f>
        <v/>
      </c>
    </row>
    <row r="2665">
      <c r="O2665">
        <f>IF(AND(ISNUMBER('자료_미국심리'!$A2649),ISNUMBER('자료_미국심리'!$B2649)),'자료_미국심리'!$A2649,"")</f>
        <v/>
      </c>
      <c r="P2665">
        <f>IF(AND(ISNUMBER('자료_미국심리'!$D2649),ISNUMBER('자료_미국심리'!$E2649)),'자료_미국심리'!$D2649,"")</f>
        <v/>
      </c>
      <c r="Q2665">
        <f>IF(AND(ISNUMBER('자료_미국심리'!$G2649),ISNUMBER('자료_미국심리'!$H2649)),'자료_미국심리'!$G2649,"")</f>
        <v/>
      </c>
    </row>
    <row r="2666">
      <c r="O2666">
        <f>IF(AND(ISNUMBER('자료_미국심리'!$A2650),ISNUMBER('자료_미국심리'!$B2650)),'자료_미국심리'!$A2650,"")</f>
        <v/>
      </c>
      <c r="P2666">
        <f>IF(AND(ISNUMBER('자료_미국심리'!$D2650),ISNUMBER('자료_미국심리'!$E2650)),'자료_미국심리'!$D2650,"")</f>
        <v/>
      </c>
      <c r="Q2666">
        <f>IF(AND(ISNUMBER('자료_미국심리'!$G2650),ISNUMBER('자료_미국심리'!$H2650)),'자료_미국심리'!$G2650,"")</f>
        <v/>
      </c>
    </row>
    <row r="2667">
      <c r="O2667">
        <f>IF(AND(ISNUMBER('자료_미국심리'!$A2651),ISNUMBER('자료_미국심리'!$B2651)),'자료_미국심리'!$A2651,"")</f>
        <v/>
      </c>
      <c r="P2667">
        <f>IF(AND(ISNUMBER('자료_미국심리'!$D2651),ISNUMBER('자료_미국심리'!$E2651)),'자료_미국심리'!$D2651,"")</f>
        <v/>
      </c>
      <c r="Q2667">
        <f>IF(AND(ISNUMBER('자료_미국심리'!$G2651),ISNUMBER('자료_미국심리'!$H2651)),'자료_미국심리'!$G2651,"")</f>
        <v/>
      </c>
    </row>
    <row r="2668">
      <c r="O2668">
        <f>IF(AND(ISNUMBER('자료_미국심리'!$A2652),ISNUMBER('자료_미국심리'!$B2652)),'자료_미국심리'!$A2652,"")</f>
        <v/>
      </c>
      <c r="P2668">
        <f>IF(AND(ISNUMBER('자료_미국심리'!$D2652),ISNUMBER('자료_미국심리'!$E2652)),'자료_미국심리'!$D2652,"")</f>
        <v/>
      </c>
      <c r="Q2668">
        <f>IF(AND(ISNUMBER('자료_미국심리'!$G2652),ISNUMBER('자료_미국심리'!$H2652)),'자료_미국심리'!$G2652,"")</f>
        <v/>
      </c>
    </row>
    <row r="2669">
      <c r="O2669">
        <f>IF(AND(ISNUMBER('자료_미국심리'!$A2653),ISNUMBER('자료_미국심리'!$B2653)),'자료_미국심리'!$A2653,"")</f>
        <v/>
      </c>
      <c r="P2669">
        <f>IF(AND(ISNUMBER('자료_미국심리'!$D2653),ISNUMBER('자료_미국심리'!$E2653)),'자료_미국심리'!$D2653,"")</f>
        <v/>
      </c>
      <c r="Q2669">
        <f>IF(AND(ISNUMBER('자료_미국심리'!$G2653),ISNUMBER('자료_미국심리'!$H2653)),'자료_미국심리'!$G2653,"")</f>
        <v/>
      </c>
    </row>
    <row r="2670">
      <c r="O2670">
        <f>IF(AND(ISNUMBER('자료_미국심리'!$A2654),ISNUMBER('자료_미국심리'!$B2654)),'자료_미국심리'!$A2654,"")</f>
        <v/>
      </c>
      <c r="P2670">
        <f>IF(AND(ISNUMBER('자료_미국심리'!$D2654),ISNUMBER('자료_미국심리'!$E2654)),'자료_미국심리'!$D2654,"")</f>
        <v/>
      </c>
      <c r="Q2670">
        <f>IF(AND(ISNUMBER('자료_미국심리'!$G2654),ISNUMBER('자료_미국심리'!$H2654)),'자료_미국심리'!$G2654,"")</f>
        <v/>
      </c>
    </row>
    <row r="2671">
      <c r="O2671">
        <f>IF(AND(ISNUMBER('자료_미국심리'!$A2655),ISNUMBER('자료_미국심리'!$B2655)),'자료_미국심리'!$A2655,"")</f>
        <v/>
      </c>
      <c r="P2671">
        <f>IF(AND(ISNUMBER('자료_미국심리'!$D2655),ISNUMBER('자료_미국심리'!$E2655)),'자료_미국심리'!$D2655,"")</f>
        <v/>
      </c>
      <c r="Q2671">
        <f>IF(AND(ISNUMBER('자료_미국심리'!$G2655),ISNUMBER('자료_미국심리'!$H2655)),'자료_미국심리'!$G2655,"")</f>
        <v/>
      </c>
    </row>
    <row r="2672">
      <c r="O2672">
        <f>IF(AND(ISNUMBER('자료_미국심리'!$A2656),ISNUMBER('자료_미국심리'!$B2656)),'자료_미국심리'!$A2656,"")</f>
        <v/>
      </c>
      <c r="P2672">
        <f>IF(AND(ISNUMBER('자료_미국심리'!$D2656),ISNUMBER('자료_미국심리'!$E2656)),'자료_미국심리'!$D2656,"")</f>
        <v/>
      </c>
      <c r="Q2672">
        <f>IF(AND(ISNUMBER('자료_미국심리'!$G2656),ISNUMBER('자료_미국심리'!$H2656)),'자료_미국심리'!$G2656,"")</f>
        <v/>
      </c>
    </row>
    <row r="2673">
      <c r="O2673">
        <f>IF(AND(ISNUMBER('자료_미국심리'!$A2657),ISNUMBER('자료_미국심리'!$B2657)),'자료_미국심리'!$A2657,"")</f>
        <v/>
      </c>
      <c r="P2673">
        <f>IF(AND(ISNUMBER('자료_미국심리'!$D2657),ISNUMBER('자료_미국심리'!$E2657)),'자료_미국심리'!$D2657,"")</f>
        <v/>
      </c>
      <c r="Q2673">
        <f>IF(AND(ISNUMBER('자료_미국심리'!$G2657),ISNUMBER('자료_미국심리'!$H2657)),'자료_미국심리'!$G2657,"")</f>
        <v/>
      </c>
    </row>
    <row r="2674">
      <c r="O2674">
        <f>IF(AND(ISNUMBER('자료_미국심리'!$A2658),ISNUMBER('자료_미국심리'!$B2658)),'자료_미국심리'!$A2658,"")</f>
        <v/>
      </c>
      <c r="P2674">
        <f>IF(AND(ISNUMBER('자료_미국심리'!$D2658),ISNUMBER('자료_미국심리'!$E2658)),'자료_미국심리'!$D2658,"")</f>
        <v/>
      </c>
      <c r="Q2674">
        <f>IF(AND(ISNUMBER('자료_미국심리'!$G2658),ISNUMBER('자료_미국심리'!$H2658)),'자료_미국심리'!$G2658,"")</f>
        <v/>
      </c>
    </row>
    <row r="2675">
      <c r="O2675">
        <f>IF(AND(ISNUMBER('자료_미국심리'!$A2659),ISNUMBER('자료_미국심리'!$B2659)),'자료_미국심리'!$A2659,"")</f>
        <v/>
      </c>
      <c r="P2675">
        <f>IF(AND(ISNUMBER('자료_미국심리'!$D2659),ISNUMBER('자료_미국심리'!$E2659)),'자료_미국심리'!$D2659,"")</f>
        <v/>
      </c>
      <c r="Q2675">
        <f>IF(AND(ISNUMBER('자료_미국심리'!$G2659),ISNUMBER('자료_미국심리'!$H2659)),'자료_미국심리'!$G2659,"")</f>
        <v/>
      </c>
    </row>
    <row r="2676">
      <c r="O2676">
        <f>IF(AND(ISNUMBER('자료_미국심리'!$A2660),ISNUMBER('자료_미국심리'!$B2660)),'자료_미국심리'!$A2660,"")</f>
        <v/>
      </c>
      <c r="P2676">
        <f>IF(AND(ISNUMBER('자료_미국심리'!$D2660),ISNUMBER('자료_미국심리'!$E2660)),'자료_미국심리'!$D2660,"")</f>
        <v/>
      </c>
      <c r="Q2676">
        <f>IF(AND(ISNUMBER('자료_미국심리'!$G2660),ISNUMBER('자료_미국심리'!$H2660)),'자료_미국심리'!$G2660,"")</f>
        <v/>
      </c>
    </row>
    <row r="2677">
      <c r="O2677">
        <f>IF(AND(ISNUMBER('자료_미국심리'!$A2661),ISNUMBER('자료_미국심리'!$B2661)),'자료_미국심리'!$A2661,"")</f>
        <v/>
      </c>
      <c r="P2677">
        <f>IF(AND(ISNUMBER('자료_미국심리'!$D2661),ISNUMBER('자료_미국심리'!$E2661)),'자료_미국심리'!$D2661,"")</f>
        <v/>
      </c>
      <c r="Q2677">
        <f>IF(AND(ISNUMBER('자료_미국심리'!$G2661),ISNUMBER('자료_미국심리'!$H2661)),'자료_미국심리'!$G2661,"")</f>
        <v/>
      </c>
    </row>
    <row r="2678">
      <c r="O2678">
        <f>IF(AND(ISNUMBER('자료_미국심리'!$A2662),ISNUMBER('자료_미국심리'!$B2662)),'자료_미국심리'!$A2662,"")</f>
        <v/>
      </c>
      <c r="P2678">
        <f>IF(AND(ISNUMBER('자료_미국심리'!$D2662),ISNUMBER('자료_미국심리'!$E2662)),'자료_미국심리'!$D2662,"")</f>
        <v/>
      </c>
      <c r="Q2678">
        <f>IF(AND(ISNUMBER('자료_미국심리'!$G2662),ISNUMBER('자료_미국심리'!$H2662)),'자료_미국심리'!$G2662,"")</f>
        <v/>
      </c>
    </row>
    <row r="2679">
      <c r="O2679">
        <f>IF(AND(ISNUMBER('자료_미국심리'!$A2663),ISNUMBER('자료_미국심리'!$B2663)),'자료_미국심리'!$A2663,"")</f>
        <v/>
      </c>
      <c r="P2679">
        <f>IF(AND(ISNUMBER('자료_미국심리'!$D2663),ISNUMBER('자료_미국심리'!$E2663)),'자료_미국심리'!$D2663,"")</f>
        <v/>
      </c>
      <c r="Q2679">
        <f>IF(AND(ISNUMBER('자료_미국심리'!$G2663),ISNUMBER('자료_미국심리'!$H2663)),'자료_미국심리'!$G2663,"")</f>
        <v/>
      </c>
    </row>
    <row r="2680">
      <c r="O2680">
        <f>IF(AND(ISNUMBER('자료_미국심리'!$A2664),ISNUMBER('자료_미국심리'!$B2664)),'자료_미국심리'!$A2664,"")</f>
        <v/>
      </c>
      <c r="P2680">
        <f>IF(AND(ISNUMBER('자료_미국심리'!$D2664),ISNUMBER('자료_미국심리'!$E2664)),'자료_미국심리'!$D2664,"")</f>
        <v/>
      </c>
      <c r="Q2680">
        <f>IF(AND(ISNUMBER('자료_미국심리'!$G2664),ISNUMBER('자료_미국심리'!$H2664)),'자료_미국심리'!$G2664,"")</f>
        <v/>
      </c>
    </row>
    <row r="2681">
      <c r="O2681">
        <f>IF(AND(ISNUMBER('자료_미국심리'!$A2665),ISNUMBER('자료_미국심리'!$B2665)),'자료_미국심리'!$A2665,"")</f>
        <v/>
      </c>
      <c r="P2681">
        <f>IF(AND(ISNUMBER('자료_미국심리'!$D2665),ISNUMBER('자료_미국심리'!$E2665)),'자료_미국심리'!$D2665,"")</f>
        <v/>
      </c>
      <c r="Q2681">
        <f>IF(AND(ISNUMBER('자료_미국심리'!$G2665),ISNUMBER('자료_미국심리'!$H2665)),'자료_미국심리'!$G2665,"")</f>
        <v/>
      </c>
    </row>
    <row r="2682">
      <c r="O2682">
        <f>IF(AND(ISNUMBER('자료_미국심리'!$A2666),ISNUMBER('자료_미국심리'!$B2666)),'자료_미국심리'!$A2666,"")</f>
        <v/>
      </c>
      <c r="P2682">
        <f>IF(AND(ISNUMBER('자료_미국심리'!$D2666),ISNUMBER('자료_미국심리'!$E2666)),'자료_미국심리'!$D2666,"")</f>
        <v/>
      </c>
      <c r="Q2682">
        <f>IF(AND(ISNUMBER('자료_미국심리'!$G2666),ISNUMBER('자료_미국심리'!$H2666)),'자료_미국심리'!$G2666,"")</f>
        <v/>
      </c>
    </row>
    <row r="2683">
      <c r="O2683">
        <f>IF(AND(ISNUMBER('자료_미국심리'!$A2667),ISNUMBER('자료_미국심리'!$B2667)),'자료_미국심리'!$A2667,"")</f>
        <v/>
      </c>
      <c r="P2683">
        <f>IF(AND(ISNUMBER('자료_미국심리'!$D2667),ISNUMBER('자료_미국심리'!$E2667)),'자료_미국심리'!$D2667,"")</f>
        <v/>
      </c>
      <c r="Q2683">
        <f>IF(AND(ISNUMBER('자료_미국심리'!$G2667),ISNUMBER('자료_미국심리'!$H2667)),'자료_미국심리'!$G2667,"")</f>
        <v/>
      </c>
    </row>
    <row r="2684">
      <c r="O2684">
        <f>IF(AND(ISNUMBER('자료_미국심리'!$A2668),ISNUMBER('자료_미국심리'!$B2668)),'자료_미국심리'!$A2668,"")</f>
        <v/>
      </c>
      <c r="P2684">
        <f>IF(AND(ISNUMBER('자료_미국심리'!$D2668),ISNUMBER('자료_미국심리'!$E2668)),'자료_미국심리'!$D2668,"")</f>
        <v/>
      </c>
      <c r="Q2684">
        <f>IF(AND(ISNUMBER('자료_미국심리'!$G2668),ISNUMBER('자료_미국심리'!$H2668)),'자료_미국심리'!$G2668,"")</f>
        <v/>
      </c>
    </row>
    <row r="2685">
      <c r="O2685">
        <f>IF(AND(ISNUMBER('자료_미국심리'!$A2669),ISNUMBER('자료_미국심리'!$B2669)),'자료_미국심리'!$A2669,"")</f>
        <v/>
      </c>
      <c r="P2685">
        <f>IF(AND(ISNUMBER('자료_미국심리'!$D2669),ISNUMBER('자료_미국심리'!$E2669)),'자료_미국심리'!$D2669,"")</f>
        <v/>
      </c>
      <c r="Q2685">
        <f>IF(AND(ISNUMBER('자료_미국심리'!$G2669),ISNUMBER('자료_미국심리'!$H2669)),'자료_미국심리'!$G2669,"")</f>
        <v/>
      </c>
    </row>
    <row r="2686">
      <c r="O2686">
        <f>IF(AND(ISNUMBER('자료_미국심리'!$A2670),ISNUMBER('자료_미국심리'!$B2670)),'자료_미국심리'!$A2670,"")</f>
        <v/>
      </c>
      <c r="P2686">
        <f>IF(AND(ISNUMBER('자료_미국심리'!$D2670),ISNUMBER('자료_미국심리'!$E2670)),'자료_미국심리'!$D2670,"")</f>
        <v/>
      </c>
      <c r="Q2686">
        <f>IF(AND(ISNUMBER('자료_미국심리'!$G2670),ISNUMBER('자료_미국심리'!$H2670)),'자료_미국심리'!$G2670,"")</f>
        <v/>
      </c>
    </row>
    <row r="2687">
      <c r="O2687">
        <f>IF(AND(ISNUMBER('자료_미국심리'!$A2671),ISNUMBER('자료_미국심리'!$B2671)),'자료_미국심리'!$A2671,"")</f>
        <v/>
      </c>
      <c r="P2687">
        <f>IF(AND(ISNUMBER('자료_미국심리'!$D2671),ISNUMBER('자료_미국심리'!$E2671)),'자료_미국심리'!$D2671,"")</f>
        <v/>
      </c>
      <c r="Q2687">
        <f>IF(AND(ISNUMBER('자료_미국심리'!$G2671),ISNUMBER('자료_미국심리'!$H2671)),'자료_미국심리'!$G2671,"")</f>
        <v/>
      </c>
    </row>
    <row r="2688">
      <c r="O2688">
        <f>IF(AND(ISNUMBER('자료_미국심리'!$A2672),ISNUMBER('자료_미국심리'!$B2672)),'자료_미국심리'!$A2672,"")</f>
        <v/>
      </c>
      <c r="P2688">
        <f>IF(AND(ISNUMBER('자료_미국심리'!$D2672),ISNUMBER('자료_미국심리'!$E2672)),'자료_미국심리'!$D2672,"")</f>
        <v/>
      </c>
      <c r="Q2688">
        <f>IF(AND(ISNUMBER('자료_미국심리'!$G2672),ISNUMBER('자료_미국심리'!$H2672)),'자료_미국심리'!$G2672,"")</f>
        <v/>
      </c>
    </row>
    <row r="2689">
      <c r="O2689">
        <f>IF(AND(ISNUMBER('자료_미국심리'!$A2673),ISNUMBER('자료_미국심리'!$B2673)),'자료_미국심리'!$A2673,"")</f>
        <v/>
      </c>
      <c r="P2689">
        <f>IF(AND(ISNUMBER('자료_미국심리'!$D2673),ISNUMBER('자료_미국심리'!$E2673)),'자료_미국심리'!$D2673,"")</f>
        <v/>
      </c>
      <c r="Q2689">
        <f>IF(AND(ISNUMBER('자료_미국심리'!$G2673),ISNUMBER('자료_미국심리'!$H2673)),'자료_미국심리'!$G2673,"")</f>
        <v/>
      </c>
    </row>
    <row r="2690">
      <c r="O2690">
        <f>IF(AND(ISNUMBER('자료_미국심리'!$A2674),ISNUMBER('자료_미국심리'!$B2674)),'자료_미국심리'!$A2674,"")</f>
        <v/>
      </c>
      <c r="P2690">
        <f>IF(AND(ISNUMBER('자료_미국심리'!$D2674),ISNUMBER('자료_미국심리'!$E2674)),'자료_미국심리'!$D2674,"")</f>
        <v/>
      </c>
      <c r="Q2690">
        <f>IF(AND(ISNUMBER('자료_미국심리'!$G2674),ISNUMBER('자료_미국심리'!$H2674)),'자료_미국심리'!$G2674,"")</f>
        <v/>
      </c>
    </row>
    <row r="2691">
      <c r="O2691">
        <f>IF(AND(ISNUMBER('자료_미국심리'!$A2675),ISNUMBER('자료_미국심리'!$B2675)),'자료_미국심리'!$A2675,"")</f>
        <v/>
      </c>
      <c r="P2691">
        <f>IF(AND(ISNUMBER('자료_미국심리'!$D2675),ISNUMBER('자료_미국심리'!$E2675)),'자료_미국심리'!$D2675,"")</f>
        <v/>
      </c>
      <c r="Q2691">
        <f>IF(AND(ISNUMBER('자료_미국심리'!$G2675),ISNUMBER('자료_미국심리'!$H2675)),'자료_미국심리'!$G2675,"")</f>
        <v/>
      </c>
    </row>
    <row r="2692">
      <c r="O2692">
        <f>IF(AND(ISNUMBER('자료_미국심리'!$A2676),ISNUMBER('자료_미국심리'!$B2676)),'자료_미국심리'!$A2676,"")</f>
        <v/>
      </c>
      <c r="P2692">
        <f>IF(AND(ISNUMBER('자료_미국심리'!$D2676),ISNUMBER('자료_미국심리'!$E2676)),'자료_미국심리'!$D2676,"")</f>
        <v/>
      </c>
      <c r="Q2692">
        <f>IF(AND(ISNUMBER('자료_미국심리'!$G2676),ISNUMBER('자료_미국심리'!$H2676)),'자료_미국심리'!$G2676,"")</f>
        <v/>
      </c>
    </row>
    <row r="2693">
      <c r="O2693">
        <f>IF(AND(ISNUMBER('자료_미국심리'!$A2677),ISNUMBER('자료_미국심리'!$B2677)),'자료_미국심리'!$A2677,"")</f>
        <v/>
      </c>
      <c r="P2693">
        <f>IF(AND(ISNUMBER('자료_미국심리'!$D2677),ISNUMBER('자료_미국심리'!$E2677)),'자료_미국심리'!$D2677,"")</f>
        <v/>
      </c>
      <c r="Q2693">
        <f>IF(AND(ISNUMBER('자료_미국심리'!$G2677),ISNUMBER('자료_미국심리'!$H2677)),'자료_미국심리'!$G2677,"")</f>
        <v/>
      </c>
    </row>
    <row r="2694">
      <c r="O2694">
        <f>IF(AND(ISNUMBER('자료_미국심리'!$A2678),ISNUMBER('자료_미국심리'!$B2678)),'자료_미국심리'!$A2678,"")</f>
        <v/>
      </c>
      <c r="P2694">
        <f>IF(AND(ISNUMBER('자료_미국심리'!$D2678),ISNUMBER('자료_미국심리'!$E2678)),'자료_미국심리'!$D2678,"")</f>
        <v/>
      </c>
      <c r="Q2694">
        <f>IF(AND(ISNUMBER('자료_미국심리'!$G2678),ISNUMBER('자료_미국심리'!$H2678)),'자료_미국심리'!$G2678,"")</f>
        <v/>
      </c>
    </row>
    <row r="2695">
      <c r="O2695">
        <f>IF(AND(ISNUMBER('자료_미국심리'!$A2679),ISNUMBER('자료_미국심리'!$B2679)),'자료_미국심리'!$A2679,"")</f>
        <v/>
      </c>
      <c r="P2695">
        <f>IF(AND(ISNUMBER('자료_미국심리'!$D2679),ISNUMBER('자료_미국심리'!$E2679)),'자료_미국심리'!$D2679,"")</f>
        <v/>
      </c>
      <c r="Q2695">
        <f>IF(AND(ISNUMBER('자료_미국심리'!$G2679),ISNUMBER('자료_미국심리'!$H2679)),'자료_미국심리'!$G2679,"")</f>
        <v/>
      </c>
    </row>
    <row r="2696">
      <c r="O2696">
        <f>IF(AND(ISNUMBER('자료_미국심리'!$A2680),ISNUMBER('자료_미국심리'!$B2680)),'자료_미국심리'!$A2680,"")</f>
        <v/>
      </c>
      <c r="P2696">
        <f>IF(AND(ISNUMBER('자료_미국심리'!$D2680),ISNUMBER('자료_미국심리'!$E2680)),'자료_미국심리'!$D2680,"")</f>
        <v/>
      </c>
      <c r="Q2696">
        <f>IF(AND(ISNUMBER('자료_미국심리'!$G2680),ISNUMBER('자료_미국심리'!$H2680)),'자료_미국심리'!$G2680,"")</f>
        <v/>
      </c>
    </row>
    <row r="2697">
      <c r="O2697">
        <f>IF(AND(ISNUMBER('자료_미국심리'!$A2681),ISNUMBER('자료_미국심리'!$B2681)),'자료_미국심리'!$A2681,"")</f>
        <v/>
      </c>
      <c r="P2697">
        <f>IF(AND(ISNUMBER('자료_미국심리'!$D2681),ISNUMBER('자료_미국심리'!$E2681)),'자료_미국심리'!$D2681,"")</f>
        <v/>
      </c>
      <c r="Q2697">
        <f>IF(AND(ISNUMBER('자료_미국심리'!$G2681),ISNUMBER('자료_미국심리'!$H2681)),'자료_미국심리'!$G2681,"")</f>
        <v/>
      </c>
    </row>
    <row r="2698">
      <c r="O2698">
        <f>IF(AND(ISNUMBER('자료_미국심리'!$A2682),ISNUMBER('자료_미국심리'!$B2682)),'자료_미국심리'!$A2682,"")</f>
        <v/>
      </c>
      <c r="P2698">
        <f>IF(AND(ISNUMBER('자료_미국심리'!$D2682),ISNUMBER('자료_미국심리'!$E2682)),'자료_미국심리'!$D2682,"")</f>
        <v/>
      </c>
      <c r="Q2698">
        <f>IF(AND(ISNUMBER('자료_미국심리'!$G2682),ISNUMBER('자료_미국심리'!$H2682)),'자료_미국심리'!$G2682,"")</f>
        <v/>
      </c>
    </row>
    <row r="2699">
      <c r="O2699">
        <f>IF(AND(ISNUMBER('자료_미국심리'!$A2683),ISNUMBER('자료_미국심리'!$B2683)),'자료_미국심리'!$A2683,"")</f>
        <v/>
      </c>
      <c r="P2699">
        <f>IF(AND(ISNUMBER('자료_미국심리'!$D2683),ISNUMBER('자료_미국심리'!$E2683)),'자료_미국심리'!$D2683,"")</f>
        <v/>
      </c>
      <c r="Q2699">
        <f>IF(AND(ISNUMBER('자료_미국심리'!$G2683),ISNUMBER('자료_미국심리'!$H2683)),'자료_미국심리'!$G2683,"")</f>
        <v/>
      </c>
    </row>
    <row r="2700">
      <c r="O2700">
        <f>IF(AND(ISNUMBER('자료_미국심리'!$A2684),ISNUMBER('자료_미국심리'!$B2684)),'자료_미국심리'!$A2684,"")</f>
        <v/>
      </c>
      <c r="P2700">
        <f>IF(AND(ISNUMBER('자료_미국심리'!$D2684),ISNUMBER('자료_미국심리'!$E2684)),'자료_미국심리'!$D2684,"")</f>
        <v/>
      </c>
      <c r="Q2700">
        <f>IF(AND(ISNUMBER('자료_미국심리'!$G2684),ISNUMBER('자료_미국심리'!$H2684)),'자료_미국심리'!$G2684,"")</f>
        <v/>
      </c>
    </row>
    <row r="2701">
      <c r="O2701">
        <f>IF(AND(ISNUMBER('자료_미국심리'!$A2685),ISNUMBER('자료_미국심리'!$B2685)),'자료_미국심리'!$A2685,"")</f>
        <v/>
      </c>
      <c r="P2701">
        <f>IF(AND(ISNUMBER('자료_미국심리'!$D2685),ISNUMBER('자료_미국심리'!$E2685)),'자료_미국심리'!$D2685,"")</f>
        <v/>
      </c>
      <c r="Q2701">
        <f>IF(AND(ISNUMBER('자료_미국심리'!$G2685),ISNUMBER('자료_미국심리'!$H2685)),'자료_미국심리'!$G2685,"")</f>
        <v/>
      </c>
    </row>
    <row r="2702">
      <c r="O2702">
        <f>IF(AND(ISNUMBER('자료_미국심리'!$A2686),ISNUMBER('자료_미국심리'!$B2686)),'자료_미국심리'!$A2686,"")</f>
        <v/>
      </c>
      <c r="P2702">
        <f>IF(AND(ISNUMBER('자료_미국심리'!$D2686),ISNUMBER('자료_미국심리'!$E2686)),'자료_미국심리'!$D2686,"")</f>
        <v/>
      </c>
      <c r="Q2702">
        <f>IF(AND(ISNUMBER('자료_미국심리'!$G2686),ISNUMBER('자료_미국심리'!$H2686)),'자료_미국심리'!$G2686,"")</f>
        <v/>
      </c>
    </row>
    <row r="2703">
      <c r="O2703">
        <f>IF(AND(ISNUMBER('자료_미국심리'!$A2687),ISNUMBER('자료_미국심리'!$B2687)),'자료_미국심리'!$A2687,"")</f>
        <v/>
      </c>
      <c r="P2703">
        <f>IF(AND(ISNUMBER('자료_미국심리'!$D2687),ISNUMBER('자료_미국심리'!$E2687)),'자료_미국심리'!$D2687,"")</f>
        <v/>
      </c>
      <c r="Q2703">
        <f>IF(AND(ISNUMBER('자료_미국심리'!$G2687),ISNUMBER('자료_미국심리'!$H2687)),'자료_미국심리'!$G2687,"")</f>
        <v/>
      </c>
    </row>
    <row r="2704">
      <c r="O2704">
        <f>IF(AND(ISNUMBER('자료_미국심리'!$A2688),ISNUMBER('자료_미국심리'!$B2688)),'자료_미국심리'!$A2688,"")</f>
        <v/>
      </c>
      <c r="P2704">
        <f>IF(AND(ISNUMBER('자료_미국심리'!$D2688),ISNUMBER('자료_미국심리'!$E2688)),'자료_미국심리'!$D2688,"")</f>
        <v/>
      </c>
      <c r="Q2704">
        <f>IF(AND(ISNUMBER('자료_미국심리'!$G2688),ISNUMBER('자료_미국심리'!$H2688)),'자료_미국심리'!$G2688,"")</f>
        <v/>
      </c>
    </row>
    <row r="2705">
      <c r="O2705">
        <f>IF(AND(ISNUMBER('자료_미국심리'!$A2689),ISNUMBER('자료_미국심리'!$B2689)),'자료_미국심리'!$A2689,"")</f>
        <v/>
      </c>
      <c r="P2705">
        <f>IF(AND(ISNUMBER('자료_미국심리'!$D2689),ISNUMBER('자료_미국심리'!$E2689)),'자료_미국심리'!$D2689,"")</f>
        <v/>
      </c>
      <c r="Q2705">
        <f>IF(AND(ISNUMBER('자료_미국심리'!$G2689),ISNUMBER('자료_미국심리'!$H2689)),'자료_미국심리'!$G2689,"")</f>
        <v/>
      </c>
    </row>
    <row r="2706">
      <c r="O2706">
        <f>IF(AND(ISNUMBER('자료_미국심리'!$A2690),ISNUMBER('자료_미국심리'!$B2690)),'자료_미국심리'!$A2690,"")</f>
        <v/>
      </c>
      <c r="P2706">
        <f>IF(AND(ISNUMBER('자료_미국심리'!$D2690),ISNUMBER('자료_미국심리'!$E2690)),'자료_미국심리'!$D2690,"")</f>
        <v/>
      </c>
      <c r="Q2706">
        <f>IF(AND(ISNUMBER('자료_미국심리'!$G2690),ISNUMBER('자료_미국심리'!$H2690)),'자료_미국심리'!$G2690,"")</f>
        <v/>
      </c>
    </row>
    <row r="2707">
      <c r="O2707">
        <f>IF(AND(ISNUMBER('자료_미국심리'!$A2691),ISNUMBER('자료_미국심리'!$B2691)),'자료_미국심리'!$A2691,"")</f>
        <v/>
      </c>
      <c r="P2707">
        <f>IF(AND(ISNUMBER('자료_미국심리'!$D2691),ISNUMBER('자료_미국심리'!$E2691)),'자료_미국심리'!$D2691,"")</f>
        <v/>
      </c>
      <c r="Q2707">
        <f>IF(AND(ISNUMBER('자료_미국심리'!$G2691),ISNUMBER('자료_미국심리'!$H2691)),'자료_미국심리'!$G2691,"")</f>
        <v/>
      </c>
    </row>
    <row r="2708">
      <c r="O2708">
        <f>IF(AND(ISNUMBER('자료_미국심리'!$A2692),ISNUMBER('자료_미국심리'!$B2692)),'자료_미국심리'!$A2692,"")</f>
        <v/>
      </c>
      <c r="P2708">
        <f>IF(AND(ISNUMBER('자료_미국심리'!$D2692),ISNUMBER('자료_미국심리'!$E2692)),'자료_미국심리'!$D2692,"")</f>
        <v/>
      </c>
      <c r="Q2708">
        <f>IF(AND(ISNUMBER('자료_미국심리'!$G2692),ISNUMBER('자료_미국심리'!$H2692)),'자료_미국심리'!$G2692,"")</f>
        <v/>
      </c>
    </row>
    <row r="2709">
      <c r="O2709">
        <f>IF(AND(ISNUMBER('자료_미국심리'!$A2693),ISNUMBER('자료_미국심리'!$B2693)),'자료_미국심리'!$A2693,"")</f>
        <v/>
      </c>
      <c r="P2709">
        <f>IF(AND(ISNUMBER('자료_미국심리'!$D2693),ISNUMBER('자료_미국심리'!$E2693)),'자료_미국심리'!$D2693,"")</f>
        <v/>
      </c>
      <c r="Q2709">
        <f>IF(AND(ISNUMBER('자료_미국심리'!$G2693),ISNUMBER('자료_미국심리'!$H2693)),'자료_미국심리'!$G2693,"")</f>
        <v/>
      </c>
    </row>
    <row r="2710">
      <c r="O2710">
        <f>IF(AND(ISNUMBER('자료_미국심리'!$A2694),ISNUMBER('자료_미국심리'!$B2694)),'자료_미국심리'!$A2694,"")</f>
        <v/>
      </c>
      <c r="P2710">
        <f>IF(AND(ISNUMBER('자료_미국심리'!$D2694),ISNUMBER('자료_미국심리'!$E2694)),'자료_미국심리'!$D2694,"")</f>
        <v/>
      </c>
      <c r="Q2710">
        <f>IF(AND(ISNUMBER('자료_미국심리'!$G2694),ISNUMBER('자료_미국심리'!$H2694)),'자료_미국심리'!$G2694,"")</f>
        <v/>
      </c>
    </row>
    <row r="2711">
      <c r="O2711">
        <f>IF(AND(ISNUMBER('자료_미국심리'!$A2695),ISNUMBER('자료_미국심리'!$B2695)),'자료_미국심리'!$A2695,"")</f>
        <v/>
      </c>
      <c r="P2711">
        <f>IF(AND(ISNUMBER('자료_미국심리'!$D2695),ISNUMBER('자료_미국심리'!$E2695)),'자료_미국심리'!$D2695,"")</f>
        <v/>
      </c>
      <c r="Q2711">
        <f>IF(AND(ISNUMBER('자료_미국심리'!$G2695),ISNUMBER('자료_미국심리'!$H2695)),'자료_미국심리'!$G2695,"")</f>
        <v/>
      </c>
    </row>
    <row r="2712">
      <c r="O2712">
        <f>IF(AND(ISNUMBER('자료_미국심리'!$A2696),ISNUMBER('자료_미국심리'!$B2696)),'자료_미국심리'!$A2696,"")</f>
        <v/>
      </c>
      <c r="P2712">
        <f>IF(AND(ISNUMBER('자료_미국심리'!$D2696),ISNUMBER('자료_미국심리'!$E2696)),'자료_미국심리'!$D2696,"")</f>
        <v/>
      </c>
      <c r="Q2712">
        <f>IF(AND(ISNUMBER('자료_미국심리'!$G2696),ISNUMBER('자료_미국심리'!$H2696)),'자료_미국심리'!$G2696,"")</f>
        <v/>
      </c>
    </row>
    <row r="2713">
      <c r="O2713">
        <f>IF(AND(ISNUMBER('자료_미국심리'!$A2697),ISNUMBER('자료_미국심리'!$B2697)),'자료_미국심리'!$A2697,"")</f>
        <v/>
      </c>
      <c r="P2713">
        <f>IF(AND(ISNUMBER('자료_미국심리'!$D2697),ISNUMBER('자료_미국심리'!$E2697)),'자료_미국심리'!$D2697,"")</f>
        <v/>
      </c>
      <c r="Q2713">
        <f>IF(AND(ISNUMBER('자료_미국심리'!$G2697),ISNUMBER('자료_미국심리'!$H2697)),'자료_미국심리'!$G2697,"")</f>
        <v/>
      </c>
    </row>
    <row r="2714">
      <c r="O2714">
        <f>IF(AND(ISNUMBER('자료_미국심리'!$A2698),ISNUMBER('자료_미국심리'!$B2698)),'자료_미국심리'!$A2698,"")</f>
        <v/>
      </c>
      <c r="P2714">
        <f>IF(AND(ISNUMBER('자료_미국심리'!$D2698),ISNUMBER('자료_미국심리'!$E2698)),'자료_미국심리'!$D2698,"")</f>
        <v/>
      </c>
      <c r="Q2714">
        <f>IF(AND(ISNUMBER('자료_미국심리'!$G2698),ISNUMBER('자료_미국심리'!$H2698)),'자료_미국심리'!$G2698,"")</f>
        <v/>
      </c>
    </row>
    <row r="2715">
      <c r="O2715">
        <f>IF(AND(ISNUMBER('자료_미국심리'!$A2699),ISNUMBER('자료_미국심리'!$B2699)),'자료_미국심리'!$A2699,"")</f>
        <v/>
      </c>
      <c r="P2715">
        <f>IF(AND(ISNUMBER('자료_미국심리'!$D2699),ISNUMBER('자료_미국심리'!$E2699)),'자료_미국심리'!$D2699,"")</f>
        <v/>
      </c>
      <c r="Q2715">
        <f>IF(AND(ISNUMBER('자료_미국심리'!$G2699),ISNUMBER('자료_미국심리'!$H2699)),'자료_미국심리'!$G2699,"")</f>
        <v/>
      </c>
    </row>
    <row r="2716">
      <c r="O2716">
        <f>IF(AND(ISNUMBER('자료_미국심리'!$A2700),ISNUMBER('자료_미국심리'!$B2700)),'자료_미국심리'!$A2700,"")</f>
        <v/>
      </c>
      <c r="P2716">
        <f>IF(AND(ISNUMBER('자료_미국심리'!$D2700),ISNUMBER('자료_미국심리'!$E2700)),'자료_미국심리'!$D2700,"")</f>
        <v/>
      </c>
      <c r="Q2716">
        <f>IF(AND(ISNUMBER('자료_미국심리'!$G2700),ISNUMBER('자료_미국심리'!$H2700)),'자료_미국심리'!$G2700,"")</f>
        <v/>
      </c>
    </row>
    <row r="2717">
      <c r="O2717">
        <f>IF(AND(ISNUMBER('자료_미국심리'!$A2701),ISNUMBER('자료_미국심리'!$B2701)),'자료_미국심리'!$A2701,"")</f>
        <v/>
      </c>
      <c r="P2717">
        <f>IF(AND(ISNUMBER('자료_미국심리'!$D2701),ISNUMBER('자료_미국심리'!$E2701)),'자료_미국심리'!$D2701,"")</f>
        <v/>
      </c>
      <c r="Q2717">
        <f>IF(AND(ISNUMBER('자료_미국심리'!$G2701),ISNUMBER('자료_미국심리'!$H2701)),'자료_미국심리'!$G2701,"")</f>
        <v/>
      </c>
    </row>
    <row r="2718">
      <c r="O2718">
        <f>IF(AND(ISNUMBER('자료_미국심리'!$A2702),ISNUMBER('자료_미국심리'!$B2702)),'자료_미국심리'!$A2702,"")</f>
        <v/>
      </c>
      <c r="P2718">
        <f>IF(AND(ISNUMBER('자료_미국심리'!$D2702),ISNUMBER('자료_미국심리'!$E2702)),'자료_미국심리'!$D2702,"")</f>
        <v/>
      </c>
      <c r="Q2718">
        <f>IF(AND(ISNUMBER('자료_미국심리'!$G2702),ISNUMBER('자료_미국심리'!$H2702)),'자료_미국심리'!$G2702,"")</f>
        <v/>
      </c>
    </row>
    <row r="2719">
      <c r="O2719">
        <f>IF(AND(ISNUMBER('자료_미국심리'!$A2703),ISNUMBER('자료_미국심리'!$B2703)),'자료_미국심리'!$A2703,"")</f>
        <v/>
      </c>
      <c r="P2719">
        <f>IF(AND(ISNUMBER('자료_미국심리'!$D2703),ISNUMBER('자료_미국심리'!$E2703)),'자료_미국심리'!$D2703,"")</f>
        <v/>
      </c>
      <c r="Q2719">
        <f>IF(AND(ISNUMBER('자료_미국심리'!$G2703),ISNUMBER('자료_미국심리'!$H2703)),'자료_미국심리'!$G2703,"")</f>
        <v/>
      </c>
    </row>
    <row r="2720">
      <c r="O2720">
        <f>IF(AND(ISNUMBER('자료_미국심리'!$A2704),ISNUMBER('자료_미국심리'!$B2704)),'자료_미국심리'!$A2704,"")</f>
        <v/>
      </c>
      <c r="P2720">
        <f>IF(AND(ISNUMBER('자료_미국심리'!$D2704),ISNUMBER('자료_미국심리'!$E2704)),'자료_미국심리'!$D2704,"")</f>
        <v/>
      </c>
      <c r="Q2720">
        <f>IF(AND(ISNUMBER('자료_미국심리'!$G2704),ISNUMBER('자료_미국심리'!$H2704)),'자료_미국심리'!$G2704,"")</f>
        <v/>
      </c>
    </row>
    <row r="2721">
      <c r="O2721">
        <f>IF(AND(ISNUMBER('자료_미국심리'!$A2705),ISNUMBER('자료_미국심리'!$B2705)),'자료_미국심리'!$A2705,"")</f>
        <v/>
      </c>
      <c r="P2721">
        <f>IF(AND(ISNUMBER('자료_미국심리'!$D2705),ISNUMBER('자료_미국심리'!$E2705)),'자료_미국심리'!$D2705,"")</f>
        <v/>
      </c>
      <c r="Q2721">
        <f>IF(AND(ISNUMBER('자료_미국심리'!$G2705),ISNUMBER('자료_미국심리'!$H2705)),'자료_미국심리'!$G2705,"")</f>
        <v/>
      </c>
    </row>
    <row r="2722">
      <c r="O2722">
        <f>IF(AND(ISNUMBER('자료_미국심리'!$A2706),ISNUMBER('자료_미국심리'!$B2706)),'자료_미국심리'!$A2706,"")</f>
        <v/>
      </c>
      <c r="P2722">
        <f>IF(AND(ISNUMBER('자료_미국심리'!$D2706),ISNUMBER('자료_미국심리'!$E2706)),'자료_미국심리'!$D2706,"")</f>
        <v/>
      </c>
      <c r="Q2722">
        <f>IF(AND(ISNUMBER('자료_미국심리'!$G2706),ISNUMBER('자료_미국심리'!$H2706)),'자료_미국심리'!$G2706,"")</f>
        <v/>
      </c>
    </row>
    <row r="2723">
      <c r="O2723">
        <f>IF(AND(ISNUMBER('자료_미국심리'!$A2707),ISNUMBER('자료_미국심리'!$B2707)),'자료_미국심리'!$A2707,"")</f>
        <v/>
      </c>
      <c r="P2723">
        <f>IF(AND(ISNUMBER('자료_미국심리'!$D2707),ISNUMBER('자료_미국심리'!$E2707)),'자료_미국심리'!$D2707,"")</f>
        <v/>
      </c>
      <c r="Q2723">
        <f>IF(AND(ISNUMBER('자료_미국심리'!$G2707),ISNUMBER('자료_미국심리'!$H2707)),'자료_미국심리'!$G2707,"")</f>
        <v/>
      </c>
    </row>
    <row r="2724">
      <c r="O2724">
        <f>IF(AND(ISNUMBER('자료_미국심리'!$A2708),ISNUMBER('자료_미국심리'!$B2708)),'자료_미국심리'!$A2708,"")</f>
        <v/>
      </c>
      <c r="P2724">
        <f>IF(AND(ISNUMBER('자료_미국심리'!$D2708),ISNUMBER('자료_미국심리'!$E2708)),'자료_미국심리'!$D2708,"")</f>
        <v/>
      </c>
      <c r="Q2724">
        <f>IF(AND(ISNUMBER('자료_미국심리'!$G2708),ISNUMBER('자료_미국심리'!$H2708)),'자료_미국심리'!$G2708,"")</f>
        <v/>
      </c>
    </row>
    <row r="2725">
      <c r="O2725">
        <f>IF(AND(ISNUMBER('자료_미국심리'!$A2709),ISNUMBER('자료_미국심리'!$B2709)),'자료_미국심리'!$A2709,"")</f>
        <v/>
      </c>
      <c r="P2725">
        <f>IF(AND(ISNUMBER('자료_미국심리'!$D2709),ISNUMBER('자료_미국심리'!$E2709)),'자료_미국심리'!$D2709,"")</f>
        <v/>
      </c>
      <c r="Q2725">
        <f>IF(AND(ISNUMBER('자료_미국심리'!$G2709),ISNUMBER('자료_미국심리'!$H2709)),'자료_미국심리'!$G2709,"")</f>
        <v/>
      </c>
    </row>
    <row r="2726">
      <c r="O2726">
        <f>IF(AND(ISNUMBER('자료_미국심리'!$A2710),ISNUMBER('자료_미국심리'!$B2710)),'자료_미국심리'!$A2710,"")</f>
        <v/>
      </c>
      <c r="P2726">
        <f>IF(AND(ISNUMBER('자료_미국심리'!$D2710),ISNUMBER('자료_미국심리'!$E2710)),'자료_미국심리'!$D2710,"")</f>
        <v/>
      </c>
      <c r="Q2726">
        <f>IF(AND(ISNUMBER('자료_미국심리'!$G2710),ISNUMBER('자료_미국심리'!$H2710)),'자료_미국심리'!$G2710,"")</f>
        <v/>
      </c>
    </row>
    <row r="2727">
      <c r="O2727">
        <f>IF(AND(ISNUMBER('자료_미국심리'!$A2711),ISNUMBER('자료_미국심리'!$B2711)),'자료_미국심리'!$A2711,"")</f>
        <v/>
      </c>
      <c r="P2727">
        <f>IF(AND(ISNUMBER('자료_미국심리'!$D2711),ISNUMBER('자료_미국심리'!$E2711)),'자료_미국심리'!$D2711,"")</f>
        <v/>
      </c>
      <c r="Q2727">
        <f>IF(AND(ISNUMBER('자료_미국심리'!$G2711),ISNUMBER('자료_미국심리'!$H2711)),'자료_미국심리'!$G2711,"")</f>
        <v/>
      </c>
    </row>
    <row r="2728">
      <c r="O2728">
        <f>IF(AND(ISNUMBER('자료_미국심리'!$A2712),ISNUMBER('자료_미국심리'!$B2712)),'자료_미국심리'!$A2712,"")</f>
        <v/>
      </c>
      <c r="P2728">
        <f>IF(AND(ISNUMBER('자료_미국심리'!$D2712),ISNUMBER('자료_미국심리'!$E2712)),'자료_미국심리'!$D2712,"")</f>
        <v/>
      </c>
      <c r="Q2728">
        <f>IF(AND(ISNUMBER('자료_미국심리'!$G2712),ISNUMBER('자료_미국심리'!$H2712)),'자료_미국심리'!$G2712,"")</f>
        <v/>
      </c>
    </row>
    <row r="2729">
      <c r="O2729">
        <f>IF(AND(ISNUMBER('자료_미국심리'!$A2713),ISNUMBER('자료_미국심리'!$B2713)),'자료_미국심리'!$A2713,"")</f>
        <v/>
      </c>
      <c r="P2729">
        <f>IF(AND(ISNUMBER('자료_미국심리'!$D2713),ISNUMBER('자료_미국심리'!$E2713)),'자료_미국심리'!$D2713,"")</f>
        <v/>
      </c>
      <c r="Q2729">
        <f>IF(AND(ISNUMBER('자료_미국심리'!$G2713),ISNUMBER('자료_미국심리'!$H2713)),'자료_미국심리'!$G2713,"")</f>
        <v/>
      </c>
    </row>
    <row r="2730">
      <c r="O2730">
        <f>IF(AND(ISNUMBER('자료_미국심리'!$A2714),ISNUMBER('자료_미국심리'!$B2714)),'자료_미국심리'!$A2714,"")</f>
        <v/>
      </c>
      <c r="P2730">
        <f>IF(AND(ISNUMBER('자료_미국심리'!$D2714),ISNUMBER('자료_미국심리'!$E2714)),'자료_미국심리'!$D2714,"")</f>
        <v/>
      </c>
      <c r="Q2730">
        <f>IF(AND(ISNUMBER('자료_미국심리'!$G2714),ISNUMBER('자료_미국심리'!$H2714)),'자료_미국심리'!$G2714,"")</f>
        <v/>
      </c>
    </row>
    <row r="2731">
      <c r="O2731">
        <f>IF(AND(ISNUMBER('자료_미국심리'!$A2715),ISNUMBER('자료_미국심리'!$B2715)),'자료_미국심리'!$A2715,"")</f>
        <v/>
      </c>
      <c r="P2731">
        <f>IF(AND(ISNUMBER('자료_미국심리'!$D2715),ISNUMBER('자료_미국심리'!$E2715)),'자료_미국심리'!$D2715,"")</f>
        <v/>
      </c>
      <c r="Q2731">
        <f>IF(AND(ISNUMBER('자료_미국심리'!$G2715),ISNUMBER('자료_미국심리'!$H2715)),'자료_미국심리'!$G2715,"")</f>
        <v/>
      </c>
    </row>
    <row r="2732">
      <c r="O2732">
        <f>IF(AND(ISNUMBER('자료_미국심리'!$A2716),ISNUMBER('자료_미국심리'!$B2716)),'자료_미국심리'!$A2716,"")</f>
        <v/>
      </c>
      <c r="P2732">
        <f>IF(AND(ISNUMBER('자료_미국심리'!$D2716),ISNUMBER('자료_미국심리'!$E2716)),'자료_미국심리'!$D2716,"")</f>
        <v/>
      </c>
      <c r="Q2732">
        <f>IF(AND(ISNUMBER('자료_미국심리'!$G2716),ISNUMBER('자료_미국심리'!$H2716)),'자료_미국심리'!$G2716,"")</f>
        <v/>
      </c>
    </row>
    <row r="2733">
      <c r="O2733">
        <f>IF(AND(ISNUMBER('자료_미국심리'!$A2717),ISNUMBER('자료_미국심리'!$B2717)),'자료_미국심리'!$A2717,"")</f>
        <v/>
      </c>
      <c r="P2733">
        <f>IF(AND(ISNUMBER('자료_미국심리'!$D2717),ISNUMBER('자료_미국심리'!$E2717)),'자료_미국심리'!$D2717,"")</f>
        <v/>
      </c>
      <c r="Q2733">
        <f>IF(AND(ISNUMBER('자료_미국심리'!$G2717),ISNUMBER('자료_미국심리'!$H2717)),'자료_미국심리'!$G2717,"")</f>
        <v/>
      </c>
    </row>
    <row r="2734">
      <c r="O2734">
        <f>IF(AND(ISNUMBER('자료_미국심리'!$A2718),ISNUMBER('자료_미국심리'!$B2718)),'자료_미국심리'!$A2718,"")</f>
        <v/>
      </c>
      <c r="P2734">
        <f>IF(AND(ISNUMBER('자료_미국심리'!$D2718),ISNUMBER('자료_미국심리'!$E2718)),'자료_미국심리'!$D2718,"")</f>
        <v/>
      </c>
      <c r="Q2734">
        <f>IF(AND(ISNUMBER('자료_미국심리'!$G2718),ISNUMBER('자료_미국심리'!$H2718)),'자료_미국심리'!$G2718,"")</f>
        <v/>
      </c>
    </row>
    <row r="2735">
      <c r="O2735">
        <f>IF(AND(ISNUMBER('자료_미국심리'!$A2719),ISNUMBER('자료_미국심리'!$B2719)),'자료_미국심리'!$A2719,"")</f>
        <v/>
      </c>
      <c r="P2735">
        <f>IF(AND(ISNUMBER('자료_미국심리'!$D2719),ISNUMBER('자료_미국심리'!$E2719)),'자료_미국심리'!$D2719,"")</f>
        <v/>
      </c>
      <c r="Q2735">
        <f>IF(AND(ISNUMBER('자료_미국심리'!$G2719),ISNUMBER('자료_미국심리'!$H2719)),'자료_미국심리'!$G2719,"")</f>
        <v/>
      </c>
    </row>
    <row r="2736">
      <c r="O2736">
        <f>IF(AND(ISNUMBER('자료_미국심리'!$A2720),ISNUMBER('자료_미국심리'!$B2720)),'자료_미국심리'!$A2720,"")</f>
        <v/>
      </c>
      <c r="P2736">
        <f>IF(AND(ISNUMBER('자료_미국심리'!$D2720),ISNUMBER('자료_미국심리'!$E2720)),'자료_미국심리'!$D2720,"")</f>
        <v/>
      </c>
      <c r="Q2736">
        <f>IF(AND(ISNUMBER('자료_미국심리'!$G2720),ISNUMBER('자료_미국심리'!$H2720)),'자료_미국심리'!$G2720,"")</f>
        <v/>
      </c>
    </row>
    <row r="2737">
      <c r="O2737">
        <f>IF(AND(ISNUMBER('자료_미국심리'!$A2721),ISNUMBER('자료_미국심리'!$B2721)),'자료_미국심리'!$A2721,"")</f>
        <v/>
      </c>
      <c r="P2737">
        <f>IF(AND(ISNUMBER('자료_미국심리'!$D2721),ISNUMBER('자료_미국심리'!$E2721)),'자료_미국심리'!$D2721,"")</f>
        <v/>
      </c>
      <c r="Q2737">
        <f>IF(AND(ISNUMBER('자료_미국심리'!$G2721),ISNUMBER('자료_미국심리'!$H2721)),'자료_미국심리'!$G2721,"")</f>
        <v/>
      </c>
    </row>
    <row r="2738">
      <c r="O2738">
        <f>IF(AND(ISNUMBER('자료_미국심리'!$A2722),ISNUMBER('자료_미국심리'!$B2722)),'자료_미국심리'!$A2722,"")</f>
        <v/>
      </c>
      <c r="P2738">
        <f>IF(AND(ISNUMBER('자료_미국심리'!$D2722),ISNUMBER('자료_미국심리'!$E2722)),'자료_미국심리'!$D2722,"")</f>
        <v/>
      </c>
      <c r="Q2738">
        <f>IF(AND(ISNUMBER('자료_미국심리'!$G2722),ISNUMBER('자료_미국심리'!$H2722)),'자료_미국심리'!$G2722,"")</f>
        <v/>
      </c>
    </row>
    <row r="2739">
      <c r="O2739">
        <f>IF(AND(ISNUMBER('자료_미국심리'!$A2723),ISNUMBER('자료_미국심리'!$B2723)),'자료_미국심리'!$A2723,"")</f>
        <v/>
      </c>
      <c r="P2739">
        <f>IF(AND(ISNUMBER('자료_미국심리'!$D2723),ISNUMBER('자료_미국심리'!$E2723)),'자료_미국심리'!$D2723,"")</f>
        <v/>
      </c>
      <c r="Q2739">
        <f>IF(AND(ISNUMBER('자료_미국심리'!$G2723),ISNUMBER('자료_미국심리'!$H2723)),'자료_미국심리'!$G2723,"")</f>
        <v/>
      </c>
    </row>
    <row r="2740">
      <c r="O2740">
        <f>IF(AND(ISNUMBER('자료_미국심리'!$A2724),ISNUMBER('자료_미국심리'!$B2724)),'자료_미국심리'!$A2724,"")</f>
        <v/>
      </c>
      <c r="P2740">
        <f>IF(AND(ISNUMBER('자료_미국심리'!$D2724),ISNUMBER('자료_미국심리'!$E2724)),'자료_미국심리'!$D2724,"")</f>
        <v/>
      </c>
      <c r="Q2740">
        <f>IF(AND(ISNUMBER('자료_미국심리'!$G2724),ISNUMBER('자료_미국심리'!$H2724)),'자료_미국심리'!$G2724,"")</f>
        <v/>
      </c>
    </row>
    <row r="2741">
      <c r="O2741">
        <f>IF(AND(ISNUMBER('자료_미국심리'!$A2725),ISNUMBER('자료_미국심리'!$B2725)),'자료_미국심리'!$A2725,"")</f>
        <v/>
      </c>
      <c r="P2741">
        <f>IF(AND(ISNUMBER('자료_미국심리'!$D2725),ISNUMBER('자료_미국심리'!$E2725)),'자료_미국심리'!$D2725,"")</f>
        <v/>
      </c>
      <c r="Q2741">
        <f>IF(AND(ISNUMBER('자료_미국심리'!$G2725),ISNUMBER('자료_미국심리'!$H2725)),'자료_미국심리'!$G2725,"")</f>
        <v/>
      </c>
    </row>
    <row r="2742">
      <c r="O2742">
        <f>IF(AND(ISNUMBER('자료_미국심리'!$A2726),ISNUMBER('자료_미국심리'!$B2726)),'자료_미국심리'!$A2726,"")</f>
        <v/>
      </c>
      <c r="P2742">
        <f>IF(AND(ISNUMBER('자료_미국심리'!$D2726),ISNUMBER('자료_미국심리'!$E2726)),'자료_미국심리'!$D2726,"")</f>
        <v/>
      </c>
      <c r="Q2742">
        <f>IF(AND(ISNUMBER('자료_미국심리'!$G2726),ISNUMBER('자료_미국심리'!$H2726)),'자료_미국심리'!$G2726,"")</f>
        <v/>
      </c>
    </row>
    <row r="2743">
      <c r="O2743">
        <f>IF(AND(ISNUMBER('자료_미국심리'!$A2727),ISNUMBER('자료_미국심리'!$B2727)),'자료_미국심리'!$A2727,"")</f>
        <v/>
      </c>
      <c r="P2743">
        <f>IF(AND(ISNUMBER('자료_미국심리'!$D2727),ISNUMBER('자료_미국심리'!$E2727)),'자료_미국심리'!$D2727,"")</f>
        <v/>
      </c>
      <c r="Q2743">
        <f>IF(AND(ISNUMBER('자료_미국심리'!$G2727),ISNUMBER('자료_미국심리'!$H2727)),'자료_미국심리'!$G2727,"")</f>
        <v/>
      </c>
    </row>
    <row r="2744">
      <c r="O2744">
        <f>IF(AND(ISNUMBER('자료_미국심리'!$A2728),ISNUMBER('자료_미국심리'!$B2728)),'자료_미국심리'!$A2728,"")</f>
        <v/>
      </c>
      <c r="P2744">
        <f>IF(AND(ISNUMBER('자료_미국심리'!$D2728),ISNUMBER('자료_미국심리'!$E2728)),'자료_미국심리'!$D2728,"")</f>
        <v/>
      </c>
      <c r="Q2744">
        <f>IF(AND(ISNUMBER('자료_미국심리'!$G2728),ISNUMBER('자료_미국심리'!$H2728)),'자료_미국심리'!$G2728,"")</f>
        <v/>
      </c>
    </row>
    <row r="2745">
      <c r="O2745">
        <f>IF(AND(ISNUMBER('자료_미국심리'!$A2729),ISNUMBER('자료_미국심리'!$B2729)),'자료_미국심리'!$A2729,"")</f>
        <v/>
      </c>
      <c r="P2745">
        <f>IF(AND(ISNUMBER('자료_미국심리'!$D2729),ISNUMBER('자료_미국심리'!$E2729)),'자료_미국심리'!$D2729,"")</f>
        <v/>
      </c>
      <c r="Q2745">
        <f>IF(AND(ISNUMBER('자료_미국심리'!$G2729),ISNUMBER('자료_미국심리'!$H2729)),'자료_미국심리'!$G2729,"")</f>
        <v/>
      </c>
    </row>
    <row r="2746">
      <c r="O2746">
        <f>IF(AND(ISNUMBER('자료_미국심리'!$A2730),ISNUMBER('자료_미국심리'!$B2730)),'자료_미국심리'!$A2730,"")</f>
        <v/>
      </c>
      <c r="P2746">
        <f>IF(AND(ISNUMBER('자료_미국심리'!$D2730),ISNUMBER('자료_미국심리'!$E2730)),'자료_미국심리'!$D2730,"")</f>
        <v/>
      </c>
      <c r="Q2746">
        <f>IF(AND(ISNUMBER('자료_미국심리'!$G2730),ISNUMBER('자료_미국심리'!$H2730)),'자료_미국심리'!$G2730,"")</f>
        <v/>
      </c>
    </row>
    <row r="2747">
      <c r="O2747">
        <f>IF(AND(ISNUMBER('자료_미국심리'!$A2731),ISNUMBER('자료_미국심리'!$B2731)),'자료_미국심리'!$A2731,"")</f>
        <v/>
      </c>
      <c r="P2747">
        <f>IF(AND(ISNUMBER('자료_미국심리'!$D2731),ISNUMBER('자료_미국심리'!$E2731)),'자료_미국심리'!$D2731,"")</f>
        <v/>
      </c>
      <c r="Q2747">
        <f>IF(AND(ISNUMBER('자료_미국심리'!$G2731),ISNUMBER('자료_미국심리'!$H2731)),'자료_미국심리'!$G2731,"")</f>
        <v/>
      </c>
    </row>
    <row r="2748">
      <c r="O2748">
        <f>IF(AND(ISNUMBER('자료_미국심리'!$A2732),ISNUMBER('자료_미국심리'!$B2732)),'자료_미국심리'!$A2732,"")</f>
        <v/>
      </c>
      <c r="P2748">
        <f>IF(AND(ISNUMBER('자료_미국심리'!$D2732),ISNUMBER('자료_미국심리'!$E2732)),'자료_미국심리'!$D2732,"")</f>
        <v/>
      </c>
      <c r="Q2748">
        <f>IF(AND(ISNUMBER('자료_미국심리'!$G2732),ISNUMBER('자료_미국심리'!$H2732)),'자료_미국심리'!$G2732,"")</f>
        <v/>
      </c>
    </row>
    <row r="2749">
      <c r="O2749">
        <f>IF(AND(ISNUMBER('자료_미국심리'!$A2733),ISNUMBER('자료_미국심리'!$B2733)),'자료_미국심리'!$A2733,"")</f>
        <v/>
      </c>
      <c r="P2749">
        <f>IF(AND(ISNUMBER('자료_미국심리'!$D2733),ISNUMBER('자료_미국심리'!$E2733)),'자료_미국심리'!$D2733,"")</f>
        <v/>
      </c>
      <c r="Q2749">
        <f>IF(AND(ISNUMBER('자료_미국심리'!$G2733),ISNUMBER('자료_미국심리'!$H2733)),'자료_미국심리'!$G2733,"")</f>
        <v/>
      </c>
    </row>
    <row r="2750">
      <c r="O2750">
        <f>IF(AND(ISNUMBER('자료_미국심리'!$A2734),ISNUMBER('자료_미국심리'!$B2734)),'자료_미국심리'!$A2734,"")</f>
        <v/>
      </c>
      <c r="P2750">
        <f>IF(AND(ISNUMBER('자료_미국심리'!$D2734),ISNUMBER('자료_미국심리'!$E2734)),'자료_미국심리'!$D2734,"")</f>
        <v/>
      </c>
      <c r="Q2750">
        <f>IF(AND(ISNUMBER('자료_미국심리'!$G2734),ISNUMBER('자료_미국심리'!$H2734)),'자료_미국심리'!$G2734,"")</f>
        <v/>
      </c>
    </row>
    <row r="2751">
      <c r="O2751">
        <f>IF(AND(ISNUMBER('자료_미국심리'!$A2735),ISNUMBER('자료_미국심리'!$B2735)),'자료_미국심리'!$A2735,"")</f>
        <v/>
      </c>
      <c r="P2751">
        <f>IF(AND(ISNUMBER('자료_미국심리'!$D2735),ISNUMBER('자료_미국심리'!$E2735)),'자료_미국심리'!$D2735,"")</f>
        <v/>
      </c>
      <c r="Q2751">
        <f>IF(AND(ISNUMBER('자료_미국심리'!$G2735),ISNUMBER('자료_미국심리'!$H2735)),'자료_미국심리'!$G2735,"")</f>
        <v/>
      </c>
    </row>
    <row r="2752">
      <c r="O2752">
        <f>IF(AND(ISNUMBER('자료_미국심리'!$A2736),ISNUMBER('자료_미국심리'!$B2736)),'자료_미국심리'!$A2736,"")</f>
        <v/>
      </c>
      <c r="P2752">
        <f>IF(AND(ISNUMBER('자료_미국심리'!$D2736),ISNUMBER('자료_미국심리'!$E2736)),'자료_미국심리'!$D2736,"")</f>
        <v/>
      </c>
      <c r="Q2752">
        <f>IF(AND(ISNUMBER('자료_미국심리'!$G2736),ISNUMBER('자료_미국심리'!$H2736)),'자료_미국심리'!$G2736,"")</f>
        <v/>
      </c>
    </row>
    <row r="2753">
      <c r="O2753">
        <f>IF(AND(ISNUMBER('자료_미국심리'!$A2737),ISNUMBER('자료_미국심리'!$B2737)),'자료_미국심리'!$A2737,"")</f>
        <v/>
      </c>
      <c r="P2753">
        <f>IF(AND(ISNUMBER('자료_미국심리'!$D2737),ISNUMBER('자료_미국심리'!$E2737)),'자료_미국심리'!$D2737,"")</f>
        <v/>
      </c>
      <c r="Q2753">
        <f>IF(AND(ISNUMBER('자료_미국심리'!$G2737),ISNUMBER('자료_미국심리'!$H2737)),'자료_미국심리'!$G2737,"")</f>
        <v/>
      </c>
    </row>
    <row r="2754">
      <c r="O2754">
        <f>IF(AND(ISNUMBER('자료_미국심리'!$A2738),ISNUMBER('자료_미국심리'!$B2738)),'자료_미국심리'!$A2738,"")</f>
        <v/>
      </c>
      <c r="P2754">
        <f>IF(AND(ISNUMBER('자료_미국심리'!$D2738),ISNUMBER('자료_미국심리'!$E2738)),'자료_미국심리'!$D2738,"")</f>
        <v/>
      </c>
      <c r="Q2754">
        <f>IF(AND(ISNUMBER('자료_미국심리'!$G2738),ISNUMBER('자료_미국심리'!$H2738)),'자료_미국심리'!$G2738,"")</f>
        <v/>
      </c>
    </row>
    <row r="2755">
      <c r="O2755">
        <f>IF(AND(ISNUMBER('자료_미국심리'!$A2739),ISNUMBER('자료_미국심리'!$B2739)),'자료_미국심리'!$A2739,"")</f>
        <v/>
      </c>
      <c r="P2755">
        <f>IF(AND(ISNUMBER('자료_미국심리'!$D2739),ISNUMBER('자료_미국심리'!$E2739)),'자료_미국심리'!$D2739,"")</f>
        <v/>
      </c>
      <c r="Q2755">
        <f>IF(AND(ISNUMBER('자료_미국심리'!$G2739),ISNUMBER('자료_미국심리'!$H2739)),'자료_미국심리'!$G2739,"")</f>
        <v/>
      </c>
    </row>
    <row r="2756">
      <c r="O2756">
        <f>IF(AND(ISNUMBER('자료_미국심리'!$A2740),ISNUMBER('자료_미국심리'!$B2740)),'자료_미국심리'!$A2740,"")</f>
        <v/>
      </c>
      <c r="P2756">
        <f>IF(AND(ISNUMBER('자료_미국심리'!$D2740),ISNUMBER('자료_미국심리'!$E2740)),'자료_미국심리'!$D2740,"")</f>
        <v/>
      </c>
      <c r="Q2756">
        <f>IF(AND(ISNUMBER('자료_미국심리'!$G2740),ISNUMBER('자료_미국심리'!$H2740)),'자료_미국심리'!$G2740,"")</f>
        <v/>
      </c>
    </row>
    <row r="2757">
      <c r="O2757">
        <f>IF(AND(ISNUMBER('자료_미국심리'!$A2741),ISNUMBER('자료_미국심리'!$B2741)),'자료_미국심리'!$A2741,"")</f>
        <v/>
      </c>
      <c r="P2757">
        <f>IF(AND(ISNUMBER('자료_미국심리'!$D2741),ISNUMBER('자료_미국심리'!$E2741)),'자료_미국심리'!$D2741,"")</f>
        <v/>
      </c>
      <c r="Q2757">
        <f>IF(AND(ISNUMBER('자료_미국심리'!$G2741),ISNUMBER('자료_미국심리'!$H2741)),'자료_미국심리'!$G2741,"")</f>
        <v/>
      </c>
    </row>
    <row r="2758">
      <c r="O2758">
        <f>IF(AND(ISNUMBER('자료_미국심리'!$A2742),ISNUMBER('자료_미국심리'!$B2742)),'자료_미국심리'!$A2742,"")</f>
        <v/>
      </c>
      <c r="P2758">
        <f>IF(AND(ISNUMBER('자료_미국심리'!$D2742),ISNUMBER('자료_미국심리'!$E2742)),'자료_미국심리'!$D2742,"")</f>
        <v/>
      </c>
      <c r="Q2758">
        <f>IF(AND(ISNUMBER('자료_미국심리'!$G2742),ISNUMBER('자료_미국심리'!$H2742)),'자료_미국심리'!$G2742,"")</f>
        <v/>
      </c>
    </row>
    <row r="2759">
      <c r="O2759">
        <f>IF(AND(ISNUMBER('자료_미국심리'!$A2743),ISNUMBER('자료_미국심리'!$B2743)),'자료_미국심리'!$A2743,"")</f>
        <v/>
      </c>
      <c r="P2759">
        <f>IF(AND(ISNUMBER('자료_미국심리'!$D2743),ISNUMBER('자료_미국심리'!$E2743)),'자료_미국심리'!$D2743,"")</f>
        <v/>
      </c>
      <c r="Q2759">
        <f>IF(AND(ISNUMBER('자료_미국심리'!$G2743),ISNUMBER('자료_미국심리'!$H2743)),'자료_미국심리'!$G2743,"")</f>
        <v/>
      </c>
    </row>
    <row r="2760">
      <c r="O2760">
        <f>IF(AND(ISNUMBER('자료_미국심리'!$A2744),ISNUMBER('자료_미국심리'!$B2744)),'자료_미국심리'!$A2744,"")</f>
        <v/>
      </c>
      <c r="P2760">
        <f>IF(AND(ISNUMBER('자료_미국심리'!$D2744),ISNUMBER('자료_미국심리'!$E2744)),'자료_미국심리'!$D2744,"")</f>
        <v/>
      </c>
      <c r="Q2760">
        <f>IF(AND(ISNUMBER('자료_미국심리'!$G2744),ISNUMBER('자료_미국심리'!$H2744)),'자료_미국심리'!$G2744,"")</f>
        <v/>
      </c>
    </row>
    <row r="2761">
      <c r="O2761">
        <f>IF(AND(ISNUMBER('자료_미국심리'!$A2745),ISNUMBER('자료_미국심리'!$B2745)),'자료_미국심리'!$A2745,"")</f>
        <v/>
      </c>
      <c r="P2761">
        <f>IF(AND(ISNUMBER('자료_미국심리'!$D2745),ISNUMBER('자료_미국심리'!$E2745)),'자료_미국심리'!$D2745,"")</f>
        <v/>
      </c>
      <c r="Q2761">
        <f>IF(AND(ISNUMBER('자료_미국심리'!$G2745),ISNUMBER('자료_미국심리'!$H2745)),'자료_미국심리'!$G2745,"")</f>
        <v/>
      </c>
    </row>
    <row r="2762">
      <c r="O2762">
        <f>IF(AND(ISNUMBER('자료_미국심리'!$A2746),ISNUMBER('자료_미국심리'!$B2746)),'자료_미국심리'!$A2746,"")</f>
        <v/>
      </c>
      <c r="P2762">
        <f>IF(AND(ISNUMBER('자료_미국심리'!$D2746),ISNUMBER('자료_미국심리'!$E2746)),'자료_미국심리'!$D2746,"")</f>
        <v/>
      </c>
      <c r="Q2762">
        <f>IF(AND(ISNUMBER('자료_미국심리'!$G2746),ISNUMBER('자료_미국심리'!$H2746)),'자료_미국심리'!$G2746,"")</f>
        <v/>
      </c>
    </row>
    <row r="2763">
      <c r="O2763">
        <f>IF(AND(ISNUMBER('자료_미국심리'!$A2747),ISNUMBER('자료_미국심리'!$B2747)),'자료_미국심리'!$A2747,"")</f>
        <v/>
      </c>
      <c r="P2763">
        <f>IF(AND(ISNUMBER('자료_미국심리'!$D2747),ISNUMBER('자료_미국심리'!$E2747)),'자료_미국심리'!$D2747,"")</f>
        <v/>
      </c>
      <c r="Q2763">
        <f>IF(AND(ISNUMBER('자료_미국심리'!$G2747),ISNUMBER('자료_미국심리'!$H2747)),'자료_미국심리'!$G2747,"")</f>
        <v/>
      </c>
    </row>
    <row r="2764">
      <c r="O2764">
        <f>IF(AND(ISNUMBER('자료_미국심리'!$A2748),ISNUMBER('자료_미국심리'!$B2748)),'자료_미국심리'!$A2748,"")</f>
        <v/>
      </c>
      <c r="P2764">
        <f>IF(AND(ISNUMBER('자료_미국심리'!$D2748),ISNUMBER('자료_미국심리'!$E2748)),'자료_미국심리'!$D2748,"")</f>
        <v/>
      </c>
      <c r="Q2764">
        <f>IF(AND(ISNUMBER('자료_미국심리'!$G2748),ISNUMBER('자료_미국심리'!$H2748)),'자료_미국심리'!$G2748,"")</f>
        <v/>
      </c>
    </row>
    <row r="2765">
      <c r="O2765">
        <f>IF(AND(ISNUMBER('자료_미국심리'!$A2749),ISNUMBER('자료_미국심리'!$B2749)),'자료_미국심리'!$A2749,"")</f>
        <v/>
      </c>
      <c r="P2765">
        <f>IF(AND(ISNUMBER('자료_미국심리'!$D2749),ISNUMBER('자료_미국심리'!$E2749)),'자료_미국심리'!$D2749,"")</f>
        <v/>
      </c>
      <c r="Q2765">
        <f>IF(AND(ISNUMBER('자료_미국심리'!$G2749),ISNUMBER('자료_미국심리'!$H2749)),'자료_미국심리'!$G2749,"")</f>
        <v/>
      </c>
    </row>
    <row r="2766">
      <c r="O2766">
        <f>IF(AND(ISNUMBER('자료_미국심리'!$A2750),ISNUMBER('자료_미국심리'!$B2750)),'자료_미국심리'!$A2750,"")</f>
        <v/>
      </c>
      <c r="P2766">
        <f>IF(AND(ISNUMBER('자료_미국심리'!$D2750),ISNUMBER('자료_미국심리'!$E2750)),'자료_미국심리'!$D2750,"")</f>
        <v/>
      </c>
      <c r="Q2766">
        <f>IF(AND(ISNUMBER('자료_미국심리'!$G2750),ISNUMBER('자료_미국심리'!$H2750)),'자료_미국심리'!$G2750,"")</f>
        <v/>
      </c>
    </row>
    <row r="2767">
      <c r="O2767">
        <f>IF(AND(ISNUMBER('자료_미국심리'!$A2751),ISNUMBER('자료_미국심리'!$B2751)),'자료_미국심리'!$A2751,"")</f>
        <v/>
      </c>
      <c r="P2767">
        <f>IF(AND(ISNUMBER('자료_미국심리'!$D2751),ISNUMBER('자료_미국심리'!$E2751)),'자료_미국심리'!$D2751,"")</f>
        <v/>
      </c>
      <c r="Q2767">
        <f>IF(AND(ISNUMBER('자료_미국심리'!$G2751),ISNUMBER('자료_미국심리'!$H2751)),'자료_미국심리'!$G2751,"")</f>
        <v/>
      </c>
    </row>
    <row r="2768">
      <c r="O2768">
        <f>IF(AND(ISNUMBER('자료_미국심리'!$A2752),ISNUMBER('자료_미국심리'!$B2752)),'자료_미국심리'!$A2752,"")</f>
        <v/>
      </c>
      <c r="P2768">
        <f>IF(AND(ISNUMBER('자료_미국심리'!$D2752),ISNUMBER('자료_미국심리'!$E2752)),'자료_미국심리'!$D2752,"")</f>
        <v/>
      </c>
      <c r="Q2768">
        <f>IF(AND(ISNUMBER('자료_미국심리'!$G2752),ISNUMBER('자료_미국심리'!$H2752)),'자료_미국심리'!$G2752,"")</f>
        <v/>
      </c>
    </row>
    <row r="2769">
      <c r="O2769">
        <f>IF(AND(ISNUMBER('자료_미국심리'!$A2753),ISNUMBER('자료_미국심리'!$B2753)),'자료_미국심리'!$A2753,"")</f>
        <v/>
      </c>
      <c r="P2769">
        <f>IF(AND(ISNUMBER('자료_미국심리'!$D2753),ISNUMBER('자료_미국심리'!$E2753)),'자료_미국심리'!$D2753,"")</f>
        <v/>
      </c>
      <c r="Q2769">
        <f>IF(AND(ISNUMBER('자료_미국심리'!$G2753),ISNUMBER('자료_미국심리'!$H2753)),'자료_미국심리'!$G2753,"")</f>
        <v/>
      </c>
    </row>
    <row r="2770">
      <c r="O2770">
        <f>IF(AND(ISNUMBER('자료_미국심리'!$A2754),ISNUMBER('자료_미국심리'!$B2754)),'자료_미국심리'!$A2754,"")</f>
        <v/>
      </c>
      <c r="P2770">
        <f>IF(AND(ISNUMBER('자료_미국심리'!$D2754),ISNUMBER('자료_미국심리'!$E2754)),'자료_미국심리'!$D2754,"")</f>
        <v/>
      </c>
      <c r="Q2770">
        <f>IF(AND(ISNUMBER('자료_미국심리'!$G2754),ISNUMBER('자료_미국심리'!$H2754)),'자료_미국심리'!$G2754,"")</f>
        <v/>
      </c>
    </row>
    <row r="2771">
      <c r="O2771">
        <f>IF(AND(ISNUMBER('자료_미국심리'!$A2755),ISNUMBER('자료_미국심리'!$B2755)),'자료_미국심리'!$A2755,"")</f>
        <v/>
      </c>
      <c r="P2771">
        <f>IF(AND(ISNUMBER('자료_미국심리'!$D2755),ISNUMBER('자료_미국심리'!$E2755)),'자료_미국심리'!$D2755,"")</f>
        <v/>
      </c>
      <c r="Q2771">
        <f>IF(AND(ISNUMBER('자료_미국심리'!$G2755),ISNUMBER('자료_미국심리'!$H2755)),'자료_미국심리'!$G2755,"")</f>
        <v/>
      </c>
    </row>
    <row r="2772">
      <c r="O2772">
        <f>IF(AND(ISNUMBER('자료_미국심리'!$A2756),ISNUMBER('자료_미국심리'!$B2756)),'자료_미국심리'!$A2756,"")</f>
        <v/>
      </c>
      <c r="P2772">
        <f>IF(AND(ISNUMBER('자료_미국심리'!$D2756),ISNUMBER('자료_미국심리'!$E2756)),'자료_미국심리'!$D2756,"")</f>
        <v/>
      </c>
      <c r="Q2772">
        <f>IF(AND(ISNUMBER('자료_미국심리'!$G2756),ISNUMBER('자료_미국심리'!$H2756)),'자료_미국심리'!$G2756,"")</f>
        <v/>
      </c>
    </row>
    <row r="2773">
      <c r="O2773">
        <f>IF(AND(ISNUMBER('자료_미국심리'!$A2757),ISNUMBER('자료_미국심리'!$B2757)),'자료_미국심리'!$A2757,"")</f>
        <v/>
      </c>
      <c r="P2773">
        <f>IF(AND(ISNUMBER('자료_미국심리'!$D2757),ISNUMBER('자료_미국심리'!$E2757)),'자료_미국심리'!$D2757,"")</f>
        <v/>
      </c>
      <c r="Q2773">
        <f>IF(AND(ISNUMBER('자료_미국심리'!$G2757),ISNUMBER('자료_미국심리'!$H2757)),'자료_미국심리'!$G2757,"")</f>
        <v/>
      </c>
    </row>
    <row r="2774">
      <c r="O2774">
        <f>IF(AND(ISNUMBER('자료_미국심리'!$A2758),ISNUMBER('자료_미국심리'!$B2758)),'자료_미국심리'!$A2758,"")</f>
        <v/>
      </c>
      <c r="P2774">
        <f>IF(AND(ISNUMBER('자료_미국심리'!$D2758),ISNUMBER('자료_미국심리'!$E2758)),'자료_미국심리'!$D2758,"")</f>
        <v/>
      </c>
      <c r="Q2774">
        <f>IF(AND(ISNUMBER('자료_미국심리'!$G2758),ISNUMBER('자료_미국심리'!$H2758)),'자료_미국심리'!$G2758,"")</f>
        <v/>
      </c>
    </row>
    <row r="2775">
      <c r="O2775">
        <f>IF(AND(ISNUMBER('자료_미국심리'!$A2759),ISNUMBER('자료_미국심리'!$B2759)),'자료_미국심리'!$A2759,"")</f>
        <v/>
      </c>
      <c r="P2775">
        <f>IF(AND(ISNUMBER('자료_미국심리'!$D2759),ISNUMBER('자료_미국심리'!$E2759)),'자료_미국심리'!$D2759,"")</f>
        <v/>
      </c>
      <c r="Q2775">
        <f>IF(AND(ISNUMBER('자료_미국심리'!$G2759),ISNUMBER('자료_미국심리'!$H2759)),'자료_미국심리'!$G2759,"")</f>
        <v/>
      </c>
    </row>
    <row r="2776">
      <c r="O2776">
        <f>IF(AND(ISNUMBER('자료_미국심리'!$A2760),ISNUMBER('자료_미국심리'!$B2760)),'자료_미국심리'!$A2760,"")</f>
        <v/>
      </c>
      <c r="P2776">
        <f>IF(AND(ISNUMBER('자료_미국심리'!$D2760),ISNUMBER('자료_미국심리'!$E2760)),'자료_미국심리'!$D2760,"")</f>
        <v/>
      </c>
      <c r="Q2776">
        <f>IF(AND(ISNUMBER('자료_미국심리'!$G2760),ISNUMBER('자료_미국심리'!$H2760)),'자료_미국심리'!$G2760,"")</f>
        <v/>
      </c>
    </row>
    <row r="2777">
      <c r="O2777">
        <f>IF(AND(ISNUMBER('자료_미국심리'!$A2761),ISNUMBER('자료_미국심리'!$B2761)),'자료_미국심리'!$A2761,"")</f>
        <v/>
      </c>
      <c r="P2777">
        <f>IF(AND(ISNUMBER('자료_미국심리'!$D2761),ISNUMBER('자료_미국심리'!$E2761)),'자료_미국심리'!$D2761,"")</f>
        <v/>
      </c>
      <c r="Q2777">
        <f>IF(AND(ISNUMBER('자료_미국심리'!$G2761),ISNUMBER('자료_미국심리'!$H2761)),'자료_미국심리'!$G2761,"")</f>
        <v/>
      </c>
    </row>
    <row r="2778">
      <c r="O2778">
        <f>IF(AND(ISNUMBER('자료_미국심리'!$A2762),ISNUMBER('자료_미국심리'!$B2762)),'자료_미국심리'!$A2762,"")</f>
        <v/>
      </c>
      <c r="P2778">
        <f>IF(AND(ISNUMBER('자료_미국심리'!$D2762),ISNUMBER('자료_미국심리'!$E2762)),'자료_미국심리'!$D2762,"")</f>
        <v/>
      </c>
      <c r="Q2778">
        <f>IF(AND(ISNUMBER('자료_미국심리'!$G2762),ISNUMBER('자료_미국심리'!$H2762)),'자료_미국심리'!$G2762,"")</f>
        <v/>
      </c>
    </row>
    <row r="2779">
      <c r="O2779">
        <f>IF(AND(ISNUMBER('자료_미국심리'!$A2763),ISNUMBER('자료_미국심리'!$B2763)),'자료_미국심리'!$A2763,"")</f>
        <v/>
      </c>
      <c r="P2779">
        <f>IF(AND(ISNUMBER('자료_미국심리'!$D2763),ISNUMBER('자료_미국심리'!$E2763)),'자료_미국심리'!$D2763,"")</f>
        <v/>
      </c>
      <c r="Q2779">
        <f>IF(AND(ISNUMBER('자료_미국심리'!$G2763),ISNUMBER('자료_미국심리'!$H2763)),'자료_미국심리'!$G2763,"")</f>
        <v/>
      </c>
    </row>
    <row r="2780">
      <c r="O2780">
        <f>IF(AND(ISNUMBER('자료_미국심리'!$A2764),ISNUMBER('자료_미국심리'!$B2764)),'자료_미국심리'!$A2764,"")</f>
        <v/>
      </c>
      <c r="P2780">
        <f>IF(AND(ISNUMBER('자료_미국심리'!$D2764),ISNUMBER('자료_미국심리'!$E2764)),'자료_미국심리'!$D2764,"")</f>
        <v/>
      </c>
      <c r="Q2780">
        <f>IF(AND(ISNUMBER('자료_미국심리'!$G2764),ISNUMBER('자료_미국심리'!$H2764)),'자료_미국심리'!$G2764,"")</f>
        <v/>
      </c>
    </row>
    <row r="2781">
      <c r="O2781">
        <f>IF(AND(ISNUMBER('자료_미국심리'!$A2765),ISNUMBER('자료_미국심리'!$B2765)),'자료_미국심리'!$A2765,"")</f>
        <v/>
      </c>
      <c r="P2781">
        <f>IF(AND(ISNUMBER('자료_미국심리'!$D2765),ISNUMBER('자료_미국심리'!$E2765)),'자료_미국심리'!$D2765,"")</f>
        <v/>
      </c>
      <c r="Q2781">
        <f>IF(AND(ISNUMBER('자료_미국심리'!$G2765),ISNUMBER('자료_미국심리'!$H2765)),'자료_미국심리'!$G2765,"")</f>
        <v/>
      </c>
    </row>
    <row r="2782">
      <c r="O2782">
        <f>IF(AND(ISNUMBER('자료_미국심리'!$A2766),ISNUMBER('자료_미국심리'!$B2766)),'자료_미국심리'!$A2766,"")</f>
        <v/>
      </c>
      <c r="P2782">
        <f>IF(AND(ISNUMBER('자료_미국심리'!$D2766),ISNUMBER('자료_미국심리'!$E2766)),'자료_미국심리'!$D2766,"")</f>
        <v/>
      </c>
      <c r="Q2782">
        <f>IF(AND(ISNUMBER('자료_미국심리'!$G2766),ISNUMBER('자료_미국심리'!$H2766)),'자료_미국심리'!$G2766,"")</f>
        <v/>
      </c>
    </row>
    <row r="2783">
      <c r="O2783">
        <f>IF(AND(ISNUMBER('자료_미국심리'!$A2767),ISNUMBER('자료_미국심리'!$B2767)),'자료_미국심리'!$A2767,"")</f>
        <v/>
      </c>
      <c r="P2783">
        <f>IF(AND(ISNUMBER('자료_미국심리'!$D2767),ISNUMBER('자료_미국심리'!$E2767)),'자료_미국심리'!$D2767,"")</f>
        <v/>
      </c>
      <c r="Q2783">
        <f>IF(AND(ISNUMBER('자료_미국심리'!$G2767),ISNUMBER('자료_미국심리'!$H2767)),'자료_미국심리'!$G2767,"")</f>
        <v/>
      </c>
    </row>
    <row r="2784">
      <c r="O2784">
        <f>IF(AND(ISNUMBER('자료_미국심리'!$A2768),ISNUMBER('자료_미국심리'!$B2768)),'자료_미국심리'!$A2768,"")</f>
        <v/>
      </c>
      <c r="P2784">
        <f>IF(AND(ISNUMBER('자료_미국심리'!$D2768),ISNUMBER('자료_미국심리'!$E2768)),'자료_미국심리'!$D2768,"")</f>
        <v/>
      </c>
      <c r="Q2784">
        <f>IF(AND(ISNUMBER('자료_미국심리'!$G2768),ISNUMBER('자료_미국심리'!$H2768)),'자료_미국심리'!$G2768,"")</f>
        <v/>
      </c>
    </row>
    <row r="2785">
      <c r="O2785">
        <f>IF(AND(ISNUMBER('자료_미국심리'!$A2769),ISNUMBER('자료_미국심리'!$B2769)),'자료_미국심리'!$A2769,"")</f>
        <v/>
      </c>
      <c r="P2785">
        <f>IF(AND(ISNUMBER('자료_미국심리'!$D2769),ISNUMBER('자료_미국심리'!$E2769)),'자료_미국심리'!$D2769,"")</f>
        <v/>
      </c>
      <c r="Q2785">
        <f>IF(AND(ISNUMBER('자료_미국심리'!$G2769),ISNUMBER('자료_미국심리'!$H2769)),'자료_미국심리'!$G2769,"")</f>
        <v/>
      </c>
    </row>
    <row r="2786">
      <c r="O2786">
        <f>IF(AND(ISNUMBER('자료_미국심리'!$A2770),ISNUMBER('자료_미국심리'!$B2770)),'자료_미국심리'!$A2770,"")</f>
        <v/>
      </c>
      <c r="P2786">
        <f>IF(AND(ISNUMBER('자료_미국심리'!$D2770),ISNUMBER('자료_미국심리'!$E2770)),'자료_미국심리'!$D2770,"")</f>
        <v/>
      </c>
      <c r="Q2786">
        <f>IF(AND(ISNUMBER('자료_미국심리'!$G2770),ISNUMBER('자료_미국심리'!$H2770)),'자료_미국심리'!$G2770,"")</f>
        <v/>
      </c>
    </row>
    <row r="2787">
      <c r="O2787">
        <f>IF(AND(ISNUMBER('자료_미국심리'!$A2771),ISNUMBER('자료_미국심리'!$B2771)),'자료_미국심리'!$A2771,"")</f>
        <v/>
      </c>
      <c r="P2787">
        <f>IF(AND(ISNUMBER('자료_미국심리'!$D2771),ISNUMBER('자료_미국심리'!$E2771)),'자료_미국심리'!$D2771,"")</f>
        <v/>
      </c>
      <c r="Q2787">
        <f>IF(AND(ISNUMBER('자료_미국심리'!$G2771),ISNUMBER('자료_미국심리'!$H2771)),'자료_미국심리'!$G2771,"")</f>
        <v/>
      </c>
    </row>
    <row r="2788">
      <c r="O2788">
        <f>IF(AND(ISNUMBER('자료_미국심리'!$A2772),ISNUMBER('자료_미국심리'!$B2772)),'자료_미국심리'!$A2772,"")</f>
        <v/>
      </c>
      <c r="P2788">
        <f>IF(AND(ISNUMBER('자료_미국심리'!$D2772),ISNUMBER('자료_미국심리'!$E2772)),'자료_미국심리'!$D2772,"")</f>
        <v/>
      </c>
      <c r="Q2788">
        <f>IF(AND(ISNUMBER('자료_미국심리'!$G2772),ISNUMBER('자료_미국심리'!$H2772)),'자료_미국심리'!$G2772,"")</f>
        <v/>
      </c>
    </row>
    <row r="2789">
      <c r="O2789">
        <f>IF(AND(ISNUMBER('자료_미국심리'!$A2773),ISNUMBER('자료_미국심리'!$B2773)),'자료_미국심리'!$A2773,"")</f>
        <v/>
      </c>
      <c r="P2789">
        <f>IF(AND(ISNUMBER('자료_미국심리'!$D2773),ISNUMBER('자료_미국심리'!$E2773)),'자료_미국심리'!$D2773,"")</f>
        <v/>
      </c>
      <c r="Q2789">
        <f>IF(AND(ISNUMBER('자료_미국심리'!$G2773),ISNUMBER('자료_미국심리'!$H2773)),'자료_미국심리'!$G2773,"")</f>
        <v/>
      </c>
    </row>
    <row r="2790">
      <c r="O2790">
        <f>IF(AND(ISNUMBER('자료_미국심리'!$A2774),ISNUMBER('자료_미국심리'!$B2774)),'자료_미국심리'!$A2774,"")</f>
        <v/>
      </c>
      <c r="P2790">
        <f>IF(AND(ISNUMBER('자료_미국심리'!$D2774),ISNUMBER('자료_미국심리'!$E2774)),'자료_미국심리'!$D2774,"")</f>
        <v/>
      </c>
      <c r="Q2790">
        <f>IF(AND(ISNUMBER('자료_미국심리'!$G2774),ISNUMBER('자료_미국심리'!$H2774)),'자료_미국심리'!$G2774,"")</f>
        <v/>
      </c>
    </row>
    <row r="2791">
      <c r="O2791">
        <f>IF(AND(ISNUMBER('자료_미국심리'!$A2775),ISNUMBER('자료_미국심리'!$B2775)),'자료_미국심리'!$A2775,"")</f>
        <v/>
      </c>
      <c r="P2791">
        <f>IF(AND(ISNUMBER('자료_미국심리'!$D2775),ISNUMBER('자료_미국심리'!$E2775)),'자료_미국심리'!$D2775,"")</f>
        <v/>
      </c>
      <c r="Q2791">
        <f>IF(AND(ISNUMBER('자료_미국심리'!$G2775),ISNUMBER('자료_미국심리'!$H2775)),'자료_미국심리'!$G2775,"")</f>
        <v/>
      </c>
    </row>
    <row r="2792">
      <c r="O2792">
        <f>IF(AND(ISNUMBER('자료_미국심리'!$A2776),ISNUMBER('자료_미국심리'!$B2776)),'자료_미국심리'!$A2776,"")</f>
        <v/>
      </c>
      <c r="P2792">
        <f>IF(AND(ISNUMBER('자료_미국심리'!$D2776),ISNUMBER('자료_미국심리'!$E2776)),'자료_미국심리'!$D2776,"")</f>
        <v/>
      </c>
      <c r="Q2792">
        <f>IF(AND(ISNUMBER('자료_미국심리'!$G2776),ISNUMBER('자료_미국심리'!$H2776)),'자료_미국심리'!$G2776,"")</f>
        <v/>
      </c>
    </row>
    <row r="2793">
      <c r="O2793">
        <f>IF(AND(ISNUMBER('자료_미국심리'!$A2777),ISNUMBER('자료_미국심리'!$B2777)),'자료_미국심리'!$A2777,"")</f>
        <v/>
      </c>
      <c r="P2793">
        <f>IF(AND(ISNUMBER('자료_미국심리'!$D2777),ISNUMBER('자료_미국심리'!$E2777)),'자료_미국심리'!$D2777,"")</f>
        <v/>
      </c>
      <c r="Q2793">
        <f>IF(AND(ISNUMBER('자료_미국심리'!$G2777),ISNUMBER('자료_미국심리'!$H2777)),'자료_미국심리'!$G2777,"")</f>
        <v/>
      </c>
    </row>
    <row r="2794">
      <c r="O2794">
        <f>IF(AND(ISNUMBER('자료_미국심리'!$A2778),ISNUMBER('자료_미국심리'!$B2778)),'자료_미국심리'!$A2778,"")</f>
        <v/>
      </c>
      <c r="P2794">
        <f>IF(AND(ISNUMBER('자료_미국심리'!$D2778),ISNUMBER('자료_미국심리'!$E2778)),'자료_미국심리'!$D2778,"")</f>
        <v/>
      </c>
      <c r="Q2794">
        <f>IF(AND(ISNUMBER('자료_미국심리'!$G2778),ISNUMBER('자료_미국심리'!$H2778)),'자료_미국심리'!$G2778,"")</f>
        <v/>
      </c>
    </row>
    <row r="2795">
      <c r="O2795">
        <f>IF(AND(ISNUMBER('자료_미국심리'!$A2779),ISNUMBER('자료_미국심리'!$B2779)),'자료_미국심리'!$A2779,"")</f>
        <v/>
      </c>
      <c r="P2795">
        <f>IF(AND(ISNUMBER('자료_미국심리'!$D2779),ISNUMBER('자료_미국심리'!$E2779)),'자료_미국심리'!$D2779,"")</f>
        <v/>
      </c>
      <c r="Q2795">
        <f>IF(AND(ISNUMBER('자료_미국심리'!$G2779),ISNUMBER('자료_미국심리'!$H2779)),'자료_미국심리'!$G2779,"")</f>
        <v/>
      </c>
    </row>
    <row r="2796">
      <c r="O2796">
        <f>IF(AND(ISNUMBER('자료_미국심리'!$A2780),ISNUMBER('자료_미국심리'!$B2780)),'자료_미국심리'!$A2780,"")</f>
        <v/>
      </c>
      <c r="P2796">
        <f>IF(AND(ISNUMBER('자료_미국심리'!$D2780),ISNUMBER('자료_미국심리'!$E2780)),'자료_미국심리'!$D2780,"")</f>
        <v/>
      </c>
      <c r="Q2796">
        <f>IF(AND(ISNUMBER('자료_미국심리'!$G2780),ISNUMBER('자료_미국심리'!$H2780)),'자료_미국심리'!$G2780,"")</f>
        <v/>
      </c>
    </row>
    <row r="2797">
      <c r="O2797">
        <f>IF(AND(ISNUMBER('자료_미국심리'!$A2781),ISNUMBER('자료_미국심리'!$B2781)),'자료_미국심리'!$A2781,"")</f>
        <v/>
      </c>
      <c r="P2797">
        <f>IF(AND(ISNUMBER('자료_미국심리'!$D2781),ISNUMBER('자료_미국심리'!$E2781)),'자료_미국심리'!$D2781,"")</f>
        <v/>
      </c>
      <c r="Q2797">
        <f>IF(AND(ISNUMBER('자료_미국심리'!$G2781),ISNUMBER('자료_미국심리'!$H2781)),'자료_미국심리'!$G2781,"")</f>
        <v/>
      </c>
    </row>
    <row r="2798">
      <c r="O2798">
        <f>IF(AND(ISNUMBER('자료_미국심리'!$A2782),ISNUMBER('자료_미국심리'!$B2782)),'자료_미국심리'!$A2782,"")</f>
        <v/>
      </c>
      <c r="P2798">
        <f>IF(AND(ISNUMBER('자료_미국심리'!$D2782),ISNUMBER('자료_미국심리'!$E2782)),'자료_미국심리'!$D2782,"")</f>
        <v/>
      </c>
      <c r="Q2798">
        <f>IF(AND(ISNUMBER('자료_미국심리'!$G2782),ISNUMBER('자료_미국심리'!$H2782)),'자료_미국심리'!$G2782,"")</f>
        <v/>
      </c>
    </row>
    <row r="2799">
      <c r="O2799">
        <f>IF(AND(ISNUMBER('자료_미국심리'!$A2783),ISNUMBER('자료_미국심리'!$B2783)),'자료_미국심리'!$A2783,"")</f>
        <v/>
      </c>
      <c r="P2799">
        <f>IF(AND(ISNUMBER('자료_미국심리'!$D2783),ISNUMBER('자료_미국심리'!$E2783)),'자료_미국심리'!$D2783,"")</f>
        <v/>
      </c>
      <c r="Q2799">
        <f>IF(AND(ISNUMBER('자료_미국심리'!$G2783),ISNUMBER('자료_미국심리'!$H2783)),'자료_미국심리'!$G2783,"")</f>
        <v/>
      </c>
    </row>
    <row r="2800">
      <c r="O2800">
        <f>IF(AND(ISNUMBER('자료_미국심리'!$A2784),ISNUMBER('자료_미국심리'!$B2784)),'자료_미국심리'!$A2784,"")</f>
        <v/>
      </c>
      <c r="P2800">
        <f>IF(AND(ISNUMBER('자료_미국심리'!$D2784),ISNUMBER('자료_미국심리'!$E2784)),'자료_미국심리'!$D2784,"")</f>
        <v/>
      </c>
      <c r="Q2800">
        <f>IF(AND(ISNUMBER('자료_미국심리'!$G2784),ISNUMBER('자료_미국심리'!$H2784)),'자료_미국심리'!$G2784,"")</f>
        <v/>
      </c>
    </row>
    <row r="2801">
      <c r="O2801">
        <f>IF(AND(ISNUMBER('자료_미국심리'!$A2785),ISNUMBER('자료_미국심리'!$B2785)),'자료_미국심리'!$A2785,"")</f>
        <v/>
      </c>
      <c r="P2801">
        <f>IF(AND(ISNUMBER('자료_미국심리'!$D2785),ISNUMBER('자료_미국심리'!$E2785)),'자료_미국심리'!$D2785,"")</f>
        <v/>
      </c>
      <c r="Q2801">
        <f>IF(AND(ISNUMBER('자료_미국심리'!$G2785),ISNUMBER('자료_미국심리'!$H2785)),'자료_미국심리'!$G2785,"")</f>
        <v/>
      </c>
    </row>
    <row r="2802">
      <c r="O2802">
        <f>IF(AND(ISNUMBER('자료_미국심리'!$A2786),ISNUMBER('자료_미국심리'!$B2786)),'자료_미국심리'!$A2786,"")</f>
        <v/>
      </c>
      <c r="P2802">
        <f>IF(AND(ISNUMBER('자료_미국심리'!$D2786),ISNUMBER('자료_미국심리'!$E2786)),'자료_미국심리'!$D2786,"")</f>
        <v/>
      </c>
      <c r="Q2802">
        <f>IF(AND(ISNUMBER('자료_미국심리'!$G2786),ISNUMBER('자료_미국심리'!$H2786)),'자료_미국심리'!$G2786,"")</f>
        <v/>
      </c>
    </row>
    <row r="2803">
      <c r="O2803">
        <f>IF(AND(ISNUMBER('자료_미국심리'!$A2787),ISNUMBER('자료_미국심리'!$B2787)),'자료_미국심리'!$A2787,"")</f>
        <v/>
      </c>
      <c r="P2803">
        <f>IF(AND(ISNUMBER('자료_미국심리'!$D2787),ISNUMBER('자료_미국심리'!$E2787)),'자료_미국심리'!$D2787,"")</f>
        <v/>
      </c>
      <c r="Q2803">
        <f>IF(AND(ISNUMBER('자료_미국심리'!$G2787),ISNUMBER('자료_미국심리'!$H2787)),'자료_미국심리'!$G2787,"")</f>
        <v/>
      </c>
    </row>
    <row r="2804">
      <c r="O2804">
        <f>IF(AND(ISNUMBER('자료_미국심리'!$A2788),ISNUMBER('자료_미국심리'!$B2788)),'자료_미국심리'!$A2788,"")</f>
        <v/>
      </c>
      <c r="P2804">
        <f>IF(AND(ISNUMBER('자료_미국심리'!$D2788),ISNUMBER('자료_미국심리'!$E2788)),'자료_미국심리'!$D2788,"")</f>
        <v/>
      </c>
      <c r="Q2804">
        <f>IF(AND(ISNUMBER('자료_미국심리'!$G2788),ISNUMBER('자료_미국심리'!$H2788)),'자료_미국심리'!$G2788,"")</f>
        <v/>
      </c>
    </row>
    <row r="2805">
      <c r="O2805">
        <f>IF(AND(ISNUMBER('자료_미국심리'!$A2789),ISNUMBER('자료_미국심리'!$B2789)),'자료_미국심리'!$A2789,"")</f>
        <v/>
      </c>
      <c r="P2805">
        <f>IF(AND(ISNUMBER('자료_미국심리'!$D2789),ISNUMBER('자료_미국심리'!$E2789)),'자료_미국심리'!$D2789,"")</f>
        <v/>
      </c>
      <c r="Q2805">
        <f>IF(AND(ISNUMBER('자료_미국심리'!$G2789),ISNUMBER('자료_미국심리'!$H2789)),'자료_미국심리'!$G2789,"")</f>
        <v/>
      </c>
    </row>
    <row r="2806">
      <c r="O2806">
        <f>IF(AND(ISNUMBER('자료_미국심리'!$A2790),ISNUMBER('자료_미국심리'!$B2790)),'자료_미국심리'!$A2790,"")</f>
        <v/>
      </c>
      <c r="P2806">
        <f>IF(AND(ISNUMBER('자료_미국심리'!$D2790),ISNUMBER('자료_미국심리'!$E2790)),'자료_미국심리'!$D2790,"")</f>
        <v/>
      </c>
      <c r="Q2806">
        <f>IF(AND(ISNUMBER('자료_미국심리'!$G2790),ISNUMBER('자료_미국심리'!$H2790)),'자료_미국심리'!$G2790,"")</f>
        <v/>
      </c>
    </row>
    <row r="2807">
      <c r="O2807">
        <f>IF(AND(ISNUMBER('자료_미국심리'!$A2791),ISNUMBER('자료_미국심리'!$B2791)),'자료_미국심리'!$A2791,"")</f>
        <v/>
      </c>
      <c r="P2807">
        <f>IF(AND(ISNUMBER('자료_미국심리'!$D2791),ISNUMBER('자료_미국심리'!$E2791)),'자료_미국심리'!$D2791,"")</f>
        <v/>
      </c>
      <c r="Q2807">
        <f>IF(AND(ISNUMBER('자료_미국심리'!$G2791),ISNUMBER('자료_미국심리'!$H2791)),'자료_미국심리'!$G2791,"")</f>
        <v/>
      </c>
    </row>
    <row r="2808">
      <c r="O2808">
        <f>IF(AND(ISNUMBER('자료_미국심리'!$A2792),ISNUMBER('자료_미국심리'!$B2792)),'자료_미국심리'!$A2792,"")</f>
        <v/>
      </c>
      <c r="P2808">
        <f>IF(AND(ISNUMBER('자료_미국심리'!$D2792),ISNUMBER('자료_미국심리'!$E2792)),'자료_미국심리'!$D2792,"")</f>
        <v/>
      </c>
      <c r="Q2808">
        <f>IF(AND(ISNUMBER('자료_미국심리'!$G2792),ISNUMBER('자료_미국심리'!$H2792)),'자료_미국심리'!$G2792,"")</f>
        <v/>
      </c>
    </row>
    <row r="2809">
      <c r="O2809">
        <f>IF(AND(ISNUMBER('자료_미국심리'!$A2793),ISNUMBER('자료_미국심리'!$B2793)),'자료_미국심리'!$A2793,"")</f>
        <v/>
      </c>
      <c r="P2809">
        <f>IF(AND(ISNUMBER('자료_미국심리'!$D2793),ISNUMBER('자료_미국심리'!$E2793)),'자료_미국심리'!$D2793,"")</f>
        <v/>
      </c>
      <c r="Q2809">
        <f>IF(AND(ISNUMBER('자료_미국심리'!$G2793),ISNUMBER('자료_미국심리'!$H2793)),'자료_미국심리'!$G2793,"")</f>
        <v/>
      </c>
    </row>
    <row r="2810">
      <c r="O2810">
        <f>IF(AND(ISNUMBER('자료_미국심리'!$A2794),ISNUMBER('자료_미국심리'!$B2794)),'자료_미국심리'!$A2794,"")</f>
        <v/>
      </c>
      <c r="P2810">
        <f>IF(AND(ISNUMBER('자료_미국심리'!$D2794),ISNUMBER('자료_미국심리'!$E2794)),'자료_미국심리'!$D2794,"")</f>
        <v/>
      </c>
      <c r="Q2810">
        <f>IF(AND(ISNUMBER('자료_미국심리'!$G2794),ISNUMBER('자료_미국심리'!$H2794)),'자료_미국심리'!$G2794,"")</f>
        <v/>
      </c>
    </row>
    <row r="2811">
      <c r="O2811">
        <f>IF(AND(ISNUMBER('자료_미국심리'!$A2795),ISNUMBER('자료_미국심리'!$B2795)),'자료_미국심리'!$A2795,"")</f>
        <v/>
      </c>
      <c r="P2811">
        <f>IF(AND(ISNUMBER('자료_미국심리'!$D2795),ISNUMBER('자료_미국심리'!$E2795)),'자료_미국심리'!$D2795,"")</f>
        <v/>
      </c>
      <c r="Q2811">
        <f>IF(AND(ISNUMBER('자료_미국심리'!$G2795),ISNUMBER('자료_미국심리'!$H2795)),'자료_미국심리'!$G2795,"")</f>
        <v/>
      </c>
    </row>
    <row r="2812">
      <c r="O2812">
        <f>IF(AND(ISNUMBER('자료_미국심리'!$A2796),ISNUMBER('자료_미국심리'!$B2796)),'자료_미국심리'!$A2796,"")</f>
        <v/>
      </c>
      <c r="P2812">
        <f>IF(AND(ISNUMBER('자료_미국심리'!$D2796),ISNUMBER('자료_미국심리'!$E2796)),'자료_미국심리'!$D2796,"")</f>
        <v/>
      </c>
      <c r="Q2812">
        <f>IF(AND(ISNUMBER('자료_미국심리'!$G2796),ISNUMBER('자료_미국심리'!$H2796)),'자료_미국심리'!$G2796,"")</f>
        <v/>
      </c>
    </row>
    <row r="2813">
      <c r="O2813">
        <f>IF(AND(ISNUMBER('자료_미국심리'!$A2797),ISNUMBER('자료_미국심리'!$B2797)),'자료_미국심리'!$A2797,"")</f>
        <v/>
      </c>
      <c r="P2813">
        <f>IF(AND(ISNUMBER('자료_미국심리'!$D2797),ISNUMBER('자료_미국심리'!$E2797)),'자료_미국심리'!$D2797,"")</f>
        <v/>
      </c>
      <c r="Q2813">
        <f>IF(AND(ISNUMBER('자료_미국심리'!$G2797),ISNUMBER('자료_미국심리'!$H2797)),'자료_미국심리'!$G2797,"")</f>
        <v/>
      </c>
    </row>
    <row r="2814">
      <c r="O2814">
        <f>IF(AND(ISNUMBER('자료_미국심리'!$A2798),ISNUMBER('자료_미국심리'!$B2798)),'자료_미국심리'!$A2798,"")</f>
        <v/>
      </c>
      <c r="P2814">
        <f>IF(AND(ISNUMBER('자료_미국심리'!$D2798),ISNUMBER('자료_미국심리'!$E2798)),'자료_미국심리'!$D2798,"")</f>
        <v/>
      </c>
      <c r="Q2814">
        <f>IF(AND(ISNUMBER('자료_미국심리'!$G2798),ISNUMBER('자료_미국심리'!$H2798)),'자료_미국심리'!$G2798,"")</f>
        <v/>
      </c>
    </row>
    <row r="2815">
      <c r="O2815">
        <f>IF(AND(ISNUMBER('자료_미국심리'!$A2799),ISNUMBER('자료_미국심리'!$B2799)),'자료_미국심리'!$A2799,"")</f>
        <v/>
      </c>
      <c r="P2815">
        <f>IF(AND(ISNUMBER('자료_미국심리'!$D2799),ISNUMBER('자료_미국심리'!$E2799)),'자료_미국심리'!$D2799,"")</f>
        <v/>
      </c>
      <c r="Q2815">
        <f>IF(AND(ISNUMBER('자료_미국심리'!$G2799),ISNUMBER('자료_미국심리'!$H2799)),'자료_미국심리'!$G2799,"")</f>
        <v/>
      </c>
    </row>
    <row r="2816">
      <c r="O2816">
        <f>IF(AND(ISNUMBER('자료_미국심리'!$A2800),ISNUMBER('자료_미국심리'!$B2800)),'자료_미국심리'!$A2800,"")</f>
        <v/>
      </c>
      <c r="P2816">
        <f>IF(AND(ISNUMBER('자료_미국심리'!$D2800),ISNUMBER('자료_미국심리'!$E2800)),'자료_미국심리'!$D2800,"")</f>
        <v/>
      </c>
      <c r="Q2816">
        <f>IF(AND(ISNUMBER('자료_미국심리'!$G2800),ISNUMBER('자료_미국심리'!$H2800)),'자료_미국심리'!$G2800,"")</f>
        <v/>
      </c>
    </row>
    <row r="2817">
      <c r="O2817">
        <f>IF(AND(ISNUMBER('자료_미국심리'!$A2801),ISNUMBER('자료_미국심리'!$B2801)),'자료_미국심리'!$A2801,"")</f>
        <v/>
      </c>
      <c r="P2817">
        <f>IF(AND(ISNUMBER('자료_미국심리'!$D2801),ISNUMBER('자료_미국심리'!$E2801)),'자료_미국심리'!$D2801,"")</f>
        <v/>
      </c>
      <c r="Q2817">
        <f>IF(AND(ISNUMBER('자료_미국심리'!$G2801),ISNUMBER('자료_미국심리'!$H2801)),'자료_미국심리'!$G2801,"")</f>
        <v/>
      </c>
    </row>
    <row r="2818">
      <c r="O2818">
        <f>IF(AND(ISNUMBER('자료_미국심리'!$A2802),ISNUMBER('자료_미국심리'!$B2802)),'자료_미국심리'!$A2802,"")</f>
        <v/>
      </c>
      <c r="P2818">
        <f>IF(AND(ISNUMBER('자료_미국심리'!$D2802),ISNUMBER('자료_미국심리'!$E2802)),'자료_미국심리'!$D2802,"")</f>
        <v/>
      </c>
      <c r="Q2818">
        <f>IF(AND(ISNUMBER('자료_미국심리'!$G2802),ISNUMBER('자료_미국심리'!$H2802)),'자료_미국심리'!$G2802,"")</f>
        <v/>
      </c>
    </row>
    <row r="2819">
      <c r="O2819">
        <f>IF(AND(ISNUMBER('자료_미국심리'!$A2803),ISNUMBER('자료_미국심리'!$B2803)),'자료_미국심리'!$A2803,"")</f>
        <v/>
      </c>
      <c r="P2819">
        <f>IF(AND(ISNUMBER('자료_미국심리'!$D2803),ISNUMBER('자료_미국심리'!$E2803)),'자료_미국심리'!$D2803,"")</f>
        <v/>
      </c>
      <c r="Q2819">
        <f>IF(AND(ISNUMBER('자료_미국심리'!$G2803),ISNUMBER('자료_미국심리'!$H2803)),'자료_미국심리'!$G2803,"")</f>
        <v/>
      </c>
    </row>
    <row r="2820">
      <c r="O2820">
        <f>IF(AND(ISNUMBER('자료_미국심리'!$A2804),ISNUMBER('자료_미국심리'!$B2804)),'자료_미국심리'!$A2804,"")</f>
        <v/>
      </c>
      <c r="P2820">
        <f>IF(AND(ISNUMBER('자료_미국심리'!$D2804),ISNUMBER('자료_미국심리'!$E2804)),'자료_미국심리'!$D2804,"")</f>
        <v/>
      </c>
      <c r="Q2820">
        <f>IF(AND(ISNUMBER('자료_미국심리'!$G2804),ISNUMBER('자료_미국심리'!$H2804)),'자료_미국심리'!$G2804,"")</f>
        <v/>
      </c>
    </row>
    <row r="2821">
      <c r="O2821">
        <f>IF(AND(ISNUMBER('자료_미국심리'!$A2805),ISNUMBER('자료_미국심리'!$B2805)),'자료_미국심리'!$A2805,"")</f>
        <v/>
      </c>
      <c r="P2821">
        <f>IF(AND(ISNUMBER('자료_미국심리'!$D2805),ISNUMBER('자료_미국심리'!$E2805)),'자료_미국심리'!$D2805,"")</f>
        <v/>
      </c>
      <c r="Q2821">
        <f>IF(AND(ISNUMBER('자료_미국심리'!$G2805),ISNUMBER('자료_미국심리'!$H2805)),'자료_미국심리'!$G2805,"")</f>
        <v/>
      </c>
    </row>
    <row r="2822">
      <c r="O2822">
        <f>IF(AND(ISNUMBER('자료_미국심리'!$A2806),ISNUMBER('자료_미국심리'!$B2806)),'자료_미국심리'!$A2806,"")</f>
        <v/>
      </c>
      <c r="P2822">
        <f>IF(AND(ISNUMBER('자료_미국심리'!$D2806),ISNUMBER('자료_미국심리'!$E2806)),'자료_미국심리'!$D2806,"")</f>
        <v/>
      </c>
      <c r="Q2822">
        <f>IF(AND(ISNUMBER('자료_미국심리'!$G2806),ISNUMBER('자료_미국심리'!$H2806)),'자료_미국심리'!$G2806,"")</f>
        <v/>
      </c>
    </row>
    <row r="2823">
      <c r="O2823">
        <f>IF(AND(ISNUMBER('자료_미국심리'!$A2807),ISNUMBER('자료_미국심리'!$B2807)),'자료_미국심리'!$A2807,"")</f>
        <v/>
      </c>
      <c r="P2823">
        <f>IF(AND(ISNUMBER('자료_미국심리'!$D2807),ISNUMBER('자료_미국심리'!$E2807)),'자료_미국심리'!$D2807,"")</f>
        <v/>
      </c>
      <c r="Q2823">
        <f>IF(AND(ISNUMBER('자료_미국심리'!$G2807),ISNUMBER('자료_미국심리'!$H2807)),'자료_미국심리'!$G2807,"")</f>
        <v/>
      </c>
    </row>
    <row r="2824">
      <c r="O2824">
        <f>IF(AND(ISNUMBER('자료_미국심리'!$A2808),ISNUMBER('자료_미국심리'!$B2808)),'자료_미국심리'!$A2808,"")</f>
        <v/>
      </c>
      <c r="P2824">
        <f>IF(AND(ISNUMBER('자료_미국심리'!$D2808),ISNUMBER('자료_미국심리'!$E2808)),'자료_미국심리'!$D2808,"")</f>
        <v/>
      </c>
      <c r="Q2824">
        <f>IF(AND(ISNUMBER('자료_미국심리'!$G2808),ISNUMBER('자료_미국심리'!$H2808)),'자료_미국심리'!$G2808,"")</f>
        <v/>
      </c>
    </row>
    <row r="2825">
      <c r="O2825">
        <f>IF(AND(ISNUMBER('자료_미국심리'!$A2809),ISNUMBER('자료_미국심리'!$B2809)),'자료_미국심리'!$A2809,"")</f>
        <v/>
      </c>
      <c r="P2825">
        <f>IF(AND(ISNUMBER('자료_미국심리'!$D2809),ISNUMBER('자료_미국심리'!$E2809)),'자료_미국심리'!$D2809,"")</f>
        <v/>
      </c>
      <c r="Q2825">
        <f>IF(AND(ISNUMBER('자료_미국심리'!$G2809),ISNUMBER('자료_미국심리'!$H2809)),'자료_미국심리'!$G2809,"")</f>
        <v/>
      </c>
    </row>
    <row r="2826">
      <c r="O2826">
        <f>IF(AND(ISNUMBER('자료_미국심리'!$A2810),ISNUMBER('자료_미국심리'!$B2810)),'자료_미국심리'!$A2810,"")</f>
        <v/>
      </c>
      <c r="P2826">
        <f>IF(AND(ISNUMBER('자료_미국심리'!$D2810),ISNUMBER('자료_미국심리'!$E2810)),'자료_미국심리'!$D2810,"")</f>
        <v/>
      </c>
      <c r="Q2826">
        <f>IF(AND(ISNUMBER('자료_미국심리'!$G2810),ISNUMBER('자료_미국심리'!$H2810)),'자료_미국심리'!$G2810,"")</f>
        <v/>
      </c>
    </row>
    <row r="2827">
      <c r="O2827">
        <f>IF(AND(ISNUMBER('자료_미국심리'!$A2811),ISNUMBER('자료_미국심리'!$B2811)),'자료_미국심리'!$A2811,"")</f>
        <v/>
      </c>
      <c r="P2827">
        <f>IF(AND(ISNUMBER('자료_미국심리'!$D2811),ISNUMBER('자료_미국심리'!$E2811)),'자료_미국심리'!$D2811,"")</f>
        <v/>
      </c>
      <c r="Q2827">
        <f>IF(AND(ISNUMBER('자료_미국심리'!$G2811),ISNUMBER('자료_미국심리'!$H2811)),'자료_미국심리'!$G2811,"")</f>
        <v/>
      </c>
    </row>
    <row r="2828">
      <c r="O2828">
        <f>IF(AND(ISNUMBER('자료_미국심리'!$A2812),ISNUMBER('자료_미국심리'!$B2812)),'자료_미국심리'!$A2812,"")</f>
        <v/>
      </c>
      <c r="P2828">
        <f>IF(AND(ISNUMBER('자료_미국심리'!$D2812),ISNUMBER('자료_미국심리'!$E2812)),'자료_미국심리'!$D2812,"")</f>
        <v/>
      </c>
      <c r="Q2828">
        <f>IF(AND(ISNUMBER('자료_미국심리'!$G2812),ISNUMBER('자료_미국심리'!$H2812)),'자료_미국심리'!$G2812,"")</f>
        <v/>
      </c>
    </row>
    <row r="2829">
      <c r="O2829">
        <f>IF(AND(ISNUMBER('자료_미국심리'!$A2813),ISNUMBER('자료_미국심리'!$B2813)),'자료_미국심리'!$A2813,"")</f>
        <v/>
      </c>
      <c r="P2829">
        <f>IF(AND(ISNUMBER('자료_미국심리'!$D2813),ISNUMBER('자료_미국심리'!$E2813)),'자료_미국심리'!$D2813,"")</f>
        <v/>
      </c>
      <c r="Q2829">
        <f>IF(AND(ISNUMBER('자료_미국심리'!$G2813),ISNUMBER('자료_미국심리'!$H2813)),'자료_미국심리'!$G2813,"")</f>
        <v/>
      </c>
    </row>
    <row r="2830">
      <c r="O2830">
        <f>IF(AND(ISNUMBER('자료_미국심리'!$A2814),ISNUMBER('자료_미국심리'!$B2814)),'자료_미국심리'!$A2814,"")</f>
        <v/>
      </c>
      <c r="P2830">
        <f>IF(AND(ISNUMBER('자료_미국심리'!$D2814),ISNUMBER('자료_미국심리'!$E2814)),'자료_미국심리'!$D2814,"")</f>
        <v/>
      </c>
      <c r="Q2830">
        <f>IF(AND(ISNUMBER('자료_미국심리'!$G2814),ISNUMBER('자료_미국심리'!$H2814)),'자료_미국심리'!$G2814,"")</f>
        <v/>
      </c>
    </row>
    <row r="2831">
      <c r="O2831">
        <f>IF(AND(ISNUMBER('자료_미국심리'!$A2815),ISNUMBER('자료_미국심리'!$B2815)),'자료_미국심리'!$A2815,"")</f>
        <v/>
      </c>
      <c r="P2831">
        <f>IF(AND(ISNUMBER('자료_미국심리'!$D2815),ISNUMBER('자료_미국심리'!$E2815)),'자료_미국심리'!$D2815,"")</f>
        <v/>
      </c>
      <c r="Q2831">
        <f>IF(AND(ISNUMBER('자료_미국심리'!$G2815),ISNUMBER('자료_미국심리'!$H2815)),'자료_미국심리'!$G2815,"")</f>
        <v/>
      </c>
    </row>
    <row r="2832">
      <c r="O2832">
        <f>IF(AND(ISNUMBER('자료_미국심리'!$A2816),ISNUMBER('자료_미국심리'!$B2816)),'자료_미국심리'!$A2816,"")</f>
        <v/>
      </c>
      <c r="P2832">
        <f>IF(AND(ISNUMBER('자료_미국심리'!$D2816),ISNUMBER('자료_미국심리'!$E2816)),'자료_미국심리'!$D2816,"")</f>
        <v/>
      </c>
      <c r="Q2832">
        <f>IF(AND(ISNUMBER('자료_미국심리'!$G2816),ISNUMBER('자료_미국심리'!$H2816)),'자료_미국심리'!$G2816,"")</f>
        <v/>
      </c>
    </row>
    <row r="2833">
      <c r="O2833">
        <f>IF(AND(ISNUMBER('자료_미국심리'!$A2817),ISNUMBER('자료_미국심리'!$B2817)),'자료_미국심리'!$A2817,"")</f>
        <v/>
      </c>
      <c r="P2833">
        <f>IF(AND(ISNUMBER('자료_미국심리'!$D2817),ISNUMBER('자료_미국심리'!$E2817)),'자료_미국심리'!$D2817,"")</f>
        <v/>
      </c>
      <c r="Q2833">
        <f>IF(AND(ISNUMBER('자료_미국심리'!$G2817),ISNUMBER('자료_미국심리'!$H2817)),'자료_미국심리'!$G2817,"")</f>
        <v/>
      </c>
    </row>
    <row r="2834">
      <c r="O2834">
        <f>IF(AND(ISNUMBER('자료_미국심리'!$A2818),ISNUMBER('자료_미국심리'!$B2818)),'자료_미국심리'!$A2818,"")</f>
        <v/>
      </c>
      <c r="P2834">
        <f>IF(AND(ISNUMBER('자료_미국심리'!$D2818),ISNUMBER('자료_미국심리'!$E2818)),'자료_미국심리'!$D2818,"")</f>
        <v/>
      </c>
      <c r="Q2834">
        <f>IF(AND(ISNUMBER('자료_미국심리'!$G2818),ISNUMBER('자료_미국심리'!$H2818)),'자료_미국심리'!$G2818,"")</f>
        <v/>
      </c>
    </row>
    <row r="2835">
      <c r="O2835">
        <f>IF(AND(ISNUMBER('자료_미국심리'!$A2819),ISNUMBER('자료_미국심리'!$B2819)),'자료_미국심리'!$A2819,"")</f>
        <v/>
      </c>
      <c r="P2835">
        <f>IF(AND(ISNUMBER('자료_미국심리'!$D2819),ISNUMBER('자료_미국심리'!$E2819)),'자료_미국심리'!$D2819,"")</f>
        <v/>
      </c>
      <c r="Q2835">
        <f>IF(AND(ISNUMBER('자료_미국심리'!$G2819),ISNUMBER('자료_미국심리'!$H2819)),'자료_미국심리'!$G2819,"")</f>
        <v/>
      </c>
    </row>
    <row r="2836">
      <c r="O2836">
        <f>IF(AND(ISNUMBER('자료_미국심리'!$A2820),ISNUMBER('자료_미국심리'!$B2820)),'자료_미국심리'!$A2820,"")</f>
        <v/>
      </c>
      <c r="P2836">
        <f>IF(AND(ISNUMBER('자료_미국심리'!$D2820),ISNUMBER('자료_미국심리'!$E2820)),'자료_미국심리'!$D2820,"")</f>
        <v/>
      </c>
      <c r="Q2836">
        <f>IF(AND(ISNUMBER('자료_미국심리'!$G2820),ISNUMBER('자료_미국심리'!$H2820)),'자료_미국심리'!$G2820,"")</f>
        <v/>
      </c>
    </row>
    <row r="2837">
      <c r="O2837">
        <f>IF(AND(ISNUMBER('자료_미국심리'!$A2821),ISNUMBER('자료_미국심리'!$B2821)),'자료_미국심리'!$A2821,"")</f>
        <v/>
      </c>
      <c r="P2837">
        <f>IF(AND(ISNUMBER('자료_미국심리'!$D2821),ISNUMBER('자료_미국심리'!$E2821)),'자료_미국심리'!$D2821,"")</f>
        <v/>
      </c>
      <c r="Q2837">
        <f>IF(AND(ISNUMBER('자료_미국심리'!$G2821),ISNUMBER('자료_미국심리'!$H2821)),'자료_미국심리'!$G2821,"")</f>
        <v/>
      </c>
    </row>
    <row r="2838">
      <c r="O2838">
        <f>IF(AND(ISNUMBER('자료_미국심리'!$A2822),ISNUMBER('자료_미국심리'!$B2822)),'자료_미국심리'!$A2822,"")</f>
        <v/>
      </c>
      <c r="P2838">
        <f>IF(AND(ISNUMBER('자료_미국심리'!$D2822),ISNUMBER('자료_미국심리'!$E2822)),'자료_미국심리'!$D2822,"")</f>
        <v/>
      </c>
      <c r="Q2838">
        <f>IF(AND(ISNUMBER('자료_미국심리'!$G2822),ISNUMBER('자료_미국심리'!$H2822)),'자료_미국심리'!$G2822,"")</f>
        <v/>
      </c>
    </row>
    <row r="2839">
      <c r="O2839">
        <f>IF(AND(ISNUMBER('자료_미국심리'!$A2823),ISNUMBER('자료_미국심리'!$B2823)),'자료_미국심리'!$A2823,"")</f>
        <v/>
      </c>
      <c r="P2839">
        <f>IF(AND(ISNUMBER('자료_미국심리'!$D2823),ISNUMBER('자료_미국심리'!$E2823)),'자료_미국심리'!$D2823,"")</f>
        <v/>
      </c>
      <c r="Q2839">
        <f>IF(AND(ISNUMBER('자료_미국심리'!$G2823),ISNUMBER('자료_미국심리'!$H2823)),'자료_미국심리'!$G2823,"")</f>
        <v/>
      </c>
    </row>
    <row r="2840">
      <c r="O2840">
        <f>IF(AND(ISNUMBER('자료_미국심리'!$A2824),ISNUMBER('자료_미국심리'!$B2824)),'자료_미국심리'!$A2824,"")</f>
        <v/>
      </c>
      <c r="P2840">
        <f>IF(AND(ISNUMBER('자료_미국심리'!$D2824),ISNUMBER('자료_미국심리'!$E2824)),'자료_미국심리'!$D2824,"")</f>
        <v/>
      </c>
      <c r="Q2840">
        <f>IF(AND(ISNUMBER('자료_미국심리'!$G2824),ISNUMBER('자료_미국심리'!$H2824)),'자료_미국심리'!$G2824,"")</f>
        <v/>
      </c>
    </row>
    <row r="2841">
      <c r="O2841">
        <f>IF(AND(ISNUMBER('자료_미국심리'!$A2825),ISNUMBER('자료_미국심리'!$B2825)),'자료_미국심리'!$A2825,"")</f>
        <v/>
      </c>
      <c r="P2841">
        <f>IF(AND(ISNUMBER('자료_미국심리'!$D2825),ISNUMBER('자료_미국심리'!$E2825)),'자료_미국심리'!$D2825,"")</f>
        <v/>
      </c>
      <c r="Q2841">
        <f>IF(AND(ISNUMBER('자료_미국심리'!$G2825),ISNUMBER('자료_미국심리'!$H2825)),'자료_미국심리'!$G2825,"")</f>
        <v/>
      </c>
    </row>
    <row r="2842">
      <c r="O2842">
        <f>IF(AND(ISNUMBER('자료_미국심리'!$A2826),ISNUMBER('자료_미국심리'!$B2826)),'자료_미국심리'!$A2826,"")</f>
        <v/>
      </c>
      <c r="P2842">
        <f>IF(AND(ISNUMBER('자료_미국심리'!$D2826),ISNUMBER('자료_미국심리'!$E2826)),'자료_미국심리'!$D2826,"")</f>
        <v/>
      </c>
      <c r="Q2842">
        <f>IF(AND(ISNUMBER('자료_미국심리'!$G2826),ISNUMBER('자료_미국심리'!$H2826)),'자료_미국심리'!$G2826,"")</f>
        <v/>
      </c>
    </row>
    <row r="2843">
      <c r="O2843">
        <f>IF(AND(ISNUMBER('자료_미국심리'!$A2827),ISNUMBER('자료_미국심리'!$B2827)),'자료_미국심리'!$A2827,"")</f>
        <v/>
      </c>
      <c r="P2843">
        <f>IF(AND(ISNUMBER('자료_미국심리'!$D2827),ISNUMBER('자료_미국심리'!$E2827)),'자료_미국심리'!$D2827,"")</f>
        <v/>
      </c>
      <c r="Q2843">
        <f>IF(AND(ISNUMBER('자료_미국심리'!$G2827),ISNUMBER('자료_미국심리'!$H2827)),'자료_미국심리'!$G2827,"")</f>
        <v/>
      </c>
    </row>
    <row r="2844">
      <c r="O2844">
        <f>IF(AND(ISNUMBER('자료_미국심리'!$A2828),ISNUMBER('자료_미국심리'!$B2828)),'자료_미국심리'!$A2828,"")</f>
        <v/>
      </c>
      <c r="P2844">
        <f>IF(AND(ISNUMBER('자료_미국심리'!$D2828),ISNUMBER('자료_미국심리'!$E2828)),'자료_미국심리'!$D2828,"")</f>
        <v/>
      </c>
      <c r="Q2844">
        <f>IF(AND(ISNUMBER('자료_미국심리'!$G2828),ISNUMBER('자료_미국심리'!$H2828)),'자료_미국심리'!$G2828,"")</f>
        <v/>
      </c>
    </row>
    <row r="2845">
      <c r="O2845">
        <f>IF(AND(ISNUMBER('자료_미국심리'!$A2829),ISNUMBER('자료_미국심리'!$B2829)),'자료_미국심리'!$A2829,"")</f>
        <v/>
      </c>
      <c r="P2845">
        <f>IF(AND(ISNUMBER('자료_미국심리'!$D2829),ISNUMBER('자료_미국심리'!$E2829)),'자료_미국심리'!$D2829,"")</f>
        <v/>
      </c>
      <c r="Q2845">
        <f>IF(AND(ISNUMBER('자료_미국심리'!$G2829),ISNUMBER('자료_미국심리'!$H2829)),'자료_미국심리'!$G2829,"")</f>
        <v/>
      </c>
    </row>
    <row r="2846">
      <c r="O2846">
        <f>IF(AND(ISNUMBER('자료_미국심리'!$A2830),ISNUMBER('자료_미국심리'!$B2830)),'자료_미국심리'!$A2830,"")</f>
        <v/>
      </c>
      <c r="P2846">
        <f>IF(AND(ISNUMBER('자료_미국심리'!$D2830),ISNUMBER('자료_미국심리'!$E2830)),'자료_미국심리'!$D2830,"")</f>
        <v/>
      </c>
      <c r="Q2846">
        <f>IF(AND(ISNUMBER('자료_미국심리'!$G2830),ISNUMBER('자료_미국심리'!$H2830)),'자료_미국심리'!$G2830,"")</f>
        <v/>
      </c>
    </row>
    <row r="2847">
      <c r="O2847">
        <f>IF(AND(ISNUMBER('자료_미국심리'!$A2831),ISNUMBER('자료_미국심리'!$B2831)),'자료_미국심리'!$A2831,"")</f>
        <v/>
      </c>
      <c r="P2847">
        <f>IF(AND(ISNUMBER('자료_미국심리'!$D2831),ISNUMBER('자료_미국심리'!$E2831)),'자료_미국심리'!$D2831,"")</f>
        <v/>
      </c>
      <c r="Q2847">
        <f>IF(AND(ISNUMBER('자료_미국심리'!$G2831),ISNUMBER('자료_미국심리'!$H2831)),'자료_미국심리'!$G2831,"")</f>
        <v/>
      </c>
    </row>
    <row r="2848">
      <c r="O2848">
        <f>IF(AND(ISNUMBER('자료_미국심리'!$A2832),ISNUMBER('자료_미국심리'!$B2832)),'자료_미국심리'!$A2832,"")</f>
        <v/>
      </c>
      <c r="P2848">
        <f>IF(AND(ISNUMBER('자료_미국심리'!$D2832),ISNUMBER('자료_미국심리'!$E2832)),'자료_미국심리'!$D2832,"")</f>
        <v/>
      </c>
      <c r="Q2848">
        <f>IF(AND(ISNUMBER('자료_미국심리'!$G2832),ISNUMBER('자료_미국심리'!$H2832)),'자료_미국심리'!$G2832,"")</f>
        <v/>
      </c>
    </row>
    <row r="2849">
      <c r="O2849">
        <f>IF(AND(ISNUMBER('자료_미국심리'!$A2833),ISNUMBER('자료_미국심리'!$B2833)),'자료_미국심리'!$A2833,"")</f>
        <v/>
      </c>
      <c r="P2849">
        <f>IF(AND(ISNUMBER('자료_미국심리'!$D2833),ISNUMBER('자료_미국심리'!$E2833)),'자료_미국심리'!$D2833,"")</f>
        <v/>
      </c>
      <c r="Q2849">
        <f>IF(AND(ISNUMBER('자료_미국심리'!$G2833),ISNUMBER('자료_미국심리'!$H2833)),'자료_미국심리'!$G2833,"")</f>
        <v/>
      </c>
    </row>
    <row r="2850">
      <c r="O2850">
        <f>IF(AND(ISNUMBER('자료_미국심리'!$A2834),ISNUMBER('자료_미국심리'!$B2834)),'자료_미국심리'!$A2834,"")</f>
        <v/>
      </c>
      <c r="P2850">
        <f>IF(AND(ISNUMBER('자료_미국심리'!$D2834),ISNUMBER('자료_미국심리'!$E2834)),'자료_미국심리'!$D2834,"")</f>
        <v/>
      </c>
      <c r="Q2850">
        <f>IF(AND(ISNUMBER('자료_미국심리'!$G2834),ISNUMBER('자료_미국심리'!$H2834)),'자료_미국심리'!$G2834,"")</f>
        <v/>
      </c>
    </row>
    <row r="2851">
      <c r="O2851">
        <f>IF(AND(ISNUMBER('자료_미국심리'!$A2835),ISNUMBER('자료_미국심리'!$B2835)),'자료_미국심리'!$A2835,"")</f>
        <v/>
      </c>
      <c r="P2851">
        <f>IF(AND(ISNUMBER('자료_미국심리'!$D2835),ISNUMBER('자료_미국심리'!$E2835)),'자료_미국심리'!$D2835,"")</f>
        <v/>
      </c>
      <c r="Q2851">
        <f>IF(AND(ISNUMBER('자료_미국심리'!$G2835),ISNUMBER('자료_미국심리'!$H2835)),'자료_미국심리'!$G2835,"")</f>
        <v/>
      </c>
    </row>
    <row r="2852">
      <c r="O2852">
        <f>IF(AND(ISNUMBER('자료_미국심리'!$A2836),ISNUMBER('자료_미국심리'!$B2836)),'자료_미국심리'!$A2836,"")</f>
        <v/>
      </c>
      <c r="P2852">
        <f>IF(AND(ISNUMBER('자료_미국심리'!$D2836),ISNUMBER('자료_미국심리'!$E2836)),'자료_미국심리'!$D2836,"")</f>
        <v/>
      </c>
      <c r="Q2852">
        <f>IF(AND(ISNUMBER('자료_미국심리'!$G2836),ISNUMBER('자료_미국심리'!$H2836)),'자료_미국심리'!$G2836,"")</f>
        <v/>
      </c>
    </row>
    <row r="2853">
      <c r="O2853">
        <f>IF(AND(ISNUMBER('자료_미국심리'!$A2837),ISNUMBER('자료_미국심리'!$B2837)),'자료_미국심리'!$A2837,"")</f>
        <v/>
      </c>
      <c r="P2853">
        <f>IF(AND(ISNUMBER('자료_미국심리'!$D2837),ISNUMBER('자료_미국심리'!$E2837)),'자료_미국심리'!$D2837,"")</f>
        <v/>
      </c>
      <c r="Q2853">
        <f>IF(AND(ISNUMBER('자료_미국심리'!$G2837),ISNUMBER('자료_미국심리'!$H2837)),'자료_미국심리'!$G2837,"")</f>
        <v/>
      </c>
    </row>
    <row r="2854">
      <c r="O2854">
        <f>IF(AND(ISNUMBER('자료_미국심리'!$A2838),ISNUMBER('자료_미국심리'!$B2838)),'자료_미국심리'!$A2838,"")</f>
        <v/>
      </c>
      <c r="P2854">
        <f>IF(AND(ISNUMBER('자료_미국심리'!$D2838),ISNUMBER('자료_미국심리'!$E2838)),'자료_미국심리'!$D2838,"")</f>
        <v/>
      </c>
      <c r="Q2854">
        <f>IF(AND(ISNUMBER('자료_미국심리'!$G2838),ISNUMBER('자료_미국심리'!$H2838)),'자료_미국심리'!$G2838,"")</f>
        <v/>
      </c>
    </row>
    <row r="2855">
      <c r="O2855">
        <f>IF(AND(ISNUMBER('자료_미국심리'!$A2839),ISNUMBER('자료_미국심리'!$B2839)),'자료_미국심리'!$A2839,"")</f>
        <v/>
      </c>
      <c r="P2855">
        <f>IF(AND(ISNUMBER('자료_미국심리'!$D2839),ISNUMBER('자료_미국심리'!$E2839)),'자료_미국심리'!$D2839,"")</f>
        <v/>
      </c>
      <c r="Q2855">
        <f>IF(AND(ISNUMBER('자료_미국심리'!$G2839),ISNUMBER('자료_미국심리'!$H2839)),'자료_미국심리'!$G2839,"")</f>
        <v/>
      </c>
    </row>
    <row r="2856">
      <c r="O2856">
        <f>IF(AND(ISNUMBER('자료_미국심리'!$A2840),ISNUMBER('자료_미국심리'!$B2840)),'자료_미국심리'!$A2840,"")</f>
        <v/>
      </c>
      <c r="P2856">
        <f>IF(AND(ISNUMBER('자료_미국심리'!$D2840),ISNUMBER('자료_미국심리'!$E2840)),'자료_미국심리'!$D2840,"")</f>
        <v/>
      </c>
      <c r="Q2856">
        <f>IF(AND(ISNUMBER('자료_미국심리'!$G2840),ISNUMBER('자료_미국심리'!$H2840)),'자료_미국심리'!$G2840,"")</f>
        <v/>
      </c>
    </row>
    <row r="2857">
      <c r="O2857">
        <f>IF(AND(ISNUMBER('자료_미국심리'!$A2841),ISNUMBER('자료_미국심리'!$B2841)),'자료_미국심리'!$A2841,"")</f>
        <v/>
      </c>
      <c r="P2857">
        <f>IF(AND(ISNUMBER('자료_미국심리'!$D2841),ISNUMBER('자료_미국심리'!$E2841)),'자료_미국심리'!$D2841,"")</f>
        <v/>
      </c>
      <c r="Q2857">
        <f>IF(AND(ISNUMBER('자료_미국심리'!$G2841),ISNUMBER('자료_미국심리'!$H2841)),'자료_미국심리'!$G2841,"")</f>
        <v/>
      </c>
    </row>
    <row r="2858">
      <c r="O2858">
        <f>IF(AND(ISNUMBER('자료_미국심리'!$A2842),ISNUMBER('자료_미국심리'!$B2842)),'자료_미국심리'!$A2842,"")</f>
        <v/>
      </c>
      <c r="P2858">
        <f>IF(AND(ISNUMBER('자료_미국심리'!$D2842),ISNUMBER('자료_미국심리'!$E2842)),'자료_미국심리'!$D2842,"")</f>
        <v/>
      </c>
      <c r="Q2858">
        <f>IF(AND(ISNUMBER('자료_미국심리'!$G2842),ISNUMBER('자료_미국심리'!$H2842)),'자료_미국심리'!$G2842,"")</f>
        <v/>
      </c>
    </row>
    <row r="2859">
      <c r="O2859">
        <f>IF(AND(ISNUMBER('자료_미국심리'!$A2843),ISNUMBER('자료_미국심리'!$B2843)),'자료_미국심리'!$A2843,"")</f>
        <v/>
      </c>
      <c r="P2859">
        <f>IF(AND(ISNUMBER('자료_미국심리'!$D2843),ISNUMBER('자료_미국심리'!$E2843)),'자료_미국심리'!$D2843,"")</f>
        <v/>
      </c>
      <c r="Q2859">
        <f>IF(AND(ISNUMBER('자료_미국심리'!$G2843),ISNUMBER('자료_미국심리'!$H2843)),'자료_미국심리'!$G2843,"")</f>
        <v/>
      </c>
    </row>
    <row r="2860">
      <c r="O2860">
        <f>IF(AND(ISNUMBER('자료_미국심리'!$A2844),ISNUMBER('자료_미국심리'!$B2844)),'자료_미국심리'!$A2844,"")</f>
        <v/>
      </c>
      <c r="P2860">
        <f>IF(AND(ISNUMBER('자료_미국심리'!$D2844),ISNUMBER('자료_미국심리'!$E2844)),'자료_미국심리'!$D2844,"")</f>
        <v/>
      </c>
      <c r="Q2860">
        <f>IF(AND(ISNUMBER('자료_미국심리'!$G2844),ISNUMBER('자료_미국심리'!$H2844)),'자료_미국심리'!$G2844,"")</f>
        <v/>
      </c>
    </row>
    <row r="2861">
      <c r="O2861">
        <f>IF(AND(ISNUMBER('자료_미국심리'!$A2845),ISNUMBER('자료_미국심리'!$B2845)),'자료_미국심리'!$A2845,"")</f>
        <v/>
      </c>
      <c r="P2861">
        <f>IF(AND(ISNUMBER('자료_미국심리'!$D2845),ISNUMBER('자료_미국심리'!$E2845)),'자료_미국심리'!$D2845,"")</f>
        <v/>
      </c>
      <c r="Q2861">
        <f>IF(AND(ISNUMBER('자료_미국심리'!$G2845),ISNUMBER('자료_미국심리'!$H2845)),'자료_미국심리'!$G2845,"")</f>
        <v/>
      </c>
    </row>
    <row r="2862">
      <c r="O2862">
        <f>IF(AND(ISNUMBER('자료_미국심리'!$A2846),ISNUMBER('자료_미국심리'!$B2846)),'자료_미국심리'!$A2846,"")</f>
        <v/>
      </c>
      <c r="P2862">
        <f>IF(AND(ISNUMBER('자료_미국심리'!$D2846),ISNUMBER('자료_미국심리'!$E2846)),'자료_미국심리'!$D2846,"")</f>
        <v/>
      </c>
      <c r="Q2862">
        <f>IF(AND(ISNUMBER('자료_미국심리'!$G2846),ISNUMBER('자료_미국심리'!$H2846)),'자료_미국심리'!$G2846,"")</f>
        <v/>
      </c>
    </row>
    <row r="2863">
      <c r="O2863">
        <f>IF(AND(ISNUMBER('자료_미국심리'!$A2847),ISNUMBER('자료_미국심리'!$B2847)),'자료_미국심리'!$A2847,"")</f>
        <v/>
      </c>
      <c r="P2863">
        <f>IF(AND(ISNUMBER('자료_미국심리'!$D2847),ISNUMBER('자료_미국심리'!$E2847)),'자료_미국심리'!$D2847,"")</f>
        <v/>
      </c>
      <c r="Q2863">
        <f>IF(AND(ISNUMBER('자료_미국심리'!$G2847),ISNUMBER('자료_미국심리'!$H2847)),'자료_미국심리'!$G2847,"")</f>
        <v/>
      </c>
    </row>
    <row r="2864">
      <c r="O2864">
        <f>IF(AND(ISNUMBER('자료_미국심리'!$A2848),ISNUMBER('자료_미국심리'!$B2848)),'자료_미국심리'!$A2848,"")</f>
        <v/>
      </c>
      <c r="P2864">
        <f>IF(AND(ISNUMBER('자료_미국심리'!$D2848),ISNUMBER('자료_미국심리'!$E2848)),'자료_미국심리'!$D2848,"")</f>
        <v/>
      </c>
      <c r="Q2864">
        <f>IF(AND(ISNUMBER('자료_미국심리'!$G2848),ISNUMBER('자료_미국심리'!$H2848)),'자료_미국심리'!$G2848,"")</f>
        <v/>
      </c>
    </row>
    <row r="2865">
      <c r="O2865">
        <f>IF(AND(ISNUMBER('자료_미국심리'!$A2849),ISNUMBER('자료_미국심리'!$B2849)),'자료_미국심리'!$A2849,"")</f>
        <v/>
      </c>
      <c r="P2865">
        <f>IF(AND(ISNUMBER('자료_미국심리'!$D2849),ISNUMBER('자료_미국심리'!$E2849)),'자료_미국심리'!$D2849,"")</f>
        <v/>
      </c>
      <c r="Q2865">
        <f>IF(AND(ISNUMBER('자료_미국심리'!$G2849),ISNUMBER('자료_미국심리'!$H2849)),'자료_미국심리'!$G2849,"")</f>
        <v/>
      </c>
    </row>
    <row r="2866">
      <c r="O2866">
        <f>IF(AND(ISNUMBER('자료_미국심리'!$A2850),ISNUMBER('자료_미국심리'!$B2850)),'자료_미국심리'!$A2850,"")</f>
        <v/>
      </c>
      <c r="P2866">
        <f>IF(AND(ISNUMBER('자료_미국심리'!$D2850),ISNUMBER('자료_미국심리'!$E2850)),'자료_미국심리'!$D2850,"")</f>
        <v/>
      </c>
      <c r="Q2866">
        <f>IF(AND(ISNUMBER('자료_미국심리'!$G2850),ISNUMBER('자료_미국심리'!$H2850)),'자료_미국심리'!$G2850,"")</f>
        <v/>
      </c>
    </row>
    <row r="2867">
      <c r="O2867">
        <f>IF(AND(ISNUMBER('자료_미국심리'!$A2851),ISNUMBER('자료_미국심리'!$B2851)),'자료_미국심리'!$A2851,"")</f>
        <v/>
      </c>
      <c r="P2867">
        <f>IF(AND(ISNUMBER('자료_미국심리'!$D2851),ISNUMBER('자료_미국심리'!$E2851)),'자료_미국심리'!$D2851,"")</f>
        <v/>
      </c>
      <c r="Q2867">
        <f>IF(AND(ISNUMBER('자료_미국심리'!$G2851),ISNUMBER('자료_미국심리'!$H2851)),'자료_미국심리'!$G2851,"")</f>
        <v/>
      </c>
    </row>
    <row r="2868">
      <c r="O2868">
        <f>IF(AND(ISNUMBER('자료_미국심리'!$A2852),ISNUMBER('자료_미국심리'!$B2852)),'자료_미국심리'!$A2852,"")</f>
        <v/>
      </c>
      <c r="P2868">
        <f>IF(AND(ISNUMBER('자료_미국심리'!$D2852),ISNUMBER('자료_미국심리'!$E2852)),'자료_미국심리'!$D2852,"")</f>
        <v/>
      </c>
      <c r="Q2868">
        <f>IF(AND(ISNUMBER('자료_미국심리'!$G2852),ISNUMBER('자료_미국심리'!$H2852)),'자료_미국심리'!$G2852,"")</f>
        <v/>
      </c>
    </row>
    <row r="2869">
      <c r="O2869">
        <f>IF(AND(ISNUMBER('자료_미국심리'!$A2853),ISNUMBER('자료_미국심리'!$B2853)),'자료_미국심리'!$A2853,"")</f>
        <v/>
      </c>
      <c r="P2869">
        <f>IF(AND(ISNUMBER('자료_미국심리'!$D2853),ISNUMBER('자료_미국심리'!$E2853)),'자료_미국심리'!$D2853,"")</f>
        <v/>
      </c>
      <c r="Q2869">
        <f>IF(AND(ISNUMBER('자료_미국심리'!$G2853),ISNUMBER('자료_미국심리'!$H2853)),'자료_미국심리'!$G2853,"")</f>
        <v/>
      </c>
    </row>
    <row r="2870">
      <c r="O2870">
        <f>IF(AND(ISNUMBER('자료_미국심리'!$A2854),ISNUMBER('자료_미국심리'!$B2854)),'자료_미국심리'!$A2854,"")</f>
        <v/>
      </c>
      <c r="P2870">
        <f>IF(AND(ISNUMBER('자료_미국심리'!$D2854),ISNUMBER('자료_미국심리'!$E2854)),'자료_미국심리'!$D2854,"")</f>
        <v/>
      </c>
      <c r="Q2870">
        <f>IF(AND(ISNUMBER('자료_미국심리'!$G2854),ISNUMBER('자료_미국심리'!$H2854)),'자료_미국심리'!$G2854,"")</f>
        <v/>
      </c>
    </row>
    <row r="2871">
      <c r="O2871">
        <f>IF(AND(ISNUMBER('자료_미국심리'!$A2855),ISNUMBER('자료_미국심리'!$B2855)),'자료_미국심리'!$A2855,"")</f>
        <v/>
      </c>
      <c r="P2871">
        <f>IF(AND(ISNUMBER('자료_미국심리'!$D2855),ISNUMBER('자료_미국심리'!$E2855)),'자료_미국심리'!$D2855,"")</f>
        <v/>
      </c>
      <c r="Q2871">
        <f>IF(AND(ISNUMBER('자료_미국심리'!$G2855),ISNUMBER('자료_미국심리'!$H2855)),'자료_미국심리'!$G2855,"")</f>
        <v/>
      </c>
    </row>
    <row r="2872">
      <c r="O2872">
        <f>IF(AND(ISNUMBER('자료_미국심리'!$A2856),ISNUMBER('자료_미국심리'!$B2856)),'자료_미국심리'!$A2856,"")</f>
        <v/>
      </c>
      <c r="P2872">
        <f>IF(AND(ISNUMBER('자료_미국심리'!$D2856),ISNUMBER('자료_미국심리'!$E2856)),'자료_미국심리'!$D2856,"")</f>
        <v/>
      </c>
      <c r="Q2872">
        <f>IF(AND(ISNUMBER('자료_미국심리'!$G2856),ISNUMBER('자료_미국심리'!$H2856)),'자료_미국심리'!$G2856,"")</f>
        <v/>
      </c>
    </row>
    <row r="2873">
      <c r="O2873">
        <f>IF(AND(ISNUMBER('자료_미국심리'!$A2857),ISNUMBER('자료_미국심리'!$B2857)),'자료_미국심리'!$A2857,"")</f>
        <v/>
      </c>
      <c r="P2873">
        <f>IF(AND(ISNUMBER('자료_미국심리'!$D2857),ISNUMBER('자료_미국심리'!$E2857)),'자료_미국심리'!$D2857,"")</f>
        <v/>
      </c>
      <c r="Q2873">
        <f>IF(AND(ISNUMBER('자료_미국심리'!$G2857),ISNUMBER('자료_미국심리'!$H2857)),'자료_미국심리'!$G2857,"")</f>
        <v/>
      </c>
    </row>
    <row r="2874">
      <c r="O2874">
        <f>IF(AND(ISNUMBER('자료_미국심리'!$A2858),ISNUMBER('자료_미국심리'!$B2858)),'자료_미국심리'!$A2858,"")</f>
        <v/>
      </c>
      <c r="P2874">
        <f>IF(AND(ISNUMBER('자료_미국심리'!$D2858),ISNUMBER('자료_미국심리'!$E2858)),'자료_미국심리'!$D2858,"")</f>
        <v/>
      </c>
      <c r="Q2874">
        <f>IF(AND(ISNUMBER('자료_미국심리'!$G2858),ISNUMBER('자료_미국심리'!$H2858)),'자료_미국심리'!$G2858,"")</f>
        <v/>
      </c>
    </row>
    <row r="2875">
      <c r="O2875">
        <f>IF(AND(ISNUMBER('자료_미국심리'!$A2859),ISNUMBER('자료_미국심리'!$B2859)),'자료_미국심리'!$A2859,"")</f>
        <v/>
      </c>
      <c r="P2875">
        <f>IF(AND(ISNUMBER('자료_미국심리'!$D2859),ISNUMBER('자료_미국심리'!$E2859)),'자료_미국심리'!$D2859,"")</f>
        <v/>
      </c>
      <c r="Q2875">
        <f>IF(AND(ISNUMBER('자료_미국심리'!$G2859),ISNUMBER('자료_미국심리'!$H2859)),'자료_미국심리'!$G2859,"")</f>
        <v/>
      </c>
    </row>
    <row r="2876">
      <c r="O2876">
        <f>IF(AND(ISNUMBER('자료_미국심리'!$A2860),ISNUMBER('자료_미국심리'!$B2860)),'자료_미국심리'!$A2860,"")</f>
        <v/>
      </c>
      <c r="P2876">
        <f>IF(AND(ISNUMBER('자료_미국심리'!$D2860),ISNUMBER('자료_미국심리'!$E2860)),'자료_미국심리'!$D2860,"")</f>
        <v/>
      </c>
      <c r="Q2876">
        <f>IF(AND(ISNUMBER('자료_미국심리'!$G2860),ISNUMBER('자료_미국심리'!$H2860)),'자료_미국심리'!$G2860,"")</f>
        <v/>
      </c>
    </row>
    <row r="2877">
      <c r="O2877">
        <f>IF(AND(ISNUMBER('자료_미국심리'!$A2861),ISNUMBER('자료_미국심리'!$B2861)),'자료_미국심리'!$A2861,"")</f>
        <v/>
      </c>
      <c r="P2877">
        <f>IF(AND(ISNUMBER('자료_미국심리'!$D2861),ISNUMBER('자료_미국심리'!$E2861)),'자료_미국심리'!$D2861,"")</f>
        <v/>
      </c>
      <c r="Q2877">
        <f>IF(AND(ISNUMBER('자료_미국심리'!$G2861),ISNUMBER('자료_미국심리'!$H2861)),'자료_미국심리'!$G2861,"")</f>
        <v/>
      </c>
    </row>
    <row r="2878">
      <c r="O2878">
        <f>IF(AND(ISNUMBER('자료_미국심리'!$A2862),ISNUMBER('자료_미국심리'!$B2862)),'자료_미국심리'!$A2862,"")</f>
        <v/>
      </c>
      <c r="P2878">
        <f>IF(AND(ISNUMBER('자료_미국심리'!$D2862),ISNUMBER('자료_미국심리'!$E2862)),'자료_미국심리'!$D2862,"")</f>
        <v/>
      </c>
      <c r="Q2878">
        <f>IF(AND(ISNUMBER('자료_미국심리'!$G2862),ISNUMBER('자료_미국심리'!$H2862)),'자료_미국심리'!$G2862,"")</f>
        <v/>
      </c>
    </row>
    <row r="2879">
      <c r="O2879">
        <f>IF(AND(ISNUMBER('자료_미국심리'!$A2863),ISNUMBER('자료_미국심리'!$B2863)),'자료_미국심리'!$A2863,"")</f>
        <v/>
      </c>
      <c r="P2879">
        <f>IF(AND(ISNUMBER('자료_미국심리'!$D2863),ISNUMBER('자료_미국심리'!$E2863)),'자료_미국심리'!$D2863,"")</f>
        <v/>
      </c>
      <c r="Q2879">
        <f>IF(AND(ISNUMBER('자료_미국심리'!$G2863),ISNUMBER('자료_미국심리'!$H2863)),'자료_미국심리'!$G2863,"")</f>
        <v/>
      </c>
    </row>
    <row r="2880">
      <c r="O2880">
        <f>IF(AND(ISNUMBER('자료_미국심리'!$A2864),ISNUMBER('자료_미국심리'!$B2864)),'자료_미국심리'!$A2864,"")</f>
        <v/>
      </c>
      <c r="P2880">
        <f>IF(AND(ISNUMBER('자료_미국심리'!$D2864),ISNUMBER('자료_미국심리'!$E2864)),'자료_미국심리'!$D2864,"")</f>
        <v/>
      </c>
      <c r="Q2880">
        <f>IF(AND(ISNUMBER('자료_미국심리'!$G2864),ISNUMBER('자료_미국심리'!$H2864)),'자료_미국심리'!$G2864,"")</f>
        <v/>
      </c>
    </row>
    <row r="2881">
      <c r="O2881">
        <f>IF(AND(ISNUMBER('자료_미국심리'!$A2865),ISNUMBER('자료_미국심리'!$B2865)),'자료_미국심리'!$A2865,"")</f>
        <v/>
      </c>
      <c r="P2881">
        <f>IF(AND(ISNUMBER('자료_미국심리'!$D2865),ISNUMBER('자료_미국심리'!$E2865)),'자료_미국심리'!$D2865,"")</f>
        <v/>
      </c>
      <c r="Q2881">
        <f>IF(AND(ISNUMBER('자료_미국심리'!$G2865),ISNUMBER('자료_미국심리'!$H2865)),'자료_미국심리'!$G2865,"")</f>
        <v/>
      </c>
    </row>
    <row r="2882">
      <c r="O2882">
        <f>IF(AND(ISNUMBER('자료_미국심리'!$A2866),ISNUMBER('자료_미국심리'!$B2866)),'자료_미국심리'!$A2866,"")</f>
        <v/>
      </c>
      <c r="P2882">
        <f>IF(AND(ISNUMBER('자료_미국심리'!$D2866),ISNUMBER('자료_미국심리'!$E2866)),'자료_미국심리'!$D2866,"")</f>
        <v/>
      </c>
      <c r="Q2882">
        <f>IF(AND(ISNUMBER('자료_미국심리'!$G2866),ISNUMBER('자료_미국심리'!$H2866)),'자료_미국심리'!$G2866,"")</f>
        <v/>
      </c>
    </row>
    <row r="2883">
      <c r="O2883">
        <f>IF(AND(ISNUMBER('자료_미국심리'!$A2867),ISNUMBER('자료_미국심리'!$B2867)),'자료_미국심리'!$A2867,"")</f>
        <v/>
      </c>
      <c r="P2883">
        <f>IF(AND(ISNUMBER('자료_미국심리'!$D2867),ISNUMBER('자료_미국심리'!$E2867)),'자료_미국심리'!$D2867,"")</f>
        <v/>
      </c>
      <c r="Q2883">
        <f>IF(AND(ISNUMBER('자료_미국심리'!$G2867),ISNUMBER('자료_미국심리'!$H2867)),'자료_미국심리'!$G2867,"")</f>
        <v/>
      </c>
    </row>
    <row r="2884">
      <c r="O2884">
        <f>IF(AND(ISNUMBER('자료_미국심리'!$A2868),ISNUMBER('자료_미국심리'!$B2868)),'자료_미국심리'!$A2868,"")</f>
        <v/>
      </c>
      <c r="P2884">
        <f>IF(AND(ISNUMBER('자료_미국심리'!$D2868),ISNUMBER('자료_미국심리'!$E2868)),'자료_미국심리'!$D2868,"")</f>
        <v/>
      </c>
      <c r="Q2884">
        <f>IF(AND(ISNUMBER('자료_미국심리'!$G2868),ISNUMBER('자료_미국심리'!$H2868)),'자료_미국심리'!$G2868,"")</f>
        <v/>
      </c>
    </row>
    <row r="2885">
      <c r="O2885">
        <f>IF(AND(ISNUMBER('자료_미국심리'!$A2869),ISNUMBER('자료_미국심리'!$B2869)),'자료_미국심리'!$A2869,"")</f>
        <v/>
      </c>
      <c r="P2885">
        <f>IF(AND(ISNUMBER('자료_미국심리'!$D2869),ISNUMBER('자료_미국심리'!$E2869)),'자료_미국심리'!$D2869,"")</f>
        <v/>
      </c>
      <c r="Q2885">
        <f>IF(AND(ISNUMBER('자료_미국심리'!$G2869),ISNUMBER('자료_미국심리'!$H2869)),'자료_미국심리'!$G2869,"")</f>
        <v/>
      </c>
    </row>
    <row r="2886">
      <c r="O2886">
        <f>IF(AND(ISNUMBER('자료_미국심리'!$A2870),ISNUMBER('자료_미국심리'!$B2870)),'자료_미국심리'!$A2870,"")</f>
        <v/>
      </c>
      <c r="P2886">
        <f>IF(AND(ISNUMBER('자료_미국심리'!$D2870),ISNUMBER('자료_미국심리'!$E2870)),'자료_미국심리'!$D2870,"")</f>
        <v/>
      </c>
      <c r="Q2886">
        <f>IF(AND(ISNUMBER('자료_미국심리'!$G2870),ISNUMBER('자료_미국심리'!$H2870)),'자료_미국심리'!$G2870,"")</f>
        <v/>
      </c>
    </row>
    <row r="2887">
      <c r="O2887">
        <f>IF(AND(ISNUMBER('자료_미국심리'!$A2871),ISNUMBER('자료_미국심리'!$B2871)),'자료_미국심리'!$A2871,"")</f>
        <v/>
      </c>
      <c r="P2887">
        <f>IF(AND(ISNUMBER('자료_미국심리'!$D2871),ISNUMBER('자료_미국심리'!$E2871)),'자료_미국심리'!$D2871,"")</f>
        <v/>
      </c>
      <c r="Q2887">
        <f>IF(AND(ISNUMBER('자료_미국심리'!$G2871),ISNUMBER('자료_미국심리'!$H2871)),'자료_미국심리'!$G2871,"")</f>
        <v/>
      </c>
    </row>
    <row r="2888">
      <c r="O2888">
        <f>IF(AND(ISNUMBER('자료_미국심리'!$A2872),ISNUMBER('자료_미국심리'!$B2872)),'자료_미국심리'!$A2872,"")</f>
        <v/>
      </c>
      <c r="P2888">
        <f>IF(AND(ISNUMBER('자료_미국심리'!$D2872),ISNUMBER('자료_미국심리'!$E2872)),'자료_미국심리'!$D2872,"")</f>
        <v/>
      </c>
      <c r="Q2888">
        <f>IF(AND(ISNUMBER('자료_미국심리'!$G2872),ISNUMBER('자료_미국심리'!$H2872)),'자료_미국심리'!$G2872,"")</f>
        <v/>
      </c>
    </row>
    <row r="2889">
      <c r="O2889">
        <f>IF(AND(ISNUMBER('자료_미국심리'!$A2873),ISNUMBER('자료_미국심리'!$B2873)),'자료_미국심리'!$A2873,"")</f>
        <v/>
      </c>
      <c r="P2889">
        <f>IF(AND(ISNUMBER('자료_미국심리'!$D2873),ISNUMBER('자료_미국심리'!$E2873)),'자료_미국심리'!$D2873,"")</f>
        <v/>
      </c>
      <c r="Q2889">
        <f>IF(AND(ISNUMBER('자료_미국심리'!$G2873),ISNUMBER('자료_미국심리'!$H2873)),'자료_미국심리'!$G2873,"")</f>
        <v/>
      </c>
    </row>
    <row r="2890">
      <c r="O2890">
        <f>IF(AND(ISNUMBER('자료_미국심리'!$A2874),ISNUMBER('자료_미국심리'!$B2874)),'자료_미국심리'!$A2874,"")</f>
        <v/>
      </c>
      <c r="P2890">
        <f>IF(AND(ISNUMBER('자료_미국심리'!$D2874),ISNUMBER('자료_미국심리'!$E2874)),'자료_미국심리'!$D2874,"")</f>
        <v/>
      </c>
      <c r="Q2890">
        <f>IF(AND(ISNUMBER('자료_미국심리'!$G2874),ISNUMBER('자료_미국심리'!$H2874)),'자료_미국심리'!$G2874,"")</f>
        <v/>
      </c>
    </row>
    <row r="2891">
      <c r="O2891">
        <f>IF(AND(ISNUMBER('자료_미국심리'!$A2875),ISNUMBER('자료_미국심리'!$B2875)),'자료_미국심리'!$A2875,"")</f>
        <v/>
      </c>
      <c r="P2891">
        <f>IF(AND(ISNUMBER('자료_미국심리'!$D2875),ISNUMBER('자료_미국심리'!$E2875)),'자료_미국심리'!$D2875,"")</f>
        <v/>
      </c>
      <c r="Q2891">
        <f>IF(AND(ISNUMBER('자료_미국심리'!$G2875),ISNUMBER('자료_미국심리'!$H2875)),'자료_미국심리'!$G2875,"")</f>
        <v/>
      </c>
    </row>
    <row r="2892">
      <c r="O2892">
        <f>IF(AND(ISNUMBER('자료_미국심리'!$A2876),ISNUMBER('자료_미국심리'!$B2876)),'자료_미국심리'!$A2876,"")</f>
        <v/>
      </c>
      <c r="P2892">
        <f>IF(AND(ISNUMBER('자료_미국심리'!$D2876),ISNUMBER('자료_미국심리'!$E2876)),'자료_미국심리'!$D2876,"")</f>
        <v/>
      </c>
      <c r="Q2892">
        <f>IF(AND(ISNUMBER('자료_미국심리'!$G2876),ISNUMBER('자료_미국심리'!$H2876)),'자료_미국심리'!$G2876,"")</f>
        <v/>
      </c>
    </row>
    <row r="2893">
      <c r="O2893">
        <f>IF(AND(ISNUMBER('자료_미국심리'!$A2877),ISNUMBER('자료_미국심리'!$B2877)),'자료_미국심리'!$A2877,"")</f>
        <v/>
      </c>
      <c r="P2893">
        <f>IF(AND(ISNUMBER('자료_미국심리'!$D2877),ISNUMBER('자료_미국심리'!$E2877)),'자료_미국심리'!$D2877,"")</f>
        <v/>
      </c>
      <c r="Q2893">
        <f>IF(AND(ISNUMBER('자료_미국심리'!$G2877),ISNUMBER('자료_미국심리'!$H2877)),'자료_미국심리'!$G2877,"")</f>
        <v/>
      </c>
    </row>
    <row r="2894">
      <c r="O2894">
        <f>IF(AND(ISNUMBER('자료_미국심리'!$A2878),ISNUMBER('자료_미국심리'!$B2878)),'자료_미국심리'!$A2878,"")</f>
        <v/>
      </c>
      <c r="P2894">
        <f>IF(AND(ISNUMBER('자료_미국심리'!$D2878),ISNUMBER('자료_미국심리'!$E2878)),'자료_미국심리'!$D2878,"")</f>
        <v/>
      </c>
      <c r="Q2894">
        <f>IF(AND(ISNUMBER('자료_미국심리'!$G2878),ISNUMBER('자료_미국심리'!$H2878)),'자료_미국심리'!$G2878,"")</f>
        <v/>
      </c>
    </row>
    <row r="2895">
      <c r="O2895">
        <f>IF(AND(ISNUMBER('자료_미국심리'!$A2879),ISNUMBER('자료_미국심리'!$B2879)),'자료_미국심리'!$A2879,"")</f>
        <v/>
      </c>
      <c r="P2895">
        <f>IF(AND(ISNUMBER('자료_미국심리'!$D2879),ISNUMBER('자료_미국심리'!$E2879)),'자료_미국심리'!$D2879,"")</f>
        <v/>
      </c>
      <c r="Q2895">
        <f>IF(AND(ISNUMBER('자료_미국심리'!$G2879),ISNUMBER('자료_미국심리'!$H2879)),'자료_미국심리'!$G2879,"")</f>
        <v/>
      </c>
    </row>
    <row r="2896">
      <c r="O2896">
        <f>IF(AND(ISNUMBER('자료_미국심리'!$A2880),ISNUMBER('자료_미국심리'!$B2880)),'자료_미국심리'!$A2880,"")</f>
        <v/>
      </c>
      <c r="P2896">
        <f>IF(AND(ISNUMBER('자료_미국심리'!$D2880),ISNUMBER('자료_미국심리'!$E2880)),'자료_미국심리'!$D2880,"")</f>
        <v/>
      </c>
      <c r="Q2896">
        <f>IF(AND(ISNUMBER('자료_미국심리'!$G2880),ISNUMBER('자료_미국심리'!$H2880)),'자료_미국심리'!$G2880,"")</f>
        <v/>
      </c>
    </row>
    <row r="2897">
      <c r="O2897">
        <f>IF(AND(ISNUMBER('자료_미국심리'!$A2881),ISNUMBER('자료_미국심리'!$B2881)),'자료_미국심리'!$A2881,"")</f>
        <v/>
      </c>
      <c r="P2897">
        <f>IF(AND(ISNUMBER('자료_미국심리'!$D2881),ISNUMBER('자료_미국심리'!$E2881)),'자료_미국심리'!$D2881,"")</f>
        <v/>
      </c>
      <c r="Q2897">
        <f>IF(AND(ISNUMBER('자료_미국심리'!$G2881),ISNUMBER('자료_미국심리'!$H2881)),'자료_미국심리'!$G2881,"")</f>
        <v/>
      </c>
    </row>
    <row r="2898">
      <c r="O2898">
        <f>IF(AND(ISNUMBER('자료_미국심리'!$A2882),ISNUMBER('자료_미국심리'!$B2882)),'자료_미국심리'!$A2882,"")</f>
        <v/>
      </c>
      <c r="P2898">
        <f>IF(AND(ISNUMBER('자료_미국심리'!$D2882),ISNUMBER('자료_미국심리'!$E2882)),'자료_미국심리'!$D2882,"")</f>
        <v/>
      </c>
      <c r="Q2898">
        <f>IF(AND(ISNUMBER('자료_미국심리'!$G2882),ISNUMBER('자료_미국심리'!$H2882)),'자료_미국심리'!$G2882,"")</f>
        <v/>
      </c>
    </row>
    <row r="2899">
      <c r="O2899">
        <f>IF(AND(ISNUMBER('자료_미국심리'!$A2883),ISNUMBER('자료_미국심리'!$B2883)),'자료_미국심리'!$A2883,"")</f>
        <v/>
      </c>
      <c r="P2899">
        <f>IF(AND(ISNUMBER('자료_미국심리'!$D2883),ISNUMBER('자료_미국심리'!$E2883)),'자료_미국심리'!$D2883,"")</f>
        <v/>
      </c>
      <c r="Q2899">
        <f>IF(AND(ISNUMBER('자료_미국심리'!$G2883),ISNUMBER('자료_미국심리'!$H2883)),'자료_미국심리'!$G2883,"")</f>
        <v/>
      </c>
    </row>
    <row r="2900">
      <c r="O2900">
        <f>IF(AND(ISNUMBER('자료_미국심리'!$A2884),ISNUMBER('자료_미국심리'!$B2884)),'자료_미국심리'!$A2884,"")</f>
        <v/>
      </c>
      <c r="P2900">
        <f>IF(AND(ISNUMBER('자료_미국심리'!$D2884),ISNUMBER('자료_미국심리'!$E2884)),'자료_미국심리'!$D2884,"")</f>
        <v/>
      </c>
      <c r="Q2900">
        <f>IF(AND(ISNUMBER('자료_미국심리'!$G2884),ISNUMBER('자료_미국심리'!$H2884)),'자료_미국심리'!$G2884,"")</f>
        <v/>
      </c>
    </row>
    <row r="2901">
      <c r="O2901">
        <f>IF(AND(ISNUMBER('자료_미국심리'!$A2885),ISNUMBER('자료_미국심리'!$B2885)),'자료_미국심리'!$A2885,"")</f>
        <v/>
      </c>
      <c r="P2901">
        <f>IF(AND(ISNUMBER('자료_미국심리'!$D2885),ISNUMBER('자료_미국심리'!$E2885)),'자료_미국심리'!$D2885,"")</f>
        <v/>
      </c>
      <c r="Q2901">
        <f>IF(AND(ISNUMBER('자료_미국심리'!$G2885),ISNUMBER('자료_미국심리'!$H2885)),'자료_미국심리'!$G2885,"")</f>
        <v/>
      </c>
    </row>
    <row r="2902">
      <c r="O2902">
        <f>IF(AND(ISNUMBER('자료_미국심리'!$A2886),ISNUMBER('자료_미국심리'!$B2886)),'자료_미국심리'!$A2886,"")</f>
        <v/>
      </c>
      <c r="P2902">
        <f>IF(AND(ISNUMBER('자료_미국심리'!$D2886),ISNUMBER('자료_미국심리'!$E2886)),'자료_미국심리'!$D2886,"")</f>
        <v/>
      </c>
      <c r="Q2902">
        <f>IF(AND(ISNUMBER('자료_미국심리'!$G2886),ISNUMBER('자료_미국심리'!$H2886)),'자료_미국심리'!$G2886,"")</f>
        <v/>
      </c>
    </row>
    <row r="2903">
      <c r="O2903">
        <f>IF(AND(ISNUMBER('자료_미국심리'!$A2887),ISNUMBER('자료_미국심리'!$B2887)),'자료_미국심리'!$A2887,"")</f>
        <v/>
      </c>
      <c r="P2903">
        <f>IF(AND(ISNUMBER('자료_미국심리'!$D2887),ISNUMBER('자료_미국심리'!$E2887)),'자료_미국심리'!$D2887,"")</f>
        <v/>
      </c>
      <c r="Q2903">
        <f>IF(AND(ISNUMBER('자료_미국심리'!$G2887),ISNUMBER('자료_미국심리'!$H2887)),'자료_미국심리'!$G2887,"")</f>
        <v/>
      </c>
    </row>
    <row r="2904">
      <c r="O2904">
        <f>IF(AND(ISNUMBER('자료_미국심리'!$A2888),ISNUMBER('자료_미국심리'!$B2888)),'자료_미국심리'!$A2888,"")</f>
        <v/>
      </c>
      <c r="P2904">
        <f>IF(AND(ISNUMBER('자료_미국심리'!$D2888),ISNUMBER('자료_미국심리'!$E2888)),'자료_미국심리'!$D2888,"")</f>
        <v/>
      </c>
      <c r="Q2904">
        <f>IF(AND(ISNUMBER('자료_미국심리'!$G2888),ISNUMBER('자료_미국심리'!$H2888)),'자료_미국심리'!$G2888,"")</f>
        <v/>
      </c>
    </row>
    <row r="2905">
      <c r="O2905">
        <f>IF(AND(ISNUMBER('자료_미국심리'!$A2889),ISNUMBER('자료_미국심리'!$B2889)),'자료_미국심리'!$A2889,"")</f>
        <v/>
      </c>
      <c r="P2905">
        <f>IF(AND(ISNUMBER('자료_미국심리'!$D2889),ISNUMBER('자료_미국심리'!$E2889)),'자료_미국심리'!$D2889,"")</f>
        <v/>
      </c>
      <c r="Q2905">
        <f>IF(AND(ISNUMBER('자료_미국심리'!$G2889),ISNUMBER('자료_미국심리'!$H2889)),'자료_미국심리'!$G2889,"")</f>
        <v/>
      </c>
    </row>
    <row r="2906">
      <c r="O2906">
        <f>IF(AND(ISNUMBER('자료_미국심리'!$A2890),ISNUMBER('자료_미국심리'!$B2890)),'자료_미국심리'!$A2890,"")</f>
        <v/>
      </c>
      <c r="P2906">
        <f>IF(AND(ISNUMBER('자료_미국심리'!$D2890),ISNUMBER('자료_미국심리'!$E2890)),'자료_미국심리'!$D2890,"")</f>
        <v/>
      </c>
      <c r="Q2906">
        <f>IF(AND(ISNUMBER('자료_미국심리'!$G2890),ISNUMBER('자료_미국심리'!$H2890)),'자료_미국심리'!$G2890,"")</f>
        <v/>
      </c>
    </row>
    <row r="2907">
      <c r="O2907">
        <f>IF(AND(ISNUMBER('자료_미국심리'!$A2891),ISNUMBER('자료_미국심리'!$B2891)),'자료_미국심리'!$A2891,"")</f>
        <v/>
      </c>
      <c r="P2907">
        <f>IF(AND(ISNUMBER('자료_미국심리'!$D2891),ISNUMBER('자료_미국심리'!$E2891)),'자료_미국심리'!$D2891,"")</f>
        <v/>
      </c>
      <c r="Q2907">
        <f>IF(AND(ISNUMBER('자료_미국심리'!$G2891),ISNUMBER('자료_미국심리'!$H2891)),'자료_미국심리'!$G2891,"")</f>
        <v/>
      </c>
    </row>
    <row r="2908">
      <c r="O2908">
        <f>IF(AND(ISNUMBER('자료_미국심리'!$A2892),ISNUMBER('자료_미국심리'!$B2892)),'자료_미국심리'!$A2892,"")</f>
        <v/>
      </c>
      <c r="P2908">
        <f>IF(AND(ISNUMBER('자료_미국심리'!$D2892),ISNUMBER('자료_미국심리'!$E2892)),'자료_미국심리'!$D2892,"")</f>
        <v/>
      </c>
      <c r="Q2908">
        <f>IF(AND(ISNUMBER('자료_미국심리'!$G2892),ISNUMBER('자료_미국심리'!$H2892)),'자료_미국심리'!$G2892,"")</f>
        <v/>
      </c>
    </row>
    <row r="2909">
      <c r="O2909">
        <f>IF(AND(ISNUMBER('자료_미국심리'!$A2893),ISNUMBER('자료_미국심리'!$B2893)),'자료_미국심리'!$A2893,"")</f>
        <v/>
      </c>
      <c r="P2909">
        <f>IF(AND(ISNUMBER('자료_미국심리'!$D2893),ISNUMBER('자료_미국심리'!$E2893)),'자료_미국심리'!$D2893,"")</f>
        <v/>
      </c>
      <c r="Q2909">
        <f>IF(AND(ISNUMBER('자료_미국심리'!$G2893),ISNUMBER('자료_미국심리'!$H2893)),'자료_미국심리'!$G2893,"")</f>
        <v/>
      </c>
    </row>
    <row r="2910">
      <c r="O2910">
        <f>IF(AND(ISNUMBER('자료_미국심리'!$A2894),ISNUMBER('자료_미국심리'!$B2894)),'자료_미국심리'!$A2894,"")</f>
        <v/>
      </c>
      <c r="P2910">
        <f>IF(AND(ISNUMBER('자료_미국심리'!$D2894),ISNUMBER('자료_미국심리'!$E2894)),'자료_미국심리'!$D2894,"")</f>
        <v/>
      </c>
      <c r="Q2910">
        <f>IF(AND(ISNUMBER('자료_미국심리'!$G2894),ISNUMBER('자료_미국심리'!$H2894)),'자료_미국심리'!$G2894,"")</f>
        <v/>
      </c>
    </row>
    <row r="2911">
      <c r="O2911">
        <f>IF(AND(ISNUMBER('자료_미국심리'!$A2895),ISNUMBER('자료_미국심리'!$B2895)),'자료_미국심리'!$A2895,"")</f>
        <v/>
      </c>
      <c r="P2911">
        <f>IF(AND(ISNUMBER('자료_미국심리'!$D2895),ISNUMBER('자료_미국심리'!$E2895)),'자료_미국심리'!$D2895,"")</f>
        <v/>
      </c>
      <c r="Q2911">
        <f>IF(AND(ISNUMBER('자료_미국심리'!$G2895),ISNUMBER('자료_미국심리'!$H2895)),'자료_미국심리'!$G2895,"")</f>
        <v/>
      </c>
    </row>
    <row r="2912">
      <c r="O2912">
        <f>IF(AND(ISNUMBER('자료_미국심리'!$A2896),ISNUMBER('자료_미국심리'!$B2896)),'자료_미국심리'!$A2896,"")</f>
        <v/>
      </c>
      <c r="P2912">
        <f>IF(AND(ISNUMBER('자료_미국심리'!$D2896),ISNUMBER('자료_미국심리'!$E2896)),'자료_미국심리'!$D2896,"")</f>
        <v/>
      </c>
      <c r="Q2912">
        <f>IF(AND(ISNUMBER('자료_미국심리'!$G2896),ISNUMBER('자료_미국심리'!$H2896)),'자료_미국심리'!$G2896,"")</f>
        <v/>
      </c>
    </row>
    <row r="2913">
      <c r="O2913">
        <f>IF(AND(ISNUMBER('자료_미국심리'!$A2897),ISNUMBER('자료_미국심리'!$B2897)),'자료_미국심리'!$A2897,"")</f>
        <v/>
      </c>
      <c r="P2913">
        <f>IF(AND(ISNUMBER('자료_미국심리'!$D2897),ISNUMBER('자료_미국심리'!$E2897)),'자료_미국심리'!$D2897,"")</f>
        <v/>
      </c>
      <c r="Q2913">
        <f>IF(AND(ISNUMBER('자료_미국심리'!$G2897),ISNUMBER('자료_미국심리'!$H2897)),'자료_미국심리'!$G2897,"")</f>
        <v/>
      </c>
    </row>
    <row r="2914">
      <c r="O2914">
        <f>IF(AND(ISNUMBER('자료_미국심리'!$A2898),ISNUMBER('자료_미국심리'!$B2898)),'자료_미국심리'!$A2898,"")</f>
        <v/>
      </c>
      <c r="P2914">
        <f>IF(AND(ISNUMBER('자료_미국심리'!$D2898),ISNUMBER('자료_미국심리'!$E2898)),'자료_미국심리'!$D2898,"")</f>
        <v/>
      </c>
      <c r="Q2914">
        <f>IF(AND(ISNUMBER('자료_미국심리'!$G2898),ISNUMBER('자료_미국심리'!$H2898)),'자료_미국심리'!$G2898,"")</f>
        <v/>
      </c>
    </row>
    <row r="2915">
      <c r="O2915">
        <f>IF(AND(ISNUMBER('자료_미국심리'!$A2899),ISNUMBER('자료_미국심리'!$B2899)),'자료_미국심리'!$A2899,"")</f>
        <v/>
      </c>
      <c r="P2915">
        <f>IF(AND(ISNUMBER('자료_미국심리'!$D2899),ISNUMBER('자료_미국심리'!$E2899)),'자료_미국심리'!$D2899,"")</f>
        <v/>
      </c>
      <c r="Q2915">
        <f>IF(AND(ISNUMBER('자료_미국심리'!$G2899),ISNUMBER('자료_미국심리'!$H2899)),'자료_미국심리'!$G2899,"")</f>
        <v/>
      </c>
    </row>
    <row r="2916">
      <c r="O2916">
        <f>IF(AND(ISNUMBER('자료_미국심리'!$A2900),ISNUMBER('자료_미국심리'!$B2900)),'자료_미국심리'!$A2900,"")</f>
        <v/>
      </c>
      <c r="P2916">
        <f>IF(AND(ISNUMBER('자료_미국심리'!$D2900),ISNUMBER('자료_미국심리'!$E2900)),'자료_미국심리'!$D2900,"")</f>
        <v/>
      </c>
      <c r="Q2916">
        <f>IF(AND(ISNUMBER('자료_미국심리'!$G2900),ISNUMBER('자료_미국심리'!$H2900)),'자료_미국심리'!$G2900,"")</f>
        <v/>
      </c>
    </row>
    <row r="2917">
      <c r="O2917">
        <f>IF(AND(ISNUMBER('자료_미국심리'!$A2901),ISNUMBER('자료_미국심리'!$B2901)),'자료_미국심리'!$A2901,"")</f>
        <v/>
      </c>
      <c r="P2917">
        <f>IF(AND(ISNUMBER('자료_미국심리'!$D2901),ISNUMBER('자료_미국심리'!$E2901)),'자료_미국심리'!$D2901,"")</f>
        <v/>
      </c>
      <c r="Q2917">
        <f>IF(AND(ISNUMBER('자료_미국심리'!$G2901),ISNUMBER('자료_미국심리'!$H2901)),'자료_미국심리'!$G2901,"")</f>
        <v/>
      </c>
    </row>
    <row r="2918">
      <c r="O2918">
        <f>IF(AND(ISNUMBER('자료_미국심리'!$A2902),ISNUMBER('자료_미국심리'!$B2902)),'자료_미국심리'!$A2902,"")</f>
        <v/>
      </c>
      <c r="P2918">
        <f>IF(AND(ISNUMBER('자료_미국심리'!$D2902),ISNUMBER('자료_미국심리'!$E2902)),'자료_미국심리'!$D2902,"")</f>
        <v/>
      </c>
      <c r="Q2918">
        <f>IF(AND(ISNUMBER('자료_미국심리'!$G2902),ISNUMBER('자료_미국심리'!$H2902)),'자료_미국심리'!$G2902,"")</f>
        <v/>
      </c>
    </row>
    <row r="2919">
      <c r="O2919">
        <f>IF(AND(ISNUMBER('자료_미국심리'!$A2903),ISNUMBER('자료_미국심리'!$B2903)),'자료_미국심리'!$A2903,"")</f>
        <v/>
      </c>
      <c r="P2919">
        <f>IF(AND(ISNUMBER('자료_미국심리'!$D2903),ISNUMBER('자료_미국심리'!$E2903)),'자료_미국심리'!$D2903,"")</f>
        <v/>
      </c>
      <c r="Q2919">
        <f>IF(AND(ISNUMBER('자료_미국심리'!$G2903),ISNUMBER('자료_미국심리'!$H2903)),'자료_미국심리'!$G2903,"")</f>
        <v/>
      </c>
    </row>
    <row r="2920">
      <c r="O2920">
        <f>IF(AND(ISNUMBER('자료_미국심리'!$A2904),ISNUMBER('자료_미국심리'!$B2904)),'자료_미국심리'!$A2904,"")</f>
        <v/>
      </c>
      <c r="P2920">
        <f>IF(AND(ISNUMBER('자료_미국심리'!$D2904),ISNUMBER('자료_미국심리'!$E2904)),'자료_미국심리'!$D2904,"")</f>
        <v/>
      </c>
      <c r="Q2920">
        <f>IF(AND(ISNUMBER('자료_미국심리'!$G2904),ISNUMBER('자료_미국심리'!$H2904)),'자료_미국심리'!$G2904,"")</f>
        <v/>
      </c>
    </row>
    <row r="2921">
      <c r="O2921">
        <f>IF(AND(ISNUMBER('자료_미국심리'!$A2905),ISNUMBER('자료_미국심리'!$B2905)),'자료_미국심리'!$A2905,"")</f>
        <v/>
      </c>
      <c r="P2921">
        <f>IF(AND(ISNUMBER('자료_미국심리'!$D2905),ISNUMBER('자료_미국심리'!$E2905)),'자료_미국심리'!$D2905,"")</f>
        <v/>
      </c>
      <c r="Q2921">
        <f>IF(AND(ISNUMBER('자료_미국심리'!$G2905),ISNUMBER('자료_미국심리'!$H2905)),'자료_미국심리'!$G2905,"")</f>
        <v/>
      </c>
    </row>
    <row r="2922">
      <c r="O2922">
        <f>IF(AND(ISNUMBER('자료_미국심리'!$A2906),ISNUMBER('자료_미국심리'!$B2906)),'자료_미국심리'!$A2906,"")</f>
        <v/>
      </c>
      <c r="P2922">
        <f>IF(AND(ISNUMBER('자료_미국심리'!$D2906),ISNUMBER('자료_미국심리'!$E2906)),'자료_미국심리'!$D2906,"")</f>
        <v/>
      </c>
      <c r="Q2922">
        <f>IF(AND(ISNUMBER('자료_미국심리'!$G2906),ISNUMBER('자료_미국심리'!$H2906)),'자료_미국심리'!$G2906,"")</f>
        <v/>
      </c>
    </row>
    <row r="2923">
      <c r="O2923">
        <f>IF(AND(ISNUMBER('자료_미국심리'!$A2907),ISNUMBER('자료_미국심리'!$B2907)),'자료_미국심리'!$A2907,"")</f>
        <v/>
      </c>
      <c r="P2923">
        <f>IF(AND(ISNUMBER('자료_미국심리'!$D2907),ISNUMBER('자료_미국심리'!$E2907)),'자료_미국심리'!$D2907,"")</f>
        <v/>
      </c>
      <c r="Q2923">
        <f>IF(AND(ISNUMBER('자료_미국심리'!$G2907),ISNUMBER('자료_미국심리'!$H2907)),'자료_미국심리'!$G2907,"")</f>
        <v/>
      </c>
    </row>
    <row r="2924">
      <c r="O2924">
        <f>IF(AND(ISNUMBER('자료_미국심리'!$A2908),ISNUMBER('자료_미국심리'!$B2908)),'자료_미국심리'!$A2908,"")</f>
        <v/>
      </c>
      <c r="P2924">
        <f>IF(AND(ISNUMBER('자료_미국심리'!$D2908),ISNUMBER('자료_미국심리'!$E2908)),'자료_미국심리'!$D2908,"")</f>
        <v/>
      </c>
      <c r="Q2924">
        <f>IF(AND(ISNUMBER('자료_미국심리'!$G2908),ISNUMBER('자료_미국심리'!$H2908)),'자료_미국심리'!$G2908,"")</f>
        <v/>
      </c>
    </row>
    <row r="2925">
      <c r="O2925">
        <f>IF(AND(ISNUMBER('자료_미국심리'!$A2909),ISNUMBER('자료_미국심리'!$B2909)),'자료_미국심리'!$A2909,"")</f>
        <v/>
      </c>
      <c r="P2925">
        <f>IF(AND(ISNUMBER('자료_미국심리'!$D2909),ISNUMBER('자료_미국심리'!$E2909)),'자료_미국심리'!$D2909,"")</f>
        <v/>
      </c>
      <c r="Q2925">
        <f>IF(AND(ISNUMBER('자료_미국심리'!$G2909),ISNUMBER('자료_미국심리'!$H2909)),'자료_미국심리'!$G2909,"")</f>
        <v/>
      </c>
    </row>
    <row r="2926">
      <c r="O2926">
        <f>IF(AND(ISNUMBER('자료_미국심리'!$A2910),ISNUMBER('자료_미국심리'!$B2910)),'자료_미국심리'!$A2910,"")</f>
        <v/>
      </c>
      <c r="P2926">
        <f>IF(AND(ISNUMBER('자료_미국심리'!$D2910),ISNUMBER('자료_미국심리'!$E2910)),'자료_미국심리'!$D2910,"")</f>
        <v/>
      </c>
      <c r="Q2926">
        <f>IF(AND(ISNUMBER('자료_미국심리'!$G2910),ISNUMBER('자료_미국심리'!$H2910)),'자료_미국심리'!$G2910,"")</f>
        <v/>
      </c>
    </row>
    <row r="2927">
      <c r="O2927">
        <f>IF(AND(ISNUMBER('자료_미국심리'!$A2911),ISNUMBER('자료_미국심리'!$B2911)),'자료_미국심리'!$A2911,"")</f>
        <v/>
      </c>
      <c r="P2927">
        <f>IF(AND(ISNUMBER('자료_미국심리'!$D2911),ISNUMBER('자료_미국심리'!$E2911)),'자료_미국심리'!$D2911,"")</f>
        <v/>
      </c>
      <c r="Q2927">
        <f>IF(AND(ISNUMBER('자료_미국심리'!$G2911),ISNUMBER('자료_미국심리'!$H2911)),'자료_미국심리'!$G2911,"")</f>
        <v/>
      </c>
    </row>
    <row r="2928">
      <c r="O2928">
        <f>IF(AND(ISNUMBER('자료_미국심리'!$A2912),ISNUMBER('자료_미국심리'!$B2912)),'자료_미국심리'!$A2912,"")</f>
        <v/>
      </c>
      <c r="P2928">
        <f>IF(AND(ISNUMBER('자료_미국심리'!$D2912),ISNUMBER('자료_미국심리'!$E2912)),'자료_미국심리'!$D2912,"")</f>
        <v/>
      </c>
      <c r="Q2928">
        <f>IF(AND(ISNUMBER('자료_미국심리'!$G2912),ISNUMBER('자료_미국심리'!$H2912)),'자료_미국심리'!$G2912,"")</f>
        <v/>
      </c>
    </row>
    <row r="2929">
      <c r="O2929">
        <f>IF(AND(ISNUMBER('자료_미국심리'!$A2913),ISNUMBER('자료_미국심리'!$B2913)),'자료_미국심리'!$A2913,"")</f>
        <v/>
      </c>
      <c r="P2929">
        <f>IF(AND(ISNUMBER('자료_미국심리'!$D2913),ISNUMBER('자료_미국심리'!$E2913)),'자료_미국심리'!$D2913,"")</f>
        <v/>
      </c>
      <c r="Q2929">
        <f>IF(AND(ISNUMBER('자료_미국심리'!$G2913),ISNUMBER('자료_미국심리'!$H2913)),'자료_미국심리'!$G2913,"")</f>
        <v/>
      </c>
    </row>
    <row r="2930">
      <c r="O2930">
        <f>IF(AND(ISNUMBER('자료_미국심리'!$A2914),ISNUMBER('자료_미국심리'!$B2914)),'자료_미국심리'!$A2914,"")</f>
        <v/>
      </c>
      <c r="P2930">
        <f>IF(AND(ISNUMBER('자료_미국심리'!$D2914),ISNUMBER('자료_미국심리'!$E2914)),'자료_미국심리'!$D2914,"")</f>
        <v/>
      </c>
      <c r="Q2930">
        <f>IF(AND(ISNUMBER('자료_미국심리'!$G2914),ISNUMBER('자료_미국심리'!$H2914)),'자료_미국심리'!$G2914,"")</f>
        <v/>
      </c>
    </row>
    <row r="2931">
      <c r="O2931">
        <f>IF(AND(ISNUMBER('자료_미국심리'!$A2915),ISNUMBER('자료_미국심리'!$B2915)),'자료_미국심리'!$A2915,"")</f>
        <v/>
      </c>
      <c r="P2931">
        <f>IF(AND(ISNUMBER('자료_미국심리'!$D2915),ISNUMBER('자료_미국심리'!$E2915)),'자료_미국심리'!$D2915,"")</f>
        <v/>
      </c>
      <c r="Q2931">
        <f>IF(AND(ISNUMBER('자료_미국심리'!$G2915),ISNUMBER('자료_미국심리'!$H2915)),'자료_미국심리'!$G2915,"")</f>
        <v/>
      </c>
    </row>
    <row r="2932">
      <c r="O2932">
        <f>IF(AND(ISNUMBER('자료_미국심리'!$A2916),ISNUMBER('자료_미국심리'!$B2916)),'자료_미국심리'!$A2916,"")</f>
        <v/>
      </c>
      <c r="P2932">
        <f>IF(AND(ISNUMBER('자료_미국심리'!$D2916),ISNUMBER('자료_미국심리'!$E2916)),'자료_미국심리'!$D2916,"")</f>
        <v/>
      </c>
      <c r="Q2932">
        <f>IF(AND(ISNUMBER('자료_미국심리'!$G2916),ISNUMBER('자료_미국심리'!$H2916)),'자료_미국심리'!$G2916,"")</f>
        <v/>
      </c>
    </row>
    <row r="2933">
      <c r="O2933">
        <f>IF(AND(ISNUMBER('자료_미국심리'!$A2917),ISNUMBER('자료_미국심리'!$B2917)),'자료_미국심리'!$A2917,"")</f>
        <v/>
      </c>
      <c r="P2933">
        <f>IF(AND(ISNUMBER('자료_미국심리'!$D2917),ISNUMBER('자료_미국심리'!$E2917)),'자료_미국심리'!$D2917,"")</f>
        <v/>
      </c>
      <c r="Q2933">
        <f>IF(AND(ISNUMBER('자료_미국심리'!$G2917),ISNUMBER('자료_미국심리'!$H2917)),'자료_미국심리'!$G2917,"")</f>
        <v/>
      </c>
    </row>
    <row r="2934">
      <c r="O2934">
        <f>IF(AND(ISNUMBER('자료_미국심리'!$A2918),ISNUMBER('자료_미국심리'!$B2918)),'자료_미국심리'!$A2918,"")</f>
        <v/>
      </c>
      <c r="P2934">
        <f>IF(AND(ISNUMBER('자료_미국심리'!$D2918),ISNUMBER('자료_미국심리'!$E2918)),'자료_미국심리'!$D2918,"")</f>
        <v/>
      </c>
      <c r="Q2934">
        <f>IF(AND(ISNUMBER('자료_미국심리'!$G2918),ISNUMBER('자료_미국심리'!$H2918)),'자료_미국심리'!$G2918,"")</f>
        <v/>
      </c>
    </row>
    <row r="2935">
      <c r="O2935">
        <f>IF(AND(ISNUMBER('자료_미국심리'!$A2919),ISNUMBER('자료_미국심리'!$B2919)),'자료_미국심리'!$A2919,"")</f>
        <v/>
      </c>
      <c r="P2935">
        <f>IF(AND(ISNUMBER('자료_미국심리'!$D2919),ISNUMBER('자료_미국심리'!$E2919)),'자료_미국심리'!$D2919,"")</f>
        <v/>
      </c>
      <c r="Q2935">
        <f>IF(AND(ISNUMBER('자료_미국심리'!$G2919),ISNUMBER('자료_미국심리'!$H2919)),'자료_미국심리'!$G2919,"")</f>
        <v/>
      </c>
    </row>
    <row r="2936">
      <c r="O2936">
        <f>IF(AND(ISNUMBER('자료_미국심리'!$A2920),ISNUMBER('자료_미국심리'!$B2920)),'자료_미국심리'!$A2920,"")</f>
        <v/>
      </c>
      <c r="P2936">
        <f>IF(AND(ISNUMBER('자료_미국심리'!$D2920),ISNUMBER('자료_미국심리'!$E2920)),'자료_미국심리'!$D2920,"")</f>
        <v/>
      </c>
      <c r="Q2936">
        <f>IF(AND(ISNUMBER('자료_미국심리'!$G2920),ISNUMBER('자료_미국심리'!$H2920)),'자료_미국심리'!$G2920,"")</f>
        <v/>
      </c>
    </row>
    <row r="2937">
      <c r="O2937">
        <f>IF(AND(ISNUMBER('자료_미국심리'!$A2921),ISNUMBER('자료_미국심리'!$B2921)),'자료_미국심리'!$A2921,"")</f>
        <v/>
      </c>
      <c r="P2937">
        <f>IF(AND(ISNUMBER('자료_미국심리'!$D2921),ISNUMBER('자료_미국심리'!$E2921)),'자료_미국심리'!$D2921,"")</f>
        <v/>
      </c>
      <c r="Q2937">
        <f>IF(AND(ISNUMBER('자료_미국심리'!$G2921),ISNUMBER('자료_미국심리'!$H2921)),'자료_미국심리'!$G2921,"")</f>
        <v/>
      </c>
    </row>
    <row r="2938">
      <c r="O2938">
        <f>IF(AND(ISNUMBER('자료_미국심리'!$A2922),ISNUMBER('자료_미국심리'!$B2922)),'자료_미국심리'!$A2922,"")</f>
        <v/>
      </c>
      <c r="P2938">
        <f>IF(AND(ISNUMBER('자료_미국심리'!$D2922),ISNUMBER('자료_미국심리'!$E2922)),'자료_미국심리'!$D2922,"")</f>
        <v/>
      </c>
      <c r="Q2938">
        <f>IF(AND(ISNUMBER('자료_미국심리'!$G2922),ISNUMBER('자료_미국심리'!$H2922)),'자료_미국심리'!$G2922,"")</f>
        <v/>
      </c>
    </row>
    <row r="2939">
      <c r="O2939">
        <f>IF(AND(ISNUMBER('자료_미국심리'!$A2923),ISNUMBER('자료_미국심리'!$B2923)),'자료_미국심리'!$A2923,"")</f>
        <v/>
      </c>
      <c r="P2939">
        <f>IF(AND(ISNUMBER('자료_미국심리'!$D2923),ISNUMBER('자료_미국심리'!$E2923)),'자료_미국심리'!$D2923,"")</f>
        <v/>
      </c>
      <c r="Q2939">
        <f>IF(AND(ISNUMBER('자료_미국심리'!$G2923),ISNUMBER('자료_미국심리'!$H2923)),'자료_미국심리'!$G2923,"")</f>
        <v/>
      </c>
    </row>
    <row r="2940">
      <c r="O2940">
        <f>IF(AND(ISNUMBER('자료_미국심리'!$A2924),ISNUMBER('자료_미국심리'!$B2924)),'자료_미국심리'!$A2924,"")</f>
        <v/>
      </c>
      <c r="P2940">
        <f>IF(AND(ISNUMBER('자료_미국심리'!$D2924),ISNUMBER('자료_미국심리'!$E2924)),'자료_미국심리'!$D2924,"")</f>
        <v/>
      </c>
      <c r="Q2940">
        <f>IF(AND(ISNUMBER('자료_미국심리'!$G2924),ISNUMBER('자료_미국심리'!$H2924)),'자료_미국심리'!$G2924,"")</f>
        <v/>
      </c>
    </row>
    <row r="2941">
      <c r="O2941">
        <f>IF(AND(ISNUMBER('자료_미국심리'!$A2925),ISNUMBER('자료_미국심리'!$B2925)),'자료_미국심리'!$A2925,"")</f>
        <v/>
      </c>
      <c r="P2941">
        <f>IF(AND(ISNUMBER('자료_미국심리'!$D2925),ISNUMBER('자료_미국심리'!$E2925)),'자료_미국심리'!$D2925,"")</f>
        <v/>
      </c>
      <c r="Q2941">
        <f>IF(AND(ISNUMBER('자료_미국심리'!$G2925),ISNUMBER('자료_미국심리'!$H2925)),'자료_미국심리'!$G2925,"")</f>
        <v/>
      </c>
    </row>
    <row r="2942">
      <c r="O2942">
        <f>IF(AND(ISNUMBER('자료_미국심리'!$A2926),ISNUMBER('자료_미국심리'!$B2926)),'자료_미국심리'!$A2926,"")</f>
        <v/>
      </c>
      <c r="P2942">
        <f>IF(AND(ISNUMBER('자료_미국심리'!$D2926),ISNUMBER('자료_미국심리'!$E2926)),'자료_미국심리'!$D2926,"")</f>
        <v/>
      </c>
      <c r="Q2942">
        <f>IF(AND(ISNUMBER('자료_미국심리'!$G2926),ISNUMBER('자료_미국심리'!$H2926)),'자료_미국심리'!$G2926,"")</f>
        <v/>
      </c>
    </row>
    <row r="2943">
      <c r="O2943">
        <f>IF(AND(ISNUMBER('자료_미국심리'!$A2927),ISNUMBER('자료_미국심리'!$B2927)),'자료_미국심리'!$A2927,"")</f>
        <v/>
      </c>
      <c r="P2943">
        <f>IF(AND(ISNUMBER('자료_미국심리'!$D2927),ISNUMBER('자료_미국심리'!$E2927)),'자료_미국심리'!$D2927,"")</f>
        <v/>
      </c>
      <c r="Q2943">
        <f>IF(AND(ISNUMBER('자료_미국심리'!$G2927),ISNUMBER('자료_미국심리'!$H2927)),'자료_미국심리'!$G2927,"")</f>
        <v/>
      </c>
    </row>
    <row r="2944">
      <c r="O2944">
        <f>IF(AND(ISNUMBER('자료_미국심리'!$A2928),ISNUMBER('자료_미국심리'!$B2928)),'자료_미국심리'!$A2928,"")</f>
        <v/>
      </c>
      <c r="P2944">
        <f>IF(AND(ISNUMBER('자료_미국심리'!$D2928),ISNUMBER('자료_미국심리'!$E2928)),'자료_미국심리'!$D2928,"")</f>
        <v/>
      </c>
      <c r="Q2944">
        <f>IF(AND(ISNUMBER('자료_미국심리'!$G2928),ISNUMBER('자료_미국심리'!$H2928)),'자료_미국심리'!$G2928,"")</f>
        <v/>
      </c>
    </row>
    <row r="2945">
      <c r="O2945">
        <f>IF(AND(ISNUMBER('자료_미국심리'!$A2929),ISNUMBER('자료_미국심리'!$B2929)),'자료_미국심리'!$A2929,"")</f>
        <v/>
      </c>
      <c r="P2945">
        <f>IF(AND(ISNUMBER('자료_미국심리'!$D2929),ISNUMBER('자료_미국심리'!$E2929)),'자료_미국심리'!$D2929,"")</f>
        <v/>
      </c>
      <c r="Q2945">
        <f>IF(AND(ISNUMBER('자료_미국심리'!$G2929),ISNUMBER('자료_미국심리'!$H2929)),'자료_미국심리'!$G2929,"")</f>
        <v/>
      </c>
    </row>
    <row r="2946">
      <c r="O2946">
        <f>IF(AND(ISNUMBER('자료_미국심리'!$A2930),ISNUMBER('자료_미국심리'!$B2930)),'자료_미국심리'!$A2930,"")</f>
        <v/>
      </c>
      <c r="P2946">
        <f>IF(AND(ISNUMBER('자료_미국심리'!$D2930),ISNUMBER('자료_미국심리'!$E2930)),'자료_미국심리'!$D2930,"")</f>
        <v/>
      </c>
      <c r="Q2946">
        <f>IF(AND(ISNUMBER('자료_미국심리'!$G2930),ISNUMBER('자료_미국심리'!$H2930)),'자료_미국심리'!$G2930,"")</f>
        <v/>
      </c>
    </row>
    <row r="2947">
      <c r="O2947">
        <f>IF(AND(ISNUMBER('자료_미국심리'!$A2931),ISNUMBER('자료_미국심리'!$B2931)),'자료_미국심리'!$A2931,"")</f>
        <v/>
      </c>
      <c r="P2947">
        <f>IF(AND(ISNUMBER('자료_미국심리'!$D2931),ISNUMBER('자료_미국심리'!$E2931)),'자료_미국심리'!$D2931,"")</f>
        <v/>
      </c>
      <c r="Q2947">
        <f>IF(AND(ISNUMBER('자료_미국심리'!$G2931),ISNUMBER('자료_미국심리'!$H2931)),'자료_미국심리'!$G2931,"")</f>
        <v/>
      </c>
    </row>
    <row r="2948">
      <c r="O2948">
        <f>IF(AND(ISNUMBER('자료_미국심리'!$A2932),ISNUMBER('자료_미국심리'!$B2932)),'자료_미국심리'!$A2932,"")</f>
        <v/>
      </c>
      <c r="P2948">
        <f>IF(AND(ISNUMBER('자료_미국심리'!$D2932),ISNUMBER('자료_미국심리'!$E2932)),'자료_미국심리'!$D2932,"")</f>
        <v/>
      </c>
      <c r="Q2948">
        <f>IF(AND(ISNUMBER('자료_미국심리'!$G2932),ISNUMBER('자료_미국심리'!$H2932)),'자료_미국심리'!$G2932,"")</f>
        <v/>
      </c>
    </row>
    <row r="2949">
      <c r="O2949">
        <f>IF(AND(ISNUMBER('자료_미국심리'!$A2933),ISNUMBER('자료_미국심리'!$B2933)),'자료_미국심리'!$A2933,"")</f>
        <v/>
      </c>
      <c r="P2949">
        <f>IF(AND(ISNUMBER('자료_미국심리'!$D2933),ISNUMBER('자료_미국심리'!$E2933)),'자료_미국심리'!$D2933,"")</f>
        <v/>
      </c>
      <c r="Q2949">
        <f>IF(AND(ISNUMBER('자료_미국심리'!$G2933),ISNUMBER('자료_미국심리'!$H2933)),'자료_미국심리'!$G2933,"")</f>
        <v/>
      </c>
    </row>
    <row r="2950">
      <c r="O2950">
        <f>IF(AND(ISNUMBER('자료_미국심리'!$A2934),ISNUMBER('자료_미국심리'!$B2934)),'자료_미국심리'!$A2934,"")</f>
        <v/>
      </c>
      <c r="P2950">
        <f>IF(AND(ISNUMBER('자료_미국심리'!$D2934),ISNUMBER('자료_미국심리'!$E2934)),'자료_미국심리'!$D2934,"")</f>
        <v/>
      </c>
      <c r="Q2950">
        <f>IF(AND(ISNUMBER('자료_미국심리'!$G2934),ISNUMBER('자료_미국심리'!$H2934)),'자료_미국심리'!$G2934,"")</f>
        <v/>
      </c>
    </row>
    <row r="2951">
      <c r="O2951">
        <f>IF(AND(ISNUMBER('자료_미국심리'!$A2935),ISNUMBER('자료_미국심리'!$B2935)),'자료_미국심리'!$A2935,"")</f>
        <v/>
      </c>
      <c r="P2951">
        <f>IF(AND(ISNUMBER('자료_미국심리'!$D2935),ISNUMBER('자료_미국심리'!$E2935)),'자료_미국심리'!$D2935,"")</f>
        <v/>
      </c>
      <c r="Q2951">
        <f>IF(AND(ISNUMBER('자료_미국심리'!$G2935),ISNUMBER('자료_미국심리'!$H2935)),'자료_미국심리'!$G2935,"")</f>
        <v/>
      </c>
    </row>
    <row r="2952">
      <c r="O2952">
        <f>IF(AND(ISNUMBER('자료_미국심리'!$A2936),ISNUMBER('자료_미국심리'!$B2936)),'자료_미국심리'!$A2936,"")</f>
        <v/>
      </c>
      <c r="P2952">
        <f>IF(AND(ISNUMBER('자료_미국심리'!$D2936),ISNUMBER('자료_미국심리'!$E2936)),'자료_미국심리'!$D2936,"")</f>
        <v/>
      </c>
      <c r="Q2952">
        <f>IF(AND(ISNUMBER('자료_미국심리'!$G2936),ISNUMBER('자료_미국심리'!$H2936)),'자료_미국심리'!$G2936,"")</f>
        <v/>
      </c>
    </row>
    <row r="2953">
      <c r="O2953">
        <f>IF(AND(ISNUMBER('자료_미국심리'!$A2937),ISNUMBER('자료_미국심리'!$B2937)),'자료_미국심리'!$A2937,"")</f>
        <v/>
      </c>
      <c r="P2953">
        <f>IF(AND(ISNUMBER('자료_미국심리'!$D2937),ISNUMBER('자료_미국심리'!$E2937)),'자료_미국심리'!$D2937,"")</f>
        <v/>
      </c>
      <c r="Q2953">
        <f>IF(AND(ISNUMBER('자료_미국심리'!$G2937),ISNUMBER('자료_미국심리'!$H2937)),'자료_미국심리'!$G2937,"")</f>
        <v/>
      </c>
    </row>
    <row r="2954">
      <c r="O2954">
        <f>IF(AND(ISNUMBER('자료_미국심리'!$A2938),ISNUMBER('자료_미국심리'!$B2938)),'자료_미국심리'!$A2938,"")</f>
        <v/>
      </c>
      <c r="P2954">
        <f>IF(AND(ISNUMBER('자료_미국심리'!$D2938),ISNUMBER('자료_미국심리'!$E2938)),'자료_미국심리'!$D2938,"")</f>
        <v/>
      </c>
      <c r="Q2954">
        <f>IF(AND(ISNUMBER('자료_미국심리'!$G2938),ISNUMBER('자료_미국심리'!$H2938)),'자료_미국심리'!$G2938,"")</f>
        <v/>
      </c>
    </row>
    <row r="2955">
      <c r="O2955">
        <f>IF(AND(ISNUMBER('자료_미국심리'!$A2939),ISNUMBER('자료_미국심리'!$B2939)),'자료_미국심리'!$A2939,"")</f>
        <v/>
      </c>
      <c r="P2955">
        <f>IF(AND(ISNUMBER('자료_미국심리'!$D2939),ISNUMBER('자료_미국심리'!$E2939)),'자료_미국심리'!$D2939,"")</f>
        <v/>
      </c>
      <c r="Q2955">
        <f>IF(AND(ISNUMBER('자료_미국심리'!$G2939),ISNUMBER('자료_미국심리'!$H2939)),'자료_미국심리'!$G2939,"")</f>
        <v/>
      </c>
    </row>
    <row r="2956">
      <c r="O2956">
        <f>IF(AND(ISNUMBER('자료_미국심리'!$A2940),ISNUMBER('자료_미국심리'!$B2940)),'자료_미국심리'!$A2940,"")</f>
        <v/>
      </c>
      <c r="P2956">
        <f>IF(AND(ISNUMBER('자료_미국심리'!$D2940),ISNUMBER('자료_미국심리'!$E2940)),'자료_미국심리'!$D2940,"")</f>
        <v/>
      </c>
      <c r="Q2956">
        <f>IF(AND(ISNUMBER('자료_미국심리'!$G2940),ISNUMBER('자료_미국심리'!$H2940)),'자료_미국심리'!$G2940,"")</f>
        <v/>
      </c>
    </row>
    <row r="2957">
      <c r="O2957">
        <f>IF(AND(ISNUMBER('자료_미국심리'!$A2941),ISNUMBER('자료_미국심리'!$B2941)),'자료_미국심리'!$A2941,"")</f>
        <v/>
      </c>
      <c r="P2957">
        <f>IF(AND(ISNUMBER('자료_미국심리'!$D2941),ISNUMBER('자료_미국심리'!$E2941)),'자료_미국심리'!$D2941,"")</f>
        <v/>
      </c>
      <c r="Q2957">
        <f>IF(AND(ISNUMBER('자료_미국심리'!$G2941),ISNUMBER('자료_미국심리'!$H2941)),'자료_미국심리'!$G2941,"")</f>
        <v/>
      </c>
    </row>
    <row r="2958">
      <c r="O2958">
        <f>IF(AND(ISNUMBER('자료_미국심리'!$A2942),ISNUMBER('자료_미국심리'!$B2942)),'자료_미국심리'!$A2942,"")</f>
        <v/>
      </c>
      <c r="P2958">
        <f>IF(AND(ISNUMBER('자료_미국심리'!$D2942),ISNUMBER('자료_미국심리'!$E2942)),'자료_미국심리'!$D2942,"")</f>
        <v/>
      </c>
      <c r="Q2958">
        <f>IF(AND(ISNUMBER('자료_미국심리'!$G2942),ISNUMBER('자료_미국심리'!$H2942)),'자료_미국심리'!$G2942,"")</f>
        <v/>
      </c>
    </row>
    <row r="2959">
      <c r="O2959">
        <f>IF(AND(ISNUMBER('자료_미국심리'!$A2943),ISNUMBER('자료_미국심리'!$B2943)),'자료_미국심리'!$A2943,"")</f>
        <v/>
      </c>
      <c r="P2959">
        <f>IF(AND(ISNUMBER('자료_미국심리'!$D2943),ISNUMBER('자료_미국심리'!$E2943)),'자료_미국심리'!$D2943,"")</f>
        <v/>
      </c>
      <c r="Q2959">
        <f>IF(AND(ISNUMBER('자료_미국심리'!$G2943),ISNUMBER('자료_미국심리'!$H2943)),'자료_미국심리'!$G2943,"")</f>
        <v/>
      </c>
    </row>
    <row r="2960">
      <c r="O2960">
        <f>IF(AND(ISNUMBER('자료_미국심리'!$A2944),ISNUMBER('자료_미국심리'!$B2944)),'자료_미국심리'!$A2944,"")</f>
        <v/>
      </c>
      <c r="P2960">
        <f>IF(AND(ISNUMBER('자료_미국심리'!$D2944),ISNUMBER('자료_미국심리'!$E2944)),'자료_미국심리'!$D2944,"")</f>
        <v/>
      </c>
      <c r="Q2960">
        <f>IF(AND(ISNUMBER('자료_미국심리'!$G2944),ISNUMBER('자료_미국심리'!$H2944)),'자료_미국심리'!$G2944,"")</f>
        <v/>
      </c>
    </row>
    <row r="2961">
      <c r="O2961">
        <f>IF(AND(ISNUMBER('자료_미국심리'!$A2945),ISNUMBER('자료_미국심리'!$B2945)),'자료_미국심리'!$A2945,"")</f>
        <v/>
      </c>
      <c r="P2961">
        <f>IF(AND(ISNUMBER('자료_미국심리'!$D2945),ISNUMBER('자료_미국심리'!$E2945)),'자료_미국심리'!$D2945,"")</f>
        <v/>
      </c>
      <c r="Q2961">
        <f>IF(AND(ISNUMBER('자료_미국심리'!$G2945),ISNUMBER('자료_미국심리'!$H2945)),'자료_미국심리'!$G2945,"")</f>
        <v/>
      </c>
    </row>
    <row r="2962">
      <c r="O2962">
        <f>IF(AND(ISNUMBER('자료_미국심리'!$A2946),ISNUMBER('자료_미국심리'!$B2946)),'자료_미국심리'!$A2946,"")</f>
        <v/>
      </c>
      <c r="P2962">
        <f>IF(AND(ISNUMBER('자료_미국심리'!$D2946),ISNUMBER('자료_미국심리'!$E2946)),'자료_미국심리'!$D2946,"")</f>
        <v/>
      </c>
      <c r="Q2962">
        <f>IF(AND(ISNUMBER('자료_미국심리'!$G2946),ISNUMBER('자료_미국심리'!$H2946)),'자료_미국심리'!$G2946,"")</f>
        <v/>
      </c>
    </row>
    <row r="2963">
      <c r="O2963">
        <f>IF(AND(ISNUMBER('자료_미국심리'!$A2947),ISNUMBER('자료_미국심리'!$B2947)),'자료_미국심리'!$A2947,"")</f>
        <v/>
      </c>
      <c r="P2963">
        <f>IF(AND(ISNUMBER('자료_미국심리'!$D2947),ISNUMBER('자료_미국심리'!$E2947)),'자료_미국심리'!$D2947,"")</f>
        <v/>
      </c>
      <c r="Q2963">
        <f>IF(AND(ISNUMBER('자료_미국심리'!$G2947),ISNUMBER('자료_미국심리'!$H2947)),'자료_미국심리'!$G2947,"")</f>
        <v/>
      </c>
    </row>
    <row r="2964">
      <c r="O2964">
        <f>IF(AND(ISNUMBER('자료_미국심리'!$A2948),ISNUMBER('자료_미국심리'!$B2948)),'자료_미국심리'!$A2948,"")</f>
        <v/>
      </c>
      <c r="P2964">
        <f>IF(AND(ISNUMBER('자료_미국심리'!$D2948),ISNUMBER('자료_미국심리'!$E2948)),'자료_미국심리'!$D2948,"")</f>
        <v/>
      </c>
      <c r="Q2964">
        <f>IF(AND(ISNUMBER('자료_미국심리'!$G2948),ISNUMBER('자료_미국심리'!$H2948)),'자료_미국심리'!$G2948,"")</f>
        <v/>
      </c>
    </row>
    <row r="2965">
      <c r="O2965">
        <f>IF(AND(ISNUMBER('자료_미국심리'!$A2949),ISNUMBER('자료_미국심리'!$B2949)),'자료_미국심리'!$A2949,"")</f>
        <v/>
      </c>
      <c r="P2965">
        <f>IF(AND(ISNUMBER('자료_미국심리'!$D2949),ISNUMBER('자료_미국심리'!$E2949)),'자료_미국심리'!$D2949,"")</f>
        <v/>
      </c>
      <c r="Q2965">
        <f>IF(AND(ISNUMBER('자료_미국심리'!$G2949),ISNUMBER('자료_미국심리'!$H2949)),'자료_미국심리'!$G2949,"")</f>
        <v/>
      </c>
    </row>
    <row r="2966">
      <c r="O2966">
        <f>IF(AND(ISNUMBER('자료_미국심리'!$A2950),ISNUMBER('자료_미국심리'!$B2950)),'자료_미국심리'!$A2950,"")</f>
        <v/>
      </c>
      <c r="P2966">
        <f>IF(AND(ISNUMBER('자료_미국심리'!$D2950),ISNUMBER('자료_미국심리'!$E2950)),'자료_미국심리'!$D2950,"")</f>
        <v/>
      </c>
      <c r="Q2966">
        <f>IF(AND(ISNUMBER('자료_미국심리'!$G2950),ISNUMBER('자료_미국심리'!$H2950)),'자료_미국심리'!$G2950,"")</f>
        <v/>
      </c>
    </row>
    <row r="2967">
      <c r="O2967">
        <f>IF(AND(ISNUMBER('자료_미국심리'!$A2951),ISNUMBER('자료_미국심리'!$B2951)),'자료_미국심리'!$A2951,"")</f>
        <v/>
      </c>
      <c r="P2967">
        <f>IF(AND(ISNUMBER('자료_미국심리'!$D2951),ISNUMBER('자료_미국심리'!$E2951)),'자료_미국심리'!$D2951,"")</f>
        <v/>
      </c>
      <c r="Q2967">
        <f>IF(AND(ISNUMBER('자료_미국심리'!$G2951),ISNUMBER('자료_미국심리'!$H2951)),'자료_미국심리'!$G2951,"")</f>
        <v/>
      </c>
    </row>
    <row r="2968">
      <c r="O2968">
        <f>IF(AND(ISNUMBER('자료_미국심리'!$A2952),ISNUMBER('자료_미국심리'!$B2952)),'자료_미국심리'!$A2952,"")</f>
        <v/>
      </c>
      <c r="P2968">
        <f>IF(AND(ISNUMBER('자료_미국심리'!$D2952),ISNUMBER('자료_미국심리'!$E2952)),'자료_미국심리'!$D2952,"")</f>
        <v/>
      </c>
      <c r="Q2968">
        <f>IF(AND(ISNUMBER('자료_미국심리'!$G2952),ISNUMBER('자료_미국심리'!$H2952)),'자료_미국심리'!$G2952,"")</f>
        <v/>
      </c>
    </row>
    <row r="2969">
      <c r="O2969">
        <f>IF(AND(ISNUMBER('자료_미국심리'!$A2953),ISNUMBER('자료_미국심리'!$B2953)),'자료_미국심리'!$A2953,"")</f>
        <v/>
      </c>
      <c r="P2969">
        <f>IF(AND(ISNUMBER('자료_미국심리'!$D2953),ISNUMBER('자료_미국심리'!$E2953)),'자료_미국심리'!$D2953,"")</f>
        <v/>
      </c>
      <c r="Q2969">
        <f>IF(AND(ISNUMBER('자료_미국심리'!$G2953),ISNUMBER('자료_미국심리'!$H2953)),'자료_미국심리'!$G2953,"")</f>
        <v/>
      </c>
    </row>
    <row r="2970">
      <c r="O2970">
        <f>IF(AND(ISNUMBER('자료_미국심리'!$A2954),ISNUMBER('자료_미국심리'!$B2954)),'자료_미국심리'!$A2954,"")</f>
        <v/>
      </c>
      <c r="P2970">
        <f>IF(AND(ISNUMBER('자료_미국심리'!$D2954),ISNUMBER('자료_미국심리'!$E2954)),'자료_미국심리'!$D2954,"")</f>
        <v/>
      </c>
      <c r="Q2970">
        <f>IF(AND(ISNUMBER('자료_미국심리'!$G2954),ISNUMBER('자료_미국심리'!$H2954)),'자료_미국심리'!$G2954,"")</f>
        <v/>
      </c>
    </row>
    <row r="2971">
      <c r="O2971">
        <f>IF(AND(ISNUMBER('자료_미국심리'!$A2955),ISNUMBER('자료_미국심리'!$B2955)),'자료_미국심리'!$A2955,"")</f>
        <v/>
      </c>
      <c r="P2971">
        <f>IF(AND(ISNUMBER('자료_미국심리'!$D2955),ISNUMBER('자료_미국심리'!$E2955)),'자료_미국심리'!$D2955,"")</f>
        <v/>
      </c>
      <c r="Q2971">
        <f>IF(AND(ISNUMBER('자료_미국심리'!$G2955),ISNUMBER('자료_미국심리'!$H2955)),'자료_미국심리'!$G2955,"")</f>
        <v/>
      </c>
    </row>
    <row r="2972">
      <c r="O2972">
        <f>IF(AND(ISNUMBER('자료_미국심리'!$A2956),ISNUMBER('자료_미국심리'!$B2956)),'자료_미국심리'!$A2956,"")</f>
        <v/>
      </c>
      <c r="P2972">
        <f>IF(AND(ISNUMBER('자료_미국심리'!$D2956),ISNUMBER('자료_미국심리'!$E2956)),'자료_미국심리'!$D2956,"")</f>
        <v/>
      </c>
      <c r="Q2972">
        <f>IF(AND(ISNUMBER('자료_미국심리'!$G2956),ISNUMBER('자료_미국심리'!$H2956)),'자료_미국심리'!$G2956,"")</f>
        <v/>
      </c>
    </row>
    <row r="2973">
      <c r="O2973">
        <f>IF(AND(ISNUMBER('자료_미국심리'!$A2957),ISNUMBER('자료_미국심리'!$B2957)),'자료_미국심리'!$A2957,"")</f>
        <v/>
      </c>
      <c r="P2973">
        <f>IF(AND(ISNUMBER('자료_미국심리'!$D2957),ISNUMBER('자료_미국심리'!$E2957)),'자료_미국심리'!$D2957,"")</f>
        <v/>
      </c>
      <c r="Q2973">
        <f>IF(AND(ISNUMBER('자료_미국심리'!$G2957),ISNUMBER('자료_미국심리'!$H2957)),'자료_미국심리'!$G2957,"")</f>
        <v/>
      </c>
    </row>
    <row r="2974">
      <c r="O2974">
        <f>IF(AND(ISNUMBER('자료_미국심리'!$A2958),ISNUMBER('자료_미국심리'!$B2958)),'자료_미국심리'!$A2958,"")</f>
        <v/>
      </c>
      <c r="P2974">
        <f>IF(AND(ISNUMBER('자료_미국심리'!$D2958),ISNUMBER('자료_미국심리'!$E2958)),'자료_미국심리'!$D2958,"")</f>
        <v/>
      </c>
      <c r="Q2974">
        <f>IF(AND(ISNUMBER('자료_미국심리'!$G2958),ISNUMBER('자료_미국심리'!$H2958)),'자료_미국심리'!$G2958,"")</f>
        <v/>
      </c>
    </row>
    <row r="2975">
      <c r="O2975">
        <f>IF(AND(ISNUMBER('자료_미국심리'!$A2959),ISNUMBER('자료_미국심리'!$B2959)),'자료_미국심리'!$A2959,"")</f>
        <v/>
      </c>
      <c r="P2975">
        <f>IF(AND(ISNUMBER('자료_미국심리'!$D2959),ISNUMBER('자료_미국심리'!$E2959)),'자료_미국심리'!$D2959,"")</f>
        <v/>
      </c>
      <c r="Q2975">
        <f>IF(AND(ISNUMBER('자료_미국심리'!$G2959),ISNUMBER('자료_미국심리'!$H2959)),'자료_미국심리'!$G2959,"")</f>
        <v/>
      </c>
    </row>
    <row r="2976">
      <c r="O2976">
        <f>IF(AND(ISNUMBER('자료_미국심리'!$A2960),ISNUMBER('자료_미국심리'!$B2960)),'자료_미국심리'!$A2960,"")</f>
        <v/>
      </c>
      <c r="P2976">
        <f>IF(AND(ISNUMBER('자료_미국심리'!$D2960),ISNUMBER('자료_미국심리'!$E2960)),'자료_미국심리'!$D2960,"")</f>
        <v/>
      </c>
      <c r="Q2976">
        <f>IF(AND(ISNUMBER('자료_미국심리'!$G2960),ISNUMBER('자료_미국심리'!$H2960)),'자료_미국심리'!$G2960,"")</f>
        <v/>
      </c>
    </row>
    <row r="2977">
      <c r="O2977">
        <f>IF(AND(ISNUMBER('자료_미국심리'!$A2961),ISNUMBER('자료_미국심리'!$B2961)),'자료_미국심리'!$A2961,"")</f>
        <v/>
      </c>
      <c r="P2977">
        <f>IF(AND(ISNUMBER('자료_미국심리'!$D2961),ISNUMBER('자료_미국심리'!$E2961)),'자료_미국심리'!$D2961,"")</f>
        <v/>
      </c>
      <c r="Q2977">
        <f>IF(AND(ISNUMBER('자료_미국심리'!$G2961),ISNUMBER('자료_미국심리'!$H2961)),'자료_미국심리'!$G2961,"")</f>
        <v/>
      </c>
    </row>
    <row r="2978">
      <c r="O2978">
        <f>IF(AND(ISNUMBER('자료_미국심리'!$A2962),ISNUMBER('자료_미국심리'!$B2962)),'자료_미국심리'!$A2962,"")</f>
        <v/>
      </c>
      <c r="P2978">
        <f>IF(AND(ISNUMBER('자료_미국심리'!$D2962),ISNUMBER('자료_미국심리'!$E2962)),'자료_미국심리'!$D2962,"")</f>
        <v/>
      </c>
      <c r="Q2978">
        <f>IF(AND(ISNUMBER('자료_미국심리'!$G2962),ISNUMBER('자료_미국심리'!$H2962)),'자료_미국심리'!$G2962,"")</f>
        <v/>
      </c>
    </row>
    <row r="2979">
      <c r="O2979">
        <f>IF(AND(ISNUMBER('자료_미국심리'!$A2963),ISNUMBER('자료_미국심리'!$B2963)),'자료_미국심리'!$A2963,"")</f>
        <v/>
      </c>
      <c r="P2979">
        <f>IF(AND(ISNUMBER('자료_미국심리'!$D2963),ISNUMBER('자료_미국심리'!$E2963)),'자료_미국심리'!$D2963,"")</f>
        <v/>
      </c>
      <c r="Q2979">
        <f>IF(AND(ISNUMBER('자료_미국심리'!$G2963),ISNUMBER('자료_미국심리'!$H2963)),'자료_미국심리'!$G2963,"")</f>
        <v/>
      </c>
    </row>
    <row r="2980">
      <c r="O2980">
        <f>IF(AND(ISNUMBER('자료_미국심리'!$A2964),ISNUMBER('자료_미국심리'!$B2964)),'자료_미국심리'!$A2964,"")</f>
        <v/>
      </c>
      <c r="P2980">
        <f>IF(AND(ISNUMBER('자료_미국심리'!$D2964),ISNUMBER('자료_미국심리'!$E2964)),'자료_미국심리'!$D2964,"")</f>
        <v/>
      </c>
      <c r="Q2980">
        <f>IF(AND(ISNUMBER('자료_미국심리'!$G2964),ISNUMBER('자료_미국심리'!$H2964)),'자료_미국심리'!$G2964,"")</f>
        <v/>
      </c>
    </row>
    <row r="2981">
      <c r="O2981">
        <f>IF(AND(ISNUMBER('자료_미국심리'!$A2965),ISNUMBER('자료_미국심리'!$B2965)),'자료_미국심리'!$A2965,"")</f>
        <v/>
      </c>
      <c r="P2981">
        <f>IF(AND(ISNUMBER('자료_미국심리'!$D2965),ISNUMBER('자료_미국심리'!$E2965)),'자료_미국심리'!$D2965,"")</f>
        <v/>
      </c>
      <c r="Q2981">
        <f>IF(AND(ISNUMBER('자료_미국심리'!$G2965),ISNUMBER('자료_미국심리'!$H2965)),'자료_미국심리'!$G2965,"")</f>
        <v/>
      </c>
    </row>
    <row r="2982">
      <c r="O2982">
        <f>IF(AND(ISNUMBER('자료_미국심리'!$A2966),ISNUMBER('자료_미국심리'!$B2966)),'자료_미국심리'!$A2966,"")</f>
        <v/>
      </c>
      <c r="P2982">
        <f>IF(AND(ISNUMBER('자료_미국심리'!$D2966),ISNUMBER('자료_미국심리'!$E2966)),'자료_미국심리'!$D2966,"")</f>
        <v/>
      </c>
      <c r="Q2982">
        <f>IF(AND(ISNUMBER('자료_미국심리'!$G2966),ISNUMBER('자료_미국심리'!$H2966)),'자료_미국심리'!$G2966,"")</f>
        <v/>
      </c>
    </row>
    <row r="2983">
      <c r="O2983">
        <f>IF(AND(ISNUMBER('자료_미국심리'!$A2967),ISNUMBER('자료_미국심리'!$B2967)),'자료_미국심리'!$A2967,"")</f>
        <v/>
      </c>
      <c r="P2983">
        <f>IF(AND(ISNUMBER('자료_미국심리'!$D2967),ISNUMBER('자료_미국심리'!$E2967)),'자료_미국심리'!$D2967,"")</f>
        <v/>
      </c>
      <c r="Q2983">
        <f>IF(AND(ISNUMBER('자료_미국심리'!$G2967),ISNUMBER('자료_미국심리'!$H2967)),'자료_미국심리'!$G2967,"")</f>
        <v/>
      </c>
    </row>
    <row r="2984">
      <c r="O2984">
        <f>IF(AND(ISNUMBER('자료_미국심리'!$A2968),ISNUMBER('자료_미국심리'!$B2968)),'자료_미국심리'!$A2968,"")</f>
        <v/>
      </c>
      <c r="P2984">
        <f>IF(AND(ISNUMBER('자료_미국심리'!$D2968),ISNUMBER('자료_미국심리'!$E2968)),'자료_미국심리'!$D2968,"")</f>
        <v/>
      </c>
      <c r="Q2984">
        <f>IF(AND(ISNUMBER('자료_미국심리'!$G2968),ISNUMBER('자료_미국심리'!$H2968)),'자료_미국심리'!$G2968,"")</f>
        <v/>
      </c>
    </row>
    <row r="2985">
      <c r="O2985">
        <f>IF(AND(ISNUMBER('자료_미국심리'!$A2969),ISNUMBER('자료_미국심리'!$B2969)),'자료_미국심리'!$A2969,"")</f>
        <v/>
      </c>
      <c r="P2985">
        <f>IF(AND(ISNUMBER('자료_미국심리'!$D2969),ISNUMBER('자료_미국심리'!$E2969)),'자료_미국심리'!$D2969,"")</f>
        <v/>
      </c>
      <c r="Q2985">
        <f>IF(AND(ISNUMBER('자료_미국심리'!$G2969),ISNUMBER('자료_미국심리'!$H2969)),'자료_미국심리'!$G2969,"")</f>
        <v/>
      </c>
    </row>
    <row r="2986">
      <c r="O2986">
        <f>IF(AND(ISNUMBER('자료_미국심리'!$A2970),ISNUMBER('자료_미국심리'!$B2970)),'자료_미국심리'!$A2970,"")</f>
        <v/>
      </c>
      <c r="P2986">
        <f>IF(AND(ISNUMBER('자료_미국심리'!$D2970),ISNUMBER('자료_미국심리'!$E2970)),'자료_미국심리'!$D2970,"")</f>
        <v/>
      </c>
      <c r="Q2986">
        <f>IF(AND(ISNUMBER('자료_미국심리'!$G2970),ISNUMBER('자료_미국심리'!$H2970)),'자료_미국심리'!$G2970,"")</f>
        <v/>
      </c>
    </row>
    <row r="2987">
      <c r="O2987">
        <f>IF(AND(ISNUMBER('자료_미국심리'!$A2971),ISNUMBER('자료_미국심리'!$B2971)),'자료_미국심리'!$A2971,"")</f>
        <v/>
      </c>
      <c r="P2987">
        <f>IF(AND(ISNUMBER('자료_미국심리'!$D2971),ISNUMBER('자료_미국심리'!$E2971)),'자료_미국심리'!$D2971,"")</f>
        <v/>
      </c>
      <c r="Q2987">
        <f>IF(AND(ISNUMBER('자료_미국심리'!$G2971),ISNUMBER('자료_미국심리'!$H2971)),'자료_미국심리'!$G2971,"")</f>
        <v/>
      </c>
    </row>
    <row r="2988">
      <c r="O2988">
        <f>IF(AND(ISNUMBER('자료_미국심리'!$A2972),ISNUMBER('자료_미국심리'!$B2972)),'자료_미국심리'!$A2972,"")</f>
        <v/>
      </c>
      <c r="P2988">
        <f>IF(AND(ISNUMBER('자료_미국심리'!$D2972),ISNUMBER('자료_미국심리'!$E2972)),'자료_미국심리'!$D2972,"")</f>
        <v/>
      </c>
      <c r="Q2988">
        <f>IF(AND(ISNUMBER('자료_미국심리'!$G2972),ISNUMBER('자료_미국심리'!$H2972)),'자료_미국심리'!$G2972,"")</f>
        <v/>
      </c>
    </row>
    <row r="2989">
      <c r="O2989">
        <f>IF(AND(ISNUMBER('자료_미국심리'!$A2973),ISNUMBER('자료_미국심리'!$B2973)),'자료_미국심리'!$A2973,"")</f>
        <v/>
      </c>
      <c r="P2989">
        <f>IF(AND(ISNUMBER('자료_미국심리'!$D2973),ISNUMBER('자료_미국심리'!$E2973)),'자료_미국심리'!$D2973,"")</f>
        <v/>
      </c>
      <c r="Q2989">
        <f>IF(AND(ISNUMBER('자료_미국심리'!$G2973),ISNUMBER('자료_미국심리'!$H2973)),'자료_미국심리'!$G2973,"")</f>
        <v/>
      </c>
    </row>
    <row r="2990">
      <c r="O2990">
        <f>IF(AND(ISNUMBER('자료_미국심리'!$A2974),ISNUMBER('자료_미국심리'!$B2974)),'자료_미국심리'!$A2974,"")</f>
        <v/>
      </c>
      <c r="P2990">
        <f>IF(AND(ISNUMBER('자료_미국심리'!$D2974),ISNUMBER('자료_미국심리'!$E2974)),'자료_미국심리'!$D2974,"")</f>
        <v/>
      </c>
      <c r="Q2990">
        <f>IF(AND(ISNUMBER('자료_미국심리'!$G2974),ISNUMBER('자료_미국심리'!$H2974)),'자료_미국심리'!$G2974,"")</f>
        <v/>
      </c>
    </row>
    <row r="2991">
      <c r="O2991">
        <f>IF(AND(ISNUMBER('자료_미국심리'!$A2975),ISNUMBER('자료_미국심리'!$B2975)),'자료_미국심리'!$A2975,"")</f>
        <v/>
      </c>
      <c r="P2991">
        <f>IF(AND(ISNUMBER('자료_미국심리'!$D2975),ISNUMBER('자료_미국심리'!$E2975)),'자료_미국심리'!$D2975,"")</f>
        <v/>
      </c>
      <c r="Q2991">
        <f>IF(AND(ISNUMBER('자료_미국심리'!$G2975),ISNUMBER('자료_미국심리'!$H2975)),'자료_미국심리'!$G2975,"")</f>
        <v/>
      </c>
    </row>
    <row r="2992">
      <c r="O2992">
        <f>IF(AND(ISNUMBER('자료_미국심리'!$A2976),ISNUMBER('자료_미국심리'!$B2976)),'자료_미국심리'!$A2976,"")</f>
        <v/>
      </c>
      <c r="P2992">
        <f>IF(AND(ISNUMBER('자료_미국심리'!$D2976),ISNUMBER('자료_미국심리'!$E2976)),'자료_미국심리'!$D2976,"")</f>
        <v/>
      </c>
      <c r="Q2992">
        <f>IF(AND(ISNUMBER('자료_미국심리'!$G2976),ISNUMBER('자료_미국심리'!$H2976)),'자료_미국심리'!$G2976,"")</f>
        <v/>
      </c>
    </row>
    <row r="2993">
      <c r="O2993">
        <f>IF(AND(ISNUMBER('자료_미국심리'!$A2977),ISNUMBER('자료_미국심리'!$B2977)),'자료_미국심리'!$A2977,"")</f>
        <v/>
      </c>
      <c r="P2993">
        <f>IF(AND(ISNUMBER('자료_미국심리'!$D2977),ISNUMBER('자료_미국심리'!$E2977)),'자료_미국심리'!$D2977,"")</f>
        <v/>
      </c>
      <c r="Q2993">
        <f>IF(AND(ISNUMBER('자료_미국심리'!$G2977),ISNUMBER('자료_미국심리'!$H2977)),'자료_미국심리'!$G2977,"")</f>
        <v/>
      </c>
    </row>
    <row r="2994">
      <c r="O2994">
        <f>IF(AND(ISNUMBER('자료_미국심리'!$A2978),ISNUMBER('자료_미국심리'!$B2978)),'자료_미국심리'!$A2978,"")</f>
        <v/>
      </c>
      <c r="P2994">
        <f>IF(AND(ISNUMBER('자료_미국심리'!$D2978),ISNUMBER('자료_미국심리'!$E2978)),'자료_미국심리'!$D2978,"")</f>
        <v/>
      </c>
      <c r="Q2994">
        <f>IF(AND(ISNUMBER('자료_미국심리'!$G2978),ISNUMBER('자료_미국심리'!$H2978)),'자료_미국심리'!$G2978,"")</f>
        <v/>
      </c>
    </row>
    <row r="2995">
      <c r="O2995">
        <f>IF(AND(ISNUMBER('자료_미국심리'!$A2979),ISNUMBER('자료_미국심리'!$B2979)),'자료_미국심리'!$A2979,"")</f>
        <v/>
      </c>
      <c r="P2995">
        <f>IF(AND(ISNUMBER('자료_미국심리'!$D2979),ISNUMBER('자료_미국심리'!$E2979)),'자료_미국심리'!$D2979,"")</f>
        <v/>
      </c>
      <c r="Q2995">
        <f>IF(AND(ISNUMBER('자료_미국심리'!$G2979),ISNUMBER('자료_미국심리'!$H2979)),'자료_미국심리'!$G2979,"")</f>
        <v/>
      </c>
    </row>
    <row r="2996">
      <c r="O2996">
        <f>IF(AND(ISNUMBER('자료_미국심리'!$A2980),ISNUMBER('자료_미국심리'!$B2980)),'자료_미국심리'!$A2980,"")</f>
        <v/>
      </c>
      <c r="P2996">
        <f>IF(AND(ISNUMBER('자료_미국심리'!$D2980),ISNUMBER('자료_미국심리'!$E2980)),'자료_미국심리'!$D2980,"")</f>
        <v/>
      </c>
      <c r="Q2996">
        <f>IF(AND(ISNUMBER('자료_미국심리'!$G2980),ISNUMBER('자료_미국심리'!$H2980)),'자료_미국심리'!$G2980,"")</f>
        <v/>
      </c>
    </row>
    <row r="2997">
      <c r="O2997">
        <f>IF(AND(ISNUMBER('자료_미국심리'!$A2981),ISNUMBER('자료_미국심리'!$B2981)),'자료_미국심리'!$A2981,"")</f>
        <v/>
      </c>
      <c r="P2997">
        <f>IF(AND(ISNUMBER('자료_미국심리'!$D2981),ISNUMBER('자료_미국심리'!$E2981)),'자료_미국심리'!$D2981,"")</f>
        <v/>
      </c>
      <c r="Q2997">
        <f>IF(AND(ISNUMBER('자료_미국심리'!$G2981),ISNUMBER('자료_미국심리'!$H2981)),'자료_미국심리'!$G2981,"")</f>
        <v/>
      </c>
    </row>
    <row r="2998">
      <c r="O2998">
        <f>IF(AND(ISNUMBER('자료_미국심리'!$A2982),ISNUMBER('자료_미국심리'!$B2982)),'자료_미국심리'!$A2982,"")</f>
        <v/>
      </c>
      <c r="P2998">
        <f>IF(AND(ISNUMBER('자료_미국심리'!$D2982),ISNUMBER('자료_미국심리'!$E2982)),'자료_미국심리'!$D2982,"")</f>
        <v/>
      </c>
      <c r="Q2998">
        <f>IF(AND(ISNUMBER('자료_미국심리'!$G2982),ISNUMBER('자료_미국심리'!$H2982)),'자료_미국심리'!$G2982,"")</f>
        <v/>
      </c>
    </row>
    <row r="2999">
      <c r="O2999">
        <f>IF(AND(ISNUMBER('자료_미국심리'!$A2983),ISNUMBER('자료_미국심리'!$B2983)),'자료_미국심리'!$A2983,"")</f>
        <v/>
      </c>
      <c r="P2999">
        <f>IF(AND(ISNUMBER('자료_미국심리'!$D2983),ISNUMBER('자료_미국심리'!$E2983)),'자료_미국심리'!$D2983,"")</f>
        <v/>
      </c>
      <c r="Q2999">
        <f>IF(AND(ISNUMBER('자료_미국심리'!$G2983),ISNUMBER('자료_미국심리'!$H2983)),'자료_미국심리'!$G2983,"")</f>
        <v/>
      </c>
    </row>
    <row r="3000">
      <c r="O3000">
        <f>IF(AND(ISNUMBER('자료_미국심리'!$A2984),ISNUMBER('자료_미국심리'!$B2984)),'자료_미국심리'!$A2984,"")</f>
        <v/>
      </c>
      <c r="P3000">
        <f>IF(AND(ISNUMBER('자료_미국심리'!$D2984),ISNUMBER('자료_미국심리'!$E2984)),'자료_미국심리'!$D2984,"")</f>
        <v/>
      </c>
      <c r="Q3000">
        <f>IF(AND(ISNUMBER('자료_미국심리'!$G2984),ISNUMBER('자료_미국심리'!$H2984)),'자료_미국심리'!$G2984,"")</f>
        <v/>
      </c>
    </row>
    <row r="3001">
      <c r="O3001">
        <f>IF(AND(ISNUMBER('자료_미국심리'!$A2985),ISNUMBER('자료_미국심리'!$B2985)),'자료_미국심리'!$A2985,"")</f>
        <v/>
      </c>
      <c r="P3001">
        <f>IF(AND(ISNUMBER('자료_미국심리'!$D2985),ISNUMBER('자료_미국심리'!$E2985)),'자료_미국심리'!$D2985,"")</f>
        <v/>
      </c>
      <c r="Q3001">
        <f>IF(AND(ISNUMBER('자료_미국심리'!$G2985),ISNUMBER('자료_미국심리'!$H2985)),'자료_미국심리'!$G2985,"")</f>
        <v/>
      </c>
    </row>
    <row r="3002">
      <c r="O3002">
        <f>IF(AND(ISNUMBER('자료_미국심리'!$A2986),ISNUMBER('자료_미국심리'!$B2986)),'자료_미국심리'!$A2986,"")</f>
        <v/>
      </c>
      <c r="P3002">
        <f>IF(AND(ISNUMBER('자료_미국심리'!$D2986),ISNUMBER('자료_미국심리'!$E2986)),'자료_미국심리'!$D2986,"")</f>
        <v/>
      </c>
      <c r="Q3002">
        <f>IF(AND(ISNUMBER('자료_미국심리'!$G2986),ISNUMBER('자료_미국심리'!$H2986)),'자료_미국심리'!$G2986,"")</f>
        <v/>
      </c>
    </row>
    <row r="3003">
      <c r="O3003">
        <f>IF(AND(ISNUMBER('자료_미국심리'!$A2987),ISNUMBER('자료_미국심리'!$B2987)),'자료_미국심리'!$A2987,"")</f>
        <v/>
      </c>
      <c r="P3003">
        <f>IF(AND(ISNUMBER('자료_미국심리'!$D2987),ISNUMBER('자료_미국심리'!$E2987)),'자료_미국심리'!$D2987,"")</f>
        <v/>
      </c>
      <c r="Q3003">
        <f>IF(AND(ISNUMBER('자료_미국심리'!$G2987),ISNUMBER('자료_미국심리'!$H2987)),'자료_미국심리'!$G2987,"")</f>
        <v/>
      </c>
    </row>
    <row r="3004">
      <c r="O3004">
        <f>IF(AND(ISNUMBER('자료_미국심리'!$A2988),ISNUMBER('자료_미국심리'!$B2988)),'자료_미국심리'!$A2988,"")</f>
        <v/>
      </c>
      <c r="P3004">
        <f>IF(AND(ISNUMBER('자료_미국심리'!$D2988),ISNUMBER('자료_미국심리'!$E2988)),'자료_미국심리'!$D2988,"")</f>
        <v/>
      </c>
      <c r="Q3004">
        <f>IF(AND(ISNUMBER('자료_미국심리'!$G2988),ISNUMBER('자료_미국심리'!$H2988)),'자료_미국심리'!$G2988,"")</f>
        <v/>
      </c>
    </row>
    <row r="3005">
      <c r="O3005">
        <f>IF(AND(ISNUMBER('자료_미국심리'!$A2989),ISNUMBER('자료_미국심리'!$B2989)),'자료_미국심리'!$A2989,"")</f>
        <v/>
      </c>
      <c r="P3005">
        <f>IF(AND(ISNUMBER('자료_미국심리'!$D2989),ISNUMBER('자료_미국심리'!$E2989)),'자료_미국심리'!$D2989,"")</f>
        <v/>
      </c>
      <c r="Q3005">
        <f>IF(AND(ISNUMBER('자료_미국심리'!$G2989),ISNUMBER('자료_미국심리'!$H2989)),'자료_미국심리'!$G2989,"")</f>
        <v/>
      </c>
    </row>
    <row r="3006">
      <c r="O3006">
        <f>IF(AND(ISNUMBER('자료_미국심리'!$A2990),ISNUMBER('자료_미국심리'!$B2990)),'자료_미국심리'!$A2990,"")</f>
        <v/>
      </c>
      <c r="P3006">
        <f>IF(AND(ISNUMBER('자료_미국심리'!$D2990),ISNUMBER('자료_미국심리'!$E2990)),'자료_미국심리'!$D2990,"")</f>
        <v/>
      </c>
      <c r="Q3006">
        <f>IF(AND(ISNUMBER('자료_미국심리'!$G2990),ISNUMBER('자료_미국심리'!$H2990)),'자료_미국심리'!$G2990,"")</f>
        <v/>
      </c>
    </row>
    <row r="3007">
      <c r="O3007">
        <f>IF(AND(ISNUMBER('자료_미국심리'!$A2991),ISNUMBER('자료_미국심리'!$B2991)),'자료_미국심리'!$A2991,"")</f>
        <v/>
      </c>
      <c r="P3007">
        <f>IF(AND(ISNUMBER('자료_미국심리'!$D2991),ISNUMBER('자료_미국심리'!$E2991)),'자료_미국심리'!$D2991,"")</f>
        <v/>
      </c>
      <c r="Q3007">
        <f>IF(AND(ISNUMBER('자료_미국심리'!$G2991),ISNUMBER('자료_미국심리'!$H2991)),'자료_미국심리'!$G2991,"")</f>
        <v/>
      </c>
    </row>
    <row r="3008">
      <c r="O3008">
        <f>IF(AND(ISNUMBER('자료_미국심리'!$A2992),ISNUMBER('자료_미국심리'!$B2992)),'자료_미국심리'!$A2992,"")</f>
        <v/>
      </c>
      <c r="P3008">
        <f>IF(AND(ISNUMBER('자료_미국심리'!$D2992),ISNUMBER('자료_미국심리'!$E2992)),'자료_미국심리'!$D2992,"")</f>
        <v/>
      </c>
      <c r="Q3008">
        <f>IF(AND(ISNUMBER('자료_미국심리'!$G2992),ISNUMBER('자료_미국심리'!$H2992)),'자료_미국심리'!$G2992,"")</f>
        <v/>
      </c>
    </row>
    <row r="3009">
      <c r="O3009">
        <f>IF(AND(ISNUMBER('자료_미국심리'!$A2993),ISNUMBER('자료_미국심리'!$B2993)),'자료_미국심리'!$A2993,"")</f>
        <v/>
      </c>
      <c r="P3009">
        <f>IF(AND(ISNUMBER('자료_미국심리'!$D2993),ISNUMBER('자료_미국심리'!$E2993)),'자료_미국심리'!$D2993,"")</f>
        <v/>
      </c>
      <c r="Q3009">
        <f>IF(AND(ISNUMBER('자료_미국심리'!$G2993),ISNUMBER('자료_미국심리'!$H2993)),'자료_미국심리'!$G2993,"")</f>
        <v/>
      </c>
    </row>
    <row r="3010">
      <c r="O3010">
        <f>IF(AND(ISNUMBER('자료_미국심리'!$A2994),ISNUMBER('자료_미국심리'!$B2994)),'자료_미국심리'!$A2994,"")</f>
        <v/>
      </c>
      <c r="P3010">
        <f>IF(AND(ISNUMBER('자료_미국심리'!$D2994),ISNUMBER('자료_미국심리'!$E2994)),'자료_미국심리'!$D2994,"")</f>
        <v/>
      </c>
      <c r="Q3010">
        <f>IF(AND(ISNUMBER('자료_미국심리'!$G2994),ISNUMBER('자료_미국심리'!$H2994)),'자료_미국심리'!$G2994,"")</f>
        <v/>
      </c>
    </row>
    <row r="3011">
      <c r="O3011">
        <f>IF(AND(ISNUMBER('자료_미국심리'!$A2995),ISNUMBER('자료_미국심리'!$B2995)),'자료_미국심리'!$A2995,"")</f>
        <v/>
      </c>
      <c r="P3011">
        <f>IF(AND(ISNUMBER('자료_미국심리'!$D2995),ISNUMBER('자료_미국심리'!$E2995)),'자료_미국심리'!$D2995,"")</f>
        <v/>
      </c>
      <c r="Q3011">
        <f>IF(AND(ISNUMBER('자료_미국심리'!$G2995),ISNUMBER('자료_미국심리'!$H2995)),'자료_미국심리'!$G2995,"")</f>
        <v/>
      </c>
    </row>
    <row r="3012">
      <c r="O3012">
        <f>IF(AND(ISNUMBER('자료_미국심리'!$A2996),ISNUMBER('자료_미국심리'!$B2996)),'자료_미국심리'!$A2996,"")</f>
        <v/>
      </c>
      <c r="P3012">
        <f>IF(AND(ISNUMBER('자료_미국심리'!$D2996),ISNUMBER('자료_미국심리'!$E2996)),'자료_미국심리'!$D2996,"")</f>
        <v/>
      </c>
      <c r="Q3012">
        <f>IF(AND(ISNUMBER('자료_미국심리'!$G2996),ISNUMBER('자료_미국심리'!$H2996)),'자료_미국심리'!$G2996,"")</f>
        <v/>
      </c>
    </row>
    <row r="3013">
      <c r="O3013">
        <f>IF(AND(ISNUMBER('자료_미국심리'!$A2997),ISNUMBER('자료_미국심리'!$B2997)),'자료_미국심리'!$A2997,"")</f>
        <v/>
      </c>
      <c r="P3013">
        <f>IF(AND(ISNUMBER('자료_미국심리'!$D2997),ISNUMBER('자료_미국심리'!$E2997)),'자료_미국심리'!$D2997,"")</f>
        <v/>
      </c>
      <c r="Q3013">
        <f>IF(AND(ISNUMBER('자료_미국심리'!$G2997),ISNUMBER('자료_미국심리'!$H2997)),'자료_미국심리'!$G2997,"")</f>
        <v/>
      </c>
    </row>
    <row r="3014">
      <c r="O3014">
        <f>IF(AND(ISNUMBER('자료_미국심리'!$A2998),ISNUMBER('자료_미국심리'!$B2998)),'자료_미국심리'!$A2998,"")</f>
        <v/>
      </c>
      <c r="P3014">
        <f>IF(AND(ISNUMBER('자료_미국심리'!$D2998),ISNUMBER('자료_미국심리'!$E2998)),'자료_미국심리'!$D2998,"")</f>
        <v/>
      </c>
      <c r="Q3014">
        <f>IF(AND(ISNUMBER('자료_미국심리'!$G2998),ISNUMBER('자료_미국심리'!$H2998)),'자료_미국심리'!$G2998,"")</f>
        <v/>
      </c>
    </row>
    <row r="3015">
      <c r="O3015">
        <f>IF(AND(ISNUMBER('자료_미국심리'!$A2999),ISNUMBER('자료_미국심리'!$B2999)),'자료_미국심리'!$A2999,"")</f>
        <v/>
      </c>
      <c r="P3015">
        <f>IF(AND(ISNUMBER('자료_미국심리'!$D2999),ISNUMBER('자료_미국심리'!$E2999)),'자료_미국심리'!$D2999,"")</f>
        <v/>
      </c>
      <c r="Q3015">
        <f>IF(AND(ISNUMBER('자료_미국심리'!$G2999),ISNUMBER('자료_미국심리'!$H2999)),'자료_미국심리'!$G2999,"")</f>
        <v/>
      </c>
    </row>
    <row r="3016">
      <c r="O3016">
        <f>IF(AND(ISNUMBER('자료_미국심리'!$A3000),ISNUMBER('자료_미국심리'!$B3000)),'자료_미국심리'!$A3000,"")</f>
        <v/>
      </c>
      <c r="P3016">
        <f>IF(AND(ISNUMBER('자료_미국심리'!$D3000),ISNUMBER('자료_미국심리'!$E3000)),'자료_미국심리'!$D3000,"")</f>
        <v/>
      </c>
      <c r="Q3016">
        <f>IF(AND(ISNUMBER('자료_미국심리'!$G3000),ISNUMBER('자료_미국심리'!$H3000)),'자료_미국심리'!$G3000,"")</f>
        <v/>
      </c>
    </row>
    <row r="3017">
      <c r="O3017">
        <f>IF(AND(ISNUMBER('자료_미국심리'!$A3001),ISNUMBER('자료_미국심리'!$B3001)),'자료_미국심리'!$A3001,"")</f>
        <v/>
      </c>
      <c r="P3017">
        <f>IF(AND(ISNUMBER('자료_미국심리'!$D3001),ISNUMBER('자료_미국심리'!$E3001)),'자료_미국심리'!$D3001,"")</f>
        <v/>
      </c>
      <c r="Q3017">
        <f>IF(AND(ISNUMBER('자료_미국심리'!$G3001),ISNUMBER('자료_미국심리'!$H3001)),'자료_미국심리'!$G3001,"")</f>
        <v/>
      </c>
    </row>
    <row r="3018">
      <c r="O3018">
        <f>IF(AND(ISNUMBER('자료_미국심리'!$A3002),ISNUMBER('자료_미국심리'!$B3002)),'자료_미국심리'!$A3002,"")</f>
        <v/>
      </c>
      <c r="P3018">
        <f>IF(AND(ISNUMBER('자료_미국심리'!$D3002),ISNUMBER('자료_미국심리'!$E3002)),'자료_미국심리'!$D3002,"")</f>
        <v/>
      </c>
      <c r="Q3018">
        <f>IF(AND(ISNUMBER('자료_미국심리'!$G3002),ISNUMBER('자료_미국심리'!$H3002)),'자료_미국심리'!$G3002,"")</f>
        <v/>
      </c>
    </row>
    <row r="3019">
      <c r="O3019">
        <f>IF(AND(ISNUMBER('자료_미국심리'!$A3003),ISNUMBER('자료_미국심리'!$B3003)),'자료_미국심리'!$A3003,"")</f>
        <v/>
      </c>
      <c r="P3019">
        <f>IF(AND(ISNUMBER('자료_미국심리'!$D3003),ISNUMBER('자료_미국심리'!$E3003)),'자료_미국심리'!$D3003,"")</f>
        <v/>
      </c>
      <c r="Q3019">
        <f>IF(AND(ISNUMBER('자료_미국심리'!$G3003),ISNUMBER('자료_미국심리'!$H3003)),'자료_미국심리'!$G3003,"")</f>
        <v/>
      </c>
    </row>
    <row r="3020">
      <c r="O3020">
        <f>IF(AND(ISNUMBER('자료_미국심리'!$A3004),ISNUMBER('자료_미국심리'!$B3004)),'자료_미국심리'!$A3004,"")</f>
        <v/>
      </c>
      <c r="P3020">
        <f>IF(AND(ISNUMBER('자료_미국심리'!$D3004),ISNUMBER('자료_미국심리'!$E3004)),'자료_미국심리'!$D3004,"")</f>
        <v/>
      </c>
      <c r="Q3020">
        <f>IF(AND(ISNUMBER('자료_미국심리'!$G3004),ISNUMBER('자료_미국심리'!$H3004)),'자료_미국심리'!$G3004,"")</f>
        <v/>
      </c>
    </row>
    <row r="3021">
      <c r="O3021">
        <f>IF(AND(ISNUMBER('자료_미국심리'!$A3005),ISNUMBER('자료_미국심리'!$B3005)),'자료_미국심리'!$A3005,"")</f>
        <v/>
      </c>
      <c r="P3021">
        <f>IF(AND(ISNUMBER('자료_미국심리'!$D3005),ISNUMBER('자료_미국심리'!$E3005)),'자료_미국심리'!$D3005,"")</f>
        <v/>
      </c>
      <c r="Q3021">
        <f>IF(AND(ISNUMBER('자료_미국심리'!$G3005),ISNUMBER('자료_미국심리'!$H3005)),'자료_미국심리'!$G3005,"")</f>
        <v/>
      </c>
    </row>
    <row r="3022">
      <c r="O3022">
        <f>IF(AND(ISNUMBER('자료_미국심리'!$A3006),ISNUMBER('자료_미국심리'!$B3006)),'자료_미국심리'!$A3006,"")</f>
        <v/>
      </c>
      <c r="P3022">
        <f>IF(AND(ISNUMBER('자료_미국심리'!$D3006),ISNUMBER('자료_미국심리'!$E3006)),'자료_미국심리'!$D3006,"")</f>
        <v/>
      </c>
      <c r="Q3022">
        <f>IF(AND(ISNUMBER('자료_미국심리'!$G3006),ISNUMBER('자료_미국심리'!$H3006)),'자료_미국심리'!$G3006,"")</f>
        <v/>
      </c>
    </row>
    <row r="3023">
      <c r="O3023">
        <f>IF(AND(ISNUMBER('자료_미국심리'!$A3007),ISNUMBER('자료_미국심리'!$B3007)),'자료_미국심리'!$A3007,"")</f>
        <v/>
      </c>
      <c r="P3023">
        <f>IF(AND(ISNUMBER('자료_미국심리'!$D3007),ISNUMBER('자료_미국심리'!$E3007)),'자료_미국심리'!$D3007,"")</f>
        <v/>
      </c>
      <c r="Q3023">
        <f>IF(AND(ISNUMBER('자료_미국심리'!$G3007),ISNUMBER('자료_미국심리'!$H3007)),'자료_미국심리'!$G3007,"")</f>
        <v/>
      </c>
    </row>
    <row r="3024">
      <c r="O3024">
        <f>IF(AND(ISNUMBER('자료_미국심리'!$A3008),ISNUMBER('자료_미국심리'!$B3008)),'자료_미국심리'!$A3008,"")</f>
        <v/>
      </c>
      <c r="P3024">
        <f>IF(AND(ISNUMBER('자료_미국심리'!$D3008),ISNUMBER('자료_미국심리'!$E3008)),'자료_미국심리'!$D3008,"")</f>
        <v/>
      </c>
      <c r="Q3024">
        <f>IF(AND(ISNUMBER('자료_미국심리'!$G3008),ISNUMBER('자료_미국심리'!$H3008)),'자료_미국심리'!$G3008,"")</f>
        <v/>
      </c>
    </row>
    <row r="3025">
      <c r="O3025">
        <f>IF(AND(ISNUMBER('자료_미국심리'!$A3009),ISNUMBER('자료_미국심리'!$B3009)),'자료_미국심리'!$A3009,"")</f>
        <v/>
      </c>
      <c r="P3025">
        <f>IF(AND(ISNUMBER('자료_미국심리'!$D3009),ISNUMBER('자료_미국심리'!$E3009)),'자료_미국심리'!$D3009,"")</f>
        <v/>
      </c>
      <c r="Q3025">
        <f>IF(AND(ISNUMBER('자료_미국심리'!$G3009),ISNUMBER('자료_미국심리'!$H3009)),'자료_미국심리'!$G3009,"")</f>
        <v/>
      </c>
    </row>
    <row r="3026">
      <c r="O3026">
        <f>IF(AND(ISNUMBER('자료_미국심리'!$A3010),ISNUMBER('자료_미국심리'!$B3010)),'자료_미국심리'!$A3010,"")</f>
        <v/>
      </c>
      <c r="P3026">
        <f>IF(AND(ISNUMBER('자료_미국심리'!$D3010),ISNUMBER('자료_미국심리'!$E3010)),'자료_미국심리'!$D3010,"")</f>
        <v/>
      </c>
      <c r="Q3026">
        <f>IF(AND(ISNUMBER('자료_미국심리'!$G3010),ISNUMBER('자료_미국심리'!$H3010)),'자료_미국심리'!$G3010,"")</f>
        <v/>
      </c>
    </row>
    <row r="3027">
      <c r="O3027">
        <f>IF(AND(ISNUMBER('자료_미국심리'!$A3011),ISNUMBER('자료_미국심리'!$B3011)),'자료_미국심리'!$A3011,"")</f>
        <v/>
      </c>
      <c r="P3027">
        <f>IF(AND(ISNUMBER('자료_미국심리'!$D3011),ISNUMBER('자료_미국심리'!$E3011)),'자료_미국심리'!$D3011,"")</f>
        <v/>
      </c>
      <c r="Q3027">
        <f>IF(AND(ISNUMBER('자료_미국심리'!$G3011),ISNUMBER('자료_미국심리'!$H3011)),'자료_미국심리'!$G3011,"")</f>
        <v/>
      </c>
    </row>
    <row r="3028">
      <c r="O3028">
        <f>IF(AND(ISNUMBER('자료_미국심리'!$A3012),ISNUMBER('자료_미국심리'!$B3012)),'자료_미국심리'!$A3012,"")</f>
        <v/>
      </c>
      <c r="P3028">
        <f>IF(AND(ISNUMBER('자료_미국심리'!$D3012),ISNUMBER('자료_미국심리'!$E3012)),'자료_미국심리'!$D3012,"")</f>
        <v/>
      </c>
      <c r="Q3028">
        <f>IF(AND(ISNUMBER('자료_미국심리'!$G3012),ISNUMBER('자료_미국심리'!$H3012)),'자료_미국심리'!$G3012,"")</f>
        <v/>
      </c>
    </row>
    <row r="3029">
      <c r="O3029">
        <f>IF(AND(ISNUMBER('자료_미국심리'!$A3013),ISNUMBER('자료_미국심리'!$B3013)),'자료_미국심리'!$A3013,"")</f>
        <v/>
      </c>
      <c r="P3029">
        <f>IF(AND(ISNUMBER('자료_미국심리'!$D3013),ISNUMBER('자료_미국심리'!$E3013)),'자료_미국심리'!$D3013,"")</f>
        <v/>
      </c>
      <c r="Q3029">
        <f>IF(AND(ISNUMBER('자료_미국심리'!$G3013),ISNUMBER('자료_미국심리'!$H3013)),'자료_미국심리'!$G3013,"")</f>
        <v/>
      </c>
    </row>
    <row r="3030">
      <c r="O3030">
        <f>IF(AND(ISNUMBER('자료_미국심리'!$A3014),ISNUMBER('자료_미국심리'!$B3014)),'자료_미국심리'!$A3014,"")</f>
        <v/>
      </c>
      <c r="P3030">
        <f>IF(AND(ISNUMBER('자료_미국심리'!$D3014),ISNUMBER('자료_미국심리'!$E3014)),'자료_미국심리'!$D3014,"")</f>
        <v/>
      </c>
      <c r="Q3030">
        <f>IF(AND(ISNUMBER('자료_미국심리'!$G3014),ISNUMBER('자료_미국심리'!$H3014)),'자료_미국심리'!$G3014,"")</f>
        <v/>
      </c>
    </row>
    <row r="3031">
      <c r="O3031">
        <f>IF(AND(ISNUMBER('자료_미국심리'!$A3015),ISNUMBER('자료_미국심리'!$B3015)),'자료_미국심리'!$A3015,"")</f>
        <v/>
      </c>
      <c r="P3031">
        <f>IF(AND(ISNUMBER('자료_미국심리'!$D3015),ISNUMBER('자료_미국심리'!$E3015)),'자료_미국심리'!$D3015,"")</f>
        <v/>
      </c>
      <c r="Q3031">
        <f>IF(AND(ISNUMBER('자료_미국심리'!$G3015),ISNUMBER('자료_미국심리'!$H3015)),'자료_미국심리'!$G3015,"")</f>
        <v/>
      </c>
    </row>
    <row r="3032">
      <c r="O3032">
        <f>IF(AND(ISNUMBER('자료_미국심리'!$A3016),ISNUMBER('자료_미국심리'!$B3016)),'자료_미국심리'!$A3016,"")</f>
        <v/>
      </c>
      <c r="P3032">
        <f>IF(AND(ISNUMBER('자료_미국심리'!$D3016),ISNUMBER('자료_미국심리'!$E3016)),'자료_미국심리'!$D3016,"")</f>
        <v/>
      </c>
      <c r="Q3032">
        <f>IF(AND(ISNUMBER('자료_미국심리'!$G3016),ISNUMBER('자료_미국심리'!$H3016)),'자료_미국심리'!$G3016,"")</f>
        <v/>
      </c>
    </row>
    <row r="3033">
      <c r="O3033">
        <f>IF(AND(ISNUMBER('자료_미국심리'!$A3017),ISNUMBER('자료_미국심리'!$B3017)),'자료_미국심리'!$A3017,"")</f>
        <v/>
      </c>
      <c r="P3033">
        <f>IF(AND(ISNUMBER('자료_미국심리'!$D3017),ISNUMBER('자료_미국심리'!$E3017)),'자료_미국심리'!$D3017,"")</f>
        <v/>
      </c>
      <c r="Q3033">
        <f>IF(AND(ISNUMBER('자료_미국심리'!$G3017),ISNUMBER('자료_미국심리'!$H3017)),'자료_미국심리'!$G3017,"")</f>
        <v/>
      </c>
    </row>
    <row r="3034">
      <c r="O3034">
        <f>IF(AND(ISNUMBER('자료_미국심리'!$A3018),ISNUMBER('자료_미국심리'!$B3018)),'자료_미국심리'!$A3018,"")</f>
        <v/>
      </c>
      <c r="P3034">
        <f>IF(AND(ISNUMBER('자료_미국심리'!$D3018),ISNUMBER('자료_미국심리'!$E3018)),'자료_미국심리'!$D3018,"")</f>
        <v/>
      </c>
      <c r="Q3034">
        <f>IF(AND(ISNUMBER('자료_미국심리'!$G3018),ISNUMBER('자료_미국심리'!$H3018)),'자료_미국심리'!$G3018,"")</f>
        <v/>
      </c>
    </row>
    <row r="3035">
      <c r="O3035">
        <f>IF(AND(ISNUMBER('자료_미국심리'!$A3019),ISNUMBER('자료_미국심리'!$B3019)),'자료_미국심리'!$A3019,"")</f>
        <v/>
      </c>
      <c r="P3035">
        <f>IF(AND(ISNUMBER('자료_미국심리'!$D3019),ISNUMBER('자료_미국심리'!$E3019)),'자료_미국심리'!$D3019,"")</f>
        <v/>
      </c>
      <c r="Q3035">
        <f>IF(AND(ISNUMBER('자료_미국심리'!$G3019),ISNUMBER('자료_미국심리'!$H3019)),'자료_미국심리'!$G3019,"")</f>
        <v/>
      </c>
    </row>
    <row r="3036">
      <c r="O3036">
        <f>IF(AND(ISNUMBER('자료_미국심리'!$A3020),ISNUMBER('자료_미국심리'!$B3020)),'자료_미국심리'!$A3020,"")</f>
        <v/>
      </c>
      <c r="P3036">
        <f>IF(AND(ISNUMBER('자료_미국심리'!$D3020),ISNUMBER('자료_미국심리'!$E3020)),'자료_미국심리'!$D3020,"")</f>
        <v/>
      </c>
      <c r="Q3036">
        <f>IF(AND(ISNUMBER('자료_미국심리'!$G3020),ISNUMBER('자료_미국심리'!$H3020)),'자료_미국심리'!$G3020,"")</f>
        <v/>
      </c>
    </row>
    <row r="3037">
      <c r="O3037">
        <f>IF(AND(ISNUMBER('자료_미국심리'!$A3021),ISNUMBER('자료_미국심리'!$B3021)),'자료_미국심리'!$A3021,"")</f>
        <v/>
      </c>
      <c r="P3037">
        <f>IF(AND(ISNUMBER('자료_미국심리'!$D3021),ISNUMBER('자료_미국심리'!$E3021)),'자료_미국심리'!$D3021,"")</f>
        <v/>
      </c>
      <c r="Q3037">
        <f>IF(AND(ISNUMBER('자료_미국심리'!$G3021),ISNUMBER('자료_미국심리'!$H3021)),'자료_미국심리'!$G3021,"")</f>
        <v/>
      </c>
    </row>
    <row r="3038">
      <c r="O3038">
        <f>IF(AND(ISNUMBER('자료_미국심리'!$A3022),ISNUMBER('자료_미국심리'!$B3022)),'자료_미국심리'!$A3022,"")</f>
        <v/>
      </c>
      <c r="P3038">
        <f>IF(AND(ISNUMBER('자료_미국심리'!$D3022),ISNUMBER('자료_미국심리'!$E3022)),'자료_미국심리'!$D3022,"")</f>
        <v/>
      </c>
      <c r="Q3038">
        <f>IF(AND(ISNUMBER('자료_미국심리'!$G3022),ISNUMBER('자료_미국심리'!$H3022)),'자료_미국심리'!$G3022,"")</f>
        <v/>
      </c>
    </row>
    <row r="3039">
      <c r="O3039">
        <f>IF(AND(ISNUMBER('자료_미국심리'!$A3023),ISNUMBER('자료_미국심리'!$B3023)),'자료_미국심리'!$A3023,"")</f>
        <v/>
      </c>
      <c r="P3039">
        <f>IF(AND(ISNUMBER('자료_미국심리'!$D3023),ISNUMBER('자료_미국심리'!$E3023)),'자료_미국심리'!$D3023,"")</f>
        <v/>
      </c>
      <c r="Q3039">
        <f>IF(AND(ISNUMBER('자료_미국심리'!$G3023),ISNUMBER('자료_미국심리'!$H3023)),'자료_미국심리'!$G3023,"")</f>
        <v/>
      </c>
    </row>
    <row r="3040">
      <c r="O3040">
        <f>IF(AND(ISNUMBER('자료_미국심리'!$A3024),ISNUMBER('자료_미국심리'!$B3024)),'자료_미국심리'!$A3024,"")</f>
        <v/>
      </c>
      <c r="P3040">
        <f>IF(AND(ISNUMBER('자료_미국심리'!$D3024),ISNUMBER('자료_미국심리'!$E3024)),'자료_미국심리'!$D3024,"")</f>
        <v/>
      </c>
      <c r="Q3040">
        <f>IF(AND(ISNUMBER('자료_미국심리'!$G3024),ISNUMBER('자료_미국심리'!$H3024)),'자료_미국심리'!$G3024,"")</f>
        <v/>
      </c>
    </row>
    <row r="3041">
      <c r="O3041">
        <f>IF(AND(ISNUMBER('자료_미국심리'!$A3025),ISNUMBER('자료_미국심리'!$B3025)),'자료_미국심리'!$A3025,"")</f>
        <v/>
      </c>
      <c r="P3041">
        <f>IF(AND(ISNUMBER('자료_미국심리'!$D3025),ISNUMBER('자료_미국심리'!$E3025)),'자료_미국심리'!$D3025,"")</f>
        <v/>
      </c>
      <c r="Q3041">
        <f>IF(AND(ISNUMBER('자료_미국심리'!$G3025),ISNUMBER('자료_미국심리'!$H3025)),'자료_미국심리'!$G3025,"")</f>
        <v/>
      </c>
    </row>
    <row r="3042">
      <c r="O3042">
        <f>IF(AND(ISNUMBER('자료_미국심리'!$A3026),ISNUMBER('자료_미국심리'!$B3026)),'자료_미국심리'!$A3026,"")</f>
        <v/>
      </c>
      <c r="P3042">
        <f>IF(AND(ISNUMBER('자료_미국심리'!$D3026),ISNUMBER('자료_미국심리'!$E3026)),'자료_미국심리'!$D3026,"")</f>
        <v/>
      </c>
      <c r="Q3042">
        <f>IF(AND(ISNUMBER('자료_미국심리'!$G3026),ISNUMBER('자료_미국심리'!$H3026)),'자료_미국심리'!$G3026,"")</f>
        <v/>
      </c>
    </row>
    <row r="3043">
      <c r="O3043">
        <f>IF(AND(ISNUMBER('자료_미국심리'!$A3027),ISNUMBER('자료_미국심리'!$B3027)),'자료_미국심리'!$A3027,"")</f>
        <v/>
      </c>
      <c r="P3043">
        <f>IF(AND(ISNUMBER('자료_미국심리'!$D3027),ISNUMBER('자료_미국심리'!$E3027)),'자료_미국심리'!$D3027,"")</f>
        <v/>
      </c>
      <c r="Q3043">
        <f>IF(AND(ISNUMBER('자료_미국심리'!$G3027),ISNUMBER('자료_미국심리'!$H3027)),'자료_미국심리'!$G3027,"")</f>
        <v/>
      </c>
    </row>
    <row r="3044">
      <c r="O3044">
        <f>IF(AND(ISNUMBER('자료_미국심리'!$A3028),ISNUMBER('자료_미국심리'!$B3028)),'자료_미국심리'!$A3028,"")</f>
        <v/>
      </c>
      <c r="P3044">
        <f>IF(AND(ISNUMBER('자료_미국심리'!$D3028),ISNUMBER('자료_미국심리'!$E3028)),'자료_미국심리'!$D3028,"")</f>
        <v/>
      </c>
      <c r="Q3044">
        <f>IF(AND(ISNUMBER('자료_미국심리'!$G3028),ISNUMBER('자료_미국심리'!$H3028)),'자료_미국심리'!$G3028,"")</f>
        <v/>
      </c>
    </row>
    <row r="3045">
      <c r="O3045">
        <f>IF(AND(ISNUMBER('자료_미국심리'!$A3029),ISNUMBER('자료_미국심리'!$B3029)),'자료_미국심리'!$A3029,"")</f>
        <v/>
      </c>
      <c r="P3045">
        <f>IF(AND(ISNUMBER('자료_미국심리'!$D3029),ISNUMBER('자료_미국심리'!$E3029)),'자료_미국심리'!$D3029,"")</f>
        <v/>
      </c>
      <c r="Q3045">
        <f>IF(AND(ISNUMBER('자료_미국심리'!$G3029),ISNUMBER('자료_미국심리'!$H3029)),'자료_미국심리'!$G3029,"")</f>
        <v/>
      </c>
    </row>
    <row r="3046">
      <c r="O3046">
        <f>IF(AND(ISNUMBER('자료_미국심리'!$A3030),ISNUMBER('자료_미국심리'!$B3030)),'자료_미국심리'!$A3030,"")</f>
        <v/>
      </c>
      <c r="P3046">
        <f>IF(AND(ISNUMBER('자료_미국심리'!$D3030),ISNUMBER('자료_미국심리'!$E3030)),'자료_미국심리'!$D3030,"")</f>
        <v/>
      </c>
      <c r="Q3046">
        <f>IF(AND(ISNUMBER('자료_미국심리'!$G3030),ISNUMBER('자료_미국심리'!$H3030)),'자료_미국심리'!$G3030,"")</f>
        <v/>
      </c>
    </row>
    <row r="3047">
      <c r="O3047">
        <f>IF(AND(ISNUMBER('자료_미국심리'!$A3031),ISNUMBER('자료_미국심리'!$B3031)),'자료_미국심리'!$A3031,"")</f>
        <v/>
      </c>
      <c r="P3047">
        <f>IF(AND(ISNUMBER('자료_미국심리'!$D3031),ISNUMBER('자료_미국심리'!$E3031)),'자료_미국심리'!$D3031,"")</f>
        <v/>
      </c>
      <c r="Q3047">
        <f>IF(AND(ISNUMBER('자료_미국심리'!$G3031),ISNUMBER('자료_미국심리'!$H3031)),'자료_미국심리'!$G3031,"")</f>
        <v/>
      </c>
    </row>
    <row r="3048">
      <c r="O3048">
        <f>IF(AND(ISNUMBER('자료_미국심리'!$A3032),ISNUMBER('자료_미국심리'!$B3032)),'자료_미국심리'!$A3032,"")</f>
        <v/>
      </c>
      <c r="P3048">
        <f>IF(AND(ISNUMBER('자료_미국심리'!$D3032),ISNUMBER('자료_미국심리'!$E3032)),'자료_미국심리'!$D3032,"")</f>
        <v/>
      </c>
      <c r="Q3048">
        <f>IF(AND(ISNUMBER('자료_미국심리'!$G3032),ISNUMBER('자료_미국심리'!$H3032)),'자료_미국심리'!$G3032,"")</f>
        <v/>
      </c>
    </row>
    <row r="3049">
      <c r="O3049">
        <f>IF(AND(ISNUMBER('자료_미국심리'!$A3033),ISNUMBER('자료_미국심리'!$B3033)),'자료_미국심리'!$A3033,"")</f>
        <v/>
      </c>
      <c r="P3049">
        <f>IF(AND(ISNUMBER('자료_미국심리'!$D3033),ISNUMBER('자료_미국심리'!$E3033)),'자료_미국심리'!$D3033,"")</f>
        <v/>
      </c>
      <c r="Q3049">
        <f>IF(AND(ISNUMBER('자료_미국심리'!$G3033),ISNUMBER('자료_미국심리'!$H3033)),'자료_미국심리'!$G3033,"")</f>
        <v/>
      </c>
    </row>
    <row r="3050">
      <c r="O3050">
        <f>IF(AND(ISNUMBER('자료_미국심리'!$A3034),ISNUMBER('자료_미국심리'!$B3034)),'자료_미국심리'!$A3034,"")</f>
        <v/>
      </c>
      <c r="P3050">
        <f>IF(AND(ISNUMBER('자료_미국심리'!$D3034),ISNUMBER('자료_미국심리'!$E3034)),'자료_미국심리'!$D3034,"")</f>
        <v/>
      </c>
      <c r="Q3050">
        <f>IF(AND(ISNUMBER('자료_미국심리'!$G3034),ISNUMBER('자료_미국심리'!$H3034)),'자료_미국심리'!$G3034,"")</f>
        <v/>
      </c>
    </row>
    <row r="3051">
      <c r="O3051">
        <f>IF(AND(ISNUMBER('자료_미국심리'!$A3035),ISNUMBER('자료_미국심리'!$B3035)),'자료_미국심리'!$A3035,"")</f>
        <v/>
      </c>
      <c r="P3051">
        <f>IF(AND(ISNUMBER('자료_미국심리'!$D3035),ISNUMBER('자료_미국심리'!$E3035)),'자료_미국심리'!$D3035,"")</f>
        <v/>
      </c>
      <c r="Q3051">
        <f>IF(AND(ISNUMBER('자료_미국심리'!$G3035),ISNUMBER('자료_미국심리'!$H3035)),'자료_미국심리'!$G3035,"")</f>
        <v/>
      </c>
    </row>
    <row r="3052">
      <c r="O3052">
        <f>IF(AND(ISNUMBER('자료_미국심리'!$A3036),ISNUMBER('자료_미국심리'!$B3036)),'자료_미국심리'!$A3036,"")</f>
        <v/>
      </c>
      <c r="P3052">
        <f>IF(AND(ISNUMBER('자료_미국심리'!$D3036),ISNUMBER('자료_미국심리'!$E3036)),'자료_미국심리'!$D3036,"")</f>
        <v/>
      </c>
      <c r="Q3052">
        <f>IF(AND(ISNUMBER('자료_미국심리'!$G3036),ISNUMBER('자료_미국심리'!$H3036)),'자료_미국심리'!$G3036,"")</f>
        <v/>
      </c>
    </row>
    <row r="3053">
      <c r="O3053">
        <f>IF(AND(ISNUMBER('자료_미국심리'!$A3037),ISNUMBER('자료_미국심리'!$B3037)),'자료_미국심리'!$A3037,"")</f>
        <v/>
      </c>
      <c r="P3053">
        <f>IF(AND(ISNUMBER('자료_미국심리'!$D3037),ISNUMBER('자료_미국심리'!$E3037)),'자료_미국심리'!$D3037,"")</f>
        <v/>
      </c>
      <c r="Q3053">
        <f>IF(AND(ISNUMBER('자료_미국심리'!$G3037),ISNUMBER('자료_미국심리'!$H3037)),'자료_미국심리'!$G3037,"")</f>
        <v/>
      </c>
    </row>
    <row r="3054">
      <c r="O3054">
        <f>IF(AND(ISNUMBER('자료_미국심리'!$A3038),ISNUMBER('자료_미국심리'!$B3038)),'자료_미국심리'!$A3038,"")</f>
        <v/>
      </c>
      <c r="P3054">
        <f>IF(AND(ISNUMBER('자료_미국심리'!$D3038),ISNUMBER('자료_미국심리'!$E3038)),'자료_미국심리'!$D3038,"")</f>
        <v/>
      </c>
      <c r="Q3054">
        <f>IF(AND(ISNUMBER('자료_미국심리'!$G3038),ISNUMBER('자료_미국심리'!$H3038)),'자료_미국심리'!$G3038,"")</f>
        <v/>
      </c>
    </row>
    <row r="3055">
      <c r="O3055">
        <f>IF(AND(ISNUMBER('자료_미국심리'!$A3039),ISNUMBER('자료_미국심리'!$B3039)),'자료_미국심리'!$A3039,"")</f>
        <v/>
      </c>
      <c r="P3055">
        <f>IF(AND(ISNUMBER('자료_미국심리'!$D3039),ISNUMBER('자료_미국심리'!$E3039)),'자료_미국심리'!$D3039,"")</f>
        <v/>
      </c>
      <c r="Q3055">
        <f>IF(AND(ISNUMBER('자료_미국심리'!$G3039),ISNUMBER('자료_미국심리'!$H3039)),'자료_미국심리'!$G3039,"")</f>
        <v/>
      </c>
    </row>
    <row r="3056">
      <c r="O3056">
        <f>IF(AND(ISNUMBER('자료_미국심리'!$A3040),ISNUMBER('자료_미국심리'!$B3040)),'자료_미국심리'!$A3040,"")</f>
        <v/>
      </c>
      <c r="P3056">
        <f>IF(AND(ISNUMBER('자료_미국심리'!$D3040),ISNUMBER('자료_미국심리'!$E3040)),'자료_미국심리'!$D3040,"")</f>
        <v/>
      </c>
      <c r="Q3056">
        <f>IF(AND(ISNUMBER('자료_미국심리'!$G3040),ISNUMBER('자료_미국심리'!$H3040)),'자료_미국심리'!$G3040,"")</f>
        <v/>
      </c>
    </row>
    <row r="3057">
      <c r="O3057">
        <f>IF(AND(ISNUMBER('자료_미국심리'!$A3041),ISNUMBER('자료_미국심리'!$B3041)),'자료_미국심리'!$A3041,"")</f>
        <v/>
      </c>
      <c r="P3057">
        <f>IF(AND(ISNUMBER('자료_미국심리'!$D3041),ISNUMBER('자료_미국심리'!$E3041)),'자료_미국심리'!$D3041,"")</f>
        <v/>
      </c>
      <c r="Q3057">
        <f>IF(AND(ISNUMBER('자료_미국심리'!$G3041),ISNUMBER('자료_미국심리'!$H3041)),'자료_미국심리'!$G3041,"")</f>
        <v/>
      </c>
    </row>
    <row r="3058">
      <c r="O3058">
        <f>IF(AND(ISNUMBER('자료_미국심리'!$A3042),ISNUMBER('자료_미국심리'!$B3042)),'자료_미국심리'!$A3042,"")</f>
        <v/>
      </c>
      <c r="P3058">
        <f>IF(AND(ISNUMBER('자료_미국심리'!$D3042),ISNUMBER('자료_미국심리'!$E3042)),'자료_미국심리'!$D3042,"")</f>
        <v/>
      </c>
      <c r="Q3058">
        <f>IF(AND(ISNUMBER('자료_미국심리'!$G3042),ISNUMBER('자료_미국심리'!$H3042)),'자료_미국심리'!$G3042,"")</f>
        <v/>
      </c>
    </row>
    <row r="3059">
      <c r="O3059">
        <f>IF(AND(ISNUMBER('자료_미국심리'!$A3043),ISNUMBER('자료_미국심리'!$B3043)),'자료_미국심리'!$A3043,"")</f>
        <v/>
      </c>
      <c r="P3059">
        <f>IF(AND(ISNUMBER('자료_미국심리'!$D3043),ISNUMBER('자료_미국심리'!$E3043)),'자료_미국심리'!$D3043,"")</f>
        <v/>
      </c>
      <c r="Q3059">
        <f>IF(AND(ISNUMBER('자료_미국심리'!$G3043),ISNUMBER('자료_미국심리'!$H3043)),'자료_미국심리'!$G3043,"")</f>
        <v/>
      </c>
    </row>
    <row r="3060">
      <c r="O3060">
        <f>IF(AND(ISNUMBER('자료_미국심리'!$A3044),ISNUMBER('자료_미국심리'!$B3044)),'자료_미국심리'!$A3044,"")</f>
        <v/>
      </c>
      <c r="P3060">
        <f>IF(AND(ISNUMBER('자료_미국심리'!$D3044),ISNUMBER('자료_미국심리'!$E3044)),'자료_미국심리'!$D3044,"")</f>
        <v/>
      </c>
      <c r="Q3060">
        <f>IF(AND(ISNUMBER('자료_미국심리'!$G3044),ISNUMBER('자료_미국심리'!$H3044)),'자료_미국심리'!$G3044,"")</f>
        <v/>
      </c>
    </row>
    <row r="3061">
      <c r="O3061">
        <f>IF(AND(ISNUMBER('자료_미국심리'!$A3045),ISNUMBER('자료_미국심리'!$B3045)),'자료_미국심리'!$A3045,"")</f>
        <v/>
      </c>
      <c r="P3061">
        <f>IF(AND(ISNUMBER('자료_미국심리'!$D3045),ISNUMBER('자료_미국심리'!$E3045)),'자료_미국심리'!$D3045,"")</f>
        <v/>
      </c>
      <c r="Q3061">
        <f>IF(AND(ISNUMBER('자료_미국심리'!$G3045),ISNUMBER('자료_미국심리'!$H3045)),'자료_미국심리'!$G3045,"")</f>
        <v/>
      </c>
    </row>
    <row r="3062">
      <c r="O3062">
        <f>IF(AND(ISNUMBER('자료_미국심리'!$A3046),ISNUMBER('자료_미국심리'!$B3046)),'자료_미국심리'!$A3046,"")</f>
        <v/>
      </c>
      <c r="P3062">
        <f>IF(AND(ISNUMBER('자료_미국심리'!$D3046),ISNUMBER('자료_미국심리'!$E3046)),'자료_미국심리'!$D3046,"")</f>
        <v/>
      </c>
      <c r="Q3062">
        <f>IF(AND(ISNUMBER('자료_미국심리'!$G3046),ISNUMBER('자료_미국심리'!$H3046)),'자료_미국심리'!$G3046,"")</f>
        <v/>
      </c>
    </row>
    <row r="3063">
      <c r="O3063">
        <f>IF(AND(ISNUMBER('자료_미국심리'!$A3047),ISNUMBER('자료_미국심리'!$B3047)),'자료_미국심리'!$A3047,"")</f>
        <v/>
      </c>
      <c r="P3063">
        <f>IF(AND(ISNUMBER('자료_미국심리'!$D3047),ISNUMBER('자료_미국심리'!$E3047)),'자료_미국심리'!$D3047,"")</f>
        <v/>
      </c>
      <c r="Q3063">
        <f>IF(AND(ISNUMBER('자료_미국심리'!$G3047),ISNUMBER('자료_미국심리'!$H3047)),'자료_미국심리'!$G3047,"")</f>
        <v/>
      </c>
    </row>
    <row r="3064">
      <c r="O3064">
        <f>IF(AND(ISNUMBER('자료_미국심리'!$A3048),ISNUMBER('자료_미국심리'!$B3048)),'자료_미국심리'!$A3048,"")</f>
        <v/>
      </c>
      <c r="P3064">
        <f>IF(AND(ISNUMBER('자료_미국심리'!$D3048),ISNUMBER('자료_미국심리'!$E3048)),'자료_미국심리'!$D3048,"")</f>
        <v/>
      </c>
      <c r="Q3064">
        <f>IF(AND(ISNUMBER('자료_미국심리'!$G3048),ISNUMBER('자료_미국심리'!$H3048)),'자료_미국심리'!$G3048,"")</f>
        <v/>
      </c>
    </row>
    <row r="3065">
      <c r="O3065">
        <f>IF(AND(ISNUMBER('자료_미국심리'!$A3049),ISNUMBER('자료_미국심리'!$B3049)),'자료_미국심리'!$A3049,"")</f>
        <v/>
      </c>
      <c r="P3065">
        <f>IF(AND(ISNUMBER('자료_미국심리'!$D3049),ISNUMBER('자료_미국심리'!$E3049)),'자료_미국심리'!$D3049,"")</f>
        <v/>
      </c>
      <c r="Q3065">
        <f>IF(AND(ISNUMBER('자료_미국심리'!$G3049),ISNUMBER('자료_미국심리'!$H3049)),'자료_미국심리'!$G3049,"")</f>
        <v/>
      </c>
    </row>
    <row r="3066">
      <c r="O3066">
        <f>IF(AND(ISNUMBER('자료_미국심리'!$A3050),ISNUMBER('자료_미국심리'!$B3050)),'자료_미국심리'!$A3050,"")</f>
        <v/>
      </c>
      <c r="P3066">
        <f>IF(AND(ISNUMBER('자료_미국심리'!$D3050),ISNUMBER('자료_미국심리'!$E3050)),'자료_미국심리'!$D3050,"")</f>
        <v/>
      </c>
      <c r="Q3066">
        <f>IF(AND(ISNUMBER('자료_미국심리'!$G3050),ISNUMBER('자료_미국심리'!$H3050)),'자료_미국심리'!$G3050,"")</f>
        <v/>
      </c>
    </row>
    <row r="3067">
      <c r="O3067">
        <f>IF(AND(ISNUMBER('자료_미국심리'!$A3051),ISNUMBER('자료_미국심리'!$B3051)),'자료_미국심리'!$A3051,"")</f>
        <v/>
      </c>
      <c r="P3067">
        <f>IF(AND(ISNUMBER('자료_미국심리'!$D3051),ISNUMBER('자료_미국심리'!$E3051)),'자료_미국심리'!$D3051,"")</f>
        <v/>
      </c>
      <c r="Q3067">
        <f>IF(AND(ISNUMBER('자료_미국심리'!$G3051),ISNUMBER('자료_미국심리'!$H3051)),'자료_미국심리'!$G3051,"")</f>
        <v/>
      </c>
    </row>
    <row r="3068">
      <c r="O3068">
        <f>IF(AND(ISNUMBER('자료_미국심리'!$A3052),ISNUMBER('자료_미국심리'!$B3052)),'자료_미국심리'!$A3052,"")</f>
        <v/>
      </c>
      <c r="P3068">
        <f>IF(AND(ISNUMBER('자료_미국심리'!$D3052),ISNUMBER('자료_미국심리'!$E3052)),'자료_미국심리'!$D3052,"")</f>
        <v/>
      </c>
      <c r="Q3068">
        <f>IF(AND(ISNUMBER('자료_미국심리'!$G3052),ISNUMBER('자료_미국심리'!$H3052)),'자료_미국심리'!$G3052,"")</f>
        <v/>
      </c>
    </row>
    <row r="3069">
      <c r="O3069">
        <f>IF(AND(ISNUMBER('자료_미국심리'!$A3053),ISNUMBER('자료_미국심리'!$B3053)),'자료_미국심리'!$A3053,"")</f>
        <v/>
      </c>
      <c r="P3069">
        <f>IF(AND(ISNUMBER('자료_미국심리'!$D3053),ISNUMBER('자료_미국심리'!$E3053)),'자료_미국심리'!$D3053,"")</f>
        <v/>
      </c>
      <c r="Q3069">
        <f>IF(AND(ISNUMBER('자료_미국심리'!$G3053),ISNUMBER('자료_미국심리'!$H3053)),'자료_미국심리'!$G3053,"")</f>
        <v/>
      </c>
    </row>
    <row r="3070">
      <c r="O3070">
        <f>IF(AND(ISNUMBER('자료_미국심리'!$A3054),ISNUMBER('자료_미국심리'!$B3054)),'자료_미국심리'!$A3054,"")</f>
        <v/>
      </c>
      <c r="P3070">
        <f>IF(AND(ISNUMBER('자료_미국심리'!$D3054),ISNUMBER('자료_미국심리'!$E3054)),'자료_미국심리'!$D3054,"")</f>
        <v/>
      </c>
      <c r="Q3070">
        <f>IF(AND(ISNUMBER('자료_미국심리'!$G3054),ISNUMBER('자료_미국심리'!$H3054)),'자료_미국심리'!$G3054,"")</f>
        <v/>
      </c>
    </row>
    <row r="3071">
      <c r="O3071">
        <f>IF(AND(ISNUMBER('자료_미국심리'!$A3055),ISNUMBER('자료_미국심리'!$B3055)),'자료_미국심리'!$A3055,"")</f>
        <v/>
      </c>
      <c r="P3071">
        <f>IF(AND(ISNUMBER('자료_미국심리'!$D3055),ISNUMBER('자료_미국심리'!$E3055)),'자료_미국심리'!$D3055,"")</f>
        <v/>
      </c>
      <c r="Q3071">
        <f>IF(AND(ISNUMBER('자료_미국심리'!$G3055),ISNUMBER('자료_미국심리'!$H3055)),'자료_미국심리'!$G3055,"")</f>
        <v/>
      </c>
    </row>
    <row r="3072">
      <c r="O3072">
        <f>IF(AND(ISNUMBER('자료_미국심리'!$A3056),ISNUMBER('자료_미국심리'!$B3056)),'자료_미국심리'!$A3056,"")</f>
        <v/>
      </c>
      <c r="P3072">
        <f>IF(AND(ISNUMBER('자료_미국심리'!$D3056),ISNUMBER('자료_미국심리'!$E3056)),'자료_미국심리'!$D3056,"")</f>
        <v/>
      </c>
      <c r="Q3072">
        <f>IF(AND(ISNUMBER('자료_미국심리'!$G3056),ISNUMBER('자료_미국심리'!$H3056)),'자료_미국심리'!$G3056,"")</f>
        <v/>
      </c>
    </row>
    <row r="3073">
      <c r="O3073">
        <f>IF(AND(ISNUMBER('자료_미국심리'!$A3057),ISNUMBER('자료_미국심리'!$B3057)),'자료_미국심리'!$A3057,"")</f>
        <v/>
      </c>
      <c r="P3073">
        <f>IF(AND(ISNUMBER('자료_미국심리'!$D3057),ISNUMBER('자료_미국심리'!$E3057)),'자료_미국심리'!$D3057,"")</f>
        <v/>
      </c>
      <c r="Q3073">
        <f>IF(AND(ISNUMBER('자료_미국심리'!$G3057),ISNUMBER('자료_미국심리'!$H3057)),'자료_미국심리'!$G3057,"")</f>
        <v/>
      </c>
    </row>
    <row r="3074">
      <c r="O3074">
        <f>IF(AND(ISNUMBER('자료_미국심리'!$A3058),ISNUMBER('자료_미국심리'!$B3058)),'자료_미국심리'!$A3058,"")</f>
        <v/>
      </c>
      <c r="P3074">
        <f>IF(AND(ISNUMBER('자료_미국심리'!$D3058),ISNUMBER('자료_미국심리'!$E3058)),'자료_미국심리'!$D3058,"")</f>
        <v/>
      </c>
      <c r="Q3074">
        <f>IF(AND(ISNUMBER('자료_미국심리'!$G3058),ISNUMBER('자료_미국심리'!$H3058)),'자료_미국심리'!$G3058,"")</f>
        <v/>
      </c>
    </row>
    <row r="3075">
      <c r="O3075">
        <f>IF(AND(ISNUMBER('자료_미국심리'!$A3059),ISNUMBER('자료_미국심리'!$B3059)),'자료_미국심리'!$A3059,"")</f>
        <v/>
      </c>
      <c r="P3075">
        <f>IF(AND(ISNUMBER('자료_미국심리'!$D3059),ISNUMBER('자료_미국심리'!$E3059)),'자료_미국심리'!$D3059,"")</f>
        <v/>
      </c>
      <c r="Q3075">
        <f>IF(AND(ISNUMBER('자료_미국심리'!$G3059),ISNUMBER('자료_미국심리'!$H3059)),'자료_미국심리'!$G3059,"")</f>
        <v/>
      </c>
    </row>
    <row r="3076">
      <c r="O3076">
        <f>IF(AND(ISNUMBER('자료_미국심리'!$A3060),ISNUMBER('자료_미국심리'!$B3060)),'자료_미국심리'!$A3060,"")</f>
        <v/>
      </c>
      <c r="P3076">
        <f>IF(AND(ISNUMBER('자료_미국심리'!$D3060),ISNUMBER('자료_미국심리'!$E3060)),'자료_미국심리'!$D3060,"")</f>
        <v/>
      </c>
      <c r="Q3076">
        <f>IF(AND(ISNUMBER('자료_미국심리'!$G3060),ISNUMBER('자료_미국심리'!$H3060)),'자료_미국심리'!$G3060,"")</f>
        <v/>
      </c>
    </row>
    <row r="3077">
      <c r="O3077">
        <f>IF(AND(ISNUMBER('자료_미국심리'!$A3061),ISNUMBER('자료_미국심리'!$B3061)),'자료_미국심리'!$A3061,"")</f>
        <v/>
      </c>
      <c r="P3077">
        <f>IF(AND(ISNUMBER('자료_미국심리'!$D3061),ISNUMBER('자료_미국심리'!$E3061)),'자료_미국심리'!$D3061,"")</f>
        <v/>
      </c>
      <c r="Q3077">
        <f>IF(AND(ISNUMBER('자료_미국심리'!$G3061),ISNUMBER('자료_미국심리'!$H3061)),'자료_미국심리'!$G3061,"")</f>
        <v/>
      </c>
    </row>
    <row r="3078">
      <c r="O3078">
        <f>IF(AND(ISNUMBER('자료_미국심리'!$A3062),ISNUMBER('자료_미국심리'!$B3062)),'자료_미국심리'!$A3062,"")</f>
        <v/>
      </c>
      <c r="P3078">
        <f>IF(AND(ISNUMBER('자료_미국심리'!$D3062),ISNUMBER('자료_미국심리'!$E3062)),'자료_미국심리'!$D3062,"")</f>
        <v/>
      </c>
      <c r="Q3078">
        <f>IF(AND(ISNUMBER('자료_미국심리'!$G3062),ISNUMBER('자료_미국심리'!$H3062)),'자료_미국심리'!$G3062,"")</f>
        <v/>
      </c>
    </row>
    <row r="3079">
      <c r="O3079">
        <f>IF(AND(ISNUMBER('자료_미국심리'!$A3063),ISNUMBER('자료_미국심리'!$B3063)),'자료_미국심리'!$A3063,"")</f>
        <v/>
      </c>
      <c r="P3079">
        <f>IF(AND(ISNUMBER('자료_미국심리'!$D3063),ISNUMBER('자료_미국심리'!$E3063)),'자료_미국심리'!$D3063,"")</f>
        <v/>
      </c>
      <c r="Q3079">
        <f>IF(AND(ISNUMBER('자료_미국심리'!$G3063),ISNUMBER('자료_미국심리'!$H3063)),'자료_미국심리'!$G3063,"")</f>
        <v/>
      </c>
    </row>
    <row r="3080">
      <c r="O3080">
        <f>IF(AND(ISNUMBER('자료_미국심리'!$A3064),ISNUMBER('자료_미국심리'!$B3064)),'자료_미국심리'!$A3064,"")</f>
        <v/>
      </c>
      <c r="P3080">
        <f>IF(AND(ISNUMBER('자료_미국심리'!$D3064),ISNUMBER('자료_미국심리'!$E3064)),'자료_미국심리'!$D3064,"")</f>
        <v/>
      </c>
      <c r="Q3080">
        <f>IF(AND(ISNUMBER('자료_미국심리'!$G3064),ISNUMBER('자료_미국심리'!$H3064)),'자료_미국심리'!$G3064,"")</f>
        <v/>
      </c>
    </row>
    <row r="3081">
      <c r="O3081">
        <f>IF(AND(ISNUMBER('자료_미국심리'!$A3065),ISNUMBER('자료_미국심리'!$B3065)),'자료_미국심리'!$A3065,"")</f>
        <v/>
      </c>
      <c r="P3081">
        <f>IF(AND(ISNUMBER('자료_미국심리'!$D3065),ISNUMBER('자료_미국심리'!$E3065)),'자료_미국심리'!$D3065,"")</f>
        <v/>
      </c>
      <c r="Q3081">
        <f>IF(AND(ISNUMBER('자료_미국심리'!$G3065),ISNUMBER('자료_미국심리'!$H3065)),'자료_미국심리'!$G3065,"")</f>
        <v/>
      </c>
    </row>
    <row r="3082">
      <c r="O3082">
        <f>IF(AND(ISNUMBER('자료_미국심리'!$A3066),ISNUMBER('자료_미국심리'!$B3066)),'자료_미국심리'!$A3066,"")</f>
        <v/>
      </c>
      <c r="P3082">
        <f>IF(AND(ISNUMBER('자료_미국심리'!$D3066),ISNUMBER('자료_미국심리'!$E3066)),'자료_미국심리'!$D3066,"")</f>
        <v/>
      </c>
      <c r="Q3082">
        <f>IF(AND(ISNUMBER('자료_미국심리'!$G3066),ISNUMBER('자료_미국심리'!$H3066)),'자료_미국심리'!$G3066,"")</f>
        <v/>
      </c>
    </row>
    <row r="3083">
      <c r="O3083">
        <f>IF(AND(ISNUMBER('자료_미국심리'!$A3067),ISNUMBER('자료_미국심리'!$B3067)),'자료_미국심리'!$A3067,"")</f>
        <v/>
      </c>
      <c r="P3083">
        <f>IF(AND(ISNUMBER('자료_미국심리'!$D3067),ISNUMBER('자료_미국심리'!$E3067)),'자료_미국심리'!$D3067,"")</f>
        <v/>
      </c>
      <c r="Q3083">
        <f>IF(AND(ISNUMBER('자료_미국심리'!$G3067),ISNUMBER('자료_미국심리'!$H3067)),'자료_미국심리'!$G3067,"")</f>
        <v/>
      </c>
    </row>
    <row r="3084">
      <c r="O3084">
        <f>IF(AND(ISNUMBER('자료_미국심리'!$A3068),ISNUMBER('자료_미국심리'!$B3068)),'자료_미국심리'!$A3068,"")</f>
        <v/>
      </c>
      <c r="P3084">
        <f>IF(AND(ISNUMBER('자료_미국심리'!$D3068),ISNUMBER('자료_미국심리'!$E3068)),'자료_미국심리'!$D3068,"")</f>
        <v/>
      </c>
      <c r="Q3084">
        <f>IF(AND(ISNUMBER('자료_미국심리'!$G3068),ISNUMBER('자료_미국심리'!$H3068)),'자료_미국심리'!$G3068,"")</f>
        <v/>
      </c>
    </row>
    <row r="3085">
      <c r="O3085">
        <f>IF(AND(ISNUMBER('자료_미국심리'!$A3069),ISNUMBER('자료_미국심리'!$B3069)),'자료_미국심리'!$A3069,"")</f>
        <v/>
      </c>
      <c r="P3085">
        <f>IF(AND(ISNUMBER('자료_미국심리'!$D3069),ISNUMBER('자료_미국심리'!$E3069)),'자료_미국심리'!$D3069,"")</f>
        <v/>
      </c>
      <c r="Q3085">
        <f>IF(AND(ISNUMBER('자료_미국심리'!$G3069),ISNUMBER('자료_미국심리'!$H3069)),'자료_미국심리'!$G3069,"")</f>
        <v/>
      </c>
    </row>
    <row r="3086">
      <c r="O3086">
        <f>IF(AND(ISNUMBER('자료_미국심리'!$A3070),ISNUMBER('자료_미국심리'!$B3070)),'자료_미국심리'!$A3070,"")</f>
        <v/>
      </c>
      <c r="P3086">
        <f>IF(AND(ISNUMBER('자료_미국심리'!$D3070),ISNUMBER('자료_미국심리'!$E3070)),'자료_미국심리'!$D3070,"")</f>
        <v/>
      </c>
      <c r="Q3086">
        <f>IF(AND(ISNUMBER('자료_미국심리'!$G3070),ISNUMBER('자료_미국심리'!$H3070)),'자료_미국심리'!$G3070,"")</f>
        <v/>
      </c>
    </row>
    <row r="3087">
      <c r="O3087">
        <f>IF(AND(ISNUMBER('자료_미국심리'!$A3071),ISNUMBER('자료_미국심리'!$B3071)),'자료_미국심리'!$A3071,"")</f>
        <v/>
      </c>
      <c r="P3087">
        <f>IF(AND(ISNUMBER('자료_미국심리'!$D3071),ISNUMBER('자료_미국심리'!$E3071)),'자료_미국심리'!$D3071,"")</f>
        <v/>
      </c>
      <c r="Q3087">
        <f>IF(AND(ISNUMBER('자료_미국심리'!$G3071),ISNUMBER('자료_미국심리'!$H3071)),'자료_미국심리'!$G3071,"")</f>
        <v/>
      </c>
    </row>
    <row r="3088">
      <c r="O3088">
        <f>IF(AND(ISNUMBER('자료_미국심리'!$A3072),ISNUMBER('자료_미국심리'!$B3072)),'자료_미국심리'!$A3072,"")</f>
        <v/>
      </c>
      <c r="P3088">
        <f>IF(AND(ISNUMBER('자료_미국심리'!$D3072),ISNUMBER('자료_미국심리'!$E3072)),'자료_미국심리'!$D3072,"")</f>
        <v/>
      </c>
      <c r="Q3088">
        <f>IF(AND(ISNUMBER('자료_미국심리'!$G3072),ISNUMBER('자료_미국심리'!$H3072)),'자료_미국심리'!$G3072,"")</f>
        <v/>
      </c>
    </row>
    <row r="3089">
      <c r="O3089">
        <f>IF(AND(ISNUMBER('자료_미국심리'!$A3073),ISNUMBER('자료_미국심리'!$B3073)),'자료_미국심리'!$A3073,"")</f>
        <v/>
      </c>
      <c r="P3089">
        <f>IF(AND(ISNUMBER('자료_미국심리'!$D3073),ISNUMBER('자료_미국심리'!$E3073)),'자료_미국심리'!$D3073,"")</f>
        <v/>
      </c>
      <c r="Q3089">
        <f>IF(AND(ISNUMBER('자료_미국심리'!$G3073),ISNUMBER('자료_미국심리'!$H3073)),'자료_미국심리'!$G3073,"")</f>
        <v/>
      </c>
    </row>
    <row r="3090">
      <c r="O3090">
        <f>IF(AND(ISNUMBER('자료_미국심리'!$A3074),ISNUMBER('자료_미국심리'!$B3074)),'자료_미국심리'!$A3074,"")</f>
        <v/>
      </c>
      <c r="P3090">
        <f>IF(AND(ISNUMBER('자료_미국심리'!$D3074),ISNUMBER('자료_미국심리'!$E3074)),'자료_미국심리'!$D3074,"")</f>
        <v/>
      </c>
      <c r="Q3090">
        <f>IF(AND(ISNUMBER('자료_미국심리'!$G3074),ISNUMBER('자료_미국심리'!$H3074)),'자료_미국심리'!$G3074,"")</f>
        <v/>
      </c>
    </row>
    <row r="3091">
      <c r="O3091">
        <f>IF(AND(ISNUMBER('자료_미국심리'!$A3075),ISNUMBER('자료_미국심리'!$B3075)),'자료_미국심리'!$A3075,"")</f>
        <v/>
      </c>
      <c r="P3091">
        <f>IF(AND(ISNUMBER('자료_미국심리'!$D3075),ISNUMBER('자료_미국심리'!$E3075)),'자료_미국심리'!$D3075,"")</f>
        <v/>
      </c>
      <c r="Q3091">
        <f>IF(AND(ISNUMBER('자료_미국심리'!$G3075),ISNUMBER('자료_미국심리'!$H3075)),'자료_미국심리'!$G3075,"")</f>
        <v/>
      </c>
    </row>
    <row r="3092">
      <c r="O3092">
        <f>IF(AND(ISNUMBER('자료_미국심리'!$A3076),ISNUMBER('자료_미국심리'!$B3076)),'자료_미국심리'!$A3076,"")</f>
        <v/>
      </c>
      <c r="P3092">
        <f>IF(AND(ISNUMBER('자료_미국심리'!$D3076),ISNUMBER('자료_미국심리'!$E3076)),'자료_미국심리'!$D3076,"")</f>
        <v/>
      </c>
      <c r="Q3092">
        <f>IF(AND(ISNUMBER('자료_미국심리'!$G3076),ISNUMBER('자료_미국심리'!$H3076)),'자료_미국심리'!$G3076,"")</f>
        <v/>
      </c>
    </row>
    <row r="3093">
      <c r="O3093">
        <f>IF(AND(ISNUMBER('자료_미국심리'!$A3077),ISNUMBER('자료_미국심리'!$B3077)),'자료_미국심리'!$A3077,"")</f>
        <v/>
      </c>
      <c r="P3093">
        <f>IF(AND(ISNUMBER('자료_미국심리'!$D3077),ISNUMBER('자료_미국심리'!$E3077)),'자료_미국심리'!$D3077,"")</f>
        <v/>
      </c>
      <c r="Q3093">
        <f>IF(AND(ISNUMBER('자료_미국심리'!$G3077),ISNUMBER('자료_미국심리'!$H3077)),'자료_미국심리'!$G3077,"")</f>
        <v/>
      </c>
    </row>
    <row r="3094">
      <c r="O3094">
        <f>IF(AND(ISNUMBER('자료_미국심리'!$A3078),ISNUMBER('자료_미국심리'!$B3078)),'자료_미국심리'!$A3078,"")</f>
        <v/>
      </c>
      <c r="P3094">
        <f>IF(AND(ISNUMBER('자료_미국심리'!$D3078),ISNUMBER('자료_미국심리'!$E3078)),'자료_미국심리'!$D3078,"")</f>
        <v/>
      </c>
      <c r="Q3094">
        <f>IF(AND(ISNUMBER('자료_미국심리'!$G3078),ISNUMBER('자료_미국심리'!$H3078)),'자료_미국심리'!$G3078,"")</f>
        <v/>
      </c>
    </row>
    <row r="3095">
      <c r="O3095">
        <f>IF(AND(ISNUMBER('자료_미국심리'!$A3079),ISNUMBER('자료_미국심리'!$B3079)),'자료_미국심리'!$A3079,"")</f>
        <v/>
      </c>
      <c r="P3095">
        <f>IF(AND(ISNUMBER('자료_미국심리'!$D3079),ISNUMBER('자료_미국심리'!$E3079)),'자료_미국심리'!$D3079,"")</f>
        <v/>
      </c>
      <c r="Q3095">
        <f>IF(AND(ISNUMBER('자료_미국심리'!$G3079),ISNUMBER('자료_미국심리'!$H3079)),'자료_미국심리'!$G3079,"")</f>
        <v/>
      </c>
    </row>
    <row r="3096">
      <c r="O3096">
        <f>IF(AND(ISNUMBER('자료_미국심리'!$A3080),ISNUMBER('자료_미국심리'!$B3080)),'자료_미국심리'!$A3080,"")</f>
        <v/>
      </c>
      <c r="P3096">
        <f>IF(AND(ISNUMBER('자료_미국심리'!$D3080),ISNUMBER('자료_미국심리'!$E3080)),'자료_미국심리'!$D3080,"")</f>
        <v/>
      </c>
      <c r="Q3096">
        <f>IF(AND(ISNUMBER('자료_미국심리'!$G3080),ISNUMBER('자료_미국심리'!$H3080)),'자료_미국심리'!$G3080,"")</f>
        <v/>
      </c>
    </row>
    <row r="3097">
      <c r="O3097">
        <f>IF(AND(ISNUMBER('자료_미국심리'!$A3081),ISNUMBER('자료_미국심리'!$B3081)),'자료_미국심리'!$A3081,"")</f>
        <v/>
      </c>
      <c r="P3097">
        <f>IF(AND(ISNUMBER('자료_미국심리'!$D3081),ISNUMBER('자료_미국심리'!$E3081)),'자료_미국심리'!$D3081,"")</f>
        <v/>
      </c>
      <c r="Q3097">
        <f>IF(AND(ISNUMBER('자료_미국심리'!$G3081),ISNUMBER('자료_미국심리'!$H3081)),'자료_미국심리'!$G3081,"")</f>
        <v/>
      </c>
    </row>
    <row r="3098">
      <c r="O3098">
        <f>IF(AND(ISNUMBER('자료_미국심리'!$A3082),ISNUMBER('자료_미국심리'!$B3082)),'자료_미국심리'!$A3082,"")</f>
        <v/>
      </c>
      <c r="P3098">
        <f>IF(AND(ISNUMBER('자료_미국심리'!$D3082),ISNUMBER('자료_미국심리'!$E3082)),'자료_미국심리'!$D3082,"")</f>
        <v/>
      </c>
      <c r="Q3098">
        <f>IF(AND(ISNUMBER('자료_미국심리'!$G3082),ISNUMBER('자료_미국심리'!$H3082)),'자료_미국심리'!$G3082,"")</f>
        <v/>
      </c>
    </row>
    <row r="3099">
      <c r="O3099">
        <f>IF(AND(ISNUMBER('자료_미국심리'!$A3083),ISNUMBER('자료_미국심리'!$B3083)),'자료_미국심리'!$A3083,"")</f>
        <v/>
      </c>
      <c r="P3099">
        <f>IF(AND(ISNUMBER('자료_미국심리'!$D3083),ISNUMBER('자료_미국심리'!$E3083)),'자료_미국심리'!$D3083,"")</f>
        <v/>
      </c>
      <c r="Q3099">
        <f>IF(AND(ISNUMBER('자료_미국심리'!$G3083),ISNUMBER('자료_미국심리'!$H3083)),'자료_미국심리'!$G3083,"")</f>
        <v/>
      </c>
    </row>
    <row r="3100">
      <c r="O3100">
        <f>IF(AND(ISNUMBER('자료_미국심리'!$A3084),ISNUMBER('자료_미국심리'!$B3084)),'자료_미국심리'!$A3084,"")</f>
        <v/>
      </c>
      <c r="P3100">
        <f>IF(AND(ISNUMBER('자료_미국심리'!$D3084),ISNUMBER('자료_미국심리'!$E3084)),'자료_미국심리'!$D3084,"")</f>
        <v/>
      </c>
      <c r="Q3100">
        <f>IF(AND(ISNUMBER('자료_미국심리'!$G3084),ISNUMBER('자료_미국심리'!$H3084)),'자료_미국심리'!$G3084,"")</f>
        <v/>
      </c>
    </row>
    <row r="3101">
      <c r="O3101">
        <f>IF(AND(ISNUMBER('자료_미국심리'!$A3085),ISNUMBER('자료_미국심리'!$B3085)),'자료_미국심리'!$A3085,"")</f>
        <v/>
      </c>
      <c r="P3101">
        <f>IF(AND(ISNUMBER('자료_미국심리'!$D3085),ISNUMBER('자료_미국심리'!$E3085)),'자료_미국심리'!$D3085,"")</f>
        <v/>
      </c>
      <c r="Q3101">
        <f>IF(AND(ISNUMBER('자료_미국심리'!$G3085),ISNUMBER('자료_미국심리'!$H3085)),'자료_미국심리'!$G3085,"")</f>
        <v/>
      </c>
    </row>
    <row r="3102">
      <c r="O3102">
        <f>IF(AND(ISNUMBER('자료_미국심리'!$A3086),ISNUMBER('자료_미국심리'!$B3086)),'자료_미국심리'!$A3086,"")</f>
        <v/>
      </c>
      <c r="P3102">
        <f>IF(AND(ISNUMBER('자료_미국심리'!$D3086),ISNUMBER('자료_미국심리'!$E3086)),'자료_미국심리'!$D3086,"")</f>
        <v/>
      </c>
      <c r="Q3102">
        <f>IF(AND(ISNUMBER('자료_미국심리'!$G3086),ISNUMBER('자료_미국심리'!$H3086)),'자료_미국심리'!$G3086,"")</f>
        <v/>
      </c>
    </row>
    <row r="3103">
      <c r="O3103">
        <f>IF(AND(ISNUMBER('자료_미국심리'!$A3087),ISNUMBER('자료_미국심리'!$B3087)),'자료_미국심리'!$A3087,"")</f>
        <v/>
      </c>
      <c r="P3103">
        <f>IF(AND(ISNUMBER('자료_미국심리'!$D3087),ISNUMBER('자료_미국심리'!$E3087)),'자료_미국심리'!$D3087,"")</f>
        <v/>
      </c>
      <c r="Q3103">
        <f>IF(AND(ISNUMBER('자료_미국심리'!$G3087),ISNUMBER('자료_미국심리'!$H3087)),'자료_미국심리'!$G3087,"")</f>
        <v/>
      </c>
    </row>
    <row r="3104">
      <c r="O3104">
        <f>IF(AND(ISNUMBER('자료_미국심리'!$A3088),ISNUMBER('자료_미국심리'!$B3088)),'자료_미국심리'!$A3088,"")</f>
        <v/>
      </c>
      <c r="P3104">
        <f>IF(AND(ISNUMBER('자료_미국심리'!$D3088),ISNUMBER('자료_미국심리'!$E3088)),'자료_미국심리'!$D3088,"")</f>
        <v/>
      </c>
      <c r="Q3104">
        <f>IF(AND(ISNUMBER('자료_미국심리'!$G3088),ISNUMBER('자료_미국심리'!$H3088)),'자료_미국심리'!$G3088,"")</f>
        <v/>
      </c>
    </row>
    <row r="3105">
      <c r="O3105">
        <f>IF(AND(ISNUMBER('자료_미국심리'!$A3089),ISNUMBER('자료_미국심리'!$B3089)),'자료_미국심리'!$A3089,"")</f>
        <v/>
      </c>
      <c r="P3105">
        <f>IF(AND(ISNUMBER('자료_미국심리'!$D3089),ISNUMBER('자료_미국심리'!$E3089)),'자료_미국심리'!$D3089,"")</f>
        <v/>
      </c>
      <c r="Q3105">
        <f>IF(AND(ISNUMBER('자료_미국심리'!$G3089),ISNUMBER('자료_미국심리'!$H3089)),'자료_미국심리'!$G3089,"")</f>
        <v/>
      </c>
    </row>
    <row r="3106">
      <c r="O3106">
        <f>IF(AND(ISNUMBER('자료_미국심리'!$A3090),ISNUMBER('자료_미국심리'!$B3090)),'자료_미국심리'!$A3090,"")</f>
        <v/>
      </c>
      <c r="P3106">
        <f>IF(AND(ISNUMBER('자료_미국심리'!$D3090),ISNUMBER('자료_미국심리'!$E3090)),'자료_미국심리'!$D3090,"")</f>
        <v/>
      </c>
      <c r="Q3106">
        <f>IF(AND(ISNUMBER('자료_미국심리'!$G3090),ISNUMBER('자료_미국심리'!$H3090)),'자료_미국심리'!$G3090,"")</f>
        <v/>
      </c>
    </row>
    <row r="3107">
      <c r="O3107">
        <f>IF(AND(ISNUMBER('자료_미국심리'!$A3091),ISNUMBER('자료_미국심리'!$B3091)),'자료_미국심리'!$A3091,"")</f>
        <v/>
      </c>
      <c r="P3107">
        <f>IF(AND(ISNUMBER('자료_미국심리'!$D3091),ISNUMBER('자료_미국심리'!$E3091)),'자료_미국심리'!$D3091,"")</f>
        <v/>
      </c>
      <c r="Q3107">
        <f>IF(AND(ISNUMBER('자료_미국심리'!$G3091),ISNUMBER('자료_미국심리'!$H3091)),'자료_미국심리'!$G3091,"")</f>
        <v/>
      </c>
    </row>
    <row r="3108">
      <c r="O3108">
        <f>IF(AND(ISNUMBER('자료_미국심리'!$A3092),ISNUMBER('자료_미국심리'!$B3092)),'자료_미국심리'!$A3092,"")</f>
        <v/>
      </c>
      <c r="P3108">
        <f>IF(AND(ISNUMBER('자료_미국심리'!$D3092),ISNUMBER('자료_미국심리'!$E3092)),'자료_미국심리'!$D3092,"")</f>
        <v/>
      </c>
      <c r="Q3108">
        <f>IF(AND(ISNUMBER('자료_미국심리'!$G3092),ISNUMBER('자료_미국심리'!$H3092)),'자료_미국심리'!$G3092,"")</f>
        <v/>
      </c>
    </row>
    <row r="3109">
      <c r="O3109">
        <f>IF(AND(ISNUMBER('자료_미국심리'!$A3093),ISNUMBER('자료_미국심리'!$B3093)),'자료_미국심리'!$A3093,"")</f>
        <v/>
      </c>
      <c r="P3109">
        <f>IF(AND(ISNUMBER('자료_미국심리'!$D3093),ISNUMBER('자료_미국심리'!$E3093)),'자료_미국심리'!$D3093,"")</f>
        <v/>
      </c>
      <c r="Q3109">
        <f>IF(AND(ISNUMBER('자료_미국심리'!$G3093),ISNUMBER('자료_미국심리'!$H3093)),'자료_미국심리'!$G3093,"")</f>
        <v/>
      </c>
    </row>
    <row r="3110">
      <c r="O3110">
        <f>IF(AND(ISNUMBER('자료_미국심리'!$A3094),ISNUMBER('자료_미국심리'!$B3094)),'자료_미국심리'!$A3094,"")</f>
        <v/>
      </c>
      <c r="P3110">
        <f>IF(AND(ISNUMBER('자료_미국심리'!$D3094),ISNUMBER('자료_미국심리'!$E3094)),'자료_미국심리'!$D3094,"")</f>
        <v/>
      </c>
      <c r="Q3110">
        <f>IF(AND(ISNUMBER('자료_미국심리'!$G3094),ISNUMBER('자료_미국심리'!$H3094)),'자료_미국심리'!$G3094,"")</f>
        <v/>
      </c>
    </row>
    <row r="3111">
      <c r="O3111">
        <f>IF(AND(ISNUMBER('자료_미국심리'!$A3095),ISNUMBER('자료_미국심리'!$B3095)),'자료_미국심리'!$A3095,"")</f>
        <v/>
      </c>
      <c r="P3111">
        <f>IF(AND(ISNUMBER('자료_미국심리'!$D3095),ISNUMBER('자료_미국심리'!$E3095)),'자료_미국심리'!$D3095,"")</f>
        <v/>
      </c>
      <c r="Q3111">
        <f>IF(AND(ISNUMBER('자료_미국심리'!$G3095),ISNUMBER('자료_미국심리'!$H3095)),'자료_미국심리'!$G3095,"")</f>
        <v/>
      </c>
    </row>
    <row r="3112">
      <c r="O3112">
        <f>IF(AND(ISNUMBER('자료_미국심리'!$A3096),ISNUMBER('자료_미국심리'!$B3096)),'자료_미국심리'!$A3096,"")</f>
        <v/>
      </c>
      <c r="P3112">
        <f>IF(AND(ISNUMBER('자료_미국심리'!$D3096),ISNUMBER('자료_미국심리'!$E3096)),'자료_미국심리'!$D3096,"")</f>
        <v/>
      </c>
      <c r="Q3112">
        <f>IF(AND(ISNUMBER('자료_미국심리'!$G3096),ISNUMBER('자료_미국심리'!$H3096)),'자료_미국심리'!$G3096,"")</f>
        <v/>
      </c>
    </row>
    <row r="3113">
      <c r="O3113">
        <f>IF(AND(ISNUMBER('자료_미국심리'!$A3097),ISNUMBER('자료_미국심리'!$B3097)),'자료_미국심리'!$A3097,"")</f>
        <v/>
      </c>
      <c r="P3113">
        <f>IF(AND(ISNUMBER('자료_미국심리'!$D3097),ISNUMBER('자료_미국심리'!$E3097)),'자료_미국심리'!$D3097,"")</f>
        <v/>
      </c>
      <c r="Q3113">
        <f>IF(AND(ISNUMBER('자료_미국심리'!$G3097),ISNUMBER('자료_미국심리'!$H3097)),'자료_미국심리'!$G3097,"")</f>
        <v/>
      </c>
    </row>
    <row r="3114">
      <c r="O3114">
        <f>IF(AND(ISNUMBER('자료_미국심리'!$A3098),ISNUMBER('자료_미국심리'!$B3098)),'자료_미국심리'!$A3098,"")</f>
        <v/>
      </c>
      <c r="P3114">
        <f>IF(AND(ISNUMBER('자료_미국심리'!$D3098),ISNUMBER('자료_미국심리'!$E3098)),'자료_미국심리'!$D3098,"")</f>
        <v/>
      </c>
      <c r="Q3114">
        <f>IF(AND(ISNUMBER('자료_미국심리'!$G3098),ISNUMBER('자료_미국심리'!$H3098)),'자료_미국심리'!$G3098,"")</f>
        <v/>
      </c>
    </row>
    <row r="3115">
      <c r="O3115">
        <f>IF(AND(ISNUMBER('자료_미국심리'!$A3099),ISNUMBER('자료_미국심리'!$B3099)),'자료_미국심리'!$A3099,"")</f>
        <v/>
      </c>
      <c r="P3115">
        <f>IF(AND(ISNUMBER('자료_미국심리'!$D3099),ISNUMBER('자료_미국심리'!$E3099)),'자료_미국심리'!$D3099,"")</f>
        <v/>
      </c>
      <c r="Q3115">
        <f>IF(AND(ISNUMBER('자료_미국심리'!$G3099),ISNUMBER('자료_미국심리'!$H3099)),'자료_미국심리'!$G3099,"")</f>
        <v/>
      </c>
    </row>
    <row r="3116">
      <c r="O3116">
        <f>IF(AND(ISNUMBER('자료_미국심리'!$A3100),ISNUMBER('자료_미국심리'!$B3100)),'자료_미국심리'!$A3100,"")</f>
        <v/>
      </c>
      <c r="P3116">
        <f>IF(AND(ISNUMBER('자료_미국심리'!$D3100),ISNUMBER('자료_미국심리'!$E3100)),'자료_미국심리'!$D3100,"")</f>
        <v/>
      </c>
      <c r="Q3116">
        <f>IF(AND(ISNUMBER('자료_미국심리'!$G3100),ISNUMBER('자료_미국심리'!$H3100)),'자료_미국심리'!$G3100,"")</f>
        <v/>
      </c>
    </row>
    <row r="3117">
      <c r="O3117">
        <f>IF(AND(ISNUMBER('자료_미국심리'!$A3101),ISNUMBER('자료_미국심리'!$B3101)),'자료_미국심리'!$A3101,"")</f>
        <v/>
      </c>
      <c r="P3117">
        <f>IF(AND(ISNUMBER('자료_미국심리'!$D3101),ISNUMBER('자료_미국심리'!$E3101)),'자료_미국심리'!$D3101,"")</f>
        <v/>
      </c>
      <c r="Q3117">
        <f>IF(AND(ISNUMBER('자료_미국심리'!$G3101),ISNUMBER('자료_미국심리'!$H3101)),'자료_미국심리'!$G3101,"")</f>
        <v/>
      </c>
    </row>
    <row r="3118">
      <c r="O3118">
        <f>IF(AND(ISNUMBER('자료_미국심리'!$A3102),ISNUMBER('자료_미국심리'!$B3102)),'자료_미국심리'!$A3102,"")</f>
        <v/>
      </c>
      <c r="P3118">
        <f>IF(AND(ISNUMBER('자료_미국심리'!$D3102),ISNUMBER('자료_미국심리'!$E3102)),'자료_미국심리'!$D3102,"")</f>
        <v/>
      </c>
      <c r="Q3118">
        <f>IF(AND(ISNUMBER('자료_미국심리'!$G3102),ISNUMBER('자료_미국심리'!$H3102)),'자료_미국심리'!$G3102,"")</f>
        <v/>
      </c>
    </row>
    <row r="3119">
      <c r="O3119">
        <f>IF(AND(ISNUMBER('자료_미국심리'!$A3103),ISNUMBER('자료_미국심리'!$B3103)),'자료_미국심리'!$A3103,"")</f>
        <v/>
      </c>
      <c r="P3119">
        <f>IF(AND(ISNUMBER('자료_미국심리'!$D3103),ISNUMBER('자료_미국심리'!$E3103)),'자료_미국심리'!$D3103,"")</f>
        <v/>
      </c>
      <c r="Q3119">
        <f>IF(AND(ISNUMBER('자료_미국심리'!$G3103),ISNUMBER('자료_미국심리'!$H3103)),'자료_미국심리'!$G3103,"")</f>
        <v/>
      </c>
    </row>
    <row r="3120">
      <c r="O3120">
        <f>IF(AND(ISNUMBER('자료_미국심리'!$A3104),ISNUMBER('자료_미국심리'!$B3104)),'자료_미국심리'!$A3104,"")</f>
        <v/>
      </c>
      <c r="P3120">
        <f>IF(AND(ISNUMBER('자료_미국심리'!$D3104),ISNUMBER('자료_미국심리'!$E3104)),'자료_미국심리'!$D3104,"")</f>
        <v/>
      </c>
      <c r="Q3120">
        <f>IF(AND(ISNUMBER('자료_미국심리'!$G3104),ISNUMBER('자료_미국심리'!$H3104)),'자료_미국심리'!$G3104,"")</f>
        <v/>
      </c>
    </row>
    <row r="3121">
      <c r="O3121">
        <f>IF(AND(ISNUMBER('자료_미국심리'!$A3105),ISNUMBER('자료_미국심리'!$B3105)),'자료_미국심리'!$A3105,"")</f>
        <v/>
      </c>
      <c r="P3121">
        <f>IF(AND(ISNUMBER('자료_미국심리'!$D3105),ISNUMBER('자료_미국심리'!$E3105)),'자료_미국심리'!$D3105,"")</f>
        <v/>
      </c>
      <c r="Q3121">
        <f>IF(AND(ISNUMBER('자료_미국심리'!$G3105),ISNUMBER('자료_미국심리'!$H3105)),'자료_미국심리'!$G3105,"")</f>
        <v/>
      </c>
    </row>
    <row r="3122">
      <c r="O3122">
        <f>IF(AND(ISNUMBER('자료_미국심리'!$A3106),ISNUMBER('자료_미국심리'!$B3106)),'자료_미국심리'!$A3106,"")</f>
        <v/>
      </c>
      <c r="P3122">
        <f>IF(AND(ISNUMBER('자료_미국심리'!$D3106),ISNUMBER('자료_미국심리'!$E3106)),'자료_미국심리'!$D3106,"")</f>
        <v/>
      </c>
      <c r="Q3122">
        <f>IF(AND(ISNUMBER('자료_미국심리'!$G3106),ISNUMBER('자료_미국심리'!$H3106)),'자료_미국심리'!$G3106,"")</f>
        <v/>
      </c>
    </row>
    <row r="3123">
      <c r="O3123">
        <f>IF(AND(ISNUMBER('자료_미국심리'!$A3107),ISNUMBER('자료_미국심리'!$B3107)),'자료_미국심리'!$A3107,"")</f>
        <v/>
      </c>
      <c r="P3123">
        <f>IF(AND(ISNUMBER('자료_미국심리'!$D3107),ISNUMBER('자료_미국심리'!$E3107)),'자료_미국심리'!$D3107,"")</f>
        <v/>
      </c>
      <c r="Q3123">
        <f>IF(AND(ISNUMBER('자료_미국심리'!$G3107),ISNUMBER('자료_미국심리'!$H3107)),'자료_미국심리'!$G3107,"")</f>
        <v/>
      </c>
    </row>
    <row r="3124">
      <c r="O3124">
        <f>IF(AND(ISNUMBER('자료_미국심리'!$A3108),ISNUMBER('자료_미국심리'!$B3108)),'자료_미국심리'!$A3108,"")</f>
        <v/>
      </c>
      <c r="P3124">
        <f>IF(AND(ISNUMBER('자료_미국심리'!$D3108),ISNUMBER('자료_미국심리'!$E3108)),'자료_미국심리'!$D3108,"")</f>
        <v/>
      </c>
      <c r="Q3124">
        <f>IF(AND(ISNUMBER('자료_미국심리'!$G3108),ISNUMBER('자료_미국심리'!$H3108)),'자료_미국심리'!$G3108,"")</f>
        <v/>
      </c>
    </row>
    <row r="3125">
      <c r="O3125">
        <f>IF(AND(ISNUMBER('자료_미국심리'!$A3109),ISNUMBER('자료_미국심리'!$B3109)),'자료_미국심리'!$A3109,"")</f>
        <v/>
      </c>
      <c r="P3125">
        <f>IF(AND(ISNUMBER('자료_미국심리'!$D3109),ISNUMBER('자료_미국심리'!$E3109)),'자료_미국심리'!$D3109,"")</f>
        <v/>
      </c>
      <c r="Q3125">
        <f>IF(AND(ISNUMBER('자료_미국심리'!$G3109),ISNUMBER('자료_미국심리'!$H3109)),'자료_미국심리'!$G3109,"")</f>
        <v/>
      </c>
    </row>
    <row r="3126">
      <c r="O3126">
        <f>IF(AND(ISNUMBER('자료_미국심리'!$A3110),ISNUMBER('자료_미국심리'!$B3110)),'자료_미국심리'!$A3110,"")</f>
        <v/>
      </c>
      <c r="P3126">
        <f>IF(AND(ISNUMBER('자료_미국심리'!$D3110),ISNUMBER('자료_미국심리'!$E3110)),'자료_미국심리'!$D3110,"")</f>
        <v/>
      </c>
      <c r="Q3126">
        <f>IF(AND(ISNUMBER('자료_미국심리'!$G3110),ISNUMBER('자료_미국심리'!$H3110)),'자료_미국심리'!$G3110,"")</f>
        <v/>
      </c>
    </row>
    <row r="3127">
      <c r="O3127">
        <f>IF(AND(ISNUMBER('자료_미국심리'!$A3111),ISNUMBER('자료_미국심리'!$B3111)),'자료_미국심리'!$A3111,"")</f>
        <v/>
      </c>
      <c r="P3127">
        <f>IF(AND(ISNUMBER('자료_미국심리'!$D3111),ISNUMBER('자료_미국심리'!$E3111)),'자료_미국심리'!$D3111,"")</f>
        <v/>
      </c>
      <c r="Q3127">
        <f>IF(AND(ISNUMBER('자료_미국심리'!$G3111),ISNUMBER('자료_미국심리'!$H3111)),'자료_미국심리'!$G3111,"")</f>
        <v/>
      </c>
    </row>
    <row r="3128">
      <c r="O3128">
        <f>IF(AND(ISNUMBER('자료_미국심리'!$A3112),ISNUMBER('자료_미국심리'!$B3112)),'자료_미국심리'!$A3112,"")</f>
        <v/>
      </c>
      <c r="P3128">
        <f>IF(AND(ISNUMBER('자료_미국심리'!$D3112),ISNUMBER('자료_미국심리'!$E3112)),'자료_미국심리'!$D3112,"")</f>
        <v/>
      </c>
      <c r="Q3128">
        <f>IF(AND(ISNUMBER('자료_미국심리'!$G3112),ISNUMBER('자료_미국심리'!$H3112)),'자료_미국심리'!$G3112,"")</f>
        <v/>
      </c>
    </row>
    <row r="3129">
      <c r="O3129">
        <f>IF(AND(ISNUMBER('자료_미국심리'!$A3113),ISNUMBER('자료_미국심리'!$B3113)),'자료_미국심리'!$A3113,"")</f>
        <v/>
      </c>
      <c r="P3129">
        <f>IF(AND(ISNUMBER('자료_미국심리'!$D3113),ISNUMBER('자료_미국심리'!$E3113)),'자료_미국심리'!$D3113,"")</f>
        <v/>
      </c>
      <c r="Q3129">
        <f>IF(AND(ISNUMBER('자료_미국심리'!$G3113),ISNUMBER('자료_미국심리'!$H3113)),'자료_미국심리'!$G3113,"")</f>
        <v/>
      </c>
    </row>
    <row r="3130">
      <c r="O3130">
        <f>IF(AND(ISNUMBER('자료_미국심리'!$A3114),ISNUMBER('자료_미국심리'!$B3114)),'자료_미국심리'!$A3114,"")</f>
        <v/>
      </c>
      <c r="P3130">
        <f>IF(AND(ISNUMBER('자료_미국심리'!$D3114),ISNUMBER('자료_미국심리'!$E3114)),'자료_미국심리'!$D3114,"")</f>
        <v/>
      </c>
      <c r="Q3130">
        <f>IF(AND(ISNUMBER('자료_미국심리'!$G3114),ISNUMBER('자료_미국심리'!$H3114)),'자료_미국심리'!$G3114,"")</f>
        <v/>
      </c>
    </row>
    <row r="3131">
      <c r="O3131">
        <f>IF(AND(ISNUMBER('자료_미국심리'!$A3115),ISNUMBER('자료_미국심리'!$B3115)),'자료_미국심리'!$A3115,"")</f>
        <v/>
      </c>
      <c r="P3131">
        <f>IF(AND(ISNUMBER('자료_미국심리'!$D3115),ISNUMBER('자료_미국심리'!$E3115)),'자료_미국심리'!$D3115,"")</f>
        <v/>
      </c>
      <c r="Q3131">
        <f>IF(AND(ISNUMBER('자료_미국심리'!$G3115),ISNUMBER('자료_미국심리'!$H3115)),'자료_미국심리'!$G3115,"")</f>
        <v/>
      </c>
    </row>
    <row r="3132">
      <c r="O3132">
        <f>IF(AND(ISNUMBER('자료_미국심리'!$A3116),ISNUMBER('자료_미국심리'!$B3116)),'자료_미국심리'!$A3116,"")</f>
        <v/>
      </c>
      <c r="P3132">
        <f>IF(AND(ISNUMBER('자료_미국심리'!$D3116),ISNUMBER('자료_미국심리'!$E3116)),'자료_미국심리'!$D3116,"")</f>
        <v/>
      </c>
      <c r="Q3132">
        <f>IF(AND(ISNUMBER('자료_미국심리'!$G3116),ISNUMBER('자료_미국심리'!$H3116)),'자료_미국심리'!$G3116,"")</f>
        <v/>
      </c>
    </row>
    <row r="3133">
      <c r="O3133">
        <f>IF(AND(ISNUMBER('자료_미국심리'!$A3117),ISNUMBER('자료_미국심리'!$B3117)),'자료_미국심리'!$A3117,"")</f>
        <v/>
      </c>
      <c r="P3133">
        <f>IF(AND(ISNUMBER('자료_미국심리'!$D3117),ISNUMBER('자료_미국심리'!$E3117)),'자료_미국심리'!$D3117,"")</f>
        <v/>
      </c>
      <c r="Q3133">
        <f>IF(AND(ISNUMBER('자료_미국심리'!$G3117),ISNUMBER('자료_미국심리'!$H3117)),'자료_미국심리'!$G3117,"")</f>
        <v/>
      </c>
    </row>
    <row r="3134">
      <c r="O3134">
        <f>IF(AND(ISNUMBER('자료_미국심리'!$A3118),ISNUMBER('자료_미국심리'!$B3118)),'자료_미국심리'!$A3118,"")</f>
        <v/>
      </c>
      <c r="P3134">
        <f>IF(AND(ISNUMBER('자료_미국심리'!$D3118),ISNUMBER('자료_미국심리'!$E3118)),'자료_미국심리'!$D3118,"")</f>
        <v/>
      </c>
      <c r="Q3134">
        <f>IF(AND(ISNUMBER('자료_미국심리'!$G3118),ISNUMBER('자료_미국심리'!$H3118)),'자료_미국심리'!$G3118,"")</f>
        <v/>
      </c>
    </row>
    <row r="3135">
      <c r="O3135">
        <f>IF(AND(ISNUMBER('자료_미국심리'!$A3119),ISNUMBER('자료_미국심리'!$B3119)),'자료_미국심리'!$A3119,"")</f>
        <v/>
      </c>
      <c r="P3135">
        <f>IF(AND(ISNUMBER('자료_미국심리'!$D3119),ISNUMBER('자료_미국심리'!$E3119)),'자료_미국심리'!$D3119,"")</f>
        <v/>
      </c>
      <c r="Q3135">
        <f>IF(AND(ISNUMBER('자료_미국심리'!$G3119),ISNUMBER('자료_미국심리'!$H3119)),'자료_미국심리'!$G3119,"")</f>
        <v/>
      </c>
    </row>
    <row r="3136">
      <c r="O3136">
        <f>IF(AND(ISNUMBER('자료_미국심리'!$A3120),ISNUMBER('자료_미국심리'!$B3120)),'자료_미국심리'!$A3120,"")</f>
        <v/>
      </c>
      <c r="P3136">
        <f>IF(AND(ISNUMBER('자료_미국심리'!$D3120),ISNUMBER('자료_미국심리'!$E3120)),'자료_미국심리'!$D3120,"")</f>
        <v/>
      </c>
      <c r="Q3136">
        <f>IF(AND(ISNUMBER('자료_미국심리'!$G3120),ISNUMBER('자료_미국심리'!$H3120)),'자료_미국심리'!$G3120,"")</f>
        <v/>
      </c>
    </row>
    <row r="3137">
      <c r="O3137">
        <f>IF(AND(ISNUMBER('자료_미국심리'!$A3121),ISNUMBER('자료_미국심리'!$B3121)),'자료_미국심리'!$A3121,"")</f>
        <v/>
      </c>
      <c r="P3137">
        <f>IF(AND(ISNUMBER('자료_미국심리'!$D3121),ISNUMBER('자료_미국심리'!$E3121)),'자료_미국심리'!$D3121,"")</f>
        <v/>
      </c>
      <c r="Q3137">
        <f>IF(AND(ISNUMBER('자료_미국심리'!$G3121),ISNUMBER('자료_미국심리'!$H3121)),'자료_미국심리'!$G3121,"")</f>
        <v/>
      </c>
    </row>
    <row r="3138">
      <c r="O3138">
        <f>IF(AND(ISNUMBER('자료_미국심리'!$A3122),ISNUMBER('자료_미국심리'!$B3122)),'자료_미국심리'!$A3122,"")</f>
        <v/>
      </c>
      <c r="P3138">
        <f>IF(AND(ISNUMBER('자료_미국심리'!$D3122),ISNUMBER('자료_미국심리'!$E3122)),'자료_미국심리'!$D3122,"")</f>
        <v/>
      </c>
      <c r="Q3138">
        <f>IF(AND(ISNUMBER('자료_미국심리'!$G3122),ISNUMBER('자료_미국심리'!$H3122)),'자료_미국심리'!$G3122,"")</f>
        <v/>
      </c>
    </row>
    <row r="3139">
      <c r="O3139">
        <f>IF(AND(ISNUMBER('자료_미국심리'!$A3123),ISNUMBER('자료_미국심리'!$B3123)),'자료_미국심리'!$A3123,"")</f>
        <v/>
      </c>
      <c r="P3139">
        <f>IF(AND(ISNUMBER('자료_미국심리'!$D3123),ISNUMBER('자료_미국심리'!$E3123)),'자료_미국심리'!$D3123,"")</f>
        <v/>
      </c>
      <c r="Q3139">
        <f>IF(AND(ISNUMBER('자료_미국심리'!$G3123),ISNUMBER('자료_미국심리'!$H3123)),'자료_미국심리'!$G3123,"")</f>
        <v/>
      </c>
    </row>
    <row r="3140">
      <c r="O3140">
        <f>IF(AND(ISNUMBER('자료_미국심리'!$A3124),ISNUMBER('자료_미국심리'!$B3124)),'자료_미국심리'!$A3124,"")</f>
        <v/>
      </c>
      <c r="P3140">
        <f>IF(AND(ISNUMBER('자료_미국심리'!$D3124),ISNUMBER('자료_미국심리'!$E3124)),'자료_미국심리'!$D3124,"")</f>
        <v/>
      </c>
      <c r="Q3140">
        <f>IF(AND(ISNUMBER('자료_미국심리'!$G3124),ISNUMBER('자료_미국심리'!$H3124)),'자료_미국심리'!$G3124,"")</f>
        <v/>
      </c>
    </row>
    <row r="3141">
      <c r="O3141">
        <f>IF(AND(ISNUMBER('자료_미국심리'!$A3125),ISNUMBER('자료_미국심리'!$B3125)),'자료_미국심리'!$A3125,"")</f>
        <v/>
      </c>
      <c r="P3141">
        <f>IF(AND(ISNUMBER('자료_미국심리'!$D3125),ISNUMBER('자료_미국심리'!$E3125)),'자료_미국심리'!$D3125,"")</f>
        <v/>
      </c>
      <c r="Q3141">
        <f>IF(AND(ISNUMBER('자료_미국심리'!$G3125),ISNUMBER('자료_미국심리'!$H3125)),'자료_미국심리'!$G3125,"")</f>
        <v/>
      </c>
    </row>
    <row r="3142">
      <c r="O3142">
        <f>IF(AND(ISNUMBER('자료_미국심리'!$A3126),ISNUMBER('자료_미국심리'!$B3126)),'자료_미국심리'!$A3126,"")</f>
        <v/>
      </c>
      <c r="P3142">
        <f>IF(AND(ISNUMBER('자료_미국심리'!$D3126),ISNUMBER('자료_미국심리'!$E3126)),'자료_미국심리'!$D3126,"")</f>
        <v/>
      </c>
      <c r="Q3142">
        <f>IF(AND(ISNUMBER('자료_미국심리'!$G3126),ISNUMBER('자료_미국심리'!$H3126)),'자료_미국심리'!$G3126,"")</f>
        <v/>
      </c>
    </row>
    <row r="3143">
      <c r="O3143">
        <f>IF(AND(ISNUMBER('자료_미국심리'!$A3127),ISNUMBER('자료_미국심리'!$B3127)),'자료_미국심리'!$A3127,"")</f>
        <v/>
      </c>
      <c r="P3143">
        <f>IF(AND(ISNUMBER('자료_미국심리'!$D3127),ISNUMBER('자료_미국심리'!$E3127)),'자료_미국심리'!$D3127,"")</f>
        <v/>
      </c>
      <c r="Q3143">
        <f>IF(AND(ISNUMBER('자료_미국심리'!$G3127),ISNUMBER('자료_미국심리'!$H3127)),'자료_미국심리'!$G3127,"")</f>
        <v/>
      </c>
    </row>
    <row r="3144">
      <c r="O3144">
        <f>IF(AND(ISNUMBER('자료_미국심리'!$A3128),ISNUMBER('자료_미국심리'!$B3128)),'자료_미국심리'!$A3128,"")</f>
        <v/>
      </c>
      <c r="P3144">
        <f>IF(AND(ISNUMBER('자료_미국심리'!$D3128),ISNUMBER('자료_미국심리'!$E3128)),'자료_미국심리'!$D3128,"")</f>
        <v/>
      </c>
      <c r="Q3144">
        <f>IF(AND(ISNUMBER('자료_미국심리'!$G3128),ISNUMBER('자료_미국심리'!$H3128)),'자료_미국심리'!$G3128,"")</f>
        <v/>
      </c>
    </row>
    <row r="3145">
      <c r="O3145">
        <f>IF(AND(ISNUMBER('자료_미국심리'!$A3129),ISNUMBER('자료_미국심리'!$B3129)),'자료_미국심리'!$A3129,"")</f>
        <v/>
      </c>
      <c r="P3145">
        <f>IF(AND(ISNUMBER('자료_미국심리'!$D3129),ISNUMBER('자료_미국심리'!$E3129)),'자료_미국심리'!$D3129,"")</f>
        <v/>
      </c>
      <c r="Q3145">
        <f>IF(AND(ISNUMBER('자료_미국심리'!$G3129),ISNUMBER('자료_미국심리'!$H3129)),'자료_미국심리'!$G3129,"")</f>
        <v/>
      </c>
    </row>
    <row r="3146">
      <c r="O3146">
        <f>IF(AND(ISNUMBER('자료_미국심리'!$A3130),ISNUMBER('자료_미국심리'!$B3130)),'자료_미국심리'!$A3130,"")</f>
        <v/>
      </c>
      <c r="P3146">
        <f>IF(AND(ISNUMBER('자료_미국심리'!$D3130),ISNUMBER('자료_미국심리'!$E3130)),'자료_미국심리'!$D3130,"")</f>
        <v/>
      </c>
      <c r="Q3146">
        <f>IF(AND(ISNUMBER('자료_미국심리'!$G3130),ISNUMBER('자료_미국심리'!$H3130)),'자료_미국심리'!$G3130,"")</f>
        <v/>
      </c>
    </row>
    <row r="3147">
      <c r="O3147">
        <f>IF(AND(ISNUMBER('자료_미국심리'!$A3131),ISNUMBER('자료_미국심리'!$B3131)),'자료_미국심리'!$A3131,"")</f>
        <v/>
      </c>
      <c r="P3147">
        <f>IF(AND(ISNUMBER('자료_미국심리'!$D3131),ISNUMBER('자료_미국심리'!$E3131)),'자료_미국심리'!$D3131,"")</f>
        <v/>
      </c>
      <c r="Q3147">
        <f>IF(AND(ISNUMBER('자료_미국심리'!$G3131),ISNUMBER('자료_미국심리'!$H3131)),'자료_미국심리'!$G3131,"")</f>
        <v/>
      </c>
    </row>
    <row r="3148">
      <c r="O3148">
        <f>IF(AND(ISNUMBER('자료_미국심리'!$A3132),ISNUMBER('자료_미국심리'!$B3132)),'자료_미국심리'!$A3132,"")</f>
        <v/>
      </c>
      <c r="P3148">
        <f>IF(AND(ISNUMBER('자료_미국심리'!$D3132),ISNUMBER('자료_미국심리'!$E3132)),'자료_미국심리'!$D3132,"")</f>
        <v/>
      </c>
      <c r="Q3148">
        <f>IF(AND(ISNUMBER('자료_미국심리'!$G3132),ISNUMBER('자료_미국심리'!$H3132)),'자료_미국심리'!$G3132,"")</f>
        <v/>
      </c>
    </row>
    <row r="3149">
      <c r="O3149">
        <f>IF(AND(ISNUMBER('자료_미국심리'!$A3133),ISNUMBER('자료_미국심리'!$B3133)),'자료_미국심리'!$A3133,"")</f>
        <v/>
      </c>
      <c r="P3149">
        <f>IF(AND(ISNUMBER('자료_미국심리'!$D3133),ISNUMBER('자료_미국심리'!$E3133)),'자료_미국심리'!$D3133,"")</f>
        <v/>
      </c>
      <c r="Q3149">
        <f>IF(AND(ISNUMBER('자료_미국심리'!$G3133),ISNUMBER('자료_미국심리'!$H3133)),'자료_미국심리'!$G3133,"")</f>
        <v/>
      </c>
    </row>
    <row r="3150">
      <c r="O3150">
        <f>IF(AND(ISNUMBER('자료_미국심리'!$A3134),ISNUMBER('자료_미국심리'!$B3134)),'자료_미국심리'!$A3134,"")</f>
        <v/>
      </c>
      <c r="P3150">
        <f>IF(AND(ISNUMBER('자료_미국심리'!$D3134),ISNUMBER('자료_미국심리'!$E3134)),'자료_미국심리'!$D3134,"")</f>
        <v/>
      </c>
      <c r="Q3150">
        <f>IF(AND(ISNUMBER('자료_미국심리'!$G3134),ISNUMBER('자료_미국심리'!$H3134)),'자료_미국심리'!$G3134,"")</f>
        <v/>
      </c>
    </row>
    <row r="3151">
      <c r="O3151">
        <f>IF(AND(ISNUMBER('자료_미국심리'!$A3135),ISNUMBER('자료_미국심리'!$B3135)),'자료_미국심리'!$A3135,"")</f>
        <v/>
      </c>
      <c r="P3151">
        <f>IF(AND(ISNUMBER('자료_미국심리'!$D3135),ISNUMBER('자료_미국심리'!$E3135)),'자료_미국심리'!$D3135,"")</f>
        <v/>
      </c>
      <c r="Q3151">
        <f>IF(AND(ISNUMBER('자료_미국심리'!$G3135),ISNUMBER('자료_미국심리'!$H3135)),'자료_미국심리'!$G3135,"")</f>
        <v/>
      </c>
    </row>
    <row r="3152">
      <c r="O3152">
        <f>IF(AND(ISNUMBER('자료_미국심리'!$A3136),ISNUMBER('자료_미국심리'!$B3136)),'자료_미국심리'!$A3136,"")</f>
        <v/>
      </c>
      <c r="P3152">
        <f>IF(AND(ISNUMBER('자료_미국심리'!$D3136),ISNUMBER('자료_미국심리'!$E3136)),'자료_미국심리'!$D3136,"")</f>
        <v/>
      </c>
      <c r="Q3152">
        <f>IF(AND(ISNUMBER('자료_미국심리'!$G3136),ISNUMBER('자료_미국심리'!$H3136)),'자료_미국심리'!$G3136,"")</f>
        <v/>
      </c>
    </row>
    <row r="3153">
      <c r="O3153">
        <f>IF(AND(ISNUMBER('자료_미국심리'!$A3137),ISNUMBER('자료_미국심리'!$B3137)),'자료_미국심리'!$A3137,"")</f>
        <v/>
      </c>
      <c r="P3153">
        <f>IF(AND(ISNUMBER('자료_미국심리'!$D3137),ISNUMBER('자료_미국심리'!$E3137)),'자료_미국심리'!$D3137,"")</f>
        <v/>
      </c>
      <c r="Q3153">
        <f>IF(AND(ISNUMBER('자료_미국심리'!$G3137),ISNUMBER('자료_미국심리'!$H3137)),'자료_미국심리'!$G3137,"")</f>
        <v/>
      </c>
    </row>
    <row r="3154">
      <c r="O3154">
        <f>IF(AND(ISNUMBER('자료_미국심리'!$A3138),ISNUMBER('자료_미국심리'!$B3138)),'자료_미국심리'!$A3138,"")</f>
        <v/>
      </c>
      <c r="P3154">
        <f>IF(AND(ISNUMBER('자료_미국심리'!$D3138),ISNUMBER('자료_미국심리'!$E3138)),'자료_미국심리'!$D3138,"")</f>
        <v/>
      </c>
      <c r="Q3154">
        <f>IF(AND(ISNUMBER('자료_미국심리'!$G3138),ISNUMBER('자료_미국심리'!$H3138)),'자료_미국심리'!$G3138,"")</f>
        <v/>
      </c>
    </row>
    <row r="3155">
      <c r="O3155">
        <f>IF(AND(ISNUMBER('자료_미국심리'!$A3139),ISNUMBER('자료_미국심리'!$B3139)),'자료_미국심리'!$A3139,"")</f>
        <v/>
      </c>
      <c r="P3155">
        <f>IF(AND(ISNUMBER('자료_미국심리'!$D3139),ISNUMBER('자료_미국심리'!$E3139)),'자료_미국심리'!$D3139,"")</f>
        <v/>
      </c>
      <c r="Q3155">
        <f>IF(AND(ISNUMBER('자료_미국심리'!$G3139),ISNUMBER('자료_미국심리'!$H3139)),'자료_미국심리'!$G3139,"")</f>
        <v/>
      </c>
    </row>
    <row r="3156">
      <c r="O3156">
        <f>IF(AND(ISNUMBER('자료_미국심리'!$A3140),ISNUMBER('자료_미국심리'!$B3140)),'자료_미국심리'!$A3140,"")</f>
        <v/>
      </c>
      <c r="P3156">
        <f>IF(AND(ISNUMBER('자료_미국심리'!$D3140),ISNUMBER('자료_미국심리'!$E3140)),'자료_미국심리'!$D3140,"")</f>
        <v/>
      </c>
      <c r="Q3156">
        <f>IF(AND(ISNUMBER('자료_미국심리'!$G3140),ISNUMBER('자료_미국심리'!$H3140)),'자료_미국심리'!$G3140,"")</f>
        <v/>
      </c>
    </row>
    <row r="3157">
      <c r="O3157">
        <f>IF(AND(ISNUMBER('자료_미국심리'!$A3141),ISNUMBER('자료_미국심리'!$B3141)),'자료_미국심리'!$A3141,"")</f>
        <v/>
      </c>
      <c r="P3157">
        <f>IF(AND(ISNUMBER('자료_미국심리'!$D3141),ISNUMBER('자료_미국심리'!$E3141)),'자료_미국심리'!$D3141,"")</f>
        <v/>
      </c>
      <c r="Q3157">
        <f>IF(AND(ISNUMBER('자료_미국심리'!$G3141),ISNUMBER('자료_미국심리'!$H3141)),'자료_미국심리'!$G3141,"")</f>
        <v/>
      </c>
    </row>
    <row r="3158">
      <c r="O3158">
        <f>IF(AND(ISNUMBER('자료_미국심리'!$A3142),ISNUMBER('자료_미국심리'!$B3142)),'자료_미국심리'!$A3142,"")</f>
        <v/>
      </c>
      <c r="P3158">
        <f>IF(AND(ISNUMBER('자료_미국심리'!$D3142),ISNUMBER('자료_미국심리'!$E3142)),'자료_미국심리'!$D3142,"")</f>
        <v/>
      </c>
      <c r="Q3158">
        <f>IF(AND(ISNUMBER('자료_미국심리'!$G3142),ISNUMBER('자료_미국심리'!$H3142)),'자료_미국심리'!$G3142,"")</f>
        <v/>
      </c>
    </row>
    <row r="3159">
      <c r="O3159">
        <f>IF(AND(ISNUMBER('자료_미국심리'!$A3143),ISNUMBER('자료_미국심리'!$B3143)),'자료_미국심리'!$A3143,"")</f>
        <v/>
      </c>
      <c r="P3159">
        <f>IF(AND(ISNUMBER('자료_미국심리'!$D3143),ISNUMBER('자료_미국심리'!$E3143)),'자료_미국심리'!$D3143,"")</f>
        <v/>
      </c>
      <c r="Q3159">
        <f>IF(AND(ISNUMBER('자료_미국심리'!$G3143),ISNUMBER('자료_미국심리'!$H3143)),'자료_미국심리'!$G3143,"")</f>
        <v/>
      </c>
    </row>
    <row r="3160">
      <c r="O3160">
        <f>IF(AND(ISNUMBER('자료_미국심리'!$A3144),ISNUMBER('자료_미국심리'!$B3144)),'자료_미국심리'!$A3144,"")</f>
        <v/>
      </c>
      <c r="P3160">
        <f>IF(AND(ISNUMBER('자료_미국심리'!$D3144),ISNUMBER('자료_미국심리'!$E3144)),'자료_미국심리'!$D3144,"")</f>
        <v/>
      </c>
      <c r="Q3160">
        <f>IF(AND(ISNUMBER('자료_미국심리'!$G3144),ISNUMBER('자료_미국심리'!$H3144)),'자료_미국심리'!$G3144,"")</f>
        <v/>
      </c>
    </row>
    <row r="3161">
      <c r="O3161">
        <f>IF(AND(ISNUMBER('자료_미국심리'!$A3145),ISNUMBER('자료_미국심리'!$B3145)),'자료_미국심리'!$A3145,"")</f>
        <v/>
      </c>
      <c r="P3161">
        <f>IF(AND(ISNUMBER('자료_미국심리'!$D3145),ISNUMBER('자료_미국심리'!$E3145)),'자료_미국심리'!$D3145,"")</f>
        <v/>
      </c>
      <c r="Q3161">
        <f>IF(AND(ISNUMBER('자료_미국심리'!$G3145),ISNUMBER('자료_미국심리'!$H3145)),'자료_미국심리'!$G3145,"")</f>
        <v/>
      </c>
    </row>
    <row r="3162">
      <c r="O3162">
        <f>IF(AND(ISNUMBER('자료_미국심리'!$A3146),ISNUMBER('자료_미국심리'!$B3146)),'자료_미국심리'!$A3146,"")</f>
        <v/>
      </c>
      <c r="P3162">
        <f>IF(AND(ISNUMBER('자료_미국심리'!$D3146),ISNUMBER('자료_미국심리'!$E3146)),'자료_미국심리'!$D3146,"")</f>
        <v/>
      </c>
      <c r="Q3162">
        <f>IF(AND(ISNUMBER('자료_미국심리'!$G3146),ISNUMBER('자료_미국심리'!$H3146)),'자료_미국심리'!$G3146,"")</f>
        <v/>
      </c>
    </row>
    <row r="3163">
      <c r="O3163">
        <f>IF(AND(ISNUMBER('자료_미국심리'!$A3147),ISNUMBER('자료_미국심리'!$B3147)),'자료_미국심리'!$A3147,"")</f>
        <v/>
      </c>
      <c r="P3163">
        <f>IF(AND(ISNUMBER('자료_미국심리'!$D3147),ISNUMBER('자료_미국심리'!$E3147)),'자료_미국심리'!$D3147,"")</f>
        <v/>
      </c>
      <c r="Q3163">
        <f>IF(AND(ISNUMBER('자료_미국심리'!$G3147),ISNUMBER('자료_미국심리'!$H3147)),'자료_미국심리'!$G3147,"")</f>
        <v/>
      </c>
    </row>
    <row r="3164">
      <c r="O3164">
        <f>IF(AND(ISNUMBER('자료_미국심리'!$A3148),ISNUMBER('자료_미국심리'!$B3148)),'자료_미국심리'!$A3148,"")</f>
        <v/>
      </c>
      <c r="P3164">
        <f>IF(AND(ISNUMBER('자료_미국심리'!$D3148),ISNUMBER('자료_미국심리'!$E3148)),'자료_미국심리'!$D3148,"")</f>
        <v/>
      </c>
      <c r="Q3164">
        <f>IF(AND(ISNUMBER('자료_미국심리'!$G3148),ISNUMBER('자료_미국심리'!$H3148)),'자료_미국심리'!$G3148,"")</f>
        <v/>
      </c>
    </row>
    <row r="3165">
      <c r="O3165">
        <f>IF(AND(ISNUMBER('자료_미국심리'!$A3149),ISNUMBER('자료_미국심리'!$B3149)),'자료_미국심리'!$A3149,"")</f>
        <v/>
      </c>
      <c r="P3165">
        <f>IF(AND(ISNUMBER('자료_미국심리'!$D3149),ISNUMBER('자료_미국심리'!$E3149)),'자료_미국심리'!$D3149,"")</f>
        <v/>
      </c>
      <c r="Q3165">
        <f>IF(AND(ISNUMBER('자료_미국심리'!$G3149),ISNUMBER('자료_미국심리'!$H3149)),'자료_미국심리'!$G3149,"")</f>
        <v/>
      </c>
    </row>
    <row r="3166">
      <c r="O3166">
        <f>IF(AND(ISNUMBER('자료_미국심리'!$A3150),ISNUMBER('자료_미국심리'!$B3150)),'자료_미국심리'!$A3150,"")</f>
        <v/>
      </c>
      <c r="P3166">
        <f>IF(AND(ISNUMBER('자료_미국심리'!$D3150),ISNUMBER('자료_미국심리'!$E3150)),'자료_미국심리'!$D3150,"")</f>
        <v/>
      </c>
      <c r="Q3166">
        <f>IF(AND(ISNUMBER('자료_미국심리'!$G3150),ISNUMBER('자료_미국심리'!$H3150)),'자료_미국심리'!$G3150,"")</f>
        <v/>
      </c>
    </row>
    <row r="3167">
      <c r="O3167">
        <f>IF(AND(ISNUMBER('자료_미국심리'!$A3151),ISNUMBER('자료_미국심리'!$B3151)),'자료_미국심리'!$A3151,"")</f>
        <v/>
      </c>
      <c r="P3167">
        <f>IF(AND(ISNUMBER('자료_미국심리'!$D3151),ISNUMBER('자료_미국심리'!$E3151)),'자료_미국심리'!$D3151,"")</f>
        <v/>
      </c>
      <c r="Q3167">
        <f>IF(AND(ISNUMBER('자료_미국심리'!$G3151),ISNUMBER('자료_미국심리'!$H3151)),'자료_미국심리'!$G3151,"")</f>
        <v/>
      </c>
    </row>
    <row r="3168">
      <c r="O3168">
        <f>IF(AND(ISNUMBER('자료_미국심리'!$A3152),ISNUMBER('자료_미국심리'!$B3152)),'자료_미국심리'!$A3152,"")</f>
        <v/>
      </c>
      <c r="P3168">
        <f>IF(AND(ISNUMBER('자료_미국심리'!$D3152),ISNUMBER('자료_미국심리'!$E3152)),'자료_미국심리'!$D3152,"")</f>
        <v/>
      </c>
      <c r="Q3168">
        <f>IF(AND(ISNUMBER('자료_미국심리'!$G3152),ISNUMBER('자료_미국심리'!$H3152)),'자료_미국심리'!$G3152,"")</f>
        <v/>
      </c>
    </row>
    <row r="3169">
      <c r="O3169">
        <f>IF(AND(ISNUMBER('자료_미국심리'!$A3153),ISNUMBER('자료_미국심리'!$B3153)),'자료_미국심리'!$A3153,"")</f>
        <v/>
      </c>
      <c r="P3169">
        <f>IF(AND(ISNUMBER('자료_미국심리'!$D3153),ISNUMBER('자료_미국심리'!$E3153)),'자료_미국심리'!$D3153,"")</f>
        <v/>
      </c>
      <c r="Q3169">
        <f>IF(AND(ISNUMBER('자료_미국심리'!$G3153),ISNUMBER('자료_미국심리'!$H3153)),'자료_미국심리'!$G3153,"")</f>
        <v/>
      </c>
    </row>
    <row r="3170">
      <c r="O3170">
        <f>IF(AND(ISNUMBER('자료_미국심리'!$A3154),ISNUMBER('자료_미국심리'!$B3154)),'자료_미국심리'!$A3154,"")</f>
        <v/>
      </c>
      <c r="P3170">
        <f>IF(AND(ISNUMBER('자료_미국심리'!$D3154),ISNUMBER('자료_미국심리'!$E3154)),'자료_미국심리'!$D3154,"")</f>
        <v/>
      </c>
      <c r="Q3170">
        <f>IF(AND(ISNUMBER('자료_미국심리'!$G3154),ISNUMBER('자료_미국심리'!$H3154)),'자료_미국심리'!$G3154,"")</f>
        <v/>
      </c>
    </row>
    <row r="3171">
      <c r="O3171">
        <f>IF(AND(ISNUMBER('자료_미국심리'!$A3155),ISNUMBER('자료_미국심리'!$B3155)),'자료_미국심리'!$A3155,"")</f>
        <v/>
      </c>
      <c r="P3171">
        <f>IF(AND(ISNUMBER('자료_미국심리'!$D3155),ISNUMBER('자료_미국심리'!$E3155)),'자료_미국심리'!$D3155,"")</f>
        <v/>
      </c>
      <c r="Q3171">
        <f>IF(AND(ISNUMBER('자료_미국심리'!$G3155),ISNUMBER('자료_미국심리'!$H3155)),'자료_미국심리'!$G3155,"")</f>
        <v/>
      </c>
    </row>
    <row r="3172">
      <c r="O3172">
        <f>IF(AND(ISNUMBER('자료_미국심리'!$A3156),ISNUMBER('자료_미국심리'!$B3156)),'자료_미국심리'!$A3156,"")</f>
        <v/>
      </c>
      <c r="P3172">
        <f>IF(AND(ISNUMBER('자료_미국심리'!$D3156),ISNUMBER('자료_미국심리'!$E3156)),'자료_미국심리'!$D3156,"")</f>
        <v/>
      </c>
      <c r="Q3172">
        <f>IF(AND(ISNUMBER('자료_미국심리'!$G3156),ISNUMBER('자료_미국심리'!$H3156)),'자료_미국심리'!$G3156,"")</f>
        <v/>
      </c>
    </row>
    <row r="3173">
      <c r="O3173">
        <f>IF(AND(ISNUMBER('자료_미국심리'!$A3157),ISNUMBER('자료_미국심리'!$B3157)),'자료_미국심리'!$A3157,"")</f>
        <v/>
      </c>
      <c r="P3173">
        <f>IF(AND(ISNUMBER('자료_미국심리'!$D3157),ISNUMBER('자료_미국심리'!$E3157)),'자료_미국심리'!$D3157,"")</f>
        <v/>
      </c>
      <c r="Q3173">
        <f>IF(AND(ISNUMBER('자료_미국심리'!$G3157),ISNUMBER('자료_미국심리'!$H3157)),'자료_미국심리'!$G3157,"")</f>
        <v/>
      </c>
    </row>
    <row r="3174">
      <c r="O3174">
        <f>IF(AND(ISNUMBER('자료_미국심리'!$A3158),ISNUMBER('자료_미국심리'!$B3158)),'자료_미국심리'!$A3158,"")</f>
        <v/>
      </c>
      <c r="P3174">
        <f>IF(AND(ISNUMBER('자료_미국심리'!$D3158),ISNUMBER('자료_미국심리'!$E3158)),'자료_미국심리'!$D3158,"")</f>
        <v/>
      </c>
      <c r="Q3174">
        <f>IF(AND(ISNUMBER('자료_미국심리'!$G3158),ISNUMBER('자료_미국심리'!$H3158)),'자료_미국심리'!$G3158,"")</f>
        <v/>
      </c>
    </row>
    <row r="3175">
      <c r="O3175">
        <f>IF(AND(ISNUMBER('자료_미국심리'!$A3159),ISNUMBER('자료_미국심리'!$B3159)),'자료_미국심리'!$A3159,"")</f>
        <v/>
      </c>
      <c r="P3175">
        <f>IF(AND(ISNUMBER('자료_미국심리'!$D3159),ISNUMBER('자료_미국심리'!$E3159)),'자료_미국심리'!$D3159,"")</f>
        <v/>
      </c>
      <c r="Q3175">
        <f>IF(AND(ISNUMBER('자료_미국심리'!$G3159),ISNUMBER('자료_미국심리'!$H3159)),'자료_미국심리'!$G3159,"")</f>
        <v/>
      </c>
    </row>
    <row r="3176">
      <c r="O3176">
        <f>IF(AND(ISNUMBER('자료_미국심리'!$A3160),ISNUMBER('자료_미국심리'!$B3160)),'자료_미국심리'!$A3160,"")</f>
        <v/>
      </c>
      <c r="P3176">
        <f>IF(AND(ISNUMBER('자료_미국심리'!$D3160),ISNUMBER('자료_미국심리'!$E3160)),'자료_미국심리'!$D3160,"")</f>
        <v/>
      </c>
      <c r="Q3176">
        <f>IF(AND(ISNUMBER('자료_미국심리'!$G3160),ISNUMBER('자료_미국심리'!$H3160)),'자료_미국심리'!$G3160,"")</f>
        <v/>
      </c>
    </row>
    <row r="3177">
      <c r="O3177">
        <f>IF(AND(ISNUMBER('자료_미국심리'!$A3161),ISNUMBER('자료_미국심리'!$B3161)),'자료_미국심리'!$A3161,"")</f>
        <v/>
      </c>
      <c r="P3177">
        <f>IF(AND(ISNUMBER('자료_미국심리'!$D3161),ISNUMBER('자료_미국심리'!$E3161)),'자료_미국심리'!$D3161,"")</f>
        <v/>
      </c>
      <c r="Q3177">
        <f>IF(AND(ISNUMBER('자료_미국심리'!$G3161),ISNUMBER('자료_미국심리'!$H3161)),'자료_미국심리'!$G3161,"")</f>
        <v/>
      </c>
    </row>
    <row r="3178">
      <c r="O3178">
        <f>IF(AND(ISNUMBER('자료_미국심리'!$A3162),ISNUMBER('자료_미국심리'!$B3162)),'자료_미국심리'!$A3162,"")</f>
        <v/>
      </c>
      <c r="P3178">
        <f>IF(AND(ISNUMBER('자료_미국심리'!$D3162),ISNUMBER('자료_미국심리'!$E3162)),'자료_미국심리'!$D3162,"")</f>
        <v/>
      </c>
      <c r="Q3178">
        <f>IF(AND(ISNUMBER('자료_미국심리'!$G3162),ISNUMBER('자료_미국심리'!$H3162)),'자료_미국심리'!$G3162,"")</f>
        <v/>
      </c>
    </row>
    <row r="3179">
      <c r="O3179">
        <f>IF(AND(ISNUMBER('자료_미국심리'!$A3163),ISNUMBER('자료_미국심리'!$B3163)),'자료_미국심리'!$A3163,"")</f>
        <v/>
      </c>
      <c r="P3179">
        <f>IF(AND(ISNUMBER('자료_미국심리'!$D3163),ISNUMBER('자료_미국심리'!$E3163)),'자료_미국심리'!$D3163,"")</f>
        <v/>
      </c>
      <c r="Q3179">
        <f>IF(AND(ISNUMBER('자료_미국심리'!$G3163),ISNUMBER('자료_미국심리'!$H3163)),'자료_미국심리'!$G3163,"")</f>
        <v/>
      </c>
    </row>
    <row r="3180">
      <c r="O3180">
        <f>IF(AND(ISNUMBER('자료_미국심리'!$A3164),ISNUMBER('자료_미국심리'!$B3164)),'자료_미국심리'!$A3164,"")</f>
        <v/>
      </c>
      <c r="P3180">
        <f>IF(AND(ISNUMBER('자료_미국심리'!$D3164),ISNUMBER('자료_미국심리'!$E3164)),'자료_미국심리'!$D3164,"")</f>
        <v/>
      </c>
      <c r="Q3180">
        <f>IF(AND(ISNUMBER('자료_미국심리'!$G3164),ISNUMBER('자료_미국심리'!$H3164)),'자료_미국심리'!$G3164,"")</f>
        <v/>
      </c>
    </row>
    <row r="3181">
      <c r="O3181">
        <f>IF(AND(ISNUMBER('자료_미국심리'!$A3165),ISNUMBER('자료_미국심리'!$B3165)),'자료_미국심리'!$A3165,"")</f>
        <v/>
      </c>
      <c r="P3181">
        <f>IF(AND(ISNUMBER('자료_미국심리'!$D3165),ISNUMBER('자료_미국심리'!$E3165)),'자료_미국심리'!$D3165,"")</f>
        <v/>
      </c>
      <c r="Q3181">
        <f>IF(AND(ISNUMBER('자료_미국심리'!$G3165),ISNUMBER('자료_미국심리'!$H3165)),'자료_미국심리'!$G3165,"")</f>
        <v/>
      </c>
    </row>
    <row r="3182">
      <c r="O3182">
        <f>IF(AND(ISNUMBER('자료_미국심리'!$A3166),ISNUMBER('자료_미국심리'!$B3166)),'자료_미국심리'!$A3166,"")</f>
        <v/>
      </c>
      <c r="P3182">
        <f>IF(AND(ISNUMBER('자료_미국심리'!$D3166),ISNUMBER('자료_미국심리'!$E3166)),'자료_미국심리'!$D3166,"")</f>
        <v/>
      </c>
      <c r="Q3182">
        <f>IF(AND(ISNUMBER('자료_미국심리'!$G3166),ISNUMBER('자료_미국심리'!$H3166)),'자료_미국심리'!$G3166,"")</f>
        <v/>
      </c>
    </row>
    <row r="3183">
      <c r="O3183">
        <f>IF(AND(ISNUMBER('자료_미국심리'!$A3167),ISNUMBER('자료_미국심리'!$B3167)),'자료_미국심리'!$A3167,"")</f>
        <v/>
      </c>
      <c r="P3183">
        <f>IF(AND(ISNUMBER('자료_미국심리'!$D3167),ISNUMBER('자료_미국심리'!$E3167)),'자료_미국심리'!$D3167,"")</f>
        <v/>
      </c>
      <c r="Q3183">
        <f>IF(AND(ISNUMBER('자료_미국심리'!$G3167),ISNUMBER('자료_미국심리'!$H3167)),'자료_미국심리'!$G3167,"")</f>
        <v/>
      </c>
    </row>
    <row r="3184">
      <c r="O3184">
        <f>IF(AND(ISNUMBER('자료_미국심리'!$A3168),ISNUMBER('자료_미국심리'!$B3168)),'자료_미국심리'!$A3168,"")</f>
        <v/>
      </c>
      <c r="P3184">
        <f>IF(AND(ISNUMBER('자료_미국심리'!$D3168),ISNUMBER('자료_미국심리'!$E3168)),'자료_미국심리'!$D3168,"")</f>
        <v/>
      </c>
      <c r="Q3184">
        <f>IF(AND(ISNUMBER('자료_미국심리'!$G3168),ISNUMBER('자료_미국심리'!$H3168)),'자료_미국심리'!$G3168,"")</f>
        <v/>
      </c>
    </row>
    <row r="3185">
      <c r="O3185">
        <f>IF(AND(ISNUMBER('자료_미국심리'!$A3169),ISNUMBER('자료_미국심리'!$B3169)),'자료_미국심리'!$A3169,"")</f>
        <v/>
      </c>
      <c r="P3185">
        <f>IF(AND(ISNUMBER('자료_미국심리'!$D3169),ISNUMBER('자료_미국심리'!$E3169)),'자료_미국심리'!$D3169,"")</f>
        <v/>
      </c>
      <c r="Q3185">
        <f>IF(AND(ISNUMBER('자료_미국심리'!$G3169),ISNUMBER('자료_미국심리'!$H3169)),'자료_미국심리'!$G3169,"")</f>
        <v/>
      </c>
    </row>
    <row r="3186">
      <c r="O3186">
        <f>IF(AND(ISNUMBER('자료_미국심리'!$A3170),ISNUMBER('자료_미국심리'!$B3170)),'자료_미국심리'!$A3170,"")</f>
        <v/>
      </c>
      <c r="P3186">
        <f>IF(AND(ISNUMBER('자료_미국심리'!$D3170),ISNUMBER('자료_미국심리'!$E3170)),'자료_미국심리'!$D3170,"")</f>
        <v/>
      </c>
      <c r="Q3186">
        <f>IF(AND(ISNUMBER('자료_미국심리'!$G3170),ISNUMBER('자료_미국심리'!$H3170)),'자료_미국심리'!$G3170,"")</f>
        <v/>
      </c>
    </row>
    <row r="3187">
      <c r="O3187">
        <f>IF(AND(ISNUMBER('자료_미국심리'!$A3171),ISNUMBER('자료_미국심리'!$B3171)),'자료_미국심리'!$A3171,"")</f>
        <v/>
      </c>
      <c r="P3187">
        <f>IF(AND(ISNUMBER('자료_미국심리'!$D3171),ISNUMBER('자료_미국심리'!$E3171)),'자료_미국심리'!$D3171,"")</f>
        <v/>
      </c>
      <c r="Q3187">
        <f>IF(AND(ISNUMBER('자료_미국심리'!$G3171),ISNUMBER('자료_미국심리'!$H3171)),'자료_미국심리'!$G3171,"")</f>
        <v/>
      </c>
    </row>
    <row r="3188">
      <c r="O3188">
        <f>IF(AND(ISNUMBER('자료_미국심리'!$A3172),ISNUMBER('자료_미국심리'!$B3172)),'자료_미국심리'!$A3172,"")</f>
        <v/>
      </c>
      <c r="P3188">
        <f>IF(AND(ISNUMBER('자료_미국심리'!$D3172),ISNUMBER('자료_미국심리'!$E3172)),'자료_미국심리'!$D3172,"")</f>
        <v/>
      </c>
      <c r="Q3188">
        <f>IF(AND(ISNUMBER('자료_미국심리'!$G3172),ISNUMBER('자료_미국심리'!$H3172)),'자료_미국심리'!$G3172,"")</f>
        <v/>
      </c>
    </row>
    <row r="3189">
      <c r="O3189">
        <f>IF(AND(ISNUMBER('자료_미국심리'!$A3173),ISNUMBER('자료_미국심리'!$B3173)),'자료_미국심리'!$A3173,"")</f>
        <v/>
      </c>
      <c r="P3189">
        <f>IF(AND(ISNUMBER('자료_미국심리'!$D3173),ISNUMBER('자료_미국심리'!$E3173)),'자료_미국심리'!$D3173,"")</f>
        <v/>
      </c>
      <c r="Q3189">
        <f>IF(AND(ISNUMBER('자료_미국심리'!$G3173),ISNUMBER('자료_미국심리'!$H3173)),'자료_미국심리'!$G3173,"")</f>
        <v/>
      </c>
    </row>
    <row r="3190">
      <c r="O3190">
        <f>IF(AND(ISNUMBER('자료_미국심리'!$A3174),ISNUMBER('자료_미국심리'!$B3174)),'자료_미국심리'!$A3174,"")</f>
        <v/>
      </c>
      <c r="P3190">
        <f>IF(AND(ISNUMBER('자료_미국심리'!$D3174),ISNUMBER('자료_미국심리'!$E3174)),'자료_미국심리'!$D3174,"")</f>
        <v/>
      </c>
      <c r="Q3190">
        <f>IF(AND(ISNUMBER('자료_미국심리'!$G3174),ISNUMBER('자료_미국심리'!$H3174)),'자료_미국심리'!$G3174,"")</f>
        <v/>
      </c>
    </row>
    <row r="3191">
      <c r="O3191">
        <f>IF(AND(ISNUMBER('자료_미국심리'!$A3175),ISNUMBER('자료_미국심리'!$B3175)),'자료_미국심리'!$A3175,"")</f>
        <v/>
      </c>
      <c r="P3191">
        <f>IF(AND(ISNUMBER('자료_미국심리'!$D3175),ISNUMBER('자료_미국심리'!$E3175)),'자료_미국심리'!$D3175,"")</f>
        <v/>
      </c>
      <c r="Q3191">
        <f>IF(AND(ISNUMBER('자료_미국심리'!$G3175),ISNUMBER('자료_미국심리'!$H3175)),'자료_미국심리'!$G3175,"")</f>
        <v/>
      </c>
    </row>
    <row r="3192">
      <c r="O3192">
        <f>IF(AND(ISNUMBER('자료_미국심리'!$A3176),ISNUMBER('자료_미국심리'!$B3176)),'자료_미국심리'!$A3176,"")</f>
        <v/>
      </c>
      <c r="P3192">
        <f>IF(AND(ISNUMBER('자료_미국심리'!$D3176),ISNUMBER('자료_미국심리'!$E3176)),'자료_미국심리'!$D3176,"")</f>
        <v/>
      </c>
      <c r="Q3192">
        <f>IF(AND(ISNUMBER('자료_미국심리'!$G3176),ISNUMBER('자료_미국심리'!$H3176)),'자료_미국심리'!$G3176,"")</f>
        <v/>
      </c>
    </row>
    <row r="3193">
      <c r="O3193">
        <f>IF(AND(ISNUMBER('자료_미국심리'!$A3177),ISNUMBER('자료_미국심리'!$B3177)),'자료_미국심리'!$A3177,"")</f>
        <v/>
      </c>
      <c r="P3193">
        <f>IF(AND(ISNUMBER('자료_미국심리'!$D3177),ISNUMBER('자료_미국심리'!$E3177)),'자료_미국심리'!$D3177,"")</f>
        <v/>
      </c>
      <c r="Q3193">
        <f>IF(AND(ISNUMBER('자료_미국심리'!$G3177),ISNUMBER('자료_미국심리'!$H3177)),'자료_미국심리'!$G3177,"")</f>
        <v/>
      </c>
    </row>
    <row r="3194">
      <c r="O3194">
        <f>IF(AND(ISNUMBER('자료_미국심리'!$A3178),ISNUMBER('자료_미국심리'!$B3178)),'자료_미국심리'!$A3178,"")</f>
        <v/>
      </c>
      <c r="P3194">
        <f>IF(AND(ISNUMBER('자료_미국심리'!$D3178),ISNUMBER('자료_미국심리'!$E3178)),'자료_미국심리'!$D3178,"")</f>
        <v/>
      </c>
      <c r="Q3194">
        <f>IF(AND(ISNUMBER('자료_미국심리'!$G3178),ISNUMBER('자료_미국심리'!$H3178)),'자료_미국심리'!$G3178,"")</f>
        <v/>
      </c>
    </row>
    <row r="3195">
      <c r="O3195">
        <f>IF(AND(ISNUMBER('자료_미국심리'!$A3179),ISNUMBER('자료_미국심리'!$B3179)),'자료_미국심리'!$A3179,"")</f>
        <v/>
      </c>
      <c r="P3195">
        <f>IF(AND(ISNUMBER('자료_미국심리'!$D3179),ISNUMBER('자료_미국심리'!$E3179)),'자료_미국심리'!$D3179,"")</f>
        <v/>
      </c>
      <c r="Q3195">
        <f>IF(AND(ISNUMBER('자료_미국심리'!$G3179),ISNUMBER('자료_미국심리'!$H3179)),'자료_미국심리'!$G3179,"")</f>
        <v/>
      </c>
    </row>
    <row r="3196">
      <c r="O3196">
        <f>IF(AND(ISNUMBER('자료_미국심리'!$A3180),ISNUMBER('자료_미국심리'!$B3180)),'자료_미국심리'!$A3180,"")</f>
        <v/>
      </c>
      <c r="P3196">
        <f>IF(AND(ISNUMBER('자료_미국심리'!$D3180),ISNUMBER('자료_미국심리'!$E3180)),'자료_미국심리'!$D3180,"")</f>
        <v/>
      </c>
      <c r="Q3196">
        <f>IF(AND(ISNUMBER('자료_미국심리'!$G3180),ISNUMBER('자료_미국심리'!$H3180)),'자료_미국심리'!$G3180,"")</f>
        <v/>
      </c>
    </row>
    <row r="3197">
      <c r="O3197">
        <f>IF(AND(ISNUMBER('자료_미국심리'!$A3181),ISNUMBER('자료_미국심리'!$B3181)),'자료_미국심리'!$A3181,"")</f>
        <v/>
      </c>
      <c r="P3197">
        <f>IF(AND(ISNUMBER('자료_미국심리'!$D3181),ISNUMBER('자료_미국심리'!$E3181)),'자료_미국심리'!$D3181,"")</f>
        <v/>
      </c>
      <c r="Q3197">
        <f>IF(AND(ISNUMBER('자료_미국심리'!$G3181),ISNUMBER('자료_미국심리'!$H3181)),'자료_미국심리'!$G3181,"")</f>
        <v/>
      </c>
    </row>
    <row r="3198">
      <c r="O3198">
        <f>IF(AND(ISNUMBER('자료_미국심리'!$A3182),ISNUMBER('자료_미국심리'!$B3182)),'자료_미국심리'!$A3182,"")</f>
        <v/>
      </c>
      <c r="P3198">
        <f>IF(AND(ISNUMBER('자료_미국심리'!$D3182),ISNUMBER('자료_미국심리'!$E3182)),'자료_미국심리'!$D3182,"")</f>
        <v/>
      </c>
      <c r="Q3198">
        <f>IF(AND(ISNUMBER('자료_미국심리'!$G3182),ISNUMBER('자료_미국심리'!$H3182)),'자료_미국심리'!$G3182,"")</f>
        <v/>
      </c>
    </row>
    <row r="3199">
      <c r="O3199">
        <f>IF(AND(ISNUMBER('자료_미국심리'!$A3183),ISNUMBER('자료_미국심리'!$B3183)),'자료_미국심리'!$A3183,"")</f>
        <v/>
      </c>
      <c r="P3199">
        <f>IF(AND(ISNUMBER('자료_미국심리'!$D3183),ISNUMBER('자료_미국심리'!$E3183)),'자료_미국심리'!$D3183,"")</f>
        <v/>
      </c>
      <c r="Q3199">
        <f>IF(AND(ISNUMBER('자료_미국심리'!$G3183),ISNUMBER('자료_미국심리'!$H3183)),'자료_미국심리'!$G3183,"")</f>
        <v/>
      </c>
    </row>
    <row r="3200">
      <c r="O3200">
        <f>IF(AND(ISNUMBER('자료_미국심리'!$A3184),ISNUMBER('자료_미국심리'!$B3184)),'자료_미국심리'!$A3184,"")</f>
        <v/>
      </c>
      <c r="P3200">
        <f>IF(AND(ISNUMBER('자료_미국심리'!$D3184),ISNUMBER('자료_미국심리'!$E3184)),'자료_미국심리'!$D3184,"")</f>
        <v/>
      </c>
      <c r="Q3200">
        <f>IF(AND(ISNUMBER('자료_미국심리'!$G3184),ISNUMBER('자료_미국심리'!$H3184)),'자료_미국심리'!$G3184,"")</f>
        <v/>
      </c>
    </row>
    <row r="3201">
      <c r="O3201">
        <f>IF(AND(ISNUMBER('자료_미국심리'!$A3185),ISNUMBER('자료_미국심리'!$B3185)),'자료_미국심리'!$A3185,"")</f>
        <v/>
      </c>
      <c r="P3201">
        <f>IF(AND(ISNUMBER('자료_미국심리'!$D3185),ISNUMBER('자료_미국심리'!$E3185)),'자료_미국심리'!$D3185,"")</f>
        <v/>
      </c>
      <c r="Q3201">
        <f>IF(AND(ISNUMBER('자료_미국심리'!$G3185),ISNUMBER('자료_미국심리'!$H3185)),'자료_미국심리'!$G3185,"")</f>
        <v/>
      </c>
    </row>
    <row r="3202">
      <c r="O3202">
        <f>IF(AND(ISNUMBER('자료_미국심리'!$A3186),ISNUMBER('자료_미국심리'!$B3186)),'자료_미국심리'!$A3186,"")</f>
        <v/>
      </c>
      <c r="P3202">
        <f>IF(AND(ISNUMBER('자료_미국심리'!$D3186),ISNUMBER('자료_미국심리'!$E3186)),'자료_미국심리'!$D3186,"")</f>
        <v/>
      </c>
      <c r="Q3202">
        <f>IF(AND(ISNUMBER('자료_미국심리'!$G3186),ISNUMBER('자료_미국심리'!$H3186)),'자료_미국심리'!$G3186,"")</f>
        <v/>
      </c>
    </row>
    <row r="3203">
      <c r="O3203">
        <f>IF(AND(ISNUMBER('자료_미국심리'!$A3187),ISNUMBER('자료_미국심리'!$B3187)),'자료_미국심리'!$A3187,"")</f>
        <v/>
      </c>
      <c r="P3203">
        <f>IF(AND(ISNUMBER('자료_미국심리'!$D3187),ISNUMBER('자료_미국심리'!$E3187)),'자료_미국심리'!$D3187,"")</f>
        <v/>
      </c>
      <c r="Q3203">
        <f>IF(AND(ISNUMBER('자료_미국심리'!$G3187),ISNUMBER('자료_미국심리'!$H3187)),'자료_미국심리'!$G3187,"")</f>
        <v/>
      </c>
    </row>
    <row r="3204">
      <c r="O3204">
        <f>IF(AND(ISNUMBER('자료_미국심리'!$A3188),ISNUMBER('자료_미국심리'!$B3188)),'자료_미국심리'!$A3188,"")</f>
        <v/>
      </c>
      <c r="P3204">
        <f>IF(AND(ISNUMBER('자료_미국심리'!$D3188),ISNUMBER('자료_미국심리'!$E3188)),'자료_미국심리'!$D3188,"")</f>
        <v/>
      </c>
      <c r="Q3204">
        <f>IF(AND(ISNUMBER('자료_미국심리'!$G3188),ISNUMBER('자료_미국심리'!$H3188)),'자료_미국심리'!$G3188,"")</f>
        <v/>
      </c>
    </row>
    <row r="3205">
      <c r="O3205">
        <f>IF(AND(ISNUMBER('자료_미국심리'!$A3189),ISNUMBER('자료_미국심리'!$B3189)),'자료_미국심리'!$A3189,"")</f>
        <v/>
      </c>
      <c r="P3205">
        <f>IF(AND(ISNUMBER('자료_미국심리'!$D3189),ISNUMBER('자료_미국심리'!$E3189)),'자료_미국심리'!$D3189,"")</f>
        <v/>
      </c>
      <c r="Q3205">
        <f>IF(AND(ISNUMBER('자료_미국심리'!$G3189),ISNUMBER('자료_미국심리'!$H3189)),'자료_미국심리'!$G3189,"")</f>
        <v/>
      </c>
    </row>
    <row r="3206">
      <c r="O3206">
        <f>IF(AND(ISNUMBER('자료_미국심리'!$A3190),ISNUMBER('자료_미국심리'!$B3190)),'자료_미국심리'!$A3190,"")</f>
        <v/>
      </c>
      <c r="P3206">
        <f>IF(AND(ISNUMBER('자료_미국심리'!$D3190),ISNUMBER('자료_미국심리'!$E3190)),'자료_미국심리'!$D3190,"")</f>
        <v/>
      </c>
      <c r="Q3206">
        <f>IF(AND(ISNUMBER('자료_미국심리'!$G3190),ISNUMBER('자료_미국심리'!$H3190)),'자료_미국심리'!$G3190,"")</f>
        <v/>
      </c>
    </row>
    <row r="3207">
      <c r="O3207">
        <f>IF(AND(ISNUMBER('자료_미국심리'!$A3191),ISNUMBER('자료_미국심리'!$B3191)),'자료_미국심리'!$A3191,"")</f>
        <v/>
      </c>
      <c r="P3207">
        <f>IF(AND(ISNUMBER('자료_미국심리'!$D3191),ISNUMBER('자료_미국심리'!$E3191)),'자료_미국심리'!$D3191,"")</f>
        <v/>
      </c>
      <c r="Q3207">
        <f>IF(AND(ISNUMBER('자료_미국심리'!$G3191),ISNUMBER('자료_미국심리'!$H3191)),'자료_미국심리'!$G3191,"")</f>
        <v/>
      </c>
    </row>
    <row r="3208">
      <c r="O3208">
        <f>IF(AND(ISNUMBER('자료_미국심리'!$A3192),ISNUMBER('자료_미국심리'!$B3192)),'자료_미국심리'!$A3192,"")</f>
        <v/>
      </c>
      <c r="P3208">
        <f>IF(AND(ISNUMBER('자료_미국심리'!$D3192),ISNUMBER('자료_미국심리'!$E3192)),'자료_미국심리'!$D3192,"")</f>
        <v/>
      </c>
      <c r="Q3208">
        <f>IF(AND(ISNUMBER('자료_미국심리'!$G3192),ISNUMBER('자료_미국심리'!$H3192)),'자료_미국심리'!$G3192,"")</f>
        <v/>
      </c>
    </row>
    <row r="3209">
      <c r="O3209">
        <f>IF(AND(ISNUMBER('자료_미국심리'!$A3193),ISNUMBER('자료_미국심리'!$B3193)),'자료_미국심리'!$A3193,"")</f>
        <v/>
      </c>
      <c r="P3209">
        <f>IF(AND(ISNUMBER('자료_미국심리'!$D3193),ISNUMBER('자료_미국심리'!$E3193)),'자료_미국심리'!$D3193,"")</f>
        <v/>
      </c>
      <c r="Q3209">
        <f>IF(AND(ISNUMBER('자료_미국심리'!$G3193),ISNUMBER('자료_미국심리'!$H3193)),'자료_미국심리'!$G3193,"")</f>
        <v/>
      </c>
    </row>
    <row r="3210">
      <c r="O3210">
        <f>IF(AND(ISNUMBER('자료_미국심리'!$A3194),ISNUMBER('자료_미국심리'!$B3194)),'자료_미국심리'!$A3194,"")</f>
        <v/>
      </c>
      <c r="P3210">
        <f>IF(AND(ISNUMBER('자료_미국심리'!$D3194),ISNUMBER('자료_미국심리'!$E3194)),'자료_미국심리'!$D3194,"")</f>
        <v/>
      </c>
      <c r="Q3210">
        <f>IF(AND(ISNUMBER('자료_미국심리'!$G3194),ISNUMBER('자료_미국심리'!$H3194)),'자료_미국심리'!$G3194,"")</f>
        <v/>
      </c>
    </row>
    <row r="3211">
      <c r="O3211">
        <f>IF(AND(ISNUMBER('자료_미국심리'!$A3195),ISNUMBER('자료_미국심리'!$B3195)),'자료_미국심리'!$A3195,"")</f>
        <v/>
      </c>
      <c r="P3211">
        <f>IF(AND(ISNUMBER('자료_미국심리'!$D3195),ISNUMBER('자료_미국심리'!$E3195)),'자료_미국심리'!$D3195,"")</f>
        <v/>
      </c>
      <c r="Q3211">
        <f>IF(AND(ISNUMBER('자료_미국심리'!$G3195),ISNUMBER('자료_미국심리'!$H3195)),'자료_미국심리'!$G3195,"")</f>
        <v/>
      </c>
    </row>
    <row r="3212">
      <c r="O3212">
        <f>IF(AND(ISNUMBER('자료_미국심리'!$A3196),ISNUMBER('자료_미국심리'!$B3196)),'자료_미국심리'!$A3196,"")</f>
        <v/>
      </c>
      <c r="P3212">
        <f>IF(AND(ISNUMBER('자료_미국심리'!$D3196),ISNUMBER('자료_미국심리'!$E3196)),'자료_미국심리'!$D3196,"")</f>
        <v/>
      </c>
      <c r="Q3212">
        <f>IF(AND(ISNUMBER('자료_미국심리'!$G3196),ISNUMBER('자료_미국심리'!$H3196)),'자료_미국심리'!$G3196,"")</f>
        <v/>
      </c>
    </row>
    <row r="3213">
      <c r="O3213">
        <f>IF(AND(ISNUMBER('자료_미국심리'!$A3197),ISNUMBER('자료_미국심리'!$B3197)),'자료_미국심리'!$A3197,"")</f>
        <v/>
      </c>
      <c r="P3213">
        <f>IF(AND(ISNUMBER('자료_미국심리'!$D3197),ISNUMBER('자료_미국심리'!$E3197)),'자료_미국심리'!$D3197,"")</f>
        <v/>
      </c>
      <c r="Q3213">
        <f>IF(AND(ISNUMBER('자료_미국심리'!$G3197),ISNUMBER('자료_미국심리'!$H3197)),'자료_미국심리'!$G3197,"")</f>
        <v/>
      </c>
    </row>
    <row r="3214">
      <c r="O3214">
        <f>IF(AND(ISNUMBER('자료_미국심리'!$A3198),ISNUMBER('자료_미국심리'!$B3198)),'자료_미국심리'!$A3198,"")</f>
        <v/>
      </c>
      <c r="P3214">
        <f>IF(AND(ISNUMBER('자료_미국심리'!$D3198),ISNUMBER('자료_미국심리'!$E3198)),'자료_미국심리'!$D3198,"")</f>
        <v/>
      </c>
      <c r="Q3214">
        <f>IF(AND(ISNUMBER('자료_미국심리'!$G3198),ISNUMBER('자료_미국심리'!$H3198)),'자료_미국심리'!$G3198,"")</f>
        <v/>
      </c>
    </row>
    <row r="3215">
      <c r="O3215">
        <f>IF(AND(ISNUMBER('자료_미국심리'!$A3199),ISNUMBER('자료_미국심리'!$B3199)),'자료_미국심리'!$A3199,"")</f>
        <v/>
      </c>
      <c r="P3215">
        <f>IF(AND(ISNUMBER('자료_미국심리'!$D3199),ISNUMBER('자료_미국심리'!$E3199)),'자료_미국심리'!$D3199,"")</f>
        <v/>
      </c>
      <c r="Q3215">
        <f>IF(AND(ISNUMBER('자료_미국심리'!$G3199),ISNUMBER('자료_미국심리'!$H3199)),'자료_미국심리'!$G3199,"")</f>
        <v/>
      </c>
    </row>
    <row r="3216">
      <c r="O3216">
        <f>IF(AND(ISNUMBER('자료_미국심리'!$A3200),ISNUMBER('자료_미국심리'!$B3200)),'자료_미국심리'!$A3200,"")</f>
        <v/>
      </c>
      <c r="P3216">
        <f>IF(AND(ISNUMBER('자료_미국심리'!$D3200),ISNUMBER('자료_미국심리'!$E3200)),'자료_미국심리'!$D3200,"")</f>
        <v/>
      </c>
      <c r="Q3216">
        <f>IF(AND(ISNUMBER('자료_미국심리'!$G3200),ISNUMBER('자료_미국심리'!$H3200)),'자료_미국심리'!$G3200,"")</f>
        <v/>
      </c>
    </row>
    <row r="3217">
      <c r="O3217">
        <f>IF(AND(ISNUMBER('자료_미국심리'!$A3201),ISNUMBER('자료_미국심리'!$B3201)),'자료_미국심리'!$A3201,"")</f>
        <v/>
      </c>
      <c r="P3217">
        <f>IF(AND(ISNUMBER('자료_미국심리'!$D3201),ISNUMBER('자료_미국심리'!$E3201)),'자료_미국심리'!$D3201,"")</f>
        <v/>
      </c>
      <c r="Q3217">
        <f>IF(AND(ISNUMBER('자료_미국심리'!$G3201),ISNUMBER('자료_미국심리'!$H3201)),'자료_미국심리'!$G3201,"")</f>
        <v/>
      </c>
    </row>
    <row r="3218">
      <c r="O3218">
        <f>IF(AND(ISNUMBER('자료_미국심리'!$A3202),ISNUMBER('자료_미국심리'!$B3202)),'자료_미국심리'!$A3202,"")</f>
        <v/>
      </c>
      <c r="P3218">
        <f>IF(AND(ISNUMBER('자료_미국심리'!$D3202),ISNUMBER('자료_미국심리'!$E3202)),'자료_미국심리'!$D3202,"")</f>
        <v/>
      </c>
      <c r="Q3218">
        <f>IF(AND(ISNUMBER('자료_미국심리'!$G3202),ISNUMBER('자료_미국심리'!$H3202)),'자료_미국심리'!$G3202,"")</f>
        <v/>
      </c>
    </row>
    <row r="3219">
      <c r="O3219">
        <f>IF(AND(ISNUMBER('자료_미국심리'!$A3203),ISNUMBER('자료_미국심리'!$B3203)),'자료_미국심리'!$A3203,"")</f>
        <v/>
      </c>
      <c r="P3219">
        <f>IF(AND(ISNUMBER('자료_미국심리'!$D3203),ISNUMBER('자료_미국심리'!$E3203)),'자료_미국심리'!$D3203,"")</f>
        <v/>
      </c>
      <c r="Q3219">
        <f>IF(AND(ISNUMBER('자료_미국심리'!$G3203),ISNUMBER('자료_미국심리'!$H3203)),'자료_미국심리'!$G3203,"")</f>
        <v/>
      </c>
    </row>
    <row r="3220">
      <c r="O3220">
        <f>IF(AND(ISNUMBER('자료_미국심리'!$A3204),ISNUMBER('자료_미국심리'!$B3204)),'자료_미국심리'!$A3204,"")</f>
        <v/>
      </c>
      <c r="P3220">
        <f>IF(AND(ISNUMBER('자료_미국심리'!$D3204),ISNUMBER('자료_미국심리'!$E3204)),'자료_미국심리'!$D3204,"")</f>
        <v/>
      </c>
      <c r="Q3220">
        <f>IF(AND(ISNUMBER('자료_미국심리'!$G3204),ISNUMBER('자료_미국심리'!$H3204)),'자료_미국심리'!$G3204,"")</f>
        <v/>
      </c>
    </row>
    <row r="3221">
      <c r="O3221">
        <f>IF(AND(ISNUMBER('자료_미국심리'!$A3205),ISNUMBER('자료_미국심리'!$B3205)),'자료_미국심리'!$A3205,"")</f>
        <v/>
      </c>
      <c r="P3221">
        <f>IF(AND(ISNUMBER('자료_미국심리'!$D3205),ISNUMBER('자료_미국심리'!$E3205)),'자료_미국심리'!$D3205,"")</f>
        <v/>
      </c>
      <c r="Q3221">
        <f>IF(AND(ISNUMBER('자료_미국심리'!$G3205),ISNUMBER('자료_미국심리'!$H3205)),'자료_미국심리'!$G3205,"")</f>
        <v/>
      </c>
    </row>
    <row r="3222">
      <c r="O3222">
        <f>IF(AND(ISNUMBER('자료_미국심리'!$A3206),ISNUMBER('자료_미국심리'!$B3206)),'자료_미국심리'!$A3206,"")</f>
        <v/>
      </c>
      <c r="P3222">
        <f>IF(AND(ISNUMBER('자료_미국심리'!$D3206),ISNUMBER('자료_미국심리'!$E3206)),'자료_미국심리'!$D3206,"")</f>
        <v/>
      </c>
      <c r="Q3222">
        <f>IF(AND(ISNUMBER('자료_미국심리'!$G3206),ISNUMBER('자료_미국심리'!$H3206)),'자료_미국심리'!$G3206,"")</f>
        <v/>
      </c>
    </row>
    <row r="3223">
      <c r="O3223">
        <f>IF(AND(ISNUMBER('자료_미국심리'!$A3207),ISNUMBER('자료_미국심리'!$B3207)),'자료_미국심리'!$A3207,"")</f>
        <v/>
      </c>
      <c r="P3223">
        <f>IF(AND(ISNUMBER('자료_미국심리'!$D3207),ISNUMBER('자료_미국심리'!$E3207)),'자료_미국심리'!$D3207,"")</f>
        <v/>
      </c>
      <c r="Q3223">
        <f>IF(AND(ISNUMBER('자료_미국심리'!$G3207),ISNUMBER('자료_미국심리'!$H3207)),'자료_미국심리'!$G3207,"")</f>
        <v/>
      </c>
    </row>
    <row r="3224">
      <c r="O3224">
        <f>IF(AND(ISNUMBER('자료_미국심리'!$A3208),ISNUMBER('자료_미국심리'!$B3208)),'자료_미국심리'!$A3208,"")</f>
        <v/>
      </c>
      <c r="P3224">
        <f>IF(AND(ISNUMBER('자료_미국심리'!$D3208),ISNUMBER('자료_미국심리'!$E3208)),'자료_미국심리'!$D3208,"")</f>
        <v/>
      </c>
      <c r="Q3224">
        <f>IF(AND(ISNUMBER('자료_미국심리'!$G3208),ISNUMBER('자료_미국심리'!$H3208)),'자료_미국심리'!$G3208,"")</f>
        <v/>
      </c>
    </row>
    <row r="3225">
      <c r="O3225">
        <f>IF(AND(ISNUMBER('자료_미국심리'!$A3209),ISNUMBER('자료_미국심리'!$B3209)),'자료_미국심리'!$A3209,"")</f>
        <v/>
      </c>
      <c r="P3225">
        <f>IF(AND(ISNUMBER('자료_미국심리'!$D3209),ISNUMBER('자료_미국심리'!$E3209)),'자료_미국심리'!$D3209,"")</f>
        <v/>
      </c>
      <c r="Q3225">
        <f>IF(AND(ISNUMBER('자료_미국심리'!$G3209),ISNUMBER('자료_미국심리'!$H3209)),'자료_미국심리'!$G3209,"")</f>
        <v/>
      </c>
    </row>
    <row r="3226">
      <c r="O3226">
        <f>IF(AND(ISNUMBER('자료_미국심리'!$A3210),ISNUMBER('자료_미국심리'!$B3210)),'자료_미국심리'!$A3210,"")</f>
        <v/>
      </c>
      <c r="P3226">
        <f>IF(AND(ISNUMBER('자료_미국심리'!$D3210),ISNUMBER('자료_미국심리'!$E3210)),'자료_미국심리'!$D3210,"")</f>
        <v/>
      </c>
      <c r="Q3226">
        <f>IF(AND(ISNUMBER('자료_미국심리'!$G3210),ISNUMBER('자료_미국심리'!$H3210)),'자료_미국심리'!$G3210,"")</f>
        <v/>
      </c>
    </row>
    <row r="3227">
      <c r="O3227">
        <f>IF(AND(ISNUMBER('자료_미국심리'!$A3211),ISNUMBER('자료_미국심리'!$B3211)),'자료_미국심리'!$A3211,"")</f>
        <v/>
      </c>
      <c r="P3227">
        <f>IF(AND(ISNUMBER('자료_미국심리'!$D3211),ISNUMBER('자료_미국심리'!$E3211)),'자료_미국심리'!$D3211,"")</f>
        <v/>
      </c>
      <c r="Q3227">
        <f>IF(AND(ISNUMBER('자료_미국심리'!$G3211),ISNUMBER('자료_미국심리'!$H3211)),'자료_미국심리'!$G3211,"")</f>
        <v/>
      </c>
    </row>
    <row r="3228">
      <c r="O3228">
        <f>IF(AND(ISNUMBER('자료_미국심리'!$A3212),ISNUMBER('자료_미국심리'!$B3212)),'자료_미국심리'!$A3212,"")</f>
        <v/>
      </c>
      <c r="P3228">
        <f>IF(AND(ISNUMBER('자료_미국심리'!$D3212),ISNUMBER('자료_미국심리'!$E3212)),'자료_미국심리'!$D3212,"")</f>
        <v/>
      </c>
      <c r="Q3228">
        <f>IF(AND(ISNUMBER('자료_미국심리'!$G3212),ISNUMBER('자료_미국심리'!$H3212)),'자료_미국심리'!$G3212,"")</f>
        <v/>
      </c>
    </row>
    <row r="3229">
      <c r="O3229">
        <f>IF(AND(ISNUMBER('자료_미국심리'!$A3213),ISNUMBER('자료_미국심리'!$B3213)),'자료_미국심리'!$A3213,"")</f>
        <v/>
      </c>
      <c r="P3229">
        <f>IF(AND(ISNUMBER('자료_미국심리'!$D3213),ISNUMBER('자료_미국심리'!$E3213)),'자료_미국심리'!$D3213,"")</f>
        <v/>
      </c>
      <c r="Q3229">
        <f>IF(AND(ISNUMBER('자료_미국심리'!$G3213),ISNUMBER('자료_미국심리'!$H3213)),'자료_미국심리'!$G3213,"")</f>
        <v/>
      </c>
    </row>
    <row r="3230">
      <c r="O3230">
        <f>IF(AND(ISNUMBER('자료_미국심리'!$A3214),ISNUMBER('자료_미국심리'!$B3214)),'자료_미국심리'!$A3214,"")</f>
        <v/>
      </c>
      <c r="P3230">
        <f>IF(AND(ISNUMBER('자료_미국심리'!$D3214),ISNUMBER('자료_미국심리'!$E3214)),'자료_미국심리'!$D3214,"")</f>
        <v/>
      </c>
      <c r="Q3230">
        <f>IF(AND(ISNUMBER('자료_미국심리'!$G3214),ISNUMBER('자료_미국심리'!$H3214)),'자료_미국심리'!$G3214,"")</f>
        <v/>
      </c>
    </row>
    <row r="3231">
      <c r="O3231">
        <f>IF(AND(ISNUMBER('자료_미국심리'!$A3215),ISNUMBER('자료_미국심리'!$B3215)),'자료_미국심리'!$A3215,"")</f>
        <v/>
      </c>
      <c r="P3231">
        <f>IF(AND(ISNUMBER('자료_미국심리'!$D3215),ISNUMBER('자료_미국심리'!$E3215)),'자료_미국심리'!$D3215,"")</f>
        <v/>
      </c>
      <c r="Q3231">
        <f>IF(AND(ISNUMBER('자료_미국심리'!$G3215),ISNUMBER('자료_미국심리'!$H3215)),'자료_미국심리'!$G3215,"")</f>
        <v/>
      </c>
    </row>
    <row r="3232">
      <c r="O3232">
        <f>IF(AND(ISNUMBER('자료_미국심리'!$A3216),ISNUMBER('자료_미국심리'!$B3216)),'자료_미국심리'!$A3216,"")</f>
        <v/>
      </c>
      <c r="P3232">
        <f>IF(AND(ISNUMBER('자료_미국심리'!$D3216),ISNUMBER('자료_미국심리'!$E3216)),'자료_미국심리'!$D3216,"")</f>
        <v/>
      </c>
      <c r="Q3232">
        <f>IF(AND(ISNUMBER('자료_미국심리'!$G3216),ISNUMBER('자료_미국심리'!$H3216)),'자료_미국심리'!$G3216,"")</f>
        <v/>
      </c>
    </row>
    <row r="3233">
      <c r="O3233">
        <f>IF(AND(ISNUMBER('자료_미국심리'!$A3217),ISNUMBER('자료_미국심리'!$B3217)),'자료_미국심리'!$A3217,"")</f>
        <v/>
      </c>
      <c r="P3233">
        <f>IF(AND(ISNUMBER('자료_미국심리'!$D3217),ISNUMBER('자료_미국심리'!$E3217)),'자료_미국심리'!$D3217,"")</f>
        <v/>
      </c>
      <c r="Q3233">
        <f>IF(AND(ISNUMBER('자료_미국심리'!$G3217),ISNUMBER('자료_미국심리'!$H3217)),'자료_미국심리'!$G3217,"")</f>
        <v/>
      </c>
    </row>
    <row r="3234">
      <c r="O3234">
        <f>IF(AND(ISNUMBER('자료_미국심리'!$A3218),ISNUMBER('자료_미국심리'!$B3218)),'자료_미국심리'!$A3218,"")</f>
        <v/>
      </c>
      <c r="P3234">
        <f>IF(AND(ISNUMBER('자료_미국심리'!$D3218),ISNUMBER('자료_미국심리'!$E3218)),'자료_미국심리'!$D3218,"")</f>
        <v/>
      </c>
      <c r="Q3234">
        <f>IF(AND(ISNUMBER('자료_미국심리'!$G3218),ISNUMBER('자료_미국심리'!$H3218)),'자료_미국심리'!$G3218,"")</f>
        <v/>
      </c>
    </row>
    <row r="3235">
      <c r="O3235">
        <f>IF(AND(ISNUMBER('자료_미국심리'!$A3219),ISNUMBER('자료_미국심리'!$B3219)),'자료_미국심리'!$A3219,"")</f>
        <v/>
      </c>
      <c r="P3235">
        <f>IF(AND(ISNUMBER('자료_미국심리'!$D3219),ISNUMBER('자료_미국심리'!$E3219)),'자료_미국심리'!$D3219,"")</f>
        <v/>
      </c>
      <c r="Q3235">
        <f>IF(AND(ISNUMBER('자료_미국심리'!$G3219),ISNUMBER('자료_미국심리'!$H3219)),'자료_미국심리'!$G3219,"")</f>
        <v/>
      </c>
    </row>
    <row r="3236">
      <c r="O3236">
        <f>IF(AND(ISNUMBER('자료_미국심리'!$A3220),ISNUMBER('자료_미국심리'!$B3220)),'자료_미국심리'!$A3220,"")</f>
        <v/>
      </c>
      <c r="P3236">
        <f>IF(AND(ISNUMBER('자료_미국심리'!$D3220),ISNUMBER('자료_미국심리'!$E3220)),'자료_미국심리'!$D3220,"")</f>
        <v/>
      </c>
      <c r="Q3236">
        <f>IF(AND(ISNUMBER('자료_미국심리'!$G3220),ISNUMBER('자료_미국심리'!$H3220)),'자료_미국심리'!$G3220,"")</f>
        <v/>
      </c>
    </row>
    <row r="3237">
      <c r="O3237">
        <f>IF(AND(ISNUMBER('자료_미국심리'!$A3221),ISNUMBER('자료_미국심리'!$B3221)),'자료_미국심리'!$A3221,"")</f>
        <v/>
      </c>
      <c r="P3237">
        <f>IF(AND(ISNUMBER('자료_미국심리'!$D3221),ISNUMBER('자료_미국심리'!$E3221)),'자료_미국심리'!$D3221,"")</f>
        <v/>
      </c>
      <c r="Q3237">
        <f>IF(AND(ISNUMBER('자료_미국심리'!$G3221),ISNUMBER('자료_미국심리'!$H3221)),'자료_미국심리'!$G3221,"")</f>
        <v/>
      </c>
    </row>
    <row r="3238">
      <c r="O3238">
        <f>IF(AND(ISNUMBER('자료_미국심리'!$A3222),ISNUMBER('자료_미국심리'!$B3222)),'자료_미국심리'!$A3222,"")</f>
        <v/>
      </c>
      <c r="P3238">
        <f>IF(AND(ISNUMBER('자료_미국심리'!$D3222),ISNUMBER('자료_미국심리'!$E3222)),'자료_미국심리'!$D3222,"")</f>
        <v/>
      </c>
      <c r="Q3238">
        <f>IF(AND(ISNUMBER('자료_미국심리'!$G3222),ISNUMBER('자료_미국심리'!$H3222)),'자료_미국심리'!$G3222,"")</f>
        <v/>
      </c>
    </row>
    <row r="3239">
      <c r="O3239">
        <f>IF(AND(ISNUMBER('자료_미국심리'!$A3223),ISNUMBER('자료_미국심리'!$B3223)),'자료_미국심리'!$A3223,"")</f>
        <v/>
      </c>
      <c r="P3239">
        <f>IF(AND(ISNUMBER('자료_미국심리'!$D3223),ISNUMBER('자료_미국심리'!$E3223)),'자료_미국심리'!$D3223,"")</f>
        <v/>
      </c>
      <c r="Q3239">
        <f>IF(AND(ISNUMBER('자료_미국심리'!$G3223),ISNUMBER('자료_미국심리'!$H3223)),'자료_미국심리'!$G3223,"")</f>
        <v/>
      </c>
    </row>
    <row r="3240">
      <c r="O3240">
        <f>IF(AND(ISNUMBER('자료_미국심리'!$A3224),ISNUMBER('자료_미국심리'!$B3224)),'자료_미국심리'!$A3224,"")</f>
        <v/>
      </c>
      <c r="P3240">
        <f>IF(AND(ISNUMBER('자료_미국심리'!$D3224),ISNUMBER('자료_미국심리'!$E3224)),'자료_미국심리'!$D3224,"")</f>
        <v/>
      </c>
      <c r="Q3240">
        <f>IF(AND(ISNUMBER('자료_미국심리'!$G3224),ISNUMBER('자료_미국심리'!$H3224)),'자료_미국심리'!$G3224,"")</f>
        <v/>
      </c>
    </row>
    <row r="3241">
      <c r="O3241">
        <f>IF(AND(ISNUMBER('자료_미국심리'!$A3225),ISNUMBER('자료_미국심리'!$B3225)),'자료_미국심리'!$A3225,"")</f>
        <v/>
      </c>
      <c r="P3241">
        <f>IF(AND(ISNUMBER('자료_미국심리'!$D3225),ISNUMBER('자료_미국심리'!$E3225)),'자료_미국심리'!$D3225,"")</f>
        <v/>
      </c>
      <c r="Q3241">
        <f>IF(AND(ISNUMBER('자료_미국심리'!$G3225),ISNUMBER('자료_미국심리'!$H3225)),'자료_미국심리'!$G3225,"")</f>
        <v/>
      </c>
    </row>
    <row r="3242">
      <c r="O3242">
        <f>IF(AND(ISNUMBER('자료_미국심리'!$A3226),ISNUMBER('자료_미국심리'!$B3226)),'자료_미국심리'!$A3226,"")</f>
        <v/>
      </c>
      <c r="P3242">
        <f>IF(AND(ISNUMBER('자료_미국심리'!$D3226),ISNUMBER('자료_미국심리'!$E3226)),'자료_미국심리'!$D3226,"")</f>
        <v/>
      </c>
      <c r="Q3242">
        <f>IF(AND(ISNUMBER('자료_미국심리'!$G3226),ISNUMBER('자료_미국심리'!$H3226)),'자료_미국심리'!$G3226,"")</f>
        <v/>
      </c>
    </row>
    <row r="3243">
      <c r="O3243">
        <f>IF(AND(ISNUMBER('자료_미국심리'!$A3227),ISNUMBER('자료_미국심리'!$B3227)),'자료_미국심리'!$A3227,"")</f>
        <v/>
      </c>
      <c r="P3243">
        <f>IF(AND(ISNUMBER('자료_미국심리'!$D3227),ISNUMBER('자료_미국심리'!$E3227)),'자료_미국심리'!$D3227,"")</f>
        <v/>
      </c>
      <c r="Q3243">
        <f>IF(AND(ISNUMBER('자료_미국심리'!$G3227),ISNUMBER('자료_미국심리'!$H3227)),'자료_미국심리'!$G3227,"")</f>
        <v/>
      </c>
    </row>
    <row r="3244">
      <c r="O3244">
        <f>IF(AND(ISNUMBER('자료_미국심리'!$A3228),ISNUMBER('자료_미국심리'!$B3228)),'자료_미국심리'!$A3228,"")</f>
        <v/>
      </c>
      <c r="P3244">
        <f>IF(AND(ISNUMBER('자료_미국심리'!$D3228),ISNUMBER('자료_미국심리'!$E3228)),'자료_미국심리'!$D3228,"")</f>
        <v/>
      </c>
      <c r="Q3244">
        <f>IF(AND(ISNUMBER('자료_미국심리'!$G3228),ISNUMBER('자료_미국심리'!$H3228)),'자료_미국심리'!$G3228,"")</f>
        <v/>
      </c>
    </row>
    <row r="3245">
      <c r="O3245">
        <f>IF(AND(ISNUMBER('자료_미국심리'!$A3229),ISNUMBER('자료_미국심리'!$B3229)),'자료_미국심리'!$A3229,"")</f>
        <v/>
      </c>
      <c r="P3245">
        <f>IF(AND(ISNUMBER('자료_미국심리'!$D3229),ISNUMBER('자료_미국심리'!$E3229)),'자료_미국심리'!$D3229,"")</f>
        <v/>
      </c>
      <c r="Q3245">
        <f>IF(AND(ISNUMBER('자료_미국심리'!$G3229),ISNUMBER('자료_미국심리'!$H3229)),'자료_미국심리'!$G3229,"")</f>
        <v/>
      </c>
    </row>
    <row r="3246">
      <c r="O3246">
        <f>IF(AND(ISNUMBER('자료_미국심리'!$A3230),ISNUMBER('자료_미국심리'!$B3230)),'자료_미국심리'!$A3230,"")</f>
        <v/>
      </c>
      <c r="P3246">
        <f>IF(AND(ISNUMBER('자료_미국심리'!$D3230),ISNUMBER('자료_미국심리'!$E3230)),'자료_미국심리'!$D3230,"")</f>
        <v/>
      </c>
      <c r="Q3246">
        <f>IF(AND(ISNUMBER('자료_미국심리'!$G3230),ISNUMBER('자료_미국심리'!$H3230)),'자료_미국심리'!$G3230,"")</f>
        <v/>
      </c>
    </row>
    <row r="3247">
      <c r="O3247">
        <f>IF(AND(ISNUMBER('자료_미국심리'!$A3231),ISNUMBER('자료_미국심리'!$B3231)),'자료_미국심리'!$A3231,"")</f>
        <v/>
      </c>
      <c r="P3247">
        <f>IF(AND(ISNUMBER('자료_미국심리'!$D3231),ISNUMBER('자료_미국심리'!$E3231)),'자료_미국심리'!$D3231,"")</f>
        <v/>
      </c>
      <c r="Q3247">
        <f>IF(AND(ISNUMBER('자료_미국심리'!$G3231),ISNUMBER('자료_미국심리'!$H3231)),'자료_미국심리'!$G3231,"")</f>
        <v/>
      </c>
    </row>
    <row r="3248">
      <c r="O3248">
        <f>IF(AND(ISNUMBER('자료_미국심리'!$A3232),ISNUMBER('자료_미국심리'!$B3232)),'자료_미국심리'!$A3232,"")</f>
        <v/>
      </c>
      <c r="P3248">
        <f>IF(AND(ISNUMBER('자료_미국심리'!$D3232),ISNUMBER('자료_미국심리'!$E3232)),'자료_미국심리'!$D3232,"")</f>
        <v/>
      </c>
      <c r="Q3248">
        <f>IF(AND(ISNUMBER('자료_미국심리'!$G3232),ISNUMBER('자료_미국심리'!$H3232)),'자료_미국심리'!$G3232,"")</f>
        <v/>
      </c>
    </row>
    <row r="3249">
      <c r="O3249">
        <f>IF(AND(ISNUMBER('자료_미국심리'!$A3233),ISNUMBER('자료_미국심리'!$B3233)),'자료_미국심리'!$A3233,"")</f>
        <v/>
      </c>
      <c r="P3249">
        <f>IF(AND(ISNUMBER('자료_미국심리'!$D3233),ISNUMBER('자료_미국심리'!$E3233)),'자료_미국심리'!$D3233,"")</f>
        <v/>
      </c>
      <c r="Q3249">
        <f>IF(AND(ISNUMBER('자료_미국심리'!$G3233),ISNUMBER('자료_미국심리'!$H3233)),'자료_미국심리'!$G3233,"")</f>
        <v/>
      </c>
    </row>
    <row r="3250">
      <c r="O3250">
        <f>IF(AND(ISNUMBER('자료_미국심리'!$A3234),ISNUMBER('자료_미국심리'!$B3234)),'자료_미국심리'!$A3234,"")</f>
        <v/>
      </c>
      <c r="P3250">
        <f>IF(AND(ISNUMBER('자료_미국심리'!$D3234),ISNUMBER('자료_미국심리'!$E3234)),'자료_미국심리'!$D3234,"")</f>
        <v/>
      </c>
      <c r="Q3250">
        <f>IF(AND(ISNUMBER('자료_미국심리'!$G3234),ISNUMBER('자료_미국심리'!$H3234)),'자료_미국심리'!$G3234,"")</f>
        <v/>
      </c>
    </row>
    <row r="3251">
      <c r="O3251">
        <f>IF(AND(ISNUMBER('자료_미국심리'!$A3235),ISNUMBER('자료_미국심리'!$B3235)),'자료_미국심리'!$A3235,"")</f>
        <v/>
      </c>
      <c r="P3251">
        <f>IF(AND(ISNUMBER('자료_미국심리'!$D3235),ISNUMBER('자료_미국심리'!$E3235)),'자료_미국심리'!$D3235,"")</f>
        <v/>
      </c>
      <c r="Q3251">
        <f>IF(AND(ISNUMBER('자료_미국심리'!$G3235),ISNUMBER('자료_미국심리'!$H3235)),'자료_미국심리'!$G3235,"")</f>
        <v/>
      </c>
    </row>
    <row r="3252">
      <c r="O3252">
        <f>IF(AND(ISNUMBER('자료_미국심리'!$A3236),ISNUMBER('자료_미국심리'!$B3236)),'자료_미국심리'!$A3236,"")</f>
        <v/>
      </c>
      <c r="P3252">
        <f>IF(AND(ISNUMBER('자료_미국심리'!$D3236),ISNUMBER('자료_미국심리'!$E3236)),'자료_미국심리'!$D3236,"")</f>
        <v/>
      </c>
      <c r="Q3252">
        <f>IF(AND(ISNUMBER('자료_미국심리'!$G3236),ISNUMBER('자료_미국심리'!$H3236)),'자료_미국심리'!$G3236,"")</f>
        <v/>
      </c>
    </row>
    <row r="3253">
      <c r="O3253">
        <f>IF(AND(ISNUMBER('자료_미국심리'!$A3237),ISNUMBER('자료_미국심리'!$B3237)),'자료_미국심리'!$A3237,"")</f>
        <v/>
      </c>
      <c r="P3253">
        <f>IF(AND(ISNUMBER('자료_미국심리'!$D3237),ISNUMBER('자료_미국심리'!$E3237)),'자료_미국심리'!$D3237,"")</f>
        <v/>
      </c>
      <c r="Q3253">
        <f>IF(AND(ISNUMBER('자료_미국심리'!$G3237),ISNUMBER('자료_미국심리'!$H3237)),'자료_미국심리'!$G3237,"")</f>
        <v/>
      </c>
    </row>
    <row r="3254">
      <c r="O3254">
        <f>IF(AND(ISNUMBER('자료_미국심리'!$A3238),ISNUMBER('자료_미국심리'!$B3238)),'자료_미국심리'!$A3238,"")</f>
        <v/>
      </c>
      <c r="P3254">
        <f>IF(AND(ISNUMBER('자료_미국심리'!$D3238),ISNUMBER('자료_미국심리'!$E3238)),'자료_미국심리'!$D3238,"")</f>
        <v/>
      </c>
      <c r="Q3254">
        <f>IF(AND(ISNUMBER('자료_미국심리'!$G3238),ISNUMBER('자료_미국심리'!$H3238)),'자료_미국심리'!$G3238,"")</f>
        <v/>
      </c>
    </row>
    <row r="3255">
      <c r="O3255">
        <f>IF(AND(ISNUMBER('자료_미국심리'!$A3239),ISNUMBER('자료_미국심리'!$B3239)),'자료_미국심리'!$A3239,"")</f>
        <v/>
      </c>
      <c r="P3255">
        <f>IF(AND(ISNUMBER('자료_미국심리'!$D3239),ISNUMBER('자료_미국심리'!$E3239)),'자료_미국심리'!$D3239,"")</f>
        <v/>
      </c>
      <c r="Q3255">
        <f>IF(AND(ISNUMBER('자료_미국심리'!$G3239),ISNUMBER('자료_미국심리'!$H3239)),'자료_미국심리'!$G3239,"")</f>
        <v/>
      </c>
    </row>
    <row r="3256">
      <c r="O3256">
        <f>IF(AND(ISNUMBER('자료_미국심리'!$A3240),ISNUMBER('자료_미국심리'!$B3240)),'자료_미국심리'!$A3240,"")</f>
        <v/>
      </c>
      <c r="P3256">
        <f>IF(AND(ISNUMBER('자료_미국심리'!$D3240),ISNUMBER('자료_미국심리'!$E3240)),'자료_미국심리'!$D3240,"")</f>
        <v/>
      </c>
      <c r="Q3256">
        <f>IF(AND(ISNUMBER('자료_미국심리'!$G3240),ISNUMBER('자료_미국심리'!$H3240)),'자료_미국심리'!$G3240,"")</f>
        <v/>
      </c>
    </row>
    <row r="3257">
      <c r="O3257">
        <f>IF(AND(ISNUMBER('자료_미국심리'!$A3241),ISNUMBER('자료_미국심리'!$B3241)),'자료_미국심리'!$A3241,"")</f>
        <v/>
      </c>
      <c r="P3257">
        <f>IF(AND(ISNUMBER('자료_미국심리'!$D3241),ISNUMBER('자료_미국심리'!$E3241)),'자료_미국심리'!$D3241,"")</f>
        <v/>
      </c>
      <c r="Q3257">
        <f>IF(AND(ISNUMBER('자료_미국심리'!$G3241),ISNUMBER('자료_미국심리'!$H3241)),'자료_미국심리'!$G3241,"")</f>
        <v/>
      </c>
    </row>
    <row r="3258">
      <c r="O3258">
        <f>IF(AND(ISNUMBER('자료_미국심리'!$A3242),ISNUMBER('자료_미국심리'!$B3242)),'자료_미국심리'!$A3242,"")</f>
        <v/>
      </c>
      <c r="P3258">
        <f>IF(AND(ISNUMBER('자료_미국심리'!$D3242),ISNUMBER('자료_미국심리'!$E3242)),'자료_미국심리'!$D3242,"")</f>
        <v/>
      </c>
      <c r="Q3258">
        <f>IF(AND(ISNUMBER('자료_미국심리'!$G3242),ISNUMBER('자료_미국심리'!$H3242)),'자료_미국심리'!$G3242,"")</f>
        <v/>
      </c>
    </row>
    <row r="3259">
      <c r="O3259">
        <f>IF(AND(ISNUMBER('자료_미국심리'!$A3243),ISNUMBER('자료_미국심리'!$B3243)),'자료_미국심리'!$A3243,"")</f>
        <v/>
      </c>
      <c r="P3259">
        <f>IF(AND(ISNUMBER('자료_미국심리'!$D3243),ISNUMBER('자료_미국심리'!$E3243)),'자료_미국심리'!$D3243,"")</f>
        <v/>
      </c>
      <c r="Q3259">
        <f>IF(AND(ISNUMBER('자료_미국심리'!$G3243),ISNUMBER('자료_미국심리'!$H3243)),'자료_미국심리'!$G3243,"")</f>
        <v/>
      </c>
    </row>
    <row r="3260">
      <c r="O3260">
        <f>IF(AND(ISNUMBER('자료_미국심리'!$A3244),ISNUMBER('자료_미국심리'!$B3244)),'자료_미국심리'!$A3244,"")</f>
        <v/>
      </c>
      <c r="P3260">
        <f>IF(AND(ISNUMBER('자료_미국심리'!$D3244),ISNUMBER('자료_미국심리'!$E3244)),'자료_미국심리'!$D3244,"")</f>
        <v/>
      </c>
      <c r="Q3260">
        <f>IF(AND(ISNUMBER('자료_미국심리'!$G3244),ISNUMBER('자료_미국심리'!$H3244)),'자료_미국심리'!$G3244,"")</f>
        <v/>
      </c>
    </row>
    <row r="3261">
      <c r="O3261">
        <f>IF(AND(ISNUMBER('자료_미국심리'!$A3245),ISNUMBER('자료_미국심리'!$B3245)),'자료_미국심리'!$A3245,"")</f>
        <v/>
      </c>
      <c r="P3261">
        <f>IF(AND(ISNUMBER('자료_미국심리'!$D3245),ISNUMBER('자료_미국심리'!$E3245)),'자료_미국심리'!$D3245,"")</f>
        <v/>
      </c>
      <c r="Q3261">
        <f>IF(AND(ISNUMBER('자료_미국심리'!$G3245),ISNUMBER('자료_미국심리'!$H3245)),'자료_미국심리'!$G3245,"")</f>
        <v/>
      </c>
    </row>
    <row r="3262">
      <c r="O3262">
        <f>IF(AND(ISNUMBER('자료_미국심리'!$A3246),ISNUMBER('자료_미국심리'!$B3246)),'자료_미국심리'!$A3246,"")</f>
        <v/>
      </c>
      <c r="P3262">
        <f>IF(AND(ISNUMBER('자료_미국심리'!$D3246),ISNUMBER('자료_미국심리'!$E3246)),'자료_미국심리'!$D3246,"")</f>
        <v/>
      </c>
      <c r="Q3262">
        <f>IF(AND(ISNUMBER('자료_미국심리'!$G3246),ISNUMBER('자료_미국심리'!$H3246)),'자료_미국심리'!$G3246,"")</f>
        <v/>
      </c>
    </row>
    <row r="3263">
      <c r="O3263">
        <f>IF(AND(ISNUMBER('자료_미국심리'!$A3247),ISNUMBER('자료_미국심리'!$B3247)),'자료_미국심리'!$A3247,"")</f>
        <v/>
      </c>
      <c r="P3263">
        <f>IF(AND(ISNUMBER('자료_미국심리'!$D3247),ISNUMBER('자료_미국심리'!$E3247)),'자료_미국심리'!$D3247,"")</f>
        <v/>
      </c>
      <c r="Q3263">
        <f>IF(AND(ISNUMBER('자료_미국심리'!$G3247),ISNUMBER('자료_미국심리'!$H3247)),'자료_미국심리'!$G3247,"")</f>
        <v/>
      </c>
    </row>
    <row r="3264">
      <c r="O3264">
        <f>IF(AND(ISNUMBER('자료_미국심리'!$A3248),ISNUMBER('자료_미국심리'!$B3248)),'자료_미국심리'!$A3248,"")</f>
        <v/>
      </c>
      <c r="P3264">
        <f>IF(AND(ISNUMBER('자료_미국심리'!$D3248),ISNUMBER('자료_미국심리'!$E3248)),'자료_미국심리'!$D3248,"")</f>
        <v/>
      </c>
      <c r="Q3264">
        <f>IF(AND(ISNUMBER('자료_미국심리'!$G3248),ISNUMBER('자료_미국심리'!$H3248)),'자료_미국심리'!$G3248,"")</f>
        <v/>
      </c>
    </row>
    <row r="3265">
      <c r="O3265">
        <f>IF(AND(ISNUMBER('자료_미국심리'!$A3249),ISNUMBER('자료_미국심리'!$B3249)),'자료_미국심리'!$A3249,"")</f>
        <v/>
      </c>
      <c r="P3265">
        <f>IF(AND(ISNUMBER('자료_미국심리'!$D3249),ISNUMBER('자료_미국심리'!$E3249)),'자료_미국심리'!$D3249,"")</f>
        <v/>
      </c>
      <c r="Q3265">
        <f>IF(AND(ISNUMBER('자료_미국심리'!$G3249),ISNUMBER('자료_미국심리'!$H3249)),'자료_미국심리'!$G3249,"")</f>
        <v/>
      </c>
    </row>
    <row r="3266">
      <c r="O3266">
        <f>IF(AND(ISNUMBER('자료_미국심리'!$A3250),ISNUMBER('자료_미국심리'!$B3250)),'자료_미국심리'!$A3250,"")</f>
        <v/>
      </c>
      <c r="P3266">
        <f>IF(AND(ISNUMBER('자료_미국심리'!$D3250),ISNUMBER('자료_미국심리'!$E3250)),'자료_미국심리'!$D3250,"")</f>
        <v/>
      </c>
      <c r="Q3266">
        <f>IF(AND(ISNUMBER('자료_미국심리'!$G3250),ISNUMBER('자료_미국심리'!$H3250)),'자료_미국심리'!$G3250,"")</f>
        <v/>
      </c>
    </row>
    <row r="3267">
      <c r="O3267">
        <f>IF(AND(ISNUMBER('자료_미국심리'!$A3251),ISNUMBER('자료_미국심리'!$B3251)),'자료_미국심리'!$A3251,"")</f>
        <v/>
      </c>
      <c r="P3267">
        <f>IF(AND(ISNUMBER('자료_미국심리'!$D3251),ISNUMBER('자료_미국심리'!$E3251)),'자료_미국심리'!$D3251,"")</f>
        <v/>
      </c>
      <c r="Q3267">
        <f>IF(AND(ISNUMBER('자료_미국심리'!$G3251),ISNUMBER('자료_미국심리'!$H3251)),'자료_미국심리'!$G3251,"")</f>
        <v/>
      </c>
    </row>
    <row r="3268">
      <c r="O3268">
        <f>IF(AND(ISNUMBER('자료_미국심리'!$A3252),ISNUMBER('자료_미국심리'!$B3252)),'자료_미국심리'!$A3252,"")</f>
        <v/>
      </c>
      <c r="P3268">
        <f>IF(AND(ISNUMBER('자료_미국심리'!$D3252),ISNUMBER('자료_미국심리'!$E3252)),'자료_미국심리'!$D3252,"")</f>
        <v/>
      </c>
      <c r="Q3268">
        <f>IF(AND(ISNUMBER('자료_미국심리'!$G3252),ISNUMBER('자료_미국심리'!$H3252)),'자료_미국심리'!$G3252,"")</f>
        <v/>
      </c>
    </row>
    <row r="3269">
      <c r="O3269">
        <f>IF(AND(ISNUMBER('자료_미국심리'!$A3253),ISNUMBER('자료_미국심리'!$B3253)),'자료_미국심리'!$A3253,"")</f>
        <v/>
      </c>
      <c r="P3269">
        <f>IF(AND(ISNUMBER('자료_미국심리'!$D3253),ISNUMBER('자료_미국심리'!$E3253)),'자료_미국심리'!$D3253,"")</f>
        <v/>
      </c>
      <c r="Q3269">
        <f>IF(AND(ISNUMBER('자료_미국심리'!$G3253),ISNUMBER('자료_미국심리'!$H3253)),'자료_미국심리'!$G3253,"")</f>
        <v/>
      </c>
    </row>
    <row r="3270">
      <c r="O3270">
        <f>IF(AND(ISNUMBER('자료_미국심리'!$A3254),ISNUMBER('자료_미국심리'!$B3254)),'자료_미국심리'!$A3254,"")</f>
        <v/>
      </c>
      <c r="P3270">
        <f>IF(AND(ISNUMBER('자료_미국심리'!$D3254),ISNUMBER('자료_미국심리'!$E3254)),'자료_미국심리'!$D3254,"")</f>
        <v/>
      </c>
      <c r="Q3270">
        <f>IF(AND(ISNUMBER('자료_미국심리'!$G3254),ISNUMBER('자료_미국심리'!$H3254)),'자료_미국심리'!$G3254,"")</f>
        <v/>
      </c>
    </row>
    <row r="3271">
      <c r="O3271">
        <f>IF(AND(ISNUMBER('자료_미국심리'!$A3255),ISNUMBER('자료_미국심리'!$B3255)),'자료_미국심리'!$A3255,"")</f>
        <v/>
      </c>
      <c r="P3271">
        <f>IF(AND(ISNUMBER('자료_미국심리'!$D3255),ISNUMBER('자료_미국심리'!$E3255)),'자료_미국심리'!$D3255,"")</f>
        <v/>
      </c>
      <c r="Q3271">
        <f>IF(AND(ISNUMBER('자료_미국심리'!$G3255),ISNUMBER('자료_미국심리'!$H3255)),'자료_미국심리'!$G3255,"")</f>
        <v/>
      </c>
    </row>
    <row r="3272">
      <c r="O3272">
        <f>IF(AND(ISNUMBER('자료_미국심리'!$A3256),ISNUMBER('자료_미국심리'!$B3256)),'자료_미국심리'!$A3256,"")</f>
        <v/>
      </c>
      <c r="P3272">
        <f>IF(AND(ISNUMBER('자료_미국심리'!$D3256),ISNUMBER('자료_미국심리'!$E3256)),'자료_미국심리'!$D3256,"")</f>
        <v/>
      </c>
      <c r="Q3272">
        <f>IF(AND(ISNUMBER('자료_미국심리'!$G3256),ISNUMBER('자료_미국심리'!$H3256)),'자료_미국심리'!$G3256,"")</f>
        <v/>
      </c>
    </row>
    <row r="3273">
      <c r="O3273">
        <f>IF(AND(ISNUMBER('자료_미국심리'!$A3257),ISNUMBER('자료_미국심리'!$B3257)),'자료_미국심리'!$A3257,"")</f>
        <v/>
      </c>
      <c r="P3273">
        <f>IF(AND(ISNUMBER('자료_미국심리'!$D3257),ISNUMBER('자료_미국심리'!$E3257)),'자료_미국심리'!$D3257,"")</f>
        <v/>
      </c>
      <c r="Q3273">
        <f>IF(AND(ISNUMBER('자료_미국심리'!$G3257),ISNUMBER('자료_미국심리'!$H3257)),'자료_미국심리'!$G3257,"")</f>
        <v/>
      </c>
    </row>
    <row r="3274">
      <c r="O3274">
        <f>IF(AND(ISNUMBER('자료_미국심리'!$A3258),ISNUMBER('자료_미국심리'!$B3258)),'자료_미국심리'!$A3258,"")</f>
        <v/>
      </c>
      <c r="P3274">
        <f>IF(AND(ISNUMBER('자료_미국심리'!$D3258),ISNUMBER('자료_미국심리'!$E3258)),'자료_미국심리'!$D3258,"")</f>
        <v/>
      </c>
      <c r="Q3274">
        <f>IF(AND(ISNUMBER('자료_미국심리'!$G3258),ISNUMBER('자료_미국심리'!$H3258)),'자료_미국심리'!$G3258,"")</f>
        <v/>
      </c>
    </row>
    <row r="3275">
      <c r="O3275">
        <f>IF(AND(ISNUMBER('자료_미국심리'!$A3259),ISNUMBER('자료_미국심리'!$B3259)),'자료_미국심리'!$A3259,"")</f>
        <v/>
      </c>
      <c r="P3275">
        <f>IF(AND(ISNUMBER('자료_미국심리'!$D3259),ISNUMBER('자료_미국심리'!$E3259)),'자료_미국심리'!$D3259,"")</f>
        <v/>
      </c>
      <c r="Q3275">
        <f>IF(AND(ISNUMBER('자료_미국심리'!$G3259),ISNUMBER('자료_미국심리'!$H3259)),'자료_미국심리'!$G3259,"")</f>
        <v/>
      </c>
    </row>
    <row r="3276">
      <c r="O3276">
        <f>IF(AND(ISNUMBER('자료_미국심리'!$A3260),ISNUMBER('자료_미국심리'!$B3260)),'자료_미국심리'!$A3260,"")</f>
        <v/>
      </c>
      <c r="P3276">
        <f>IF(AND(ISNUMBER('자료_미국심리'!$D3260),ISNUMBER('자료_미국심리'!$E3260)),'자료_미국심리'!$D3260,"")</f>
        <v/>
      </c>
      <c r="Q3276">
        <f>IF(AND(ISNUMBER('자료_미국심리'!$G3260),ISNUMBER('자료_미국심리'!$H3260)),'자료_미국심리'!$G3260,"")</f>
        <v/>
      </c>
    </row>
    <row r="3277">
      <c r="O3277">
        <f>IF(AND(ISNUMBER('자료_미국심리'!$A3261),ISNUMBER('자료_미국심리'!$B3261)),'자료_미국심리'!$A3261,"")</f>
        <v/>
      </c>
      <c r="P3277">
        <f>IF(AND(ISNUMBER('자료_미국심리'!$D3261),ISNUMBER('자료_미국심리'!$E3261)),'자료_미국심리'!$D3261,"")</f>
        <v/>
      </c>
      <c r="Q3277">
        <f>IF(AND(ISNUMBER('자료_미국심리'!$G3261),ISNUMBER('자료_미국심리'!$H3261)),'자료_미국심리'!$G3261,"")</f>
        <v/>
      </c>
    </row>
    <row r="3278">
      <c r="O3278">
        <f>IF(AND(ISNUMBER('자료_미국심리'!$A3262),ISNUMBER('자료_미국심리'!$B3262)),'자료_미국심리'!$A3262,"")</f>
        <v/>
      </c>
      <c r="P3278">
        <f>IF(AND(ISNUMBER('자료_미국심리'!$D3262),ISNUMBER('자료_미국심리'!$E3262)),'자료_미국심리'!$D3262,"")</f>
        <v/>
      </c>
      <c r="Q3278">
        <f>IF(AND(ISNUMBER('자료_미국심리'!$G3262),ISNUMBER('자료_미국심리'!$H3262)),'자료_미국심리'!$G3262,"")</f>
        <v/>
      </c>
    </row>
    <row r="3279">
      <c r="O3279">
        <f>IF(AND(ISNUMBER('자료_미국심리'!$A3263),ISNUMBER('자료_미국심리'!$B3263)),'자료_미국심리'!$A3263,"")</f>
        <v/>
      </c>
      <c r="P3279">
        <f>IF(AND(ISNUMBER('자료_미국심리'!$D3263),ISNUMBER('자료_미국심리'!$E3263)),'자료_미국심리'!$D3263,"")</f>
        <v/>
      </c>
      <c r="Q3279">
        <f>IF(AND(ISNUMBER('자료_미국심리'!$G3263),ISNUMBER('자료_미국심리'!$H3263)),'자료_미국심리'!$G3263,"")</f>
        <v/>
      </c>
    </row>
    <row r="3280">
      <c r="O3280">
        <f>IF(AND(ISNUMBER('자료_미국심리'!$A3264),ISNUMBER('자료_미국심리'!$B3264)),'자료_미국심리'!$A3264,"")</f>
        <v/>
      </c>
      <c r="P3280">
        <f>IF(AND(ISNUMBER('자료_미국심리'!$D3264),ISNUMBER('자료_미국심리'!$E3264)),'자료_미국심리'!$D3264,"")</f>
        <v/>
      </c>
      <c r="Q3280">
        <f>IF(AND(ISNUMBER('자료_미국심리'!$G3264),ISNUMBER('자료_미국심리'!$H3264)),'자료_미국심리'!$G3264,"")</f>
        <v/>
      </c>
    </row>
    <row r="3281">
      <c r="O3281">
        <f>IF(AND(ISNUMBER('자료_미국심리'!$A3265),ISNUMBER('자료_미국심리'!$B3265)),'자료_미국심리'!$A3265,"")</f>
        <v/>
      </c>
      <c r="P3281">
        <f>IF(AND(ISNUMBER('자료_미국심리'!$D3265),ISNUMBER('자료_미국심리'!$E3265)),'자료_미국심리'!$D3265,"")</f>
        <v/>
      </c>
      <c r="Q3281">
        <f>IF(AND(ISNUMBER('자료_미국심리'!$G3265),ISNUMBER('자료_미국심리'!$H3265)),'자료_미국심리'!$G3265,"")</f>
        <v/>
      </c>
    </row>
    <row r="3282">
      <c r="O3282">
        <f>IF(AND(ISNUMBER('자료_미국심리'!$A3266),ISNUMBER('자료_미국심리'!$B3266)),'자료_미국심리'!$A3266,"")</f>
        <v/>
      </c>
      <c r="P3282">
        <f>IF(AND(ISNUMBER('자료_미국심리'!$D3266),ISNUMBER('자료_미국심리'!$E3266)),'자료_미국심리'!$D3266,"")</f>
        <v/>
      </c>
      <c r="Q3282">
        <f>IF(AND(ISNUMBER('자료_미국심리'!$G3266),ISNUMBER('자료_미국심리'!$H3266)),'자료_미국심리'!$G3266,"")</f>
        <v/>
      </c>
    </row>
    <row r="3283">
      <c r="O3283">
        <f>IF(AND(ISNUMBER('자료_미국심리'!$A3267),ISNUMBER('자료_미국심리'!$B3267)),'자료_미국심리'!$A3267,"")</f>
        <v/>
      </c>
      <c r="P3283">
        <f>IF(AND(ISNUMBER('자료_미국심리'!$D3267),ISNUMBER('자료_미국심리'!$E3267)),'자료_미국심리'!$D3267,"")</f>
        <v/>
      </c>
      <c r="Q3283">
        <f>IF(AND(ISNUMBER('자료_미국심리'!$G3267),ISNUMBER('자료_미국심리'!$H3267)),'자료_미국심리'!$G3267,"")</f>
        <v/>
      </c>
    </row>
    <row r="3284">
      <c r="O3284">
        <f>IF(AND(ISNUMBER('자료_미국심리'!$A3268),ISNUMBER('자료_미국심리'!$B3268)),'자료_미국심리'!$A3268,"")</f>
        <v/>
      </c>
      <c r="P3284">
        <f>IF(AND(ISNUMBER('자료_미국심리'!$D3268),ISNUMBER('자료_미국심리'!$E3268)),'자료_미국심리'!$D3268,"")</f>
        <v/>
      </c>
      <c r="Q3284">
        <f>IF(AND(ISNUMBER('자료_미국심리'!$G3268),ISNUMBER('자료_미국심리'!$H3268)),'자료_미국심리'!$G3268,"")</f>
        <v/>
      </c>
    </row>
    <row r="3285">
      <c r="O3285">
        <f>IF(AND(ISNUMBER('자료_미국심리'!$A3269),ISNUMBER('자료_미국심리'!$B3269)),'자료_미국심리'!$A3269,"")</f>
        <v/>
      </c>
      <c r="P3285">
        <f>IF(AND(ISNUMBER('자료_미국심리'!$D3269),ISNUMBER('자료_미국심리'!$E3269)),'자료_미국심리'!$D3269,"")</f>
        <v/>
      </c>
      <c r="Q3285">
        <f>IF(AND(ISNUMBER('자료_미국심리'!$G3269),ISNUMBER('자료_미국심리'!$H3269)),'자료_미국심리'!$G3269,"")</f>
        <v/>
      </c>
    </row>
    <row r="3286">
      <c r="O3286">
        <f>IF(AND(ISNUMBER('자료_미국심리'!$A3270),ISNUMBER('자료_미국심리'!$B3270)),'자료_미국심리'!$A3270,"")</f>
        <v/>
      </c>
      <c r="P3286">
        <f>IF(AND(ISNUMBER('자료_미국심리'!$D3270),ISNUMBER('자료_미국심리'!$E3270)),'자료_미국심리'!$D3270,"")</f>
        <v/>
      </c>
      <c r="Q3286">
        <f>IF(AND(ISNUMBER('자료_미국심리'!$G3270),ISNUMBER('자료_미국심리'!$H3270)),'자료_미국심리'!$G3270,"")</f>
        <v/>
      </c>
    </row>
    <row r="3287">
      <c r="O3287">
        <f>IF(AND(ISNUMBER('자료_미국심리'!$A3271),ISNUMBER('자료_미국심리'!$B3271)),'자료_미국심리'!$A3271,"")</f>
        <v/>
      </c>
      <c r="P3287">
        <f>IF(AND(ISNUMBER('자료_미국심리'!$D3271),ISNUMBER('자료_미국심리'!$E3271)),'자료_미국심리'!$D3271,"")</f>
        <v/>
      </c>
      <c r="Q3287">
        <f>IF(AND(ISNUMBER('자료_미국심리'!$G3271),ISNUMBER('자료_미국심리'!$H3271)),'자료_미국심리'!$G3271,"")</f>
        <v/>
      </c>
    </row>
    <row r="3288">
      <c r="O3288">
        <f>IF(AND(ISNUMBER('자료_미국심리'!$A3272),ISNUMBER('자료_미국심리'!$B3272)),'자료_미국심리'!$A3272,"")</f>
        <v/>
      </c>
      <c r="P3288">
        <f>IF(AND(ISNUMBER('자료_미국심리'!$D3272),ISNUMBER('자료_미국심리'!$E3272)),'자료_미국심리'!$D3272,"")</f>
        <v/>
      </c>
      <c r="Q3288">
        <f>IF(AND(ISNUMBER('자료_미국심리'!$G3272),ISNUMBER('자료_미국심리'!$H3272)),'자료_미국심리'!$G3272,"")</f>
        <v/>
      </c>
    </row>
    <row r="3289">
      <c r="O3289">
        <f>IF(AND(ISNUMBER('자료_미국심리'!$A3273),ISNUMBER('자료_미국심리'!$B3273)),'자료_미국심리'!$A3273,"")</f>
        <v/>
      </c>
      <c r="P3289">
        <f>IF(AND(ISNUMBER('자료_미국심리'!$D3273),ISNUMBER('자료_미국심리'!$E3273)),'자료_미국심리'!$D3273,"")</f>
        <v/>
      </c>
      <c r="Q3289">
        <f>IF(AND(ISNUMBER('자료_미국심리'!$G3273),ISNUMBER('자료_미국심리'!$H3273)),'자료_미국심리'!$G3273,"")</f>
        <v/>
      </c>
    </row>
    <row r="3290">
      <c r="O3290">
        <f>IF(AND(ISNUMBER('자료_미국심리'!$A3274),ISNUMBER('자료_미국심리'!$B3274)),'자료_미국심리'!$A3274,"")</f>
        <v/>
      </c>
      <c r="P3290">
        <f>IF(AND(ISNUMBER('자료_미국심리'!$D3274),ISNUMBER('자료_미국심리'!$E3274)),'자료_미국심리'!$D3274,"")</f>
        <v/>
      </c>
      <c r="Q3290">
        <f>IF(AND(ISNUMBER('자료_미국심리'!$G3274),ISNUMBER('자료_미국심리'!$H3274)),'자료_미국심리'!$G3274,"")</f>
        <v/>
      </c>
    </row>
    <row r="3291">
      <c r="O3291">
        <f>IF(AND(ISNUMBER('자료_미국심리'!$A3275),ISNUMBER('자료_미국심리'!$B3275)),'자료_미국심리'!$A3275,"")</f>
        <v/>
      </c>
      <c r="P3291">
        <f>IF(AND(ISNUMBER('자료_미국심리'!$D3275),ISNUMBER('자료_미국심리'!$E3275)),'자료_미국심리'!$D3275,"")</f>
        <v/>
      </c>
      <c r="Q3291">
        <f>IF(AND(ISNUMBER('자료_미국심리'!$G3275),ISNUMBER('자료_미국심리'!$H3275)),'자료_미국심리'!$G3275,"")</f>
        <v/>
      </c>
    </row>
    <row r="3292">
      <c r="O3292">
        <f>IF(AND(ISNUMBER('자료_미국심리'!$A3276),ISNUMBER('자료_미국심리'!$B3276)),'자료_미국심리'!$A3276,"")</f>
        <v/>
      </c>
      <c r="P3292">
        <f>IF(AND(ISNUMBER('자료_미국심리'!$D3276),ISNUMBER('자료_미국심리'!$E3276)),'자료_미국심리'!$D3276,"")</f>
        <v/>
      </c>
      <c r="Q3292">
        <f>IF(AND(ISNUMBER('자료_미국심리'!$G3276),ISNUMBER('자료_미국심리'!$H3276)),'자료_미국심리'!$G3276,"")</f>
        <v/>
      </c>
    </row>
    <row r="3293">
      <c r="O3293">
        <f>IF(AND(ISNUMBER('자료_미국심리'!$A3277),ISNUMBER('자료_미국심리'!$B3277)),'자료_미국심리'!$A3277,"")</f>
        <v/>
      </c>
      <c r="P3293">
        <f>IF(AND(ISNUMBER('자료_미국심리'!$D3277),ISNUMBER('자료_미국심리'!$E3277)),'자료_미국심리'!$D3277,"")</f>
        <v/>
      </c>
      <c r="Q3293">
        <f>IF(AND(ISNUMBER('자료_미국심리'!$G3277),ISNUMBER('자료_미국심리'!$H3277)),'자료_미국심리'!$G3277,"")</f>
        <v/>
      </c>
    </row>
    <row r="3294">
      <c r="O3294">
        <f>IF(AND(ISNUMBER('자료_미국심리'!$A3278),ISNUMBER('자료_미국심리'!$B3278)),'자료_미국심리'!$A3278,"")</f>
        <v/>
      </c>
      <c r="P3294">
        <f>IF(AND(ISNUMBER('자료_미국심리'!$D3278),ISNUMBER('자료_미국심리'!$E3278)),'자료_미국심리'!$D3278,"")</f>
        <v/>
      </c>
      <c r="Q3294">
        <f>IF(AND(ISNUMBER('자료_미국심리'!$G3278),ISNUMBER('자료_미국심리'!$H3278)),'자료_미국심리'!$G3278,"")</f>
        <v/>
      </c>
    </row>
    <row r="3295">
      <c r="O3295">
        <f>IF(AND(ISNUMBER('자료_미국심리'!$A3279),ISNUMBER('자료_미국심리'!$B3279)),'자료_미국심리'!$A3279,"")</f>
        <v/>
      </c>
      <c r="P3295">
        <f>IF(AND(ISNUMBER('자료_미국심리'!$D3279),ISNUMBER('자료_미국심리'!$E3279)),'자료_미국심리'!$D3279,"")</f>
        <v/>
      </c>
      <c r="Q3295">
        <f>IF(AND(ISNUMBER('자료_미국심리'!$G3279),ISNUMBER('자료_미국심리'!$H3279)),'자료_미국심리'!$G3279,"")</f>
        <v/>
      </c>
    </row>
    <row r="3296">
      <c r="O3296">
        <f>IF(AND(ISNUMBER('자료_미국심리'!$A3280),ISNUMBER('자료_미국심리'!$B3280)),'자료_미국심리'!$A3280,"")</f>
        <v/>
      </c>
      <c r="P3296">
        <f>IF(AND(ISNUMBER('자료_미국심리'!$D3280),ISNUMBER('자료_미국심리'!$E3280)),'자료_미국심리'!$D3280,"")</f>
        <v/>
      </c>
      <c r="Q3296">
        <f>IF(AND(ISNUMBER('자료_미국심리'!$G3280),ISNUMBER('자료_미국심리'!$H3280)),'자료_미국심리'!$G3280,"")</f>
        <v/>
      </c>
    </row>
    <row r="3297">
      <c r="O3297">
        <f>IF(AND(ISNUMBER('자료_미국심리'!$A3281),ISNUMBER('자료_미국심리'!$B3281)),'자료_미국심리'!$A3281,"")</f>
        <v/>
      </c>
      <c r="P3297">
        <f>IF(AND(ISNUMBER('자료_미국심리'!$D3281),ISNUMBER('자료_미국심리'!$E3281)),'자료_미국심리'!$D3281,"")</f>
        <v/>
      </c>
      <c r="Q3297">
        <f>IF(AND(ISNUMBER('자료_미국심리'!$G3281),ISNUMBER('자료_미국심리'!$H3281)),'자료_미국심리'!$G3281,"")</f>
        <v/>
      </c>
    </row>
    <row r="3298">
      <c r="O3298">
        <f>IF(AND(ISNUMBER('자료_미국심리'!$A3282),ISNUMBER('자료_미국심리'!$B3282)),'자료_미국심리'!$A3282,"")</f>
        <v/>
      </c>
      <c r="P3298">
        <f>IF(AND(ISNUMBER('자료_미국심리'!$D3282),ISNUMBER('자료_미국심리'!$E3282)),'자료_미국심리'!$D3282,"")</f>
        <v/>
      </c>
      <c r="Q3298">
        <f>IF(AND(ISNUMBER('자료_미국심리'!$G3282),ISNUMBER('자료_미국심리'!$H3282)),'자료_미국심리'!$G3282,"")</f>
        <v/>
      </c>
    </row>
    <row r="3299">
      <c r="O3299">
        <f>IF(AND(ISNUMBER('자료_미국심리'!$A3283),ISNUMBER('자료_미국심리'!$B3283)),'자료_미국심리'!$A3283,"")</f>
        <v/>
      </c>
      <c r="P3299">
        <f>IF(AND(ISNUMBER('자료_미국심리'!$D3283),ISNUMBER('자료_미국심리'!$E3283)),'자료_미국심리'!$D3283,"")</f>
        <v/>
      </c>
      <c r="Q3299">
        <f>IF(AND(ISNUMBER('자료_미국심리'!$G3283),ISNUMBER('자료_미국심리'!$H3283)),'자료_미국심리'!$G3283,"")</f>
        <v/>
      </c>
    </row>
    <row r="3300">
      <c r="O3300">
        <f>IF(AND(ISNUMBER('자료_미국심리'!$A3284),ISNUMBER('자료_미국심리'!$B3284)),'자료_미국심리'!$A3284,"")</f>
        <v/>
      </c>
      <c r="P3300">
        <f>IF(AND(ISNUMBER('자료_미국심리'!$D3284),ISNUMBER('자료_미국심리'!$E3284)),'자료_미국심리'!$D3284,"")</f>
        <v/>
      </c>
      <c r="Q3300">
        <f>IF(AND(ISNUMBER('자료_미국심리'!$G3284),ISNUMBER('자료_미국심리'!$H3284)),'자료_미국심리'!$G3284,"")</f>
        <v/>
      </c>
    </row>
    <row r="3301">
      <c r="O3301">
        <f>IF(AND(ISNUMBER('자료_미국심리'!$A3285),ISNUMBER('자료_미국심리'!$B3285)),'자료_미국심리'!$A3285,"")</f>
        <v/>
      </c>
      <c r="P3301">
        <f>IF(AND(ISNUMBER('자료_미국심리'!$D3285),ISNUMBER('자료_미국심리'!$E3285)),'자료_미국심리'!$D3285,"")</f>
        <v/>
      </c>
      <c r="Q3301">
        <f>IF(AND(ISNUMBER('자료_미국심리'!$G3285),ISNUMBER('자료_미국심리'!$H3285)),'자료_미국심리'!$G3285,"")</f>
        <v/>
      </c>
    </row>
    <row r="3302">
      <c r="O3302">
        <f>IF(AND(ISNUMBER('자료_미국심리'!$A3286),ISNUMBER('자료_미국심리'!$B3286)),'자료_미국심리'!$A3286,"")</f>
        <v/>
      </c>
      <c r="P3302">
        <f>IF(AND(ISNUMBER('자료_미국심리'!$D3286),ISNUMBER('자료_미국심리'!$E3286)),'자료_미국심리'!$D3286,"")</f>
        <v/>
      </c>
      <c r="Q3302">
        <f>IF(AND(ISNUMBER('자료_미국심리'!$G3286),ISNUMBER('자료_미국심리'!$H3286)),'자료_미국심리'!$G3286,"")</f>
        <v/>
      </c>
    </row>
    <row r="3303">
      <c r="O3303">
        <f>IF(AND(ISNUMBER('자료_미국심리'!$A3287),ISNUMBER('자료_미국심리'!$B3287)),'자료_미국심리'!$A3287,"")</f>
        <v/>
      </c>
      <c r="P3303">
        <f>IF(AND(ISNUMBER('자료_미국심리'!$D3287),ISNUMBER('자료_미국심리'!$E3287)),'자료_미국심리'!$D3287,"")</f>
        <v/>
      </c>
      <c r="Q3303">
        <f>IF(AND(ISNUMBER('자료_미국심리'!$G3287),ISNUMBER('자료_미국심리'!$H3287)),'자료_미국심리'!$G3287,"")</f>
        <v/>
      </c>
    </row>
    <row r="3304">
      <c r="O3304">
        <f>IF(AND(ISNUMBER('자료_미국심리'!$A3288),ISNUMBER('자료_미국심리'!$B3288)),'자료_미국심리'!$A3288,"")</f>
        <v/>
      </c>
      <c r="P3304">
        <f>IF(AND(ISNUMBER('자료_미국심리'!$D3288),ISNUMBER('자료_미국심리'!$E3288)),'자료_미국심리'!$D3288,"")</f>
        <v/>
      </c>
      <c r="Q3304">
        <f>IF(AND(ISNUMBER('자료_미국심리'!$G3288),ISNUMBER('자료_미국심리'!$H3288)),'자료_미국심리'!$G3288,"")</f>
        <v/>
      </c>
    </row>
    <row r="3305">
      <c r="O3305">
        <f>IF(AND(ISNUMBER('자료_미국심리'!$A3289),ISNUMBER('자료_미국심리'!$B3289)),'자료_미국심리'!$A3289,"")</f>
        <v/>
      </c>
      <c r="P3305">
        <f>IF(AND(ISNUMBER('자료_미국심리'!$D3289),ISNUMBER('자료_미국심리'!$E3289)),'자료_미국심리'!$D3289,"")</f>
        <v/>
      </c>
      <c r="Q3305">
        <f>IF(AND(ISNUMBER('자료_미국심리'!$G3289),ISNUMBER('자료_미국심리'!$H3289)),'자료_미국심리'!$G3289,"")</f>
        <v/>
      </c>
    </row>
    <row r="3306">
      <c r="O3306">
        <f>IF(AND(ISNUMBER('자료_미국심리'!$A3290),ISNUMBER('자료_미국심리'!$B3290)),'자료_미국심리'!$A3290,"")</f>
        <v/>
      </c>
      <c r="P3306">
        <f>IF(AND(ISNUMBER('자료_미국심리'!$D3290),ISNUMBER('자료_미국심리'!$E3290)),'자료_미국심리'!$D3290,"")</f>
        <v/>
      </c>
      <c r="Q3306">
        <f>IF(AND(ISNUMBER('자료_미국심리'!$G3290),ISNUMBER('자료_미국심리'!$H3290)),'자료_미국심리'!$G3290,"")</f>
        <v/>
      </c>
    </row>
    <row r="3307">
      <c r="O3307">
        <f>IF(AND(ISNUMBER('자료_미국심리'!$A3291),ISNUMBER('자료_미국심리'!$B3291)),'자료_미국심리'!$A3291,"")</f>
        <v/>
      </c>
      <c r="P3307">
        <f>IF(AND(ISNUMBER('자료_미국심리'!$D3291),ISNUMBER('자료_미국심리'!$E3291)),'자료_미국심리'!$D3291,"")</f>
        <v/>
      </c>
      <c r="Q3307">
        <f>IF(AND(ISNUMBER('자료_미국심리'!$G3291),ISNUMBER('자료_미국심리'!$H3291)),'자료_미국심리'!$G3291,"")</f>
        <v/>
      </c>
    </row>
    <row r="3308">
      <c r="O3308">
        <f>IF(AND(ISNUMBER('자료_미국심리'!$A3292),ISNUMBER('자료_미국심리'!$B3292)),'자료_미국심리'!$A3292,"")</f>
        <v/>
      </c>
      <c r="P3308">
        <f>IF(AND(ISNUMBER('자료_미국심리'!$D3292),ISNUMBER('자료_미국심리'!$E3292)),'자료_미국심리'!$D3292,"")</f>
        <v/>
      </c>
      <c r="Q3308">
        <f>IF(AND(ISNUMBER('자료_미국심리'!$G3292),ISNUMBER('자료_미국심리'!$H3292)),'자료_미국심리'!$G3292,"")</f>
        <v/>
      </c>
    </row>
    <row r="3309">
      <c r="O3309">
        <f>IF(AND(ISNUMBER('자료_미국심리'!$A3293),ISNUMBER('자료_미국심리'!$B3293)),'자료_미국심리'!$A3293,"")</f>
        <v/>
      </c>
      <c r="P3309">
        <f>IF(AND(ISNUMBER('자료_미국심리'!$D3293),ISNUMBER('자료_미국심리'!$E3293)),'자료_미국심리'!$D3293,"")</f>
        <v/>
      </c>
      <c r="Q3309">
        <f>IF(AND(ISNUMBER('자료_미국심리'!$G3293),ISNUMBER('자료_미국심리'!$H3293)),'자료_미국심리'!$G3293,"")</f>
        <v/>
      </c>
    </row>
    <row r="3310">
      <c r="O3310">
        <f>IF(AND(ISNUMBER('자료_미국심리'!$A3294),ISNUMBER('자료_미국심리'!$B3294)),'자료_미국심리'!$A3294,"")</f>
        <v/>
      </c>
      <c r="P3310">
        <f>IF(AND(ISNUMBER('자료_미국심리'!$D3294),ISNUMBER('자료_미국심리'!$E3294)),'자료_미국심리'!$D3294,"")</f>
        <v/>
      </c>
      <c r="Q3310">
        <f>IF(AND(ISNUMBER('자료_미국심리'!$G3294),ISNUMBER('자료_미국심리'!$H3294)),'자료_미국심리'!$G3294,"")</f>
        <v/>
      </c>
    </row>
    <row r="3311">
      <c r="O3311">
        <f>IF(AND(ISNUMBER('자료_미국심리'!$A3295),ISNUMBER('자료_미국심리'!$B3295)),'자료_미국심리'!$A3295,"")</f>
        <v/>
      </c>
      <c r="P3311">
        <f>IF(AND(ISNUMBER('자료_미국심리'!$D3295),ISNUMBER('자료_미국심리'!$E3295)),'자료_미국심리'!$D3295,"")</f>
        <v/>
      </c>
      <c r="Q3311">
        <f>IF(AND(ISNUMBER('자료_미국심리'!$G3295),ISNUMBER('자료_미국심리'!$H3295)),'자료_미국심리'!$G3295,"")</f>
        <v/>
      </c>
    </row>
    <row r="3312">
      <c r="O3312">
        <f>IF(AND(ISNUMBER('자료_미국심리'!$A3296),ISNUMBER('자료_미국심리'!$B3296)),'자료_미국심리'!$A3296,"")</f>
        <v/>
      </c>
      <c r="P3312">
        <f>IF(AND(ISNUMBER('자료_미국심리'!$D3296),ISNUMBER('자료_미국심리'!$E3296)),'자료_미국심리'!$D3296,"")</f>
        <v/>
      </c>
      <c r="Q3312">
        <f>IF(AND(ISNUMBER('자료_미국심리'!$G3296),ISNUMBER('자료_미국심리'!$H3296)),'자료_미국심리'!$G3296,"")</f>
        <v/>
      </c>
    </row>
    <row r="3313">
      <c r="O3313">
        <f>IF(AND(ISNUMBER('자료_미국심리'!$A3297),ISNUMBER('자료_미국심리'!$B3297)),'자료_미국심리'!$A3297,"")</f>
        <v/>
      </c>
      <c r="P3313">
        <f>IF(AND(ISNUMBER('자료_미국심리'!$D3297),ISNUMBER('자료_미국심리'!$E3297)),'자료_미국심리'!$D3297,"")</f>
        <v/>
      </c>
      <c r="Q3313">
        <f>IF(AND(ISNUMBER('자료_미국심리'!$G3297),ISNUMBER('자료_미국심리'!$H3297)),'자료_미국심리'!$G3297,"")</f>
        <v/>
      </c>
    </row>
    <row r="3314">
      <c r="O3314">
        <f>IF(AND(ISNUMBER('자료_미국심리'!$A3298),ISNUMBER('자료_미국심리'!$B3298)),'자료_미국심리'!$A3298,"")</f>
        <v/>
      </c>
      <c r="P3314">
        <f>IF(AND(ISNUMBER('자료_미국심리'!$D3298),ISNUMBER('자료_미국심리'!$E3298)),'자료_미국심리'!$D3298,"")</f>
        <v/>
      </c>
      <c r="Q3314">
        <f>IF(AND(ISNUMBER('자료_미국심리'!$G3298),ISNUMBER('자료_미국심리'!$H3298)),'자료_미국심리'!$G3298,"")</f>
        <v/>
      </c>
    </row>
    <row r="3315">
      <c r="O3315">
        <f>IF(AND(ISNUMBER('자료_미국심리'!$A3299),ISNUMBER('자료_미국심리'!$B3299)),'자료_미국심리'!$A3299,"")</f>
        <v/>
      </c>
      <c r="P3315">
        <f>IF(AND(ISNUMBER('자료_미국심리'!$D3299),ISNUMBER('자료_미국심리'!$E3299)),'자료_미국심리'!$D3299,"")</f>
        <v/>
      </c>
      <c r="Q3315">
        <f>IF(AND(ISNUMBER('자료_미국심리'!$G3299),ISNUMBER('자료_미국심리'!$H3299)),'자료_미국심리'!$G3299,"")</f>
        <v/>
      </c>
    </row>
    <row r="3316">
      <c r="O3316">
        <f>IF(AND(ISNUMBER('자료_미국심리'!$A3300),ISNUMBER('자료_미국심리'!$B3300)),'자료_미국심리'!$A3300,"")</f>
        <v/>
      </c>
      <c r="P3316">
        <f>IF(AND(ISNUMBER('자료_미국심리'!$D3300),ISNUMBER('자료_미국심리'!$E3300)),'자료_미국심리'!$D3300,"")</f>
        <v/>
      </c>
      <c r="Q3316">
        <f>IF(AND(ISNUMBER('자료_미국심리'!$G3300),ISNUMBER('자료_미국심리'!$H3300)),'자료_미국심리'!$G3300,"")</f>
        <v/>
      </c>
    </row>
    <row r="3317">
      <c r="O3317">
        <f>IF(AND(ISNUMBER('자료_미국심리'!$A3301),ISNUMBER('자료_미국심리'!$B3301)),'자료_미국심리'!$A3301,"")</f>
        <v/>
      </c>
      <c r="P3317">
        <f>IF(AND(ISNUMBER('자료_미국심리'!$D3301),ISNUMBER('자료_미국심리'!$E3301)),'자료_미국심리'!$D3301,"")</f>
        <v/>
      </c>
      <c r="Q3317">
        <f>IF(AND(ISNUMBER('자료_미국심리'!$G3301),ISNUMBER('자료_미국심리'!$H3301)),'자료_미국심리'!$G3301,"")</f>
        <v/>
      </c>
    </row>
    <row r="3318">
      <c r="O3318">
        <f>IF(AND(ISNUMBER('자료_미국심리'!$A3302),ISNUMBER('자료_미국심리'!$B3302)),'자료_미국심리'!$A3302,"")</f>
        <v/>
      </c>
      <c r="P3318">
        <f>IF(AND(ISNUMBER('자료_미국심리'!$D3302),ISNUMBER('자료_미국심리'!$E3302)),'자료_미국심리'!$D3302,"")</f>
        <v/>
      </c>
      <c r="Q3318">
        <f>IF(AND(ISNUMBER('자료_미국심리'!$G3302),ISNUMBER('자료_미국심리'!$H3302)),'자료_미국심리'!$G3302,"")</f>
        <v/>
      </c>
    </row>
    <row r="3319">
      <c r="O3319">
        <f>IF(AND(ISNUMBER('자료_미국심리'!$A3303),ISNUMBER('자료_미국심리'!$B3303)),'자료_미국심리'!$A3303,"")</f>
        <v/>
      </c>
      <c r="P3319">
        <f>IF(AND(ISNUMBER('자료_미국심리'!$D3303),ISNUMBER('자료_미국심리'!$E3303)),'자료_미국심리'!$D3303,"")</f>
        <v/>
      </c>
      <c r="Q3319">
        <f>IF(AND(ISNUMBER('자료_미국심리'!$G3303),ISNUMBER('자료_미국심리'!$H3303)),'자료_미국심리'!$G3303,"")</f>
        <v/>
      </c>
    </row>
    <row r="3320">
      <c r="O3320">
        <f>IF(AND(ISNUMBER('자료_미국심리'!$A3304),ISNUMBER('자료_미국심리'!$B3304)),'자료_미국심리'!$A3304,"")</f>
        <v/>
      </c>
      <c r="P3320">
        <f>IF(AND(ISNUMBER('자료_미국심리'!$D3304),ISNUMBER('자료_미국심리'!$E3304)),'자료_미국심리'!$D3304,"")</f>
        <v/>
      </c>
      <c r="Q3320">
        <f>IF(AND(ISNUMBER('자료_미국심리'!$G3304),ISNUMBER('자료_미국심리'!$H3304)),'자료_미국심리'!$G3304,"")</f>
        <v/>
      </c>
    </row>
    <row r="3321">
      <c r="O3321">
        <f>IF(AND(ISNUMBER('자료_미국심리'!$A3305),ISNUMBER('자료_미국심리'!$B3305)),'자료_미국심리'!$A3305,"")</f>
        <v/>
      </c>
      <c r="P3321">
        <f>IF(AND(ISNUMBER('자료_미국심리'!$D3305),ISNUMBER('자료_미국심리'!$E3305)),'자료_미국심리'!$D3305,"")</f>
        <v/>
      </c>
      <c r="Q3321">
        <f>IF(AND(ISNUMBER('자료_미국심리'!$G3305),ISNUMBER('자료_미국심리'!$H3305)),'자료_미국심리'!$G3305,"")</f>
        <v/>
      </c>
    </row>
    <row r="3322">
      <c r="O3322">
        <f>IF(AND(ISNUMBER('자료_미국심리'!$A3306),ISNUMBER('자료_미국심리'!$B3306)),'자료_미국심리'!$A3306,"")</f>
        <v/>
      </c>
      <c r="P3322">
        <f>IF(AND(ISNUMBER('자료_미국심리'!$D3306),ISNUMBER('자료_미국심리'!$E3306)),'자료_미국심리'!$D3306,"")</f>
        <v/>
      </c>
      <c r="Q3322">
        <f>IF(AND(ISNUMBER('자료_미국심리'!$G3306),ISNUMBER('자료_미국심리'!$H3306)),'자료_미국심리'!$G3306,"")</f>
        <v/>
      </c>
    </row>
    <row r="3323">
      <c r="O3323">
        <f>IF(AND(ISNUMBER('자료_미국심리'!$A3307),ISNUMBER('자료_미국심리'!$B3307)),'자료_미국심리'!$A3307,"")</f>
        <v/>
      </c>
      <c r="P3323">
        <f>IF(AND(ISNUMBER('자료_미국심리'!$D3307),ISNUMBER('자료_미국심리'!$E3307)),'자료_미국심리'!$D3307,"")</f>
        <v/>
      </c>
      <c r="Q3323">
        <f>IF(AND(ISNUMBER('자료_미국심리'!$G3307),ISNUMBER('자료_미국심리'!$H3307)),'자료_미국심리'!$G3307,"")</f>
        <v/>
      </c>
    </row>
    <row r="3324">
      <c r="O3324">
        <f>IF(AND(ISNUMBER('자료_미국심리'!$A3308),ISNUMBER('자료_미국심리'!$B3308)),'자료_미국심리'!$A3308,"")</f>
        <v/>
      </c>
      <c r="P3324">
        <f>IF(AND(ISNUMBER('자료_미국심리'!$D3308),ISNUMBER('자료_미국심리'!$E3308)),'자료_미국심리'!$D3308,"")</f>
        <v/>
      </c>
      <c r="Q3324">
        <f>IF(AND(ISNUMBER('자료_미국심리'!$G3308),ISNUMBER('자료_미국심리'!$H3308)),'자료_미국심리'!$G3308,"")</f>
        <v/>
      </c>
    </row>
    <row r="3325">
      <c r="O3325">
        <f>IF(AND(ISNUMBER('자료_미국심리'!$A3309),ISNUMBER('자료_미국심리'!$B3309)),'자료_미국심리'!$A3309,"")</f>
        <v/>
      </c>
      <c r="P3325">
        <f>IF(AND(ISNUMBER('자료_미국심리'!$D3309),ISNUMBER('자료_미국심리'!$E3309)),'자료_미국심리'!$D3309,"")</f>
        <v/>
      </c>
      <c r="Q3325">
        <f>IF(AND(ISNUMBER('자료_미국심리'!$G3309),ISNUMBER('자료_미국심리'!$H3309)),'자료_미국심리'!$G3309,"")</f>
        <v/>
      </c>
    </row>
    <row r="3326">
      <c r="O3326">
        <f>IF(AND(ISNUMBER('자료_미국심리'!$A3310),ISNUMBER('자료_미국심리'!$B3310)),'자료_미국심리'!$A3310,"")</f>
        <v/>
      </c>
      <c r="P3326">
        <f>IF(AND(ISNUMBER('자료_미국심리'!$D3310),ISNUMBER('자료_미국심리'!$E3310)),'자료_미국심리'!$D3310,"")</f>
        <v/>
      </c>
      <c r="Q3326">
        <f>IF(AND(ISNUMBER('자료_미국심리'!$G3310),ISNUMBER('자료_미국심리'!$H3310)),'자료_미국심리'!$G3310,"")</f>
        <v/>
      </c>
    </row>
    <row r="3327">
      <c r="O3327">
        <f>IF(AND(ISNUMBER('자료_미국심리'!$A3311),ISNUMBER('자료_미국심리'!$B3311)),'자료_미국심리'!$A3311,"")</f>
        <v/>
      </c>
      <c r="P3327">
        <f>IF(AND(ISNUMBER('자료_미국심리'!$D3311),ISNUMBER('자료_미국심리'!$E3311)),'자료_미국심리'!$D3311,"")</f>
        <v/>
      </c>
      <c r="Q3327">
        <f>IF(AND(ISNUMBER('자료_미국심리'!$G3311),ISNUMBER('자료_미국심리'!$H3311)),'자료_미국심리'!$G3311,"")</f>
        <v/>
      </c>
    </row>
    <row r="3328">
      <c r="O3328">
        <f>IF(AND(ISNUMBER('자료_미국심리'!$A3312),ISNUMBER('자료_미국심리'!$B3312)),'자료_미국심리'!$A3312,"")</f>
        <v/>
      </c>
      <c r="P3328">
        <f>IF(AND(ISNUMBER('자료_미국심리'!$D3312),ISNUMBER('자료_미국심리'!$E3312)),'자료_미국심리'!$D3312,"")</f>
        <v/>
      </c>
      <c r="Q3328">
        <f>IF(AND(ISNUMBER('자료_미국심리'!$G3312),ISNUMBER('자료_미국심리'!$H3312)),'자료_미국심리'!$G3312,"")</f>
        <v/>
      </c>
    </row>
    <row r="3329">
      <c r="O3329">
        <f>IF(AND(ISNUMBER('자료_미국심리'!$A3313),ISNUMBER('자료_미국심리'!$B3313)),'자료_미국심리'!$A3313,"")</f>
        <v/>
      </c>
      <c r="P3329">
        <f>IF(AND(ISNUMBER('자료_미국심리'!$D3313),ISNUMBER('자료_미국심리'!$E3313)),'자료_미국심리'!$D3313,"")</f>
        <v/>
      </c>
      <c r="Q3329">
        <f>IF(AND(ISNUMBER('자료_미국심리'!$G3313),ISNUMBER('자료_미국심리'!$H3313)),'자료_미국심리'!$G3313,"")</f>
        <v/>
      </c>
    </row>
    <row r="3330">
      <c r="O3330">
        <f>IF(AND(ISNUMBER('자료_미국심리'!$A3314),ISNUMBER('자료_미국심리'!$B3314)),'자료_미국심리'!$A3314,"")</f>
        <v/>
      </c>
      <c r="P3330">
        <f>IF(AND(ISNUMBER('자료_미국심리'!$D3314),ISNUMBER('자료_미국심리'!$E3314)),'자료_미국심리'!$D3314,"")</f>
        <v/>
      </c>
      <c r="Q3330">
        <f>IF(AND(ISNUMBER('자료_미국심리'!$G3314),ISNUMBER('자료_미국심리'!$H3314)),'자료_미국심리'!$G3314,"")</f>
        <v/>
      </c>
    </row>
    <row r="3331">
      <c r="O3331">
        <f>IF(AND(ISNUMBER('자료_미국심리'!$A3315),ISNUMBER('자료_미국심리'!$B3315)),'자료_미국심리'!$A3315,"")</f>
        <v/>
      </c>
      <c r="P3331">
        <f>IF(AND(ISNUMBER('자료_미국심리'!$D3315),ISNUMBER('자료_미국심리'!$E3315)),'자료_미국심리'!$D3315,"")</f>
        <v/>
      </c>
      <c r="Q3331">
        <f>IF(AND(ISNUMBER('자료_미국심리'!$G3315),ISNUMBER('자료_미국심리'!$H3315)),'자료_미국심리'!$G3315,"")</f>
        <v/>
      </c>
    </row>
    <row r="3332">
      <c r="O3332">
        <f>IF(AND(ISNUMBER('자료_미국심리'!$A3316),ISNUMBER('자료_미국심리'!$B3316)),'자료_미국심리'!$A3316,"")</f>
        <v/>
      </c>
      <c r="P3332">
        <f>IF(AND(ISNUMBER('자료_미국심리'!$D3316),ISNUMBER('자료_미국심리'!$E3316)),'자료_미국심리'!$D3316,"")</f>
        <v/>
      </c>
      <c r="Q3332">
        <f>IF(AND(ISNUMBER('자료_미국심리'!$G3316),ISNUMBER('자료_미국심리'!$H3316)),'자료_미국심리'!$G3316,"")</f>
        <v/>
      </c>
    </row>
    <row r="3333">
      <c r="O3333">
        <f>IF(AND(ISNUMBER('자료_미국심리'!$A3317),ISNUMBER('자료_미국심리'!$B3317)),'자료_미국심리'!$A3317,"")</f>
        <v/>
      </c>
      <c r="P3333">
        <f>IF(AND(ISNUMBER('자료_미국심리'!$D3317),ISNUMBER('자료_미국심리'!$E3317)),'자료_미국심리'!$D3317,"")</f>
        <v/>
      </c>
      <c r="Q3333">
        <f>IF(AND(ISNUMBER('자료_미국심리'!$G3317),ISNUMBER('자료_미국심리'!$H3317)),'자료_미국심리'!$G3317,"")</f>
        <v/>
      </c>
    </row>
    <row r="3334">
      <c r="O3334">
        <f>IF(AND(ISNUMBER('자료_미국심리'!$A3318),ISNUMBER('자료_미국심리'!$B3318)),'자료_미국심리'!$A3318,"")</f>
        <v/>
      </c>
      <c r="P3334">
        <f>IF(AND(ISNUMBER('자료_미국심리'!$D3318),ISNUMBER('자료_미국심리'!$E3318)),'자료_미국심리'!$D3318,"")</f>
        <v/>
      </c>
      <c r="Q3334">
        <f>IF(AND(ISNUMBER('자료_미국심리'!$G3318),ISNUMBER('자료_미국심리'!$H3318)),'자료_미국심리'!$G3318,"")</f>
        <v/>
      </c>
    </row>
    <row r="3335">
      <c r="O3335">
        <f>IF(AND(ISNUMBER('자료_미국심리'!$A3319),ISNUMBER('자료_미국심리'!$B3319)),'자료_미국심리'!$A3319,"")</f>
        <v/>
      </c>
      <c r="P3335">
        <f>IF(AND(ISNUMBER('자료_미국심리'!$D3319),ISNUMBER('자료_미국심리'!$E3319)),'자료_미국심리'!$D3319,"")</f>
        <v/>
      </c>
      <c r="Q3335">
        <f>IF(AND(ISNUMBER('자료_미국심리'!$G3319),ISNUMBER('자료_미국심리'!$H3319)),'자료_미국심리'!$G3319,"")</f>
        <v/>
      </c>
    </row>
    <row r="3336">
      <c r="O3336">
        <f>IF(AND(ISNUMBER('자료_미국심리'!$A3320),ISNUMBER('자료_미국심리'!$B3320)),'자료_미국심리'!$A3320,"")</f>
        <v/>
      </c>
      <c r="P3336">
        <f>IF(AND(ISNUMBER('자료_미국심리'!$D3320),ISNUMBER('자료_미국심리'!$E3320)),'자료_미국심리'!$D3320,"")</f>
        <v/>
      </c>
      <c r="Q3336">
        <f>IF(AND(ISNUMBER('자료_미국심리'!$G3320),ISNUMBER('자료_미국심리'!$H3320)),'자료_미국심리'!$G3320,"")</f>
        <v/>
      </c>
    </row>
    <row r="3337">
      <c r="O3337">
        <f>IF(AND(ISNUMBER('자료_미국심리'!$A3321),ISNUMBER('자료_미국심리'!$B3321)),'자료_미국심리'!$A3321,"")</f>
        <v/>
      </c>
      <c r="P3337">
        <f>IF(AND(ISNUMBER('자료_미국심리'!$D3321),ISNUMBER('자료_미국심리'!$E3321)),'자료_미국심리'!$D3321,"")</f>
        <v/>
      </c>
      <c r="Q3337">
        <f>IF(AND(ISNUMBER('자료_미국심리'!$G3321),ISNUMBER('자료_미국심리'!$H3321)),'자료_미국심리'!$G3321,"")</f>
        <v/>
      </c>
    </row>
    <row r="3338">
      <c r="O3338">
        <f>IF(AND(ISNUMBER('자료_미국심리'!$A3322),ISNUMBER('자료_미국심리'!$B3322)),'자료_미국심리'!$A3322,"")</f>
        <v/>
      </c>
      <c r="P3338">
        <f>IF(AND(ISNUMBER('자료_미국심리'!$D3322),ISNUMBER('자료_미국심리'!$E3322)),'자료_미국심리'!$D3322,"")</f>
        <v/>
      </c>
      <c r="Q3338">
        <f>IF(AND(ISNUMBER('자료_미국심리'!$G3322),ISNUMBER('자료_미국심리'!$H3322)),'자료_미국심리'!$G3322,"")</f>
        <v/>
      </c>
    </row>
    <row r="3339">
      <c r="O3339">
        <f>IF(AND(ISNUMBER('자료_미국심리'!$A3323),ISNUMBER('자료_미국심리'!$B3323)),'자료_미국심리'!$A3323,"")</f>
        <v/>
      </c>
      <c r="P3339">
        <f>IF(AND(ISNUMBER('자료_미국심리'!$D3323),ISNUMBER('자료_미국심리'!$E3323)),'자료_미국심리'!$D3323,"")</f>
        <v/>
      </c>
      <c r="Q3339">
        <f>IF(AND(ISNUMBER('자료_미국심리'!$G3323),ISNUMBER('자료_미국심리'!$H3323)),'자료_미국심리'!$G3323,"")</f>
        <v/>
      </c>
    </row>
    <row r="3340">
      <c r="O3340">
        <f>IF(AND(ISNUMBER('자료_미국심리'!$A3324),ISNUMBER('자료_미국심리'!$B3324)),'자료_미국심리'!$A3324,"")</f>
        <v/>
      </c>
      <c r="P3340">
        <f>IF(AND(ISNUMBER('자료_미국심리'!$D3324),ISNUMBER('자료_미국심리'!$E3324)),'자료_미국심리'!$D3324,"")</f>
        <v/>
      </c>
      <c r="Q3340">
        <f>IF(AND(ISNUMBER('자료_미국심리'!$G3324),ISNUMBER('자료_미국심리'!$H3324)),'자료_미국심리'!$G3324,"")</f>
        <v/>
      </c>
    </row>
    <row r="3341">
      <c r="O3341">
        <f>IF(AND(ISNUMBER('자료_미국심리'!$A3325),ISNUMBER('자료_미국심리'!$B3325)),'자료_미국심리'!$A3325,"")</f>
        <v/>
      </c>
      <c r="P3341">
        <f>IF(AND(ISNUMBER('자료_미국심리'!$D3325),ISNUMBER('자료_미국심리'!$E3325)),'자료_미국심리'!$D3325,"")</f>
        <v/>
      </c>
      <c r="Q3341">
        <f>IF(AND(ISNUMBER('자료_미국심리'!$G3325),ISNUMBER('자료_미국심리'!$H3325)),'자료_미국심리'!$G3325,"")</f>
        <v/>
      </c>
    </row>
    <row r="3342">
      <c r="O3342">
        <f>IF(AND(ISNUMBER('자료_미국심리'!$A3326),ISNUMBER('자료_미국심리'!$B3326)),'자료_미국심리'!$A3326,"")</f>
        <v/>
      </c>
      <c r="P3342">
        <f>IF(AND(ISNUMBER('자료_미국심리'!$D3326),ISNUMBER('자료_미국심리'!$E3326)),'자료_미국심리'!$D3326,"")</f>
        <v/>
      </c>
      <c r="Q3342">
        <f>IF(AND(ISNUMBER('자료_미국심리'!$G3326),ISNUMBER('자료_미국심리'!$H3326)),'자료_미국심리'!$G3326,"")</f>
        <v/>
      </c>
    </row>
    <row r="3343">
      <c r="O3343">
        <f>IF(AND(ISNUMBER('자료_미국심리'!$A3327),ISNUMBER('자료_미국심리'!$B3327)),'자료_미국심리'!$A3327,"")</f>
        <v/>
      </c>
      <c r="P3343">
        <f>IF(AND(ISNUMBER('자료_미국심리'!$D3327),ISNUMBER('자료_미국심리'!$E3327)),'자료_미국심리'!$D3327,"")</f>
        <v/>
      </c>
      <c r="Q3343">
        <f>IF(AND(ISNUMBER('자료_미국심리'!$G3327),ISNUMBER('자료_미국심리'!$H3327)),'자료_미국심리'!$G3327,"")</f>
        <v/>
      </c>
    </row>
    <row r="3344">
      <c r="O3344">
        <f>IF(AND(ISNUMBER('자료_미국심리'!$A3328),ISNUMBER('자료_미국심리'!$B3328)),'자료_미국심리'!$A3328,"")</f>
        <v/>
      </c>
      <c r="P3344">
        <f>IF(AND(ISNUMBER('자료_미국심리'!$D3328),ISNUMBER('자료_미국심리'!$E3328)),'자료_미국심리'!$D3328,"")</f>
        <v/>
      </c>
      <c r="Q3344">
        <f>IF(AND(ISNUMBER('자료_미국심리'!$G3328),ISNUMBER('자료_미국심리'!$H3328)),'자료_미국심리'!$G3328,"")</f>
        <v/>
      </c>
    </row>
    <row r="3345">
      <c r="O3345">
        <f>IF(AND(ISNUMBER('자료_미국심리'!$A3329),ISNUMBER('자료_미국심리'!$B3329)),'자료_미국심리'!$A3329,"")</f>
        <v/>
      </c>
      <c r="P3345">
        <f>IF(AND(ISNUMBER('자료_미국심리'!$D3329),ISNUMBER('자료_미국심리'!$E3329)),'자료_미국심리'!$D3329,"")</f>
        <v/>
      </c>
      <c r="Q3345">
        <f>IF(AND(ISNUMBER('자료_미국심리'!$G3329),ISNUMBER('자료_미국심리'!$H3329)),'자료_미국심리'!$G3329,"")</f>
        <v/>
      </c>
    </row>
    <row r="3346">
      <c r="O3346">
        <f>IF(AND(ISNUMBER('자료_미국심리'!$A3330),ISNUMBER('자료_미국심리'!$B3330)),'자료_미국심리'!$A3330,"")</f>
        <v/>
      </c>
      <c r="P3346">
        <f>IF(AND(ISNUMBER('자료_미국심리'!$D3330),ISNUMBER('자료_미국심리'!$E3330)),'자료_미국심리'!$D3330,"")</f>
        <v/>
      </c>
      <c r="Q3346">
        <f>IF(AND(ISNUMBER('자료_미국심리'!$G3330),ISNUMBER('자료_미국심리'!$H3330)),'자료_미국심리'!$G3330,"")</f>
        <v/>
      </c>
    </row>
    <row r="3347">
      <c r="O3347">
        <f>IF(AND(ISNUMBER('자료_미국심리'!$A3331),ISNUMBER('자료_미국심리'!$B3331)),'자료_미국심리'!$A3331,"")</f>
        <v/>
      </c>
      <c r="P3347">
        <f>IF(AND(ISNUMBER('자료_미국심리'!$D3331),ISNUMBER('자료_미국심리'!$E3331)),'자료_미국심리'!$D3331,"")</f>
        <v/>
      </c>
      <c r="Q3347">
        <f>IF(AND(ISNUMBER('자료_미국심리'!$G3331),ISNUMBER('자료_미국심리'!$H3331)),'자료_미국심리'!$G3331,"")</f>
        <v/>
      </c>
    </row>
    <row r="3348">
      <c r="O3348">
        <f>IF(AND(ISNUMBER('자료_미국심리'!$A3332),ISNUMBER('자료_미국심리'!$B3332)),'자료_미국심리'!$A3332,"")</f>
        <v/>
      </c>
      <c r="P3348">
        <f>IF(AND(ISNUMBER('자료_미국심리'!$D3332),ISNUMBER('자료_미국심리'!$E3332)),'자료_미국심리'!$D3332,"")</f>
        <v/>
      </c>
      <c r="Q3348">
        <f>IF(AND(ISNUMBER('자료_미국심리'!$G3332),ISNUMBER('자료_미국심리'!$H3332)),'자료_미국심리'!$G3332,"")</f>
        <v/>
      </c>
    </row>
    <row r="3349">
      <c r="O3349">
        <f>IF(AND(ISNUMBER('자료_미국심리'!$A3333),ISNUMBER('자료_미국심리'!$B3333)),'자료_미국심리'!$A3333,"")</f>
        <v/>
      </c>
      <c r="P3349">
        <f>IF(AND(ISNUMBER('자료_미국심리'!$D3333),ISNUMBER('자료_미국심리'!$E3333)),'자료_미국심리'!$D3333,"")</f>
        <v/>
      </c>
      <c r="Q3349">
        <f>IF(AND(ISNUMBER('자료_미국심리'!$G3333),ISNUMBER('자료_미국심리'!$H3333)),'자료_미국심리'!$G3333,"")</f>
        <v/>
      </c>
    </row>
    <row r="3350">
      <c r="O3350">
        <f>IF(AND(ISNUMBER('자료_미국심리'!$A3334),ISNUMBER('자료_미국심리'!$B3334)),'자료_미국심리'!$A3334,"")</f>
        <v/>
      </c>
      <c r="P3350">
        <f>IF(AND(ISNUMBER('자료_미국심리'!$D3334),ISNUMBER('자료_미국심리'!$E3334)),'자료_미국심리'!$D3334,"")</f>
        <v/>
      </c>
      <c r="Q3350">
        <f>IF(AND(ISNUMBER('자료_미국심리'!$G3334),ISNUMBER('자료_미국심리'!$H3334)),'자료_미국심리'!$G3334,"")</f>
        <v/>
      </c>
    </row>
    <row r="3351">
      <c r="O3351">
        <f>IF(AND(ISNUMBER('자료_미국심리'!$A3335),ISNUMBER('자료_미국심리'!$B3335)),'자료_미국심리'!$A3335,"")</f>
        <v/>
      </c>
      <c r="P3351">
        <f>IF(AND(ISNUMBER('자료_미국심리'!$D3335),ISNUMBER('자료_미국심리'!$E3335)),'자료_미국심리'!$D3335,"")</f>
        <v/>
      </c>
      <c r="Q3351">
        <f>IF(AND(ISNUMBER('자료_미국심리'!$G3335),ISNUMBER('자료_미국심리'!$H3335)),'자료_미국심리'!$G3335,"")</f>
        <v/>
      </c>
    </row>
    <row r="3352">
      <c r="O3352">
        <f>IF(AND(ISNUMBER('자료_미국심리'!$A3336),ISNUMBER('자료_미국심리'!$B3336)),'자료_미국심리'!$A3336,"")</f>
        <v/>
      </c>
      <c r="P3352">
        <f>IF(AND(ISNUMBER('자료_미국심리'!$D3336),ISNUMBER('자료_미국심리'!$E3336)),'자료_미국심리'!$D3336,"")</f>
        <v/>
      </c>
      <c r="Q3352">
        <f>IF(AND(ISNUMBER('자료_미국심리'!$G3336),ISNUMBER('자료_미국심리'!$H3336)),'자료_미국심리'!$G3336,"")</f>
        <v/>
      </c>
    </row>
    <row r="3353">
      <c r="O3353">
        <f>IF(AND(ISNUMBER('자료_미국심리'!$A3337),ISNUMBER('자료_미국심리'!$B3337)),'자료_미국심리'!$A3337,"")</f>
        <v/>
      </c>
      <c r="P3353">
        <f>IF(AND(ISNUMBER('자료_미국심리'!$D3337),ISNUMBER('자료_미국심리'!$E3337)),'자료_미국심리'!$D3337,"")</f>
        <v/>
      </c>
      <c r="Q3353">
        <f>IF(AND(ISNUMBER('자료_미국심리'!$G3337),ISNUMBER('자료_미국심리'!$H3337)),'자료_미국심리'!$G3337,"")</f>
        <v/>
      </c>
    </row>
    <row r="3354">
      <c r="O3354">
        <f>IF(AND(ISNUMBER('자료_미국심리'!$A3338),ISNUMBER('자료_미국심리'!$B3338)),'자료_미국심리'!$A3338,"")</f>
        <v/>
      </c>
      <c r="P3354">
        <f>IF(AND(ISNUMBER('자료_미국심리'!$D3338),ISNUMBER('자료_미국심리'!$E3338)),'자료_미국심리'!$D3338,"")</f>
        <v/>
      </c>
      <c r="Q3354">
        <f>IF(AND(ISNUMBER('자료_미국심리'!$G3338),ISNUMBER('자료_미국심리'!$H3338)),'자료_미국심리'!$G3338,"")</f>
        <v/>
      </c>
    </row>
    <row r="3355">
      <c r="O3355">
        <f>IF(AND(ISNUMBER('자료_미국심리'!$A3339),ISNUMBER('자료_미국심리'!$B3339)),'자료_미국심리'!$A3339,"")</f>
        <v/>
      </c>
      <c r="P3355">
        <f>IF(AND(ISNUMBER('자료_미국심리'!$D3339),ISNUMBER('자료_미국심리'!$E3339)),'자료_미국심리'!$D3339,"")</f>
        <v/>
      </c>
      <c r="Q3355">
        <f>IF(AND(ISNUMBER('자료_미국심리'!$G3339),ISNUMBER('자료_미국심리'!$H3339)),'자료_미국심리'!$G3339,"")</f>
        <v/>
      </c>
    </row>
    <row r="3356">
      <c r="O3356">
        <f>IF(AND(ISNUMBER('자료_미국심리'!$A3340),ISNUMBER('자료_미국심리'!$B3340)),'자료_미국심리'!$A3340,"")</f>
        <v/>
      </c>
      <c r="P3356">
        <f>IF(AND(ISNUMBER('자료_미국심리'!$D3340),ISNUMBER('자료_미국심리'!$E3340)),'자료_미국심리'!$D3340,"")</f>
        <v/>
      </c>
      <c r="Q3356">
        <f>IF(AND(ISNUMBER('자료_미국심리'!$G3340),ISNUMBER('자료_미국심리'!$H3340)),'자료_미국심리'!$G3340,"")</f>
        <v/>
      </c>
    </row>
    <row r="3357">
      <c r="O3357">
        <f>IF(AND(ISNUMBER('자료_미국심리'!$A3341),ISNUMBER('자료_미국심리'!$B3341)),'자료_미국심리'!$A3341,"")</f>
        <v/>
      </c>
      <c r="P3357">
        <f>IF(AND(ISNUMBER('자료_미국심리'!$D3341),ISNUMBER('자료_미국심리'!$E3341)),'자료_미국심리'!$D3341,"")</f>
        <v/>
      </c>
      <c r="Q3357">
        <f>IF(AND(ISNUMBER('자료_미국심리'!$G3341),ISNUMBER('자료_미국심리'!$H3341)),'자료_미국심리'!$G3341,"")</f>
        <v/>
      </c>
    </row>
    <row r="3358">
      <c r="O3358">
        <f>IF(AND(ISNUMBER('자료_미국심리'!$A3342),ISNUMBER('자료_미국심리'!$B3342)),'자료_미국심리'!$A3342,"")</f>
        <v/>
      </c>
      <c r="P3358">
        <f>IF(AND(ISNUMBER('자료_미국심리'!$D3342),ISNUMBER('자료_미국심리'!$E3342)),'자료_미국심리'!$D3342,"")</f>
        <v/>
      </c>
      <c r="Q3358">
        <f>IF(AND(ISNUMBER('자료_미국심리'!$G3342),ISNUMBER('자료_미국심리'!$H3342)),'자료_미국심리'!$G3342,"")</f>
        <v/>
      </c>
    </row>
    <row r="3359">
      <c r="O3359">
        <f>IF(AND(ISNUMBER('자료_미국심리'!$A3343),ISNUMBER('자료_미국심리'!$B3343)),'자료_미국심리'!$A3343,"")</f>
        <v/>
      </c>
      <c r="P3359">
        <f>IF(AND(ISNUMBER('자료_미국심리'!$D3343),ISNUMBER('자료_미국심리'!$E3343)),'자료_미국심리'!$D3343,"")</f>
        <v/>
      </c>
      <c r="Q3359">
        <f>IF(AND(ISNUMBER('자료_미국심리'!$G3343),ISNUMBER('자료_미국심리'!$H3343)),'자료_미국심리'!$G3343,"")</f>
        <v/>
      </c>
    </row>
    <row r="3360">
      <c r="O3360">
        <f>IF(AND(ISNUMBER('자료_미국심리'!$A3344),ISNUMBER('자료_미국심리'!$B3344)),'자료_미국심리'!$A3344,"")</f>
        <v/>
      </c>
      <c r="P3360">
        <f>IF(AND(ISNUMBER('자료_미국심리'!$D3344),ISNUMBER('자료_미국심리'!$E3344)),'자료_미국심리'!$D3344,"")</f>
        <v/>
      </c>
      <c r="Q3360">
        <f>IF(AND(ISNUMBER('자료_미국심리'!$G3344),ISNUMBER('자료_미국심리'!$H3344)),'자료_미국심리'!$G3344,"")</f>
        <v/>
      </c>
    </row>
    <row r="3361">
      <c r="O3361">
        <f>IF(AND(ISNUMBER('자료_미국심리'!$A3345),ISNUMBER('자료_미국심리'!$B3345)),'자료_미국심리'!$A3345,"")</f>
        <v/>
      </c>
      <c r="P3361">
        <f>IF(AND(ISNUMBER('자료_미국심리'!$D3345),ISNUMBER('자료_미국심리'!$E3345)),'자료_미국심리'!$D3345,"")</f>
        <v/>
      </c>
      <c r="Q3361">
        <f>IF(AND(ISNUMBER('자료_미국심리'!$G3345),ISNUMBER('자료_미국심리'!$H3345)),'자료_미국심리'!$G3345,"")</f>
        <v/>
      </c>
    </row>
    <row r="3362">
      <c r="O3362">
        <f>IF(AND(ISNUMBER('자료_미국심리'!$A3346),ISNUMBER('자료_미국심리'!$B3346)),'자료_미국심리'!$A3346,"")</f>
        <v/>
      </c>
      <c r="P3362">
        <f>IF(AND(ISNUMBER('자료_미국심리'!$D3346),ISNUMBER('자료_미국심리'!$E3346)),'자료_미국심리'!$D3346,"")</f>
        <v/>
      </c>
      <c r="Q3362">
        <f>IF(AND(ISNUMBER('자료_미국심리'!$G3346),ISNUMBER('자료_미국심리'!$H3346)),'자료_미국심리'!$G3346,"")</f>
        <v/>
      </c>
    </row>
    <row r="3363">
      <c r="O3363">
        <f>IF(AND(ISNUMBER('자료_미국심리'!$A3347),ISNUMBER('자료_미국심리'!$B3347)),'자료_미국심리'!$A3347,"")</f>
        <v/>
      </c>
      <c r="P3363">
        <f>IF(AND(ISNUMBER('자료_미국심리'!$D3347),ISNUMBER('자료_미국심리'!$E3347)),'자료_미국심리'!$D3347,"")</f>
        <v/>
      </c>
      <c r="Q3363">
        <f>IF(AND(ISNUMBER('자료_미국심리'!$G3347),ISNUMBER('자료_미국심리'!$H3347)),'자료_미국심리'!$G3347,"")</f>
        <v/>
      </c>
    </row>
    <row r="3364">
      <c r="O3364">
        <f>IF(AND(ISNUMBER('자료_미국심리'!$A3348),ISNUMBER('자료_미국심리'!$B3348)),'자료_미국심리'!$A3348,"")</f>
        <v/>
      </c>
      <c r="P3364">
        <f>IF(AND(ISNUMBER('자료_미국심리'!$D3348),ISNUMBER('자료_미국심리'!$E3348)),'자료_미국심리'!$D3348,"")</f>
        <v/>
      </c>
      <c r="Q3364">
        <f>IF(AND(ISNUMBER('자료_미국심리'!$G3348),ISNUMBER('자료_미국심리'!$H3348)),'자료_미국심리'!$G3348,"")</f>
        <v/>
      </c>
    </row>
    <row r="3365">
      <c r="O3365">
        <f>IF(AND(ISNUMBER('자료_미국심리'!$A3349),ISNUMBER('자료_미국심리'!$B3349)),'자료_미국심리'!$A3349,"")</f>
        <v/>
      </c>
      <c r="P3365">
        <f>IF(AND(ISNUMBER('자료_미국심리'!$D3349),ISNUMBER('자료_미국심리'!$E3349)),'자료_미국심리'!$D3349,"")</f>
        <v/>
      </c>
      <c r="Q3365">
        <f>IF(AND(ISNUMBER('자료_미국심리'!$G3349),ISNUMBER('자료_미국심리'!$H3349)),'자료_미국심리'!$G3349,"")</f>
        <v/>
      </c>
    </row>
    <row r="3366">
      <c r="O3366">
        <f>IF(AND(ISNUMBER('자료_미국심리'!$A3350),ISNUMBER('자료_미국심리'!$B3350)),'자료_미국심리'!$A3350,"")</f>
        <v/>
      </c>
      <c r="P3366">
        <f>IF(AND(ISNUMBER('자료_미국심리'!$D3350),ISNUMBER('자료_미국심리'!$E3350)),'자료_미국심리'!$D3350,"")</f>
        <v/>
      </c>
      <c r="Q3366">
        <f>IF(AND(ISNUMBER('자료_미국심리'!$G3350),ISNUMBER('자료_미국심리'!$H3350)),'자료_미국심리'!$G3350,"")</f>
        <v/>
      </c>
    </row>
    <row r="3367">
      <c r="O3367">
        <f>IF(AND(ISNUMBER('자료_미국심리'!$A3351),ISNUMBER('자료_미국심리'!$B3351)),'자료_미국심리'!$A3351,"")</f>
        <v/>
      </c>
      <c r="P3367">
        <f>IF(AND(ISNUMBER('자료_미국심리'!$D3351),ISNUMBER('자료_미국심리'!$E3351)),'자료_미국심리'!$D3351,"")</f>
        <v/>
      </c>
      <c r="Q3367">
        <f>IF(AND(ISNUMBER('자료_미국심리'!$G3351),ISNUMBER('자료_미국심리'!$H3351)),'자료_미국심리'!$G3351,"")</f>
        <v/>
      </c>
    </row>
    <row r="3368">
      <c r="O3368">
        <f>IF(AND(ISNUMBER('자료_미국심리'!$A3352),ISNUMBER('자료_미국심리'!$B3352)),'자료_미국심리'!$A3352,"")</f>
        <v/>
      </c>
      <c r="P3368">
        <f>IF(AND(ISNUMBER('자료_미국심리'!$D3352),ISNUMBER('자료_미국심리'!$E3352)),'자료_미국심리'!$D3352,"")</f>
        <v/>
      </c>
      <c r="Q3368">
        <f>IF(AND(ISNUMBER('자료_미국심리'!$G3352),ISNUMBER('자료_미국심리'!$H3352)),'자료_미국심리'!$G3352,"")</f>
        <v/>
      </c>
    </row>
    <row r="3369">
      <c r="O3369">
        <f>IF(AND(ISNUMBER('자료_미국심리'!$A3353),ISNUMBER('자료_미국심리'!$B3353)),'자료_미국심리'!$A3353,"")</f>
        <v/>
      </c>
      <c r="P3369">
        <f>IF(AND(ISNUMBER('자료_미국심리'!$D3353),ISNUMBER('자료_미국심리'!$E3353)),'자료_미국심리'!$D3353,"")</f>
        <v/>
      </c>
      <c r="Q3369">
        <f>IF(AND(ISNUMBER('자료_미국심리'!$G3353),ISNUMBER('자료_미국심리'!$H3353)),'자료_미국심리'!$G3353,"")</f>
        <v/>
      </c>
    </row>
    <row r="3370">
      <c r="O3370">
        <f>IF(AND(ISNUMBER('자료_미국심리'!$A3354),ISNUMBER('자료_미국심리'!$B3354)),'자료_미국심리'!$A3354,"")</f>
        <v/>
      </c>
      <c r="P3370">
        <f>IF(AND(ISNUMBER('자료_미국심리'!$D3354),ISNUMBER('자료_미국심리'!$E3354)),'자료_미국심리'!$D3354,"")</f>
        <v/>
      </c>
      <c r="Q3370">
        <f>IF(AND(ISNUMBER('자료_미국심리'!$G3354),ISNUMBER('자료_미국심리'!$H3354)),'자료_미국심리'!$G3354,"")</f>
        <v/>
      </c>
    </row>
    <row r="3371">
      <c r="O3371">
        <f>IF(AND(ISNUMBER('자료_미국심리'!$A3355),ISNUMBER('자료_미국심리'!$B3355)),'자료_미국심리'!$A3355,"")</f>
        <v/>
      </c>
      <c r="P3371">
        <f>IF(AND(ISNUMBER('자료_미국심리'!$D3355),ISNUMBER('자료_미국심리'!$E3355)),'자료_미국심리'!$D3355,"")</f>
        <v/>
      </c>
      <c r="Q3371">
        <f>IF(AND(ISNUMBER('자료_미국심리'!$G3355),ISNUMBER('자료_미국심리'!$H3355)),'자료_미국심리'!$G3355,"")</f>
        <v/>
      </c>
    </row>
    <row r="3372">
      <c r="O3372">
        <f>IF(AND(ISNUMBER('자료_미국심리'!$A3356),ISNUMBER('자료_미국심리'!$B3356)),'자료_미국심리'!$A3356,"")</f>
        <v/>
      </c>
      <c r="P3372">
        <f>IF(AND(ISNUMBER('자료_미국심리'!$D3356),ISNUMBER('자료_미국심리'!$E3356)),'자료_미국심리'!$D3356,"")</f>
        <v/>
      </c>
      <c r="Q3372">
        <f>IF(AND(ISNUMBER('자료_미국심리'!$G3356),ISNUMBER('자료_미국심리'!$H3356)),'자료_미국심리'!$G3356,"")</f>
        <v/>
      </c>
    </row>
    <row r="3373">
      <c r="O3373">
        <f>IF(AND(ISNUMBER('자료_미국심리'!$A3357),ISNUMBER('자료_미국심리'!$B3357)),'자료_미국심리'!$A3357,"")</f>
        <v/>
      </c>
      <c r="P3373">
        <f>IF(AND(ISNUMBER('자료_미국심리'!$D3357),ISNUMBER('자료_미국심리'!$E3357)),'자료_미국심리'!$D3357,"")</f>
        <v/>
      </c>
      <c r="Q3373">
        <f>IF(AND(ISNUMBER('자료_미국심리'!$G3357),ISNUMBER('자료_미국심리'!$H3357)),'자료_미국심리'!$G3357,"")</f>
        <v/>
      </c>
    </row>
    <row r="3374">
      <c r="O3374">
        <f>IF(AND(ISNUMBER('자료_미국심리'!$A3358),ISNUMBER('자료_미국심리'!$B3358)),'자료_미국심리'!$A3358,"")</f>
        <v/>
      </c>
      <c r="P3374">
        <f>IF(AND(ISNUMBER('자료_미국심리'!$D3358),ISNUMBER('자료_미국심리'!$E3358)),'자료_미국심리'!$D3358,"")</f>
        <v/>
      </c>
      <c r="Q3374">
        <f>IF(AND(ISNUMBER('자료_미국심리'!$G3358),ISNUMBER('자료_미국심리'!$H3358)),'자료_미국심리'!$G3358,"")</f>
        <v/>
      </c>
    </row>
    <row r="3375">
      <c r="O3375">
        <f>IF(AND(ISNUMBER('자료_미국심리'!$A3359),ISNUMBER('자료_미국심리'!$B3359)),'자료_미국심리'!$A3359,"")</f>
        <v/>
      </c>
      <c r="P3375">
        <f>IF(AND(ISNUMBER('자료_미국심리'!$D3359),ISNUMBER('자료_미국심리'!$E3359)),'자료_미국심리'!$D3359,"")</f>
        <v/>
      </c>
      <c r="Q3375">
        <f>IF(AND(ISNUMBER('자료_미국심리'!$G3359),ISNUMBER('자료_미국심리'!$H3359)),'자료_미국심리'!$G3359,"")</f>
        <v/>
      </c>
    </row>
    <row r="3376">
      <c r="O3376">
        <f>IF(AND(ISNUMBER('자료_미국심리'!$A3360),ISNUMBER('자료_미국심리'!$B3360)),'자료_미국심리'!$A3360,"")</f>
        <v/>
      </c>
      <c r="P3376">
        <f>IF(AND(ISNUMBER('자료_미국심리'!$D3360),ISNUMBER('자료_미국심리'!$E3360)),'자료_미국심리'!$D3360,"")</f>
        <v/>
      </c>
      <c r="Q3376">
        <f>IF(AND(ISNUMBER('자료_미국심리'!$G3360),ISNUMBER('자료_미국심리'!$H3360)),'자료_미국심리'!$G3360,"")</f>
        <v/>
      </c>
    </row>
    <row r="3377">
      <c r="O3377">
        <f>IF(AND(ISNUMBER('자료_미국심리'!$A3361),ISNUMBER('자료_미국심리'!$B3361)),'자료_미국심리'!$A3361,"")</f>
        <v/>
      </c>
      <c r="P3377">
        <f>IF(AND(ISNUMBER('자료_미국심리'!$D3361),ISNUMBER('자료_미국심리'!$E3361)),'자료_미국심리'!$D3361,"")</f>
        <v/>
      </c>
      <c r="Q3377">
        <f>IF(AND(ISNUMBER('자료_미국심리'!$G3361),ISNUMBER('자료_미국심리'!$H3361)),'자료_미국심리'!$G3361,"")</f>
        <v/>
      </c>
    </row>
    <row r="3378">
      <c r="O3378">
        <f>IF(AND(ISNUMBER('자료_미국심리'!$A3362),ISNUMBER('자료_미국심리'!$B3362)),'자료_미국심리'!$A3362,"")</f>
        <v/>
      </c>
      <c r="P3378">
        <f>IF(AND(ISNUMBER('자료_미국심리'!$D3362),ISNUMBER('자료_미국심리'!$E3362)),'자료_미국심리'!$D3362,"")</f>
        <v/>
      </c>
      <c r="Q3378">
        <f>IF(AND(ISNUMBER('자료_미국심리'!$G3362),ISNUMBER('자료_미국심리'!$H3362)),'자료_미국심리'!$G3362,"")</f>
        <v/>
      </c>
    </row>
    <row r="3379">
      <c r="O3379">
        <f>IF(AND(ISNUMBER('자료_미국심리'!$A3363),ISNUMBER('자료_미국심리'!$B3363)),'자료_미국심리'!$A3363,"")</f>
        <v/>
      </c>
      <c r="P3379">
        <f>IF(AND(ISNUMBER('자료_미국심리'!$D3363),ISNUMBER('자료_미국심리'!$E3363)),'자료_미국심리'!$D3363,"")</f>
        <v/>
      </c>
      <c r="Q3379">
        <f>IF(AND(ISNUMBER('자료_미국심리'!$G3363),ISNUMBER('자료_미국심리'!$H3363)),'자료_미국심리'!$G3363,"")</f>
        <v/>
      </c>
    </row>
    <row r="3380">
      <c r="O3380">
        <f>IF(AND(ISNUMBER('자료_미국심리'!$A3364),ISNUMBER('자료_미국심리'!$B3364)),'자료_미국심리'!$A3364,"")</f>
        <v/>
      </c>
      <c r="P3380">
        <f>IF(AND(ISNUMBER('자료_미국심리'!$D3364),ISNUMBER('자료_미국심리'!$E3364)),'자료_미국심리'!$D3364,"")</f>
        <v/>
      </c>
      <c r="Q3380">
        <f>IF(AND(ISNUMBER('자료_미국심리'!$G3364),ISNUMBER('자료_미국심리'!$H3364)),'자료_미국심리'!$G3364,"")</f>
        <v/>
      </c>
    </row>
    <row r="3381">
      <c r="O3381">
        <f>IF(AND(ISNUMBER('자료_미국심리'!$A3365),ISNUMBER('자료_미국심리'!$B3365)),'자료_미국심리'!$A3365,"")</f>
        <v/>
      </c>
      <c r="P3381">
        <f>IF(AND(ISNUMBER('자료_미국심리'!$D3365),ISNUMBER('자료_미국심리'!$E3365)),'자료_미국심리'!$D3365,"")</f>
        <v/>
      </c>
      <c r="Q3381">
        <f>IF(AND(ISNUMBER('자료_미국심리'!$G3365),ISNUMBER('자료_미국심리'!$H3365)),'자료_미국심리'!$G3365,"")</f>
        <v/>
      </c>
    </row>
    <row r="3382">
      <c r="O3382">
        <f>IF(AND(ISNUMBER('자료_미국심리'!$A3366),ISNUMBER('자료_미국심리'!$B3366)),'자료_미국심리'!$A3366,"")</f>
        <v/>
      </c>
      <c r="P3382">
        <f>IF(AND(ISNUMBER('자료_미국심리'!$D3366),ISNUMBER('자료_미국심리'!$E3366)),'자료_미국심리'!$D3366,"")</f>
        <v/>
      </c>
      <c r="Q3382">
        <f>IF(AND(ISNUMBER('자료_미국심리'!$G3366),ISNUMBER('자료_미국심리'!$H3366)),'자료_미국심리'!$G3366,"")</f>
        <v/>
      </c>
    </row>
    <row r="3383">
      <c r="O3383">
        <f>IF(AND(ISNUMBER('자료_미국심리'!$A3367),ISNUMBER('자료_미국심리'!$B3367)),'자료_미국심리'!$A3367,"")</f>
        <v/>
      </c>
      <c r="P3383">
        <f>IF(AND(ISNUMBER('자료_미국심리'!$D3367),ISNUMBER('자료_미국심리'!$E3367)),'자료_미국심리'!$D3367,"")</f>
        <v/>
      </c>
      <c r="Q3383">
        <f>IF(AND(ISNUMBER('자료_미국심리'!$G3367),ISNUMBER('자료_미국심리'!$H3367)),'자료_미국심리'!$G3367,"")</f>
        <v/>
      </c>
    </row>
    <row r="3384">
      <c r="O3384">
        <f>IF(AND(ISNUMBER('자료_미국심리'!$A3368),ISNUMBER('자료_미국심리'!$B3368)),'자료_미국심리'!$A3368,"")</f>
        <v/>
      </c>
      <c r="P3384">
        <f>IF(AND(ISNUMBER('자료_미국심리'!$D3368),ISNUMBER('자료_미국심리'!$E3368)),'자료_미국심리'!$D3368,"")</f>
        <v/>
      </c>
      <c r="Q3384">
        <f>IF(AND(ISNUMBER('자료_미국심리'!$G3368),ISNUMBER('자료_미국심리'!$H3368)),'자료_미국심리'!$G3368,"")</f>
        <v/>
      </c>
    </row>
    <row r="3385">
      <c r="O3385">
        <f>IF(AND(ISNUMBER('자료_미국심리'!$A3369),ISNUMBER('자료_미국심리'!$B3369)),'자료_미국심리'!$A3369,"")</f>
        <v/>
      </c>
      <c r="P3385">
        <f>IF(AND(ISNUMBER('자료_미국심리'!$D3369),ISNUMBER('자료_미국심리'!$E3369)),'자료_미국심리'!$D3369,"")</f>
        <v/>
      </c>
      <c r="Q3385">
        <f>IF(AND(ISNUMBER('자료_미국심리'!$G3369),ISNUMBER('자료_미국심리'!$H3369)),'자료_미국심리'!$G3369,"")</f>
        <v/>
      </c>
    </row>
    <row r="3386">
      <c r="O3386">
        <f>IF(AND(ISNUMBER('자료_미국심리'!$A3370),ISNUMBER('자료_미국심리'!$B3370)),'자료_미국심리'!$A3370,"")</f>
        <v/>
      </c>
      <c r="P3386">
        <f>IF(AND(ISNUMBER('자료_미국심리'!$D3370),ISNUMBER('자료_미국심리'!$E3370)),'자료_미국심리'!$D3370,"")</f>
        <v/>
      </c>
      <c r="Q3386">
        <f>IF(AND(ISNUMBER('자료_미국심리'!$G3370),ISNUMBER('자료_미국심리'!$H3370)),'자료_미국심리'!$G3370,"")</f>
        <v/>
      </c>
    </row>
    <row r="3387">
      <c r="O3387">
        <f>IF(AND(ISNUMBER('자료_미국심리'!$A3371),ISNUMBER('자료_미국심리'!$B3371)),'자료_미국심리'!$A3371,"")</f>
        <v/>
      </c>
      <c r="P3387">
        <f>IF(AND(ISNUMBER('자료_미국심리'!$D3371),ISNUMBER('자료_미국심리'!$E3371)),'자료_미국심리'!$D3371,"")</f>
        <v/>
      </c>
      <c r="Q3387">
        <f>IF(AND(ISNUMBER('자료_미국심리'!$G3371),ISNUMBER('자료_미국심리'!$H3371)),'자료_미국심리'!$G3371,"")</f>
        <v/>
      </c>
    </row>
    <row r="3388">
      <c r="O3388">
        <f>IF(AND(ISNUMBER('자료_미국심리'!$A3372),ISNUMBER('자료_미국심리'!$B3372)),'자료_미국심리'!$A3372,"")</f>
        <v/>
      </c>
      <c r="P3388">
        <f>IF(AND(ISNUMBER('자료_미국심리'!$D3372),ISNUMBER('자료_미국심리'!$E3372)),'자료_미국심리'!$D3372,"")</f>
        <v/>
      </c>
      <c r="Q3388">
        <f>IF(AND(ISNUMBER('자료_미국심리'!$G3372),ISNUMBER('자료_미국심리'!$H3372)),'자료_미국심리'!$G3372,"")</f>
        <v/>
      </c>
    </row>
    <row r="3389">
      <c r="O3389">
        <f>IF(AND(ISNUMBER('자료_미국심리'!$A3373),ISNUMBER('자료_미국심리'!$B3373)),'자료_미국심리'!$A3373,"")</f>
        <v/>
      </c>
      <c r="P3389">
        <f>IF(AND(ISNUMBER('자료_미국심리'!$D3373),ISNUMBER('자료_미국심리'!$E3373)),'자료_미국심리'!$D3373,"")</f>
        <v/>
      </c>
      <c r="Q3389">
        <f>IF(AND(ISNUMBER('자료_미국심리'!$G3373),ISNUMBER('자료_미국심리'!$H3373)),'자료_미국심리'!$G3373,"")</f>
        <v/>
      </c>
    </row>
    <row r="3390">
      <c r="O3390">
        <f>IF(AND(ISNUMBER('자료_미국심리'!$A3374),ISNUMBER('자료_미국심리'!$B3374)),'자료_미국심리'!$A3374,"")</f>
        <v/>
      </c>
      <c r="P3390">
        <f>IF(AND(ISNUMBER('자료_미국심리'!$D3374),ISNUMBER('자료_미국심리'!$E3374)),'자료_미국심리'!$D3374,"")</f>
        <v/>
      </c>
      <c r="Q3390">
        <f>IF(AND(ISNUMBER('자료_미국심리'!$G3374),ISNUMBER('자료_미국심리'!$H3374)),'자료_미국심리'!$G3374,"")</f>
        <v/>
      </c>
    </row>
    <row r="3391">
      <c r="O3391">
        <f>IF(AND(ISNUMBER('자료_미국심리'!$A3375),ISNUMBER('자료_미국심리'!$B3375)),'자료_미국심리'!$A3375,"")</f>
        <v/>
      </c>
      <c r="P3391">
        <f>IF(AND(ISNUMBER('자료_미국심리'!$D3375),ISNUMBER('자료_미국심리'!$E3375)),'자료_미국심리'!$D3375,"")</f>
        <v/>
      </c>
      <c r="Q3391">
        <f>IF(AND(ISNUMBER('자료_미국심리'!$G3375),ISNUMBER('자료_미국심리'!$H3375)),'자료_미국심리'!$G3375,"")</f>
        <v/>
      </c>
    </row>
    <row r="3392">
      <c r="O3392">
        <f>IF(AND(ISNUMBER('자료_미국심리'!$A3376),ISNUMBER('자료_미국심리'!$B3376)),'자료_미국심리'!$A3376,"")</f>
        <v/>
      </c>
      <c r="P3392">
        <f>IF(AND(ISNUMBER('자료_미국심리'!$D3376),ISNUMBER('자료_미국심리'!$E3376)),'자료_미국심리'!$D3376,"")</f>
        <v/>
      </c>
      <c r="Q3392">
        <f>IF(AND(ISNUMBER('자료_미국심리'!$G3376),ISNUMBER('자료_미국심리'!$H3376)),'자료_미국심리'!$G3376,"")</f>
        <v/>
      </c>
    </row>
    <row r="3393">
      <c r="O3393">
        <f>IF(AND(ISNUMBER('자료_미국심리'!$A3377),ISNUMBER('자료_미국심리'!$B3377)),'자료_미국심리'!$A3377,"")</f>
        <v/>
      </c>
      <c r="P3393">
        <f>IF(AND(ISNUMBER('자료_미국심리'!$D3377),ISNUMBER('자료_미국심리'!$E3377)),'자료_미국심리'!$D3377,"")</f>
        <v/>
      </c>
      <c r="Q3393">
        <f>IF(AND(ISNUMBER('자료_미국심리'!$G3377),ISNUMBER('자료_미국심리'!$H3377)),'자료_미국심리'!$G3377,"")</f>
        <v/>
      </c>
    </row>
    <row r="3394">
      <c r="O3394">
        <f>IF(AND(ISNUMBER('자료_미국심리'!$A3378),ISNUMBER('자료_미국심리'!$B3378)),'자료_미국심리'!$A3378,"")</f>
        <v/>
      </c>
      <c r="P3394">
        <f>IF(AND(ISNUMBER('자료_미국심리'!$D3378),ISNUMBER('자료_미국심리'!$E3378)),'자료_미국심리'!$D3378,"")</f>
        <v/>
      </c>
      <c r="Q3394">
        <f>IF(AND(ISNUMBER('자료_미국심리'!$G3378),ISNUMBER('자료_미국심리'!$H3378)),'자료_미국심리'!$G3378,"")</f>
        <v/>
      </c>
    </row>
    <row r="3395">
      <c r="O3395">
        <f>IF(AND(ISNUMBER('자료_미국심리'!$A3379),ISNUMBER('자료_미국심리'!$B3379)),'자료_미국심리'!$A3379,"")</f>
        <v/>
      </c>
      <c r="P3395">
        <f>IF(AND(ISNUMBER('자료_미국심리'!$D3379),ISNUMBER('자료_미국심리'!$E3379)),'자료_미국심리'!$D3379,"")</f>
        <v/>
      </c>
      <c r="Q3395">
        <f>IF(AND(ISNUMBER('자료_미국심리'!$G3379),ISNUMBER('자료_미국심리'!$H3379)),'자료_미국심리'!$G3379,"")</f>
        <v/>
      </c>
    </row>
    <row r="3396">
      <c r="O3396">
        <f>IF(AND(ISNUMBER('자료_미국심리'!$A3380),ISNUMBER('자료_미국심리'!$B3380)),'자료_미국심리'!$A3380,"")</f>
        <v/>
      </c>
      <c r="P3396">
        <f>IF(AND(ISNUMBER('자료_미국심리'!$D3380),ISNUMBER('자료_미국심리'!$E3380)),'자료_미국심리'!$D3380,"")</f>
        <v/>
      </c>
      <c r="Q3396">
        <f>IF(AND(ISNUMBER('자료_미국심리'!$G3380),ISNUMBER('자료_미국심리'!$H3380)),'자료_미국심리'!$G3380,"")</f>
        <v/>
      </c>
    </row>
    <row r="3397">
      <c r="O3397">
        <f>IF(AND(ISNUMBER('자료_미국심리'!$A3381),ISNUMBER('자료_미국심리'!$B3381)),'자료_미국심리'!$A3381,"")</f>
        <v/>
      </c>
      <c r="P3397">
        <f>IF(AND(ISNUMBER('자료_미국심리'!$D3381),ISNUMBER('자료_미국심리'!$E3381)),'자료_미국심리'!$D3381,"")</f>
        <v/>
      </c>
      <c r="Q3397">
        <f>IF(AND(ISNUMBER('자료_미국심리'!$G3381),ISNUMBER('자료_미국심리'!$H3381)),'자료_미국심리'!$G3381,"")</f>
        <v/>
      </c>
    </row>
    <row r="3398">
      <c r="O3398">
        <f>IF(AND(ISNUMBER('자료_미국심리'!$A3382),ISNUMBER('자료_미국심리'!$B3382)),'자료_미국심리'!$A3382,"")</f>
        <v/>
      </c>
      <c r="P3398">
        <f>IF(AND(ISNUMBER('자료_미국심리'!$D3382),ISNUMBER('자료_미국심리'!$E3382)),'자료_미국심리'!$D3382,"")</f>
        <v/>
      </c>
      <c r="Q3398">
        <f>IF(AND(ISNUMBER('자료_미국심리'!$G3382),ISNUMBER('자료_미국심리'!$H3382)),'자료_미국심리'!$G3382,"")</f>
        <v/>
      </c>
    </row>
    <row r="3399">
      <c r="O3399">
        <f>IF(AND(ISNUMBER('자료_미국심리'!$A3383),ISNUMBER('자료_미국심리'!$B3383)),'자료_미국심리'!$A3383,"")</f>
        <v/>
      </c>
      <c r="P3399">
        <f>IF(AND(ISNUMBER('자료_미국심리'!$D3383),ISNUMBER('자료_미국심리'!$E3383)),'자료_미국심리'!$D3383,"")</f>
        <v/>
      </c>
      <c r="Q3399">
        <f>IF(AND(ISNUMBER('자료_미국심리'!$G3383),ISNUMBER('자료_미국심리'!$H3383)),'자료_미국심리'!$G3383,"")</f>
        <v/>
      </c>
    </row>
    <row r="3400">
      <c r="O3400">
        <f>IF(AND(ISNUMBER('자료_미국심리'!$A3384),ISNUMBER('자료_미국심리'!$B3384)),'자료_미국심리'!$A3384,"")</f>
        <v/>
      </c>
      <c r="P3400">
        <f>IF(AND(ISNUMBER('자료_미국심리'!$D3384),ISNUMBER('자료_미국심리'!$E3384)),'자료_미국심리'!$D3384,"")</f>
        <v/>
      </c>
      <c r="Q3400">
        <f>IF(AND(ISNUMBER('자료_미국심리'!$G3384),ISNUMBER('자료_미국심리'!$H3384)),'자료_미국심리'!$G3384,"")</f>
        <v/>
      </c>
    </row>
    <row r="3401">
      <c r="O3401">
        <f>IF(AND(ISNUMBER('자료_미국심리'!$A3385),ISNUMBER('자료_미국심리'!$B3385)),'자료_미국심리'!$A3385,"")</f>
        <v/>
      </c>
      <c r="P3401">
        <f>IF(AND(ISNUMBER('자료_미국심리'!$D3385),ISNUMBER('자료_미국심리'!$E3385)),'자료_미국심리'!$D3385,"")</f>
        <v/>
      </c>
      <c r="Q3401">
        <f>IF(AND(ISNUMBER('자료_미국심리'!$G3385),ISNUMBER('자료_미국심리'!$H3385)),'자료_미국심리'!$G3385,"")</f>
        <v/>
      </c>
    </row>
    <row r="3402">
      <c r="O3402">
        <f>IF(AND(ISNUMBER('자료_미국심리'!$A3386),ISNUMBER('자료_미국심리'!$B3386)),'자료_미국심리'!$A3386,"")</f>
        <v/>
      </c>
      <c r="P3402">
        <f>IF(AND(ISNUMBER('자료_미국심리'!$D3386),ISNUMBER('자료_미국심리'!$E3386)),'자료_미국심리'!$D3386,"")</f>
        <v/>
      </c>
      <c r="Q3402">
        <f>IF(AND(ISNUMBER('자료_미국심리'!$G3386),ISNUMBER('자료_미국심리'!$H3386)),'자료_미국심리'!$G3386,"")</f>
        <v/>
      </c>
    </row>
    <row r="3403">
      <c r="O3403">
        <f>IF(AND(ISNUMBER('자료_미국심리'!$A3387),ISNUMBER('자료_미국심리'!$B3387)),'자료_미국심리'!$A3387,"")</f>
        <v/>
      </c>
      <c r="P3403">
        <f>IF(AND(ISNUMBER('자료_미국심리'!$D3387),ISNUMBER('자료_미국심리'!$E3387)),'자료_미국심리'!$D3387,"")</f>
        <v/>
      </c>
      <c r="Q3403">
        <f>IF(AND(ISNUMBER('자료_미국심리'!$G3387),ISNUMBER('자료_미국심리'!$H3387)),'자료_미국심리'!$G3387,"")</f>
        <v/>
      </c>
    </row>
    <row r="3404">
      <c r="O3404">
        <f>IF(AND(ISNUMBER('자료_미국심리'!$A3388),ISNUMBER('자료_미국심리'!$B3388)),'자료_미국심리'!$A3388,"")</f>
        <v/>
      </c>
      <c r="P3404">
        <f>IF(AND(ISNUMBER('자료_미국심리'!$D3388),ISNUMBER('자료_미국심리'!$E3388)),'자료_미국심리'!$D3388,"")</f>
        <v/>
      </c>
      <c r="Q3404">
        <f>IF(AND(ISNUMBER('자료_미국심리'!$G3388),ISNUMBER('자료_미국심리'!$H3388)),'자료_미국심리'!$G3388,"")</f>
        <v/>
      </c>
    </row>
    <row r="3405">
      <c r="O3405">
        <f>IF(AND(ISNUMBER('자료_미국심리'!$A3389),ISNUMBER('자료_미국심리'!$B3389)),'자료_미국심리'!$A3389,"")</f>
        <v/>
      </c>
      <c r="P3405">
        <f>IF(AND(ISNUMBER('자료_미국심리'!$D3389),ISNUMBER('자료_미국심리'!$E3389)),'자료_미국심리'!$D3389,"")</f>
        <v/>
      </c>
      <c r="Q3405">
        <f>IF(AND(ISNUMBER('자료_미국심리'!$G3389),ISNUMBER('자료_미국심리'!$H3389)),'자료_미국심리'!$G3389,"")</f>
        <v/>
      </c>
    </row>
    <row r="3406">
      <c r="O3406">
        <f>IF(AND(ISNUMBER('자료_미국심리'!$A3390),ISNUMBER('자료_미국심리'!$B3390)),'자료_미국심리'!$A3390,"")</f>
        <v/>
      </c>
      <c r="P3406">
        <f>IF(AND(ISNUMBER('자료_미국심리'!$D3390),ISNUMBER('자료_미국심리'!$E3390)),'자료_미국심리'!$D3390,"")</f>
        <v/>
      </c>
      <c r="Q3406">
        <f>IF(AND(ISNUMBER('자료_미국심리'!$G3390),ISNUMBER('자료_미국심리'!$H3390)),'자료_미국심리'!$G3390,"")</f>
        <v/>
      </c>
    </row>
    <row r="3407">
      <c r="O3407">
        <f>IF(AND(ISNUMBER('자료_미국심리'!$A3391),ISNUMBER('자료_미국심리'!$B3391)),'자료_미국심리'!$A3391,"")</f>
        <v/>
      </c>
      <c r="P3407">
        <f>IF(AND(ISNUMBER('자료_미국심리'!$D3391),ISNUMBER('자료_미국심리'!$E3391)),'자료_미국심리'!$D3391,"")</f>
        <v/>
      </c>
      <c r="Q3407">
        <f>IF(AND(ISNUMBER('자료_미국심리'!$G3391),ISNUMBER('자료_미국심리'!$H3391)),'자료_미국심리'!$G3391,"")</f>
        <v/>
      </c>
    </row>
    <row r="3408">
      <c r="O3408">
        <f>IF(AND(ISNUMBER('자료_미국심리'!$A3392),ISNUMBER('자료_미국심리'!$B3392)),'자료_미국심리'!$A3392,"")</f>
        <v/>
      </c>
      <c r="P3408">
        <f>IF(AND(ISNUMBER('자료_미국심리'!$D3392),ISNUMBER('자료_미국심리'!$E3392)),'자료_미국심리'!$D3392,"")</f>
        <v/>
      </c>
      <c r="Q3408">
        <f>IF(AND(ISNUMBER('자료_미국심리'!$G3392),ISNUMBER('자료_미국심리'!$H3392)),'자료_미국심리'!$G3392,"")</f>
        <v/>
      </c>
    </row>
    <row r="3409">
      <c r="O3409">
        <f>IF(AND(ISNUMBER('자료_미국심리'!$A3393),ISNUMBER('자료_미국심리'!$B3393)),'자료_미국심리'!$A3393,"")</f>
        <v/>
      </c>
      <c r="P3409">
        <f>IF(AND(ISNUMBER('자료_미국심리'!$D3393),ISNUMBER('자료_미국심리'!$E3393)),'자료_미국심리'!$D3393,"")</f>
        <v/>
      </c>
      <c r="Q3409">
        <f>IF(AND(ISNUMBER('자료_미국심리'!$G3393),ISNUMBER('자료_미국심리'!$H3393)),'자료_미국심리'!$G3393,"")</f>
        <v/>
      </c>
    </row>
    <row r="3410">
      <c r="O3410">
        <f>IF(AND(ISNUMBER('자료_미국심리'!$A3394),ISNUMBER('자료_미국심리'!$B3394)),'자료_미국심리'!$A3394,"")</f>
        <v/>
      </c>
      <c r="P3410">
        <f>IF(AND(ISNUMBER('자료_미국심리'!$D3394),ISNUMBER('자료_미국심리'!$E3394)),'자료_미국심리'!$D3394,"")</f>
        <v/>
      </c>
      <c r="Q3410">
        <f>IF(AND(ISNUMBER('자료_미국심리'!$G3394),ISNUMBER('자료_미국심리'!$H3394)),'자료_미국심리'!$G3394,"")</f>
        <v/>
      </c>
    </row>
    <row r="3411">
      <c r="O3411">
        <f>IF(AND(ISNUMBER('자료_미국심리'!$A3395),ISNUMBER('자료_미국심리'!$B3395)),'자료_미국심리'!$A3395,"")</f>
        <v/>
      </c>
      <c r="P3411">
        <f>IF(AND(ISNUMBER('자료_미국심리'!$D3395),ISNUMBER('자료_미국심리'!$E3395)),'자료_미국심리'!$D3395,"")</f>
        <v/>
      </c>
      <c r="Q3411">
        <f>IF(AND(ISNUMBER('자료_미국심리'!$G3395),ISNUMBER('자료_미국심리'!$H3395)),'자료_미국심리'!$G3395,"")</f>
        <v/>
      </c>
    </row>
    <row r="3412">
      <c r="O3412">
        <f>IF(AND(ISNUMBER('자료_미국심리'!$A3396),ISNUMBER('자료_미국심리'!$B3396)),'자료_미국심리'!$A3396,"")</f>
        <v/>
      </c>
      <c r="P3412">
        <f>IF(AND(ISNUMBER('자료_미국심리'!$D3396),ISNUMBER('자료_미국심리'!$E3396)),'자료_미국심리'!$D3396,"")</f>
        <v/>
      </c>
      <c r="Q3412">
        <f>IF(AND(ISNUMBER('자료_미국심리'!$G3396),ISNUMBER('자료_미국심리'!$H3396)),'자료_미국심리'!$G3396,"")</f>
        <v/>
      </c>
    </row>
    <row r="3413">
      <c r="O3413">
        <f>IF(AND(ISNUMBER('자료_미국심리'!$A3397),ISNUMBER('자료_미국심리'!$B3397)),'자료_미국심리'!$A3397,"")</f>
        <v/>
      </c>
      <c r="P3413">
        <f>IF(AND(ISNUMBER('자료_미국심리'!$D3397),ISNUMBER('자료_미국심리'!$E3397)),'자료_미국심리'!$D3397,"")</f>
        <v/>
      </c>
      <c r="Q3413">
        <f>IF(AND(ISNUMBER('자료_미국심리'!$G3397),ISNUMBER('자료_미국심리'!$H3397)),'자료_미국심리'!$G3397,"")</f>
        <v/>
      </c>
    </row>
    <row r="3414">
      <c r="O3414">
        <f>IF(AND(ISNUMBER('자료_미국심리'!$A3398),ISNUMBER('자료_미국심리'!$B3398)),'자료_미국심리'!$A3398,"")</f>
        <v/>
      </c>
      <c r="P3414">
        <f>IF(AND(ISNUMBER('자료_미국심리'!$D3398),ISNUMBER('자료_미국심리'!$E3398)),'자료_미국심리'!$D3398,"")</f>
        <v/>
      </c>
      <c r="Q3414">
        <f>IF(AND(ISNUMBER('자료_미국심리'!$G3398),ISNUMBER('자료_미국심리'!$H3398)),'자료_미국심리'!$G3398,"")</f>
        <v/>
      </c>
    </row>
    <row r="3415">
      <c r="O3415">
        <f>IF(AND(ISNUMBER('자료_미국심리'!$A3399),ISNUMBER('자료_미국심리'!$B3399)),'자료_미국심리'!$A3399,"")</f>
        <v/>
      </c>
      <c r="P3415">
        <f>IF(AND(ISNUMBER('자료_미국심리'!$D3399),ISNUMBER('자료_미국심리'!$E3399)),'자료_미국심리'!$D3399,"")</f>
        <v/>
      </c>
      <c r="Q3415">
        <f>IF(AND(ISNUMBER('자료_미국심리'!$G3399),ISNUMBER('자료_미국심리'!$H3399)),'자료_미국심리'!$G3399,"")</f>
        <v/>
      </c>
    </row>
    <row r="3416">
      <c r="O3416">
        <f>IF(AND(ISNUMBER('자료_미국심리'!$A3400),ISNUMBER('자료_미국심리'!$B3400)),'자료_미국심리'!$A3400,"")</f>
        <v/>
      </c>
      <c r="P3416">
        <f>IF(AND(ISNUMBER('자료_미국심리'!$D3400),ISNUMBER('자료_미국심리'!$E3400)),'자료_미국심리'!$D3400,"")</f>
        <v/>
      </c>
      <c r="Q3416">
        <f>IF(AND(ISNUMBER('자료_미국심리'!$G3400),ISNUMBER('자료_미국심리'!$H3400)),'자료_미국심리'!$G3400,"")</f>
        <v/>
      </c>
    </row>
    <row r="3417">
      <c r="O3417">
        <f>IF(AND(ISNUMBER('자료_미국심리'!$A3401),ISNUMBER('자료_미국심리'!$B3401)),'자료_미국심리'!$A3401,"")</f>
        <v/>
      </c>
      <c r="P3417">
        <f>IF(AND(ISNUMBER('자료_미국심리'!$D3401),ISNUMBER('자료_미국심리'!$E3401)),'자료_미국심리'!$D3401,"")</f>
        <v/>
      </c>
      <c r="Q3417">
        <f>IF(AND(ISNUMBER('자료_미국심리'!$G3401),ISNUMBER('자료_미국심리'!$H3401)),'자료_미국심리'!$G3401,"")</f>
        <v/>
      </c>
    </row>
    <row r="3418">
      <c r="O3418">
        <f>IF(AND(ISNUMBER('자료_미국심리'!$A3402),ISNUMBER('자료_미국심리'!$B3402)),'자료_미국심리'!$A3402,"")</f>
        <v/>
      </c>
      <c r="P3418">
        <f>IF(AND(ISNUMBER('자료_미국심리'!$D3402),ISNUMBER('자료_미국심리'!$E3402)),'자료_미국심리'!$D3402,"")</f>
        <v/>
      </c>
      <c r="Q3418">
        <f>IF(AND(ISNUMBER('자료_미국심리'!$G3402),ISNUMBER('자료_미국심리'!$H3402)),'자료_미국심리'!$G3402,"")</f>
        <v/>
      </c>
    </row>
    <row r="3419">
      <c r="O3419">
        <f>IF(AND(ISNUMBER('자료_미국심리'!$A3403),ISNUMBER('자료_미국심리'!$B3403)),'자료_미국심리'!$A3403,"")</f>
        <v/>
      </c>
      <c r="P3419">
        <f>IF(AND(ISNUMBER('자료_미국심리'!$D3403),ISNUMBER('자료_미국심리'!$E3403)),'자료_미국심리'!$D3403,"")</f>
        <v/>
      </c>
      <c r="Q3419">
        <f>IF(AND(ISNUMBER('자료_미국심리'!$G3403),ISNUMBER('자료_미국심리'!$H3403)),'자료_미국심리'!$G3403,"")</f>
        <v/>
      </c>
    </row>
    <row r="3420">
      <c r="O3420">
        <f>IF(AND(ISNUMBER('자료_미국심리'!$A3404),ISNUMBER('자료_미국심리'!$B3404)),'자료_미국심리'!$A3404,"")</f>
        <v/>
      </c>
      <c r="P3420">
        <f>IF(AND(ISNUMBER('자료_미국심리'!$D3404),ISNUMBER('자료_미국심리'!$E3404)),'자료_미국심리'!$D3404,"")</f>
        <v/>
      </c>
      <c r="Q3420">
        <f>IF(AND(ISNUMBER('자료_미국심리'!$G3404),ISNUMBER('자료_미국심리'!$H3404)),'자료_미국심리'!$G3404,"")</f>
        <v/>
      </c>
    </row>
    <row r="3421">
      <c r="O3421">
        <f>IF(AND(ISNUMBER('자료_미국심리'!$A3405),ISNUMBER('자료_미국심리'!$B3405)),'자료_미국심리'!$A3405,"")</f>
        <v/>
      </c>
      <c r="P3421">
        <f>IF(AND(ISNUMBER('자료_미국심리'!$D3405),ISNUMBER('자료_미국심리'!$E3405)),'자료_미국심리'!$D3405,"")</f>
        <v/>
      </c>
      <c r="Q3421">
        <f>IF(AND(ISNUMBER('자료_미국심리'!$G3405),ISNUMBER('자료_미국심리'!$H3405)),'자료_미국심리'!$G3405,"")</f>
        <v/>
      </c>
    </row>
    <row r="3422">
      <c r="O3422">
        <f>IF(AND(ISNUMBER('자료_미국심리'!$A3406),ISNUMBER('자료_미국심리'!$B3406)),'자료_미국심리'!$A3406,"")</f>
        <v/>
      </c>
      <c r="P3422">
        <f>IF(AND(ISNUMBER('자료_미국심리'!$D3406),ISNUMBER('자료_미국심리'!$E3406)),'자료_미국심리'!$D3406,"")</f>
        <v/>
      </c>
      <c r="Q3422">
        <f>IF(AND(ISNUMBER('자료_미국심리'!$G3406),ISNUMBER('자료_미국심리'!$H3406)),'자료_미국심리'!$G3406,"")</f>
        <v/>
      </c>
    </row>
    <row r="3423">
      <c r="O3423">
        <f>IF(AND(ISNUMBER('자료_미국심리'!$A3407),ISNUMBER('자료_미국심리'!$B3407)),'자료_미국심리'!$A3407,"")</f>
        <v/>
      </c>
      <c r="P3423">
        <f>IF(AND(ISNUMBER('자료_미국심리'!$D3407),ISNUMBER('자료_미국심리'!$E3407)),'자료_미국심리'!$D3407,"")</f>
        <v/>
      </c>
      <c r="Q3423">
        <f>IF(AND(ISNUMBER('자료_미국심리'!$G3407),ISNUMBER('자료_미국심리'!$H3407)),'자료_미국심리'!$G3407,"")</f>
        <v/>
      </c>
    </row>
    <row r="3424">
      <c r="O3424">
        <f>IF(AND(ISNUMBER('자료_미국심리'!$A3408),ISNUMBER('자료_미국심리'!$B3408)),'자료_미국심리'!$A3408,"")</f>
        <v/>
      </c>
      <c r="P3424">
        <f>IF(AND(ISNUMBER('자료_미국심리'!$D3408),ISNUMBER('자료_미국심리'!$E3408)),'자료_미국심리'!$D3408,"")</f>
        <v/>
      </c>
      <c r="Q3424">
        <f>IF(AND(ISNUMBER('자료_미국심리'!$G3408),ISNUMBER('자료_미국심리'!$H3408)),'자료_미국심리'!$G3408,"")</f>
        <v/>
      </c>
    </row>
    <row r="3425">
      <c r="O3425">
        <f>IF(AND(ISNUMBER('자료_미국심리'!$A3409),ISNUMBER('자료_미국심리'!$B3409)),'자료_미국심리'!$A3409,"")</f>
        <v/>
      </c>
      <c r="P3425">
        <f>IF(AND(ISNUMBER('자료_미국심리'!$D3409),ISNUMBER('자료_미국심리'!$E3409)),'자료_미국심리'!$D3409,"")</f>
        <v/>
      </c>
      <c r="Q3425">
        <f>IF(AND(ISNUMBER('자료_미국심리'!$G3409),ISNUMBER('자료_미국심리'!$H3409)),'자료_미국심리'!$G3409,"")</f>
        <v/>
      </c>
    </row>
    <row r="3426">
      <c r="O3426">
        <f>IF(AND(ISNUMBER('자료_미국심리'!$A3410),ISNUMBER('자료_미국심리'!$B3410)),'자료_미국심리'!$A3410,"")</f>
        <v/>
      </c>
      <c r="P3426">
        <f>IF(AND(ISNUMBER('자료_미국심리'!$D3410),ISNUMBER('자료_미국심리'!$E3410)),'자료_미국심리'!$D3410,"")</f>
        <v/>
      </c>
      <c r="Q3426">
        <f>IF(AND(ISNUMBER('자료_미국심리'!$G3410),ISNUMBER('자료_미국심리'!$H3410)),'자료_미국심리'!$G3410,"")</f>
        <v/>
      </c>
    </row>
    <row r="3427">
      <c r="O3427">
        <f>IF(AND(ISNUMBER('자료_미국심리'!$A3411),ISNUMBER('자료_미국심리'!$B3411)),'자료_미국심리'!$A3411,"")</f>
        <v/>
      </c>
      <c r="P3427">
        <f>IF(AND(ISNUMBER('자료_미국심리'!$D3411),ISNUMBER('자료_미국심리'!$E3411)),'자료_미국심리'!$D3411,"")</f>
        <v/>
      </c>
      <c r="Q3427">
        <f>IF(AND(ISNUMBER('자료_미국심리'!$G3411),ISNUMBER('자료_미국심리'!$H3411)),'자료_미국심리'!$G3411,"")</f>
        <v/>
      </c>
    </row>
    <row r="3428">
      <c r="O3428">
        <f>IF(AND(ISNUMBER('자료_미국심리'!$A3412),ISNUMBER('자료_미국심리'!$B3412)),'자료_미국심리'!$A3412,"")</f>
        <v/>
      </c>
      <c r="P3428">
        <f>IF(AND(ISNUMBER('자료_미국심리'!$D3412),ISNUMBER('자료_미국심리'!$E3412)),'자료_미국심리'!$D3412,"")</f>
        <v/>
      </c>
      <c r="Q3428">
        <f>IF(AND(ISNUMBER('자료_미국심리'!$G3412),ISNUMBER('자료_미국심리'!$H3412)),'자료_미국심리'!$G3412,"")</f>
        <v/>
      </c>
    </row>
    <row r="3429">
      <c r="O3429">
        <f>IF(AND(ISNUMBER('자료_미국심리'!$A3413),ISNUMBER('자료_미국심리'!$B3413)),'자료_미국심리'!$A3413,"")</f>
        <v/>
      </c>
      <c r="P3429">
        <f>IF(AND(ISNUMBER('자료_미국심리'!$D3413),ISNUMBER('자료_미국심리'!$E3413)),'자료_미국심리'!$D3413,"")</f>
        <v/>
      </c>
      <c r="Q3429">
        <f>IF(AND(ISNUMBER('자료_미국심리'!$G3413),ISNUMBER('자료_미국심리'!$H3413)),'자료_미국심리'!$G3413,"")</f>
        <v/>
      </c>
    </row>
    <row r="3430">
      <c r="O3430">
        <f>IF(AND(ISNUMBER('자료_미국심리'!$A3414),ISNUMBER('자료_미국심리'!$B3414)),'자료_미국심리'!$A3414,"")</f>
        <v/>
      </c>
      <c r="P3430">
        <f>IF(AND(ISNUMBER('자료_미국심리'!$D3414),ISNUMBER('자료_미국심리'!$E3414)),'자료_미국심리'!$D3414,"")</f>
        <v/>
      </c>
      <c r="Q3430">
        <f>IF(AND(ISNUMBER('자료_미국심리'!$G3414),ISNUMBER('자료_미국심리'!$H3414)),'자료_미국심리'!$G3414,"")</f>
        <v/>
      </c>
    </row>
    <row r="3431">
      <c r="O3431">
        <f>IF(AND(ISNUMBER('자료_미국심리'!$A3415),ISNUMBER('자료_미국심리'!$B3415)),'자료_미국심리'!$A3415,"")</f>
        <v/>
      </c>
      <c r="P3431">
        <f>IF(AND(ISNUMBER('자료_미국심리'!$D3415),ISNUMBER('자료_미국심리'!$E3415)),'자료_미국심리'!$D3415,"")</f>
        <v/>
      </c>
      <c r="Q3431">
        <f>IF(AND(ISNUMBER('자료_미국심리'!$G3415),ISNUMBER('자료_미국심리'!$H3415)),'자료_미국심리'!$G3415,"")</f>
        <v/>
      </c>
    </row>
    <row r="3432">
      <c r="O3432">
        <f>IF(AND(ISNUMBER('자료_미국심리'!$A3416),ISNUMBER('자료_미국심리'!$B3416)),'자료_미국심리'!$A3416,"")</f>
        <v/>
      </c>
      <c r="P3432">
        <f>IF(AND(ISNUMBER('자료_미국심리'!$D3416),ISNUMBER('자료_미국심리'!$E3416)),'자료_미국심리'!$D3416,"")</f>
        <v/>
      </c>
      <c r="Q3432">
        <f>IF(AND(ISNUMBER('자료_미국심리'!$G3416),ISNUMBER('자료_미국심리'!$H3416)),'자료_미국심리'!$G3416,"")</f>
        <v/>
      </c>
    </row>
    <row r="3433">
      <c r="O3433">
        <f>IF(AND(ISNUMBER('자료_미국심리'!$A3417),ISNUMBER('자료_미국심리'!$B3417)),'자료_미국심리'!$A3417,"")</f>
        <v/>
      </c>
      <c r="P3433">
        <f>IF(AND(ISNUMBER('자료_미국심리'!$D3417),ISNUMBER('자료_미국심리'!$E3417)),'자료_미국심리'!$D3417,"")</f>
        <v/>
      </c>
      <c r="Q3433">
        <f>IF(AND(ISNUMBER('자료_미국심리'!$G3417),ISNUMBER('자료_미국심리'!$H3417)),'자료_미국심리'!$G3417,"")</f>
        <v/>
      </c>
    </row>
    <row r="3434">
      <c r="O3434">
        <f>IF(AND(ISNUMBER('자료_미국심리'!$A3418),ISNUMBER('자료_미국심리'!$B3418)),'자료_미국심리'!$A3418,"")</f>
        <v/>
      </c>
      <c r="P3434">
        <f>IF(AND(ISNUMBER('자료_미국심리'!$D3418),ISNUMBER('자료_미국심리'!$E3418)),'자료_미국심리'!$D3418,"")</f>
        <v/>
      </c>
      <c r="Q3434">
        <f>IF(AND(ISNUMBER('자료_미국심리'!$G3418),ISNUMBER('자료_미국심리'!$H3418)),'자료_미국심리'!$G3418,"")</f>
        <v/>
      </c>
    </row>
    <row r="3435">
      <c r="O3435">
        <f>IF(AND(ISNUMBER('자료_미국심리'!$A3419),ISNUMBER('자료_미국심리'!$B3419)),'자료_미국심리'!$A3419,"")</f>
        <v/>
      </c>
      <c r="P3435">
        <f>IF(AND(ISNUMBER('자료_미국심리'!$D3419),ISNUMBER('자료_미국심리'!$E3419)),'자료_미국심리'!$D3419,"")</f>
        <v/>
      </c>
      <c r="Q3435">
        <f>IF(AND(ISNUMBER('자료_미국심리'!$G3419),ISNUMBER('자료_미국심리'!$H3419)),'자료_미국심리'!$G3419,"")</f>
        <v/>
      </c>
    </row>
    <row r="3436">
      <c r="O3436">
        <f>IF(AND(ISNUMBER('자료_미국심리'!$A3420),ISNUMBER('자료_미국심리'!$B3420)),'자료_미국심리'!$A3420,"")</f>
        <v/>
      </c>
      <c r="P3436">
        <f>IF(AND(ISNUMBER('자료_미국심리'!$D3420),ISNUMBER('자료_미국심리'!$E3420)),'자료_미국심리'!$D3420,"")</f>
        <v/>
      </c>
      <c r="Q3436">
        <f>IF(AND(ISNUMBER('자료_미국심리'!$G3420),ISNUMBER('자료_미국심리'!$H3420)),'자료_미국심리'!$G3420,"")</f>
        <v/>
      </c>
    </row>
    <row r="3437">
      <c r="O3437">
        <f>IF(AND(ISNUMBER('자료_미국심리'!$A3421),ISNUMBER('자료_미국심리'!$B3421)),'자료_미국심리'!$A3421,"")</f>
        <v/>
      </c>
      <c r="P3437">
        <f>IF(AND(ISNUMBER('자료_미국심리'!$D3421),ISNUMBER('자료_미국심리'!$E3421)),'자료_미국심리'!$D3421,"")</f>
        <v/>
      </c>
      <c r="Q3437">
        <f>IF(AND(ISNUMBER('자료_미국심리'!$G3421),ISNUMBER('자료_미국심리'!$H3421)),'자료_미국심리'!$G3421,"")</f>
        <v/>
      </c>
    </row>
    <row r="3438">
      <c r="O3438">
        <f>IF(AND(ISNUMBER('자료_미국심리'!$A3422),ISNUMBER('자료_미국심리'!$B3422)),'자료_미국심리'!$A3422,"")</f>
        <v/>
      </c>
      <c r="P3438">
        <f>IF(AND(ISNUMBER('자료_미국심리'!$D3422),ISNUMBER('자료_미국심리'!$E3422)),'자료_미국심리'!$D3422,"")</f>
        <v/>
      </c>
      <c r="Q3438">
        <f>IF(AND(ISNUMBER('자료_미국심리'!$G3422),ISNUMBER('자료_미국심리'!$H3422)),'자료_미국심리'!$G3422,"")</f>
        <v/>
      </c>
    </row>
    <row r="3439">
      <c r="O3439">
        <f>IF(AND(ISNUMBER('자료_미국심리'!$A3423),ISNUMBER('자료_미국심리'!$B3423)),'자료_미국심리'!$A3423,"")</f>
        <v/>
      </c>
      <c r="P3439">
        <f>IF(AND(ISNUMBER('자료_미국심리'!$D3423),ISNUMBER('자료_미국심리'!$E3423)),'자료_미국심리'!$D3423,"")</f>
        <v/>
      </c>
      <c r="Q3439">
        <f>IF(AND(ISNUMBER('자료_미국심리'!$G3423),ISNUMBER('자료_미국심리'!$H3423)),'자료_미국심리'!$G3423,"")</f>
        <v/>
      </c>
    </row>
    <row r="3440">
      <c r="O3440">
        <f>IF(AND(ISNUMBER('자료_미국심리'!$A3424),ISNUMBER('자료_미국심리'!$B3424)),'자료_미국심리'!$A3424,"")</f>
        <v/>
      </c>
      <c r="P3440">
        <f>IF(AND(ISNUMBER('자료_미국심리'!$D3424),ISNUMBER('자료_미국심리'!$E3424)),'자료_미국심리'!$D3424,"")</f>
        <v/>
      </c>
      <c r="Q3440">
        <f>IF(AND(ISNUMBER('자료_미국심리'!$G3424),ISNUMBER('자료_미국심리'!$H3424)),'자료_미국심리'!$G3424,"")</f>
        <v/>
      </c>
    </row>
    <row r="3441">
      <c r="O3441">
        <f>IF(AND(ISNUMBER('자료_미국심리'!$A3425),ISNUMBER('자료_미국심리'!$B3425)),'자료_미국심리'!$A3425,"")</f>
        <v/>
      </c>
      <c r="P3441">
        <f>IF(AND(ISNUMBER('자료_미국심리'!$D3425),ISNUMBER('자료_미국심리'!$E3425)),'자료_미국심리'!$D3425,"")</f>
        <v/>
      </c>
      <c r="Q3441">
        <f>IF(AND(ISNUMBER('자료_미국심리'!$G3425),ISNUMBER('자료_미국심리'!$H3425)),'자료_미국심리'!$G3425,"")</f>
        <v/>
      </c>
    </row>
    <row r="3442">
      <c r="O3442">
        <f>IF(AND(ISNUMBER('자료_미국심리'!$A3426),ISNUMBER('자료_미국심리'!$B3426)),'자료_미국심리'!$A3426,"")</f>
        <v/>
      </c>
      <c r="P3442">
        <f>IF(AND(ISNUMBER('자료_미국심리'!$D3426),ISNUMBER('자료_미국심리'!$E3426)),'자료_미국심리'!$D3426,"")</f>
        <v/>
      </c>
      <c r="Q3442">
        <f>IF(AND(ISNUMBER('자료_미국심리'!$G3426),ISNUMBER('자료_미국심리'!$H3426)),'자료_미국심리'!$G3426,"")</f>
        <v/>
      </c>
    </row>
    <row r="3443">
      <c r="O3443">
        <f>IF(AND(ISNUMBER('자료_미국심리'!$A3427),ISNUMBER('자료_미국심리'!$B3427)),'자료_미국심리'!$A3427,"")</f>
        <v/>
      </c>
      <c r="P3443">
        <f>IF(AND(ISNUMBER('자료_미국심리'!$D3427),ISNUMBER('자료_미국심리'!$E3427)),'자료_미국심리'!$D3427,"")</f>
        <v/>
      </c>
      <c r="Q3443">
        <f>IF(AND(ISNUMBER('자료_미국심리'!$G3427),ISNUMBER('자료_미국심리'!$H3427)),'자료_미국심리'!$G3427,"")</f>
        <v/>
      </c>
    </row>
    <row r="3444">
      <c r="O3444">
        <f>IF(AND(ISNUMBER('자료_미국심리'!$A3428),ISNUMBER('자료_미국심리'!$B3428)),'자료_미국심리'!$A3428,"")</f>
        <v/>
      </c>
      <c r="P3444">
        <f>IF(AND(ISNUMBER('자료_미국심리'!$D3428),ISNUMBER('자료_미국심리'!$E3428)),'자료_미국심리'!$D3428,"")</f>
        <v/>
      </c>
      <c r="Q3444">
        <f>IF(AND(ISNUMBER('자료_미국심리'!$G3428),ISNUMBER('자료_미국심리'!$H3428)),'자료_미국심리'!$G3428,"")</f>
        <v/>
      </c>
    </row>
    <row r="3445">
      <c r="O3445">
        <f>IF(AND(ISNUMBER('자료_미국심리'!$A3429),ISNUMBER('자료_미국심리'!$B3429)),'자료_미국심리'!$A3429,"")</f>
        <v/>
      </c>
      <c r="P3445">
        <f>IF(AND(ISNUMBER('자료_미국심리'!$D3429),ISNUMBER('자료_미국심리'!$E3429)),'자료_미국심리'!$D3429,"")</f>
        <v/>
      </c>
      <c r="Q3445">
        <f>IF(AND(ISNUMBER('자료_미국심리'!$G3429),ISNUMBER('자료_미국심리'!$H3429)),'자료_미국심리'!$G3429,"")</f>
        <v/>
      </c>
    </row>
    <row r="3446">
      <c r="O3446">
        <f>IF(AND(ISNUMBER('자료_미국심리'!$A3430),ISNUMBER('자료_미국심리'!$B3430)),'자료_미국심리'!$A3430,"")</f>
        <v/>
      </c>
      <c r="P3446">
        <f>IF(AND(ISNUMBER('자료_미국심리'!$D3430),ISNUMBER('자료_미국심리'!$E3430)),'자료_미국심리'!$D3430,"")</f>
        <v/>
      </c>
      <c r="Q3446">
        <f>IF(AND(ISNUMBER('자료_미국심리'!$G3430),ISNUMBER('자료_미국심리'!$H3430)),'자료_미국심리'!$G3430,"")</f>
        <v/>
      </c>
    </row>
    <row r="3447">
      <c r="O3447">
        <f>IF(AND(ISNUMBER('자료_미국심리'!$A3431),ISNUMBER('자료_미국심리'!$B3431)),'자료_미국심리'!$A3431,"")</f>
        <v/>
      </c>
      <c r="P3447">
        <f>IF(AND(ISNUMBER('자료_미국심리'!$D3431),ISNUMBER('자료_미국심리'!$E3431)),'자료_미국심리'!$D3431,"")</f>
        <v/>
      </c>
      <c r="Q3447">
        <f>IF(AND(ISNUMBER('자료_미국심리'!$G3431),ISNUMBER('자료_미국심리'!$H3431)),'자료_미국심리'!$G3431,"")</f>
        <v/>
      </c>
    </row>
    <row r="3448">
      <c r="O3448">
        <f>IF(AND(ISNUMBER('자료_미국심리'!$A3432),ISNUMBER('자료_미국심리'!$B3432)),'자료_미국심리'!$A3432,"")</f>
        <v/>
      </c>
      <c r="P3448">
        <f>IF(AND(ISNUMBER('자료_미국심리'!$D3432),ISNUMBER('자료_미국심리'!$E3432)),'자료_미국심리'!$D3432,"")</f>
        <v/>
      </c>
      <c r="Q3448">
        <f>IF(AND(ISNUMBER('자료_미국심리'!$G3432),ISNUMBER('자료_미국심리'!$H3432)),'자료_미국심리'!$G3432,"")</f>
        <v/>
      </c>
    </row>
    <row r="3449">
      <c r="O3449">
        <f>IF(AND(ISNUMBER('자료_미국심리'!$A3433),ISNUMBER('자료_미국심리'!$B3433)),'자료_미국심리'!$A3433,"")</f>
        <v/>
      </c>
      <c r="P3449">
        <f>IF(AND(ISNUMBER('자료_미국심리'!$D3433),ISNUMBER('자료_미국심리'!$E3433)),'자료_미국심리'!$D3433,"")</f>
        <v/>
      </c>
      <c r="Q3449">
        <f>IF(AND(ISNUMBER('자료_미국심리'!$G3433),ISNUMBER('자료_미국심리'!$H3433)),'자료_미국심리'!$G3433,"")</f>
        <v/>
      </c>
    </row>
    <row r="3450">
      <c r="O3450">
        <f>IF(AND(ISNUMBER('자료_미국심리'!$A3434),ISNUMBER('자료_미국심리'!$B3434)),'자료_미국심리'!$A3434,"")</f>
        <v/>
      </c>
      <c r="P3450">
        <f>IF(AND(ISNUMBER('자료_미국심리'!$D3434),ISNUMBER('자료_미국심리'!$E3434)),'자료_미국심리'!$D3434,"")</f>
        <v/>
      </c>
      <c r="Q3450">
        <f>IF(AND(ISNUMBER('자료_미국심리'!$G3434),ISNUMBER('자료_미국심리'!$H3434)),'자료_미국심리'!$G3434,"")</f>
        <v/>
      </c>
    </row>
    <row r="3451">
      <c r="O3451">
        <f>IF(AND(ISNUMBER('자료_미국심리'!$A3435),ISNUMBER('자료_미국심리'!$B3435)),'자료_미국심리'!$A3435,"")</f>
        <v/>
      </c>
      <c r="P3451">
        <f>IF(AND(ISNUMBER('자료_미국심리'!$D3435),ISNUMBER('자료_미국심리'!$E3435)),'자료_미국심리'!$D3435,"")</f>
        <v/>
      </c>
      <c r="Q3451">
        <f>IF(AND(ISNUMBER('자료_미국심리'!$G3435),ISNUMBER('자료_미국심리'!$H3435)),'자료_미국심리'!$G3435,"")</f>
        <v/>
      </c>
    </row>
    <row r="3452">
      <c r="O3452">
        <f>IF(AND(ISNUMBER('자료_미국심리'!$A3436),ISNUMBER('자료_미국심리'!$B3436)),'자료_미국심리'!$A3436,"")</f>
        <v/>
      </c>
      <c r="P3452">
        <f>IF(AND(ISNUMBER('자료_미국심리'!$D3436),ISNUMBER('자료_미국심리'!$E3436)),'자료_미국심리'!$D3436,"")</f>
        <v/>
      </c>
      <c r="Q3452">
        <f>IF(AND(ISNUMBER('자료_미국심리'!$G3436),ISNUMBER('자료_미국심리'!$H3436)),'자료_미국심리'!$G3436,"")</f>
        <v/>
      </c>
    </row>
    <row r="3453">
      <c r="O3453">
        <f>IF(AND(ISNUMBER('자료_미국심리'!$A3437),ISNUMBER('자료_미국심리'!$B3437)),'자료_미국심리'!$A3437,"")</f>
        <v/>
      </c>
      <c r="P3453">
        <f>IF(AND(ISNUMBER('자료_미국심리'!$D3437),ISNUMBER('자료_미국심리'!$E3437)),'자료_미국심리'!$D3437,"")</f>
        <v/>
      </c>
      <c r="Q3453">
        <f>IF(AND(ISNUMBER('자료_미국심리'!$G3437),ISNUMBER('자료_미국심리'!$H3437)),'자료_미국심리'!$G3437,"")</f>
        <v/>
      </c>
    </row>
    <row r="3454">
      <c r="O3454">
        <f>IF(AND(ISNUMBER('자료_미국심리'!$A3438),ISNUMBER('자료_미국심리'!$B3438)),'자료_미국심리'!$A3438,"")</f>
        <v/>
      </c>
      <c r="P3454">
        <f>IF(AND(ISNUMBER('자료_미국심리'!$D3438),ISNUMBER('자료_미국심리'!$E3438)),'자료_미국심리'!$D3438,"")</f>
        <v/>
      </c>
      <c r="Q3454">
        <f>IF(AND(ISNUMBER('자료_미국심리'!$G3438),ISNUMBER('자료_미국심리'!$H3438)),'자료_미국심리'!$G3438,"")</f>
        <v/>
      </c>
    </row>
    <row r="3455">
      <c r="O3455">
        <f>IF(AND(ISNUMBER('자료_미국심리'!$A3439),ISNUMBER('자료_미국심리'!$B3439)),'자료_미국심리'!$A3439,"")</f>
        <v/>
      </c>
      <c r="P3455">
        <f>IF(AND(ISNUMBER('자료_미국심리'!$D3439),ISNUMBER('자료_미국심리'!$E3439)),'자료_미국심리'!$D3439,"")</f>
        <v/>
      </c>
      <c r="Q3455">
        <f>IF(AND(ISNUMBER('자료_미국심리'!$G3439),ISNUMBER('자료_미국심리'!$H3439)),'자료_미국심리'!$G3439,"")</f>
        <v/>
      </c>
    </row>
    <row r="3456">
      <c r="O3456">
        <f>IF(AND(ISNUMBER('자료_미국심리'!$A3440),ISNUMBER('자료_미국심리'!$B3440)),'자료_미국심리'!$A3440,"")</f>
        <v/>
      </c>
      <c r="P3456">
        <f>IF(AND(ISNUMBER('자료_미국심리'!$D3440),ISNUMBER('자료_미국심리'!$E3440)),'자료_미국심리'!$D3440,"")</f>
        <v/>
      </c>
      <c r="Q3456">
        <f>IF(AND(ISNUMBER('자료_미국심리'!$G3440),ISNUMBER('자료_미국심리'!$H3440)),'자료_미국심리'!$G3440,"")</f>
        <v/>
      </c>
    </row>
    <row r="3457">
      <c r="O3457">
        <f>IF(AND(ISNUMBER('자료_미국심리'!$A3441),ISNUMBER('자료_미국심리'!$B3441)),'자료_미국심리'!$A3441,"")</f>
        <v/>
      </c>
      <c r="P3457">
        <f>IF(AND(ISNUMBER('자료_미국심리'!$D3441),ISNUMBER('자료_미국심리'!$E3441)),'자료_미국심리'!$D3441,"")</f>
        <v/>
      </c>
      <c r="Q3457">
        <f>IF(AND(ISNUMBER('자료_미국심리'!$G3441),ISNUMBER('자료_미국심리'!$H3441)),'자료_미국심리'!$G3441,"")</f>
        <v/>
      </c>
    </row>
    <row r="3458">
      <c r="O3458">
        <f>IF(AND(ISNUMBER('자료_미국심리'!$A3442),ISNUMBER('자료_미국심리'!$B3442)),'자료_미국심리'!$A3442,"")</f>
        <v/>
      </c>
      <c r="P3458">
        <f>IF(AND(ISNUMBER('자료_미국심리'!$D3442),ISNUMBER('자료_미국심리'!$E3442)),'자료_미국심리'!$D3442,"")</f>
        <v/>
      </c>
      <c r="Q3458">
        <f>IF(AND(ISNUMBER('자료_미국심리'!$G3442),ISNUMBER('자료_미국심리'!$H3442)),'자료_미국심리'!$G3442,"")</f>
        <v/>
      </c>
    </row>
    <row r="3459">
      <c r="O3459">
        <f>IF(AND(ISNUMBER('자료_미국심리'!$A3443),ISNUMBER('자료_미국심리'!$B3443)),'자료_미국심리'!$A3443,"")</f>
        <v/>
      </c>
      <c r="P3459">
        <f>IF(AND(ISNUMBER('자료_미국심리'!$D3443),ISNUMBER('자료_미국심리'!$E3443)),'자료_미국심리'!$D3443,"")</f>
        <v/>
      </c>
      <c r="Q3459">
        <f>IF(AND(ISNUMBER('자료_미국심리'!$G3443),ISNUMBER('자료_미국심리'!$H3443)),'자료_미국심리'!$G3443,"")</f>
        <v/>
      </c>
    </row>
    <row r="3460">
      <c r="O3460">
        <f>IF(AND(ISNUMBER('자료_미국심리'!$A3444),ISNUMBER('자료_미국심리'!$B3444)),'자료_미국심리'!$A3444,"")</f>
        <v/>
      </c>
      <c r="P3460">
        <f>IF(AND(ISNUMBER('자료_미국심리'!$D3444),ISNUMBER('자료_미국심리'!$E3444)),'자료_미국심리'!$D3444,"")</f>
        <v/>
      </c>
      <c r="Q3460">
        <f>IF(AND(ISNUMBER('자료_미국심리'!$G3444),ISNUMBER('자료_미국심리'!$H3444)),'자료_미국심리'!$G3444,"")</f>
        <v/>
      </c>
    </row>
    <row r="3461">
      <c r="O3461">
        <f>IF(AND(ISNUMBER('자료_미국심리'!$A3445),ISNUMBER('자료_미국심리'!$B3445)),'자료_미국심리'!$A3445,"")</f>
        <v/>
      </c>
      <c r="P3461">
        <f>IF(AND(ISNUMBER('자료_미국심리'!$D3445),ISNUMBER('자료_미국심리'!$E3445)),'자료_미국심리'!$D3445,"")</f>
        <v/>
      </c>
      <c r="Q3461">
        <f>IF(AND(ISNUMBER('자료_미국심리'!$G3445),ISNUMBER('자료_미국심리'!$H3445)),'자료_미국심리'!$G3445,"")</f>
        <v/>
      </c>
    </row>
    <row r="3462">
      <c r="O3462">
        <f>IF(AND(ISNUMBER('자료_미국심리'!$A3446),ISNUMBER('자료_미국심리'!$B3446)),'자료_미국심리'!$A3446,"")</f>
        <v/>
      </c>
      <c r="P3462">
        <f>IF(AND(ISNUMBER('자료_미국심리'!$D3446),ISNUMBER('자료_미국심리'!$E3446)),'자료_미국심리'!$D3446,"")</f>
        <v/>
      </c>
      <c r="Q3462">
        <f>IF(AND(ISNUMBER('자료_미국심리'!$G3446),ISNUMBER('자료_미국심리'!$H3446)),'자료_미국심리'!$G3446,"")</f>
        <v/>
      </c>
    </row>
    <row r="3463">
      <c r="O3463">
        <f>IF(AND(ISNUMBER('자료_미국심리'!$A3447),ISNUMBER('자료_미국심리'!$B3447)),'자료_미국심리'!$A3447,"")</f>
        <v/>
      </c>
      <c r="P3463">
        <f>IF(AND(ISNUMBER('자료_미국심리'!$D3447),ISNUMBER('자료_미국심리'!$E3447)),'자료_미국심리'!$D3447,"")</f>
        <v/>
      </c>
      <c r="Q3463">
        <f>IF(AND(ISNUMBER('자료_미국심리'!$G3447),ISNUMBER('자료_미국심리'!$H3447)),'자료_미국심리'!$G3447,"")</f>
        <v/>
      </c>
    </row>
    <row r="3464">
      <c r="O3464">
        <f>IF(AND(ISNUMBER('자료_미국심리'!$A3448),ISNUMBER('자료_미국심리'!$B3448)),'자료_미국심리'!$A3448,"")</f>
        <v/>
      </c>
      <c r="P3464">
        <f>IF(AND(ISNUMBER('자료_미국심리'!$D3448),ISNUMBER('자료_미국심리'!$E3448)),'자료_미국심리'!$D3448,"")</f>
        <v/>
      </c>
      <c r="Q3464">
        <f>IF(AND(ISNUMBER('자료_미국심리'!$G3448),ISNUMBER('자료_미국심리'!$H3448)),'자료_미국심리'!$G3448,"")</f>
        <v/>
      </c>
    </row>
    <row r="3465">
      <c r="O3465">
        <f>IF(AND(ISNUMBER('자료_미국심리'!$A3449),ISNUMBER('자료_미국심리'!$B3449)),'자료_미국심리'!$A3449,"")</f>
        <v/>
      </c>
      <c r="P3465">
        <f>IF(AND(ISNUMBER('자료_미국심리'!$D3449),ISNUMBER('자료_미국심리'!$E3449)),'자료_미국심리'!$D3449,"")</f>
        <v/>
      </c>
      <c r="Q3465">
        <f>IF(AND(ISNUMBER('자료_미국심리'!$G3449),ISNUMBER('자료_미국심리'!$H3449)),'자료_미국심리'!$G3449,"")</f>
        <v/>
      </c>
    </row>
    <row r="3466">
      <c r="O3466">
        <f>IF(AND(ISNUMBER('자료_미국심리'!$A3450),ISNUMBER('자료_미국심리'!$B3450)),'자료_미국심리'!$A3450,"")</f>
        <v/>
      </c>
      <c r="P3466">
        <f>IF(AND(ISNUMBER('자료_미국심리'!$D3450),ISNUMBER('자료_미국심리'!$E3450)),'자료_미국심리'!$D3450,"")</f>
        <v/>
      </c>
      <c r="Q3466">
        <f>IF(AND(ISNUMBER('자료_미국심리'!$G3450),ISNUMBER('자료_미국심리'!$H3450)),'자료_미국심리'!$G3450,"")</f>
        <v/>
      </c>
    </row>
    <row r="3467">
      <c r="O3467">
        <f>IF(AND(ISNUMBER('자료_미국심리'!$A3451),ISNUMBER('자료_미국심리'!$B3451)),'자료_미국심리'!$A3451,"")</f>
        <v/>
      </c>
      <c r="P3467">
        <f>IF(AND(ISNUMBER('자료_미국심리'!$D3451),ISNUMBER('자료_미국심리'!$E3451)),'자료_미국심리'!$D3451,"")</f>
        <v/>
      </c>
      <c r="Q3467">
        <f>IF(AND(ISNUMBER('자료_미국심리'!$G3451),ISNUMBER('자료_미국심리'!$H3451)),'자료_미국심리'!$G3451,"")</f>
        <v/>
      </c>
    </row>
    <row r="3468">
      <c r="O3468">
        <f>IF(AND(ISNUMBER('자료_미국심리'!$A3452),ISNUMBER('자료_미국심리'!$B3452)),'자료_미국심리'!$A3452,"")</f>
        <v/>
      </c>
      <c r="P3468">
        <f>IF(AND(ISNUMBER('자료_미국심리'!$D3452),ISNUMBER('자료_미국심리'!$E3452)),'자료_미국심리'!$D3452,"")</f>
        <v/>
      </c>
      <c r="Q3468">
        <f>IF(AND(ISNUMBER('자료_미국심리'!$G3452),ISNUMBER('자료_미국심리'!$H3452)),'자료_미국심리'!$G3452,"")</f>
        <v/>
      </c>
    </row>
    <row r="3469">
      <c r="O3469">
        <f>IF(AND(ISNUMBER('자료_미국심리'!$A3453),ISNUMBER('자료_미국심리'!$B3453)),'자료_미국심리'!$A3453,"")</f>
        <v/>
      </c>
      <c r="P3469">
        <f>IF(AND(ISNUMBER('자료_미국심리'!$D3453),ISNUMBER('자료_미국심리'!$E3453)),'자료_미국심리'!$D3453,"")</f>
        <v/>
      </c>
      <c r="Q3469">
        <f>IF(AND(ISNUMBER('자료_미국심리'!$G3453),ISNUMBER('자료_미국심리'!$H3453)),'자료_미국심리'!$G3453,"")</f>
        <v/>
      </c>
    </row>
    <row r="3470">
      <c r="O3470">
        <f>IF(AND(ISNUMBER('자료_미국심리'!$A3454),ISNUMBER('자료_미국심리'!$B3454)),'자료_미국심리'!$A3454,"")</f>
        <v/>
      </c>
      <c r="P3470">
        <f>IF(AND(ISNUMBER('자료_미국심리'!$D3454),ISNUMBER('자료_미국심리'!$E3454)),'자료_미국심리'!$D3454,"")</f>
        <v/>
      </c>
      <c r="Q3470">
        <f>IF(AND(ISNUMBER('자료_미국심리'!$G3454),ISNUMBER('자료_미국심리'!$H3454)),'자료_미국심리'!$G3454,"")</f>
        <v/>
      </c>
    </row>
    <row r="3471">
      <c r="O3471">
        <f>IF(AND(ISNUMBER('자료_미국심리'!$A3455),ISNUMBER('자료_미국심리'!$B3455)),'자료_미국심리'!$A3455,"")</f>
        <v/>
      </c>
      <c r="P3471">
        <f>IF(AND(ISNUMBER('자료_미국심리'!$D3455),ISNUMBER('자료_미국심리'!$E3455)),'자료_미국심리'!$D3455,"")</f>
        <v/>
      </c>
      <c r="Q3471">
        <f>IF(AND(ISNUMBER('자료_미국심리'!$G3455),ISNUMBER('자료_미국심리'!$H3455)),'자료_미국심리'!$G3455,"")</f>
        <v/>
      </c>
    </row>
    <row r="3472">
      <c r="O3472">
        <f>IF(AND(ISNUMBER('자료_미국심리'!$A3456),ISNUMBER('자료_미국심리'!$B3456)),'자료_미국심리'!$A3456,"")</f>
        <v/>
      </c>
      <c r="P3472">
        <f>IF(AND(ISNUMBER('자료_미국심리'!$D3456),ISNUMBER('자료_미국심리'!$E3456)),'자료_미국심리'!$D3456,"")</f>
        <v/>
      </c>
      <c r="Q3472">
        <f>IF(AND(ISNUMBER('자료_미국심리'!$G3456),ISNUMBER('자료_미국심리'!$H3456)),'자료_미국심리'!$G3456,"")</f>
        <v/>
      </c>
    </row>
    <row r="3473">
      <c r="O3473">
        <f>IF(AND(ISNUMBER('자료_미국심리'!$A3457),ISNUMBER('자료_미국심리'!$B3457)),'자료_미국심리'!$A3457,"")</f>
        <v/>
      </c>
      <c r="P3473">
        <f>IF(AND(ISNUMBER('자료_미국심리'!$D3457),ISNUMBER('자료_미국심리'!$E3457)),'자료_미국심리'!$D3457,"")</f>
        <v/>
      </c>
      <c r="Q3473">
        <f>IF(AND(ISNUMBER('자료_미국심리'!$G3457),ISNUMBER('자료_미국심리'!$H3457)),'자료_미국심리'!$G3457,"")</f>
        <v/>
      </c>
    </row>
    <row r="3474">
      <c r="O3474">
        <f>IF(AND(ISNUMBER('자료_미국심리'!$A3458),ISNUMBER('자료_미국심리'!$B3458)),'자료_미국심리'!$A3458,"")</f>
        <v/>
      </c>
      <c r="P3474">
        <f>IF(AND(ISNUMBER('자료_미국심리'!$D3458),ISNUMBER('자료_미국심리'!$E3458)),'자료_미국심리'!$D3458,"")</f>
        <v/>
      </c>
      <c r="Q3474">
        <f>IF(AND(ISNUMBER('자료_미국심리'!$G3458),ISNUMBER('자료_미국심리'!$H3458)),'자료_미국심리'!$G3458,"")</f>
        <v/>
      </c>
    </row>
    <row r="3475">
      <c r="O3475">
        <f>IF(AND(ISNUMBER('자료_미국심리'!$A3459),ISNUMBER('자료_미국심리'!$B3459)),'자료_미국심리'!$A3459,"")</f>
        <v/>
      </c>
      <c r="P3475">
        <f>IF(AND(ISNUMBER('자료_미국심리'!$D3459),ISNUMBER('자료_미국심리'!$E3459)),'자료_미국심리'!$D3459,"")</f>
        <v/>
      </c>
      <c r="Q3475">
        <f>IF(AND(ISNUMBER('자료_미국심리'!$G3459),ISNUMBER('자료_미국심리'!$H3459)),'자료_미국심리'!$G3459,"")</f>
        <v/>
      </c>
    </row>
    <row r="3476">
      <c r="O3476">
        <f>IF(AND(ISNUMBER('자료_미국심리'!$A3460),ISNUMBER('자료_미국심리'!$B3460)),'자료_미국심리'!$A3460,"")</f>
        <v/>
      </c>
      <c r="P3476">
        <f>IF(AND(ISNUMBER('자료_미국심리'!$D3460),ISNUMBER('자료_미국심리'!$E3460)),'자료_미국심리'!$D3460,"")</f>
        <v/>
      </c>
      <c r="Q3476">
        <f>IF(AND(ISNUMBER('자료_미국심리'!$G3460),ISNUMBER('자료_미국심리'!$H3460)),'자료_미국심리'!$G3460,"")</f>
        <v/>
      </c>
    </row>
    <row r="3477">
      <c r="O3477">
        <f>IF(AND(ISNUMBER('자료_미국심리'!$A3461),ISNUMBER('자료_미국심리'!$B3461)),'자료_미국심리'!$A3461,"")</f>
        <v/>
      </c>
      <c r="P3477">
        <f>IF(AND(ISNUMBER('자료_미국심리'!$D3461),ISNUMBER('자료_미국심리'!$E3461)),'자료_미국심리'!$D3461,"")</f>
        <v/>
      </c>
      <c r="Q3477">
        <f>IF(AND(ISNUMBER('자료_미국심리'!$G3461),ISNUMBER('자료_미국심리'!$H3461)),'자료_미국심리'!$G3461,"")</f>
        <v/>
      </c>
    </row>
    <row r="3478">
      <c r="O3478">
        <f>IF(AND(ISNUMBER('자료_미국심리'!$A3462),ISNUMBER('자료_미국심리'!$B3462)),'자료_미국심리'!$A3462,"")</f>
        <v/>
      </c>
      <c r="P3478">
        <f>IF(AND(ISNUMBER('자료_미국심리'!$D3462),ISNUMBER('자료_미국심리'!$E3462)),'자료_미국심리'!$D3462,"")</f>
        <v/>
      </c>
      <c r="Q3478">
        <f>IF(AND(ISNUMBER('자료_미국심리'!$G3462),ISNUMBER('자료_미국심리'!$H3462)),'자료_미국심리'!$G3462,"")</f>
        <v/>
      </c>
    </row>
    <row r="3479">
      <c r="O3479">
        <f>IF(AND(ISNUMBER('자료_미국심리'!$A3463),ISNUMBER('자료_미국심리'!$B3463)),'자료_미국심리'!$A3463,"")</f>
        <v/>
      </c>
      <c r="P3479">
        <f>IF(AND(ISNUMBER('자료_미국심리'!$D3463),ISNUMBER('자료_미국심리'!$E3463)),'자료_미국심리'!$D3463,"")</f>
        <v/>
      </c>
      <c r="Q3479">
        <f>IF(AND(ISNUMBER('자료_미국심리'!$G3463),ISNUMBER('자료_미국심리'!$H3463)),'자료_미국심리'!$G3463,"")</f>
        <v/>
      </c>
    </row>
    <row r="3480">
      <c r="O3480">
        <f>IF(AND(ISNUMBER('자료_미국심리'!$A3464),ISNUMBER('자료_미국심리'!$B3464)),'자료_미국심리'!$A3464,"")</f>
        <v/>
      </c>
      <c r="P3480">
        <f>IF(AND(ISNUMBER('자료_미국심리'!$D3464),ISNUMBER('자료_미국심리'!$E3464)),'자료_미국심리'!$D3464,"")</f>
        <v/>
      </c>
      <c r="Q3480">
        <f>IF(AND(ISNUMBER('자료_미국심리'!$G3464),ISNUMBER('자료_미국심리'!$H3464)),'자료_미국심리'!$G3464,"")</f>
        <v/>
      </c>
    </row>
    <row r="3481">
      <c r="O3481">
        <f>IF(AND(ISNUMBER('자료_미국심리'!$A3465),ISNUMBER('자료_미국심리'!$B3465)),'자료_미국심리'!$A3465,"")</f>
        <v/>
      </c>
      <c r="P3481">
        <f>IF(AND(ISNUMBER('자료_미국심리'!$D3465),ISNUMBER('자료_미국심리'!$E3465)),'자료_미국심리'!$D3465,"")</f>
        <v/>
      </c>
      <c r="Q3481">
        <f>IF(AND(ISNUMBER('자료_미국심리'!$G3465),ISNUMBER('자료_미국심리'!$H3465)),'자료_미국심리'!$G3465,"")</f>
        <v/>
      </c>
    </row>
    <row r="3482">
      <c r="O3482">
        <f>IF(AND(ISNUMBER('자료_미국심리'!$A3466),ISNUMBER('자료_미국심리'!$B3466)),'자료_미국심리'!$A3466,"")</f>
        <v/>
      </c>
      <c r="P3482">
        <f>IF(AND(ISNUMBER('자료_미국심리'!$D3466),ISNUMBER('자료_미국심리'!$E3466)),'자료_미국심리'!$D3466,"")</f>
        <v/>
      </c>
      <c r="Q3482">
        <f>IF(AND(ISNUMBER('자료_미국심리'!$G3466),ISNUMBER('자료_미국심리'!$H3466)),'자료_미국심리'!$G3466,"")</f>
        <v/>
      </c>
    </row>
    <row r="3483">
      <c r="O3483">
        <f>IF(AND(ISNUMBER('자료_미국심리'!$A3467),ISNUMBER('자료_미국심리'!$B3467)),'자료_미국심리'!$A3467,"")</f>
        <v/>
      </c>
      <c r="P3483">
        <f>IF(AND(ISNUMBER('자료_미국심리'!$D3467),ISNUMBER('자료_미국심리'!$E3467)),'자료_미국심리'!$D3467,"")</f>
        <v/>
      </c>
      <c r="Q3483">
        <f>IF(AND(ISNUMBER('자료_미국심리'!$G3467),ISNUMBER('자료_미국심리'!$H3467)),'자료_미국심리'!$G3467,"")</f>
        <v/>
      </c>
    </row>
    <row r="3484">
      <c r="O3484">
        <f>IF(AND(ISNUMBER('자료_미국심리'!$A3468),ISNUMBER('자료_미국심리'!$B3468)),'자료_미국심리'!$A3468,"")</f>
        <v/>
      </c>
      <c r="P3484">
        <f>IF(AND(ISNUMBER('자료_미국심리'!$D3468),ISNUMBER('자료_미국심리'!$E3468)),'자료_미국심리'!$D3468,"")</f>
        <v/>
      </c>
      <c r="Q3484">
        <f>IF(AND(ISNUMBER('자료_미국심리'!$G3468),ISNUMBER('자료_미국심리'!$H3468)),'자료_미국심리'!$G3468,"")</f>
        <v/>
      </c>
    </row>
    <row r="3485">
      <c r="O3485">
        <f>IF(AND(ISNUMBER('자료_미국심리'!$A3469),ISNUMBER('자료_미국심리'!$B3469)),'자료_미국심리'!$A3469,"")</f>
        <v/>
      </c>
      <c r="P3485">
        <f>IF(AND(ISNUMBER('자료_미국심리'!$D3469),ISNUMBER('자료_미국심리'!$E3469)),'자료_미국심리'!$D3469,"")</f>
        <v/>
      </c>
      <c r="Q3485">
        <f>IF(AND(ISNUMBER('자료_미국심리'!$G3469),ISNUMBER('자료_미국심리'!$H3469)),'자료_미국심리'!$G3469,"")</f>
        <v/>
      </c>
    </row>
    <row r="3486">
      <c r="O3486">
        <f>IF(AND(ISNUMBER('자료_미국심리'!$A3470),ISNUMBER('자료_미국심리'!$B3470)),'자료_미국심리'!$A3470,"")</f>
        <v/>
      </c>
      <c r="P3486">
        <f>IF(AND(ISNUMBER('자료_미국심리'!$D3470),ISNUMBER('자료_미국심리'!$E3470)),'자료_미국심리'!$D3470,"")</f>
        <v/>
      </c>
      <c r="Q3486">
        <f>IF(AND(ISNUMBER('자료_미국심리'!$G3470),ISNUMBER('자료_미국심리'!$H3470)),'자료_미국심리'!$G3470,"")</f>
        <v/>
      </c>
    </row>
    <row r="3487">
      <c r="O3487">
        <f>IF(AND(ISNUMBER('자료_미국심리'!$A3471),ISNUMBER('자료_미국심리'!$B3471)),'자료_미국심리'!$A3471,"")</f>
        <v/>
      </c>
      <c r="P3487">
        <f>IF(AND(ISNUMBER('자료_미국심리'!$D3471),ISNUMBER('자료_미국심리'!$E3471)),'자료_미국심리'!$D3471,"")</f>
        <v/>
      </c>
      <c r="Q3487">
        <f>IF(AND(ISNUMBER('자료_미국심리'!$G3471),ISNUMBER('자료_미국심리'!$H3471)),'자료_미국심리'!$G3471,"")</f>
        <v/>
      </c>
    </row>
    <row r="3488">
      <c r="O3488">
        <f>IF(AND(ISNUMBER('자료_미국심리'!$A3472),ISNUMBER('자료_미국심리'!$B3472)),'자료_미국심리'!$A3472,"")</f>
        <v/>
      </c>
      <c r="P3488">
        <f>IF(AND(ISNUMBER('자료_미국심리'!$D3472),ISNUMBER('자료_미국심리'!$E3472)),'자료_미국심리'!$D3472,"")</f>
        <v/>
      </c>
      <c r="Q3488">
        <f>IF(AND(ISNUMBER('자료_미국심리'!$G3472),ISNUMBER('자료_미국심리'!$H3472)),'자료_미국심리'!$G3472,"")</f>
        <v/>
      </c>
    </row>
    <row r="3489">
      <c r="O3489">
        <f>IF(AND(ISNUMBER('자료_미국심리'!$A3473),ISNUMBER('자료_미국심리'!$B3473)),'자료_미국심리'!$A3473,"")</f>
        <v/>
      </c>
      <c r="P3489">
        <f>IF(AND(ISNUMBER('자료_미국심리'!$D3473),ISNUMBER('자료_미국심리'!$E3473)),'자료_미국심리'!$D3473,"")</f>
        <v/>
      </c>
      <c r="Q3489">
        <f>IF(AND(ISNUMBER('자료_미국심리'!$G3473),ISNUMBER('자료_미국심리'!$H3473)),'자료_미국심리'!$G3473,"")</f>
        <v/>
      </c>
    </row>
    <row r="3490">
      <c r="O3490">
        <f>IF(AND(ISNUMBER('자료_미국심리'!$A3474),ISNUMBER('자료_미국심리'!$B3474)),'자료_미국심리'!$A3474,"")</f>
        <v/>
      </c>
      <c r="P3490">
        <f>IF(AND(ISNUMBER('자료_미국심리'!$D3474),ISNUMBER('자료_미국심리'!$E3474)),'자료_미국심리'!$D3474,"")</f>
        <v/>
      </c>
      <c r="Q3490">
        <f>IF(AND(ISNUMBER('자료_미국심리'!$G3474),ISNUMBER('자료_미국심리'!$H3474)),'자료_미국심리'!$G3474,"")</f>
        <v/>
      </c>
    </row>
    <row r="3491">
      <c r="O3491">
        <f>IF(AND(ISNUMBER('자료_미국심리'!$A3475),ISNUMBER('자료_미국심리'!$B3475)),'자료_미국심리'!$A3475,"")</f>
        <v/>
      </c>
      <c r="P3491">
        <f>IF(AND(ISNUMBER('자료_미국심리'!$D3475),ISNUMBER('자료_미국심리'!$E3475)),'자료_미국심리'!$D3475,"")</f>
        <v/>
      </c>
      <c r="Q3491">
        <f>IF(AND(ISNUMBER('자료_미국심리'!$G3475),ISNUMBER('자료_미국심리'!$H3475)),'자료_미국심리'!$G3475,"")</f>
        <v/>
      </c>
    </row>
    <row r="3492">
      <c r="O3492">
        <f>IF(AND(ISNUMBER('자료_미국심리'!$A3476),ISNUMBER('자료_미국심리'!$B3476)),'자료_미국심리'!$A3476,"")</f>
        <v/>
      </c>
      <c r="P3492">
        <f>IF(AND(ISNUMBER('자료_미국심리'!$D3476),ISNUMBER('자료_미국심리'!$E3476)),'자료_미국심리'!$D3476,"")</f>
        <v/>
      </c>
      <c r="Q3492">
        <f>IF(AND(ISNUMBER('자료_미국심리'!$G3476),ISNUMBER('자료_미국심리'!$H3476)),'자료_미국심리'!$G3476,"")</f>
        <v/>
      </c>
    </row>
    <row r="3493">
      <c r="O3493">
        <f>IF(AND(ISNUMBER('자료_미국심리'!$A3477),ISNUMBER('자료_미국심리'!$B3477)),'자료_미국심리'!$A3477,"")</f>
        <v/>
      </c>
      <c r="P3493">
        <f>IF(AND(ISNUMBER('자료_미국심리'!$D3477),ISNUMBER('자료_미국심리'!$E3477)),'자료_미국심리'!$D3477,"")</f>
        <v/>
      </c>
      <c r="Q3493">
        <f>IF(AND(ISNUMBER('자료_미국심리'!$G3477),ISNUMBER('자료_미국심리'!$H3477)),'자료_미국심리'!$G3477,"")</f>
        <v/>
      </c>
    </row>
    <row r="3494">
      <c r="O3494">
        <f>IF(AND(ISNUMBER('자료_미국심리'!$A3478),ISNUMBER('자료_미국심리'!$B3478)),'자료_미국심리'!$A3478,"")</f>
        <v/>
      </c>
      <c r="P3494">
        <f>IF(AND(ISNUMBER('자료_미국심리'!$D3478),ISNUMBER('자료_미국심리'!$E3478)),'자료_미국심리'!$D3478,"")</f>
        <v/>
      </c>
      <c r="Q3494">
        <f>IF(AND(ISNUMBER('자료_미국심리'!$G3478),ISNUMBER('자료_미국심리'!$H3478)),'자료_미국심리'!$G3478,"")</f>
        <v/>
      </c>
    </row>
    <row r="3495">
      <c r="O3495">
        <f>IF(AND(ISNUMBER('자료_미국심리'!$A3479),ISNUMBER('자료_미국심리'!$B3479)),'자료_미국심리'!$A3479,"")</f>
        <v/>
      </c>
      <c r="P3495">
        <f>IF(AND(ISNUMBER('자료_미국심리'!$D3479),ISNUMBER('자료_미국심리'!$E3479)),'자료_미국심리'!$D3479,"")</f>
        <v/>
      </c>
      <c r="Q3495">
        <f>IF(AND(ISNUMBER('자료_미국심리'!$G3479),ISNUMBER('자료_미국심리'!$H3479)),'자료_미국심리'!$G3479,"")</f>
        <v/>
      </c>
    </row>
    <row r="3496">
      <c r="O3496">
        <f>IF(AND(ISNUMBER('자료_미국심리'!$A3480),ISNUMBER('자료_미국심리'!$B3480)),'자료_미국심리'!$A3480,"")</f>
        <v/>
      </c>
      <c r="P3496">
        <f>IF(AND(ISNUMBER('자료_미국심리'!$D3480),ISNUMBER('자료_미국심리'!$E3480)),'자료_미국심리'!$D3480,"")</f>
        <v/>
      </c>
      <c r="Q3496">
        <f>IF(AND(ISNUMBER('자료_미국심리'!$G3480),ISNUMBER('자료_미국심리'!$H3480)),'자료_미국심리'!$G3480,"")</f>
        <v/>
      </c>
    </row>
    <row r="3497">
      <c r="O3497">
        <f>IF(AND(ISNUMBER('자료_미국심리'!$A3481),ISNUMBER('자료_미국심리'!$B3481)),'자료_미국심리'!$A3481,"")</f>
        <v/>
      </c>
      <c r="P3497">
        <f>IF(AND(ISNUMBER('자료_미국심리'!$D3481),ISNUMBER('자료_미국심리'!$E3481)),'자료_미국심리'!$D3481,"")</f>
        <v/>
      </c>
      <c r="Q3497">
        <f>IF(AND(ISNUMBER('자료_미국심리'!$G3481),ISNUMBER('자료_미국심리'!$H3481)),'자료_미국심리'!$G3481,"")</f>
        <v/>
      </c>
    </row>
    <row r="3498">
      <c r="O3498">
        <f>IF(AND(ISNUMBER('자료_미국심리'!$A3482),ISNUMBER('자료_미국심리'!$B3482)),'자료_미국심리'!$A3482,"")</f>
        <v/>
      </c>
      <c r="P3498">
        <f>IF(AND(ISNUMBER('자료_미국심리'!$D3482),ISNUMBER('자료_미국심리'!$E3482)),'자료_미국심리'!$D3482,"")</f>
        <v/>
      </c>
      <c r="Q3498">
        <f>IF(AND(ISNUMBER('자료_미국심리'!$G3482),ISNUMBER('자료_미국심리'!$H3482)),'자료_미국심리'!$G3482,"")</f>
        <v/>
      </c>
    </row>
    <row r="3499">
      <c r="O3499">
        <f>IF(AND(ISNUMBER('자료_미국심리'!$A3483),ISNUMBER('자료_미국심리'!$B3483)),'자료_미국심리'!$A3483,"")</f>
        <v/>
      </c>
      <c r="P3499">
        <f>IF(AND(ISNUMBER('자료_미국심리'!$D3483),ISNUMBER('자료_미국심리'!$E3483)),'자료_미국심리'!$D3483,"")</f>
        <v/>
      </c>
      <c r="Q3499">
        <f>IF(AND(ISNUMBER('자료_미국심리'!$G3483),ISNUMBER('자료_미국심리'!$H3483)),'자료_미국심리'!$G3483,"")</f>
        <v/>
      </c>
    </row>
    <row r="3500">
      <c r="O3500">
        <f>IF(AND(ISNUMBER('자료_미국심리'!$A3484),ISNUMBER('자료_미국심리'!$B3484)),'자료_미국심리'!$A3484,"")</f>
        <v/>
      </c>
      <c r="P3500">
        <f>IF(AND(ISNUMBER('자료_미국심리'!$D3484),ISNUMBER('자료_미국심리'!$E3484)),'자료_미국심리'!$D3484,"")</f>
        <v/>
      </c>
      <c r="Q3500">
        <f>IF(AND(ISNUMBER('자료_미국심리'!$G3484),ISNUMBER('자료_미국심리'!$H3484)),'자료_미국심리'!$G3484,"")</f>
        <v/>
      </c>
    </row>
    <row r="3501">
      <c r="O3501">
        <f>IF(AND(ISNUMBER('자료_미국심리'!$A3485),ISNUMBER('자료_미국심리'!$B3485)),'자료_미국심리'!$A3485,"")</f>
        <v/>
      </c>
      <c r="P3501">
        <f>IF(AND(ISNUMBER('자료_미국심리'!$D3485),ISNUMBER('자료_미국심리'!$E3485)),'자료_미국심리'!$D3485,"")</f>
        <v/>
      </c>
      <c r="Q3501">
        <f>IF(AND(ISNUMBER('자료_미국심리'!$G3485),ISNUMBER('자료_미국심리'!$H3485)),'자료_미국심리'!$G3485,"")</f>
        <v/>
      </c>
    </row>
    <row r="3502">
      <c r="O3502">
        <f>IF(AND(ISNUMBER('자료_미국심리'!$A3486),ISNUMBER('자료_미국심리'!$B3486)),'자료_미국심리'!$A3486,"")</f>
        <v/>
      </c>
      <c r="P3502">
        <f>IF(AND(ISNUMBER('자료_미국심리'!$D3486),ISNUMBER('자료_미국심리'!$E3486)),'자료_미국심리'!$D3486,"")</f>
        <v/>
      </c>
      <c r="Q3502">
        <f>IF(AND(ISNUMBER('자료_미국심리'!$G3486),ISNUMBER('자료_미국심리'!$H3486)),'자료_미국심리'!$G3486,"")</f>
        <v/>
      </c>
    </row>
    <row r="3503">
      <c r="O3503">
        <f>IF(AND(ISNUMBER('자료_미국심리'!$A3487),ISNUMBER('자료_미국심리'!$B3487)),'자료_미국심리'!$A3487,"")</f>
        <v/>
      </c>
      <c r="P3503">
        <f>IF(AND(ISNUMBER('자료_미국심리'!$D3487),ISNUMBER('자료_미국심리'!$E3487)),'자료_미국심리'!$D3487,"")</f>
        <v/>
      </c>
      <c r="Q3503">
        <f>IF(AND(ISNUMBER('자료_미국심리'!$G3487),ISNUMBER('자료_미국심리'!$H3487)),'자료_미국심리'!$G3487,"")</f>
        <v/>
      </c>
    </row>
    <row r="3504">
      <c r="O3504">
        <f>IF(AND(ISNUMBER('자료_미국심리'!$A3488),ISNUMBER('자료_미국심리'!$B3488)),'자료_미국심리'!$A3488,"")</f>
        <v/>
      </c>
      <c r="P3504">
        <f>IF(AND(ISNUMBER('자료_미국심리'!$D3488),ISNUMBER('자료_미국심리'!$E3488)),'자료_미국심리'!$D3488,"")</f>
        <v/>
      </c>
      <c r="Q3504">
        <f>IF(AND(ISNUMBER('자료_미국심리'!$G3488),ISNUMBER('자료_미국심리'!$H3488)),'자료_미국심리'!$G3488,"")</f>
        <v/>
      </c>
    </row>
    <row r="3505">
      <c r="O3505">
        <f>IF(AND(ISNUMBER('자료_미국심리'!$A3489),ISNUMBER('자료_미국심리'!$B3489)),'자료_미국심리'!$A3489,"")</f>
        <v/>
      </c>
      <c r="P3505">
        <f>IF(AND(ISNUMBER('자료_미국심리'!$D3489),ISNUMBER('자료_미국심리'!$E3489)),'자료_미국심리'!$D3489,"")</f>
        <v/>
      </c>
      <c r="Q3505">
        <f>IF(AND(ISNUMBER('자료_미국심리'!$G3489),ISNUMBER('자료_미국심리'!$H3489)),'자료_미국심리'!$G3489,"")</f>
        <v/>
      </c>
    </row>
    <row r="3506">
      <c r="O3506">
        <f>IF(AND(ISNUMBER('자료_미국심리'!$A3490),ISNUMBER('자료_미국심리'!$B3490)),'자료_미국심리'!$A3490,"")</f>
        <v/>
      </c>
      <c r="P3506">
        <f>IF(AND(ISNUMBER('자료_미국심리'!$D3490),ISNUMBER('자료_미국심리'!$E3490)),'자료_미국심리'!$D3490,"")</f>
        <v/>
      </c>
      <c r="Q3506">
        <f>IF(AND(ISNUMBER('자료_미국심리'!$G3490),ISNUMBER('자료_미국심리'!$H3490)),'자료_미국심리'!$G3490,"")</f>
        <v/>
      </c>
    </row>
    <row r="3507">
      <c r="O3507">
        <f>IF(AND(ISNUMBER('자료_미국심리'!$A3491),ISNUMBER('자료_미국심리'!$B3491)),'자료_미국심리'!$A3491,"")</f>
        <v/>
      </c>
      <c r="P3507">
        <f>IF(AND(ISNUMBER('자료_미국심리'!$D3491),ISNUMBER('자료_미국심리'!$E3491)),'자료_미국심리'!$D3491,"")</f>
        <v/>
      </c>
      <c r="Q3507">
        <f>IF(AND(ISNUMBER('자료_미국심리'!$G3491),ISNUMBER('자료_미국심리'!$H3491)),'자료_미국심리'!$G3491,"")</f>
        <v/>
      </c>
    </row>
    <row r="3508">
      <c r="O3508">
        <f>IF(AND(ISNUMBER('자료_미국심리'!$A3492),ISNUMBER('자료_미국심리'!$B3492)),'자료_미국심리'!$A3492,"")</f>
        <v/>
      </c>
      <c r="P3508">
        <f>IF(AND(ISNUMBER('자료_미국심리'!$D3492),ISNUMBER('자료_미국심리'!$E3492)),'자료_미국심리'!$D3492,"")</f>
        <v/>
      </c>
      <c r="Q3508">
        <f>IF(AND(ISNUMBER('자료_미국심리'!$G3492),ISNUMBER('자료_미국심리'!$H3492)),'자료_미국심리'!$G3492,"")</f>
        <v/>
      </c>
    </row>
    <row r="3509">
      <c r="O3509">
        <f>IF(AND(ISNUMBER('자료_미국심리'!$A3493),ISNUMBER('자료_미국심리'!$B3493)),'자료_미국심리'!$A3493,"")</f>
        <v/>
      </c>
      <c r="P3509">
        <f>IF(AND(ISNUMBER('자료_미국심리'!$D3493),ISNUMBER('자료_미국심리'!$E3493)),'자료_미국심리'!$D3493,"")</f>
        <v/>
      </c>
      <c r="Q3509">
        <f>IF(AND(ISNUMBER('자료_미국심리'!$G3493),ISNUMBER('자료_미국심리'!$H3493)),'자료_미국심리'!$G3493,"")</f>
        <v/>
      </c>
    </row>
    <row r="3510">
      <c r="O3510">
        <f>IF(AND(ISNUMBER('자료_미국심리'!$A3494),ISNUMBER('자료_미국심리'!$B3494)),'자료_미국심리'!$A3494,"")</f>
        <v/>
      </c>
      <c r="P3510">
        <f>IF(AND(ISNUMBER('자료_미국심리'!$D3494),ISNUMBER('자료_미국심리'!$E3494)),'자료_미국심리'!$D3494,"")</f>
        <v/>
      </c>
      <c r="Q3510">
        <f>IF(AND(ISNUMBER('자료_미국심리'!$G3494),ISNUMBER('자료_미국심리'!$H3494)),'자료_미국심리'!$G3494,"")</f>
        <v/>
      </c>
    </row>
    <row r="3511">
      <c r="O3511">
        <f>IF(AND(ISNUMBER('자료_미국심리'!$A3495),ISNUMBER('자료_미국심리'!$B3495)),'자료_미국심리'!$A3495,"")</f>
        <v/>
      </c>
      <c r="P3511">
        <f>IF(AND(ISNUMBER('자료_미국심리'!$D3495),ISNUMBER('자료_미국심리'!$E3495)),'자료_미국심리'!$D3495,"")</f>
        <v/>
      </c>
      <c r="Q3511">
        <f>IF(AND(ISNUMBER('자료_미국심리'!$G3495),ISNUMBER('자료_미국심리'!$H3495)),'자료_미국심리'!$G3495,"")</f>
        <v/>
      </c>
    </row>
    <row r="3512">
      <c r="O3512">
        <f>IF(AND(ISNUMBER('자료_미국심리'!$A3496),ISNUMBER('자료_미국심리'!$B3496)),'자료_미국심리'!$A3496,"")</f>
        <v/>
      </c>
      <c r="P3512">
        <f>IF(AND(ISNUMBER('자료_미국심리'!$D3496),ISNUMBER('자료_미국심리'!$E3496)),'자료_미국심리'!$D3496,"")</f>
        <v/>
      </c>
      <c r="Q3512">
        <f>IF(AND(ISNUMBER('자료_미국심리'!$G3496),ISNUMBER('자료_미국심리'!$H3496)),'자료_미국심리'!$G3496,"")</f>
        <v/>
      </c>
    </row>
    <row r="3513">
      <c r="O3513">
        <f>IF(AND(ISNUMBER('자료_미국심리'!$A3497),ISNUMBER('자료_미국심리'!$B3497)),'자료_미국심리'!$A3497,"")</f>
        <v/>
      </c>
      <c r="P3513">
        <f>IF(AND(ISNUMBER('자료_미국심리'!$D3497),ISNUMBER('자료_미국심리'!$E3497)),'자료_미국심리'!$D3497,"")</f>
        <v/>
      </c>
      <c r="Q3513">
        <f>IF(AND(ISNUMBER('자료_미국심리'!$G3497),ISNUMBER('자료_미국심리'!$H3497)),'자료_미국심리'!$G3497,"")</f>
        <v/>
      </c>
    </row>
    <row r="3514">
      <c r="O3514">
        <f>IF(AND(ISNUMBER('자료_미국심리'!$A3498),ISNUMBER('자료_미국심리'!$B3498)),'자료_미국심리'!$A3498,"")</f>
        <v/>
      </c>
      <c r="P3514">
        <f>IF(AND(ISNUMBER('자료_미국심리'!$D3498),ISNUMBER('자료_미국심리'!$E3498)),'자료_미국심리'!$D3498,"")</f>
        <v/>
      </c>
      <c r="Q3514">
        <f>IF(AND(ISNUMBER('자료_미국심리'!$G3498),ISNUMBER('자료_미국심리'!$H3498)),'자료_미국심리'!$G3498,"")</f>
        <v/>
      </c>
    </row>
    <row r="3515">
      <c r="O3515">
        <f>IF(AND(ISNUMBER('자료_미국심리'!$A3499),ISNUMBER('자료_미국심리'!$B3499)),'자료_미국심리'!$A3499,"")</f>
        <v/>
      </c>
      <c r="P3515">
        <f>IF(AND(ISNUMBER('자료_미국심리'!$D3499),ISNUMBER('자료_미국심리'!$E3499)),'자료_미국심리'!$D3499,"")</f>
        <v/>
      </c>
      <c r="Q3515">
        <f>IF(AND(ISNUMBER('자료_미국심리'!$G3499),ISNUMBER('자료_미국심리'!$H3499)),'자료_미국심리'!$G3499,"")</f>
        <v/>
      </c>
    </row>
    <row r="3516">
      <c r="O3516">
        <f>IF(AND(ISNUMBER('자료_미국심리'!$A3500),ISNUMBER('자료_미국심리'!$B3500)),'자료_미국심리'!$A3500,"")</f>
        <v/>
      </c>
      <c r="P3516">
        <f>IF(AND(ISNUMBER('자료_미국심리'!$D3500),ISNUMBER('자료_미국심리'!$E3500)),'자료_미국심리'!$D3500,"")</f>
        <v/>
      </c>
      <c r="Q3516">
        <f>IF(AND(ISNUMBER('자료_미국심리'!$G3500),ISNUMBER('자료_미국심리'!$H3500)),'자료_미국심리'!$G3500,"")</f>
        <v/>
      </c>
    </row>
    <row r="3517">
      <c r="O3517">
        <f>IF(AND(ISNUMBER('자료_미국심리'!$A3501),ISNUMBER('자료_미국심리'!$B3501)),'자료_미국심리'!$A3501,"")</f>
        <v/>
      </c>
      <c r="P3517">
        <f>IF(AND(ISNUMBER('자료_미국심리'!$D3501),ISNUMBER('자료_미국심리'!$E3501)),'자료_미국심리'!$D3501,"")</f>
        <v/>
      </c>
      <c r="Q3517">
        <f>IF(AND(ISNUMBER('자료_미국심리'!$G3501),ISNUMBER('자료_미국심리'!$H3501)),'자료_미국심리'!$G3501,"")</f>
        <v/>
      </c>
    </row>
    <row r="3518">
      <c r="O3518">
        <f>IF(AND(ISNUMBER('자료_미국심리'!$A3502),ISNUMBER('자료_미국심리'!$B3502)),'자료_미국심리'!$A3502,"")</f>
        <v/>
      </c>
      <c r="P3518">
        <f>IF(AND(ISNUMBER('자료_미국심리'!$D3502),ISNUMBER('자료_미국심리'!$E3502)),'자료_미국심리'!$D3502,"")</f>
        <v/>
      </c>
      <c r="Q3518">
        <f>IF(AND(ISNUMBER('자료_미국심리'!$G3502),ISNUMBER('자료_미국심리'!$H3502)),'자료_미국심리'!$G3502,"")</f>
        <v/>
      </c>
    </row>
    <row r="3519">
      <c r="O3519">
        <f>IF(AND(ISNUMBER('자료_미국심리'!$A3503),ISNUMBER('자료_미국심리'!$B3503)),'자료_미국심리'!$A3503,"")</f>
        <v/>
      </c>
      <c r="P3519">
        <f>IF(AND(ISNUMBER('자료_미국심리'!$D3503),ISNUMBER('자료_미국심리'!$E3503)),'자료_미국심리'!$D3503,"")</f>
        <v/>
      </c>
      <c r="Q3519">
        <f>IF(AND(ISNUMBER('자료_미국심리'!$G3503),ISNUMBER('자료_미국심리'!$H3503)),'자료_미국심리'!$G3503,"")</f>
        <v/>
      </c>
    </row>
    <row r="3520">
      <c r="O3520">
        <f>IF(AND(ISNUMBER('자료_미국심리'!$A3504),ISNUMBER('자료_미국심리'!$B3504)),'자료_미국심리'!$A3504,"")</f>
        <v/>
      </c>
      <c r="P3520">
        <f>IF(AND(ISNUMBER('자료_미국심리'!$D3504),ISNUMBER('자료_미국심리'!$E3504)),'자료_미국심리'!$D3504,"")</f>
        <v/>
      </c>
      <c r="Q3520">
        <f>IF(AND(ISNUMBER('자료_미국심리'!$G3504),ISNUMBER('자료_미국심리'!$H3504)),'자료_미국심리'!$G3504,"")</f>
        <v/>
      </c>
    </row>
    <row r="3521">
      <c r="O3521">
        <f>IF(AND(ISNUMBER('자료_미국심리'!$A3505),ISNUMBER('자료_미국심리'!$B3505)),'자료_미국심리'!$A3505,"")</f>
        <v/>
      </c>
      <c r="P3521">
        <f>IF(AND(ISNUMBER('자료_미국심리'!$D3505),ISNUMBER('자료_미국심리'!$E3505)),'자료_미국심리'!$D3505,"")</f>
        <v/>
      </c>
      <c r="Q3521">
        <f>IF(AND(ISNUMBER('자료_미국심리'!$G3505),ISNUMBER('자료_미국심리'!$H3505)),'자료_미국심리'!$G3505,"")</f>
        <v/>
      </c>
    </row>
    <row r="3522">
      <c r="O3522">
        <f>IF(AND(ISNUMBER('자료_미국심리'!$A3506),ISNUMBER('자료_미국심리'!$B3506)),'자료_미국심리'!$A3506,"")</f>
        <v/>
      </c>
      <c r="P3522">
        <f>IF(AND(ISNUMBER('자료_미국심리'!$D3506),ISNUMBER('자료_미국심리'!$E3506)),'자료_미국심리'!$D3506,"")</f>
        <v/>
      </c>
      <c r="Q3522">
        <f>IF(AND(ISNUMBER('자료_미국심리'!$G3506),ISNUMBER('자료_미국심리'!$H3506)),'자료_미국심리'!$G3506,"")</f>
        <v/>
      </c>
    </row>
    <row r="3523">
      <c r="O3523">
        <f>IF(AND(ISNUMBER('자료_미국심리'!$A3507),ISNUMBER('자료_미국심리'!$B3507)),'자료_미국심리'!$A3507,"")</f>
        <v/>
      </c>
      <c r="P3523">
        <f>IF(AND(ISNUMBER('자료_미국심리'!$D3507),ISNUMBER('자료_미국심리'!$E3507)),'자료_미국심리'!$D3507,"")</f>
        <v/>
      </c>
      <c r="Q3523">
        <f>IF(AND(ISNUMBER('자료_미국심리'!$G3507),ISNUMBER('자료_미국심리'!$H3507)),'자료_미국심리'!$G3507,"")</f>
        <v/>
      </c>
    </row>
    <row r="3524">
      <c r="O3524">
        <f>IF(AND(ISNUMBER('자료_미국심리'!$A3508),ISNUMBER('자료_미국심리'!$B3508)),'자료_미국심리'!$A3508,"")</f>
        <v/>
      </c>
      <c r="P3524">
        <f>IF(AND(ISNUMBER('자료_미국심리'!$D3508),ISNUMBER('자료_미국심리'!$E3508)),'자료_미국심리'!$D3508,"")</f>
        <v/>
      </c>
      <c r="Q3524">
        <f>IF(AND(ISNUMBER('자료_미국심리'!$G3508),ISNUMBER('자료_미국심리'!$H3508)),'자료_미국심리'!$G3508,"")</f>
        <v/>
      </c>
    </row>
    <row r="3525">
      <c r="O3525">
        <f>IF(AND(ISNUMBER('자료_미국심리'!$A3509),ISNUMBER('자료_미국심리'!$B3509)),'자료_미국심리'!$A3509,"")</f>
        <v/>
      </c>
      <c r="P3525">
        <f>IF(AND(ISNUMBER('자료_미국심리'!$D3509),ISNUMBER('자료_미국심리'!$E3509)),'자료_미국심리'!$D3509,"")</f>
        <v/>
      </c>
      <c r="Q3525">
        <f>IF(AND(ISNUMBER('자료_미국심리'!$G3509),ISNUMBER('자료_미국심리'!$H3509)),'자료_미국심리'!$G3509,"")</f>
        <v/>
      </c>
    </row>
    <row r="3526">
      <c r="O3526">
        <f>IF(AND(ISNUMBER('자료_미국심리'!$A3510),ISNUMBER('자료_미국심리'!$B3510)),'자료_미국심리'!$A3510,"")</f>
        <v/>
      </c>
      <c r="P3526">
        <f>IF(AND(ISNUMBER('자료_미국심리'!$D3510),ISNUMBER('자료_미국심리'!$E3510)),'자료_미국심리'!$D3510,"")</f>
        <v/>
      </c>
      <c r="Q3526">
        <f>IF(AND(ISNUMBER('자료_미국심리'!$G3510),ISNUMBER('자료_미국심리'!$H3510)),'자료_미국심리'!$G3510,"")</f>
        <v/>
      </c>
    </row>
    <row r="3527">
      <c r="O3527">
        <f>IF(AND(ISNUMBER('자료_미국심리'!$A3511),ISNUMBER('자료_미국심리'!$B3511)),'자료_미국심리'!$A3511,"")</f>
        <v/>
      </c>
      <c r="P3527">
        <f>IF(AND(ISNUMBER('자료_미국심리'!$D3511),ISNUMBER('자료_미국심리'!$E3511)),'자료_미국심리'!$D3511,"")</f>
        <v/>
      </c>
      <c r="Q3527">
        <f>IF(AND(ISNUMBER('자료_미국심리'!$G3511),ISNUMBER('자료_미국심리'!$H3511)),'자료_미국심리'!$G3511,"")</f>
        <v/>
      </c>
    </row>
    <row r="3528">
      <c r="O3528">
        <f>IF(AND(ISNUMBER('자료_미국심리'!$A3512),ISNUMBER('자료_미국심리'!$B3512)),'자료_미국심리'!$A3512,"")</f>
        <v/>
      </c>
      <c r="P3528">
        <f>IF(AND(ISNUMBER('자료_미국심리'!$D3512),ISNUMBER('자료_미국심리'!$E3512)),'자료_미국심리'!$D3512,"")</f>
        <v/>
      </c>
      <c r="Q3528">
        <f>IF(AND(ISNUMBER('자료_미국심리'!$G3512),ISNUMBER('자료_미국심리'!$H3512)),'자료_미국심리'!$G3512,"")</f>
        <v/>
      </c>
    </row>
    <row r="3529">
      <c r="O3529">
        <f>IF(AND(ISNUMBER('자료_미국심리'!$A3513),ISNUMBER('자료_미국심리'!$B3513)),'자료_미국심리'!$A3513,"")</f>
        <v/>
      </c>
      <c r="P3529">
        <f>IF(AND(ISNUMBER('자료_미국심리'!$D3513),ISNUMBER('자료_미국심리'!$E3513)),'자료_미국심리'!$D3513,"")</f>
        <v/>
      </c>
      <c r="Q3529">
        <f>IF(AND(ISNUMBER('자료_미국심리'!$G3513),ISNUMBER('자료_미국심리'!$H3513)),'자료_미국심리'!$G3513,"")</f>
        <v/>
      </c>
    </row>
    <row r="3530">
      <c r="O3530">
        <f>IF(AND(ISNUMBER('자료_미국심리'!$A3514),ISNUMBER('자료_미국심리'!$B3514)),'자료_미국심리'!$A3514,"")</f>
        <v/>
      </c>
      <c r="P3530">
        <f>IF(AND(ISNUMBER('자료_미국심리'!$D3514),ISNUMBER('자료_미국심리'!$E3514)),'자료_미국심리'!$D3514,"")</f>
        <v/>
      </c>
      <c r="Q3530">
        <f>IF(AND(ISNUMBER('자료_미국심리'!$G3514),ISNUMBER('자료_미국심리'!$H3514)),'자료_미국심리'!$G3514,"")</f>
        <v/>
      </c>
    </row>
    <row r="3531">
      <c r="O3531">
        <f>IF(AND(ISNUMBER('자료_미국심리'!$A3515),ISNUMBER('자료_미국심리'!$B3515)),'자료_미국심리'!$A3515,"")</f>
        <v/>
      </c>
      <c r="P3531">
        <f>IF(AND(ISNUMBER('자료_미국심리'!$D3515),ISNUMBER('자료_미국심리'!$E3515)),'자료_미국심리'!$D3515,"")</f>
        <v/>
      </c>
      <c r="Q3531">
        <f>IF(AND(ISNUMBER('자료_미국심리'!$G3515),ISNUMBER('자료_미국심리'!$H3515)),'자료_미국심리'!$G3515,"")</f>
        <v/>
      </c>
    </row>
    <row r="3532">
      <c r="O3532">
        <f>IF(AND(ISNUMBER('자료_미국심리'!$A3516),ISNUMBER('자료_미국심리'!$B3516)),'자료_미국심리'!$A3516,"")</f>
        <v/>
      </c>
      <c r="P3532">
        <f>IF(AND(ISNUMBER('자료_미국심리'!$D3516),ISNUMBER('자료_미국심리'!$E3516)),'자료_미국심리'!$D3516,"")</f>
        <v/>
      </c>
      <c r="Q3532">
        <f>IF(AND(ISNUMBER('자료_미국심리'!$G3516),ISNUMBER('자료_미국심리'!$H3516)),'자료_미국심리'!$G3516,"")</f>
        <v/>
      </c>
    </row>
    <row r="3533">
      <c r="O3533">
        <f>IF(AND(ISNUMBER('자료_미국심리'!$A3517),ISNUMBER('자료_미국심리'!$B3517)),'자료_미국심리'!$A3517,"")</f>
        <v/>
      </c>
      <c r="P3533">
        <f>IF(AND(ISNUMBER('자료_미국심리'!$D3517),ISNUMBER('자료_미국심리'!$E3517)),'자료_미국심리'!$D3517,"")</f>
        <v/>
      </c>
      <c r="Q3533">
        <f>IF(AND(ISNUMBER('자료_미국심리'!$G3517),ISNUMBER('자료_미국심리'!$H3517)),'자료_미국심리'!$G3517,"")</f>
        <v/>
      </c>
    </row>
    <row r="3534">
      <c r="O3534">
        <f>IF(AND(ISNUMBER('자료_미국심리'!$A3518),ISNUMBER('자료_미국심리'!$B3518)),'자료_미국심리'!$A3518,"")</f>
        <v/>
      </c>
      <c r="P3534">
        <f>IF(AND(ISNUMBER('자료_미국심리'!$D3518),ISNUMBER('자료_미국심리'!$E3518)),'자료_미국심리'!$D3518,"")</f>
        <v/>
      </c>
      <c r="Q3534">
        <f>IF(AND(ISNUMBER('자료_미국심리'!$G3518),ISNUMBER('자료_미국심리'!$H3518)),'자료_미국심리'!$G3518,"")</f>
        <v/>
      </c>
    </row>
    <row r="3535">
      <c r="O3535">
        <f>IF(AND(ISNUMBER('자료_미국심리'!$A3519),ISNUMBER('자료_미국심리'!$B3519)),'자료_미국심리'!$A3519,"")</f>
        <v/>
      </c>
      <c r="P3535">
        <f>IF(AND(ISNUMBER('자료_미국심리'!$D3519),ISNUMBER('자료_미국심리'!$E3519)),'자료_미국심리'!$D3519,"")</f>
        <v/>
      </c>
      <c r="Q3535">
        <f>IF(AND(ISNUMBER('자료_미국심리'!$G3519),ISNUMBER('자료_미국심리'!$H3519)),'자료_미국심리'!$G3519,"")</f>
        <v/>
      </c>
    </row>
    <row r="3536">
      <c r="O3536">
        <f>IF(AND(ISNUMBER('자료_미국심리'!$A3520),ISNUMBER('자료_미국심리'!$B3520)),'자료_미국심리'!$A3520,"")</f>
        <v/>
      </c>
      <c r="P3536">
        <f>IF(AND(ISNUMBER('자료_미국심리'!$D3520),ISNUMBER('자료_미국심리'!$E3520)),'자료_미국심리'!$D3520,"")</f>
        <v/>
      </c>
      <c r="Q3536">
        <f>IF(AND(ISNUMBER('자료_미국심리'!$G3520),ISNUMBER('자료_미국심리'!$H3520)),'자료_미국심리'!$G3520,"")</f>
        <v/>
      </c>
    </row>
    <row r="3537">
      <c r="O3537">
        <f>IF(AND(ISNUMBER('자료_미국심리'!$A3521),ISNUMBER('자료_미국심리'!$B3521)),'자료_미국심리'!$A3521,"")</f>
        <v/>
      </c>
      <c r="P3537">
        <f>IF(AND(ISNUMBER('자료_미국심리'!$D3521),ISNUMBER('자료_미국심리'!$E3521)),'자료_미국심리'!$D3521,"")</f>
        <v/>
      </c>
      <c r="Q3537">
        <f>IF(AND(ISNUMBER('자료_미국심리'!$G3521),ISNUMBER('자료_미국심리'!$H3521)),'자료_미국심리'!$G3521,"")</f>
        <v/>
      </c>
    </row>
    <row r="3538">
      <c r="O3538">
        <f>IF(AND(ISNUMBER('자료_미국심리'!$A3522),ISNUMBER('자료_미국심리'!$B3522)),'자료_미국심리'!$A3522,"")</f>
        <v/>
      </c>
      <c r="P3538">
        <f>IF(AND(ISNUMBER('자료_미국심리'!$D3522),ISNUMBER('자료_미국심리'!$E3522)),'자료_미국심리'!$D3522,"")</f>
        <v/>
      </c>
      <c r="Q3538">
        <f>IF(AND(ISNUMBER('자료_미국심리'!$G3522),ISNUMBER('자료_미국심리'!$H3522)),'자료_미국심리'!$G3522,"")</f>
        <v/>
      </c>
    </row>
    <row r="3539">
      <c r="O3539">
        <f>IF(AND(ISNUMBER('자료_미국심리'!$A3523),ISNUMBER('자료_미국심리'!$B3523)),'자료_미국심리'!$A3523,"")</f>
        <v/>
      </c>
      <c r="P3539">
        <f>IF(AND(ISNUMBER('자료_미국심리'!$D3523),ISNUMBER('자료_미국심리'!$E3523)),'자료_미국심리'!$D3523,"")</f>
        <v/>
      </c>
      <c r="Q3539">
        <f>IF(AND(ISNUMBER('자료_미국심리'!$G3523),ISNUMBER('자료_미국심리'!$H3523)),'자료_미국심리'!$G3523,"")</f>
        <v/>
      </c>
    </row>
    <row r="3540">
      <c r="O3540">
        <f>IF(AND(ISNUMBER('자료_미국심리'!$A3524),ISNUMBER('자료_미국심리'!$B3524)),'자료_미국심리'!$A3524,"")</f>
        <v/>
      </c>
      <c r="P3540">
        <f>IF(AND(ISNUMBER('자료_미국심리'!$D3524),ISNUMBER('자료_미국심리'!$E3524)),'자료_미국심리'!$D3524,"")</f>
        <v/>
      </c>
      <c r="Q3540">
        <f>IF(AND(ISNUMBER('자료_미국심리'!$G3524),ISNUMBER('자료_미국심리'!$H3524)),'자료_미국심리'!$G3524,"")</f>
        <v/>
      </c>
    </row>
    <row r="3541">
      <c r="O3541">
        <f>IF(AND(ISNUMBER('자료_미국심리'!$A3525),ISNUMBER('자료_미국심리'!$B3525)),'자료_미국심리'!$A3525,"")</f>
        <v/>
      </c>
      <c r="P3541">
        <f>IF(AND(ISNUMBER('자료_미국심리'!$D3525),ISNUMBER('자료_미국심리'!$E3525)),'자료_미국심리'!$D3525,"")</f>
        <v/>
      </c>
      <c r="Q3541">
        <f>IF(AND(ISNUMBER('자료_미국심리'!$G3525),ISNUMBER('자료_미국심리'!$H3525)),'자료_미국심리'!$G3525,"")</f>
        <v/>
      </c>
    </row>
    <row r="3542">
      <c r="O3542">
        <f>IF(AND(ISNUMBER('자료_미국심리'!$A3526),ISNUMBER('자료_미국심리'!$B3526)),'자료_미국심리'!$A3526,"")</f>
        <v/>
      </c>
      <c r="P3542">
        <f>IF(AND(ISNUMBER('자료_미국심리'!$D3526),ISNUMBER('자료_미국심리'!$E3526)),'자료_미국심리'!$D3526,"")</f>
        <v/>
      </c>
      <c r="Q3542">
        <f>IF(AND(ISNUMBER('자료_미국심리'!$G3526),ISNUMBER('자료_미국심리'!$H3526)),'자료_미국심리'!$G3526,"")</f>
        <v/>
      </c>
    </row>
    <row r="3543">
      <c r="O3543">
        <f>IF(AND(ISNUMBER('자료_미국심리'!$A3527),ISNUMBER('자료_미국심리'!$B3527)),'자료_미국심리'!$A3527,"")</f>
        <v/>
      </c>
      <c r="P3543">
        <f>IF(AND(ISNUMBER('자료_미국심리'!$D3527),ISNUMBER('자료_미국심리'!$E3527)),'자료_미국심리'!$D3527,"")</f>
        <v/>
      </c>
      <c r="Q3543">
        <f>IF(AND(ISNUMBER('자료_미국심리'!$G3527),ISNUMBER('자료_미국심리'!$H3527)),'자료_미국심리'!$G3527,"")</f>
        <v/>
      </c>
    </row>
    <row r="3544">
      <c r="O3544">
        <f>IF(AND(ISNUMBER('자료_미국심리'!$A3528),ISNUMBER('자료_미국심리'!$B3528)),'자료_미국심리'!$A3528,"")</f>
        <v/>
      </c>
      <c r="P3544">
        <f>IF(AND(ISNUMBER('자료_미국심리'!$D3528),ISNUMBER('자료_미국심리'!$E3528)),'자료_미국심리'!$D3528,"")</f>
        <v/>
      </c>
      <c r="Q3544">
        <f>IF(AND(ISNUMBER('자료_미국심리'!$G3528),ISNUMBER('자료_미국심리'!$H3528)),'자료_미국심리'!$G3528,"")</f>
        <v/>
      </c>
    </row>
    <row r="3545">
      <c r="O3545">
        <f>IF(AND(ISNUMBER('자료_미국심리'!$A3529),ISNUMBER('자료_미국심리'!$B3529)),'자료_미국심리'!$A3529,"")</f>
        <v/>
      </c>
      <c r="P3545">
        <f>IF(AND(ISNUMBER('자료_미국심리'!$D3529),ISNUMBER('자료_미국심리'!$E3529)),'자료_미국심리'!$D3529,"")</f>
        <v/>
      </c>
      <c r="Q3545">
        <f>IF(AND(ISNUMBER('자료_미국심리'!$G3529),ISNUMBER('자료_미국심리'!$H3529)),'자료_미국심리'!$G3529,"")</f>
        <v/>
      </c>
    </row>
    <row r="3546">
      <c r="O3546">
        <f>IF(AND(ISNUMBER('자료_미국심리'!$A3530),ISNUMBER('자료_미국심리'!$B3530)),'자료_미국심리'!$A3530,"")</f>
        <v/>
      </c>
      <c r="P3546">
        <f>IF(AND(ISNUMBER('자료_미국심리'!$D3530),ISNUMBER('자료_미국심리'!$E3530)),'자료_미국심리'!$D3530,"")</f>
        <v/>
      </c>
      <c r="Q3546">
        <f>IF(AND(ISNUMBER('자료_미국심리'!$G3530),ISNUMBER('자료_미국심리'!$H3530)),'자료_미국심리'!$G3530,"")</f>
        <v/>
      </c>
    </row>
    <row r="3547">
      <c r="O3547">
        <f>IF(AND(ISNUMBER('자료_미국심리'!$A3531),ISNUMBER('자료_미국심리'!$B3531)),'자료_미국심리'!$A3531,"")</f>
        <v/>
      </c>
      <c r="P3547">
        <f>IF(AND(ISNUMBER('자료_미국심리'!$D3531),ISNUMBER('자료_미국심리'!$E3531)),'자료_미국심리'!$D3531,"")</f>
        <v/>
      </c>
      <c r="Q3547">
        <f>IF(AND(ISNUMBER('자료_미국심리'!$G3531),ISNUMBER('자료_미국심리'!$H3531)),'자료_미국심리'!$G3531,"")</f>
        <v/>
      </c>
    </row>
    <row r="3548">
      <c r="O3548">
        <f>IF(AND(ISNUMBER('자료_미국심리'!$A3532),ISNUMBER('자료_미국심리'!$B3532)),'자료_미국심리'!$A3532,"")</f>
        <v/>
      </c>
      <c r="P3548">
        <f>IF(AND(ISNUMBER('자료_미국심리'!$D3532),ISNUMBER('자료_미국심리'!$E3532)),'자료_미국심리'!$D3532,"")</f>
        <v/>
      </c>
      <c r="Q3548">
        <f>IF(AND(ISNUMBER('자료_미국심리'!$G3532),ISNUMBER('자료_미국심리'!$H3532)),'자료_미국심리'!$G3532,"")</f>
        <v/>
      </c>
    </row>
    <row r="3549">
      <c r="O3549">
        <f>IF(AND(ISNUMBER('자료_미국심리'!$A3533),ISNUMBER('자료_미국심리'!$B3533)),'자료_미국심리'!$A3533,"")</f>
        <v/>
      </c>
      <c r="P3549">
        <f>IF(AND(ISNUMBER('자료_미국심리'!$D3533),ISNUMBER('자료_미국심리'!$E3533)),'자료_미국심리'!$D3533,"")</f>
        <v/>
      </c>
      <c r="Q3549">
        <f>IF(AND(ISNUMBER('자료_미국심리'!$G3533),ISNUMBER('자료_미국심리'!$H3533)),'자료_미국심리'!$G3533,"")</f>
        <v/>
      </c>
    </row>
    <row r="3550">
      <c r="O3550">
        <f>IF(AND(ISNUMBER('자료_미국심리'!$A3534),ISNUMBER('자료_미국심리'!$B3534)),'자료_미국심리'!$A3534,"")</f>
        <v/>
      </c>
      <c r="P3550">
        <f>IF(AND(ISNUMBER('자료_미국심리'!$D3534),ISNUMBER('자료_미국심리'!$E3534)),'자료_미국심리'!$D3534,"")</f>
        <v/>
      </c>
      <c r="Q3550">
        <f>IF(AND(ISNUMBER('자료_미국심리'!$G3534),ISNUMBER('자료_미국심리'!$H3534)),'자료_미국심리'!$G3534,"")</f>
        <v/>
      </c>
    </row>
    <row r="3551">
      <c r="O3551">
        <f>IF(AND(ISNUMBER('자료_미국심리'!$A3535),ISNUMBER('자료_미국심리'!$B3535)),'자료_미국심리'!$A3535,"")</f>
        <v/>
      </c>
      <c r="P3551">
        <f>IF(AND(ISNUMBER('자료_미국심리'!$D3535),ISNUMBER('자료_미국심리'!$E3535)),'자료_미국심리'!$D3535,"")</f>
        <v/>
      </c>
      <c r="Q3551">
        <f>IF(AND(ISNUMBER('자료_미국심리'!$G3535),ISNUMBER('자료_미국심리'!$H3535)),'자료_미국심리'!$G3535,"")</f>
        <v/>
      </c>
    </row>
    <row r="3552">
      <c r="O3552">
        <f>IF(AND(ISNUMBER('자료_미국심리'!$A3536),ISNUMBER('자료_미국심리'!$B3536)),'자료_미국심리'!$A3536,"")</f>
        <v/>
      </c>
      <c r="P3552">
        <f>IF(AND(ISNUMBER('자료_미국심리'!$D3536),ISNUMBER('자료_미국심리'!$E3536)),'자료_미국심리'!$D3536,"")</f>
        <v/>
      </c>
      <c r="Q3552">
        <f>IF(AND(ISNUMBER('자료_미국심리'!$G3536),ISNUMBER('자료_미국심리'!$H3536)),'자료_미국심리'!$G3536,"")</f>
        <v/>
      </c>
    </row>
    <row r="3553">
      <c r="O3553">
        <f>IF(AND(ISNUMBER('자료_미국심리'!$A3537),ISNUMBER('자료_미국심리'!$B3537)),'자료_미국심리'!$A3537,"")</f>
        <v/>
      </c>
      <c r="P3553">
        <f>IF(AND(ISNUMBER('자료_미국심리'!$D3537),ISNUMBER('자료_미국심리'!$E3537)),'자료_미국심리'!$D3537,"")</f>
        <v/>
      </c>
      <c r="Q3553">
        <f>IF(AND(ISNUMBER('자료_미국심리'!$G3537),ISNUMBER('자료_미국심리'!$H3537)),'자료_미국심리'!$G3537,"")</f>
        <v/>
      </c>
    </row>
    <row r="3554">
      <c r="O3554">
        <f>IF(AND(ISNUMBER('자료_미국심리'!$A3538),ISNUMBER('자료_미국심리'!$B3538)),'자료_미국심리'!$A3538,"")</f>
        <v/>
      </c>
      <c r="P3554">
        <f>IF(AND(ISNUMBER('자료_미국심리'!$D3538),ISNUMBER('자료_미국심리'!$E3538)),'자료_미국심리'!$D3538,"")</f>
        <v/>
      </c>
      <c r="Q3554">
        <f>IF(AND(ISNUMBER('자료_미국심리'!$G3538),ISNUMBER('자료_미국심리'!$H3538)),'자료_미국심리'!$G3538,"")</f>
        <v/>
      </c>
    </row>
    <row r="3555">
      <c r="O3555">
        <f>IF(AND(ISNUMBER('자료_미국심리'!$A3539),ISNUMBER('자료_미국심리'!$B3539)),'자료_미국심리'!$A3539,"")</f>
        <v/>
      </c>
      <c r="P3555">
        <f>IF(AND(ISNUMBER('자료_미국심리'!$D3539),ISNUMBER('자료_미국심리'!$E3539)),'자료_미국심리'!$D3539,"")</f>
        <v/>
      </c>
      <c r="Q3555">
        <f>IF(AND(ISNUMBER('자료_미국심리'!$G3539),ISNUMBER('자료_미국심리'!$H3539)),'자료_미국심리'!$G3539,"")</f>
        <v/>
      </c>
    </row>
    <row r="3556">
      <c r="O3556">
        <f>IF(AND(ISNUMBER('자료_미국심리'!$A3540),ISNUMBER('자료_미국심리'!$B3540)),'자료_미국심리'!$A3540,"")</f>
        <v/>
      </c>
      <c r="P3556">
        <f>IF(AND(ISNUMBER('자료_미국심리'!$D3540),ISNUMBER('자료_미국심리'!$E3540)),'자료_미국심리'!$D3540,"")</f>
        <v/>
      </c>
      <c r="Q3556">
        <f>IF(AND(ISNUMBER('자료_미국심리'!$G3540),ISNUMBER('자료_미국심리'!$H3540)),'자료_미국심리'!$G3540,"")</f>
        <v/>
      </c>
    </row>
    <row r="3557">
      <c r="O3557">
        <f>IF(AND(ISNUMBER('자료_미국심리'!$A3541),ISNUMBER('자료_미국심리'!$B3541)),'자료_미국심리'!$A3541,"")</f>
        <v/>
      </c>
      <c r="P3557">
        <f>IF(AND(ISNUMBER('자료_미국심리'!$D3541),ISNUMBER('자료_미국심리'!$E3541)),'자료_미국심리'!$D3541,"")</f>
        <v/>
      </c>
      <c r="Q3557">
        <f>IF(AND(ISNUMBER('자료_미국심리'!$G3541),ISNUMBER('자료_미국심리'!$H3541)),'자료_미국심리'!$G3541,"")</f>
        <v/>
      </c>
    </row>
    <row r="3558">
      <c r="O3558">
        <f>IF(AND(ISNUMBER('자료_미국심리'!$A3542),ISNUMBER('자료_미국심리'!$B3542)),'자료_미국심리'!$A3542,"")</f>
        <v/>
      </c>
      <c r="P3558">
        <f>IF(AND(ISNUMBER('자료_미국심리'!$D3542),ISNUMBER('자료_미국심리'!$E3542)),'자료_미국심리'!$D3542,"")</f>
        <v/>
      </c>
      <c r="Q3558">
        <f>IF(AND(ISNUMBER('자료_미국심리'!$G3542),ISNUMBER('자료_미국심리'!$H3542)),'자료_미국심리'!$G3542,"")</f>
        <v/>
      </c>
    </row>
    <row r="3559">
      <c r="O3559">
        <f>IF(AND(ISNUMBER('자료_미국심리'!$A3543),ISNUMBER('자료_미국심리'!$B3543)),'자료_미국심리'!$A3543,"")</f>
        <v/>
      </c>
      <c r="P3559">
        <f>IF(AND(ISNUMBER('자료_미국심리'!$D3543),ISNUMBER('자료_미국심리'!$E3543)),'자료_미국심리'!$D3543,"")</f>
        <v/>
      </c>
      <c r="Q3559">
        <f>IF(AND(ISNUMBER('자료_미국심리'!$G3543),ISNUMBER('자료_미국심리'!$H3543)),'자료_미국심리'!$G3543,"")</f>
        <v/>
      </c>
    </row>
    <row r="3560">
      <c r="O3560">
        <f>IF(AND(ISNUMBER('자료_미국심리'!$A3544),ISNUMBER('자료_미국심리'!$B3544)),'자료_미국심리'!$A3544,"")</f>
        <v/>
      </c>
      <c r="P3560">
        <f>IF(AND(ISNUMBER('자료_미국심리'!$D3544),ISNUMBER('자료_미국심리'!$E3544)),'자료_미국심리'!$D3544,"")</f>
        <v/>
      </c>
      <c r="Q3560">
        <f>IF(AND(ISNUMBER('자료_미국심리'!$G3544),ISNUMBER('자료_미국심리'!$H3544)),'자료_미국심리'!$G3544,"")</f>
        <v/>
      </c>
    </row>
    <row r="3561">
      <c r="O3561">
        <f>IF(AND(ISNUMBER('자료_미국심리'!$A3545),ISNUMBER('자료_미국심리'!$B3545)),'자료_미국심리'!$A3545,"")</f>
        <v/>
      </c>
      <c r="P3561">
        <f>IF(AND(ISNUMBER('자료_미국심리'!$D3545),ISNUMBER('자료_미국심리'!$E3545)),'자료_미국심리'!$D3545,"")</f>
        <v/>
      </c>
      <c r="Q3561">
        <f>IF(AND(ISNUMBER('자료_미국심리'!$G3545),ISNUMBER('자료_미국심리'!$H3545)),'자료_미국심리'!$G3545,"")</f>
        <v/>
      </c>
    </row>
    <row r="3562">
      <c r="O3562">
        <f>IF(AND(ISNUMBER('자료_미국심리'!$A3546),ISNUMBER('자료_미국심리'!$B3546)),'자료_미국심리'!$A3546,"")</f>
        <v/>
      </c>
      <c r="P3562">
        <f>IF(AND(ISNUMBER('자료_미국심리'!$D3546),ISNUMBER('자료_미국심리'!$E3546)),'자료_미국심리'!$D3546,"")</f>
        <v/>
      </c>
      <c r="Q3562">
        <f>IF(AND(ISNUMBER('자료_미국심리'!$G3546),ISNUMBER('자료_미국심리'!$H3546)),'자료_미국심리'!$G3546,"")</f>
        <v/>
      </c>
    </row>
    <row r="3563">
      <c r="O3563">
        <f>IF(AND(ISNUMBER('자료_미국심리'!$A3547),ISNUMBER('자료_미국심리'!$B3547)),'자료_미국심리'!$A3547,"")</f>
        <v/>
      </c>
      <c r="P3563">
        <f>IF(AND(ISNUMBER('자료_미국심리'!$D3547),ISNUMBER('자료_미국심리'!$E3547)),'자료_미국심리'!$D3547,"")</f>
        <v/>
      </c>
      <c r="Q3563">
        <f>IF(AND(ISNUMBER('자료_미국심리'!$G3547),ISNUMBER('자료_미국심리'!$H3547)),'자료_미국심리'!$G3547,"")</f>
        <v/>
      </c>
    </row>
    <row r="3564">
      <c r="O3564">
        <f>IF(AND(ISNUMBER('자료_미국심리'!$A3548),ISNUMBER('자료_미국심리'!$B3548)),'자료_미국심리'!$A3548,"")</f>
        <v/>
      </c>
      <c r="P3564">
        <f>IF(AND(ISNUMBER('자료_미국심리'!$D3548),ISNUMBER('자료_미국심리'!$E3548)),'자료_미국심리'!$D3548,"")</f>
        <v/>
      </c>
      <c r="Q3564">
        <f>IF(AND(ISNUMBER('자료_미국심리'!$G3548),ISNUMBER('자료_미국심리'!$H3548)),'자료_미국심리'!$G3548,"")</f>
        <v/>
      </c>
    </row>
    <row r="3565">
      <c r="O3565">
        <f>IF(AND(ISNUMBER('자료_미국심리'!$A3549),ISNUMBER('자료_미국심리'!$B3549)),'자료_미국심리'!$A3549,"")</f>
        <v/>
      </c>
      <c r="P3565">
        <f>IF(AND(ISNUMBER('자료_미국심리'!$D3549),ISNUMBER('자료_미국심리'!$E3549)),'자료_미국심리'!$D3549,"")</f>
        <v/>
      </c>
      <c r="Q3565">
        <f>IF(AND(ISNUMBER('자료_미국심리'!$G3549),ISNUMBER('자료_미국심리'!$H3549)),'자료_미국심리'!$G3549,"")</f>
        <v/>
      </c>
    </row>
    <row r="3566">
      <c r="O3566">
        <f>IF(AND(ISNUMBER('자료_미국심리'!$A3550),ISNUMBER('자료_미국심리'!$B3550)),'자료_미국심리'!$A3550,"")</f>
        <v/>
      </c>
      <c r="P3566">
        <f>IF(AND(ISNUMBER('자료_미국심리'!$D3550),ISNUMBER('자료_미국심리'!$E3550)),'자료_미국심리'!$D3550,"")</f>
        <v/>
      </c>
      <c r="Q3566">
        <f>IF(AND(ISNUMBER('자료_미국심리'!$G3550),ISNUMBER('자료_미국심리'!$H3550)),'자료_미국심리'!$G3550,"")</f>
        <v/>
      </c>
    </row>
    <row r="3567">
      <c r="O3567">
        <f>IF(AND(ISNUMBER('자료_미국심리'!$A3551),ISNUMBER('자료_미국심리'!$B3551)),'자료_미국심리'!$A3551,"")</f>
        <v/>
      </c>
      <c r="P3567">
        <f>IF(AND(ISNUMBER('자료_미국심리'!$D3551),ISNUMBER('자료_미국심리'!$E3551)),'자료_미국심리'!$D3551,"")</f>
        <v/>
      </c>
      <c r="Q3567">
        <f>IF(AND(ISNUMBER('자료_미국심리'!$G3551),ISNUMBER('자료_미국심리'!$H3551)),'자료_미국심리'!$G3551,"")</f>
        <v/>
      </c>
    </row>
    <row r="3568">
      <c r="O3568">
        <f>IF(AND(ISNUMBER('자료_미국심리'!$A3552),ISNUMBER('자료_미국심리'!$B3552)),'자료_미국심리'!$A3552,"")</f>
        <v/>
      </c>
      <c r="P3568">
        <f>IF(AND(ISNUMBER('자료_미국심리'!$D3552),ISNUMBER('자료_미국심리'!$E3552)),'자료_미국심리'!$D3552,"")</f>
        <v/>
      </c>
      <c r="Q3568">
        <f>IF(AND(ISNUMBER('자료_미국심리'!$G3552),ISNUMBER('자료_미국심리'!$H3552)),'자료_미국심리'!$G3552,"")</f>
        <v/>
      </c>
    </row>
    <row r="3569">
      <c r="O3569">
        <f>IF(AND(ISNUMBER('자료_미국심리'!$A3553),ISNUMBER('자료_미국심리'!$B3553)),'자료_미국심리'!$A3553,"")</f>
        <v/>
      </c>
      <c r="P3569">
        <f>IF(AND(ISNUMBER('자료_미국심리'!$D3553),ISNUMBER('자료_미국심리'!$E3553)),'자료_미국심리'!$D3553,"")</f>
        <v/>
      </c>
      <c r="Q3569">
        <f>IF(AND(ISNUMBER('자료_미국심리'!$G3553),ISNUMBER('자료_미국심리'!$H3553)),'자료_미국심리'!$G3553,"")</f>
        <v/>
      </c>
    </row>
    <row r="3570">
      <c r="O3570">
        <f>IF(AND(ISNUMBER('자료_미국심리'!$A3554),ISNUMBER('자료_미국심리'!$B3554)),'자료_미국심리'!$A3554,"")</f>
        <v/>
      </c>
      <c r="P3570">
        <f>IF(AND(ISNUMBER('자료_미국심리'!$D3554),ISNUMBER('자료_미국심리'!$E3554)),'자료_미국심리'!$D3554,"")</f>
        <v/>
      </c>
      <c r="Q3570">
        <f>IF(AND(ISNUMBER('자료_미국심리'!$G3554),ISNUMBER('자료_미국심리'!$H3554)),'자료_미국심리'!$G3554,"")</f>
        <v/>
      </c>
    </row>
    <row r="3571">
      <c r="O3571">
        <f>IF(AND(ISNUMBER('자료_미국심리'!$A3555),ISNUMBER('자료_미국심리'!$B3555)),'자료_미국심리'!$A3555,"")</f>
        <v/>
      </c>
      <c r="P3571">
        <f>IF(AND(ISNUMBER('자료_미국심리'!$D3555),ISNUMBER('자료_미국심리'!$E3555)),'자료_미국심리'!$D3555,"")</f>
        <v/>
      </c>
      <c r="Q3571">
        <f>IF(AND(ISNUMBER('자료_미국심리'!$G3555),ISNUMBER('자료_미국심리'!$H3555)),'자료_미국심리'!$G3555,"")</f>
        <v/>
      </c>
    </row>
    <row r="3572">
      <c r="O3572">
        <f>IF(AND(ISNUMBER('자료_미국심리'!$A3556),ISNUMBER('자료_미국심리'!$B3556)),'자료_미국심리'!$A3556,"")</f>
        <v/>
      </c>
      <c r="P3572">
        <f>IF(AND(ISNUMBER('자료_미국심리'!$D3556),ISNUMBER('자료_미국심리'!$E3556)),'자료_미국심리'!$D3556,"")</f>
        <v/>
      </c>
      <c r="Q3572">
        <f>IF(AND(ISNUMBER('자료_미국심리'!$G3556),ISNUMBER('자료_미국심리'!$H3556)),'자료_미국심리'!$G3556,"")</f>
        <v/>
      </c>
    </row>
    <row r="3573">
      <c r="O3573">
        <f>IF(AND(ISNUMBER('자료_미국심리'!$A3557),ISNUMBER('자료_미국심리'!$B3557)),'자료_미국심리'!$A3557,"")</f>
        <v/>
      </c>
      <c r="P3573">
        <f>IF(AND(ISNUMBER('자료_미국심리'!$D3557),ISNUMBER('자료_미국심리'!$E3557)),'자료_미국심리'!$D3557,"")</f>
        <v/>
      </c>
      <c r="Q3573">
        <f>IF(AND(ISNUMBER('자료_미국심리'!$G3557),ISNUMBER('자료_미국심리'!$H3557)),'자료_미국심리'!$G3557,"")</f>
        <v/>
      </c>
    </row>
    <row r="3574">
      <c r="O3574">
        <f>IF(AND(ISNUMBER('자료_미국심리'!$A3558),ISNUMBER('자료_미국심리'!$B3558)),'자료_미국심리'!$A3558,"")</f>
        <v/>
      </c>
      <c r="P3574">
        <f>IF(AND(ISNUMBER('자료_미국심리'!$D3558),ISNUMBER('자료_미국심리'!$E3558)),'자료_미국심리'!$D3558,"")</f>
        <v/>
      </c>
      <c r="Q3574">
        <f>IF(AND(ISNUMBER('자료_미국심리'!$G3558),ISNUMBER('자료_미국심리'!$H3558)),'자료_미국심리'!$G3558,"")</f>
        <v/>
      </c>
    </row>
    <row r="3575">
      <c r="O3575">
        <f>IF(AND(ISNUMBER('자료_미국심리'!$A3559),ISNUMBER('자료_미국심리'!$B3559)),'자료_미국심리'!$A3559,"")</f>
        <v/>
      </c>
      <c r="P3575">
        <f>IF(AND(ISNUMBER('자료_미국심리'!$D3559),ISNUMBER('자료_미국심리'!$E3559)),'자료_미국심리'!$D3559,"")</f>
        <v/>
      </c>
      <c r="Q3575">
        <f>IF(AND(ISNUMBER('자료_미국심리'!$G3559),ISNUMBER('자료_미국심리'!$H3559)),'자료_미국심리'!$G3559,"")</f>
        <v/>
      </c>
    </row>
    <row r="3576">
      <c r="O3576">
        <f>IF(AND(ISNUMBER('자료_미국심리'!$A3560),ISNUMBER('자료_미국심리'!$B3560)),'자료_미국심리'!$A3560,"")</f>
        <v/>
      </c>
      <c r="P3576">
        <f>IF(AND(ISNUMBER('자료_미국심리'!$D3560),ISNUMBER('자료_미국심리'!$E3560)),'자료_미국심리'!$D3560,"")</f>
        <v/>
      </c>
      <c r="Q3576">
        <f>IF(AND(ISNUMBER('자료_미국심리'!$G3560),ISNUMBER('자료_미국심리'!$H3560)),'자료_미국심리'!$G3560,"")</f>
        <v/>
      </c>
    </row>
    <row r="3577">
      <c r="O3577">
        <f>IF(AND(ISNUMBER('자료_미국심리'!$A3561),ISNUMBER('자료_미국심리'!$B3561)),'자료_미국심리'!$A3561,"")</f>
        <v/>
      </c>
      <c r="P3577">
        <f>IF(AND(ISNUMBER('자료_미국심리'!$D3561),ISNUMBER('자료_미국심리'!$E3561)),'자료_미국심리'!$D3561,"")</f>
        <v/>
      </c>
      <c r="Q3577">
        <f>IF(AND(ISNUMBER('자료_미국심리'!$G3561),ISNUMBER('자료_미국심리'!$H3561)),'자료_미국심리'!$G3561,"")</f>
        <v/>
      </c>
    </row>
    <row r="3578">
      <c r="O3578">
        <f>IF(AND(ISNUMBER('자료_미국심리'!$A3562),ISNUMBER('자료_미국심리'!$B3562)),'자료_미국심리'!$A3562,"")</f>
        <v/>
      </c>
      <c r="P3578">
        <f>IF(AND(ISNUMBER('자료_미국심리'!$D3562),ISNUMBER('자료_미국심리'!$E3562)),'자료_미국심리'!$D3562,"")</f>
        <v/>
      </c>
      <c r="Q3578">
        <f>IF(AND(ISNUMBER('자료_미국심리'!$G3562),ISNUMBER('자료_미국심리'!$H3562)),'자료_미국심리'!$G3562,"")</f>
        <v/>
      </c>
    </row>
    <row r="3579">
      <c r="O3579">
        <f>IF(AND(ISNUMBER('자료_미국심리'!$A3563),ISNUMBER('자료_미국심리'!$B3563)),'자료_미국심리'!$A3563,"")</f>
        <v/>
      </c>
      <c r="P3579">
        <f>IF(AND(ISNUMBER('자료_미국심리'!$D3563),ISNUMBER('자료_미국심리'!$E3563)),'자료_미국심리'!$D3563,"")</f>
        <v/>
      </c>
      <c r="Q3579">
        <f>IF(AND(ISNUMBER('자료_미국심리'!$G3563),ISNUMBER('자료_미국심리'!$H3563)),'자료_미국심리'!$G3563,"")</f>
        <v/>
      </c>
    </row>
    <row r="3580">
      <c r="O3580">
        <f>IF(AND(ISNUMBER('자료_미국심리'!$A3564),ISNUMBER('자료_미국심리'!$B3564)),'자료_미국심리'!$A3564,"")</f>
        <v/>
      </c>
      <c r="P3580">
        <f>IF(AND(ISNUMBER('자료_미국심리'!$D3564),ISNUMBER('자료_미국심리'!$E3564)),'자료_미국심리'!$D3564,"")</f>
        <v/>
      </c>
      <c r="Q3580">
        <f>IF(AND(ISNUMBER('자료_미국심리'!$G3564),ISNUMBER('자료_미국심리'!$H3564)),'자료_미국심리'!$G3564,"")</f>
        <v/>
      </c>
    </row>
    <row r="3581">
      <c r="O3581">
        <f>IF(AND(ISNUMBER('자료_미국심리'!$A3565),ISNUMBER('자료_미국심리'!$B3565)),'자료_미국심리'!$A3565,"")</f>
        <v/>
      </c>
      <c r="P3581">
        <f>IF(AND(ISNUMBER('자료_미국심리'!$D3565),ISNUMBER('자료_미국심리'!$E3565)),'자료_미국심리'!$D3565,"")</f>
        <v/>
      </c>
      <c r="Q3581">
        <f>IF(AND(ISNUMBER('자료_미국심리'!$G3565),ISNUMBER('자료_미국심리'!$H3565)),'자료_미국심리'!$G3565,"")</f>
        <v/>
      </c>
    </row>
    <row r="3582">
      <c r="O3582">
        <f>IF(AND(ISNUMBER('자료_미국심리'!$A3566),ISNUMBER('자료_미국심리'!$B3566)),'자료_미국심리'!$A3566,"")</f>
        <v/>
      </c>
      <c r="P3582">
        <f>IF(AND(ISNUMBER('자료_미국심리'!$D3566),ISNUMBER('자료_미국심리'!$E3566)),'자료_미국심리'!$D3566,"")</f>
        <v/>
      </c>
      <c r="Q3582">
        <f>IF(AND(ISNUMBER('자료_미국심리'!$G3566),ISNUMBER('자료_미국심리'!$H3566)),'자료_미국심리'!$G3566,"")</f>
        <v/>
      </c>
    </row>
    <row r="3583">
      <c r="O3583">
        <f>IF(AND(ISNUMBER('자료_미국심리'!$A3567),ISNUMBER('자료_미국심리'!$B3567)),'자료_미국심리'!$A3567,"")</f>
        <v/>
      </c>
      <c r="P3583">
        <f>IF(AND(ISNUMBER('자료_미국심리'!$D3567),ISNUMBER('자료_미국심리'!$E3567)),'자료_미국심리'!$D3567,"")</f>
        <v/>
      </c>
      <c r="Q3583">
        <f>IF(AND(ISNUMBER('자료_미국심리'!$G3567),ISNUMBER('자료_미국심리'!$H3567)),'자료_미국심리'!$G3567,"")</f>
        <v/>
      </c>
    </row>
    <row r="3584">
      <c r="O3584">
        <f>IF(AND(ISNUMBER('자료_미국심리'!$A3568),ISNUMBER('자료_미국심리'!$B3568)),'자료_미국심리'!$A3568,"")</f>
        <v/>
      </c>
      <c r="P3584">
        <f>IF(AND(ISNUMBER('자료_미국심리'!$D3568),ISNUMBER('자료_미국심리'!$E3568)),'자료_미국심리'!$D3568,"")</f>
        <v/>
      </c>
      <c r="Q3584">
        <f>IF(AND(ISNUMBER('자료_미국심리'!$G3568),ISNUMBER('자료_미국심리'!$H3568)),'자료_미국심리'!$G3568,"")</f>
        <v/>
      </c>
    </row>
    <row r="3585">
      <c r="O3585">
        <f>IF(AND(ISNUMBER('자료_미국심리'!$A3569),ISNUMBER('자료_미국심리'!$B3569)),'자료_미국심리'!$A3569,"")</f>
        <v/>
      </c>
      <c r="P3585">
        <f>IF(AND(ISNUMBER('자료_미국심리'!$D3569),ISNUMBER('자료_미국심리'!$E3569)),'자료_미국심리'!$D3569,"")</f>
        <v/>
      </c>
      <c r="Q3585">
        <f>IF(AND(ISNUMBER('자료_미국심리'!$G3569),ISNUMBER('자료_미국심리'!$H3569)),'자료_미국심리'!$G3569,"")</f>
        <v/>
      </c>
    </row>
    <row r="3586">
      <c r="O3586">
        <f>IF(AND(ISNUMBER('자료_미국심리'!$A3570),ISNUMBER('자료_미국심리'!$B3570)),'자료_미국심리'!$A3570,"")</f>
        <v/>
      </c>
      <c r="P3586">
        <f>IF(AND(ISNUMBER('자료_미국심리'!$D3570),ISNUMBER('자료_미국심리'!$E3570)),'자료_미국심리'!$D3570,"")</f>
        <v/>
      </c>
      <c r="Q3586">
        <f>IF(AND(ISNUMBER('자료_미국심리'!$G3570),ISNUMBER('자료_미국심리'!$H3570)),'자료_미국심리'!$G3570,"")</f>
        <v/>
      </c>
    </row>
    <row r="3587">
      <c r="O3587">
        <f>IF(AND(ISNUMBER('자료_미국심리'!$A3571),ISNUMBER('자료_미국심리'!$B3571)),'자료_미국심리'!$A3571,"")</f>
        <v/>
      </c>
      <c r="P3587">
        <f>IF(AND(ISNUMBER('자료_미국심리'!$D3571),ISNUMBER('자료_미국심리'!$E3571)),'자료_미국심리'!$D3571,"")</f>
        <v/>
      </c>
      <c r="Q3587">
        <f>IF(AND(ISNUMBER('자료_미국심리'!$G3571),ISNUMBER('자료_미국심리'!$H3571)),'자료_미국심리'!$G3571,"")</f>
        <v/>
      </c>
    </row>
    <row r="3588">
      <c r="O3588">
        <f>IF(AND(ISNUMBER('자료_미국심리'!$A3572),ISNUMBER('자료_미국심리'!$B3572)),'자료_미국심리'!$A3572,"")</f>
        <v/>
      </c>
      <c r="P3588">
        <f>IF(AND(ISNUMBER('자료_미국심리'!$D3572),ISNUMBER('자료_미국심리'!$E3572)),'자료_미국심리'!$D3572,"")</f>
        <v/>
      </c>
      <c r="Q3588">
        <f>IF(AND(ISNUMBER('자료_미국심리'!$G3572),ISNUMBER('자료_미국심리'!$H3572)),'자료_미국심리'!$G3572,"")</f>
        <v/>
      </c>
    </row>
    <row r="3589">
      <c r="O3589">
        <f>IF(AND(ISNUMBER('자료_미국심리'!$A3573),ISNUMBER('자료_미국심리'!$B3573)),'자료_미국심리'!$A3573,"")</f>
        <v/>
      </c>
      <c r="P3589">
        <f>IF(AND(ISNUMBER('자료_미국심리'!$D3573),ISNUMBER('자료_미국심리'!$E3573)),'자료_미국심리'!$D3573,"")</f>
        <v/>
      </c>
      <c r="Q3589">
        <f>IF(AND(ISNUMBER('자료_미국심리'!$G3573),ISNUMBER('자료_미국심리'!$H3573)),'자료_미국심리'!$G3573,"")</f>
        <v/>
      </c>
    </row>
    <row r="3590">
      <c r="O3590">
        <f>IF(AND(ISNUMBER('자료_미국심리'!$A3574),ISNUMBER('자료_미국심리'!$B3574)),'자료_미국심리'!$A3574,"")</f>
        <v/>
      </c>
      <c r="P3590">
        <f>IF(AND(ISNUMBER('자료_미국심리'!$D3574),ISNUMBER('자료_미국심리'!$E3574)),'자료_미국심리'!$D3574,"")</f>
        <v/>
      </c>
      <c r="Q3590">
        <f>IF(AND(ISNUMBER('자료_미국심리'!$G3574),ISNUMBER('자료_미국심리'!$H3574)),'자료_미국심리'!$G3574,"")</f>
        <v/>
      </c>
    </row>
    <row r="3591">
      <c r="O3591">
        <f>IF(AND(ISNUMBER('자료_미국심리'!$A3575),ISNUMBER('자료_미국심리'!$B3575)),'자료_미국심리'!$A3575,"")</f>
        <v/>
      </c>
      <c r="P3591">
        <f>IF(AND(ISNUMBER('자료_미국심리'!$D3575),ISNUMBER('자료_미국심리'!$E3575)),'자료_미국심리'!$D3575,"")</f>
        <v/>
      </c>
      <c r="Q3591">
        <f>IF(AND(ISNUMBER('자료_미국심리'!$G3575),ISNUMBER('자료_미국심리'!$H3575)),'자료_미국심리'!$G3575,"")</f>
        <v/>
      </c>
    </row>
    <row r="3592">
      <c r="O3592">
        <f>IF(AND(ISNUMBER('자료_미국심리'!$A3576),ISNUMBER('자료_미국심리'!$B3576)),'자료_미국심리'!$A3576,"")</f>
        <v/>
      </c>
      <c r="P3592">
        <f>IF(AND(ISNUMBER('자료_미국심리'!$D3576),ISNUMBER('자료_미국심리'!$E3576)),'자료_미국심리'!$D3576,"")</f>
        <v/>
      </c>
      <c r="Q3592">
        <f>IF(AND(ISNUMBER('자료_미국심리'!$G3576),ISNUMBER('자료_미국심리'!$H3576)),'자료_미국심리'!$G3576,"")</f>
        <v/>
      </c>
    </row>
    <row r="3593">
      <c r="O3593">
        <f>IF(AND(ISNUMBER('자료_미국심리'!$A3577),ISNUMBER('자료_미국심리'!$B3577)),'자료_미국심리'!$A3577,"")</f>
        <v/>
      </c>
      <c r="P3593">
        <f>IF(AND(ISNUMBER('자료_미국심리'!$D3577),ISNUMBER('자료_미국심리'!$E3577)),'자료_미국심리'!$D3577,"")</f>
        <v/>
      </c>
      <c r="Q3593">
        <f>IF(AND(ISNUMBER('자료_미국심리'!$G3577),ISNUMBER('자료_미국심리'!$H3577)),'자료_미국심리'!$G3577,"")</f>
        <v/>
      </c>
    </row>
    <row r="3594">
      <c r="O3594">
        <f>IF(AND(ISNUMBER('자료_미국심리'!$A3578),ISNUMBER('자료_미국심리'!$B3578)),'자료_미국심리'!$A3578,"")</f>
        <v/>
      </c>
      <c r="P3594">
        <f>IF(AND(ISNUMBER('자료_미국심리'!$D3578),ISNUMBER('자료_미국심리'!$E3578)),'자료_미국심리'!$D3578,"")</f>
        <v/>
      </c>
      <c r="Q3594">
        <f>IF(AND(ISNUMBER('자료_미국심리'!$G3578),ISNUMBER('자료_미국심리'!$H3578)),'자료_미국심리'!$G3578,"")</f>
        <v/>
      </c>
    </row>
    <row r="3595">
      <c r="O3595">
        <f>IF(AND(ISNUMBER('자료_미국심리'!$A3579),ISNUMBER('자료_미국심리'!$B3579)),'자료_미국심리'!$A3579,"")</f>
        <v/>
      </c>
      <c r="P3595">
        <f>IF(AND(ISNUMBER('자료_미국심리'!$D3579),ISNUMBER('자료_미국심리'!$E3579)),'자료_미국심리'!$D3579,"")</f>
        <v/>
      </c>
      <c r="Q3595">
        <f>IF(AND(ISNUMBER('자료_미국심리'!$G3579),ISNUMBER('자료_미국심리'!$H3579)),'자료_미국심리'!$G3579,"")</f>
        <v/>
      </c>
    </row>
    <row r="3596">
      <c r="O3596">
        <f>IF(AND(ISNUMBER('자료_미국심리'!$A3580),ISNUMBER('자료_미국심리'!$B3580)),'자료_미국심리'!$A3580,"")</f>
        <v/>
      </c>
      <c r="P3596">
        <f>IF(AND(ISNUMBER('자료_미국심리'!$D3580),ISNUMBER('자료_미국심리'!$E3580)),'자료_미국심리'!$D3580,"")</f>
        <v/>
      </c>
      <c r="Q3596">
        <f>IF(AND(ISNUMBER('자료_미국심리'!$G3580),ISNUMBER('자료_미국심리'!$H3580)),'자료_미국심리'!$G3580,"")</f>
        <v/>
      </c>
    </row>
    <row r="3597">
      <c r="O3597">
        <f>IF(AND(ISNUMBER('자료_미국심리'!$A3581),ISNUMBER('자료_미국심리'!$B3581)),'자료_미국심리'!$A3581,"")</f>
        <v/>
      </c>
      <c r="P3597">
        <f>IF(AND(ISNUMBER('자료_미국심리'!$D3581),ISNUMBER('자료_미국심리'!$E3581)),'자료_미국심리'!$D3581,"")</f>
        <v/>
      </c>
      <c r="Q3597">
        <f>IF(AND(ISNUMBER('자료_미국심리'!$G3581),ISNUMBER('자료_미국심리'!$H3581)),'자료_미국심리'!$G3581,"")</f>
        <v/>
      </c>
    </row>
    <row r="3598">
      <c r="O3598">
        <f>IF(AND(ISNUMBER('자료_미국심리'!$A3582),ISNUMBER('자료_미국심리'!$B3582)),'자료_미국심리'!$A3582,"")</f>
        <v/>
      </c>
      <c r="P3598">
        <f>IF(AND(ISNUMBER('자료_미국심리'!$D3582),ISNUMBER('자료_미국심리'!$E3582)),'자료_미국심리'!$D3582,"")</f>
        <v/>
      </c>
      <c r="Q3598">
        <f>IF(AND(ISNUMBER('자료_미국심리'!$G3582),ISNUMBER('자료_미국심리'!$H3582)),'자료_미국심리'!$G3582,"")</f>
        <v/>
      </c>
    </row>
    <row r="3599">
      <c r="O3599">
        <f>IF(AND(ISNUMBER('자료_미국심리'!$A3583),ISNUMBER('자료_미국심리'!$B3583)),'자료_미국심리'!$A3583,"")</f>
        <v/>
      </c>
      <c r="P3599">
        <f>IF(AND(ISNUMBER('자료_미국심리'!$D3583),ISNUMBER('자료_미국심리'!$E3583)),'자료_미국심리'!$D3583,"")</f>
        <v/>
      </c>
      <c r="Q3599">
        <f>IF(AND(ISNUMBER('자료_미국심리'!$G3583),ISNUMBER('자료_미국심리'!$H3583)),'자료_미국심리'!$G3583,"")</f>
        <v/>
      </c>
    </row>
    <row r="3600">
      <c r="O3600">
        <f>IF(AND(ISNUMBER('자료_미국심리'!$A3584),ISNUMBER('자료_미국심리'!$B3584)),'자료_미국심리'!$A3584,"")</f>
        <v/>
      </c>
      <c r="P3600">
        <f>IF(AND(ISNUMBER('자료_미국심리'!$D3584),ISNUMBER('자료_미국심리'!$E3584)),'자료_미국심리'!$D3584,"")</f>
        <v/>
      </c>
      <c r="Q3600">
        <f>IF(AND(ISNUMBER('자료_미국심리'!$G3584),ISNUMBER('자료_미국심리'!$H3584)),'자료_미국심리'!$G3584,"")</f>
        <v/>
      </c>
    </row>
    <row r="3601">
      <c r="O3601">
        <f>IF(AND(ISNUMBER('자료_미국심리'!$A3585),ISNUMBER('자료_미국심리'!$B3585)),'자료_미국심리'!$A3585,"")</f>
        <v/>
      </c>
      <c r="P3601">
        <f>IF(AND(ISNUMBER('자료_미국심리'!$D3585),ISNUMBER('자료_미국심리'!$E3585)),'자료_미국심리'!$D3585,"")</f>
        <v/>
      </c>
      <c r="Q3601">
        <f>IF(AND(ISNUMBER('자료_미국심리'!$G3585),ISNUMBER('자료_미국심리'!$H3585)),'자료_미국심리'!$G3585,"")</f>
        <v/>
      </c>
    </row>
    <row r="3602">
      <c r="O3602">
        <f>IF(AND(ISNUMBER('자료_미국심리'!$A3586),ISNUMBER('자료_미국심리'!$B3586)),'자료_미국심리'!$A3586,"")</f>
        <v/>
      </c>
      <c r="P3602">
        <f>IF(AND(ISNUMBER('자료_미국심리'!$D3586),ISNUMBER('자료_미국심리'!$E3586)),'자료_미국심리'!$D3586,"")</f>
        <v/>
      </c>
      <c r="Q3602">
        <f>IF(AND(ISNUMBER('자료_미국심리'!$G3586),ISNUMBER('자료_미국심리'!$H3586)),'자료_미국심리'!$G3586,"")</f>
        <v/>
      </c>
    </row>
    <row r="3603">
      <c r="O3603">
        <f>IF(AND(ISNUMBER('자료_미국심리'!$A3587),ISNUMBER('자료_미국심리'!$B3587)),'자료_미국심리'!$A3587,"")</f>
        <v/>
      </c>
      <c r="P3603">
        <f>IF(AND(ISNUMBER('자료_미국심리'!$D3587),ISNUMBER('자료_미국심리'!$E3587)),'자료_미국심리'!$D3587,"")</f>
        <v/>
      </c>
      <c r="Q3603">
        <f>IF(AND(ISNUMBER('자료_미국심리'!$G3587),ISNUMBER('자료_미국심리'!$H3587)),'자료_미국심리'!$G3587,"")</f>
        <v/>
      </c>
    </row>
    <row r="3604">
      <c r="O3604">
        <f>IF(AND(ISNUMBER('자료_미국심리'!$A3588),ISNUMBER('자료_미국심리'!$B3588)),'자료_미국심리'!$A3588,"")</f>
        <v/>
      </c>
      <c r="P3604">
        <f>IF(AND(ISNUMBER('자료_미국심리'!$D3588),ISNUMBER('자료_미국심리'!$E3588)),'자료_미국심리'!$D3588,"")</f>
        <v/>
      </c>
      <c r="Q3604">
        <f>IF(AND(ISNUMBER('자료_미국심리'!$G3588),ISNUMBER('자료_미국심리'!$H3588)),'자료_미국심리'!$G3588,"")</f>
        <v/>
      </c>
    </row>
    <row r="3605">
      <c r="O3605">
        <f>IF(AND(ISNUMBER('자료_미국심리'!$A3589),ISNUMBER('자료_미국심리'!$B3589)),'자료_미국심리'!$A3589,"")</f>
        <v/>
      </c>
      <c r="P3605">
        <f>IF(AND(ISNUMBER('자료_미국심리'!$D3589),ISNUMBER('자료_미국심리'!$E3589)),'자료_미국심리'!$D3589,"")</f>
        <v/>
      </c>
      <c r="Q3605">
        <f>IF(AND(ISNUMBER('자료_미국심리'!$G3589),ISNUMBER('자료_미국심리'!$H3589)),'자료_미국심리'!$G3589,"")</f>
        <v/>
      </c>
    </row>
    <row r="3606">
      <c r="O3606">
        <f>IF(AND(ISNUMBER('자료_미국심리'!$A3590),ISNUMBER('자료_미국심리'!$B3590)),'자료_미국심리'!$A3590,"")</f>
        <v/>
      </c>
      <c r="P3606">
        <f>IF(AND(ISNUMBER('자료_미국심리'!$D3590),ISNUMBER('자료_미국심리'!$E3590)),'자료_미국심리'!$D3590,"")</f>
        <v/>
      </c>
      <c r="Q3606">
        <f>IF(AND(ISNUMBER('자료_미국심리'!$G3590),ISNUMBER('자료_미국심리'!$H3590)),'자료_미국심리'!$G3590,"")</f>
        <v/>
      </c>
    </row>
    <row r="3607">
      <c r="O3607">
        <f>IF(AND(ISNUMBER('자료_미국심리'!$A3591),ISNUMBER('자료_미국심리'!$B3591)),'자료_미국심리'!$A3591,"")</f>
        <v/>
      </c>
      <c r="P3607">
        <f>IF(AND(ISNUMBER('자료_미국심리'!$D3591),ISNUMBER('자료_미국심리'!$E3591)),'자료_미국심리'!$D3591,"")</f>
        <v/>
      </c>
      <c r="Q3607">
        <f>IF(AND(ISNUMBER('자료_미국심리'!$G3591),ISNUMBER('자료_미국심리'!$H3591)),'자료_미국심리'!$G3591,"")</f>
        <v/>
      </c>
    </row>
    <row r="3608">
      <c r="O3608">
        <f>IF(AND(ISNUMBER('자료_미국심리'!$A3592),ISNUMBER('자료_미국심리'!$B3592)),'자료_미국심리'!$A3592,"")</f>
        <v/>
      </c>
      <c r="P3608">
        <f>IF(AND(ISNUMBER('자료_미국심리'!$D3592),ISNUMBER('자료_미국심리'!$E3592)),'자료_미국심리'!$D3592,"")</f>
        <v/>
      </c>
      <c r="Q3608">
        <f>IF(AND(ISNUMBER('자료_미국심리'!$G3592),ISNUMBER('자료_미국심리'!$H3592)),'자료_미국심리'!$G3592,"")</f>
        <v/>
      </c>
    </row>
    <row r="3609">
      <c r="O3609">
        <f>IF(AND(ISNUMBER('자료_미국심리'!$A3593),ISNUMBER('자료_미국심리'!$B3593)),'자료_미국심리'!$A3593,"")</f>
        <v/>
      </c>
      <c r="P3609">
        <f>IF(AND(ISNUMBER('자료_미국심리'!$D3593),ISNUMBER('자료_미국심리'!$E3593)),'자료_미국심리'!$D3593,"")</f>
        <v/>
      </c>
      <c r="Q3609">
        <f>IF(AND(ISNUMBER('자료_미국심리'!$G3593),ISNUMBER('자료_미국심리'!$H3593)),'자료_미국심리'!$G3593,"")</f>
        <v/>
      </c>
    </row>
    <row r="3610">
      <c r="O3610">
        <f>IF(AND(ISNUMBER('자료_미국심리'!$A3594),ISNUMBER('자료_미국심리'!$B3594)),'자료_미국심리'!$A3594,"")</f>
        <v/>
      </c>
      <c r="P3610">
        <f>IF(AND(ISNUMBER('자료_미국심리'!$D3594),ISNUMBER('자료_미국심리'!$E3594)),'자료_미국심리'!$D3594,"")</f>
        <v/>
      </c>
      <c r="Q3610">
        <f>IF(AND(ISNUMBER('자료_미국심리'!$G3594),ISNUMBER('자료_미국심리'!$H3594)),'자료_미국심리'!$G3594,"")</f>
        <v/>
      </c>
    </row>
    <row r="3611">
      <c r="O3611">
        <f>IF(AND(ISNUMBER('자료_미국심리'!$A3595),ISNUMBER('자료_미국심리'!$B3595)),'자료_미국심리'!$A3595,"")</f>
        <v/>
      </c>
      <c r="P3611">
        <f>IF(AND(ISNUMBER('자료_미국심리'!$D3595),ISNUMBER('자료_미국심리'!$E3595)),'자료_미국심리'!$D3595,"")</f>
        <v/>
      </c>
      <c r="Q3611">
        <f>IF(AND(ISNUMBER('자료_미국심리'!$G3595),ISNUMBER('자료_미국심리'!$H3595)),'자료_미국심리'!$G3595,"")</f>
        <v/>
      </c>
    </row>
    <row r="3612">
      <c r="O3612">
        <f>IF(AND(ISNUMBER('자료_미국심리'!$A3596),ISNUMBER('자료_미국심리'!$B3596)),'자료_미국심리'!$A3596,"")</f>
        <v/>
      </c>
      <c r="P3612">
        <f>IF(AND(ISNUMBER('자료_미국심리'!$D3596),ISNUMBER('자료_미국심리'!$E3596)),'자료_미국심리'!$D3596,"")</f>
        <v/>
      </c>
      <c r="Q3612">
        <f>IF(AND(ISNUMBER('자료_미국심리'!$G3596),ISNUMBER('자료_미국심리'!$H3596)),'자료_미국심리'!$G3596,"")</f>
        <v/>
      </c>
    </row>
    <row r="3613">
      <c r="O3613">
        <f>IF(AND(ISNUMBER('자료_미국심리'!$A3597),ISNUMBER('자료_미국심리'!$B3597)),'자료_미국심리'!$A3597,"")</f>
        <v/>
      </c>
      <c r="P3613">
        <f>IF(AND(ISNUMBER('자료_미국심리'!$D3597),ISNUMBER('자료_미국심리'!$E3597)),'자료_미국심리'!$D3597,"")</f>
        <v/>
      </c>
      <c r="Q3613">
        <f>IF(AND(ISNUMBER('자료_미국심리'!$G3597),ISNUMBER('자료_미국심리'!$H3597)),'자료_미국심리'!$G3597,"")</f>
        <v/>
      </c>
    </row>
    <row r="3614">
      <c r="O3614">
        <f>IF(AND(ISNUMBER('자료_미국심리'!$A3598),ISNUMBER('자료_미국심리'!$B3598)),'자료_미국심리'!$A3598,"")</f>
        <v/>
      </c>
      <c r="P3614">
        <f>IF(AND(ISNUMBER('자료_미국심리'!$D3598),ISNUMBER('자료_미국심리'!$E3598)),'자료_미국심리'!$D3598,"")</f>
        <v/>
      </c>
      <c r="Q3614">
        <f>IF(AND(ISNUMBER('자료_미국심리'!$G3598),ISNUMBER('자료_미국심리'!$H3598)),'자료_미국심리'!$G3598,"")</f>
        <v/>
      </c>
    </row>
    <row r="3615">
      <c r="O3615">
        <f>IF(AND(ISNUMBER('자료_미국심리'!$A3599),ISNUMBER('자료_미국심리'!$B3599)),'자료_미국심리'!$A3599,"")</f>
        <v/>
      </c>
      <c r="P3615">
        <f>IF(AND(ISNUMBER('자료_미국심리'!$D3599),ISNUMBER('자료_미국심리'!$E3599)),'자료_미국심리'!$D3599,"")</f>
        <v/>
      </c>
      <c r="Q3615">
        <f>IF(AND(ISNUMBER('자료_미국심리'!$G3599),ISNUMBER('자료_미국심리'!$H3599)),'자료_미국심리'!$G3599,"")</f>
        <v/>
      </c>
    </row>
    <row r="3616">
      <c r="O3616">
        <f>IF(AND(ISNUMBER('자료_미국심리'!$A3600),ISNUMBER('자료_미국심리'!$B3600)),'자료_미국심리'!$A3600,"")</f>
        <v/>
      </c>
      <c r="P3616">
        <f>IF(AND(ISNUMBER('자료_미국심리'!$D3600),ISNUMBER('자료_미국심리'!$E3600)),'자료_미국심리'!$D3600,"")</f>
        <v/>
      </c>
      <c r="Q3616">
        <f>IF(AND(ISNUMBER('자료_미국심리'!$G3600),ISNUMBER('자료_미국심리'!$H3600)),'자료_미국심리'!$G3600,"")</f>
        <v/>
      </c>
    </row>
    <row r="3617">
      <c r="O3617">
        <f>IF(AND(ISNUMBER('자료_미국심리'!$A3601),ISNUMBER('자료_미국심리'!$B3601)),'자료_미국심리'!$A3601,"")</f>
        <v/>
      </c>
      <c r="P3617">
        <f>IF(AND(ISNUMBER('자료_미국심리'!$D3601),ISNUMBER('자료_미국심리'!$E3601)),'자료_미국심리'!$D3601,"")</f>
        <v/>
      </c>
      <c r="Q3617">
        <f>IF(AND(ISNUMBER('자료_미국심리'!$G3601),ISNUMBER('자료_미국심리'!$H3601)),'자료_미국심리'!$G3601,"")</f>
        <v/>
      </c>
    </row>
    <row r="3618">
      <c r="O3618">
        <f>IF(AND(ISNUMBER('자료_미국심리'!$A3602),ISNUMBER('자료_미국심리'!$B3602)),'자료_미국심리'!$A3602,"")</f>
        <v/>
      </c>
      <c r="P3618">
        <f>IF(AND(ISNUMBER('자료_미국심리'!$D3602),ISNUMBER('자료_미국심리'!$E3602)),'자료_미국심리'!$D3602,"")</f>
        <v/>
      </c>
      <c r="Q3618">
        <f>IF(AND(ISNUMBER('자료_미국심리'!$G3602),ISNUMBER('자료_미국심리'!$H3602)),'자료_미국심리'!$G3602,"")</f>
        <v/>
      </c>
    </row>
    <row r="3619">
      <c r="O3619">
        <f>IF(AND(ISNUMBER('자료_미국심리'!$A3603),ISNUMBER('자료_미국심리'!$B3603)),'자료_미국심리'!$A3603,"")</f>
        <v/>
      </c>
      <c r="P3619">
        <f>IF(AND(ISNUMBER('자료_미국심리'!$D3603),ISNUMBER('자료_미국심리'!$E3603)),'자료_미국심리'!$D3603,"")</f>
        <v/>
      </c>
      <c r="Q3619">
        <f>IF(AND(ISNUMBER('자료_미국심리'!$G3603),ISNUMBER('자료_미국심리'!$H3603)),'자료_미국심리'!$G3603,"")</f>
        <v/>
      </c>
    </row>
    <row r="3620">
      <c r="O3620">
        <f>IF(AND(ISNUMBER('자료_미국심리'!$A3604),ISNUMBER('자료_미국심리'!$B3604)),'자료_미국심리'!$A3604,"")</f>
        <v/>
      </c>
      <c r="P3620">
        <f>IF(AND(ISNUMBER('자료_미국심리'!$D3604),ISNUMBER('자료_미국심리'!$E3604)),'자료_미국심리'!$D3604,"")</f>
        <v/>
      </c>
      <c r="Q3620">
        <f>IF(AND(ISNUMBER('자료_미국심리'!$G3604),ISNUMBER('자료_미국심리'!$H3604)),'자료_미국심리'!$G3604,"")</f>
        <v/>
      </c>
    </row>
    <row r="3621">
      <c r="O3621">
        <f>IF(AND(ISNUMBER('자료_미국심리'!$A3605),ISNUMBER('자료_미국심리'!$B3605)),'자료_미국심리'!$A3605,"")</f>
        <v/>
      </c>
      <c r="P3621">
        <f>IF(AND(ISNUMBER('자료_미국심리'!$D3605),ISNUMBER('자료_미국심리'!$E3605)),'자료_미국심리'!$D3605,"")</f>
        <v/>
      </c>
      <c r="Q3621">
        <f>IF(AND(ISNUMBER('자료_미국심리'!$G3605),ISNUMBER('자료_미국심리'!$H3605)),'자료_미국심리'!$G3605,"")</f>
        <v/>
      </c>
    </row>
    <row r="3622">
      <c r="O3622">
        <f>IF(AND(ISNUMBER('자료_미국심리'!$A3606),ISNUMBER('자료_미국심리'!$B3606)),'자료_미국심리'!$A3606,"")</f>
        <v/>
      </c>
      <c r="P3622">
        <f>IF(AND(ISNUMBER('자료_미국심리'!$D3606),ISNUMBER('자료_미국심리'!$E3606)),'자료_미국심리'!$D3606,"")</f>
        <v/>
      </c>
      <c r="Q3622">
        <f>IF(AND(ISNUMBER('자료_미국심리'!$G3606),ISNUMBER('자료_미국심리'!$H3606)),'자료_미국심리'!$G3606,"")</f>
        <v/>
      </c>
    </row>
    <row r="3623">
      <c r="O3623">
        <f>IF(AND(ISNUMBER('자료_미국심리'!$A3607),ISNUMBER('자료_미국심리'!$B3607)),'자료_미국심리'!$A3607,"")</f>
        <v/>
      </c>
      <c r="P3623">
        <f>IF(AND(ISNUMBER('자료_미국심리'!$D3607),ISNUMBER('자료_미국심리'!$E3607)),'자료_미국심리'!$D3607,"")</f>
        <v/>
      </c>
      <c r="Q3623">
        <f>IF(AND(ISNUMBER('자료_미국심리'!$G3607),ISNUMBER('자료_미국심리'!$H3607)),'자료_미국심리'!$G3607,"")</f>
        <v/>
      </c>
    </row>
    <row r="3624">
      <c r="O3624">
        <f>IF(AND(ISNUMBER('자료_미국심리'!$A3608),ISNUMBER('자료_미국심리'!$B3608)),'자료_미국심리'!$A3608,"")</f>
        <v/>
      </c>
      <c r="P3624">
        <f>IF(AND(ISNUMBER('자료_미국심리'!$D3608),ISNUMBER('자료_미국심리'!$E3608)),'자료_미국심리'!$D3608,"")</f>
        <v/>
      </c>
      <c r="Q3624">
        <f>IF(AND(ISNUMBER('자료_미국심리'!$G3608),ISNUMBER('자료_미국심리'!$H3608)),'자료_미국심리'!$G3608,"")</f>
        <v/>
      </c>
    </row>
    <row r="3625">
      <c r="O3625">
        <f>IF(AND(ISNUMBER('자료_미국심리'!$A3609),ISNUMBER('자료_미국심리'!$B3609)),'자료_미국심리'!$A3609,"")</f>
        <v/>
      </c>
      <c r="P3625">
        <f>IF(AND(ISNUMBER('자료_미국심리'!$D3609),ISNUMBER('자료_미국심리'!$E3609)),'자료_미국심리'!$D3609,"")</f>
        <v/>
      </c>
      <c r="Q3625">
        <f>IF(AND(ISNUMBER('자료_미국심리'!$G3609),ISNUMBER('자료_미국심리'!$H3609)),'자료_미국심리'!$G3609,"")</f>
        <v/>
      </c>
    </row>
    <row r="3626">
      <c r="O3626">
        <f>IF(AND(ISNUMBER('자료_미국심리'!$A3610),ISNUMBER('자료_미국심리'!$B3610)),'자료_미국심리'!$A3610,"")</f>
        <v/>
      </c>
      <c r="P3626">
        <f>IF(AND(ISNUMBER('자료_미국심리'!$D3610),ISNUMBER('자료_미국심리'!$E3610)),'자료_미국심리'!$D3610,"")</f>
        <v/>
      </c>
      <c r="Q3626">
        <f>IF(AND(ISNUMBER('자료_미국심리'!$G3610),ISNUMBER('자료_미국심리'!$H3610)),'자료_미국심리'!$G3610,"")</f>
        <v/>
      </c>
    </row>
    <row r="3627">
      <c r="O3627">
        <f>IF(AND(ISNUMBER('자료_미국심리'!$A3611),ISNUMBER('자료_미국심리'!$B3611)),'자료_미국심리'!$A3611,"")</f>
        <v/>
      </c>
      <c r="P3627">
        <f>IF(AND(ISNUMBER('자료_미국심리'!$D3611),ISNUMBER('자료_미국심리'!$E3611)),'자료_미국심리'!$D3611,"")</f>
        <v/>
      </c>
      <c r="Q3627">
        <f>IF(AND(ISNUMBER('자료_미국심리'!$G3611),ISNUMBER('자료_미국심리'!$H3611)),'자료_미국심리'!$G3611,"")</f>
        <v/>
      </c>
    </row>
    <row r="3628">
      <c r="O3628">
        <f>IF(AND(ISNUMBER('자료_미국심리'!$A3612),ISNUMBER('자료_미국심리'!$B3612)),'자료_미국심리'!$A3612,"")</f>
        <v/>
      </c>
      <c r="P3628">
        <f>IF(AND(ISNUMBER('자료_미국심리'!$D3612),ISNUMBER('자료_미국심리'!$E3612)),'자료_미국심리'!$D3612,"")</f>
        <v/>
      </c>
      <c r="Q3628">
        <f>IF(AND(ISNUMBER('자료_미국심리'!$G3612),ISNUMBER('자료_미국심리'!$H3612)),'자료_미국심리'!$G3612,"")</f>
        <v/>
      </c>
    </row>
    <row r="3629">
      <c r="O3629">
        <f>IF(AND(ISNUMBER('자료_미국심리'!$A3613),ISNUMBER('자료_미국심리'!$B3613)),'자료_미국심리'!$A3613,"")</f>
        <v/>
      </c>
      <c r="P3629">
        <f>IF(AND(ISNUMBER('자료_미국심리'!$D3613),ISNUMBER('자료_미국심리'!$E3613)),'자료_미국심리'!$D3613,"")</f>
        <v/>
      </c>
      <c r="Q3629">
        <f>IF(AND(ISNUMBER('자료_미국심리'!$G3613),ISNUMBER('자료_미국심리'!$H3613)),'자료_미국심리'!$G3613,"")</f>
        <v/>
      </c>
    </row>
    <row r="3630">
      <c r="O3630">
        <f>IF(AND(ISNUMBER('자료_미국심리'!$A3614),ISNUMBER('자료_미국심리'!$B3614)),'자료_미국심리'!$A3614,"")</f>
        <v/>
      </c>
      <c r="P3630">
        <f>IF(AND(ISNUMBER('자료_미국심리'!$D3614),ISNUMBER('자료_미국심리'!$E3614)),'자료_미국심리'!$D3614,"")</f>
        <v/>
      </c>
      <c r="Q3630">
        <f>IF(AND(ISNUMBER('자료_미국심리'!$G3614),ISNUMBER('자료_미국심리'!$H3614)),'자료_미국심리'!$G3614,"")</f>
        <v/>
      </c>
    </row>
    <row r="3631">
      <c r="O3631">
        <f>IF(AND(ISNUMBER('자료_미국심리'!$A3615),ISNUMBER('자료_미국심리'!$B3615)),'자료_미국심리'!$A3615,"")</f>
        <v/>
      </c>
      <c r="P3631">
        <f>IF(AND(ISNUMBER('자료_미국심리'!$D3615),ISNUMBER('자료_미국심리'!$E3615)),'자료_미국심리'!$D3615,"")</f>
        <v/>
      </c>
      <c r="Q3631">
        <f>IF(AND(ISNUMBER('자료_미국심리'!$G3615),ISNUMBER('자료_미국심리'!$H3615)),'자료_미국심리'!$G3615,"")</f>
        <v/>
      </c>
    </row>
    <row r="3632">
      <c r="O3632">
        <f>IF(AND(ISNUMBER('자료_미국심리'!$A3616),ISNUMBER('자료_미국심리'!$B3616)),'자료_미국심리'!$A3616,"")</f>
        <v/>
      </c>
      <c r="P3632">
        <f>IF(AND(ISNUMBER('자료_미국심리'!$D3616),ISNUMBER('자료_미국심리'!$E3616)),'자료_미국심리'!$D3616,"")</f>
        <v/>
      </c>
      <c r="Q3632">
        <f>IF(AND(ISNUMBER('자료_미국심리'!$G3616),ISNUMBER('자료_미국심리'!$H3616)),'자료_미국심리'!$G3616,"")</f>
        <v/>
      </c>
    </row>
    <row r="3633">
      <c r="O3633">
        <f>IF(AND(ISNUMBER('자료_미국심리'!$A3617),ISNUMBER('자료_미국심리'!$B3617)),'자료_미국심리'!$A3617,"")</f>
        <v/>
      </c>
      <c r="P3633">
        <f>IF(AND(ISNUMBER('자료_미국심리'!$D3617),ISNUMBER('자료_미국심리'!$E3617)),'자료_미국심리'!$D3617,"")</f>
        <v/>
      </c>
      <c r="Q3633">
        <f>IF(AND(ISNUMBER('자료_미국심리'!$G3617),ISNUMBER('자료_미국심리'!$H3617)),'자료_미국심리'!$G3617,"")</f>
        <v/>
      </c>
    </row>
    <row r="3634">
      <c r="O3634">
        <f>IF(AND(ISNUMBER('자료_미국심리'!$A3618),ISNUMBER('자료_미국심리'!$B3618)),'자료_미국심리'!$A3618,"")</f>
        <v/>
      </c>
      <c r="P3634">
        <f>IF(AND(ISNUMBER('자료_미국심리'!$D3618),ISNUMBER('자료_미국심리'!$E3618)),'자료_미국심리'!$D3618,"")</f>
        <v/>
      </c>
      <c r="Q3634">
        <f>IF(AND(ISNUMBER('자료_미국심리'!$G3618),ISNUMBER('자료_미국심리'!$H3618)),'자료_미국심리'!$G3618,"")</f>
        <v/>
      </c>
    </row>
    <row r="3635">
      <c r="O3635">
        <f>IF(AND(ISNUMBER('자료_미국심리'!$A3619),ISNUMBER('자료_미국심리'!$B3619)),'자료_미국심리'!$A3619,"")</f>
        <v/>
      </c>
      <c r="P3635">
        <f>IF(AND(ISNUMBER('자료_미국심리'!$D3619),ISNUMBER('자료_미국심리'!$E3619)),'자료_미국심리'!$D3619,"")</f>
        <v/>
      </c>
      <c r="Q3635">
        <f>IF(AND(ISNUMBER('자료_미국심리'!$G3619),ISNUMBER('자료_미국심리'!$H3619)),'자료_미국심리'!$G3619,"")</f>
        <v/>
      </c>
    </row>
    <row r="3636">
      <c r="O3636">
        <f>IF(AND(ISNUMBER('자료_미국심리'!$A3620),ISNUMBER('자료_미국심리'!$B3620)),'자료_미국심리'!$A3620,"")</f>
        <v/>
      </c>
      <c r="P3636">
        <f>IF(AND(ISNUMBER('자료_미국심리'!$D3620),ISNUMBER('자료_미국심리'!$E3620)),'자료_미국심리'!$D3620,"")</f>
        <v/>
      </c>
      <c r="Q3636">
        <f>IF(AND(ISNUMBER('자료_미국심리'!$G3620),ISNUMBER('자료_미국심리'!$H3620)),'자료_미국심리'!$G3620,"")</f>
        <v/>
      </c>
    </row>
    <row r="3637">
      <c r="O3637">
        <f>IF(AND(ISNUMBER('자료_미국심리'!$A3621),ISNUMBER('자료_미국심리'!$B3621)),'자료_미국심리'!$A3621,"")</f>
        <v/>
      </c>
      <c r="P3637">
        <f>IF(AND(ISNUMBER('자료_미국심리'!$D3621),ISNUMBER('자료_미국심리'!$E3621)),'자료_미국심리'!$D3621,"")</f>
        <v/>
      </c>
      <c r="Q3637">
        <f>IF(AND(ISNUMBER('자료_미국심리'!$G3621),ISNUMBER('자료_미국심리'!$H3621)),'자료_미국심리'!$G3621,"")</f>
        <v/>
      </c>
    </row>
    <row r="3638">
      <c r="O3638">
        <f>IF(AND(ISNUMBER('자료_미국심리'!$A3622),ISNUMBER('자료_미국심리'!$B3622)),'자료_미국심리'!$A3622,"")</f>
        <v/>
      </c>
      <c r="P3638">
        <f>IF(AND(ISNUMBER('자료_미국심리'!$D3622),ISNUMBER('자료_미국심리'!$E3622)),'자료_미국심리'!$D3622,"")</f>
        <v/>
      </c>
      <c r="Q3638">
        <f>IF(AND(ISNUMBER('자료_미국심리'!$G3622),ISNUMBER('자료_미국심리'!$H3622)),'자료_미국심리'!$G3622,"")</f>
        <v/>
      </c>
    </row>
    <row r="3639">
      <c r="O3639">
        <f>IF(AND(ISNUMBER('자료_미국심리'!$A3623),ISNUMBER('자료_미국심리'!$B3623)),'자료_미국심리'!$A3623,"")</f>
        <v/>
      </c>
      <c r="P3639">
        <f>IF(AND(ISNUMBER('자료_미국심리'!$D3623),ISNUMBER('자료_미국심리'!$E3623)),'자료_미국심리'!$D3623,"")</f>
        <v/>
      </c>
      <c r="Q3639">
        <f>IF(AND(ISNUMBER('자료_미국심리'!$G3623),ISNUMBER('자료_미국심리'!$H3623)),'자료_미국심리'!$G3623,"")</f>
        <v/>
      </c>
    </row>
    <row r="3640">
      <c r="O3640">
        <f>IF(AND(ISNUMBER('자료_미국심리'!$A3624),ISNUMBER('자료_미국심리'!$B3624)),'자료_미국심리'!$A3624,"")</f>
        <v/>
      </c>
      <c r="P3640">
        <f>IF(AND(ISNUMBER('자료_미국심리'!$D3624),ISNUMBER('자료_미국심리'!$E3624)),'자료_미국심리'!$D3624,"")</f>
        <v/>
      </c>
      <c r="Q3640">
        <f>IF(AND(ISNUMBER('자료_미국심리'!$G3624),ISNUMBER('자료_미국심리'!$H3624)),'자료_미국심리'!$G3624,"")</f>
        <v/>
      </c>
    </row>
    <row r="3641">
      <c r="O3641">
        <f>IF(AND(ISNUMBER('자료_미국심리'!$A3625),ISNUMBER('자료_미국심리'!$B3625)),'자료_미국심리'!$A3625,"")</f>
        <v/>
      </c>
      <c r="P3641">
        <f>IF(AND(ISNUMBER('자료_미국심리'!$D3625),ISNUMBER('자료_미국심리'!$E3625)),'자료_미국심리'!$D3625,"")</f>
        <v/>
      </c>
      <c r="Q3641">
        <f>IF(AND(ISNUMBER('자료_미국심리'!$G3625),ISNUMBER('자료_미국심리'!$H3625)),'자료_미국심리'!$G3625,"")</f>
        <v/>
      </c>
    </row>
    <row r="3642">
      <c r="O3642">
        <f>IF(AND(ISNUMBER('자료_미국심리'!$A3626),ISNUMBER('자료_미국심리'!$B3626)),'자료_미국심리'!$A3626,"")</f>
        <v/>
      </c>
      <c r="P3642">
        <f>IF(AND(ISNUMBER('자료_미국심리'!$D3626),ISNUMBER('자료_미국심리'!$E3626)),'자료_미국심리'!$D3626,"")</f>
        <v/>
      </c>
      <c r="Q3642">
        <f>IF(AND(ISNUMBER('자료_미국심리'!$G3626),ISNUMBER('자료_미국심리'!$H3626)),'자료_미국심리'!$G3626,"")</f>
        <v/>
      </c>
    </row>
    <row r="3643">
      <c r="O3643">
        <f>IF(AND(ISNUMBER('자료_미국심리'!$A3627),ISNUMBER('자료_미국심리'!$B3627)),'자료_미국심리'!$A3627,"")</f>
        <v/>
      </c>
      <c r="P3643">
        <f>IF(AND(ISNUMBER('자료_미국심리'!$D3627),ISNUMBER('자료_미국심리'!$E3627)),'자료_미국심리'!$D3627,"")</f>
        <v/>
      </c>
      <c r="Q3643">
        <f>IF(AND(ISNUMBER('자료_미국심리'!$G3627),ISNUMBER('자료_미국심리'!$H3627)),'자료_미국심리'!$G3627,"")</f>
        <v/>
      </c>
    </row>
    <row r="3644">
      <c r="O3644">
        <f>IF(AND(ISNUMBER('자료_미국심리'!$A3628),ISNUMBER('자료_미국심리'!$B3628)),'자료_미국심리'!$A3628,"")</f>
        <v/>
      </c>
      <c r="P3644">
        <f>IF(AND(ISNUMBER('자료_미국심리'!$D3628),ISNUMBER('자료_미국심리'!$E3628)),'자료_미국심리'!$D3628,"")</f>
        <v/>
      </c>
      <c r="Q3644">
        <f>IF(AND(ISNUMBER('자료_미국심리'!$G3628),ISNUMBER('자료_미국심리'!$H3628)),'자료_미국심리'!$G3628,"")</f>
        <v/>
      </c>
    </row>
    <row r="3645">
      <c r="O3645">
        <f>IF(AND(ISNUMBER('자료_미국심리'!$A3629),ISNUMBER('자료_미국심리'!$B3629)),'자료_미국심리'!$A3629,"")</f>
        <v/>
      </c>
      <c r="P3645">
        <f>IF(AND(ISNUMBER('자료_미국심리'!$D3629),ISNUMBER('자료_미국심리'!$E3629)),'자료_미국심리'!$D3629,"")</f>
        <v/>
      </c>
      <c r="Q3645">
        <f>IF(AND(ISNUMBER('자료_미국심리'!$G3629),ISNUMBER('자료_미국심리'!$H3629)),'자료_미국심리'!$G3629,"")</f>
        <v/>
      </c>
    </row>
    <row r="3646">
      <c r="O3646">
        <f>IF(AND(ISNUMBER('자료_미국심리'!$A3630),ISNUMBER('자료_미국심리'!$B3630)),'자료_미국심리'!$A3630,"")</f>
        <v/>
      </c>
      <c r="P3646">
        <f>IF(AND(ISNUMBER('자료_미국심리'!$D3630),ISNUMBER('자료_미국심리'!$E3630)),'자료_미국심리'!$D3630,"")</f>
        <v/>
      </c>
      <c r="Q3646">
        <f>IF(AND(ISNUMBER('자료_미국심리'!$G3630),ISNUMBER('자료_미국심리'!$H3630)),'자료_미국심리'!$G3630,"")</f>
        <v/>
      </c>
    </row>
    <row r="3647">
      <c r="O3647">
        <f>IF(AND(ISNUMBER('자료_미국심리'!$A3631),ISNUMBER('자료_미국심리'!$B3631)),'자료_미국심리'!$A3631,"")</f>
        <v/>
      </c>
      <c r="P3647">
        <f>IF(AND(ISNUMBER('자료_미국심리'!$D3631),ISNUMBER('자료_미국심리'!$E3631)),'자료_미국심리'!$D3631,"")</f>
        <v/>
      </c>
      <c r="Q3647">
        <f>IF(AND(ISNUMBER('자료_미국심리'!$G3631),ISNUMBER('자료_미국심리'!$H3631)),'자료_미국심리'!$G3631,"")</f>
        <v/>
      </c>
    </row>
    <row r="3648">
      <c r="O3648">
        <f>IF(AND(ISNUMBER('자료_미국심리'!$A3632),ISNUMBER('자료_미국심리'!$B3632)),'자료_미국심리'!$A3632,"")</f>
        <v/>
      </c>
      <c r="P3648">
        <f>IF(AND(ISNUMBER('자료_미국심리'!$D3632),ISNUMBER('자료_미국심리'!$E3632)),'자료_미국심리'!$D3632,"")</f>
        <v/>
      </c>
      <c r="Q3648">
        <f>IF(AND(ISNUMBER('자료_미국심리'!$G3632),ISNUMBER('자료_미국심리'!$H3632)),'자료_미국심리'!$G3632,"")</f>
        <v/>
      </c>
    </row>
    <row r="3649">
      <c r="O3649">
        <f>IF(AND(ISNUMBER('자료_미국심리'!$A3633),ISNUMBER('자료_미국심리'!$B3633)),'자료_미국심리'!$A3633,"")</f>
        <v/>
      </c>
      <c r="P3649">
        <f>IF(AND(ISNUMBER('자료_미국심리'!$D3633),ISNUMBER('자료_미국심리'!$E3633)),'자료_미국심리'!$D3633,"")</f>
        <v/>
      </c>
      <c r="Q3649">
        <f>IF(AND(ISNUMBER('자료_미국심리'!$G3633),ISNUMBER('자료_미국심리'!$H3633)),'자료_미국심리'!$G3633,"")</f>
        <v/>
      </c>
    </row>
    <row r="3650">
      <c r="O3650">
        <f>IF(AND(ISNUMBER('자료_미국심리'!$A3634),ISNUMBER('자료_미국심리'!$B3634)),'자료_미국심리'!$A3634,"")</f>
        <v/>
      </c>
      <c r="P3650">
        <f>IF(AND(ISNUMBER('자료_미국심리'!$D3634),ISNUMBER('자료_미국심리'!$E3634)),'자료_미국심리'!$D3634,"")</f>
        <v/>
      </c>
      <c r="Q3650">
        <f>IF(AND(ISNUMBER('자료_미국심리'!$G3634),ISNUMBER('자료_미국심리'!$H3634)),'자료_미국심리'!$G3634,"")</f>
        <v/>
      </c>
    </row>
    <row r="3651">
      <c r="O3651">
        <f>IF(AND(ISNUMBER('자료_미국심리'!$A3635),ISNUMBER('자료_미국심리'!$B3635)),'자료_미국심리'!$A3635,"")</f>
        <v/>
      </c>
      <c r="P3651">
        <f>IF(AND(ISNUMBER('자료_미국심리'!$D3635),ISNUMBER('자료_미국심리'!$E3635)),'자료_미국심리'!$D3635,"")</f>
        <v/>
      </c>
      <c r="Q3651">
        <f>IF(AND(ISNUMBER('자료_미국심리'!$G3635),ISNUMBER('자료_미국심리'!$H3635)),'자료_미국심리'!$G3635,"")</f>
        <v/>
      </c>
    </row>
    <row r="3652">
      <c r="O3652">
        <f>IF(AND(ISNUMBER('자료_미국심리'!$A3636),ISNUMBER('자료_미국심리'!$B3636)),'자료_미국심리'!$A3636,"")</f>
        <v/>
      </c>
      <c r="P3652">
        <f>IF(AND(ISNUMBER('자료_미국심리'!$D3636),ISNUMBER('자료_미국심리'!$E3636)),'자료_미국심리'!$D3636,"")</f>
        <v/>
      </c>
      <c r="Q3652">
        <f>IF(AND(ISNUMBER('자료_미국심리'!$G3636),ISNUMBER('자료_미국심리'!$H3636)),'자료_미국심리'!$G3636,"")</f>
        <v/>
      </c>
    </row>
    <row r="3653">
      <c r="O3653">
        <f>IF(AND(ISNUMBER('자료_미국심리'!$A3637),ISNUMBER('자료_미국심리'!$B3637)),'자료_미국심리'!$A3637,"")</f>
        <v/>
      </c>
      <c r="P3653">
        <f>IF(AND(ISNUMBER('자료_미국심리'!$D3637),ISNUMBER('자료_미국심리'!$E3637)),'자료_미국심리'!$D3637,"")</f>
        <v/>
      </c>
      <c r="Q3653">
        <f>IF(AND(ISNUMBER('자료_미국심리'!$G3637),ISNUMBER('자료_미국심리'!$H3637)),'자료_미국심리'!$G3637,"")</f>
        <v/>
      </c>
    </row>
    <row r="3654">
      <c r="O3654">
        <f>IF(AND(ISNUMBER('자료_미국심리'!$A3638),ISNUMBER('자료_미국심리'!$B3638)),'자료_미국심리'!$A3638,"")</f>
        <v/>
      </c>
      <c r="P3654">
        <f>IF(AND(ISNUMBER('자료_미국심리'!$D3638),ISNUMBER('자료_미국심리'!$E3638)),'자료_미국심리'!$D3638,"")</f>
        <v/>
      </c>
      <c r="Q3654">
        <f>IF(AND(ISNUMBER('자료_미국심리'!$G3638),ISNUMBER('자료_미국심리'!$H3638)),'자료_미국심리'!$G3638,"")</f>
        <v/>
      </c>
    </row>
    <row r="3655">
      <c r="O3655">
        <f>IF(AND(ISNUMBER('자료_미국심리'!$A3639),ISNUMBER('자료_미국심리'!$B3639)),'자료_미국심리'!$A3639,"")</f>
        <v/>
      </c>
      <c r="P3655">
        <f>IF(AND(ISNUMBER('자료_미국심리'!$D3639),ISNUMBER('자료_미국심리'!$E3639)),'자료_미국심리'!$D3639,"")</f>
        <v/>
      </c>
      <c r="Q3655">
        <f>IF(AND(ISNUMBER('자료_미국심리'!$G3639),ISNUMBER('자료_미국심리'!$H3639)),'자료_미국심리'!$G3639,"")</f>
        <v/>
      </c>
    </row>
    <row r="3656">
      <c r="O3656">
        <f>IF(AND(ISNUMBER('자료_미국심리'!$A3640),ISNUMBER('자료_미국심리'!$B3640)),'자료_미국심리'!$A3640,"")</f>
        <v/>
      </c>
      <c r="P3656">
        <f>IF(AND(ISNUMBER('자료_미국심리'!$D3640),ISNUMBER('자료_미국심리'!$E3640)),'자료_미국심리'!$D3640,"")</f>
        <v/>
      </c>
      <c r="Q3656">
        <f>IF(AND(ISNUMBER('자료_미국심리'!$G3640),ISNUMBER('자료_미국심리'!$H3640)),'자료_미국심리'!$G3640,"")</f>
        <v/>
      </c>
    </row>
    <row r="3657">
      <c r="O3657">
        <f>IF(AND(ISNUMBER('자료_미국심리'!$A3641),ISNUMBER('자료_미국심리'!$B3641)),'자료_미국심리'!$A3641,"")</f>
        <v/>
      </c>
      <c r="P3657">
        <f>IF(AND(ISNUMBER('자료_미국심리'!$D3641),ISNUMBER('자료_미국심리'!$E3641)),'자료_미국심리'!$D3641,"")</f>
        <v/>
      </c>
      <c r="Q3657">
        <f>IF(AND(ISNUMBER('자료_미국심리'!$G3641),ISNUMBER('자료_미국심리'!$H3641)),'자료_미국심리'!$G3641,"")</f>
        <v/>
      </c>
    </row>
    <row r="3658">
      <c r="O3658">
        <f>IF(AND(ISNUMBER('자료_미국심리'!$A3642),ISNUMBER('자료_미국심리'!$B3642)),'자료_미국심리'!$A3642,"")</f>
        <v/>
      </c>
      <c r="P3658">
        <f>IF(AND(ISNUMBER('자료_미국심리'!$D3642),ISNUMBER('자료_미국심리'!$E3642)),'자료_미국심리'!$D3642,"")</f>
        <v/>
      </c>
      <c r="Q3658">
        <f>IF(AND(ISNUMBER('자료_미국심리'!$G3642),ISNUMBER('자료_미국심리'!$H3642)),'자료_미국심리'!$G3642,"")</f>
        <v/>
      </c>
    </row>
    <row r="3659">
      <c r="O3659">
        <f>IF(AND(ISNUMBER('자료_미국심리'!$A3643),ISNUMBER('자료_미국심리'!$B3643)),'자료_미국심리'!$A3643,"")</f>
        <v/>
      </c>
      <c r="P3659">
        <f>IF(AND(ISNUMBER('자료_미국심리'!$D3643),ISNUMBER('자료_미국심리'!$E3643)),'자료_미국심리'!$D3643,"")</f>
        <v/>
      </c>
      <c r="Q3659">
        <f>IF(AND(ISNUMBER('자료_미국심리'!$G3643),ISNUMBER('자료_미국심리'!$H3643)),'자료_미국심리'!$G3643,"")</f>
        <v/>
      </c>
    </row>
    <row r="3660">
      <c r="O3660">
        <f>IF(AND(ISNUMBER('자료_미국심리'!$A3644),ISNUMBER('자료_미국심리'!$B3644)),'자료_미국심리'!$A3644,"")</f>
        <v/>
      </c>
      <c r="P3660">
        <f>IF(AND(ISNUMBER('자료_미국심리'!$D3644),ISNUMBER('자료_미국심리'!$E3644)),'자료_미국심리'!$D3644,"")</f>
        <v/>
      </c>
      <c r="Q3660">
        <f>IF(AND(ISNUMBER('자료_미국심리'!$G3644),ISNUMBER('자료_미국심리'!$H3644)),'자료_미국심리'!$G3644,"")</f>
        <v/>
      </c>
    </row>
    <row r="3661">
      <c r="O3661">
        <f>IF(AND(ISNUMBER('자료_미국심리'!$A3645),ISNUMBER('자료_미국심리'!$B3645)),'자료_미국심리'!$A3645,"")</f>
        <v/>
      </c>
      <c r="P3661">
        <f>IF(AND(ISNUMBER('자료_미국심리'!$D3645),ISNUMBER('자료_미국심리'!$E3645)),'자료_미국심리'!$D3645,"")</f>
        <v/>
      </c>
      <c r="Q3661">
        <f>IF(AND(ISNUMBER('자료_미국심리'!$G3645),ISNUMBER('자료_미국심리'!$H3645)),'자료_미국심리'!$G3645,"")</f>
        <v/>
      </c>
    </row>
    <row r="3662">
      <c r="O3662">
        <f>IF(AND(ISNUMBER('자료_미국심리'!$A3646),ISNUMBER('자료_미국심리'!$B3646)),'자료_미국심리'!$A3646,"")</f>
        <v/>
      </c>
      <c r="P3662">
        <f>IF(AND(ISNUMBER('자료_미국심리'!$D3646),ISNUMBER('자료_미국심리'!$E3646)),'자료_미국심리'!$D3646,"")</f>
        <v/>
      </c>
      <c r="Q3662">
        <f>IF(AND(ISNUMBER('자료_미국심리'!$G3646),ISNUMBER('자료_미국심리'!$H3646)),'자료_미국심리'!$G3646,"")</f>
        <v/>
      </c>
    </row>
    <row r="3663">
      <c r="O3663">
        <f>IF(AND(ISNUMBER('자료_미국심리'!$A3647),ISNUMBER('자료_미국심리'!$B3647)),'자료_미국심리'!$A3647,"")</f>
        <v/>
      </c>
      <c r="P3663">
        <f>IF(AND(ISNUMBER('자료_미국심리'!$D3647),ISNUMBER('자료_미국심리'!$E3647)),'자료_미국심리'!$D3647,"")</f>
        <v/>
      </c>
      <c r="Q3663">
        <f>IF(AND(ISNUMBER('자료_미국심리'!$G3647),ISNUMBER('자료_미국심리'!$H3647)),'자료_미국심리'!$G3647,"")</f>
        <v/>
      </c>
    </row>
    <row r="3664">
      <c r="O3664">
        <f>IF(AND(ISNUMBER('자료_미국심리'!$A3648),ISNUMBER('자료_미국심리'!$B3648)),'자료_미국심리'!$A3648,"")</f>
        <v/>
      </c>
      <c r="P3664">
        <f>IF(AND(ISNUMBER('자료_미국심리'!$D3648),ISNUMBER('자료_미국심리'!$E3648)),'자료_미국심리'!$D3648,"")</f>
        <v/>
      </c>
      <c r="Q3664">
        <f>IF(AND(ISNUMBER('자료_미국심리'!$G3648),ISNUMBER('자료_미국심리'!$H3648)),'자료_미국심리'!$G3648,"")</f>
        <v/>
      </c>
    </row>
    <row r="3665">
      <c r="O3665">
        <f>IF(AND(ISNUMBER('자료_미국심리'!$A3649),ISNUMBER('자료_미국심리'!$B3649)),'자료_미국심리'!$A3649,"")</f>
        <v/>
      </c>
      <c r="P3665">
        <f>IF(AND(ISNUMBER('자료_미국심리'!$D3649),ISNUMBER('자료_미국심리'!$E3649)),'자료_미국심리'!$D3649,"")</f>
        <v/>
      </c>
      <c r="Q3665">
        <f>IF(AND(ISNUMBER('자료_미국심리'!$G3649),ISNUMBER('자료_미국심리'!$H3649)),'자료_미국심리'!$G3649,"")</f>
        <v/>
      </c>
    </row>
    <row r="3666">
      <c r="O3666">
        <f>IF(AND(ISNUMBER('자료_미국심리'!$A3650),ISNUMBER('자료_미국심리'!$B3650)),'자료_미국심리'!$A3650,"")</f>
        <v/>
      </c>
      <c r="P3666">
        <f>IF(AND(ISNUMBER('자료_미국심리'!$D3650),ISNUMBER('자료_미국심리'!$E3650)),'자료_미국심리'!$D3650,"")</f>
        <v/>
      </c>
      <c r="Q3666">
        <f>IF(AND(ISNUMBER('자료_미국심리'!$G3650),ISNUMBER('자료_미국심리'!$H3650)),'자료_미국심리'!$G3650,"")</f>
        <v/>
      </c>
    </row>
    <row r="3667">
      <c r="O3667">
        <f>IF(AND(ISNUMBER('자료_미국심리'!$A3651),ISNUMBER('자료_미국심리'!$B3651)),'자료_미국심리'!$A3651,"")</f>
        <v/>
      </c>
      <c r="P3667">
        <f>IF(AND(ISNUMBER('자료_미국심리'!$D3651),ISNUMBER('자료_미국심리'!$E3651)),'자료_미국심리'!$D3651,"")</f>
        <v/>
      </c>
      <c r="Q3667">
        <f>IF(AND(ISNUMBER('자료_미국심리'!$G3651),ISNUMBER('자료_미국심리'!$H3651)),'자료_미국심리'!$G3651,"")</f>
        <v/>
      </c>
    </row>
    <row r="3668">
      <c r="O3668">
        <f>IF(AND(ISNUMBER('자료_미국심리'!$A3652),ISNUMBER('자료_미국심리'!$B3652)),'자료_미국심리'!$A3652,"")</f>
        <v/>
      </c>
      <c r="P3668">
        <f>IF(AND(ISNUMBER('자료_미국심리'!$D3652),ISNUMBER('자료_미국심리'!$E3652)),'자료_미국심리'!$D3652,"")</f>
        <v/>
      </c>
      <c r="Q3668">
        <f>IF(AND(ISNUMBER('자료_미국심리'!$G3652),ISNUMBER('자료_미국심리'!$H3652)),'자료_미국심리'!$G3652,"")</f>
        <v/>
      </c>
    </row>
    <row r="3669">
      <c r="O3669">
        <f>IF(AND(ISNUMBER('자료_미국심리'!$A3653),ISNUMBER('자료_미국심리'!$B3653)),'자료_미국심리'!$A3653,"")</f>
        <v/>
      </c>
      <c r="P3669">
        <f>IF(AND(ISNUMBER('자료_미국심리'!$D3653),ISNUMBER('자료_미국심리'!$E3653)),'자료_미국심리'!$D3653,"")</f>
        <v/>
      </c>
      <c r="Q3669">
        <f>IF(AND(ISNUMBER('자료_미국심리'!$G3653),ISNUMBER('자료_미국심리'!$H3653)),'자료_미국심리'!$G3653,"")</f>
        <v/>
      </c>
    </row>
    <row r="3670">
      <c r="O3670">
        <f>IF(AND(ISNUMBER('자료_미국심리'!$A3654),ISNUMBER('자료_미국심리'!$B3654)),'자료_미국심리'!$A3654,"")</f>
        <v/>
      </c>
      <c r="P3670">
        <f>IF(AND(ISNUMBER('자료_미국심리'!$D3654),ISNUMBER('자료_미국심리'!$E3654)),'자료_미국심리'!$D3654,"")</f>
        <v/>
      </c>
      <c r="Q3670">
        <f>IF(AND(ISNUMBER('자료_미국심리'!$G3654),ISNUMBER('자료_미국심리'!$H3654)),'자료_미국심리'!$G3654,"")</f>
        <v/>
      </c>
    </row>
    <row r="3671">
      <c r="O3671">
        <f>IF(AND(ISNUMBER('자료_미국심리'!$A3655),ISNUMBER('자료_미국심리'!$B3655)),'자료_미국심리'!$A3655,"")</f>
        <v/>
      </c>
      <c r="P3671">
        <f>IF(AND(ISNUMBER('자료_미국심리'!$D3655),ISNUMBER('자료_미국심리'!$E3655)),'자료_미국심리'!$D3655,"")</f>
        <v/>
      </c>
      <c r="Q3671">
        <f>IF(AND(ISNUMBER('자료_미국심리'!$G3655),ISNUMBER('자료_미국심리'!$H3655)),'자료_미국심리'!$G3655,"")</f>
        <v/>
      </c>
    </row>
    <row r="3672">
      <c r="O3672">
        <f>IF(AND(ISNUMBER('자료_미국심리'!$A3656),ISNUMBER('자료_미국심리'!$B3656)),'자료_미국심리'!$A3656,"")</f>
        <v/>
      </c>
      <c r="P3672">
        <f>IF(AND(ISNUMBER('자료_미국심리'!$D3656),ISNUMBER('자료_미국심리'!$E3656)),'자료_미국심리'!$D3656,"")</f>
        <v/>
      </c>
      <c r="Q3672">
        <f>IF(AND(ISNUMBER('자료_미국심리'!$G3656),ISNUMBER('자료_미국심리'!$H3656)),'자료_미국심리'!$G3656,"")</f>
        <v/>
      </c>
    </row>
    <row r="3673">
      <c r="O3673">
        <f>IF(AND(ISNUMBER('자료_미국심리'!$A3657),ISNUMBER('자료_미국심리'!$B3657)),'자료_미국심리'!$A3657,"")</f>
        <v/>
      </c>
      <c r="P3673">
        <f>IF(AND(ISNUMBER('자료_미국심리'!$D3657),ISNUMBER('자료_미국심리'!$E3657)),'자료_미국심리'!$D3657,"")</f>
        <v/>
      </c>
      <c r="Q3673">
        <f>IF(AND(ISNUMBER('자료_미국심리'!$G3657),ISNUMBER('자료_미국심리'!$H3657)),'자료_미국심리'!$G3657,"")</f>
        <v/>
      </c>
    </row>
    <row r="3674">
      <c r="O3674">
        <f>IF(AND(ISNUMBER('자료_미국심리'!$A3658),ISNUMBER('자료_미국심리'!$B3658)),'자료_미국심리'!$A3658,"")</f>
        <v/>
      </c>
      <c r="P3674">
        <f>IF(AND(ISNUMBER('자료_미국심리'!$D3658),ISNUMBER('자료_미국심리'!$E3658)),'자료_미국심리'!$D3658,"")</f>
        <v/>
      </c>
      <c r="Q3674">
        <f>IF(AND(ISNUMBER('자료_미국심리'!$G3658),ISNUMBER('자료_미국심리'!$H3658)),'자료_미국심리'!$G3658,"")</f>
        <v/>
      </c>
    </row>
    <row r="3675">
      <c r="O3675">
        <f>IF(AND(ISNUMBER('자료_미국심리'!$A3659),ISNUMBER('자료_미국심리'!$B3659)),'자료_미국심리'!$A3659,"")</f>
        <v/>
      </c>
      <c r="P3675">
        <f>IF(AND(ISNUMBER('자료_미국심리'!$D3659),ISNUMBER('자료_미국심리'!$E3659)),'자료_미국심리'!$D3659,"")</f>
        <v/>
      </c>
      <c r="Q3675">
        <f>IF(AND(ISNUMBER('자료_미국심리'!$G3659),ISNUMBER('자료_미국심리'!$H3659)),'자료_미국심리'!$G3659,"")</f>
        <v/>
      </c>
    </row>
    <row r="3676">
      <c r="O3676">
        <f>IF(AND(ISNUMBER('자료_미국심리'!$A3660),ISNUMBER('자료_미국심리'!$B3660)),'자료_미국심리'!$A3660,"")</f>
        <v/>
      </c>
      <c r="P3676">
        <f>IF(AND(ISNUMBER('자료_미국심리'!$D3660),ISNUMBER('자료_미국심리'!$E3660)),'자료_미국심리'!$D3660,"")</f>
        <v/>
      </c>
      <c r="Q3676">
        <f>IF(AND(ISNUMBER('자료_미국심리'!$G3660),ISNUMBER('자료_미국심리'!$H3660)),'자료_미국심리'!$G3660,"")</f>
        <v/>
      </c>
    </row>
    <row r="3677">
      <c r="O3677">
        <f>IF(AND(ISNUMBER('자료_미국심리'!$A3661),ISNUMBER('자료_미국심리'!$B3661)),'자료_미국심리'!$A3661,"")</f>
        <v/>
      </c>
      <c r="P3677">
        <f>IF(AND(ISNUMBER('자료_미국심리'!$D3661),ISNUMBER('자료_미국심리'!$E3661)),'자료_미국심리'!$D3661,"")</f>
        <v/>
      </c>
      <c r="Q3677">
        <f>IF(AND(ISNUMBER('자료_미국심리'!$G3661),ISNUMBER('자료_미국심리'!$H3661)),'자료_미국심리'!$G3661,"")</f>
        <v/>
      </c>
    </row>
    <row r="3678">
      <c r="O3678">
        <f>IF(AND(ISNUMBER('자료_미국심리'!$A3662),ISNUMBER('자료_미국심리'!$B3662)),'자료_미국심리'!$A3662,"")</f>
        <v/>
      </c>
      <c r="P3678">
        <f>IF(AND(ISNUMBER('자료_미국심리'!$D3662),ISNUMBER('자료_미국심리'!$E3662)),'자료_미국심리'!$D3662,"")</f>
        <v/>
      </c>
      <c r="Q3678">
        <f>IF(AND(ISNUMBER('자료_미국심리'!$G3662),ISNUMBER('자료_미국심리'!$H3662)),'자료_미국심리'!$G3662,"")</f>
        <v/>
      </c>
    </row>
    <row r="3679">
      <c r="O3679">
        <f>IF(AND(ISNUMBER('자료_미국심리'!$A3663),ISNUMBER('자료_미국심리'!$B3663)),'자료_미국심리'!$A3663,"")</f>
        <v/>
      </c>
      <c r="P3679">
        <f>IF(AND(ISNUMBER('자료_미국심리'!$D3663),ISNUMBER('자료_미국심리'!$E3663)),'자료_미국심리'!$D3663,"")</f>
        <v/>
      </c>
      <c r="Q3679">
        <f>IF(AND(ISNUMBER('자료_미국심리'!$G3663),ISNUMBER('자료_미국심리'!$H3663)),'자료_미국심리'!$G3663,"")</f>
        <v/>
      </c>
    </row>
    <row r="3680">
      <c r="O3680">
        <f>IF(AND(ISNUMBER('자료_미국심리'!$A3664),ISNUMBER('자료_미국심리'!$B3664)),'자료_미국심리'!$A3664,"")</f>
        <v/>
      </c>
      <c r="P3680">
        <f>IF(AND(ISNUMBER('자료_미국심리'!$D3664),ISNUMBER('자료_미국심리'!$E3664)),'자료_미국심리'!$D3664,"")</f>
        <v/>
      </c>
      <c r="Q3680">
        <f>IF(AND(ISNUMBER('자료_미국심리'!$G3664),ISNUMBER('자료_미국심리'!$H3664)),'자료_미국심리'!$G3664,"")</f>
        <v/>
      </c>
    </row>
    <row r="3681">
      <c r="O3681">
        <f>IF(AND(ISNUMBER('자료_미국심리'!$A3665),ISNUMBER('자료_미국심리'!$B3665)),'자료_미국심리'!$A3665,"")</f>
        <v/>
      </c>
      <c r="P3681">
        <f>IF(AND(ISNUMBER('자료_미국심리'!$D3665),ISNUMBER('자료_미국심리'!$E3665)),'자료_미국심리'!$D3665,"")</f>
        <v/>
      </c>
      <c r="Q3681">
        <f>IF(AND(ISNUMBER('자료_미국심리'!$G3665),ISNUMBER('자료_미국심리'!$H3665)),'자료_미국심리'!$G3665,"")</f>
        <v/>
      </c>
    </row>
    <row r="3682">
      <c r="O3682">
        <f>IF(AND(ISNUMBER('자료_미국심리'!$A3666),ISNUMBER('자료_미국심리'!$B3666)),'자료_미국심리'!$A3666,"")</f>
        <v/>
      </c>
      <c r="P3682">
        <f>IF(AND(ISNUMBER('자료_미국심리'!$D3666),ISNUMBER('자료_미국심리'!$E3666)),'자료_미국심리'!$D3666,"")</f>
        <v/>
      </c>
      <c r="Q3682">
        <f>IF(AND(ISNUMBER('자료_미국심리'!$G3666),ISNUMBER('자료_미국심리'!$H3666)),'자료_미국심리'!$G3666,"")</f>
        <v/>
      </c>
    </row>
    <row r="3683">
      <c r="O3683">
        <f>IF(AND(ISNUMBER('자료_미국심리'!$A3667),ISNUMBER('자료_미국심리'!$B3667)),'자료_미국심리'!$A3667,"")</f>
        <v/>
      </c>
      <c r="P3683">
        <f>IF(AND(ISNUMBER('자료_미국심리'!$D3667),ISNUMBER('자료_미국심리'!$E3667)),'자료_미국심리'!$D3667,"")</f>
        <v/>
      </c>
      <c r="Q3683">
        <f>IF(AND(ISNUMBER('자료_미국심리'!$G3667),ISNUMBER('자료_미국심리'!$H3667)),'자료_미국심리'!$G3667,"")</f>
        <v/>
      </c>
    </row>
    <row r="3684">
      <c r="O3684">
        <f>IF(AND(ISNUMBER('자료_미국심리'!$A3668),ISNUMBER('자료_미국심리'!$B3668)),'자료_미국심리'!$A3668,"")</f>
        <v/>
      </c>
      <c r="P3684">
        <f>IF(AND(ISNUMBER('자료_미국심리'!$D3668),ISNUMBER('자료_미국심리'!$E3668)),'자료_미국심리'!$D3668,"")</f>
        <v/>
      </c>
      <c r="Q3684">
        <f>IF(AND(ISNUMBER('자료_미국심리'!$G3668),ISNUMBER('자료_미국심리'!$H3668)),'자료_미국심리'!$G3668,"")</f>
        <v/>
      </c>
    </row>
    <row r="3685">
      <c r="O3685">
        <f>IF(AND(ISNUMBER('자료_미국심리'!$A3669),ISNUMBER('자료_미국심리'!$B3669)),'자료_미국심리'!$A3669,"")</f>
        <v/>
      </c>
      <c r="P3685">
        <f>IF(AND(ISNUMBER('자료_미국심리'!$D3669),ISNUMBER('자료_미국심리'!$E3669)),'자료_미국심리'!$D3669,"")</f>
        <v/>
      </c>
      <c r="Q3685">
        <f>IF(AND(ISNUMBER('자료_미국심리'!$G3669),ISNUMBER('자료_미국심리'!$H3669)),'자료_미국심리'!$G3669,"")</f>
        <v/>
      </c>
    </row>
    <row r="3686">
      <c r="O3686">
        <f>IF(AND(ISNUMBER('자료_미국심리'!$A3670),ISNUMBER('자료_미국심리'!$B3670)),'자료_미국심리'!$A3670,"")</f>
        <v/>
      </c>
      <c r="P3686">
        <f>IF(AND(ISNUMBER('자료_미국심리'!$D3670),ISNUMBER('자료_미국심리'!$E3670)),'자료_미국심리'!$D3670,"")</f>
        <v/>
      </c>
      <c r="Q3686">
        <f>IF(AND(ISNUMBER('자료_미국심리'!$G3670),ISNUMBER('자료_미국심리'!$H3670)),'자료_미국심리'!$G3670,"")</f>
        <v/>
      </c>
    </row>
    <row r="3687">
      <c r="O3687">
        <f>IF(AND(ISNUMBER('자료_미국심리'!$A3671),ISNUMBER('자료_미국심리'!$B3671)),'자료_미국심리'!$A3671,"")</f>
        <v/>
      </c>
      <c r="P3687">
        <f>IF(AND(ISNUMBER('자료_미국심리'!$D3671),ISNUMBER('자료_미국심리'!$E3671)),'자료_미국심리'!$D3671,"")</f>
        <v/>
      </c>
      <c r="Q3687">
        <f>IF(AND(ISNUMBER('자료_미국심리'!$G3671),ISNUMBER('자료_미국심리'!$H3671)),'자료_미국심리'!$G3671,"")</f>
        <v/>
      </c>
    </row>
    <row r="3688">
      <c r="O3688">
        <f>IF(AND(ISNUMBER('자료_미국심리'!$A3672),ISNUMBER('자료_미국심리'!$B3672)),'자료_미국심리'!$A3672,"")</f>
        <v/>
      </c>
      <c r="P3688">
        <f>IF(AND(ISNUMBER('자료_미국심리'!$D3672),ISNUMBER('자료_미국심리'!$E3672)),'자료_미국심리'!$D3672,"")</f>
        <v/>
      </c>
      <c r="Q3688">
        <f>IF(AND(ISNUMBER('자료_미국심리'!$G3672),ISNUMBER('자료_미국심리'!$H3672)),'자료_미국심리'!$G3672,"")</f>
        <v/>
      </c>
    </row>
    <row r="3689">
      <c r="O3689">
        <f>IF(AND(ISNUMBER('자료_미국심리'!$A3673),ISNUMBER('자료_미국심리'!$B3673)),'자료_미국심리'!$A3673,"")</f>
        <v/>
      </c>
      <c r="P3689">
        <f>IF(AND(ISNUMBER('자료_미국심리'!$D3673),ISNUMBER('자료_미국심리'!$E3673)),'자료_미국심리'!$D3673,"")</f>
        <v/>
      </c>
      <c r="Q3689">
        <f>IF(AND(ISNUMBER('자료_미국심리'!$G3673),ISNUMBER('자료_미국심리'!$H3673)),'자료_미국심리'!$G3673,"")</f>
        <v/>
      </c>
    </row>
    <row r="3690">
      <c r="O3690">
        <f>IF(AND(ISNUMBER('자료_미국심리'!$A3674),ISNUMBER('자료_미국심리'!$B3674)),'자료_미국심리'!$A3674,"")</f>
        <v/>
      </c>
      <c r="P3690">
        <f>IF(AND(ISNUMBER('자료_미국심리'!$D3674),ISNUMBER('자료_미국심리'!$E3674)),'자료_미국심리'!$D3674,"")</f>
        <v/>
      </c>
      <c r="Q3690">
        <f>IF(AND(ISNUMBER('자료_미국심리'!$G3674),ISNUMBER('자료_미국심리'!$H3674)),'자료_미국심리'!$G3674,"")</f>
        <v/>
      </c>
    </row>
    <row r="3691">
      <c r="O3691">
        <f>IF(AND(ISNUMBER('자료_미국심리'!$A3675),ISNUMBER('자료_미국심리'!$B3675)),'자료_미국심리'!$A3675,"")</f>
        <v/>
      </c>
      <c r="P3691">
        <f>IF(AND(ISNUMBER('자료_미국심리'!$D3675),ISNUMBER('자료_미국심리'!$E3675)),'자료_미국심리'!$D3675,"")</f>
        <v/>
      </c>
      <c r="Q3691">
        <f>IF(AND(ISNUMBER('자료_미국심리'!$G3675),ISNUMBER('자료_미국심리'!$H3675)),'자료_미국심리'!$G3675,"")</f>
        <v/>
      </c>
    </row>
    <row r="3692">
      <c r="O3692">
        <f>IF(AND(ISNUMBER('자료_미국심리'!$A3676),ISNUMBER('자료_미국심리'!$B3676)),'자료_미국심리'!$A3676,"")</f>
        <v/>
      </c>
      <c r="P3692">
        <f>IF(AND(ISNUMBER('자료_미국심리'!$D3676),ISNUMBER('자료_미국심리'!$E3676)),'자료_미국심리'!$D3676,"")</f>
        <v/>
      </c>
      <c r="Q3692">
        <f>IF(AND(ISNUMBER('자료_미국심리'!$G3676),ISNUMBER('자료_미국심리'!$H3676)),'자료_미국심리'!$G3676,"")</f>
        <v/>
      </c>
    </row>
    <row r="3693">
      <c r="O3693">
        <f>IF(AND(ISNUMBER('자료_미국심리'!$A3677),ISNUMBER('자료_미국심리'!$B3677)),'자료_미국심리'!$A3677,"")</f>
        <v/>
      </c>
      <c r="P3693">
        <f>IF(AND(ISNUMBER('자료_미국심리'!$D3677),ISNUMBER('자료_미국심리'!$E3677)),'자료_미국심리'!$D3677,"")</f>
        <v/>
      </c>
      <c r="Q3693">
        <f>IF(AND(ISNUMBER('자료_미국심리'!$G3677),ISNUMBER('자료_미국심리'!$H3677)),'자료_미국심리'!$G3677,"")</f>
        <v/>
      </c>
    </row>
    <row r="3694">
      <c r="O3694">
        <f>IF(AND(ISNUMBER('자료_미국심리'!$A3678),ISNUMBER('자료_미국심리'!$B3678)),'자료_미국심리'!$A3678,"")</f>
        <v/>
      </c>
      <c r="P3694">
        <f>IF(AND(ISNUMBER('자료_미국심리'!$D3678),ISNUMBER('자료_미국심리'!$E3678)),'자료_미국심리'!$D3678,"")</f>
        <v/>
      </c>
      <c r="Q3694">
        <f>IF(AND(ISNUMBER('자료_미국심리'!$G3678),ISNUMBER('자료_미국심리'!$H3678)),'자료_미국심리'!$G3678,"")</f>
        <v/>
      </c>
    </row>
    <row r="3695">
      <c r="O3695">
        <f>IF(AND(ISNUMBER('자료_미국심리'!$A3679),ISNUMBER('자료_미국심리'!$B3679)),'자료_미국심리'!$A3679,"")</f>
        <v/>
      </c>
      <c r="P3695">
        <f>IF(AND(ISNUMBER('자료_미국심리'!$D3679),ISNUMBER('자료_미국심리'!$E3679)),'자료_미국심리'!$D3679,"")</f>
        <v/>
      </c>
      <c r="Q3695">
        <f>IF(AND(ISNUMBER('자료_미국심리'!$G3679),ISNUMBER('자료_미국심리'!$H3679)),'자료_미국심리'!$G3679,"")</f>
        <v/>
      </c>
    </row>
    <row r="3696">
      <c r="O3696">
        <f>IF(AND(ISNUMBER('자료_미국심리'!$A3680),ISNUMBER('자료_미국심리'!$B3680)),'자료_미국심리'!$A3680,"")</f>
        <v/>
      </c>
      <c r="P3696">
        <f>IF(AND(ISNUMBER('자료_미국심리'!$D3680),ISNUMBER('자료_미국심리'!$E3680)),'자료_미국심리'!$D3680,"")</f>
        <v/>
      </c>
      <c r="Q3696">
        <f>IF(AND(ISNUMBER('자료_미국심리'!$G3680),ISNUMBER('자료_미국심리'!$H3680)),'자료_미국심리'!$G3680,"")</f>
        <v/>
      </c>
    </row>
    <row r="3697">
      <c r="O3697">
        <f>IF(AND(ISNUMBER('자료_미국심리'!$A3681),ISNUMBER('자료_미국심리'!$B3681)),'자료_미국심리'!$A3681,"")</f>
        <v/>
      </c>
      <c r="P3697">
        <f>IF(AND(ISNUMBER('자료_미국심리'!$D3681),ISNUMBER('자료_미국심리'!$E3681)),'자료_미국심리'!$D3681,"")</f>
        <v/>
      </c>
      <c r="Q3697">
        <f>IF(AND(ISNUMBER('자료_미국심리'!$G3681),ISNUMBER('자료_미국심리'!$H3681)),'자료_미국심리'!$G3681,"")</f>
        <v/>
      </c>
    </row>
    <row r="3698">
      <c r="O3698">
        <f>IF(AND(ISNUMBER('자료_미국심리'!$A3682),ISNUMBER('자료_미국심리'!$B3682)),'자료_미국심리'!$A3682,"")</f>
        <v/>
      </c>
      <c r="P3698">
        <f>IF(AND(ISNUMBER('자료_미국심리'!$D3682),ISNUMBER('자료_미국심리'!$E3682)),'자료_미국심리'!$D3682,"")</f>
        <v/>
      </c>
      <c r="Q3698">
        <f>IF(AND(ISNUMBER('자료_미국심리'!$G3682),ISNUMBER('자료_미국심리'!$H3682)),'자료_미국심리'!$G3682,"")</f>
        <v/>
      </c>
    </row>
    <row r="3699">
      <c r="O3699">
        <f>IF(AND(ISNUMBER('자료_미국심리'!$A3683),ISNUMBER('자료_미국심리'!$B3683)),'자료_미국심리'!$A3683,"")</f>
        <v/>
      </c>
      <c r="P3699">
        <f>IF(AND(ISNUMBER('자료_미국심리'!$D3683),ISNUMBER('자료_미국심리'!$E3683)),'자료_미국심리'!$D3683,"")</f>
        <v/>
      </c>
      <c r="Q3699">
        <f>IF(AND(ISNUMBER('자료_미국심리'!$G3683),ISNUMBER('자료_미국심리'!$H3683)),'자료_미국심리'!$G3683,"")</f>
        <v/>
      </c>
    </row>
    <row r="3700">
      <c r="O3700">
        <f>IF(AND(ISNUMBER('자료_미국심리'!$A3684),ISNUMBER('자료_미국심리'!$B3684)),'자료_미국심리'!$A3684,"")</f>
        <v/>
      </c>
      <c r="P3700">
        <f>IF(AND(ISNUMBER('자료_미국심리'!$D3684),ISNUMBER('자료_미국심리'!$E3684)),'자료_미국심리'!$D3684,"")</f>
        <v/>
      </c>
      <c r="Q3700">
        <f>IF(AND(ISNUMBER('자료_미국심리'!$G3684),ISNUMBER('자료_미국심리'!$H3684)),'자료_미국심리'!$G3684,"")</f>
        <v/>
      </c>
    </row>
    <row r="3701">
      <c r="O3701">
        <f>IF(AND(ISNUMBER('자료_미국심리'!$A3685),ISNUMBER('자료_미국심리'!$B3685)),'자료_미국심리'!$A3685,"")</f>
        <v/>
      </c>
      <c r="P3701">
        <f>IF(AND(ISNUMBER('자료_미국심리'!$D3685),ISNUMBER('자료_미국심리'!$E3685)),'자료_미국심리'!$D3685,"")</f>
        <v/>
      </c>
      <c r="Q3701">
        <f>IF(AND(ISNUMBER('자료_미국심리'!$G3685),ISNUMBER('자료_미국심리'!$H3685)),'자료_미국심리'!$G3685,"")</f>
        <v/>
      </c>
    </row>
    <row r="3702">
      <c r="O3702">
        <f>IF(AND(ISNUMBER('자료_미국심리'!$A3686),ISNUMBER('자료_미국심리'!$B3686)),'자료_미국심리'!$A3686,"")</f>
        <v/>
      </c>
      <c r="P3702">
        <f>IF(AND(ISNUMBER('자료_미국심리'!$D3686),ISNUMBER('자료_미국심리'!$E3686)),'자료_미국심리'!$D3686,"")</f>
        <v/>
      </c>
      <c r="Q3702">
        <f>IF(AND(ISNUMBER('자료_미국심리'!$G3686),ISNUMBER('자료_미국심리'!$H3686)),'자료_미국심리'!$G3686,"")</f>
        <v/>
      </c>
    </row>
    <row r="3703">
      <c r="O3703">
        <f>IF(AND(ISNUMBER('자료_미국심리'!$A3687),ISNUMBER('자료_미국심리'!$B3687)),'자료_미국심리'!$A3687,"")</f>
        <v/>
      </c>
      <c r="P3703">
        <f>IF(AND(ISNUMBER('자료_미국심리'!$D3687),ISNUMBER('자료_미국심리'!$E3687)),'자료_미국심리'!$D3687,"")</f>
        <v/>
      </c>
      <c r="Q3703">
        <f>IF(AND(ISNUMBER('자료_미국심리'!$G3687),ISNUMBER('자료_미국심리'!$H3687)),'자료_미국심리'!$G3687,"")</f>
        <v/>
      </c>
    </row>
    <row r="3704">
      <c r="O3704">
        <f>IF(AND(ISNUMBER('자료_미국심리'!$A3688),ISNUMBER('자료_미국심리'!$B3688)),'자료_미국심리'!$A3688,"")</f>
        <v/>
      </c>
      <c r="P3704">
        <f>IF(AND(ISNUMBER('자료_미국심리'!$D3688),ISNUMBER('자료_미국심리'!$E3688)),'자료_미국심리'!$D3688,"")</f>
        <v/>
      </c>
      <c r="Q3704">
        <f>IF(AND(ISNUMBER('자료_미국심리'!$G3688),ISNUMBER('자료_미국심리'!$H3688)),'자료_미국심리'!$G3688,"")</f>
        <v/>
      </c>
    </row>
    <row r="3705">
      <c r="O3705">
        <f>IF(AND(ISNUMBER('자료_미국심리'!$A3689),ISNUMBER('자료_미국심리'!$B3689)),'자료_미국심리'!$A3689,"")</f>
        <v/>
      </c>
      <c r="P3705">
        <f>IF(AND(ISNUMBER('자료_미국심리'!$D3689),ISNUMBER('자료_미국심리'!$E3689)),'자료_미국심리'!$D3689,"")</f>
        <v/>
      </c>
      <c r="Q3705">
        <f>IF(AND(ISNUMBER('자료_미국심리'!$G3689),ISNUMBER('자료_미국심리'!$H3689)),'자료_미국심리'!$G3689,"")</f>
        <v/>
      </c>
    </row>
    <row r="3706">
      <c r="O3706">
        <f>IF(AND(ISNUMBER('자료_미국심리'!$A3690),ISNUMBER('자료_미국심리'!$B3690)),'자료_미국심리'!$A3690,"")</f>
        <v/>
      </c>
      <c r="P3706">
        <f>IF(AND(ISNUMBER('자료_미국심리'!$D3690),ISNUMBER('자료_미국심리'!$E3690)),'자료_미국심리'!$D3690,"")</f>
        <v/>
      </c>
      <c r="Q3706">
        <f>IF(AND(ISNUMBER('자료_미국심리'!$G3690),ISNUMBER('자료_미국심리'!$H3690)),'자료_미국심리'!$G3690,"")</f>
        <v/>
      </c>
    </row>
    <row r="3707">
      <c r="O3707">
        <f>IF(AND(ISNUMBER('자료_미국심리'!$A3691),ISNUMBER('자료_미국심리'!$B3691)),'자료_미국심리'!$A3691,"")</f>
        <v/>
      </c>
      <c r="P3707">
        <f>IF(AND(ISNUMBER('자료_미국심리'!$D3691),ISNUMBER('자료_미국심리'!$E3691)),'자료_미국심리'!$D3691,"")</f>
        <v/>
      </c>
      <c r="Q3707">
        <f>IF(AND(ISNUMBER('자료_미국심리'!$G3691),ISNUMBER('자료_미국심리'!$H3691)),'자료_미국심리'!$G3691,"")</f>
        <v/>
      </c>
    </row>
    <row r="3708">
      <c r="O3708">
        <f>IF(AND(ISNUMBER('자료_미국심리'!$A3692),ISNUMBER('자료_미국심리'!$B3692)),'자료_미국심리'!$A3692,"")</f>
        <v/>
      </c>
      <c r="P3708">
        <f>IF(AND(ISNUMBER('자료_미국심리'!$D3692),ISNUMBER('자료_미국심리'!$E3692)),'자료_미국심리'!$D3692,"")</f>
        <v/>
      </c>
      <c r="Q3708">
        <f>IF(AND(ISNUMBER('자료_미국심리'!$G3692),ISNUMBER('자료_미국심리'!$H3692)),'자료_미국심리'!$G3692,"")</f>
        <v/>
      </c>
    </row>
    <row r="3709">
      <c r="O3709">
        <f>IF(AND(ISNUMBER('자료_미국심리'!$A3693),ISNUMBER('자료_미국심리'!$B3693)),'자료_미국심리'!$A3693,"")</f>
        <v/>
      </c>
      <c r="P3709">
        <f>IF(AND(ISNUMBER('자료_미국심리'!$D3693),ISNUMBER('자료_미국심리'!$E3693)),'자료_미국심리'!$D3693,"")</f>
        <v/>
      </c>
      <c r="Q3709">
        <f>IF(AND(ISNUMBER('자료_미국심리'!$G3693),ISNUMBER('자료_미국심리'!$H3693)),'자료_미국심리'!$G3693,"")</f>
        <v/>
      </c>
    </row>
    <row r="3710">
      <c r="O3710">
        <f>IF(AND(ISNUMBER('자료_미국심리'!$A3694),ISNUMBER('자료_미국심리'!$B3694)),'자료_미국심리'!$A3694,"")</f>
        <v/>
      </c>
      <c r="P3710">
        <f>IF(AND(ISNUMBER('자료_미국심리'!$D3694),ISNUMBER('자료_미국심리'!$E3694)),'자료_미국심리'!$D3694,"")</f>
        <v/>
      </c>
      <c r="Q3710">
        <f>IF(AND(ISNUMBER('자료_미국심리'!$G3694),ISNUMBER('자료_미국심리'!$H3694)),'자료_미국심리'!$G3694,"")</f>
        <v/>
      </c>
    </row>
    <row r="3711">
      <c r="O3711">
        <f>IF(AND(ISNUMBER('자료_미국심리'!$A3695),ISNUMBER('자료_미국심리'!$B3695)),'자료_미국심리'!$A3695,"")</f>
        <v/>
      </c>
      <c r="P3711">
        <f>IF(AND(ISNUMBER('자료_미국심리'!$D3695),ISNUMBER('자료_미국심리'!$E3695)),'자료_미국심리'!$D3695,"")</f>
        <v/>
      </c>
      <c r="Q3711">
        <f>IF(AND(ISNUMBER('자료_미국심리'!$G3695),ISNUMBER('자료_미국심리'!$H3695)),'자료_미국심리'!$G3695,"")</f>
        <v/>
      </c>
    </row>
    <row r="3712">
      <c r="O3712">
        <f>IF(AND(ISNUMBER('자료_미국심리'!$A3696),ISNUMBER('자료_미국심리'!$B3696)),'자료_미국심리'!$A3696,"")</f>
        <v/>
      </c>
      <c r="P3712">
        <f>IF(AND(ISNUMBER('자료_미국심리'!$D3696),ISNUMBER('자료_미국심리'!$E3696)),'자료_미국심리'!$D3696,"")</f>
        <v/>
      </c>
      <c r="Q3712">
        <f>IF(AND(ISNUMBER('자료_미국심리'!$G3696),ISNUMBER('자료_미국심리'!$H3696)),'자료_미국심리'!$G3696,"")</f>
        <v/>
      </c>
    </row>
    <row r="3713">
      <c r="O3713">
        <f>IF(AND(ISNUMBER('자료_미국심리'!$A3697),ISNUMBER('자료_미국심리'!$B3697)),'자료_미국심리'!$A3697,"")</f>
        <v/>
      </c>
      <c r="P3713">
        <f>IF(AND(ISNUMBER('자료_미국심리'!$D3697),ISNUMBER('자료_미국심리'!$E3697)),'자료_미국심리'!$D3697,"")</f>
        <v/>
      </c>
      <c r="Q3713">
        <f>IF(AND(ISNUMBER('자료_미국심리'!$G3697),ISNUMBER('자료_미국심리'!$H3697)),'자료_미국심리'!$G3697,"")</f>
        <v/>
      </c>
    </row>
    <row r="3714">
      <c r="O3714">
        <f>IF(AND(ISNUMBER('자료_미국심리'!$A3698),ISNUMBER('자료_미국심리'!$B3698)),'자료_미국심리'!$A3698,"")</f>
        <v/>
      </c>
      <c r="P3714">
        <f>IF(AND(ISNUMBER('자료_미국심리'!$D3698),ISNUMBER('자료_미국심리'!$E3698)),'자료_미국심리'!$D3698,"")</f>
        <v/>
      </c>
      <c r="Q3714">
        <f>IF(AND(ISNUMBER('자료_미국심리'!$G3698),ISNUMBER('자료_미국심리'!$H3698)),'자료_미국심리'!$G3698,"")</f>
        <v/>
      </c>
    </row>
    <row r="3715">
      <c r="O3715">
        <f>IF(AND(ISNUMBER('자료_미국심리'!$A3699),ISNUMBER('자료_미국심리'!$B3699)),'자료_미국심리'!$A3699,"")</f>
        <v/>
      </c>
      <c r="P3715">
        <f>IF(AND(ISNUMBER('자료_미국심리'!$D3699),ISNUMBER('자료_미국심리'!$E3699)),'자료_미국심리'!$D3699,"")</f>
        <v/>
      </c>
      <c r="Q3715">
        <f>IF(AND(ISNUMBER('자료_미국심리'!$G3699),ISNUMBER('자료_미국심리'!$H3699)),'자료_미국심리'!$G3699,"")</f>
        <v/>
      </c>
    </row>
    <row r="3716">
      <c r="O3716">
        <f>IF(AND(ISNUMBER('자료_미국심리'!$A3700),ISNUMBER('자료_미국심리'!$B3700)),'자료_미국심리'!$A3700,"")</f>
        <v/>
      </c>
      <c r="P3716">
        <f>IF(AND(ISNUMBER('자료_미국심리'!$D3700),ISNUMBER('자료_미국심리'!$E3700)),'자료_미국심리'!$D3700,"")</f>
        <v/>
      </c>
      <c r="Q3716">
        <f>IF(AND(ISNUMBER('자료_미국심리'!$G3700),ISNUMBER('자료_미국심리'!$H3700)),'자료_미국심리'!$G3700,"")</f>
        <v/>
      </c>
    </row>
    <row r="3717">
      <c r="O3717">
        <f>IF(AND(ISNUMBER('자료_미국심리'!$A3701),ISNUMBER('자료_미국심리'!$B3701)),'자료_미국심리'!$A3701,"")</f>
        <v/>
      </c>
      <c r="P3717">
        <f>IF(AND(ISNUMBER('자료_미국심리'!$D3701),ISNUMBER('자료_미국심리'!$E3701)),'자료_미국심리'!$D3701,"")</f>
        <v/>
      </c>
      <c r="Q3717">
        <f>IF(AND(ISNUMBER('자료_미국심리'!$G3701),ISNUMBER('자료_미국심리'!$H3701)),'자료_미국심리'!$G3701,"")</f>
        <v/>
      </c>
    </row>
    <row r="3718">
      <c r="O3718">
        <f>IF(AND(ISNUMBER('자료_미국심리'!$A3702),ISNUMBER('자료_미국심리'!$B3702)),'자료_미국심리'!$A3702,"")</f>
        <v/>
      </c>
      <c r="P3718">
        <f>IF(AND(ISNUMBER('자료_미국심리'!$D3702),ISNUMBER('자료_미국심리'!$E3702)),'자료_미국심리'!$D3702,"")</f>
        <v/>
      </c>
      <c r="Q3718">
        <f>IF(AND(ISNUMBER('자료_미국심리'!$G3702),ISNUMBER('자료_미국심리'!$H3702)),'자료_미국심리'!$G3702,"")</f>
        <v/>
      </c>
    </row>
    <row r="3719">
      <c r="O3719">
        <f>IF(AND(ISNUMBER('자료_미국심리'!$A3703),ISNUMBER('자료_미국심리'!$B3703)),'자료_미국심리'!$A3703,"")</f>
        <v/>
      </c>
      <c r="P3719">
        <f>IF(AND(ISNUMBER('자료_미국심리'!$D3703),ISNUMBER('자료_미국심리'!$E3703)),'자료_미국심리'!$D3703,"")</f>
        <v/>
      </c>
      <c r="Q3719">
        <f>IF(AND(ISNUMBER('자료_미국심리'!$G3703),ISNUMBER('자료_미국심리'!$H3703)),'자료_미국심리'!$G3703,"")</f>
        <v/>
      </c>
    </row>
    <row r="3720">
      <c r="O3720">
        <f>IF(AND(ISNUMBER('자료_미국심리'!$A3704),ISNUMBER('자료_미국심리'!$B3704)),'자료_미국심리'!$A3704,"")</f>
        <v/>
      </c>
      <c r="P3720">
        <f>IF(AND(ISNUMBER('자료_미국심리'!$D3704),ISNUMBER('자료_미국심리'!$E3704)),'자료_미국심리'!$D3704,"")</f>
        <v/>
      </c>
      <c r="Q3720">
        <f>IF(AND(ISNUMBER('자료_미국심리'!$G3704),ISNUMBER('자료_미국심리'!$H3704)),'자료_미국심리'!$G3704,"")</f>
        <v/>
      </c>
    </row>
    <row r="3721">
      <c r="O3721">
        <f>IF(AND(ISNUMBER('자료_미국심리'!$A3705),ISNUMBER('자료_미국심리'!$B3705)),'자료_미국심리'!$A3705,"")</f>
        <v/>
      </c>
      <c r="P3721">
        <f>IF(AND(ISNUMBER('자료_미국심리'!$D3705),ISNUMBER('자료_미국심리'!$E3705)),'자료_미국심리'!$D3705,"")</f>
        <v/>
      </c>
      <c r="Q3721">
        <f>IF(AND(ISNUMBER('자료_미국심리'!$G3705),ISNUMBER('자료_미국심리'!$H3705)),'자료_미국심리'!$G3705,"")</f>
        <v/>
      </c>
    </row>
    <row r="3722">
      <c r="O3722">
        <f>IF(AND(ISNUMBER('자료_미국심리'!$A3706),ISNUMBER('자료_미국심리'!$B3706)),'자료_미국심리'!$A3706,"")</f>
        <v/>
      </c>
      <c r="P3722">
        <f>IF(AND(ISNUMBER('자료_미국심리'!$D3706),ISNUMBER('자료_미국심리'!$E3706)),'자료_미국심리'!$D3706,"")</f>
        <v/>
      </c>
      <c r="Q3722">
        <f>IF(AND(ISNUMBER('자료_미국심리'!$G3706),ISNUMBER('자료_미국심리'!$H3706)),'자료_미국심리'!$G3706,"")</f>
        <v/>
      </c>
    </row>
    <row r="3723">
      <c r="O3723">
        <f>IF(AND(ISNUMBER('자료_미국심리'!$A3707),ISNUMBER('자료_미국심리'!$B3707)),'자료_미국심리'!$A3707,"")</f>
        <v/>
      </c>
      <c r="P3723">
        <f>IF(AND(ISNUMBER('자료_미국심리'!$D3707),ISNUMBER('자료_미국심리'!$E3707)),'자료_미국심리'!$D3707,"")</f>
        <v/>
      </c>
      <c r="Q3723">
        <f>IF(AND(ISNUMBER('자료_미국심리'!$G3707),ISNUMBER('자료_미국심리'!$H3707)),'자료_미국심리'!$G3707,"")</f>
        <v/>
      </c>
    </row>
    <row r="3724">
      <c r="O3724">
        <f>IF(AND(ISNUMBER('자료_미국심리'!$A3708),ISNUMBER('자료_미국심리'!$B3708)),'자료_미국심리'!$A3708,"")</f>
        <v/>
      </c>
      <c r="P3724">
        <f>IF(AND(ISNUMBER('자료_미국심리'!$D3708),ISNUMBER('자료_미국심리'!$E3708)),'자료_미국심리'!$D3708,"")</f>
        <v/>
      </c>
      <c r="Q3724">
        <f>IF(AND(ISNUMBER('자료_미국심리'!$G3708),ISNUMBER('자료_미국심리'!$H3708)),'자료_미국심리'!$G3708,"")</f>
        <v/>
      </c>
    </row>
    <row r="3725">
      <c r="O3725">
        <f>IF(AND(ISNUMBER('자료_미국심리'!$A3709),ISNUMBER('자료_미국심리'!$B3709)),'자료_미국심리'!$A3709,"")</f>
        <v/>
      </c>
      <c r="P3725">
        <f>IF(AND(ISNUMBER('자료_미국심리'!$D3709),ISNUMBER('자료_미국심리'!$E3709)),'자료_미국심리'!$D3709,"")</f>
        <v/>
      </c>
      <c r="Q3725">
        <f>IF(AND(ISNUMBER('자료_미국심리'!$G3709),ISNUMBER('자료_미국심리'!$H3709)),'자료_미국심리'!$G3709,"")</f>
        <v/>
      </c>
    </row>
    <row r="3726">
      <c r="O3726">
        <f>IF(AND(ISNUMBER('자료_미국심리'!$A3710),ISNUMBER('자료_미국심리'!$B3710)),'자료_미국심리'!$A3710,"")</f>
        <v/>
      </c>
      <c r="P3726">
        <f>IF(AND(ISNUMBER('자료_미국심리'!$D3710),ISNUMBER('자료_미국심리'!$E3710)),'자료_미국심리'!$D3710,"")</f>
        <v/>
      </c>
      <c r="Q3726">
        <f>IF(AND(ISNUMBER('자료_미국심리'!$G3710),ISNUMBER('자료_미국심리'!$H3710)),'자료_미국심리'!$G3710,"")</f>
        <v/>
      </c>
    </row>
    <row r="3727">
      <c r="O3727">
        <f>IF(AND(ISNUMBER('자료_미국심리'!$A3711),ISNUMBER('자료_미국심리'!$B3711)),'자료_미국심리'!$A3711,"")</f>
        <v/>
      </c>
      <c r="P3727">
        <f>IF(AND(ISNUMBER('자료_미국심리'!$D3711),ISNUMBER('자료_미국심리'!$E3711)),'자료_미국심리'!$D3711,"")</f>
        <v/>
      </c>
      <c r="Q3727">
        <f>IF(AND(ISNUMBER('자료_미국심리'!$G3711),ISNUMBER('자료_미국심리'!$H3711)),'자료_미국심리'!$G3711,"")</f>
        <v/>
      </c>
    </row>
    <row r="3728">
      <c r="O3728">
        <f>IF(AND(ISNUMBER('자료_미국심리'!$A3712),ISNUMBER('자료_미국심리'!$B3712)),'자료_미국심리'!$A3712,"")</f>
        <v/>
      </c>
      <c r="P3728">
        <f>IF(AND(ISNUMBER('자료_미국심리'!$D3712),ISNUMBER('자료_미국심리'!$E3712)),'자료_미국심리'!$D3712,"")</f>
        <v/>
      </c>
      <c r="Q3728">
        <f>IF(AND(ISNUMBER('자료_미국심리'!$G3712),ISNUMBER('자료_미국심리'!$H3712)),'자료_미국심리'!$G3712,"")</f>
        <v/>
      </c>
    </row>
    <row r="3729">
      <c r="O3729">
        <f>IF(AND(ISNUMBER('자료_미국심리'!$A3713),ISNUMBER('자료_미국심리'!$B3713)),'자료_미국심리'!$A3713,"")</f>
        <v/>
      </c>
      <c r="P3729">
        <f>IF(AND(ISNUMBER('자료_미국심리'!$D3713),ISNUMBER('자료_미국심리'!$E3713)),'자료_미국심리'!$D3713,"")</f>
        <v/>
      </c>
      <c r="Q3729">
        <f>IF(AND(ISNUMBER('자료_미국심리'!$G3713),ISNUMBER('자료_미국심리'!$H3713)),'자료_미국심리'!$G3713,"")</f>
        <v/>
      </c>
    </row>
    <row r="3730">
      <c r="O3730">
        <f>IF(AND(ISNUMBER('자료_미국심리'!$A3714),ISNUMBER('자료_미국심리'!$B3714)),'자료_미국심리'!$A3714,"")</f>
        <v/>
      </c>
      <c r="P3730">
        <f>IF(AND(ISNUMBER('자료_미국심리'!$D3714),ISNUMBER('자료_미국심리'!$E3714)),'자료_미국심리'!$D3714,"")</f>
        <v/>
      </c>
      <c r="Q3730">
        <f>IF(AND(ISNUMBER('자료_미국심리'!$G3714),ISNUMBER('자료_미국심리'!$H3714)),'자료_미국심리'!$G3714,"")</f>
        <v/>
      </c>
    </row>
    <row r="3731">
      <c r="O3731">
        <f>IF(AND(ISNUMBER('자료_미국심리'!$A3715),ISNUMBER('자료_미국심리'!$B3715)),'자료_미국심리'!$A3715,"")</f>
        <v/>
      </c>
      <c r="P3731">
        <f>IF(AND(ISNUMBER('자료_미국심리'!$D3715),ISNUMBER('자료_미국심리'!$E3715)),'자료_미국심리'!$D3715,"")</f>
        <v/>
      </c>
      <c r="Q3731">
        <f>IF(AND(ISNUMBER('자료_미국심리'!$G3715),ISNUMBER('자료_미국심리'!$H3715)),'자료_미국심리'!$G3715,"")</f>
        <v/>
      </c>
    </row>
    <row r="3732">
      <c r="O3732">
        <f>IF(AND(ISNUMBER('자료_미국심리'!$A3716),ISNUMBER('자료_미국심리'!$B3716)),'자료_미국심리'!$A3716,"")</f>
        <v/>
      </c>
      <c r="P3732">
        <f>IF(AND(ISNUMBER('자료_미국심리'!$D3716),ISNUMBER('자료_미국심리'!$E3716)),'자료_미국심리'!$D3716,"")</f>
        <v/>
      </c>
      <c r="Q3732">
        <f>IF(AND(ISNUMBER('자료_미국심리'!$G3716),ISNUMBER('자료_미국심리'!$H3716)),'자료_미국심리'!$G3716,"")</f>
        <v/>
      </c>
    </row>
    <row r="3733">
      <c r="O3733">
        <f>IF(AND(ISNUMBER('자료_미국심리'!$A3717),ISNUMBER('자료_미국심리'!$B3717)),'자료_미국심리'!$A3717,"")</f>
        <v/>
      </c>
      <c r="P3733">
        <f>IF(AND(ISNUMBER('자료_미국심리'!$D3717),ISNUMBER('자료_미국심리'!$E3717)),'자료_미국심리'!$D3717,"")</f>
        <v/>
      </c>
      <c r="Q3733">
        <f>IF(AND(ISNUMBER('자료_미국심리'!$G3717),ISNUMBER('자료_미국심리'!$H3717)),'자료_미국심리'!$G3717,"")</f>
        <v/>
      </c>
    </row>
    <row r="3734">
      <c r="O3734">
        <f>IF(AND(ISNUMBER('자료_미국심리'!$A3718),ISNUMBER('자료_미국심리'!$B3718)),'자료_미국심리'!$A3718,"")</f>
        <v/>
      </c>
      <c r="P3734">
        <f>IF(AND(ISNUMBER('자료_미국심리'!$D3718),ISNUMBER('자료_미국심리'!$E3718)),'자료_미국심리'!$D3718,"")</f>
        <v/>
      </c>
      <c r="Q3734">
        <f>IF(AND(ISNUMBER('자료_미국심리'!$G3718),ISNUMBER('자료_미국심리'!$H3718)),'자료_미국심리'!$G3718,"")</f>
        <v/>
      </c>
    </row>
    <row r="3735">
      <c r="O3735">
        <f>IF(AND(ISNUMBER('자료_미국심리'!$A3719),ISNUMBER('자료_미국심리'!$B3719)),'자료_미국심리'!$A3719,"")</f>
        <v/>
      </c>
      <c r="P3735">
        <f>IF(AND(ISNUMBER('자료_미국심리'!$D3719),ISNUMBER('자료_미국심리'!$E3719)),'자료_미국심리'!$D3719,"")</f>
        <v/>
      </c>
      <c r="Q3735">
        <f>IF(AND(ISNUMBER('자료_미국심리'!$G3719),ISNUMBER('자료_미국심리'!$H3719)),'자료_미국심리'!$G3719,"")</f>
        <v/>
      </c>
    </row>
    <row r="3736">
      <c r="O3736">
        <f>IF(AND(ISNUMBER('자료_미국심리'!$A3720),ISNUMBER('자료_미국심리'!$B3720)),'자료_미국심리'!$A3720,"")</f>
        <v/>
      </c>
      <c r="P3736">
        <f>IF(AND(ISNUMBER('자료_미국심리'!$D3720),ISNUMBER('자료_미국심리'!$E3720)),'자료_미국심리'!$D3720,"")</f>
        <v/>
      </c>
      <c r="Q3736">
        <f>IF(AND(ISNUMBER('자료_미국심리'!$G3720),ISNUMBER('자료_미국심리'!$H3720)),'자료_미국심리'!$G3720,"")</f>
        <v/>
      </c>
    </row>
    <row r="3737">
      <c r="O3737">
        <f>IF(AND(ISNUMBER('자료_미국심리'!$A3721),ISNUMBER('자료_미국심리'!$B3721)),'자료_미국심리'!$A3721,"")</f>
        <v/>
      </c>
      <c r="P3737">
        <f>IF(AND(ISNUMBER('자료_미국심리'!$D3721),ISNUMBER('자료_미국심리'!$E3721)),'자료_미국심리'!$D3721,"")</f>
        <v/>
      </c>
      <c r="Q3737">
        <f>IF(AND(ISNUMBER('자료_미국심리'!$G3721),ISNUMBER('자료_미국심리'!$H3721)),'자료_미국심리'!$G3721,"")</f>
        <v/>
      </c>
    </row>
    <row r="3738">
      <c r="O3738">
        <f>IF(AND(ISNUMBER('자료_미국심리'!$A3722),ISNUMBER('자료_미국심리'!$B3722)),'자료_미국심리'!$A3722,"")</f>
        <v/>
      </c>
      <c r="P3738">
        <f>IF(AND(ISNUMBER('자료_미국심리'!$D3722),ISNUMBER('자료_미국심리'!$E3722)),'자료_미국심리'!$D3722,"")</f>
        <v/>
      </c>
      <c r="Q3738">
        <f>IF(AND(ISNUMBER('자료_미국심리'!$G3722),ISNUMBER('자료_미국심리'!$H3722)),'자료_미국심리'!$G3722,"")</f>
        <v/>
      </c>
    </row>
    <row r="3739">
      <c r="O3739">
        <f>IF(AND(ISNUMBER('자료_미국심리'!$A3723),ISNUMBER('자료_미국심리'!$B3723)),'자료_미국심리'!$A3723,"")</f>
        <v/>
      </c>
      <c r="P3739">
        <f>IF(AND(ISNUMBER('자료_미국심리'!$D3723),ISNUMBER('자료_미국심리'!$E3723)),'자료_미국심리'!$D3723,"")</f>
        <v/>
      </c>
      <c r="Q3739">
        <f>IF(AND(ISNUMBER('자료_미국심리'!$G3723),ISNUMBER('자료_미국심리'!$H3723)),'자료_미국심리'!$G3723,"")</f>
        <v/>
      </c>
    </row>
    <row r="3740">
      <c r="O3740">
        <f>IF(AND(ISNUMBER('자료_미국심리'!$A3724),ISNUMBER('자료_미국심리'!$B3724)),'자료_미국심리'!$A3724,"")</f>
        <v/>
      </c>
      <c r="P3740">
        <f>IF(AND(ISNUMBER('자료_미국심리'!$D3724),ISNUMBER('자료_미국심리'!$E3724)),'자료_미국심리'!$D3724,"")</f>
        <v/>
      </c>
      <c r="Q3740">
        <f>IF(AND(ISNUMBER('자료_미국심리'!$G3724),ISNUMBER('자료_미국심리'!$H3724)),'자료_미국심리'!$G3724,"")</f>
        <v/>
      </c>
    </row>
    <row r="3741">
      <c r="O3741">
        <f>IF(AND(ISNUMBER('자료_미국심리'!$A3725),ISNUMBER('자료_미국심리'!$B3725)),'자료_미국심리'!$A3725,"")</f>
        <v/>
      </c>
      <c r="P3741">
        <f>IF(AND(ISNUMBER('자료_미국심리'!$D3725),ISNUMBER('자료_미국심리'!$E3725)),'자료_미국심리'!$D3725,"")</f>
        <v/>
      </c>
      <c r="Q3741">
        <f>IF(AND(ISNUMBER('자료_미국심리'!$G3725),ISNUMBER('자료_미국심리'!$H3725)),'자료_미국심리'!$G3725,"")</f>
        <v/>
      </c>
    </row>
    <row r="3742">
      <c r="O3742">
        <f>IF(AND(ISNUMBER('자료_미국심리'!$A3726),ISNUMBER('자료_미국심리'!$B3726)),'자료_미국심리'!$A3726,"")</f>
        <v/>
      </c>
      <c r="P3742">
        <f>IF(AND(ISNUMBER('자료_미국심리'!$D3726),ISNUMBER('자료_미국심리'!$E3726)),'자료_미국심리'!$D3726,"")</f>
        <v/>
      </c>
      <c r="Q3742">
        <f>IF(AND(ISNUMBER('자료_미국심리'!$G3726),ISNUMBER('자료_미국심리'!$H3726)),'자료_미국심리'!$G3726,"")</f>
        <v/>
      </c>
    </row>
    <row r="3743">
      <c r="O3743">
        <f>IF(AND(ISNUMBER('자료_미국심리'!$A3727),ISNUMBER('자료_미국심리'!$B3727)),'자료_미국심리'!$A3727,"")</f>
        <v/>
      </c>
      <c r="P3743">
        <f>IF(AND(ISNUMBER('자료_미국심리'!$D3727),ISNUMBER('자료_미국심리'!$E3727)),'자료_미국심리'!$D3727,"")</f>
        <v/>
      </c>
      <c r="Q3743">
        <f>IF(AND(ISNUMBER('자료_미국심리'!$G3727),ISNUMBER('자료_미국심리'!$H3727)),'자료_미국심리'!$G3727,"")</f>
        <v/>
      </c>
    </row>
    <row r="3744">
      <c r="O3744">
        <f>IF(AND(ISNUMBER('자료_미국심리'!$A3728),ISNUMBER('자료_미국심리'!$B3728)),'자료_미국심리'!$A3728,"")</f>
        <v/>
      </c>
      <c r="P3744">
        <f>IF(AND(ISNUMBER('자료_미국심리'!$D3728),ISNUMBER('자료_미국심리'!$E3728)),'자료_미국심리'!$D3728,"")</f>
        <v/>
      </c>
      <c r="Q3744">
        <f>IF(AND(ISNUMBER('자료_미국심리'!$G3728),ISNUMBER('자료_미국심리'!$H3728)),'자료_미국심리'!$G3728,"")</f>
        <v/>
      </c>
    </row>
    <row r="3745">
      <c r="O3745">
        <f>IF(AND(ISNUMBER('자료_미국심리'!$A3729),ISNUMBER('자료_미국심리'!$B3729)),'자료_미국심리'!$A3729,"")</f>
        <v/>
      </c>
      <c r="P3745">
        <f>IF(AND(ISNUMBER('자료_미국심리'!$D3729),ISNUMBER('자료_미국심리'!$E3729)),'자료_미국심리'!$D3729,"")</f>
        <v/>
      </c>
      <c r="Q3745">
        <f>IF(AND(ISNUMBER('자료_미국심리'!$G3729),ISNUMBER('자료_미국심리'!$H3729)),'자료_미국심리'!$G3729,"")</f>
        <v/>
      </c>
    </row>
    <row r="3746">
      <c r="O3746">
        <f>IF(AND(ISNUMBER('자료_미국심리'!$A3730),ISNUMBER('자료_미국심리'!$B3730)),'자료_미국심리'!$A3730,"")</f>
        <v/>
      </c>
      <c r="P3746">
        <f>IF(AND(ISNUMBER('자료_미국심리'!$D3730),ISNUMBER('자료_미국심리'!$E3730)),'자료_미국심리'!$D3730,"")</f>
        <v/>
      </c>
      <c r="Q3746">
        <f>IF(AND(ISNUMBER('자료_미국심리'!$G3730),ISNUMBER('자료_미국심리'!$H3730)),'자료_미국심리'!$G3730,"")</f>
        <v/>
      </c>
    </row>
    <row r="3747">
      <c r="O3747">
        <f>IF(AND(ISNUMBER('자료_미국심리'!$A3731),ISNUMBER('자료_미국심리'!$B3731)),'자료_미국심리'!$A3731,"")</f>
        <v/>
      </c>
      <c r="P3747">
        <f>IF(AND(ISNUMBER('자료_미국심리'!$D3731),ISNUMBER('자료_미국심리'!$E3731)),'자료_미국심리'!$D3731,"")</f>
        <v/>
      </c>
      <c r="Q3747">
        <f>IF(AND(ISNUMBER('자료_미국심리'!$G3731),ISNUMBER('자료_미국심리'!$H3731)),'자료_미국심리'!$G3731,"")</f>
        <v/>
      </c>
    </row>
    <row r="3748">
      <c r="O3748">
        <f>IF(AND(ISNUMBER('자료_미국심리'!$A3732),ISNUMBER('자료_미국심리'!$B3732)),'자료_미국심리'!$A3732,"")</f>
        <v/>
      </c>
      <c r="P3748">
        <f>IF(AND(ISNUMBER('자료_미국심리'!$D3732),ISNUMBER('자료_미국심리'!$E3732)),'자료_미국심리'!$D3732,"")</f>
        <v/>
      </c>
      <c r="Q3748">
        <f>IF(AND(ISNUMBER('자료_미국심리'!$G3732),ISNUMBER('자료_미국심리'!$H3732)),'자료_미국심리'!$G3732,"")</f>
        <v/>
      </c>
    </row>
    <row r="3749">
      <c r="O3749">
        <f>IF(AND(ISNUMBER('자료_미국심리'!$A3733),ISNUMBER('자료_미국심리'!$B3733)),'자료_미국심리'!$A3733,"")</f>
        <v/>
      </c>
      <c r="P3749">
        <f>IF(AND(ISNUMBER('자료_미국심리'!$D3733),ISNUMBER('자료_미국심리'!$E3733)),'자료_미국심리'!$D3733,"")</f>
        <v/>
      </c>
      <c r="Q3749">
        <f>IF(AND(ISNUMBER('자료_미국심리'!$G3733),ISNUMBER('자료_미국심리'!$H3733)),'자료_미국심리'!$G3733,"")</f>
        <v/>
      </c>
    </row>
    <row r="3750">
      <c r="O3750">
        <f>IF(AND(ISNUMBER('자료_미국심리'!$A3734),ISNUMBER('자료_미국심리'!$B3734)),'자료_미국심리'!$A3734,"")</f>
        <v/>
      </c>
      <c r="P3750">
        <f>IF(AND(ISNUMBER('자료_미국심리'!$D3734),ISNUMBER('자료_미국심리'!$E3734)),'자료_미국심리'!$D3734,"")</f>
        <v/>
      </c>
      <c r="Q3750">
        <f>IF(AND(ISNUMBER('자료_미국심리'!$G3734),ISNUMBER('자료_미국심리'!$H3734)),'자료_미국심리'!$G3734,"")</f>
        <v/>
      </c>
    </row>
    <row r="3751">
      <c r="O3751">
        <f>IF(AND(ISNUMBER('자료_미국심리'!$A3735),ISNUMBER('자료_미국심리'!$B3735)),'자료_미국심리'!$A3735,"")</f>
        <v/>
      </c>
      <c r="P3751">
        <f>IF(AND(ISNUMBER('자료_미국심리'!$D3735),ISNUMBER('자료_미국심리'!$E3735)),'자료_미국심리'!$D3735,"")</f>
        <v/>
      </c>
      <c r="Q3751">
        <f>IF(AND(ISNUMBER('자료_미국심리'!$G3735),ISNUMBER('자료_미국심리'!$H3735)),'자료_미국심리'!$G3735,"")</f>
        <v/>
      </c>
    </row>
    <row r="3752">
      <c r="O3752">
        <f>IF(AND(ISNUMBER('자료_미국심리'!$A3736),ISNUMBER('자료_미국심리'!$B3736)),'자료_미국심리'!$A3736,"")</f>
        <v/>
      </c>
      <c r="P3752">
        <f>IF(AND(ISNUMBER('자료_미국심리'!$D3736),ISNUMBER('자료_미국심리'!$E3736)),'자료_미국심리'!$D3736,"")</f>
        <v/>
      </c>
      <c r="Q3752">
        <f>IF(AND(ISNUMBER('자료_미국심리'!$G3736),ISNUMBER('자료_미국심리'!$H3736)),'자료_미국심리'!$G3736,"")</f>
        <v/>
      </c>
    </row>
    <row r="3753">
      <c r="O3753">
        <f>IF(AND(ISNUMBER('자료_미국심리'!$A3737),ISNUMBER('자료_미국심리'!$B3737)),'자료_미국심리'!$A3737,"")</f>
        <v/>
      </c>
      <c r="P3753">
        <f>IF(AND(ISNUMBER('자료_미국심리'!$D3737),ISNUMBER('자료_미국심리'!$E3737)),'자료_미국심리'!$D3737,"")</f>
        <v/>
      </c>
      <c r="Q3753">
        <f>IF(AND(ISNUMBER('자료_미국심리'!$G3737),ISNUMBER('자료_미국심리'!$H3737)),'자료_미국심리'!$G3737,"")</f>
        <v/>
      </c>
    </row>
    <row r="3754">
      <c r="O3754">
        <f>IF(AND(ISNUMBER('자료_미국심리'!$A3738),ISNUMBER('자료_미국심리'!$B3738)),'자료_미국심리'!$A3738,"")</f>
        <v/>
      </c>
      <c r="P3754">
        <f>IF(AND(ISNUMBER('자료_미국심리'!$D3738),ISNUMBER('자료_미국심리'!$E3738)),'자료_미국심리'!$D3738,"")</f>
        <v/>
      </c>
      <c r="Q3754">
        <f>IF(AND(ISNUMBER('자료_미국심리'!$G3738),ISNUMBER('자료_미국심리'!$H3738)),'자료_미국심리'!$G3738,"")</f>
        <v/>
      </c>
    </row>
    <row r="3755">
      <c r="O3755">
        <f>IF(AND(ISNUMBER('자료_미국심리'!$A3739),ISNUMBER('자료_미국심리'!$B3739)),'자료_미국심리'!$A3739,"")</f>
        <v/>
      </c>
      <c r="P3755">
        <f>IF(AND(ISNUMBER('자료_미국심리'!$D3739),ISNUMBER('자료_미국심리'!$E3739)),'자료_미국심리'!$D3739,"")</f>
        <v/>
      </c>
      <c r="Q3755">
        <f>IF(AND(ISNUMBER('자료_미국심리'!$G3739),ISNUMBER('자료_미국심리'!$H3739)),'자료_미국심리'!$G3739,"")</f>
        <v/>
      </c>
    </row>
    <row r="3756">
      <c r="O3756">
        <f>IF(AND(ISNUMBER('자료_미국심리'!$A3740),ISNUMBER('자료_미국심리'!$B3740)),'자료_미국심리'!$A3740,"")</f>
        <v/>
      </c>
      <c r="P3756">
        <f>IF(AND(ISNUMBER('자료_미국심리'!$D3740),ISNUMBER('자료_미국심리'!$E3740)),'자료_미국심리'!$D3740,"")</f>
        <v/>
      </c>
      <c r="Q3756">
        <f>IF(AND(ISNUMBER('자료_미국심리'!$G3740),ISNUMBER('자료_미국심리'!$H3740)),'자료_미국심리'!$G3740,"")</f>
        <v/>
      </c>
    </row>
    <row r="3757">
      <c r="O3757">
        <f>IF(AND(ISNUMBER('자료_미국심리'!$A3741),ISNUMBER('자료_미국심리'!$B3741)),'자료_미국심리'!$A3741,"")</f>
        <v/>
      </c>
      <c r="P3757">
        <f>IF(AND(ISNUMBER('자료_미국심리'!$D3741),ISNUMBER('자료_미국심리'!$E3741)),'자료_미국심리'!$D3741,"")</f>
        <v/>
      </c>
      <c r="Q3757">
        <f>IF(AND(ISNUMBER('자료_미국심리'!$G3741),ISNUMBER('자료_미국심리'!$H3741)),'자료_미국심리'!$G3741,"")</f>
        <v/>
      </c>
    </row>
    <row r="3758">
      <c r="O3758">
        <f>IF(AND(ISNUMBER('자료_미국심리'!$A3742),ISNUMBER('자료_미국심리'!$B3742)),'자료_미국심리'!$A3742,"")</f>
        <v/>
      </c>
      <c r="P3758">
        <f>IF(AND(ISNUMBER('자료_미국심리'!$D3742),ISNUMBER('자료_미국심리'!$E3742)),'자료_미국심리'!$D3742,"")</f>
        <v/>
      </c>
      <c r="Q3758">
        <f>IF(AND(ISNUMBER('자료_미국심리'!$G3742),ISNUMBER('자료_미국심리'!$H3742)),'자료_미국심리'!$G3742,"")</f>
        <v/>
      </c>
    </row>
    <row r="3759">
      <c r="O3759">
        <f>IF(AND(ISNUMBER('자료_미국심리'!$A3743),ISNUMBER('자료_미국심리'!$B3743)),'자료_미국심리'!$A3743,"")</f>
        <v/>
      </c>
      <c r="P3759">
        <f>IF(AND(ISNUMBER('자료_미국심리'!$D3743),ISNUMBER('자료_미국심리'!$E3743)),'자료_미국심리'!$D3743,"")</f>
        <v/>
      </c>
      <c r="Q3759">
        <f>IF(AND(ISNUMBER('자료_미국심리'!$G3743),ISNUMBER('자료_미국심리'!$H3743)),'자료_미국심리'!$G3743,"")</f>
        <v/>
      </c>
    </row>
    <row r="3760">
      <c r="O3760">
        <f>IF(AND(ISNUMBER('자료_미국심리'!$A3744),ISNUMBER('자료_미국심리'!$B3744)),'자료_미국심리'!$A3744,"")</f>
        <v/>
      </c>
      <c r="P3760">
        <f>IF(AND(ISNUMBER('자료_미국심리'!$D3744),ISNUMBER('자료_미국심리'!$E3744)),'자료_미국심리'!$D3744,"")</f>
        <v/>
      </c>
      <c r="Q3760">
        <f>IF(AND(ISNUMBER('자료_미국심리'!$G3744),ISNUMBER('자료_미국심리'!$H3744)),'자료_미국심리'!$G3744,"")</f>
        <v/>
      </c>
    </row>
    <row r="3761">
      <c r="O3761">
        <f>IF(AND(ISNUMBER('자료_미국심리'!$A3745),ISNUMBER('자료_미국심리'!$B3745)),'자료_미국심리'!$A3745,"")</f>
        <v/>
      </c>
      <c r="P3761">
        <f>IF(AND(ISNUMBER('자료_미국심리'!$D3745),ISNUMBER('자료_미국심리'!$E3745)),'자료_미국심리'!$D3745,"")</f>
        <v/>
      </c>
      <c r="Q3761">
        <f>IF(AND(ISNUMBER('자료_미국심리'!$G3745),ISNUMBER('자료_미국심리'!$H3745)),'자료_미국심리'!$G3745,"")</f>
        <v/>
      </c>
    </row>
    <row r="3762">
      <c r="O3762">
        <f>IF(AND(ISNUMBER('자료_미국심리'!$A3746),ISNUMBER('자료_미국심리'!$B3746)),'자료_미국심리'!$A3746,"")</f>
        <v/>
      </c>
      <c r="P3762">
        <f>IF(AND(ISNUMBER('자료_미국심리'!$D3746),ISNUMBER('자료_미국심리'!$E3746)),'자료_미국심리'!$D3746,"")</f>
        <v/>
      </c>
      <c r="Q3762">
        <f>IF(AND(ISNUMBER('자료_미국심리'!$G3746),ISNUMBER('자료_미국심리'!$H3746)),'자료_미국심리'!$G3746,"")</f>
        <v/>
      </c>
    </row>
    <row r="3763">
      <c r="O3763">
        <f>IF(AND(ISNUMBER('자료_미국심리'!$A3747),ISNUMBER('자료_미국심리'!$B3747)),'자료_미국심리'!$A3747,"")</f>
        <v/>
      </c>
      <c r="P3763">
        <f>IF(AND(ISNUMBER('자료_미국심리'!$D3747),ISNUMBER('자료_미국심리'!$E3747)),'자료_미국심리'!$D3747,"")</f>
        <v/>
      </c>
      <c r="Q3763">
        <f>IF(AND(ISNUMBER('자료_미국심리'!$G3747),ISNUMBER('자료_미국심리'!$H3747)),'자료_미국심리'!$G3747,"")</f>
        <v/>
      </c>
    </row>
    <row r="3764">
      <c r="O3764">
        <f>IF(AND(ISNUMBER('자료_미국심리'!$A3748),ISNUMBER('자료_미국심리'!$B3748)),'자료_미국심리'!$A3748,"")</f>
        <v/>
      </c>
      <c r="P3764">
        <f>IF(AND(ISNUMBER('자료_미국심리'!$D3748),ISNUMBER('자료_미국심리'!$E3748)),'자료_미국심리'!$D3748,"")</f>
        <v/>
      </c>
      <c r="Q3764">
        <f>IF(AND(ISNUMBER('자료_미국심리'!$G3748),ISNUMBER('자료_미국심리'!$H3748)),'자료_미국심리'!$G3748,"")</f>
        <v/>
      </c>
    </row>
    <row r="3765">
      <c r="O3765">
        <f>IF(AND(ISNUMBER('자료_미국심리'!$A3749),ISNUMBER('자료_미국심리'!$B3749)),'자료_미국심리'!$A3749,"")</f>
        <v/>
      </c>
      <c r="P3765">
        <f>IF(AND(ISNUMBER('자료_미국심리'!$D3749),ISNUMBER('자료_미국심리'!$E3749)),'자료_미국심리'!$D3749,"")</f>
        <v/>
      </c>
      <c r="Q3765">
        <f>IF(AND(ISNUMBER('자료_미국심리'!$G3749),ISNUMBER('자료_미국심리'!$H3749)),'자료_미국심리'!$G3749,"")</f>
        <v/>
      </c>
    </row>
    <row r="3766">
      <c r="O3766">
        <f>IF(AND(ISNUMBER('자료_미국심리'!$A3750),ISNUMBER('자료_미국심리'!$B3750)),'자료_미국심리'!$A3750,"")</f>
        <v/>
      </c>
      <c r="P3766">
        <f>IF(AND(ISNUMBER('자료_미국심리'!$D3750),ISNUMBER('자료_미국심리'!$E3750)),'자료_미국심리'!$D3750,"")</f>
        <v/>
      </c>
      <c r="Q3766">
        <f>IF(AND(ISNUMBER('자료_미국심리'!$G3750),ISNUMBER('자료_미국심리'!$H3750)),'자료_미국심리'!$G3750,"")</f>
        <v/>
      </c>
    </row>
    <row r="3767">
      <c r="O3767">
        <f>IF(AND(ISNUMBER('자료_미국심리'!$A3751),ISNUMBER('자료_미국심리'!$B3751)),'자료_미국심리'!$A3751,"")</f>
        <v/>
      </c>
      <c r="P3767">
        <f>IF(AND(ISNUMBER('자료_미국심리'!$D3751),ISNUMBER('자료_미국심리'!$E3751)),'자료_미국심리'!$D3751,"")</f>
        <v/>
      </c>
      <c r="Q3767">
        <f>IF(AND(ISNUMBER('자료_미국심리'!$G3751),ISNUMBER('자료_미국심리'!$H3751)),'자료_미국심리'!$G3751,"")</f>
        <v/>
      </c>
    </row>
    <row r="3768">
      <c r="O3768">
        <f>IF(AND(ISNUMBER('자료_미국심리'!$A3752),ISNUMBER('자료_미국심리'!$B3752)),'자료_미국심리'!$A3752,"")</f>
        <v/>
      </c>
      <c r="P3768">
        <f>IF(AND(ISNUMBER('자료_미국심리'!$D3752),ISNUMBER('자료_미국심리'!$E3752)),'자료_미국심리'!$D3752,"")</f>
        <v/>
      </c>
      <c r="Q3768">
        <f>IF(AND(ISNUMBER('자료_미국심리'!$G3752),ISNUMBER('자료_미국심리'!$H3752)),'자료_미국심리'!$G3752,"")</f>
        <v/>
      </c>
    </row>
    <row r="3769">
      <c r="O3769">
        <f>IF(AND(ISNUMBER('자료_미국심리'!$A3753),ISNUMBER('자료_미국심리'!$B3753)),'자료_미국심리'!$A3753,"")</f>
        <v/>
      </c>
      <c r="P3769">
        <f>IF(AND(ISNUMBER('자료_미국심리'!$D3753),ISNUMBER('자료_미국심리'!$E3753)),'자료_미국심리'!$D3753,"")</f>
        <v/>
      </c>
      <c r="Q3769">
        <f>IF(AND(ISNUMBER('자료_미국심리'!$G3753),ISNUMBER('자료_미국심리'!$H3753)),'자료_미국심리'!$G3753,"")</f>
        <v/>
      </c>
    </row>
    <row r="3770">
      <c r="O3770">
        <f>IF(AND(ISNUMBER('자료_미국심리'!$A3754),ISNUMBER('자료_미국심리'!$B3754)),'자료_미국심리'!$A3754,"")</f>
        <v/>
      </c>
      <c r="P3770">
        <f>IF(AND(ISNUMBER('자료_미국심리'!$D3754),ISNUMBER('자료_미국심리'!$E3754)),'자료_미국심리'!$D3754,"")</f>
        <v/>
      </c>
      <c r="Q3770">
        <f>IF(AND(ISNUMBER('자료_미국심리'!$G3754),ISNUMBER('자료_미국심리'!$H3754)),'자료_미국심리'!$G3754,"")</f>
        <v/>
      </c>
    </row>
    <row r="3771">
      <c r="O3771">
        <f>IF(AND(ISNUMBER('자료_미국심리'!$A3755),ISNUMBER('자료_미국심리'!$B3755)),'자료_미국심리'!$A3755,"")</f>
        <v/>
      </c>
      <c r="P3771">
        <f>IF(AND(ISNUMBER('자료_미국심리'!$D3755),ISNUMBER('자료_미국심리'!$E3755)),'자료_미국심리'!$D3755,"")</f>
        <v/>
      </c>
      <c r="Q3771">
        <f>IF(AND(ISNUMBER('자료_미국심리'!$G3755),ISNUMBER('자료_미국심리'!$H3755)),'자료_미국심리'!$G3755,"")</f>
        <v/>
      </c>
    </row>
    <row r="3772">
      <c r="O3772">
        <f>IF(AND(ISNUMBER('자료_미국심리'!$A3756),ISNUMBER('자료_미국심리'!$B3756)),'자료_미국심리'!$A3756,"")</f>
        <v/>
      </c>
      <c r="P3772">
        <f>IF(AND(ISNUMBER('자료_미국심리'!$D3756),ISNUMBER('자료_미국심리'!$E3756)),'자료_미국심리'!$D3756,"")</f>
        <v/>
      </c>
      <c r="Q3772">
        <f>IF(AND(ISNUMBER('자료_미국심리'!$G3756),ISNUMBER('자료_미국심리'!$H3756)),'자료_미국심리'!$G3756,"")</f>
        <v/>
      </c>
    </row>
    <row r="3773">
      <c r="O3773">
        <f>IF(AND(ISNUMBER('자료_미국심리'!$A3757),ISNUMBER('자료_미국심리'!$B3757)),'자료_미국심리'!$A3757,"")</f>
        <v/>
      </c>
      <c r="P3773">
        <f>IF(AND(ISNUMBER('자료_미국심리'!$D3757),ISNUMBER('자료_미국심리'!$E3757)),'자료_미국심리'!$D3757,"")</f>
        <v/>
      </c>
      <c r="Q3773">
        <f>IF(AND(ISNUMBER('자료_미국심리'!$G3757),ISNUMBER('자료_미국심리'!$H3757)),'자료_미국심리'!$G3757,"")</f>
        <v/>
      </c>
    </row>
    <row r="3774">
      <c r="O3774">
        <f>IF(AND(ISNUMBER('자료_미국심리'!$A3758),ISNUMBER('자료_미국심리'!$B3758)),'자료_미국심리'!$A3758,"")</f>
        <v/>
      </c>
      <c r="P3774">
        <f>IF(AND(ISNUMBER('자료_미국심리'!$D3758),ISNUMBER('자료_미국심리'!$E3758)),'자료_미국심리'!$D3758,"")</f>
        <v/>
      </c>
      <c r="Q3774">
        <f>IF(AND(ISNUMBER('자료_미국심리'!$G3758),ISNUMBER('자료_미국심리'!$H3758)),'자료_미국심리'!$G3758,"")</f>
        <v/>
      </c>
    </row>
    <row r="3775">
      <c r="O3775">
        <f>IF(AND(ISNUMBER('자료_미국심리'!$A3759),ISNUMBER('자료_미국심리'!$B3759)),'자료_미국심리'!$A3759,"")</f>
        <v/>
      </c>
      <c r="P3775">
        <f>IF(AND(ISNUMBER('자료_미국심리'!$D3759),ISNUMBER('자료_미국심리'!$E3759)),'자료_미국심리'!$D3759,"")</f>
        <v/>
      </c>
      <c r="Q3775">
        <f>IF(AND(ISNUMBER('자료_미국심리'!$G3759),ISNUMBER('자료_미국심리'!$H3759)),'자료_미국심리'!$G3759,"")</f>
        <v/>
      </c>
    </row>
    <row r="3776">
      <c r="O3776">
        <f>IF(AND(ISNUMBER('자료_미국심리'!$A3760),ISNUMBER('자료_미국심리'!$B3760)),'자료_미국심리'!$A3760,"")</f>
        <v/>
      </c>
      <c r="P3776">
        <f>IF(AND(ISNUMBER('자료_미국심리'!$D3760),ISNUMBER('자료_미국심리'!$E3760)),'자료_미국심리'!$D3760,"")</f>
        <v/>
      </c>
      <c r="Q3776">
        <f>IF(AND(ISNUMBER('자료_미국심리'!$G3760),ISNUMBER('자료_미국심리'!$H3760)),'자료_미국심리'!$G3760,"")</f>
        <v/>
      </c>
    </row>
    <row r="3777">
      <c r="O3777">
        <f>IF(AND(ISNUMBER('자료_미국심리'!$A3761),ISNUMBER('자료_미국심리'!$B3761)),'자료_미국심리'!$A3761,"")</f>
        <v/>
      </c>
      <c r="P3777">
        <f>IF(AND(ISNUMBER('자료_미국심리'!$D3761),ISNUMBER('자료_미국심리'!$E3761)),'자료_미국심리'!$D3761,"")</f>
        <v/>
      </c>
      <c r="Q3777">
        <f>IF(AND(ISNUMBER('자료_미국심리'!$G3761),ISNUMBER('자료_미국심리'!$H3761)),'자료_미국심리'!$G3761,"")</f>
        <v/>
      </c>
    </row>
    <row r="3778">
      <c r="O3778">
        <f>IF(AND(ISNUMBER('자료_미국심리'!$A3762),ISNUMBER('자료_미국심리'!$B3762)),'자료_미국심리'!$A3762,"")</f>
        <v/>
      </c>
      <c r="P3778">
        <f>IF(AND(ISNUMBER('자료_미국심리'!$D3762),ISNUMBER('자료_미국심리'!$E3762)),'자료_미국심리'!$D3762,"")</f>
        <v/>
      </c>
      <c r="Q3778">
        <f>IF(AND(ISNUMBER('자료_미국심리'!$G3762),ISNUMBER('자료_미국심리'!$H3762)),'자료_미국심리'!$G3762,"")</f>
        <v/>
      </c>
    </row>
    <row r="3779">
      <c r="O3779">
        <f>IF(AND(ISNUMBER('자료_미국심리'!$A3763),ISNUMBER('자료_미국심리'!$B3763)),'자료_미국심리'!$A3763,"")</f>
        <v/>
      </c>
      <c r="P3779">
        <f>IF(AND(ISNUMBER('자료_미국심리'!$D3763),ISNUMBER('자료_미국심리'!$E3763)),'자료_미국심리'!$D3763,"")</f>
        <v/>
      </c>
      <c r="Q3779">
        <f>IF(AND(ISNUMBER('자료_미국심리'!$G3763),ISNUMBER('자료_미국심리'!$H3763)),'자료_미국심리'!$G3763,"")</f>
        <v/>
      </c>
    </row>
    <row r="3780">
      <c r="O3780">
        <f>IF(AND(ISNUMBER('자료_미국심리'!$A3764),ISNUMBER('자료_미국심리'!$B3764)),'자료_미국심리'!$A3764,"")</f>
        <v/>
      </c>
      <c r="P3780">
        <f>IF(AND(ISNUMBER('자료_미국심리'!$D3764),ISNUMBER('자료_미국심리'!$E3764)),'자료_미국심리'!$D3764,"")</f>
        <v/>
      </c>
      <c r="Q3780">
        <f>IF(AND(ISNUMBER('자료_미국심리'!$G3764),ISNUMBER('자료_미국심리'!$H3764)),'자료_미국심리'!$G3764,"")</f>
        <v/>
      </c>
    </row>
    <row r="3781">
      <c r="O3781">
        <f>IF(AND(ISNUMBER('자료_미국심리'!$A3765),ISNUMBER('자료_미국심리'!$B3765)),'자료_미국심리'!$A3765,"")</f>
        <v/>
      </c>
      <c r="P3781">
        <f>IF(AND(ISNUMBER('자료_미국심리'!$D3765),ISNUMBER('자료_미국심리'!$E3765)),'자료_미국심리'!$D3765,"")</f>
        <v/>
      </c>
      <c r="Q3781">
        <f>IF(AND(ISNUMBER('자료_미국심리'!$G3765),ISNUMBER('자료_미국심리'!$H3765)),'자료_미국심리'!$G3765,"")</f>
        <v/>
      </c>
    </row>
    <row r="3782">
      <c r="O3782">
        <f>IF(AND(ISNUMBER('자료_미국심리'!$A3766),ISNUMBER('자료_미국심리'!$B3766)),'자료_미국심리'!$A3766,"")</f>
        <v/>
      </c>
      <c r="P3782">
        <f>IF(AND(ISNUMBER('자료_미국심리'!$D3766),ISNUMBER('자료_미국심리'!$E3766)),'자료_미국심리'!$D3766,"")</f>
        <v/>
      </c>
      <c r="Q3782">
        <f>IF(AND(ISNUMBER('자료_미국심리'!$G3766),ISNUMBER('자료_미국심리'!$H3766)),'자료_미국심리'!$G3766,"")</f>
        <v/>
      </c>
    </row>
    <row r="3783">
      <c r="O3783">
        <f>IF(AND(ISNUMBER('자료_미국심리'!$A3767),ISNUMBER('자료_미국심리'!$B3767)),'자료_미국심리'!$A3767,"")</f>
        <v/>
      </c>
      <c r="P3783">
        <f>IF(AND(ISNUMBER('자료_미국심리'!$D3767),ISNUMBER('자료_미국심리'!$E3767)),'자료_미국심리'!$D3767,"")</f>
        <v/>
      </c>
      <c r="Q3783">
        <f>IF(AND(ISNUMBER('자료_미국심리'!$G3767),ISNUMBER('자료_미국심리'!$H3767)),'자료_미국심리'!$G3767,"")</f>
        <v/>
      </c>
    </row>
    <row r="3784">
      <c r="O3784">
        <f>IF(AND(ISNUMBER('자료_미국심리'!$A3768),ISNUMBER('자료_미국심리'!$B3768)),'자료_미국심리'!$A3768,"")</f>
        <v/>
      </c>
      <c r="P3784">
        <f>IF(AND(ISNUMBER('자료_미국심리'!$D3768),ISNUMBER('자료_미국심리'!$E3768)),'자료_미국심리'!$D3768,"")</f>
        <v/>
      </c>
      <c r="Q3784">
        <f>IF(AND(ISNUMBER('자료_미국심리'!$G3768),ISNUMBER('자료_미국심리'!$H3768)),'자료_미국심리'!$G3768,"")</f>
        <v/>
      </c>
    </row>
    <row r="3785">
      <c r="O3785">
        <f>IF(AND(ISNUMBER('자료_미국심리'!$A3769),ISNUMBER('자료_미국심리'!$B3769)),'자료_미국심리'!$A3769,"")</f>
        <v/>
      </c>
      <c r="P3785">
        <f>IF(AND(ISNUMBER('자료_미국심리'!$D3769),ISNUMBER('자료_미국심리'!$E3769)),'자료_미국심리'!$D3769,"")</f>
        <v/>
      </c>
      <c r="Q3785">
        <f>IF(AND(ISNUMBER('자료_미국심리'!$G3769),ISNUMBER('자료_미국심리'!$H3769)),'자료_미국심리'!$G3769,"")</f>
        <v/>
      </c>
    </row>
    <row r="3786">
      <c r="O3786">
        <f>IF(AND(ISNUMBER('자료_미국심리'!$A3770),ISNUMBER('자료_미국심리'!$B3770)),'자료_미국심리'!$A3770,"")</f>
        <v/>
      </c>
      <c r="P3786">
        <f>IF(AND(ISNUMBER('자료_미국심리'!$D3770),ISNUMBER('자료_미국심리'!$E3770)),'자료_미국심리'!$D3770,"")</f>
        <v/>
      </c>
      <c r="Q3786">
        <f>IF(AND(ISNUMBER('자료_미국심리'!$G3770),ISNUMBER('자료_미국심리'!$H3770)),'자료_미국심리'!$G3770,"")</f>
        <v/>
      </c>
    </row>
    <row r="3787">
      <c r="O3787">
        <f>IF(AND(ISNUMBER('자료_미국심리'!$A3771),ISNUMBER('자료_미국심리'!$B3771)),'자료_미국심리'!$A3771,"")</f>
        <v/>
      </c>
      <c r="P3787">
        <f>IF(AND(ISNUMBER('자료_미국심리'!$D3771),ISNUMBER('자료_미국심리'!$E3771)),'자료_미국심리'!$D3771,"")</f>
        <v/>
      </c>
      <c r="Q3787">
        <f>IF(AND(ISNUMBER('자료_미국심리'!$G3771),ISNUMBER('자료_미국심리'!$H3771)),'자료_미국심리'!$G3771,"")</f>
        <v/>
      </c>
    </row>
    <row r="3788">
      <c r="O3788">
        <f>IF(AND(ISNUMBER('자료_미국심리'!$A3772),ISNUMBER('자료_미국심리'!$B3772)),'자료_미국심리'!$A3772,"")</f>
        <v/>
      </c>
      <c r="P3788">
        <f>IF(AND(ISNUMBER('자료_미국심리'!$D3772),ISNUMBER('자료_미국심리'!$E3772)),'자료_미국심리'!$D3772,"")</f>
        <v/>
      </c>
      <c r="Q3788">
        <f>IF(AND(ISNUMBER('자료_미국심리'!$G3772),ISNUMBER('자료_미국심리'!$H3772)),'자료_미국심리'!$G3772,"")</f>
        <v/>
      </c>
    </row>
    <row r="3789">
      <c r="O3789">
        <f>IF(AND(ISNUMBER('자료_미국심리'!$A3773),ISNUMBER('자료_미국심리'!$B3773)),'자료_미국심리'!$A3773,"")</f>
        <v/>
      </c>
      <c r="P3789">
        <f>IF(AND(ISNUMBER('자료_미국심리'!$D3773),ISNUMBER('자료_미국심리'!$E3773)),'자료_미국심리'!$D3773,"")</f>
        <v/>
      </c>
      <c r="Q3789">
        <f>IF(AND(ISNUMBER('자료_미국심리'!$G3773),ISNUMBER('자료_미국심리'!$H3773)),'자료_미국심리'!$G3773,"")</f>
        <v/>
      </c>
    </row>
    <row r="3790">
      <c r="O3790">
        <f>IF(AND(ISNUMBER('자료_미국심리'!$A3774),ISNUMBER('자료_미국심리'!$B3774)),'자료_미국심리'!$A3774,"")</f>
        <v/>
      </c>
      <c r="P3790">
        <f>IF(AND(ISNUMBER('자료_미국심리'!$D3774),ISNUMBER('자료_미국심리'!$E3774)),'자료_미국심리'!$D3774,"")</f>
        <v/>
      </c>
      <c r="Q3790">
        <f>IF(AND(ISNUMBER('자료_미국심리'!$G3774),ISNUMBER('자료_미국심리'!$H3774)),'자료_미국심리'!$G3774,"")</f>
        <v/>
      </c>
    </row>
    <row r="3791">
      <c r="O3791">
        <f>IF(AND(ISNUMBER('자료_미국심리'!$A3775),ISNUMBER('자료_미국심리'!$B3775)),'자료_미국심리'!$A3775,"")</f>
        <v/>
      </c>
      <c r="P3791">
        <f>IF(AND(ISNUMBER('자료_미국심리'!$D3775),ISNUMBER('자료_미국심리'!$E3775)),'자료_미국심리'!$D3775,"")</f>
        <v/>
      </c>
      <c r="Q3791">
        <f>IF(AND(ISNUMBER('자료_미국심리'!$G3775),ISNUMBER('자료_미국심리'!$H3775)),'자료_미국심리'!$G3775,"")</f>
        <v/>
      </c>
    </row>
    <row r="3792">
      <c r="O3792">
        <f>IF(AND(ISNUMBER('자료_미국심리'!$A3776),ISNUMBER('자료_미국심리'!$B3776)),'자료_미국심리'!$A3776,"")</f>
        <v/>
      </c>
      <c r="P3792">
        <f>IF(AND(ISNUMBER('자료_미국심리'!$D3776),ISNUMBER('자료_미국심리'!$E3776)),'자료_미국심리'!$D3776,"")</f>
        <v/>
      </c>
      <c r="Q3792">
        <f>IF(AND(ISNUMBER('자료_미국심리'!$G3776),ISNUMBER('자료_미국심리'!$H3776)),'자료_미국심리'!$G3776,"")</f>
        <v/>
      </c>
    </row>
    <row r="3793">
      <c r="O3793">
        <f>IF(AND(ISNUMBER('자료_미국심리'!$A3777),ISNUMBER('자료_미국심리'!$B3777)),'자료_미국심리'!$A3777,"")</f>
        <v/>
      </c>
      <c r="P3793">
        <f>IF(AND(ISNUMBER('자료_미국심리'!$D3777),ISNUMBER('자료_미국심리'!$E3777)),'자료_미국심리'!$D3777,"")</f>
        <v/>
      </c>
      <c r="Q3793">
        <f>IF(AND(ISNUMBER('자료_미국심리'!$G3777),ISNUMBER('자료_미국심리'!$H3777)),'자료_미국심리'!$G3777,"")</f>
        <v/>
      </c>
    </row>
    <row r="3794">
      <c r="O3794">
        <f>IF(AND(ISNUMBER('자료_미국심리'!$A3778),ISNUMBER('자료_미국심리'!$B3778)),'자료_미국심리'!$A3778,"")</f>
        <v/>
      </c>
      <c r="P3794">
        <f>IF(AND(ISNUMBER('자료_미국심리'!$D3778),ISNUMBER('자료_미국심리'!$E3778)),'자료_미국심리'!$D3778,"")</f>
        <v/>
      </c>
      <c r="Q3794">
        <f>IF(AND(ISNUMBER('자료_미국심리'!$G3778),ISNUMBER('자료_미국심리'!$H3778)),'자료_미국심리'!$G3778,"")</f>
        <v/>
      </c>
    </row>
    <row r="3795">
      <c r="O3795">
        <f>IF(AND(ISNUMBER('자료_미국심리'!$A3779),ISNUMBER('자료_미국심리'!$B3779)),'자료_미국심리'!$A3779,"")</f>
        <v/>
      </c>
      <c r="P3795">
        <f>IF(AND(ISNUMBER('자료_미국심리'!$D3779),ISNUMBER('자료_미국심리'!$E3779)),'자료_미국심리'!$D3779,"")</f>
        <v/>
      </c>
      <c r="Q3795">
        <f>IF(AND(ISNUMBER('자료_미국심리'!$G3779),ISNUMBER('자료_미국심리'!$H3779)),'자료_미국심리'!$G3779,"")</f>
        <v/>
      </c>
    </row>
    <row r="3796">
      <c r="O3796">
        <f>IF(AND(ISNUMBER('자료_미국심리'!$A3780),ISNUMBER('자료_미국심리'!$B3780)),'자료_미국심리'!$A3780,"")</f>
        <v/>
      </c>
      <c r="P3796">
        <f>IF(AND(ISNUMBER('자료_미국심리'!$D3780),ISNUMBER('자료_미국심리'!$E3780)),'자료_미국심리'!$D3780,"")</f>
        <v/>
      </c>
      <c r="Q3796">
        <f>IF(AND(ISNUMBER('자료_미국심리'!$G3780),ISNUMBER('자료_미국심리'!$H3780)),'자료_미국심리'!$G3780,"")</f>
        <v/>
      </c>
    </row>
    <row r="3797">
      <c r="O3797">
        <f>IF(AND(ISNUMBER('자료_미국심리'!$A3781),ISNUMBER('자료_미국심리'!$B3781)),'자료_미국심리'!$A3781,"")</f>
        <v/>
      </c>
      <c r="P3797">
        <f>IF(AND(ISNUMBER('자료_미국심리'!$D3781),ISNUMBER('자료_미국심리'!$E3781)),'자료_미국심리'!$D3781,"")</f>
        <v/>
      </c>
      <c r="Q3797">
        <f>IF(AND(ISNUMBER('자료_미국심리'!$G3781),ISNUMBER('자료_미국심리'!$H3781)),'자료_미국심리'!$G3781,"")</f>
        <v/>
      </c>
    </row>
    <row r="3798">
      <c r="O3798">
        <f>IF(AND(ISNUMBER('자료_미국심리'!$A3782),ISNUMBER('자료_미국심리'!$B3782)),'자료_미국심리'!$A3782,"")</f>
        <v/>
      </c>
      <c r="P3798">
        <f>IF(AND(ISNUMBER('자료_미국심리'!$D3782),ISNUMBER('자료_미국심리'!$E3782)),'자료_미국심리'!$D3782,"")</f>
        <v/>
      </c>
      <c r="Q3798">
        <f>IF(AND(ISNUMBER('자료_미국심리'!$G3782),ISNUMBER('자료_미국심리'!$H3782)),'자료_미국심리'!$G3782,"")</f>
        <v/>
      </c>
    </row>
    <row r="3799">
      <c r="O3799">
        <f>IF(AND(ISNUMBER('자료_미국심리'!$A3783),ISNUMBER('자료_미국심리'!$B3783)),'자료_미국심리'!$A3783,"")</f>
        <v/>
      </c>
      <c r="P3799">
        <f>IF(AND(ISNUMBER('자료_미국심리'!$D3783),ISNUMBER('자료_미국심리'!$E3783)),'자료_미국심리'!$D3783,"")</f>
        <v/>
      </c>
      <c r="Q3799">
        <f>IF(AND(ISNUMBER('자료_미국심리'!$G3783),ISNUMBER('자료_미국심리'!$H3783)),'자료_미국심리'!$G3783,"")</f>
        <v/>
      </c>
    </row>
    <row r="3800">
      <c r="O3800">
        <f>IF(AND(ISNUMBER('자료_미국심리'!$A3784),ISNUMBER('자료_미국심리'!$B3784)),'자료_미국심리'!$A3784,"")</f>
        <v/>
      </c>
      <c r="P3800">
        <f>IF(AND(ISNUMBER('자료_미국심리'!$D3784),ISNUMBER('자료_미국심리'!$E3784)),'자료_미국심리'!$D3784,"")</f>
        <v/>
      </c>
      <c r="Q3800">
        <f>IF(AND(ISNUMBER('자료_미국심리'!$G3784),ISNUMBER('자료_미국심리'!$H3784)),'자료_미국심리'!$G3784,"")</f>
        <v/>
      </c>
    </row>
    <row r="3801">
      <c r="O3801">
        <f>IF(AND(ISNUMBER('자료_미국심리'!$A3785),ISNUMBER('자료_미국심리'!$B3785)),'자료_미국심리'!$A3785,"")</f>
        <v/>
      </c>
      <c r="P3801">
        <f>IF(AND(ISNUMBER('자료_미국심리'!$D3785),ISNUMBER('자료_미국심리'!$E3785)),'자료_미국심리'!$D3785,"")</f>
        <v/>
      </c>
      <c r="Q3801">
        <f>IF(AND(ISNUMBER('자료_미국심리'!$G3785),ISNUMBER('자료_미국심리'!$H3785)),'자료_미국심리'!$G3785,"")</f>
        <v/>
      </c>
    </row>
    <row r="3802">
      <c r="O3802">
        <f>IF(AND(ISNUMBER('자료_미국심리'!$A3786),ISNUMBER('자료_미국심리'!$B3786)),'자료_미국심리'!$A3786,"")</f>
        <v/>
      </c>
      <c r="P3802">
        <f>IF(AND(ISNUMBER('자료_미국심리'!$D3786),ISNUMBER('자료_미국심리'!$E3786)),'자료_미국심리'!$D3786,"")</f>
        <v/>
      </c>
      <c r="Q3802">
        <f>IF(AND(ISNUMBER('자료_미국심리'!$G3786),ISNUMBER('자료_미국심리'!$H3786)),'자료_미국심리'!$G3786,"")</f>
        <v/>
      </c>
    </row>
    <row r="3803">
      <c r="O3803">
        <f>IF(AND(ISNUMBER('자료_미국심리'!$A3787),ISNUMBER('자료_미국심리'!$B3787)),'자료_미국심리'!$A3787,"")</f>
        <v/>
      </c>
      <c r="P3803">
        <f>IF(AND(ISNUMBER('자료_미국심리'!$D3787),ISNUMBER('자료_미국심리'!$E3787)),'자료_미국심리'!$D3787,"")</f>
        <v/>
      </c>
      <c r="Q3803">
        <f>IF(AND(ISNUMBER('자료_미국심리'!$G3787),ISNUMBER('자료_미국심리'!$H3787)),'자료_미국심리'!$G3787,"")</f>
        <v/>
      </c>
    </row>
    <row r="3804">
      <c r="O3804">
        <f>IF(AND(ISNUMBER('자료_미국심리'!$A3788),ISNUMBER('자료_미국심리'!$B3788)),'자료_미국심리'!$A3788,"")</f>
        <v/>
      </c>
      <c r="P3804">
        <f>IF(AND(ISNUMBER('자료_미국심리'!$D3788),ISNUMBER('자료_미국심리'!$E3788)),'자료_미국심리'!$D3788,"")</f>
        <v/>
      </c>
      <c r="Q3804">
        <f>IF(AND(ISNUMBER('자료_미국심리'!$G3788),ISNUMBER('자료_미국심리'!$H3788)),'자료_미국심리'!$G3788,"")</f>
        <v/>
      </c>
    </row>
    <row r="3805">
      <c r="O3805">
        <f>IF(AND(ISNUMBER('자료_미국심리'!$A3789),ISNUMBER('자료_미국심리'!$B3789)),'자료_미국심리'!$A3789,"")</f>
        <v/>
      </c>
      <c r="P3805">
        <f>IF(AND(ISNUMBER('자료_미국심리'!$D3789),ISNUMBER('자료_미국심리'!$E3789)),'자료_미국심리'!$D3789,"")</f>
        <v/>
      </c>
      <c r="Q3805">
        <f>IF(AND(ISNUMBER('자료_미국심리'!$G3789),ISNUMBER('자료_미국심리'!$H3789)),'자료_미국심리'!$G3789,"")</f>
        <v/>
      </c>
    </row>
    <row r="3806">
      <c r="O3806">
        <f>IF(AND(ISNUMBER('자료_미국심리'!$A3790),ISNUMBER('자료_미국심리'!$B3790)),'자료_미국심리'!$A3790,"")</f>
        <v/>
      </c>
      <c r="P3806">
        <f>IF(AND(ISNUMBER('자료_미국심리'!$D3790),ISNUMBER('자료_미국심리'!$E3790)),'자료_미국심리'!$D3790,"")</f>
        <v/>
      </c>
      <c r="Q3806">
        <f>IF(AND(ISNUMBER('자료_미국심리'!$G3790),ISNUMBER('자료_미국심리'!$H3790)),'자료_미국심리'!$G3790,"")</f>
        <v/>
      </c>
    </row>
    <row r="3807">
      <c r="O3807">
        <f>IF(AND(ISNUMBER('자료_미국심리'!$A3791),ISNUMBER('자료_미국심리'!$B3791)),'자료_미국심리'!$A3791,"")</f>
        <v/>
      </c>
      <c r="P3807">
        <f>IF(AND(ISNUMBER('자료_미국심리'!$D3791),ISNUMBER('자료_미국심리'!$E3791)),'자료_미국심리'!$D3791,"")</f>
        <v/>
      </c>
      <c r="Q3807">
        <f>IF(AND(ISNUMBER('자료_미국심리'!$G3791),ISNUMBER('자료_미국심리'!$H3791)),'자료_미국심리'!$G3791,"")</f>
        <v/>
      </c>
    </row>
    <row r="3808">
      <c r="O3808">
        <f>IF(AND(ISNUMBER('자료_미국심리'!$A3792),ISNUMBER('자료_미국심리'!$B3792)),'자료_미국심리'!$A3792,"")</f>
        <v/>
      </c>
      <c r="P3808">
        <f>IF(AND(ISNUMBER('자료_미국심리'!$D3792),ISNUMBER('자료_미국심리'!$E3792)),'자료_미국심리'!$D3792,"")</f>
        <v/>
      </c>
      <c r="Q3808">
        <f>IF(AND(ISNUMBER('자료_미국심리'!$G3792),ISNUMBER('자료_미국심리'!$H3792)),'자료_미국심리'!$G3792,"")</f>
        <v/>
      </c>
    </row>
    <row r="3809">
      <c r="O3809">
        <f>IF(AND(ISNUMBER('자료_미국심리'!$A3793),ISNUMBER('자료_미국심리'!$B3793)),'자료_미국심리'!$A3793,"")</f>
        <v/>
      </c>
      <c r="P3809">
        <f>IF(AND(ISNUMBER('자료_미국심리'!$D3793),ISNUMBER('자료_미국심리'!$E3793)),'자료_미국심리'!$D3793,"")</f>
        <v/>
      </c>
      <c r="Q3809">
        <f>IF(AND(ISNUMBER('자료_미국심리'!$G3793),ISNUMBER('자료_미국심리'!$H3793)),'자료_미국심리'!$G3793,"")</f>
        <v/>
      </c>
    </row>
    <row r="3810">
      <c r="O3810">
        <f>IF(AND(ISNUMBER('자료_미국심리'!$A3794),ISNUMBER('자료_미국심리'!$B3794)),'자료_미국심리'!$A3794,"")</f>
        <v/>
      </c>
      <c r="P3810">
        <f>IF(AND(ISNUMBER('자료_미국심리'!$D3794),ISNUMBER('자료_미국심리'!$E3794)),'자료_미국심리'!$D3794,"")</f>
        <v/>
      </c>
      <c r="Q3810">
        <f>IF(AND(ISNUMBER('자료_미국심리'!$G3794),ISNUMBER('자료_미국심리'!$H3794)),'자료_미국심리'!$G3794,"")</f>
        <v/>
      </c>
    </row>
    <row r="3811">
      <c r="O3811">
        <f>IF(AND(ISNUMBER('자료_미국심리'!$A3795),ISNUMBER('자료_미국심리'!$B3795)),'자료_미국심리'!$A3795,"")</f>
        <v/>
      </c>
      <c r="P3811">
        <f>IF(AND(ISNUMBER('자료_미국심리'!$D3795),ISNUMBER('자료_미국심리'!$E3795)),'자료_미국심리'!$D3795,"")</f>
        <v/>
      </c>
      <c r="Q3811">
        <f>IF(AND(ISNUMBER('자료_미국심리'!$G3795),ISNUMBER('자료_미국심리'!$H3795)),'자료_미국심리'!$G3795,"")</f>
        <v/>
      </c>
    </row>
    <row r="3812">
      <c r="O3812">
        <f>IF(AND(ISNUMBER('자료_미국심리'!$A3796),ISNUMBER('자료_미국심리'!$B3796)),'자료_미국심리'!$A3796,"")</f>
        <v/>
      </c>
      <c r="P3812">
        <f>IF(AND(ISNUMBER('자료_미국심리'!$D3796),ISNUMBER('자료_미국심리'!$E3796)),'자료_미국심리'!$D3796,"")</f>
        <v/>
      </c>
      <c r="Q3812">
        <f>IF(AND(ISNUMBER('자료_미국심리'!$G3796),ISNUMBER('자료_미국심리'!$H3796)),'자료_미국심리'!$G3796,"")</f>
        <v/>
      </c>
    </row>
    <row r="3813">
      <c r="O3813">
        <f>IF(AND(ISNUMBER('자료_미국심리'!$A3797),ISNUMBER('자료_미국심리'!$B3797)),'자료_미국심리'!$A3797,"")</f>
        <v/>
      </c>
      <c r="P3813">
        <f>IF(AND(ISNUMBER('자료_미국심리'!$D3797),ISNUMBER('자료_미국심리'!$E3797)),'자료_미국심리'!$D3797,"")</f>
        <v/>
      </c>
      <c r="Q3813">
        <f>IF(AND(ISNUMBER('자료_미국심리'!$G3797),ISNUMBER('자료_미국심리'!$H3797)),'자료_미국심리'!$G3797,"")</f>
        <v/>
      </c>
    </row>
    <row r="3814">
      <c r="O3814">
        <f>IF(AND(ISNUMBER('자료_미국심리'!$A3798),ISNUMBER('자료_미국심리'!$B3798)),'자료_미국심리'!$A3798,"")</f>
        <v/>
      </c>
      <c r="P3814">
        <f>IF(AND(ISNUMBER('자료_미국심리'!$D3798),ISNUMBER('자료_미국심리'!$E3798)),'자료_미국심리'!$D3798,"")</f>
        <v/>
      </c>
      <c r="Q3814">
        <f>IF(AND(ISNUMBER('자료_미국심리'!$G3798),ISNUMBER('자료_미국심리'!$H3798)),'자료_미국심리'!$G3798,"")</f>
        <v/>
      </c>
    </row>
    <row r="3815">
      <c r="O3815">
        <f>IF(AND(ISNUMBER('자료_미국심리'!$A3799),ISNUMBER('자료_미국심리'!$B3799)),'자료_미국심리'!$A3799,"")</f>
        <v/>
      </c>
      <c r="P3815">
        <f>IF(AND(ISNUMBER('자료_미국심리'!$D3799),ISNUMBER('자료_미국심리'!$E3799)),'자료_미국심리'!$D3799,"")</f>
        <v/>
      </c>
      <c r="Q3815">
        <f>IF(AND(ISNUMBER('자료_미국심리'!$G3799),ISNUMBER('자료_미국심리'!$H3799)),'자료_미국심리'!$G3799,"")</f>
        <v/>
      </c>
    </row>
    <row r="3816">
      <c r="O3816">
        <f>IF(AND(ISNUMBER('자료_미국심리'!$A3800),ISNUMBER('자료_미국심리'!$B3800)),'자료_미국심리'!$A3800,"")</f>
        <v/>
      </c>
      <c r="P3816">
        <f>IF(AND(ISNUMBER('자료_미국심리'!$D3800),ISNUMBER('자료_미국심리'!$E3800)),'자료_미국심리'!$D3800,"")</f>
        <v/>
      </c>
      <c r="Q3816">
        <f>IF(AND(ISNUMBER('자료_미국심리'!$G3800),ISNUMBER('자료_미국심리'!$H3800)),'자료_미국심리'!$G3800,"")</f>
        <v/>
      </c>
    </row>
    <row r="3817">
      <c r="O3817">
        <f>IF(AND(ISNUMBER('자료_미국심리'!$A3801),ISNUMBER('자료_미국심리'!$B3801)),'자료_미국심리'!$A3801,"")</f>
        <v/>
      </c>
      <c r="P3817">
        <f>IF(AND(ISNUMBER('자료_미국심리'!$D3801),ISNUMBER('자료_미국심리'!$E3801)),'자료_미국심리'!$D3801,"")</f>
        <v/>
      </c>
      <c r="Q3817">
        <f>IF(AND(ISNUMBER('자료_미국심리'!$G3801),ISNUMBER('자료_미국심리'!$H3801)),'자료_미국심리'!$G3801,"")</f>
        <v/>
      </c>
    </row>
    <row r="3818">
      <c r="O3818">
        <f>IF(AND(ISNUMBER('자료_미국심리'!$A3802),ISNUMBER('자료_미국심리'!$B3802)),'자료_미국심리'!$A3802,"")</f>
        <v/>
      </c>
      <c r="P3818">
        <f>IF(AND(ISNUMBER('자료_미국심리'!$D3802),ISNUMBER('자료_미국심리'!$E3802)),'자료_미국심리'!$D3802,"")</f>
        <v/>
      </c>
      <c r="Q3818">
        <f>IF(AND(ISNUMBER('자료_미국심리'!$G3802),ISNUMBER('자료_미국심리'!$H3802)),'자료_미국심리'!$G3802,"")</f>
        <v/>
      </c>
    </row>
    <row r="3819">
      <c r="O3819">
        <f>IF(AND(ISNUMBER('자료_미국심리'!$A3803),ISNUMBER('자료_미국심리'!$B3803)),'자료_미국심리'!$A3803,"")</f>
        <v/>
      </c>
      <c r="P3819">
        <f>IF(AND(ISNUMBER('자료_미국심리'!$D3803),ISNUMBER('자료_미국심리'!$E3803)),'자료_미국심리'!$D3803,"")</f>
        <v/>
      </c>
      <c r="Q3819">
        <f>IF(AND(ISNUMBER('자료_미국심리'!$G3803),ISNUMBER('자료_미국심리'!$H3803)),'자료_미국심리'!$G3803,"")</f>
        <v/>
      </c>
    </row>
    <row r="3820">
      <c r="O3820">
        <f>IF(AND(ISNUMBER('자료_미국심리'!$A3804),ISNUMBER('자료_미국심리'!$B3804)),'자료_미국심리'!$A3804,"")</f>
        <v/>
      </c>
      <c r="P3820">
        <f>IF(AND(ISNUMBER('자료_미국심리'!$D3804),ISNUMBER('자료_미국심리'!$E3804)),'자료_미국심리'!$D3804,"")</f>
        <v/>
      </c>
      <c r="Q3820">
        <f>IF(AND(ISNUMBER('자료_미국심리'!$G3804),ISNUMBER('자료_미국심리'!$H3804)),'자료_미국심리'!$G3804,"")</f>
        <v/>
      </c>
    </row>
    <row r="3821">
      <c r="O3821">
        <f>IF(AND(ISNUMBER('자료_미국심리'!$A3805),ISNUMBER('자료_미국심리'!$B3805)),'자료_미국심리'!$A3805,"")</f>
        <v/>
      </c>
      <c r="P3821">
        <f>IF(AND(ISNUMBER('자료_미국심리'!$D3805),ISNUMBER('자료_미국심리'!$E3805)),'자료_미국심리'!$D3805,"")</f>
        <v/>
      </c>
      <c r="Q3821">
        <f>IF(AND(ISNUMBER('자료_미국심리'!$G3805),ISNUMBER('자료_미국심리'!$H3805)),'자료_미국심리'!$G3805,"")</f>
        <v/>
      </c>
    </row>
    <row r="3822">
      <c r="O3822">
        <f>IF(AND(ISNUMBER('자료_미국심리'!$A3806),ISNUMBER('자료_미국심리'!$B3806)),'자료_미국심리'!$A3806,"")</f>
        <v/>
      </c>
      <c r="P3822">
        <f>IF(AND(ISNUMBER('자료_미국심리'!$D3806),ISNUMBER('자료_미국심리'!$E3806)),'자료_미국심리'!$D3806,"")</f>
        <v/>
      </c>
      <c r="Q3822">
        <f>IF(AND(ISNUMBER('자료_미국심리'!$G3806),ISNUMBER('자료_미국심리'!$H3806)),'자료_미국심리'!$G3806,"")</f>
        <v/>
      </c>
    </row>
    <row r="3823">
      <c r="O3823">
        <f>IF(AND(ISNUMBER('자료_미국심리'!$A3807),ISNUMBER('자료_미국심리'!$B3807)),'자료_미국심리'!$A3807,"")</f>
        <v/>
      </c>
      <c r="P3823">
        <f>IF(AND(ISNUMBER('자료_미국심리'!$D3807),ISNUMBER('자료_미국심리'!$E3807)),'자료_미국심리'!$D3807,"")</f>
        <v/>
      </c>
      <c r="Q3823">
        <f>IF(AND(ISNUMBER('자료_미국심리'!$G3807),ISNUMBER('자료_미국심리'!$H3807)),'자료_미국심리'!$G3807,"")</f>
        <v/>
      </c>
    </row>
    <row r="3824">
      <c r="O3824">
        <f>IF(AND(ISNUMBER('자료_미국심리'!$A3808),ISNUMBER('자료_미국심리'!$B3808)),'자료_미국심리'!$A3808,"")</f>
        <v/>
      </c>
      <c r="P3824">
        <f>IF(AND(ISNUMBER('자료_미국심리'!$D3808),ISNUMBER('자료_미국심리'!$E3808)),'자료_미국심리'!$D3808,"")</f>
        <v/>
      </c>
      <c r="Q3824">
        <f>IF(AND(ISNUMBER('자료_미국심리'!$G3808),ISNUMBER('자료_미국심리'!$H3808)),'자료_미국심리'!$G3808,"")</f>
        <v/>
      </c>
    </row>
    <row r="3825">
      <c r="O3825">
        <f>IF(AND(ISNUMBER('자료_미국심리'!$A3809),ISNUMBER('자료_미국심리'!$B3809)),'자료_미국심리'!$A3809,"")</f>
        <v/>
      </c>
      <c r="P3825">
        <f>IF(AND(ISNUMBER('자료_미국심리'!$D3809),ISNUMBER('자료_미국심리'!$E3809)),'자료_미국심리'!$D3809,"")</f>
        <v/>
      </c>
      <c r="Q3825">
        <f>IF(AND(ISNUMBER('자료_미국심리'!$G3809),ISNUMBER('자료_미국심리'!$H3809)),'자료_미국심리'!$G3809,"")</f>
        <v/>
      </c>
    </row>
    <row r="3826">
      <c r="O3826">
        <f>IF(AND(ISNUMBER('자료_미국심리'!$A3810),ISNUMBER('자료_미국심리'!$B3810)),'자료_미국심리'!$A3810,"")</f>
        <v/>
      </c>
      <c r="P3826">
        <f>IF(AND(ISNUMBER('자료_미국심리'!$D3810),ISNUMBER('자료_미국심리'!$E3810)),'자료_미국심리'!$D3810,"")</f>
        <v/>
      </c>
      <c r="Q3826">
        <f>IF(AND(ISNUMBER('자료_미국심리'!$G3810),ISNUMBER('자료_미국심리'!$H3810)),'자료_미국심리'!$G3810,"")</f>
        <v/>
      </c>
    </row>
    <row r="3827">
      <c r="O3827">
        <f>IF(AND(ISNUMBER('자료_미국심리'!$A3811),ISNUMBER('자료_미국심리'!$B3811)),'자료_미국심리'!$A3811,"")</f>
        <v/>
      </c>
      <c r="P3827">
        <f>IF(AND(ISNUMBER('자료_미국심리'!$D3811),ISNUMBER('자료_미국심리'!$E3811)),'자료_미국심리'!$D3811,"")</f>
        <v/>
      </c>
      <c r="Q3827">
        <f>IF(AND(ISNUMBER('자료_미국심리'!$G3811),ISNUMBER('자료_미국심리'!$H3811)),'자료_미국심리'!$G3811,"")</f>
        <v/>
      </c>
    </row>
    <row r="3828">
      <c r="O3828">
        <f>IF(AND(ISNUMBER('자료_미국심리'!$A3812),ISNUMBER('자료_미국심리'!$B3812)),'자료_미국심리'!$A3812,"")</f>
        <v/>
      </c>
      <c r="P3828">
        <f>IF(AND(ISNUMBER('자료_미국심리'!$D3812),ISNUMBER('자료_미국심리'!$E3812)),'자료_미국심리'!$D3812,"")</f>
        <v/>
      </c>
      <c r="Q3828">
        <f>IF(AND(ISNUMBER('자료_미국심리'!$G3812),ISNUMBER('자료_미국심리'!$H3812)),'자료_미국심리'!$G3812,"")</f>
        <v/>
      </c>
    </row>
    <row r="3829">
      <c r="O3829">
        <f>IF(AND(ISNUMBER('자료_미국심리'!$A3813),ISNUMBER('자료_미국심리'!$B3813)),'자료_미국심리'!$A3813,"")</f>
        <v/>
      </c>
      <c r="P3829">
        <f>IF(AND(ISNUMBER('자료_미국심리'!$D3813),ISNUMBER('자료_미국심리'!$E3813)),'자료_미국심리'!$D3813,"")</f>
        <v/>
      </c>
      <c r="Q3829">
        <f>IF(AND(ISNUMBER('자료_미국심리'!$G3813),ISNUMBER('자료_미국심리'!$H3813)),'자료_미국심리'!$G3813,"")</f>
        <v/>
      </c>
    </row>
    <row r="3830">
      <c r="O3830">
        <f>IF(AND(ISNUMBER('자료_미국심리'!$A3814),ISNUMBER('자료_미국심리'!$B3814)),'자료_미국심리'!$A3814,"")</f>
        <v/>
      </c>
      <c r="P3830">
        <f>IF(AND(ISNUMBER('자료_미국심리'!$D3814),ISNUMBER('자료_미국심리'!$E3814)),'자료_미국심리'!$D3814,"")</f>
        <v/>
      </c>
      <c r="Q3830">
        <f>IF(AND(ISNUMBER('자료_미국심리'!$G3814),ISNUMBER('자료_미국심리'!$H3814)),'자료_미국심리'!$G3814,"")</f>
        <v/>
      </c>
    </row>
    <row r="3831">
      <c r="O3831">
        <f>IF(AND(ISNUMBER('자료_미국심리'!$A3815),ISNUMBER('자료_미국심리'!$B3815)),'자료_미국심리'!$A3815,"")</f>
        <v/>
      </c>
      <c r="P3831">
        <f>IF(AND(ISNUMBER('자료_미국심리'!$D3815),ISNUMBER('자료_미국심리'!$E3815)),'자료_미국심리'!$D3815,"")</f>
        <v/>
      </c>
      <c r="Q3831">
        <f>IF(AND(ISNUMBER('자료_미국심리'!$G3815),ISNUMBER('자료_미국심리'!$H3815)),'자료_미국심리'!$G3815,"")</f>
        <v/>
      </c>
    </row>
    <row r="3832">
      <c r="O3832">
        <f>IF(AND(ISNUMBER('자료_미국심리'!$A3816),ISNUMBER('자료_미국심리'!$B3816)),'자료_미국심리'!$A3816,"")</f>
        <v/>
      </c>
      <c r="P3832">
        <f>IF(AND(ISNUMBER('자료_미국심리'!$D3816),ISNUMBER('자료_미국심리'!$E3816)),'자료_미국심리'!$D3816,"")</f>
        <v/>
      </c>
      <c r="Q3832">
        <f>IF(AND(ISNUMBER('자료_미국심리'!$G3816),ISNUMBER('자료_미국심리'!$H3816)),'자료_미국심리'!$G3816,"")</f>
        <v/>
      </c>
    </row>
    <row r="3833">
      <c r="O3833">
        <f>IF(AND(ISNUMBER('자료_미국심리'!$A3817),ISNUMBER('자료_미국심리'!$B3817)),'자료_미국심리'!$A3817,"")</f>
        <v/>
      </c>
      <c r="P3833">
        <f>IF(AND(ISNUMBER('자료_미국심리'!$D3817),ISNUMBER('자료_미국심리'!$E3817)),'자료_미국심리'!$D3817,"")</f>
        <v/>
      </c>
      <c r="Q3833">
        <f>IF(AND(ISNUMBER('자료_미국심리'!$G3817),ISNUMBER('자료_미국심리'!$H3817)),'자료_미국심리'!$G3817,"")</f>
        <v/>
      </c>
    </row>
    <row r="3834">
      <c r="O3834">
        <f>IF(AND(ISNUMBER('자료_미국심리'!$A3818),ISNUMBER('자료_미국심리'!$B3818)),'자료_미국심리'!$A3818,"")</f>
        <v/>
      </c>
      <c r="P3834">
        <f>IF(AND(ISNUMBER('자료_미국심리'!$D3818),ISNUMBER('자료_미국심리'!$E3818)),'자료_미국심리'!$D3818,"")</f>
        <v/>
      </c>
      <c r="Q3834">
        <f>IF(AND(ISNUMBER('자료_미국심리'!$G3818),ISNUMBER('자료_미국심리'!$H3818)),'자료_미국심리'!$G3818,"")</f>
        <v/>
      </c>
    </row>
    <row r="3835">
      <c r="O3835">
        <f>IF(AND(ISNUMBER('자료_미국심리'!$A3819),ISNUMBER('자료_미국심리'!$B3819)),'자료_미국심리'!$A3819,"")</f>
        <v/>
      </c>
      <c r="P3835">
        <f>IF(AND(ISNUMBER('자료_미국심리'!$D3819),ISNUMBER('자료_미국심리'!$E3819)),'자료_미국심리'!$D3819,"")</f>
        <v/>
      </c>
      <c r="Q3835">
        <f>IF(AND(ISNUMBER('자료_미국심리'!$G3819),ISNUMBER('자료_미국심리'!$H3819)),'자료_미국심리'!$G3819,"")</f>
        <v/>
      </c>
    </row>
    <row r="3836">
      <c r="O3836">
        <f>IF(AND(ISNUMBER('자료_미국심리'!$A3820),ISNUMBER('자료_미국심리'!$B3820)),'자료_미국심리'!$A3820,"")</f>
        <v/>
      </c>
      <c r="P3836">
        <f>IF(AND(ISNUMBER('자료_미국심리'!$D3820),ISNUMBER('자료_미국심리'!$E3820)),'자료_미국심리'!$D3820,"")</f>
        <v/>
      </c>
      <c r="Q3836">
        <f>IF(AND(ISNUMBER('자료_미국심리'!$G3820),ISNUMBER('자료_미국심리'!$H3820)),'자료_미국심리'!$G3820,"")</f>
        <v/>
      </c>
    </row>
    <row r="3837">
      <c r="O3837">
        <f>IF(AND(ISNUMBER('자료_미국심리'!$A3821),ISNUMBER('자료_미국심리'!$B3821)),'자료_미국심리'!$A3821,"")</f>
        <v/>
      </c>
      <c r="P3837">
        <f>IF(AND(ISNUMBER('자료_미국심리'!$D3821),ISNUMBER('자료_미국심리'!$E3821)),'자료_미국심리'!$D3821,"")</f>
        <v/>
      </c>
      <c r="Q3837">
        <f>IF(AND(ISNUMBER('자료_미국심리'!$G3821),ISNUMBER('자료_미국심리'!$H3821)),'자료_미국심리'!$G3821,"")</f>
        <v/>
      </c>
    </row>
    <row r="3838">
      <c r="O3838">
        <f>IF(AND(ISNUMBER('자료_미국심리'!$A3822),ISNUMBER('자료_미국심리'!$B3822)),'자료_미국심리'!$A3822,"")</f>
        <v/>
      </c>
      <c r="P3838">
        <f>IF(AND(ISNUMBER('자료_미국심리'!$D3822),ISNUMBER('자료_미국심리'!$E3822)),'자료_미국심리'!$D3822,"")</f>
        <v/>
      </c>
      <c r="Q3838">
        <f>IF(AND(ISNUMBER('자료_미국심리'!$G3822),ISNUMBER('자료_미국심리'!$H3822)),'자료_미국심리'!$G3822,"")</f>
        <v/>
      </c>
    </row>
    <row r="3839">
      <c r="O3839">
        <f>IF(AND(ISNUMBER('자료_미국심리'!$A3823),ISNUMBER('자료_미국심리'!$B3823)),'자료_미국심리'!$A3823,"")</f>
        <v/>
      </c>
      <c r="P3839">
        <f>IF(AND(ISNUMBER('자료_미국심리'!$D3823),ISNUMBER('자료_미국심리'!$E3823)),'자료_미국심리'!$D3823,"")</f>
        <v/>
      </c>
      <c r="Q3839">
        <f>IF(AND(ISNUMBER('자료_미국심리'!$G3823),ISNUMBER('자료_미국심리'!$H3823)),'자료_미국심리'!$G3823,"")</f>
        <v/>
      </c>
    </row>
    <row r="3840">
      <c r="O3840">
        <f>IF(AND(ISNUMBER('자료_미국심리'!$A3824),ISNUMBER('자료_미국심리'!$B3824)),'자료_미국심리'!$A3824,"")</f>
        <v/>
      </c>
      <c r="P3840">
        <f>IF(AND(ISNUMBER('자료_미국심리'!$D3824),ISNUMBER('자료_미국심리'!$E3824)),'자료_미국심리'!$D3824,"")</f>
        <v/>
      </c>
      <c r="Q3840">
        <f>IF(AND(ISNUMBER('자료_미국심리'!$G3824),ISNUMBER('자료_미국심리'!$H3824)),'자료_미국심리'!$G3824,"")</f>
        <v/>
      </c>
    </row>
    <row r="3841">
      <c r="O3841">
        <f>IF(AND(ISNUMBER('자료_미국심리'!$A3825),ISNUMBER('자료_미국심리'!$B3825)),'자료_미국심리'!$A3825,"")</f>
        <v/>
      </c>
      <c r="P3841">
        <f>IF(AND(ISNUMBER('자료_미국심리'!$D3825),ISNUMBER('자료_미국심리'!$E3825)),'자료_미국심리'!$D3825,"")</f>
        <v/>
      </c>
      <c r="Q3841">
        <f>IF(AND(ISNUMBER('자료_미국심리'!$G3825),ISNUMBER('자료_미국심리'!$H3825)),'자료_미국심리'!$G3825,"")</f>
        <v/>
      </c>
    </row>
    <row r="3842">
      <c r="O3842">
        <f>IF(AND(ISNUMBER('자료_미국심리'!$A3826),ISNUMBER('자료_미국심리'!$B3826)),'자료_미국심리'!$A3826,"")</f>
        <v/>
      </c>
      <c r="P3842">
        <f>IF(AND(ISNUMBER('자료_미국심리'!$D3826),ISNUMBER('자료_미국심리'!$E3826)),'자료_미국심리'!$D3826,"")</f>
        <v/>
      </c>
      <c r="Q3842">
        <f>IF(AND(ISNUMBER('자료_미국심리'!$G3826),ISNUMBER('자료_미국심리'!$H3826)),'자료_미국심리'!$G3826,"")</f>
        <v/>
      </c>
    </row>
    <row r="3843">
      <c r="O3843">
        <f>IF(AND(ISNUMBER('자료_미국심리'!$A3827),ISNUMBER('자료_미국심리'!$B3827)),'자료_미국심리'!$A3827,"")</f>
        <v/>
      </c>
      <c r="P3843">
        <f>IF(AND(ISNUMBER('자료_미국심리'!$D3827),ISNUMBER('자료_미국심리'!$E3827)),'자료_미국심리'!$D3827,"")</f>
        <v/>
      </c>
      <c r="Q3843">
        <f>IF(AND(ISNUMBER('자료_미국심리'!$G3827),ISNUMBER('자료_미국심리'!$H3827)),'자료_미국심리'!$G3827,"")</f>
        <v/>
      </c>
    </row>
    <row r="3844">
      <c r="O3844">
        <f>IF(AND(ISNUMBER('자료_미국심리'!$A3828),ISNUMBER('자료_미국심리'!$B3828)),'자료_미국심리'!$A3828,"")</f>
        <v/>
      </c>
      <c r="P3844">
        <f>IF(AND(ISNUMBER('자료_미국심리'!$D3828),ISNUMBER('자료_미국심리'!$E3828)),'자료_미국심리'!$D3828,"")</f>
        <v/>
      </c>
      <c r="Q3844">
        <f>IF(AND(ISNUMBER('자료_미국심리'!$G3828),ISNUMBER('자료_미국심리'!$H3828)),'자료_미국심리'!$G3828,"")</f>
        <v/>
      </c>
    </row>
    <row r="3845">
      <c r="O3845">
        <f>IF(AND(ISNUMBER('자료_미국심리'!$A3829),ISNUMBER('자료_미국심리'!$B3829)),'자료_미국심리'!$A3829,"")</f>
        <v/>
      </c>
      <c r="P3845">
        <f>IF(AND(ISNUMBER('자료_미국심리'!$D3829),ISNUMBER('자료_미국심리'!$E3829)),'자료_미국심리'!$D3829,"")</f>
        <v/>
      </c>
      <c r="Q3845">
        <f>IF(AND(ISNUMBER('자료_미국심리'!$G3829),ISNUMBER('자료_미국심리'!$H3829)),'자료_미국심리'!$G3829,"")</f>
        <v/>
      </c>
    </row>
    <row r="3846">
      <c r="O3846">
        <f>IF(AND(ISNUMBER('자료_미국심리'!$A3830),ISNUMBER('자료_미국심리'!$B3830)),'자료_미국심리'!$A3830,"")</f>
        <v/>
      </c>
      <c r="P3846">
        <f>IF(AND(ISNUMBER('자료_미국심리'!$D3830),ISNUMBER('자료_미국심리'!$E3830)),'자료_미국심리'!$D3830,"")</f>
        <v/>
      </c>
      <c r="Q3846">
        <f>IF(AND(ISNUMBER('자료_미국심리'!$G3830),ISNUMBER('자료_미국심리'!$H3830)),'자료_미국심리'!$G3830,"")</f>
        <v/>
      </c>
    </row>
    <row r="3847">
      <c r="O3847">
        <f>IF(AND(ISNUMBER('자료_미국심리'!$A3831),ISNUMBER('자료_미국심리'!$B3831)),'자료_미국심리'!$A3831,"")</f>
        <v/>
      </c>
      <c r="P3847">
        <f>IF(AND(ISNUMBER('자료_미국심리'!$D3831),ISNUMBER('자료_미국심리'!$E3831)),'자료_미국심리'!$D3831,"")</f>
        <v/>
      </c>
      <c r="Q3847">
        <f>IF(AND(ISNUMBER('자료_미국심리'!$G3831),ISNUMBER('자료_미국심리'!$H3831)),'자료_미국심리'!$G3831,"")</f>
        <v/>
      </c>
    </row>
    <row r="3848">
      <c r="O3848">
        <f>IF(AND(ISNUMBER('자료_미국심리'!$A3832),ISNUMBER('자료_미국심리'!$B3832)),'자료_미국심리'!$A3832,"")</f>
        <v/>
      </c>
      <c r="P3848">
        <f>IF(AND(ISNUMBER('자료_미국심리'!$D3832),ISNUMBER('자료_미국심리'!$E3832)),'자료_미국심리'!$D3832,"")</f>
        <v/>
      </c>
      <c r="Q3848">
        <f>IF(AND(ISNUMBER('자료_미국심리'!$G3832),ISNUMBER('자료_미국심리'!$H3832)),'자료_미국심리'!$G3832,"")</f>
        <v/>
      </c>
    </row>
    <row r="3849">
      <c r="O3849">
        <f>IF(AND(ISNUMBER('자료_미국심리'!$A3833),ISNUMBER('자료_미국심리'!$B3833)),'자료_미국심리'!$A3833,"")</f>
        <v/>
      </c>
      <c r="P3849">
        <f>IF(AND(ISNUMBER('자료_미국심리'!$D3833),ISNUMBER('자료_미국심리'!$E3833)),'자료_미국심리'!$D3833,"")</f>
        <v/>
      </c>
      <c r="Q3849">
        <f>IF(AND(ISNUMBER('자료_미국심리'!$G3833),ISNUMBER('자료_미국심리'!$H3833)),'자료_미국심리'!$G3833,"")</f>
        <v/>
      </c>
    </row>
    <row r="3850">
      <c r="O3850">
        <f>IF(AND(ISNUMBER('자료_미국심리'!$A3834),ISNUMBER('자료_미국심리'!$B3834)),'자료_미국심리'!$A3834,"")</f>
        <v/>
      </c>
      <c r="P3850">
        <f>IF(AND(ISNUMBER('자료_미국심리'!$D3834),ISNUMBER('자료_미국심리'!$E3834)),'자료_미국심리'!$D3834,"")</f>
        <v/>
      </c>
      <c r="Q3850">
        <f>IF(AND(ISNUMBER('자료_미국심리'!$G3834),ISNUMBER('자료_미국심리'!$H3834)),'자료_미국심리'!$G3834,"")</f>
        <v/>
      </c>
    </row>
    <row r="3851">
      <c r="O3851">
        <f>IF(AND(ISNUMBER('자료_미국심리'!$A3835),ISNUMBER('자료_미국심리'!$B3835)),'자료_미국심리'!$A3835,"")</f>
        <v/>
      </c>
      <c r="P3851">
        <f>IF(AND(ISNUMBER('자료_미국심리'!$D3835),ISNUMBER('자료_미국심리'!$E3835)),'자료_미국심리'!$D3835,"")</f>
        <v/>
      </c>
      <c r="Q3851">
        <f>IF(AND(ISNUMBER('자료_미국심리'!$G3835),ISNUMBER('자료_미국심리'!$H3835)),'자료_미국심리'!$G3835,"")</f>
        <v/>
      </c>
    </row>
    <row r="3852">
      <c r="O3852">
        <f>IF(AND(ISNUMBER('자료_미국심리'!$A3836),ISNUMBER('자료_미국심리'!$B3836)),'자료_미국심리'!$A3836,"")</f>
        <v/>
      </c>
      <c r="P3852">
        <f>IF(AND(ISNUMBER('자료_미국심리'!$D3836),ISNUMBER('자료_미국심리'!$E3836)),'자료_미국심리'!$D3836,"")</f>
        <v/>
      </c>
      <c r="Q3852">
        <f>IF(AND(ISNUMBER('자료_미국심리'!$G3836),ISNUMBER('자료_미국심리'!$H3836)),'자료_미국심리'!$G3836,"")</f>
        <v/>
      </c>
    </row>
    <row r="3853">
      <c r="O3853">
        <f>IF(AND(ISNUMBER('자료_미국심리'!$A3837),ISNUMBER('자료_미국심리'!$B3837)),'자료_미국심리'!$A3837,"")</f>
        <v/>
      </c>
      <c r="P3853">
        <f>IF(AND(ISNUMBER('자료_미국심리'!$D3837),ISNUMBER('자료_미국심리'!$E3837)),'자료_미국심리'!$D3837,"")</f>
        <v/>
      </c>
      <c r="Q3853">
        <f>IF(AND(ISNUMBER('자료_미국심리'!$G3837),ISNUMBER('자료_미국심리'!$H3837)),'자료_미국심리'!$G3837,"")</f>
        <v/>
      </c>
    </row>
    <row r="3854">
      <c r="O3854">
        <f>IF(AND(ISNUMBER('자료_미국심리'!$A3838),ISNUMBER('자료_미국심리'!$B3838)),'자료_미국심리'!$A3838,"")</f>
        <v/>
      </c>
      <c r="P3854">
        <f>IF(AND(ISNUMBER('자료_미국심리'!$D3838),ISNUMBER('자료_미국심리'!$E3838)),'자료_미국심리'!$D3838,"")</f>
        <v/>
      </c>
      <c r="Q3854">
        <f>IF(AND(ISNUMBER('자료_미국심리'!$G3838),ISNUMBER('자료_미국심리'!$H3838)),'자료_미국심리'!$G3838,"")</f>
        <v/>
      </c>
    </row>
    <row r="3855">
      <c r="O3855">
        <f>IF(AND(ISNUMBER('자료_미국심리'!$A3839),ISNUMBER('자료_미국심리'!$B3839)),'자료_미국심리'!$A3839,"")</f>
        <v/>
      </c>
      <c r="P3855">
        <f>IF(AND(ISNUMBER('자료_미국심리'!$D3839),ISNUMBER('자료_미국심리'!$E3839)),'자료_미국심리'!$D3839,"")</f>
        <v/>
      </c>
      <c r="Q3855">
        <f>IF(AND(ISNUMBER('자료_미국심리'!$G3839),ISNUMBER('자료_미국심리'!$H3839)),'자료_미국심리'!$G3839,"")</f>
        <v/>
      </c>
    </row>
    <row r="3856">
      <c r="O3856">
        <f>IF(AND(ISNUMBER('자료_미국심리'!$A3840),ISNUMBER('자료_미국심리'!$B3840)),'자료_미국심리'!$A3840,"")</f>
        <v/>
      </c>
      <c r="P3856">
        <f>IF(AND(ISNUMBER('자료_미국심리'!$D3840),ISNUMBER('자료_미국심리'!$E3840)),'자료_미국심리'!$D3840,"")</f>
        <v/>
      </c>
      <c r="Q3856">
        <f>IF(AND(ISNUMBER('자료_미국심리'!$G3840),ISNUMBER('자료_미국심리'!$H3840)),'자료_미국심리'!$G3840,"")</f>
        <v/>
      </c>
    </row>
    <row r="3857">
      <c r="O3857">
        <f>IF(AND(ISNUMBER('자료_미국심리'!$A3841),ISNUMBER('자료_미국심리'!$B3841)),'자료_미국심리'!$A3841,"")</f>
        <v/>
      </c>
      <c r="P3857">
        <f>IF(AND(ISNUMBER('자료_미국심리'!$D3841),ISNUMBER('자료_미국심리'!$E3841)),'자료_미국심리'!$D3841,"")</f>
        <v/>
      </c>
      <c r="Q3857">
        <f>IF(AND(ISNUMBER('자료_미국심리'!$G3841),ISNUMBER('자료_미국심리'!$H3841)),'자료_미국심리'!$G3841,"")</f>
        <v/>
      </c>
    </row>
    <row r="3858">
      <c r="O3858">
        <f>IF(AND(ISNUMBER('자료_미국심리'!$A3842),ISNUMBER('자료_미국심리'!$B3842)),'자료_미국심리'!$A3842,"")</f>
        <v/>
      </c>
      <c r="P3858">
        <f>IF(AND(ISNUMBER('자료_미국심리'!$D3842),ISNUMBER('자료_미국심리'!$E3842)),'자료_미국심리'!$D3842,"")</f>
        <v/>
      </c>
      <c r="Q3858">
        <f>IF(AND(ISNUMBER('자료_미국심리'!$G3842),ISNUMBER('자료_미국심리'!$H3842)),'자료_미국심리'!$G3842,"")</f>
        <v/>
      </c>
    </row>
    <row r="3859">
      <c r="O3859">
        <f>IF(AND(ISNUMBER('자료_미국심리'!$A3843),ISNUMBER('자료_미국심리'!$B3843)),'자료_미국심리'!$A3843,"")</f>
        <v/>
      </c>
      <c r="P3859">
        <f>IF(AND(ISNUMBER('자료_미국심리'!$D3843),ISNUMBER('자료_미국심리'!$E3843)),'자료_미국심리'!$D3843,"")</f>
        <v/>
      </c>
      <c r="Q3859">
        <f>IF(AND(ISNUMBER('자료_미국심리'!$G3843),ISNUMBER('자료_미국심리'!$H3843)),'자료_미국심리'!$G3843,"")</f>
        <v/>
      </c>
    </row>
    <row r="3860">
      <c r="O3860">
        <f>IF(AND(ISNUMBER('자료_미국심리'!$A3844),ISNUMBER('자료_미국심리'!$B3844)),'자료_미국심리'!$A3844,"")</f>
        <v/>
      </c>
      <c r="P3860">
        <f>IF(AND(ISNUMBER('자료_미국심리'!$D3844),ISNUMBER('자료_미국심리'!$E3844)),'자료_미국심리'!$D3844,"")</f>
        <v/>
      </c>
      <c r="Q3860">
        <f>IF(AND(ISNUMBER('자료_미국심리'!$G3844),ISNUMBER('자료_미국심리'!$H3844)),'자료_미국심리'!$G3844,"")</f>
        <v/>
      </c>
    </row>
    <row r="3861">
      <c r="O3861">
        <f>IF(AND(ISNUMBER('자료_미국심리'!$A3845),ISNUMBER('자료_미국심리'!$B3845)),'자료_미국심리'!$A3845,"")</f>
        <v/>
      </c>
      <c r="P3861">
        <f>IF(AND(ISNUMBER('자료_미국심리'!$D3845),ISNUMBER('자료_미국심리'!$E3845)),'자료_미국심리'!$D3845,"")</f>
        <v/>
      </c>
      <c r="Q3861">
        <f>IF(AND(ISNUMBER('자료_미국심리'!$G3845),ISNUMBER('자료_미국심리'!$H3845)),'자료_미국심리'!$G3845,"")</f>
        <v/>
      </c>
    </row>
    <row r="3862">
      <c r="O3862">
        <f>IF(AND(ISNUMBER('자료_미국심리'!$A3846),ISNUMBER('자료_미국심리'!$B3846)),'자료_미국심리'!$A3846,"")</f>
        <v/>
      </c>
      <c r="P3862">
        <f>IF(AND(ISNUMBER('자료_미국심리'!$D3846),ISNUMBER('자료_미국심리'!$E3846)),'자료_미국심리'!$D3846,"")</f>
        <v/>
      </c>
      <c r="Q3862">
        <f>IF(AND(ISNUMBER('자료_미국심리'!$G3846),ISNUMBER('자료_미국심리'!$H3846)),'자료_미국심리'!$G3846,"")</f>
        <v/>
      </c>
    </row>
    <row r="3863">
      <c r="O3863">
        <f>IF(AND(ISNUMBER('자료_미국심리'!$A3847),ISNUMBER('자료_미국심리'!$B3847)),'자료_미국심리'!$A3847,"")</f>
        <v/>
      </c>
      <c r="P3863">
        <f>IF(AND(ISNUMBER('자료_미국심리'!$D3847),ISNUMBER('자료_미국심리'!$E3847)),'자료_미국심리'!$D3847,"")</f>
        <v/>
      </c>
      <c r="Q3863">
        <f>IF(AND(ISNUMBER('자료_미국심리'!$G3847),ISNUMBER('자료_미국심리'!$H3847)),'자료_미국심리'!$G3847,"")</f>
        <v/>
      </c>
    </row>
    <row r="3864">
      <c r="O3864">
        <f>IF(AND(ISNUMBER('자료_미국심리'!$A3848),ISNUMBER('자료_미국심리'!$B3848)),'자료_미국심리'!$A3848,"")</f>
        <v/>
      </c>
      <c r="P3864">
        <f>IF(AND(ISNUMBER('자료_미국심리'!$D3848),ISNUMBER('자료_미국심리'!$E3848)),'자료_미국심리'!$D3848,"")</f>
        <v/>
      </c>
      <c r="Q3864">
        <f>IF(AND(ISNUMBER('자료_미국심리'!$G3848),ISNUMBER('자료_미국심리'!$H3848)),'자료_미국심리'!$G3848,"")</f>
        <v/>
      </c>
    </row>
    <row r="3865">
      <c r="O3865">
        <f>IF(AND(ISNUMBER('자료_미국심리'!$A3849),ISNUMBER('자료_미국심리'!$B3849)),'자료_미국심리'!$A3849,"")</f>
        <v/>
      </c>
      <c r="P3865">
        <f>IF(AND(ISNUMBER('자료_미국심리'!$D3849),ISNUMBER('자료_미국심리'!$E3849)),'자료_미국심리'!$D3849,"")</f>
        <v/>
      </c>
      <c r="Q3865">
        <f>IF(AND(ISNUMBER('자료_미국심리'!$G3849),ISNUMBER('자료_미국심리'!$H3849)),'자료_미국심리'!$G3849,"")</f>
        <v/>
      </c>
    </row>
    <row r="3866">
      <c r="O3866">
        <f>IF(AND(ISNUMBER('자료_미국심리'!$A3850),ISNUMBER('자료_미국심리'!$B3850)),'자료_미국심리'!$A3850,"")</f>
        <v/>
      </c>
      <c r="P3866">
        <f>IF(AND(ISNUMBER('자료_미국심리'!$D3850),ISNUMBER('자료_미국심리'!$E3850)),'자료_미국심리'!$D3850,"")</f>
        <v/>
      </c>
      <c r="Q3866">
        <f>IF(AND(ISNUMBER('자료_미국심리'!$G3850),ISNUMBER('자료_미국심리'!$H3850)),'자료_미국심리'!$G3850,"")</f>
        <v/>
      </c>
    </row>
    <row r="3867">
      <c r="O3867">
        <f>IF(AND(ISNUMBER('자료_미국심리'!$A3851),ISNUMBER('자료_미국심리'!$B3851)),'자료_미국심리'!$A3851,"")</f>
        <v/>
      </c>
      <c r="P3867">
        <f>IF(AND(ISNUMBER('자료_미국심리'!$D3851),ISNUMBER('자료_미국심리'!$E3851)),'자료_미국심리'!$D3851,"")</f>
        <v/>
      </c>
      <c r="Q3867">
        <f>IF(AND(ISNUMBER('자료_미국심리'!$G3851),ISNUMBER('자료_미국심리'!$H3851)),'자료_미국심리'!$G3851,"")</f>
        <v/>
      </c>
    </row>
    <row r="3868">
      <c r="O3868">
        <f>IF(AND(ISNUMBER('자료_미국심리'!$A3852),ISNUMBER('자료_미국심리'!$B3852)),'자료_미국심리'!$A3852,"")</f>
        <v/>
      </c>
      <c r="P3868">
        <f>IF(AND(ISNUMBER('자료_미국심리'!$D3852),ISNUMBER('자료_미국심리'!$E3852)),'자료_미국심리'!$D3852,"")</f>
        <v/>
      </c>
      <c r="Q3868">
        <f>IF(AND(ISNUMBER('자료_미국심리'!$G3852),ISNUMBER('자료_미국심리'!$H3852)),'자료_미국심리'!$G3852,"")</f>
        <v/>
      </c>
    </row>
    <row r="3869">
      <c r="O3869">
        <f>IF(AND(ISNUMBER('자료_미국심리'!$A3853),ISNUMBER('자료_미국심리'!$B3853)),'자료_미국심리'!$A3853,"")</f>
        <v/>
      </c>
      <c r="P3869">
        <f>IF(AND(ISNUMBER('자료_미국심리'!$D3853),ISNUMBER('자료_미국심리'!$E3853)),'자료_미국심리'!$D3853,"")</f>
        <v/>
      </c>
      <c r="Q3869">
        <f>IF(AND(ISNUMBER('자료_미국심리'!$G3853),ISNUMBER('자료_미국심리'!$H3853)),'자료_미국심리'!$G3853,"")</f>
        <v/>
      </c>
    </row>
    <row r="3870">
      <c r="O3870">
        <f>IF(AND(ISNUMBER('자료_미국심리'!$A3854),ISNUMBER('자료_미국심리'!$B3854)),'자료_미국심리'!$A3854,"")</f>
        <v/>
      </c>
      <c r="P3870">
        <f>IF(AND(ISNUMBER('자료_미국심리'!$D3854),ISNUMBER('자료_미국심리'!$E3854)),'자료_미국심리'!$D3854,"")</f>
        <v/>
      </c>
      <c r="Q3870">
        <f>IF(AND(ISNUMBER('자료_미국심리'!$G3854),ISNUMBER('자료_미국심리'!$H3854)),'자료_미국심리'!$G3854,"")</f>
        <v/>
      </c>
    </row>
    <row r="3871">
      <c r="O3871">
        <f>IF(AND(ISNUMBER('자료_미국심리'!$A3855),ISNUMBER('자료_미국심리'!$B3855)),'자료_미국심리'!$A3855,"")</f>
        <v/>
      </c>
      <c r="P3871">
        <f>IF(AND(ISNUMBER('자료_미국심리'!$D3855),ISNUMBER('자료_미국심리'!$E3855)),'자료_미국심리'!$D3855,"")</f>
        <v/>
      </c>
      <c r="Q3871">
        <f>IF(AND(ISNUMBER('자료_미국심리'!$G3855),ISNUMBER('자료_미국심리'!$H3855)),'자료_미국심리'!$G3855,"")</f>
        <v/>
      </c>
    </row>
    <row r="3872">
      <c r="O3872">
        <f>IF(AND(ISNUMBER('자료_미국심리'!$A3856),ISNUMBER('자료_미국심리'!$B3856)),'자료_미국심리'!$A3856,"")</f>
        <v/>
      </c>
      <c r="P3872">
        <f>IF(AND(ISNUMBER('자료_미국심리'!$D3856),ISNUMBER('자료_미국심리'!$E3856)),'자료_미국심리'!$D3856,"")</f>
        <v/>
      </c>
      <c r="Q3872">
        <f>IF(AND(ISNUMBER('자료_미국심리'!$G3856),ISNUMBER('자료_미국심리'!$H3856)),'자료_미국심리'!$G3856,"")</f>
        <v/>
      </c>
    </row>
    <row r="3873">
      <c r="O3873">
        <f>IF(AND(ISNUMBER('자료_미국심리'!$A3857),ISNUMBER('자료_미국심리'!$B3857)),'자료_미국심리'!$A3857,"")</f>
        <v/>
      </c>
      <c r="P3873">
        <f>IF(AND(ISNUMBER('자료_미국심리'!$D3857),ISNUMBER('자료_미국심리'!$E3857)),'자료_미국심리'!$D3857,"")</f>
        <v/>
      </c>
      <c r="Q3873">
        <f>IF(AND(ISNUMBER('자료_미국심리'!$G3857),ISNUMBER('자료_미국심리'!$H3857)),'자료_미국심리'!$G3857,"")</f>
        <v/>
      </c>
    </row>
    <row r="3874">
      <c r="O3874">
        <f>IF(AND(ISNUMBER('자료_미국심리'!$A3858),ISNUMBER('자료_미국심리'!$B3858)),'자료_미국심리'!$A3858,"")</f>
        <v/>
      </c>
      <c r="P3874">
        <f>IF(AND(ISNUMBER('자료_미국심리'!$D3858),ISNUMBER('자료_미국심리'!$E3858)),'자료_미국심리'!$D3858,"")</f>
        <v/>
      </c>
      <c r="Q3874">
        <f>IF(AND(ISNUMBER('자료_미국심리'!$G3858),ISNUMBER('자료_미국심리'!$H3858)),'자료_미국심리'!$G3858,"")</f>
        <v/>
      </c>
    </row>
    <row r="3875">
      <c r="O3875">
        <f>IF(AND(ISNUMBER('자료_미국심리'!$A3859),ISNUMBER('자료_미국심리'!$B3859)),'자료_미국심리'!$A3859,"")</f>
        <v/>
      </c>
      <c r="P3875">
        <f>IF(AND(ISNUMBER('자료_미국심리'!$D3859),ISNUMBER('자료_미국심리'!$E3859)),'자료_미국심리'!$D3859,"")</f>
        <v/>
      </c>
      <c r="Q3875">
        <f>IF(AND(ISNUMBER('자료_미국심리'!$G3859),ISNUMBER('자료_미국심리'!$H3859)),'자료_미국심리'!$G3859,"")</f>
        <v/>
      </c>
    </row>
    <row r="3876">
      <c r="O3876">
        <f>IF(AND(ISNUMBER('자료_미국심리'!$A3860),ISNUMBER('자료_미국심리'!$B3860)),'자료_미국심리'!$A3860,"")</f>
        <v/>
      </c>
      <c r="P3876">
        <f>IF(AND(ISNUMBER('자료_미국심리'!$D3860),ISNUMBER('자료_미국심리'!$E3860)),'자료_미국심리'!$D3860,"")</f>
        <v/>
      </c>
      <c r="Q3876">
        <f>IF(AND(ISNUMBER('자료_미국심리'!$G3860),ISNUMBER('자료_미국심리'!$H3860)),'자료_미국심리'!$G3860,"")</f>
        <v/>
      </c>
    </row>
    <row r="3877">
      <c r="O3877">
        <f>IF(AND(ISNUMBER('자료_미국심리'!$A3861),ISNUMBER('자료_미국심리'!$B3861)),'자료_미국심리'!$A3861,"")</f>
        <v/>
      </c>
      <c r="P3877">
        <f>IF(AND(ISNUMBER('자료_미국심리'!$D3861),ISNUMBER('자료_미국심리'!$E3861)),'자료_미국심리'!$D3861,"")</f>
        <v/>
      </c>
      <c r="Q3877">
        <f>IF(AND(ISNUMBER('자료_미국심리'!$G3861),ISNUMBER('자료_미국심리'!$H3861)),'자료_미국심리'!$G3861,"")</f>
        <v/>
      </c>
    </row>
    <row r="3878">
      <c r="O3878">
        <f>IF(AND(ISNUMBER('자료_미국심리'!$A3862),ISNUMBER('자료_미국심리'!$B3862)),'자료_미국심리'!$A3862,"")</f>
        <v/>
      </c>
      <c r="P3878">
        <f>IF(AND(ISNUMBER('자료_미국심리'!$D3862),ISNUMBER('자료_미국심리'!$E3862)),'자료_미국심리'!$D3862,"")</f>
        <v/>
      </c>
      <c r="Q3878">
        <f>IF(AND(ISNUMBER('자료_미국심리'!$G3862),ISNUMBER('자료_미국심리'!$H3862)),'자료_미국심리'!$G3862,"")</f>
        <v/>
      </c>
    </row>
    <row r="3879">
      <c r="O3879">
        <f>IF(AND(ISNUMBER('자료_미국심리'!$A3863),ISNUMBER('자료_미국심리'!$B3863)),'자료_미국심리'!$A3863,"")</f>
        <v/>
      </c>
      <c r="P3879">
        <f>IF(AND(ISNUMBER('자료_미국심리'!$D3863),ISNUMBER('자료_미국심리'!$E3863)),'자료_미국심리'!$D3863,"")</f>
        <v/>
      </c>
      <c r="Q3879">
        <f>IF(AND(ISNUMBER('자료_미국심리'!$G3863),ISNUMBER('자료_미국심리'!$H3863)),'자료_미국심리'!$G3863,"")</f>
        <v/>
      </c>
    </row>
    <row r="3880">
      <c r="O3880">
        <f>IF(AND(ISNUMBER('자료_미국심리'!$A3864),ISNUMBER('자료_미국심리'!$B3864)),'자료_미국심리'!$A3864,"")</f>
        <v/>
      </c>
      <c r="P3880">
        <f>IF(AND(ISNUMBER('자료_미국심리'!$D3864),ISNUMBER('자료_미국심리'!$E3864)),'자료_미국심리'!$D3864,"")</f>
        <v/>
      </c>
      <c r="Q3880">
        <f>IF(AND(ISNUMBER('자료_미국심리'!$G3864),ISNUMBER('자료_미국심리'!$H3864)),'자료_미국심리'!$G3864,"")</f>
        <v/>
      </c>
    </row>
    <row r="3881">
      <c r="O3881">
        <f>IF(AND(ISNUMBER('자료_미국심리'!$A3865),ISNUMBER('자료_미국심리'!$B3865)),'자료_미국심리'!$A3865,"")</f>
        <v/>
      </c>
      <c r="P3881">
        <f>IF(AND(ISNUMBER('자료_미국심리'!$D3865),ISNUMBER('자료_미국심리'!$E3865)),'자료_미국심리'!$D3865,"")</f>
        <v/>
      </c>
      <c r="Q3881">
        <f>IF(AND(ISNUMBER('자료_미국심리'!$G3865),ISNUMBER('자료_미국심리'!$H3865)),'자료_미국심리'!$G3865,"")</f>
        <v/>
      </c>
    </row>
    <row r="3882">
      <c r="O3882">
        <f>IF(AND(ISNUMBER('자료_미국심리'!$A3866),ISNUMBER('자료_미국심리'!$B3866)),'자료_미국심리'!$A3866,"")</f>
        <v/>
      </c>
      <c r="P3882">
        <f>IF(AND(ISNUMBER('자료_미국심리'!$D3866),ISNUMBER('자료_미국심리'!$E3866)),'자료_미국심리'!$D3866,"")</f>
        <v/>
      </c>
      <c r="Q3882">
        <f>IF(AND(ISNUMBER('자료_미국심리'!$G3866),ISNUMBER('자료_미국심리'!$H3866)),'자료_미국심리'!$G3866,"")</f>
        <v/>
      </c>
    </row>
    <row r="3883">
      <c r="O3883">
        <f>IF(AND(ISNUMBER('자료_미국심리'!$A3867),ISNUMBER('자료_미국심리'!$B3867)),'자료_미국심리'!$A3867,"")</f>
        <v/>
      </c>
      <c r="P3883">
        <f>IF(AND(ISNUMBER('자료_미국심리'!$D3867),ISNUMBER('자료_미국심리'!$E3867)),'자료_미국심리'!$D3867,"")</f>
        <v/>
      </c>
      <c r="Q3883">
        <f>IF(AND(ISNUMBER('자료_미국심리'!$G3867),ISNUMBER('자료_미국심리'!$H3867)),'자료_미국심리'!$G3867,"")</f>
        <v/>
      </c>
    </row>
    <row r="3884">
      <c r="O3884">
        <f>IF(AND(ISNUMBER('자료_미국심리'!$A3868),ISNUMBER('자료_미국심리'!$B3868)),'자료_미국심리'!$A3868,"")</f>
        <v/>
      </c>
      <c r="P3884">
        <f>IF(AND(ISNUMBER('자료_미국심리'!$D3868),ISNUMBER('자료_미국심리'!$E3868)),'자료_미국심리'!$D3868,"")</f>
        <v/>
      </c>
      <c r="Q3884">
        <f>IF(AND(ISNUMBER('자료_미국심리'!$G3868),ISNUMBER('자료_미국심리'!$H3868)),'자료_미국심리'!$G3868,"")</f>
        <v/>
      </c>
    </row>
    <row r="3885">
      <c r="O3885">
        <f>IF(AND(ISNUMBER('자료_미국심리'!$A3869),ISNUMBER('자료_미국심리'!$B3869)),'자료_미국심리'!$A3869,"")</f>
        <v/>
      </c>
      <c r="P3885">
        <f>IF(AND(ISNUMBER('자료_미국심리'!$D3869),ISNUMBER('자료_미국심리'!$E3869)),'자료_미국심리'!$D3869,"")</f>
        <v/>
      </c>
      <c r="Q3885">
        <f>IF(AND(ISNUMBER('자료_미국심리'!$G3869),ISNUMBER('자료_미국심리'!$H3869)),'자료_미국심리'!$G3869,"")</f>
        <v/>
      </c>
    </row>
    <row r="3886">
      <c r="O3886">
        <f>IF(AND(ISNUMBER('자료_미국심리'!$A3870),ISNUMBER('자료_미국심리'!$B3870)),'자료_미국심리'!$A3870,"")</f>
        <v/>
      </c>
      <c r="P3886">
        <f>IF(AND(ISNUMBER('자료_미국심리'!$D3870),ISNUMBER('자료_미국심리'!$E3870)),'자료_미국심리'!$D3870,"")</f>
        <v/>
      </c>
      <c r="Q3886">
        <f>IF(AND(ISNUMBER('자료_미국심리'!$G3870),ISNUMBER('자료_미국심리'!$H3870)),'자료_미국심리'!$G3870,"")</f>
        <v/>
      </c>
    </row>
    <row r="3887">
      <c r="O3887">
        <f>IF(AND(ISNUMBER('자료_미국심리'!$A3871),ISNUMBER('자료_미국심리'!$B3871)),'자료_미국심리'!$A3871,"")</f>
        <v/>
      </c>
      <c r="P3887">
        <f>IF(AND(ISNUMBER('자료_미국심리'!$D3871),ISNUMBER('자료_미국심리'!$E3871)),'자료_미국심리'!$D3871,"")</f>
        <v/>
      </c>
      <c r="Q3887">
        <f>IF(AND(ISNUMBER('자료_미국심리'!$G3871),ISNUMBER('자료_미국심리'!$H3871)),'자료_미국심리'!$G3871,"")</f>
        <v/>
      </c>
    </row>
    <row r="3888">
      <c r="O3888">
        <f>IF(AND(ISNUMBER('자료_미국심리'!$A3872),ISNUMBER('자료_미국심리'!$B3872)),'자료_미국심리'!$A3872,"")</f>
        <v/>
      </c>
      <c r="P3888">
        <f>IF(AND(ISNUMBER('자료_미국심리'!$D3872),ISNUMBER('자료_미국심리'!$E3872)),'자료_미국심리'!$D3872,"")</f>
        <v/>
      </c>
      <c r="Q3888">
        <f>IF(AND(ISNUMBER('자료_미국심리'!$G3872),ISNUMBER('자료_미국심리'!$H3872)),'자료_미국심리'!$G3872,"")</f>
        <v/>
      </c>
    </row>
    <row r="3889">
      <c r="O3889">
        <f>IF(AND(ISNUMBER('자료_미국심리'!$A3873),ISNUMBER('자료_미국심리'!$B3873)),'자료_미국심리'!$A3873,"")</f>
        <v/>
      </c>
      <c r="P3889">
        <f>IF(AND(ISNUMBER('자료_미국심리'!$D3873),ISNUMBER('자료_미국심리'!$E3873)),'자료_미국심리'!$D3873,"")</f>
        <v/>
      </c>
      <c r="Q3889">
        <f>IF(AND(ISNUMBER('자료_미국심리'!$G3873),ISNUMBER('자료_미국심리'!$H3873)),'자료_미국심리'!$G3873,"")</f>
        <v/>
      </c>
    </row>
    <row r="3890">
      <c r="O3890">
        <f>IF(AND(ISNUMBER('자료_미국심리'!$A3874),ISNUMBER('자료_미국심리'!$B3874)),'자료_미국심리'!$A3874,"")</f>
        <v/>
      </c>
      <c r="P3890">
        <f>IF(AND(ISNUMBER('자료_미국심리'!$D3874),ISNUMBER('자료_미국심리'!$E3874)),'자료_미국심리'!$D3874,"")</f>
        <v/>
      </c>
      <c r="Q3890">
        <f>IF(AND(ISNUMBER('자료_미국심리'!$G3874),ISNUMBER('자료_미국심리'!$H3874)),'자료_미국심리'!$G3874,"")</f>
        <v/>
      </c>
    </row>
    <row r="3891">
      <c r="O3891">
        <f>IF(AND(ISNUMBER('자료_미국심리'!$A3875),ISNUMBER('자료_미국심리'!$B3875)),'자료_미국심리'!$A3875,"")</f>
        <v/>
      </c>
      <c r="P3891">
        <f>IF(AND(ISNUMBER('자료_미국심리'!$D3875),ISNUMBER('자료_미국심리'!$E3875)),'자료_미국심리'!$D3875,"")</f>
        <v/>
      </c>
      <c r="Q3891">
        <f>IF(AND(ISNUMBER('자료_미국심리'!$G3875),ISNUMBER('자료_미국심리'!$H3875)),'자료_미국심리'!$G3875,"")</f>
        <v/>
      </c>
    </row>
    <row r="3892">
      <c r="O3892">
        <f>IF(AND(ISNUMBER('자료_미국심리'!$A3876),ISNUMBER('자료_미국심리'!$B3876)),'자료_미국심리'!$A3876,"")</f>
        <v/>
      </c>
      <c r="P3892">
        <f>IF(AND(ISNUMBER('자료_미국심리'!$D3876),ISNUMBER('자료_미국심리'!$E3876)),'자료_미국심리'!$D3876,"")</f>
        <v/>
      </c>
      <c r="Q3892">
        <f>IF(AND(ISNUMBER('자료_미국심리'!$G3876),ISNUMBER('자료_미국심리'!$H3876)),'자료_미국심리'!$G3876,"")</f>
        <v/>
      </c>
    </row>
    <row r="3893">
      <c r="O3893">
        <f>IF(AND(ISNUMBER('자료_미국심리'!$A3877),ISNUMBER('자료_미국심리'!$B3877)),'자료_미국심리'!$A3877,"")</f>
        <v/>
      </c>
      <c r="P3893">
        <f>IF(AND(ISNUMBER('자료_미국심리'!$D3877),ISNUMBER('자료_미국심리'!$E3877)),'자료_미국심리'!$D3877,"")</f>
        <v/>
      </c>
      <c r="Q3893">
        <f>IF(AND(ISNUMBER('자료_미국심리'!$G3877),ISNUMBER('자료_미국심리'!$H3877)),'자료_미국심리'!$G3877,"")</f>
        <v/>
      </c>
    </row>
    <row r="3894">
      <c r="O3894">
        <f>IF(AND(ISNUMBER('자료_미국심리'!$A3878),ISNUMBER('자료_미국심리'!$B3878)),'자료_미국심리'!$A3878,"")</f>
        <v/>
      </c>
      <c r="P3894">
        <f>IF(AND(ISNUMBER('자료_미국심리'!$D3878),ISNUMBER('자료_미국심리'!$E3878)),'자료_미국심리'!$D3878,"")</f>
        <v/>
      </c>
      <c r="Q3894">
        <f>IF(AND(ISNUMBER('자료_미국심리'!$G3878),ISNUMBER('자료_미국심리'!$H3878)),'자료_미국심리'!$G3878,"")</f>
        <v/>
      </c>
    </row>
    <row r="3895">
      <c r="O3895">
        <f>IF(AND(ISNUMBER('자료_미국심리'!$A3879),ISNUMBER('자료_미국심리'!$B3879)),'자료_미국심리'!$A3879,"")</f>
        <v/>
      </c>
      <c r="P3895">
        <f>IF(AND(ISNUMBER('자료_미국심리'!$D3879),ISNUMBER('자료_미국심리'!$E3879)),'자료_미국심리'!$D3879,"")</f>
        <v/>
      </c>
      <c r="Q3895">
        <f>IF(AND(ISNUMBER('자료_미국심리'!$G3879),ISNUMBER('자료_미국심리'!$H3879)),'자료_미국심리'!$G3879,"")</f>
        <v/>
      </c>
    </row>
    <row r="3896">
      <c r="O3896">
        <f>IF(AND(ISNUMBER('자료_미국심리'!$A3880),ISNUMBER('자료_미국심리'!$B3880)),'자료_미국심리'!$A3880,"")</f>
        <v/>
      </c>
      <c r="P3896">
        <f>IF(AND(ISNUMBER('자료_미국심리'!$D3880),ISNUMBER('자료_미국심리'!$E3880)),'자료_미국심리'!$D3880,"")</f>
        <v/>
      </c>
      <c r="Q3896">
        <f>IF(AND(ISNUMBER('자료_미국심리'!$G3880),ISNUMBER('자료_미국심리'!$H3880)),'자료_미국심리'!$G3880,"")</f>
        <v/>
      </c>
    </row>
    <row r="3897">
      <c r="O3897">
        <f>IF(AND(ISNUMBER('자료_미국심리'!$A3881),ISNUMBER('자료_미국심리'!$B3881)),'자료_미국심리'!$A3881,"")</f>
        <v/>
      </c>
      <c r="P3897">
        <f>IF(AND(ISNUMBER('자료_미국심리'!$D3881),ISNUMBER('자료_미국심리'!$E3881)),'자료_미국심리'!$D3881,"")</f>
        <v/>
      </c>
      <c r="Q3897">
        <f>IF(AND(ISNUMBER('자료_미국심리'!$G3881),ISNUMBER('자료_미국심리'!$H3881)),'자료_미국심리'!$G3881,"")</f>
        <v/>
      </c>
    </row>
    <row r="3898">
      <c r="O3898">
        <f>IF(AND(ISNUMBER('자료_미국심리'!$A3882),ISNUMBER('자료_미국심리'!$B3882)),'자료_미국심리'!$A3882,"")</f>
        <v/>
      </c>
      <c r="P3898">
        <f>IF(AND(ISNUMBER('자료_미국심리'!$D3882),ISNUMBER('자료_미국심리'!$E3882)),'자료_미국심리'!$D3882,"")</f>
        <v/>
      </c>
      <c r="Q3898">
        <f>IF(AND(ISNUMBER('자료_미국심리'!$G3882),ISNUMBER('자료_미국심리'!$H3882)),'자료_미국심리'!$G3882,"")</f>
        <v/>
      </c>
    </row>
    <row r="3899">
      <c r="O3899">
        <f>IF(AND(ISNUMBER('자료_미국심리'!$A3883),ISNUMBER('자료_미국심리'!$B3883)),'자료_미국심리'!$A3883,"")</f>
        <v/>
      </c>
      <c r="P3899">
        <f>IF(AND(ISNUMBER('자료_미국심리'!$D3883),ISNUMBER('자료_미국심리'!$E3883)),'자료_미국심리'!$D3883,"")</f>
        <v/>
      </c>
      <c r="Q3899">
        <f>IF(AND(ISNUMBER('자료_미국심리'!$G3883),ISNUMBER('자료_미국심리'!$H3883)),'자료_미국심리'!$G3883,"")</f>
        <v/>
      </c>
    </row>
    <row r="3900">
      <c r="O3900">
        <f>IF(AND(ISNUMBER('자료_미국심리'!$A3884),ISNUMBER('자료_미국심리'!$B3884)),'자료_미국심리'!$A3884,"")</f>
        <v/>
      </c>
      <c r="P3900">
        <f>IF(AND(ISNUMBER('자료_미국심리'!$D3884),ISNUMBER('자료_미국심리'!$E3884)),'자료_미국심리'!$D3884,"")</f>
        <v/>
      </c>
      <c r="Q3900">
        <f>IF(AND(ISNUMBER('자료_미국심리'!$G3884),ISNUMBER('자료_미국심리'!$H3884)),'자료_미국심리'!$G3884,"")</f>
        <v/>
      </c>
    </row>
    <row r="3901">
      <c r="O3901">
        <f>IF(AND(ISNUMBER('자료_미국심리'!$A3885),ISNUMBER('자료_미국심리'!$B3885)),'자료_미국심리'!$A3885,"")</f>
        <v/>
      </c>
      <c r="P3901">
        <f>IF(AND(ISNUMBER('자료_미국심리'!$D3885),ISNUMBER('자료_미국심리'!$E3885)),'자료_미국심리'!$D3885,"")</f>
        <v/>
      </c>
      <c r="Q3901">
        <f>IF(AND(ISNUMBER('자료_미국심리'!$G3885),ISNUMBER('자료_미국심리'!$H3885)),'자료_미국심리'!$G3885,"")</f>
        <v/>
      </c>
    </row>
    <row r="3902">
      <c r="O3902">
        <f>IF(AND(ISNUMBER('자료_미국심리'!$A3886),ISNUMBER('자료_미국심리'!$B3886)),'자료_미국심리'!$A3886,"")</f>
        <v/>
      </c>
      <c r="P3902">
        <f>IF(AND(ISNUMBER('자료_미국심리'!$D3886),ISNUMBER('자료_미국심리'!$E3886)),'자료_미국심리'!$D3886,"")</f>
        <v/>
      </c>
      <c r="Q3902">
        <f>IF(AND(ISNUMBER('자료_미국심리'!$G3886),ISNUMBER('자료_미국심리'!$H3886)),'자료_미국심리'!$G3886,"")</f>
        <v/>
      </c>
    </row>
    <row r="3903">
      <c r="O3903">
        <f>IF(AND(ISNUMBER('자료_미국심리'!$A3887),ISNUMBER('자료_미국심리'!$B3887)),'자료_미국심리'!$A3887,"")</f>
        <v/>
      </c>
      <c r="P3903">
        <f>IF(AND(ISNUMBER('자료_미국심리'!$D3887),ISNUMBER('자료_미국심리'!$E3887)),'자료_미국심리'!$D3887,"")</f>
        <v/>
      </c>
      <c r="Q3903">
        <f>IF(AND(ISNUMBER('자료_미국심리'!$G3887),ISNUMBER('자료_미국심리'!$H3887)),'자료_미국심리'!$G3887,"")</f>
        <v/>
      </c>
    </row>
    <row r="3904">
      <c r="O3904">
        <f>IF(AND(ISNUMBER('자료_미국심리'!$A3888),ISNUMBER('자료_미국심리'!$B3888)),'자료_미국심리'!$A3888,"")</f>
        <v/>
      </c>
      <c r="P3904">
        <f>IF(AND(ISNUMBER('자료_미국심리'!$D3888),ISNUMBER('자료_미국심리'!$E3888)),'자료_미국심리'!$D3888,"")</f>
        <v/>
      </c>
      <c r="Q3904">
        <f>IF(AND(ISNUMBER('자료_미국심리'!$G3888),ISNUMBER('자료_미국심리'!$H3888)),'자료_미국심리'!$G3888,"")</f>
        <v/>
      </c>
    </row>
    <row r="3905">
      <c r="O3905">
        <f>IF(AND(ISNUMBER('자료_미국심리'!$A3889),ISNUMBER('자료_미국심리'!$B3889)),'자료_미국심리'!$A3889,"")</f>
        <v/>
      </c>
      <c r="P3905">
        <f>IF(AND(ISNUMBER('자료_미국심리'!$D3889),ISNUMBER('자료_미국심리'!$E3889)),'자료_미국심리'!$D3889,"")</f>
        <v/>
      </c>
      <c r="Q3905">
        <f>IF(AND(ISNUMBER('자료_미국심리'!$G3889),ISNUMBER('자료_미국심리'!$H3889)),'자료_미국심리'!$G3889,"")</f>
        <v/>
      </c>
    </row>
    <row r="3906">
      <c r="O3906">
        <f>IF(AND(ISNUMBER('자료_미국심리'!$A3890),ISNUMBER('자료_미국심리'!$B3890)),'자료_미국심리'!$A3890,"")</f>
        <v/>
      </c>
      <c r="P3906">
        <f>IF(AND(ISNUMBER('자료_미국심리'!$D3890),ISNUMBER('자료_미국심리'!$E3890)),'자료_미국심리'!$D3890,"")</f>
        <v/>
      </c>
      <c r="Q3906">
        <f>IF(AND(ISNUMBER('자료_미국심리'!$G3890),ISNUMBER('자료_미국심리'!$H3890)),'자료_미국심리'!$G3890,"")</f>
        <v/>
      </c>
    </row>
    <row r="3907">
      <c r="O3907">
        <f>IF(AND(ISNUMBER('자료_미국심리'!$A3891),ISNUMBER('자료_미국심리'!$B3891)),'자료_미국심리'!$A3891,"")</f>
        <v/>
      </c>
      <c r="P3907">
        <f>IF(AND(ISNUMBER('자료_미국심리'!$D3891),ISNUMBER('자료_미국심리'!$E3891)),'자료_미국심리'!$D3891,"")</f>
        <v/>
      </c>
      <c r="Q3907">
        <f>IF(AND(ISNUMBER('자료_미국심리'!$G3891),ISNUMBER('자료_미국심리'!$H3891)),'자료_미국심리'!$G3891,"")</f>
        <v/>
      </c>
    </row>
    <row r="3908">
      <c r="O3908">
        <f>IF(AND(ISNUMBER('자료_미국심리'!$A3892),ISNUMBER('자료_미국심리'!$B3892)),'자료_미국심리'!$A3892,"")</f>
        <v/>
      </c>
      <c r="P3908">
        <f>IF(AND(ISNUMBER('자료_미국심리'!$D3892),ISNUMBER('자료_미국심리'!$E3892)),'자료_미국심리'!$D3892,"")</f>
        <v/>
      </c>
      <c r="Q3908">
        <f>IF(AND(ISNUMBER('자료_미국심리'!$G3892),ISNUMBER('자료_미국심리'!$H3892)),'자료_미국심리'!$G3892,"")</f>
        <v/>
      </c>
    </row>
    <row r="3909">
      <c r="O3909">
        <f>IF(AND(ISNUMBER('자료_미국심리'!$A3893),ISNUMBER('자료_미국심리'!$B3893)),'자료_미국심리'!$A3893,"")</f>
        <v/>
      </c>
      <c r="P3909">
        <f>IF(AND(ISNUMBER('자료_미국심리'!$D3893),ISNUMBER('자료_미국심리'!$E3893)),'자료_미국심리'!$D3893,"")</f>
        <v/>
      </c>
      <c r="Q3909">
        <f>IF(AND(ISNUMBER('자료_미국심리'!$G3893),ISNUMBER('자료_미국심리'!$H3893)),'자료_미국심리'!$G3893,"")</f>
        <v/>
      </c>
    </row>
    <row r="3910">
      <c r="O3910">
        <f>IF(AND(ISNUMBER('자료_미국심리'!$A3894),ISNUMBER('자료_미국심리'!$B3894)),'자료_미국심리'!$A3894,"")</f>
        <v/>
      </c>
      <c r="P3910">
        <f>IF(AND(ISNUMBER('자료_미국심리'!$D3894),ISNUMBER('자료_미국심리'!$E3894)),'자료_미국심리'!$D3894,"")</f>
        <v/>
      </c>
      <c r="Q3910">
        <f>IF(AND(ISNUMBER('자료_미국심리'!$G3894),ISNUMBER('자료_미국심리'!$H3894)),'자료_미국심리'!$G3894,"")</f>
        <v/>
      </c>
    </row>
    <row r="3911">
      <c r="O3911">
        <f>IF(AND(ISNUMBER('자료_미국심리'!$A3895),ISNUMBER('자료_미국심리'!$B3895)),'자료_미국심리'!$A3895,"")</f>
        <v/>
      </c>
      <c r="P3911">
        <f>IF(AND(ISNUMBER('자료_미국심리'!$D3895),ISNUMBER('자료_미국심리'!$E3895)),'자료_미국심리'!$D3895,"")</f>
        <v/>
      </c>
      <c r="Q3911">
        <f>IF(AND(ISNUMBER('자료_미국심리'!$G3895),ISNUMBER('자료_미국심리'!$H3895)),'자료_미국심리'!$G3895,"")</f>
        <v/>
      </c>
    </row>
    <row r="3912">
      <c r="O3912">
        <f>IF(AND(ISNUMBER('자료_미국심리'!$A3896),ISNUMBER('자료_미국심리'!$B3896)),'자료_미국심리'!$A3896,"")</f>
        <v/>
      </c>
      <c r="P3912">
        <f>IF(AND(ISNUMBER('자료_미국심리'!$D3896),ISNUMBER('자료_미국심리'!$E3896)),'자료_미국심리'!$D3896,"")</f>
        <v/>
      </c>
      <c r="Q3912">
        <f>IF(AND(ISNUMBER('자료_미국심리'!$G3896),ISNUMBER('자료_미국심리'!$H3896)),'자료_미국심리'!$G3896,"")</f>
        <v/>
      </c>
    </row>
    <row r="3913">
      <c r="O3913">
        <f>IF(AND(ISNUMBER('자료_미국심리'!$A3897),ISNUMBER('자료_미국심리'!$B3897)),'자료_미국심리'!$A3897,"")</f>
        <v/>
      </c>
      <c r="P3913">
        <f>IF(AND(ISNUMBER('자료_미국심리'!$D3897),ISNUMBER('자료_미국심리'!$E3897)),'자료_미국심리'!$D3897,"")</f>
        <v/>
      </c>
      <c r="Q3913">
        <f>IF(AND(ISNUMBER('자료_미국심리'!$G3897),ISNUMBER('자료_미국심리'!$H3897)),'자료_미국심리'!$G3897,"")</f>
        <v/>
      </c>
    </row>
    <row r="3914">
      <c r="O3914">
        <f>IF(AND(ISNUMBER('자료_미국심리'!$A3898),ISNUMBER('자료_미국심리'!$B3898)),'자료_미국심리'!$A3898,"")</f>
        <v/>
      </c>
      <c r="P3914">
        <f>IF(AND(ISNUMBER('자료_미국심리'!$D3898),ISNUMBER('자료_미국심리'!$E3898)),'자료_미국심리'!$D3898,"")</f>
        <v/>
      </c>
      <c r="Q3914">
        <f>IF(AND(ISNUMBER('자료_미국심리'!$G3898),ISNUMBER('자료_미국심리'!$H3898)),'자료_미국심리'!$G3898,"")</f>
        <v/>
      </c>
    </row>
    <row r="3915">
      <c r="O3915">
        <f>IF(AND(ISNUMBER('자료_미국심리'!$A3899),ISNUMBER('자료_미국심리'!$B3899)),'자료_미국심리'!$A3899,"")</f>
        <v/>
      </c>
      <c r="P3915">
        <f>IF(AND(ISNUMBER('자료_미국심리'!$D3899),ISNUMBER('자료_미국심리'!$E3899)),'자료_미국심리'!$D3899,"")</f>
        <v/>
      </c>
      <c r="Q3915">
        <f>IF(AND(ISNUMBER('자료_미국심리'!$G3899),ISNUMBER('자료_미국심리'!$H3899)),'자료_미국심리'!$G3899,"")</f>
        <v/>
      </c>
    </row>
    <row r="3916">
      <c r="O3916">
        <f>IF(AND(ISNUMBER('자료_미국심리'!$A3900),ISNUMBER('자료_미국심리'!$B3900)),'자료_미국심리'!$A3900,"")</f>
        <v/>
      </c>
      <c r="P3916">
        <f>IF(AND(ISNUMBER('자료_미국심리'!$D3900),ISNUMBER('자료_미국심리'!$E3900)),'자료_미국심리'!$D3900,"")</f>
        <v/>
      </c>
      <c r="Q3916">
        <f>IF(AND(ISNUMBER('자료_미국심리'!$G3900),ISNUMBER('자료_미국심리'!$H3900)),'자료_미국심리'!$G3900,"")</f>
        <v/>
      </c>
    </row>
    <row r="3917">
      <c r="O3917">
        <f>IF(AND(ISNUMBER('자료_미국심리'!$A3901),ISNUMBER('자료_미국심리'!$B3901)),'자료_미국심리'!$A3901,"")</f>
        <v/>
      </c>
      <c r="P3917">
        <f>IF(AND(ISNUMBER('자료_미국심리'!$D3901),ISNUMBER('자료_미국심리'!$E3901)),'자료_미국심리'!$D3901,"")</f>
        <v/>
      </c>
      <c r="Q3917">
        <f>IF(AND(ISNUMBER('자료_미국심리'!$G3901),ISNUMBER('자료_미국심리'!$H3901)),'자료_미국심리'!$G3901,"")</f>
        <v/>
      </c>
    </row>
    <row r="3918">
      <c r="O3918">
        <f>IF(AND(ISNUMBER('자료_미국심리'!$A3902),ISNUMBER('자료_미국심리'!$B3902)),'자료_미국심리'!$A3902,"")</f>
        <v/>
      </c>
      <c r="P3918">
        <f>IF(AND(ISNUMBER('자료_미국심리'!$D3902),ISNUMBER('자료_미국심리'!$E3902)),'자료_미국심리'!$D3902,"")</f>
        <v/>
      </c>
      <c r="Q3918">
        <f>IF(AND(ISNUMBER('자료_미국심리'!$G3902),ISNUMBER('자료_미국심리'!$H3902)),'자료_미국심리'!$G3902,"")</f>
        <v/>
      </c>
    </row>
    <row r="3919">
      <c r="O3919">
        <f>IF(AND(ISNUMBER('자료_미국심리'!$A3903),ISNUMBER('자료_미국심리'!$B3903)),'자료_미국심리'!$A3903,"")</f>
        <v/>
      </c>
      <c r="P3919">
        <f>IF(AND(ISNUMBER('자료_미국심리'!$D3903),ISNUMBER('자료_미국심리'!$E3903)),'자료_미국심리'!$D3903,"")</f>
        <v/>
      </c>
      <c r="Q3919">
        <f>IF(AND(ISNUMBER('자료_미국심리'!$G3903),ISNUMBER('자료_미국심리'!$H3903)),'자료_미국심리'!$G3903,"")</f>
        <v/>
      </c>
    </row>
    <row r="3920">
      <c r="O3920">
        <f>IF(AND(ISNUMBER('자료_미국심리'!$A3904),ISNUMBER('자료_미국심리'!$B3904)),'자료_미국심리'!$A3904,"")</f>
        <v/>
      </c>
      <c r="P3920">
        <f>IF(AND(ISNUMBER('자료_미국심리'!$D3904),ISNUMBER('자료_미국심리'!$E3904)),'자료_미국심리'!$D3904,"")</f>
        <v/>
      </c>
      <c r="Q3920">
        <f>IF(AND(ISNUMBER('자료_미국심리'!$G3904),ISNUMBER('자료_미국심리'!$H3904)),'자료_미국심리'!$G3904,"")</f>
        <v/>
      </c>
    </row>
    <row r="3921">
      <c r="O3921">
        <f>IF(AND(ISNUMBER('자료_미국심리'!$A3905),ISNUMBER('자료_미국심리'!$B3905)),'자료_미국심리'!$A3905,"")</f>
        <v/>
      </c>
      <c r="P3921">
        <f>IF(AND(ISNUMBER('자료_미국심리'!$D3905),ISNUMBER('자료_미국심리'!$E3905)),'자료_미국심리'!$D3905,"")</f>
        <v/>
      </c>
      <c r="Q3921">
        <f>IF(AND(ISNUMBER('자료_미국심리'!$G3905),ISNUMBER('자료_미국심리'!$H3905)),'자료_미국심리'!$G3905,"")</f>
        <v/>
      </c>
    </row>
    <row r="3922">
      <c r="O3922">
        <f>IF(AND(ISNUMBER('자료_미국심리'!$A3906),ISNUMBER('자료_미국심리'!$B3906)),'자료_미국심리'!$A3906,"")</f>
        <v/>
      </c>
      <c r="P3922">
        <f>IF(AND(ISNUMBER('자료_미국심리'!$D3906),ISNUMBER('자료_미국심리'!$E3906)),'자료_미국심리'!$D3906,"")</f>
        <v/>
      </c>
      <c r="Q3922">
        <f>IF(AND(ISNUMBER('자료_미국심리'!$G3906),ISNUMBER('자료_미국심리'!$H3906)),'자료_미국심리'!$G3906,"")</f>
        <v/>
      </c>
    </row>
    <row r="3923">
      <c r="O3923">
        <f>IF(AND(ISNUMBER('자료_미국심리'!$A3907),ISNUMBER('자료_미국심리'!$B3907)),'자료_미국심리'!$A3907,"")</f>
        <v/>
      </c>
      <c r="P3923">
        <f>IF(AND(ISNUMBER('자료_미국심리'!$D3907),ISNUMBER('자료_미국심리'!$E3907)),'자료_미국심리'!$D3907,"")</f>
        <v/>
      </c>
      <c r="Q3923">
        <f>IF(AND(ISNUMBER('자료_미국심리'!$G3907),ISNUMBER('자료_미국심리'!$H3907)),'자료_미국심리'!$G3907,"")</f>
        <v/>
      </c>
    </row>
    <row r="3924">
      <c r="O3924">
        <f>IF(AND(ISNUMBER('자료_미국심리'!$A3908),ISNUMBER('자료_미국심리'!$B3908)),'자료_미국심리'!$A3908,"")</f>
        <v/>
      </c>
      <c r="P3924">
        <f>IF(AND(ISNUMBER('자료_미국심리'!$D3908),ISNUMBER('자료_미국심리'!$E3908)),'자료_미국심리'!$D3908,"")</f>
        <v/>
      </c>
      <c r="Q3924">
        <f>IF(AND(ISNUMBER('자료_미국심리'!$G3908),ISNUMBER('자료_미국심리'!$H3908)),'자료_미국심리'!$G3908,"")</f>
        <v/>
      </c>
    </row>
    <row r="3925">
      <c r="O3925">
        <f>IF(AND(ISNUMBER('자료_미국심리'!$A3909),ISNUMBER('자료_미국심리'!$B3909)),'자료_미국심리'!$A3909,"")</f>
        <v/>
      </c>
      <c r="P3925">
        <f>IF(AND(ISNUMBER('자료_미국심리'!$D3909),ISNUMBER('자료_미국심리'!$E3909)),'자료_미국심리'!$D3909,"")</f>
        <v/>
      </c>
      <c r="Q3925">
        <f>IF(AND(ISNUMBER('자료_미국심리'!$G3909),ISNUMBER('자료_미국심리'!$H3909)),'자료_미국심리'!$G3909,"")</f>
        <v/>
      </c>
    </row>
    <row r="3926">
      <c r="O3926">
        <f>IF(AND(ISNUMBER('자료_미국심리'!$A3910),ISNUMBER('자료_미국심리'!$B3910)),'자료_미국심리'!$A3910,"")</f>
        <v/>
      </c>
      <c r="P3926">
        <f>IF(AND(ISNUMBER('자료_미국심리'!$D3910),ISNUMBER('자료_미국심리'!$E3910)),'자료_미국심리'!$D3910,"")</f>
        <v/>
      </c>
      <c r="Q3926">
        <f>IF(AND(ISNUMBER('자료_미국심리'!$G3910),ISNUMBER('자료_미국심리'!$H3910)),'자료_미국심리'!$G3910,"")</f>
        <v/>
      </c>
    </row>
    <row r="3927">
      <c r="O3927">
        <f>IF(AND(ISNUMBER('자료_미국심리'!$A3911),ISNUMBER('자료_미국심리'!$B3911)),'자료_미국심리'!$A3911,"")</f>
        <v/>
      </c>
      <c r="P3927">
        <f>IF(AND(ISNUMBER('자료_미국심리'!$D3911),ISNUMBER('자료_미국심리'!$E3911)),'자료_미국심리'!$D3911,"")</f>
        <v/>
      </c>
      <c r="Q3927">
        <f>IF(AND(ISNUMBER('자료_미국심리'!$G3911),ISNUMBER('자료_미국심리'!$H3911)),'자료_미국심리'!$G3911,"")</f>
        <v/>
      </c>
    </row>
    <row r="3928">
      <c r="O3928">
        <f>IF(AND(ISNUMBER('자료_미국심리'!$A3912),ISNUMBER('자료_미국심리'!$B3912)),'자료_미국심리'!$A3912,"")</f>
        <v/>
      </c>
      <c r="P3928">
        <f>IF(AND(ISNUMBER('자료_미국심리'!$D3912),ISNUMBER('자료_미국심리'!$E3912)),'자료_미국심리'!$D3912,"")</f>
        <v/>
      </c>
      <c r="Q3928">
        <f>IF(AND(ISNUMBER('자료_미국심리'!$G3912),ISNUMBER('자료_미국심리'!$H3912)),'자료_미국심리'!$G3912,"")</f>
        <v/>
      </c>
    </row>
    <row r="3929">
      <c r="O3929">
        <f>IF(AND(ISNUMBER('자료_미국심리'!$A3913),ISNUMBER('자료_미국심리'!$B3913)),'자료_미국심리'!$A3913,"")</f>
        <v/>
      </c>
      <c r="P3929">
        <f>IF(AND(ISNUMBER('자료_미국심리'!$D3913),ISNUMBER('자료_미국심리'!$E3913)),'자료_미국심리'!$D3913,"")</f>
        <v/>
      </c>
      <c r="Q3929">
        <f>IF(AND(ISNUMBER('자료_미국심리'!$G3913),ISNUMBER('자료_미국심리'!$H3913)),'자료_미국심리'!$G3913,"")</f>
        <v/>
      </c>
    </row>
    <row r="3930">
      <c r="O3930">
        <f>IF(AND(ISNUMBER('자료_미국심리'!$A3914),ISNUMBER('자료_미국심리'!$B3914)),'자료_미국심리'!$A3914,"")</f>
        <v/>
      </c>
      <c r="P3930">
        <f>IF(AND(ISNUMBER('자료_미국심리'!$D3914),ISNUMBER('자료_미국심리'!$E3914)),'자료_미국심리'!$D3914,"")</f>
        <v/>
      </c>
      <c r="Q3930">
        <f>IF(AND(ISNUMBER('자료_미국심리'!$G3914),ISNUMBER('자료_미국심리'!$H3914)),'자료_미국심리'!$G3914,"")</f>
        <v/>
      </c>
    </row>
    <row r="3931">
      <c r="O3931">
        <f>IF(AND(ISNUMBER('자료_미국심리'!$A3915),ISNUMBER('자료_미국심리'!$B3915)),'자료_미국심리'!$A3915,"")</f>
        <v/>
      </c>
      <c r="P3931">
        <f>IF(AND(ISNUMBER('자료_미국심리'!$D3915),ISNUMBER('자료_미국심리'!$E3915)),'자료_미국심리'!$D3915,"")</f>
        <v/>
      </c>
      <c r="Q3931">
        <f>IF(AND(ISNUMBER('자료_미국심리'!$G3915),ISNUMBER('자료_미국심리'!$H3915)),'자료_미국심리'!$G3915,"")</f>
        <v/>
      </c>
    </row>
    <row r="3932">
      <c r="O3932">
        <f>IF(AND(ISNUMBER('자료_미국심리'!$A3916),ISNUMBER('자료_미국심리'!$B3916)),'자료_미국심리'!$A3916,"")</f>
        <v/>
      </c>
      <c r="P3932">
        <f>IF(AND(ISNUMBER('자료_미국심리'!$D3916),ISNUMBER('자료_미국심리'!$E3916)),'자료_미국심리'!$D3916,"")</f>
        <v/>
      </c>
      <c r="Q3932">
        <f>IF(AND(ISNUMBER('자료_미국심리'!$G3916),ISNUMBER('자료_미국심리'!$H3916)),'자료_미국심리'!$G3916,"")</f>
        <v/>
      </c>
    </row>
    <row r="3933">
      <c r="O3933">
        <f>IF(AND(ISNUMBER('자료_미국심리'!$A3917),ISNUMBER('자료_미국심리'!$B3917)),'자료_미국심리'!$A3917,"")</f>
        <v/>
      </c>
      <c r="P3933">
        <f>IF(AND(ISNUMBER('자료_미국심리'!$D3917),ISNUMBER('자료_미국심리'!$E3917)),'자료_미국심리'!$D3917,"")</f>
        <v/>
      </c>
      <c r="Q3933">
        <f>IF(AND(ISNUMBER('자료_미국심리'!$G3917),ISNUMBER('자료_미국심리'!$H3917)),'자료_미국심리'!$G3917,"")</f>
        <v/>
      </c>
    </row>
    <row r="3934">
      <c r="O3934">
        <f>IF(AND(ISNUMBER('자료_미국심리'!$A3918),ISNUMBER('자료_미국심리'!$B3918)),'자료_미국심리'!$A3918,"")</f>
        <v/>
      </c>
      <c r="P3934">
        <f>IF(AND(ISNUMBER('자료_미국심리'!$D3918),ISNUMBER('자료_미국심리'!$E3918)),'자료_미국심리'!$D3918,"")</f>
        <v/>
      </c>
      <c r="Q3934">
        <f>IF(AND(ISNUMBER('자료_미국심리'!$G3918),ISNUMBER('자료_미국심리'!$H3918)),'자료_미국심리'!$G3918,"")</f>
        <v/>
      </c>
    </row>
    <row r="3935">
      <c r="O3935">
        <f>IF(AND(ISNUMBER('자료_미국심리'!$A3919),ISNUMBER('자료_미국심리'!$B3919)),'자료_미국심리'!$A3919,"")</f>
        <v/>
      </c>
      <c r="P3935">
        <f>IF(AND(ISNUMBER('자료_미국심리'!$D3919),ISNUMBER('자료_미국심리'!$E3919)),'자료_미국심리'!$D3919,"")</f>
        <v/>
      </c>
      <c r="Q3935">
        <f>IF(AND(ISNUMBER('자료_미국심리'!$G3919),ISNUMBER('자료_미국심리'!$H3919)),'자료_미국심리'!$G3919,"")</f>
        <v/>
      </c>
    </row>
    <row r="3936">
      <c r="O3936">
        <f>IF(AND(ISNUMBER('자료_미국심리'!$A3920),ISNUMBER('자료_미국심리'!$B3920)),'자료_미국심리'!$A3920,"")</f>
        <v/>
      </c>
      <c r="P3936">
        <f>IF(AND(ISNUMBER('자료_미국심리'!$D3920),ISNUMBER('자료_미국심리'!$E3920)),'자료_미국심리'!$D3920,"")</f>
        <v/>
      </c>
      <c r="Q3936">
        <f>IF(AND(ISNUMBER('자료_미국심리'!$G3920),ISNUMBER('자료_미국심리'!$H3920)),'자료_미국심리'!$G3920,"")</f>
        <v/>
      </c>
    </row>
    <row r="3937">
      <c r="O3937">
        <f>IF(AND(ISNUMBER('자료_미국심리'!$A3921),ISNUMBER('자료_미국심리'!$B3921)),'자료_미국심리'!$A3921,"")</f>
        <v/>
      </c>
      <c r="P3937">
        <f>IF(AND(ISNUMBER('자료_미국심리'!$D3921),ISNUMBER('자료_미국심리'!$E3921)),'자료_미국심리'!$D3921,"")</f>
        <v/>
      </c>
      <c r="Q3937">
        <f>IF(AND(ISNUMBER('자료_미국심리'!$G3921),ISNUMBER('자료_미국심리'!$H3921)),'자료_미국심리'!$G3921,"")</f>
        <v/>
      </c>
    </row>
    <row r="3938">
      <c r="O3938">
        <f>IF(AND(ISNUMBER('자료_미국심리'!$A3922),ISNUMBER('자료_미국심리'!$B3922)),'자료_미국심리'!$A3922,"")</f>
        <v/>
      </c>
      <c r="P3938">
        <f>IF(AND(ISNUMBER('자료_미국심리'!$D3922),ISNUMBER('자료_미국심리'!$E3922)),'자료_미국심리'!$D3922,"")</f>
        <v/>
      </c>
      <c r="Q3938">
        <f>IF(AND(ISNUMBER('자료_미국심리'!$G3922),ISNUMBER('자료_미국심리'!$H3922)),'자료_미국심리'!$G3922,"")</f>
        <v/>
      </c>
    </row>
    <row r="3939">
      <c r="O3939">
        <f>IF(AND(ISNUMBER('자료_미국심리'!$A3923),ISNUMBER('자료_미국심리'!$B3923)),'자료_미국심리'!$A3923,"")</f>
        <v/>
      </c>
      <c r="P3939">
        <f>IF(AND(ISNUMBER('자료_미국심리'!$D3923),ISNUMBER('자료_미국심리'!$E3923)),'자료_미국심리'!$D3923,"")</f>
        <v/>
      </c>
      <c r="Q3939">
        <f>IF(AND(ISNUMBER('자료_미국심리'!$G3923),ISNUMBER('자료_미국심리'!$H3923)),'자료_미국심리'!$G3923,"")</f>
        <v/>
      </c>
    </row>
    <row r="3940">
      <c r="O3940">
        <f>IF(AND(ISNUMBER('자료_미국심리'!$A3924),ISNUMBER('자료_미국심리'!$B3924)),'자료_미국심리'!$A3924,"")</f>
        <v/>
      </c>
      <c r="P3940">
        <f>IF(AND(ISNUMBER('자료_미국심리'!$D3924),ISNUMBER('자료_미국심리'!$E3924)),'자료_미국심리'!$D3924,"")</f>
        <v/>
      </c>
      <c r="Q3940">
        <f>IF(AND(ISNUMBER('자료_미국심리'!$G3924),ISNUMBER('자료_미국심리'!$H3924)),'자료_미국심리'!$G3924,"")</f>
        <v/>
      </c>
    </row>
    <row r="3941">
      <c r="O3941">
        <f>IF(AND(ISNUMBER('자료_미국심리'!$A3925),ISNUMBER('자료_미국심리'!$B3925)),'자료_미국심리'!$A3925,"")</f>
        <v/>
      </c>
      <c r="P3941">
        <f>IF(AND(ISNUMBER('자료_미국심리'!$D3925),ISNUMBER('자료_미국심리'!$E3925)),'자료_미국심리'!$D3925,"")</f>
        <v/>
      </c>
      <c r="Q3941">
        <f>IF(AND(ISNUMBER('자료_미국심리'!$G3925),ISNUMBER('자료_미국심리'!$H3925)),'자료_미국심리'!$G3925,"")</f>
        <v/>
      </c>
    </row>
    <row r="3942">
      <c r="O3942">
        <f>IF(AND(ISNUMBER('자료_미국심리'!$A3926),ISNUMBER('자료_미국심리'!$B3926)),'자료_미국심리'!$A3926,"")</f>
        <v/>
      </c>
      <c r="P3942">
        <f>IF(AND(ISNUMBER('자료_미국심리'!$D3926),ISNUMBER('자료_미국심리'!$E3926)),'자료_미국심리'!$D3926,"")</f>
        <v/>
      </c>
      <c r="Q3942">
        <f>IF(AND(ISNUMBER('자료_미국심리'!$G3926),ISNUMBER('자료_미국심리'!$H3926)),'자료_미국심리'!$G3926,"")</f>
        <v/>
      </c>
    </row>
    <row r="3943">
      <c r="O3943">
        <f>IF(AND(ISNUMBER('자료_미국심리'!$A3927),ISNUMBER('자료_미국심리'!$B3927)),'자료_미국심리'!$A3927,"")</f>
        <v/>
      </c>
      <c r="P3943">
        <f>IF(AND(ISNUMBER('자료_미국심리'!$D3927),ISNUMBER('자료_미국심리'!$E3927)),'자료_미국심리'!$D3927,"")</f>
        <v/>
      </c>
      <c r="Q3943">
        <f>IF(AND(ISNUMBER('자료_미국심리'!$G3927),ISNUMBER('자료_미국심리'!$H3927)),'자료_미국심리'!$G3927,"")</f>
        <v/>
      </c>
    </row>
    <row r="3944">
      <c r="O3944">
        <f>IF(AND(ISNUMBER('자료_미국심리'!$A3928),ISNUMBER('자료_미국심리'!$B3928)),'자료_미국심리'!$A3928,"")</f>
        <v/>
      </c>
      <c r="P3944">
        <f>IF(AND(ISNUMBER('자료_미국심리'!$D3928),ISNUMBER('자료_미국심리'!$E3928)),'자료_미국심리'!$D3928,"")</f>
        <v/>
      </c>
      <c r="Q3944">
        <f>IF(AND(ISNUMBER('자료_미국심리'!$G3928),ISNUMBER('자료_미국심리'!$H3928)),'자료_미국심리'!$G3928,"")</f>
        <v/>
      </c>
    </row>
    <row r="3945">
      <c r="O3945">
        <f>IF(AND(ISNUMBER('자료_미국심리'!$A3929),ISNUMBER('자료_미국심리'!$B3929)),'자료_미국심리'!$A3929,"")</f>
        <v/>
      </c>
      <c r="P3945">
        <f>IF(AND(ISNUMBER('자료_미국심리'!$D3929),ISNUMBER('자료_미국심리'!$E3929)),'자료_미국심리'!$D3929,"")</f>
        <v/>
      </c>
      <c r="Q3945">
        <f>IF(AND(ISNUMBER('자료_미국심리'!$G3929),ISNUMBER('자료_미국심리'!$H3929)),'자료_미국심리'!$G3929,"")</f>
        <v/>
      </c>
    </row>
    <row r="3946">
      <c r="O3946">
        <f>IF(AND(ISNUMBER('자료_미국심리'!$A3930),ISNUMBER('자료_미국심리'!$B3930)),'자료_미국심리'!$A3930,"")</f>
        <v/>
      </c>
      <c r="P3946">
        <f>IF(AND(ISNUMBER('자료_미국심리'!$D3930),ISNUMBER('자료_미국심리'!$E3930)),'자료_미국심리'!$D3930,"")</f>
        <v/>
      </c>
      <c r="Q3946">
        <f>IF(AND(ISNUMBER('자료_미국심리'!$G3930),ISNUMBER('자료_미국심리'!$H3930)),'자료_미국심리'!$G3930,"")</f>
        <v/>
      </c>
    </row>
    <row r="3947">
      <c r="O3947">
        <f>IF(AND(ISNUMBER('자료_미국심리'!$A3931),ISNUMBER('자료_미국심리'!$B3931)),'자료_미국심리'!$A3931,"")</f>
        <v/>
      </c>
      <c r="P3947">
        <f>IF(AND(ISNUMBER('자료_미국심리'!$D3931),ISNUMBER('자료_미국심리'!$E3931)),'자료_미국심리'!$D3931,"")</f>
        <v/>
      </c>
      <c r="Q3947">
        <f>IF(AND(ISNUMBER('자료_미국심리'!$G3931),ISNUMBER('자료_미국심리'!$H3931)),'자료_미국심리'!$G3931,"")</f>
        <v/>
      </c>
    </row>
    <row r="3948">
      <c r="O3948">
        <f>IF(AND(ISNUMBER('자료_미국심리'!$A3932),ISNUMBER('자료_미국심리'!$B3932)),'자료_미국심리'!$A3932,"")</f>
        <v/>
      </c>
      <c r="P3948">
        <f>IF(AND(ISNUMBER('자료_미국심리'!$D3932),ISNUMBER('자료_미국심리'!$E3932)),'자료_미국심리'!$D3932,"")</f>
        <v/>
      </c>
      <c r="Q3948">
        <f>IF(AND(ISNUMBER('자료_미국심리'!$G3932),ISNUMBER('자료_미국심리'!$H3932)),'자료_미국심리'!$G3932,"")</f>
        <v/>
      </c>
    </row>
    <row r="3949">
      <c r="O3949">
        <f>IF(AND(ISNUMBER('자료_미국심리'!$A3933),ISNUMBER('자료_미국심리'!$B3933)),'자료_미국심리'!$A3933,"")</f>
        <v/>
      </c>
      <c r="P3949">
        <f>IF(AND(ISNUMBER('자료_미국심리'!$D3933),ISNUMBER('자료_미국심리'!$E3933)),'자료_미국심리'!$D3933,"")</f>
        <v/>
      </c>
      <c r="Q3949">
        <f>IF(AND(ISNUMBER('자료_미국심리'!$G3933),ISNUMBER('자료_미국심리'!$H3933)),'자료_미국심리'!$G3933,"")</f>
        <v/>
      </c>
    </row>
    <row r="3950">
      <c r="O3950">
        <f>IF(AND(ISNUMBER('자료_미국심리'!$A3934),ISNUMBER('자료_미국심리'!$B3934)),'자료_미국심리'!$A3934,"")</f>
        <v/>
      </c>
      <c r="P3950">
        <f>IF(AND(ISNUMBER('자료_미국심리'!$D3934),ISNUMBER('자료_미국심리'!$E3934)),'자료_미국심리'!$D3934,"")</f>
        <v/>
      </c>
      <c r="Q3950">
        <f>IF(AND(ISNUMBER('자료_미국심리'!$G3934),ISNUMBER('자료_미국심리'!$H3934)),'자료_미국심리'!$G3934,"")</f>
        <v/>
      </c>
    </row>
    <row r="3951">
      <c r="O3951">
        <f>IF(AND(ISNUMBER('자료_미국심리'!$A3935),ISNUMBER('자료_미국심리'!$B3935)),'자료_미국심리'!$A3935,"")</f>
        <v/>
      </c>
      <c r="P3951">
        <f>IF(AND(ISNUMBER('자료_미국심리'!$D3935),ISNUMBER('자료_미국심리'!$E3935)),'자료_미국심리'!$D3935,"")</f>
        <v/>
      </c>
      <c r="Q3951">
        <f>IF(AND(ISNUMBER('자료_미국심리'!$G3935),ISNUMBER('자료_미국심리'!$H3935)),'자료_미국심리'!$G3935,"")</f>
        <v/>
      </c>
    </row>
    <row r="3952">
      <c r="O3952">
        <f>IF(AND(ISNUMBER('자료_미국심리'!$A3936),ISNUMBER('자료_미국심리'!$B3936)),'자료_미국심리'!$A3936,"")</f>
        <v/>
      </c>
      <c r="P3952">
        <f>IF(AND(ISNUMBER('자료_미국심리'!$D3936),ISNUMBER('자료_미국심리'!$E3936)),'자료_미국심리'!$D3936,"")</f>
        <v/>
      </c>
      <c r="Q3952">
        <f>IF(AND(ISNUMBER('자료_미국심리'!$G3936),ISNUMBER('자료_미국심리'!$H3936)),'자료_미국심리'!$G3936,"")</f>
        <v/>
      </c>
    </row>
    <row r="3953">
      <c r="O3953">
        <f>IF(AND(ISNUMBER('자료_미국심리'!$A3937),ISNUMBER('자료_미국심리'!$B3937)),'자료_미국심리'!$A3937,"")</f>
        <v/>
      </c>
      <c r="P3953">
        <f>IF(AND(ISNUMBER('자료_미국심리'!$D3937),ISNUMBER('자료_미국심리'!$E3937)),'자료_미국심리'!$D3937,"")</f>
        <v/>
      </c>
      <c r="Q3953">
        <f>IF(AND(ISNUMBER('자료_미국심리'!$G3937),ISNUMBER('자료_미국심리'!$H3937)),'자료_미국심리'!$G3937,"")</f>
        <v/>
      </c>
    </row>
    <row r="3954">
      <c r="O3954">
        <f>IF(AND(ISNUMBER('자료_미국심리'!$A3938),ISNUMBER('자료_미국심리'!$B3938)),'자료_미국심리'!$A3938,"")</f>
        <v/>
      </c>
      <c r="P3954">
        <f>IF(AND(ISNUMBER('자료_미국심리'!$D3938),ISNUMBER('자료_미국심리'!$E3938)),'자료_미국심리'!$D3938,"")</f>
        <v/>
      </c>
      <c r="Q3954">
        <f>IF(AND(ISNUMBER('자료_미국심리'!$G3938),ISNUMBER('자료_미국심리'!$H3938)),'자료_미국심리'!$G3938,"")</f>
        <v/>
      </c>
    </row>
    <row r="3955">
      <c r="O3955">
        <f>IF(AND(ISNUMBER('자료_미국심리'!$A3939),ISNUMBER('자료_미국심리'!$B3939)),'자료_미국심리'!$A3939,"")</f>
        <v/>
      </c>
      <c r="P3955">
        <f>IF(AND(ISNUMBER('자료_미국심리'!$D3939),ISNUMBER('자료_미국심리'!$E3939)),'자료_미국심리'!$D3939,"")</f>
        <v/>
      </c>
      <c r="Q3955">
        <f>IF(AND(ISNUMBER('자료_미국심리'!$G3939),ISNUMBER('자료_미국심리'!$H3939)),'자료_미국심리'!$G3939,"")</f>
        <v/>
      </c>
    </row>
    <row r="3956">
      <c r="O3956">
        <f>IF(AND(ISNUMBER('자료_미국심리'!$A3940),ISNUMBER('자료_미국심리'!$B3940)),'자료_미국심리'!$A3940,"")</f>
        <v/>
      </c>
      <c r="P3956">
        <f>IF(AND(ISNUMBER('자료_미국심리'!$D3940),ISNUMBER('자료_미국심리'!$E3940)),'자료_미국심리'!$D3940,"")</f>
        <v/>
      </c>
      <c r="Q3956">
        <f>IF(AND(ISNUMBER('자료_미국심리'!$G3940),ISNUMBER('자료_미국심리'!$H3940)),'자료_미국심리'!$G3940,"")</f>
        <v/>
      </c>
    </row>
    <row r="3957">
      <c r="O3957">
        <f>IF(AND(ISNUMBER('자료_미국심리'!$A3941),ISNUMBER('자료_미국심리'!$B3941)),'자료_미국심리'!$A3941,"")</f>
        <v/>
      </c>
      <c r="P3957">
        <f>IF(AND(ISNUMBER('자료_미국심리'!$D3941),ISNUMBER('자료_미국심리'!$E3941)),'자료_미국심리'!$D3941,"")</f>
        <v/>
      </c>
      <c r="Q3957">
        <f>IF(AND(ISNUMBER('자료_미국심리'!$G3941),ISNUMBER('자료_미국심리'!$H3941)),'자료_미국심리'!$G3941,"")</f>
        <v/>
      </c>
    </row>
    <row r="3958">
      <c r="O3958">
        <f>IF(AND(ISNUMBER('자료_미국심리'!$A3942),ISNUMBER('자료_미국심리'!$B3942)),'자료_미국심리'!$A3942,"")</f>
        <v/>
      </c>
      <c r="P3958">
        <f>IF(AND(ISNUMBER('자료_미국심리'!$D3942),ISNUMBER('자료_미국심리'!$E3942)),'자료_미국심리'!$D3942,"")</f>
        <v/>
      </c>
      <c r="Q3958">
        <f>IF(AND(ISNUMBER('자료_미국심리'!$G3942),ISNUMBER('자료_미국심리'!$H3942)),'자료_미국심리'!$G3942,"")</f>
        <v/>
      </c>
    </row>
    <row r="3959">
      <c r="O3959">
        <f>IF(AND(ISNUMBER('자료_미국심리'!$A3943),ISNUMBER('자료_미국심리'!$B3943)),'자료_미국심리'!$A3943,"")</f>
        <v/>
      </c>
      <c r="P3959">
        <f>IF(AND(ISNUMBER('자료_미국심리'!$D3943),ISNUMBER('자료_미국심리'!$E3943)),'자료_미국심리'!$D3943,"")</f>
        <v/>
      </c>
      <c r="Q3959">
        <f>IF(AND(ISNUMBER('자료_미국심리'!$G3943),ISNUMBER('자료_미국심리'!$H3943)),'자료_미국심리'!$G3943,"")</f>
        <v/>
      </c>
    </row>
    <row r="3960">
      <c r="O3960">
        <f>IF(AND(ISNUMBER('자료_미국심리'!$A3944),ISNUMBER('자료_미국심리'!$B3944)),'자료_미국심리'!$A3944,"")</f>
        <v/>
      </c>
      <c r="P3960">
        <f>IF(AND(ISNUMBER('자료_미국심리'!$D3944),ISNUMBER('자료_미국심리'!$E3944)),'자료_미국심리'!$D3944,"")</f>
        <v/>
      </c>
      <c r="Q3960">
        <f>IF(AND(ISNUMBER('자료_미국심리'!$G3944),ISNUMBER('자료_미국심리'!$H3944)),'자료_미국심리'!$G3944,"")</f>
        <v/>
      </c>
    </row>
    <row r="3961">
      <c r="O3961">
        <f>IF(AND(ISNUMBER('자료_미국심리'!$A3945),ISNUMBER('자료_미국심리'!$B3945)),'자료_미국심리'!$A3945,"")</f>
        <v/>
      </c>
      <c r="P3961">
        <f>IF(AND(ISNUMBER('자료_미국심리'!$D3945),ISNUMBER('자료_미국심리'!$E3945)),'자료_미국심리'!$D3945,"")</f>
        <v/>
      </c>
      <c r="Q3961">
        <f>IF(AND(ISNUMBER('자료_미국심리'!$G3945),ISNUMBER('자료_미국심리'!$H3945)),'자료_미국심리'!$G3945,"")</f>
        <v/>
      </c>
    </row>
    <row r="3962">
      <c r="O3962">
        <f>IF(AND(ISNUMBER('자료_미국심리'!$A3946),ISNUMBER('자료_미국심리'!$B3946)),'자료_미국심리'!$A3946,"")</f>
        <v/>
      </c>
      <c r="P3962">
        <f>IF(AND(ISNUMBER('자료_미국심리'!$D3946),ISNUMBER('자료_미국심리'!$E3946)),'자료_미국심리'!$D3946,"")</f>
        <v/>
      </c>
      <c r="Q3962">
        <f>IF(AND(ISNUMBER('자료_미국심리'!$G3946),ISNUMBER('자료_미국심리'!$H3946)),'자료_미국심리'!$G3946,"")</f>
        <v/>
      </c>
    </row>
    <row r="3963">
      <c r="O3963">
        <f>IF(AND(ISNUMBER('자료_미국심리'!$A3947),ISNUMBER('자료_미국심리'!$B3947)),'자료_미국심리'!$A3947,"")</f>
        <v/>
      </c>
      <c r="P3963">
        <f>IF(AND(ISNUMBER('자료_미국심리'!$D3947),ISNUMBER('자료_미국심리'!$E3947)),'자료_미국심리'!$D3947,"")</f>
        <v/>
      </c>
      <c r="Q3963">
        <f>IF(AND(ISNUMBER('자료_미국심리'!$G3947),ISNUMBER('자료_미국심리'!$H3947)),'자료_미국심리'!$G3947,"")</f>
        <v/>
      </c>
    </row>
    <row r="3964">
      <c r="O3964">
        <f>IF(AND(ISNUMBER('자료_미국심리'!$A3948),ISNUMBER('자료_미국심리'!$B3948)),'자료_미국심리'!$A3948,"")</f>
        <v/>
      </c>
      <c r="P3964">
        <f>IF(AND(ISNUMBER('자료_미국심리'!$D3948),ISNUMBER('자료_미국심리'!$E3948)),'자료_미국심리'!$D3948,"")</f>
        <v/>
      </c>
      <c r="Q3964">
        <f>IF(AND(ISNUMBER('자료_미국심리'!$G3948),ISNUMBER('자료_미국심리'!$H3948)),'자료_미국심리'!$G3948,"")</f>
        <v/>
      </c>
    </row>
    <row r="3965">
      <c r="O3965">
        <f>IF(AND(ISNUMBER('자료_미국심리'!$A3949),ISNUMBER('자료_미국심리'!$B3949)),'자료_미국심리'!$A3949,"")</f>
        <v/>
      </c>
      <c r="P3965">
        <f>IF(AND(ISNUMBER('자료_미국심리'!$D3949),ISNUMBER('자료_미국심리'!$E3949)),'자료_미국심리'!$D3949,"")</f>
        <v/>
      </c>
      <c r="Q3965">
        <f>IF(AND(ISNUMBER('자료_미국심리'!$G3949),ISNUMBER('자료_미국심리'!$H3949)),'자료_미국심리'!$G3949,"")</f>
        <v/>
      </c>
    </row>
    <row r="3966">
      <c r="O3966">
        <f>IF(AND(ISNUMBER('자료_미국심리'!$A3950),ISNUMBER('자료_미국심리'!$B3950)),'자료_미국심리'!$A3950,"")</f>
        <v/>
      </c>
      <c r="P3966">
        <f>IF(AND(ISNUMBER('자료_미국심리'!$D3950),ISNUMBER('자료_미국심리'!$E3950)),'자료_미국심리'!$D3950,"")</f>
        <v/>
      </c>
      <c r="Q3966">
        <f>IF(AND(ISNUMBER('자료_미국심리'!$G3950),ISNUMBER('자료_미국심리'!$H3950)),'자료_미국심리'!$G3950,"")</f>
        <v/>
      </c>
    </row>
    <row r="3967">
      <c r="O3967">
        <f>IF(AND(ISNUMBER('자료_미국심리'!$A3951),ISNUMBER('자료_미국심리'!$B3951)),'자료_미국심리'!$A3951,"")</f>
        <v/>
      </c>
      <c r="P3967">
        <f>IF(AND(ISNUMBER('자료_미국심리'!$D3951),ISNUMBER('자료_미국심리'!$E3951)),'자료_미국심리'!$D3951,"")</f>
        <v/>
      </c>
      <c r="Q3967">
        <f>IF(AND(ISNUMBER('자료_미국심리'!$G3951),ISNUMBER('자료_미국심리'!$H3951)),'자료_미국심리'!$G3951,"")</f>
        <v/>
      </c>
    </row>
    <row r="3968">
      <c r="O3968">
        <f>IF(AND(ISNUMBER('자료_미국심리'!$A3952),ISNUMBER('자료_미국심리'!$B3952)),'자료_미국심리'!$A3952,"")</f>
        <v/>
      </c>
      <c r="P3968">
        <f>IF(AND(ISNUMBER('자료_미국심리'!$D3952),ISNUMBER('자료_미국심리'!$E3952)),'자료_미국심리'!$D3952,"")</f>
        <v/>
      </c>
      <c r="Q3968">
        <f>IF(AND(ISNUMBER('자료_미국심리'!$G3952),ISNUMBER('자료_미국심리'!$H3952)),'자료_미국심리'!$G3952,"")</f>
        <v/>
      </c>
    </row>
    <row r="3969">
      <c r="O3969">
        <f>IF(AND(ISNUMBER('자료_미국심리'!$A3953),ISNUMBER('자료_미국심리'!$B3953)),'자료_미국심리'!$A3953,"")</f>
        <v/>
      </c>
      <c r="P3969">
        <f>IF(AND(ISNUMBER('자료_미국심리'!$D3953),ISNUMBER('자료_미국심리'!$E3953)),'자료_미국심리'!$D3953,"")</f>
        <v/>
      </c>
      <c r="Q3969">
        <f>IF(AND(ISNUMBER('자료_미국심리'!$G3953),ISNUMBER('자료_미국심리'!$H3953)),'자료_미국심리'!$G3953,"")</f>
        <v/>
      </c>
    </row>
    <row r="3970">
      <c r="O3970">
        <f>IF(AND(ISNUMBER('자료_미국심리'!$A3954),ISNUMBER('자료_미국심리'!$B3954)),'자료_미국심리'!$A3954,"")</f>
        <v/>
      </c>
      <c r="P3970">
        <f>IF(AND(ISNUMBER('자료_미국심리'!$D3954),ISNUMBER('자료_미국심리'!$E3954)),'자료_미국심리'!$D3954,"")</f>
        <v/>
      </c>
      <c r="Q3970">
        <f>IF(AND(ISNUMBER('자료_미국심리'!$G3954),ISNUMBER('자료_미국심리'!$H3954)),'자료_미국심리'!$G3954,"")</f>
        <v/>
      </c>
    </row>
    <row r="3971">
      <c r="O3971">
        <f>IF(AND(ISNUMBER('자료_미국심리'!$A3955),ISNUMBER('자료_미국심리'!$B3955)),'자료_미국심리'!$A3955,"")</f>
        <v/>
      </c>
      <c r="P3971">
        <f>IF(AND(ISNUMBER('자료_미국심리'!$D3955),ISNUMBER('자료_미국심리'!$E3955)),'자료_미국심리'!$D3955,"")</f>
        <v/>
      </c>
      <c r="Q3971">
        <f>IF(AND(ISNUMBER('자료_미국심리'!$G3955),ISNUMBER('자료_미국심리'!$H3955)),'자료_미국심리'!$G3955,"")</f>
        <v/>
      </c>
    </row>
    <row r="3972">
      <c r="O3972">
        <f>IF(AND(ISNUMBER('자료_미국심리'!$A3956),ISNUMBER('자료_미국심리'!$B3956)),'자료_미국심리'!$A3956,"")</f>
        <v/>
      </c>
      <c r="P3972">
        <f>IF(AND(ISNUMBER('자료_미국심리'!$D3956),ISNUMBER('자료_미국심리'!$E3956)),'자료_미국심리'!$D3956,"")</f>
        <v/>
      </c>
      <c r="Q3972">
        <f>IF(AND(ISNUMBER('자료_미국심리'!$G3956),ISNUMBER('자료_미국심리'!$H3956)),'자료_미국심리'!$G3956,"")</f>
        <v/>
      </c>
    </row>
    <row r="3973">
      <c r="O3973">
        <f>IF(AND(ISNUMBER('자료_미국심리'!$A3957),ISNUMBER('자료_미국심리'!$B3957)),'자료_미국심리'!$A3957,"")</f>
        <v/>
      </c>
      <c r="P3973">
        <f>IF(AND(ISNUMBER('자료_미국심리'!$D3957),ISNUMBER('자료_미국심리'!$E3957)),'자료_미국심리'!$D3957,"")</f>
        <v/>
      </c>
      <c r="Q3973">
        <f>IF(AND(ISNUMBER('자료_미국심리'!$G3957),ISNUMBER('자료_미국심리'!$H3957)),'자료_미국심리'!$G3957,"")</f>
        <v/>
      </c>
    </row>
    <row r="3974">
      <c r="O3974">
        <f>IF(AND(ISNUMBER('자료_미국심리'!$A3958),ISNUMBER('자료_미국심리'!$B3958)),'자료_미국심리'!$A3958,"")</f>
        <v/>
      </c>
      <c r="P3974">
        <f>IF(AND(ISNUMBER('자료_미국심리'!$D3958),ISNUMBER('자료_미국심리'!$E3958)),'자료_미국심리'!$D3958,"")</f>
        <v/>
      </c>
      <c r="Q3974">
        <f>IF(AND(ISNUMBER('자료_미국심리'!$G3958),ISNUMBER('자료_미국심리'!$H3958)),'자료_미국심리'!$G3958,"")</f>
        <v/>
      </c>
    </row>
    <row r="3975">
      <c r="O3975">
        <f>IF(AND(ISNUMBER('자료_미국심리'!$A3959),ISNUMBER('자료_미국심리'!$B3959)),'자료_미국심리'!$A3959,"")</f>
        <v/>
      </c>
      <c r="P3975">
        <f>IF(AND(ISNUMBER('자료_미국심리'!$D3959),ISNUMBER('자료_미국심리'!$E3959)),'자료_미국심리'!$D3959,"")</f>
        <v/>
      </c>
      <c r="Q3975">
        <f>IF(AND(ISNUMBER('자료_미국심리'!$G3959),ISNUMBER('자료_미국심리'!$H3959)),'자료_미국심리'!$G3959,"")</f>
        <v/>
      </c>
    </row>
    <row r="3976">
      <c r="O3976">
        <f>IF(AND(ISNUMBER('자료_미국심리'!$A3960),ISNUMBER('자료_미국심리'!$B3960)),'자료_미국심리'!$A3960,"")</f>
        <v/>
      </c>
      <c r="P3976">
        <f>IF(AND(ISNUMBER('자료_미국심리'!$D3960),ISNUMBER('자료_미국심리'!$E3960)),'자료_미국심리'!$D3960,"")</f>
        <v/>
      </c>
      <c r="Q3976">
        <f>IF(AND(ISNUMBER('자료_미국심리'!$G3960),ISNUMBER('자료_미국심리'!$H3960)),'자료_미국심리'!$G3960,"")</f>
        <v/>
      </c>
    </row>
    <row r="3977">
      <c r="O3977">
        <f>IF(AND(ISNUMBER('자료_미국심리'!$A3961),ISNUMBER('자료_미국심리'!$B3961)),'자료_미국심리'!$A3961,"")</f>
        <v/>
      </c>
      <c r="P3977">
        <f>IF(AND(ISNUMBER('자료_미국심리'!$D3961),ISNUMBER('자료_미국심리'!$E3961)),'자료_미국심리'!$D3961,"")</f>
        <v/>
      </c>
      <c r="Q3977">
        <f>IF(AND(ISNUMBER('자료_미국심리'!$G3961),ISNUMBER('자료_미국심리'!$H3961)),'자료_미국심리'!$G3961,"")</f>
        <v/>
      </c>
    </row>
    <row r="3978">
      <c r="O3978">
        <f>IF(AND(ISNUMBER('자료_미국심리'!$A3962),ISNUMBER('자료_미국심리'!$B3962)),'자료_미국심리'!$A3962,"")</f>
        <v/>
      </c>
      <c r="P3978">
        <f>IF(AND(ISNUMBER('자료_미국심리'!$D3962),ISNUMBER('자료_미국심리'!$E3962)),'자료_미국심리'!$D3962,"")</f>
        <v/>
      </c>
      <c r="Q3978">
        <f>IF(AND(ISNUMBER('자료_미국심리'!$G3962),ISNUMBER('자료_미국심리'!$H3962)),'자료_미국심리'!$G3962,"")</f>
        <v/>
      </c>
    </row>
    <row r="3979">
      <c r="O3979">
        <f>IF(AND(ISNUMBER('자료_미국심리'!$A3963),ISNUMBER('자료_미국심리'!$B3963)),'자료_미국심리'!$A3963,"")</f>
        <v/>
      </c>
      <c r="P3979">
        <f>IF(AND(ISNUMBER('자료_미국심리'!$D3963),ISNUMBER('자료_미국심리'!$E3963)),'자료_미국심리'!$D3963,"")</f>
        <v/>
      </c>
      <c r="Q3979">
        <f>IF(AND(ISNUMBER('자료_미국심리'!$G3963),ISNUMBER('자료_미국심리'!$H3963)),'자료_미국심리'!$G3963,"")</f>
        <v/>
      </c>
    </row>
    <row r="3980">
      <c r="O3980">
        <f>IF(AND(ISNUMBER('자료_미국심리'!$A3964),ISNUMBER('자료_미국심리'!$B3964)),'자료_미국심리'!$A3964,"")</f>
        <v/>
      </c>
      <c r="P3980">
        <f>IF(AND(ISNUMBER('자료_미국심리'!$D3964),ISNUMBER('자료_미국심리'!$E3964)),'자료_미국심리'!$D3964,"")</f>
        <v/>
      </c>
      <c r="Q3980">
        <f>IF(AND(ISNUMBER('자료_미국심리'!$G3964),ISNUMBER('자료_미국심리'!$H3964)),'자료_미국심리'!$G3964,"")</f>
        <v/>
      </c>
    </row>
    <row r="3981">
      <c r="O3981">
        <f>IF(AND(ISNUMBER('자료_미국심리'!$A3965),ISNUMBER('자료_미국심리'!$B3965)),'자료_미국심리'!$A3965,"")</f>
        <v/>
      </c>
      <c r="P3981">
        <f>IF(AND(ISNUMBER('자료_미국심리'!$D3965),ISNUMBER('자료_미국심리'!$E3965)),'자료_미국심리'!$D3965,"")</f>
        <v/>
      </c>
      <c r="Q3981">
        <f>IF(AND(ISNUMBER('자료_미국심리'!$G3965),ISNUMBER('자료_미국심리'!$H3965)),'자료_미국심리'!$G3965,"")</f>
        <v/>
      </c>
    </row>
    <row r="3982">
      <c r="O3982">
        <f>IF(AND(ISNUMBER('자료_미국심리'!$A3966),ISNUMBER('자료_미국심리'!$B3966)),'자료_미국심리'!$A3966,"")</f>
        <v/>
      </c>
      <c r="P3982">
        <f>IF(AND(ISNUMBER('자료_미국심리'!$D3966),ISNUMBER('자료_미국심리'!$E3966)),'자료_미국심리'!$D3966,"")</f>
        <v/>
      </c>
      <c r="Q3982">
        <f>IF(AND(ISNUMBER('자료_미국심리'!$G3966),ISNUMBER('자료_미국심리'!$H3966)),'자료_미국심리'!$G3966,"")</f>
        <v/>
      </c>
    </row>
    <row r="3983">
      <c r="O3983">
        <f>IF(AND(ISNUMBER('자료_미국심리'!$A3967),ISNUMBER('자료_미국심리'!$B3967)),'자료_미국심리'!$A3967,"")</f>
        <v/>
      </c>
      <c r="P3983">
        <f>IF(AND(ISNUMBER('자료_미국심리'!$D3967),ISNUMBER('자료_미국심리'!$E3967)),'자료_미국심리'!$D3967,"")</f>
        <v/>
      </c>
      <c r="Q3983">
        <f>IF(AND(ISNUMBER('자료_미국심리'!$G3967),ISNUMBER('자료_미국심리'!$H3967)),'자료_미국심리'!$G3967,"")</f>
        <v/>
      </c>
    </row>
    <row r="3984">
      <c r="O3984">
        <f>IF(AND(ISNUMBER('자료_미국심리'!$A3968),ISNUMBER('자료_미국심리'!$B3968)),'자료_미국심리'!$A3968,"")</f>
        <v/>
      </c>
      <c r="P3984">
        <f>IF(AND(ISNUMBER('자료_미국심리'!$D3968),ISNUMBER('자료_미국심리'!$E3968)),'자료_미국심리'!$D3968,"")</f>
        <v/>
      </c>
      <c r="Q3984">
        <f>IF(AND(ISNUMBER('자료_미국심리'!$G3968),ISNUMBER('자료_미국심리'!$H3968)),'자료_미국심리'!$G3968,"")</f>
        <v/>
      </c>
    </row>
    <row r="3985">
      <c r="O3985">
        <f>IF(AND(ISNUMBER('자료_미국심리'!$A3969),ISNUMBER('자료_미국심리'!$B3969)),'자료_미국심리'!$A3969,"")</f>
        <v/>
      </c>
      <c r="P3985">
        <f>IF(AND(ISNUMBER('자료_미국심리'!$D3969),ISNUMBER('자료_미국심리'!$E3969)),'자료_미국심리'!$D3969,"")</f>
        <v/>
      </c>
      <c r="Q3985">
        <f>IF(AND(ISNUMBER('자료_미국심리'!$G3969),ISNUMBER('자료_미국심리'!$H3969)),'자료_미국심리'!$G3969,"")</f>
        <v/>
      </c>
    </row>
    <row r="3986">
      <c r="O3986">
        <f>IF(AND(ISNUMBER('자료_미국심리'!$A3970),ISNUMBER('자료_미국심리'!$B3970)),'자료_미국심리'!$A3970,"")</f>
        <v/>
      </c>
      <c r="P3986">
        <f>IF(AND(ISNUMBER('자료_미국심리'!$D3970),ISNUMBER('자료_미국심리'!$E3970)),'자료_미국심리'!$D3970,"")</f>
        <v/>
      </c>
      <c r="Q3986">
        <f>IF(AND(ISNUMBER('자료_미국심리'!$G3970),ISNUMBER('자료_미국심리'!$H3970)),'자료_미국심리'!$G3970,"")</f>
        <v/>
      </c>
    </row>
    <row r="3987">
      <c r="O3987">
        <f>IF(AND(ISNUMBER('자료_미국심리'!$A3971),ISNUMBER('자료_미국심리'!$B3971)),'자료_미국심리'!$A3971,"")</f>
        <v/>
      </c>
      <c r="P3987">
        <f>IF(AND(ISNUMBER('자료_미국심리'!$D3971),ISNUMBER('자료_미국심리'!$E3971)),'자료_미국심리'!$D3971,"")</f>
        <v/>
      </c>
      <c r="Q3987">
        <f>IF(AND(ISNUMBER('자료_미국심리'!$G3971),ISNUMBER('자료_미국심리'!$H3971)),'자료_미국심리'!$G3971,"")</f>
        <v/>
      </c>
    </row>
    <row r="3988">
      <c r="O3988">
        <f>IF(AND(ISNUMBER('자료_미국심리'!$A3972),ISNUMBER('자료_미국심리'!$B3972)),'자료_미국심리'!$A3972,"")</f>
        <v/>
      </c>
      <c r="P3988">
        <f>IF(AND(ISNUMBER('자료_미국심리'!$D3972),ISNUMBER('자료_미국심리'!$E3972)),'자료_미국심리'!$D3972,"")</f>
        <v/>
      </c>
      <c r="Q3988">
        <f>IF(AND(ISNUMBER('자료_미국심리'!$G3972),ISNUMBER('자료_미국심리'!$H3972)),'자료_미국심리'!$G3972,"")</f>
        <v/>
      </c>
    </row>
    <row r="3989">
      <c r="O3989">
        <f>IF(AND(ISNUMBER('자료_미국심리'!$A3973),ISNUMBER('자료_미국심리'!$B3973)),'자료_미국심리'!$A3973,"")</f>
        <v/>
      </c>
      <c r="P3989">
        <f>IF(AND(ISNUMBER('자료_미국심리'!$D3973),ISNUMBER('자료_미국심리'!$E3973)),'자료_미국심리'!$D3973,"")</f>
        <v/>
      </c>
      <c r="Q3989">
        <f>IF(AND(ISNUMBER('자료_미국심리'!$G3973),ISNUMBER('자료_미국심리'!$H3973)),'자료_미국심리'!$G3973,"")</f>
        <v/>
      </c>
    </row>
    <row r="3990">
      <c r="O3990">
        <f>IF(AND(ISNUMBER('자료_미국심리'!$A3974),ISNUMBER('자료_미국심리'!$B3974)),'자료_미국심리'!$A3974,"")</f>
        <v/>
      </c>
      <c r="P3990">
        <f>IF(AND(ISNUMBER('자료_미국심리'!$D3974),ISNUMBER('자료_미국심리'!$E3974)),'자료_미국심리'!$D3974,"")</f>
        <v/>
      </c>
      <c r="Q3990">
        <f>IF(AND(ISNUMBER('자료_미국심리'!$G3974),ISNUMBER('자료_미국심리'!$H3974)),'자료_미국심리'!$G3974,"")</f>
        <v/>
      </c>
    </row>
    <row r="3991">
      <c r="O3991">
        <f>IF(AND(ISNUMBER('자료_미국심리'!$A3975),ISNUMBER('자료_미국심리'!$B3975)),'자료_미국심리'!$A3975,"")</f>
        <v/>
      </c>
      <c r="P3991">
        <f>IF(AND(ISNUMBER('자료_미국심리'!$D3975),ISNUMBER('자료_미국심리'!$E3975)),'자료_미국심리'!$D3975,"")</f>
        <v/>
      </c>
      <c r="Q3991">
        <f>IF(AND(ISNUMBER('자료_미국심리'!$G3975),ISNUMBER('자료_미국심리'!$H3975)),'자료_미국심리'!$G3975,"")</f>
        <v/>
      </c>
    </row>
    <row r="3992">
      <c r="O3992">
        <f>IF(AND(ISNUMBER('자료_미국심리'!$A3976),ISNUMBER('자료_미국심리'!$B3976)),'자료_미국심리'!$A3976,"")</f>
        <v/>
      </c>
      <c r="P3992">
        <f>IF(AND(ISNUMBER('자료_미국심리'!$D3976),ISNUMBER('자료_미국심리'!$E3976)),'자료_미국심리'!$D3976,"")</f>
        <v/>
      </c>
      <c r="Q3992">
        <f>IF(AND(ISNUMBER('자료_미국심리'!$G3976),ISNUMBER('자료_미국심리'!$H3976)),'자료_미국심리'!$G3976,"")</f>
        <v/>
      </c>
    </row>
    <row r="3993">
      <c r="O3993">
        <f>IF(AND(ISNUMBER('자료_미국심리'!$A3977),ISNUMBER('자료_미국심리'!$B3977)),'자료_미국심리'!$A3977,"")</f>
        <v/>
      </c>
      <c r="P3993">
        <f>IF(AND(ISNUMBER('자료_미국심리'!$D3977),ISNUMBER('자료_미국심리'!$E3977)),'자료_미국심리'!$D3977,"")</f>
        <v/>
      </c>
      <c r="Q3993">
        <f>IF(AND(ISNUMBER('자료_미국심리'!$G3977),ISNUMBER('자료_미국심리'!$H3977)),'자료_미국심리'!$G3977,"")</f>
        <v/>
      </c>
    </row>
    <row r="3994">
      <c r="O3994">
        <f>IF(AND(ISNUMBER('자료_미국심리'!$A3978),ISNUMBER('자료_미국심리'!$B3978)),'자료_미국심리'!$A3978,"")</f>
        <v/>
      </c>
      <c r="P3994">
        <f>IF(AND(ISNUMBER('자료_미국심리'!$D3978),ISNUMBER('자료_미국심리'!$E3978)),'자료_미국심리'!$D3978,"")</f>
        <v/>
      </c>
      <c r="Q3994">
        <f>IF(AND(ISNUMBER('자료_미국심리'!$G3978),ISNUMBER('자료_미국심리'!$H3978)),'자료_미국심리'!$G3978,"")</f>
        <v/>
      </c>
    </row>
    <row r="3995">
      <c r="O3995">
        <f>IF(AND(ISNUMBER('자료_미국심리'!$A3979),ISNUMBER('자료_미국심리'!$B3979)),'자료_미국심리'!$A3979,"")</f>
        <v/>
      </c>
      <c r="P3995">
        <f>IF(AND(ISNUMBER('자료_미국심리'!$D3979),ISNUMBER('자료_미국심리'!$E3979)),'자료_미국심리'!$D3979,"")</f>
        <v/>
      </c>
      <c r="Q3995">
        <f>IF(AND(ISNUMBER('자료_미국심리'!$G3979),ISNUMBER('자료_미국심리'!$H3979)),'자료_미국심리'!$G3979,"")</f>
        <v/>
      </c>
    </row>
    <row r="3996">
      <c r="O3996">
        <f>IF(AND(ISNUMBER('자료_미국심리'!$A3980),ISNUMBER('자료_미국심리'!$B3980)),'자료_미국심리'!$A3980,"")</f>
        <v/>
      </c>
      <c r="P3996">
        <f>IF(AND(ISNUMBER('자료_미국심리'!$D3980),ISNUMBER('자료_미국심리'!$E3980)),'자료_미국심리'!$D3980,"")</f>
        <v/>
      </c>
      <c r="Q3996">
        <f>IF(AND(ISNUMBER('자료_미국심리'!$G3980),ISNUMBER('자료_미국심리'!$H3980)),'자료_미국심리'!$G3980,"")</f>
        <v/>
      </c>
    </row>
    <row r="3997">
      <c r="O3997">
        <f>IF(AND(ISNUMBER('자료_미국심리'!$A3981),ISNUMBER('자료_미국심리'!$B3981)),'자료_미국심리'!$A3981,"")</f>
        <v/>
      </c>
      <c r="P3997">
        <f>IF(AND(ISNUMBER('자료_미국심리'!$D3981),ISNUMBER('자료_미국심리'!$E3981)),'자료_미국심리'!$D3981,"")</f>
        <v/>
      </c>
      <c r="Q3997">
        <f>IF(AND(ISNUMBER('자료_미국심리'!$G3981),ISNUMBER('자료_미국심리'!$H3981)),'자료_미국심리'!$G3981,"")</f>
        <v/>
      </c>
    </row>
    <row r="3998">
      <c r="O3998">
        <f>IF(AND(ISNUMBER('자료_미국심리'!$A3982),ISNUMBER('자료_미국심리'!$B3982)),'자료_미국심리'!$A3982,"")</f>
        <v/>
      </c>
      <c r="P3998">
        <f>IF(AND(ISNUMBER('자료_미국심리'!$D3982),ISNUMBER('자료_미국심리'!$E3982)),'자료_미국심리'!$D3982,"")</f>
        <v/>
      </c>
      <c r="Q3998">
        <f>IF(AND(ISNUMBER('자료_미국심리'!$G3982),ISNUMBER('자료_미국심리'!$H3982)),'자료_미국심리'!$G3982,"")</f>
        <v/>
      </c>
    </row>
    <row r="3999">
      <c r="O3999">
        <f>IF(AND(ISNUMBER('자료_미국심리'!$A3983),ISNUMBER('자료_미국심리'!$B3983)),'자료_미국심리'!$A3983,"")</f>
        <v/>
      </c>
      <c r="P3999">
        <f>IF(AND(ISNUMBER('자료_미국심리'!$D3983),ISNUMBER('자료_미국심리'!$E3983)),'자료_미국심리'!$D3983,"")</f>
        <v/>
      </c>
      <c r="Q3999">
        <f>IF(AND(ISNUMBER('자료_미국심리'!$G3983),ISNUMBER('자료_미국심리'!$H3983)),'자료_미국심리'!$G3983,"")</f>
        <v/>
      </c>
    </row>
    <row r="4000">
      <c r="O4000">
        <f>IF(AND(ISNUMBER('자료_미국심리'!$A3984),ISNUMBER('자료_미국심리'!$B3984)),'자료_미국심리'!$A3984,"")</f>
        <v/>
      </c>
      <c r="P4000">
        <f>IF(AND(ISNUMBER('자료_미국심리'!$D3984),ISNUMBER('자료_미국심리'!$E3984)),'자료_미국심리'!$D3984,"")</f>
        <v/>
      </c>
      <c r="Q4000">
        <f>IF(AND(ISNUMBER('자료_미국심리'!$G3984),ISNUMBER('자료_미국심리'!$H3984)),'자료_미국심리'!$G3984,"")</f>
        <v/>
      </c>
    </row>
    <row r="4001">
      <c r="O4001">
        <f>IF(AND(ISNUMBER('자료_미국심리'!$A3985),ISNUMBER('자료_미국심리'!$B3985)),'자료_미국심리'!$A3985,"")</f>
        <v/>
      </c>
      <c r="P4001">
        <f>IF(AND(ISNUMBER('자료_미국심리'!$D3985),ISNUMBER('자료_미국심리'!$E3985)),'자료_미국심리'!$D3985,"")</f>
        <v/>
      </c>
      <c r="Q4001">
        <f>IF(AND(ISNUMBER('자료_미국심리'!$G3985),ISNUMBER('자료_미국심리'!$H3985)),'자료_미국심리'!$G3985,"")</f>
        <v/>
      </c>
    </row>
    <row r="4002">
      <c r="O4002">
        <f>IF(AND(ISNUMBER('자료_미국심리'!$A3986),ISNUMBER('자료_미국심리'!$B3986)),'자료_미국심리'!$A3986,"")</f>
        <v/>
      </c>
      <c r="P4002">
        <f>IF(AND(ISNUMBER('자료_미국심리'!$D3986),ISNUMBER('자료_미국심리'!$E3986)),'자료_미국심리'!$D3986,"")</f>
        <v/>
      </c>
      <c r="Q4002">
        <f>IF(AND(ISNUMBER('자료_미국심리'!$G3986),ISNUMBER('자료_미국심리'!$H3986)),'자료_미국심리'!$G3986,"")</f>
        <v/>
      </c>
    </row>
    <row r="4003">
      <c r="O4003">
        <f>IF(AND(ISNUMBER('자료_미국심리'!$A3987),ISNUMBER('자료_미국심리'!$B3987)),'자료_미국심리'!$A3987,"")</f>
        <v/>
      </c>
      <c r="P4003">
        <f>IF(AND(ISNUMBER('자료_미국심리'!$D3987),ISNUMBER('자료_미국심리'!$E3987)),'자료_미국심리'!$D3987,"")</f>
        <v/>
      </c>
      <c r="Q4003">
        <f>IF(AND(ISNUMBER('자료_미국심리'!$G3987),ISNUMBER('자료_미국심리'!$H3987)),'자료_미국심리'!$G3987,"")</f>
        <v/>
      </c>
    </row>
    <row r="4004">
      <c r="O4004">
        <f>IF(AND(ISNUMBER('자료_미국심리'!$A3988),ISNUMBER('자료_미국심리'!$B3988)),'자료_미국심리'!$A3988,"")</f>
        <v/>
      </c>
      <c r="P4004">
        <f>IF(AND(ISNUMBER('자료_미국심리'!$D3988),ISNUMBER('자료_미국심리'!$E3988)),'자료_미국심리'!$D3988,"")</f>
        <v/>
      </c>
      <c r="Q4004">
        <f>IF(AND(ISNUMBER('자료_미국심리'!$G3988),ISNUMBER('자료_미국심리'!$H3988)),'자료_미국심리'!$G3988,"")</f>
        <v/>
      </c>
    </row>
    <row r="4005">
      <c r="O4005">
        <f>IF(AND(ISNUMBER('자료_미국심리'!$A3989),ISNUMBER('자료_미국심리'!$B3989)),'자료_미국심리'!$A3989,"")</f>
        <v/>
      </c>
      <c r="P4005">
        <f>IF(AND(ISNUMBER('자료_미국심리'!$D3989),ISNUMBER('자료_미국심리'!$E3989)),'자료_미국심리'!$D3989,"")</f>
        <v/>
      </c>
      <c r="Q4005">
        <f>IF(AND(ISNUMBER('자료_미국심리'!$G3989),ISNUMBER('자료_미국심리'!$H3989)),'자료_미국심리'!$G3989,"")</f>
        <v/>
      </c>
    </row>
    <row r="4006">
      <c r="O4006">
        <f>IF(AND(ISNUMBER('자료_미국심리'!$A3990),ISNUMBER('자료_미국심리'!$B3990)),'자료_미국심리'!$A3990,"")</f>
        <v/>
      </c>
      <c r="P4006">
        <f>IF(AND(ISNUMBER('자료_미국심리'!$D3990),ISNUMBER('자료_미국심리'!$E3990)),'자료_미국심리'!$D3990,"")</f>
        <v/>
      </c>
      <c r="Q4006">
        <f>IF(AND(ISNUMBER('자료_미국심리'!$G3990),ISNUMBER('자료_미국심리'!$H3990)),'자료_미국심리'!$G3990,"")</f>
        <v/>
      </c>
    </row>
    <row r="4007">
      <c r="O4007">
        <f>IF(AND(ISNUMBER('자료_미국심리'!$A3991),ISNUMBER('자료_미국심리'!$B3991)),'자료_미국심리'!$A3991,"")</f>
        <v/>
      </c>
      <c r="P4007">
        <f>IF(AND(ISNUMBER('자료_미국심리'!$D3991),ISNUMBER('자료_미국심리'!$E3991)),'자료_미국심리'!$D3991,"")</f>
        <v/>
      </c>
      <c r="Q4007">
        <f>IF(AND(ISNUMBER('자료_미국심리'!$G3991),ISNUMBER('자료_미국심리'!$H3991)),'자료_미국심리'!$G3991,"")</f>
        <v/>
      </c>
    </row>
    <row r="4008">
      <c r="O4008">
        <f>IF(AND(ISNUMBER('자료_미국심리'!$A3992),ISNUMBER('자료_미국심리'!$B3992)),'자료_미국심리'!$A3992,"")</f>
        <v/>
      </c>
      <c r="P4008">
        <f>IF(AND(ISNUMBER('자료_미국심리'!$D3992),ISNUMBER('자료_미국심리'!$E3992)),'자료_미국심리'!$D3992,"")</f>
        <v/>
      </c>
      <c r="Q4008">
        <f>IF(AND(ISNUMBER('자료_미국심리'!$G3992),ISNUMBER('자료_미국심리'!$H3992)),'자료_미국심리'!$G3992,"")</f>
        <v/>
      </c>
    </row>
    <row r="4009">
      <c r="O4009">
        <f>IF(AND(ISNUMBER('자료_미국심리'!$A3993),ISNUMBER('자료_미국심리'!$B3993)),'자료_미국심리'!$A3993,"")</f>
        <v/>
      </c>
      <c r="P4009">
        <f>IF(AND(ISNUMBER('자료_미국심리'!$D3993),ISNUMBER('자료_미국심리'!$E3993)),'자료_미국심리'!$D3993,"")</f>
        <v/>
      </c>
      <c r="Q4009">
        <f>IF(AND(ISNUMBER('자료_미국심리'!$G3993),ISNUMBER('자료_미국심리'!$H3993)),'자료_미국심리'!$G3993,"")</f>
        <v/>
      </c>
    </row>
    <row r="4010">
      <c r="O4010">
        <f>IF(AND(ISNUMBER('자료_미국심리'!$A3994),ISNUMBER('자료_미국심리'!$B3994)),'자료_미국심리'!$A3994,"")</f>
        <v/>
      </c>
      <c r="P4010">
        <f>IF(AND(ISNUMBER('자료_미국심리'!$D3994),ISNUMBER('자료_미국심리'!$E3994)),'자료_미국심리'!$D3994,"")</f>
        <v/>
      </c>
      <c r="Q4010">
        <f>IF(AND(ISNUMBER('자료_미국심리'!$G3994),ISNUMBER('자료_미국심리'!$H3994)),'자료_미국심리'!$G3994,"")</f>
        <v/>
      </c>
    </row>
    <row r="4011">
      <c r="O4011">
        <f>IF(AND(ISNUMBER('자료_미국심리'!$A3995),ISNUMBER('자료_미국심리'!$B3995)),'자료_미국심리'!$A3995,"")</f>
        <v/>
      </c>
      <c r="P4011">
        <f>IF(AND(ISNUMBER('자료_미국심리'!$D3995),ISNUMBER('자료_미국심리'!$E3995)),'자료_미국심리'!$D3995,"")</f>
        <v/>
      </c>
      <c r="Q4011">
        <f>IF(AND(ISNUMBER('자료_미국심리'!$G3995),ISNUMBER('자료_미국심리'!$H3995)),'자료_미국심리'!$G3995,"")</f>
        <v/>
      </c>
    </row>
    <row r="4012">
      <c r="O4012">
        <f>IF(AND(ISNUMBER('자료_미국심리'!$A3996),ISNUMBER('자료_미국심리'!$B3996)),'자료_미국심리'!$A3996,"")</f>
        <v/>
      </c>
      <c r="P4012">
        <f>IF(AND(ISNUMBER('자료_미국심리'!$D3996),ISNUMBER('자료_미국심리'!$E3996)),'자료_미국심리'!$D3996,"")</f>
        <v/>
      </c>
      <c r="Q4012">
        <f>IF(AND(ISNUMBER('자료_미국심리'!$G3996),ISNUMBER('자료_미국심리'!$H3996)),'자료_미국심리'!$G3996,"")</f>
        <v/>
      </c>
    </row>
    <row r="4013">
      <c r="O4013">
        <f>IF(AND(ISNUMBER('자료_미국심리'!$A3997),ISNUMBER('자료_미국심리'!$B3997)),'자료_미국심리'!$A3997,"")</f>
        <v/>
      </c>
      <c r="P4013">
        <f>IF(AND(ISNUMBER('자료_미국심리'!$D3997),ISNUMBER('자료_미국심리'!$E3997)),'자료_미국심리'!$D3997,"")</f>
        <v/>
      </c>
      <c r="Q4013">
        <f>IF(AND(ISNUMBER('자료_미국심리'!$G3997),ISNUMBER('자료_미국심리'!$H3997)),'자료_미국심리'!$G3997,"")</f>
        <v/>
      </c>
    </row>
    <row r="4014">
      <c r="O4014">
        <f>IF(AND(ISNUMBER('자료_미국심리'!$A3998),ISNUMBER('자료_미국심리'!$B3998)),'자료_미국심리'!$A3998,"")</f>
        <v/>
      </c>
      <c r="P4014">
        <f>IF(AND(ISNUMBER('자료_미국심리'!$D3998),ISNUMBER('자료_미국심리'!$E3998)),'자료_미국심리'!$D3998,"")</f>
        <v/>
      </c>
      <c r="Q4014">
        <f>IF(AND(ISNUMBER('자료_미국심리'!$G3998),ISNUMBER('자료_미국심리'!$H3998)),'자료_미국심리'!$G3998,"")</f>
        <v/>
      </c>
    </row>
    <row r="4015">
      <c r="O4015">
        <f>IF(AND(ISNUMBER('자료_미국심리'!$A3999),ISNUMBER('자료_미국심리'!$B3999)),'자료_미국심리'!$A3999,"")</f>
        <v/>
      </c>
      <c r="P4015">
        <f>IF(AND(ISNUMBER('자료_미국심리'!$D3999),ISNUMBER('자료_미국심리'!$E3999)),'자료_미국심리'!$D3999,"")</f>
        <v/>
      </c>
      <c r="Q4015">
        <f>IF(AND(ISNUMBER('자료_미국심리'!$G3999),ISNUMBER('자료_미국심리'!$H3999)),'자료_미국심리'!$G3999,"")</f>
        <v/>
      </c>
    </row>
    <row r="4016">
      <c r="O4016">
        <f>IF(AND(ISNUMBER('자료_미국심리'!$A4000),ISNUMBER('자료_미국심리'!$B4000)),'자료_미국심리'!$A4000,"")</f>
        <v/>
      </c>
      <c r="P4016">
        <f>IF(AND(ISNUMBER('자료_미국심리'!$D4000),ISNUMBER('자료_미국심리'!$E4000)),'자료_미국심리'!$D4000,"")</f>
        <v/>
      </c>
      <c r="Q4016">
        <f>IF(AND(ISNUMBER('자료_미국심리'!$G4000),ISNUMBER('자료_미국심리'!$H4000)),'자료_미국심리'!$G4000,"")</f>
        <v/>
      </c>
    </row>
    <row r="4017">
      <c r="O4017">
        <f>IF(AND(ISNUMBER('자료_미국심리'!$A4001),ISNUMBER('자료_미국심리'!$B4001)),'자료_미국심리'!$A4001,"")</f>
        <v/>
      </c>
      <c r="P4017">
        <f>IF(AND(ISNUMBER('자료_미국심리'!$D4001),ISNUMBER('자료_미국심리'!$E4001)),'자료_미국심리'!$D4001,"")</f>
        <v/>
      </c>
      <c r="Q4017">
        <f>IF(AND(ISNUMBER('자료_미국심리'!$G4001),ISNUMBER('자료_미국심리'!$H4001)),'자료_미국심리'!$G4001,"")</f>
        <v/>
      </c>
    </row>
    <row r="4018">
      <c r="O4018">
        <f>IF(AND(ISNUMBER('자료_미국심리'!$A4002),ISNUMBER('자료_미국심리'!$B4002)),'자료_미국심리'!$A4002,"")</f>
        <v/>
      </c>
      <c r="P4018">
        <f>IF(AND(ISNUMBER('자료_미국심리'!$D4002),ISNUMBER('자료_미국심리'!$E4002)),'자료_미국심리'!$D4002,"")</f>
        <v/>
      </c>
      <c r="Q4018">
        <f>IF(AND(ISNUMBER('자료_미국심리'!$G4002),ISNUMBER('자료_미국심리'!$H4002)),'자료_미국심리'!$G4002,"")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0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9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>
      <c r="A1" s="4" t="inlineStr">
        <is>
          <t>시장 심리 지수 — 한국 (명세 3)</t>
        </is>
      </c>
    </row>
    <row r="2">
      <c r="A2" s="5" t="inlineStr">
        <is>
          <t>신규 종목 매수를 몇 번에 나눌지만 정한다. 매도와 지수 몫에는 쓰지 않는다. 0 = 극단 공포, 100 = 극단 탐욕.</t>
        </is>
      </c>
    </row>
    <row r="4">
      <c r="A4" s="7" t="inlineStr">
        <is>
          <t>기준일(지수 마지막 거래일)</t>
        </is>
      </c>
      <c r="B4" s="27">
        <f>IF(E5=0,"",MAX($A$19:$A$1518))</f>
        <v/>
      </c>
      <c r="D4" t="inlineStr">
        <is>
          <t>지수 원자료 행 수</t>
        </is>
      </c>
      <c r="E4">
        <f>COUNT($U$19:$U$4018)</f>
        <v/>
      </c>
    </row>
    <row r="5">
      <c r="A5" s="7" t="inlineStr">
        <is>
          <t>5년 창 시작(이 날 다음부터)</t>
        </is>
      </c>
      <c r="B5" s="10">
        <f>IF(B4="","",EDATE(B4,-'설정'!$B$15))</f>
        <v/>
      </c>
      <c r="D5" t="inlineStr">
        <is>
          <t>달력 행 수</t>
        </is>
      </c>
      <c r="E5">
        <f>MIN(E4,1500)</f>
        <v/>
      </c>
    </row>
    <row r="6">
      <c r="A6" s="7" t="inlineStr">
        <is>
          <t>최종 점수</t>
        </is>
      </c>
      <c r="B6" s="28">
        <f>IF(ISNUMBER(B9),ROUND(IF($E$8=1,50,(_xlfn.RANK.AVG(B9,$S$19:$S$1518,1)-1)/($E$8-1)*100),1),"")</f>
        <v/>
      </c>
      <c r="D6" t="inlineStr">
        <is>
          <t>건너뛴 오래된 행</t>
        </is>
      </c>
      <c r="E6">
        <f>MAX(E4-1500,0)</f>
        <v/>
      </c>
    </row>
    <row r="7">
      <c r="A7" s="7" t="inlineStr">
        <is>
          <t>구간</t>
        </is>
      </c>
      <c r="B7" s="9">
        <f>IF(ISNUMBER(B6),INDEX('설정'!$B$27:$B$31,MATCH(B6,'설정'!$A$27:$A$31,1)),"")</f>
        <v/>
      </c>
      <c r="D7" t="inlineStr">
        <is>
          <t>창 안 거래일 수</t>
        </is>
      </c>
      <c r="E7">
        <f>SUM($J$19:$J$1518)</f>
        <v/>
      </c>
    </row>
    <row r="8">
      <c r="A8" s="7" t="inlineStr">
        <is>
          <t>신규 매수</t>
        </is>
      </c>
      <c r="B8" s="9">
        <f>IF(ISNUMBER(B6),IF(INDEX('설정'!$C$27:$C$31,MATCH(B6,'설정'!$A$27:$A$31,1))=1,"1회에 전부",INDEX('설정'!$C$27:$C$31,MATCH(B6,'설정'!$A$27:$A$31,1))&amp;"회, "&amp;INDEX('설정'!$D$27:$D$31,MATCH(B6,'설정'!$A$27:$A$31,1))&amp;"주 간격"),"")</f>
        <v/>
      </c>
      <c r="D8" t="inlineStr">
        <is>
          <t>지표 평균이 있는 날</t>
        </is>
      </c>
      <c r="E8">
        <f>COUNT($S$19:$S$1518)</f>
        <v/>
      </c>
    </row>
    <row r="9">
      <c r="A9" s="7" t="inlineStr">
        <is>
          <t>오늘 지표 평균</t>
        </is>
      </c>
      <c r="B9" s="11">
        <f>IF(B4="","",INDEX($S$19:$S$1518,$E$5))</f>
        <v/>
      </c>
      <c r="D9" t="inlineStr">
        <is>
          <t>원자료 최대 행 수</t>
        </is>
      </c>
      <c r="E9">
        <f>MAX(COUNTA('자료_한국심리'!$A$3:$A$4002),COUNTA('자료_한국심리'!$D$3:$D$4002),COUNTA('자료_한국심리'!$G$3:$G$4002),COUNTA('자료_한국심리'!$J$3:$J$4002),COUNTA('자료_한국심리'!$M$3:$M$4002))</f>
        <v/>
      </c>
    </row>
    <row r="10">
      <c r="A10" s="7" t="inlineStr">
        <is>
          <t>점검</t>
        </is>
      </c>
      <c r="B10">
        <f>IF(B4="","원자료 없음",IF(_xlfn.TEXTJOIN(", ",TRUE,H13:H16,IF(E9&gt;=4000,"원자료 4,000행 꽉 참",""))="","이상 없음",_xlfn.TEXTJOIN(", ",TRUE,H13:H16,IF(E9&gt;=4000,"원자료 4,000행 꽉 참",""))))</f>
        <v/>
      </c>
    </row>
    <row r="12" ht="32" customHeight="1">
      <c r="A12" s="6" t="inlineStr">
        <is>
          <t>지표</t>
        </is>
      </c>
      <c r="B12" s="6" t="inlineStr">
        <is>
          <t>최신값</t>
        </is>
      </c>
      <c r="C12" s="6" t="inlineStr">
        <is>
          <t>최종 자료일</t>
        </is>
      </c>
      <c r="D12" s="6" t="inlineStr">
        <is>
          <t>5년 백분위
(값 기준)</t>
        </is>
      </c>
      <c r="E12" s="6" t="inlineStr">
        <is>
          <t>공포 방향</t>
        </is>
      </c>
      <c r="F12" s="6" t="inlineStr">
        <is>
          <t>탐욕 쪽 점수
(반전 후)</t>
        </is>
      </c>
      <c r="G12" s="6" t="inlineStr">
        <is>
          <t>창 안
자료 수</t>
        </is>
      </c>
      <c r="H12" s="6" t="inlineStr">
        <is>
          <t>점검</t>
        </is>
      </c>
    </row>
    <row r="13">
      <c r="A13" s="7" t="inlineStr">
        <is>
          <t>VKOSPI</t>
        </is>
      </c>
      <c r="B13" s="29">
        <f>IF($B$4="","",INDEX($D$19:$D$1518,$E$5))</f>
        <v/>
      </c>
      <c r="C13" s="10">
        <f>IF(COUNT($V$19:$V$4018)=0,"",MAX($V$19:$V$4018))</f>
        <v/>
      </c>
      <c r="D13" s="13">
        <f>IF(AND(ISNUMBER(B13),G13&gt;0),IF(G13=1,50,(_xlfn.RANK.AVG(B13,$K$19:$K$1518,1)-1)/(G13-1)*100),"")</f>
        <v/>
      </c>
      <c r="E13" t="inlineStr">
        <is>
          <t>높을수록 공포</t>
        </is>
      </c>
      <c r="F13" s="13">
        <f>IF($B$4="","",INDEX($O$19:$O$1518,$E$5))</f>
        <v/>
      </c>
      <c r="G13">
        <f>COUNT($K$19:$K$1518)</f>
        <v/>
      </c>
      <c r="H13">
        <f>IF($B$4="","",_xlfn.TEXTJOIN(", ",TRUE,IF(G13&lt;$E$7,"VKOSPI 5년 자료 부족",""),IF(OR(C13="",C13&lt;$B$4-'설정'!$B$22),"VKOSPI 자료 지연","")))</f>
        <v/>
      </c>
    </row>
    <row r="14">
      <c r="A14" s="7" t="inlineStr">
        <is>
          <t>회사채 AA- − 국고채 3년</t>
        </is>
      </c>
      <c r="B14" s="30">
        <f>IF($B$4="","",INDEX($G$19:$G$1518,$E$5))</f>
        <v/>
      </c>
      <c r="C14" s="10">
        <f>IF(OR(COUNT($W$19:$W$4018)=0,COUNT($X$19:$X$4018)=0),"",MIN(MAX($W$19:$W$4018),MAX($X$19:$X$4018)))</f>
        <v/>
      </c>
      <c r="D14" s="13">
        <f>IF(AND(ISNUMBER(B14),G14&gt;0),IF(G14=1,50,(_xlfn.RANK.AVG(B14,$L$19:$L$1518,1)-1)/(G14-1)*100),"")</f>
        <v/>
      </c>
      <c r="E14" t="inlineStr">
        <is>
          <t>넓을수록 공포</t>
        </is>
      </c>
      <c r="F14" s="13">
        <f>IF($B$4="","",INDEX($P$19:$P$1518,$E$5))</f>
        <v/>
      </c>
      <c r="G14">
        <f>COUNT($L$19:$L$1518)</f>
        <v/>
      </c>
      <c r="H14">
        <f>IF($B$4="","",_xlfn.TEXTJOIN(", ",TRUE,IF(G14&lt;$E$7,"회사채 AA- − 국고채 3년 5년 자료 부족",""),IF(OR(C14="",C14&lt;$B$4-'설정'!$B$22),"회사채 AA- − 국고채 3년 자료 지연","")))</f>
        <v/>
      </c>
    </row>
    <row r="15">
      <c r="A15" s="7" t="inlineStr">
        <is>
          <t>코스피 / 125일 평균</t>
        </is>
      </c>
      <c r="B15" s="22">
        <f>IF($B$4="","",INDEX($C$19:$C$1518,$E$5))</f>
        <v/>
      </c>
      <c r="C15" s="10">
        <f>IF(COUNT($U$19:$U$4018)=0,"",MAX($U$19:$U$4018))</f>
        <v/>
      </c>
      <c r="D15" s="13">
        <f>IF(AND(ISNUMBER(B15),G15&gt;0),IF(G15=1,50,(_xlfn.RANK.AVG(B15,$M$19:$M$1518,1)-1)/(G15-1)*100),"")</f>
        <v/>
      </c>
      <c r="E15" t="inlineStr">
        <is>
          <t>낮을수록 공포</t>
        </is>
      </c>
      <c r="F15" s="13">
        <f>IF($B$4="","",INDEX($Q$19:$Q$1518,$E$5))</f>
        <v/>
      </c>
      <c r="G15">
        <f>COUNT($M$19:$M$1518)</f>
        <v/>
      </c>
      <c r="H15">
        <f>IF($B$4="","",_xlfn.TEXTJOIN(", ",TRUE,IF(G15&lt;$E$7,"코스피 / 125일 평균 5년 자료 부족",""),IF(OR(C15="",C15&lt;$B$4-'설정'!$B$22),"코스피 / 125일 평균 자료 지연","")))</f>
        <v/>
      </c>
    </row>
    <row r="16">
      <c r="A16" s="7" t="inlineStr">
        <is>
          <t>신용융자잔고 20일 증감률</t>
        </is>
      </c>
      <c r="B16" s="31">
        <f>IF($B$4="","",INDEX($I$19:$I$1518,$E$5))</f>
        <v/>
      </c>
      <c r="C16" s="10">
        <f>IF(COUNT($Y$19:$Y$4018)=0,"",MAX($Y$19:$Y$4018))</f>
        <v/>
      </c>
      <c r="D16" s="13">
        <f>IF(AND(ISNUMBER(B16),G16&gt;0),IF(G16=1,50,(_xlfn.RANK.AVG(B16,$N$19:$N$1518,1)-1)/(G16-1)*100),"")</f>
        <v/>
      </c>
      <c r="E16" t="inlineStr">
        <is>
          <t>줄어들수록 공포</t>
        </is>
      </c>
      <c r="F16" s="13">
        <f>IF($B$4="","",INDEX($R$19:$R$1518,$E$5))</f>
        <v/>
      </c>
      <c r="G16">
        <f>COUNT($N$19:$N$1518)</f>
        <v/>
      </c>
      <c r="H16">
        <f>IF($B$4="","",_xlfn.TEXTJOIN(", ",TRUE,IF(G16&lt;$E$7,"신용융자잔고 20일 증감률 5년 자료 부족",""),IF(OR(C16="",C16&lt;$B$4-'설정'!$B$22),"신용융자잔고 20일 증감률 자료 지연","")))</f>
        <v/>
      </c>
    </row>
    <row r="18" ht="42" customHeight="1">
      <c r="A18" s="6" t="inlineStr">
        <is>
          <t>날짜</t>
        </is>
      </c>
      <c r="B18" s="6" t="inlineStr">
        <is>
          <t>코스피</t>
        </is>
      </c>
      <c r="C18" s="6" t="inlineStr">
        <is>
          <t>125일 평균 대비</t>
        </is>
      </c>
      <c r="D18" s="6" t="inlineStr">
        <is>
          <t>VKOSPI</t>
        </is>
      </c>
      <c r="E18" s="6" t="inlineStr">
        <is>
          <t>회사채 AA- 3년</t>
        </is>
      </c>
      <c r="F18" s="6" t="inlineStr">
        <is>
          <t>국고채 3년</t>
        </is>
      </c>
      <c r="G18" s="6" t="inlineStr">
        <is>
          <t>금리차</t>
        </is>
      </c>
      <c r="H18" s="6" t="inlineStr">
        <is>
          <t>신용융자잔고</t>
        </is>
      </c>
      <c r="I18" s="6" t="inlineStr">
        <is>
          <t>20일 증감률</t>
        </is>
      </c>
      <c r="J18" s="6" t="inlineStr">
        <is>
          <t>창 안</t>
        </is>
      </c>
      <c r="K18" s="6" t="inlineStr">
        <is>
          <t>VKOSPI
(창 안 값)</t>
        </is>
      </c>
      <c r="L18" s="6" t="inlineStr">
        <is>
          <t>회사채 AA- − 국고채 3년
(창 안 값)</t>
        </is>
      </c>
      <c r="M18" s="6" t="inlineStr">
        <is>
          <t>코스피 / 125일 평균
(창 안 값)</t>
        </is>
      </c>
      <c r="N18" s="6" t="inlineStr">
        <is>
          <t>신용융자잔고 20일 증감률
(창 안 값)</t>
        </is>
      </c>
      <c r="O18" s="6" t="inlineStr">
        <is>
          <t>VKOSPI
탐욕 점수</t>
        </is>
      </c>
      <c r="P18" s="6" t="inlineStr">
        <is>
          <t>회사채 AA- − 국고채 3년
탐욕 점수</t>
        </is>
      </c>
      <c r="Q18" s="6" t="inlineStr">
        <is>
          <t>코스피 / 125일 평균
탐욕 점수</t>
        </is>
      </c>
      <c r="R18" s="6" t="inlineStr">
        <is>
          <t>신용융자잔고 20일 증감률
탐욕 점수</t>
        </is>
      </c>
      <c r="S18" s="6" t="inlineStr">
        <is>
          <t>지표 평균</t>
        </is>
      </c>
      <c r="U18" s="6" t="inlineStr">
        <is>
          <t>보조: kospi 날짜</t>
        </is>
      </c>
      <c r="V18" s="6" t="inlineStr">
        <is>
          <t>보조: vkospi 날짜</t>
        </is>
      </c>
      <c r="W18" s="6" t="inlineStr">
        <is>
          <t>보조: aa 날짜</t>
        </is>
      </c>
      <c r="X18" s="6" t="inlineStr">
        <is>
          <t>보조: ktb 날짜</t>
        </is>
      </c>
      <c r="Y18" s="6" t="inlineStr">
        <is>
          <t>보조: credit 날짜</t>
        </is>
      </c>
    </row>
    <row r="19">
      <c r="A19" s="10">
        <f>IF(1&gt;$E$5,"",SMALL($U$19:$U$4018,$E$6+1))</f>
        <v/>
      </c>
      <c r="B19" s="29">
        <f>IF(A19="","",INDEX('자료_한국심리'!$B$3:$B$4002,MATCH(A19,$U$19:$U$4018,0)))</f>
        <v/>
      </c>
      <c r="C19" s="22">
        <f>""</f>
        <v/>
      </c>
      <c r="D19" s="29">
        <f>IF(A19="","",IFERROR(INDEX('자료_한국심리'!$E$3:$E$4002,MATCH(A19,$V$19:$V$4018,0)),""))</f>
        <v/>
      </c>
      <c r="E19" s="30">
        <f>IF(A19="","",IFERROR(INDEX('자료_한국심리'!$H$3:$H$4002,MATCH(A19,$W$19:$W$4018,0)),""))</f>
        <v/>
      </c>
      <c r="F19" s="30">
        <f>IF(A19="","",IFERROR(INDEX('자료_한국심리'!$K$3:$K$4002,MATCH(A19,$X$19:$X$4018,0)),""))</f>
        <v/>
      </c>
      <c r="G19" s="30">
        <f>IF(AND(ISNUMBER(E19),ISNUMBER(F19)),ROUND(E19-F19,6),"")</f>
        <v/>
      </c>
      <c r="H19" s="25">
        <f>IF(A19="","",IFERROR(INDEX('자료_한국심리'!$N$3:$N$4002,MATCH(A19,$Y$19:$Y$4018,0)),""))</f>
        <v/>
      </c>
      <c r="I19" s="31">
        <f>""</f>
        <v/>
      </c>
      <c r="J19">
        <f>IF(A19="",0,IF(A19&gt;$B$5,1,0))</f>
        <v/>
      </c>
      <c r="K19" s="29">
        <f>IF(AND(J19=1,ISNUMBER(D19)),D19,"")</f>
        <v/>
      </c>
      <c r="L19" s="30">
        <f>IF(AND(J19=1,ISNUMBER(G19)),G19,"")</f>
        <v/>
      </c>
      <c r="M19" s="22">
        <f>IF(AND(J19=1,ISNUMBER(C19)),C19,"")</f>
        <v/>
      </c>
      <c r="N19" s="31">
        <f>IF(AND(J19=1,ISNUMBER(I19)),I19,"")</f>
        <v/>
      </c>
      <c r="O19" s="11">
        <f>IF(K19="","",100-IF($G$13=1,50,(_xlfn.RANK.AVG(K19,$K$19:$K$1518,1)-1)/($G$13-1)*100))</f>
        <v/>
      </c>
      <c r="P19" s="11">
        <f>IF(L19="","",100-IF($G$14=1,50,(_xlfn.RANK.AVG(L19,$L$19:$L$1518,1)-1)/($G$14-1)*100))</f>
        <v/>
      </c>
      <c r="Q19" s="11">
        <f>IF(M19="","",IF($G$15=1,50,(_xlfn.RANK.AVG(M19,$M$19:$M$1518,1)-1)/($G$15-1)*100))</f>
        <v/>
      </c>
      <c r="R19" s="11">
        <f>IF(N19="","",IF($G$16=1,50,(_xlfn.RANK.AVG(N19,$N$19:$N$1518,1)-1)/($G$16-1)*100))</f>
        <v/>
      </c>
      <c r="S19" s="11">
        <f>IF(COUNT(O19:R19)=4,ROUND(AVERAGE(O19:R19),6),"")</f>
        <v/>
      </c>
      <c r="U19">
        <f>IF(AND(ISNUMBER('자료_한국심리'!$A3),ISNUMBER('자료_한국심리'!$B3)),'자료_한국심리'!$A3,"")</f>
        <v/>
      </c>
      <c r="V19">
        <f>IF(AND(ISNUMBER('자료_한국심리'!$D3),ISNUMBER('자료_한국심리'!$E3)),'자료_한국심리'!$D3,"")</f>
        <v/>
      </c>
      <c r="W19">
        <f>IF(AND(ISNUMBER('자료_한국심리'!$G3),ISNUMBER('자료_한국심리'!$H3)),'자료_한국심리'!$G3,"")</f>
        <v/>
      </c>
      <c r="X19">
        <f>IF(AND(ISNUMBER('자료_한국심리'!$J3),ISNUMBER('자료_한국심리'!$K3)),'자료_한국심리'!$J3,"")</f>
        <v/>
      </c>
      <c r="Y19">
        <f>IF(AND(ISNUMBER('자료_한국심리'!$M3),ISNUMBER('자료_한국심리'!$N3)),'자료_한국심리'!$M3,"")</f>
        <v/>
      </c>
    </row>
    <row r="20">
      <c r="A20" s="10">
        <f>IF(2&gt;$E$5,"",SMALL($U$19:$U$4018,$E$6+2))</f>
        <v/>
      </c>
      <c r="B20" s="29">
        <f>IF(A20="","",INDEX('자료_한국심리'!$B$3:$B$4002,MATCH(A20,$U$19:$U$4018,0)))</f>
        <v/>
      </c>
      <c r="C20" s="22">
        <f>""</f>
        <v/>
      </c>
      <c r="D20" s="29">
        <f>IF(A20="","",IFERROR(INDEX('자료_한국심리'!$E$3:$E$4002,MATCH(A20,$V$19:$V$4018,0)),D19))</f>
        <v/>
      </c>
      <c r="E20" s="30">
        <f>IF(A20="","",IFERROR(INDEX('자료_한국심리'!$H$3:$H$4002,MATCH(A20,$W$19:$W$4018,0)),E19))</f>
        <v/>
      </c>
      <c r="F20" s="30">
        <f>IF(A20="","",IFERROR(INDEX('자료_한국심리'!$K$3:$K$4002,MATCH(A20,$X$19:$X$4018,0)),F19))</f>
        <v/>
      </c>
      <c r="G20" s="30">
        <f>IF(AND(ISNUMBER(E20),ISNUMBER(F20)),ROUND(E20-F20,6),"")</f>
        <v/>
      </c>
      <c r="H20" s="25">
        <f>IF(A20="","",IFERROR(INDEX('자료_한국심리'!$N$3:$N$4002,MATCH(A20,$Y$19:$Y$4018,0)),H19))</f>
        <v/>
      </c>
      <c r="I20" s="31">
        <f>""</f>
        <v/>
      </c>
      <c r="J20">
        <f>IF(A20="",0,IF(A20&gt;$B$5,1,0))</f>
        <v/>
      </c>
      <c r="K20" s="29">
        <f>IF(AND(J20=1,ISNUMBER(D20)),D20,"")</f>
        <v/>
      </c>
      <c r="L20" s="30">
        <f>IF(AND(J20=1,ISNUMBER(G20)),G20,"")</f>
        <v/>
      </c>
      <c r="M20" s="22">
        <f>IF(AND(J20=1,ISNUMBER(C20)),C20,"")</f>
        <v/>
      </c>
      <c r="N20" s="31">
        <f>IF(AND(J20=1,ISNUMBER(I20)),I20,"")</f>
        <v/>
      </c>
      <c r="O20" s="11">
        <f>IF(K20="","",100-IF($G$13=1,50,(_xlfn.RANK.AVG(K20,$K$19:$K$1518,1)-1)/($G$13-1)*100))</f>
        <v/>
      </c>
      <c r="P20" s="11">
        <f>IF(L20="","",100-IF($G$14=1,50,(_xlfn.RANK.AVG(L20,$L$19:$L$1518,1)-1)/($G$14-1)*100))</f>
        <v/>
      </c>
      <c r="Q20" s="11">
        <f>IF(M20="","",IF($G$15=1,50,(_xlfn.RANK.AVG(M20,$M$19:$M$1518,1)-1)/($G$15-1)*100))</f>
        <v/>
      </c>
      <c r="R20" s="11">
        <f>IF(N20="","",IF($G$16=1,50,(_xlfn.RANK.AVG(N20,$N$19:$N$1518,1)-1)/($G$16-1)*100))</f>
        <v/>
      </c>
      <c r="S20" s="11">
        <f>IF(COUNT(O20:R20)=4,ROUND(AVERAGE(O20:R20),6),"")</f>
        <v/>
      </c>
      <c r="U20">
        <f>IF(AND(ISNUMBER('자료_한국심리'!$A4),ISNUMBER('자료_한국심리'!$B4)),'자료_한국심리'!$A4,"")</f>
        <v/>
      </c>
      <c r="V20">
        <f>IF(AND(ISNUMBER('자료_한국심리'!$D4),ISNUMBER('자료_한국심리'!$E4)),'자료_한국심리'!$D4,"")</f>
        <v/>
      </c>
      <c r="W20">
        <f>IF(AND(ISNUMBER('자료_한국심리'!$G4),ISNUMBER('자료_한국심리'!$H4)),'자료_한국심리'!$G4,"")</f>
        <v/>
      </c>
      <c r="X20">
        <f>IF(AND(ISNUMBER('자료_한국심리'!$J4),ISNUMBER('자료_한국심리'!$K4)),'자료_한국심리'!$J4,"")</f>
        <v/>
      </c>
      <c r="Y20">
        <f>IF(AND(ISNUMBER('자료_한국심리'!$M4),ISNUMBER('자료_한국심리'!$N4)),'자료_한국심리'!$M4,"")</f>
        <v/>
      </c>
    </row>
    <row r="21">
      <c r="A21" s="10">
        <f>IF(3&gt;$E$5,"",SMALL($U$19:$U$4018,$E$6+3))</f>
        <v/>
      </c>
      <c r="B21" s="29">
        <f>IF(A21="","",INDEX('자료_한국심리'!$B$3:$B$4002,MATCH(A21,$U$19:$U$4018,0)))</f>
        <v/>
      </c>
      <c r="C21" s="22">
        <f>""</f>
        <v/>
      </c>
      <c r="D21" s="29">
        <f>IF(A21="","",IFERROR(INDEX('자료_한국심리'!$E$3:$E$4002,MATCH(A21,$V$19:$V$4018,0)),D20))</f>
        <v/>
      </c>
      <c r="E21" s="30">
        <f>IF(A21="","",IFERROR(INDEX('자료_한국심리'!$H$3:$H$4002,MATCH(A21,$W$19:$W$4018,0)),E20))</f>
        <v/>
      </c>
      <c r="F21" s="30">
        <f>IF(A21="","",IFERROR(INDEX('자료_한국심리'!$K$3:$K$4002,MATCH(A21,$X$19:$X$4018,0)),F20))</f>
        <v/>
      </c>
      <c r="G21" s="30">
        <f>IF(AND(ISNUMBER(E21),ISNUMBER(F21)),ROUND(E21-F21,6),"")</f>
        <v/>
      </c>
      <c r="H21" s="25">
        <f>IF(A21="","",IFERROR(INDEX('자료_한국심리'!$N$3:$N$4002,MATCH(A21,$Y$19:$Y$4018,0)),H20))</f>
        <v/>
      </c>
      <c r="I21" s="31">
        <f>""</f>
        <v/>
      </c>
      <c r="J21">
        <f>IF(A21="",0,IF(A21&gt;$B$5,1,0))</f>
        <v/>
      </c>
      <c r="K21" s="29">
        <f>IF(AND(J21=1,ISNUMBER(D21)),D21,"")</f>
        <v/>
      </c>
      <c r="L21" s="30">
        <f>IF(AND(J21=1,ISNUMBER(G21)),G21,"")</f>
        <v/>
      </c>
      <c r="M21" s="22">
        <f>IF(AND(J21=1,ISNUMBER(C21)),C21,"")</f>
        <v/>
      </c>
      <c r="N21" s="31">
        <f>IF(AND(J21=1,ISNUMBER(I21)),I21,"")</f>
        <v/>
      </c>
      <c r="O21" s="11">
        <f>IF(K21="","",100-IF($G$13=1,50,(_xlfn.RANK.AVG(K21,$K$19:$K$1518,1)-1)/($G$13-1)*100))</f>
        <v/>
      </c>
      <c r="P21" s="11">
        <f>IF(L21="","",100-IF($G$14=1,50,(_xlfn.RANK.AVG(L21,$L$19:$L$1518,1)-1)/($G$14-1)*100))</f>
        <v/>
      </c>
      <c r="Q21" s="11">
        <f>IF(M21="","",IF($G$15=1,50,(_xlfn.RANK.AVG(M21,$M$19:$M$1518,1)-1)/($G$15-1)*100))</f>
        <v/>
      </c>
      <c r="R21" s="11">
        <f>IF(N21="","",IF($G$16=1,50,(_xlfn.RANK.AVG(N21,$N$19:$N$1518,1)-1)/($G$16-1)*100))</f>
        <v/>
      </c>
      <c r="S21" s="11">
        <f>IF(COUNT(O21:R21)=4,ROUND(AVERAGE(O21:R21),6),"")</f>
        <v/>
      </c>
      <c r="U21">
        <f>IF(AND(ISNUMBER('자료_한국심리'!$A5),ISNUMBER('자료_한국심리'!$B5)),'자료_한국심리'!$A5,"")</f>
        <v/>
      </c>
      <c r="V21">
        <f>IF(AND(ISNUMBER('자료_한국심리'!$D5),ISNUMBER('자료_한국심리'!$E5)),'자료_한국심리'!$D5,"")</f>
        <v/>
      </c>
      <c r="W21">
        <f>IF(AND(ISNUMBER('자료_한국심리'!$G5),ISNUMBER('자료_한국심리'!$H5)),'자료_한국심리'!$G5,"")</f>
        <v/>
      </c>
      <c r="X21">
        <f>IF(AND(ISNUMBER('자료_한국심리'!$J5),ISNUMBER('자료_한국심리'!$K5)),'자료_한국심리'!$J5,"")</f>
        <v/>
      </c>
      <c r="Y21">
        <f>IF(AND(ISNUMBER('자료_한국심리'!$M5),ISNUMBER('자료_한국심리'!$N5)),'자료_한국심리'!$M5,"")</f>
        <v/>
      </c>
    </row>
    <row r="22">
      <c r="A22" s="10">
        <f>IF(4&gt;$E$5,"",SMALL($U$19:$U$4018,$E$6+4))</f>
        <v/>
      </c>
      <c r="B22" s="29">
        <f>IF(A22="","",INDEX('자료_한국심리'!$B$3:$B$4002,MATCH(A22,$U$19:$U$4018,0)))</f>
        <v/>
      </c>
      <c r="C22" s="22">
        <f>""</f>
        <v/>
      </c>
      <c r="D22" s="29">
        <f>IF(A22="","",IFERROR(INDEX('자료_한국심리'!$E$3:$E$4002,MATCH(A22,$V$19:$V$4018,0)),D21))</f>
        <v/>
      </c>
      <c r="E22" s="30">
        <f>IF(A22="","",IFERROR(INDEX('자료_한국심리'!$H$3:$H$4002,MATCH(A22,$W$19:$W$4018,0)),E21))</f>
        <v/>
      </c>
      <c r="F22" s="30">
        <f>IF(A22="","",IFERROR(INDEX('자료_한국심리'!$K$3:$K$4002,MATCH(A22,$X$19:$X$4018,0)),F21))</f>
        <v/>
      </c>
      <c r="G22" s="30">
        <f>IF(AND(ISNUMBER(E22),ISNUMBER(F22)),ROUND(E22-F22,6),"")</f>
        <v/>
      </c>
      <c r="H22" s="25">
        <f>IF(A22="","",IFERROR(INDEX('자료_한국심리'!$N$3:$N$4002,MATCH(A22,$Y$19:$Y$4018,0)),H21))</f>
        <v/>
      </c>
      <c r="I22" s="31">
        <f>""</f>
        <v/>
      </c>
      <c r="J22">
        <f>IF(A22="",0,IF(A22&gt;$B$5,1,0))</f>
        <v/>
      </c>
      <c r="K22" s="29">
        <f>IF(AND(J22=1,ISNUMBER(D22)),D22,"")</f>
        <v/>
      </c>
      <c r="L22" s="30">
        <f>IF(AND(J22=1,ISNUMBER(G22)),G22,"")</f>
        <v/>
      </c>
      <c r="M22" s="22">
        <f>IF(AND(J22=1,ISNUMBER(C22)),C22,"")</f>
        <v/>
      </c>
      <c r="N22" s="31">
        <f>IF(AND(J22=1,ISNUMBER(I22)),I22,"")</f>
        <v/>
      </c>
      <c r="O22" s="11">
        <f>IF(K22="","",100-IF($G$13=1,50,(_xlfn.RANK.AVG(K22,$K$19:$K$1518,1)-1)/($G$13-1)*100))</f>
        <v/>
      </c>
      <c r="P22" s="11">
        <f>IF(L22="","",100-IF($G$14=1,50,(_xlfn.RANK.AVG(L22,$L$19:$L$1518,1)-1)/($G$14-1)*100))</f>
        <v/>
      </c>
      <c r="Q22" s="11">
        <f>IF(M22="","",IF($G$15=1,50,(_xlfn.RANK.AVG(M22,$M$19:$M$1518,1)-1)/($G$15-1)*100))</f>
        <v/>
      </c>
      <c r="R22" s="11">
        <f>IF(N22="","",IF($G$16=1,50,(_xlfn.RANK.AVG(N22,$N$19:$N$1518,1)-1)/($G$16-1)*100))</f>
        <v/>
      </c>
      <c r="S22" s="11">
        <f>IF(COUNT(O22:R22)=4,ROUND(AVERAGE(O22:R22),6),"")</f>
        <v/>
      </c>
      <c r="U22">
        <f>IF(AND(ISNUMBER('자료_한국심리'!$A6),ISNUMBER('자료_한국심리'!$B6)),'자료_한국심리'!$A6,"")</f>
        <v/>
      </c>
      <c r="V22">
        <f>IF(AND(ISNUMBER('자료_한국심리'!$D6),ISNUMBER('자료_한국심리'!$E6)),'자료_한국심리'!$D6,"")</f>
        <v/>
      </c>
      <c r="W22">
        <f>IF(AND(ISNUMBER('자료_한국심리'!$G6),ISNUMBER('자료_한국심리'!$H6)),'자료_한국심리'!$G6,"")</f>
        <v/>
      </c>
      <c r="X22">
        <f>IF(AND(ISNUMBER('자료_한국심리'!$J6),ISNUMBER('자료_한국심리'!$K6)),'자료_한국심리'!$J6,"")</f>
        <v/>
      </c>
      <c r="Y22">
        <f>IF(AND(ISNUMBER('자료_한국심리'!$M6),ISNUMBER('자료_한국심리'!$N6)),'자료_한국심리'!$M6,"")</f>
        <v/>
      </c>
    </row>
    <row r="23">
      <c r="A23" s="10">
        <f>IF(5&gt;$E$5,"",SMALL($U$19:$U$4018,$E$6+5))</f>
        <v/>
      </c>
      <c r="B23" s="29">
        <f>IF(A23="","",INDEX('자료_한국심리'!$B$3:$B$4002,MATCH(A23,$U$19:$U$4018,0)))</f>
        <v/>
      </c>
      <c r="C23" s="22">
        <f>""</f>
        <v/>
      </c>
      <c r="D23" s="29">
        <f>IF(A23="","",IFERROR(INDEX('자료_한국심리'!$E$3:$E$4002,MATCH(A23,$V$19:$V$4018,0)),D22))</f>
        <v/>
      </c>
      <c r="E23" s="30">
        <f>IF(A23="","",IFERROR(INDEX('자료_한국심리'!$H$3:$H$4002,MATCH(A23,$W$19:$W$4018,0)),E22))</f>
        <v/>
      </c>
      <c r="F23" s="30">
        <f>IF(A23="","",IFERROR(INDEX('자료_한국심리'!$K$3:$K$4002,MATCH(A23,$X$19:$X$4018,0)),F22))</f>
        <v/>
      </c>
      <c r="G23" s="30">
        <f>IF(AND(ISNUMBER(E23),ISNUMBER(F23)),ROUND(E23-F23,6),"")</f>
        <v/>
      </c>
      <c r="H23" s="25">
        <f>IF(A23="","",IFERROR(INDEX('자료_한국심리'!$N$3:$N$4002,MATCH(A23,$Y$19:$Y$4018,0)),H22))</f>
        <v/>
      </c>
      <c r="I23" s="31">
        <f>""</f>
        <v/>
      </c>
      <c r="J23">
        <f>IF(A23="",0,IF(A23&gt;$B$5,1,0))</f>
        <v/>
      </c>
      <c r="K23" s="29">
        <f>IF(AND(J23=1,ISNUMBER(D23)),D23,"")</f>
        <v/>
      </c>
      <c r="L23" s="30">
        <f>IF(AND(J23=1,ISNUMBER(G23)),G23,"")</f>
        <v/>
      </c>
      <c r="M23" s="22">
        <f>IF(AND(J23=1,ISNUMBER(C23)),C23,"")</f>
        <v/>
      </c>
      <c r="N23" s="31">
        <f>IF(AND(J23=1,ISNUMBER(I23)),I23,"")</f>
        <v/>
      </c>
      <c r="O23" s="11">
        <f>IF(K23="","",100-IF($G$13=1,50,(_xlfn.RANK.AVG(K23,$K$19:$K$1518,1)-1)/($G$13-1)*100))</f>
        <v/>
      </c>
      <c r="P23" s="11">
        <f>IF(L23="","",100-IF($G$14=1,50,(_xlfn.RANK.AVG(L23,$L$19:$L$1518,1)-1)/($G$14-1)*100))</f>
        <v/>
      </c>
      <c r="Q23" s="11">
        <f>IF(M23="","",IF($G$15=1,50,(_xlfn.RANK.AVG(M23,$M$19:$M$1518,1)-1)/($G$15-1)*100))</f>
        <v/>
      </c>
      <c r="R23" s="11">
        <f>IF(N23="","",IF($G$16=1,50,(_xlfn.RANK.AVG(N23,$N$19:$N$1518,1)-1)/($G$16-1)*100))</f>
        <v/>
      </c>
      <c r="S23" s="11">
        <f>IF(COUNT(O23:R23)=4,ROUND(AVERAGE(O23:R23),6),"")</f>
        <v/>
      </c>
      <c r="U23">
        <f>IF(AND(ISNUMBER('자료_한국심리'!$A7),ISNUMBER('자료_한국심리'!$B7)),'자료_한국심리'!$A7,"")</f>
        <v/>
      </c>
      <c r="V23">
        <f>IF(AND(ISNUMBER('자료_한국심리'!$D7),ISNUMBER('자료_한국심리'!$E7)),'자료_한국심리'!$D7,"")</f>
        <v/>
      </c>
      <c r="W23">
        <f>IF(AND(ISNUMBER('자료_한국심리'!$G7),ISNUMBER('자료_한국심리'!$H7)),'자료_한국심리'!$G7,"")</f>
        <v/>
      </c>
      <c r="X23">
        <f>IF(AND(ISNUMBER('자료_한국심리'!$J7),ISNUMBER('자료_한국심리'!$K7)),'자료_한국심리'!$J7,"")</f>
        <v/>
      </c>
      <c r="Y23">
        <f>IF(AND(ISNUMBER('자료_한국심리'!$M7),ISNUMBER('자료_한국심리'!$N7)),'자료_한국심리'!$M7,"")</f>
        <v/>
      </c>
    </row>
    <row r="24">
      <c r="A24" s="10">
        <f>IF(6&gt;$E$5,"",SMALL($U$19:$U$4018,$E$6+6))</f>
        <v/>
      </c>
      <c r="B24" s="29">
        <f>IF(A24="","",INDEX('자료_한국심리'!$B$3:$B$4002,MATCH(A24,$U$19:$U$4018,0)))</f>
        <v/>
      </c>
      <c r="C24" s="22">
        <f>""</f>
        <v/>
      </c>
      <c r="D24" s="29">
        <f>IF(A24="","",IFERROR(INDEX('자료_한국심리'!$E$3:$E$4002,MATCH(A24,$V$19:$V$4018,0)),D23))</f>
        <v/>
      </c>
      <c r="E24" s="30">
        <f>IF(A24="","",IFERROR(INDEX('자료_한국심리'!$H$3:$H$4002,MATCH(A24,$W$19:$W$4018,0)),E23))</f>
        <v/>
      </c>
      <c r="F24" s="30">
        <f>IF(A24="","",IFERROR(INDEX('자료_한국심리'!$K$3:$K$4002,MATCH(A24,$X$19:$X$4018,0)),F23))</f>
        <v/>
      </c>
      <c r="G24" s="30">
        <f>IF(AND(ISNUMBER(E24),ISNUMBER(F24)),ROUND(E24-F24,6),"")</f>
        <v/>
      </c>
      <c r="H24" s="25">
        <f>IF(A24="","",IFERROR(INDEX('자료_한국심리'!$N$3:$N$4002,MATCH(A24,$Y$19:$Y$4018,0)),H23))</f>
        <v/>
      </c>
      <c r="I24" s="31">
        <f>""</f>
        <v/>
      </c>
      <c r="J24">
        <f>IF(A24="",0,IF(A24&gt;$B$5,1,0))</f>
        <v/>
      </c>
      <c r="K24" s="29">
        <f>IF(AND(J24=1,ISNUMBER(D24)),D24,"")</f>
        <v/>
      </c>
      <c r="L24" s="30">
        <f>IF(AND(J24=1,ISNUMBER(G24)),G24,"")</f>
        <v/>
      </c>
      <c r="M24" s="22">
        <f>IF(AND(J24=1,ISNUMBER(C24)),C24,"")</f>
        <v/>
      </c>
      <c r="N24" s="31">
        <f>IF(AND(J24=1,ISNUMBER(I24)),I24,"")</f>
        <v/>
      </c>
      <c r="O24" s="11">
        <f>IF(K24="","",100-IF($G$13=1,50,(_xlfn.RANK.AVG(K24,$K$19:$K$1518,1)-1)/($G$13-1)*100))</f>
        <v/>
      </c>
      <c r="P24" s="11">
        <f>IF(L24="","",100-IF($G$14=1,50,(_xlfn.RANK.AVG(L24,$L$19:$L$1518,1)-1)/($G$14-1)*100))</f>
        <v/>
      </c>
      <c r="Q24" s="11">
        <f>IF(M24="","",IF($G$15=1,50,(_xlfn.RANK.AVG(M24,$M$19:$M$1518,1)-1)/($G$15-1)*100))</f>
        <v/>
      </c>
      <c r="R24" s="11">
        <f>IF(N24="","",IF($G$16=1,50,(_xlfn.RANK.AVG(N24,$N$19:$N$1518,1)-1)/($G$16-1)*100))</f>
        <v/>
      </c>
      <c r="S24" s="11">
        <f>IF(COUNT(O24:R24)=4,ROUND(AVERAGE(O24:R24),6),"")</f>
        <v/>
      </c>
      <c r="U24">
        <f>IF(AND(ISNUMBER('자료_한국심리'!$A8),ISNUMBER('자료_한국심리'!$B8)),'자료_한국심리'!$A8,"")</f>
        <v/>
      </c>
      <c r="V24">
        <f>IF(AND(ISNUMBER('자료_한국심리'!$D8),ISNUMBER('자료_한국심리'!$E8)),'자료_한국심리'!$D8,"")</f>
        <v/>
      </c>
      <c r="W24">
        <f>IF(AND(ISNUMBER('자료_한국심리'!$G8),ISNUMBER('자료_한국심리'!$H8)),'자료_한국심리'!$G8,"")</f>
        <v/>
      </c>
      <c r="X24">
        <f>IF(AND(ISNUMBER('자료_한국심리'!$J8),ISNUMBER('자료_한국심리'!$K8)),'자료_한국심리'!$J8,"")</f>
        <v/>
      </c>
      <c r="Y24">
        <f>IF(AND(ISNUMBER('자료_한국심리'!$M8),ISNUMBER('자료_한국심리'!$N8)),'자료_한국심리'!$M8,"")</f>
        <v/>
      </c>
    </row>
    <row r="25">
      <c r="A25" s="10">
        <f>IF(7&gt;$E$5,"",SMALL($U$19:$U$4018,$E$6+7))</f>
        <v/>
      </c>
      <c r="B25" s="29">
        <f>IF(A25="","",INDEX('자료_한국심리'!$B$3:$B$4002,MATCH(A25,$U$19:$U$4018,0)))</f>
        <v/>
      </c>
      <c r="C25" s="22">
        <f>""</f>
        <v/>
      </c>
      <c r="D25" s="29">
        <f>IF(A25="","",IFERROR(INDEX('자료_한국심리'!$E$3:$E$4002,MATCH(A25,$V$19:$V$4018,0)),D24))</f>
        <v/>
      </c>
      <c r="E25" s="30">
        <f>IF(A25="","",IFERROR(INDEX('자료_한국심리'!$H$3:$H$4002,MATCH(A25,$W$19:$W$4018,0)),E24))</f>
        <v/>
      </c>
      <c r="F25" s="30">
        <f>IF(A25="","",IFERROR(INDEX('자료_한국심리'!$K$3:$K$4002,MATCH(A25,$X$19:$X$4018,0)),F24))</f>
        <v/>
      </c>
      <c r="G25" s="30">
        <f>IF(AND(ISNUMBER(E25),ISNUMBER(F25)),ROUND(E25-F25,6),"")</f>
        <v/>
      </c>
      <c r="H25" s="25">
        <f>IF(A25="","",IFERROR(INDEX('자료_한국심리'!$N$3:$N$4002,MATCH(A25,$Y$19:$Y$4018,0)),H24))</f>
        <v/>
      </c>
      <c r="I25" s="31">
        <f>""</f>
        <v/>
      </c>
      <c r="J25">
        <f>IF(A25="",0,IF(A25&gt;$B$5,1,0))</f>
        <v/>
      </c>
      <c r="K25" s="29">
        <f>IF(AND(J25=1,ISNUMBER(D25)),D25,"")</f>
        <v/>
      </c>
      <c r="L25" s="30">
        <f>IF(AND(J25=1,ISNUMBER(G25)),G25,"")</f>
        <v/>
      </c>
      <c r="M25" s="22">
        <f>IF(AND(J25=1,ISNUMBER(C25)),C25,"")</f>
        <v/>
      </c>
      <c r="N25" s="31">
        <f>IF(AND(J25=1,ISNUMBER(I25)),I25,"")</f>
        <v/>
      </c>
      <c r="O25" s="11">
        <f>IF(K25="","",100-IF($G$13=1,50,(_xlfn.RANK.AVG(K25,$K$19:$K$1518,1)-1)/($G$13-1)*100))</f>
        <v/>
      </c>
      <c r="P25" s="11">
        <f>IF(L25="","",100-IF($G$14=1,50,(_xlfn.RANK.AVG(L25,$L$19:$L$1518,1)-1)/($G$14-1)*100))</f>
        <v/>
      </c>
      <c r="Q25" s="11">
        <f>IF(M25="","",IF($G$15=1,50,(_xlfn.RANK.AVG(M25,$M$19:$M$1518,1)-1)/($G$15-1)*100))</f>
        <v/>
      </c>
      <c r="R25" s="11">
        <f>IF(N25="","",IF($G$16=1,50,(_xlfn.RANK.AVG(N25,$N$19:$N$1518,1)-1)/($G$16-1)*100))</f>
        <v/>
      </c>
      <c r="S25" s="11">
        <f>IF(COUNT(O25:R25)=4,ROUND(AVERAGE(O25:R25),6),"")</f>
        <v/>
      </c>
      <c r="U25">
        <f>IF(AND(ISNUMBER('자료_한국심리'!$A9),ISNUMBER('자료_한국심리'!$B9)),'자료_한국심리'!$A9,"")</f>
        <v/>
      </c>
      <c r="V25">
        <f>IF(AND(ISNUMBER('자료_한국심리'!$D9),ISNUMBER('자료_한국심리'!$E9)),'자료_한국심리'!$D9,"")</f>
        <v/>
      </c>
      <c r="W25">
        <f>IF(AND(ISNUMBER('자료_한국심리'!$G9),ISNUMBER('자료_한국심리'!$H9)),'자료_한국심리'!$G9,"")</f>
        <v/>
      </c>
      <c r="X25">
        <f>IF(AND(ISNUMBER('자료_한국심리'!$J9),ISNUMBER('자료_한국심리'!$K9)),'자료_한국심리'!$J9,"")</f>
        <v/>
      </c>
      <c r="Y25">
        <f>IF(AND(ISNUMBER('자료_한국심리'!$M9),ISNUMBER('자료_한국심리'!$N9)),'자료_한국심리'!$M9,"")</f>
        <v/>
      </c>
    </row>
    <row r="26">
      <c r="A26" s="10">
        <f>IF(8&gt;$E$5,"",SMALL($U$19:$U$4018,$E$6+8))</f>
        <v/>
      </c>
      <c r="B26" s="29">
        <f>IF(A26="","",INDEX('자료_한국심리'!$B$3:$B$4002,MATCH(A26,$U$19:$U$4018,0)))</f>
        <v/>
      </c>
      <c r="C26" s="22">
        <f>""</f>
        <v/>
      </c>
      <c r="D26" s="29">
        <f>IF(A26="","",IFERROR(INDEX('자료_한국심리'!$E$3:$E$4002,MATCH(A26,$V$19:$V$4018,0)),D25))</f>
        <v/>
      </c>
      <c r="E26" s="30">
        <f>IF(A26="","",IFERROR(INDEX('자료_한국심리'!$H$3:$H$4002,MATCH(A26,$W$19:$W$4018,0)),E25))</f>
        <v/>
      </c>
      <c r="F26" s="30">
        <f>IF(A26="","",IFERROR(INDEX('자료_한국심리'!$K$3:$K$4002,MATCH(A26,$X$19:$X$4018,0)),F25))</f>
        <v/>
      </c>
      <c r="G26" s="30">
        <f>IF(AND(ISNUMBER(E26),ISNUMBER(F26)),ROUND(E26-F26,6),"")</f>
        <v/>
      </c>
      <c r="H26" s="25">
        <f>IF(A26="","",IFERROR(INDEX('자료_한국심리'!$N$3:$N$4002,MATCH(A26,$Y$19:$Y$4018,0)),H25))</f>
        <v/>
      </c>
      <c r="I26" s="31">
        <f>""</f>
        <v/>
      </c>
      <c r="J26">
        <f>IF(A26="",0,IF(A26&gt;$B$5,1,0))</f>
        <v/>
      </c>
      <c r="K26" s="29">
        <f>IF(AND(J26=1,ISNUMBER(D26)),D26,"")</f>
        <v/>
      </c>
      <c r="L26" s="30">
        <f>IF(AND(J26=1,ISNUMBER(G26)),G26,"")</f>
        <v/>
      </c>
      <c r="M26" s="22">
        <f>IF(AND(J26=1,ISNUMBER(C26)),C26,"")</f>
        <v/>
      </c>
      <c r="N26" s="31">
        <f>IF(AND(J26=1,ISNUMBER(I26)),I26,"")</f>
        <v/>
      </c>
      <c r="O26" s="11">
        <f>IF(K26="","",100-IF($G$13=1,50,(_xlfn.RANK.AVG(K26,$K$19:$K$1518,1)-1)/($G$13-1)*100))</f>
        <v/>
      </c>
      <c r="P26" s="11">
        <f>IF(L26="","",100-IF($G$14=1,50,(_xlfn.RANK.AVG(L26,$L$19:$L$1518,1)-1)/($G$14-1)*100))</f>
        <v/>
      </c>
      <c r="Q26" s="11">
        <f>IF(M26="","",IF($G$15=1,50,(_xlfn.RANK.AVG(M26,$M$19:$M$1518,1)-1)/($G$15-1)*100))</f>
        <v/>
      </c>
      <c r="R26" s="11">
        <f>IF(N26="","",IF($G$16=1,50,(_xlfn.RANK.AVG(N26,$N$19:$N$1518,1)-1)/($G$16-1)*100))</f>
        <v/>
      </c>
      <c r="S26" s="11">
        <f>IF(COUNT(O26:R26)=4,ROUND(AVERAGE(O26:R26),6),"")</f>
        <v/>
      </c>
      <c r="U26">
        <f>IF(AND(ISNUMBER('자료_한국심리'!$A10),ISNUMBER('자료_한국심리'!$B10)),'자료_한국심리'!$A10,"")</f>
        <v/>
      </c>
      <c r="V26">
        <f>IF(AND(ISNUMBER('자료_한국심리'!$D10),ISNUMBER('자료_한국심리'!$E10)),'자료_한국심리'!$D10,"")</f>
        <v/>
      </c>
      <c r="W26">
        <f>IF(AND(ISNUMBER('자료_한국심리'!$G10),ISNUMBER('자료_한국심리'!$H10)),'자료_한국심리'!$G10,"")</f>
        <v/>
      </c>
      <c r="X26">
        <f>IF(AND(ISNUMBER('자료_한국심리'!$J10),ISNUMBER('자료_한국심리'!$K10)),'자료_한국심리'!$J10,"")</f>
        <v/>
      </c>
      <c r="Y26">
        <f>IF(AND(ISNUMBER('자료_한국심리'!$M10),ISNUMBER('자료_한국심리'!$N10)),'자료_한국심리'!$M10,"")</f>
        <v/>
      </c>
    </row>
    <row r="27">
      <c r="A27" s="10">
        <f>IF(9&gt;$E$5,"",SMALL($U$19:$U$4018,$E$6+9))</f>
        <v/>
      </c>
      <c r="B27" s="29">
        <f>IF(A27="","",INDEX('자료_한국심리'!$B$3:$B$4002,MATCH(A27,$U$19:$U$4018,0)))</f>
        <v/>
      </c>
      <c r="C27" s="22">
        <f>""</f>
        <v/>
      </c>
      <c r="D27" s="29">
        <f>IF(A27="","",IFERROR(INDEX('자료_한국심리'!$E$3:$E$4002,MATCH(A27,$V$19:$V$4018,0)),D26))</f>
        <v/>
      </c>
      <c r="E27" s="30">
        <f>IF(A27="","",IFERROR(INDEX('자료_한국심리'!$H$3:$H$4002,MATCH(A27,$W$19:$W$4018,0)),E26))</f>
        <v/>
      </c>
      <c r="F27" s="30">
        <f>IF(A27="","",IFERROR(INDEX('자료_한국심리'!$K$3:$K$4002,MATCH(A27,$X$19:$X$4018,0)),F26))</f>
        <v/>
      </c>
      <c r="G27" s="30">
        <f>IF(AND(ISNUMBER(E27),ISNUMBER(F27)),ROUND(E27-F27,6),"")</f>
        <v/>
      </c>
      <c r="H27" s="25">
        <f>IF(A27="","",IFERROR(INDEX('자료_한국심리'!$N$3:$N$4002,MATCH(A27,$Y$19:$Y$4018,0)),H26))</f>
        <v/>
      </c>
      <c r="I27" s="31">
        <f>""</f>
        <v/>
      </c>
      <c r="J27">
        <f>IF(A27="",0,IF(A27&gt;$B$5,1,0))</f>
        <v/>
      </c>
      <c r="K27" s="29">
        <f>IF(AND(J27=1,ISNUMBER(D27)),D27,"")</f>
        <v/>
      </c>
      <c r="L27" s="30">
        <f>IF(AND(J27=1,ISNUMBER(G27)),G27,"")</f>
        <v/>
      </c>
      <c r="M27" s="22">
        <f>IF(AND(J27=1,ISNUMBER(C27)),C27,"")</f>
        <v/>
      </c>
      <c r="N27" s="31">
        <f>IF(AND(J27=1,ISNUMBER(I27)),I27,"")</f>
        <v/>
      </c>
      <c r="O27" s="11">
        <f>IF(K27="","",100-IF($G$13=1,50,(_xlfn.RANK.AVG(K27,$K$19:$K$1518,1)-1)/($G$13-1)*100))</f>
        <v/>
      </c>
      <c r="P27" s="11">
        <f>IF(L27="","",100-IF($G$14=1,50,(_xlfn.RANK.AVG(L27,$L$19:$L$1518,1)-1)/($G$14-1)*100))</f>
        <v/>
      </c>
      <c r="Q27" s="11">
        <f>IF(M27="","",IF($G$15=1,50,(_xlfn.RANK.AVG(M27,$M$19:$M$1518,1)-1)/($G$15-1)*100))</f>
        <v/>
      </c>
      <c r="R27" s="11">
        <f>IF(N27="","",IF($G$16=1,50,(_xlfn.RANK.AVG(N27,$N$19:$N$1518,1)-1)/($G$16-1)*100))</f>
        <v/>
      </c>
      <c r="S27" s="11">
        <f>IF(COUNT(O27:R27)=4,ROUND(AVERAGE(O27:R27),6),"")</f>
        <v/>
      </c>
      <c r="U27">
        <f>IF(AND(ISNUMBER('자료_한국심리'!$A11),ISNUMBER('자료_한국심리'!$B11)),'자료_한국심리'!$A11,"")</f>
        <v/>
      </c>
      <c r="V27">
        <f>IF(AND(ISNUMBER('자료_한국심리'!$D11),ISNUMBER('자료_한국심리'!$E11)),'자료_한국심리'!$D11,"")</f>
        <v/>
      </c>
      <c r="W27">
        <f>IF(AND(ISNUMBER('자료_한국심리'!$G11),ISNUMBER('자료_한국심리'!$H11)),'자료_한국심리'!$G11,"")</f>
        <v/>
      </c>
      <c r="X27">
        <f>IF(AND(ISNUMBER('자료_한국심리'!$J11),ISNUMBER('자료_한국심리'!$K11)),'자료_한국심리'!$J11,"")</f>
        <v/>
      </c>
      <c r="Y27">
        <f>IF(AND(ISNUMBER('자료_한국심리'!$M11),ISNUMBER('자료_한국심리'!$N11)),'자료_한국심리'!$M11,"")</f>
        <v/>
      </c>
    </row>
    <row r="28">
      <c r="A28" s="10">
        <f>IF(10&gt;$E$5,"",SMALL($U$19:$U$4018,$E$6+10))</f>
        <v/>
      </c>
      <c r="B28" s="29">
        <f>IF(A28="","",INDEX('자료_한국심리'!$B$3:$B$4002,MATCH(A28,$U$19:$U$4018,0)))</f>
        <v/>
      </c>
      <c r="C28" s="22">
        <f>""</f>
        <v/>
      </c>
      <c r="D28" s="29">
        <f>IF(A28="","",IFERROR(INDEX('자료_한국심리'!$E$3:$E$4002,MATCH(A28,$V$19:$V$4018,0)),D27))</f>
        <v/>
      </c>
      <c r="E28" s="30">
        <f>IF(A28="","",IFERROR(INDEX('자료_한국심리'!$H$3:$H$4002,MATCH(A28,$W$19:$W$4018,0)),E27))</f>
        <v/>
      </c>
      <c r="F28" s="30">
        <f>IF(A28="","",IFERROR(INDEX('자료_한국심리'!$K$3:$K$4002,MATCH(A28,$X$19:$X$4018,0)),F27))</f>
        <v/>
      </c>
      <c r="G28" s="30">
        <f>IF(AND(ISNUMBER(E28),ISNUMBER(F28)),ROUND(E28-F28,6),"")</f>
        <v/>
      </c>
      <c r="H28" s="25">
        <f>IF(A28="","",IFERROR(INDEX('자료_한국심리'!$N$3:$N$4002,MATCH(A28,$Y$19:$Y$4018,0)),H27))</f>
        <v/>
      </c>
      <c r="I28" s="31">
        <f>""</f>
        <v/>
      </c>
      <c r="J28">
        <f>IF(A28="",0,IF(A28&gt;$B$5,1,0))</f>
        <v/>
      </c>
      <c r="K28" s="29">
        <f>IF(AND(J28=1,ISNUMBER(D28)),D28,"")</f>
        <v/>
      </c>
      <c r="L28" s="30">
        <f>IF(AND(J28=1,ISNUMBER(G28)),G28,"")</f>
        <v/>
      </c>
      <c r="M28" s="22">
        <f>IF(AND(J28=1,ISNUMBER(C28)),C28,"")</f>
        <v/>
      </c>
      <c r="N28" s="31">
        <f>IF(AND(J28=1,ISNUMBER(I28)),I28,"")</f>
        <v/>
      </c>
      <c r="O28" s="11">
        <f>IF(K28="","",100-IF($G$13=1,50,(_xlfn.RANK.AVG(K28,$K$19:$K$1518,1)-1)/($G$13-1)*100))</f>
        <v/>
      </c>
      <c r="P28" s="11">
        <f>IF(L28="","",100-IF($G$14=1,50,(_xlfn.RANK.AVG(L28,$L$19:$L$1518,1)-1)/($G$14-1)*100))</f>
        <v/>
      </c>
      <c r="Q28" s="11">
        <f>IF(M28="","",IF($G$15=1,50,(_xlfn.RANK.AVG(M28,$M$19:$M$1518,1)-1)/($G$15-1)*100))</f>
        <v/>
      </c>
      <c r="R28" s="11">
        <f>IF(N28="","",IF($G$16=1,50,(_xlfn.RANK.AVG(N28,$N$19:$N$1518,1)-1)/($G$16-1)*100))</f>
        <v/>
      </c>
      <c r="S28" s="11">
        <f>IF(COUNT(O28:R28)=4,ROUND(AVERAGE(O28:R28),6),"")</f>
        <v/>
      </c>
      <c r="U28">
        <f>IF(AND(ISNUMBER('자료_한국심리'!$A12),ISNUMBER('자료_한국심리'!$B12)),'자료_한국심리'!$A12,"")</f>
        <v/>
      </c>
      <c r="V28">
        <f>IF(AND(ISNUMBER('자료_한국심리'!$D12),ISNUMBER('자료_한국심리'!$E12)),'자료_한국심리'!$D12,"")</f>
        <v/>
      </c>
      <c r="W28">
        <f>IF(AND(ISNUMBER('자료_한국심리'!$G12),ISNUMBER('자료_한국심리'!$H12)),'자료_한국심리'!$G12,"")</f>
        <v/>
      </c>
      <c r="X28">
        <f>IF(AND(ISNUMBER('자료_한국심리'!$J12),ISNUMBER('자료_한국심리'!$K12)),'자료_한국심리'!$J12,"")</f>
        <v/>
      </c>
      <c r="Y28">
        <f>IF(AND(ISNUMBER('자료_한국심리'!$M12),ISNUMBER('자료_한국심리'!$N12)),'자료_한국심리'!$M12,"")</f>
        <v/>
      </c>
    </row>
    <row r="29">
      <c r="A29" s="10">
        <f>IF(11&gt;$E$5,"",SMALL($U$19:$U$4018,$E$6+11))</f>
        <v/>
      </c>
      <c r="B29" s="29">
        <f>IF(A29="","",INDEX('자료_한국심리'!$B$3:$B$4002,MATCH(A29,$U$19:$U$4018,0)))</f>
        <v/>
      </c>
      <c r="C29" s="22">
        <f>""</f>
        <v/>
      </c>
      <c r="D29" s="29">
        <f>IF(A29="","",IFERROR(INDEX('자료_한국심리'!$E$3:$E$4002,MATCH(A29,$V$19:$V$4018,0)),D28))</f>
        <v/>
      </c>
      <c r="E29" s="30">
        <f>IF(A29="","",IFERROR(INDEX('자료_한국심리'!$H$3:$H$4002,MATCH(A29,$W$19:$W$4018,0)),E28))</f>
        <v/>
      </c>
      <c r="F29" s="30">
        <f>IF(A29="","",IFERROR(INDEX('자료_한국심리'!$K$3:$K$4002,MATCH(A29,$X$19:$X$4018,0)),F28))</f>
        <v/>
      </c>
      <c r="G29" s="30">
        <f>IF(AND(ISNUMBER(E29),ISNUMBER(F29)),ROUND(E29-F29,6),"")</f>
        <v/>
      </c>
      <c r="H29" s="25">
        <f>IF(A29="","",IFERROR(INDEX('자료_한국심리'!$N$3:$N$4002,MATCH(A29,$Y$19:$Y$4018,0)),H28))</f>
        <v/>
      </c>
      <c r="I29" s="31">
        <f>""</f>
        <v/>
      </c>
      <c r="J29">
        <f>IF(A29="",0,IF(A29&gt;$B$5,1,0))</f>
        <v/>
      </c>
      <c r="K29" s="29">
        <f>IF(AND(J29=1,ISNUMBER(D29)),D29,"")</f>
        <v/>
      </c>
      <c r="L29" s="30">
        <f>IF(AND(J29=1,ISNUMBER(G29)),G29,"")</f>
        <v/>
      </c>
      <c r="M29" s="22">
        <f>IF(AND(J29=1,ISNUMBER(C29)),C29,"")</f>
        <v/>
      </c>
      <c r="N29" s="31">
        <f>IF(AND(J29=1,ISNUMBER(I29)),I29,"")</f>
        <v/>
      </c>
      <c r="O29" s="11">
        <f>IF(K29="","",100-IF($G$13=1,50,(_xlfn.RANK.AVG(K29,$K$19:$K$1518,1)-1)/($G$13-1)*100))</f>
        <v/>
      </c>
      <c r="P29" s="11">
        <f>IF(L29="","",100-IF($G$14=1,50,(_xlfn.RANK.AVG(L29,$L$19:$L$1518,1)-1)/($G$14-1)*100))</f>
        <v/>
      </c>
      <c r="Q29" s="11">
        <f>IF(M29="","",IF($G$15=1,50,(_xlfn.RANK.AVG(M29,$M$19:$M$1518,1)-1)/($G$15-1)*100))</f>
        <v/>
      </c>
      <c r="R29" s="11">
        <f>IF(N29="","",IF($G$16=1,50,(_xlfn.RANK.AVG(N29,$N$19:$N$1518,1)-1)/($G$16-1)*100))</f>
        <v/>
      </c>
      <c r="S29" s="11">
        <f>IF(COUNT(O29:R29)=4,ROUND(AVERAGE(O29:R29),6),"")</f>
        <v/>
      </c>
      <c r="U29">
        <f>IF(AND(ISNUMBER('자료_한국심리'!$A13),ISNUMBER('자료_한국심리'!$B13)),'자료_한국심리'!$A13,"")</f>
        <v/>
      </c>
      <c r="V29">
        <f>IF(AND(ISNUMBER('자료_한국심리'!$D13),ISNUMBER('자료_한국심리'!$E13)),'자료_한국심리'!$D13,"")</f>
        <v/>
      </c>
      <c r="W29">
        <f>IF(AND(ISNUMBER('자료_한국심리'!$G13),ISNUMBER('자료_한국심리'!$H13)),'자료_한국심리'!$G13,"")</f>
        <v/>
      </c>
      <c r="X29">
        <f>IF(AND(ISNUMBER('자료_한국심리'!$J13),ISNUMBER('자료_한국심리'!$K13)),'자료_한국심리'!$J13,"")</f>
        <v/>
      </c>
      <c r="Y29">
        <f>IF(AND(ISNUMBER('자료_한국심리'!$M13),ISNUMBER('자료_한국심리'!$N13)),'자료_한국심리'!$M13,"")</f>
        <v/>
      </c>
    </row>
    <row r="30">
      <c r="A30" s="10">
        <f>IF(12&gt;$E$5,"",SMALL($U$19:$U$4018,$E$6+12))</f>
        <v/>
      </c>
      <c r="B30" s="29">
        <f>IF(A30="","",INDEX('자료_한국심리'!$B$3:$B$4002,MATCH(A30,$U$19:$U$4018,0)))</f>
        <v/>
      </c>
      <c r="C30" s="22">
        <f>""</f>
        <v/>
      </c>
      <c r="D30" s="29">
        <f>IF(A30="","",IFERROR(INDEX('자료_한국심리'!$E$3:$E$4002,MATCH(A30,$V$19:$V$4018,0)),D29))</f>
        <v/>
      </c>
      <c r="E30" s="30">
        <f>IF(A30="","",IFERROR(INDEX('자료_한국심리'!$H$3:$H$4002,MATCH(A30,$W$19:$W$4018,0)),E29))</f>
        <v/>
      </c>
      <c r="F30" s="30">
        <f>IF(A30="","",IFERROR(INDEX('자료_한국심리'!$K$3:$K$4002,MATCH(A30,$X$19:$X$4018,0)),F29))</f>
        <v/>
      </c>
      <c r="G30" s="30">
        <f>IF(AND(ISNUMBER(E30),ISNUMBER(F30)),ROUND(E30-F30,6),"")</f>
        <v/>
      </c>
      <c r="H30" s="25">
        <f>IF(A30="","",IFERROR(INDEX('자료_한국심리'!$N$3:$N$4002,MATCH(A30,$Y$19:$Y$4018,0)),H29))</f>
        <v/>
      </c>
      <c r="I30" s="31">
        <f>""</f>
        <v/>
      </c>
      <c r="J30">
        <f>IF(A30="",0,IF(A30&gt;$B$5,1,0))</f>
        <v/>
      </c>
      <c r="K30" s="29">
        <f>IF(AND(J30=1,ISNUMBER(D30)),D30,"")</f>
        <v/>
      </c>
      <c r="L30" s="30">
        <f>IF(AND(J30=1,ISNUMBER(G30)),G30,"")</f>
        <v/>
      </c>
      <c r="M30" s="22">
        <f>IF(AND(J30=1,ISNUMBER(C30)),C30,"")</f>
        <v/>
      </c>
      <c r="N30" s="31">
        <f>IF(AND(J30=1,ISNUMBER(I30)),I30,"")</f>
        <v/>
      </c>
      <c r="O30" s="11">
        <f>IF(K30="","",100-IF($G$13=1,50,(_xlfn.RANK.AVG(K30,$K$19:$K$1518,1)-1)/($G$13-1)*100))</f>
        <v/>
      </c>
      <c r="P30" s="11">
        <f>IF(L30="","",100-IF($G$14=1,50,(_xlfn.RANK.AVG(L30,$L$19:$L$1518,1)-1)/($G$14-1)*100))</f>
        <v/>
      </c>
      <c r="Q30" s="11">
        <f>IF(M30="","",IF($G$15=1,50,(_xlfn.RANK.AVG(M30,$M$19:$M$1518,1)-1)/($G$15-1)*100))</f>
        <v/>
      </c>
      <c r="R30" s="11">
        <f>IF(N30="","",IF($G$16=1,50,(_xlfn.RANK.AVG(N30,$N$19:$N$1518,1)-1)/($G$16-1)*100))</f>
        <v/>
      </c>
      <c r="S30" s="11">
        <f>IF(COUNT(O30:R30)=4,ROUND(AVERAGE(O30:R30),6),"")</f>
        <v/>
      </c>
      <c r="U30">
        <f>IF(AND(ISNUMBER('자료_한국심리'!$A14),ISNUMBER('자료_한국심리'!$B14)),'자료_한국심리'!$A14,"")</f>
        <v/>
      </c>
      <c r="V30">
        <f>IF(AND(ISNUMBER('자료_한국심리'!$D14),ISNUMBER('자료_한국심리'!$E14)),'자료_한국심리'!$D14,"")</f>
        <v/>
      </c>
      <c r="W30">
        <f>IF(AND(ISNUMBER('자료_한국심리'!$G14),ISNUMBER('자료_한국심리'!$H14)),'자료_한국심리'!$G14,"")</f>
        <v/>
      </c>
      <c r="X30">
        <f>IF(AND(ISNUMBER('자료_한국심리'!$J14),ISNUMBER('자료_한국심리'!$K14)),'자료_한국심리'!$J14,"")</f>
        <v/>
      </c>
      <c r="Y30">
        <f>IF(AND(ISNUMBER('자료_한국심리'!$M14),ISNUMBER('자료_한국심리'!$N14)),'자료_한국심리'!$M14,"")</f>
        <v/>
      </c>
    </row>
    <row r="31">
      <c r="A31" s="10">
        <f>IF(13&gt;$E$5,"",SMALL($U$19:$U$4018,$E$6+13))</f>
        <v/>
      </c>
      <c r="B31" s="29">
        <f>IF(A31="","",INDEX('자료_한국심리'!$B$3:$B$4002,MATCH(A31,$U$19:$U$4018,0)))</f>
        <v/>
      </c>
      <c r="C31" s="22">
        <f>""</f>
        <v/>
      </c>
      <c r="D31" s="29">
        <f>IF(A31="","",IFERROR(INDEX('자료_한국심리'!$E$3:$E$4002,MATCH(A31,$V$19:$V$4018,0)),D30))</f>
        <v/>
      </c>
      <c r="E31" s="30">
        <f>IF(A31="","",IFERROR(INDEX('자료_한국심리'!$H$3:$H$4002,MATCH(A31,$W$19:$W$4018,0)),E30))</f>
        <v/>
      </c>
      <c r="F31" s="30">
        <f>IF(A31="","",IFERROR(INDEX('자료_한국심리'!$K$3:$K$4002,MATCH(A31,$X$19:$X$4018,0)),F30))</f>
        <v/>
      </c>
      <c r="G31" s="30">
        <f>IF(AND(ISNUMBER(E31),ISNUMBER(F31)),ROUND(E31-F31,6),"")</f>
        <v/>
      </c>
      <c r="H31" s="25">
        <f>IF(A31="","",IFERROR(INDEX('자료_한국심리'!$N$3:$N$4002,MATCH(A31,$Y$19:$Y$4018,0)),H30))</f>
        <v/>
      </c>
      <c r="I31" s="31">
        <f>""</f>
        <v/>
      </c>
      <c r="J31">
        <f>IF(A31="",0,IF(A31&gt;$B$5,1,0))</f>
        <v/>
      </c>
      <c r="K31" s="29">
        <f>IF(AND(J31=1,ISNUMBER(D31)),D31,"")</f>
        <v/>
      </c>
      <c r="L31" s="30">
        <f>IF(AND(J31=1,ISNUMBER(G31)),G31,"")</f>
        <v/>
      </c>
      <c r="M31" s="22">
        <f>IF(AND(J31=1,ISNUMBER(C31)),C31,"")</f>
        <v/>
      </c>
      <c r="N31" s="31">
        <f>IF(AND(J31=1,ISNUMBER(I31)),I31,"")</f>
        <v/>
      </c>
      <c r="O31" s="11">
        <f>IF(K31="","",100-IF($G$13=1,50,(_xlfn.RANK.AVG(K31,$K$19:$K$1518,1)-1)/($G$13-1)*100))</f>
        <v/>
      </c>
      <c r="P31" s="11">
        <f>IF(L31="","",100-IF($G$14=1,50,(_xlfn.RANK.AVG(L31,$L$19:$L$1518,1)-1)/($G$14-1)*100))</f>
        <v/>
      </c>
      <c r="Q31" s="11">
        <f>IF(M31="","",IF($G$15=1,50,(_xlfn.RANK.AVG(M31,$M$19:$M$1518,1)-1)/($G$15-1)*100))</f>
        <v/>
      </c>
      <c r="R31" s="11">
        <f>IF(N31="","",IF($G$16=1,50,(_xlfn.RANK.AVG(N31,$N$19:$N$1518,1)-1)/($G$16-1)*100))</f>
        <v/>
      </c>
      <c r="S31" s="11">
        <f>IF(COUNT(O31:R31)=4,ROUND(AVERAGE(O31:R31),6),"")</f>
        <v/>
      </c>
      <c r="U31">
        <f>IF(AND(ISNUMBER('자료_한국심리'!$A15),ISNUMBER('자료_한국심리'!$B15)),'자료_한국심리'!$A15,"")</f>
        <v/>
      </c>
      <c r="V31">
        <f>IF(AND(ISNUMBER('자료_한국심리'!$D15),ISNUMBER('자료_한국심리'!$E15)),'자료_한국심리'!$D15,"")</f>
        <v/>
      </c>
      <c r="W31">
        <f>IF(AND(ISNUMBER('자료_한국심리'!$G15),ISNUMBER('자료_한국심리'!$H15)),'자료_한국심리'!$G15,"")</f>
        <v/>
      </c>
      <c r="X31">
        <f>IF(AND(ISNUMBER('자료_한국심리'!$J15),ISNUMBER('자료_한국심리'!$K15)),'자료_한국심리'!$J15,"")</f>
        <v/>
      </c>
      <c r="Y31">
        <f>IF(AND(ISNUMBER('자료_한국심리'!$M15),ISNUMBER('자료_한국심리'!$N15)),'자료_한국심리'!$M15,"")</f>
        <v/>
      </c>
    </row>
    <row r="32">
      <c r="A32" s="10">
        <f>IF(14&gt;$E$5,"",SMALL($U$19:$U$4018,$E$6+14))</f>
        <v/>
      </c>
      <c r="B32" s="29">
        <f>IF(A32="","",INDEX('자료_한국심리'!$B$3:$B$4002,MATCH(A32,$U$19:$U$4018,0)))</f>
        <v/>
      </c>
      <c r="C32" s="22">
        <f>""</f>
        <v/>
      </c>
      <c r="D32" s="29">
        <f>IF(A32="","",IFERROR(INDEX('자료_한국심리'!$E$3:$E$4002,MATCH(A32,$V$19:$V$4018,0)),D31))</f>
        <v/>
      </c>
      <c r="E32" s="30">
        <f>IF(A32="","",IFERROR(INDEX('자료_한국심리'!$H$3:$H$4002,MATCH(A32,$W$19:$W$4018,0)),E31))</f>
        <v/>
      </c>
      <c r="F32" s="30">
        <f>IF(A32="","",IFERROR(INDEX('자료_한국심리'!$K$3:$K$4002,MATCH(A32,$X$19:$X$4018,0)),F31))</f>
        <v/>
      </c>
      <c r="G32" s="30">
        <f>IF(AND(ISNUMBER(E32),ISNUMBER(F32)),ROUND(E32-F32,6),"")</f>
        <v/>
      </c>
      <c r="H32" s="25">
        <f>IF(A32="","",IFERROR(INDEX('자료_한국심리'!$N$3:$N$4002,MATCH(A32,$Y$19:$Y$4018,0)),H31))</f>
        <v/>
      </c>
      <c r="I32" s="31">
        <f>""</f>
        <v/>
      </c>
      <c r="J32">
        <f>IF(A32="",0,IF(A32&gt;$B$5,1,0))</f>
        <v/>
      </c>
      <c r="K32" s="29">
        <f>IF(AND(J32=1,ISNUMBER(D32)),D32,"")</f>
        <v/>
      </c>
      <c r="L32" s="30">
        <f>IF(AND(J32=1,ISNUMBER(G32)),G32,"")</f>
        <v/>
      </c>
      <c r="M32" s="22">
        <f>IF(AND(J32=1,ISNUMBER(C32)),C32,"")</f>
        <v/>
      </c>
      <c r="N32" s="31">
        <f>IF(AND(J32=1,ISNUMBER(I32)),I32,"")</f>
        <v/>
      </c>
      <c r="O32" s="11">
        <f>IF(K32="","",100-IF($G$13=1,50,(_xlfn.RANK.AVG(K32,$K$19:$K$1518,1)-1)/($G$13-1)*100))</f>
        <v/>
      </c>
      <c r="P32" s="11">
        <f>IF(L32="","",100-IF($G$14=1,50,(_xlfn.RANK.AVG(L32,$L$19:$L$1518,1)-1)/($G$14-1)*100))</f>
        <v/>
      </c>
      <c r="Q32" s="11">
        <f>IF(M32="","",IF($G$15=1,50,(_xlfn.RANK.AVG(M32,$M$19:$M$1518,1)-1)/($G$15-1)*100))</f>
        <v/>
      </c>
      <c r="R32" s="11">
        <f>IF(N32="","",IF($G$16=1,50,(_xlfn.RANK.AVG(N32,$N$19:$N$1518,1)-1)/($G$16-1)*100))</f>
        <v/>
      </c>
      <c r="S32" s="11">
        <f>IF(COUNT(O32:R32)=4,ROUND(AVERAGE(O32:R32),6),"")</f>
        <v/>
      </c>
      <c r="U32">
        <f>IF(AND(ISNUMBER('자료_한국심리'!$A16),ISNUMBER('자료_한국심리'!$B16)),'자료_한국심리'!$A16,"")</f>
        <v/>
      </c>
      <c r="V32">
        <f>IF(AND(ISNUMBER('자료_한국심리'!$D16),ISNUMBER('자료_한국심리'!$E16)),'자료_한국심리'!$D16,"")</f>
        <v/>
      </c>
      <c r="W32">
        <f>IF(AND(ISNUMBER('자료_한국심리'!$G16),ISNUMBER('자료_한국심리'!$H16)),'자료_한국심리'!$G16,"")</f>
        <v/>
      </c>
      <c r="X32">
        <f>IF(AND(ISNUMBER('자료_한국심리'!$J16),ISNUMBER('자료_한국심리'!$K16)),'자료_한국심리'!$J16,"")</f>
        <v/>
      </c>
      <c r="Y32">
        <f>IF(AND(ISNUMBER('자료_한국심리'!$M16),ISNUMBER('자료_한국심리'!$N16)),'자료_한국심리'!$M16,"")</f>
        <v/>
      </c>
    </row>
    <row r="33">
      <c r="A33" s="10">
        <f>IF(15&gt;$E$5,"",SMALL($U$19:$U$4018,$E$6+15))</f>
        <v/>
      </c>
      <c r="B33" s="29">
        <f>IF(A33="","",INDEX('자료_한국심리'!$B$3:$B$4002,MATCH(A33,$U$19:$U$4018,0)))</f>
        <v/>
      </c>
      <c r="C33" s="22">
        <f>""</f>
        <v/>
      </c>
      <c r="D33" s="29">
        <f>IF(A33="","",IFERROR(INDEX('자료_한국심리'!$E$3:$E$4002,MATCH(A33,$V$19:$V$4018,0)),D32))</f>
        <v/>
      </c>
      <c r="E33" s="30">
        <f>IF(A33="","",IFERROR(INDEX('자료_한국심리'!$H$3:$H$4002,MATCH(A33,$W$19:$W$4018,0)),E32))</f>
        <v/>
      </c>
      <c r="F33" s="30">
        <f>IF(A33="","",IFERROR(INDEX('자료_한국심리'!$K$3:$K$4002,MATCH(A33,$X$19:$X$4018,0)),F32))</f>
        <v/>
      </c>
      <c r="G33" s="30">
        <f>IF(AND(ISNUMBER(E33),ISNUMBER(F33)),ROUND(E33-F33,6),"")</f>
        <v/>
      </c>
      <c r="H33" s="25">
        <f>IF(A33="","",IFERROR(INDEX('자료_한국심리'!$N$3:$N$4002,MATCH(A33,$Y$19:$Y$4018,0)),H32))</f>
        <v/>
      </c>
      <c r="I33" s="31">
        <f>""</f>
        <v/>
      </c>
      <c r="J33">
        <f>IF(A33="",0,IF(A33&gt;$B$5,1,0))</f>
        <v/>
      </c>
      <c r="K33" s="29">
        <f>IF(AND(J33=1,ISNUMBER(D33)),D33,"")</f>
        <v/>
      </c>
      <c r="L33" s="30">
        <f>IF(AND(J33=1,ISNUMBER(G33)),G33,"")</f>
        <v/>
      </c>
      <c r="M33" s="22">
        <f>IF(AND(J33=1,ISNUMBER(C33)),C33,"")</f>
        <v/>
      </c>
      <c r="N33" s="31">
        <f>IF(AND(J33=1,ISNUMBER(I33)),I33,"")</f>
        <v/>
      </c>
      <c r="O33" s="11">
        <f>IF(K33="","",100-IF($G$13=1,50,(_xlfn.RANK.AVG(K33,$K$19:$K$1518,1)-1)/($G$13-1)*100))</f>
        <v/>
      </c>
      <c r="P33" s="11">
        <f>IF(L33="","",100-IF($G$14=1,50,(_xlfn.RANK.AVG(L33,$L$19:$L$1518,1)-1)/($G$14-1)*100))</f>
        <v/>
      </c>
      <c r="Q33" s="11">
        <f>IF(M33="","",IF($G$15=1,50,(_xlfn.RANK.AVG(M33,$M$19:$M$1518,1)-1)/($G$15-1)*100))</f>
        <v/>
      </c>
      <c r="R33" s="11">
        <f>IF(N33="","",IF($G$16=1,50,(_xlfn.RANK.AVG(N33,$N$19:$N$1518,1)-1)/($G$16-1)*100))</f>
        <v/>
      </c>
      <c r="S33" s="11">
        <f>IF(COUNT(O33:R33)=4,ROUND(AVERAGE(O33:R33),6),"")</f>
        <v/>
      </c>
      <c r="U33">
        <f>IF(AND(ISNUMBER('자료_한국심리'!$A17),ISNUMBER('자료_한국심리'!$B17)),'자료_한국심리'!$A17,"")</f>
        <v/>
      </c>
      <c r="V33">
        <f>IF(AND(ISNUMBER('자료_한국심리'!$D17),ISNUMBER('자료_한국심리'!$E17)),'자료_한국심리'!$D17,"")</f>
        <v/>
      </c>
      <c r="W33">
        <f>IF(AND(ISNUMBER('자료_한국심리'!$G17),ISNUMBER('자료_한국심리'!$H17)),'자료_한국심리'!$G17,"")</f>
        <v/>
      </c>
      <c r="X33">
        <f>IF(AND(ISNUMBER('자료_한국심리'!$J17),ISNUMBER('자료_한국심리'!$K17)),'자료_한국심리'!$J17,"")</f>
        <v/>
      </c>
      <c r="Y33">
        <f>IF(AND(ISNUMBER('자료_한국심리'!$M17),ISNUMBER('자료_한국심리'!$N17)),'자료_한국심리'!$M17,"")</f>
        <v/>
      </c>
    </row>
    <row r="34">
      <c r="A34" s="10">
        <f>IF(16&gt;$E$5,"",SMALL($U$19:$U$4018,$E$6+16))</f>
        <v/>
      </c>
      <c r="B34" s="29">
        <f>IF(A34="","",INDEX('자료_한국심리'!$B$3:$B$4002,MATCH(A34,$U$19:$U$4018,0)))</f>
        <v/>
      </c>
      <c r="C34" s="22">
        <f>""</f>
        <v/>
      </c>
      <c r="D34" s="29">
        <f>IF(A34="","",IFERROR(INDEX('자료_한국심리'!$E$3:$E$4002,MATCH(A34,$V$19:$V$4018,0)),D33))</f>
        <v/>
      </c>
      <c r="E34" s="30">
        <f>IF(A34="","",IFERROR(INDEX('자료_한국심리'!$H$3:$H$4002,MATCH(A34,$W$19:$W$4018,0)),E33))</f>
        <v/>
      </c>
      <c r="F34" s="30">
        <f>IF(A34="","",IFERROR(INDEX('자료_한국심리'!$K$3:$K$4002,MATCH(A34,$X$19:$X$4018,0)),F33))</f>
        <v/>
      </c>
      <c r="G34" s="30">
        <f>IF(AND(ISNUMBER(E34),ISNUMBER(F34)),ROUND(E34-F34,6),"")</f>
        <v/>
      </c>
      <c r="H34" s="25">
        <f>IF(A34="","",IFERROR(INDEX('자료_한국심리'!$N$3:$N$4002,MATCH(A34,$Y$19:$Y$4018,0)),H33))</f>
        <v/>
      </c>
      <c r="I34" s="31">
        <f>""</f>
        <v/>
      </c>
      <c r="J34">
        <f>IF(A34="",0,IF(A34&gt;$B$5,1,0))</f>
        <v/>
      </c>
      <c r="K34" s="29">
        <f>IF(AND(J34=1,ISNUMBER(D34)),D34,"")</f>
        <v/>
      </c>
      <c r="L34" s="30">
        <f>IF(AND(J34=1,ISNUMBER(G34)),G34,"")</f>
        <v/>
      </c>
      <c r="M34" s="22">
        <f>IF(AND(J34=1,ISNUMBER(C34)),C34,"")</f>
        <v/>
      </c>
      <c r="N34" s="31">
        <f>IF(AND(J34=1,ISNUMBER(I34)),I34,"")</f>
        <v/>
      </c>
      <c r="O34" s="11">
        <f>IF(K34="","",100-IF($G$13=1,50,(_xlfn.RANK.AVG(K34,$K$19:$K$1518,1)-1)/($G$13-1)*100))</f>
        <v/>
      </c>
      <c r="P34" s="11">
        <f>IF(L34="","",100-IF($G$14=1,50,(_xlfn.RANK.AVG(L34,$L$19:$L$1518,1)-1)/($G$14-1)*100))</f>
        <v/>
      </c>
      <c r="Q34" s="11">
        <f>IF(M34="","",IF($G$15=1,50,(_xlfn.RANK.AVG(M34,$M$19:$M$1518,1)-1)/($G$15-1)*100))</f>
        <v/>
      </c>
      <c r="R34" s="11">
        <f>IF(N34="","",IF($G$16=1,50,(_xlfn.RANK.AVG(N34,$N$19:$N$1518,1)-1)/($G$16-1)*100))</f>
        <v/>
      </c>
      <c r="S34" s="11">
        <f>IF(COUNT(O34:R34)=4,ROUND(AVERAGE(O34:R34),6),"")</f>
        <v/>
      </c>
      <c r="U34">
        <f>IF(AND(ISNUMBER('자료_한국심리'!$A18),ISNUMBER('자료_한국심리'!$B18)),'자료_한국심리'!$A18,"")</f>
        <v/>
      </c>
      <c r="V34">
        <f>IF(AND(ISNUMBER('자료_한국심리'!$D18),ISNUMBER('자료_한국심리'!$E18)),'자료_한국심리'!$D18,"")</f>
        <v/>
      </c>
      <c r="W34">
        <f>IF(AND(ISNUMBER('자료_한국심리'!$G18),ISNUMBER('자료_한국심리'!$H18)),'자료_한국심리'!$G18,"")</f>
        <v/>
      </c>
      <c r="X34">
        <f>IF(AND(ISNUMBER('자료_한국심리'!$J18),ISNUMBER('자료_한국심리'!$K18)),'자료_한국심리'!$J18,"")</f>
        <v/>
      </c>
      <c r="Y34">
        <f>IF(AND(ISNUMBER('자료_한국심리'!$M18),ISNUMBER('자료_한국심리'!$N18)),'자료_한국심리'!$M18,"")</f>
        <v/>
      </c>
    </row>
    <row r="35">
      <c r="A35" s="10">
        <f>IF(17&gt;$E$5,"",SMALL($U$19:$U$4018,$E$6+17))</f>
        <v/>
      </c>
      <c r="B35" s="29">
        <f>IF(A35="","",INDEX('자료_한국심리'!$B$3:$B$4002,MATCH(A35,$U$19:$U$4018,0)))</f>
        <v/>
      </c>
      <c r="C35" s="22">
        <f>""</f>
        <v/>
      </c>
      <c r="D35" s="29">
        <f>IF(A35="","",IFERROR(INDEX('자료_한국심리'!$E$3:$E$4002,MATCH(A35,$V$19:$V$4018,0)),D34))</f>
        <v/>
      </c>
      <c r="E35" s="30">
        <f>IF(A35="","",IFERROR(INDEX('자료_한국심리'!$H$3:$H$4002,MATCH(A35,$W$19:$W$4018,0)),E34))</f>
        <v/>
      </c>
      <c r="F35" s="30">
        <f>IF(A35="","",IFERROR(INDEX('자료_한국심리'!$K$3:$K$4002,MATCH(A35,$X$19:$X$4018,0)),F34))</f>
        <v/>
      </c>
      <c r="G35" s="30">
        <f>IF(AND(ISNUMBER(E35),ISNUMBER(F35)),ROUND(E35-F35,6),"")</f>
        <v/>
      </c>
      <c r="H35" s="25">
        <f>IF(A35="","",IFERROR(INDEX('자료_한국심리'!$N$3:$N$4002,MATCH(A35,$Y$19:$Y$4018,0)),H34))</f>
        <v/>
      </c>
      <c r="I35" s="31">
        <f>""</f>
        <v/>
      </c>
      <c r="J35">
        <f>IF(A35="",0,IF(A35&gt;$B$5,1,0))</f>
        <v/>
      </c>
      <c r="K35" s="29">
        <f>IF(AND(J35=1,ISNUMBER(D35)),D35,"")</f>
        <v/>
      </c>
      <c r="L35" s="30">
        <f>IF(AND(J35=1,ISNUMBER(G35)),G35,"")</f>
        <v/>
      </c>
      <c r="M35" s="22">
        <f>IF(AND(J35=1,ISNUMBER(C35)),C35,"")</f>
        <v/>
      </c>
      <c r="N35" s="31">
        <f>IF(AND(J35=1,ISNUMBER(I35)),I35,"")</f>
        <v/>
      </c>
      <c r="O35" s="11">
        <f>IF(K35="","",100-IF($G$13=1,50,(_xlfn.RANK.AVG(K35,$K$19:$K$1518,1)-1)/($G$13-1)*100))</f>
        <v/>
      </c>
      <c r="P35" s="11">
        <f>IF(L35="","",100-IF($G$14=1,50,(_xlfn.RANK.AVG(L35,$L$19:$L$1518,1)-1)/($G$14-1)*100))</f>
        <v/>
      </c>
      <c r="Q35" s="11">
        <f>IF(M35="","",IF($G$15=1,50,(_xlfn.RANK.AVG(M35,$M$19:$M$1518,1)-1)/($G$15-1)*100))</f>
        <v/>
      </c>
      <c r="R35" s="11">
        <f>IF(N35="","",IF($G$16=1,50,(_xlfn.RANK.AVG(N35,$N$19:$N$1518,1)-1)/($G$16-1)*100))</f>
        <v/>
      </c>
      <c r="S35" s="11">
        <f>IF(COUNT(O35:R35)=4,ROUND(AVERAGE(O35:R35),6),"")</f>
        <v/>
      </c>
      <c r="U35">
        <f>IF(AND(ISNUMBER('자료_한국심리'!$A19),ISNUMBER('자료_한국심리'!$B19)),'자료_한국심리'!$A19,"")</f>
        <v/>
      </c>
      <c r="V35">
        <f>IF(AND(ISNUMBER('자료_한국심리'!$D19),ISNUMBER('자료_한국심리'!$E19)),'자료_한국심리'!$D19,"")</f>
        <v/>
      </c>
      <c r="W35">
        <f>IF(AND(ISNUMBER('자료_한국심리'!$G19),ISNUMBER('자료_한국심리'!$H19)),'자료_한국심리'!$G19,"")</f>
        <v/>
      </c>
      <c r="X35">
        <f>IF(AND(ISNUMBER('자료_한국심리'!$J19),ISNUMBER('자료_한국심리'!$K19)),'자료_한국심리'!$J19,"")</f>
        <v/>
      </c>
      <c r="Y35">
        <f>IF(AND(ISNUMBER('자료_한국심리'!$M19),ISNUMBER('자료_한국심리'!$N19)),'자료_한국심리'!$M19,"")</f>
        <v/>
      </c>
    </row>
    <row r="36">
      <c r="A36" s="10">
        <f>IF(18&gt;$E$5,"",SMALL($U$19:$U$4018,$E$6+18))</f>
        <v/>
      </c>
      <c r="B36" s="29">
        <f>IF(A36="","",INDEX('자료_한국심리'!$B$3:$B$4002,MATCH(A36,$U$19:$U$4018,0)))</f>
        <v/>
      </c>
      <c r="C36" s="22">
        <f>""</f>
        <v/>
      </c>
      <c r="D36" s="29">
        <f>IF(A36="","",IFERROR(INDEX('자료_한국심리'!$E$3:$E$4002,MATCH(A36,$V$19:$V$4018,0)),D35))</f>
        <v/>
      </c>
      <c r="E36" s="30">
        <f>IF(A36="","",IFERROR(INDEX('자료_한국심리'!$H$3:$H$4002,MATCH(A36,$W$19:$W$4018,0)),E35))</f>
        <v/>
      </c>
      <c r="F36" s="30">
        <f>IF(A36="","",IFERROR(INDEX('자료_한국심리'!$K$3:$K$4002,MATCH(A36,$X$19:$X$4018,0)),F35))</f>
        <v/>
      </c>
      <c r="G36" s="30">
        <f>IF(AND(ISNUMBER(E36),ISNUMBER(F36)),ROUND(E36-F36,6),"")</f>
        <v/>
      </c>
      <c r="H36" s="25">
        <f>IF(A36="","",IFERROR(INDEX('자료_한국심리'!$N$3:$N$4002,MATCH(A36,$Y$19:$Y$4018,0)),H35))</f>
        <v/>
      </c>
      <c r="I36" s="31">
        <f>""</f>
        <v/>
      </c>
      <c r="J36">
        <f>IF(A36="",0,IF(A36&gt;$B$5,1,0))</f>
        <v/>
      </c>
      <c r="K36" s="29">
        <f>IF(AND(J36=1,ISNUMBER(D36)),D36,"")</f>
        <v/>
      </c>
      <c r="L36" s="30">
        <f>IF(AND(J36=1,ISNUMBER(G36)),G36,"")</f>
        <v/>
      </c>
      <c r="M36" s="22">
        <f>IF(AND(J36=1,ISNUMBER(C36)),C36,"")</f>
        <v/>
      </c>
      <c r="N36" s="31">
        <f>IF(AND(J36=1,ISNUMBER(I36)),I36,"")</f>
        <v/>
      </c>
      <c r="O36" s="11">
        <f>IF(K36="","",100-IF($G$13=1,50,(_xlfn.RANK.AVG(K36,$K$19:$K$1518,1)-1)/($G$13-1)*100))</f>
        <v/>
      </c>
      <c r="P36" s="11">
        <f>IF(L36="","",100-IF($G$14=1,50,(_xlfn.RANK.AVG(L36,$L$19:$L$1518,1)-1)/($G$14-1)*100))</f>
        <v/>
      </c>
      <c r="Q36" s="11">
        <f>IF(M36="","",IF($G$15=1,50,(_xlfn.RANK.AVG(M36,$M$19:$M$1518,1)-1)/($G$15-1)*100))</f>
        <v/>
      </c>
      <c r="R36" s="11">
        <f>IF(N36="","",IF($G$16=1,50,(_xlfn.RANK.AVG(N36,$N$19:$N$1518,1)-1)/($G$16-1)*100))</f>
        <v/>
      </c>
      <c r="S36" s="11">
        <f>IF(COUNT(O36:R36)=4,ROUND(AVERAGE(O36:R36),6),"")</f>
        <v/>
      </c>
      <c r="U36">
        <f>IF(AND(ISNUMBER('자료_한국심리'!$A20),ISNUMBER('자료_한국심리'!$B20)),'자료_한국심리'!$A20,"")</f>
        <v/>
      </c>
      <c r="V36">
        <f>IF(AND(ISNUMBER('자료_한국심리'!$D20),ISNUMBER('자료_한국심리'!$E20)),'자료_한국심리'!$D20,"")</f>
        <v/>
      </c>
      <c r="W36">
        <f>IF(AND(ISNUMBER('자료_한국심리'!$G20),ISNUMBER('자료_한국심리'!$H20)),'자료_한국심리'!$G20,"")</f>
        <v/>
      </c>
      <c r="X36">
        <f>IF(AND(ISNUMBER('자료_한국심리'!$J20),ISNUMBER('자료_한국심리'!$K20)),'자료_한국심리'!$J20,"")</f>
        <v/>
      </c>
      <c r="Y36">
        <f>IF(AND(ISNUMBER('자료_한국심리'!$M20),ISNUMBER('자료_한국심리'!$N20)),'자료_한국심리'!$M20,"")</f>
        <v/>
      </c>
    </row>
    <row r="37">
      <c r="A37" s="10">
        <f>IF(19&gt;$E$5,"",SMALL($U$19:$U$4018,$E$6+19))</f>
        <v/>
      </c>
      <c r="B37" s="29">
        <f>IF(A37="","",INDEX('자료_한국심리'!$B$3:$B$4002,MATCH(A37,$U$19:$U$4018,0)))</f>
        <v/>
      </c>
      <c r="C37" s="22">
        <f>""</f>
        <v/>
      </c>
      <c r="D37" s="29">
        <f>IF(A37="","",IFERROR(INDEX('자료_한국심리'!$E$3:$E$4002,MATCH(A37,$V$19:$V$4018,0)),D36))</f>
        <v/>
      </c>
      <c r="E37" s="30">
        <f>IF(A37="","",IFERROR(INDEX('자료_한국심리'!$H$3:$H$4002,MATCH(A37,$W$19:$W$4018,0)),E36))</f>
        <v/>
      </c>
      <c r="F37" s="30">
        <f>IF(A37="","",IFERROR(INDEX('자료_한국심리'!$K$3:$K$4002,MATCH(A37,$X$19:$X$4018,0)),F36))</f>
        <v/>
      </c>
      <c r="G37" s="30">
        <f>IF(AND(ISNUMBER(E37),ISNUMBER(F37)),ROUND(E37-F37,6),"")</f>
        <v/>
      </c>
      <c r="H37" s="25">
        <f>IF(A37="","",IFERROR(INDEX('자료_한국심리'!$N$3:$N$4002,MATCH(A37,$Y$19:$Y$4018,0)),H36))</f>
        <v/>
      </c>
      <c r="I37" s="31">
        <f>""</f>
        <v/>
      </c>
      <c r="J37">
        <f>IF(A37="",0,IF(A37&gt;$B$5,1,0))</f>
        <v/>
      </c>
      <c r="K37" s="29">
        <f>IF(AND(J37=1,ISNUMBER(D37)),D37,"")</f>
        <v/>
      </c>
      <c r="L37" s="30">
        <f>IF(AND(J37=1,ISNUMBER(G37)),G37,"")</f>
        <v/>
      </c>
      <c r="M37" s="22">
        <f>IF(AND(J37=1,ISNUMBER(C37)),C37,"")</f>
        <v/>
      </c>
      <c r="N37" s="31">
        <f>IF(AND(J37=1,ISNUMBER(I37)),I37,"")</f>
        <v/>
      </c>
      <c r="O37" s="11">
        <f>IF(K37="","",100-IF($G$13=1,50,(_xlfn.RANK.AVG(K37,$K$19:$K$1518,1)-1)/($G$13-1)*100))</f>
        <v/>
      </c>
      <c r="P37" s="11">
        <f>IF(L37="","",100-IF($G$14=1,50,(_xlfn.RANK.AVG(L37,$L$19:$L$1518,1)-1)/($G$14-1)*100))</f>
        <v/>
      </c>
      <c r="Q37" s="11">
        <f>IF(M37="","",IF($G$15=1,50,(_xlfn.RANK.AVG(M37,$M$19:$M$1518,1)-1)/($G$15-1)*100))</f>
        <v/>
      </c>
      <c r="R37" s="11">
        <f>IF(N37="","",IF($G$16=1,50,(_xlfn.RANK.AVG(N37,$N$19:$N$1518,1)-1)/($G$16-1)*100))</f>
        <v/>
      </c>
      <c r="S37" s="11">
        <f>IF(COUNT(O37:R37)=4,ROUND(AVERAGE(O37:R37),6),"")</f>
        <v/>
      </c>
      <c r="U37">
        <f>IF(AND(ISNUMBER('자료_한국심리'!$A21),ISNUMBER('자료_한국심리'!$B21)),'자료_한국심리'!$A21,"")</f>
        <v/>
      </c>
      <c r="V37">
        <f>IF(AND(ISNUMBER('자료_한국심리'!$D21),ISNUMBER('자료_한국심리'!$E21)),'자료_한국심리'!$D21,"")</f>
        <v/>
      </c>
      <c r="W37">
        <f>IF(AND(ISNUMBER('자료_한국심리'!$G21),ISNUMBER('자료_한국심리'!$H21)),'자료_한국심리'!$G21,"")</f>
        <v/>
      </c>
      <c r="X37">
        <f>IF(AND(ISNUMBER('자료_한국심리'!$J21),ISNUMBER('자료_한국심리'!$K21)),'자료_한국심리'!$J21,"")</f>
        <v/>
      </c>
      <c r="Y37">
        <f>IF(AND(ISNUMBER('자료_한국심리'!$M21),ISNUMBER('자료_한국심리'!$N21)),'자료_한국심리'!$M21,"")</f>
        <v/>
      </c>
    </row>
    <row r="38">
      <c r="A38" s="10">
        <f>IF(20&gt;$E$5,"",SMALL($U$19:$U$4018,$E$6+20))</f>
        <v/>
      </c>
      <c r="B38" s="29">
        <f>IF(A38="","",INDEX('자료_한국심리'!$B$3:$B$4002,MATCH(A38,$U$19:$U$4018,0)))</f>
        <v/>
      </c>
      <c r="C38" s="22">
        <f>""</f>
        <v/>
      </c>
      <c r="D38" s="29">
        <f>IF(A38="","",IFERROR(INDEX('자료_한국심리'!$E$3:$E$4002,MATCH(A38,$V$19:$V$4018,0)),D37))</f>
        <v/>
      </c>
      <c r="E38" s="30">
        <f>IF(A38="","",IFERROR(INDEX('자료_한국심리'!$H$3:$H$4002,MATCH(A38,$W$19:$W$4018,0)),E37))</f>
        <v/>
      </c>
      <c r="F38" s="30">
        <f>IF(A38="","",IFERROR(INDEX('자료_한국심리'!$K$3:$K$4002,MATCH(A38,$X$19:$X$4018,0)),F37))</f>
        <v/>
      </c>
      <c r="G38" s="30">
        <f>IF(AND(ISNUMBER(E38),ISNUMBER(F38)),ROUND(E38-F38,6),"")</f>
        <v/>
      </c>
      <c r="H38" s="25">
        <f>IF(A38="","",IFERROR(INDEX('자료_한국심리'!$N$3:$N$4002,MATCH(A38,$Y$19:$Y$4018,0)),H37))</f>
        <v/>
      </c>
      <c r="I38" s="31">
        <f>""</f>
        <v/>
      </c>
      <c r="J38">
        <f>IF(A38="",0,IF(A38&gt;$B$5,1,0))</f>
        <v/>
      </c>
      <c r="K38" s="29">
        <f>IF(AND(J38=1,ISNUMBER(D38)),D38,"")</f>
        <v/>
      </c>
      <c r="L38" s="30">
        <f>IF(AND(J38=1,ISNUMBER(G38)),G38,"")</f>
        <v/>
      </c>
      <c r="M38" s="22">
        <f>IF(AND(J38=1,ISNUMBER(C38)),C38,"")</f>
        <v/>
      </c>
      <c r="N38" s="31">
        <f>IF(AND(J38=1,ISNUMBER(I38)),I38,"")</f>
        <v/>
      </c>
      <c r="O38" s="11">
        <f>IF(K38="","",100-IF($G$13=1,50,(_xlfn.RANK.AVG(K38,$K$19:$K$1518,1)-1)/($G$13-1)*100))</f>
        <v/>
      </c>
      <c r="P38" s="11">
        <f>IF(L38="","",100-IF($G$14=1,50,(_xlfn.RANK.AVG(L38,$L$19:$L$1518,1)-1)/($G$14-1)*100))</f>
        <v/>
      </c>
      <c r="Q38" s="11">
        <f>IF(M38="","",IF($G$15=1,50,(_xlfn.RANK.AVG(M38,$M$19:$M$1518,1)-1)/($G$15-1)*100))</f>
        <v/>
      </c>
      <c r="R38" s="11">
        <f>IF(N38="","",IF($G$16=1,50,(_xlfn.RANK.AVG(N38,$N$19:$N$1518,1)-1)/($G$16-1)*100))</f>
        <v/>
      </c>
      <c r="S38" s="11">
        <f>IF(COUNT(O38:R38)=4,ROUND(AVERAGE(O38:R38),6),"")</f>
        <v/>
      </c>
      <c r="U38">
        <f>IF(AND(ISNUMBER('자료_한국심리'!$A22),ISNUMBER('자료_한국심리'!$B22)),'자료_한국심리'!$A22,"")</f>
        <v/>
      </c>
      <c r="V38">
        <f>IF(AND(ISNUMBER('자료_한국심리'!$D22),ISNUMBER('자료_한국심리'!$E22)),'자료_한국심리'!$D22,"")</f>
        <v/>
      </c>
      <c r="W38">
        <f>IF(AND(ISNUMBER('자료_한국심리'!$G22),ISNUMBER('자료_한국심리'!$H22)),'자료_한국심리'!$G22,"")</f>
        <v/>
      </c>
      <c r="X38">
        <f>IF(AND(ISNUMBER('자료_한국심리'!$J22),ISNUMBER('자료_한국심리'!$K22)),'자료_한국심리'!$J22,"")</f>
        <v/>
      </c>
      <c r="Y38">
        <f>IF(AND(ISNUMBER('자료_한국심리'!$M22),ISNUMBER('자료_한국심리'!$N22)),'자료_한국심리'!$M22,"")</f>
        <v/>
      </c>
    </row>
    <row r="39">
      <c r="A39" s="10">
        <f>IF(21&gt;$E$5,"",SMALL($U$19:$U$4018,$E$6+21))</f>
        <v/>
      </c>
      <c r="B39" s="29">
        <f>IF(A39="","",INDEX('자료_한국심리'!$B$3:$B$4002,MATCH(A39,$U$19:$U$4018,0)))</f>
        <v/>
      </c>
      <c r="C39" s="22">
        <f>""</f>
        <v/>
      </c>
      <c r="D39" s="29">
        <f>IF(A39="","",IFERROR(INDEX('자료_한국심리'!$E$3:$E$4002,MATCH(A39,$V$19:$V$4018,0)),D38))</f>
        <v/>
      </c>
      <c r="E39" s="30">
        <f>IF(A39="","",IFERROR(INDEX('자료_한국심리'!$H$3:$H$4002,MATCH(A39,$W$19:$W$4018,0)),E38))</f>
        <v/>
      </c>
      <c r="F39" s="30">
        <f>IF(A39="","",IFERROR(INDEX('자료_한국심리'!$K$3:$K$4002,MATCH(A39,$X$19:$X$4018,0)),F38))</f>
        <v/>
      </c>
      <c r="G39" s="30">
        <f>IF(AND(ISNUMBER(E39),ISNUMBER(F39)),ROUND(E39-F39,6),"")</f>
        <v/>
      </c>
      <c r="H39" s="25">
        <f>IF(A39="","",IFERROR(INDEX('자료_한국심리'!$N$3:$N$4002,MATCH(A39,$Y$19:$Y$4018,0)),H38))</f>
        <v/>
      </c>
      <c r="I39" s="31">
        <f>IF(AND(ISNUMBER(H39),ISNUMBER(H19)),IF(H19&gt;0,H39/H19-1,""),"")</f>
        <v/>
      </c>
      <c r="J39">
        <f>IF(A39="",0,IF(A39&gt;$B$5,1,0))</f>
        <v/>
      </c>
      <c r="K39" s="29">
        <f>IF(AND(J39=1,ISNUMBER(D39)),D39,"")</f>
        <v/>
      </c>
      <c r="L39" s="30">
        <f>IF(AND(J39=1,ISNUMBER(G39)),G39,"")</f>
        <v/>
      </c>
      <c r="M39" s="22">
        <f>IF(AND(J39=1,ISNUMBER(C39)),C39,"")</f>
        <v/>
      </c>
      <c r="N39" s="31">
        <f>IF(AND(J39=1,ISNUMBER(I39)),I39,"")</f>
        <v/>
      </c>
      <c r="O39" s="11">
        <f>IF(K39="","",100-IF($G$13=1,50,(_xlfn.RANK.AVG(K39,$K$19:$K$1518,1)-1)/($G$13-1)*100))</f>
        <v/>
      </c>
      <c r="P39" s="11">
        <f>IF(L39="","",100-IF($G$14=1,50,(_xlfn.RANK.AVG(L39,$L$19:$L$1518,1)-1)/($G$14-1)*100))</f>
        <v/>
      </c>
      <c r="Q39" s="11">
        <f>IF(M39="","",IF($G$15=1,50,(_xlfn.RANK.AVG(M39,$M$19:$M$1518,1)-1)/($G$15-1)*100))</f>
        <v/>
      </c>
      <c r="R39" s="11">
        <f>IF(N39="","",IF($G$16=1,50,(_xlfn.RANK.AVG(N39,$N$19:$N$1518,1)-1)/($G$16-1)*100))</f>
        <v/>
      </c>
      <c r="S39" s="11">
        <f>IF(COUNT(O39:R39)=4,ROUND(AVERAGE(O39:R39),6),"")</f>
        <v/>
      </c>
      <c r="U39">
        <f>IF(AND(ISNUMBER('자료_한국심리'!$A23),ISNUMBER('자료_한국심리'!$B23)),'자료_한국심리'!$A23,"")</f>
        <v/>
      </c>
      <c r="V39">
        <f>IF(AND(ISNUMBER('자료_한국심리'!$D23),ISNUMBER('자료_한국심리'!$E23)),'자료_한국심리'!$D23,"")</f>
        <v/>
      </c>
      <c r="W39">
        <f>IF(AND(ISNUMBER('자료_한국심리'!$G23),ISNUMBER('자료_한국심리'!$H23)),'자료_한국심리'!$G23,"")</f>
        <v/>
      </c>
      <c r="X39">
        <f>IF(AND(ISNUMBER('자료_한국심리'!$J23),ISNUMBER('자료_한국심리'!$K23)),'자료_한국심리'!$J23,"")</f>
        <v/>
      </c>
      <c r="Y39">
        <f>IF(AND(ISNUMBER('자료_한국심리'!$M23),ISNUMBER('자료_한국심리'!$N23)),'자료_한국심리'!$M23,"")</f>
        <v/>
      </c>
    </row>
    <row r="40">
      <c r="A40" s="10">
        <f>IF(22&gt;$E$5,"",SMALL($U$19:$U$4018,$E$6+22))</f>
        <v/>
      </c>
      <c r="B40" s="29">
        <f>IF(A40="","",INDEX('자료_한국심리'!$B$3:$B$4002,MATCH(A40,$U$19:$U$4018,0)))</f>
        <v/>
      </c>
      <c r="C40" s="22">
        <f>""</f>
        <v/>
      </c>
      <c r="D40" s="29">
        <f>IF(A40="","",IFERROR(INDEX('자료_한국심리'!$E$3:$E$4002,MATCH(A40,$V$19:$V$4018,0)),D39))</f>
        <v/>
      </c>
      <c r="E40" s="30">
        <f>IF(A40="","",IFERROR(INDEX('자료_한국심리'!$H$3:$H$4002,MATCH(A40,$W$19:$W$4018,0)),E39))</f>
        <v/>
      </c>
      <c r="F40" s="30">
        <f>IF(A40="","",IFERROR(INDEX('자료_한국심리'!$K$3:$K$4002,MATCH(A40,$X$19:$X$4018,0)),F39))</f>
        <v/>
      </c>
      <c r="G40" s="30">
        <f>IF(AND(ISNUMBER(E40),ISNUMBER(F40)),ROUND(E40-F40,6),"")</f>
        <v/>
      </c>
      <c r="H40" s="25">
        <f>IF(A40="","",IFERROR(INDEX('자료_한국심리'!$N$3:$N$4002,MATCH(A40,$Y$19:$Y$4018,0)),H39))</f>
        <v/>
      </c>
      <c r="I40" s="31">
        <f>IF(AND(ISNUMBER(H40),ISNUMBER(H20)),IF(H20&gt;0,H40/H20-1,""),"")</f>
        <v/>
      </c>
      <c r="J40">
        <f>IF(A40="",0,IF(A40&gt;$B$5,1,0))</f>
        <v/>
      </c>
      <c r="K40" s="29">
        <f>IF(AND(J40=1,ISNUMBER(D40)),D40,"")</f>
        <v/>
      </c>
      <c r="L40" s="30">
        <f>IF(AND(J40=1,ISNUMBER(G40)),G40,"")</f>
        <v/>
      </c>
      <c r="M40" s="22">
        <f>IF(AND(J40=1,ISNUMBER(C40)),C40,"")</f>
        <v/>
      </c>
      <c r="N40" s="31">
        <f>IF(AND(J40=1,ISNUMBER(I40)),I40,"")</f>
        <v/>
      </c>
      <c r="O40" s="11">
        <f>IF(K40="","",100-IF($G$13=1,50,(_xlfn.RANK.AVG(K40,$K$19:$K$1518,1)-1)/($G$13-1)*100))</f>
        <v/>
      </c>
      <c r="P40" s="11">
        <f>IF(L40="","",100-IF($G$14=1,50,(_xlfn.RANK.AVG(L40,$L$19:$L$1518,1)-1)/($G$14-1)*100))</f>
        <v/>
      </c>
      <c r="Q40" s="11">
        <f>IF(M40="","",IF($G$15=1,50,(_xlfn.RANK.AVG(M40,$M$19:$M$1518,1)-1)/($G$15-1)*100))</f>
        <v/>
      </c>
      <c r="R40" s="11">
        <f>IF(N40="","",IF($G$16=1,50,(_xlfn.RANK.AVG(N40,$N$19:$N$1518,1)-1)/($G$16-1)*100))</f>
        <v/>
      </c>
      <c r="S40" s="11">
        <f>IF(COUNT(O40:R40)=4,ROUND(AVERAGE(O40:R40),6),"")</f>
        <v/>
      </c>
      <c r="U40">
        <f>IF(AND(ISNUMBER('자료_한국심리'!$A24),ISNUMBER('자료_한국심리'!$B24)),'자료_한국심리'!$A24,"")</f>
        <v/>
      </c>
      <c r="V40">
        <f>IF(AND(ISNUMBER('자료_한국심리'!$D24),ISNUMBER('자료_한국심리'!$E24)),'자료_한국심리'!$D24,"")</f>
        <v/>
      </c>
      <c r="W40">
        <f>IF(AND(ISNUMBER('자료_한국심리'!$G24),ISNUMBER('자료_한국심리'!$H24)),'자료_한국심리'!$G24,"")</f>
        <v/>
      </c>
      <c r="X40">
        <f>IF(AND(ISNUMBER('자료_한국심리'!$J24),ISNUMBER('자료_한국심리'!$K24)),'자료_한국심리'!$J24,"")</f>
        <v/>
      </c>
      <c r="Y40">
        <f>IF(AND(ISNUMBER('자료_한국심리'!$M24),ISNUMBER('자료_한국심리'!$N24)),'자료_한국심리'!$M24,"")</f>
        <v/>
      </c>
    </row>
    <row r="41">
      <c r="A41" s="10">
        <f>IF(23&gt;$E$5,"",SMALL($U$19:$U$4018,$E$6+23))</f>
        <v/>
      </c>
      <c r="B41" s="29">
        <f>IF(A41="","",INDEX('자료_한국심리'!$B$3:$B$4002,MATCH(A41,$U$19:$U$4018,0)))</f>
        <v/>
      </c>
      <c r="C41" s="22">
        <f>""</f>
        <v/>
      </c>
      <c r="D41" s="29">
        <f>IF(A41="","",IFERROR(INDEX('자료_한국심리'!$E$3:$E$4002,MATCH(A41,$V$19:$V$4018,0)),D40))</f>
        <v/>
      </c>
      <c r="E41" s="30">
        <f>IF(A41="","",IFERROR(INDEX('자료_한국심리'!$H$3:$H$4002,MATCH(A41,$W$19:$W$4018,0)),E40))</f>
        <v/>
      </c>
      <c r="F41" s="30">
        <f>IF(A41="","",IFERROR(INDEX('자료_한국심리'!$K$3:$K$4002,MATCH(A41,$X$19:$X$4018,0)),F40))</f>
        <v/>
      </c>
      <c r="G41" s="30">
        <f>IF(AND(ISNUMBER(E41),ISNUMBER(F41)),ROUND(E41-F41,6),"")</f>
        <v/>
      </c>
      <c r="H41" s="25">
        <f>IF(A41="","",IFERROR(INDEX('자료_한국심리'!$N$3:$N$4002,MATCH(A41,$Y$19:$Y$4018,0)),H40))</f>
        <v/>
      </c>
      <c r="I41" s="31">
        <f>IF(AND(ISNUMBER(H41),ISNUMBER(H21)),IF(H21&gt;0,H41/H21-1,""),"")</f>
        <v/>
      </c>
      <c r="J41">
        <f>IF(A41="",0,IF(A41&gt;$B$5,1,0))</f>
        <v/>
      </c>
      <c r="K41" s="29">
        <f>IF(AND(J41=1,ISNUMBER(D41)),D41,"")</f>
        <v/>
      </c>
      <c r="L41" s="30">
        <f>IF(AND(J41=1,ISNUMBER(G41)),G41,"")</f>
        <v/>
      </c>
      <c r="M41" s="22">
        <f>IF(AND(J41=1,ISNUMBER(C41)),C41,"")</f>
        <v/>
      </c>
      <c r="N41" s="31">
        <f>IF(AND(J41=1,ISNUMBER(I41)),I41,"")</f>
        <v/>
      </c>
      <c r="O41" s="11">
        <f>IF(K41="","",100-IF($G$13=1,50,(_xlfn.RANK.AVG(K41,$K$19:$K$1518,1)-1)/($G$13-1)*100))</f>
        <v/>
      </c>
      <c r="P41" s="11">
        <f>IF(L41="","",100-IF($G$14=1,50,(_xlfn.RANK.AVG(L41,$L$19:$L$1518,1)-1)/($G$14-1)*100))</f>
        <v/>
      </c>
      <c r="Q41" s="11">
        <f>IF(M41="","",IF($G$15=1,50,(_xlfn.RANK.AVG(M41,$M$19:$M$1518,1)-1)/($G$15-1)*100))</f>
        <v/>
      </c>
      <c r="R41" s="11">
        <f>IF(N41="","",IF($G$16=1,50,(_xlfn.RANK.AVG(N41,$N$19:$N$1518,1)-1)/($G$16-1)*100))</f>
        <v/>
      </c>
      <c r="S41" s="11">
        <f>IF(COUNT(O41:R41)=4,ROUND(AVERAGE(O41:R41),6),"")</f>
        <v/>
      </c>
      <c r="U41">
        <f>IF(AND(ISNUMBER('자료_한국심리'!$A25),ISNUMBER('자료_한국심리'!$B25)),'자료_한국심리'!$A25,"")</f>
        <v/>
      </c>
      <c r="V41">
        <f>IF(AND(ISNUMBER('자료_한국심리'!$D25),ISNUMBER('자료_한국심리'!$E25)),'자료_한국심리'!$D25,"")</f>
        <v/>
      </c>
      <c r="W41">
        <f>IF(AND(ISNUMBER('자료_한국심리'!$G25),ISNUMBER('자료_한국심리'!$H25)),'자료_한국심리'!$G25,"")</f>
        <v/>
      </c>
      <c r="X41">
        <f>IF(AND(ISNUMBER('자료_한국심리'!$J25),ISNUMBER('자료_한국심리'!$K25)),'자료_한국심리'!$J25,"")</f>
        <v/>
      </c>
      <c r="Y41">
        <f>IF(AND(ISNUMBER('자료_한국심리'!$M25),ISNUMBER('자료_한국심리'!$N25)),'자료_한국심리'!$M25,"")</f>
        <v/>
      </c>
    </row>
    <row r="42">
      <c r="A42" s="10">
        <f>IF(24&gt;$E$5,"",SMALL($U$19:$U$4018,$E$6+24))</f>
        <v/>
      </c>
      <c r="B42" s="29">
        <f>IF(A42="","",INDEX('자료_한국심리'!$B$3:$B$4002,MATCH(A42,$U$19:$U$4018,0)))</f>
        <v/>
      </c>
      <c r="C42" s="22">
        <f>""</f>
        <v/>
      </c>
      <c r="D42" s="29">
        <f>IF(A42="","",IFERROR(INDEX('자료_한국심리'!$E$3:$E$4002,MATCH(A42,$V$19:$V$4018,0)),D41))</f>
        <v/>
      </c>
      <c r="E42" s="30">
        <f>IF(A42="","",IFERROR(INDEX('자료_한국심리'!$H$3:$H$4002,MATCH(A42,$W$19:$W$4018,0)),E41))</f>
        <v/>
      </c>
      <c r="F42" s="30">
        <f>IF(A42="","",IFERROR(INDEX('자료_한국심리'!$K$3:$K$4002,MATCH(A42,$X$19:$X$4018,0)),F41))</f>
        <v/>
      </c>
      <c r="G42" s="30">
        <f>IF(AND(ISNUMBER(E42),ISNUMBER(F42)),ROUND(E42-F42,6),"")</f>
        <v/>
      </c>
      <c r="H42" s="25">
        <f>IF(A42="","",IFERROR(INDEX('자료_한국심리'!$N$3:$N$4002,MATCH(A42,$Y$19:$Y$4018,0)),H41))</f>
        <v/>
      </c>
      <c r="I42" s="31">
        <f>IF(AND(ISNUMBER(H42),ISNUMBER(H22)),IF(H22&gt;0,H42/H22-1,""),"")</f>
        <v/>
      </c>
      <c r="J42">
        <f>IF(A42="",0,IF(A42&gt;$B$5,1,0))</f>
        <v/>
      </c>
      <c r="K42" s="29">
        <f>IF(AND(J42=1,ISNUMBER(D42)),D42,"")</f>
        <v/>
      </c>
      <c r="L42" s="30">
        <f>IF(AND(J42=1,ISNUMBER(G42)),G42,"")</f>
        <v/>
      </c>
      <c r="M42" s="22">
        <f>IF(AND(J42=1,ISNUMBER(C42)),C42,"")</f>
        <v/>
      </c>
      <c r="N42" s="31">
        <f>IF(AND(J42=1,ISNUMBER(I42)),I42,"")</f>
        <v/>
      </c>
      <c r="O42" s="11">
        <f>IF(K42="","",100-IF($G$13=1,50,(_xlfn.RANK.AVG(K42,$K$19:$K$1518,1)-1)/($G$13-1)*100))</f>
        <v/>
      </c>
      <c r="P42" s="11">
        <f>IF(L42="","",100-IF($G$14=1,50,(_xlfn.RANK.AVG(L42,$L$19:$L$1518,1)-1)/($G$14-1)*100))</f>
        <v/>
      </c>
      <c r="Q42" s="11">
        <f>IF(M42="","",IF($G$15=1,50,(_xlfn.RANK.AVG(M42,$M$19:$M$1518,1)-1)/($G$15-1)*100))</f>
        <v/>
      </c>
      <c r="R42" s="11">
        <f>IF(N42="","",IF($G$16=1,50,(_xlfn.RANK.AVG(N42,$N$19:$N$1518,1)-1)/($G$16-1)*100))</f>
        <v/>
      </c>
      <c r="S42" s="11">
        <f>IF(COUNT(O42:R42)=4,ROUND(AVERAGE(O42:R42),6),"")</f>
        <v/>
      </c>
      <c r="U42">
        <f>IF(AND(ISNUMBER('자료_한국심리'!$A26),ISNUMBER('자료_한국심리'!$B26)),'자료_한국심리'!$A26,"")</f>
        <v/>
      </c>
      <c r="V42">
        <f>IF(AND(ISNUMBER('자료_한국심리'!$D26),ISNUMBER('자료_한국심리'!$E26)),'자료_한국심리'!$D26,"")</f>
        <v/>
      </c>
      <c r="W42">
        <f>IF(AND(ISNUMBER('자료_한국심리'!$G26),ISNUMBER('자료_한국심리'!$H26)),'자료_한국심리'!$G26,"")</f>
        <v/>
      </c>
      <c r="X42">
        <f>IF(AND(ISNUMBER('자료_한국심리'!$J26),ISNUMBER('자료_한국심리'!$K26)),'자료_한국심리'!$J26,"")</f>
        <v/>
      </c>
      <c r="Y42">
        <f>IF(AND(ISNUMBER('자료_한국심리'!$M26),ISNUMBER('자료_한국심리'!$N26)),'자료_한국심리'!$M26,"")</f>
        <v/>
      </c>
    </row>
    <row r="43">
      <c r="A43" s="10">
        <f>IF(25&gt;$E$5,"",SMALL($U$19:$U$4018,$E$6+25))</f>
        <v/>
      </c>
      <c r="B43" s="29">
        <f>IF(A43="","",INDEX('자료_한국심리'!$B$3:$B$4002,MATCH(A43,$U$19:$U$4018,0)))</f>
        <v/>
      </c>
      <c r="C43" s="22">
        <f>""</f>
        <v/>
      </c>
      <c r="D43" s="29">
        <f>IF(A43="","",IFERROR(INDEX('자료_한국심리'!$E$3:$E$4002,MATCH(A43,$V$19:$V$4018,0)),D42))</f>
        <v/>
      </c>
      <c r="E43" s="30">
        <f>IF(A43="","",IFERROR(INDEX('자료_한국심리'!$H$3:$H$4002,MATCH(A43,$W$19:$W$4018,0)),E42))</f>
        <v/>
      </c>
      <c r="F43" s="30">
        <f>IF(A43="","",IFERROR(INDEX('자료_한국심리'!$K$3:$K$4002,MATCH(A43,$X$19:$X$4018,0)),F42))</f>
        <v/>
      </c>
      <c r="G43" s="30">
        <f>IF(AND(ISNUMBER(E43),ISNUMBER(F43)),ROUND(E43-F43,6),"")</f>
        <v/>
      </c>
      <c r="H43" s="25">
        <f>IF(A43="","",IFERROR(INDEX('자료_한국심리'!$N$3:$N$4002,MATCH(A43,$Y$19:$Y$4018,0)),H42))</f>
        <v/>
      </c>
      <c r="I43" s="31">
        <f>IF(AND(ISNUMBER(H43),ISNUMBER(H23)),IF(H23&gt;0,H43/H23-1,""),"")</f>
        <v/>
      </c>
      <c r="J43">
        <f>IF(A43="",0,IF(A43&gt;$B$5,1,0))</f>
        <v/>
      </c>
      <c r="K43" s="29">
        <f>IF(AND(J43=1,ISNUMBER(D43)),D43,"")</f>
        <v/>
      </c>
      <c r="L43" s="30">
        <f>IF(AND(J43=1,ISNUMBER(G43)),G43,"")</f>
        <v/>
      </c>
      <c r="M43" s="22">
        <f>IF(AND(J43=1,ISNUMBER(C43)),C43,"")</f>
        <v/>
      </c>
      <c r="N43" s="31">
        <f>IF(AND(J43=1,ISNUMBER(I43)),I43,"")</f>
        <v/>
      </c>
      <c r="O43" s="11">
        <f>IF(K43="","",100-IF($G$13=1,50,(_xlfn.RANK.AVG(K43,$K$19:$K$1518,1)-1)/($G$13-1)*100))</f>
        <v/>
      </c>
      <c r="P43" s="11">
        <f>IF(L43="","",100-IF($G$14=1,50,(_xlfn.RANK.AVG(L43,$L$19:$L$1518,1)-1)/($G$14-1)*100))</f>
        <v/>
      </c>
      <c r="Q43" s="11">
        <f>IF(M43="","",IF($G$15=1,50,(_xlfn.RANK.AVG(M43,$M$19:$M$1518,1)-1)/($G$15-1)*100))</f>
        <v/>
      </c>
      <c r="R43" s="11">
        <f>IF(N43="","",IF($G$16=1,50,(_xlfn.RANK.AVG(N43,$N$19:$N$1518,1)-1)/($G$16-1)*100))</f>
        <v/>
      </c>
      <c r="S43" s="11">
        <f>IF(COUNT(O43:R43)=4,ROUND(AVERAGE(O43:R43),6),"")</f>
        <v/>
      </c>
      <c r="U43">
        <f>IF(AND(ISNUMBER('자료_한국심리'!$A27),ISNUMBER('자료_한국심리'!$B27)),'자료_한국심리'!$A27,"")</f>
        <v/>
      </c>
      <c r="V43">
        <f>IF(AND(ISNUMBER('자료_한국심리'!$D27),ISNUMBER('자료_한국심리'!$E27)),'자료_한국심리'!$D27,"")</f>
        <v/>
      </c>
      <c r="W43">
        <f>IF(AND(ISNUMBER('자료_한국심리'!$G27),ISNUMBER('자료_한국심리'!$H27)),'자료_한국심리'!$G27,"")</f>
        <v/>
      </c>
      <c r="X43">
        <f>IF(AND(ISNUMBER('자료_한국심리'!$J27),ISNUMBER('자료_한국심리'!$K27)),'자료_한국심리'!$J27,"")</f>
        <v/>
      </c>
      <c r="Y43">
        <f>IF(AND(ISNUMBER('자료_한국심리'!$M27),ISNUMBER('자료_한국심리'!$N27)),'자료_한국심리'!$M27,"")</f>
        <v/>
      </c>
    </row>
    <row r="44">
      <c r="A44" s="10">
        <f>IF(26&gt;$E$5,"",SMALL($U$19:$U$4018,$E$6+26))</f>
        <v/>
      </c>
      <c r="B44" s="29">
        <f>IF(A44="","",INDEX('자료_한국심리'!$B$3:$B$4002,MATCH(A44,$U$19:$U$4018,0)))</f>
        <v/>
      </c>
      <c r="C44" s="22">
        <f>""</f>
        <v/>
      </c>
      <c r="D44" s="29">
        <f>IF(A44="","",IFERROR(INDEX('자료_한국심리'!$E$3:$E$4002,MATCH(A44,$V$19:$V$4018,0)),D43))</f>
        <v/>
      </c>
      <c r="E44" s="30">
        <f>IF(A44="","",IFERROR(INDEX('자료_한국심리'!$H$3:$H$4002,MATCH(A44,$W$19:$W$4018,0)),E43))</f>
        <v/>
      </c>
      <c r="F44" s="30">
        <f>IF(A44="","",IFERROR(INDEX('자료_한국심리'!$K$3:$K$4002,MATCH(A44,$X$19:$X$4018,0)),F43))</f>
        <v/>
      </c>
      <c r="G44" s="30">
        <f>IF(AND(ISNUMBER(E44),ISNUMBER(F44)),ROUND(E44-F44,6),"")</f>
        <v/>
      </c>
      <c r="H44" s="25">
        <f>IF(A44="","",IFERROR(INDEX('자료_한국심리'!$N$3:$N$4002,MATCH(A44,$Y$19:$Y$4018,0)),H43))</f>
        <v/>
      </c>
      <c r="I44" s="31">
        <f>IF(AND(ISNUMBER(H44),ISNUMBER(H24)),IF(H24&gt;0,H44/H24-1,""),"")</f>
        <v/>
      </c>
      <c r="J44">
        <f>IF(A44="",0,IF(A44&gt;$B$5,1,0))</f>
        <v/>
      </c>
      <c r="K44" s="29">
        <f>IF(AND(J44=1,ISNUMBER(D44)),D44,"")</f>
        <v/>
      </c>
      <c r="L44" s="30">
        <f>IF(AND(J44=1,ISNUMBER(G44)),G44,"")</f>
        <v/>
      </c>
      <c r="M44" s="22">
        <f>IF(AND(J44=1,ISNUMBER(C44)),C44,"")</f>
        <v/>
      </c>
      <c r="N44" s="31">
        <f>IF(AND(J44=1,ISNUMBER(I44)),I44,"")</f>
        <v/>
      </c>
      <c r="O44" s="11">
        <f>IF(K44="","",100-IF($G$13=1,50,(_xlfn.RANK.AVG(K44,$K$19:$K$1518,1)-1)/($G$13-1)*100))</f>
        <v/>
      </c>
      <c r="P44" s="11">
        <f>IF(L44="","",100-IF($G$14=1,50,(_xlfn.RANK.AVG(L44,$L$19:$L$1518,1)-1)/($G$14-1)*100))</f>
        <v/>
      </c>
      <c r="Q44" s="11">
        <f>IF(M44="","",IF($G$15=1,50,(_xlfn.RANK.AVG(M44,$M$19:$M$1518,1)-1)/($G$15-1)*100))</f>
        <v/>
      </c>
      <c r="R44" s="11">
        <f>IF(N44="","",IF($G$16=1,50,(_xlfn.RANK.AVG(N44,$N$19:$N$1518,1)-1)/($G$16-1)*100))</f>
        <v/>
      </c>
      <c r="S44" s="11">
        <f>IF(COUNT(O44:R44)=4,ROUND(AVERAGE(O44:R44),6),"")</f>
        <v/>
      </c>
      <c r="U44">
        <f>IF(AND(ISNUMBER('자료_한국심리'!$A28),ISNUMBER('자료_한국심리'!$B28)),'자료_한국심리'!$A28,"")</f>
        <v/>
      </c>
      <c r="V44">
        <f>IF(AND(ISNUMBER('자료_한국심리'!$D28),ISNUMBER('자료_한국심리'!$E28)),'자료_한국심리'!$D28,"")</f>
        <v/>
      </c>
      <c r="W44">
        <f>IF(AND(ISNUMBER('자료_한국심리'!$G28),ISNUMBER('자료_한국심리'!$H28)),'자료_한국심리'!$G28,"")</f>
        <v/>
      </c>
      <c r="X44">
        <f>IF(AND(ISNUMBER('자료_한국심리'!$J28),ISNUMBER('자료_한국심리'!$K28)),'자료_한국심리'!$J28,"")</f>
        <v/>
      </c>
      <c r="Y44">
        <f>IF(AND(ISNUMBER('자료_한국심리'!$M28),ISNUMBER('자료_한국심리'!$N28)),'자료_한국심리'!$M28,"")</f>
        <v/>
      </c>
    </row>
    <row r="45">
      <c r="A45" s="10">
        <f>IF(27&gt;$E$5,"",SMALL($U$19:$U$4018,$E$6+27))</f>
        <v/>
      </c>
      <c r="B45" s="29">
        <f>IF(A45="","",INDEX('자료_한국심리'!$B$3:$B$4002,MATCH(A45,$U$19:$U$4018,0)))</f>
        <v/>
      </c>
      <c r="C45" s="22">
        <f>""</f>
        <v/>
      </c>
      <c r="D45" s="29">
        <f>IF(A45="","",IFERROR(INDEX('자료_한국심리'!$E$3:$E$4002,MATCH(A45,$V$19:$V$4018,0)),D44))</f>
        <v/>
      </c>
      <c r="E45" s="30">
        <f>IF(A45="","",IFERROR(INDEX('자료_한국심리'!$H$3:$H$4002,MATCH(A45,$W$19:$W$4018,0)),E44))</f>
        <v/>
      </c>
      <c r="F45" s="30">
        <f>IF(A45="","",IFERROR(INDEX('자료_한국심리'!$K$3:$K$4002,MATCH(A45,$X$19:$X$4018,0)),F44))</f>
        <v/>
      </c>
      <c r="G45" s="30">
        <f>IF(AND(ISNUMBER(E45),ISNUMBER(F45)),ROUND(E45-F45,6),"")</f>
        <v/>
      </c>
      <c r="H45" s="25">
        <f>IF(A45="","",IFERROR(INDEX('자료_한국심리'!$N$3:$N$4002,MATCH(A45,$Y$19:$Y$4018,0)),H44))</f>
        <v/>
      </c>
      <c r="I45" s="31">
        <f>IF(AND(ISNUMBER(H45),ISNUMBER(H25)),IF(H25&gt;0,H45/H25-1,""),"")</f>
        <v/>
      </c>
      <c r="J45">
        <f>IF(A45="",0,IF(A45&gt;$B$5,1,0))</f>
        <v/>
      </c>
      <c r="K45" s="29">
        <f>IF(AND(J45=1,ISNUMBER(D45)),D45,"")</f>
        <v/>
      </c>
      <c r="L45" s="30">
        <f>IF(AND(J45=1,ISNUMBER(G45)),G45,"")</f>
        <v/>
      </c>
      <c r="M45" s="22">
        <f>IF(AND(J45=1,ISNUMBER(C45)),C45,"")</f>
        <v/>
      </c>
      <c r="N45" s="31">
        <f>IF(AND(J45=1,ISNUMBER(I45)),I45,"")</f>
        <v/>
      </c>
      <c r="O45" s="11">
        <f>IF(K45="","",100-IF($G$13=1,50,(_xlfn.RANK.AVG(K45,$K$19:$K$1518,1)-1)/($G$13-1)*100))</f>
        <v/>
      </c>
      <c r="P45" s="11">
        <f>IF(L45="","",100-IF($G$14=1,50,(_xlfn.RANK.AVG(L45,$L$19:$L$1518,1)-1)/($G$14-1)*100))</f>
        <v/>
      </c>
      <c r="Q45" s="11">
        <f>IF(M45="","",IF($G$15=1,50,(_xlfn.RANK.AVG(M45,$M$19:$M$1518,1)-1)/($G$15-1)*100))</f>
        <v/>
      </c>
      <c r="R45" s="11">
        <f>IF(N45="","",IF($G$16=1,50,(_xlfn.RANK.AVG(N45,$N$19:$N$1518,1)-1)/($G$16-1)*100))</f>
        <v/>
      </c>
      <c r="S45" s="11">
        <f>IF(COUNT(O45:R45)=4,ROUND(AVERAGE(O45:R45),6),"")</f>
        <v/>
      </c>
      <c r="U45">
        <f>IF(AND(ISNUMBER('자료_한국심리'!$A29),ISNUMBER('자료_한국심리'!$B29)),'자료_한국심리'!$A29,"")</f>
        <v/>
      </c>
      <c r="V45">
        <f>IF(AND(ISNUMBER('자료_한국심리'!$D29),ISNUMBER('자료_한국심리'!$E29)),'자료_한국심리'!$D29,"")</f>
        <v/>
      </c>
      <c r="W45">
        <f>IF(AND(ISNUMBER('자료_한국심리'!$G29),ISNUMBER('자료_한국심리'!$H29)),'자료_한국심리'!$G29,"")</f>
        <v/>
      </c>
      <c r="X45">
        <f>IF(AND(ISNUMBER('자료_한국심리'!$J29),ISNUMBER('자료_한국심리'!$K29)),'자료_한국심리'!$J29,"")</f>
        <v/>
      </c>
      <c r="Y45">
        <f>IF(AND(ISNUMBER('자료_한국심리'!$M29),ISNUMBER('자료_한국심리'!$N29)),'자료_한국심리'!$M29,"")</f>
        <v/>
      </c>
    </row>
    <row r="46">
      <c r="A46" s="10">
        <f>IF(28&gt;$E$5,"",SMALL($U$19:$U$4018,$E$6+28))</f>
        <v/>
      </c>
      <c r="B46" s="29">
        <f>IF(A46="","",INDEX('자료_한국심리'!$B$3:$B$4002,MATCH(A46,$U$19:$U$4018,0)))</f>
        <v/>
      </c>
      <c r="C46" s="22">
        <f>""</f>
        <v/>
      </c>
      <c r="D46" s="29">
        <f>IF(A46="","",IFERROR(INDEX('자료_한국심리'!$E$3:$E$4002,MATCH(A46,$V$19:$V$4018,0)),D45))</f>
        <v/>
      </c>
      <c r="E46" s="30">
        <f>IF(A46="","",IFERROR(INDEX('자료_한국심리'!$H$3:$H$4002,MATCH(A46,$W$19:$W$4018,0)),E45))</f>
        <v/>
      </c>
      <c r="F46" s="30">
        <f>IF(A46="","",IFERROR(INDEX('자료_한국심리'!$K$3:$K$4002,MATCH(A46,$X$19:$X$4018,0)),F45))</f>
        <v/>
      </c>
      <c r="G46" s="30">
        <f>IF(AND(ISNUMBER(E46),ISNUMBER(F46)),ROUND(E46-F46,6),"")</f>
        <v/>
      </c>
      <c r="H46" s="25">
        <f>IF(A46="","",IFERROR(INDEX('자료_한국심리'!$N$3:$N$4002,MATCH(A46,$Y$19:$Y$4018,0)),H45))</f>
        <v/>
      </c>
      <c r="I46" s="31">
        <f>IF(AND(ISNUMBER(H46),ISNUMBER(H26)),IF(H26&gt;0,H46/H26-1,""),"")</f>
        <v/>
      </c>
      <c r="J46">
        <f>IF(A46="",0,IF(A46&gt;$B$5,1,0))</f>
        <v/>
      </c>
      <c r="K46" s="29">
        <f>IF(AND(J46=1,ISNUMBER(D46)),D46,"")</f>
        <v/>
      </c>
      <c r="L46" s="30">
        <f>IF(AND(J46=1,ISNUMBER(G46)),G46,"")</f>
        <v/>
      </c>
      <c r="M46" s="22">
        <f>IF(AND(J46=1,ISNUMBER(C46)),C46,"")</f>
        <v/>
      </c>
      <c r="N46" s="31">
        <f>IF(AND(J46=1,ISNUMBER(I46)),I46,"")</f>
        <v/>
      </c>
      <c r="O46" s="11">
        <f>IF(K46="","",100-IF($G$13=1,50,(_xlfn.RANK.AVG(K46,$K$19:$K$1518,1)-1)/($G$13-1)*100))</f>
        <v/>
      </c>
      <c r="P46" s="11">
        <f>IF(L46="","",100-IF($G$14=1,50,(_xlfn.RANK.AVG(L46,$L$19:$L$1518,1)-1)/($G$14-1)*100))</f>
        <v/>
      </c>
      <c r="Q46" s="11">
        <f>IF(M46="","",IF($G$15=1,50,(_xlfn.RANK.AVG(M46,$M$19:$M$1518,1)-1)/($G$15-1)*100))</f>
        <v/>
      </c>
      <c r="R46" s="11">
        <f>IF(N46="","",IF($G$16=1,50,(_xlfn.RANK.AVG(N46,$N$19:$N$1518,1)-1)/($G$16-1)*100))</f>
        <v/>
      </c>
      <c r="S46" s="11">
        <f>IF(COUNT(O46:R46)=4,ROUND(AVERAGE(O46:R46),6),"")</f>
        <v/>
      </c>
      <c r="U46">
        <f>IF(AND(ISNUMBER('자료_한국심리'!$A30),ISNUMBER('자료_한국심리'!$B30)),'자료_한국심리'!$A30,"")</f>
        <v/>
      </c>
      <c r="V46">
        <f>IF(AND(ISNUMBER('자료_한국심리'!$D30),ISNUMBER('자료_한국심리'!$E30)),'자료_한국심리'!$D30,"")</f>
        <v/>
      </c>
      <c r="W46">
        <f>IF(AND(ISNUMBER('자료_한국심리'!$G30),ISNUMBER('자료_한국심리'!$H30)),'자료_한국심리'!$G30,"")</f>
        <v/>
      </c>
      <c r="X46">
        <f>IF(AND(ISNUMBER('자료_한국심리'!$J30),ISNUMBER('자료_한국심리'!$K30)),'자료_한국심리'!$J30,"")</f>
        <v/>
      </c>
      <c r="Y46">
        <f>IF(AND(ISNUMBER('자료_한국심리'!$M30),ISNUMBER('자료_한국심리'!$N30)),'자료_한국심리'!$M30,"")</f>
        <v/>
      </c>
    </row>
    <row r="47">
      <c r="A47" s="10">
        <f>IF(29&gt;$E$5,"",SMALL($U$19:$U$4018,$E$6+29))</f>
        <v/>
      </c>
      <c r="B47" s="29">
        <f>IF(A47="","",INDEX('자료_한국심리'!$B$3:$B$4002,MATCH(A47,$U$19:$U$4018,0)))</f>
        <v/>
      </c>
      <c r="C47" s="22">
        <f>""</f>
        <v/>
      </c>
      <c r="D47" s="29">
        <f>IF(A47="","",IFERROR(INDEX('자료_한국심리'!$E$3:$E$4002,MATCH(A47,$V$19:$V$4018,0)),D46))</f>
        <v/>
      </c>
      <c r="E47" s="30">
        <f>IF(A47="","",IFERROR(INDEX('자료_한국심리'!$H$3:$H$4002,MATCH(A47,$W$19:$W$4018,0)),E46))</f>
        <v/>
      </c>
      <c r="F47" s="30">
        <f>IF(A47="","",IFERROR(INDEX('자료_한국심리'!$K$3:$K$4002,MATCH(A47,$X$19:$X$4018,0)),F46))</f>
        <v/>
      </c>
      <c r="G47" s="30">
        <f>IF(AND(ISNUMBER(E47),ISNUMBER(F47)),ROUND(E47-F47,6),"")</f>
        <v/>
      </c>
      <c r="H47" s="25">
        <f>IF(A47="","",IFERROR(INDEX('자료_한국심리'!$N$3:$N$4002,MATCH(A47,$Y$19:$Y$4018,0)),H46))</f>
        <v/>
      </c>
      <c r="I47" s="31">
        <f>IF(AND(ISNUMBER(H47),ISNUMBER(H27)),IF(H27&gt;0,H47/H27-1,""),"")</f>
        <v/>
      </c>
      <c r="J47">
        <f>IF(A47="",0,IF(A47&gt;$B$5,1,0))</f>
        <v/>
      </c>
      <c r="K47" s="29">
        <f>IF(AND(J47=1,ISNUMBER(D47)),D47,"")</f>
        <v/>
      </c>
      <c r="L47" s="30">
        <f>IF(AND(J47=1,ISNUMBER(G47)),G47,"")</f>
        <v/>
      </c>
      <c r="M47" s="22">
        <f>IF(AND(J47=1,ISNUMBER(C47)),C47,"")</f>
        <v/>
      </c>
      <c r="N47" s="31">
        <f>IF(AND(J47=1,ISNUMBER(I47)),I47,"")</f>
        <v/>
      </c>
      <c r="O47" s="11">
        <f>IF(K47="","",100-IF($G$13=1,50,(_xlfn.RANK.AVG(K47,$K$19:$K$1518,1)-1)/($G$13-1)*100))</f>
        <v/>
      </c>
      <c r="P47" s="11">
        <f>IF(L47="","",100-IF($G$14=1,50,(_xlfn.RANK.AVG(L47,$L$19:$L$1518,1)-1)/($G$14-1)*100))</f>
        <v/>
      </c>
      <c r="Q47" s="11">
        <f>IF(M47="","",IF($G$15=1,50,(_xlfn.RANK.AVG(M47,$M$19:$M$1518,1)-1)/($G$15-1)*100))</f>
        <v/>
      </c>
      <c r="R47" s="11">
        <f>IF(N47="","",IF($G$16=1,50,(_xlfn.RANK.AVG(N47,$N$19:$N$1518,1)-1)/($G$16-1)*100))</f>
        <v/>
      </c>
      <c r="S47" s="11">
        <f>IF(COUNT(O47:R47)=4,ROUND(AVERAGE(O47:R47),6),"")</f>
        <v/>
      </c>
      <c r="U47">
        <f>IF(AND(ISNUMBER('자료_한국심리'!$A31),ISNUMBER('자료_한국심리'!$B31)),'자료_한국심리'!$A31,"")</f>
        <v/>
      </c>
      <c r="V47">
        <f>IF(AND(ISNUMBER('자료_한국심리'!$D31),ISNUMBER('자료_한국심리'!$E31)),'자료_한국심리'!$D31,"")</f>
        <v/>
      </c>
      <c r="W47">
        <f>IF(AND(ISNUMBER('자료_한국심리'!$G31),ISNUMBER('자료_한국심리'!$H31)),'자료_한국심리'!$G31,"")</f>
        <v/>
      </c>
      <c r="X47">
        <f>IF(AND(ISNUMBER('자료_한국심리'!$J31),ISNUMBER('자료_한국심리'!$K31)),'자료_한국심리'!$J31,"")</f>
        <v/>
      </c>
      <c r="Y47">
        <f>IF(AND(ISNUMBER('자료_한국심리'!$M31),ISNUMBER('자료_한국심리'!$N31)),'자료_한국심리'!$M31,"")</f>
        <v/>
      </c>
    </row>
    <row r="48">
      <c r="A48" s="10">
        <f>IF(30&gt;$E$5,"",SMALL($U$19:$U$4018,$E$6+30))</f>
        <v/>
      </c>
      <c r="B48" s="29">
        <f>IF(A48="","",INDEX('자료_한국심리'!$B$3:$B$4002,MATCH(A48,$U$19:$U$4018,0)))</f>
        <v/>
      </c>
      <c r="C48" s="22">
        <f>""</f>
        <v/>
      </c>
      <c r="D48" s="29">
        <f>IF(A48="","",IFERROR(INDEX('자료_한국심리'!$E$3:$E$4002,MATCH(A48,$V$19:$V$4018,0)),D47))</f>
        <v/>
      </c>
      <c r="E48" s="30">
        <f>IF(A48="","",IFERROR(INDEX('자료_한국심리'!$H$3:$H$4002,MATCH(A48,$W$19:$W$4018,0)),E47))</f>
        <v/>
      </c>
      <c r="F48" s="30">
        <f>IF(A48="","",IFERROR(INDEX('자료_한국심리'!$K$3:$K$4002,MATCH(A48,$X$19:$X$4018,0)),F47))</f>
        <v/>
      </c>
      <c r="G48" s="30">
        <f>IF(AND(ISNUMBER(E48),ISNUMBER(F48)),ROUND(E48-F48,6),"")</f>
        <v/>
      </c>
      <c r="H48" s="25">
        <f>IF(A48="","",IFERROR(INDEX('자료_한국심리'!$N$3:$N$4002,MATCH(A48,$Y$19:$Y$4018,0)),H47))</f>
        <v/>
      </c>
      <c r="I48" s="31">
        <f>IF(AND(ISNUMBER(H48),ISNUMBER(H28)),IF(H28&gt;0,H48/H28-1,""),"")</f>
        <v/>
      </c>
      <c r="J48">
        <f>IF(A48="",0,IF(A48&gt;$B$5,1,0))</f>
        <v/>
      </c>
      <c r="K48" s="29">
        <f>IF(AND(J48=1,ISNUMBER(D48)),D48,"")</f>
        <v/>
      </c>
      <c r="L48" s="30">
        <f>IF(AND(J48=1,ISNUMBER(G48)),G48,"")</f>
        <v/>
      </c>
      <c r="M48" s="22">
        <f>IF(AND(J48=1,ISNUMBER(C48)),C48,"")</f>
        <v/>
      </c>
      <c r="N48" s="31">
        <f>IF(AND(J48=1,ISNUMBER(I48)),I48,"")</f>
        <v/>
      </c>
      <c r="O48" s="11">
        <f>IF(K48="","",100-IF($G$13=1,50,(_xlfn.RANK.AVG(K48,$K$19:$K$1518,1)-1)/($G$13-1)*100))</f>
        <v/>
      </c>
      <c r="P48" s="11">
        <f>IF(L48="","",100-IF($G$14=1,50,(_xlfn.RANK.AVG(L48,$L$19:$L$1518,1)-1)/($G$14-1)*100))</f>
        <v/>
      </c>
      <c r="Q48" s="11">
        <f>IF(M48="","",IF($G$15=1,50,(_xlfn.RANK.AVG(M48,$M$19:$M$1518,1)-1)/($G$15-1)*100))</f>
        <v/>
      </c>
      <c r="R48" s="11">
        <f>IF(N48="","",IF($G$16=1,50,(_xlfn.RANK.AVG(N48,$N$19:$N$1518,1)-1)/($G$16-1)*100))</f>
        <v/>
      </c>
      <c r="S48" s="11">
        <f>IF(COUNT(O48:R48)=4,ROUND(AVERAGE(O48:R48),6),"")</f>
        <v/>
      </c>
      <c r="U48">
        <f>IF(AND(ISNUMBER('자료_한국심리'!$A32),ISNUMBER('자료_한국심리'!$B32)),'자료_한국심리'!$A32,"")</f>
        <v/>
      </c>
      <c r="V48">
        <f>IF(AND(ISNUMBER('자료_한국심리'!$D32),ISNUMBER('자료_한국심리'!$E32)),'자료_한국심리'!$D32,"")</f>
        <v/>
      </c>
      <c r="W48">
        <f>IF(AND(ISNUMBER('자료_한국심리'!$G32),ISNUMBER('자료_한국심리'!$H32)),'자료_한국심리'!$G32,"")</f>
        <v/>
      </c>
      <c r="X48">
        <f>IF(AND(ISNUMBER('자료_한국심리'!$J32),ISNUMBER('자료_한국심리'!$K32)),'자료_한국심리'!$J32,"")</f>
        <v/>
      </c>
      <c r="Y48">
        <f>IF(AND(ISNUMBER('자료_한국심리'!$M32),ISNUMBER('자료_한국심리'!$N32)),'자료_한국심리'!$M32,"")</f>
        <v/>
      </c>
    </row>
    <row r="49">
      <c r="A49" s="10">
        <f>IF(31&gt;$E$5,"",SMALL($U$19:$U$4018,$E$6+31))</f>
        <v/>
      </c>
      <c r="B49" s="29">
        <f>IF(A49="","",INDEX('자료_한국심리'!$B$3:$B$4002,MATCH(A49,$U$19:$U$4018,0)))</f>
        <v/>
      </c>
      <c r="C49" s="22">
        <f>""</f>
        <v/>
      </c>
      <c r="D49" s="29">
        <f>IF(A49="","",IFERROR(INDEX('자료_한국심리'!$E$3:$E$4002,MATCH(A49,$V$19:$V$4018,0)),D48))</f>
        <v/>
      </c>
      <c r="E49" s="30">
        <f>IF(A49="","",IFERROR(INDEX('자료_한국심리'!$H$3:$H$4002,MATCH(A49,$W$19:$W$4018,0)),E48))</f>
        <v/>
      </c>
      <c r="F49" s="30">
        <f>IF(A49="","",IFERROR(INDEX('자료_한국심리'!$K$3:$K$4002,MATCH(A49,$X$19:$X$4018,0)),F48))</f>
        <v/>
      </c>
      <c r="G49" s="30">
        <f>IF(AND(ISNUMBER(E49),ISNUMBER(F49)),ROUND(E49-F49,6),"")</f>
        <v/>
      </c>
      <c r="H49" s="25">
        <f>IF(A49="","",IFERROR(INDEX('자료_한국심리'!$N$3:$N$4002,MATCH(A49,$Y$19:$Y$4018,0)),H48))</f>
        <v/>
      </c>
      <c r="I49" s="31">
        <f>IF(AND(ISNUMBER(H49),ISNUMBER(H29)),IF(H29&gt;0,H49/H29-1,""),"")</f>
        <v/>
      </c>
      <c r="J49">
        <f>IF(A49="",0,IF(A49&gt;$B$5,1,0))</f>
        <v/>
      </c>
      <c r="K49" s="29">
        <f>IF(AND(J49=1,ISNUMBER(D49)),D49,"")</f>
        <v/>
      </c>
      <c r="L49" s="30">
        <f>IF(AND(J49=1,ISNUMBER(G49)),G49,"")</f>
        <v/>
      </c>
      <c r="M49" s="22">
        <f>IF(AND(J49=1,ISNUMBER(C49)),C49,"")</f>
        <v/>
      </c>
      <c r="N49" s="31">
        <f>IF(AND(J49=1,ISNUMBER(I49)),I49,"")</f>
        <v/>
      </c>
      <c r="O49" s="11">
        <f>IF(K49="","",100-IF($G$13=1,50,(_xlfn.RANK.AVG(K49,$K$19:$K$1518,1)-1)/($G$13-1)*100))</f>
        <v/>
      </c>
      <c r="P49" s="11">
        <f>IF(L49="","",100-IF($G$14=1,50,(_xlfn.RANK.AVG(L49,$L$19:$L$1518,1)-1)/($G$14-1)*100))</f>
        <v/>
      </c>
      <c r="Q49" s="11">
        <f>IF(M49="","",IF($G$15=1,50,(_xlfn.RANK.AVG(M49,$M$19:$M$1518,1)-1)/($G$15-1)*100))</f>
        <v/>
      </c>
      <c r="R49" s="11">
        <f>IF(N49="","",IF($G$16=1,50,(_xlfn.RANK.AVG(N49,$N$19:$N$1518,1)-1)/($G$16-1)*100))</f>
        <v/>
      </c>
      <c r="S49" s="11">
        <f>IF(COUNT(O49:R49)=4,ROUND(AVERAGE(O49:R49),6),"")</f>
        <v/>
      </c>
      <c r="U49">
        <f>IF(AND(ISNUMBER('자료_한국심리'!$A33),ISNUMBER('자료_한국심리'!$B33)),'자료_한국심리'!$A33,"")</f>
        <v/>
      </c>
      <c r="V49">
        <f>IF(AND(ISNUMBER('자료_한국심리'!$D33),ISNUMBER('자료_한국심리'!$E33)),'자료_한국심리'!$D33,"")</f>
        <v/>
      </c>
      <c r="W49">
        <f>IF(AND(ISNUMBER('자료_한국심리'!$G33),ISNUMBER('자료_한국심리'!$H33)),'자료_한국심리'!$G33,"")</f>
        <v/>
      </c>
      <c r="X49">
        <f>IF(AND(ISNUMBER('자료_한국심리'!$J33),ISNUMBER('자료_한국심리'!$K33)),'자료_한국심리'!$J33,"")</f>
        <v/>
      </c>
      <c r="Y49">
        <f>IF(AND(ISNUMBER('자료_한국심리'!$M33),ISNUMBER('자료_한국심리'!$N33)),'자료_한국심리'!$M33,"")</f>
        <v/>
      </c>
    </row>
    <row r="50">
      <c r="A50" s="10">
        <f>IF(32&gt;$E$5,"",SMALL($U$19:$U$4018,$E$6+32))</f>
        <v/>
      </c>
      <c r="B50" s="29">
        <f>IF(A50="","",INDEX('자료_한국심리'!$B$3:$B$4002,MATCH(A50,$U$19:$U$4018,0)))</f>
        <v/>
      </c>
      <c r="C50" s="22">
        <f>""</f>
        <v/>
      </c>
      <c r="D50" s="29">
        <f>IF(A50="","",IFERROR(INDEX('자료_한국심리'!$E$3:$E$4002,MATCH(A50,$V$19:$V$4018,0)),D49))</f>
        <v/>
      </c>
      <c r="E50" s="30">
        <f>IF(A50="","",IFERROR(INDEX('자료_한국심리'!$H$3:$H$4002,MATCH(A50,$W$19:$W$4018,0)),E49))</f>
        <v/>
      </c>
      <c r="F50" s="30">
        <f>IF(A50="","",IFERROR(INDEX('자료_한국심리'!$K$3:$K$4002,MATCH(A50,$X$19:$X$4018,0)),F49))</f>
        <v/>
      </c>
      <c r="G50" s="30">
        <f>IF(AND(ISNUMBER(E50),ISNUMBER(F50)),ROUND(E50-F50,6),"")</f>
        <v/>
      </c>
      <c r="H50" s="25">
        <f>IF(A50="","",IFERROR(INDEX('자료_한국심리'!$N$3:$N$4002,MATCH(A50,$Y$19:$Y$4018,0)),H49))</f>
        <v/>
      </c>
      <c r="I50" s="31">
        <f>IF(AND(ISNUMBER(H50),ISNUMBER(H30)),IF(H30&gt;0,H50/H30-1,""),"")</f>
        <v/>
      </c>
      <c r="J50">
        <f>IF(A50="",0,IF(A50&gt;$B$5,1,0))</f>
        <v/>
      </c>
      <c r="K50" s="29">
        <f>IF(AND(J50=1,ISNUMBER(D50)),D50,"")</f>
        <v/>
      </c>
      <c r="L50" s="30">
        <f>IF(AND(J50=1,ISNUMBER(G50)),G50,"")</f>
        <v/>
      </c>
      <c r="M50" s="22">
        <f>IF(AND(J50=1,ISNUMBER(C50)),C50,"")</f>
        <v/>
      </c>
      <c r="N50" s="31">
        <f>IF(AND(J50=1,ISNUMBER(I50)),I50,"")</f>
        <v/>
      </c>
      <c r="O50" s="11">
        <f>IF(K50="","",100-IF($G$13=1,50,(_xlfn.RANK.AVG(K50,$K$19:$K$1518,1)-1)/($G$13-1)*100))</f>
        <v/>
      </c>
      <c r="P50" s="11">
        <f>IF(L50="","",100-IF($G$14=1,50,(_xlfn.RANK.AVG(L50,$L$19:$L$1518,1)-1)/($G$14-1)*100))</f>
        <v/>
      </c>
      <c r="Q50" s="11">
        <f>IF(M50="","",IF($G$15=1,50,(_xlfn.RANK.AVG(M50,$M$19:$M$1518,1)-1)/($G$15-1)*100))</f>
        <v/>
      </c>
      <c r="R50" s="11">
        <f>IF(N50="","",IF($G$16=1,50,(_xlfn.RANK.AVG(N50,$N$19:$N$1518,1)-1)/($G$16-1)*100))</f>
        <v/>
      </c>
      <c r="S50" s="11">
        <f>IF(COUNT(O50:R50)=4,ROUND(AVERAGE(O50:R50),6),"")</f>
        <v/>
      </c>
      <c r="U50">
        <f>IF(AND(ISNUMBER('자료_한국심리'!$A34),ISNUMBER('자료_한국심리'!$B34)),'자료_한국심리'!$A34,"")</f>
        <v/>
      </c>
      <c r="V50">
        <f>IF(AND(ISNUMBER('자료_한국심리'!$D34),ISNUMBER('자료_한국심리'!$E34)),'자료_한국심리'!$D34,"")</f>
        <v/>
      </c>
      <c r="W50">
        <f>IF(AND(ISNUMBER('자료_한국심리'!$G34),ISNUMBER('자료_한국심리'!$H34)),'자료_한국심리'!$G34,"")</f>
        <v/>
      </c>
      <c r="X50">
        <f>IF(AND(ISNUMBER('자료_한국심리'!$J34),ISNUMBER('자료_한국심리'!$K34)),'자료_한국심리'!$J34,"")</f>
        <v/>
      </c>
      <c r="Y50">
        <f>IF(AND(ISNUMBER('자료_한국심리'!$M34),ISNUMBER('자료_한국심리'!$N34)),'자료_한국심리'!$M34,"")</f>
        <v/>
      </c>
    </row>
    <row r="51">
      <c r="A51" s="10">
        <f>IF(33&gt;$E$5,"",SMALL($U$19:$U$4018,$E$6+33))</f>
        <v/>
      </c>
      <c r="B51" s="29">
        <f>IF(A51="","",INDEX('자료_한국심리'!$B$3:$B$4002,MATCH(A51,$U$19:$U$4018,0)))</f>
        <v/>
      </c>
      <c r="C51" s="22">
        <f>""</f>
        <v/>
      </c>
      <c r="D51" s="29">
        <f>IF(A51="","",IFERROR(INDEX('자료_한국심리'!$E$3:$E$4002,MATCH(A51,$V$19:$V$4018,0)),D50))</f>
        <v/>
      </c>
      <c r="E51" s="30">
        <f>IF(A51="","",IFERROR(INDEX('자료_한국심리'!$H$3:$H$4002,MATCH(A51,$W$19:$W$4018,0)),E50))</f>
        <v/>
      </c>
      <c r="F51" s="30">
        <f>IF(A51="","",IFERROR(INDEX('자료_한국심리'!$K$3:$K$4002,MATCH(A51,$X$19:$X$4018,0)),F50))</f>
        <v/>
      </c>
      <c r="G51" s="30">
        <f>IF(AND(ISNUMBER(E51),ISNUMBER(F51)),ROUND(E51-F51,6),"")</f>
        <v/>
      </c>
      <c r="H51" s="25">
        <f>IF(A51="","",IFERROR(INDEX('자료_한국심리'!$N$3:$N$4002,MATCH(A51,$Y$19:$Y$4018,0)),H50))</f>
        <v/>
      </c>
      <c r="I51" s="31">
        <f>IF(AND(ISNUMBER(H51),ISNUMBER(H31)),IF(H31&gt;0,H51/H31-1,""),"")</f>
        <v/>
      </c>
      <c r="J51">
        <f>IF(A51="",0,IF(A51&gt;$B$5,1,0))</f>
        <v/>
      </c>
      <c r="K51" s="29">
        <f>IF(AND(J51=1,ISNUMBER(D51)),D51,"")</f>
        <v/>
      </c>
      <c r="L51" s="30">
        <f>IF(AND(J51=1,ISNUMBER(G51)),G51,"")</f>
        <v/>
      </c>
      <c r="M51" s="22">
        <f>IF(AND(J51=1,ISNUMBER(C51)),C51,"")</f>
        <v/>
      </c>
      <c r="N51" s="31">
        <f>IF(AND(J51=1,ISNUMBER(I51)),I51,"")</f>
        <v/>
      </c>
      <c r="O51" s="11">
        <f>IF(K51="","",100-IF($G$13=1,50,(_xlfn.RANK.AVG(K51,$K$19:$K$1518,1)-1)/($G$13-1)*100))</f>
        <v/>
      </c>
      <c r="P51" s="11">
        <f>IF(L51="","",100-IF($G$14=1,50,(_xlfn.RANK.AVG(L51,$L$19:$L$1518,1)-1)/($G$14-1)*100))</f>
        <v/>
      </c>
      <c r="Q51" s="11">
        <f>IF(M51="","",IF($G$15=1,50,(_xlfn.RANK.AVG(M51,$M$19:$M$1518,1)-1)/($G$15-1)*100))</f>
        <v/>
      </c>
      <c r="R51" s="11">
        <f>IF(N51="","",IF($G$16=1,50,(_xlfn.RANK.AVG(N51,$N$19:$N$1518,1)-1)/($G$16-1)*100))</f>
        <v/>
      </c>
      <c r="S51" s="11">
        <f>IF(COUNT(O51:R51)=4,ROUND(AVERAGE(O51:R51),6),"")</f>
        <v/>
      </c>
      <c r="U51">
        <f>IF(AND(ISNUMBER('자료_한국심리'!$A35),ISNUMBER('자료_한국심리'!$B35)),'자료_한국심리'!$A35,"")</f>
        <v/>
      </c>
      <c r="V51">
        <f>IF(AND(ISNUMBER('자료_한국심리'!$D35),ISNUMBER('자료_한국심리'!$E35)),'자료_한국심리'!$D35,"")</f>
        <v/>
      </c>
      <c r="W51">
        <f>IF(AND(ISNUMBER('자료_한국심리'!$G35),ISNUMBER('자료_한국심리'!$H35)),'자료_한국심리'!$G35,"")</f>
        <v/>
      </c>
      <c r="X51">
        <f>IF(AND(ISNUMBER('자료_한국심리'!$J35),ISNUMBER('자료_한국심리'!$K35)),'자료_한국심리'!$J35,"")</f>
        <v/>
      </c>
      <c r="Y51">
        <f>IF(AND(ISNUMBER('자료_한국심리'!$M35),ISNUMBER('자료_한국심리'!$N35)),'자료_한국심리'!$M35,"")</f>
        <v/>
      </c>
    </row>
    <row r="52">
      <c r="A52" s="10">
        <f>IF(34&gt;$E$5,"",SMALL($U$19:$U$4018,$E$6+34))</f>
        <v/>
      </c>
      <c r="B52" s="29">
        <f>IF(A52="","",INDEX('자료_한국심리'!$B$3:$B$4002,MATCH(A52,$U$19:$U$4018,0)))</f>
        <v/>
      </c>
      <c r="C52" s="22">
        <f>""</f>
        <v/>
      </c>
      <c r="D52" s="29">
        <f>IF(A52="","",IFERROR(INDEX('자료_한국심리'!$E$3:$E$4002,MATCH(A52,$V$19:$V$4018,0)),D51))</f>
        <v/>
      </c>
      <c r="E52" s="30">
        <f>IF(A52="","",IFERROR(INDEX('자료_한국심리'!$H$3:$H$4002,MATCH(A52,$W$19:$W$4018,0)),E51))</f>
        <v/>
      </c>
      <c r="F52" s="30">
        <f>IF(A52="","",IFERROR(INDEX('자료_한국심리'!$K$3:$K$4002,MATCH(A52,$X$19:$X$4018,0)),F51))</f>
        <v/>
      </c>
      <c r="G52" s="30">
        <f>IF(AND(ISNUMBER(E52),ISNUMBER(F52)),ROUND(E52-F52,6),"")</f>
        <v/>
      </c>
      <c r="H52" s="25">
        <f>IF(A52="","",IFERROR(INDEX('자료_한국심리'!$N$3:$N$4002,MATCH(A52,$Y$19:$Y$4018,0)),H51))</f>
        <v/>
      </c>
      <c r="I52" s="31">
        <f>IF(AND(ISNUMBER(H52),ISNUMBER(H32)),IF(H32&gt;0,H52/H32-1,""),"")</f>
        <v/>
      </c>
      <c r="J52">
        <f>IF(A52="",0,IF(A52&gt;$B$5,1,0))</f>
        <v/>
      </c>
      <c r="K52" s="29">
        <f>IF(AND(J52=1,ISNUMBER(D52)),D52,"")</f>
        <v/>
      </c>
      <c r="L52" s="30">
        <f>IF(AND(J52=1,ISNUMBER(G52)),G52,"")</f>
        <v/>
      </c>
      <c r="M52" s="22">
        <f>IF(AND(J52=1,ISNUMBER(C52)),C52,"")</f>
        <v/>
      </c>
      <c r="N52" s="31">
        <f>IF(AND(J52=1,ISNUMBER(I52)),I52,"")</f>
        <v/>
      </c>
      <c r="O52" s="11">
        <f>IF(K52="","",100-IF($G$13=1,50,(_xlfn.RANK.AVG(K52,$K$19:$K$1518,1)-1)/($G$13-1)*100))</f>
        <v/>
      </c>
      <c r="P52" s="11">
        <f>IF(L52="","",100-IF($G$14=1,50,(_xlfn.RANK.AVG(L52,$L$19:$L$1518,1)-1)/($G$14-1)*100))</f>
        <v/>
      </c>
      <c r="Q52" s="11">
        <f>IF(M52="","",IF($G$15=1,50,(_xlfn.RANK.AVG(M52,$M$19:$M$1518,1)-1)/($G$15-1)*100))</f>
        <v/>
      </c>
      <c r="R52" s="11">
        <f>IF(N52="","",IF($G$16=1,50,(_xlfn.RANK.AVG(N52,$N$19:$N$1518,1)-1)/($G$16-1)*100))</f>
        <v/>
      </c>
      <c r="S52" s="11">
        <f>IF(COUNT(O52:R52)=4,ROUND(AVERAGE(O52:R52),6),"")</f>
        <v/>
      </c>
      <c r="U52">
        <f>IF(AND(ISNUMBER('자료_한국심리'!$A36),ISNUMBER('자료_한국심리'!$B36)),'자료_한국심리'!$A36,"")</f>
        <v/>
      </c>
      <c r="V52">
        <f>IF(AND(ISNUMBER('자료_한국심리'!$D36),ISNUMBER('자료_한국심리'!$E36)),'자료_한국심리'!$D36,"")</f>
        <v/>
      </c>
      <c r="W52">
        <f>IF(AND(ISNUMBER('자료_한국심리'!$G36),ISNUMBER('자료_한국심리'!$H36)),'자료_한국심리'!$G36,"")</f>
        <v/>
      </c>
      <c r="X52">
        <f>IF(AND(ISNUMBER('자료_한국심리'!$J36),ISNUMBER('자료_한국심리'!$K36)),'자료_한국심리'!$J36,"")</f>
        <v/>
      </c>
      <c r="Y52">
        <f>IF(AND(ISNUMBER('자료_한국심리'!$M36),ISNUMBER('자료_한국심리'!$N36)),'자료_한국심리'!$M36,"")</f>
        <v/>
      </c>
    </row>
    <row r="53">
      <c r="A53" s="10">
        <f>IF(35&gt;$E$5,"",SMALL($U$19:$U$4018,$E$6+35))</f>
        <v/>
      </c>
      <c r="B53" s="29">
        <f>IF(A53="","",INDEX('자료_한국심리'!$B$3:$B$4002,MATCH(A53,$U$19:$U$4018,0)))</f>
        <v/>
      </c>
      <c r="C53" s="22">
        <f>""</f>
        <v/>
      </c>
      <c r="D53" s="29">
        <f>IF(A53="","",IFERROR(INDEX('자료_한국심리'!$E$3:$E$4002,MATCH(A53,$V$19:$V$4018,0)),D52))</f>
        <v/>
      </c>
      <c r="E53" s="30">
        <f>IF(A53="","",IFERROR(INDEX('자료_한국심리'!$H$3:$H$4002,MATCH(A53,$W$19:$W$4018,0)),E52))</f>
        <v/>
      </c>
      <c r="F53" s="30">
        <f>IF(A53="","",IFERROR(INDEX('자료_한국심리'!$K$3:$K$4002,MATCH(A53,$X$19:$X$4018,0)),F52))</f>
        <v/>
      </c>
      <c r="G53" s="30">
        <f>IF(AND(ISNUMBER(E53),ISNUMBER(F53)),ROUND(E53-F53,6),"")</f>
        <v/>
      </c>
      <c r="H53" s="25">
        <f>IF(A53="","",IFERROR(INDEX('자료_한국심리'!$N$3:$N$4002,MATCH(A53,$Y$19:$Y$4018,0)),H52))</f>
        <v/>
      </c>
      <c r="I53" s="31">
        <f>IF(AND(ISNUMBER(H53),ISNUMBER(H33)),IF(H33&gt;0,H53/H33-1,""),"")</f>
        <v/>
      </c>
      <c r="J53">
        <f>IF(A53="",0,IF(A53&gt;$B$5,1,0))</f>
        <v/>
      </c>
      <c r="K53" s="29">
        <f>IF(AND(J53=1,ISNUMBER(D53)),D53,"")</f>
        <v/>
      </c>
      <c r="L53" s="30">
        <f>IF(AND(J53=1,ISNUMBER(G53)),G53,"")</f>
        <v/>
      </c>
      <c r="M53" s="22">
        <f>IF(AND(J53=1,ISNUMBER(C53)),C53,"")</f>
        <v/>
      </c>
      <c r="N53" s="31">
        <f>IF(AND(J53=1,ISNUMBER(I53)),I53,"")</f>
        <v/>
      </c>
      <c r="O53" s="11">
        <f>IF(K53="","",100-IF($G$13=1,50,(_xlfn.RANK.AVG(K53,$K$19:$K$1518,1)-1)/($G$13-1)*100))</f>
        <v/>
      </c>
      <c r="P53" s="11">
        <f>IF(L53="","",100-IF($G$14=1,50,(_xlfn.RANK.AVG(L53,$L$19:$L$1518,1)-1)/($G$14-1)*100))</f>
        <v/>
      </c>
      <c r="Q53" s="11">
        <f>IF(M53="","",IF($G$15=1,50,(_xlfn.RANK.AVG(M53,$M$19:$M$1518,1)-1)/($G$15-1)*100))</f>
        <v/>
      </c>
      <c r="R53" s="11">
        <f>IF(N53="","",IF($G$16=1,50,(_xlfn.RANK.AVG(N53,$N$19:$N$1518,1)-1)/($G$16-1)*100))</f>
        <v/>
      </c>
      <c r="S53" s="11">
        <f>IF(COUNT(O53:R53)=4,ROUND(AVERAGE(O53:R53),6),"")</f>
        <v/>
      </c>
      <c r="U53">
        <f>IF(AND(ISNUMBER('자료_한국심리'!$A37),ISNUMBER('자료_한국심리'!$B37)),'자료_한국심리'!$A37,"")</f>
        <v/>
      </c>
      <c r="V53">
        <f>IF(AND(ISNUMBER('자료_한국심리'!$D37),ISNUMBER('자료_한국심리'!$E37)),'자료_한국심리'!$D37,"")</f>
        <v/>
      </c>
      <c r="W53">
        <f>IF(AND(ISNUMBER('자료_한국심리'!$G37),ISNUMBER('자료_한국심리'!$H37)),'자료_한국심리'!$G37,"")</f>
        <v/>
      </c>
      <c r="X53">
        <f>IF(AND(ISNUMBER('자료_한국심리'!$J37),ISNUMBER('자료_한국심리'!$K37)),'자료_한국심리'!$J37,"")</f>
        <v/>
      </c>
      <c r="Y53">
        <f>IF(AND(ISNUMBER('자료_한국심리'!$M37),ISNUMBER('자료_한국심리'!$N37)),'자료_한국심리'!$M37,"")</f>
        <v/>
      </c>
    </row>
    <row r="54">
      <c r="A54" s="10">
        <f>IF(36&gt;$E$5,"",SMALL($U$19:$U$4018,$E$6+36))</f>
        <v/>
      </c>
      <c r="B54" s="29">
        <f>IF(A54="","",INDEX('자료_한국심리'!$B$3:$B$4002,MATCH(A54,$U$19:$U$4018,0)))</f>
        <v/>
      </c>
      <c r="C54" s="22">
        <f>""</f>
        <v/>
      </c>
      <c r="D54" s="29">
        <f>IF(A54="","",IFERROR(INDEX('자료_한국심리'!$E$3:$E$4002,MATCH(A54,$V$19:$V$4018,0)),D53))</f>
        <v/>
      </c>
      <c r="E54" s="30">
        <f>IF(A54="","",IFERROR(INDEX('자료_한국심리'!$H$3:$H$4002,MATCH(A54,$W$19:$W$4018,0)),E53))</f>
        <v/>
      </c>
      <c r="F54" s="30">
        <f>IF(A54="","",IFERROR(INDEX('자료_한국심리'!$K$3:$K$4002,MATCH(A54,$X$19:$X$4018,0)),F53))</f>
        <v/>
      </c>
      <c r="G54" s="30">
        <f>IF(AND(ISNUMBER(E54),ISNUMBER(F54)),ROUND(E54-F54,6),"")</f>
        <v/>
      </c>
      <c r="H54" s="25">
        <f>IF(A54="","",IFERROR(INDEX('자료_한국심리'!$N$3:$N$4002,MATCH(A54,$Y$19:$Y$4018,0)),H53))</f>
        <v/>
      </c>
      <c r="I54" s="31">
        <f>IF(AND(ISNUMBER(H54),ISNUMBER(H34)),IF(H34&gt;0,H54/H34-1,""),"")</f>
        <v/>
      </c>
      <c r="J54">
        <f>IF(A54="",0,IF(A54&gt;$B$5,1,0))</f>
        <v/>
      </c>
      <c r="K54" s="29">
        <f>IF(AND(J54=1,ISNUMBER(D54)),D54,"")</f>
        <v/>
      </c>
      <c r="L54" s="30">
        <f>IF(AND(J54=1,ISNUMBER(G54)),G54,"")</f>
        <v/>
      </c>
      <c r="M54" s="22">
        <f>IF(AND(J54=1,ISNUMBER(C54)),C54,"")</f>
        <v/>
      </c>
      <c r="N54" s="31">
        <f>IF(AND(J54=1,ISNUMBER(I54)),I54,"")</f>
        <v/>
      </c>
      <c r="O54" s="11">
        <f>IF(K54="","",100-IF($G$13=1,50,(_xlfn.RANK.AVG(K54,$K$19:$K$1518,1)-1)/($G$13-1)*100))</f>
        <v/>
      </c>
      <c r="P54" s="11">
        <f>IF(L54="","",100-IF($G$14=1,50,(_xlfn.RANK.AVG(L54,$L$19:$L$1518,1)-1)/($G$14-1)*100))</f>
        <v/>
      </c>
      <c r="Q54" s="11">
        <f>IF(M54="","",IF($G$15=1,50,(_xlfn.RANK.AVG(M54,$M$19:$M$1518,1)-1)/($G$15-1)*100))</f>
        <v/>
      </c>
      <c r="R54" s="11">
        <f>IF(N54="","",IF($G$16=1,50,(_xlfn.RANK.AVG(N54,$N$19:$N$1518,1)-1)/($G$16-1)*100))</f>
        <v/>
      </c>
      <c r="S54" s="11">
        <f>IF(COUNT(O54:R54)=4,ROUND(AVERAGE(O54:R54),6),"")</f>
        <v/>
      </c>
      <c r="U54">
        <f>IF(AND(ISNUMBER('자료_한국심리'!$A38),ISNUMBER('자료_한국심리'!$B38)),'자료_한국심리'!$A38,"")</f>
        <v/>
      </c>
      <c r="V54">
        <f>IF(AND(ISNUMBER('자료_한국심리'!$D38),ISNUMBER('자료_한국심리'!$E38)),'자료_한국심리'!$D38,"")</f>
        <v/>
      </c>
      <c r="W54">
        <f>IF(AND(ISNUMBER('자료_한국심리'!$G38),ISNUMBER('자료_한국심리'!$H38)),'자료_한국심리'!$G38,"")</f>
        <v/>
      </c>
      <c r="X54">
        <f>IF(AND(ISNUMBER('자료_한국심리'!$J38),ISNUMBER('자료_한국심리'!$K38)),'자료_한국심리'!$J38,"")</f>
        <v/>
      </c>
      <c r="Y54">
        <f>IF(AND(ISNUMBER('자료_한국심리'!$M38),ISNUMBER('자료_한국심리'!$N38)),'자료_한국심리'!$M38,"")</f>
        <v/>
      </c>
    </row>
    <row r="55">
      <c r="A55" s="10">
        <f>IF(37&gt;$E$5,"",SMALL($U$19:$U$4018,$E$6+37))</f>
        <v/>
      </c>
      <c r="B55" s="29">
        <f>IF(A55="","",INDEX('자료_한국심리'!$B$3:$B$4002,MATCH(A55,$U$19:$U$4018,0)))</f>
        <v/>
      </c>
      <c r="C55" s="22">
        <f>""</f>
        <v/>
      </c>
      <c r="D55" s="29">
        <f>IF(A55="","",IFERROR(INDEX('자료_한국심리'!$E$3:$E$4002,MATCH(A55,$V$19:$V$4018,0)),D54))</f>
        <v/>
      </c>
      <c r="E55" s="30">
        <f>IF(A55="","",IFERROR(INDEX('자료_한국심리'!$H$3:$H$4002,MATCH(A55,$W$19:$W$4018,0)),E54))</f>
        <v/>
      </c>
      <c r="F55" s="30">
        <f>IF(A55="","",IFERROR(INDEX('자료_한국심리'!$K$3:$K$4002,MATCH(A55,$X$19:$X$4018,0)),F54))</f>
        <v/>
      </c>
      <c r="G55" s="30">
        <f>IF(AND(ISNUMBER(E55),ISNUMBER(F55)),ROUND(E55-F55,6),"")</f>
        <v/>
      </c>
      <c r="H55" s="25">
        <f>IF(A55="","",IFERROR(INDEX('자료_한국심리'!$N$3:$N$4002,MATCH(A55,$Y$19:$Y$4018,0)),H54))</f>
        <v/>
      </c>
      <c r="I55" s="31">
        <f>IF(AND(ISNUMBER(H55),ISNUMBER(H35)),IF(H35&gt;0,H55/H35-1,""),"")</f>
        <v/>
      </c>
      <c r="J55">
        <f>IF(A55="",0,IF(A55&gt;$B$5,1,0))</f>
        <v/>
      </c>
      <c r="K55" s="29">
        <f>IF(AND(J55=1,ISNUMBER(D55)),D55,"")</f>
        <v/>
      </c>
      <c r="L55" s="30">
        <f>IF(AND(J55=1,ISNUMBER(G55)),G55,"")</f>
        <v/>
      </c>
      <c r="M55" s="22">
        <f>IF(AND(J55=1,ISNUMBER(C55)),C55,"")</f>
        <v/>
      </c>
      <c r="N55" s="31">
        <f>IF(AND(J55=1,ISNUMBER(I55)),I55,"")</f>
        <v/>
      </c>
      <c r="O55" s="11">
        <f>IF(K55="","",100-IF($G$13=1,50,(_xlfn.RANK.AVG(K55,$K$19:$K$1518,1)-1)/($G$13-1)*100))</f>
        <v/>
      </c>
      <c r="P55" s="11">
        <f>IF(L55="","",100-IF($G$14=1,50,(_xlfn.RANK.AVG(L55,$L$19:$L$1518,1)-1)/($G$14-1)*100))</f>
        <v/>
      </c>
      <c r="Q55" s="11">
        <f>IF(M55="","",IF($G$15=1,50,(_xlfn.RANK.AVG(M55,$M$19:$M$1518,1)-1)/($G$15-1)*100))</f>
        <v/>
      </c>
      <c r="R55" s="11">
        <f>IF(N55="","",IF($G$16=1,50,(_xlfn.RANK.AVG(N55,$N$19:$N$1518,1)-1)/($G$16-1)*100))</f>
        <v/>
      </c>
      <c r="S55" s="11">
        <f>IF(COUNT(O55:R55)=4,ROUND(AVERAGE(O55:R55),6),"")</f>
        <v/>
      </c>
      <c r="U55">
        <f>IF(AND(ISNUMBER('자료_한국심리'!$A39),ISNUMBER('자료_한국심리'!$B39)),'자료_한국심리'!$A39,"")</f>
        <v/>
      </c>
      <c r="V55">
        <f>IF(AND(ISNUMBER('자료_한국심리'!$D39),ISNUMBER('자료_한국심리'!$E39)),'자료_한국심리'!$D39,"")</f>
        <v/>
      </c>
      <c r="W55">
        <f>IF(AND(ISNUMBER('자료_한국심리'!$G39),ISNUMBER('자료_한국심리'!$H39)),'자료_한국심리'!$G39,"")</f>
        <v/>
      </c>
      <c r="X55">
        <f>IF(AND(ISNUMBER('자료_한국심리'!$J39),ISNUMBER('자료_한국심리'!$K39)),'자료_한국심리'!$J39,"")</f>
        <v/>
      </c>
      <c r="Y55">
        <f>IF(AND(ISNUMBER('자료_한국심리'!$M39),ISNUMBER('자료_한국심리'!$N39)),'자료_한국심리'!$M39,"")</f>
        <v/>
      </c>
    </row>
    <row r="56">
      <c r="A56" s="10">
        <f>IF(38&gt;$E$5,"",SMALL($U$19:$U$4018,$E$6+38))</f>
        <v/>
      </c>
      <c r="B56" s="29">
        <f>IF(A56="","",INDEX('자료_한국심리'!$B$3:$B$4002,MATCH(A56,$U$19:$U$4018,0)))</f>
        <v/>
      </c>
      <c r="C56" s="22">
        <f>""</f>
        <v/>
      </c>
      <c r="D56" s="29">
        <f>IF(A56="","",IFERROR(INDEX('자료_한국심리'!$E$3:$E$4002,MATCH(A56,$V$19:$V$4018,0)),D55))</f>
        <v/>
      </c>
      <c r="E56" s="30">
        <f>IF(A56="","",IFERROR(INDEX('자료_한국심리'!$H$3:$H$4002,MATCH(A56,$W$19:$W$4018,0)),E55))</f>
        <v/>
      </c>
      <c r="F56" s="30">
        <f>IF(A56="","",IFERROR(INDEX('자료_한국심리'!$K$3:$K$4002,MATCH(A56,$X$19:$X$4018,0)),F55))</f>
        <v/>
      </c>
      <c r="G56" s="30">
        <f>IF(AND(ISNUMBER(E56),ISNUMBER(F56)),ROUND(E56-F56,6),"")</f>
        <v/>
      </c>
      <c r="H56" s="25">
        <f>IF(A56="","",IFERROR(INDEX('자료_한국심리'!$N$3:$N$4002,MATCH(A56,$Y$19:$Y$4018,0)),H55))</f>
        <v/>
      </c>
      <c r="I56" s="31">
        <f>IF(AND(ISNUMBER(H56),ISNUMBER(H36)),IF(H36&gt;0,H56/H36-1,""),"")</f>
        <v/>
      </c>
      <c r="J56">
        <f>IF(A56="",0,IF(A56&gt;$B$5,1,0))</f>
        <v/>
      </c>
      <c r="K56" s="29">
        <f>IF(AND(J56=1,ISNUMBER(D56)),D56,"")</f>
        <v/>
      </c>
      <c r="L56" s="30">
        <f>IF(AND(J56=1,ISNUMBER(G56)),G56,"")</f>
        <v/>
      </c>
      <c r="M56" s="22">
        <f>IF(AND(J56=1,ISNUMBER(C56)),C56,"")</f>
        <v/>
      </c>
      <c r="N56" s="31">
        <f>IF(AND(J56=1,ISNUMBER(I56)),I56,"")</f>
        <v/>
      </c>
      <c r="O56" s="11">
        <f>IF(K56="","",100-IF($G$13=1,50,(_xlfn.RANK.AVG(K56,$K$19:$K$1518,1)-1)/($G$13-1)*100))</f>
        <v/>
      </c>
      <c r="P56" s="11">
        <f>IF(L56="","",100-IF($G$14=1,50,(_xlfn.RANK.AVG(L56,$L$19:$L$1518,1)-1)/($G$14-1)*100))</f>
        <v/>
      </c>
      <c r="Q56" s="11">
        <f>IF(M56="","",IF($G$15=1,50,(_xlfn.RANK.AVG(M56,$M$19:$M$1518,1)-1)/($G$15-1)*100))</f>
        <v/>
      </c>
      <c r="R56" s="11">
        <f>IF(N56="","",IF($G$16=1,50,(_xlfn.RANK.AVG(N56,$N$19:$N$1518,1)-1)/($G$16-1)*100))</f>
        <v/>
      </c>
      <c r="S56" s="11">
        <f>IF(COUNT(O56:R56)=4,ROUND(AVERAGE(O56:R56),6),"")</f>
        <v/>
      </c>
      <c r="U56">
        <f>IF(AND(ISNUMBER('자료_한국심리'!$A40),ISNUMBER('자료_한국심리'!$B40)),'자료_한국심리'!$A40,"")</f>
        <v/>
      </c>
      <c r="V56">
        <f>IF(AND(ISNUMBER('자료_한국심리'!$D40),ISNUMBER('자료_한국심리'!$E40)),'자료_한국심리'!$D40,"")</f>
        <v/>
      </c>
      <c r="W56">
        <f>IF(AND(ISNUMBER('자료_한국심리'!$G40),ISNUMBER('자료_한국심리'!$H40)),'자료_한국심리'!$G40,"")</f>
        <v/>
      </c>
      <c r="X56">
        <f>IF(AND(ISNUMBER('자료_한국심리'!$J40),ISNUMBER('자료_한국심리'!$K40)),'자료_한국심리'!$J40,"")</f>
        <v/>
      </c>
      <c r="Y56">
        <f>IF(AND(ISNUMBER('자료_한국심리'!$M40),ISNUMBER('자료_한국심리'!$N40)),'자료_한국심리'!$M40,"")</f>
        <v/>
      </c>
    </row>
    <row r="57">
      <c r="A57" s="10">
        <f>IF(39&gt;$E$5,"",SMALL($U$19:$U$4018,$E$6+39))</f>
        <v/>
      </c>
      <c r="B57" s="29">
        <f>IF(A57="","",INDEX('자료_한국심리'!$B$3:$B$4002,MATCH(A57,$U$19:$U$4018,0)))</f>
        <v/>
      </c>
      <c r="C57" s="22">
        <f>""</f>
        <v/>
      </c>
      <c r="D57" s="29">
        <f>IF(A57="","",IFERROR(INDEX('자료_한국심리'!$E$3:$E$4002,MATCH(A57,$V$19:$V$4018,0)),D56))</f>
        <v/>
      </c>
      <c r="E57" s="30">
        <f>IF(A57="","",IFERROR(INDEX('자료_한국심리'!$H$3:$H$4002,MATCH(A57,$W$19:$W$4018,0)),E56))</f>
        <v/>
      </c>
      <c r="F57" s="30">
        <f>IF(A57="","",IFERROR(INDEX('자료_한국심리'!$K$3:$K$4002,MATCH(A57,$X$19:$X$4018,0)),F56))</f>
        <v/>
      </c>
      <c r="G57" s="30">
        <f>IF(AND(ISNUMBER(E57),ISNUMBER(F57)),ROUND(E57-F57,6),"")</f>
        <v/>
      </c>
      <c r="H57" s="25">
        <f>IF(A57="","",IFERROR(INDEX('자료_한국심리'!$N$3:$N$4002,MATCH(A57,$Y$19:$Y$4018,0)),H56))</f>
        <v/>
      </c>
      <c r="I57" s="31">
        <f>IF(AND(ISNUMBER(H57),ISNUMBER(H37)),IF(H37&gt;0,H57/H37-1,""),"")</f>
        <v/>
      </c>
      <c r="J57">
        <f>IF(A57="",0,IF(A57&gt;$B$5,1,0))</f>
        <v/>
      </c>
      <c r="K57" s="29">
        <f>IF(AND(J57=1,ISNUMBER(D57)),D57,"")</f>
        <v/>
      </c>
      <c r="L57" s="30">
        <f>IF(AND(J57=1,ISNUMBER(G57)),G57,"")</f>
        <v/>
      </c>
      <c r="M57" s="22">
        <f>IF(AND(J57=1,ISNUMBER(C57)),C57,"")</f>
        <v/>
      </c>
      <c r="N57" s="31">
        <f>IF(AND(J57=1,ISNUMBER(I57)),I57,"")</f>
        <v/>
      </c>
      <c r="O57" s="11">
        <f>IF(K57="","",100-IF($G$13=1,50,(_xlfn.RANK.AVG(K57,$K$19:$K$1518,1)-1)/($G$13-1)*100))</f>
        <v/>
      </c>
      <c r="P57" s="11">
        <f>IF(L57="","",100-IF($G$14=1,50,(_xlfn.RANK.AVG(L57,$L$19:$L$1518,1)-1)/($G$14-1)*100))</f>
        <v/>
      </c>
      <c r="Q57" s="11">
        <f>IF(M57="","",IF($G$15=1,50,(_xlfn.RANK.AVG(M57,$M$19:$M$1518,1)-1)/($G$15-1)*100))</f>
        <v/>
      </c>
      <c r="R57" s="11">
        <f>IF(N57="","",IF($G$16=1,50,(_xlfn.RANK.AVG(N57,$N$19:$N$1518,1)-1)/($G$16-1)*100))</f>
        <v/>
      </c>
      <c r="S57" s="11">
        <f>IF(COUNT(O57:R57)=4,ROUND(AVERAGE(O57:R57),6),"")</f>
        <v/>
      </c>
      <c r="U57">
        <f>IF(AND(ISNUMBER('자료_한국심리'!$A41),ISNUMBER('자료_한국심리'!$B41)),'자료_한국심리'!$A41,"")</f>
        <v/>
      </c>
      <c r="V57">
        <f>IF(AND(ISNUMBER('자료_한국심리'!$D41),ISNUMBER('자료_한국심리'!$E41)),'자료_한국심리'!$D41,"")</f>
        <v/>
      </c>
      <c r="W57">
        <f>IF(AND(ISNUMBER('자료_한국심리'!$G41),ISNUMBER('자료_한국심리'!$H41)),'자료_한국심리'!$G41,"")</f>
        <v/>
      </c>
      <c r="X57">
        <f>IF(AND(ISNUMBER('자료_한국심리'!$J41),ISNUMBER('자료_한국심리'!$K41)),'자료_한국심리'!$J41,"")</f>
        <v/>
      </c>
      <c r="Y57">
        <f>IF(AND(ISNUMBER('자료_한국심리'!$M41),ISNUMBER('자료_한국심리'!$N41)),'자료_한국심리'!$M41,"")</f>
        <v/>
      </c>
    </row>
    <row r="58">
      <c r="A58" s="10">
        <f>IF(40&gt;$E$5,"",SMALL($U$19:$U$4018,$E$6+40))</f>
        <v/>
      </c>
      <c r="B58" s="29">
        <f>IF(A58="","",INDEX('자료_한국심리'!$B$3:$B$4002,MATCH(A58,$U$19:$U$4018,0)))</f>
        <v/>
      </c>
      <c r="C58" s="22">
        <f>""</f>
        <v/>
      </c>
      <c r="D58" s="29">
        <f>IF(A58="","",IFERROR(INDEX('자료_한국심리'!$E$3:$E$4002,MATCH(A58,$V$19:$V$4018,0)),D57))</f>
        <v/>
      </c>
      <c r="E58" s="30">
        <f>IF(A58="","",IFERROR(INDEX('자료_한국심리'!$H$3:$H$4002,MATCH(A58,$W$19:$W$4018,0)),E57))</f>
        <v/>
      </c>
      <c r="F58" s="30">
        <f>IF(A58="","",IFERROR(INDEX('자료_한국심리'!$K$3:$K$4002,MATCH(A58,$X$19:$X$4018,0)),F57))</f>
        <v/>
      </c>
      <c r="G58" s="30">
        <f>IF(AND(ISNUMBER(E58),ISNUMBER(F58)),ROUND(E58-F58,6),"")</f>
        <v/>
      </c>
      <c r="H58" s="25">
        <f>IF(A58="","",IFERROR(INDEX('자료_한국심리'!$N$3:$N$4002,MATCH(A58,$Y$19:$Y$4018,0)),H57))</f>
        <v/>
      </c>
      <c r="I58" s="31">
        <f>IF(AND(ISNUMBER(H58),ISNUMBER(H38)),IF(H38&gt;0,H58/H38-1,""),"")</f>
        <v/>
      </c>
      <c r="J58">
        <f>IF(A58="",0,IF(A58&gt;$B$5,1,0))</f>
        <v/>
      </c>
      <c r="K58" s="29">
        <f>IF(AND(J58=1,ISNUMBER(D58)),D58,"")</f>
        <v/>
      </c>
      <c r="L58" s="30">
        <f>IF(AND(J58=1,ISNUMBER(G58)),G58,"")</f>
        <v/>
      </c>
      <c r="M58" s="22">
        <f>IF(AND(J58=1,ISNUMBER(C58)),C58,"")</f>
        <v/>
      </c>
      <c r="N58" s="31">
        <f>IF(AND(J58=1,ISNUMBER(I58)),I58,"")</f>
        <v/>
      </c>
      <c r="O58" s="11">
        <f>IF(K58="","",100-IF($G$13=1,50,(_xlfn.RANK.AVG(K58,$K$19:$K$1518,1)-1)/($G$13-1)*100))</f>
        <v/>
      </c>
      <c r="P58" s="11">
        <f>IF(L58="","",100-IF($G$14=1,50,(_xlfn.RANK.AVG(L58,$L$19:$L$1518,1)-1)/($G$14-1)*100))</f>
        <v/>
      </c>
      <c r="Q58" s="11">
        <f>IF(M58="","",IF($G$15=1,50,(_xlfn.RANK.AVG(M58,$M$19:$M$1518,1)-1)/($G$15-1)*100))</f>
        <v/>
      </c>
      <c r="R58" s="11">
        <f>IF(N58="","",IF($G$16=1,50,(_xlfn.RANK.AVG(N58,$N$19:$N$1518,1)-1)/($G$16-1)*100))</f>
        <v/>
      </c>
      <c r="S58" s="11">
        <f>IF(COUNT(O58:R58)=4,ROUND(AVERAGE(O58:R58),6),"")</f>
        <v/>
      </c>
      <c r="U58">
        <f>IF(AND(ISNUMBER('자료_한국심리'!$A42),ISNUMBER('자료_한국심리'!$B42)),'자료_한국심리'!$A42,"")</f>
        <v/>
      </c>
      <c r="V58">
        <f>IF(AND(ISNUMBER('자료_한국심리'!$D42),ISNUMBER('자료_한국심리'!$E42)),'자료_한국심리'!$D42,"")</f>
        <v/>
      </c>
      <c r="W58">
        <f>IF(AND(ISNUMBER('자료_한국심리'!$G42),ISNUMBER('자료_한국심리'!$H42)),'자료_한국심리'!$G42,"")</f>
        <v/>
      </c>
      <c r="X58">
        <f>IF(AND(ISNUMBER('자료_한국심리'!$J42),ISNUMBER('자료_한국심리'!$K42)),'자료_한국심리'!$J42,"")</f>
        <v/>
      </c>
      <c r="Y58">
        <f>IF(AND(ISNUMBER('자료_한국심리'!$M42),ISNUMBER('자료_한국심리'!$N42)),'자료_한국심리'!$M42,"")</f>
        <v/>
      </c>
    </row>
    <row r="59">
      <c r="A59" s="10">
        <f>IF(41&gt;$E$5,"",SMALL($U$19:$U$4018,$E$6+41))</f>
        <v/>
      </c>
      <c r="B59" s="29">
        <f>IF(A59="","",INDEX('자료_한국심리'!$B$3:$B$4002,MATCH(A59,$U$19:$U$4018,0)))</f>
        <v/>
      </c>
      <c r="C59" s="22">
        <f>""</f>
        <v/>
      </c>
      <c r="D59" s="29">
        <f>IF(A59="","",IFERROR(INDEX('자료_한국심리'!$E$3:$E$4002,MATCH(A59,$V$19:$V$4018,0)),D58))</f>
        <v/>
      </c>
      <c r="E59" s="30">
        <f>IF(A59="","",IFERROR(INDEX('자료_한국심리'!$H$3:$H$4002,MATCH(A59,$W$19:$W$4018,0)),E58))</f>
        <v/>
      </c>
      <c r="F59" s="30">
        <f>IF(A59="","",IFERROR(INDEX('자료_한국심리'!$K$3:$K$4002,MATCH(A59,$X$19:$X$4018,0)),F58))</f>
        <v/>
      </c>
      <c r="G59" s="30">
        <f>IF(AND(ISNUMBER(E59),ISNUMBER(F59)),ROUND(E59-F59,6),"")</f>
        <v/>
      </c>
      <c r="H59" s="25">
        <f>IF(A59="","",IFERROR(INDEX('자료_한국심리'!$N$3:$N$4002,MATCH(A59,$Y$19:$Y$4018,0)),H58))</f>
        <v/>
      </c>
      <c r="I59" s="31">
        <f>IF(AND(ISNUMBER(H59),ISNUMBER(H39)),IF(H39&gt;0,H59/H39-1,""),"")</f>
        <v/>
      </c>
      <c r="J59">
        <f>IF(A59="",0,IF(A59&gt;$B$5,1,0))</f>
        <v/>
      </c>
      <c r="K59" s="29">
        <f>IF(AND(J59=1,ISNUMBER(D59)),D59,"")</f>
        <v/>
      </c>
      <c r="L59" s="30">
        <f>IF(AND(J59=1,ISNUMBER(G59)),G59,"")</f>
        <v/>
      </c>
      <c r="M59" s="22">
        <f>IF(AND(J59=1,ISNUMBER(C59)),C59,"")</f>
        <v/>
      </c>
      <c r="N59" s="31">
        <f>IF(AND(J59=1,ISNUMBER(I59)),I59,"")</f>
        <v/>
      </c>
      <c r="O59" s="11">
        <f>IF(K59="","",100-IF($G$13=1,50,(_xlfn.RANK.AVG(K59,$K$19:$K$1518,1)-1)/($G$13-1)*100))</f>
        <v/>
      </c>
      <c r="P59" s="11">
        <f>IF(L59="","",100-IF($G$14=1,50,(_xlfn.RANK.AVG(L59,$L$19:$L$1518,1)-1)/($G$14-1)*100))</f>
        <v/>
      </c>
      <c r="Q59" s="11">
        <f>IF(M59="","",IF($G$15=1,50,(_xlfn.RANK.AVG(M59,$M$19:$M$1518,1)-1)/($G$15-1)*100))</f>
        <v/>
      </c>
      <c r="R59" s="11">
        <f>IF(N59="","",IF($G$16=1,50,(_xlfn.RANK.AVG(N59,$N$19:$N$1518,1)-1)/($G$16-1)*100))</f>
        <v/>
      </c>
      <c r="S59" s="11">
        <f>IF(COUNT(O59:R59)=4,ROUND(AVERAGE(O59:R59),6),"")</f>
        <v/>
      </c>
      <c r="U59">
        <f>IF(AND(ISNUMBER('자료_한국심리'!$A43),ISNUMBER('자료_한국심리'!$B43)),'자료_한국심리'!$A43,"")</f>
        <v/>
      </c>
      <c r="V59">
        <f>IF(AND(ISNUMBER('자료_한국심리'!$D43),ISNUMBER('자료_한국심리'!$E43)),'자료_한국심리'!$D43,"")</f>
        <v/>
      </c>
      <c r="W59">
        <f>IF(AND(ISNUMBER('자료_한국심리'!$G43),ISNUMBER('자료_한국심리'!$H43)),'자료_한국심리'!$G43,"")</f>
        <v/>
      </c>
      <c r="X59">
        <f>IF(AND(ISNUMBER('자료_한국심리'!$J43),ISNUMBER('자료_한국심리'!$K43)),'자료_한국심리'!$J43,"")</f>
        <v/>
      </c>
      <c r="Y59">
        <f>IF(AND(ISNUMBER('자료_한국심리'!$M43),ISNUMBER('자료_한국심리'!$N43)),'자료_한국심리'!$M43,"")</f>
        <v/>
      </c>
    </row>
    <row r="60">
      <c r="A60" s="10">
        <f>IF(42&gt;$E$5,"",SMALL($U$19:$U$4018,$E$6+42))</f>
        <v/>
      </c>
      <c r="B60" s="29">
        <f>IF(A60="","",INDEX('자료_한국심리'!$B$3:$B$4002,MATCH(A60,$U$19:$U$4018,0)))</f>
        <v/>
      </c>
      <c r="C60" s="22">
        <f>""</f>
        <v/>
      </c>
      <c r="D60" s="29">
        <f>IF(A60="","",IFERROR(INDEX('자료_한국심리'!$E$3:$E$4002,MATCH(A60,$V$19:$V$4018,0)),D59))</f>
        <v/>
      </c>
      <c r="E60" s="30">
        <f>IF(A60="","",IFERROR(INDEX('자료_한국심리'!$H$3:$H$4002,MATCH(A60,$W$19:$W$4018,0)),E59))</f>
        <v/>
      </c>
      <c r="F60" s="30">
        <f>IF(A60="","",IFERROR(INDEX('자료_한국심리'!$K$3:$K$4002,MATCH(A60,$X$19:$X$4018,0)),F59))</f>
        <v/>
      </c>
      <c r="G60" s="30">
        <f>IF(AND(ISNUMBER(E60),ISNUMBER(F60)),ROUND(E60-F60,6),"")</f>
        <v/>
      </c>
      <c r="H60" s="25">
        <f>IF(A60="","",IFERROR(INDEX('자료_한국심리'!$N$3:$N$4002,MATCH(A60,$Y$19:$Y$4018,0)),H59))</f>
        <v/>
      </c>
      <c r="I60" s="31">
        <f>IF(AND(ISNUMBER(H60),ISNUMBER(H40)),IF(H40&gt;0,H60/H40-1,""),"")</f>
        <v/>
      </c>
      <c r="J60">
        <f>IF(A60="",0,IF(A60&gt;$B$5,1,0))</f>
        <v/>
      </c>
      <c r="K60" s="29">
        <f>IF(AND(J60=1,ISNUMBER(D60)),D60,"")</f>
        <v/>
      </c>
      <c r="L60" s="30">
        <f>IF(AND(J60=1,ISNUMBER(G60)),G60,"")</f>
        <v/>
      </c>
      <c r="M60" s="22">
        <f>IF(AND(J60=1,ISNUMBER(C60)),C60,"")</f>
        <v/>
      </c>
      <c r="N60" s="31">
        <f>IF(AND(J60=1,ISNUMBER(I60)),I60,"")</f>
        <v/>
      </c>
      <c r="O60" s="11">
        <f>IF(K60="","",100-IF($G$13=1,50,(_xlfn.RANK.AVG(K60,$K$19:$K$1518,1)-1)/($G$13-1)*100))</f>
        <v/>
      </c>
      <c r="P60" s="11">
        <f>IF(L60="","",100-IF($G$14=1,50,(_xlfn.RANK.AVG(L60,$L$19:$L$1518,1)-1)/($G$14-1)*100))</f>
        <v/>
      </c>
      <c r="Q60" s="11">
        <f>IF(M60="","",IF($G$15=1,50,(_xlfn.RANK.AVG(M60,$M$19:$M$1518,1)-1)/($G$15-1)*100))</f>
        <v/>
      </c>
      <c r="R60" s="11">
        <f>IF(N60="","",IF($G$16=1,50,(_xlfn.RANK.AVG(N60,$N$19:$N$1518,1)-1)/($G$16-1)*100))</f>
        <v/>
      </c>
      <c r="S60" s="11">
        <f>IF(COUNT(O60:R60)=4,ROUND(AVERAGE(O60:R60),6),"")</f>
        <v/>
      </c>
      <c r="U60">
        <f>IF(AND(ISNUMBER('자료_한국심리'!$A44),ISNUMBER('자료_한국심리'!$B44)),'자료_한국심리'!$A44,"")</f>
        <v/>
      </c>
      <c r="V60">
        <f>IF(AND(ISNUMBER('자료_한국심리'!$D44),ISNUMBER('자료_한국심리'!$E44)),'자료_한국심리'!$D44,"")</f>
        <v/>
      </c>
      <c r="W60">
        <f>IF(AND(ISNUMBER('자료_한국심리'!$G44),ISNUMBER('자료_한국심리'!$H44)),'자료_한국심리'!$G44,"")</f>
        <v/>
      </c>
      <c r="X60">
        <f>IF(AND(ISNUMBER('자료_한국심리'!$J44),ISNUMBER('자료_한국심리'!$K44)),'자료_한국심리'!$J44,"")</f>
        <v/>
      </c>
      <c r="Y60">
        <f>IF(AND(ISNUMBER('자료_한국심리'!$M44),ISNUMBER('자료_한국심리'!$N44)),'자료_한국심리'!$M44,"")</f>
        <v/>
      </c>
    </row>
    <row r="61">
      <c r="A61" s="10">
        <f>IF(43&gt;$E$5,"",SMALL($U$19:$U$4018,$E$6+43))</f>
        <v/>
      </c>
      <c r="B61" s="29">
        <f>IF(A61="","",INDEX('자료_한국심리'!$B$3:$B$4002,MATCH(A61,$U$19:$U$4018,0)))</f>
        <v/>
      </c>
      <c r="C61" s="22">
        <f>""</f>
        <v/>
      </c>
      <c r="D61" s="29">
        <f>IF(A61="","",IFERROR(INDEX('자료_한국심리'!$E$3:$E$4002,MATCH(A61,$V$19:$V$4018,0)),D60))</f>
        <v/>
      </c>
      <c r="E61" s="30">
        <f>IF(A61="","",IFERROR(INDEX('자료_한국심리'!$H$3:$H$4002,MATCH(A61,$W$19:$W$4018,0)),E60))</f>
        <v/>
      </c>
      <c r="F61" s="30">
        <f>IF(A61="","",IFERROR(INDEX('자료_한국심리'!$K$3:$K$4002,MATCH(A61,$X$19:$X$4018,0)),F60))</f>
        <v/>
      </c>
      <c r="G61" s="30">
        <f>IF(AND(ISNUMBER(E61),ISNUMBER(F61)),ROUND(E61-F61,6),"")</f>
        <v/>
      </c>
      <c r="H61" s="25">
        <f>IF(A61="","",IFERROR(INDEX('자료_한국심리'!$N$3:$N$4002,MATCH(A61,$Y$19:$Y$4018,0)),H60))</f>
        <v/>
      </c>
      <c r="I61" s="31">
        <f>IF(AND(ISNUMBER(H61),ISNUMBER(H41)),IF(H41&gt;0,H61/H41-1,""),"")</f>
        <v/>
      </c>
      <c r="J61">
        <f>IF(A61="",0,IF(A61&gt;$B$5,1,0))</f>
        <v/>
      </c>
      <c r="K61" s="29">
        <f>IF(AND(J61=1,ISNUMBER(D61)),D61,"")</f>
        <v/>
      </c>
      <c r="L61" s="30">
        <f>IF(AND(J61=1,ISNUMBER(G61)),G61,"")</f>
        <v/>
      </c>
      <c r="M61" s="22">
        <f>IF(AND(J61=1,ISNUMBER(C61)),C61,"")</f>
        <v/>
      </c>
      <c r="N61" s="31">
        <f>IF(AND(J61=1,ISNUMBER(I61)),I61,"")</f>
        <v/>
      </c>
      <c r="O61" s="11">
        <f>IF(K61="","",100-IF($G$13=1,50,(_xlfn.RANK.AVG(K61,$K$19:$K$1518,1)-1)/($G$13-1)*100))</f>
        <v/>
      </c>
      <c r="P61" s="11">
        <f>IF(L61="","",100-IF($G$14=1,50,(_xlfn.RANK.AVG(L61,$L$19:$L$1518,1)-1)/($G$14-1)*100))</f>
        <v/>
      </c>
      <c r="Q61" s="11">
        <f>IF(M61="","",IF($G$15=1,50,(_xlfn.RANK.AVG(M61,$M$19:$M$1518,1)-1)/($G$15-1)*100))</f>
        <v/>
      </c>
      <c r="R61" s="11">
        <f>IF(N61="","",IF($G$16=1,50,(_xlfn.RANK.AVG(N61,$N$19:$N$1518,1)-1)/($G$16-1)*100))</f>
        <v/>
      </c>
      <c r="S61" s="11">
        <f>IF(COUNT(O61:R61)=4,ROUND(AVERAGE(O61:R61),6),"")</f>
        <v/>
      </c>
      <c r="U61">
        <f>IF(AND(ISNUMBER('자료_한국심리'!$A45),ISNUMBER('자료_한국심리'!$B45)),'자료_한국심리'!$A45,"")</f>
        <v/>
      </c>
      <c r="V61">
        <f>IF(AND(ISNUMBER('자료_한국심리'!$D45),ISNUMBER('자료_한국심리'!$E45)),'자료_한국심리'!$D45,"")</f>
        <v/>
      </c>
      <c r="W61">
        <f>IF(AND(ISNUMBER('자료_한국심리'!$G45),ISNUMBER('자료_한국심리'!$H45)),'자료_한국심리'!$G45,"")</f>
        <v/>
      </c>
      <c r="X61">
        <f>IF(AND(ISNUMBER('자료_한국심리'!$J45),ISNUMBER('자료_한국심리'!$K45)),'자료_한국심리'!$J45,"")</f>
        <v/>
      </c>
      <c r="Y61">
        <f>IF(AND(ISNUMBER('자료_한국심리'!$M45),ISNUMBER('자료_한국심리'!$N45)),'자료_한국심리'!$M45,"")</f>
        <v/>
      </c>
    </row>
    <row r="62">
      <c r="A62" s="10">
        <f>IF(44&gt;$E$5,"",SMALL($U$19:$U$4018,$E$6+44))</f>
        <v/>
      </c>
      <c r="B62" s="29">
        <f>IF(A62="","",INDEX('자료_한국심리'!$B$3:$B$4002,MATCH(A62,$U$19:$U$4018,0)))</f>
        <v/>
      </c>
      <c r="C62" s="22">
        <f>""</f>
        <v/>
      </c>
      <c r="D62" s="29">
        <f>IF(A62="","",IFERROR(INDEX('자료_한국심리'!$E$3:$E$4002,MATCH(A62,$V$19:$V$4018,0)),D61))</f>
        <v/>
      </c>
      <c r="E62" s="30">
        <f>IF(A62="","",IFERROR(INDEX('자료_한국심리'!$H$3:$H$4002,MATCH(A62,$W$19:$W$4018,0)),E61))</f>
        <v/>
      </c>
      <c r="F62" s="30">
        <f>IF(A62="","",IFERROR(INDEX('자료_한국심리'!$K$3:$K$4002,MATCH(A62,$X$19:$X$4018,0)),F61))</f>
        <v/>
      </c>
      <c r="G62" s="30">
        <f>IF(AND(ISNUMBER(E62),ISNUMBER(F62)),ROUND(E62-F62,6),"")</f>
        <v/>
      </c>
      <c r="H62" s="25">
        <f>IF(A62="","",IFERROR(INDEX('자료_한국심리'!$N$3:$N$4002,MATCH(A62,$Y$19:$Y$4018,0)),H61))</f>
        <v/>
      </c>
      <c r="I62" s="31">
        <f>IF(AND(ISNUMBER(H62),ISNUMBER(H42)),IF(H42&gt;0,H62/H42-1,""),"")</f>
        <v/>
      </c>
      <c r="J62">
        <f>IF(A62="",0,IF(A62&gt;$B$5,1,0))</f>
        <v/>
      </c>
      <c r="K62" s="29">
        <f>IF(AND(J62=1,ISNUMBER(D62)),D62,"")</f>
        <v/>
      </c>
      <c r="L62" s="30">
        <f>IF(AND(J62=1,ISNUMBER(G62)),G62,"")</f>
        <v/>
      </c>
      <c r="M62" s="22">
        <f>IF(AND(J62=1,ISNUMBER(C62)),C62,"")</f>
        <v/>
      </c>
      <c r="N62" s="31">
        <f>IF(AND(J62=1,ISNUMBER(I62)),I62,"")</f>
        <v/>
      </c>
      <c r="O62" s="11">
        <f>IF(K62="","",100-IF($G$13=1,50,(_xlfn.RANK.AVG(K62,$K$19:$K$1518,1)-1)/($G$13-1)*100))</f>
        <v/>
      </c>
      <c r="P62" s="11">
        <f>IF(L62="","",100-IF($G$14=1,50,(_xlfn.RANK.AVG(L62,$L$19:$L$1518,1)-1)/($G$14-1)*100))</f>
        <v/>
      </c>
      <c r="Q62" s="11">
        <f>IF(M62="","",IF($G$15=1,50,(_xlfn.RANK.AVG(M62,$M$19:$M$1518,1)-1)/($G$15-1)*100))</f>
        <v/>
      </c>
      <c r="R62" s="11">
        <f>IF(N62="","",IF($G$16=1,50,(_xlfn.RANK.AVG(N62,$N$19:$N$1518,1)-1)/($G$16-1)*100))</f>
        <v/>
      </c>
      <c r="S62" s="11">
        <f>IF(COUNT(O62:R62)=4,ROUND(AVERAGE(O62:R62),6),"")</f>
        <v/>
      </c>
      <c r="U62">
        <f>IF(AND(ISNUMBER('자료_한국심리'!$A46),ISNUMBER('자료_한국심리'!$B46)),'자료_한국심리'!$A46,"")</f>
        <v/>
      </c>
      <c r="V62">
        <f>IF(AND(ISNUMBER('자료_한국심리'!$D46),ISNUMBER('자료_한국심리'!$E46)),'자료_한국심리'!$D46,"")</f>
        <v/>
      </c>
      <c r="W62">
        <f>IF(AND(ISNUMBER('자료_한국심리'!$G46),ISNUMBER('자료_한국심리'!$H46)),'자료_한국심리'!$G46,"")</f>
        <v/>
      </c>
      <c r="X62">
        <f>IF(AND(ISNUMBER('자료_한국심리'!$J46),ISNUMBER('자료_한국심리'!$K46)),'자료_한국심리'!$J46,"")</f>
        <v/>
      </c>
      <c r="Y62">
        <f>IF(AND(ISNUMBER('자료_한국심리'!$M46),ISNUMBER('자료_한국심리'!$N46)),'자료_한국심리'!$M46,"")</f>
        <v/>
      </c>
    </row>
    <row r="63">
      <c r="A63" s="10">
        <f>IF(45&gt;$E$5,"",SMALL($U$19:$U$4018,$E$6+45))</f>
        <v/>
      </c>
      <c r="B63" s="29">
        <f>IF(A63="","",INDEX('자료_한국심리'!$B$3:$B$4002,MATCH(A63,$U$19:$U$4018,0)))</f>
        <v/>
      </c>
      <c r="C63" s="22">
        <f>""</f>
        <v/>
      </c>
      <c r="D63" s="29">
        <f>IF(A63="","",IFERROR(INDEX('자료_한국심리'!$E$3:$E$4002,MATCH(A63,$V$19:$V$4018,0)),D62))</f>
        <v/>
      </c>
      <c r="E63" s="30">
        <f>IF(A63="","",IFERROR(INDEX('자료_한국심리'!$H$3:$H$4002,MATCH(A63,$W$19:$W$4018,0)),E62))</f>
        <v/>
      </c>
      <c r="F63" s="30">
        <f>IF(A63="","",IFERROR(INDEX('자료_한국심리'!$K$3:$K$4002,MATCH(A63,$X$19:$X$4018,0)),F62))</f>
        <v/>
      </c>
      <c r="G63" s="30">
        <f>IF(AND(ISNUMBER(E63),ISNUMBER(F63)),ROUND(E63-F63,6),"")</f>
        <v/>
      </c>
      <c r="H63" s="25">
        <f>IF(A63="","",IFERROR(INDEX('자료_한국심리'!$N$3:$N$4002,MATCH(A63,$Y$19:$Y$4018,0)),H62))</f>
        <v/>
      </c>
      <c r="I63" s="31">
        <f>IF(AND(ISNUMBER(H63),ISNUMBER(H43)),IF(H43&gt;0,H63/H43-1,""),"")</f>
        <v/>
      </c>
      <c r="J63">
        <f>IF(A63="",0,IF(A63&gt;$B$5,1,0))</f>
        <v/>
      </c>
      <c r="K63" s="29">
        <f>IF(AND(J63=1,ISNUMBER(D63)),D63,"")</f>
        <v/>
      </c>
      <c r="L63" s="30">
        <f>IF(AND(J63=1,ISNUMBER(G63)),G63,"")</f>
        <v/>
      </c>
      <c r="M63" s="22">
        <f>IF(AND(J63=1,ISNUMBER(C63)),C63,"")</f>
        <v/>
      </c>
      <c r="N63" s="31">
        <f>IF(AND(J63=1,ISNUMBER(I63)),I63,"")</f>
        <v/>
      </c>
      <c r="O63" s="11">
        <f>IF(K63="","",100-IF($G$13=1,50,(_xlfn.RANK.AVG(K63,$K$19:$K$1518,1)-1)/($G$13-1)*100))</f>
        <v/>
      </c>
      <c r="P63" s="11">
        <f>IF(L63="","",100-IF($G$14=1,50,(_xlfn.RANK.AVG(L63,$L$19:$L$1518,1)-1)/($G$14-1)*100))</f>
        <v/>
      </c>
      <c r="Q63" s="11">
        <f>IF(M63="","",IF($G$15=1,50,(_xlfn.RANK.AVG(M63,$M$19:$M$1518,1)-1)/($G$15-1)*100))</f>
        <v/>
      </c>
      <c r="R63" s="11">
        <f>IF(N63="","",IF($G$16=1,50,(_xlfn.RANK.AVG(N63,$N$19:$N$1518,1)-1)/($G$16-1)*100))</f>
        <v/>
      </c>
      <c r="S63" s="11">
        <f>IF(COUNT(O63:R63)=4,ROUND(AVERAGE(O63:R63),6),"")</f>
        <v/>
      </c>
      <c r="U63">
        <f>IF(AND(ISNUMBER('자료_한국심리'!$A47),ISNUMBER('자료_한국심리'!$B47)),'자료_한국심리'!$A47,"")</f>
        <v/>
      </c>
      <c r="V63">
        <f>IF(AND(ISNUMBER('자료_한국심리'!$D47),ISNUMBER('자료_한국심리'!$E47)),'자료_한국심리'!$D47,"")</f>
        <v/>
      </c>
      <c r="W63">
        <f>IF(AND(ISNUMBER('자료_한국심리'!$G47),ISNUMBER('자료_한국심리'!$H47)),'자료_한국심리'!$G47,"")</f>
        <v/>
      </c>
      <c r="X63">
        <f>IF(AND(ISNUMBER('자료_한국심리'!$J47),ISNUMBER('자료_한국심리'!$K47)),'자료_한국심리'!$J47,"")</f>
        <v/>
      </c>
      <c r="Y63">
        <f>IF(AND(ISNUMBER('자료_한국심리'!$M47),ISNUMBER('자료_한국심리'!$N47)),'자료_한국심리'!$M47,"")</f>
        <v/>
      </c>
    </row>
    <row r="64">
      <c r="A64" s="10">
        <f>IF(46&gt;$E$5,"",SMALL($U$19:$U$4018,$E$6+46))</f>
        <v/>
      </c>
      <c r="B64" s="29">
        <f>IF(A64="","",INDEX('자료_한국심리'!$B$3:$B$4002,MATCH(A64,$U$19:$U$4018,0)))</f>
        <v/>
      </c>
      <c r="C64" s="22">
        <f>""</f>
        <v/>
      </c>
      <c r="D64" s="29">
        <f>IF(A64="","",IFERROR(INDEX('자료_한국심리'!$E$3:$E$4002,MATCH(A64,$V$19:$V$4018,0)),D63))</f>
        <v/>
      </c>
      <c r="E64" s="30">
        <f>IF(A64="","",IFERROR(INDEX('자료_한국심리'!$H$3:$H$4002,MATCH(A64,$W$19:$W$4018,0)),E63))</f>
        <v/>
      </c>
      <c r="F64" s="30">
        <f>IF(A64="","",IFERROR(INDEX('자료_한국심리'!$K$3:$K$4002,MATCH(A64,$X$19:$X$4018,0)),F63))</f>
        <v/>
      </c>
      <c r="G64" s="30">
        <f>IF(AND(ISNUMBER(E64),ISNUMBER(F64)),ROUND(E64-F64,6),"")</f>
        <v/>
      </c>
      <c r="H64" s="25">
        <f>IF(A64="","",IFERROR(INDEX('자료_한국심리'!$N$3:$N$4002,MATCH(A64,$Y$19:$Y$4018,0)),H63))</f>
        <v/>
      </c>
      <c r="I64" s="31">
        <f>IF(AND(ISNUMBER(H64),ISNUMBER(H44)),IF(H44&gt;0,H64/H44-1,""),"")</f>
        <v/>
      </c>
      <c r="J64">
        <f>IF(A64="",0,IF(A64&gt;$B$5,1,0))</f>
        <v/>
      </c>
      <c r="K64" s="29">
        <f>IF(AND(J64=1,ISNUMBER(D64)),D64,"")</f>
        <v/>
      </c>
      <c r="L64" s="30">
        <f>IF(AND(J64=1,ISNUMBER(G64)),G64,"")</f>
        <v/>
      </c>
      <c r="M64" s="22">
        <f>IF(AND(J64=1,ISNUMBER(C64)),C64,"")</f>
        <v/>
      </c>
      <c r="N64" s="31">
        <f>IF(AND(J64=1,ISNUMBER(I64)),I64,"")</f>
        <v/>
      </c>
      <c r="O64" s="11">
        <f>IF(K64="","",100-IF($G$13=1,50,(_xlfn.RANK.AVG(K64,$K$19:$K$1518,1)-1)/($G$13-1)*100))</f>
        <v/>
      </c>
      <c r="P64" s="11">
        <f>IF(L64="","",100-IF($G$14=1,50,(_xlfn.RANK.AVG(L64,$L$19:$L$1518,1)-1)/($G$14-1)*100))</f>
        <v/>
      </c>
      <c r="Q64" s="11">
        <f>IF(M64="","",IF($G$15=1,50,(_xlfn.RANK.AVG(M64,$M$19:$M$1518,1)-1)/($G$15-1)*100))</f>
        <v/>
      </c>
      <c r="R64" s="11">
        <f>IF(N64="","",IF($G$16=1,50,(_xlfn.RANK.AVG(N64,$N$19:$N$1518,1)-1)/($G$16-1)*100))</f>
        <v/>
      </c>
      <c r="S64" s="11">
        <f>IF(COUNT(O64:R64)=4,ROUND(AVERAGE(O64:R64),6),"")</f>
        <v/>
      </c>
      <c r="U64">
        <f>IF(AND(ISNUMBER('자료_한국심리'!$A48),ISNUMBER('자료_한국심리'!$B48)),'자료_한국심리'!$A48,"")</f>
        <v/>
      </c>
      <c r="V64">
        <f>IF(AND(ISNUMBER('자료_한국심리'!$D48),ISNUMBER('자료_한국심리'!$E48)),'자료_한국심리'!$D48,"")</f>
        <v/>
      </c>
      <c r="W64">
        <f>IF(AND(ISNUMBER('자료_한국심리'!$G48),ISNUMBER('자료_한국심리'!$H48)),'자료_한국심리'!$G48,"")</f>
        <v/>
      </c>
      <c r="X64">
        <f>IF(AND(ISNUMBER('자료_한국심리'!$J48),ISNUMBER('자료_한국심리'!$K48)),'자료_한국심리'!$J48,"")</f>
        <v/>
      </c>
      <c r="Y64">
        <f>IF(AND(ISNUMBER('자료_한국심리'!$M48),ISNUMBER('자료_한국심리'!$N48)),'자료_한국심리'!$M48,"")</f>
        <v/>
      </c>
    </row>
    <row r="65">
      <c r="A65" s="10">
        <f>IF(47&gt;$E$5,"",SMALL($U$19:$U$4018,$E$6+47))</f>
        <v/>
      </c>
      <c r="B65" s="29">
        <f>IF(A65="","",INDEX('자료_한국심리'!$B$3:$B$4002,MATCH(A65,$U$19:$U$4018,0)))</f>
        <v/>
      </c>
      <c r="C65" s="22">
        <f>""</f>
        <v/>
      </c>
      <c r="D65" s="29">
        <f>IF(A65="","",IFERROR(INDEX('자료_한국심리'!$E$3:$E$4002,MATCH(A65,$V$19:$V$4018,0)),D64))</f>
        <v/>
      </c>
      <c r="E65" s="30">
        <f>IF(A65="","",IFERROR(INDEX('자료_한국심리'!$H$3:$H$4002,MATCH(A65,$W$19:$W$4018,0)),E64))</f>
        <v/>
      </c>
      <c r="F65" s="30">
        <f>IF(A65="","",IFERROR(INDEX('자료_한국심리'!$K$3:$K$4002,MATCH(A65,$X$19:$X$4018,0)),F64))</f>
        <v/>
      </c>
      <c r="G65" s="30">
        <f>IF(AND(ISNUMBER(E65),ISNUMBER(F65)),ROUND(E65-F65,6),"")</f>
        <v/>
      </c>
      <c r="H65" s="25">
        <f>IF(A65="","",IFERROR(INDEX('자료_한국심리'!$N$3:$N$4002,MATCH(A65,$Y$19:$Y$4018,0)),H64))</f>
        <v/>
      </c>
      <c r="I65" s="31">
        <f>IF(AND(ISNUMBER(H65),ISNUMBER(H45)),IF(H45&gt;0,H65/H45-1,""),"")</f>
        <v/>
      </c>
      <c r="J65">
        <f>IF(A65="",0,IF(A65&gt;$B$5,1,0))</f>
        <v/>
      </c>
      <c r="K65" s="29">
        <f>IF(AND(J65=1,ISNUMBER(D65)),D65,"")</f>
        <v/>
      </c>
      <c r="L65" s="30">
        <f>IF(AND(J65=1,ISNUMBER(G65)),G65,"")</f>
        <v/>
      </c>
      <c r="M65" s="22">
        <f>IF(AND(J65=1,ISNUMBER(C65)),C65,"")</f>
        <v/>
      </c>
      <c r="N65" s="31">
        <f>IF(AND(J65=1,ISNUMBER(I65)),I65,"")</f>
        <v/>
      </c>
      <c r="O65" s="11">
        <f>IF(K65="","",100-IF($G$13=1,50,(_xlfn.RANK.AVG(K65,$K$19:$K$1518,1)-1)/($G$13-1)*100))</f>
        <v/>
      </c>
      <c r="P65" s="11">
        <f>IF(L65="","",100-IF($G$14=1,50,(_xlfn.RANK.AVG(L65,$L$19:$L$1518,1)-1)/($G$14-1)*100))</f>
        <v/>
      </c>
      <c r="Q65" s="11">
        <f>IF(M65="","",IF($G$15=1,50,(_xlfn.RANK.AVG(M65,$M$19:$M$1518,1)-1)/($G$15-1)*100))</f>
        <v/>
      </c>
      <c r="R65" s="11">
        <f>IF(N65="","",IF($G$16=1,50,(_xlfn.RANK.AVG(N65,$N$19:$N$1518,1)-1)/($G$16-1)*100))</f>
        <v/>
      </c>
      <c r="S65" s="11">
        <f>IF(COUNT(O65:R65)=4,ROUND(AVERAGE(O65:R65),6),"")</f>
        <v/>
      </c>
      <c r="U65">
        <f>IF(AND(ISNUMBER('자료_한국심리'!$A49),ISNUMBER('자료_한국심리'!$B49)),'자료_한국심리'!$A49,"")</f>
        <v/>
      </c>
      <c r="V65">
        <f>IF(AND(ISNUMBER('자료_한국심리'!$D49),ISNUMBER('자료_한국심리'!$E49)),'자료_한국심리'!$D49,"")</f>
        <v/>
      </c>
      <c r="W65">
        <f>IF(AND(ISNUMBER('자료_한국심리'!$G49),ISNUMBER('자료_한국심리'!$H49)),'자료_한국심리'!$G49,"")</f>
        <v/>
      </c>
      <c r="X65">
        <f>IF(AND(ISNUMBER('자료_한국심리'!$J49),ISNUMBER('자료_한국심리'!$K49)),'자료_한국심리'!$J49,"")</f>
        <v/>
      </c>
      <c r="Y65">
        <f>IF(AND(ISNUMBER('자료_한국심리'!$M49),ISNUMBER('자료_한국심리'!$N49)),'자료_한국심리'!$M49,"")</f>
        <v/>
      </c>
    </row>
    <row r="66">
      <c r="A66" s="10">
        <f>IF(48&gt;$E$5,"",SMALL($U$19:$U$4018,$E$6+48))</f>
        <v/>
      </c>
      <c r="B66" s="29">
        <f>IF(A66="","",INDEX('자료_한국심리'!$B$3:$B$4002,MATCH(A66,$U$19:$U$4018,0)))</f>
        <v/>
      </c>
      <c r="C66" s="22">
        <f>""</f>
        <v/>
      </c>
      <c r="D66" s="29">
        <f>IF(A66="","",IFERROR(INDEX('자료_한국심리'!$E$3:$E$4002,MATCH(A66,$V$19:$V$4018,0)),D65))</f>
        <v/>
      </c>
      <c r="E66" s="30">
        <f>IF(A66="","",IFERROR(INDEX('자료_한국심리'!$H$3:$H$4002,MATCH(A66,$W$19:$W$4018,0)),E65))</f>
        <v/>
      </c>
      <c r="F66" s="30">
        <f>IF(A66="","",IFERROR(INDEX('자료_한국심리'!$K$3:$K$4002,MATCH(A66,$X$19:$X$4018,0)),F65))</f>
        <v/>
      </c>
      <c r="G66" s="30">
        <f>IF(AND(ISNUMBER(E66),ISNUMBER(F66)),ROUND(E66-F66,6),"")</f>
        <v/>
      </c>
      <c r="H66" s="25">
        <f>IF(A66="","",IFERROR(INDEX('자료_한국심리'!$N$3:$N$4002,MATCH(A66,$Y$19:$Y$4018,0)),H65))</f>
        <v/>
      </c>
      <c r="I66" s="31">
        <f>IF(AND(ISNUMBER(H66),ISNUMBER(H46)),IF(H46&gt;0,H66/H46-1,""),"")</f>
        <v/>
      </c>
      <c r="J66">
        <f>IF(A66="",0,IF(A66&gt;$B$5,1,0))</f>
        <v/>
      </c>
      <c r="K66" s="29">
        <f>IF(AND(J66=1,ISNUMBER(D66)),D66,"")</f>
        <v/>
      </c>
      <c r="L66" s="30">
        <f>IF(AND(J66=1,ISNUMBER(G66)),G66,"")</f>
        <v/>
      </c>
      <c r="M66" s="22">
        <f>IF(AND(J66=1,ISNUMBER(C66)),C66,"")</f>
        <v/>
      </c>
      <c r="N66" s="31">
        <f>IF(AND(J66=1,ISNUMBER(I66)),I66,"")</f>
        <v/>
      </c>
      <c r="O66" s="11">
        <f>IF(K66="","",100-IF($G$13=1,50,(_xlfn.RANK.AVG(K66,$K$19:$K$1518,1)-1)/($G$13-1)*100))</f>
        <v/>
      </c>
      <c r="P66" s="11">
        <f>IF(L66="","",100-IF($G$14=1,50,(_xlfn.RANK.AVG(L66,$L$19:$L$1518,1)-1)/($G$14-1)*100))</f>
        <v/>
      </c>
      <c r="Q66" s="11">
        <f>IF(M66="","",IF($G$15=1,50,(_xlfn.RANK.AVG(M66,$M$19:$M$1518,1)-1)/($G$15-1)*100))</f>
        <v/>
      </c>
      <c r="R66" s="11">
        <f>IF(N66="","",IF($G$16=1,50,(_xlfn.RANK.AVG(N66,$N$19:$N$1518,1)-1)/($G$16-1)*100))</f>
        <v/>
      </c>
      <c r="S66" s="11">
        <f>IF(COUNT(O66:R66)=4,ROUND(AVERAGE(O66:R66),6),"")</f>
        <v/>
      </c>
      <c r="U66">
        <f>IF(AND(ISNUMBER('자료_한국심리'!$A50),ISNUMBER('자료_한국심리'!$B50)),'자료_한국심리'!$A50,"")</f>
        <v/>
      </c>
      <c r="V66">
        <f>IF(AND(ISNUMBER('자료_한국심리'!$D50),ISNUMBER('자료_한국심리'!$E50)),'자료_한국심리'!$D50,"")</f>
        <v/>
      </c>
      <c r="W66">
        <f>IF(AND(ISNUMBER('자료_한국심리'!$G50),ISNUMBER('자료_한국심리'!$H50)),'자료_한국심리'!$G50,"")</f>
        <v/>
      </c>
      <c r="X66">
        <f>IF(AND(ISNUMBER('자료_한국심리'!$J50),ISNUMBER('자료_한국심리'!$K50)),'자료_한국심리'!$J50,"")</f>
        <v/>
      </c>
      <c r="Y66">
        <f>IF(AND(ISNUMBER('자료_한국심리'!$M50),ISNUMBER('자료_한국심리'!$N50)),'자료_한국심리'!$M50,"")</f>
        <v/>
      </c>
    </row>
    <row r="67">
      <c r="A67" s="10">
        <f>IF(49&gt;$E$5,"",SMALL($U$19:$U$4018,$E$6+49))</f>
        <v/>
      </c>
      <c r="B67" s="29">
        <f>IF(A67="","",INDEX('자료_한국심리'!$B$3:$B$4002,MATCH(A67,$U$19:$U$4018,0)))</f>
        <v/>
      </c>
      <c r="C67" s="22">
        <f>""</f>
        <v/>
      </c>
      <c r="D67" s="29">
        <f>IF(A67="","",IFERROR(INDEX('자료_한국심리'!$E$3:$E$4002,MATCH(A67,$V$19:$V$4018,0)),D66))</f>
        <v/>
      </c>
      <c r="E67" s="30">
        <f>IF(A67="","",IFERROR(INDEX('자료_한국심리'!$H$3:$H$4002,MATCH(A67,$W$19:$W$4018,0)),E66))</f>
        <v/>
      </c>
      <c r="F67" s="30">
        <f>IF(A67="","",IFERROR(INDEX('자료_한국심리'!$K$3:$K$4002,MATCH(A67,$X$19:$X$4018,0)),F66))</f>
        <v/>
      </c>
      <c r="G67" s="30">
        <f>IF(AND(ISNUMBER(E67),ISNUMBER(F67)),ROUND(E67-F67,6),"")</f>
        <v/>
      </c>
      <c r="H67" s="25">
        <f>IF(A67="","",IFERROR(INDEX('자료_한국심리'!$N$3:$N$4002,MATCH(A67,$Y$19:$Y$4018,0)),H66))</f>
        <v/>
      </c>
      <c r="I67" s="31">
        <f>IF(AND(ISNUMBER(H67),ISNUMBER(H47)),IF(H47&gt;0,H67/H47-1,""),"")</f>
        <v/>
      </c>
      <c r="J67">
        <f>IF(A67="",0,IF(A67&gt;$B$5,1,0))</f>
        <v/>
      </c>
      <c r="K67" s="29">
        <f>IF(AND(J67=1,ISNUMBER(D67)),D67,"")</f>
        <v/>
      </c>
      <c r="L67" s="30">
        <f>IF(AND(J67=1,ISNUMBER(G67)),G67,"")</f>
        <v/>
      </c>
      <c r="M67" s="22">
        <f>IF(AND(J67=1,ISNUMBER(C67)),C67,"")</f>
        <v/>
      </c>
      <c r="N67" s="31">
        <f>IF(AND(J67=1,ISNUMBER(I67)),I67,"")</f>
        <v/>
      </c>
      <c r="O67" s="11">
        <f>IF(K67="","",100-IF($G$13=1,50,(_xlfn.RANK.AVG(K67,$K$19:$K$1518,1)-1)/($G$13-1)*100))</f>
        <v/>
      </c>
      <c r="P67" s="11">
        <f>IF(L67="","",100-IF($G$14=1,50,(_xlfn.RANK.AVG(L67,$L$19:$L$1518,1)-1)/($G$14-1)*100))</f>
        <v/>
      </c>
      <c r="Q67" s="11">
        <f>IF(M67="","",IF($G$15=1,50,(_xlfn.RANK.AVG(M67,$M$19:$M$1518,1)-1)/($G$15-1)*100))</f>
        <v/>
      </c>
      <c r="R67" s="11">
        <f>IF(N67="","",IF($G$16=1,50,(_xlfn.RANK.AVG(N67,$N$19:$N$1518,1)-1)/($G$16-1)*100))</f>
        <v/>
      </c>
      <c r="S67" s="11">
        <f>IF(COUNT(O67:R67)=4,ROUND(AVERAGE(O67:R67),6),"")</f>
        <v/>
      </c>
      <c r="U67">
        <f>IF(AND(ISNUMBER('자료_한국심리'!$A51),ISNUMBER('자료_한국심리'!$B51)),'자료_한국심리'!$A51,"")</f>
        <v/>
      </c>
      <c r="V67">
        <f>IF(AND(ISNUMBER('자료_한국심리'!$D51),ISNUMBER('자료_한국심리'!$E51)),'자료_한국심리'!$D51,"")</f>
        <v/>
      </c>
      <c r="W67">
        <f>IF(AND(ISNUMBER('자료_한국심리'!$G51),ISNUMBER('자료_한국심리'!$H51)),'자료_한국심리'!$G51,"")</f>
        <v/>
      </c>
      <c r="X67">
        <f>IF(AND(ISNUMBER('자료_한국심리'!$J51),ISNUMBER('자료_한국심리'!$K51)),'자료_한국심리'!$J51,"")</f>
        <v/>
      </c>
      <c r="Y67">
        <f>IF(AND(ISNUMBER('자료_한국심리'!$M51),ISNUMBER('자료_한국심리'!$N51)),'자료_한국심리'!$M51,"")</f>
        <v/>
      </c>
    </row>
    <row r="68">
      <c r="A68" s="10">
        <f>IF(50&gt;$E$5,"",SMALL($U$19:$U$4018,$E$6+50))</f>
        <v/>
      </c>
      <c r="B68" s="29">
        <f>IF(A68="","",INDEX('자료_한국심리'!$B$3:$B$4002,MATCH(A68,$U$19:$U$4018,0)))</f>
        <v/>
      </c>
      <c r="C68" s="22">
        <f>""</f>
        <v/>
      </c>
      <c r="D68" s="29">
        <f>IF(A68="","",IFERROR(INDEX('자료_한국심리'!$E$3:$E$4002,MATCH(A68,$V$19:$V$4018,0)),D67))</f>
        <v/>
      </c>
      <c r="E68" s="30">
        <f>IF(A68="","",IFERROR(INDEX('자료_한국심리'!$H$3:$H$4002,MATCH(A68,$W$19:$W$4018,0)),E67))</f>
        <v/>
      </c>
      <c r="F68" s="30">
        <f>IF(A68="","",IFERROR(INDEX('자료_한국심리'!$K$3:$K$4002,MATCH(A68,$X$19:$X$4018,0)),F67))</f>
        <v/>
      </c>
      <c r="G68" s="30">
        <f>IF(AND(ISNUMBER(E68),ISNUMBER(F68)),ROUND(E68-F68,6),"")</f>
        <v/>
      </c>
      <c r="H68" s="25">
        <f>IF(A68="","",IFERROR(INDEX('자료_한국심리'!$N$3:$N$4002,MATCH(A68,$Y$19:$Y$4018,0)),H67))</f>
        <v/>
      </c>
      <c r="I68" s="31">
        <f>IF(AND(ISNUMBER(H68),ISNUMBER(H48)),IF(H48&gt;0,H68/H48-1,""),"")</f>
        <v/>
      </c>
      <c r="J68">
        <f>IF(A68="",0,IF(A68&gt;$B$5,1,0))</f>
        <v/>
      </c>
      <c r="K68" s="29">
        <f>IF(AND(J68=1,ISNUMBER(D68)),D68,"")</f>
        <v/>
      </c>
      <c r="L68" s="30">
        <f>IF(AND(J68=1,ISNUMBER(G68)),G68,"")</f>
        <v/>
      </c>
      <c r="M68" s="22">
        <f>IF(AND(J68=1,ISNUMBER(C68)),C68,"")</f>
        <v/>
      </c>
      <c r="N68" s="31">
        <f>IF(AND(J68=1,ISNUMBER(I68)),I68,"")</f>
        <v/>
      </c>
      <c r="O68" s="11">
        <f>IF(K68="","",100-IF($G$13=1,50,(_xlfn.RANK.AVG(K68,$K$19:$K$1518,1)-1)/($G$13-1)*100))</f>
        <v/>
      </c>
      <c r="P68" s="11">
        <f>IF(L68="","",100-IF($G$14=1,50,(_xlfn.RANK.AVG(L68,$L$19:$L$1518,1)-1)/($G$14-1)*100))</f>
        <v/>
      </c>
      <c r="Q68" s="11">
        <f>IF(M68="","",IF($G$15=1,50,(_xlfn.RANK.AVG(M68,$M$19:$M$1518,1)-1)/($G$15-1)*100))</f>
        <v/>
      </c>
      <c r="R68" s="11">
        <f>IF(N68="","",IF($G$16=1,50,(_xlfn.RANK.AVG(N68,$N$19:$N$1518,1)-1)/($G$16-1)*100))</f>
        <v/>
      </c>
      <c r="S68" s="11">
        <f>IF(COUNT(O68:R68)=4,ROUND(AVERAGE(O68:R68),6),"")</f>
        <v/>
      </c>
      <c r="U68">
        <f>IF(AND(ISNUMBER('자료_한국심리'!$A52),ISNUMBER('자료_한국심리'!$B52)),'자료_한국심리'!$A52,"")</f>
        <v/>
      </c>
      <c r="V68">
        <f>IF(AND(ISNUMBER('자료_한국심리'!$D52),ISNUMBER('자료_한국심리'!$E52)),'자료_한국심리'!$D52,"")</f>
        <v/>
      </c>
      <c r="W68">
        <f>IF(AND(ISNUMBER('자료_한국심리'!$G52),ISNUMBER('자료_한국심리'!$H52)),'자료_한국심리'!$G52,"")</f>
        <v/>
      </c>
      <c r="X68">
        <f>IF(AND(ISNUMBER('자료_한국심리'!$J52),ISNUMBER('자료_한국심리'!$K52)),'자료_한국심리'!$J52,"")</f>
        <v/>
      </c>
      <c r="Y68">
        <f>IF(AND(ISNUMBER('자료_한국심리'!$M52),ISNUMBER('자료_한국심리'!$N52)),'자료_한국심리'!$M52,"")</f>
        <v/>
      </c>
    </row>
    <row r="69">
      <c r="A69" s="10">
        <f>IF(51&gt;$E$5,"",SMALL($U$19:$U$4018,$E$6+51))</f>
        <v/>
      </c>
      <c r="B69" s="29">
        <f>IF(A69="","",INDEX('자료_한국심리'!$B$3:$B$4002,MATCH(A69,$U$19:$U$4018,0)))</f>
        <v/>
      </c>
      <c r="C69" s="22">
        <f>""</f>
        <v/>
      </c>
      <c r="D69" s="29">
        <f>IF(A69="","",IFERROR(INDEX('자료_한국심리'!$E$3:$E$4002,MATCH(A69,$V$19:$V$4018,0)),D68))</f>
        <v/>
      </c>
      <c r="E69" s="30">
        <f>IF(A69="","",IFERROR(INDEX('자료_한국심리'!$H$3:$H$4002,MATCH(A69,$W$19:$W$4018,0)),E68))</f>
        <v/>
      </c>
      <c r="F69" s="30">
        <f>IF(A69="","",IFERROR(INDEX('자료_한국심리'!$K$3:$K$4002,MATCH(A69,$X$19:$X$4018,0)),F68))</f>
        <v/>
      </c>
      <c r="G69" s="30">
        <f>IF(AND(ISNUMBER(E69),ISNUMBER(F69)),ROUND(E69-F69,6),"")</f>
        <v/>
      </c>
      <c r="H69" s="25">
        <f>IF(A69="","",IFERROR(INDEX('자료_한국심리'!$N$3:$N$4002,MATCH(A69,$Y$19:$Y$4018,0)),H68))</f>
        <v/>
      </c>
      <c r="I69" s="31">
        <f>IF(AND(ISNUMBER(H69),ISNUMBER(H49)),IF(H49&gt;0,H69/H49-1,""),"")</f>
        <v/>
      </c>
      <c r="J69">
        <f>IF(A69="",0,IF(A69&gt;$B$5,1,0))</f>
        <v/>
      </c>
      <c r="K69" s="29">
        <f>IF(AND(J69=1,ISNUMBER(D69)),D69,"")</f>
        <v/>
      </c>
      <c r="L69" s="30">
        <f>IF(AND(J69=1,ISNUMBER(G69)),G69,"")</f>
        <v/>
      </c>
      <c r="M69" s="22">
        <f>IF(AND(J69=1,ISNUMBER(C69)),C69,"")</f>
        <v/>
      </c>
      <c r="N69" s="31">
        <f>IF(AND(J69=1,ISNUMBER(I69)),I69,"")</f>
        <v/>
      </c>
      <c r="O69" s="11">
        <f>IF(K69="","",100-IF($G$13=1,50,(_xlfn.RANK.AVG(K69,$K$19:$K$1518,1)-1)/($G$13-1)*100))</f>
        <v/>
      </c>
      <c r="P69" s="11">
        <f>IF(L69="","",100-IF($G$14=1,50,(_xlfn.RANK.AVG(L69,$L$19:$L$1518,1)-1)/($G$14-1)*100))</f>
        <v/>
      </c>
      <c r="Q69" s="11">
        <f>IF(M69="","",IF($G$15=1,50,(_xlfn.RANK.AVG(M69,$M$19:$M$1518,1)-1)/($G$15-1)*100))</f>
        <v/>
      </c>
      <c r="R69" s="11">
        <f>IF(N69="","",IF($G$16=1,50,(_xlfn.RANK.AVG(N69,$N$19:$N$1518,1)-1)/($G$16-1)*100))</f>
        <v/>
      </c>
      <c r="S69" s="11">
        <f>IF(COUNT(O69:R69)=4,ROUND(AVERAGE(O69:R69),6),"")</f>
        <v/>
      </c>
      <c r="U69">
        <f>IF(AND(ISNUMBER('자료_한국심리'!$A53),ISNUMBER('자료_한국심리'!$B53)),'자료_한국심리'!$A53,"")</f>
        <v/>
      </c>
      <c r="V69">
        <f>IF(AND(ISNUMBER('자료_한국심리'!$D53),ISNUMBER('자료_한국심리'!$E53)),'자료_한국심리'!$D53,"")</f>
        <v/>
      </c>
      <c r="W69">
        <f>IF(AND(ISNUMBER('자료_한국심리'!$G53),ISNUMBER('자료_한국심리'!$H53)),'자료_한국심리'!$G53,"")</f>
        <v/>
      </c>
      <c r="X69">
        <f>IF(AND(ISNUMBER('자료_한국심리'!$J53),ISNUMBER('자료_한국심리'!$K53)),'자료_한국심리'!$J53,"")</f>
        <v/>
      </c>
      <c r="Y69">
        <f>IF(AND(ISNUMBER('자료_한국심리'!$M53),ISNUMBER('자료_한국심리'!$N53)),'자료_한국심리'!$M53,"")</f>
        <v/>
      </c>
    </row>
    <row r="70">
      <c r="A70" s="10">
        <f>IF(52&gt;$E$5,"",SMALL($U$19:$U$4018,$E$6+52))</f>
        <v/>
      </c>
      <c r="B70" s="29">
        <f>IF(A70="","",INDEX('자료_한국심리'!$B$3:$B$4002,MATCH(A70,$U$19:$U$4018,0)))</f>
        <v/>
      </c>
      <c r="C70" s="22">
        <f>""</f>
        <v/>
      </c>
      <c r="D70" s="29">
        <f>IF(A70="","",IFERROR(INDEX('자료_한국심리'!$E$3:$E$4002,MATCH(A70,$V$19:$V$4018,0)),D69))</f>
        <v/>
      </c>
      <c r="E70" s="30">
        <f>IF(A70="","",IFERROR(INDEX('자료_한국심리'!$H$3:$H$4002,MATCH(A70,$W$19:$W$4018,0)),E69))</f>
        <v/>
      </c>
      <c r="F70" s="30">
        <f>IF(A70="","",IFERROR(INDEX('자료_한국심리'!$K$3:$K$4002,MATCH(A70,$X$19:$X$4018,0)),F69))</f>
        <v/>
      </c>
      <c r="G70" s="30">
        <f>IF(AND(ISNUMBER(E70),ISNUMBER(F70)),ROUND(E70-F70,6),"")</f>
        <v/>
      </c>
      <c r="H70" s="25">
        <f>IF(A70="","",IFERROR(INDEX('자료_한국심리'!$N$3:$N$4002,MATCH(A70,$Y$19:$Y$4018,0)),H69))</f>
        <v/>
      </c>
      <c r="I70" s="31">
        <f>IF(AND(ISNUMBER(H70),ISNUMBER(H50)),IF(H50&gt;0,H70/H50-1,""),"")</f>
        <v/>
      </c>
      <c r="J70">
        <f>IF(A70="",0,IF(A70&gt;$B$5,1,0))</f>
        <v/>
      </c>
      <c r="K70" s="29">
        <f>IF(AND(J70=1,ISNUMBER(D70)),D70,"")</f>
        <v/>
      </c>
      <c r="L70" s="30">
        <f>IF(AND(J70=1,ISNUMBER(G70)),G70,"")</f>
        <v/>
      </c>
      <c r="M70" s="22">
        <f>IF(AND(J70=1,ISNUMBER(C70)),C70,"")</f>
        <v/>
      </c>
      <c r="N70" s="31">
        <f>IF(AND(J70=1,ISNUMBER(I70)),I70,"")</f>
        <v/>
      </c>
      <c r="O70" s="11">
        <f>IF(K70="","",100-IF($G$13=1,50,(_xlfn.RANK.AVG(K70,$K$19:$K$1518,1)-1)/($G$13-1)*100))</f>
        <v/>
      </c>
      <c r="P70" s="11">
        <f>IF(L70="","",100-IF($G$14=1,50,(_xlfn.RANK.AVG(L70,$L$19:$L$1518,1)-1)/($G$14-1)*100))</f>
        <v/>
      </c>
      <c r="Q70" s="11">
        <f>IF(M70="","",IF($G$15=1,50,(_xlfn.RANK.AVG(M70,$M$19:$M$1518,1)-1)/($G$15-1)*100))</f>
        <v/>
      </c>
      <c r="R70" s="11">
        <f>IF(N70="","",IF($G$16=1,50,(_xlfn.RANK.AVG(N70,$N$19:$N$1518,1)-1)/($G$16-1)*100))</f>
        <v/>
      </c>
      <c r="S70" s="11">
        <f>IF(COUNT(O70:R70)=4,ROUND(AVERAGE(O70:R70),6),"")</f>
        <v/>
      </c>
      <c r="U70">
        <f>IF(AND(ISNUMBER('자료_한국심리'!$A54),ISNUMBER('자료_한국심리'!$B54)),'자료_한국심리'!$A54,"")</f>
        <v/>
      </c>
      <c r="V70">
        <f>IF(AND(ISNUMBER('자료_한국심리'!$D54),ISNUMBER('자료_한국심리'!$E54)),'자료_한국심리'!$D54,"")</f>
        <v/>
      </c>
      <c r="W70">
        <f>IF(AND(ISNUMBER('자료_한국심리'!$G54),ISNUMBER('자료_한국심리'!$H54)),'자료_한국심리'!$G54,"")</f>
        <v/>
      </c>
      <c r="X70">
        <f>IF(AND(ISNUMBER('자료_한국심리'!$J54),ISNUMBER('자료_한국심리'!$K54)),'자료_한국심리'!$J54,"")</f>
        <v/>
      </c>
      <c r="Y70">
        <f>IF(AND(ISNUMBER('자료_한국심리'!$M54),ISNUMBER('자료_한국심리'!$N54)),'자료_한국심리'!$M54,"")</f>
        <v/>
      </c>
    </row>
    <row r="71">
      <c r="A71" s="10">
        <f>IF(53&gt;$E$5,"",SMALL($U$19:$U$4018,$E$6+53))</f>
        <v/>
      </c>
      <c r="B71" s="29">
        <f>IF(A71="","",INDEX('자료_한국심리'!$B$3:$B$4002,MATCH(A71,$U$19:$U$4018,0)))</f>
        <v/>
      </c>
      <c r="C71" s="22">
        <f>""</f>
        <v/>
      </c>
      <c r="D71" s="29">
        <f>IF(A71="","",IFERROR(INDEX('자료_한국심리'!$E$3:$E$4002,MATCH(A71,$V$19:$V$4018,0)),D70))</f>
        <v/>
      </c>
      <c r="E71" s="30">
        <f>IF(A71="","",IFERROR(INDEX('자료_한국심리'!$H$3:$H$4002,MATCH(A71,$W$19:$W$4018,0)),E70))</f>
        <v/>
      </c>
      <c r="F71" s="30">
        <f>IF(A71="","",IFERROR(INDEX('자료_한국심리'!$K$3:$K$4002,MATCH(A71,$X$19:$X$4018,0)),F70))</f>
        <v/>
      </c>
      <c r="G71" s="30">
        <f>IF(AND(ISNUMBER(E71),ISNUMBER(F71)),ROUND(E71-F71,6),"")</f>
        <v/>
      </c>
      <c r="H71" s="25">
        <f>IF(A71="","",IFERROR(INDEX('자료_한국심리'!$N$3:$N$4002,MATCH(A71,$Y$19:$Y$4018,0)),H70))</f>
        <v/>
      </c>
      <c r="I71" s="31">
        <f>IF(AND(ISNUMBER(H71),ISNUMBER(H51)),IF(H51&gt;0,H71/H51-1,""),"")</f>
        <v/>
      </c>
      <c r="J71">
        <f>IF(A71="",0,IF(A71&gt;$B$5,1,0))</f>
        <v/>
      </c>
      <c r="K71" s="29">
        <f>IF(AND(J71=1,ISNUMBER(D71)),D71,"")</f>
        <v/>
      </c>
      <c r="L71" s="30">
        <f>IF(AND(J71=1,ISNUMBER(G71)),G71,"")</f>
        <v/>
      </c>
      <c r="M71" s="22">
        <f>IF(AND(J71=1,ISNUMBER(C71)),C71,"")</f>
        <v/>
      </c>
      <c r="N71" s="31">
        <f>IF(AND(J71=1,ISNUMBER(I71)),I71,"")</f>
        <v/>
      </c>
      <c r="O71" s="11">
        <f>IF(K71="","",100-IF($G$13=1,50,(_xlfn.RANK.AVG(K71,$K$19:$K$1518,1)-1)/($G$13-1)*100))</f>
        <v/>
      </c>
      <c r="P71" s="11">
        <f>IF(L71="","",100-IF($G$14=1,50,(_xlfn.RANK.AVG(L71,$L$19:$L$1518,1)-1)/($G$14-1)*100))</f>
        <v/>
      </c>
      <c r="Q71" s="11">
        <f>IF(M71="","",IF($G$15=1,50,(_xlfn.RANK.AVG(M71,$M$19:$M$1518,1)-1)/($G$15-1)*100))</f>
        <v/>
      </c>
      <c r="R71" s="11">
        <f>IF(N71="","",IF($G$16=1,50,(_xlfn.RANK.AVG(N71,$N$19:$N$1518,1)-1)/($G$16-1)*100))</f>
        <v/>
      </c>
      <c r="S71" s="11">
        <f>IF(COUNT(O71:R71)=4,ROUND(AVERAGE(O71:R71),6),"")</f>
        <v/>
      </c>
      <c r="U71">
        <f>IF(AND(ISNUMBER('자료_한국심리'!$A55),ISNUMBER('자료_한국심리'!$B55)),'자료_한국심리'!$A55,"")</f>
        <v/>
      </c>
      <c r="V71">
        <f>IF(AND(ISNUMBER('자료_한국심리'!$D55),ISNUMBER('자료_한국심리'!$E55)),'자료_한국심리'!$D55,"")</f>
        <v/>
      </c>
      <c r="W71">
        <f>IF(AND(ISNUMBER('자료_한국심리'!$G55),ISNUMBER('자료_한국심리'!$H55)),'자료_한국심리'!$G55,"")</f>
        <v/>
      </c>
      <c r="X71">
        <f>IF(AND(ISNUMBER('자료_한국심리'!$J55),ISNUMBER('자료_한국심리'!$K55)),'자료_한국심리'!$J55,"")</f>
        <v/>
      </c>
      <c r="Y71">
        <f>IF(AND(ISNUMBER('자료_한국심리'!$M55),ISNUMBER('자료_한국심리'!$N55)),'자료_한국심리'!$M55,"")</f>
        <v/>
      </c>
    </row>
    <row r="72">
      <c r="A72" s="10">
        <f>IF(54&gt;$E$5,"",SMALL($U$19:$U$4018,$E$6+54))</f>
        <v/>
      </c>
      <c r="B72" s="29">
        <f>IF(A72="","",INDEX('자료_한국심리'!$B$3:$B$4002,MATCH(A72,$U$19:$U$4018,0)))</f>
        <v/>
      </c>
      <c r="C72" s="22">
        <f>""</f>
        <v/>
      </c>
      <c r="D72" s="29">
        <f>IF(A72="","",IFERROR(INDEX('자료_한국심리'!$E$3:$E$4002,MATCH(A72,$V$19:$V$4018,0)),D71))</f>
        <v/>
      </c>
      <c r="E72" s="30">
        <f>IF(A72="","",IFERROR(INDEX('자료_한국심리'!$H$3:$H$4002,MATCH(A72,$W$19:$W$4018,0)),E71))</f>
        <v/>
      </c>
      <c r="F72" s="30">
        <f>IF(A72="","",IFERROR(INDEX('자료_한국심리'!$K$3:$K$4002,MATCH(A72,$X$19:$X$4018,0)),F71))</f>
        <v/>
      </c>
      <c r="G72" s="30">
        <f>IF(AND(ISNUMBER(E72),ISNUMBER(F72)),ROUND(E72-F72,6),"")</f>
        <v/>
      </c>
      <c r="H72" s="25">
        <f>IF(A72="","",IFERROR(INDEX('자료_한국심리'!$N$3:$N$4002,MATCH(A72,$Y$19:$Y$4018,0)),H71))</f>
        <v/>
      </c>
      <c r="I72" s="31">
        <f>IF(AND(ISNUMBER(H72),ISNUMBER(H52)),IF(H52&gt;0,H72/H52-1,""),"")</f>
        <v/>
      </c>
      <c r="J72">
        <f>IF(A72="",0,IF(A72&gt;$B$5,1,0))</f>
        <v/>
      </c>
      <c r="K72" s="29">
        <f>IF(AND(J72=1,ISNUMBER(D72)),D72,"")</f>
        <v/>
      </c>
      <c r="L72" s="30">
        <f>IF(AND(J72=1,ISNUMBER(G72)),G72,"")</f>
        <v/>
      </c>
      <c r="M72" s="22">
        <f>IF(AND(J72=1,ISNUMBER(C72)),C72,"")</f>
        <v/>
      </c>
      <c r="N72" s="31">
        <f>IF(AND(J72=1,ISNUMBER(I72)),I72,"")</f>
        <v/>
      </c>
      <c r="O72" s="11">
        <f>IF(K72="","",100-IF($G$13=1,50,(_xlfn.RANK.AVG(K72,$K$19:$K$1518,1)-1)/($G$13-1)*100))</f>
        <v/>
      </c>
      <c r="P72" s="11">
        <f>IF(L72="","",100-IF($G$14=1,50,(_xlfn.RANK.AVG(L72,$L$19:$L$1518,1)-1)/($G$14-1)*100))</f>
        <v/>
      </c>
      <c r="Q72" s="11">
        <f>IF(M72="","",IF($G$15=1,50,(_xlfn.RANK.AVG(M72,$M$19:$M$1518,1)-1)/($G$15-1)*100))</f>
        <v/>
      </c>
      <c r="R72" s="11">
        <f>IF(N72="","",IF($G$16=1,50,(_xlfn.RANK.AVG(N72,$N$19:$N$1518,1)-1)/($G$16-1)*100))</f>
        <v/>
      </c>
      <c r="S72" s="11">
        <f>IF(COUNT(O72:R72)=4,ROUND(AVERAGE(O72:R72),6),"")</f>
        <v/>
      </c>
      <c r="U72">
        <f>IF(AND(ISNUMBER('자료_한국심리'!$A56),ISNUMBER('자료_한국심리'!$B56)),'자료_한국심리'!$A56,"")</f>
        <v/>
      </c>
      <c r="V72">
        <f>IF(AND(ISNUMBER('자료_한국심리'!$D56),ISNUMBER('자료_한국심리'!$E56)),'자료_한국심리'!$D56,"")</f>
        <v/>
      </c>
      <c r="W72">
        <f>IF(AND(ISNUMBER('자료_한국심리'!$G56),ISNUMBER('자료_한국심리'!$H56)),'자료_한국심리'!$G56,"")</f>
        <v/>
      </c>
      <c r="X72">
        <f>IF(AND(ISNUMBER('자료_한국심리'!$J56),ISNUMBER('자료_한국심리'!$K56)),'자료_한국심리'!$J56,"")</f>
        <v/>
      </c>
      <c r="Y72">
        <f>IF(AND(ISNUMBER('자료_한국심리'!$M56),ISNUMBER('자료_한국심리'!$N56)),'자료_한국심리'!$M56,"")</f>
        <v/>
      </c>
    </row>
    <row r="73">
      <c r="A73" s="10">
        <f>IF(55&gt;$E$5,"",SMALL($U$19:$U$4018,$E$6+55))</f>
        <v/>
      </c>
      <c r="B73" s="29">
        <f>IF(A73="","",INDEX('자료_한국심리'!$B$3:$B$4002,MATCH(A73,$U$19:$U$4018,0)))</f>
        <v/>
      </c>
      <c r="C73" s="22">
        <f>""</f>
        <v/>
      </c>
      <c r="D73" s="29">
        <f>IF(A73="","",IFERROR(INDEX('자료_한국심리'!$E$3:$E$4002,MATCH(A73,$V$19:$V$4018,0)),D72))</f>
        <v/>
      </c>
      <c r="E73" s="30">
        <f>IF(A73="","",IFERROR(INDEX('자료_한국심리'!$H$3:$H$4002,MATCH(A73,$W$19:$W$4018,0)),E72))</f>
        <v/>
      </c>
      <c r="F73" s="30">
        <f>IF(A73="","",IFERROR(INDEX('자료_한국심리'!$K$3:$K$4002,MATCH(A73,$X$19:$X$4018,0)),F72))</f>
        <v/>
      </c>
      <c r="G73" s="30">
        <f>IF(AND(ISNUMBER(E73),ISNUMBER(F73)),ROUND(E73-F73,6),"")</f>
        <v/>
      </c>
      <c r="H73" s="25">
        <f>IF(A73="","",IFERROR(INDEX('자료_한국심리'!$N$3:$N$4002,MATCH(A73,$Y$19:$Y$4018,0)),H72))</f>
        <v/>
      </c>
      <c r="I73" s="31">
        <f>IF(AND(ISNUMBER(H73),ISNUMBER(H53)),IF(H53&gt;0,H73/H53-1,""),"")</f>
        <v/>
      </c>
      <c r="J73">
        <f>IF(A73="",0,IF(A73&gt;$B$5,1,0))</f>
        <v/>
      </c>
      <c r="K73" s="29">
        <f>IF(AND(J73=1,ISNUMBER(D73)),D73,"")</f>
        <v/>
      </c>
      <c r="L73" s="30">
        <f>IF(AND(J73=1,ISNUMBER(G73)),G73,"")</f>
        <v/>
      </c>
      <c r="M73" s="22">
        <f>IF(AND(J73=1,ISNUMBER(C73)),C73,"")</f>
        <v/>
      </c>
      <c r="N73" s="31">
        <f>IF(AND(J73=1,ISNUMBER(I73)),I73,"")</f>
        <v/>
      </c>
      <c r="O73" s="11">
        <f>IF(K73="","",100-IF($G$13=1,50,(_xlfn.RANK.AVG(K73,$K$19:$K$1518,1)-1)/($G$13-1)*100))</f>
        <v/>
      </c>
      <c r="P73" s="11">
        <f>IF(L73="","",100-IF($G$14=1,50,(_xlfn.RANK.AVG(L73,$L$19:$L$1518,1)-1)/($G$14-1)*100))</f>
        <v/>
      </c>
      <c r="Q73" s="11">
        <f>IF(M73="","",IF($G$15=1,50,(_xlfn.RANK.AVG(M73,$M$19:$M$1518,1)-1)/($G$15-1)*100))</f>
        <v/>
      </c>
      <c r="R73" s="11">
        <f>IF(N73="","",IF($G$16=1,50,(_xlfn.RANK.AVG(N73,$N$19:$N$1518,1)-1)/($G$16-1)*100))</f>
        <v/>
      </c>
      <c r="S73" s="11">
        <f>IF(COUNT(O73:R73)=4,ROUND(AVERAGE(O73:R73),6),"")</f>
        <v/>
      </c>
      <c r="U73">
        <f>IF(AND(ISNUMBER('자료_한국심리'!$A57),ISNUMBER('자료_한국심리'!$B57)),'자료_한국심리'!$A57,"")</f>
        <v/>
      </c>
      <c r="V73">
        <f>IF(AND(ISNUMBER('자료_한국심리'!$D57),ISNUMBER('자료_한국심리'!$E57)),'자료_한국심리'!$D57,"")</f>
        <v/>
      </c>
      <c r="W73">
        <f>IF(AND(ISNUMBER('자료_한국심리'!$G57),ISNUMBER('자료_한국심리'!$H57)),'자료_한국심리'!$G57,"")</f>
        <v/>
      </c>
      <c r="X73">
        <f>IF(AND(ISNUMBER('자료_한국심리'!$J57),ISNUMBER('자료_한국심리'!$K57)),'자료_한국심리'!$J57,"")</f>
        <v/>
      </c>
      <c r="Y73">
        <f>IF(AND(ISNUMBER('자료_한국심리'!$M57),ISNUMBER('자료_한국심리'!$N57)),'자료_한국심리'!$M57,"")</f>
        <v/>
      </c>
    </row>
    <row r="74">
      <c r="A74" s="10">
        <f>IF(56&gt;$E$5,"",SMALL($U$19:$U$4018,$E$6+56))</f>
        <v/>
      </c>
      <c r="B74" s="29">
        <f>IF(A74="","",INDEX('자료_한국심리'!$B$3:$B$4002,MATCH(A74,$U$19:$U$4018,0)))</f>
        <v/>
      </c>
      <c r="C74" s="22">
        <f>""</f>
        <v/>
      </c>
      <c r="D74" s="29">
        <f>IF(A74="","",IFERROR(INDEX('자료_한국심리'!$E$3:$E$4002,MATCH(A74,$V$19:$V$4018,0)),D73))</f>
        <v/>
      </c>
      <c r="E74" s="30">
        <f>IF(A74="","",IFERROR(INDEX('자료_한국심리'!$H$3:$H$4002,MATCH(A74,$W$19:$W$4018,0)),E73))</f>
        <v/>
      </c>
      <c r="F74" s="30">
        <f>IF(A74="","",IFERROR(INDEX('자료_한국심리'!$K$3:$K$4002,MATCH(A74,$X$19:$X$4018,0)),F73))</f>
        <v/>
      </c>
      <c r="G74" s="30">
        <f>IF(AND(ISNUMBER(E74),ISNUMBER(F74)),ROUND(E74-F74,6),"")</f>
        <v/>
      </c>
      <c r="H74" s="25">
        <f>IF(A74="","",IFERROR(INDEX('자료_한국심리'!$N$3:$N$4002,MATCH(A74,$Y$19:$Y$4018,0)),H73))</f>
        <v/>
      </c>
      <c r="I74" s="31">
        <f>IF(AND(ISNUMBER(H74),ISNUMBER(H54)),IF(H54&gt;0,H74/H54-1,""),"")</f>
        <v/>
      </c>
      <c r="J74">
        <f>IF(A74="",0,IF(A74&gt;$B$5,1,0))</f>
        <v/>
      </c>
      <c r="K74" s="29">
        <f>IF(AND(J74=1,ISNUMBER(D74)),D74,"")</f>
        <v/>
      </c>
      <c r="L74" s="30">
        <f>IF(AND(J74=1,ISNUMBER(G74)),G74,"")</f>
        <v/>
      </c>
      <c r="M74" s="22">
        <f>IF(AND(J74=1,ISNUMBER(C74)),C74,"")</f>
        <v/>
      </c>
      <c r="N74" s="31">
        <f>IF(AND(J74=1,ISNUMBER(I74)),I74,"")</f>
        <v/>
      </c>
      <c r="O74" s="11">
        <f>IF(K74="","",100-IF($G$13=1,50,(_xlfn.RANK.AVG(K74,$K$19:$K$1518,1)-1)/($G$13-1)*100))</f>
        <v/>
      </c>
      <c r="P74" s="11">
        <f>IF(L74="","",100-IF($G$14=1,50,(_xlfn.RANK.AVG(L74,$L$19:$L$1518,1)-1)/($G$14-1)*100))</f>
        <v/>
      </c>
      <c r="Q74" s="11">
        <f>IF(M74="","",IF($G$15=1,50,(_xlfn.RANK.AVG(M74,$M$19:$M$1518,1)-1)/($G$15-1)*100))</f>
        <v/>
      </c>
      <c r="R74" s="11">
        <f>IF(N74="","",IF($G$16=1,50,(_xlfn.RANK.AVG(N74,$N$19:$N$1518,1)-1)/($G$16-1)*100))</f>
        <v/>
      </c>
      <c r="S74" s="11">
        <f>IF(COUNT(O74:R74)=4,ROUND(AVERAGE(O74:R74),6),"")</f>
        <v/>
      </c>
      <c r="U74">
        <f>IF(AND(ISNUMBER('자료_한국심리'!$A58),ISNUMBER('자료_한국심리'!$B58)),'자료_한국심리'!$A58,"")</f>
        <v/>
      </c>
      <c r="V74">
        <f>IF(AND(ISNUMBER('자료_한국심리'!$D58),ISNUMBER('자료_한국심리'!$E58)),'자료_한국심리'!$D58,"")</f>
        <v/>
      </c>
      <c r="W74">
        <f>IF(AND(ISNUMBER('자료_한국심리'!$G58),ISNUMBER('자료_한국심리'!$H58)),'자료_한국심리'!$G58,"")</f>
        <v/>
      </c>
      <c r="X74">
        <f>IF(AND(ISNUMBER('자료_한국심리'!$J58),ISNUMBER('자료_한국심리'!$K58)),'자료_한국심리'!$J58,"")</f>
        <v/>
      </c>
      <c r="Y74">
        <f>IF(AND(ISNUMBER('자료_한국심리'!$M58),ISNUMBER('자료_한국심리'!$N58)),'자료_한국심리'!$M58,"")</f>
        <v/>
      </c>
    </row>
    <row r="75">
      <c r="A75" s="10">
        <f>IF(57&gt;$E$5,"",SMALL($U$19:$U$4018,$E$6+57))</f>
        <v/>
      </c>
      <c r="B75" s="29">
        <f>IF(A75="","",INDEX('자료_한국심리'!$B$3:$B$4002,MATCH(A75,$U$19:$U$4018,0)))</f>
        <v/>
      </c>
      <c r="C75" s="22">
        <f>""</f>
        <v/>
      </c>
      <c r="D75" s="29">
        <f>IF(A75="","",IFERROR(INDEX('자료_한국심리'!$E$3:$E$4002,MATCH(A75,$V$19:$V$4018,0)),D74))</f>
        <v/>
      </c>
      <c r="E75" s="30">
        <f>IF(A75="","",IFERROR(INDEX('자료_한국심리'!$H$3:$H$4002,MATCH(A75,$W$19:$W$4018,0)),E74))</f>
        <v/>
      </c>
      <c r="F75" s="30">
        <f>IF(A75="","",IFERROR(INDEX('자료_한국심리'!$K$3:$K$4002,MATCH(A75,$X$19:$X$4018,0)),F74))</f>
        <v/>
      </c>
      <c r="G75" s="30">
        <f>IF(AND(ISNUMBER(E75),ISNUMBER(F75)),ROUND(E75-F75,6),"")</f>
        <v/>
      </c>
      <c r="H75" s="25">
        <f>IF(A75="","",IFERROR(INDEX('자료_한국심리'!$N$3:$N$4002,MATCH(A75,$Y$19:$Y$4018,0)),H74))</f>
        <v/>
      </c>
      <c r="I75" s="31">
        <f>IF(AND(ISNUMBER(H75),ISNUMBER(H55)),IF(H55&gt;0,H75/H55-1,""),"")</f>
        <v/>
      </c>
      <c r="J75">
        <f>IF(A75="",0,IF(A75&gt;$B$5,1,0))</f>
        <v/>
      </c>
      <c r="K75" s="29">
        <f>IF(AND(J75=1,ISNUMBER(D75)),D75,"")</f>
        <v/>
      </c>
      <c r="L75" s="30">
        <f>IF(AND(J75=1,ISNUMBER(G75)),G75,"")</f>
        <v/>
      </c>
      <c r="M75" s="22">
        <f>IF(AND(J75=1,ISNUMBER(C75)),C75,"")</f>
        <v/>
      </c>
      <c r="N75" s="31">
        <f>IF(AND(J75=1,ISNUMBER(I75)),I75,"")</f>
        <v/>
      </c>
      <c r="O75" s="11">
        <f>IF(K75="","",100-IF($G$13=1,50,(_xlfn.RANK.AVG(K75,$K$19:$K$1518,1)-1)/($G$13-1)*100))</f>
        <v/>
      </c>
      <c r="P75" s="11">
        <f>IF(L75="","",100-IF($G$14=1,50,(_xlfn.RANK.AVG(L75,$L$19:$L$1518,1)-1)/($G$14-1)*100))</f>
        <v/>
      </c>
      <c r="Q75" s="11">
        <f>IF(M75="","",IF($G$15=1,50,(_xlfn.RANK.AVG(M75,$M$19:$M$1518,1)-1)/($G$15-1)*100))</f>
        <v/>
      </c>
      <c r="R75" s="11">
        <f>IF(N75="","",IF($G$16=1,50,(_xlfn.RANK.AVG(N75,$N$19:$N$1518,1)-1)/($G$16-1)*100))</f>
        <v/>
      </c>
      <c r="S75" s="11">
        <f>IF(COUNT(O75:R75)=4,ROUND(AVERAGE(O75:R75),6),"")</f>
        <v/>
      </c>
      <c r="U75">
        <f>IF(AND(ISNUMBER('자료_한국심리'!$A59),ISNUMBER('자료_한국심리'!$B59)),'자료_한국심리'!$A59,"")</f>
        <v/>
      </c>
      <c r="V75">
        <f>IF(AND(ISNUMBER('자료_한국심리'!$D59),ISNUMBER('자료_한국심리'!$E59)),'자료_한국심리'!$D59,"")</f>
        <v/>
      </c>
      <c r="W75">
        <f>IF(AND(ISNUMBER('자료_한국심리'!$G59),ISNUMBER('자료_한국심리'!$H59)),'자료_한국심리'!$G59,"")</f>
        <v/>
      </c>
      <c r="X75">
        <f>IF(AND(ISNUMBER('자료_한국심리'!$J59),ISNUMBER('자료_한국심리'!$K59)),'자료_한국심리'!$J59,"")</f>
        <v/>
      </c>
      <c r="Y75">
        <f>IF(AND(ISNUMBER('자료_한국심리'!$M59),ISNUMBER('자료_한국심리'!$N59)),'자료_한국심리'!$M59,"")</f>
        <v/>
      </c>
    </row>
    <row r="76">
      <c r="A76" s="10">
        <f>IF(58&gt;$E$5,"",SMALL($U$19:$U$4018,$E$6+58))</f>
        <v/>
      </c>
      <c r="B76" s="29">
        <f>IF(A76="","",INDEX('자료_한국심리'!$B$3:$B$4002,MATCH(A76,$U$19:$U$4018,0)))</f>
        <v/>
      </c>
      <c r="C76" s="22">
        <f>""</f>
        <v/>
      </c>
      <c r="D76" s="29">
        <f>IF(A76="","",IFERROR(INDEX('자료_한국심리'!$E$3:$E$4002,MATCH(A76,$V$19:$V$4018,0)),D75))</f>
        <v/>
      </c>
      <c r="E76" s="30">
        <f>IF(A76="","",IFERROR(INDEX('자료_한국심리'!$H$3:$H$4002,MATCH(A76,$W$19:$W$4018,0)),E75))</f>
        <v/>
      </c>
      <c r="F76" s="30">
        <f>IF(A76="","",IFERROR(INDEX('자료_한국심리'!$K$3:$K$4002,MATCH(A76,$X$19:$X$4018,0)),F75))</f>
        <v/>
      </c>
      <c r="G76" s="30">
        <f>IF(AND(ISNUMBER(E76),ISNUMBER(F76)),ROUND(E76-F76,6),"")</f>
        <v/>
      </c>
      <c r="H76" s="25">
        <f>IF(A76="","",IFERROR(INDEX('자료_한국심리'!$N$3:$N$4002,MATCH(A76,$Y$19:$Y$4018,0)),H75))</f>
        <v/>
      </c>
      <c r="I76" s="31">
        <f>IF(AND(ISNUMBER(H76),ISNUMBER(H56)),IF(H56&gt;0,H76/H56-1,""),"")</f>
        <v/>
      </c>
      <c r="J76">
        <f>IF(A76="",0,IF(A76&gt;$B$5,1,0))</f>
        <v/>
      </c>
      <c r="K76" s="29">
        <f>IF(AND(J76=1,ISNUMBER(D76)),D76,"")</f>
        <v/>
      </c>
      <c r="L76" s="30">
        <f>IF(AND(J76=1,ISNUMBER(G76)),G76,"")</f>
        <v/>
      </c>
      <c r="M76" s="22">
        <f>IF(AND(J76=1,ISNUMBER(C76)),C76,"")</f>
        <v/>
      </c>
      <c r="N76" s="31">
        <f>IF(AND(J76=1,ISNUMBER(I76)),I76,"")</f>
        <v/>
      </c>
      <c r="O76" s="11">
        <f>IF(K76="","",100-IF($G$13=1,50,(_xlfn.RANK.AVG(K76,$K$19:$K$1518,1)-1)/($G$13-1)*100))</f>
        <v/>
      </c>
      <c r="P76" s="11">
        <f>IF(L76="","",100-IF($G$14=1,50,(_xlfn.RANK.AVG(L76,$L$19:$L$1518,1)-1)/($G$14-1)*100))</f>
        <v/>
      </c>
      <c r="Q76" s="11">
        <f>IF(M76="","",IF($G$15=1,50,(_xlfn.RANK.AVG(M76,$M$19:$M$1518,1)-1)/($G$15-1)*100))</f>
        <v/>
      </c>
      <c r="R76" s="11">
        <f>IF(N76="","",IF($G$16=1,50,(_xlfn.RANK.AVG(N76,$N$19:$N$1518,1)-1)/($G$16-1)*100))</f>
        <v/>
      </c>
      <c r="S76" s="11">
        <f>IF(COUNT(O76:R76)=4,ROUND(AVERAGE(O76:R76),6),"")</f>
        <v/>
      </c>
      <c r="U76">
        <f>IF(AND(ISNUMBER('자료_한국심리'!$A60),ISNUMBER('자료_한국심리'!$B60)),'자료_한국심리'!$A60,"")</f>
        <v/>
      </c>
      <c r="V76">
        <f>IF(AND(ISNUMBER('자료_한국심리'!$D60),ISNUMBER('자료_한국심리'!$E60)),'자료_한국심리'!$D60,"")</f>
        <v/>
      </c>
      <c r="W76">
        <f>IF(AND(ISNUMBER('자료_한국심리'!$G60),ISNUMBER('자료_한국심리'!$H60)),'자료_한국심리'!$G60,"")</f>
        <v/>
      </c>
      <c r="X76">
        <f>IF(AND(ISNUMBER('자료_한국심리'!$J60),ISNUMBER('자료_한국심리'!$K60)),'자료_한국심리'!$J60,"")</f>
        <v/>
      </c>
      <c r="Y76">
        <f>IF(AND(ISNUMBER('자료_한국심리'!$M60),ISNUMBER('자료_한국심리'!$N60)),'자료_한국심리'!$M60,"")</f>
        <v/>
      </c>
    </row>
    <row r="77">
      <c r="A77" s="10">
        <f>IF(59&gt;$E$5,"",SMALL($U$19:$U$4018,$E$6+59))</f>
        <v/>
      </c>
      <c r="B77" s="29">
        <f>IF(A77="","",INDEX('자료_한국심리'!$B$3:$B$4002,MATCH(A77,$U$19:$U$4018,0)))</f>
        <v/>
      </c>
      <c r="C77" s="22">
        <f>""</f>
        <v/>
      </c>
      <c r="D77" s="29">
        <f>IF(A77="","",IFERROR(INDEX('자료_한국심리'!$E$3:$E$4002,MATCH(A77,$V$19:$V$4018,0)),D76))</f>
        <v/>
      </c>
      <c r="E77" s="30">
        <f>IF(A77="","",IFERROR(INDEX('자료_한국심리'!$H$3:$H$4002,MATCH(A77,$W$19:$W$4018,0)),E76))</f>
        <v/>
      </c>
      <c r="F77" s="30">
        <f>IF(A77="","",IFERROR(INDEX('자료_한국심리'!$K$3:$K$4002,MATCH(A77,$X$19:$X$4018,0)),F76))</f>
        <v/>
      </c>
      <c r="G77" s="30">
        <f>IF(AND(ISNUMBER(E77),ISNUMBER(F77)),ROUND(E77-F77,6),"")</f>
        <v/>
      </c>
      <c r="H77" s="25">
        <f>IF(A77="","",IFERROR(INDEX('자료_한국심리'!$N$3:$N$4002,MATCH(A77,$Y$19:$Y$4018,0)),H76))</f>
        <v/>
      </c>
      <c r="I77" s="31">
        <f>IF(AND(ISNUMBER(H77),ISNUMBER(H57)),IF(H57&gt;0,H77/H57-1,""),"")</f>
        <v/>
      </c>
      <c r="J77">
        <f>IF(A77="",0,IF(A77&gt;$B$5,1,0))</f>
        <v/>
      </c>
      <c r="K77" s="29">
        <f>IF(AND(J77=1,ISNUMBER(D77)),D77,"")</f>
        <v/>
      </c>
      <c r="L77" s="30">
        <f>IF(AND(J77=1,ISNUMBER(G77)),G77,"")</f>
        <v/>
      </c>
      <c r="M77" s="22">
        <f>IF(AND(J77=1,ISNUMBER(C77)),C77,"")</f>
        <v/>
      </c>
      <c r="N77" s="31">
        <f>IF(AND(J77=1,ISNUMBER(I77)),I77,"")</f>
        <v/>
      </c>
      <c r="O77" s="11">
        <f>IF(K77="","",100-IF($G$13=1,50,(_xlfn.RANK.AVG(K77,$K$19:$K$1518,1)-1)/($G$13-1)*100))</f>
        <v/>
      </c>
      <c r="P77" s="11">
        <f>IF(L77="","",100-IF($G$14=1,50,(_xlfn.RANK.AVG(L77,$L$19:$L$1518,1)-1)/($G$14-1)*100))</f>
        <v/>
      </c>
      <c r="Q77" s="11">
        <f>IF(M77="","",IF($G$15=1,50,(_xlfn.RANK.AVG(M77,$M$19:$M$1518,1)-1)/($G$15-1)*100))</f>
        <v/>
      </c>
      <c r="R77" s="11">
        <f>IF(N77="","",IF($G$16=1,50,(_xlfn.RANK.AVG(N77,$N$19:$N$1518,1)-1)/($G$16-1)*100))</f>
        <v/>
      </c>
      <c r="S77" s="11">
        <f>IF(COUNT(O77:R77)=4,ROUND(AVERAGE(O77:R77),6),"")</f>
        <v/>
      </c>
      <c r="U77">
        <f>IF(AND(ISNUMBER('자료_한국심리'!$A61),ISNUMBER('자료_한국심리'!$B61)),'자료_한국심리'!$A61,"")</f>
        <v/>
      </c>
      <c r="V77">
        <f>IF(AND(ISNUMBER('자료_한국심리'!$D61),ISNUMBER('자료_한국심리'!$E61)),'자료_한국심리'!$D61,"")</f>
        <v/>
      </c>
      <c r="W77">
        <f>IF(AND(ISNUMBER('자료_한국심리'!$G61),ISNUMBER('자료_한국심리'!$H61)),'자료_한국심리'!$G61,"")</f>
        <v/>
      </c>
      <c r="X77">
        <f>IF(AND(ISNUMBER('자료_한국심리'!$J61),ISNUMBER('자료_한국심리'!$K61)),'자료_한국심리'!$J61,"")</f>
        <v/>
      </c>
      <c r="Y77">
        <f>IF(AND(ISNUMBER('자료_한국심리'!$M61),ISNUMBER('자료_한국심리'!$N61)),'자료_한국심리'!$M61,"")</f>
        <v/>
      </c>
    </row>
    <row r="78">
      <c r="A78" s="10">
        <f>IF(60&gt;$E$5,"",SMALL($U$19:$U$4018,$E$6+60))</f>
        <v/>
      </c>
      <c r="B78" s="29">
        <f>IF(A78="","",INDEX('자료_한국심리'!$B$3:$B$4002,MATCH(A78,$U$19:$U$4018,0)))</f>
        <v/>
      </c>
      <c r="C78" s="22">
        <f>""</f>
        <v/>
      </c>
      <c r="D78" s="29">
        <f>IF(A78="","",IFERROR(INDEX('자료_한국심리'!$E$3:$E$4002,MATCH(A78,$V$19:$V$4018,0)),D77))</f>
        <v/>
      </c>
      <c r="E78" s="30">
        <f>IF(A78="","",IFERROR(INDEX('자료_한국심리'!$H$3:$H$4002,MATCH(A78,$W$19:$W$4018,0)),E77))</f>
        <v/>
      </c>
      <c r="F78" s="30">
        <f>IF(A78="","",IFERROR(INDEX('자료_한국심리'!$K$3:$K$4002,MATCH(A78,$X$19:$X$4018,0)),F77))</f>
        <v/>
      </c>
      <c r="G78" s="30">
        <f>IF(AND(ISNUMBER(E78),ISNUMBER(F78)),ROUND(E78-F78,6),"")</f>
        <v/>
      </c>
      <c r="H78" s="25">
        <f>IF(A78="","",IFERROR(INDEX('자료_한국심리'!$N$3:$N$4002,MATCH(A78,$Y$19:$Y$4018,0)),H77))</f>
        <v/>
      </c>
      <c r="I78" s="31">
        <f>IF(AND(ISNUMBER(H78),ISNUMBER(H58)),IF(H58&gt;0,H78/H58-1,""),"")</f>
        <v/>
      </c>
      <c r="J78">
        <f>IF(A78="",0,IF(A78&gt;$B$5,1,0))</f>
        <v/>
      </c>
      <c r="K78" s="29">
        <f>IF(AND(J78=1,ISNUMBER(D78)),D78,"")</f>
        <v/>
      </c>
      <c r="L78" s="30">
        <f>IF(AND(J78=1,ISNUMBER(G78)),G78,"")</f>
        <v/>
      </c>
      <c r="M78" s="22">
        <f>IF(AND(J78=1,ISNUMBER(C78)),C78,"")</f>
        <v/>
      </c>
      <c r="N78" s="31">
        <f>IF(AND(J78=1,ISNUMBER(I78)),I78,"")</f>
        <v/>
      </c>
      <c r="O78" s="11">
        <f>IF(K78="","",100-IF($G$13=1,50,(_xlfn.RANK.AVG(K78,$K$19:$K$1518,1)-1)/($G$13-1)*100))</f>
        <v/>
      </c>
      <c r="P78" s="11">
        <f>IF(L78="","",100-IF($G$14=1,50,(_xlfn.RANK.AVG(L78,$L$19:$L$1518,1)-1)/($G$14-1)*100))</f>
        <v/>
      </c>
      <c r="Q78" s="11">
        <f>IF(M78="","",IF($G$15=1,50,(_xlfn.RANK.AVG(M78,$M$19:$M$1518,1)-1)/($G$15-1)*100))</f>
        <v/>
      </c>
      <c r="R78" s="11">
        <f>IF(N78="","",IF($G$16=1,50,(_xlfn.RANK.AVG(N78,$N$19:$N$1518,1)-1)/($G$16-1)*100))</f>
        <v/>
      </c>
      <c r="S78" s="11">
        <f>IF(COUNT(O78:R78)=4,ROUND(AVERAGE(O78:R78),6),"")</f>
        <v/>
      </c>
      <c r="U78">
        <f>IF(AND(ISNUMBER('자료_한국심리'!$A62),ISNUMBER('자료_한국심리'!$B62)),'자료_한국심리'!$A62,"")</f>
        <v/>
      </c>
      <c r="V78">
        <f>IF(AND(ISNUMBER('자료_한국심리'!$D62),ISNUMBER('자료_한국심리'!$E62)),'자료_한국심리'!$D62,"")</f>
        <v/>
      </c>
      <c r="W78">
        <f>IF(AND(ISNUMBER('자료_한국심리'!$G62),ISNUMBER('자료_한국심리'!$H62)),'자료_한국심리'!$G62,"")</f>
        <v/>
      </c>
      <c r="X78">
        <f>IF(AND(ISNUMBER('자료_한국심리'!$J62),ISNUMBER('자료_한국심리'!$K62)),'자료_한국심리'!$J62,"")</f>
        <v/>
      </c>
      <c r="Y78">
        <f>IF(AND(ISNUMBER('자료_한국심리'!$M62),ISNUMBER('자료_한국심리'!$N62)),'자료_한국심리'!$M62,"")</f>
        <v/>
      </c>
    </row>
    <row r="79">
      <c r="A79" s="10">
        <f>IF(61&gt;$E$5,"",SMALL($U$19:$U$4018,$E$6+61))</f>
        <v/>
      </c>
      <c r="B79" s="29">
        <f>IF(A79="","",INDEX('자료_한국심리'!$B$3:$B$4002,MATCH(A79,$U$19:$U$4018,0)))</f>
        <v/>
      </c>
      <c r="C79" s="22">
        <f>""</f>
        <v/>
      </c>
      <c r="D79" s="29">
        <f>IF(A79="","",IFERROR(INDEX('자료_한국심리'!$E$3:$E$4002,MATCH(A79,$V$19:$V$4018,0)),D78))</f>
        <v/>
      </c>
      <c r="E79" s="30">
        <f>IF(A79="","",IFERROR(INDEX('자료_한국심리'!$H$3:$H$4002,MATCH(A79,$W$19:$W$4018,0)),E78))</f>
        <v/>
      </c>
      <c r="F79" s="30">
        <f>IF(A79="","",IFERROR(INDEX('자료_한국심리'!$K$3:$K$4002,MATCH(A79,$X$19:$X$4018,0)),F78))</f>
        <v/>
      </c>
      <c r="G79" s="30">
        <f>IF(AND(ISNUMBER(E79),ISNUMBER(F79)),ROUND(E79-F79,6),"")</f>
        <v/>
      </c>
      <c r="H79" s="25">
        <f>IF(A79="","",IFERROR(INDEX('자료_한국심리'!$N$3:$N$4002,MATCH(A79,$Y$19:$Y$4018,0)),H78))</f>
        <v/>
      </c>
      <c r="I79" s="31">
        <f>IF(AND(ISNUMBER(H79),ISNUMBER(H59)),IF(H59&gt;0,H79/H59-1,""),"")</f>
        <v/>
      </c>
      <c r="J79">
        <f>IF(A79="",0,IF(A79&gt;$B$5,1,0))</f>
        <v/>
      </c>
      <c r="K79" s="29">
        <f>IF(AND(J79=1,ISNUMBER(D79)),D79,"")</f>
        <v/>
      </c>
      <c r="L79" s="30">
        <f>IF(AND(J79=1,ISNUMBER(G79)),G79,"")</f>
        <v/>
      </c>
      <c r="M79" s="22">
        <f>IF(AND(J79=1,ISNUMBER(C79)),C79,"")</f>
        <v/>
      </c>
      <c r="N79" s="31">
        <f>IF(AND(J79=1,ISNUMBER(I79)),I79,"")</f>
        <v/>
      </c>
      <c r="O79" s="11">
        <f>IF(K79="","",100-IF($G$13=1,50,(_xlfn.RANK.AVG(K79,$K$19:$K$1518,1)-1)/($G$13-1)*100))</f>
        <v/>
      </c>
      <c r="P79" s="11">
        <f>IF(L79="","",100-IF($G$14=1,50,(_xlfn.RANK.AVG(L79,$L$19:$L$1518,1)-1)/($G$14-1)*100))</f>
        <v/>
      </c>
      <c r="Q79" s="11">
        <f>IF(M79="","",IF($G$15=1,50,(_xlfn.RANK.AVG(M79,$M$19:$M$1518,1)-1)/($G$15-1)*100))</f>
        <v/>
      </c>
      <c r="R79" s="11">
        <f>IF(N79="","",IF($G$16=1,50,(_xlfn.RANK.AVG(N79,$N$19:$N$1518,1)-1)/($G$16-1)*100))</f>
        <v/>
      </c>
      <c r="S79" s="11">
        <f>IF(COUNT(O79:R79)=4,ROUND(AVERAGE(O79:R79),6),"")</f>
        <v/>
      </c>
      <c r="U79">
        <f>IF(AND(ISNUMBER('자료_한국심리'!$A63),ISNUMBER('자료_한국심리'!$B63)),'자료_한국심리'!$A63,"")</f>
        <v/>
      </c>
      <c r="V79">
        <f>IF(AND(ISNUMBER('자료_한국심리'!$D63),ISNUMBER('자료_한국심리'!$E63)),'자료_한국심리'!$D63,"")</f>
        <v/>
      </c>
      <c r="W79">
        <f>IF(AND(ISNUMBER('자료_한국심리'!$G63),ISNUMBER('자료_한국심리'!$H63)),'자료_한국심리'!$G63,"")</f>
        <v/>
      </c>
      <c r="X79">
        <f>IF(AND(ISNUMBER('자료_한국심리'!$J63),ISNUMBER('자료_한국심리'!$K63)),'자료_한국심리'!$J63,"")</f>
        <v/>
      </c>
      <c r="Y79">
        <f>IF(AND(ISNUMBER('자료_한국심리'!$M63),ISNUMBER('자료_한국심리'!$N63)),'자료_한국심리'!$M63,"")</f>
        <v/>
      </c>
    </row>
    <row r="80">
      <c r="A80" s="10">
        <f>IF(62&gt;$E$5,"",SMALL($U$19:$U$4018,$E$6+62))</f>
        <v/>
      </c>
      <c r="B80" s="29">
        <f>IF(A80="","",INDEX('자료_한국심리'!$B$3:$B$4002,MATCH(A80,$U$19:$U$4018,0)))</f>
        <v/>
      </c>
      <c r="C80" s="22">
        <f>""</f>
        <v/>
      </c>
      <c r="D80" s="29">
        <f>IF(A80="","",IFERROR(INDEX('자료_한국심리'!$E$3:$E$4002,MATCH(A80,$V$19:$V$4018,0)),D79))</f>
        <v/>
      </c>
      <c r="E80" s="30">
        <f>IF(A80="","",IFERROR(INDEX('자료_한국심리'!$H$3:$H$4002,MATCH(A80,$W$19:$W$4018,0)),E79))</f>
        <v/>
      </c>
      <c r="F80" s="30">
        <f>IF(A80="","",IFERROR(INDEX('자료_한국심리'!$K$3:$K$4002,MATCH(A80,$X$19:$X$4018,0)),F79))</f>
        <v/>
      </c>
      <c r="G80" s="30">
        <f>IF(AND(ISNUMBER(E80),ISNUMBER(F80)),ROUND(E80-F80,6),"")</f>
        <v/>
      </c>
      <c r="H80" s="25">
        <f>IF(A80="","",IFERROR(INDEX('자료_한국심리'!$N$3:$N$4002,MATCH(A80,$Y$19:$Y$4018,0)),H79))</f>
        <v/>
      </c>
      <c r="I80" s="31">
        <f>IF(AND(ISNUMBER(H80),ISNUMBER(H60)),IF(H60&gt;0,H80/H60-1,""),"")</f>
        <v/>
      </c>
      <c r="J80">
        <f>IF(A80="",0,IF(A80&gt;$B$5,1,0))</f>
        <v/>
      </c>
      <c r="K80" s="29">
        <f>IF(AND(J80=1,ISNUMBER(D80)),D80,"")</f>
        <v/>
      </c>
      <c r="L80" s="30">
        <f>IF(AND(J80=1,ISNUMBER(G80)),G80,"")</f>
        <v/>
      </c>
      <c r="M80" s="22">
        <f>IF(AND(J80=1,ISNUMBER(C80)),C80,"")</f>
        <v/>
      </c>
      <c r="N80" s="31">
        <f>IF(AND(J80=1,ISNUMBER(I80)),I80,"")</f>
        <v/>
      </c>
      <c r="O80" s="11">
        <f>IF(K80="","",100-IF($G$13=1,50,(_xlfn.RANK.AVG(K80,$K$19:$K$1518,1)-1)/($G$13-1)*100))</f>
        <v/>
      </c>
      <c r="P80" s="11">
        <f>IF(L80="","",100-IF($G$14=1,50,(_xlfn.RANK.AVG(L80,$L$19:$L$1518,1)-1)/($G$14-1)*100))</f>
        <v/>
      </c>
      <c r="Q80" s="11">
        <f>IF(M80="","",IF($G$15=1,50,(_xlfn.RANK.AVG(M80,$M$19:$M$1518,1)-1)/($G$15-1)*100))</f>
        <v/>
      </c>
      <c r="R80" s="11">
        <f>IF(N80="","",IF($G$16=1,50,(_xlfn.RANK.AVG(N80,$N$19:$N$1518,1)-1)/($G$16-1)*100))</f>
        <v/>
      </c>
      <c r="S80" s="11">
        <f>IF(COUNT(O80:R80)=4,ROUND(AVERAGE(O80:R80),6),"")</f>
        <v/>
      </c>
      <c r="U80">
        <f>IF(AND(ISNUMBER('자료_한국심리'!$A64),ISNUMBER('자료_한국심리'!$B64)),'자료_한국심리'!$A64,"")</f>
        <v/>
      </c>
      <c r="V80">
        <f>IF(AND(ISNUMBER('자료_한국심리'!$D64),ISNUMBER('자료_한국심리'!$E64)),'자료_한국심리'!$D64,"")</f>
        <v/>
      </c>
      <c r="W80">
        <f>IF(AND(ISNUMBER('자료_한국심리'!$G64),ISNUMBER('자료_한국심리'!$H64)),'자료_한국심리'!$G64,"")</f>
        <v/>
      </c>
      <c r="X80">
        <f>IF(AND(ISNUMBER('자료_한국심리'!$J64),ISNUMBER('자료_한국심리'!$K64)),'자료_한국심리'!$J64,"")</f>
        <v/>
      </c>
      <c r="Y80">
        <f>IF(AND(ISNUMBER('자료_한국심리'!$M64),ISNUMBER('자료_한국심리'!$N64)),'자료_한국심리'!$M64,"")</f>
        <v/>
      </c>
    </row>
    <row r="81">
      <c r="A81" s="10">
        <f>IF(63&gt;$E$5,"",SMALL($U$19:$U$4018,$E$6+63))</f>
        <v/>
      </c>
      <c r="B81" s="29">
        <f>IF(A81="","",INDEX('자료_한국심리'!$B$3:$B$4002,MATCH(A81,$U$19:$U$4018,0)))</f>
        <v/>
      </c>
      <c r="C81" s="22">
        <f>""</f>
        <v/>
      </c>
      <c r="D81" s="29">
        <f>IF(A81="","",IFERROR(INDEX('자료_한국심리'!$E$3:$E$4002,MATCH(A81,$V$19:$V$4018,0)),D80))</f>
        <v/>
      </c>
      <c r="E81" s="30">
        <f>IF(A81="","",IFERROR(INDEX('자료_한국심리'!$H$3:$H$4002,MATCH(A81,$W$19:$W$4018,0)),E80))</f>
        <v/>
      </c>
      <c r="F81" s="30">
        <f>IF(A81="","",IFERROR(INDEX('자료_한국심리'!$K$3:$K$4002,MATCH(A81,$X$19:$X$4018,0)),F80))</f>
        <v/>
      </c>
      <c r="G81" s="30">
        <f>IF(AND(ISNUMBER(E81),ISNUMBER(F81)),ROUND(E81-F81,6),"")</f>
        <v/>
      </c>
      <c r="H81" s="25">
        <f>IF(A81="","",IFERROR(INDEX('자료_한국심리'!$N$3:$N$4002,MATCH(A81,$Y$19:$Y$4018,0)),H80))</f>
        <v/>
      </c>
      <c r="I81" s="31">
        <f>IF(AND(ISNUMBER(H81),ISNUMBER(H61)),IF(H61&gt;0,H81/H61-1,""),"")</f>
        <v/>
      </c>
      <c r="J81">
        <f>IF(A81="",0,IF(A81&gt;$B$5,1,0))</f>
        <v/>
      </c>
      <c r="K81" s="29">
        <f>IF(AND(J81=1,ISNUMBER(D81)),D81,"")</f>
        <v/>
      </c>
      <c r="L81" s="30">
        <f>IF(AND(J81=1,ISNUMBER(G81)),G81,"")</f>
        <v/>
      </c>
      <c r="M81" s="22">
        <f>IF(AND(J81=1,ISNUMBER(C81)),C81,"")</f>
        <v/>
      </c>
      <c r="N81" s="31">
        <f>IF(AND(J81=1,ISNUMBER(I81)),I81,"")</f>
        <v/>
      </c>
      <c r="O81" s="11">
        <f>IF(K81="","",100-IF($G$13=1,50,(_xlfn.RANK.AVG(K81,$K$19:$K$1518,1)-1)/($G$13-1)*100))</f>
        <v/>
      </c>
      <c r="P81" s="11">
        <f>IF(L81="","",100-IF($G$14=1,50,(_xlfn.RANK.AVG(L81,$L$19:$L$1518,1)-1)/($G$14-1)*100))</f>
        <v/>
      </c>
      <c r="Q81" s="11">
        <f>IF(M81="","",IF($G$15=1,50,(_xlfn.RANK.AVG(M81,$M$19:$M$1518,1)-1)/($G$15-1)*100))</f>
        <v/>
      </c>
      <c r="R81" s="11">
        <f>IF(N81="","",IF($G$16=1,50,(_xlfn.RANK.AVG(N81,$N$19:$N$1518,1)-1)/($G$16-1)*100))</f>
        <v/>
      </c>
      <c r="S81" s="11">
        <f>IF(COUNT(O81:R81)=4,ROUND(AVERAGE(O81:R81),6),"")</f>
        <v/>
      </c>
      <c r="U81">
        <f>IF(AND(ISNUMBER('자료_한국심리'!$A65),ISNUMBER('자료_한국심리'!$B65)),'자료_한국심리'!$A65,"")</f>
        <v/>
      </c>
      <c r="V81">
        <f>IF(AND(ISNUMBER('자료_한국심리'!$D65),ISNUMBER('자료_한국심리'!$E65)),'자료_한국심리'!$D65,"")</f>
        <v/>
      </c>
      <c r="W81">
        <f>IF(AND(ISNUMBER('자료_한국심리'!$G65),ISNUMBER('자료_한국심리'!$H65)),'자료_한국심리'!$G65,"")</f>
        <v/>
      </c>
      <c r="X81">
        <f>IF(AND(ISNUMBER('자료_한국심리'!$J65),ISNUMBER('자료_한국심리'!$K65)),'자료_한국심리'!$J65,"")</f>
        <v/>
      </c>
      <c r="Y81">
        <f>IF(AND(ISNUMBER('자료_한국심리'!$M65),ISNUMBER('자료_한국심리'!$N65)),'자료_한국심리'!$M65,"")</f>
        <v/>
      </c>
    </row>
    <row r="82">
      <c r="A82" s="10">
        <f>IF(64&gt;$E$5,"",SMALL($U$19:$U$4018,$E$6+64))</f>
        <v/>
      </c>
      <c r="B82" s="29">
        <f>IF(A82="","",INDEX('자료_한국심리'!$B$3:$B$4002,MATCH(A82,$U$19:$U$4018,0)))</f>
        <v/>
      </c>
      <c r="C82" s="22">
        <f>""</f>
        <v/>
      </c>
      <c r="D82" s="29">
        <f>IF(A82="","",IFERROR(INDEX('자료_한국심리'!$E$3:$E$4002,MATCH(A82,$V$19:$V$4018,0)),D81))</f>
        <v/>
      </c>
      <c r="E82" s="30">
        <f>IF(A82="","",IFERROR(INDEX('자료_한국심리'!$H$3:$H$4002,MATCH(A82,$W$19:$W$4018,0)),E81))</f>
        <v/>
      </c>
      <c r="F82" s="30">
        <f>IF(A82="","",IFERROR(INDEX('자료_한국심리'!$K$3:$K$4002,MATCH(A82,$X$19:$X$4018,0)),F81))</f>
        <v/>
      </c>
      <c r="G82" s="30">
        <f>IF(AND(ISNUMBER(E82),ISNUMBER(F82)),ROUND(E82-F82,6),"")</f>
        <v/>
      </c>
      <c r="H82" s="25">
        <f>IF(A82="","",IFERROR(INDEX('자료_한국심리'!$N$3:$N$4002,MATCH(A82,$Y$19:$Y$4018,0)),H81))</f>
        <v/>
      </c>
      <c r="I82" s="31">
        <f>IF(AND(ISNUMBER(H82),ISNUMBER(H62)),IF(H62&gt;0,H82/H62-1,""),"")</f>
        <v/>
      </c>
      <c r="J82">
        <f>IF(A82="",0,IF(A82&gt;$B$5,1,0))</f>
        <v/>
      </c>
      <c r="K82" s="29">
        <f>IF(AND(J82=1,ISNUMBER(D82)),D82,"")</f>
        <v/>
      </c>
      <c r="L82" s="30">
        <f>IF(AND(J82=1,ISNUMBER(G82)),G82,"")</f>
        <v/>
      </c>
      <c r="M82" s="22">
        <f>IF(AND(J82=1,ISNUMBER(C82)),C82,"")</f>
        <v/>
      </c>
      <c r="N82" s="31">
        <f>IF(AND(J82=1,ISNUMBER(I82)),I82,"")</f>
        <v/>
      </c>
      <c r="O82" s="11">
        <f>IF(K82="","",100-IF($G$13=1,50,(_xlfn.RANK.AVG(K82,$K$19:$K$1518,1)-1)/($G$13-1)*100))</f>
        <v/>
      </c>
      <c r="P82" s="11">
        <f>IF(L82="","",100-IF($G$14=1,50,(_xlfn.RANK.AVG(L82,$L$19:$L$1518,1)-1)/($G$14-1)*100))</f>
        <v/>
      </c>
      <c r="Q82" s="11">
        <f>IF(M82="","",IF($G$15=1,50,(_xlfn.RANK.AVG(M82,$M$19:$M$1518,1)-1)/($G$15-1)*100))</f>
        <v/>
      </c>
      <c r="R82" s="11">
        <f>IF(N82="","",IF($G$16=1,50,(_xlfn.RANK.AVG(N82,$N$19:$N$1518,1)-1)/($G$16-1)*100))</f>
        <v/>
      </c>
      <c r="S82" s="11">
        <f>IF(COUNT(O82:R82)=4,ROUND(AVERAGE(O82:R82),6),"")</f>
        <v/>
      </c>
      <c r="U82">
        <f>IF(AND(ISNUMBER('자료_한국심리'!$A66),ISNUMBER('자료_한국심리'!$B66)),'자료_한국심리'!$A66,"")</f>
        <v/>
      </c>
      <c r="V82">
        <f>IF(AND(ISNUMBER('자료_한국심리'!$D66),ISNUMBER('자료_한국심리'!$E66)),'자료_한국심리'!$D66,"")</f>
        <v/>
      </c>
      <c r="W82">
        <f>IF(AND(ISNUMBER('자료_한국심리'!$G66),ISNUMBER('자료_한국심리'!$H66)),'자료_한국심리'!$G66,"")</f>
        <v/>
      </c>
      <c r="X82">
        <f>IF(AND(ISNUMBER('자료_한국심리'!$J66),ISNUMBER('자료_한국심리'!$K66)),'자료_한국심리'!$J66,"")</f>
        <v/>
      </c>
      <c r="Y82">
        <f>IF(AND(ISNUMBER('자료_한국심리'!$M66),ISNUMBER('자료_한국심리'!$N66)),'자료_한국심리'!$M66,"")</f>
        <v/>
      </c>
    </row>
    <row r="83">
      <c r="A83" s="10">
        <f>IF(65&gt;$E$5,"",SMALL($U$19:$U$4018,$E$6+65))</f>
        <v/>
      </c>
      <c r="B83" s="29">
        <f>IF(A83="","",INDEX('자료_한국심리'!$B$3:$B$4002,MATCH(A83,$U$19:$U$4018,0)))</f>
        <v/>
      </c>
      <c r="C83" s="22">
        <f>""</f>
        <v/>
      </c>
      <c r="D83" s="29">
        <f>IF(A83="","",IFERROR(INDEX('자료_한국심리'!$E$3:$E$4002,MATCH(A83,$V$19:$V$4018,0)),D82))</f>
        <v/>
      </c>
      <c r="E83" s="30">
        <f>IF(A83="","",IFERROR(INDEX('자료_한국심리'!$H$3:$H$4002,MATCH(A83,$W$19:$W$4018,0)),E82))</f>
        <v/>
      </c>
      <c r="F83" s="30">
        <f>IF(A83="","",IFERROR(INDEX('자료_한국심리'!$K$3:$K$4002,MATCH(A83,$X$19:$X$4018,0)),F82))</f>
        <v/>
      </c>
      <c r="G83" s="30">
        <f>IF(AND(ISNUMBER(E83),ISNUMBER(F83)),ROUND(E83-F83,6),"")</f>
        <v/>
      </c>
      <c r="H83" s="25">
        <f>IF(A83="","",IFERROR(INDEX('자료_한국심리'!$N$3:$N$4002,MATCH(A83,$Y$19:$Y$4018,0)),H82))</f>
        <v/>
      </c>
      <c r="I83" s="31">
        <f>IF(AND(ISNUMBER(H83),ISNUMBER(H63)),IF(H63&gt;0,H83/H63-1,""),"")</f>
        <v/>
      </c>
      <c r="J83">
        <f>IF(A83="",0,IF(A83&gt;$B$5,1,0))</f>
        <v/>
      </c>
      <c r="K83" s="29">
        <f>IF(AND(J83=1,ISNUMBER(D83)),D83,"")</f>
        <v/>
      </c>
      <c r="L83" s="30">
        <f>IF(AND(J83=1,ISNUMBER(G83)),G83,"")</f>
        <v/>
      </c>
      <c r="M83" s="22">
        <f>IF(AND(J83=1,ISNUMBER(C83)),C83,"")</f>
        <v/>
      </c>
      <c r="N83" s="31">
        <f>IF(AND(J83=1,ISNUMBER(I83)),I83,"")</f>
        <v/>
      </c>
      <c r="O83" s="11">
        <f>IF(K83="","",100-IF($G$13=1,50,(_xlfn.RANK.AVG(K83,$K$19:$K$1518,1)-1)/($G$13-1)*100))</f>
        <v/>
      </c>
      <c r="P83" s="11">
        <f>IF(L83="","",100-IF($G$14=1,50,(_xlfn.RANK.AVG(L83,$L$19:$L$1518,1)-1)/($G$14-1)*100))</f>
        <v/>
      </c>
      <c r="Q83" s="11">
        <f>IF(M83="","",IF($G$15=1,50,(_xlfn.RANK.AVG(M83,$M$19:$M$1518,1)-1)/($G$15-1)*100))</f>
        <v/>
      </c>
      <c r="R83" s="11">
        <f>IF(N83="","",IF($G$16=1,50,(_xlfn.RANK.AVG(N83,$N$19:$N$1518,1)-1)/($G$16-1)*100))</f>
        <v/>
      </c>
      <c r="S83" s="11">
        <f>IF(COUNT(O83:R83)=4,ROUND(AVERAGE(O83:R83),6),"")</f>
        <v/>
      </c>
      <c r="U83">
        <f>IF(AND(ISNUMBER('자료_한국심리'!$A67),ISNUMBER('자료_한국심리'!$B67)),'자료_한국심리'!$A67,"")</f>
        <v/>
      </c>
      <c r="V83">
        <f>IF(AND(ISNUMBER('자료_한국심리'!$D67),ISNUMBER('자료_한국심리'!$E67)),'자료_한국심리'!$D67,"")</f>
        <v/>
      </c>
      <c r="W83">
        <f>IF(AND(ISNUMBER('자료_한국심리'!$G67),ISNUMBER('자료_한국심리'!$H67)),'자료_한국심리'!$G67,"")</f>
        <v/>
      </c>
      <c r="X83">
        <f>IF(AND(ISNUMBER('자료_한국심리'!$J67),ISNUMBER('자료_한국심리'!$K67)),'자료_한국심리'!$J67,"")</f>
        <v/>
      </c>
      <c r="Y83">
        <f>IF(AND(ISNUMBER('자료_한국심리'!$M67),ISNUMBER('자료_한국심리'!$N67)),'자료_한국심리'!$M67,"")</f>
        <v/>
      </c>
    </row>
    <row r="84">
      <c r="A84" s="10">
        <f>IF(66&gt;$E$5,"",SMALL($U$19:$U$4018,$E$6+66))</f>
        <v/>
      </c>
      <c r="B84" s="29">
        <f>IF(A84="","",INDEX('자료_한국심리'!$B$3:$B$4002,MATCH(A84,$U$19:$U$4018,0)))</f>
        <v/>
      </c>
      <c r="C84" s="22">
        <f>""</f>
        <v/>
      </c>
      <c r="D84" s="29">
        <f>IF(A84="","",IFERROR(INDEX('자료_한국심리'!$E$3:$E$4002,MATCH(A84,$V$19:$V$4018,0)),D83))</f>
        <v/>
      </c>
      <c r="E84" s="30">
        <f>IF(A84="","",IFERROR(INDEX('자료_한국심리'!$H$3:$H$4002,MATCH(A84,$W$19:$W$4018,0)),E83))</f>
        <v/>
      </c>
      <c r="F84" s="30">
        <f>IF(A84="","",IFERROR(INDEX('자료_한국심리'!$K$3:$K$4002,MATCH(A84,$X$19:$X$4018,0)),F83))</f>
        <v/>
      </c>
      <c r="G84" s="30">
        <f>IF(AND(ISNUMBER(E84),ISNUMBER(F84)),ROUND(E84-F84,6),"")</f>
        <v/>
      </c>
      <c r="H84" s="25">
        <f>IF(A84="","",IFERROR(INDEX('자료_한국심리'!$N$3:$N$4002,MATCH(A84,$Y$19:$Y$4018,0)),H83))</f>
        <v/>
      </c>
      <c r="I84" s="31">
        <f>IF(AND(ISNUMBER(H84),ISNUMBER(H64)),IF(H64&gt;0,H84/H64-1,""),"")</f>
        <v/>
      </c>
      <c r="J84">
        <f>IF(A84="",0,IF(A84&gt;$B$5,1,0))</f>
        <v/>
      </c>
      <c r="K84" s="29">
        <f>IF(AND(J84=1,ISNUMBER(D84)),D84,"")</f>
        <v/>
      </c>
      <c r="L84" s="30">
        <f>IF(AND(J84=1,ISNUMBER(G84)),G84,"")</f>
        <v/>
      </c>
      <c r="M84" s="22">
        <f>IF(AND(J84=1,ISNUMBER(C84)),C84,"")</f>
        <v/>
      </c>
      <c r="N84" s="31">
        <f>IF(AND(J84=1,ISNUMBER(I84)),I84,"")</f>
        <v/>
      </c>
      <c r="O84" s="11">
        <f>IF(K84="","",100-IF($G$13=1,50,(_xlfn.RANK.AVG(K84,$K$19:$K$1518,1)-1)/($G$13-1)*100))</f>
        <v/>
      </c>
      <c r="P84" s="11">
        <f>IF(L84="","",100-IF($G$14=1,50,(_xlfn.RANK.AVG(L84,$L$19:$L$1518,1)-1)/($G$14-1)*100))</f>
        <v/>
      </c>
      <c r="Q84" s="11">
        <f>IF(M84="","",IF($G$15=1,50,(_xlfn.RANK.AVG(M84,$M$19:$M$1518,1)-1)/($G$15-1)*100))</f>
        <v/>
      </c>
      <c r="R84" s="11">
        <f>IF(N84="","",IF($G$16=1,50,(_xlfn.RANK.AVG(N84,$N$19:$N$1518,1)-1)/($G$16-1)*100))</f>
        <v/>
      </c>
      <c r="S84" s="11">
        <f>IF(COUNT(O84:R84)=4,ROUND(AVERAGE(O84:R84),6),"")</f>
        <v/>
      </c>
      <c r="U84">
        <f>IF(AND(ISNUMBER('자료_한국심리'!$A68),ISNUMBER('자료_한국심리'!$B68)),'자료_한국심리'!$A68,"")</f>
        <v/>
      </c>
      <c r="V84">
        <f>IF(AND(ISNUMBER('자료_한국심리'!$D68),ISNUMBER('자료_한국심리'!$E68)),'자료_한국심리'!$D68,"")</f>
        <v/>
      </c>
      <c r="W84">
        <f>IF(AND(ISNUMBER('자료_한국심리'!$G68),ISNUMBER('자료_한국심리'!$H68)),'자료_한국심리'!$G68,"")</f>
        <v/>
      </c>
      <c r="X84">
        <f>IF(AND(ISNUMBER('자료_한국심리'!$J68),ISNUMBER('자료_한국심리'!$K68)),'자료_한국심리'!$J68,"")</f>
        <v/>
      </c>
      <c r="Y84">
        <f>IF(AND(ISNUMBER('자료_한국심리'!$M68),ISNUMBER('자료_한국심리'!$N68)),'자료_한국심리'!$M68,"")</f>
        <v/>
      </c>
    </row>
    <row r="85">
      <c r="A85" s="10">
        <f>IF(67&gt;$E$5,"",SMALL($U$19:$U$4018,$E$6+67))</f>
        <v/>
      </c>
      <c r="B85" s="29">
        <f>IF(A85="","",INDEX('자료_한국심리'!$B$3:$B$4002,MATCH(A85,$U$19:$U$4018,0)))</f>
        <v/>
      </c>
      <c r="C85" s="22">
        <f>""</f>
        <v/>
      </c>
      <c r="D85" s="29">
        <f>IF(A85="","",IFERROR(INDEX('자료_한국심리'!$E$3:$E$4002,MATCH(A85,$V$19:$V$4018,0)),D84))</f>
        <v/>
      </c>
      <c r="E85" s="30">
        <f>IF(A85="","",IFERROR(INDEX('자료_한국심리'!$H$3:$H$4002,MATCH(A85,$W$19:$W$4018,0)),E84))</f>
        <v/>
      </c>
      <c r="F85" s="30">
        <f>IF(A85="","",IFERROR(INDEX('자료_한국심리'!$K$3:$K$4002,MATCH(A85,$X$19:$X$4018,0)),F84))</f>
        <v/>
      </c>
      <c r="G85" s="30">
        <f>IF(AND(ISNUMBER(E85),ISNUMBER(F85)),ROUND(E85-F85,6),"")</f>
        <v/>
      </c>
      <c r="H85" s="25">
        <f>IF(A85="","",IFERROR(INDEX('자료_한국심리'!$N$3:$N$4002,MATCH(A85,$Y$19:$Y$4018,0)),H84))</f>
        <v/>
      </c>
      <c r="I85" s="31">
        <f>IF(AND(ISNUMBER(H85),ISNUMBER(H65)),IF(H65&gt;0,H85/H65-1,""),"")</f>
        <v/>
      </c>
      <c r="J85">
        <f>IF(A85="",0,IF(A85&gt;$B$5,1,0))</f>
        <v/>
      </c>
      <c r="K85" s="29">
        <f>IF(AND(J85=1,ISNUMBER(D85)),D85,"")</f>
        <v/>
      </c>
      <c r="L85" s="30">
        <f>IF(AND(J85=1,ISNUMBER(G85)),G85,"")</f>
        <v/>
      </c>
      <c r="M85" s="22">
        <f>IF(AND(J85=1,ISNUMBER(C85)),C85,"")</f>
        <v/>
      </c>
      <c r="N85" s="31">
        <f>IF(AND(J85=1,ISNUMBER(I85)),I85,"")</f>
        <v/>
      </c>
      <c r="O85" s="11">
        <f>IF(K85="","",100-IF($G$13=1,50,(_xlfn.RANK.AVG(K85,$K$19:$K$1518,1)-1)/($G$13-1)*100))</f>
        <v/>
      </c>
      <c r="P85" s="11">
        <f>IF(L85="","",100-IF($G$14=1,50,(_xlfn.RANK.AVG(L85,$L$19:$L$1518,1)-1)/($G$14-1)*100))</f>
        <v/>
      </c>
      <c r="Q85" s="11">
        <f>IF(M85="","",IF($G$15=1,50,(_xlfn.RANK.AVG(M85,$M$19:$M$1518,1)-1)/($G$15-1)*100))</f>
        <v/>
      </c>
      <c r="R85" s="11">
        <f>IF(N85="","",IF($G$16=1,50,(_xlfn.RANK.AVG(N85,$N$19:$N$1518,1)-1)/($G$16-1)*100))</f>
        <v/>
      </c>
      <c r="S85" s="11">
        <f>IF(COUNT(O85:R85)=4,ROUND(AVERAGE(O85:R85),6),"")</f>
        <v/>
      </c>
      <c r="U85">
        <f>IF(AND(ISNUMBER('자료_한국심리'!$A69),ISNUMBER('자료_한국심리'!$B69)),'자료_한국심리'!$A69,"")</f>
        <v/>
      </c>
      <c r="V85">
        <f>IF(AND(ISNUMBER('자료_한국심리'!$D69),ISNUMBER('자료_한국심리'!$E69)),'자료_한국심리'!$D69,"")</f>
        <v/>
      </c>
      <c r="W85">
        <f>IF(AND(ISNUMBER('자료_한국심리'!$G69),ISNUMBER('자료_한국심리'!$H69)),'자료_한국심리'!$G69,"")</f>
        <v/>
      </c>
      <c r="X85">
        <f>IF(AND(ISNUMBER('자료_한국심리'!$J69),ISNUMBER('자료_한국심리'!$K69)),'자료_한국심리'!$J69,"")</f>
        <v/>
      </c>
      <c r="Y85">
        <f>IF(AND(ISNUMBER('자료_한국심리'!$M69),ISNUMBER('자료_한국심리'!$N69)),'자료_한국심리'!$M69,"")</f>
        <v/>
      </c>
    </row>
    <row r="86">
      <c r="A86" s="10">
        <f>IF(68&gt;$E$5,"",SMALL($U$19:$U$4018,$E$6+68))</f>
        <v/>
      </c>
      <c r="B86" s="29">
        <f>IF(A86="","",INDEX('자료_한국심리'!$B$3:$B$4002,MATCH(A86,$U$19:$U$4018,0)))</f>
        <v/>
      </c>
      <c r="C86" s="22">
        <f>""</f>
        <v/>
      </c>
      <c r="D86" s="29">
        <f>IF(A86="","",IFERROR(INDEX('자료_한국심리'!$E$3:$E$4002,MATCH(A86,$V$19:$V$4018,0)),D85))</f>
        <v/>
      </c>
      <c r="E86" s="30">
        <f>IF(A86="","",IFERROR(INDEX('자료_한국심리'!$H$3:$H$4002,MATCH(A86,$W$19:$W$4018,0)),E85))</f>
        <v/>
      </c>
      <c r="F86" s="30">
        <f>IF(A86="","",IFERROR(INDEX('자료_한국심리'!$K$3:$K$4002,MATCH(A86,$X$19:$X$4018,0)),F85))</f>
        <v/>
      </c>
      <c r="G86" s="30">
        <f>IF(AND(ISNUMBER(E86),ISNUMBER(F86)),ROUND(E86-F86,6),"")</f>
        <v/>
      </c>
      <c r="H86" s="25">
        <f>IF(A86="","",IFERROR(INDEX('자료_한국심리'!$N$3:$N$4002,MATCH(A86,$Y$19:$Y$4018,0)),H85))</f>
        <v/>
      </c>
      <c r="I86" s="31">
        <f>IF(AND(ISNUMBER(H86),ISNUMBER(H66)),IF(H66&gt;0,H86/H66-1,""),"")</f>
        <v/>
      </c>
      <c r="J86">
        <f>IF(A86="",0,IF(A86&gt;$B$5,1,0))</f>
        <v/>
      </c>
      <c r="K86" s="29">
        <f>IF(AND(J86=1,ISNUMBER(D86)),D86,"")</f>
        <v/>
      </c>
      <c r="L86" s="30">
        <f>IF(AND(J86=1,ISNUMBER(G86)),G86,"")</f>
        <v/>
      </c>
      <c r="M86" s="22">
        <f>IF(AND(J86=1,ISNUMBER(C86)),C86,"")</f>
        <v/>
      </c>
      <c r="N86" s="31">
        <f>IF(AND(J86=1,ISNUMBER(I86)),I86,"")</f>
        <v/>
      </c>
      <c r="O86" s="11">
        <f>IF(K86="","",100-IF($G$13=1,50,(_xlfn.RANK.AVG(K86,$K$19:$K$1518,1)-1)/($G$13-1)*100))</f>
        <v/>
      </c>
      <c r="P86" s="11">
        <f>IF(L86="","",100-IF($G$14=1,50,(_xlfn.RANK.AVG(L86,$L$19:$L$1518,1)-1)/($G$14-1)*100))</f>
        <v/>
      </c>
      <c r="Q86" s="11">
        <f>IF(M86="","",IF($G$15=1,50,(_xlfn.RANK.AVG(M86,$M$19:$M$1518,1)-1)/($G$15-1)*100))</f>
        <v/>
      </c>
      <c r="R86" s="11">
        <f>IF(N86="","",IF($G$16=1,50,(_xlfn.RANK.AVG(N86,$N$19:$N$1518,1)-1)/($G$16-1)*100))</f>
        <v/>
      </c>
      <c r="S86" s="11">
        <f>IF(COUNT(O86:R86)=4,ROUND(AVERAGE(O86:R86),6),"")</f>
        <v/>
      </c>
      <c r="U86">
        <f>IF(AND(ISNUMBER('자료_한국심리'!$A70),ISNUMBER('자료_한국심리'!$B70)),'자료_한국심리'!$A70,"")</f>
        <v/>
      </c>
      <c r="V86">
        <f>IF(AND(ISNUMBER('자료_한국심리'!$D70),ISNUMBER('자료_한국심리'!$E70)),'자료_한국심리'!$D70,"")</f>
        <v/>
      </c>
      <c r="W86">
        <f>IF(AND(ISNUMBER('자료_한국심리'!$G70),ISNUMBER('자료_한국심리'!$H70)),'자료_한국심리'!$G70,"")</f>
        <v/>
      </c>
      <c r="X86">
        <f>IF(AND(ISNUMBER('자료_한국심리'!$J70),ISNUMBER('자료_한국심리'!$K70)),'자료_한국심리'!$J70,"")</f>
        <v/>
      </c>
      <c r="Y86">
        <f>IF(AND(ISNUMBER('자료_한국심리'!$M70),ISNUMBER('자료_한국심리'!$N70)),'자료_한국심리'!$M70,"")</f>
        <v/>
      </c>
    </row>
    <row r="87">
      <c r="A87" s="10">
        <f>IF(69&gt;$E$5,"",SMALL($U$19:$U$4018,$E$6+69))</f>
        <v/>
      </c>
      <c r="B87" s="29">
        <f>IF(A87="","",INDEX('자료_한국심리'!$B$3:$B$4002,MATCH(A87,$U$19:$U$4018,0)))</f>
        <v/>
      </c>
      <c r="C87" s="22">
        <f>""</f>
        <v/>
      </c>
      <c r="D87" s="29">
        <f>IF(A87="","",IFERROR(INDEX('자료_한국심리'!$E$3:$E$4002,MATCH(A87,$V$19:$V$4018,0)),D86))</f>
        <v/>
      </c>
      <c r="E87" s="30">
        <f>IF(A87="","",IFERROR(INDEX('자료_한국심리'!$H$3:$H$4002,MATCH(A87,$W$19:$W$4018,0)),E86))</f>
        <v/>
      </c>
      <c r="F87" s="30">
        <f>IF(A87="","",IFERROR(INDEX('자료_한국심리'!$K$3:$K$4002,MATCH(A87,$X$19:$X$4018,0)),F86))</f>
        <v/>
      </c>
      <c r="G87" s="30">
        <f>IF(AND(ISNUMBER(E87),ISNUMBER(F87)),ROUND(E87-F87,6),"")</f>
        <v/>
      </c>
      <c r="H87" s="25">
        <f>IF(A87="","",IFERROR(INDEX('자료_한국심리'!$N$3:$N$4002,MATCH(A87,$Y$19:$Y$4018,0)),H86))</f>
        <v/>
      </c>
      <c r="I87" s="31">
        <f>IF(AND(ISNUMBER(H87),ISNUMBER(H67)),IF(H67&gt;0,H87/H67-1,""),"")</f>
        <v/>
      </c>
      <c r="J87">
        <f>IF(A87="",0,IF(A87&gt;$B$5,1,0))</f>
        <v/>
      </c>
      <c r="K87" s="29">
        <f>IF(AND(J87=1,ISNUMBER(D87)),D87,"")</f>
        <v/>
      </c>
      <c r="L87" s="30">
        <f>IF(AND(J87=1,ISNUMBER(G87)),G87,"")</f>
        <v/>
      </c>
      <c r="M87" s="22">
        <f>IF(AND(J87=1,ISNUMBER(C87)),C87,"")</f>
        <v/>
      </c>
      <c r="N87" s="31">
        <f>IF(AND(J87=1,ISNUMBER(I87)),I87,"")</f>
        <v/>
      </c>
      <c r="O87" s="11">
        <f>IF(K87="","",100-IF($G$13=1,50,(_xlfn.RANK.AVG(K87,$K$19:$K$1518,1)-1)/($G$13-1)*100))</f>
        <v/>
      </c>
      <c r="P87" s="11">
        <f>IF(L87="","",100-IF($G$14=1,50,(_xlfn.RANK.AVG(L87,$L$19:$L$1518,1)-1)/($G$14-1)*100))</f>
        <v/>
      </c>
      <c r="Q87" s="11">
        <f>IF(M87="","",IF($G$15=1,50,(_xlfn.RANK.AVG(M87,$M$19:$M$1518,1)-1)/($G$15-1)*100))</f>
        <v/>
      </c>
      <c r="R87" s="11">
        <f>IF(N87="","",IF($G$16=1,50,(_xlfn.RANK.AVG(N87,$N$19:$N$1518,1)-1)/($G$16-1)*100))</f>
        <v/>
      </c>
      <c r="S87" s="11">
        <f>IF(COUNT(O87:R87)=4,ROUND(AVERAGE(O87:R87),6),"")</f>
        <v/>
      </c>
      <c r="U87">
        <f>IF(AND(ISNUMBER('자료_한국심리'!$A71),ISNUMBER('자료_한국심리'!$B71)),'자료_한국심리'!$A71,"")</f>
        <v/>
      </c>
      <c r="V87">
        <f>IF(AND(ISNUMBER('자료_한국심리'!$D71),ISNUMBER('자료_한국심리'!$E71)),'자료_한국심리'!$D71,"")</f>
        <v/>
      </c>
      <c r="W87">
        <f>IF(AND(ISNUMBER('자료_한국심리'!$G71),ISNUMBER('자료_한국심리'!$H71)),'자료_한국심리'!$G71,"")</f>
        <v/>
      </c>
      <c r="X87">
        <f>IF(AND(ISNUMBER('자료_한국심리'!$J71),ISNUMBER('자료_한국심리'!$K71)),'자료_한국심리'!$J71,"")</f>
        <v/>
      </c>
      <c r="Y87">
        <f>IF(AND(ISNUMBER('자료_한국심리'!$M71),ISNUMBER('자료_한국심리'!$N71)),'자료_한국심리'!$M71,"")</f>
        <v/>
      </c>
    </row>
    <row r="88">
      <c r="A88" s="10">
        <f>IF(70&gt;$E$5,"",SMALL($U$19:$U$4018,$E$6+70))</f>
        <v/>
      </c>
      <c r="B88" s="29">
        <f>IF(A88="","",INDEX('자료_한국심리'!$B$3:$B$4002,MATCH(A88,$U$19:$U$4018,0)))</f>
        <v/>
      </c>
      <c r="C88" s="22">
        <f>""</f>
        <v/>
      </c>
      <c r="D88" s="29">
        <f>IF(A88="","",IFERROR(INDEX('자료_한국심리'!$E$3:$E$4002,MATCH(A88,$V$19:$V$4018,0)),D87))</f>
        <v/>
      </c>
      <c r="E88" s="30">
        <f>IF(A88="","",IFERROR(INDEX('자료_한국심리'!$H$3:$H$4002,MATCH(A88,$W$19:$W$4018,0)),E87))</f>
        <v/>
      </c>
      <c r="F88" s="30">
        <f>IF(A88="","",IFERROR(INDEX('자료_한국심리'!$K$3:$K$4002,MATCH(A88,$X$19:$X$4018,0)),F87))</f>
        <v/>
      </c>
      <c r="G88" s="30">
        <f>IF(AND(ISNUMBER(E88),ISNUMBER(F88)),ROUND(E88-F88,6),"")</f>
        <v/>
      </c>
      <c r="H88" s="25">
        <f>IF(A88="","",IFERROR(INDEX('자료_한국심리'!$N$3:$N$4002,MATCH(A88,$Y$19:$Y$4018,0)),H87))</f>
        <v/>
      </c>
      <c r="I88" s="31">
        <f>IF(AND(ISNUMBER(H88),ISNUMBER(H68)),IF(H68&gt;0,H88/H68-1,""),"")</f>
        <v/>
      </c>
      <c r="J88">
        <f>IF(A88="",0,IF(A88&gt;$B$5,1,0))</f>
        <v/>
      </c>
      <c r="K88" s="29">
        <f>IF(AND(J88=1,ISNUMBER(D88)),D88,"")</f>
        <v/>
      </c>
      <c r="L88" s="30">
        <f>IF(AND(J88=1,ISNUMBER(G88)),G88,"")</f>
        <v/>
      </c>
      <c r="M88" s="22">
        <f>IF(AND(J88=1,ISNUMBER(C88)),C88,"")</f>
        <v/>
      </c>
      <c r="N88" s="31">
        <f>IF(AND(J88=1,ISNUMBER(I88)),I88,"")</f>
        <v/>
      </c>
      <c r="O88" s="11">
        <f>IF(K88="","",100-IF($G$13=1,50,(_xlfn.RANK.AVG(K88,$K$19:$K$1518,1)-1)/($G$13-1)*100))</f>
        <v/>
      </c>
      <c r="P88" s="11">
        <f>IF(L88="","",100-IF($G$14=1,50,(_xlfn.RANK.AVG(L88,$L$19:$L$1518,1)-1)/($G$14-1)*100))</f>
        <v/>
      </c>
      <c r="Q88" s="11">
        <f>IF(M88="","",IF($G$15=1,50,(_xlfn.RANK.AVG(M88,$M$19:$M$1518,1)-1)/($G$15-1)*100))</f>
        <v/>
      </c>
      <c r="R88" s="11">
        <f>IF(N88="","",IF($G$16=1,50,(_xlfn.RANK.AVG(N88,$N$19:$N$1518,1)-1)/($G$16-1)*100))</f>
        <v/>
      </c>
      <c r="S88" s="11">
        <f>IF(COUNT(O88:R88)=4,ROUND(AVERAGE(O88:R88),6),"")</f>
        <v/>
      </c>
      <c r="U88">
        <f>IF(AND(ISNUMBER('자료_한국심리'!$A72),ISNUMBER('자료_한국심리'!$B72)),'자료_한국심리'!$A72,"")</f>
        <v/>
      </c>
      <c r="V88">
        <f>IF(AND(ISNUMBER('자료_한국심리'!$D72),ISNUMBER('자료_한국심리'!$E72)),'자료_한국심리'!$D72,"")</f>
        <v/>
      </c>
      <c r="W88">
        <f>IF(AND(ISNUMBER('자료_한국심리'!$G72),ISNUMBER('자료_한국심리'!$H72)),'자료_한국심리'!$G72,"")</f>
        <v/>
      </c>
      <c r="X88">
        <f>IF(AND(ISNUMBER('자료_한국심리'!$J72),ISNUMBER('자료_한국심리'!$K72)),'자료_한국심리'!$J72,"")</f>
        <v/>
      </c>
      <c r="Y88">
        <f>IF(AND(ISNUMBER('자료_한국심리'!$M72),ISNUMBER('자료_한국심리'!$N72)),'자료_한국심리'!$M72,"")</f>
        <v/>
      </c>
    </row>
    <row r="89">
      <c r="A89" s="10">
        <f>IF(71&gt;$E$5,"",SMALL($U$19:$U$4018,$E$6+71))</f>
        <v/>
      </c>
      <c r="B89" s="29">
        <f>IF(A89="","",INDEX('자료_한국심리'!$B$3:$B$4002,MATCH(A89,$U$19:$U$4018,0)))</f>
        <v/>
      </c>
      <c r="C89" s="22">
        <f>""</f>
        <v/>
      </c>
      <c r="D89" s="29">
        <f>IF(A89="","",IFERROR(INDEX('자료_한국심리'!$E$3:$E$4002,MATCH(A89,$V$19:$V$4018,0)),D88))</f>
        <v/>
      </c>
      <c r="E89" s="30">
        <f>IF(A89="","",IFERROR(INDEX('자료_한국심리'!$H$3:$H$4002,MATCH(A89,$W$19:$W$4018,0)),E88))</f>
        <v/>
      </c>
      <c r="F89" s="30">
        <f>IF(A89="","",IFERROR(INDEX('자료_한국심리'!$K$3:$K$4002,MATCH(A89,$X$19:$X$4018,0)),F88))</f>
        <v/>
      </c>
      <c r="G89" s="30">
        <f>IF(AND(ISNUMBER(E89),ISNUMBER(F89)),ROUND(E89-F89,6),"")</f>
        <v/>
      </c>
      <c r="H89" s="25">
        <f>IF(A89="","",IFERROR(INDEX('자료_한국심리'!$N$3:$N$4002,MATCH(A89,$Y$19:$Y$4018,0)),H88))</f>
        <v/>
      </c>
      <c r="I89" s="31">
        <f>IF(AND(ISNUMBER(H89),ISNUMBER(H69)),IF(H69&gt;0,H89/H69-1,""),"")</f>
        <v/>
      </c>
      <c r="J89">
        <f>IF(A89="",0,IF(A89&gt;$B$5,1,0))</f>
        <v/>
      </c>
      <c r="K89" s="29">
        <f>IF(AND(J89=1,ISNUMBER(D89)),D89,"")</f>
        <v/>
      </c>
      <c r="L89" s="30">
        <f>IF(AND(J89=1,ISNUMBER(G89)),G89,"")</f>
        <v/>
      </c>
      <c r="M89" s="22">
        <f>IF(AND(J89=1,ISNUMBER(C89)),C89,"")</f>
        <v/>
      </c>
      <c r="N89" s="31">
        <f>IF(AND(J89=1,ISNUMBER(I89)),I89,"")</f>
        <v/>
      </c>
      <c r="O89" s="11">
        <f>IF(K89="","",100-IF($G$13=1,50,(_xlfn.RANK.AVG(K89,$K$19:$K$1518,1)-1)/($G$13-1)*100))</f>
        <v/>
      </c>
      <c r="P89" s="11">
        <f>IF(L89="","",100-IF($G$14=1,50,(_xlfn.RANK.AVG(L89,$L$19:$L$1518,1)-1)/($G$14-1)*100))</f>
        <v/>
      </c>
      <c r="Q89" s="11">
        <f>IF(M89="","",IF($G$15=1,50,(_xlfn.RANK.AVG(M89,$M$19:$M$1518,1)-1)/($G$15-1)*100))</f>
        <v/>
      </c>
      <c r="R89" s="11">
        <f>IF(N89="","",IF($G$16=1,50,(_xlfn.RANK.AVG(N89,$N$19:$N$1518,1)-1)/($G$16-1)*100))</f>
        <v/>
      </c>
      <c r="S89" s="11">
        <f>IF(COUNT(O89:R89)=4,ROUND(AVERAGE(O89:R89),6),"")</f>
        <v/>
      </c>
      <c r="U89">
        <f>IF(AND(ISNUMBER('자료_한국심리'!$A73),ISNUMBER('자료_한국심리'!$B73)),'자료_한국심리'!$A73,"")</f>
        <v/>
      </c>
      <c r="V89">
        <f>IF(AND(ISNUMBER('자료_한국심리'!$D73),ISNUMBER('자료_한국심리'!$E73)),'자료_한국심리'!$D73,"")</f>
        <v/>
      </c>
      <c r="W89">
        <f>IF(AND(ISNUMBER('자료_한국심리'!$G73),ISNUMBER('자료_한국심리'!$H73)),'자료_한국심리'!$G73,"")</f>
        <v/>
      </c>
      <c r="X89">
        <f>IF(AND(ISNUMBER('자료_한국심리'!$J73),ISNUMBER('자료_한국심리'!$K73)),'자료_한국심리'!$J73,"")</f>
        <v/>
      </c>
      <c r="Y89">
        <f>IF(AND(ISNUMBER('자료_한국심리'!$M73),ISNUMBER('자료_한국심리'!$N73)),'자료_한국심리'!$M73,"")</f>
        <v/>
      </c>
    </row>
    <row r="90">
      <c r="A90" s="10">
        <f>IF(72&gt;$E$5,"",SMALL($U$19:$U$4018,$E$6+72))</f>
        <v/>
      </c>
      <c r="B90" s="29">
        <f>IF(A90="","",INDEX('자료_한국심리'!$B$3:$B$4002,MATCH(A90,$U$19:$U$4018,0)))</f>
        <v/>
      </c>
      <c r="C90" s="22">
        <f>""</f>
        <v/>
      </c>
      <c r="D90" s="29">
        <f>IF(A90="","",IFERROR(INDEX('자료_한국심리'!$E$3:$E$4002,MATCH(A90,$V$19:$V$4018,0)),D89))</f>
        <v/>
      </c>
      <c r="E90" s="30">
        <f>IF(A90="","",IFERROR(INDEX('자료_한국심리'!$H$3:$H$4002,MATCH(A90,$W$19:$W$4018,0)),E89))</f>
        <v/>
      </c>
      <c r="F90" s="30">
        <f>IF(A90="","",IFERROR(INDEX('자료_한국심리'!$K$3:$K$4002,MATCH(A90,$X$19:$X$4018,0)),F89))</f>
        <v/>
      </c>
      <c r="G90" s="30">
        <f>IF(AND(ISNUMBER(E90),ISNUMBER(F90)),ROUND(E90-F90,6),"")</f>
        <v/>
      </c>
      <c r="H90" s="25">
        <f>IF(A90="","",IFERROR(INDEX('자료_한국심리'!$N$3:$N$4002,MATCH(A90,$Y$19:$Y$4018,0)),H89))</f>
        <v/>
      </c>
      <c r="I90" s="31">
        <f>IF(AND(ISNUMBER(H90),ISNUMBER(H70)),IF(H70&gt;0,H90/H70-1,""),"")</f>
        <v/>
      </c>
      <c r="J90">
        <f>IF(A90="",0,IF(A90&gt;$B$5,1,0))</f>
        <v/>
      </c>
      <c r="K90" s="29">
        <f>IF(AND(J90=1,ISNUMBER(D90)),D90,"")</f>
        <v/>
      </c>
      <c r="L90" s="30">
        <f>IF(AND(J90=1,ISNUMBER(G90)),G90,"")</f>
        <v/>
      </c>
      <c r="M90" s="22">
        <f>IF(AND(J90=1,ISNUMBER(C90)),C90,"")</f>
        <v/>
      </c>
      <c r="N90" s="31">
        <f>IF(AND(J90=1,ISNUMBER(I90)),I90,"")</f>
        <v/>
      </c>
      <c r="O90" s="11">
        <f>IF(K90="","",100-IF($G$13=1,50,(_xlfn.RANK.AVG(K90,$K$19:$K$1518,1)-1)/($G$13-1)*100))</f>
        <v/>
      </c>
      <c r="P90" s="11">
        <f>IF(L90="","",100-IF($G$14=1,50,(_xlfn.RANK.AVG(L90,$L$19:$L$1518,1)-1)/($G$14-1)*100))</f>
        <v/>
      </c>
      <c r="Q90" s="11">
        <f>IF(M90="","",IF($G$15=1,50,(_xlfn.RANK.AVG(M90,$M$19:$M$1518,1)-1)/($G$15-1)*100))</f>
        <v/>
      </c>
      <c r="R90" s="11">
        <f>IF(N90="","",IF($G$16=1,50,(_xlfn.RANK.AVG(N90,$N$19:$N$1518,1)-1)/($G$16-1)*100))</f>
        <v/>
      </c>
      <c r="S90" s="11">
        <f>IF(COUNT(O90:R90)=4,ROUND(AVERAGE(O90:R90),6),"")</f>
        <v/>
      </c>
      <c r="U90">
        <f>IF(AND(ISNUMBER('자료_한국심리'!$A74),ISNUMBER('자료_한국심리'!$B74)),'자료_한국심리'!$A74,"")</f>
        <v/>
      </c>
      <c r="V90">
        <f>IF(AND(ISNUMBER('자료_한국심리'!$D74),ISNUMBER('자료_한국심리'!$E74)),'자료_한국심리'!$D74,"")</f>
        <v/>
      </c>
      <c r="W90">
        <f>IF(AND(ISNUMBER('자료_한국심리'!$G74),ISNUMBER('자료_한국심리'!$H74)),'자료_한국심리'!$G74,"")</f>
        <v/>
      </c>
      <c r="X90">
        <f>IF(AND(ISNUMBER('자료_한국심리'!$J74),ISNUMBER('자료_한국심리'!$K74)),'자료_한국심리'!$J74,"")</f>
        <v/>
      </c>
      <c r="Y90">
        <f>IF(AND(ISNUMBER('자료_한국심리'!$M74),ISNUMBER('자료_한국심리'!$N74)),'자료_한국심리'!$M74,"")</f>
        <v/>
      </c>
    </row>
    <row r="91">
      <c r="A91" s="10">
        <f>IF(73&gt;$E$5,"",SMALL($U$19:$U$4018,$E$6+73))</f>
        <v/>
      </c>
      <c r="B91" s="29">
        <f>IF(A91="","",INDEX('자료_한국심리'!$B$3:$B$4002,MATCH(A91,$U$19:$U$4018,0)))</f>
        <v/>
      </c>
      <c r="C91" s="22">
        <f>""</f>
        <v/>
      </c>
      <c r="D91" s="29">
        <f>IF(A91="","",IFERROR(INDEX('자료_한국심리'!$E$3:$E$4002,MATCH(A91,$V$19:$V$4018,0)),D90))</f>
        <v/>
      </c>
      <c r="E91" s="30">
        <f>IF(A91="","",IFERROR(INDEX('자료_한국심리'!$H$3:$H$4002,MATCH(A91,$W$19:$W$4018,0)),E90))</f>
        <v/>
      </c>
      <c r="F91" s="30">
        <f>IF(A91="","",IFERROR(INDEX('자료_한국심리'!$K$3:$K$4002,MATCH(A91,$X$19:$X$4018,0)),F90))</f>
        <v/>
      </c>
      <c r="G91" s="30">
        <f>IF(AND(ISNUMBER(E91),ISNUMBER(F91)),ROUND(E91-F91,6),"")</f>
        <v/>
      </c>
      <c r="H91" s="25">
        <f>IF(A91="","",IFERROR(INDEX('자료_한국심리'!$N$3:$N$4002,MATCH(A91,$Y$19:$Y$4018,0)),H90))</f>
        <v/>
      </c>
      <c r="I91" s="31">
        <f>IF(AND(ISNUMBER(H91),ISNUMBER(H71)),IF(H71&gt;0,H91/H71-1,""),"")</f>
        <v/>
      </c>
      <c r="J91">
        <f>IF(A91="",0,IF(A91&gt;$B$5,1,0))</f>
        <v/>
      </c>
      <c r="K91" s="29">
        <f>IF(AND(J91=1,ISNUMBER(D91)),D91,"")</f>
        <v/>
      </c>
      <c r="L91" s="30">
        <f>IF(AND(J91=1,ISNUMBER(G91)),G91,"")</f>
        <v/>
      </c>
      <c r="M91" s="22">
        <f>IF(AND(J91=1,ISNUMBER(C91)),C91,"")</f>
        <v/>
      </c>
      <c r="N91" s="31">
        <f>IF(AND(J91=1,ISNUMBER(I91)),I91,"")</f>
        <v/>
      </c>
      <c r="O91" s="11">
        <f>IF(K91="","",100-IF($G$13=1,50,(_xlfn.RANK.AVG(K91,$K$19:$K$1518,1)-1)/($G$13-1)*100))</f>
        <v/>
      </c>
      <c r="P91" s="11">
        <f>IF(L91="","",100-IF($G$14=1,50,(_xlfn.RANK.AVG(L91,$L$19:$L$1518,1)-1)/($G$14-1)*100))</f>
        <v/>
      </c>
      <c r="Q91" s="11">
        <f>IF(M91="","",IF($G$15=1,50,(_xlfn.RANK.AVG(M91,$M$19:$M$1518,1)-1)/($G$15-1)*100))</f>
        <v/>
      </c>
      <c r="R91" s="11">
        <f>IF(N91="","",IF($G$16=1,50,(_xlfn.RANK.AVG(N91,$N$19:$N$1518,1)-1)/($G$16-1)*100))</f>
        <v/>
      </c>
      <c r="S91" s="11">
        <f>IF(COUNT(O91:R91)=4,ROUND(AVERAGE(O91:R91),6),"")</f>
        <v/>
      </c>
      <c r="U91">
        <f>IF(AND(ISNUMBER('자료_한국심리'!$A75),ISNUMBER('자료_한국심리'!$B75)),'자료_한국심리'!$A75,"")</f>
        <v/>
      </c>
      <c r="V91">
        <f>IF(AND(ISNUMBER('자료_한국심리'!$D75),ISNUMBER('자료_한국심리'!$E75)),'자료_한국심리'!$D75,"")</f>
        <v/>
      </c>
      <c r="W91">
        <f>IF(AND(ISNUMBER('자료_한국심리'!$G75),ISNUMBER('자료_한국심리'!$H75)),'자료_한국심리'!$G75,"")</f>
        <v/>
      </c>
      <c r="X91">
        <f>IF(AND(ISNUMBER('자료_한국심리'!$J75),ISNUMBER('자료_한국심리'!$K75)),'자료_한국심리'!$J75,"")</f>
        <v/>
      </c>
      <c r="Y91">
        <f>IF(AND(ISNUMBER('자료_한국심리'!$M75),ISNUMBER('자료_한국심리'!$N75)),'자료_한국심리'!$M75,"")</f>
        <v/>
      </c>
    </row>
    <row r="92">
      <c r="A92" s="10">
        <f>IF(74&gt;$E$5,"",SMALL($U$19:$U$4018,$E$6+74))</f>
        <v/>
      </c>
      <c r="B92" s="29">
        <f>IF(A92="","",INDEX('자료_한국심리'!$B$3:$B$4002,MATCH(A92,$U$19:$U$4018,0)))</f>
        <v/>
      </c>
      <c r="C92" s="22">
        <f>""</f>
        <v/>
      </c>
      <c r="D92" s="29">
        <f>IF(A92="","",IFERROR(INDEX('자료_한국심리'!$E$3:$E$4002,MATCH(A92,$V$19:$V$4018,0)),D91))</f>
        <v/>
      </c>
      <c r="E92" s="30">
        <f>IF(A92="","",IFERROR(INDEX('자료_한국심리'!$H$3:$H$4002,MATCH(A92,$W$19:$W$4018,0)),E91))</f>
        <v/>
      </c>
      <c r="F92" s="30">
        <f>IF(A92="","",IFERROR(INDEX('자료_한국심리'!$K$3:$K$4002,MATCH(A92,$X$19:$X$4018,0)),F91))</f>
        <v/>
      </c>
      <c r="G92" s="30">
        <f>IF(AND(ISNUMBER(E92),ISNUMBER(F92)),ROUND(E92-F92,6),"")</f>
        <v/>
      </c>
      <c r="H92" s="25">
        <f>IF(A92="","",IFERROR(INDEX('자료_한국심리'!$N$3:$N$4002,MATCH(A92,$Y$19:$Y$4018,0)),H91))</f>
        <v/>
      </c>
      <c r="I92" s="31">
        <f>IF(AND(ISNUMBER(H92),ISNUMBER(H72)),IF(H72&gt;0,H92/H72-1,""),"")</f>
        <v/>
      </c>
      <c r="J92">
        <f>IF(A92="",0,IF(A92&gt;$B$5,1,0))</f>
        <v/>
      </c>
      <c r="K92" s="29">
        <f>IF(AND(J92=1,ISNUMBER(D92)),D92,"")</f>
        <v/>
      </c>
      <c r="L92" s="30">
        <f>IF(AND(J92=1,ISNUMBER(G92)),G92,"")</f>
        <v/>
      </c>
      <c r="M92" s="22">
        <f>IF(AND(J92=1,ISNUMBER(C92)),C92,"")</f>
        <v/>
      </c>
      <c r="N92" s="31">
        <f>IF(AND(J92=1,ISNUMBER(I92)),I92,"")</f>
        <v/>
      </c>
      <c r="O92" s="11">
        <f>IF(K92="","",100-IF($G$13=1,50,(_xlfn.RANK.AVG(K92,$K$19:$K$1518,1)-1)/($G$13-1)*100))</f>
        <v/>
      </c>
      <c r="P92" s="11">
        <f>IF(L92="","",100-IF($G$14=1,50,(_xlfn.RANK.AVG(L92,$L$19:$L$1518,1)-1)/($G$14-1)*100))</f>
        <v/>
      </c>
      <c r="Q92" s="11">
        <f>IF(M92="","",IF($G$15=1,50,(_xlfn.RANK.AVG(M92,$M$19:$M$1518,1)-1)/($G$15-1)*100))</f>
        <v/>
      </c>
      <c r="R92" s="11">
        <f>IF(N92="","",IF($G$16=1,50,(_xlfn.RANK.AVG(N92,$N$19:$N$1518,1)-1)/($G$16-1)*100))</f>
        <v/>
      </c>
      <c r="S92" s="11">
        <f>IF(COUNT(O92:R92)=4,ROUND(AVERAGE(O92:R92),6),"")</f>
        <v/>
      </c>
      <c r="U92">
        <f>IF(AND(ISNUMBER('자료_한국심리'!$A76),ISNUMBER('자료_한국심리'!$B76)),'자료_한국심리'!$A76,"")</f>
        <v/>
      </c>
      <c r="V92">
        <f>IF(AND(ISNUMBER('자료_한국심리'!$D76),ISNUMBER('자료_한국심리'!$E76)),'자료_한국심리'!$D76,"")</f>
        <v/>
      </c>
      <c r="W92">
        <f>IF(AND(ISNUMBER('자료_한국심리'!$G76),ISNUMBER('자료_한국심리'!$H76)),'자료_한국심리'!$G76,"")</f>
        <v/>
      </c>
      <c r="X92">
        <f>IF(AND(ISNUMBER('자료_한국심리'!$J76),ISNUMBER('자료_한국심리'!$K76)),'자료_한국심리'!$J76,"")</f>
        <v/>
      </c>
      <c r="Y92">
        <f>IF(AND(ISNUMBER('자료_한국심리'!$M76),ISNUMBER('자료_한국심리'!$N76)),'자료_한국심리'!$M76,"")</f>
        <v/>
      </c>
    </row>
    <row r="93">
      <c r="A93" s="10">
        <f>IF(75&gt;$E$5,"",SMALL($U$19:$U$4018,$E$6+75))</f>
        <v/>
      </c>
      <c r="B93" s="29">
        <f>IF(A93="","",INDEX('자료_한국심리'!$B$3:$B$4002,MATCH(A93,$U$19:$U$4018,0)))</f>
        <v/>
      </c>
      <c r="C93" s="22">
        <f>""</f>
        <v/>
      </c>
      <c r="D93" s="29">
        <f>IF(A93="","",IFERROR(INDEX('자료_한국심리'!$E$3:$E$4002,MATCH(A93,$V$19:$V$4018,0)),D92))</f>
        <v/>
      </c>
      <c r="E93" s="30">
        <f>IF(A93="","",IFERROR(INDEX('자료_한국심리'!$H$3:$H$4002,MATCH(A93,$W$19:$W$4018,0)),E92))</f>
        <v/>
      </c>
      <c r="F93" s="30">
        <f>IF(A93="","",IFERROR(INDEX('자료_한국심리'!$K$3:$K$4002,MATCH(A93,$X$19:$X$4018,0)),F92))</f>
        <v/>
      </c>
      <c r="G93" s="30">
        <f>IF(AND(ISNUMBER(E93),ISNUMBER(F93)),ROUND(E93-F93,6),"")</f>
        <v/>
      </c>
      <c r="H93" s="25">
        <f>IF(A93="","",IFERROR(INDEX('자료_한국심리'!$N$3:$N$4002,MATCH(A93,$Y$19:$Y$4018,0)),H92))</f>
        <v/>
      </c>
      <c r="I93" s="31">
        <f>IF(AND(ISNUMBER(H93),ISNUMBER(H73)),IF(H73&gt;0,H93/H73-1,""),"")</f>
        <v/>
      </c>
      <c r="J93">
        <f>IF(A93="",0,IF(A93&gt;$B$5,1,0))</f>
        <v/>
      </c>
      <c r="K93" s="29">
        <f>IF(AND(J93=1,ISNUMBER(D93)),D93,"")</f>
        <v/>
      </c>
      <c r="L93" s="30">
        <f>IF(AND(J93=1,ISNUMBER(G93)),G93,"")</f>
        <v/>
      </c>
      <c r="M93" s="22">
        <f>IF(AND(J93=1,ISNUMBER(C93)),C93,"")</f>
        <v/>
      </c>
      <c r="N93" s="31">
        <f>IF(AND(J93=1,ISNUMBER(I93)),I93,"")</f>
        <v/>
      </c>
      <c r="O93" s="11">
        <f>IF(K93="","",100-IF($G$13=1,50,(_xlfn.RANK.AVG(K93,$K$19:$K$1518,1)-1)/($G$13-1)*100))</f>
        <v/>
      </c>
      <c r="P93" s="11">
        <f>IF(L93="","",100-IF($G$14=1,50,(_xlfn.RANK.AVG(L93,$L$19:$L$1518,1)-1)/($G$14-1)*100))</f>
        <v/>
      </c>
      <c r="Q93" s="11">
        <f>IF(M93="","",IF($G$15=1,50,(_xlfn.RANK.AVG(M93,$M$19:$M$1518,1)-1)/($G$15-1)*100))</f>
        <v/>
      </c>
      <c r="R93" s="11">
        <f>IF(N93="","",IF($G$16=1,50,(_xlfn.RANK.AVG(N93,$N$19:$N$1518,1)-1)/($G$16-1)*100))</f>
        <v/>
      </c>
      <c r="S93" s="11">
        <f>IF(COUNT(O93:R93)=4,ROUND(AVERAGE(O93:R93),6),"")</f>
        <v/>
      </c>
      <c r="U93">
        <f>IF(AND(ISNUMBER('자료_한국심리'!$A77),ISNUMBER('자료_한국심리'!$B77)),'자료_한국심리'!$A77,"")</f>
        <v/>
      </c>
      <c r="V93">
        <f>IF(AND(ISNUMBER('자료_한국심리'!$D77),ISNUMBER('자료_한국심리'!$E77)),'자료_한국심리'!$D77,"")</f>
        <v/>
      </c>
      <c r="W93">
        <f>IF(AND(ISNUMBER('자료_한국심리'!$G77),ISNUMBER('자료_한국심리'!$H77)),'자료_한국심리'!$G77,"")</f>
        <v/>
      </c>
      <c r="X93">
        <f>IF(AND(ISNUMBER('자료_한국심리'!$J77),ISNUMBER('자료_한국심리'!$K77)),'자료_한국심리'!$J77,"")</f>
        <v/>
      </c>
      <c r="Y93">
        <f>IF(AND(ISNUMBER('자료_한국심리'!$M77),ISNUMBER('자료_한국심리'!$N77)),'자료_한국심리'!$M77,"")</f>
        <v/>
      </c>
    </row>
    <row r="94">
      <c r="A94" s="10">
        <f>IF(76&gt;$E$5,"",SMALL($U$19:$U$4018,$E$6+76))</f>
        <v/>
      </c>
      <c r="B94" s="29">
        <f>IF(A94="","",INDEX('자료_한국심리'!$B$3:$B$4002,MATCH(A94,$U$19:$U$4018,0)))</f>
        <v/>
      </c>
      <c r="C94" s="22">
        <f>""</f>
        <v/>
      </c>
      <c r="D94" s="29">
        <f>IF(A94="","",IFERROR(INDEX('자료_한국심리'!$E$3:$E$4002,MATCH(A94,$V$19:$V$4018,0)),D93))</f>
        <v/>
      </c>
      <c r="E94" s="30">
        <f>IF(A94="","",IFERROR(INDEX('자료_한국심리'!$H$3:$H$4002,MATCH(A94,$W$19:$W$4018,0)),E93))</f>
        <v/>
      </c>
      <c r="F94" s="30">
        <f>IF(A94="","",IFERROR(INDEX('자료_한국심리'!$K$3:$K$4002,MATCH(A94,$X$19:$X$4018,0)),F93))</f>
        <v/>
      </c>
      <c r="G94" s="30">
        <f>IF(AND(ISNUMBER(E94),ISNUMBER(F94)),ROUND(E94-F94,6),"")</f>
        <v/>
      </c>
      <c r="H94" s="25">
        <f>IF(A94="","",IFERROR(INDEX('자료_한국심리'!$N$3:$N$4002,MATCH(A94,$Y$19:$Y$4018,0)),H93))</f>
        <v/>
      </c>
      <c r="I94" s="31">
        <f>IF(AND(ISNUMBER(H94),ISNUMBER(H74)),IF(H74&gt;0,H94/H74-1,""),"")</f>
        <v/>
      </c>
      <c r="J94">
        <f>IF(A94="",0,IF(A94&gt;$B$5,1,0))</f>
        <v/>
      </c>
      <c r="K94" s="29">
        <f>IF(AND(J94=1,ISNUMBER(D94)),D94,"")</f>
        <v/>
      </c>
      <c r="L94" s="30">
        <f>IF(AND(J94=1,ISNUMBER(G94)),G94,"")</f>
        <v/>
      </c>
      <c r="M94" s="22">
        <f>IF(AND(J94=1,ISNUMBER(C94)),C94,"")</f>
        <v/>
      </c>
      <c r="N94" s="31">
        <f>IF(AND(J94=1,ISNUMBER(I94)),I94,"")</f>
        <v/>
      </c>
      <c r="O94" s="11">
        <f>IF(K94="","",100-IF($G$13=1,50,(_xlfn.RANK.AVG(K94,$K$19:$K$1518,1)-1)/($G$13-1)*100))</f>
        <v/>
      </c>
      <c r="P94" s="11">
        <f>IF(L94="","",100-IF($G$14=1,50,(_xlfn.RANK.AVG(L94,$L$19:$L$1518,1)-1)/($G$14-1)*100))</f>
        <v/>
      </c>
      <c r="Q94" s="11">
        <f>IF(M94="","",IF($G$15=1,50,(_xlfn.RANK.AVG(M94,$M$19:$M$1518,1)-1)/($G$15-1)*100))</f>
        <v/>
      </c>
      <c r="R94" s="11">
        <f>IF(N94="","",IF($G$16=1,50,(_xlfn.RANK.AVG(N94,$N$19:$N$1518,1)-1)/($G$16-1)*100))</f>
        <v/>
      </c>
      <c r="S94" s="11">
        <f>IF(COUNT(O94:R94)=4,ROUND(AVERAGE(O94:R94),6),"")</f>
        <v/>
      </c>
      <c r="U94">
        <f>IF(AND(ISNUMBER('자료_한국심리'!$A78),ISNUMBER('자료_한국심리'!$B78)),'자료_한국심리'!$A78,"")</f>
        <v/>
      </c>
      <c r="V94">
        <f>IF(AND(ISNUMBER('자료_한국심리'!$D78),ISNUMBER('자료_한국심리'!$E78)),'자료_한국심리'!$D78,"")</f>
        <v/>
      </c>
      <c r="W94">
        <f>IF(AND(ISNUMBER('자료_한국심리'!$G78),ISNUMBER('자료_한국심리'!$H78)),'자료_한국심리'!$G78,"")</f>
        <v/>
      </c>
      <c r="X94">
        <f>IF(AND(ISNUMBER('자료_한국심리'!$J78),ISNUMBER('자료_한국심리'!$K78)),'자료_한국심리'!$J78,"")</f>
        <v/>
      </c>
      <c r="Y94">
        <f>IF(AND(ISNUMBER('자료_한국심리'!$M78),ISNUMBER('자료_한국심리'!$N78)),'자료_한국심리'!$M78,"")</f>
        <v/>
      </c>
    </row>
    <row r="95">
      <c r="A95" s="10">
        <f>IF(77&gt;$E$5,"",SMALL($U$19:$U$4018,$E$6+77))</f>
        <v/>
      </c>
      <c r="B95" s="29">
        <f>IF(A95="","",INDEX('자료_한국심리'!$B$3:$B$4002,MATCH(A95,$U$19:$U$4018,0)))</f>
        <v/>
      </c>
      <c r="C95" s="22">
        <f>""</f>
        <v/>
      </c>
      <c r="D95" s="29">
        <f>IF(A95="","",IFERROR(INDEX('자료_한국심리'!$E$3:$E$4002,MATCH(A95,$V$19:$V$4018,0)),D94))</f>
        <v/>
      </c>
      <c r="E95" s="30">
        <f>IF(A95="","",IFERROR(INDEX('자료_한국심리'!$H$3:$H$4002,MATCH(A95,$W$19:$W$4018,0)),E94))</f>
        <v/>
      </c>
      <c r="F95" s="30">
        <f>IF(A95="","",IFERROR(INDEX('자료_한국심리'!$K$3:$K$4002,MATCH(A95,$X$19:$X$4018,0)),F94))</f>
        <v/>
      </c>
      <c r="G95" s="30">
        <f>IF(AND(ISNUMBER(E95),ISNUMBER(F95)),ROUND(E95-F95,6),"")</f>
        <v/>
      </c>
      <c r="H95" s="25">
        <f>IF(A95="","",IFERROR(INDEX('자료_한국심리'!$N$3:$N$4002,MATCH(A95,$Y$19:$Y$4018,0)),H94))</f>
        <v/>
      </c>
      <c r="I95" s="31">
        <f>IF(AND(ISNUMBER(H95),ISNUMBER(H75)),IF(H75&gt;0,H95/H75-1,""),"")</f>
        <v/>
      </c>
      <c r="J95">
        <f>IF(A95="",0,IF(A95&gt;$B$5,1,0))</f>
        <v/>
      </c>
      <c r="K95" s="29">
        <f>IF(AND(J95=1,ISNUMBER(D95)),D95,"")</f>
        <v/>
      </c>
      <c r="L95" s="30">
        <f>IF(AND(J95=1,ISNUMBER(G95)),G95,"")</f>
        <v/>
      </c>
      <c r="M95" s="22">
        <f>IF(AND(J95=1,ISNUMBER(C95)),C95,"")</f>
        <v/>
      </c>
      <c r="N95" s="31">
        <f>IF(AND(J95=1,ISNUMBER(I95)),I95,"")</f>
        <v/>
      </c>
      <c r="O95" s="11">
        <f>IF(K95="","",100-IF($G$13=1,50,(_xlfn.RANK.AVG(K95,$K$19:$K$1518,1)-1)/($G$13-1)*100))</f>
        <v/>
      </c>
      <c r="P95" s="11">
        <f>IF(L95="","",100-IF($G$14=1,50,(_xlfn.RANK.AVG(L95,$L$19:$L$1518,1)-1)/($G$14-1)*100))</f>
        <v/>
      </c>
      <c r="Q95" s="11">
        <f>IF(M95="","",IF($G$15=1,50,(_xlfn.RANK.AVG(M95,$M$19:$M$1518,1)-1)/($G$15-1)*100))</f>
        <v/>
      </c>
      <c r="R95" s="11">
        <f>IF(N95="","",IF($G$16=1,50,(_xlfn.RANK.AVG(N95,$N$19:$N$1518,1)-1)/($G$16-1)*100))</f>
        <v/>
      </c>
      <c r="S95" s="11">
        <f>IF(COUNT(O95:R95)=4,ROUND(AVERAGE(O95:R95),6),"")</f>
        <v/>
      </c>
      <c r="U95">
        <f>IF(AND(ISNUMBER('자료_한국심리'!$A79),ISNUMBER('자료_한국심리'!$B79)),'자료_한국심리'!$A79,"")</f>
        <v/>
      </c>
      <c r="V95">
        <f>IF(AND(ISNUMBER('자료_한국심리'!$D79),ISNUMBER('자료_한국심리'!$E79)),'자료_한국심리'!$D79,"")</f>
        <v/>
      </c>
      <c r="W95">
        <f>IF(AND(ISNUMBER('자료_한국심리'!$G79),ISNUMBER('자료_한국심리'!$H79)),'자료_한국심리'!$G79,"")</f>
        <v/>
      </c>
      <c r="X95">
        <f>IF(AND(ISNUMBER('자료_한국심리'!$J79),ISNUMBER('자료_한국심리'!$K79)),'자료_한국심리'!$J79,"")</f>
        <v/>
      </c>
      <c r="Y95">
        <f>IF(AND(ISNUMBER('자료_한국심리'!$M79),ISNUMBER('자료_한국심리'!$N79)),'자료_한국심리'!$M79,"")</f>
        <v/>
      </c>
    </row>
    <row r="96">
      <c r="A96" s="10">
        <f>IF(78&gt;$E$5,"",SMALL($U$19:$U$4018,$E$6+78))</f>
        <v/>
      </c>
      <c r="B96" s="29">
        <f>IF(A96="","",INDEX('자료_한국심리'!$B$3:$B$4002,MATCH(A96,$U$19:$U$4018,0)))</f>
        <v/>
      </c>
      <c r="C96" s="22">
        <f>""</f>
        <v/>
      </c>
      <c r="D96" s="29">
        <f>IF(A96="","",IFERROR(INDEX('자료_한국심리'!$E$3:$E$4002,MATCH(A96,$V$19:$V$4018,0)),D95))</f>
        <v/>
      </c>
      <c r="E96" s="30">
        <f>IF(A96="","",IFERROR(INDEX('자료_한국심리'!$H$3:$H$4002,MATCH(A96,$W$19:$W$4018,0)),E95))</f>
        <v/>
      </c>
      <c r="F96" s="30">
        <f>IF(A96="","",IFERROR(INDEX('자료_한국심리'!$K$3:$K$4002,MATCH(A96,$X$19:$X$4018,0)),F95))</f>
        <v/>
      </c>
      <c r="G96" s="30">
        <f>IF(AND(ISNUMBER(E96),ISNUMBER(F96)),ROUND(E96-F96,6),"")</f>
        <v/>
      </c>
      <c r="H96" s="25">
        <f>IF(A96="","",IFERROR(INDEX('자료_한국심리'!$N$3:$N$4002,MATCH(A96,$Y$19:$Y$4018,0)),H95))</f>
        <v/>
      </c>
      <c r="I96" s="31">
        <f>IF(AND(ISNUMBER(H96),ISNUMBER(H76)),IF(H76&gt;0,H96/H76-1,""),"")</f>
        <v/>
      </c>
      <c r="J96">
        <f>IF(A96="",0,IF(A96&gt;$B$5,1,0))</f>
        <v/>
      </c>
      <c r="K96" s="29">
        <f>IF(AND(J96=1,ISNUMBER(D96)),D96,"")</f>
        <v/>
      </c>
      <c r="L96" s="30">
        <f>IF(AND(J96=1,ISNUMBER(G96)),G96,"")</f>
        <v/>
      </c>
      <c r="M96" s="22">
        <f>IF(AND(J96=1,ISNUMBER(C96)),C96,"")</f>
        <v/>
      </c>
      <c r="N96" s="31">
        <f>IF(AND(J96=1,ISNUMBER(I96)),I96,"")</f>
        <v/>
      </c>
      <c r="O96" s="11">
        <f>IF(K96="","",100-IF($G$13=1,50,(_xlfn.RANK.AVG(K96,$K$19:$K$1518,1)-1)/($G$13-1)*100))</f>
        <v/>
      </c>
      <c r="P96" s="11">
        <f>IF(L96="","",100-IF($G$14=1,50,(_xlfn.RANK.AVG(L96,$L$19:$L$1518,1)-1)/($G$14-1)*100))</f>
        <v/>
      </c>
      <c r="Q96" s="11">
        <f>IF(M96="","",IF($G$15=1,50,(_xlfn.RANK.AVG(M96,$M$19:$M$1518,1)-1)/($G$15-1)*100))</f>
        <v/>
      </c>
      <c r="R96" s="11">
        <f>IF(N96="","",IF($G$16=1,50,(_xlfn.RANK.AVG(N96,$N$19:$N$1518,1)-1)/($G$16-1)*100))</f>
        <v/>
      </c>
      <c r="S96" s="11">
        <f>IF(COUNT(O96:R96)=4,ROUND(AVERAGE(O96:R96),6),"")</f>
        <v/>
      </c>
      <c r="U96">
        <f>IF(AND(ISNUMBER('자료_한국심리'!$A80),ISNUMBER('자료_한국심리'!$B80)),'자료_한국심리'!$A80,"")</f>
        <v/>
      </c>
      <c r="V96">
        <f>IF(AND(ISNUMBER('자료_한국심리'!$D80),ISNUMBER('자료_한국심리'!$E80)),'자료_한국심리'!$D80,"")</f>
        <v/>
      </c>
      <c r="W96">
        <f>IF(AND(ISNUMBER('자료_한국심리'!$G80),ISNUMBER('자료_한국심리'!$H80)),'자료_한국심리'!$G80,"")</f>
        <v/>
      </c>
      <c r="X96">
        <f>IF(AND(ISNUMBER('자료_한국심리'!$J80),ISNUMBER('자료_한국심리'!$K80)),'자료_한국심리'!$J80,"")</f>
        <v/>
      </c>
      <c r="Y96">
        <f>IF(AND(ISNUMBER('자료_한국심리'!$M80),ISNUMBER('자료_한국심리'!$N80)),'자료_한국심리'!$M80,"")</f>
        <v/>
      </c>
    </row>
    <row r="97">
      <c r="A97" s="10">
        <f>IF(79&gt;$E$5,"",SMALL($U$19:$U$4018,$E$6+79))</f>
        <v/>
      </c>
      <c r="B97" s="29">
        <f>IF(A97="","",INDEX('자료_한국심리'!$B$3:$B$4002,MATCH(A97,$U$19:$U$4018,0)))</f>
        <v/>
      </c>
      <c r="C97" s="22">
        <f>""</f>
        <v/>
      </c>
      <c r="D97" s="29">
        <f>IF(A97="","",IFERROR(INDEX('자료_한국심리'!$E$3:$E$4002,MATCH(A97,$V$19:$V$4018,0)),D96))</f>
        <v/>
      </c>
      <c r="E97" s="30">
        <f>IF(A97="","",IFERROR(INDEX('자료_한국심리'!$H$3:$H$4002,MATCH(A97,$W$19:$W$4018,0)),E96))</f>
        <v/>
      </c>
      <c r="F97" s="30">
        <f>IF(A97="","",IFERROR(INDEX('자료_한국심리'!$K$3:$K$4002,MATCH(A97,$X$19:$X$4018,0)),F96))</f>
        <v/>
      </c>
      <c r="G97" s="30">
        <f>IF(AND(ISNUMBER(E97),ISNUMBER(F97)),ROUND(E97-F97,6),"")</f>
        <v/>
      </c>
      <c r="H97" s="25">
        <f>IF(A97="","",IFERROR(INDEX('자료_한국심리'!$N$3:$N$4002,MATCH(A97,$Y$19:$Y$4018,0)),H96))</f>
        <v/>
      </c>
      <c r="I97" s="31">
        <f>IF(AND(ISNUMBER(H97),ISNUMBER(H77)),IF(H77&gt;0,H97/H77-1,""),"")</f>
        <v/>
      </c>
      <c r="J97">
        <f>IF(A97="",0,IF(A97&gt;$B$5,1,0))</f>
        <v/>
      </c>
      <c r="K97" s="29">
        <f>IF(AND(J97=1,ISNUMBER(D97)),D97,"")</f>
        <v/>
      </c>
      <c r="L97" s="30">
        <f>IF(AND(J97=1,ISNUMBER(G97)),G97,"")</f>
        <v/>
      </c>
      <c r="M97" s="22">
        <f>IF(AND(J97=1,ISNUMBER(C97)),C97,"")</f>
        <v/>
      </c>
      <c r="N97" s="31">
        <f>IF(AND(J97=1,ISNUMBER(I97)),I97,"")</f>
        <v/>
      </c>
      <c r="O97" s="11">
        <f>IF(K97="","",100-IF($G$13=1,50,(_xlfn.RANK.AVG(K97,$K$19:$K$1518,1)-1)/($G$13-1)*100))</f>
        <v/>
      </c>
      <c r="P97" s="11">
        <f>IF(L97="","",100-IF($G$14=1,50,(_xlfn.RANK.AVG(L97,$L$19:$L$1518,1)-1)/($G$14-1)*100))</f>
        <v/>
      </c>
      <c r="Q97" s="11">
        <f>IF(M97="","",IF($G$15=1,50,(_xlfn.RANK.AVG(M97,$M$19:$M$1518,1)-1)/($G$15-1)*100))</f>
        <v/>
      </c>
      <c r="R97" s="11">
        <f>IF(N97="","",IF($G$16=1,50,(_xlfn.RANK.AVG(N97,$N$19:$N$1518,1)-1)/($G$16-1)*100))</f>
        <v/>
      </c>
      <c r="S97" s="11">
        <f>IF(COUNT(O97:R97)=4,ROUND(AVERAGE(O97:R97),6),"")</f>
        <v/>
      </c>
      <c r="U97">
        <f>IF(AND(ISNUMBER('자료_한국심리'!$A81),ISNUMBER('자료_한국심리'!$B81)),'자료_한국심리'!$A81,"")</f>
        <v/>
      </c>
      <c r="V97">
        <f>IF(AND(ISNUMBER('자료_한국심리'!$D81),ISNUMBER('자료_한국심리'!$E81)),'자료_한국심리'!$D81,"")</f>
        <v/>
      </c>
      <c r="W97">
        <f>IF(AND(ISNUMBER('자료_한국심리'!$G81),ISNUMBER('자료_한국심리'!$H81)),'자료_한국심리'!$G81,"")</f>
        <v/>
      </c>
      <c r="X97">
        <f>IF(AND(ISNUMBER('자료_한국심리'!$J81),ISNUMBER('자료_한국심리'!$K81)),'자료_한국심리'!$J81,"")</f>
        <v/>
      </c>
      <c r="Y97">
        <f>IF(AND(ISNUMBER('자료_한국심리'!$M81),ISNUMBER('자료_한국심리'!$N81)),'자료_한국심리'!$M81,"")</f>
        <v/>
      </c>
    </row>
    <row r="98">
      <c r="A98" s="10">
        <f>IF(80&gt;$E$5,"",SMALL($U$19:$U$4018,$E$6+80))</f>
        <v/>
      </c>
      <c r="B98" s="29">
        <f>IF(A98="","",INDEX('자료_한국심리'!$B$3:$B$4002,MATCH(A98,$U$19:$U$4018,0)))</f>
        <v/>
      </c>
      <c r="C98" s="22">
        <f>""</f>
        <v/>
      </c>
      <c r="D98" s="29">
        <f>IF(A98="","",IFERROR(INDEX('자료_한국심리'!$E$3:$E$4002,MATCH(A98,$V$19:$V$4018,0)),D97))</f>
        <v/>
      </c>
      <c r="E98" s="30">
        <f>IF(A98="","",IFERROR(INDEX('자료_한국심리'!$H$3:$H$4002,MATCH(A98,$W$19:$W$4018,0)),E97))</f>
        <v/>
      </c>
      <c r="F98" s="30">
        <f>IF(A98="","",IFERROR(INDEX('자료_한국심리'!$K$3:$K$4002,MATCH(A98,$X$19:$X$4018,0)),F97))</f>
        <v/>
      </c>
      <c r="G98" s="30">
        <f>IF(AND(ISNUMBER(E98),ISNUMBER(F98)),ROUND(E98-F98,6),"")</f>
        <v/>
      </c>
      <c r="H98" s="25">
        <f>IF(A98="","",IFERROR(INDEX('자료_한국심리'!$N$3:$N$4002,MATCH(A98,$Y$19:$Y$4018,0)),H97))</f>
        <v/>
      </c>
      <c r="I98" s="31">
        <f>IF(AND(ISNUMBER(H98),ISNUMBER(H78)),IF(H78&gt;0,H98/H78-1,""),"")</f>
        <v/>
      </c>
      <c r="J98">
        <f>IF(A98="",0,IF(A98&gt;$B$5,1,0))</f>
        <v/>
      </c>
      <c r="K98" s="29">
        <f>IF(AND(J98=1,ISNUMBER(D98)),D98,"")</f>
        <v/>
      </c>
      <c r="L98" s="30">
        <f>IF(AND(J98=1,ISNUMBER(G98)),G98,"")</f>
        <v/>
      </c>
      <c r="M98" s="22">
        <f>IF(AND(J98=1,ISNUMBER(C98)),C98,"")</f>
        <v/>
      </c>
      <c r="N98" s="31">
        <f>IF(AND(J98=1,ISNUMBER(I98)),I98,"")</f>
        <v/>
      </c>
      <c r="O98" s="11">
        <f>IF(K98="","",100-IF($G$13=1,50,(_xlfn.RANK.AVG(K98,$K$19:$K$1518,1)-1)/($G$13-1)*100))</f>
        <v/>
      </c>
      <c r="P98" s="11">
        <f>IF(L98="","",100-IF($G$14=1,50,(_xlfn.RANK.AVG(L98,$L$19:$L$1518,1)-1)/($G$14-1)*100))</f>
        <v/>
      </c>
      <c r="Q98" s="11">
        <f>IF(M98="","",IF($G$15=1,50,(_xlfn.RANK.AVG(M98,$M$19:$M$1518,1)-1)/($G$15-1)*100))</f>
        <v/>
      </c>
      <c r="R98" s="11">
        <f>IF(N98="","",IF($G$16=1,50,(_xlfn.RANK.AVG(N98,$N$19:$N$1518,1)-1)/($G$16-1)*100))</f>
        <v/>
      </c>
      <c r="S98" s="11">
        <f>IF(COUNT(O98:R98)=4,ROUND(AVERAGE(O98:R98),6),"")</f>
        <v/>
      </c>
      <c r="U98">
        <f>IF(AND(ISNUMBER('자료_한국심리'!$A82),ISNUMBER('자료_한국심리'!$B82)),'자료_한국심리'!$A82,"")</f>
        <v/>
      </c>
      <c r="V98">
        <f>IF(AND(ISNUMBER('자료_한국심리'!$D82),ISNUMBER('자료_한국심리'!$E82)),'자료_한국심리'!$D82,"")</f>
        <v/>
      </c>
      <c r="W98">
        <f>IF(AND(ISNUMBER('자료_한국심리'!$G82),ISNUMBER('자료_한국심리'!$H82)),'자료_한국심리'!$G82,"")</f>
        <v/>
      </c>
      <c r="X98">
        <f>IF(AND(ISNUMBER('자료_한국심리'!$J82),ISNUMBER('자료_한국심리'!$K82)),'자료_한국심리'!$J82,"")</f>
        <v/>
      </c>
      <c r="Y98">
        <f>IF(AND(ISNUMBER('자료_한국심리'!$M82),ISNUMBER('자료_한국심리'!$N82)),'자료_한국심리'!$M82,"")</f>
        <v/>
      </c>
    </row>
    <row r="99">
      <c r="A99" s="10">
        <f>IF(81&gt;$E$5,"",SMALL($U$19:$U$4018,$E$6+81))</f>
        <v/>
      </c>
      <c r="B99" s="29">
        <f>IF(A99="","",INDEX('자료_한국심리'!$B$3:$B$4002,MATCH(A99,$U$19:$U$4018,0)))</f>
        <v/>
      </c>
      <c r="C99" s="22">
        <f>""</f>
        <v/>
      </c>
      <c r="D99" s="29">
        <f>IF(A99="","",IFERROR(INDEX('자료_한국심리'!$E$3:$E$4002,MATCH(A99,$V$19:$V$4018,0)),D98))</f>
        <v/>
      </c>
      <c r="E99" s="30">
        <f>IF(A99="","",IFERROR(INDEX('자료_한국심리'!$H$3:$H$4002,MATCH(A99,$W$19:$W$4018,0)),E98))</f>
        <v/>
      </c>
      <c r="F99" s="30">
        <f>IF(A99="","",IFERROR(INDEX('자료_한국심리'!$K$3:$K$4002,MATCH(A99,$X$19:$X$4018,0)),F98))</f>
        <v/>
      </c>
      <c r="G99" s="30">
        <f>IF(AND(ISNUMBER(E99),ISNUMBER(F99)),ROUND(E99-F99,6),"")</f>
        <v/>
      </c>
      <c r="H99" s="25">
        <f>IF(A99="","",IFERROR(INDEX('자료_한국심리'!$N$3:$N$4002,MATCH(A99,$Y$19:$Y$4018,0)),H98))</f>
        <v/>
      </c>
      <c r="I99" s="31">
        <f>IF(AND(ISNUMBER(H99),ISNUMBER(H79)),IF(H79&gt;0,H99/H79-1,""),"")</f>
        <v/>
      </c>
      <c r="J99">
        <f>IF(A99="",0,IF(A99&gt;$B$5,1,0))</f>
        <v/>
      </c>
      <c r="K99" s="29">
        <f>IF(AND(J99=1,ISNUMBER(D99)),D99,"")</f>
        <v/>
      </c>
      <c r="L99" s="30">
        <f>IF(AND(J99=1,ISNUMBER(G99)),G99,"")</f>
        <v/>
      </c>
      <c r="M99" s="22">
        <f>IF(AND(J99=1,ISNUMBER(C99)),C99,"")</f>
        <v/>
      </c>
      <c r="N99" s="31">
        <f>IF(AND(J99=1,ISNUMBER(I99)),I99,"")</f>
        <v/>
      </c>
      <c r="O99" s="11">
        <f>IF(K99="","",100-IF($G$13=1,50,(_xlfn.RANK.AVG(K99,$K$19:$K$1518,1)-1)/($G$13-1)*100))</f>
        <v/>
      </c>
      <c r="P99" s="11">
        <f>IF(L99="","",100-IF($G$14=1,50,(_xlfn.RANK.AVG(L99,$L$19:$L$1518,1)-1)/($G$14-1)*100))</f>
        <v/>
      </c>
      <c r="Q99" s="11">
        <f>IF(M99="","",IF($G$15=1,50,(_xlfn.RANK.AVG(M99,$M$19:$M$1518,1)-1)/($G$15-1)*100))</f>
        <v/>
      </c>
      <c r="R99" s="11">
        <f>IF(N99="","",IF($G$16=1,50,(_xlfn.RANK.AVG(N99,$N$19:$N$1518,1)-1)/($G$16-1)*100))</f>
        <v/>
      </c>
      <c r="S99" s="11">
        <f>IF(COUNT(O99:R99)=4,ROUND(AVERAGE(O99:R99),6),"")</f>
        <v/>
      </c>
      <c r="U99">
        <f>IF(AND(ISNUMBER('자료_한국심리'!$A83),ISNUMBER('자료_한국심리'!$B83)),'자료_한국심리'!$A83,"")</f>
        <v/>
      </c>
      <c r="V99">
        <f>IF(AND(ISNUMBER('자료_한국심리'!$D83),ISNUMBER('자료_한국심리'!$E83)),'자료_한국심리'!$D83,"")</f>
        <v/>
      </c>
      <c r="W99">
        <f>IF(AND(ISNUMBER('자료_한국심리'!$G83),ISNUMBER('자료_한국심리'!$H83)),'자료_한국심리'!$G83,"")</f>
        <v/>
      </c>
      <c r="X99">
        <f>IF(AND(ISNUMBER('자료_한국심리'!$J83),ISNUMBER('자료_한국심리'!$K83)),'자료_한국심리'!$J83,"")</f>
        <v/>
      </c>
      <c r="Y99">
        <f>IF(AND(ISNUMBER('자료_한국심리'!$M83),ISNUMBER('자료_한국심리'!$N83)),'자료_한국심리'!$M83,"")</f>
        <v/>
      </c>
    </row>
    <row r="100">
      <c r="A100" s="10">
        <f>IF(82&gt;$E$5,"",SMALL($U$19:$U$4018,$E$6+82))</f>
        <v/>
      </c>
      <c r="B100" s="29">
        <f>IF(A100="","",INDEX('자료_한국심리'!$B$3:$B$4002,MATCH(A100,$U$19:$U$4018,0)))</f>
        <v/>
      </c>
      <c r="C100" s="22">
        <f>""</f>
        <v/>
      </c>
      <c r="D100" s="29">
        <f>IF(A100="","",IFERROR(INDEX('자료_한국심리'!$E$3:$E$4002,MATCH(A100,$V$19:$V$4018,0)),D99))</f>
        <v/>
      </c>
      <c r="E100" s="30">
        <f>IF(A100="","",IFERROR(INDEX('자료_한국심리'!$H$3:$H$4002,MATCH(A100,$W$19:$W$4018,0)),E99))</f>
        <v/>
      </c>
      <c r="F100" s="30">
        <f>IF(A100="","",IFERROR(INDEX('자료_한국심리'!$K$3:$K$4002,MATCH(A100,$X$19:$X$4018,0)),F99))</f>
        <v/>
      </c>
      <c r="G100" s="30">
        <f>IF(AND(ISNUMBER(E100),ISNUMBER(F100)),ROUND(E100-F100,6),"")</f>
        <v/>
      </c>
      <c r="H100" s="25">
        <f>IF(A100="","",IFERROR(INDEX('자료_한국심리'!$N$3:$N$4002,MATCH(A100,$Y$19:$Y$4018,0)),H99))</f>
        <v/>
      </c>
      <c r="I100" s="31">
        <f>IF(AND(ISNUMBER(H100),ISNUMBER(H80)),IF(H80&gt;0,H100/H80-1,""),"")</f>
        <v/>
      </c>
      <c r="J100">
        <f>IF(A100="",0,IF(A100&gt;$B$5,1,0))</f>
        <v/>
      </c>
      <c r="K100" s="29">
        <f>IF(AND(J100=1,ISNUMBER(D100)),D100,"")</f>
        <v/>
      </c>
      <c r="L100" s="30">
        <f>IF(AND(J100=1,ISNUMBER(G100)),G100,"")</f>
        <v/>
      </c>
      <c r="M100" s="22">
        <f>IF(AND(J100=1,ISNUMBER(C100)),C100,"")</f>
        <v/>
      </c>
      <c r="N100" s="31">
        <f>IF(AND(J100=1,ISNUMBER(I100)),I100,"")</f>
        <v/>
      </c>
      <c r="O100" s="11">
        <f>IF(K100="","",100-IF($G$13=1,50,(_xlfn.RANK.AVG(K100,$K$19:$K$1518,1)-1)/($G$13-1)*100))</f>
        <v/>
      </c>
      <c r="P100" s="11">
        <f>IF(L100="","",100-IF($G$14=1,50,(_xlfn.RANK.AVG(L100,$L$19:$L$1518,1)-1)/($G$14-1)*100))</f>
        <v/>
      </c>
      <c r="Q100" s="11">
        <f>IF(M100="","",IF($G$15=1,50,(_xlfn.RANK.AVG(M100,$M$19:$M$1518,1)-1)/($G$15-1)*100))</f>
        <v/>
      </c>
      <c r="R100" s="11">
        <f>IF(N100="","",IF($G$16=1,50,(_xlfn.RANK.AVG(N100,$N$19:$N$1518,1)-1)/($G$16-1)*100))</f>
        <v/>
      </c>
      <c r="S100" s="11">
        <f>IF(COUNT(O100:R100)=4,ROUND(AVERAGE(O100:R100),6),"")</f>
        <v/>
      </c>
      <c r="U100">
        <f>IF(AND(ISNUMBER('자료_한국심리'!$A84),ISNUMBER('자료_한국심리'!$B84)),'자료_한국심리'!$A84,"")</f>
        <v/>
      </c>
      <c r="V100">
        <f>IF(AND(ISNUMBER('자료_한국심리'!$D84),ISNUMBER('자료_한국심리'!$E84)),'자료_한국심리'!$D84,"")</f>
        <v/>
      </c>
      <c r="W100">
        <f>IF(AND(ISNUMBER('자료_한국심리'!$G84),ISNUMBER('자료_한국심리'!$H84)),'자료_한국심리'!$G84,"")</f>
        <v/>
      </c>
      <c r="X100">
        <f>IF(AND(ISNUMBER('자료_한국심리'!$J84),ISNUMBER('자료_한국심리'!$K84)),'자료_한국심리'!$J84,"")</f>
        <v/>
      </c>
      <c r="Y100">
        <f>IF(AND(ISNUMBER('자료_한국심리'!$M84),ISNUMBER('자료_한국심리'!$N84)),'자료_한국심리'!$M84,"")</f>
        <v/>
      </c>
    </row>
    <row r="101">
      <c r="A101" s="10">
        <f>IF(83&gt;$E$5,"",SMALL($U$19:$U$4018,$E$6+83))</f>
        <v/>
      </c>
      <c r="B101" s="29">
        <f>IF(A101="","",INDEX('자료_한국심리'!$B$3:$B$4002,MATCH(A101,$U$19:$U$4018,0)))</f>
        <v/>
      </c>
      <c r="C101" s="22">
        <f>""</f>
        <v/>
      </c>
      <c r="D101" s="29">
        <f>IF(A101="","",IFERROR(INDEX('자료_한국심리'!$E$3:$E$4002,MATCH(A101,$V$19:$V$4018,0)),D100))</f>
        <v/>
      </c>
      <c r="E101" s="30">
        <f>IF(A101="","",IFERROR(INDEX('자료_한국심리'!$H$3:$H$4002,MATCH(A101,$W$19:$W$4018,0)),E100))</f>
        <v/>
      </c>
      <c r="F101" s="30">
        <f>IF(A101="","",IFERROR(INDEX('자료_한국심리'!$K$3:$K$4002,MATCH(A101,$X$19:$X$4018,0)),F100))</f>
        <v/>
      </c>
      <c r="G101" s="30">
        <f>IF(AND(ISNUMBER(E101),ISNUMBER(F101)),ROUND(E101-F101,6),"")</f>
        <v/>
      </c>
      <c r="H101" s="25">
        <f>IF(A101="","",IFERROR(INDEX('자료_한국심리'!$N$3:$N$4002,MATCH(A101,$Y$19:$Y$4018,0)),H100))</f>
        <v/>
      </c>
      <c r="I101" s="31">
        <f>IF(AND(ISNUMBER(H101),ISNUMBER(H81)),IF(H81&gt;0,H101/H81-1,""),"")</f>
        <v/>
      </c>
      <c r="J101">
        <f>IF(A101="",0,IF(A101&gt;$B$5,1,0))</f>
        <v/>
      </c>
      <c r="K101" s="29">
        <f>IF(AND(J101=1,ISNUMBER(D101)),D101,"")</f>
        <v/>
      </c>
      <c r="L101" s="30">
        <f>IF(AND(J101=1,ISNUMBER(G101)),G101,"")</f>
        <v/>
      </c>
      <c r="M101" s="22">
        <f>IF(AND(J101=1,ISNUMBER(C101)),C101,"")</f>
        <v/>
      </c>
      <c r="N101" s="31">
        <f>IF(AND(J101=1,ISNUMBER(I101)),I101,"")</f>
        <v/>
      </c>
      <c r="O101" s="11">
        <f>IF(K101="","",100-IF($G$13=1,50,(_xlfn.RANK.AVG(K101,$K$19:$K$1518,1)-1)/($G$13-1)*100))</f>
        <v/>
      </c>
      <c r="P101" s="11">
        <f>IF(L101="","",100-IF($G$14=1,50,(_xlfn.RANK.AVG(L101,$L$19:$L$1518,1)-1)/($G$14-1)*100))</f>
        <v/>
      </c>
      <c r="Q101" s="11">
        <f>IF(M101="","",IF($G$15=1,50,(_xlfn.RANK.AVG(M101,$M$19:$M$1518,1)-1)/($G$15-1)*100))</f>
        <v/>
      </c>
      <c r="R101" s="11">
        <f>IF(N101="","",IF($G$16=1,50,(_xlfn.RANK.AVG(N101,$N$19:$N$1518,1)-1)/($G$16-1)*100))</f>
        <v/>
      </c>
      <c r="S101" s="11">
        <f>IF(COUNT(O101:R101)=4,ROUND(AVERAGE(O101:R101),6),"")</f>
        <v/>
      </c>
      <c r="U101">
        <f>IF(AND(ISNUMBER('자료_한국심리'!$A85),ISNUMBER('자료_한국심리'!$B85)),'자료_한국심리'!$A85,"")</f>
        <v/>
      </c>
      <c r="V101">
        <f>IF(AND(ISNUMBER('자료_한국심리'!$D85),ISNUMBER('자료_한국심리'!$E85)),'자료_한국심리'!$D85,"")</f>
        <v/>
      </c>
      <c r="W101">
        <f>IF(AND(ISNUMBER('자료_한국심리'!$G85),ISNUMBER('자료_한국심리'!$H85)),'자료_한국심리'!$G85,"")</f>
        <v/>
      </c>
      <c r="X101">
        <f>IF(AND(ISNUMBER('자료_한국심리'!$J85),ISNUMBER('자료_한국심리'!$K85)),'자료_한국심리'!$J85,"")</f>
        <v/>
      </c>
      <c r="Y101">
        <f>IF(AND(ISNUMBER('자료_한국심리'!$M85),ISNUMBER('자료_한국심리'!$N85)),'자료_한국심리'!$M85,"")</f>
        <v/>
      </c>
    </row>
    <row r="102">
      <c r="A102" s="10">
        <f>IF(84&gt;$E$5,"",SMALL($U$19:$U$4018,$E$6+84))</f>
        <v/>
      </c>
      <c r="B102" s="29">
        <f>IF(A102="","",INDEX('자료_한국심리'!$B$3:$B$4002,MATCH(A102,$U$19:$U$4018,0)))</f>
        <v/>
      </c>
      <c r="C102" s="22">
        <f>""</f>
        <v/>
      </c>
      <c r="D102" s="29">
        <f>IF(A102="","",IFERROR(INDEX('자료_한국심리'!$E$3:$E$4002,MATCH(A102,$V$19:$V$4018,0)),D101))</f>
        <v/>
      </c>
      <c r="E102" s="30">
        <f>IF(A102="","",IFERROR(INDEX('자료_한국심리'!$H$3:$H$4002,MATCH(A102,$W$19:$W$4018,0)),E101))</f>
        <v/>
      </c>
      <c r="F102" s="30">
        <f>IF(A102="","",IFERROR(INDEX('자료_한국심리'!$K$3:$K$4002,MATCH(A102,$X$19:$X$4018,0)),F101))</f>
        <v/>
      </c>
      <c r="G102" s="30">
        <f>IF(AND(ISNUMBER(E102),ISNUMBER(F102)),ROUND(E102-F102,6),"")</f>
        <v/>
      </c>
      <c r="H102" s="25">
        <f>IF(A102="","",IFERROR(INDEX('자료_한국심리'!$N$3:$N$4002,MATCH(A102,$Y$19:$Y$4018,0)),H101))</f>
        <v/>
      </c>
      <c r="I102" s="31">
        <f>IF(AND(ISNUMBER(H102),ISNUMBER(H82)),IF(H82&gt;0,H102/H82-1,""),"")</f>
        <v/>
      </c>
      <c r="J102">
        <f>IF(A102="",0,IF(A102&gt;$B$5,1,0))</f>
        <v/>
      </c>
      <c r="K102" s="29">
        <f>IF(AND(J102=1,ISNUMBER(D102)),D102,"")</f>
        <v/>
      </c>
      <c r="L102" s="30">
        <f>IF(AND(J102=1,ISNUMBER(G102)),G102,"")</f>
        <v/>
      </c>
      <c r="M102" s="22">
        <f>IF(AND(J102=1,ISNUMBER(C102)),C102,"")</f>
        <v/>
      </c>
      <c r="N102" s="31">
        <f>IF(AND(J102=1,ISNUMBER(I102)),I102,"")</f>
        <v/>
      </c>
      <c r="O102" s="11">
        <f>IF(K102="","",100-IF($G$13=1,50,(_xlfn.RANK.AVG(K102,$K$19:$K$1518,1)-1)/($G$13-1)*100))</f>
        <v/>
      </c>
      <c r="P102" s="11">
        <f>IF(L102="","",100-IF($G$14=1,50,(_xlfn.RANK.AVG(L102,$L$19:$L$1518,1)-1)/($G$14-1)*100))</f>
        <v/>
      </c>
      <c r="Q102" s="11">
        <f>IF(M102="","",IF($G$15=1,50,(_xlfn.RANK.AVG(M102,$M$19:$M$1518,1)-1)/($G$15-1)*100))</f>
        <v/>
      </c>
      <c r="R102" s="11">
        <f>IF(N102="","",IF($G$16=1,50,(_xlfn.RANK.AVG(N102,$N$19:$N$1518,1)-1)/($G$16-1)*100))</f>
        <v/>
      </c>
      <c r="S102" s="11">
        <f>IF(COUNT(O102:R102)=4,ROUND(AVERAGE(O102:R102),6),"")</f>
        <v/>
      </c>
      <c r="U102">
        <f>IF(AND(ISNUMBER('자료_한국심리'!$A86),ISNUMBER('자료_한국심리'!$B86)),'자료_한국심리'!$A86,"")</f>
        <v/>
      </c>
      <c r="V102">
        <f>IF(AND(ISNUMBER('자료_한국심리'!$D86),ISNUMBER('자료_한국심리'!$E86)),'자료_한국심리'!$D86,"")</f>
        <v/>
      </c>
      <c r="W102">
        <f>IF(AND(ISNUMBER('자료_한국심리'!$G86),ISNUMBER('자료_한국심리'!$H86)),'자료_한국심리'!$G86,"")</f>
        <v/>
      </c>
      <c r="X102">
        <f>IF(AND(ISNUMBER('자료_한국심리'!$J86),ISNUMBER('자료_한국심리'!$K86)),'자료_한국심리'!$J86,"")</f>
        <v/>
      </c>
      <c r="Y102">
        <f>IF(AND(ISNUMBER('자료_한국심리'!$M86),ISNUMBER('자료_한국심리'!$N86)),'자료_한국심리'!$M86,"")</f>
        <v/>
      </c>
    </row>
    <row r="103">
      <c r="A103" s="10">
        <f>IF(85&gt;$E$5,"",SMALL($U$19:$U$4018,$E$6+85))</f>
        <v/>
      </c>
      <c r="B103" s="29">
        <f>IF(A103="","",INDEX('자료_한국심리'!$B$3:$B$4002,MATCH(A103,$U$19:$U$4018,0)))</f>
        <v/>
      </c>
      <c r="C103" s="22">
        <f>""</f>
        <v/>
      </c>
      <c r="D103" s="29">
        <f>IF(A103="","",IFERROR(INDEX('자료_한국심리'!$E$3:$E$4002,MATCH(A103,$V$19:$V$4018,0)),D102))</f>
        <v/>
      </c>
      <c r="E103" s="30">
        <f>IF(A103="","",IFERROR(INDEX('자료_한국심리'!$H$3:$H$4002,MATCH(A103,$W$19:$W$4018,0)),E102))</f>
        <v/>
      </c>
      <c r="F103" s="30">
        <f>IF(A103="","",IFERROR(INDEX('자료_한국심리'!$K$3:$K$4002,MATCH(A103,$X$19:$X$4018,0)),F102))</f>
        <v/>
      </c>
      <c r="G103" s="30">
        <f>IF(AND(ISNUMBER(E103),ISNUMBER(F103)),ROUND(E103-F103,6),"")</f>
        <v/>
      </c>
      <c r="H103" s="25">
        <f>IF(A103="","",IFERROR(INDEX('자료_한국심리'!$N$3:$N$4002,MATCH(A103,$Y$19:$Y$4018,0)),H102))</f>
        <v/>
      </c>
      <c r="I103" s="31">
        <f>IF(AND(ISNUMBER(H103),ISNUMBER(H83)),IF(H83&gt;0,H103/H83-1,""),"")</f>
        <v/>
      </c>
      <c r="J103">
        <f>IF(A103="",0,IF(A103&gt;$B$5,1,0))</f>
        <v/>
      </c>
      <c r="K103" s="29">
        <f>IF(AND(J103=1,ISNUMBER(D103)),D103,"")</f>
        <v/>
      </c>
      <c r="L103" s="30">
        <f>IF(AND(J103=1,ISNUMBER(G103)),G103,"")</f>
        <v/>
      </c>
      <c r="M103" s="22">
        <f>IF(AND(J103=1,ISNUMBER(C103)),C103,"")</f>
        <v/>
      </c>
      <c r="N103" s="31">
        <f>IF(AND(J103=1,ISNUMBER(I103)),I103,"")</f>
        <v/>
      </c>
      <c r="O103" s="11">
        <f>IF(K103="","",100-IF($G$13=1,50,(_xlfn.RANK.AVG(K103,$K$19:$K$1518,1)-1)/($G$13-1)*100))</f>
        <v/>
      </c>
      <c r="P103" s="11">
        <f>IF(L103="","",100-IF($G$14=1,50,(_xlfn.RANK.AVG(L103,$L$19:$L$1518,1)-1)/($G$14-1)*100))</f>
        <v/>
      </c>
      <c r="Q103" s="11">
        <f>IF(M103="","",IF($G$15=1,50,(_xlfn.RANK.AVG(M103,$M$19:$M$1518,1)-1)/($G$15-1)*100))</f>
        <v/>
      </c>
      <c r="R103" s="11">
        <f>IF(N103="","",IF($G$16=1,50,(_xlfn.RANK.AVG(N103,$N$19:$N$1518,1)-1)/($G$16-1)*100))</f>
        <v/>
      </c>
      <c r="S103" s="11">
        <f>IF(COUNT(O103:R103)=4,ROUND(AVERAGE(O103:R103),6),"")</f>
        <v/>
      </c>
      <c r="U103">
        <f>IF(AND(ISNUMBER('자료_한국심리'!$A87),ISNUMBER('자료_한국심리'!$B87)),'자료_한국심리'!$A87,"")</f>
        <v/>
      </c>
      <c r="V103">
        <f>IF(AND(ISNUMBER('자료_한국심리'!$D87),ISNUMBER('자료_한국심리'!$E87)),'자료_한국심리'!$D87,"")</f>
        <v/>
      </c>
      <c r="W103">
        <f>IF(AND(ISNUMBER('자료_한국심리'!$G87),ISNUMBER('자료_한국심리'!$H87)),'자료_한국심리'!$G87,"")</f>
        <v/>
      </c>
      <c r="X103">
        <f>IF(AND(ISNUMBER('자료_한국심리'!$J87),ISNUMBER('자료_한국심리'!$K87)),'자료_한국심리'!$J87,"")</f>
        <v/>
      </c>
      <c r="Y103">
        <f>IF(AND(ISNUMBER('자료_한국심리'!$M87),ISNUMBER('자료_한국심리'!$N87)),'자료_한국심리'!$M87,"")</f>
        <v/>
      </c>
    </row>
    <row r="104">
      <c r="A104" s="10">
        <f>IF(86&gt;$E$5,"",SMALL($U$19:$U$4018,$E$6+86))</f>
        <v/>
      </c>
      <c r="B104" s="29">
        <f>IF(A104="","",INDEX('자료_한국심리'!$B$3:$B$4002,MATCH(A104,$U$19:$U$4018,0)))</f>
        <v/>
      </c>
      <c r="C104" s="22">
        <f>""</f>
        <v/>
      </c>
      <c r="D104" s="29">
        <f>IF(A104="","",IFERROR(INDEX('자료_한국심리'!$E$3:$E$4002,MATCH(A104,$V$19:$V$4018,0)),D103))</f>
        <v/>
      </c>
      <c r="E104" s="30">
        <f>IF(A104="","",IFERROR(INDEX('자료_한국심리'!$H$3:$H$4002,MATCH(A104,$W$19:$W$4018,0)),E103))</f>
        <v/>
      </c>
      <c r="F104" s="30">
        <f>IF(A104="","",IFERROR(INDEX('자료_한국심리'!$K$3:$K$4002,MATCH(A104,$X$19:$X$4018,0)),F103))</f>
        <v/>
      </c>
      <c r="G104" s="30">
        <f>IF(AND(ISNUMBER(E104),ISNUMBER(F104)),ROUND(E104-F104,6),"")</f>
        <v/>
      </c>
      <c r="H104" s="25">
        <f>IF(A104="","",IFERROR(INDEX('자료_한국심리'!$N$3:$N$4002,MATCH(A104,$Y$19:$Y$4018,0)),H103))</f>
        <v/>
      </c>
      <c r="I104" s="31">
        <f>IF(AND(ISNUMBER(H104),ISNUMBER(H84)),IF(H84&gt;0,H104/H84-1,""),"")</f>
        <v/>
      </c>
      <c r="J104">
        <f>IF(A104="",0,IF(A104&gt;$B$5,1,0))</f>
        <v/>
      </c>
      <c r="K104" s="29">
        <f>IF(AND(J104=1,ISNUMBER(D104)),D104,"")</f>
        <v/>
      </c>
      <c r="L104" s="30">
        <f>IF(AND(J104=1,ISNUMBER(G104)),G104,"")</f>
        <v/>
      </c>
      <c r="M104" s="22">
        <f>IF(AND(J104=1,ISNUMBER(C104)),C104,"")</f>
        <v/>
      </c>
      <c r="N104" s="31">
        <f>IF(AND(J104=1,ISNUMBER(I104)),I104,"")</f>
        <v/>
      </c>
      <c r="O104" s="11">
        <f>IF(K104="","",100-IF($G$13=1,50,(_xlfn.RANK.AVG(K104,$K$19:$K$1518,1)-1)/($G$13-1)*100))</f>
        <v/>
      </c>
      <c r="P104" s="11">
        <f>IF(L104="","",100-IF($G$14=1,50,(_xlfn.RANK.AVG(L104,$L$19:$L$1518,1)-1)/($G$14-1)*100))</f>
        <v/>
      </c>
      <c r="Q104" s="11">
        <f>IF(M104="","",IF($G$15=1,50,(_xlfn.RANK.AVG(M104,$M$19:$M$1518,1)-1)/($G$15-1)*100))</f>
        <v/>
      </c>
      <c r="R104" s="11">
        <f>IF(N104="","",IF($G$16=1,50,(_xlfn.RANK.AVG(N104,$N$19:$N$1518,1)-1)/($G$16-1)*100))</f>
        <v/>
      </c>
      <c r="S104" s="11">
        <f>IF(COUNT(O104:R104)=4,ROUND(AVERAGE(O104:R104),6),"")</f>
        <v/>
      </c>
      <c r="U104">
        <f>IF(AND(ISNUMBER('자료_한국심리'!$A88),ISNUMBER('자료_한국심리'!$B88)),'자료_한국심리'!$A88,"")</f>
        <v/>
      </c>
      <c r="V104">
        <f>IF(AND(ISNUMBER('자료_한국심리'!$D88),ISNUMBER('자료_한국심리'!$E88)),'자료_한국심리'!$D88,"")</f>
        <v/>
      </c>
      <c r="W104">
        <f>IF(AND(ISNUMBER('자료_한국심리'!$G88),ISNUMBER('자료_한국심리'!$H88)),'자료_한국심리'!$G88,"")</f>
        <v/>
      </c>
      <c r="X104">
        <f>IF(AND(ISNUMBER('자료_한국심리'!$J88),ISNUMBER('자료_한국심리'!$K88)),'자료_한국심리'!$J88,"")</f>
        <v/>
      </c>
      <c r="Y104">
        <f>IF(AND(ISNUMBER('자료_한국심리'!$M88),ISNUMBER('자료_한국심리'!$N88)),'자료_한국심리'!$M88,"")</f>
        <v/>
      </c>
    </row>
    <row r="105">
      <c r="A105" s="10">
        <f>IF(87&gt;$E$5,"",SMALL($U$19:$U$4018,$E$6+87))</f>
        <v/>
      </c>
      <c r="B105" s="29">
        <f>IF(A105="","",INDEX('자료_한국심리'!$B$3:$B$4002,MATCH(A105,$U$19:$U$4018,0)))</f>
        <v/>
      </c>
      <c r="C105" s="22">
        <f>""</f>
        <v/>
      </c>
      <c r="D105" s="29">
        <f>IF(A105="","",IFERROR(INDEX('자료_한국심리'!$E$3:$E$4002,MATCH(A105,$V$19:$V$4018,0)),D104))</f>
        <v/>
      </c>
      <c r="E105" s="30">
        <f>IF(A105="","",IFERROR(INDEX('자료_한국심리'!$H$3:$H$4002,MATCH(A105,$W$19:$W$4018,0)),E104))</f>
        <v/>
      </c>
      <c r="F105" s="30">
        <f>IF(A105="","",IFERROR(INDEX('자료_한국심리'!$K$3:$K$4002,MATCH(A105,$X$19:$X$4018,0)),F104))</f>
        <v/>
      </c>
      <c r="G105" s="30">
        <f>IF(AND(ISNUMBER(E105),ISNUMBER(F105)),ROUND(E105-F105,6),"")</f>
        <v/>
      </c>
      <c r="H105" s="25">
        <f>IF(A105="","",IFERROR(INDEX('자료_한국심리'!$N$3:$N$4002,MATCH(A105,$Y$19:$Y$4018,0)),H104))</f>
        <v/>
      </c>
      <c r="I105" s="31">
        <f>IF(AND(ISNUMBER(H105),ISNUMBER(H85)),IF(H85&gt;0,H105/H85-1,""),"")</f>
        <v/>
      </c>
      <c r="J105">
        <f>IF(A105="",0,IF(A105&gt;$B$5,1,0))</f>
        <v/>
      </c>
      <c r="K105" s="29">
        <f>IF(AND(J105=1,ISNUMBER(D105)),D105,"")</f>
        <v/>
      </c>
      <c r="L105" s="30">
        <f>IF(AND(J105=1,ISNUMBER(G105)),G105,"")</f>
        <v/>
      </c>
      <c r="M105" s="22">
        <f>IF(AND(J105=1,ISNUMBER(C105)),C105,"")</f>
        <v/>
      </c>
      <c r="N105" s="31">
        <f>IF(AND(J105=1,ISNUMBER(I105)),I105,"")</f>
        <v/>
      </c>
      <c r="O105" s="11">
        <f>IF(K105="","",100-IF($G$13=1,50,(_xlfn.RANK.AVG(K105,$K$19:$K$1518,1)-1)/($G$13-1)*100))</f>
        <v/>
      </c>
      <c r="P105" s="11">
        <f>IF(L105="","",100-IF($G$14=1,50,(_xlfn.RANK.AVG(L105,$L$19:$L$1518,1)-1)/($G$14-1)*100))</f>
        <v/>
      </c>
      <c r="Q105" s="11">
        <f>IF(M105="","",IF($G$15=1,50,(_xlfn.RANK.AVG(M105,$M$19:$M$1518,1)-1)/($G$15-1)*100))</f>
        <v/>
      </c>
      <c r="R105" s="11">
        <f>IF(N105="","",IF($G$16=1,50,(_xlfn.RANK.AVG(N105,$N$19:$N$1518,1)-1)/($G$16-1)*100))</f>
        <v/>
      </c>
      <c r="S105" s="11">
        <f>IF(COUNT(O105:R105)=4,ROUND(AVERAGE(O105:R105),6),"")</f>
        <v/>
      </c>
      <c r="U105">
        <f>IF(AND(ISNUMBER('자료_한국심리'!$A89),ISNUMBER('자료_한국심리'!$B89)),'자료_한국심리'!$A89,"")</f>
        <v/>
      </c>
      <c r="V105">
        <f>IF(AND(ISNUMBER('자료_한국심리'!$D89),ISNUMBER('자료_한국심리'!$E89)),'자료_한국심리'!$D89,"")</f>
        <v/>
      </c>
      <c r="W105">
        <f>IF(AND(ISNUMBER('자료_한국심리'!$G89),ISNUMBER('자료_한국심리'!$H89)),'자료_한국심리'!$G89,"")</f>
        <v/>
      </c>
      <c r="X105">
        <f>IF(AND(ISNUMBER('자료_한국심리'!$J89),ISNUMBER('자료_한국심리'!$K89)),'자료_한국심리'!$J89,"")</f>
        <v/>
      </c>
      <c r="Y105">
        <f>IF(AND(ISNUMBER('자료_한국심리'!$M89),ISNUMBER('자료_한국심리'!$N89)),'자료_한국심리'!$M89,"")</f>
        <v/>
      </c>
    </row>
    <row r="106">
      <c r="A106" s="10">
        <f>IF(88&gt;$E$5,"",SMALL($U$19:$U$4018,$E$6+88))</f>
        <v/>
      </c>
      <c r="B106" s="29">
        <f>IF(A106="","",INDEX('자료_한국심리'!$B$3:$B$4002,MATCH(A106,$U$19:$U$4018,0)))</f>
        <v/>
      </c>
      <c r="C106" s="22">
        <f>""</f>
        <v/>
      </c>
      <c r="D106" s="29">
        <f>IF(A106="","",IFERROR(INDEX('자료_한국심리'!$E$3:$E$4002,MATCH(A106,$V$19:$V$4018,0)),D105))</f>
        <v/>
      </c>
      <c r="E106" s="30">
        <f>IF(A106="","",IFERROR(INDEX('자료_한국심리'!$H$3:$H$4002,MATCH(A106,$W$19:$W$4018,0)),E105))</f>
        <v/>
      </c>
      <c r="F106" s="30">
        <f>IF(A106="","",IFERROR(INDEX('자료_한국심리'!$K$3:$K$4002,MATCH(A106,$X$19:$X$4018,0)),F105))</f>
        <v/>
      </c>
      <c r="G106" s="30">
        <f>IF(AND(ISNUMBER(E106),ISNUMBER(F106)),ROUND(E106-F106,6),"")</f>
        <v/>
      </c>
      <c r="H106" s="25">
        <f>IF(A106="","",IFERROR(INDEX('자료_한국심리'!$N$3:$N$4002,MATCH(A106,$Y$19:$Y$4018,0)),H105))</f>
        <v/>
      </c>
      <c r="I106" s="31">
        <f>IF(AND(ISNUMBER(H106),ISNUMBER(H86)),IF(H86&gt;0,H106/H86-1,""),"")</f>
        <v/>
      </c>
      <c r="J106">
        <f>IF(A106="",0,IF(A106&gt;$B$5,1,0))</f>
        <v/>
      </c>
      <c r="K106" s="29">
        <f>IF(AND(J106=1,ISNUMBER(D106)),D106,"")</f>
        <v/>
      </c>
      <c r="L106" s="30">
        <f>IF(AND(J106=1,ISNUMBER(G106)),G106,"")</f>
        <v/>
      </c>
      <c r="M106" s="22">
        <f>IF(AND(J106=1,ISNUMBER(C106)),C106,"")</f>
        <v/>
      </c>
      <c r="N106" s="31">
        <f>IF(AND(J106=1,ISNUMBER(I106)),I106,"")</f>
        <v/>
      </c>
      <c r="O106" s="11">
        <f>IF(K106="","",100-IF($G$13=1,50,(_xlfn.RANK.AVG(K106,$K$19:$K$1518,1)-1)/($G$13-1)*100))</f>
        <v/>
      </c>
      <c r="P106" s="11">
        <f>IF(L106="","",100-IF($G$14=1,50,(_xlfn.RANK.AVG(L106,$L$19:$L$1518,1)-1)/($G$14-1)*100))</f>
        <v/>
      </c>
      <c r="Q106" s="11">
        <f>IF(M106="","",IF($G$15=1,50,(_xlfn.RANK.AVG(M106,$M$19:$M$1518,1)-1)/($G$15-1)*100))</f>
        <v/>
      </c>
      <c r="R106" s="11">
        <f>IF(N106="","",IF($G$16=1,50,(_xlfn.RANK.AVG(N106,$N$19:$N$1518,1)-1)/($G$16-1)*100))</f>
        <v/>
      </c>
      <c r="S106" s="11">
        <f>IF(COUNT(O106:R106)=4,ROUND(AVERAGE(O106:R106),6),"")</f>
        <v/>
      </c>
      <c r="U106">
        <f>IF(AND(ISNUMBER('자료_한국심리'!$A90),ISNUMBER('자료_한국심리'!$B90)),'자료_한국심리'!$A90,"")</f>
        <v/>
      </c>
      <c r="V106">
        <f>IF(AND(ISNUMBER('자료_한국심리'!$D90),ISNUMBER('자료_한국심리'!$E90)),'자료_한국심리'!$D90,"")</f>
        <v/>
      </c>
      <c r="W106">
        <f>IF(AND(ISNUMBER('자료_한국심리'!$G90),ISNUMBER('자료_한국심리'!$H90)),'자료_한국심리'!$G90,"")</f>
        <v/>
      </c>
      <c r="X106">
        <f>IF(AND(ISNUMBER('자료_한국심리'!$J90),ISNUMBER('자료_한국심리'!$K90)),'자료_한국심리'!$J90,"")</f>
        <v/>
      </c>
      <c r="Y106">
        <f>IF(AND(ISNUMBER('자료_한국심리'!$M90),ISNUMBER('자료_한국심리'!$N90)),'자료_한국심리'!$M90,"")</f>
        <v/>
      </c>
    </row>
    <row r="107">
      <c r="A107" s="10">
        <f>IF(89&gt;$E$5,"",SMALL($U$19:$U$4018,$E$6+89))</f>
        <v/>
      </c>
      <c r="B107" s="29">
        <f>IF(A107="","",INDEX('자료_한국심리'!$B$3:$B$4002,MATCH(A107,$U$19:$U$4018,0)))</f>
        <v/>
      </c>
      <c r="C107" s="22">
        <f>""</f>
        <v/>
      </c>
      <c r="D107" s="29">
        <f>IF(A107="","",IFERROR(INDEX('자료_한국심리'!$E$3:$E$4002,MATCH(A107,$V$19:$V$4018,0)),D106))</f>
        <v/>
      </c>
      <c r="E107" s="30">
        <f>IF(A107="","",IFERROR(INDEX('자료_한국심리'!$H$3:$H$4002,MATCH(A107,$W$19:$W$4018,0)),E106))</f>
        <v/>
      </c>
      <c r="F107" s="30">
        <f>IF(A107="","",IFERROR(INDEX('자료_한국심리'!$K$3:$K$4002,MATCH(A107,$X$19:$X$4018,0)),F106))</f>
        <v/>
      </c>
      <c r="G107" s="30">
        <f>IF(AND(ISNUMBER(E107),ISNUMBER(F107)),ROUND(E107-F107,6),"")</f>
        <v/>
      </c>
      <c r="H107" s="25">
        <f>IF(A107="","",IFERROR(INDEX('자료_한국심리'!$N$3:$N$4002,MATCH(A107,$Y$19:$Y$4018,0)),H106))</f>
        <v/>
      </c>
      <c r="I107" s="31">
        <f>IF(AND(ISNUMBER(H107),ISNUMBER(H87)),IF(H87&gt;0,H107/H87-1,""),"")</f>
        <v/>
      </c>
      <c r="J107">
        <f>IF(A107="",0,IF(A107&gt;$B$5,1,0))</f>
        <v/>
      </c>
      <c r="K107" s="29">
        <f>IF(AND(J107=1,ISNUMBER(D107)),D107,"")</f>
        <v/>
      </c>
      <c r="L107" s="30">
        <f>IF(AND(J107=1,ISNUMBER(G107)),G107,"")</f>
        <v/>
      </c>
      <c r="M107" s="22">
        <f>IF(AND(J107=1,ISNUMBER(C107)),C107,"")</f>
        <v/>
      </c>
      <c r="N107" s="31">
        <f>IF(AND(J107=1,ISNUMBER(I107)),I107,"")</f>
        <v/>
      </c>
      <c r="O107" s="11">
        <f>IF(K107="","",100-IF($G$13=1,50,(_xlfn.RANK.AVG(K107,$K$19:$K$1518,1)-1)/($G$13-1)*100))</f>
        <v/>
      </c>
      <c r="P107" s="11">
        <f>IF(L107="","",100-IF($G$14=1,50,(_xlfn.RANK.AVG(L107,$L$19:$L$1518,1)-1)/($G$14-1)*100))</f>
        <v/>
      </c>
      <c r="Q107" s="11">
        <f>IF(M107="","",IF($G$15=1,50,(_xlfn.RANK.AVG(M107,$M$19:$M$1518,1)-1)/($G$15-1)*100))</f>
        <v/>
      </c>
      <c r="R107" s="11">
        <f>IF(N107="","",IF($G$16=1,50,(_xlfn.RANK.AVG(N107,$N$19:$N$1518,1)-1)/($G$16-1)*100))</f>
        <v/>
      </c>
      <c r="S107" s="11">
        <f>IF(COUNT(O107:R107)=4,ROUND(AVERAGE(O107:R107),6),"")</f>
        <v/>
      </c>
      <c r="U107">
        <f>IF(AND(ISNUMBER('자료_한국심리'!$A91),ISNUMBER('자료_한국심리'!$B91)),'자료_한국심리'!$A91,"")</f>
        <v/>
      </c>
      <c r="V107">
        <f>IF(AND(ISNUMBER('자료_한국심리'!$D91),ISNUMBER('자료_한국심리'!$E91)),'자료_한국심리'!$D91,"")</f>
        <v/>
      </c>
      <c r="W107">
        <f>IF(AND(ISNUMBER('자료_한국심리'!$G91),ISNUMBER('자료_한국심리'!$H91)),'자료_한국심리'!$G91,"")</f>
        <v/>
      </c>
      <c r="X107">
        <f>IF(AND(ISNUMBER('자료_한국심리'!$J91),ISNUMBER('자료_한국심리'!$K91)),'자료_한국심리'!$J91,"")</f>
        <v/>
      </c>
      <c r="Y107">
        <f>IF(AND(ISNUMBER('자료_한국심리'!$M91),ISNUMBER('자료_한국심리'!$N91)),'자료_한국심리'!$M91,"")</f>
        <v/>
      </c>
    </row>
    <row r="108">
      <c r="A108" s="10">
        <f>IF(90&gt;$E$5,"",SMALL($U$19:$U$4018,$E$6+90))</f>
        <v/>
      </c>
      <c r="B108" s="29">
        <f>IF(A108="","",INDEX('자료_한국심리'!$B$3:$B$4002,MATCH(A108,$U$19:$U$4018,0)))</f>
        <v/>
      </c>
      <c r="C108" s="22">
        <f>""</f>
        <v/>
      </c>
      <c r="D108" s="29">
        <f>IF(A108="","",IFERROR(INDEX('자료_한국심리'!$E$3:$E$4002,MATCH(A108,$V$19:$V$4018,0)),D107))</f>
        <v/>
      </c>
      <c r="E108" s="30">
        <f>IF(A108="","",IFERROR(INDEX('자료_한국심리'!$H$3:$H$4002,MATCH(A108,$W$19:$W$4018,0)),E107))</f>
        <v/>
      </c>
      <c r="F108" s="30">
        <f>IF(A108="","",IFERROR(INDEX('자료_한국심리'!$K$3:$K$4002,MATCH(A108,$X$19:$X$4018,0)),F107))</f>
        <v/>
      </c>
      <c r="G108" s="30">
        <f>IF(AND(ISNUMBER(E108),ISNUMBER(F108)),ROUND(E108-F108,6),"")</f>
        <v/>
      </c>
      <c r="H108" s="25">
        <f>IF(A108="","",IFERROR(INDEX('자료_한국심리'!$N$3:$N$4002,MATCH(A108,$Y$19:$Y$4018,0)),H107))</f>
        <v/>
      </c>
      <c r="I108" s="31">
        <f>IF(AND(ISNUMBER(H108),ISNUMBER(H88)),IF(H88&gt;0,H108/H88-1,""),"")</f>
        <v/>
      </c>
      <c r="J108">
        <f>IF(A108="",0,IF(A108&gt;$B$5,1,0))</f>
        <v/>
      </c>
      <c r="K108" s="29">
        <f>IF(AND(J108=1,ISNUMBER(D108)),D108,"")</f>
        <v/>
      </c>
      <c r="L108" s="30">
        <f>IF(AND(J108=1,ISNUMBER(G108)),G108,"")</f>
        <v/>
      </c>
      <c r="M108" s="22">
        <f>IF(AND(J108=1,ISNUMBER(C108)),C108,"")</f>
        <v/>
      </c>
      <c r="N108" s="31">
        <f>IF(AND(J108=1,ISNUMBER(I108)),I108,"")</f>
        <v/>
      </c>
      <c r="O108" s="11">
        <f>IF(K108="","",100-IF($G$13=1,50,(_xlfn.RANK.AVG(K108,$K$19:$K$1518,1)-1)/($G$13-1)*100))</f>
        <v/>
      </c>
      <c r="P108" s="11">
        <f>IF(L108="","",100-IF($G$14=1,50,(_xlfn.RANK.AVG(L108,$L$19:$L$1518,1)-1)/($G$14-1)*100))</f>
        <v/>
      </c>
      <c r="Q108" s="11">
        <f>IF(M108="","",IF($G$15=1,50,(_xlfn.RANK.AVG(M108,$M$19:$M$1518,1)-1)/($G$15-1)*100))</f>
        <v/>
      </c>
      <c r="R108" s="11">
        <f>IF(N108="","",IF($G$16=1,50,(_xlfn.RANK.AVG(N108,$N$19:$N$1518,1)-1)/($G$16-1)*100))</f>
        <v/>
      </c>
      <c r="S108" s="11">
        <f>IF(COUNT(O108:R108)=4,ROUND(AVERAGE(O108:R108),6),"")</f>
        <v/>
      </c>
      <c r="U108">
        <f>IF(AND(ISNUMBER('자료_한국심리'!$A92),ISNUMBER('자료_한국심리'!$B92)),'자료_한국심리'!$A92,"")</f>
        <v/>
      </c>
      <c r="V108">
        <f>IF(AND(ISNUMBER('자료_한국심리'!$D92),ISNUMBER('자료_한국심리'!$E92)),'자료_한국심리'!$D92,"")</f>
        <v/>
      </c>
      <c r="W108">
        <f>IF(AND(ISNUMBER('자료_한국심리'!$G92),ISNUMBER('자료_한국심리'!$H92)),'자료_한국심리'!$G92,"")</f>
        <v/>
      </c>
      <c r="X108">
        <f>IF(AND(ISNUMBER('자료_한국심리'!$J92),ISNUMBER('자료_한국심리'!$K92)),'자료_한국심리'!$J92,"")</f>
        <v/>
      </c>
      <c r="Y108">
        <f>IF(AND(ISNUMBER('자료_한국심리'!$M92),ISNUMBER('자료_한국심리'!$N92)),'자료_한국심리'!$M92,"")</f>
        <v/>
      </c>
    </row>
    <row r="109">
      <c r="A109" s="10">
        <f>IF(91&gt;$E$5,"",SMALL($U$19:$U$4018,$E$6+91))</f>
        <v/>
      </c>
      <c r="B109" s="29">
        <f>IF(A109="","",INDEX('자료_한국심리'!$B$3:$B$4002,MATCH(A109,$U$19:$U$4018,0)))</f>
        <v/>
      </c>
      <c r="C109" s="22">
        <f>""</f>
        <v/>
      </c>
      <c r="D109" s="29">
        <f>IF(A109="","",IFERROR(INDEX('자료_한국심리'!$E$3:$E$4002,MATCH(A109,$V$19:$V$4018,0)),D108))</f>
        <v/>
      </c>
      <c r="E109" s="30">
        <f>IF(A109="","",IFERROR(INDEX('자료_한국심리'!$H$3:$H$4002,MATCH(A109,$W$19:$W$4018,0)),E108))</f>
        <v/>
      </c>
      <c r="F109" s="30">
        <f>IF(A109="","",IFERROR(INDEX('자료_한국심리'!$K$3:$K$4002,MATCH(A109,$X$19:$X$4018,0)),F108))</f>
        <v/>
      </c>
      <c r="G109" s="30">
        <f>IF(AND(ISNUMBER(E109),ISNUMBER(F109)),ROUND(E109-F109,6),"")</f>
        <v/>
      </c>
      <c r="H109" s="25">
        <f>IF(A109="","",IFERROR(INDEX('자료_한국심리'!$N$3:$N$4002,MATCH(A109,$Y$19:$Y$4018,0)),H108))</f>
        <v/>
      </c>
      <c r="I109" s="31">
        <f>IF(AND(ISNUMBER(H109),ISNUMBER(H89)),IF(H89&gt;0,H109/H89-1,""),"")</f>
        <v/>
      </c>
      <c r="J109">
        <f>IF(A109="",0,IF(A109&gt;$B$5,1,0))</f>
        <v/>
      </c>
      <c r="K109" s="29">
        <f>IF(AND(J109=1,ISNUMBER(D109)),D109,"")</f>
        <v/>
      </c>
      <c r="L109" s="30">
        <f>IF(AND(J109=1,ISNUMBER(G109)),G109,"")</f>
        <v/>
      </c>
      <c r="M109" s="22">
        <f>IF(AND(J109=1,ISNUMBER(C109)),C109,"")</f>
        <v/>
      </c>
      <c r="N109" s="31">
        <f>IF(AND(J109=1,ISNUMBER(I109)),I109,"")</f>
        <v/>
      </c>
      <c r="O109" s="11">
        <f>IF(K109="","",100-IF($G$13=1,50,(_xlfn.RANK.AVG(K109,$K$19:$K$1518,1)-1)/($G$13-1)*100))</f>
        <v/>
      </c>
      <c r="P109" s="11">
        <f>IF(L109="","",100-IF($G$14=1,50,(_xlfn.RANK.AVG(L109,$L$19:$L$1518,1)-1)/($G$14-1)*100))</f>
        <v/>
      </c>
      <c r="Q109" s="11">
        <f>IF(M109="","",IF($G$15=1,50,(_xlfn.RANK.AVG(M109,$M$19:$M$1518,1)-1)/($G$15-1)*100))</f>
        <v/>
      </c>
      <c r="R109" s="11">
        <f>IF(N109="","",IF($G$16=1,50,(_xlfn.RANK.AVG(N109,$N$19:$N$1518,1)-1)/($G$16-1)*100))</f>
        <v/>
      </c>
      <c r="S109" s="11">
        <f>IF(COUNT(O109:R109)=4,ROUND(AVERAGE(O109:R109),6),"")</f>
        <v/>
      </c>
      <c r="U109">
        <f>IF(AND(ISNUMBER('자료_한국심리'!$A93),ISNUMBER('자료_한국심리'!$B93)),'자료_한국심리'!$A93,"")</f>
        <v/>
      </c>
      <c r="V109">
        <f>IF(AND(ISNUMBER('자료_한국심리'!$D93),ISNUMBER('자료_한국심리'!$E93)),'자료_한국심리'!$D93,"")</f>
        <v/>
      </c>
      <c r="W109">
        <f>IF(AND(ISNUMBER('자료_한국심리'!$G93),ISNUMBER('자료_한국심리'!$H93)),'자료_한국심리'!$G93,"")</f>
        <v/>
      </c>
      <c r="X109">
        <f>IF(AND(ISNUMBER('자료_한국심리'!$J93),ISNUMBER('자료_한국심리'!$K93)),'자료_한국심리'!$J93,"")</f>
        <v/>
      </c>
      <c r="Y109">
        <f>IF(AND(ISNUMBER('자료_한국심리'!$M93),ISNUMBER('자료_한국심리'!$N93)),'자료_한국심리'!$M93,"")</f>
        <v/>
      </c>
    </row>
    <row r="110">
      <c r="A110" s="10">
        <f>IF(92&gt;$E$5,"",SMALL($U$19:$U$4018,$E$6+92))</f>
        <v/>
      </c>
      <c r="B110" s="29">
        <f>IF(A110="","",INDEX('자료_한국심리'!$B$3:$B$4002,MATCH(A110,$U$19:$U$4018,0)))</f>
        <v/>
      </c>
      <c r="C110" s="22">
        <f>""</f>
        <v/>
      </c>
      <c r="D110" s="29">
        <f>IF(A110="","",IFERROR(INDEX('자료_한국심리'!$E$3:$E$4002,MATCH(A110,$V$19:$V$4018,0)),D109))</f>
        <v/>
      </c>
      <c r="E110" s="30">
        <f>IF(A110="","",IFERROR(INDEX('자료_한국심리'!$H$3:$H$4002,MATCH(A110,$W$19:$W$4018,0)),E109))</f>
        <v/>
      </c>
      <c r="F110" s="30">
        <f>IF(A110="","",IFERROR(INDEX('자료_한국심리'!$K$3:$K$4002,MATCH(A110,$X$19:$X$4018,0)),F109))</f>
        <v/>
      </c>
      <c r="G110" s="30">
        <f>IF(AND(ISNUMBER(E110),ISNUMBER(F110)),ROUND(E110-F110,6),"")</f>
        <v/>
      </c>
      <c r="H110" s="25">
        <f>IF(A110="","",IFERROR(INDEX('자료_한국심리'!$N$3:$N$4002,MATCH(A110,$Y$19:$Y$4018,0)),H109))</f>
        <v/>
      </c>
      <c r="I110" s="31">
        <f>IF(AND(ISNUMBER(H110),ISNUMBER(H90)),IF(H90&gt;0,H110/H90-1,""),"")</f>
        <v/>
      </c>
      <c r="J110">
        <f>IF(A110="",0,IF(A110&gt;$B$5,1,0))</f>
        <v/>
      </c>
      <c r="K110" s="29">
        <f>IF(AND(J110=1,ISNUMBER(D110)),D110,"")</f>
        <v/>
      </c>
      <c r="L110" s="30">
        <f>IF(AND(J110=1,ISNUMBER(G110)),G110,"")</f>
        <v/>
      </c>
      <c r="M110" s="22">
        <f>IF(AND(J110=1,ISNUMBER(C110)),C110,"")</f>
        <v/>
      </c>
      <c r="N110" s="31">
        <f>IF(AND(J110=1,ISNUMBER(I110)),I110,"")</f>
        <v/>
      </c>
      <c r="O110" s="11">
        <f>IF(K110="","",100-IF($G$13=1,50,(_xlfn.RANK.AVG(K110,$K$19:$K$1518,1)-1)/($G$13-1)*100))</f>
        <v/>
      </c>
      <c r="P110" s="11">
        <f>IF(L110="","",100-IF($G$14=1,50,(_xlfn.RANK.AVG(L110,$L$19:$L$1518,1)-1)/($G$14-1)*100))</f>
        <v/>
      </c>
      <c r="Q110" s="11">
        <f>IF(M110="","",IF($G$15=1,50,(_xlfn.RANK.AVG(M110,$M$19:$M$1518,1)-1)/($G$15-1)*100))</f>
        <v/>
      </c>
      <c r="R110" s="11">
        <f>IF(N110="","",IF($G$16=1,50,(_xlfn.RANK.AVG(N110,$N$19:$N$1518,1)-1)/($G$16-1)*100))</f>
        <v/>
      </c>
      <c r="S110" s="11">
        <f>IF(COUNT(O110:R110)=4,ROUND(AVERAGE(O110:R110),6),"")</f>
        <v/>
      </c>
      <c r="U110">
        <f>IF(AND(ISNUMBER('자료_한국심리'!$A94),ISNUMBER('자료_한국심리'!$B94)),'자료_한국심리'!$A94,"")</f>
        <v/>
      </c>
      <c r="V110">
        <f>IF(AND(ISNUMBER('자료_한국심리'!$D94),ISNUMBER('자료_한국심리'!$E94)),'자료_한국심리'!$D94,"")</f>
        <v/>
      </c>
      <c r="W110">
        <f>IF(AND(ISNUMBER('자료_한국심리'!$G94),ISNUMBER('자료_한국심리'!$H94)),'자료_한국심리'!$G94,"")</f>
        <v/>
      </c>
      <c r="X110">
        <f>IF(AND(ISNUMBER('자료_한국심리'!$J94),ISNUMBER('자료_한국심리'!$K94)),'자료_한국심리'!$J94,"")</f>
        <v/>
      </c>
      <c r="Y110">
        <f>IF(AND(ISNUMBER('자료_한국심리'!$M94),ISNUMBER('자료_한국심리'!$N94)),'자료_한국심리'!$M94,"")</f>
        <v/>
      </c>
    </row>
    <row r="111">
      <c r="A111" s="10">
        <f>IF(93&gt;$E$5,"",SMALL($U$19:$U$4018,$E$6+93))</f>
        <v/>
      </c>
      <c r="B111" s="29">
        <f>IF(A111="","",INDEX('자료_한국심리'!$B$3:$B$4002,MATCH(A111,$U$19:$U$4018,0)))</f>
        <v/>
      </c>
      <c r="C111" s="22">
        <f>""</f>
        <v/>
      </c>
      <c r="D111" s="29">
        <f>IF(A111="","",IFERROR(INDEX('자료_한국심리'!$E$3:$E$4002,MATCH(A111,$V$19:$V$4018,0)),D110))</f>
        <v/>
      </c>
      <c r="E111" s="30">
        <f>IF(A111="","",IFERROR(INDEX('자료_한국심리'!$H$3:$H$4002,MATCH(A111,$W$19:$W$4018,0)),E110))</f>
        <v/>
      </c>
      <c r="F111" s="30">
        <f>IF(A111="","",IFERROR(INDEX('자료_한국심리'!$K$3:$K$4002,MATCH(A111,$X$19:$X$4018,0)),F110))</f>
        <v/>
      </c>
      <c r="G111" s="30">
        <f>IF(AND(ISNUMBER(E111),ISNUMBER(F111)),ROUND(E111-F111,6),"")</f>
        <v/>
      </c>
      <c r="H111" s="25">
        <f>IF(A111="","",IFERROR(INDEX('자료_한국심리'!$N$3:$N$4002,MATCH(A111,$Y$19:$Y$4018,0)),H110))</f>
        <v/>
      </c>
      <c r="I111" s="31">
        <f>IF(AND(ISNUMBER(H111),ISNUMBER(H91)),IF(H91&gt;0,H111/H91-1,""),"")</f>
        <v/>
      </c>
      <c r="J111">
        <f>IF(A111="",0,IF(A111&gt;$B$5,1,0))</f>
        <v/>
      </c>
      <c r="K111" s="29">
        <f>IF(AND(J111=1,ISNUMBER(D111)),D111,"")</f>
        <v/>
      </c>
      <c r="L111" s="30">
        <f>IF(AND(J111=1,ISNUMBER(G111)),G111,"")</f>
        <v/>
      </c>
      <c r="M111" s="22">
        <f>IF(AND(J111=1,ISNUMBER(C111)),C111,"")</f>
        <v/>
      </c>
      <c r="N111" s="31">
        <f>IF(AND(J111=1,ISNUMBER(I111)),I111,"")</f>
        <v/>
      </c>
      <c r="O111" s="11">
        <f>IF(K111="","",100-IF($G$13=1,50,(_xlfn.RANK.AVG(K111,$K$19:$K$1518,1)-1)/($G$13-1)*100))</f>
        <v/>
      </c>
      <c r="P111" s="11">
        <f>IF(L111="","",100-IF($G$14=1,50,(_xlfn.RANK.AVG(L111,$L$19:$L$1518,1)-1)/($G$14-1)*100))</f>
        <v/>
      </c>
      <c r="Q111" s="11">
        <f>IF(M111="","",IF($G$15=1,50,(_xlfn.RANK.AVG(M111,$M$19:$M$1518,1)-1)/($G$15-1)*100))</f>
        <v/>
      </c>
      <c r="R111" s="11">
        <f>IF(N111="","",IF($G$16=1,50,(_xlfn.RANK.AVG(N111,$N$19:$N$1518,1)-1)/($G$16-1)*100))</f>
        <v/>
      </c>
      <c r="S111" s="11">
        <f>IF(COUNT(O111:R111)=4,ROUND(AVERAGE(O111:R111),6),"")</f>
        <v/>
      </c>
      <c r="U111">
        <f>IF(AND(ISNUMBER('자료_한국심리'!$A95),ISNUMBER('자료_한국심리'!$B95)),'자료_한국심리'!$A95,"")</f>
        <v/>
      </c>
      <c r="V111">
        <f>IF(AND(ISNUMBER('자료_한국심리'!$D95),ISNUMBER('자료_한국심리'!$E95)),'자료_한국심리'!$D95,"")</f>
        <v/>
      </c>
      <c r="W111">
        <f>IF(AND(ISNUMBER('자료_한국심리'!$G95),ISNUMBER('자료_한국심리'!$H95)),'자료_한국심리'!$G95,"")</f>
        <v/>
      </c>
      <c r="X111">
        <f>IF(AND(ISNUMBER('자료_한국심리'!$J95),ISNUMBER('자료_한국심리'!$K95)),'자료_한국심리'!$J95,"")</f>
        <v/>
      </c>
      <c r="Y111">
        <f>IF(AND(ISNUMBER('자료_한국심리'!$M95),ISNUMBER('자료_한국심리'!$N95)),'자료_한국심리'!$M95,"")</f>
        <v/>
      </c>
    </row>
    <row r="112">
      <c r="A112" s="10">
        <f>IF(94&gt;$E$5,"",SMALL($U$19:$U$4018,$E$6+94))</f>
        <v/>
      </c>
      <c r="B112" s="29">
        <f>IF(A112="","",INDEX('자료_한국심리'!$B$3:$B$4002,MATCH(A112,$U$19:$U$4018,0)))</f>
        <v/>
      </c>
      <c r="C112" s="22">
        <f>""</f>
        <v/>
      </c>
      <c r="D112" s="29">
        <f>IF(A112="","",IFERROR(INDEX('자료_한국심리'!$E$3:$E$4002,MATCH(A112,$V$19:$V$4018,0)),D111))</f>
        <v/>
      </c>
      <c r="E112" s="30">
        <f>IF(A112="","",IFERROR(INDEX('자료_한국심리'!$H$3:$H$4002,MATCH(A112,$W$19:$W$4018,0)),E111))</f>
        <v/>
      </c>
      <c r="F112" s="30">
        <f>IF(A112="","",IFERROR(INDEX('자료_한국심리'!$K$3:$K$4002,MATCH(A112,$X$19:$X$4018,0)),F111))</f>
        <v/>
      </c>
      <c r="G112" s="30">
        <f>IF(AND(ISNUMBER(E112),ISNUMBER(F112)),ROUND(E112-F112,6),"")</f>
        <v/>
      </c>
      <c r="H112" s="25">
        <f>IF(A112="","",IFERROR(INDEX('자료_한국심리'!$N$3:$N$4002,MATCH(A112,$Y$19:$Y$4018,0)),H111))</f>
        <v/>
      </c>
      <c r="I112" s="31">
        <f>IF(AND(ISNUMBER(H112),ISNUMBER(H92)),IF(H92&gt;0,H112/H92-1,""),"")</f>
        <v/>
      </c>
      <c r="J112">
        <f>IF(A112="",0,IF(A112&gt;$B$5,1,0))</f>
        <v/>
      </c>
      <c r="K112" s="29">
        <f>IF(AND(J112=1,ISNUMBER(D112)),D112,"")</f>
        <v/>
      </c>
      <c r="L112" s="30">
        <f>IF(AND(J112=1,ISNUMBER(G112)),G112,"")</f>
        <v/>
      </c>
      <c r="M112" s="22">
        <f>IF(AND(J112=1,ISNUMBER(C112)),C112,"")</f>
        <v/>
      </c>
      <c r="N112" s="31">
        <f>IF(AND(J112=1,ISNUMBER(I112)),I112,"")</f>
        <v/>
      </c>
      <c r="O112" s="11">
        <f>IF(K112="","",100-IF($G$13=1,50,(_xlfn.RANK.AVG(K112,$K$19:$K$1518,1)-1)/($G$13-1)*100))</f>
        <v/>
      </c>
      <c r="P112" s="11">
        <f>IF(L112="","",100-IF($G$14=1,50,(_xlfn.RANK.AVG(L112,$L$19:$L$1518,1)-1)/($G$14-1)*100))</f>
        <v/>
      </c>
      <c r="Q112" s="11">
        <f>IF(M112="","",IF($G$15=1,50,(_xlfn.RANK.AVG(M112,$M$19:$M$1518,1)-1)/($G$15-1)*100))</f>
        <v/>
      </c>
      <c r="R112" s="11">
        <f>IF(N112="","",IF($G$16=1,50,(_xlfn.RANK.AVG(N112,$N$19:$N$1518,1)-1)/($G$16-1)*100))</f>
        <v/>
      </c>
      <c r="S112" s="11">
        <f>IF(COUNT(O112:R112)=4,ROUND(AVERAGE(O112:R112),6),"")</f>
        <v/>
      </c>
      <c r="U112">
        <f>IF(AND(ISNUMBER('자료_한국심리'!$A96),ISNUMBER('자료_한국심리'!$B96)),'자료_한국심리'!$A96,"")</f>
        <v/>
      </c>
      <c r="V112">
        <f>IF(AND(ISNUMBER('자료_한국심리'!$D96),ISNUMBER('자료_한국심리'!$E96)),'자료_한국심리'!$D96,"")</f>
        <v/>
      </c>
      <c r="W112">
        <f>IF(AND(ISNUMBER('자료_한국심리'!$G96),ISNUMBER('자료_한국심리'!$H96)),'자료_한국심리'!$G96,"")</f>
        <v/>
      </c>
      <c r="X112">
        <f>IF(AND(ISNUMBER('자료_한국심리'!$J96),ISNUMBER('자료_한국심리'!$K96)),'자료_한국심리'!$J96,"")</f>
        <v/>
      </c>
      <c r="Y112">
        <f>IF(AND(ISNUMBER('자료_한국심리'!$M96),ISNUMBER('자료_한국심리'!$N96)),'자료_한국심리'!$M96,"")</f>
        <v/>
      </c>
    </row>
    <row r="113">
      <c r="A113" s="10">
        <f>IF(95&gt;$E$5,"",SMALL($U$19:$U$4018,$E$6+95))</f>
        <v/>
      </c>
      <c r="B113" s="29">
        <f>IF(A113="","",INDEX('자료_한국심리'!$B$3:$B$4002,MATCH(A113,$U$19:$U$4018,0)))</f>
        <v/>
      </c>
      <c r="C113" s="22">
        <f>""</f>
        <v/>
      </c>
      <c r="D113" s="29">
        <f>IF(A113="","",IFERROR(INDEX('자료_한국심리'!$E$3:$E$4002,MATCH(A113,$V$19:$V$4018,0)),D112))</f>
        <v/>
      </c>
      <c r="E113" s="30">
        <f>IF(A113="","",IFERROR(INDEX('자료_한국심리'!$H$3:$H$4002,MATCH(A113,$W$19:$W$4018,0)),E112))</f>
        <v/>
      </c>
      <c r="F113" s="30">
        <f>IF(A113="","",IFERROR(INDEX('자료_한국심리'!$K$3:$K$4002,MATCH(A113,$X$19:$X$4018,0)),F112))</f>
        <v/>
      </c>
      <c r="G113" s="30">
        <f>IF(AND(ISNUMBER(E113),ISNUMBER(F113)),ROUND(E113-F113,6),"")</f>
        <v/>
      </c>
      <c r="H113" s="25">
        <f>IF(A113="","",IFERROR(INDEX('자료_한국심리'!$N$3:$N$4002,MATCH(A113,$Y$19:$Y$4018,0)),H112))</f>
        <v/>
      </c>
      <c r="I113" s="31">
        <f>IF(AND(ISNUMBER(H113),ISNUMBER(H93)),IF(H93&gt;0,H113/H93-1,""),"")</f>
        <v/>
      </c>
      <c r="J113">
        <f>IF(A113="",0,IF(A113&gt;$B$5,1,0))</f>
        <v/>
      </c>
      <c r="K113" s="29">
        <f>IF(AND(J113=1,ISNUMBER(D113)),D113,"")</f>
        <v/>
      </c>
      <c r="L113" s="30">
        <f>IF(AND(J113=1,ISNUMBER(G113)),G113,"")</f>
        <v/>
      </c>
      <c r="M113" s="22">
        <f>IF(AND(J113=1,ISNUMBER(C113)),C113,"")</f>
        <v/>
      </c>
      <c r="N113" s="31">
        <f>IF(AND(J113=1,ISNUMBER(I113)),I113,"")</f>
        <v/>
      </c>
      <c r="O113" s="11">
        <f>IF(K113="","",100-IF($G$13=1,50,(_xlfn.RANK.AVG(K113,$K$19:$K$1518,1)-1)/($G$13-1)*100))</f>
        <v/>
      </c>
      <c r="P113" s="11">
        <f>IF(L113="","",100-IF($G$14=1,50,(_xlfn.RANK.AVG(L113,$L$19:$L$1518,1)-1)/($G$14-1)*100))</f>
        <v/>
      </c>
      <c r="Q113" s="11">
        <f>IF(M113="","",IF($G$15=1,50,(_xlfn.RANK.AVG(M113,$M$19:$M$1518,1)-1)/($G$15-1)*100))</f>
        <v/>
      </c>
      <c r="R113" s="11">
        <f>IF(N113="","",IF($G$16=1,50,(_xlfn.RANK.AVG(N113,$N$19:$N$1518,1)-1)/($G$16-1)*100))</f>
        <v/>
      </c>
      <c r="S113" s="11">
        <f>IF(COUNT(O113:R113)=4,ROUND(AVERAGE(O113:R113),6),"")</f>
        <v/>
      </c>
      <c r="U113">
        <f>IF(AND(ISNUMBER('자료_한국심리'!$A97),ISNUMBER('자료_한국심리'!$B97)),'자료_한국심리'!$A97,"")</f>
        <v/>
      </c>
      <c r="V113">
        <f>IF(AND(ISNUMBER('자료_한국심리'!$D97),ISNUMBER('자료_한국심리'!$E97)),'자료_한국심리'!$D97,"")</f>
        <v/>
      </c>
      <c r="W113">
        <f>IF(AND(ISNUMBER('자료_한국심리'!$G97),ISNUMBER('자료_한국심리'!$H97)),'자료_한국심리'!$G97,"")</f>
        <v/>
      </c>
      <c r="X113">
        <f>IF(AND(ISNUMBER('자료_한국심리'!$J97),ISNUMBER('자료_한국심리'!$K97)),'자료_한국심리'!$J97,"")</f>
        <v/>
      </c>
      <c r="Y113">
        <f>IF(AND(ISNUMBER('자료_한국심리'!$M97),ISNUMBER('자료_한국심리'!$N97)),'자료_한국심리'!$M97,"")</f>
        <v/>
      </c>
    </row>
    <row r="114">
      <c r="A114" s="10">
        <f>IF(96&gt;$E$5,"",SMALL($U$19:$U$4018,$E$6+96))</f>
        <v/>
      </c>
      <c r="B114" s="29">
        <f>IF(A114="","",INDEX('자료_한국심리'!$B$3:$B$4002,MATCH(A114,$U$19:$U$4018,0)))</f>
        <v/>
      </c>
      <c r="C114" s="22">
        <f>""</f>
        <v/>
      </c>
      <c r="D114" s="29">
        <f>IF(A114="","",IFERROR(INDEX('자료_한국심리'!$E$3:$E$4002,MATCH(A114,$V$19:$V$4018,0)),D113))</f>
        <v/>
      </c>
      <c r="E114" s="30">
        <f>IF(A114="","",IFERROR(INDEX('자료_한국심리'!$H$3:$H$4002,MATCH(A114,$W$19:$W$4018,0)),E113))</f>
        <v/>
      </c>
      <c r="F114" s="30">
        <f>IF(A114="","",IFERROR(INDEX('자료_한국심리'!$K$3:$K$4002,MATCH(A114,$X$19:$X$4018,0)),F113))</f>
        <v/>
      </c>
      <c r="G114" s="30">
        <f>IF(AND(ISNUMBER(E114),ISNUMBER(F114)),ROUND(E114-F114,6),"")</f>
        <v/>
      </c>
      <c r="H114" s="25">
        <f>IF(A114="","",IFERROR(INDEX('자료_한국심리'!$N$3:$N$4002,MATCH(A114,$Y$19:$Y$4018,0)),H113))</f>
        <v/>
      </c>
      <c r="I114" s="31">
        <f>IF(AND(ISNUMBER(H114),ISNUMBER(H94)),IF(H94&gt;0,H114/H94-1,""),"")</f>
        <v/>
      </c>
      <c r="J114">
        <f>IF(A114="",0,IF(A114&gt;$B$5,1,0))</f>
        <v/>
      </c>
      <c r="K114" s="29">
        <f>IF(AND(J114=1,ISNUMBER(D114)),D114,"")</f>
        <v/>
      </c>
      <c r="L114" s="30">
        <f>IF(AND(J114=1,ISNUMBER(G114)),G114,"")</f>
        <v/>
      </c>
      <c r="M114" s="22">
        <f>IF(AND(J114=1,ISNUMBER(C114)),C114,"")</f>
        <v/>
      </c>
      <c r="N114" s="31">
        <f>IF(AND(J114=1,ISNUMBER(I114)),I114,"")</f>
        <v/>
      </c>
      <c r="O114" s="11">
        <f>IF(K114="","",100-IF($G$13=1,50,(_xlfn.RANK.AVG(K114,$K$19:$K$1518,1)-1)/($G$13-1)*100))</f>
        <v/>
      </c>
      <c r="P114" s="11">
        <f>IF(L114="","",100-IF($G$14=1,50,(_xlfn.RANK.AVG(L114,$L$19:$L$1518,1)-1)/($G$14-1)*100))</f>
        <v/>
      </c>
      <c r="Q114" s="11">
        <f>IF(M114="","",IF($G$15=1,50,(_xlfn.RANK.AVG(M114,$M$19:$M$1518,1)-1)/($G$15-1)*100))</f>
        <v/>
      </c>
      <c r="R114" s="11">
        <f>IF(N114="","",IF($G$16=1,50,(_xlfn.RANK.AVG(N114,$N$19:$N$1518,1)-1)/($G$16-1)*100))</f>
        <v/>
      </c>
      <c r="S114" s="11">
        <f>IF(COUNT(O114:R114)=4,ROUND(AVERAGE(O114:R114),6),"")</f>
        <v/>
      </c>
      <c r="U114">
        <f>IF(AND(ISNUMBER('자료_한국심리'!$A98),ISNUMBER('자료_한국심리'!$B98)),'자료_한국심리'!$A98,"")</f>
        <v/>
      </c>
      <c r="V114">
        <f>IF(AND(ISNUMBER('자료_한국심리'!$D98),ISNUMBER('자료_한국심리'!$E98)),'자료_한국심리'!$D98,"")</f>
        <v/>
      </c>
      <c r="W114">
        <f>IF(AND(ISNUMBER('자료_한국심리'!$G98),ISNUMBER('자료_한국심리'!$H98)),'자료_한국심리'!$G98,"")</f>
        <v/>
      </c>
      <c r="X114">
        <f>IF(AND(ISNUMBER('자료_한국심리'!$J98),ISNUMBER('자료_한국심리'!$K98)),'자료_한국심리'!$J98,"")</f>
        <v/>
      </c>
      <c r="Y114">
        <f>IF(AND(ISNUMBER('자료_한국심리'!$M98),ISNUMBER('자료_한국심리'!$N98)),'자료_한국심리'!$M98,"")</f>
        <v/>
      </c>
    </row>
    <row r="115">
      <c r="A115" s="10">
        <f>IF(97&gt;$E$5,"",SMALL($U$19:$U$4018,$E$6+97))</f>
        <v/>
      </c>
      <c r="B115" s="29">
        <f>IF(A115="","",INDEX('자료_한국심리'!$B$3:$B$4002,MATCH(A115,$U$19:$U$4018,0)))</f>
        <v/>
      </c>
      <c r="C115" s="22">
        <f>""</f>
        <v/>
      </c>
      <c r="D115" s="29">
        <f>IF(A115="","",IFERROR(INDEX('자료_한국심리'!$E$3:$E$4002,MATCH(A115,$V$19:$V$4018,0)),D114))</f>
        <v/>
      </c>
      <c r="E115" s="30">
        <f>IF(A115="","",IFERROR(INDEX('자료_한국심리'!$H$3:$H$4002,MATCH(A115,$W$19:$W$4018,0)),E114))</f>
        <v/>
      </c>
      <c r="F115" s="30">
        <f>IF(A115="","",IFERROR(INDEX('자료_한국심리'!$K$3:$K$4002,MATCH(A115,$X$19:$X$4018,0)),F114))</f>
        <v/>
      </c>
      <c r="G115" s="30">
        <f>IF(AND(ISNUMBER(E115),ISNUMBER(F115)),ROUND(E115-F115,6),"")</f>
        <v/>
      </c>
      <c r="H115" s="25">
        <f>IF(A115="","",IFERROR(INDEX('자료_한국심리'!$N$3:$N$4002,MATCH(A115,$Y$19:$Y$4018,0)),H114))</f>
        <v/>
      </c>
      <c r="I115" s="31">
        <f>IF(AND(ISNUMBER(H115),ISNUMBER(H95)),IF(H95&gt;0,H115/H95-1,""),"")</f>
        <v/>
      </c>
      <c r="J115">
        <f>IF(A115="",0,IF(A115&gt;$B$5,1,0))</f>
        <v/>
      </c>
      <c r="K115" s="29">
        <f>IF(AND(J115=1,ISNUMBER(D115)),D115,"")</f>
        <v/>
      </c>
      <c r="L115" s="30">
        <f>IF(AND(J115=1,ISNUMBER(G115)),G115,"")</f>
        <v/>
      </c>
      <c r="M115" s="22">
        <f>IF(AND(J115=1,ISNUMBER(C115)),C115,"")</f>
        <v/>
      </c>
      <c r="N115" s="31">
        <f>IF(AND(J115=1,ISNUMBER(I115)),I115,"")</f>
        <v/>
      </c>
      <c r="O115" s="11">
        <f>IF(K115="","",100-IF($G$13=1,50,(_xlfn.RANK.AVG(K115,$K$19:$K$1518,1)-1)/($G$13-1)*100))</f>
        <v/>
      </c>
      <c r="P115" s="11">
        <f>IF(L115="","",100-IF($G$14=1,50,(_xlfn.RANK.AVG(L115,$L$19:$L$1518,1)-1)/($G$14-1)*100))</f>
        <v/>
      </c>
      <c r="Q115" s="11">
        <f>IF(M115="","",IF($G$15=1,50,(_xlfn.RANK.AVG(M115,$M$19:$M$1518,1)-1)/($G$15-1)*100))</f>
        <v/>
      </c>
      <c r="R115" s="11">
        <f>IF(N115="","",IF($G$16=1,50,(_xlfn.RANK.AVG(N115,$N$19:$N$1518,1)-1)/($G$16-1)*100))</f>
        <v/>
      </c>
      <c r="S115" s="11">
        <f>IF(COUNT(O115:R115)=4,ROUND(AVERAGE(O115:R115),6),"")</f>
        <v/>
      </c>
      <c r="U115">
        <f>IF(AND(ISNUMBER('자료_한국심리'!$A99),ISNUMBER('자료_한국심리'!$B99)),'자료_한국심리'!$A99,"")</f>
        <v/>
      </c>
      <c r="V115">
        <f>IF(AND(ISNUMBER('자료_한국심리'!$D99),ISNUMBER('자료_한국심리'!$E99)),'자료_한국심리'!$D99,"")</f>
        <v/>
      </c>
      <c r="W115">
        <f>IF(AND(ISNUMBER('자료_한국심리'!$G99),ISNUMBER('자료_한국심리'!$H99)),'자료_한국심리'!$G99,"")</f>
        <v/>
      </c>
      <c r="X115">
        <f>IF(AND(ISNUMBER('자료_한국심리'!$J99),ISNUMBER('자료_한국심리'!$K99)),'자료_한국심리'!$J99,"")</f>
        <v/>
      </c>
      <c r="Y115">
        <f>IF(AND(ISNUMBER('자료_한국심리'!$M99),ISNUMBER('자료_한국심리'!$N99)),'자료_한국심리'!$M99,"")</f>
        <v/>
      </c>
    </row>
    <row r="116">
      <c r="A116" s="10">
        <f>IF(98&gt;$E$5,"",SMALL($U$19:$U$4018,$E$6+98))</f>
        <v/>
      </c>
      <c r="B116" s="29">
        <f>IF(A116="","",INDEX('자료_한국심리'!$B$3:$B$4002,MATCH(A116,$U$19:$U$4018,0)))</f>
        <v/>
      </c>
      <c r="C116" s="22">
        <f>""</f>
        <v/>
      </c>
      <c r="D116" s="29">
        <f>IF(A116="","",IFERROR(INDEX('자료_한국심리'!$E$3:$E$4002,MATCH(A116,$V$19:$V$4018,0)),D115))</f>
        <v/>
      </c>
      <c r="E116" s="30">
        <f>IF(A116="","",IFERROR(INDEX('자료_한국심리'!$H$3:$H$4002,MATCH(A116,$W$19:$W$4018,0)),E115))</f>
        <v/>
      </c>
      <c r="F116" s="30">
        <f>IF(A116="","",IFERROR(INDEX('자료_한국심리'!$K$3:$K$4002,MATCH(A116,$X$19:$X$4018,0)),F115))</f>
        <v/>
      </c>
      <c r="G116" s="30">
        <f>IF(AND(ISNUMBER(E116),ISNUMBER(F116)),ROUND(E116-F116,6),"")</f>
        <v/>
      </c>
      <c r="H116" s="25">
        <f>IF(A116="","",IFERROR(INDEX('자료_한국심리'!$N$3:$N$4002,MATCH(A116,$Y$19:$Y$4018,0)),H115))</f>
        <v/>
      </c>
      <c r="I116" s="31">
        <f>IF(AND(ISNUMBER(H116),ISNUMBER(H96)),IF(H96&gt;0,H116/H96-1,""),"")</f>
        <v/>
      </c>
      <c r="J116">
        <f>IF(A116="",0,IF(A116&gt;$B$5,1,0))</f>
        <v/>
      </c>
      <c r="K116" s="29">
        <f>IF(AND(J116=1,ISNUMBER(D116)),D116,"")</f>
        <v/>
      </c>
      <c r="L116" s="30">
        <f>IF(AND(J116=1,ISNUMBER(G116)),G116,"")</f>
        <v/>
      </c>
      <c r="M116" s="22">
        <f>IF(AND(J116=1,ISNUMBER(C116)),C116,"")</f>
        <v/>
      </c>
      <c r="N116" s="31">
        <f>IF(AND(J116=1,ISNUMBER(I116)),I116,"")</f>
        <v/>
      </c>
      <c r="O116" s="11">
        <f>IF(K116="","",100-IF($G$13=1,50,(_xlfn.RANK.AVG(K116,$K$19:$K$1518,1)-1)/($G$13-1)*100))</f>
        <v/>
      </c>
      <c r="P116" s="11">
        <f>IF(L116="","",100-IF($G$14=1,50,(_xlfn.RANK.AVG(L116,$L$19:$L$1518,1)-1)/($G$14-1)*100))</f>
        <v/>
      </c>
      <c r="Q116" s="11">
        <f>IF(M116="","",IF($G$15=1,50,(_xlfn.RANK.AVG(M116,$M$19:$M$1518,1)-1)/($G$15-1)*100))</f>
        <v/>
      </c>
      <c r="R116" s="11">
        <f>IF(N116="","",IF($G$16=1,50,(_xlfn.RANK.AVG(N116,$N$19:$N$1518,1)-1)/($G$16-1)*100))</f>
        <v/>
      </c>
      <c r="S116" s="11">
        <f>IF(COUNT(O116:R116)=4,ROUND(AVERAGE(O116:R116),6),"")</f>
        <v/>
      </c>
      <c r="U116">
        <f>IF(AND(ISNUMBER('자료_한국심리'!$A100),ISNUMBER('자료_한국심리'!$B100)),'자료_한국심리'!$A100,"")</f>
        <v/>
      </c>
      <c r="V116">
        <f>IF(AND(ISNUMBER('자료_한국심리'!$D100),ISNUMBER('자료_한국심리'!$E100)),'자료_한국심리'!$D100,"")</f>
        <v/>
      </c>
      <c r="W116">
        <f>IF(AND(ISNUMBER('자료_한국심리'!$G100),ISNUMBER('자료_한국심리'!$H100)),'자료_한국심리'!$G100,"")</f>
        <v/>
      </c>
      <c r="X116">
        <f>IF(AND(ISNUMBER('자료_한국심리'!$J100),ISNUMBER('자료_한국심리'!$K100)),'자료_한국심리'!$J100,"")</f>
        <v/>
      </c>
      <c r="Y116">
        <f>IF(AND(ISNUMBER('자료_한국심리'!$M100),ISNUMBER('자료_한국심리'!$N100)),'자료_한국심리'!$M100,"")</f>
        <v/>
      </c>
    </row>
    <row r="117">
      <c r="A117" s="10">
        <f>IF(99&gt;$E$5,"",SMALL($U$19:$U$4018,$E$6+99))</f>
        <v/>
      </c>
      <c r="B117" s="29">
        <f>IF(A117="","",INDEX('자료_한국심리'!$B$3:$B$4002,MATCH(A117,$U$19:$U$4018,0)))</f>
        <v/>
      </c>
      <c r="C117" s="22">
        <f>""</f>
        <v/>
      </c>
      <c r="D117" s="29">
        <f>IF(A117="","",IFERROR(INDEX('자료_한국심리'!$E$3:$E$4002,MATCH(A117,$V$19:$V$4018,0)),D116))</f>
        <v/>
      </c>
      <c r="E117" s="30">
        <f>IF(A117="","",IFERROR(INDEX('자료_한국심리'!$H$3:$H$4002,MATCH(A117,$W$19:$W$4018,0)),E116))</f>
        <v/>
      </c>
      <c r="F117" s="30">
        <f>IF(A117="","",IFERROR(INDEX('자료_한국심리'!$K$3:$K$4002,MATCH(A117,$X$19:$X$4018,0)),F116))</f>
        <v/>
      </c>
      <c r="G117" s="30">
        <f>IF(AND(ISNUMBER(E117),ISNUMBER(F117)),ROUND(E117-F117,6),"")</f>
        <v/>
      </c>
      <c r="H117" s="25">
        <f>IF(A117="","",IFERROR(INDEX('자료_한국심리'!$N$3:$N$4002,MATCH(A117,$Y$19:$Y$4018,0)),H116))</f>
        <v/>
      </c>
      <c r="I117" s="31">
        <f>IF(AND(ISNUMBER(H117),ISNUMBER(H97)),IF(H97&gt;0,H117/H97-1,""),"")</f>
        <v/>
      </c>
      <c r="J117">
        <f>IF(A117="",0,IF(A117&gt;$B$5,1,0))</f>
        <v/>
      </c>
      <c r="K117" s="29">
        <f>IF(AND(J117=1,ISNUMBER(D117)),D117,"")</f>
        <v/>
      </c>
      <c r="L117" s="30">
        <f>IF(AND(J117=1,ISNUMBER(G117)),G117,"")</f>
        <v/>
      </c>
      <c r="M117" s="22">
        <f>IF(AND(J117=1,ISNUMBER(C117)),C117,"")</f>
        <v/>
      </c>
      <c r="N117" s="31">
        <f>IF(AND(J117=1,ISNUMBER(I117)),I117,"")</f>
        <v/>
      </c>
      <c r="O117" s="11">
        <f>IF(K117="","",100-IF($G$13=1,50,(_xlfn.RANK.AVG(K117,$K$19:$K$1518,1)-1)/($G$13-1)*100))</f>
        <v/>
      </c>
      <c r="P117" s="11">
        <f>IF(L117="","",100-IF($G$14=1,50,(_xlfn.RANK.AVG(L117,$L$19:$L$1518,1)-1)/($G$14-1)*100))</f>
        <v/>
      </c>
      <c r="Q117" s="11">
        <f>IF(M117="","",IF($G$15=1,50,(_xlfn.RANK.AVG(M117,$M$19:$M$1518,1)-1)/($G$15-1)*100))</f>
        <v/>
      </c>
      <c r="R117" s="11">
        <f>IF(N117="","",IF($G$16=1,50,(_xlfn.RANK.AVG(N117,$N$19:$N$1518,1)-1)/($G$16-1)*100))</f>
        <v/>
      </c>
      <c r="S117" s="11">
        <f>IF(COUNT(O117:R117)=4,ROUND(AVERAGE(O117:R117),6),"")</f>
        <v/>
      </c>
      <c r="U117">
        <f>IF(AND(ISNUMBER('자료_한국심리'!$A101),ISNUMBER('자료_한국심리'!$B101)),'자료_한국심리'!$A101,"")</f>
        <v/>
      </c>
      <c r="V117">
        <f>IF(AND(ISNUMBER('자료_한국심리'!$D101),ISNUMBER('자료_한국심리'!$E101)),'자료_한국심리'!$D101,"")</f>
        <v/>
      </c>
      <c r="W117">
        <f>IF(AND(ISNUMBER('자료_한국심리'!$G101),ISNUMBER('자료_한국심리'!$H101)),'자료_한국심리'!$G101,"")</f>
        <v/>
      </c>
      <c r="X117">
        <f>IF(AND(ISNUMBER('자료_한국심리'!$J101),ISNUMBER('자료_한국심리'!$K101)),'자료_한국심리'!$J101,"")</f>
        <v/>
      </c>
      <c r="Y117">
        <f>IF(AND(ISNUMBER('자료_한국심리'!$M101),ISNUMBER('자료_한국심리'!$N101)),'자료_한국심리'!$M101,"")</f>
        <v/>
      </c>
    </row>
    <row r="118">
      <c r="A118" s="10">
        <f>IF(100&gt;$E$5,"",SMALL($U$19:$U$4018,$E$6+100))</f>
        <v/>
      </c>
      <c r="B118" s="29">
        <f>IF(A118="","",INDEX('자료_한국심리'!$B$3:$B$4002,MATCH(A118,$U$19:$U$4018,0)))</f>
        <v/>
      </c>
      <c r="C118" s="22">
        <f>""</f>
        <v/>
      </c>
      <c r="D118" s="29">
        <f>IF(A118="","",IFERROR(INDEX('자료_한국심리'!$E$3:$E$4002,MATCH(A118,$V$19:$V$4018,0)),D117))</f>
        <v/>
      </c>
      <c r="E118" s="30">
        <f>IF(A118="","",IFERROR(INDEX('자료_한국심리'!$H$3:$H$4002,MATCH(A118,$W$19:$W$4018,0)),E117))</f>
        <v/>
      </c>
      <c r="F118" s="30">
        <f>IF(A118="","",IFERROR(INDEX('자료_한국심리'!$K$3:$K$4002,MATCH(A118,$X$19:$X$4018,0)),F117))</f>
        <v/>
      </c>
      <c r="G118" s="30">
        <f>IF(AND(ISNUMBER(E118),ISNUMBER(F118)),ROUND(E118-F118,6),"")</f>
        <v/>
      </c>
      <c r="H118" s="25">
        <f>IF(A118="","",IFERROR(INDEX('자료_한국심리'!$N$3:$N$4002,MATCH(A118,$Y$19:$Y$4018,0)),H117))</f>
        <v/>
      </c>
      <c r="I118" s="31">
        <f>IF(AND(ISNUMBER(H118),ISNUMBER(H98)),IF(H98&gt;0,H118/H98-1,""),"")</f>
        <v/>
      </c>
      <c r="J118">
        <f>IF(A118="",0,IF(A118&gt;$B$5,1,0))</f>
        <v/>
      </c>
      <c r="K118" s="29">
        <f>IF(AND(J118=1,ISNUMBER(D118)),D118,"")</f>
        <v/>
      </c>
      <c r="L118" s="30">
        <f>IF(AND(J118=1,ISNUMBER(G118)),G118,"")</f>
        <v/>
      </c>
      <c r="M118" s="22">
        <f>IF(AND(J118=1,ISNUMBER(C118)),C118,"")</f>
        <v/>
      </c>
      <c r="N118" s="31">
        <f>IF(AND(J118=1,ISNUMBER(I118)),I118,"")</f>
        <v/>
      </c>
      <c r="O118" s="11">
        <f>IF(K118="","",100-IF($G$13=1,50,(_xlfn.RANK.AVG(K118,$K$19:$K$1518,1)-1)/($G$13-1)*100))</f>
        <v/>
      </c>
      <c r="P118" s="11">
        <f>IF(L118="","",100-IF($G$14=1,50,(_xlfn.RANK.AVG(L118,$L$19:$L$1518,1)-1)/($G$14-1)*100))</f>
        <v/>
      </c>
      <c r="Q118" s="11">
        <f>IF(M118="","",IF($G$15=1,50,(_xlfn.RANK.AVG(M118,$M$19:$M$1518,1)-1)/($G$15-1)*100))</f>
        <v/>
      </c>
      <c r="R118" s="11">
        <f>IF(N118="","",IF($G$16=1,50,(_xlfn.RANK.AVG(N118,$N$19:$N$1518,1)-1)/($G$16-1)*100))</f>
        <v/>
      </c>
      <c r="S118" s="11">
        <f>IF(COUNT(O118:R118)=4,ROUND(AVERAGE(O118:R118),6),"")</f>
        <v/>
      </c>
      <c r="U118">
        <f>IF(AND(ISNUMBER('자료_한국심리'!$A102),ISNUMBER('자료_한국심리'!$B102)),'자료_한국심리'!$A102,"")</f>
        <v/>
      </c>
      <c r="V118">
        <f>IF(AND(ISNUMBER('자료_한국심리'!$D102),ISNUMBER('자료_한국심리'!$E102)),'자료_한국심리'!$D102,"")</f>
        <v/>
      </c>
      <c r="W118">
        <f>IF(AND(ISNUMBER('자료_한국심리'!$G102),ISNUMBER('자료_한국심리'!$H102)),'자료_한국심리'!$G102,"")</f>
        <v/>
      </c>
      <c r="X118">
        <f>IF(AND(ISNUMBER('자료_한국심리'!$J102),ISNUMBER('자료_한국심리'!$K102)),'자료_한국심리'!$J102,"")</f>
        <v/>
      </c>
      <c r="Y118">
        <f>IF(AND(ISNUMBER('자료_한국심리'!$M102),ISNUMBER('자료_한국심리'!$N102)),'자료_한국심리'!$M102,"")</f>
        <v/>
      </c>
    </row>
    <row r="119">
      <c r="A119" s="10">
        <f>IF(101&gt;$E$5,"",SMALL($U$19:$U$4018,$E$6+101))</f>
        <v/>
      </c>
      <c r="B119" s="29">
        <f>IF(A119="","",INDEX('자료_한국심리'!$B$3:$B$4002,MATCH(A119,$U$19:$U$4018,0)))</f>
        <v/>
      </c>
      <c r="C119" s="22">
        <f>""</f>
        <v/>
      </c>
      <c r="D119" s="29">
        <f>IF(A119="","",IFERROR(INDEX('자료_한국심리'!$E$3:$E$4002,MATCH(A119,$V$19:$V$4018,0)),D118))</f>
        <v/>
      </c>
      <c r="E119" s="30">
        <f>IF(A119="","",IFERROR(INDEX('자료_한국심리'!$H$3:$H$4002,MATCH(A119,$W$19:$W$4018,0)),E118))</f>
        <v/>
      </c>
      <c r="F119" s="30">
        <f>IF(A119="","",IFERROR(INDEX('자료_한국심리'!$K$3:$K$4002,MATCH(A119,$X$19:$X$4018,0)),F118))</f>
        <v/>
      </c>
      <c r="G119" s="30">
        <f>IF(AND(ISNUMBER(E119),ISNUMBER(F119)),ROUND(E119-F119,6),"")</f>
        <v/>
      </c>
      <c r="H119" s="25">
        <f>IF(A119="","",IFERROR(INDEX('자료_한국심리'!$N$3:$N$4002,MATCH(A119,$Y$19:$Y$4018,0)),H118))</f>
        <v/>
      </c>
      <c r="I119" s="31">
        <f>IF(AND(ISNUMBER(H119),ISNUMBER(H99)),IF(H99&gt;0,H119/H99-1,""),"")</f>
        <v/>
      </c>
      <c r="J119">
        <f>IF(A119="",0,IF(A119&gt;$B$5,1,0))</f>
        <v/>
      </c>
      <c r="K119" s="29">
        <f>IF(AND(J119=1,ISNUMBER(D119)),D119,"")</f>
        <v/>
      </c>
      <c r="L119" s="30">
        <f>IF(AND(J119=1,ISNUMBER(G119)),G119,"")</f>
        <v/>
      </c>
      <c r="M119" s="22">
        <f>IF(AND(J119=1,ISNUMBER(C119)),C119,"")</f>
        <v/>
      </c>
      <c r="N119" s="31">
        <f>IF(AND(J119=1,ISNUMBER(I119)),I119,"")</f>
        <v/>
      </c>
      <c r="O119" s="11">
        <f>IF(K119="","",100-IF($G$13=1,50,(_xlfn.RANK.AVG(K119,$K$19:$K$1518,1)-1)/($G$13-1)*100))</f>
        <v/>
      </c>
      <c r="P119" s="11">
        <f>IF(L119="","",100-IF($G$14=1,50,(_xlfn.RANK.AVG(L119,$L$19:$L$1518,1)-1)/($G$14-1)*100))</f>
        <v/>
      </c>
      <c r="Q119" s="11">
        <f>IF(M119="","",IF($G$15=1,50,(_xlfn.RANK.AVG(M119,$M$19:$M$1518,1)-1)/($G$15-1)*100))</f>
        <v/>
      </c>
      <c r="R119" s="11">
        <f>IF(N119="","",IF($G$16=1,50,(_xlfn.RANK.AVG(N119,$N$19:$N$1518,1)-1)/($G$16-1)*100))</f>
        <v/>
      </c>
      <c r="S119" s="11">
        <f>IF(COUNT(O119:R119)=4,ROUND(AVERAGE(O119:R119),6),"")</f>
        <v/>
      </c>
      <c r="U119">
        <f>IF(AND(ISNUMBER('자료_한국심리'!$A103),ISNUMBER('자료_한국심리'!$B103)),'자료_한국심리'!$A103,"")</f>
        <v/>
      </c>
      <c r="V119">
        <f>IF(AND(ISNUMBER('자료_한국심리'!$D103),ISNUMBER('자료_한국심리'!$E103)),'자료_한국심리'!$D103,"")</f>
        <v/>
      </c>
      <c r="W119">
        <f>IF(AND(ISNUMBER('자료_한국심리'!$G103),ISNUMBER('자료_한국심리'!$H103)),'자료_한국심리'!$G103,"")</f>
        <v/>
      </c>
      <c r="X119">
        <f>IF(AND(ISNUMBER('자료_한국심리'!$J103),ISNUMBER('자료_한국심리'!$K103)),'자료_한국심리'!$J103,"")</f>
        <v/>
      </c>
      <c r="Y119">
        <f>IF(AND(ISNUMBER('자료_한국심리'!$M103),ISNUMBER('자료_한국심리'!$N103)),'자료_한국심리'!$M103,"")</f>
        <v/>
      </c>
    </row>
    <row r="120">
      <c r="A120" s="10">
        <f>IF(102&gt;$E$5,"",SMALL($U$19:$U$4018,$E$6+102))</f>
        <v/>
      </c>
      <c r="B120" s="29">
        <f>IF(A120="","",INDEX('자료_한국심리'!$B$3:$B$4002,MATCH(A120,$U$19:$U$4018,0)))</f>
        <v/>
      </c>
      <c r="C120" s="22">
        <f>""</f>
        <v/>
      </c>
      <c r="D120" s="29">
        <f>IF(A120="","",IFERROR(INDEX('자료_한국심리'!$E$3:$E$4002,MATCH(A120,$V$19:$V$4018,0)),D119))</f>
        <v/>
      </c>
      <c r="E120" s="30">
        <f>IF(A120="","",IFERROR(INDEX('자료_한국심리'!$H$3:$H$4002,MATCH(A120,$W$19:$W$4018,0)),E119))</f>
        <v/>
      </c>
      <c r="F120" s="30">
        <f>IF(A120="","",IFERROR(INDEX('자료_한국심리'!$K$3:$K$4002,MATCH(A120,$X$19:$X$4018,0)),F119))</f>
        <v/>
      </c>
      <c r="G120" s="30">
        <f>IF(AND(ISNUMBER(E120),ISNUMBER(F120)),ROUND(E120-F120,6),"")</f>
        <v/>
      </c>
      <c r="H120" s="25">
        <f>IF(A120="","",IFERROR(INDEX('자료_한국심리'!$N$3:$N$4002,MATCH(A120,$Y$19:$Y$4018,0)),H119))</f>
        <v/>
      </c>
      <c r="I120" s="31">
        <f>IF(AND(ISNUMBER(H120),ISNUMBER(H100)),IF(H100&gt;0,H120/H100-1,""),"")</f>
        <v/>
      </c>
      <c r="J120">
        <f>IF(A120="",0,IF(A120&gt;$B$5,1,0))</f>
        <v/>
      </c>
      <c r="K120" s="29">
        <f>IF(AND(J120=1,ISNUMBER(D120)),D120,"")</f>
        <v/>
      </c>
      <c r="L120" s="30">
        <f>IF(AND(J120=1,ISNUMBER(G120)),G120,"")</f>
        <v/>
      </c>
      <c r="M120" s="22">
        <f>IF(AND(J120=1,ISNUMBER(C120)),C120,"")</f>
        <v/>
      </c>
      <c r="N120" s="31">
        <f>IF(AND(J120=1,ISNUMBER(I120)),I120,"")</f>
        <v/>
      </c>
      <c r="O120" s="11">
        <f>IF(K120="","",100-IF($G$13=1,50,(_xlfn.RANK.AVG(K120,$K$19:$K$1518,1)-1)/($G$13-1)*100))</f>
        <v/>
      </c>
      <c r="P120" s="11">
        <f>IF(L120="","",100-IF($G$14=1,50,(_xlfn.RANK.AVG(L120,$L$19:$L$1518,1)-1)/($G$14-1)*100))</f>
        <v/>
      </c>
      <c r="Q120" s="11">
        <f>IF(M120="","",IF($G$15=1,50,(_xlfn.RANK.AVG(M120,$M$19:$M$1518,1)-1)/($G$15-1)*100))</f>
        <v/>
      </c>
      <c r="R120" s="11">
        <f>IF(N120="","",IF($G$16=1,50,(_xlfn.RANK.AVG(N120,$N$19:$N$1518,1)-1)/($G$16-1)*100))</f>
        <v/>
      </c>
      <c r="S120" s="11">
        <f>IF(COUNT(O120:R120)=4,ROUND(AVERAGE(O120:R120),6),"")</f>
        <v/>
      </c>
      <c r="U120">
        <f>IF(AND(ISNUMBER('자료_한국심리'!$A104),ISNUMBER('자료_한국심리'!$B104)),'자료_한국심리'!$A104,"")</f>
        <v/>
      </c>
      <c r="V120">
        <f>IF(AND(ISNUMBER('자료_한국심리'!$D104),ISNUMBER('자료_한국심리'!$E104)),'자료_한국심리'!$D104,"")</f>
        <v/>
      </c>
      <c r="W120">
        <f>IF(AND(ISNUMBER('자료_한국심리'!$G104),ISNUMBER('자료_한국심리'!$H104)),'자료_한국심리'!$G104,"")</f>
        <v/>
      </c>
      <c r="X120">
        <f>IF(AND(ISNUMBER('자료_한국심리'!$J104),ISNUMBER('자료_한국심리'!$K104)),'자료_한국심리'!$J104,"")</f>
        <v/>
      </c>
      <c r="Y120">
        <f>IF(AND(ISNUMBER('자료_한국심리'!$M104),ISNUMBER('자료_한국심리'!$N104)),'자료_한국심리'!$M104,"")</f>
        <v/>
      </c>
    </row>
    <row r="121">
      <c r="A121" s="10">
        <f>IF(103&gt;$E$5,"",SMALL($U$19:$U$4018,$E$6+103))</f>
        <v/>
      </c>
      <c r="B121" s="29">
        <f>IF(A121="","",INDEX('자료_한국심리'!$B$3:$B$4002,MATCH(A121,$U$19:$U$4018,0)))</f>
        <v/>
      </c>
      <c r="C121" s="22">
        <f>""</f>
        <v/>
      </c>
      <c r="D121" s="29">
        <f>IF(A121="","",IFERROR(INDEX('자료_한국심리'!$E$3:$E$4002,MATCH(A121,$V$19:$V$4018,0)),D120))</f>
        <v/>
      </c>
      <c r="E121" s="30">
        <f>IF(A121="","",IFERROR(INDEX('자료_한국심리'!$H$3:$H$4002,MATCH(A121,$W$19:$W$4018,0)),E120))</f>
        <v/>
      </c>
      <c r="F121" s="30">
        <f>IF(A121="","",IFERROR(INDEX('자료_한국심리'!$K$3:$K$4002,MATCH(A121,$X$19:$X$4018,0)),F120))</f>
        <v/>
      </c>
      <c r="G121" s="30">
        <f>IF(AND(ISNUMBER(E121),ISNUMBER(F121)),ROUND(E121-F121,6),"")</f>
        <v/>
      </c>
      <c r="H121" s="25">
        <f>IF(A121="","",IFERROR(INDEX('자료_한국심리'!$N$3:$N$4002,MATCH(A121,$Y$19:$Y$4018,0)),H120))</f>
        <v/>
      </c>
      <c r="I121" s="31">
        <f>IF(AND(ISNUMBER(H121),ISNUMBER(H101)),IF(H101&gt;0,H121/H101-1,""),"")</f>
        <v/>
      </c>
      <c r="J121">
        <f>IF(A121="",0,IF(A121&gt;$B$5,1,0))</f>
        <v/>
      </c>
      <c r="K121" s="29">
        <f>IF(AND(J121=1,ISNUMBER(D121)),D121,"")</f>
        <v/>
      </c>
      <c r="L121" s="30">
        <f>IF(AND(J121=1,ISNUMBER(G121)),G121,"")</f>
        <v/>
      </c>
      <c r="M121" s="22">
        <f>IF(AND(J121=1,ISNUMBER(C121)),C121,"")</f>
        <v/>
      </c>
      <c r="N121" s="31">
        <f>IF(AND(J121=1,ISNUMBER(I121)),I121,"")</f>
        <v/>
      </c>
      <c r="O121" s="11">
        <f>IF(K121="","",100-IF($G$13=1,50,(_xlfn.RANK.AVG(K121,$K$19:$K$1518,1)-1)/($G$13-1)*100))</f>
        <v/>
      </c>
      <c r="P121" s="11">
        <f>IF(L121="","",100-IF($G$14=1,50,(_xlfn.RANK.AVG(L121,$L$19:$L$1518,1)-1)/($G$14-1)*100))</f>
        <v/>
      </c>
      <c r="Q121" s="11">
        <f>IF(M121="","",IF($G$15=1,50,(_xlfn.RANK.AVG(M121,$M$19:$M$1518,1)-1)/($G$15-1)*100))</f>
        <v/>
      </c>
      <c r="R121" s="11">
        <f>IF(N121="","",IF($G$16=1,50,(_xlfn.RANK.AVG(N121,$N$19:$N$1518,1)-1)/($G$16-1)*100))</f>
        <v/>
      </c>
      <c r="S121" s="11">
        <f>IF(COUNT(O121:R121)=4,ROUND(AVERAGE(O121:R121),6),"")</f>
        <v/>
      </c>
      <c r="U121">
        <f>IF(AND(ISNUMBER('자료_한국심리'!$A105),ISNUMBER('자료_한국심리'!$B105)),'자료_한국심리'!$A105,"")</f>
        <v/>
      </c>
      <c r="V121">
        <f>IF(AND(ISNUMBER('자료_한국심리'!$D105),ISNUMBER('자료_한국심리'!$E105)),'자료_한국심리'!$D105,"")</f>
        <v/>
      </c>
      <c r="W121">
        <f>IF(AND(ISNUMBER('자료_한국심리'!$G105),ISNUMBER('자료_한국심리'!$H105)),'자료_한국심리'!$G105,"")</f>
        <v/>
      </c>
      <c r="X121">
        <f>IF(AND(ISNUMBER('자료_한국심리'!$J105),ISNUMBER('자료_한국심리'!$K105)),'자료_한국심리'!$J105,"")</f>
        <v/>
      </c>
      <c r="Y121">
        <f>IF(AND(ISNUMBER('자료_한국심리'!$M105),ISNUMBER('자료_한국심리'!$N105)),'자료_한국심리'!$M105,"")</f>
        <v/>
      </c>
    </row>
    <row r="122">
      <c r="A122" s="10">
        <f>IF(104&gt;$E$5,"",SMALL($U$19:$U$4018,$E$6+104))</f>
        <v/>
      </c>
      <c r="B122" s="29">
        <f>IF(A122="","",INDEX('자료_한국심리'!$B$3:$B$4002,MATCH(A122,$U$19:$U$4018,0)))</f>
        <v/>
      </c>
      <c r="C122" s="22">
        <f>""</f>
        <v/>
      </c>
      <c r="D122" s="29">
        <f>IF(A122="","",IFERROR(INDEX('자료_한국심리'!$E$3:$E$4002,MATCH(A122,$V$19:$V$4018,0)),D121))</f>
        <v/>
      </c>
      <c r="E122" s="30">
        <f>IF(A122="","",IFERROR(INDEX('자료_한국심리'!$H$3:$H$4002,MATCH(A122,$W$19:$W$4018,0)),E121))</f>
        <v/>
      </c>
      <c r="F122" s="30">
        <f>IF(A122="","",IFERROR(INDEX('자료_한국심리'!$K$3:$K$4002,MATCH(A122,$X$19:$X$4018,0)),F121))</f>
        <v/>
      </c>
      <c r="G122" s="30">
        <f>IF(AND(ISNUMBER(E122),ISNUMBER(F122)),ROUND(E122-F122,6),"")</f>
        <v/>
      </c>
      <c r="H122" s="25">
        <f>IF(A122="","",IFERROR(INDEX('자료_한국심리'!$N$3:$N$4002,MATCH(A122,$Y$19:$Y$4018,0)),H121))</f>
        <v/>
      </c>
      <c r="I122" s="31">
        <f>IF(AND(ISNUMBER(H122),ISNUMBER(H102)),IF(H102&gt;0,H122/H102-1,""),"")</f>
        <v/>
      </c>
      <c r="J122">
        <f>IF(A122="",0,IF(A122&gt;$B$5,1,0))</f>
        <v/>
      </c>
      <c r="K122" s="29">
        <f>IF(AND(J122=1,ISNUMBER(D122)),D122,"")</f>
        <v/>
      </c>
      <c r="L122" s="30">
        <f>IF(AND(J122=1,ISNUMBER(G122)),G122,"")</f>
        <v/>
      </c>
      <c r="M122" s="22">
        <f>IF(AND(J122=1,ISNUMBER(C122)),C122,"")</f>
        <v/>
      </c>
      <c r="N122" s="31">
        <f>IF(AND(J122=1,ISNUMBER(I122)),I122,"")</f>
        <v/>
      </c>
      <c r="O122" s="11">
        <f>IF(K122="","",100-IF($G$13=1,50,(_xlfn.RANK.AVG(K122,$K$19:$K$1518,1)-1)/($G$13-1)*100))</f>
        <v/>
      </c>
      <c r="P122" s="11">
        <f>IF(L122="","",100-IF($G$14=1,50,(_xlfn.RANK.AVG(L122,$L$19:$L$1518,1)-1)/($G$14-1)*100))</f>
        <v/>
      </c>
      <c r="Q122" s="11">
        <f>IF(M122="","",IF($G$15=1,50,(_xlfn.RANK.AVG(M122,$M$19:$M$1518,1)-1)/($G$15-1)*100))</f>
        <v/>
      </c>
      <c r="R122" s="11">
        <f>IF(N122="","",IF($G$16=1,50,(_xlfn.RANK.AVG(N122,$N$19:$N$1518,1)-1)/($G$16-1)*100))</f>
        <v/>
      </c>
      <c r="S122" s="11">
        <f>IF(COUNT(O122:R122)=4,ROUND(AVERAGE(O122:R122),6),"")</f>
        <v/>
      </c>
      <c r="U122">
        <f>IF(AND(ISNUMBER('자료_한국심리'!$A106),ISNUMBER('자료_한국심리'!$B106)),'자료_한국심리'!$A106,"")</f>
        <v/>
      </c>
      <c r="V122">
        <f>IF(AND(ISNUMBER('자료_한국심리'!$D106),ISNUMBER('자료_한국심리'!$E106)),'자료_한국심리'!$D106,"")</f>
        <v/>
      </c>
      <c r="W122">
        <f>IF(AND(ISNUMBER('자료_한국심리'!$G106),ISNUMBER('자료_한국심리'!$H106)),'자료_한국심리'!$G106,"")</f>
        <v/>
      </c>
      <c r="X122">
        <f>IF(AND(ISNUMBER('자료_한국심리'!$J106),ISNUMBER('자료_한국심리'!$K106)),'자료_한국심리'!$J106,"")</f>
        <v/>
      </c>
      <c r="Y122">
        <f>IF(AND(ISNUMBER('자료_한국심리'!$M106),ISNUMBER('자료_한국심리'!$N106)),'자료_한국심리'!$M106,"")</f>
        <v/>
      </c>
    </row>
    <row r="123">
      <c r="A123" s="10">
        <f>IF(105&gt;$E$5,"",SMALL($U$19:$U$4018,$E$6+105))</f>
        <v/>
      </c>
      <c r="B123" s="29">
        <f>IF(A123="","",INDEX('자료_한국심리'!$B$3:$B$4002,MATCH(A123,$U$19:$U$4018,0)))</f>
        <v/>
      </c>
      <c r="C123" s="22">
        <f>""</f>
        <v/>
      </c>
      <c r="D123" s="29">
        <f>IF(A123="","",IFERROR(INDEX('자료_한국심리'!$E$3:$E$4002,MATCH(A123,$V$19:$V$4018,0)),D122))</f>
        <v/>
      </c>
      <c r="E123" s="30">
        <f>IF(A123="","",IFERROR(INDEX('자료_한국심리'!$H$3:$H$4002,MATCH(A123,$W$19:$W$4018,0)),E122))</f>
        <v/>
      </c>
      <c r="F123" s="30">
        <f>IF(A123="","",IFERROR(INDEX('자료_한국심리'!$K$3:$K$4002,MATCH(A123,$X$19:$X$4018,0)),F122))</f>
        <v/>
      </c>
      <c r="G123" s="30">
        <f>IF(AND(ISNUMBER(E123),ISNUMBER(F123)),ROUND(E123-F123,6),"")</f>
        <v/>
      </c>
      <c r="H123" s="25">
        <f>IF(A123="","",IFERROR(INDEX('자료_한국심리'!$N$3:$N$4002,MATCH(A123,$Y$19:$Y$4018,0)),H122))</f>
        <v/>
      </c>
      <c r="I123" s="31">
        <f>IF(AND(ISNUMBER(H123),ISNUMBER(H103)),IF(H103&gt;0,H123/H103-1,""),"")</f>
        <v/>
      </c>
      <c r="J123">
        <f>IF(A123="",0,IF(A123&gt;$B$5,1,0))</f>
        <v/>
      </c>
      <c r="K123" s="29">
        <f>IF(AND(J123=1,ISNUMBER(D123)),D123,"")</f>
        <v/>
      </c>
      <c r="L123" s="30">
        <f>IF(AND(J123=1,ISNUMBER(G123)),G123,"")</f>
        <v/>
      </c>
      <c r="M123" s="22">
        <f>IF(AND(J123=1,ISNUMBER(C123)),C123,"")</f>
        <v/>
      </c>
      <c r="N123" s="31">
        <f>IF(AND(J123=1,ISNUMBER(I123)),I123,"")</f>
        <v/>
      </c>
      <c r="O123" s="11">
        <f>IF(K123="","",100-IF($G$13=1,50,(_xlfn.RANK.AVG(K123,$K$19:$K$1518,1)-1)/($G$13-1)*100))</f>
        <v/>
      </c>
      <c r="P123" s="11">
        <f>IF(L123="","",100-IF($G$14=1,50,(_xlfn.RANK.AVG(L123,$L$19:$L$1518,1)-1)/($G$14-1)*100))</f>
        <v/>
      </c>
      <c r="Q123" s="11">
        <f>IF(M123="","",IF($G$15=1,50,(_xlfn.RANK.AVG(M123,$M$19:$M$1518,1)-1)/($G$15-1)*100))</f>
        <v/>
      </c>
      <c r="R123" s="11">
        <f>IF(N123="","",IF($G$16=1,50,(_xlfn.RANK.AVG(N123,$N$19:$N$1518,1)-1)/($G$16-1)*100))</f>
        <v/>
      </c>
      <c r="S123" s="11">
        <f>IF(COUNT(O123:R123)=4,ROUND(AVERAGE(O123:R123),6),"")</f>
        <v/>
      </c>
      <c r="U123">
        <f>IF(AND(ISNUMBER('자료_한국심리'!$A107),ISNUMBER('자료_한국심리'!$B107)),'자료_한국심리'!$A107,"")</f>
        <v/>
      </c>
      <c r="V123">
        <f>IF(AND(ISNUMBER('자료_한국심리'!$D107),ISNUMBER('자료_한국심리'!$E107)),'자료_한국심리'!$D107,"")</f>
        <v/>
      </c>
      <c r="W123">
        <f>IF(AND(ISNUMBER('자료_한국심리'!$G107),ISNUMBER('자료_한국심리'!$H107)),'자료_한국심리'!$G107,"")</f>
        <v/>
      </c>
      <c r="X123">
        <f>IF(AND(ISNUMBER('자료_한국심리'!$J107),ISNUMBER('자료_한국심리'!$K107)),'자료_한국심리'!$J107,"")</f>
        <v/>
      </c>
      <c r="Y123">
        <f>IF(AND(ISNUMBER('자료_한국심리'!$M107),ISNUMBER('자료_한국심리'!$N107)),'자료_한국심리'!$M107,"")</f>
        <v/>
      </c>
    </row>
    <row r="124">
      <c r="A124" s="10">
        <f>IF(106&gt;$E$5,"",SMALL($U$19:$U$4018,$E$6+106))</f>
        <v/>
      </c>
      <c r="B124" s="29">
        <f>IF(A124="","",INDEX('자료_한국심리'!$B$3:$B$4002,MATCH(A124,$U$19:$U$4018,0)))</f>
        <v/>
      </c>
      <c r="C124" s="22">
        <f>""</f>
        <v/>
      </c>
      <c r="D124" s="29">
        <f>IF(A124="","",IFERROR(INDEX('자료_한국심리'!$E$3:$E$4002,MATCH(A124,$V$19:$V$4018,0)),D123))</f>
        <v/>
      </c>
      <c r="E124" s="30">
        <f>IF(A124="","",IFERROR(INDEX('자료_한국심리'!$H$3:$H$4002,MATCH(A124,$W$19:$W$4018,0)),E123))</f>
        <v/>
      </c>
      <c r="F124" s="30">
        <f>IF(A124="","",IFERROR(INDEX('자료_한국심리'!$K$3:$K$4002,MATCH(A124,$X$19:$X$4018,0)),F123))</f>
        <v/>
      </c>
      <c r="G124" s="30">
        <f>IF(AND(ISNUMBER(E124),ISNUMBER(F124)),ROUND(E124-F124,6),"")</f>
        <v/>
      </c>
      <c r="H124" s="25">
        <f>IF(A124="","",IFERROR(INDEX('자료_한국심리'!$N$3:$N$4002,MATCH(A124,$Y$19:$Y$4018,0)),H123))</f>
        <v/>
      </c>
      <c r="I124" s="31">
        <f>IF(AND(ISNUMBER(H124),ISNUMBER(H104)),IF(H104&gt;0,H124/H104-1,""),"")</f>
        <v/>
      </c>
      <c r="J124">
        <f>IF(A124="",0,IF(A124&gt;$B$5,1,0))</f>
        <v/>
      </c>
      <c r="K124" s="29">
        <f>IF(AND(J124=1,ISNUMBER(D124)),D124,"")</f>
        <v/>
      </c>
      <c r="L124" s="30">
        <f>IF(AND(J124=1,ISNUMBER(G124)),G124,"")</f>
        <v/>
      </c>
      <c r="M124" s="22">
        <f>IF(AND(J124=1,ISNUMBER(C124)),C124,"")</f>
        <v/>
      </c>
      <c r="N124" s="31">
        <f>IF(AND(J124=1,ISNUMBER(I124)),I124,"")</f>
        <v/>
      </c>
      <c r="O124" s="11">
        <f>IF(K124="","",100-IF($G$13=1,50,(_xlfn.RANK.AVG(K124,$K$19:$K$1518,1)-1)/($G$13-1)*100))</f>
        <v/>
      </c>
      <c r="P124" s="11">
        <f>IF(L124="","",100-IF($G$14=1,50,(_xlfn.RANK.AVG(L124,$L$19:$L$1518,1)-1)/($G$14-1)*100))</f>
        <v/>
      </c>
      <c r="Q124" s="11">
        <f>IF(M124="","",IF($G$15=1,50,(_xlfn.RANK.AVG(M124,$M$19:$M$1518,1)-1)/($G$15-1)*100))</f>
        <v/>
      </c>
      <c r="R124" s="11">
        <f>IF(N124="","",IF($G$16=1,50,(_xlfn.RANK.AVG(N124,$N$19:$N$1518,1)-1)/($G$16-1)*100))</f>
        <v/>
      </c>
      <c r="S124" s="11">
        <f>IF(COUNT(O124:R124)=4,ROUND(AVERAGE(O124:R124),6),"")</f>
        <v/>
      </c>
      <c r="U124">
        <f>IF(AND(ISNUMBER('자료_한국심리'!$A108),ISNUMBER('자료_한국심리'!$B108)),'자료_한국심리'!$A108,"")</f>
        <v/>
      </c>
      <c r="V124">
        <f>IF(AND(ISNUMBER('자료_한국심리'!$D108),ISNUMBER('자료_한국심리'!$E108)),'자료_한국심리'!$D108,"")</f>
        <v/>
      </c>
      <c r="W124">
        <f>IF(AND(ISNUMBER('자료_한국심리'!$G108),ISNUMBER('자료_한국심리'!$H108)),'자료_한국심리'!$G108,"")</f>
        <v/>
      </c>
      <c r="X124">
        <f>IF(AND(ISNUMBER('자료_한국심리'!$J108),ISNUMBER('자료_한국심리'!$K108)),'자료_한국심리'!$J108,"")</f>
        <v/>
      </c>
      <c r="Y124">
        <f>IF(AND(ISNUMBER('자료_한국심리'!$M108),ISNUMBER('자료_한국심리'!$N108)),'자료_한국심리'!$M108,"")</f>
        <v/>
      </c>
    </row>
    <row r="125">
      <c r="A125" s="10">
        <f>IF(107&gt;$E$5,"",SMALL($U$19:$U$4018,$E$6+107))</f>
        <v/>
      </c>
      <c r="B125" s="29">
        <f>IF(A125="","",INDEX('자료_한국심리'!$B$3:$B$4002,MATCH(A125,$U$19:$U$4018,0)))</f>
        <v/>
      </c>
      <c r="C125" s="22">
        <f>""</f>
        <v/>
      </c>
      <c r="D125" s="29">
        <f>IF(A125="","",IFERROR(INDEX('자료_한국심리'!$E$3:$E$4002,MATCH(A125,$V$19:$V$4018,0)),D124))</f>
        <v/>
      </c>
      <c r="E125" s="30">
        <f>IF(A125="","",IFERROR(INDEX('자료_한국심리'!$H$3:$H$4002,MATCH(A125,$W$19:$W$4018,0)),E124))</f>
        <v/>
      </c>
      <c r="F125" s="30">
        <f>IF(A125="","",IFERROR(INDEX('자료_한국심리'!$K$3:$K$4002,MATCH(A125,$X$19:$X$4018,0)),F124))</f>
        <v/>
      </c>
      <c r="G125" s="30">
        <f>IF(AND(ISNUMBER(E125),ISNUMBER(F125)),ROUND(E125-F125,6),"")</f>
        <v/>
      </c>
      <c r="H125" s="25">
        <f>IF(A125="","",IFERROR(INDEX('자료_한국심리'!$N$3:$N$4002,MATCH(A125,$Y$19:$Y$4018,0)),H124))</f>
        <v/>
      </c>
      <c r="I125" s="31">
        <f>IF(AND(ISNUMBER(H125),ISNUMBER(H105)),IF(H105&gt;0,H125/H105-1,""),"")</f>
        <v/>
      </c>
      <c r="J125">
        <f>IF(A125="",0,IF(A125&gt;$B$5,1,0))</f>
        <v/>
      </c>
      <c r="K125" s="29">
        <f>IF(AND(J125=1,ISNUMBER(D125)),D125,"")</f>
        <v/>
      </c>
      <c r="L125" s="30">
        <f>IF(AND(J125=1,ISNUMBER(G125)),G125,"")</f>
        <v/>
      </c>
      <c r="M125" s="22">
        <f>IF(AND(J125=1,ISNUMBER(C125)),C125,"")</f>
        <v/>
      </c>
      <c r="N125" s="31">
        <f>IF(AND(J125=1,ISNUMBER(I125)),I125,"")</f>
        <v/>
      </c>
      <c r="O125" s="11">
        <f>IF(K125="","",100-IF($G$13=1,50,(_xlfn.RANK.AVG(K125,$K$19:$K$1518,1)-1)/($G$13-1)*100))</f>
        <v/>
      </c>
      <c r="P125" s="11">
        <f>IF(L125="","",100-IF($G$14=1,50,(_xlfn.RANK.AVG(L125,$L$19:$L$1518,1)-1)/($G$14-1)*100))</f>
        <v/>
      </c>
      <c r="Q125" s="11">
        <f>IF(M125="","",IF($G$15=1,50,(_xlfn.RANK.AVG(M125,$M$19:$M$1518,1)-1)/($G$15-1)*100))</f>
        <v/>
      </c>
      <c r="R125" s="11">
        <f>IF(N125="","",IF($G$16=1,50,(_xlfn.RANK.AVG(N125,$N$19:$N$1518,1)-1)/($G$16-1)*100))</f>
        <v/>
      </c>
      <c r="S125" s="11">
        <f>IF(COUNT(O125:R125)=4,ROUND(AVERAGE(O125:R125),6),"")</f>
        <v/>
      </c>
      <c r="U125">
        <f>IF(AND(ISNUMBER('자료_한국심리'!$A109),ISNUMBER('자료_한국심리'!$B109)),'자료_한국심리'!$A109,"")</f>
        <v/>
      </c>
      <c r="V125">
        <f>IF(AND(ISNUMBER('자료_한국심리'!$D109),ISNUMBER('자료_한국심리'!$E109)),'자료_한국심리'!$D109,"")</f>
        <v/>
      </c>
      <c r="W125">
        <f>IF(AND(ISNUMBER('자료_한국심리'!$G109),ISNUMBER('자료_한국심리'!$H109)),'자료_한국심리'!$G109,"")</f>
        <v/>
      </c>
      <c r="X125">
        <f>IF(AND(ISNUMBER('자료_한국심리'!$J109),ISNUMBER('자료_한국심리'!$K109)),'자료_한국심리'!$J109,"")</f>
        <v/>
      </c>
      <c r="Y125">
        <f>IF(AND(ISNUMBER('자료_한국심리'!$M109),ISNUMBER('자료_한국심리'!$N109)),'자료_한국심리'!$M109,"")</f>
        <v/>
      </c>
    </row>
    <row r="126">
      <c r="A126" s="10">
        <f>IF(108&gt;$E$5,"",SMALL($U$19:$U$4018,$E$6+108))</f>
        <v/>
      </c>
      <c r="B126" s="29">
        <f>IF(A126="","",INDEX('자료_한국심리'!$B$3:$B$4002,MATCH(A126,$U$19:$U$4018,0)))</f>
        <v/>
      </c>
      <c r="C126" s="22">
        <f>""</f>
        <v/>
      </c>
      <c r="D126" s="29">
        <f>IF(A126="","",IFERROR(INDEX('자료_한국심리'!$E$3:$E$4002,MATCH(A126,$V$19:$V$4018,0)),D125))</f>
        <v/>
      </c>
      <c r="E126" s="30">
        <f>IF(A126="","",IFERROR(INDEX('자료_한국심리'!$H$3:$H$4002,MATCH(A126,$W$19:$W$4018,0)),E125))</f>
        <v/>
      </c>
      <c r="F126" s="30">
        <f>IF(A126="","",IFERROR(INDEX('자료_한국심리'!$K$3:$K$4002,MATCH(A126,$X$19:$X$4018,0)),F125))</f>
        <v/>
      </c>
      <c r="G126" s="30">
        <f>IF(AND(ISNUMBER(E126),ISNUMBER(F126)),ROUND(E126-F126,6),"")</f>
        <v/>
      </c>
      <c r="H126" s="25">
        <f>IF(A126="","",IFERROR(INDEX('자료_한국심리'!$N$3:$N$4002,MATCH(A126,$Y$19:$Y$4018,0)),H125))</f>
        <v/>
      </c>
      <c r="I126" s="31">
        <f>IF(AND(ISNUMBER(H126),ISNUMBER(H106)),IF(H106&gt;0,H126/H106-1,""),"")</f>
        <v/>
      </c>
      <c r="J126">
        <f>IF(A126="",0,IF(A126&gt;$B$5,1,0))</f>
        <v/>
      </c>
      <c r="K126" s="29">
        <f>IF(AND(J126=1,ISNUMBER(D126)),D126,"")</f>
        <v/>
      </c>
      <c r="L126" s="30">
        <f>IF(AND(J126=1,ISNUMBER(G126)),G126,"")</f>
        <v/>
      </c>
      <c r="M126" s="22">
        <f>IF(AND(J126=1,ISNUMBER(C126)),C126,"")</f>
        <v/>
      </c>
      <c r="N126" s="31">
        <f>IF(AND(J126=1,ISNUMBER(I126)),I126,"")</f>
        <v/>
      </c>
      <c r="O126" s="11">
        <f>IF(K126="","",100-IF($G$13=1,50,(_xlfn.RANK.AVG(K126,$K$19:$K$1518,1)-1)/($G$13-1)*100))</f>
        <v/>
      </c>
      <c r="P126" s="11">
        <f>IF(L126="","",100-IF($G$14=1,50,(_xlfn.RANK.AVG(L126,$L$19:$L$1518,1)-1)/($G$14-1)*100))</f>
        <v/>
      </c>
      <c r="Q126" s="11">
        <f>IF(M126="","",IF($G$15=1,50,(_xlfn.RANK.AVG(M126,$M$19:$M$1518,1)-1)/($G$15-1)*100))</f>
        <v/>
      </c>
      <c r="R126" s="11">
        <f>IF(N126="","",IF($G$16=1,50,(_xlfn.RANK.AVG(N126,$N$19:$N$1518,1)-1)/($G$16-1)*100))</f>
        <v/>
      </c>
      <c r="S126" s="11">
        <f>IF(COUNT(O126:R126)=4,ROUND(AVERAGE(O126:R126),6),"")</f>
        <v/>
      </c>
      <c r="U126">
        <f>IF(AND(ISNUMBER('자료_한국심리'!$A110),ISNUMBER('자료_한국심리'!$B110)),'자료_한국심리'!$A110,"")</f>
        <v/>
      </c>
      <c r="V126">
        <f>IF(AND(ISNUMBER('자료_한국심리'!$D110),ISNUMBER('자료_한국심리'!$E110)),'자료_한국심리'!$D110,"")</f>
        <v/>
      </c>
      <c r="W126">
        <f>IF(AND(ISNUMBER('자료_한국심리'!$G110),ISNUMBER('자료_한국심리'!$H110)),'자료_한국심리'!$G110,"")</f>
        <v/>
      </c>
      <c r="X126">
        <f>IF(AND(ISNUMBER('자료_한국심리'!$J110),ISNUMBER('자료_한국심리'!$K110)),'자료_한국심리'!$J110,"")</f>
        <v/>
      </c>
      <c r="Y126">
        <f>IF(AND(ISNUMBER('자료_한국심리'!$M110),ISNUMBER('자료_한국심리'!$N110)),'자료_한국심리'!$M110,"")</f>
        <v/>
      </c>
    </row>
    <row r="127">
      <c r="A127" s="10">
        <f>IF(109&gt;$E$5,"",SMALL($U$19:$U$4018,$E$6+109))</f>
        <v/>
      </c>
      <c r="B127" s="29">
        <f>IF(A127="","",INDEX('자료_한국심리'!$B$3:$B$4002,MATCH(A127,$U$19:$U$4018,0)))</f>
        <v/>
      </c>
      <c r="C127" s="22">
        <f>""</f>
        <v/>
      </c>
      <c r="D127" s="29">
        <f>IF(A127="","",IFERROR(INDEX('자료_한국심리'!$E$3:$E$4002,MATCH(A127,$V$19:$V$4018,0)),D126))</f>
        <v/>
      </c>
      <c r="E127" s="30">
        <f>IF(A127="","",IFERROR(INDEX('자료_한국심리'!$H$3:$H$4002,MATCH(A127,$W$19:$W$4018,0)),E126))</f>
        <v/>
      </c>
      <c r="F127" s="30">
        <f>IF(A127="","",IFERROR(INDEX('자료_한국심리'!$K$3:$K$4002,MATCH(A127,$X$19:$X$4018,0)),F126))</f>
        <v/>
      </c>
      <c r="G127" s="30">
        <f>IF(AND(ISNUMBER(E127),ISNUMBER(F127)),ROUND(E127-F127,6),"")</f>
        <v/>
      </c>
      <c r="H127" s="25">
        <f>IF(A127="","",IFERROR(INDEX('자료_한국심리'!$N$3:$N$4002,MATCH(A127,$Y$19:$Y$4018,0)),H126))</f>
        <v/>
      </c>
      <c r="I127" s="31">
        <f>IF(AND(ISNUMBER(H127),ISNUMBER(H107)),IF(H107&gt;0,H127/H107-1,""),"")</f>
        <v/>
      </c>
      <c r="J127">
        <f>IF(A127="",0,IF(A127&gt;$B$5,1,0))</f>
        <v/>
      </c>
      <c r="K127" s="29">
        <f>IF(AND(J127=1,ISNUMBER(D127)),D127,"")</f>
        <v/>
      </c>
      <c r="L127" s="30">
        <f>IF(AND(J127=1,ISNUMBER(G127)),G127,"")</f>
        <v/>
      </c>
      <c r="M127" s="22">
        <f>IF(AND(J127=1,ISNUMBER(C127)),C127,"")</f>
        <v/>
      </c>
      <c r="N127" s="31">
        <f>IF(AND(J127=1,ISNUMBER(I127)),I127,"")</f>
        <v/>
      </c>
      <c r="O127" s="11">
        <f>IF(K127="","",100-IF($G$13=1,50,(_xlfn.RANK.AVG(K127,$K$19:$K$1518,1)-1)/($G$13-1)*100))</f>
        <v/>
      </c>
      <c r="P127" s="11">
        <f>IF(L127="","",100-IF($G$14=1,50,(_xlfn.RANK.AVG(L127,$L$19:$L$1518,1)-1)/($G$14-1)*100))</f>
        <v/>
      </c>
      <c r="Q127" s="11">
        <f>IF(M127="","",IF($G$15=1,50,(_xlfn.RANK.AVG(M127,$M$19:$M$1518,1)-1)/($G$15-1)*100))</f>
        <v/>
      </c>
      <c r="R127" s="11">
        <f>IF(N127="","",IF($G$16=1,50,(_xlfn.RANK.AVG(N127,$N$19:$N$1518,1)-1)/($G$16-1)*100))</f>
        <v/>
      </c>
      <c r="S127" s="11">
        <f>IF(COUNT(O127:R127)=4,ROUND(AVERAGE(O127:R127),6),"")</f>
        <v/>
      </c>
      <c r="U127">
        <f>IF(AND(ISNUMBER('자료_한국심리'!$A111),ISNUMBER('자료_한국심리'!$B111)),'자료_한국심리'!$A111,"")</f>
        <v/>
      </c>
      <c r="V127">
        <f>IF(AND(ISNUMBER('자료_한국심리'!$D111),ISNUMBER('자료_한국심리'!$E111)),'자료_한국심리'!$D111,"")</f>
        <v/>
      </c>
      <c r="W127">
        <f>IF(AND(ISNUMBER('자료_한국심리'!$G111),ISNUMBER('자료_한국심리'!$H111)),'자료_한국심리'!$G111,"")</f>
        <v/>
      </c>
      <c r="X127">
        <f>IF(AND(ISNUMBER('자료_한국심리'!$J111),ISNUMBER('자료_한국심리'!$K111)),'자료_한국심리'!$J111,"")</f>
        <v/>
      </c>
      <c r="Y127">
        <f>IF(AND(ISNUMBER('자료_한국심리'!$M111),ISNUMBER('자료_한국심리'!$N111)),'자료_한국심리'!$M111,"")</f>
        <v/>
      </c>
    </row>
    <row r="128">
      <c r="A128" s="10">
        <f>IF(110&gt;$E$5,"",SMALL($U$19:$U$4018,$E$6+110))</f>
        <v/>
      </c>
      <c r="B128" s="29">
        <f>IF(A128="","",INDEX('자료_한국심리'!$B$3:$B$4002,MATCH(A128,$U$19:$U$4018,0)))</f>
        <v/>
      </c>
      <c r="C128" s="22">
        <f>""</f>
        <v/>
      </c>
      <c r="D128" s="29">
        <f>IF(A128="","",IFERROR(INDEX('자료_한국심리'!$E$3:$E$4002,MATCH(A128,$V$19:$V$4018,0)),D127))</f>
        <v/>
      </c>
      <c r="E128" s="30">
        <f>IF(A128="","",IFERROR(INDEX('자료_한국심리'!$H$3:$H$4002,MATCH(A128,$W$19:$W$4018,0)),E127))</f>
        <v/>
      </c>
      <c r="F128" s="30">
        <f>IF(A128="","",IFERROR(INDEX('자료_한국심리'!$K$3:$K$4002,MATCH(A128,$X$19:$X$4018,0)),F127))</f>
        <v/>
      </c>
      <c r="G128" s="30">
        <f>IF(AND(ISNUMBER(E128),ISNUMBER(F128)),ROUND(E128-F128,6),"")</f>
        <v/>
      </c>
      <c r="H128" s="25">
        <f>IF(A128="","",IFERROR(INDEX('자료_한국심리'!$N$3:$N$4002,MATCH(A128,$Y$19:$Y$4018,0)),H127))</f>
        <v/>
      </c>
      <c r="I128" s="31">
        <f>IF(AND(ISNUMBER(H128),ISNUMBER(H108)),IF(H108&gt;0,H128/H108-1,""),"")</f>
        <v/>
      </c>
      <c r="J128">
        <f>IF(A128="",0,IF(A128&gt;$B$5,1,0))</f>
        <v/>
      </c>
      <c r="K128" s="29">
        <f>IF(AND(J128=1,ISNUMBER(D128)),D128,"")</f>
        <v/>
      </c>
      <c r="L128" s="30">
        <f>IF(AND(J128=1,ISNUMBER(G128)),G128,"")</f>
        <v/>
      </c>
      <c r="M128" s="22">
        <f>IF(AND(J128=1,ISNUMBER(C128)),C128,"")</f>
        <v/>
      </c>
      <c r="N128" s="31">
        <f>IF(AND(J128=1,ISNUMBER(I128)),I128,"")</f>
        <v/>
      </c>
      <c r="O128" s="11">
        <f>IF(K128="","",100-IF($G$13=1,50,(_xlfn.RANK.AVG(K128,$K$19:$K$1518,1)-1)/($G$13-1)*100))</f>
        <v/>
      </c>
      <c r="P128" s="11">
        <f>IF(L128="","",100-IF($G$14=1,50,(_xlfn.RANK.AVG(L128,$L$19:$L$1518,1)-1)/($G$14-1)*100))</f>
        <v/>
      </c>
      <c r="Q128" s="11">
        <f>IF(M128="","",IF($G$15=1,50,(_xlfn.RANK.AVG(M128,$M$19:$M$1518,1)-1)/($G$15-1)*100))</f>
        <v/>
      </c>
      <c r="R128" s="11">
        <f>IF(N128="","",IF($G$16=1,50,(_xlfn.RANK.AVG(N128,$N$19:$N$1518,1)-1)/($G$16-1)*100))</f>
        <v/>
      </c>
      <c r="S128" s="11">
        <f>IF(COUNT(O128:R128)=4,ROUND(AVERAGE(O128:R128),6),"")</f>
        <v/>
      </c>
      <c r="U128">
        <f>IF(AND(ISNUMBER('자료_한국심리'!$A112),ISNUMBER('자료_한국심리'!$B112)),'자료_한국심리'!$A112,"")</f>
        <v/>
      </c>
      <c r="V128">
        <f>IF(AND(ISNUMBER('자료_한국심리'!$D112),ISNUMBER('자료_한국심리'!$E112)),'자료_한국심리'!$D112,"")</f>
        <v/>
      </c>
      <c r="W128">
        <f>IF(AND(ISNUMBER('자료_한국심리'!$G112),ISNUMBER('자료_한국심리'!$H112)),'자료_한국심리'!$G112,"")</f>
        <v/>
      </c>
      <c r="X128">
        <f>IF(AND(ISNUMBER('자료_한국심리'!$J112),ISNUMBER('자료_한국심리'!$K112)),'자료_한국심리'!$J112,"")</f>
        <v/>
      </c>
      <c r="Y128">
        <f>IF(AND(ISNUMBER('자료_한국심리'!$M112),ISNUMBER('자료_한국심리'!$N112)),'자료_한국심리'!$M112,"")</f>
        <v/>
      </c>
    </row>
    <row r="129">
      <c r="A129" s="10">
        <f>IF(111&gt;$E$5,"",SMALL($U$19:$U$4018,$E$6+111))</f>
        <v/>
      </c>
      <c r="B129" s="29">
        <f>IF(A129="","",INDEX('자료_한국심리'!$B$3:$B$4002,MATCH(A129,$U$19:$U$4018,0)))</f>
        <v/>
      </c>
      <c r="C129" s="22">
        <f>""</f>
        <v/>
      </c>
      <c r="D129" s="29">
        <f>IF(A129="","",IFERROR(INDEX('자료_한국심리'!$E$3:$E$4002,MATCH(A129,$V$19:$V$4018,0)),D128))</f>
        <v/>
      </c>
      <c r="E129" s="30">
        <f>IF(A129="","",IFERROR(INDEX('자료_한국심리'!$H$3:$H$4002,MATCH(A129,$W$19:$W$4018,0)),E128))</f>
        <v/>
      </c>
      <c r="F129" s="30">
        <f>IF(A129="","",IFERROR(INDEX('자료_한국심리'!$K$3:$K$4002,MATCH(A129,$X$19:$X$4018,0)),F128))</f>
        <v/>
      </c>
      <c r="G129" s="30">
        <f>IF(AND(ISNUMBER(E129),ISNUMBER(F129)),ROUND(E129-F129,6),"")</f>
        <v/>
      </c>
      <c r="H129" s="25">
        <f>IF(A129="","",IFERROR(INDEX('자료_한국심리'!$N$3:$N$4002,MATCH(A129,$Y$19:$Y$4018,0)),H128))</f>
        <v/>
      </c>
      <c r="I129" s="31">
        <f>IF(AND(ISNUMBER(H129),ISNUMBER(H109)),IF(H109&gt;0,H129/H109-1,""),"")</f>
        <v/>
      </c>
      <c r="J129">
        <f>IF(A129="",0,IF(A129&gt;$B$5,1,0))</f>
        <v/>
      </c>
      <c r="K129" s="29">
        <f>IF(AND(J129=1,ISNUMBER(D129)),D129,"")</f>
        <v/>
      </c>
      <c r="L129" s="30">
        <f>IF(AND(J129=1,ISNUMBER(G129)),G129,"")</f>
        <v/>
      </c>
      <c r="M129" s="22">
        <f>IF(AND(J129=1,ISNUMBER(C129)),C129,"")</f>
        <v/>
      </c>
      <c r="N129" s="31">
        <f>IF(AND(J129=1,ISNUMBER(I129)),I129,"")</f>
        <v/>
      </c>
      <c r="O129" s="11">
        <f>IF(K129="","",100-IF($G$13=1,50,(_xlfn.RANK.AVG(K129,$K$19:$K$1518,1)-1)/($G$13-1)*100))</f>
        <v/>
      </c>
      <c r="P129" s="11">
        <f>IF(L129="","",100-IF($G$14=1,50,(_xlfn.RANK.AVG(L129,$L$19:$L$1518,1)-1)/($G$14-1)*100))</f>
        <v/>
      </c>
      <c r="Q129" s="11">
        <f>IF(M129="","",IF($G$15=1,50,(_xlfn.RANK.AVG(M129,$M$19:$M$1518,1)-1)/($G$15-1)*100))</f>
        <v/>
      </c>
      <c r="R129" s="11">
        <f>IF(N129="","",IF($G$16=1,50,(_xlfn.RANK.AVG(N129,$N$19:$N$1518,1)-1)/($G$16-1)*100))</f>
        <v/>
      </c>
      <c r="S129" s="11">
        <f>IF(COUNT(O129:R129)=4,ROUND(AVERAGE(O129:R129),6),"")</f>
        <v/>
      </c>
      <c r="U129">
        <f>IF(AND(ISNUMBER('자료_한국심리'!$A113),ISNUMBER('자료_한국심리'!$B113)),'자료_한국심리'!$A113,"")</f>
        <v/>
      </c>
      <c r="V129">
        <f>IF(AND(ISNUMBER('자료_한국심리'!$D113),ISNUMBER('자료_한국심리'!$E113)),'자료_한국심리'!$D113,"")</f>
        <v/>
      </c>
      <c r="W129">
        <f>IF(AND(ISNUMBER('자료_한국심리'!$G113),ISNUMBER('자료_한국심리'!$H113)),'자료_한국심리'!$G113,"")</f>
        <v/>
      </c>
      <c r="X129">
        <f>IF(AND(ISNUMBER('자료_한국심리'!$J113),ISNUMBER('자료_한국심리'!$K113)),'자료_한국심리'!$J113,"")</f>
        <v/>
      </c>
      <c r="Y129">
        <f>IF(AND(ISNUMBER('자료_한국심리'!$M113),ISNUMBER('자료_한국심리'!$N113)),'자료_한국심리'!$M113,"")</f>
        <v/>
      </c>
    </row>
    <row r="130">
      <c r="A130" s="10">
        <f>IF(112&gt;$E$5,"",SMALL($U$19:$U$4018,$E$6+112))</f>
        <v/>
      </c>
      <c r="B130" s="29">
        <f>IF(A130="","",INDEX('자료_한국심리'!$B$3:$B$4002,MATCH(A130,$U$19:$U$4018,0)))</f>
        <v/>
      </c>
      <c r="C130" s="22">
        <f>""</f>
        <v/>
      </c>
      <c r="D130" s="29">
        <f>IF(A130="","",IFERROR(INDEX('자료_한국심리'!$E$3:$E$4002,MATCH(A130,$V$19:$V$4018,0)),D129))</f>
        <v/>
      </c>
      <c r="E130" s="30">
        <f>IF(A130="","",IFERROR(INDEX('자료_한국심리'!$H$3:$H$4002,MATCH(A130,$W$19:$W$4018,0)),E129))</f>
        <v/>
      </c>
      <c r="F130" s="30">
        <f>IF(A130="","",IFERROR(INDEX('자료_한국심리'!$K$3:$K$4002,MATCH(A130,$X$19:$X$4018,0)),F129))</f>
        <v/>
      </c>
      <c r="G130" s="30">
        <f>IF(AND(ISNUMBER(E130),ISNUMBER(F130)),ROUND(E130-F130,6),"")</f>
        <v/>
      </c>
      <c r="H130" s="25">
        <f>IF(A130="","",IFERROR(INDEX('자료_한국심리'!$N$3:$N$4002,MATCH(A130,$Y$19:$Y$4018,0)),H129))</f>
        <v/>
      </c>
      <c r="I130" s="31">
        <f>IF(AND(ISNUMBER(H130),ISNUMBER(H110)),IF(H110&gt;0,H130/H110-1,""),"")</f>
        <v/>
      </c>
      <c r="J130">
        <f>IF(A130="",0,IF(A130&gt;$B$5,1,0))</f>
        <v/>
      </c>
      <c r="K130" s="29">
        <f>IF(AND(J130=1,ISNUMBER(D130)),D130,"")</f>
        <v/>
      </c>
      <c r="L130" s="30">
        <f>IF(AND(J130=1,ISNUMBER(G130)),G130,"")</f>
        <v/>
      </c>
      <c r="M130" s="22">
        <f>IF(AND(J130=1,ISNUMBER(C130)),C130,"")</f>
        <v/>
      </c>
      <c r="N130" s="31">
        <f>IF(AND(J130=1,ISNUMBER(I130)),I130,"")</f>
        <v/>
      </c>
      <c r="O130" s="11">
        <f>IF(K130="","",100-IF($G$13=1,50,(_xlfn.RANK.AVG(K130,$K$19:$K$1518,1)-1)/($G$13-1)*100))</f>
        <v/>
      </c>
      <c r="P130" s="11">
        <f>IF(L130="","",100-IF($G$14=1,50,(_xlfn.RANK.AVG(L130,$L$19:$L$1518,1)-1)/($G$14-1)*100))</f>
        <v/>
      </c>
      <c r="Q130" s="11">
        <f>IF(M130="","",IF($G$15=1,50,(_xlfn.RANK.AVG(M130,$M$19:$M$1518,1)-1)/($G$15-1)*100))</f>
        <v/>
      </c>
      <c r="R130" s="11">
        <f>IF(N130="","",IF($G$16=1,50,(_xlfn.RANK.AVG(N130,$N$19:$N$1518,1)-1)/($G$16-1)*100))</f>
        <v/>
      </c>
      <c r="S130" s="11">
        <f>IF(COUNT(O130:R130)=4,ROUND(AVERAGE(O130:R130),6),"")</f>
        <v/>
      </c>
      <c r="U130">
        <f>IF(AND(ISNUMBER('자료_한국심리'!$A114),ISNUMBER('자료_한국심리'!$B114)),'자료_한국심리'!$A114,"")</f>
        <v/>
      </c>
      <c r="V130">
        <f>IF(AND(ISNUMBER('자료_한국심리'!$D114),ISNUMBER('자료_한국심리'!$E114)),'자료_한국심리'!$D114,"")</f>
        <v/>
      </c>
      <c r="W130">
        <f>IF(AND(ISNUMBER('자료_한국심리'!$G114),ISNUMBER('자료_한국심리'!$H114)),'자료_한국심리'!$G114,"")</f>
        <v/>
      </c>
      <c r="X130">
        <f>IF(AND(ISNUMBER('자료_한국심리'!$J114),ISNUMBER('자료_한국심리'!$K114)),'자료_한국심리'!$J114,"")</f>
        <v/>
      </c>
      <c r="Y130">
        <f>IF(AND(ISNUMBER('자료_한국심리'!$M114),ISNUMBER('자료_한국심리'!$N114)),'자료_한국심리'!$M114,"")</f>
        <v/>
      </c>
    </row>
    <row r="131">
      <c r="A131" s="10">
        <f>IF(113&gt;$E$5,"",SMALL($U$19:$U$4018,$E$6+113))</f>
        <v/>
      </c>
      <c r="B131" s="29">
        <f>IF(A131="","",INDEX('자료_한국심리'!$B$3:$B$4002,MATCH(A131,$U$19:$U$4018,0)))</f>
        <v/>
      </c>
      <c r="C131" s="22">
        <f>""</f>
        <v/>
      </c>
      <c r="D131" s="29">
        <f>IF(A131="","",IFERROR(INDEX('자료_한국심리'!$E$3:$E$4002,MATCH(A131,$V$19:$V$4018,0)),D130))</f>
        <v/>
      </c>
      <c r="E131" s="30">
        <f>IF(A131="","",IFERROR(INDEX('자료_한국심리'!$H$3:$H$4002,MATCH(A131,$W$19:$W$4018,0)),E130))</f>
        <v/>
      </c>
      <c r="F131" s="30">
        <f>IF(A131="","",IFERROR(INDEX('자료_한국심리'!$K$3:$K$4002,MATCH(A131,$X$19:$X$4018,0)),F130))</f>
        <v/>
      </c>
      <c r="G131" s="30">
        <f>IF(AND(ISNUMBER(E131),ISNUMBER(F131)),ROUND(E131-F131,6),"")</f>
        <v/>
      </c>
      <c r="H131" s="25">
        <f>IF(A131="","",IFERROR(INDEX('자료_한국심리'!$N$3:$N$4002,MATCH(A131,$Y$19:$Y$4018,0)),H130))</f>
        <v/>
      </c>
      <c r="I131" s="31">
        <f>IF(AND(ISNUMBER(H131),ISNUMBER(H111)),IF(H111&gt;0,H131/H111-1,""),"")</f>
        <v/>
      </c>
      <c r="J131">
        <f>IF(A131="",0,IF(A131&gt;$B$5,1,0))</f>
        <v/>
      </c>
      <c r="K131" s="29">
        <f>IF(AND(J131=1,ISNUMBER(D131)),D131,"")</f>
        <v/>
      </c>
      <c r="L131" s="30">
        <f>IF(AND(J131=1,ISNUMBER(G131)),G131,"")</f>
        <v/>
      </c>
      <c r="M131" s="22">
        <f>IF(AND(J131=1,ISNUMBER(C131)),C131,"")</f>
        <v/>
      </c>
      <c r="N131" s="31">
        <f>IF(AND(J131=1,ISNUMBER(I131)),I131,"")</f>
        <v/>
      </c>
      <c r="O131" s="11">
        <f>IF(K131="","",100-IF($G$13=1,50,(_xlfn.RANK.AVG(K131,$K$19:$K$1518,1)-1)/($G$13-1)*100))</f>
        <v/>
      </c>
      <c r="P131" s="11">
        <f>IF(L131="","",100-IF($G$14=1,50,(_xlfn.RANK.AVG(L131,$L$19:$L$1518,1)-1)/($G$14-1)*100))</f>
        <v/>
      </c>
      <c r="Q131" s="11">
        <f>IF(M131="","",IF($G$15=1,50,(_xlfn.RANK.AVG(M131,$M$19:$M$1518,1)-1)/($G$15-1)*100))</f>
        <v/>
      </c>
      <c r="R131" s="11">
        <f>IF(N131="","",IF($G$16=1,50,(_xlfn.RANK.AVG(N131,$N$19:$N$1518,1)-1)/($G$16-1)*100))</f>
        <v/>
      </c>
      <c r="S131" s="11">
        <f>IF(COUNT(O131:R131)=4,ROUND(AVERAGE(O131:R131),6),"")</f>
        <v/>
      </c>
      <c r="U131">
        <f>IF(AND(ISNUMBER('자료_한국심리'!$A115),ISNUMBER('자료_한국심리'!$B115)),'자료_한국심리'!$A115,"")</f>
        <v/>
      </c>
      <c r="V131">
        <f>IF(AND(ISNUMBER('자료_한국심리'!$D115),ISNUMBER('자료_한국심리'!$E115)),'자료_한국심리'!$D115,"")</f>
        <v/>
      </c>
      <c r="W131">
        <f>IF(AND(ISNUMBER('자료_한국심리'!$G115),ISNUMBER('자료_한국심리'!$H115)),'자료_한국심리'!$G115,"")</f>
        <v/>
      </c>
      <c r="X131">
        <f>IF(AND(ISNUMBER('자료_한국심리'!$J115),ISNUMBER('자료_한국심리'!$K115)),'자료_한국심리'!$J115,"")</f>
        <v/>
      </c>
      <c r="Y131">
        <f>IF(AND(ISNUMBER('자료_한국심리'!$M115),ISNUMBER('자료_한국심리'!$N115)),'자료_한국심리'!$M115,"")</f>
        <v/>
      </c>
    </row>
    <row r="132">
      <c r="A132" s="10">
        <f>IF(114&gt;$E$5,"",SMALL($U$19:$U$4018,$E$6+114))</f>
        <v/>
      </c>
      <c r="B132" s="29">
        <f>IF(A132="","",INDEX('자료_한국심리'!$B$3:$B$4002,MATCH(A132,$U$19:$U$4018,0)))</f>
        <v/>
      </c>
      <c r="C132" s="22">
        <f>""</f>
        <v/>
      </c>
      <c r="D132" s="29">
        <f>IF(A132="","",IFERROR(INDEX('자료_한국심리'!$E$3:$E$4002,MATCH(A132,$V$19:$V$4018,0)),D131))</f>
        <v/>
      </c>
      <c r="E132" s="30">
        <f>IF(A132="","",IFERROR(INDEX('자료_한국심리'!$H$3:$H$4002,MATCH(A132,$W$19:$W$4018,0)),E131))</f>
        <v/>
      </c>
      <c r="F132" s="30">
        <f>IF(A132="","",IFERROR(INDEX('자료_한국심리'!$K$3:$K$4002,MATCH(A132,$X$19:$X$4018,0)),F131))</f>
        <v/>
      </c>
      <c r="G132" s="30">
        <f>IF(AND(ISNUMBER(E132),ISNUMBER(F132)),ROUND(E132-F132,6),"")</f>
        <v/>
      </c>
      <c r="H132" s="25">
        <f>IF(A132="","",IFERROR(INDEX('자료_한국심리'!$N$3:$N$4002,MATCH(A132,$Y$19:$Y$4018,0)),H131))</f>
        <v/>
      </c>
      <c r="I132" s="31">
        <f>IF(AND(ISNUMBER(H132),ISNUMBER(H112)),IF(H112&gt;0,H132/H112-1,""),"")</f>
        <v/>
      </c>
      <c r="J132">
        <f>IF(A132="",0,IF(A132&gt;$B$5,1,0))</f>
        <v/>
      </c>
      <c r="K132" s="29">
        <f>IF(AND(J132=1,ISNUMBER(D132)),D132,"")</f>
        <v/>
      </c>
      <c r="L132" s="30">
        <f>IF(AND(J132=1,ISNUMBER(G132)),G132,"")</f>
        <v/>
      </c>
      <c r="M132" s="22">
        <f>IF(AND(J132=1,ISNUMBER(C132)),C132,"")</f>
        <v/>
      </c>
      <c r="N132" s="31">
        <f>IF(AND(J132=1,ISNUMBER(I132)),I132,"")</f>
        <v/>
      </c>
      <c r="O132" s="11">
        <f>IF(K132="","",100-IF($G$13=1,50,(_xlfn.RANK.AVG(K132,$K$19:$K$1518,1)-1)/($G$13-1)*100))</f>
        <v/>
      </c>
      <c r="P132" s="11">
        <f>IF(L132="","",100-IF($G$14=1,50,(_xlfn.RANK.AVG(L132,$L$19:$L$1518,1)-1)/($G$14-1)*100))</f>
        <v/>
      </c>
      <c r="Q132" s="11">
        <f>IF(M132="","",IF($G$15=1,50,(_xlfn.RANK.AVG(M132,$M$19:$M$1518,1)-1)/($G$15-1)*100))</f>
        <v/>
      </c>
      <c r="R132" s="11">
        <f>IF(N132="","",IF($G$16=1,50,(_xlfn.RANK.AVG(N132,$N$19:$N$1518,1)-1)/($G$16-1)*100))</f>
        <v/>
      </c>
      <c r="S132" s="11">
        <f>IF(COUNT(O132:R132)=4,ROUND(AVERAGE(O132:R132),6),"")</f>
        <v/>
      </c>
      <c r="U132">
        <f>IF(AND(ISNUMBER('자료_한국심리'!$A116),ISNUMBER('자료_한국심리'!$B116)),'자료_한국심리'!$A116,"")</f>
        <v/>
      </c>
      <c r="V132">
        <f>IF(AND(ISNUMBER('자료_한국심리'!$D116),ISNUMBER('자료_한국심리'!$E116)),'자료_한국심리'!$D116,"")</f>
        <v/>
      </c>
      <c r="W132">
        <f>IF(AND(ISNUMBER('자료_한국심리'!$G116),ISNUMBER('자료_한국심리'!$H116)),'자료_한국심리'!$G116,"")</f>
        <v/>
      </c>
      <c r="X132">
        <f>IF(AND(ISNUMBER('자료_한국심리'!$J116),ISNUMBER('자료_한국심리'!$K116)),'자료_한국심리'!$J116,"")</f>
        <v/>
      </c>
      <c r="Y132">
        <f>IF(AND(ISNUMBER('자료_한국심리'!$M116),ISNUMBER('자료_한국심리'!$N116)),'자료_한국심리'!$M116,"")</f>
        <v/>
      </c>
    </row>
    <row r="133">
      <c r="A133" s="10">
        <f>IF(115&gt;$E$5,"",SMALL($U$19:$U$4018,$E$6+115))</f>
        <v/>
      </c>
      <c r="B133" s="29">
        <f>IF(A133="","",INDEX('자료_한국심리'!$B$3:$B$4002,MATCH(A133,$U$19:$U$4018,0)))</f>
        <v/>
      </c>
      <c r="C133" s="22">
        <f>""</f>
        <v/>
      </c>
      <c r="D133" s="29">
        <f>IF(A133="","",IFERROR(INDEX('자료_한국심리'!$E$3:$E$4002,MATCH(A133,$V$19:$V$4018,0)),D132))</f>
        <v/>
      </c>
      <c r="E133" s="30">
        <f>IF(A133="","",IFERROR(INDEX('자료_한국심리'!$H$3:$H$4002,MATCH(A133,$W$19:$W$4018,0)),E132))</f>
        <v/>
      </c>
      <c r="F133" s="30">
        <f>IF(A133="","",IFERROR(INDEX('자료_한국심리'!$K$3:$K$4002,MATCH(A133,$X$19:$X$4018,0)),F132))</f>
        <v/>
      </c>
      <c r="G133" s="30">
        <f>IF(AND(ISNUMBER(E133),ISNUMBER(F133)),ROUND(E133-F133,6),"")</f>
        <v/>
      </c>
      <c r="H133" s="25">
        <f>IF(A133="","",IFERROR(INDEX('자료_한국심리'!$N$3:$N$4002,MATCH(A133,$Y$19:$Y$4018,0)),H132))</f>
        <v/>
      </c>
      <c r="I133" s="31">
        <f>IF(AND(ISNUMBER(H133),ISNUMBER(H113)),IF(H113&gt;0,H133/H113-1,""),"")</f>
        <v/>
      </c>
      <c r="J133">
        <f>IF(A133="",0,IF(A133&gt;$B$5,1,0))</f>
        <v/>
      </c>
      <c r="K133" s="29">
        <f>IF(AND(J133=1,ISNUMBER(D133)),D133,"")</f>
        <v/>
      </c>
      <c r="L133" s="30">
        <f>IF(AND(J133=1,ISNUMBER(G133)),G133,"")</f>
        <v/>
      </c>
      <c r="M133" s="22">
        <f>IF(AND(J133=1,ISNUMBER(C133)),C133,"")</f>
        <v/>
      </c>
      <c r="N133" s="31">
        <f>IF(AND(J133=1,ISNUMBER(I133)),I133,"")</f>
        <v/>
      </c>
      <c r="O133" s="11">
        <f>IF(K133="","",100-IF($G$13=1,50,(_xlfn.RANK.AVG(K133,$K$19:$K$1518,1)-1)/($G$13-1)*100))</f>
        <v/>
      </c>
      <c r="P133" s="11">
        <f>IF(L133="","",100-IF($G$14=1,50,(_xlfn.RANK.AVG(L133,$L$19:$L$1518,1)-1)/($G$14-1)*100))</f>
        <v/>
      </c>
      <c r="Q133" s="11">
        <f>IF(M133="","",IF($G$15=1,50,(_xlfn.RANK.AVG(M133,$M$19:$M$1518,1)-1)/($G$15-1)*100))</f>
        <v/>
      </c>
      <c r="R133" s="11">
        <f>IF(N133="","",IF($G$16=1,50,(_xlfn.RANK.AVG(N133,$N$19:$N$1518,1)-1)/($G$16-1)*100))</f>
        <v/>
      </c>
      <c r="S133" s="11">
        <f>IF(COUNT(O133:R133)=4,ROUND(AVERAGE(O133:R133),6),"")</f>
        <v/>
      </c>
      <c r="U133">
        <f>IF(AND(ISNUMBER('자료_한국심리'!$A117),ISNUMBER('자료_한국심리'!$B117)),'자료_한국심리'!$A117,"")</f>
        <v/>
      </c>
      <c r="V133">
        <f>IF(AND(ISNUMBER('자료_한국심리'!$D117),ISNUMBER('자료_한국심리'!$E117)),'자료_한국심리'!$D117,"")</f>
        <v/>
      </c>
      <c r="W133">
        <f>IF(AND(ISNUMBER('자료_한국심리'!$G117),ISNUMBER('자료_한국심리'!$H117)),'자료_한국심리'!$G117,"")</f>
        <v/>
      </c>
      <c r="X133">
        <f>IF(AND(ISNUMBER('자료_한국심리'!$J117),ISNUMBER('자료_한국심리'!$K117)),'자료_한국심리'!$J117,"")</f>
        <v/>
      </c>
      <c r="Y133">
        <f>IF(AND(ISNUMBER('자료_한국심리'!$M117),ISNUMBER('자료_한국심리'!$N117)),'자료_한국심리'!$M117,"")</f>
        <v/>
      </c>
    </row>
    <row r="134">
      <c r="A134" s="10">
        <f>IF(116&gt;$E$5,"",SMALL($U$19:$U$4018,$E$6+116))</f>
        <v/>
      </c>
      <c r="B134" s="29">
        <f>IF(A134="","",INDEX('자료_한국심리'!$B$3:$B$4002,MATCH(A134,$U$19:$U$4018,0)))</f>
        <v/>
      </c>
      <c r="C134" s="22">
        <f>""</f>
        <v/>
      </c>
      <c r="D134" s="29">
        <f>IF(A134="","",IFERROR(INDEX('자료_한국심리'!$E$3:$E$4002,MATCH(A134,$V$19:$V$4018,0)),D133))</f>
        <v/>
      </c>
      <c r="E134" s="30">
        <f>IF(A134="","",IFERROR(INDEX('자료_한국심리'!$H$3:$H$4002,MATCH(A134,$W$19:$W$4018,0)),E133))</f>
        <v/>
      </c>
      <c r="F134" s="30">
        <f>IF(A134="","",IFERROR(INDEX('자료_한국심리'!$K$3:$K$4002,MATCH(A134,$X$19:$X$4018,0)),F133))</f>
        <v/>
      </c>
      <c r="G134" s="30">
        <f>IF(AND(ISNUMBER(E134),ISNUMBER(F134)),ROUND(E134-F134,6),"")</f>
        <v/>
      </c>
      <c r="H134" s="25">
        <f>IF(A134="","",IFERROR(INDEX('자료_한국심리'!$N$3:$N$4002,MATCH(A134,$Y$19:$Y$4018,0)),H133))</f>
        <v/>
      </c>
      <c r="I134" s="31">
        <f>IF(AND(ISNUMBER(H134),ISNUMBER(H114)),IF(H114&gt;0,H134/H114-1,""),"")</f>
        <v/>
      </c>
      <c r="J134">
        <f>IF(A134="",0,IF(A134&gt;$B$5,1,0))</f>
        <v/>
      </c>
      <c r="K134" s="29">
        <f>IF(AND(J134=1,ISNUMBER(D134)),D134,"")</f>
        <v/>
      </c>
      <c r="L134" s="30">
        <f>IF(AND(J134=1,ISNUMBER(G134)),G134,"")</f>
        <v/>
      </c>
      <c r="M134" s="22">
        <f>IF(AND(J134=1,ISNUMBER(C134)),C134,"")</f>
        <v/>
      </c>
      <c r="N134" s="31">
        <f>IF(AND(J134=1,ISNUMBER(I134)),I134,"")</f>
        <v/>
      </c>
      <c r="O134" s="11">
        <f>IF(K134="","",100-IF($G$13=1,50,(_xlfn.RANK.AVG(K134,$K$19:$K$1518,1)-1)/($G$13-1)*100))</f>
        <v/>
      </c>
      <c r="P134" s="11">
        <f>IF(L134="","",100-IF($G$14=1,50,(_xlfn.RANK.AVG(L134,$L$19:$L$1518,1)-1)/($G$14-1)*100))</f>
        <v/>
      </c>
      <c r="Q134" s="11">
        <f>IF(M134="","",IF($G$15=1,50,(_xlfn.RANK.AVG(M134,$M$19:$M$1518,1)-1)/($G$15-1)*100))</f>
        <v/>
      </c>
      <c r="R134" s="11">
        <f>IF(N134="","",IF($G$16=1,50,(_xlfn.RANK.AVG(N134,$N$19:$N$1518,1)-1)/($G$16-1)*100))</f>
        <v/>
      </c>
      <c r="S134" s="11">
        <f>IF(COUNT(O134:R134)=4,ROUND(AVERAGE(O134:R134),6),"")</f>
        <v/>
      </c>
      <c r="U134">
        <f>IF(AND(ISNUMBER('자료_한국심리'!$A118),ISNUMBER('자료_한국심리'!$B118)),'자료_한국심리'!$A118,"")</f>
        <v/>
      </c>
      <c r="V134">
        <f>IF(AND(ISNUMBER('자료_한국심리'!$D118),ISNUMBER('자료_한국심리'!$E118)),'자료_한국심리'!$D118,"")</f>
        <v/>
      </c>
      <c r="W134">
        <f>IF(AND(ISNUMBER('자료_한국심리'!$G118),ISNUMBER('자료_한국심리'!$H118)),'자료_한국심리'!$G118,"")</f>
        <v/>
      </c>
      <c r="X134">
        <f>IF(AND(ISNUMBER('자료_한국심리'!$J118),ISNUMBER('자료_한국심리'!$K118)),'자료_한국심리'!$J118,"")</f>
        <v/>
      </c>
      <c r="Y134">
        <f>IF(AND(ISNUMBER('자료_한국심리'!$M118),ISNUMBER('자료_한국심리'!$N118)),'자료_한국심리'!$M118,"")</f>
        <v/>
      </c>
    </row>
    <row r="135">
      <c r="A135" s="10">
        <f>IF(117&gt;$E$5,"",SMALL($U$19:$U$4018,$E$6+117))</f>
        <v/>
      </c>
      <c r="B135" s="29">
        <f>IF(A135="","",INDEX('자료_한국심리'!$B$3:$B$4002,MATCH(A135,$U$19:$U$4018,0)))</f>
        <v/>
      </c>
      <c r="C135" s="22">
        <f>""</f>
        <v/>
      </c>
      <c r="D135" s="29">
        <f>IF(A135="","",IFERROR(INDEX('자료_한국심리'!$E$3:$E$4002,MATCH(A135,$V$19:$V$4018,0)),D134))</f>
        <v/>
      </c>
      <c r="E135" s="30">
        <f>IF(A135="","",IFERROR(INDEX('자료_한국심리'!$H$3:$H$4002,MATCH(A135,$W$19:$W$4018,0)),E134))</f>
        <v/>
      </c>
      <c r="F135" s="30">
        <f>IF(A135="","",IFERROR(INDEX('자료_한국심리'!$K$3:$K$4002,MATCH(A135,$X$19:$X$4018,0)),F134))</f>
        <v/>
      </c>
      <c r="G135" s="30">
        <f>IF(AND(ISNUMBER(E135),ISNUMBER(F135)),ROUND(E135-F135,6),"")</f>
        <v/>
      </c>
      <c r="H135" s="25">
        <f>IF(A135="","",IFERROR(INDEX('자료_한국심리'!$N$3:$N$4002,MATCH(A135,$Y$19:$Y$4018,0)),H134))</f>
        <v/>
      </c>
      <c r="I135" s="31">
        <f>IF(AND(ISNUMBER(H135),ISNUMBER(H115)),IF(H115&gt;0,H135/H115-1,""),"")</f>
        <v/>
      </c>
      <c r="J135">
        <f>IF(A135="",0,IF(A135&gt;$B$5,1,0))</f>
        <v/>
      </c>
      <c r="K135" s="29">
        <f>IF(AND(J135=1,ISNUMBER(D135)),D135,"")</f>
        <v/>
      </c>
      <c r="L135" s="30">
        <f>IF(AND(J135=1,ISNUMBER(G135)),G135,"")</f>
        <v/>
      </c>
      <c r="M135" s="22">
        <f>IF(AND(J135=1,ISNUMBER(C135)),C135,"")</f>
        <v/>
      </c>
      <c r="N135" s="31">
        <f>IF(AND(J135=1,ISNUMBER(I135)),I135,"")</f>
        <v/>
      </c>
      <c r="O135" s="11">
        <f>IF(K135="","",100-IF($G$13=1,50,(_xlfn.RANK.AVG(K135,$K$19:$K$1518,1)-1)/($G$13-1)*100))</f>
        <v/>
      </c>
      <c r="P135" s="11">
        <f>IF(L135="","",100-IF($G$14=1,50,(_xlfn.RANK.AVG(L135,$L$19:$L$1518,1)-1)/($G$14-1)*100))</f>
        <v/>
      </c>
      <c r="Q135" s="11">
        <f>IF(M135="","",IF($G$15=1,50,(_xlfn.RANK.AVG(M135,$M$19:$M$1518,1)-1)/($G$15-1)*100))</f>
        <v/>
      </c>
      <c r="R135" s="11">
        <f>IF(N135="","",IF($G$16=1,50,(_xlfn.RANK.AVG(N135,$N$19:$N$1518,1)-1)/($G$16-1)*100))</f>
        <v/>
      </c>
      <c r="S135" s="11">
        <f>IF(COUNT(O135:R135)=4,ROUND(AVERAGE(O135:R135),6),"")</f>
        <v/>
      </c>
      <c r="U135">
        <f>IF(AND(ISNUMBER('자료_한국심리'!$A119),ISNUMBER('자료_한국심리'!$B119)),'자료_한국심리'!$A119,"")</f>
        <v/>
      </c>
      <c r="V135">
        <f>IF(AND(ISNUMBER('자료_한국심리'!$D119),ISNUMBER('자료_한국심리'!$E119)),'자료_한국심리'!$D119,"")</f>
        <v/>
      </c>
      <c r="W135">
        <f>IF(AND(ISNUMBER('자료_한국심리'!$G119),ISNUMBER('자료_한국심리'!$H119)),'자료_한국심리'!$G119,"")</f>
        <v/>
      </c>
      <c r="X135">
        <f>IF(AND(ISNUMBER('자료_한국심리'!$J119),ISNUMBER('자료_한국심리'!$K119)),'자료_한국심리'!$J119,"")</f>
        <v/>
      </c>
      <c r="Y135">
        <f>IF(AND(ISNUMBER('자료_한국심리'!$M119),ISNUMBER('자료_한국심리'!$N119)),'자료_한국심리'!$M119,"")</f>
        <v/>
      </c>
    </row>
    <row r="136">
      <c r="A136" s="10">
        <f>IF(118&gt;$E$5,"",SMALL($U$19:$U$4018,$E$6+118))</f>
        <v/>
      </c>
      <c r="B136" s="29">
        <f>IF(A136="","",INDEX('자료_한국심리'!$B$3:$B$4002,MATCH(A136,$U$19:$U$4018,0)))</f>
        <v/>
      </c>
      <c r="C136" s="22">
        <f>""</f>
        <v/>
      </c>
      <c r="D136" s="29">
        <f>IF(A136="","",IFERROR(INDEX('자료_한국심리'!$E$3:$E$4002,MATCH(A136,$V$19:$V$4018,0)),D135))</f>
        <v/>
      </c>
      <c r="E136" s="30">
        <f>IF(A136="","",IFERROR(INDEX('자료_한국심리'!$H$3:$H$4002,MATCH(A136,$W$19:$W$4018,0)),E135))</f>
        <v/>
      </c>
      <c r="F136" s="30">
        <f>IF(A136="","",IFERROR(INDEX('자료_한국심리'!$K$3:$K$4002,MATCH(A136,$X$19:$X$4018,0)),F135))</f>
        <v/>
      </c>
      <c r="G136" s="30">
        <f>IF(AND(ISNUMBER(E136),ISNUMBER(F136)),ROUND(E136-F136,6),"")</f>
        <v/>
      </c>
      <c r="H136" s="25">
        <f>IF(A136="","",IFERROR(INDEX('자료_한국심리'!$N$3:$N$4002,MATCH(A136,$Y$19:$Y$4018,0)),H135))</f>
        <v/>
      </c>
      <c r="I136" s="31">
        <f>IF(AND(ISNUMBER(H136),ISNUMBER(H116)),IF(H116&gt;0,H136/H116-1,""),"")</f>
        <v/>
      </c>
      <c r="J136">
        <f>IF(A136="",0,IF(A136&gt;$B$5,1,0))</f>
        <v/>
      </c>
      <c r="K136" s="29">
        <f>IF(AND(J136=1,ISNUMBER(D136)),D136,"")</f>
        <v/>
      </c>
      <c r="L136" s="30">
        <f>IF(AND(J136=1,ISNUMBER(G136)),G136,"")</f>
        <v/>
      </c>
      <c r="M136" s="22">
        <f>IF(AND(J136=1,ISNUMBER(C136)),C136,"")</f>
        <v/>
      </c>
      <c r="N136" s="31">
        <f>IF(AND(J136=1,ISNUMBER(I136)),I136,"")</f>
        <v/>
      </c>
      <c r="O136" s="11">
        <f>IF(K136="","",100-IF($G$13=1,50,(_xlfn.RANK.AVG(K136,$K$19:$K$1518,1)-1)/($G$13-1)*100))</f>
        <v/>
      </c>
      <c r="P136" s="11">
        <f>IF(L136="","",100-IF($G$14=1,50,(_xlfn.RANK.AVG(L136,$L$19:$L$1518,1)-1)/($G$14-1)*100))</f>
        <v/>
      </c>
      <c r="Q136" s="11">
        <f>IF(M136="","",IF($G$15=1,50,(_xlfn.RANK.AVG(M136,$M$19:$M$1518,1)-1)/($G$15-1)*100))</f>
        <v/>
      </c>
      <c r="R136" s="11">
        <f>IF(N136="","",IF($G$16=1,50,(_xlfn.RANK.AVG(N136,$N$19:$N$1518,1)-1)/($G$16-1)*100))</f>
        <v/>
      </c>
      <c r="S136" s="11">
        <f>IF(COUNT(O136:R136)=4,ROUND(AVERAGE(O136:R136),6),"")</f>
        <v/>
      </c>
      <c r="U136">
        <f>IF(AND(ISNUMBER('자료_한국심리'!$A120),ISNUMBER('자료_한국심리'!$B120)),'자료_한국심리'!$A120,"")</f>
        <v/>
      </c>
      <c r="V136">
        <f>IF(AND(ISNUMBER('자료_한국심리'!$D120),ISNUMBER('자료_한국심리'!$E120)),'자료_한국심리'!$D120,"")</f>
        <v/>
      </c>
      <c r="W136">
        <f>IF(AND(ISNUMBER('자료_한국심리'!$G120),ISNUMBER('자료_한국심리'!$H120)),'자료_한국심리'!$G120,"")</f>
        <v/>
      </c>
      <c r="X136">
        <f>IF(AND(ISNUMBER('자료_한국심리'!$J120),ISNUMBER('자료_한국심리'!$K120)),'자료_한국심리'!$J120,"")</f>
        <v/>
      </c>
      <c r="Y136">
        <f>IF(AND(ISNUMBER('자료_한국심리'!$M120),ISNUMBER('자료_한국심리'!$N120)),'자료_한국심리'!$M120,"")</f>
        <v/>
      </c>
    </row>
    <row r="137">
      <c r="A137" s="10">
        <f>IF(119&gt;$E$5,"",SMALL($U$19:$U$4018,$E$6+119))</f>
        <v/>
      </c>
      <c r="B137" s="29">
        <f>IF(A137="","",INDEX('자료_한국심리'!$B$3:$B$4002,MATCH(A137,$U$19:$U$4018,0)))</f>
        <v/>
      </c>
      <c r="C137" s="22">
        <f>""</f>
        <v/>
      </c>
      <c r="D137" s="29">
        <f>IF(A137="","",IFERROR(INDEX('자료_한국심리'!$E$3:$E$4002,MATCH(A137,$V$19:$V$4018,0)),D136))</f>
        <v/>
      </c>
      <c r="E137" s="30">
        <f>IF(A137="","",IFERROR(INDEX('자료_한국심리'!$H$3:$H$4002,MATCH(A137,$W$19:$W$4018,0)),E136))</f>
        <v/>
      </c>
      <c r="F137" s="30">
        <f>IF(A137="","",IFERROR(INDEX('자료_한국심리'!$K$3:$K$4002,MATCH(A137,$X$19:$X$4018,0)),F136))</f>
        <v/>
      </c>
      <c r="G137" s="30">
        <f>IF(AND(ISNUMBER(E137),ISNUMBER(F137)),ROUND(E137-F137,6),"")</f>
        <v/>
      </c>
      <c r="H137" s="25">
        <f>IF(A137="","",IFERROR(INDEX('자료_한국심리'!$N$3:$N$4002,MATCH(A137,$Y$19:$Y$4018,0)),H136))</f>
        <v/>
      </c>
      <c r="I137" s="31">
        <f>IF(AND(ISNUMBER(H137),ISNUMBER(H117)),IF(H117&gt;0,H137/H117-1,""),"")</f>
        <v/>
      </c>
      <c r="J137">
        <f>IF(A137="",0,IF(A137&gt;$B$5,1,0))</f>
        <v/>
      </c>
      <c r="K137" s="29">
        <f>IF(AND(J137=1,ISNUMBER(D137)),D137,"")</f>
        <v/>
      </c>
      <c r="L137" s="30">
        <f>IF(AND(J137=1,ISNUMBER(G137)),G137,"")</f>
        <v/>
      </c>
      <c r="M137" s="22">
        <f>IF(AND(J137=1,ISNUMBER(C137)),C137,"")</f>
        <v/>
      </c>
      <c r="N137" s="31">
        <f>IF(AND(J137=1,ISNUMBER(I137)),I137,"")</f>
        <v/>
      </c>
      <c r="O137" s="11">
        <f>IF(K137="","",100-IF($G$13=1,50,(_xlfn.RANK.AVG(K137,$K$19:$K$1518,1)-1)/($G$13-1)*100))</f>
        <v/>
      </c>
      <c r="P137" s="11">
        <f>IF(L137="","",100-IF($G$14=1,50,(_xlfn.RANK.AVG(L137,$L$19:$L$1518,1)-1)/($G$14-1)*100))</f>
        <v/>
      </c>
      <c r="Q137" s="11">
        <f>IF(M137="","",IF($G$15=1,50,(_xlfn.RANK.AVG(M137,$M$19:$M$1518,1)-1)/($G$15-1)*100))</f>
        <v/>
      </c>
      <c r="R137" s="11">
        <f>IF(N137="","",IF($G$16=1,50,(_xlfn.RANK.AVG(N137,$N$19:$N$1518,1)-1)/($G$16-1)*100))</f>
        <v/>
      </c>
      <c r="S137" s="11">
        <f>IF(COUNT(O137:R137)=4,ROUND(AVERAGE(O137:R137),6),"")</f>
        <v/>
      </c>
      <c r="U137">
        <f>IF(AND(ISNUMBER('자료_한국심리'!$A121),ISNUMBER('자료_한국심리'!$B121)),'자료_한국심리'!$A121,"")</f>
        <v/>
      </c>
      <c r="V137">
        <f>IF(AND(ISNUMBER('자료_한국심리'!$D121),ISNUMBER('자료_한국심리'!$E121)),'자료_한국심리'!$D121,"")</f>
        <v/>
      </c>
      <c r="W137">
        <f>IF(AND(ISNUMBER('자료_한국심리'!$G121),ISNUMBER('자료_한국심리'!$H121)),'자료_한국심리'!$G121,"")</f>
        <v/>
      </c>
      <c r="X137">
        <f>IF(AND(ISNUMBER('자료_한국심리'!$J121),ISNUMBER('자료_한국심리'!$K121)),'자료_한국심리'!$J121,"")</f>
        <v/>
      </c>
      <c r="Y137">
        <f>IF(AND(ISNUMBER('자료_한국심리'!$M121),ISNUMBER('자료_한국심리'!$N121)),'자료_한국심리'!$M121,"")</f>
        <v/>
      </c>
    </row>
    <row r="138">
      <c r="A138" s="10">
        <f>IF(120&gt;$E$5,"",SMALL($U$19:$U$4018,$E$6+120))</f>
        <v/>
      </c>
      <c r="B138" s="29">
        <f>IF(A138="","",INDEX('자료_한국심리'!$B$3:$B$4002,MATCH(A138,$U$19:$U$4018,0)))</f>
        <v/>
      </c>
      <c r="C138" s="22">
        <f>""</f>
        <v/>
      </c>
      <c r="D138" s="29">
        <f>IF(A138="","",IFERROR(INDEX('자료_한국심리'!$E$3:$E$4002,MATCH(A138,$V$19:$V$4018,0)),D137))</f>
        <v/>
      </c>
      <c r="E138" s="30">
        <f>IF(A138="","",IFERROR(INDEX('자료_한국심리'!$H$3:$H$4002,MATCH(A138,$W$19:$W$4018,0)),E137))</f>
        <v/>
      </c>
      <c r="F138" s="30">
        <f>IF(A138="","",IFERROR(INDEX('자료_한국심리'!$K$3:$K$4002,MATCH(A138,$X$19:$X$4018,0)),F137))</f>
        <v/>
      </c>
      <c r="G138" s="30">
        <f>IF(AND(ISNUMBER(E138),ISNUMBER(F138)),ROUND(E138-F138,6),"")</f>
        <v/>
      </c>
      <c r="H138" s="25">
        <f>IF(A138="","",IFERROR(INDEX('자료_한국심리'!$N$3:$N$4002,MATCH(A138,$Y$19:$Y$4018,0)),H137))</f>
        <v/>
      </c>
      <c r="I138" s="31">
        <f>IF(AND(ISNUMBER(H138),ISNUMBER(H118)),IF(H118&gt;0,H138/H118-1,""),"")</f>
        <v/>
      </c>
      <c r="J138">
        <f>IF(A138="",0,IF(A138&gt;$B$5,1,0))</f>
        <v/>
      </c>
      <c r="K138" s="29">
        <f>IF(AND(J138=1,ISNUMBER(D138)),D138,"")</f>
        <v/>
      </c>
      <c r="L138" s="30">
        <f>IF(AND(J138=1,ISNUMBER(G138)),G138,"")</f>
        <v/>
      </c>
      <c r="M138" s="22">
        <f>IF(AND(J138=1,ISNUMBER(C138)),C138,"")</f>
        <v/>
      </c>
      <c r="N138" s="31">
        <f>IF(AND(J138=1,ISNUMBER(I138)),I138,"")</f>
        <v/>
      </c>
      <c r="O138" s="11">
        <f>IF(K138="","",100-IF($G$13=1,50,(_xlfn.RANK.AVG(K138,$K$19:$K$1518,1)-1)/($G$13-1)*100))</f>
        <v/>
      </c>
      <c r="P138" s="11">
        <f>IF(L138="","",100-IF($G$14=1,50,(_xlfn.RANK.AVG(L138,$L$19:$L$1518,1)-1)/($G$14-1)*100))</f>
        <v/>
      </c>
      <c r="Q138" s="11">
        <f>IF(M138="","",IF($G$15=1,50,(_xlfn.RANK.AVG(M138,$M$19:$M$1518,1)-1)/($G$15-1)*100))</f>
        <v/>
      </c>
      <c r="R138" s="11">
        <f>IF(N138="","",IF($G$16=1,50,(_xlfn.RANK.AVG(N138,$N$19:$N$1518,1)-1)/($G$16-1)*100))</f>
        <v/>
      </c>
      <c r="S138" s="11">
        <f>IF(COUNT(O138:R138)=4,ROUND(AVERAGE(O138:R138),6),"")</f>
        <v/>
      </c>
      <c r="U138">
        <f>IF(AND(ISNUMBER('자료_한국심리'!$A122),ISNUMBER('자료_한국심리'!$B122)),'자료_한국심리'!$A122,"")</f>
        <v/>
      </c>
      <c r="V138">
        <f>IF(AND(ISNUMBER('자료_한국심리'!$D122),ISNUMBER('자료_한국심리'!$E122)),'자료_한국심리'!$D122,"")</f>
        <v/>
      </c>
      <c r="W138">
        <f>IF(AND(ISNUMBER('자료_한국심리'!$G122),ISNUMBER('자료_한국심리'!$H122)),'자료_한국심리'!$G122,"")</f>
        <v/>
      </c>
      <c r="X138">
        <f>IF(AND(ISNUMBER('자료_한국심리'!$J122),ISNUMBER('자료_한국심리'!$K122)),'자료_한국심리'!$J122,"")</f>
        <v/>
      </c>
      <c r="Y138">
        <f>IF(AND(ISNUMBER('자료_한국심리'!$M122),ISNUMBER('자료_한국심리'!$N122)),'자료_한국심리'!$M122,"")</f>
        <v/>
      </c>
    </row>
    <row r="139">
      <c r="A139" s="10">
        <f>IF(121&gt;$E$5,"",SMALL($U$19:$U$4018,$E$6+121))</f>
        <v/>
      </c>
      <c r="B139" s="29">
        <f>IF(A139="","",INDEX('자료_한국심리'!$B$3:$B$4002,MATCH(A139,$U$19:$U$4018,0)))</f>
        <v/>
      </c>
      <c r="C139" s="22">
        <f>""</f>
        <v/>
      </c>
      <c r="D139" s="29">
        <f>IF(A139="","",IFERROR(INDEX('자료_한국심리'!$E$3:$E$4002,MATCH(A139,$V$19:$V$4018,0)),D138))</f>
        <v/>
      </c>
      <c r="E139" s="30">
        <f>IF(A139="","",IFERROR(INDEX('자료_한국심리'!$H$3:$H$4002,MATCH(A139,$W$19:$W$4018,0)),E138))</f>
        <v/>
      </c>
      <c r="F139" s="30">
        <f>IF(A139="","",IFERROR(INDEX('자료_한국심리'!$K$3:$K$4002,MATCH(A139,$X$19:$X$4018,0)),F138))</f>
        <v/>
      </c>
      <c r="G139" s="30">
        <f>IF(AND(ISNUMBER(E139),ISNUMBER(F139)),ROUND(E139-F139,6),"")</f>
        <v/>
      </c>
      <c r="H139" s="25">
        <f>IF(A139="","",IFERROR(INDEX('자료_한국심리'!$N$3:$N$4002,MATCH(A139,$Y$19:$Y$4018,0)),H138))</f>
        <v/>
      </c>
      <c r="I139" s="31">
        <f>IF(AND(ISNUMBER(H139),ISNUMBER(H119)),IF(H119&gt;0,H139/H119-1,""),"")</f>
        <v/>
      </c>
      <c r="J139">
        <f>IF(A139="",0,IF(A139&gt;$B$5,1,0))</f>
        <v/>
      </c>
      <c r="K139" s="29">
        <f>IF(AND(J139=1,ISNUMBER(D139)),D139,"")</f>
        <v/>
      </c>
      <c r="L139" s="30">
        <f>IF(AND(J139=1,ISNUMBER(G139)),G139,"")</f>
        <v/>
      </c>
      <c r="M139" s="22">
        <f>IF(AND(J139=1,ISNUMBER(C139)),C139,"")</f>
        <v/>
      </c>
      <c r="N139" s="31">
        <f>IF(AND(J139=1,ISNUMBER(I139)),I139,"")</f>
        <v/>
      </c>
      <c r="O139" s="11">
        <f>IF(K139="","",100-IF($G$13=1,50,(_xlfn.RANK.AVG(K139,$K$19:$K$1518,1)-1)/($G$13-1)*100))</f>
        <v/>
      </c>
      <c r="P139" s="11">
        <f>IF(L139="","",100-IF($G$14=1,50,(_xlfn.RANK.AVG(L139,$L$19:$L$1518,1)-1)/($G$14-1)*100))</f>
        <v/>
      </c>
      <c r="Q139" s="11">
        <f>IF(M139="","",IF($G$15=1,50,(_xlfn.RANK.AVG(M139,$M$19:$M$1518,1)-1)/($G$15-1)*100))</f>
        <v/>
      </c>
      <c r="R139" s="11">
        <f>IF(N139="","",IF($G$16=1,50,(_xlfn.RANK.AVG(N139,$N$19:$N$1518,1)-1)/($G$16-1)*100))</f>
        <v/>
      </c>
      <c r="S139" s="11">
        <f>IF(COUNT(O139:R139)=4,ROUND(AVERAGE(O139:R139),6),"")</f>
        <v/>
      </c>
      <c r="U139">
        <f>IF(AND(ISNUMBER('자료_한국심리'!$A123),ISNUMBER('자료_한국심리'!$B123)),'자료_한국심리'!$A123,"")</f>
        <v/>
      </c>
      <c r="V139">
        <f>IF(AND(ISNUMBER('자료_한국심리'!$D123),ISNUMBER('자료_한국심리'!$E123)),'자료_한국심리'!$D123,"")</f>
        <v/>
      </c>
      <c r="W139">
        <f>IF(AND(ISNUMBER('자료_한국심리'!$G123),ISNUMBER('자료_한국심리'!$H123)),'자료_한국심리'!$G123,"")</f>
        <v/>
      </c>
      <c r="X139">
        <f>IF(AND(ISNUMBER('자료_한국심리'!$J123),ISNUMBER('자료_한국심리'!$K123)),'자료_한국심리'!$J123,"")</f>
        <v/>
      </c>
      <c r="Y139">
        <f>IF(AND(ISNUMBER('자료_한국심리'!$M123),ISNUMBER('자료_한국심리'!$N123)),'자료_한국심리'!$M123,"")</f>
        <v/>
      </c>
    </row>
    <row r="140">
      <c r="A140" s="10">
        <f>IF(122&gt;$E$5,"",SMALL($U$19:$U$4018,$E$6+122))</f>
        <v/>
      </c>
      <c r="B140" s="29">
        <f>IF(A140="","",INDEX('자료_한국심리'!$B$3:$B$4002,MATCH(A140,$U$19:$U$4018,0)))</f>
        <v/>
      </c>
      <c r="C140" s="22">
        <f>""</f>
        <v/>
      </c>
      <c r="D140" s="29">
        <f>IF(A140="","",IFERROR(INDEX('자료_한국심리'!$E$3:$E$4002,MATCH(A140,$V$19:$V$4018,0)),D139))</f>
        <v/>
      </c>
      <c r="E140" s="30">
        <f>IF(A140="","",IFERROR(INDEX('자료_한국심리'!$H$3:$H$4002,MATCH(A140,$W$19:$W$4018,0)),E139))</f>
        <v/>
      </c>
      <c r="F140" s="30">
        <f>IF(A140="","",IFERROR(INDEX('자료_한국심리'!$K$3:$K$4002,MATCH(A140,$X$19:$X$4018,0)),F139))</f>
        <v/>
      </c>
      <c r="G140" s="30">
        <f>IF(AND(ISNUMBER(E140),ISNUMBER(F140)),ROUND(E140-F140,6),"")</f>
        <v/>
      </c>
      <c r="H140" s="25">
        <f>IF(A140="","",IFERROR(INDEX('자료_한국심리'!$N$3:$N$4002,MATCH(A140,$Y$19:$Y$4018,0)),H139))</f>
        <v/>
      </c>
      <c r="I140" s="31">
        <f>IF(AND(ISNUMBER(H140),ISNUMBER(H120)),IF(H120&gt;0,H140/H120-1,""),"")</f>
        <v/>
      </c>
      <c r="J140">
        <f>IF(A140="",0,IF(A140&gt;$B$5,1,0))</f>
        <v/>
      </c>
      <c r="K140" s="29">
        <f>IF(AND(J140=1,ISNUMBER(D140)),D140,"")</f>
        <v/>
      </c>
      <c r="L140" s="30">
        <f>IF(AND(J140=1,ISNUMBER(G140)),G140,"")</f>
        <v/>
      </c>
      <c r="M140" s="22">
        <f>IF(AND(J140=1,ISNUMBER(C140)),C140,"")</f>
        <v/>
      </c>
      <c r="N140" s="31">
        <f>IF(AND(J140=1,ISNUMBER(I140)),I140,"")</f>
        <v/>
      </c>
      <c r="O140" s="11">
        <f>IF(K140="","",100-IF($G$13=1,50,(_xlfn.RANK.AVG(K140,$K$19:$K$1518,1)-1)/($G$13-1)*100))</f>
        <v/>
      </c>
      <c r="P140" s="11">
        <f>IF(L140="","",100-IF($G$14=1,50,(_xlfn.RANK.AVG(L140,$L$19:$L$1518,1)-1)/($G$14-1)*100))</f>
        <v/>
      </c>
      <c r="Q140" s="11">
        <f>IF(M140="","",IF($G$15=1,50,(_xlfn.RANK.AVG(M140,$M$19:$M$1518,1)-1)/($G$15-1)*100))</f>
        <v/>
      </c>
      <c r="R140" s="11">
        <f>IF(N140="","",IF($G$16=1,50,(_xlfn.RANK.AVG(N140,$N$19:$N$1518,1)-1)/($G$16-1)*100))</f>
        <v/>
      </c>
      <c r="S140" s="11">
        <f>IF(COUNT(O140:R140)=4,ROUND(AVERAGE(O140:R140),6),"")</f>
        <v/>
      </c>
      <c r="U140">
        <f>IF(AND(ISNUMBER('자료_한국심리'!$A124),ISNUMBER('자료_한국심리'!$B124)),'자료_한국심리'!$A124,"")</f>
        <v/>
      </c>
      <c r="V140">
        <f>IF(AND(ISNUMBER('자료_한국심리'!$D124),ISNUMBER('자료_한국심리'!$E124)),'자료_한국심리'!$D124,"")</f>
        <v/>
      </c>
      <c r="W140">
        <f>IF(AND(ISNUMBER('자료_한국심리'!$G124),ISNUMBER('자료_한국심리'!$H124)),'자료_한국심리'!$G124,"")</f>
        <v/>
      </c>
      <c r="X140">
        <f>IF(AND(ISNUMBER('자료_한국심리'!$J124),ISNUMBER('자료_한국심리'!$K124)),'자료_한국심리'!$J124,"")</f>
        <v/>
      </c>
      <c r="Y140">
        <f>IF(AND(ISNUMBER('자료_한국심리'!$M124),ISNUMBER('자료_한국심리'!$N124)),'자료_한국심리'!$M124,"")</f>
        <v/>
      </c>
    </row>
    <row r="141">
      <c r="A141" s="10">
        <f>IF(123&gt;$E$5,"",SMALL($U$19:$U$4018,$E$6+123))</f>
        <v/>
      </c>
      <c r="B141" s="29">
        <f>IF(A141="","",INDEX('자료_한국심리'!$B$3:$B$4002,MATCH(A141,$U$19:$U$4018,0)))</f>
        <v/>
      </c>
      <c r="C141" s="22">
        <f>""</f>
        <v/>
      </c>
      <c r="D141" s="29">
        <f>IF(A141="","",IFERROR(INDEX('자료_한국심리'!$E$3:$E$4002,MATCH(A141,$V$19:$V$4018,0)),D140))</f>
        <v/>
      </c>
      <c r="E141" s="30">
        <f>IF(A141="","",IFERROR(INDEX('자료_한국심리'!$H$3:$H$4002,MATCH(A141,$W$19:$W$4018,0)),E140))</f>
        <v/>
      </c>
      <c r="F141" s="30">
        <f>IF(A141="","",IFERROR(INDEX('자료_한국심리'!$K$3:$K$4002,MATCH(A141,$X$19:$X$4018,0)),F140))</f>
        <v/>
      </c>
      <c r="G141" s="30">
        <f>IF(AND(ISNUMBER(E141),ISNUMBER(F141)),ROUND(E141-F141,6),"")</f>
        <v/>
      </c>
      <c r="H141" s="25">
        <f>IF(A141="","",IFERROR(INDEX('자료_한국심리'!$N$3:$N$4002,MATCH(A141,$Y$19:$Y$4018,0)),H140))</f>
        <v/>
      </c>
      <c r="I141" s="31">
        <f>IF(AND(ISNUMBER(H141),ISNUMBER(H121)),IF(H121&gt;0,H141/H121-1,""),"")</f>
        <v/>
      </c>
      <c r="J141">
        <f>IF(A141="",0,IF(A141&gt;$B$5,1,0))</f>
        <v/>
      </c>
      <c r="K141" s="29">
        <f>IF(AND(J141=1,ISNUMBER(D141)),D141,"")</f>
        <v/>
      </c>
      <c r="L141" s="30">
        <f>IF(AND(J141=1,ISNUMBER(G141)),G141,"")</f>
        <v/>
      </c>
      <c r="M141" s="22">
        <f>IF(AND(J141=1,ISNUMBER(C141)),C141,"")</f>
        <v/>
      </c>
      <c r="N141" s="31">
        <f>IF(AND(J141=1,ISNUMBER(I141)),I141,"")</f>
        <v/>
      </c>
      <c r="O141" s="11">
        <f>IF(K141="","",100-IF($G$13=1,50,(_xlfn.RANK.AVG(K141,$K$19:$K$1518,1)-1)/($G$13-1)*100))</f>
        <v/>
      </c>
      <c r="P141" s="11">
        <f>IF(L141="","",100-IF($G$14=1,50,(_xlfn.RANK.AVG(L141,$L$19:$L$1518,1)-1)/($G$14-1)*100))</f>
        <v/>
      </c>
      <c r="Q141" s="11">
        <f>IF(M141="","",IF($G$15=1,50,(_xlfn.RANK.AVG(M141,$M$19:$M$1518,1)-1)/($G$15-1)*100))</f>
        <v/>
      </c>
      <c r="R141" s="11">
        <f>IF(N141="","",IF($G$16=1,50,(_xlfn.RANK.AVG(N141,$N$19:$N$1518,1)-1)/($G$16-1)*100))</f>
        <v/>
      </c>
      <c r="S141" s="11">
        <f>IF(COUNT(O141:R141)=4,ROUND(AVERAGE(O141:R141),6),"")</f>
        <v/>
      </c>
      <c r="U141">
        <f>IF(AND(ISNUMBER('자료_한국심리'!$A125),ISNUMBER('자료_한국심리'!$B125)),'자료_한국심리'!$A125,"")</f>
        <v/>
      </c>
      <c r="V141">
        <f>IF(AND(ISNUMBER('자료_한국심리'!$D125),ISNUMBER('자료_한국심리'!$E125)),'자료_한국심리'!$D125,"")</f>
        <v/>
      </c>
      <c r="W141">
        <f>IF(AND(ISNUMBER('자료_한국심리'!$G125),ISNUMBER('자료_한국심리'!$H125)),'자료_한국심리'!$G125,"")</f>
        <v/>
      </c>
      <c r="X141">
        <f>IF(AND(ISNUMBER('자료_한국심리'!$J125),ISNUMBER('자료_한국심리'!$K125)),'자료_한국심리'!$J125,"")</f>
        <v/>
      </c>
      <c r="Y141">
        <f>IF(AND(ISNUMBER('자료_한국심리'!$M125),ISNUMBER('자료_한국심리'!$N125)),'자료_한국심리'!$M125,"")</f>
        <v/>
      </c>
    </row>
    <row r="142">
      <c r="A142" s="10">
        <f>IF(124&gt;$E$5,"",SMALL($U$19:$U$4018,$E$6+124))</f>
        <v/>
      </c>
      <c r="B142" s="29">
        <f>IF(A142="","",INDEX('자료_한국심리'!$B$3:$B$4002,MATCH(A142,$U$19:$U$4018,0)))</f>
        <v/>
      </c>
      <c r="C142" s="22">
        <f>""</f>
        <v/>
      </c>
      <c r="D142" s="29">
        <f>IF(A142="","",IFERROR(INDEX('자료_한국심리'!$E$3:$E$4002,MATCH(A142,$V$19:$V$4018,0)),D141))</f>
        <v/>
      </c>
      <c r="E142" s="30">
        <f>IF(A142="","",IFERROR(INDEX('자료_한국심리'!$H$3:$H$4002,MATCH(A142,$W$19:$W$4018,0)),E141))</f>
        <v/>
      </c>
      <c r="F142" s="30">
        <f>IF(A142="","",IFERROR(INDEX('자료_한국심리'!$K$3:$K$4002,MATCH(A142,$X$19:$X$4018,0)),F141))</f>
        <v/>
      </c>
      <c r="G142" s="30">
        <f>IF(AND(ISNUMBER(E142),ISNUMBER(F142)),ROUND(E142-F142,6),"")</f>
        <v/>
      </c>
      <c r="H142" s="25">
        <f>IF(A142="","",IFERROR(INDEX('자료_한국심리'!$N$3:$N$4002,MATCH(A142,$Y$19:$Y$4018,0)),H141))</f>
        <v/>
      </c>
      <c r="I142" s="31">
        <f>IF(AND(ISNUMBER(H142),ISNUMBER(H122)),IF(H122&gt;0,H142/H122-1,""),"")</f>
        <v/>
      </c>
      <c r="J142">
        <f>IF(A142="",0,IF(A142&gt;$B$5,1,0))</f>
        <v/>
      </c>
      <c r="K142" s="29">
        <f>IF(AND(J142=1,ISNUMBER(D142)),D142,"")</f>
        <v/>
      </c>
      <c r="L142" s="30">
        <f>IF(AND(J142=1,ISNUMBER(G142)),G142,"")</f>
        <v/>
      </c>
      <c r="M142" s="22">
        <f>IF(AND(J142=1,ISNUMBER(C142)),C142,"")</f>
        <v/>
      </c>
      <c r="N142" s="31">
        <f>IF(AND(J142=1,ISNUMBER(I142)),I142,"")</f>
        <v/>
      </c>
      <c r="O142" s="11">
        <f>IF(K142="","",100-IF($G$13=1,50,(_xlfn.RANK.AVG(K142,$K$19:$K$1518,1)-1)/($G$13-1)*100))</f>
        <v/>
      </c>
      <c r="P142" s="11">
        <f>IF(L142="","",100-IF($G$14=1,50,(_xlfn.RANK.AVG(L142,$L$19:$L$1518,1)-1)/($G$14-1)*100))</f>
        <v/>
      </c>
      <c r="Q142" s="11">
        <f>IF(M142="","",IF($G$15=1,50,(_xlfn.RANK.AVG(M142,$M$19:$M$1518,1)-1)/($G$15-1)*100))</f>
        <v/>
      </c>
      <c r="R142" s="11">
        <f>IF(N142="","",IF($G$16=1,50,(_xlfn.RANK.AVG(N142,$N$19:$N$1518,1)-1)/($G$16-1)*100))</f>
        <v/>
      </c>
      <c r="S142" s="11">
        <f>IF(COUNT(O142:R142)=4,ROUND(AVERAGE(O142:R142),6),"")</f>
        <v/>
      </c>
      <c r="U142">
        <f>IF(AND(ISNUMBER('자료_한국심리'!$A126),ISNUMBER('자료_한국심리'!$B126)),'자료_한국심리'!$A126,"")</f>
        <v/>
      </c>
      <c r="V142">
        <f>IF(AND(ISNUMBER('자료_한국심리'!$D126),ISNUMBER('자료_한국심리'!$E126)),'자료_한국심리'!$D126,"")</f>
        <v/>
      </c>
      <c r="W142">
        <f>IF(AND(ISNUMBER('자료_한국심리'!$G126),ISNUMBER('자료_한국심리'!$H126)),'자료_한국심리'!$G126,"")</f>
        <v/>
      </c>
      <c r="X142">
        <f>IF(AND(ISNUMBER('자료_한국심리'!$J126),ISNUMBER('자료_한국심리'!$K126)),'자료_한국심리'!$J126,"")</f>
        <v/>
      </c>
      <c r="Y142">
        <f>IF(AND(ISNUMBER('자료_한국심리'!$M126),ISNUMBER('자료_한국심리'!$N126)),'자료_한국심리'!$M126,"")</f>
        <v/>
      </c>
    </row>
    <row r="143">
      <c r="A143" s="10">
        <f>IF(125&gt;$E$5,"",SMALL($U$19:$U$4018,$E$6+125))</f>
        <v/>
      </c>
      <c r="B143" s="29">
        <f>IF(A143="","",INDEX('자료_한국심리'!$B$3:$B$4002,MATCH(A143,$U$19:$U$4018,0)))</f>
        <v/>
      </c>
      <c r="C143" s="22">
        <f>IF(A143="","",B143/AVERAGE(B19:B143)-1)</f>
        <v/>
      </c>
      <c r="D143" s="29">
        <f>IF(A143="","",IFERROR(INDEX('자료_한국심리'!$E$3:$E$4002,MATCH(A143,$V$19:$V$4018,0)),D142))</f>
        <v/>
      </c>
      <c r="E143" s="30">
        <f>IF(A143="","",IFERROR(INDEX('자료_한국심리'!$H$3:$H$4002,MATCH(A143,$W$19:$W$4018,0)),E142))</f>
        <v/>
      </c>
      <c r="F143" s="30">
        <f>IF(A143="","",IFERROR(INDEX('자료_한국심리'!$K$3:$K$4002,MATCH(A143,$X$19:$X$4018,0)),F142))</f>
        <v/>
      </c>
      <c r="G143" s="30">
        <f>IF(AND(ISNUMBER(E143),ISNUMBER(F143)),ROUND(E143-F143,6),"")</f>
        <v/>
      </c>
      <c r="H143" s="25">
        <f>IF(A143="","",IFERROR(INDEX('자료_한국심리'!$N$3:$N$4002,MATCH(A143,$Y$19:$Y$4018,0)),H142))</f>
        <v/>
      </c>
      <c r="I143" s="31">
        <f>IF(AND(ISNUMBER(H143),ISNUMBER(H123)),IF(H123&gt;0,H143/H123-1,""),"")</f>
        <v/>
      </c>
      <c r="J143">
        <f>IF(A143="",0,IF(A143&gt;$B$5,1,0))</f>
        <v/>
      </c>
      <c r="K143" s="29">
        <f>IF(AND(J143=1,ISNUMBER(D143)),D143,"")</f>
        <v/>
      </c>
      <c r="L143" s="30">
        <f>IF(AND(J143=1,ISNUMBER(G143)),G143,"")</f>
        <v/>
      </c>
      <c r="M143" s="22">
        <f>IF(AND(J143=1,ISNUMBER(C143)),C143,"")</f>
        <v/>
      </c>
      <c r="N143" s="31">
        <f>IF(AND(J143=1,ISNUMBER(I143)),I143,"")</f>
        <v/>
      </c>
      <c r="O143" s="11">
        <f>IF(K143="","",100-IF($G$13=1,50,(_xlfn.RANK.AVG(K143,$K$19:$K$1518,1)-1)/($G$13-1)*100))</f>
        <v/>
      </c>
      <c r="P143" s="11">
        <f>IF(L143="","",100-IF($G$14=1,50,(_xlfn.RANK.AVG(L143,$L$19:$L$1518,1)-1)/($G$14-1)*100))</f>
        <v/>
      </c>
      <c r="Q143" s="11">
        <f>IF(M143="","",IF($G$15=1,50,(_xlfn.RANK.AVG(M143,$M$19:$M$1518,1)-1)/($G$15-1)*100))</f>
        <v/>
      </c>
      <c r="R143" s="11">
        <f>IF(N143="","",IF($G$16=1,50,(_xlfn.RANK.AVG(N143,$N$19:$N$1518,1)-1)/($G$16-1)*100))</f>
        <v/>
      </c>
      <c r="S143" s="11">
        <f>IF(COUNT(O143:R143)=4,ROUND(AVERAGE(O143:R143),6),"")</f>
        <v/>
      </c>
      <c r="U143">
        <f>IF(AND(ISNUMBER('자료_한국심리'!$A127),ISNUMBER('자료_한국심리'!$B127)),'자료_한국심리'!$A127,"")</f>
        <v/>
      </c>
      <c r="V143">
        <f>IF(AND(ISNUMBER('자료_한국심리'!$D127),ISNUMBER('자료_한국심리'!$E127)),'자료_한국심리'!$D127,"")</f>
        <v/>
      </c>
      <c r="W143">
        <f>IF(AND(ISNUMBER('자료_한국심리'!$G127),ISNUMBER('자료_한국심리'!$H127)),'자료_한국심리'!$G127,"")</f>
        <v/>
      </c>
      <c r="X143">
        <f>IF(AND(ISNUMBER('자료_한국심리'!$J127),ISNUMBER('자료_한국심리'!$K127)),'자료_한국심리'!$J127,"")</f>
        <v/>
      </c>
      <c r="Y143">
        <f>IF(AND(ISNUMBER('자료_한국심리'!$M127),ISNUMBER('자료_한국심리'!$N127)),'자료_한국심리'!$M127,"")</f>
        <v/>
      </c>
    </row>
    <row r="144">
      <c r="A144" s="10">
        <f>IF(126&gt;$E$5,"",SMALL($U$19:$U$4018,$E$6+126))</f>
        <v/>
      </c>
      <c r="B144" s="29">
        <f>IF(A144="","",INDEX('자료_한국심리'!$B$3:$B$4002,MATCH(A144,$U$19:$U$4018,0)))</f>
        <v/>
      </c>
      <c r="C144" s="22">
        <f>IF(A144="","",B144/AVERAGE(B20:B144)-1)</f>
        <v/>
      </c>
      <c r="D144" s="29">
        <f>IF(A144="","",IFERROR(INDEX('자료_한국심리'!$E$3:$E$4002,MATCH(A144,$V$19:$V$4018,0)),D143))</f>
        <v/>
      </c>
      <c r="E144" s="30">
        <f>IF(A144="","",IFERROR(INDEX('자료_한국심리'!$H$3:$H$4002,MATCH(A144,$W$19:$W$4018,0)),E143))</f>
        <v/>
      </c>
      <c r="F144" s="30">
        <f>IF(A144="","",IFERROR(INDEX('자료_한국심리'!$K$3:$K$4002,MATCH(A144,$X$19:$X$4018,0)),F143))</f>
        <v/>
      </c>
      <c r="G144" s="30">
        <f>IF(AND(ISNUMBER(E144),ISNUMBER(F144)),ROUND(E144-F144,6),"")</f>
        <v/>
      </c>
      <c r="H144" s="25">
        <f>IF(A144="","",IFERROR(INDEX('자료_한국심리'!$N$3:$N$4002,MATCH(A144,$Y$19:$Y$4018,0)),H143))</f>
        <v/>
      </c>
      <c r="I144" s="31">
        <f>IF(AND(ISNUMBER(H144),ISNUMBER(H124)),IF(H124&gt;0,H144/H124-1,""),"")</f>
        <v/>
      </c>
      <c r="J144">
        <f>IF(A144="",0,IF(A144&gt;$B$5,1,0))</f>
        <v/>
      </c>
      <c r="K144" s="29">
        <f>IF(AND(J144=1,ISNUMBER(D144)),D144,"")</f>
        <v/>
      </c>
      <c r="L144" s="30">
        <f>IF(AND(J144=1,ISNUMBER(G144)),G144,"")</f>
        <v/>
      </c>
      <c r="M144" s="22">
        <f>IF(AND(J144=1,ISNUMBER(C144)),C144,"")</f>
        <v/>
      </c>
      <c r="N144" s="31">
        <f>IF(AND(J144=1,ISNUMBER(I144)),I144,"")</f>
        <v/>
      </c>
      <c r="O144" s="11">
        <f>IF(K144="","",100-IF($G$13=1,50,(_xlfn.RANK.AVG(K144,$K$19:$K$1518,1)-1)/($G$13-1)*100))</f>
        <v/>
      </c>
      <c r="P144" s="11">
        <f>IF(L144="","",100-IF($G$14=1,50,(_xlfn.RANK.AVG(L144,$L$19:$L$1518,1)-1)/($G$14-1)*100))</f>
        <v/>
      </c>
      <c r="Q144" s="11">
        <f>IF(M144="","",IF($G$15=1,50,(_xlfn.RANK.AVG(M144,$M$19:$M$1518,1)-1)/($G$15-1)*100))</f>
        <v/>
      </c>
      <c r="R144" s="11">
        <f>IF(N144="","",IF($G$16=1,50,(_xlfn.RANK.AVG(N144,$N$19:$N$1518,1)-1)/($G$16-1)*100))</f>
        <v/>
      </c>
      <c r="S144" s="11">
        <f>IF(COUNT(O144:R144)=4,ROUND(AVERAGE(O144:R144),6),"")</f>
        <v/>
      </c>
      <c r="U144">
        <f>IF(AND(ISNUMBER('자료_한국심리'!$A128),ISNUMBER('자료_한국심리'!$B128)),'자료_한국심리'!$A128,"")</f>
        <v/>
      </c>
      <c r="V144">
        <f>IF(AND(ISNUMBER('자료_한국심리'!$D128),ISNUMBER('자료_한국심리'!$E128)),'자료_한국심리'!$D128,"")</f>
        <v/>
      </c>
      <c r="W144">
        <f>IF(AND(ISNUMBER('자료_한국심리'!$G128),ISNUMBER('자료_한국심리'!$H128)),'자료_한국심리'!$G128,"")</f>
        <v/>
      </c>
      <c r="X144">
        <f>IF(AND(ISNUMBER('자료_한국심리'!$J128),ISNUMBER('자료_한국심리'!$K128)),'자료_한국심리'!$J128,"")</f>
        <v/>
      </c>
      <c r="Y144">
        <f>IF(AND(ISNUMBER('자료_한국심리'!$M128),ISNUMBER('자료_한국심리'!$N128)),'자료_한국심리'!$M128,"")</f>
        <v/>
      </c>
    </row>
    <row r="145">
      <c r="A145" s="10">
        <f>IF(127&gt;$E$5,"",SMALL($U$19:$U$4018,$E$6+127))</f>
        <v/>
      </c>
      <c r="B145" s="29">
        <f>IF(A145="","",INDEX('자료_한국심리'!$B$3:$B$4002,MATCH(A145,$U$19:$U$4018,0)))</f>
        <v/>
      </c>
      <c r="C145" s="22">
        <f>IF(A145="","",B145/AVERAGE(B21:B145)-1)</f>
        <v/>
      </c>
      <c r="D145" s="29">
        <f>IF(A145="","",IFERROR(INDEX('자료_한국심리'!$E$3:$E$4002,MATCH(A145,$V$19:$V$4018,0)),D144))</f>
        <v/>
      </c>
      <c r="E145" s="30">
        <f>IF(A145="","",IFERROR(INDEX('자료_한국심리'!$H$3:$H$4002,MATCH(A145,$W$19:$W$4018,0)),E144))</f>
        <v/>
      </c>
      <c r="F145" s="30">
        <f>IF(A145="","",IFERROR(INDEX('자료_한국심리'!$K$3:$K$4002,MATCH(A145,$X$19:$X$4018,0)),F144))</f>
        <v/>
      </c>
      <c r="G145" s="30">
        <f>IF(AND(ISNUMBER(E145),ISNUMBER(F145)),ROUND(E145-F145,6),"")</f>
        <v/>
      </c>
      <c r="H145" s="25">
        <f>IF(A145="","",IFERROR(INDEX('자료_한국심리'!$N$3:$N$4002,MATCH(A145,$Y$19:$Y$4018,0)),H144))</f>
        <v/>
      </c>
      <c r="I145" s="31">
        <f>IF(AND(ISNUMBER(H145),ISNUMBER(H125)),IF(H125&gt;0,H145/H125-1,""),"")</f>
        <v/>
      </c>
      <c r="J145">
        <f>IF(A145="",0,IF(A145&gt;$B$5,1,0))</f>
        <v/>
      </c>
      <c r="K145" s="29">
        <f>IF(AND(J145=1,ISNUMBER(D145)),D145,"")</f>
        <v/>
      </c>
      <c r="L145" s="30">
        <f>IF(AND(J145=1,ISNUMBER(G145)),G145,"")</f>
        <v/>
      </c>
      <c r="M145" s="22">
        <f>IF(AND(J145=1,ISNUMBER(C145)),C145,"")</f>
        <v/>
      </c>
      <c r="N145" s="31">
        <f>IF(AND(J145=1,ISNUMBER(I145)),I145,"")</f>
        <v/>
      </c>
      <c r="O145" s="11">
        <f>IF(K145="","",100-IF($G$13=1,50,(_xlfn.RANK.AVG(K145,$K$19:$K$1518,1)-1)/($G$13-1)*100))</f>
        <v/>
      </c>
      <c r="P145" s="11">
        <f>IF(L145="","",100-IF($G$14=1,50,(_xlfn.RANK.AVG(L145,$L$19:$L$1518,1)-1)/($G$14-1)*100))</f>
        <v/>
      </c>
      <c r="Q145" s="11">
        <f>IF(M145="","",IF($G$15=1,50,(_xlfn.RANK.AVG(M145,$M$19:$M$1518,1)-1)/($G$15-1)*100))</f>
        <v/>
      </c>
      <c r="R145" s="11">
        <f>IF(N145="","",IF($G$16=1,50,(_xlfn.RANK.AVG(N145,$N$19:$N$1518,1)-1)/($G$16-1)*100))</f>
        <v/>
      </c>
      <c r="S145" s="11">
        <f>IF(COUNT(O145:R145)=4,ROUND(AVERAGE(O145:R145),6),"")</f>
        <v/>
      </c>
      <c r="U145">
        <f>IF(AND(ISNUMBER('자료_한국심리'!$A129),ISNUMBER('자료_한국심리'!$B129)),'자료_한국심리'!$A129,"")</f>
        <v/>
      </c>
      <c r="V145">
        <f>IF(AND(ISNUMBER('자료_한국심리'!$D129),ISNUMBER('자료_한국심리'!$E129)),'자료_한국심리'!$D129,"")</f>
        <v/>
      </c>
      <c r="W145">
        <f>IF(AND(ISNUMBER('자료_한국심리'!$G129),ISNUMBER('자료_한국심리'!$H129)),'자료_한국심리'!$G129,"")</f>
        <v/>
      </c>
      <c r="X145">
        <f>IF(AND(ISNUMBER('자료_한국심리'!$J129),ISNUMBER('자료_한국심리'!$K129)),'자료_한국심리'!$J129,"")</f>
        <v/>
      </c>
      <c r="Y145">
        <f>IF(AND(ISNUMBER('자료_한국심리'!$M129),ISNUMBER('자료_한국심리'!$N129)),'자료_한국심리'!$M129,"")</f>
        <v/>
      </c>
    </row>
    <row r="146">
      <c r="A146" s="10">
        <f>IF(128&gt;$E$5,"",SMALL($U$19:$U$4018,$E$6+128))</f>
        <v/>
      </c>
      <c r="B146" s="29">
        <f>IF(A146="","",INDEX('자료_한국심리'!$B$3:$B$4002,MATCH(A146,$U$19:$U$4018,0)))</f>
        <v/>
      </c>
      <c r="C146" s="22">
        <f>IF(A146="","",B146/AVERAGE(B22:B146)-1)</f>
        <v/>
      </c>
      <c r="D146" s="29">
        <f>IF(A146="","",IFERROR(INDEX('자료_한국심리'!$E$3:$E$4002,MATCH(A146,$V$19:$V$4018,0)),D145))</f>
        <v/>
      </c>
      <c r="E146" s="30">
        <f>IF(A146="","",IFERROR(INDEX('자료_한국심리'!$H$3:$H$4002,MATCH(A146,$W$19:$W$4018,0)),E145))</f>
        <v/>
      </c>
      <c r="F146" s="30">
        <f>IF(A146="","",IFERROR(INDEX('자료_한국심리'!$K$3:$K$4002,MATCH(A146,$X$19:$X$4018,0)),F145))</f>
        <v/>
      </c>
      <c r="G146" s="30">
        <f>IF(AND(ISNUMBER(E146),ISNUMBER(F146)),ROUND(E146-F146,6),"")</f>
        <v/>
      </c>
      <c r="H146" s="25">
        <f>IF(A146="","",IFERROR(INDEX('자료_한국심리'!$N$3:$N$4002,MATCH(A146,$Y$19:$Y$4018,0)),H145))</f>
        <v/>
      </c>
      <c r="I146" s="31">
        <f>IF(AND(ISNUMBER(H146),ISNUMBER(H126)),IF(H126&gt;0,H146/H126-1,""),"")</f>
        <v/>
      </c>
      <c r="J146">
        <f>IF(A146="",0,IF(A146&gt;$B$5,1,0))</f>
        <v/>
      </c>
      <c r="K146" s="29">
        <f>IF(AND(J146=1,ISNUMBER(D146)),D146,"")</f>
        <v/>
      </c>
      <c r="L146" s="30">
        <f>IF(AND(J146=1,ISNUMBER(G146)),G146,"")</f>
        <v/>
      </c>
      <c r="M146" s="22">
        <f>IF(AND(J146=1,ISNUMBER(C146)),C146,"")</f>
        <v/>
      </c>
      <c r="N146" s="31">
        <f>IF(AND(J146=1,ISNUMBER(I146)),I146,"")</f>
        <v/>
      </c>
      <c r="O146" s="11">
        <f>IF(K146="","",100-IF($G$13=1,50,(_xlfn.RANK.AVG(K146,$K$19:$K$1518,1)-1)/($G$13-1)*100))</f>
        <v/>
      </c>
      <c r="P146" s="11">
        <f>IF(L146="","",100-IF($G$14=1,50,(_xlfn.RANK.AVG(L146,$L$19:$L$1518,1)-1)/($G$14-1)*100))</f>
        <v/>
      </c>
      <c r="Q146" s="11">
        <f>IF(M146="","",IF($G$15=1,50,(_xlfn.RANK.AVG(M146,$M$19:$M$1518,1)-1)/($G$15-1)*100))</f>
        <v/>
      </c>
      <c r="R146" s="11">
        <f>IF(N146="","",IF($G$16=1,50,(_xlfn.RANK.AVG(N146,$N$19:$N$1518,1)-1)/($G$16-1)*100))</f>
        <v/>
      </c>
      <c r="S146" s="11">
        <f>IF(COUNT(O146:R146)=4,ROUND(AVERAGE(O146:R146),6),"")</f>
        <v/>
      </c>
      <c r="U146">
        <f>IF(AND(ISNUMBER('자료_한국심리'!$A130),ISNUMBER('자료_한국심리'!$B130)),'자료_한국심리'!$A130,"")</f>
        <v/>
      </c>
      <c r="V146">
        <f>IF(AND(ISNUMBER('자료_한국심리'!$D130),ISNUMBER('자료_한국심리'!$E130)),'자료_한국심리'!$D130,"")</f>
        <v/>
      </c>
      <c r="W146">
        <f>IF(AND(ISNUMBER('자료_한국심리'!$G130),ISNUMBER('자료_한국심리'!$H130)),'자료_한국심리'!$G130,"")</f>
        <v/>
      </c>
      <c r="X146">
        <f>IF(AND(ISNUMBER('자료_한국심리'!$J130),ISNUMBER('자료_한국심리'!$K130)),'자료_한국심리'!$J130,"")</f>
        <v/>
      </c>
      <c r="Y146">
        <f>IF(AND(ISNUMBER('자료_한국심리'!$M130),ISNUMBER('자료_한국심리'!$N130)),'자료_한국심리'!$M130,"")</f>
        <v/>
      </c>
    </row>
    <row r="147">
      <c r="A147" s="10">
        <f>IF(129&gt;$E$5,"",SMALL($U$19:$U$4018,$E$6+129))</f>
        <v/>
      </c>
      <c r="B147" s="29">
        <f>IF(A147="","",INDEX('자료_한국심리'!$B$3:$B$4002,MATCH(A147,$U$19:$U$4018,0)))</f>
        <v/>
      </c>
      <c r="C147" s="22">
        <f>IF(A147="","",B147/AVERAGE(B23:B147)-1)</f>
        <v/>
      </c>
      <c r="D147" s="29">
        <f>IF(A147="","",IFERROR(INDEX('자료_한국심리'!$E$3:$E$4002,MATCH(A147,$V$19:$V$4018,0)),D146))</f>
        <v/>
      </c>
      <c r="E147" s="30">
        <f>IF(A147="","",IFERROR(INDEX('자료_한국심리'!$H$3:$H$4002,MATCH(A147,$W$19:$W$4018,0)),E146))</f>
        <v/>
      </c>
      <c r="F147" s="30">
        <f>IF(A147="","",IFERROR(INDEX('자료_한국심리'!$K$3:$K$4002,MATCH(A147,$X$19:$X$4018,0)),F146))</f>
        <v/>
      </c>
      <c r="G147" s="30">
        <f>IF(AND(ISNUMBER(E147),ISNUMBER(F147)),ROUND(E147-F147,6),"")</f>
        <v/>
      </c>
      <c r="H147" s="25">
        <f>IF(A147="","",IFERROR(INDEX('자료_한국심리'!$N$3:$N$4002,MATCH(A147,$Y$19:$Y$4018,0)),H146))</f>
        <v/>
      </c>
      <c r="I147" s="31">
        <f>IF(AND(ISNUMBER(H147),ISNUMBER(H127)),IF(H127&gt;0,H147/H127-1,""),"")</f>
        <v/>
      </c>
      <c r="J147">
        <f>IF(A147="",0,IF(A147&gt;$B$5,1,0))</f>
        <v/>
      </c>
      <c r="K147" s="29">
        <f>IF(AND(J147=1,ISNUMBER(D147)),D147,"")</f>
        <v/>
      </c>
      <c r="L147" s="30">
        <f>IF(AND(J147=1,ISNUMBER(G147)),G147,"")</f>
        <v/>
      </c>
      <c r="M147" s="22">
        <f>IF(AND(J147=1,ISNUMBER(C147)),C147,"")</f>
        <v/>
      </c>
      <c r="N147" s="31">
        <f>IF(AND(J147=1,ISNUMBER(I147)),I147,"")</f>
        <v/>
      </c>
      <c r="O147" s="11">
        <f>IF(K147="","",100-IF($G$13=1,50,(_xlfn.RANK.AVG(K147,$K$19:$K$1518,1)-1)/($G$13-1)*100))</f>
        <v/>
      </c>
      <c r="P147" s="11">
        <f>IF(L147="","",100-IF($G$14=1,50,(_xlfn.RANK.AVG(L147,$L$19:$L$1518,1)-1)/($G$14-1)*100))</f>
        <v/>
      </c>
      <c r="Q147" s="11">
        <f>IF(M147="","",IF($G$15=1,50,(_xlfn.RANK.AVG(M147,$M$19:$M$1518,1)-1)/($G$15-1)*100))</f>
        <v/>
      </c>
      <c r="R147" s="11">
        <f>IF(N147="","",IF($G$16=1,50,(_xlfn.RANK.AVG(N147,$N$19:$N$1518,1)-1)/($G$16-1)*100))</f>
        <v/>
      </c>
      <c r="S147" s="11">
        <f>IF(COUNT(O147:R147)=4,ROUND(AVERAGE(O147:R147),6),"")</f>
        <v/>
      </c>
      <c r="U147">
        <f>IF(AND(ISNUMBER('자료_한국심리'!$A131),ISNUMBER('자료_한국심리'!$B131)),'자료_한국심리'!$A131,"")</f>
        <v/>
      </c>
      <c r="V147">
        <f>IF(AND(ISNUMBER('자료_한국심리'!$D131),ISNUMBER('자료_한국심리'!$E131)),'자료_한국심리'!$D131,"")</f>
        <v/>
      </c>
      <c r="W147">
        <f>IF(AND(ISNUMBER('자료_한국심리'!$G131),ISNUMBER('자료_한국심리'!$H131)),'자료_한국심리'!$G131,"")</f>
        <v/>
      </c>
      <c r="X147">
        <f>IF(AND(ISNUMBER('자료_한국심리'!$J131),ISNUMBER('자료_한국심리'!$K131)),'자료_한국심리'!$J131,"")</f>
        <v/>
      </c>
      <c r="Y147">
        <f>IF(AND(ISNUMBER('자료_한국심리'!$M131),ISNUMBER('자료_한국심리'!$N131)),'자료_한국심리'!$M131,"")</f>
        <v/>
      </c>
    </row>
    <row r="148">
      <c r="A148" s="10">
        <f>IF(130&gt;$E$5,"",SMALL($U$19:$U$4018,$E$6+130))</f>
        <v/>
      </c>
      <c r="B148" s="29">
        <f>IF(A148="","",INDEX('자료_한국심리'!$B$3:$B$4002,MATCH(A148,$U$19:$U$4018,0)))</f>
        <v/>
      </c>
      <c r="C148" s="22">
        <f>IF(A148="","",B148/AVERAGE(B24:B148)-1)</f>
        <v/>
      </c>
      <c r="D148" s="29">
        <f>IF(A148="","",IFERROR(INDEX('자료_한국심리'!$E$3:$E$4002,MATCH(A148,$V$19:$V$4018,0)),D147))</f>
        <v/>
      </c>
      <c r="E148" s="30">
        <f>IF(A148="","",IFERROR(INDEX('자료_한국심리'!$H$3:$H$4002,MATCH(A148,$W$19:$W$4018,0)),E147))</f>
        <v/>
      </c>
      <c r="F148" s="30">
        <f>IF(A148="","",IFERROR(INDEX('자료_한국심리'!$K$3:$K$4002,MATCH(A148,$X$19:$X$4018,0)),F147))</f>
        <v/>
      </c>
      <c r="G148" s="30">
        <f>IF(AND(ISNUMBER(E148),ISNUMBER(F148)),ROUND(E148-F148,6),"")</f>
        <v/>
      </c>
      <c r="H148" s="25">
        <f>IF(A148="","",IFERROR(INDEX('자료_한국심리'!$N$3:$N$4002,MATCH(A148,$Y$19:$Y$4018,0)),H147))</f>
        <v/>
      </c>
      <c r="I148" s="31">
        <f>IF(AND(ISNUMBER(H148),ISNUMBER(H128)),IF(H128&gt;0,H148/H128-1,""),"")</f>
        <v/>
      </c>
      <c r="J148">
        <f>IF(A148="",0,IF(A148&gt;$B$5,1,0))</f>
        <v/>
      </c>
      <c r="K148" s="29">
        <f>IF(AND(J148=1,ISNUMBER(D148)),D148,"")</f>
        <v/>
      </c>
      <c r="L148" s="30">
        <f>IF(AND(J148=1,ISNUMBER(G148)),G148,"")</f>
        <v/>
      </c>
      <c r="M148" s="22">
        <f>IF(AND(J148=1,ISNUMBER(C148)),C148,"")</f>
        <v/>
      </c>
      <c r="N148" s="31">
        <f>IF(AND(J148=1,ISNUMBER(I148)),I148,"")</f>
        <v/>
      </c>
      <c r="O148" s="11">
        <f>IF(K148="","",100-IF($G$13=1,50,(_xlfn.RANK.AVG(K148,$K$19:$K$1518,1)-1)/($G$13-1)*100))</f>
        <v/>
      </c>
      <c r="P148" s="11">
        <f>IF(L148="","",100-IF($G$14=1,50,(_xlfn.RANK.AVG(L148,$L$19:$L$1518,1)-1)/($G$14-1)*100))</f>
        <v/>
      </c>
      <c r="Q148" s="11">
        <f>IF(M148="","",IF($G$15=1,50,(_xlfn.RANK.AVG(M148,$M$19:$M$1518,1)-1)/($G$15-1)*100))</f>
        <v/>
      </c>
      <c r="R148" s="11">
        <f>IF(N148="","",IF($G$16=1,50,(_xlfn.RANK.AVG(N148,$N$19:$N$1518,1)-1)/($G$16-1)*100))</f>
        <v/>
      </c>
      <c r="S148" s="11">
        <f>IF(COUNT(O148:R148)=4,ROUND(AVERAGE(O148:R148),6),"")</f>
        <v/>
      </c>
      <c r="U148">
        <f>IF(AND(ISNUMBER('자료_한국심리'!$A132),ISNUMBER('자료_한국심리'!$B132)),'자료_한국심리'!$A132,"")</f>
        <v/>
      </c>
      <c r="V148">
        <f>IF(AND(ISNUMBER('자료_한국심리'!$D132),ISNUMBER('자료_한국심리'!$E132)),'자료_한국심리'!$D132,"")</f>
        <v/>
      </c>
      <c r="W148">
        <f>IF(AND(ISNUMBER('자료_한국심리'!$G132),ISNUMBER('자료_한국심리'!$H132)),'자료_한국심리'!$G132,"")</f>
        <v/>
      </c>
      <c r="X148">
        <f>IF(AND(ISNUMBER('자료_한국심리'!$J132),ISNUMBER('자료_한국심리'!$K132)),'자료_한국심리'!$J132,"")</f>
        <v/>
      </c>
      <c r="Y148">
        <f>IF(AND(ISNUMBER('자료_한국심리'!$M132),ISNUMBER('자료_한국심리'!$N132)),'자료_한국심리'!$M132,"")</f>
        <v/>
      </c>
    </row>
    <row r="149">
      <c r="A149" s="10">
        <f>IF(131&gt;$E$5,"",SMALL($U$19:$U$4018,$E$6+131))</f>
        <v/>
      </c>
      <c r="B149" s="29">
        <f>IF(A149="","",INDEX('자료_한국심리'!$B$3:$B$4002,MATCH(A149,$U$19:$U$4018,0)))</f>
        <v/>
      </c>
      <c r="C149" s="22">
        <f>IF(A149="","",B149/AVERAGE(B25:B149)-1)</f>
        <v/>
      </c>
      <c r="D149" s="29">
        <f>IF(A149="","",IFERROR(INDEX('자료_한국심리'!$E$3:$E$4002,MATCH(A149,$V$19:$V$4018,0)),D148))</f>
        <v/>
      </c>
      <c r="E149" s="30">
        <f>IF(A149="","",IFERROR(INDEX('자료_한국심리'!$H$3:$H$4002,MATCH(A149,$W$19:$W$4018,0)),E148))</f>
        <v/>
      </c>
      <c r="F149" s="30">
        <f>IF(A149="","",IFERROR(INDEX('자료_한국심리'!$K$3:$K$4002,MATCH(A149,$X$19:$X$4018,0)),F148))</f>
        <v/>
      </c>
      <c r="G149" s="30">
        <f>IF(AND(ISNUMBER(E149),ISNUMBER(F149)),ROUND(E149-F149,6),"")</f>
        <v/>
      </c>
      <c r="H149" s="25">
        <f>IF(A149="","",IFERROR(INDEX('자료_한국심리'!$N$3:$N$4002,MATCH(A149,$Y$19:$Y$4018,0)),H148))</f>
        <v/>
      </c>
      <c r="I149" s="31">
        <f>IF(AND(ISNUMBER(H149),ISNUMBER(H129)),IF(H129&gt;0,H149/H129-1,""),"")</f>
        <v/>
      </c>
      <c r="J149">
        <f>IF(A149="",0,IF(A149&gt;$B$5,1,0))</f>
        <v/>
      </c>
      <c r="K149" s="29">
        <f>IF(AND(J149=1,ISNUMBER(D149)),D149,"")</f>
        <v/>
      </c>
      <c r="L149" s="30">
        <f>IF(AND(J149=1,ISNUMBER(G149)),G149,"")</f>
        <v/>
      </c>
      <c r="M149" s="22">
        <f>IF(AND(J149=1,ISNUMBER(C149)),C149,"")</f>
        <v/>
      </c>
      <c r="N149" s="31">
        <f>IF(AND(J149=1,ISNUMBER(I149)),I149,"")</f>
        <v/>
      </c>
      <c r="O149" s="11">
        <f>IF(K149="","",100-IF($G$13=1,50,(_xlfn.RANK.AVG(K149,$K$19:$K$1518,1)-1)/($G$13-1)*100))</f>
        <v/>
      </c>
      <c r="P149" s="11">
        <f>IF(L149="","",100-IF($G$14=1,50,(_xlfn.RANK.AVG(L149,$L$19:$L$1518,1)-1)/($G$14-1)*100))</f>
        <v/>
      </c>
      <c r="Q149" s="11">
        <f>IF(M149="","",IF($G$15=1,50,(_xlfn.RANK.AVG(M149,$M$19:$M$1518,1)-1)/($G$15-1)*100))</f>
        <v/>
      </c>
      <c r="R149" s="11">
        <f>IF(N149="","",IF($G$16=1,50,(_xlfn.RANK.AVG(N149,$N$19:$N$1518,1)-1)/($G$16-1)*100))</f>
        <v/>
      </c>
      <c r="S149" s="11">
        <f>IF(COUNT(O149:R149)=4,ROUND(AVERAGE(O149:R149),6),"")</f>
        <v/>
      </c>
      <c r="U149">
        <f>IF(AND(ISNUMBER('자료_한국심리'!$A133),ISNUMBER('자료_한국심리'!$B133)),'자료_한국심리'!$A133,"")</f>
        <v/>
      </c>
      <c r="V149">
        <f>IF(AND(ISNUMBER('자료_한국심리'!$D133),ISNUMBER('자료_한국심리'!$E133)),'자료_한국심리'!$D133,"")</f>
        <v/>
      </c>
      <c r="W149">
        <f>IF(AND(ISNUMBER('자료_한국심리'!$G133),ISNUMBER('자료_한국심리'!$H133)),'자료_한국심리'!$G133,"")</f>
        <v/>
      </c>
      <c r="X149">
        <f>IF(AND(ISNUMBER('자료_한국심리'!$J133),ISNUMBER('자료_한국심리'!$K133)),'자료_한국심리'!$J133,"")</f>
        <v/>
      </c>
      <c r="Y149">
        <f>IF(AND(ISNUMBER('자료_한국심리'!$M133),ISNUMBER('자료_한국심리'!$N133)),'자료_한국심리'!$M133,"")</f>
        <v/>
      </c>
    </row>
    <row r="150">
      <c r="A150" s="10">
        <f>IF(132&gt;$E$5,"",SMALL($U$19:$U$4018,$E$6+132))</f>
        <v/>
      </c>
      <c r="B150" s="29">
        <f>IF(A150="","",INDEX('자료_한국심리'!$B$3:$B$4002,MATCH(A150,$U$19:$U$4018,0)))</f>
        <v/>
      </c>
      <c r="C150" s="22">
        <f>IF(A150="","",B150/AVERAGE(B26:B150)-1)</f>
        <v/>
      </c>
      <c r="D150" s="29">
        <f>IF(A150="","",IFERROR(INDEX('자료_한국심리'!$E$3:$E$4002,MATCH(A150,$V$19:$V$4018,0)),D149))</f>
        <v/>
      </c>
      <c r="E150" s="30">
        <f>IF(A150="","",IFERROR(INDEX('자료_한국심리'!$H$3:$H$4002,MATCH(A150,$W$19:$W$4018,0)),E149))</f>
        <v/>
      </c>
      <c r="F150" s="30">
        <f>IF(A150="","",IFERROR(INDEX('자료_한국심리'!$K$3:$K$4002,MATCH(A150,$X$19:$X$4018,0)),F149))</f>
        <v/>
      </c>
      <c r="G150" s="30">
        <f>IF(AND(ISNUMBER(E150),ISNUMBER(F150)),ROUND(E150-F150,6),"")</f>
        <v/>
      </c>
      <c r="H150" s="25">
        <f>IF(A150="","",IFERROR(INDEX('자료_한국심리'!$N$3:$N$4002,MATCH(A150,$Y$19:$Y$4018,0)),H149))</f>
        <v/>
      </c>
      <c r="I150" s="31">
        <f>IF(AND(ISNUMBER(H150),ISNUMBER(H130)),IF(H130&gt;0,H150/H130-1,""),"")</f>
        <v/>
      </c>
      <c r="J150">
        <f>IF(A150="",0,IF(A150&gt;$B$5,1,0))</f>
        <v/>
      </c>
      <c r="K150" s="29">
        <f>IF(AND(J150=1,ISNUMBER(D150)),D150,"")</f>
        <v/>
      </c>
      <c r="L150" s="30">
        <f>IF(AND(J150=1,ISNUMBER(G150)),G150,"")</f>
        <v/>
      </c>
      <c r="M150" s="22">
        <f>IF(AND(J150=1,ISNUMBER(C150)),C150,"")</f>
        <v/>
      </c>
      <c r="N150" s="31">
        <f>IF(AND(J150=1,ISNUMBER(I150)),I150,"")</f>
        <v/>
      </c>
      <c r="O150" s="11">
        <f>IF(K150="","",100-IF($G$13=1,50,(_xlfn.RANK.AVG(K150,$K$19:$K$1518,1)-1)/($G$13-1)*100))</f>
        <v/>
      </c>
      <c r="P150" s="11">
        <f>IF(L150="","",100-IF($G$14=1,50,(_xlfn.RANK.AVG(L150,$L$19:$L$1518,1)-1)/($G$14-1)*100))</f>
        <v/>
      </c>
      <c r="Q150" s="11">
        <f>IF(M150="","",IF($G$15=1,50,(_xlfn.RANK.AVG(M150,$M$19:$M$1518,1)-1)/($G$15-1)*100))</f>
        <v/>
      </c>
      <c r="R150" s="11">
        <f>IF(N150="","",IF($G$16=1,50,(_xlfn.RANK.AVG(N150,$N$19:$N$1518,1)-1)/($G$16-1)*100))</f>
        <v/>
      </c>
      <c r="S150" s="11">
        <f>IF(COUNT(O150:R150)=4,ROUND(AVERAGE(O150:R150),6),"")</f>
        <v/>
      </c>
      <c r="U150">
        <f>IF(AND(ISNUMBER('자료_한국심리'!$A134),ISNUMBER('자료_한국심리'!$B134)),'자료_한국심리'!$A134,"")</f>
        <v/>
      </c>
      <c r="V150">
        <f>IF(AND(ISNUMBER('자료_한국심리'!$D134),ISNUMBER('자료_한국심리'!$E134)),'자료_한국심리'!$D134,"")</f>
        <v/>
      </c>
      <c r="W150">
        <f>IF(AND(ISNUMBER('자료_한국심리'!$G134),ISNUMBER('자료_한국심리'!$H134)),'자료_한국심리'!$G134,"")</f>
        <v/>
      </c>
      <c r="X150">
        <f>IF(AND(ISNUMBER('자료_한국심리'!$J134),ISNUMBER('자료_한국심리'!$K134)),'자료_한국심리'!$J134,"")</f>
        <v/>
      </c>
      <c r="Y150">
        <f>IF(AND(ISNUMBER('자료_한국심리'!$M134),ISNUMBER('자료_한국심리'!$N134)),'자료_한국심리'!$M134,"")</f>
        <v/>
      </c>
    </row>
    <row r="151">
      <c r="A151" s="10">
        <f>IF(133&gt;$E$5,"",SMALL($U$19:$U$4018,$E$6+133))</f>
        <v/>
      </c>
      <c r="B151" s="29">
        <f>IF(A151="","",INDEX('자료_한국심리'!$B$3:$B$4002,MATCH(A151,$U$19:$U$4018,0)))</f>
        <v/>
      </c>
      <c r="C151" s="22">
        <f>IF(A151="","",B151/AVERAGE(B27:B151)-1)</f>
        <v/>
      </c>
      <c r="D151" s="29">
        <f>IF(A151="","",IFERROR(INDEX('자료_한국심리'!$E$3:$E$4002,MATCH(A151,$V$19:$V$4018,0)),D150))</f>
        <v/>
      </c>
      <c r="E151" s="30">
        <f>IF(A151="","",IFERROR(INDEX('자료_한국심리'!$H$3:$H$4002,MATCH(A151,$W$19:$W$4018,0)),E150))</f>
        <v/>
      </c>
      <c r="F151" s="30">
        <f>IF(A151="","",IFERROR(INDEX('자료_한국심리'!$K$3:$K$4002,MATCH(A151,$X$19:$X$4018,0)),F150))</f>
        <v/>
      </c>
      <c r="G151" s="30">
        <f>IF(AND(ISNUMBER(E151),ISNUMBER(F151)),ROUND(E151-F151,6),"")</f>
        <v/>
      </c>
      <c r="H151" s="25">
        <f>IF(A151="","",IFERROR(INDEX('자료_한국심리'!$N$3:$N$4002,MATCH(A151,$Y$19:$Y$4018,0)),H150))</f>
        <v/>
      </c>
      <c r="I151" s="31">
        <f>IF(AND(ISNUMBER(H151),ISNUMBER(H131)),IF(H131&gt;0,H151/H131-1,""),"")</f>
        <v/>
      </c>
      <c r="J151">
        <f>IF(A151="",0,IF(A151&gt;$B$5,1,0))</f>
        <v/>
      </c>
      <c r="K151" s="29">
        <f>IF(AND(J151=1,ISNUMBER(D151)),D151,"")</f>
        <v/>
      </c>
      <c r="L151" s="30">
        <f>IF(AND(J151=1,ISNUMBER(G151)),G151,"")</f>
        <v/>
      </c>
      <c r="M151" s="22">
        <f>IF(AND(J151=1,ISNUMBER(C151)),C151,"")</f>
        <v/>
      </c>
      <c r="N151" s="31">
        <f>IF(AND(J151=1,ISNUMBER(I151)),I151,"")</f>
        <v/>
      </c>
      <c r="O151" s="11">
        <f>IF(K151="","",100-IF($G$13=1,50,(_xlfn.RANK.AVG(K151,$K$19:$K$1518,1)-1)/($G$13-1)*100))</f>
        <v/>
      </c>
      <c r="P151" s="11">
        <f>IF(L151="","",100-IF($G$14=1,50,(_xlfn.RANK.AVG(L151,$L$19:$L$1518,1)-1)/($G$14-1)*100))</f>
        <v/>
      </c>
      <c r="Q151" s="11">
        <f>IF(M151="","",IF($G$15=1,50,(_xlfn.RANK.AVG(M151,$M$19:$M$1518,1)-1)/($G$15-1)*100))</f>
        <v/>
      </c>
      <c r="R151" s="11">
        <f>IF(N151="","",IF($G$16=1,50,(_xlfn.RANK.AVG(N151,$N$19:$N$1518,1)-1)/($G$16-1)*100))</f>
        <v/>
      </c>
      <c r="S151" s="11">
        <f>IF(COUNT(O151:R151)=4,ROUND(AVERAGE(O151:R151),6),"")</f>
        <v/>
      </c>
      <c r="U151">
        <f>IF(AND(ISNUMBER('자료_한국심리'!$A135),ISNUMBER('자료_한국심리'!$B135)),'자료_한국심리'!$A135,"")</f>
        <v/>
      </c>
      <c r="V151">
        <f>IF(AND(ISNUMBER('자료_한국심리'!$D135),ISNUMBER('자료_한국심리'!$E135)),'자료_한국심리'!$D135,"")</f>
        <v/>
      </c>
      <c r="W151">
        <f>IF(AND(ISNUMBER('자료_한국심리'!$G135),ISNUMBER('자료_한국심리'!$H135)),'자료_한국심리'!$G135,"")</f>
        <v/>
      </c>
      <c r="X151">
        <f>IF(AND(ISNUMBER('자료_한국심리'!$J135),ISNUMBER('자료_한국심리'!$K135)),'자료_한국심리'!$J135,"")</f>
        <v/>
      </c>
      <c r="Y151">
        <f>IF(AND(ISNUMBER('자료_한국심리'!$M135),ISNUMBER('자료_한국심리'!$N135)),'자료_한국심리'!$M135,"")</f>
        <v/>
      </c>
    </row>
    <row r="152">
      <c r="A152" s="10">
        <f>IF(134&gt;$E$5,"",SMALL($U$19:$U$4018,$E$6+134))</f>
        <v/>
      </c>
      <c r="B152" s="29">
        <f>IF(A152="","",INDEX('자료_한국심리'!$B$3:$B$4002,MATCH(A152,$U$19:$U$4018,0)))</f>
        <v/>
      </c>
      <c r="C152" s="22">
        <f>IF(A152="","",B152/AVERAGE(B28:B152)-1)</f>
        <v/>
      </c>
      <c r="D152" s="29">
        <f>IF(A152="","",IFERROR(INDEX('자료_한국심리'!$E$3:$E$4002,MATCH(A152,$V$19:$V$4018,0)),D151))</f>
        <v/>
      </c>
      <c r="E152" s="30">
        <f>IF(A152="","",IFERROR(INDEX('자료_한국심리'!$H$3:$H$4002,MATCH(A152,$W$19:$W$4018,0)),E151))</f>
        <v/>
      </c>
      <c r="F152" s="30">
        <f>IF(A152="","",IFERROR(INDEX('자료_한국심리'!$K$3:$K$4002,MATCH(A152,$X$19:$X$4018,0)),F151))</f>
        <v/>
      </c>
      <c r="G152" s="30">
        <f>IF(AND(ISNUMBER(E152),ISNUMBER(F152)),ROUND(E152-F152,6),"")</f>
        <v/>
      </c>
      <c r="H152" s="25">
        <f>IF(A152="","",IFERROR(INDEX('자료_한국심리'!$N$3:$N$4002,MATCH(A152,$Y$19:$Y$4018,0)),H151))</f>
        <v/>
      </c>
      <c r="I152" s="31">
        <f>IF(AND(ISNUMBER(H152),ISNUMBER(H132)),IF(H132&gt;0,H152/H132-1,""),"")</f>
        <v/>
      </c>
      <c r="J152">
        <f>IF(A152="",0,IF(A152&gt;$B$5,1,0))</f>
        <v/>
      </c>
      <c r="K152" s="29">
        <f>IF(AND(J152=1,ISNUMBER(D152)),D152,"")</f>
        <v/>
      </c>
      <c r="L152" s="30">
        <f>IF(AND(J152=1,ISNUMBER(G152)),G152,"")</f>
        <v/>
      </c>
      <c r="M152" s="22">
        <f>IF(AND(J152=1,ISNUMBER(C152)),C152,"")</f>
        <v/>
      </c>
      <c r="N152" s="31">
        <f>IF(AND(J152=1,ISNUMBER(I152)),I152,"")</f>
        <v/>
      </c>
      <c r="O152" s="11">
        <f>IF(K152="","",100-IF($G$13=1,50,(_xlfn.RANK.AVG(K152,$K$19:$K$1518,1)-1)/($G$13-1)*100))</f>
        <v/>
      </c>
      <c r="P152" s="11">
        <f>IF(L152="","",100-IF($G$14=1,50,(_xlfn.RANK.AVG(L152,$L$19:$L$1518,1)-1)/($G$14-1)*100))</f>
        <v/>
      </c>
      <c r="Q152" s="11">
        <f>IF(M152="","",IF($G$15=1,50,(_xlfn.RANK.AVG(M152,$M$19:$M$1518,1)-1)/($G$15-1)*100))</f>
        <v/>
      </c>
      <c r="R152" s="11">
        <f>IF(N152="","",IF($G$16=1,50,(_xlfn.RANK.AVG(N152,$N$19:$N$1518,1)-1)/($G$16-1)*100))</f>
        <v/>
      </c>
      <c r="S152" s="11">
        <f>IF(COUNT(O152:R152)=4,ROUND(AVERAGE(O152:R152),6),"")</f>
        <v/>
      </c>
      <c r="U152">
        <f>IF(AND(ISNUMBER('자료_한국심리'!$A136),ISNUMBER('자료_한국심리'!$B136)),'자료_한국심리'!$A136,"")</f>
        <v/>
      </c>
      <c r="V152">
        <f>IF(AND(ISNUMBER('자료_한국심리'!$D136),ISNUMBER('자료_한국심리'!$E136)),'자료_한국심리'!$D136,"")</f>
        <v/>
      </c>
      <c r="W152">
        <f>IF(AND(ISNUMBER('자료_한국심리'!$G136),ISNUMBER('자료_한국심리'!$H136)),'자료_한국심리'!$G136,"")</f>
        <v/>
      </c>
      <c r="X152">
        <f>IF(AND(ISNUMBER('자료_한국심리'!$J136),ISNUMBER('자료_한국심리'!$K136)),'자료_한국심리'!$J136,"")</f>
        <v/>
      </c>
      <c r="Y152">
        <f>IF(AND(ISNUMBER('자료_한국심리'!$M136),ISNUMBER('자료_한국심리'!$N136)),'자료_한국심리'!$M136,"")</f>
        <v/>
      </c>
    </row>
    <row r="153">
      <c r="A153" s="10">
        <f>IF(135&gt;$E$5,"",SMALL($U$19:$U$4018,$E$6+135))</f>
        <v/>
      </c>
      <c r="B153" s="29">
        <f>IF(A153="","",INDEX('자료_한국심리'!$B$3:$B$4002,MATCH(A153,$U$19:$U$4018,0)))</f>
        <v/>
      </c>
      <c r="C153" s="22">
        <f>IF(A153="","",B153/AVERAGE(B29:B153)-1)</f>
        <v/>
      </c>
      <c r="D153" s="29">
        <f>IF(A153="","",IFERROR(INDEX('자료_한국심리'!$E$3:$E$4002,MATCH(A153,$V$19:$V$4018,0)),D152))</f>
        <v/>
      </c>
      <c r="E153" s="30">
        <f>IF(A153="","",IFERROR(INDEX('자료_한국심리'!$H$3:$H$4002,MATCH(A153,$W$19:$W$4018,0)),E152))</f>
        <v/>
      </c>
      <c r="F153" s="30">
        <f>IF(A153="","",IFERROR(INDEX('자료_한국심리'!$K$3:$K$4002,MATCH(A153,$X$19:$X$4018,0)),F152))</f>
        <v/>
      </c>
      <c r="G153" s="30">
        <f>IF(AND(ISNUMBER(E153),ISNUMBER(F153)),ROUND(E153-F153,6),"")</f>
        <v/>
      </c>
      <c r="H153" s="25">
        <f>IF(A153="","",IFERROR(INDEX('자료_한국심리'!$N$3:$N$4002,MATCH(A153,$Y$19:$Y$4018,0)),H152))</f>
        <v/>
      </c>
      <c r="I153" s="31">
        <f>IF(AND(ISNUMBER(H153),ISNUMBER(H133)),IF(H133&gt;0,H153/H133-1,""),"")</f>
        <v/>
      </c>
      <c r="J153">
        <f>IF(A153="",0,IF(A153&gt;$B$5,1,0))</f>
        <v/>
      </c>
      <c r="K153" s="29">
        <f>IF(AND(J153=1,ISNUMBER(D153)),D153,"")</f>
        <v/>
      </c>
      <c r="L153" s="30">
        <f>IF(AND(J153=1,ISNUMBER(G153)),G153,"")</f>
        <v/>
      </c>
      <c r="M153" s="22">
        <f>IF(AND(J153=1,ISNUMBER(C153)),C153,"")</f>
        <v/>
      </c>
      <c r="N153" s="31">
        <f>IF(AND(J153=1,ISNUMBER(I153)),I153,"")</f>
        <v/>
      </c>
      <c r="O153" s="11">
        <f>IF(K153="","",100-IF($G$13=1,50,(_xlfn.RANK.AVG(K153,$K$19:$K$1518,1)-1)/($G$13-1)*100))</f>
        <v/>
      </c>
      <c r="P153" s="11">
        <f>IF(L153="","",100-IF($G$14=1,50,(_xlfn.RANK.AVG(L153,$L$19:$L$1518,1)-1)/($G$14-1)*100))</f>
        <v/>
      </c>
      <c r="Q153" s="11">
        <f>IF(M153="","",IF($G$15=1,50,(_xlfn.RANK.AVG(M153,$M$19:$M$1518,1)-1)/($G$15-1)*100))</f>
        <v/>
      </c>
      <c r="R153" s="11">
        <f>IF(N153="","",IF($G$16=1,50,(_xlfn.RANK.AVG(N153,$N$19:$N$1518,1)-1)/($G$16-1)*100))</f>
        <v/>
      </c>
      <c r="S153" s="11">
        <f>IF(COUNT(O153:R153)=4,ROUND(AVERAGE(O153:R153),6),"")</f>
        <v/>
      </c>
      <c r="U153">
        <f>IF(AND(ISNUMBER('자료_한국심리'!$A137),ISNUMBER('자료_한국심리'!$B137)),'자료_한국심리'!$A137,"")</f>
        <v/>
      </c>
      <c r="V153">
        <f>IF(AND(ISNUMBER('자료_한국심리'!$D137),ISNUMBER('자료_한국심리'!$E137)),'자료_한국심리'!$D137,"")</f>
        <v/>
      </c>
      <c r="W153">
        <f>IF(AND(ISNUMBER('자료_한국심리'!$G137),ISNUMBER('자료_한국심리'!$H137)),'자료_한국심리'!$G137,"")</f>
        <v/>
      </c>
      <c r="X153">
        <f>IF(AND(ISNUMBER('자료_한국심리'!$J137),ISNUMBER('자료_한국심리'!$K137)),'자료_한국심리'!$J137,"")</f>
        <v/>
      </c>
      <c r="Y153">
        <f>IF(AND(ISNUMBER('자료_한국심리'!$M137),ISNUMBER('자료_한국심리'!$N137)),'자료_한국심리'!$M137,"")</f>
        <v/>
      </c>
    </row>
    <row r="154">
      <c r="A154" s="10">
        <f>IF(136&gt;$E$5,"",SMALL($U$19:$U$4018,$E$6+136))</f>
        <v/>
      </c>
      <c r="B154" s="29">
        <f>IF(A154="","",INDEX('자료_한국심리'!$B$3:$B$4002,MATCH(A154,$U$19:$U$4018,0)))</f>
        <v/>
      </c>
      <c r="C154" s="22">
        <f>IF(A154="","",B154/AVERAGE(B30:B154)-1)</f>
        <v/>
      </c>
      <c r="D154" s="29">
        <f>IF(A154="","",IFERROR(INDEX('자료_한국심리'!$E$3:$E$4002,MATCH(A154,$V$19:$V$4018,0)),D153))</f>
        <v/>
      </c>
      <c r="E154" s="30">
        <f>IF(A154="","",IFERROR(INDEX('자료_한국심리'!$H$3:$H$4002,MATCH(A154,$W$19:$W$4018,0)),E153))</f>
        <v/>
      </c>
      <c r="F154" s="30">
        <f>IF(A154="","",IFERROR(INDEX('자료_한국심리'!$K$3:$K$4002,MATCH(A154,$X$19:$X$4018,0)),F153))</f>
        <v/>
      </c>
      <c r="G154" s="30">
        <f>IF(AND(ISNUMBER(E154),ISNUMBER(F154)),ROUND(E154-F154,6),"")</f>
        <v/>
      </c>
      <c r="H154" s="25">
        <f>IF(A154="","",IFERROR(INDEX('자료_한국심리'!$N$3:$N$4002,MATCH(A154,$Y$19:$Y$4018,0)),H153))</f>
        <v/>
      </c>
      <c r="I154" s="31">
        <f>IF(AND(ISNUMBER(H154),ISNUMBER(H134)),IF(H134&gt;0,H154/H134-1,""),"")</f>
        <v/>
      </c>
      <c r="J154">
        <f>IF(A154="",0,IF(A154&gt;$B$5,1,0))</f>
        <v/>
      </c>
      <c r="K154" s="29">
        <f>IF(AND(J154=1,ISNUMBER(D154)),D154,"")</f>
        <v/>
      </c>
      <c r="L154" s="30">
        <f>IF(AND(J154=1,ISNUMBER(G154)),G154,"")</f>
        <v/>
      </c>
      <c r="M154" s="22">
        <f>IF(AND(J154=1,ISNUMBER(C154)),C154,"")</f>
        <v/>
      </c>
      <c r="N154" s="31">
        <f>IF(AND(J154=1,ISNUMBER(I154)),I154,"")</f>
        <v/>
      </c>
      <c r="O154" s="11">
        <f>IF(K154="","",100-IF($G$13=1,50,(_xlfn.RANK.AVG(K154,$K$19:$K$1518,1)-1)/($G$13-1)*100))</f>
        <v/>
      </c>
      <c r="P154" s="11">
        <f>IF(L154="","",100-IF($G$14=1,50,(_xlfn.RANK.AVG(L154,$L$19:$L$1518,1)-1)/($G$14-1)*100))</f>
        <v/>
      </c>
      <c r="Q154" s="11">
        <f>IF(M154="","",IF($G$15=1,50,(_xlfn.RANK.AVG(M154,$M$19:$M$1518,1)-1)/($G$15-1)*100))</f>
        <v/>
      </c>
      <c r="R154" s="11">
        <f>IF(N154="","",IF($G$16=1,50,(_xlfn.RANK.AVG(N154,$N$19:$N$1518,1)-1)/($G$16-1)*100))</f>
        <v/>
      </c>
      <c r="S154" s="11">
        <f>IF(COUNT(O154:R154)=4,ROUND(AVERAGE(O154:R154),6),"")</f>
        <v/>
      </c>
      <c r="U154">
        <f>IF(AND(ISNUMBER('자료_한국심리'!$A138),ISNUMBER('자료_한국심리'!$B138)),'자료_한국심리'!$A138,"")</f>
        <v/>
      </c>
      <c r="V154">
        <f>IF(AND(ISNUMBER('자료_한국심리'!$D138),ISNUMBER('자료_한국심리'!$E138)),'자료_한국심리'!$D138,"")</f>
        <v/>
      </c>
      <c r="W154">
        <f>IF(AND(ISNUMBER('자료_한국심리'!$G138),ISNUMBER('자료_한국심리'!$H138)),'자료_한국심리'!$G138,"")</f>
        <v/>
      </c>
      <c r="X154">
        <f>IF(AND(ISNUMBER('자료_한국심리'!$J138),ISNUMBER('자료_한국심리'!$K138)),'자료_한국심리'!$J138,"")</f>
        <v/>
      </c>
      <c r="Y154">
        <f>IF(AND(ISNUMBER('자료_한국심리'!$M138),ISNUMBER('자료_한국심리'!$N138)),'자료_한국심리'!$M138,"")</f>
        <v/>
      </c>
    </row>
    <row r="155">
      <c r="A155" s="10">
        <f>IF(137&gt;$E$5,"",SMALL($U$19:$U$4018,$E$6+137))</f>
        <v/>
      </c>
      <c r="B155" s="29">
        <f>IF(A155="","",INDEX('자료_한국심리'!$B$3:$B$4002,MATCH(A155,$U$19:$U$4018,0)))</f>
        <v/>
      </c>
      <c r="C155" s="22">
        <f>IF(A155="","",B155/AVERAGE(B31:B155)-1)</f>
        <v/>
      </c>
      <c r="D155" s="29">
        <f>IF(A155="","",IFERROR(INDEX('자료_한국심리'!$E$3:$E$4002,MATCH(A155,$V$19:$V$4018,0)),D154))</f>
        <v/>
      </c>
      <c r="E155" s="30">
        <f>IF(A155="","",IFERROR(INDEX('자료_한국심리'!$H$3:$H$4002,MATCH(A155,$W$19:$W$4018,0)),E154))</f>
        <v/>
      </c>
      <c r="F155" s="30">
        <f>IF(A155="","",IFERROR(INDEX('자료_한국심리'!$K$3:$K$4002,MATCH(A155,$X$19:$X$4018,0)),F154))</f>
        <v/>
      </c>
      <c r="G155" s="30">
        <f>IF(AND(ISNUMBER(E155),ISNUMBER(F155)),ROUND(E155-F155,6),"")</f>
        <v/>
      </c>
      <c r="H155" s="25">
        <f>IF(A155="","",IFERROR(INDEX('자료_한국심리'!$N$3:$N$4002,MATCH(A155,$Y$19:$Y$4018,0)),H154))</f>
        <v/>
      </c>
      <c r="I155" s="31">
        <f>IF(AND(ISNUMBER(H155),ISNUMBER(H135)),IF(H135&gt;0,H155/H135-1,""),"")</f>
        <v/>
      </c>
      <c r="J155">
        <f>IF(A155="",0,IF(A155&gt;$B$5,1,0))</f>
        <v/>
      </c>
      <c r="K155" s="29">
        <f>IF(AND(J155=1,ISNUMBER(D155)),D155,"")</f>
        <v/>
      </c>
      <c r="L155" s="30">
        <f>IF(AND(J155=1,ISNUMBER(G155)),G155,"")</f>
        <v/>
      </c>
      <c r="M155" s="22">
        <f>IF(AND(J155=1,ISNUMBER(C155)),C155,"")</f>
        <v/>
      </c>
      <c r="N155" s="31">
        <f>IF(AND(J155=1,ISNUMBER(I155)),I155,"")</f>
        <v/>
      </c>
      <c r="O155" s="11">
        <f>IF(K155="","",100-IF($G$13=1,50,(_xlfn.RANK.AVG(K155,$K$19:$K$1518,1)-1)/($G$13-1)*100))</f>
        <v/>
      </c>
      <c r="P155" s="11">
        <f>IF(L155="","",100-IF($G$14=1,50,(_xlfn.RANK.AVG(L155,$L$19:$L$1518,1)-1)/($G$14-1)*100))</f>
        <v/>
      </c>
      <c r="Q155" s="11">
        <f>IF(M155="","",IF($G$15=1,50,(_xlfn.RANK.AVG(M155,$M$19:$M$1518,1)-1)/($G$15-1)*100))</f>
        <v/>
      </c>
      <c r="R155" s="11">
        <f>IF(N155="","",IF($G$16=1,50,(_xlfn.RANK.AVG(N155,$N$19:$N$1518,1)-1)/($G$16-1)*100))</f>
        <v/>
      </c>
      <c r="S155" s="11">
        <f>IF(COUNT(O155:R155)=4,ROUND(AVERAGE(O155:R155),6),"")</f>
        <v/>
      </c>
      <c r="U155">
        <f>IF(AND(ISNUMBER('자료_한국심리'!$A139),ISNUMBER('자료_한국심리'!$B139)),'자료_한국심리'!$A139,"")</f>
        <v/>
      </c>
      <c r="V155">
        <f>IF(AND(ISNUMBER('자료_한국심리'!$D139),ISNUMBER('자료_한국심리'!$E139)),'자료_한국심리'!$D139,"")</f>
        <v/>
      </c>
      <c r="W155">
        <f>IF(AND(ISNUMBER('자료_한국심리'!$G139),ISNUMBER('자료_한국심리'!$H139)),'자료_한국심리'!$G139,"")</f>
        <v/>
      </c>
      <c r="X155">
        <f>IF(AND(ISNUMBER('자료_한국심리'!$J139),ISNUMBER('자료_한국심리'!$K139)),'자료_한국심리'!$J139,"")</f>
        <v/>
      </c>
      <c r="Y155">
        <f>IF(AND(ISNUMBER('자료_한국심리'!$M139),ISNUMBER('자료_한국심리'!$N139)),'자료_한국심리'!$M139,"")</f>
        <v/>
      </c>
    </row>
    <row r="156">
      <c r="A156" s="10">
        <f>IF(138&gt;$E$5,"",SMALL($U$19:$U$4018,$E$6+138))</f>
        <v/>
      </c>
      <c r="B156" s="29">
        <f>IF(A156="","",INDEX('자료_한국심리'!$B$3:$B$4002,MATCH(A156,$U$19:$U$4018,0)))</f>
        <v/>
      </c>
      <c r="C156" s="22">
        <f>IF(A156="","",B156/AVERAGE(B32:B156)-1)</f>
        <v/>
      </c>
      <c r="D156" s="29">
        <f>IF(A156="","",IFERROR(INDEX('자료_한국심리'!$E$3:$E$4002,MATCH(A156,$V$19:$V$4018,0)),D155))</f>
        <v/>
      </c>
      <c r="E156" s="30">
        <f>IF(A156="","",IFERROR(INDEX('자료_한국심리'!$H$3:$H$4002,MATCH(A156,$W$19:$W$4018,0)),E155))</f>
        <v/>
      </c>
      <c r="F156" s="30">
        <f>IF(A156="","",IFERROR(INDEX('자료_한국심리'!$K$3:$K$4002,MATCH(A156,$X$19:$X$4018,0)),F155))</f>
        <v/>
      </c>
      <c r="G156" s="30">
        <f>IF(AND(ISNUMBER(E156),ISNUMBER(F156)),ROUND(E156-F156,6),"")</f>
        <v/>
      </c>
      <c r="H156" s="25">
        <f>IF(A156="","",IFERROR(INDEX('자료_한국심리'!$N$3:$N$4002,MATCH(A156,$Y$19:$Y$4018,0)),H155))</f>
        <v/>
      </c>
      <c r="I156" s="31">
        <f>IF(AND(ISNUMBER(H156),ISNUMBER(H136)),IF(H136&gt;0,H156/H136-1,""),"")</f>
        <v/>
      </c>
      <c r="J156">
        <f>IF(A156="",0,IF(A156&gt;$B$5,1,0))</f>
        <v/>
      </c>
      <c r="K156" s="29">
        <f>IF(AND(J156=1,ISNUMBER(D156)),D156,"")</f>
        <v/>
      </c>
      <c r="L156" s="30">
        <f>IF(AND(J156=1,ISNUMBER(G156)),G156,"")</f>
        <v/>
      </c>
      <c r="M156" s="22">
        <f>IF(AND(J156=1,ISNUMBER(C156)),C156,"")</f>
        <v/>
      </c>
      <c r="N156" s="31">
        <f>IF(AND(J156=1,ISNUMBER(I156)),I156,"")</f>
        <v/>
      </c>
      <c r="O156" s="11">
        <f>IF(K156="","",100-IF($G$13=1,50,(_xlfn.RANK.AVG(K156,$K$19:$K$1518,1)-1)/($G$13-1)*100))</f>
        <v/>
      </c>
      <c r="P156" s="11">
        <f>IF(L156="","",100-IF($G$14=1,50,(_xlfn.RANK.AVG(L156,$L$19:$L$1518,1)-1)/($G$14-1)*100))</f>
        <v/>
      </c>
      <c r="Q156" s="11">
        <f>IF(M156="","",IF($G$15=1,50,(_xlfn.RANK.AVG(M156,$M$19:$M$1518,1)-1)/($G$15-1)*100))</f>
        <v/>
      </c>
      <c r="R156" s="11">
        <f>IF(N156="","",IF($G$16=1,50,(_xlfn.RANK.AVG(N156,$N$19:$N$1518,1)-1)/($G$16-1)*100))</f>
        <v/>
      </c>
      <c r="S156" s="11">
        <f>IF(COUNT(O156:R156)=4,ROUND(AVERAGE(O156:R156),6),"")</f>
        <v/>
      </c>
      <c r="U156">
        <f>IF(AND(ISNUMBER('자료_한국심리'!$A140),ISNUMBER('자료_한국심리'!$B140)),'자료_한국심리'!$A140,"")</f>
        <v/>
      </c>
      <c r="V156">
        <f>IF(AND(ISNUMBER('자료_한국심리'!$D140),ISNUMBER('자료_한국심리'!$E140)),'자료_한국심리'!$D140,"")</f>
        <v/>
      </c>
      <c r="W156">
        <f>IF(AND(ISNUMBER('자료_한국심리'!$G140),ISNUMBER('자료_한국심리'!$H140)),'자료_한국심리'!$G140,"")</f>
        <v/>
      </c>
      <c r="X156">
        <f>IF(AND(ISNUMBER('자료_한국심리'!$J140),ISNUMBER('자료_한국심리'!$K140)),'자료_한국심리'!$J140,"")</f>
        <v/>
      </c>
      <c r="Y156">
        <f>IF(AND(ISNUMBER('자료_한국심리'!$M140),ISNUMBER('자료_한국심리'!$N140)),'자료_한국심리'!$M140,"")</f>
        <v/>
      </c>
    </row>
    <row r="157">
      <c r="A157" s="10">
        <f>IF(139&gt;$E$5,"",SMALL($U$19:$U$4018,$E$6+139))</f>
        <v/>
      </c>
      <c r="B157" s="29">
        <f>IF(A157="","",INDEX('자료_한국심리'!$B$3:$B$4002,MATCH(A157,$U$19:$U$4018,0)))</f>
        <v/>
      </c>
      <c r="C157" s="22">
        <f>IF(A157="","",B157/AVERAGE(B33:B157)-1)</f>
        <v/>
      </c>
      <c r="D157" s="29">
        <f>IF(A157="","",IFERROR(INDEX('자료_한국심리'!$E$3:$E$4002,MATCH(A157,$V$19:$V$4018,0)),D156))</f>
        <v/>
      </c>
      <c r="E157" s="30">
        <f>IF(A157="","",IFERROR(INDEX('자료_한국심리'!$H$3:$H$4002,MATCH(A157,$W$19:$W$4018,0)),E156))</f>
        <v/>
      </c>
      <c r="F157" s="30">
        <f>IF(A157="","",IFERROR(INDEX('자료_한국심리'!$K$3:$K$4002,MATCH(A157,$X$19:$X$4018,0)),F156))</f>
        <v/>
      </c>
      <c r="G157" s="30">
        <f>IF(AND(ISNUMBER(E157),ISNUMBER(F157)),ROUND(E157-F157,6),"")</f>
        <v/>
      </c>
      <c r="H157" s="25">
        <f>IF(A157="","",IFERROR(INDEX('자료_한국심리'!$N$3:$N$4002,MATCH(A157,$Y$19:$Y$4018,0)),H156))</f>
        <v/>
      </c>
      <c r="I157" s="31">
        <f>IF(AND(ISNUMBER(H157),ISNUMBER(H137)),IF(H137&gt;0,H157/H137-1,""),"")</f>
        <v/>
      </c>
      <c r="J157">
        <f>IF(A157="",0,IF(A157&gt;$B$5,1,0))</f>
        <v/>
      </c>
      <c r="K157" s="29">
        <f>IF(AND(J157=1,ISNUMBER(D157)),D157,"")</f>
        <v/>
      </c>
      <c r="L157" s="30">
        <f>IF(AND(J157=1,ISNUMBER(G157)),G157,"")</f>
        <v/>
      </c>
      <c r="M157" s="22">
        <f>IF(AND(J157=1,ISNUMBER(C157)),C157,"")</f>
        <v/>
      </c>
      <c r="N157" s="31">
        <f>IF(AND(J157=1,ISNUMBER(I157)),I157,"")</f>
        <v/>
      </c>
      <c r="O157" s="11">
        <f>IF(K157="","",100-IF($G$13=1,50,(_xlfn.RANK.AVG(K157,$K$19:$K$1518,1)-1)/($G$13-1)*100))</f>
        <v/>
      </c>
      <c r="P157" s="11">
        <f>IF(L157="","",100-IF($G$14=1,50,(_xlfn.RANK.AVG(L157,$L$19:$L$1518,1)-1)/($G$14-1)*100))</f>
        <v/>
      </c>
      <c r="Q157" s="11">
        <f>IF(M157="","",IF($G$15=1,50,(_xlfn.RANK.AVG(M157,$M$19:$M$1518,1)-1)/($G$15-1)*100))</f>
        <v/>
      </c>
      <c r="R157" s="11">
        <f>IF(N157="","",IF($G$16=1,50,(_xlfn.RANK.AVG(N157,$N$19:$N$1518,1)-1)/($G$16-1)*100))</f>
        <v/>
      </c>
      <c r="S157" s="11">
        <f>IF(COUNT(O157:R157)=4,ROUND(AVERAGE(O157:R157),6),"")</f>
        <v/>
      </c>
      <c r="U157">
        <f>IF(AND(ISNUMBER('자료_한국심리'!$A141),ISNUMBER('자료_한국심리'!$B141)),'자료_한국심리'!$A141,"")</f>
        <v/>
      </c>
      <c r="V157">
        <f>IF(AND(ISNUMBER('자료_한국심리'!$D141),ISNUMBER('자료_한국심리'!$E141)),'자료_한국심리'!$D141,"")</f>
        <v/>
      </c>
      <c r="W157">
        <f>IF(AND(ISNUMBER('자료_한국심리'!$G141),ISNUMBER('자료_한국심리'!$H141)),'자료_한국심리'!$G141,"")</f>
        <v/>
      </c>
      <c r="X157">
        <f>IF(AND(ISNUMBER('자료_한국심리'!$J141),ISNUMBER('자료_한국심리'!$K141)),'자료_한국심리'!$J141,"")</f>
        <v/>
      </c>
      <c r="Y157">
        <f>IF(AND(ISNUMBER('자료_한국심리'!$M141),ISNUMBER('자료_한국심리'!$N141)),'자료_한국심리'!$M141,"")</f>
        <v/>
      </c>
    </row>
    <row r="158">
      <c r="A158" s="10">
        <f>IF(140&gt;$E$5,"",SMALL($U$19:$U$4018,$E$6+140))</f>
        <v/>
      </c>
      <c r="B158" s="29">
        <f>IF(A158="","",INDEX('자료_한국심리'!$B$3:$B$4002,MATCH(A158,$U$19:$U$4018,0)))</f>
        <v/>
      </c>
      <c r="C158" s="22">
        <f>IF(A158="","",B158/AVERAGE(B34:B158)-1)</f>
        <v/>
      </c>
      <c r="D158" s="29">
        <f>IF(A158="","",IFERROR(INDEX('자료_한국심리'!$E$3:$E$4002,MATCH(A158,$V$19:$V$4018,0)),D157))</f>
        <v/>
      </c>
      <c r="E158" s="30">
        <f>IF(A158="","",IFERROR(INDEX('자료_한국심리'!$H$3:$H$4002,MATCH(A158,$W$19:$W$4018,0)),E157))</f>
        <v/>
      </c>
      <c r="F158" s="30">
        <f>IF(A158="","",IFERROR(INDEX('자료_한국심리'!$K$3:$K$4002,MATCH(A158,$X$19:$X$4018,0)),F157))</f>
        <v/>
      </c>
      <c r="G158" s="30">
        <f>IF(AND(ISNUMBER(E158),ISNUMBER(F158)),ROUND(E158-F158,6),"")</f>
        <v/>
      </c>
      <c r="H158" s="25">
        <f>IF(A158="","",IFERROR(INDEX('자료_한국심리'!$N$3:$N$4002,MATCH(A158,$Y$19:$Y$4018,0)),H157))</f>
        <v/>
      </c>
      <c r="I158" s="31">
        <f>IF(AND(ISNUMBER(H158),ISNUMBER(H138)),IF(H138&gt;0,H158/H138-1,""),"")</f>
        <v/>
      </c>
      <c r="J158">
        <f>IF(A158="",0,IF(A158&gt;$B$5,1,0))</f>
        <v/>
      </c>
      <c r="K158" s="29">
        <f>IF(AND(J158=1,ISNUMBER(D158)),D158,"")</f>
        <v/>
      </c>
      <c r="L158" s="30">
        <f>IF(AND(J158=1,ISNUMBER(G158)),G158,"")</f>
        <v/>
      </c>
      <c r="M158" s="22">
        <f>IF(AND(J158=1,ISNUMBER(C158)),C158,"")</f>
        <v/>
      </c>
      <c r="N158" s="31">
        <f>IF(AND(J158=1,ISNUMBER(I158)),I158,"")</f>
        <v/>
      </c>
      <c r="O158" s="11">
        <f>IF(K158="","",100-IF($G$13=1,50,(_xlfn.RANK.AVG(K158,$K$19:$K$1518,1)-1)/($G$13-1)*100))</f>
        <v/>
      </c>
      <c r="P158" s="11">
        <f>IF(L158="","",100-IF($G$14=1,50,(_xlfn.RANK.AVG(L158,$L$19:$L$1518,1)-1)/($G$14-1)*100))</f>
        <v/>
      </c>
      <c r="Q158" s="11">
        <f>IF(M158="","",IF($G$15=1,50,(_xlfn.RANK.AVG(M158,$M$19:$M$1518,1)-1)/($G$15-1)*100))</f>
        <v/>
      </c>
      <c r="R158" s="11">
        <f>IF(N158="","",IF($G$16=1,50,(_xlfn.RANK.AVG(N158,$N$19:$N$1518,1)-1)/($G$16-1)*100))</f>
        <v/>
      </c>
      <c r="S158" s="11">
        <f>IF(COUNT(O158:R158)=4,ROUND(AVERAGE(O158:R158),6),"")</f>
        <v/>
      </c>
      <c r="U158">
        <f>IF(AND(ISNUMBER('자료_한국심리'!$A142),ISNUMBER('자료_한국심리'!$B142)),'자료_한국심리'!$A142,"")</f>
        <v/>
      </c>
      <c r="V158">
        <f>IF(AND(ISNUMBER('자료_한국심리'!$D142),ISNUMBER('자료_한국심리'!$E142)),'자료_한국심리'!$D142,"")</f>
        <v/>
      </c>
      <c r="W158">
        <f>IF(AND(ISNUMBER('자료_한국심리'!$G142),ISNUMBER('자료_한국심리'!$H142)),'자료_한국심리'!$G142,"")</f>
        <v/>
      </c>
      <c r="X158">
        <f>IF(AND(ISNUMBER('자료_한국심리'!$J142),ISNUMBER('자료_한국심리'!$K142)),'자료_한국심리'!$J142,"")</f>
        <v/>
      </c>
      <c r="Y158">
        <f>IF(AND(ISNUMBER('자료_한국심리'!$M142),ISNUMBER('자료_한국심리'!$N142)),'자료_한국심리'!$M142,"")</f>
        <v/>
      </c>
    </row>
    <row r="159">
      <c r="A159" s="10">
        <f>IF(141&gt;$E$5,"",SMALL($U$19:$U$4018,$E$6+141))</f>
        <v/>
      </c>
      <c r="B159" s="29">
        <f>IF(A159="","",INDEX('자료_한국심리'!$B$3:$B$4002,MATCH(A159,$U$19:$U$4018,0)))</f>
        <v/>
      </c>
      <c r="C159" s="22">
        <f>IF(A159="","",B159/AVERAGE(B35:B159)-1)</f>
        <v/>
      </c>
      <c r="D159" s="29">
        <f>IF(A159="","",IFERROR(INDEX('자료_한국심리'!$E$3:$E$4002,MATCH(A159,$V$19:$V$4018,0)),D158))</f>
        <v/>
      </c>
      <c r="E159" s="30">
        <f>IF(A159="","",IFERROR(INDEX('자료_한국심리'!$H$3:$H$4002,MATCH(A159,$W$19:$W$4018,0)),E158))</f>
        <v/>
      </c>
      <c r="F159" s="30">
        <f>IF(A159="","",IFERROR(INDEX('자료_한국심리'!$K$3:$K$4002,MATCH(A159,$X$19:$X$4018,0)),F158))</f>
        <v/>
      </c>
      <c r="G159" s="30">
        <f>IF(AND(ISNUMBER(E159),ISNUMBER(F159)),ROUND(E159-F159,6),"")</f>
        <v/>
      </c>
      <c r="H159" s="25">
        <f>IF(A159="","",IFERROR(INDEX('자료_한국심리'!$N$3:$N$4002,MATCH(A159,$Y$19:$Y$4018,0)),H158))</f>
        <v/>
      </c>
      <c r="I159" s="31">
        <f>IF(AND(ISNUMBER(H159),ISNUMBER(H139)),IF(H139&gt;0,H159/H139-1,""),"")</f>
        <v/>
      </c>
      <c r="J159">
        <f>IF(A159="",0,IF(A159&gt;$B$5,1,0))</f>
        <v/>
      </c>
      <c r="K159" s="29">
        <f>IF(AND(J159=1,ISNUMBER(D159)),D159,"")</f>
        <v/>
      </c>
      <c r="L159" s="30">
        <f>IF(AND(J159=1,ISNUMBER(G159)),G159,"")</f>
        <v/>
      </c>
      <c r="M159" s="22">
        <f>IF(AND(J159=1,ISNUMBER(C159)),C159,"")</f>
        <v/>
      </c>
      <c r="N159" s="31">
        <f>IF(AND(J159=1,ISNUMBER(I159)),I159,"")</f>
        <v/>
      </c>
      <c r="O159" s="11">
        <f>IF(K159="","",100-IF($G$13=1,50,(_xlfn.RANK.AVG(K159,$K$19:$K$1518,1)-1)/($G$13-1)*100))</f>
        <v/>
      </c>
      <c r="P159" s="11">
        <f>IF(L159="","",100-IF($G$14=1,50,(_xlfn.RANK.AVG(L159,$L$19:$L$1518,1)-1)/($G$14-1)*100))</f>
        <v/>
      </c>
      <c r="Q159" s="11">
        <f>IF(M159="","",IF($G$15=1,50,(_xlfn.RANK.AVG(M159,$M$19:$M$1518,1)-1)/($G$15-1)*100))</f>
        <v/>
      </c>
      <c r="R159" s="11">
        <f>IF(N159="","",IF($G$16=1,50,(_xlfn.RANK.AVG(N159,$N$19:$N$1518,1)-1)/($G$16-1)*100))</f>
        <v/>
      </c>
      <c r="S159" s="11">
        <f>IF(COUNT(O159:R159)=4,ROUND(AVERAGE(O159:R159),6),"")</f>
        <v/>
      </c>
      <c r="U159">
        <f>IF(AND(ISNUMBER('자료_한국심리'!$A143),ISNUMBER('자료_한국심리'!$B143)),'자료_한국심리'!$A143,"")</f>
        <v/>
      </c>
      <c r="V159">
        <f>IF(AND(ISNUMBER('자료_한국심리'!$D143),ISNUMBER('자료_한국심리'!$E143)),'자료_한국심리'!$D143,"")</f>
        <v/>
      </c>
      <c r="W159">
        <f>IF(AND(ISNUMBER('자료_한국심리'!$G143),ISNUMBER('자료_한국심리'!$H143)),'자료_한국심리'!$G143,"")</f>
        <v/>
      </c>
      <c r="X159">
        <f>IF(AND(ISNUMBER('자료_한국심리'!$J143),ISNUMBER('자료_한국심리'!$K143)),'자료_한국심리'!$J143,"")</f>
        <v/>
      </c>
      <c r="Y159">
        <f>IF(AND(ISNUMBER('자료_한국심리'!$M143),ISNUMBER('자료_한국심리'!$N143)),'자료_한국심리'!$M143,"")</f>
        <v/>
      </c>
    </row>
    <row r="160">
      <c r="A160" s="10">
        <f>IF(142&gt;$E$5,"",SMALL($U$19:$U$4018,$E$6+142))</f>
        <v/>
      </c>
      <c r="B160" s="29">
        <f>IF(A160="","",INDEX('자료_한국심리'!$B$3:$B$4002,MATCH(A160,$U$19:$U$4018,0)))</f>
        <v/>
      </c>
      <c r="C160" s="22">
        <f>IF(A160="","",B160/AVERAGE(B36:B160)-1)</f>
        <v/>
      </c>
      <c r="D160" s="29">
        <f>IF(A160="","",IFERROR(INDEX('자료_한국심리'!$E$3:$E$4002,MATCH(A160,$V$19:$V$4018,0)),D159))</f>
        <v/>
      </c>
      <c r="E160" s="30">
        <f>IF(A160="","",IFERROR(INDEX('자료_한국심리'!$H$3:$H$4002,MATCH(A160,$W$19:$W$4018,0)),E159))</f>
        <v/>
      </c>
      <c r="F160" s="30">
        <f>IF(A160="","",IFERROR(INDEX('자료_한국심리'!$K$3:$K$4002,MATCH(A160,$X$19:$X$4018,0)),F159))</f>
        <v/>
      </c>
      <c r="G160" s="30">
        <f>IF(AND(ISNUMBER(E160),ISNUMBER(F160)),ROUND(E160-F160,6),"")</f>
        <v/>
      </c>
      <c r="H160" s="25">
        <f>IF(A160="","",IFERROR(INDEX('자료_한국심리'!$N$3:$N$4002,MATCH(A160,$Y$19:$Y$4018,0)),H159))</f>
        <v/>
      </c>
      <c r="I160" s="31">
        <f>IF(AND(ISNUMBER(H160),ISNUMBER(H140)),IF(H140&gt;0,H160/H140-1,""),"")</f>
        <v/>
      </c>
      <c r="J160">
        <f>IF(A160="",0,IF(A160&gt;$B$5,1,0))</f>
        <v/>
      </c>
      <c r="K160" s="29">
        <f>IF(AND(J160=1,ISNUMBER(D160)),D160,"")</f>
        <v/>
      </c>
      <c r="L160" s="30">
        <f>IF(AND(J160=1,ISNUMBER(G160)),G160,"")</f>
        <v/>
      </c>
      <c r="M160" s="22">
        <f>IF(AND(J160=1,ISNUMBER(C160)),C160,"")</f>
        <v/>
      </c>
      <c r="N160" s="31">
        <f>IF(AND(J160=1,ISNUMBER(I160)),I160,"")</f>
        <v/>
      </c>
      <c r="O160" s="11">
        <f>IF(K160="","",100-IF($G$13=1,50,(_xlfn.RANK.AVG(K160,$K$19:$K$1518,1)-1)/($G$13-1)*100))</f>
        <v/>
      </c>
      <c r="P160" s="11">
        <f>IF(L160="","",100-IF($G$14=1,50,(_xlfn.RANK.AVG(L160,$L$19:$L$1518,1)-1)/($G$14-1)*100))</f>
        <v/>
      </c>
      <c r="Q160" s="11">
        <f>IF(M160="","",IF($G$15=1,50,(_xlfn.RANK.AVG(M160,$M$19:$M$1518,1)-1)/($G$15-1)*100))</f>
        <v/>
      </c>
      <c r="R160" s="11">
        <f>IF(N160="","",IF($G$16=1,50,(_xlfn.RANK.AVG(N160,$N$19:$N$1518,1)-1)/($G$16-1)*100))</f>
        <v/>
      </c>
      <c r="S160" s="11">
        <f>IF(COUNT(O160:R160)=4,ROUND(AVERAGE(O160:R160),6),"")</f>
        <v/>
      </c>
      <c r="U160">
        <f>IF(AND(ISNUMBER('자료_한국심리'!$A144),ISNUMBER('자료_한국심리'!$B144)),'자료_한국심리'!$A144,"")</f>
        <v/>
      </c>
      <c r="V160">
        <f>IF(AND(ISNUMBER('자료_한국심리'!$D144),ISNUMBER('자료_한국심리'!$E144)),'자료_한국심리'!$D144,"")</f>
        <v/>
      </c>
      <c r="W160">
        <f>IF(AND(ISNUMBER('자료_한국심리'!$G144),ISNUMBER('자료_한국심리'!$H144)),'자료_한국심리'!$G144,"")</f>
        <v/>
      </c>
      <c r="X160">
        <f>IF(AND(ISNUMBER('자료_한국심리'!$J144),ISNUMBER('자료_한국심리'!$K144)),'자료_한국심리'!$J144,"")</f>
        <v/>
      </c>
      <c r="Y160">
        <f>IF(AND(ISNUMBER('자료_한국심리'!$M144),ISNUMBER('자료_한국심리'!$N144)),'자료_한국심리'!$M144,"")</f>
        <v/>
      </c>
    </row>
    <row r="161">
      <c r="A161" s="10">
        <f>IF(143&gt;$E$5,"",SMALL($U$19:$U$4018,$E$6+143))</f>
        <v/>
      </c>
      <c r="B161" s="29">
        <f>IF(A161="","",INDEX('자료_한국심리'!$B$3:$B$4002,MATCH(A161,$U$19:$U$4018,0)))</f>
        <v/>
      </c>
      <c r="C161" s="22">
        <f>IF(A161="","",B161/AVERAGE(B37:B161)-1)</f>
        <v/>
      </c>
      <c r="D161" s="29">
        <f>IF(A161="","",IFERROR(INDEX('자료_한국심리'!$E$3:$E$4002,MATCH(A161,$V$19:$V$4018,0)),D160))</f>
        <v/>
      </c>
      <c r="E161" s="30">
        <f>IF(A161="","",IFERROR(INDEX('자료_한국심리'!$H$3:$H$4002,MATCH(A161,$W$19:$W$4018,0)),E160))</f>
        <v/>
      </c>
      <c r="F161" s="30">
        <f>IF(A161="","",IFERROR(INDEX('자료_한국심리'!$K$3:$K$4002,MATCH(A161,$X$19:$X$4018,0)),F160))</f>
        <v/>
      </c>
      <c r="G161" s="30">
        <f>IF(AND(ISNUMBER(E161),ISNUMBER(F161)),ROUND(E161-F161,6),"")</f>
        <v/>
      </c>
      <c r="H161" s="25">
        <f>IF(A161="","",IFERROR(INDEX('자료_한국심리'!$N$3:$N$4002,MATCH(A161,$Y$19:$Y$4018,0)),H160))</f>
        <v/>
      </c>
      <c r="I161" s="31">
        <f>IF(AND(ISNUMBER(H161),ISNUMBER(H141)),IF(H141&gt;0,H161/H141-1,""),"")</f>
        <v/>
      </c>
      <c r="J161">
        <f>IF(A161="",0,IF(A161&gt;$B$5,1,0))</f>
        <v/>
      </c>
      <c r="K161" s="29">
        <f>IF(AND(J161=1,ISNUMBER(D161)),D161,"")</f>
        <v/>
      </c>
      <c r="L161" s="30">
        <f>IF(AND(J161=1,ISNUMBER(G161)),G161,"")</f>
        <v/>
      </c>
      <c r="M161" s="22">
        <f>IF(AND(J161=1,ISNUMBER(C161)),C161,"")</f>
        <v/>
      </c>
      <c r="N161" s="31">
        <f>IF(AND(J161=1,ISNUMBER(I161)),I161,"")</f>
        <v/>
      </c>
      <c r="O161" s="11">
        <f>IF(K161="","",100-IF($G$13=1,50,(_xlfn.RANK.AVG(K161,$K$19:$K$1518,1)-1)/($G$13-1)*100))</f>
        <v/>
      </c>
      <c r="P161" s="11">
        <f>IF(L161="","",100-IF($G$14=1,50,(_xlfn.RANK.AVG(L161,$L$19:$L$1518,1)-1)/($G$14-1)*100))</f>
        <v/>
      </c>
      <c r="Q161" s="11">
        <f>IF(M161="","",IF($G$15=1,50,(_xlfn.RANK.AVG(M161,$M$19:$M$1518,1)-1)/($G$15-1)*100))</f>
        <v/>
      </c>
      <c r="R161" s="11">
        <f>IF(N161="","",IF($G$16=1,50,(_xlfn.RANK.AVG(N161,$N$19:$N$1518,1)-1)/($G$16-1)*100))</f>
        <v/>
      </c>
      <c r="S161" s="11">
        <f>IF(COUNT(O161:R161)=4,ROUND(AVERAGE(O161:R161),6),"")</f>
        <v/>
      </c>
      <c r="U161">
        <f>IF(AND(ISNUMBER('자료_한국심리'!$A145),ISNUMBER('자료_한국심리'!$B145)),'자료_한국심리'!$A145,"")</f>
        <v/>
      </c>
      <c r="V161">
        <f>IF(AND(ISNUMBER('자료_한국심리'!$D145),ISNUMBER('자료_한국심리'!$E145)),'자료_한국심리'!$D145,"")</f>
        <v/>
      </c>
      <c r="W161">
        <f>IF(AND(ISNUMBER('자료_한국심리'!$G145),ISNUMBER('자료_한국심리'!$H145)),'자료_한국심리'!$G145,"")</f>
        <v/>
      </c>
      <c r="X161">
        <f>IF(AND(ISNUMBER('자료_한국심리'!$J145),ISNUMBER('자료_한국심리'!$K145)),'자료_한국심리'!$J145,"")</f>
        <v/>
      </c>
      <c r="Y161">
        <f>IF(AND(ISNUMBER('자료_한국심리'!$M145),ISNUMBER('자료_한국심리'!$N145)),'자료_한국심리'!$M145,"")</f>
        <v/>
      </c>
    </row>
    <row r="162">
      <c r="A162" s="10">
        <f>IF(144&gt;$E$5,"",SMALL($U$19:$U$4018,$E$6+144))</f>
        <v/>
      </c>
      <c r="B162" s="29">
        <f>IF(A162="","",INDEX('자료_한국심리'!$B$3:$B$4002,MATCH(A162,$U$19:$U$4018,0)))</f>
        <v/>
      </c>
      <c r="C162" s="22">
        <f>IF(A162="","",B162/AVERAGE(B38:B162)-1)</f>
        <v/>
      </c>
      <c r="D162" s="29">
        <f>IF(A162="","",IFERROR(INDEX('자료_한국심리'!$E$3:$E$4002,MATCH(A162,$V$19:$V$4018,0)),D161))</f>
        <v/>
      </c>
      <c r="E162" s="30">
        <f>IF(A162="","",IFERROR(INDEX('자료_한국심리'!$H$3:$H$4002,MATCH(A162,$W$19:$W$4018,0)),E161))</f>
        <v/>
      </c>
      <c r="F162" s="30">
        <f>IF(A162="","",IFERROR(INDEX('자료_한국심리'!$K$3:$K$4002,MATCH(A162,$X$19:$X$4018,0)),F161))</f>
        <v/>
      </c>
      <c r="G162" s="30">
        <f>IF(AND(ISNUMBER(E162),ISNUMBER(F162)),ROUND(E162-F162,6),"")</f>
        <v/>
      </c>
      <c r="H162" s="25">
        <f>IF(A162="","",IFERROR(INDEX('자료_한국심리'!$N$3:$N$4002,MATCH(A162,$Y$19:$Y$4018,0)),H161))</f>
        <v/>
      </c>
      <c r="I162" s="31">
        <f>IF(AND(ISNUMBER(H162),ISNUMBER(H142)),IF(H142&gt;0,H162/H142-1,""),"")</f>
        <v/>
      </c>
      <c r="J162">
        <f>IF(A162="",0,IF(A162&gt;$B$5,1,0))</f>
        <v/>
      </c>
      <c r="K162" s="29">
        <f>IF(AND(J162=1,ISNUMBER(D162)),D162,"")</f>
        <v/>
      </c>
      <c r="L162" s="30">
        <f>IF(AND(J162=1,ISNUMBER(G162)),G162,"")</f>
        <v/>
      </c>
      <c r="M162" s="22">
        <f>IF(AND(J162=1,ISNUMBER(C162)),C162,"")</f>
        <v/>
      </c>
      <c r="N162" s="31">
        <f>IF(AND(J162=1,ISNUMBER(I162)),I162,"")</f>
        <v/>
      </c>
      <c r="O162" s="11">
        <f>IF(K162="","",100-IF($G$13=1,50,(_xlfn.RANK.AVG(K162,$K$19:$K$1518,1)-1)/($G$13-1)*100))</f>
        <v/>
      </c>
      <c r="P162" s="11">
        <f>IF(L162="","",100-IF($G$14=1,50,(_xlfn.RANK.AVG(L162,$L$19:$L$1518,1)-1)/($G$14-1)*100))</f>
        <v/>
      </c>
      <c r="Q162" s="11">
        <f>IF(M162="","",IF($G$15=1,50,(_xlfn.RANK.AVG(M162,$M$19:$M$1518,1)-1)/($G$15-1)*100))</f>
        <v/>
      </c>
      <c r="R162" s="11">
        <f>IF(N162="","",IF($G$16=1,50,(_xlfn.RANK.AVG(N162,$N$19:$N$1518,1)-1)/($G$16-1)*100))</f>
        <v/>
      </c>
      <c r="S162" s="11">
        <f>IF(COUNT(O162:R162)=4,ROUND(AVERAGE(O162:R162),6),"")</f>
        <v/>
      </c>
      <c r="U162">
        <f>IF(AND(ISNUMBER('자료_한국심리'!$A146),ISNUMBER('자료_한국심리'!$B146)),'자료_한국심리'!$A146,"")</f>
        <v/>
      </c>
      <c r="V162">
        <f>IF(AND(ISNUMBER('자료_한국심리'!$D146),ISNUMBER('자료_한국심리'!$E146)),'자료_한국심리'!$D146,"")</f>
        <v/>
      </c>
      <c r="W162">
        <f>IF(AND(ISNUMBER('자료_한국심리'!$G146),ISNUMBER('자료_한국심리'!$H146)),'자료_한국심리'!$G146,"")</f>
        <v/>
      </c>
      <c r="X162">
        <f>IF(AND(ISNUMBER('자료_한국심리'!$J146),ISNUMBER('자료_한국심리'!$K146)),'자료_한국심리'!$J146,"")</f>
        <v/>
      </c>
      <c r="Y162">
        <f>IF(AND(ISNUMBER('자료_한국심리'!$M146),ISNUMBER('자료_한국심리'!$N146)),'자료_한국심리'!$M146,"")</f>
        <v/>
      </c>
    </row>
    <row r="163">
      <c r="A163" s="10">
        <f>IF(145&gt;$E$5,"",SMALL($U$19:$U$4018,$E$6+145))</f>
        <v/>
      </c>
      <c r="B163" s="29">
        <f>IF(A163="","",INDEX('자료_한국심리'!$B$3:$B$4002,MATCH(A163,$U$19:$U$4018,0)))</f>
        <v/>
      </c>
      <c r="C163" s="22">
        <f>IF(A163="","",B163/AVERAGE(B39:B163)-1)</f>
        <v/>
      </c>
      <c r="D163" s="29">
        <f>IF(A163="","",IFERROR(INDEX('자료_한국심리'!$E$3:$E$4002,MATCH(A163,$V$19:$V$4018,0)),D162))</f>
        <v/>
      </c>
      <c r="E163" s="30">
        <f>IF(A163="","",IFERROR(INDEX('자료_한국심리'!$H$3:$H$4002,MATCH(A163,$W$19:$W$4018,0)),E162))</f>
        <v/>
      </c>
      <c r="F163" s="30">
        <f>IF(A163="","",IFERROR(INDEX('자료_한국심리'!$K$3:$K$4002,MATCH(A163,$X$19:$X$4018,0)),F162))</f>
        <v/>
      </c>
      <c r="G163" s="30">
        <f>IF(AND(ISNUMBER(E163),ISNUMBER(F163)),ROUND(E163-F163,6),"")</f>
        <v/>
      </c>
      <c r="H163" s="25">
        <f>IF(A163="","",IFERROR(INDEX('자료_한국심리'!$N$3:$N$4002,MATCH(A163,$Y$19:$Y$4018,0)),H162))</f>
        <v/>
      </c>
      <c r="I163" s="31">
        <f>IF(AND(ISNUMBER(H163),ISNUMBER(H143)),IF(H143&gt;0,H163/H143-1,""),"")</f>
        <v/>
      </c>
      <c r="J163">
        <f>IF(A163="",0,IF(A163&gt;$B$5,1,0))</f>
        <v/>
      </c>
      <c r="K163" s="29">
        <f>IF(AND(J163=1,ISNUMBER(D163)),D163,"")</f>
        <v/>
      </c>
      <c r="L163" s="30">
        <f>IF(AND(J163=1,ISNUMBER(G163)),G163,"")</f>
        <v/>
      </c>
      <c r="M163" s="22">
        <f>IF(AND(J163=1,ISNUMBER(C163)),C163,"")</f>
        <v/>
      </c>
      <c r="N163" s="31">
        <f>IF(AND(J163=1,ISNUMBER(I163)),I163,"")</f>
        <v/>
      </c>
      <c r="O163" s="11">
        <f>IF(K163="","",100-IF($G$13=1,50,(_xlfn.RANK.AVG(K163,$K$19:$K$1518,1)-1)/($G$13-1)*100))</f>
        <v/>
      </c>
      <c r="P163" s="11">
        <f>IF(L163="","",100-IF($G$14=1,50,(_xlfn.RANK.AVG(L163,$L$19:$L$1518,1)-1)/($G$14-1)*100))</f>
        <v/>
      </c>
      <c r="Q163" s="11">
        <f>IF(M163="","",IF($G$15=1,50,(_xlfn.RANK.AVG(M163,$M$19:$M$1518,1)-1)/($G$15-1)*100))</f>
        <v/>
      </c>
      <c r="R163" s="11">
        <f>IF(N163="","",IF($G$16=1,50,(_xlfn.RANK.AVG(N163,$N$19:$N$1518,1)-1)/($G$16-1)*100))</f>
        <v/>
      </c>
      <c r="S163" s="11">
        <f>IF(COUNT(O163:R163)=4,ROUND(AVERAGE(O163:R163),6),"")</f>
        <v/>
      </c>
      <c r="U163">
        <f>IF(AND(ISNUMBER('자료_한국심리'!$A147),ISNUMBER('자료_한국심리'!$B147)),'자료_한국심리'!$A147,"")</f>
        <v/>
      </c>
      <c r="V163">
        <f>IF(AND(ISNUMBER('자료_한국심리'!$D147),ISNUMBER('자료_한국심리'!$E147)),'자료_한국심리'!$D147,"")</f>
        <v/>
      </c>
      <c r="W163">
        <f>IF(AND(ISNUMBER('자료_한국심리'!$G147),ISNUMBER('자료_한국심리'!$H147)),'자료_한국심리'!$G147,"")</f>
        <v/>
      </c>
      <c r="X163">
        <f>IF(AND(ISNUMBER('자료_한국심리'!$J147),ISNUMBER('자료_한국심리'!$K147)),'자료_한국심리'!$J147,"")</f>
        <v/>
      </c>
      <c r="Y163">
        <f>IF(AND(ISNUMBER('자료_한국심리'!$M147),ISNUMBER('자료_한국심리'!$N147)),'자료_한국심리'!$M147,"")</f>
        <v/>
      </c>
    </row>
    <row r="164">
      <c r="A164" s="10">
        <f>IF(146&gt;$E$5,"",SMALL($U$19:$U$4018,$E$6+146))</f>
        <v/>
      </c>
      <c r="B164" s="29">
        <f>IF(A164="","",INDEX('자료_한국심리'!$B$3:$B$4002,MATCH(A164,$U$19:$U$4018,0)))</f>
        <v/>
      </c>
      <c r="C164" s="22">
        <f>IF(A164="","",B164/AVERAGE(B40:B164)-1)</f>
        <v/>
      </c>
      <c r="D164" s="29">
        <f>IF(A164="","",IFERROR(INDEX('자료_한국심리'!$E$3:$E$4002,MATCH(A164,$V$19:$V$4018,0)),D163))</f>
        <v/>
      </c>
      <c r="E164" s="30">
        <f>IF(A164="","",IFERROR(INDEX('자료_한국심리'!$H$3:$H$4002,MATCH(A164,$W$19:$W$4018,0)),E163))</f>
        <v/>
      </c>
      <c r="F164" s="30">
        <f>IF(A164="","",IFERROR(INDEX('자료_한국심리'!$K$3:$K$4002,MATCH(A164,$X$19:$X$4018,0)),F163))</f>
        <v/>
      </c>
      <c r="G164" s="30">
        <f>IF(AND(ISNUMBER(E164),ISNUMBER(F164)),ROUND(E164-F164,6),"")</f>
        <v/>
      </c>
      <c r="H164" s="25">
        <f>IF(A164="","",IFERROR(INDEX('자료_한국심리'!$N$3:$N$4002,MATCH(A164,$Y$19:$Y$4018,0)),H163))</f>
        <v/>
      </c>
      <c r="I164" s="31">
        <f>IF(AND(ISNUMBER(H164),ISNUMBER(H144)),IF(H144&gt;0,H164/H144-1,""),"")</f>
        <v/>
      </c>
      <c r="J164">
        <f>IF(A164="",0,IF(A164&gt;$B$5,1,0))</f>
        <v/>
      </c>
      <c r="K164" s="29">
        <f>IF(AND(J164=1,ISNUMBER(D164)),D164,"")</f>
        <v/>
      </c>
      <c r="L164" s="30">
        <f>IF(AND(J164=1,ISNUMBER(G164)),G164,"")</f>
        <v/>
      </c>
      <c r="M164" s="22">
        <f>IF(AND(J164=1,ISNUMBER(C164)),C164,"")</f>
        <v/>
      </c>
      <c r="N164" s="31">
        <f>IF(AND(J164=1,ISNUMBER(I164)),I164,"")</f>
        <v/>
      </c>
      <c r="O164" s="11">
        <f>IF(K164="","",100-IF($G$13=1,50,(_xlfn.RANK.AVG(K164,$K$19:$K$1518,1)-1)/($G$13-1)*100))</f>
        <v/>
      </c>
      <c r="P164" s="11">
        <f>IF(L164="","",100-IF($G$14=1,50,(_xlfn.RANK.AVG(L164,$L$19:$L$1518,1)-1)/($G$14-1)*100))</f>
        <v/>
      </c>
      <c r="Q164" s="11">
        <f>IF(M164="","",IF($G$15=1,50,(_xlfn.RANK.AVG(M164,$M$19:$M$1518,1)-1)/($G$15-1)*100))</f>
        <v/>
      </c>
      <c r="R164" s="11">
        <f>IF(N164="","",IF($G$16=1,50,(_xlfn.RANK.AVG(N164,$N$19:$N$1518,1)-1)/($G$16-1)*100))</f>
        <v/>
      </c>
      <c r="S164" s="11">
        <f>IF(COUNT(O164:R164)=4,ROUND(AVERAGE(O164:R164),6),"")</f>
        <v/>
      </c>
      <c r="U164">
        <f>IF(AND(ISNUMBER('자료_한국심리'!$A148),ISNUMBER('자료_한국심리'!$B148)),'자료_한국심리'!$A148,"")</f>
        <v/>
      </c>
      <c r="V164">
        <f>IF(AND(ISNUMBER('자료_한국심리'!$D148),ISNUMBER('자료_한국심리'!$E148)),'자료_한국심리'!$D148,"")</f>
        <v/>
      </c>
      <c r="W164">
        <f>IF(AND(ISNUMBER('자료_한국심리'!$G148),ISNUMBER('자료_한국심리'!$H148)),'자료_한국심리'!$G148,"")</f>
        <v/>
      </c>
      <c r="X164">
        <f>IF(AND(ISNUMBER('자료_한국심리'!$J148),ISNUMBER('자료_한국심리'!$K148)),'자료_한국심리'!$J148,"")</f>
        <v/>
      </c>
      <c r="Y164">
        <f>IF(AND(ISNUMBER('자료_한국심리'!$M148),ISNUMBER('자료_한국심리'!$N148)),'자료_한국심리'!$M148,"")</f>
        <v/>
      </c>
    </row>
    <row r="165">
      <c r="A165" s="10">
        <f>IF(147&gt;$E$5,"",SMALL($U$19:$U$4018,$E$6+147))</f>
        <v/>
      </c>
      <c r="B165" s="29">
        <f>IF(A165="","",INDEX('자료_한국심리'!$B$3:$B$4002,MATCH(A165,$U$19:$U$4018,0)))</f>
        <v/>
      </c>
      <c r="C165" s="22">
        <f>IF(A165="","",B165/AVERAGE(B41:B165)-1)</f>
        <v/>
      </c>
      <c r="D165" s="29">
        <f>IF(A165="","",IFERROR(INDEX('자료_한국심리'!$E$3:$E$4002,MATCH(A165,$V$19:$V$4018,0)),D164))</f>
        <v/>
      </c>
      <c r="E165" s="30">
        <f>IF(A165="","",IFERROR(INDEX('자료_한국심리'!$H$3:$H$4002,MATCH(A165,$W$19:$W$4018,0)),E164))</f>
        <v/>
      </c>
      <c r="F165" s="30">
        <f>IF(A165="","",IFERROR(INDEX('자료_한국심리'!$K$3:$K$4002,MATCH(A165,$X$19:$X$4018,0)),F164))</f>
        <v/>
      </c>
      <c r="G165" s="30">
        <f>IF(AND(ISNUMBER(E165),ISNUMBER(F165)),ROUND(E165-F165,6),"")</f>
        <v/>
      </c>
      <c r="H165" s="25">
        <f>IF(A165="","",IFERROR(INDEX('자료_한국심리'!$N$3:$N$4002,MATCH(A165,$Y$19:$Y$4018,0)),H164))</f>
        <v/>
      </c>
      <c r="I165" s="31">
        <f>IF(AND(ISNUMBER(H165),ISNUMBER(H145)),IF(H145&gt;0,H165/H145-1,""),"")</f>
        <v/>
      </c>
      <c r="J165">
        <f>IF(A165="",0,IF(A165&gt;$B$5,1,0))</f>
        <v/>
      </c>
      <c r="K165" s="29">
        <f>IF(AND(J165=1,ISNUMBER(D165)),D165,"")</f>
        <v/>
      </c>
      <c r="L165" s="30">
        <f>IF(AND(J165=1,ISNUMBER(G165)),G165,"")</f>
        <v/>
      </c>
      <c r="M165" s="22">
        <f>IF(AND(J165=1,ISNUMBER(C165)),C165,"")</f>
        <v/>
      </c>
      <c r="N165" s="31">
        <f>IF(AND(J165=1,ISNUMBER(I165)),I165,"")</f>
        <v/>
      </c>
      <c r="O165" s="11">
        <f>IF(K165="","",100-IF($G$13=1,50,(_xlfn.RANK.AVG(K165,$K$19:$K$1518,1)-1)/($G$13-1)*100))</f>
        <v/>
      </c>
      <c r="P165" s="11">
        <f>IF(L165="","",100-IF($G$14=1,50,(_xlfn.RANK.AVG(L165,$L$19:$L$1518,1)-1)/($G$14-1)*100))</f>
        <v/>
      </c>
      <c r="Q165" s="11">
        <f>IF(M165="","",IF($G$15=1,50,(_xlfn.RANK.AVG(M165,$M$19:$M$1518,1)-1)/($G$15-1)*100))</f>
        <v/>
      </c>
      <c r="R165" s="11">
        <f>IF(N165="","",IF($G$16=1,50,(_xlfn.RANK.AVG(N165,$N$19:$N$1518,1)-1)/($G$16-1)*100))</f>
        <v/>
      </c>
      <c r="S165" s="11">
        <f>IF(COUNT(O165:R165)=4,ROUND(AVERAGE(O165:R165),6),"")</f>
        <v/>
      </c>
      <c r="U165">
        <f>IF(AND(ISNUMBER('자료_한국심리'!$A149),ISNUMBER('자료_한국심리'!$B149)),'자료_한국심리'!$A149,"")</f>
        <v/>
      </c>
      <c r="V165">
        <f>IF(AND(ISNUMBER('자료_한국심리'!$D149),ISNUMBER('자료_한국심리'!$E149)),'자료_한국심리'!$D149,"")</f>
        <v/>
      </c>
      <c r="W165">
        <f>IF(AND(ISNUMBER('자료_한국심리'!$G149),ISNUMBER('자료_한국심리'!$H149)),'자료_한국심리'!$G149,"")</f>
        <v/>
      </c>
      <c r="X165">
        <f>IF(AND(ISNUMBER('자료_한국심리'!$J149),ISNUMBER('자료_한국심리'!$K149)),'자료_한국심리'!$J149,"")</f>
        <v/>
      </c>
      <c r="Y165">
        <f>IF(AND(ISNUMBER('자료_한국심리'!$M149),ISNUMBER('자료_한국심리'!$N149)),'자료_한국심리'!$M149,"")</f>
        <v/>
      </c>
    </row>
    <row r="166">
      <c r="A166" s="10">
        <f>IF(148&gt;$E$5,"",SMALL($U$19:$U$4018,$E$6+148))</f>
        <v/>
      </c>
      <c r="B166" s="29">
        <f>IF(A166="","",INDEX('자료_한국심리'!$B$3:$B$4002,MATCH(A166,$U$19:$U$4018,0)))</f>
        <v/>
      </c>
      <c r="C166" s="22">
        <f>IF(A166="","",B166/AVERAGE(B42:B166)-1)</f>
        <v/>
      </c>
      <c r="D166" s="29">
        <f>IF(A166="","",IFERROR(INDEX('자료_한국심리'!$E$3:$E$4002,MATCH(A166,$V$19:$V$4018,0)),D165))</f>
        <v/>
      </c>
      <c r="E166" s="30">
        <f>IF(A166="","",IFERROR(INDEX('자료_한국심리'!$H$3:$H$4002,MATCH(A166,$W$19:$W$4018,0)),E165))</f>
        <v/>
      </c>
      <c r="F166" s="30">
        <f>IF(A166="","",IFERROR(INDEX('자료_한국심리'!$K$3:$K$4002,MATCH(A166,$X$19:$X$4018,0)),F165))</f>
        <v/>
      </c>
      <c r="G166" s="30">
        <f>IF(AND(ISNUMBER(E166),ISNUMBER(F166)),ROUND(E166-F166,6),"")</f>
        <v/>
      </c>
      <c r="H166" s="25">
        <f>IF(A166="","",IFERROR(INDEX('자료_한국심리'!$N$3:$N$4002,MATCH(A166,$Y$19:$Y$4018,0)),H165))</f>
        <v/>
      </c>
      <c r="I166" s="31">
        <f>IF(AND(ISNUMBER(H166),ISNUMBER(H146)),IF(H146&gt;0,H166/H146-1,""),"")</f>
        <v/>
      </c>
      <c r="J166">
        <f>IF(A166="",0,IF(A166&gt;$B$5,1,0))</f>
        <v/>
      </c>
      <c r="K166" s="29">
        <f>IF(AND(J166=1,ISNUMBER(D166)),D166,"")</f>
        <v/>
      </c>
      <c r="L166" s="30">
        <f>IF(AND(J166=1,ISNUMBER(G166)),G166,"")</f>
        <v/>
      </c>
      <c r="M166" s="22">
        <f>IF(AND(J166=1,ISNUMBER(C166)),C166,"")</f>
        <v/>
      </c>
      <c r="N166" s="31">
        <f>IF(AND(J166=1,ISNUMBER(I166)),I166,"")</f>
        <v/>
      </c>
      <c r="O166" s="11">
        <f>IF(K166="","",100-IF($G$13=1,50,(_xlfn.RANK.AVG(K166,$K$19:$K$1518,1)-1)/($G$13-1)*100))</f>
        <v/>
      </c>
      <c r="P166" s="11">
        <f>IF(L166="","",100-IF($G$14=1,50,(_xlfn.RANK.AVG(L166,$L$19:$L$1518,1)-1)/($G$14-1)*100))</f>
        <v/>
      </c>
      <c r="Q166" s="11">
        <f>IF(M166="","",IF($G$15=1,50,(_xlfn.RANK.AVG(M166,$M$19:$M$1518,1)-1)/($G$15-1)*100))</f>
        <v/>
      </c>
      <c r="R166" s="11">
        <f>IF(N166="","",IF($G$16=1,50,(_xlfn.RANK.AVG(N166,$N$19:$N$1518,1)-1)/($G$16-1)*100))</f>
        <v/>
      </c>
      <c r="S166" s="11">
        <f>IF(COUNT(O166:R166)=4,ROUND(AVERAGE(O166:R166),6),"")</f>
        <v/>
      </c>
      <c r="U166">
        <f>IF(AND(ISNUMBER('자료_한국심리'!$A150),ISNUMBER('자료_한국심리'!$B150)),'자료_한국심리'!$A150,"")</f>
        <v/>
      </c>
      <c r="V166">
        <f>IF(AND(ISNUMBER('자료_한국심리'!$D150),ISNUMBER('자료_한국심리'!$E150)),'자료_한국심리'!$D150,"")</f>
        <v/>
      </c>
      <c r="W166">
        <f>IF(AND(ISNUMBER('자료_한국심리'!$G150),ISNUMBER('자료_한국심리'!$H150)),'자료_한국심리'!$G150,"")</f>
        <v/>
      </c>
      <c r="X166">
        <f>IF(AND(ISNUMBER('자료_한국심리'!$J150),ISNUMBER('자료_한국심리'!$K150)),'자료_한국심리'!$J150,"")</f>
        <v/>
      </c>
      <c r="Y166">
        <f>IF(AND(ISNUMBER('자료_한국심리'!$M150),ISNUMBER('자료_한국심리'!$N150)),'자료_한국심리'!$M150,"")</f>
        <v/>
      </c>
    </row>
    <row r="167">
      <c r="A167" s="10">
        <f>IF(149&gt;$E$5,"",SMALL($U$19:$U$4018,$E$6+149))</f>
        <v/>
      </c>
      <c r="B167" s="29">
        <f>IF(A167="","",INDEX('자료_한국심리'!$B$3:$B$4002,MATCH(A167,$U$19:$U$4018,0)))</f>
        <v/>
      </c>
      <c r="C167" s="22">
        <f>IF(A167="","",B167/AVERAGE(B43:B167)-1)</f>
        <v/>
      </c>
      <c r="D167" s="29">
        <f>IF(A167="","",IFERROR(INDEX('자료_한국심리'!$E$3:$E$4002,MATCH(A167,$V$19:$V$4018,0)),D166))</f>
        <v/>
      </c>
      <c r="E167" s="30">
        <f>IF(A167="","",IFERROR(INDEX('자료_한국심리'!$H$3:$H$4002,MATCH(A167,$W$19:$W$4018,0)),E166))</f>
        <v/>
      </c>
      <c r="F167" s="30">
        <f>IF(A167="","",IFERROR(INDEX('자료_한국심리'!$K$3:$K$4002,MATCH(A167,$X$19:$X$4018,0)),F166))</f>
        <v/>
      </c>
      <c r="G167" s="30">
        <f>IF(AND(ISNUMBER(E167),ISNUMBER(F167)),ROUND(E167-F167,6),"")</f>
        <v/>
      </c>
      <c r="H167" s="25">
        <f>IF(A167="","",IFERROR(INDEX('자료_한국심리'!$N$3:$N$4002,MATCH(A167,$Y$19:$Y$4018,0)),H166))</f>
        <v/>
      </c>
      <c r="I167" s="31">
        <f>IF(AND(ISNUMBER(H167),ISNUMBER(H147)),IF(H147&gt;0,H167/H147-1,""),"")</f>
        <v/>
      </c>
      <c r="J167">
        <f>IF(A167="",0,IF(A167&gt;$B$5,1,0))</f>
        <v/>
      </c>
      <c r="K167" s="29">
        <f>IF(AND(J167=1,ISNUMBER(D167)),D167,"")</f>
        <v/>
      </c>
      <c r="L167" s="30">
        <f>IF(AND(J167=1,ISNUMBER(G167)),G167,"")</f>
        <v/>
      </c>
      <c r="M167" s="22">
        <f>IF(AND(J167=1,ISNUMBER(C167)),C167,"")</f>
        <v/>
      </c>
      <c r="N167" s="31">
        <f>IF(AND(J167=1,ISNUMBER(I167)),I167,"")</f>
        <v/>
      </c>
      <c r="O167" s="11">
        <f>IF(K167="","",100-IF($G$13=1,50,(_xlfn.RANK.AVG(K167,$K$19:$K$1518,1)-1)/($G$13-1)*100))</f>
        <v/>
      </c>
      <c r="P167" s="11">
        <f>IF(L167="","",100-IF($G$14=1,50,(_xlfn.RANK.AVG(L167,$L$19:$L$1518,1)-1)/($G$14-1)*100))</f>
        <v/>
      </c>
      <c r="Q167" s="11">
        <f>IF(M167="","",IF($G$15=1,50,(_xlfn.RANK.AVG(M167,$M$19:$M$1518,1)-1)/($G$15-1)*100))</f>
        <v/>
      </c>
      <c r="R167" s="11">
        <f>IF(N167="","",IF($G$16=1,50,(_xlfn.RANK.AVG(N167,$N$19:$N$1518,1)-1)/($G$16-1)*100))</f>
        <v/>
      </c>
      <c r="S167" s="11">
        <f>IF(COUNT(O167:R167)=4,ROUND(AVERAGE(O167:R167),6),"")</f>
        <v/>
      </c>
      <c r="U167">
        <f>IF(AND(ISNUMBER('자료_한국심리'!$A151),ISNUMBER('자료_한국심리'!$B151)),'자료_한국심리'!$A151,"")</f>
        <v/>
      </c>
      <c r="V167">
        <f>IF(AND(ISNUMBER('자료_한국심리'!$D151),ISNUMBER('자료_한국심리'!$E151)),'자료_한국심리'!$D151,"")</f>
        <v/>
      </c>
      <c r="W167">
        <f>IF(AND(ISNUMBER('자료_한국심리'!$G151),ISNUMBER('자료_한국심리'!$H151)),'자료_한국심리'!$G151,"")</f>
        <v/>
      </c>
      <c r="X167">
        <f>IF(AND(ISNUMBER('자료_한국심리'!$J151),ISNUMBER('자료_한국심리'!$K151)),'자료_한국심리'!$J151,"")</f>
        <v/>
      </c>
      <c r="Y167">
        <f>IF(AND(ISNUMBER('자료_한국심리'!$M151),ISNUMBER('자료_한국심리'!$N151)),'자료_한국심리'!$M151,"")</f>
        <v/>
      </c>
    </row>
    <row r="168">
      <c r="A168" s="10">
        <f>IF(150&gt;$E$5,"",SMALL($U$19:$U$4018,$E$6+150))</f>
        <v/>
      </c>
      <c r="B168" s="29">
        <f>IF(A168="","",INDEX('자료_한국심리'!$B$3:$B$4002,MATCH(A168,$U$19:$U$4018,0)))</f>
        <v/>
      </c>
      <c r="C168" s="22">
        <f>IF(A168="","",B168/AVERAGE(B44:B168)-1)</f>
        <v/>
      </c>
      <c r="D168" s="29">
        <f>IF(A168="","",IFERROR(INDEX('자료_한국심리'!$E$3:$E$4002,MATCH(A168,$V$19:$V$4018,0)),D167))</f>
        <v/>
      </c>
      <c r="E168" s="30">
        <f>IF(A168="","",IFERROR(INDEX('자료_한국심리'!$H$3:$H$4002,MATCH(A168,$W$19:$W$4018,0)),E167))</f>
        <v/>
      </c>
      <c r="F168" s="30">
        <f>IF(A168="","",IFERROR(INDEX('자료_한국심리'!$K$3:$K$4002,MATCH(A168,$X$19:$X$4018,0)),F167))</f>
        <v/>
      </c>
      <c r="G168" s="30">
        <f>IF(AND(ISNUMBER(E168),ISNUMBER(F168)),ROUND(E168-F168,6),"")</f>
        <v/>
      </c>
      <c r="H168" s="25">
        <f>IF(A168="","",IFERROR(INDEX('자료_한국심리'!$N$3:$N$4002,MATCH(A168,$Y$19:$Y$4018,0)),H167))</f>
        <v/>
      </c>
      <c r="I168" s="31">
        <f>IF(AND(ISNUMBER(H168),ISNUMBER(H148)),IF(H148&gt;0,H168/H148-1,""),"")</f>
        <v/>
      </c>
      <c r="J168">
        <f>IF(A168="",0,IF(A168&gt;$B$5,1,0))</f>
        <v/>
      </c>
      <c r="K168" s="29">
        <f>IF(AND(J168=1,ISNUMBER(D168)),D168,"")</f>
        <v/>
      </c>
      <c r="L168" s="30">
        <f>IF(AND(J168=1,ISNUMBER(G168)),G168,"")</f>
        <v/>
      </c>
      <c r="M168" s="22">
        <f>IF(AND(J168=1,ISNUMBER(C168)),C168,"")</f>
        <v/>
      </c>
      <c r="N168" s="31">
        <f>IF(AND(J168=1,ISNUMBER(I168)),I168,"")</f>
        <v/>
      </c>
      <c r="O168" s="11">
        <f>IF(K168="","",100-IF($G$13=1,50,(_xlfn.RANK.AVG(K168,$K$19:$K$1518,1)-1)/($G$13-1)*100))</f>
        <v/>
      </c>
      <c r="P168" s="11">
        <f>IF(L168="","",100-IF($G$14=1,50,(_xlfn.RANK.AVG(L168,$L$19:$L$1518,1)-1)/($G$14-1)*100))</f>
        <v/>
      </c>
      <c r="Q168" s="11">
        <f>IF(M168="","",IF($G$15=1,50,(_xlfn.RANK.AVG(M168,$M$19:$M$1518,1)-1)/($G$15-1)*100))</f>
        <v/>
      </c>
      <c r="R168" s="11">
        <f>IF(N168="","",IF($G$16=1,50,(_xlfn.RANK.AVG(N168,$N$19:$N$1518,1)-1)/($G$16-1)*100))</f>
        <v/>
      </c>
      <c r="S168" s="11">
        <f>IF(COUNT(O168:R168)=4,ROUND(AVERAGE(O168:R168),6),"")</f>
        <v/>
      </c>
      <c r="U168">
        <f>IF(AND(ISNUMBER('자료_한국심리'!$A152),ISNUMBER('자료_한국심리'!$B152)),'자료_한국심리'!$A152,"")</f>
        <v/>
      </c>
      <c r="V168">
        <f>IF(AND(ISNUMBER('자료_한국심리'!$D152),ISNUMBER('자료_한국심리'!$E152)),'자료_한국심리'!$D152,"")</f>
        <v/>
      </c>
      <c r="W168">
        <f>IF(AND(ISNUMBER('자료_한국심리'!$G152),ISNUMBER('자료_한국심리'!$H152)),'자료_한국심리'!$G152,"")</f>
        <v/>
      </c>
      <c r="X168">
        <f>IF(AND(ISNUMBER('자료_한국심리'!$J152),ISNUMBER('자료_한국심리'!$K152)),'자료_한국심리'!$J152,"")</f>
        <v/>
      </c>
      <c r="Y168">
        <f>IF(AND(ISNUMBER('자료_한국심리'!$M152),ISNUMBER('자료_한국심리'!$N152)),'자료_한국심리'!$M152,"")</f>
        <v/>
      </c>
    </row>
    <row r="169">
      <c r="A169" s="10">
        <f>IF(151&gt;$E$5,"",SMALL($U$19:$U$4018,$E$6+151))</f>
        <v/>
      </c>
      <c r="B169" s="29">
        <f>IF(A169="","",INDEX('자료_한국심리'!$B$3:$B$4002,MATCH(A169,$U$19:$U$4018,0)))</f>
        <v/>
      </c>
      <c r="C169" s="22">
        <f>IF(A169="","",B169/AVERAGE(B45:B169)-1)</f>
        <v/>
      </c>
      <c r="D169" s="29">
        <f>IF(A169="","",IFERROR(INDEX('자료_한국심리'!$E$3:$E$4002,MATCH(A169,$V$19:$V$4018,0)),D168))</f>
        <v/>
      </c>
      <c r="E169" s="30">
        <f>IF(A169="","",IFERROR(INDEX('자료_한국심리'!$H$3:$H$4002,MATCH(A169,$W$19:$W$4018,0)),E168))</f>
        <v/>
      </c>
      <c r="F169" s="30">
        <f>IF(A169="","",IFERROR(INDEX('자료_한국심리'!$K$3:$K$4002,MATCH(A169,$X$19:$X$4018,0)),F168))</f>
        <v/>
      </c>
      <c r="G169" s="30">
        <f>IF(AND(ISNUMBER(E169),ISNUMBER(F169)),ROUND(E169-F169,6),"")</f>
        <v/>
      </c>
      <c r="H169" s="25">
        <f>IF(A169="","",IFERROR(INDEX('자료_한국심리'!$N$3:$N$4002,MATCH(A169,$Y$19:$Y$4018,0)),H168))</f>
        <v/>
      </c>
      <c r="I169" s="31">
        <f>IF(AND(ISNUMBER(H169),ISNUMBER(H149)),IF(H149&gt;0,H169/H149-1,""),"")</f>
        <v/>
      </c>
      <c r="J169">
        <f>IF(A169="",0,IF(A169&gt;$B$5,1,0))</f>
        <v/>
      </c>
      <c r="K169" s="29">
        <f>IF(AND(J169=1,ISNUMBER(D169)),D169,"")</f>
        <v/>
      </c>
      <c r="L169" s="30">
        <f>IF(AND(J169=1,ISNUMBER(G169)),G169,"")</f>
        <v/>
      </c>
      <c r="M169" s="22">
        <f>IF(AND(J169=1,ISNUMBER(C169)),C169,"")</f>
        <v/>
      </c>
      <c r="N169" s="31">
        <f>IF(AND(J169=1,ISNUMBER(I169)),I169,"")</f>
        <v/>
      </c>
      <c r="O169" s="11">
        <f>IF(K169="","",100-IF($G$13=1,50,(_xlfn.RANK.AVG(K169,$K$19:$K$1518,1)-1)/($G$13-1)*100))</f>
        <v/>
      </c>
      <c r="P169" s="11">
        <f>IF(L169="","",100-IF($G$14=1,50,(_xlfn.RANK.AVG(L169,$L$19:$L$1518,1)-1)/($G$14-1)*100))</f>
        <v/>
      </c>
      <c r="Q169" s="11">
        <f>IF(M169="","",IF($G$15=1,50,(_xlfn.RANK.AVG(M169,$M$19:$M$1518,1)-1)/($G$15-1)*100))</f>
        <v/>
      </c>
      <c r="R169" s="11">
        <f>IF(N169="","",IF($G$16=1,50,(_xlfn.RANK.AVG(N169,$N$19:$N$1518,1)-1)/($G$16-1)*100))</f>
        <v/>
      </c>
      <c r="S169" s="11">
        <f>IF(COUNT(O169:R169)=4,ROUND(AVERAGE(O169:R169),6),"")</f>
        <v/>
      </c>
      <c r="U169">
        <f>IF(AND(ISNUMBER('자료_한국심리'!$A153),ISNUMBER('자료_한국심리'!$B153)),'자료_한국심리'!$A153,"")</f>
        <v/>
      </c>
      <c r="V169">
        <f>IF(AND(ISNUMBER('자료_한국심리'!$D153),ISNUMBER('자료_한국심리'!$E153)),'자료_한국심리'!$D153,"")</f>
        <v/>
      </c>
      <c r="W169">
        <f>IF(AND(ISNUMBER('자료_한국심리'!$G153),ISNUMBER('자료_한국심리'!$H153)),'자료_한국심리'!$G153,"")</f>
        <v/>
      </c>
      <c r="X169">
        <f>IF(AND(ISNUMBER('자료_한국심리'!$J153),ISNUMBER('자료_한국심리'!$K153)),'자료_한국심리'!$J153,"")</f>
        <v/>
      </c>
      <c r="Y169">
        <f>IF(AND(ISNUMBER('자료_한국심리'!$M153),ISNUMBER('자료_한국심리'!$N153)),'자료_한국심리'!$M153,"")</f>
        <v/>
      </c>
    </row>
    <row r="170">
      <c r="A170" s="10">
        <f>IF(152&gt;$E$5,"",SMALL($U$19:$U$4018,$E$6+152))</f>
        <v/>
      </c>
      <c r="B170" s="29">
        <f>IF(A170="","",INDEX('자료_한국심리'!$B$3:$B$4002,MATCH(A170,$U$19:$U$4018,0)))</f>
        <v/>
      </c>
      <c r="C170" s="22">
        <f>IF(A170="","",B170/AVERAGE(B46:B170)-1)</f>
        <v/>
      </c>
      <c r="D170" s="29">
        <f>IF(A170="","",IFERROR(INDEX('자료_한국심리'!$E$3:$E$4002,MATCH(A170,$V$19:$V$4018,0)),D169))</f>
        <v/>
      </c>
      <c r="E170" s="30">
        <f>IF(A170="","",IFERROR(INDEX('자료_한국심리'!$H$3:$H$4002,MATCH(A170,$W$19:$W$4018,0)),E169))</f>
        <v/>
      </c>
      <c r="F170" s="30">
        <f>IF(A170="","",IFERROR(INDEX('자료_한국심리'!$K$3:$K$4002,MATCH(A170,$X$19:$X$4018,0)),F169))</f>
        <v/>
      </c>
      <c r="G170" s="30">
        <f>IF(AND(ISNUMBER(E170),ISNUMBER(F170)),ROUND(E170-F170,6),"")</f>
        <v/>
      </c>
      <c r="H170" s="25">
        <f>IF(A170="","",IFERROR(INDEX('자료_한국심리'!$N$3:$N$4002,MATCH(A170,$Y$19:$Y$4018,0)),H169))</f>
        <v/>
      </c>
      <c r="I170" s="31">
        <f>IF(AND(ISNUMBER(H170),ISNUMBER(H150)),IF(H150&gt;0,H170/H150-1,""),"")</f>
        <v/>
      </c>
      <c r="J170">
        <f>IF(A170="",0,IF(A170&gt;$B$5,1,0))</f>
        <v/>
      </c>
      <c r="K170" s="29">
        <f>IF(AND(J170=1,ISNUMBER(D170)),D170,"")</f>
        <v/>
      </c>
      <c r="L170" s="30">
        <f>IF(AND(J170=1,ISNUMBER(G170)),G170,"")</f>
        <v/>
      </c>
      <c r="M170" s="22">
        <f>IF(AND(J170=1,ISNUMBER(C170)),C170,"")</f>
        <v/>
      </c>
      <c r="N170" s="31">
        <f>IF(AND(J170=1,ISNUMBER(I170)),I170,"")</f>
        <v/>
      </c>
      <c r="O170" s="11">
        <f>IF(K170="","",100-IF($G$13=1,50,(_xlfn.RANK.AVG(K170,$K$19:$K$1518,1)-1)/($G$13-1)*100))</f>
        <v/>
      </c>
      <c r="P170" s="11">
        <f>IF(L170="","",100-IF($G$14=1,50,(_xlfn.RANK.AVG(L170,$L$19:$L$1518,1)-1)/($G$14-1)*100))</f>
        <v/>
      </c>
      <c r="Q170" s="11">
        <f>IF(M170="","",IF($G$15=1,50,(_xlfn.RANK.AVG(M170,$M$19:$M$1518,1)-1)/($G$15-1)*100))</f>
        <v/>
      </c>
      <c r="R170" s="11">
        <f>IF(N170="","",IF($G$16=1,50,(_xlfn.RANK.AVG(N170,$N$19:$N$1518,1)-1)/($G$16-1)*100))</f>
        <v/>
      </c>
      <c r="S170" s="11">
        <f>IF(COUNT(O170:R170)=4,ROUND(AVERAGE(O170:R170),6),"")</f>
        <v/>
      </c>
      <c r="U170">
        <f>IF(AND(ISNUMBER('자료_한국심리'!$A154),ISNUMBER('자료_한국심리'!$B154)),'자료_한국심리'!$A154,"")</f>
        <v/>
      </c>
      <c r="V170">
        <f>IF(AND(ISNUMBER('자료_한국심리'!$D154),ISNUMBER('자료_한국심리'!$E154)),'자료_한국심리'!$D154,"")</f>
        <v/>
      </c>
      <c r="W170">
        <f>IF(AND(ISNUMBER('자료_한국심리'!$G154),ISNUMBER('자료_한국심리'!$H154)),'자료_한국심리'!$G154,"")</f>
        <v/>
      </c>
      <c r="X170">
        <f>IF(AND(ISNUMBER('자료_한국심리'!$J154),ISNUMBER('자료_한국심리'!$K154)),'자료_한국심리'!$J154,"")</f>
        <v/>
      </c>
      <c r="Y170">
        <f>IF(AND(ISNUMBER('자료_한국심리'!$M154),ISNUMBER('자료_한국심리'!$N154)),'자료_한국심리'!$M154,"")</f>
        <v/>
      </c>
    </row>
    <row r="171">
      <c r="A171" s="10">
        <f>IF(153&gt;$E$5,"",SMALL($U$19:$U$4018,$E$6+153))</f>
        <v/>
      </c>
      <c r="B171" s="29">
        <f>IF(A171="","",INDEX('자료_한국심리'!$B$3:$B$4002,MATCH(A171,$U$19:$U$4018,0)))</f>
        <v/>
      </c>
      <c r="C171" s="22">
        <f>IF(A171="","",B171/AVERAGE(B47:B171)-1)</f>
        <v/>
      </c>
      <c r="D171" s="29">
        <f>IF(A171="","",IFERROR(INDEX('자료_한국심리'!$E$3:$E$4002,MATCH(A171,$V$19:$V$4018,0)),D170))</f>
        <v/>
      </c>
      <c r="E171" s="30">
        <f>IF(A171="","",IFERROR(INDEX('자료_한국심리'!$H$3:$H$4002,MATCH(A171,$W$19:$W$4018,0)),E170))</f>
        <v/>
      </c>
      <c r="F171" s="30">
        <f>IF(A171="","",IFERROR(INDEX('자료_한국심리'!$K$3:$K$4002,MATCH(A171,$X$19:$X$4018,0)),F170))</f>
        <v/>
      </c>
      <c r="G171" s="30">
        <f>IF(AND(ISNUMBER(E171),ISNUMBER(F171)),ROUND(E171-F171,6),"")</f>
        <v/>
      </c>
      <c r="H171" s="25">
        <f>IF(A171="","",IFERROR(INDEX('자료_한국심리'!$N$3:$N$4002,MATCH(A171,$Y$19:$Y$4018,0)),H170))</f>
        <v/>
      </c>
      <c r="I171" s="31">
        <f>IF(AND(ISNUMBER(H171),ISNUMBER(H151)),IF(H151&gt;0,H171/H151-1,""),"")</f>
        <v/>
      </c>
      <c r="J171">
        <f>IF(A171="",0,IF(A171&gt;$B$5,1,0))</f>
        <v/>
      </c>
      <c r="K171" s="29">
        <f>IF(AND(J171=1,ISNUMBER(D171)),D171,"")</f>
        <v/>
      </c>
      <c r="L171" s="30">
        <f>IF(AND(J171=1,ISNUMBER(G171)),G171,"")</f>
        <v/>
      </c>
      <c r="M171" s="22">
        <f>IF(AND(J171=1,ISNUMBER(C171)),C171,"")</f>
        <v/>
      </c>
      <c r="N171" s="31">
        <f>IF(AND(J171=1,ISNUMBER(I171)),I171,"")</f>
        <v/>
      </c>
      <c r="O171" s="11">
        <f>IF(K171="","",100-IF($G$13=1,50,(_xlfn.RANK.AVG(K171,$K$19:$K$1518,1)-1)/($G$13-1)*100))</f>
        <v/>
      </c>
      <c r="P171" s="11">
        <f>IF(L171="","",100-IF($G$14=1,50,(_xlfn.RANK.AVG(L171,$L$19:$L$1518,1)-1)/($G$14-1)*100))</f>
        <v/>
      </c>
      <c r="Q171" s="11">
        <f>IF(M171="","",IF($G$15=1,50,(_xlfn.RANK.AVG(M171,$M$19:$M$1518,1)-1)/($G$15-1)*100))</f>
        <v/>
      </c>
      <c r="R171" s="11">
        <f>IF(N171="","",IF($G$16=1,50,(_xlfn.RANK.AVG(N171,$N$19:$N$1518,1)-1)/($G$16-1)*100))</f>
        <v/>
      </c>
      <c r="S171" s="11">
        <f>IF(COUNT(O171:R171)=4,ROUND(AVERAGE(O171:R171),6),"")</f>
        <v/>
      </c>
      <c r="U171">
        <f>IF(AND(ISNUMBER('자료_한국심리'!$A155),ISNUMBER('자료_한국심리'!$B155)),'자료_한국심리'!$A155,"")</f>
        <v/>
      </c>
      <c r="V171">
        <f>IF(AND(ISNUMBER('자료_한국심리'!$D155),ISNUMBER('자료_한국심리'!$E155)),'자료_한국심리'!$D155,"")</f>
        <v/>
      </c>
      <c r="W171">
        <f>IF(AND(ISNUMBER('자료_한국심리'!$G155),ISNUMBER('자료_한국심리'!$H155)),'자료_한국심리'!$G155,"")</f>
        <v/>
      </c>
      <c r="X171">
        <f>IF(AND(ISNUMBER('자료_한국심리'!$J155),ISNUMBER('자료_한국심리'!$K155)),'자료_한국심리'!$J155,"")</f>
        <v/>
      </c>
      <c r="Y171">
        <f>IF(AND(ISNUMBER('자료_한국심리'!$M155),ISNUMBER('자료_한국심리'!$N155)),'자료_한국심리'!$M155,"")</f>
        <v/>
      </c>
    </row>
    <row r="172">
      <c r="A172" s="10">
        <f>IF(154&gt;$E$5,"",SMALL($U$19:$U$4018,$E$6+154))</f>
        <v/>
      </c>
      <c r="B172" s="29">
        <f>IF(A172="","",INDEX('자료_한국심리'!$B$3:$B$4002,MATCH(A172,$U$19:$U$4018,0)))</f>
        <v/>
      </c>
      <c r="C172" s="22">
        <f>IF(A172="","",B172/AVERAGE(B48:B172)-1)</f>
        <v/>
      </c>
      <c r="D172" s="29">
        <f>IF(A172="","",IFERROR(INDEX('자료_한국심리'!$E$3:$E$4002,MATCH(A172,$V$19:$V$4018,0)),D171))</f>
        <v/>
      </c>
      <c r="E172" s="30">
        <f>IF(A172="","",IFERROR(INDEX('자료_한국심리'!$H$3:$H$4002,MATCH(A172,$W$19:$W$4018,0)),E171))</f>
        <v/>
      </c>
      <c r="F172" s="30">
        <f>IF(A172="","",IFERROR(INDEX('자료_한국심리'!$K$3:$K$4002,MATCH(A172,$X$19:$X$4018,0)),F171))</f>
        <v/>
      </c>
      <c r="G172" s="30">
        <f>IF(AND(ISNUMBER(E172),ISNUMBER(F172)),ROUND(E172-F172,6),"")</f>
        <v/>
      </c>
      <c r="H172" s="25">
        <f>IF(A172="","",IFERROR(INDEX('자료_한국심리'!$N$3:$N$4002,MATCH(A172,$Y$19:$Y$4018,0)),H171))</f>
        <v/>
      </c>
      <c r="I172" s="31">
        <f>IF(AND(ISNUMBER(H172),ISNUMBER(H152)),IF(H152&gt;0,H172/H152-1,""),"")</f>
        <v/>
      </c>
      <c r="J172">
        <f>IF(A172="",0,IF(A172&gt;$B$5,1,0))</f>
        <v/>
      </c>
      <c r="K172" s="29">
        <f>IF(AND(J172=1,ISNUMBER(D172)),D172,"")</f>
        <v/>
      </c>
      <c r="L172" s="30">
        <f>IF(AND(J172=1,ISNUMBER(G172)),G172,"")</f>
        <v/>
      </c>
      <c r="M172" s="22">
        <f>IF(AND(J172=1,ISNUMBER(C172)),C172,"")</f>
        <v/>
      </c>
      <c r="N172" s="31">
        <f>IF(AND(J172=1,ISNUMBER(I172)),I172,"")</f>
        <v/>
      </c>
      <c r="O172" s="11">
        <f>IF(K172="","",100-IF($G$13=1,50,(_xlfn.RANK.AVG(K172,$K$19:$K$1518,1)-1)/($G$13-1)*100))</f>
        <v/>
      </c>
      <c r="P172" s="11">
        <f>IF(L172="","",100-IF($G$14=1,50,(_xlfn.RANK.AVG(L172,$L$19:$L$1518,1)-1)/($G$14-1)*100))</f>
        <v/>
      </c>
      <c r="Q172" s="11">
        <f>IF(M172="","",IF($G$15=1,50,(_xlfn.RANK.AVG(M172,$M$19:$M$1518,1)-1)/($G$15-1)*100))</f>
        <v/>
      </c>
      <c r="R172" s="11">
        <f>IF(N172="","",IF($G$16=1,50,(_xlfn.RANK.AVG(N172,$N$19:$N$1518,1)-1)/($G$16-1)*100))</f>
        <v/>
      </c>
      <c r="S172" s="11">
        <f>IF(COUNT(O172:R172)=4,ROUND(AVERAGE(O172:R172),6),"")</f>
        <v/>
      </c>
      <c r="U172">
        <f>IF(AND(ISNUMBER('자료_한국심리'!$A156),ISNUMBER('자료_한국심리'!$B156)),'자료_한국심리'!$A156,"")</f>
        <v/>
      </c>
      <c r="V172">
        <f>IF(AND(ISNUMBER('자료_한국심리'!$D156),ISNUMBER('자료_한국심리'!$E156)),'자료_한국심리'!$D156,"")</f>
        <v/>
      </c>
      <c r="W172">
        <f>IF(AND(ISNUMBER('자료_한국심리'!$G156),ISNUMBER('자료_한국심리'!$H156)),'자료_한국심리'!$G156,"")</f>
        <v/>
      </c>
      <c r="X172">
        <f>IF(AND(ISNUMBER('자료_한국심리'!$J156),ISNUMBER('자료_한국심리'!$K156)),'자료_한국심리'!$J156,"")</f>
        <v/>
      </c>
      <c r="Y172">
        <f>IF(AND(ISNUMBER('자료_한국심리'!$M156),ISNUMBER('자료_한국심리'!$N156)),'자료_한국심리'!$M156,"")</f>
        <v/>
      </c>
    </row>
    <row r="173">
      <c r="A173" s="10">
        <f>IF(155&gt;$E$5,"",SMALL($U$19:$U$4018,$E$6+155))</f>
        <v/>
      </c>
      <c r="B173" s="29">
        <f>IF(A173="","",INDEX('자료_한국심리'!$B$3:$B$4002,MATCH(A173,$U$19:$U$4018,0)))</f>
        <v/>
      </c>
      <c r="C173" s="22">
        <f>IF(A173="","",B173/AVERAGE(B49:B173)-1)</f>
        <v/>
      </c>
      <c r="D173" s="29">
        <f>IF(A173="","",IFERROR(INDEX('자료_한국심리'!$E$3:$E$4002,MATCH(A173,$V$19:$V$4018,0)),D172))</f>
        <v/>
      </c>
      <c r="E173" s="30">
        <f>IF(A173="","",IFERROR(INDEX('자료_한국심리'!$H$3:$H$4002,MATCH(A173,$W$19:$W$4018,0)),E172))</f>
        <v/>
      </c>
      <c r="F173" s="30">
        <f>IF(A173="","",IFERROR(INDEX('자료_한국심리'!$K$3:$K$4002,MATCH(A173,$X$19:$X$4018,0)),F172))</f>
        <v/>
      </c>
      <c r="G173" s="30">
        <f>IF(AND(ISNUMBER(E173),ISNUMBER(F173)),ROUND(E173-F173,6),"")</f>
        <v/>
      </c>
      <c r="H173" s="25">
        <f>IF(A173="","",IFERROR(INDEX('자료_한국심리'!$N$3:$N$4002,MATCH(A173,$Y$19:$Y$4018,0)),H172))</f>
        <v/>
      </c>
      <c r="I173" s="31">
        <f>IF(AND(ISNUMBER(H173),ISNUMBER(H153)),IF(H153&gt;0,H173/H153-1,""),"")</f>
        <v/>
      </c>
      <c r="J173">
        <f>IF(A173="",0,IF(A173&gt;$B$5,1,0))</f>
        <v/>
      </c>
      <c r="K173" s="29">
        <f>IF(AND(J173=1,ISNUMBER(D173)),D173,"")</f>
        <v/>
      </c>
      <c r="L173" s="30">
        <f>IF(AND(J173=1,ISNUMBER(G173)),G173,"")</f>
        <v/>
      </c>
      <c r="M173" s="22">
        <f>IF(AND(J173=1,ISNUMBER(C173)),C173,"")</f>
        <v/>
      </c>
      <c r="N173" s="31">
        <f>IF(AND(J173=1,ISNUMBER(I173)),I173,"")</f>
        <v/>
      </c>
      <c r="O173" s="11">
        <f>IF(K173="","",100-IF($G$13=1,50,(_xlfn.RANK.AVG(K173,$K$19:$K$1518,1)-1)/($G$13-1)*100))</f>
        <v/>
      </c>
      <c r="P173" s="11">
        <f>IF(L173="","",100-IF($G$14=1,50,(_xlfn.RANK.AVG(L173,$L$19:$L$1518,1)-1)/($G$14-1)*100))</f>
        <v/>
      </c>
      <c r="Q173" s="11">
        <f>IF(M173="","",IF($G$15=1,50,(_xlfn.RANK.AVG(M173,$M$19:$M$1518,1)-1)/($G$15-1)*100))</f>
        <v/>
      </c>
      <c r="R173" s="11">
        <f>IF(N173="","",IF($G$16=1,50,(_xlfn.RANK.AVG(N173,$N$19:$N$1518,1)-1)/($G$16-1)*100))</f>
        <v/>
      </c>
      <c r="S173" s="11">
        <f>IF(COUNT(O173:R173)=4,ROUND(AVERAGE(O173:R173),6),"")</f>
        <v/>
      </c>
      <c r="U173">
        <f>IF(AND(ISNUMBER('자료_한국심리'!$A157),ISNUMBER('자료_한국심리'!$B157)),'자료_한국심리'!$A157,"")</f>
        <v/>
      </c>
      <c r="V173">
        <f>IF(AND(ISNUMBER('자료_한국심리'!$D157),ISNUMBER('자료_한국심리'!$E157)),'자료_한국심리'!$D157,"")</f>
        <v/>
      </c>
      <c r="W173">
        <f>IF(AND(ISNUMBER('자료_한국심리'!$G157),ISNUMBER('자료_한국심리'!$H157)),'자료_한국심리'!$G157,"")</f>
        <v/>
      </c>
      <c r="X173">
        <f>IF(AND(ISNUMBER('자료_한국심리'!$J157),ISNUMBER('자료_한국심리'!$K157)),'자료_한국심리'!$J157,"")</f>
        <v/>
      </c>
      <c r="Y173">
        <f>IF(AND(ISNUMBER('자료_한국심리'!$M157),ISNUMBER('자료_한국심리'!$N157)),'자료_한국심리'!$M157,"")</f>
        <v/>
      </c>
    </row>
    <row r="174">
      <c r="A174" s="10">
        <f>IF(156&gt;$E$5,"",SMALL($U$19:$U$4018,$E$6+156))</f>
        <v/>
      </c>
      <c r="B174" s="29">
        <f>IF(A174="","",INDEX('자료_한국심리'!$B$3:$B$4002,MATCH(A174,$U$19:$U$4018,0)))</f>
        <v/>
      </c>
      <c r="C174" s="22">
        <f>IF(A174="","",B174/AVERAGE(B50:B174)-1)</f>
        <v/>
      </c>
      <c r="D174" s="29">
        <f>IF(A174="","",IFERROR(INDEX('자료_한국심리'!$E$3:$E$4002,MATCH(A174,$V$19:$V$4018,0)),D173))</f>
        <v/>
      </c>
      <c r="E174" s="30">
        <f>IF(A174="","",IFERROR(INDEX('자료_한국심리'!$H$3:$H$4002,MATCH(A174,$W$19:$W$4018,0)),E173))</f>
        <v/>
      </c>
      <c r="F174" s="30">
        <f>IF(A174="","",IFERROR(INDEX('자료_한국심리'!$K$3:$K$4002,MATCH(A174,$X$19:$X$4018,0)),F173))</f>
        <v/>
      </c>
      <c r="G174" s="30">
        <f>IF(AND(ISNUMBER(E174),ISNUMBER(F174)),ROUND(E174-F174,6),"")</f>
        <v/>
      </c>
      <c r="H174" s="25">
        <f>IF(A174="","",IFERROR(INDEX('자료_한국심리'!$N$3:$N$4002,MATCH(A174,$Y$19:$Y$4018,0)),H173))</f>
        <v/>
      </c>
      <c r="I174" s="31">
        <f>IF(AND(ISNUMBER(H174),ISNUMBER(H154)),IF(H154&gt;0,H174/H154-1,""),"")</f>
        <v/>
      </c>
      <c r="J174">
        <f>IF(A174="",0,IF(A174&gt;$B$5,1,0))</f>
        <v/>
      </c>
      <c r="K174" s="29">
        <f>IF(AND(J174=1,ISNUMBER(D174)),D174,"")</f>
        <v/>
      </c>
      <c r="L174" s="30">
        <f>IF(AND(J174=1,ISNUMBER(G174)),G174,"")</f>
        <v/>
      </c>
      <c r="M174" s="22">
        <f>IF(AND(J174=1,ISNUMBER(C174)),C174,"")</f>
        <v/>
      </c>
      <c r="N174" s="31">
        <f>IF(AND(J174=1,ISNUMBER(I174)),I174,"")</f>
        <v/>
      </c>
      <c r="O174" s="11">
        <f>IF(K174="","",100-IF($G$13=1,50,(_xlfn.RANK.AVG(K174,$K$19:$K$1518,1)-1)/($G$13-1)*100))</f>
        <v/>
      </c>
      <c r="P174" s="11">
        <f>IF(L174="","",100-IF($G$14=1,50,(_xlfn.RANK.AVG(L174,$L$19:$L$1518,1)-1)/($G$14-1)*100))</f>
        <v/>
      </c>
      <c r="Q174" s="11">
        <f>IF(M174="","",IF($G$15=1,50,(_xlfn.RANK.AVG(M174,$M$19:$M$1518,1)-1)/($G$15-1)*100))</f>
        <v/>
      </c>
      <c r="R174" s="11">
        <f>IF(N174="","",IF($G$16=1,50,(_xlfn.RANK.AVG(N174,$N$19:$N$1518,1)-1)/($G$16-1)*100))</f>
        <v/>
      </c>
      <c r="S174" s="11">
        <f>IF(COUNT(O174:R174)=4,ROUND(AVERAGE(O174:R174),6),"")</f>
        <v/>
      </c>
      <c r="U174">
        <f>IF(AND(ISNUMBER('자료_한국심리'!$A158),ISNUMBER('자료_한국심리'!$B158)),'자료_한국심리'!$A158,"")</f>
        <v/>
      </c>
      <c r="V174">
        <f>IF(AND(ISNUMBER('자료_한국심리'!$D158),ISNUMBER('자료_한국심리'!$E158)),'자료_한국심리'!$D158,"")</f>
        <v/>
      </c>
      <c r="W174">
        <f>IF(AND(ISNUMBER('자료_한국심리'!$G158),ISNUMBER('자료_한국심리'!$H158)),'자료_한국심리'!$G158,"")</f>
        <v/>
      </c>
      <c r="X174">
        <f>IF(AND(ISNUMBER('자료_한국심리'!$J158),ISNUMBER('자료_한국심리'!$K158)),'자료_한국심리'!$J158,"")</f>
        <v/>
      </c>
      <c r="Y174">
        <f>IF(AND(ISNUMBER('자료_한국심리'!$M158),ISNUMBER('자료_한국심리'!$N158)),'자료_한국심리'!$M158,"")</f>
        <v/>
      </c>
    </row>
    <row r="175">
      <c r="A175" s="10">
        <f>IF(157&gt;$E$5,"",SMALL($U$19:$U$4018,$E$6+157))</f>
        <v/>
      </c>
      <c r="B175" s="29">
        <f>IF(A175="","",INDEX('자료_한국심리'!$B$3:$B$4002,MATCH(A175,$U$19:$U$4018,0)))</f>
        <v/>
      </c>
      <c r="C175" s="22">
        <f>IF(A175="","",B175/AVERAGE(B51:B175)-1)</f>
        <v/>
      </c>
      <c r="D175" s="29">
        <f>IF(A175="","",IFERROR(INDEX('자료_한국심리'!$E$3:$E$4002,MATCH(A175,$V$19:$V$4018,0)),D174))</f>
        <v/>
      </c>
      <c r="E175" s="30">
        <f>IF(A175="","",IFERROR(INDEX('자료_한국심리'!$H$3:$H$4002,MATCH(A175,$W$19:$W$4018,0)),E174))</f>
        <v/>
      </c>
      <c r="F175" s="30">
        <f>IF(A175="","",IFERROR(INDEX('자료_한국심리'!$K$3:$K$4002,MATCH(A175,$X$19:$X$4018,0)),F174))</f>
        <v/>
      </c>
      <c r="G175" s="30">
        <f>IF(AND(ISNUMBER(E175),ISNUMBER(F175)),ROUND(E175-F175,6),"")</f>
        <v/>
      </c>
      <c r="H175" s="25">
        <f>IF(A175="","",IFERROR(INDEX('자료_한국심리'!$N$3:$N$4002,MATCH(A175,$Y$19:$Y$4018,0)),H174))</f>
        <v/>
      </c>
      <c r="I175" s="31">
        <f>IF(AND(ISNUMBER(H175),ISNUMBER(H155)),IF(H155&gt;0,H175/H155-1,""),"")</f>
        <v/>
      </c>
      <c r="J175">
        <f>IF(A175="",0,IF(A175&gt;$B$5,1,0))</f>
        <v/>
      </c>
      <c r="K175" s="29">
        <f>IF(AND(J175=1,ISNUMBER(D175)),D175,"")</f>
        <v/>
      </c>
      <c r="L175" s="30">
        <f>IF(AND(J175=1,ISNUMBER(G175)),G175,"")</f>
        <v/>
      </c>
      <c r="M175" s="22">
        <f>IF(AND(J175=1,ISNUMBER(C175)),C175,"")</f>
        <v/>
      </c>
      <c r="N175" s="31">
        <f>IF(AND(J175=1,ISNUMBER(I175)),I175,"")</f>
        <v/>
      </c>
      <c r="O175" s="11">
        <f>IF(K175="","",100-IF($G$13=1,50,(_xlfn.RANK.AVG(K175,$K$19:$K$1518,1)-1)/($G$13-1)*100))</f>
        <v/>
      </c>
      <c r="P175" s="11">
        <f>IF(L175="","",100-IF($G$14=1,50,(_xlfn.RANK.AVG(L175,$L$19:$L$1518,1)-1)/($G$14-1)*100))</f>
        <v/>
      </c>
      <c r="Q175" s="11">
        <f>IF(M175="","",IF($G$15=1,50,(_xlfn.RANK.AVG(M175,$M$19:$M$1518,1)-1)/($G$15-1)*100))</f>
        <v/>
      </c>
      <c r="R175" s="11">
        <f>IF(N175="","",IF($G$16=1,50,(_xlfn.RANK.AVG(N175,$N$19:$N$1518,1)-1)/($G$16-1)*100))</f>
        <v/>
      </c>
      <c r="S175" s="11">
        <f>IF(COUNT(O175:R175)=4,ROUND(AVERAGE(O175:R175),6),"")</f>
        <v/>
      </c>
      <c r="U175">
        <f>IF(AND(ISNUMBER('자료_한국심리'!$A159),ISNUMBER('자료_한국심리'!$B159)),'자료_한국심리'!$A159,"")</f>
        <v/>
      </c>
      <c r="V175">
        <f>IF(AND(ISNUMBER('자료_한국심리'!$D159),ISNUMBER('자료_한국심리'!$E159)),'자료_한국심리'!$D159,"")</f>
        <v/>
      </c>
      <c r="W175">
        <f>IF(AND(ISNUMBER('자료_한국심리'!$G159),ISNUMBER('자료_한국심리'!$H159)),'자료_한국심리'!$G159,"")</f>
        <v/>
      </c>
      <c r="X175">
        <f>IF(AND(ISNUMBER('자료_한국심리'!$J159),ISNUMBER('자료_한국심리'!$K159)),'자료_한국심리'!$J159,"")</f>
        <v/>
      </c>
      <c r="Y175">
        <f>IF(AND(ISNUMBER('자료_한국심리'!$M159),ISNUMBER('자료_한국심리'!$N159)),'자료_한국심리'!$M159,"")</f>
        <v/>
      </c>
    </row>
    <row r="176">
      <c r="A176" s="10">
        <f>IF(158&gt;$E$5,"",SMALL($U$19:$U$4018,$E$6+158))</f>
        <v/>
      </c>
      <c r="B176" s="29">
        <f>IF(A176="","",INDEX('자료_한국심리'!$B$3:$B$4002,MATCH(A176,$U$19:$U$4018,0)))</f>
        <v/>
      </c>
      <c r="C176" s="22">
        <f>IF(A176="","",B176/AVERAGE(B52:B176)-1)</f>
        <v/>
      </c>
      <c r="D176" s="29">
        <f>IF(A176="","",IFERROR(INDEX('자료_한국심리'!$E$3:$E$4002,MATCH(A176,$V$19:$V$4018,0)),D175))</f>
        <v/>
      </c>
      <c r="E176" s="30">
        <f>IF(A176="","",IFERROR(INDEX('자료_한국심리'!$H$3:$H$4002,MATCH(A176,$W$19:$W$4018,0)),E175))</f>
        <v/>
      </c>
      <c r="F176" s="30">
        <f>IF(A176="","",IFERROR(INDEX('자료_한국심리'!$K$3:$K$4002,MATCH(A176,$X$19:$X$4018,0)),F175))</f>
        <v/>
      </c>
      <c r="G176" s="30">
        <f>IF(AND(ISNUMBER(E176),ISNUMBER(F176)),ROUND(E176-F176,6),"")</f>
        <v/>
      </c>
      <c r="H176" s="25">
        <f>IF(A176="","",IFERROR(INDEX('자료_한국심리'!$N$3:$N$4002,MATCH(A176,$Y$19:$Y$4018,0)),H175))</f>
        <v/>
      </c>
      <c r="I176" s="31">
        <f>IF(AND(ISNUMBER(H176),ISNUMBER(H156)),IF(H156&gt;0,H176/H156-1,""),"")</f>
        <v/>
      </c>
      <c r="J176">
        <f>IF(A176="",0,IF(A176&gt;$B$5,1,0))</f>
        <v/>
      </c>
      <c r="K176" s="29">
        <f>IF(AND(J176=1,ISNUMBER(D176)),D176,"")</f>
        <v/>
      </c>
      <c r="L176" s="30">
        <f>IF(AND(J176=1,ISNUMBER(G176)),G176,"")</f>
        <v/>
      </c>
      <c r="M176" s="22">
        <f>IF(AND(J176=1,ISNUMBER(C176)),C176,"")</f>
        <v/>
      </c>
      <c r="N176" s="31">
        <f>IF(AND(J176=1,ISNUMBER(I176)),I176,"")</f>
        <v/>
      </c>
      <c r="O176" s="11">
        <f>IF(K176="","",100-IF($G$13=1,50,(_xlfn.RANK.AVG(K176,$K$19:$K$1518,1)-1)/($G$13-1)*100))</f>
        <v/>
      </c>
      <c r="P176" s="11">
        <f>IF(L176="","",100-IF($G$14=1,50,(_xlfn.RANK.AVG(L176,$L$19:$L$1518,1)-1)/($G$14-1)*100))</f>
        <v/>
      </c>
      <c r="Q176" s="11">
        <f>IF(M176="","",IF($G$15=1,50,(_xlfn.RANK.AVG(M176,$M$19:$M$1518,1)-1)/($G$15-1)*100))</f>
        <v/>
      </c>
      <c r="R176" s="11">
        <f>IF(N176="","",IF($G$16=1,50,(_xlfn.RANK.AVG(N176,$N$19:$N$1518,1)-1)/($G$16-1)*100))</f>
        <v/>
      </c>
      <c r="S176" s="11">
        <f>IF(COUNT(O176:R176)=4,ROUND(AVERAGE(O176:R176),6),"")</f>
        <v/>
      </c>
      <c r="U176">
        <f>IF(AND(ISNUMBER('자료_한국심리'!$A160),ISNUMBER('자료_한국심리'!$B160)),'자료_한국심리'!$A160,"")</f>
        <v/>
      </c>
      <c r="V176">
        <f>IF(AND(ISNUMBER('자료_한국심리'!$D160),ISNUMBER('자료_한국심리'!$E160)),'자료_한국심리'!$D160,"")</f>
        <v/>
      </c>
      <c r="W176">
        <f>IF(AND(ISNUMBER('자료_한국심리'!$G160),ISNUMBER('자료_한국심리'!$H160)),'자료_한국심리'!$G160,"")</f>
        <v/>
      </c>
      <c r="X176">
        <f>IF(AND(ISNUMBER('자료_한국심리'!$J160),ISNUMBER('자료_한국심리'!$K160)),'자료_한국심리'!$J160,"")</f>
        <v/>
      </c>
      <c r="Y176">
        <f>IF(AND(ISNUMBER('자료_한국심리'!$M160),ISNUMBER('자료_한국심리'!$N160)),'자료_한국심리'!$M160,"")</f>
        <v/>
      </c>
    </row>
    <row r="177">
      <c r="A177" s="10">
        <f>IF(159&gt;$E$5,"",SMALL($U$19:$U$4018,$E$6+159))</f>
        <v/>
      </c>
      <c r="B177" s="29">
        <f>IF(A177="","",INDEX('자료_한국심리'!$B$3:$B$4002,MATCH(A177,$U$19:$U$4018,0)))</f>
        <v/>
      </c>
      <c r="C177" s="22">
        <f>IF(A177="","",B177/AVERAGE(B53:B177)-1)</f>
        <v/>
      </c>
      <c r="D177" s="29">
        <f>IF(A177="","",IFERROR(INDEX('자료_한국심리'!$E$3:$E$4002,MATCH(A177,$V$19:$V$4018,0)),D176))</f>
        <v/>
      </c>
      <c r="E177" s="30">
        <f>IF(A177="","",IFERROR(INDEX('자료_한국심리'!$H$3:$H$4002,MATCH(A177,$W$19:$W$4018,0)),E176))</f>
        <v/>
      </c>
      <c r="F177" s="30">
        <f>IF(A177="","",IFERROR(INDEX('자료_한국심리'!$K$3:$K$4002,MATCH(A177,$X$19:$X$4018,0)),F176))</f>
        <v/>
      </c>
      <c r="G177" s="30">
        <f>IF(AND(ISNUMBER(E177),ISNUMBER(F177)),ROUND(E177-F177,6),"")</f>
        <v/>
      </c>
      <c r="H177" s="25">
        <f>IF(A177="","",IFERROR(INDEX('자료_한국심리'!$N$3:$N$4002,MATCH(A177,$Y$19:$Y$4018,0)),H176))</f>
        <v/>
      </c>
      <c r="I177" s="31">
        <f>IF(AND(ISNUMBER(H177),ISNUMBER(H157)),IF(H157&gt;0,H177/H157-1,""),"")</f>
        <v/>
      </c>
      <c r="J177">
        <f>IF(A177="",0,IF(A177&gt;$B$5,1,0))</f>
        <v/>
      </c>
      <c r="K177" s="29">
        <f>IF(AND(J177=1,ISNUMBER(D177)),D177,"")</f>
        <v/>
      </c>
      <c r="L177" s="30">
        <f>IF(AND(J177=1,ISNUMBER(G177)),G177,"")</f>
        <v/>
      </c>
      <c r="M177" s="22">
        <f>IF(AND(J177=1,ISNUMBER(C177)),C177,"")</f>
        <v/>
      </c>
      <c r="N177" s="31">
        <f>IF(AND(J177=1,ISNUMBER(I177)),I177,"")</f>
        <v/>
      </c>
      <c r="O177" s="11">
        <f>IF(K177="","",100-IF($G$13=1,50,(_xlfn.RANK.AVG(K177,$K$19:$K$1518,1)-1)/($G$13-1)*100))</f>
        <v/>
      </c>
      <c r="P177" s="11">
        <f>IF(L177="","",100-IF($G$14=1,50,(_xlfn.RANK.AVG(L177,$L$19:$L$1518,1)-1)/($G$14-1)*100))</f>
        <v/>
      </c>
      <c r="Q177" s="11">
        <f>IF(M177="","",IF($G$15=1,50,(_xlfn.RANK.AVG(M177,$M$19:$M$1518,1)-1)/($G$15-1)*100))</f>
        <v/>
      </c>
      <c r="R177" s="11">
        <f>IF(N177="","",IF($G$16=1,50,(_xlfn.RANK.AVG(N177,$N$19:$N$1518,1)-1)/($G$16-1)*100))</f>
        <v/>
      </c>
      <c r="S177" s="11">
        <f>IF(COUNT(O177:R177)=4,ROUND(AVERAGE(O177:R177),6),"")</f>
        <v/>
      </c>
      <c r="U177">
        <f>IF(AND(ISNUMBER('자료_한국심리'!$A161),ISNUMBER('자료_한국심리'!$B161)),'자료_한국심리'!$A161,"")</f>
        <v/>
      </c>
      <c r="V177">
        <f>IF(AND(ISNUMBER('자료_한국심리'!$D161),ISNUMBER('자료_한국심리'!$E161)),'자료_한국심리'!$D161,"")</f>
        <v/>
      </c>
      <c r="W177">
        <f>IF(AND(ISNUMBER('자료_한국심리'!$G161),ISNUMBER('자료_한국심리'!$H161)),'자료_한국심리'!$G161,"")</f>
        <v/>
      </c>
      <c r="X177">
        <f>IF(AND(ISNUMBER('자료_한국심리'!$J161),ISNUMBER('자료_한국심리'!$K161)),'자료_한국심리'!$J161,"")</f>
        <v/>
      </c>
      <c r="Y177">
        <f>IF(AND(ISNUMBER('자료_한국심리'!$M161),ISNUMBER('자료_한국심리'!$N161)),'자료_한국심리'!$M161,"")</f>
        <v/>
      </c>
    </row>
    <row r="178">
      <c r="A178" s="10">
        <f>IF(160&gt;$E$5,"",SMALL($U$19:$U$4018,$E$6+160))</f>
        <v/>
      </c>
      <c r="B178" s="29">
        <f>IF(A178="","",INDEX('자료_한국심리'!$B$3:$B$4002,MATCH(A178,$U$19:$U$4018,0)))</f>
        <v/>
      </c>
      <c r="C178" s="22">
        <f>IF(A178="","",B178/AVERAGE(B54:B178)-1)</f>
        <v/>
      </c>
      <c r="D178" s="29">
        <f>IF(A178="","",IFERROR(INDEX('자료_한국심리'!$E$3:$E$4002,MATCH(A178,$V$19:$V$4018,0)),D177))</f>
        <v/>
      </c>
      <c r="E178" s="30">
        <f>IF(A178="","",IFERROR(INDEX('자료_한국심리'!$H$3:$H$4002,MATCH(A178,$W$19:$W$4018,0)),E177))</f>
        <v/>
      </c>
      <c r="F178" s="30">
        <f>IF(A178="","",IFERROR(INDEX('자료_한국심리'!$K$3:$K$4002,MATCH(A178,$X$19:$X$4018,0)),F177))</f>
        <v/>
      </c>
      <c r="G178" s="30">
        <f>IF(AND(ISNUMBER(E178),ISNUMBER(F178)),ROUND(E178-F178,6),"")</f>
        <v/>
      </c>
      <c r="H178" s="25">
        <f>IF(A178="","",IFERROR(INDEX('자료_한국심리'!$N$3:$N$4002,MATCH(A178,$Y$19:$Y$4018,0)),H177))</f>
        <v/>
      </c>
      <c r="I178" s="31">
        <f>IF(AND(ISNUMBER(H178),ISNUMBER(H158)),IF(H158&gt;0,H178/H158-1,""),"")</f>
        <v/>
      </c>
      <c r="J178">
        <f>IF(A178="",0,IF(A178&gt;$B$5,1,0))</f>
        <v/>
      </c>
      <c r="K178" s="29">
        <f>IF(AND(J178=1,ISNUMBER(D178)),D178,"")</f>
        <v/>
      </c>
      <c r="L178" s="30">
        <f>IF(AND(J178=1,ISNUMBER(G178)),G178,"")</f>
        <v/>
      </c>
      <c r="M178" s="22">
        <f>IF(AND(J178=1,ISNUMBER(C178)),C178,"")</f>
        <v/>
      </c>
      <c r="N178" s="31">
        <f>IF(AND(J178=1,ISNUMBER(I178)),I178,"")</f>
        <v/>
      </c>
      <c r="O178" s="11">
        <f>IF(K178="","",100-IF($G$13=1,50,(_xlfn.RANK.AVG(K178,$K$19:$K$1518,1)-1)/($G$13-1)*100))</f>
        <v/>
      </c>
      <c r="P178" s="11">
        <f>IF(L178="","",100-IF($G$14=1,50,(_xlfn.RANK.AVG(L178,$L$19:$L$1518,1)-1)/($G$14-1)*100))</f>
        <v/>
      </c>
      <c r="Q178" s="11">
        <f>IF(M178="","",IF($G$15=1,50,(_xlfn.RANK.AVG(M178,$M$19:$M$1518,1)-1)/($G$15-1)*100))</f>
        <v/>
      </c>
      <c r="R178" s="11">
        <f>IF(N178="","",IF($G$16=1,50,(_xlfn.RANK.AVG(N178,$N$19:$N$1518,1)-1)/($G$16-1)*100))</f>
        <v/>
      </c>
      <c r="S178" s="11">
        <f>IF(COUNT(O178:R178)=4,ROUND(AVERAGE(O178:R178),6),"")</f>
        <v/>
      </c>
      <c r="U178">
        <f>IF(AND(ISNUMBER('자료_한국심리'!$A162),ISNUMBER('자료_한국심리'!$B162)),'자료_한국심리'!$A162,"")</f>
        <v/>
      </c>
      <c r="V178">
        <f>IF(AND(ISNUMBER('자료_한국심리'!$D162),ISNUMBER('자료_한국심리'!$E162)),'자료_한국심리'!$D162,"")</f>
        <v/>
      </c>
      <c r="W178">
        <f>IF(AND(ISNUMBER('자료_한국심리'!$G162),ISNUMBER('자료_한국심리'!$H162)),'자료_한국심리'!$G162,"")</f>
        <v/>
      </c>
      <c r="X178">
        <f>IF(AND(ISNUMBER('자료_한국심리'!$J162),ISNUMBER('자료_한국심리'!$K162)),'자료_한국심리'!$J162,"")</f>
        <v/>
      </c>
      <c r="Y178">
        <f>IF(AND(ISNUMBER('자료_한국심리'!$M162),ISNUMBER('자료_한국심리'!$N162)),'자료_한국심리'!$M162,"")</f>
        <v/>
      </c>
    </row>
    <row r="179">
      <c r="A179" s="10">
        <f>IF(161&gt;$E$5,"",SMALL($U$19:$U$4018,$E$6+161))</f>
        <v/>
      </c>
      <c r="B179" s="29">
        <f>IF(A179="","",INDEX('자료_한국심리'!$B$3:$B$4002,MATCH(A179,$U$19:$U$4018,0)))</f>
        <v/>
      </c>
      <c r="C179" s="22">
        <f>IF(A179="","",B179/AVERAGE(B55:B179)-1)</f>
        <v/>
      </c>
      <c r="D179" s="29">
        <f>IF(A179="","",IFERROR(INDEX('자료_한국심리'!$E$3:$E$4002,MATCH(A179,$V$19:$V$4018,0)),D178))</f>
        <v/>
      </c>
      <c r="E179" s="30">
        <f>IF(A179="","",IFERROR(INDEX('자료_한국심리'!$H$3:$H$4002,MATCH(A179,$W$19:$W$4018,0)),E178))</f>
        <v/>
      </c>
      <c r="F179" s="30">
        <f>IF(A179="","",IFERROR(INDEX('자료_한국심리'!$K$3:$K$4002,MATCH(A179,$X$19:$X$4018,0)),F178))</f>
        <v/>
      </c>
      <c r="G179" s="30">
        <f>IF(AND(ISNUMBER(E179),ISNUMBER(F179)),ROUND(E179-F179,6),"")</f>
        <v/>
      </c>
      <c r="H179" s="25">
        <f>IF(A179="","",IFERROR(INDEX('자료_한국심리'!$N$3:$N$4002,MATCH(A179,$Y$19:$Y$4018,0)),H178))</f>
        <v/>
      </c>
      <c r="I179" s="31">
        <f>IF(AND(ISNUMBER(H179),ISNUMBER(H159)),IF(H159&gt;0,H179/H159-1,""),"")</f>
        <v/>
      </c>
      <c r="J179">
        <f>IF(A179="",0,IF(A179&gt;$B$5,1,0))</f>
        <v/>
      </c>
      <c r="K179" s="29">
        <f>IF(AND(J179=1,ISNUMBER(D179)),D179,"")</f>
        <v/>
      </c>
      <c r="L179" s="30">
        <f>IF(AND(J179=1,ISNUMBER(G179)),G179,"")</f>
        <v/>
      </c>
      <c r="M179" s="22">
        <f>IF(AND(J179=1,ISNUMBER(C179)),C179,"")</f>
        <v/>
      </c>
      <c r="N179" s="31">
        <f>IF(AND(J179=1,ISNUMBER(I179)),I179,"")</f>
        <v/>
      </c>
      <c r="O179" s="11">
        <f>IF(K179="","",100-IF($G$13=1,50,(_xlfn.RANK.AVG(K179,$K$19:$K$1518,1)-1)/($G$13-1)*100))</f>
        <v/>
      </c>
      <c r="P179" s="11">
        <f>IF(L179="","",100-IF($G$14=1,50,(_xlfn.RANK.AVG(L179,$L$19:$L$1518,1)-1)/($G$14-1)*100))</f>
        <v/>
      </c>
      <c r="Q179" s="11">
        <f>IF(M179="","",IF($G$15=1,50,(_xlfn.RANK.AVG(M179,$M$19:$M$1518,1)-1)/($G$15-1)*100))</f>
        <v/>
      </c>
      <c r="R179" s="11">
        <f>IF(N179="","",IF($G$16=1,50,(_xlfn.RANK.AVG(N179,$N$19:$N$1518,1)-1)/($G$16-1)*100))</f>
        <v/>
      </c>
      <c r="S179" s="11">
        <f>IF(COUNT(O179:R179)=4,ROUND(AVERAGE(O179:R179),6),"")</f>
        <v/>
      </c>
      <c r="U179">
        <f>IF(AND(ISNUMBER('자료_한국심리'!$A163),ISNUMBER('자료_한국심리'!$B163)),'자료_한국심리'!$A163,"")</f>
        <v/>
      </c>
      <c r="V179">
        <f>IF(AND(ISNUMBER('자료_한국심리'!$D163),ISNUMBER('자료_한국심리'!$E163)),'자료_한국심리'!$D163,"")</f>
        <v/>
      </c>
      <c r="W179">
        <f>IF(AND(ISNUMBER('자료_한국심리'!$G163),ISNUMBER('자료_한국심리'!$H163)),'자료_한국심리'!$G163,"")</f>
        <v/>
      </c>
      <c r="X179">
        <f>IF(AND(ISNUMBER('자료_한국심리'!$J163),ISNUMBER('자료_한국심리'!$K163)),'자료_한국심리'!$J163,"")</f>
        <v/>
      </c>
      <c r="Y179">
        <f>IF(AND(ISNUMBER('자료_한국심리'!$M163),ISNUMBER('자료_한국심리'!$N163)),'자료_한국심리'!$M163,"")</f>
        <v/>
      </c>
    </row>
    <row r="180">
      <c r="A180" s="10">
        <f>IF(162&gt;$E$5,"",SMALL($U$19:$U$4018,$E$6+162))</f>
        <v/>
      </c>
      <c r="B180" s="29">
        <f>IF(A180="","",INDEX('자료_한국심리'!$B$3:$B$4002,MATCH(A180,$U$19:$U$4018,0)))</f>
        <v/>
      </c>
      <c r="C180" s="22">
        <f>IF(A180="","",B180/AVERAGE(B56:B180)-1)</f>
        <v/>
      </c>
      <c r="D180" s="29">
        <f>IF(A180="","",IFERROR(INDEX('자료_한국심리'!$E$3:$E$4002,MATCH(A180,$V$19:$V$4018,0)),D179))</f>
        <v/>
      </c>
      <c r="E180" s="30">
        <f>IF(A180="","",IFERROR(INDEX('자료_한국심리'!$H$3:$H$4002,MATCH(A180,$W$19:$W$4018,0)),E179))</f>
        <v/>
      </c>
      <c r="F180" s="30">
        <f>IF(A180="","",IFERROR(INDEX('자료_한국심리'!$K$3:$K$4002,MATCH(A180,$X$19:$X$4018,0)),F179))</f>
        <v/>
      </c>
      <c r="G180" s="30">
        <f>IF(AND(ISNUMBER(E180),ISNUMBER(F180)),ROUND(E180-F180,6),"")</f>
        <v/>
      </c>
      <c r="H180" s="25">
        <f>IF(A180="","",IFERROR(INDEX('자료_한국심리'!$N$3:$N$4002,MATCH(A180,$Y$19:$Y$4018,0)),H179))</f>
        <v/>
      </c>
      <c r="I180" s="31">
        <f>IF(AND(ISNUMBER(H180),ISNUMBER(H160)),IF(H160&gt;0,H180/H160-1,""),"")</f>
        <v/>
      </c>
      <c r="J180">
        <f>IF(A180="",0,IF(A180&gt;$B$5,1,0))</f>
        <v/>
      </c>
      <c r="K180" s="29">
        <f>IF(AND(J180=1,ISNUMBER(D180)),D180,"")</f>
        <v/>
      </c>
      <c r="L180" s="30">
        <f>IF(AND(J180=1,ISNUMBER(G180)),G180,"")</f>
        <v/>
      </c>
      <c r="M180" s="22">
        <f>IF(AND(J180=1,ISNUMBER(C180)),C180,"")</f>
        <v/>
      </c>
      <c r="N180" s="31">
        <f>IF(AND(J180=1,ISNUMBER(I180)),I180,"")</f>
        <v/>
      </c>
      <c r="O180" s="11">
        <f>IF(K180="","",100-IF($G$13=1,50,(_xlfn.RANK.AVG(K180,$K$19:$K$1518,1)-1)/($G$13-1)*100))</f>
        <v/>
      </c>
      <c r="P180" s="11">
        <f>IF(L180="","",100-IF($G$14=1,50,(_xlfn.RANK.AVG(L180,$L$19:$L$1518,1)-1)/($G$14-1)*100))</f>
        <v/>
      </c>
      <c r="Q180" s="11">
        <f>IF(M180="","",IF($G$15=1,50,(_xlfn.RANK.AVG(M180,$M$19:$M$1518,1)-1)/($G$15-1)*100))</f>
        <v/>
      </c>
      <c r="R180" s="11">
        <f>IF(N180="","",IF($G$16=1,50,(_xlfn.RANK.AVG(N180,$N$19:$N$1518,1)-1)/($G$16-1)*100))</f>
        <v/>
      </c>
      <c r="S180" s="11">
        <f>IF(COUNT(O180:R180)=4,ROUND(AVERAGE(O180:R180),6),"")</f>
        <v/>
      </c>
      <c r="U180">
        <f>IF(AND(ISNUMBER('자료_한국심리'!$A164),ISNUMBER('자료_한국심리'!$B164)),'자료_한국심리'!$A164,"")</f>
        <v/>
      </c>
      <c r="V180">
        <f>IF(AND(ISNUMBER('자료_한국심리'!$D164),ISNUMBER('자료_한국심리'!$E164)),'자료_한국심리'!$D164,"")</f>
        <v/>
      </c>
      <c r="W180">
        <f>IF(AND(ISNUMBER('자료_한국심리'!$G164),ISNUMBER('자료_한국심리'!$H164)),'자료_한국심리'!$G164,"")</f>
        <v/>
      </c>
      <c r="X180">
        <f>IF(AND(ISNUMBER('자료_한국심리'!$J164),ISNUMBER('자료_한국심리'!$K164)),'자료_한국심리'!$J164,"")</f>
        <v/>
      </c>
      <c r="Y180">
        <f>IF(AND(ISNUMBER('자료_한국심리'!$M164),ISNUMBER('자료_한국심리'!$N164)),'자료_한국심리'!$M164,"")</f>
        <v/>
      </c>
    </row>
    <row r="181">
      <c r="A181" s="10">
        <f>IF(163&gt;$E$5,"",SMALL($U$19:$U$4018,$E$6+163))</f>
        <v/>
      </c>
      <c r="B181" s="29">
        <f>IF(A181="","",INDEX('자료_한국심리'!$B$3:$B$4002,MATCH(A181,$U$19:$U$4018,0)))</f>
        <v/>
      </c>
      <c r="C181" s="22">
        <f>IF(A181="","",B181/AVERAGE(B57:B181)-1)</f>
        <v/>
      </c>
      <c r="D181" s="29">
        <f>IF(A181="","",IFERROR(INDEX('자료_한국심리'!$E$3:$E$4002,MATCH(A181,$V$19:$V$4018,0)),D180))</f>
        <v/>
      </c>
      <c r="E181" s="30">
        <f>IF(A181="","",IFERROR(INDEX('자료_한국심리'!$H$3:$H$4002,MATCH(A181,$W$19:$W$4018,0)),E180))</f>
        <v/>
      </c>
      <c r="F181" s="30">
        <f>IF(A181="","",IFERROR(INDEX('자료_한국심리'!$K$3:$K$4002,MATCH(A181,$X$19:$X$4018,0)),F180))</f>
        <v/>
      </c>
      <c r="G181" s="30">
        <f>IF(AND(ISNUMBER(E181),ISNUMBER(F181)),ROUND(E181-F181,6),"")</f>
        <v/>
      </c>
      <c r="H181" s="25">
        <f>IF(A181="","",IFERROR(INDEX('자료_한국심리'!$N$3:$N$4002,MATCH(A181,$Y$19:$Y$4018,0)),H180))</f>
        <v/>
      </c>
      <c r="I181" s="31">
        <f>IF(AND(ISNUMBER(H181),ISNUMBER(H161)),IF(H161&gt;0,H181/H161-1,""),"")</f>
        <v/>
      </c>
      <c r="J181">
        <f>IF(A181="",0,IF(A181&gt;$B$5,1,0))</f>
        <v/>
      </c>
      <c r="K181" s="29">
        <f>IF(AND(J181=1,ISNUMBER(D181)),D181,"")</f>
        <v/>
      </c>
      <c r="L181" s="30">
        <f>IF(AND(J181=1,ISNUMBER(G181)),G181,"")</f>
        <v/>
      </c>
      <c r="M181" s="22">
        <f>IF(AND(J181=1,ISNUMBER(C181)),C181,"")</f>
        <v/>
      </c>
      <c r="N181" s="31">
        <f>IF(AND(J181=1,ISNUMBER(I181)),I181,"")</f>
        <v/>
      </c>
      <c r="O181" s="11">
        <f>IF(K181="","",100-IF($G$13=1,50,(_xlfn.RANK.AVG(K181,$K$19:$K$1518,1)-1)/($G$13-1)*100))</f>
        <v/>
      </c>
      <c r="P181" s="11">
        <f>IF(L181="","",100-IF($G$14=1,50,(_xlfn.RANK.AVG(L181,$L$19:$L$1518,1)-1)/($G$14-1)*100))</f>
        <v/>
      </c>
      <c r="Q181" s="11">
        <f>IF(M181="","",IF($G$15=1,50,(_xlfn.RANK.AVG(M181,$M$19:$M$1518,1)-1)/($G$15-1)*100))</f>
        <v/>
      </c>
      <c r="R181" s="11">
        <f>IF(N181="","",IF($G$16=1,50,(_xlfn.RANK.AVG(N181,$N$19:$N$1518,1)-1)/($G$16-1)*100))</f>
        <v/>
      </c>
      <c r="S181" s="11">
        <f>IF(COUNT(O181:R181)=4,ROUND(AVERAGE(O181:R181),6),"")</f>
        <v/>
      </c>
      <c r="U181">
        <f>IF(AND(ISNUMBER('자료_한국심리'!$A165),ISNUMBER('자료_한국심리'!$B165)),'자료_한국심리'!$A165,"")</f>
        <v/>
      </c>
      <c r="V181">
        <f>IF(AND(ISNUMBER('자료_한국심리'!$D165),ISNUMBER('자료_한국심리'!$E165)),'자료_한국심리'!$D165,"")</f>
        <v/>
      </c>
      <c r="W181">
        <f>IF(AND(ISNUMBER('자료_한국심리'!$G165),ISNUMBER('자료_한국심리'!$H165)),'자료_한국심리'!$G165,"")</f>
        <v/>
      </c>
      <c r="X181">
        <f>IF(AND(ISNUMBER('자료_한국심리'!$J165),ISNUMBER('자료_한국심리'!$K165)),'자료_한국심리'!$J165,"")</f>
        <v/>
      </c>
      <c r="Y181">
        <f>IF(AND(ISNUMBER('자료_한국심리'!$M165),ISNUMBER('자료_한국심리'!$N165)),'자료_한국심리'!$M165,"")</f>
        <v/>
      </c>
    </row>
    <row r="182">
      <c r="A182" s="10">
        <f>IF(164&gt;$E$5,"",SMALL($U$19:$U$4018,$E$6+164))</f>
        <v/>
      </c>
      <c r="B182" s="29">
        <f>IF(A182="","",INDEX('자료_한국심리'!$B$3:$B$4002,MATCH(A182,$U$19:$U$4018,0)))</f>
        <v/>
      </c>
      <c r="C182" s="22">
        <f>IF(A182="","",B182/AVERAGE(B58:B182)-1)</f>
        <v/>
      </c>
      <c r="D182" s="29">
        <f>IF(A182="","",IFERROR(INDEX('자료_한국심리'!$E$3:$E$4002,MATCH(A182,$V$19:$V$4018,0)),D181))</f>
        <v/>
      </c>
      <c r="E182" s="30">
        <f>IF(A182="","",IFERROR(INDEX('자료_한국심리'!$H$3:$H$4002,MATCH(A182,$W$19:$W$4018,0)),E181))</f>
        <v/>
      </c>
      <c r="F182" s="30">
        <f>IF(A182="","",IFERROR(INDEX('자료_한국심리'!$K$3:$K$4002,MATCH(A182,$X$19:$X$4018,0)),F181))</f>
        <v/>
      </c>
      <c r="G182" s="30">
        <f>IF(AND(ISNUMBER(E182),ISNUMBER(F182)),ROUND(E182-F182,6),"")</f>
        <v/>
      </c>
      <c r="H182" s="25">
        <f>IF(A182="","",IFERROR(INDEX('자료_한국심리'!$N$3:$N$4002,MATCH(A182,$Y$19:$Y$4018,0)),H181))</f>
        <v/>
      </c>
      <c r="I182" s="31">
        <f>IF(AND(ISNUMBER(H182),ISNUMBER(H162)),IF(H162&gt;0,H182/H162-1,""),"")</f>
        <v/>
      </c>
      <c r="J182">
        <f>IF(A182="",0,IF(A182&gt;$B$5,1,0))</f>
        <v/>
      </c>
      <c r="K182" s="29">
        <f>IF(AND(J182=1,ISNUMBER(D182)),D182,"")</f>
        <v/>
      </c>
      <c r="L182" s="30">
        <f>IF(AND(J182=1,ISNUMBER(G182)),G182,"")</f>
        <v/>
      </c>
      <c r="M182" s="22">
        <f>IF(AND(J182=1,ISNUMBER(C182)),C182,"")</f>
        <v/>
      </c>
      <c r="N182" s="31">
        <f>IF(AND(J182=1,ISNUMBER(I182)),I182,"")</f>
        <v/>
      </c>
      <c r="O182" s="11">
        <f>IF(K182="","",100-IF($G$13=1,50,(_xlfn.RANK.AVG(K182,$K$19:$K$1518,1)-1)/($G$13-1)*100))</f>
        <v/>
      </c>
      <c r="P182" s="11">
        <f>IF(L182="","",100-IF($G$14=1,50,(_xlfn.RANK.AVG(L182,$L$19:$L$1518,1)-1)/($G$14-1)*100))</f>
        <v/>
      </c>
      <c r="Q182" s="11">
        <f>IF(M182="","",IF($G$15=1,50,(_xlfn.RANK.AVG(M182,$M$19:$M$1518,1)-1)/($G$15-1)*100))</f>
        <v/>
      </c>
      <c r="R182" s="11">
        <f>IF(N182="","",IF($G$16=1,50,(_xlfn.RANK.AVG(N182,$N$19:$N$1518,1)-1)/($G$16-1)*100))</f>
        <v/>
      </c>
      <c r="S182" s="11">
        <f>IF(COUNT(O182:R182)=4,ROUND(AVERAGE(O182:R182),6),"")</f>
        <v/>
      </c>
      <c r="U182">
        <f>IF(AND(ISNUMBER('자료_한국심리'!$A166),ISNUMBER('자료_한국심리'!$B166)),'자료_한국심리'!$A166,"")</f>
        <v/>
      </c>
      <c r="V182">
        <f>IF(AND(ISNUMBER('자료_한국심리'!$D166),ISNUMBER('자료_한국심리'!$E166)),'자료_한국심리'!$D166,"")</f>
        <v/>
      </c>
      <c r="W182">
        <f>IF(AND(ISNUMBER('자료_한국심리'!$G166),ISNUMBER('자료_한국심리'!$H166)),'자료_한국심리'!$G166,"")</f>
        <v/>
      </c>
      <c r="X182">
        <f>IF(AND(ISNUMBER('자료_한국심리'!$J166),ISNUMBER('자료_한국심리'!$K166)),'자료_한국심리'!$J166,"")</f>
        <v/>
      </c>
      <c r="Y182">
        <f>IF(AND(ISNUMBER('자료_한국심리'!$M166),ISNUMBER('자료_한국심리'!$N166)),'자료_한국심리'!$M166,"")</f>
        <v/>
      </c>
    </row>
    <row r="183">
      <c r="A183" s="10">
        <f>IF(165&gt;$E$5,"",SMALL($U$19:$U$4018,$E$6+165))</f>
        <v/>
      </c>
      <c r="B183" s="29">
        <f>IF(A183="","",INDEX('자료_한국심리'!$B$3:$B$4002,MATCH(A183,$U$19:$U$4018,0)))</f>
        <v/>
      </c>
      <c r="C183" s="22">
        <f>IF(A183="","",B183/AVERAGE(B59:B183)-1)</f>
        <v/>
      </c>
      <c r="D183" s="29">
        <f>IF(A183="","",IFERROR(INDEX('자료_한국심리'!$E$3:$E$4002,MATCH(A183,$V$19:$V$4018,0)),D182))</f>
        <v/>
      </c>
      <c r="E183" s="30">
        <f>IF(A183="","",IFERROR(INDEX('자료_한국심리'!$H$3:$H$4002,MATCH(A183,$W$19:$W$4018,0)),E182))</f>
        <v/>
      </c>
      <c r="F183" s="30">
        <f>IF(A183="","",IFERROR(INDEX('자료_한국심리'!$K$3:$K$4002,MATCH(A183,$X$19:$X$4018,0)),F182))</f>
        <v/>
      </c>
      <c r="G183" s="30">
        <f>IF(AND(ISNUMBER(E183),ISNUMBER(F183)),ROUND(E183-F183,6),"")</f>
        <v/>
      </c>
      <c r="H183" s="25">
        <f>IF(A183="","",IFERROR(INDEX('자료_한국심리'!$N$3:$N$4002,MATCH(A183,$Y$19:$Y$4018,0)),H182))</f>
        <v/>
      </c>
      <c r="I183" s="31">
        <f>IF(AND(ISNUMBER(H183),ISNUMBER(H163)),IF(H163&gt;0,H183/H163-1,""),"")</f>
        <v/>
      </c>
      <c r="J183">
        <f>IF(A183="",0,IF(A183&gt;$B$5,1,0))</f>
        <v/>
      </c>
      <c r="K183" s="29">
        <f>IF(AND(J183=1,ISNUMBER(D183)),D183,"")</f>
        <v/>
      </c>
      <c r="L183" s="30">
        <f>IF(AND(J183=1,ISNUMBER(G183)),G183,"")</f>
        <v/>
      </c>
      <c r="M183" s="22">
        <f>IF(AND(J183=1,ISNUMBER(C183)),C183,"")</f>
        <v/>
      </c>
      <c r="N183" s="31">
        <f>IF(AND(J183=1,ISNUMBER(I183)),I183,"")</f>
        <v/>
      </c>
      <c r="O183" s="11">
        <f>IF(K183="","",100-IF($G$13=1,50,(_xlfn.RANK.AVG(K183,$K$19:$K$1518,1)-1)/($G$13-1)*100))</f>
        <v/>
      </c>
      <c r="P183" s="11">
        <f>IF(L183="","",100-IF($G$14=1,50,(_xlfn.RANK.AVG(L183,$L$19:$L$1518,1)-1)/($G$14-1)*100))</f>
        <v/>
      </c>
      <c r="Q183" s="11">
        <f>IF(M183="","",IF($G$15=1,50,(_xlfn.RANK.AVG(M183,$M$19:$M$1518,1)-1)/($G$15-1)*100))</f>
        <v/>
      </c>
      <c r="R183" s="11">
        <f>IF(N183="","",IF($G$16=1,50,(_xlfn.RANK.AVG(N183,$N$19:$N$1518,1)-1)/($G$16-1)*100))</f>
        <v/>
      </c>
      <c r="S183" s="11">
        <f>IF(COUNT(O183:R183)=4,ROUND(AVERAGE(O183:R183),6),"")</f>
        <v/>
      </c>
      <c r="U183">
        <f>IF(AND(ISNUMBER('자료_한국심리'!$A167),ISNUMBER('자료_한국심리'!$B167)),'자료_한국심리'!$A167,"")</f>
        <v/>
      </c>
      <c r="V183">
        <f>IF(AND(ISNUMBER('자료_한국심리'!$D167),ISNUMBER('자료_한국심리'!$E167)),'자료_한국심리'!$D167,"")</f>
        <v/>
      </c>
      <c r="W183">
        <f>IF(AND(ISNUMBER('자료_한국심리'!$G167),ISNUMBER('자료_한국심리'!$H167)),'자료_한국심리'!$G167,"")</f>
        <v/>
      </c>
      <c r="X183">
        <f>IF(AND(ISNUMBER('자료_한국심리'!$J167),ISNUMBER('자료_한국심리'!$K167)),'자료_한국심리'!$J167,"")</f>
        <v/>
      </c>
      <c r="Y183">
        <f>IF(AND(ISNUMBER('자료_한국심리'!$M167),ISNUMBER('자료_한국심리'!$N167)),'자료_한국심리'!$M167,"")</f>
        <v/>
      </c>
    </row>
    <row r="184">
      <c r="A184" s="10">
        <f>IF(166&gt;$E$5,"",SMALL($U$19:$U$4018,$E$6+166))</f>
        <v/>
      </c>
      <c r="B184" s="29">
        <f>IF(A184="","",INDEX('자료_한국심리'!$B$3:$B$4002,MATCH(A184,$U$19:$U$4018,0)))</f>
        <v/>
      </c>
      <c r="C184" s="22">
        <f>IF(A184="","",B184/AVERAGE(B60:B184)-1)</f>
        <v/>
      </c>
      <c r="D184" s="29">
        <f>IF(A184="","",IFERROR(INDEX('자료_한국심리'!$E$3:$E$4002,MATCH(A184,$V$19:$V$4018,0)),D183))</f>
        <v/>
      </c>
      <c r="E184" s="30">
        <f>IF(A184="","",IFERROR(INDEX('자료_한국심리'!$H$3:$H$4002,MATCH(A184,$W$19:$W$4018,0)),E183))</f>
        <v/>
      </c>
      <c r="F184" s="30">
        <f>IF(A184="","",IFERROR(INDEX('자료_한국심리'!$K$3:$K$4002,MATCH(A184,$X$19:$X$4018,0)),F183))</f>
        <v/>
      </c>
      <c r="G184" s="30">
        <f>IF(AND(ISNUMBER(E184),ISNUMBER(F184)),ROUND(E184-F184,6),"")</f>
        <v/>
      </c>
      <c r="H184" s="25">
        <f>IF(A184="","",IFERROR(INDEX('자료_한국심리'!$N$3:$N$4002,MATCH(A184,$Y$19:$Y$4018,0)),H183))</f>
        <v/>
      </c>
      <c r="I184" s="31">
        <f>IF(AND(ISNUMBER(H184),ISNUMBER(H164)),IF(H164&gt;0,H184/H164-1,""),"")</f>
        <v/>
      </c>
      <c r="J184">
        <f>IF(A184="",0,IF(A184&gt;$B$5,1,0))</f>
        <v/>
      </c>
      <c r="K184" s="29">
        <f>IF(AND(J184=1,ISNUMBER(D184)),D184,"")</f>
        <v/>
      </c>
      <c r="L184" s="30">
        <f>IF(AND(J184=1,ISNUMBER(G184)),G184,"")</f>
        <v/>
      </c>
      <c r="M184" s="22">
        <f>IF(AND(J184=1,ISNUMBER(C184)),C184,"")</f>
        <v/>
      </c>
      <c r="N184" s="31">
        <f>IF(AND(J184=1,ISNUMBER(I184)),I184,"")</f>
        <v/>
      </c>
      <c r="O184" s="11">
        <f>IF(K184="","",100-IF($G$13=1,50,(_xlfn.RANK.AVG(K184,$K$19:$K$1518,1)-1)/($G$13-1)*100))</f>
        <v/>
      </c>
      <c r="P184" s="11">
        <f>IF(L184="","",100-IF($G$14=1,50,(_xlfn.RANK.AVG(L184,$L$19:$L$1518,1)-1)/($G$14-1)*100))</f>
        <v/>
      </c>
      <c r="Q184" s="11">
        <f>IF(M184="","",IF($G$15=1,50,(_xlfn.RANK.AVG(M184,$M$19:$M$1518,1)-1)/($G$15-1)*100))</f>
        <v/>
      </c>
      <c r="R184" s="11">
        <f>IF(N184="","",IF($G$16=1,50,(_xlfn.RANK.AVG(N184,$N$19:$N$1518,1)-1)/($G$16-1)*100))</f>
        <v/>
      </c>
      <c r="S184" s="11">
        <f>IF(COUNT(O184:R184)=4,ROUND(AVERAGE(O184:R184),6),"")</f>
        <v/>
      </c>
      <c r="U184">
        <f>IF(AND(ISNUMBER('자료_한국심리'!$A168),ISNUMBER('자료_한국심리'!$B168)),'자료_한국심리'!$A168,"")</f>
        <v/>
      </c>
      <c r="V184">
        <f>IF(AND(ISNUMBER('자료_한국심리'!$D168),ISNUMBER('자료_한국심리'!$E168)),'자료_한국심리'!$D168,"")</f>
        <v/>
      </c>
      <c r="W184">
        <f>IF(AND(ISNUMBER('자료_한국심리'!$G168),ISNUMBER('자료_한국심리'!$H168)),'자료_한국심리'!$G168,"")</f>
        <v/>
      </c>
      <c r="X184">
        <f>IF(AND(ISNUMBER('자료_한국심리'!$J168),ISNUMBER('자료_한국심리'!$K168)),'자료_한국심리'!$J168,"")</f>
        <v/>
      </c>
      <c r="Y184">
        <f>IF(AND(ISNUMBER('자료_한국심리'!$M168),ISNUMBER('자료_한국심리'!$N168)),'자료_한국심리'!$M168,"")</f>
        <v/>
      </c>
    </row>
    <row r="185">
      <c r="A185" s="10">
        <f>IF(167&gt;$E$5,"",SMALL($U$19:$U$4018,$E$6+167))</f>
        <v/>
      </c>
      <c r="B185" s="29">
        <f>IF(A185="","",INDEX('자료_한국심리'!$B$3:$B$4002,MATCH(A185,$U$19:$U$4018,0)))</f>
        <v/>
      </c>
      <c r="C185" s="22">
        <f>IF(A185="","",B185/AVERAGE(B61:B185)-1)</f>
        <v/>
      </c>
      <c r="D185" s="29">
        <f>IF(A185="","",IFERROR(INDEX('자료_한국심리'!$E$3:$E$4002,MATCH(A185,$V$19:$V$4018,0)),D184))</f>
        <v/>
      </c>
      <c r="E185" s="30">
        <f>IF(A185="","",IFERROR(INDEX('자료_한국심리'!$H$3:$H$4002,MATCH(A185,$W$19:$W$4018,0)),E184))</f>
        <v/>
      </c>
      <c r="F185" s="30">
        <f>IF(A185="","",IFERROR(INDEX('자료_한국심리'!$K$3:$K$4002,MATCH(A185,$X$19:$X$4018,0)),F184))</f>
        <v/>
      </c>
      <c r="G185" s="30">
        <f>IF(AND(ISNUMBER(E185),ISNUMBER(F185)),ROUND(E185-F185,6),"")</f>
        <v/>
      </c>
      <c r="H185" s="25">
        <f>IF(A185="","",IFERROR(INDEX('자료_한국심리'!$N$3:$N$4002,MATCH(A185,$Y$19:$Y$4018,0)),H184))</f>
        <v/>
      </c>
      <c r="I185" s="31">
        <f>IF(AND(ISNUMBER(H185),ISNUMBER(H165)),IF(H165&gt;0,H185/H165-1,""),"")</f>
        <v/>
      </c>
      <c r="J185">
        <f>IF(A185="",0,IF(A185&gt;$B$5,1,0))</f>
        <v/>
      </c>
      <c r="K185" s="29">
        <f>IF(AND(J185=1,ISNUMBER(D185)),D185,"")</f>
        <v/>
      </c>
      <c r="L185" s="30">
        <f>IF(AND(J185=1,ISNUMBER(G185)),G185,"")</f>
        <v/>
      </c>
      <c r="M185" s="22">
        <f>IF(AND(J185=1,ISNUMBER(C185)),C185,"")</f>
        <v/>
      </c>
      <c r="N185" s="31">
        <f>IF(AND(J185=1,ISNUMBER(I185)),I185,"")</f>
        <v/>
      </c>
      <c r="O185" s="11">
        <f>IF(K185="","",100-IF($G$13=1,50,(_xlfn.RANK.AVG(K185,$K$19:$K$1518,1)-1)/($G$13-1)*100))</f>
        <v/>
      </c>
      <c r="P185" s="11">
        <f>IF(L185="","",100-IF($G$14=1,50,(_xlfn.RANK.AVG(L185,$L$19:$L$1518,1)-1)/($G$14-1)*100))</f>
        <v/>
      </c>
      <c r="Q185" s="11">
        <f>IF(M185="","",IF($G$15=1,50,(_xlfn.RANK.AVG(M185,$M$19:$M$1518,1)-1)/($G$15-1)*100))</f>
        <v/>
      </c>
      <c r="R185" s="11">
        <f>IF(N185="","",IF($G$16=1,50,(_xlfn.RANK.AVG(N185,$N$19:$N$1518,1)-1)/($G$16-1)*100))</f>
        <v/>
      </c>
      <c r="S185" s="11">
        <f>IF(COUNT(O185:R185)=4,ROUND(AVERAGE(O185:R185),6),"")</f>
        <v/>
      </c>
      <c r="U185">
        <f>IF(AND(ISNUMBER('자료_한국심리'!$A169),ISNUMBER('자료_한국심리'!$B169)),'자료_한국심리'!$A169,"")</f>
        <v/>
      </c>
      <c r="V185">
        <f>IF(AND(ISNUMBER('자료_한국심리'!$D169),ISNUMBER('자료_한국심리'!$E169)),'자료_한국심리'!$D169,"")</f>
        <v/>
      </c>
      <c r="W185">
        <f>IF(AND(ISNUMBER('자료_한국심리'!$G169),ISNUMBER('자료_한국심리'!$H169)),'자료_한국심리'!$G169,"")</f>
        <v/>
      </c>
      <c r="X185">
        <f>IF(AND(ISNUMBER('자료_한국심리'!$J169),ISNUMBER('자료_한국심리'!$K169)),'자료_한국심리'!$J169,"")</f>
        <v/>
      </c>
      <c r="Y185">
        <f>IF(AND(ISNUMBER('자료_한국심리'!$M169),ISNUMBER('자료_한국심리'!$N169)),'자료_한국심리'!$M169,"")</f>
        <v/>
      </c>
    </row>
    <row r="186">
      <c r="A186" s="10">
        <f>IF(168&gt;$E$5,"",SMALL($U$19:$U$4018,$E$6+168))</f>
        <v/>
      </c>
      <c r="B186" s="29">
        <f>IF(A186="","",INDEX('자료_한국심리'!$B$3:$B$4002,MATCH(A186,$U$19:$U$4018,0)))</f>
        <v/>
      </c>
      <c r="C186" s="22">
        <f>IF(A186="","",B186/AVERAGE(B62:B186)-1)</f>
        <v/>
      </c>
      <c r="D186" s="29">
        <f>IF(A186="","",IFERROR(INDEX('자료_한국심리'!$E$3:$E$4002,MATCH(A186,$V$19:$V$4018,0)),D185))</f>
        <v/>
      </c>
      <c r="E186" s="30">
        <f>IF(A186="","",IFERROR(INDEX('자료_한국심리'!$H$3:$H$4002,MATCH(A186,$W$19:$W$4018,0)),E185))</f>
        <v/>
      </c>
      <c r="F186" s="30">
        <f>IF(A186="","",IFERROR(INDEX('자료_한국심리'!$K$3:$K$4002,MATCH(A186,$X$19:$X$4018,0)),F185))</f>
        <v/>
      </c>
      <c r="G186" s="30">
        <f>IF(AND(ISNUMBER(E186),ISNUMBER(F186)),ROUND(E186-F186,6),"")</f>
        <v/>
      </c>
      <c r="H186" s="25">
        <f>IF(A186="","",IFERROR(INDEX('자료_한국심리'!$N$3:$N$4002,MATCH(A186,$Y$19:$Y$4018,0)),H185))</f>
        <v/>
      </c>
      <c r="I186" s="31">
        <f>IF(AND(ISNUMBER(H186),ISNUMBER(H166)),IF(H166&gt;0,H186/H166-1,""),"")</f>
        <v/>
      </c>
      <c r="J186">
        <f>IF(A186="",0,IF(A186&gt;$B$5,1,0))</f>
        <v/>
      </c>
      <c r="K186" s="29">
        <f>IF(AND(J186=1,ISNUMBER(D186)),D186,"")</f>
        <v/>
      </c>
      <c r="L186" s="30">
        <f>IF(AND(J186=1,ISNUMBER(G186)),G186,"")</f>
        <v/>
      </c>
      <c r="M186" s="22">
        <f>IF(AND(J186=1,ISNUMBER(C186)),C186,"")</f>
        <v/>
      </c>
      <c r="N186" s="31">
        <f>IF(AND(J186=1,ISNUMBER(I186)),I186,"")</f>
        <v/>
      </c>
      <c r="O186" s="11">
        <f>IF(K186="","",100-IF($G$13=1,50,(_xlfn.RANK.AVG(K186,$K$19:$K$1518,1)-1)/($G$13-1)*100))</f>
        <v/>
      </c>
      <c r="P186" s="11">
        <f>IF(L186="","",100-IF($G$14=1,50,(_xlfn.RANK.AVG(L186,$L$19:$L$1518,1)-1)/($G$14-1)*100))</f>
        <v/>
      </c>
      <c r="Q186" s="11">
        <f>IF(M186="","",IF($G$15=1,50,(_xlfn.RANK.AVG(M186,$M$19:$M$1518,1)-1)/($G$15-1)*100))</f>
        <v/>
      </c>
      <c r="R186" s="11">
        <f>IF(N186="","",IF($G$16=1,50,(_xlfn.RANK.AVG(N186,$N$19:$N$1518,1)-1)/($G$16-1)*100))</f>
        <v/>
      </c>
      <c r="S186" s="11">
        <f>IF(COUNT(O186:R186)=4,ROUND(AVERAGE(O186:R186),6),"")</f>
        <v/>
      </c>
      <c r="U186">
        <f>IF(AND(ISNUMBER('자료_한국심리'!$A170),ISNUMBER('자료_한국심리'!$B170)),'자료_한국심리'!$A170,"")</f>
        <v/>
      </c>
      <c r="V186">
        <f>IF(AND(ISNUMBER('자료_한국심리'!$D170),ISNUMBER('자료_한국심리'!$E170)),'자료_한국심리'!$D170,"")</f>
        <v/>
      </c>
      <c r="W186">
        <f>IF(AND(ISNUMBER('자료_한국심리'!$G170),ISNUMBER('자료_한국심리'!$H170)),'자료_한국심리'!$G170,"")</f>
        <v/>
      </c>
      <c r="X186">
        <f>IF(AND(ISNUMBER('자료_한국심리'!$J170),ISNUMBER('자료_한국심리'!$K170)),'자료_한국심리'!$J170,"")</f>
        <v/>
      </c>
      <c r="Y186">
        <f>IF(AND(ISNUMBER('자료_한국심리'!$M170),ISNUMBER('자료_한국심리'!$N170)),'자료_한국심리'!$M170,"")</f>
        <v/>
      </c>
    </row>
    <row r="187">
      <c r="A187" s="10">
        <f>IF(169&gt;$E$5,"",SMALL($U$19:$U$4018,$E$6+169))</f>
        <v/>
      </c>
      <c r="B187" s="29">
        <f>IF(A187="","",INDEX('자료_한국심리'!$B$3:$B$4002,MATCH(A187,$U$19:$U$4018,0)))</f>
        <v/>
      </c>
      <c r="C187" s="22">
        <f>IF(A187="","",B187/AVERAGE(B63:B187)-1)</f>
        <v/>
      </c>
      <c r="D187" s="29">
        <f>IF(A187="","",IFERROR(INDEX('자료_한국심리'!$E$3:$E$4002,MATCH(A187,$V$19:$V$4018,0)),D186))</f>
        <v/>
      </c>
      <c r="E187" s="30">
        <f>IF(A187="","",IFERROR(INDEX('자료_한국심리'!$H$3:$H$4002,MATCH(A187,$W$19:$W$4018,0)),E186))</f>
        <v/>
      </c>
      <c r="F187" s="30">
        <f>IF(A187="","",IFERROR(INDEX('자료_한국심리'!$K$3:$K$4002,MATCH(A187,$X$19:$X$4018,0)),F186))</f>
        <v/>
      </c>
      <c r="G187" s="30">
        <f>IF(AND(ISNUMBER(E187),ISNUMBER(F187)),ROUND(E187-F187,6),"")</f>
        <v/>
      </c>
      <c r="H187" s="25">
        <f>IF(A187="","",IFERROR(INDEX('자료_한국심리'!$N$3:$N$4002,MATCH(A187,$Y$19:$Y$4018,0)),H186))</f>
        <v/>
      </c>
      <c r="I187" s="31">
        <f>IF(AND(ISNUMBER(H187),ISNUMBER(H167)),IF(H167&gt;0,H187/H167-1,""),"")</f>
        <v/>
      </c>
      <c r="J187">
        <f>IF(A187="",0,IF(A187&gt;$B$5,1,0))</f>
        <v/>
      </c>
      <c r="K187" s="29">
        <f>IF(AND(J187=1,ISNUMBER(D187)),D187,"")</f>
        <v/>
      </c>
      <c r="L187" s="30">
        <f>IF(AND(J187=1,ISNUMBER(G187)),G187,"")</f>
        <v/>
      </c>
      <c r="M187" s="22">
        <f>IF(AND(J187=1,ISNUMBER(C187)),C187,"")</f>
        <v/>
      </c>
      <c r="N187" s="31">
        <f>IF(AND(J187=1,ISNUMBER(I187)),I187,"")</f>
        <v/>
      </c>
      <c r="O187" s="11">
        <f>IF(K187="","",100-IF($G$13=1,50,(_xlfn.RANK.AVG(K187,$K$19:$K$1518,1)-1)/($G$13-1)*100))</f>
        <v/>
      </c>
      <c r="P187" s="11">
        <f>IF(L187="","",100-IF($G$14=1,50,(_xlfn.RANK.AVG(L187,$L$19:$L$1518,1)-1)/($G$14-1)*100))</f>
        <v/>
      </c>
      <c r="Q187" s="11">
        <f>IF(M187="","",IF($G$15=1,50,(_xlfn.RANK.AVG(M187,$M$19:$M$1518,1)-1)/($G$15-1)*100))</f>
        <v/>
      </c>
      <c r="R187" s="11">
        <f>IF(N187="","",IF($G$16=1,50,(_xlfn.RANK.AVG(N187,$N$19:$N$1518,1)-1)/($G$16-1)*100))</f>
        <v/>
      </c>
      <c r="S187" s="11">
        <f>IF(COUNT(O187:R187)=4,ROUND(AVERAGE(O187:R187),6),"")</f>
        <v/>
      </c>
      <c r="U187">
        <f>IF(AND(ISNUMBER('자료_한국심리'!$A171),ISNUMBER('자료_한국심리'!$B171)),'자료_한국심리'!$A171,"")</f>
        <v/>
      </c>
      <c r="V187">
        <f>IF(AND(ISNUMBER('자료_한국심리'!$D171),ISNUMBER('자료_한국심리'!$E171)),'자료_한국심리'!$D171,"")</f>
        <v/>
      </c>
      <c r="W187">
        <f>IF(AND(ISNUMBER('자료_한국심리'!$G171),ISNUMBER('자료_한국심리'!$H171)),'자료_한국심리'!$G171,"")</f>
        <v/>
      </c>
      <c r="X187">
        <f>IF(AND(ISNUMBER('자료_한국심리'!$J171),ISNUMBER('자료_한국심리'!$K171)),'자료_한국심리'!$J171,"")</f>
        <v/>
      </c>
      <c r="Y187">
        <f>IF(AND(ISNUMBER('자료_한국심리'!$M171),ISNUMBER('자료_한국심리'!$N171)),'자료_한국심리'!$M171,"")</f>
        <v/>
      </c>
    </row>
    <row r="188">
      <c r="A188" s="10">
        <f>IF(170&gt;$E$5,"",SMALL($U$19:$U$4018,$E$6+170))</f>
        <v/>
      </c>
      <c r="B188" s="29">
        <f>IF(A188="","",INDEX('자료_한국심리'!$B$3:$B$4002,MATCH(A188,$U$19:$U$4018,0)))</f>
        <v/>
      </c>
      <c r="C188" s="22">
        <f>IF(A188="","",B188/AVERAGE(B64:B188)-1)</f>
        <v/>
      </c>
      <c r="D188" s="29">
        <f>IF(A188="","",IFERROR(INDEX('자료_한국심리'!$E$3:$E$4002,MATCH(A188,$V$19:$V$4018,0)),D187))</f>
        <v/>
      </c>
      <c r="E188" s="30">
        <f>IF(A188="","",IFERROR(INDEX('자료_한국심리'!$H$3:$H$4002,MATCH(A188,$W$19:$W$4018,0)),E187))</f>
        <v/>
      </c>
      <c r="F188" s="30">
        <f>IF(A188="","",IFERROR(INDEX('자료_한국심리'!$K$3:$K$4002,MATCH(A188,$X$19:$X$4018,0)),F187))</f>
        <v/>
      </c>
      <c r="G188" s="30">
        <f>IF(AND(ISNUMBER(E188),ISNUMBER(F188)),ROUND(E188-F188,6),"")</f>
        <v/>
      </c>
      <c r="H188" s="25">
        <f>IF(A188="","",IFERROR(INDEX('자료_한국심리'!$N$3:$N$4002,MATCH(A188,$Y$19:$Y$4018,0)),H187))</f>
        <v/>
      </c>
      <c r="I188" s="31">
        <f>IF(AND(ISNUMBER(H188),ISNUMBER(H168)),IF(H168&gt;0,H188/H168-1,""),"")</f>
        <v/>
      </c>
      <c r="J188">
        <f>IF(A188="",0,IF(A188&gt;$B$5,1,0))</f>
        <v/>
      </c>
      <c r="K188" s="29">
        <f>IF(AND(J188=1,ISNUMBER(D188)),D188,"")</f>
        <v/>
      </c>
      <c r="L188" s="30">
        <f>IF(AND(J188=1,ISNUMBER(G188)),G188,"")</f>
        <v/>
      </c>
      <c r="M188" s="22">
        <f>IF(AND(J188=1,ISNUMBER(C188)),C188,"")</f>
        <v/>
      </c>
      <c r="N188" s="31">
        <f>IF(AND(J188=1,ISNUMBER(I188)),I188,"")</f>
        <v/>
      </c>
      <c r="O188" s="11">
        <f>IF(K188="","",100-IF($G$13=1,50,(_xlfn.RANK.AVG(K188,$K$19:$K$1518,1)-1)/($G$13-1)*100))</f>
        <v/>
      </c>
      <c r="P188" s="11">
        <f>IF(L188="","",100-IF($G$14=1,50,(_xlfn.RANK.AVG(L188,$L$19:$L$1518,1)-1)/($G$14-1)*100))</f>
        <v/>
      </c>
      <c r="Q188" s="11">
        <f>IF(M188="","",IF($G$15=1,50,(_xlfn.RANK.AVG(M188,$M$19:$M$1518,1)-1)/($G$15-1)*100))</f>
        <v/>
      </c>
      <c r="R188" s="11">
        <f>IF(N188="","",IF($G$16=1,50,(_xlfn.RANK.AVG(N188,$N$19:$N$1518,1)-1)/($G$16-1)*100))</f>
        <v/>
      </c>
      <c r="S188" s="11">
        <f>IF(COUNT(O188:R188)=4,ROUND(AVERAGE(O188:R188),6),"")</f>
        <v/>
      </c>
      <c r="U188">
        <f>IF(AND(ISNUMBER('자료_한국심리'!$A172),ISNUMBER('자료_한국심리'!$B172)),'자료_한국심리'!$A172,"")</f>
        <v/>
      </c>
      <c r="V188">
        <f>IF(AND(ISNUMBER('자료_한국심리'!$D172),ISNUMBER('자료_한국심리'!$E172)),'자료_한국심리'!$D172,"")</f>
        <v/>
      </c>
      <c r="W188">
        <f>IF(AND(ISNUMBER('자료_한국심리'!$G172),ISNUMBER('자료_한국심리'!$H172)),'자료_한국심리'!$G172,"")</f>
        <v/>
      </c>
      <c r="X188">
        <f>IF(AND(ISNUMBER('자료_한국심리'!$J172),ISNUMBER('자료_한국심리'!$K172)),'자료_한국심리'!$J172,"")</f>
        <v/>
      </c>
      <c r="Y188">
        <f>IF(AND(ISNUMBER('자료_한국심리'!$M172),ISNUMBER('자료_한국심리'!$N172)),'자료_한국심리'!$M172,"")</f>
        <v/>
      </c>
    </row>
    <row r="189">
      <c r="A189" s="10">
        <f>IF(171&gt;$E$5,"",SMALL($U$19:$U$4018,$E$6+171))</f>
        <v/>
      </c>
      <c r="B189" s="29">
        <f>IF(A189="","",INDEX('자료_한국심리'!$B$3:$B$4002,MATCH(A189,$U$19:$U$4018,0)))</f>
        <v/>
      </c>
      <c r="C189" s="22">
        <f>IF(A189="","",B189/AVERAGE(B65:B189)-1)</f>
        <v/>
      </c>
      <c r="D189" s="29">
        <f>IF(A189="","",IFERROR(INDEX('자료_한국심리'!$E$3:$E$4002,MATCH(A189,$V$19:$V$4018,0)),D188))</f>
        <v/>
      </c>
      <c r="E189" s="30">
        <f>IF(A189="","",IFERROR(INDEX('자료_한국심리'!$H$3:$H$4002,MATCH(A189,$W$19:$W$4018,0)),E188))</f>
        <v/>
      </c>
      <c r="F189" s="30">
        <f>IF(A189="","",IFERROR(INDEX('자료_한국심리'!$K$3:$K$4002,MATCH(A189,$X$19:$X$4018,0)),F188))</f>
        <v/>
      </c>
      <c r="G189" s="30">
        <f>IF(AND(ISNUMBER(E189),ISNUMBER(F189)),ROUND(E189-F189,6),"")</f>
        <v/>
      </c>
      <c r="H189" s="25">
        <f>IF(A189="","",IFERROR(INDEX('자료_한국심리'!$N$3:$N$4002,MATCH(A189,$Y$19:$Y$4018,0)),H188))</f>
        <v/>
      </c>
      <c r="I189" s="31">
        <f>IF(AND(ISNUMBER(H189),ISNUMBER(H169)),IF(H169&gt;0,H189/H169-1,""),"")</f>
        <v/>
      </c>
      <c r="J189">
        <f>IF(A189="",0,IF(A189&gt;$B$5,1,0))</f>
        <v/>
      </c>
      <c r="K189" s="29">
        <f>IF(AND(J189=1,ISNUMBER(D189)),D189,"")</f>
        <v/>
      </c>
      <c r="L189" s="30">
        <f>IF(AND(J189=1,ISNUMBER(G189)),G189,"")</f>
        <v/>
      </c>
      <c r="M189" s="22">
        <f>IF(AND(J189=1,ISNUMBER(C189)),C189,"")</f>
        <v/>
      </c>
      <c r="N189" s="31">
        <f>IF(AND(J189=1,ISNUMBER(I189)),I189,"")</f>
        <v/>
      </c>
      <c r="O189" s="11">
        <f>IF(K189="","",100-IF($G$13=1,50,(_xlfn.RANK.AVG(K189,$K$19:$K$1518,1)-1)/($G$13-1)*100))</f>
        <v/>
      </c>
      <c r="P189" s="11">
        <f>IF(L189="","",100-IF($G$14=1,50,(_xlfn.RANK.AVG(L189,$L$19:$L$1518,1)-1)/($G$14-1)*100))</f>
        <v/>
      </c>
      <c r="Q189" s="11">
        <f>IF(M189="","",IF($G$15=1,50,(_xlfn.RANK.AVG(M189,$M$19:$M$1518,1)-1)/($G$15-1)*100))</f>
        <v/>
      </c>
      <c r="R189" s="11">
        <f>IF(N189="","",IF($G$16=1,50,(_xlfn.RANK.AVG(N189,$N$19:$N$1518,1)-1)/($G$16-1)*100))</f>
        <v/>
      </c>
      <c r="S189" s="11">
        <f>IF(COUNT(O189:R189)=4,ROUND(AVERAGE(O189:R189),6),"")</f>
        <v/>
      </c>
      <c r="U189">
        <f>IF(AND(ISNUMBER('자료_한국심리'!$A173),ISNUMBER('자료_한국심리'!$B173)),'자료_한국심리'!$A173,"")</f>
        <v/>
      </c>
      <c r="V189">
        <f>IF(AND(ISNUMBER('자료_한국심리'!$D173),ISNUMBER('자료_한국심리'!$E173)),'자료_한국심리'!$D173,"")</f>
        <v/>
      </c>
      <c r="W189">
        <f>IF(AND(ISNUMBER('자료_한국심리'!$G173),ISNUMBER('자료_한국심리'!$H173)),'자료_한국심리'!$G173,"")</f>
        <v/>
      </c>
      <c r="X189">
        <f>IF(AND(ISNUMBER('자료_한국심리'!$J173),ISNUMBER('자료_한국심리'!$K173)),'자료_한국심리'!$J173,"")</f>
        <v/>
      </c>
      <c r="Y189">
        <f>IF(AND(ISNUMBER('자료_한국심리'!$M173),ISNUMBER('자료_한국심리'!$N173)),'자료_한국심리'!$M173,"")</f>
        <v/>
      </c>
    </row>
    <row r="190">
      <c r="A190" s="10">
        <f>IF(172&gt;$E$5,"",SMALL($U$19:$U$4018,$E$6+172))</f>
        <v/>
      </c>
      <c r="B190" s="29">
        <f>IF(A190="","",INDEX('자료_한국심리'!$B$3:$B$4002,MATCH(A190,$U$19:$U$4018,0)))</f>
        <v/>
      </c>
      <c r="C190" s="22">
        <f>IF(A190="","",B190/AVERAGE(B66:B190)-1)</f>
        <v/>
      </c>
      <c r="D190" s="29">
        <f>IF(A190="","",IFERROR(INDEX('자료_한국심리'!$E$3:$E$4002,MATCH(A190,$V$19:$V$4018,0)),D189))</f>
        <v/>
      </c>
      <c r="E190" s="30">
        <f>IF(A190="","",IFERROR(INDEX('자료_한국심리'!$H$3:$H$4002,MATCH(A190,$W$19:$W$4018,0)),E189))</f>
        <v/>
      </c>
      <c r="F190" s="30">
        <f>IF(A190="","",IFERROR(INDEX('자료_한국심리'!$K$3:$K$4002,MATCH(A190,$X$19:$X$4018,0)),F189))</f>
        <v/>
      </c>
      <c r="G190" s="30">
        <f>IF(AND(ISNUMBER(E190),ISNUMBER(F190)),ROUND(E190-F190,6),"")</f>
        <v/>
      </c>
      <c r="H190" s="25">
        <f>IF(A190="","",IFERROR(INDEX('자료_한국심리'!$N$3:$N$4002,MATCH(A190,$Y$19:$Y$4018,0)),H189))</f>
        <v/>
      </c>
      <c r="I190" s="31">
        <f>IF(AND(ISNUMBER(H190),ISNUMBER(H170)),IF(H170&gt;0,H190/H170-1,""),"")</f>
        <v/>
      </c>
      <c r="J190">
        <f>IF(A190="",0,IF(A190&gt;$B$5,1,0))</f>
        <v/>
      </c>
      <c r="K190" s="29">
        <f>IF(AND(J190=1,ISNUMBER(D190)),D190,"")</f>
        <v/>
      </c>
      <c r="L190" s="30">
        <f>IF(AND(J190=1,ISNUMBER(G190)),G190,"")</f>
        <v/>
      </c>
      <c r="M190" s="22">
        <f>IF(AND(J190=1,ISNUMBER(C190)),C190,"")</f>
        <v/>
      </c>
      <c r="N190" s="31">
        <f>IF(AND(J190=1,ISNUMBER(I190)),I190,"")</f>
        <v/>
      </c>
      <c r="O190" s="11">
        <f>IF(K190="","",100-IF($G$13=1,50,(_xlfn.RANK.AVG(K190,$K$19:$K$1518,1)-1)/($G$13-1)*100))</f>
        <v/>
      </c>
      <c r="P190" s="11">
        <f>IF(L190="","",100-IF($G$14=1,50,(_xlfn.RANK.AVG(L190,$L$19:$L$1518,1)-1)/($G$14-1)*100))</f>
        <v/>
      </c>
      <c r="Q190" s="11">
        <f>IF(M190="","",IF($G$15=1,50,(_xlfn.RANK.AVG(M190,$M$19:$M$1518,1)-1)/($G$15-1)*100))</f>
        <v/>
      </c>
      <c r="R190" s="11">
        <f>IF(N190="","",IF($G$16=1,50,(_xlfn.RANK.AVG(N190,$N$19:$N$1518,1)-1)/($G$16-1)*100))</f>
        <v/>
      </c>
      <c r="S190" s="11">
        <f>IF(COUNT(O190:R190)=4,ROUND(AVERAGE(O190:R190),6),"")</f>
        <v/>
      </c>
      <c r="U190">
        <f>IF(AND(ISNUMBER('자료_한국심리'!$A174),ISNUMBER('자료_한국심리'!$B174)),'자료_한국심리'!$A174,"")</f>
        <v/>
      </c>
      <c r="V190">
        <f>IF(AND(ISNUMBER('자료_한국심리'!$D174),ISNUMBER('자료_한국심리'!$E174)),'자료_한국심리'!$D174,"")</f>
        <v/>
      </c>
      <c r="W190">
        <f>IF(AND(ISNUMBER('자료_한국심리'!$G174),ISNUMBER('자료_한국심리'!$H174)),'자료_한국심리'!$G174,"")</f>
        <v/>
      </c>
      <c r="X190">
        <f>IF(AND(ISNUMBER('자료_한국심리'!$J174),ISNUMBER('자료_한국심리'!$K174)),'자료_한국심리'!$J174,"")</f>
        <v/>
      </c>
      <c r="Y190">
        <f>IF(AND(ISNUMBER('자료_한국심리'!$M174),ISNUMBER('자료_한국심리'!$N174)),'자료_한국심리'!$M174,"")</f>
        <v/>
      </c>
    </row>
    <row r="191">
      <c r="A191" s="10">
        <f>IF(173&gt;$E$5,"",SMALL($U$19:$U$4018,$E$6+173))</f>
        <v/>
      </c>
      <c r="B191" s="29">
        <f>IF(A191="","",INDEX('자료_한국심리'!$B$3:$B$4002,MATCH(A191,$U$19:$U$4018,0)))</f>
        <v/>
      </c>
      <c r="C191" s="22">
        <f>IF(A191="","",B191/AVERAGE(B67:B191)-1)</f>
        <v/>
      </c>
      <c r="D191" s="29">
        <f>IF(A191="","",IFERROR(INDEX('자료_한국심리'!$E$3:$E$4002,MATCH(A191,$V$19:$V$4018,0)),D190))</f>
        <v/>
      </c>
      <c r="E191" s="30">
        <f>IF(A191="","",IFERROR(INDEX('자료_한국심리'!$H$3:$H$4002,MATCH(A191,$W$19:$W$4018,0)),E190))</f>
        <v/>
      </c>
      <c r="F191" s="30">
        <f>IF(A191="","",IFERROR(INDEX('자료_한국심리'!$K$3:$K$4002,MATCH(A191,$X$19:$X$4018,0)),F190))</f>
        <v/>
      </c>
      <c r="G191" s="30">
        <f>IF(AND(ISNUMBER(E191),ISNUMBER(F191)),ROUND(E191-F191,6),"")</f>
        <v/>
      </c>
      <c r="H191" s="25">
        <f>IF(A191="","",IFERROR(INDEX('자료_한국심리'!$N$3:$N$4002,MATCH(A191,$Y$19:$Y$4018,0)),H190))</f>
        <v/>
      </c>
      <c r="I191" s="31">
        <f>IF(AND(ISNUMBER(H191),ISNUMBER(H171)),IF(H171&gt;0,H191/H171-1,""),"")</f>
        <v/>
      </c>
      <c r="J191">
        <f>IF(A191="",0,IF(A191&gt;$B$5,1,0))</f>
        <v/>
      </c>
      <c r="K191" s="29">
        <f>IF(AND(J191=1,ISNUMBER(D191)),D191,"")</f>
        <v/>
      </c>
      <c r="L191" s="30">
        <f>IF(AND(J191=1,ISNUMBER(G191)),G191,"")</f>
        <v/>
      </c>
      <c r="M191" s="22">
        <f>IF(AND(J191=1,ISNUMBER(C191)),C191,"")</f>
        <v/>
      </c>
      <c r="N191" s="31">
        <f>IF(AND(J191=1,ISNUMBER(I191)),I191,"")</f>
        <v/>
      </c>
      <c r="O191" s="11">
        <f>IF(K191="","",100-IF($G$13=1,50,(_xlfn.RANK.AVG(K191,$K$19:$K$1518,1)-1)/($G$13-1)*100))</f>
        <v/>
      </c>
      <c r="P191" s="11">
        <f>IF(L191="","",100-IF($G$14=1,50,(_xlfn.RANK.AVG(L191,$L$19:$L$1518,1)-1)/($G$14-1)*100))</f>
        <v/>
      </c>
      <c r="Q191" s="11">
        <f>IF(M191="","",IF($G$15=1,50,(_xlfn.RANK.AVG(M191,$M$19:$M$1518,1)-1)/($G$15-1)*100))</f>
        <v/>
      </c>
      <c r="R191" s="11">
        <f>IF(N191="","",IF($G$16=1,50,(_xlfn.RANK.AVG(N191,$N$19:$N$1518,1)-1)/($G$16-1)*100))</f>
        <v/>
      </c>
      <c r="S191" s="11">
        <f>IF(COUNT(O191:R191)=4,ROUND(AVERAGE(O191:R191),6),"")</f>
        <v/>
      </c>
      <c r="U191">
        <f>IF(AND(ISNUMBER('자료_한국심리'!$A175),ISNUMBER('자료_한국심리'!$B175)),'자료_한국심리'!$A175,"")</f>
        <v/>
      </c>
      <c r="V191">
        <f>IF(AND(ISNUMBER('자료_한국심리'!$D175),ISNUMBER('자료_한국심리'!$E175)),'자료_한국심리'!$D175,"")</f>
        <v/>
      </c>
      <c r="W191">
        <f>IF(AND(ISNUMBER('자료_한국심리'!$G175),ISNUMBER('자료_한국심리'!$H175)),'자료_한국심리'!$G175,"")</f>
        <v/>
      </c>
      <c r="X191">
        <f>IF(AND(ISNUMBER('자료_한국심리'!$J175),ISNUMBER('자료_한국심리'!$K175)),'자료_한국심리'!$J175,"")</f>
        <v/>
      </c>
      <c r="Y191">
        <f>IF(AND(ISNUMBER('자료_한국심리'!$M175),ISNUMBER('자료_한국심리'!$N175)),'자료_한국심리'!$M175,"")</f>
        <v/>
      </c>
    </row>
    <row r="192">
      <c r="A192" s="10">
        <f>IF(174&gt;$E$5,"",SMALL($U$19:$U$4018,$E$6+174))</f>
        <v/>
      </c>
      <c r="B192" s="29">
        <f>IF(A192="","",INDEX('자료_한국심리'!$B$3:$B$4002,MATCH(A192,$U$19:$U$4018,0)))</f>
        <v/>
      </c>
      <c r="C192" s="22">
        <f>IF(A192="","",B192/AVERAGE(B68:B192)-1)</f>
        <v/>
      </c>
      <c r="D192" s="29">
        <f>IF(A192="","",IFERROR(INDEX('자료_한국심리'!$E$3:$E$4002,MATCH(A192,$V$19:$V$4018,0)),D191))</f>
        <v/>
      </c>
      <c r="E192" s="30">
        <f>IF(A192="","",IFERROR(INDEX('자료_한국심리'!$H$3:$H$4002,MATCH(A192,$W$19:$W$4018,0)),E191))</f>
        <v/>
      </c>
      <c r="F192" s="30">
        <f>IF(A192="","",IFERROR(INDEX('자료_한국심리'!$K$3:$K$4002,MATCH(A192,$X$19:$X$4018,0)),F191))</f>
        <v/>
      </c>
      <c r="G192" s="30">
        <f>IF(AND(ISNUMBER(E192),ISNUMBER(F192)),ROUND(E192-F192,6),"")</f>
        <v/>
      </c>
      <c r="H192" s="25">
        <f>IF(A192="","",IFERROR(INDEX('자료_한국심리'!$N$3:$N$4002,MATCH(A192,$Y$19:$Y$4018,0)),H191))</f>
        <v/>
      </c>
      <c r="I192" s="31">
        <f>IF(AND(ISNUMBER(H192),ISNUMBER(H172)),IF(H172&gt;0,H192/H172-1,""),"")</f>
        <v/>
      </c>
      <c r="J192">
        <f>IF(A192="",0,IF(A192&gt;$B$5,1,0))</f>
        <v/>
      </c>
      <c r="K192" s="29">
        <f>IF(AND(J192=1,ISNUMBER(D192)),D192,"")</f>
        <v/>
      </c>
      <c r="L192" s="30">
        <f>IF(AND(J192=1,ISNUMBER(G192)),G192,"")</f>
        <v/>
      </c>
      <c r="M192" s="22">
        <f>IF(AND(J192=1,ISNUMBER(C192)),C192,"")</f>
        <v/>
      </c>
      <c r="N192" s="31">
        <f>IF(AND(J192=1,ISNUMBER(I192)),I192,"")</f>
        <v/>
      </c>
      <c r="O192" s="11">
        <f>IF(K192="","",100-IF($G$13=1,50,(_xlfn.RANK.AVG(K192,$K$19:$K$1518,1)-1)/($G$13-1)*100))</f>
        <v/>
      </c>
      <c r="P192" s="11">
        <f>IF(L192="","",100-IF($G$14=1,50,(_xlfn.RANK.AVG(L192,$L$19:$L$1518,1)-1)/($G$14-1)*100))</f>
        <v/>
      </c>
      <c r="Q192" s="11">
        <f>IF(M192="","",IF($G$15=1,50,(_xlfn.RANK.AVG(M192,$M$19:$M$1518,1)-1)/($G$15-1)*100))</f>
        <v/>
      </c>
      <c r="R192" s="11">
        <f>IF(N192="","",IF($G$16=1,50,(_xlfn.RANK.AVG(N192,$N$19:$N$1518,1)-1)/($G$16-1)*100))</f>
        <v/>
      </c>
      <c r="S192" s="11">
        <f>IF(COUNT(O192:R192)=4,ROUND(AVERAGE(O192:R192),6),"")</f>
        <v/>
      </c>
      <c r="U192">
        <f>IF(AND(ISNUMBER('자료_한국심리'!$A176),ISNUMBER('자료_한국심리'!$B176)),'자료_한국심리'!$A176,"")</f>
        <v/>
      </c>
      <c r="V192">
        <f>IF(AND(ISNUMBER('자료_한국심리'!$D176),ISNUMBER('자료_한국심리'!$E176)),'자료_한국심리'!$D176,"")</f>
        <v/>
      </c>
      <c r="W192">
        <f>IF(AND(ISNUMBER('자료_한국심리'!$G176),ISNUMBER('자료_한국심리'!$H176)),'자료_한국심리'!$G176,"")</f>
        <v/>
      </c>
      <c r="X192">
        <f>IF(AND(ISNUMBER('자료_한국심리'!$J176),ISNUMBER('자료_한국심리'!$K176)),'자료_한국심리'!$J176,"")</f>
        <v/>
      </c>
      <c r="Y192">
        <f>IF(AND(ISNUMBER('자료_한국심리'!$M176),ISNUMBER('자료_한국심리'!$N176)),'자료_한국심리'!$M176,"")</f>
        <v/>
      </c>
    </row>
    <row r="193">
      <c r="A193" s="10">
        <f>IF(175&gt;$E$5,"",SMALL($U$19:$U$4018,$E$6+175))</f>
        <v/>
      </c>
      <c r="B193" s="29">
        <f>IF(A193="","",INDEX('자료_한국심리'!$B$3:$B$4002,MATCH(A193,$U$19:$U$4018,0)))</f>
        <v/>
      </c>
      <c r="C193" s="22">
        <f>IF(A193="","",B193/AVERAGE(B69:B193)-1)</f>
        <v/>
      </c>
      <c r="D193" s="29">
        <f>IF(A193="","",IFERROR(INDEX('자료_한국심리'!$E$3:$E$4002,MATCH(A193,$V$19:$V$4018,0)),D192))</f>
        <v/>
      </c>
      <c r="E193" s="30">
        <f>IF(A193="","",IFERROR(INDEX('자료_한국심리'!$H$3:$H$4002,MATCH(A193,$W$19:$W$4018,0)),E192))</f>
        <v/>
      </c>
      <c r="F193" s="30">
        <f>IF(A193="","",IFERROR(INDEX('자료_한국심리'!$K$3:$K$4002,MATCH(A193,$X$19:$X$4018,0)),F192))</f>
        <v/>
      </c>
      <c r="G193" s="30">
        <f>IF(AND(ISNUMBER(E193),ISNUMBER(F193)),ROUND(E193-F193,6),"")</f>
        <v/>
      </c>
      <c r="H193" s="25">
        <f>IF(A193="","",IFERROR(INDEX('자료_한국심리'!$N$3:$N$4002,MATCH(A193,$Y$19:$Y$4018,0)),H192))</f>
        <v/>
      </c>
      <c r="I193" s="31">
        <f>IF(AND(ISNUMBER(H193),ISNUMBER(H173)),IF(H173&gt;0,H193/H173-1,""),"")</f>
        <v/>
      </c>
      <c r="J193">
        <f>IF(A193="",0,IF(A193&gt;$B$5,1,0))</f>
        <v/>
      </c>
      <c r="K193" s="29">
        <f>IF(AND(J193=1,ISNUMBER(D193)),D193,"")</f>
        <v/>
      </c>
      <c r="L193" s="30">
        <f>IF(AND(J193=1,ISNUMBER(G193)),G193,"")</f>
        <v/>
      </c>
      <c r="M193" s="22">
        <f>IF(AND(J193=1,ISNUMBER(C193)),C193,"")</f>
        <v/>
      </c>
      <c r="N193" s="31">
        <f>IF(AND(J193=1,ISNUMBER(I193)),I193,"")</f>
        <v/>
      </c>
      <c r="O193" s="11">
        <f>IF(K193="","",100-IF($G$13=1,50,(_xlfn.RANK.AVG(K193,$K$19:$K$1518,1)-1)/($G$13-1)*100))</f>
        <v/>
      </c>
      <c r="P193" s="11">
        <f>IF(L193="","",100-IF($G$14=1,50,(_xlfn.RANK.AVG(L193,$L$19:$L$1518,1)-1)/($G$14-1)*100))</f>
        <v/>
      </c>
      <c r="Q193" s="11">
        <f>IF(M193="","",IF($G$15=1,50,(_xlfn.RANK.AVG(M193,$M$19:$M$1518,1)-1)/($G$15-1)*100))</f>
        <v/>
      </c>
      <c r="R193" s="11">
        <f>IF(N193="","",IF($G$16=1,50,(_xlfn.RANK.AVG(N193,$N$19:$N$1518,1)-1)/($G$16-1)*100))</f>
        <v/>
      </c>
      <c r="S193" s="11">
        <f>IF(COUNT(O193:R193)=4,ROUND(AVERAGE(O193:R193),6),"")</f>
        <v/>
      </c>
      <c r="U193">
        <f>IF(AND(ISNUMBER('자료_한국심리'!$A177),ISNUMBER('자료_한국심리'!$B177)),'자료_한국심리'!$A177,"")</f>
        <v/>
      </c>
      <c r="V193">
        <f>IF(AND(ISNUMBER('자료_한국심리'!$D177),ISNUMBER('자료_한국심리'!$E177)),'자료_한국심리'!$D177,"")</f>
        <v/>
      </c>
      <c r="W193">
        <f>IF(AND(ISNUMBER('자료_한국심리'!$G177),ISNUMBER('자료_한국심리'!$H177)),'자료_한국심리'!$G177,"")</f>
        <v/>
      </c>
      <c r="X193">
        <f>IF(AND(ISNUMBER('자료_한국심리'!$J177),ISNUMBER('자료_한국심리'!$K177)),'자료_한국심리'!$J177,"")</f>
        <v/>
      </c>
      <c r="Y193">
        <f>IF(AND(ISNUMBER('자료_한국심리'!$M177),ISNUMBER('자료_한국심리'!$N177)),'자료_한국심리'!$M177,"")</f>
        <v/>
      </c>
    </row>
    <row r="194">
      <c r="A194" s="10">
        <f>IF(176&gt;$E$5,"",SMALL($U$19:$U$4018,$E$6+176))</f>
        <v/>
      </c>
      <c r="B194" s="29">
        <f>IF(A194="","",INDEX('자료_한국심리'!$B$3:$B$4002,MATCH(A194,$U$19:$U$4018,0)))</f>
        <v/>
      </c>
      <c r="C194" s="22">
        <f>IF(A194="","",B194/AVERAGE(B70:B194)-1)</f>
        <v/>
      </c>
      <c r="D194" s="29">
        <f>IF(A194="","",IFERROR(INDEX('자료_한국심리'!$E$3:$E$4002,MATCH(A194,$V$19:$V$4018,0)),D193))</f>
        <v/>
      </c>
      <c r="E194" s="30">
        <f>IF(A194="","",IFERROR(INDEX('자료_한국심리'!$H$3:$H$4002,MATCH(A194,$W$19:$W$4018,0)),E193))</f>
        <v/>
      </c>
      <c r="F194" s="30">
        <f>IF(A194="","",IFERROR(INDEX('자료_한국심리'!$K$3:$K$4002,MATCH(A194,$X$19:$X$4018,0)),F193))</f>
        <v/>
      </c>
      <c r="G194" s="30">
        <f>IF(AND(ISNUMBER(E194),ISNUMBER(F194)),ROUND(E194-F194,6),"")</f>
        <v/>
      </c>
      <c r="H194" s="25">
        <f>IF(A194="","",IFERROR(INDEX('자료_한국심리'!$N$3:$N$4002,MATCH(A194,$Y$19:$Y$4018,0)),H193))</f>
        <v/>
      </c>
      <c r="I194" s="31">
        <f>IF(AND(ISNUMBER(H194),ISNUMBER(H174)),IF(H174&gt;0,H194/H174-1,""),"")</f>
        <v/>
      </c>
      <c r="J194">
        <f>IF(A194="",0,IF(A194&gt;$B$5,1,0))</f>
        <v/>
      </c>
      <c r="K194" s="29">
        <f>IF(AND(J194=1,ISNUMBER(D194)),D194,"")</f>
        <v/>
      </c>
      <c r="L194" s="30">
        <f>IF(AND(J194=1,ISNUMBER(G194)),G194,"")</f>
        <v/>
      </c>
      <c r="M194" s="22">
        <f>IF(AND(J194=1,ISNUMBER(C194)),C194,"")</f>
        <v/>
      </c>
      <c r="N194" s="31">
        <f>IF(AND(J194=1,ISNUMBER(I194)),I194,"")</f>
        <v/>
      </c>
      <c r="O194" s="11">
        <f>IF(K194="","",100-IF($G$13=1,50,(_xlfn.RANK.AVG(K194,$K$19:$K$1518,1)-1)/($G$13-1)*100))</f>
        <v/>
      </c>
      <c r="P194" s="11">
        <f>IF(L194="","",100-IF($G$14=1,50,(_xlfn.RANK.AVG(L194,$L$19:$L$1518,1)-1)/($G$14-1)*100))</f>
        <v/>
      </c>
      <c r="Q194" s="11">
        <f>IF(M194="","",IF($G$15=1,50,(_xlfn.RANK.AVG(M194,$M$19:$M$1518,1)-1)/($G$15-1)*100))</f>
        <v/>
      </c>
      <c r="R194" s="11">
        <f>IF(N194="","",IF($G$16=1,50,(_xlfn.RANK.AVG(N194,$N$19:$N$1518,1)-1)/($G$16-1)*100))</f>
        <v/>
      </c>
      <c r="S194" s="11">
        <f>IF(COUNT(O194:R194)=4,ROUND(AVERAGE(O194:R194),6),"")</f>
        <v/>
      </c>
      <c r="U194">
        <f>IF(AND(ISNUMBER('자료_한국심리'!$A178),ISNUMBER('자료_한국심리'!$B178)),'자료_한국심리'!$A178,"")</f>
        <v/>
      </c>
      <c r="V194">
        <f>IF(AND(ISNUMBER('자료_한국심리'!$D178),ISNUMBER('자료_한국심리'!$E178)),'자료_한국심리'!$D178,"")</f>
        <v/>
      </c>
      <c r="W194">
        <f>IF(AND(ISNUMBER('자료_한국심리'!$G178),ISNUMBER('자료_한국심리'!$H178)),'자료_한국심리'!$G178,"")</f>
        <v/>
      </c>
      <c r="X194">
        <f>IF(AND(ISNUMBER('자료_한국심리'!$J178),ISNUMBER('자료_한국심리'!$K178)),'자료_한국심리'!$J178,"")</f>
        <v/>
      </c>
      <c r="Y194">
        <f>IF(AND(ISNUMBER('자료_한국심리'!$M178),ISNUMBER('자료_한국심리'!$N178)),'자료_한국심리'!$M178,"")</f>
        <v/>
      </c>
    </row>
    <row r="195">
      <c r="A195" s="10">
        <f>IF(177&gt;$E$5,"",SMALL($U$19:$U$4018,$E$6+177))</f>
        <v/>
      </c>
      <c r="B195" s="29">
        <f>IF(A195="","",INDEX('자료_한국심리'!$B$3:$B$4002,MATCH(A195,$U$19:$U$4018,0)))</f>
        <v/>
      </c>
      <c r="C195" s="22">
        <f>IF(A195="","",B195/AVERAGE(B71:B195)-1)</f>
        <v/>
      </c>
      <c r="D195" s="29">
        <f>IF(A195="","",IFERROR(INDEX('자료_한국심리'!$E$3:$E$4002,MATCH(A195,$V$19:$V$4018,0)),D194))</f>
        <v/>
      </c>
      <c r="E195" s="30">
        <f>IF(A195="","",IFERROR(INDEX('자료_한국심리'!$H$3:$H$4002,MATCH(A195,$W$19:$W$4018,0)),E194))</f>
        <v/>
      </c>
      <c r="F195" s="30">
        <f>IF(A195="","",IFERROR(INDEX('자료_한국심리'!$K$3:$K$4002,MATCH(A195,$X$19:$X$4018,0)),F194))</f>
        <v/>
      </c>
      <c r="G195" s="30">
        <f>IF(AND(ISNUMBER(E195),ISNUMBER(F195)),ROUND(E195-F195,6),"")</f>
        <v/>
      </c>
      <c r="H195" s="25">
        <f>IF(A195="","",IFERROR(INDEX('자료_한국심리'!$N$3:$N$4002,MATCH(A195,$Y$19:$Y$4018,0)),H194))</f>
        <v/>
      </c>
      <c r="I195" s="31">
        <f>IF(AND(ISNUMBER(H195),ISNUMBER(H175)),IF(H175&gt;0,H195/H175-1,""),"")</f>
        <v/>
      </c>
      <c r="J195">
        <f>IF(A195="",0,IF(A195&gt;$B$5,1,0))</f>
        <v/>
      </c>
      <c r="K195" s="29">
        <f>IF(AND(J195=1,ISNUMBER(D195)),D195,"")</f>
        <v/>
      </c>
      <c r="L195" s="30">
        <f>IF(AND(J195=1,ISNUMBER(G195)),G195,"")</f>
        <v/>
      </c>
      <c r="M195" s="22">
        <f>IF(AND(J195=1,ISNUMBER(C195)),C195,"")</f>
        <v/>
      </c>
      <c r="N195" s="31">
        <f>IF(AND(J195=1,ISNUMBER(I195)),I195,"")</f>
        <v/>
      </c>
      <c r="O195" s="11">
        <f>IF(K195="","",100-IF($G$13=1,50,(_xlfn.RANK.AVG(K195,$K$19:$K$1518,1)-1)/($G$13-1)*100))</f>
        <v/>
      </c>
      <c r="P195" s="11">
        <f>IF(L195="","",100-IF($G$14=1,50,(_xlfn.RANK.AVG(L195,$L$19:$L$1518,1)-1)/($G$14-1)*100))</f>
        <v/>
      </c>
      <c r="Q195" s="11">
        <f>IF(M195="","",IF($G$15=1,50,(_xlfn.RANK.AVG(M195,$M$19:$M$1518,1)-1)/($G$15-1)*100))</f>
        <v/>
      </c>
      <c r="R195" s="11">
        <f>IF(N195="","",IF($G$16=1,50,(_xlfn.RANK.AVG(N195,$N$19:$N$1518,1)-1)/($G$16-1)*100))</f>
        <v/>
      </c>
      <c r="S195" s="11">
        <f>IF(COUNT(O195:R195)=4,ROUND(AVERAGE(O195:R195),6),"")</f>
        <v/>
      </c>
      <c r="U195">
        <f>IF(AND(ISNUMBER('자료_한국심리'!$A179),ISNUMBER('자료_한국심리'!$B179)),'자료_한국심리'!$A179,"")</f>
        <v/>
      </c>
      <c r="V195">
        <f>IF(AND(ISNUMBER('자료_한국심리'!$D179),ISNUMBER('자료_한국심리'!$E179)),'자료_한국심리'!$D179,"")</f>
        <v/>
      </c>
      <c r="W195">
        <f>IF(AND(ISNUMBER('자료_한국심리'!$G179),ISNUMBER('자료_한국심리'!$H179)),'자료_한국심리'!$G179,"")</f>
        <v/>
      </c>
      <c r="X195">
        <f>IF(AND(ISNUMBER('자료_한국심리'!$J179),ISNUMBER('자료_한국심리'!$K179)),'자료_한국심리'!$J179,"")</f>
        <v/>
      </c>
      <c r="Y195">
        <f>IF(AND(ISNUMBER('자료_한국심리'!$M179),ISNUMBER('자료_한국심리'!$N179)),'자료_한국심리'!$M179,"")</f>
        <v/>
      </c>
    </row>
    <row r="196">
      <c r="A196" s="10">
        <f>IF(178&gt;$E$5,"",SMALL($U$19:$U$4018,$E$6+178))</f>
        <v/>
      </c>
      <c r="B196" s="29">
        <f>IF(A196="","",INDEX('자료_한국심리'!$B$3:$B$4002,MATCH(A196,$U$19:$U$4018,0)))</f>
        <v/>
      </c>
      <c r="C196" s="22">
        <f>IF(A196="","",B196/AVERAGE(B72:B196)-1)</f>
        <v/>
      </c>
      <c r="D196" s="29">
        <f>IF(A196="","",IFERROR(INDEX('자료_한국심리'!$E$3:$E$4002,MATCH(A196,$V$19:$V$4018,0)),D195))</f>
        <v/>
      </c>
      <c r="E196" s="30">
        <f>IF(A196="","",IFERROR(INDEX('자료_한국심리'!$H$3:$H$4002,MATCH(A196,$W$19:$W$4018,0)),E195))</f>
        <v/>
      </c>
      <c r="F196" s="30">
        <f>IF(A196="","",IFERROR(INDEX('자료_한국심리'!$K$3:$K$4002,MATCH(A196,$X$19:$X$4018,0)),F195))</f>
        <v/>
      </c>
      <c r="G196" s="30">
        <f>IF(AND(ISNUMBER(E196),ISNUMBER(F196)),ROUND(E196-F196,6),"")</f>
        <v/>
      </c>
      <c r="H196" s="25">
        <f>IF(A196="","",IFERROR(INDEX('자료_한국심리'!$N$3:$N$4002,MATCH(A196,$Y$19:$Y$4018,0)),H195))</f>
        <v/>
      </c>
      <c r="I196" s="31">
        <f>IF(AND(ISNUMBER(H196),ISNUMBER(H176)),IF(H176&gt;0,H196/H176-1,""),"")</f>
        <v/>
      </c>
      <c r="J196">
        <f>IF(A196="",0,IF(A196&gt;$B$5,1,0))</f>
        <v/>
      </c>
      <c r="K196" s="29">
        <f>IF(AND(J196=1,ISNUMBER(D196)),D196,"")</f>
        <v/>
      </c>
      <c r="L196" s="30">
        <f>IF(AND(J196=1,ISNUMBER(G196)),G196,"")</f>
        <v/>
      </c>
      <c r="M196" s="22">
        <f>IF(AND(J196=1,ISNUMBER(C196)),C196,"")</f>
        <v/>
      </c>
      <c r="N196" s="31">
        <f>IF(AND(J196=1,ISNUMBER(I196)),I196,"")</f>
        <v/>
      </c>
      <c r="O196" s="11">
        <f>IF(K196="","",100-IF($G$13=1,50,(_xlfn.RANK.AVG(K196,$K$19:$K$1518,1)-1)/($G$13-1)*100))</f>
        <v/>
      </c>
      <c r="P196" s="11">
        <f>IF(L196="","",100-IF($G$14=1,50,(_xlfn.RANK.AVG(L196,$L$19:$L$1518,1)-1)/($G$14-1)*100))</f>
        <v/>
      </c>
      <c r="Q196" s="11">
        <f>IF(M196="","",IF($G$15=1,50,(_xlfn.RANK.AVG(M196,$M$19:$M$1518,1)-1)/($G$15-1)*100))</f>
        <v/>
      </c>
      <c r="R196" s="11">
        <f>IF(N196="","",IF($G$16=1,50,(_xlfn.RANK.AVG(N196,$N$19:$N$1518,1)-1)/($G$16-1)*100))</f>
        <v/>
      </c>
      <c r="S196" s="11">
        <f>IF(COUNT(O196:R196)=4,ROUND(AVERAGE(O196:R196),6),"")</f>
        <v/>
      </c>
      <c r="U196">
        <f>IF(AND(ISNUMBER('자료_한국심리'!$A180),ISNUMBER('자료_한국심리'!$B180)),'자료_한국심리'!$A180,"")</f>
        <v/>
      </c>
      <c r="V196">
        <f>IF(AND(ISNUMBER('자료_한국심리'!$D180),ISNUMBER('자료_한국심리'!$E180)),'자료_한국심리'!$D180,"")</f>
        <v/>
      </c>
      <c r="W196">
        <f>IF(AND(ISNUMBER('자료_한국심리'!$G180),ISNUMBER('자료_한국심리'!$H180)),'자료_한국심리'!$G180,"")</f>
        <v/>
      </c>
      <c r="X196">
        <f>IF(AND(ISNUMBER('자료_한국심리'!$J180),ISNUMBER('자료_한국심리'!$K180)),'자료_한국심리'!$J180,"")</f>
        <v/>
      </c>
      <c r="Y196">
        <f>IF(AND(ISNUMBER('자료_한국심리'!$M180),ISNUMBER('자료_한국심리'!$N180)),'자료_한국심리'!$M180,"")</f>
        <v/>
      </c>
    </row>
    <row r="197">
      <c r="A197" s="10">
        <f>IF(179&gt;$E$5,"",SMALL($U$19:$U$4018,$E$6+179))</f>
        <v/>
      </c>
      <c r="B197" s="29">
        <f>IF(A197="","",INDEX('자료_한국심리'!$B$3:$B$4002,MATCH(A197,$U$19:$U$4018,0)))</f>
        <v/>
      </c>
      <c r="C197" s="22">
        <f>IF(A197="","",B197/AVERAGE(B73:B197)-1)</f>
        <v/>
      </c>
      <c r="D197" s="29">
        <f>IF(A197="","",IFERROR(INDEX('자료_한국심리'!$E$3:$E$4002,MATCH(A197,$V$19:$V$4018,0)),D196))</f>
        <v/>
      </c>
      <c r="E197" s="30">
        <f>IF(A197="","",IFERROR(INDEX('자료_한국심리'!$H$3:$H$4002,MATCH(A197,$W$19:$W$4018,0)),E196))</f>
        <v/>
      </c>
      <c r="F197" s="30">
        <f>IF(A197="","",IFERROR(INDEX('자료_한국심리'!$K$3:$K$4002,MATCH(A197,$X$19:$X$4018,0)),F196))</f>
        <v/>
      </c>
      <c r="G197" s="30">
        <f>IF(AND(ISNUMBER(E197),ISNUMBER(F197)),ROUND(E197-F197,6),"")</f>
        <v/>
      </c>
      <c r="H197" s="25">
        <f>IF(A197="","",IFERROR(INDEX('자료_한국심리'!$N$3:$N$4002,MATCH(A197,$Y$19:$Y$4018,0)),H196))</f>
        <v/>
      </c>
      <c r="I197" s="31">
        <f>IF(AND(ISNUMBER(H197),ISNUMBER(H177)),IF(H177&gt;0,H197/H177-1,""),"")</f>
        <v/>
      </c>
      <c r="J197">
        <f>IF(A197="",0,IF(A197&gt;$B$5,1,0))</f>
        <v/>
      </c>
      <c r="K197" s="29">
        <f>IF(AND(J197=1,ISNUMBER(D197)),D197,"")</f>
        <v/>
      </c>
      <c r="L197" s="30">
        <f>IF(AND(J197=1,ISNUMBER(G197)),G197,"")</f>
        <v/>
      </c>
      <c r="M197" s="22">
        <f>IF(AND(J197=1,ISNUMBER(C197)),C197,"")</f>
        <v/>
      </c>
      <c r="N197" s="31">
        <f>IF(AND(J197=1,ISNUMBER(I197)),I197,"")</f>
        <v/>
      </c>
      <c r="O197" s="11">
        <f>IF(K197="","",100-IF($G$13=1,50,(_xlfn.RANK.AVG(K197,$K$19:$K$1518,1)-1)/($G$13-1)*100))</f>
        <v/>
      </c>
      <c r="P197" s="11">
        <f>IF(L197="","",100-IF($G$14=1,50,(_xlfn.RANK.AVG(L197,$L$19:$L$1518,1)-1)/($G$14-1)*100))</f>
        <v/>
      </c>
      <c r="Q197" s="11">
        <f>IF(M197="","",IF($G$15=1,50,(_xlfn.RANK.AVG(M197,$M$19:$M$1518,1)-1)/($G$15-1)*100))</f>
        <v/>
      </c>
      <c r="R197" s="11">
        <f>IF(N197="","",IF($G$16=1,50,(_xlfn.RANK.AVG(N197,$N$19:$N$1518,1)-1)/($G$16-1)*100))</f>
        <v/>
      </c>
      <c r="S197" s="11">
        <f>IF(COUNT(O197:R197)=4,ROUND(AVERAGE(O197:R197),6),"")</f>
        <v/>
      </c>
      <c r="U197">
        <f>IF(AND(ISNUMBER('자료_한국심리'!$A181),ISNUMBER('자료_한국심리'!$B181)),'자료_한국심리'!$A181,"")</f>
        <v/>
      </c>
      <c r="V197">
        <f>IF(AND(ISNUMBER('자료_한국심리'!$D181),ISNUMBER('자료_한국심리'!$E181)),'자료_한국심리'!$D181,"")</f>
        <v/>
      </c>
      <c r="W197">
        <f>IF(AND(ISNUMBER('자료_한국심리'!$G181),ISNUMBER('자료_한국심리'!$H181)),'자료_한국심리'!$G181,"")</f>
        <v/>
      </c>
      <c r="X197">
        <f>IF(AND(ISNUMBER('자료_한국심리'!$J181),ISNUMBER('자료_한국심리'!$K181)),'자료_한국심리'!$J181,"")</f>
        <v/>
      </c>
      <c r="Y197">
        <f>IF(AND(ISNUMBER('자료_한국심리'!$M181),ISNUMBER('자료_한국심리'!$N181)),'자료_한국심리'!$M181,"")</f>
        <v/>
      </c>
    </row>
    <row r="198">
      <c r="A198" s="10">
        <f>IF(180&gt;$E$5,"",SMALL($U$19:$U$4018,$E$6+180))</f>
        <v/>
      </c>
      <c r="B198" s="29">
        <f>IF(A198="","",INDEX('자료_한국심리'!$B$3:$B$4002,MATCH(A198,$U$19:$U$4018,0)))</f>
        <v/>
      </c>
      <c r="C198" s="22">
        <f>IF(A198="","",B198/AVERAGE(B74:B198)-1)</f>
        <v/>
      </c>
      <c r="D198" s="29">
        <f>IF(A198="","",IFERROR(INDEX('자료_한국심리'!$E$3:$E$4002,MATCH(A198,$V$19:$V$4018,0)),D197))</f>
        <v/>
      </c>
      <c r="E198" s="30">
        <f>IF(A198="","",IFERROR(INDEX('자료_한국심리'!$H$3:$H$4002,MATCH(A198,$W$19:$W$4018,0)),E197))</f>
        <v/>
      </c>
      <c r="F198" s="30">
        <f>IF(A198="","",IFERROR(INDEX('자료_한국심리'!$K$3:$K$4002,MATCH(A198,$X$19:$X$4018,0)),F197))</f>
        <v/>
      </c>
      <c r="G198" s="30">
        <f>IF(AND(ISNUMBER(E198),ISNUMBER(F198)),ROUND(E198-F198,6),"")</f>
        <v/>
      </c>
      <c r="H198" s="25">
        <f>IF(A198="","",IFERROR(INDEX('자료_한국심리'!$N$3:$N$4002,MATCH(A198,$Y$19:$Y$4018,0)),H197))</f>
        <v/>
      </c>
      <c r="I198" s="31">
        <f>IF(AND(ISNUMBER(H198),ISNUMBER(H178)),IF(H178&gt;0,H198/H178-1,""),"")</f>
        <v/>
      </c>
      <c r="J198">
        <f>IF(A198="",0,IF(A198&gt;$B$5,1,0))</f>
        <v/>
      </c>
      <c r="K198" s="29">
        <f>IF(AND(J198=1,ISNUMBER(D198)),D198,"")</f>
        <v/>
      </c>
      <c r="L198" s="30">
        <f>IF(AND(J198=1,ISNUMBER(G198)),G198,"")</f>
        <v/>
      </c>
      <c r="M198" s="22">
        <f>IF(AND(J198=1,ISNUMBER(C198)),C198,"")</f>
        <v/>
      </c>
      <c r="N198" s="31">
        <f>IF(AND(J198=1,ISNUMBER(I198)),I198,"")</f>
        <v/>
      </c>
      <c r="O198" s="11">
        <f>IF(K198="","",100-IF($G$13=1,50,(_xlfn.RANK.AVG(K198,$K$19:$K$1518,1)-1)/($G$13-1)*100))</f>
        <v/>
      </c>
      <c r="P198" s="11">
        <f>IF(L198="","",100-IF($G$14=1,50,(_xlfn.RANK.AVG(L198,$L$19:$L$1518,1)-1)/($G$14-1)*100))</f>
        <v/>
      </c>
      <c r="Q198" s="11">
        <f>IF(M198="","",IF($G$15=1,50,(_xlfn.RANK.AVG(M198,$M$19:$M$1518,1)-1)/($G$15-1)*100))</f>
        <v/>
      </c>
      <c r="R198" s="11">
        <f>IF(N198="","",IF($G$16=1,50,(_xlfn.RANK.AVG(N198,$N$19:$N$1518,1)-1)/($G$16-1)*100))</f>
        <v/>
      </c>
      <c r="S198" s="11">
        <f>IF(COUNT(O198:R198)=4,ROUND(AVERAGE(O198:R198),6),"")</f>
        <v/>
      </c>
      <c r="U198">
        <f>IF(AND(ISNUMBER('자료_한국심리'!$A182),ISNUMBER('자료_한국심리'!$B182)),'자료_한국심리'!$A182,"")</f>
        <v/>
      </c>
      <c r="V198">
        <f>IF(AND(ISNUMBER('자료_한국심리'!$D182),ISNUMBER('자료_한국심리'!$E182)),'자료_한국심리'!$D182,"")</f>
        <v/>
      </c>
      <c r="W198">
        <f>IF(AND(ISNUMBER('자료_한국심리'!$G182),ISNUMBER('자료_한국심리'!$H182)),'자료_한국심리'!$G182,"")</f>
        <v/>
      </c>
      <c r="X198">
        <f>IF(AND(ISNUMBER('자료_한국심리'!$J182),ISNUMBER('자료_한국심리'!$K182)),'자료_한국심리'!$J182,"")</f>
        <v/>
      </c>
      <c r="Y198">
        <f>IF(AND(ISNUMBER('자료_한국심리'!$M182),ISNUMBER('자료_한국심리'!$N182)),'자료_한국심리'!$M182,"")</f>
        <v/>
      </c>
    </row>
    <row r="199">
      <c r="A199" s="10">
        <f>IF(181&gt;$E$5,"",SMALL($U$19:$U$4018,$E$6+181))</f>
        <v/>
      </c>
      <c r="B199" s="29">
        <f>IF(A199="","",INDEX('자료_한국심리'!$B$3:$B$4002,MATCH(A199,$U$19:$U$4018,0)))</f>
        <v/>
      </c>
      <c r="C199" s="22">
        <f>IF(A199="","",B199/AVERAGE(B75:B199)-1)</f>
        <v/>
      </c>
      <c r="D199" s="29">
        <f>IF(A199="","",IFERROR(INDEX('자료_한국심리'!$E$3:$E$4002,MATCH(A199,$V$19:$V$4018,0)),D198))</f>
        <v/>
      </c>
      <c r="E199" s="30">
        <f>IF(A199="","",IFERROR(INDEX('자료_한국심리'!$H$3:$H$4002,MATCH(A199,$W$19:$W$4018,0)),E198))</f>
        <v/>
      </c>
      <c r="F199" s="30">
        <f>IF(A199="","",IFERROR(INDEX('자료_한국심리'!$K$3:$K$4002,MATCH(A199,$X$19:$X$4018,0)),F198))</f>
        <v/>
      </c>
      <c r="G199" s="30">
        <f>IF(AND(ISNUMBER(E199),ISNUMBER(F199)),ROUND(E199-F199,6),"")</f>
        <v/>
      </c>
      <c r="H199" s="25">
        <f>IF(A199="","",IFERROR(INDEX('자료_한국심리'!$N$3:$N$4002,MATCH(A199,$Y$19:$Y$4018,0)),H198))</f>
        <v/>
      </c>
      <c r="I199" s="31">
        <f>IF(AND(ISNUMBER(H199),ISNUMBER(H179)),IF(H179&gt;0,H199/H179-1,""),"")</f>
        <v/>
      </c>
      <c r="J199">
        <f>IF(A199="",0,IF(A199&gt;$B$5,1,0))</f>
        <v/>
      </c>
      <c r="K199" s="29">
        <f>IF(AND(J199=1,ISNUMBER(D199)),D199,"")</f>
        <v/>
      </c>
      <c r="L199" s="30">
        <f>IF(AND(J199=1,ISNUMBER(G199)),G199,"")</f>
        <v/>
      </c>
      <c r="M199" s="22">
        <f>IF(AND(J199=1,ISNUMBER(C199)),C199,"")</f>
        <v/>
      </c>
      <c r="N199" s="31">
        <f>IF(AND(J199=1,ISNUMBER(I199)),I199,"")</f>
        <v/>
      </c>
      <c r="O199" s="11">
        <f>IF(K199="","",100-IF($G$13=1,50,(_xlfn.RANK.AVG(K199,$K$19:$K$1518,1)-1)/($G$13-1)*100))</f>
        <v/>
      </c>
      <c r="P199" s="11">
        <f>IF(L199="","",100-IF($G$14=1,50,(_xlfn.RANK.AVG(L199,$L$19:$L$1518,1)-1)/($G$14-1)*100))</f>
        <v/>
      </c>
      <c r="Q199" s="11">
        <f>IF(M199="","",IF($G$15=1,50,(_xlfn.RANK.AVG(M199,$M$19:$M$1518,1)-1)/($G$15-1)*100))</f>
        <v/>
      </c>
      <c r="R199" s="11">
        <f>IF(N199="","",IF($G$16=1,50,(_xlfn.RANK.AVG(N199,$N$19:$N$1518,1)-1)/($G$16-1)*100))</f>
        <v/>
      </c>
      <c r="S199" s="11">
        <f>IF(COUNT(O199:R199)=4,ROUND(AVERAGE(O199:R199),6),"")</f>
        <v/>
      </c>
      <c r="U199">
        <f>IF(AND(ISNUMBER('자료_한국심리'!$A183),ISNUMBER('자료_한국심리'!$B183)),'자료_한국심리'!$A183,"")</f>
        <v/>
      </c>
      <c r="V199">
        <f>IF(AND(ISNUMBER('자료_한국심리'!$D183),ISNUMBER('자료_한국심리'!$E183)),'자료_한국심리'!$D183,"")</f>
        <v/>
      </c>
      <c r="W199">
        <f>IF(AND(ISNUMBER('자료_한국심리'!$G183),ISNUMBER('자료_한국심리'!$H183)),'자료_한국심리'!$G183,"")</f>
        <v/>
      </c>
      <c r="X199">
        <f>IF(AND(ISNUMBER('자료_한국심리'!$J183),ISNUMBER('자료_한국심리'!$K183)),'자료_한국심리'!$J183,"")</f>
        <v/>
      </c>
      <c r="Y199">
        <f>IF(AND(ISNUMBER('자료_한국심리'!$M183),ISNUMBER('자료_한국심리'!$N183)),'자료_한국심리'!$M183,"")</f>
        <v/>
      </c>
    </row>
    <row r="200">
      <c r="A200" s="10">
        <f>IF(182&gt;$E$5,"",SMALL($U$19:$U$4018,$E$6+182))</f>
        <v/>
      </c>
      <c r="B200" s="29">
        <f>IF(A200="","",INDEX('자료_한국심리'!$B$3:$B$4002,MATCH(A200,$U$19:$U$4018,0)))</f>
        <v/>
      </c>
      <c r="C200" s="22">
        <f>IF(A200="","",B200/AVERAGE(B76:B200)-1)</f>
        <v/>
      </c>
      <c r="D200" s="29">
        <f>IF(A200="","",IFERROR(INDEX('자료_한국심리'!$E$3:$E$4002,MATCH(A200,$V$19:$V$4018,0)),D199))</f>
        <v/>
      </c>
      <c r="E200" s="30">
        <f>IF(A200="","",IFERROR(INDEX('자료_한국심리'!$H$3:$H$4002,MATCH(A200,$W$19:$W$4018,0)),E199))</f>
        <v/>
      </c>
      <c r="F200" s="30">
        <f>IF(A200="","",IFERROR(INDEX('자료_한국심리'!$K$3:$K$4002,MATCH(A200,$X$19:$X$4018,0)),F199))</f>
        <v/>
      </c>
      <c r="G200" s="30">
        <f>IF(AND(ISNUMBER(E200),ISNUMBER(F200)),ROUND(E200-F200,6),"")</f>
        <v/>
      </c>
      <c r="H200" s="25">
        <f>IF(A200="","",IFERROR(INDEX('자료_한국심리'!$N$3:$N$4002,MATCH(A200,$Y$19:$Y$4018,0)),H199))</f>
        <v/>
      </c>
      <c r="I200" s="31">
        <f>IF(AND(ISNUMBER(H200),ISNUMBER(H180)),IF(H180&gt;0,H200/H180-1,""),"")</f>
        <v/>
      </c>
      <c r="J200">
        <f>IF(A200="",0,IF(A200&gt;$B$5,1,0))</f>
        <v/>
      </c>
      <c r="K200" s="29">
        <f>IF(AND(J200=1,ISNUMBER(D200)),D200,"")</f>
        <v/>
      </c>
      <c r="L200" s="30">
        <f>IF(AND(J200=1,ISNUMBER(G200)),G200,"")</f>
        <v/>
      </c>
      <c r="M200" s="22">
        <f>IF(AND(J200=1,ISNUMBER(C200)),C200,"")</f>
        <v/>
      </c>
      <c r="N200" s="31">
        <f>IF(AND(J200=1,ISNUMBER(I200)),I200,"")</f>
        <v/>
      </c>
      <c r="O200" s="11">
        <f>IF(K200="","",100-IF($G$13=1,50,(_xlfn.RANK.AVG(K200,$K$19:$K$1518,1)-1)/($G$13-1)*100))</f>
        <v/>
      </c>
      <c r="P200" s="11">
        <f>IF(L200="","",100-IF($G$14=1,50,(_xlfn.RANK.AVG(L200,$L$19:$L$1518,1)-1)/($G$14-1)*100))</f>
        <v/>
      </c>
      <c r="Q200" s="11">
        <f>IF(M200="","",IF($G$15=1,50,(_xlfn.RANK.AVG(M200,$M$19:$M$1518,1)-1)/($G$15-1)*100))</f>
        <v/>
      </c>
      <c r="R200" s="11">
        <f>IF(N200="","",IF($G$16=1,50,(_xlfn.RANK.AVG(N200,$N$19:$N$1518,1)-1)/($G$16-1)*100))</f>
        <v/>
      </c>
      <c r="S200" s="11">
        <f>IF(COUNT(O200:R200)=4,ROUND(AVERAGE(O200:R200),6),"")</f>
        <v/>
      </c>
      <c r="U200">
        <f>IF(AND(ISNUMBER('자료_한국심리'!$A184),ISNUMBER('자료_한국심리'!$B184)),'자료_한국심리'!$A184,"")</f>
        <v/>
      </c>
      <c r="V200">
        <f>IF(AND(ISNUMBER('자료_한국심리'!$D184),ISNUMBER('자료_한국심리'!$E184)),'자료_한국심리'!$D184,"")</f>
        <v/>
      </c>
      <c r="W200">
        <f>IF(AND(ISNUMBER('자료_한국심리'!$G184),ISNUMBER('자료_한국심리'!$H184)),'자료_한국심리'!$G184,"")</f>
        <v/>
      </c>
      <c r="X200">
        <f>IF(AND(ISNUMBER('자료_한국심리'!$J184),ISNUMBER('자료_한국심리'!$K184)),'자료_한국심리'!$J184,"")</f>
        <v/>
      </c>
      <c r="Y200">
        <f>IF(AND(ISNUMBER('자료_한국심리'!$M184),ISNUMBER('자료_한국심리'!$N184)),'자료_한국심리'!$M184,"")</f>
        <v/>
      </c>
    </row>
    <row r="201">
      <c r="A201" s="10">
        <f>IF(183&gt;$E$5,"",SMALL($U$19:$U$4018,$E$6+183))</f>
        <v/>
      </c>
      <c r="B201" s="29">
        <f>IF(A201="","",INDEX('자료_한국심리'!$B$3:$B$4002,MATCH(A201,$U$19:$U$4018,0)))</f>
        <v/>
      </c>
      <c r="C201" s="22">
        <f>IF(A201="","",B201/AVERAGE(B77:B201)-1)</f>
        <v/>
      </c>
      <c r="D201" s="29">
        <f>IF(A201="","",IFERROR(INDEX('자료_한국심리'!$E$3:$E$4002,MATCH(A201,$V$19:$V$4018,0)),D200))</f>
        <v/>
      </c>
      <c r="E201" s="30">
        <f>IF(A201="","",IFERROR(INDEX('자료_한국심리'!$H$3:$H$4002,MATCH(A201,$W$19:$W$4018,0)),E200))</f>
        <v/>
      </c>
      <c r="F201" s="30">
        <f>IF(A201="","",IFERROR(INDEX('자료_한국심리'!$K$3:$K$4002,MATCH(A201,$X$19:$X$4018,0)),F200))</f>
        <v/>
      </c>
      <c r="G201" s="30">
        <f>IF(AND(ISNUMBER(E201),ISNUMBER(F201)),ROUND(E201-F201,6),"")</f>
        <v/>
      </c>
      <c r="H201" s="25">
        <f>IF(A201="","",IFERROR(INDEX('자료_한국심리'!$N$3:$N$4002,MATCH(A201,$Y$19:$Y$4018,0)),H200))</f>
        <v/>
      </c>
      <c r="I201" s="31">
        <f>IF(AND(ISNUMBER(H201),ISNUMBER(H181)),IF(H181&gt;0,H201/H181-1,""),"")</f>
        <v/>
      </c>
      <c r="J201">
        <f>IF(A201="",0,IF(A201&gt;$B$5,1,0))</f>
        <v/>
      </c>
      <c r="K201" s="29">
        <f>IF(AND(J201=1,ISNUMBER(D201)),D201,"")</f>
        <v/>
      </c>
      <c r="L201" s="30">
        <f>IF(AND(J201=1,ISNUMBER(G201)),G201,"")</f>
        <v/>
      </c>
      <c r="M201" s="22">
        <f>IF(AND(J201=1,ISNUMBER(C201)),C201,"")</f>
        <v/>
      </c>
      <c r="N201" s="31">
        <f>IF(AND(J201=1,ISNUMBER(I201)),I201,"")</f>
        <v/>
      </c>
      <c r="O201" s="11">
        <f>IF(K201="","",100-IF($G$13=1,50,(_xlfn.RANK.AVG(K201,$K$19:$K$1518,1)-1)/($G$13-1)*100))</f>
        <v/>
      </c>
      <c r="P201" s="11">
        <f>IF(L201="","",100-IF($G$14=1,50,(_xlfn.RANK.AVG(L201,$L$19:$L$1518,1)-1)/($G$14-1)*100))</f>
        <v/>
      </c>
      <c r="Q201" s="11">
        <f>IF(M201="","",IF($G$15=1,50,(_xlfn.RANK.AVG(M201,$M$19:$M$1518,1)-1)/($G$15-1)*100))</f>
        <v/>
      </c>
      <c r="R201" s="11">
        <f>IF(N201="","",IF($G$16=1,50,(_xlfn.RANK.AVG(N201,$N$19:$N$1518,1)-1)/($G$16-1)*100))</f>
        <v/>
      </c>
      <c r="S201" s="11">
        <f>IF(COUNT(O201:R201)=4,ROUND(AVERAGE(O201:R201),6),"")</f>
        <v/>
      </c>
      <c r="U201">
        <f>IF(AND(ISNUMBER('자료_한국심리'!$A185),ISNUMBER('자료_한국심리'!$B185)),'자료_한국심리'!$A185,"")</f>
        <v/>
      </c>
      <c r="V201">
        <f>IF(AND(ISNUMBER('자료_한국심리'!$D185),ISNUMBER('자료_한국심리'!$E185)),'자료_한국심리'!$D185,"")</f>
        <v/>
      </c>
      <c r="W201">
        <f>IF(AND(ISNUMBER('자료_한국심리'!$G185),ISNUMBER('자료_한국심리'!$H185)),'자료_한국심리'!$G185,"")</f>
        <v/>
      </c>
      <c r="X201">
        <f>IF(AND(ISNUMBER('자료_한국심리'!$J185),ISNUMBER('자료_한국심리'!$K185)),'자료_한국심리'!$J185,"")</f>
        <v/>
      </c>
      <c r="Y201">
        <f>IF(AND(ISNUMBER('자료_한국심리'!$M185),ISNUMBER('자료_한국심리'!$N185)),'자료_한국심리'!$M185,"")</f>
        <v/>
      </c>
    </row>
    <row r="202">
      <c r="A202" s="10">
        <f>IF(184&gt;$E$5,"",SMALL($U$19:$U$4018,$E$6+184))</f>
        <v/>
      </c>
      <c r="B202" s="29">
        <f>IF(A202="","",INDEX('자료_한국심리'!$B$3:$B$4002,MATCH(A202,$U$19:$U$4018,0)))</f>
        <v/>
      </c>
      <c r="C202" s="22">
        <f>IF(A202="","",B202/AVERAGE(B78:B202)-1)</f>
        <v/>
      </c>
      <c r="D202" s="29">
        <f>IF(A202="","",IFERROR(INDEX('자료_한국심리'!$E$3:$E$4002,MATCH(A202,$V$19:$V$4018,0)),D201))</f>
        <v/>
      </c>
      <c r="E202" s="30">
        <f>IF(A202="","",IFERROR(INDEX('자료_한국심리'!$H$3:$H$4002,MATCH(A202,$W$19:$W$4018,0)),E201))</f>
        <v/>
      </c>
      <c r="F202" s="30">
        <f>IF(A202="","",IFERROR(INDEX('자료_한국심리'!$K$3:$K$4002,MATCH(A202,$X$19:$X$4018,0)),F201))</f>
        <v/>
      </c>
      <c r="G202" s="30">
        <f>IF(AND(ISNUMBER(E202),ISNUMBER(F202)),ROUND(E202-F202,6),"")</f>
        <v/>
      </c>
      <c r="H202" s="25">
        <f>IF(A202="","",IFERROR(INDEX('자료_한국심리'!$N$3:$N$4002,MATCH(A202,$Y$19:$Y$4018,0)),H201))</f>
        <v/>
      </c>
      <c r="I202" s="31">
        <f>IF(AND(ISNUMBER(H202),ISNUMBER(H182)),IF(H182&gt;0,H202/H182-1,""),"")</f>
        <v/>
      </c>
      <c r="J202">
        <f>IF(A202="",0,IF(A202&gt;$B$5,1,0))</f>
        <v/>
      </c>
      <c r="K202" s="29">
        <f>IF(AND(J202=1,ISNUMBER(D202)),D202,"")</f>
        <v/>
      </c>
      <c r="L202" s="30">
        <f>IF(AND(J202=1,ISNUMBER(G202)),G202,"")</f>
        <v/>
      </c>
      <c r="M202" s="22">
        <f>IF(AND(J202=1,ISNUMBER(C202)),C202,"")</f>
        <v/>
      </c>
      <c r="N202" s="31">
        <f>IF(AND(J202=1,ISNUMBER(I202)),I202,"")</f>
        <v/>
      </c>
      <c r="O202" s="11">
        <f>IF(K202="","",100-IF($G$13=1,50,(_xlfn.RANK.AVG(K202,$K$19:$K$1518,1)-1)/($G$13-1)*100))</f>
        <v/>
      </c>
      <c r="P202" s="11">
        <f>IF(L202="","",100-IF($G$14=1,50,(_xlfn.RANK.AVG(L202,$L$19:$L$1518,1)-1)/($G$14-1)*100))</f>
        <v/>
      </c>
      <c r="Q202" s="11">
        <f>IF(M202="","",IF($G$15=1,50,(_xlfn.RANK.AVG(M202,$M$19:$M$1518,1)-1)/($G$15-1)*100))</f>
        <v/>
      </c>
      <c r="R202" s="11">
        <f>IF(N202="","",IF($G$16=1,50,(_xlfn.RANK.AVG(N202,$N$19:$N$1518,1)-1)/($G$16-1)*100))</f>
        <v/>
      </c>
      <c r="S202" s="11">
        <f>IF(COUNT(O202:R202)=4,ROUND(AVERAGE(O202:R202),6),"")</f>
        <v/>
      </c>
      <c r="U202">
        <f>IF(AND(ISNUMBER('자료_한국심리'!$A186),ISNUMBER('자료_한국심리'!$B186)),'자료_한국심리'!$A186,"")</f>
        <v/>
      </c>
      <c r="V202">
        <f>IF(AND(ISNUMBER('자료_한국심리'!$D186),ISNUMBER('자료_한국심리'!$E186)),'자료_한국심리'!$D186,"")</f>
        <v/>
      </c>
      <c r="W202">
        <f>IF(AND(ISNUMBER('자료_한국심리'!$G186),ISNUMBER('자료_한국심리'!$H186)),'자료_한국심리'!$G186,"")</f>
        <v/>
      </c>
      <c r="X202">
        <f>IF(AND(ISNUMBER('자료_한국심리'!$J186),ISNUMBER('자료_한국심리'!$K186)),'자료_한국심리'!$J186,"")</f>
        <v/>
      </c>
      <c r="Y202">
        <f>IF(AND(ISNUMBER('자료_한국심리'!$M186),ISNUMBER('자료_한국심리'!$N186)),'자료_한국심리'!$M186,"")</f>
        <v/>
      </c>
    </row>
    <row r="203">
      <c r="A203" s="10">
        <f>IF(185&gt;$E$5,"",SMALL($U$19:$U$4018,$E$6+185))</f>
        <v/>
      </c>
      <c r="B203" s="29">
        <f>IF(A203="","",INDEX('자료_한국심리'!$B$3:$B$4002,MATCH(A203,$U$19:$U$4018,0)))</f>
        <v/>
      </c>
      <c r="C203" s="22">
        <f>IF(A203="","",B203/AVERAGE(B79:B203)-1)</f>
        <v/>
      </c>
      <c r="D203" s="29">
        <f>IF(A203="","",IFERROR(INDEX('자료_한국심리'!$E$3:$E$4002,MATCH(A203,$V$19:$V$4018,0)),D202))</f>
        <v/>
      </c>
      <c r="E203" s="30">
        <f>IF(A203="","",IFERROR(INDEX('자료_한국심리'!$H$3:$H$4002,MATCH(A203,$W$19:$W$4018,0)),E202))</f>
        <v/>
      </c>
      <c r="F203" s="30">
        <f>IF(A203="","",IFERROR(INDEX('자료_한국심리'!$K$3:$K$4002,MATCH(A203,$X$19:$X$4018,0)),F202))</f>
        <v/>
      </c>
      <c r="G203" s="30">
        <f>IF(AND(ISNUMBER(E203),ISNUMBER(F203)),ROUND(E203-F203,6),"")</f>
        <v/>
      </c>
      <c r="H203" s="25">
        <f>IF(A203="","",IFERROR(INDEX('자료_한국심리'!$N$3:$N$4002,MATCH(A203,$Y$19:$Y$4018,0)),H202))</f>
        <v/>
      </c>
      <c r="I203" s="31">
        <f>IF(AND(ISNUMBER(H203),ISNUMBER(H183)),IF(H183&gt;0,H203/H183-1,""),"")</f>
        <v/>
      </c>
      <c r="J203">
        <f>IF(A203="",0,IF(A203&gt;$B$5,1,0))</f>
        <v/>
      </c>
      <c r="K203" s="29">
        <f>IF(AND(J203=1,ISNUMBER(D203)),D203,"")</f>
        <v/>
      </c>
      <c r="L203" s="30">
        <f>IF(AND(J203=1,ISNUMBER(G203)),G203,"")</f>
        <v/>
      </c>
      <c r="M203" s="22">
        <f>IF(AND(J203=1,ISNUMBER(C203)),C203,"")</f>
        <v/>
      </c>
      <c r="N203" s="31">
        <f>IF(AND(J203=1,ISNUMBER(I203)),I203,"")</f>
        <v/>
      </c>
      <c r="O203" s="11">
        <f>IF(K203="","",100-IF($G$13=1,50,(_xlfn.RANK.AVG(K203,$K$19:$K$1518,1)-1)/($G$13-1)*100))</f>
        <v/>
      </c>
      <c r="P203" s="11">
        <f>IF(L203="","",100-IF($G$14=1,50,(_xlfn.RANK.AVG(L203,$L$19:$L$1518,1)-1)/($G$14-1)*100))</f>
        <v/>
      </c>
      <c r="Q203" s="11">
        <f>IF(M203="","",IF($G$15=1,50,(_xlfn.RANK.AVG(M203,$M$19:$M$1518,1)-1)/($G$15-1)*100))</f>
        <v/>
      </c>
      <c r="R203" s="11">
        <f>IF(N203="","",IF($G$16=1,50,(_xlfn.RANK.AVG(N203,$N$19:$N$1518,1)-1)/($G$16-1)*100))</f>
        <v/>
      </c>
      <c r="S203" s="11">
        <f>IF(COUNT(O203:R203)=4,ROUND(AVERAGE(O203:R203),6),"")</f>
        <v/>
      </c>
      <c r="U203">
        <f>IF(AND(ISNUMBER('자료_한국심리'!$A187),ISNUMBER('자료_한국심리'!$B187)),'자료_한국심리'!$A187,"")</f>
        <v/>
      </c>
      <c r="V203">
        <f>IF(AND(ISNUMBER('자료_한국심리'!$D187),ISNUMBER('자료_한국심리'!$E187)),'자료_한국심리'!$D187,"")</f>
        <v/>
      </c>
      <c r="W203">
        <f>IF(AND(ISNUMBER('자료_한국심리'!$G187),ISNUMBER('자료_한국심리'!$H187)),'자료_한국심리'!$G187,"")</f>
        <v/>
      </c>
      <c r="X203">
        <f>IF(AND(ISNUMBER('자료_한국심리'!$J187),ISNUMBER('자료_한국심리'!$K187)),'자료_한국심리'!$J187,"")</f>
        <v/>
      </c>
      <c r="Y203">
        <f>IF(AND(ISNUMBER('자료_한국심리'!$M187),ISNUMBER('자료_한국심리'!$N187)),'자료_한국심리'!$M187,"")</f>
        <v/>
      </c>
    </row>
    <row r="204">
      <c r="A204" s="10">
        <f>IF(186&gt;$E$5,"",SMALL($U$19:$U$4018,$E$6+186))</f>
        <v/>
      </c>
      <c r="B204" s="29">
        <f>IF(A204="","",INDEX('자료_한국심리'!$B$3:$B$4002,MATCH(A204,$U$19:$U$4018,0)))</f>
        <v/>
      </c>
      <c r="C204" s="22">
        <f>IF(A204="","",B204/AVERAGE(B80:B204)-1)</f>
        <v/>
      </c>
      <c r="D204" s="29">
        <f>IF(A204="","",IFERROR(INDEX('자료_한국심리'!$E$3:$E$4002,MATCH(A204,$V$19:$V$4018,0)),D203))</f>
        <v/>
      </c>
      <c r="E204" s="30">
        <f>IF(A204="","",IFERROR(INDEX('자료_한국심리'!$H$3:$H$4002,MATCH(A204,$W$19:$W$4018,0)),E203))</f>
        <v/>
      </c>
      <c r="F204" s="30">
        <f>IF(A204="","",IFERROR(INDEX('자료_한국심리'!$K$3:$K$4002,MATCH(A204,$X$19:$X$4018,0)),F203))</f>
        <v/>
      </c>
      <c r="G204" s="30">
        <f>IF(AND(ISNUMBER(E204),ISNUMBER(F204)),ROUND(E204-F204,6),"")</f>
        <v/>
      </c>
      <c r="H204" s="25">
        <f>IF(A204="","",IFERROR(INDEX('자료_한국심리'!$N$3:$N$4002,MATCH(A204,$Y$19:$Y$4018,0)),H203))</f>
        <v/>
      </c>
      <c r="I204" s="31">
        <f>IF(AND(ISNUMBER(H204),ISNUMBER(H184)),IF(H184&gt;0,H204/H184-1,""),"")</f>
        <v/>
      </c>
      <c r="J204">
        <f>IF(A204="",0,IF(A204&gt;$B$5,1,0))</f>
        <v/>
      </c>
      <c r="K204" s="29">
        <f>IF(AND(J204=1,ISNUMBER(D204)),D204,"")</f>
        <v/>
      </c>
      <c r="L204" s="30">
        <f>IF(AND(J204=1,ISNUMBER(G204)),G204,"")</f>
        <v/>
      </c>
      <c r="M204" s="22">
        <f>IF(AND(J204=1,ISNUMBER(C204)),C204,"")</f>
        <v/>
      </c>
      <c r="N204" s="31">
        <f>IF(AND(J204=1,ISNUMBER(I204)),I204,"")</f>
        <v/>
      </c>
      <c r="O204" s="11">
        <f>IF(K204="","",100-IF($G$13=1,50,(_xlfn.RANK.AVG(K204,$K$19:$K$1518,1)-1)/($G$13-1)*100))</f>
        <v/>
      </c>
      <c r="P204" s="11">
        <f>IF(L204="","",100-IF($G$14=1,50,(_xlfn.RANK.AVG(L204,$L$19:$L$1518,1)-1)/($G$14-1)*100))</f>
        <v/>
      </c>
      <c r="Q204" s="11">
        <f>IF(M204="","",IF($G$15=1,50,(_xlfn.RANK.AVG(M204,$M$19:$M$1518,1)-1)/($G$15-1)*100))</f>
        <v/>
      </c>
      <c r="R204" s="11">
        <f>IF(N204="","",IF($G$16=1,50,(_xlfn.RANK.AVG(N204,$N$19:$N$1518,1)-1)/($G$16-1)*100))</f>
        <v/>
      </c>
      <c r="S204" s="11">
        <f>IF(COUNT(O204:R204)=4,ROUND(AVERAGE(O204:R204),6),"")</f>
        <v/>
      </c>
      <c r="U204">
        <f>IF(AND(ISNUMBER('자료_한국심리'!$A188),ISNUMBER('자료_한국심리'!$B188)),'자료_한국심리'!$A188,"")</f>
        <v/>
      </c>
      <c r="V204">
        <f>IF(AND(ISNUMBER('자료_한국심리'!$D188),ISNUMBER('자료_한국심리'!$E188)),'자료_한국심리'!$D188,"")</f>
        <v/>
      </c>
      <c r="W204">
        <f>IF(AND(ISNUMBER('자료_한국심리'!$G188),ISNUMBER('자료_한국심리'!$H188)),'자료_한국심리'!$G188,"")</f>
        <v/>
      </c>
      <c r="X204">
        <f>IF(AND(ISNUMBER('자료_한국심리'!$J188),ISNUMBER('자료_한국심리'!$K188)),'자료_한국심리'!$J188,"")</f>
        <v/>
      </c>
      <c r="Y204">
        <f>IF(AND(ISNUMBER('자료_한국심리'!$M188),ISNUMBER('자료_한국심리'!$N188)),'자료_한국심리'!$M188,"")</f>
        <v/>
      </c>
    </row>
    <row r="205">
      <c r="A205" s="10">
        <f>IF(187&gt;$E$5,"",SMALL($U$19:$U$4018,$E$6+187))</f>
        <v/>
      </c>
      <c r="B205" s="29">
        <f>IF(A205="","",INDEX('자료_한국심리'!$B$3:$B$4002,MATCH(A205,$U$19:$U$4018,0)))</f>
        <v/>
      </c>
      <c r="C205" s="22">
        <f>IF(A205="","",B205/AVERAGE(B81:B205)-1)</f>
        <v/>
      </c>
      <c r="D205" s="29">
        <f>IF(A205="","",IFERROR(INDEX('자료_한국심리'!$E$3:$E$4002,MATCH(A205,$V$19:$V$4018,0)),D204))</f>
        <v/>
      </c>
      <c r="E205" s="30">
        <f>IF(A205="","",IFERROR(INDEX('자료_한국심리'!$H$3:$H$4002,MATCH(A205,$W$19:$W$4018,0)),E204))</f>
        <v/>
      </c>
      <c r="F205" s="30">
        <f>IF(A205="","",IFERROR(INDEX('자료_한국심리'!$K$3:$K$4002,MATCH(A205,$X$19:$X$4018,0)),F204))</f>
        <v/>
      </c>
      <c r="G205" s="30">
        <f>IF(AND(ISNUMBER(E205),ISNUMBER(F205)),ROUND(E205-F205,6),"")</f>
        <v/>
      </c>
      <c r="H205" s="25">
        <f>IF(A205="","",IFERROR(INDEX('자료_한국심리'!$N$3:$N$4002,MATCH(A205,$Y$19:$Y$4018,0)),H204))</f>
        <v/>
      </c>
      <c r="I205" s="31">
        <f>IF(AND(ISNUMBER(H205),ISNUMBER(H185)),IF(H185&gt;0,H205/H185-1,""),"")</f>
        <v/>
      </c>
      <c r="J205">
        <f>IF(A205="",0,IF(A205&gt;$B$5,1,0))</f>
        <v/>
      </c>
      <c r="K205" s="29">
        <f>IF(AND(J205=1,ISNUMBER(D205)),D205,"")</f>
        <v/>
      </c>
      <c r="L205" s="30">
        <f>IF(AND(J205=1,ISNUMBER(G205)),G205,"")</f>
        <v/>
      </c>
      <c r="M205" s="22">
        <f>IF(AND(J205=1,ISNUMBER(C205)),C205,"")</f>
        <v/>
      </c>
      <c r="N205" s="31">
        <f>IF(AND(J205=1,ISNUMBER(I205)),I205,"")</f>
        <v/>
      </c>
      <c r="O205" s="11">
        <f>IF(K205="","",100-IF($G$13=1,50,(_xlfn.RANK.AVG(K205,$K$19:$K$1518,1)-1)/($G$13-1)*100))</f>
        <v/>
      </c>
      <c r="P205" s="11">
        <f>IF(L205="","",100-IF($G$14=1,50,(_xlfn.RANK.AVG(L205,$L$19:$L$1518,1)-1)/($G$14-1)*100))</f>
        <v/>
      </c>
      <c r="Q205" s="11">
        <f>IF(M205="","",IF($G$15=1,50,(_xlfn.RANK.AVG(M205,$M$19:$M$1518,1)-1)/($G$15-1)*100))</f>
        <v/>
      </c>
      <c r="R205" s="11">
        <f>IF(N205="","",IF($G$16=1,50,(_xlfn.RANK.AVG(N205,$N$19:$N$1518,1)-1)/($G$16-1)*100))</f>
        <v/>
      </c>
      <c r="S205" s="11">
        <f>IF(COUNT(O205:R205)=4,ROUND(AVERAGE(O205:R205),6),"")</f>
        <v/>
      </c>
      <c r="U205">
        <f>IF(AND(ISNUMBER('자료_한국심리'!$A189),ISNUMBER('자료_한국심리'!$B189)),'자료_한국심리'!$A189,"")</f>
        <v/>
      </c>
      <c r="V205">
        <f>IF(AND(ISNUMBER('자료_한국심리'!$D189),ISNUMBER('자료_한국심리'!$E189)),'자료_한국심리'!$D189,"")</f>
        <v/>
      </c>
      <c r="W205">
        <f>IF(AND(ISNUMBER('자료_한국심리'!$G189),ISNUMBER('자료_한국심리'!$H189)),'자료_한국심리'!$G189,"")</f>
        <v/>
      </c>
      <c r="X205">
        <f>IF(AND(ISNUMBER('자료_한국심리'!$J189),ISNUMBER('자료_한국심리'!$K189)),'자료_한국심리'!$J189,"")</f>
        <v/>
      </c>
      <c r="Y205">
        <f>IF(AND(ISNUMBER('자료_한국심리'!$M189),ISNUMBER('자료_한국심리'!$N189)),'자료_한국심리'!$M189,"")</f>
        <v/>
      </c>
    </row>
    <row r="206">
      <c r="A206" s="10">
        <f>IF(188&gt;$E$5,"",SMALL($U$19:$U$4018,$E$6+188))</f>
        <v/>
      </c>
      <c r="B206" s="29">
        <f>IF(A206="","",INDEX('자료_한국심리'!$B$3:$B$4002,MATCH(A206,$U$19:$U$4018,0)))</f>
        <v/>
      </c>
      <c r="C206" s="22">
        <f>IF(A206="","",B206/AVERAGE(B82:B206)-1)</f>
        <v/>
      </c>
      <c r="D206" s="29">
        <f>IF(A206="","",IFERROR(INDEX('자료_한국심리'!$E$3:$E$4002,MATCH(A206,$V$19:$V$4018,0)),D205))</f>
        <v/>
      </c>
      <c r="E206" s="30">
        <f>IF(A206="","",IFERROR(INDEX('자료_한국심리'!$H$3:$H$4002,MATCH(A206,$W$19:$W$4018,0)),E205))</f>
        <v/>
      </c>
      <c r="F206" s="30">
        <f>IF(A206="","",IFERROR(INDEX('자료_한국심리'!$K$3:$K$4002,MATCH(A206,$X$19:$X$4018,0)),F205))</f>
        <v/>
      </c>
      <c r="G206" s="30">
        <f>IF(AND(ISNUMBER(E206),ISNUMBER(F206)),ROUND(E206-F206,6),"")</f>
        <v/>
      </c>
      <c r="H206" s="25">
        <f>IF(A206="","",IFERROR(INDEX('자료_한국심리'!$N$3:$N$4002,MATCH(A206,$Y$19:$Y$4018,0)),H205))</f>
        <v/>
      </c>
      <c r="I206" s="31">
        <f>IF(AND(ISNUMBER(H206),ISNUMBER(H186)),IF(H186&gt;0,H206/H186-1,""),"")</f>
        <v/>
      </c>
      <c r="J206">
        <f>IF(A206="",0,IF(A206&gt;$B$5,1,0))</f>
        <v/>
      </c>
      <c r="K206" s="29">
        <f>IF(AND(J206=1,ISNUMBER(D206)),D206,"")</f>
        <v/>
      </c>
      <c r="L206" s="30">
        <f>IF(AND(J206=1,ISNUMBER(G206)),G206,"")</f>
        <v/>
      </c>
      <c r="M206" s="22">
        <f>IF(AND(J206=1,ISNUMBER(C206)),C206,"")</f>
        <v/>
      </c>
      <c r="N206" s="31">
        <f>IF(AND(J206=1,ISNUMBER(I206)),I206,"")</f>
        <v/>
      </c>
      <c r="O206" s="11">
        <f>IF(K206="","",100-IF($G$13=1,50,(_xlfn.RANK.AVG(K206,$K$19:$K$1518,1)-1)/($G$13-1)*100))</f>
        <v/>
      </c>
      <c r="P206" s="11">
        <f>IF(L206="","",100-IF($G$14=1,50,(_xlfn.RANK.AVG(L206,$L$19:$L$1518,1)-1)/($G$14-1)*100))</f>
        <v/>
      </c>
      <c r="Q206" s="11">
        <f>IF(M206="","",IF($G$15=1,50,(_xlfn.RANK.AVG(M206,$M$19:$M$1518,1)-1)/($G$15-1)*100))</f>
        <v/>
      </c>
      <c r="R206" s="11">
        <f>IF(N206="","",IF($G$16=1,50,(_xlfn.RANK.AVG(N206,$N$19:$N$1518,1)-1)/($G$16-1)*100))</f>
        <v/>
      </c>
      <c r="S206" s="11">
        <f>IF(COUNT(O206:R206)=4,ROUND(AVERAGE(O206:R206),6),"")</f>
        <v/>
      </c>
      <c r="U206">
        <f>IF(AND(ISNUMBER('자료_한국심리'!$A190),ISNUMBER('자료_한국심리'!$B190)),'자료_한국심리'!$A190,"")</f>
        <v/>
      </c>
      <c r="V206">
        <f>IF(AND(ISNUMBER('자료_한국심리'!$D190),ISNUMBER('자료_한국심리'!$E190)),'자료_한국심리'!$D190,"")</f>
        <v/>
      </c>
      <c r="W206">
        <f>IF(AND(ISNUMBER('자료_한국심리'!$G190),ISNUMBER('자료_한국심리'!$H190)),'자료_한국심리'!$G190,"")</f>
        <v/>
      </c>
      <c r="X206">
        <f>IF(AND(ISNUMBER('자료_한국심리'!$J190),ISNUMBER('자료_한국심리'!$K190)),'자료_한국심리'!$J190,"")</f>
        <v/>
      </c>
      <c r="Y206">
        <f>IF(AND(ISNUMBER('자료_한국심리'!$M190),ISNUMBER('자료_한국심리'!$N190)),'자료_한국심리'!$M190,"")</f>
        <v/>
      </c>
    </row>
    <row r="207">
      <c r="A207" s="10">
        <f>IF(189&gt;$E$5,"",SMALL($U$19:$U$4018,$E$6+189))</f>
        <v/>
      </c>
      <c r="B207" s="29">
        <f>IF(A207="","",INDEX('자료_한국심리'!$B$3:$B$4002,MATCH(A207,$U$19:$U$4018,0)))</f>
        <v/>
      </c>
      <c r="C207" s="22">
        <f>IF(A207="","",B207/AVERAGE(B83:B207)-1)</f>
        <v/>
      </c>
      <c r="D207" s="29">
        <f>IF(A207="","",IFERROR(INDEX('자료_한국심리'!$E$3:$E$4002,MATCH(A207,$V$19:$V$4018,0)),D206))</f>
        <v/>
      </c>
      <c r="E207" s="30">
        <f>IF(A207="","",IFERROR(INDEX('자료_한국심리'!$H$3:$H$4002,MATCH(A207,$W$19:$W$4018,0)),E206))</f>
        <v/>
      </c>
      <c r="F207" s="30">
        <f>IF(A207="","",IFERROR(INDEX('자료_한국심리'!$K$3:$K$4002,MATCH(A207,$X$19:$X$4018,0)),F206))</f>
        <v/>
      </c>
      <c r="G207" s="30">
        <f>IF(AND(ISNUMBER(E207),ISNUMBER(F207)),ROUND(E207-F207,6),"")</f>
        <v/>
      </c>
      <c r="H207" s="25">
        <f>IF(A207="","",IFERROR(INDEX('자료_한국심리'!$N$3:$N$4002,MATCH(A207,$Y$19:$Y$4018,0)),H206))</f>
        <v/>
      </c>
      <c r="I207" s="31">
        <f>IF(AND(ISNUMBER(H207),ISNUMBER(H187)),IF(H187&gt;0,H207/H187-1,""),"")</f>
        <v/>
      </c>
      <c r="J207">
        <f>IF(A207="",0,IF(A207&gt;$B$5,1,0))</f>
        <v/>
      </c>
      <c r="K207" s="29">
        <f>IF(AND(J207=1,ISNUMBER(D207)),D207,"")</f>
        <v/>
      </c>
      <c r="L207" s="30">
        <f>IF(AND(J207=1,ISNUMBER(G207)),G207,"")</f>
        <v/>
      </c>
      <c r="M207" s="22">
        <f>IF(AND(J207=1,ISNUMBER(C207)),C207,"")</f>
        <v/>
      </c>
      <c r="N207" s="31">
        <f>IF(AND(J207=1,ISNUMBER(I207)),I207,"")</f>
        <v/>
      </c>
      <c r="O207" s="11">
        <f>IF(K207="","",100-IF($G$13=1,50,(_xlfn.RANK.AVG(K207,$K$19:$K$1518,1)-1)/($G$13-1)*100))</f>
        <v/>
      </c>
      <c r="P207" s="11">
        <f>IF(L207="","",100-IF($G$14=1,50,(_xlfn.RANK.AVG(L207,$L$19:$L$1518,1)-1)/($G$14-1)*100))</f>
        <v/>
      </c>
      <c r="Q207" s="11">
        <f>IF(M207="","",IF($G$15=1,50,(_xlfn.RANK.AVG(M207,$M$19:$M$1518,1)-1)/($G$15-1)*100))</f>
        <v/>
      </c>
      <c r="R207" s="11">
        <f>IF(N207="","",IF($G$16=1,50,(_xlfn.RANK.AVG(N207,$N$19:$N$1518,1)-1)/($G$16-1)*100))</f>
        <v/>
      </c>
      <c r="S207" s="11">
        <f>IF(COUNT(O207:R207)=4,ROUND(AVERAGE(O207:R207),6),"")</f>
        <v/>
      </c>
      <c r="U207">
        <f>IF(AND(ISNUMBER('자료_한국심리'!$A191),ISNUMBER('자료_한국심리'!$B191)),'자료_한국심리'!$A191,"")</f>
        <v/>
      </c>
      <c r="V207">
        <f>IF(AND(ISNUMBER('자료_한국심리'!$D191),ISNUMBER('자료_한국심리'!$E191)),'자료_한국심리'!$D191,"")</f>
        <v/>
      </c>
      <c r="W207">
        <f>IF(AND(ISNUMBER('자료_한국심리'!$G191),ISNUMBER('자료_한국심리'!$H191)),'자료_한국심리'!$G191,"")</f>
        <v/>
      </c>
      <c r="X207">
        <f>IF(AND(ISNUMBER('자료_한국심리'!$J191),ISNUMBER('자료_한국심리'!$K191)),'자료_한국심리'!$J191,"")</f>
        <v/>
      </c>
      <c r="Y207">
        <f>IF(AND(ISNUMBER('자료_한국심리'!$M191),ISNUMBER('자료_한국심리'!$N191)),'자료_한국심리'!$M191,"")</f>
        <v/>
      </c>
    </row>
    <row r="208">
      <c r="A208" s="10">
        <f>IF(190&gt;$E$5,"",SMALL($U$19:$U$4018,$E$6+190))</f>
        <v/>
      </c>
      <c r="B208" s="29">
        <f>IF(A208="","",INDEX('자료_한국심리'!$B$3:$B$4002,MATCH(A208,$U$19:$U$4018,0)))</f>
        <v/>
      </c>
      <c r="C208" s="22">
        <f>IF(A208="","",B208/AVERAGE(B84:B208)-1)</f>
        <v/>
      </c>
      <c r="D208" s="29">
        <f>IF(A208="","",IFERROR(INDEX('자료_한국심리'!$E$3:$E$4002,MATCH(A208,$V$19:$V$4018,0)),D207))</f>
        <v/>
      </c>
      <c r="E208" s="30">
        <f>IF(A208="","",IFERROR(INDEX('자료_한국심리'!$H$3:$H$4002,MATCH(A208,$W$19:$W$4018,0)),E207))</f>
        <v/>
      </c>
      <c r="F208" s="30">
        <f>IF(A208="","",IFERROR(INDEX('자료_한국심리'!$K$3:$K$4002,MATCH(A208,$X$19:$X$4018,0)),F207))</f>
        <v/>
      </c>
      <c r="G208" s="30">
        <f>IF(AND(ISNUMBER(E208),ISNUMBER(F208)),ROUND(E208-F208,6),"")</f>
        <v/>
      </c>
      <c r="H208" s="25">
        <f>IF(A208="","",IFERROR(INDEX('자료_한국심리'!$N$3:$N$4002,MATCH(A208,$Y$19:$Y$4018,0)),H207))</f>
        <v/>
      </c>
      <c r="I208" s="31">
        <f>IF(AND(ISNUMBER(H208),ISNUMBER(H188)),IF(H188&gt;0,H208/H188-1,""),"")</f>
        <v/>
      </c>
      <c r="J208">
        <f>IF(A208="",0,IF(A208&gt;$B$5,1,0))</f>
        <v/>
      </c>
      <c r="K208" s="29">
        <f>IF(AND(J208=1,ISNUMBER(D208)),D208,"")</f>
        <v/>
      </c>
      <c r="L208" s="30">
        <f>IF(AND(J208=1,ISNUMBER(G208)),G208,"")</f>
        <v/>
      </c>
      <c r="M208" s="22">
        <f>IF(AND(J208=1,ISNUMBER(C208)),C208,"")</f>
        <v/>
      </c>
      <c r="N208" s="31">
        <f>IF(AND(J208=1,ISNUMBER(I208)),I208,"")</f>
        <v/>
      </c>
      <c r="O208" s="11">
        <f>IF(K208="","",100-IF($G$13=1,50,(_xlfn.RANK.AVG(K208,$K$19:$K$1518,1)-1)/($G$13-1)*100))</f>
        <v/>
      </c>
      <c r="P208" s="11">
        <f>IF(L208="","",100-IF($G$14=1,50,(_xlfn.RANK.AVG(L208,$L$19:$L$1518,1)-1)/($G$14-1)*100))</f>
        <v/>
      </c>
      <c r="Q208" s="11">
        <f>IF(M208="","",IF($G$15=1,50,(_xlfn.RANK.AVG(M208,$M$19:$M$1518,1)-1)/($G$15-1)*100))</f>
        <v/>
      </c>
      <c r="R208" s="11">
        <f>IF(N208="","",IF($G$16=1,50,(_xlfn.RANK.AVG(N208,$N$19:$N$1518,1)-1)/($G$16-1)*100))</f>
        <v/>
      </c>
      <c r="S208" s="11">
        <f>IF(COUNT(O208:R208)=4,ROUND(AVERAGE(O208:R208),6),"")</f>
        <v/>
      </c>
      <c r="U208">
        <f>IF(AND(ISNUMBER('자료_한국심리'!$A192),ISNUMBER('자료_한국심리'!$B192)),'자료_한국심리'!$A192,"")</f>
        <v/>
      </c>
      <c r="V208">
        <f>IF(AND(ISNUMBER('자료_한국심리'!$D192),ISNUMBER('자료_한국심리'!$E192)),'자료_한국심리'!$D192,"")</f>
        <v/>
      </c>
      <c r="W208">
        <f>IF(AND(ISNUMBER('자료_한국심리'!$G192),ISNUMBER('자료_한국심리'!$H192)),'자료_한국심리'!$G192,"")</f>
        <v/>
      </c>
      <c r="X208">
        <f>IF(AND(ISNUMBER('자료_한국심리'!$J192),ISNUMBER('자료_한국심리'!$K192)),'자료_한국심리'!$J192,"")</f>
        <v/>
      </c>
      <c r="Y208">
        <f>IF(AND(ISNUMBER('자료_한국심리'!$M192),ISNUMBER('자료_한국심리'!$N192)),'자료_한국심리'!$M192,"")</f>
        <v/>
      </c>
    </row>
    <row r="209">
      <c r="A209" s="10">
        <f>IF(191&gt;$E$5,"",SMALL($U$19:$U$4018,$E$6+191))</f>
        <v/>
      </c>
      <c r="B209" s="29">
        <f>IF(A209="","",INDEX('자료_한국심리'!$B$3:$B$4002,MATCH(A209,$U$19:$U$4018,0)))</f>
        <v/>
      </c>
      <c r="C209" s="22">
        <f>IF(A209="","",B209/AVERAGE(B85:B209)-1)</f>
        <v/>
      </c>
      <c r="D209" s="29">
        <f>IF(A209="","",IFERROR(INDEX('자료_한국심리'!$E$3:$E$4002,MATCH(A209,$V$19:$V$4018,0)),D208))</f>
        <v/>
      </c>
      <c r="E209" s="30">
        <f>IF(A209="","",IFERROR(INDEX('자료_한국심리'!$H$3:$H$4002,MATCH(A209,$W$19:$W$4018,0)),E208))</f>
        <v/>
      </c>
      <c r="F209" s="30">
        <f>IF(A209="","",IFERROR(INDEX('자료_한국심리'!$K$3:$K$4002,MATCH(A209,$X$19:$X$4018,0)),F208))</f>
        <v/>
      </c>
      <c r="G209" s="30">
        <f>IF(AND(ISNUMBER(E209),ISNUMBER(F209)),ROUND(E209-F209,6),"")</f>
        <v/>
      </c>
      <c r="H209" s="25">
        <f>IF(A209="","",IFERROR(INDEX('자료_한국심리'!$N$3:$N$4002,MATCH(A209,$Y$19:$Y$4018,0)),H208))</f>
        <v/>
      </c>
      <c r="I209" s="31">
        <f>IF(AND(ISNUMBER(H209),ISNUMBER(H189)),IF(H189&gt;0,H209/H189-1,""),"")</f>
        <v/>
      </c>
      <c r="J209">
        <f>IF(A209="",0,IF(A209&gt;$B$5,1,0))</f>
        <v/>
      </c>
      <c r="K209" s="29">
        <f>IF(AND(J209=1,ISNUMBER(D209)),D209,"")</f>
        <v/>
      </c>
      <c r="L209" s="30">
        <f>IF(AND(J209=1,ISNUMBER(G209)),G209,"")</f>
        <v/>
      </c>
      <c r="M209" s="22">
        <f>IF(AND(J209=1,ISNUMBER(C209)),C209,"")</f>
        <v/>
      </c>
      <c r="N209" s="31">
        <f>IF(AND(J209=1,ISNUMBER(I209)),I209,"")</f>
        <v/>
      </c>
      <c r="O209" s="11">
        <f>IF(K209="","",100-IF($G$13=1,50,(_xlfn.RANK.AVG(K209,$K$19:$K$1518,1)-1)/($G$13-1)*100))</f>
        <v/>
      </c>
      <c r="P209" s="11">
        <f>IF(L209="","",100-IF($G$14=1,50,(_xlfn.RANK.AVG(L209,$L$19:$L$1518,1)-1)/($G$14-1)*100))</f>
        <v/>
      </c>
      <c r="Q209" s="11">
        <f>IF(M209="","",IF($G$15=1,50,(_xlfn.RANK.AVG(M209,$M$19:$M$1518,1)-1)/($G$15-1)*100))</f>
        <v/>
      </c>
      <c r="R209" s="11">
        <f>IF(N209="","",IF($G$16=1,50,(_xlfn.RANK.AVG(N209,$N$19:$N$1518,1)-1)/($G$16-1)*100))</f>
        <v/>
      </c>
      <c r="S209" s="11">
        <f>IF(COUNT(O209:R209)=4,ROUND(AVERAGE(O209:R209),6),"")</f>
        <v/>
      </c>
      <c r="U209">
        <f>IF(AND(ISNUMBER('자료_한국심리'!$A193),ISNUMBER('자료_한국심리'!$B193)),'자료_한국심리'!$A193,"")</f>
        <v/>
      </c>
      <c r="V209">
        <f>IF(AND(ISNUMBER('자료_한국심리'!$D193),ISNUMBER('자료_한국심리'!$E193)),'자료_한국심리'!$D193,"")</f>
        <v/>
      </c>
      <c r="W209">
        <f>IF(AND(ISNUMBER('자료_한국심리'!$G193),ISNUMBER('자료_한국심리'!$H193)),'자료_한국심리'!$G193,"")</f>
        <v/>
      </c>
      <c r="X209">
        <f>IF(AND(ISNUMBER('자료_한국심리'!$J193),ISNUMBER('자료_한국심리'!$K193)),'자료_한국심리'!$J193,"")</f>
        <v/>
      </c>
      <c r="Y209">
        <f>IF(AND(ISNUMBER('자료_한국심리'!$M193),ISNUMBER('자료_한국심리'!$N193)),'자료_한국심리'!$M193,"")</f>
        <v/>
      </c>
    </row>
    <row r="210">
      <c r="A210" s="10">
        <f>IF(192&gt;$E$5,"",SMALL($U$19:$U$4018,$E$6+192))</f>
        <v/>
      </c>
      <c r="B210" s="29">
        <f>IF(A210="","",INDEX('자료_한국심리'!$B$3:$B$4002,MATCH(A210,$U$19:$U$4018,0)))</f>
        <v/>
      </c>
      <c r="C210" s="22">
        <f>IF(A210="","",B210/AVERAGE(B86:B210)-1)</f>
        <v/>
      </c>
      <c r="D210" s="29">
        <f>IF(A210="","",IFERROR(INDEX('자료_한국심리'!$E$3:$E$4002,MATCH(A210,$V$19:$V$4018,0)),D209))</f>
        <v/>
      </c>
      <c r="E210" s="30">
        <f>IF(A210="","",IFERROR(INDEX('자료_한국심리'!$H$3:$H$4002,MATCH(A210,$W$19:$W$4018,0)),E209))</f>
        <v/>
      </c>
      <c r="F210" s="30">
        <f>IF(A210="","",IFERROR(INDEX('자료_한국심리'!$K$3:$K$4002,MATCH(A210,$X$19:$X$4018,0)),F209))</f>
        <v/>
      </c>
      <c r="G210" s="30">
        <f>IF(AND(ISNUMBER(E210),ISNUMBER(F210)),ROUND(E210-F210,6),"")</f>
        <v/>
      </c>
      <c r="H210" s="25">
        <f>IF(A210="","",IFERROR(INDEX('자료_한국심리'!$N$3:$N$4002,MATCH(A210,$Y$19:$Y$4018,0)),H209))</f>
        <v/>
      </c>
      <c r="I210" s="31">
        <f>IF(AND(ISNUMBER(H210),ISNUMBER(H190)),IF(H190&gt;0,H210/H190-1,""),"")</f>
        <v/>
      </c>
      <c r="J210">
        <f>IF(A210="",0,IF(A210&gt;$B$5,1,0))</f>
        <v/>
      </c>
      <c r="K210" s="29">
        <f>IF(AND(J210=1,ISNUMBER(D210)),D210,"")</f>
        <v/>
      </c>
      <c r="L210" s="30">
        <f>IF(AND(J210=1,ISNUMBER(G210)),G210,"")</f>
        <v/>
      </c>
      <c r="M210" s="22">
        <f>IF(AND(J210=1,ISNUMBER(C210)),C210,"")</f>
        <v/>
      </c>
      <c r="N210" s="31">
        <f>IF(AND(J210=1,ISNUMBER(I210)),I210,"")</f>
        <v/>
      </c>
      <c r="O210" s="11">
        <f>IF(K210="","",100-IF($G$13=1,50,(_xlfn.RANK.AVG(K210,$K$19:$K$1518,1)-1)/($G$13-1)*100))</f>
        <v/>
      </c>
      <c r="P210" s="11">
        <f>IF(L210="","",100-IF($G$14=1,50,(_xlfn.RANK.AVG(L210,$L$19:$L$1518,1)-1)/($G$14-1)*100))</f>
        <v/>
      </c>
      <c r="Q210" s="11">
        <f>IF(M210="","",IF($G$15=1,50,(_xlfn.RANK.AVG(M210,$M$19:$M$1518,1)-1)/($G$15-1)*100))</f>
        <v/>
      </c>
      <c r="R210" s="11">
        <f>IF(N210="","",IF($G$16=1,50,(_xlfn.RANK.AVG(N210,$N$19:$N$1518,1)-1)/($G$16-1)*100))</f>
        <v/>
      </c>
      <c r="S210" s="11">
        <f>IF(COUNT(O210:R210)=4,ROUND(AVERAGE(O210:R210),6),"")</f>
        <v/>
      </c>
      <c r="U210">
        <f>IF(AND(ISNUMBER('자료_한국심리'!$A194),ISNUMBER('자료_한국심리'!$B194)),'자료_한국심리'!$A194,"")</f>
        <v/>
      </c>
      <c r="V210">
        <f>IF(AND(ISNUMBER('자료_한국심리'!$D194),ISNUMBER('자료_한국심리'!$E194)),'자료_한국심리'!$D194,"")</f>
        <v/>
      </c>
      <c r="W210">
        <f>IF(AND(ISNUMBER('자료_한국심리'!$G194),ISNUMBER('자료_한국심리'!$H194)),'자료_한국심리'!$G194,"")</f>
        <v/>
      </c>
      <c r="X210">
        <f>IF(AND(ISNUMBER('자료_한국심리'!$J194),ISNUMBER('자료_한국심리'!$K194)),'자료_한국심리'!$J194,"")</f>
        <v/>
      </c>
      <c r="Y210">
        <f>IF(AND(ISNUMBER('자료_한국심리'!$M194),ISNUMBER('자료_한국심리'!$N194)),'자료_한국심리'!$M194,"")</f>
        <v/>
      </c>
    </row>
    <row r="211">
      <c r="A211" s="10">
        <f>IF(193&gt;$E$5,"",SMALL($U$19:$U$4018,$E$6+193))</f>
        <v/>
      </c>
      <c r="B211" s="29">
        <f>IF(A211="","",INDEX('자료_한국심리'!$B$3:$B$4002,MATCH(A211,$U$19:$U$4018,0)))</f>
        <v/>
      </c>
      <c r="C211" s="22">
        <f>IF(A211="","",B211/AVERAGE(B87:B211)-1)</f>
        <v/>
      </c>
      <c r="D211" s="29">
        <f>IF(A211="","",IFERROR(INDEX('자료_한국심리'!$E$3:$E$4002,MATCH(A211,$V$19:$V$4018,0)),D210))</f>
        <v/>
      </c>
      <c r="E211" s="30">
        <f>IF(A211="","",IFERROR(INDEX('자료_한국심리'!$H$3:$H$4002,MATCH(A211,$W$19:$W$4018,0)),E210))</f>
        <v/>
      </c>
      <c r="F211" s="30">
        <f>IF(A211="","",IFERROR(INDEX('자료_한국심리'!$K$3:$K$4002,MATCH(A211,$X$19:$X$4018,0)),F210))</f>
        <v/>
      </c>
      <c r="G211" s="30">
        <f>IF(AND(ISNUMBER(E211),ISNUMBER(F211)),ROUND(E211-F211,6),"")</f>
        <v/>
      </c>
      <c r="H211" s="25">
        <f>IF(A211="","",IFERROR(INDEX('자료_한국심리'!$N$3:$N$4002,MATCH(A211,$Y$19:$Y$4018,0)),H210))</f>
        <v/>
      </c>
      <c r="I211" s="31">
        <f>IF(AND(ISNUMBER(H211),ISNUMBER(H191)),IF(H191&gt;0,H211/H191-1,""),"")</f>
        <v/>
      </c>
      <c r="J211">
        <f>IF(A211="",0,IF(A211&gt;$B$5,1,0))</f>
        <v/>
      </c>
      <c r="K211" s="29">
        <f>IF(AND(J211=1,ISNUMBER(D211)),D211,"")</f>
        <v/>
      </c>
      <c r="L211" s="30">
        <f>IF(AND(J211=1,ISNUMBER(G211)),G211,"")</f>
        <v/>
      </c>
      <c r="M211" s="22">
        <f>IF(AND(J211=1,ISNUMBER(C211)),C211,"")</f>
        <v/>
      </c>
      <c r="N211" s="31">
        <f>IF(AND(J211=1,ISNUMBER(I211)),I211,"")</f>
        <v/>
      </c>
      <c r="O211" s="11">
        <f>IF(K211="","",100-IF($G$13=1,50,(_xlfn.RANK.AVG(K211,$K$19:$K$1518,1)-1)/($G$13-1)*100))</f>
        <v/>
      </c>
      <c r="P211" s="11">
        <f>IF(L211="","",100-IF($G$14=1,50,(_xlfn.RANK.AVG(L211,$L$19:$L$1518,1)-1)/($G$14-1)*100))</f>
        <v/>
      </c>
      <c r="Q211" s="11">
        <f>IF(M211="","",IF($G$15=1,50,(_xlfn.RANK.AVG(M211,$M$19:$M$1518,1)-1)/($G$15-1)*100))</f>
        <v/>
      </c>
      <c r="R211" s="11">
        <f>IF(N211="","",IF($G$16=1,50,(_xlfn.RANK.AVG(N211,$N$19:$N$1518,1)-1)/($G$16-1)*100))</f>
        <v/>
      </c>
      <c r="S211" s="11">
        <f>IF(COUNT(O211:R211)=4,ROUND(AVERAGE(O211:R211),6),"")</f>
        <v/>
      </c>
      <c r="U211">
        <f>IF(AND(ISNUMBER('자료_한국심리'!$A195),ISNUMBER('자료_한국심리'!$B195)),'자료_한국심리'!$A195,"")</f>
        <v/>
      </c>
      <c r="V211">
        <f>IF(AND(ISNUMBER('자료_한국심리'!$D195),ISNUMBER('자료_한국심리'!$E195)),'자료_한국심리'!$D195,"")</f>
        <v/>
      </c>
      <c r="W211">
        <f>IF(AND(ISNUMBER('자료_한국심리'!$G195),ISNUMBER('자료_한국심리'!$H195)),'자료_한국심리'!$G195,"")</f>
        <v/>
      </c>
      <c r="X211">
        <f>IF(AND(ISNUMBER('자료_한국심리'!$J195),ISNUMBER('자료_한국심리'!$K195)),'자료_한국심리'!$J195,"")</f>
        <v/>
      </c>
      <c r="Y211">
        <f>IF(AND(ISNUMBER('자료_한국심리'!$M195),ISNUMBER('자료_한국심리'!$N195)),'자료_한국심리'!$M195,"")</f>
        <v/>
      </c>
    </row>
    <row r="212">
      <c r="A212" s="10">
        <f>IF(194&gt;$E$5,"",SMALL($U$19:$U$4018,$E$6+194))</f>
        <v/>
      </c>
      <c r="B212" s="29">
        <f>IF(A212="","",INDEX('자료_한국심리'!$B$3:$B$4002,MATCH(A212,$U$19:$U$4018,0)))</f>
        <v/>
      </c>
      <c r="C212" s="22">
        <f>IF(A212="","",B212/AVERAGE(B88:B212)-1)</f>
        <v/>
      </c>
      <c r="D212" s="29">
        <f>IF(A212="","",IFERROR(INDEX('자료_한국심리'!$E$3:$E$4002,MATCH(A212,$V$19:$V$4018,0)),D211))</f>
        <v/>
      </c>
      <c r="E212" s="30">
        <f>IF(A212="","",IFERROR(INDEX('자료_한국심리'!$H$3:$H$4002,MATCH(A212,$W$19:$W$4018,0)),E211))</f>
        <v/>
      </c>
      <c r="F212" s="30">
        <f>IF(A212="","",IFERROR(INDEX('자료_한국심리'!$K$3:$K$4002,MATCH(A212,$X$19:$X$4018,0)),F211))</f>
        <v/>
      </c>
      <c r="G212" s="30">
        <f>IF(AND(ISNUMBER(E212),ISNUMBER(F212)),ROUND(E212-F212,6),"")</f>
        <v/>
      </c>
      <c r="H212" s="25">
        <f>IF(A212="","",IFERROR(INDEX('자료_한국심리'!$N$3:$N$4002,MATCH(A212,$Y$19:$Y$4018,0)),H211))</f>
        <v/>
      </c>
      <c r="I212" s="31">
        <f>IF(AND(ISNUMBER(H212),ISNUMBER(H192)),IF(H192&gt;0,H212/H192-1,""),"")</f>
        <v/>
      </c>
      <c r="J212">
        <f>IF(A212="",0,IF(A212&gt;$B$5,1,0))</f>
        <v/>
      </c>
      <c r="K212" s="29">
        <f>IF(AND(J212=1,ISNUMBER(D212)),D212,"")</f>
        <v/>
      </c>
      <c r="L212" s="30">
        <f>IF(AND(J212=1,ISNUMBER(G212)),G212,"")</f>
        <v/>
      </c>
      <c r="M212" s="22">
        <f>IF(AND(J212=1,ISNUMBER(C212)),C212,"")</f>
        <v/>
      </c>
      <c r="N212" s="31">
        <f>IF(AND(J212=1,ISNUMBER(I212)),I212,"")</f>
        <v/>
      </c>
      <c r="O212" s="11">
        <f>IF(K212="","",100-IF($G$13=1,50,(_xlfn.RANK.AVG(K212,$K$19:$K$1518,1)-1)/($G$13-1)*100))</f>
        <v/>
      </c>
      <c r="P212" s="11">
        <f>IF(L212="","",100-IF($G$14=1,50,(_xlfn.RANK.AVG(L212,$L$19:$L$1518,1)-1)/($G$14-1)*100))</f>
        <v/>
      </c>
      <c r="Q212" s="11">
        <f>IF(M212="","",IF($G$15=1,50,(_xlfn.RANK.AVG(M212,$M$19:$M$1518,1)-1)/($G$15-1)*100))</f>
        <v/>
      </c>
      <c r="R212" s="11">
        <f>IF(N212="","",IF($G$16=1,50,(_xlfn.RANK.AVG(N212,$N$19:$N$1518,1)-1)/($G$16-1)*100))</f>
        <v/>
      </c>
      <c r="S212" s="11">
        <f>IF(COUNT(O212:R212)=4,ROUND(AVERAGE(O212:R212),6),"")</f>
        <v/>
      </c>
      <c r="U212">
        <f>IF(AND(ISNUMBER('자료_한국심리'!$A196),ISNUMBER('자료_한국심리'!$B196)),'자료_한국심리'!$A196,"")</f>
        <v/>
      </c>
      <c r="V212">
        <f>IF(AND(ISNUMBER('자료_한국심리'!$D196),ISNUMBER('자료_한국심리'!$E196)),'자료_한국심리'!$D196,"")</f>
        <v/>
      </c>
      <c r="W212">
        <f>IF(AND(ISNUMBER('자료_한국심리'!$G196),ISNUMBER('자료_한국심리'!$H196)),'자료_한국심리'!$G196,"")</f>
        <v/>
      </c>
      <c r="X212">
        <f>IF(AND(ISNUMBER('자료_한국심리'!$J196),ISNUMBER('자료_한국심리'!$K196)),'자료_한국심리'!$J196,"")</f>
        <v/>
      </c>
      <c r="Y212">
        <f>IF(AND(ISNUMBER('자료_한국심리'!$M196),ISNUMBER('자료_한국심리'!$N196)),'자료_한국심리'!$M196,"")</f>
        <v/>
      </c>
    </row>
    <row r="213">
      <c r="A213" s="10">
        <f>IF(195&gt;$E$5,"",SMALL($U$19:$U$4018,$E$6+195))</f>
        <v/>
      </c>
      <c r="B213" s="29">
        <f>IF(A213="","",INDEX('자료_한국심리'!$B$3:$B$4002,MATCH(A213,$U$19:$U$4018,0)))</f>
        <v/>
      </c>
      <c r="C213" s="22">
        <f>IF(A213="","",B213/AVERAGE(B89:B213)-1)</f>
        <v/>
      </c>
      <c r="D213" s="29">
        <f>IF(A213="","",IFERROR(INDEX('자료_한국심리'!$E$3:$E$4002,MATCH(A213,$V$19:$V$4018,0)),D212))</f>
        <v/>
      </c>
      <c r="E213" s="30">
        <f>IF(A213="","",IFERROR(INDEX('자료_한국심리'!$H$3:$H$4002,MATCH(A213,$W$19:$W$4018,0)),E212))</f>
        <v/>
      </c>
      <c r="F213" s="30">
        <f>IF(A213="","",IFERROR(INDEX('자료_한국심리'!$K$3:$K$4002,MATCH(A213,$X$19:$X$4018,0)),F212))</f>
        <v/>
      </c>
      <c r="G213" s="30">
        <f>IF(AND(ISNUMBER(E213),ISNUMBER(F213)),ROUND(E213-F213,6),"")</f>
        <v/>
      </c>
      <c r="H213" s="25">
        <f>IF(A213="","",IFERROR(INDEX('자료_한국심리'!$N$3:$N$4002,MATCH(A213,$Y$19:$Y$4018,0)),H212))</f>
        <v/>
      </c>
      <c r="I213" s="31">
        <f>IF(AND(ISNUMBER(H213),ISNUMBER(H193)),IF(H193&gt;0,H213/H193-1,""),"")</f>
        <v/>
      </c>
      <c r="J213">
        <f>IF(A213="",0,IF(A213&gt;$B$5,1,0))</f>
        <v/>
      </c>
      <c r="K213" s="29">
        <f>IF(AND(J213=1,ISNUMBER(D213)),D213,"")</f>
        <v/>
      </c>
      <c r="L213" s="30">
        <f>IF(AND(J213=1,ISNUMBER(G213)),G213,"")</f>
        <v/>
      </c>
      <c r="M213" s="22">
        <f>IF(AND(J213=1,ISNUMBER(C213)),C213,"")</f>
        <v/>
      </c>
      <c r="N213" s="31">
        <f>IF(AND(J213=1,ISNUMBER(I213)),I213,"")</f>
        <v/>
      </c>
      <c r="O213" s="11">
        <f>IF(K213="","",100-IF($G$13=1,50,(_xlfn.RANK.AVG(K213,$K$19:$K$1518,1)-1)/($G$13-1)*100))</f>
        <v/>
      </c>
      <c r="P213" s="11">
        <f>IF(L213="","",100-IF($G$14=1,50,(_xlfn.RANK.AVG(L213,$L$19:$L$1518,1)-1)/($G$14-1)*100))</f>
        <v/>
      </c>
      <c r="Q213" s="11">
        <f>IF(M213="","",IF($G$15=1,50,(_xlfn.RANK.AVG(M213,$M$19:$M$1518,1)-1)/($G$15-1)*100))</f>
        <v/>
      </c>
      <c r="R213" s="11">
        <f>IF(N213="","",IF($G$16=1,50,(_xlfn.RANK.AVG(N213,$N$19:$N$1518,1)-1)/($G$16-1)*100))</f>
        <v/>
      </c>
      <c r="S213" s="11">
        <f>IF(COUNT(O213:R213)=4,ROUND(AVERAGE(O213:R213),6),"")</f>
        <v/>
      </c>
      <c r="U213">
        <f>IF(AND(ISNUMBER('자료_한국심리'!$A197),ISNUMBER('자료_한국심리'!$B197)),'자료_한국심리'!$A197,"")</f>
        <v/>
      </c>
      <c r="V213">
        <f>IF(AND(ISNUMBER('자료_한국심리'!$D197),ISNUMBER('자료_한국심리'!$E197)),'자료_한국심리'!$D197,"")</f>
        <v/>
      </c>
      <c r="W213">
        <f>IF(AND(ISNUMBER('자료_한국심리'!$G197),ISNUMBER('자료_한국심리'!$H197)),'자료_한국심리'!$G197,"")</f>
        <v/>
      </c>
      <c r="X213">
        <f>IF(AND(ISNUMBER('자료_한국심리'!$J197),ISNUMBER('자료_한국심리'!$K197)),'자료_한국심리'!$J197,"")</f>
        <v/>
      </c>
      <c r="Y213">
        <f>IF(AND(ISNUMBER('자료_한국심리'!$M197),ISNUMBER('자료_한국심리'!$N197)),'자료_한국심리'!$M197,"")</f>
        <v/>
      </c>
    </row>
    <row r="214">
      <c r="A214" s="10">
        <f>IF(196&gt;$E$5,"",SMALL($U$19:$U$4018,$E$6+196))</f>
        <v/>
      </c>
      <c r="B214" s="29">
        <f>IF(A214="","",INDEX('자료_한국심리'!$B$3:$B$4002,MATCH(A214,$U$19:$U$4018,0)))</f>
        <v/>
      </c>
      <c r="C214" s="22">
        <f>IF(A214="","",B214/AVERAGE(B90:B214)-1)</f>
        <v/>
      </c>
      <c r="D214" s="29">
        <f>IF(A214="","",IFERROR(INDEX('자료_한국심리'!$E$3:$E$4002,MATCH(A214,$V$19:$V$4018,0)),D213))</f>
        <v/>
      </c>
      <c r="E214" s="30">
        <f>IF(A214="","",IFERROR(INDEX('자료_한국심리'!$H$3:$H$4002,MATCH(A214,$W$19:$W$4018,0)),E213))</f>
        <v/>
      </c>
      <c r="F214" s="30">
        <f>IF(A214="","",IFERROR(INDEX('자료_한국심리'!$K$3:$K$4002,MATCH(A214,$X$19:$X$4018,0)),F213))</f>
        <v/>
      </c>
      <c r="G214" s="30">
        <f>IF(AND(ISNUMBER(E214),ISNUMBER(F214)),ROUND(E214-F214,6),"")</f>
        <v/>
      </c>
      <c r="H214" s="25">
        <f>IF(A214="","",IFERROR(INDEX('자료_한국심리'!$N$3:$N$4002,MATCH(A214,$Y$19:$Y$4018,0)),H213))</f>
        <v/>
      </c>
      <c r="I214" s="31">
        <f>IF(AND(ISNUMBER(H214),ISNUMBER(H194)),IF(H194&gt;0,H214/H194-1,""),"")</f>
        <v/>
      </c>
      <c r="J214">
        <f>IF(A214="",0,IF(A214&gt;$B$5,1,0))</f>
        <v/>
      </c>
      <c r="K214" s="29">
        <f>IF(AND(J214=1,ISNUMBER(D214)),D214,"")</f>
        <v/>
      </c>
      <c r="L214" s="30">
        <f>IF(AND(J214=1,ISNUMBER(G214)),G214,"")</f>
        <v/>
      </c>
      <c r="M214" s="22">
        <f>IF(AND(J214=1,ISNUMBER(C214)),C214,"")</f>
        <v/>
      </c>
      <c r="N214" s="31">
        <f>IF(AND(J214=1,ISNUMBER(I214)),I214,"")</f>
        <v/>
      </c>
      <c r="O214" s="11">
        <f>IF(K214="","",100-IF($G$13=1,50,(_xlfn.RANK.AVG(K214,$K$19:$K$1518,1)-1)/($G$13-1)*100))</f>
        <v/>
      </c>
      <c r="P214" s="11">
        <f>IF(L214="","",100-IF($G$14=1,50,(_xlfn.RANK.AVG(L214,$L$19:$L$1518,1)-1)/($G$14-1)*100))</f>
        <v/>
      </c>
      <c r="Q214" s="11">
        <f>IF(M214="","",IF($G$15=1,50,(_xlfn.RANK.AVG(M214,$M$19:$M$1518,1)-1)/($G$15-1)*100))</f>
        <v/>
      </c>
      <c r="R214" s="11">
        <f>IF(N214="","",IF($G$16=1,50,(_xlfn.RANK.AVG(N214,$N$19:$N$1518,1)-1)/($G$16-1)*100))</f>
        <v/>
      </c>
      <c r="S214" s="11">
        <f>IF(COUNT(O214:R214)=4,ROUND(AVERAGE(O214:R214),6),"")</f>
        <v/>
      </c>
      <c r="U214">
        <f>IF(AND(ISNUMBER('자료_한국심리'!$A198),ISNUMBER('자료_한국심리'!$B198)),'자료_한국심리'!$A198,"")</f>
        <v/>
      </c>
      <c r="V214">
        <f>IF(AND(ISNUMBER('자료_한국심리'!$D198),ISNUMBER('자료_한국심리'!$E198)),'자료_한국심리'!$D198,"")</f>
        <v/>
      </c>
      <c r="W214">
        <f>IF(AND(ISNUMBER('자료_한국심리'!$G198),ISNUMBER('자료_한국심리'!$H198)),'자료_한국심리'!$G198,"")</f>
        <v/>
      </c>
      <c r="X214">
        <f>IF(AND(ISNUMBER('자료_한국심리'!$J198),ISNUMBER('자료_한국심리'!$K198)),'자료_한국심리'!$J198,"")</f>
        <v/>
      </c>
      <c r="Y214">
        <f>IF(AND(ISNUMBER('자료_한국심리'!$M198),ISNUMBER('자료_한국심리'!$N198)),'자료_한국심리'!$M198,"")</f>
        <v/>
      </c>
    </row>
    <row r="215">
      <c r="A215" s="10">
        <f>IF(197&gt;$E$5,"",SMALL($U$19:$U$4018,$E$6+197))</f>
        <v/>
      </c>
      <c r="B215" s="29">
        <f>IF(A215="","",INDEX('자료_한국심리'!$B$3:$B$4002,MATCH(A215,$U$19:$U$4018,0)))</f>
        <v/>
      </c>
      <c r="C215" s="22">
        <f>IF(A215="","",B215/AVERAGE(B91:B215)-1)</f>
        <v/>
      </c>
      <c r="D215" s="29">
        <f>IF(A215="","",IFERROR(INDEX('자료_한국심리'!$E$3:$E$4002,MATCH(A215,$V$19:$V$4018,0)),D214))</f>
        <v/>
      </c>
      <c r="E215" s="30">
        <f>IF(A215="","",IFERROR(INDEX('자료_한국심리'!$H$3:$H$4002,MATCH(A215,$W$19:$W$4018,0)),E214))</f>
        <v/>
      </c>
      <c r="F215" s="30">
        <f>IF(A215="","",IFERROR(INDEX('자료_한국심리'!$K$3:$K$4002,MATCH(A215,$X$19:$X$4018,0)),F214))</f>
        <v/>
      </c>
      <c r="G215" s="30">
        <f>IF(AND(ISNUMBER(E215),ISNUMBER(F215)),ROUND(E215-F215,6),"")</f>
        <v/>
      </c>
      <c r="H215" s="25">
        <f>IF(A215="","",IFERROR(INDEX('자료_한국심리'!$N$3:$N$4002,MATCH(A215,$Y$19:$Y$4018,0)),H214))</f>
        <v/>
      </c>
      <c r="I215" s="31">
        <f>IF(AND(ISNUMBER(H215),ISNUMBER(H195)),IF(H195&gt;0,H215/H195-1,""),"")</f>
        <v/>
      </c>
      <c r="J215">
        <f>IF(A215="",0,IF(A215&gt;$B$5,1,0))</f>
        <v/>
      </c>
      <c r="K215" s="29">
        <f>IF(AND(J215=1,ISNUMBER(D215)),D215,"")</f>
        <v/>
      </c>
      <c r="L215" s="30">
        <f>IF(AND(J215=1,ISNUMBER(G215)),G215,"")</f>
        <v/>
      </c>
      <c r="M215" s="22">
        <f>IF(AND(J215=1,ISNUMBER(C215)),C215,"")</f>
        <v/>
      </c>
      <c r="N215" s="31">
        <f>IF(AND(J215=1,ISNUMBER(I215)),I215,"")</f>
        <v/>
      </c>
      <c r="O215" s="11">
        <f>IF(K215="","",100-IF($G$13=1,50,(_xlfn.RANK.AVG(K215,$K$19:$K$1518,1)-1)/($G$13-1)*100))</f>
        <v/>
      </c>
      <c r="P215" s="11">
        <f>IF(L215="","",100-IF($G$14=1,50,(_xlfn.RANK.AVG(L215,$L$19:$L$1518,1)-1)/($G$14-1)*100))</f>
        <v/>
      </c>
      <c r="Q215" s="11">
        <f>IF(M215="","",IF($G$15=1,50,(_xlfn.RANK.AVG(M215,$M$19:$M$1518,1)-1)/($G$15-1)*100))</f>
        <v/>
      </c>
      <c r="R215" s="11">
        <f>IF(N215="","",IF($G$16=1,50,(_xlfn.RANK.AVG(N215,$N$19:$N$1518,1)-1)/($G$16-1)*100))</f>
        <v/>
      </c>
      <c r="S215" s="11">
        <f>IF(COUNT(O215:R215)=4,ROUND(AVERAGE(O215:R215),6),"")</f>
        <v/>
      </c>
      <c r="U215">
        <f>IF(AND(ISNUMBER('자료_한국심리'!$A199),ISNUMBER('자료_한국심리'!$B199)),'자료_한국심리'!$A199,"")</f>
        <v/>
      </c>
      <c r="V215">
        <f>IF(AND(ISNUMBER('자료_한국심리'!$D199),ISNUMBER('자료_한국심리'!$E199)),'자료_한국심리'!$D199,"")</f>
        <v/>
      </c>
      <c r="W215">
        <f>IF(AND(ISNUMBER('자료_한국심리'!$G199),ISNUMBER('자료_한국심리'!$H199)),'자료_한국심리'!$G199,"")</f>
        <v/>
      </c>
      <c r="X215">
        <f>IF(AND(ISNUMBER('자료_한국심리'!$J199),ISNUMBER('자료_한국심리'!$K199)),'자료_한국심리'!$J199,"")</f>
        <v/>
      </c>
      <c r="Y215">
        <f>IF(AND(ISNUMBER('자료_한국심리'!$M199),ISNUMBER('자료_한국심리'!$N199)),'자료_한국심리'!$M199,"")</f>
        <v/>
      </c>
    </row>
    <row r="216">
      <c r="A216" s="10">
        <f>IF(198&gt;$E$5,"",SMALL($U$19:$U$4018,$E$6+198))</f>
        <v/>
      </c>
      <c r="B216" s="29">
        <f>IF(A216="","",INDEX('자료_한국심리'!$B$3:$B$4002,MATCH(A216,$U$19:$U$4018,0)))</f>
        <v/>
      </c>
      <c r="C216" s="22">
        <f>IF(A216="","",B216/AVERAGE(B92:B216)-1)</f>
        <v/>
      </c>
      <c r="D216" s="29">
        <f>IF(A216="","",IFERROR(INDEX('자료_한국심리'!$E$3:$E$4002,MATCH(A216,$V$19:$V$4018,0)),D215))</f>
        <v/>
      </c>
      <c r="E216" s="30">
        <f>IF(A216="","",IFERROR(INDEX('자료_한국심리'!$H$3:$H$4002,MATCH(A216,$W$19:$W$4018,0)),E215))</f>
        <v/>
      </c>
      <c r="F216" s="30">
        <f>IF(A216="","",IFERROR(INDEX('자료_한국심리'!$K$3:$K$4002,MATCH(A216,$X$19:$X$4018,0)),F215))</f>
        <v/>
      </c>
      <c r="G216" s="30">
        <f>IF(AND(ISNUMBER(E216),ISNUMBER(F216)),ROUND(E216-F216,6),"")</f>
        <v/>
      </c>
      <c r="H216" s="25">
        <f>IF(A216="","",IFERROR(INDEX('자료_한국심리'!$N$3:$N$4002,MATCH(A216,$Y$19:$Y$4018,0)),H215))</f>
        <v/>
      </c>
      <c r="I216" s="31">
        <f>IF(AND(ISNUMBER(H216),ISNUMBER(H196)),IF(H196&gt;0,H216/H196-1,""),"")</f>
        <v/>
      </c>
      <c r="J216">
        <f>IF(A216="",0,IF(A216&gt;$B$5,1,0))</f>
        <v/>
      </c>
      <c r="K216" s="29">
        <f>IF(AND(J216=1,ISNUMBER(D216)),D216,"")</f>
        <v/>
      </c>
      <c r="L216" s="30">
        <f>IF(AND(J216=1,ISNUMBER(G216)),G216,"")</f>
        <v/>
      </c>
      <c r="M216" s="22">
        <f>IF(AND(J216=1,ISNUMBER(C216)),C216,"")</f>
        <v/>
      </c>
      <c r="N216" s="31">
        <f>IF(AND(J216=1,ISNUMBER(I216)),I216,"")</f>
        <v/>
      </c>
      <c r="O216" s="11">
        <f>IF(K216="","",100-IF($G$13=1,50,(_xlfn.RANK.AVG(K216,$K$19:$K$1518,1)-1)/($G$13-1)*100))</f>
        <v/>
      </c>
      <c r="P216" s="11">
        <f>IF(L216="","",100-IF($G$14=1,50,(_xlfn.RANK.AVG(L216,$L$19:$L$1518,1)-1)/($G$14-1)*100))</f>
        <v/>
      </c>
      <c r="Q216" s="11">
        <f>IF(M216="","",IF($G$15=1,50,(_xlfn.RANK.AVG(M216,$M$19:$M$1518,1)-1)/($G$15-1)*100))</f>
        <v/>
      </c>
      <c r="R216" s="11">
        <f>IF(N216="","",IF($G$16=1,50,(_xlfn.RANK.AVG(N216,$N$19:$N$1518,1)-1)/($G$16-1)*100))</f>
        <v/>
      </c>
      <c r="S216" s="11">
        <f>IF(COUNT(O216:R216)=4,ROUND(AVERAGE(O216:R216),6),"")</f>
        <v/>
      </c>
      <c r="U216">
        <f>IF(AND(ISNUMBER('자료_한국심리'!$A200),ISNUMBER('자료_한국심리'!$B200)),'자료_한국심리'!$A200,"")</f>
        <v/>
      </c>
      <c r="V216">
        <f>IF(AND(ISNUMBER('자료_한국심리'!$D200),ISNUMBER('자료_한국심리'!$E200)),'자료_한국심리'!$D200,"")</f>
        <v/>
      </c>
      <c r="W216">
        <f>IF(AND(ISNUMBER('자료_한국심리'!$G200),ISNUMBER('자료_한국심리'!$H200)),'자료_한국심리'!$G200,"")</f>
        <v/>
      </c>
      <c r="X216">
        <f>IF(AND(ISNUMBER('자료_한국심리'!$J200),ISNUMBER('자료_한국심리'!$K200)),'자료_한국심리'!$J200,"")</f>
        <v/>
      </c>
      <c r="Y216">
        <f>IF(AND(ISNUMBER('자료_한국심리'!$M200),ISNUMBER('자료_한국심리'!$N200)),'자료_한국심리'!$M200,"")</f>
        <v/>
      </c>
    </row>
    <row r="217">
      <c r="A217" s="10">
        <f>IF(199&gt;$E$5,"",SMALL($U$19:$U$4018,$E$6+199))</f>
        <v/>
      </c>
      <c r="B217" s="29">
        <f>IF(A217="","",INDEX('자료_한국심리'!$B$3:$B$4002,MATCH(A217,$U$19:$U$4018,0)))</f>
        <v/>
      </c>
      <c r="C217" s="22">
        <f>IF(A217="","",B217/AVERAGE(B93:B217)-1)</f>
        <v/>
      </c>
      <c r="D217" s="29">
        <f>IF(A217="","",IFERROR(INDEX('자료_한국심리'!$E$3:$E$4002,MATCH(A217,$V$19:$V$4018,0)),D216))</f>
        <v/>
      </c>
      <c r="E217" s="30">
        <f>IF(A217="","",IFERROR(INDEX('자료_한국심리'!$H$3:$H$4002,MATCH(A217,$W$19:$W$4018,0)),E216))</f>
        <v/>
      </c>
      <c r="F217" s="30">
        <f>IF(A217="","",IFERROR(INDEX('자료_한국심리'!$K$3:$K$4002,MATCH(A217,$X$19:$X$4018,0)),F216))</f>
        <v/>
      </c>
      <c r="G217" s="30">
        <f>IF(AND(ISNUMBER(E217),ISNUMBER(F217)),ROUND(E217-F217,6),"")</f>
        <v/>
      </c>
      <c r="H217" s="25">
        <f>IF(A217="","",IFERROR(INDEX('자료_한국심리'!$N$3:$N$4002,MATCH(A217,$Y$19:$Y$4018,0)),H216))</f>
        <v/>
      </c>
      <c r="I217" s="31">
        <f>IF(AND(ISNUMBER(H217),ISNUMBER(H197)),IF(H197&gt;0,H217/H197-1,""),"")</f>
        <v/>
      </c>
      <c r="J217">
        <f>IF(A217="",0,IF(A217&gt;$B$5,1,0))</f>
        <v/>
      </c>
      <c r="K217" s="29">
        <f>IF(AND(J217=1,ISNUMBER(D217)),D217,"")</f>
        <v/>
      </c>
      <c r="L217" s="30">
        <f>IF(AND(J217=1,ISNUMBER(G217)),G217,"")</f>
        <v/>
      </c>
      <c r="M217" s="22">
        <f>IF(AND(J217=1,ISNUMBER(C217)),C217,"")</f>
        <v/>
      </c>
      <c r="N217" s="31">
        <f>IF(AND(J217=1,ISNUMBER(I217)),I217,"")</f>
        <v/>
      </c>
      <c r="O217" s="11">
        <f>IF(K217="","",100-IF($G$13=1,50,(_xlfn.RANK.AVG(K217,$K$19:$K$1518,1)-1)/($G$13-1)*100))</f>
        <v/>
      </c>
      <c r="P217" s="11">
        <f>IF(L217="","",100-IF($G$14=1,50,(_xlfn.RANK.AVG(L217,$L$19:$L$1518,1)-1)/($G$14-1)*100))</f>
        <v/>
      </c>
      <c r="Q217" s="11">
        <f>IF(M217="","",IF($G$15=1,50,(_xlfn.RANK.AVG(M217,$M$19:$M$1518,1)-1)/($G$15-1)*100))</f>
        <v/>
      </c>
      <c r="R217" s="11">
        <f>IF(N217="","",IF($G$16=1,50,(_xlfn.RANK.AVG(N217,$N$19:$N$1518,1)-1)/($G$16-1)*100))</f>
        <v/>
      </c>
      <c r="S217" s="11">
        <f>IF(COUNT(O217:R217)=4,ROUND(AVERAGE(O217:R217),6),"")</f>
        <v/>
      </c>
      <c r="U217">
        <f>IF(AND(ISNUMBER('자료_한국심리'!$A201),ISNUMBER('자료_한국심리'!$B201)),'자료_한국심리'!$A201,"")</f>
        <v/>
      </c>
      <c r="V217">
        <f>IF(AND(ISNUMBER('자료_한국심리'!$D201),ISNUMBER('자료_한국심리'!$E201)),'자료_한국심리'!$D201,"")</f>
        <v/>
      </c>
      <c r="W217">
        <f>IF(AND(ISNUMBER('자료_한국심리'!$G201),ISNUMBER('자료_한국심리'!$H201)),'자료_한국심리'!$G201,"")</f>
        <v/>
      </c>
      <c r="X217">
        <f>IF(AND(ISNUMBER('자료_한국심리'!$J201),ISNUMBER('자료_한국심리'!$K201)),'자료_한국심리'!$J201,"")</f>
        <v/>
      </c>
      <c r="Y217">
        <f>IF(AND(ISNUMBER('자료_한국심리'!$M201),ISNUMBER('자료_한국심리'!$N201)),'자료_한국심리'!$M201,"")</f>
        <v/>
      </c>
    </row>
    <row r="218">
      <c r="A218" s="10">
        <f>IF(200&gt;$E$5,"",SMALL($U$19:$U$4018,$E$6+200))</f>
        <v/>
      </c>
      <c r="B218" s="29">
        <f>IF(A218="","",INDEX('자료_한국심리'!$B$3:$B$4002,MATCH(A218,$U$19:$U$4018,0)))</f>
        <v/>
      </c>
      <c r="C218" s="22">
        <f>IF(A218="","",B218/AVERAGE(B94:B218)-1)</f>
        <v/>
      </c>
      <c r="D218" s="29">
        <f>IF(A218="","",IFERROR(INDEX('자료_한국심리'!$E$3:$E$4002,MATCH(A218,$V$19:$V$4018,0)),D217))</f>
        <v/>
      </c>
      <c r="E218" s="30">
        <f>IF(A218="","",IFERROR(INDEX('자료_한국심리'!$H$3:$H$4002,MATCH(A218,$W$19:$W$4018,0)),E217))</f>
        <v/>
      </c>
      <c r="F218" s="30">
        <f>IF(A218="","",IFERROR(INDEX('자료_한국심리'!$K$3:$K$4002,MATCH(A218,$X$19:$X$4018,0)),F217))</f>
        <v/>
      </c>
      <c r="G218" s="30">
        <f>IF(AND(ISNUMBER(E218),ISNUMBER(F218)),ROUND(E218-F218,6),"")</f>
        <v/>
      </c>
      <c r="H218" s="25">
        <f>IF(A218="","",IFERROR(INDEX('자료_한국심리'!$N$3:$N$4002,MATCH(A218,$Y$19:$Y$4018,0)),H217))</f>
        <v/>
      </c>
      <c r="I218" s="31">
        <f>IF(AND(ISNUMBER(H218),ISNUMBER(H198)),IF(H198&gt;0,H218/H198-1,""),"")</f>
        <v/>
      </c>
      <c r="J218">
        <f>IF(A218="",0,IF(A218&gt;$B$5,1,0))</f>
        <v/>
      </c>
      <c r="K218" s="29">
        <f>IF(AND(J218=1,ISNUMBER(D218)),D218,"")</f>
        <v/>
      </c>
      <c r="L218" s="30">
        <f>IF(AND(J218=1,ISNUMBER(G218)),G218,"")</f>
        <v/>
      </c>
      <c r="M218" s="22">
        <f>IF(AND(J218=1,ISNUMBER(C218)),C218,"")</f>
        <v/>
      </c>
      <c r="N218" s="31">
        <f>IF(AND(J218=1,ISNUMBER(I218)),I218,"")</f>
        <v/>
      </c>
      <c r="O218" s="11">
        <f>IF(K218="","",100-IF($G$13=1,50,(_xlfn.RANK.AVG(K218,$K$19:$K$1518,1)-1)/($G$13-1)*100))</f>
        <v/>
      </c>
      <c r="P218" s="11">
        <f>IF(L218="","",100-IF($G$14=1,50,(_xlfn.RANK.AVG(L218,$L$19:$L$1518,1)-1)/($G$14-1)*100))</f>
        <v/>
      </c>
      <c r="Q218" s="11">
        <f>IF(M218="","",IF($G$15=1,50,(_xlfn.RANK.AVG(M218,$M$19:$M$1518,1)-1)/($G$15-1)*100))</f>
        <v/>
      </c>
      <c r="R218" s="11">
        <f>IF(N218="","",IF($G$16=1,50,(_xlfn.RANK.AVG(N218,$N$19:$N$1518,1)-1)/($G$16-1)*100))</f>
        <v/>
      </c>
      <c r="S218" s="11">
        <f>IF(COUNT(O218:R218)=4,ROUND(AVERAGE(O218:R218),6),"")</f>
        <v/>
      </c>
      <c r="U218">
        <f>IF(AND(ISNUMBER('자료_한국심리'!$A202),ISNUMBER('자료_한국심리'!$B202)),'자료_한국심리'!$A202,"")</f>
        <v/>
      </c>
      <c r="V218">
        <f>IF(AND(ISNUMBER('자료_한국심리'!$D202),ISNUMBER('자료_한국심리'!$E202)),'자료_한국심리'!$D202,"")</f>
        <v/>
      </c>
      <c r="W218">
        <f>IF(AND(ISNUMBER('자료_한국심리'!$G202),ISNUMBER('자료_한국심리'!$H202)),'자료_한국심리'!$G202,"")</f>
        <v/>
      </c>
      <c r="X218">
        <f>IF(AND(ISNUMBER('자료_한국심리'!$J202),ISNUMBER('자료_한국심리'!$K202)),'자료_한국심리'!$J202,"")</f>
        <v/>
      </c>
      <c r="Y218">
        <f>IF(AND(ISNUMBER('자료_한국심리'!$M202),ISNUMBER('자료_한국심리'!$N202)),'자료_한국심리'!$M202,"")</f>
        <v/>
      </c>
    </row>
    <row r="219">
      <c r="A219" s="10">
        <f>IF(201&gt;$E$5,"",SMALL($U$19:$U$4018,$E$6+201))</f>
        <v/>
      </c>
      <c r="B219" s="29">
        <f>IF(A219="","",INDEX('자료_한국심리'!$B$3:$B$4002,MATCH(A219,$U$19:$U$4018,0)))</f>
        <v/>
      </c>
      <c r="C219" s="22">
        <f>IF(A219="","",B219/AVERAGE(B95:B219)-1)</f>
        <v/>
      </c>
      <c r="D219" s="29">
        <f>IF(A219="","",IFERROR(INDEX('자료_한국심리'!$E$3:$E$4002,MATCH(A219,$V$19:$V$4018,0)),D218))</f>
        <v/>
      </c>
      <c r="E219" s="30">
        <f>IF(A219="","",IFERROR(INDEX('자료_한국심리'!$H$3:$H$4002,MATCH(A219,$W$19:$W$4018,0)),E218))</f>
        <v/>
      </c>
      <c r="F219" s="30">
        <f>IF(A219="","",IFERROR(INDEX('자료_한국심리'!$K$3:$K$4002,MATCH(A219,$X$19:$X$4018,0)),F218))</f>
        <v/>
      </c>
      <c r="G219" s="30">
        <f>IF(AND(ISNUMBER(E219),ISNUMBER(F219)),ROUND(E219-F219,6),"")</f>
        <v/>
      </c>
      <c r="H219" s="25">
        <f>IF(A219="","",IFERROR(INDEX('자료_한국심리'!$N$3:$N$4002,MATCH(A219,$Y$19:$Y$4018,0)),H218))</f>
        <v/>
      </c>
      <c r="I219" s="31">
        <f>IF(AND(ISNUMBER(H219),ISNUMBER(H199)),IF(H199&gt;0,H219/H199-1,""),"")</f>
        <v/>
      </c>
      <c r="J219">
        <f>IF(A219="",0,IF(A219&gt;$B$5,1,0))</f>
        <v/>
      </c>
      <c r="K219" s="29">
        <f>IF(AND(J219=1,ISNUMBER(D219)),D219,"")</f>
        <v/>
      </c>
      <c r="L219" s="30">
        <f>IF(AND(J219=1,ISNUMBER(G219)),G219,"")</f>
        <v/>
      </c>
      <c r="M219" s="22">
        <f>IF(AND(J219=1,ISNUMBER(C219)),C219,"")</f>
        <v/>
      </c>
      <c r="N219" s="31">
        <f>IF(AND(J219=1,ISNUMBER(I219)),I219,"")</f>
        <v/>
      </c>
      <c r="O219" s="11">
        <f>IF(K219="","",100-IF($G$13=1,50,(_xlfn.RANK.AVG(K219,$K$19:$K$1518,1)-1)/($G$13-1)*100))</f>
        <v/>
      </c>
      <c r="P219" s="11">
        <f>IF(L219="","",100-IF($G$14=1,50,(_xlfn.RANK.AVG(L219,$L$19:$L$1518,1)-1)/($G$14-1)*100))</f>
        <v/>
      </c>
      <c r="Q219" s="11">
        <f>IF(M219="","",IF($G$15=1,50,(_xlfn.RANK.AVG(M219,$M$19:$M$1518,1)-1)/($G$15-1)*100))</f>
        <v/>
      </c>
      <c r="R219" s="11">
        <f>IF(N219="","",IF($G$16=1,50,(_xlfn.RANK.AVG(N219,$N$19:$N$1518,1)-1)/($G$16-1)*100))</f>
        <v/>
      </c>
      <c r="S219" s="11">
        <f>IF(COUNT(O219:R219)=4,ROUND(AVERAGE(O219:R219),6),"")</f>
        <v/>
      </c>
      <c r="U219">
        <f>IF(AND(ISNUMBER('자료_한국심리'!$A203),ISNUMBER('자료_한국심리'!$B203)),'자료_한국심리'!$A203,"")</f>
        <v/>
      </c>
      <c r="V219">
        <f>IF(AND(ISNUMBER('자료_한국심리'!$D203),ISNUMBER('자료_한국심리'!$E203)),'자료_한국심리'!$D203,"")</f>
        <v/>
      </c>
      <c r="W219">
        <f>IF(AND(ISNUMBER('자료_한국심리'!$G203),ISNUMBER('자료_한국심리'!$H203)),'자료_한국심리'!$G203,"")</f>
        <v/>
      </c>
      <c r="X219">
        <f>IF(AND(ISNUMBER('자료_한국심리'!$J203),ISNUMBER('자료_한국심리'!$K203)),'자료_한국심리'!$J203,"")</f>
        <v/>
      </c>
      <c r="Y219">
        <f>IF(AND(ISNUMBER('자료_한국심리'!$M203),ISNUMBER('자료_한국심리'!$N203)),'자료_한국심리'!$M203,"")</f>
        <v/>
      </c>
    </row>
    <row r="220">
      <c r="A220" s="10">
        <f>IF(202&gt;$E$5,"",SMALL($U$19:$U$4018,$E$6+202))</f>
        <v/>
      </c>
      <c r="B220" s="29">
        <f>IF(A220="","",INDEX('자료_한국심리'!$B$3:$B$4002,MATCH(A220,$U$19:$U$4018,0)))</f>
        <v/>
      </c>
      <c r="C220" s="22">
        <f>IF(A220="","",B220/AVERAGE(B96:B220)-1)</f>
        <v/>
      </c>
      <c r="D220" s="29">
        <f>IF(A220="","",IFERROR(INDEX('자료_한국심리'!$E$3:$E$4002,MATCH(A220,$V$19:$V$4018,0)),D219))</f>
        <v/>
      </c>
      <c r="E220" s="30">
        <f>IF(A220="","",IFERROR(INDEX('자료_한국심리'!$H$3:$H$4002,MATCH(A220,$W$19:$W$4018,0)),E219))</f>
        <v/>
      </c>
      <c r="F220" s="30">
        <f>IF(A220="","",IFERROR(INDEX('자료_한국심리'!$K$3:$K$4002,MATCH(A220,$X$19:$X$4018,0)),F219))</f>
        <v/>
      </c>
      <c r="G220" s="30">
        <f>IF(AND(ISNUMBER(E220),ISNUMBER(F220)),ROUND(E220-F220,6),"")</f>
        <v/>
      </c>
      <c r="H220" s="25">
        <f>IF(A220="","",IFERROR(INDEX('자료_한국심리'!$N$3:$N$4002,MATCH(A220,$Y$19:$Y$4018,0)),H219))</f>
        <v/>
      </c>
      <c r="I220" s="31">
        <f>IF(AND(ISNUMBER(H220),ISNUMBER(H200)),IF(H200&gt;0,H220/H200-1,""),"")</f>
        <v/>
      </c>
      <c r="J220">
        <f>IF(A220="",0,IF(A220&gt;$B$5,1,0))</f>
        <v/>
      </c>
      <c r="K220" s="29">
        <f>IF(AND(J220=1,ISNUMBER(D220)),D220,"")</f>
        <v/>
      </c>
      <c r="L220" s="30">
        <f>IF(AND(J220=1,ISNUMBER(G220)),G220,"")</f>
        <v/>
      </c>
      <c r="M220" s="22">
        <f>IF(AND(J220=1,ISNUMBER(C220)),C220,"")</f>
        <v/>
      </c>
      <c r="N220" s="31">
        <f>IF(AND(J220=1,ISNUMBER(I220)),I220,"")</f>
        <v/>
      </c>
      <c r="O220" s="11">
        <f>IF(K220="","",100-IF($G$13=1,50,(_xlfn.RANK.AVG(K220,$K$19:$K$1518,1)-1)/($G$13-1)*100))</f>
        <v/>
      </c>
      <c r="P220" s="11">
        <f>IF(L220="","",100-IF($G$14=1,50,(_xlfn.RANK.AVG(L220,$L$19:$L$1518,1)-1)/($G$14-1)*100))</f>
        <v/>
      </c>
      <c r="Q220" s="11">
        <f>IF(M220="","",IF($G$15=1,50,(_xlfn.RANK.AVG(M220,$M$19:$M$1518,1)-1)/($G$15-1)*100))</f>
        <v/>
      </c>
      <c r="R220" s="11">
        <f>IF(N220="","",IF($G$16=1,50,(_xlfn.RANK.AVG(N220,$N$19:$N$1518,1)-1)/($G$16-1)*100))</f>
        <v/>
      </c>
      <c r="S220" s="11">
        <f>IF(COUNT(O220:R220)=4,ROUND(AVERAGE(O220:R220),6),"")</f>
        <v/>
      </c>
      <c r="U220">
        <f>IF(AND(ISNUMBER('자료_한국심리'!$A204),ISNUMBER('자료_한국심리'!$B204)),'자료_한국심리'!$A204,"")</f>
        <v/>
      </c>
      <c r="V220">
        <f>IF(AND(ISNUMBER('자료_한국심리'!$D204),ISNUMBER('자료_한국심리'!$E204)),'자료_한국심리'!$D204,"")</f>
        <v/>
      </c>
      <c r="W220">
        <f>IF(AND(ISNUMBER('자료_한국심리'!$G204),ISNUMBER('자료_한국심리'!$H204)),'자료_한국심리'!$G204,"")</f>
        <v/>
      </c>
      <c r="X220">
        <f>IF(AND(ISNUMBER('자료_한국심리'!$J204),ISNUMBER('자료_한국심리'!$K204)),'자료_한국심리'!$J204,"")</f>
        <v/>
      </c>
      <c r="Y220">
        <f>IF(AND(ISNUMBER('자료_한국심리'!$M204),ISNUMBER('자료_한국심리'!$N204)),'자료_한국심리'!$M204,"")</f>
        <v/>
      </c>
    </row>
    <row r="221">
      <c r="A221" s="10">
        <f>IF(203&gt;$E$5,"",SMALL($U$19:$U$4018,$E$6+203))</f>
        <v/>
      </c>
      <c r="B221" s="29">
        <f>IF(A221="","",INDEX('자료_한국심리'!$B$3:$B$4002,MATCH(A221,$U$19:$U$4018,0)))</f>
        <v/>
      </c>
      <c r="C221" s="22">
        <f>IF(A221="","",B221/AVERAGE(B97:B221)-1)</f>
        <v/>
      </c>
      <c r="D221" s="29">
        <f>IF(A221="","",IFERROR(INDEX('자료_한국심리'!$E$3:$E$4002,MATCH(A221,$V$19:$V$4018,0)),D220))</f>
        <v/>
      </c>
      <c r="E221" s="30">
        <f>IF(A221="","",IFERROR(INDEX('자료_한국심리'!$H$3:$H$4002,MATCH(A221,$W$19:$W$4018,0)),E220))</f>
        <v/>
      </c>
      <c r="F221" s="30">
        <f>IF(A221="","",IFERROR(INDEX('자료_한국심리'!$K$3:$K$4002,MATCH(A221,$X$19:$X$4018,0)),F220))</f>
        <v/>
      </c>
      <c r="G221" s="30">
        <f>IF(AND(ISNUMBER(E221),ISNUMBER(F221)),ROUND(E221-F221,6),"")</f>
        <v/>
      </c>
      <c r="H221" s="25">
        <f>IF(A221="","",IFERROR(INDEX('자료_한국심리'!$N$3:$N$4002,MATCH(A221,$Y$19:$Y$4018,0)),H220))</f>
        <v/>
      </c>
      <c r="I221" s="31">
        <f>IF(AND(ISNUMBER(H221),ISNUMBER(H201)),IF(H201&gt;0,H221/H201-1,""),"")</f>
        <v/>
      </c>
      <c r="J221">
        <f>IF(A221="",0,IF(A221&gt;$B$5,1,0))</f>
        <v/>
      </c>
      <c r="K221" s="29">
        <f>IF(AND(J221=1,ISNUMBER(D221)),D221,"")</f>
        <v/>
      </c>
      <c r="L221" s="30">
        <f>IF(AND(J221=1,ISNUMBER(G221)),G221,"")</f>
        <v/>
      </c>
      <c r="M221" s="22">
        <f>IF(AND(J221=1,ISNUMBER(C221)),C221,"")</f>
        <v/>
      </c>
      <c r="N221" s="31">
        <f>IF(AND(J221=1,ISNUMBER(I221)),I221,"")</f>
        <v/>
      </c>
      <c r="O221" s="11">
        <f>IF(K221="","",100-IF($G$13=1,50,(_xlfn.RANK.AVG(K221,$K$19:$K$1518,1)-1)/($G$13-1)*100))</f>
        <v/>
      </c>
      <c r="P221" s="11">
        <f>IF(L221="","",100-IF($G$14=1,50,(_xlfn.RANK.AVG(L221,$L$19:$L$1518,1)-1)/($G$14-1)*100))</f>
        <v/>
      </c>
      <c r="Q221" s="11">
        <f>IF(M221="","",IF($G$15=1,50,(_xlfn.RANK.AVG(M221,$M$19:$M$1518,1)-1)/($G$15-1)*100))</f>
        <v/>
      </c>
      <c r="R221" s="11">
        <f>IF(N221="","",IF($G$16=1,50,(_xlfn.RANK.AVG(N221,$N$19:$N$1518,1)-1)/($G$16-1)*100))</f>
        <v/>
      </c>
      <c r="S221" s="11">
        <f>IF(COUNT(O221:R221)=4,ROUND(AVERAGE(O221:R221),6),"")</f>
        <v/>
      </c>
      <c r="U221">
        <f>IF(AND(ISNUMBER('자료_한국심리'!$A205),ISNUMBER('자료_한국심리'!$B205)),'자료_한국심리'!$A205,"")</f>
        <v/>
      </c>
      <c r="V221">
        <f>IF(AND(ISNUMBER('자료_한국심리'!$D205),ISNUMBER('자료_한국심리'!$E205)),'자료_한국심리'!$D205,"")</f>
        <v/>
      </c>
      <c r="W221">
        <f>IF(AND(ISNUMBER('자료_한국심리'!$G205),ISNUMBER('자료_한국심리'!$H205)),'자료_한국심리'!$G205,"")</f>
        <v/>
      </c>
      <c r="X221">
        <f>IF(AND(ISNUMBER('자료_한국심리'!$J205),ISNUMBER('자료_한국심리'!$K205)),'자료_한국심리'!$J205,"")</f>
        <v/>
      </c>
      <c r="Y221">
        <f>IF(AND(ISNUMBER('자료_한국심리'!$M205),ISNUMBER('자료_한국심리'!$N205)),'자료_한국심리'!$M205,"")</f>
        <v/>
      </c>
    </row>
    <row r="222">
      <c r="A222" s="10">
        <f>IF(204&gt;$E$5,"",SMALL($U$19:$U$4018,$E$6+204))</f>
        <v/>
      </c>
      <c r="B222" s="29">
        <f>IF(A222="","",INDEX('자료_한국심리'!$B$3:$B$4002,MATCH(A222,$U$19:$U$4018,0)))</f>
        <v/>
      </c>
      <c r="C222" s="22">
        <f>IF(A222="","",B222/AVERAGE(B98:B222)-1)</f>
        <v/>
      </c>
      <c r="D222" s="29">
        <f>IF(A222="","",IFERROR(INDEX('자료_한국심리'!$E$3:$E$4002,MATCH(A222,$V$19:$V$4018,0)),D221))</f>
        <v/>
      </c>
      <c r="E222" s="30">
        <f>IF(A222="","",IFERROR(INDEX('자료_한국심리'!$H$3:$H$4002,MATCH(A222,$W$19:$W$4018,0)),E221))</f>
        <v/>
      </c>
      <c r="F222" s="30">
        <f>IF(A222="","",IFERROR(INDEX('자료_한국심리'!$K$3:$K$4002,MATCH(A222,$X$19:$X$4018,0)),F221))</f>
        <v/>
      </c>
      <c r="G222" s="30">
        <f>IF(AND(ISNUMBER(E222),ISNUMBER(F222)),ROUND(E222-F222,6),"")</f>
        <v/>
      </c>
      <c r="H222" s="25">
        <f>IF(A222="","",IFERROR(INDEX('자료_한국심리'!$N$3:$N$4002,MATCH(A222,$Y$19:$Y$4018,0)),H221))</f>
        <v/>
      </c>
      <c r="I222" s="31">
        <f>IF(AND(ISNUMBER(H222),ISNUMBER(H202)),IF(H202&gt;0,H222/H202-1,""),"")</f>
        <v/>
      </c>
      <c r="J222">
        <f>IF(A222="",0,IF(A222&gt;$B$5,1,0))</f>
        <v/>
      </c>
      <c r="K222" s="29">
        <f>IF(AND(J222=1,ISNUMBER(D222)),D222,"")</f>
        <v/>
      </c>
      <c r="L222" s="30">
        <f>IF(AND(J222=1,ISNUMBER(G222)),G222,"")</f>
        <v/>
      </c>
      <c r="M222" s="22">
        <f>IF(AND(J222=1,ISNUMBER(C222)),C222,"")</f>
        <v/>
      </c>
      <c r="N222" s="31">
        <f>IF(AND(J222=1,ISNUMBER(I222)),I222,"")</f>
        <v/>
      </c>
      <c r="O222" s="11">
        <f>IF(K222="","",100-IF($G$13=1,50,(_xlfn.RANK.AVG(K222,$K$19:$K$1518,1)-1)/($G$13-1)*100))</f>
        <v/>
      </c>
      <c r="P222" s="11">
        <f>IF(L222="","",100-IF($G$14=1,50,(_xlfn.RANK.AVG(L222,$L$19:$L$1518,1)-1)/($G$14-1)*100))</f>
        <v/>
      </c>
      <c r="Q222" s="11">
        <f>IF(M222="","",IF($G$15=1,50,(_xlfn.RANK.AVG(M222,$M$19:$M$1518,1)-1)/($G$15-1)*100))</f>
        <v/>
      </c>
      <c r="R222" s="11">
        <f>IF(N222="","",IF($G$16=1,50,(_xlfn.RANK.AVG(N222,$N$19:$N$1518,1)-1)/($G$16-1)*100))</f>
        <v/>
      </c>
      <c r="S222" s="11">
        <f>IF(COUNT(O222:R222)=4,ROUND(AVERAGE(O222:R222),6),"")</f>
        <v/>
      </c>
      <c r="U222">
        <f>IF(AND(ISNUMBER('자료_한국심리'!$A206),ISNUMBER('자료_한국심리'!$B206)),'자료_한국심리'!$A206,"")</f>
        <v/>
      </c>
      <c r="V222">
        <f>IF(AND(ISNUMBER('자료_한국심리'!$D206),ISNUMBER('자료_한국심리'!$E206)),'자료_한국심리'!$D206,"")</f>
        <v/>
      </c>
      <c r="W222">
        <f>IF(AND(ISNUMBER('자료_한국심리'!$G206),ISNUMBER('자료_한국심리'!$H206)),'자료_한국심리'!$G206,"")</f>
        <v/>
      </c>
      <c r="X222">
        <f>IF(AND(ISNUMBER('자료_한국심리'!$J206),ISNUMBER('자료_한국심리'!$K206)),'자료_한국심리'!$J206,"")</f>
        <v/>
      </c>
      <c r="Y222">
        <f>IF(AND(ISNUMBER('자료_한국심리'!$M206),ISNUMBER('자료_한국심리'!$N206)),'자료_한국심리'!$M206,"")</f>
        <v/>
      </c>
    </row>
    <row r="223">
      <c r="A223" s="10">
        <f>IF(205&gt;$E$5,"",SMALL($U$19:$U$4018,$E$6+205))</f>
        <v/>
      </c>
      <c r="B223" s="29">
        <f>IF(A223="","",INDEX('자료_한국심리'!$B$3:$B$4002,MATCH(A223,$U$19:$U$4018,0)))</f>
        <v/>
      </c>
      <c r="C223" s="22">
        <f>IF(A223="","",B223/AVERAGE(B99:B223)-1)</f>
        <v/>
      </c>
      <c r="D223" s="29">
        <f>IF(A223="","",IFERROR(INDEX('자료_한국심리'!$E$3:$E$4002,MATCH(A223,$V$19:$V$4018,0)),D222))</f>
        <v/>
      </c>
      <c r="E223" s="30">
        <f>IF(A223="","",IFERROR(INDEX('자료_한국심리'!$H$3:$H$4002,MATCH(A223,$W$19:$W$4018,0)),E222))</f>
        <v/>
      </c>
      <c r="F223" s="30">
        <f>IF(A223="","",IFERROR(INDEX('자료_한국심리'!$K$3:$K$4002,MATCH(A223,$X$19:$X$4018,0)),F222))</f>
        <v/>
      </c>
      <c r="G223" s="30">
        <f>IF(AND(ISNUMBER(E223),ISNUMBER(F223)),ROUND(E223-F223,6),"")</f>
        <v/>
      </c>
      <c r="H223" s="25">
        <f>IF(A223="","",IFERROR(INDEX('자료_한국심리'!$N$3:$N$4002,MATCH(A223,$Y$19:$Y$4018,0)),H222))</f>
        <v/>
      </c>
      <c r="I223" s="31">
        <f>IF(AND(ISNUMBER(H223),ISNUMBER(H203)),IF(H203&gt;0,H223/H203-1,""),"")</f>
        <v/>
      </c>
      <c r="J223">
        <f>IF(A223="",0,IF(A223&gt;$B$5,1,0))</f>
        <v/>
      </c>
      <c r="K223" s="29">
        <f>IF(AND(J223=1,ISNUMBER(D223)),D223,"")</f>
        <v/>
      </c>
      <c r="L223" s="30">
        <f>IF(AND(J223=1,ISNUMBER(G223)),G223,"")</f>
        <v/>
      </c>
      <c r="M223" s="22">
        <f>IF(AND(J223=1,ISNUMBER(C223)),C223,"")</f>
        <v/>
      </c>
      <c r="N223" s="31">
        <f>IF(AND(J223=1,ISNUMBER(I223)),I223,"")</f>
        <v/>
      </c>
      <c r="O223" s="11">
        <f>IF(K223="","",100-IF($G$13=1,50,(_xlfn.RANK.AVG(K223,$K$19:$K$1518,1)-1)/($G$13-1)*100))</f>
        <v/>
      </c>
      <c r="P223" s="11">
        <f>IF(L223="","",100-IF($G$14=1,50,(_xlfn.RANK.AVG(L223,$L$19:$L$1518,1)-1)/($G$14-1)*100))</f>
        <v/>
      </c>
      <c r="Q223" s="11">
        <f>IF(M223="","",IF($G$15=1,50,(_xlfn.RANK.AVG(M223,$M$19:$M$1518,1)-1)/($G$15-1)*100))</f>
        <v/>
      </c>
      <c r="R223" s="11">
        <f>IF(N223="","",IF($G$16=1,50,(_xlfn.RANK.AVG(N223,$N$19:$N$1518,1)-1)/($G$16-1)*100))</f>
        <v/>
      </c>
      <c r="S223" s="11">
        <f>IF(COUNT(O223:R223)=4,ROUND(AVERAGE(O223:R223),6),"")</f>
        <v/>
      </c>
      <c r="U223">
        <f>IF(AND(ISNUMBER('자료_한국심리'!$A207),ISNUMBER('자료_한국심리'!$B207)),'자료_한국심리'!$A207,"")</f>
        <v/>
      </c>
      <c r="V223">
        <f>IF(AND(ISNUMBER('자료_한국심리'!$D207),ISNUMBER('자료_한국심리'!$E207)),'자료_한국심리'!$D207,"")</f>
        <v/>
      </c>
      <c r="W223">
        <f>IF(AND(ISNUMBER('자료_한국심리'!$G207),ISNUMBER('자료_한국심리'!$H207)),'자료_한국심리'!$G207,"")</f>
        <v/>
      </c>
      <c r="X223">
        <f>IF(AND(ISNUMBER('자료_한국심리'!$J207),ISNUMBER('자료_한국심리'!$K207)),'자료_한국심리'!$J207,"")</f>
        <v/>
      </c>
      <c r="Y223">
        <f>IF(AND(ISNUMBER('자료_한국심리'!$M207),ISNUMBER('자료_한국심리'!$N207)),'자료_한국심리'!$M207,"")</f>
        <v/>
      </c>
    </row>
    <row r="224">
      <c r="A224" s="10">
        <f>IF(206&gt;$E$5,"",SMALL($U$19:$U$4018,$E$6+206))</f>
        <v/>
      </c>
      <c r="B224" s="29">
        <f>IF(A224="","",INDEX('자료_한국심리'!$B$3:$B$4002,MATCH(A224,$U$19:$U$4018,0)))</f>
        <v/>
      </c>
      <c r="C224" s="22">
        <f>IF(A224="","",B224/AVERAGE(B100:B224)-1)</f>
        <v/>
      </c>
      <c r="D224" s="29">
        <f>IF(A224="","",IFERROR(INDEX('자료_한국심리'!$E$3:$E$4002,MATCH(A224,$V$19:$V$4018,0)),D223))</f>
        <v/>
      </c>
      <c r="E224" s="30">
        <f>IF(A224="","",IFERROR(INDEX('자료_한국심리'!$H$3:$H$4002,MATCH(A224,$W$19:$W$4018,0)),E223))</f>
        <v/>
      </c>
      <c r="F224" s="30">
        <f>IF(A224="","",IFERROR(INDEX('자료_한국심리'!$K$3:$K$4002,MATCH(A224,$X$19:$X$4018,0)),F223))</f>
        <v/>
      </c>
      <c r="G224" s="30">
        <f>IF(AND(ISNUMBER(E224),ISNUMBER(F224)),ROUND(E224-F224,6),"")</f>
        <v/>
      </c>
      <c r="H224" s="25">
        <f>IF(A224="","",IFERROR(INDEX('자료_한국심리'!$N$3:$N$4002,MATCH(A224,$Y$19:$Y$4018,0)),H223))</f>
        <v/>
      </c>
      <c r="I224" s="31">
        <f>IF(AND(ISNUMBER(H224),ISNUMBER(H204)),IF(H204&gt;0,H224/H204-1,""),"")</f>
        <v/>
      </c>
      <c r="J224">
        <f>IF(A224="",0,IF(A224&gt;$B$5,1,0))</f>
        <v/>
      </c>
      <c r="K224" s="29">
        <f>IF(AND(J224=1,ISNUMBER(D224)),D224,"")</f>
        <v/>
      </c>
      <c r="L224" s="30">
        <f>IF(AND(J224=1,ISNUMBER(G224)),G224,"")</f>
        <v/>
      </c>
      <c r="M224" s="22">
        <f>IF(AND(J224=1,ISNUMBER(C224)),C224,"")</f>
        <v/>
      </c>
      <c r="N224" s="31">
        <f>IF(AND(J224=1,ISNUMBER(I224)),I224,"")</f>
        <v/>
      </c>
      <c r="O224" s="11">
        <f>IF(K224="","",100-IF($G$13=1,50,(_xlfn.RANK.AVG(K224,$K$19:$K$1518,1)-1)/($G$13-1)*100))</f>
        <v/>
      </c>
      <c r="P224" s="11">
        <f>IF(L224="","",100-IF($G$14=1,50,(_xlfn.RANK.AVG(L224,$L$19:$L$1518,1)-1)/($G$14-1)*100))</f>
        <v/>
      </c>
      <c r="Q224" s="11">
        <f>IF(M224="","",IF($G$15=1,50,(_xlfn.RANK.AVG(M224,$M$19:$M$1518,1)-1)/($G$15-1)*100))</f>
        <v/>
      </c>
      <c r="R224" s="11">
        <f>IF(N224="","",IF($G$16=1,50,(_xlfn.RANK.AVG(N224,$N$19:$N$1518,1)-1)/($G$16-1)*100))</f>
        <v/>
      </c>
      <c r="S224" s="11">
        <f>IF(COUNT(O224:R224)=4,ROUND(AVERAGE(O224:R224),6),"")</f>
        <v/>
      </c>
      <c r="U224">
        <f>IF(AND(ISNUMBER('자료_한국심리'!$A208),ISNUMBER('자료_한국심리'!$B208)),'자료_한국심리'!$A208,"")</f>
        <v/>
      </c>
      <c r="V224">
        <f>IF(AND(ISNUMBER('자료_한국심리'!$D208),ISNUMBER('자료_한국심리'!$E208)),'자료_한국심리'!$D208,"")</f>
        <v/>
      </c>
      <c r="W224">
        <f>IF(AND(ISNUMBER('자료_한국심리'!$G208),ISNUMBER('자료_한국심리'!$H208)),'자료_한국심리'!$G208,"")</f>
        <v/>
      </c>
      <c r="X224">
        <f>IF(AND(ISNUMBER('자료_한국심리'!$J208),ISNUMBER('자료_한국심리'!$K208)),'자료_한국심리'!$J208,"")</f>
        <v/>
      </c>
      <c r="Y224">
        <f>IF(AND(ISNUMBER('자료_한국심리'!$M208),ISNUMBER('자료_한국심리'!$N208)),'자료_한국심리'!$M208,"")</f>
        <v/>
      </c>
    </row>
    <row r="225">
      <c r="A225" s="10">
        <f>IF(207&gt;$E$5,"",SMALL($U$19:$U$4018,$E$6+207))</f>
        <v/>
      </c>
      <c r="B225" s="29">
        <f>IF(A225="","",INDEX('자료_한국심리'!$B$3:$B$4002,MATCH(A225,$U$19:$U$4018,0)))</f>
        <v/>
      </c>
      <c r="C225" s="22">
        <f>IF(A225="","",B225/AVERAGE(B101:B225)-1)</f>
        <v/>
      </c>
      <c r="D225" s="29">
        <f>IF(A225="","",IFERROR(INDEX('자료_한국심리'!$E$3:$E$4002,MATCH(A225,$V$19:$V$4018,0)),D224))</f>
        <v/>
      </c>
      <c r="E225" s="30">
        <f>IF(A225="","",IFERROR(INDEX('자료_한국심리'!$H$3:$H$4002,MATCH(A225,$W$19:$W$4018,0)),E224))</f>
        <v/>
      </c>
      <c r="F225" s="30">
        <f>IF(A225="","",IFERROR(INDEX('자료_한국심리'!$K$3:$K$4002,MATCH(A225,$X$19:$X$4018,0)),F224))</f>
        <v/>
      </c>
      <c r="G225" s="30">
        <f>IF(AND(ISNUMBER(E225),ISNUMBER(F225)),ROUND(E225-F225,6),"")</f>
        <v/>
      </c>
      <c r="H225" s="25">
        <f>IF(A225="","",IFERROR(INDEX('자료_한국심리'!$N$3:$N$4002,MATCH(A225,$Y$19:$Y$4018,0)),H224))</f>
        <v/>
      </c>
      <c r="I225" s="31">
        <f>IF(AND(ISNUMBER(H225),ISNUMBER(H205)),IF(H205&gt;0,H225/H205-1,""),"")</f>
        <v/>
      </c>
      <c r="J225">
        <f>IF(A225="",0,IF(A225&gt;$B$5,1,0))</f>
        <v/>
      </c>
      <c r="K225" s="29">
        <f>IF(AND(J225=1,ISNUMBER(D225)),D225,"")</f>
        <v/>
      </c>
      <c r="L225" s="30">
        <f>IF(AND(J225=1,ISNUMBER(G225)),G225,"")</f>
        <v/>
      </c>
      <c r="M225" s="22">
        <f>IF(AND(J225=1,ISNUMBER(C225)),C225,"")</f>
        <v/>
      </c>
      <c r="N225" s="31">
        <f>IF(AND(J225=1,ISNUMBER(I225)),I225,"")</f>
        <v/>
      </c>
      <c r="O225" s="11">
        <f>IF(K225="","",100-IF($G$13=1,50,(_xlfn.RANK.AVG(K225,$K$19:$K$1518,1)-1)/($G$13-1)*100))</f>
        <v/>
      </c>
      <c r="P225" s="11">
        <f>IF(L225="","",100-IF($G$14=1,50,(_xlfn.RANK.AVG(L225,$L$19:$L$1518,1)-1)/($G$14-1)*100))</f>
        <v/>
      </c>
      <c r="Q225" s="11">
        <f>IF(M225="","",IF($G$15=1,50,(_xlfn.RANK.AVG(M225,$M$19:$M$1518,1)-1)/($G$15-1)*100))</f>
        <v/>
      </c>
      <c r="R225" s="11">
        <f>IF(N225="","",IF($G$16=1,50,(_xlfn.RANK.AVG(N225,$N$19:$N$1518,1)-1)/($G$16-1)*100))</f>
        <v/>
      </c>
      <c r="S225" s="11">
        <f>IF(COUNT(O225:R225)=4,ROUND(AVERAGE(O225:R225),6),"")</f>
        <v/>
      </c>
      <c r="U225">
        <f>IF(AND(ISNUMBER('자료_한국심리'!$A209),ISNUMBER('자료_한국심리'!$B209)),'자료_한국심리'!$A209,"")</f>
        <v/>
      </c>
      <c r="V225">
        <f>IF(AND(ISNUMBER('자료_한국심리'!$D209),ISNUMBER('자료_한국심리'!$E209)),'자료_한국심리'!$D209,"")</f>
        <v/>
      </c>
      <c r="W225">
        <f>IF(AND(ISNUMBER('자료_한국심리'!$G209),ISNUMBER('자료_한국심리'!$H209)),'자료_한국심리'!$G209,"")</f>
        <v/>
      </c>
      <c r="X225">
        <f>IF(AND(ISNUMBER('자료_한국심리'!$J209),ISNUMBER('자료_한국심리'!$K209)),'자료_한국심리'!$J209,"")</f>
        <v/>
      </c>
      <c r="Y225">
        <f>IF(AND(ISNUMBER('자료_한국심리'!$M209),ISNUMBER('자료_한국심리'!$N209)),'자료_한국심리'!$M209,"")</f>
        <v/>
      </c>
    </row>
    <row r="226">
      <c r="A226" s="10">
        <f>IF(208&gt;$E$5,"",SMALL($U$19:$U$4018,$E$6+208))</f>
        <v/>
      </c>
      <c r="B226" s="29">
        <f>IF(A226="","",INDEX('자료_한국심리'!$B$3:$B$4002,MATCH(A226,$U$19:$U$4018,0)))</f>
        <v/>
      </c>
      <c r="C226" s="22">
        <f>IF(A226="","",B226/AVERAGE(B102:B226)-1)</f>
        <v/>
      </c>
      <c r="D226" s="29">
        <f>IF(A226="","",IFERROR(INDEX('자료_한국심리'!$E$3:$E$4002,MATCH(A226,$V$19:$V$4018,0)),D225))</f>
        <v/>
      </c>
      <c r="E226" s="30">
        <f>IF(A226="","",IFERROR(INDEX('자료_한국심리'!$H$3:$H$4002,MATCH(A226,$W$19:$W$4018,0)),E225))</f>
        <v/>
      </c>
      <c r="F226" s="30">
        <f>IF(A226="","",IFERROR(INDEX('자료_한국심리'!$K$3:$K$4002,MATCH(A226,$X$19:$X$4018,0)),F225))</f>
        <v/>
      </c>
      <c r="G226" s="30">
        <f>IF(AND(ISNUMBER(E226),ISNUMBER(F226)),ROUND(E226-F226,6),"")</f>
        <v/>
      </c>
      <c r="H226" s="25">
        <f>IF(A226="","",IFERROR(INDEX('자료_한국심리'!$N$3:$N$4002,MATCH(A226,$Y$19:$Y$4018,0)),H225))</f>
        <v/>
      </c>
      <c r="I226" s="31">
        <f>IF(AND(ISNUMBER(H226),ISNUMBER(H206)),IF(H206&gt;0,H226/H206-1,""),"")</f>
        <v/>
      </c>
      <c r="J226">
        <f>IF(A226="",0,IF(A226&gt;$B$5,1,0))</f>
        <v/>
      </c>
      <c r="K226" s="29">
        <f>IF(AND(J226=1,ISNUMBER(D226)),D226,"")</f>
        <v/>
      </c>
      <c r="L226" s="30">
        <f>IF(AND(J226=1,ISNUMBER(G226)),G226,"")</f>
        <v/>
      </c>
      <c r="M226" s="22">
        <f>IF(AND(J226=1,ISNUMBER(C226)),C226,"")</f>
        <v/>
      </c>
      <c r="N226" s="31">
        <f>IF(AND(J226=1,ISNUMBER(I226)),I226,"")</f>
        <v/>
      </c>
      <c r="O226" s="11">
        <f>IF(K226="","",100-IF($G$13=1,50,(_xlfn.RANK.AVG(K226,$K$19:$K$1518,1)-1)/($G$13-1)*100))</f>
        <v/>
      </c>
      <c r="P226" s="11">
        <f>IF(L226="","",100-IF($G$14=1,50,(_xlfn.RANK.AVG(L226,$L$19:$L$1518,1)-1)/($G$14-1)*100))</f>
        <v/>
      </c>
      <c r="Q226" s="11">
        <f>IF(M226="","",IF($G$15=1,50,(_xlfn.RANK.AVG(M226,$M$19:$M$1518,1)-1)/($G$15-1)*100))</f>
        <v/>
      </c>
      <c r="R226" s="11">
        <f>IF(N226="","",IF($G$16=1,50,(_xlfn.RANK.AVG(N226,$N$19:$N$1518,1)-1)/($G$16-1)*100))</f>
        <v/>
      </c>
      <c r="S226" s="11">
        <f>IF(COUNT(O226:R226)=4,ROUND(AVERAGE(O226:R226),6),"")</f>
        <v/>
      </c>
      <c r="U226">
        <f>IF(AND(ISNUMBER('자료_한국심리'!$A210),ISNUMBER('자료_한국심리'!$B210)),'자료_한국심리'!$A210,"")</f>
        <v/>
      </c>
      <c r="V226">
        <f>IF(AND(ISNUMBER('자료_한국심리'!$D210),ISNUMBER('자료_한국심리'!$E210)),'자료_한국심리'!$D210,"")</f>
        <v/>
      </c>
      <c r="W226">
        <f>IF(AND(ISNUMBER('자료_한국심리'!$G210),ISNUMBER('자료_한국심리'!$H210)),'자료_한국심리'!$G210,"")</f>
        <v/>
      </c>
      <c r="X226">
        <f>IF(AND(ISNUMBER('자료_한국심리'!$J210),ISNUMBER('자료_한국심리'!$K210)),'자료_한국심리'!$J210,"")</f>
        <v/>
      </c>
      <c r="Y226">
        <f>IF(AND(ISNUMBER('자료_한국심리'!$M210),ISNUMBER('자료_한국심리'!$N210)),'자료_한국심리'!$M210,"")</f>
        <v/>
      </c>
    </row>
    <row r="227">
      <c r="A227" s="10">
        <f>IF(209&gt;$E$5,"",SMALL($U$19:$U$4018,$E$6+209))</f>
        <v/>
      </c>
      <c r="B227" s="29">
        <f>IF(A227="","",INDEX('자료_한국심리'!$B$3:$B$4002,MATCH(A227,$U$19:$U$4018,0)))</f>
        <v/>
      </c>
      <c r="C227" s="22">
        <f>IF(A227="","",B227/AVERAGE(B103:B227)-1)</f>
        <v/>
      </c>
      <c r="D227" s="29">
        <f>IF(A227="","",IFERROR(INDEX('자료_한국심리'!$E$3:$E$4002,MATCH(A227,$V$19:$V$4018,0)),D226))</f>
        <v/>
      </c>
      <c r="E227" s="30">
        <f>IF(A227="","",IFERROR(INDEX('자료_한국심리'!$H$3:$H$4002,MATCH(A227,$W$19:$W$4018,0)),E226))</f>
        <v/>
      </c>
      <c r="F227" s="30">
        <f>IF(A227="","",IFERROR(INDEX('자료_한국심리'!$K$3:$K$4002,MATCH(A227,$X$19:$X$4018,0)),F226))</f>
        <v/>
      </c>
      <c r="G227" s="30">
        <f>IF(AND(ISNUMBER(E227),ISNUMBER(F227)),ROUND(E227-F227,6),"")</f>
        <v/>
      </c>
      <c r="H227" s="25">
        <f>IF(A227="","",IFERROR(INDEX('자료_한국심리'!$N$3:$N$4002,MATCH(A227,$Y$19:$Y$4018,0)),H226))</f>
        <v/>
      </c>
      <c r="I227" s="31">
        <f>IF(AND(ISNUMBER(H227),ISNUMBER(H207)),IF(H207&gt;0,H227/H207-1,""),"")</f>
        <v/>
      </c>
      <c r="J227">
        <f>IF(A227="",0,IF(A227&gt;$B$5,1,0))</f>
        <v/>
      </c>
      <c r="K227" s="29">
        <f>IF(AND(J227=1,ISNUMBER(D227)),D227,"")</f>
        <v/>
      </c>
      <c r="L227" s="30">
        <f>IF(AND(J227=1,ISNUMBER(G227)),G227,"")</f>
        <v/>
      </c>
      <c r="M227" s="22">
        <f>IF(AND(J227=1,ISNUMBER(C227)),C227,"")</f>
        <v/>
      </c>
      <c r="N227" s="31">
        <f>IF(AND(J227=1,ISNUMBER(I227)),I227,"")</f>
        <v/>
      </c>
      <c r="O227" s="11">
        <f>IF(K227="","",100-IF($G$13=1,50,(_xlfn.RANK.AVG(K227,$K$19:$K$1518,1)-1)/($G$13-1)*100))</f>
        <v/>
      </c>
      <c r="P227" s="11">
        <f>IF(L227="","",100-IF($G$14=1,50,(_xlfn.RANK.AVG(L227,$L$19:$L$1518,1)-1)/($G$14-1)*100))</f>
        <v/>
      </c>
      <c r="Q227" s="11">
        <f>IF(M227="","",IF($G$15=1,50,(_xlfn.RANK.AVG(M227,$M$19:$M$1518,1)-1)/($G$15-1)*100))</f>
        <v/>
      </c>
      <c r="R227" s="11">
        <f>IF(N227="","",IF($G$16=1,50,(_xlfn.RANK.AVG(N227,$N$19:$N$1518,1)-1)/($G$16-1)*100))</f>
        <v/>
      </c>
      <c r="S227" s="11">
        <f>IF(COUNT(O227:R227)=4,ROUND(AVERAGE(O227:R227),6),"")</f>
        <v/>
      </c>
      <c r="U227">
        <f>IF(AND(ISNUMBER('자료_한국심리'!$A211),ISNUMBER('자료_한국심리'!$B211)),'자료_한국심리'!$A211,"")</f>
        <v/>
      </c>
      <c r="V227">
        <f>IF(AND(ISNUMBER('자료_한국심리'!$D211),ISNUMBER('자료_한국심리'!$E211)),'자료_한국심리'!$D211,"")</f>
        <v/>
      </c>
      <c r="W227">
        <f>IF(AND(ISNUMBER('자료_한국심리'!$G211),ISNUMBER('자료_한국심리'!$H211)),'자료_한국심리'!$G211,"")</f>
        <v/>
      </c>
      <c r="X227">
        <f>IF(AND(ISNUMBER('자료_한국심리'!$J211),ISNUMBER('자료_한국심리'!$K211)),'자료_한국심리'!$J211,"")</f>
        <v/>
      </c>
      <c r="Y227">
        <f>IF(AND(ISNUMBER('자료_한국심리'!$M211),ISNUMBER('자료_한국심리'!$N211)),'자료_한국심리'!$M211,"")</f>
        <v/>
      </c>
    </row>
    <row r="228">
      <c r="A228" s="10">
        <f>IF(210&gt;$E$5,"",SMALL($U$19:$U$4018,$E$6+210))</f>
        <v/>
      </c>
      <c r="B228" s="29">
        <f>IF(A228="","",INDEX('자료_한국심리'!$B$3:$B$4002,MATCH(A228,$U$19:$U$4018,0)))</f>
        <v/>
      </c>
      <c r="C228" s="22">
        <f>IF(A228="","",B228/AVERAGE(B104:B228)-1)</f>
        <v/>
      </c>
      <c r="D228" s="29">
        <f>IF(A228="","",IFERROR(INDEX('자료_한국심리'!$E$3:$E$4002,MATCH(A228,$V$19:$V$4018,0)),D227))</f>
        <v/>
      </c>
      <c r="E228" s="30">
        <f>IF(A228="","",IFERROR(INDEX('자료_한국심리'!$H$3:$H$4002,MATCH(A228,$W$19:$W$4018,0)),E227))</f>
        <v/>
      </c>
      <c r="F228" s="30">
        <f>IF(A228="","",IFERROR(INDEX('자료_한국심리'!$K$3:$K$4002,MATCH(A228,$X$19:$X$4018,0)),F227))</f>
        <v/>
      </c>
      <c r="G228" s="30">
        <f>IF(AND(ISNUMBER(E228),ISNUMBER(F228)),ROUND(E228-F228,6),"")</f>
        <v/>
      </c>
      <c r="H228" s="25">
        <f>IF(A228="","",IFERROR(INDEX('자료_한국심리'!$N$3:$N$4002,MATCH(A228,$Y$19:$Y$4018,0)),H227))</f>
        <v/>
      </c>
      <c r="I228" s="31">
        <f>IF(AND(ISNUMBER(H228),ISNUMBER(H208)),IF(H208&gt;0,H228/H208-1,""),"")</f>
        <v/>
      </c>
      <c r="J228">
        <f>IF(A228="",0,IF(A228&gt;$B$5,1,0))</f>
        <v/>
      </c>
      <c r="K228" s="29">
        <f>IF(AND(J228=1,ISNUMBER(D228)),D228,"")</f>
        <v/>
      </c>
      <c r="L228" s="30">
        <f>IF(AND(J228=1,ISNUMBER(G228)),G228,"")</f>
        <v/>
      </c>
      <c r="M228" s="22">
        <f>IF(AND(J228=1,ISNUMBER(C228)),C228,"")</f>
        <v/>
      </c>
      <c r="N228" s="31">
        <f>IF(AND(J228=1,ISNUMBER(I228)),I228,"")</f>
        <v/>
      </c>
      <c r="O228" s="11">
        <f>IF(K228="","",100-IF($G$13=1,50,(_xlfn.RANK.AVG(K228,$K$19:$K$1518,1)-1)/($G$13-1)*100))</f>
        <v/>
      </c>
      <c r="P228" s="11">
        <f>IF(L228="","",100-IF($G$14=1,50,(_xlfn.RANK.AVG(L228,$L$19:$L$1518,1)-1)/($G$14-1)*100))</f>
        <v/>
      </c>
      <c r="Q228" s="11">
        <f>IF(M228="","",IF($G$15=1,50,(_xlfn.RANK.AVG(M228,$M$19:$M$1518,1)-1)/($G$15-1)*100))</f>
        <v/>
      </c>
      <c r="R228" s="11">
        <f>IF(N228="","",IF($G$16=1,50,(_xlfn.RANK.AVG(N228,$N$19:$N$1518,1)-1)/($G$16-1)*100))</f>
        <v/>
      </c>
      <c r="S228" s="11">
        <f>IF(COUNT(O228:R228)=4,ROUND(AVERAGE(O228:R228),6),"")</f>
        <v/>
      </c>
      <c r="U228">
        <f>IF(AND(ISNUMBER('자료_한국심리'!$A212),ISNUMBER('자료_한국심리'!$B212)),'자료_한국심리'!$A212,"")</f>
        <v/>
      </c>
      <c r="V228">
        <f>IF(AND(ISNUMBER('자료_한국심리'!$D212),ISNUMBER('자료_한국심리'!$E212)),'자료_한국심리'!$D212,"")</f>
        <v/>
      </c>
      <c r="W228">
        <f>IF(AND(ISNUMBER('자료_한국심리'!$G212),ISNUMBER('자료_한국심리'!$H212)),'자료_한국심리'!$G212,"")</f>
        <v/>
      </c>
      <c r="X228">
        <f>IF(AND(ISNUMBER('자료_한국심리'!$J212),ISNUMBER('자료_한국심리'!$K212)),'자료_한국심리'!$J212,"")</f>
        <v/>
      </c>
      <c r="Y228">
        <f>IF(AND(ISNUMBER('자료_한국심리'!$M212),ISNUMBER('자료_한국심리'!$N212)),'자료_한국심리'!$M212,"")</f>
        <v/>
      </c>
    </row>
    <row r="229">
      <c r="A229" s="10">
        <f>IF(211&gt;$E$5,"",SMALL($U$19:$U$4018,$E$6+211))</f>
        <v/>
      </c>
      <c r="B229" s="29">
        <f>IF(A229="","",INDEX('자료_한국심리'!$B$3:$B$4002,MATCH(A229,$U$19:$U$4018,0)))</f>
        <v/>
      </c>
      <c r="C229" s="22">
        <f>IF(A229="","",B229/AVERAGE(B105:B229)-1)</f>
        <v/>
      </c>
      <c r="D229" s="29">
        <f>IF(A229="","",IFERROR(INDEX('자료_한국심리'!$E$3:$E$4002,MATCH(A229,$V$19:$V$4018,0)),D228))</f>
        <v/>
      </c>
      <c r="E229" s="30">
        <f>IF(A229="","",IFERROR(INDEX('자료_한국심리'!$H$3:$H$4002,MATCH(A229,$W$19:$W$4018,0)),E228))</f>
        <v/>
      </c>
      <c r="F229" s="30">
        <f>IF(A229="","",IFERROR(INDEX('자료_한국심리'!$K$3:$K$4002,MATCH(A229,$X$19:$X$4018,0)),F228))</f>
        <v/>
      </c>
      <c r="G229" s="30">
        <f>IF(AND(ISNUMBER(E229),ISNUMBER(F229)),ROUND(E229-F229,6),"")</f>
        <v/>
      </c>
      <c r="H229" s="25">
        <f>IF(A229="","",IFERROR(INDEX('자료_한국심리'!$N$3:$N$4002,MATCH(A229,$Y$19:$Y$4018,0)),H228))</f>
        <v/>
      </c>
      <c r="I229" s="31">
        <f>IF(AND(ISNUMBER(H229),ISNUMBER(H209)),IF(H209&gt;0,H229/H209-1,""),"")</f>
        <v/>
      </c>
      <c r="J229">
        <f>IF(A229="",0,IF(A229&gt;$B$5,1,0))</f>
        <v/>
      </c>
      <c r="K229" s="29">
        <f>IF(AND(J229=1,ISNUMBER(D229)),D229,"")</f>
        <v/>
      </c>
      <c r="L229" s="30">
        <f>IF(AND(J229=1,ISNUMBER(G229)),G229,"")</f>
        <v/>
      </c>
      <c r="M229" s="22">
        <f>IF(AND(J229=1,ISNUMBER(C229)),C229,"")</f>
        <v/>
      </c>
      <c r="N229" s="31">
        <f>IF(AND(J229=1,ISNUMBER(I229)),I229,"")</f>
        <v/>
      </c>
      <c r="O229" s="11">
        <f>IF(K229="","",100-IF($G$13=1,50,(_xlfn.RANK.AVG(K229,$K$19:$K$1518,1)-1)/($G$13-1)*100))</f>
        <v/>
      </c>
      <c r="P229" s="11">
        <f>IF(L229="","",100-IF($G$14=1,50,(_xlfn.RANK.AVG(L229,$L$19:$L$1518,1)-1)/($G$14-1)*100))</f>
        <v/>
      </c>
      <c r="Q229" s="11">
        <f>IF(M229="","",IF($G$15=1,50,(_xlfn.RANK.AVG(M229,$M$19:$M$1518,1)-1)/($G$15-1)*100))</f>
        <v/>
      </c>
      <c r="R229" s="11">
        <f>IF(N229="","",IF($G$16=1,50,(_xlfn.RANK.AVG(N229,$N$19:$N$1518,1)-1)/($G$16-1)*100))</f>
        <v/>
      </c>
      <c r="S229" s="11">
        <f>IF(COUNT(O229:R229)=4,ROUND(AVERAGE(O229:R229),6),"")</f>
        <v/>
      </c>
      <c r="U229">
        <f>IF(AND(ISNUMBER('자료_한국심리'!$A213),ISNUMBER('자료_한국심리'!$B213)),'자료_한국심리'!$A213,"")</f>
        <v/>
      </c>
      <c r="V229">
        <f>IF(AND(ISNUMBER('자료_한국심리'!$D213),ISNUMBER('자료_한국심리'!$E213)),'자료_한국심리'!$D213,"")</f>
        <v/>
      </c>
      <c r="W229">
        <f>IF(AND(ISNUMBER('자료_한국심리'!$G213),ISNUMBER('자료_한국심리'!$H213)),'자료_한국심리'!$G213,"")</f>
        <v/>
      </c>
      <c r="X229">
        <f>IF(AND(ISNUMBER('자료_한국심리'!$J213),ISNUMBER('자료_한국심리'!$K213)),'자료_한국심리'!$J213,"")</f>
        <v/>
      </c>
      <c r="Y229">
        <f>IF(AND(ISNUMBER('자료_한국심리'!$M213),ISNUMBER('자료_한국심리'!$N213)),'자료_한국심리'!$M213,"")</f>
        <v/>
      </c>
    </row>
    <row r="230">
      <c r="A230" s="10">
        <f>IF(212&gt;$E$5,"",SMALL($U$19:$U$4018,$E$6+212))</f>
        <v/>
      </c>
      <c r="B230" s="29">
        <f>IF(A230="","",INDEX('자료_한국심리'!$B$3:$B$4002,MATCH(A230,$U$19:$U$4018,0)))</f>
        <v/>
      </c>
      <c r="C230" s="22">
        <f>IF(A230="","",B230/AVERAGE(B106:B230)-1)</f>
        <v/>
      </c>
      <c r="D230" s="29">
        <f>IF(A230="","",IFERROR(INDEX('자료_한국심리'!$E$3:$E$4002,MATCH(A230,$V$19:$V$4018,0)),D229))</f>
        <v/>
      </c>
      <c r="E230" s="30">
        <f>IF(A230="","",IFERROR(INDEX('자료_한국심리'!$H$3:$H$4002,MATCH(A230,$W$19:$W$4018,0)),E229))</f>
        <v/>
      </c>
      <c r="F230" s="30">
        <f>IF(A230="","",IFERROR(INDEX('자료_한국심리'!$K$3:$K$4002,MATCH(A230,$X$19:$X$4018,0)),F229))</f>
        <v/>
      </c>
      <c r="G230" s="30">
        <f>IF(AND(ISNUMBER(E230),ISNUMBER(F230)),ROUND(E230-F230,6),"")</f>
        <v/>
      </c>
      <c r="H230" s="25">
        <f>IF(A230="","",IFERROR(INDEX('자료_한국심리'!$N$3:$N$4002,MATCH(A230,$Y$19:$Y$4018,0)),H229))</f>
        <v/>
      </c>
      <c r="I230" s="31">
        <f>IF(AND(ISNUMBER(H230),ISNUMBER(H210)),IF(H210&gt;0,H230/H210-1,""),"")</f>
        <v/>
      </c>
      <c r="J230">
        <f>IF(A230="",0,IF(A230&gt;$B$5,1,0))</f>
        <v/>
      </c>
      <c r="K230" s="29">
        <f>IF(AND(J230=1,ISNUMBER(D230)),D230,"")</f>
        <v/>
      </c>
      <c r="L230" s="30">
        <f>IF(AND(J230=1,ISNUMBER(G230)),G230,"")</f>
        <v/>
      </c>
      <c r="M230" s="22">
        <f>IF(AND(J230=1,ISNUMBER(C230)),C230,"")</f>
        <v/>
      </c>
      <c r="N230" s="31">
        <f>IF(AND(J230=1,ISNUMBER(I230)),I230,"")</f>
        <v/>
      </c>
      <c r="O230" s="11">
        <f>IF(K230="","",100-IF($G$13=1,50,(_xlfn.RANK.AVG(K230,$K$19:$K$1518,1)-1)/($G$13-1)*100))</f>
        <v/>
      </c>
      <c r="P230" s="11">
        <f>IF(L230="","",100-IF($G$14=1,50,(_xlfn.RANK.AVG(L230,$L$19:$L$1518,1)-1)/($G$14-1)*100))</f>
        <v/>
      </c>
      <c r="Q230" s="11">
        <f>IF(M230="","",IF($G$15=1,50,(_xlfn.RANK.AVG(M230,$M$19:$M$1518,1)-1)/($G$15-1)*100))</f>
        <v/>
      </c>
      <c r="R230" s="11">
        <f>IF(N230="","",IF($G$16=1,50,(_xlfn.RANK.AVG(N230,$N$19:$N$1518,1)-1)/($G$16-1)*100))</f>
        <v/>
      </c>
      <c r="S230" s="11">
        <f>IF(COUNT(O230:R230)=4,ROUND(AVERAGE(O230:R230),6),"")</f>
        <v/>
      </c>
      <c r="U230">
        <f>IF(AND(ISNUMBER('자료_한국심리'!$A214),ISNUMBER('자료_한국심리'!$B214)),'자료_한국심리'!$A214,"")</f>
        <v/>
      </c>
      <c r="V230">
        <f>IF(AND(ISNUMBER('자료_한국심리'!$D214),ISNUMBER('자료_한국심리'!$E214)),'자료_한국심리'!$D214,"")</f>
        <v/>
      </c>
      <c r="W230">
        <f>IF(AND(ISNUMBER('자료_한국심리'!$G214),ISNUMBER('자료_한국심리'!$H214)),'자료_한국심리'!$G214,"")</f>
        <v/>
      </c>
      <c r="X230">
        <f>IF(AND(ISNUMBER('자료_한국심리'!$J214),ISNUMBER('자료_한국심리'!$K214)),'자료_한국심리'!$J214,"")</f>
        <v/>
      </c>
      <c r="Y230">
        <f>IF(AND(ISNUMBER('자료_한국심리'!$M214),ISNUMBER('자료_한국심리'!$N214)),'자료_한국심리'!$M214,"")</f>
        <v/>
      </c>
    </row>
    <row r="231">
      <c r="A231" s="10">
        <f>IF(213&gt;$E$5,"",SMALL($U$19:$U$4018,$E$6+213))</f>
        <v/>
      </c>
      <c r="B231" s="29">
        <f>IF(A231="","",INDEX('자료_한국심리'!$B$3:$B$4002,MATCH(A231,$U$19:$U$4018,0)))</f>
        <v/>
      </c>
      <c r="C231" s="22">
        <f>IF(A231="","",B231/AVERAGE(B107:B231)-1)</f>
        <v/>
      </c>
      <c r="D231" s="29">
        <f>IF(A231="","",IFERROR(INDEX('자료_한국심리'!$E$3:$E$4002,MATCH(A231,$V$19:$V$4018,0)),D230))</f>
        <v/>
      </c>
      <c r="E231" s="30">
        <f>IF(A231="","",IFERROR(INDEX('자료_한국심리'!$H$3:$H$4002,MATCH(A231,$W$19:$W$4018,0)),E230))</f>
        <v/>
      </c>
      <c r="F231" s="30">
        <f>IF(A231="","",IFERROR(INDEX('자료_한국심리'!$K$3:$K$4002,MATCH(A231,$X$19:$X$4018,0)),F230))</f>
        <v/>
      </c>
      <c r="G231" s="30">
        <f>IF(AND(ISNUMBER(E231),ISNUMBER(F231)),ROUND(E231-F231,6),"")</f>
        <v/>
      </c>
      <c r="H231" s="25">
        <f>IF(A231="","",IFERROR(INDEX('자료_한국심리'!$N$3:$N$4002,MATCH(A231,$Y$19:$Y$4018,0)),H230))</f>
        <v/>
      </c>
      <c r="I231" s="31">
        <f>IF(AND(ISNUMBER(H231),ISNUMBER(H211)),IF(H211&gt;0,H231/H211-1,""),"")</f>
        <v/>
      </c>
      <c r="J231">
        <f>IF(A231="",0,IF(A231&gt;$B$5,1,0))</f>
        <v/>
      </c>
      <c r="K231" s="29">
        <f>IF(AND(J231=1,ISNUMBER(D231)),D231,"")</f>
        <v/>
      </c>
      <c r="L231" s="30">
        <f>IF(AND(J231=1,ISNUMBER(G231)),G231,"")</f>
        <v/>
      </c>
      <c r="M231" s="22">
        <f>IF(AND(J231=1,ISNUMBER(C231)),C231,"")</f>
        <v/>
      </c>
      <c r="N231" s="31">
        <f>IF(AND(J231=1,ISNUMBER(I231)),I231,"")</f>
        <v/>
      </c>
      <c r="O231" s="11">
        <f>IF(K231="","",100-IF($G$13=1,50,(_xlfn.RANK.AVG(K231,$K$19:$K$1518,1)-1)/($G$13-1)*100))</f>
        <v/>
      </c>
      <c r="P231" s="11">
        <f>IF(L231="","",100-IF($G$14=1,50,(_xlfn.RANK.AVG(L231,$L$19:$L$1518,1)-1)/($G$14-1)*100))</f>
        <v/>
      </c>
      <c r="Q231" s="11">
        <f>IF(M231="","",IF($G$15=1,50,(_xlfn.RANK.AVG(M231,$M$19:$M$1518,1)-1)/($G$15-1)*100))</f>
        <v/>
      </c>
      <c r="R231" s="11">
        <f>IF(N231="","",IF($G$16=1,50,(_xlfn.RANK.AVG(N231,$N$19:$N$1518,1)-1)/($G$16-1)*100))</f>
        <v/>
      </c>
      <c r="S231" s="11">
        <f>IF(COUNT(O231:R231)=4,ROUND(AVERAGE(O231:R231),6),"")</f>
        <v/>
      </c>
      <c r="U231">
        <f>IF(AND(ISNUMBER('자료_한국심리'!$A215),ISNUMBER('자료_한국심리'!$B215)),'자료_한국심리'!$A215,"")</f>
        <v/>
      </c>
      <c r="V231">
        <f>IF(AND(ISNUMBER('자료_한국심리'!$D215),ISNUMBER('자료_한국심리'!$E215)),'자료_한국심리'!$D215,"")</f>
        <v/>
      </c>
      <c r="W231">
        <f>IF(AND(ISNUMBER('자료_한국심리'!$G215),ISNUMBER('자료_한국심리'!$H215)),'자료_한국심리'!$G215,"")</f>
        <v/>
      </c>
      <c r="X231">
        <f>IF(AND(ISNUMBER('자료_한국심리'!$J215),ISNUMBER('자료_한국심리'!$K215)),'자료_한국심리'!$J215,"")</f>
        <v/>
      </c>
      <c r="Y231">
        <f>IF(AND(ISNUMBER('자료_한국심리'!$M215),ISNUMBER('자료_한국심리'!$N215)),'자료_한국심리'!$M215,"")</f>
        <v/>
      </c>
    </row>
    <row r="232">
      <c r="A232" s="10">
        <f>IF(214&gt;$E$5,"",SMALL($U$19:$U$4018,$E$6+214))</f>
        <v/>
      </c>
      <c r="B232" s="29">
        <f>IF(A232="","",INDEX('자료_한국심리'!$B$3:$B$4002,MATCH(A232,$U$19:$U$4018,0)))</f>
        <v/>
      </c>
      <c r="C232" s="22">
        <f>IF(A232="","",B232/AVERAGE(B108:B232)-1)</f>
        <v/>
      </c>
      <c r="D232" s="29">
        <f>IF(A232="","",IFERROR(INDEX('자료_한국심리'!$E$3:$E$4002,MATCH(A232,$V$19:$V$4018,0)),D231))</f>
        <v/>
      </c>
      <c r="E232" s="30">
        <f>IF(A232="","",IFERROR(INDEX('자료_한국심리'!$H$3:$H$4002,MATCH(A232,$W$19:$W$4018,0)),E231))</f>
        <v/>
      </c>
      <c r="F232" s="30">
        <f>IF(A232="","",IFERROR(INDEX('자료_한국심리'!$K$3:$K$4002,MATCH(A232,$X$19:$X$4018,0)),F231))</f>
        <v/>
      </c>
      <c r="G232" s="30">
        <f>IF(AND(ISNUMBER(E232),ISNUMBER(F232)),ROUND(E232-F232,6),"")</f>
        <v/>
      </c>
      <c r="H232" s="25">
        <f>IF(A232="","",IFERROR(INDEX('자료_한국심리'!$N$3:$N$4002,MATCH(A232,$Y$19:$Y$4018,0)),H231))</f>
        <v/>
      </c>
      <c r="I232" s="31">
        <f>IF(AND(ISNUMBER(H232),ISNUMBER(H212)),IF(H212&gt;0,H232/H212-1,""),"")</f>
        <v/>
      </c>
      <c r="J232">
        <f>IF(A232="",0,IF(A232&gt;$B$5,1,0))</f>
        <v/>
      </c>
      <c r="K232" s="29">
        <f>IF(AND(J232=1,ISNUMBER(D232)),D232,"")</f>
        <v/>
      </c>
      <c r="L232" s="30">
        <f>IF(AND(J232=1,ISNUMBER(G232)),G232,"")</f>
        <v/>
      </c>
      <c r="M232" s="22">
        <f>IF(AND(J232=1,ISNUMBER(C232)),C232,"")</f>
        <v/>
      </c>
      <c r="N232" s="31">
        <f>IF(AND(J232=1,ISNUMBER(I232)),I232,"")</f>
        <v/>
      </c>
      <c r="O232" s="11">
        <f>IF(K232="","",100-IF($G$13=1,50,(_xlfn.RANK.AVG(K232,$K$19:$K$1518,1)-1)/($G$13-1)*100))</f>
        <v/>
      </c>
      <c r="P232" s="11">
        <f>IF(L232="","",100-IF($G$14=1,50,(_xlfn.RANK.AVG(L232,$L$19:$L$1518,1)-1)/($G$14-1)*100))</f>
        <v/>
      </c>
      <c r="Q232" s="11">
        <f>IF(M232="","",IF($G$15=1,50,(_xlfn.RANK.AVG(M232,$M$19:$M$1518,1)-1)/($G$15-1)*100))</f>
        <v/>
      </c>
      <c r="R232" s="11">
        <f>IF(N232="","",IF($G$16=1,50,(_xlfn.RANK.AVG(N232,$N$19:$N$1518,1)-1)/($G$16-1)*100))</f>
        <v/>
      </c>
      <c r="S232" s="11">
        <f>IF(COUNT(O232:R232)=4,ROUND(AVERAGE(O232:R232),6),"")</f>
        <v/>
      </c>
      <c r="U232">
        <f>IF(AND(ISNUMBER('자료_한국심리'!$A216),ISNUMBER('자료_한국심리'!$B216)),'자료_한국심리'!$A216,"")</f>
        <v/>
      </c>
      <c r="V232">
        <f>IF(AND(ISNUMBER('자료_한국심리'!$D216),ISNUMBER('자료_한국심리'!$E216)),'자료_한국심리'!$D216,"")</f>
        <v/>
      </c>
      <c r="W232">
        <f>IF(AND(ISNUMBER('자료_한국심리'!$G216),ISNUMBER('자료_한국심리'!$H216)),'자료_한국심리'!$G216,"")</f>
        <v/>
      </c>
      <c r="X232">
        <f>IF(AND(ISNUMBER('자료_한국심리'!$J216),ISNUMBER('자료_한국심리'!$K216)),'자료_한국심리'!$J216,"")</f>
        <v/>
      </c>
      <c r="Y232">
        <f>IF(AND(ISNUMBER('자료_한국심리'!$M216),ISNUMBER('자료_한국심리'!$N216)),'자료_한국심리'!$M216,"")</f>
        <v/>
      </c>
    </row>
    <row r="233">
      <c r="A233" s="10">
        <f>IF(215&gt;$E$5,"",SMALL($U$19:$U$4018,$E$6+215))</f>
        <v/>
      </c>
      <c r="B233" s="29">
        <f>IF(A233="","",INDEX('자료_한국심리'!$B$3:$B$4002,MATCH(A233,$U$19:$U$4018,0)))</f>
        <v/>
      </c>
      <c r="C233" s="22">
        <f>IF(A233="","",B233/AVERAGE(B109:B233)-1)</f>
        <v/>
      </c>
      <c r="D233" s="29">
        <f>IF(A233="","",IFERROR(INDEX('자료_한국심리'!$E$3:$E$4002,MATCH(A233,$V$19:$V$4018,0)),D232))</f>
        <v/>
      </c>
      <c r="E233" s="30">
        <f>IF(A233="","",IFERROR(INDEX('자료_한국심리'!$H$3:$H$4002,MATCH(A233,$W$19:$W$4018,0)),E232))</f>
        <v/>
      </c>
      <c r="F233" s="30">
        <f>IF(A233="","",IFERROR(INDEX('자료_한국심리'!$K$3:$K$4002,MATCH(A233,$X$19:$X$4018,0)),F232))</f>
        <v/>
      </c>
      <c r="G233" s="30">
        <f>IF(AND(ISNUMBER(E233),ISNUMBER(F233)),ROUND(E233-F233,6),"")</f>
        <v/>
      </c>
      <c r="H233" s="25">
        <f>IF(A233="","",IFERROR(INDEX('자료_한국심리'!$N$3:$N$4002,MATCH(A233,$Y$19:$Y$4018,0)),H232))</f>
        <v/>
      </c>
      <c r="I233" s="31">
        <f>IF(AND(ISNUMBER(H233),ISNUMBER(H213)),IF(H213&gt;0,H233/H213-1,""),"")</f>
        <v/>
      </c>
      <c r="J233">
        <f>IF(A233="",0,IF(A233&gt;$B$5,1,0))</f>
        <v/>
      </c>
      <c r="K233" s="29">
        <f>IF(AND(J233=1,ISNUMBER(D233)),D233,"")</f>
        <v/>
      </c>
      <c r="L233" s="30">
        <f>IF(AND(J233=1,ISNUMBER(G233)),G233,"")</f>
        <v/>
      </c>
      <c r="M233" s="22">
        <f>IF(AND(J233=1,ISNUMBER(C233)),C233,"")</f>
        <v/>
      </c>
      <c r="N233" s="31">
        <f>IF(AND(J233=1,ISNUMBER(I233)),I233,"")</f>
        <v/>
      </c>
      <c r="O233" s="11">
        <f>IF(K233="","",100-IF($G$13=1,50,(_xlfn.RANK.AVG(K233,$K$19:$K$1518,1)-1)/($G$13-1)*100))</f>
        <v/>
      </c>
      <c r="P233" s="11">
        <f>IF(L233="","",100-IF($G$14=1,50,(_xlfn.RANK.AVG(L233,$L$19:$L$1518,1)-1)/($G$14-1)*100))</f>
        <v/>
      </c>
      <c r="Q233" s="11">
        <f>IF(M233="","",IF($G$15=1,50,(_xlfn.RANK.AVG(M233,$M$19:$M$1518,1)-1)/($G$15-1)*100))</f>
        <v/>
      </c>
      <c r="R233" s="11">
        <f>IF(N233="","",IF($G$16=1,50,(_xlfn.RANK.AVG(N233,$N$19:$N$1518,1)-1)/($G$16-1)*100))</f>
        <v/>
      </c>
      <c r="S233" s="11">
        <f>IF(COUNT(O233:R233)=4,ROUND(AVERAGE(O233:R233),6),"")</f>
        <v/>
      </c>
      <c r="U233">
        <f>IF(AND(ISNUMBER('자료_한국심리'!$A217),ISNUMBER('자료_한국심리'!$B217)),'자료_한국심리'!$A217,"")</f>
        <v/>
      </c>
      <c r="V233">
        <f>IF(AND(ISNUMBER('자료_한국심리'!$D217),ISNUMBER('자료_한국심리'!$E217)),'자료_한국심리'!$D217,"")</f>
        <v/>
      </c>
      <c r="W233">
        <f>IF(AND(ISNUMBER('자료_한국심리'!$G217),ISNUMBER('자료_한국심리'!$H217)),'자료_한국심리'!$G217,"")</f>
        <v/>
      </c>
      <c r="X233">
        <f>IF(AND(ISNUMBER('자료_한국심리'!$J217),ISNUMBER('자료_한국심리'!$K217)),'자료_한국심리'!$J217,"")</f>
        <v/>
      </c>
      <c r="Y233">
        <f>IF(AND(ISNUMBER('자료_한국심리'!$M217),ISNUMBER('자료_한국심리'!$N217)),'자료_한국심리'!$M217,"")</f>
        <v/>
      </c>
    </row>
    <row r="234">
      <c r="A234" s="10">
        <f>IF(216&gt;$E$5,"",SMALL($U$19:$U$4018,$E$6+216))</f>
        <v/>
      </c>
      <c r="B234" s="29">
        <f>IF(A234="","",INDEX('자료_한국심리'!$B$3:$B$4002,MATCH(A234,$U$19:$U$4018,0)))</f>
        <v/>
      </c>
      <c r="C234" s="22">
        <f>IF(A234="","",B234/AVERAGE(B110:B234)-1)</f>
        <v/>
      </c>
      <c r="D234" s="29">
        <f>IF(A234="","",IFERROR(INDEX('자료_한국심리'!$E$3:$E$4002,MATCH(A234,$V$19:$V$4018,0)),D233))</f>
        <v/>
      </c>
      <c r="E234" s="30">
        <f>IF(A234="","",IFERROR(INDEX('자료_한국심리'!$H$3:$H$4002,MATCH(A234,$W$19:$W$4018,0)),E233))</f>
        <v/>
      </c>
      <c r="F234" s="30">
        <f>IF(A234="","",IFERROR(INDEX('자료_한국심리'!$K$3:$K$4002,MATCH(A234,$X$19:$X$4018,0)),F233))</f>
        <v/>
      </c>
      <c r="G234" s="30">
        <f>IF(AND(ISNUMBER(E234),ISNUMBER(F234)),ROUND(E234-F234,6),"")</f>
        <v/>
      </c>
      <c r="H234" s="25">
        <f>IF(A234="","",IFERROR(INDEX('자료_한국심리'!$N$3:$N$4002,MATCH(A234,$Y$19:$Y$4018,0)),H233))</f>
        <v/>
      </c>
      <c r="I234" s="31">
        <f>IF(AND(ISNUMBER(H234),ISNUMBER(H214)),IF(H214&gt;0,H234/H214-1,""),"")</f>
        <v/>
      </c>
      <c r="J234">
        <f>IF(A234="",0,IF(A234&gt;$B$5,1,0))</f>
        <v/>
      </c>
      <c r="K234" s="29">
        <f>IF(AND(J234=1,ISNUMBER(D234)),D234,"")</f>
        <v/>
      </c>
      <c r="L234" s="30">
        <f>IF(AND(J234=1,ISNUMBER(G234)),G234,"")</f>
        <v/>
      </c>
      <c r="M234" s="22">
        <f>IF(AND(J234=1,ISNUMBER(C234)),C234,"")</f>
        <v/>
      </c>
      <c r="N234" s="31">
        <f>IF(AND(J234=1,ISNUMBER(I234)),I234,"")</f>
        <v/>
      </c>
      <c r="O234" s="11">
        <f>IF(K234="","",100-IF($G$13=1,50,(_xlfn.RANK.AVG(K234,$K$19:$K$1518,1)-1)/($G$13-1)*100))</f>
        <v/>
      </c>
      <c r="P234" s="11">
        <f>IF(L234="","",100-IF($G$14=1,50,(_xlfn.RANK.AVG(L234,$L$19:$L$1518,1)-1)/($G$14-1)*100))</f>
        <v/>
      </c>
      <c r="Q234" s="11">
        <f>IF(M234="","",IF($G$15=1,50,(_xlfn.RANK.AVG(M234,$M$19:$M$1518,1)-1)/($G$15-1)*100))</f>
        <v/>
      </c>
      <c r="R234" s="11">
        <f>IF(N234="","",IF($G$16=1,50,(_xlfn.RANK.AVG(N234,$N$19:$N$1518,1)-1)/($G$16-1)*100))</f>
        <v/>
      </c>
      <c r="S234" s="11">
        <f>IF(COUNT(O234:R234)=4,ROUND(AVERAGE(O234:R234),6),"")</f>
        <v/>
      </c>
      <c r="U234">
        <f>IF(AND(ISNUMBER('자료_한국심리'!$A218),ISNUMBER('자료_한국심리'!$B218)),'자료_한국심리'!$A218,"")</f>
        <v/>
      </c>
      <c r="V234">
        <f>IF(AND(ISNUMBER('자료_한국심리'!$D218),ISNUMBER('자료_한국심리'!$E218)),'자료_한국심리'!$D218,"")</f>
        <v/>
      </c>
      <c r="W234">
        <f>IF(AND(ISNUMBER('자료_한국심리'!$G218),ISNUMBER('자료_한국심리'!$H218)),'자료_한국심리'!$G218,"")</f>
        <v/>
      </c>
      <c r="X234">
        <f>IF(AND(ISNUMBER('자료_한국심리'!$J218),ISNUMBER('자료_한국심리'!$K218)),'자료_한국심리'!$J218,"")</f>
        <v/>
      </c>
      <c r="Y234">
        <f>IF(AND(ISNUMBER('자료_한국심리'!$M218),ISNUMBER('자료_한국심리'!$N218)),'자료_한국심리'!$M218,"")</f>
        <v/>
      </c>
    </row>
    <row r="235">
      <c r="A235" s="10">
        <f>IF(217&gt;$E$5,"",SMALL($U$19:$U$4018,$E$6+217))</f>
        <v/>
      </c>
      <c r="B235" s="29">
        <f>IF(A235="","",INDEX('자료_한국심리'!$B$3:$B$4002,MATCH(A235,$U$19:$U$4018,0)))</f>
        <v/>
      </c>
      <c r="C235" s="22">
        <f>IF(A235="","",B235/AVERAGE(B111:B235)-1)</f>
        <v/>
      </c>
      <c r="D235" s="29">
        <f>IF(A235="","",IFERROR(INDEX('자료_한국심리'!$E$3:$E$4002,MATCH(A235,$V$19:$V$4018,0)),D234))</f>
        <v/>
      </c>
      <c r="E235" s="30">
        <f>IF(A235="","",IFERROR(INDEX('자료_한국심리'!$H$3:$H$4002,MATCH(A235,$W$19:$W$4018,0)),E234))</f>
        <v/>
      </c>
      <c r="F235" s="30">
        <f>IF(A235="","",IFERROR(INDEX('자료_한국심리'!$K$3:$K$4002,MATCH(A235,$X$19:$X$4018,0)),F234))</f>
        <v/>
      </c>
      <c r="G235" s="30">
        <f>IF(AND(ISNUMBER(E235),ISNUMBER(F235)),ROUND(E235-F235,6),"")</f>
        <v/>
      </c>
      <c r="H235" s="25">
        <f>IF(A235="","",IFERROR(INDEX('자료_한국심리'!$N$3:$N$4002,MATCH(A235,$Y$19:$Y$4018,0)),H234))</f>
        <v/>
      </c>
      <c r="I235" s="31">
        <f>IF(AND(ISNUMBER(H235),ISNUMBER(H215)),IF(H215&gt;0,H235/H215-1,""),"")</f>
        <v/>
      </c>
      <c r="J235">
        <f>IF(A235="",0,IF(A235&gt;$B$5,1,0))</f>
        <v/>
      </c>
      <c r="K235" s="29">
        <f>IF(AND(J235=1,ISNUMBER(D235)),D235,"")</f>
        <v/>
      </c>
      <c r="L235" s="30">
        <f>IF(AND(J235=1,ISNUMBER(G235)),G235,"")</f>
        <v/>
      </c>
      <c r="M235" s="22">
        <f>IF(AND(J235=1,ISNUMBER(C235)),C235,"")</f>
        <v/>
      </c>
      <c r="N235" s="31">
        <f>IF(AND(J235=1,ISNUMBER(I235)),I235,"")</f>
        <v/>
      </c>
      <c r="O235" s="11">
        <f>IF(K235="","",100-IF($G$13=1,50,(_xlfn.RANK.AVG(K235,$K$19:$K$1518,1)-1)/($G$13-1)*100))</f>
        <v/>
      </c>
      <c r="P235" s="11">
        <f>IF(L235="","",100-IF($G$14=1,50,(_xlfn.RANK.AVG(L235,$L$19:$L$1518,1)-1)/($G$14-1)*100))</f>
        <v/>
      </c>
      <c r="Q235" s="11">
        <f>IF(M235="","",IF($G$15=1,50,(_xlfn.RANK.AVG(M235,$M$19:$M$1518,1)-1)/($G$15-1)*100))</f>
        <v/>
      </c>
      <c r="R235" s="11">
        <f>IF(N235="","",IF($G$16=1,50,(_xlfn.RANK.AVG(N235,$N$19:$N$1518,1)-1)/($G$16-1)*100))</f>
        <v/>
      </c>
      <c r="S235" s="11">
        <f>IF(COUNT(O235:R235)=4,ROUND(AVERAGE(O235:R235),6),"")</f>
        <v/>
      </c>
      <c r="U235">
        <f>IF(AND(ISNUMBER('자료_한국심리'!$A219),ISNUMBER('자료_한국심리'!$B219)),'자료_한국심리'!$A219,"")</f>
        <v/>
      </c>
      <c r="V235">
        <f>IF(AND(ISNUMBER('자료_한국심리'!$D219),ISNUMBER('자료_한국심리'!$E219)),'자료_한국심리'!$D219,"")</f>
        <v/>
      </c>
      <c r="W235">
        <f>IF(AND(ISNUMBER('자료_한국심리'!$G219),ISNUMBER('자료_한국심리'!$H219)),'자료_한국심리'!$G219,"")</f>
        <v/>
      </c>
      <c r="X235">
        <f>IF(AND(ISNUMBER('자료_한국심리'!$J219),ISNUMBER('자료_한국심리'!$K219)),'자료_한국심리'!$J219,"")</f>
        <v/>
      </c>
      <c r="Y235">
        <f>IF(AND(ISNUMBER('자료_한국심리'!$M219),ISNUMBER('자료_한국심리'!$N219)),'자료_한국심리'!$M219,"")</f>
        <v/>
      </c>
    </row>
    <row r="236">
      <c r="A236" s="10">
        <f>IF(218&gt;$E$5,"",SMALL($U$19:$U$4018,$E$6+218))</f>
        <v/>
      </c>
      <c r="B236" s="29">
        <f>IF(A236="","",INDEX('자료_한국심리'!$B$3:$B$4002,MATCH(A236,$U$19:$U$4018,0)))</f>
        <v/>
      </c>
      <c r="C236" s="22">
        <f>IF(A236="","",B236/AVERAGE(B112:B236)-1)</f>
        <v/>
      </c>
      <c r="D236" s="29">
        <f>IF(A236="","",IFERROR(INDEX('자료_한국심리'!$E$3:$E$4002,MATCH(A236,$V$19:$V$4018,0)),D235))</f>
        <v/>
      </c>
      <c r="E236" s="30">
        <f>IF(A236="","",IFERROR(INDEX('자료_한국심리'!$H$3:$H$4002,MATCH(A236,$W$19:$W$4018,0)),E235))</f>
        <v/>
      </c>
      <c r="F236" s="30">
        <f>IF(A236="","",IFERROR(INDEX('자료_한국심리'!$K$3:$K$4002,MATCH(A236,$X$19:$X$4018,0)),F235))</f>
        <v/>
      </c>
      <c r="G236" s="30">
        <f>IF(AND(ISNUMBER(E236),ISNUMBER(F236)),ROUND(E236-F236,6),"")</f>
        <v/>
      </c>
      <c r="H236" s="25">
        <f>IF(A236="","",IFERROR(INDEX('자료_한국심리'!$N$3:$N$4002,MATCH(A236,$Y$19:$Y$4018,0)),H235))</f>
        <v/>
      </c>
      <c r="I236" s="31">
        <f>IF(AND(ISNUMBER(H236),ISNUMBER(H216)),IF(H216&gt;0,H236/H216-1,""),"")</f>
        <v/>
      </c>
      <c r="J236">
        <f>IF(A236="",0,IF(A236&gt;$B$5,1,0))</f>
        <v/>
      </c>
      <c r="K236" s="29">
        <f>IF(AND(J236=1,ISNUMBER(D236)),D236,"")</f>
        <v/>
      </c>
      <c r="L236" s="30">
        <f>IF(AND(J236=1,ISNUMBER(G236)),G236,"")</f>
        <v/>
      </c>
      <c r="M236" s="22">
        <f>IF(AND(J236=1,ISNUMBER(C236)),C236,"")</f>
        <v/>
      </c>
      <c r="N236" s="31">
        <f>IF(AND(J236=1,ISNUMBER(I236)),I236,"")</f>
        <v/>
      </c>
      <c r="O236" s="11">
        <f>IF(K236="","",100-IF($G$13=1,50,(_xlfn.RANK.AVG(K236,$K$19:$K$1518,1)-1)/($G$13-1)*100))</f>
        <v/>
      </c>
      <c r="P236" s="11">
        <f>IF(L236="","",100-IF($G$14=1,50,(_xlfn.RANK.AVG(L236,$L$19:$L$1518,1)-1)/($G$14-1)*100))</f>
        <v/>
      </c>
      <c r="Q236" s="11">
        <f>IF(M236="","",IF($G$15=1,50,(_xlfn.RANK.AVG(M236,$M$19:$M$1518,1)-1)/($G$15-1)*100))</f>
        <v/>
      </c>
      <c r="R236" s="11">
        <f>IF(N236="","",IF($G$16=1,50,(_xlfn.RANK.AVG(N236,$N$19:$N$1518,1)-1)/($G$16-1)*100))</f>
        <v/>
      </c>
      <c r="S236" s="11">
        <f>IF(COUNT(O236:R236)=4,ROUND(AVERAGE(O236:R236),6),"")</f>
        <v/>
      </c>
      <c r="U236">
        <f>IF(AND(ISNUMBER('자료_한국심리'!$A220),ISNUMBER('자료_한국심리'!$B220)),'자료_한국심리'!$A220,"")</f>
        <v/>
      </c>
      <c r="V236">
        <f>IF(AND(ISNUMBER('자료_한국심리'!$D220),ISNUMBER('자료_한국심리'!$E220)),'자료_한국심리'!$D220,"")</f>
        <v/>
      </c>
      <c r="W236">
        <f>IF(AND(ISNUMBER('자료_한국심리'!$G220),ISNUMBER('자료_한국심리'!$H220)),'자료_한국심리'!$G220,"")</f>
        <v/>
      </c>
      <c r="X236">
        <f>IF(AND(ISNUMBER('자료_한국심리'!$J220),ISNUMBER('자료_한국심리'!$K220)),'자료_한국심리'!$J220,"")</f>
        <v/>
      </c>
      <c r="Y236">
        <f>IF(AND(ISNUMBER('자료_한국심리'!$M220),ISNUMBER('자료_한국심리'!$N220)),'자료_한국심리'!$M220,"")</f>
        <v/>
      </c>
    </row>
    <row r="237">
      <c r="A237" s="10">
        <f>IF(219&gt;$E$5,"",SMALL($U$19:$U$4018,$E$6+219))</f>
        <v/>
      </c>
      <c r="B237" s="29">
        <f>IF(A237="","",INDEX('자료_한국심리'!$B$3:$B$4002,MATCH(A237,$U$19:$U$4018,0)))</f>
        <v/>
      </c>
      <c r="C237" s="22">
        <f>IF(A237="","",B237/AVERAGE(B113:B237)-1)</f>
        <v/>
      </c>
      <c r="D237" s="29">
        <f>IF(A237="","",IFERROR(INDEX('자료_한국심리'!$E$3:$E$4002,MATCH(A237,$V$19:$V$4018,0)),D236))</f>
        <v/>
      </c>
      <c r="E237" s="30">
        <f>IF(A237="","",IFERROR(INDEX('자료_한국심리'!$H$3:$H$4002,MATCH(A237,$W$19:$W$4018,0)),E236))</f>
        <v/>
      </c>
      <c r="F237" s="30">
        <f>IF(A237="","",IFERROR(INDEX('자료_한국심리'!$K$3:$K$4002,MATCH(A237,$X$19:$X$4018,0)),F236))</f>
        <v/>
      </c>
      <c r="G237" s="30">
        <f>IF(AND(ISNUMBER(E237),ISNUMBER(F237)),ROUND(E237-F237,6),"")</f>
        <v/>
      </c>
      <c r="H237" s="25">
        <f>IF(A237="","",IFERROR(INDEX('자료_한국심리'!$N$3:$N$4002,MATCH(A237,$Y$19:$Y$4018,0)),H236))</f>
        <v/>
      </c>
      <c r="I237" s="31">
        <f>IF(AND(ISNUMBER(H237),ISNUMBER(H217)),IF(H217&gt;0,H237/H217-1,""),"")</f>
        <v/>
      </c>
      <c r="J237">
        <f>IF(A237="",0,IF(A237&gt;$B$5,1,0))</f>
        <v/>
      </c>
      <c r="K237" s="29">
        <f>IF(AND(J237=1,ISNUMBER(D237)),D237,"")</f>
        <v/>
      </c>
      <c r="L237" s="30">
        <f>IF(AND(J237=1,ISNUMBER(G237)),G237,"")</f>
        <v/>
      </c>
      <c r="M237" s="22">
        <f>IF(AND(J237=1,ISNUMBER(C237)),C237,"")</f>
        <v/>
      </c>
      <c r="N237" s="31">
        <f>IF(AND(J237=1,ISNUMBER(I237)),I237,"")</f>
        <v/>
      </c>
      <c r="O237" s="11">
        <f>IF(K237="","",100-IF($G$13=1,50,(_xlfn.RANK.AVG(K237,$K$19:$K$1518,1)-1)/($G$13-1)*100))</f>
        <v/>
      </c>
      <c r="P237" s="11">
        <f>IF(L237="","",100-IF($G$14=1,50,(_xlfn.RANK.AVG(L237,$L$19:$L$1518,1)-1)/($G$14-1)*100))</f>
        <v/>
      </c>
      <c r="Q237" s="11">
        <f>IF(M237="","",IF($G$15=1,50,(_xlfn.RANK.AVG(M237,$M$19:$M$1518,1)-1)/($G$15-1)*100))</f>
        <v/>
      </c>
      <c r="R237" s="11">
        <f>IF(N237="","",IF($G$16=1,50,(_xlfn.RANK.AVG(N237,$N$19:$N$1518,1)-1)/($G$16-1)*100))</f>
        <v/>
      </c>
      <c r="S237" s="11">
        <f>IF(COUNT(O237:R237)=4,ROUND(AVERAGE(O237:R237),6),"")</f>
        <v/>
      </c>
      <c r="U237">
        <f>IF(AND(ISNUMBER('자료_한국심리'!$A221),ISNUMBER('자료_한국심리'!$B221)),'자료_한국심리'!$A221,"")</f>
        <v/>
      </c>
      <c r="V237">
        <f>IF(AND(ISNUMBER('자료_한국심리'!$D221),ISNUMBER('자료_한국심리'!$E221)),'자료_한국심리'!$D221,"")</f>
        <v/>
      </c>
      <c r="W237">
        <f>IF(AND(ISNUMBER('자료_한국심리'!$G221),ISNUMBER('자료_한국심리'!$H221)),'자료_한국심리'!$G221,"")</f>
        <v/>
      </c>
      <c r="X237">
        <f>IF(AND(ISNUMBER('자료_한국심리'!$J221),ISNUMBER('자료_한국심리'!$K221)),'자료_한국심리'!$J221,"")</f>
        <v/>
      </c>
      <c r="Y237">
        <f>IF(AND(ISNUMBER('자료_한국심리'!$M221),ISNUMBER('자료_한국심리'!$N221)),'자료_한국심리'!$M221,"")</f>
        <v/>
      </c>
    </row>
    <row r="238">
      <c r="A238" s="10">
        <f>IF(220&gt;$E$5,"",SMALL($U$19:$U$4018,$E$6+220))</f>
        <v/>
      </c>
      <c r="B238" s="29">
        <f>IF(A238="","",INDEX('자료_한국심리'!$B$3:$B$4002,MATCH(A238,$U$19:$U$4018,0)))</f>
        <v/>
      </c>
      <c r="C238" s="22">
        <f>IF(A238="","",B238/AVERAGE(B114:B238)-1)</f>
        <v/>
      </c>
      <c r="D238" s="29">
        <f>IF(A238="","",IFERROR(INDEX('자료_한국심리'!$E$3:$E$4002,MATCH(A238,$V$19:$V$4018,0)),D237))</f>
        <v/>
      </c>
      <c r="E238" s="30">
        <f>IF(A238="","",IFERROR(INDEX('자료_한국심리'!$H$3:$H$4002,MATCH(A238,$W$19:$W$4018,0)),E237))</f>
        <v/>
      </c>
      <c r="F238" s="30">
        <f>IF(A238="","",IFERROR(INDEX('자료_한국심리'!$K$3:$K$4002,MATCH(A238,$X$19:$X$4018,0)),F237))</f>
        <v/>
      </c>
      <c r="G238" s="30">
        <f>IF(AND(ISNUMBER(E238),ISNUMBER(F238)),ROUND(E238-F238,6),"")</f>
        <v/>
      </c>
      <c r="H238" s="25">
        <f>IF(A238="","",IFERROR(INDEX('자료_한국심리'!$N$3:$N$4002,MATCH(A238,$Y$19:$Y$4018,0)),H237))</f>
        <v/>
      </c>
      <c r="I238" s="31">
        <f>IF(AND(ISNUMBER(H238),ISNUMBER(H218)),IF(H218&gt;0,H238/H218-1,""),"")</f>
        <v/>
      </c>
      <c r="J238">
        <f>IF(A238="",0,IF(A238&gt;$B$5,1,0))</f>
        <v/>
      </c>
      <c r="K238" s="29">
        <f>IF(AND(J238=1,ISNUMBER(D238)),D238,"")</f>
        <v/>
      </c>
      <c r="L238" s="30">
        <f>IF(AND(J238=1,ISNUMBER(G238)),G238,"")</f>
        <v/>
      </c>
      <c r="M238" s="22">
        <f>IF(AND(J238=1,ISNUMBER(C238)),C238,"")</f>
        <v/>
      </c>
      <c r="N238" s="31">
        <f>IF(AND(J238=1,ISNUMBER(I238)),I238,"")</f>
        <v/>
      </c>
      <c r="O238" s="11">
        <f>IF(K238="","",100-IF($G$13=1,50,(_xlfn.RANK.AVG(K238,$K$19:$K$1518,1)-1)/($G$13-1)*100))</f>
        <v/>
      </c>
      <c r="P238" s="11">
        <f>IF(L238="","",100-IF($G$14=1,50,(_xlfn.RANK.AVG(L238,$L$19:$L$1518,1)-1)/($G$14-1)*100))</f>
        <v/>
      </c>
      <c r="Q238" s="11">
        <f>IF(M238="","",IF($G$15=1,50,(_xlfn.RANK.AVG(M238,$M$19:$M$1518,1)-1)/($G$15-1)*100))</f>
        <v/>
      </c>
      <c r="R238" s="11">
        <f>IF(N238="","",IF($G$16=1,50,(_xlfn.RANK.AVG(N238,$N$19:$N$1518,1)-1)/($G$16-1)*100))</f>
        <v/>
      </c>
      <c r="S238" s="11">
        <f>IF(COUNT(O238:R238)=4,ROUND(AVERAGE(O238:R238),6),"")</f>
        <v/>
      </c>
      <c r="U238">
        <f>IF(AND(ISNUMBER('자료_한국심리'!$A222),ISNUMBER('자료_한국심리'!$B222)),'자료_한국심리'!$A222,"")</f>
        <v/>
      </c>
      <c r="V238">
        <f>IF(AND(ISNUMBER('자료_한국심리'!$D222),ISNUMBER('자료_한국심리'!$E222)),'자료_한국심리'!$D222,"")</f>
        <v/>
      </c>
      <c r="W238">
        <f>IF(AND(ISNUMBER('자료_한국심리'!$G222),ISNUMBER('자료_한국심리'!$H222)),'자료_한국심리'!$G222,"")</f>
        <v/>
      </c>
      <c r="X238">
        <f>IF(AND(ISNUMBER('자료_한국심리'!$J222),ISNUMBER('자료_한국심리'!$K222)),'자료_한국심리'!$J222,"")</f>
        <v/>
      </c>
      <c r="Y238">
        <f>IF(AND(ISNUMBER('자료_한국심리'!$M222),ISNUMBER('자료_한국심리'!$N222)),'자료_한국심리'!$M222,"")</f>
        <v/>
      </c>
    </row>
    <row r="239">
      <c r="A239" s="10">
        <f>IF(221&gt;$E$5,"",SMALL($U$19:$U$4018,$E$6+221))</f>
        <v/>
      </c>
      <c r="B239" s="29">
        <f>IF(A239="","",INDEX('자료_한국심리'!$B$3:$B$4002,MATCH(A239,$U$19:$U$4018,0)))</f>
        <v/>
      </c>
      <c r="C239" s="22">
        <f>IF(A239="","",B239/AVERAGE(B115:B239)-1)</f>
        <v/>
      </c>
      <c r="D239" s="29">
        <f>IF(A239="","",IFERROR(INDEX('자료_한국심리'!$E$3:$E$4002,MATCH(A239,$V$19:$V$4018,0)),D238))</f>
        <v/>
      </c>
      <c r="E239" s="30">
        <f>IF(A239="","",IFERROR(INDEX('자료_한국심리'!$H$3:$H$4002,MATCH(A239,$W$19:$W$4018,0)),E238))</f>
        <v/>
      </c>
      <c r="F239" s="30">
        <f>IF(A239="","",IFERROR(INDEX('자료_한국심리'!$K$3:$K$4002,MATCH(A239,$X$19:$X$4018,0)),F238))</f>
        <v/>
      </c>
      <c r="G239" s="30">
        <f>IF(AND(ISNUMBER(E239),ISNUMBER(F239)),ROUND(E239-F239,6),"")</f>
        <v/>
      </c>
      <c r="H239" s="25">
        <f>IF(A239="","",IFERROR(INDEX('자료_한국심리'!$N$3:$N$4002,MATCH(A239,$Y$19:$Y$4018,0)),H238))</f>
        <v/>
      </c>
      <c r="I239" s="31">
        <f>IF(AND(ISNUMBER(H239),ISNUMBER(H219)),IF(H219&gt;0,H239/H219-1,""),"")</f>
        <v/>
      </c>
      <c r="J239">
        <f>IF(A239="",0,IF(A239&gt;$B$5,1,0))</f>
        <v/>
      </c>
      <c r="K239" s="29">
        <f>IF(AND(J239=1,ISNUMBER(D239)),D239,"")</f>
        <v/>
      </c>
      <c r="L239" s="30">
        <f>IF(AND(J239=1,ISNUMBER(G239)),G239,"")</f>
        <v/>
      </c>
      <c r="M239" s="22">
        <f>IF(AND(J239=1,ISNUMBER(C239)),C239,"")</f>
        <v/>
      </c>
      <c r="N239" s="31">
        <f>IF(AND(J239=1,ISNUMBER(I239)),I239,"")</f>
        <v/>
      </c>
      <c r="O239" s="11">
        <f>IF(K239="","",100-IF($G$13=1,50,(_xlfn.RANK.AVG(K239,$K$19:$K$1518,1)-1)/($G$13-1)*100))</f>
        <v/>
      </c>
      <c r="P239" s="11">
        <f>IF(L239="","",100-IF($G$14=1,50,(_xlfn.RANK.AVG(L239,$L$19:$L$1518,1)-1)/($G$14-1)*100))</f>
        <v/>
      </c>
      <c r="Q239" s="11">
        <f>IF(M239="","",IF($G$15=1,50,(_xlfn.RANK.AVG(M239,$M$19:$M$1518,1)-1)/($G$15-1)*100))</f>
        <v/>
      </c>
      <c r="R239" s="11">
        <f>IF(N239="","",IF($G$16=1,50,(_xlfn.RANK.AVG(N239,$N$19:$N$1518,1)-1)/($G$16-1)*100))</f>
        <v/>
      </c>
      <c r="S239" s="11">
        <f>IF(COUNT(O239:R239)=4,ROUND(AVERAGE(O239:R239),6),"")</f>
        <v/>
      </c>
      <c r="U239">
        <f>IF(AND(ISNUMBER('자료_한국심리'!$A223),ISNUMBER('자료_한국심리'!$B223)),'자료_한국심리'!$A223,"")</f>
        <v/>
      </c>
      <c r="V239">
        <f>IF(AND(ISNUMBER('자료_한국심리'!$D223),ISNUMBER('자료_한국심리'!$E223)),'자료_한국심리'!$D223,"")</f>
        <v/>
      </c>
      <c r="W239">
        <f>IF(AND(ISNUMBER('자료_한국심리'!$G223),ISNUMBER('자료_한국심리'!$H223)),'자료_한국심리'!$G223,"")</f>
        <v/>
      </c>
      <c r="X239">
        <f>IF(AND(ISNUMBER('자료_한국심리'!$J223),ISNUMBER('자료_한국심리'!$K223)),'자료_한국심리'!$J223,"")</f>
        <v/>
      </c>
      <c r="Y239">
        <f>IF(AND(ISNUMBER('자료_한국심리'!$M223),ISNUMBER('자료_한국심리'!$N223)),'자료_한국심리'!$M223,"")</f>
        <v/>
      </c>
    </row>
    <row r="240">
      <c r="A240" s="10">
        <f>IF(222&gt;$E$5,"",SMALL($U$19:$U$4018,$E$6+222))</f>
        <v/>
      </c>
      <c r="B240" s="29">
        <f>IF(A240="","",INDEX('자료_한국심리'!$B$3:$B$4002,MATCH(A240,$U$19:$U$4018,0)))</f>
        <v/>
      </c>
      <c r="C240" s="22">
        <f>IF(A240="","",B240/AVERAGE(B116:B240)-1)</f>
        <v/>
      </c>
      <c r="D240" s="29">
        <f>IF(A240="","",IFERROR(INDEX('자료_한국심리'!$E$3:$E$4002,MATCH(A240,$V$19:$V$4018,0)),D239))</f>
        <v/>
      </c>
      <c r="E240" s="30">
        <f>IF(A240="","",IFERROR(INDEX('자료_한국심리'!$H$3:$H$4002,MATCH(A240,$W$19:$W$4018,0)),E239))</f>
        <v/>
      </c>
      <c r="F240" s="30">
        <f>IF(A240="","",IFERROR(INDEX('자료_한국심리'!$K$3:$K$4002,MATCH(A240,$X$19:$X$4018,0)),F239))</f>
        <v/>
      </c>
      <c r="G240" s="30">
        <f>IF(AND(ISNUMBER(E240),ISNUMBER(F240)),ROUND(E240-F240,6),"")</f>
        <v/>
      </c>
      <c r="H240" s="25">
        <f>IF(A240="","",IFERROR(INDEX('자료_한국심리'!$N$3:$N$4002,MATCH(A240,$Y$19:$Y$4018,0)),H239))</f>
        <v/>
      </c>
      <c r="I240" s="31">
        <f>IF(AND(ISNUMBER(H240),ISNUMBER(H220)),IF(H220&gt;0,H240/H220-1,""),"")</f>
        <v/>
      </c>
      <c r="J240">
        <f>IF(A240="",0,IF(A240&gt;$B$5,1,0))</f>
        <v/>
      </c>
      <c r="K240" s="29">
        <f>IF(AND(J240=1,ISNUMBER(D240)),D240,"")</f>
        <v/>
      </c>
      <c r="L240" s="30">
        <f>IF(AND(J240=1,ISNUMBER(G240)),G240,"")</f>
        <v/>
      </c>
      <c r="M240" s="22">
        <f>IF(AND(J240=1,ISNUMBER(C240)),C240,"")</f>
        <v/>
      </c>
      <c r="N240" s="31">
        <f>IF(AND(J240=1,ISNUMBER(I240)),I240,"")</f>
        <v/>
      </c>
      <c r="O240" s="11">
        <f>IF(K240="","",100-IF($G$13=1,50,(_xlfn.RANK.AVG(K240,$K$19:$K$1518,1)-1)/($G$13-1)*100))</f>
        <v/>
      </c>
      <c r="P240" s="11">
        <f>IF(L240="","",100-IF($G$14=1,50,(_xlfn.RANK.AVG(L240,$L$19:$L$1518,1)-1)/($G$14-1)*100))</f>
        <v/>
      </c>
      <c r="Q240" s="11">
        <f>IF(M240="","",IF($G$15=1,50,(_xlfn.RANK.AVG(M240,$M$19:$M$1518,1)-1)/($G$15-1)*100))</f>
        <v/>
      </c>
      <c r="R240" s="11">
        <f>IF(N240="","",IF($G$16=1,50,(_xlfn.RANK.AVG(N240,$N$19:$N$1518,1)-1)/($G$16-1)*100))</f>
        <v/>
      </c>
      <c r="S240" s="11">
        <f>IF(COUNT(O240:R240)=4,ROUND(AVERAGE(O240:R240),6),"")</f>
        <v/>
      </c>
      <c r="U240">
        <f>IF(AND(ISNUMBER('자료_한국심리'!$A224),ISNUMBER('자료_한국심리'!$B224)),'자료_한국심리'!$A224,"")</f>
        <v/>
      </c>
      <c r="V240">
        <f>IF(AND(ISNUMBER('자료_한국심리'!$D224),ISNUMBER('자료_한국심리'!$E224)),'자료_한국심리'!$D224,"")</f>
        <v/>
      </c>
      <c r="W240">
        <f>IF(AND(ISNUMBER('자료_한국심리'!$G224),ISNUMBER('자료_한국심리'!$H224)),'자료_한국심리'!$G224,"")</f>
        <v/>
      </c>
      <c r="X240">
        <f>IF(AND(ISNUMBER('자료_한국심리'!$J224),ISNUMBER('자료_한국심리'!$K224)),'자료_한국심리'!$J224,"")</f>
        <v/>
      </c>
      <c r="Y240">
        <f>IF(AND(ISNUMBER('자료_한국심리'!$M224),ISNUMBER('자료_한국심리'!$N224)),'자료_한국심리'!$M224,"")</f>
        <v/>
      </c>
    </row>
    <row r="241">
      <c r="A241" s="10">
        <f>IF(223&gt;$E$5,"",SMALL($U$19:$U$4018,$E$6+223))</f>
        <v/>
      </c>
      <c r="B241" s="29">
        <f>IF(A241="","",INDEX('자료_한국심리'!$B$3:$B$4002,MATCH(A241,$U$19:$U$4018,0)))</f>
        <v/>
      </c>
      <c r="C241" s="22">
        <f>IF(A241="","",B241/AVERAGE(B117:B241)-1)</f>
        <v/>
      </c>
      <c r="D241" s="29">
        <f>IF(A241="","",IFERROR(INDEX('자료_한국심리'!$E$3:$E$4002,MATCH(A241,$V$19:$V$4018,0)),D240))</f>
        <v/>
      </c>
      <c r="E241" s="30">
        <f>IF(A241="","",IFERROR(INDEX('자료_한국심리'!$H$3:$H$4002,MATCH(A241,$W$19:$W$4018,0)),E240))</f>
        <v/>
      </c>
      <c r="F241" s="30">
        <f>IF(A241="","",IFERROR(INDEX('자료_한국심리'!$K$3:$K$4002,MATCH(A241,$X$19:$X$4018,0)),F240))</f>
        <v/>
      </c>
      <c r="G241" s="30">
        <f>IF(AND(ISNUMBER(E241),ISNUMBER(F241)),ROUND(E241-F241,6),"")</f>
        <v/>
      </c>
      <c r="H241" s="25">
        <f>IF(A241="","",IFERROR(INDEX('자료_한국심리'!$N$3:$N$4002,MATCH(A241,$Y$19:$Y$4018,0)),H240))</f>
        <v/>
      </c>
      <c r="I241" s="31">
        <f>IF(AND(ISNUMBER(H241),ISNUMBER(H221)),IF(H221&gt;0,H241/H221-1,""),"")</f>
        <v/>
      </c>
      <c r="J241">
        <f>IF(A241="",0,IF(A241&gt;$B$5,1,0))</f>
        <v/>
      </c>
      <c r="K241" s="29">
        <f>IF(AND(J241=1,ISNUMBER(D241)),D241,"")</f>
        <v/>
      </c>
      <c r="L241" s="30">
        <f>IF(AND(J241=1,ISNUMBER(G241)),G241,"")</f>
        <v/>
      </c>
      <c r="M241" s="22">
        <f>IF(AND(J241=1,ISNUMBER(C241)),C241,"")</f>
        <v/>
      </c>
      <c r="N241" s="31">
        <f>IF(AND(J241=1,ISNUMBER(I241)),I241,"")</f>
        <v/>
      </c>
      <c r="O241" s="11">
        <f>IF(K241="","",100-IF($G$13=1,50,(_xlfn.RANK.AVG(K241,$K$19:$K$1518,1)-1)/($G$13-1)*100))</f>
        <v/>
      </c>
      <c r="P241" s="11">
        <f>IF(L241="","",100-IF($G$14=1,50,(_xlfn.RANK.AVG(L241,$L$19:$L$1518,1)-1)/($G$14-1)*100))</f>
        <v/>
      </c>
      <c r="Q241" s="11">
        <f>IF(M241="","",IF($G$15=1,50,(_xlfn.RANK.AVG(M241,$M$19:$M$1518,1)-1)/($G$15-1)*100))</f>
        <v/>
      </c>
      <c r="R241" s="11">
        <f>IF(N241="","",IF($G$16=1,50,(_xlfn.RANK.AVG(N241,$N$19:$N$1518,1)-1)/($G$16-1)*100))</f>
        <v/>
      </c>
      <c r="S241" s="11">
        <f>IF(COUNT(O241:R241)=4,ROUND(AVERAGE(O241:R241),6),"")</f>
        <v/>
      </c>
      <c r="U241">
        <f>IF(AND(ISNUMBER('자료_한국심리'!$A225),ISNUMBER('자료_한국심리'!$B225)),'자료_한국심리'!$A225,"")</f>
        <v/>
      </c>
      <c r="V241">
        <f>IF(AND(ISNUMBER('자료_한국심리'!$D225),ISNUMBER('자료_한국심리'!$E225)),'자료_한국심리'!$D225,"")</f>
        <v/>
      </c>
      <c r="W241">
        <f>IF(AND(ISNUMBER('자료_한국심리'!$G225),ISNUMBER('자료_한국심리'!$H225)),'자료_한국심리'!$G225,"")</f>
        <v/>
      </c>
      <c r="X241">
        <f>IF(AND(ISNUMBER('자료_한국심리'!$J225),ISNUMBER('자료_한국심리'!$K225)),'자료_한국심리'!$J225,"")</f>
        <v/>
      </c>
      <c r="Y241">
        <f>IF(AND(ISNUMBER('자료_한국심리'!$M225),ISNUMBER('자료_한국심리'!$N225)),'자료_한국심리'!$M225,"")</f>
        <v/>
      </c>
    </row>
    <row r="242">
      <c r="A242" s="10">
        <f>IF(224&gt;$E$5,"",SMALL($U$19:$U$4018,$E$6+224))</f>
        <v/>
      </c>
      <c r="B242" s="29">
        <f>IF(A242="","",INDEX('자료_한국심리'!$B$3:$B$4002,MATCH(A242,$U$19:$U$4018,0)))</f>
        <v/>
      </c>
      <c r="C242" s="22">
        <f>IF(A242="","",B242/AVERAGE(B118:B242)-1)</f>
        <v/>
      </c>
      <c r="D242" s="29">
        <f>IF(A242="","",IFERROR(INDEX('자료_한국심리'!$E$3:$E$4002,MATCH(A242,$V$19:$V$4018,0)),D241))</f>
        <v/>
      </c>
      <c r="E242" s="30">
        <f>IF(A242="","",IFERROR(INDEX('자료_한국심리'!$H$3:$H$4002,MATCH(A242,$W$19:$W$4018,0)),E241))</f>
        <v/>
      </c>
      <c r="F242" s="30">
        <f>IF(A242="","",IFERROR(INDEX('자료_한국심리'!$K$3:$K$4002,MATCH(A242,$X$19:$X$4018,0)),F241))</f>
        <v/>
      </c>
      <c r="G242" s="30">
        <f>IF(AND(ISNUMBER(E242),ISNUMBER(F242)),ROUND(E242-F242,6),"")</f>
        <v/>
      </c>
      <c r="H242" s="25">
        <f>IF(A242="","",IFERROR(INDEX('자료_한국심리'!$N$3:$N$4002,MATCH(A242,$Y$19:$Y$4018,0)),H241))</f>
        <v/>
      </c>
      <c r="I242" s="31">
        <f>IF(AND(ISNUMBER(H242),ISNUMBER(H222)),IF(H222&gt;0,H242/H222-1,""),"")</f>
        <v/>
      </c>
      <c r="J242">
        <f>IF(A242="",0,IF(A242&gt;$B$5,1,0))</f>
        <v/>
      </c>
      <c r="K242" s="29">
        <f>IF(AND(J242=1,ISNUMBER(D242)),D242,"")</f>
        <v/>
      </c>
      <c r="L242" s="30">
        <f>IF(AND(J242=1,ISNUMBER(G242)),G242,"")</f>
        <v/>
      </c>
      <c r="M242" s="22">
        <f>IF(AND(J242=1,ISNUMBER(C242)),C242,"")</f>
        <v/>
      </c>
      <c r="N242" s="31">
        <f>IF(AND(J242=1,ISNUMBER(I242)),I242,"")</f>
        <v/>
      </c>
      <c r="O242" s="11">
        <f>IF(K242="","",100-IF($G$13=1,50,(_xlfn.RANK.AVG(K242,$K$19:$K$1518,1)-1)/($G$13-1)*100))</f>
        <v/>
      </c>
      <c r="P242" s="11">
        <f>IF(L242="","",100-IF($G$14=1,50,(_xlfn.RANK.AVG(L242,$L$19:$L$1518,1)-1)/($G$14-1)*100))</f>
        <v/>
      </c>
      <c r="Q242" s="11">
        <f>IF(M242="","",IF($G$15=1,50,(_xlfn.RANK.AVG(M242,$M$19:$M$1518,1)-1)/($G$15-1)*100))</f>
        <v/>
      </c>
      <c r="R242" s="11">
        <f>IF(N242="","",IF($G$16=1,50,(_xlfn.RANK.AVG(N242,$N$19:$N$1518,1)-1)/($G$16-1)*100))</f>
        <v/>
      </c>
      <c r="S242" s="11">
        <f>IF(COUNT(O242:R242)=4,ROUND(AVERAGE(O242:R242),6),"")</f>
        <v/>
      </c>
      <c r="U242">
        <f>IF(AND(ISNUMBER('자료_한국심리'!$A226),ISNUMBER('자료_한국심리'!$B226)),'자료_한국심리'!$A226,"")</f>
        <v/>
      </c>
      <c r="V242">
        <f>IF(AND(ISNUMBER('자료_한국심리'!$D226),ISNUMBER('자료_한국심리'!$E226)),'자료_한국심리'!$D226,"")</f>
        <v/>
      </c>
      <c r="W242">
        <f>IF(AND(ISNUMBER('자료_한국심리'!$G226),ISNUMBER('자료_한국심리'!$H226)),'자료_한국심리'!$G226,"")</f>
        <v/>
      </c>
      <c r="X242">
        <f>IF(AND(ISNUMBER('자료_한국심리'!$J226),ISNUMBER('자료_한국심리'!$K226)),'자료_한국심리'!$J226,"")</f>
        <v/>
      </c>
      <c r="Y242">
        <f>IF(AND(ISNUMBER('자료_한국심리'!$M226),ISNUMBER('자료_한국심리'!$N226)),'자료_한국심리'!$M226,"")</f>
        <v/>
      </c>
    </row>
    <row r="243">
      <c r="A243" s="10">
        <f>IF(225&gt;$E$5,"",SMALL($U$19:$U$4018,$E$6+225))</f>
        <v/>
      </c>
      <c r="B243" s="29">
        <f>IF(A243="","",INDEX('자료_한국심리'!$B$3:$B$4002,MATCH(A243,$U$19:$U$4018,0)))</f>
        <v/>
      </c>
      <c r="C243" s="22">
        <f>IF(A243="","",B243/AVERAGE(B119:B243)-1)</f>
        <v/>
      </c>
      <c r="D243" s="29">
        <f>IF(A243="","",IFERROR(INDEX('자료_한국심리'!$E$3:$E$4002,MATCH(A243,$V$19:$V$4018,0)),D242))</f>
        <v/>
      </c>
      <c r="E243" s="30">
        <f>IF(A243="","",IFERROR(INDEX('자료_한국심리'!$H$3:$H$4002,MATCH(A243,$W$19:$W$4018,0)),E242))</f>
        <v/>
      </c>
      <c r="F243" s="30">
        <f>IF(A243="","",IFERROR(INDEX('자료_한국심리'!$K$3:$K$4002,MATCH(A243,$X$19:$X$4018,0)),F242))</f>
        <v/>
      </c>
      <c r="G243" s="30">
        <f>IF(AND(ISNUMBER(E243),ISNUMBER(F243)),ROUND(E243-F243,6),"")</f>
        <v/>
      </c>
      <c r="H243" s="25">
        <f>IF(A243="","",IFERROR(INDEX('자료_한국심리'!$N$3:$N$4002,MATCH(A243,$Y$19:$Y$4018,0)),H242))</f>
        <v/>
      </c>
      <c r="I243" s="31">
        <f>IF(AND(ISNUMBER(H243),ISNUMBER(H223)),IF(H223&gt;0,H243/H223-1,""),"")</f>
        <v/>
      </c>
      <c r="J243">
        <f>IF(A243="",0,IF(A243&gt;$B$5,1,0))</f>
        <v/>
      </c>
      <c r="K243" s="29">
        <f>IF(AND(J243=1,ISNUMBER(D243)),D243,"")</f>
        <v/>
      </c>
      <c r="L243" s="30">
        <f>IF(AND(J243=1,ISNUMBER(G243)),G243,"")</f>
        <v/>
      </c>
      <c r="M243" s="22">
        <f>IF(AND(J243=1,ISNUMBER(C243)),C243,"")</f>
        <v/>
      </c>
      <c r="N243" s="31">
        <f>IF(AND(J243=1,ISNUMBER(I243)),I243,"")</f>
        <v/>
      </c>
      <c r="O243" s="11">
        <f>IF(K243="","",100-IF($G$13=1,50,(_xlfn.RANK.AVG(K243,$K$19:$K$1518,1)-1)/($G$13-1)*100))</f>
        <v/>
      </c>
      <c r="P243" s="11">
        <f>IF(L243="","",100-IF($G$14=1,50,(_xlfn.RANK.AVG(L243,$L$19:$L$1518,1)-1)/($G$14-1)*100))</f>
        <v/>
      </c>
      <c r="Q243" s="11">
        <f>IF(M243="","",IF($G$15=1,50,(_xlfn.RANK.AVG(M243,$M$19:$M$1518,1)-1)/($G$15-1)*100))</f>
        <v/>
      </c>
      <c r="R243" s="11">
        <f>IF(N243="","",IF($G$16=1,50,(_xlfn.RANK.AVG(N243,$N$19:$N$1518,1)-1)/($G$16-1)*100))</f>
        <v/>
      </c>
      <c r="S243" s="11">
        <f>IF(COUNT(O243:R243)=4,ROUND(AVERAGE(O243:R243),6),"")</f>
        <v/>
      </c>
      <c r="U243">
        <f>IF(AND(ISNUMBER('자료_한국심리'!$A227),ISNUMBER('자료_한국심리'!$B227)),'자료_한국심리'!$A227,"")</f>
        <v/>
      </c>
      <c r="V243">
        <f>IF(AND(ISNUMBER('자료_한국심리'!$D227),ISNUMBER('자료_한국심리'!$E227)),'자료_한국심리'!$D227,"")</f>
        <v/>
      </c>
      <c r="W243">
        <f>IF(AND(ISNUMBER('자료_한국심리'!$G227),ISNUMBER('자료_한국심리'!$H227)),'자료_한국심리'!$G227,"")</f>
        <v/>
      </c>
      <c r="X243">
        <f>IF(AND(ISNUMBER('자료_한국심리'!$J227),ISNUMBER('자료_한국심리'!$K227)),'자료_한국심리'!$J227,"")</f>
        <v/>
      </c>
      <c r="Y243">
        <f>IF(AND(ISNUMBER('자료_한국심리'!$M227),ISNUMBER('자료_한국심리'!$N227)),'자료_한국심리'!$M227,"")</f>
        <v/>
      </c>
    </row>
    <row r="244">
      <c r="A244" s="10">
        <f>IF(226&gt;$E$5,"",SMALL($U$19:$U$4018,$E$6+226))</f>
        <v/>
      </c>
      <c r="B244" s="29">
        <f>IF(A244="","",INDEX('자료_한국심리'!$B$3:$B$4002,MATCH(A244,$U$19:$U$4018,0)))</f>
        <v/>
      </c>
      <c r="C244" s="22">
        <f>IF(A244="","",B244/AVERAGE(B120:B244)-1)</f>
        <v/>
      </c>
      <c r="D244" s="29">
        <f>IF(A244="","",IFERROR(INDEX('자료_한국심리'!$E$3:$E$4002,MATCH(A244,$V$19:$V$4018,0)),D243))</f>
        <v/>
      </c>
      <c r="E244" s="30">
        <f>IF(A244="","",IFERROR(INDEX('자료_한국심리'!$H$3:$H$4002,MATCH(A244,$W$19:$W$4018,0)),E243))</f>
        <v/>
      </c>
      <c r="F244" s="30">
        <f>IF(A244="","",IFERROR(INDEX('자료_한국심리'!$K$3:$K$4002,MATCH(A244,$X$19:$X$4018,0)),F243))</f>
        <v/>
      </c>
      <c r="G244" s="30">
        <f>IF(AND(ISNUMBER(E244),ISNUMBER(F244)),ROUND(E244-F244,6),"")</f>
        <v/>
      </c>
      <c r="H244" s="25">
        <f>IF(A244="","",IFERROR(INDEX('자료_한국심리'!$N$3:$N$4002,MATCH(A244,$Y$19:$Y$4018,0)),H243))</f>
        <v/>
      </c>
      <c r="I244" s="31">
        <f>IF(AND(ISNUMBER(H244),ISNUMBER(H224)),IF(H224&gt;0,H244/H224-1,""),"")</f>
        <v/>
      </c>
      <c r="J244">
        <f>IF(A244="",0,IF(A244&gt;$B$5,1,0))</f>
        <v/>
      </c>
      <c r="K244" s="29">
        <f>IF(AND(J244=1,ISNUMBER(D244)),D244,"")</f>
        <v/>
      </c>
      <c r="L244" s="30">
        <f>IF(AND(J244=1,ISNUMBER(G244)),G244,"")</f>
        <v/>
      </c>
      <c r="M244" s="22">
        <f>IF(AND(J244=1,ISNUMBER(C244)),C244,"")</f>
        <v/>
      </c>
      <c r="N244" s="31">
        <f>IF(AND(J244=1,ISNUMBER(I244)),I244,"")</f>
        <v/>
      </c>
      <c r="O244" s="11">
        <f>IF(K244="","",100-IF($G$13=1,50,(_xlfn.RANK.AVG(K244,$K$19:$K$1518,1)-1)/($G$13-1)*100))</f>
        <v/>
      </c>
      <c r="P244" s="11">
        <f>IF(L244="","",100-IF($G$14=1,50,(_xlfn.RANK.AVG(L244,$L$19:$L$1518,1)-1)/($G$14-1)*100))</f>
        <v/>
      </c>
      <c r="Q244" s="11">
        <f>IF(M244="","",IF($G$15=1,50,(_xlfn.RANK.AVG(M244,$M$19:$M$1518,1)-1)/($G$15-1)*100))</f>
        <v/>
      </c>
      <c r="R244" s="11">
        <f>IF(N244="","",IF($G$16=1,50,(_xlfn.RANK.AVG(N244,$N$19:$N$1518,1)-1)/($G$16-1)*100))</f>
        <v/>
      </c>
      <c r="S244" s="11">
        <f>IF(COUNT(O244:R244)=4,ROUND(AVERAGE(O244:R244),6),"")</f>
        <v/>
      </c>
      <c r="U244">
        <f>IF(AND(ISNUMBER('자료_한국심리'!$A228),ISNUMBER('자료_한국심리'!$B228)),'자료_한국심리'!$A228,"")</f>
        <v/>
      </c>
      <c r="V244">
        <f>IF(AND(ISNUMBER('자료_한국심리'!$D228),ISNUMBER('자료_한국심리'!$E228)),'자료_한국심리'!$D228,"")</f>
        <v/>
      </c>
      <c r="W244">
        <f>IF(AND(ISNUMBER('자료_한국심리'!$G228),ISNUMBER('자료_한국심리'!$H228)),'자료_한국심리'!$G228,"")</f>
        <v/>
      </c>
      <c r="X244">
        <f>IF(AND(ISNUMBER('자료_한국심리'!$J228),ISNUMBER('자료_한국심리'!$K228)),'자료_한국심리'!$J228,"")</f>
        <v/>
      </c>
      <c r="Y244">
        <f>IF(AND(ISNUMBER('자료_한국심리'!$M228),ISNUMBER('자료_한국심리'!$N228)),'자료_한국심리'!$M228,"")</f>
        <v/>
      </c>
    </row>
    <row r="245">
      <c r="A245" s="10">
        <f>IF(227&gt;$E$5,"",SMALL($U$19:$U$4018,$E$6+227))</f>
        <v/>
      </c>
      <c r="B245" s="29">
        <f>IF(A245="","",INDEX('자료_한국심리'!$B$3:$B$4002,MATCH(A245,$U$19:$U$4018,0)))</f>
        <v/>
      </c>
      <c r="C245" s="22">
        <f>IF(A245="","",B245/AVERAGE(B121:B245)-1)</f>
        <v/>
      </c>
      <c r="D245" s="29">
        <f>IF(A245="","",IFERROR(INDEX('자료_한국심리'!$E$3:$E$4002,MATCH(A245,$V$19:$V$4018,0)),D244))</f>
        <v/>
      </c>
      <c r="E245" s="30">
        <f>IF(A245="","",IFERROR(INDEX('자료_한국심리'!$H$3:$H$4002,MATCH(A245,$W$19:$W$4018,0)),E244))</f>
        <v/>
      </c>
      <c r="F245" s="30">
        <f>IF(A245="","",IFERROR(INDEX('자료_한국심리'!$K$3:$K$4002,MATCH(A245,$X$19:$X$4018,0)),F244))</f>
        <v/>
      </c>
      <c r="G245" s="30">
        <f>IF(AND(ISNUMBER(E245),ISNUMBER(F245)),ROUND(E245-F245,6),"")</f>
        <v/>
      </c>
      <c r="H245" s="25">
        <f>IF(A245="","",IFERROR(INDEX('자료_한국심리'!$N$3:$N$4002,MATCH(A245,$Y$19:$Y$4018,0)),H244))</f>
        <v/>
      </c>
      <c r="I245" s="31">
        <f>IF(AND(ISNUMBER(H245),ISNUMBER(H225)),IF(H225&gt;0,H245/H225-1,""),"")</f>
        <v/>
      </c>
      <c r="J245">
        <f>IF(A245="",0,IF(A245&gt;$B$5,1,0))</f>
        <v/>
      </c>
      <c r="K245" s="29">
        <f>IF(AND(J245=1,ISNUMBER(D245)),D245,"")</f>
        <v/>
      </c>
      <c r="L245" s="30">
        <f>IF(AND(J245=1,ISNUMBER(G245)),G245,"")</f>
        <v/>
      </c>
      <c r="M245" s="22">
        <f>IF(AND(J245=1,ISNUMBER(C245)),C245,"")</f>
        <v/>
      </c>
      <c r="N245" s="31">
        <f>IF(AND(J245=1,ISNUMBER(I245)),I245,"")</f>
        <v/>
      </c>
      <c r="O245" s="11">
        <f>IF(K245="","",100-IF($G$13=1,50,(_xlfn.RANK.AVG(K245,$K$19:$K$1518,1)-1)/($G$13-1)*100))</f>
        <v/>
      </c>
      <c r="P245" s="11">
        <f>IF(L245="","",100-IF($G$14=1,50,(_xlfn.RANK.AVG(L245,$L$19:$L$1518,1)-1)/($G$14-1)*100))</f>
        <v/>
      </c>
      <c r="Q245" s="11">
        <f>IF(M245="","",IF($G$15=1,50,(_xlfn.RANK.AVG(M245,$M$19:$M$1518,1)-1)/($G$15-1)*100))</f>
        <v/>
      </c>
      <c r="R245" s="11">
        <f>IF(N245="","",IF($G$16=1,50,(_xlfn.RANK.AVG(N245,$N$19:$N$1518,1)-1)/($G$16-1)*100))</f>
        <v/>
      </c>
      <c r="S245" s="11">
        <f>IF(COUNT(O245:R245)=4,ROUND(AVERAGE(O245:R245),6),"")</f>
        <v/>
      </c>
      <c r="U245">
        <f>IF(AND(ISNUMBER('자료_한국심리'!$A229),ISNUMBER('자료_한국심리'!$B229)),'자료_한국심리'!$A229,"")</f>
        <v/>
      </c>
      <c r="V245">
        <f>IF(AND(ISNUMBER('자료_한국심리'!$D229),ISNUMBER('자료_한국심리'!$E229)),'자료_한국심리'!$D229,"")</f>
        <v/>
      </c>
      <c r="W245">
        <f>IF(AND(ISNUMBER('자료_한국심리'!$G229),ISNUMBER('자료_한국심리'!$H229)),'자료_한국심리'!$G229,"")</f>
        <v/>
      </c>
      <c r="X245">
        <f>IF(AND(ISNUMBER('자료_한국심리'!$J229),ISNUMBER('자료_한국심리'!$K229)),'자료_한국심리'!$J229,"")</f>
        <v/>
      </c>
      <c r="Y245">
        <f>IF(AND(ISNUMBER('자료_한국심리'!$M229),ISNUMBER('자료_한국심리'!$N229)),'자료_한국심리'!$M229,"")</f>
        <v/>
      </c>
    </row>
    <row r="246">
      <c r="A246" s="10">
        <f>IF(228&gt;$E$5,"",SMALL($U$19:$U$4018,$E$6+228))</f>
        <v/>
      </c>
      <c r="B246" s="29">
        <f>IF(A246="","",INDEX('자료_한국심리'!$B$3:$B$4002,MATCH(A246,$U$19:$U$4018,0)))</f>
        <v/>
      </c>
      <c r="C246" s="22">
        <f>IF(A246="","",B246/AVERAGE(B122:B246)-1)</f>
        <v/>
      </c>
      <c r="D246" s="29">
        <f>IF(A246="","",IFERROR(INDEX('자료_한국심리'!$E$3:$E$4002,MATCH(A246,$V$19:$V$4018,0)),D245))</f>
        <v/>
      </c>
      <c r="E246" s="30">
        <f>IF(A246="","",IFERROR(INDEX('자료_한국심리'!$H$3:$H$4002,MATCH(A246,$W$19:$W$4018,0)),E245))</f>
        <v/>
      </c>
      <c r="F246" s="30">
        <f>IF(A246="","",IFERROR(INDEX('자료_한국심리'!$K$3:$K$4002,MATCH(A246,$X$19:$X$4018,0)),F245))</f>
        <v/>
      </c>
      <c r="G246" s="30">
        <f>IF(AND(ISNUMBER(E246),ISNUMBER(F246)),ROUND(E246-F246,6),"")</f>
        <v/>
      </c>
      <c r="H246" s="25">
        <f>IF(A246="","",IFERROR(INDEX('자료_한국심리'!$N$3:$N$4002,MATCH(A246,$Y$19:$Y$4018,0)),H245))</f>
        <v/>
      </c>
      <c r="I246" s="31">
        <f>IF(AND(ISNUMBER(H246),ISNUMBER(H226)),IF(H226&gt;0,H246/H226-1,""),"")</f>
        <v/>
      </c>
      <c r="J246">
        <f>IF(A246="",0,IF(A246&gt;$B$5,1,0))</f>
        <v/>
      </c>
      <c r="K246" s="29">
        <f>IF(AND(J246=1,ISNUMBER(D246)),D246,"")</f>
        <v/>
      </c>
      <c r="L246" s="30">
        <f>IF(AND(J246=1,ISNUMBER(G246)),G246,"")</f>
        <v/>
      </c>
      <c r="M246" s="22">
        <f>IF(AND(J246=1,ISNUMBER(C246)),C246,"")</f>
        <v/>
      </c>
      <c r="N246" s="31">
        <f>IF(AND(J246=1,ISNUMBER(I246)),I246,"")</f>
        <v/>
      </c>
      <c r="O246" s="11">
        <f>IF(K246="","",100-IF($G$13=1,50,(_xlfn.RANK.AVG(K246,$K$19:$K$1518,1)-1)/($G$13-1)*100))</f>
        <v/>
      </c>
      <c r="P246" s="11">
        <f>IF(L246="","",100-IF($G$14=1,50,(_xlfn.RANK.AVG(L246,$L$19:$L$1518,1)-1)/($G$14-1)*100))</f>
        <v/>
      </c>
      <c r="Q246" s="11">
        <f>IF(M246="","",IF($G$15=1,50,(_xlfn.RANK.AVG(M246,$M$19:$M$1518,1)-1)/($G$15-1)*100))</f>
        <v/>
      </c>
      <c r="R246" s="11">
        <f>IF(N246="","",IF($G$16=1,50,(_xlfn.RANK.AVG(N246,$N$19:$N$1518,1)-1)/($G$16-1)*100))</f>
        <v/>
      </c>
      <c r="S246" s="11">
        <f>IF(COUNT(O246:R246)=4,ROUND(AVERAGE(O246:R246),6),"")</f>
        <v/>
      </c>
      <c r="U246">
        <f>IF(AND(ISNUMBER('자료_한국심리'!$A230),ISNUMBER('자료_한국심리'!$B230)),'자료_한국심리'!$A230,"")</f>
        <v/>
      </c>
      <c r="V246">
        <f>IF(AND(ISNUMBER('자료_한국심리'!$D230),ISNUMBER('자료_한국심리'!$E230)),'자료_한국심리'!$D230,"")</f>
        <v/>
      </c>
      <c r="W246">
        <f>IF(AND(ISNUMBER('자료_한국심리'!$G230),ISNUMBER('자료_한국심리'!$H230)),'자료_한국심리'!$G230,"")</f>
        <v/>
      </c>
      <c r="X246">
        <f>IF(AND(ISNUMBER('자료_한국심리'!$J230),ISNUMBER('자료_한국심리'!$K230)),'자료_한국심리'!$J230,"")</f>
        <v/>
      </c>
      <c r="Y246">
        <f>IF(AND(ISNUMBER('자료_한국심리'!$M230),ISNUMBER('자료_한국심리'!$N230)),'자료_한국심리'!$M230,"")</f>
        <v/>
      </c>
    </row>
    <row r="247">
      <c r="A247" s="10">
        <f>IF(229&gt;$E$5,"",SMALL($U$19:$U$4018,$E$6+229))</f>
        <v/>
      </c>
      <c r="B247" s="29">
        <f>IF(A247="","",INDEX('자료_한국심리'!$B$3:$B$4002,MATCH(A247,$U$19:$U$4018,0)))</f>
        <v/>
      </c>
      <c r="C247" s="22">
        <f>IF(A247="","",B247/AVERAGE(B123:B247)-1)</f>
        <v/>
      </c>
      <c r="D247" s="29">
        <f>IF(A247="","",IFERROR(INDEX('자료_한국심리'!$E$3:$E$4002,MATCH(A247,$V$19:$V$4018,0)),D246))</f>
        <v/>
      </c>
      <c r="E247" s="30">
        <f>IF(A247="","",IFERROR(INDEX('자료_한국심리'!$H$3:$H$4002,MATCH(A247,$W$19:$W$4018,0)),E246))</f>
        <v/>
      </c>
      <c r="F247" s="30">
        <f>IF(A247="","",IFERROR(INDEX('자료_한국심리'!$K$3:$K$4002,MATCH(A247,$X$19:$X$4018,0)),F246))</f>
        <v/>
      </c>
      <c r="G247" s="30">
        <f>IF(AND(ISNUMBER(E247),ISNUMBER(F247)),ROUND(E247-F247,6),"")</f>
        <v/>
      </c>
      <c r="H247" s="25">
        <f>IF(A247="","",IFERROR(INDEX('자료_한국심리'!$N$3:$N$4002,MATCH(A247,$Y$19:$Y$4018,0)),H246))</f>
        <v/>
      </c>
      <c r="I247" s="31">
        <f>IF(AND(ISNUMBER(H247),ISNUMBER(H227)),IF(H227&gt;0,H247/H227-1,""),"")</f>
        <v/>
      </c>
      <c r="J247">
        <f>IF(A247="",0,IF(A247&gt;$B$5,1,0))</f>
        <v/>
      </c>
      <c r="K247" s="29">
        <f>IF(AND(J247=1,ISNUMBER(D247)),D247,"")</f>
        <v/>
      </c>
      <c r="L247" s="30">
        <f>IF(AND(J247=1,ISNUMBER(G247)),G247,"")</f>
        <v/>
      </c>
      <c r="M247" s="22">
        <f>IF(AND(J247=1,ISNUMBER(C247)),C247,"")</f>
        <v/>
      </c>
      <c r="N247" s="31">
        <f>IF(AND(J247=1,ISNUMBER(I247)),I247,"")</f>
        <v/>
      </c>
      <c r="O247" s="11">
        <f>IF(K247="","",100-IF($G$13=1,50,(_xlfn.RANK.AVG(K247,$K$19:$K$1518,1)-1)/($G$13-1)*100))</f>
        <v/>
      </c>
      <c r="P247" s="11">
        <f>IF(L247="","",100-IF($G$14=1,50,(_xlfn.RANK.AVG(L247,$L$19:$L$1518,1)-1)/($G$14-1)*100))</f>
        <v/>
      </c>
      <c r="Q247" s="11">
        <f>IF(M247="","",IF($G$15=1,50,(_xlfn.RANK.AVG(M247,$M$19:$M$1518,1)-1)/($G$15-1)*100))</f>
        <v/>
      </c>
      <c r="R247" s="11">
        <f>IF(N247="","",IF($G$16=1,50,(_xlfn.RANK.AVG(N247,$N$19:$N$1518,1)-1)/($G$16-1)*100))</f>
        <v/>
      </c>
      <c r="S247" s="11">
        <f>IF(COUNT(O247:R247)=4,ROUND(AVERAGE(O247:R247),6),"")</f>
        <v/>
      </c>
      <c r="U247">
        <f>IF(AND(ISNUMBER('자료_한국심리'!$A231),ISNUMBER('자료_한국심리'!$B231)),'자료_한국심리'!$A231,"")</f>
        <v/>
      </c>
      <c r="V247">
        <f>IF(AND(ISNUMBER('자료_한국심리'!$D231),ISNUMBER('자료_한국심리'!$E231)),'자료_한국심리'!$D231,"")</f>
        <v/>
      </c>
      <c r="W247">
        <f>IF(AND(ISNUMBER('자료_한국심리'!$G231),ISNUMBER('자료_한국심리'!$H231)),'자료_한국심리'!$G231,"")</f>
        <v/>
      </c>
      <c r="X247">
        <f>IF(AND(ISNUMBER('자료_한국심리'!$J231),ISNUMBER('자료_한국심리'!$K231)),'자료_한국심리'!$J231,"")</f>
        <v/>
      </c>
      <c r="Y247">
        <f>IF(AND(ISNUMBER('자료_한국심리'!$M231),ISNUMBER('자료_한국심리'!$N231)),'자료_한국심리'!$M231,"")</f>
        <v/>
      </c>
    </row>
    <row r="248">
      <c r="A248" s="10">
        <f>IF(230&gt;$E$5,"",SMALL($U$19:$U$4018,$E$6+230))</f>
        <v/>
      </c>
      <c r="B248" s="29">
        <f>IF(A248="","",INDEX('자료_한국심리'!$B$3:$B$4002,MATCH(A248,$U$19:$U$4018,0)))</f>
        <v/>
      </c>
      <c r="C248" s="22">
        <f>IF(A248="","",B248/AVERAGE(B124:B248)-1)</f>
        <v/>
      </c>
      <c r="D248" s="29">
        <f>IF(A248="","",IFERROR(INDEX('자료_한국심리'!$E$3:$E$4002,MATCH(A248,$V$19:$V$4018,0)),D247))</f>
        <v/>
      </c>
      <c r="E248" s="30">
        <f>IF(A248="","",IFERROR(INDEX('자료_한국심리'!$H$3:$H$4002,MATCH(A248,$W$19:$W$4018,0)),E247))</f>
        <v/>
      </c>
      <c r="F248" s="30">
        <f>IF(A248="","",IFERROR(INDEX('자료_한국심리'!$K$3:$K$4002,MATCH(A248,$X$19:$X$4018,0)),F247))</f>
        <v/>
      </c>
      <c r="G248" s="30">
        <f>IF(AND(ISNUMBER(E248),ISNUMBER(F248)),ROUND(E248-F248,6),"")</f>
        <v/>
      </c>
      <c r="H248" s="25">
        <f>IF(A248="","",IFERROR(INDEX('자료_한국심리'!$N$3:$N$4002,MATCH(A248,$Y$19:$Y$4018,0)),H247))</f>
        <v/>
      </c>
      <c r="I248" s="31">
        <f>IF(AND(ISNUMBER(H248),ISNUMBER(H228)),IF(H228&gt;0,H248/H228-1,""),"")</f>
        <v/>
      </c>
      <c r="J248">
        <f>IF(A248="",0,IF(A248&gt;$B$5,1,0))</f>
        <v/>
      </c>
      <c r="K248" s="29">
        <f>IF(AND(J248=1,ISNUMBER(D248)),D248,"")</f>
        <v/>
      </c>
      <c r="L248" s="30">
        <f>IF(AND(J248=1,ISNUMBER(G248)),G248,"")</f>
        <v/>
      </c>
      <c r="M248" s="22">
        <f>IF(AND(J248=1,ISNUMBER(C248)),C248,"")</f>
        <v/>
      </c>
      <c r="N248" s="31">
        <f>IF(AND(J248=1,ISNUMBER(I248)),I248,"")</f>
        <v/>
      </c>
      <c r="O248" s="11">
        <f>IF(K248="","",100-IF($G$13=1,50,(_xlfn.RANK.AVG(K248,$K$19:$K$1518,1)-1)/($G$13-1)*100))</f>
        <v/>
      </c>
      <c r="P248" s="11">
        <f>IF(L248="","",100-IF($G$14=1,50,(_xlfn.RANK.AVG(L248,$L$19:$L$1518,1)-1)/($G$14-1)*100))</f>
        <v/>
      </c>
      <c r="Q248" s="11">
        <f>IF(M248="","",IF($G$15=1,50,(_xlfn.RANK.AVG(M248,$M$19:$M$1518,1)-1)/($G$15-1)*100))</f>
        <v/>
      </c>
      <c r="R248" s="11">
        <f>IF(N248="","",IF($G$16=1,50,(_xlfn.RANK.AVG(N248,$N$19:$N$1518,1)-1)/($G$16-1)*100))</f>
        <v/>
      </c>
      <c r="S248" s="11">
        <f>IF(COUNT(O248:R248)=4,ROUND(AVERAGE(O248:R248),6),"")</f>
        <v/>
      </c>
      <c r="U248">
        <f>IF(AND(ISNUMBER('자료_한국심리'!$A232),ISNUMBER('자료_한국심리'!$B232)),'자료_한국심리'!$A232,"")</f>
        <v/>
      </c>
      <c r="V248">
        <f>IF(AND(ISNUMBER('자료_한국심리'!$D232),ISNUMBER('자료_한국심리'!$E232)),'자료_한국심리'!$D232,"")</f>
        <v/>
      </c>
      <c r="W248">
        <f>IF(AND(ISNUMBER('자료_한국심리'!$G232),ISNUMBER('자료_한국심리'!$H232)),'자료_한국심리'!$G232,"")</f>
        <v/>
      </c>
      <c r="X248">
        <f>IF(AND(ISNUMBER('자료_한국심리'!$J232),ISNUMBER('자료_한국심리'!$K232)),'자료_한국심리'!$J232,"")</f>
        <v/>
      </c>
      <c r="Y248">
        <f>IF(AND(ISNUMBER('자료_한국심리'!$M232),ISNUMBER('자료_한국심리'!$N232)),'자료_한국심리'!$M232,"")</f>
        <v/>
      </c>
    </row>
    <row r="249">
      <c r="A249" s="10">
        <f>IF(231&gt;$E$5,"",SMALL($U$19:$U$4018,$E$6+231))</f>
        <v/>
      </c>
      <c r="B249" s="29">
        <f>IF(A249="","",INDEX('자료_한국심리'!$B$3:$B$4002,MATCH(A249,$U$19:$U$4018,0)))</f>
        <v/>
      </c>
      <c r="C249" s="22">
        <f>IF(A249="","",B249/AVERAGE(B125:B249)-1)</f>
        <v/>
      </c>
      <c r="D249" s="29">
        <f>IF(A249="","",IFERROR(INDEX('자료_한국심리'!$E$3:$E$4002,MATCH(A249,$V$19:$V$4018,0)),D248))</f>
        <v/>
      </c>
      <c r="E249" s="30">
        <f>IF(A249="","",IFERROR(INDEX('자료_한국심리'!$H$3:$H$4002,MATCH(A249,$W$19:$W$4018,0)),E248))</f>
        <v/>
      </c>
      <c r="F249" s="30">
        <f>IF(A249="","",IFERROR(INDEX('자료_한국심리'!$K$3:$K$4002,MATCH(A249,$X$19:$X$4018,0)),F248))</f>
        <v/>
      </c>
      <c r="G249" s="30">
        <f>IF(AND(ISNUMBER(E249),ISNUMBER(F249)),ROUND(E249-F249,6),"")</f>
        <v/>
      </c>
      <c r="H249" s="25">
        <f>IF(A249="","",IFERROR(INDEX('자료_한국심리'!$N$3:$N$4002,MATCH(A249,$Y$19:$Y$4018,0)),H248))</f>
        <v/>
      </c>
      <c r="I249" s="31">
        <f>IF(AND(ISNUMBER(H249),ISNUMBER(H229)),IF(H229&gt;0,H249/H229-1,""),"")</f>
        <v/>
      </c>
      <c r="J249">
        <f>IF(A249="",0,IF(A249&gt;$B$5,1,0))</f>
        <v/>
      </c>
      <c r="K249" s="29">
        <f>IF(AND(J249=1,ISNUMBER(D249)),D249,"")</f>
        <v/>
      </c>
      <c r="L249" s="30">
        <f>IF(AND(J249=1,ISNUMBER(G249)),G249,"")</f>
        <v/>
      </c>
      <c r="M249" s="22">
        <f>IF(AND(J249=1,ISNUMBER(C249)),C249,"")</f>
        <v/>
      </c>
      <c r="N249" s="31">
        <f>IF(AND(J249=1,ISNUMBER(I249)),I249,"")</f>
        <v/>
      </c>
      <c r="O249" s="11">
        <f>IF(K249="","",100-IF($G$13=1,50,(_xlfn.RANK.AVG(K249,$K$19:$K$1518,1)-1)/($G$13-1)*100))</f>
        <v/>
      </c>
      <c r="P249" s="11">
        <f>IF(L249="","",100-IF($G$14=1,50,(_xlfn.RANK.AVG(L249,$L$19:$L$1518,1)-1)/($G$14-1)*100))</f>
        <v/>
      </c>
      <c r="Q249" s="11">
        <f>IF(M249="","",IF($G$15=1,50,(_xlfn.RANK.AVG(M249,$M$19:$M$1518,1)-1)/($G$15-1)*100))</f>
        <v/>
      </c>
      <c r="R249" s="11">
        <f>IF(N249="","",IF($G$16=1,50,(_xlfn.RANK.AVG(N249,$N$19:$N$1518,1)-1)/($G$16-1)*100))</f>
        <v/>
      </c>
      <c r="S249" s="11">
        <f>IF(COUNT(O249:R249)=4,ROUND(AVERAGE(O249:R249),6),"")</f>
        <v/>
      </c>
      <c r="U249">
        <f>IF(AND(ISNUMBER('자료_한국심리'!$A233),ISNUMBER('자료_한국심리'!$B233)),'자료_한국심리'!$A233,"")</f>
        <v/>
      </c>
      <c r="V249">
        <f>IF(AND(ISNUMBER('자료_한국심리'!$D233),ISNUMBER('자료_한국심리'!$E233)),'자료_한국심리'!$D233,"")</f>
        <v/>
      </c>
      <c r="W249">
        <f>IF(AND(ISNUMBER('자료_한국심리'!$G233),ISNUMBER('자료_한국심리'!$H233)),'자료_한국심리'!$G233,"")</f>
        <v/>
      </c>
      <c r="X249">
        <f>IF(AND(ISNUMBER('자료_한국심리'!$J233),ISNUMBER('자료_한국심리'!$K233)),'자료_한국심리'!$J233,"")</f>
        <v/>
      </c>
      <c r="Y249">
        <f>IF(AND(ISNUMBER('자료_한국심리'!$M233),ISNUMBER('자료_한국심리'!$N233)),'자료_한국심리'!$M233,"")</f>
        <v/>
      </c>
    </row>
    <row r="250">
      <c r="A250" s="10">
        <f>IF(232&gt;$E$5,"",SMALL($U$19:$U$4018,$E$6+232))</f>
        <v/>
      </c>
      <c r="B250" s="29">
        <f>IF(A250="","",INDEX('자료_한국심리'!$B$3:$B$4002,MATCH(A250,$U$19:$U$4018,0)))</f>
        <v/>
      </c>
      <c r="C250" s="22">
        <f>IF(A250="","",B250/AVERAGE(B126:B250)-1)</f>
        <v/>
      </c>
      <c r="D250" s="29">
        <f>IF(A250="","",IFERROR(INDEX('자료_한국심리'!$E$3:$E$4002,MATCH(A250,$V$19:$V$4018,0)),D249))</f>
        <v/>
      </c>
      <c r="E250" s="30">
        <f>IF(A250="","",IFERROR(INDEX('자료_한국심리'!$H$3:$H$4002,MATCH(A250,$W$19:$W$4018,0)),E249))</f>
        <v/>
      </c>
      <c r="F250" s="30">
        <f>IF(A250="","",IFERROR(INDEX('자료_한국심리'!$K$3:$K$4002,MATCH(A250,$X$19:$X$4018,0)),F249))</f>
        <v/>
      </c>
      <c r="G250" s="30">
        <f>IF(AND(ISNUMBER(E250),ISNUMBER(F250)),ROUND(E250-F250,6),"")</f>
        <v/>
      </c>
      <c r="H250" s="25">
        <f>IF(A250="","",IFERROR(INDEX('자료_한국심리'!$N$3:$N$4002,MATCH(A250,$Y$19:$Y$4018,0)),H249))</f>
        <v/>
      </c>
      <c r="I250" s="31">
        <f>IF(AND(ISNUMBER(H250),ISNUMBER(H230)),IF(H230&gt;0,H250/H230-1,""),"")</f>
        <v/>
      </c>
      <c r="J250">
        <f>IF(A250="",0,IF(A250&gt;$B$5,1,0))</f>
        <v/>
      </c>
      <c r="K250" s="29">
        <f>IF(AND(J250=1,ISNUMBER(D250)),D250,"")</f>
        <v/>
      </c>
      <c r="L250" s="30">
        <f>IF(AND(J250=1,ISNUMBER(G250)),G250,"")</f>
        <v/>
      </c>
      <c r="M250" s="22">
        <f>IF(AND(J250=1,ISNUMBER(C250)),C250,"")</f>
        <v/>
      </c>
      <c r="N250" s="31">
        <f>IF(AND(J250=1,ISNUMBER(I250)),I250,"")</f>
        <v/>
      </c>
      <c r="O250" s="11">
        <f>IF(K250="","",100-IF($G$13=1,50,(_xlfn.RANK.AVG(K250,$K$19:$K$1518,1)-1)/($G$13-1)*100))</f>
        <v/>
      </c>
      <c r="P250" s="11">
        <f>IF(L250="","",100-IF($G$14=1,50,(_xlfn.RANK.AVG(L250,$L$19:$L$1518,1)-1)/($G$14-1)*100))</f>
        <v/>
      </c>
      <c r="Q250" s="11">
        <f>IF(M250="","",IF($G$15=1,50,(_xlfn.RANK.AVG(M250,$M$19:$M$1518,1)-1)/($G$15-1)*100))</f>
        <v/>
      </c>
      <c r="R250" s="11">
        <f>IF(N250="","",IF($G$16=1,50,(_xlfn.RANK.AVG(N250,$N$19:$N$1518,1)-1)/($G$16-1)*100))</f>
        <v/>
      </c>
      <c r="S250" s="11">
        <f>IF(COUNT(O250:R250)=4,ROUND(AVERAGE(O250:R250),6),"")</f>
        <v/>
      </c>
      <c r="U250">
        <f>IF(AND(ISNUMBER('자료_한국심리'!$A234),ISNUMBER('자료_한국심리'!$B234)),'자료_한국심리'!$A234,"")</f>
        <v/>
      </c>
      <c r="V250">
        <f>IF(AND(ISNUMBER('자료_한국심리'!$D234),ISNUMBER('자료_한국심리'!$E234)),'자료_한국심리'!$D234,"")</f>
        <v/>
      </c>
      <c r="W250">
        <f>IF(AND(ISNUMBER('자료_한국심리'!$G234),ISNUMBER('자료_한국심리'!$H234)),'자료_한국심리'!$G234,"")</f>
        <v/>
      </c>
      <c r="X250">
        <f>IF(AND(ISNUMBER('자료_한국심리'!$J234),ISNUMBER('자료_한국심리'!$K234)),'자료_한국심리'!$J234,"")</f>
        <v/>
      </c>
      <c r="Y250">
        <f>IF(AND(ISNUMBER('자료_한국심리'!$M234),ISNUMBER('자료_한국심리'!$N234)),'자료_한국심리'!$M234,"")</f>
        <v/>
      </c>
    </row>
    <row r="251">
      <c r="A251" s="10">
        <f>IF(233&gt;$E$5,"",SMALL($U$19:$U$4018,$E$6+233))</f>
        <v/>
      </c>
      <c r="B251" s="29">
        <f>IF(A251="","",INDEX('자료_한국심리'!$B$3:$B$4002,MATCH(A251,$U$19:$U$4018,0)))</f>
        <v/>
      </c>
      <c r="C251" s="22">
        <f>IF(A251="","",B251/AVERAGE(B127:B251)-1)</f>
        <v/>
      </c>
      <c r="D251" s="29">
        <f>IF(A251="","",IFERROR(INDEX('자료_한국심리'!$E$3:$E$4002,MATCH(A251,$V$19:$V$4018,0)),D250))</f>
        <v/>
      </c>
      <c r="E251" s="30">
        <f>IF(A251="","",IFERROR(INDEX('자료_한국심리'!$H$3:$H$4002,MATCH(A251,$W$19:$W$4018,0)),E250))</f>
        <v/>
      </c>
      <c r="F251" s="30">
        <f>IF(A251="","",IFERROR(INDEX('자료_한국심리'!$K$3:$K$4002,MATCH(A251,$X$19:$X$4018,0)),F250))</f>
        <v/>
      </c>
      <c r="G251" s="30">
        <f>IF(AND(ISNUMBER(E251),ISNUMBER(F251)),ROUND(E251-F251,6),"")</f>
        <v/>
      </c>
      <c r="H251" s="25">
        <f>IF(A251="","",IFERROR(INDEX('자료_한국심리'!$N$3:$N$4002,MATCH(A251,$Y$19:$Y$4018,0)),H250))</f>
        <v/>
      </c>
      <c r="I251" s="31">
        <f>IF(AND(ISNUMBER(H251),ISNUMBER(H231)),IF(H231&gt;0,H251/H231-1,""),"")</f>
        <v/>
      </c>
      <c r="J251">
        <f>IF(A251="",0,IF(A251&gt;$B$5,1,0))</f>
        <v/>
      </c>
      <c r="K251" s="29">
        <f>IF(AND(J251=1,ISNUMBER(D251)),D251,"")</f>
        <v/>
      </c>
      <c r="L251" s="30">
        <f>IF(AND(J251=1,ISNUMBER(G251)),G251,"")</f>
        <v/>
      </c>
      <c r="M251" s="22">
        <f>IF(AND(J251=1,ISNUMBER(C251)),C251,"")</f>
        <v/>
      </c>
      <c r="N251" s="31">
        <f>IF(AND(J251=1,ISNUMBER(I251)),I251,"")</f>
        <v/>
      </c>
      <c r="O251" s="11">
        <f>IF(K251="","",100-IF($G$13=1,50,(_xlfn.RANK.AVG(K251,$K$19:$K$1518,1)-1)/($G$13-1)*100))</f>
        <v/>
      </c>
      <c r="P251" s="11">
        <f>IF(L251="","",100-IF($G$14=1,50,(_xlfn.RANK.AVG(L251,$L$19:$L$1518,1)-1)/($G$14-1)*100))</f>
        <v/>
      </c>
      <c r="Q251" s="11">
        <f>IF(M251="","",IF($G$15=1,50,(_xlfn.RANK.AVG(M251,$M$19:$M$1518,1)-1)/($G$15-1)*100))</f>
        <v/>
      </c>
      <c r="R251" s="11">
        <f>IF(N251="","",IF($G$16=1,50,(_xlfn.RANK.AVG(N251,$N$19:$N$1518,1)-1)/($G$16-1)*100))</f>
        <v/>
      </c>
      <c r="S251" s="11">
        <f>IF(COUNT(O251:R251)=4,ROUND(AVERAGE(O251:R251),6),"")</f>
        <v/>
      </c>
      <c r="U251">
        <f>IF(AND(ISNUMBER('자료_한국심리'!$A235),ISNUMBER('자료_한국심리'!$B235)),'자료_한국심리'!$A235,"")</f>
        <v/>
      </c>
      <c r="V251">
        <f>IF(AND(ISNUMBER('자료_한국심리'!$D235),ISNUMBER('자료_한국심리'!$E235)),'자료_한국심리'!$D235,"")</f>
        <v/>
      </c>
      <c r="W251">
        <f>IF(AND(ISNUMBER('자료_한국심리'!$G235),ISNUMBER('자료_한국심리'!$H235)),'자료_한국심리'!$G235,"")</f>
        <v/>
      </c>
      <c r="X251">
        <f>IF(AND(ISNUMBER('자료_한국심리'!$J235),ISNUMBER('자료_한국심리'!$K235)),'자료_한국심리'!$J235,"")</f>
        <v/>
      </c>
      <c r="Y251">
        <f>IF(AND(ISNUMBER('자료_한국심리'!$M235),ISNUMBER('자료_한국심리'!$N235)),'자료_한국심리'!$M235,"")</f>
        <v/>
      </c>
    </row>
    <row r="252">
      <c r="A252" s="10">
        <f>IF(234&gt;$E$5,"",SMALL($U$19:$U$4018,$E$6+234))</f>
        <v/>
      </c>
      <c r="B252" s="29">
        <f>IF(A252="","",INDEX('자료_한국심리'!$B$3:$B$4002,MATCH(A252,$U$19:$U$4018,0)))</f>
        <v/>
      </c>
      <c r="C252" s="22">
        <f>IF(A252="","",B252/AVERAGE(B128:B252)-1)</f>
        <v/>
      </c>
      <c r="D252" s="29">
        <f>IF(A252="","",IFERROR(INDEX('자료_한국심리'!$E$3:$E$4002,MATCH(A252,$V$19:$V$4018,0)),D251))</f>
        <v/>
      </c>
      <c r="E252" s="30">
        <f>IF(A252="","",IFERROR(INDEX('자료_한국심리'!$H$3:$H$4002,MATCH(A252,$W$19:$W$4018,0)),E251))</f>
        <v/>
      </c>
      <c r="F252" s="30">
        <f>IF(A252="","",IFERROR(INDEX('자료_한국심리'!$K$3:$K$4002,MATCH(A252,$X$19:$X$4018,0)),F251))</f>
        <v/>
      </c>
      <c r="G252" s="30">
        <f>IF(AND(ISNUMBER(E252),ISNUMBER(F252)),ROUND(E252-F252,6),"")</f>
        <v/>
      </c>
      <c r="H252" s="25">
        <f>IF(A252="","",IFERROR(INDEX('자료_한국심리'!$N$3:$N$4002,MATCH(A252,$Y$19:$Y$4018,0)),H251))</f>
        <v/>
      </c>
      <c r="I252" s="31">
        <f>IF(AND(ISNUMBER(H252),ISNUMBER(H232)),IF(H232&gt;0,H252/H232-1,""),"")</f>
        <v/>
      </c>
      <c r="J252">
        <f>IF(A252="",0,IF(A252&gt;$B$5,1,0))</f>
        <v/>
      </c>
      <c r="K252" s="29">
        <f>IF(AND(J252=1,ISNUMBER(D252)),D252,"")</f>
        <v/>
      </c>
      <c r="L252" s="30">
        <f>IF(AND(J252=1,ISNUMBER(G252)),G252,"")</f>
        <v/>
      </c>
      <c r="M252" s="22">
        <f>IF(AND(J252=1,ISNUMBER(C252)),C252,"")</f>
        <v/>
      </c>
      <c r="N252" s="31">
        <f>IF(AND(J252=1,ISNUMBER(I252)),I252,"")</f>
        <v/>
      </c>
      <c r="O252" s="11">
        <f>IF(K252="","",100-IF($G$13=1,50,(_xlfn.RANK.AVG(K252,$K$19:$K$1518,1)-1)/($G$13-1)*100))</f>
        <v/>
      </c>
      <c r="P252" s="11">
        <f>IF(L252="","",100-IF($G$14=1,50,(_xlfn.RANK.AVG(L252,$L$19:$L$1518,1)-1)/($G$14-1)*100))</f>
        <v/>
      </c>
      <c r="Q252" s="11">
        <f>IF(M252="","",IF($G$15=1,50,(_xlfn.RANK.AVG(M252,$M$19:$M$1518,1)-1)/($G$15-1)*100))</f>
        <v/>
      </c>
      <c r="R252" s="11">
        <f>IF(N252="","",IF($G$16=1,50,(_xlfn.RANK.AVG(N252,$N$19:$N$1518,1)-1)/($G$16-1)*100))</f>
        <v/>
      </c>
      <c r="S252" s="11">
        <f>IF(COUNT(O252:R252)=4,ROUND(AVERAGE(O252:R252),6),"")</f>
        <v/>
      </c>
      <c r="U252">
        <f>IF(AND(ISNUMBER('자료_한국심리'!$A236),ISNUMBER('자료_한국심리'!$B236)),'자료_한국심리'!$A236,"")</f>
        <v/>
      </c>
      <c r="V252">
        <f>IF(AND(ISNUMBER('자료_한국심리'!$D236),ISNUMBER('자료_한국심리'!$E236)),'자료_한국심리'!$D236,"")</f>
        <v/>
      </c>
      <c r="W252">
        <f>IF(AND(ISNUMBER('자료_한국심리'!$G236),ISNUMBER('자료_한국심리'!$H236)),'자료_한국심리'!$G236,"")</f>
        <v/>
      </c>
      <c r="X252">
        <f>IF(AND(ISNUMBER('자료_한국심리'!$J236),ISNUMBER('자료_한국심리'!$K236)),'자료_한국심리'!$J236,"")</f>
        <v/>
      </c>
      <c r="Y252">
        <f>IF(AND(ISNUMBER('자료_한국심리'!$M236),ISNUMBER('자료_한국심리'!$N236)),'자료_한국심리'!$M236,"")</f>
        <v/>
      </c>
    </row>
    <row r="253">
      <c r="A253" s="10">
        <f>IF(235&gt;$E$5,"",SMALL($U$19:$U$4018,$E$6+235))</f>
        <v/>
      </c>
      <c r="B253" s="29">
        <f>IF(A253="","",INDEX('자료_한국심리'!$B$3:$B$4002,MATCH(A253,$U$19:$U$4018,0)))</f>
        <v/>
      </c>
      <c r="C253" s="22">
        <f>IF(A253="","",B253/AVERAGE(B129:B253)-1)</f>
        <v/>
      </c>
      <c r="D253" s="29">
        <f>IF(A253="","",IFERROR(INDEX('자료_한국심리'!$E$3:$E$4002,MATCH(A253,$V$19:$V$4018,0)),D252))</f>
        <v/>
      </c>
      <c r="E253" s="30">
        <f>IF(A253="","",IFERROR(INDEX('자료_한국심리'!$H$3:$H$4002,MATCH(A253,$W$19:$W$4018,0)),E252))</f>
        <v/>
      </c>
      <c r="F253" s="30">
        <f>IF(A253="","",IFERROR(INDEX('자료_한국심리'!$K$3:$K$4002,MATCH(A253,$X$19:$X$4018,0)),F252))</f>
        <v/>
      </c>
      <c r="G253" s="30">
        <f>IF(AND(ISNUMBER(E253),ISNUMBER(F253)),ROUND(E253-F253,6),"")</f>
        <v/>
      </c>
      <c r="H253" s="25">
        <f>IF(A253="","",IFERROR(INDEX('자료_한국심리'!$N$3:$N$4002,MATCH(A253,$Y$19:$Y$4018,0)),H252))</f>
        <v/>
      </c>
      <c r="I253" s="31">
        <f>IF(AND(ISNUMBER(H253),ISNUMBER(H233)),IF(H233&gt;0,H253/H233-1,""),"")</f>
        <v/>
      </c>
      <c r="J253">
        <f>IF(A253="",0,IF(A253&gt;$B$5,1,0))</f>
        <v/>
      </c>
      <c r="K253" s="29">
        <f>IF(AND(J253=1,ISNUMBER(D253)),D253,"")</f>
        <v/>
      </c>
      <c r="L253" s="30">
        <f>IF(AND(J253=1,ISNUMBER(G253)),G253,"")</f>
        <v/>
      </c>
      <c r="M253" s="22">
        <f>IF(AND(J253=1,ISNUMBER(C253)),C253,"")</f>
        <v/>
      </c>
      <c r="N253" s="31">
        <f>IF(AND(J253=1,ISNUMBER(I253)),I253,"")</f>
        <v/>
      </c>
      <c r="O253" s="11">
        <f>IF(K253="","",100-IF($G$13=1,50,(_xlfn.RANK.AVG(K253,$K$19:$K$1518,1)-1)/($G$13-1)*100))</f>
        <v/>
      </c>
      <c r="P253" s="11">
        <f>IF(L253="","",100-IF($G$14=1,50,(_xlfn.RANK.AVG(L253,$L$19:$L$1518,1)-1)/($G$14-1)*100))</f>
        <v/>
      </c>
      <c r="Q253" s="11">
        <f>IF(M253="","",IF($G$15=1,50,(_xlfn.RANK.AVG(M253,$M$19:$M$1518,1)-1)/($G$15-1)*100))</f>
        <v/>
      </c>
      <c r="R253" s="11">
        <f>IF(N253="","",IF($G$16=1,50,(_xlfn.RANK.AVG(N253,$N$19:$N$1518,1)-1)/($G$16-1)*100))</f>
        <v/>
      </c>
      <c r="S253" s="11">
        <f>IF(COUNT(O253:R253)=4,ROUND(AVERAGE(O253:R253),6),"")</f>
        <v/>
      </c>
      <c r="U253">
        <f>IF(AND(ISNUMBER('자료_한국심리'!$A237),ISNUMBER('자료_한국심리'!$B237)),'자료_한국심리'!$A237,"")</f>
        <v/>
      </c>
      <c r="V253">
        <f>IF(AND(ISNUMBER('자료_한국심리'!$D237),ISNUMBER('자료_한국심리'!$E237)),'자료_한국심리'!$D237,"")</f>
        <v/>
      </c>
      <c r="W253">
        <f>IF(AND(ISNUMBER('자료_한국심리'!$G237),ISNUMBER('자료_한국심리'!$H237)),'자료_한국심리'!$G237,"")</f>
        <v/>
      </c>
      <c r="X253">
        <f>IF(AND(ISNUMBER('자료_한국심리'!$J237),ISNUMBER('자료_한국심리'!$K237)),'자료_한국심리'!$J237,"")</f>
        <v/>
      </c>
      <c r="Y253">
        <f>IF(AND(ISNUMBER('자료_한국심리'!$M237),ISNUMBER('자료_한국심리'!$N237)),'자료_한국심리'!$M237,"")</f>
        <v/>
      </c>
    </row>
    <row r="254">
      <c r="A254" s="10">
        <f>IF(236&gt;$E$5,"",SMALL($U$19:$U$4018,$E$6+236))</f>
        <v/>
      </c>
      <c r="B254" s="29">
        <f>IF(A254="","",INDEX('자료_한국심리'!$B$3:$B$4002,MATCH(A254,$U$19:$U$4018,0)))</f>
        <v/>
      </c>
      <c r="C254" s="22">
        <f>IF(A254="","",B254/AVERAGE(B130:B254)-1)</f>
        <v/>
      </c>
      <c r="D254" s="29">
        <f>IF(A254="","",IFERROR(INDEX('자료_한국심리'!$E$3:$E$4002,MATCH(A254,$V$19:$V$4018,0)),D253))</f>
        <v/>
      </c>
      <c r="E254" s="30">
        <f>IF(A254="","",IFERROR(INDEX('자료_한국심리'!$H$3:$H$4002,MATCH(A254,$W$19:$W$4018,0)),E253))</f>
        <v/>
      </c>
      <c r="F254" s="30">
        <f>IF(A254="","",IFERROR(INDEX('자료_한국심리'!$K$3:$K$4002,MATCH(A254,$X$19:$X$4018,0)),F253))</f>
        <v/>
      </c>
      <c r="G254" s="30">
        <f>IF(AND(ISNUMBER(E254),ISNUMBER(F254)),ROUND(E254-F254,6),"")</f>
        <v/>
      </c>
      <c r="H254" s="25">
        <f>IF(A254="","",IFERROR(INDEX('자료_한국심리'!$N$3:$N$4002,MATCH(A254,$Y$19:$Y$4018,0)),H253))</f>
        <v/>
      </c>
      <c r="I254" s="31">
        <f>IF(AND(ISNUMBER(H254),ISNUMBER(H234)),IF(H234&gt;0,H254/H234-1,""),"")</f>
        <v/>
      </c>
      <c r="J254">
        <f>IF(A254="",0,IF(A254&gt;$B$5,1,0))</f>
        <v/>
      </c>
      <c r="K254" s="29">
        <f>IF(AND(J254=1,ISNUMBER(D254)),D254,"")</f>
        <v/>
      </c>
      <c r="L254" s="30">
        <f>IF(AND(J254=1,ISNUMBER(G254)),G254,"")</f>
        <v/>
      </c>
      <c r="M254" s="22">
        <f>IF(AND(J254=1,ISNUMBER(C254)),C254,"")</f>
        <v/>
      </c>
      <c r="N254" s="31">
        <f>IF(AND(J254=1,ISNUMBER(I254)),I254,"")</f>
        <v/>
      </c>
      <c r="O254" s="11">
        <f>IF(K254="","",100-IF($G$13=1,50,(_xlfn.RANK.AVG(K254,$K$19:$K$1518,1)-1)/($G$13-1)*100))</f>
        <v/>
      </c>
      <c r="P254" s="11">
        <f>IF(L254="","",100-IF($G$14=1,50,(_xlfn.RANK.AVG(L254,$L$19:$L$1518,1)-1)/($G$14-1)*100))</f>
        <v/>
      </c>
      <c r="Q254" s="11">
        <f>IF(M254="","",IF($G$15=1,50,(_xlfn.RANK.AVG(M254,$M$19:$M$1518,1)-1)/($G$15-1)*100))</f>
        <v/>
      </c>
      <c r="R254" s="11">
        <f>IF(N254="","",IF($G$16=1,50,(_xlfn.RANK.AVG(N254,$N$19:$N$1518,1)-1)/($G$16-1)*100))</f>
        <v/>
      </c>
      <c r="S254" s="11">
        <f>IF(COUNT(O254:R254)=4,ROUND(AVERAGE(O254:R254),6),"")</f>
        <v/>
      </c>
      <c r="U254">
        <f>IF(AND(ISNUMBER('자료_한국심리'!$A238),ISNUMBER('자료_한국심리'!$B238)),'자료_한국심리'!$A238,"")</f>
        <v/>
      </c>
      <c r="V254">
        <f>IF(AND(ISNUMBER('자료_한국심리'!$D238),ISNUMBER('자료_한국심리'!$E238)),'자료_한국심리'!$D238,"")</f>
        <v/>
      </c>
      <c r="W254">
        <f>IF(AND(ISNUMBER('자료_한국심리'!$G238),ISNUMBER('자료_한국심리'!$H238)),'자료_한국심리'!$G238,"")</f>
        <v/>
      </c>
      <c r="X254">
        <f>IF(AND(ISNUMBER('자료_한국심리'!$J238),ISNUMBER('자료_한국심리'!$K238)),'자료_한국심리'!$J238,"")</f>
        <v/>
      </c>
      <c r="Y254">
        <f>IF(AND(ISNUMBER('자료_한국심리'!$M238),ISNUMBER('자료_한국심리'!$N238)),'자료_한국심리'!$M238,"")</f>
        <v/>
      </c>
    </row>
    <row r="255">
      <c r="A255" s="10">
        <f>IF(237&gt;$E$5,"",SMALL($U$19:$U$4018,$E$6+237))</f>
        <v/>
      </c>
      <c r="B255" s="29">
        <f>IF(A255="","",INDEX('자료_한국심리'!$B$3:$B$4002,MATCH(A255,$U$19:$U$4018,0)))</f>
        <v/>
      </c>
      <c r="C255" s="22">
        <f>IF(A255="","",B255/AVERAGE(B131:B255)-1)</f>
        <v/>
      </c>
      <c r="D255" s="29">
        <f>IF(A255="","",IFERROR(INDEX('자료_한국심리'!$E$3:$E$4002,MATCH(A255,$V$19:$V$4018,0)),D254))</f>
        <v/>
      </c>
      <c r="E255" s="30">
        <f>IF(A255="","",IFERROR(INDEX('자료_한국심리'!$H$3:$H$4002,MATCH(A255,$W$19:$W$4018,0)),E254))</f>
        <v/>
      </c>
      <c r="F255" s="30">
        <f>IF(A255="","",IFERROR(INDEX('자료_한국심리'!$K$3:$K$4002,MATCH(A255,$X$19:$X$4018,0)),F254))</f>
        <v/>
      </c>
      <c r="G255" s="30">
        <f>IF(AND(ISNUMBER(E255),ISNUMBER(F255)),ROUND(E255-F255,6),"")</f>
        <v/>
      </c>
      <c r="H255" s="25">
        <f>IF(A255="","",IFERROR(INDEX('자료_한국심리'!$N$3:$N$4002,MATCH(A255,$Y$19:$Y$4018,0)),H254))</f>
        <v/>
      </c>
      <c r="I255" s="31">
        <f>IF(AND(ISNUMBER(H255),ISNUMBER(H235)),IF(H235&gt;0,H255/H235-1,""),"")</f>
        <v/>
      </c>
      <c r="J255">
        <f>IF(A255="",0,IF(A255&gt;$B$5,1,0))</f>
        <v/>
      </c>
      <c r="K255" s="29">
        <f>IF(AND(J255=1,ISNUMBER(D255)),D255,"")</f>
        <v/>
      </c>
      <c r="L255" s="30">
        <f>IF(AND(J255=1,ISNUMBER(G255)),G255,"")</f>
        <v/>
      </c>
      <c r="M255" s="22">
        <f>IF(AND(J255=1,ISNUMBER(C255)),C255,"")</f>
        <v/>
      </c>
      <c r="N255" s="31">
        <f>IF(AND(J255=1,ISNUMBER(I255)),I255,"")</f>
        <v/>
      </c>
      <c r="O255" s="11">
        <f>IF(K255="","",100-IF($G$13=1,50,(_xlfn.RANK.AVG(K255,$K$19:$K$1518,1)-1)/($G$13-1)*100))</f>
        <v/>
      </c>
      <c r="P255" s="11">
        <f>IF(L255="","",100-IF($G$14=1,50,(_xlfn.RANK.AVG(L255,$L$19:$L$1518,1)-1)/($G$14-1)*100))</f>
        <v/>
      </c>
      <c r="Q255" s="11">
        <f>IF(M255="","",IF($G$15=1,50,(_xlfn.RANK.AVG(M255,$M$19:$M$1518,1)-1)/($G$15-1)*100))</f>
        <v/>
      </c>
      <c r="R255" s="11">
        <f>IF(N255="","",IF($G$16=1,50,(_xlfn.RANK.AVG(N255,$N$19:$N$1518,1)-1)/($G$16-1)*100))</f>
        <v/>
      </c>
      <c r="S255" s="11">
        <f>IF(COUNT(O255:R255)=4,ROUND(AVERAGE(O255:R255),6),"")</f>
        <v/>
      </c>
      <c r="U255">
        <f>IF(AND(ISNUMBER('자료_한국심리'!$A239),ISNUMBER('자료_한국심리'!$B239)),'자료_한국심리'!$A239,"")</f>
        <v/>
      </c>
      <c r="V255">
        <f>IF(AND(ISNUMBER('자료_한국심리'!$D239),ISNUMBER('자료_한국심리'!$E239)),'자료_한국심리'!$D239,"")</f>
        <v/>
      </c>
      <c r="W255">
        <f>IF(AND(ISNUMBER('자료_한국심리'!$G239),ISNUMBER('자료_한국심리'!$H239)),'자료_한국심리'!$G239,"")</f>
        <v/>
      </c>
      <c r="X255">
        <f>IF(AND(ISNUMBER('자료_한국심리'!$J239),ISNUMBER('자료_한국심리'!$K239)),'자료_한국심리'!$J239,"")</f>
        <v/>
      </c>
      <c r="Y255">
        <f>IF(AND(ISNUMBER('자료_한국심리'!$M239),ISNUMBER('자료_한국심리'!$N239)),'자료_한국심리'!$M239,"")</f>
        <v/>
      </c>
    </row>
    <row r="256">
      <c r="A256" s="10">
        <f>IF(238&gt;$E$5,"",SMALL($U$19:$U$4018,$E$6+238))</f>
        <v/>
      </c>
      <c r="B256" s="29">
        <f>IF(A256="","",INDEX('자료_한국심리'!$B$3:$B$4002,MATCH(A256,$U$19:$U$4018,0)))</f>
        <v/>
      </c>
      <c r="C256" s="22">
        <f>IF(A256="","",B256/AVERAGE(B132:B256)-1)</f>
        <v/>
      </c>
      <c r="D256" s="29">
        <f>IF(A256="","",IFERROR(INDEX('자료_한국심리'!$E$3:$E$4002,MATCH(A256,$V$19:$V$4018,0)),D255))</f>
        <v/>
      </c>
      <c r="E256" s="30">
        <f>IF(A256="","",IFERROR(INDEX('자료_한국심리'!$H$3:$H$4002,MATCH(A256,$W$19:$W$4018,0)),E255))</f>
        <v/>
      </c>
      <c r="F256" s="30">
        <f>IF(A256="","",IFERROR(INDEX('자료_한국심리'!$K$3:$K$4002,MATCH(A256,$X$19:$X$4018,0)),F255))</f>
        <v/>
      </c>
      <c r="G256" s="30">
        <f>IF(AND(ISNUMBER(E256),ISNUMBER(F256)),ROUND(E256-F256,6),"")</f>
        <v/>
      </c>
      <c r="H256" s="25">
        <f>IF(A256="","",IFERROR(INDEX('자료_한국심리'!$N$3:$N$4002,MATCH(A256,$Y$19:$Y$4018,0)),H255))</f>
        <v/>
      </c>
      <c r="I256" s="31">
        <f>IF(AND(ISNUMBER(H256),ISNUMBER(H236)),IF(H236&gt;0,H256/H236-1,""),"")</f>
        <v/>
      </c>
      <c r="J256">
        <f>IF(A256="",0,IF(A256&gt;$B$5,1,0))</f>
        <v/>
      </c>
      <c r="K256" s="29">
        <f>IF(AND(J256=1,ISNUMBER(D256)),D256,"")</f>
        <v/>
      </c>
      <c r="L256" s="30">
        <f>IF(AND(J256=1,ISNUMBER(G256)),G256,"")</f>
        <v/>
      </c>
      <c r="M256" s="22">
        <f>IF(AND(J256=1,ISNUMBER(C256)),C256,"")</f>
        <v/>
      </c>
      <c r="N256" s="31">
        <f>IF(AND(J256=1,ISNUMBER(I256)),I256,"")</f>
        <v/>
      </c>
      <c r="O256" s="11">
        <f>IF(K256="","",100-IF($G$13=1,50,(_xlfn.RANK.AVG(K256,$K$19:$K$1518,1)-1)/($G$13-1)*100))</f>
        <v/>
      </c>
      <c r="P256" s="11">
        <f>IF(L256="","",100-IF($G$14=1,50,(_xlfn.RANK.AVG(L256,$L$19:$L$1518,1)-1)/($G$14-1)*100))</f>
        <v/>
      </c>
      <c r="Q256" s="11">
        <f>IF(M256="","",IF($G$15=1,50,(_xlfn.RANK.AVG(M256,$M$19:$M$1518,1)-1)/($G$15-1)*100))</f>
        <v/>
      </c>
      <c r="R256" s="11">
        <f>IF(N256="","",IF($G$16=1,50,(_xlfn.RANK.AVG(N256,$N$19:$N$1518,1)-1)/($G$16-1)*100))</f>
        <v/>
      </c>
      <c r="S256" s="11">
        <f>IF(COUNT(O256:R256)=4,ROUND(AVERAGE(O256:R256),6),"")</f>
        <v/>
      </c>
      <c r="U256">
        <f>IF(AND(ISNUMBER('자료_한국심리'!$A240),ISNUMBER('자료_한국심리'!$B240)),'자료_한국심리'!$A240,"")</f>
        <v/>
      </c>
      <c r="V256">
        <f>IF(AND(ISNUMBER('자료_한국심리'!$D240),ISNUMBER('자료_한국심리'!$E240)),'자료_한국심리'!$D240,"")</f>
        <v/>
      </c>
      <c r="W256">
        <f>IF(AND(ISNUMBER('자료_한국심리'!$G240),ISNUMBER('자료_한국심리'!$H240)),'자료_한국심리'!$G240,"")</f>
        <v/>
      </c>
      <c r="X256">
        <f>IF(AND(ISNUMBER('자료_한국심리'!$J240),ISNUMBER('자료_한국심리'!$K240)),'자료_한국심리'!$J240,"")</f>
        <v/>
      </c>
      <c r="Y256">
        <f>IF(AND(ISNUMBER('자료_한국심리'!$M240),ISNUMBER('자료_한국심리'!$N240)),'자료_한국심리'!$M240,"")</f>
        <v/>
      </c>
    </row>
    <row r="257">
      <c r="A257" s="10">
        <f>IF(239&gt;$E$5,"",SMALL($U$19:$U$4018,$E$6+239))</f>
        <v/>
      </c>
      <c r="B257" s="29">
        <f>IF(A257="","",INDEX('자료_한국심리'!$B$3:$B$4002,MATCH(A257,$U$19:$U$4018,0)))</f>
        <v/>
      </c>
      <c r="C257" s="22">
        <f>IF(A257="","",B257/AVERAGE(B133:B257)-1)</f>
        <v/>
      </c>
      <c r="D257" s="29">
        <f>IF(A257="","",IFERROR(INDEX('자료_한국심리'!$E$3:$E$4002,MATCH(A257,$V$19:$V$4018,0)),D256))</f>
        <v/>
      </c>
      <c r="E257" s="30">
        <f>IF(A257="","",IFERROR(INDEX('자료_한국심리'!$H$3:$H$4002,MATCH(A257,$W$19:$W$4018,0)),E256))</f>
        <v/>
      </c>
      <c r="F257" s="30">
        <f>IF(A257="","",IFERROR(INDEX('자료_한국심리'!$K$3:$K$4002,MATCH(A257,$X$19:$X$4018,0)),F256))</f>
        <v/>
      </c>
      <c r="G257" s="30">
        <f>IF(AND(ISNUMBER(E257),ISNUMBER(F257)),ROUND(E257-F257,6),"")</f>
        <v/>
      </c>
      <c r="H257" s="25">
        <f>IF(A257="","",IFERROR(INDEX('자료_한국심리'!$N$3:$N$4002,MATCH(A257,$Y$19:$Y$4018,0)),H256))</f>
        <v/>
      </c>
      <c r="I257" s="31">
        <f>IF(AND(ISNUMBER(H257),ISNUMBER(H237)),IF(H237&gt;0,H257/H237-1,""),"")</f>
        <v/>
      </c>
      <c r="J257">
        <f>IF(A257="",0,IF(A257&gt;$B$5,1,0))</f>
        <v/>
      </c>
      <c r="K257" s="29">
        <f>IF(AND(J257=1,ISNUMBER(D257)),D257,"")</f>
        <v/>
      </c>
      <c r="L257" s="30">
        <f>IF(AND(J257=1,ISNUMBER(G257)),G257,"")</f>
        <v/>
      </c>
      <c r="M257" s="22">
        <f>IF(AND(J257=1,ISNUMBER(C257)),C257,"")</f>
        <v/>
      </c>
      <c r="N257" s="31">
        <f>IF(AND(J257=1,ISNUMBER(I257)),I257,"")</f>
        <v/>
      </c>
      <c r="O257" s="11">
        <f>IF(K257="","",100-IF($G$13=1,50,(_xlfn.RANK.AVG(K257,$K$19:$K$1518,1)-1)/($G$13-1)*100))</f>
        <v/>
      </c>
      <c r="P257" s="11">
        <f>IF(L257="","",100-IF($G$14=1,50,(_xlfn.RANK.AVG(L257,$L$19:$L$1518,1)-1)/($G$14-1)*100))</f>
        <v/>
      </c>
      <c r="Q257" s="11">
        <f>IF(M257="","",IF($G$15=1,50,(_xlfn.RANK.AVG(M257,$M$19:$M$1518,1)-1)/($G$15-1)*100))</f>
        <v/>
      </c>
      <c r="R257" s="11">
        <f>IF(N257="","",IF($G$16=1,50,(_xlfn.RANK.AVG(N257,$N$19:$N$1518,1)-1)/($G$16-1)*100))</f>
        <v/>
      </c>
      <c r="S257" s="11">
        <f>IF(COUNT(O257:R257)=4,ROUND(AVERAGE(O257:R257),6),"")</f>
        <v/>
      </c>
      <c r="U257">
        <f>IF(AND(ISNUMBER('자료_한국심리'!$A241),ISNUMBER('자료_한국심리'!$B241)),'자료_한국심리'!$A241,"")</f>
        <v/>
      </c>
      <c r="V257">
        <f>IF(AND(ISNUMBER('자료_한국심리'!$D241),ISNUMBER('자료_한국심리'!$E241)),'자료_한국심리'!$D241,"")</f>
        <v/>
      </c>
      <c r="W257">
        <f>IF(AND(ISNUMBER('자료_한국심리'!$G241),ISNUMBER('자료_한국심리'!$H241)),'자료_한국심리'!$G241,"")</f>
        <v/>
      </c>
      <c r="X257">
        <f>IF(AND(ISNUMBER('자료_한국심리'!$J241),ISNUMBER('자료_한국심리'!$K241)),'자료_한국심리'!$J241,"")</f>
        <v/>
      </c>
      <c r="Y257">
        <f>IF(AND(ISNUMBER('자료_한국심리'!$M241),ISNUMBER('자료_한국심리'!$N241)),'자료_한국심리'!$M241,"")</f>
        <v/>
      </c>
    </row>
    <row r="258">
      <c r="A258" s="10">
        <f>IF(240&gt;$E$5,"",SMALL($U$19:$U$4018,$E$6+240))</f>
        <v/>
      </c>
      <c r="B258" s="29">
        <f>IF(A258="","",INDEX('자료_한국심리'!$B$3:$B$4002,MATCH(A258,$U$19:$U$4018,0)))</f>
        <v/>
      </c>
      <c r="C258" s="22">
        <f>IF(A258="","",B258/AVERAGE(B134:B258)-1)</f>
        <v/>
      </c>
      <c r="D258" s="29">
        <f>IF(A258="","",IFERROR(INDEX('자료_한국심리'!$E$3:$E$4002,MATCH(A258,$V$19:$V$4018,0)),D257))</f>
        <v/>
      </c>
      <c r="E258" s="30">
        <f>IF(A258="","",IFERROR(INDEX('자료_한국심리'!$H$3:$H$4002,MATCH(A258,$W$19:$W$4018,0)),E257))</f>
        <v/>
      </c>
      <c r="F258" s="30">
        <f>IF(A258="","",IFERROR(INDEX('자료_한국심리'!$K$3:$K$4002,MATCH(A258,$X$19:$X$4018,0)),F257))</f>
        <v/>
      </c>
      <c r="G258" s="30">
        <f>IF(AND(ISNUMBER(E258),ISNUMBER(F258)),ROUND(E258-F258,6),"")</f>
        <v/>
      </c>
      <c r="H258" s="25">
        <f>IF(A258="","",IFERROR(INDEX('자료_한국심리'!$N$3:$N$4002,MATCH(A258,$Y$19:$Y$4018,0)),H257))</f>
        <v/>
      </c>
      <c r="I258" s="31">
        <f>IF(AND(ISNUMBER(H258),ISNUMBER(H238)),IF(H238&gt;0,H258/H238-1,""),"")</f>
        <v/>
      </c>
      <c r="J258">
        <f>IF(A258="",0,IF(A258&gt;$B$5,1,0))</f>
        <v/>
      </c>
      <c r="K258" s="29">
        <f>IF(AND(J258=1,ISNUMBER(D258)),D258,"")</f>
        <v/>
      </c>
      <c r="L258" s="30">
        <f>IF(AND(J258=1,ISNUMBER(G258)),G258,"")</f>
        <v/>
      </c>
      <c r="M258" s="22">
        <f>IF(AND(J258=1,ISNUMBER(C258)),C258,"")</f>
        <v/>
      </c>
      <c r="N258" s="31">
        <f>IF(AND(J258=1,ISNUMBER(I258)),I258,"")</f>
        <v/>
      </c>
      <c r="O258" s="11">
        <f>IF(K258="","",100-IF($G$13=1,50,(_xlfn.RANK.AVG(K258,$K$19:$K$1518,1)-1)/($G$13-1)*100))</f>
        <v/>
      </c>
      <c r="P258" s="11">
        <f>IF(L258="","",100-IF($G$14=1,50,(_xlfn.RANK.AVG(L258,$L$19:$L$1518,1)-1)/($G$14-1)*100))</f>
        <v/>
      </c>
      <c r="Q258" s="11">
        <f>IF(M258="","",IF($G$15=1,50,(_xlfn.RANK.AVG(M258,$M$19:$M$1518,1)-1)/($G$15-1)*100))</f>
        <v/>
      </c>
      <c r="R258" s="11">
        <f>IF(N258="","",IF($G$16=1,50,(_xlfn.RANK.AVG(N258,$N$19:$N$1518,1)-1)/($G$16-1)*100))</f>
        <v/>
      </c>
      <c r="S258" s="11">
        <f>IF(COUNT(O258:R258)=4,ROUND(AVERAGE(O258:R258),6),"")</f>
        <v/>
      </c>
      <c r="U258">
        <f>IF(AND(ISNUMBER('자료_한국심리'!$A242),ISNUMBER('자료_한국심리'!$B242)),'자료_한국심리'!$A242,"")</f>
        <v/>
      </c>
      <c r="V258">
        <f>IF(AND(ISNUMBER('자료_한국심리'!$D242),ISNUMBER('자료_한국심리'!$E242)),'자료_한국심리'!$D242,"")</f>
        <v/>
      </c>
      <c r="W258">
        <f>IF(AND(ISNUMBER('자료_한국심리'!$G242),ISNUMBER('자료_한국심리'!$H242)),'자료_한국심리'!$G242,"")</f>
        <v/>
      </c>
      <c r="X258">
        <f>IF(AND(ISNUMBER('자료_한국심리'!$J242),ISNUMBER('자료_한국심리'!$K242)),'자료_한국심리'!$J242,"")</f>
        <v/>
      </c>
      <c r="Y258">
        <f>IF(AND(ISNUMBER('자료_한국심리'!$M242),ISNUMBER('자료_한국심리'!$N242)),'자료_한국심리'!$M242,"")</f>
        <v/>
      </c>
    </row>
    <row r="259">
      <c r="A259" s="10">
        <f>IF(241&gt;$E$5,"",SMALL($U$19:$U$4018,$E$6+241))</f>
        <v/>
      </c>
      <c r="B259" s="29">
        <f>IF(A259="","",INDEX('자료_한국심리'!$B$3:$B$4002,MATCH(A259,$U$19:$U$4018,0)))</f>
        <v/>
      </c>
      <c r="C259" s="22">
        <f>IF(A259="","",B259/AVERAGE(B135:B259)-1)</f>
        <v/>
      </c>
      <c r="D259" s="29">
        <f>IF(A259="","",IFERROR(INDEX('자료_한국심리'!$E$3:$E$4002,MATCH(A259,$V$19:$V$4018,0)),D258))</f>
        <v/>
      </c>
      <c r="E259" s="30">
        <f>IF(A259="","",IFERROR(INDEX('자료_한국심리'!$H$3:$H$4002,MATCH(A259,$W$19:$W$4018,0)),E258))</f>
        <v/>
      </c>
      <c r="F259" s="30">
        <f>IF(A259="","",IFERROR(INDEX('자료_한국심리'!$K$3:$K$4002,MATCH(A259,$X$19:$X$4018,0)),F258))</f>
        <v/>
      </c>
      <c r="G259" s="30">
        <f>IF(AND(ISNUMBER(E259),ISNUMBER(F259)),ROUND(E259-F259,6),"")</f>
        <v/>
      </c>
      <c r="H259" s="25">
        <f>IF(A259="","",IFERROR(INDEX('자료_한국심리'!$N$3:$N$4002,MATCH(A259,$Y$19:$Y$4018,0)),H258))</f>
        <v/>
      </c>
      <c r="I259" s="31">
        <f>IF(AND(ISNUMBER(H259),ISNUMBER(H239)),IF(H239&gt;0,H259/H239-1,""),"")</f>
        <v/>
      </c>
      <c r="J259">
        <f>IF(A259="",0,IF(A259&gt;$B$5,1,0))</f>
        <v/>
      </c>
      <c r="K259" s="29">
        <f>IF(AND(J259=1,ISNUMBER(D259)),D259,"")</f>
        <v/>
      </c>
      <c r="L259" s="30">
        <f>IF(AND(J259=1,ISNUMBER(G259)),G259,"")</f>
        <v/>
      </c>
      <c r="M259" s="22">
        <f>IF(AND(J259=1,ISNUMBER(C259)),C259,"")</f>
        <v/>
      </c>
      <c r="N259" s="31">
        <f>IF(AND(J259=1,ISNUMBER(I259)),I259,"")</f>
        <v/>
      </c>
      <c r="O259" s="11">
        <f>IF(K259="","",100-IF($G$13=1,50,(_xlfn.RANK.AVG(K259,$K$19:$K$1518,1)-1)/($G$13-1)*100))</f>
        <v/>
      </c>
      <c r="P259" s="11">
        <f>IF(L259="","",100-IF($G$14=1,50,(_xlfn.RANK.AVG(L259,$L$19:$L$1518,1)-1)/($G$14-1)*100))</f>
        <v/>
      </c>
      <c r="Q259" s="11">
        <f>IF(M259="","",IF($G$15=1,50,(_xlfn.RANK.AVG(M259,$M$19:$M$1518,1)-1)/($G$15-1)*100))</f>
        <v/>
      </c>
      <c r="R259" s="11">
        <f>IF(N259="","",IF($G$16=1,50,(_xlfn.RANK.AVG(N259,$N$19:$N$1518,1)-1)/($G$16-1)*100))</f>
        <v/>
      </c>
      <c r="S259" s="11">
        <f>IF(COUNT(O259:R259)=4,ROUND(AVERAGE(O259:R259),6),"")</f>
        <v/>
      </c>
      <c r="U259">
        <f>IF(AND(ISNUMBER('자료_한국심리'!$A243),ISNUMBER('자료_한국심리'!$B243)),'자료_한국심리'!$A243,"")</f>
        <v/>
      </c>
      <c r="V259">
        <f>IF(AND(ISNUMBER('자료_한국심리'!$D243),ISNUMBER('자료_한국심리'!$E243)),'자료_한국심리'!$D243,"")</f>
        <v/>
      </c>
      <c r="W259">
        <f>IF(AND(ISNUMBER('자료_한국심리'!$G243),ISNUMBER('자료_한국심리'!$H243)),'자료_한국심리'!$G243,"")</f>
        <v/>
      </c>
      <c r="X259">
        <f>IF(AND(ISNUMBER('자료_한국심리'!$J243),ISNUMBER('자료_한국심리'!$K243)),'자료_한국심리'!$J243,"")</f>
        <v/>
      </c>
      <c r="Y259">
        <f>IF(AND(ISNUMBER('자료_한국심리'!$M243),ISNUMBER('자료_한국심리'!$N243)),'자료_한국심리'!$M243,"")</f>
        <v/>
      </c>
    </row>
    <row r="260">
      <c r="A260" s="10">
        <f>IF(242&gt;$E$5,"",SMALL($U$19:$U$4018,$E$6+242))</f>
        <v/>
      </c>
      <c r="B260" s="29">
        <f>IF(A260="","",INDEX('자료_한국심리'!$B$3:$B$4002,MATCH(A260,$U$19:$U$4018,0)))</f>
        <v/>
      </c>
      <c r="C260" s="22">
        <f>IF(A260="","",B260/AVERAGE(B136:B260)-1)</f>
        <v/>
      </c>
      <c r="D260" s="29">
        <f>IF(A260="","",IFERROR(INDEX('자료_한국심리'!$E$3:$E$4002,MATCH(A260,$V$19:$V$4018,0)),D259))</f>
        <v/>
      </c>
      <c r="E260" s="30">
        <f>IF(A260="","",IFERROR(INDEX('자료_한국심리'!$H$3:$H$4002,MATCH(A260,$W$19:$W$4018,0)),E259))</f>
        <v/>
      </c>
      <c r="F260" s="30">
        <f>IF(A260="","",IFERROR(INDEX('자료_한국심리'!$K$3:$K$4002,MATCH(A260,$X$19:$X$4018,0)),F259))</f>
        <v/>
      </c>
      <c r="G260" s="30">
        <f>IF(AND(ISNUMBER(E260),ISNUMBER(F260)),ROUND(E260-F260,6),"")</f>
        <v/>
      </c>
      <c r="H260" s="25">
        <f>IF(A260="","",IFERROR(INDEX('자료_한국심리'!$N$3:$N$4002,MATCH(A260,$Y$19:$Y$4018,0)),H259))</f>
        <v/>
      </c>
      <c r="I260" s="31">
        <f>IF(AND(ISNUMBER(H260),ISNUMBER(H240)),IF(H240&gt;0,H260/H240-1,""),"")</f>
        <v/>
      </c>
      <c r="J260">
        <f>IF(A260="",0,IF(A260&gt;$B$5,1,0))</f>
        <v/>
      </c>
      <c r="K260" s="29">
        <f>IF(AND(J260=1,ISNUMBER(D260)),D260,"")</f>
        <v/>
      </c>
      <c r="L260" s="30">
        <f>IF(AND(J260=1,ISNUMBER(G260)),G260,"")</f>
        <v/>
      </c>
      <c r="M260" s="22">
        <f>IF(AND(J260=1,ISNUMBER(C260)),C260,"")</f>
        <v/>
      </c>
      <c r="N260" s="31">
        <f>IF(AND(J260=1,ISNUMBER(I260)),I260,"")</f>
        <v/>
      </c>
      <c r="O260" s="11">
        <f>IF(K260="","",100-IF($G$13=1,50,(_xlfn.RANK.AVG(K260,$K$19:$K$1518,1)-1)/($G$13-1)*100))</f>
        <v/>
      </c>
      <c r="P260" s="11">
        <f>IF(L260="","",100-IF($G$14=1,50,(_xlfn.RANK.AVG(L260,$L$19:$L$1518,1)-1)/($G$14-1)*100))</f>
        <v/>
      </c>
      <c r="Q260" s="11">
        <f>IF(M260="","",IF($G$15=1,50,(_xlfn.RANK.AVG(M260,$M$19:$M$1518,1)-1)/($G$15-1)*100))</f>
        <v/>
      </c>
      <c r="R260" s="11">
        <f>IF(N260="","",IF($G$16=1,50,(_xlfn.RANK.AVG(N260,$N$19:$N$1518,1)-1)/($G$16-1)*100))</f>
        <v/>
      </c>
      <c r="S260" s="11">
        <f>IF(COUNT(O260:R260)=4,ROUND(AVERAGE(O260:R260),6),"")</f>
        <v/>
      </c>
      <c r="U260">
        <f>IF(AND(ISNUMBER('자료_한국심리'!$A244),ISNUMBER('자료_한국심리'!$B244)),'자료_한국심리'!$A244,"")</f>
        <v/>
      </c>
      <c r="V260">
        <f>IF(AND(ISNUMBER('자료_한국심리'!$D244),ISNUMBER('자료_한국심리'!$E244)),'자료_한국심리'!$D244,"")</f>
        <v/>
      </c>
      <c r="W260">
        <f>IF(AND(ISNUMBER('자료_한국심리'!$G244),ISNUMBER('자료_한국심리'!$H244)),'자료_한국심리'!$G244,"")</f>
        <v/>
      </c>
      <c r="X260">
        <f>IF(AND(ISNUMBER('자료_한국심리'!$J244),ISNUMBER('자료_한국심리'!$K244)),'자료_한국심리'!$J244,"")</f>
        <v/>
      </c>
      <c r="Y260">
        <f>IF(AND(ISNUMBER('자료_한국심리'!$M244),ISNUMBER('자료_한국심리'!$N244)),'자료_한국심리'!$M244,"")</f>
        <v/>
      </c>
    </row>
    <row r="261">
      <c r="A261" s="10">
        <f>IF(243&gt;$E$5,"",SMALL($U$19:$U$4018,$E$6+243))</f>
        <v/>
      </c>
      <c r="B261" s="29">
        <f>IF(A261="","",INDEX('자료_한국심리'!$B$3:$B$4002,MATCH(A261,$U$19:$U$4018,0)))</f>
        <v/>
      </c>
      <c r="C261" s="22">
        <f>IF(A261="","",B261/AVERAGE(B137:B261)-1)</f>
        <v/>
      </c>
      <c r="D261" s="29">
        <f>IF(A261="","",IFERROR(INDEX('자료_한국심리'!$E$3:$E$4002,MATCH(A261,$V$19:$V$4018,0)),D260))</f>
        <v/>
      </c>
      <c r="E261" s="30">
        <f>IF(A261="","",IFERROR(INDEX('자료_한국심리'!$H$3:$H$4002,MATCH(A261,$W$19:$W$4018,0)),E260))</f>
        <v/>
      </c>
      <c r="F261" s="30">
        <f>IF(A261="","",IFERROR(INDEX('자료_한국심리'!$K$3:$K$4002,MATCH(A261,$X$19:$X$4018,0)),F260))</f>
        <v/>
      </c>
      <c r="G261" s="30">
        <f>IF(AND(ISNUMBER(E261),ISNUMBER(F261)),ROUND(E261-F261,6),"")</f>
        <v/>
      </c>
      <c r="H261" s="25">
        <f>IF(A261="","",IFERROR(INDEX('자료_한국심리'!$N$3:$N$4002,MATCH(A261,$Y$19:$Y$4018,0)),H260))</f>
        <v/>
      </c>
      <c r="I261" s="31">
        <f>IF(AND(ISNUMBER(H261),ISNUMBER(H241)),IF(H241&gt;0,H261/H241-1,""),"")</f>
        <v/>
      </c>
      <c r="J261">
        <f>IF(A261="",0,IF(A261&gt;$B$5,1,0))</f>
        <v/>
      </c>
      <c r="K261" s="29">
        <f>IF(AND(J261=1,ISNUMBER(D261)),D261,"")</f>
        <v/>
      </c>
      <c r="L261" s="30">
        <f>IF(AND(J261=1,ISNUMBER(G261)),G261,"")</f>
        <v/>
      </c>
      <c r="M261" s="22">
        <f>IF(AND(J261=1,ISNUMBER(C261)),C261,"")</f>
        <v/>
      </c>
      <c r="N261" s="31">
        <f>IF(AND(J261=1,ISNUMBER(I261)),I261,"")</f>
        <v/>
      </c>
      <c r="O261" s="11">
        <f>IF(K261="","",100-IF($G$13=1,50,(_xlfn.RANK.AVG(K261,$K$19:$K$1518,1)-1)/($G$13-1)*100))</f>
        <v/>
      </c>
      <c r="P261" s="11">
        <f>IF(L261="","",100-IF($G$14=1,50,(_xlfn.RANK.AVG(L261,$L$19:$L$1518,1)-1)/($G$14-1)*100))</f>
        <v/>
      </c>
      <c r="Q261" s="11">
        <f>IF(M261="","",IF($G$15=1,50,(_xlfn.RANK.AVG(M261,$M$19:$M$1518,1)-1)/($G$15-1)*100))</f>
        <v/>
      </c>
      <c r="R261" s="11">
        <f>IF(N261="","",IF($G$16=1,50,(_xlfn.RANK.AVG(N261,$N$19:$N$1518,1)-1)/($G$16-1)*100))</f>
        <v/>
      </c>
      <c r="S261" s="11">
        <f>IF(COUNT(O261:R261)=4,ROUND(AVERAGE(O261:R261),6),"")</f>
        <v/>
      </c>
      <c r="U261">
        <f>IF(AND(ISNUMBER('자료_한국심리'!$A245),ISNUMBER('자료_한국심리'!$B245)),'자료_한국심리'!$A245,"")</f>
        <v/>
      </c>
      <c r="V261">
        <f>IF(AND(ISNUMBER('자료_한국심리'!$D245),ISNUMBER('자료_한국심리'!$E245)),'자료_한국심리'!$D245,"")</f>
        <v/>
      </c>
      <c r="W261">
        <f>IF(AND(ISNUMBER('자료_한국심리'!$G245),ISNUMBER('자료_한국심리'!$H245)),'자료_한국심리'!$G245,"")</f>
        <v/>
      </c>
      <c r="X261">
        <f>IF(AND(ISNUMBER('자료_한국심리'!$J245),ISNUMBER('자료_한국심리'!$K245)),'자료_한국심리'!$J245,"")</f>
        <v/>
      </c>
      <c r="Y261">
        <f>IF(AND(ISNUMBER('자료_한국심리'!$M245),ISNUMBER('자료_한국심리'!$N245)),'자료_한국심리'!$M245,"")</f>
        <v/>
      </c>
    </row>
    <row r="262">
      <c r="A262" s="10">
        <f>IF(244&gt;$E$5,"",SMALL($U$19:$U$4018,$E$6+244))</f>
        <v/>
      </c>
      <c r="B262" s="29">
        <f>IF(A262="","",INDEX('자료_한국심리'!$B$3:$B$4002,MATCH(A262,$U$19:$U$4018,0)))</f>
        <v/>
      </c>
      <c r="C262" s="22">
        <f>IF(A262="","",B262/AVERAGE(B138:B262)-1)</f>
        <v/>
      </c>
      <c r="D262" s="29">
        <f>IF(A262="","",IFERROR(INDEX('자료_한국심리'!$E$3:$E$4002,MATCH(A262,$V$19:$V$4018,0)),D261))</f>
        <v/>
      </c>
      <c r="E262" s="30">
        <f>IF(A262="","",IFERROR(INDEX('자료_한국심리'!$H$3:$H$4002,MATCH(A262,$W$19:$W$4018,0)),E261))</f>
        <v/>
      </c>
      <c r="F262" s="30">
        <f>IF(A262="","",IFERROR(INDEX('자료_한국심리'!$K$3:$K$4002,MATCH(A262,$X$19:$X$4018,0)),F261))</f>
        <v/>
      </c>
      <c r="G262" s="30">
        <f>IF(AND(ISNUMBER(E262),ISNUMBER(F262)),ROUND(E262-F262,6),"")</f>
        <v/>
      </c>
      <c r="H262" s="25">
        <f>IF(A262="","",IFERROR(INDEX('자료_한국심리'!$N$3:$N$4002,MATCH(A262,$Y$19:$Y$4018,0)),H261))</f>
        <v/>
      </c>
      <c r="I262" s="31">
        <f>IF(AND(ISNUMBER(H262),ISNUMBER(H242)),IF(H242&gt;0,H262/H242-1,""),"")</f>
        <v/>
      </c>
      <c r="J262">
        <f>IF(A262="",0,IF(A262&gt;$B$5,1,0))</f>
        <v/>
      </c>
      <c r="K262" s="29">
        <f>IF(AND(J262=1,ISNUMBER(D262)),D262,"")</f>
        <v/>
      </c>
      <c r="L262" s="30">
        <f>IF(AND(J262=1,ISNUMBER(G262)),G262,"")</f>
        <v/>
      </c>
      <c r="M262" s="22">
        <f>IF(AND(J262=1,ISNUMBER(C262)),C262,"")</f>
        <v/>
      </c>
      <c r="N262" s="31">
        <f>IF(AND(J262=1,ISNUMBER(I262)),I262,"")</f>
        <v/>
      </c>
      <c r="O262" s="11">
        <f>IF(K262="","",100-IF($G$13=1,50,(_xlfn.RANK.AVG(K262,$K$19:$K$1518,1)-1)/($G$13-1)*100))</f>
        <v/>
      </c>
      <c r="P262" s="11">
        <f>IF(L262="","",100-IF($G$14=1,50,(_xlfn.RANK.AVG(L262,$L$19:$L$1518,1)-1)/($G$14-1)*100))</f>
        <v/>
      </c>
      <c r="Q262" s="11">
        <f>IF(M262="","",IF($G$15=1,50,(_xlfn.RANK.AVG(M262,$M$19:$M$1518,1)-1)/($G$15-1)*100))</f>
        <v/>
      </c>
      <c r="R262" s="11">
        <f>IF(N262="","",IF($G$16=1,50,(_xlfn.RANK.AVG(N262,$N$19:$N$1518,1)-1)/($G$16-1)*100))</f>
        <v/>
      </c>
      <c r="S262" s="11">
        <f>IF(COUNT(O262:R262)=4,ROUND(AVERAGE(O262:R262),6),"")</f>
        <v/>
      </c>
      <c r="U262">
        <f>IF(AND(ISNUMBER('자료_한국심리'!$A246),ISNUMBER('자료_한국심리'!$B246)),'자료_한국심리'!$A246,"")</f>
        <v/>
      </c>
      <c r="V262">
        <f>IF(AND(ISNUMBER('자료_한국심리'!$D246),ISNUMBER('자료_한국심리'!$E246)),'자료_한국심리'!$D246,"")</f>
        <v/>
      </c>
      <c r="W262">
        <f>IF(AND(ISNUMBER('자료_한국심리'!$G246),ISNUMBER('자료_한국심리'!$H246)),'자료_한국심리'!$G246,"")</f>
        <v/>
      </c>
      <c r="X262">
        <f>IF(AND(ISNUMBER('자료_한국심리'!$J246),ISNUMBER('자료_한국심리'!$K246)),'자료_한국심리'!$J246,"")</f>
        <v/>
      </c>
      <c r="Y262">
        <f>IF(AND(ISNUMBER('자료_한국심리'!$M246),ISNUMBER('자료_한국심리'!$N246)),'자료_한국심리'!$M246,"")</f>
        <v/>
      </c>
    </row>
    <row r="263">
      <c r="A263" s="10">
        <f>IF(245&gt;$E$5,"",SMALL($U$19:$U$4018,$E$6+245))</f>
        <v/>
      </c>
      <c r="B263" s="29">
        <f>IF(A263="","",INDEX('자료_한국심리'!$B$3:$B$4002,MATCH(A263,$U$19:$U$4018,0)))</f>
        <v/>
      </c>
      <c r="C263" s="22">
        <f>IF(A263="","",B263/AVERAGE(B139:B263)-1)</f>
        <v/>
      </c>
      <c r="D263" s="29">
        <f>IF(A263="","",IFERROR(INDEX('자료_한국심리'!$E$3:$E$4002,MATCH(A263,$V$19:$V$4018,0)),D262))</f>
        <v/>
      </c>
      <c r="E263" s="30">
        <f>IF(A263="","",IFERROR(INDEX('자료_한국심리'!$H$3:$H$4002,MATCH(A263,$W$19:$W$4018,0)),E262))</f>
        <v/>
      </c>
      <c r="F263" s="30">
        <f>IF(A263="","",IFERROR(INDEX('자료_한국심리'!$K$3:$K$4002,MATCH(A263,$X$19:$X$4018,0)),F262))</f>
        <v/>
      </c>
      <c r="G263" s="30">
        <f>IF(AND(ISNUMBER(E263),ISNUMBER(F263)),ROUND(E263-F263,6),"")</f>
        <v/>
      </c>
      <c r="H263" s="25">
        <f>IF(A263="","",IFERROR(INDEX('자료_한국심리'!$N$3:$N$4002,MATCH(A263,$Y$19:$Y$4018,0)),H262))</f>
        <v/>
      </c>
      <c r="I263" s="31">
        <f>IF(AND(ISNUMBER(H263),ISNUMBER(H243)),IF(H243&gt;0,H263/H243-1,""),"")</f>
        <v/>
      </c>
      <c r="J263">
        <f>IF(A263="",0,IF(A263&gt;$B$5,1,0))</f>
        <v/>
      </c>
      <c r="K263" s="29">
        <f>IF(AND(J263=1,ISNUMBER(D263)),D263,"")</f>
        <v/>
      </c>
      <c r="L263" s="30">
        <f>IF(AND(J263=1,ISNUMBER(G263)),G263,"")</f>
        <v/>
      </c>
      <c r="M263" s="22">
        <f>IF(AND(J263=1,ISNUMBER(C263)),C263,"")</f>
        <v/>
      </c>
      <c r="N263" s="31">
        <f>IF(AND(J263=1,ISNUMBER(I263)),I263,"")</f>
        <v/>
      </c>
      <c r="O263" s="11">
        <f>IF(K263="","",100-IF($G$13=1,50,(_xlfn.RANK.AVG(K263,$K$19:$K$1518,1)-1)/($G$13-1)*100))</f>
        <v/>
      </c>
      <c r="P263" s="11">
        <f>IF(L263="","",100-IF($G$14=1,50,(_xlfn.RANK.AVG(L263,$L$19:$L$1518,1)-1)/($G$14-1)*100))</f>
        <v/>
      </c>
      <c r="Q263" s="11">
        <f>IF(M263="","",IF($G$15=1,50,(_xlfn.RANK.AVG(M263,$M$19:$M$1518,1)-1)/($G$15-1)*100))</f>
        <v/>
      </c>
      <c r="R263" s="11">
        <f>IF(N263="","",IF($G$16=1,50,(_xlfn.RANK.AVG(N263,$N$19:$N$1518,1)-1)/($G$16-1)*100))</f>
        <v/>
      </c>
      <c r="S263" s="11">
        <f>IF(COUNT(O263:R263)=4,ROUND(AVERAGE(O263:R263),6),"")</f>
        <v/>
      </c>
      <c r="U263">
        <f>IF(AND(ISNUMBER('자료_한국심리'!$A247),ISNUMBER('자료_한국심리'!$B247)),'자료_한국심리'!$A247,"")</f>
        <v/>
      </c>
      <c r="V263">
        <f>IF(AND(ISNUMBER('자료_한국심리'!$D247),ISNUMBER('자료_한국심리'!$E247)),'자료_한국심리'!$D247,"")</f>
        <v/>
      </c>
      <c r="W263">
        <f>IF(AND(ISNUMBER('자료_한국심리'!$G247),ISNUMBER('자료_한국심리'!$H247)),'자료_한국심리'!$G247,"")</f>
        <v/>
      </c>
      <c r="X263">
        <f>IF(AND(ISNUMBER('자료_한국심리'!$J247),ISNUMBER('자료_한국심리'!$K247)),'자료_한국심리'!$J247,"")</f>
        <v/>
      </c>
      <c r="Y263">
        <f>IF(AND(ISNUMBER('자료_한국심리'!$M247),ISNUMBER('자료_한국심리'!$N247)),'자료_한국심리'!$M247,"")</f>
        <v/>
      </c>
    </row>
    <row r="264">
      <c r="A264" s="10">
        <f>IF(246&gt;$E$5,"",SMALL($U$19:$U$4018,$E$6+246))</f>
        <v/>
      </c>
      <c r="B264" s="29">
        <f>IF(A264="","",INDEX('자료_한국심리'!$B$3:$B$4002,MATCH(A264,$U$19:$U$4018,0)))</f>
        <v/>
      </c>
      <c r="C264" s="22">
        <f>IF(A264="","",B264/AVERAGE(B140:B264)-1)</f>
        <v/>
      </c>
      <c r="D264" s="29">
        <f>IF(A264="","",IFERROR(INDEX('자료_한국심리'!$E$3:$E$4002,MATCH(A264,$V$19:$V$4018,0)),D263))</f>
        <v/>
      </c>
      <c r="E264" s="30">
        <f>IF(A264="","",IFERROR(INDEX('자료_한국심리'!$H$3:$H$4002,MATCH(A264,$W$19:$W$4018,0)),E263))</f>
        <v/>
      </c>
      <c r="F264" s="30">
        <f>IF(A264="","",IFERROR(INDEX('자료_한국심리'!$K$3:$K$4002,MATCH(A264,$X$19:$X$4018,0)),F263))</f>
        <v/>
      </c>
      <c r="G264" s="30">
        <f>IF(AND(ISNUMBER(E264),ISNUMBER(F264)),ROUND(E264-F264,6),"")</f>
        <v/>
      </c>
      <c r="H264" s="25">
        <f>IF(A264="","",IFERROR(INDEX('자료_한국심리'!$N$3:$N$4002,MATCH(A264,$Y$19:$Y$4018,0)),H263))</f>
        <v/>
      </c>
      <c r="I264" s="31">
        <f>IF(AND(ISNUMBER(H264),ISNUMBER(H244)),IF(H244&gt;0,H264/H244-1,""),"")</f>
        <v/>
      </c>
      <c r="J264">
        <f>IF(A264="",0,IF(A264&gt;$B$5,1,0))</f>
        <v/>
      </c>
      <c r="K264" s="29">
        <f>IF(AND(J264=1,ISNUMBER(D264)),D264,"")</f>
        <v/>
      </c>
      <c r="L264" s="30">
        <f>IF(AND(J264=1,ISNUMBER(G264)),G264,"")</f>
        <v/>
      </c>
      <c r="M264" s="22">
        <f>IF(AND(J264=1,ISNUMBER(C264)),C264,"")</f>
        <v/>
      </c>
      <c r="N264" s="31">
        <f>IF(AND(J264=1,ISNUMBER(I264)),I264,"")</f>
        <v/>
      </c>
      <c r="O264" s="11">
        <f>IF(K264="","",100-IF($G$13=1,50,(_xlfn.RANK.AVG(K264,$K$19:$K$1518,1)-1)/($G$13-1)*100))</f>
        <v/>
      </c>
      <c r="P264" s="11">
        <f>IF(L264="","",100-IF($G$14=1,50,(_xlfn.RANK.AVG(L264,$L$19:$L$1518,1)-1)/($G$14-1)*100))</f>
        <v/>
      </c>
      <c r="Q264" s="11">
        <f>IF(M264="","",IF($G$15=1,50,(_xlfn.RANK.AVG(M264,$M$19:$M$1518,1)-1)/($G$15-1)*100))</f>
        <v/>
      </c>
      <c r="R264" s="11">
        <f>IF(N264="","",IF($G$16=1,50,(_xlfn.RANK.AVG(N264,$N$19:$N$1518,1)-1)/($G$16-1)*100))</f>
        <v/>
      </c>
      <c r="S264" s="11">
        <f>IF(COUNT(O264:R264)=4,ROUND(AVERAGE(O264:R264),6),"")</f>
        <v/>
      </c>
      <c r="U264">
        <f>IF(AND(ISNUMBER('자료_한국심리'!$A248),ISNUMBER('자료_한국심리'!$B248)),'자료_한국심리'!$A248,"")</f>
        <v/>
      </c>
      <c r="V264">
        <f>IF(AND(ISNUMBER('자료_한국심리'!$D248),ISNUMBER('자료_한국심리'!$E248)),'자료_한국심리'!$D248,"")</f>
        <v/>
      </c>
      <c r="W264">
        <f>IF(AND(ISNUMBER('자료_한국심리'!$G248),ISNUMBER('자료_한국심리'!$H248)),'자료_한국심리'!$G248,"")</f>
        <v/>
      </c>
      <c r="X264">
        <f>IF(AND(ISNUMBER('자료_한국심리'!$J248),ISNUMBER('자료_한국심리'!$K248)),'자료_한국심리'!$J248,"")</f>
        <v/>
      </c>
      <c r="Y264">
        <f>IF(AND(ISNUMBER('자료_한국심리'!$M248),ISNUMBER('자료_한국심리'!$N248)),'자료_한국심리'!$M248,"")</f>
        <v/>
      </c>
    </row>
    <row r="265">
      <c r="A265" s="10">
        <f>IF(247&gt;$E$5,"",SMALL($U$19:$U$4018,$E$6+247))</f>
        <v/>
      </c>
      <c r="B265" s="29">
        <f>IF(A265="","",INDEX('자료_한국심리'!$B$3:$B$4002,MATCH(A265,$U$19:$U$4018,0)))</f>
        <v/>
      </c>
      <c r="C265" s="22">
        <f>IF(A265="","",B265/AVERAGE(B141:B265)-1)</f>
        <v/>
      </c>
      <c r="D265" s="29">
        <f>IF(A265="","",IFERROR(INDEX('자료_한국심리'!$E$3:$E$4002,MATCH(A265,$V$19:$V$4018,0)),D264))</f>
        <v/>
      </c>
      <c r="E265" s="30">
        <f>IF(A265="","",IFERROR(INDEX('자료_한국심리'!$H$3:$H$4002,MATCH(A265,$W$19:$W$4018,0)),E264))</f>
        <v/>
      </c>
      <c r="F265" s="30">
        <f>IF(A265="","",IFERROR(INDEX('자료_한국심리'!$K$3:$K$4002,MATCH(A265,$X$19:$X$4018,0)),F264))</f>
        <v/>
      </c>
      <c r="G265" s="30">
        <f>IF(AND(ISNUMBER(E265),ISNUMBER(F265)),ROUND(E265-F265,6),"")</f>
        <v/>
      </c>
      <c r="H265" s="25">
        <f>IF(A265="","",IFERROR(INDEX('자료_한국심리'!$N$3:$N$4002,MATCH(A265,$Y$19:$Y$4018,0)),H264))</f>
        <v/>
      </c>
      <c r="I265" s="31">
        <f>IF(AND(ISNUMBER(H265),ISNUMBER(H245)),IF(H245&gt;0,H265/H245-1,""),"")</f>
        <v/>
      </c>
      <c r="J265">
        <f>IF(A265="",0,IF(A265&gt;$B$5,1,0))</f>
        <v/>
      </c>
      <c r="K265" s="29">
        <f>IF(AND(J265=1,ISNUMBER(D265)),D265,"")</f>
        <v/>
      </c>
      <c r="L265" s="30">
        <f>IF(AND(J265=1,ISNUMBER(G265)),G265,"")</f>
        <v/>
      </c>
      <c r="M265" s="22">
        <f>IF(AND(J265=1,ISNUMBER(C265)),C265,"")</f>
        <v/>
      </c>
      <c r="N265" s="31">
        <f>IF(AND(J265=1,ISNUMBER(I265)),I265,"")</f>
        <v/>
      </c>
      <c r="O265" s="11">
        <f>IF(K265="","",100-IF($G$13=1,50,(_xlfn.RANK.AVG(K265,$K$19:$K$1518,1)-1)/($G$13-1)*100))</f>
        <v/>
      </c>
      <c r="P265" s="11">
        <f>IF(L265="","",100-IF($G$14=1,50,(_xlfn.RANK.AVG(L265,$L$19:$L$1518,1)-1)/($G$14-1)*100))</f>
        <v/>
      </c>
      <c r="Q265" s="11">
        <f>IF(M265="","",IF($G$15=1,50,(_xlfn.RANK.AVG(M265,$M$19:$M$1518,1)-1)/($G$15-1)*100))</f>
        <v/>
      </c>
      <c r="R265" s="11">
        <f>IF(N265="","",IF($G$16=1,50,(_xlfn.RANK.AVG(N265,$N$19:$N$1518,1)-1)/($G$16-1)*100))</f>
        <v/>
      </c>
      <c r="S265" s="11">
        <f>IF(COUNT(O265:R265)=4,ROUND(AVERAGE(O265:R265),6),"")</f>
        <v/>
      </c>
      <c r="U265">
        <f>IF(AND(ISNUMBER('자료_한국심리'!$A249),ISNUMBER('자료_한국심리'!$B249)),'자료_한국심리'!$A249,"")</f>
        <v/>
      </c>
      <c r="V265">
        <f>IF(AND(ISNUMBER('자료_한국심리'!$D249),ISNUMBER('자료_한국심리'!$E249)),'자료_한국심리'!$D249,"")</f>
        <v/>
      </c>
      <c r="W265">
        <f>IF(AND(ISNUMBER('자료_한국심리'!$G249),ISNUMBER('자료_한국심리'!$H249)),'자료_한국심리'!$G249,"")</f>
        <v/>
      </c>
      <c r="X265">
        <f>IF(AND(ISNUMBER('자료_한국심리'!$J249),ISNUMBER('자료_한국심리'!$K249)),'자료_한국심리'!$J249,"")</f>
        <v/>
      </c>
      <c r="Y265">
        <f>IF(AND(ISNUMBER('자료_한국심리'!$M249),ISNUMBER('자료_한국심리'!$N249)),'자료_한국심리'!$M249,"")</f>
        <v/>
      </c>
    </row>
    <row r="266">
      <c r="A266" s="10">
        <f>IF(248&gt;$E$5,"",SMALL($U$19:$U$4018,$E$6+248))</f>
        <v/>
      </c>
      <c r="B266" s="29">
        <f>IF(A266="","",INDEX('자료_한국심리'!$B$3:$B$4002,MATCH(A266,$U$19:$U$4018,0)))</f>
        <v/>
      </c>
      <c r="C266" s="22">
        <f>IF(A266="","",B266/AVERAGE(B142:B266)-1)</f>
        <v/>
      </c>
      <c r="D266" s="29">
        <f>IF(A266="","",IFERROR(INDEX('자료_한국심리'!$E$3:$E$4002,MATCH(A266,$V$19:$V$4018,0)),D265))</f>
        <v/>
      </c>
      <c r="E266" s="30">
        <f>IF(A266="","",IFERROR(INDEX('자료_한국심리'!$H$3:$H$4002,MATCH(A266,$W$19:$W$4018,0)),E265))</f>
        <v/>
      </c>
      <c r="F266" s="30">
        <f>IF(A266="","",IFERROR(INDEX('자료_한국심리'!$K$3:$K$4002,MATCH(A266,$X$19:$X$4018,0)),F265))</f>
        <v/>
      </c>
      <c r="G266" s="30">
        <f>IF(AND(ISNUMBER(E266),ISNUMBER(F266)),ROUND(E266-F266,6),"")</f>
        <v/>
      </c>
      <c r="H266" s="25">
        <f>IF(A266="","",IFERROR(INDEX('자료_한국심리'!$N$3:$N$4002,MATCH(A266,$Y$19:$Y$4018,0)),H265))</f>
        <v/>
      </c>
      <c r="I266" s="31">
        <f>IF(AND(ISNUMBER(H266),ISNUMBER(H246)),IF(H246&gt;0,H266/H246-1,""),"")</f>
        <v/>
      </c>
      <c r="J266">
        <f>IF(A266="",0,IF(A266&gt;$B$5,1,0))</f>
        <v/>
      </c>
      <c r="K266" s="29">
        <f>IF(AND(J266=1,ISNUMBER(D266)),D266,"")</f>
        <v/>
      </c>
      <c r="L266" s="30">
        <f>IF(AND(J266=1,ISNUMBER(G266)),G266,"")</f>
        <v/>
      </c>
      <c r="M266" s="22">
        <f>IF(AND(J266=1,ISNUMBER(C266)),C266,"")</f>
        <v/>
      </c>
      <c r="N266" s="31">
        <f>IF(AND(J266=1,ISNUMBER(I266)),I266,"")</f>
        <v/>
      </c>
      <c r="O266" s="11">
        <f>IF(K266="","",100-IF($G$13=1,50,(_xlfn.RANK.AVG(K266,$K$19:$K$1518,1)-1)/($G$13-1)*100))</f>
        <v/>
      </c>
      <c r="P266" s="11">
        <f>IF(L266="","",100-IF($G$14=1,50,(_xlfn.RANK.AVG(L266,$L$19:$L$1518,1)-1)/($G$14-1)*100))</f>
        <v/>
      </c>
      <c r="Q266" s="11">
        <f>IF(M266="","",IF($G$15=1,50,(_xlfn.RANK.AVG(M266,$M$19:$M$1518,1)-1)/($G$15-1)*100))</f>
        <v/>
      </c>
      <c r="R266" s="11">
        <f>IF(N266="","",IF($G$16=1,50,(_xlfn.RANK.AVG(N266,$N$19:$N$1518,1)-1)/($G$16-1)*100))</f>
        <v/>
      </c>
      <c r="S266" s="11">
        <f>IF(COUNT(O266:R266)=4,ROUND(AVERAGE(O266:R266),6),"")</f>
        <v/>
      </c>
      <c r="U266">
        <f>IF(AND(ISNUMBER('자료_한국심리'!$A250),ISNUMBER('자료_한국심리'!$B250)),'자료_한국심리'!$A250,"")</f>
        <v/>
      </c>
      <c r="V266">
        <f>IF(AND(ISNUMBER('자료_한국심리'!$D250),ISNUMBER('자료_한국심리'!$E250)),'자료_한국심리'!$D250,"")</f>
        <v/>
      </c>
      <c r="W266">
        <f>IF(AND(ISNUMBER('자료_한국심리'!$G250),ISNUMBER('자료_한국심리'!$H250)),'자료_한국심리'!$G250,"")</f>
        <v/>
      </c>
      <c r="X266">
        <f>IF(AND(ISNUMBER('자료_한국심리'!$J250),ISNUMBER('자료_한국심리'!$K250)),'자료_한국심리'!$J250,"")</f>
        <v/>
      </c>
      <c r="Y266">
        <f>IF(AND(ISNUMBER('자료_한국심리'!$M250),ISNUMBER('자료_한국심리'!$N250)),'자료_한국심리'!$M250,"")</f>
        <v/>
      </c>
    </row>
    <row r="267">
      <c r="A267" s="10">
        <f>IF(249&gt;$E$5,"",SMALL($U$19:$U$4018,$E$6+249))</f>
        <v/>
      </c>
      <c r="B267" s="29">
        <f>IF(A267="","",INDEX('자료_한국심리'!$B$3:$B$4002,MATCH(A267,$U$19:$U$4018,0)))</f>
        <v/>
      </c>
      <c r="C267" s="22">
        <f>IF(A267="","",B267/AVERAGE(B143:B267)-1)</f>
        <v/>
      </c>
      <c r="D267" s="29">
        <f>IF(A267="","",IFERROR(INDEX('자료_한국심리'!$E$3:$E$4002,MATCH(A267,$V$19:$V$4018,0)),D266))</f>
        <v/>
      </c>
      <c r="E267" s="30">
        <f>IF(A267="","",IFERROR(INDEX('자료_한국심리'!$H$3:$H$4002,MATCH(A267,$W$19:$W$4018,0)),E266))</f>
        <v/>
      </c>
      <c r="F267" s="30">
        <f>IF(A267="","",IFERROR(INDEX('자료_한국심리'!$K$3:$K$4002,MATCH(A267,$X$19:$X$4018,0)),F266))</f>
        <v/>
      </c>
      <c r="G267" s="30">
        <f>IF(AND(ISNUMBER(E267),ISNUMBER(F267)),ROUND(E267-F267,6),"")</f>
        <v/>
      </c>
      <c r="H267" s="25">
        <f>IF(A267="","",IFERROR(INDEX('자료_한국심리'!$N$3:$N$4002,MATCH(A267,$Y$19:$Y$4018,0)),H266))</f>
        <v/>
      </c>
      <c r="I267" s="31">
        <f>IF(AND(ISNUMBER(H267),ISNUMBER(H247)),IF(H247&gt;0,H267/H247-1,""),"")</f>
        <v/>
      </c>
      <c r="J267">
        <f>IF(A267="",0,IF(A267&gt;$B$5,1,0))</f>
        <v/>
      </c>
      <c r="K267" s="29">
        <f>IF(AND(J267=1,ISNUMBER(D267)),D267,"")</f>
        <v/>
      </c>
      <c r="L267" s="30">
        <f>IF(AND(J267=1,ISNUMBER(G267)),G267,"")</f>
        <v/>
      </c>
      <c r="M267" s="22">
        <f>IF(AND(J267=1,ISNUMBER(C267)),C267,"")</f>
        <v/>
      </c>
      <c r="N267" s="31">
        <f>IF(AND(J267=1,ISNUMBER(I267)),I267,"")</f>
        <v/>
      </c>
      <c r="O267" s="11">
        <f>IF(K267="","",100-IF($G$13=1,50,(_xlfn.RANK.AVG(K267,$K$19:$K$1518,1)-1)/($G$13-1)*100))</f>
        <v/>
      </c>
      <c r="P267" s="11">
        <f>IF(L267="","",100-IF($G$14=1,50,(_xlfn.RANK.AVG(L267,$L$19:$L$1518,1)-1)/($G$14-1)*100))</f>
        <v/>
      </c>
      <c r="Q267" s="11">
        <f>IF(M267="","",IF($G$15=1,50,(_xlfn.RANK.AVG(M267,$M$19:$M$1518,1)-1)/($G$15-1)*100))</f>
        <v/>
      </c>
      <c r="R267" s="11">
        <f>IF(N267="","",IF($G$16=1,50,(_xlfn.RANK.AVG(N267,$N$19:$N$1518,1)-1)/($G$16-1)*100))</f>
        <v/>
      </c>
      <c r="S267" s="11">
        <f>IF(COUNT(O267:R267)=4,ROUND(AVERAGE(O267:R267),6),"")</f>
        <v/>
      </c>
      <c r="U267">
        <f>IF(AND(ISNUMBER('자료_한국심리'!$A251),ISNUMBER('자료_한국심리'!$B251)),'자료_한국심리'!$A251,"")</f>
        <v/>
      </c>
      <c r="V267">
        <f>IF(AND(ISNUMBER('자료_한국심리'!$D251),ISNUMBER('자료_한국심리'!$E251)),'자료_한국심리'!$D251,"")</f>
        <v/>
      </c>
      <c r="W267">
        <f>IF(AND(ISNUMBER('자료_한국심리'!$G251),ISNUMBER('자료_한국심리'!$H251)),'자료_한국심리'!$G251,"")</f>
        <v/>
      </c>
      <c r="X267">
        <f>IF(AND(ISNUMBER('자료_한국심리'!$J251),ISNUMBER('자료_한국심리'!$K251)),'자료_한국심리'!$J251,"")</f>
        <v/>
      </c>
      <c r="Y267">
        <f>IF(AND(ISNUMBER('자료_한국심리'!$M251),ISNUMBER('자료_한국심리'!$N251)),'자료_한국심리'!$M251,"")</f>
        <v/>
      </c>
    </row>
    <row r="268">
      <c r="A268" s="10">
        <f>IF(250&gt;$E$5,"",SMALL($U$19:$U$4018,$E$6+250))</f>
        <v/>
      </c>
      <c r="B268" s="29">
        <f>IF(A268="","",INDEX('자료_한국심리'!$B$3:$B$4002,MATCH(A268,$U$19:$U$4018,0)))</f>
        <v/>
      </c>
      <c r="C268" s="22">
        <f>IF(A268="","",B268/AVERAGE(B144:B268)-1)</f>
        <v/>
      </c>
      <c r="D268" s="29">
        <f>IF(A268="","",IFERROR(INDEX('자료_한국심리'!$E$3:$E$4002,MATCH(A268,$V$19:$V$4018,0)),D267))</f>
        <v/>
      </c>
      <c r="E268" s="30">
        <f>IF(A268="","",IFERROR(INDEX('자료_한국심리'!$H$3:$H$4002,MATCH(A268,$W$19:$W$4018,0)),E267))</f>
        <v/>
      </c>
      <c r="F268" s="30">
        <f>IF(A268="","",IFERROR(INDEX('자료_한국심리'!$K$3:$K$4002,MATCH(A268,$X$19:$X$4018,0)),F267))</f>
        <v/>
      </c>
      <c r="G268" s="30">
        <f>IF(AND(ISNUMBER(E268),ISNUMBER(F268)),ROUND(E268-F268,6),"")</f>
        <v/>
      </c>
      <c r="H268" s="25">
        <f>IF(A268="","",IFERROR(INDEX('자료_한국심리'!$N$3:$N$4002,MATCH(A268,$Y$19:$Y$4018,0)),H267))</f>
        <v/>
      </c>
      <c r="I268" s="31">
        <f>IF(AND(ISNUMBER(H268),ISNUMBER(H248)),IF(H248&gt;0,H268/H248-1,""),"")</f>
        <v/>
      </c>
      <c r="J268">
        <f>IF(A268="",0,IF(A268&gt;$B$5,1,0))</f>
        <v/>
      </c>
      <c r="K268" s="29">
        <f>IF(AND(J268=1,ISNUMBER(D268)),D268,"")</f>
        <v/>
      </c>
      <c r="L268" s="30">
        <f>IF(AND(J268=1,ISNUMBER(G268)),G268,"")</f>
        <v/>
      </c>
      <c r="M268" s="22">
        <f>IF(AND(J268=1,ISNUMBER(C268)),C268,"")</f>
        <v/>
      </c>
      <c r="N268" s="31">
        <f>IF(AND(J268=1,ISNUMBER(I268)),I268,"")</f>
        <v/>
      </c>
      <c r="O268" s="11">
        <f>IF(K268="","",100-IF($G$13=1,50,(_xlfn.RANK.AVG(K268,$K$19:$K$1518,1)-1)/($G$13-1)*100))</f>
        <v/>
      </c>
      <c r="P268" s="11">
        <f>IF(L268="","",100-IF($G$14=1,50,(_xlfn.RANK.AVG(L268,$L$19:$L$1518,1)-1)/($G$14-1)*100))</f>
        <v/>
      </c>
      <c r="Q268" s="11">
        <f>IF(M268="","",IF($G$15=1,50,(_xlfn.RANK.AVG(M268,$M$19:$M$1518,1)-1)/($G$15-1)*100))</f>
        <v/>
      </c>
      <c r="R268" s="11">
        <f>IF(N268="","",IF($G$16=1,50,(_xlfn.RANK.AVG(N268,$N$19:$N$1518,1)-1)/($G$16-1)*100))</f>
        <v/>
      </c>
      <c r="S268" s="11">
        <f>IF(COUNT(O268:R268)=4,ROUND(AVERAGE(O268:R268),6),"")</f>
        <v/>
      </c>
      <c r="U268">
        <f>IF(AND(ISNUMBER('자료_한국심리'!$A252),ISNUMBER('자료_한국심리'!$B252)),'자료_한국심리'!$A252,"")</f>
        <v/>
      </c>
      <c r="V268">
        <f>IF(AND(ISNUMBER('자료_한국심리'!$D252),ISNUMBER('자료_한국심리'!$E252)),'자료_한국심리'!$D252,"")</f>
        <v/>
      </c>
      <c r="W268">
        <f>IF(AND(ISNUMBER('자료_한국심리'!$G252),ISNUMBER('자료_한국심리'!$H252)),'자료_한국심리'!$G252,"")</f>
        <v/>
      </c>
      <c r="X268">
        <f>IF(AND(ISNUMBER('자료_한국심리'!$J252),ISNUMBER('자료_한국심리'!$K252)),'자료_한국심리'!$J252,"")</f>
        <v/>
      </c>
      <c r="Y268">
        <f>IF(AND(ISNUMBER('자료_한국심리'!$M252),ISNUMBER('자료_한국심리'!$N252)),'자료_한국심리'!$M252,"")</f>
        <v/>
      </c>
    </row>
    <row r="269">
      <c r="A269" s="10">
        <f>IF(251&gt;$E$5,"",SMALL($U$19:$U$4018,$E$6+251))</f>
        <v/>
      </c>
      <c r="B269" s="29">
        <f>IF(A269="","",INDEX('자료_한국심리'!$B$3:$B$4002,MATCH(A269,$U$19:$U$4018,0)))</f>
        <v/>
      </c>
      <c r="C269" s="22">
        <f>IF(A269="","",B269/AVERAGE(B145:B269)-1)</f>
        <v/>
      </c>
      <c r="D269" s="29">
        <f>IF(A269="","",IFERROR(INDEX('자료_한국심리'!$E$3:$E$4002,MATCH(A269,$V$19:$V$4018,0)),D268))</f>
        <v/>
      </c>
      <c r="E269" s="30">
        <f>IF(A269="","",IFERROR(INDEX('자료_한국심리'!$H$3:$H$4002,MATCH(A269,$W$19:$W$4018,0)),E268))</f>
        <v/>
      </c>
      <c r="F269" s="30">
        <f>IF(A269="","",IFERROR(INDEX('자료_한국심리'!$K$3:$K$4002,MATCH(A269,$X$19:$X$4018,0)),F268))</f>
        <v/>
      </c>
      <c r="G269" s="30">
        <f>IF(AND(ISNUMBER(E269),ISNUMBER(F269)),ROUND(E269-F269,6),"")</f>
        <v/>
      </c>
      <c r="H269" s="25">
        <f>IF(A269="","",IFERROR(INDEX('자료_한국심리'!$N$3:$N$4002,MATCH(A269,$Y$19:$Y$4018,0)),H268))</f>
        <v/>
      </c>
      <c r="I269" s="31">
        <f>IF(AND(ISNUMBER(H269),ISNUMBER(H249)),IF(H249&gt;0,H269/H249-1,""),"")</f>
        <v/>
      </c>
      <c r="J269">
        <f>IF(A269="",0,IF(A269&gt;$B$5,1,0))</f>
        <v/>
      </c>
      <c r="K269" s="29">
        <f>IF(AND(J269=1,ISNUMBER(D269)),D269,"")</f>
        <v/>
      </c>
      <c r="L269" s="30">
        <f>IF(AND(J269=1,ISNUMBER(G269)),G269,"")</f>
        <v/>
      </c>
      <c r="M269" s="22">
        <f>IF(AND(J269=1,ISNUMBER(C269)),C269,"")</f>
        <v/>
      </c>
      <c r="N269" s="31">
        <f>IF(AND(J269=1,ISNUMBER(I269)),I269,"")</f>
        <v/>
      </c>
      <c r="O269" s="11">
        <f>IF(K269="","",100-IF($G$13=1,50,(_xlfn.RANK.AVG(K269,$K$19:$K$1518,1)-1)/($G$13-1)*100))</f>
        <v/>
      </c>
      <c r="P269" s="11">
        <f>IF(L269="","",100-IF($G$14=1,50,(_xlfn.RANK.AVG(L269,$L$19:$L$1518,1)-1)/($G$14-1)*100))</f>
        <v/>
      </c>
      <c r="Q269" s="11">
        <f>IF(M269="","",IF($G$15=1,50,(_xlfn.RANK.AVG(M269,$M$19:$M$1518,1)-1)/($G$15-1)*100))</f>
        <v/>
      </c>
      <c r="R269" s="11">
        <f>IF(N269="","",IF($G$16=1,50,(_xlfn.RANK.AVG(N269,$N$19:$N$1518,1)-1)/($G$16-1)*100))</f>
        <v/>
      </c>
      <c r="S269" s="11">
        <f>IF(COUNT(O269:R269)=4,ROUND(AVERAGE(O269:R269),6),"")</f>
        <v/>
      </c>
      <c r="U269">
        <f>IF(AND(ISNUMBER('자료_한국심리'!$A253),ISNUMBER('자료_한국심리'!$B253)),'자료_한국심리'!$A253,"")</f>
        <v/>
      </c>
      <c r="V269">
        <f>IF(AND(ISNUMBER('자료_한국심리'!$D253),ISNUMBER('자료_한국심리'!$E253)),'자료_한국심리'!$D253,"")</f>
        <v/>
      </c>
      <c r="W269">
        <f>IF(AND(ISNUMBER('자료_한국심리'!$G253),ISNUMBER('자료_한국심리'!$H253)),'자료_한국심리'!$G253,"")</f>
        <v/>
      </c>
      <c r="X269">
        <f>IF(AND(ISNUMBER('자료_한국심리'!$J253),ISNUMBER('자료_한국심리'!$K253)),'자료_한국심리'!$J253,"")</f>
        <v/>
      </c>
      <c r="Y269">
        <f>IF(AND(ISNUMBER('자료_한국심리'!$M253),ISNUMBER('자료_한국심리'!$N253)),'자료_한국심리'!$M253,"")</f>
        <v/>
      </c>
    </row>
    <row r="270">
      <c r="A270" s="10">
        <f>IF(252&gt;$E$5,"",SMALL($U$19:$U$4018,$E$6+252))</f>
        <v/>
      </c>
      <c r="B270" s="29">
        <f>IF(A270="","",INDEX('자료_한국심리'!$B$3:$B$4002,MATCH(A270,$U$19:$U$4018,0)))</f>
        <v/>
      </c>
      <c r="C270" s="22">
        <f>IF(A270="","",B270/AVERAGE(B146:B270)-1)</f>
        <v/>
      </c>
      <c r="D270" s="29">
        <f>IF(A270="","",IFERROR(INDEX('자료_한국심리'!$E$3:$E$4002,MATCH(A270,$V$19:$V$4018,0)),D269))</f>
        <v/>
      </c>
      <c r="E270" s="30">
        <f>IF(A270="","",IFERROR(INDEX('자료_한국심리'!$H$3:$H$4002,MATCH(A270,$W$19:$W$4018,0)),E269))</f>
        <v/>
      </c>
      <c r="F270" s="30">
        <f>IF(A270="","",IFERROR(INDEX('자료_한국심리'!$K$3:$K$4002,MATCH(A270,$X$19:$X$4018,0)),F269))</f>
        <v/>
      </c>
      <c r="G270" s="30">
        <f>IF(AND(ISNUMBER(E270),ISNUMBER(F270)),ROUND(E270-F270,6),"")</f>
        <v/>
      </c>
      <c r="H270" s="25">
        <f>IF(A270="","",IFERROR(INDEX('자료_한국심리'!$N$3:$N$4002,MATCH(A270,$Y$19:$Y$4018,0)),H269))</f>
        <v/>
      </c>
      <c r="I270" s="31">
        <f>IF(AND(ISNUMBER(H270),ISNUMBER(H250)),IF(H250&gt;0,H270/H250-1,""),"")</f>
        <v/>
      </c>
      <c r="J270">
        <f>IF(A270="",0,IF(A270&gt;$B$5,1,0))</f>
        <v/>
      </c>
      <c r="K270" s="29">
        <f>IF(AND(J270=1,ISNUMBER(D270)),D270,"")</f>
        <v/>
      </c>
      <c r="L270" s="30">
        <f>IF(AND(J270=1,ISNUMBER(G270)),G270,"")</f>
        <v/>
      </c>
      <c r="M270" s="22">
        <f>IF(AND(J270=1,ISNUMBER(C270)),C270,"")</f>
        <v/>
      </c>
      <c r="N270" s="31">
        <f>IF(AND(J270=1,ISNUMBER(I270)),I270,"")</f>
        <v/>
      </c>
      <c r="O270" s="11">
        <f>IF(K270="","",100-IF($G$13=1,50,(_xlfn.RANK.AVG(K270,$K$19:$K$1518,1)-1)/($G$13-1)*100))</f>
        <v/>
      </c>
      <c r="P270" s="11">
        <f>IF(L270="","",100-IF($G$14=1,50,(_xlfn.RANK.AVG(L270,$L$19:$L$1518,1)-1)/($G$14-1)*100))</f>
        <v/>
      </c>
      <c r="Q270" s="11">
        <f>IF(M270="","",IF($G$15=1,50,(_xlfn.RANK.AVG(M270,$M$19:$M$1518,1)-1)/($G$15-1)*100))</f>
        <v/>
      </c>
      <c r="R270" s="11">
        <f>IF(N270="","",IF($G$16=1,50,(_xlfn.RANK.AVG(N270,$N$19:$N$1518,1)-1)/($G$16-1)*100))</f>
        <v/>
      </c>
      <c r="S270" s="11">
        <f>IF(COUNT(O270:R270)=4,ROUND(AVERAGE(O270:R270),6),"")</f>
        <v/>
      </c>
      <c r="U270">
        <f>IF(AND(ISNUMBER('자료_한국심리'!$A254),ISNUMBER('자료_한국심리'!$B254)),'자료_한국심리'!$A254,"")</f>
        <v/>
      </c>
      <c r="V270">
        <f>IF(AND(ISNUMBER('자료_한국심리'!$D254),ISNUMBER('자료_한국심리'!$E254)),'자료_한국심리'!$D254,"")</f>
        <v/>
      </c>
      <c r="W270">
        <f>IF(AND(ISNUMBER('자료_한국심리'!$G254),ISNUMBER('자료_한국심리'!$H254)),'자료_한국심리'!$G254,"")</f>
        <v/>
      </c>
      <c r="X270">
        <f>IF(AND(ISNUMBER('자료_한국심리'!$J254),ISNUMBER('자료_한국심리'!$K254)),'자료_한국심리'!$J254,"")</f>
        <v/>
      </c>
      <c r="Y270">
        <f>IF(AND(ISNUMBER('자료_한국심리'!$M254),ISNUMBER('자료_한국심리'!$N254)),'자료_한국심리'!$M254,"")</f>
        <v/>
      </c>
    </row>
    <row r="271">
      <c r="A271" s="10">
        <f>IF(253&gt;$E$5,"",SMALL($U$19:$U$4018,$E$6+253))</f>
        <v/>
      </c>
      <c r="B271" s="29">
        <f>IF(A271="","",INDEX('자료_한국심리'!$B$3:$B$4002,MATCH(A271,$U$19:$U$4018,0)))</f>
        <v/>
      </c>
      <c r="C271" s="22">
        <f>IF(A271="","",B271/AVERAGE(B147:B271)-1)</f>
        <v/>
      </c>
      <c r="D271" s="29">
        <f>IF(A271="","",IFERROR(INDEX('자료_한국심리'!$E$3:$E$4002,MATCH(A271,$V$19:$V$4018,0)),D270))</f>
        <v/>
      </c>
      <c r="E271" s="30">
        <f>IF(A271="","",IFERROR(INDEX('자료_한국심리'!$H$3:$H$4002,MATCH(A271,$W$19:$W$4018,0)),E270))</f>
        <v/>
      </c>
      <c r="F271" s="30">
        <f>IF(A271="","",IFERROR(INDEX('자료_한국심리'!$K$3:$K$4002,MATCH(A271,$X$19:$X$4018,0)),F270))</f>
        <v/>
      </c>
      <c r="G271" s="30">
        <f>IF(AND(ISNUMBER(E271),ISNUMBER(F271)),ROUND(E271-F271,6),"")</f>
        <v/>
      </c>
      <c r="H271" s="25">
        <f>IF(A271="","",IFERROR(INDEX('자료_한국심리'!$N$3:$N$4002,MATCH(A271,$Y$19:$Y$4018,0)),H270))</f>
        <v/>
      </c>
      <c r="I271" s="31">
        <f>IF(AND(ISNUMBER(H271),ISNUMBER(H251)),IF(H251&gt;0,H271/H251-1,""),"")</f>
        <v/>
      </c>
      <c r="J271">
        <f>IF(A271="",0,IF(A271&gt;$B$5,1,0))</f>
        <v/>
      </c>
      <c r="K271" s="29">
        <f>IF(AND(J271=1,ISNUMBER(D271)),D271,"")</f>
        <v/>
      </c>
      <c r="L271" s="30">
        <f>IF(AND(J271=1,ISNUMBER(G271)),G271,"")</f>
        <v/>
      </c>
      <c r="M271" s="22">
        <f>IF(AND(J271=1,ISNUMBER(C271)),C271,"")</f>
        <v/>
      </c>
      <c r="N271" s="31">
        <f>IF(AND(J271=1,ISNUMBER(I271)),I271,"")</f>
        <v/>
      </c>
      <c r="O271" s="11">
        <f>IF(K271="","",100-IF($G$13=1,50,(_xlfn.RANK.AVG(K271,$K$19:$K$1518,1)-1)/($G$13-1)*100))</f>
        <v/>
      </c>
      <c r="P271" s="11">
        <f>IF(L271="","",100-IF($G$14=1,50,(_xlfn.RANK.AVG(L271,$L$19:$L$1518,1)-1)/($G$14-1)*100))</f>
        <v/>
      </c>
      <c r="Q271" s="11">
        <f>IF(M271="","",IF($G$15=1,50,(_xlfn.RANK.AVG(M271,$M$19:$M$1518,1)-1)/($G$15-1)*100))</f>
        <v/>
      </c>
      <c r="R271" s="11">
        <f>IF(N271="","",IF($G$16=1,50,(_xlfn.RANK.AVG(N271,$N$19:$N$1518,1)-1)/($G$16-1)*100))</f>
        <v/>
      </c>
      <c r="S271" s="11">
        <f>IF(COUNT(O271:R271)=4,ROUND(AVERAGE(O271:R271),6),"")</f>
        <v/>
      </c>
      <c r="U271">
        <f>IF(AND(ISNUMBER('자료_한국심리'!$A255),ISNUMBER('자료_한국심리'!$B255)),'자료_한국심리'!$A255,"")</f>
        <v/>
      </c>
      <c r="V271">
        <f>IF(AND(ISNUMBER('자료_한국심리'!$D255),ISNUMBER('자료_한국심리'!$E255)),'자료_한국심리'!$D255,"")</f>
        <v/>
      </c>
      <c r="W271">
        <f>IF(AND(ISNUMBER('자료_한국심리'!$G255),ISNUMBER('자료_한국심리'!$H255)),'자료_한국심리'!$G255,"")</f>
        <v/>
      </c>
      <c r="X271">
        <f>IF(AND(ISNUMBER('자료_한국심리'!$J255),ISNUMBER('자료_한국심리'!$K255)),'자료_한국심리'!$J255,"")</f>
        <v/>
      </c>
      <c r="Y271">
        <f>IF(AND(ISNUMBER('자료_한국심리'!$M255),ISNUMBER('자료_한국심리'!$N255)),'자료_한국심리'!$M255,"")</f>
        <v/>
      </c>
    </row>
    <row r="272">
      <c r="A272" s="10">
        <f>IF(254&gt;$E$5,"",SMALL($U$19:$U$4018,$E$6+254))</f>
        <v/>
      </c>
      <c r="B272" s="29">
        <f>IF(A272="","",INDEX('자료_한국심리'!$B$3:$B$4002,MATCH(A272,$U$19:$U$4018,0)))</f>
        <v/>
      </c>
      <c r="C272" s="22">
        <f>IF(A272="","",B272/AVERAGE(B148:B272)-1)</f>
        <v/>
      </c>
      <c r="D272" s="29">
        <f>IF(A272="","",IFERROR(INDEX('자료_한국심리'!$E$3:$E$4002,MATCH(A272,$V$19:$V$4018,0)),D271))</f>
        <v/>
      </c>
      <c r="E272" s="30">
        <f>IF(A272="","",IFERROR(INDEX('자료_한국심리'!$H$3:$H$4002,MATCH(A272,$W$19:$W$4018,0)),E271))</f>
        <v/>
      </c>
      <c r="F272" s="30">
        <f>IF(A272="","",IFERROR(INDEX('자료_한국심리'!$K$3:$K$4002,MATCH(A272,$X$19:$X$4018,0)),F271))</f>
        <v/>
      </c>
      <c r="G272" s="30">
        <f>IF(AND(ISNUMBER(E272),ISNUMBER(F272)),ROUND(E272-F272,6),"")</f>
        <v/>
      </c>
      <c r="H272" s="25">
        <f>IF(A272="","",IFERROR(INDEX('자료_한국심리'!$N$3:$N$4002,MATCH(A272,$Y$19:$Y$4018,0)),H271))</f>
        <v/>
      </c>
      <c r="I272" s="31">
        <f>IF(AND(ISNUMBER(H272),ISNUMBER(H252)),IF(H252&gt;0,H272/H252-1,""),"")</f>
        <v/>
      </c>
      <c r="J272">
        <f>IF(A272="",0,IF(A272&gt;$B$5,1,0))</f>
        <v/>
      </c>
      <c r="K272" s="29">
        <f>IF(AND(J272=1,ISNUMBER(D272)),D272,"")</f>
        <v/>
      </c>
      <c r="L272" s="30">
        <f>IF(AND(J272=1,ISNUMBER(G272)),G272,"")</f>
        <v/>
      </c>
      <c r="M272" s="22">
        <f>IF(AND(J272=1,ISNUMBER(C272)),C272,"")</f>
        <v/>
      </c>
      <c r="N272" s="31">
        <f>IF(AND(J272=1,ISNUMBER(I272)),I272,"")</f>
        <v/>
      </c>
      <c r="O272" s="11">
        <f>IF(K272="","",100-IF($G$13=1,50,(_xlfn.RANK.AVG(K272,$K$19:$K$1518,1)-1)/($G$13-1)*100))</f>
        <v/>
      </c>
      <c r="P272" s="11">
        <f>IF(L272="","",100-IF($G$14=1,50,(_xlfn.RANK.AVG(L272,$L$19:$L$1518,1)-1)/($G$14-1)*100))</f>
        <v/>
      </c>
      <c r="Q272" s="11">
        <f>IF(M272="","",IF($G$15=1,50,(_xlfn.RANK.AVG(M272,$M$19:$M$1518,1)-1)/($G$15-1)*100))</f>
        <v/>
      </c>
      <c r="R272" s="11">
        <f>IF(N272="","",IF($G$16=1,50,(_xlfn.RANK.AVG(N272,$N$19:$N$1518,1)-1)/($G$16-1)*100))</f>
        <v/>
      </c>
      <c r="S272" s="11">
        <f>IF(COUNT(O272:R272)=4,ROUND(AVERAGE(O272:R272),6),"")</f>
        <v/>
      </c>
      <c r="U272">
        <f>IF(AND(ISNUMBER('자료_한국심리'!$A256),ISNUMBER('자료_한국심리'!$B256)),'자료_한국심리'!$A256,"")</f>
        <v/>
      </c>
      <c r="V272">
        <f>IF(AND(ISNUMBER('자료_한국심리'!$D256),ISNUMBER('자료_한국심리'!$E256)),'자료_한국심리'!$D256,"")</f>
        <v/>
      </c>
      <c r="W272">
        <f>IF(AND(ISNUMBER('자료_한국심리'!$G256),ISNUMBER('자료_한국심리'!$H256)),'자료_한국심리'!$G256,"")</f>
        <v/>
      </c>
      <c r="X272">
        <f>IF(AND(ISNUMBER('자료_한국심리'!$J256),ISNUMBER('자료_한국심리'!$K256)),'자료_한국심리'!$J256,"")</f>
        <v/>
      </c>
      <c r="Y272">
        <f>IF(AND(ISNUMBER('자료_한국심리'!$M256),ISNUMBER('자료_한국심리'!$N256)),'자료_한국심리'!$M256,"")</f>
        <v/>
      </c>
    </row>
    <row r="273">
      <c r="A273" s="10">
        <f>IF(255&gt;$E$5,"",SMALL($U$19:$U$4018,$E$6+255))</f>
        <v/>
      </c>
      <c r="B273" s="29">
        <f>IF(A273="","",INDEX('자료_한국심리'!$B$3:$B$4002,MATCH(A273,$U$19:$U$4018,0)))</f>
        <v/>
      </c>
      <c r="C273" s="22">
        <f>IF(A273="","",B273/AVERAGE(B149:B273)-1)</f>
        <v/>
      </c>
      <c r="D273" s="29">
        <f>IF(A273="","",IFERROR(INDEX('자료_한국심리'!$E$3:$E$4002,MATCH(A273,$V$19:$V$4018,0)),D272))</f>
        <v/>
      </c>
      <c r="E273" s="30">
        <f>IF(A273="","",IFERROR(INDEX('자료_한국심리'!$H$3:$H$4002,MATCH(A273,$W$19:$W$4018,0)),E272))</f>
        <v/>
      </c>
      <c r="F273" s="30">
        <f>IF(A273="","",IFERROR(INDEX('자료_한국심리'!$K$3:$K$4002,MATCH(A273,$X$19:$X$4018,0)),F272))</f>
        <v/>
      </c>
      <c r="G273" s="30">
        <f>IF(AND(ISNUMBER(E273),ISNUMBER(F273)),ROUND(E273-F273,6),"")</f>
        <v/>
      </c>
      <c r="H273" s="25">
        <f>IF(A273="","",IFERROR(INDEX('자료_한국심리'!$N$3:$N$4002,MATCH(A273,$Y$19:$Y$4018,0)),H272))</f>
        <v/>
      </c>
      <c r="I273" s="31">
        <f>IF(AND(ISNUMBER(H273),ISNUMBER(H253)),IF(H253&gt;0,H273/H253-1,""),"")</f>
        <v/>
      </c>
      <c r="J273">
        <f>IF(A273="",0,IF(A273&gt;$B$5,1,0))</f>
        <v/>
      </c>
      <c r="K273" s="29">
        <f>IF(AND(J273=1,ISNUMBER(D273)),D273,"")</f>
        <v/>
      </c>
      <c r="L273" s="30">
        <f>IF(AND(J273=1,ISNUMBER(G273)),G273,"")</f>
        <v/>
      </c>
      <c r="M273" s="22">
        <f>IF(AND(J273=1,ISNUMBER(C273)),C273,"")</f>
        <v/>
      </c>
      <c r="N273" s="31">
        <f>IF(AND(J273=1,ISNUMBER(I273)),I273,"")</f>
        <v/>
      </c>
      <c r="O273" s="11">
        <f>IF(K273="","",100-IF($G$13=1,50,(_xlfn.RANK.AVG(K273,$K$19:$K$1518,1)-1)/($G$13-1)*100))</f>
        <v/>
      </c>
      <c r="P273" s="11">
        <f>IF(L273="","",100-IF($G$14=1,50,(_xlfn.RANK.AVG(L273,$L$19:$L$1518,1)-1)/($G$14-1)*100))</f>
        <v/>
      </c>
      <c r="Q273" s="11">
        <f>IF(M273="","",IF($G$15=1,50,(_xlfn.RANK.AVG(M273,$M$19:$M$1518,1)-1)/($G$15-1)*100))</f>
        <v/>
      </c>
      <c r="R273" s="11">
        <f>IF(N273="","",IF($G$16=1,50,(_xlfn.RANK.AVG(N273,$N$19:$N$1518,1)-1)/($G$16-1)*100))</f>
        <v/>
      </c>
      <c r="S273" s="11">
        <f>IF(COUNT(O273:R273)=4,ROUND(AVERAGE(O273:R273),6),"")</f>
        <v/>
      </c>
      <c r="U273">
        <f>IF(AND(ISNUMBER('자료_한국심리'!$A257),ISNUMBER('자료_한국심리'!$B257)),'자료_한국심리'!$A257,"")</f>
        <v/>
      </c>
      <c r="V273">
        <f>IF(AND(ISNUMBER('자료_한국심리'!$D257),ISNUMBER('자료_한국심리'!$E257)),'자료_한국심리'!$D257,"")</f>
        <v/>
      </c>
      <c r="W273">
        <f>IF(AND(ISNUMBER('자료_한국심리'!$G257),ISNUMBER('자료_한국심리'!$H257)),'자료_한국심리'!$G257,"")</f>
        <v/>
      </c>
      <c r="X273">
        <f>IF(AND(ISNUMBER('자료_한국심리'!$J257),ISNUMBER('자료_한국심리'!$K257)),'자료_한국심리'!$J257,"")</f>
        <v/>
      </c>
      <c r="Y273">
        <f>IF(AND(ISNUMBER('자료_한국심리'!$M257),ISNUMBER('자료_한국심리'!$N257)),'자료_한국심리'!$M257,"")</f>
        <v/>
      </c>
    </row>
    <row r="274">
      <c r="A274" s="10">
        <f>IF(256&gt;$E$5,"",SMALL($U$19:$U$4018,$E$6+256))</f>
        <v/>
      </c>
      <c r="B274" s="29">
        <f>IF(A274="","",INDEX('자료_한국심리'!$B$3:$B$4002,MATCH(A274,$U$19:$U$4018,0)))</f>
        <v/>
      </c>
      <c r="C274" s="22">
        <f>IF(A274="","",B274/AVERAGE(B150:B274)-1)</f>
        <v/>
      </c>
      <c r="D274" s="29">
        <f>IF(A274="","",IFERROR(INDEX('자료_한국심리'!$E$3:$E$4002,MATCH(A274,$V$19:$V$4018,0)),D273))</f>
        <v/>
      </c>
      <c r="E274" s="30">
        <f>IF(A274="","",IFERROR(INDEX('자료_한국심리'!$H$3:$H$4002,MATCH(A274,$W$19:$W$4018,0)),E273))</f>
        <v/>
      </c>
      <c r="F274" s="30">
        <f>IF(A274="","",IFERROR(INDEX('자료_한국심리'!$K$3:$K$4002,MATCH(A274,$X$19:$X$4018,0)),F273))</f>
        <v/>
      </c>
      <c r="G274" s="30">
        <f>IF(AND(ISNUMBER(E274),ISNUMBER(F274)),ROUND(E274-F274,6),"")</f>
        <v/>
      </c>
      <c r="H274" s="25">
        <f>IF(A274="","",IFERROR(INDEX('자료_한국심리'!$N$3:$N$4002,MATCH(A274,$Y$19:$Y$4018,0)),H273))</f>
        <v/>
      </c>
      <c r="I274" s="31">
        <f>IF(AND(ISNUMBER(H274),ISNUMBER(H254)),IF(H254&gt;0,H274/H254-1,""),"")</f>
        <v/>
      </c>
      <c r="J274">
        <f>IF(A274="",0,IF(A274&gt;$B$5,1,0))</f>
        <v/>
      </c>
      <c r="K274" s="29">
        <f>IF(AND(J274=1,ISNUMBER(D274)),D274,"")</f>
        <v/>
      </c>
      <c r="L274" s="30">
        <f>IF(AND(J274=1,ISNUMBER(G274)),G274,"")</f>
        <v/>
      </c>
      <c r="M274" s="22">
        <f>IF(AND(J274=1,ISNUMBER(C274)),C274,"")</f>
        <v/>
      </c>
      <c r="N274" s="31">
        <f>IF(AND(J274=1,ISNUMBER(I274)),I274,"")</f>
        <v/>
      </c>
      <c r="O274" s="11">
        <f>IF(K274="","",100-IF($G$13=1,50,(_xlfn.RANK.AVG(K274,$K$19:$K$1518,1)-1)/($G$13-1)*100))</f>
        <v/>
      </c>
      <c r="P274" s="11">
        <f>IF(L274="","",100-IF($G$14=1,50,(_xlfn.RANK.AVG(L274,$L$19:$L$1518,1)-1)/($G$14-1)*100))</f>
        <v/>
      </c>
      <c r="Q274" s="11">
        <f>IF(M274="","",IF($G$15=1,50,(_xlfn.RANK.AVG(M274,$M$19:$M$1518,1)-1)/($G$15-1)*100))</f>
        <v/>
      </c>
      <c r="R274" s="11">
        <f>IF(N274="","",IF($G$16=1,50,(_xlfn.RANK.AVG(N274,$N$19:$N$1518,1)-1)/($G$16-1)*100))</f>
        <v/>
      </c>
      <c r="S274" s="11">
        <f>IF(COUNT(O274:R274)=4,ROUND(AVERAGE(O274:R274),6),"")</f>
        <v/>
      </c>
      <c r="U274">
        <f>IF(AND(ISNUMBER('자료_한국심리'!$A258),ISNUMBER('자료_한국심리'!$B258)),'자료_한국심리'!$A258,"")</f>
        <v/>
      </c>
      <c r="V274">
        <f>IF(AND(ISNUMBER('자료_한국심리'!$D258),ISNUMBER('자료_한국심리'!$E258)),'자료_한국심리'!$D258,"")</f>
        <v/>
      </c>
      <c r="W274">
        <f>IF(AND(ISNUMBER('자료_한국심리'!$G258),ISNUMBER('자료_한국심리'!$H258)),'자료_한국심리'!$G258,"")</f>
        <v/>
      </c>
      <c r="X274">
        <f>IF(AND(ISNUMBER('자료_한국심리'!$J258),ISNUMBER('자료_한국심리'!$K258)),'자료_한국심리'!$J258,"")</f>
        <v/>
      </c>
      <c r="Y274">
        <f>IF(AND(ISNUMBER('자료_한국심리'!$M258),ISNUMBER('자료_한국심리'!$N258)),'자료_한국심리'!$M258,"")</f>
        <v/>
      </c>
    </row>
    <row r="275">
      <c r="A275" s="10">
        <f>IF(257&gt;$E$5,"",SMALL($U$19:$U$4018,$E$6+257))</f>
        <v/>
      </c>
      <c r="B275" s="29">
        <f>IF(A275="","",INDEX('자료_한국심리'!$B$3:$B$4002,MATCH(A275,$U$19:$U$4018,0)))</f>
        <v/>
      </c>
      <c r="C275" s="22">
        <f>IF(A275="","",B275/AVERAGE(B151:B275)-1)</f>
        <v/>
      </c>
      <c r="D275" s="29">
        <f>IF(A275="","",IFERROR(INDEX('자료_한국심리'!$E$3:$E$4002,MATCH(A275,$V$19:$V$4018,0)),D274))</f>
        <v/>
      </c>
      <c r="E275" s="30">
        <f>IF(A275="","",IFERROR(INDEX('자료_한국심리'!$H$3:$H$4002,MATCH(A275,$W$19:$W$4018,0)),E274))</f>
        <v/>
      </c>
      <c r="F275" s="30">
        <f>IF(A275="","",IFERROR(INDEX('자료_한국심리'!$K$3:$K$4002,MATCH(A275,$X$19:$X$4018,0)),F274))</f>
        <v/>
      </c>
      <c r="G275" s="30">
        <f>IF(AND(ISNUMBER(E275),ISNUMBER(F275)),ROUND(E275-F275,6),"")</f>
        <v/>
      </c>
      <c r="H275" s="25">
        <f>IF(A275="","",IFERROR(INDEX('자료_한국심리'!$N$3:$N$4002,MATCH(A275,$Y$19:$Y$4018,0)),H274))</f>
        <v/>
      </c>
      <c r="I275" s="31">
        <f>IF(AND(ISNUMBER(H275),ISNUMBER(H255)),IF(H255&gt;0,H275/H255-1,""),"")</f>
        <v/>
      </c>
      <c r="J275">
        <f>IF(A275="",0,IF(A275&gt;$B$5,1,0))</f>
        <v/>
      </c>
      <c r="K275" s="29">
        <f>IF(AND(J275=1,ISNUMBER(D275)),D275,"")</f>
        <v/>
      </c>
      <c r="L275" s="30">
        <f>IF(AND(J275=1,ISNUMBER(G275)),G275,"")</f>
        <v/>
      </c>
      <c r="M275" s="22">
        <f>IF(AND(J275=1,ISNUMBER(C275)),C275,"")</f>
        <v/>
      </c>
      <c r="N275" s="31">
        <f>IF(AND(J275=1,ISNUMBER(I275)),I275,"")</f>
        <v/>
      </c>
      <c r="O275" s="11">
        <f>IF(K275="","",100-IF($G$13=1,50,(_xlfn.RANK.AVG(K275,$K$19:$K$1518,1)-1)/($G$13-1)*100))</f>
        <v/>
      </c>
      <c r="P275" s="11">
        <f>IF(L275="","",100-IF($G$14=1,50,(_xlfn.RANK.AVG(L275,$L$19:$L$1518,1)-1)/($G$14-1)*100))</f>
        <v/>
      </c>
      <c r="Q275" s="11">
        <f>IF(M275="","",IF($G$15=1,50,(_xlfn.RANK.AVG(M275,$M$19:$M$1518,1)-1)/($G$15-1)*100))</f>
        <v/>
      </c>
      <c r="R275" s="11">
        <f>IF(N275="","",IF($G$16=1,50,(_xlfn.RANK.AVG(N275,$N$19:$N$1518,1)-1)/($G$16-1)*100))</f>
        <v/>
      </c>
      <c r="S275" s="11">
        <f>IF(COUNT(O275:R275)=4,ROUND(AVERAGE(O275:R275),6),"")</f>
        <v/>
      </c>
      <c r="U275">
        <f>IF(AND(ISNUMBER('자료_한국심리'!$A259),ISNUMBER('자료_한국심리'!$B259)),'자료_한국심리'!$A259,"")</f>
        <v/>
      </c>
      <c r="V275">
        <f>IF(AND(ISNUMBER('자료_한국심리'!$D259),ISNUMBER('자료_한국심리'!$E259)),'자료_한국심리'!$D259,"")</f>
        <v/>
      </c>
      <c r="W275">
        <f>IF(AND(ISNUMBER('자료_한국심리'!$G259),ISNUMBER('자료_한국심리'!$H259)),'자료_한국심리'!$G259,"")</f>
        <v/>
      </c>
      <c r="X275">
        <f>IF(AND(ISNUMBER('자료_한국심리'!$J259),ISNUMBER('자료_한국심리'!$K259)),'자료_한국심리'!$J259,"")</f>
        <v/>
      </c>
      <c r="Y275">
        <f>IF(AND(ISNUMBER('자료_한국심리'!$M259),ISNUMBER('자료_한국심리'!$N259)),'자료_한국심리'!$M259,"")</f>
        <v/>
      </c>
    </row>
    <row r="276">
      <c r="A276" s="10">
        <f>IF(258&gt;$E$5,"",SMALL($U$19:$U$4018,$E$6+258))</f>
        <v/>
      </c>
      <c r="B276" s="29">
        <f>IF(A276="","",INDEX('자료_한국심리'!$B$3:$B$4002,MATCH(A276,$U$19:$U$4018,0)))</f>
        <v/>
      </c>
      <c r="C276" s="22">
        <f>IF(A276="","",B276/AVERAGE(B152:B276)-1)</f>
        <v/>
      </c>
      <c r="D276" s="29">
        <f>IF(A276="","",IFERROR(INDEX('자료_한국심리'!$E$3:$E$4002,MATCH(A276,$V$19:$V$4018,0)),D275))</f>
        <v/>
      </c>
      <c r="E276" s="30">
        <f>IF(A276="","",IFERROR(INDEX('자료_한국심리'!$H$3:$H$4002,MATCH(A276,$W$19:$W$4018,0)),E275))</f>
        <v/>
      </c>
      <c r="F276" s="30">
        <f>IF(A276="","",IFERROR(INDEX('자료_한국심리'!$K$3:$K$4002,MATCH(A276,$X$19:$X$4018,0)),F275))</f>
        <v/>
      </c>
      <c r="G276" s="30">
        <f>IF(AND(ISNUMBER(E276),ISNUMBER(F276)),ROUND(E276-F276,6),"")</f>
        <v/>
      </c>
      <c r="H276" s="25">
        <f>IF(A276="","",IFERROR(INDEX('자료_한국심리'!$N$3:$N$4002,MATCH(A276,$Y$19:$Y$4018,0)),H275))</f>
        <v/>
      </c>
      <c r="I276" s="31">
        <f>IF(AND(ISNUMBER(H276),ISNUMBER(H256)),IF(H256&gt;0,H276/H256-1,""),"")</f>
        <v/>
      </c>
      <c r="J276">
        <f>IF(A276="",0,IF(A276&gt;$B$5,1,0))</f>
        <v/>
      </c>
      <c r="K276" s="29">
        <f>IF(AND(J276=1,ISNUMBER(D276)),D276,"")</f>
        <v/>
      </c>
      <c r="L276" s="30">
        <f>IF(AND(J276=1,ISNUMBER(G276)),G276,"")</f>
        <v/>
      </c>
      <c r="M276" s="22">
        <f>IF(AND(J276=1,ISNUMBER(C276)),C276,"")</f>
        <v/>
      </c>
      <c r="N276" s="31">
        <f>IF(AND(J276=1,ISNUMBER(I276)),I276,"")</f>
        <v/>
      </c>
      <c r="O276" s="11">
        <f>IF(K276="","",100-IF($G$13=1,50,(_xlfn.RANK.AVG(K276,$K$19:$K$1518,1)-1)/($G$13-1)*100))</f>
        <v/>
      </c>
      <c r="P276" s="11">
        <f>IF(L276="","",100-IF($G$14=1,50,(_xlfn.RANK.AVG(L276,$L$19:$L$1518,1)-1)/($G$14-1)*100))</f>
        <v/>
      </c>
      <c r="Q276" s="11">
        <f>IF(M276="","",IF($G$15=1,50,(_xlfn.RANK.AVG(M276,$M$19:$M$1518,1)-1)/($G$15-1)*100))</f>
        <v/>
      </c>
      <c r="R276" s="11">
        <f>IF(N276="","",IF($G$16=1,50,(_xlfn.RANK.AVG(N276,$N$19:$N$1518,1)-1)/($G$16-1)*100))</f>
        <v/>
      </c>
      <c r="S276" s="11">
        <f>IF(COUNT(O276:R276)=4,ROUND(AVERAGE(O276:R276),6),"")</f>
        <v/>
      </c>
      <c r="U276">
        <f>IF(AND(ISNUMBER('자료_한국심리'!$A260),ISNUMBER('자료_한국심리'!$B260)),'자료_한국심리'!$A260,"")</f>
        <v/>
      </c>
      <c r="V276">
        <f>IF(AND(ISNUMBER('자료_한국심리'!$D260),ISNUMBER('자료_한국심리'!$E260)),'자료_한국심리'!$D260,"")</f>
        <v/>
      </c>
      <c r="W276">
        <f>IF(AND(ISNUMBER('자료_한국심리'!$G260),ISNUMBER('자료_한국심리'!$H260)),'자료_한국심리'!$G260,"")</f>
        <v/>
      </c>
      <c r="X276">
        <f>IF(AND(ISNUMBER('자료_한국심리'!$J260),ISNUMBER('자료_한국심리'!$K260)),'자료_한국심리'!$J260,"")</f>
        <v/>
      </c>
      <c r="Y276">
        <f>IF(AND(ISNUMBER('자료_한국심리'!$M260),ISNUMBER('자료_한국심리'!$N260)),'자료_한국심리'!$M260,"")</f>
        <v/>
      </c>
    </row>
    <row r="277">
      <c r="A277" s="10">
        <f>IF(259&gt;$E$5,"",SMALL($U$19:$U$4018,$E$6+259))</f>
        <v/>
      </c>
      <c r="B277" s="29">
        <f>IF(A277="","",INDEX('자료_한국심리'!$B$3:$B$4002,MATCH(A277,$U$19:$U$4018,0)))</f>
        <v/>
      </c>
      <c r="C277" s="22">
        <f>IF(A277="","",B277/AVERAGE(B153:B277)-1)</f>
        <v/>
      </c>
      <c r="D277" s="29">
        <f>IF(A277="","",IFERROR(INDEX('자료_한국심리'!$E$3:$E$4002,MATCH(A277,$V$19:$V$4018,0)),D276))</f>
        <v/>
      </c>
      <c r="E277" s="30">
        <f>IF(A277="","",IFERROR(INDEX('자료_한국심리'!$H$3:$H$4002,MATCH(A277,$W$19:$W$4018,0)),E276))</f>
        <v/>
      </c>
      <c r="F277" s="30">
        <f>IF(A277="","",IFERROR(INDEX('자료_한국심리'!$K$3:$K$4002,MATCH(A277,$X$19:$X$4018,0)),F276))</f>
        <v/>
      </c>
      <c r="G277" s="30">
        <f>IF(AND(ISNUMBER(E277),ISNUMBER(F277)),ROUND(E277-F277,6),"")</f>
        <v/>
      </c>
      <c r="H277" s="25">
        <f>IF(A277="","",IFERROR(INDEX('자료_한국심리'!$N$3:$N$4002,MATCH(A277,$Y$19:$Y$4018,0)),H276))</f>
        <v/>
      </c>
      <c r="I277" s="31">
        <f>IF(AND(ISNUMBER(H277),ISNUMBER(H257)),IF(H257&gt;0,H277/H257-1,""),"")</f>
        <v/>
      </c>
      <c r="J277">
        <f>IF(A277="",0,IF(A277&gt;$B$5,1,0))</f>
        <v/>
      </c>
      <c r="K277" s="29">
        <f>IF(AND(J277=1,ISNUMBER(D277)),D277,"")</f>
        <v/>
      </c>
      <c r="L277" s="30">
        <f>IF(AND(J277=1,ISNUMBER(G277)),G277,"")</f>
        <v/>
      </c>
      <c r="M277" s="22">
        <f>IF(AND(J277=1,ISNUMBER(C277)),C277,"")</f>
        <v/>
      </c>
      <c r="N277" s="31">
        <f>IF(AND(J277=1,ISNUMBER(I277)),I277,"")</f>
        <v/>
      </c>
      <c r="O277" s="11">
        <f>IF(K277="","",100-IF($G$13=1,50,(_xlfn.RANK.AVG(K277,$K$19:$K$1518,1)-1)/($G$13-1)*100))</f>
        <v/>
      </c>
      <c r="P277" s="11">
        <f>IF(L277="","",100-IF($G$14=1,50,(_xlfn.RANK.AVG(L277,$L$19:$L$1518,1)-1)/($G$14-1)*100))</f>
        <v/>
      </c>
      <c r="Q277" s="11">
        <f>IF(M277="","",IF($G$15=1,50,(_xlfn.RANK.AVG(M277,$M$19:$M$1518,1)-1)/($G$15-1)*100))</f>
        <v/>
      </c>
      <c r="R277" s="11">
        <f>IF(N277="","",IF($G$16=1,50,(_xlfn.RANK.AVG(N277,$N$19:$N$1518,1)-1)/($G$16-1)*100))</f>
        <v/>
      </c>
      <c r="S277" s="11">
        <f>IF(COUNT(O277:R277)=4,ROUND(AVERAGE(O277:R277),6),"")</f>
        <v/>
      </c>
      <c r="U277">
        <f>IF(AND(ISNUMBER('자료_한국심리'!$A261),ISNUMBER('자료_한국심리'!$B261)),'자료_한국심리'!$A261,"")</f>
        <v/>
      </c>
      <c r="V277">
        <f>IF(AND(ISNUMBER('자료_한국심리'!$D261),ISNUMBER('자료_한국심리'!$E261)),'자료_한국심리'!$D261,"")</f>
        <v/>
      </c>
      <c r="W277">
        <f>IF(AND(ISNUMBER('자료_한국심리'!$G261),ISNUMBER('자료_한국심리'!$H261)),'자료_한국심리'!$G261,"")</f>
        <v/>
      </c>
      <c r="X277">
        <f>IF(AND(ISNUMBER('자료_한국심리'!$J261),ISNUMBER('자료_한국심리'!$K261)),'자료_한국심리'!$J261,"")</f>
        <v/>
      </c>
      <c r="Y277">
        <f>IF(AND(ISNUMBER('자료_한국심리'!$M261),ISNUMBER('자료_한국심리'!$N261)),'자료_한국심리'!$M261,"")</f>
        <v/>
      </c>
    </row>
    <row r="278">
      <c r="A278" s="10">
        <f>IF(260&gt;$E$5,"",SMALL($U$19:$U$4018,$E$6+260))</f>
        <v/>
      </c>
      <c r="B278" s="29">
        <f>IF(A278="","",INDEX('자료_한국심리'!$B$3:$B$4002,MATCH(A278,$U$19:$U$4018,0)))</f>
        <v/>
      </c>
      <c r="C278" s="22">
        <f>IF(A278="","",B278/AVERAGE(B154:B278)-1)</f>
        <v/>
      </c>
      <c r="D278" s="29">
        <f>IF(A278="","",IFERROR(INDEX('자료_한국심리'!$E$3:$E$4002,MATCH(A278,$V$19:$V$4018,0)),D277))</f>
        <v/>
      </c>
      <c r="E278" s="30">
        <f>IF(A278="","",IFERROR(INDEX('자료_한국심리'!$H$3:$H$4002,MATCH(A278,$W$19:$W$4018,0)),E277))</f>
        <v/>
      </c>
      <c r="F278" s="30">
        <f>IF(A278="","",IFERROR(INDEX('자료_한국심리'!$K$3:$K$4002,MATCH(A278,$X$19:$X$4018,0)),F277))</f>
        <v/>
      </c>
      <c r="G278" s="30">
        <f>IF(AND(ISNUMBER(E278),ISNUMBER(F278)),ROUND(E278-F278,6),"")</f>
        <v/>
      </c>
      <c r="H278" s="25">
        <f>IF(A278="","",IFERROR(INDEX('자료_한국심리'!$N$3:$N$4002,MATCH(A278,$Y$19:$Y$4018,0)),H277))</f>
        <v/>
      </c>
      <c r="I278" s="31">
        <f>IF(AND(ISNUMBER(H278),ISNUMBER(H258)),IF(H258&gt;0,H278/H258-1,""),"")</f>
        <v/>
      </c>
      <c r="J278">
        <f>IF(A278="",0,IF(A278&gt;$B$5,1,0))</f>
        <v/>
      </c>
      <c r="K278" s="29">
        <f>IF(AND(J278=1,ISNUMBER(D278)),D278,"")</f>
        <v/>
      </c>
      <c r="L278" s="30">
        <f>IF(AND(J278=1,ISNUMBER(G278)),G278,"")</f>
        <v/>
      </c>
      <c r="M278" s="22">
        <f>IF(AND(J278=1,ISNUMBER(C278)),C278,"")</f>
        <v/>
      </c>
      <c r="N278" s="31">
        <f>IF(AND(J278=1,ISNUMBER(I278)),I278,"")</f>
        <v/>
      </c>
      <c r="O278" s="11">
        <f>IF(K278="","",100-IF($G$13=1,50,(_xlfn.RANK.AVG(K278,$K$19:$K$1518,1)-1)/($G$13-1)*100))</f>
        <v/>
      </c>
      <c r="P278" s="11">
        <f>IF(L278="","",100-IF($G$14=1,50,(_xlfn.RANK.AVG(L278,$L$19:$L$1518,1)-1)/($G$14-1)*100))</f>
        <v/>
      </c>
      <c r="Q278" s="11">
        <f>IF(M278="","",IF($G$15=1,50,(_xlfn.RANK.AVG(M278,$M$19:$M$1518,1)-1)/($G$15-1)*100))</f>
        <v/>
      </c>
      <c r="R278" s="11">
        <f>IF(N278="","",IF($G$16=1,50,(_xlfn.RANK.AVG(N278,$N$19:$N$1518,1)-1)/($G$16-1)*100))</f>
        <v/>
      </c>
      <c r="S278" s="11">
        <f>IF(COUNT(O278:R278)=4,ROUND(AVERAGE(O278:R278),6),"")</f>
        <v/>
      </c>
      <c r="U278">
        <f>IF(AND(ISNUMBER('자료_한국심리'!$A262),ISNUMBER('자료_한국심리'!$B262)),'자료_한국심리'!$A262,"")</f>
        <v/>
      </c>
      <c r="V278">
        <f>IF(AND(ISNUMBER('자료_한국심리'!$D262),ISNUMBER('자료_한국심리'!$E262)),'자료_한국심리'!$D262,"")</f>
        <v/>
      </c>
      <c r="W278">
        <f>IF(AND(ISNUMBER('자료_한국심리'!$G262),ISNUMBER('자료_한국심리'!$H262)),'자료_한국심리'!$G262,"")</f>
        <v/>
      </c>
      <c r="X278">
        <f>IF(AND(ISNUMBER('자료_한국심리'!$J262),ISNUMBER('자료_한국심리'!$K262)),'자료_한국심리'!$J262,"")</f>
        <v/>
      </c>
      <c r="Y278">
        <f>IF(AND(ISNUMBER('자료_한국심리'!$M262),ISNUMBER('자료_한국심리'!$N262)),'자료_한국심리'!$M262,"")</f>
        <v/>
      </c>
    </row>
    <row r="279">
      <c r="A279" s="10">
        <f>IF(261&gt;$E$5,"",SMALL($U$19:$U$4018,$E$6+261))</f>
        <v/>
      </c>
      <c r="B279" s="29">
        <f>IF(A279="","",INDEX('자료_한국심리'!$B$3:$B$4002,MATCH(A279,$U$19:$U$4018,0)))</f>
        <v/>
      </c>
      <c r="C279" s="22">
        <f>IF(A279="","",B279/AVERAGE(B155:B279)-1)</f>
        <v/>
      </c>
      <c r="D279" s="29">
        <f>IF(A279="","",IFERROR(INDEX('자료_한국심리'!$E$3:$E$4002,MATCH(A279,$V$19:$V$4018,0)),D278))</f>
        <v/>
      </c>
      <c r="E279" s="30">
        <f>IF(A279="","",IFERROR(INDEX('자료_한국심리'!$H$3:$H$4002,MATCH(A279,$W$19:$W$4018,0)),E278))</f>
        <v/>
      </c>
      <c r="F279" s="30">
        <f>IF(A279="","",IFERROR(INDEX('자료_한국심리'!$K$3:$K$4002,MATCH(A279,$X$19:$X$4018,0)),F278))</f>
        <v/>
      </c>
      <c r="G279" s="30">
        <f>IF(AND(ISNUMBER(E279),ISNUMBER(F279)),ROUND(E279-F279,6),"")</f>
        <v/>
      </c>
      <c r="H279" s="25">
        <f>IF(A279="","",IFERROR(INDEX('자료_한국심리'!$N$3:$N$4002,MATCH(A279,$Y$19:$Y$4018,0)),H278))</f>
        <v/>
      </c>
      <c r="I279" s="31">
        <f>IF(AND(ISNUMBER(H279),ISNUMBER(H259)),IF(H259&gt;0,H279/H259-1,""),"")</f>
        <v/>
      </c>
      <c r="J279">
        <f>IF(A279="",0,IF(A279&gt;$B$5,1,0))</f>
        <v/>
      </c>
      <c r="K279" s="29">
        <f>IF(AND(J279=1,ISNUMBER(D279)),D279,"")</f>
        <v/>
      </c>
      <c r="L279" s="30">
        <f>IF(AND(J279=1,ISNUMBER(G279)),G279,"")</f>
        <v/>
      </c>
      <c r="M279" s="22">
        <f>IF(AND(J279=1,ISNUMBER(C279)),C279,"")</f>
        <v/>
      </c>
      <c r="N279" s="31">
        <f>IF(AND(J279=1,ISNUMBER(I279)),I279,"")</f>
        <v/>
      </c>
      <c r="O279" s="11">
        <f>IF(K279="","",100-IF($G$13=1,50,(_xlfn.RANK.AVG(K279,$K$19:$K$1518,1)-1)/($G$13-1)*100))</f>
        <v/>
      </c>
      <c r="P279" s="11">
        <f>IF(L279="","",100-IF($G$14=1,50,(_xlfn.RANK.AVG(L279,$L$19:$L$1518,1)-1)/($G$14-1)*100))</f>
        <v/>
      </c>
      <c r="Q279" s="11">
        <f>IF(M279="","",IF($G$15=1,50,(_xlfn.RANK.AVG(M279,$M$19:$M$1518,1)-1)/($G$15-1)*100))</f>
        <v/>
      </c>
      <c r="R279" s="11">
        <f>IF(N279="","",IF($G$16=1,50,(_xlfn.RANK.AVG(N279,$N$19:$N$1518,1)-1)/($G$16-1)*100))</f>
        <v/>
      </c>
      <c r="S279" s="11">
        <f>IF(COUNT(O279:R279)=4,ROUND(AVERAGE(O279:R279),6),"")</f>
        <v/>
      </c>
      <c r="U279">
        <f>IF(AND(ISNUMBER('자료_한국심리'!$A263),ISNUMBER('자료_한국심리'!$B263)),'자료_한국심리'!$A263,"")</f>
        <v/>
      </c>
      <c r="V279">
        <f>IF(AND(ISNUMBER('자료_한국심리'!$D263),ISNUMBER('자료_한국심리'!$E263)),'자료_한국심리'!$D263,"")</f>
        <v/>
      </c>
      <c r="W279">
        <f>IF(AND(ISNUMBER('자료_한국심리'!$G263),ISNUMBER('자료_한국심리'!$H263)),'자료_한국심리'!$G263,"")</f>
        <v/>
      </c>
      <c r="X279">
        <f>IF(AND(ISNUMBER('자료_한국심리'!$J263),ISNUMBER('자료_한국심리'!$K263)),'자료_한국심리'!$J263,"")</f>
        <v/>
      </c>
      <c r="Y279">
        <f>IF(AND(ISNUMBER('자료_한국심리'!$M263),ISNUMBER('자료_한국심리'!$N263)),'자료_한국심리'!$M263,"")</f>
        <v/>
      </c>
    </row>
    <row r="280">
      <c r="A280" s="10">
        <f>IF(262&gt;$E$5,"",SMALL($U$19:$U$4018,$E$6+262))</f>
        <v/>
      </c>
      <c r="B280" s="29">
        <f>IF(A280="","",INDEX('자료_한국심리'!$B$3:$B$4002,MATCH(A280,$U$19:$U$4018,0)))</f>
        <v/>
      </c>
      <c r="C280" s="22">
        <f>IF(A280="","",B280/AVERAGE(B156:B280)-1)</f>
        <v/>
      </c>
      <c r="D280" s="29">
        <f>IF(A280="","",IFERROR(INDEX('자료_한국심리'!$E$3:$E$4002,MATCH(A280,$V$19:$V$4018,0)),D279))</f>
        <v/>
      </c>
      <c r="E280" s="30">
        <f>IF(A280="","",IFERROR(INDEX('자료_한국심리'!$H$3:$H$4002,MATCH(A280,$W$19:$W$4018,0)),E279))</f>
        <v/>
      </c>
      <c r="F280" s="30">
        <f>IF(A280="","",IFERROR(INDEX('자료_한국심리'!$K$3:$K$4002,MATCH(A280,$X$19:$X$4018,0)),F279))</f>
        <v/>
      </c>
      <c r="G280" s="30">
        <f>IF(AND(ISNUMBER(E280),ISNUMBER(F280)),ROUND(E280-F280,6),"")</f>
        <v/>
      </c>
      <c r="H280" s="25">
        <f>IF(A280="","",IFERROR(INDEX('자료_한국심리'!$N$3:$N$4002,MATCH(A280,$Y$19:$Y$4018,0)),H279))</f>
        <v/>
      </c>
      <c r="I280" s="31">
        <f>IF(AND(ISNUMBER(H280),ISNUMBER(H260)),IF(H260&gt;0,H280/H260-1,""),"")</f>
        <v/>
      </c>
      <c r="J280">
        <f>IF(A280="",0,IF(A280&gt;$B$5,1,0))</f>
        <v/>
      </c>
      <c r="K280" s="29">
        <f>IF(AND(J280=1,ISNUMBER(D280)),D280,"")</f>
        <v/>
      </c>
      <c r="L280" s="30">
        <f>IF(AND(J280=1,ISNUMBER(G280)),G280,"")</f>
        <v/>
      </c>
      <c r="M280" s="22">
        <f>IF(AND(J280=1,ISNUMBER(C280)),C280,"")</f>
        <v/>
      </c>
      <c r="N280" s="31">
        <f>IF(AND(J280=1,ISNUMBER(I280)),I280,"")</f>
        <v/>
      </c>
      <c r="O280" s="11">
        <f>IF(K280="","",100-IF($G$13=1,50,(_xlfn.RANK.AVG(K280,$K$19:$K$1518,1)-1)/($G$13-1)*100))</f>
        <v/>
      </c>
      <c r="P280" s="11">
        <f>IF(L280="","",100-IF($G$14=1,50,(_xlfn.RANK.AVG(L280,$L$19:$L$1518,1)-1)/($G$14-1)*100))</f>
        <v/>
      </c>
      <c r="Q280" s="11">
        <f>IF(M280="","",IF($G$15=1,50,(_xlfn.RANK.AVG(M280,$M$19:$M$1518,1)-1)/($G$15-1)*100))</f>
        <v/>
      </c>
      <c r="R280" s="11">
        <f>IF(N280="","",IF($G$16=1,50,(_xlfn.RANK.AVG(N280,$N$19:$N$1518,1)-1)/($G$16-1)*100))</f>
        <v/>
      </c>
      <c r="S280" s="11">
        <f>IF(COUNT(O280:R280)=4,ROUND(AVERAGE(O280:R280),6),"")</f>
        <v/>
      </c>
      <c r="U280">
        <f>IF(AND(ISNUMBER('자료_한국심리'!$A264),ISNUMBER('자료_한국심리'!$B264)),'자료_한국심리'!$A264,"")</f>
        <v/>
      </c>
      <c r="V280">
        <f>IF(AND(ISNUMBER('자료_한국심리'!$D264),ISNUMBER('자료_한국심리'!$E264)),'자료_한국심리'!$D264,"")</f>
        <v/>
      </c>
      <c r="W280">
        <f>IF(AND(ISNUMBER('자료_한국심리'!$G264),ISNUMBER('자료_한국심리'!$H264)),'자료_한국심리'!$G264,"")</f>
        <v/>
      </c>
      <c r="X280">
        <f>IF(AND(ISNUMBER('자료_한국심리'!$J264),ISNUMBER('자료_한국심리'!$K264)),'자료_한국심리'!$J264,"")</f>
        <v/>
      </c>
      <c r="Y280">
        <f>IF(AND(ISNUMBER('자료_한국심리'!$M264),ISNUMBER('자료_한국심리'!$N264)),'자료_한국심리'!$M264,"")</f>
        <v/>
      </c>
    </row>
    <row r="281">
      <c r="A281" s="10">
        <f>IF(263&gt;$E$5,"",SMALL($U$19:$U$4018,$E$6+263))</f>
        <v/>
      </c>
      <c r="B281" s="29">
        <f>IF(A281="","",INDEX('자료_한국심리'!$B$3:$B$4002,MATCH(A281,$U$19:$U$4018,0)))</f>
        <v/>
      </c>
      <c r="C281" s="22">
        <f>IF(A281="","",B281/AVERAGE(B157:B281)-1)</f>
        <v/>
      </c>
      <c r="D281" s="29">
        <f>IF(A281="","",IFERROR(INDEX('자료_한국심리'!$E$3:$E$4002,MATCH(A281,$V$19:$V$4018,0)),D280))</f>
        <v/>
      </c>
      <c r="E281" s="30">
        <f>IF(A281="","",IFERROR(INDEX('자료_한국심리'!$H$3:$H$4002,MATCH(A281,$W$19:$W$4018,0)),E280))</f>
        <v/>
      </c>
      <c r="F281" s="30">
        <f>IF(A281="","",IFERROR(INDEX('자료_한국심리'!$K$3:$K$4002,MATCH(A281,$X$19:$X$4018,0)),F280))</f>
        <v/>
      </c>
      <c r="G281" s="30">
        <f>IF(AND(ISNUMBER(E281),ISNUMBER(F281)),ROUND(E281-F281,6),"")</f>
        <v/>
      </c>
      <c r="H281" s="25">
        <f>IF(A281="","",IFERROR(INDEX('자료_한국심리'!$N$3:$N$4002,MATCH(A281,$Y$19:$Y$4018,0)),H280))</f>
        <v/>
      </c>
      <c r="I281" s="31">
        <f>IF(AND(ISNUMBER(H281),ISNUMBER(H261)),IF(H261&gt;0,H281/H261-1,""),"")</f>
        <v/>
      </c>
      <c r="J281">
        <f>IF(A281="",0,IF(A281&gt;$B$5,1,0))</f>
        <v/>
      </c>
      <c r="K281" s="29">
        <f>IF(AND(J281=1,ISNUMBER(D281)),D281,"")</f>
        <v/>
      </c>
      <c r="L281" s="30">
        <f>IF(AND(J281=1,ISNUMBER(G281)),G281,"")</f>
        <v/>
      </c>
      <c r="M281" s="22">
        <f>IF(AND(J281=1,ISNUMBER(C281)),C281,"")</f>
        <v/>
      </c>
      <c r="N281" s="31">
        <f>IF(AND(J281=1,ISNUMBER(I281)),I281,"")</f>
        <v/>
      </c>
      <c r="O281" s="11">
        <f>IF(K281="","",100-IF($G$13=1,50,(_xlfn.RANK.AVG(K281,$K$19:$K$1518,1)-1)/($G$13-1)*100))</f>
        <v/>
      </c>
      <c r="P281" s="11">
        <f>IF(L281="","",100-IF($G$14=1,50,(_xlfn.RANK.AVG(L281,$L$19:$L$1518,1)-1)/($G$14-1)*100))</f>
        <v/>
      </c>
      <c r="Q281" s="11">
        <f>IF(M281="","",IF($G$15=1,50,(_xlfn.RANK.AVG(M281,$M$19:$M$1518,1)-1)/($G$15-1)*100))</f>
        <v/>
      </c>
      <c r="R281" s="11">
        <f>IF(N281="","",IF($G$16=1,50,(_xlfn.RANK.AVG(N281,$N$19:$N$1518,1)-1)/($G$16-1)*100))</f>
        <v/>
      </c>
      <c r="S281" s="11">
        <f>IF(COUNT(O281:R281)=4,ROUND(AVERAGE(O281:R281),6),"")</f>
        <v/>
      </c>
      <c r="U281">
        <f>IF(AND(ISNUMBER('자료_한국심리'!$A265),ISNUMBER('자료_한국심리'!$B265)),'자료_한국심리'!$A265,"")</f>
        <v/>
      </c>
      <c r="V281">
        <f>IF(AND(ISNUMBER('자료_한국심리'!$D265),ISNUMBER('자료_한국심리'!$E265)),'자료_한국심리'!$D265,"")</f>
        <v/>
      </c>
      <c r="W281">
        <f>IF(AND(ISNUMBER('자료_한국심리'!$G265),ISNUMBER('자료_한국심리'!$H265)),'자료_한국심리'!$G265,"")</f>
        <v/>
      </c>
      <c r="X281">
        <f>IF(AND(ISNUMBER('자료_한국심리'!$J265),ISNUMBER('자료_한국심리'!$K265)),'자료_한국심리'!$J265,"")</f>
        <v/>
      </c>
      <c r="Y281">
        <f>IF(AND(ISNUMBER('자료_한국심리'!$M265),ISNUMBER('자료_한국심리'!$N265)),'자료_한국심리'!$M265,"")</f>
        <v/>
      </c>
    </row>
    <row r="282">
      <c r="A282" s="10">
        <f>IF(264&gt;$E$5,"",SMALL($U$19:$U$4018,$E$6+264))</f>
        <v/>
      </c>
      <c r="B282" s="29">
        <f>IF(A282="","",INDEX('자료_한국심리'!$B$3:$B$4002,MATCH(A282,$U$19:$U$4018,0)))</f>
        <v/>
      </c>
      <c r="C282" s="22">
        <f>IF(A282="","",B282/AVERAGE(B158:B282)-1)</f>
        <v/>
      </c>
      <c r="D282" s="29">
        <f>IF(A282="","",IFERROR(INDEX('자료_한국심리'!$E$3:$E$4002,MATCH(A282,$V$19:$V$4018,0)),D281))</f>
        <v/>
      </c>
      <c r="E282" s="30">
        <f>IF(A282="","",IFERROR(INDEX('자료_한국심리'!$H$3:$H$4002,MATCH(A282,$W$19:$W$4018,0)),E281))</f>
        <v/>
      </c>
      <c r="F282" s="30">
        <f>IF(A282="","",IFERROR(INDEX('자료_한국심리'!$K$3:$K$4002,MATCH(A282,$X$19:$X$4018,0)),F281))</f>
        <v/>
      </c>
      <c r="G282" s="30">
        <f>IF(AND(ISNUMBER(E282),ISNUMBER(F282)),ROUND(E282-F282,6),"")</f>
        <v/>
      </c>
      <c r="H282" s="25">
        <f>IF(A282="","",IFERROR(INDEX('자료_한국심리'!$N$3:$N$4002,MATCH(A282,$Y$19:$Y$4018,0)),H281))</f>
        <v/>
      </c>
      <c r="I282" s="31">
        <f>IF(AND(ISNUMBER(H282),ISNUMBER(H262)),IF(H262&gt;0,H282/H262-1,""),"")</f>
        <v/>
      </c>
      <c r="J282">
        <f>IF(A282="",0,IF(A282&gt;$B$5,1,0))</f>
        <v/>
      </c>
      <c r="K282" s="29">
        <f>IF(AND(J282=1,ISNUMBER(D282)),D282,"")</f>
        <v/>
      </c>
      <c r="L282" s="30">
        <f>IF(AND(J282=1,ISNUMBER(G282)),G282,"")</f>
        <v/>
      </c>
      <c r="M282" s="22">
        <f>IF(AND(J282=1,ISNUMBER(C282)),C282,"")</f>
        <v/>
      </c>
      <c r="N282" s="31">
        <f>IF(AND(J282=1,ISNUMBER(I282)),I282,"")</f>
        <v/>
      </c>
      <c r="O282" s="11">
        <f>IF(K282="","",100-IF($G$13=1,50,(_xlfn.RANK.AVG(K282,$K$19:$K$1518,1)-1)/($G$13-1)*100))</f>
        <v/>
      </c>
      <c r="P282" s="11">
        <f>IF(L282="","",100-IF($G$14=1,50,(_xlfn.RANK.AVG(L282,$L$19:$L$1518,1)-1)/($G$14-1)*100))</f>
        <v/>
      </c>
      <c r="Q282" s="11">
        <f>IF(M282="","",IF($G$15=1,50,(_xlfn.RANK.AVG(M282,$M$19:$M$1518,1)-1)/($G$15-1)*100))</f>
        <v/>
      </c>
      <c r="R282" s="11">
        <f>IF(N282="","",IF($G$16=1,50,(_xlfn.RANK.AVG(N282,$N$19:$N$1518,1)-1)/($G$16-1)*100))</f>
        <v/>
      </c>
      <c r="S282" s="11">
        <f>IF(COUNT(O282:R282)=4,ROUND(AVERAGE(O282:R282),6),"")</f>
        <v/>
      </c>
      <c r="U282">
        <f>IF(AND(ISNUMBER('자료_한국심리'!$A266),ISNUMBER('자료_한국심리'!$B266)),'자료_한국심리'!$A266,"")</f>
        <v/>
      </c>
      <c r="V282">
        <f>IF(AND(ISNUMBER('자료_한국심리'!$D266),ISNUMBER('자료_한국심리'!$E266)),'자료_한국심리'!$D266,"")</f>
        <v/>
      </c>
      <c r="W282">
        <f>IF(AND(ISNUMBER('자료_한국심리'!$G266),ISNUMBER('자료_한국심리'!$H266)),'자료_한국심리'!$G266,"")</f>
        <v/>
      </c>
      <c r="X282">
        <f>IF(AND(ISNUMBER('자료_한국심리'!$J266),ISNUMBER('자료_한국심리'!$K266)),'자료_한국심리'!$J266,"")</f>
        <v/>
      </c>
      <c r="Y282">
        <f>IF(AND(ISNUMBER('자료_한국심리'!$M266),ISNUMBER('자료_한국심리'!$N266)),'자료_한국심리'!$M266,"")</f>
        <v/>
      </c>
    </row>
    <row r="283">
      <c r="A283" s="10">
        <f>IF(265&gt;$E$5,"",SMALL($U$19:$U$4018,$E$6+265))</f>
        <v/>
      </c>
      <c r="B283" s="29">
        <f>IF(A283="","",INDEX('자료_한국심리'!$B$3:$B$4002,MATCH(A283,$U$19:$U$4018,0)))</f>
        <v/>
      </c>
      <c r="C283" s="22">
        <f>IF(A283="","",B283/AVERAGE(B159:B283)-1)</f>
        <v/>
      </c>
      <c r="D283" s="29">
        <f>IF(A283="","",IFERROR(INDEX('자료_한국심리'!$E$3:$E$4002,MATCH(A283,$V$19:$V$4018,0)),D282))</f>
        <v/>
      </c>
      <c r="E283" s="30">
        <f>IF(A283="","",IFERROR(INDEX('자료_한국심리'!$H$3:$H$4002,MATCH(A283,$W$19:$W$4018,0)),E282))</f>
        <v/>
      </c>
      <c r="F283" s="30">
        <f>IF(A283="","",IFERROR(INDEX('자료_한국심리'!$K$3:$K$4002,MATCH(A283,$X$19:$X$4018,0)),F282))</f>
        <v/>
      </c>
      <c r="G283" s="30">
        <f>IF(AND(ISNUMBER(E283),ISNUMBER(F283)),ROUND(E283-F283,6),"")</f>
        <v/>
      </c>
      <c r="H283" s="25">
        <f>IF(A283="","",IFERROR(INDEX('자료_한국심리'!$N$3:$N$4002,MATCH(A283,$Y$19:$Y$4018,0)),H282))</f>
        <v/>
      </c>
      <c r="I283" s="31">
        <f>IF(AND(ISNUMBER(H283),ISNUMBER(H263)),IF(H263&gt;0,H283/H263-1,""),"")</f>
        <v/>
      </c>
      <c r="J283">
        <f>IF(A283="",0,IF(A283&gt;$B$5,1,0))</f>
        <v/>
      </c>
      <c r="K283" s="29">
        <f>IF(AND(J283=1,ISNUMBER(D283)),D283,"")</f>
        <v/>
      </c>
      <c r="L283" s="30">
        <f>IF(AND(J283=1,ISNUMBER(G283)),G283,"")</f>
        <v/>
      </c>
      <c r="M283" s="22">
        <f>IF(AND(J283=1,ISNUMBER(C283)),C283,"")</f>
        <v/>
      </c>
      <c r="N283" s="31">
        <f>IF(AND(J283=1,ISNUMBER(I283)),I283,"")</f>
        <v/>
      </c>
      <c r="O283" s="11">
        <f>IF(K283="","",100-IF($G$13=1,50,(_xlfn.RANK.AVG(K283,$K$19:$K$1518,1)-1)/($G$13-1)*100))</f>
        <v/>
      </c>
      <c r="P283" s="11">
        <f>IF(L283="","",100-IF($G$14=1,50,(_xlfn.RANK.AVG(L283,$L$19:$L$1518,1)-1)/($G$14-1)*100))</f>
        <v/>
      </c>
      <c r="Q283" s="11">
        <f>IF(M283="","",IF($G$15=1,50,(_xlfn.RANK.AVG(M283,$M$19:$M$1518,1)-1)/($G$15-1)*100))</f>
        <v/>
      </c>
      <c r="R283" s="11">
        <f>IF(N283="","",IF($G$16=1,50,(_xlfn.RANK.AVG(N283,$N$19:$N$1518,1)-1)/($G$16-1)*100))</f>
        <v/>
      </c>
      <c r="S283" s="11">
        <f>IF(COUNT(O283:R283)=4,ROUND(AVERAGE(O283:R283),6),"")</f>
        <v/>
      </c>
      <c r="U283">
        <f>IF(AND(ISNUMBER('자료_한국심리'!$A267),ISNUMBER('자료_한국심리'!$B267)),'자료_한국심리'!$A267,"")</f>
        <v/>
      </c>
      <c r="V283">
        <f>IF(AND(ISNUMBER('자료_한국심리'!$D267),ISNUMBER('자료_한국심리'!$E267)),'자료_한국심리'!$D267,"")</f>
        <v/>
      </c>
      <c r="W283">
        <f>IF(AND(ISNUMBER('자료_한국심리'!$G267),ISNUMBER('자료_한국심리'!$H267)),'자료_한국심리'!$G267,"")</f>
        <v/>
      </c>
      <c r="X283">
        <f>IF(AND(ISNUMBER('자료_한국심리'!$J267),ISNUMBER('자료_한국심리'!$K267)),'자료_한국심리'!$J267,"")</f>
        <v/>
      </c>
      <c r="Y283">
        <f>IF(AND(ISNUMBER('자료_한국심리'!$M267),ISNUMBER('자료_한국심리'!$N267)),'자료_한국심리'!$M267,"")</f>
        <v/>
      </c>
    </row>
    <row r="284">
      <c r="A284" s="10">
        <f>IF(266&gt;$E$5,"",SMALL($U$19:$U$4018,$E$6+266))</f>
        <v/>
      </c>
      <c r="B284" s="29">
        <f>IF(A284="","",INDEX('자료_한국심리'!$B$3:$B$4002,MATCH(A284,$U$19:$U$4018,0)))</f>
        <v/>
      </c>
      <c r="C284" s="22">
        <f>IF(A284="","",B284/AVERAGE(B160:B284)-1)</f>
        <v/>
      </c>
      <c r="D284" s="29">
        <f>IF(A284="","",IFERROR(INDEX('자료_한국심리'!$E$3:$E$4002,MATCH(A284,$V$19:$V$4018,0)),D283))</f>
        <v/>
      </c>
      <c r="E284" s="30">
        <f>IF(A284="","",IFERROR(INDEX('자료_한국심리'!$H$3:$H$4002,MATCH(A284,$W$19:$W$4018,0)),E283))</f>
        <v/>
      </c>
      <c r="F284" s="30">
        <f>IF(A284="","",IFERROR(INDEX('자료_한국심리'!$K$3:$K$4002,MATCH(A284,$X$19:$X$4018,0)),F283))</f>
        <v/>
      </c>
      <c r="G284" s="30">
        <f>IF(AND(ISNUMBER(E284),ISNUMBER(F284)),ROUND(E284-F284,6),"")</f>
        <v/>
      </c>
      <c r="H284" s="25">
        <f>IF(A284="","",IFERROR(INDEX('자료_한국심리'!$N$3:$N$4002,MATCH(A284,$Y$19:$Y$4018,0)),H283))</f>
        <v/>
      </c>
      <c r="I284" s="31">
        <f>IF(AND(ISNUMBER(H284),ISNUMBER(H264)),IF(H264&gt;0,H284/H264-1,""),"")</f>
        <v/>
      </c>
      <c r="J284">
        <f>IF(A284="",0,IF(A284&gt;$B$5,1,0))</f>
        <v/>
      </c>
      <c r="K284" s="29">
        <f>IF(AND(J284=1,ISNUMBER(D284)),D284,"")</f>
        <v/>
      </c>
      <c r="L284" s="30">
        <f>IF(AND(J284=1,ISNUMBER(G284)),G284,"")</f>
        <v/>
      </c>
      <c r="M284" s="22">
        <f>IF(AND(J284=1,ISNUMBER(C284)),C284,"")</f>
        <v/>
      </c>
      <c r="N284" s="31">
        <f>IF(AND(J284=1,ISNUMBER(I284)),I284,"")</f>
        <v/>
      </c>
      <c r="O284" s="11">
        <f>IF(K284="","",100-IF($G$13=1,50,(_xlfn.RANK.AVG(K284,$K$19:$K$1518,1)-1)/($G$13-1)*100))</f>
        <v/>
      </c>
      <c r="P284" s="11">
        <f>IF(L284="","",100-IF($G$14=1,50,(_xlfn.RANK.AVG(L284,$L$19:$L$1518,1)-1)/($G$14-1)*100))</f>
        <v/>
      </c>
      <c r="Q284" s="11">
        <f>IF(M284="","",IF($G$15=1,50,(_xlfn.RANK.AVG(M284,$M$19:$M$1518,1)-1)/($G$15-1)*100))</f>
        <v/>
      </c>
      <c r="R284" s="11">
        <f>IF(N284="","",IF($G$16=1,50,(_xlfn.RANK.AVG(N284,$N$19:$N$1518,1)-1)/($G$16-1)*100))</f>
        <v/>
      </c>
      <c r="S284" s="11">
        <f>IF(COUNT(O284:R284)=4,ROUND(AVERAGE(O284:R284),6),"")</f>
        <v/>
      </c>
      <c r="U284">
        <f>IF(AND(ISNUMBER('자료_한국심리'!$A268),ISNUMBER('자료_한국심리'!$B268)),'자료_한국심리'!$A268,"")</f>
        <v/>
      </c>
      <c r="V284">
        <f>IF(AND(ISNUMBER('자료_한국심리'!$D268),ISNUMBER('자료_한국심리'!$E268)),'자료_한국심리'!$D268,"")</f>
        <v/>
      </c>
      <c r="W284">
        <f>IF(AND(ISNUMBER('자료_한국심리'!$G268),ISNUMBER('자료_한국심리'!$H268)),'자료_한국심리'!$G268,"")</f>
        <v/>
      </c>
      <c r="X284">
        <f>IF(AND(ISNUMBER('자료_한국심리'!$J268),ISNUMBER('자료_한국심리'!$K268)),'자료_한국심리'!$J268,"")</f>
        <v/>
      </c>
      <c r="Y284">
        <f>IF(AND(ISNUMBER('자료_한국심리'!$M268),ISNUMBER('자료_한국심리'!$N268)),'자료_한국심리'!$M268,"")</f>
        <v/>
      </c>
    </row>
    <row r="285">
      <c r="A285" s="10">
        <f>IF(267&gt;$E$5,"",SMALL($U$19:$U$4018,$E$6+267))</f>
        <v/>
      </c>
      <c r="B285" s="29">
        <f>IF(A285="","",INDEX('자료_한국심리'!$B$3:$B$4002,MATCH(A285,$U$19:$U$4018,0)))</f>
        <v/>
      </c>
      <c r="C285" s="22">
        <f>IF(A285="","",B285/AVERAGE(B161:B285)-1)</f>
        <v/>
      </c>
      <c r="D285" s="29">
        <f>IF(A285="","",IFERROR(INDEX('자료_한국심리'!$E$3:$E$4002,MATCH(A285,$V$19:$V$4018,0)),D284))</f>
        <v/>
      </c>
      <c r="E285" s="30">
        <f>IF(A285="","",IFERROR(INDEX('자료_한국심리'!$H$3:$H$4002,MATCH(A285,$W$19:$W$4018,0)),E284))</f>
        <v/>
      </c>
      <c r="F285" s="30">
        <f>IF(A285="","",IFERROR(INDEX('자료_한국심리'!$K$3:$K$4002,MATCH(A285,$X$19:$X$4018,0)),F284))</f>
        <v/>
      </c>
      <c r="G285" s="30">
        <f>IF(AND(ISNUMBER(E285),ISNUMBER(F285)),ROUND(E285-F285,6),"")</f>
        <v/>
      </c>
      <c r="H285" s="25">
        <f>IF(A285="","",IFERROR(INDEX('자료_한국심리'!$N$3:$N$4002,MATCH(A285,$Y$19:$Y$4018,0)),H284))</f>
        <v/>
      </c>
      <c r="I285" s="31">
        <f>IF(AND(ISNUMBER(H285),ISNUMBER(H265)),IF(H265&gt;0,H285/H265-1,""),"")</f>
        <v/>
      </c>
      <c r="J285">
        <f>IF(A285="",0,IF(A285&gt;$B$5,1,0))</f>
        <v/>
      </c>
      <c r="K285" s="29">
        <f>IF(AND(J285=1,ISNUMBER(D285)),D285,"")</f>
        <v/>
      </c>
      <c r="L285" s="30">
        <f>IF(AND(J285=1,ISNUMBER(G285)),G285,"")</f>
        <v/>
      </c>
      <c r="M285" s="22">
        <f>IF(AND(J285=1,ISNUMBER(C285)),C285,"")</f>
        <v/>
      </c>
      <c r="N285" s="31">
        <f>IF(AND(J285=1,ISNUMBER(I285)),I285,"")</f>
        <v/>
      </c>
      <c r="O285" s="11">
        <f>IF(K285="","",100-IF($G$13=1,50,(_xlfn.RANK.AVG(K285,$K$19:$K$1518,1)-1)/($G$13-1)*100))</f>
        <v/>
      </c>
      <c r="P285" s="11">
        <f>IF(L285="","",100-IF($G$14=1,50,(_xlfn.RANK.AVG(L285,$L$19:$L$1518,1)-1)/($G$14-1)*100))</f>
        <v/>
      </c>
      <c r="Q285" s="11">
        <f>IF(M285="","",IF($G$15=1,50,(_xlfn.RANK.AVG(M285,$M$19:$M$1518,1)-1)/($G$15-1)*100))</f>
        <v/>
      </c>
      <c r="R285" s="11">
        <f>IF(N285="","",IF($G$16=1,50,(_xlfn.RANK.AVG(N285,$N$19:$N$1518,1)-1)/($G$16-1)*100))</f>
        <v/>
      </c>
      <c r="S285" s="11">
        <f>IF(COUNT(O285:R285)=4,ROUND(AVERAGE(O285:R285),6),"")</f>
        <v/>
      </c>
      <c r="U285">
        <f>IF(AND(ISNUMBER('자료_한국심리'!$A269),ISNUMBER('자료_한국심리'!$B269)),'자료_한국심리'!$A269,"")</f>
        <v/>
      </c>
      <c r="V285">
        <f>IF(AND(ISNUMBER('자료_한국심리'!$D269),ISNUMBER('자료_한국심리'!$E269)),'자료_한국심리'!$D269,"")</f>
        <v/>
      </c>
      <c r="W285">
        <f>IF(AND(ISNUMBER('자료_한국심리'!$G269),ISNUMBER('자료_한국심리'!$H269)),'자료_한국심리'!$G269,"")</f>
        <v/>
      </c>
      <c r="X285">
        <f>IF(AND(ISNUMBER('자료_한국심리'!$J269),ISNUMBER('자료_한국심리'!$K269)),'자료_한국심리'!$J269,"")</f>
        <v/>
      </c>
      <c r="Y285">
        <f>IF(AND(ISNUMBER('자료_한국심리'!$M269),ISNUMBER('자료_한국심리'!$N269)),'자료_한국심리'!$M269,"")</f>
        <v/>
      </c>
    </row>
    <row r="286">
      <c r="A286" s="10">
        <f>IF(268&gt;$E$5,"",SMALL($U$19:$U$4018,$E$6+268))</f>
        <v/>
      </c>
      <c r="B286" s="29">
        <f>IF(A286="","",INDEX('자료_한국심리'!$B$3:$B$4002,MATCH(A286,$U$19:$U$4018,0)))</f>
        <v/>
      </c>
      <c r="C286" s="22">
        <f>IF(A286="","",B286/AVERAGE(B162:B286)-1)</f>
        <v/>
      </c>
      <c r="D286" s="29">
        <f>IF(A286="","",IFERROR(INDEX('자료_한국심리'!$E$3:$E$4002,MATCH(A286,$V$19:$V$4018,0)),D285))</f>
        <v/>
      </c>
      <c r="E286" s="30">
        <f>IF(A286="","",IFERROR(INDEX('자료_한국심리'!$H$3:$H$4002,MATCH(A286,$W$19:$W$4018,0)),E285))</f>
        <v/>
      </c>
      <c r="F286" s="30">
        <f>IF(A286="","",IFERROR(INDEX('자료_한국심리'!$K$3:$K$4002,MATCH(A286,$X$19:$X$4018,0)),F285))</f>
        <v/>
      </c>
      <c r="G286" s="30">
        <f>IF(AND(ISNUMBER(E286),ISNUMBER(F286)),ROUND(E286-F286,6),"")</f>
        <v/>
      </c>
      <c r="H286" s="25">
        <f>IF(A286="","",IFERROR(INDEX('자료_한국심리'!$N$3:$N$4002,MATCH(A286,$Y$19:$Y$4018,0)),H285))</f>
        <v/>
      </c>
      <c r="I286" s="31">
        <f>IF(AND(ISNUMBER(H286),ISNUMBER(H266)),IF(H266&gt;0,H286/H266-1,""),"")</f>
        <v/>
      </c>
      <c r="J286">
        <f>IF(A286="",0,IF(A286&gt;$B$5,1,0))</f>
        <v/>
      </c>
      <c r="K286" s="29">
        <f>IF(AND(J286=1,ISNUMBER(D286)),D286,"")</f>
        <v/>
      </c>
      <c r="L286" s="30">
        <f>IF(AND(J286=1,ISNUMBER(G286)),G286,"")</f>
        <v/>
      </c>
      <c r="M286" s="22">
        <f>IF(AND(J286=1,ISNUMBER(C286)),C286,"")</f>
        <v/>
      </c>
      <c r="N286" s="31">
        <f>IF(AND(J286=1,ISNUMBER(I286)),I286,"")</f>
        <v/>
      </c>
      <c r="O286" s="11">
        <f>IF(K286="","",100-IF($G$13=1,50,(_xlfn.RANK.AVG(K286,$K$19:$K$1518,1)-1)/($G$13-1)*100))</f>
        <v/>
      </c>
      <c r="P286" s="11">
        <f>IF(L286="","",100-IF($G$14=1,50,(_xlfn.RANK.AVG(L286,$L$19:$L$1518,1)-1)/($G$14-1)*100))</f>
        <v/>
      </c>
      <c r="Q286" s="11">
        <f>IF(M286="","",IF($G$15=1,50,(_xlfn.RANK.AVG(M286,$M$19:$M$1518,1)-1)/($G$15-1)*100))</f>
        <v/>
      </c>
      <c r="R286" s="11">
        <f>IF(N286="","",IF($G$16=1,50,(_xlfn.RANK.AVG(N286,$N$19:$N$1518,1)-1)/($G$16-1)*100))</f>
        <v/>
      </c>
      <c r="S286" s="11">
        <f>IF(COUNT(O286:R286)=4,ROUND(AVERAGE(O286:R286),6),"")</f>
        <v/>
      </c>
      <c r="U286">
        <f>IF(AND(ISNUMBER('자료_한국심리'!$A270),ISNUMBER('자료_한국심리'!$B270)),'자료_한국심리'!$A270,"")</f>
        <v/>
      </c>
      <c r="V286">
        <f>IF(AND(ISNUMBER('자료_한국심리'!$D270),ISNUMBER('자료_한국심리'!$E270)),'자료_한국심리'!$D270,"")</f>
        <v/>
      </c>
      <c r="W286">
        <f>IF(AND(ISNUMBER('자료_한국심리'!$G270),ISNUMBER('자료_한국심리'!$H270)),'자료_한국심리'!$G270,"")</f>
        <v/>
      </c>
      <c r="X286">
        <f>IF(AND(ISNUMBER('자료_한국심리'!$J270),ISNUMBER('자료_한국심리'!$K270)),'자료_한국심리'!$J270,"")</f>
        <v/>
      </c>
      <c r="Y286">
        <f>IF(AND(ISNUMBER('자료_한국심리'!$M270),ISNUMBER('자료_한국심리'!$N270)),'자료_한국심리'!$M270,"")</f>
        <v/>
      </c>
    </row>
    <row r="287">
      <c r="A287" s="10">
        <f>IF(269&gt;$E$5,"",SMALL($U$19:$U$4018,$E$6+269))</f>
        <v/>
      </c>
      <c r="B287" s="29">
        <f>IF(A287="","",INDEX('자료_한국심리'!$B$3:$B$4002,MATCH(A287,$U$19:$U$4018,0)))</f>
        <v/>
      </c>
      <c r="C287" s="22">
        <f>IF(A287="","",B287/AVERAGE(B163:B287)-1)</f>
        <v/>
      </c>
      <c r="D287" s="29">
        <f>IF(A287="","",IFERROR(INDEX('자료_한국심리'!$E$3:$E$4002,MATCH(A287,$V$19:$V$4018,0)),D286))</f>
        <v/>
      </c>
      <c r="E287" s="30">
        <f>IF(A287="","",IFERROR(INDEX('자료_한국심리'!$H$3:$H$4002,MATCH(A287,$W$19:$W$4018,0)),E286))</f>
        <v/>
      </c>
      <c r="F287" s="30">
        <f>IF(A287="","",IFERROR(INDEX('자료_한국심리'!$K$3:$K$4002,MATCH(A287,$X$19:$X$4018,0)),F286))</f>
        <v/>
      </c>
      <c r="G287" s="30">
        <f>IF(AND(ISNUMBER(E287),ISNUMBER(F287)),ROUND(E287-F287,6),"")</f>
        <v/>
      </c>
      <c r="H287" s="25">
        <f>IF(A287="","",IFERROR(INDEX('자료_한국심리'!$N$3:$N$4002,MATCH(A287,$Y$19:$Y$4018,0)),H286))</f>
        <v/>
      </c>
      <c r="I287" s="31">
        <f>IF(AND(ISNUMBER(H287),ISNUMBER(H267)),IF(H267&gt;0,H287/H267-1,""),"")</f>
        <v/>
      </c>
      <c r="J287">
        <f>IF(A287="",0,IF(A287&gt;$B$5,1,0))</f>
        <v/>
      </c>
      <c r="K287" s="29">
        <f>IF(AND(J287=1,ISNUMBER(D287)),D287,"")</f>
        <v/>
      </c>
      <c r="L287" s="30">
        <f>IF(AND(J287=1,ISNUMBER(G287)),G287,"")</f>
        <v/>
      </c>
      <c r="M287" s="22">
        <f>IF(AND(J287=1,ISNUMBER(C287)),C287,"")</f>
        <v/>
      </c>
      <c r="N287" s="31">
        <f>IF(AND(J287=1,ISNUMBER(I287)),I287,"")</f>
        <v/>
      </c>
      <c r="O287" s="11">
        <f>IF(K287="","",100-IF($G$13=1,50,(_xlfn.RANK.AVG(K287,$K$19:$K$1518,1)-1)/($G$13-1)*100))</f>
        <v/>
      </c>
      <c r="P287" s="11">
        <f>IF(L287="","",100-IF($G$14=1,50,(_xlfn.RANK.AVG(L287,$L$19:$L$1518,1)-1)/($G$14-1)*100))</f>
        <v/>
      </c>
      <c r="Q287" s="11">
        <f>IF(M287="","",IF($G$15=1,50,(_xlfn.RANK.AVG(M287,$M$19:$M$1518,1)-1)/($G$15-1)*100))</f>
        <v/>
      </c>
      <c r="R287" s="11">
        <f>IF(N287="","",IF($G$16=1,50,(_xlfn.RANK.AVG(N287,$N$19:$N$1518,1)-1)/($G$16-1)*100))</f>
        <v/>
      </c>
      <c r="S287" s="11">
        <f>IF(COUNT(O287:R287)=4,ROUND(AVERAGE(O287:R287),6),"")</f>
        <v/>
      </c>
      <c r="U287">
        <f>IF(AND(ISNUMBER('자료_한국심리'!$A271),ISNUMBER('자료_한국심리'!$B271)),'자료_한국심리'!$A271,"")</f>
        <v/>
      </c>
      <c r="V287">
        <f>IF(AND(ISNUMBER('자료_한국심리'!$D271),ISNUMBER('자료_한국심리'!$E271)),'자료_한국심리'!$D271,"")</f>
        <v/>
      </c>
      <c r="W287">
        <f>IF(AND(ISNUMBER('자료_한국심리'!$G271),ISNUMBER('자료_한국심리'!$H271)),'자료_한국심리'!$G271,"")</f>
        <v/>
      </c>
      <c r="X287">
        <f>IF(AND(ISNUMBER('자료_한국심리'!$J271),ISNUMBER('자료_한국심리'!$K271)),'자료_한국심리'!$J271,"")</f>
        <v/>
      </c>
      <c r="Y287">
        <f>IF(AND(ISNUMBER('자료_한국심리'!$M271),ISNUMBER('자료_한국심리'!$N271)),'자료_한국심리'!$M271,"")</f>
        <v/>
      </c>
    </row>
    <row r="288">
      <c r="A288" s="10">
        <f>IF(270&gt;$E$5,"",SMALL($U$19:$U$4018,$E$6+270))</f>
        <v/>
      </c>
      <c r="B288" s="29">
        <f>IF(A288="","",INDEX('자료_한국심리'!$B$3:$B$4002,MATCH(A288,$U$19:$U$4018,0)))</f>
        <v/>
      </c>
      <c r="C288" s="22">
        <f>IF(A288="","",B288/AVERAGE(B164:B288)-1)</f>
        <v/>
      </c>
      <c r="D288" s="29">
        <f>IF(A288="","",IFERROR(INDEX('자료_한국심리'!$E$3:$E$4002,MATCH(A288,$V$19:$V$4018,0)),D287))</f>
        <v/>
      </c>
      <c r="E288" s="30">
        <f>IF(A288="","",IFERROR(INDEX('자료_한국심리'!$H$3:$H$4002,MATCH(A288,$W$19:$W$4018,0)),E287))</f>
        <v/>
      </c>
      <c r="F288" s="30">
        <f>IF(A288="","",IFERROR(INDEX('자료_한국심리'!$K$3:$K$4002,MATCH(A288,$X$19:$X$4018,0)),F287))</f>
        <v/>
      </c>
      <c r="G288" s="30">
        <f>IF(AND(ISNUMBER(E288),ISNUMBER(F288)),ROUND(E288-F288,6),"")</f>
        <v/>
      </c>
      <c r="H288" s="25">
        <f>IF(A288="","",IFERROR(INDEX('자료_한국심리'!$N$3:$N$4002,MATCH(A288,$Y$19:$Y$4018,0)),H287))</f>
        <v/>
      </c>
      <c r="I288" s="31">
        <f>IF(AND(ISNUMBER(H288),ISNUMBER(H268)),IF(H268&gt;0,H288/H268-1,""),"")</f>
        <v/>
      </c>
      <c r="J288">
        <f>IF(A288="",0,IF(A288&gt;$B$5,1,0))</f>
        <v/>
      </c>
      <c r="K288" s="29">
        <f>IF(AND(J288=1,ISNUMBER(D288)),D288,"")</f>
        <v/>
      </c>
      <c r="L288" s="30">
        <f>IF(AND(J288=1,ISNUMBER(G288)),G288,"")</f>
        <v/>
      </c>
      <c r="M288" s="22">
        <f>IF(AND(J288=1,ISNUMBER(C288)),C288,"")</f>
        <v/>
      </c>
      <c r="N288" s="31">
        <f>IF(AND(J288=1,ISNUMBER(I288)),I288,"")</f>
        <v/>
      </c>
      <c r="O288" s="11">
        <f>IF(K288="","",100-IF($G$13=1,50,(_xlfn.RANK.AVG(K288,$K$19:$K$1518,1)-1)/($G$13-1)*100))</f>
        <v/>
      </c>
      <c r="P288" s="11">
        <f>IF(L288="","",100-IF($G$14=1,50,(_xlfn.RANK.AVG(L288,$L$19:$L$1518,1)-1)/($G$14-1)*100))</f>
        <v/>
      </c>
      <c r="Q288" s="11">
        <f>IF(M288="","",IF($G$15=1,50,(_xlfn.RANK.AVG(M288,$M$19:$M$1518,1)-1)/($G$15-1)*100))</f>
        <v/>
      </c>
      <c r="R288" s="11">
        <f>IF(N288="","",IF($G$16=1,50,(_xlfn.RANK.AVG(N288,$N$19:$N$1518,1)-1)/($G$16-1)*100))</f>
        <v/>
      </c>
      <c r="S288" s="11">
        <f>IF(COUNT(O288:R288)=4,ROUND(AVERAGE(O288:R288),6),"")</f>
        <v/>
      </c>
      <c r="U288">
        <f>IF(AND(ISNUMBER('자료_한국심리'!$A272),ISNUMBER('자료_한국심리'!$B272)),'자료_한국심리'!$A272,"")</f>
        <v/>
      </c>
      <c r="V288">
        <f>IF(AND(ISNUMBER('자료_한국심리'!$D272),ISNUMBER('자료_한국심리'!$E272)),'자료_한국심리'!$D272,"")</f>
        <v/>
      </c>
      <c r="W288">
        <f>IF(AND(ISNUMBER('자료_한국심리'!$G272),ISNUMBER('자료_한국심리'!$H272)),'자료_한국심리'!$G272,"")</f>
        <v/>
      </c>
      <c r="X288">
        <f>IF(AND(ISNUMBER('자료_한국심리'!$J272),ISNUMBER('자료_한국심리'!$K272)),'자료_한국심리'!$J272,"")</f>
        <v/>
      </c>
      <c r="Y288">
        <f>IF(AND(ISNUMBER('자료_한국심리'!$M272),ISNUMBER('자료_한국심리'!$N272)),'자료_한국심리'!$M272,"")</f>
        <v/>
      </c>
    </row>
    <row r="289">
      <c r="A289" s="10">
        <f>IF(271&gt;$E$5,"",SMALL($U$19:$U$4018,$E$6+271))</f>
        <v/>
      </c>
      <c r="B289" s="29">
        <f>IF(A289="","",INDEX('자료_한국심리'!$B$3:$B$4002,MATCH(A289,$U$19:$U$4018,0)))</f>
        <v/>
      </c>
      <c r="C289" s="22">
        <f>IF(A289="","",B289/AVERAGE(B165:B289)-1)</f>
        <v/>
      </c>
      <c r="D289" s="29">
        <f>IF(A289="","",IFERROR(INDEX('자료_한국심리'!$E$3:$E$4002,MATCH(A289,$V$19:$V$4018,0)),D288))</f>
        <v/>
      </c>
      <c r="E289" s="30">
        <f>IF(A289="","",IFERROR(INDEX('자료_한국심리'!$H$3:$H$4002,MATCH(A289,$W$19:$W$4018,0)),E288))</f>
        <v/>
      </c>
      <c r="F289" s="30">
        <f>IF(A289="","",IFERROR(INDEX('자료_한국심리'!$K$3:$K$4002,MATCH(A289,$X$19:$X$4018,0)),F288))</f>
        <v/>
      </c>
      <c r="G289" s="30">
        <f>IF(AND(ISNUMBER(E289),ISNUMBER(F289)),ROUND(E289-F289,6),"")</f>
        <v/>
      </c>
      <c r="H289" s="25">
        <f>IF(A289="","",IFERROR(INDEX('자료_한국심리'!$N$3:$N$4002,MATCH(A289,$Y$19:$Y$4018,0)),H288))</f>
        <v/>
      </c>
      <c r="I289" s="31">
        <f>IF(AND(ISNUMBER(H289),ISNUMBER(H269)),IF(H269&gt;0,H289/H269-1,""),"")</f>
        <v/>
      </c>
      <c r="J289">
        <f>IF(A289="",0,IF(A289&gt;$B$5,1,0))</f>
        <v/>
      </c>
      <c r="K289" s="29">
        <f>IF(AND(J289=1,ISNUMBER(D289)),D289,"")</f>
        <v/>
      </c>
      <c r="L289" s="30">
        <f>IF(AND(J289=1,ISNUMBER(G289)),G289,"")</f>
        <v/>
      </c>
      <c r="M289" s="22">
        <f>IF(AND(J289=1,ISNUMBER(C289)),C289,"")</f>
        <v/>
      </c>
      <c r="N289" s="31">
        <f>IF(AND(J289=1,ISNUMBER(I289)),I289,"")</f>
        <v/>
      </c>
      <c r="O289" s="11">
        <f>IF(K289="","",100-IF($G$13=1,50,(_xlfn.RANK.AVG(K289,$K$19:$K$1518,1)-1)/($G$13-1)*100))</f>
        <v/>
      </c>
      <c r="P289" s="11">
        <f>IF(L289="","",100-IF($G$14=1,50,(_xlfn.RANK.AVG(L289,$L$19:$L$1518,1)-1)/($G$14-1)*100))</f>
        <v/>
      </c>
      <c r="Q289" s="11">
        <f>IF(M289="","",IF($G$15=1,50,(_xlfn.RANK.AVG(M289,$M$19:$M$1518,1)-1)/($G$15-1)*100))</f>
        <v/>
      </c>
      <c r="R289" s="11">
        <f>IF(N289="","",IF($G$16=1,50,(_xlfn.RANK.AVG(N289,$N$19:$N$1518,1)-1)/($G$16-1)*100))</f>
        <v/>
      </c>
      <c r="S289" s="11">
        <f>IF(COUNT(O289:R289)=4,ROUND(AVERAGE(O289:R289),6),"")</f>
        <v/>
      </c>
      <c r="U289">
        <f>IF(AND(ISNUMBER('자료_한국심리'!$A273),ISNUMBER('자료_한국심리'!$B273)),'자료_한국심리'!$A273,"")</f>
        <v/>
      </c>
      <c r="V289">
        <f>IF(AND(ISNUMBER('자료_한국심리'!$D273),ISNUMBER('자료_한국심리'!$E273)),'자료_한국심리'!$D273,"")</f>
        <v/>
      </c>
      <c r="W289">
        <f>IF(AND(ISNUMBER('자료_한국심리'!$G273),ISNUMBER('자료_한국심리'!$H273)),'자료_한국심리'!$G273,"")</f>
        <v/>
      </c>
      <c r="X289">
        <f>IF(AND(ISNUMBER('자료_한국심리'!$J273),ISNUMBER('자료_한국심리'!$K273)),'자료_한국심리'!$J273,"")</f>
        <v/>
      </c>
      <c r="Y289">
        <f>IF(AND(ISNUMBER('자료_한국심리'!$M273),ISNUMBER('자료_한국심리'!$N273)),'자료_한국심리'!$M273,"")</f>
        <v/>
      </c>
    </row>
    <row r="290">
      <c r="A290" s="10">
        <f>IF(272&gt;$E$5,"",SMALL($U$19:$U$4018,$E$6+272))</f>
        <v/>
      </c>
      <c r="B290" s="29">
        <f>IF(A290="","",INDEX('자료_한국심리'!$B$3:$B$4002,MATCH(A290,$U$19:$U$4018,0)))</f>
        <v/>
      </c>
      <c r="C290" s="22">
        <f>IF(A290="","",B290/AVERAGE(B166:B290)-1)</f>
        <v/>
      </c>
      <c r="D290" s="29">
        <f>IF(A290="","",IFERROR(INDEX('자료_한국심리'!$E$3:$E$4002,MATCH(A290,$V$19:$V$4018,0)),D289))</f>
        <v/>
      </c>
      <c r="E290" s="30">
        <f>IF(A290="","",IFERROR(INDEX('자료_한국심리'!$H$3:$H$4002,MATCH(A290,$W$19:$W$4018,0)),E289))</f>
        <v/>
      </c>
      <c r="F290" s="30">
        <f>IF(A290="","",IFERROR(INDEX('자료_한국심리'!$K$3:$K$4002,MATCH(A290,$X$19:$X$4018,0)),F289))</f>
        <v/>
      </c>
      <c r="G290" s="30">
        <f>IF(AND(ISNUMBER(E290),ISNUMBER(F290)),ROUND(E290-F290,6),"")</f>
        <v/>
      </c>
      <c r="H290" s="25">
        <f>IF(A290="","",IFERROR(INDEX('자료_한국심리'!$N$3:$N$4002,MATCH(A290,$Y$19:$Y$4018,0)),H289))</f>
        <v/>
      </c>
      <c r="I290" s="31">
        <f>IF(AND(ISNUMBER(H290),ISNUMBER(H270)),IF(H270&gt;0,H290/H270-1,""),"")</f>
        <v/>
      </c>
      <c r="J290">
        <f>IF(A290="",0,IF(A290&gt;$B$5,1,0))</f>
        <v/>
      </c>
      <c r="K290" s="29">
        <f>IF(AND(J290=1,ISNUMBER(D290)),D290,"")</f>
        <v/>
      </c>
      <c r="L290" s="30">
        <f>IF(AND(J290=1,ISNUMBER(G290)),G290,"")</f>
        <v/>
      </c>
      <c r="M290" s="22">
        <f>IF(AND(J290=1,ISNUMBER(C290)),C290,"")</f>
        <v/>
      </c>
      <c r="N290" s="31">
        <f>IF(AND(J290=1,ISNUMBER(I290)),I290,"")</f>
        <v/>
      </c>
      <c r="O290" s="11">
        <f>IF(K290="","",100-IF($G$13=1,50,(_xlfn.RANK.AVG(K290,$K$19:$K$1518,1)-1)/($G$13-1)*100))</f>
        <v/>
      </c>
      <c r="P290" s="11">
        <f>IF(L290="","",100-IF($G$14=1,50,(_xlfn.RANK.AVG(L290,$L$19:$L$1518,1)-1)/($G$14-1)*100))</f>
        <v/>
      </c>
      <c r="Q290" s="11">
        <f>IF(M290="","",IF($G$15=1,50,(_xlfn.RANK.AVG(M290,$M$19:$M$1518,1)-1)/($G$15-1)*100))</f>
        <v/>
      </c>
      <c r="R290" s="11">
        <f>IF(N290="","",IF($G$16=1,50,(_xlfn.RANK.AVG(N290,$N$19:$N$1518,1)-1)/($G$16-1)*100))</f>
        <v/>
      </c>
      <c r="S290" s="11">
        <f>IF(COUNT(O290:R290)=4,ROUND(AVERAGE(O290:R290),6),"")</f>
        <v/>
      </c>
      <c r="U290">
        <f>IF(AND(ISNUMBER('자료_한국심리'!$A274),ISNUMBER('자료_한국심리'!$B274)),'자료_한국심리'!$A274,"")</f>
        <v/>
      </c>
      <c r="V290">
        <f>IF(AND(ISNUMBER('자료_한국심리'!$D274),ISNUMBER('자료_한국심리'!$E274)),'자료_한국심리'!$D274,"")</f>
        <v/>
      </c>
      <c r="W290">
        <f>IF(AND(ISNUMBER('자료_한국심리'!$G274),ISNUMBER('자료_한국심리'!$H274)),'자료_한국심리'!$G274,"")</f>
        <v/>
      </c>
      <c r="X290">
        <f>IF(AND(ISNUMBER('자료_한국심리'!$J274),ISNUMBER('자료_한국심리'!$K274)),'자료_한국심리'!$J274,"")</f>
        <v/>
      </c>
      <c r="Y290">
        <f>IF(AND(ISNUMBER('자료_한국심리'!$M274),ISNUMBER('자료_한국심리'!$N274)),'자료_한국심리'!$M274,"")</f>
        <v/>
      </c>
    </row>
    <row r="291">
      <c r="A291" s="10">
        <f>IF(273&gt;$E$5,"",SMALL($U$19:$U$4018,$E$6+273))</f>
        <v/>
      </c>
      <c r="B291" s="29">
        <f>IF(A291="","",INDEX('자료_한국심리'!$B$3:$B$4002,MATCH(A291,$U$19:$U$4018,0)))</f>
        <v/>
      </c>
      <c r="C291" s="22">
        <f>IF(A291="","",B291/AVERAGE(B167:B291)-1)</f>
        <v/>
      </c>
      <c r="D291" s="29">
        <f>IF(A291="","",IFERROR(INDEX('자료_한국심리'!$E$3:$E$4002,MATCH(A291,$V$19:$V$4018,0)),D290))</f>
        <v/>
      </c>
      <c r="E291" s="30">
        <f>IF(A291="","",IFERROR(INDEX('자료_한국심리'!$H$3:$H$4002,MATCH(A291,$W$19:$W$4018,0)),E290))</f>
        <v/>
      </c>
      <c r="F291" s="30">
        <f>IF(A291="","",IFERROR(INDEX('자료_한국심리'!$K$3:$K$4002,MATCH(A291,$X$19:$X$4018,0)),F290))</f>
        <v/>
      </c>
      <c r="G291" s="30">
        <f>IF(AND(ISNUMBER(E291),ISNUMBER(F291)),ROUND(E291-F291,6),"")</f>
        <v/>
      </c>
      <c r="H291" s="25">
        <f>IF(A291="","",IFERROR(INDEX('자료_한국심리'!$N$3:$N$4002,MATCH(A291,$Y$19:$Y$4018,0)),H290))</f>
        <v/>
      </c>
      <c r="I291" s="31">
        <f>IF(AND(ISNUMBER(H291),ISNUMBER(H271)),IF(H271&gt;0,H291/H271-1,""),"")</f>
        <v/>
      </c>
      <c r="J291">
        <f>IF(A291="",0,IF(A291&gt;$B$5,1,0))</f>
        <v/>
      </c>
      <c r="K291" s="29">
        <f>IF(AND(J291=1,ISNUMBER(D291)),D291,"")</f>
        <v/>
      </c>
      <c r="L291" s="30">
        <f>IF(AND(J291=1,ISNUMBER(G291)),G291,"")</f>
        <v/>
      </c>
      <c r="M291" s="22">
        <f>IF(AND(J291=1,ISNUMBER(C291)),C291,"")</f>
        <v/>
      </c>
      <c r="N291" s="31">
        <f>IF(AND(J291=1,ISNUMBER(I291)),I291,"")</f>
        <v/>
      </c>
      <c r="O291" s="11">
        <f>IF(K291="","",100-IF($G$13=1,50,(_xlfn.RANK.AVG(K291,$K$19:$K$1518,1)-1)/($G$13-1)*100))</f>
        <v/>
      </c>
      <c r="P291" s="11">
        <f>IF(L291="","",100-IF($G$14=1,50,(_xlfn.RANK.AVG(L291,$L$19:$L$1518,1)-1)/($G$14-1)*100))</f>
        <v/>
      </c>
      <c r="Q291" s="11">
        <f>IF(M291="","",IF($G$15=1,50,(_xlfn.RANK.AVG(M291,$M$19:$M$1518,1)-1)/($G$15-1)*100))</f>
        <v/>
      </c>
      <c r="R291" s="11">
        <f>IF(N291="","",IF($G$16=1,50,(_xlfn.RANK.AVG(N291,$N$19:$N$1518,1)-1)/($G$16-1)*100))</f>
        <v/>
      </c>
      <c r="S291" s="11">
        <f>IF(COUNT(O291:R291)=4,ROUND(AVERAGE(O291:R291),6),"")</f>
        <v/>
      </c>
      <c r="U291">
        <f>IF(AND(ISNUMBER('자료_한국심리'!$A275),ISNUMBER('자료_한국심리'!$B275)),'자료_한국심리'!$A275,"")</f>
        <v/>
      </c>
      <c r="V291">
        <f>IF(AND(ISNUMBER('자료_한국심리'!$D275),ISNUMBER('자료_한국심리'!$E275)),'자료_한국심리'!$D275,"")</f>
        <v/>
      </c>
      <c r="W291">
        <f>IF(AND(ISNUMBER('자료_한국심리'!$G275),ISNUMBER('자료_한국심리'!$H275)),'자료_한국심리'!$G275,"")</f>
        <v/>
      </c>
      <c r="X291">
        <f>IF(AND(ISNUMBER('자료_한국심리'!$J275),ISNUMBER('자료_한국심리'!$K275)),'자료_한국심리'!$J275,"")</f>
        <v/>
      </c>
      <c r="Y291">
        <f>IF(AND(ISNUMBER('자료_한국심리'!$M275),ISNUMBER('자료_한국심리'!$N275)),'자료_한국심리'!$M275,"")</f>
        <v/>
      </c>
    </row>
    <row r="292">
      <c r="A292" s="10">
        <f>IF(274&gt;$E$5,"",SMALL($U$19:$U$4018,$E$6+274))</f>
        <v/>
      </c>
      <c r="B292" s="29">
        <f>IF(A292="","",INDEX('자료_한국심리'!$B$3:$B$4002,MATCH(A292,$U$19:$U$4018,0)))</f>
        <v/>
      </c>
      <c r="C292" s="22">
        <f>IF(A292="","",B292/AVERAGE(B168:B292)-1)</f>
        <v/>
      </c>
      <c r="D292" s="29">
        <f>IF(A292="","",IFERROR(INDEX('자료_한국심리'!$E$3:$E$4002,MATCH(A292,$V$19:$V$4018,0)),D291))</f>
        <v/>
      </c>
      <c r="E292" s="30">
        <f>IF(A292="","",IFERROR(INDEX('자료_한국심리'!$H$3:$H$4002,MATCH(A292,$W$19:$W$4018,0)),E291))</f>
        <v/>
      </c>
      <c r="F292" s="30">
        <f>IF(A292="","",IFERROR(INDEX('자료_한국심리'!$K$3:$K$4002,MATCH(A292,$X$19:$X$4018,0)),F291))</f>
        <v/>
      </c>
      <c r="G292" s="30">
        <f>IF(AND(ISNUMBER(E292),ISNUMBER(F292)),ROUND(E292-F292,6),"")</f>
        <v/>
      </c>
      <c r="H292" s="25">
        <f>IF(A292="","",IFERROR(INDEX('자료_한국심리'!$N$3:$N$4002,MATCH(A292,$Y$19:$Y$4018,0)),H291))</f>
        <v/>
      </c>
      <c r="I292" s="31">
        <f>IF(AND(ISNUMBER(H292),ISNUMBER(H272)),IF(H272&gt;0,H292/H272-1,""),"")</f>
        <v/>
      </c>
      <c r="J292">
        <f>IF(A292="",0,IF(A292&gt;$B$5,1,0))</f>
        <v/>
      </c>
      <c r="K292" s="29">
        <f>IF(AND(J292=1,ISNUMBER(D292)),D292,"")</f>
        <v/>
      </c>
      <c r="L292" s="30">
        <f>IF(AND(J292=1,ISNUMBER(G292)),G292,"")</f>
        <v/>
      </c>
      <c r="M292" s="22">
        <f>IF(AND(J292=1,ISNUMBER(C292)),C292,"")</f>
        <v/>
      </c>
      <c r="N292" s="31">
        <f>IF(AND(J292=1,ISNUMBER(I292)),I292,"")</f>
        <v/>
      </c>
      <c r="O292" s="11">
        <f>IF(K292="","",100-IF($G$13=1,50,(_xlfn.RANK.AVG(K292,$K$19:$K$1518,1)-1)/($G$13-1)*100))</f>
        <v/>
      </c>
      <c r="P292" s="11">
        <f>IF(L292="","",100-IF($G$14=1,50,(_xlfn.RANK.AVG(L292,$L$19:$L$1518,1)-1)/($G$14-1)*100))</f>
        <v/>
      </c>
      <c r="Q292" s="11">
        <f>IF(M292="","",IF($G$15=1,50,(_xlfn.RANK.AVG(M292,$M$19:$M$1518,1)-1)/($G$15-1)*100))</f>
        <v/>
      </c>
      <c r="R292" s="11">
        <f>IF(N292="","",IF($G$16=1,50,(_xlfn.RANK.AVG(N292,$N$19:$N$1518,1)-1)/($G$16-1)*100))</f>
        <v/>
      </c>
      <c r="S292" s="11">
        <f>IF(COUNT(O292:R292)=4,ROUND(AVERAGE(O292:R292),6),"")</f>
        <v/>
      </c>
      <c r="U292">
        <f>IF(AND(ISNUMBER('자료_한국심리'!$A276),ISNUMBER('자료_한국심리'!$B276)),'자료_한국심리'!$A276,"")</f>
        <v/>
      </c>
      <c r="V292">
        <f>IF(AND(ISNUMBER('자료_한국심리'!$D276),ISNUMBER('자료_한국심리'!$E276)),'자료_한국심리'!$D276,"")</f>
        <v/>
      </c>
      <c r="W292">
        <f>IF(AND(ISNUMBER('자료_한국심리'!$G276),ISNUMBER('자료_한국심리'!$H276)),'자료_한국심리'!$G276,"")</f>
        <v/>
      </c>
      <c r="X292">
        <f>IF(AND(ISNUMBER('자료_한국심리'!$J276),ISNUMBER('자료_한국심리'!$K276)),'자료_한국심리'!$J276,"")</f>
        <v/>
      </c>
      <c r="Y292">
        <f>IF(AND(ISNUMBER('자료_한국심리'!$M276),ISNUMBER('자료_한국심리'!$N276)),'자료_한국심리'!$M276,"")</f>
        <v/>
      </c>
    </row>
    <row r="293">
      <c r="A293" s="10">
        <f>IF(275&gt;$E$5,"",SMALL($U$19:$U$4018,$E$6+275))</f>
        <v/>
      </c>
      <c r="B293" s="29">
        <f>IF(A293="","",INDEX('자료_한국심리'!$B$3:$B$4002,MATCH(A293,$U$19:$U$4018,0)))</f>
        <v/>
      </c>
      <c r="C293" s="22">
        <f>IF(A293="","",B293/AVERAGE(B169:B293)-1)</f>
        <v/>
      </c>
      <c r="D293" s="29">
        <f>IF(A293="","",IFERROR(INDEX('자료_한국심리'!$E$3:$E$4002,MATCH(A293,$V$19:$V$4018,0)),D292))</f>
        <v/>
      </c>
      <c r="E293" s="30">
        <f>IF(A293="","",IFERROR(INDEX('자료_한국심리'!$H$3:$H$4002,MATCH(A293,$W$19:$W$4018,0)),E292))</f>
        <v/>
      </c>
      <c r="F293" s="30">
        <f>IF(A293="","",IFERROR(INDEX('자료_한국심리'!$K$3:$K$4002,MATCH(A293,$X$19:$X$4018,0)),F292))</f>
        <v/>
      </c>
      <c r="G293" s="30">
        <f>IF(AND(ISNUMBER(E293),ISNUMBER(F293)),ROUND(E293-F293,6),"")</f>
        <v/>
      </c>
      <c r="H293" s="25">
        <f>IF(A293="","",IFERROR(INDEX('자료_한국심리'!$N$3:$N$4002,MATCH(A293,$Y$19:$Y$4018,0)),H292))</f>
        <v/>
      </c>
      <c r="I293" s="31">
        <f>IF(AND(ISNUMBER(H293),ISNUMBER(H273)),IF(H273&gt;0,H293/H273-1,""),"")</f>
        <v/>
      </c>
      <c r="J293">
        <f>IF(A293="",0,IF(A293&gt;$B$5,1,0))</f>
        <v/>
      </c>
      <c r="K293" s="29">
        <f>IF(AND(J293=1,ISNUMBER(D293)),D293,"")</f>
        <v/>
      </c>
      <c r="L293" s="30">
        <f>IF(AND(J293=1,ISNUMBER(G293)),G293,"")</f>
        <v/>
      </c>
      <c r="M293" s="22">
        <f>IF(AND(J293=1,ISNUMBER(C293)),C293,"")</f>
        <v/>
      </c>
      <c r="N293" s="31">
        <f>IF(AND(J293=1,ISNUMBER(I293)),I293,"")</f>
        <v/>
      </c>
      <c r="O293" s="11">
        <f>IF(K293="","",100-IF($G$13=1,50,(_xlfn.RANK.AVG(K293,$K$19:$K$1518,1)-1)/($G$13-1)*100))</f>
        <v/>
      </c>
      <c r="P293" s="11">
        <f>IF(L293="","",100-IF($G$14=1,50,(_xlfn.RANK.AVG(L293,$L$19:$L$1518,1)-1)/($G$14-1)*100))</f>
        <v/>
      </c>
      <c r="Q293" s="11">
        <f>IF(M293="","",IF($G$15=1,50,(_xlfn.RANK.AVG(M293,$M$19:$M$1518,1)-1)/($G$15-1)*100))</f>
        <v/>
      </c>
      <c r="R293" s="11">
        <f>IF(N293="","",IF($G$16=1,50,(_xlfn.RANK.AVG(N293,$N$19:$N$1518,1)-1)/($G$16-1)*100))</f>
        <v/>
      </c>
      <c r="S293" s="11">
        <f>IF(COUNT(O293:R293)=4,ROUND(AVERAGE(O293:R293),6),"")</f>
        <v/>
      </c>
      <c r="U293">
        <f>IF(AND(ISNUMBER('자료_한국심리'!$A277),ISNUMBER('자료_한국심리'!$B277)),'자료_한국심리'!$A277,"")</f>
        <v/>
      </c>
      <c r="V293">
        <f>IF(AND(ISNUMBER('자료_한국심리'!$D277),ISNUMBER('자료_한국심리'!$E277)),'자료_한국심리'!$D277,"")</f>
        <v/>
      </c>
      <c r="W293">
        <f>IF(AND(ISNUMBER('자료_한국심리'!$G277),ISNUMBER('자료_한국심리'!$H277)),'자료_한국심리'!$G277,"")</f>
        <v/>
      </c>
      <c r="X293">
        <f>IF(AND(ISNUMBER('자료_한국심리'!$J277),ISNUMBER('자료_한국심리'!$K277)),'자료_한국심리'!$J277,"")</f>
        <v/>
      </c>
      <c r="Y293">
        <f>IF(AND(ISNUMBER('자료_한국심리'!$M277),ISNUMBER('자료_한국심리'!$N277)),'자료_한국심리'!$M277,"")</f>
        <v/>
      </c>
    </row>
    <row r="294">
      <c r="A294" s="10">
        <f>IF(276&gt;$E$5,"",SMALL($U$19:$U$4018,$E$6+276))</f>
        <v/>
      </c>
      <c r="B294" s="29">
        <f>IF(A294="","",INDEX('자료_한국심리'!$B$3:$B$4002,MATCH(A294,$U$19:$U$4018,0)))</f>
        <v/>
      </c>
      <c r="C294" s="22">
        <f>IF(A294="","",B294/AVERAGE(B170:B294)-1)</f>
        <v/>
      </c>
      <c r="D294" s="29">
        <f>IF(A294="","",IFERROR(INDEX('자료_한국심리'!$E$3:$E$4002,MATCH(A294,$V$19:$V$4018,0)),D293))</f>
        <v/>
      </c>
      <c r="E294" s="30">
        <f>IF(A294="","",IFERROR(INDEX('자료_한국심리'!$H$3:$H$4002,MATCH(A294,$W$19:$W$4018,0)),E293))</f>
        <v/>
      </c>
      <c r="F294" s="30">
        <f>IF(A294="","",IFERROR(INDEX('자료_한국심리'!$K$3:$K$4002,MATCH(A294,$X$19:$X$4018,0)),F293))</f>
        <v/>
      </c>
      <c r="G294" s="30">
        <f>IF(AND(ISNUMBER(E294),ISNUMBER(F294)),ROUND(E294-F294,6),"")</f>
        <v/>
      </c>
      <c r="H294" s="25">
        <f>IF(A294="","",IFERROR(INDEX('자료_한국심리'!$N$3:$N$4002,MATCH(A294,$Y$19:$Y$4018,0)),H293))</f>
        <v/>
      </c>
      <c r="I294" s="31">
        <f>IF(AND(ISNUMBER(H294),ISNUMBER(H274)),IF(H274&gt;0,H294/H274-1,""),"")</f>
        <v/>
      </c>
      <c r="J294">
        <f>IF(A294="",0,IF(A294&gt;$B$5,1,0))</f>
        <v/>
      </c>
      <c r="K294" s="29">
        <f>IF(AND(J294=1,ISNUMBER(D294)),D294,"")</f>
        <v/>
      </c>
      <c r="L294" s="30">
        <f>IF(AND(J294=1,ISNUMBER(G294)),G294,"")</f>
        <v/>
      </c>
      <c r="M294" s="22">
        <f>IF(AND(J294=1,ISNUMBER(C294)),C294,"")</f>
        <v/>
      </c>
      <c r="N294" s="31">
        <f>IF(AND(J294=1,ISNUMBER(I294)),I294,"")</f>
        <v/>
      </c>
      <c r="O294" s="11">
        <f>IF(K294="","",100-IF($G$13=1,50,(_xlfn.RANK.AVG(K294,$K$19:$K$1518,1)-1)/($G$13-1)*100))</f>
        <v/>
      </c>
      <c r="P294" s="11">
        <f>IF(L294="","",100-IF($G$14=1,50,(_xlfn.RANK.AVG(L294,$L$19:$L$1518,1)-1)/($G$14-1)*100))</f>
        <v/>
      </c>
      <c r="Q294" s="11">
        <f>IF(M294="","",IF($G$15=1,50,(_xlfn.RANK.AVG(M294,$M$19:$M$1518,1)-1)/($G$15-1)*100))</f>
        <v/>
      </c>
      <c r="R294" s="11">
        <f>IF(N294="","",IF($G$16=1,50,(_xlfn.RANK.AVG(N294,$N$19:$N$1518,1)-1)/($G$16-1)*100))</f>
        <v/>
      </c>
      <c r="S294" s="11">
        <f>IF(COUNT(O294:R294)=4,ROUND(AVERAGE(O294:R294),6),"")</f>
        <v/>
      </c>
      <c r="U294">
        <f>IF(AND(ISNUMBER('자료_한국심리'!$A278),ISNUMBER('자료_한국심리'!$B278)),'자료_한국심리'!$A278,"")</f>
        <v/>
      </c>
      <c r="V294">
        <f>IF(AND(ISNUMBER('자료_한국심리'!$D278),ISNUMBER('자료_한국심리'!$E278)),'자료_한국심리'!$D278,"")</f>
        <v/>
      </c>
      <c r="W294">
        <f>IF(AND(ISNUMBER('자료_한국심리'!$G278),ISNUMBER('자료_한국심리'!$H278)),'자료_한국심리'!$G278,"")</f>
        <v/>
      </c>
      <c r="X294">
        <f>IF(AND(ISNUMBER('자료_한국심리'!$J278),ISNUMBER('자료_한국심리'!$K278)),'자료_한국심리'!$J278,"")</f>
        <v/>
      </c>
      <c r="Y294">
        <f>IF(AND(ISNUMBER('자료_한국심리'!$M278),ISNUMBER('자료_한국심리'!$N278)),'자료_한국심리'!$M278,"")</f>
        <v/>
      </c>
    </row>
    <row r="295">
      <c r="A295" s="10">
        <f>IF(277&gt;$E$5,"",SMALL($U$19:$U$4018,$E$6+277))</f>
        <v/>
      </c>
      <c r="B295" s="29">
        <f>IF(A295="","",INDEX('자료_한국심리'!$B$3:$B$4002,MATCH(A295,$U$19:$U$4018,0)))</f>
        <v/>
      </c>
      <c r="C295" s="22">
        <f>IF(A295="","",B295/AVERAGE(B171:B295)-1)</f>
        <v/>
      </c>
      <c r="D295" s="29">
        <f>IF(A295="","",IFERROR(INDEX('자료_한국심리'!$E$3:$E$4002,MATCH(A295,$V$19:$V$4018,0)),D294))</f>
        <v/>
      </c>
      <c r="E295" s="30">
        <f>IF(A295="","",IFERROR(INDEX('자료_한국심리'!$H$3:$H$4002,MATCH(A295,$W$19:$W$4018,0)),E294))</f>
        <v/>
      </c>
      <c r="F295" s="30">
        <f>IF(A295="","",IFERROR(INDEX('자료_한국심리'!$K$3:$K$4002,MATCH(A295,$X$19:$X$4018,0)),F294))</f>
        <v/>
      </c>
      <c r="G295" s="30">
        <f>IF(AND(ISNUMBER(E295),ISNUMBER(F295)),ROUND(E295-F295,6),"")</f>
        <v/>
      </c>
      <c r="H295" s="25">
        <f>IF(A295="","",IFERROR(INDEX('자료_한국심리'!$N$3:$N$4002,MATCH(A295,$Y$19:$Y$4018,0)),H294))</f>
        <v/>
      </c>
      <c r="I295" s="31">
        <f>IF(AND(ISNUMBER(H295),ISNUMBER(H275)),IF(H275&gt;0,H295/H275-1,""),"")</f>
        <v/>
      </c>
      <c r="J295">
        <f>IF(A295="",0,IF(A295&gt;$B$5,1,0))</f>
        <v/>
      </c>
      <c r="K295" s="29">
        <f>IF(AND(J295=1,ISNUMBER(D295)),D295,"")</f>
        <v/>
      </c>
      <c r="L295" s="30">
        <f>IF(AND(J295=1,ISNUMBER(G295)),G295,"")</f>
        <v/>
      </c>
      <c r="M295" s="22">
        <f>IF(AND(J295=1,ISNUMBER(C295)),C295,"")</f>
        <v/>
      </c>
      <c r="N295" s="31">
        <f>IF(AND(J295=1,ISNUMBER(I295)),I295,"")</f>
        <v/>
      </c>
      <c r="O295" s="11">
        <f>IF(K295="","",100-IF($G$13=1,50,(_xlfn.RANK.AVG(K295,$K$19:$K$1518,1)-1)/($G$13-1)*100))</f>
        <v/>
      </c>
      <c r="P295" s="11">
        <f>IF(L295="","",100-IF($G$14=1,50,(_xlfn.RANK.AVG(L295,$L$19:$L$1518,1)-1)/($G$14-1)*100))</f>
        <v/>
      </c>
      <c r="Q295" s="11">
        <f>IF(M295="","",IF($G$15=1,50,(_xlfn.RANK.AVG(M295,$M$19:$M$1518,1)-1)/($G$15-1)*100))</f>
        <v/>
      </c>
      <c r="R295" s="11">
        <f>IF(N295="","",IF($G$16=1,50,(_xlfn.RANK.AVG(N295,$N$19:$N$1518,1)-1)/($G$16-1)*100))</f>
        <v/>
      </c>
      <c r="S295" s="11">
        <f>IF(COUNT(O295:R295)=4,ROUND(AVERAGE(O295:R295),6),"")</f>
        <v/>
      </c>
      <c r="U295">
        <f>IF(AND(ISNUMBER('자료_한국심리'!$A279),ISNUMBER('자료_한국심리'!$B279)),'자료_한국심리'!$A279,"")</f>
        <v/>
      </c>
      <c r="V295">
        <f>IF(AND(ISNUMBER('자료_한국심리'!$D279),ISNUMBER('자료_한국심리'!$E279)),'자료_한국심리'!$D279,"")</f>
        <v/>
      </c>
      <c r="W295">
        <f>IF(AND(ISNUMBER('자료_한국심리'!$G279),ISNUMBER('자료_한국심리'!$H279)),'자료_한국심리'!$G279,"")</f>
        <v/>
      </c>
      <c r="X295">
        <f>IF(AND(ISNUMBER('자료_한국심리'!$J279),ISNUMBER('자료_한국심리'!$K279)),'자료_한국심리'!$J279,"")</f>
        <v/>
      </c>
      <c r="Y295">
        <f>IF(AND(ISNUMBER('자료_한국심리'!$M279),ISNUMBER('자료_한국심리'!$N279)),'자료_한국심리'!$M279,"")</f>
        <v/>
      </c>
    </row>
    <row r="296">
      <c r="A296" s="10">
        <f>IF(278&gt;$E$5,"",SMALL($U$19:$U$4018,$E$6+278))</f>
        <v/>
      </c>
      <c r="B296" s="29">
        <f>IF(A296="","",INDEX('자료_한국심리'!$B$3:$B$4002,MATCH(A296,$U$19:$U$4018,0)))</f>
        <v/>
      </c>
      <c r="C296" s="22">
        <f>IF(A296="","",B296/AVERAGE(B172:B296)-1)</f>
        <v/>
      </c>
      <c r="D296" s="29">
        <f>IF(A296="","",IFERROR(INDEX('자료_한국심리'!$E$3:$E$4002,MATCH(A296,$V$19:$V$4018,0)),D295))</f>
        <v/>
      </c>
      <c r="E296" s="30">
        <f>IF(A296="","",IFERROR(INDEX('자료_한국심리'!$H$3:$H$4002,MATCH(A296,$W$19:$W$4018,0)),E295))</f>
        <v/>
      </c>
      <c r="F296" s="30">
        <f>IF(A296="","",IFERROR(INDEX('자료_한국심리'!$K$3:$K$4002,MATCH(A296,$X$19:$X$4018,0)),F295))</f>
        <v/>
      </c>
      <c r="G296" s="30">
        <f>IF(AND(ISNUMBER(E296),ISNUMBER(F296)),ROUND(E296-F296,6),"")</f>
        <v/>
      </c>
      <c r="H296" s="25">
        <f>IF(A296="","",IFERROR(INDEX('자료_한국심리'!$N$3:$N$4002,MATCH(A296,$Y$19:$Y$4018,0)),H295))</f>
        <v/>
      </c>
      <c r="I296" s="31">
        <f>IF(AND(ISNUMBER(H296),ISNUMBER(H276)),IF(H276&gt;0,H296/H276-1,""),"")</f>
        <v/>
      </c>
      <c r="J296">
        <f>IF(A296="",0,IF(A296&gt;$B$5,1,0))</f>
        <v/>
      </c>
      <c r="K296" s="29">
        <f>IF(AND(J296=1,ISNUMBER(D296)),D296,"")</f>
        <v/>
      </c>
      <c r="L296" s="30">
        <f>IF(AND(J296=1,ISNUMBER(G296)),G296,"")</f>
        <v/>
      </c>
      <c r="M296" s="22">
        <f>IF(AND(J296=1,ISNUMBER(C296)),C296,"")</f>
        <v/>
      </c>
      <c r="N296" s="31">
        <f>IF(AND(J296=1,ISNUMBER(I296)),I296,"")</f>
        <v/>
      </c>
      <c r="O296" s="11">
        <f>IF(K296="","",100-IF($G$13=1,50,(_xlfn.RANK.AVG(K296,$K$19:$K$1518,1)-1)/($G$13-1)*100))</f>
        <v/>
      </c>
      <c r="P296" s="11">
        <f>IF(L296="","",100-IF($G$14=1,50,(_xlfn.RANK.AVG(L296,$L$19:$L$1518,1)-1)/($G$14-1)*100))</f>
        <v/>
      </c>
      <c r="Q296" s="11">
        <f>IF(M296="","",IF($G$15=1,50,(_xlfn.RANK.AVG(M296,$M$19:$M$1518,1)-1)/($G$15-1)*100))</f>
        <v/>
      </c>
      <c r="R296" s="11">
        <f>IF(N296="","",IF($G$16=1,50,(_xlfn.RANK.AVG(N296,$N$19:$N$1518,1)-1)/($G$16-1)*100))</f>
        <v/>
      </c>
      <c r="S296" s="11">
        <f>IF(COUNT(O296:R296)=4,ROUND(AVERAGE(O296:R296),6),"")</f>
        <v/>
      </c>
      <c r="U296">
        <f>IF(AND(ISNUMBER('자료_한국심리'!$A280),ISNUMBER('자료_한국심리'!$B280)),'자료_한국심리'!$A280,"")</f>
        <v/>
      </c>
      <c r="V296">
        <f>IF(AND(ISNUMBER('자료_한국심리'!$D280),ISNUMBER('자료_한국심리'!$E280)),'자료_한국심리'!$D280,"")</f>
        <v/>
      </c>
      <c r="W296">
        <f>IF(AND(ISNUMBER('자료_한국심리'!$G280),ISNUMBER('자료_한국심리'!$H280)),'자료_한국심리'!$G280,"")</f>
        <v/>
      </c>
      <c r="X296">
        <f>IF(AND(ISNUMBER('자료_한국심리'!$J280),ISNUMBER('자료_한국심리'!$K280)),'자료_한국심리'!$J280,"")</f>
        <v/>
      </c>
      <c r="Y296">
        <f>IF(AND(ISNUMBER('자료_한국심리'!$M280),ISNUMBER('자료_한국심리'!$N280)),'자료_한국심리'!$M280,"")</f>
        <v/>
      </c>
    </row>
    <row r="297">
      <c r="A297" s="10">
        <f>IF(279&gt;$E$5,"",SMALL($U$19:$U$4018,$E$6+279))</f>
        <v/>
      </c>
      <c r="B297" s="29">
        <f>IF(A297="","",INDEX('자료_한국심리'!$B$3:$B$4002,MATCH(A297,$U$19:$U$4018,0)))</f>
        <v/>
      </c>
      <c r="C297" s="22">
        <f>IF(A297="","",B297/AVERAGE(B173:B297)-1)</f>
        <v/>
      </c>
      <c r="D297" s="29">
        <f>IF(A297="","",IFERROR(INDEX('자료_한국심리'!$E$3:$E$4002,MATCH(A297,$V$19:$V$4018,0)),D296))</f>
        <v/>
      </c>
      <c r="E297" s="30">
        <f>IF(A297="","",IFERROR(INDEX('자료_한국심리'!$H$3:$H$4002,MATCH(A297,$W$19:$W$4018,0)),E296))</f>
        <v/>
      </c>
      <c r="F297" s="30">
        <f>IF(A297="","",IFERROR(INDEX('자료_한국심리'!$K$3:$K$4002,MATCH(A297,$X$19:$X$4018,0)),F296))</f>
        <v/>
      </c>
      <c r="G297" s="30">
        <f>IF(AND(ISNUMBER(E297),ISNUMBER(F297)),ROUND(E297-F297,6),"")</f>
        <v/>
      </c>
      <c r="H297" s="25">
        <f>IF(A297="","",IFERROR(INDEX('자료_한국심리'!$N$3:$N$4002,MATCH(A297,$Y$19:$Y$4018,0)),H296))</f>
        <v/>
      </c>
      <c r="I297" s="31">
        <f>IF(AND(ISNUMBER(H297),ISNUMBER(H277)),IF(H277&gt;0,H297/H277-1,""),"")</f>
        <v/>
      </c>
      <c r="J297">
        <f>IF(A297="",0,IF(A297&gt;$B$5,1,0))</f>
        <v/>
      </c>
      <c r="K297" s="29">
        <f>IF(AND(J297=1,ISNUMBER(D297)),D297,"")</f>
        <v/>
      </c>
      <c r="L297" s="30">
        <f>IF(AND(J297=1,ISNUMBER(G297)),G297,"")</f>
        <v/>
      </c>
      <c r="M297" s="22">
        <f>IF(AND(J297=1,ISNUMBER(C297)),C297,"")</f>
        <v/>
      </c>
      <c r="N297" s="31">
        <f>IF(AND(J297=1,ISNUMBER(I297)),I297,"")</f>
        <v/>
      </c>
      <c r="O297" s="11">
        <f>IF(K297="","",100-IF($G$13=1,50,(_xlfn.RANK.AVG(K297,$K$19:$K$1518,1)-1)/($G$13-1)*100))</f>
        <v/>
      </c>
      <c r="P297" s="11">
        <f>IF(L297="","",100-IF($G$14=1,50,(_xlfn.RANK.AVG(L297,$L$19:$L$1518,1)-1)/($G$14-1)*100))</f>
        <v/>
      </c>
      <c r="Q297" s="11">
        <f>IF(M297="","",IF($G$15=1,50,(_xlfn.RANK.AVG(M297,$M$19:$M$1518,1)-1)/($G$15-1)*100))</f>
        <v/>
      </c>
      <c r="R297" s="11">
        <f>IF(N297="","",IF($G$16=1,50,(_xlfn.RANK.AVG(N297,$N$19:$N$1518,1)-1)/($G$16-1)*100))</f>
        <v/>
      </c>
      <c r="S297" s="11">
        <f>IF(COUNT(O297:R297)=4,ROUND(AVERAGE(O297:R297),6),"")</f>
        <v/>
      </c>
      <c r="U297">
        <f>IF(AND(ISNUMBER('자료_한국심리'!$A281),ISNUMBER('자료_한국심리'!$B281)),'자료_한국심리'!$A281,"")</f>
        <v/>
      </c>
      <c r="V297">
        <f>IF(AND(ISNUMBER('자료_한국심리'!$D281),ISNUMBER('자료_한국심리'!$E281)),'자료_한국심리'!$D281,"")</f>
        <v/>
      </c>
      <c r="W297">
        <f>IF(AND(ISNUMBER('자료_한국심리'!$G281),ISNUMBER('자료_한국심리'!$H281)),'자료_한국심리'!$G281,"")</f>
        <v/>
      </c>
      <c r="X297">
        <f>IF(AND(ISNUMBER('자료_한국심리'!$J281),ISNUMBER('자료_한국심리'!$K281)),'자료_한국심리'!$J281,"")</f>
        <v/>
      </c>
      <c r="Y297">
        <f>IF(AND(ISNUMBER('자료_한국심리'!$M281),ISNUMBER('자료_한국심리'!$N281)),'자료_한국심리'!$M281,"")</f>
        <v/>
      </c>
    </row>
    <row r="298">
      <c r="A298" s="10">
        <f>IF(280&gt;$E$5,"",SMALL($U$19:$U$4018,$E$6+280))</f>
        <v/>
      </c>
      <c r="B298" s="29">
        <f>IF(A298="","",INDEX('자료_한국심리'!$B$3:$B$4002,MATCH(A298,$U$19:$U$4018,0)))</f>
        <v/>
      </c>
      <c r="C298" s="22">
        <f>IF(A298="","",B298/AVERAGE(B174:B298)-1)</f>
        <v/>
      </c>
      <c r="D298" s="29">
        <f>IF(A298="","",IFERROR(INDEX('자료_한국심리'!$E$3:$E$4002,MATCH(A298,$V$19:$V$4018,0)),D297))</f>
        <v/>
      </c>
      <c r="E298" s="30">
        <f>IF(A298="","",IFERROR(INDEX('자료_한국심리'!$H$3:$H$4002,MATCH(A298,$W$19:$W$4018,0)),E297))</f>
        <v/>
      </c>
      <c r="F298" s="30">
        <f>IF(A298="","",IFERROR(INDEX('자료_한국심리'!$K$3:$K$4002,MATCH(A298,$X$19:$X$4018,0)),F297))</f>
        <v/>
      </c>
      <c r="G298" s="30">
        <f>IF(AND(ISNUMBER(E298),ISNUMBER(F298)),ROUND(E298-F298,6),"")</f>
        <v/>
      </c>
      <c r="H298" s="25">
        <f>IF(A298="","",IFERROR(INDEX('자료_한국심리'!$N$3:$N$4002,MATCH(A298,$Y$19:$Y$4018,0)),H297))</f>
        <v/>
      </c>
      <c r="I298" s="31">
        <f>IF(AND(ISNUMBER(H298),ISNUMBER(H278)),IF(H278&gt;0,H298/H278-1,""),"")</f>
        <v/>
      </c>
      <c r="J298">
        <f>IF(A298="",0,IF(A298&gt;$B$5,1,0))</f>
        <v/>
      </c>
      <c r="K298" s="29">
        <f>IF(AND(J298=1,ISNUMBER(D298)),D298,"")</f>
        <v/>
      </c>
      <c r="L298" s="30">
        <f>IF(AND(J298=1,ISNUMBER(G298)),G298,"")</f>
        <v/>
      </c>
      <c r="M298" s="22">
        <f>IF(AND(J298=1,ISNUMBER(C298)),C298,"")</f>
        <v/>
      </c>
      <c r="N298" s="31">
        <f>IF(AND(J298=1,ISNUMBER(I298)),I298,"")</f>
        <v/>
      </c>
      <c r="O298" s="11">
        <f>IF(K298="","",100-IF($G$13=1,50,(_xlfn.RANK.AVG(K298,$K$19:$K$1518,1)-1)/($G$13-1)*100))</f>
        <v/>
      </c>
      <c r="P298" s="11">
        <f>IF(L298="","",100-IF($G$14=1,50,(_xlfn.RANK.AVG(L298,$L$19:$L$1518,1)-1)/($G$14-1)*100))</f>
        <v/>
      </c>
      <c r="Q298" s="11">
        <f>IF(M298="","",IF($G$15=1,50,(_xlfn.RANK.AVG(M298,$M$19:$M$1518,1)-1)/($G$15-1)*100))</f>
        <v/>
      </c>
      <c r="R298" s="11">
        <f>IF(N298="","",IF($G$16=1,50,(_xlfn.RANK.AVG(N298,$N$19:$N$1518,1)-1)/($G$16-1)*100))</f>
        <v/>
      </c>
      <c r="S298" s="11">
        <f>IF(COUNT(O298:R298)=4,ROUND(AVERAGE(O298:R298),6),"")</f>
        <v/>
      </c>
      <c r="U298">
        <f>IF(AND(ISNUMBER('자료_한국심리'!$A282),ISNUMBER('자료_한국심리'!$B282)),'자료_한국심리'!$A282,"")</f>
        <v/>
      </c>
      <c r="V298">
        <f>IF(AND(ISNUMBER('자료_한국심리'!$D282),ISNUMBER('자료_한국심리'!$E282)),'자료_한국심리'!$D282,"")</f>
        <v/>
      </c>
      <c r="W298">
        <f>IF(AND(ISNUMBER('자료_한국심리'!$G282),ISNUMBER('자료_한국심리'!$H282)),'자료_한국심리'!$G282,"")</f>
        <v/>
      </c>
      <c r="X298">
        <f>IF(AND(ISNUMBER('자료_한국심리'!$J282),ISNUMBER('자료_한국심리'!$K282)),'자료_한국심리'!$J282,"")</f>
        <v/>
      </c>
      <c r="Y298">
        <f>IF(AND(ISNUMBER('자료_한국심리'!$M282),ISNUMBER('자료_한국심리'!$N282)),'자료_한국심리'!$M282,"")</f>
        <v/>
      </c>
    </row>
    <row r="299">
      <c r="A299" s="10">
        <f>IF(281&gt;$E$5,"",SMALL($U$19:$U$4018,$E$6+281))</f>
        <v/>
      </c>
      <c r="B299" s="29">
        <f>IF(A299="","",INDEX('자료_한국심리'!$B$3:$B$4002,MATCH(A299,$U$19:$U$4018,0)))</f>
        <v/>
      </c>
      <c r="C299" s="22">
        <f>IF(A299="","",B299/AVERAGE(B175:B299)-1)</f>
        <v/>
      </c>
      <c r="D299" s="29">
        <f>IF(A299="","",IFERROR(INDEX('자료_한국심리'!$E$3:$E$4002,MATCH(A299,$V$19:$V$4018,0)),D298))</f>
        <v/>
      </c>
      <c r="E299" s="30">
        <f>IF(A299="","",IFERROR(INDEX('자료_한국심리'!$H$3:$H$4002,MATCH(A299,$W$19:$W$4018,0)),E298))</f>
        <v/>
      </c>
      <c r="F299" s="30">
        <f>IF(A299="","",IFERROR(INDEX('자료_한국심리'!$K$3:$K$4002,MATCH(A299,$X$19:$X$4018,0)),F298))</f>
        <v/>
      </c>
      <c r="G299" s="30">
        <f>IF(AND(ISNUMBER(E299),ISNUMBER(F299)),ROUND(E299-F299,6),"")</f>
        <v/>
      </c>
      <c r="H299" s="25">
        <f>IF(A299="","",IFERROR(INDEX('자료_한국심리'!$N$3:$N$4002,MATCH(A299,$Y$19:$Y$4018,0)),H298))</f>
        <v/>
      </c>
      <c r="I299" s="31">
        <f>IF(AND(ISNUMBER(H299),ISNUMBER(H279)),IF(H279&gt;0,H299/H279-1,""),"")</f>
        <v/>
      </c>
      <c r="J299">
        <f>IF(A299="",0,IF(A299&gt;$B$5,1,0))</f>
        <v/>
      </c>
      <c r="K299" s="29">
        <f>IF(AND(J299=1,ISNUMBER(D299)),D299,"")</f>
        <v/>
      </c>
      <c r="L299" s="30">
        <f>IF(AND(J299=1,ISNUMBER(G299)),G299,"")</f>
        <v/>
      </c>
      <c r="M299" s="22">
        <f>IF(AND(J299=1,ISNUMBER(C299)),C299,"")</f>
        <v/>
      </c>
      <c r="N299" s="31">
        <f>IF(AND(J299=1,ISNUMBER(I299)),I299,"")</f>
        <v/>
      </c>
      <c r="O299" s="11">
        <f>IF(K299="","",100-IF($G$13=1,50,(_xlfn.RANK.AVG(K299,$K$19:$K$1518,1)-1)/($G$13-1)*100))</f>
        <v/>
      </c>
      <c r="P299" s="11">
        <f>IF(L299="","",100-IF($G$14=1,50,(_xlfn.RANK.AVG(L299,$L$19:$L$1518,1)-1)/($G$14-1)*100))</f>
        <v/>
      </c>
      <c r="Q299" s="11">
        <f>IF(M299="","",IF($G$15=1,50,(_xlfn.RANK.AVG(M299,$M$19:$M$1518,1)-1)/($G$15-1)*100))</f>
        <v/>
      </c>
      <c r="R299" s="11">
        <f>IF(N299="","",IF($G$16=1,50,(_xlfn.RANK.AVG(N299,$N$19:$N$1518,1)-1)/($G$16-1)*100))</f>
        <v/>
      </c>
      <c r="S299" s="11">
        <f>IF(COUNT(O299:R299)=4,ROUND(AVERAGE(O299:R299),6),"")</f>
        <v/>
      </c>
      <c r="U299">
        <f>IF(AND(ISNUMBER('자료_한국심리'!$A283),ISNUMBER('자료_한국심리'!$B283)),'자료_한국심리'!$A283,"")</f>
        <v/>
      </c>
      <c r="V299">
        <f>IF(AND(ISNUMBER('자료_한국심리'!$D283),ISNUMBER('자료_한국심리'!$E283)),'자료_한국심리'!$D283,"")</f>
        <v/>
      </c>
      <c r="W299">
        <f>IF(AND(ISNUMBER('자료_한국심리'!$G283),ISNUMBER('자료_한국심리'!$H283)),'자료_한국심리'!$G283,"")</f>
        <v/>
      </c>
      <c r="X299">
        <f>IF(AND(ISNUMBER('자료_한국심리'!$J283),ISNUMBER('자료_한국심리'!$K283)),'자료_한국심리'!$J283,"")</f>
        <v/>
      </c>
      <c r="Y299">
        <f>IF(AND(ISNUMBER('자료_한국심리'!$M283),ISNUMBER('자료_한국심리'!$N283)),'자료_한국심리'!$M283,"")</f>
        <v/>
      </c>
    </row>
    <row r="300">
      <c r="A300" s="10">
        <f>IF(282&gt;$E$5,"",SMALL($U$19:$U$4018,$E$6+282))</f>
        <v/>
      </c>
      <c r="B300" s="29">
        <f>IF(A300="","",INDEX('자료_한국심리'!$B$3:$B$4002,MATCH(A300,$U$19:$U$4018,0)))</f>
        <v/>
      </c>
      <c r="C300" s="22">
        <f>IF(A300="","",B300/AVERAGE(B176:B300)-1)</f>
        <v/>
      </c>
      <c r="D300" s="29">
        <f>IF(A300="","",IFERROR(INDEX('자료_한국심리'!$E$3:$E$4002,MATCH(A300,$V$19:$V$4018,0)),D299))</f>
        <v/>
      </c>
      <c r="E300" s="30">
        <f>IF(A300="","",IFERROR(INDEX('자료_한국심리'!$H$3:$H$4002,MATCH(A300,$W$19:$W$4018,0)),E299))</f>
        <v/>
      </c>
      <c r="F300" s="30">
        <f>IF(A300="","",IFERROR(INDEX('자료_한국심리'!$K$3:$K$4002,MATCH(A300,$X$19:$X$4018,0)),F299))</f>
        <v/>
      </c>
      <c r="G300" s="30">
        <f>IF(AND(ISNUMBER(E300),ISNUMBER(F300)),ROUND(E300-F300,6),"")</f>
        <v/>
      </c>
      <c r="H300" s="25">
        <f>IF(A300="","",IFERROR(INDEX('자료_한국심리'!$N$3:$N$4002,MATCH(A300,$Y$19:$Y$4018,0)),H299))</f>
        <v/>
      </c>
      <c r="I300" s="31">
        <f>IF(AND(ISNUMBER(H300),ISNUMBER(H280)),IF(H280&gt;0,H300/H280-1,""),"")</f>
        <v/>
      </c>
      <c r="J300">
        <f>IF(A300="",0,IF(A300&gt;$B$5,1,0))</f>
        <v/>
      </c>
      <c r="K300" s="29">
        <f>IF(AND(J300=1,ISNUMBER(D300)),D300,"")</f>
        <v/>
      </c>
      <c r="L300" s="30">
        <f>IF(AND(J300=1,ISNUMBER(G300)),G300,"")</f>
        <v/>
      </c>
      <c r="M300" s="22">
        <f>IF(AND(J300=1,ISNUMBER(C300)),C300,"")</f>
        <v/>
      </c>
      <c r="N300" s="31">
        <f>IF(AND(J300=1,ISNUMBER(I300)),I300,"")</f>
        <v/>
      </c>
      <c r="O300" s="11">
        <f>IF(K300="","",100-IF($G$13=1,50,(_xlfn.RANK.AVG(K300,$K$19:$K$1518,1)-1)/($G$13-1)*100))</f>
        <v/>
      </c>
      <c r="P300" s="11">
        <f>IF(L300="","",100-IF($G$14=1,50,(_xlfn.RANK.AVG(L300,$L$19:$L$1518,1)-1)/($G$14-1)*100))</f>
        <v/>
      </c>
      <c r="Q300" s="11">
        <f>IF(M300="","",IF($G$15=1,50,(_xlfn.RANK.AVG(M300,$M$19:$M$1518,1)-1)/($G$15-1)*100))</f>
        <v/>
      </c>
      <c r="R300" s="11">
        <f>IF(N300="","",IF($G$16=1,50,(_xlfn.RANK.AVG(N300,$N$19:$N$1518,1)-1)/($G$16-1)*100))</f>
        <v/>
      </c>
      <c r="S300" s="11">
        <f>IF(COUNT(O300:R300)=4,ROUND(AVERAGE(O300:R300),6),"")</f>
        <v/>
      </c>
      <c r="U300">
        <f>IF(AND(ISNUMBER('자료_한국심리'!$A284),ISNUMBER('자료_한국심리'!$B284)),'자료_한국심리'!$A284,"")</f>
        <v/>
      </c>
      <c r="V300">
        <f>IF(AND(ISNUMBER('자료_한국심리'!$D284),ISNUMBER('자료_한국심리'!$E284)),'자료_한국심리'!$D284,"")</f>
        <v/>
      </c>
      <c r="W300">
        <f>IF(AND(ISNUMBER('자료_한국심리'!$G284),ISNUMBER('자료_한국심리'!$H284)),'자료_한국심리'!$G284,"")</f>
        <v/>
      </c>
      <c r="X300">
        <f>IF(AND(ISNUMBER('자료_한국심리'!$J284),ISNUMBER('자료_한국심리'!$K284)),'자료_한국심리'!$J284,"")</f>
        <v/>
      </c>
      <c r="Y300">
        <f>IF(AND(ISNUMBER('자료_한국심리'!$M284),ISNUMBER('자료_한국심리'!$N284)),'자료_한국심리'!$M284,"")</f>
        <v/>
      </c>
    </row>
    <row r="301">
      <c r="A301" s="10">
        <f>IF(283&gt;$E$5,"",SMALL($U$19:$U$4018,$E$6+283))</f>
        <v/>
      </c>
      <c r="B301" s="29">
        <f>IF(A301="","",INDEX('자료_한국심리'!$B$3:$B$4002,MATCH(A301,$U$19:$U$4018,0)))</f>
        <v/>
      </c>
      <c r="C301" s="22">
        <f>IF(A301="","",B301/AVERAGE(B177:B301)-1)</f>
        <v/>
      </c>
      <c r="D301" s="29">
        <f>IF(A301="","",IFERROR(INDEX('자료_한국심리'!$E$3:$E$4002,MATCH(A301,$V$19:$V$4018,0)),D300))</f>
        <v/>
      </c>
      <c r="E301" s="30">
        <f>IF(A301="","",IFERROR(INDEX('자료_한국심리'!$H$3:$H$4002,MATCH(A301,$W$19:$W$4018,0)),E300))</f>
        <v/>
      </c>
      <c r="F301" s="30">
        <f>IF(A301="","",IFERROR(INDEX('자료_한국심리'!$K$3:$K$4002,MATCH(A301,$X$19:$X$4018,0)),F300))</f>
        <v/>
      </c>
      <c r="G301" s="30">
        <f>IF(AND(ISNUMBER(E301),ISNUMBER(F301)),ROUND(E301-F301,6),"")</f>
        <v/>
      </c>
      <c r="H301" s="25">
        <f>IF(A301="","",IFERROR(INDEX('자료_한국심리'!$N$3:$N$4002,MATCH(A301,$Y$19:$Y$4018,0)),H300))</f>
        <v/>
      </c>
      <c r="I301" s="31">
        <f>IF(AND(ISNUMBER(H301),ISNUMBER(H281)),IF(H281&gt;0,H301/H281-1,""),"")</f>
        <v/>
      </c>
      <c r="J301">
        <f>IF(A301="",0,IF(A301&gt;$B$5,1,0))</f>
        <v/>
      </c>
      <c r="K301" s="29">
        <f>IF(AND(J301=1,ISNUMBER(D301)),D301,"")</f>
        <v/>
      </c>
      <c r="L301" s="30">
        <f>IF(AND(J301=1,ISNUMBER(G301)),G301,"")</f>
        <v/>
      </c>
      <c r="M301" s="22">
        <f>IF(AND(J301=1,ISNUMBER(C301)),C301,"")</f>
        <v/>
      </c>
      <c r="N301" s="31">
        <f>IF(AND(J301=1,ISNUMBER(I301)),I301,"")</f>
        <v/>
      </c>
      <c r="O301" s="11">
        <f>IF(K301="","",100-IF($G$13=1,50,(_xlfn.RANK.AVG(K301,$K$19:$K$1518,1)-1)/($G$13-1)*100))</f>
        <v/>
      </c>
      <c r="P301" s="11">
        <f>IF(L301="","",100-IF($G$14=1,50,(_xlfn.RANK.AVG(L301,$L$19:$L$1518,1)-1)/($G$14-1)*100))</f>
        <v/>
      </c>
      <c r="Q301" s="11">
        <f>IF(M301="","",IF($G$15=1,50,(_xlfn.RANK.AVG(M301,$M$19:$M$1518,1)-1)/($G$15-1)*100))</f>
        <v/>
      </c>
      <c r="R301" s="11">
        <f>IF(N301="","",IF($G$16=1,50,(_xlfn.RANK.AVG(N301,$N$19:$N$1518,1)-1)/($G$16-1)*100))</f>
        <v/>
      </c>
      <c r="S301" s="11">
        <f>IF(COUNT(O301:R301)=4,ROUND(AVERAGE(O301:R301),6),"")</f>
        <v/>
      </c>
      <c r="U301">
        <f>IF(AND(ISNUMBER('자료_한국심리'!$A285),ISNUMBER('자료_한국심리'!$B285)),'자료_한국심리'!$A285,"")</f>
        <v/>
      </c>
      <c r="V301">
        <f>IF(AND(ISNUMBER('자료_한국심리'!$D285),ISNUMBER('자료_한국심리'!$E285)),'자료_한국심리'!$D285,"")</f>
        <v/>
      </c>
      <c r="W301">
        <f>IF(AND(ISNUMBER('자료_한국심리'!$G285),ISNUMBER('자료_한국심리'!$H285)),'자료_한국심리'!$G285,"")</f>
        <v/>
      </c>
      <c r="X301">
        <f>IF(AND(ISNUMBER('자료_한국심리'!$J285),ISNUMBER('자료_한국심리'!$K285)),'자료_한국심리'!$J285,"")</f>
        <v/>
      </c>
      <c r="Y301">
        <f>IF(AND(ISNUMBER('자료_한국심리'!$M285),ISNUMBER('자료_한국심리'!$N285)),'자료_한국심리'!$M285,"")</f>
        <v/>
      </c>
    </row>
    <row r="302">
      <c r="A302" s="10">
        <f>IF(284&gt;$E$5,"",SMALL($U$19:$U$4018,$E$6+284))</f>
        <v/>
      </c>
      <c r="B302" s="29">
        <f>IF(A302="","",INDEX('자료_한국심리'!$B$3:$B$4002,MATCH(A302,$U$19:$U$4018,0)))</f>
        <v/>
      </c>
      <c r="C302" s="22">
        <f>IF(A302="","",B302/AVERAGE(B178:B302)-1)</f>
        <v/>
      </c>
      <c r="D302" s="29">
        <f>IF(A302="","",IFERROR(INDEX('자료_한국심리'!$E$3:$E$4002,MATCH(A302,$V$19:$V$4018,0)),D301))</f>
        <v/>
      </c>
      <c r="E302" s="30">
        <f>IF(A302="","",IFERROR(INDEX('자료_한국심리'!$H$3:$H$4002,MATCH(A302,$W$19:$W$4018,0)),E301))</f>
        <v/>
      </c>
      <c r="F302" s="30">
        <f>IF(A302="","",IFERROR(INDEX('자료_한국심리'!$K$3:$K$4002,MATCH(A302,$X$19:$X$4018,0)),F301))</f>
        <v/>
      </c>
      <c r="G302" s="30">
        <f>IF(AND(ISNUMBER(E302),ISNUMBER(F302)),ROUND(E302-F302,6),"")</f>
        <v/>
      </c>
      <c r="H302" s="25">
        <f>IF(A302="","",IFERROR(INDEX('자료_한국심리'!$N$3:$N$4002,MATCH(A302,$Y$19:$Y$4018,0)),H301))</f>
        <v/>
      </c>
      <c r="I302" s="31">
        <f>IF(AND(ISNUMBER(H302),ISNUMBER(H282)),IF(H282&gt;0,H302/H282-1,""),"")</f>
        <v/>
      </c>
      <c r="J302">
        <f>IF(A302="",0,IF(A302&gt;$B$5,1,0))</f>
        <v/>
      </c>
      <c r="K302" s="29">
        <f>IF(AND(J302=1,ISNUMBER(D302)),D302,"")</f>
        <v/>
      </c>
      <c r="L302" s="30">
        <f>IF(AND(J302=1,ISNUMBER(G302)),G302,"")</f>
        <v/>
      </c>
      <c r="M302" s="22">
        <f>IF(AND(J302=1,ISNUMBER(C302)),C302,"")</f>
        <v/>
      </c>
      <c r="N302" s="31">
        <f>IF(AND(J302=1,ISNUMBER(I302)),I302,"")</f>
        <v/>
      </c>
      <c r="O302" s="11">
        <f>IF(K302="","",100-IF($G$13=1,50,(_xlfn.RANK.AVG(K302,$K$19:$K$1518,1)-1)/($G$13-1)*100))</f>
        <v/>
      </c>
      <c r="P302" s="11">
        <f>IF(L302="","",100-IF($G$14=1,50,(_xlfn.RANK.AVG(L302,$L$19:$L$1518,1)-1)/($G$14-1)*100))</f>
        <v/>
      </c>
      <c r="Q302" s="11">
        <f>IF(M302="","",IF($G$15=1,50,(_xlfn.RANK.AVG(M302,$M$19:$M$1518,1)-1)/($G$15-1)*100))</f>
        <v/>
      </c>
      <c r="R302" s="11">
        <f>IF(N302="","",IF($G$16=1,50,(_xlfn.RANK.AVG(N302,$N$19:$N$1518,1)-1)/($G$16-1)*100))</f>
        <v/>
      </c>
      <c r="S302" s="11">
        <f>IF(COUNT(O302:R302)=4,ROUND(AVERAGE(O302:R302),6),"")</f>
        <v/>
      </c>
      <c r="U302">
        <f>IF(AND(ISNUMBER('자료_한국심리'!$A286),ISNUMBER('자료_한국심리'!$B286)),'자료_한국심리'!$A286,"")</f>
        <v/>
      </c>
      <c r="V302">
        <f>IF(AND(ISNUMBER('자료_한국심리'!$D286),ISNUMBER('자료_한국심리'!$E286)),'자료_한국심리'!$D286,"")</f>
        <v/>
      </c>
      <c r="W302">
        <f>IF(AND(ISNUMBER('자료_한국심리'!$G286),ISNUMBER('자료_한국심리'!$H286)),'자료_한국심리'!$G286,"")</f>
        <v/>
      </c>
      <c r="X302">
        <f>IF(AND(ISNUMBER('자료_한국심리'!$J286),ISNUMBER('자료_한국심리'!$K286)),'자료_한국심리'!$J286,"")</f>
        <v/>
      </c>
      <c r="Y302">
        <f>IF(AND(ISNUMBER('자료_한국심리'!$M286),ISNUMBER('자료_한국심리'!$N286)),'자료_한국심리'!$M286,"")</f>
        <v/>
      </c>
    </row>
    <row r="303">
      <c r="A303" s="10">
        <f>IF(285&gt;$E$5,"",SMALL($U$19:$U$4018,$E$6+285))</f>
        <v/>
      </c>
      <c r="B303" s="29">
        <f>IF(A303="","",INDEX('자료_한국심리'!$B$3:$B$4002,MATCH(A303,$U$19:$U$4018,0)))</f>
        <v/>
      </c>
      <c r="C303" s="22">
        <f>IF(A303="","",B303/AVERAGE(B179:B303)-1)</f>
        <v/>
      </c>
      <c r="D303" s="29">
        <f>IF(A303="","",IFERROR(INDEX('자료_한국심리'!$E$3:$E$4002,MATCH(A303,$V$19:$V$4018,0)),D302))</f>
        <v/>
      </c>
      <c r="E303" s="30">
        <f>IF(A303="","",IFERROR(INDEX('자료_한국심리'!$H$3:$H$4002,MATCH(A303,$W$19:$W$4018,0)),E302))</f>
        <v/>
      </c>
      <c r="F303" s="30">
        <f>IF(A303="","",IFERROR(INDEX('자료_한국심리'!$K$3:$K$4002,MATCH(A303,$X$19:$X$4018,0)),F302))</f>
        <v/>
      </c>
      <c r="G303" s="30">
        <f>IF(AND(ISNUMBER(E303),ISNUMBER(F303)),ROUND(E303-F303,6),"")</f>
        <v/>
      </c>
      <c r="H303" s="25">
        <f>IF(A303="","",IFERROR(INDEX('자료_한국심리'!$N$3:$N$4002,MATCH(A303,$Y$19:$Y$4018,0)),H302))</f>
        <v/>
      </c>
      <c r="I303" s="31">
        <f>IF(AND(ISNUMBER(H303),ISNUMBER(H283)),IF(H283&gt;0,H303/H283-1,""),"")</f>
        <v/>
      </c>
      <c r="J303">
        <f>IF(A303="",0,IF(A303&gt;$B$5,1,0))</f>
        <v/>
      </c>
      <c r="K303" s="29">
        <f>IF(AND(J303=1,ISNUMBER(D303)),D303,"")</f>
        <v/>
      </c>
      <c r="L303" s="30">
        <f>IF(AND(J303=1,ISNUMBER(G303)),G303,"")</f>
        <v/>
      </c>
      <c r="M303" s="22">
        <f>IF(AND(J303=1,ISNUMBER(C303)),C303,"")</f>
        <v/>
      </c>
      <c r="N303" s="31">
        <f>IF(AND(J303=1,ISNUMBER(I303)),I303,"")</f>
        <v/>
      </c>
      <c r="O303" s="11">
        <f>IF(K303="","",100-IF($G$13=1,50,(_xlfn.RANK.AVG(K303,$K$19:$K$1518,1)-1)/($G$13-1)*100))</f>
        <v/>
      </c>
      <c r="P303" s="11">
        <f>IF(L303="","",100-IF($G$14=1,50,(_xlfn.RANK.AVG(L303,$L$19:$L$1518,1)-1)/($G$14-1)*100))</f>
        <v/>
      </c>
      <c r="Q303" s="11">
        <f>IF(M303="","",IF($G$15=1,50,(_xlfn.RANK.AVG(M303,$M$19:$M$1518,1)-1)/($G$15-1)*100))</f>
        <v/>
      </c>
      <c r="R303" s="11">
        <f>IF(N303="","",IF($G$16=1,50,(_xlfn.RANK.AVG(N303,$N$19:$N$1518,1)-1)/($G$16-1)*100))</f>
        <v/>
      </c>
      <c r="S303" s="11">
        <f>IF(COUNT(O303:R303)=4,ROUND(AVERAGE(O303:R303),6),"")</f>
        <v/>
      </c>
      <c r="U303">
        <f>IF(AND(ISNUMBER('자료_한국심리'!$A287),ISNUMBER('자료_한국심리'!$B287)),'자료_한국심리'!$A287,"")</f>
        <v/>
      </c>
      <c r="V303">
        <f>IF(AND(ISNUMBER('자료_한국심리'!$D287),ISNUMBER('자료_한국심리'!$E287)),'자료_한국심리'!$D287,"")</f>
        <v/>
      </c>
      <c r="W303">
        <f>IF(AND(ISNUMBER('자료_한국심리'!$G287),ISNUMBER('자료_한국심리'!$H287)),'자료_한국심리'!$G287,"")</f>
        <v/>
      </c>
      <c r="X303">
        <f>IF(AND(ISNUMBER('자료_한국심리'!$J287),ISNUMBER('자료_한국심리'!$K287)),'자료_한국심리'!$J287,"")</f>
        <v/>
      </c>
      <c r="Y303">
        <f>IF(AND(ISNUMBER('자료_한국심리'!$M287),ISNUMBER('자료_한국심리'!$N287)),'자료_한국심리'!$M287,"")</f>
        <v/>
      </c>
    </row>
    <row r="304">
      <c r="A304" s="10">
        <f>IF(286&gt;$E$5,"",SMALL($U$19:$U$4018,$E$6+286))</f>
        <v/>
      </c>
      <c r="B304" s="29">
        <f>IF(A304="","",INDEX('자료_한국심리'!$B$3:$B$4002,MATCH(A304,$U$19:$U$4018,0)))</f>
        <v/>
      </c>
      <c r="C304" s="22">
        <f>IF(A304="","",B304/AVERAGE(B180:B304)-1)</f>
        <v/>
      </c>
      <c r="D304" s="29">
        <f>IF(A304="","",IFERROR(INDEX('자료_한국심리'!$E$3:$E$4002,MATCH(A304,$V$19:$V$4018,0)),D303))</f>
        <v/>
      </c>
      <c r="E304" s="30">
        <f>IF(A304="","",IFERROR(INDEX('자료_한국심리'!$H$3:$H$4002,MATCH(A304,$W$19:$W$4018,0)),E303))</f>
        <v/>
      </c>
      <c r="F304" s="30">
        <f>IF(A304="","",IFERROR(INDEX('자료_한국심리'!$K$3:$K$4002,MATCH(A304,$X$19:$X$4018,0)),F303))</f>
        <v/>
      </c>
      <c r="G304" s="30">
        <f>IF(AND(ISNUMBER(E304),ISNUMBER(F304)),ROUND(E304-F304,6),"")</f>
        <v/>
      </c>
      <c r="H304" s="25">
        <f>IF(A304="","",IFERROR(INDEX('자료_한국심리'!$N$3:$N$4002,MATCH(A304,$Y$19:$Y$4018,0)),H303))</f>
        <v/>
      </c>
      <c r="I304" s="31">
        <f>IF(AND(ISNUMBER(H304),ISNUMBER(H284)),IF(H284&gt;0,H304/H284-1,""),"")</f>
        <v/>
      </c>
      <c r="J304">
        <f>IF(A304="",0,IF(A304&gt;$B$5,1,0))</f>
        <v/>
      </c>
      <c r="K304" s="29">
        <f>IF(AND(J304=1,ISNUMBER(D304)),D304,"")</f>
        <v/>
      </c>
      <c r="L304" s="30">
        <f>IF(AND(J304=1,ISNUMBER(G304)),G304,"")</f>
        <v/>
      </c>
      <c r="M304" s="22">
        <f>IF(AND(J304=1,ISNUMBER(C304)),C304,"")</f>
        <v/>
      </c>
      <c r="N304" s="31">
        <f>IF(AND(J304=1,ISNUMBER(I304)),I304,"")</f>
        <v/>
      </c>
      <c r="O304" s="11">
        <f>IF(K304="","",100-IF($G$13=1,50,(_xlfn.RANK.AVG(K304,$K$19:$K$1518,1)-1)/($G$13-1)*100))</f>
        <v/>
      </c>
      <c r="P304" s="11">
        <f>IF(L304="","",100-IF($G$14=1,50,(_xlfn.RANK.AVG(L304,$L$19:$L$1518,1)-1)/($G$14-1)*100))</f>
        <v/>
      </c>
      <c r="Q304" s="11">
        <f>IF(M304="","",IF($G$15=1,50,(_xlfn.RANK.AVG(M304,$M$19:$M$1518,1)-1)/($G$15-1)*100))</f>
        <v/>
      </c>
      <c r="R304" s="11">
        <f>IF(N304="","",IF($G$16=1,50,(_xlfn.RANK.AVG(N304,$N$19:$N$1518,1)-1)/($G$16-1)*100))</f>
        <v/>
      </c>
      <c r="S304" s="11">
        <f>IF(COUNT(O304:R304)=4,ROUND(AVERAGE(O304:R304),6),"")</f>
        <v/>
      </c>
      <c r="U304">
        <f>IF(AND(ISNUMBER('자료_한국심리'!$A288),ISNUMBER('자료_한국심리'!$B288)),'자료_한국심리'!$A288,"")</f>
        <v/>
      </c>
      <c r="V304">
        <f>IF(AND(ISNUMBER('자료_한국심리'!$D288),ISNUMBER('자료_한국심리'!$E288)),'자료_한국심리'!$D288,"")</f>
        <v/>
      </c>
      <c r="W304">
        <f>IF(AND(ISNUMBER('자료_한국심리'!$G288),ISNUMBER('자료_한국심리'!$H288)),'자료_한국심리'!$G288,"")</f>
        <v/>
      </c>
      <c r="X304">
        <f>IF(AND(ISNUMBER('자료_한국심리'!$J288),ISNUMBER('자료_한국심리'!$K288)),'자료_한국심리'!$J288,"")</f>
        <v/>
      </c>
      <c r="Y304">
        <f>IF(AND(ISNUMBER('자료_한국심리'!$M288),ISNUMBER('자료_한국심리'!$N288)),'자료_한국심리'!$M288,"")</f>
        <v/>
      </c>
    </row>
    <row r="305">
      <c r="A305" s="10">
        <f>IF(287&gt;$E$5,"",SMALL($U$19:$U$4018,$E$6+287))</f>
        <v/>
      </c>
      <c r="B305" s="29">
        <f>IF(A305="","",INDEX('자료_한국심리'!$B$3:$B$4002,MATCH(A305,$U$19:$U$4018,0)))</f>
        <v/>
      </c>
      <c r="C305" s="22">
        <f>IF(A305="","",B305/AVERAGE(B181:B305)-1)</f>
        <v/>
      </c>
      <c r="D305" s="29">
        <f>IF(A305="","",IFERROR(INDEX('자료_한국심리'!$E$3:$E$4002,MATCH(A305,$V$19:$V$4018,0)),D304))</f>
        <v/>
      </c>
      <c r="E305" s="30">
        <f>IF(A305="","",IFERROR(INDEX('자료_한국심리'!$H$3:$H$4002,MATCH(A305,$W$19:$W$4018,0)),E304))</f>
        <v/>
      </c>
      <c r="F305" s="30">
        <f>IF(A305="","",IFERROR(INDEX('자료_한국심리'!$K$3:$K$4002,MATCH(A305,$X$19:$X$4018,0)),F304))</f>
        <v/>
      </c>
      <c r="G305" s="30">
        <f>IF(AND(ISNUMBER(E305),ISNUMBER(F305)),ROUND(E305-F305,6),"")</f>
        <v/>
      </c>
      <c r="H305" s="25">
        <f>IF(A305="","",IFERROR(INDEX('자료_한국심리'!$N$3:$N$4002,MATCH(A305,$Y$19:$Y$4018,0)),H304))</f>
        <v/>
      </c>
      <c r="I305" s="31">
        <f>IF(AND(ISNUMBER(H305),ISNUMBER(H285)),IF(H285&gt;0,H305/H285-1,""),"")</f>
        <v/>
      </c>
      <c r="J305">
        <f>IF(A305="",0,IF(A305&gt;$B$5,1,0))</f>
        <v/>
      </c>
      <c r="K305" s="29">
        <f>IF(AND(J305=1,ISNUMBER(D305)),D305,"")</f>
        <v/>
      </c>
      <c r="L305" s="30">
        <f>IF(AND(J305=1,ISNUMBER(G305)),G305,"")</f>
        <v/>
      </c>
      <c r="M305" s="22">
        <f>IF(AND(J305=1,ISNUMBER(C305)),C305,"")</f>
        <v/>
      </c>
      <c r="N305" s="31">
        <f>IF(AND(J305=1,ISNUMBER(I305)),I305,"")</f>
        <v/>
      </c>
      <c r="O305" s="11">
        <f>IF(K305="","",100-IF($G$13=1,50,(_xlfn.RANK.AVG(K305,$K$19:$K$1518,1)-1)/($G$13-1)*100))</f>
        <v/>
      </c>
      <c r="P305" s="11">
        <f>IF(L305="","",100-IF($G$14=1,50,(_xlfn.RANK.AVG(L305,$L$19:$L$1518,1)-1)/($G$14-1)*100))</f>
        <v/>
      </c>
      <c r="Q305" s="11">
        <f>IF(M305="","",IF($G$15=1,50,(_xlfn.RANK.AVG(M305,$M$19:$M$1518,1)-1)/($G$15-1)*100))</f>
        <v/>
      </c>
      <c r="R305" s="11">
        <f>IF(N305="","",IF($G$16=1,50,(_xlfn.RANK.AVG(N305,$N$19:$N$1518,1)-1)/($G$16-1)*100))</f>
        <v/>
      </c>
      <c r="S305" s="11">
        <f>IF(COUNT(O305:R305)=4,ROUND(AVERAGE(O305:R305),6),"")</f>
        <v/>
      </c>
      <c r="U305">
        <f>IF(AND(ISNUMBER('자료_한국심리'!$A289),ISNUMBER('자료_한국심리'!$B289)),'자료_한국심리'!$A289,"")</f>
        <v/>
      </c>
      <c r="V305">
        <f>IF(AND(ISNUMBER('자료_한국심리'!$D289),ISNUMBER('자료_한국심리'!$E289)),'자료_한국심리'!$D289,"")</f>
        <v/>
      </c>
      <c r="W305">
        <f>IF(AND(ISNUMBER('자료_한국심리'!$G289),ISNUMBER('자료_한국심리'!$H289)),'자료_한국심리'!$G289,"")</f>
        <v/>
      </c>
      <c r="X305">
        <f>IF(AND(ISNUMBER('자료_한국심리'!$J289),ISNUMBER('자료_한국심리'!$K289)),'자료_한국심리'!$J289,"")</f>
        <v/>
      </c>
      <c r="Y305">
        <f>IF(AND(ISNUMBER('자료_한국심리'!$M289),ISNUMBER('자료_한국심리'!$N289)),'자료_한국심리'!$M289,"")</f>
        <v/>
      </c>
    </row>
    <row r="306">
      <c r="A306" s="10">
        <f>IF(288&gt;$E$5,"",SMALL($U$19:$U$4018,$E$6+288))</f>
        <v/>
      </c>
      <c r="B306" s="29">
        <f>IF(A306="","",INDEX('자료_한국심리'!$B$3:$B$4002,MATCH(A306,$U$19:$U$4018,0)))</f>
        <v/>
      </c>
      <c r="C306" s="22">
        <f>IF(A306="","",B306/AVERAGE(B182:B306)-1)</f>
        <v/>
      </c>
      <c r="D306" s="29">
        <f>IF(A306="","",IFERROR(INDEX('자료_한국심리'!$E$3:$E$4002,MATCH(A306,$V$19:$V$4018,0)),D305))</f>
        <v/>
      </c>
      <c r="E306" s="30">
        <f>IF(A306="","",IFERROR(INDEX('자료_한국심리'!$H$3:$H$4002,MATCH(A306,$W$19:$W$4018,0)),E305))</f>
        <v/>
      </c>
      <c r="F306" s="30">
        <f>IF(A306="","",IFERROR(INDEX('자료_한국심리'!$K$3:$K$4002,MATCH(A306,$X$19:$X$4018,0)),F305))</f>
        <v/>
      </c>
      <c r="G306" s="30">
        <f>IF(AND(ISNUMBER(E306),ISNUMBER(F306)),ROUND(E306-F306,6),"")</f>
        <v/>
      </c>
      <c r="H306" s="25">
        <f>IF(A306="","",IFERROR(INDEX('자료_한국심리'!$N$3:$N$4002,MATCH(A306,$Y$19:$Y$4018,0)),H305))</f>
        <v/>
      </c>
      <c r="I306" s="31">
        <f>IF(AND(ISNUMBER(H306),ISNUMBER(H286)),IF(H286&gt;0,H306/H286-1,""),"")</f>
        <v/>
      </c>
      <c r="J306">
        <f>IF(A306="",0,IF(A306&gt;$B$5,1,0))</f>
        <v/>
      </c>
      <c r="K306" s="29">
        <f>IF(AND(J306=1,ISNUMBER(D306)),D306,"")</f>
        <v/>
      </c>
      <c r="L306" s="30">
        <f>IF(AND(J306=1,ISNUMBER(G306)),G306,"")</f>
        <v/>
      </c>
      <c r="M306" s="22">
        <f>IF(AND(J306=1,ISNUMBER(C306)),C306,"")</f>
        <v/>
      </c>
      <c r="N306" s="31">
        <f>IF(AND(J306=1,ISNUMBER(I306)),I306,"")</f>
        <v/>
      </c>
      <c r="O306" s="11">
        <f>IF(K306="","",100-IF($G$13=1,50,(_xlfn.RANK.AVG(K306,$K$19:$K$1518,1)-1)/($G$13-1)*100))</f>
        <v/>
      </c>
      <c r="P306" s="11">
        <f>IF(L306="","",100-IF($G$14=1,50,(_xlfn.RANK.AVG(L306,$L$19:$L$1518,1)-1)/($G$14-1)*100))</f>
        <v/>
      </c>
      <c r="Q306" s="11">
        <f>IF(M306="","",IF($G$15=1,50,(_xlfn.RANK.AVG(M306,$M$19:$M$1518,1)-1)/($G$15-1)*100))</f>
        <v/>
      </c>
      <c r="R306" s="11">
        <f>IF(N306="","",IF($G$16=1,50,(_xlfn.RANK.AVG(N306,$N$19:$N$1518,1)-1)/($G$16-1)*100))</f>
        <v/>
      </c>
      <c r="S306" s="11">
        <f>IF(COUNT(O306:R306)=4,ROUND(AVERAGE(O306:R306),6),"")</f>
        <v/>
      </c>
      <c r="U306">
        <f>IF(AND(ISNUMBER('자료_한국심리'!$A290),ISNUMBER('자료_한국심리'!$B290)),'자료_한국심리'!$A290,"")</f>
        <v/>
      </c>
      <c r="V306">
        <f>IF(AND(ISNUMBER('자료_한국심리'!$D290),ISNUMBER('자료_한국심리'!$E290)),'자료_한국심리'!$D290,"")</f>
        <v/>
      </c>
      <c r="W306">
        <f>IF(AND(ISNUMBER('자료_한국심리'!$G290),ISNUMBER('자료_한국심리'!$H290)),'자료_한국심리'!$G290,"")</f>
        <v/>
      </c>
      <c r="X306">
        <f>IF(AND(ISNUMBER('자료_한국심리'!$J290),ISNUMBER('자료_한국심리'!$K290)),'자료_한국심리'!$J290,"")</f>
        <v/>
      </c>
      <c r="Y306">
        <f>IF(AND(ISNUMBER('자료_한국심리'!$M290),ISNUMBER('자료_한국심리'!$N290)),'자료_한국심리'!$M290,"")</f>
        <v/>
      </c>
    </row>
    <row r="307">
      <c r="A307" s="10">
        <f>IF(289&gt;$E$5,"",SMALL($U$19:$U$4018,$E$6+289))</f>
        <v/>
      </c>
      <c r="B307" s="29">
        <f>IF(A307="","",INDEX('자료_한국심리'!$B$3:$B$4002,MATCH(A307,$U$19:$U$4018,0)))</f>
        <v/>
      </c>
      <c r="C307" s="22">
        <f>IF(A307="","",B307/AVERAGE(B183:B307)-1)</f>
        <v/>
      </c>
      <c r="D307" s="29">
        <f>IF(A307="","",IFERROR(INDEX('자료_한국심리'!$E$3:$E$4002,MATCH(A307,$V$19:$V$4018,0)),D306))</f>
        <v/>
      </c>
      <c r="E307" s="30">
        <f>IF(A307="","",IFERROR(INDEX('자료_한국심리'!$H$3:$H$4002,MATCH(A307,$W$19:$W$4018,0)),E306))</f>
        <v/>
      </c>
      <c r="F307" s="30">
        <f>IF(A307="","",IFERROR(INDEX('자료_한국심리'!$K$3:$K$4002,MATCH(A307,$X$19:$X$4018,0)),F306))</f>
        <v/>
      </c>
      <c r="G307" s="30">
        <f>IF(AND(ISNUMBER(E307),ISNUMBER(F307)),ROUND(E307-F307,6),"")</f>
        <v/>
      </c>
      <c r="H307" s="25">
        <f>IF(A307="","",IFERROR(INDEX('자료_한국심리'!$N$3:$N$4002,MATCH(A307,$Y$19:$Y$4018,0)),H306))</f>
        <v/>
      </c>
      <c r="I307" s="31">
        <f>IF(AND(ISNUMBER(H307),ISNUMBER(H287)),IF(H287&gt;0,H307/H287-1,""),"")</f>
        <v/>
      </c>
      <c r="J307">
        <f>IF(A307="",0,IF(A307&gt;$B$5,1,0))</f>
        <v/>
      </c>
      <c r="K307" s="29">
        <f>IF(AND(J307=1,ISNUMBER(D307)),D307,"")</f>
        <v/>
      </c>
      <c r="L307" s="30">
        <f>IF(AND(J307=1,ISNUMBER(G307)),G307,"")</f>
        <v/>
      </c>
      <c r="M307" s="22">
        <f>IF(AND(J307=1,ISNUMBER(C307)),C307,"")</f>
        <v/>
      </c>
      <c r="N307" s="31">
        <f>IF(AND(J307=1,ISNUMBER(I307)),I307,"")</f>
        <v/>
      </c>
      <c r="O307" s="11">
        <f>IF(K307="","",100-IF($G$13=1,50,(_xlfn.RANK.AVG(K307,$K$19:$K$1518,1)-1)/($G$13-1)*100))</f>
        <v/>
      </c>
      <c r="P307" s="11">
        <f>IF(L307="","",100-IF($G$14=1,50,(_xlfn.RANK.AVG(L307,$L$19:$L$1518,1)-1)/($G$14-1)*100))</f>
        <v/>
      </c>
      <c r="Q307" s="11">
        <f>IF(M307="","",IF($G$15=1,50,(_xlfn.RANK.AVG(M307,$M$19:$M$1518,1)-1)/($G$15-1)*100))</f>
        <v/>
      </c>
      <c r="R307" s="11">
        <f>IF(N307="","",IF($G$16=1,50,(_xlfn.RANK.AVG(N307,$N$19:$N$1518,1)-1)/($G$16-1)*100))</f>
        <v/>
      </c>
      <c r="S307" s="11">
        <f>IF(COUNT(O307:R307)=4,ROUND(AVERAGE(O307:R307),6),"")</f>
        <v/>
      </c>
      <c r="U307">
        <f>IF(AND(ISNUMBER('자료_한국심리'!$A291),ISNUMBER('자료_한국심리'!$B291)),'자료_한국심리'!$A291,"")</f>
        <v/>
      </c>
      <c r="V307">
        <f>IF(AND(ISNUMBER('자료_한국심리'!$D291),ISNUMBER('자료_한국심리'!$E291)),'자료_한국심리'!$D291,"")</f>
        <v/>
      </c>
      <c r="W307">
        <f>IF(AND(ISNUMBER('자료_한국심리'!$G291),ISNUMBER('자료_한국심리'!$H291)),'자료_한국심리'!$G291,"")</f>
        <v/>
      </c>
      <c r="X307">
        <f>IF(AND(ISNUMBER('자료_한국심리'!$J291),ISNUMBER('자료_한국심리'!$K291)),'자료_한국심리'!$J291,"")</f>
        <v/>
      </c>
      <c r="Y307">
        <f>IF(AND(ISNUMBER('자료_한국심리'!$M291),ISNUMBER('자료_한국심리'!$N291)),'자료_한국심리'!$M291,"")</f>
        <v/>
      </c>
    </row>
    <row r="308">
      <c r="A308" s="10">
        <f>IF(290&gt;$E$5,"",SMALL($U$19:$U$4018,$E$6+290))</f>
        <v/>
      </c>
      <c r="B308" s="29">
        <f>IF(A308="","",INDEX('자료_한국심리'!$B$3:$B$4002,MATCH(A308,$U$19:$U$4018,0)))</f>
        <v/>
      </c>
      <c r="C308" s="22">
        <f>IF(A308="","",B308/AVERAGE(B184:B308)-1)</f>
        <v/>
      </c>
      <c r="D308" s="29">
        <f>IF(A308="","",IFERROR(INDEX('자료_한국심리'!$E$3:$E$4002,MATCH(A308,$V$19:$V$4018,0)),D307))</f>
        <v/>
      </c>
      <c r="E308" s="30">
        <f>IF(A308="","",IFERROR(INDEX('자료_한국심리'!$H$3:$H$4002,MATCH(A308,$W$19:$W$4018,0)),E307))</f>
        <v/>
      </c>
      <c r="F308" s="30">
        <f>IF(A308="","",IFERROR(INDEX('자료_한국심리'!$K$3:$K$4002,MATCH(A308,$X$19:$X$4018,0)),F307))</f>
        <v/>
      </c>
      <c r="G308" s="30">
        <f>IF(AND(ISNUMBER(E308),ISNUMBER(F308)),ROUND(E308-F308,6),"")</f>
        <v/>
      </c>
      <c r="H308" s="25">
        <f>IF(A308="","",IFERROR(INDEX('자료_한국심리'!$N$3:$N$4002,MATCH(A308,$Y$19:$Y$4018,0)),H307))</f>
        <v/>
      </c>
      <c r="I308" s="31">
        <f>IF(AND(ISNUMBER(H308),ISNUMBER(H288)),IF(H288&gt;0,H308/H288-1,""),"")</f>
        <v/>
      </c>
      <c r="J308">
        <f>IF(A308="",0,IF(A308&gt;$B$5,1,0))</f>
        <v/>
      </c>
      <c r="K308" s="29">
        <f>IF(AND(J308=1,ISNUMBER(D308)),D308,"")</f>
        <v/>
      </c>
      <c r="L308" s="30">
        <f>IF(AND(J308=1,ISNUMBER(G308)),G308,"")</f>
        <v/>
      </c>
      <c r="M308" s="22">
        <f>IF(AND(J308=1,ISNUMBER(C308)),C308,"")</f>
        <v/>
      </c>
      <c r="N308" s="31">
        <f>IF(AND(J308=1,ISNUMBER(I308)),I308,"")</f>
        <v/>
      </c>
      <c r="O308" s="11">
        <f>IF(K308="","",100-IF($G$13=1,50,(_xlfn.RANK.AVG(K308,$K$19:$K$1518,1)-1)/($G$13-1)*100))</f>
        <v/>
      </c>
      <c r="P308" s="11">
        <f>IF(L308="","",100-IF($G$14=1,50,(_xlfn.RANK.AVG(L308,$L$19:$L$1518,1)-1)/($G$14-1)*100))</f>
        <v/>
      </c>
      <c r="Q308" s="11">
        <f>IF(M308="","",IF($G$15=1,50,(_xlfn.RANK.AVG(M308,$M$19:$M$1518,1)-1)/($G$15-1)*100))</f>
        <v/>
      </c>
      <c r="R308" s="11">
        <f>IF(N308="","",IF($G$16=1,50,(_xlfn.RANK.AVG(N308,$N$19:$N$1518,1)-1)/($G$16-1)*100))</f>
        <v/>
      </c>
      <c r="S308" s="11">
        <f>IF(COUNT(O308:R308)=4,ROUND(AVERAGE(O308:R308),6),"")</f>
        <v/>
      </c>
      <c r="U308">
        <f>IF(AND(ISNUMBER('자료_한국심리'!$A292),ISNUMBER('자료_한국심리'!$B292)),'자료_한국심리'!$A292,"")</f>
        <v/>
      </c>
      <c r="V308">
        <f>IF(AND(ISNUMBER('자료_한국심리'!$D292),ISNUMBER('자료_한국심리'!$E292)),'자료_한국심리'!$D292,"")</f>
        <v/>
      </c>
      <c r="W308">
        <f>IF(AND(ISNUMBER('자료_한국심리'!$G292),ISNUMBER('자료_한국심리'!$H292)),'자료_한국심리'!$G292,"")</f>
        <v/>
      </c>
      <c r="X308">
        <f>IF(AND(ISNUMBER('자료_한국심리'!$J292),ISNUMBER('자료_한국심리'!$K292)),'자료_한국심리'!$J292,"")</f>
        <v/>
      </c>
      <c r="Y308">
        <f>IF(AND(ISNUMBER('자료_한국심리'!$M292),ISNUMBER('자료_한국심리'!$N292)),'자료_한국심리'!$M292,"")</f>
        <v/>
      </c>
    </row>
    <row r="309">
      <c r="A309" s="10">
        <f>IF(291&gt;$E$5,"",SMALL($U$19:$U$4018,$E$6+291))</f>
        <v/>
      </c>
      <c r="B309" s="29">
        <f>IF(A309="","",INDEX('자료_한국심리'!$B$3:$B$4002,MATCH(A309,$U$19:$U$4018,0)))</f>
        <v/>
      </c>
      <c r="C309" s="22">
        <f>IF(A309="","",B309/AVERAGE(B185:B309)-1)</f>
        <v/>
      </c>
      <c r="D309" s="29">
        <f>IF(A309="","",IFERROR(INDEX('자료_한국심리'!$E$3:$E$4002,MATCH(A309,$V$19:$V$4018,0)),D308))</f>
        <v/>
      </c>
      <c r="E309" s="30">
        <f>IF(A309="","",IFERROR(INDEX('자료_한국심리'!$H$3:$H$4002,MATCH(A309,$W$19:$W$4018,0)),E308))</f>
        <v/>
      </c>
      <c r="F309" s="30">
        <f>IF(A309="","",IFERROR(INDEX('자료_한국심리'!$K$3:$K$4002,MATCH(A309,$X$19:$X$4018,0)),F308))</f>
        <v/>
      </c>
      <c r="G309" s="30">
        <f>IF(AND(ISNUMBER(E309),ISNUMBER(F309)),ROUND(E309-F309,6),"")</f>
        <v/>
      </c>
      <c r="H309" s="25">
        <f>IF(A309="","",IFERROR(INDEX('자료_한국심리'!$N$3:$N$4002,MATCH(A309,$Y$19:$Y$4018,0)),H308))</f>
        <v/>
      </c>
      <c r="I309" s="31">
        <f>IF(AND(ISNUMBER(H309),ISNUMBER(H289)),IF(H289&gt;0,H309/H289-1,""),"")</f>
        <v/>
      </c>
      <c r="J309">
        <f>IF(A309="",0,IF(A309&gt;$B$5,1,0))</f>
        <v/>
      </c>
      <c r="K309" s="29">
        <f>IF(AND(J309=1,ISNUMBER(D309)),D309,"")</f>
        <v/>
      </c>
      <c r="L309" s="30">
        <f>IF(AND(J309=1,ISNUMBER(G309)),G309,"")</f>
        <v/>
      </c>
      <c r="M309" s="22">
        <f>IF(AND(J309=1,ISNUMBER(C309)),C309,"")</f>
        <v/>
      </c>
      <c r="N309" s="31">
        <f>IF(AND(J309=1,ISNUMBER(I309)),I309,"")</f>
        <v/>
      </c>
      <c r="O309" s="11">
        <f>IF(K309="","",100-IF($G$13=1,50,(_xlfn.RANK.AVG(K309,$K$19:$K$1518,1)-1)/($G$13-1)*100))</f>
        <v/>
      </c>
      <c r="P309" s="11">
        <f>IF(L309="","",100-IF($G$14=1,50,(_xlfn.RANK.AVG(L309,$L$19:$L$1518,1)-1)/($G$14-1)*100))</f>
        <v/>
      </c>
      <c r="Q309" s="11">
        <f>IF(M309="","",IF($G$15=1,50,(_xlfn.RANK.AVG(M309,$M$19:$M$1518,1)-1)/($G$15-1)*100))</f>
        <v/>
      </c>
      <c r="R309" s="11">
        <f>IF(N309="","",IF($G$16=1,50,(_xlfn.RANK.AVG(N309,$N$19:$N$1518,1)-1)/($G$16-1)*100))</f>
        <v/>
      </c>
      <c r="S309" s="11">
        <f>IF(COUNT(O309:R309)=4,ROUND(AVERAGE(O309:R309),6),"")</f>
        <v/>
      </c>
      <c r="U309">
        <f>IF(AND(ISNUMBER('자료_한국심리'!$A293),ISNUMBER('자료_한국심리'!$B293)),'자료_한국심리'!$A293,"")</f>
        <v/>
      </c>
      <c r="V309">
        <f>IF(AND(ISNUMBER('자료_한국심리'!$D293),ISNUMBER('자료_한국심리'!$E293)),'자료_한국심리'!$D293,"")</f>
        <v/>
      </c>
      <c r="W309">
        <f>IF(AND(ISNUMBER('자료_한국심리'!$G293),ISNUMBER('자료_한국심리'!$H293)),'자료_한국심리'!$G293,"")</f>
        <v/>
      </c>
      <c r="X309">
        <f>IF(AND(ISNUMBER('자료_한국심리'!$J293),ISNUMBER('자료_한국심리'!$K293)),'자료_한국심리'!$J293,"")</f>
        <v/>
      </c>
      <c r="Y309">
        <f>IF(AND(ISNUMBER('자료_한국심리'!$M293),ISNUMBER('자료_한국심리'!$N293)),'자료_한국심리'!$M293,"")</f>
        <v/>
      </c>
    </row>
    <row r="310">
      <c r="A310" s="10">
        <f>IF(292&gt;$E$5,"",SMALL($U$19:$U$4018,$E$6+292))</f>
        <v/>
      </c>
      <c r="B310" s="29">
        <f>IF(A310="","",INDEX('자료_한국심리'!$B$3:$B$4002,MATCH(A310,$U$19:$U$4018,0)))</f>
        <v/>
      </c>
      <c r="C310" s="22">
        <f>IF(A310="","",B310/AVERAGE(B186:B310)-1)</f>
        <v/>
      </c>
      <c r="D310" s="29">
        <f>IF(A310="","",IFERROR(INDEX('자료_한국심리'!$E$3:$E$4002,MATCH(A310,$V$19:$V$4018,0)),D309))</f>
        <v/>
      </c>
      <c r="E310" s="30">
        <f>IF(A310="","",IFERROR(INDEX('자료_한국심리'!$H$3:$H$4002,MATCH(A310,$W$19:$W$4018,0)),E309))</f>
        <v/>
      </c>
      <c r="F310" s="30">
        <f>IF(A310="","",IFERROR(INDEX('자료_한국심리'!$K$3:$K$4002,MATCH(A310,$X$19:$X$4018,0)),F309))</f>
        <v/>
      </c>
      <c r="G310" s="30">
        <f>IF(AND(ISNUMBER(E310),ISNUMBER(F310)),ROUND(E310-F310,6),"")</f>
        <v/>
      </c>
      <c r="H310" s="25">
        <f>IF(A310="","",IFERROR(INDEX('자료_한국심리'!$N$3:$N$4002,MATCH(A310,$Y$19:$Y$4018,0)),H309))</f>
        <v/>
      </c>
      <c r="I310" s="31">
        <f>IF(AND(ISNUMBER(H310),ISNUMBER(H290)),IF(H290&gt;0,H310/H290-1,""),"")</f>
        <v/>
      </c>
      <c r="J310">
        <f>IF(A310="",0,IF(A310&gt;$B$5,1,0))</f>
        <v/>
      </c>
      <c r="K310" s="29">
        <f>IF(AND(J310=1,ISNUMBER(D310)),D310,"")</f>
        <v/>
      </c>
      <c r="L310" s="30">
        <f>IF(AND(J310=1,ISNUMBER(G310)),G310,"")</f>
        <v/>
      </c>
      <c r="M310" s="22">
        <f>IF(AND(J310=1,ISNUMBER(C310)),C310,"")</f>
        <v/>
      </c>
      <c r="N310" s="31">
        <f>IF(AND(J310=1,ISNUMBER(I310)),I310,"")</f>
        <v/>
      </c>
      <c r="O310" s="11">
        <f>IF(K310="","",100-IF($G$13=1,50,(_xlfn.RANK.AVG(K310,$K$19:$K$1518,1)-1)/($G$13-1)*100))</f>
        <v/>
      </c>
      <c r="P310" s="11">
        <f>IF(L310="","",100-IF($G$14=1,50,(_xlfn.RANK.AVG(L310,$L$19:$L$1518,1)-1)/($G$14-1)*100))</f>
        <v/>
      </c>
      <c r="Q310" s="11">
        <f>IF(M310="","",IF($G$15=1,50,(_xlfn.RANK.AVG(M310,$M$19:$M$1518,1)-1)/($G$15-1)*100))</f>
        <v/>
      </c>
      <c r="R310" s="11">
        <f>IF(N310="","",IF($G$16=1,50,(_xlfn.RANK.AVG(N310,$N$19:$N$1518,1)-1)/($G$16-1)*100))</f>
        <v/>
      </c>
      <c r="S310" s="11">
        <f>IF(COUNT(O310:R310)=4,ROUND(AVERAGE(O310:R310),6),"")</f>
        <v/>
      </c>
      <c r="U310">
        <f>IF(AND(ISNUMBER('자료_한국심리'!$A294),ISNUMBER('자료_한국심리'!$B294)),'자료_한국심리'!$A294,"")</f>
        <v/>
      </c>
      <c r="V310">
        <f>IF(AND(ISNUMBER('자료_한국심리'!$D294),ISNUMBER('자료_한국심리'!$E294)),'자료_한국심리'!$D294,"")</f>
        <v/>
      </c>
      <c r="W310">
        <f>IF(AND(ISNUMBER('자료_한국심리'!$G294),ISNUMBER('자료_한국심리'!$H294)),'자료_한국심리'!$G294,"")</f>
        <v/>
      </c>
      <c r="X310">
        <f>IF(AND(ISNUMBER('자료_한국심리'!$J294),ISNUMBER('자료_한국심리'!$K294)),'자료_한국심리'!$J294,"")</f>
        <v/>
      </c>
      <c r="Y310">
        <f>IF(AND(ISNUMBER('자료_한국심리'!$M294),ISNUMBER('자료_한국심리'!$N294)),'자료_한국심리'!$M294,"")</f>
        <v/>
      </c>
    </row>
    <row r="311">
      <c r="A311" s="10">
        <f>IF(293&gt;$E$5,"",SMALL($U$19:$U$4018,$E$6+293))</f>
        <v/>
      </c>
      <c r="B311" s="29">
        <f>IF(A311="","",INDEX('자료_한국심리'!$B$3:$B$4002,MATCH(A311,$U$19:$U$4018,0)))</f>
        <v/>
      </c>
      <c r="C311" s="22">
        <f>IF(A311="","",B311/AVERAGE(B187:B311)-1)</f>
        <v/>
      </c>
      <c r="D311" s="29">
        <f>IF(A311="","",IFERROR(INDEX('자료_한국심리'!$E$3:$E$4002,MATCH(A311,$V$19:$V$4018,0)),D310))</f>
        <v/>
      </c>
      <c r="E311" s="30">
        <f>IF(A311="","",IFERROR(INDEX('자료_한국심리'!$H$3:$H$4002,MATCH(A311,$W$19:$W$4018,0)),E310))</f>
        <v/>
      </c>
      <c r="F311" s="30">
        <f>IF(A311="","",IFERROR(INDEX('자료_한국심리'!$K$3:$K$4002,MATCH(A311,$X$19:$X$4018,0)),F310))</f>
        <v/>
      </c>
      <c r="G311" s="30">
        <f>IF(AND(ISNUMBER(E311),ISNUMBER(F311)),ROUND(E311-F311,6),"")</f>
        <v/>
      </c>
      <c r="H311" s="25">
        <f>IF(A311="","",IFERROR(INDEX('자료_한국심리'!$N$3:$N$4002,MATCH(A311,$Y$19:$Y$4018,0)),H310))</f>
        <v/>
      </c>
      <c r="I311" s="31">
        <f>IF(AND(ISNUMBER(H311),ISNUMBER(H291)),IF(H291&gt;0,H311/H291-1,""),"")</f>
        <v/>
      </c>
      <c r="J311">
        <f>IF(A311="",0,IF(A311&gt;$B$5,1,0))</f>
        <v/>
      </c>
      <c r="K311" s="29">
        <f>IF(AND(J311=1,ISNUMBER(D311)),D311,"")</f>
        <v/>
      </c>
      <c r="L311" s="30">
        <f>IF(AND(J311=1,ISNUMBER(G311)),G311,"")</f>
        <v/>
      </c>
      <c r="M311" s="22">
        <f>IF(AND(J311=1,ISNUMBER(C311)),C311,"")</f>
        <v/>
      </c>
      <c r="N311" s="31">
        <f>IF(AND(J311=1,ISNUMBER(I311)),I311,"")</f>
        <v/>
      </c>
      <c r="O311" s="11">
        <f>IF(K311="","",100-IF($G$13=1,50,(_xlfn.RANK.AVG(K311,$K$19:$K$1518,1)-1)/($G$13-1)*100))</f>
        <v/>
      </c>
      <c r="P311" s="11">
        <f>IF(L311="","",100-IF($G$14=1,50,(_xlfn.RANK.AVG(L311,$L$19:$L$1518,1)-1)/($G$14-1)*100))</f>
        <v/>
      </c>
      <c r="Q311" s="11">
        <f>IF(M311="","",IF($G$15=1,50,(_xlfn.RANK.AVG(M311,$M$19:$M$1518,1)-1)/($G$15-1)*100))</f>
        <v/>
      </c>
      <c r="R311" s="11">
        <f>IF(N311="","",IF($G$16=1,50,(_xlfn.RANK.AVG(N311,$N$19:$N$1518,1)-1)/($G$16-1)*100))</f>
        <v/>
      </c>
      <c r="S311" s="11">
        <f>IF(COUNT(O311:R311)=4,ROUND(AVERAGE(O311:R311),6),"")</f>
        <v/>
      </c>
      <c r="U311">
        <f>IF(AND(ISNUMBER('자료_한국심리'!$A295),ISNUMBER('자료_한국심리'!$B295)),'자료_한국심리'!$A295,"")</f>
        <v/>
      </c>
      <c r="V311">
        <f>IF(AND(ISNUMBER('자료_한국심리'!$D295),ISNUMBER('자료_한국심리'!$E295)),'자료_한국심리'!$D295,"")</f>
        <v/>
      </c>
      <c r="W311">
        <f>IF(AND(ISNUMBER('자료_한국심리'!$G295),ISNUMBER('자료_한국심리'!$H295)),'자료_한국심리'!$G295,"")</f>
        <v/>
      </c>
      <c r="X311">
        <f>IF(AND(ISNUMBER('자료_한국심리'!$J295),ISNUMBER('자료_한국심리'!$K295)),'자료_한국심리'!$J295,"")</f>
        <v/>
      </c>
      <c r="Y311">
        <f>IF(AND(ISNUMBER('자료_한국심리'!$M295),ISNUMBER('자료_한국심리'!$N295)),'자료_한국심리'!$M295,"")</f>
        <v/>
      </c>
    </row>
    <row r="312">
      <c r="A312" s="10">
        <f>IF(294&gt;$E$5,"",SMALL($U$19:$U$4018,$E$6+294))</f>
        <v/>
      </c>
      <c r="B312" s="29">
        <f>IF(A312="","",INDEX('자료_한국심리'!$B$3:$B$4002,MATCH(A312,$U$19:$U$4018,0)))</f>
        <v/>
      </c>
      <c r="C312" s="22">
        <f>IF(A312="","",B312/AVERAGE(B188:B312)-1)</f>
        <v/>
      </c>
      <c r="D312" s="29">
        <f>IF(A312="","",IFERROR(INDEX('자료_한국심리'!$E$3:$E$4002,MATCH(A312,$V$19:$V$4018,0)),D311))</f>
        <v/>
      </c>
      <c r="E312" s="30">
        <f>IF(A312="","",IFERROR(INDEX('자료_한국심리'!$H$3:$H$4002,MATCH(A312,$W$19:$W$4018,0)),E311))</f>
        <v/>
      </c>
      <c r="F312" s="30">
        <f>IF(A312="","",IFERROR(INDEX('자료_한국심리'!$K$3:$K$4002,MATCH(A312,$X$19:$X$4018,0)),F311))</f>
        <v/>
      </c>
      <c r="G312" s="30">
        <f>IF(AND(ISNUMBER(E312),ISNUMBER(F312)),ROUND(E312-F312,6),"")</f>
        <v/>
      </c>
      <c r="H312" s="25">
        <f>IF(A312="","",IFERROR(INDEX('자료_한국심리'!$N$3:$N$4002,MATCH(A312,$Y$19:$Y$4018,0)),H311))</f>
        <v/>
      </c>
      <c r="I312" s="31">
        <f>IF(AND(ISNUMBER(H312),ISNUMBER(H292)),IF(H292&gt;0,H312/H292-1,""),"")</f>
        <v/>
      </c>
      <c r="J312">
        <f>IF(A312="",0,IF(A312&gt;$B$5,1,0))</f>
        <v/>
      </c>
      <c r="K312" s="29">
        <f>IF(AND(J312=1,ISNUMBER(D312)),D312,"")</f>
        <v/>
      </c>
      <c r="L312" s="30">
        <f>IF(AND(J312=1,ISNUMBER(G312)),G312,"")</f>
        <v/>
      </c>
      <c r="M312" s="22">
        <f>IF(AND(J312=1,ISNUMBER(C312)),C312,"")</f>
        <v/>
      </c>
      <c r="N312" s="31">
        <f>IF(AND(J312=1,ISNUMBER(I312)),I312,"")</f>
        <v/>
      </c>
      <c r="O312" s="11">
        <f>IF(K312="","",100-IF($G$13=1,50,(_xlfn.RANK.AVG(K312,$K$19:$K$1518,1)-1)/($G$13-1)*100))</f>
        <v/>
      </c>
      <c r="P312" s="11">
        <f>IF(L312="","",100-IF($G$14=1,50,(_xlfn.RANK.AVG(L312,$L$19:$L$1518,1)-1)/($G$14-1)*100))</f>
        <v/>
      </c>
      <c r="Q312" s="11">
        <f>IF(M312="","",IF($G$15=1,50,(_xlfn.RANK.AVG(M312,$M$19:$M$1518,1)-1)/($G$15-1)*100))</f>
        <v/>
      </c>
      <c r="R312" s="11">
        <f>IF(N312="","",IF($G$16=1,50,(_xlfn.RANK.AVG(N312,$N$19:$N$1518,1)-1)/($G$16-1)*100))</f>
        <v/>
      </c>
      <c r="S312" s="11">
        <f>IF(COUNT(O312:R312)=4,ROUND(AVERAGE(O312:R312),6),"")</f>
        <v/>
      </c>
      <c r="U312">
        <f>IF(AND(ISNUMBER('자료_한국심리'!$A296),ISNUMBER('자료_한국심리'!$B296)),'자료_한국심리'!$A296,"")</f>
        <v/>
      </c>
      <c r="V312">
        <f>IF(AND(ISNUMBER('자료_한국심리'!$D296),ISNUMBER('자료_한국심리'!$E296)),'자료_한국심리'!$D296,"")</f>
        <v/>
      </c>
      <c r="W312">
        <f>IF(AND(ISNUMBER('자료_한국심리'!$G296),ISNUMBER('자료_한국심리'!$H296)),'자료_한국심리'!$G296,"")</f>
        <v/>
      </c>
      <c r="X312">
        <f>IF(AND(ISNUMBER('자료_한국심리'!$J296),ISNUMBER('자료_한국심리'!$K296)),'자료_한국심리'!$J296,"")</f>
        <v/>
      </c>
      <c r="Y312">
        <f>IF(AND(ISNUMBER('자료_한국심리'!$M296),ISNUMBER('자료_한국심리'!$N296)),'자료_한국심리'!$M296,"")</f>
        <v/>
      </c>
    </row>
    <row r="313">
      <c r="A313" s="10">
        <f>IF(295&gt;$E$5,"",SMALL($U$19:$U$4018,$E$6+295))</f>
        <v/>
      </c>
      <c r="B313" s="29">
        <f>IF(A313="","",INDEX('자료_한국심리'!$B$3:$B$4002,MATCH(A313,$U$19:$U$4018,0)))</f>
        <v/>
      </c>
      <c r="C313" s="22">
        <f>IF(A313="","",B313/AVERAGE(B189:B313)-1)</f>
        <v/>
      </c>
      <c r="D313" s="29">
        <f>IF(A313="","",IFERROR(INDEX('자료_한국심리'!$E$3:$E$4002,MATCH(A313,$V$19:$V$4018,0)),D312))</f>
        <v/>
      </c>
      <c r="E313" s="30">
        <f>IF(A313="","",IFERROR(INDEX('자료_한국심리'!$H$3:$H$4002,MATCH(A313,$W$19:$W$4018,0)),E312))</f>
        <v/>
      </c>
      <c r="F313" s="30">
        <f>IF(A313="","",IFERROR(INDEX('자료_한국심리'!$K$3:$K$4002,MATCH(A313,$X$19:$X$4018,0)),F312))</f>
        <v/>
      </c>
      <c r="G313" s="30">
        <f>IF(AND(ISNUMBER(E313),ISNUMBER(F313)),ROUND(E313-F313,6),"")</f>
        <v/>
      </c>
      <c r="H313" s="25">
        <f>IF(A313="","",IFERROR(INDEX('자료_한국심리'!$N$3:$N$4002,MATCH(A313,$Y$19:$Y$4018,0)),H312))</f>
        <v/>
      </c>
      <c r="I313" s="31">
        <f>IF(AND(ISNUMBER(H313),ISNUMBER(H293)),IF(H293&gt;0,H313/H293-1,""),"")</f>
        <v/>
      </c>
      <c r="J313">
        <f>IF(A313="",0,IF(A313&gt;$B$5,1,0))</f>
        <v/>
      </c>
      <c r="K313" s="29">
        <f>IF(AND(J313=1,ISNUMBER(D313)),D313,"")</f>
        <v/>
      </c>
      <c r="L313" s="30">
        <f>IF(AND(J313=1,ISNUMBER(G313)),G313,"")</f>
        <v/>
      </c>
      <c r="M313" s="22">
        <f>IF(AND(J313=1,ISNUMBER(C313)),C313,"")</f>
        <v/>
      </c>
      <c r="N313" s="31">
        <f>IF(AND(J313=1,ISNUMBER(I313)),I313,"")</f>
        <v/>
      </c>
      <c r="O313" s="11">
        <f>IF(K313="","",100-IF($G$13=1,50,(_xlfn.RANK.AVG(K313,$K$19:$K$1518,1)-1)/($G$13-1)*100))</f>
        <v/>
      </c>
      <c r="P313" s="11">
        <f>IF(L313="","",100-IF($G$14=1,50,(_xlfn.RANK.AVG(L313,$L$19:$L$1518,1)-1)/($G$14-1)*100))</f>
        <v/>
      </c>
      <c r="Q313" s="11">
        <f>IF(M313="","",IF($G$15=1,50,(_xlfn.RANK.AVG(M313,$M$19:$M$1518,1)-1)/($G$15-1)*100))</f>
        <v/>
      </c>
      <c r="R313" s="11">
        <f>IF(N313="","",IF($G$16=1,50,(_xlfn.RANK.AVG(N313,$N$19:$N$1518,1)-1)/($G$16-1)*100))</f>
        <v/>
      </c>
      <c r="S313" s="11">
        <f>IF(COUNT(O313:R313)=4,ROUND(AVERAGE(O313:R313),6),"")</f>
        <v/>
      </c>
      <c r="U313">
        <f>IF(AND(ISNUMBER('자료_한국심리'!$A297),ISNUMBER('자료_한국심리'!$B297)),'자료_한국심리'!$A297,"")</f>
        <v/>
      </c>
      <c r="V313">
        <f>IF(AND(ISNUMBER('자료_한국심리'!$D297),ISNUMBER('자료_한국심리'!$E297)),'자료_한국심리'!$D297,"")</f>
        <v/>
      </c>
      <c r="W313">
        <f>IF(AND(ISNUMBER('자료_한국심리'!$G297),ISNUMBER('자료_한국심리'!$H297)),'자료_한국심리'!$G297,"")</f>
        <v/>
      </c>
      <c r="X313">
        <f>IF(AND(ISNUMBER('자료_한국심리'!$J297),ISNUMBER('자료_한국심리'!$K297)),'자료_한국심리'!$J297,"")</f>
        <v/>
      </c>
      <c r="Y313">
        <f>IF(AND(ISNUMBER('자료_한국심리'!$M297),ISNUMBER('자료_한국심리'!$N297)),'자료_한국심리'!$M297,"")</f>
        <v/>
      </c>
    </row>
    <row r="314">
      <c r="A314" s="10">
        <f>IF(296&gt;$E$5,"",SMALL($U$19:$U$4018,$E$6+296))</f>
        <v/>
      </c>
      <c r="B314" s="29">
        <f>IF(A314="","",INDEX('자료_한국심리'!$B$3:$B$4002,MATCH(A314,$U$19:$U$4018,0)))</f>
        <v/>
      </c>
      <c r="C314" s="22">
        <f>IF(A314="","",B314/AVERAGE(B190:B314)-1)</f>
        <v/>
      </c>
      <c r="D314" s="29">
        <f>IF(A314="","",IFERROR(INDEX('자료_한국심리'!$E$3:$E$4002,MATCH(A314,$V$19:$V$4018,0)),D313))</f>
        <v/>
      </c>
      <c r="E314" s="30">
        <f>IF(A314="","",IFERROR(INDEX('자료_한국심리'!$H$3:$H$4002,MATCH(A314,$W$19:$W$4018,0)),E313))</f>
        <v/>
      </c>
      <c r="F314" s="30">
        <f>IF(A314="","",IFERROR(INDEX('자료_한국심리'!$K$3:$K$4002,MATCH(A314,$X$19:$X$4018,0)),F313))</f>
        <v/>
      </c>
      <c r="G314" s="30">
        <f>IF(AND(ISNUMBER(E314),ISNUMBER(F314)),ROUND(E314-F314,6),"")</f>
        <v/>
      </c>
      <c r="H314" s="25">
        <f>IF(A314="","",IFERROR(INDEX('자료_한국심리'!$N$3:$N$4002,MATCH(A314,$Y$19:$Y$4018,0)),H313))</f>
        <v/>
      </c>
      <c r="I314" s="31">
        <f>IF(AND(ISNUMBER(H314),ISNUMBER(H294)),IF(H294&gt;0,H314/H294-1,""),"")</f>
        <v/>
      </c>
      <c r="J314">
        <f>IF(A314="",0,IF(A314&gt;$B$5,1,0))</f>
        <v/>
      </c>
      <c r="K314" s="29">
        <f>IF(AND(J314=1,ISNUMBER(D314)),D314,"")</f>
        <v/>
      </c>
      <c r="L314" s="30">
        <f>IF(AND(J314=1,ISNUMBER(G314)),G314,"")</f>
        <v/>
      </c>
      <c r="M314" s="22">
        <f>IF(AND(J314=1,ISNUMBER(C314)),C314,"")</f>
        <v/>
      </c>
      <c r="N314" s="31">
        <f>IF(AND(J314=1,ISNUMBER(I314)),I314,"")</f>
        <v/>
      </c>
      <c r="O314" s="11">
        <f>IF(K314="","",100-IF($G$13=1,50,(_xlfn.RANK.AVG(K314,$K$19:$K$1518,1)-1)/($G$13-1)*100))</f>
        <v/>
      </c>
      <c r="P314" s="11">
        <f>IF(L314="","",100-IF($G$14=1,50,(_xlfn.RANK.AVG(L314,$L$19:$L$1518,1)-1)/($G$14-1)*100))</f>
        <v/>
      </c>
      <c r="Q314" s="11">
        <f>IF(M314="","",IF($G$15=1,50,(_xlfn.RANK.AVG(M314,$M$19:$M$1518,1)-1)/($G$15-1)*100))</f>
        <v/>
      </c>
      <c r="R314" s="11">
        <f>IF(N314="","",IF($G$16=1,50,(_xlfn.RANK.AVG(N314,$N$19:$N$1518,1)-1)/($G$16-1)*100))</f>
        <v/>
      </c>
      <c r="S314" s="11">
        <f>IF(COUNT(O314:R314)=4,ROUND(AVERAGE(O314:R314),6),"")</f>
        <v/>
      </c>
      <c r="U314">
        <f>IF(AND(ISNUMBER('자료_한국심리'!$A298),ISNUMBER('자료_한국심리'!$B298)),'자료_한국심리'!$A298,"")</f>
        <v/>
      </c>
      <c r="V314">
        <f>IF(AND(ISNUMBER('자료_한국심리'!$D298),ISNUMBER('자료_한국심리'!$E298)),'자료_한국심리'!$D298,"")</f>
        <v/>
      </c>
      <c r="W314">
        <f>IF(AND(ISNUMBER('자료_한국심리'!$G298),ISNUMBER('자료_한국심리'!$H298)),'자료_한국심리'!$G298,"")</f>
        <v/>
      </c>
      <c r="X314">
        <f>IF(AND(ISNUMBER('자료_한국심리'!$J298),ISNUMBER('자료_한국심리'!$K298)),'자료_한국심리'!$J298,"")</f>
        <v/>
      </c>
      <c r="Y314">
        <f>IF(AND(ISNUMBER('자료_한국심리'!$M298),ISNUMBER('자료_한국심리'!$N298)),'자료_한국심리'!$M298,"")</f>
        <v/>
      </c>
    </row>
    <row r="315">
      <c r="A315" s="10">
        <f>IF(297&gt;$E$5,"",SMALL($U$19:$U$4018,$E$6+297))</f>
        <v/>
      </c>
      <c r="B315" s="29">
        <f>IF(A315="","",INDEX('자료_한국심리'!$B$3:$B$4002,MATCH(A315,$U$19:$U$4018,0)))</f>
        <v/>
      </c>
      <c r="C315" s="22">
        <f>IF(A315="","",B315/AVERAGE(B191:B315)-1)</f>
        <v/>
      </c>
      <c r="D315" s="29">
        <f>IF(A315="","",IFERROR(INDEX('자료_한국심리'!$E$3:$E$4002,MATCH(A315,$V$19:$V$4018,0)),D314))</f>
        <v/>
      </c>
      <c r="E315" s="30">
        <f>IF(A315="","",IFERROR(INDEX('자료_한국심리'!$H$3:$H$4002,MATCH(A315,$W$19:$W$4018,0)),E314))</f>
        <v/>
      </c>
      <c r="F315" s="30">
        <f>IF(A315="","",IFERROR(INDEX('자료_한국심리'!$K$3:$K$4002,MATCH(A315,$X$19:$X$4018,0)),F314))</f>
        <v/>
      </c>
      <c r="G315" s="30">
        <f>IF(AND(ISNUMBER(E315),ISNUMBER(F315)),ROUND(E315-F315,6),"")</f>
        <v/>
      </c>
      <c r="H315" s="25">
        <f>IF(A315="","",IFERROR(INDEX('자료_한국심리'!$N$3:$N$4002,MATCH(A315,$Y$19:$Y$4018,0)),H314))</f>
        <v/>
      </c>
      <c r="I315" s="31">
        <f>IF(AND(ISNUMBER(H315),ISNUMBER(H295)),IF(H295&gt;0,H315/H295-1,""),"")</f>
        <v/>
      </c>
      <c r="J315">
        <f>IF(A315="",0,IF(A315&gt;$B$5,1,0))</f>
        <v/>
      </c>
      <c r="K315" s="29">
        <f>IF(AND(J315=1,ISNUMBER(D315)),D315,"")</f>
        <v/>
      </c>
      <c r="L315" s="30">
        <f>IF(AND(J315=1,ISNUMBER(G315)),G315,"")</f>
        <v/>
      </c>
      <c r="M315" s="22">
        <f>IF(AND(J315=1,ISNUMBER(C315)),C315,"")</f>
        <v/>
      </c>
      <c r="N315" s="31">
        <f>IF(AND(J315=1,ISNUMBER(I315)),I315,"")</f>
        <v/>
      </c>
      <c r="O315" s="11">
        <f>IF(K315="","",100-IF($G$13=1,50,(_xlfn.RANK.AVG(K315,$K$19:$K$1518,1)-1)/($G$13-1)*100))</f>
        <v/>
      </c>
      <c r="P315" s="11">
        <f>IF(L315="","",100-IF($G$14=1,50,(_xlfn.RANK.AVG(L315,$L$19:$L$1518,1)-1)/($G$14-1)*100))</f>
        <v/>
      </c>
      <c r="Q315" s="11">
        <f>IF(M315="","",IF($G$15=1,50,(_xlfn.RANK.AVG(M315,$M$19:$M$1518,1)-1)/($G$15-1)*100))</f>
        <v/>
      </c>
      <c r="R315" s="11">
        <f>IF(N315="","",IF($G$16=1,50,(_xlfn.RANK.AVG(N315,$N$19:$N$1518,1)-1)/($G$16-1)*100))</f>
        <v/>
      </c>
      <c r="S315" s="11">
        <f>IF(COUNT(O315:R315)=4,ROUND(AVERAGE(O315:R315),6),"")</f>
        <v/>
      </c>
      <c r="U315">
        <f>IF(AND(ISNUMBER('자료_한국심리'!$A299),ISNUMBER('자료_한국심리'!$B299)),'자료_한국심리'!$A299,"")</f>
        <v/>
      </c>
      <c r="V315">
        <f>IF(AND(ISNUMBER('자료_한국심리'!$D299),ISNUMBER('자료_한국심리'!$E299)),'자료_한국심리'!$D299,"")</f>
        <v/>
      </c>
      <c r="W315">
        <f>IF(AND(ISNUMBER('자료_한국심리'!$G299),ISNUMBER('자료_한국심리'!$H299)),'자료_한국심리'!$G299,"")</f>
        <v/>
      </c>
      <c r="X315">
        <f>IF(AND(ISNUMBER('자료_한국심리'!$J299),ISNUMBER('자료_한국심리'!$K299)),'자료_한국심리'!$J299,"")</f>
        <v/>
      </c>
      <c r="Y315">
        <f>IF(AND(ISNUMBER('자료_한국심리'!$M299),ISNUMBER('자료_한국심리'!$N299)),'자료_한국심리'!$M299,"")</f>
        <v/>
      </c>
    </row>
    <row r="316">
      <c r="A316" s="10">
        <f>IF(298&gt;$E$5,"",SMALL($U$19:$U$4018,$E$6+298))</f>
        <v/>
      </c>
      <c r="B316" s="29">
        <f>IF(A316="","",INDEX('자료_한국심리'!$B$3:$B$4002,MATCH(A316,$U$19:$U$4018,0)))</f>
        <v/>
      </c>
      <c r="C316" s="22">
        <f>IF(A316="","",B316/AVERAGE(B192:B316)-1)</f>
        <v/>
      </c>
      <c r="D316" s="29">
        <f>IF(A316="","",IFERROR(INDEX('자료_한국심리'!$E$3:$E$4002,MATCH(A316,$V$19:$V$4018,0)),D315))</f>
        <v/>
      </c>
      <c r="E316" s="30">
        <f>IF(A316="","",IFERROR(INDEX('자료_한국심리'!$H$3:$H$4002,MATCH(A316,$W$19:$W$4018,0)),E315))</f>
        <v/>
      </c>
      <c r="F316" s="30">
        <f>IF(A316="","",IFERROR(INDEX('자료_한국심리'!$K$3:$K$4002,MATCH(A316,$X$19:$X$4018,0)),F315))</f>
        <v/>
      </c>
      <c r="G316" s="30">
        <f>IF(AND(ISNUMBER(E316),ISNUMBER(F316)),ROUND(E316-F316,6),"")</f>
        <v/>
      </c>
      <c r="H316" s="25">
        <f>IF(A316="","",IFERROR(INDEX('자료_한국심리'!$N$3:$N$4002,MATCH(A316,$Y$19:$Y$4018,0)),H315))</f>
        <v/>
      </c>
      <c r="I316" s="31">
        <f>IF(AND(ISNUMBER(H316),ISNUMBER(H296)),IF(H296&gt;0,H316/H296-1,""),"")</f>
        <v/>
      </c>
      <c r="J316">
        <f>IF(A316="",0,IF(A316&gt;$B$5,1,0))</f>
        <v/>
      </c>
      <c r="K316" s="29">
        <f>IF(AND(J316=1,ISNUMBER(D316)),D316,"")</f>
        <v/>
      </c>
      <c r="L316" s="30">
        <f>IF(AND(J316=1,ISNUMBER(G316)),G316,"")</f>
        <v/>
      </c>
      <c r="M316" s="22">
        <f>IF(AND(J316=1,ISNUMBER(C316)),C316,"")</f>
        <v/>
      </c>
      <c r="N316" s="31">
        <f>IF(AND(J316=1,ISNUMBER(I316)),I316,"")</f>
        <v/>
      </c>
      <c r="O316" s="11">
        <f>IF(K316="","",100-IF($G$13=1,50,(_xlfn.RANK.AVG(K316,$K$19:$K$1518,1)-1)/($G$13-1)*100))</f>
        <v/>
      </c>
      <c r="P316" s="11">
        <f>IF(L316="","",100-IF($G$14=1,50,(_xlfn.RANK.AVG(L316,$L$19:$L$1518,1)-1)/($G$14-1)*100))</f>
        <v/>
      </c>
      <c r="Q316" s="11">
        <f>IF(M316="","",IF($G$15=1,50,(_xlfn.RANK.AVG(M316,$M$19:$M$1518,1)-1)/($G$15-1)*100))</f>
        <v/>
      </c>
      <c r="R316" s="11">
        <f>IF(N316="","",IF($G$16=1,50,(_xlfn.RANK.AVG(N316,$N$19:$N$1518,1)-1)/($G$16-1)*100))</f>
        <v/>
      </c>
      <c r="S316" s="11">
        <f>IF(COUNT(O316:R316)=4,ROUND(AVERAGE(O316:R316),6),"")</f>
        <v/>
      </c>
      <c r="U316">
        <f>IF(AND(ISNUMBER('자료_한국심리'!$A300),ISNUMBER('자료_한국심리'!$B300)),'자료_한국심리'!$A300,"")</f>
        <v/>
      </c>
      <c r="V316">
        <f>IF(AND(ISNUMBER('자료_한국심리'!$D300),ISNUMBER('자료_한국심리'!$E300)),'자료_한국심리'!$D300,"")</f>
        <v/>
      </c>
      <c r="W316">
        <f>IF(AND(ISNUMBER('자료_한국심리'!$G300),ISNUMBER('자료_한국심리'!$H300)),'자료_한국심리'!$G300,"")</f>
        <v/>
      </c>
      <c r="X316">
        <f>IF(AND(ISNUMBER('자료_한국심리'!$J300),ISNUMBER('자료_한국심리'!$K300)),'자료_한국심리'!$J300,"")</f>
        <v/>
      </c>
      <c r="Y316">
        <f>IF(AND(ISNUMBER('자료_한국심리'!$M300),ISNUMBER('자료_한국심리'!$N300)),'자료_한국심리'!$M300,"")</f>
        <v/>
      </c>
    </row>
    <row r="317">
      <c r="A317" s="10">
        <f>IF(299&gt;$E$5,"",SMALL($U$19:$U$4018,$E$6+299))</f>
        <v/>
      </c>
      <c r="B317" s="29">
        <f>IF(A317="","",INDEX('자료_한국심리'!$B$3:$B$4002,MATCH(A317,$U$19:$U$4018,0)))</f>
        <v/>
      </c>
      <c r="C317" s="22">
        <f>IF(A317="","",B317/AVERAGE(B193:B317)-1)</f>
        <v/>
      </c>
      <c r="D317" s="29">
        <f>IF(A317="","",IFERROR(INDEX('자료_한국심리'!$E$3:$E$4002,MATCH(A317,$V$19:$V$4018,0)),D316))</f>
        <v/>
      </c>
      <c r="E317" s="30">
        <f>IF(A317="","",IFERROR(INDEX('자료_한국심리'!$H$3:$H$4002,MATCH(A317,$W$19:$W$4018,0)),E316))</f>
        <v/>
      </c>
      <c r="F317" s="30">
        <f>IF(A317="","",IFERROR(INDEX('자료_한국심리'!$K$3:$K$4002,MATCH(A317,$X$19:$X$4018,0)),F316))</f>
        <v/>
      </c>
      <c r="G317" s="30">
        <f>IF(AND(ISNUMBER(E317),ISNUMBER(F317)),ROUND(E317-F317,6),"")</f>
        <v/>
      </c>
      <c r="H317" s="25">
        <f>IF(A317="","",IFERROR(INDEX('자료_한국심리'!$N$3:$N$4002,MATCH(A317,$Y$19:$Y$4018,0)),H316))</f>
        <v/>
      </c>
      <c r="I317" s="31">
        <f>IF(AND(ISNUMBER(H317),ISNUMBER(H297)),IF(H297&gt;0,H317/H297-1,""),"")</f>
        <v/>
      </c>
      <c r="J317">
        <f>IF(A317="",0,IF(A317&gt;$B$5,1,0))</f>
        <v/>
      </c>
      <c r="K317" s="29">
        <f>IF(AND(J317=1,ISNUMBER(D317)),D317,"")</f>
        <v/>
      </c>
      <c r="L317" s="30">
        <f>IF(AND(J317=1,ISNUMBER(G317)),G317,"")</f>
        <v/>
      </c>
      <c r="M317" s="22">
        <f>IF(AND(J317=1,ISNUMBER(C317)),C317,"")</f>
        <v/>
      </c>
      <c r="N317" s="31">
        <f>IF(AND(J317=1,ISNUMBER(I317)),I317,"")</f>
        <v/>
      </c>
      <c r="O317" s="11">
        <f>IF(K317="","",100-IF($G$13=1,50,(_xlfn.RANK.AVG(K317,$K$19:$K$1518,1)-1)/($G$13-1)*100))</f>
        <v/>
      </c>
      <c r="P317" s="11">
        <f>IF(L317="","",100-IF($G$14=1,50,(_xlfn.RANK.AVG(L317,$L$19:$L$1518,1)-1)/($G$14-1)*100))</f>
        <v/>
      </c>
      <c r="Q317" s="11">
        <f>IF(M317="","",IF($G$15=1,50,(_xlfn.RANK.AVG(M317,$M$19:$M$1518,1)-1)/($G$15-1)*100))</f>
        <v/>
      </c>
      <c r="R317" s="11">
        <f>IF(N317="","",IF($G$16=1,50,(_xlfn.RANK.AVG(N317,$N$19:$N$1518,1)-1)/($G$16-1)*100))</f>
        <v/>
      </c>
      <c r="S317" s="11">
        <f>IF(COUNT(O317:R317)=4,ROUND(AVERAGE(O317:R317),6),"")</f>
        <v/>
      </c>
      <c r="U317">
        <f>IF(AND(ISNUMBER('자료_한국심리'!$A301),ISNUMBER('자료_한국심리'!$B301)),'자료_한국심리'!$A301,"")</f>
        <v/>
      </c>
      <c r="V317">
        <f>IF(AND(ISNUMBER('자료_한국심리'!$D301),ISNUMBER('자료_한국심리'!$E301)),'자료_한국심리'!$D301,"")</f>
        <v/>
      </c>
      <c r="W317">
        <f>IF(AND(ISNUMBER('자료_한국심리'!$G301),ISNUMBER('자료_한국심리'!$H301)),'자료_한국심리'!$G301,"")</f>
        <v/>
      </c>
      <c r="X317">
        <f>IF(AND(ISNUMBER('자료_한국심리'!$J301),ISNUMBER('자료_한국심리'!$K301)),'자료_한국심리'!$J301,"")</f>
        <v/>
      </c>
      <c r="Y317">
        <f>IF(AND(ISNUMBER('자료_한국심리'!$M301),ISNUMBER('자료_한국심리'!$N301)),'자료_한국심리'!$M301,"")</f>
        <v/>
      </c>
    </row>
    <row r="318">
      <c r="A318" s="10">
        <f>IF(300&gt;$E$5,"",SMALL($U$19:$U$4018,$E$6+300))</f>
        <v/>
      </c>
      <c r="B318" s="29">
        <f>IF(A318="","",INDEX('자료_한국심리'!$B$3:$B$4002,MATCH(A318,$U$19:$U$4018,0)))</f>
        <v/>
      </c>
      <c r="C318" s="22">
        <f>IF(A318="","",B318/AVERAGE(B194:B318)-1)</f>
        <v/>
      </c>
      <c r="D318" s="29">
        <f>IF(A318="","",IFERROR(INDEX('자료_한국심리'!$E$3:$E$4002,MATCH(A318,$V$19:$V$4018,0)),D317))</f>
        <v/>
      </c>
      <c r="E318" s="30">
        <f>IF(A318="","",IFERROR(INDEX('자료_한국심리'!$H$3:$H$4002,MATCH(A318,$W$19:$W$4018,0)),E317))</f>
        <v/>
      </c>
      <c r="F318" s="30">
        <f>IF(A318="","",IFERROR(INDEX('자료_한국심리'!$K$3:$K$4002,MATCH(A318,$X$19:$X$4018,0)),F317))</f>
        <v/>
      </c>
      <c r="G318" s="30">
        <f>IF(AND(ISNUMBER(E318),ISNUMBER(F318)),ROUND(E318-F318,6),"")</f>
        <v/>
      </c>
      <c r="H318" s="25">
        <f>IF(A318="","",IFERROR(INDEX('자료_한국심리'!$N$3:$N$4002,MATCH(A318,$Y$19:$Y$4018,0)),H317))</f>
        <v/>
      </c>
      <c r="I318" s="31">
        <f>IF(AND(ISNUMBER(H318),ISNUMBER(H298)),IF(H298&gt;0,H318/H298-1,""),"")</f>
        <v/>
      </c>
      <c r="J318">
        <f>IF(A318="",0,IF(A318&gt;$B$5,1,0))</f>
        <v/>
      </c>
      <c r="K318" s="29">
        <f>IF(AND(J318=1,ISNUMBER(D318)),D318,"")</f>
        <v/>
      </c>
      <c r="L318" s="30">
        <f>IF(AND(J318=1,ISNUMBER(G318)),G318,"")</f>
        <v/>
      </c>
      <c r="M318" s="22">
        <f>IF(AND(J318=1,ISNUMBER(C318)),C318,"")</f>
        <v/>
      </c>
      <c r="N318" s="31">
        <f>IF(AND(J318=1,ISNUMBER(I318)),I318,"")</f>
        <v/>
      </c>
      <c r="O318" s="11">
        <f>IF(K318="","",100-IF($G$13=1,50,(_xlfn.RANK.AVG(K318,$K$19:$K$1518,1)-1)/($G$13-1)*100))</f>
        <v/>
      </c>
      <c r="P318" s="11">
        <f>IF(L318="","",100-IF($G$14=1,50,(_xlfn.RANK.AVG(L318,$L$19:$L$1518,1)-1)/($G$14-1)*100))</f>
        <v/>
      </c>
      <c r="Q318" s="11">
        <f>IF(M318="","",IF($G$15=1,50,(_xlfn.RANK.AVG(M318,$M$19:$M$1518,1)-1)/($G$15-1)*100))</f>
        <v/>
      </c>
      <c r="R318" s="11">
        <f>IF(N318="","",IF($G$16=1,50,(_xlfn.RANK.AVG(N318,$N$19:$N$1518,1)-1)/($G$16-1)*100))</f>
        <v/>
      </c>
      <c r="S318" s="11">
        <f>IF(COUNT(O318:R318)=4,ROUND(AVERAGE(O318:R318),6),"")</f>
        <v/>
      </c>
      <c r="U318">
        <f>IF(AND(ISNUMBER('자료_한국심리'!$A302),ISNUMBER('자료_한국심리'!$B302)),'자료_한국심리'!$A302,"")</f>
        <v/>
      </c>
      <c r="V318">
        <f>IF(AND(ISNUMBER('자료_한국심리'!$D302),ISNUMBER('자료_한국심리'!$E302)),'자료_한국심리'!$D302,"")</f>
        <v/>
      </c>
      <c r="W318">
        <f>IF(AND(ISNUMBER('자료_한국심리'!$G302),ISNUMBER('자료_한국심리'!$H302)),'자료_한국심리'!$G302,"")</f>
        <v/>
      </c>
      <c r="X318">
        <f>IF(AND(ISNUMBER('자료_한국심리'!$J302),ISNUMBER('자료_한국심리'!$K302)),'자료_한국심리'!$J302,"")</f>
        <v/>
      </c>
      <c r="Y318">
        <f>IF(AND(ISNUMBER('자료_한국심리'!$M302),ISNUMBER('자료_한국심리'!$N302)),'자료_한국심리'!$M302,"")</f>
        <v/>
      </c>
    </row>
    <row r="319">
      <c r="A319" s="10">
        <f>IF(301&gt;$E$5,"",SMALL($U$19:$U$4018,$E$6+301))</f>
        <v/>
      </c>
      <c r="B319" s="29">
        <f>IF(A319="","",INDEX('자료_한국심리'!$B$3:$B$4002,MATCH(A319,$U$19:$U$4018,0)))</f>
        <v/>
      </c>
      <c r="C319" s="22">
        <f>IF(A319="","",B319/AVERAGE(B195:B319)-1)</f>
        <v/>
      </c>
      <c r="D319" s="29">
        <f>IF(A319="","",IFERROR(INDEX('자료_한국심리'!$E$3:$E$4002,MATCH(A319,$V$19:$V$4018,0)),D318))</f>
        <v/>
      </c>
      <c r="E319" s="30">
        <f>IF(A319="","",IFERROR(INDEX('자료_한국심리'!$H$3:$H$4002,MATCH(A319,$W$19:$W$4018,0)),E318))</f>
        <v/>
      </c>
      <c r="F319" s="30">
        <f>IF(A319="","",IFERROR(INDEX('자료_한국심리'!$K$3:$K$4002,MATCH(A319,$X$19:$X$4018,0)),F318))</f>
        <v/>
      </c>
      <c r="G319" s="30">
        <f>IF(AND(ISNUMBER(E319),ISNUMBER(F319)),ROUND(E319-F319,6),"")</f>
        <v/>
      </c>
      <c r="H319" s="25">
        <f>IF(A319="","",IFERROR(INDEX('자료_한국심리'!$N$3:$N$4002,MATCH(A319,$Y$19:$Y$4018,0)),H318))</f>
        <v/>
      </c>
      <c r="I319" s="31">
        <f>IF(AND(ISNUMBER(H319),ISNUMBER(H299)),IF(H299&gt;0,H319/H299-1,""),"")</f>
        <v/>
      </c>
      <c r="J319">
        <f>IF(A319="",0,IF(A319&gt;$B$5,1,0))</f>
        <v/>
      </c>
      <c r="K319" s="29">
        <f>IF(AND(J319=1,ISNUMBER(D319)),D319,"")</f>
        <v/>
      </c>
      <c r="L319" s="30">
        <f>IF(AND(J319=1,ISNUMBER(G319)),G319,"")</f>
        <v/>
      </c>
      <c r="M319" s="22">
        <f>IF(AND(J319=1,ISNUMBER(C319)),C319,"")</f>
        <v/>
      </c>
      <c r="N319" s="31">
        <f>IF(AND(J319=1,ISNUMBER(I319)),I319,"")</f>
        <v/>
      </c>
      <c r="O319" s="11">
        <f>IF(K319="","",100-IF($G$13=1,50,(_xlfn.RANK.AVG(K319,$K$19:$K$1518,1)-1)/($G$13-1)*100))</f>
        <v/>
      </c>
      <c r="P319" s="11">
        <f>IF(L319="","",100-IF($G$14=1,50,(_xlfn.RANK.AVG(L319,$L$19:$L$1518,1)-1)/($G$14-1)*100))</f>
        <v/>
      </c>
      <c r="Q319" s="11">
        <f>IF(M319="","",IF($G$15=1,50,(_xlfn.RANK.AVG(M319,$M$19:$M$1518,1)-1)/($G$15-1)*100))</f>
        <v/>
      </c>
      <c r="R319" s="11">
        <f>IF(N319="","",IF($G$16=1,50,(_xlfn.RANK.AVG(N319,$N$19:$N$1518,1)-1)/($G$16-1)*100))</f>
        <v/>
      </c>
      <c r="S319" s="11">
        <f>IF(COUNT(O319:R319)=4,ROUND(AVERAGE(O319:R319),6),"")</f>
        <v/>
      </c>
      <c r="U319">
        <f>IF(AND(ISNUMBER('자료_한국심리'!$A303),ISNUMBER('자료_한국심리'!$B303)),'자료_한국심리'!$A303,"")</f>
        <v/>
      </c>
      <c r="V319">
        <f>IF(AND(ISNUMBER('자료_한국심리'!$D303),ISNUMBER('자료_한국심리'!$E303)),'자료_한국심리'!$D303,"")</f>
        <v/>
      </c>
      <c r="W319">
        <f>IF(AND(ISNUMBER('자료_한국심리'!$G303),ISNUMBER('자료_한국심리'!$H303)),'자료_한국심리'!$G303,"")</f>
        <v/>
      </c>
      <c r="X319">
        <f>IF(AND(ISNUMBER('자료_한국심리'!$J303),ISNUMBER('자료_한국심리'!$K303)),'자료_한국심리'!$J303,"")</f>
        <v/>
      </c>
      <c r="Y319">
        <f>IF(AND(ISNUMBER('자료_한국심리'!$M303),ISNUMBER('자료_한국심리'!$N303)),'자료_한국심리'!$M303,"")</f>
        <v/>
      </c>
    </row>
    <row r="320">
      <c r="A320" s="10">
        <f>IF(302&gt;$E$5,"",SMALL($U$19:$U$4018,$E$6+302))</f>
        <v/>
      </c>
      <c r="B320" s="29">
        <f>IF(A320="","",INDEX('자료_한국심리'!$B$3:$B$4002,MATCH(A320,$U$19:$U$4018,0)))</f>
        <v/>
      </c>
      <c r="C320" s="22">
        <f>IF(A320="","",B320/AVERAGE(B196:B320)-1)</f>
        <v/>
      </c>
      <c r="D320" s="29">
        <f>IF(A320="","",IFERROR(INDEX('자료_한국심리'!$E$3:$E$4002,MATCH(A320,$V$19:$V$4018,0)),D319))</f>
        <v/>
      </c>
      <c r="E320" s="30">
        <f>IF(A320="","",IFERROR(INDEX('자료_한국심리'!$H$3:$H$4002,MATCH(A320,$W$19:$W$4018,0)),E319))</f>
        <v/>
      </c>
      <c r="F320" s="30">
        <f>IF(A320="","",IFERROR(INDEX('자료_한국심리'!$K$3:$K$4002,MATCH(A320,$X$19:$X$4018,0)),F319))</f>
        <v/>
      </c>
      <c r="G320" s="30">
        <f>IF(AND(ISNUMBER(E320),ISNUMBER(F320)),ROUND(E320-F320,6),"")</f>
        <v/>
      </c>
      <c r="H320" s="25">
        <f>IF(A320="","",IFERROR(INDEX('자료_한국심리'!$N$3:$N$4002,MATCH(A320,$Y$19:$Y$4018,0)),H319))</f>
        <v/>
      </c>
      <c r="I320" s="31">
        <f>IF(AND(ISNUMBER(H320),ISNUMBER(H300)),IF(H300&gt;0,H320/H300-1,""),"")</f>
        <v/>
      </c>
      <c r="J320">
        <f>IF(A320="",0,IF(A320&gt;$B$5,1,0))</f>
        <v/>
      </c>
      <c r="K320" s="29">
        <f>IF(AND(J320=1,ISNUMBER(D320)),D320,"")</f>
        <v/>
      </c>
      <c r="L320" s="30">
        <f>IF(AND(J320=1,ISNUMBER(G320)),G320,"")</f>
        <v/>
      </c>
      <c r="M320" s="22">
        <f>IF(AND(J320=1,ISNUMBER(C320)),C320,"")</f>
        <v/>
      </c>
      <c r="N320" s="31">
        <f>IF(AND(J320=1,ISNUMBER(I320)),I320,"")</f>
        <v/>
      </c>
      <c r="O320" s="11">
        <f>IF(K320="","",100-IF($G$13=1,50,(_xlfn.RANK.AVG(K320,$K$19:$K$1518,1)-1)/($G$13-1)*100))</f>
        <v/>
      </c>
      <c r="P320" s="11">
        <f>IF(L320="","",100-IF($G$14=1,50,(_xlfn.RANK.AVG(L320,$L$19:$L$1518,1)-1)/($G$14-1)*100))</f>
        <v/>
      </c>
      <c r="Q320" s="11">
        <f>IF(M320="","",IF($G$15=1,50,(_xlfn.RANK.AVG(M320,$M$19:$M$1518,1)-1)/($G$15-1)*100))</f>
        <v/>
      </c>
      <c r="R320" s="11">
        <f>IF(N320="","",IF($G$16=1,50,(_xlfn.RANK.AVG(N320,$N$19:$N$1518,1)-1)/($G$16-1)*100))</f>
        <v/>
      </c>
      <c r="S320" s="11">
        <f>IF(COUNT(O320:R320)=4,ROUND(AVERAGE(O320:R320),6),"")</f>
        <v/>
      </c>
      <c r="U320">
        <f>IF(AND(ISNUMBER('자료_한국심리'!$A304),ISNUMBER('자료_한국심리'!$B304)),'자료_한국심리'!$A304,"")</f>
        <v/>
      </c>
      <c r="V320">
        <f>IF(AND(ISNUMBER('자료_한국심리'!$D304),ISNUMBER('자료_한국심리'!$E304)),'자료_한국심리'!$D304,"")</f>
        <v/>
      </c>
      <c r="W320">
        <f>IF(AND(ISNUMBER('자료_한국심리'!$G304),ISNUMBER('자료_한국심리'!$H304)),'자료_한국심리'!$G304,"")</f>
        <v/>
      </c>
      <c r="X320">
        <f>IF(AND(ISNUMBER('자료_한국심리'!$J304),ISNUMBER('자료_한국심리'!$K304)),'자료_한국심리'!$J304,"")</f>
        <v/>
      </c>
      <c r="Y320">
        <f>IF(AND(ISNUMBER('자료_한국심리'!$M304),ISNUMBER('자료_한국심리'!$N304)),'자료_한국심리'!$M304,"")</f>
        <v/>
      </c>
    </row>
    <row r="321">
      <c r="A321" s="10">
        <f>IF(303&gt;$E$5,"",SMALL($U$19:$U$4018,$E$6+303))</f>
        <v/>
      </c>
      <c r="B321" s="29">
        <f>IF(A321="","",INDEX('자료_한국심리'!$B$3:$B$4002,MATCH(A321,$U$19:$U$4018,0)))</f>
        <v/>
      </c>
      <c r="C321" s="22">
        <f>IF(A321="","",B321/AVERAGE(B197:B321)-1)</f>
        <v/>
      </c>
      <c r="D321" s="29">
        <f>IF(A321="","",IFERROR(INDEX('자료_한국심리'!$E$3:$E$4002,MATCH(A321,$V$19:$V$4018,0)),D320))</f>
        <v/>
      </c>
      <c r="E321" s="30">
        <f>IF(A321="","",IFERROR(INDEX('자료_한국심리'!$H$3:$H$4002,MATCH(A321,$W$19:$W$4018,0)),E320))</f>
        <v/>
      </c>
      <c r="F321" s="30">
        <f>IF(A321="","",IFERROR(INDEX('자료_한국심리'!$K$3:$K$4002,MATCH(A321,$X$19:$X$4018,0)),F320))</f>
        <v/>
      </c>
      <c r="G321" s="30">
        <f>IF(AND(ISNUMBER(E321),ISNUMBER(F321)),ROUND(E321-F321,6),"")</f>
        <v/>
      </c>
      <c r="H321" s="25">
        <f>IF(A321="","",IFERROR(INDEX('자료_한국심리'!$N$3:$N$4002,MATCH(A321,$Y$19:$Y$4018,0)),H320))</f>
        <v/>
      </c>
      <c r="I321" s="31">
        <f>IF(AND(ISNUMBER(H321),ISNUMBER(H301)),IF(H301&gt;0,H321/H301-1,""),"")</f>
        <v/>
      </c>
      <c r="J321">
        <f>IF(A321="",0,IF(A321&gt;$B$5,1,0))</f>
        <v/>
      </c>
      <c r="K321" s="29">
        <f>IF(AND(J321=1,ISNUMBER(D321)),D321,"")</f>
        <v/>
      </c>
      <c r="L321" s="30">
        <f>IF(AND(J321=1,ISNUMBER(G321)),G321,"")</f>
        <v/>
      </c>
      <c r="M321" s="22">
        <f>IF(AND(J321=1,ISNUMBER(C321)),C321,"")</f>
        <v/>
      </c>
      <c r="N321" s="31">
        <f>IF(AND(J321=1,ISNUMBER(I321)),I321,"")</f>
        <v/>
      </c>
      <c r="O321" s="11">
        <f>IF(K321="","",100-IF($G$13=1,50,(_xlfn.RANK.AVG(K321,$K$19:$K$1518,1)-1)/($G$13-1)*100))</f>
        <v/>
      </c>
      <c r="P321" s="11">
        <f>IF(L321="","",100-IF($G$14=1,50,(_xlfn.RANK.AVG(L321,$L$19:$L$1518,1)-1)/($G$14-1)*100))</f>
        <v/>
      </c>
      <c r="Q321" s="11">
        <f>IF(M321="","",IF($G$15=1,50,(_xlfn.RANK.AVG(M321,$M$19:$M$1518,1)-1)/($G$15-1)*100))</f>
        <v/>
      </c>
      <c r="R321" s="11">
        <f>IF(N321="","",IF($G$16=1,50,(_xlfn.RANK.AVG(N321,$N$19:$N$1518,1)-1)/($G$16-1)*100))</f>
        <v/>
      </c>
      <c r="S321" s="11">
        <f>IF(COUNT(O321:R321)=4,ROUND(AVERAGE(O321:R321),6),"")</f>
        <v/>
      </c>
      <c r="U321">
        <f>IF(AND(ISNUMBER('자료_한국심리'!$A305),ISNUMBER('자료_한국심리'!$B305)),'자료_한국심리'!$A305,"")</f>
        <v/>
      </c>
      <c r="V321">
        <f>IF(AND(ISNUMBER('자료_한국심리'!$D305),ISNUMBER('자료_한국심리'!$E305)),'자료_한국심리'!$D305,"")</f>
        <v/>
      </c>
      <c r="W321">
        <f>IF(AND(ISNUMBER('자료_한국심리'!$G305),ISNUMBER('자료_한국심리'!$H305)),'자료_한국심리'!$G305,"")</f>
        <v/>
      </c>
      <c r="X321">
        <f>IF(AND(ISNUMBER('자료_한국심리'!$J305),ISNUMBER('자료_한국심리'!$K305)),'자료_한국심리'!$J305,"")</f>
        <v/>
      </c>
      <c r="Y321">
        <f>IF(AND(ISNUMBER('자료_한국심리'!$M305),ISNUMBER('자료_한국심리'!$N305)),'자료_한국심리'!$M305,"")</f>
        <v/>
      </c>
    </row>
    <row r="322">
      <c r="A322" s="10">
        <f>IF(304&gt;$E$5,"",SMALL($U$19:$U$4018,$E$6+304))</f>
        <v/>
      </c>
      <c r="B322" s="29">
        <f>IF(A322="","",INDEX('자료_한국심리'!$B$3:$B$4002,MATCH(A322,$U$19:$U$4018,0)))</f>
        <v/>
      </c>
      <c r="C322" s="22">
        <f>IF(A322="","",B322/AVERAGE(B198:B322)-1)</f>
        <v/>
      </c>
      <c r="D322" s="29">
        <f>IF(A322="","",IFERROR(INDEX('자료_한국심리'!$E$3:$E$4002,MATCH(A322,$V$19:$V$4018,0)),D321))</f>
        <v/>
      </c>
      <c r="E322" s="30">
        <f>IF(A322="","",IFERROR(INDEX('자료_한국심리'!$H$3:$H$4002,MATCH(A322,$W$19:$W$4018,0)),E321))</f>
        <v/>
      </c>
      <c r="F322" s="30">
        <f>IF(A322="","",IFERROR(INDEX('자료_한국심리'!$K$3:$K$4002,MATCH(A322,$X$19:$X$4018,0)),F321))</f>
        <v/>
      </c>
      <c r="G322" s="30">
        <f>IF(AND(ISNUMBER(E322),ISNUMBER(F322)),ROUND(E322-F322,6),"")</f>
        <v/>
      </c>
      <c r="H322" s="25">
        <f>IF(A322="","",IFERROR(INDEX('자료_한국심리'!$N$3:$N$4002,MATCH(A322,$Y$19:$Y$4018,0)),H321))</f>
        <v/>
      </c>
      <c r="I322" s="31">
        <f>IF(AND(ISNUMBER(H322),ISNUMBER(H302)),IF(H302&gt;0,H322/H302-1,""),"")</f>
        <v/>
      </c>
      <c r="J322">
        <f>IF(A322="",0,IF(A322&gt;$B$5,1,0))</f>
        <v/>
      </c>
      <c r="K322" s="29">
        <f>IF(AND(J322=1,ISNUMBER(D322)),D322,"")</f>
        <v/>
      </c>
      <c r="L322" s="30">
        <f>IF(AND(J322=1,ISNUMBER(G322)),G322,"")</f>
        <v/>
      </c>
      <c r="M322" s="22">
        <f>IF(AND(J322=1,ISNUMBER(C322)),C322,"")</f>
        <v/>
      </c>
      <c r="N322" s="31">
        <f>IF(AND(J322=1,ISNUMBER(I322)),I322,"")</f>
        <v/>
      </c>
      <c r="O322" s="11">
        <f>IF(K322="","",100-IF($G$13=1,50,(_xlfn.RANK.AVG(K322,$K$19:$K$1518,1)-1)/($G$13-1)*100))</f>
        <v/>
      </c>
      <c r="P322" s="11">
        <f>IF(L322="","",100-IF($G$14=1,50,(_xlfn.RANK.AVG(L322,$L$19:$L$1518,1)-1)/($G$14-1)*100))</f>
        <v/>
      </c>
      <c r="Q322" s="11">
        <f>IF(M322="","",IF($G$15=1,50,(_xlfn.RANK.AVG(M322,$M$19:$M$1518,1)-1)/($G$15-1)*100))</f>
        <v/>
      </c>
      <c r="R322" s="11">
        <f>IF(N322="","",IF($G$16=1,50,(_xlfn.RANK.AVG(N322,$N$19:$N$1518,1)-1)/($G$16-1)*100))</f>
        <v/>
      </c>
      <c r="S322" s="11">
        <f>IF(COUNT(O322:R322)=4,ROUND(AVERAGE(O322:R322),6),"")</f>
        <v/>
      </c>
      <c r="U322">
        <f>IF(AND(ISNUMBER('자료_한국심리'!$A306),ISNUMBER('자료_한국심리'!$B306)),'자료_한국심리'!$A306,"")</f>
        <v/>
      </c>
      <c r="V322">
        <f>IF(AND(ISNUMBER('자료_한국심리'!$D306),ISNUMBER('자료_한국심리'!$E306)),'자료_한국심리'!$D306,"")</f>
        <v/>
      </c>
      <c r="W322">
        <f>IF(AND(ISNUMBER('자료_한국심리'!$G306),ISNUMBER('자료_한국심리'!$H306)),'자료_한국심리'!$G306,"")</f>
        <v/>
      </c>
      <c r="X322">
        <f>IF(AND(ISNUMBER('자료_한국심리'!$J306),ISNUMBER('자료_한국심리'!$K306)),'자료_한국심리'!$J306,"")</f>
        <v/>
      </c>
      <c r="Y322">
        <f>IF(AND(ISNUMBER('자료_한국심리'!$M306),ISNUMBER('자료_한국심리'!$N306)),'자료_한국심리'!$M306,"")</f>
        <v/>
      </c>
    </row>
    <row r="323">
      <c r="A323" s="10">
        <f>IF(305&gt;$E$5,"",SMALL($U$19:$U$4018,$E$6+305))</f>
        <v/>
      </c>
      <c r="B323" s="29">
        <f>IF(A323="","",INDEX('자료_한국심리'!$B$3:$B$4002,MATCH(A323,$U$19:$U$4018,0)))</f>
        <v/>
      </c>
      <c r="C323" s="22">
        <f>IF(A323="","",B323/AVERAGE(B199:B323)-1)</f>
        <v/>
      </c>
      <c r="D323" s="29">
        <f>IF(A323="","",IFERROR(INDEX('자료_한국심리'!$E$3:$E$4002,MATCH(A323,$V$19:$V$4018,0)),D322))</f>
        <v/>
      </c>
      <c r="E323" s="30">
        <f>IF(A323="","",IFERROR(INDEX('자료_한국심리'!$H$3:$H$4002,MATCH(A323,$W$19:$W$4018,0)),E322))</f>
        <v/>
      </c>
      <c r="F323" s="30">
        <f>IF(A323="","",IFERROR(INDEX('자료_한국심리'!$K$3:$K$4002,MATCH(A323,$X$19:$X$4018,0)),F322))</f>
        <v/>
      </c>
      <c r="G323" s="30">
        <f>IF(AND(ISNUMBER(E323),ISNUMBER(F323)),ROUND(E323-F323,6),"")</f>
        <v/>
      </c>
      <c r="H323" s="25">
        <f>IF(A323="","",IFERROR(INDEX('자료_한국심리'!$N$3:$N$4002,MATCH(A323,$Y$19:$Y$4018,0)),H322))</f>
        <v/>
      </c>
      <c r="I323" s="31">
        <f>IF(AND(ISNUMBER(H323),ISNUMBER(H303)),IF(H303&gt;0,H323/H303-1,""),"")</f>
        <v/>
      </c>
      <c r="J323">
        <f>IF(A323="",0,IF(A323&gt;$B$5,1,0))</f>
        <v/>
      </c>
      <c r="K323" s="29">
        <f>IF(AND(J323=1,ISNUMBER(D323)),D323,"")</f>
        <v/>
      </c>
      <c r="L323" s="30">
        <f>IF(AND(J323=1,ISNUMBER(G323)),G323,"")</f>
        <v/>
      </c>
      <c r="M323" s="22">
        <f>IF(AND(J323=1,ISNUMBER(C323)),C323,"")</f>
        <v/>
      </c>
      <c r="N323" s="31">
        <f>IF(AND(J323=1,ISNUMBER(I323)),I323,"")</f>
        <v/>
      </c>
      <c r="O323" s="11">
        <f>IF(K323="","",100-IF($G$13=1,50,(_xlfn.RANK.AVG(K323,$K$19:$K$1518,1)-1)/($G$13-1)*100))</f>
        <v/>
      </c>
      <c r="P323" s="11">
        <f>IF(L323="","",100-IF($G$14=1,50,(_xlfn.RANK.AVG(L323,$L$19:$L$1518,1)-1)/($G$14-1)*100))</f>
        <v/>
      </c>
      <c r="Q323" s="11">
        <f>IF(M323="","",IF($G$15=1,50,(_xlfn.RANK.AVG(M323,$M$19:$M$1518,1)-1)/($G$15-1)*100))</f>
        <v/>
      </c>
      <c r="R323" s="11">
        <f>IF(N323="","",IF($G$16=1,50,(_xlfn.RANK.AVG(N323,$N$19:$N$1518,1)-1)/($G$16-1)*100))</f>
        <v/>
      </c>
      <c r="S323" s="11">
        <f>IF(COUNT(O323:R323)=4,ROUND(AVERAGE(O323:R323),6),"")</f>
        <v/>
      </c>
      <c r="U323">
        <f>IF(AND(ISNUMBER('자료_한국심리'!$A307),ISNUMBER('자료_한국심리'!$B307)),'자료_한국심리'!$A307,"")</f>
        <v/>
      </c>
      <c r="V323">
        <f>IF(AND(ISNUMBER('자료_한국심리'!$D307),ISNUMBER('자료_한국심리'!$E307)),'자료_한국심리'!$D307,"")</f>
        <v/>
      </c>
      <c r="W323">
        <f>IF(AND(ISNUMBER('자료_한국심리'!$G307),ISNUMBER('자료_한국심리'!$H307)),'자료_한국심리'!$G307,"")</f>
        <v/>
      </c>
      <c r="X323">
        <f>IF(AND(ISNUMBER('자료_한국심리'!$J307),ISNUMBER('자료_한국심리'!$K307)),'자료_한국심리'!$J307,"")</f>
        <v/>
      </c>
      <c r="Y323">
        <f>IF(AND(ISNUMBER('자료_한국심리'!$M307),ISNUMBER('자료_한국심리'!$N307)),'자료_한국심리'!$M307,"")</f>
        <v/>
      </c>
    </row>
    <row r="324">
      <c r="A324" s="10">
        <f>IF(306&gt;$E$5,"",SMALL($U$19:$U$4018,$E$6+306))</f>
        <v/>
      </c>
      <c r="B324" s="29">
        <f>IF(A324="","",INDEX('자료_한국심리'!$B$3:$B$4002,MATCH(A324,$U$19:$U$4018,0)))</f>
        <v/>
      </c>
      <c r="C324" s="22">
        <f>IF(A324="","",B324/AVERAGE(B200:B324)-1)</f>
        <v/>
      </c>
      <c r="D324" s="29">
        <f>IF(A324="","",IFERROR(INDEX('자료_한국심리'!$E$3:$E$4002,MATCH(A324,$V$19:$V$4018,0)),D323))</f>
        <v/>
      </c>
      <c r="E324" s="30">
        <f>IF(A324="","",IFERROR(INDEX('자료_한국심리'!$H$3:$H$4002,MATCH(A324,$W$19:$W$4018,0)),E323))</f>
        <v/>
      </c>
      <c r="F324" s="30">
        <f>IF(A324="","",IFERROR(INDEX('자료_한국심리'!$K$3:$K$4002,MATCH(A324,$X$19:$X$4018,0)),F323))</f>
        <v/>
      </c>
      <c r="G324" s="30">
        <f>IF(AND(ISNUMBER(E324),ISNUMBER(F324)),ROUND(E324-F324,6),"")</f>
        <v/>
      </c>
      <c r="H324" s="25">
        <f>IF(A324="","",IFERROR(INDEX('자료_한국심리'!$N$3:$N$4002,MATCH(A324,$Y$19:$Y$4018,0)),H323))</f>
        <v/>
      </c>
      <c r="I324" s="31">
        <f>IF(AND(ISNUMBER(H324),ISNUMBER(H304)),IF(H304&gt;0,H324/H304-1,""),"")</f>
        <v/>
      </c>
      <c r="J324">
        <f>IF(A324="",0,IF(A324&gt;$B$5,1,0))</f>
        <v/>
      </c>
      <c r="K324" s="29">
        <f>IF(AND(J324=1,ISNUMBER(D324)),D324,"")</f>
        <v/>
      </c>
      <c r="L324" s="30">
        <f>IF(AND(J324=1,ISNUMBER(G324)),G324,"")</f>
        <v/>
      </c>
      <c r="M324" s="22">
        <f>IF(AND(J324=1,ISNUMBER(C324)),C324,"")</f>
        <v/>
      </c>
      <c r="N324" s="31">
        <f>IF(AND(J324=1,ISNUMBER(I324)),I324,"")</f>
        <v/>
      </c>
      <c r="O324" s="11">
        <f>IF(K324="","",100-IF($G$13=1,50,(_xlfn.RANK.AVG(K324,$K$19:$K$1518,1)-1)/($G$13-1)*100))</f>
        <v/>
      </c>
      <c r="P324" s="11">
        <f>IF(L324="","",100-IF($G$14=1,50,(_xlfn.RANK.AVG(L324,$L$19:$L$1518,1)-1)/($G$14-1)*100))</f>
        <v/>
      </c>
      <c r="Q324" s="11">
        <f>IF(M324="","",IF($G$15=1,50,(_xlfn.RANK.AVG(M324,$M$19:$M$1518,1)-1)/($G$15-1)*100))</f>
        <v/>
      </c>
      <c r="R324" s="11">
        <f>IF(N324="","",IF($G$16=1,50,(_xlfn.RANK.AVG(N324,$N$19:$N$1518,1)-1)/($G$16-1)*100))</f>
        <v/>
      </c>
      <c r="S324" s="11">
        <f>IF(COUNT(O324:R324)=4,ROUND(AVERAGE(O324:R324),6),"")</f>
        <v/>
      </c>
      <c r="U324">
        <f>IF(AND(ISNUMBER('자료_한국심리'!$A308),ISNUMBER('자료_한국심리'!$B308)),'자료_한국심리'!$A308,"")</f>
        <v/>
      </c>
      <c r="V324">
        <f>IF(AND(ISNUMBER('자료_한국심리'!$D308),ISNUMBER('자료_한국심리'!$E308)),'자료_한국심리'!$D308,"")</f>
        <v/>
      </c>
      <c r="W324">
        <f>IF(AND(ISNUMBER('자료_한국심리'!$G308),ISNUMBER('자료_한국심리'!$H308)),'자료_한국심리'!$G308,"")</f>
        <v/>
      </c>
      <c r="X324">
        <f>IF(AND(ISNUMBER('자료_한국심리'!$J308),ISNUMBER('자료_한국심리'!$K308)),'자료_한국심리'!$J308,"")</f>
        <v/>
      </c>
      <c r="Y324">
        <f>IF(AND(ISNUMBER('자료_한국심리'!$M308),ISNUMBER('자료_한국심리'!$N308)),'자료_한국심리'!$M308,"")</f>
        <v/>
      </c>
    </row>
    <row r="325">
      <c r="A325" s="10">
        <f>IF(307&gt;$E$5,"",SMALL($U$19:$U$4018,$E$6+307))</f>
        <v/>
      </c>
      <c r="B325" s="29">
        <f>IF(A325="","",INDEX('자료_한국심리'!$B$3:$B$4002,MATCH(A325,$U$19:$U$4018,0)))</f>
        <v/>
      </c>
      <c r="C325" s="22">
        <f>IF(A325="","",B325/AVERAGE(B201:B325)-1)</f>
        <v/>
      </c>
      <c r="D325" s="29">
        <f>IF(A325="","",IFERROR(INDEX('자료_한국심리'!$E$3:$E$4002,MATCH(A325,$V$19:$V$4018,0)),D324))</f>
        <v/>
      </c>
      <c r="E325" s="30">
        <f>IF(A325="","",IFERROR(INDEX('자료_한국심리'!$H$3:$H$4002,MATCH(A325,$W$19:$W$4018,0)),E324))</f>
        <v/>
      </c>
      <c r="F325" s="30">
        <f>IF(A325="","",IFERROR(INDEX('자료_한국심리'!$K$3:$K$4002,MATCH(A325,$X$19:$X$4018,0)),F324))</f>
        <v/>
      </c>
      <c r="G325" s="30">
        <f>IF(AND(ISNUMBER(E325),ISNUMBER(F325)),ROUND(E325-F325,6),"")</f>
        <v/>
      </c>
      <c r="H325" s="25">
        <f>IF(A325="","",IFERROR(INDEX('자료_한국심리'!$N$3:$N$4002,MATCH(A325,$Y$19:$Y$4018,0)),H324))</f>
        <v/>
      </c>
      <c r="I325" s="31">
        <f>IF(AND(ISNUMBER(H325),ISNUMBER(H305)),IF(H305&gt;0,H325/H305-1,""),"")</f>
        <v/>
      </c>
      <c r="J325">
        <f>IF(A325="",0,IF(A325&gt;$B$5,1,0))</f>
        <v/>
      </c>
      <c r="K325" s="29">
        <f>IF(AND(J325=1,ISNUMBER(D325)),D325,"")</f>
        <v/>
      </c>
      <c r="L325" s="30">
        <f>IF(AND(J325=1,ISNUMBER(G325)),G325,"")</f>
        <v/>
      </c>
      <c r="M325" s="22">
        <f>IF(AND(J325=1,ISNUMBER(C325)),C325,"")</f>
        <v/>
      </c>
      <c r="N325" s="31">
        <f>IF(AND(J325=1,ISNUMBER(I325)),I325,"")</f>
        <v/>
      </c>
      <c r="O325" s="11">
        <f>IF(K325="","",100-IF($G$13=1,50,(_xlfn.RANK.AVG(K325,$K$19:$K$1518,1)-1)/($G$13-1)*100))</f>
        <v/>
      </c>
      <c r="P325" s="11">
        <f>IF(L325="","",100-IF($G$14=1,50,(_xlfn.RANK.AVG(L325,$L$19:$L$1518,1)-1)/($G$14-1)*100))</f>
        <v/>
      </c>
      <c r="Q325" s="11">
        <f>IF(M325="","",IF($G$15=1,50,(_xlfn.RANK.AVG(M325,$M$19:$M$1518,1)-1)/($G$15-1)*100))</f>
        <v/>
      </c>
      <c r="R325" s="11">
        <f>IF(N325="","",IF($G$16=1,50,(_xlfn.RANK.AVG(N325,$N$19:$N$1518,1)-1)/($G$16-1)*100))</f>
        <v/>
      </c>
      <c r="S325" s="11">
        <f>IF(COUNT(O325:R325)=4,ROUND(AVERAGE(O325:R325),6),"")</f>
        <v/>
      </c>
      <c r="U325">
        <f>IF(AND(ISNUMBER('자료_한국심리'!$A309),ISNUMBER('자료_한국심리'!$B309)),'자료_한국심리'!$A309,"")</f>
        <v/>
      </c>
      <c r="V325">
        <f>IF(AND(ISNUMBER('자료_한국심리'!$D309),ISNUMBER('자료_한국심리'!$E309)),'자료_한국심리'!$D309,"")</f>
        <v/>
      </c>
      <c r="W325">
        <f>IF(AND(ISNUMBER('자료_한국심리'!$G309),ISNUMBER('자료_한국심리'!$H309)),'자료_한국심리'!$G309,"")</f>
        <v/>
      </c>
      <c r="X325">
        <f>IF(AND(ISNUMBER('자료_한국심리'!$J309),ISNUMBER('자료_한국심리'!$K309)),'자료_한국심리'!$J309,"")</f>
        <v/>
      </c>
      <c r="Y325">
        <f>IF(AND(ISNUMBER('자료_한국심리'!$M309),ISNUMBER('자료_한국심리'!$N309)),'자료_한국심리'!$M309,"")</f>
        <v/>
      </c>
    </row>
    <row r="326">
      <c r="A326" s="10">
        <f>IF(308&gt;$E$5,"",SMALL($U$19:$U$4018,$E$6+308))</f>
        <v/>
      </c>
      <c r="B326" s="29">
        <f>IF(A326="","",INDEX('자료_한국심리'!$B$3:$B$4002,MATCH(A326,$U$19:$U$4018,0)))</f>
        <v/>
      </c>
      <c r="C326" s="22">
        <f>IF(A326="","",B326/AVERAGE(B202:B326)-1)</f>
        <v/>
      </c>
      <c r="D326" s="29">
        <f>IF(A326="","",IFERROR(INDEX('자료_한국심리'!$E$3:$E$4002,MATCH(A326,$V$19:$V$4018,0)),D325))</f>
        <v/>
      </c>
      <c r="E326" s="30">
        <f>IF(A326="","",IFERROR(INDEX('자료_한국심리'!$H$3:$H$4002,MATCH(A326,$W$19:$W$4018,0)),E325))</f>
        <v/>
      </c>
      <c r="F326" s="30">
        <f>IF(A326="","",IFERROR(INDEX('자료_한국심리'!$K$3:$K$4002,MATCH(A326,$X$19:$X$4018,0)),F325))</f>
        <v/>
      </c>
      <c r="G326" s="30">
        <f>IF(AND(ISNUMBER(E326),ISNUMBER(F326)),ROUND(E326-F326,6),"")</f>
        <v/>
      </c>
      <c r="H326" s="25">
        <f>IF(A326="","",IFERROR(INDEX('자료_한국심리'!$N$3:$N$4002,MATCH(A326,$Y$19:$Y$4018,0)),H325))</f>
        <v/>
      </c>
      <c r="I326" s="31">
        <f>IF(AND(ISNUMBER(H326),ISNUMBER(H306)),IF(H306&gt;0,H326/H306-1,""),"")</f>
        <v/>
      </c>
      <c r="J326">
        <f>IF(A326="",0,IF(A326&gt;$B$5,1,0))</f>
        <v/>
      </c>
      <c r="K326" s="29">
        <f>IF(AND(J326=1,ISNUMBER(D326)),D326,"")</f>
        <v/>
      </c>
      <c r="L326" s="30">
        <f>IF(AND(J326=1,ISNUMBER(G326)),G326,"")</f>
        <v/>
      </c>
      <c r="M326" s="22">
        <f>IF(AND(J326=1,ISNUMBER(C326)),C326,"")</f>
        <v/>
      </c>
      <c r="N326" s="31">
        <f>IF(AND(J326=1,ISNUMBER(I326)),I326,"")</f>
        <v/>
      </c>
      <c r="O326" s="11">
        <f>IF(K326="","",100-IF($G$13=1,50,(_xlfn.RANK.AVG(K326,$K$19:$K$1518,1)-1)/($G$13-1)*100))</f>
        <v/>
      </c>
      <c r="P326" s="11">
        <f>IF(L326="","",100-IF($G$14=1,50,(_xlfn.RANK.AVG(L326,$L$19:$L$1518,1)-1)/($G$14-1)*100))</f>
        <v/>
      </c>
      <c r="Q326" s="11">
        <f>IF(M326="","",IF($G$15=1,50,(_xlfn.RANK.AVG(M326,$M$19:$M$1518,1)-1)/($G$15-1)*100))</f>
        <v/>
      </c>
      <c r="R326" s="11">
        <f>IF(N326="","",IF($G$16=1,50,(_xlfn.RANK.AVG(N326,$N$19:$N$1518,1)-1)/($G$16-1)*100))</f>
        <v/>
      </c>
      <c r="S326" s="11">
        <f>IF(COUNT(O326:R326)=4,ROUND(AVERAGE(O326:R326),6),"")</f>
        <v/>
      </c>
      <c r="U326">
        <f>IF(AND(ISNUMBER('자료_한국심리'!$A310),ISNUMBER('자료_한국심리'!$B310)),'자료_한국심리'!$A310,"")</f>
        <v/>
      </c>
      <c r="V326">
        <f>IF(AND(ISNUMBER('자료_한국심리'!$D310),ISNUMBER('자료_한국심리'!$E310)),'자료_한국심리'!$D310,"")</f>
        <v/>
      </c>
      <c r="W326">
        <f>IF(AND(ISNUMBER('자료_한국심리'!$G310),ISNUMBER('자료_한국심리'!$H310)),'자료_한국심리'!$G310,"")</f>
        <v/>
      </c>
      <c r="X326">
        <f>IF(AND(ISNUMBER('자료_한국심리'!$J310),ISNUMBER('자료_한국심리'!$K310)),'자료_한국심리'!$J310,"")</f>
        <v/>
      </c>
      <c r="Y326">
        <f>IF(AND(ISNUMBER('자료_한국심리'!$M310),ISNUMBER('자료_한국심리'!$N310)),'자료_한국심리'!$M310,"")</f>
        <v/>
      </c>
    </row>
    <row r="327">
      <c r="A327" s="10">
        <f>IF(309&gt;$E$5,"",SMALL($U$19:$U$4018,$E$6+309))</f>
        <v/>
      </c>
      <c r="B327" s="29">
        <f>IF(A327="","",INDEX('자료_한국심리'!$B$3:$B$4002,MATCH(A327,$U$19:$U$4018,0)))</f>
        <v/>
      </c>
      <c r="C327" s="22">
        <f>IF(A327="","",B327/AVERAGE(B203:B327)-1)</f>
        <v/>
      </c>
      <c r="D327" s="29">
        <f>IF(A327="","",IFERROR(INDEX('자료_한국심리'!$E$3:$E$4002,MATCH(A327,$V$19:$V$4018,0)),D326))</f>
        <v/>
      </c>
      <c r="E327" s="30">
        <f>IF(A327="","",IFERROR(INDEX('자료_한국심리'!$H$3:$H$4002,MATCH(A327,$W$19:$W$4018,0)),E326))</f>
        <v/>
      </c>
      <c r="F327" s="30">
        <f>IF(A327="","",IFERROR(INDEX('자료_한국심리'!$K$3:$K$4002,MATCH(A327,$X$19:$X$4018,0)),F326))</f>
        <v/>
      </c>
      <c r="G327" s="30">
        <f>IF(AND(ISNUMBER(E327),ISNUMBER(F327)),ROUND(E327-F327,6),"")</f>
        <v/>
      </c>
      <c r="H327" s="25">
        <f>IF(A327="","",IFERROR(INDEX('자료_한국심리'!$N$3:$N$4002,MATCH(A327,$Y$19:$Y$4018,0)),H326))</f>
        <v/>
      </c>
      <c r="I327" s="31">
        <f>IF(AND(ISNUMBER(H327),ISNUMBER(H307)),IF(H307&gt;0,H327/H307-1,""),"")</f>
        <v/>
      </c>
      <c r="J327">
        <f>IF(A327="",0,IF(A327&gt;$B$5,1,0))</f>
        <v/>
      </c>
      <c r="K327" s="29">
        <f>IF(AND(J327=1,ISNUMBER(D327)),D327,"")</f>
        <v/>
      </c>
      <c r="L327" s="30">
        <f>IF(AND(J327=1,ISNUMBER(G327)),G327,"")</f>
        <v/>
      </c>
      <c r="M327" s="22">
        <f>IF(AND(J327=1,ISNUMBER(C327)),C327,"")</f>
        <v/>
      </c>
      <c r="N327" s="31">
        <f>IF(AND(J327=1,ISNUMBER(I327)),I327,"")</f>
        <v/>
      </c>
      <c r="O327" s="11">
        <f>IF(K327="","",100-IF($G$13=1,50,(_xlfn.RANK.AVG(K327,$K$19:$K$1518,1)-1)/($G$13-1)*100))</f>
        <v/>
      </c>
      <c r="P327" s="11">
        <f>IF(L327="","",100-IF($G$14=1,50,(_xlfn.RANK.AVG(L327,$L$19:$L$1518,1)-1)/($G$14-1)*100))</f>
        <v/>
      </c>
      <c r="Q327" s="11">
        <f>IF(M327="","",IF($G$15=1,50,(_xlfn.RANK.AVG(M327,$M$19:$M$1518,1)-1)/($G$15-1)*100))</f>
        <v/>
      </c>
      <c r="R327" s="11">
        <f>IF(N327="","",IF($G$16=1,50,(_xlfn.RANK.AVG(N327,$N$19:$N$1518,1)-1)/($G$16-1)*100))</f>
        <v/>
      </c>
      <c r="S327" s="11">
        <f>IF(COUNT(O327:R327)=4,ROUND(AVERAGE(O327:R327),6),"")</f>
        <v/>
      </c>
      <c r="U327">
        <f>IF(AND(ISNUMBER('자료_한국심리'!$A311),ISNUMBER('자료_한국심리'!$B311)),'자료_한국심리'!$A311,"")</f>
        <v/>
      </c>
      <c r="V327">
        <f>IF(AND(ISNUMBER('자료_한국심리'!$D311),ISNUMBER('자료_한국심리'!$E311)),'자료_한국심리'!$D311,"")</f>
        <v/>
      </c>
      <c r="W327">
        <f>IF(AND(ISNUMBER('자료_한국심리'!$G311),ISNUMBER('자료_한국심리'!$H311)),'자료_한국심리'!$G311,"")</f>
        <v/>
      </c>
      <c r="X327">
        <f>IF(AND(ISNUMBER('자료_한국심리'!$J311),ISNUMBER('자료_한국심리'!$K311)),'자료_한국심리'!$J311,"")</f>
        <v/>
      </c>
      <c r="Y327">
        <f>IF(AND(ISNUMBER('자료_한국심리'!$M311),ISNUMBER('자료_한국심리'!$N311)),'자료_한국심리'!$M311,"")</f>
        <v/>
      </c>
    </row>
    <row r="328">
      <c r="A328" s="10">
        <f>IF(310&gt;$E$5,"",SMALL($U$19:$U$4018,$E$6+310))</f>
        <v/>
      </c>
      <c r="B328" s="29">
        <f>IF(A328="","",INDEX('자료_한국심리'!$B$3:$B$4002,MATCH(A328,$U$19:$U$4018,0)))</f>
        <v/>
      </c>
      <c r="C328" s="22">
        <f>IF(A328="","",B328/AVERAGE(B204:B328)-1)</f>
        <v/>
      </c>
      <c r="D328" s="29">
        <f>IF(A328="","",IFERROR(INDEX('자료_한국심리'!$E$3:$E$4002,MATCH(A328,$V$19:$V$4018,0)),D327))</f>
        <v/>
      </c>
      <c r="E328" s="30">
        <f>IF(A328="","",IFERROR(INDEX('자료_한국심리'!$H$3:$H$4002,MATCH(A328,$W$19:$W$4018,0)),E327))</f>
        <v/>
      </c>
      <c r="F328" s="30">
        <f>IF(A328="","",IFERROR(INDEX('자료_한국심리'!$K$3:$K$4002,MATCH(A328,$X$19:$X$4018,0)),F327))</f>
        <v/>
      </c>
      <c r="G328" s="30">
        <f>IF(AND(ISNUMBER(E328),ISNUMBER(F328)),ROUND(E328-F328,6),"")</f>
        <v/>
      </c>
      <c r="H328" s="25">
        <f>IF(A328="","",IFERROR(INDEX('자료_한국심리'!$N$3:$N$4002,MATCH(A328,$Y$19:$Y$4018,0)),H327))</f>
        <v/>
      </c>
      <c r="I328" s="31">
        <f>IF(AND(ISNUMBER(H328),ISNUMBER(H308)),IF(H308&gt;0,H328/H308-1,""),"")</f>
        <v/>
      </c>
      <c r="J328">
        <f>IF(A328="",0,IF(A328&gt;$B$5,1,0))</f>
        <v/>
      </c>
      <c r="K328" s="29">
        <f>IF(AND(J328=1,ISNUMBER(D328)),D328,"")</f>
        <v/>
      </c>
      <c r="L328" s="30">
        <f>IF(AND(J328=1,ISNUMBER(G328)),G328,"")</f>
        <v/>
      </c>
      <c r="M328" s="22">
        <f>IF(AND(J328=1,ISNUMBER(C328)),C328,"")</f>
        <v/>
      </c>
      <c r="N328" s="31">
        <f>IF(AND(J328=1,ISNUMBER(I328)),I328,"")</f>
        <v/>
      </c>
      <c r="O328" s="11">
        <f>IF(K328="","",100-IF($G$13=1,50,(_xlfn.RANK.AVG(K328,$K$19:$K$1518,1)-1)/($G$13-1)*100))</f>
        <v/>
      </c>
      <c r="P328" s="11">
        <f>IF(L328="","",100-IF($G$14=1,50,(_xlfn.RANK.AVG(L328,$L$19:$L$1518,1)-1)/($G$14-1)*100))</f>
        <v/>
      </c>
      <c r="Q328" s="11">
        <f>IF(M328="","",IF($G$15=1,50,(_xlfn.RANK.AVG(M328,$M$19:$M$1518,1)-1)/($G$15-1)*100))</f>
        <v/>
      </c>
      <c r="R328" s="11">
        <f>IF(N328="","",IF($G$16=1,50,(_xlfn.RANK.AVG(N328,$N$19:$N$1518,1)-1)/($G$16-1)*100))</f>
        <v/>
      </c>
      <c r="S328" s="11">
        <f>IF(COUNT(O328:R328)=4,ROUND(AVERAGE(O328:R328),6),"")</f>
        <v/>
      </c>
      <c r="U328">
        <f>IF(AND(ISNUMBER('자료_한국심리'!$A312),ISNUMBER('자료_한국심리'!$B312)),'자료_한국심리'!$A312,"")</f>
        <v/>
      </c>
      <c r="V328">
        <f>IF(AND(ISNUMBER('자료_한국심리'!$D312),ISNUMBER('자료_한국심리'!$E312)),'자료_한국심리'!$D312,"")</f>
        <v/>
      </c>
      <c r="W328">
        <f>IF(AND(ISNUMBER('자료_한국심리'!$G312),ISNUMBER('자료_한국심리'!$H312)),'자료_한국심리'!$G312,"")</f>
        <v/>
      </c>
      <c r="X328">
        <f>IF(AND(ISNUMBER('자료_한국심리'!$J312),ISNUMBER('자료_한국심리'!$K312)),'자료_한국심리'!$J312,"")</f>
        <v/>
      </c>
      <c r="Y328">
        <f>IF(AND(ISNUMBER('자료_한국심리'!$M312),ISNUMBER('자료_한국심리'!$N312)),'자료_한국심리'!$M312,"")</f>
        <v/>
      </c>
    </row>
    <row r="329">
      <c r="A329" s="10">
        <f>IF(311&gt;$E$5,"",SMALL($U$19:$U$4018,$E$6+311))</f>
        <v/>
      </c>
      <c r="B329" s="29">
        <f>IF(A329="","",INDEX('자료_한국심리'!$B$3:$B$4002,MATCH(A329,$U$19:$U$4018,0)))</f>
        <v/>
      </c>
      <c r="C329" s="22">
        <f>IF(A329="","",B329/AVERAGE(B205:B329)-1)</f>
        <v/>
      </c>
      <c r="D329" s="29">
        <f>IF(A329="","",IFERROR(INDEX('자료_한국심리'!$E$3:$E$4002,MATCH(A329,$V$19:$V$4018,0)),D328))</f>
        <v/>
      </c>
      <c r="E329" s="30">
        <f>IF(A329="","",IFERROR(INDEX('자료_한국심리'!$H$3:$H$4002,MATCH(A329,$W$19:$W$4018,0)),E328))</f>
        <v/>
      </c>
      <c r="F329" s="30">
        <f>IF(A329="","",IFERROR(INDEX('자료_한국심리'!$K$3:$K$4002,MATCH(A329,$X$19:$X$4018,0)),F328))</f>
        <v/>
      </c>
      <c r="G329" s="30">
        <f>IF(AND(ISNUMBER(E329),ISNUMBER(F329)),ROUND(E329-F329,6),"")</f>
        <v/>
      </c>
      <c r="H329" s="25">
        <f>IF(A329="","",IFERROR(INDEX('자료_한국심리'!$N$3:$N$4002,MATCH(A329,$Y$19:$Y$4018,0)),H328))</f>
        <v/>
      </c>
      <c r="I329" s="31">
        <f>IF(AND(ISNUMBER(H329),ISNUMBER(H309)),IF(H309&gt;0,H329/H309-1,""),"")</f>
        <v/>
      </c>
      <c r="J329">
        <f>IF(A329="",0,IF(A329&gt;$B$5,1,0))</f>
        <v/>
      </c>
      <c r="K329" s="29">
        <f>IF(AND(J329=1,ISNUMBER(D329)),D329,"")</f>
        <v/>
      </c>
      <c r="L329" s="30">
        <f>IF(AND(J329=1,ISNUMBER(G329)),G329,"")</f>
        <v/>
      </c>
      <c r="M329" s="22">
        <f>IF(AND(J329=1,ISNUMBER(C329)),C329,"")</f>
        <v/>
      </c>
      <c r="N329" s="31">
        <f>IF(AND(J329=1,ISNUMBER(I329)),I329,"")</f>
        <v/>
      </c>
      <c r="O329" s="11">
        <f>IF(K329="","",100-IF($G$13=1,50,(_xlfn.RANK.AVG(K329,$K$19:$K$1518,1)-1)/($G$13-1)*100))</f>
        <v/>
      </c>
      <c r="P329" s="11">
        <f>IF(L329="","",100-IF($G$14=1,50,(_xlfn.RANK.AVG(L329,$L$19:$L$1518,1)-1)/($G$14-1)*100))</f>
        <v/>
      </c>
      <c r="Q329" s="11">
        <f>IF(M329="","",IF($G$15=1,50,(_xlfn.RANK.AVG(M329,$M$19:$M$1518,1)-1)/($G$15-1)*100))</f>
        <v/>
      </c>
      <c r="R329" s="11">
        <f>IF(N329="","",IF($G$16=1,50,(_xlfn.RANK.AVG(N329,$N$19:$N$1518,1)-1)/($G$16-1)*100))</f>
        <v/>
      </c>
      <c r="S329" s="11">
        <f>IF(COUNT(O329:R329)=4,ROUND(AVERAGE(O329:R329),6),"")</f>
        <v/>
      </c>
      <c r="U329">
        <f>IF(AND(ISNUMBER('자료_한국심리'!$A313),ISNUMBER('자료_한국심리'!$B313)),'자료_한국심리'!$A313,"")</f>
        <v/>
      </c>
      <c r="V329">
        <f>IF(AND(ISNUMBER('자료_한국심리'!$D313),ISNUMBER('자료_한국심리'!$E313)),'자료_한국심리'!$D313,"")</f>
        <v/>
      </c>
      <c r="W329">
        <f>IF(AND(ISNUMBER('자료_한국심리'!$G313),ISNUMBER('자료_한국심리'!$H313)),'자료_한국심리'!$G313,"")</f>
        <v/>
      </c>
      <c r="X329">
        <f>IF(AND(ISNUMBER('자료_한국심리'!$J313),ISNUMBER('자료_한국심리'!$K313)),'자료_한국심리'!$J313,"")</f>
        <v/>
      </c>
      <c r="Y329">
        <f>IF(AND(ISNUMBER('자료_한국심리'!$M313),ISNUMBER('자료_한국심리'!$N313)),'자료_한국심리'!$M313,"")</f>
        <v/>
      </c>
    </row>
    <row r="330">
      <c r="A330" s="10">
        <f>IF(312&gt;$E$5,"",SMALL($U$19:$U$4018,$E$6+312))</f>
        <v/>
      </c>
      <c r="B330" s="29">
        <f>IF(A330="","",INDEX('자료_한국심리'!$B$3:$B$4002,MATCH(A330,$U$19:$U$4018,0)))</f>
        <v/>
      </c>
      <c r="C330" s="22">
        <f>IF(A330="","",B330/AVERAGE(B206:B330)-1)</f>
        <v/>
      </c>
      <c r="D330" s="29">
        <f>IF(A330="","",IFERROR(INDEX('자료_한국심리'!$E$3:$E$4002,MATCH(A330,$V$19:$V$4018,0)),D329))</f>
        <v/>
      </c>
      <c r="E330" s="30">
        <f>IF(A330="","",IFERROR(INDEX('자료_한국심리'!$H$3:$H$4002,MATCH(A330,$W$19:$W$4018,0)),E329))</f>
        <v/>
      </c>
      <c r="F330" s="30">
        <f>IF(A330="","",IFERROR(INDEX('자료_한국심리'!$K$3:$K$4002,MATCH(A330,$X$19:$X$4018,0)),F329))</f>
        <v/>
      </c>
      <c r="G330" s="30">
        <f>IF(AND(ISNUMBER(E330),ISNUMBER(F330)),ROUND(E330-F330,6),"")</f>
        <v/>
      </c>
      <c r="H330" s="25">
        <f>IF(A330="","",IFERROR(INDEX('자료_한국심리'!$N$3:$N$4002,MATCH(A330,$Y$19:$Y$4018,0)),H329))</f>
        <v/>
      </c>
      <c r="I330" s="31">
        <f>IF(AND(ISNUMBER(H330),ISNUMBER(H310)),IF(H310&gt;0,H330/H310-1,""),"")</f>
        <v/>
      </c>
      <c r="J330">
        <f>IF(A330="",0,IF(A330&gt;$B$5,1,0))</f>
        <v/>
      </c>
      <c r="K330" s="29">
        <f>IF(AND(J330=1,ISNUMBER(D330)),D330,"")</f>
        <v/>
      </c>
      <c r="L330" s="30">
        <f>IF(AND(J330=1,ISNUMBER(G330)),G330,"")</f>
        <v/>
      </c>
      <c r="M330" s="22">
        <f>IF(AND(J330=1,ISNUMBER(C330)),C330,"")</f>
        <v/>
      </c>
      <c r="N330" s="31">
        <f>IF(AND(J330=1,ISNUMBER(I330)),I330,"")</f>
        <v/>
      </c>
      <c r="O330" s="11">
        <f>IF(K330="","",100-IF($G$13=1,50,(_xlfn.RANK.AVG(K330,$K$19:$K$1518,1)-1)/($G$13-1)*100))</f>
        <v/>
      </c>
      <c r="P330" s="11">
        <f>IF(L330="","",100-IF($G$14=1,50,(_xlfn.RANK.AVG(L330,$L$19:$L$1518,1)-1)/($G$14-1)*100))</f>
        <v/>
      </c>
      <c r="Q330" s="11">
        <f>IF(M330="","",IF($G$15=1,50,(_xlfn.RANK.AVG(M330,$M$19:$M$1518,1)-1)/($G$15-1)*100))</f>
        <v/>
      </c>
      <c r="R330" s="11">
        <f>IF(N330="","",IF($G$16=1,50,(_xlfn.RANK.AVG(N330,$N$19:$N$1518,1)-1)/($G$16-1)*100))</f>
        <v/>
      </c>
      <c r="S330" s="11">
        <f>IF(COUNT(O330:R330)=4,ROUND(AVERAGE(O330:R330),6),"")</f>
        <v/>
      </c>
      <c r="U330">
        <f>IF(AND(ISNUMBER('자료_한국심리'!$A314),ISNUMBER('자료_한국심리'!$B314)),'자료_한국심리'!$A314,"")</f>
        <v/>
      </c>
      <c r="V330">
        <f>IF(AND(ISNUMBER('자료_한국심리'!$D314),ISNUMBER('자료_한국심리'!$E314)),'자료_한국심리'!$D314,"")</f>
        <v/>
      </c>
      <c r="W330">
        <f>IF(AND(ISNUMBER('자료_한국심리'!$G314),ISNUMBER('자료_한국심리'!$H314)),'자료_한국심리'!$G314,"")</f>
        <v/>
      </c>
      <c r="X330">
        <f>IF(AND(ISNUMBER('자료_한국심리'!$J314),ISNUMBER('자료_한국심리'!$K314)),'자료_한국심리'!$J314,"")</f>
        <v/>
      </c>
      <c r="Y330">
        <f>IF(AND(ISNUMBER('자료_한국심리'!$M314),ISNUMBER('자료_한국심리'!$N314)),'자료_한국심리'!$M314,"")</f>
        <v/>
      </c>
    </row>
    <row r="331">
      <c r="A331" s="10">
        <f>IF(313&gt;$E$5,"",SMALL($U$19:$U$4018,$E$6+313))</f>
        <v/>
      </c>
      <c r="B331" s="29">
        <f>IF(A331="","",INDEX('자료_한국심리'!$B$3:$B$4002,MATCH(A331,$U$19:$U$4018,0)))</f>
        <v/>
      </c>
      <c r="C331" s="22">
        <f>IF(A331="","",B331/AVERAGE(B207:B331)-1)</f>
        <v/>
      </c>
      <c r="D331" s="29">
        <f>IF(A331="","",IFERROR(INDEX('자료_한국심리'!$E$3:$E$4002,MATCH(A331,$V$19:$V$4018,0)),D330))</f>
        <v/>
      </c>
      <c r="E331" s="30">
        <f>IF(A331="","",IFERROR(INDEX('자료_한국심리'!$H$3:$H$4002,MATCH(A331,$W$19:$W$4018,0)),E330))</f>
        <v/>
      </c>
      <c r="F331" s="30">
        <f>IF(A331="","",IFERROR(INDEX('자료_한국심리'!$K$3:$K$4002,MATCH(A331,$X$19:$X$4018,0)),F330))</f>
        <v/>
      </c>
      <c r="G331" s="30">
        <f>IF(AND(ISNUMBER(E331),ISNUMBER(F331)),ROUND(E331-F331,6),"")</f>
        <v/>
      </c>
      <c r="H331" s="25">
        <f>IF(A331="","",IFERROR(INDEX('자료_한국심리'!$N$3:$N$4002,MATCH(A331,$Y$19:$Y$4018,0)),H330))</f>
        <v/>
      </c>
      <c r="I331" s="31">
        <f>IF(AND(ISNUMBER(H331),ISNUMBER(H311)),IF(H311&gt;0,H331/H311-1,""),"")</f>
        <v/>
      </c>
      <c r="J331">
        <f>IF(A331="",0,IF(A331&gt;$B$5,1,0))</f>
        <v/>
      </c>
      <c r="K331" s="29">
        <f>IF(AND(J331=1,ISNUMBER(D331)),D331,"")</f>
        <v/>
      </c>
      <c r="L331" s="30">
        <f>IF(AND(J331=1,ISNUMBER(G331)),G331,"")</f>
        <v/>
      </c>
      <c r="M331" s="22">
        <f>IF(AND(J331=1,ISNUMBER(C331)),C331,"")</f>
        <v/>
      </c>
      <c r="N331" s="31">
        <f>IF(AND(J331=1,ISNUMBER(I331)),I331,"")</f>
        <v/>
      </c>
      <c r="O331" s="11">
        <f>IF(K331="","",100-IF($G$13=1,50,(_xlfn.RANK.AVG(K331,$K$19:$K$1518,1)-1)/($G$13-1)*100))</f>
        <v/>
      </c>
      <c r="P331" s="11">
        <f>IF(L331="","",100-IF($G$14=1,50,(_xlfn.RANK.AVG(L331,$L$19:$L$1518,1)-1)/($G$14-1)*100))</f>
        <v/>
      </c>
      <c r="Q331" s="11">
        <f>IF(M331="","",IF($G$15=1,50,(_xlfn.RANK.AVG(M331,$M$19:$M$1518,1)-1)/($G$15-1)*100))</f>
        <v/>
      </c>
      <c r="R331" s="11">
        <f>IF(N331="","",IF($G$16=1,50,(_xlfn.RANK.AVG(N331,$N$19:$N$1518,1)-1)/($G$16-1)*100))</f>
        <v/>
      </c>
      <c r="S331" s="11">
        <f>IF(COUNT(O331:R331)=4,ROUND(AVERAGE(O331:R331),6),"")</f>
        <v/>
      </c>
      <c r="U331">
        <f>IF(AND(ISNUMBER('자료_한국심리'!$A315),ISNUMBER('자료_한국심리'!$B315)),'자료_한국심리'!$A315,"")</f>
        <v/>
      </c>
      <c r="V331">
        <f>IF(AND(ISNUMBER('자료_한국심리'!$D315),ISNUMBER('자료_한국심리'!$E315)),'자료_한국심리'!$D315,"")</f>
        <v/>
      </c>
      <c r="W331">
        <f>IF(AND(ISNUMBER('자료_한국심리'!$G315),ISNUMBER('자료_한국심리'!$H315)),'자료_한국심리'!$G315,"")</f>
        <v/>
      </c>
      <c r="X331">
        <f>IF(AND(ISNUMBER('자료_한국심리'!$J315),ISNUMBER('자료_한국심리'!$K315)),'자료_한국심리'!$J315,"")</f>
        <v/>
      </c>
      <c r="Y331">
        <f>IF(AND(ISNUMBER('자료_한국심리'!$M315),ISNUMBER('자료_한국심리'!$N315)),'자료_한국심리'!$M315,"")</f>
        <v/>
      </c>
    </row>
    <row r="332">
      <c r="A332" s="10">
        <f>IF(314&gt;$E$5,"",SMALL($U$19:$U$4018,$E$6+314))</f>
        <v/>
      </c>
      <c r="B332" s="29">
        <f>IF(A332="","",INDEX('자료_한국심리'!$B$3:$B$4002,MATCH(A332,$U$19:$U$4018,0)))</f>
        <v/>
      </c>
      <c r="C332" s="22">
        <f>IF(A332="","",B332/AVERAGE(B208:B332)-1)</f>
        <v/>
      </c>
      <c r="D332" s="29">
        <f>IF(A332="","",IFERROR(INDEX('자료_한국심리'!$E$3:$E$4002,MATCH(A332,$V$19:$V$4018,0)),D331))</f>
        <v/>
      </c>
      <c r="E332" s="30">
        <f>IF(A332="","",IFERROR(INDEX('자료_한국심리'!$H$3:$H$4002,MATCH(A332,$W$19:$W$4018,0)),E331))</f>
        <v/>
      </c>
      <c r="F332" s="30">
        <f>IF(A332="","",IFERROR(INDEX('자료_한국심리'!$K$3:$K$4002,MATCH(A332,$X$19:$X$4018,0)),F331))</f>
        <v/>
      </c>
      <c r="G332" s="30">
        <f>IF(AND(ISNUMBER(E332),ISNUMBER(F332)),ROUND(E332-F332,6),"")</f>
        <v/>
      </c>
      <c r="H332" s="25">
        <f>IF(A332="","",IFERROR(INDEX('자료_한국심리'!$N$3:$N$4002,MATCH(A332,$Y$19:$Y$4018,0)),H331))</f>
        <v/>
      </c>
      <c r="I332" s="31">
        <f>IF(AND(ISNUMBER(H332),ISNUMBER(H312)),IF(H312&gt;0,H332/H312-1,""),"")</f>
        <v/>
      </c>
      <c r="J332">
        <f>IF(A332="",0,IF(A332&gt;$B$5,1,0))</f>
        <v/>
      </c>
      <c r="K332" s="29">
        <f>IF(AND(J332=1,ISNUMBER(D332)),D332,"")</f>
        <v/>
      </c>
      <c r="L332" s="30">
        <f>IF(AND(J332=1,ISNUMBER(G332)),G332,"")</f>
        <v/>
      </c>
      <c r="M332" s="22">
        <f>IF(AND(J332=1,ISNUMBER(C332)),C332,"")</f>
        <v/>
      </c>
      <c r="N332" s="31">
        <f>IF(AND(J332=1,ISNUMBER(I332)),I332,"")</f>
        <v/>
      </c>
      <c r="O332" s="11">
        <f>IF(K332="","",100-IF($G$13=1,50,(_xlfn.RANK.AVG(K332,$K$19:$K$1518,1)-1)/($G$13-1)*100))</f>
        <v/>
      </c>
      <c r="P332" s="11">
        <f>IF(L332="","",100-IF($G$14=1,50,(_xlfn.RANK.AVG(L332,$L$19:$L$1518,1)-1)/($G$14-1)*100))</f>
        <v/>
      </c>
      <c r="Q332" s="11">
        <f>IF(M332="","",IF($G$15=1,50,(_xlfn.RANK.AVG(M332,$M$19:$M$1518,1)-1)/($G$15-1)*100))</f>
        <v/>
      </c>
      <c r="R332" s="11">
        <f>IF(N332="","",IF($G$16=1,50,(_xlfn.RANK.AVG(N332,$N$19:$N$1518,1)-1)/($G$16-1)*100))</f>
        <v/>
      </c>
      <c r="S332" s="11">
        <f>IF(COUNT(O332:R332)=4,ROUND(AVERAGE(O332:R332),6),"")</f>
        <v/>
      </c>
      <c r="U332">
        <f>IF(AND(ISNUMBER('자료_한국심리'!$A316),ISNUMBER('자료_한국심리'!$B316)),'자료_한국심리'!$A316,"")</f>
        <v/>
      </c>
      <c r="V332">
        <f>IF(AND(ISNUMBER('자료_한국심리'!$D316),ISNUMBER('자료_한국심리'!$E316)),'자료_한국심리'!$D316,"")</f>
        <v/>
      </c>
      <c r="W332">
        <f>IF(AND(ISNUMBER('자료_한국심리'!$G316),ISNUMBER('자료_한국심리'!$H316)),'자료_한국심리'!$G316,"")</f>
        <v/>
      </c>
      <c r="X332">
        <f>IF(AND(ISNUMBER('자료_한국심리'!$J316),ISNUMBER('자료_한국심리'!$K316)),'자료_한국심리'!$J316,"")</f>
        <v/>
      </c>
      <c r="Y332">
        <f>IF(AND(ISNUMBER('자료_한국심리'!$M316),ISNUMBER('자료_한국심리'!$N316)),'자료_한국심리'!$M316,"")</f>
        <v/>
      </c>
    </row>
    <row r="333">
      <c r="A333" s="10">
        <f>IF(315&gt;$E$5,"",SMALL($U$19:$U$4018,$E$6+315))</f>
        <v/>
      </c>
      <c r="B333" s="29">
        <f>IF(A333="","",INDEX('자료_한국심리'!$B$3:$B$4002,MATCH(A333,$U$19:$U$4018,0)))</f>
        <v/>
      </c>
      <c r="C333" s="22">
        <f>IF(A333="","",B333/AVERAGE(B209:B333)-1)</f>
        <v/>
      </c>
      <c r="D333" s="29">
        <f>IF(A333="","",IFERROR(INDEX('자료_한국심리'!$E$3:$E$4002,MATCH(A333,$V$19:$V$4018,0)),D332))</f>
        <v/>
      </c>
      <c r="E333" s="30">
        <f>IF(A333="","",IFERROR(INDEX('자료_한국심리'!$H$3:$H$4002,MATCH(A333,$W$19:$W$4018,0)),E332))</f>
        <v/>
      </c>
      <c r="F333" s="30">
        <f>IF(A333="","",IFERROR(INDEX('자료_한국심리'!$K$3:$K$4002,MATCH(A333,$X$19:$X$4018,0)),F332))</f>
        <v/>
      </c>
      <c r="G333" s="30">
        <f>IF(AND(ISNUMBER(E333),ISNUMBER(F333)),ROUND(E333-F333,6),"")</f>
        <v/>
      </c>
      <c r="H333" s="25">
        <f>IF(A333="","",IFERROR(INDEX('자료_한국심리'!$N$3:$N$4002,MATCH(A333,$Y$19:$Y$4018,0)),H332))</f>
        <v/>
      </c>
      <c r="I333" s="31">
        <f>IF(AND(ISNUMBER(H333),ISNUMBER(H313)),IF(H313&gt;0,H333/H313-1,""),"")</f>
        <v/>
      </c>
      <c r="J333">
        <f>IF(A333="",0,IF(A333&gt;$B$5,1,0))</f>
        <v/>
      </c>
      <c r="K333" s="29">
        <f>IF(AND(J333=1,ISNUMBER(D333)),D333,"")</f>
        <v/>
      </c>
      <c r="L333" s="30">
        <f>IF(AND(J333=1,ISNUMBER(G333)),G333,"")</f>
        <v/>
      </c>
      <c r="M333" s="22">
        <f>IF(AND(J333=1,ISNUMBER(C333)),C333,"")</f>
        <v/>
      </c>
      <c r="N333" s="31">
        <f>IF(AND(J333=1,ISNUMBER(I333)),I333,"")</f>
        <v/>
      </c>
      <c r="O333" s="11">
        <f>IF(K333="","",100-IF($G$13=1,50,(_xlfn.RANK.AVG(K333,$K$19:$K$1518,1)-1)/($G$13-1)*100))</f>
        <v/>
      </c>
      <c r="P333" s="11">
        <f>IF(L333="","",100-IF($G$14=1,50,(_xlfn.RANK.AVG(L333,$L$19:$L$1518,1)-1)/($G$14-1)*100))</f>
        <v/>
      </c>
      <c r="Q333" s="11">
        <f>IF(M333="","",IF($G$15=1,50,(_xlfn.RANK.AVG(M333,$M$19:$M$1518,1)-1)/($G$15-1)*100))</f>
        <v/>
      </c>
      <c r="R333" s="11">
        <f>IF(N333="","",IF($G$16=1,50,(_xlfn.RANK.AVG(N333,$N$19:$N$1518,1)-1)/($G$16-1)*100))</f>
        <v/>
      </c>
      <c r="S333" s="11">
        <f>IF(COUNT(O333:R333)=4,ROUND(AVERAGE(O333:R333),6),"")</f>
        <v/>
      </c>
      <c r="U333">
        <f>IF(AND(ISNUMBER('자료_한국심리'!$A317),ISNUMBER('자료_한국심리'!$B317)),'자료_한국심리'!$A317,"")</f>
        <v/>
      </c>
      <c r="V333">
        <f>IF(AND(ISNUMBER('자료_한국심리'!$D317),ISNUMBER('자료_한국심리'!$E317)),'자료_한국심리'!$D317,"")</f>
        <v/>
      </c>
      <c r="W333">
        <f>IF(AND(ISNUMBER('자료_한국심리'!$G317),ISNUMBER('자료_한국심리'!$H317)),'자료_한국심리'!$G317,"")</f>
        <v/>
      </c>
      <c r="X333">
        <f>IF(AND(ISNUMBER('자료_한국심리'!$J317),ISNUMBER('자료_한국심리'!$K317)),'자료_한국심리'!$J317,"")</f>
        <v/>
      </c>
      <c r="Y333">
        <f>IF(AND(ISNUMBER('자료_한국심리'!$M317),ISNUMBER('자료_한국심리'!$N317)),'자료_한국심리'!$M317,"")</f>
        <v/>
      </c>
    </row>
    <row r="334">
      <c r="A334" s="10">
        <f>IF(316&gt;$E$5,"",SMALL($U$19:$U$4018,$E$6+316))</f>
        <v/>
      </c>
      <c r="B334" s="29">
        <f>IF(A334="","",INDEX('자료_한국심리'!$B$3:$B$4002,MATCH(A334,$U$19:$U$4018,0)))</f>
        <v/>
      </c>
      <c r="C334" s="22">
        <f>IF(A334="","",B334/AVERAGE(B210:B334)-1)</f>
        <v/>
      </c>
      <c r="D334" s="29">
        <f>IF(A334="","",IFERROR(INDEX('자료_한국심리'!$E$3:$E$4002,MATCH(A334,$V$19:$V$4018,0)),D333))</f>
        <v/>
      </c>
      <c r="E334" s="30">
        <f>IF(A334="","",IFERROR(INDEX('자료_한국심리'!$H$3:$H$4002,MATCH(A334,$W$19:$W$4018,0)),E333))</f>
        <v/>
      </c>
      <c r="F334" s="30">
        <f>IF(A334="","",IFERROR(INDEX('자료_한국심리'!$K$3:$K$4002,MATCH(A334,$X$19:$X$4018,0)),F333))</f>
        <v/>
      </c>
      <c r="G334" s="30">
        <f>IF(AND(ISNUMBER(E334),ISNUMBER(F334)),ROUND(E334-F334,6),"")</f>
        <v/>
      </c>
      <c r="H334" s="25">
        <f>IF(A334="","",IFERROR(INDEX('자료_한국심리'!$N$3:$N$4002,MATCH(A334,$Y$19:$Y$4018,0)),H333))</f>
        <v/>
      </c>
      <c r="I334" s="31">
        <f>IF(AND(ISNUMBER(H334),ISNUMBER(H314)),IF(H314&gt;0,H334/H314-1,""),"")</f>
        <v/>
      </c>
      <c r="J334">
        <f>IF(A334="",0,IF(A334&gt;$B$5,1,0))</f>
        <v/>
      </c>
      <c r="K334" s="29">
        <f>IF(AND(J334=1,ISNUMBER(D334)),D334,"")</f>
        <v/>
      </c>
      <c r="L334" s="30">
        <f>IF(AND(J334=1,ISNUMBER(G334)),G334,"")</f>
        <v/>
      </c>
      <c r="M334" s="22">
        <f>IF(AND(J334=1,ISNUMBER(C334)),C334,"")</f>
        <v/>
      </c>
      <c r="N334" s="31">
        <f>IF(AND(J334=1,ISNUMBER(I334)),I334,"")</f>
        <v/>
      </c>
      <c r="O334" s="11">
        <f>IF(K334="","",100-IF($G$13=1,50,(_xlfn.RANK.AVG(K334,$K$19:$K$1518,1)-1)/($G$13-1)*100))</f>
        <v/>
      </c>
      <c r="P334" s="11">
        <f>IF(L334="","",100-IF($G$14=1,50,(_xlfn.RANK.AVG(L334,$L$19:$L$1518,1)-1)/($G$14-1)*100))</f>
        <v/>
      </c>
      <c r="Q334" s="11">
        <f>IF(M334="","",IF($G$15=1,50,(_xlfn.RANK.AVG(M334,$M$19:$M$1518,1)-1)/($G$15-1)*100))</f>
        <v/>
      </c>
      <c r="R334" s="11">
        <f>IF(N334="","",IF($G$16=1,50,(_xlfn.RANK.AVG(N334,$N$19:$N$1518,1)-1)/($G$16-1)*100))</f>
        <v/>
      </c>
      <c r="S334" s="11">
        <f>IF(COUNT(O334:R334)=4,ROUND(AVERAGE(O334:R334),6),"")</f>
        <v/>
      </c>
      <c r="U334">
        <f>IF(AND(ISNUMBER('자료_한국심리'!$A318),ISNUMBER('자료_한국심리'!$B318)),'자료_한국심리'!$A318,"")</f>
        <v/>
      </c>
      <c r="V334">
        <f>IF(AND(ISNUMBER('자료_한국심리'!$D318),ISNUMBER('자료_한국심리'!$E318)),'자료_한국심리'!$D318,"")</f>
        <v/>
      </c>
      <c r="W334">
        <f>IF(AND(ISNUMBER('자료_한국심리'!$G318),ISNUMBER('자료_한국심리'!$H318)),'자료_한국심리'!$G318,"")</f>
        <v/>
      </c>
      <c r="X334">
        <f>IF(AND(ISNUMBER('자료_한국심리'!$J318),ISNUMBER('자료_한국심리'!$K318)),'자료_한국심리'!$J318,"")</f>
        <v/>
      </c>
      <c r="Y334">
        <f>IF(AND(ISNUMBER('자료_한국심리'!$M318),ISNUMBER('자료_한국심리'!$N318)),'자료_한국심리'!$M318,"")</f>
        <v/>
      </c>
    </row>
    <row r="335">
      <c r="A335" s="10">
        <f>IF(317&gt;$E$5,"",SMALL($U$19:$U$4018,$E$6+317))</f>
        <v/>
      </c>
      <c r="B335" s="29">
        <f>IF(A335="","",INDEX('자료_한국심리'!$B$3:$B$4002,MATCH(A335,$U$19:$U$4018,0)))</f>
        <v/>
      </c>
      <c r="C335" s="22">
        <f>IF(A335="","",B335/AVERAGE(B211:B335)-1)</f>
        <v/>
      </c>
      <c r="D335" s="29">
        <f>IF(A335="","",IFERROR(INDEX('자료_한국심리'!$E$3:$E$4002,MATCH(A335,$V$19:$V$4018,0)),D334))</f>
        <v/>
      </c>
      <c r="E335" s="30">
        <f>IF(A335="","",IFERROR(INDEX('자료_한국심리'!$H$3:$H$4002,MATCH(A335,$W$19:$W$4018,0)),E334))</f>
        <v/>
      </c>
      <c r="F335" s="30">
        <f>IF(A335="","",IFERROR(INDEX('자료_한국심리'!$K$3:$K$4002,MATCH(A335,$X$19:$X$4018,0)),F334))</f>
        <v/>
      </c>
      <c r="G335" s="30">
        <f>IF(AND(ISNUMBER(E335),ISNUMBER(F335)),ROUND(E335-F335,6),"")</f>
        <v/>
      </c>
      <c r="H335" s="25">
        <f>IF(A335="","",IFERROR(INDEX('자료_한국심리'!$N$3:$N$4002,MATCH(A335,$Y$19:$Y$4018,0)),H334))</f>
        <v/>
      </c>
      <c r="I335" s="31">
        <f>IF(AND(ISNUMBER(H335),ISNUMBER(H315)),IF(H315&gt;0,H335/H315-1,""),"")</f>
        <v/>
      </c>
      <c r="J335">
        <f>IF(A335="",0,IF(A335&gt;$B$5,1,0))</f>
        <v/>
      </c>
      <c r="K335" s="29">
        <f>IF(AND(J335=1,ISNUMBER(D335)),D335,"")</f>
        <v/>
      </c>
      <c r="L335" s="30">
        <f>IF(AND(J335=1,ISNUMBER(G335)),G335,"")</f>
        <v/>
      </c>
      <c r="M335" s="22">
        <f>IF(AND(J335=1,ISNUMBER(C335)),C335,"")</f>
        <v/>
      </c>
      <c r="N335" s="31">
        <f>IF(AND(J335=1,ISNUMBER(I335)),I335,"")</f>
        <v/>
      </c>
      <c r="O335" s="11">
        <f>IF(K335="","",100-IF($G$13=1,50,(_xlfn.RANK.AVG(K335,$K$19:$K$1518,1)-1)/($G$13-1)*100))</f>
        <v/>
      </c>
      <c r="P335" s="11">
        <f>IF(L335="","",100-IF($G$14=1,50,(_xlfn.RANK.AVG(L335,$L$19:$L$1518,1)-1)/($G$14-1)*100))</f>
        <v/>
      </c>
      <c r="Q335" s="11">
        <f>IF(M335="","",IF($G$15=1,50,(_xlfn.RANK.AVG(M335,$M$19:$M$1518,1)-1)/($G$15-1)*100))</f>
        <v/>
      </c>
      <c r="R335" s="11">
        <f>IF(N335="","",IF($G$16=1,50,(_xlfn.RANK.AVG(N335,$N$19:$N$1518,1)-1)/($G$16-1)*100))</f>
        <v/>
      </c>
      <c r="S335" s="11">
        <f>IF(COUNT(O335:R335)=4,ROUND(AVERAGE(O335:R335),6),"")</f>
        <v/>
      </c>
      <c r="U335">
        <f>IF(AND(ISNUMBER('자료_한국심리'!$A319),ISNUMBER('자료_한국심리'!$B319)),'자료_한국심리'!$A319,"")</f>
        <v/>
      </c>
      <c r="V335">
        <f>IF(AND(ISNUMBER('자료_한국심리'!$D319),ISNUMBER('자료_한국심리'!$E319)),'자료_한국심리'!$D319,"")</f>
        <v/>
      </c>
      <c r="W335">
        <f>IF(AND(ISNUMBER('자료_한국심리'!$G319),ISNUMBER('자료_한국심리'!$H319)),'자료_한국심리'!$G319,"")</f>
        <v/>
      </c>
      <c r="X335">
        <f>IF(AND(ISNUMBER('자료_한국심리'!$J319),ISNUMBER('자료_한국심리'!$K319)),'자료_한국심리'!$J319,"")</f>
        <v/>
      </c>
      <c r="Y335">
        <f>IF(AND(ISNUMBER('자료_한국심리'!$M319),ISNUMBER('자료_한국심리'!$N319)),'자료_한국심리'!$M319,"")</f>
        <v/>
      </c>
    </row>
    <row r="336">
      <c r="A336" s="10">
        <f>IF(318&gt;$E$5,"",SMALL($U$19:$U$4018,$E$6+318))</f>
        <v/>
      </c>
      <c r="B336" s="29">
        <f>IF(A336="","",INDEX('자료_한국심리'!$B$3:$B$4002,MATCH(A336,$U$19:$U$4018,0)))</f>
        <v/>
      </c>
      <c r="C336" s="22">
        <f>IF(A336="","",B336/AVERAGE(B212:B336)-1)</f>
        <v/>
      </c>
      <c r="D336" s="29">
        <f>IF(A336="","",IFERROR(INDEX('자료_한국심리'!$E$3:$E$4002,MATCH(A336,$V$19:$V$4018,0)),D335))</f>
        <v/>
      </c>
      <c r="E336" s="30">
        <f>IF(A336="","",IFERROR(INDEX('자료_한국심리'!$H$3:$H$4002,MATCH(A336,$W$19:$W$4018,0)),E335))</f>
        <v/>
      </c>
      <c r="F336" s="30">
        <f>IF(A336="","",IFERROR(INDEX('자료_한국심리'!$K$3:$K$4002,MATCH(A336,$X$19:$X$4018,0)),F335))</f>
        <v/>
      </c>
      <c r="G336" s="30">
        <f>IF(AND(ISNUMBER(E336),ISNUMBER(F336)),ROUND(E336-F336,6),"")</f>
        <v/>
      </c>
      <c r="H336" s="25">
        <f>IF(A336="","",IFERROR(INDEX('자료_한국심리'!$N$3:$N$4002,MATCH(A336,$Y$19:$Y$4018,0)),H335))</f>
        <v/>
      </c>
      <c r="I336" s="31">
        <f>IF(AND(ISNUMBER(H336),ISNUMBER(H316)),IF(H316&gt;0,H336/H316-1,""),"")</f>
        <v/>
      </c>
      <c r="J336">
        <f>IF(A336="",0,IF(A336&gt;$B$5,1,0))</f>
        <v/>
      </c>
      <c r="K336" s="29">
        <f>IF(AND(J336=1,ISNUMBER(D336)),D336,"")</f>
        <v/>
      </c>
      <c r="L336" s="30">
        <f>IF(AND(J336=1,ISNUMBER(G336)),G336,"")</f>
        <v/>
      </c>
      <c r="M336" s="22">
        <f>IF(AND(J336=1,ISNUMBER(C336)),C336,"")</f>
        <v/>
      </c>
      <c r="N336" s="31">
        <f>IF(AND(J336=1,ISNUMBER(I336)),I336,"")</f>
        <v/>
      </c>
      <c r="O336" s="11">
        <f>IF(K336="","",100-IF($G$13=1,50,(_xlfn.RANK.AVG(K336,$K$19:$K$1518,1)-1)/($G$13-1)*100))</f>
        <v/>
      </c>
      <c r="P336" s="11">
        <f>IF(L336="","",100-IF($G$14=1,50,(_xlfn.RANK.AVG(L336,$L$19:$L$1518,1)-1)/($G$14-1)*100))</f>
        <v/>
      </c>
      <c r="Q336" s="11">
        <f>IF(M336="","",IF($G$15=1,50,(_xlfn.RANK.AVG(M336,$M$19:$M$1518,1)-1)/($G$15-1)*100))</f>
        <v/>
      </c>
      <c r="R336" s="11">
        <f>IF(N336="","",IF($G$16=1,50,(_xlfn.RANK.AVG(N336,$N$19:$N$1518,1)-1)/($G$16-1)*100))</f>
        <v/>
      </c>
      <c r="S336" s="11">
        <f>IF(COUNT(O336:R336)=4,ROUND(AVERAGE(O336:R336),6),"")</f>
        <v/>
      </c>
      <c r="U336">
        <f>IF(AND(ISNUMBER('자료_한국심리'!$A320),ISNUMBER('자료_한국심리'!$B320)),'자료_한국심리'!$A320,"")</f>
        <v/>
      </c>
      <c r="V336">
        <f>IF(AND(ISNUMBER('자료_한국심리'!$D320),ISNUMBER('자료_한국심리'!$E320)),'자료_한국심리'!$D320,"")</f>
        <v/>
      </c>
      <c r="W336">
        <f>IF(AND(ISNUMBER('자료_한국심리'!$G320),ISNUMBER('자료_한국심리'!$H320)),'자료_한국심리'!$G320,"")</f>
        <v/>
      </c>
      <c r="X336">
        <f>IF(AND(ISNUMBER('자료_한국심리'!$J320),ISNUMBER('자료_한국심리'!$K320)),'자료_한국심리'!$J320,"")</f>
        <v/>
      </c>
      <c r="Y336">
        <f>IF(AND(ISNUMBER('자료_한국심리'!$M320),ISNUMBER('자료_한국심리'!$N320)),'자료_한국심리'!$M320,"")</f>
        <v/>
      </c>
    </row>
    <row r="337">
      <c r="A337" s="10">
        <f>IF(319&gt;$E$5,"",SMALL($U$19:$U$4018,$E$6+319))</f>
        <v/>
      </c>
      <c r="B337" s="29">
        <f>IF(A337="","",INDEX('자료_한국심리'!$B$3:$B$4002,MATCH(A337,$U$19:$U$4018,0)))</f>
        <v/>
      </c>
      <c r="C337" s="22">
        <f>IF(A337="","",B337/AVERAGE(B213:B337)-1)</f>
        <v/>
      </c>
      <c r="D337" s="29">
        <f>IF(A337="","",IFERROR(INDEX('자료_한국심리'!$E$3:$E$4002,MATCH(A337,$V$19:$V$4018,0)),D336))</f>
        <v/>
      </c>
      <c r="E337" s="30">
        <f>IF(A337="","",IFERROR(INDEX('자료_한국심리'!$H$3:$H$4002,MATCH(A337,$W$19:$W$4018,0)),E336))</f>
        <v/>
      </c>
      <c r="F337" s="30">
        <f>IF(A337="","",IFERROR(INDEX('자료_한국심리'!$K$3:$K$4002,MATCH(A337,$X$19:$X$4018,0)),F336))</f>
        <v/>
      </c>
      <c r="G337" s="30">
        <f>IF(AND(ISNUMBER(E337),ISNUMBER(F337)),ROUND(E337-F337,6),"")</f>
        <v/>
      </c>
      <c r="H337" s="25">
        <f>IF(A337="","",IFERROR(INDEX('자료_한국심리'!$N$3:$N$4002,MATCH(A337,$Y$19:$Y$4018,0)),H336))</f>
        <v/>
      </c>
      <c r="I337" s="31">
        <f>IF(AND(ISNUMBER(H337),ISNUMBER(H317)),IF(H317&gt;0,H337/H317-1,""),"")</f>
        <v/>
      </c>
      <c r="J337">
        <f>IF(A337="",0,IF(A337&gt;$B$5,1,0))</f>
        <v/>
      </c>
      <c r="K337" s="29">
        <f>IF(AND(J337=1,ISNUMBER(D337)),D337,"")</f>
        <v/>
      </c>
      <c r="L337" s="30">
        <f>IF(AND(J337=1,ISNUMBER(G337)),G337,"")</f>
        <v/>
      </c>
      <c r="M337" s="22">
        <f>IF(AND(J337=1,ISNUMBER(C337)),C337,"")</f>
        <v/>
      </c>
      <c r="N337" s="31">
        <f>IF(AND(J337=1,ISNUMBER(I337)),I337,"")</f>
        <v/>
      </c>
      <c r="O337" s="11">
        <f>IF(K337="","",100-IF($G$13=1,50,(_xlfn.RANK.AVG(K337,$K$19:$K$1518,1)-1)/($G$13-1)*100))</f>
        <v/>
      </c>
      <c r="P337" s="11">
        <f>IF(L337="","",100-IF($G$14=1,50,(_xlfn.RANK.AVG(L337,$L$19:$L$1518,1)-1)/($G$14-1)*100))</f>
        <v/>
      </c>
      <c r="Q337" s="11">
        <f>IF(M337="","",IF($G$15=1,50,(_xlfn.RANK.AVG(M337,$M$19:$M$1518,1)-1)/($G$15-1)*100))</f>
        <v/>
      </c>
      <c r="R337" s="11">
        <f>IF(N337="","",IF($G$16=1,50,(_xlfn.RANK.AVG(N337,$N$19:$N$1518,1)-1)/($G$16-1)*100))</f>
        <v/>
      </c>
      <c r="S337" s="11">
        <f>IF(COUNT(O337:R337)=4,ROUND(AVERAGE(O337:R337),6),"")</f>
        <v/>
      </c>
      <c r="U337">
        <f>IF(AND(ISNUMBER('자료_한국심리'!$A321),ISNUMBER('자료_한국심리'!$B321)),'자료_한국심리'!$A321,"")</f>
        <v/>
      </c>
      <c r="V337">
        <f>IF(AND(ISNUMBER('자료_한국심리'!$D321),ISNUMBER('자료_한국심리'!$E321)),'자료_한국심리'!$D321,"")</f>
        <v/>
      </c>
      <c r="W337">
        <f>IF(AND(ISNUMBER('자료_한국심리'!$G321),ISNUMBER('자료_한국심리'!$H321)),'자료_한국심리'!$G321,"")</f>
        <v/>
      </c>
      <c r="X337">
        <f>IF(AND(ISNUMBER('자료_한국심리'!$J321),ISNUMBER('자료_한국심리'!$K321)),'자료_한국심리'!$J321,"")</f>
        <v/>
      </c>
      <c r="Y337">
        <f>IF(AND(ISNUMBER('자료_한국심리'!$M321),ISNUMBER('자료_한국심리'!$N321)),'자료_한국심리'!$M321,"")</f>
        <v/>
      </c>
    </row>
    <row r="338">
      <c r="A338" s="10">
        <f>IF(320&gt;$E$5,"",SMALL($U$19:$U$4018,$E$6+320))</f>
        <v/>
      </c>
      <c r="B338" s="29">
        <f>IF(A338="","",INDEX('자료_한국심리'!$B$3:$B$4002,MATCH(A338,$U$19:$U$4018,0)))</f>
        <v/>
      </c>
      <c r="C338" s="22">
        <f>IF(A338="","",B338/AVERAGE(B214:B338)-1)</f>
        <v/>
      </c>
      <c r="D338" s="29">
        <f>IF(A338="","",IFERROR(INDEX('자료_한국심리'!$E$3:$E$4002,MATCH(A338,$V$19:$V$4018,0)),D337))</f>
        <v/>
      </c>
      <c r="E338" s="30">
        <f>IF(A338="","",IFERROR(INDEX('자료_한국심리'!$H$3:$H$4002,MATCH(A338,$W$19:$W$4018,0)),E337))</f>
        <v/>
      </c>
      <c r="F338" s="30">
        <f>IF(A338="","",IFERROR(INDEX('자료_한국심리'!$K$3:$K$4002,MATCH(A338,$X$19:$X$4018,0)),F337))</f>
        <v/>
      </c>
      <c r="G338" s="30">
        <f>IF(AND(ISNUMBER(E338),ISNUMBER(F338)),ROUND(E338-F338,6),"")</f>
        <v/>
      </c>
      <c r="H338" s="25">
        <f>IF(A338="","",IFERROR(INDEX('자료_한국심리'!$N$3:$N$4002,MATCH(A338,$Y$19:$Y$4018,0)),H337))</f>
        <v/>
      </c>
      <c r="I338" s="31">
        <f>IF(AND(ISNUMBER(H338),ISNUMBER(H318)),IF(H318&gt;0,H338/H318-1,""),"")</f>
        <v/>
      </c>
      <c r="J338">
        <f>IF(A338="",0,IF(A338&gt;$B$5,1,0))</f>
        <v/>
      </c>
      <c r="K338" s="29">
        <f>IF(AND(J338=1,ISNUMBER(D338)),D338,"")</f>
        <v/>
      </c>
      <c r="L338" s="30">
        <f>IF(AND(J338=1,ISNUMBER(G338)),G338,"")</f>
        <v/>
      </c>
      <c r="M338" s="22">
        <f>IF(AND(J338=1,ISNUMBER(C338)),C338,"")</f>
        <v/>
      </c>
      <c r="N338" s="31">
        <f>IF(AND(J338=1,ISNUMBER(I338)),I338,"")</f>
        <v/>
      </c>
      <c r="O338" s="11">
        <f>IF(K338="","",100-IF($G$13=1,50,(_xlfn.RANK.AVG(K338,$K$19:$K$1518,1)-1)/($G$13-1)*100))</f>
        <v/>
      </c>
      <c r="P338" s="11">
        <f>IF(L338="","",100-IF($G$14=1,50,(_xlfn.RANK.AVG(L338,$L$19:$L$1518,1)-1)/($G$14-1)*100))</f>
        <v/>
      </c>
      <c r="Q338" s="11">
        <f>IF(M338="","",IF($G$15=1,50,(_xlfn.RANK.AVG(M338,$M$19:$M$1518,1)-1)/($G$15-1)*100))</f>
        <v/>
      </c>
      <c r="R338" s="11">
        <f>IF(N338="","",IF($G$16=1,50,(_xlfn.RANK.AVG(N338,$N$19:$N$1518,1)-1)/($G$16-1)*100))</f>
        <v/>
      </c>
      <c r="S338" s="11">
        <f>IF(COUNT(O338:R338)=4,ROUND(AVERAGE(O338:R338),6),"")</f>
        <v/>
      </c>
      <c r="U338">
        <f>IF(AND(ISNUMBER('자료_한국심리'!$A322),ISNUMBER('자료_한국심리'!$B322)),'자료_한국심리'!$A322,"")</f>
        <v/>
      </c>
      <c r="V338">
        <f>IF(AND(ISNUMBER('자료_한국심리'!$D322),ISNUMBER('자료_한국심리'!$E322)),'자료_한국심리'!$D322,"")</f>
        <v/>
      </c>
      <c r="W338">
        <f>IF(AND(ISNUMBER('자료_한국심리'!$G322),ISNUMBER('자료_한국심리'!$H322)),'자료_한국심리'!$G322,"")</f>
        <v/>
      </c>
      <c r="X338">
        <f>IF(AND(ISNUMBER('자료_한국심리'!$J322),ISNUMBER('자료_한국심리'!$K322)),'자료_한국심리'!$J322,"")</f>
        <v/>
      </c>
      <c r="Y338">
        <f>IF(AND(ISNUMBER('자료_한국심리'!$M322),ISNUMBER('자료_한국심리'!$N322)),'자료_한국심리'!$M322,"")</f>
        <v/>
      </c>
    </row>
    <row r="339">
      <c r="A339" s="10">
        <f>IF(321&gt;$E$5,"",SMALL($U$19:$U$4018,$E$6+321))</f>
        <v/>
      </c>
      <c r="B339" s="29">
        <f>IF(A339="","",INDEX('자료_한국심리'!$B$3:$B$4002,MATCH(A339,$U$19:$U$4018,0)))</f>
        <v/>
      </c>
      <c r="C339" s="22">
        <f>IF(A339="","",B339/AVERAGE(B215:B339)-1)</f>
        <v/>
      </c>
      <c r="D339" s="29">
        <f>IF(A339="","",IFERROR(INDEX('자료_한국심리'!$E$3:$E$4002,MATCH(A339,$V$19:$V$4018,0)),D338))</f>
        <v/>
      </c>
      <c r="E339" s="30">
        <f>IF(A339="","",IFERROR(INDEX('자료_한국심리'!$H$3:$H$4002,MATCH(A339,$W$19:$W$4018,0)),E338))</f>
        <v/>
      </c>
      <c r="F339" s="30">
        <f>IF(A339="","",IFERROR(INDEX('자료_한국심리'!$K$3:$K$4002,MATCH(A339,$X$19:$X$4018,0)),F338))</f>
        <v/>
      </c>
      <c r="G339" s="30">
        <f>IF(AND(ISNUMBER(E339),ISNUMBER(F339)),ROUND(E339-F339,6),"")</f>
        <v/>
      </c>
      <c r="H339" s="25">
        <f>IF(A339="","",IFERROR(INDEX('자료_한국심리'!$N$3:$N$4002,MATCH(A339,$Y$19:$Y$4018,0)),H338))</f>
        <v/>
      </c>
      <c r="I339" s="31">
        <f>IF(AND(ISNUMBER(H339),ISNUMBER(H319)),IF(H319&gt;0,H339/H319-1,""),"")</f>
        <v/>
      </c>
      <c r="J339">
        <f>IF(A339="",0,IF(A339&gt;$B$5,1,0))</f>
        <v/>
      </c>
      <c r="K339" s="29">
        <f>IF(AND(J339=1,ISNUMBER(D339)),D339,"")</f>
        <v/>
      </c>
      <c r="L339" s="30">
        <f>IF(AND(J339=1,ISNUMBER(G339)),G339,"")</f>
        <v/>
      </c>
      <c r="M339" s="22">
        <f>IF(AND(J339=1,ISNUMBER(C339)),C339,"")</f>
        <v/>
      </c>
      <c r="N339" s="31">
        <f>IF(AND(J339=1,ISNUMBER(I339)),I339,"")</f>
        <v/>
      </c>
      <c r="O339" s="11">
        <f>IF(K339="","",100-IF($G$13=1,50,(_xlfn.RANK.AVG(K339,$K$19:$K$1518,1)-1)/($G$13-1)*100))</f>
        <v/>
      </c>
      <c r="P339" s="11">
        <f>IF(L339="","",100-IF($G$14=1,50,(_xlfn.RANK.AVG(L339,$L$19:$L$1518,1)-1)/($G$14-1)*100))</f>
        <v/>
      </c>
      <c r="Q339" s="11">
        <f>IF(M339="","",IF($G$15=1,50,(_xlfn.RANK.AVG(M339,$M$19:$M$1518,1)-1)/($G$15-1)*100))</f>
        <v/>
      </c>
      <c r="R339" s="11">
        <f>IF(N339="","",IF($G$16=1,50,(_xlfn.RANK.AVG(N339,$N$19:$N$1518,1)-1)/($G$16-1)*100))</f>
        <v/>
      </c>
      <c r="S339" s="11">
        <f>IF(COUNT(O339:R339)=4,ROUND(AVERAGE(O339:R339),6),"")</f>
        <v/>
      </c>
      <c r="U339">
        <f>IF(AND(ISNUMBER('자료_한국심리'!$A323),ISNUMBER('자료_한국심리'!$B323)),'자료_한국심리'!$A323,"")</f>
        <v/>
      </c>
      <c r="V339">
        <f>IF(AND(ISNUMBER('자료_한국심리'!$D323),ISNUMBER('자료_한국심리'!$E323)),'자료_한국심리'!$D323,"")</f>
        <v/>
      </c>
      <c r="W339">
        <f>IF(AND(ISNUMBER('자료_한국심리'!$G323),ISNUMBER('자료_한국심리'!$H323)),'자료_한국심리'!$G323,"")</f>
        <v/>
      </c>
      <c r="X339">
        <f>IF(AND(ISNUMBER('자료_한국심리'!$J323),ISNUMBER('자료_한국심리'!$K323)),'자료_한국심리'!$J323,"")</f>
        <v/>
      </c>
      <c r="Y339">
        <f>IF(AND(ISNUMBER('자료_한국심리'!$M323),ISNUMBER('자료_한국심리'!$N323)),'자료_한국심리'!$M323,"")</f>
        <v/>
      </c>
    </row>
    <row r="340">
      <c r="A340" s="10">
        <f>IF(322&gt;$E$5,"",SMALL($U$19:$U$4018,$E$6+322))</f>
        <v/>
      </c>
      <c r="B340" s="29">
        <f>IF(A340="","",INDEX('자료_한국심리'!$B$3:$B$4002,MATCH(A340,$U$19:$U$4018,0)))</f>
        <v/>
      </c>
      <c r="C340" s="22">
        <f>IF(A340="","",B340/AVERAGE(B216:B340)-1)</f>
        <v/>
      </c>
      <c r="D340" s="29">
        <f>IF(A340="","",IFERROR(INDEX('자료_한국심리'!$E$3:$E$4002,MATCH(A340,$V$19:$V$4018,0)),D339))</f>
        <v/>
      </c>
      <c r="E340" s="30">
        <f>IF(A340="","",IFERROR(INDEX('자료_한국심리'!$H$3:$H$4002,MATCH(A340,$W$19:$W$4018,0)),E339))</f>
        <v/>
      </c>
      <c r="F340" s="30">
        <f>IF(A340="","",IFERROR(INDEX('자료_한국심리'!$K$3:$K$4002,MATCH(A340,$X$19:$X$4018,0)),F339))</f>
        <v/>
      </c>
      <c r="G340" s="30">
        <f>IF(AND(ISNUMBER(E340),ISNUMBER(F340)),ROUND(E340-F340,6),"")</f>
        <v/>
      </c>
      <c r="H340" s="25">
        <f>IF(A340="","",IFERROR(INDEX('자료_한국심리'!$N$3:$N$4002,MATCH(A340,$Y$19:$Y$4018,0)),H339))</f>
        <v/>
      </c>
      <c r="I340" s="31">
        <f>IF(AND(ISNUMBER(H340),ISNUMBER(H320)),IF(H320&gt;0,H340/H320-1,""),"")</f>
        <v/>
      </c>
      <c r="J340">
        <f>IF(A340="",0,IF(A340&gt;$B$5,1,0))</f>
        <v/>
      </c>
      <c r="K340" s="29">
        <f>IF(AND(J340=1,ISNUMBER(D340)),D340,"")</f>
        <v/>
      </c>
      <c r="L340" s="30">
        <f>IF(AND(J340=1,ISNUMBER(G340)),G340,"")</f>
        <v/>
      </c>
      <c r="M340" s="22">
        <f>IF(AND(J340=1,ISNUMBER(C340)),C340,"")</f>
        <v/>
      </c>
      <c r="N340" s="31">
        <f>IF(AND(J340=1,ISNUMBER(I340)),I340,"")</f>
        <v/>
      </c>
      <c r="O340" s="11">
        <f>IF(K340="","",100-IF($G$13=1,50,(_xlfn.RANK.AVG(K340,$K$19:$K$1518,1)-1)/($G$13-1)*100))</f>
        <v/>
      </c>
      <c r="P340" s="11">
        <f>IF(L340="","",100-IF($G$14=1,50,(_xlfn.RANK.AVG(L340,$L$19:$L$1518,1)-1)/($G$14-1)*100))</f>
        <v/>
      </c>
      <c r="Q340" s="11">
        <f>IF(M340="","",IF($G$15=1,50,(_xlfn.RANK.AVG(M340,$M$19:$M$1518,1)-1)/($G$15-1)*100))</f>
        <v/>
      </c>
      <c r="R340" s="11">
        <f>IF(N340="","",IF($G$16=1,50,(_xlfn.RANK.AVG(N340,$N$19:$N$1518,1)-1)/($G$16-1)*100))</f>
        <v/>
      </c>
      <c r="S340" s="11">
        <f>IF(COUNT(O340:R340)=4,ROUND(AVERAGE(O340:R340),6),"")</f>
        <v/>
      </c>
      <c r="U340">
        <f>IF(AND(ISNUMBER('자료_한국심리'!$A324),ISNUMBER('자료_한국심리'!$B324)),'자료_한국심리'!$A324,"")</f>
        <v/>
      </c>
      <c r="V340">
        <f>IF(AND(ISNUMBER('자료_한국심리'!$D324),ISNUMBER('자료_한국심리'!$E324)),'자료_한국심리'!$D324,"")</f>
        <v/>
      </c>
      <c r="W340">
        <f>IF(AND(ISNUMBER('자료_한국심리'!$G324),ISNUMBER('자료_한국심리'!$H324)),'자료_한국심리'!$G324,"")</f>
        <v/>
      </c>
      <c r="X340">
        <f>IF(AND(ISNUMBER('자료_한국심리'!$J324),ISNUMBER('자료_한국심리'!$K324)),'자료_한국심리'!$J324,"")</f>
        <v/>
      </c>
      <c r="Y340">
        <f>IF(AND(ISNUMBER('자료_한국심리'!$M324),ISNUMBER('자료_한국심리'!$N324)),'자료_한국심리'!$M324,"")</f>
        <v/>
      </c>
    </row>
    <row r="341">
      <c r="A341" s="10">
        <f>IF(323&gt;$E$5,"",SMALL($U$19:$U$4018,$E$6+323))</f>
        <v/>
      </c>
      <c r="B341" s="29">
        <f>IF(A341="","",INDEX('자료_한국심리'!$B$3:$B$4002,MATCH(A341,$U$19:$U$4018,0)))</f>
        <v/>
      </c>
      <c r="C341" s="22">
        <f>IF(A341="","",B341/AVERAGE(B217:B341)-1)</f>
        <v/>
      </c>
      <c r="D341" s="29">
        <f>IF(A341="","",IFERROR(INDEX('자료_한국심리'!$E$3:$E$4002,MATCH(A341,$V$19:$V$4018,0)),D340))</f>
        <v/>
      </c>
      <c r="E341" s="30">
        <f>IF(A341="","",IFERROR(INDEX('자료_한국심리'!$H$3:$H$4002,MATCH(A341,$W$19:$W$4018,0)),E340))</f>
        <v/>
      </c>
      <c r="F341" s="30">
        <f>IF(A341="","",IFERROR(INDEX('자료_한국심리'!$K$3:$K$4002,MATCH(A341,$X$19:$X$4018,0)),F340))</f>
        <v/>
      </c>
      <c r="G341" s="30">
        <f>IF(AND(ISNUMBER(E341),ISNUMBER(F341)),ROUND(E341-F341,6),"")</f>
        <v/>
      </c>
      <c r="H341" s="25">
        <f>IF(A341="","",IFERROR(INDEX('자료_한국심리'!$N$3:$N$4002,MATCH(A341,$Y$19:$Y$4018,0)),H340))</f>
        <v/>
      </c>
      <c r="I341" s="31">
        <f>IF(AND(ISNUMBER(H341),ISNUMBER(H321)),IF(H321&gt;0,H341/H321-1,""),"")</f>
        <v/>
      </c>
      <c r="J341">
        <f>IF(A341="",0,IF(A341&gt;$B$5,1,0))</f>
        <v/>
      </c>
      <c r="K341" s="29">
        <f>IF(AND(J341=1,ISNUMBER(D341)),D341,"")</f>
        <v/>
      </c>
      <c r="L341" s="30">
        <f>IF(AND(J341=1,ISNUMBER(G341)),G341,"")</f>
        <v/>
      </c>
      <c r="M341" s="22">
        <f>IF(AND(J341=1,ISNUMBER(C341)),C341,"")</f>
        <v/>
      </c>
      <c r="N341" s="31">
        <f>IF(AND(J341=1,ISNUMBER(I341)),I341,"")</f>
        <v/>
      </c>
      <c r="O341" s="11">
        <f>IF(K341="","",100-IF($G$13=1,50,(_xlfn.RANK.AVG(K341,$K$19:$K$1518,1)-1)/($G$13-1)*100))</f>
        <v/>
      </c>
      <c r="P341" s="11">
        <f>IF(L341="","",100-IF($G$14=1,50,(_xlfn.RANK.AVG(L341,$L$19:$L$1518,1)-1)/($G$14-1)*100))</f>
        <v/>
      </c>
      <c r="Q341" s="11">
        <f>IF(M341="","",IF($G$15=1,50,(_xlfn.RANK.AVG(M341,$M$19:$M$1518,1)-1)/($G$15-1)*100))</f>
        <v/>
      </c>
      <c r="R341" s="11">
        <f>IF(N341="","",IF($G$16=1,50,(_xlfn.RANK.AVG(N341,$N$19:$N$1518,1)-1)/($G$16-1)*100))</f>
        <v/>
      </c>
      <c r="S341" s="11">
        <f>IF(COUNT(O341:R341)=4,ROUND(AVERAGE(O341:R341),6),"")</f>
        <v/>
      </c>
      <c r="U341">
        <f>IF(AND(ISNUMBER('자료_한국심리'!$A325),ISNUMBER('자료_한국심리'!$B325)),'자료_한국심리'!$A325,"")</f>
        <v/>
      </c>
      <c r="V341">
        <f>IF(AND(ISNUMBER('자료_한국심리'!$D325),ISNUMBER('자료_한국심리'!$E325)),'자료_한국심리'!$D325,"")</f>
        <v/>
      </c>
      <c r="W341">
        <f>IF(AND(ISNUMBER('자료_한국심리'!$G325),ISNUMBER('자료_한국심리'!$H325)),'자료_한국심리'!$G325,"")</f>
        <v/>
      </c>
      <c r="X341">
        <f>IF(AND(ISNUMBER('자료_한국심리'!$J325),ISNUMBER('자료_한국심리'!$K325)),'자료_한국심리'!$J325,"")</f>
        <v/>
      </c>
      <c r="Y341">
        <f>IF(AND(ISNUMBER('자료_한국심리'!$M325),ISNUMBER('자료_한국심리'!$N325)),'자료_한국심리'!$M325,"")</f>
        <v/>
      </c>
    </row>
    <row r="342">
      <c r="A342" s="10">
        <f>IF(324&gt;$E$5,"",SMALL($U$19:$U$4018,$E$6+324))</f>
        <v/>
      </c>
      <c r="B342" s="29">
        <f>IF(A342="","",INDEX('자료_한국심리'!$B$3:$B$4002,MATCH(A342,$U$19:$U$4018,0)))</f>
        <v/>
      </c>
      <c r="C342" s="22">
        <f>IF(A342="","",B342/AVERAGE(B218:B342)-1)</f>
        <v/>
      </c>
      <c r="D342" s="29">
        <f>IF(A342="","",IFERROR(INDEX('자료_한국심리'!$E$3:$E$4002,MATCH(A342,$V$19:$V$4018,0)),D341))</f>
        <v/>
      </c>
      <c r="E342" s="30">
        <f>IF(A342="","",IFERROR(INDEX('자료_한국심리'!$H$3:$H$4002,MATCH(A342,$W$19:$W$4018,0)),E341))</f>
        <v/>
      </c>
      <c r="F342" s="30">
        <f>IF(A342="","",IFERROR(INDEX('자료_한국심리'!$K$3:$K$4002,MATCH(A342,$X$19:$X$4018,0)),F341))</f>
        <v/>
      </c>
      <c r="G342" s="30">
        <f>IF(AND(ISNUMBER(E342),ISNUMBER(F342)),ROUND(E342-F342,6),"")</f>
        <v/>
      </c>
      <c r="H342" s="25">
        <f>IF(A342="","",IFERROR(INDEX('자료_한국심리'!$N$3:$N$4002,MATCH(A342,$Y$19:$Y$4018,0)),H341))</f>
        <v/>
      </c>
      <c r="I342" s="31">
        <f>IF(AND(ISNUMBER(H342),ISNUMBER(H322)),IF(H322&gt;0,H342/H322-1,""),"")</f>
        <v/>
      </c>
      <c r="J342">
        <f>IF(A342="",0,IF(A342&gt;$B$5,1,0))</f>
        <v/>
      </c>
      <c r="K342" s="29">
        <f>IF(AND(J342=1,ISNUMBER(D342)),D342,"")</f>
        <v/>
      </c>
      <c r="L342" s="30">
        <f>IF(AND(J342=1,ISNUMBER(G342)),G342,"")</f>
        <v/>
      </c>
      <c r="M342" s="22">
        <f>IF(AND(J342=1,ISNUMBER(C342)),C342,"")</f>
        <v/>
      </c>
      <c r="N342" s="31">
        <f>IF(AND(J342=1,ISNUMBER(I342)),I342,"")</f>
        <v/>
      </c>
      <c r="O342" s="11">
        <f>IF(K342="","",100-IF($G$13=1,50,(_xlfn.RANK.AVG(K342,$K$19:$K$1518,1)-1)/($G$13-1)*100))</f>
        <v/>
      </c>
      <c r="P342" s="11">
        <f>IF(L342="","",100-IF($G$14=1,50,(_xlfn.RANK.AVG(L342,$L$19:$L$1518,1)-1)/($G$14-1)*100))</f>
        <v/>
      </c>
      <c r="Q342" s="11">
        <f>IF(M342="","",IF($G$15=1,50,(_xlfn.RANK.AVG(M342,$M$19:$M$1518,1)-1)/($G$15-1)*100))</f>
        <v/>
      </c>
      <c r="R342" s="11">
        <f>IF(N342="","",IF($G$16=1,50,(_xlfn.RANK.AVG(N342,$N$19:$N$1518,1)-1)/($G$16-1)*100))</f>
        <v/>
      </c>
      <c r="S342" s="11">
        <f>IF(COUNT(O342:R342)=4,ROUND(AVERAGE(O342:R342),6),"")</f>
        <v/>
      </c>
      <c r="U342">
        <f>IF(AND(ISNUMBER('자료_한국심리'!$A326),ISNUMBER('자료_한국심리'!$B326)),'자료_한국심리'!$A326,"")</f>
        <v/>
      </c>
      <c r="V342">
        <f>IF(AND(ISNUMBER('자료_한국심리'!$D326),ISNUMBER('자료_한국심리'!$E326)),'자료_한국심리'!$D326,"")</f>
        <v/>
      </c>
      <c r="W342">
        <f>IF(AND(ISNUMBER('자료_한국심리'!$G326),ISNUMBER('자료_한국심리'!$H326)),'자료_한국심리'!$G326,"")</f>
        <v/>
      </c>
      <c r="X342">
        <f>IF(AND(ISNUMBER('자료_한국심리'!$J326),ISNUMBER('자료_한국심리'!$K326)),'자료_한국심리'!$J326,"")</f>
        <v/>
      </c>
      <c r="Y342">
        <f>IF(AND(ISNUMBER('자료_한국심리'!$M326),ISNUMBER('자료_한국심리'!$N326)),'자료_한국심리'!$M326,"")</f>
        <v/>
      </c>
    </row>
    <row r="343">
      <c r="A343" s="10">
        <f>IF(325&gt;$E$5,"",SMALL($U$19:$U$4018,$E$6+325))</f>
        <v/>
      </c>
      <c r="B343" s="29">
        <f>IF(A343="","",INDEX('자료_한국심리'!$B$3:$B$4002,MATCH(A343,$U$19:$U$4018,0)))</f>
        <v/>
      </c>
      <c r="C343" s="22">
        <f>IF(A343="","",B343/AVERAGE(B219:B343)-1)</f>
        <v/>
      </c>
      <c r="D343" s="29">
        <f>IF(A343="","",IFERROR(INDEX('자료_한국심리'!$E$3:$E$4002,MATCH(A343,$V$19:$V$4018,0)),D342))</f>
        <v/>
      </c>
      <c r="E343" s="30">
        <f>IF(A343="","",IFERROR(INDEX('자료_한국심리'!$H$3:$H$4002,MATCH(A343,$W$19:$W$4018,0)),E342))</f>
        <v/>
      </c>
      <c r="F343" s="30">
        <f>IF(A343="","",IFERROR(INDEX('자료_한국심리'!$K$3:$K$4002,MATCH(A343,$X$19:$X$4018,0)),F342))</f>
        <v/>
      </c>
      <c r="G343" s="30">
        <f>IF(AND(ISNUMBER(E343),ISNUMBER(F343)),ROUND(E343-F343,6),"")</f>
        <v/>
      </c>
      <c r="H343" s="25">
        <f>IF(A343="","",IFERROR(INDEX('자료_한국심리'!$N$3:$N$4002,MATCH(A343,$Y$19:$Y$4018,0)),H342))</f>
        <v/>
      </c>
      <c r="I343" s="31">
        <f>IF(AND(ISNUMBER(H343),ISNUMBER(H323)),IF(H323&gt;0,H343/H323-1,""),"")</f>
        <v/>
      </c>
      <c r="J343">
        <f>IF(A343="",0,IF(A343&gt;$B$5,1,0))</f>
        <v/>
      </c>
      <c r="K343" s="29">
        <f>IF(AND(J343=1,ISNUMBER(D343)),D343,"")</f>
        <v/>
      </c>
      <c r="L343" s="30">
        <f>IF(AND(J343=1,ISNUMBER(G343)),G343,"")</f>
        <v/>
      </c>
      <c r="M343" s="22">
        <f>IF(AND(J343=1,ISNUMBER(C343)),C343,"")</f>
        <v/>
      </c>
      <c r="N343" s="31">
        <f>IF(AND(J343=1,ISNUMBER(I343)),I343,"")</f>
        <v/>
      </c>
      <c r="O343" s="11">
        <f>IF(K343="","",100-IF($G$13=1,50,(_xlfn.RANK.AVG(K343,$K$19:$K$1518,1)-1)/($G$13-1)*100))</f>
        <v/>
      </c>
      <c r="P343" s="11">
        <f>IF(L343="","",100-IF($G$14=1,50,(_xlfn.RANK.AVG(L343,$L$19:$L$1518,1)-1)/($G$14-1)*100))</f>
        <v/>
      </c>
      <c r="Q343" s="11">
        <f>IF(M343="","",IF($G$15=1,50,(_xlfn.RANK.AVG(M343,$M$19:$M$1518,1)-1)/($G$15-1)*100))</f>
        <v/>
      </c>
      <c r="R343" s="11">
        <f>IF(N343="","",IF($G$16=1,50,(_xlfn.RANK.AVG(N343,$N$19:$N$1518,1)-1)/($G$16-1)*100))</f>
        <v/>
      </c>
      <c r="S343" s="11">
        <f>IF(COUNT(O343:R343)=4,ROUND(AVERAGE(O343:R343),6),"")</f>
        <v/>
      </c>
      <c r="U343">
        <f>IF(AND(ISNUMBER('자료_한국심리'!$A327),ISNUMBER('자료_한국심리'!$B327)),'자료_한국심리'!$A327,"")</f>
        <v/>
      </c>
      <c r="V343">
        <f>IF(AND(ISNUMBER('자료_한국심리'!$D327),ISNUMBER('자료_한국심리'!$E327)),'자료_한국심리'!$D327,"")</f>
        <v/>
      </c>
      <c r="W343">
        <f>IF(AND(ISNUMBER('자료_한국심리'!$G327),ISNUMBER('자료_한국심리'!$H327)),'자료_한국심리'!$G327,"")</f>
        <v/>
      </c>
      <c r="X343">
        <f>IF(AND(ISNUMBER('자료_한국심리'!$J327),ISNUMBER('자료_한국심리'!$K327)),'자료_한국심리'!$J327,"")</f>
        <v/>
      </c>
      <c r="Y343">
        <f>IF(AND(ISNUMBER('자료_한국심리'!$M327),ISNUMBER('자료_한국심리'!$N327)),'자료_한국심리'!$M327,"")</f>
        <v/>
      </c>
    </row>
    <row r="344">
      <c r="A344" s="10">
        <f>IF(326&gt;$E$5,"",SMALL($U$19:$U$4018,$E$6+326))</f>
        <v/>
      </c>
      <c r="B344" s="29">
        <f>IF(A344="","",INDEX('자료_한국심리'!$B$3:$B$4002,MATCH(A344,$U$19:$U$4018,0)))</f>
        <v/>
      </c>
      <c r="C344" s="22">
        <f>IF(A344="","",B344/AVERAGE(B220:B344)-1)</f>
        <v/>
      </c>
      <c r="D344" s="29">
        <f>IF(A344="","",IFERROR(INDEX('자료_한국심리'!$E$3:$E$4002,MATCH(A344,$V$19:$V$4018,0)),D343))</f>
        <v/>
      </c>
      <c r="E344" s="30">
        <f>IF(A344="","",IFERROR(INDEX('자료_한국심리'!$H$3:$H$4002,MATCH(A344,$W$19:$W$4018,0)),E343))</f>
        <v/>
      </c>
      <c r="F344" s="30">
        <f>IF(A344="","",IFERROR(INDEX('자료_한국심리'!$K$3:$K$4002,MATCH(A344,$X$19:$X$4018,0)),F343))</f>
        <v/>
      </c>
      <c r="G344" s="30">
        <f>IF(AND(ISNUMBER(E344),ISNUMBER(F344)),ROUND(E344-F344,6),"")</f>
        <v/>
      </c>
      <c r="H344" s="25">
        <f>IF(A344="","",IFERROR(INDEX('자료_한국심리'!$N$3:$N$4002,MATCH(A344,$Y$19:$Y$4018,0)),H343))</f>
        <v/>
      </c>
      <c r="I344" s="31">
        <f>IF(AND(ISNUMBER(H344),ISNUMBER(H324)),IF(H324&gt;0,H344/H324-1,""),"")</f>
        <v/>
      </c>
      <c r="J344">
        <f>IF(A344="",0,IF(A344&gt;$B$5,1,0))</f>
        <v/>
      </c>
      <c r="K344" s="29">
        <f>IF(AND(J344=1,ISNUMBER(D344)),D344,"")</f>
        <v/>
      </c>
      <c r="L344" s="30">
        <f>IF(AND(J344=1,ISNUMBER(G344)),G344,"")</f>
        <v/>
      </c>
      <c r="M344" s="22">
        <f>IF(AND(J344=1,ISNUMBER(C344)),C344,"")</f>
        <v/>
      </c>
      <c r="N344" s="31">
        <f>IF(AND(J344=1,ISNUMBER(I344)),I344,"")</f>
        <v/>
      </c>
      <c r="O344" s="11">
        <f>IF(K344="","",100-IF($G$13=1,50,(_xlfn.RANK.AVG(K344,$K$19:$K$1518,1)-1)/($G$13-1)*100))</f>
        <v/>
      </c>
      <c r="P344" s="11">
        <f>IF(L344="","",100-IF($G$14=1,50,(_xlfn.RANK.AVG(L344,$L$19:$L$1518,1)-1)/($G$14-1)*100))</f>
        <v/>
      </c>
      <c r="Q344" s="11">
        <f>IF(M344="","",IF($G$15=1,50,(_xlfn.RANK.AVG(M344,$M$19:$M$1518,1)-1)/($G$15-1)*100))</f>
        <v/>
      </c>
      <c r="R344" s="11">
        <f>IF(N344="","",IF($G$16=1,50,(_xlfn.RANK.AVG(N344,$N$19:$N$1518,1)-1)/($G$16-1)*100))</f>
        <v/>
      </c>
      <c r="S344" s="11">
        <f>IF(COUNT(O344:R344)=4,ROUND(AVERAGE(O344:R344),6),"")</f>
        <v/>
      </c>
      <c r="U344">
        <f>IF(AND(ISNUMBER('자료_한국심리'!$A328),ISNUMBER('자료_한국심리'!$B328)),'자료_한국심리'!$A328,"")</f>
        <v/>
      </c>
      <c r="V344">
        <f>IF(AND(ISNUMBER('자료_한국심리'!$D328),ISNUMBER('자료_한국심리'!$E328)),'자료_한국심리'!$D328,"")</f>
        <v/>
      </c>
      <c r="W344">
        <f>IF(AND(ISNUMBER('자료_한국심리'!$G328),ISNUMBER('자료_한국심리'!$H328)),'자료_한국심리'!$G328,"")</f>
        <v/>
      </c>
      <c r="X344">
        <f>IF(AND(ISNUMBER('자료_한국심리'!$J328),ISNUMBER('자료_한국심리'!$K328)),'자료_한국심리'!$J328,"")</f>
        <v/>
      </c>
      <c r="Y344">
        <f>IF(AND(ISNUMBER('자료_한국심리'!$M328),ISNUMBER('자료_한국심리'!$N328)),'자료_한국심리'!$M328,"")</f>
        <v/>
      </c>
    </row>
    <row r="345">
      <c r="A345" s="10">
        <f>IF(327&gt;$E$5,"",SMALL($U$19:$U$4018,$E$6+327))</f>
        <v/>
      </c>
      <c r="B345" s="29">
        <f>IF(A345="","",INDEX('자료_한국심리'!$B$3:$B$4002,MATCH(A345,$U$19:$U$4018,0)))</f>
        <v/>
      </c>
      <c r="C345" s="22">
        <f>IF(A345="","",B345/AVERAGE(B221:B345)-1)</f>
        <v/>
      </c>
      <c r="D345" s="29">
        <f>IF(A345="","",IFERROR(INDEX('자료_한국심리'!$E$3:$E$4002,MATCH(A345,$V$19:$V$4018,0)),D344))</f>
        <v/>
      </c>
      <c r="E345" s="30">
        <f>IF(A345="","",IFERROR(INDEX('자료_한국심리'!$H$3:$H$4002,MATCH(A345,$W$19:$W$4018,0)),E344))</f>
        <v/>
      </c>
      <c r="F345" s="30">
        <f>IF(A345="","",IFERROR(INDEX('자료_한국심리'!$K$3:$K$4002,MATCH(A345,$X$19:$X$4018,0)),F344))</f>
        <v/>
      </c>
      <c r="G345" s="30">
        <f>IF(AND(ISNUMBER(E345),ISNUMBER(F345)),ROUND(E345-F345,6),"")</f>
        <v/>
      </c>
      <c r="H345" s="25">
        <f>IF(A345="","",IFERROR(INDEX('자료_한국심리'!$N$3:$N$4002,MATCH(A345,$Y$19:$Y$4018,0)),H344))</f>
        <v/>
      </c>
      <c r="I345" s="31">
        <f>IF(AND(ISNUMBER(H345),ISNUMBER(H325)),IF(H325&gt;0,H345/H325-1,""),"")</f>
        <v/>
      </c>
      <c r="J345">
        <f>IF(A345="",0,IF(A345&gt;$B$5,1,0))</f>
        <v/>
      </c>
      <c r="K345" s="29">
        <f>IF(AND(J345=1,ISNUMBER(D345)),D345,"")</f>
        <v/>
      </c>
      <c r="L345" s="30">
        <f>IF(AND(J345=1,ISNUMBER(G345)),G345,"")</f>
        <v/>
      </c>
      <c r="M345" s="22">
        <f>IF(AND(J345=1,ISNUMBER(C345)),C345,"")</f>
        <v/>
      </c>
      <c r="N345" s="31">
        <f>IF(AND(J345=1,ISNUMBER(I345)),I345,"")</f>
        <v/>
      </c>
      <c r="O345" s="11">
        <f>IF(K345="","",100-IF($G$13=1,50,(_xlfn.RANK.AVG(K345,$K$19:$K$1518,1)-1)/($G$13-1)*100))</f>
        <v/>
      </c>
      <c r="P345" s="11">
        <f>IF(L345="","",100-IF($G$14=1,50,(_xlfn.RANK.AVG(L345,$L$19:$L$1518,1)-1)/($G$14-1)*100))</f>
        <v/>
      </c>
      <c r="Q345" s="11">
        <f>IF(M345="","",IF($G$15=1,50,(_xlfn.RANK.AVG(M345,$M$19:$M$1518,1)-1)/($G$15-1)*100))</f>
        <v/>
      </c>
      <c r="R345" s="11">
        <f>IF(N345="","",IF($G$16=1,50,(_xlfn.RANK.AVG(N345,$N$19:$N$1518,1)-1)/($G$16-1)*100))</f>
        <v/>
      </c>
      <c r="S345" s="11">
        <f>IF(COUNT(O345:R345)=4,ROUND(AVERAGE(O345:R345),6),"")</f>
        <v/>
      </c>
      <c r="U345">
        <f>IF(AND(ISNUMBER('자료_한국심리'!$A329),ISNUMBER('자료_한국심리'!$B329)),'자료_한국심리'!$A329,"")</f>
        <v/>
      </c>
      <c r="V345">
        <f>IF(AND(ISNUMBER('자료_한국심리'!$D329),ISNUMBER('자료_한국심리'!$E329)),'자료_한국심리'!$D329,"")</f>
        <v/>
      </c>
      <c r="W345">
        <f>IF(AND(ISNUMBER('자료_한국심리'!$G329),ISNUMBER('자료_한국심리'!$H329)),'자료_한국심리'!$G329,"")</f>
        <v/>
      </c>
      <c r="X345">
        <f>IF(AND(ISNUMBER('자료_한국심리'!$J329),ISNUMBER('자료_한국심리'!$K329)),'자료_한국심리'!$J329,"")</f>
        <v/>
      </c>
      <c r="Y345">
        <f>IF(AND(ISNUMBER('자료_한국심리'!$M329),ISNUMBER('자료_한국심리'!$N329)),'자료_한국심리'!$M329,"")</f>
        <v/>
      </c>
    </row>
    <row r="346">
      <c r="A346" s="10">
        <f>IF(328&gt;$E$5,"",SMALL($U$19:$U$4018,$E$6+328))</f>
        <v/>
      </c>
      <c r="B346" s="29">
        <f>IF(A346="","",INDEX('자료_한국심리'!$B$3:$B$4002,MATCH(A346,$U$19:$U$4018,0)))</f>
        <v/>
      </c>
      <c r="C346" s="22">
        <f>IF(A346="","",B346/AVERAGE(B222:B346)-1)</f>
        <v/>
      </c>
      <c r="D346" s="29">
        <f>IF(A346="","",IFERROR(INDEX('자료_한국심리'!$E$3:$E$4002,MATCH(A346,$V$19:$V$4018,0)),D345))</f>
        <v/>
      </c>
      <c r="E346" s="30">
        <f>IF(A346="","",IFERROR(INDEX('자료_한국심리'!$H$3:$H$4002,MATCH(A346,$W$19:$W$4018,0)),E345))</f>
        <v/>
      </c>
      <c r="F346" s="30">
        <f>IF(A346="","",IFERROR(INDEX('자료_한국심리'!$K$3:$K$4002,MATCH(A346,$X$19:$X$4018,0)),F345))</f>
        <v/>
      </c>
      <c r="G346" s="30">
        <f>IF(AND(ISNUMBER(E346),ISNUMBER(F346)),ROUND(E346-F346,6),"")</f>
        <v/>
      </c>
      <c r="H346" s="25">
        <f>IF(A346="","",IFERROR(INDEX('자료_한국심리'!$N$3:$N$4002,MATCH(A346,$Y$19:$Y$4018,0)),H345))</f>
        <v/>
      </c>
      <c r="I346" s="31">
        <f>IF(AND(ISNUMBER(H346),ISNUMBER(H326)),IF(H326&gt;0,H346/H326-1,""),"")</f>
        <v/>
      </c>
      <c r="J346">
        <f>IF(A346="",0,IF(A346&gt;$B$5,1,0))</f>
        <v/>
      </c>
      <c r="K346" s="29">
        <f>IF(AND(J346=1,ISNUMBER(D346)),D346,"")</f>
        <v/>
      </c>
      <c r="L346" s="30">
        <f>IF(AND(J346=1,ISNUMBER(G346)),G346,"")</f>
        <v/>
      </c>
      <c r="M346" s="22">
        <f>IF(AND(J346=1,ISNUMBER(C346)),C346,"")</f>
        <v/>
      </c>
      <c r="N346" s="31">
        <f>IF(AND(J346=1,ISNUMBER(I346)),I346,"")</f>
        <v/>
      </c>
      <c r="O346" s="11">
        <f>IF(K346="","",100-IF($G$13=1,50,(_xlfn.RANK.AVG(K346,$K$19:$K$1518,1)-1)/($G$13-1)*100))</f>
        <v/>
      </c>
      <c r="P346" s="11">
        <f>IF(L346="","",100-IF($G$14=1,50,(_xlfn.RANK.AVG(L346,$L$19:$L$1518,1)-1)/($G$14-1)*100))</f>
        <v/>
      </c>
      <c r="Q346" s="11">
        <f>IF(M346="","",IF($G$15=1,50,(_xlfn.RANK.AVG(M346,$M$19:$M$1518,1)-1)/($G$15-1)*100))</f>
        <v/>
      </c>
      <c r="R346" s="11">
        <f>IF(N346="","",IF($G$16=1,50,(_xlfn.RANK.AVG(N346,$N$19:$N$1518,1)-1)/($G$16-1)*100))</f>
        <v/>
      </c>
      <c r="S346" s="11">
        <f>IF(COUNT(O346:R346)=4,ROUND(AVERAGE(O346:R346),6),"")</f>
        <v/>
      </c>
      <c r="U346">
        <f>IF(AND(ISNUMBER('자료_한국심리'!$A330),ISNUMBER('자료_한국심리'!$B330)),'자료_한국심리'!$A330,"")</f>
        <v/>
      </c>
      <c r="V346">
        <f>IF(AND(ISNUMBER('자료_한국심리'!$D330),ISNUMBER('자료_한국심리'!$E330)),'자료_한국심리'!$D330,"")</f>
        <v/>
      </c>
      <c r="W346">
        <f>IF(AND(ISNUMBER('자료_한국심리'!$G330),ISNUMBER('자료_한국심리'!$H330)),'자료_한국심리'!$G330,"")</f>
        <v/>
      </c>
      <c r="X346">
        <f>IF(AND(ISNUMBER('자료_한국심리'!$J330),ISNUMBER('자료_한국심리'!$K330)),'자료_한국심리'!$J330,"")</f>
        <v/>
      </c>
      <c r="Y346">
        <f>IF(AND(ISNUMBER('자료_한국심리'!$M330),ISNUMBER('자료_한국심리'!$N330)),'자료_한국심리'!$M330,"")</f>
        <v/>
      </c>
    </row>
    <row r="347">
      <c r="A347" s="10">
        <f>IF(329&gt;$E$5,"",SMALL($U$19:$U$4018,$E$6+329))</f>
        <v/>
      </c>
      <c r="B347" s="29">
        <f>IF(A347="","",INDEX('자료_한국심리'!$B$3:$B$4002,MATCH(A347,$U$19:$U$4018,0)))</f>
        <v/>
      </c>
      <c r="C347" s="22">
        <f>IF(A347="","",B347/AVERAGE(B223:B347)-1)</f>
        <v/>
      </c>
      <c r="D347" s="29">
        <f>IF(A347="","",IFERROR(INDEX('자료_한국심리'!$E$3:$E$4002,MATCH(A347,$V$19:$V$4018,0)),D346))</f>
        <v/>
      </c>
      <c r="E347" s="30">
        <f>IF(A347="","",IFERROR(INDEX('자료_한국심리'!$H$3:$H$4002,MATCH(A347,$W$19:$W$4018,0)),E346))</f>
        <v/>
      </c>
      <c r="F347" s="30">
        <f>IF(A347="","",IFERROR(INDEX('자료_한국심리'!$K$3:$K$4002,MATCH(A347,$X$19:$X$4018,0)),F346))</f>
        <v/>
      </c>
      <c r="G347" s="30">
        <f>IF(AND(ISNUMBER(E347),ISNUMBER(F347)),ROUND(E347-F347,6),"")</f>
        <v/>
      </c>
      <c r="H347" s="25">
        <f>IF(A347="","",IFERROR(INDEX('자료_한국심리'!$N$3:$N$4002,MATCH(A347,$Y$19:$Y$4018,0)),H346))</f>
        <v/>
      </c>
      <c r="I347" s="31">
        <f>IF(AND(ISNUMBER(H347),ISNUMBER(H327)),IF(H327&gt;0,H347/H327-1,""),"")</f>
        <v/>
      </c>
      <c r="J347">
        <f>IF(A347="",0,IF(A347&gt;$B$5,1,0))</f>
        <v/>
      </c>
      <c r="K347" s="29">
        <f>IF(AND(J347=1,ISNUMBER(D347)),D347,"")</f>
        <v/>
      </c>
      <c r="L347" s="30">
        <f>IF(AND(J347=1,ISNUMBER(G347)),G347,"")</f>
        <v/>
      </c>
      <c r="M347" s="22">
        <f>IF(AND(J347=1,ISNUMBER(C347)),C347,"")</f>
        <v/>
      </c>
      <c r="N347" s="31">
        <f>IF(AND(J347=1,ISNUMBER(I347)),I347,"")</f>
        <v/>
      </c>
      <c r="O347" s="11">
        <f>IF(K347="","",100-IF($G$13=1,50,(_xlfn.RANK.AVG(K347,$K$19:$K$1518,1)-1)/($G$13-1)*100))</f>
        <v/>
      </c>
      <c r="P347" s="11">
        <f>IF(L347="","",100-IF($G$14=1,50,(_xlfn.RANK.AVG(L347,$L$19:$L$1518,1)-1)/($G$14-1)*100))</f>
        <v/>
      </c>
      <c r="Q347" s="11">
        <f>IF(M347="","",IF($G$15=1,50,(_xlfn.RANK.AVG(M347,$M$19:$M$1518,1)-1)/($G$15-1)*100))</f>
        <v/>
      </c>
      <c r="R347" s="11">
        <f>IF(N347="","",IF($G$16=1,50,(_xlfn.RANK.AVG(N347,$N$19:$N$1518,1)-1)/($G$16-1)*100))</f>
        <v/>
      </c>
      <c r="S347" s="11">
        <f>IF(COUNT(O347:R347)=4,ROUND(AVERAGE(O347:R347),6),"")</f>
        <v/>
      </c>
      <c r="U347">
        <f>IF(AND(ISNUMBER('자료_한국심리'!$A331),ISNUMBER('자료_한국심리'!$B331)),'자료_한국심리'!$A331,"")</f>
        <v/>
      </c>
      <c r="V347">
        <f>IF(AND(ISNUMBER('자료_한국심리'!$D331),ISNUMBER('자료_한국심리'!$E331)),'자료_한국심리'!$D331,"")</f>
        <v/>
      </c>
      <c r="W347">
        <f>IF(AND(ISNUMBER('자료_한국심리'!$G331),ISNUMBER('자료_한국심리'!$H331)),'자료_한국심리'!$G331,"")</f>
        <v/>
      </c>
      <c r="X347">
        <f>IF(AND(ISNUMBER('자료_한국심리'!$J331),ISNUMBER('자료_한국심리'!$K331)),'자료_한국심리'!$J331,"")</f>
        <v/>
      </c>
      <c r="Y347">
        <f>IF(AND(ISNUMBER('자료_한국심리'!$M331),ISNUMBER('자료_한국심리'!$N331)),'자료_한국심리'!$M331,"")</f>
        <v/>
      </c>
    </row>
    <row r="348">
      <c r="A348" s="10">
        <f>IF(330&gt;$E$5,"",SMALL($U$19:$U$4018,$E$6+330))</f>
        <v/>
      </c>
      <c r="B348" s="29">
        <f>IF(A348="","",INDEX('자료_한국심리'!$B$3:$B$4002,MATCH(A348,$U$19:$U$4018,0)))</f>
        <v/>
      </c>
      <c r="C348" s="22">
        <f>IF(A348="","",B348/AVERAGE(B224:B348)-1)</f>
        <v/>
      </c>
      <c r="D348" s="29">
        <f>IF(A348="","",IFERROR(INDEX('자료_한국심리'!$E$3:$E$4002,MATCH(A348,$V$19:$V$4018,0)),D347))</f>
        <v/>
      </c>
      <c r="E348" s="30">
        <f>IF(A348="","",IFERROR(INDEX('자료_한국심리'!$H$3:$H$4002,MATCH(A348,$W$19:$W$4018,0)),E347))</f>
        <v/>
      </c>
      <c r="F348" s="30">
        <f>IF(A348="","",IFERROR(INDEX('자료_한국심리'!$K$3:$K$4002,MATCH(A348,$X$19:$X$4018,0)),F347))</f>
        <v/>
      </c>
      <c r="G348" s="30">
        <f>IF(AND(ISNUMBER(E348),ISNUMBER(F348)),ROUND(E348-F348,6),"")</f>
        <v/>
      </c>
      <c r="H348" s="25">
        <f>IF(A348="","",IFERROR(INDEX('자료_한국심리'!$N$3:$N$4002,MATCH(A348,$Y$19:$Y$4018,0)),H347))</f>
        <v/>
      </c>
      <c r="I348" s="31">
        <f>IF(AND(ISNUMBER(H348),ISNUMBER(H328)),IF(H328&gt;0,H348/H328-1,""),"")</f>
        <v/>
      </c>
      <c r="J348">
        <f>IF(A348="",0,IF(A348&gt;$B$5,1,0))</f>
        <v/>
      </c>
      <c r="K348" s="29">
        <f>IF(AND(J348=1,ISNUMBER(D348)),D348,"")</f>
        <v/>
      </c>
      <c r="L348" s="30">
        <f>IF(AND(J348=1,ISNUMBER(G348)),G348,"")</f>
        <v/>
      </c>
      <c r="M348" s="22">
        <f>IF(AND(J348=1,ISNUMBER(C348)),C348,"")</f>
        <v/>
      </c>
      <c r="N348" s="31">
        <f>IF(AND(J348=1,ISNUMBER(I348)),I348,"")</f>
        <v/>
      </c>
      <c r="O348" s="11">
        <f>IF(K348="","",100-IF($G$13=1,50,(_xlfn.RANK.AVG(K348,$K$19:$K$1518,1)-1)/($G$13-1)*100))</f>
        <v/>
      </c>
      <c r="P348" s="11">
        <f>IF(L348="","",100-IF($G$14=1,50,(_xlfn.RANK.AVG(L348,$L$19:$L$1518,1)-1)/($G$14-1)*100))</f>
        <v/>
      </c>
      <c r="Q348" s="11">
        <f>IF(M348="","",IF($G$15=1,50,(_xlfn.RANK.AVG(M348,$M$19:$M$1518,1)-1)/($G$15-1)*100))</f>
        <v/>
      </c>
      <c r="R348" s="11">
        <f>IF(N348="","",IF($G$16=1,50,(_xlfn.RANK.AVG(N348,$N$19:$N$1518,1)-1)/($G$16-1)*100))</f>
        <v/>
      </c>
      <c r="S348" s="11">
        <f>IF(COUNT(O348:R348)=4,ROUND(AVERAGE(O348:R348),6),"")</f>
        <v/>
      </c>
      <c r="U348">
        <f>IF(AND(ISNUMBER('자료_한국심리'!$A332),ISNUMBER('자료_한국심리'!$B332)),'자료_한국심리'!$A332,"")</f>
        <v/>
      </c>
      <c r="V348">
        <f>IF(AND(ISNUMBER('자료_한국심리'!$D332),ISNUMBER('자료_한국심리'!$E332)),'자료_한국심리'!$D332,"")</f>
        <v/>
      </c>
      <c r="W348">
        <f>IF(AND(ISNUMBER('자료_한국심리'!$G332),ISNUMBER('자료_한국심리'!$H332)),'자료_한국심리'!$G332,"")</f>
        <v/>
      </c>
      <c r="X348">
        <f>IF(AND(ISNUMBER('자료_한국심리'!$J332),ISNUMBER('자료_한국심리'!$K332)),'자료_한국심리'!$J332,"")</f>
        <v/>
      </c>
      <c r="Y348">
        <f>IF(AND(ISNUMBER('자료_한국심리'!$M332),ISNUMBER('자료_한국심리'!$N332)),'자료_한국심리'!$M332,"")</f>
        <v/>
      </c>
    </row>
    <row r="349">
      <c r="A349" s="10">
        <f>IF(331&gt;$E$5,"",SMALL($U$19:$U$4018,$E$6+331))</f>
        <v/>
      </c>
      <c r="B349" s="29">
        <f>IF(A349="","",INDEX('자료_한국심리'!$B$3:$B$4002,MATCH(A349,$U$19:$U$4018,0)))</f>
        <v/>
      </c>
      <c r="C349" s="22">
        <f>IF(A349="","",B349/AVERAGE(B225:B349)-1)</f>
        <v/>
      </c>
      <c r="D349" s="29">
        <f>IF(A349="","",IFERROR(INDEX('자료_한국심리'!$E$3:$E$4002,MATCH(A349,$V$19:$V$4018,0)),D348))</f>
        <v/>
      </c>
      <c r="E349" s="30">
        <f>IF(A349="","",IFERROR(INDEX('자료_한국심리'!$H$3:$H$4002,MATCH(A349,$W$19:$W$4018,0)),E348))</f>
        <v/>
      </c>
      <c r="F349" s="30">
        <f>IF(A349="","",IFERROR(INDEX('자료_한국심리'!$K$3:$K$4002,MATCH(A349,$X$19:$X$4018,0)),F348))</f>
        <v/>
      </c>
      <c r="G349" s="30">
        <f>IF(AND(ISNUMBER(E349),ISNUMBER(F349)),ROUND(E349-F349,6),"")</f>
        <v/>
      </c>
      <c r="H349" s="25">
        <f>IF(A349="","",IFERROR(INDEX('자료_한국심리'!$N$3:$N$4002,MATCH(A349,$Y$19:$Y$4018,0)),H348))</f>
        <v/>
      </c>
      <c r="I349" s="31">
        <f>IF(AND(ISNUMBER(H349),ISNUMBER(H329)),IF(H329&gt;0,H349/H329-1,""),"")</f>
        <v/>
      </c>
      <c r="J349">
        <f>IF(A349="",0,IF(A349&gt;$B$5,1,0))</f>
        <v/>
      </c>
      <c r="K349" s="29">
        <f>IF(AND(J349=1,ISNUMBER(D349)),D349,"")</f>
        <v/>
      </c>
      <c r="L349" s="30">
        <f>IF(AND(J349=1,ISNUMBER(G349)),G349,"")</f>
        <v/>
      </c>
      <c r="M349" s="22">
        <f>IF(AND(J349=1,ISNUMBER(C349)),C349,"")</f>
        <v/>
      </c>
      <c r="N349" s="31">
        <f>IF(AND(J349=1,ISNUMBER(I349)),I349,"")</f>
        <v/>
      </c>
      <c r="O349" s="11">
        <f>IF(K349="","",100-IF($G$13=1,50,(_xlfn.RANK.AVG(K349,$K$19:$K$1518,1)-1)/($G$13-1)*100))</f>
        <v/>
      </c>
      <c r="P349" s="11">
        <f>IF(L349="","",100-IF($G$14=1,50,(_xlfn.RANK.AVG(L349,$L$19:$L$1518,1)-1)/($G$14-1)*100))</f>
        <v/>
      </c>
      <c r="Q349" s="11">
        <f>IF(M349="","",IF($G$15=1,50,(_xlfn.RANK.AVG(M349,$M$19:$M$1518,1)-1)/($G$15-1)*100))</f>
        <v/>
      </c>
      <c r="R349" s="11">
        <f>IF(N349="","",IF($G$16=1,50,(_xlfn.RANK.AVG(N349,$N$19:$N$1518,1)-1)/($G$16-1)*100))</f>
        <v/>
      </c>
      <c r="S349" s="11">
        <f>IF(COUNT(O349:R349)=4,ROUND(AVERAGE(O349:R349),6),"")</f>
        <v/>
      </c>
      <c r="U349">
        <f>IF(AND(ISNUMBER('자료_한국심리'!$A333),ISNUMBER('자료_한국심리'!$B333)),'자료_한국심리'!$A333,"")</f>
        <v/>
      </c>
      <c r="V349">
        <f>IF(AND(ISNUMBER('자료_한국심리'!$D333),ISNUMBER('자료_한국심리'!$E333)),'자료_한국심리'!$D333,"")</f>
        <v/>
      </c>
      <c r="W349">
        <f>IF(AND(ISNUMBER('자료_한국심리'!$G333),ISNUMBER('자료_한국심리'!$H333)),'자료_한국심리'!$G333,"")</f>
        <v/>
      </c>
      <c r="X349">
        <f>IF(AND(ISNUMBER('자료_한국심리'!$J333),ISNUMBER('자료_한국심리'!$K333)),'자료_한국심리'!$J333,"")</f>
        <v/>
      </c>
      <c r="Y349">
        <f>IF(AND(ISNUMBER('자료_한국심리'!$M333),ISNUMBER('자료_한국심리'!$N333)),'자료_한국심리'!$M333,"")</f>
        <v/>
      </c>
    </row>
    <row r="350">
      <c r="A350" s="10">
        <f>IF(332&gt;$E$5,"",SMALL($U$19:$U$4018,$E$6+332))</f>
        <v/>
      </c>
      <c r="B350" s="29">
        <f>IF(A350="","",INDEX('자료_한국심리'!$B$3:$B$4002,MATCH(A350,$U$19:$U$4018,0)))</f>
        <v/>
      </c>
      <c r="C350" s="22">
        <f>IF(A350="","",B350/AVERAGE(B226:B350)-1)</f>
        <v/>
      </c>
      <c r="D350" s="29">
        <f>IF(A350="","",IFERROR(INDEX('자료_한국심리'!$E$3:$E$4002,MATCH(A350,$V$19:$V$4018,0)),D349))</f>
        <v/>
      </c>
      <c r="E350" s="30">
        <f>IF(A350="","",IFERROR(INDEX('자료_한국심리'!$H$3:$H$4002,MATCH(A350,$W$19:$W$4018,0)),E349))</f>
        <v/>
      </c>
      <c r="F350" s="30">
        <f>IF(A350="","",IFERROR(INDEX('자료_한국심리'!$K$3:$K$4002,MATCH(A350,$X$19:$X$4018,0)),F349))</f>
        <v/>
      </c>
      <c r="G350" s="30">
        <f>IF(AND(ISNUMBER(E350),ISNUMBER(F350)),ROUND(E350-F350,6),"")</f>
        <v/>
      </c>
      <c r="H350" s="25">
        <f>IF(A350="","",IFERROR(INDEX('자료_한국심리'!$N$3:$N$4002,MATCH(A350,$Y$19:$Y$4018,0)),H349))</f>
        <v/>
      </c>
      <c r="I350" s="31">
        <f>IF(AND(ISNUMBER(H350),ISNUMBER(H330)),IF(H330&gt;0,H350/H330-1,""),"")</f>
        <v/>
      </c>
      <c r="J350">
        <f>IF(A350="",0,IF(A350&gt;$B$5,1,0))</f>
        <v/>
      </c>
      <c r="K350" s="29">
        <f>IF(AND(J350=1,ISNUMBER(D350)),D350,"")</f>
        <v/>
      </c>
      <c r="L350" s="30">
        <f>IF(AND(J350=1,ISNUMBER(G350)),G350,"")</f>
        <v/>
      </c>
      <c r="M350" s="22">
        <f>IF(AND(J350=1,ISNUMBER(C350)),C350,"")</f>
        <v/>
      </c>
      <c r="N350" s="31">
        <f>IF(AND(J350=1,ISNUMBER(I350)),I350,"")</f>
        <v/>
      </c>
      <c r="O350" s="11">
        <f>IF(K350="","",100-IF($G$13=1,50,(_xlfn.RANK.AVG(K350,$K$19:$K$1518,1)-1)/($G$13-1)*100))</f>
        <v/>
      </c>
      <c r="P350" s="11">
        <f>IF(L350="","",100-IF($G$14=1,50,(_xlfn.RANK.AVG(L350,$L$19:$L$1518,1)-1)/($G$14-1)*100))</f>
        <v/>
      </c>
      <c r="Q350" s="11">
        <f>IF(M350="","",IF($G$15=1,50,(_xlfn.RANK.AVG(M350,$M$19:$M$1518,1)-1)/($G$15-1)*100))</f>
        <v/>
      </c>
      <c r="R350" s="11">
        <f>IF(N350="","",IF($G$16=1,50,(_xlfn.RANK.AVG(N350,$N$19:$N$1518,1)-1)/($G$16-1)*100))</f>
        <v/>
      </c>
      <c r="S350" s="11">
        <f>IF(COUNT(O350:R350)=4,ROUND(AVERAGE(O350:R350),6),"")</f>
        <v/>
      </c>
      <c r="U350">
        <f>IF(AND(ISNUMBER('자료_한국심리'!$A334),ISNUMBER('자료_한국심리'!$B334)),'자료_한국심리'!$A334,"")</f>
        <v/>
      </c>
      <c r="V350">
        <f>IF(AND(ISNUMBER('자료_한국심리'!$D334),ISNUMBER('자료_한국심리'!$E334)),'자료_한국심리'!$D334,"")</f>
        <v/>
      </c>
      <c r="W350">
        <f>IF(AND(ISNUMBER('자료_한국심리'!$G334),ISNUMBER('자료_한국심리'!$H334)),'자료_한국심리'!$G334,"")</f>
        <v/>
      </c>
      <c r="X350">
        <f>IF(AND(ISNUMBER('자료_한국심리'!$J334),ISNUMBER('자료_한국심리'!$K334)),'자료_한국심리'!$J334,"")</f>
        <v/>
      </c>
      <c r="Y350">
        <f>IF(AND(ISNUMBER('자료_한국심리'!$M334),ISNUMBER('자료_한국심리'!$N334)),'자료_한국심리'!$M334,"")</f>
        <v/>
      </c>
    </row>
    <row r="351">
      <c r="A351" s="10">
        <f>IF(333&gt;$E$5,"",SMALL($U$19:$U$4018,$E$6+333))</f>
        <v/>
      </c>
      <c r="B351" s="29">
        <f>IF(A351="","",INDEX('자료_한국심리'!$B$3:$B$4002,MATCH(A351,$U$19:$U$4018,0)))</f>
        <v/>
      </c>
      <c r="C351" s="22">
        <f>IF(A351="","",B351/AVERAGE(B227:B351)-1)</f>
        <v/>
      </c>
      <c r="D351" s="29">
        <f>IF(A351="","",IFERROR(INDEX('자료_한국심리'!$E$3:$E$4002,MATCH(A351,$V$19:$V$4018,0)),D350))</f>
        <v/>
      </c>
      <c r="E351" s="30">
        <f>IF(A351="","",IFERROR(INDEX('자료_한국심리'!$H$3:$H$4002,MATCH(A351,$W$19:$W$4018,0)),E350))</f>
        <v/>
      </c>
      <c r="F351" s="30">
        <f>IF(A351="","",IFERROR(INDEX('자료_한국심리'!$K$3:$K$4002,MATCH(A351,$X$19:$X$4018,0)),F350))</f>
        <v/>
      </c>
      <c r="G351" s="30">
        <f>IF(AND(ISNUMBER(E351),ISNUMBER(F351)),ROUND(E351-F351,6),"")</f>
        <v/>
      </c>
      <c r="H351" s="25">
        <f>IF(A351="","",IFERROR(INDEX('자료_한국심리'!$N$3:$N$4002,MATCH(A351,$Y$19:$Y$4018,0)),H350))</f>
        <v/>
      </c>
      <c r="I351" s="31">
        <f>IF(AND(ISNUMBER(H351),ISNUMBER(H331)),IF(H331&gt;0,H351/H331-1,""),"")</f>
        <v/>
      </c>
      <c r="J351">
        <f>IF(A351="",0,IF(A351&gt;$B$5,1,0))</f>
        <v/>
      </c>
      <c r="K351" s="29">
        <f>IF(AND(J351=1,ISNUMBER(D351)),D351,"")</f>
        <v/>
      </c>
      <c r="L351" s="30">
        <f>IF(AND(J351=1,ISNUMBER(G351)),G351,"")</f>
        <v/>
      </c>
      <c r="M351" s="22">
        <f>IF(AND(J351=1,ISNUMBER(C351)),C351,"")</f>
        <v/>
      </c>
      <c r="N351" s="31">
        <f>IF(AND(J351=1,ISNUMBER(I351)),I351,"")</f>
        <v/>
      </c>
      <c r="O351" s="11">
        <f>IF(K351="","",100-IF($G$13=1,50,(_xlfn.RANK.AVG(K351,$K$19:$K$1518,1)-1)/($G$13-1)*100))</f>
        <v/>
      </c>
      <c r="P351" s="11">
        <f>IF(L351="","",100-IF($G$14=1,50,(_xlfn.RANK.AVG(L351,$L$19:$L$1518,1)-1)/($G$14-1)*100))</f>
        <v/>
      </c>
      <c r="Q351" s="11">
        <f>IF(M351="","",IF($G$15=1,50,(_xlfn.RANK.AVG(M351,$M$19:$M$1518,1)-1)/($G$15-1)*100))</f>
        <v/>
      </c>
      <c r="R351" s="11">
        <f>IF(N351="","",IF($G$16=1,50,(_xlfn.RANK.AVG(N351,$N$19:$N$1518,1)-1)/($G$16-1)*100))</f>
        <v/>
      </c>
      <c r="S351" s="11">
        <f>IF(COUNT(O351:R351)=4,ROUND(AVERAGE(O351:R351),6),"")</f>
        <v/>
      </c>
      <c r="U351">
        <f>IF(AND(ISNUMBER('자료_한국심리'!$A335),ISNUMBER('자료_한국심리'!$B335)),'자료_한국심리'!$A335,"")</f>
        <v/>
      </c>
      <c r="V351">
        <f>IF(AND(ISNUMBER('자료_한국심리'!$D335),ISNUMBER('자료_한국심리'!$E335)),'자료_한국심리'!$D335,"")</f>
        <v/>
      </c>
      <c r="W351">
        <f>IF(AND(ISNUMBER('자료_한국심리'!$G335),ISNUMBER('자료_한국심리'!$H335)),'자료_한국심리'!$G335,"")</f>
        <v/>
      </c>
      <c r="X351">
        <f>IF(AND(ISNUMBER('자료_한국심리'!$J335),ISNUMBER('자료_한국심리'!$K335)),'자료_한국심리'!$J335,"")</f>
        <v/>
      </c>
      <c r="Y351">
        <f>IF(AND(ISNUMBER('자료_한국심리'!$M335),ISNUMBER('자료_한국심리'!$N335)),'자료_한국심리'!$M335,"")</f>
        <v/>
      </c>
    </row>
    <row r="352">
      <c r="A352" s="10">
        <f>IF(334&gt;$E$5,"",SMALL($U$19:$U$4018,$E$6+334))</f>
        <v/>
      </c>
      <c r="B352" s="29">
        <f>IF(A352="","",INDEX('자료_한국심리'!$B$3:$B$4002,MATCH(A352,$U$19:$U$4018,0)))</f>
        <v/>
      </c>
      <c r="C352" s="22">
        <f>IF(A352="","",B352/AVERAGE(B228:B352)-1)</f>
        <v/>
      </c>
      <c r="D352" s="29">
        <f>IF(A352="","",IFERROR(INDEX('자료_한국심리'!$E$3:$E$4002,MATCH(A352,$V$19:$V$4018,0)),D351))</f>
        <v/>
      </c>
      <c r="E352" s="30">
        <f>IF(A352="","",IFERROR(INDEX('자료_한국심리'!$H$3:$H$4002,MATCH(A352,$W$19:$W$4018,0)),E351))</f>
        <v/>
      </c>
      <c r="F352" s="30">
        <f>IF(A352="","",IFERROR(INDEX('자료_한국심리'!$K$3:$K$4002,MATCH(A352,$X$19:$X$4018,0)),F351))</f>
        <v/>
      </c>
      <c r="G352" s="30">
        <f>IF(AND(ISNUMBER(E352),ISNUMBER(F352)),ROUND(E352-F352,6),"")</f>
        <v/>
      </c>
      <c r="H352" s="25">
        <f>IF(A352="","",IFERROR(INDEX('자료_한국심리'!$N$3:$N$4002,MATCH(A352,$Y$19:$Y$4018,0)),H351))</f>
        <v/>
      </c>
      <c r="I352" s="31">
        <f>IF(AND(ISNUMBER(H352),ISNUMBER(H332)),IF(H332&gt;0,H352/H332-1,""),"")</f>
        <v/>
      </c>
      <c r="J352">
        <f>IF(A352="",0,IF(A352&gt;$B$5,1,0))</f>
        <v/>
      </c>
      <c r="K352" s="29">
        <f>IF(AND(J352=1,ISNUMBER(D352)),D352,"")</f>
        <v/>
      </c>
      <c r="L352" s="30">
        <f>IF(AND(J352=1,ISNUMBER(G352)),G352,"")</f>
        <v/>
      </c>
      <c r="M352" s="22">
        <f>IF(AND(J352=1,ISNUMBER(C352)),C352,"")</f>
        <v/>
      </c>
      <c r="N352" s="31">
        <f>IF(AND(J352=1,ISNUMBER(I352)),I352,"")</f>
        <v/>
      </c>
      <c r="O352" s="11">
        <f>IF(K352="","",100-IF($G$13=1,50,(_xlfn.RANK.AVG(K352,$K$19:$K$1518,1)-1)/($G$13-1)*100))</f>
        <v/>
      </c>
      <c r="P352" s="11">
        <f>IF(L352="","",100-IF($G$14=1,50,(_xlfn.RANK.AVG(L352,$L$19:$L$1518,1)-1)/($G$14-1)*100))</f>
        <v/>
      </c>
      <c r="Q352" s="11">
        <f>IF(M352="","",IF($G$15=1,50,(_xlfn.RANK.AVG(M352,$M$19:$M$1518,1)-1)/($G$15-1)*100))</f>
        <v/>
      </c>
      <c r="R352" s="11">
        <f>IF(N352="","",IF($G$16=1,50,(_xlfn.RANK.AVG(N352,$N$19:$N$1518,1)-1)/($G$16-1)*100))</f>
        <v/>
      </c>
      <c r="S352" s="11">
        <f>IF(COUNT(O352:R352)=4,ROUND(AVERAGE(O352:R352),6),"")</f>
        <v/>
      </c>
      <c r="U352">
        <f>IF(AND(ISNUMBER('자료_한국심리'!$A336),ISNUMBER('자료_한국심리'!$B336)),'자료_한국심리'!$A336,"")</f>
        <v/>
      </c>
      <c r="V352">
        <f>IF(AND(ISNUMBER('자료_한국심리'!$D336),ISNUMBER('자료_한국심리'!$E336)),'자료_한국심리'!$D336,"")</f>
        <v/>
      </c>
      <c r="W352">
        <f>IF(AND(ISNUMBER('자료_한국심리'!$G336),ISNUMBER('자료_한국심리'!$H336)),'자료_한국심리'!$G336,"")</f>
        <v/>
      </c>
      <c r="X352">
        <f>IF(AND(ISNUMBER('자료_한국심리'!$J336),ISNUMBER('자료_한국심리'!$K336)),'자료_한국심리'!$J336,"")</f>
        <v/>
      </c>
      <c r="Y352">
        <f>IF(AND(ISNUMBER('자료_한국심리'!$M336),ISNUMBER('자료_한국심리'!$N336)),'자료_한국심리'!$M336,"")</f>
        <v/>
      </c>
    </row>
    <row r="353">
      <c r="A353" s="10">
        <f>IF(335&gt;$E$5,"",SMALL($U$19:$U$4018,$E$6+335))</f>
        <v/>
      </c>
      <c r="B353" s="29">
        <f>IF(A353="","",INDEX('자료_한국심리'!$B$3:$B$4002,MATCH(A353,$U$19:$U$4018,0)))</f>
        <v/>
      </c>
      <c r="C353" s="22">
        <f>IF(A353="","",B353/AVERAGE(B229:B353)-1)</f>
        <v/>
      </c>
      <c r="D353" s="29">
        <f>IF(A353="","",IFERROR(INDEX('자료_한국심리'!$E$3:$E$4002,MATCH(A353,$V$19:$V$4018,0)),D352))</f>
        <v/>
      </c>
      <c r="E353" s="30">
        <f>IF(A353="","",IFERROR(INDEX('자료_한국심리'!$H$3:$H$4002,MATCH(A353,$W$19:$W$4018,0)),E352))</f>
        <v/>
      </c>
      <c r="F353" s="30">
        <f>IF(A353="","",IFERROR(INDEX('자료_한국심리'!$K$3:$K$4002,MATCH(A353,$X$19:$X$4018,0)),F352))</f>
        <v/>
      </c>
      <c r="G353" s="30">
        <f>IF(AND(ISNUMBER(E353),ISNUMBER(F353)),ROUND(E353-F353,6),"")</f>
        <v/>
      </c>
      <c r="H353" s="25">
        <f>IF(A353="","",IFERROR(INDEX('자료_한국심리'!$N$3:$N$4002,MATCH(A353,$Y$19:$Y$4018,0)),H352))</f>
        <v/>
      </c>
      <c r="I353" s="31">
        <f>IF(AND(ISNUMBER(H353),ISNUMBER(H333)),IF(H333&gt;0,H353/H333-1,""),"")</f>
        <v/>
      </c>
      <c r="J353">
        <f>IF(A353="",0,IF(A353&gt;$B$5,1,0))</f>
        <v/>
      </c>
      <c r="K353" s="29">
        <f>IF(AND(J353=1,ISNUMBER(D353)),D353,"")</f>
        <v/>
      </c>
      <c r="L353" s="30">
        <f>IF(AND(J353=1,ISNUMBER(G353)),G353,"")</f>
        <v/>
      </c>
      <c r="M353" s="22">
        <f>IF(AND(J353=1,ISNUMBER(C353)),C353,"")</f>
        <v/>
      </c>
      <c r="N353" s="31">
        <f>IF(AND(J353=1,ISNUMBER(I353)),I353,"")</f>
        <v/>
      </c>
      <c r="O353" s="11">
        <f>IF(K353="","",100-IF($G$13=1,50,(_xlfn.RANK.AVG(K353,$K$19:$K$1518,1)-1)/($G$13-1)*100))</f>
        <v/>
      </c>
      <c r="P353" s="11">
        <f>IF(L353="","",100-IF($G$14=1,50,(_xlfn.RANK.AVG(L353,$L$19:$L$1518,1)-1)/($G$14-1)*100))</f>
        <v/>
      </c>
      <c r="Q353" s="11">
        <f>IF(M353="","",IF($G$15=1,50,(_xlfn.RANK.AVG(M353,$M$19:$M$1518,1)-1)/($G$15-1)*100))</f>
        <v/>
      </c>
      <c r="R353" s="11">
        <f>IF(N353="","",IF($G$16=1,50,(_xlfn.RANK.AVG(N353,$N$19:$N$1518,1)-1)/($G$16-1)*100))</f>
        <v/>
      </c>
      <c r="S353" s="11">
        <f>IF(COUNT(O353:R353)=4,ROUND(AVERAGE(O353:R353),6),"")</f>
        <v/>
      </c>
      <c r="U353">
        <f>IF(AND(ISNUMBER('자료_한국심리'!$A337),ISNUMBER('자료_한국심리'!$B337)),'자료_한국심리'!$A337,"")</f>
        <v/>
      </c>
      <c r="V353">
        <f>IF(AND(ISNUMBER('자료_한국심리'!$D337),ISNUMBER('자료_한국심리'!$E337)),'자료_한국심리'!$D337,"")</f>
        <v/>
      </c>
      <c r="W353">
        <f>IF(AND(ISNUMBER('자료_한국심리'!$G337),ISNUMBER('자료_한국심리'!$H337)),'자료_한국심리'!$G337,"")</f>
        <v/>
      </c>
      <c r="X353">
        <f>IF(AND(ISNUMBER('자료_한국심리'!$J337),ISNUMBER('자료_한국심리'!$K337)),'자료_한국심리'!$J337,"")</f>
        <v/>
      </c>
      <c r="Y353">
        <f>IF(AND(ISNUMBER('자료_한국심리'!$M337),ISNUMBER('자료_한국심리'!$N337)),'자료_한국심리'!$M337,"")</f>
        <v/>
      </c>
    </row>
    <row r="354">
      <c r="A354" s="10">
        <f>IF(336&gt;$E$5,"",SMALL($U$19:$U$4018,$E$6+336))</f>
        <v/>
      </c>
      <c r="B354" s="29">
        <f>IF(A354="","",INDEX('자료_한국심리'!$B$3:$B$4002,MATCH(A354,$U$19:$U$4018,0)))</f>
        <v/>
      </c>
      <c r="C354" s="22">
        <f>IF(A354="","",B354/AVERAGE(B230:B354)-1)</f>
        <v/>
      </c>
      <c r="D354" s="29">
        <f>IF(A354="","",IFERROR(INDEX('자료_한국심리'!$E$3:$E$4002,MATCH(A354,$V$19:$V$4018,0)),D353))</f>
        <v/>
      </c>
      <c r="E354" s="30">
        <f>IF(A354="","",IFERROR(INDEX('자료_한국심리'!$H$3:$H$4002,MATCH(A354,$W$19:$W$4018,0)),E353))</f>
        <v/>
      </c>
      <c r="F354" s="30">
        <f>IF(A354="","",IFERROR(INDEX('자료_한국심리'!$K$3:$K$4002,MATCH(A354,$X$19:$X$4018,0)),F353))</f>
        <v/>
      </c>
      <c r="G354" s="30">
        <f>IF(AND(ISNUMBER(E354),ISNUMBER(F354)),ROUND(E354-F354,6),"")</f>
        <v/>
      </c>
      <c r="H354" s="25">
        <f>IF(A354="","",IFERROR(INDEX('자료_한국심리'!$N$3:$N$4002,MATCH(A354,$Y$19:$Y$4018,0)),H353))</f>
        <v/>
      </c>
      <c r="I354" s="31">
        <f>IF(AND(ISNUMBER(H354),ISNUMBER(H334)),IF(H334&gt;0,H354/H334-1,""),"")</f>
        <v/>
      </c>
      <c r="J354">
        <f>IF(A354="",0,IF(A354&gt;$B$5,1,0))</f>
        <v/>
      </c>
      <c r="K354" s="29">
        <f>IF(AND(J354=1,ISNUMBER(D354)),D354,"")</f>
        <v/>
      </c>
      <c r="L354" s="30">
        <f>IF(AND(J354=1,ISNUMBER(G354)),G354,"")</f>
        <v/>
      </c>
      <c r="M354" s="22">
        <f>IF(AND(J354=1,ISNUMBER(C354)),C354,"")</f>
        <v/>
      </c>
      <c r="N354" s="31">
        <f>IF(AND(J354=1,ISNUMBER(I354)),I354,"")</f>
        <v/>
      </c>
      <c r="O354" s="11">
        <f>IF(K354="","",100-IF($G$13=1,50,(_xlfn.RANK.AVG(K354,$K$19:$K$1518,1)-1)/($G$13-1)*100))</f>
        <v/>
      </c>
      <c r="P354" s="11">
        <f>IF(L354="","",100-IF($G$14=1,50,(_xlfn.RANK.AVG(L354,$L$19:$L$1518,1)-1)/($G$14-1)*100))</f>
        <v/>
      </c>
      <c r="Q354" s="11">
        <f>IF(M354="","",IF($G$15=1,50,(_xlfn.RANK.AVG(M354,$M$19:$M$1518,1)-1)/($G$15-1)*100))</f>
        <v/>
      </c>
      <c r="R354" s="11">
        <f>IF(N354="","",IF($G$16=1,50,(_xlfn.RANK.AVG(N354,$N$19:$N$1518,1)-1)/($G$16-1)*100))</f>
        <v/>
      </c>
      <c r="S354" s="11">
        <f>IF(COUNT(O354:R354)=4,ROUND(AVERAGE(O354:R354),6),"")</f>
        <v/>
      </c>
      <c r="U354">
        <f>IF(AND(ISNUMBER('자료_한국심리'!$A338),ISNUMBER('자료_한국심리'!$B338)),'자료_한국심리'!$A338,"")</f>
        <v/>
      </c>
      <c r="V354">
        <f>IF(AND(ISNUMBER('자료_한국심리'!$D338),ISNUMBER('자료_한국심리'!$E338)),'자료_한국심리'!$D338,"")</f>
        <v/>
      </c>
      <c r="W354">
        <f>IF(AND(ISNUMBER('자료_한국심리'!$G338),ISNUMBER('자료_한국심리'!$H338)),'자료_한국심리'!$G338,"")</f>
        <v/>
      </c>
      <c r="X354">
        <f>IF(AND(ISNUMBER('자료_한국심리'!$J338),ISNUMBER('자료_한국심리'!$K338)),'자료_한국심리'!$J338,"")</f>
        <v/>
      </c>
      <c r="Y354">
        <f>IF(AND(ISNUMBER('자료_한국심리'!$M338),ISNUMBER('자료_한국심리'!$N338)),'자료_한국심리'!$M338,"")</f>
        <v/>
      </c>
    </row>
    <row r="355">
      <c r="A355" s="10">
        <f>IF(337&gt;$E$5,"",SMALL($U$19:$U$4018,$E$6+337))</f>
        <v/>
      </c>
      <c r="B355" s="29">
        <f>IF(A355="","",INDEX('자료_한국심리'!$B$3:$B$4002,MATCH(A355,$U$19:$U$4018,0)))</f>
        <v/>
      </c>
      <c r="C355" s="22">
        <f>IF(A355="","",B355/AVERAGE(B231:B355)-1)</f>
        <v/>
      </c>
      <c r="D355" s="29">
        <f>IF(A355="","",IFERROR(INDEX('자료_한국심리'!$E$3:$E$4002,MATCH(A355,$V$19:$V$4018,0)),D354))</f>
        <v/>
      </c>
      <c r="E355" s="30">
        <f>IF(A355="","",IFERROR(INDEX('자료_한국심리'!$H$3:$H$4002,MATCH(A355,$W$19:$W$4018,0)),E354))</f>
        <v/>
      </c>
      <c r="F355" s="30">
        <f>IF(A355="","",IFERROR(INDEX('자료_한국심리'!$K$3:$K$4002,MATCH(A355,$X$19:$X$4018,0)),F354))</f>
        <v/>
      </c>
      <c r="G355" s="30">
        <f>IF(AND(ISNUMBER(E355),ISNUMBER(F355)),ROUND(E355-F355,6),"")</f>
        <v/>
      </c>
      <c r="H355" s="25">
        <f>IF(A355="","",IFERROR(INDEX('자료_한국심리'!$N$3:$N$4002,MATCH(A355,$Y$19:$Y$4018,0)),H354))</f>
        <v/>
      </c>
      <c r="I355" s="31">
        <f>IF(AND(ISNUMBER(H355),ISNUMBER(H335)),IF(H335&gt;0,H355/H335-1,""),"")</f>
        <v/>
      </c>
      <c r="J355">
        <f>IF(A355="",0,IF(A355&gt;$B$5,1,0))</f>
        <v/>
      </c>
      <c r="K355" s="29">
        <f>IF(AND(J355=1,ISNUMBER(D355)),D355,"")</f>
        <v/>
      </c>
      <c r="L355" s="30">
        <f>IF(AND(J355=1,ISNUMBER(G355)),G355,"")</f>
        <v/>
      </c>
      <c r="M355" s="22">
        <f>IF(AND(J355=1,ISNUMBER(C355)),C355,"")</f>
        <v/>
      </c>
      <c r="N355" s="31">
        <f>IF(AND(J355=1,ISNUMBER(I355)),I355,"")</f>
        <v/>
      </c>
      <c r="O355" s="11">
        <f>IF(K355="","",100-IF($G$13=1,50,(_xlfn.RANK.AVG(K355,$K$19:$K$1518,1)-1)/($G$13-1)*100))</f>
        <v/>
      </c>
      <c r="P355" s="11">
        <f>IF(L355="","",100-IF($G$14=1,50,(_xlfn.RANK.AVG(L355,$L$19:$L$1518,1)-1)/($G$14-1)*100))</f>
        <v/>
      </c>
      <c r="Q355" s="11">
        <f>IF(M355="","",IF($G$15=1,50,(_xlfn.RANK.AVG(M355,$M$19:$M$1518,1)-1)/($G$15-1)*100))</f>
        <v/>
      </c>
      <c r="R355" s="11">
        <f>IF(N355="","",IF($G$16=1,50,(_xlfn.RANK.AVG(N355,$N$19:$N$1518,1)-1)/($G$16-1)*100))</f>
        <v/>
      </c>
      <c r="S355" s="11">
        <f>IF(COUNT(O355:R355)=4,ROUND(AVERAGE(O355:R355),6),"")</f>
        <v/>
      </c>
      <c r="U355">
        <f>IF(AND(ISNUMBER('자료_한국심리'!$A339),ISNUMBER('자료_한국심리'!$B339)),'자료_한국심리'!$A339,"")</f>
        <v/>
      </c>
      <c r="V355">
        <f>IF(AND(ISNUMBER('자료_한국심리'!$D339),ISNUMBER('자료_한국심리'!$E339)),'자료_한국심리'!$D339,"")</f>
        <v/>
      </c>
      <c r="W355">
        <f>IF(AND(ISNUMBER('자료_한국심리'!$G339),ISNUMBER('자료_한국심리'!$H339)),'자료_한국심리'!$G339,"")</f>
        <v/>
      </c>
      <c r="X355">
        <f>IF(AND(ISNUMBER('자료_한국심리'!$J339),ISNUMBER('자료_한국심리'!$K339)),'자료_한국심리'!$J339,"")</f>
        <v/>
      </c>
      <c r="Y355">
        <f>IF(AND(ISNUMBER('자료_한국심리'!$M339),ISNUMBER('자료_한국심리'!$N339)),'자료_한국심리'!$M339,"")</f>
        <v/>
      </c>
    </row>
    <row r="356">
      <c r="A356" s="10">
        <f>IF(338&gt;$E$5,"",SMALL($U$19:$U$4018,$E$6+338))</f>
        <v/>
      </c>
      <c r="B356" s="29">
        <f>IF(A356="","",INDEX('자료_한국심리'!$B$3:$B$4002,MATCH(A356,$U$19:$U$4018,0)))</f>
        <v/>
      </c>
      <c r="C356" s="22">
        <f>IF(A356="","",B356/AVERAGE(B232:B356)-1)</f>
        <v/>
      </c>
      <c r="D356" s="29">
        <f>IF(A356="","",IFERROR(INDEX('자료_한국심리'!$E$3:$E$4002,MATCH(A356,$V$19:$V$4018,0)),D355))</f>
        <v/>
      </c>
      <c r="E356" s="30">
        <f>IF(A356="","",IFERROR(INDEX('자료_한국심리'!$H$3:$H$4002,MATCH(A356,$W$19:$W$4018,0)),E355))</f>
        <v/>
      </c>
      <c r="F356" s="30">
        <f>IF(A356="","",IFERROR(INDEX('자료_한국심리'!$K$3:$K$4002,MATCH(A356,$X$19:$X$4018,0)),F355))</f>
        <v/>
      </c>
      <c r="G356" s="30">
        <f>IF(AND(ISNUMBER(E356),ISNUMBER(F356)),ROUND(E356-F356,6),"")</f>
        <v/>
      </c>
      <c r="H356" s="25">
        <f>IF(A356="","",IFERROR(INDEX('자료_한국심리'!$N$3:$N$4002,MATCH(A356,$Y$19:$Y$4018,0)),H355))</f>
        <v/>
      </c>
      <c r="I356" s="31">
        <f>IF(AND(ISNUMBER(H356),ISNUMBER(H336)),IF(H336&gt;0,H356/H336-1,""),"")</f>
        <v/>
      </c>
      <c r="J356">
        <f>IF(A356="",0,IF(A356&gt;$B$5,1,0))</f>
        <v/>
      </c>
      <c r="K356" s="29">
        <f>IF(AND(J356=1,ISNUMBER(D356)),D356,"")</f>
        <v/>
      </c>
      <c r="L356" s="30">
        <f>IF(AND(J356=1,ISNUMBER(G356)),G356,"")</f>
        <v/>
      </c>
      <c r="M356" s="22">
        <f>IF(AND(J356=1,ISNUMBER(C356)),C356,"")</f>
        <v/>
      </c>
      <c r="N356" s="31">
        <f>IF(AND(J356=1,ISNUMBER(I356)),I356,"")</f>
        <v/>
      </c>
      <c r="O356" s="11">
        <f>IF(K356="","",100-IF($G$13=1,50,(_xlfn.RANK.AVG(K356,$K$19:$K$1518,1)-1)/($G$13-1)*100))</f>
        <v/>
      </c>
      <c r="P356" s="11">
        <f>IF(L356="","",100-IF($G$14=1,50,(_xlfn.RANK.AVG(L356,$L$19:$L$1518,1)-1)/($G$14-1)*100))</f>
        <v/>
      </c>
      <c r="Q356" s="11">
        <f>IF(M356="","",IF($G$15=1,50,(_xlfn.RANK.AVG(M356,$M$19:$M$1518,1)-1)/($G$15-1)*100))</f>
        <v/>
      </c>
      <c r="R356" s="11">
        <f>IF(N356="","",IF($G$16=1,50,(_xlfn.RANK.AVG(N356,$N$19:$N$1518,1)-1)/($G$16-1)*100))</f>
        <v/>
      </c>
      <c r="S356" s="11">
        <f>IF(COUNT(O356:R356)=4,ROUND(AVERAGE(O356:R356),6),"")</f>
        <v/>
      </c>
      <c r="U356">
        <f>IF(AND(ISNUMBER('자료_한국심리'!$A340),ISNUMBER('자료_한국심리'!$B340)),'자료_한국심리'!$A340,"")</f>
        <v/>
      </c>
      <c r="V356">
        <f>IF(AND(ISNUMBER('자료_한국심리'!$D340),ISNUMBER('자료_한국심리'!$E340)),'자료_한국심리'!$D340,"")</f>
        <v/>
      </c>
      <c r="W356">
        <f>IF(AND(ISNUMBER('자료_한국심리'!$G340),ISNUMBER('자료_한국심리'!$H340)),'자료_한국심리'!$G340,"")</f>
        <v/>
      </c>
      <c r="X356">
        <f>IF(AND(ISNUMBER('자료_한국심리'!$J340),ISNUMBER('자료_한국심리'!$K340)),'자료_한국심리'!$J340,"")</f>
        <v/>
      </c>
      <c r="Y356">
        <f>IF(AND(ISNUMBER('자료_한국심리'!$M340),ISNUMBER('자료_한국심리'!$N340)),'자료_한국심리'!$M340,"")</f>
        <v/>
      </c>
    </row>
    <row r="357">
      <c r="A357" s="10">
        <f>IF(339&gt;$E$5,"",SMALL($U$19:$U$4018,$E$6+339))</f>
        <v/>
      </c>
      <c r="B357" s="29">
        <f>IF(A357="","",INDEX('자료_한국심리'!$B$3:$B$4002,MATCH(A357,$U$19:$U$4018,0)))</f>
        <v/>
      </c>
      <c r="C357" s="22">
        <f>IF(A357="","",B357/AVERAGE(B233:B357)-1)</f>
        <v/>
      </c>
      <c r="D357" s="29">
        <f>IF(A357="","",IFERROR(INDEX('자료_한국심리'!$E$3:$E$4002,MATCH(A357,$V$19:$V$4018,0)),D356))</f>
        <v/>
      </c>
      <c r="E357" s="30">
        <f>IF(A357="","",IFERROR(INDEX('자료_한국심리'!$H$3:$H$4002,MATCH(A357,$W$19:$W$4018,0)),E356))</f>
        <v/>
      </c>
      <c r="F357" s="30">
        <f>IF(A357="","",IFERROR(INDEX('자료_한국심리'!$K$3:$K$4002,MATCH(A357,$X$19:$X$4018,0)),F356))</f>
        <v/>
      </c>
      <c r="G357" s="30">
        <f>IF(AND(ISNUMBER(E357),ISNUMBER(F357)),ROUND(E357-F357,6),"")</f>
        <v/>
      </c>
      <c r="H357" s="25">
        <f>IF(A357="","",IFERROR(INDEX('자료_한국심리'!$N$3:$N$4002,MATCH(A357,$Y$19:$Y$4018,0)),H356))</f>
        <v/>
      </c>
      <c r="I357" s="31">
        <f>IF(AND(ISNUMBER(H357),ISNUMBER(H337)),IF(H337&gt;0,H357/H337-1,""),"")</f>
        <v/>
      </c>
      <c r="J357">
        <f>IF(A357="",0,IF(A357&gt;$B$5,1,0))</f>
        <v/>
      </c>
      <c r="K357" s="29">
        <f>IF(AND(J357=1,ISNUMBER(D357)),D357,"")</f>
        <v/>
      </c>
      <c r="L357" s="30">
        <f>IF(AND(J357=1,ISNUMBER(G357)),G357,"")</f>
        <v/>
      </c>
      <c r="M357" s="22">
        <f>IF(AND(J357=1,ISNUMBER(C357)),C357,"")</f>
        <v/>
      </c>
      <c r="N357" s="31">
        <f>IF(AND(J357=1,ISNUMBER(I357)),I357,"")</f>
        <v/>
      </c>
      <c r="O357" s="11">
        <f>IF(K357="","",100-IF($G$13=1,50,(_xlfn.RANK.AVG(K357,$K$19:$K$1518,1)-1)/($G$13-1)*100))</f>
        <v/>
      </c>
      <c r="P357" s="11">
        <f>IF(L357="","",100-IF($G$14=1,50,(_xlfn.RANK.AVG(L357,$L$19:$L$1518,1)-1)/($G$14-1)*100))</f>
        <v/>
      </c>
      <c r="Q357" s="11">
        <f>IF(M357="","",IF($G$15=1,50,(_xlfn.RANK.AVG(M357,$M$19:$M$1518,1)-1)/($G$15-1)*100))</f>
        <v/>
      </c>
      <c r="R357" s="11">
        <f>IF(N357="","",IF($G$16=1,50,(_xlfn.RANK.AVG(N357,$N$19:$N$1518,1)-1)/($G$16-1)*100))</f>
        <v/>
      </c>
      <c r="S357" s="11">
        <f>IF(COUNT(O357:R357)=4,ROUND(AVERAGE(O357:R357),6),"")</f>
        <v/>
      </c>
      <c r="U357">
        <f>IF(AND(ISNUMBER('자료_한국심리'!$A341),ISNUMBER('자료_한국심리'!$B341)),'자료_한국심리'!$A341,"")</f>
        <v/>
      </c>
      <c r="V357">
        <f>IF(AND(ISNUMBER('자료_한국심리'!$D341),ISNUMBER('자료_한국심리'!$E341)),'자료_한국심리'!$D341,"")</f>
        <v/>
      </c>
      <c r="W357">
        <f>IF(AND(ISNUMBER('자료_한국심리'!$G341),ISNUMBER('자료_한국심리'!$H341)),'자료_한국심리'!$G341,"")</f>
        <v/>
      </c>
      <c r="X357">
        <f>IF(AND(ISNUMBER('자료_한국심리'!$J341),ISNUMBER('자료_한국심리'!$K341)),'자료_한국심리'!$J341,"")</f>
        <v/>
      </c>
      <c r="Y357">
        <f>IF(AND(ISNUMBER('자료_한국심리'!$M341),ISNUMBER('자료_한국심리'!$N341)),'자료_한국심리'!$M341,"")</f>
        <v/>
      </c>
    </row>
    <row r="358">
      <c r="A358" s="10">
        <f>IF(340&gt;$E$5,"",SMALL($U$19:$U$4018,$E$6+340))</f>
        <v/>
      </c>
      <c r="B358" s="29">
        <f>IF(A358="","",INDEX('자료_한국심리'!$B$3:$B$4002,MATCH(A358,$U$19:$U$4018,0)))</f>
        <v/>
      </c>
      <c r="C358" s="22">
        <f>IF(A358="","",B358/AVERAGE(B234:B358)-1)</f>
        <v/>
      </c>
      <c r="D358" s="29">
        <f>IF(A358="","",IFERROR(INDEX('자료_한국심리'!$E$3:$E$4002,MATCH(A358,$V$19:$V$4018,0)),D357))</f>
        <v/>
      </c>
      <c r="E358" s="30">
        <f>IF(A358="","",IFERROR(INDEX('자료_한국심리'!$H$3:$H$4002,MATCH(A358,$W$19:$W$4018,0)),E357))</f>
        <v/>
      </c>
      <c r="F358" s="30">
        <f>IF(A358="","",IFERROR(INDEX('자료_한국심리'!$K$3:$K$4002,MATCH(A358,$X$19:$X$4018,0)),F357))</f>
        <v/>
      </c>
      <c r="G358" s="30">
        <f>IF(AND(ISNUMBER(E358),ISNUMBER(F358)),ROUND(E358-F358,6),"")</f>
        <v/>
      </c>
      <c r="H358" s="25">
        <f>IF(A358="","",IFERROR(INDEX('자료_한국심리'!$N$3:$N$4002,MATCH(A358,$Y$19:$Y$4018,0)),H357))</f>
        <v/>
      </c>
      <c r="I358" s="31">
        <f>IF(AND(ISNUMBER(H358),ISNUMBER(H338)),IF(H338&gt;0,H358/H338-1,""),"")</f>
        <v/>
      </c>
      <c r="J358">
        <f>IF(A358="",0,IF(A358&gt;$B$5,1,0))</f>
        <v/>
      </c>
      <c r="K358" s="29">
        <f>IF(AND(J358=1,ISNUMBER(D358)),D358,"")</f>
        <v/>
      </c>
      <c r="L358" s="30">
        <f>IF(AND(J358=1,ISNUMBER(G358)),G358,"")</f>
        <v/>
      </c>
      <c r="M358" s="22">
        <f>IF(AND(J358=1,ISNUMBER(C358)),C358,"")</f>
        <v/>
      </c>
      <c r="N358" s="31">
        <f>IF(AND(J358=1,ISNUMBER(I358)),I358,"")</f>
        <v/>
      </c>
      <c r="O358" s="11">
        <f>IF(K358="","",100-IF($G$13=1,50,(_xlfn.RANK.AVG(K358,$K$19:$K$1518,1)-1)/($G$13-1)*100))</f>
        <v/>
      </c>
      <c r="P358" s="11">
        <f>IF(L358="","",100-IF($G$14=1,50,(_xlfn.RANK.AVG(L358,$L$19:$L$1518,1)-1)/($G$14-1)*100))</f>
        <v/>
      </c>
      <c r="Q358" s="11">
        <f>IF(M358="","",IF($G$15=1,50,(_xlfn.RANK.AVG(M358,$M$19:$M$1518,1)-1)/($G$15-1)*100))</f>
        <v/>
      </c>
      <c r="R358" s="11">
        <f>IF(N358="","",IF($G$16=1,50,(_xlfn.RANK.AVG(N358,$N$19:$N$1518,1)-1)/($G$16-1)*100))</f>
        <v/>
      </c>
      <c r="S358" s="11">
        <f>IF(COUNT(O358:R358)=4,ROUND(AVERAGE(O358:R358),6),"")</f>
        <v/>
      </c>
      <c r="U358">
        <f>IF(AND(ISNUMBER('자료_한국심리'!$A342),ISNUMBER('자료_한국심리'!$B342)),'자료_한국심리'!$A342,"")</f>
        <v/>
      </c>
      <c r="V358">
        <f>IF(AND(ISNUMBER('자료_한국심리'!$D342),ISNUMBER('자료_한국심리'!$E342)),'자료_한국심리'!$D342,"")</f>
        <v/>
      </c>
      <c r="W358">
        <f>IF(AND(ISNUMBER('자료_한국심리'!$G342),ISNUMBER('자료_한국심리'!$H342)),'자료_한국심리'!$G342,"")</f>
        <v/>
      </c>
      <c r="X358">
        <f>IF(AND(ISNUMBER('자료_한국심리'!$J342),ISNUMBER('자료_한국심리'!$K342)),'자료_한국심리'!$J342,"")</f>
        <v/>
      </c>
      <c r="Y358">
        <f>IF(AND(ISNUMBER('자료_한국심리'!$M342),ISNUMBER('자료_한국심리'!$N342)),'자료_한국심리'!$M342,"")</f>
        <v/>
      </c>
    </row>
    <row r="359">
      <c r="A359" s="10">
        <f>IF(341&gt;$E$5,"",SMALL($U$19:$U$4018,$E$6+341))</f>
        <v/>
      </c>
      <c r="B359" s="29">
        <f>IF(A359="","",INDEX('자료_한국심리'!$B$3:$B$4002,MATCH(A359,$U$19:$U$4018,0)))</f>
        <v/>
      </c>
      <c r="C359" s="22">
        <f>IF(A359="","",B359/AVERAGE(B235:B359)-1)</f>
        <v/>
      </c>
      <c r="D359" s="29">
        <f>IF(A359="","",IFERROR(INDEX('자료_한국심리'!$E$3:$E$4002,MATCH(A359,$V$19:$V$4018,0)),D358))</f>
        <v/>
      </c>
      <c r="E359" s="30">
        <f>IF(A359="","",IFERROR(INDEX('자료_한국심리'!$H$3:$H$4002,MATCH(A359,$W$19:$W$4018,0)),E358))</f>
        <v/>
      </c>
      <c r="F359" s="30">
        <f>IF(A359="","",IFERROR(INDEX('자료_한국심리'!$K$3:$K$4002,MATCH(A359,$X$19:$X$4018,0)),F358))</f>
        <v/>
      </c>
      <c r="G359" s="30">
        <f>IF(AND(ISNUMBER(E359),ISNUMBER(F359)),ROUND(E359-F359,6),"")</f>
        <v/>
      </c>
      <c r="H359" s="25">
        <f>IF(A359="","",IFERROR(INDEX('자료_한국심리'!$N$3:$N$4002,MATCH(A359,$Y$19:$Y$4018,0)),H358))</f>
        <v/>
      </c>
      <c r="I359" s="31">
        <f>IF(AND(ISNUMBER(H359),ISNUMBER(H339)),IF(H339&gt;0,H359/H339-1,""),"")</f>
        <v/>
      </c>
      <c r="J359">
        <f>IF(A359="",0,IF(A359&gt;$B$5,1,0))</f>
        <v/>
      </c>
      <c r="K359" s="29">
        <f>IF(AND(J359=1,ISNUMBER(D359)),D359,"")</f>
        <v/>
      </c>
      <c r="L359" s="30">
        <f>IF(AND(J359=1,ISNUMBER(G359)),G359,"")</f>
        <v/>
      </c>
      <c r="M359" s="22">
        <f>IF(AND(J359=1,ISNUMBER(C359)),C359,"")</f>
        <v/>
      </c>
      <c r="N359" s="31">
        <f>IF(AND(J359=1,ISNUMBER(I359)),I359,"")</f>
        <v/>
      </c>
      <c r="O359" s="11">
        <f>IF(K359="","",100-IF($G$13=1,50,(_xlfn.RANK.AVG(K359,$K$19:$K$1518,1)-1)/($G$13-1)*100))</f>
        <v/>
      </c>
      <c r="P359" s="11">
        <f>IF(L359="","",100-IF($G$14=1,50,(_xlfn.RANK.AVG(L359,$L$19:$L$1518,1)-1)/($G$14-1)*100))</f>
        <v/>
      </c>
      <c r="Q359" s="11">
        <f>IF(M359="","",IF($G$15=1,50,(_xlfn.RANK.AVG(M359,$M$19:$M$1518,1)-1)/($G$15-1)*100))</f>
        <v/>
      </c>
      <c r="R359" s="11">
        <f>IF(N359="","",IF($G$16=1,50,(_xlfn.RANK.AVG(N359,$N$19:$N$1518,1)-1)/($G$16-1)*100))</f>
        <v/>
      </c>
      <c r="S359" s="11">
        <f>IF(COUNT(O359:R359)=4,ROUND(AVERAGE(O359:R359),6),"")</f>
        <v/>
      </c>
      <c r="U359">
        <f>IF(AND(ISNUMBER('자료_한국심리'!$A343),ISNUMBER('자료_한국심리'!$B343)),'자료_한국심리'!$A343,"")</f>
        <v/>
      </c>
      <c r="V359">
        <f>IF(AND(ISNUMBER('자료_한국심리'!$D343),ISNUMBER('자료_한국심리'!$E343)),'자료_한국심리'!$D343,"")</f>
        <v/>
      </c>
      <c r="W359">
        <f>IF(AND(ISNUMBER('자료_한국심리'!$G343),ISNUMBER('자료_한국심리'!$H343)),'자료_한국심리'!$G343,"")</f>
        <v/>
      </c>
      <c r="X359">
        <f>IF(AND(ISNUMBER('자료_한국심리'!$J343),ISNUMBER('자료_한국심리'!$K343)),'자료_한국심리'!$J343,"")</f>
        <v/>
      </c>
      <c r="Y359">
        <f>IF(AND(ISNUMBER('자료_한국심리'!$M343),ISNUMBER('자료_한국심리'!$N343)),'자료_한국심리'!$M343,"")</f>
        <v/>
      </c>
    </row>
    <row r="360">
      <c r="A360" s="10">
        <f>IF(342&gt;$E$5,"",SMALL($U$19:$U$4018,$E$6+342))</f>
        <v/>
      </c>
      <c r="B360" s="29">
        <f>IF(A360="","",INDEX('자료_한국심리'!$B$3:$B$4002,MATCH(A360,$U$19:$U$4018,0)))</f>
        <v/>
      </c>
      <c r="C360" s="22">
        <f>IF(A360="","",B360/AVERAGE(B236:B360)-1)</f>
        <v/>
      </c>
      <c r="D360" s="29">
        <f>IF(A360="","",IFERROR(INDEX('자료_한국심리'!$E$3:$E$4002,MATCH(A360,$V$19:$V$4018,0)),D359))</f>
        <v/>
      </c>
      <c r="E360" s="30">
        <f>IF(A360="","",IFERROR(INDEX('자료_한국심리'!$H$3:$H$4002,MATCH(A360,$W$19:$W$4018,0)),E359))</f>
        <v/>
      </c>
      <c r="F360" s="30">
        <f>IF(A360="","",IFERROR(INDEX('자료_한국심리'!$K$3:$K$4002,MATCH(A360,$X$19:$X$4018,0)),F359))</f>
        <v/>
      </c>
      <c r="G360" s="30">
        <f>IF(AND(ISNUMBER(E360),ISNUMBER(F360)),ROUND(E360-F360,6),"")</f>
        <v/>
      </c>
      <c r="H360" s="25">
        <f>IF(A360="","",IFERROR(INDEX('자료_한국심리'!$N$3:$N$4002,MATCH(A360,$Y$19:$Y$4018,0)),H359))</f>
        <v/>
      </c>
      <c r="I360" s="31">
        <f>IF(AND(ISNUMBER(H360),ISNUMBER(H340)),IF(H340&gt;0,H360/H340-1,""),"")</f>
        <v/>
      </c>
      <c r="J360">
        <f>IF(A360="",0,IF(A360&gt;$B$5,1,0))</f>
        <v/>
      </c>
      <c r="K360" s="29">
        <f>IF(AND(J360=1,ISNUMBER(D360)),D360,"")</f>
        <v/>
      </c>
      <c r="L360" s="30">
        <f>IF(AND(J360=1,ISNUMBER(G360)),G360,"")</f>
        <v/>
      </c>
      <c r="M360" s="22">
        <f>IF(AND(J360=1,ISNUMBER(C360)),C360,"")</f>
        <v/>
      </c>
      <c r="N360" s="31">
        <f>IF(AND(J360=1,ISNUMBER(I360)),I360,"")</f>
        <v/>
      </c>
      <c r="O360" s="11">
        <f>IF(K360="","",100-IF($G$13=1,50,(_xlfn.RANK.AVG(K360,$K$19:$K$1518,1)-1)/($G$13-1)*100))</f>
        <v/>
      </c>
      <c r="P360" s="11">
        <f>IF(L360="","",100-IF($G$14=1,50,(_xlfn.RANK.AVG(L360,$L$19:$L$1518,1)-1)/($G$14-1)*100))</f>
        <v/>
      </c>
      <c r="Q360" s="11">
        <f>IF(M360="","",IF($G$15=1,50,(_xlfn.RANK.AVG(M360,$M$19:$M$1518,1)-1)/($G$15-1)*100))</f>
        <v/>
      </c>
      <c r="R360" s="11">
        <f>IF(N360="","",IF($G$16=1,50,(_xlfn.RANK.AVG(N360,$N$19:$N$1518,1)-1)/($G$16-1)*100))</f>
        <v/>
      </c>
      <c r="S360" s="11">
        <f>IF(COUNT(O360:R360)=4,ROUND(AVERAGE(O360:R360),6),"")</f>
        <v/>
      </c>
      <c r="U360">
        <f>IF(AND(ISNUMBER('자료_한국심리'!$A344),ISNUMBER('자료_한국심리'!$B344)),'자료_한국심리'!$A344,"")</f>
        <v/>
      </c>
      <c r="V360">
        <f>IF(AND(ISNUMBER('자료_한국심리'!$D344),ISNUMBER('자료_한국심리'!$E344)),'자료_한국심리'!$D344,"")</f>
        <v/>
      </c>
      <c r="W360">
        <f>IF(AND(ISNUMBER('자료_한국심리'!$G344),ISNUMBER('자료_한국심리'!$H344)),'자료_한국심리'!$G344,"")</f>
        <v/>
      </c>
      <c r="X360">
        <f>IF(AND(ISNUMBER('자료_한국심리'!$J344),ISNUMBER('자료_한국심리'!$K344)),'자료_한국심리'!$J344,"")</f>
        <v/>
      </c>
      <c r="Y360">
        <f>IF(AND(ISNUMBER('자료_한국심리'!$M344),ISNUMBER('자료_한국심리'!$N344)),'자료_한국심리'!$M344,"")</f>
        <v/>
      </c>
    </row>
    <row r="361">
      <c r="A361" s="10">
        <f>IF(343&gt;$E$5,"",SMALL($U$19:$U$4018,$E$6+343))</f>
        <v/>
      </c>
      <c r="B361" s="29">
        <f>IF(A361="","",INDEX('자료_한국심리'!$B$3:$B$4002,MATCH(A361,$U$19:$U$4018,0)))</f>
        <v/>
      </c>
      <c r="C361" s="22">
        <f>IF(A361="","",B361/AVERAGE(B237:B361)-1)</f>
        <v/>
      </c>
      <c r="D361" s="29">
        <f>IF(A361="","",IFERROR(INDEX('자료_한국심리'!$E$3:$E$4002,MATCH(A361,$V$19:$V$4018,0)),D360))</f>
        <v/>
      </c>
      <c r="E361" s="30">
        <f>IF(A361="","",IFERROR(INDEX('자료_한국심리'!$H$3:$H$4002,MATCH(A361,$W$19:$W$4018,0)),E360))</f>
        <v/>
      </c>
      <c r="F361" s="30">
        <f>IF(A361="","",IFERROR(INDEX('자료_한국심리'!$K$3:$K$4002,MATCH(A361,$X$19:$X$4018,0)),F360))</f>
        <v/>
      </c>
      <c r="G361" s="30">
        <f>IF(AND(ISNUMBER(E361),ISNUMBER(F361)),ROUND(E361-F361,6),"")</f>
        <v/>
      </c>
      <c r="H361" s="25">
        <f>IF(A361="","",IFERROR(INDEX('자료_한국심리'!$N$3:$N$4002,MATCH(A361,$Y$19:$Y$4018,0)),H360))</f>
        <v/>
      </c>
      <c r="I361" s="31">
        <f>IF(AND(ISNUMBER(H361),ISNUMBER(H341)),IF(H341&gt;0,H361/H341-1,""),"")</f>
        <v/>
      </c>
      <c r="J361">
        <f>IF(A361="",0,IF(A361&gt;$B$5,1,0))</f>
        <v/>
      </c>
      <c r="K361" s="29">
        <f>IF(AND(J361=1,ISNUMBER(D361)),D361,"")</f>
        <v/>
      </c>
      <c r="L361" s="30">
        <f>IF(AND(J361=1,ISNUMBER(G361)),G361,"")</f>
        <v/>
      </c>
      <c r="M361" s="22">
        <f>IF(AND(J361=1,ISNUMBER(C361)),C361,"")</f>
        <v/>
      </c>
      <c r="N361" s="31">
        <f>IF(AND(J361=1,ISNUMBER(I361)),I361,"")</f>
        <v/>
      </c>
      <c r="O361" s="11">
        <f>IF(K361="","",100-IF($G$13=1,50,(_xlfn.RANK.AVG(K361,$K$19:$K$1518,1)-1)/($G$13-1)*100))</f>
        <v/>
      </c>
      <c r="P361" s="11">
        <f>IF(L361="","",100-IF($G$14=1,50,(_xlfn.RANK.AVG(L361,$L$19:$L$1518,1)-1)/($G$14-1)*100))</f>
        <v/>
      </c>
      <c r="Q361" s="11">
        <f>IF(M361="","",IF($G$15=1,50,(_xlfn.RANK.AVG(M361,$M$19:$M$1518,1)-1)/($G$15-1)*100))</f>
        <v/>
      </c>
      <c r="R361" s="11">
        <f>IF(N361="","",IF($G$16=1,50,(_xlfn.RANK.AVG(N361,$N$19:$N$1518,1)-1)/($G$16-1)*100))</f>
        <v/>
      </c>
      <c r="S361" s="11">
        <f>IF(COUNT(O361:R361)=4,ROUND(AVERAGE(O361:R361),6),"")</f>
        <v/>
      </c>
      <c r="U361">
        <f>IF(AND(ISNUMBER('자료_한국심리'!$A345),ISNUMBER('자료_한국심리'!$B345)),'자료_한국심리'!$A345,"")</f>
        <v/>
      </c>
      <c r="V361">
        <f>IF(AND(ISNUMBER('자료_한국심리'!$D345),ISNUMBER('자료_한국심리'!$E345)),'자료_한국심리'!$D345,"")</f>
        <v/>
      </c>
      <c r="W361">
        <f>IF(AND(ISNUMBER('자료_한국심리'!$G345),ISNUMBER('자료_한국심리'!$H345)),'자료_한국심리'!$G345,"")</f>
        <v/>
      </c>
      <c r="X361">
        <f>IF(AND(ISNUMBER('자료_한국심리'!$J345),ISNUMBER('자료_한국심리'!$K345)),'자료_한국심리'!$J345,"")</f>
        <v/>
      </c>
      <c r="Y361">
        <f>IF(AND(ISNUMBER('자료_한국심리'!$M345),ISNUMBER('자료_한국심리'!$N345)),'자료_한국심리'!$M345,"")</f>
        <v/>
      </c>
    </row>
    <row r="362">
      <c r="A362" s="10">
        <f>IF(344&gt;$E$5,"",SMALL($U$19:$U$4018,$E$6+344))</f>
        <v/>
      </c>
      <c r="B362" s="29">
        <f>IF(A362="","",INDEX('자료_한국심리'!$B$3:$B$4002,MATCH(A362,$U$19:$U$4018,0)))</f>
        <v/>
      </c>
      <c r="C362" s="22">
        <f>IF(A362="","",B362/AVERAGE(B238:B362)-1)</f>
        <v/>
      </c>
      <c r="D362" s="29">
        <f>IF(A362="","",IFERROR(INDEX('자료_한국심리'!$E$3:$E$4002,MATCH(A362,$V$19:$V$4018,0)),D361))</f>
        <v/>
      </c>
      <c r="E362" s="30">
        <f>IF(A362="","",IFERROR(INDEX('자료_한국심리'!$H$3:$H$4002,MATCH(A362,$W$19:$W$4018,0)),E361))</f>
        <v/>
      </c>
      <c r="F362" s="30">
        <f>IF(A362="","",IFERROR(INDEX('자료_한국심리'!$K$3:$K$4002,MATCH(A362,$X$19:$X$4018,0)),F361))</f>
        <v/>
      </c>
      <c r="G362" s="30">
        <f>IF(AND(ISNUMBER(E362),ISNUMBER(F362)),ROUND(E362-F362,6),"")</f>
        <v/>
      </c>
      <c r="H362" s="25">
        <f>IF(A362="","",IFERROR(INDEX('자료_한국심리'!$N$3:$N$4002,MATCH(A362,$Y$19:$Y$4018,0)),H361))</f>
        <v/>
      </c>
      <c r="I362" s="31">
        <f>IF(AND(ISNUMBER(H362),ISNUMBER(H342)),IF(H342&gt;0,H362/H342-1,""),"")</f>
        <v/>
      </c>
      <c r="J362">
        <f>IF(A362="",0,IF(A362&gt;$B$5,1,0))</f>
        <v/>
      </c>
      <c r="K362" s="29">
        <f>IF(AND(J362=1,ISNUMBER(D362)),D362,"")</f>
        <v/>
      </c>
      <c r="L362" s="30">
        <f>IF(AND(J362=1,ISNUMBER(G362)),G362,"")</f>
        <v/>
      </c>
      <c r="M362" s="22">
        <f>IF(AND(J362=1,ISNUMBER(C362)),C362,"")</f>
        <v/>
      </c>
      <c r="N362" s="31">
        <f>IF(AND(J362=1,ISNUMBER(I362)),I362,"")</f>
        <v/>
      </c>
      <c r="O362" s="11">
        <f>IF(K362="","",100-IF($G$13=1,50,(_xlfn.RANK.AVG(K362,$K$19:$K$1518,1)-1)/($G$13-1)*100))</f>
        <v/>
      </c>
      <c r="P362" s="11">
        <f>IF(L362="","",100-IF($G$14=1,50,(_xlfn.RANK.AVG(L362,$L$19:$L$1518,1)-1)/($G$14-1)*100))</f>
        <v/>
      </c>
      <c r="Q362" s="11">
        <f>IF(M362="","",IF($G$15=1,50,(_xlfn.RANK.AVG(M362,$M$19:$M$1518,1)-1)/($G$15-1)*100))</f>
        <v/>
      </c>
      <c r="R362" s="11">
        <f>IF(N362="","",IF($G$16=1,50,(_xlfn.RANK.AVG(N362,$N$19:$N$1518,1)-1)/($G$16-1)*100))</f>
        <v/>
      </c>
      <c r="S362" s="11">
        <f>IF(COUNT(O362:R362)=4,ROUND(AVERAGE(O362:R362),6),"")</f>
        <v/>
      </c>
      <c r="U362">
        <f>IF(AND(ISNUMBER('자료_한국심리'!$A346),ISNUMBER('자료_한국심리'!$B346)),'자료_한국심리'!$A346,"")</f>
        <v/>
      </c>
      <c r="V362">
        <f>IF(AND(ISNUMBER('자료_한국심리'!$D346),ISNUMBER('자료_한국심리'!$E346)),'자료_한국심리'!$D346,"")</f>
        <v/>
      </c>
      <c r="W362">
        <f>IF(AND(ISNUMBER('자료_한국심리'!$G346),ISNUMBER('자료_한국심리'!$H346)),'자료_한국심리'!$G346,"")</f>
        <v/>
      </c>
      <c r="X362">
        <f>IF(AND(ISNUMBER('자료_한국심리'!$J346),ISNUMBER('자료_한국심리'!$K346)),'자료_한국심리'!$J346,"")</f>
        <v/>
      </c>
      <c r="Y362">
        <f>IF(AND(ISNUMBER('자료_한국심리'!$M346),ISNUMBER('자료_한국심리'!$N346)),'자료_한국심리'!$M346,"")</f>
        <v/>
      </c>
    </row>
    <row r="363">
      <c r="A363" s="10">
        <f>IF(345&gt;$E$5,"",SMALL($U$19:$U$4018,$E$6+345))</f>
        <v/>
      </c>
      <c r="B363" s="29">
        <f>IF(A363="","",INDEX('자료_한국심리'!$B$3:$B$4002,MATCH(A363,$U$19:$U$4018,0)))</f>
        <v/>
      </c>
      <c r="C363" s="22">
        <f>IF(A363="","",B363/AVERAGE(B239:B363)-1)</f>
        <v/>
      </c>
      <c r="D363" s="29">
        <f>IF(A363="","",IFERROR(INDEX('자료_한국심리'!$E$3:$E$4002,MATCH(A363,$V$19:$V$4018,0)),D362))</f>
        <v/>
      </c>
      <c r="E363" s="30">
        <f>IF(A363="","",IFERROR(INDEX('자료_한국심리'!$H$3:$H$4002,MATCH(A363,$W$19:$W$4018,0)),E362))</f>
        <v/>
      </c>
      <c r="F363" s="30">
        <f>IF(A363="","",IFERROR(INDEX('자료_한국심리'!$K$3:$K$4002,MATCH(A363,$X$19:$X$4018,0)),F362))</f>
        <v/>
      </c>
      <c r="G363" s="30">
        <f>IF(AND(ISNUMBER(E363),ISNUMBER(F363)),ROUND(E363-F363,6),"")</f>
        <v/>
      </c>
      <c r="H363" s="25">
        <f>IF(A363="","",IFERROR(INDEX('자료_한국심리'!$N$3:$N$4002,MATCH(A363,$Y$19:$Y$4018,0)),H362))</f>
        <v/>
      </c>
      <c r="I363" s="31">
        <f>IF(AND(ISNUMBER(H363),ISNUMBER(H343)),IF(H343&gt;0,H363/H343-1,""),"")</f>
        <v/>
      </c>
      <c r="J363">
        <f>IF(A363="",0,IF(A363&gt;$B$5,1,0))</f>
        <v/>
      </c>
      <c r="K363" s="29">
        <f>IF(AND(J363=1,ISNUMBER(D363)),D363,"")</f>
        <v/>
      </c>
      <c r="L363" s="30">
        <f>IF(AND(J363=1,ISNUMBER(G363)),G363,"")</f>
        <v/>
      </c>
      <c r="M363" s="22">
        <f>IF(AND(J363=1,ISNUMBER(C363)),C363,"")</f>
        <v/>
      </c>
      <c r="N363" s="31">
        <f>IF(AND(J363=1,ISNUMBER(I363)),I363,"")</f>
        <v/>
      </c>
      <c r="O363" s="11">
        <f>IF(K363="","",100-IF($G$13=1,50,(_xlfn.RANK.AVG(K363,$K$19:$K$1518,1)-1)/($G$13-1)*100))</f>
        <v/>
      </c>
      <c r="P363" s="11">
        <f>IF(L363="","",100-IF($G$14=1,50,(_xlfn.RANK.AVG(L363,$L$19:$L$1518,1)-1)/($G$14-1)*100))</f>
        <v/>
      </c>
      <c r="Q363" s="11">
        <f>IF(M363="","",IF($G$15=1,50,(_xlfn.RANK.AVG(M363,$M$19:$M$1518,1)-1)/($G$15-1)*100))</f>
        <v/>
      </c>
      <c r="R363" s="11">
        <f>IF(N363="","",IF($G$16=1,50,(_xlfn.RANK.AVG(N363,$N$19:$N$1518,1)-1)/($G$16-1)*100))</f>
        <v/>
      </c>
      <c r="S363" s="11">
        <f>IF(COUNT(O363:R363)=4,ROUND(AVERAGE(O363:R363),6),"")</f>
        <v/>
      </c>
      <c r="U363">
        <f>IF(AND(ISNUMBER('자료_한국심리'!$A347),ISNUMBER('자료_한국심리'!$B347)),'자료_한국심리'!$A347,"")</f>
        <v/>
      </c>
      <c r="V363">
        <f>IF(AND(ISNUMBER('자료_한국심리'!$D347),ISNUMBER('자료_한국심리'!$E347)),'자료_한국심리'!$D347,"")</f>
        <v/>
      </c>
      <c r="W363">
        <f>IF(AND(ISNUMBER('자료_한국심리'!$G347),ISNUMBER('자료_한국심리'!$H347)),'자료_한국심리'!$G347,"")</f>
        <v/>
      </c>
      <c r="X363">
        <f>IF(AND(ISNUMBER('자료_한국심리'!$J347),ISNUMBER('자료_한국심리'!$K347)),'자료_한국심리'!$J347,"")</f>
        <v/>
      </c>
      <c r="Y363">
        <f>IF(AND(ISNUMBER('자료_한국심리'!$M347),ISNUMBER('자료_한국심리'!$N347)),'자료_한국심리'!$M347,"")</f>
        <v/>
      </c>
    </row>
    <row r="364">
      <c r="A364" s="10">
        <f>IF(346&gt;$E$5,"",SMALL($U$19:$U$4018,$E$6+346))</f>
        <v/>
      </c>
      <c r="B364" s="29">
        <f>IF(A364="","",INDEX('자료_한국심리'!$B$3:$B$4002,MATCH(A364,$U$19:$U$4018,0)))</f>
        <v/>
      </c>
      <c r="C364" s="22">
        <f>IF(A364="","",B364/AVERAGE(B240:B364)-1)</f>
        <v/>
      </c>
      <c r="D364" s="29">
        <f>IF(A364="","",IFERROR(INDEX('자료_한국심리'!$E$3:$E$4002,MATCH(A364,$V$19:$V$4018,0)),D363))</f>
        <v/>
      </c>
      <c r="E364" s="30">
        <f>IF(A364="","",IFERROR(INDEX('자료_한국심리'!$H$3:$H$4002,MATCH(A364,$W$19:$W$4018,0)),E363))</f>
        <v/>
      </c>
      <c r="F364" s="30">
        <f>IF(A364="","",IFERROR(INDEX('자료_한국심리'!$K$3:$K$4002,MATCH(A364,$X$19:$X$4018,0)),F363))</f>
        <v/>
      </c>
      <c r="G364" s="30">
        <f>IF(AND(ISNUMBER(E364),ISNUMBER(F364)),ROUND(E364-F364,6),"")</f>
        <v/>
      </c>
      <c r="H364" s="25">
        <f>IF(A364="","",IFERROR(INDEX('자료_한국심리'!$N$3:$N$4002,MATCH(A364,$Y$19:$Y$4018,0)),H363))</f>
        <v/>
      </c>
      <c r="I364" s="31">
        <f>IF(AND(ISNUMBER(H364),ISNUMBER(H344)),IF(H344&gt;0,H364/H344-1,""),"")</f>
        <v/>
      </c>
      <c r="J364">
        <f>IF(A364="",0,IF(A364&gt;$B$5,1,0))</f>
        <v/>
      </c>
      <c r="K364" s="29">
        <f>IF(AND(J364=1,ISNUMBER(D364)),D364,"")</f>
        <v/>
      </c>
      <c r="L364" s="30">
        <f>IF(AND(J364=1,ISNUMBER(G364)),G364,"")</f>
        <v/>
      </c>
      <c r="M364" s="22">
        <f>IF(AND(J364=1,ISNUMBER(C364)),C364,"")</f>
        <v/>
      </c>
      <c r="N364" s="31">
        <f>IF(AND(J364=1,ISNUMBER(I364)),I364,"")</f>
        <v/>
      </c>
      <c r="O364" s="11">
        <f>IF(K364="","",100-IF($G$13=1,50,(_xlfn.RANK.AVG(K364,$K$19:$K$1518,1)-1)/($G$13-1)*100))</f>
        <v/>
      </c>
      <c r="P364" s="11">
        <f>IF(L364="","",100-IF($G$14=1,50,(_xlfn.RANK.AVG(L364,$L$19:$L$1518,1)-1)/($G$14-1)*100))</f>
        <v/>
      </c>
      <c r="Q364" s="11">
        <f>IF(M364="","",IF($G$15=1,50,(_xlfn.RANK.AVG(M364,$M$19:$M$1518,1)-1)/($G$15-1)*100))</f>
        <v/>
      </c>
      <c r="R364" s="11">
        <f>IF(N364="","",IF($G$16=1,50,(_xlfn.RANK.AVG(N364,$N$19:$N$1518,1)-1)/($G$16-1)*100))</f>
        <v/>
      </c>
      <c r="S364" s="11">
        <f>IF(COUNT(O364:R364)=4,ROUND(AVERAGE(O364:R364),6),"")</f>
        <v/>
      </c>
      <c r="U364">
        <f>IF(AND(ISNUMBER('자료_한국심리'!$A348),ISNUMBER('자료_한국심리'!$B348)),'자료_한국심리'!$A348,"")</f>
        <v/>
      </c>
      <c r="V364">
        <f>IF(AND(ISNUMBER('자료_한국심리'!$D348),ISNUMBER('자료_한국심리'!$E348)),'자료_한국심리'!$D348,"")</f>
        <v/>
      </c>
      <c r="W364">
        <f>IF(AND(ISNUMBER('자료_한국심리'!$G348),ISNUMBER('자료_한국심리'!$H348)),'자료_한국심리'!$G348,"")</f>
        <v/>
      </c>
      <c r="X364">
        <f>IF(AND(ISNUMBER('자료_한국심리'!$J348),ISNUMBER('자료_한국심리'!$K348)),'자료_한국심리'!$J348,"")</f>
        <v/>
      </c>
      <c r="Y364">
        <f>IF(AND(ISNUMBER('자료_한국심리'!$M348),ISNUMBER('자료_한국심리'!$N348)),'자료_한국심리'!$M348,"")</f>
        <v/>
      </c>
    </row>
    <row r="365">
      <c r="A365" s="10">
        <f>IF(347&gt;$E$5,"",SMALL($U$19:$U$4018,$E$6+347))</f>
        <v/>
      </c>
      <c r="B365" s="29">
        <f>IF(A365="","",INDEX('자료_한국심리'!$B$3:$B$4002,MATCH(A365,$U$19:$U$4018,0)))</f>
        <v/>
      </c>
      <c r="C365" s="22">
        <f>IF(A365="","",B365/AVERAGE(B241:B365)-1)</f>
        <v/>
      </c>
      <c r="D365" s="29">
        <f>IF(A365="","",IFERROR(INDEX('자료_한국심리'!$E$3:$E$4002,MATCH(A365,$V$19:$V$4018,0)),D364))</f>
        <v/>
      </c>
      <c r="E365" s="30">
        <f>IF(A365="","",IFERROR(INDEX('자료_한국심리'!$H$3:$H$4002,MATCH(A365,$W$19:$W$4018,0)),E364))</f>
        <v/>
      </c>
      <c r="F365" s="30">
        <f>IF(A365="","",IFERROR(INDEX('자료_한국심리'!$K$3:$K$4002,MATCH(A365,$X$19:$X$4018,0)),F364))</f>
        <v/>
      </c>
      <c r="G365" s="30">
        <f>IF(AND(ISNUMBER(E365),ISNUMBER(F365)),ROUND(E365-F365,6),"")</f>
        <v/>
      </c>
      <c r="H365" s="25">
        <f>IF(A365="","",IFERROR(INDEX('자료_한국심리'!$N$3:$N$4002,MATCH(A365,$Y$19:$Y$4018,0)),H364))</f>
        <v/>
      </c>
      <c r="I365" s="31">
        <f>IF(AND(ISNUMBER(H365),ISNUMBER(H345)),IF(H345&gt;0,H365/H345-1,""),"")</f>
        <v/>
      </c>
      <c r="J365">
        <f>IF(A365="",0,IF(A365&gt;$B$5,1,0))</f>
        <v/>
      </c>
      <c r="K365" s="29">
        <f>IF(AND(J365=1,ISNUMBER(D365)),D365,"")</f>
        <v/>
      </c>
      <c r="L365" s="30">
        <f>IF(AND(J365=1,ISNUMBER(G365)),G365,"")</f>
        <v/>
      </c>
      <c r="M365" s="22">
        <f>IF(AND(J365=1,ISNUMBER(C365)),C365,"")</f>
        <v/>
      </c>
      <c r="N365" s="31">
        <f>IF(AND(J365=1,ISNUMBER(I365)),I365,"")</f>
        <v/>
      </c>
      <c r="O365" s="11">
        <f>IF(K365="","",100-IF($G$13=1,50,(_xlfn.RANK.AVG(K365,$K$19:$K$1518,1)-1)/($G$13-1)*100))</f>
        <v/>
      </c>
      <c r="P365" s="11">
        <f>IF(L365="","",100-IF($G$14=1,50,(_xlfn.RANK.AVG(L365,$L$19:$L$1518,1)-1)/($G$14-1)*100))</f>
        <v/>
      </c>
      <c r="Q365" s="11">
        <f>IF(M365="","",IF($G$15=1,50,(_xlfn.RANK.AVG(M365,$M$19:$M$1518,1)-1)/($G$15-1)*100))</f>
        <v/>
      </c>
      <c r="R365" s="11">
        <f>IF(N365="","",IF($G$16=1,50,(_xlfn.RANK.AVG(N365,$N$19:$N$1518,1)-1)/($G$16-1)*100))</f>
        <v/>
      </c>
      <c r="S365" s="11">
        <f>IF(COUNT(O365:R365)=4,ROUND(AVERAGE(O365:R365),6),"")</f>
        <v/>
      </c>
      <c r="U365">
        <f>IF(AND(ISNUMBER('자료_한국심리'!$A349),ISNUMBER('자료_한국심리'!$B349)),'자료_한국심리'!$A349,"")</f>
        <v/>
      </c>
      <c r="V365">
        <f>IF(AND(ISNUMBER('자료_한국심리'!$D349),ISNUMBER('자료_한국심리'!$E349)),'자료_한국심리'!$D349,"")</f>
        <v/>
      </c>
      <c r="W365">
        <f>IF(AND(ISNUMBER('자료_한국심리'!$G349),ISNUMBER('자료_한국심리'!$H349)),'자료_한국심리'!$G349,"")</f>
        <v/>
      </c>
      <c r="X365">
        <f>IF(AND(ISNUMBER('자료_한국심리'!$J349),ISNUMBER('자료_한국심리'!$K349)),'자료_한국심리'!$J349,"")</f>
        <v/>
      </c>
      <c r="Y365">
        <f>IF(AND(ISNUMBER('자료_한국심리'!$M349),ISNUMBER('자료_한국심리'!$N349)),'자료_한국심리'!$M349,"")</f>
        <v/>
      </c>
    </row>
    <row r="366">
      <c r="A366" s="10">
        <f>IF(348&gt;$E$5,"",SMALL($U$19:$U$4018,$E$6+348))</f>
        <v/>
      </c>
      <c r="B366" s="29">
        <f>IF(A366="","",INDEX('자료_한국심리'!$B$3:$B$4002,MATCH(A366,$U$19:$U$4018,0)))</f>
        <v/>
      </c>
      <c r="C366" s="22">
        <f>IF(A366="","",B366/AVERAGE(B242:B366)-1)</f>
        <v/>
      </c>
      <c r="D366" s="29">
        <f>IF(A366="","",IFERROR(INDEX('자료_한국심리'!$E$3:$E$4002,MATCH(A366,$V$19:$V$4018,0)),D365))</f>
        <v/>
      </c>
      <c r="E366" s="30">
        <f>IF(A366="","",IFERROR(INDEX('자료_한국심리'!$H$3:$H$4002,MATCH(A366,$W$19:$W$4018,0)),E365))</f>
        <v/>
      </c>
      <c r="F366" s="30">
        <f>IF(A366="","",IFERROR(INDEX('자료_한국심리'!$K$3:$K$4002,MATCH(A366,$X$19:$X$4018,0)),F365))</f>
        <v/>
      </c>
      <c r="G366" s="30">
        <f>IF(AND(ISNUMBER(E366),ISNUMBER(F366)),ROUND(E366-F366,6),"")</f>
        <v/>
      </c>
      <c r="H366" s="25">
        <f>IF(A366="","",IFERROR(INDEX('자료_한국심리'!$N$3:$N$4002,MATCH(A366,$Y$19:$Y$4018,0)),H365))</f>
        <v/>
      </c>
      <c r="I366" s="31">
        <f>IF(AND(ISNUMBER(H366),ISNUMBER(H346)),IF(H346&gt;0,H366/H346-1,""),"")</f>
        <v/>
      </c>
      <c r="J366">
        <f>IF(A366="",0,IF(A366&gt;$B$5,1,0))</f>
        <v/>
      </c>
      <c r="K366" s="29">
        <f>IF(AND(J366=1,ISNUMBER(D366)),D366,"")</f>
        <v/>
      </c>
      <c r="L366" s="30">
        <f>IF(AND(J366=1,ISNUMBER(G366)),G366,"")</f>
        <v/>
      </c>
      <c r="M366" s="22">
        <f>IF(AND(J366=1,ISNUMBER(C366)),C366,"")</f>
        <v/>
      </c>
      <c r="N366" s="31">
        <f>IF(AND(J366=1,ISNUMBER(I366)),I366,"")</f>
        <v/>
      </c>
      <c r="O366" s="11">
        <f>IF(K366="","",100-IF($G$13=1,50,(_xlfn.RANK.AVG(K366,$K$19:$K$1518,1)-1)/($G$13-1)*100))</f>
        <v/>
      </c>
      <c r="P366" s="11">
        <f>IF(L366="","",100-IF($G$14=1,50,(_xlfn.RANK.AVG(L366,$L$19:$L$1518,1)-1)/($G$14-1)*100))</f>
        <v/>
      </c>
      <c r="Q366" s="11">
        <f>IF(M366="","",IF($G$15=1,50,(_xlfn.RANK.AVG(M366,$M$19:$M$1518,1)-1)/($G$15-1)*100))</f>
        <v/>
      </c>
      <c r="R366" s="11">
        <f>IF(N366="","",IF($G$16=1,50,(_xlfn.RANK.AVG(N366,$N$19:$N$1518,1)-1)/($G$16-1)*100))</f>
        <v/>
      </c>
      <c r="S366" s="11">
        <f>IF(COUNT(O366:R366)=4,ROUND(AVERAGE(O366:R366),6),"")</f>
        <v/>
      </c>
      <c r="U366">
        <f>IF(AND(ISNUMBER('자료_한국심리'!$A350),ISNUMBER('자료_한국심리'!$B350)),'자료_한국심리'!$A350,"")</f>
        <v/>
      </c>
      <c r="V366">
        <f>IF(AND(ISNUMBER('자료_한국심리'!$D350),ISNUMBER('자료_한국심리'!$E350)),'자료_한국심리'!$D350,"")</f>
        <v/>
      </c>
      <c r="W366">
        <f>IF(AND(ISNUMBER('자료_한국심리'!$G350),ISNUMBER('자료_한국심리'!$H350)),'자료_한국심리'!$G350,"")</f>
        <v/>
      </c>
      <c r="X366">
        <f>IF(AND(ISNUMBER('자료_한국심리'!$J350),ISNUMBER('자료_한국심리'!$K350)),'자료_한국심리'!$J350,"")</f>
        <v/>
      </c>
      <c r="Y366">
        <f>IF(AND(ISNUMBER('자료_한국심리'!$M350),ISNUMBER('자료_한국심리'!$N350)),'자료_한국심리'!$M350,"")</f>
        <v/>
      </c>
    </row>
    <row r="367">
      <c r="A367" s="10">
        <f>IF(349&gt;$E$5,"",SMALL($U$19:$U$4018,$E$6+349))</f>
        <v/>
      </c>
      <c r="B367" s="29">
        <f>IF(A367="","",INDEX('자료_한국심리'!$B$3:$B$4002,MATCH(A367,$U$19:$U$4018,0)))</f>
        <v/>
      </c>
      <c r="C367" s="22">
        <f>IF(A367="","",B367/AVERAGE(B243:B367)-1)</f>
        <v/>
      </c>
      <c r="D367" s="29">
        <f>IF(A367="","",IFERROR(INDEX('자료_한국심리'!$E$3:$E$4002,MATCH(A367,$V$19:$V$4018,0)),D366))</f>
        <v/>
      </c>
      <c r="E367" s="30">
        <f>IF(A367="","",IFERROR(INDEX('자료_한국심리'!$H$3:$H$4002,MATCH(A367,$W$19:$W$4018,0)),E366))</f>
        <v/>
      </c>
      <c r="F367" s="30">
        <f>IF(A367="","",IFERROR(INDEX('자료_한국심리'!$K$3:$K$4002,MATCH(A367,$X$19:$X$4018,0)),F366))</f>
        <v/>
      </c>
      <c r="G367" s="30">
        <f>IF(AND(ISNUMBER(E367),ISNUMBER(F367)),ROUND(E367-F367,6),"")</f>
        <v/>
      </c>
      <c r="H367" s="25">
        <f>IF(A367="","",IFERROR(INDEX('자료_한국심리'!$N$3:$N$4002,MATCH(A367,$Y$19:$Y$4018,0)),H366))</f>
        <v/>
      </c>
      <c r="I367" s="31">
        <f>IF(AND(ISNUMBER(H367),ISNUMBER(H347)),IF(H347&gt;0,H367/H347-1,""),"")</f>
        <v/>
      </c>
      <c r="J367">
        <f>IF(A367="",0,IF(A367&gt;$B$5,1,0))</f>
        <v/>
      </c>
      <c r="K367" s="29">
        <f>IF(AND(J367=1,ISNUMBER(D367)),D367,"")</f>
        <v/>
      </c>
      <c r="L367" s="30">
        <f>IF(AND(J367=1,ISNUMBER(G367)),G367,"")</f>
        <v/>
      </c>
      <c r="M367" s="22">
        <f>IF(AND(J367=1,ISNUMBER(C367)),C367,"")</f>
        <v/>
      </c>
      <c r="N367" s="31">
        <f>IF(AND(J367=1,ISNUMBER(I367)),I367,"")</f>
        <v/>
      </c>
      <c r="O367" s="11">
        <f>IF(K367="","",100-IF($G$13=1,50,(_xlfn.RANK.AVG(K367,$K$19:$K$1518,1)-1)/($G$13-1)*100))</f>
        <v/>
      </c>
      <c r="P367" s="11">
        <f>IF(L367="","",100-IF($G$14=1,50,(_xlfn.RANK.AVG(L367,$L$19:$L$1518,1)-1)/($G$14-1)*100))</f>
        <v/>
      </c>
      <c r="Q367" s="11">
        <f>IF(M367="","",IF($G$15=1,50,(_xlfn.RANK.AVG(M367,$M$19:$M$1518,1)-1)/($G$15-1)*100))</f>
        <v/>
      </c>
      <c r="R367" s="11">
        <f>IF(N367="","",IF($G$16=1,50,(_xlfn.RANK.AVG(N367,$N$19:$N$1518,1)-1)/($G$16-1)*100))</f>
        <v/>
      </c>
      <c r="S367" s="11">
        <f>IF(COUNT(O367:R367)=4,ROUND(AVERAGE(O367:R367),6),"")</f>
        <v/>
      </c>
      <c r="U367">
        <f>IF(AND(ISNUMBER('자료_한국심리'!$A351),ISNUMBER('자료_한국심리'!$B351)),'자료_한국심리'!$A351,"")</f>
        <v/>
      </c>
      <c r="V367">
        <f>IF(AND(ISNUMBER('자료_한국심리'!$D351),ISNUMBER('자료_한국심리'!$E351)),'자료_한국심리'!$D351,"")</f>
        <v/>
      </c>
      <c r="W367">
        <f>IF(AND(ISNUMBER('자료_한국심리'!$G351),ISNUMBER('자료_한국심리'!$H351)),'자료_한국심리'!$G351,"")</f>
        <v/>
      </c>
      <c r="X367">
        <f>IF(AND(ISNUMBER('자료_한국심리'!$J351),ISNUMBER('자료_한국심리'!$K351)),'자료_한국심리'!$J351,"")</f>
        <v/>
      </c>
      <c r="Y367">
        <f>IF(AND(ISNUMBER('자료_한국심리'!$M351),ISNUMBER('자료_한국심리'!$N351)),'자료_한국심리'!$M351,"")</f>
        <v/>
      </c>
    </row>
    <row r="368">
      <c r="A368" s="10">
        <f>IF(350&gt;$E$5,"",SMALL($U$19:$U$4018,$E$6+350))</f>
        <v/>
      </c>
      <c r="B368" s="29">
        <f>IF(A368="","",INDEX('자료_한국심리'!$B$3:$B$4002,MATCH(A368,$U$19:$U$4018,0)))</f>
        <v/>
      </c>
      <c r="C368" s="22">
        <f>IF(A368="","",B368/AVERAGE(B244:B368)-1)</f>
        <v/>
      </c>
      <c r="D368" s="29">
        <f>IF(A368="","",IFERROR(INDEX('자료_한국심리'!$E$3:$E$4002,MATCH(A368,$V$19:$V$4018,0)),D367))</f>
        <v/>
      </c>
      <c r="E368" s="30">
        <f>IF(A368="","",IFERROR(INDEX('자료_한국심리'!$H$3:$H$4002,MATCH(A368,$W$19:$W$4018,0)),E367))</f>
        <v/>
      </c>
      <c r="F368" s="30">
        <f>IF(A368="","",IFERROR(INDEX('자료_한국심리'!$K$3:$K$4002,MATCH(A368,$X$19:$X$4018,0)),F367))</f>
        <v/>
      </c>
      <c r="G368" s="30">
        <f>IF(AND(ISNUMBER(E368),ISNUMBER(F368)),ROUND(E368-F368,6),"")</f>
        <v/>
      </c>
      <c r="H368" s="25">
        <f>IF(A368="","",IFERROR(INDEX('자료_한국심리'!$N$3:$N$4002,MATCH(A368,$Y$19:$Y$4018,0)),H367))</f>
        <v/>
      </c>
      <c r="I368" s="31">
        <f>IF(AND(ISNUMBER(H368),ISNUMBER(H348)),IF(H348&gt;0,H368/H348-1,""),"")</f>
        <v/>
      </c>
      <c r="J368">
        <f>IF(A368="",0,IF(A368&gt;$B$5,1,0))</f>
        <v/>
      </c>
      <c r="K368" s="29">
        <f>IF(AND(J368=1,ISNUMBER(D368)),D368,"")</f>
        <v/>
      </c>
      <c r="L368" s="30">
        <f>IF(AND(J368=1,ISNUMBER(G368)),G368,"")</f>
        <v/>
      </c>
      <c r="M368" s="22">
        <f>IF(AND(J368=1,ISNUMBER(C368)),C368,"")</f>
        <v/>
      </c>
      <c r="N368" s="31">
        <f>IF(AND(J368=1,ISNUMBER(I368)),I368,"")</f>
        <v/>
      </c>
      <c r="O368" s="11">
        <f>IF(K368="","",100-IF($G$13=1,50,(_xlfn.RANK.AVG(K368,$K$19:$K$1518,1)-1)/($G$13-1)*100))</f>
        <v/>
      </c>
      <c r="P368" s="11">
        <f>IF(L368="","",100-IF($G$14=1,50,(_xlfn.RANK.AVG(L368,$L$19:$L$1518,1)-1)/($G$14-1)*100))</f>
        <v/>
      </c>
      <c r="Q368" s="11">
        <f>IF(M368="","",IF($G$15=1,50,(_xlfn.RANK.AVG(M368,$M$19:$M$1518,1)-1)/($G$15-1)*100))</f>
        <v/>
      </c>
      <c r="R368" s="11">
        <f>IF(N368="","",IF($G$16=1,50,(_xlfn.RANK.AVG(N368,$N$19:$N$1518,1)-1)/($G$16-1)*100))</f>
        <v/>
      </c>
      <c r="S368" s="11">
        <f>IF(COUNT(O368:R368)=4,ROUND(AVERAGE(O368:R368),6),"")</f>
        <v/>
      </c>
      <c r="U368">
        <f>IF(AND(ISNUMBER('자료_한국심리'!$A352),ISNUMBER('자료_한국심리'!$B352)),'자료_한국심리'!$A352,"")</f>
        <v/>
      </c>
      <c r="V368">
        <f>IF(AND(ISNUMBER('자료_한국심리'!$D352),ISNUMBER('자료_한국심리'!$E352)),'자료_한국심리'!$D352,"")</f>
        <v/>
      </c>
      <c r="W368">
        <f>IF(AND(ISNUMBER('자료_한국심리'!$G352),ISNUMBER('자료_한국심리'!$H352)),'자료_한국심리'!$G352,"")</f>
        <v/>
      </c>
      <c r="X368">
        <f>IF(AND(ISNUMBER('자료_한국심리'!$J352),ISNUMBER('자료_한국심리'!$K352)),'자료_한국심리'!$J352,"")</f>
        <v/>
      </c>
      <c r="Y368">
        <f>IF(AND(ISNUMBER('자료_한국심리'!$M352),ISNUMBER('자료_한국심리'!$N352)),'자료_한국심리'!$M352,"")</f>
        <v/>
      </c>
    </row>
    <row r="369">
      <c r="A369" s="10">
        <f>IF(351&gt;$E$5,"",SMALL($U$19:$U$4018,$E$6+351))</f>
        <v/>
      </c>
      <c r="B369" s="29">
        <f>IF(A369="","",INDEX('자료_한국심리'!$B$3:$B$4002,MATCH(A369,$U$19:$U$4018,0)))</f>
        <v/>
      </c>
      <c r="C369" s="22">
        <f>IF(A369="","",B369/AVERAGE(B245:B369)-1)</f>
        <v/>
      </c>
      <c r="D369" s="29">
        <f>IF(A369="","",IFERROR(INDEX('자료_한국심리'!$E$3:$E$4002,MATCH(A369,$V$19:$V$4018,0)),D368))</f>
        <v/>
      </c>
      <c r="E369" s="30">
        <f>IF(A369="","",IFERROR(INDEX('자료_한국심리'!$H$3:$H$4002,MATCH(A369,$W$19:$W$4018,0)),E368))</f>
        <v/>
      </c>
      <c r="F369" s="30">
        <f>IF(A369="","",IFERROR(INDEX('자료_한국심리'!$K$3:$K$4002,MATCH(A369,$X$19:$X$4018,0)),F368))</f>
        <v/>
      </c>
      <c r="G369" s="30">
        <f>IF(AND(ISNUMBER(E369),ISNUMBER(F369)),ROUND(E369-F369,6),"")</f>
        <v/>
      </c>
      <c r="H369" s="25">
        <f>IF(A369="","",IFERROR(INDEX('자료_한국심리'!$N$3:$N$4002,MATCH(A369,$Y$19:$Y$4018,0)),H368))</f>
        <v/>
      </c>
      <c r="I369" s="31">
        <f>IF(AND(ISNUMBER(H369),ISNUMBER(H349)),IF(H349&gt;0,H369/H349-1,""),"")</f>
        <v/>
      </c>
      <c r="J369">
        <f>IF(A369="",0,IF(A369&gt;$B$5,1,0))</f>
        <v/>
      </c>
      <c r="K369" s="29">
        <f>IF(AND(J369=1,ISNUMBER(D369)),D369,"")</f>
        <v/>
      </c>
      <c r="L369" s="30">
        <f>IF(AND(J369=1,ISNUMBER(G369)),G369,"")</f>
        <v/>
      </c>
      <c r="M369" s="22">
        <f>IF(AND(J369=1,ISNUMBER(C369)),C369,"")</f>
        <v/>
      </c>
      <c r="N369" s="31">
        <f>IF(AND(J369=1,ISNUMBER(I369)),I369,"")</f>
        <v/>
      </c>
      <c r="O369" s="11">
        <f>IF(K369="","",100-IF($G$13=1,50,(_xlfn.RANK.AVG(K369,$K$19:$K$1518,1)-1)/($G$13-1)*100))</f>
        <v/>
      </c>
      <c r="P369" s="11">
        <f>IF(L369="","",100-IF($G$14=1,50,(_xlfn.RANK.AVG(L369,$L$19:$L$1518,1)-1)/($G$14-1)*100))</f>
        <v/>
      </c>
      <c r="Q369" s="11">
        <f>IF(M369="","",IF($G$15=1,50,(_xlfn.RANK.AVG(M369,$M$19:$M$1518,1)-1)/($G$15-1)*100))</f>
        <v/>
      </c>
      <c r="R369" s="11">
        <f>IF(N369="","",IF($G$16=1,50,(_xlfn.RANK.AVG(N369,$N$19:$N$1518,1)-1)/($G$16-1)*100))</f>
        <v/>
      </c>
      <c r="S369" s="11">
        <f>IF(COUNT(O369:R369)=4,ROUND(AVERAGE(O369:R369),6),"")</f>
        <v/>
      </c>
      <c r="U369">
        <f>IF(AND(ISNUMBER('자료_한국심리'!$A353),ISNUMBER('자료_한국심리'!$B353)),'자료_한국심리'!$A353,"")</f>
        <v/>
      </c>
      <c r="V369">
        <f>IF(AND(ISNUMBER('자료_한국심리'!$D353),ISNUMBER('자료_한국심리'!$E353)),'자료_한국심리'!$D353,"")</f>
        <v/>
      </c>
      <c r="W369">
        <f>IF(AND(ISNUMBER('자료_한국심리'!$G353),ISNUMBER('자료_한국심리'!$H353)),'자료_한국심리'!$G353,"")</f>
        <v/>
      </c>
      <c r="X369">
        <f>IF(AND(ISNUMBER('자료_한국심리'!$J353),ISNUMBER('자료_한국심리'!$K353)),'자료_한국심리'!$J353,"")</f>
        <v/>
      </c>
      <c r="Y369">
        <f>IF(AND(ISNUMBER('자료_한국심리'!$M353),ISNUMBER('자료_한국심리'!$N353)),'자료_한국심리'!$M353,"")</f>
        <v/>
      </c>
    </row>
    <row r="370">
      <c r="A370" s="10">
        <f>IF(352&gt;$E$5,"",SMALL($U$19:$U$4018,$E$6+352))</f>
        <v/>
      </c>
      <c r="B370" s="29">
        <f>IF(A370="","",INDEX('자료_한국심리'!$B$3:$B$4002,MATCH(A370,$U$19:$U$4018,0)))</f>
        <v/>
      </c>
      <c r="C370" s="22">
        <f>IF(A370="","",B370/AVERAGE(B246:B370)-1)</f>
        <v/>
      </c>
      <c r="D370" s="29">
        <f>IF(A370="","",IFERROR(INDEX('자료_한국심리'!$E$3:$E$4002,MATCH(A370,$V$19:$V$4018,0)),D369))</f>
        <v/>
      </c>
      <c r="E370" s="30">
        <f>IF(A370="","",IFERROR(INDEX('자료_한국심리'!$H$3:$H$4002,MATCH(A370,$W$19:$W$4018,0)),E369))</f>
        <v/>
      </c>
      <c r="F370" s="30">
        <f>IF(A370="","",IFERROR(INDEX('자료_한국심리'!$K$3:$K$4002,MATCH(A370,$X$19:$X$4018,0)),F369))</f>
        <v/>
      </c>
      <c r="G370" s="30">
        <f>IF(AND(ISNUMBER(E370),ISNUMBER(F370)),ROUND(E370-F370,6),"")</f>
        <v/>
      </c>
      <c r="H370" s="25">
        <f>IF(A370="","",IFERROR(INDEX('자료_한국심리'!$N$3:$N$4002,MATCH(A370,$Y$19:$Y$4018,0)),H369))</f>
        <v/>
      </c>
      <c r="I370" s="31">
        <f>IF(AND(ISNUMBER(H370),ISNUMBER(H350)),IF(H350&gt;0,H370/H350-1,""),"")</f>
        <v/>
      </c>
      <c r="J370">
        <f>IF(A370="",0,IF(A370&gt;$B$5,1,0))</f>
        <v/>
      </c>
      <c r="K370" s="29">
        <f>IF(AND(J370=1,ISNUMBER(D370)),D370,"")</f>
        <v/>
      </c>
      <c r="L370" s="30">
        <f>IF(AND(J370=1,ISNUMBER(G370)),G370,"")</f>
        <v/>
      </c>
      <c r="M370" s="22">
        <f>IF(AND(J370=1,ISNUMBER(C370)),C370,"")</f>
        <v/>
      </c>
      <c r="N370" s="31">
        <f>IF(AND(J370=1,ISNUMBER(I370)),I370,"")</f>
        <v/>
      </c>
      <c r="O370" s="11">
        <f>IF(K370="","",100-IF($G$13=1,50,(_xlfn.RANK.AVG(K370,$K$19:$K$1518,1)-1)/($G$13-1)*100))</f>
        <v/>
      </c>
      <c r="P370" s="11">
        <f>IF(L370="","",100-IF($G$14=1,50,(_xlfn.RANK.AVG(L370,$L$19:$L$1518,1)-1)/($G$14-1)*100))</f>
        <v/>
      </c>
      <c r="Q370" s="11">
        <f>IF(M370="","",IF($G$15=1,50,(_xlfn.RANK.AVG(M370,$M$19:$M$1518,1)-1)/($G$15-1)*100))</f>
        <v/>
      </c>
      <c r="R370" s="11">
        <f>IF(N370="","",IF($G$16=1,50,(_xlfn.RANK.AVG(N370,$N$19:$N$1518,1)-1)/($G$16-1)*100))</f>
        <v/>
      </c>
      <c r="S370" s="11">
        <f>IF(COUNT(O370:R370)=4,ROUND(AVERAGE(O370:R370),6),"")</f>
        <v/>
      </c>
      <c r="U370">
        <f>IF(AND(ISNUMBER('자료_한국심리'!$A354),ISNUMBER('자료_한국심리'!$B354)),'자료_한국심리'!$A354,"")</f>
        <v/>
      </c>
      <c r="V370">
        <f>IF(AND(ISNUMBER('자료_한국심리'!$D354),ISNUMBER('자료_한국심리'!$E354)),'자료_한국심리'!$D354,"")</f>
        <v/>
      </c>
      <c r="W370">
        <f>IF(AND(ISNUMBER('자료_한국심리'!$G354),ISNUMBER('자료_한국심리'!$H354)),'자료_한국심리'!$G354,"")</f>
        <v/>
      </c>
      <c r="X370">
        <f>IF(AND(ISNUMBER('자료_한국심리'!$J354),ISNUMBER('자료_한국심리'!$K354)),'자료_한국심리'!$J354,"")</f>
        <v/>
      </c>
      <c r="Y370">
        <f>IF(AND(ISNUMBER('자료_한국심리'!$M354),ISNUMBER('자료_한국심리'!$N354)),'자료_한국심리'!$M354,"")</f>
        <v/>
      </c>
    </row>
    <row r="371">
      <c r="A371" s="10">
        <f>IF(353&gt;$E$5,"",SMALL($U$19:$U$4018,$E$6+353))</f>
        <v/>
      </c>
      <c r="B371" s="29">
        <f>IF(A371="","",INDEX('자료_한국심리'!$B$3:$B$4002,MATCH(A371,$U$19:$U$4018,0)))</f>
        <v/>
      </c>
      <c r="C371" s="22">
        <f>IF(A371="","",B371/AVERAGE(B247:B371)-1)</f>
        <v/>
      </c>
      <c r="D371" s="29">
        <f>IF(A371="","",IFERROR(INDEX('자료_한국심리'!$E$3:$E$4002,MATCH(A371,$V$19:$V$4018,0)),D370))</f>
        <v/>
      </c>
      <c r="E371" s="30">
        <f>IF(A371="","",IFERROR(INDEX('자료_한국심리'!$H$3:$H$4002,MATCH(A371,$W$19:$W$4018,0)),E370))</f>
        <v/>
      </c>
      <c r="F371" s="30">
        <f>IF(A371="","",IFERROR(INDEX('자료_한국심리'!$K$3:$K$4002,MATCH(A371,$X$19:$X$4018,0)),F370))</f>
        <v/>
      </c>
      <c r="G371" s="30">
        <f>IF(AND(ISNUMBER(E371),ISNUMBER(F371)),ROUND(E371-F371,6),"")</f>
        <v/>
      </c>
      <c r="H371" s="25">
        <f>IF(A371="","",IFERROR(INDEX('자료_한국심리'!$N$3:$N$4002,MATCH(A371,$Y$19:$Y$4018,0)),H370))</f>
        <v/>
      </c>
      <c r="I371" s="31">
        <f>IF(AND(ISNUMBER(H371),ISNUMBER(H351)),IF(H351&gt;0,H371/H351-1,""),"")</f>
        <v/>
      </c>
      <c r="J371">
        <f>IF(A371="",0,IF(A371&gt;$B$5,1,0))</f>
        <v/>
      </c>
      <c r="K371" s="29">
        <f>IF(AND(J371=1,ISNUMBER(D371)),D371,"")</f>
        <v/>
      </c>
      <c r="L371" s="30">
        <f>IF(AND(J371=1,ISNUMBER(G371)),G371,"")</f>
        <v/>
      </c>
      <c r="M371" s="22">
        <f>IF(AND(J371=1,ISNUMBER(C371)),C371,"")</f>
        <v/>
      </c>
      <c r="N371" s="31">
        <f>IF(AND(J371=1,ISNUMBER(I371)),I371,"")</f>
        <v/>
      </c>
      <c r="O371" s="11">
        <f>IF(K371="","",100-IF($G$13=1,50,(_xlfn.RANK.AVG(K371,$K$19:$K$1518,1)-1)/($G$13-1)*100))</f>
        <v/>
      </c>
      <c r="P371" s="11">
        <f>IF(L371="","",100-IF($G$14=1,50,(_xlfn.RANK.AVG(L371,$L$19:$L$1518,1)-1)/($G$14-1)*100))</f>
        <v/>
      </c>
      <c r="Q371" s="11">
        <f>IF(M371="","",IF($G$15=1,50,(_xlfn.RANK.AVG(M371,$M$19:$M$1518,1)-1)/($G$15-1)*100))</f>
        <v/>
      </c>
      <c r="R371" s="11">
        <f>IF(N371="","",IF($G$16=1,50,(_xlfn.RANK.AVG(N371,$N$19:$N$1518,1)-1)/($G$16-1)*100))</f>
        <v/>
      </c>
      <c r="S371" s="11">
        <f>IF(COUNT(O371:R371)=4,ROUND(AVERAGE(O371:R371),6),"")</f>
        <v/>
      </c>
      <c r="U371">
        <f>IF(AND(ISNUMBER('자료_한국심리'!$A355),ISNUMBER('자료_한국심리'!$B355)),'자료_한국심리'!$A355,"")</f>
        <v/>
      </c>
      <c r="V371">
        <f>IF(AND(ISNUMBER('자료_한국심리'!$D355),ISNUMBER('자료_한국심리'!$E355)),'자료_한국심리'!$D355,"")</f>
        <v/>
      </c>
      <c r="W371">
        <f>IF(AND(ISNUMBER('자료_한국심리'!$G355),ISNUMBER('자료_한국심리'!$H355)),'자료_한국심리'!$G355,"")</f>
        <v/>
      </c>
      <c r="X371">
        <f>IF(AND(ISNUMBER('자료_한국심리'!$J355),ISNUMBER('자료_한국심리'!$K355)),'자료_한국심리'!$J355,"")</f>
        <v/>
      </c>
      <c r="Y371">
        <f>IF(AND(ISNUMBER('자료_한국심리'!$M355),ISNUMBER('자료_한국심리'!$N355)),'자료_한국심리'!$M355,"")</f>
        <v/>
      </c>
    </row>
    <row r="372">
      <c r="A372" s="10">
        <f>IF(354&gt;$E$5,"",SMALL($U$19:$U$4018,$E$6+354))</f>
        <v/>
      </c>
      <c r="B372" s="29">
        <f>IF(A372="","",INDEX('자료_한국심리'!$B$3:$B$4002,MATCH(A372,$U$19:$U$4018,0)))</f>
        <v/>
      </c>
      <c r="C372" s="22">
        <f>IF(A372="","",B372/AVERAGE(B248:B372)-1)</f>
        <v/>
      </c>
      <c r="D372" s="29">
        <f>IF(A372="","",IFERROR(INDEX('자료_한국심리'!$E$3:$E$4002,MATCH(A372,$V$19:$V$4018,0)),D371))</f>
        <v/>
      </c>
      <c r="E372" s="30">
        <f>IF(A372="","",IFERROR(INDEX('자료_한국심리'!$H$3:$H$4002,MATCH(A372,$W$19:$W$4018,0)),E371))</f>
        <v/>
      </c>
      <c r="F372" s="30">
        <f>IF(A372="","",IFERROR(INDEX('자료_한국심리'!$K$3:$K$4002,MATCH(A372,$X$19:$X$4018,0)),F371))</f>
        <v/>
      </c>
      <c r="G372" s="30">
        <f>IF(AND(ISNUMBER(E372),ISNUMBER(F372)),ROUND(E372-F372,6),"")</f>
        <v/>
      </c>
      <c r="H372" s="25">
        <f>IF(A372="","",IFERROR(INDEX('자료_한국심리'!$N$3:$N$4002,MATCH(A372,$Y$19:$Y$4018,0)),H371))</f>
        <v/>
      </c>
      <c r="I372" s="31">
        <f>IF(AND(ISNUMBER(H372),ISNUMBER(H352)),IF(H352&gt;0,H372/H352-1,""),"")</f>
        <v/>
      </c>
      <c r="J372">
        <f>IF(A372="",0,IF(A372&gt;$B$5,1,0))</f>
        <v/>
      </c>
      <c r="K372" s="29">
        <f>IF(AND(J372=1,ISNUMBER(D372)),D372,"")</f>
        <v/>
      </c>
      <c r="L372" s="30">
        <f>IF(AND(J372=1,ISNUMBER(G372)),G372,"")</f>
        <v/>
      </c>
      <c r="M372" s="22">
        <f>IF(AND(J372=1,ISNUMBER(C372)),C372,"")</f>
        <v/>
      </c>
      <c r="N372" s="31">
        <f>IF(AND(J372=1,ISNUMBER(I372)),I372,"")</f>
        <v/>
      </c>
      <c r="O372" s="11">
        <f>IF(K372="","",100-IF($G$13=1,50,(_xlfn.RANK.AVG(K372,$K$19:$K$1518,1)-1)/($G$13-1)*100))</f>
        <v/>
      </c>
      <c r="P372" s="11">
        <f>IF(L372="","",100-IF($G$14=1,50,(_xlfn.RANK.AVG(L372,$L$19:$L$1518,1)-1)/($G$14-1)*100))</f>
        <v/>
      </c>
      <c r="Q372" s="11">
        <f>IF(M372="","",IF($G$15=1,50,(_xlfn.RANK.AVG(M372,$M$19:$M$1518,1)-1)/($G$15-1)*100))</f>
        <v/>
      </c>
      <c r="R372" s="11">
        <f>IF(N372="","",IF($G$16=1,50,(_xlfn.RANK.AVG(N372,$N$19:$N$1518,1)-1)/($G$16-1)*100))</f>
        <v/>
      </c>
      <c r="S372" s="11">
        <f>IF(COUNT(O372:R372)=4,ROUND(AVERAGE(O372:R372),6),"")</f>
        <v/>
      </c>
      <c r="U372">
        <f>IF(AND(ISNUMBER('자료_한국심리'!$A356),ISNUMBER('자료_한국심리'!$B356)),'자료_한국심리'!$A356,"")</f>
        <v/>
      </c>
      <c r="V372">
        <f>IF(AND(ISNUMBER('자료_한국심리'!$D356),ISNUMBER('자료_한국심리'!$E356)),'자료_한국심리'!$D356,"")</f>
        <v/>
      </c>
      <c r="W372">
        <f>IF(AND(ISNUMBER('자료_한국심리'!$G356),ISNUMBER('자료_한국심리'!$H356)),'자료_한국심리'!$G356,"")</f>
        <v/>
      </c>
      <c r="X372">
        <f>IF(AND(ISNUMBER('자료_한국심리'!$J356),ISNUMBER('자료_한국심리'!$K356)),'자료_한국심리'!$J356,"")</f>
        <v/>
      </c>
      <c r="Y372">
        <f>IF(AND(ISNUMBER('자료_한국심리'!$M356),ISNUMBER('자료_한국심리'!$N356)),'자료_한국심리'!$M356,"")</f>
        <v/>
      </c>
    </row>
    <row r="373">
      <c r="A373" s="10">
        <f>IF(355&gt;$E$5,"",SMALL($U$19:$U$4018,$E$6+355))</f>
        <v/>
      </c>
      <c r="B373" s="29">
        <f>IF(A373="","",INDEX('자료_한국심리'!$B$3:$B$4002,MATCH(A373,$U$19:$U$4018,0)))</f>
        <v/>
      </c>
      <c r="C373" s="22">
        <f>IF(A373="","",B373/AVERAGE(B249:B373)-1)</f>
        <v/>
      </c>
      <c r="D373" s="29">
        <f>IF(A373="","",IFERROR(INDEX('자료_한국심리'!$E$3:$E$4002,MATCH(A373,$V$19:$V$4018,0)),D372))</f>
        <v/>
      </c>
      <c r="E373" s="30">
        <f>IF(A373="","",IFERROR(INDEX('자료_한국심리'!$H$3:$H$4002,MATCH(A373,$W$19:$W$4018,0)),E372))</f>
        <v/>
      </c>
      <c r="F373" s="30">
        <f>IF(A373="","",IFERROR(INDEX('자료_한국심리'!$K$3:$K$4002,MATCH(A373,$X$19:$X$4018,0)),F372))</f>
        <v/>
      </c>
      <c r="G373" s="30">
        <f>IF(AND(ISNUMBER(E373),ISNUMBER(F373)),ROUND(E373-F373,6),"")</f>
        <v/>
      </c>
      <c r="H373" s="25">
        <f>IF(A373="","",IFERROR(INDEX('자료_한국심리'!$N$3:$N$4002,MATCH(A373,$Y$19:$Y$4018,0)),H372))</f>
        <v/>
      </c>
      <c r="I373" s="31">
        <f>IF(AND(ISNUMBER(H373),ISNUMBER(H353)),IF(H353&gt;0,H373/H353-1,""),"")</f>
        <v/>
      </c>
      <c r="J373">
        <f>IF(A373="",0,IF(A373&gt;$B$5,1,0))</f>
        <v/>
      </c>
      <c r="K373" s="29">
        <f>IF(AND(J373=1,ISNUMBER(D373)),D373,"")</f>
        <v/>
      </c>
      <c r="L373" s="30">
        <f>IF(AND(J373=1,ISNUMBER(G373)),G373,"")</f>
        <v/>
      </c>
      <c r="M373" s="22">
        <f>IF(AND(J373=1,ISNUMBER(C373)),C373,"")</f>
        <v/>
      </c>
      <c r="N373" s="31">
        <f>IF(AND(J373=1,ISNUMBER(I373)),I373,"")</f>
        <v/>
      </c>
      <c r="O373" s="11">
        <f>IF(K373="","",100-IF($G$13=1,50,(_xlfn.RANK.AVG(K373,$K$19:$K$1518,1)-1)/($G$13-1)*100))</f>
        <v/>
      </c>
      <c r="P373" s="11">
        <f>IF(L373="","",100-IF($G$14=1,50,(_xlfn.RANK.AVG(L373,$L$19:$L$1518,1)-1)/($G$14-1)*100))</f>
        <v/>
      </c>
      <c r="Q373" s="11">
        <f>IF(M373="","",IF($G$15=1,50,(_xlfn.RANK.AVG(M373,$M$19:$M$1518,1)-1)/($G$15-1)*100))</f>
        <v/>
      </c>
      <c r="R373" s="11">
        <f>IF(N373="","",IF($G$16=1,50,(_xlfn.RANK.AVG(N373,$N$19:$N$1518,1)-1)/($G$16-1)*100))</f>
        <v/>
      </c>
      <c r="S373" s="11">
        <f>IF(COUNT(O373:R373)=4,ROUND(AVERAGE(O373:R373),6),"")</f>
        <v/>
      </c>
      <c r="U373">
        <f>IF(AND(ISNUMBER('자료_한국심리'!$A357),ISNUMBER('자료_한국심리'!$B357)),'자료_한국심리'!$A357,"")</f>
        <v/>
      </c>
      <c r="V373">
        <f>IF(AND(ISNUMBER('자료_한국심리'!$D357),ISNUMBER('자료_한국심리'!$E357)),'자료_한국심리'!$D357,"")</f>
        <v/>
      </c>
      <c r="W373">
        <f>IF(AND(ISNUMBER('자료_한국심리'!$G357),ISNUMBER('자료_한국심리'!$H357)),'자료_한국심리'!$G357,"")</f>
        <v/>
      </c>
      <c r="X373">
        <f>IF(AND(ISNUMBER('자료_한국심리'!$J357),ISNUMBER('자료_한국심리'!$K357)),'자료_한국심리'!$J357,"")</f>
        <v/>
      </c>
      <c r="Y373">
        <f>IF(AND(ISNUMBER('자료_한국심리'!$M357),ISNUMBER('자료_한국심리'!$N357)),'자료_한국심리'!$M357,"")</f>
        <v/>
      </c>
    </row>
    <row r="374">
      <c r="A374" s="10">
        <f>IF(356&gt;$E$5,"",SMALL($U$19:$U$4018,$E$6+356))</f>
        <v/>
      </c>
      <c r="B374" s="29">
        <f>IF(A374="","",INDEX('자료_한국심리'!$B$3:$B$4002,MATCH(A374,$U$19:$U$4018,0)))</f>
        <v/>
      </c>
      <c r="C374" s="22">
        <f>IF(A374="","",B374/AVERAGE(B250:B374)-1)</f>
        <v/>
      </c>
      <c r="D374" s="29">
        <f>IF(A374="","",IFERROR(INDEX('자료_한국심리'!$E$3:$E$4002,MATCH(A374,$V$19:$V$4018,0)),D373))</f>
        <v/>
      </c>
      <c r="E374" s="30">
        <f>IF(A374="","",IFERROR(INDEX('자료_한국심리'!$H$3:$H$4002,MATCH(A374,$W$19:$W$4018,0)),E373))</f>
        <v/>
      </c>
      <c r="F374" s="30">
        <f>IF(A374="","",IFERROR(INDEX('자료_한국심리'!$K$3:$K$4002,MATCH(A374,$X$19:$X$4018,0)),F373))</f>
        <v/>
      </c>
      <c r="G374" s="30">
        <f>IF(AND(ISNUMBER(E374),ISNUMBER(F374)),ROUND(E374-F374,6),"")</f>
        <v/>
      </c>
      <c r="H374" s="25">
        <f>IF(A374="","",IFERROR(INDEX('자료_한국심리'!$N$3:$N$4002,MATCH(A374,$Y$19:$Y$4018,0)),H373))</f>
        <v/>
      </c>
      <c r="I374" s="31">
        <f>IF(AND(ISNUMBER(H374),ISNUMBER(H354)),IF(H354&gt;0,H374/H354-1,""),"")</f>
        <v/>
      </c>
      <c r="J374">
        <f>IF(A374="",0,IF(A374&gt;$B$5,1,0))</f>
        <v/>
      </c>
      <c r="K374" s="29">
        <f>IF(AND(J374=1,ISNUMBER(D374)),D374,"")</f>
        <v/>
      </c>
      <c r="L374" s="30">
        <f>IF(AND(J374=1,ISNUMBER(G374)),G374,"")</f>
        <v/>
      </c>
      <c r="M374" s="22">
        <f>IF(AND(J374=1,ISNUMBER(C374)),C374,"")</f>
        <v/>
      </c>
      <c r="N374" s="31">
        <f>IF(AND(J374=1,ISNUMBER(I374)),I374,"")</f>
        <v/>
      </c>
      <c r="O374" s="11">
        <f>IF(K374="","",100-IF($G$13=1,50,(_xlfn.RANK.AVG(K374,$K$19:$K$1518,1)-1)/($G$13-1)*100))</f>
        <v/>
      </c>
      <c r="P374" s="11">
        <f>IF(L374="","",100-IF($G$14=1,50,(_xlfn.RANK.AVG(L374,$L$19:$L$1518,1)-1)/($G$14-1)*100))</f>
        <v/>
      </c>
      <c r="Q374" s="11">
        <f>IF(M374="","",IF($G$15=1,50,(_xlfn.RANK.AVG(M374,$M$19:$M$1518,1)-1)/($G$15-1)*100))</f>
        <v/>
      </c>
      <c r="R374" s="11">
        <f>IF(N374="","",IF($G$16=1,50,(_xlfn.RANK.AVG(N374,$N$19:$N$1518,1)-1)/($G$16-1)*100))</f>
        <v/>
      </c>
      <c r="S374" s="11">
        <f>IF(COUNT(O374:R374)=4,ROUND(AVERAGE(O374:R374),6),"")</f>
        <v/>
      </c>
      <c r="U374">
        <f>IF(AND(ISNUMBER('자료_한국심리'!$A358),ISNUMBER('자료_한국심리'!$B358)),'자료_한국심리'!$A358,"")</f>
        <v/>
      </c>
      <c r="V374">
        <f>IF(AND(ISNUMBER('자료_한국심리'!$D358),ISNUMBER('자료_한국심리'!$E358)),'자료_한국심리'!$D358,"")</f>
        <v/>
      </c>
      <c r="W374">
        <f>IF(AND(ISNUMBER('자료_한국심리'!$G358),ISNUMBER('자료_한국심리'!$H358)),'자료_한국심리'!$G358,"")</f>
        <v/>
      </c>
      <c r="X374">
        <f>IF(AND(ISNUMBER('자료_한국심리'!$J358),ISNUMBER('자료_한국심리'!$K358)),'자료_한국심리'!$J358,"")</f>
        <v/>
      </c>
      <c r="Y374">
        <f>IF(AND(ISNUMBER('자료_한국심리'!$M358),ISNUMBER('자료_한국심리'!$N358)),'자료_한국심리'!$M358,"")</f>
        <v/>
      </c>
    </row>
    <row r="375">
      <c r="A375" s="10">
        <f>IF(357&gt;$E$5,"",SMALL($U$19:$U$4018,$E$6+357))</f>
        <v/>
      </c>
      <c r="B375" s="29">
        <f>IF(A375="","",INDEX('자료_한국심리'!$B$3:$B$4002,MATCH(A375,$U$19:$U$4018,0)))</f>
        <v/>
      </c>
      <c r="C375" s="22">
        <f>IF(A375="","",B375/AVERAGE(B251:B375)-1)</f>
        <v/>
      </c>
      <c r="D375" s="29">
        <f>IF(A375="","",IFERROR(INDEX('자료_한국심리'!$E$3:$E$4002,MATCH(A375,$V$19:$V$4018,0)),D374))</f>
        <v/>
      </c>
      <c r="E375" s="30">
        <f>IF(A375="","",IFERROR(INDEX('자료_한국심리'!$H$3:$H$4002,MATCH(A375,$W$19:$W$4018,0)),E374))</f>
        <v/>
      </c>
      <c r="F375" s="30">
        <f>IF(A375="","",IFERROR(INDEX('자료_한국심리'!$K$3:$K$4002,MATCH(A375,$X$19:$X$4018,0)),F374))</f>
        <v/>
      </c>
      <c r="G375" s="30">
        <f>IF(AND(ISNUMBER(E375),ISNUMBER(F375)),ROUND(E375-F375,6),"")</f>
        <v/>
      </c>
      <c r="H375" s="25">
        <f>IF(A375="","",IFERROR(INDEX('자료_한국심리'!$N$3:$N$4002,MATCH(A375,$Y$19:$Y$4018,0)),H374))</f>
        <v/>
      </c>
      <c r="I375" s="31">
        <f>IF(AND(ISNUMBER(H375),ISNUMBER(H355)),IF(H355&gt;0,H375/H355-1,""),"")</f>
        <v/>
      </c>
      <c r="J375">
        <f>IF(A375="",0,IF(A375&gt;$B$5,1,0))</f>
        <v/>
      </c>
      <c r="K375" s="29">
        <f>IF(AND(J375=1,ISNUMBER(D375)),D375,"")</f>
        <v/>
      </c>
      <c r="L375" s="30">
        <f>IF(AND(J375=1,ISNUMBER(G375)),G375,"")</f>
        <v/>
      </c>
      <c r="M375" s="22">
        <f>IF(AND(J375=1,ISNUMBER(C375)),C375,"")</f>
        <v/>
      </c>
      <c r="N375" s="31">
        <f>IF(AND(J375=1,ISNUMBER(I375)),I375,"")</f>
        <v/>
      </c>
      <c r="O375" s="11">
        <f>IF(K375="","",100-IF($G$13=1,50,(_xlfn.RANK.AVG(K375,$K$19:$K$1518,1)-1)/($G$13-1)*100))</f>
        <v/>
      </c>
      <c r="P375" s="11">
        <f>IF(L375="","",100-IF($G$14=1,50,(_xlfn.RANK.AVG(L375,$L$19:$L$1518,1)-1)/($G$14-1)*100))</f>
        <v/>
      </c>
      <c r="Q375" s="11">
        <f>IF(M375="","",IF($G$15=1,50,(_xlfn.RANK.AVG(M375,$M$19:$M$1518,1)-1)/($G$15-1)*100))</f>
        <v/>
      </c>
      <c r="R375" s="11">
        <f>IF(N375="","",IF($G$16=1,50,(_xlfn.RANK.AVG(N375,$N$19:$N$1518,1)-1)/($G$16-1)*100))</f>
        <v/>
      </c>
      <c r="S375" s="11">
        <f>IF(COUNT(O375:R375)=4,ROUND(AVERAGE(O375:R375),6),"")</f>
        <v/>
      </c>
      <c r="U375">
        <f>IF(AND(ISNUMBER('자료_한국심리'!$A359),ISNUMBER('자료_한국심리'!$B359)),'자료_한국심리'!$A359,"")</f>
        <v/>
      </c>
      <c r="V375">
        <f>IF(AND(ISNUMBER('자료_한국심리'!$D359),ISNUMBER('자료_한국심리'!$E359)),'자료_한국심리'!$D359,"")</f>
        <v/>
      </c>
      <c r="W375">
        <f>IF(AND(ISNUMBER('자료_한국심리'!$G359),ISNUMBER('자료_한국심리'!$H359)),'자료_한국심리'!$G359,"")</f>
        <v/>
      </c>
      <c r="X375">
        <f>IF(AND(ISNUMBER('자료_한국심리'!$J359),ISNUMBER('자료_한국심리'!$K359)),'자료_한국심리'!$J359,"")</f>
        <v/>
      </c>
      <c r="Y375">
        <f>IF(AND(ISNUMBER('자료_한국심리'!$M359),ISNUMBER('자료_한국심리'!$N359)),'자료_한국심리'!$M359,"")</f>
        <v/>
      </c>
    </row>
    <row r="376">
      <c r="A376" s="10">
        <f>IF(358&gt;$E$5,"",SMALL($U$19:$U$4018,$E$6+358))</f>
        <v/>
      </c>
      <c r="B376" s="29">
        <f>IF(A376="","",INDEX('자료_한국심리'!$B$3:$B$4002,MATCH(A376,$U$19:$U$4018,0)))</f>
        <v/>
      </c>
      <c r="C376" s="22">
        <f>IF(A376="","",B376/AVERAGE(B252:B376)-1)</f>
        <v/>
      </c>
      <c r="D376" s="29">
        <f>IF(A376="","",IFERROR(INDEX('자료_한국심리'!$E$3:$E$4002,MATCH(A376,$V$19:$V$4018,0)),D375))</f>
        <v/>
      </c>
      <c r="E376" s="30">
        <f>IF(A376="","",IFERROR(INDEX('자료_한국심리'!$H$3:$H$4002,MATCH(A376,$W$19:$W$4018,0)),E375))</f>
        <v/>
      </c>
      <c r="F376" s="30">
        <f>IF(A376="","",IFERROR(INDEX('자료_한국심리'!$K$3:$K$4002,MATCH(A376,$X$19:$X$4018,0)),F375))</f>
        <v/>
      </c>
      <c r="G376" s="30">
        <f>IF(AND(ISNUMBER(E376),ISNUMBER(F376)),ROUND(E376-F376,6),"")</f>
        <v/>
      </c>
      <c r="H376" s="25">
        <f>IF(A376="","",IFERROR(INDEX('자료_한국심리'!$N$3:$N$4002,MATCH(A376,$Y$19:$Y$4018,0)),H375))</f>
        <v/>
      </c>
      <c r="I376" s="31">
        <f>IF(AND(ISNUMBER(H376),ISNUMBER(H356)),IF(H356&gt;0,H376/H356-1,""),"")</f>
        <v/>
      </c>
      <c r="J376">
        <f>IF(A376="",0,IF(A376&gt;$B$5,1,0))</f>
        <v/>
      </c>
      <c r="K376" s="29">
        <f>IF(AND(J376=1,ISNUMBER(D376)),D376,"")</f>
        <v/>
      </c>
      <c r="L376" s="30">
        <f>IF(AND(J376=1,ISNUMBER(G376)),G376,"")</f>
        <v/>
      </c>
      <c r="M376" s="22">
        <f>IF(AND(J376=1,ISNUMBER(C376)),C376,"")</f>
        <v/>
      </c>
      <c r="N376" s="31">
        <f>IF(AND(J376=1,ISNUMBER(I376)),I376,"")</f>
        <v/>
      </c>
      <c r="O376" s="11">
        <f>IF(K376="","",100-IF($G$13=1,50,(_xlfn.RANK.AVG(K376,$K$19:$K$1518,1)-1)/($G$13-1)*100))</f>
        <v/>
      </c>
      <c r="P376" s="11">
        <f>IF(L376="","",100-IF($G$14=1,50,(_xlfn.RANK.AVG(L376,$L$19:$L$1518,1)-1)/($G$14-1)*100))</f>
        <v/>
      </c>
      <c r="Q376" s="11">
        <f>IF(M376="","",IF($G$15=1,50,(_xlfn.RANK.AVG(M376,$M$19:$M$1518,1)-1)/($G$15-1)*100))</f>
        <v/>
      </c>
      <c r="R376" s="11">
        <f>IF(N376="","",IF($G$16=1,50,(_xlfn.RANK.AVG(N376,$N$19:$N$1518,1)-1)/($G$16-1)*100))</f>
        <v/>
      </c>
      <c r="S376" s="11">
        <f>IF(COUNT(O376:R376)=4,ROUND(AVERAGE(O376:R376),6),"")</f>
        <v/>
      </c>
      <c r="U376">
        <f>IF(AND(ISNUMBER('자료_한국심리'!$A360),ISNUMBER('자료_한국심리'!$B360)),'자료_한국심리'!$A360,"")</f>
        <v/>
      </c>
      <c r="V376">
        <f>IF(AND(ISNUMBER('자료_한국심리'!$D360),ISNUMBER('자료_한국심리'!$E360)),'자료_한국심리'!$D360,"")</f>
        <v/>
      </c>
      <c r="W376">
        <f>IF(AND(ISNUMBER('자료_한국심리'!$G360),ISNUMBER('자료_한국심리'!$H360)),'자료_한국심리'!$G360,"")</f>
        <v/>
      </c>
      <c r="X376">
        <f>IF(AND(ISNUMBER('자료_한국심리'!$J360),ISNUMBER('자료_한국심리'!$K360)),'자료_한국심리'!$J360,"")</f>
        <v/>
      </c>
      <c r="Y376">
        <f>IF(AND(ISNUMBER('자료_한국심리'!$M360),ISNUMBER('자료_한국심리'!$N360)),'자료_한국심리'!$M360,"")</f>
        <v/>
      </c>
    </row>
    <row r="377">
      <c r="A377" s="10">
        <f>IF(359&gt;$E$5,"",SMALL($U$19:$U$4018,$E$6+359))</f>
        <v/>
      </c>
      <c r="B377" s="29">
        <f>IF(A377="","",INDEX('자료_한국심리'!$B$3:$B$4002,MATCH(A377,$U$19:$U$4018,0)))</f>
        <v/>
      </c>
      <c r="C377" s="22">
        <f>IF(A377="","",B377/AVERAGE(B253:B377)-1)</f>
        <v/>
      </c>
      <c r="D377" s="29">
        <f>IF(A377="","",IFERROR(INDEX('자료_한국심리'!$E$3:$E$4002,MATCH(A377,$V$19:$V$4018,0)),D376))</f>
        <v/>
      </c>
      <c r="E377" s="30">
        <f>IF(A377="","",IFERROR(INDEX('자료_한국심리'!$H$3:$H$4002,MATCH(A377,$W$19:$W$4018,0)),E376))</f>
        <v/>
      </c>
      <c r="F377" s="30">
        <f>IF(A377="","",IFERROR(INDEX('자료_한국심리'!$K$3:$K$4002,MATCH(A377,$X$19:$X$4018,0)),F376))</f>
        <v/>
      </c>
      <c r="G377" s="30">
        <f>IF(AND(ISNUMBER(E377),ISNUMBER(F377)),ROUND(E377-F377,6),"")</f>
        <v/>
      </c>
      <c r="H377" s="25">
        <f>IF(A377="","",IFERROR(INDEX('자료_한국심리'!$N$3:$N$4002,MATCH(A377,$Y$19:$Y$4018,0)),H376))</f>
        <v/>
      </c>
      <c r="I377" s="31">
        <f>IF(AND(ISNUMBER(H377),ISNUMBER(H357)),IF(H357&gt;0,H377/H357-1,""),"")</f>
        <v/>
      </c>
      <c r="J377">
        <f>IF(A377="",0,IF(A377&gt;$B$5,1,0))</f>
        <v/>
      </c>
      <c r="K377" s="29">
        <f>IF(AND(J377=1,ISNUMBER(D377)),D377,"")</f>
        <v/>
      </c>
      <c r="L377" s="30">
        <f>IF(AND(J377=1,ISNUMBER(G377)),G377,"")</f>
        <v/>
      </c>
      <c r="M377" s="22">
        <f>IF(AND(J377=1,ISNUMBER(C377)),C377,"")</f>
        <v/>
      </c>
      <c r="N377" s="31">
        <f>IF(AND(J377=1,ISNUMBER(I377)),I377,"")</f>
        <v/>
      </c>
      <c r="O377" s="11">
        <f>IF(K377="","",100-IF($G$13=1,50,(_xlfn.RANK.AVG(K377,$K$19:$K$1518,1)-1)/($G$13-1)*100))</f>
        <v/>
      </c>
      <c r="P377" s="11">
        <f>IF(L377="","",100-IF($G$14=1,50,(_xlfn.RANK.AVG(L377,$L$19:$L$1518,1)-1)/($G$14-1)*100))</f>
        <v/>
      </c>
      <c r="Q377" s="11">
        <f>IF(M377="","",IF($G$15=1,50,(_xlfn.RANK.AVG(M377,$M$19:$M$1518,1)-1)/($G$15-1)*100))</f>
        <v/>
      </c>
      <c r="R377" s="11">
        <f>IF(N377="","",IF($G$16=1,50,(_xlfn.RANK.AVG(N377,$N$19:$N$1518,1)-1)/($G$16-1)*100))</f>
        <v/>
      </c>
      <c r="S377" s="11">
        <f>IF(COUNT(O377:R377)=4,ROUND(AVERAGE(O377:R377),6),"")</f>
        <v/>
      </c>
      <c r="U377">
        <f>IF(AND(ISNUMBER('자료_한국심리'!$A361),ISNUMBER('자료_한국심리'!$B361)),'자료_한국심리'!$A361,"")</f>
        <v/>
      </c>
      <c r="V377">
        <f>IF(AND(ISNUMBER('자료_한국심리'!$D361),ISNUMBER('자료_한국심리'!$E361)),'자료_한국심리'!$D361,"")</f>
        <v/>
      </c>
      <c r="W377">
        <f>IF(AND(ISNUMBER('자료_한국심리'!$G361),ISNUMBER('자료_한국심리'!$H361)),'자료_한국심리'!$G361,"")</f>
        <v/>
      </c>
      <c r="X377">
        <f>IF(AND(ISNUMBER('자료_한국심리'!$J361),ISNUMBER('자료_한국심리'!$K361)),'자료_한국심리'!$J361,"")</f>
        <v/>
      </c>
      <c r="Y377">
        <f>IF(AND(ISNUMBER('자료_한국심리'!$M361),ISNUMBER('자료_한국심리'!$N361)),'자료_한국심리'!$M361,"")</f>
        <v/>
      </c>
    </row>
    <row r="378">
      <c r="A378" s="10">
        <f>IF(360&gt;$E$5,"",SMALL($U$19:$U$4018,$E$6+360))</f>
        <v/>
      </c>
      <c r="B378" s="29">
        <f>IF(A378="","",INDEX('자료_한국심리'!$B$3:$B$4002,MATCH(A378,$U$19:$U$4018,0)))</f>
        <v/>
      </c>
      <c r="C378" s="22">
        <f>IF(A378="","",B378/AVERAGE(B254:B378)-1)</f>
        <v/>
      </c>
      <c r="D378" s="29">
        <f>IF(A378="","",IFERROR(INDEX('자료_한국심리'!$E$3:$E$4002,MATCH(A378,$V$19:$V$4018,0)),D377))</f>
        <v/>
      </c>
      <c r="E378" s="30">
        <f>IF(A378="","",IFERROR(INDEX('자료_한국심리'!$H$3:$H$4002,MATCH(A378,$W$19:$W$4018,0)),E377))</f>
        <v/>
      </c>
      <c r="F378" s="30">
        <f>IF(A378="","",IFERROR(INDEX('자료_한국심리'!$K$3:$K$4002,MATCH(A378,$X$19:$X$4018,0)),F377))</f>
        <v/>
      </c>
      <c r="G378" s="30">
        <f>IF(AND(ISNUMBER(E378),ISNUMBER(F378)),ROUND(E378-F378,6),"")</f>
        <v/>
      </c>
      <c r="H378" s="25">
        <f>IF(A378="","",IFERROR(INDEX('자료_한국심리'!$N$3:$N$4002,MATCH(A378,$Y$19:$Y$4018,0)),H377))</f>
        <v/>
      </c>
      <c r="I378" s="31">
        <f>IF(AND(ISNUMBER(H378),ISNUMBER(H358)),IF(H358&gt;0,H378/H358-1,""),"")</f>
        <v/>
      </c>
      <c r="J378">
        <f>IF(A378="",0,IF(A378&gt;$B$5,1,0))</f>
        <v/>
      </c>
      <c r="K378" s="29">
        <f>IF(AND(J378=1,ISNUMBER(D378)),D378,"")</f>
        <v/>
      </c>
      <c r="L378" s="30">
        <f>IF(AND(J378=1,ISNUMBER(G378)),G378,"")</f>
        <v/>
      </c>
      <c r="M378" s="22">
        <f>IF(AND(J378=1,ISNUMBER(C378)),C378,"")</f>
        <v/>
      </c>
      <c r="N378" s="31">
        <f>IF(AND(J378=1,ISNUMBER(I378)),I378,"")</f>
        <v/>
      </c>
      <c r="O378" s="11">
        <f>IF(K378="","",100-IF($G$13=1,50,(_xlfn.RANK.AVG(K378,$K$19:$K$1518,1)-1)/($G$13-1)*100))</f>
        <v/>
      </c>
      <c r="P378" s="11">
        <f>IF(L378="","",100-IF($G$14=1,50,(_xlfn.RANK.AVG(L378,$L$19:$L$1518,1)-1)/($G$14-1)*100))</f>
        <v/>
      </c>
      <c r="Q378" s="11">
        <f>IF(M378="","",IF($G$15=1,50,(_xlfn.RANK.AVG(M378,$M$19:$M$1518,1)-1)/($G$15-1)*100))</f>
        <v/>
      </c>
      <c r="R378" s="11">
        <f>IF(N378="","",IF($G$16=1,50,(_xlfn.RANK.AVG(N378,$N$19:$N$1518,1)-1)/($G$16-1)*100))</f>
        <v/>
      </c>
      <c r="S378" s="11">
        <f>IF(COUNT(O378:R378)=4,ROUND(AVERAGE(O378:R378),6),"")</f>
        <v/>
      </c>
      <c r="U378">
        <f>IF(AND(ISNUMBER('자료_한국심리'!$A362),ISNUMBER('자료_한국심리'!$B362)),'자료_한국심리'!$A362,"")</f>
        <v/>
      </c>
      <c r="V378">
        <f>IF(AND(ISNUMBER('자료_한국심리'!$D362),ISNUMBER('자료_한국심리'!$E362)),'자료_한국심리'!$D362,"")</f>
        <v/>
      </c>
      <c r="W378">
        <f>IF(AND(ISNUMBER('자료_한국심리'!$G362),ISNUMBER('자료_한국심리'!$H362)),'자료_한국심리'!$G362,"")</f>
        <v/>
      </c>
      <c r="X378">
        <f>IF(AND(ISNUMBER('자료_한국심리'!$J362),ISNUMBER('자료_한국심리'!$K362)),'자료_한국심리'!$J362,"")</f>
        <v/>
      </c>
      <c r="Y378">
        <f>IF(AND(ISNUMBER('자료_한국심리'!$M362),ISNUMBER('자료_한국심리'!$N362)),'자료_한국심리'!$M362,"")</f>
        <v/>
      </c>
    </row>
    <row r="379">
      <c r="A379" s="10">
        <f>IF(361&gt;$E$5,"",SMALL($U$19:$U$4018,$E$6+361))</f>
        <v/>
      </c>
      <c r="B379" s="29">
        <f>IF(A379="","",INDEX('자료_한국심리'!$B$3:$B$4002,MATCH(A379,$U$19:$U$4018,0)))</f>
        <v/>
      </c>
      <c r="C379" s="22">
        <f>IF(A379="","",B379/AVERAGE(B255:B379)-1)</f>
        <v/>
      </c>
      <c r="D379" s="29">
        <f>IF(A379="","",IFERROR(INDEX('자료_한국심리'!$E$3:$E$4002,MATCH(A379,$V$19:$V$4018,0)),D378))</f>
        <v/>
      </c>
      <c r="E379" s="30">
        <f>IF(A379="","",IFERROR(INDEX('자료_한국심리'!$H$3:$H$4002,MATCH(A379,$W$19:$W$4018,0)),E378))</f>
        <v/>
      </c>
      <c r="F379" s="30">
        <f>IF(A379="","",IFERROR(INDEX('자료_한국심리'!$K$3:$K$4002,MATCH(A379,$X$19:$X$4018,0)),F378))</f>
        <v/>
      </c>
      <c r="G379" s="30">
        <f>IF(AND(ISNUMBER(E379),ISNUMBER(F379)),ROUND(E379-F379,6),"")</f>
        <v/>
      </c>
      <c r="H379" s="25">
        <f>IF(A379="","",IFERROR(INDEX('자료_한국심리'!$N$3:$N$4002,MATCH(A379,$Y$19:$Y$4018,0)),H378))</f>
        <v/>
      </c>
      <c r="I379" s="31">
        <f>IF(AND(ISNUMBER(H379),ISNUMBER(H359)),IF(H359&gt;0,H379/H359-1,""),"")</f>
        <v/>
      </c>
      <c r="J379">
        <f>IF(A379="",0,IF(A379&gt;$B$5,1,0))</f>
        <v/>
      </c>
      <c r="K379" s="29">
        <f>IF(AND(J379=1,ISNUMBER(D379)),D379,"")</f>
        <v/>
      </c>
      <c r="L379" s="30">
        <f>IF(AND(J379=1,ISNUMBER(G379)),G379,"")</f>
        <v/>
      </c>
      <c r="M379" s="22">
        <f>IF(AND(J379=1,ISNUMBER(C379)),C379,"")</f>
        <v/>
      </c>
      <c r="N379" s="31">
        <f>IF(AND(J379=1,ISNUMBER(I379)),I379,"")</f>
        <v/>
      </c>
      <c r="O379" s="11">
        <f>IF(K379="","",100-IF($G$13=1,50,(_xlfn.RANK.AVG(K379,$K$19:$K$1518,1)-1)/($G$13-1)*100))</f>
        <v/>
      </c>
      <c r="P379" s="11">
        <f>IF(L379="","",100-IF($G$14=1,50,(_xlfn.RANK.AVG(L379,$L$19:$L$1518,1)-1)/($G$14-1)*100))</f>
        <v/>
      </c>
      <c r="Q379" s="11">
        <f>IF(M379="","",IF($G$15=1,50,(_xlfn.RANK.AVG(M379,$M$19:$M$1518,1)-1)/($G$15-1)*100))</f>
        <v/>
      </c>
      <c r="R379" s="11">
        <f>IF(N379="","",IF($G$16=1,50,(_xlfn.RANK.AVG(N379,$N$19:$N$1518,1)-1)/($G$16-1)*100))</f>
        <v/>
      </c>
      <c r="S379" s="11">
        <f>IF(COUNT(O379:R379)=4,ROUND(AVERAGE(O379:R379),6),"")</f>
        <v/>
      </c>
      <c r="U379">
        <f>IF(AND(ISNUMBER('자료_한국심리'!$A363),ISNUMBER('자료_한국심리'!$B363)),'자료_한국심리'!$A363,"")</f>
        <v/>
      </c>
      <c r="V379">
        <f>IF(AND(ISNUMBER('자료_한국심리'!$D363),ISNUMBER('자료_한국심리'!$E363)),'자료_한국심리'!$D363,"")</f>
        <v/>
      </c>
      <c r="W379">
        <f>IF(AND(ISNUMBER('자료_한국심리'!$G363),ISNUMBER('자료_한국심리'!$H363)),'자료_한국심리'!$G363,"")</f>
        <v/>
      </c>
      <c r="X379">
        <f>IF(AND(ISNUMBER('자료_한국심리'!$J363),ISNUMBER('자료_한국심리'!$K363)),'자료_한국심리'!$J363,"")</f>
        <v/>
      </c>
      <c r="Y379">
        <f>IF(AND(ISNUMBER('자료_한국심리'!$M363),ISNUMBER('자료_한국심리'!$N363)),'자료_한국심리'!$M363,"")</f>
        <v/>
      </c>
    </row>
    <row r="380">
      <c r="A380" s="10">
        <f>IF(362&gt;$E$5,"",SMALL($U$19:$U$4018,$E$6+362))</f>
        <v/>
      </c>
      <c r="B380" s="29">
        <f>IF(A380="","",INDEX('자료_한국심리'!$B$3:$B$4002,MATCH(A380,$U$19:$U$4018,0)))</f>
        <v/>
      </c>
      <c r="C380" s="22">
        <f>IF(A380="","",B380/AVERAGE(B256:B380)-1)</f>
        <v/>
      </c>
      <c r="D380" s="29">
        <f>IF(A380="","",IFERROR(INDEX('자료_한국심리'!$E$3:$E$4002,MATCH(A380,$V$19:$V$4018,0)),D379))</f>
        <v/>
      </c>
      <c r="E380" s="30">
        <f>IF(A380="","",IFERROR(INDEX('자료_한국심리'!$H$3:$H$4002,MATCH(A380,$W$19:$W$4018,0)),E379))</f>
        <v/>
      </c>
      <c r="F380" s="30">
        <f>IF(A380="","",IFERROR(INDEX('자료_한국심리'!$K$3:$K$4002,MATCH(A380,$X$19:$X$4018,0)),F379))</f>
        <v/>
      </c>
      <c r="G380" s="30">
        <f>IF(AND(ISNUMBER(E380),ISNUMBER(F380)),ROUND(E380-F380,6),"")</f>
        <v/>
      </c>
      <c r="H380" s="25">
        <f>IF(A380="","",IFERROR(INDEX('자료_한국심리'!$N$3:$N$4002,MATCH(A380,$Y$19:$Y$4018,0)),H379))</f>
        <v/>
      </c>
      <c r="I380" s="31">
        <f>IF(AND(ISNUMBER(H380),ISNUMBER(H360)),IF(H360&gt;0,H380/H360-1,""),"")</f>
        <v/>
      </c>
      <c r="J380">
        <f>IF(A380="",0,IF(A380&gt;$B$5,1,0))</f>
        <v/>
      </c>
      <c r="K380" s="29">
        <f>IF(AND(J380=1,ISNUMBER(D380)),D380,"")</f>
        <v/>
      </c>
      <c r="L380" s="30">
        <f>IF(AND(J380=1,ISNUMBER(G380)),G380,"")</f>
        <v/>
      </c>
      <c r="M380" s="22">
        <f>IF(AND(J380=1,ISNUMBER(C380)),C380,"")</f>
        <v/>
      </c>
      <c r="N380" s="31">
        <f>IF(AND(J380=1,ISNUMBER(I380)),I380,"")</f>
        <v/>
      </c>
      <c r="O380" s="11">
        <f>IF(K380="","",100-IF($G$13=1,50,(_xlfn.RANK.AVG(K380,$K$19:$K$1518,1)-1)/($G$13-1)*100))</f>
        <v/>
      </c>
      <c r="P380" s="11">
        <f>IF(L380="","",100-IF($G$14=1,50,(_xlfn.RANK.AVG(L380,$L$19:$L$1518,1)-1)/($G$14-1)*100))</f>
        <v/>
      </c>
      <c r="Q380" s="11">
        <f>IF(M380="","",IF($G$15=1,50,(_xlfn.RANK.AVG(M380,$M$19:$M$1518,1)-1)/($G$15-1)*100))</f>
        <v/>
      </c>
      <c r="R380" s="11">
        <f>IF(N380="","",IF($G$16=1,50,(_xlfn.RANK.AVG(N380,$N$19:$N$1518,1)-1)/($G$16-1)*100))</f>
        <v/>
      </c>
      <c r="S380" s="11">
        <f>IF(COUNT(O380:R380)=4,ROUND(AVERAGE(O380:R380),6),"")</f>
        <v/>
      </c>
      <c r="U380">
        <f>IF(AND(ISNUMBER('자료_한국심리'!$A364),ISNUMBER('자료_한국심리'!$B364)),'자료_한국심리'!$A364,"")</f>
        <v/>
      </c>
      <c r="V380">
        <f>IF(AND(ISNUMBER('자료_한국심리'!$D364),ISNUMBER('자료_한국심리'!$E364)),'자료_한국심리'!$D364,"")</f>
        <v/>
      </c>
      <c r="W380">
        <f>IF(AND(ISNUMBER('자료_한국심리'!$G364),ISNUMBER('자료_한국심리'!$H364)),'자료_한국심리'!$G364,"")</f>
        <v/>
      </c>
      <c r="X380">
        <f>IF(AND(ISNUMBER('자료_한국심리'!$J364),ISNUMBER('자료_한국심리'!$K364)),'자료_한국심리'!$J364,"")</f>
        <v/>
      </c>
      <c r="Y380">
        <f>IF(AND(ISNUMBER('자료_한국심리'!$M364),ISNUMBER('자료_한국심리'!$N364)),'자료_한국심리'!$M364,"")</f>
        <v/>
      </c>
    </row>
    <row r="381">
      <c r="A381" s="10">
        <f>IF(363&gt;$E$5,"",SMALL($U$19:$U$4018,$E$6+363))</f>
        <v/>
      </c>
      <c r="B381" s="29">
        <f>IF(A381="","",INDEX('자료_한국심리'!$B$3:$B$4002,MATCH(A381,$U$19:$U$4018,0)))</f>
        <v/>
      </c>
      <c r="C381" s="22">
        <f>IF(A381="","",B381/AVERAGE(B257:B381)-1)</f>
        <v/>
      </c>
      <c r="D381" s="29">
        <f>IF(A381="","",IFERROR(INDEX('자료_한국심리'!$E$3:$E$4002,MATCH(A381,$V$19:$V$4018,0)),D380))</f>
        <v/>
      </c>
      <c r="E381" s="30">
        <f>IF(A381="","",IFERROR(INDEX('자료_한국심리'!$H$3:$H$4002,MATCH(A381,$W$19:$W$4018,0)),E380))</f>
        <v/>
      </c>
      <c r="F381" s="30">
        <f>IF(A381="","",IFERROR(INDEX('자료_한국심리'!$K$3:$K$4002,MATCH(A381,$X$19:$X$4018,0)),F380))</f>
        <v/>
      </c>
      <c r="G381" s="30">
        <f>IF(AND(ISNUMBER(E381),ISNUMBER(F381)),ROUND(E381-F381,6),"")</f>
        <v/>
      </c>
      <c r="H381" s="25">
        <f>IF(A381="","",IFERROR(INDEX('자료_한국심리'!$N$3:$N$4002,MATCH(A381,$Y$19:$Y$4018,0)),H380))</f>
        <v/>
      </c>
      <c r="I381" s="31">
        <f>IF(AND(ISNUMBER(H381),ISNUMBER(H361)),IF(H361&gt;0,H381/H361-1,""),"")</f>
        <v/>
      </c>
      <c r="J381">
        <f>IF(A381="",0,IF(A381&gt;$B$5,1,0))</f>
        <v/>
      </c>
      <c r="K381" s="29">
        <f>IF(AND(J381=1,ISNUMBER(D381)),D381,"")</f>
        <v/>
      </c>
      <c r="L381" s="30">
        <f>IF(AND(J381=1,ISNUMBER(G381)),G381,"")</f>
        <v/>
      </c>
      <c r="M381" s="22">
        <f>IF(AND(J381=1,ISNUMBER(C381)),C381,"")</f>
        <v/>
      </c>
      <c r="N381" s="31">
        <f>IF(AND(J381=1,ISNUMBER(I381)),I381,"")</f>
        <v/>
      </c>
      <c r="O381" s="11">
        <f>IF(K381="","",100-IF($G$13=1,50,(_xlfn.RANK.AVG(K381,$K$19:$K$1518,1)-1)/($G$13-1)*100))</f>
        <v/>
      </c>
      <c r="P381" s="11">
        <f>IF(L381="","",100-IF($G$14=1,50,(_xlfn.RANK.AVG(L381,$L$19:$L$1518,1)-1)/($G$14-1)*100))</f>
        <v/>
      </c>
      <c r="Q381" s="11">
        <f>IF(M381="","",IF($G$15=1,50,(_xlfn.RANK.AVG(M381,$M$19:$M$1518,1)-1)/($G$15-1)*100))</f>
        <v/>
      </c>
      <c r="R381" s="11">
        <f>IF(N381="","",IF($G$16=1,50,(_xlfn.RANK.AVG(N381,$N$19:$N$1518,1)-1)/($G$16-1)*100))</f>
        <v/>
      </c>
      <c r="S381" s="11">
        <f>IF(COUNT(O381:R381)=4,ROUND(AVERAGE(O381:R381),6),"")</f>
        <v/>
      </c>
      <c r="U381">
        <f>IF(AND(ISNUMBER('자료_한국심리'!$A365),ISNUMBER('자료_한국심리'!$B365)),'자료_한국심리'!$A365,"")</f>
        <v/>
      </c>
      <c r="V381">
        <f>IF(AND(ISNUMBER('자료_한국심리'!$D365),ISNUMBER('자료_한국심리'!$E365)),'자료_한국심리'!$D365,"")</f>
        <v/>
      </c>
      <c r="W381">
        <f>IF(AND(ISNUMBER('자료_한국심리'!$G365),ISNUMBER('자료_한국심리'!$H365)),'자료_한국심리'!$G365,"")</f>
        <v/>
      </c>
      <c r="X381">
        <f>IF(AND(ISNUMBER('자료_한국심리'!$J365),ISNUMBER('자료_한국심리'!$K365)),'자료_한국심리'!$J365,"")</f>
        <v/>
      </c>
      <c r="Y381">
        <f>IF(AND(ISNUMBER('자료_한국심리'!$M365),ISNUMBER('자료_한국심리'!$N365)),'자료_한국심리'!$M365,"")</f>
        <v/>
      </c>
    </row>
    <row r="382">
      <c r="A382" s="10">
        <f>IF(364&gt;$E$5,"",SMALL($U$19:$U$4018,$E$6+364))</f>
        <v/>
      </c>
      <c r="B382" s="29">
        <f>IF(A382="","",INDEX('자료_한국심리'!$B$3:$B$4002,MATCH(A382,$U$19:$U$4018,0)))</f>
        <v/>
      </c>
      <c r="C382" s="22">
        <f>IF(A382="","",B382/AVERAGE(B258:B382)-1)</f>
        <v/>
      </c>
      <c r="D382" s="29">
        <f>IF(A382="","",IFERROR(INDEX('자료_한국심리'!$E$3:$E$4002,MATCH(A382,$V$19:$V$4018,0)),D381))</f>
        <v/>
      </c>
      <c r="E382" s="30">
        <f>IF(A382="","",IFERROR(INDEX('자료_한국심리'!$H$3:$H$4002,MATCH(A382,$W$19:$W$4018,0)),E381))</f>
        <v/>
      </c>
      <c r="F382" s="30">
        <f>IF(A382="","",IFERROR(INDEX('자료_한국심리'!$K$3:$K$4002,MATCH(A382,$X$19:$X$4018,0)),F381))</f>
        <v/>
      </c>
      <c r="G382" s="30">
        <f>IF(AND(ISNUMBER(E382),ISNUMBER(F382)),ROUND(E382-F382,6),"")</f>
        <v/>
      </c>
      <c r="H382" s="25">
        <f>IF(A382="","",IFERROR(INDEX('자료_한국심리'!$N$3:$N$4002,MATCH(A382,$Y$19:$Y$4018,0)),H381))</f>
        <v/>
      </c>
      <c r="I382" s="31">
        <f>IF(AND(ISNUMBER(H382),ISNUMBER(H362)),IF(H362&gt;0,H382/H362-1,""),"")</f>
        <v/>
      </c>
      <c r="J382">
        <f>IF(A382="",0,IF(A382&gt;$B$5,1,0))</f>
        <v/>
      </c>
      <c r="K382" s="29">
        <f>IF(AND(J382=1,ISNUMBER(D382)),D382,"")</f>
        <v/>
      </c>
      <c r="L382" s="30">
        <f>IF(AND(J382=1,ISNUMBER(G382)),G382,"")</f>
        <v/>
      </c>
      <c r="M382" s="22">
        <f>IF(AND(J382=1,ISNUMBER(C382)),C382,"")</f>
        <v/>
      </c>
      <c r="N382" s="31">
        <f>IF(AND(J382=1,ISNUMBER(I382)),I382,"")</f>
        <v/>
      </c>
      <c r="O382" s="11">
        <f>IF(K382="","",100-IF($G$13=1,50,(_xlfn.RANK.AVG(K382,$K$19:$K$1518,1)-1)/($G$13-1)*100))</f>
        <v/>
      </c>
      <c r="P382" s="11">
        <f>IF(L382="","",100-IF($G$14=1,50,(_xlfn.RANK.AVG(L382,$L$19:$L$1518,1)-1)/($G$14-1)*100))</f>
        <v/>
      </c>
      <c r="Q382" s="11">
        <f>IF(M382="","",IF($G$15=1,50,(_xlfn.RANK.AVG(M382,$M$19:$M$1518,1)-1)/($G$15-1)*100))</f>
        <v/>
      </c>
      <c r="R382" s="11">
        <f>IF(N382="","",IF($G$16=1,50,(_xlfn.RANK.AVG(N382,$N$19:$N$1518,1)-1)/($G$16-1)*100))</f>
        <v/>
      </c>
      <c r="S382" s="11">
        <f>IF(COUNT(O382:R382)=4,ROUND(AVERAGE(O382:R382),6),"")</f>
        <v/>
      </c>
      <c r="U382">
        <f>IF(AND(ISNUMBER('자료_한국심리'!$A366),ISNUMBER('자료_한국심리'!$B366)),'자료_한국심리'!$A366,"")</f>
        <v/>
      </c>
      <c r="V382">
        <f>IF(AND(ISNUMBER('자료_한국심리'!$D366),ISNUMBER('자료_한국심리'!$E366)),'자료_한국심리'!$D366,"")</f>
        <v/>
      </c>
      <c r="W382">
        <f>IF(AND(ISNUMBER('자료_한국심리'!$G366),ISNUMBER('자료_한국심리'!$H366)),'자료_한국심리'!$G366,"")</f>
        <v/>
      </c>
      <c r="X382">
        <f>IF(AND(ISNUMBER('자료_한국심리'!$J366),ISNUMBER('자료_한국심리'!$K366)),'자료_한국심리'!$J366,"")</f>
        <v/>
      </c>
      <c r="Y382">
        <f>IF(AND(ISNUMBER('자료_한국심리'!$M366),ISNUMBER('자료_한국심리'!$N366)),'자료_한국심리'!$M366,"")</f>
        <v/>
      </c>
    </row>
    <row r="383">
      <c r="A383" s="10">
        <f>IF(365&gt;$E$5,"",SMALL($U$19:$U$4018,$E$6+365))</f>
        <v/>
      </c>
      <c r="B383" s="29">
        <f>IF(A383="","",INDEX('자료_한국심리'!$B$3:$B$4002,MATCH(A383,$U$19:$U$4018,0)))</f>
        <v/>
      </c>
      <c r="C383" s="22">
        <f>IF(A383="","",B383/AVERAGE(B259:B383)-1)</f>
        <v/>
      </c>
      <c r="D383" s="29">
        <f>IF(A383="","",IFERROR(INDEX('자료_한국심리'!$E$3:$E$4002,MATCH(A383,$V$19:$V$4018,0)),D382))</f>
        <v/>
      </c>
      <c r="E383" s="30">
        <f>IF(A383="","",IFERROR(INDEX('자료_한국심리'!$H$3:$H$4002,MATCH(A383,$W$19:$W$4018,0)),E382))</f>
        <v/>
      </c>
      <c r="F383" s="30">
        <f>IF(A383="","",IFERROR(INDEX('자료_한국심리'!$K$3:$K$4002,MATCH(A383,$X$19:$X$4018,0)),F382))</f>
        <v/>
      </c>
      <c r="G383" s="30">
        <f>IF(AND(ISNUMBER(E383),ISNUMBER(F383)),ROUND(E383-F383,6),"")</f>
        <v/>
      </c>
      <c r="H383" s="25">
        <f>IF(A383="","",IFERROR(INDEX('자료_한국심리'!$N$3:$N$4002,MATCH(A383,$Y$19:$Y$4018,0)),H382))</f>
        <v/>
      </c>
      <c r="I383" s="31">
        <f>IF(AND(ISNUMBER(H383),ISNUMBER(H363)),IF(H363&gt;0,H383/H363-1,""),"")</f>
        <v/>
      </c>
      <c r="J383">
        <f>IF(A383="",0,IF(A383&gt;$B$5,1,0))</f>
        <v/>
      </c>
      <c r="K383" s="29">
        <f>IF(AND(J383=1,ISNUMBER(D383)),D383,"")</f>
        <v/>
      </c>
      <c r="L383" s="30">
        <f>IF(AND(J383=1,ISNUMBER(G383)),G383,"")</f>
        <v/>
      </c>
      <c r="M383" s="22">
        <f>IF(AND(J383=1,ISNUMBER(C383)),C383,"")</f>
        <v/>
      </c>
      <c r="N383" s="31">
        <f>IF(AND(J383=1,ISNUMBER(I383)),I383,"")</f>
        <v/>
      </c>
      <c r="O383" s="11">
        <f>IF(K383="","",100-IF($G$13=1,50,(_xlfn.RANK.AVG(K383,$K$19:$K$1518,1)-1)/($G$13-1)*100))</f>
        <v/>
      </c>
      <c r="P383" s="11">
        <f>IF(L383="","",100-IF($G$14=1,50,(_xlfn.RANK.AVG(L383,$L$19:$L$1518,1)-1)/($G$14-1)*100))</f>
        <v/>
      </c>
      <c r="Q383" s="11">
        <f>IF(M383="","",IF($G$15=1,50,(_xlfn.RANK.AVG(M383,$M$19:$M$1518,1)-1)/($G$15-1)*100))</f>
        <v/>
      </c>
      <c r="R383" s="11">
        <f>IF(N383="","",IF($G$16=1,50,(_xlfn.RANK.AVG(N383,$N$19:$N$1518,1)-1)/($G$16-1)*100))</f>
        <v/>
      </c>
      <c r="S383" s="11">
        <f>IF(COUNT(O383:R383)=4,ROUND(AVERAGE(O383:R383),6),"")</f>
        <v/>
      </c>
      <c r="U383">
        <f>IF(AND(ISNUMBER('자료_한국심리'!$A367),ISNUMBER('자료_한국심리'!$B367)),'자료_한국심리'!$A367,"")</f>
        <v/>
      </c>
      <c r="V383">
        <f>IF(AND(ISNUMBER('자료_한국심리'!$D367),ISNUMBER('자료_한국심리'!$E367)),'자료_한국심리'!$D367,"")</f>
        <v/>
      </c>
      <c r="W383">
        <f>IF(AND(ISNUMBER('자료_한국심리'!$G367),ISNUMBER('자료_한국심리'!$H367)),'자료_한국심리'!$G367,"")</f>
        <v/>
      </c>
      <c r="X383">
        <f>IF(AND(ISNUMBER('자료_한국심리'!$J367),ISNUMBER('자료_한국심리'!$K367)),'자료_한국심리'!$J367,"")</f>
        <v/>
      </c>
      <c r="Y383">
        <f>IF(AND(ISNUMBER('자료_한국심리'!$M367),ISNUMBER('자료_한국심리'!$N367)),'자료_한국심리'!$M367,"")</f>
        <v/>
      </c>
    </row>
    <row r="384">
      <c r="A384" s="10">
        <f>IF(366&gt;$E$5,"",SMALL($U$19:$U$4018,$E$6+366))</f>
        <v/>
      </c>
      <c r="B384" s="29">
        <f>IF(A384="","",INDEX('자료_한국심리'!$B$3:$B$4002,MATCH(A384,$U$19:$U$4018,0)))</f>
        <v/>
      </c>
      <c r="C384" s="22">
        <f>IF(A384="","",B384/AVERAGE(B260:B384)-1)</f>
        <v/>
      </c>
      <c r="D384" s="29">
        <f>IF(A384="","",IFERROR(INDEX('자료_한국심리'!$E$3:$E$4002,MATCH(A384,$V$19:$V$4018,0)),D383))</f>
        <v/>
      </c>
      <c r="E384" s="30">
        <f>IF(A384="","",IFERROR(INDEX('자료_한국심리'!$H$3:$H$4002,MATCH(A384,$W$19:$W$4018,0)),E383))</f>
        <v/>
      </c>
      <c r="F384" s="30">
        <f>IF(A384="","",IFERROR(INDEX('자료_한국심리'!$K$3:$K$4002,MATCH(A384,$X$19:$X$4018,0)),F383))</f>
        <v/>
      </c>
      <c r="G384" s="30">
        <f>IF(AND(ISNUMBER(E384),ISNUMBER(F384)),ROUND(E384-F384,6),"")</f>
        <v/>
      </c>
      <c r="H384" s="25">
        <f>IF(A384="","",IFERROR(INDEX('자료_한국심리'!$N$3:$N$4002,MATCH(A384,$Y$19:$Y$4018,0)),H383))</f>
        <v/>
      </c>
      <c r="I384" s="31">
        <f>IF(AND(ISNUMBER(H384),ISNUMBER(H364)),IF(H364&gt;0,H384/H364-1,""),"")</f>
        <v/>
      </c>
      <c r="J384">
        <f>IF(A384="",0,IF(A384&gt;$B$5,1,0))</f>
        <v/>
      </c>
      <c r="K384" s="29">
        <f>IF(AND(J384=1,ISNUMBER(D384)),D384,"")</f>
        <v/>
      </c>
      <c r="L384" s="30">
        <f>IF(AND(J384=1,ISNUMBER(G384)),G384,"")</f>
        <v/>
      </c>
      <c r="M384" s="22">
        <f>IF(AND(J384=1,ISNUMBER(C384)),C384,"")</f>
        <v/>
      </c>
      <c r="N384" s="31">
        <f>IF(AND(J384=1,ISNUMBER(I384)),I384,"")</f>
        <v/>
      </c>
      <c r="O384" s="11">
        <f>IF(K384="","",100-IF($G$13=1,50,(_xlfn.RANK.AVG(K384,$K$19:$K$1518,1)-1)/($G$13-1)*100))</f>
        <v/>
      </c>
      <c r="P384" s="11">
        <f>IF(L384="","",100-IF($G$14=1,50,(_xlfn.RANK.AVG(L384,$L$19:$L$1518,1)-1)/($G$14-1)*100))</f>
        <v/>
      </c>
      <c r="Q384" s="11">
        <f>IF(M384="","",IF($G$15=1,50,(_xlfn.RANK.AVG(M384,$M$19:$M$1518,1)-1)/($G$15-1)*100))</f>
        <v/>
      </c>
      <c r="R384" s="11">
        <f>IF(N384="","",IF($G$16=1,50,(_xlfn.RANK.AVG(N384,$N$19:$N$1518,1)-1)/($G$16-1)*100))</f>
        <v/>
      </c>
      <c r="S384" s="11">
        <f>IF(COUNT(O384:R384)=4,ROUND(AVERAGE(O384:R384),6),"")</f>
        <v/>
      </c>
      <c r="U384">
        <f>IF(AND(ISNUMBER('자료_한국심리'!$A368),ISNUMBER('자료_한국심리'!$B368)),'자료_한국심리'!$A368,"")</f>
        <v/>
      </c>
      <c r="V384">
        <f>IF(AND(ISNUMBER('자료_한국심리'!$D368),ISNUMBER('자료_한국심리'!$E368)),'자료_한국심리'!$D368,"")</f>
        <v/>
      </c>
      <c r="W384">
        <f>IF(AND(ISNUMBER('자료_한국심리'!$G368),ISNUMBER('자료_한국심리'!$H368)),'자료_한국심리'!$G368,"")</f>
        <v/>
      </c>
      <c r="X384">
        <f>IF(AND(ISNUMBER('자료_한국심리'!$J368),ISNUMBER('자료_한국심리'!$K368)),'자료_한국심리'!$J368,"")</f>
        <v/>
      </c>
      <c r="Y384">
        <f>IF(AND(ISNUMBER('자료_한국심리'!$M368),ISNUMBER('자료_한국심리'!$N368)),'자료_한국심리'!$M368,"")</f>
        <v/>
      </c>
    </row>
    <row r="385">
      <c r="A385" s="10">
        <f>IF(367&gt;$E$5,"",SMALL($U$19:$U$4018,$E$6+367))</f>
        <v/>
      </c>
      <c r="B385" s="29">
        <f>IF(A385="","",INDEX('자료_한국심리'!$B$3:$B$4002,MATCH(A385,$U$19:$U$4018,0)))</f>
        <v/>
      </c>
      <c r="C385" s="22">
        <f>IF(A385="","",B385/AVERAGE(B261:B385)-1)</f>
        <v/>
      </c>
      <c r="D385" s="29">
        <f>IF(A385="","",IFERROR(INDEX('자료_한국심리'!$E$3:$E$4002,MATCH(A385,$V$19:$V$4018,0)),D384))</f>
        <v/>
      </c>
      <c r="E385" s="30">
        <f>IF(A385="","",IFERROR(INDEX('자료_한국심리'!$H$3:$H$4002,MATCH(A385,$W$19:$W$4018,0)),E384))</f>
        <v/>
      </c>
      <c r="F385" s="30">
        <f>IF(A385="","",IFERROR(INDEX('자료_한국심리'!$K$3:$K$4002,MATCH(A385,$X$19:$X$4018,0)),F384))</f>
        <v/>
      </c>
      <c r="G385" s="30">
        <f>IF(AND(ISNUMBER(E385),ISNUMBER(F385)),ROUND(E385-F385,6),"")</f>
        <v/>
      </c>
      <c r="H385" s="25">
        <f>IF(A385="","",IFERROR(INDEX('자료_한국심리'!$N$3:$N$4002,MATCH(A385,$Y$19:$Y$4018,0)),H384))</f>
        <v/>
      </c>
      <c r="I385" s="31">
        <f>IF(AND(ISNUMBER(H385),ISNUMBER(H365)),IF(H365&gt;0,H385/H365-1,""),"")</f>
        <v/>
      </c>
      <c r="J385">
        <f>IF(A385="",0,IF(A385&gt;$B$5,1,0))</f>
        <v/>
      </c>
      <c r="K385" s="29">
        <f>IF(AND(J385=1,ISNUMBER(D385)),D385,"")</f>
        <v/>
      </c>
      <c r="L385" s="30">
        <f>IF(AND(J385=1,ISNUMBER(G385)),G385,"")</f>
        <v/>
      </c>
      <c r="M385" s="22">
        <f>IF(AND(J385=1,ISNUMBER(C385)),C385,"")</f>
        <v/>
      </c>
      <c r="N385" s="31">
        <f>IF(AND(J385=1,ISNUMBER(I385)),I385,"")</f>
        <v/>
      </c>
      <c r="O385" s="11">
        <f>IF(K385="","",100-IF($G$13=1,50,(_xlfn.RANK.AVG(K385,$K$19:$K$1518,1)-1)/($G$13-1)*100))</f>
        <v/>
      </c>
      <c r="P385" s="11">
        <f>IF(L385="","",100-IF($G$14=1,50,(_xlfn.RANK.AVG(L385,$L$19:$L$1518,1)-1)/($G$14-1)*100))</f>
        <v/>
      </c>
      <c r="Q385" s="11">
        <f>IF(M385="","",IF($G$15=1,50,(_xlfn.RANK.AVG(M385,$M$19:$M$1518,1)-1)/($G$15-1)*100))</f>
        <v/>
      </c>
      <c r="R385" s="11">
        <f>IF(N385="","",IF($G$16=1,50,(_xlfn.RANK.AVG(N385,$N$19:$N$1518,1)-1)/($G$16-1)*100))</f>
        <v/>
      </c>
      <c r="S385" s="11">
        <f>IF(COUNT(O385:R385)=4,ROUND(AVERAGE(O385:R385),6),"")</f>
        <v/>
      </c>
      <c r="U385">
        <f>IF(AND(ISNUMBER('자료_한국심리'!$A369),ISNUMBER('자료_한국심리'!$B369)),'자료_한국심리'!$A369,"")</f>
        <v/>
      </c>
      <c r="V385">
        <f>IF(AND(ISNUMBER('자료_한국심리'!$D369),ISNUMBER('자료_한국심리'!$E369)),'자료_한국심리'!$D369,"")</f>
        <v/>
      </c>
      <c r="W385">
        <f>IF(AND(ISNUMBER('자료_한국심리'!$G369),ISNUMBER('자료_한국심리'!$H369)),'자료_한국심리'!$G369,"")</f>
        <v/>
      </c>
      <c r="X385">
        <f>IF(AND(ISNUMBER('자료_한국심리'!$J369),ISNUMBER('자료_한국심리'!$K369)),'자료_한국심리'!$J369,"")</f>
        <v/>
      </c>
      <c r="Y385">
        <f>IF(AND(ISNUMBER('자료_한국심리'!$M369),ISNUMBER('자료_한국심리'!$N369)),'자료_한국심리'!$M369,"")</f>
        <v/>
      </c>
    </row>
    <row r="386">
      <c r="A386" s="10">
        <f>IF(368&gt;$E$5,"",SMALL($U$19:$U$4018,$E$6+368))</f>
        <v/>
      </c>
      <c r="B386" s="29">
        <f>IF(A386="","",INDEX('자료_한국심리'!$B$3:$B$4002,MATCH(A386,$U$19:$U$4018,0)))</f>
        <v/>
      </c>
      <c r="C386" s="22">
        <f>IF(A386="","",B386/AVERAGE(B262:B386)-1)</f>
        <v/>
      </c>
      <c r="D386" s="29">
        <f>IF(A386="","",IFERROR(INDEX('자료_한국심리'!$E$3:$E$4002,MATCH(A386,$V$19:$V$4018,0)),D385))</f>
        <v/>
      </c>
      <c r="E386" s="30">
        <f>IF(A386="","",IFERROR(INDEX('자료_한국심리'!$H$3:$H$4002,MATCH(A386,$W$19:$W$4018,0)),E385))</f>
        <v/>
      </c>
      <c r="F386" s="30">
        <f>IF(A386="","",IFERROR(INDEX('자료_한국심리'!$K$3:$K$4002,MATCH(A386,$X$19:$X$4018,0)),F385))</f>
        <v/>
      </c>
      <c r="G386" s="30">
        <f>IF(AND(ISNUMBER(E386),ISNUMBER(F386)),ROUND(E386-F386,6),"")</f>
        <v/>
      </c>
      <c r="H386" s="25">
        <f>IF(A386="","",IFERROR(INDEX('자료_한국심리'!$N$3:$N$4002,MATCH(A386,$Y$19:$Y$4018,0)),H385))</f>
        <v/>
      </c>
      <c r="I386" s="31">
        <f>IF(AND(ISNUMBER(H386),ISNUMBER(H366)),IF(H366&gt;0,H386/H366-1,""),"")</f>
        <v/>
      </c>
      <c r="J386">
        <f>IF(A386="",0,IF(A386&gt;$B$5,1,0))</f>
        <v/>
      </c>
      <c r="K386" s="29">
        <f>IF(AND(J386=1,ISNUMBER(D386)),D386,"")</f>
        <v/>
      </c>
      <c r="L386" s="30">
        <f>IF(AND(J386=1,ISNUMBER(G386)),G386,"")</f>
        <v/>
      </c>
      <c r="M386" s="22">
        <f>IF(AND(J386=1,ISNUMBER(C386)),C386,"")</f>
        <v/>
      </c>
      <c r="N386" s="31">
        <f>IF(AND(J386=1,ISNUMBER(I386)),I386,"")</f>
        <v/>
      </c>
      <c r="O386" s="11">
        <f>IF(K386="","",100-IF($G$13=1,50,(_xlfn.RANK.AVG(K386,$K$19:$K$1518,1)-1)/($G$13-1)*100))</f>
        <v/>
      </c>
      <c r="P386" s="11">
        <f>IF(L386="","",100-IF($G$14=1,50,(_xlfn.RANK.AVG(L386,$L$19:$L$1518,1)-1)/($G$14-1)*100))</f>
        <v/>
      </c>
      <c r="Q386" s="11">
        <f>IF(M386="","",IF($G$15=1,50,(_xlfn.RANK.AVG(M386,$M$19:$M$1518,1)-1)/($G$15-1)*100))</f>
        <v/>
      </c>
      <c r="R386" s="11">
        <f>IF(N386="","",IF($G$16=1,50,(_xlfn.RANK.AVG(N386,$N$19:$N$1518,1)-1)/($G$16-1)*100))</f>
        <v/>
      </c>
      <c r="S386" s="11">
        <f>IF(COUNT(O386:R386)=4,ROUND(AVERAGE(O386:R386),6),"")</f>
        <v/>
      </c>
      <c r="U386">
        <f>IF(AND(ISNUMBER('자료_한국심리'!$A370),ISNUMBER('자료_한국심리'!$B370)),'자료_한국심리'!$A370,"")</f>
        <v/>
      </c>
      <c r="V386">
        <f>IF(AND(ISNUMBER('자료_한국심리'!$D370),ISNUMBER('자료_한국심리'!$E370)),'자료_한국심리'!$D370,"")</f>
        <v/>
      </c>
      <c r="W386">
        <f>IF(AND(ISNUMBER('자료_한국심리'!$G370),ISNUMBER('자료_한국심리'!$H370)),'자료_한국심리'!$G370,"")</f>
        <v/>
      </c>
      <c r="X386">
        <f>IF(AND(ISNUMBER('자료_한국심리'!$J370),ISNUMBER('자료_한국심리'!$K370)),'자료_한국심리'!$J370,"")</f>
        <v/>
      </c>
      <c r="Y386">
        <f>IF(AND(ISNUMBER('자료_한국심리'!$M370),ISNUMBER('자료_한국심리'!$N370)),'자료_한국심리'!$M370,"")</f>
        <v/>
      </c>
    </row>
    <row r="387">
      <c r="A387" s="10">
        <f>IF(369&gt;$E$5,"",SMALL($U$19:$U$4018,$E$6+369))</f>
        <v/>
      </c>
      <c r="B387" s="29">
        <f>IF(A387="","",INDEX('자료_한국심리'!$B$3:$B$4002,MATCH(A387,$U$19:$U$4018,0)))</f>
        <v/>
      </c>
      <c r="C387" s="22">
        <f>IF(A387="","",B387/AVERAGE(B263:B387)-1)</f>
        <v/>
      </c>
      <c r="D387" s="29">
        <f>IF(A387="","",IFERROR(INDEX('자료_한국심리'!$E$3:$E$4002,MATCH(A387,$V$19:$V$4018,0)),D386))</f>
        <v/>
      </c>
      <c r="E387" s="30">
        <f>IF(A387="","",IFERROR(INDEX('자료_한국심리'!$H$3:$H$4002,MATCH(A387,$W$19:$W$4018,0)),E386))</f>
        <v/>
      </c>
      <c r="F387" s="30">
        <f>IF(A387="","",IFERROR(INDEX('자료_한국심리'!$K$3:$K$4002,MATCH(A387,$X$19:$X$4018,0)),F386))</f>
        <v/>
      </c>
      <c r="G387" s="30">
        <f>IF(AND(ISNUMBER(E387),ISNUMBER(F387)),ROUND(E387-F387,6),"")</f>
        <v/>
      </c>
      <c r="H387" s="25">
        <f>IF(A387="","",IFERROR(INDEX('자료_한국심리'!$N$3:$N$4002,MATCH(A387,$Y$19:$Y$4018,0)),H386))</f>
        <v/>
      </c>
      <c r="I387" s="31">
        <f>IF(AND(ISNUMBER(H387),ISNUMBER(H367)),IF(H367&gt;0,H387/H367-1,""),"")</f>
        <v/>
      </c>
      <c r="J387">
        <f>IF(A387="",0,IF(A387&gt;$B$5,1,0))</f>
        <v/>
      </c>
      <c r="K387" s="29">
        <f>IF(AND(J387=1,ISNUMBER(D387)),D387,"")</f>
        <v/>
      </c>
      <c r="L387" s="30">
        <f>IF(AND(J387=1,ISNUMBER(G387)),G387,"")</f>
        <v/>
      </c>
      <c r="M387" s="22">
        <f>IF(AND(J387=1,ISNUMBER(C387)),C387,"")</f>
        <v/>
      </c>
      <c r="N387" s="31">
        <f>IF(AND(J387=1,ISNUMBER(I387)),I387,"")</f>
        <v/>
      </c>
      <c r="O387" s="11">
        <f>IF(K387="","",100-IF($G$13=1,50,(_xlfn.RANK.AVG(K387,$K$19:$K$1518,1)-1)/($G$13-1)*100))</f>
        <v/>
      </c>
      <c r="P387" s="11">
        <f>IF(L387="","",100-IF($G$14=1,50,(_xlfn.RANK.AVG(L387,$L$19:$L$1518,1)-1)/($G$14-1)*100))</f>
        <v/>
      </c>
      <c r="Q387" s="11">
        <f>IF(M387="","",IF($G$15=1,50,(_xlfn.RANK.AVG(M387,$M$19:$M$1518,1)-1)/($G$15-1)*100))</f>
        <v/>
      </c>
      <c r="R387" s="11">
        <f>IF(N387="","",IF($G$16=1,50,(_xlfn.RANK.AVG(N387,$N$19:$N$1518,1)-1)/($G$16-1)*100))</f>
        <v/>
      </c>
      <c r="S387" s="11">
        <f>IF(COUNT(O387:R387)=4,ROUND(AVERAGE(O387:R387),6),"")</f>
        <v/>
      </c>
      <c r="U387">
        <f>IF(AND(ISNUMBER('자료_한국심리'!$A371),ISNUMBER('자료_한국심리'!$B371)),'자료_한국심리'!$A371,"")</f>
        <v/>
      </c>
      <c r="V387">
        <f>IF(AND(ISNUMBER('자료_한국심리'!$D371),ISNUMBER('자료_한국심리'!$E371)),'자료_한국심리'!$D371,"")</f>
        <v/>
      </c>
      <c r="W387">
        <f>IF(AND(ISNUMBER('자료_한국심리'!$G371),ISNUMBER('자료_한국심리'!$H371)),'자료_한국심리'!$G371,"")</f>
        <v/>
      </c>
      <c r="X387">
        <f>IF(AND(ISNUMBER('자료_한국심리'!$J371),ISNUMBER('자료_한국심리'!$K371)),'자료_한국심리'!$J371,"")</f>
        <v/>
      </c>
      <c r="Y387">
        <f>IF(AND(ISNUMBER('자료_한국심리'!$M371),ISNUMBER('자료_한국심리'!$N371)),'자료_한국심리'!$M371,"")</f>
        <v/>
      </c>
    </row>
    <row r="388">
      <c r="A388" s="10">
        <f>IF(370&gt;$E$5,"",SMALL($U$19:$U$4018,$E$6+370))</f>
        <v/>
      </c>
      <c r="B388" s="29">
        <f>IF(A388="","",INDEX('자료_한국심리'!$B$3:$B$4002,MATCH(A388,$U$19:$U$4018,0)))</f>
        <v/>
      </c>
      <c r="C388" s="22">
        <f>IF(A388="","",B388/AVERAGE(B264:B388)-1)</f>
        <v/>
      </c>
      <c r="D388" s="29">
        <f>IF(A388="","",IFERROR(INDEX('자료_한국심리'!$E$3:$E$4002,MATCH(A388,$V$19:$V$4018,0)),D387))</f>
        <v/>
      </c>
      <c r="E388" s="30">
        <f>IF(A388="","",IFERROR(INDEX('자료_한국심리'!$H$3:$H$4002,MATCH(A388,$W$19:$W$4018,0)),E387))</f>
        <v/>
      </c>
      <c r="F388" s="30">
        <f>IF(A388="","",IFERROR(INDEX('자료_한국심리'!$K$3:$K$4002,MATCH(A388,$X$19:$X$4018,0)),F387))</f>
        <v/>
      </c>
      <c r="G388" s="30">
        <f>IF(AND(ISNUMBER(E388),ISNUMBER(F388)),ROUND(E388-F388,6),"")</f>
        <v/>
      </c>
      <c r="H388" s="25">
        <f>IF(A388="","",IFERROR(INDEX('자료_한국심리'!$N$3:$N$4002,MATCH(A388,$Y$19:$Y$4018,0)),H387))</f>
        <v/>
      </c>
      <c r="I388" s="31">
        <f>IF(AND(ISNUMBER(H388),ISNUMBER(H368)),IF(H368&gt;0,H388/H368-1,""),"")</f>
        <v/>
      </c>
      <c r="J388">
        <f>IF(A388="",0,IF(A388&gt;$B$5,1,0))</f>
        <v/>
      </c>
      <c r="K388" s="29">
        <f>IF(AND(J388=1,ISNUMBER(D388)),D388,"")</f>
        <v/>
      </c>
      <c r="L388" s="30">
        <f>IF(AND(J388=1,ISNUMBER(G388)),G388,"")</f>
        <v/>
      </c>
      <c r="M388" s="22">
        <f>IF(AND(J388=1,ISNUMBER(C388)),C388,"")</f>
        <v/>
      </c>
      <c r="N388" s="31">
        <f>IF(AND(J388=1,ISNUMBER(I388)),I388,"")</f>
        <v/>
      </c>
      <c r="O388" s="11">
        <f>IF(K388="","",100-IF($G$13=1,50,(_xlfn.RANK.AVG(K388,$K$19:$K$1518,1)-1)/($G$13-1)*100))</f>
        <v/>
      </c>
      <c r="P388" s="11">
        <f>IF(L388="","",100-IF($G$14=1,50,(_xlfn.RANK.AVG(L388,$L$19:$L$1518,1)-1)/($G$14-1)*100))</f>
        <v/>
      </c>
      <c r="Q388" s="11">
        <f>IF(M388="","",IF($G$15=1,50,(_xlfn.RANK.AVG(M388,$M$19:$M$1518,1)-1)/($G$15-1)*100))</f>
        <v/>
      </c>
      <c r="R388" s="11">
        <f>IF(N388="","",IF($G$16=1,50,(_xlfn.RANK.AVG(N388,$N$19:$N$1518,1)-1)/($G$16-1)*100))</f>
        <v/>
      </c>
      <c r="S388" s="11">
        <f>IF(COUNT(O388:R388)=4,ROUND(AVERAGE(O388:R388),6),"")</f>
        <v/>
      </c>
      <c r="U388">
        <f>IF(AND(ISNUMBER('자료_한국심리'!$A372),ISNUMBER('자료_한국심리'!$B372)),'자료_한국심리'!$A372,"")</f>
        <v/>
      </c>
      <c r="V388">
        <f>IF(AND(ISNUMBER('자료_한국심리'!$D372),ISNUMBER('자료_한국심리'!$E372)),'자료_한국심리'!$D372,"")</f>
        <v/>
      </c>
      <c r="W388">
        <f>IF(AND(ISNUMBER('자료_한국심리'!$G372),ISNUMBER('자료_한국심리'!$H372)),'자료_한국심리'!$G372,"")</f>
        <v/>
      </c>
      <c r="X388">
        <f>IF(AND(ISNUMBER('자료_한국심리'!$J372),ISNUMBER('자료_한국심리'!$K372)),'자료_한국심리'!$J372,"")</f>
        <v/>
      </c>
      <c r="Y388">
        <f>IF(AND(ISNUMBER('자료_한국심리'!$M372),ISNUMBER('자료_한국심리'!$N372)),'자료_한국심리'!$M372,"")</f>
        <v/>
      </c>
    </row>
    <row r="389">
      <c r="A389" s="10">
        <f>IF(371&gt;$E$5,"",SMALL($U$19:$U$4018,$E$6+371))</f>
        <v/>
      </c>
      <c r="B389" s="29">
        <f>IF(A389="","",INDEX('자료_한국심리'!$B$3:$B$4002,MATCH(A389,$U$19:$U$4018,0)))</f>
        <v/>
      </c>
      <c r="C389" s="22">
        <f>IF(A389="","",B389/AVERAGE(B265:B389)-1)</f>
        <v/>
      </c>
      <c r="D389" s="29">
        <f>IF(A389="","",IFERROR(INDEX('자료_한국심리'!$E$3:$E$4002,MATCH(A389,$V$19:$V$4018,0)),D388))</f>
        <v/>
      </c>
      <c r="E389" s="30">
        <f>IF(A389="","",IFERROR(INDEX('자료_한국심리'!$H$3:$H$4002,MATCH(A389,$W$19:$W$4018,0)),E388))</f>
        <v/>
      </c>
      <c r="F389" s="30">
        <f>IF(A389="","",IFERROR(INDEX('자료_한국심리'!$K$3:$K$4002,MATCH(A389,$X$19:$X$4018,0)),F388))</f>
        <v/>
      </c>
      <c r="G389" s="30">
        <f>IF(AND(ISNUMBER(E389),ISNUMBER(F389)),ROUND(E389-F389,6),"")</f>
        <v/>
      </c>
      <c r="H389" s="25">
        <f>IF(A389="","",IFERROR(INDEX('자료_한국심리'!$N$3:$N$4002,MATCH(A389,$Y$19:$Y$4018,0)),H388))</f>
        <v/>
      </c>
      <c r="I389" s="31">
        <f>IF(AND(ISNUMBER(H389),ISNUMBER(H369)),IF(H369&gt;0,H389/H369-1,""),"")</f>
        <v/>
      </c>
      <c r="J389">
        <f>IF(A389="",0,IF(A389&gt;$B$5,1,0))</f>
        <v/>
      </c>
      <c r="K389" s="29">
        <f>IF(AND(J389=1,ISNUMBER(D389)),D389,"")</f>
        <v/>
      </c>
      <c r="L389" s="30">
        <f>IF(AND(J389=1,ISNUMBER(G389)),G389,"")</f>
        <v/>
      </c>
      <c r="M389" s="22">
        <f>IF(AND(J389=1,ISNUMBER(C389)),C389,"")</f>
        <v/>
      </c>
      <c r="N389" s="31">
        <f>IF(AND(J389=1,ISNUMBER(I389)),I389,"")</f>
        <v/>
      </c>
      <c r="O389" s="11">
        <f>IF(K389="","",100-IF($G$13=1,50,(_xlfn.RANK.AVG(K389,$K$19:$K$1518,1)-1)/($G$13-1)*100))</f>
        <v/>
      </c>
      <c r="P389" s="11">
        <f>IF(L389="","",100-IF($G$14=1,50,(_xlfn.RANK.AVG(L389,$L$19:$L$1518,1)-1)/($G$14-1)*100))</f>
        <v/>
      </c>
      <c r="Q389" s="11">
        <f>IF(M389="","",IF($G$15=1,50,(_xlfn.RANK.AVG(M389,$M$19:$M$1518,1)-1)/($G$15-1)*100))</f>
        <v/>
      </c>
      <c r="R389" s="11">
        <f>IF(N389="","",IF($G$16=1,50,(_xlfn.RANK.AVG(N389,$N$19:$N$1518,1)-1)/($G$16-1)*100))</f>
        <v/>
      </c>
      <c r="S389" s="11">
        <f>IF(COUNT(O389:R389)=4,ROUND(AVERAGE(O389:R389),6),"")</f>
        <v/>
      </c>
      <c r="U389">
        <f>IF(AND(ISNUMBER('자료_한국심리'!$A373),ISNUMBER('자료_한국심리'!$B373)),'자료_한국심리'!$A373,"")</f>
        <v/>
      </c>
      <c r="V389">
        <f>IF(AND(ISNUMBER('자료_한국심리'!$D373),ISNUMBER('자료_한국심리'!$E373)),'자료_한국심리'!$D373,"")</f>
        <v/>
      </c>
      <c r="W389">
        <f>IF(AND(ISNUMBER('자료_한국심리'!$G373),ISNUMBER('자료_한국심리'!$H373)),'자료_한국심리'!$G373,"")</f>
        <v/>
      </c>
      <c r="X389">
        <f>IF(AND(ISNUMBER('자료_한국심리'!$J373),ISNUMBER('자료_한국심리'!$K373)),'자료_한국심리'!$J373,"")</f>
        <v/>
      </c>
      <c r="Y389">
        <f>IF(AND(ISNUMBER('자료_한국심리'!$M373),ISNUMBER('자료_한국심리'!$N373)),'자료_한국심리'!$M373,"")</f>
        <v/>
      </c>
    </row>
    <row r="390">
      <c r="A390" s="10">
        <f>IF(372&gt;$E$5,"",SMALL($U$19:$U$4018,$E$6+372))</f>
        <v/>
      </c>
      <c r="B390" s="29">
        <f>IF(A390="","",INDEX('자료_한국심리'!$B$3:$B$4002,MATCH(A390,$U$19:$U$4018,0)))</f>
        <v/>
      </c>
      <c r="C390" s="22">
        <f>IF(A390="","",B390/AVERAGE(B266:B390)-1)</f>
        <v/>
      </c>
      <c r="D390" s="29">
        <f>IF(A390="","",IFERROR(INDEX('자료_한국심리'!$E$3:$E$4002,MATCH(A390,$V$19:$V$4018,0)),D389))</f>
        <v/>
      </c>
      <c r="E390" s="30">
        <f>IF(A390="","",IFERROR(INDEX('자료_한국심리'!$H$3:$H$4002,MATCH(A390,$W$19:$W$4018,0)),E389))</f>
        <v/>
      </c>
      <c r="F390" s="30">
        <f>IF(A390="","",IFERROR(INDEX('자료_한국심리'!$K$3:$K$4002,MATCH(A390,$X$19:$X$4018,0)),F389))</f>
        <v/>
      </c>
      <c r="G390" s="30">
        <f>IF(AND(ISNUMBER(E390),ISNUMBER(F390)),ROUND(E390-F390,6),"")</f>
        <v/>
      </c>
      <c r="H390" s="25">
        <f>IF(A390="","",IFERROR(INDEX('자료_한국심리'!$N$3:$N$4002,MATCH(A390,$Y$19:$Y$4018,0)),H389))</f>
        <v/>
      </c>
      <c r="I390" s="31">
        <f>IF(AND(ISNUMBER(H390),ISNUMBER(H370)),IF(H370&gt;0,H390/H370-1,""),"")</f>
        <v/>
      </c>
      <c r="J390">
        <f>IF(A390="",0,IF(A390&gt;$B$5,1,0))</f>
        <v/>
      </c>
      <c r="K390" s="29">
        <f>IF(AND(J390=1,ISNUMBER(D390)),D390,"")</f>
        <v/>
      </c>
      <c r="L390" s="30">
        <f>IF(AND(J390=1,ISNUMBER(G390)),G390,"")</f>
        <v/>
      </c>
      <c r="M390" s="22">
        <f>IF(AND(J390=1,ISNUMBER(C390)),C390,"")</f>
        <v/>
      </c>
      <c r="N390" s="31">
        <f>IF(AND(J390=1,ISNUMBER(I390)),I390,"")</f>
        <v/>
      </c>
      <c r="O390" s="11">
        <f>IF(K390="","",100-IF($G$13=1,50,(_xlfn.RANK.AVG(K390,$K$19:$K$1518,1)-1)/($G$13-1)*100))</f>
        <v/>
      </c>
      <c r="P390" s="11">
        <f>IF(L390="","",100-IF($G$14=1,50,(_xlfn.RANK.AVG(L390,$L$19:$L$1518,1)-1)/($G$14-1)*100))</f>
        <v/>
      </c>
      <c r="Q390" s="11">
        <f>IF(M390="","",IF($G$15=1,50,(_xlfn.RANK.AVG(M390,$M$19:$M$1518,1)-1)/($G$15-1)*100))</f>
        <v/>
      </c>
      <c r="R390" s="11">
        <f>IF(N390="","",IF($G$16=1,50,(_xlfn.RANK.AVG(N390,$N$19:$N$1518,1)-1)/($G$16-1)*100))</f>
        <v/>
      </c>
      <c r="S390" s="11">
        <f>IF(COUNT(O390:R390)=4,ROUND(AVERAGE(O390:R390),6),"")</f>
        <v/>
      </c>
      <c r="U390">
        <f>IF(AND(ISNUMBER('자료_한국심리'!$A374),ISNUMBER('자료_한국심리'!$B374)),'자료_한국심리'!$A374,"")</f>
        <v/>
      </c>
      <c r="V390">
        <f>IF(AND(ISNUMBER('자료_한국심리'!$D374),ISNUMBER('자료_한국심리'!$E374)),'자료_한국심리'!$D374,"")</f>
        <v/>
      </c>
      <c r="W390">
        <f>IF(AND(ISNUMBER('자료_한국심리'!$G374),ISNUMBER('자료_한국심리'!$H374)),'자료_한국심리'!$G374,"")</f>
        <v/>
      </c>
      <c r="X390">
        <f>IF(AND(ISNUMBER('자료_한국심리'!$J374),ISNUMBER('자료_한국심리'!$K374)),'자료_한국심리'!$J374,"")</f>
        <v/>
      </c>
      <c r="Y390">
        <f>IF(AND(ISNUMBER('자료_한국심리'!$M374),ISNUMBER('자료_한국심리'!$N374)),'자료_한국심리'!$M374,"")</f>
        <v/>
      </c>
    </row>
    <row r="391">
      <c r="A391" s="10">
        <f>IF(373&gt;$E$5,"",SMALL($U$19:$U$4018,$E$6+373))</f>
        <v/>
      </c>
      <c r="B391" s="29">
        <f>IF(A391="","",INDEX('자료_한국심리'!$B$3:$B$4002,MATCH(A391,$U$19:$U$4018,0)))</f>
        <v/>
      </c>
      <c r="C391" s="22">
        <f>IF(A391="","",B391/AVERAGE(B267:B391)-1)</f>
        <v/>
      </c>
      <c r="D391" s="29">
        <f>IF(A391="","",IFERROR(INDEX('자료_한국심리'!$E$3:$E$4002,MATCH(A391,$V$19:$V$4018,0)),D390))</f>
        <v/>
      </c>
      <c r="E391" s="30">
        <f>IF(A391="","",IFERROR(INDEX('자료_한국심리'!$H$3:$H$4002,MATCH(A391,$W$19:$W$4018,0)),E390))</f>
        <v/>
      </c>
      <c r="F391" s="30">
        <f>IF(A391="","",IFERROR(INDEX('자료_한국심리'!$K$3:$K$4002,MATCH(A391,$X$19:$X$4018,0)),F390))</f>
        <v/>
      </c>
      <c r="G391" s="30">
        <f>IF(AND(ISNUMBER(E391),ISNUMBER(F391)),ROUND(E391-F391,6),"")</f>
        <v/>
      </c>
      <c r="H391" s="25">
        <f>IF(A391="","",IFERROR(INDEX('자료_한국심리'!$N$3:$N$4002,MATCH(A391,$Y$19:$Y$4018,0)),H390))</f>
        <v/>
      </c>
      <c r="I391" s="31">
        <f>IF(AND(ISNUMBER(H391),ISNUMBER(H371)),IF(H371&gt;0,H391/H371-1,""),"")</f>
        <v/>
      </c>
      <c r="J391">
        <f>IF(A391="",0,IF(A391&gt;$B$5,1,0))</f>
        <v/>
      </c>
      <c r="K391" s="29">
        <f>IF(AND(J391=1,ISNUMBER(D391)),D391,"")</f>
        <v/>
      </c>
      <c r="L391" s="30">
        <f>IF(AND(J391=1,ISNUMBER(G391)),G391,"")</f>
        <v/>
      </c>
      <c r="M391" s="22">
        <f>IF(AND(J391=1,ISNUMBER(C391)),C391,"")</f>
        <v/>
      </c>
      <c r="N391" s="31">
        <f>IF(AND(J391=1,ISNUMBER(I391)),I391,"")</f>
        <v/>
      </c>
      <c r="O391" s="11">
        <f>IF(K391="","",100-IF($G$13=1,50,(_xlfn.RANK.AVG(K391,$K$19:$K$1518,1)-1)/($G$13-1)*100))</f>
        <v/>
      </c>
      <c r="P391" s="11">
        <f>IF(L391="","",100-IF($G$14=1,50,(_xlfn.RANK.AVG(L391,$L$19:$L$1518,1)-1)/($G$14-1)*100))</f>
        <v/>
      </c>
      <c r="Q391" s="11">
        <f>IF(M391="","",IF($G$15=1,50,(_xlfn.RANK.AVG(M391,$M$19:$M$1518,1)-1)/($G$15-1)*100))</f>
        <v/>
      </c>
      <c r="R391" s="11">
        <f>IF(N391="","",IF($G$16=1,50,(_xlfn.RANK.AVG(N391,$N$19:$N$1518,1)-1)/($G$16-1)*100))</f>
        <v/>
      </c>
      <c r="S391" s="11">
        <f>IF(COUNT(O391:R391)=4,ROUND(AVERAGE(O391:R391),6),"")</f>
        <v/>
      </c>
      <c r="U391">
        <f>IF(AND(ISNUMBER('자료_한국심리'!$A375),ISNUMBER('자료_한국심리'!$B375)),'자료_한국심리'!$A375,"")</f>
        <v/>
      </c>
      <c r="V391">
        <f>IF(AND(ISNUMBER('자료_한국심리'!$D375),ISNUMBER('자료_한국심리'!$E375)),'자료_한국심리'!$D375,"")</f>
        <v/>
      </c>
      <c r="W391">
        <f>IF(AND(ISNUMBER('자료_한국심리'!$G375),ISNUMBER('자료_한국심리'!$H375)),'자료_한국심리'!$G375,"")</f>
        <v/>
      </c>
      <c r="X391">
        <f>IF(AND(ISNUMBER('자료_한국심리'!$J375),ISNUMBER('자료_한국심리'!$K375)),'자료_한국심리'!$J375,"")</f>
        <v/>
      </c>
      <c r="Y391">
        <f>IF(AND(ISNUMBER('자료_한국심리'!$M375),ISNUMBER('자료_한국심리'!$N375)),'자료_한국심리'!$M375,"")</f>
        <v/>
      </c>
    </row>
    <row r="392">
      <c r="A392" s="10">
        <f>IF(374&gt;$E$5,"",SMALL($U$19:$U$4018,$E$6+374))</f>
        <v/>
      </c>
      <c r="B392" s="29">
        <f>IF(A392="","",INDEX('자료_한국심리'!$B$3:$B$4002,MATCH(A392,$U$19:$U$4018,0)))</f>
        <v/>
      </c>
      <c r="C392" s="22">
        <f>IF(A392="","",B392/AVERAGE(B268:B392)-1)</f>
        <v/>
      </c>
      <c r="D392" s="29">
        <f>IF(A392="","",IFERROR(INDEX('자료_한국심리'!$E$3:$E$4002,MATCH(A392,$V$19:$V$4018,0)),D391))</f>
        <v/>
      </c>
      <c r="E392" s="30">
        <f>IF(A392="","",IFERROR(INDEX('자료_한국심리'!$H$3:$H$4002,MATCH(A392,$W$19:$W$4018,0)),E391))</f>
        <v/>
      </c>
      <c r="F392" s="30">
        <f>IF(A392="","",IFERROR(INDEX('자료_한국심리'!$K$3:$K$4002,MATCH(A392,$X$19:$X$4018,0)),F391))</f>
        <v/>
      </c>
      <c r="G392" s="30">
        <f>IF(AND(ISNUMBER(E392),ISNUMBER(F392)),ROUND(E392-F392,6),"")</f>
        <v/>
      </c>
      <c r="H392" s="25">
        <f>IF(A392="","",IFERROR(INDEX('자료_한국심리'!$N$3:$N$4002,MATCH(A392,$Y$19:$Y$4018,0)),H391))</f>
        <v/>
      </c>
      <c r="I392" s="31">
        <f>IF(AND(ISNUMBER(H392),ISNUMBER(H372)),IF(H372&gt;0,H392/H372-1,""),"")</f>
        <v/>
      </c>
      <c r="J392">
        <f>IF(A392="",0,IF(A392&gt;$B$5,1,0))</f>
        <v/>
      </c>
      <c r="K392" s="29">
        <f>IF(AND(J392=1,ISNUMBER(D392)),D392,"")</f>
        <v/>
      </c>
      <c r="L392" s="30">
        <f>IF(AND(J392=1,ISNUMBER(G392)),G392,"")</f>
        <v/>
      </c>
      <c r="M392" s="22">
        <f>IF(AND(J392=1,ISNUMBER(C392)),C392,"")</f>
        <v/>
      </c>
      <c r="N392" s="31">
        <f>IF(AND(J392=1,ISNUMBER(I392)),I392,"")</f>
        <v/>
      </c>
      <c r="O392" s="11">
        <f>IF(K392="","",100-IF($G$13=1,50,(_xlfn.RANK.AVG(K392,$K$19:$K$1518,1)-1)/($G$13-1)*100))</f>
        <v/>
      </c>
      <c r="P392" s="11">
        <f>IF(L392="","",100-IF($G$14=1,50,(_xlfn.RANK.AVG(L392,$L$19:$L$1518,1)-1)/($G$14-1)*100))</f>
        <v/>
      </c>
      <c r="Q392" s="11">
        <f>IF(M392="","",IF($G$15=1,50,(_xlfn.RANK.AVG(M392,$M$19:$M$1518,1)-1)/($G$15-1)*100))</f>
        <v/>
      </c>
      <c r="R392" s="11">
        <f>IF(N392="","",IF($G$16=1,50,(_xlfn.RANK.AVG(N392,$N$19:$N$1518,1)-1)/($G$16-1)*100))</f>
        <v/>
      </c>
      <c r="S392" s="11">
        <f>IF(COUNT(O392:R392)=4,ROUND(AVERAGE(O392:R392),6),"")</f>
        <v/>
      </c>
      <c r="U392">
        <f>IF(AND(ISNUMBER('자료_한국심리'!$A376),ISNUMBER('자료_한국심리'!$B376)),'자료_한국심리'!$A376,"")</f>
        <v/>
      </c>
      <c r="V392">
        <f>IF(AND(ISNUMBER('자료_한국심리'!$D376),ISNUMBER('자료_한국심리'!$E376)),'자료_한국심리'!$D376,"")</f>
        <v/>
      </c>
      <c r="W392">
        <f>IF(AND(ISNUMBER('자료_한국심리'!$G376),ISNUMBER('자료_한국심리'!$H376)),'자료_한국심리'!$G376,"")</f>
        <v/>
      </c>
      <c r="X392">
        <f>IF(AND(ISNUMBER('자료_한국심리'!$J376),ISNUMBER('자료_한국심리'!$K376)),'자료_한국심리'!$J376,"")</f>
        <v/>
      </c>
      <c r="Y392">
        <f>IF(AND(ISNUMBER('자료_한국심리'!$M376),ISNUMBER('자료_한국심리'!$N376)),'자료_한국심리'!$M376,"")</f>
        <v/>
      </c>
    </row>
    <row r="393">
      <c r="A393" s="10">
        <f>IF(375&gt;$E$5,"",SMALL($U$19:$U$4018,$E$6+375))</f>
        <v/>
      </c>
      <c r="B393" s="29">
        <f>IF(A393="","",INDEX('자료_한국심리'!$B$3:$B$4002,MATCH(A393,$U$19:$U$4018,0)))</f>
        <v/>
      </c>
      <c r="C393" s="22">
        <f>IF(A393="","",B393/AVERAGE(B269:B393)-1)</f>
        <v/>
      </c>
      <c r="D393" s="29">
        <f>IF(A393="","",IFERROR(INDEX('자료_한국심리'!$E$3:$E$4002,MATCH(A393,$V$19:$V$4018,0)),D392))</f>
        <v/>
      </c>
      <c r="E393" s="30">
        <f>IF(A393="","",IFERROR(INDEX('자료_한국심리'!$H$3:$H$4002,MATCH(A393,$W$19:$W$4018,0)),E392))</f>
        <v/>
      </c>
      <c r="F393" s="30">
        <f>IF(A393="","",IFERROR(INDEX('자료_한국심리'!$K$3:$K$4002,MATCH(A393,$X$19:$X$4018,0)),F392))</f>
        <v/>
      </c>
      <c r="G393" s="30">
        <f>IF(AND(ISNUMBER(E393),ISNUMBER(F393)),ROUND(E393-F393,6),"")</f>
        <v/>
      </c>
      <c r="H393" s="25">
        <f>IF(A393="","",IFERROR(INDEX('자료_한국심리'!$N$3:$N$4002,MATCH(A393,$Y$19:$Y$4018,0)),H392))</f>
        <v/>
      </c>
      <c r="I393" s="31">
        <f>IF(AND(ISNUMBER(H393),ISNUMBER(H373)),IF(H373&gt;0,H393/H373-1,""),"")</f>
        <v/>
      </c>
      <c r="J393">
        <f>IF(A393="",0,IF(A393&gt;$B$5,1,0))</f>
        <v/>
      </c>
      <c r="K393" s="29">
        <f>IF(AND(J393=1,ISNUMBER(D393)),D393,"")</f>
        <v/>
      </c>
      <c r="L393" s="30">
        <f>IF(AND(J393=1,ISNUMBER(G393)),G393,"")</f>
        <v/>
      </c>
      <c r="M393" s="22">
        <f>IF(AND(J393=1,ISNUMBER(C393)),C393,"")</f>
        <v/>
      </c>
      <c r="N393" s="31">
        <f>IF(AND(J393=1,ISNUMBER(I393)),I393,"")</f>
        <v/>
      </c>
      <c r="O393" s="11">
        <f>IF(K393="","",100-IF($G$13=1,50,(_xlfn.RANK.AVG(K393,$K$19:$K$1518,1)-1)/($G$13-1)*100))</f>
        <v/>
      </c>
      <c r="P393" s="11">
        <f>IF(L393="","",100-IF($G$14=1,50,(_xlfn.RANK.AVG(L393,$L$19:$L$1518,1)-1)/($G$14-1)*100))</f>
        <v/>
      </c>
      <c r="Q393" s="11">
        <f>IF(M393="","",IF($G$15=1,50,(_xlfn.RANK.AVG(M393,$M$19:$M$1518,1)-1)/($G$15-1)*100))</f>
        <v/>
      </c>
      <c r="R393" s="11">
        <f>IF(N393="","",IF($G$16=1,50,(_xlfn.RANK.AVG(N393,$N$19:$N$1518,1)-1)/($G$16-1)*100))</f>
        <v/>
      </c>
      <c r="S393" s="11">
        <f>IF(COUNT(O393:R393)=4,ROUND(AVERAGE(O393:R393),6),"")</f>
        <v/>
      </c>
      <c r="U393">
        <f>IF(AND(ISNUMBER('자료_한국심리'!$A377),ISNUMBER('자료_한국심리'!$B377)),'자료_한국심리'!$A377,"")</f>
        <v/>
      </c>
      <c r="V393">
        <f>IF(AND(ISNUMBER('자료_한국심리'!$D377),ISNUMBER('자료_한국심리'!$E377)),'자료_한국심리'!$D377,"")</f>
        <v/>
      </c>
      <c r="W393">
        <f>IF(AND(ISNUMBER('자료_한국심리'!$G377),ISNUMBER('자료_한국심리'!$H377)),'자료_한국심리'!$G377,"")</f>
        <v/>
      </c>
      <c r="X393">
        <f>IF(AND(ISNUMBER('자료_한국심리'!$J377),ISNUMBER('자료_한국심리'!$K377)),'자료_한국심리'!$J377,"")</f>
        <v/>
      </c>
      <c r="Y393">
        <f>IF(AND(ISNUMBER('자료_한국심리'!$M377),ISNUMBER('자료_한국심리'!$N377)),'자료_한국심리'!$M377,"")</f>
        <v/>
      </c>
    </row>
    <row r="394">
      <c r="A394" s="10">
        <f>IF(376&gt;$E$5,"",SMALL($U$19:$U$4018,$E$6+376))</f>
        <v/>
      </c>
      <c r="B394" s="29">
        <f>IF(A394="","",INDEX('자료_한국심리'!$B$3:$B$4002,MATCH(A394,$U$19:$U$4018,0)))</f>
        <v/>
      </c>
      <c r="C394" s="22">
        <f>IF(A394="","",B394/AVERAGE(B270:B394)-1)</f>
        <v/>
      </c>
      <c r="D394" s="29">
        <f>IF(A394="","",IFERROR(INDEX('자료_한국심리'!$E$3:$E$4002,MATCH(A394,$V$19:$V$4018,0)),D393))</f>
        <v/>
      </c>
      <c r="E394" s="30">
        <f>IF(A394="","",IFERROR(INDEX('자료_한국심리'!$H$3:$H$4002,MATCH(A394,$W$19:$W$4018,0)),E393))</f>
        <v/>
      </c>
      <c r="F394" s="30">
        <f>IF(A394="","",IFERROR(INDEX('자료_한국심리'!$K$3:$K$4002,MATCH(A394,$X$19:$X$4018,0)),F393))</f>
        <v/>
      </c>
      <c r="G394" s="30">
        <f>IF(AND(ISNUMBER(E394),ISNUMBER(F394)),ROUND(E394-F394,6),"")</f>
        <v/>
      </c>
      <c r="H394" s="25">
        <f>IF(A394="","",IFERROR(INDEX('자료_한국심리'!$N$3:$N$4002,MATCH(A394,$Y$19:$Y$4018,0)),H393))</f>
        <v/>
      </c>
      <c r="I394" s="31">
        <f>IF(AND(ISNUMBER(H394),ISNUMBER(H374)),IF(H374&gt;0,H394/H374-1,""),"")</f>
        <v/>
      </c>
      <c r="J394">
        <f>IF(A394="",0,IF(A394&gt;$B$5,1,0))</f>
        <v/>
      </c>
      <c r="K394" s="29">
        <f>IF(AND(J394=1,ISNUMBER(D394)),D394,"")</f>
        <v/>
      </c>
      <c r="L394" s="30">
        <f>IF(AND(J394=1,ISNUMBER(G394)),G394,"")</f>
        <v/>
      </c>
      <c r="M394" s="22">
        <f>IF(AND(J394=1,ISNUMBER(C394)),C394,"")</f>
        <v/>
      </c>
      <c r="N394" s="31">
        <f>IF(AND(J394=1,ISNUMBER(I394)),I394,"")</f>
        <v/>
      </c>
      <c r="O394" s="11">
        <f>IF(K394="","",100-IF($G$13=1,50,(_xlfn.RANK.AVG(K394,$K$19:$K$1518,1)-1)/($G$13-1)*100))</f>
        <v/>
      </c>
      <c r="P394" s="11">
        <f>IF(L394="","",100-IF($G$14=1,50,(_xlfn.RANK.AVG(L394,$L$19:$L$1518,1)-1)/($G$14-1)*100))</f>
        <v/>
      </c>
      <c r="Q394" s="11">
        <f>IF(M394="","",IF($G$15=1,50,(_xlfn.RANK.AVG(M394,$M$19:$M$1518,1)-1)/($G$15-1)*100))</f>
        <v/>
      </c>
      <c r="R394" s="11">
        <f>IF(N394="","",IF($G$16=1,50,(_xlfn.RANK.AVG(N394,$N$19:$N$1518,1)-1)/($G$16-1)*100))</f>
        <v/>
      </c>
      <c r="S394" s="11">
        <f>IF(COUNT(O394:R394)=4,ROUND(AVERAGE(O394:R394),6),"")</f>
        <v/>
      </c>
      <c r="U394">
        <f>IF(AND(ISNUMBER('자료_한국심리'!$A378),ISNUMBER('자료_한국심리'!$B378)),'자료_한국심리'!$A378,"")</f>
        <v/>
      </c>
      <c r="V394">
        <f>IF(AND(ISNUMBER('자료_한국심리'!$D378),ISNUMBER('자료_한국심리'!$E378)),'자료_한국심리'!$D378,"")</f>
        <v/>
      </c>
      <c r="W394">
        <f>IF(AND(ISNUMBER('자료_한국심리'!$G378),ISNUMBER('자료_한국심리'!$H378)),'자료_한국심리'!$G378,"")</f>
        <v/>
      </c>
      <c r="X394">
        <f>IF(AND(ISNUMBER('자료_한국심리'!$J378),ISNUMBER('자료_한국심리'!$K378)),'자료_한국심리'!$J378,"")</f>
        <v/>
      </c>
      <c r="Y394">
        <f>IF(AND(ISNUMBER('자료_한국심리'!$M378),ISNUMBER('자료_한국심리'!$N378)),'자료_한국심리'!$M378,"")</f>
        <v/>
      </c>
    </row>
    <row r="395">
      <c r="A395" s="10">
        <f>IF(377&gt;$E$5,"",SMALL($U$19:$U$4018,$E$6+377))</f>
        <v/>
      </c>
      <c r="B395" s="29">
        <f>IF(A395="","",INDEX('자료_한국심리'!$B$3:$B$4002,MATCH(A395,$U$19:$U$4018,0)))</f>
        <v/>
      </c>
      <c r="C395" s="22">
        <f>IF(A395="","",B395/AVERAGE(B271:B395)-1)</f>
        <v/>
      </c>
      <c r="D395" s="29">
        <f>IF(A395="","",IFERROR(INDEX('자료_한국심리'!$E$3:$E$4002,MATCH(A395,$V$19:$V$4018,0)),D394))</f>
        <v/>
      </c>
      <c r="E395" s="30">
        <f>IF(A395="","",IFERROR(INDEX('자료_한국심리'!$H$3:$H$4002,MATCH(A395,$W$19:$W$4018,0)),E394))</f>
        <v/>
      </c>
      <c r="F395" s="30">
        <f>IF(A395="","",IFERROR(INDEX('자료_한국심리'!$K$3:$K$4002,MATCH(A395,$X$19:$X$4018,0)),F394))</f>
        <v/>
      </c>
      <c r="G395" s="30">
        <f>IF(AND(ISNUMBER(E395),ISNUMBER(F395)),ROUND(E395-F395,6),"")</f>
        <v/>
      </c>
      <c r="H395" s="25">
        <f>IF(A395="","",IFERROR(INDEX('자료_한국심리'!$N$3:$N$4002,MATCH(A395,$Y$19:$Y$4018,0)),H394))</f>
        <v/>
      </c>
      <c r="I395" s="31">
        <f>IF(AND(ISNUMBER(H395),ISNUMBER(H375)),IF(H375&gt;0,H395/H375-1,""),"")</f>
        <v/>
      </c>
      <c r="J395">
        <f>IF(A395="",0,IF(A395&gt;$B$5,1,0))</f>
        <v/>
      </c>
      <c r="K395" s="29">
        <f>IF(AND(J395=1,ISNUMBER(D395)),D395,"")</f>
        <v/>
      </c>
      <c r="L395" s="30">
        <f>IF(AND(J395=1,ISNUMBER(G395)),G395,"")</f>
        <v/>
      </c>
      <c r="M395" s="22">
        <f>IF(AND(J395=1,ISNUMBER(C395)),C395,"")</f>
        <v/>
      </c>
      <c r="N395" s="31">
        <f>IF(AND(J395=1,ISNUMBER(I395)),I395,"")</f>
        <v/>
      </c>
      <c r="O395" s="11">
        <f>IF(K395="","",100-IF($G$13=1,50,(_xlfn.RANK.AVG(K395,$K$19:$K$1518,1)-1)/($G$13-1)*100))</f>
        <v/>
      </c>
      <c r="P395" s="11">
        <f>IF(L395="","",100-IF($G$14=1,50,(_xlfn.RANK.AVG(L395,$L$19:$L$1518,1)-1)/($G$14-1)*100))</f>
        <v/>
      </c>
      <c r="Q395" s="11">
        <f>IF(M395="","",IF($G$15=1,50,(_xlfn.RANK.AVG(M395,$M$19:$M$1518,1)-1)/($G$15-1)*100))</f>
        <v/>
      </c>
      <c r="R395" s="11">
        <f>IF(N395="","",IF($G$16=1,50,(_xlfn.RANK.AVG(N395,$N$19:$N$1518,1)-1)/($G$16-1)*100))</f>
        <v/>
      </c>
      <c r="S395" s="11">
        <f>IF(COUNT(O395:R395)=4,ROUND(AVERAGE(O395:R395),6),"")</f>
        <v/>
      </c>
      <c r="U395">
        <f>IF(AND(ISNUMBER('자료_한국심리'!$A379),ISNUMBER('자료_한국심리'!$B379)),'자료_한국심리'!$A379,"")</f>
        <v/>
      </c>
      <c r="V395">
        <f>IF(AND(ISNUMBER('자료_한국심리'!$D379),ISNUMBER('자료_한국심리'!$E379)),'자료_한국심리'!$D379,"")</f>
        <v/>
      </c>
      <c r="W395">
        <f>IF(AND(ISNUMBER('자료_한국심리'!$G379),ISNUMBER('자료_한국심리'!$H379)),'자료_한국심리'!$G379,"")</f>
        <v/>
      </c>
      <c r="X395">
        <f>IF(AND(ISNUMBER('자료_한국심리'!$J379),ISNUMBER('자료_한국심리'!$K379)),'자료_한국심리'!$J379,"")</f>
        <v/>
      </c>
      <c r="Y395">
        <f>IF(AND(ISNUMBER('자료_한국심리'!$M379),ISNUMBER('자료_한국심리'!$N379)),'자료_한국심리'!$M379,"")</f>
        <v/>
      </c>
    </row>
    <row r="396">
      <c r="A396" s="10">
        <f>IF(378&gt;$E$5,"",SMALL($U$19:$U$4018,$E$6+378))</f>
        <v/>
      </c>
      <c r="B396" s="29">
        <f>IF(A396="","",INDEX('자료_한국심리'!$B$3:$B$4002,MATCH(A396,$U$19:$U$4018,0)))</f>
        <v/>
      </c>
      <c r="C396" s="22">
        <f>IF(A396="","",B396/AVERAGE(B272:B396)-1)</f>
        <v/>
      </c>
      <c r="D396" s="29">
        <f>IF(A396="","",IFERROR(INDEX('자료_한국심리'!$E$3:$E$4002,MATCH(A396,$V$19:$V$4018,0)),D395))</f>
        <v/>
      </c>
      <c r="E396" s="30">
        <f>IF(A396="","",IFERROR(INDEX('자료_한국심리'!$H$3:$H$4002,MATCH(A396,$W$19:$W$4018,0)),E395))</f>
        <v/>
      </c>
      <c r="F396" s="30">
        <f>IF(A396="","",IFERROR(INDEX('자료_한국심리'!$K$3:$K$4002,MATCH(A396,$X$19:$X$4018,0)),F395))</f>
        <v/>
      </c>
      <c r="G396" s="30">
        <f>IF(AND(ISNUMBER(E396),ISNUMBER(F396)),ROUND(E396-F396,6),"")</f>
        <v/>
      </c>
      <c r="H396" s="25">
        <f>IF(A396="","",IFERROR(INDEX('자료_한국심리'!$N$3:$N$4002,MATCH(A396,$Y$19:$Y$4018,0)),H395))</f>
        <v/>
      </c>
      <c r="I396" s="31">
        <f>IF(AND(ISNUMBER(H396),ISNUMBER(H376)),IF(H376&gt;0,H396/H376-1,""),"")</f>
        <v/>
      </c>
      <c r="J396">
        <f>IF(A396="",0,IF(A396&gt;$B$5,1,0))</f>
        <v/>
      </c>
      <c r="K396" s="29">
        <f>IF(AND(J396=1,ISNUMBER(D396)),D396,"")</f>
        <v/>
      </c>
      <c r="L396" s="30">
        <f>IF(AND(J396=1,ISNUMBER(G396)),G396,"")</f>
        <v/>
      </c>
      <c r="M396" s="22">
        <f>IF(AND(J396=1,ISNUMBER(C396)),C396,"")</f>
        <v/>
      </c>
      <c r="N396" s="31">
        <f>IF(AND(J396=1,ISNUMBER(I396)),I396,"")</f>
        <v/>
      </c>
      <c r="O396" s="11">
        <f>IF(K396="","",100-IF($G$13=1,50,(_xlfn.RANK.AVG(K396,$K$19:$K$1518,1)-1)/($G$13-1)*100))</f>
        <v/>
      </c>
      <c r="P396" s="11">
        <f>IF(L396="","",100-IF($G$14=1,50,(_xlfn.RANK.AVG(L396,$L$19:$L$1518,1)-1)/($G$14-1)*100))</f>
        <v/>
      </c>
      <c r="Q396" s="11">
        <f>IF(M396="","",IF($G$15=1,50,(_xlfn.RANK.AVG(M396,$M$19:$M$1518,1)-1)/($G$15-1)*100))</f>
        <v/>
      </c>
      <c r="R396" s="11">
        <f>IF(N396="","",IF($G$16=1,50,(_xlfn.RANK.AVG(N396,$N$19:$N$1518,1)-1)/($G$16-1)*100))</f>
        <v/>
      </c>
      <c r="S396" s="11">
        <f>IF(COUNT(O396:R396)=4,ROUND(AVERAGE(O396:R396),6),"")</f>
        <v/>
      </c>
      <c r="U396">
        <f>IF(AND(ISNUMBER('자료_한국심리'!$A380),ISNUMBER('자료_한국심리'!$B380)),'자료_한국심리'!$A380,"")</f>
        <v/>
      </c>
      <c r="V396">
        <f>IF(AND(ISNUMBER('자료_한국심리'!$D380),ISNUMBER('자료_한국심리'!$E380)),'자료_한국심리'!$D380,"")</f>
        <v/>
      </c>
      <c r="W396">
        <f>IF(AND(ISNUMBER('자료_한국심리'!$G380),ISNUMBER('자료_한국심리'!$H380)),'자료_한국심리'!$G380,"")</f>
        <v/>
      </c>
      <c r="X396">
        <f>IF(AND(ISNUMBER('자료_한국심리'!$J380),ISNUMBER('자료_한국심리'!$K380)),'자료_한국심리'!$J380,"")</f>
        <v/>
      </c>
      <c r="Y396">
        <f>IF(AND(ISNUMBER('자료_한국심리'!$M380),ISNUMBER('자료_한국심리'!$N380)),'자료_한국심리'!$M380,"")</f>
        <v/>
      </c>
    </row>
    <row r="397">
      <c r="A397" s="10">
        <f>IF(379&gt;$E$5,"",SMALL($U$19:$U$4018,$E$6+379))</f>
        <v/>
      </c>
      <c r="B397" s="29">
        <f>IF(A397="","",INDEX('자료_한국심리'!$B$3:$B$4002,MATCH(A397,$U$19:$U$4018,0)))</f>
        <v/>
      </c>
      <c r="C397" s="22">
        <f>IF(A397="","",B397/AVERAGE(B273:B397)-1)</f>
        <v/>
      </c>
      <c r="D397" s="29">
        <f>IF(A397="","",IFERROR(INDEX('자료_한국심리'!$E$3:$E$4002,MATCH(A397,$V$19:$V$4018,0)),D396))</f>
        <v/>
      </c>
      <c r="E397" s="30">
        <f>IF(A397="","",IFERROR(INDEX('자료_한국심리'!$H$3:$H$4002,MATCH(A397,$W$19:$W$4018,0)),E396))</f>
        <v/>
      </c>
      <c r="F397" s="30">
        <f>IF(A397="","",IFERROR(INDEX('자료_한국심리'!$K$3:$K$4002,MATCH(A397,$X$19:$X$4018,0)),F396))</f>
        <v/>
      </c>
      <c r="G397" s="30">
        <f>IF(AND(ISNUMBER(E397),ISNUMBER(F397)),ROUND(E397-F397,6),"")</f>
        <v/>
      </c>
      <c r="H397" s="25">
        <f>IF(A397="","",IFERROR(INDEX('자료_한국심리'!$N$3:$N$4002,MATCH(A397,$Y$19:$Y$4018,0)),H396))</f>
        <v/>
      </c>
      <c r="I397" s="31">
        <f>IF(AND(ISNUMBER(H397),ISNUMBER(H377)),IF(H377&gt;0,H397/H377-1,""),"")</f>
        <v/>
      </c>
      <c r="J397">
        <f>IF(A397="",0,IF(A397&gt;$B$5,1,0))</f>
        <v/>
      </c>
      <c r="K397" s="29">
        <f>IF(AND(J397=1,ISNUMBER(D397)),D397,"")</f>
        <v/>
      </c>
      <c r="L397" s="30">
        <f>IF(AND(J397=1,ISNUMBER(G397)),G397,"")</f>
        <v/>
      </c>
      <c r="M397" s="22">
        <f>IF(AND(J397=1,ISNUMBER(C397)),C397,"")</f>
        <v/>
      </c>
      <c r="N397" s="31">
        <f>IF(AND(J397=1,ISNUMBER(I397)),I397,"")</f>
        <v/>
      </c>
      <c r="O397" s="11">
        <f>IF(K397="","",100-IF($G$13=1,50,(_xlfn.RANK.AVG(K397,$K$19:$K$1518,1)-1)/($G$13-1)*100))</f>
        <v/>
      </c>
      <c r="P397" s="11">
        <f>IF(L397="","",100-IF($G$14=1,50,(_xlfn.RANK.AVG(L397,$L$19:$L$1518,1)-1)/($G$14-1)*100))</f>
        <v/>
      </c>
      <c r="Q397" s="11">
        <f>IF(M397="","",IF($G$15=1,50,(_xlfn.RANK.AVG(M397,$M$19:$M$1518,1)-1)/($G$15-1)*100))</f>
        <v/>
      </c>
      <c r="R397" s="11">
        <f>IF(N397="","",IF($G$16=1,50,(_xlfn.RANK.AVG(N397,$N$19:$N$1518,1)-1)/($G$16-1)*100))</f>
        <v/>
      </c>
      <c r="S397" s="11">
        <f>IF(COUNT(O397:R397)=4,ROUND(AVERAGE(O397:R397),6),"")</f>
        <v/>
      </c>
      <c r="U397">
        <f>IF(AND(ISNUMBER('자료_한국심리'!$A381),ISNUMBER('자료_한국심리'!$B381)),'자료_한국심리'!$A381,"")</f>
        <v/>
      </c>
      <c r="V397">
        <f>IF(AND(ISNUMBER('자료_한국심리'!$D381),ISNUMBER('자료_한국심리'!$E381)),'자료_한국심리'!$D381,"")</f>
        <v/>
      </c>
      <c r="W397">
        <f>IF(AND(ISNUMBER('자료_한국심리'!$G381),ISNUMBER('자료_한국심리'!$H381)),'자료_한국심리'!$G381,"")</f>
        <v/>
      </c>
      <c r="X397">
        <f>IF(AND(ISNUMBER('자료_한국심리'!$J381),ISNUMBER('자료_한국심리'!$K381)),'자료_한국심리'!$J381,"")</f>
        <v/>
      </c>
      <c r="Y397">
        <f>IF(AND(ISNUMBER('자료_한국심리'!$M381),ISNUMBER('자료_한국심리'!$N381)),'자료_한국심리'!$M381,"")</f>
        <v/>
      </c>
    </row>
    <row r="398">
      <c r="A398" s="10">
        <f>IF(380&gt;$E$5,"",SMALL($U$19:$U$4018,$E$6+380))</f>
        <v/>
      </c>
      <c r="B398" s="29">
        <f>IF(A398="","",INDEX('자료_한국심리'!$B$3:$B$4002,MATCH(A398,$U$19:$U$4018,0)))</f>
        <v/>
      </c>
      <c r="C398" s="22">
        <f>IF(A398="","",B398/AVERAGE(B274:B398)-1)</f>
        <v/>
      </c>
      <c r="D398" s="29">
        <f>IF(A398="","",IFERROR(INDEX('자료_한국심리'!$E$3:$E$4002,MATCH(A398,$V$19:$V$4018,0)),D397))</f>
        <v/>
      </c>
      <c r="E398" s="30">
        <f>IF(A398="","",IFERROR(INDEX('자료_한국심리'!$H$3:$H$4002,MATCH(A398,$W$19:$W$4018,0)),E397))</f>
        <v/>
      </c>
      <c r="F398" s="30">
        <f>IF(A398="","",IFERROR(INDEX('자료_한국심리'!$K$3:$K$4002,MATCH(A398,$X$19:$X$4018,0)),F397))</f>
        <v/>
      </c>
      <c r="G398" s="30">
        <f>IF(AND(ISNUMBER(E398),ISNUMBER(F398)),ROUND(E398-F398,6),"")</f>
        <v/>
      </c>
      <c r="H398" s="25">
        <f>IF(A398="","",IFERROR(INDEX('자료_한국심리'!$N$3:$N$4002,MATCH(A398,$Y$19:$Y$4018,0)),H397))</f>
        <v/>
      </c>
      <c r="I398" s="31">
        <f>IF(AND(ISNUMBER(H398),ISNUMBER(H378)),IF(H378&gt;0,H398/H378-1,""),"")</f>
        <v/>
      </c>
      <c r="J398">
        <f>IF(A398="",0,IF(A398&gt;$B$5,1,0))</f>
        <v/>
      </c>
      <c r="K398" s="29">
        <f>IF(AND(J398=1,ISNUMBER(D398)),D398,"")</f>
        <v/>
      </c>
      <c r="L398" s="30">
        <f>IF(AND(J398=1,ISNUMBER(G398)),G398,"")</f>
        <v/>
      </c>
      <c r="M398" s="22">
        <f>IF(AND(J398=1,ISNUMBER(C398)),C398,"")</f>
        <v/>
      </c>
      <c r="N398" s="31">
        <f>IF(AND(J398=1,ISNUMBER(I398)),I398,"")</f>
        <v/>
      </c>
      <c r="O398" s="11">
        <f>IF(K398="","",100-IF($G$13=1,50,(_xlfn.RANK.AVG(K398,$K$19:$K$1518,1)-1)/($G$13-1)*100))</f>
        <v/>
      </c>
      <c r="P398" s="11">
        <f>IF(L398="","",100-IF($G$14=1,50,(_xlfn.RANK.AVG(L398,$L$19:$L$1518,1)-1)/($G$14-1)*100))</f>
        <v/>
      </c>
      <c r="Q398" s="11">
        <f>IF(M398="","",IF($G$15=1,50,(_xlfn.RANK.AVG(M398,$M$19:$M$1518,1)-1)/($G$15-1)*100))</f>
        <v/>
      </c>
      <c r="R398" s="11">
        <f>IF(N398="","",IF($G$16=1,50,(_xlfn.RANK.AVG(N398,$N$19:$N$1518,1)-1)/($G$16-1)*100))</f>
        <v/>
      </c>
      <c r="S398" s="11">
        <f>IF(COUNT(O398:R398)=4,ROUND(AVERAGE(O398:R398),6),"")</f>
        <v/>
      </c>
      <c r="U398">
        <f>IF(AND(ISNUMBER('자료_한국심리'!$A382),ISNUMBER('자료_한국심리'!$B382)),'자료_한국심리'!$A382,"")</f>
        <v/>
      </c>
      <c r="V398">
        <f>IF(AND(ISNUMBER('자료_한국심리'!$D382),ISNUMBER('자료_한국심리'!$E382)),'자료_한국심리'!$D382,"")</f>
        <v/>
      </c>
      <c r="W398">
        <f>IF(AND(ISNUMBER('자료_한국심리'!$G382),ISNUMBER('자료_한국심리'!$H382)),'자료_한국심리'!$G382,"")</f>
        <v/>
      </c>
      <c r="X398">
        <f>IF(AND(ISNUMBER('자료_한국심리'!$J382),ISNUMBER('자료_한국심리'!$K382)),'자료_한국심리'!$J382,"")</f>
        <v/>
      </c>
      <c r="Y398">
        <f>IF(AND(ISNUMBER('자료_한국심리'!$M382),ISNUMBER('자료_한국심리'!$N382)),'자료_한국심리'!$M382,"")</f>
        <v/>
      </c>
    </row>
    <row r="399">
      <c r="A399" s="10">
        <f>IF(381&gt;$E$5,"",SMALL($U$19:$U$4018,$E$6+381))</f>
        <v/>
      </c>
      <c r="B399" s="29">
        <f>IF(A399="","",INDEX('자료_한국심리'!$B$3:$B$4002,MATCH(A399,$U$19:$U$4018,0)))</f>
        <v/>
      </c>
      <c r="C399" s="22">
        <f>IF(A399="","",B399/AVERAGE(B275:B399)-1)</f>
        <v/>
      </c>
      <c r="D399" s="29">
        <f>IF(A399="","",IFERROR(INDEX('자료_한국심리'!$E$3:$E$4002,MATCH(A399,$V$19:$V$4018,0)),D398))</f>
        <v/>
      </c>
      <c r="E399" s="30">
        <f>IF(A399="","",IFERROR(INDEX('자료_한국심리'!$H$3:$H$4002,MATCH(A399,$W$19:$W$4018,0)),E398))</f>
        <v/>
      </c>
      <c r="F399" s="30">
        <f>IF(A399="","",IFERROR(INDEX('자료_한국심리'!$K$3:$K$4002,MATCH(A399,$X$19:$X$4018,0)),F398))</f>
        <v/>
      </c>
      <c r="G399" s="30">
        <f>IF(AND(ISNUMBER(E399),ISNUMBER(F399)),ROUND(E399-F399,6),"")</f>
        <v/>
      </c>
      <c r="H399" s="25">
        <f>IF(A399="","",IFERROR(INDEX('자료_한국심리'!$N$3:$N$4002,MATCH(A399,$Y$19:$Y$4018,0)),H398))</f>
        <v/>
      </c>
      <c r="I399" s="31">
        <f>IF(AND(ISNUMBER(H399),ISNUMBER(H379)),IF(H379&gt;0,H399/H379-1,""),"")</f>
        <v/>
      </c>
      <c r="J399">
        <f>IF(A399="",0,IF(A399&gt;$B$5,1,0))</f>
        <v/>
      </c>
      <c r="K399" s="29">
        <f>IF(AND(J399=1,ISNUMBER(D399)),D399,"")</f>
        <v/>
      </c>
      <c r="L399" s="30">
        <f>IF(AND(J399=1,ISNUMBER(G399)),G399,"")</f>
        <v/>
      </c>
      <c r="M399" s="22">
        <f>IF(AND(J399=1,ISNUMBER(C399)),C399,"")</f>
        <v/>
      </c>
      <c r="N399" s="31">
        <f>IF(AND(J399=1,ISNUMBER(I399)),I399,"")</f>
        <v/>
      </c>
      <c r="O399" s="11">
        <f>IF(K399="","",100-IF($G$13=1,50,(_xlfn.RANK.AVG(K399,$K$19:$K$1518,1)-1)/($G$13-1)*100))</f>
        <v/>
      </c>
      <c r="P399" s="11">
        <f>IF(L399="","",100-IF($G$14=1,50,(_xlfn.RANK.AVG(L399,$L$19:$L$1518,1)-1)/($G$14-1)*100))</f>
        <v/>
      </c>
      <c r="Q399" s="11">
        <f>IF(M399="","",IF($G$15=1,50,(_xlfn.RANK.AVG(M399,$M$19:$M$1518,1)-1)/($G$15-1)*100))</f>
        <v/>
      </c>
      <c r="R399" s="11">
        <f>IF(N399="","",IF($G$16=1,50,(_xlfn.RANK.AVG(N399,$N$19:$N$1518,1)-1)/($G$16-1)*100))</f>
        <v/>
      </c>
      <c r="S399" s="11">
        <f>IF(COUNT(O399:R399)=4,ROUND(AVERAGE(O399:R399),6),"")</f>
        <v/>
      </c>
      <c r="U399">
        <f>IF(AND(ISNUMBER('자료_한국심리'!$A383),ISNUMBER('자료_한국심리'!$B383)),'자료_한국심리'!$A383,"")</f>
        <v/>
      </c>
      <c r="V399">
        <f>IF(AND(ISNUMBER('자료_한국심리'!$D383),ISNUMBER('자료_한국심리'!$E383)),'자료_한국심리'!$D383,"")</f>
        <v/>
      </c>
      <c r="W399">
        <f>IF(AND(ISNUMBER('자료_한국심리'!$G383),ISNUMBER('자료_한국심리'!$H383)),'자료_한국심리'!$G383,"")</f>
        <v/>
      </c>
      <c r="X399">
        <f>IF(AND(ISNUMBER('자료_한국심리'!$J383),ISNUMBER('자료_한국심리'!$K383)),'자료_한국심리'!$J383,"")</f>
        <v/>
      </c>
      <c r="Y399">
        <f>IF(AND(ISNUMBER('자료_한국심리'!$M383),ISNUMBER('자료_한국심리'!$N383)),'자료_한국심리'!$M383,"")</f>
        <v/>
      </c>
    </row>
    <row r="400">
      <c r="A400" s="10">
        <f>IF(382&gt;$E$5,"",SMALL($U$19:$U$4018,$E$6+382))</f>
        <v/>
      </c>
      <c r="B400" s="29">
        <f>IF(A400="","",INDEX('자료_한국심리'!$B$3:$B$4002,MATCH(A400,$U$19:$U$4018,0)))</f>
        <v/>
      </c>
      <c r="C400" s="22">
        <f>IF(A400="","",B400/AVERAGE(B276:B400)-1)</f>
        <v/>
      </c>
      <c r="D400" s="29">
        <f>IF(A400="","",IFERROR(INDEX('자료_한국심리'!$E$3:$E$4002,MATCH(A400,$V$19:$V$4018,0)),D399))</f>
        <v/>
      </c>
      <c r="E400" s="30">
        <f>IF(A400="","",IFERROR(INDEX('자료_한국심리'!$H$3:$H$4002,MATCH(A400,$W$19:$W$4018,0)),E399))</f>
        <v/>
      </c>
      <c r="F400" s="30">
        <f>IF(A400="","",IFERROR(INDEX('자료_한국심리'!$K$3:$K$4002,MATCH(A400,$X$19:$X$4018,0)),F399))</f>
        <v/>
      </c>
      <c r="G400" s="30">
        <f>IF(AND(ISNUMBER(E400),ISNUMBER(F400)),ROUND(E400-F400,6),"")</f>
        <v/>
      </c>
      <c r="H400" s="25">
        <f>IF(A400="","",IFERROR(INDEX('자료_한국심리'!$N$3:$N$4002,MATCH(A400,$Y$19:$Y$4018,0)),H399))</f>
        <v/>
      </c>
      <c r="I400" s="31">
        <f>IF(AND(ISNUMBER(H400),ISNUMBER(H380)),IF(H380&gt;0,H400/H380-1,""),"")</f>
        <v/>
      </c>
      <c r="J400">
        <f>IF(A400="",0,IF(A400&gt;$B$5,1,0))</f>
        <v/>
      </c>
      <c r="K400" s="29">
        <f>IF(AND(J400=1,ISNUMBER(D400)),D400,"")</f>
        <v/>
      </c>
      <c r="L400" s="30">
        <f>IF(AND(J400=1,ISNUMBER(G400)),G400,"")</f>
        <v/>
      </c>
      <c r="M400" s="22">
        <f>IF(AND(J400=1,ISNUMBER(C400)),C400,"")</f>
        <v/>
      </c>
      <c r="N400" s="31">
        <f>IF(AND(J400=1,ISNUMBER(I400)),I400,"")</f>
        <v/>
      </c>
      <c r="O400" s="11">
        <f>IF(K400="","",100-IF($G$13=1,50,(_xlfn.RANK.AVG(K400,$K$19:$K$1518,1)-1)/($G$13-1)*100))</f>
        <v/>
      </c>
      <c r="P400" s="11">
        <f>IF(L400="","",100-IF($G$14=1,50,(_xlfn.RANK.AVG(L400,$L$19:$L$1518,1)-1)/($G$14-1)*100))</f>
        <v/>
      </c>
      <c r="Q400" s="11">
        <f>IF(M400="","",IF($G$15=1,50,(_xlfn.RANK.AVG(M400,$M$19:$M$1518,1)-1)/($G$15-1)*100))</f>
        <v/>
      </c>
      <c r="R400" s="11">
        <f>IF(N400="","",IF($G$16=1,50,(_xlfn.RANK.AVG(N400,$N$19:$N$1518,1)-1)/($G$16-1)*100))</f>
        <v/>
      </c>
      <c r="S400" s="11">
        <f>IF(COUNT(O400:R400)=4,ROUND(AVERAGE(O400:R400),6),"")</f>
        <v/>
      </c>
      <c r="U400">
        <f>IF(AND(ISNUMBER('자료_한국심리'!$A384),ISNUMBER('자료_한국심리'!$B384)),'자료_한국심리'!$A384,"")</f>
        <v/>
      </c>
      <c r="V400">
        <f>IF(AND(ISNUMBER('자료_한국심리'!$D384),ISNUMBER('자료_한국심리'!$E384)),'자료_한국심리'!$D384,"")</f>
        <v/>
      </c>
      <c r="W400">
        <f>IF(AND(ISNUMBER('자료_한국심리'!$G384),ISNUMBER('자료_한국심리'!$H384)),'자료_한국심리'!$G384,"")</f>
        <v/>
      </c>
      <c r="X400">
        <f>IF(AND(ISNUMBER('자료_한국심리'!$J384),ISNUMBER('자료_한국심리'!$K384)),'자료_한국심리'!$J384,"")</f>
        <v/>
      </c>
      <c r="Y400">
        <f>IF(AND(ISNUMBER('자료_한국심리'!$M384),ISNUMBER('자료_한국심리'!$N384)),'자료_한국심리'!$M384,"")</f>
        <v/>
      </c>
    </row>
    <row r="401">
      <c r="A401" s="10">
        <f>IF(383&gt;$E$5,"",SMALL($U$19:$U$4018,$E$6+383))</f>
        <v/>
      </c>
      <c r="B401" s="29">
        <f>IF(A401="","",INDEX('자료_한국심리'!$B$3:$B$4002,MATCH(A401,$U$19:$U$4018,0)))</f>
        <v/>
      </c>
      <c r="C401" s="22">
        <f>IF(A401="","",B401/AVERAGE(B277:B401)-1)</f>
        <v/>
      </c>
      <c r="D401" s="29">
        <f>IF(A401="","",IFERROR(INDEX('자료_한국심리'!$E$3:$E$4002,MATCH(A401,$V$19:$V$4018,0)),D400))</f>
        <v/>
      </c>
      <c r="E401" s="30">
        <f>IF(A401="","",IFERROR(INDEX('자료_한국심리'!$H$3:$H$4002,MATCH(A401,$W$19:$W$4018,0)),E400))</f>
        <v/>
      </c>
      <c r="F401" s="30">
        <f>IF(A401="","",IFERROR(INDEX('자료_한국심리'!$K$3:$K$4002,MATCH(A401,$X$19:$X$4018,0)),F400))</f>
        <v/>
      </c>
      <c r="G401" s="30">
        <f>IF(AND(ISNUMBER(E401),ISNUMBER(F401)),ROUND(E401-F401,6),"")</f>
        <v/>
      </c>
      <c r="H401" s="25">
        <f>IF(A401="","",IFERROR(INDEX('자료_한국심리'!$N$3:$N$4002,MATCH(A401,$Y$19:$Y$4018,0)),H400))</f>
        <v/>
      </c>
      <c r="I401" s="31">
        <f>IF(AND(ISNUMBER(H401),ISNUMBER(H381)),IF(H381&gt;0,H401/H381-1,""),"")</f>
        <v/>
      </c>
      <c r="J401">
        <f>IF(A401="",0,IF(A401&gt;$B$5,1,0))</f>
        <v/>
      </c>
      <c r="K401" s="29">
        <f>IF(AND(J401=1,ISNUMBER(D401)),D401,"")</f>
        <v/>
      </c>
      <c r="L401" s="30">
        <f>IF(AND(J401=1,ISNUMBER(G401)),G401,"")</f>
        <v/>
      </c>
      <c r="M401" s="22">
        <f>IF(AND(J401=1,ISNUMBER(C401)),C401,"")</f>
        <v/>
      </c>
      <c r="N401" s="31">
        <f>IF(AND(J401=1,ISNUMBER(I401)),I401,"")</f>
        <v/>
      </c>
      <c r="O401" s="11">
        <f>IF(K401="","",100-IF($G$13=1,50,(_xlfn.RANK.AVG(K401,$K$19:$K$1518,1)-1)/($G$13-1)*100))</f>
        <v/>
      </c>
      <c r="P401" s="11">
        <f>IF(L401="","",100-IF($G$14=1,50,(_xlfn.RANK.AVG(L401,$L$19:$L$1518,1)-1)/($G$14-1)*100))</f>
        <v/>
      </c>
      <c r="Q401" s="11">
        <f>IF(M401="","",IF($G$15=1,50,(_xlfn.RANK.AVG(M401,$M$19:$M$1518,1)-1)/($G$15-1)*100))</f>
        <v/>
      </c>
      <c r="R401" s="11">
        <f>IF(N401="","",IF($G$16=1,50,(_xlfn.RANK.AVG(N401,$N$19:$N$1518,1)-1)/($G$16-1)*100))</f>
        <v/>
      </c>
      <c r="S401" s="11">
        <f>IF(COUNT(O401:R401)=4,ROUND(AVERAGE(O401:R401),6),"")</f>
        <v/>
      </c>
      <c r="U401">
        <f>IF(AND(ISNUMBER('자료_한국심리'!$A385),ISNUMBER('자료_한국심리'!$B385)),'자료_한국심리'!$A385,"")</f>
        <v/>
      </c>
      <c r="V401">
        <f>IF(AND(ISNUMBER('자료_한국심리'!$D385),ISNUMBER('자료_한국심리'!$E385)),'자료_한국심리'!$D385,"")</f>
        <v/>
      </c>
      <c r="W401">
        <f>IF(AND(ISNUMBER('자료_한국심리'!$G385),ISNUMBER('자료_한국심리'!$H385)),'자료_한국심리'!$G385,"")</f>
        <v/>
      </c>
      <c r="X401">
        <f>IF(AND(ISNUMBER('자료_한국심리'!$J385),ISNUMBER('자료_한국심리'!$K385)),'자료_한국심리'!$J385,"")</f>
        <v/>
      </c>
      <c r="Y401">
        <f>IF(AND(ISNUMBER('자료_한국심리'!$M385),ISNUMBER('자료_한국심리'!$N385)),'자료_한국심리'!$M385,"")</f>
        <v/>
      </c>
    </row>
    <row r="402">
      <c r="A402" s="10">
        <f>IF(384&gt;$E$5,"",SMALL($U$19:$U$4018,$E$6+384))</f>
        <v/>
      </c>
      <c r="B402" s="29">
        <f>IF(A402="","",INDEX('자료_한국심리'!$B$3:$B$4002,MATCH(A402,$U$19:$U$4018,0)))</f>
        <v/>
      </c>
      <c r="C402" s="22">
        <f>IF(A402="","",B402/AVERAGE(B278:B402)-1)</f>
        <v/>
      </c>
      <c r="D402" s="29">
        <f>IF(A402="","",IFERROR(INDEX('자료_한국심리'!$E$3:$E$4002,MATCH(A402,$V$19:$V$4018,0)),D401))</f>
        <v/>
      </c>
      <c r="E402" s="30">
        <f>IF(A402="","",IFERROR(INDEX('자료_한국심리'!$H$3:$H$4002,MATCH(A402,$W$19:$W$4018,0)),E401))</f>
        <v/>
      </c>
      <c r="F402" s="30">
        <f>IF(A402="","",IFERROR(INDEX('자료_한국심리'!$K$3:$K$4002,MATCH(A402,$X$19:$X$4018,0)),F401))</f>
        <v/>
      </c>
      <c r="G402" s="30">
        <f>IF(AND(ISNUMBER(E402),ISNUMBER(F402)),ROUND(E402-F402,6),"")</f>
        <v/>
      </c>
      <c r="H402" s="25">
        <f>IF(A402="","",IFERROR(INDEX('자료_한국심리'!$N$3:$N$4002,MATCH(A402,$Y$19:$Y$4018,0)),H401))</f>
        <v/>
      </c>
      <c r="I402" s="31">
        <f>IF(AND(ISNUMBER(H402),ISNUMBER(H382)),IF(H382&gt;0,H402/H382-1,""),"")</f>
        <v/>
      </c>
      <c r="J402">
        <f>IF(A402="",0,IF(A402&gt;$B$5,1,0))</f>
        <v/>
      </c>
      <c r="K402" s="29">
        <f>IF(AND(J402=1,ISNUMBER(D402)),D402,"")</f>
        <v/>
      </c>
      <c r="L402" s="30">
        <f>IF(AND(J402=1,ISNUMBER(G402)),G402,"")</f>
        <v/>
      </c>
      <c r="M402" s="22">
        <f>IF(AND(J402=1,ISNUMBER(C402)),C402,"")</f>
        <v/>
      </c>
      <c r="N402" s="31">
        <f>IF(AND(J402=1,ISNUMBER(I402)),I402,"")</f>
        <v/>
      </c>
      <c r="O402" s="11">
        <f>IF(K402="","",100-IF($G$13=1,50,(_xlfn.RANK.AVG(K402,$K$19:$K$1518,1)-1)/($G$13-1)*100))</f>
        <v/>
      </c>
      <c r="P402" s="11">
        <f>IF(L402="","",100-IF($G$14=1,50,(_xlfn.RANK.AVG(L402,$L$19:$L$1518,1)-1)/($G$14-1)*100))</f>
        <v/>
      </c>
      <c r="Q402" s="11">
        <f>IF(M402="","",IF($G$15=1,50,(_xlfn.RANK.AVG(M402,$M$19:$M$1518,1)-1)/($G$15-1)*100))</f>
        <v/>
      </c>
      <c r="R402" s="11">
        <f>IF(N402="","",IF($G$16=1,50,(_xlfn.RANK.AVG(N402,$N$19:$N$1518,1)-1)/($G$16-1)*100))</f>
        <v/>
      </c>
      <c r="S402" s="11">
        <f>IF(COUNT(O402:R402)=4,ROUND(AVERAGE(O402:R402),6),"")</f>
        <v/>
      </c>
      <c r="U402">
        <f>IF(AND(ISNUMBER('자료_한국심리'!$A386),ISNUMBER('자료_한국심리'!$B386)),'자료_한국심리'!$A386,"")</f>
        <v/>
      </c>
      <c r="V402">
        <f>IF(AND(ISNUMBER('자료_한국심리'!$D386),ISNUMBER('자료_한국심리'!$E386)),'자료_한국심리'!$D386,"")</f>
        <v/>
      </c>
      <c r="W402">
        <f>IF(AND(ISNUMBER('자료_한국심리'!$G386),ISNUMBER('자료_한국심리'!$H386)),'자료_한국심리'!$G386,"")</f>
        <v/>
      </c>
      <c r="X402">
        <f>IF(AND(ISNUMBER('자료_한국심리'!$J386),ISNUMBER('자료_한국심리'!$K386)),'자료_한국심리'!$J386,"")</f>
        <v/>
      </c>
      <c r="Y402">
        <f>IF(AND(ISNUMBER('자료_한국심리'!$M386),ISNUMBER('자료_한국심리'!$N386)),'자료_한국심리'!$M386,"")</f>
        <v/>
      </c>
    </row>
    <row r="403">
      <c r="A403" s="10">
        <f>IF(385&gt;$E$5,"",SMALL($U$19:$U$4018,$E$6+385))</f>
        <v/>
      </c>
      <c r="B403" s="29">
        <f>IF(A403="","",INDEX('자료_한국심리'!$B$3:$B$4002,MATCH(A403,$U$19:$U$4018,0)))</f>
        <v/>
      </c>
      <c r="C403" s="22">
        <f>IF(A403="","",B403/AVERAGE(B279:B403)-1)</f>
        <v/>
      </c>
      <c r="D403" s="29">
        <f>IF(A403="","",IFERROR(INDEX('자료_한국심리'!$E$3:$E$4002,MATCH(A403,$V$19:$V$4018,0)),D402))</f>
        <v/>
      </c>
      <c r="E403" s="30">
        <f>IF(A403="","",IFERROR(INDEX('자료_한국심리'!$H$3:$H$4002,MATCH(A403,$W$19:$W$4018,0)),E402))</f>
        <v/>
      </c>
      <c r="F403" s="30">
        <f>IF(A403="","",IFERROR(INDEX('자료_한국심리'!$K$3:$K$4002,MATCH(A403,$X$19:$X$4018,0)),F402))</f>
        <v/>
      </c>
      <c r="G403" s="30">
        <f>IF(AND(ISNUMBER(E403),ISNUMBER(F403)),ROUND(E403-F403,6),"")</f>
        <v/>
      </c>
      <c r="H403" s="25">
        <f>IF(A403="","",IFERROR(INDEX('자료_한국심리'!$N$3:$N$4002,MATCH(A403,$Y$19:$Y$4018,0)),H402))</f>
        <v/>
      </c>
      <c r="I403" s="31">
        <f>IF(AND(ISNUMBER(H403),ISNUMBER(H383)),IF(H383&gt;0,H403/H383-1,""),"")</f>
        <v/>
      </c>
      <c r="J403">
        <f>IF(A403="",0,IF(A403&gt;$B$5,1,0))</f>
        <v/>
      </c>
      <c r="K403" s="29">
        <f>IF(AND(J403=1,ISNUMBER(D403)),D403,"")</f>
        <v/>
      </c>
      <c r="L403" s="30">
        <f>IF(AND(J403=1,ISNUMBER(G403)),G403,"")</f>
        <v/>
      </c>
      <c r="M403" s="22">
        <f>IF(AND(J403=1,ISNUMBER(C403)),C403,"")</f>
        <v/>
      </c>
      <c r="N403" s="31">
        <f>IF(AND(J403=1,ISNUMBER(I403)),I403,"")</f>
        <v/>
      </c>
      <c r="O403" s="11">
        <f>IF(K403="","",100-IF($G$13=1,50,(_xlfn.RANK.AVG(K403,$K$19:$K$1518,1)-1)/($G$13-1)*100))</f>
        <v/>
      </c>
      <c r="P403" s="11">
        <f>IF(L403="","",100-IF($G$14=1,50,(_xlfn.RANK.AVG(L403,$L$19:$L$1518,1)-1)/($G$14-1)*100))</f>
        <v/>
      </c>
      <c r="Q403" s="11">
        <f>IF(M403="","",IF($G$15=1,50,(_xlfn.RANK.AVG(M403,$M$19:$M$1518,1)-1)/($G$15-1)*100))</f>
        <v/>
      </c>
      <c r="R403" s="11">
        <f>IF(N403="","",IF($G$16=1,50,(_xlfn.RANK.AVG(N403,$N$19:$N$1518,1)-1)/($G$16-1)*100))</f>
        <v/>
      </c>
      <c r="S403" s="11">
        <f>IF(COUNT(O403:R403)=4,ROUND(AVERAGE(O403:R403),6),"")</f>
        <v/>
      </c>
      <c r="U403">
        <f>IF(AND(ISNUMBER('자료_한국심리'!$A387),ISNUMBER('자료_한국심리'!$B387)),'자료_한국심리'!$A387,"")</f>
        <v/>
      </c>
      <c r="V403">
        <f>IF(AND(ISNUMBER('자료_한국심리'!$D387),ISNUMBER('자료_한국심리'!$E387)),'자료_한국심리'!$D387,"")</f>
        <v/>
      </c>
      <c r="W403">
        <f>IF(AND(ISNUMBER('자료_한국심리'!$G387),ISNUMBER('자료_한국심리'!$H387)),'자료_한국심리'!$G387,"")</f>
        <v/>
      </c>
      <c r="X403">
        <f>IF(AND(ISNUMBER('자료_한국심리'!$J387),ISNUMBER('자료_한국심리'!$K387)),'자료_한국심리'!$J387,"")</f>
        <v/>
      </c>
      <c r="Y403">
        <f>IF(AND(ISNUMBER('자료_한국심리'!$M387),ISNUMBER('자료_한국심리'!$N387)),'자료_한국심리'!$M387,"")</f>
        <v/>
      </c>
    </row>
    <row r="404">
      <c r="A404" s="10">
        <f>IF(386&gt;$E$5,"",SMALL($U$19:$U$4018,$E$6+386))</f>
        <v/>
      </c>
      <c r="B404" s="29">
        <f>IF(A404="","",INDEX('자료_한국심리'!$B$3:$B$4002,MATCH(A404,$U$19:$U$4018,0)))</f>
        <v/>
      </c>
      <c r="C404" s="22">
        <f>IF(A404="","",B404/AVERAGE(B280:B404)-1)</f>
        <v/>
      </c>
      <c r="D404" s="29">
        <f>IF(A404="","",IFERROR(INDEX('자료_한국심리'!$E$3:$E$4002,MATCH(A404,$V$19:$V$4018,0)),D403))</f>
        <v/>
      </c>
      <c r="E404" s="30">
        <f>IF(A404="","",IFERROR(INDEX('자료_한국심리'!$H$3:$H$4002,MATCH(A404,$W$19:$W$4018,0)),E403))</f>
        <v/>
      </c>
      <c r="F404" s="30">
        <f>IF(A404="","",IFERROR(INDEX('자료_한국심리'!$K$3:$K$4002,MATCH(A404,$X$19:$X$4018,0)),F403))</f>
        <v/>
      </c>
      <c r="G404" s="30">
        <f>IF(AND(ISNUMBER(E404),ISNUMBER(F404)),ROUND(E404-F404,6),"")</f>
        <v/>
      </c>
      <c r="H404" s="25">
        <f>IF(A404="","",IFERROR(INDEX('자료_한국심리'!$N$3:$N$4002,MATCH(A404,$Y$19:$Y$4018,0)),H403))</f>
        <v/>
      </c>
      <c r="I404" s="31">
        <f>IF(AND(ISNUMBER(H404),ISNUMBER(H384)),IF(H384&gt;0,H404/H384-1,""),"")</f>
        <v/>
      </c>
      <c r="J404">
        <f>IF(A404="",0,IF(A404&gt;$B$5,1,0))</f>
        <v/>
      </c>
      <c r="K404" s="29">
        <f>IF(AND(J404=1,ISNUMBER(D404)),D404,"")</f>
        <v/>
      </c>
      <c r="L404" s="30">
        <f>IF(AND(J404=1,ISNUMBER(G404)),G404,"")</f>
        <v/>
      </c>
      <c r="M404" s="22">
        <f>IF(AND(J404=1,ISNUMBER(C404)),C404,"")</f>
        <v/>
      </c>
      <c r="N404" s="31">
        <f>IF(AND(J404=1,ISNUMBER(I404)),I404,"")</f>
        <v/>
      </c>
      <c r="O404" s="11">
        <f>IF(K404="","",100-IF($G$13=1,50,(_xlfn.RANK.AVG(K404,$K$19:$K$1518,1)-1)/($G$13-1)*100))</f>
        <v/>
      </c>
      <c r="P404" s="11">
        <f>IF(L404="","",100-IF($G$14=1,50,(_xlfn.RANK.AVG(L404,$L$19:$L$1518,1)-1)/($G$14-1)*100))</f>
        <v/>
      </c>
      <c r="Q404" s="11">
        <f>IF(M404="","",IF($G$15=1,50,(_xlfn.RANK.AVG(M404,$M$19:$M$1518,1)-1)/($G$15-1)*100))</f>
        <v/>
      </c>
      <c r="R404" s="11">
        <f>IF(N404="","",IF($G$16=1,50,(_xlfn.RANK.AVG(N404,$N$19:$N$1518,1)-1)/($G$16-1)*100))</f>
        <v/>
      </c>
      <c r="S404" s="11">
        <f>IF(COUNT(O404:R404)=4,ROUND(AVERAGE(O404:R404),6),"")</f>
        <v/>
      </c>
      <c r="U404">
        <f>IF(AND(ISNUMBER('자료_한국심리'!$A388),ISNUMBER('자료_한국심리'!$B388)),'자료_한국심리'!$A388,"")</f>
        <v/>
      </c>
      <c r="V404">
        <f>IF(AND(ISNUMBER('자료_한국심리'!$D388),ISNUMBER('자료_한국심리'!$E388)),'자료_한국심리'!$D388,"")</f>
        <v/>
      </c>
      <c r="W404">
        <f>IF(AND(ISNUMBER('자료_한국심리'!$G388),ISNUMBER('자료_한국심리'!$H388)),'자료_한국심리'!$G388,"")</f>
        <v/>
      </c>
      <c r="X404">
        <f>IF(AND(ISNUMBER('자료_한국심리'!$J388),ISNUMBER('자료_한국심리'!$K388)),'자료_한국심리'!$J388,"")</f>
        <v/>
      </c>
      <c r="Y404">
        <f>IF(AND(ISNUMBER('자료_한국심리'!$M388),ISNUMBER('자료_한국심리'!$N388)),'자료_한국심리'!$M388,"")</f>
        <v/>
      </c>
    </row>
    <row r="405">
      <c r="A405" s="10">
        <f>IF(387&gt;$E$5,"",SMALL($U$19:$U$4018,$E$6+387))</f>
        <v/>
      </c>
      <c r="B405" s="29">
        <f>IF(A405="","",INDEX('자료_한국심리'!$B$3:$B$4002,MATCH(A405,$U$19:$U$4018,0)))</f>
        <v/>
      </c>
      <c r="C405" s="22">
        <f>IF(A405="","",B405/AVERAGE(B281:B405)-1)</f>
        <v/>
      </c>
      <c r="D405" s="29">
        <f>IF(A405="","",IFERROR(INDEX('자료_한국심리'!$E$3:$E$4002,MATCH(A405,$V$19:$V$4018,0)),D404))</f>
        <v/>
      </c>
      <c r="E405" s="30">
        <f>IF(A405="","",IFERROR(INDEX('자료_한국심리'!$H$3:$H$4002,MATCH(A405,$W$19:$W$4018,0)),E404))</f>
        <v/>
      </c>
      <c r="F405" s="30">
        <f>IF(A405="","",IFERROR(INDEX('자료_한국심리'!$K$3:$K$4002,MATCH(A405,$X$19:$X$4018,0)),F404))</f>
        <v/>
      </c>
      <c r="G405" s="30">
        <f>IF(AND(ISNUMBER(E405),ISNUMBER(F405)),ROUND(E405-F405,6),"")</f>
        <v/>
      </c>
      <c r="H405" s="25">
        <f>IF(A405="","",IFERROR(INDEX('자료_한국심리'!$N$3:$N$4002,MATCH(A405,$Y$19:$Y$4018,0)),H404))</f>
        <v/>
      </c>
      <c r="I405" s="31">
        <f>IF(AND(ISNUMBER(H405),ISNUMBER(H385)),IF(H385&gt;0,H405/H385-1,""),"")</f>
        <v/>
      </c>
      <c r="J405">
        <f>IF(A405="",0,IF(A405&gt;$B$5,1,0))</f>
        <v/>
      </c>
      <c r="K405" s="29">
        <f>IF(AND(J405=1,ISNUMBER(D405)),D405,"")</f>
        <v/>
      </c>
      <c r="L405" s="30">
        <f>IF(AND(J405=1,ISNUMBER(G405)),G405,"")</f>
        <v/>
      </c>
      <c r="M405" s="22">
        <f>IF(AND(J405=1,ISNUMBER(C405)),C405,"")</f>
        <v/>
      </c>
      <c r="N405" s="31">
        <f>IF(AND(J405=1,ISNUMBER(I405)),I405,"")</f>
        <v/>
      </c>
      <c r="O405" s="11">
        <f>IF(K405="","",100-IF($G$13=1,50,(_xlfn.RANK.AVG(K405,$K$19:$K$1518,1)-1)/($G$13-1)*100))</f>
        <v/>
      </c>
      <c r="P405" s="11">
        <f>IF(L405="","",100-IF($G$14=1,50,(_xlfn.RANK.AVG(L405,$L$19:$L$1518,1)-1)/($G$14-1)*100))</f>
        <v/>
      </c>
      <c r="Q405" s="11">
        <f>IF(M405="","",IF($G$15=1,50,(_xlfn.RANK.AVG(M405,$M$19:$M$1518,1)-1)/($G$15-1)*100))</f>
        <v/>
      </c>
      <c r="R405" s="11">
        <f>IF(N405="","",IF($G$16=1,50,(_xlfn.RANK.AVG(N405,$N$19:$N$1518,1)-1)/($G$16-1)*100))</f>
        <v/>
      </c>
      <c r="S405" s="11">
        <f>IF(COUNT(O405:R405)=4,ROUND(AVERAGE(O405:R405),6),"")</f>
        <v/>
      </c>
      <c r="U405">
        <f>IF(AND(ISNUMBER('자료_한국심리'!$A389),ISNUMBER('자료_한국심리'!$B389)),'자료_한국심리'!$A389,"")</f>
        <v/>
      </c>
      <c r="V405">
        <f>IF(AND(ISNUMBER('자료_한국심리'!$D389),ISNUMBER('자료_한국심리'!$E389)),'자료_한국심리'!$D389,"")</f>
        <v/>
      </c>
      <c r="W405">
        <f>IF(AND(ISNUMBER('자료_한국심리'!$G389),ISNUMBER('자료_한국심리'!$H389)),'자료_한국심리'!$G389,"")</f>
        <v/>
      </c>
      <c r="X405">
        <f>IF(AND(ISNUMBER('자료_한국심리'!$J389),ISNUMBER('자료_한국심리'!$K389)),'자료_한국심리'!$J389,"")</f>
        <v/>
      </c>
      <c r="Y405">
        <f>IF(AND(ISNUMBER('자료_한국심리'!$M389),ISNUMBER('자료_한국심리'!$N389)),'자료_한국심리'!$M389,"")</f>
        <v/>
      </c>
    </row>
    <row r="406">
      <c r="A406" s="10">
        <f>IF(388&gt;$E$5,"",SMALL($U$19:$U$4018,$E$6+388))</f>
        <v/>
      </c>
      <c r="B406" s="29">
        <f>IF(A406="","",INDEX('자료_한국심리'!$B$3:$B$4002,MATCH(A406,$U$19:$U$4018,0)))</f>
        <v/>
      </c>
      <c r="C406" s="22">
        <f>IF(A406="","",B406/AVERAGE(B282:B406)-1)</f>
        <v/>
      </c>
      <c r="D406" s="29">
        <f>IF(A406="","",IFERROR(INDEX('자료_한국심리'!$E$3:$E$4002,MATCH(A406,$V$19:$V$4018,0)),D405))</f>
        <v/>
      </c>
      <c r="E406" s="30">
        <f>IF(A406="","",IFERROR(INDEX('자료_한국심리'!$H$3:$H$4002,MATCH(A406,$W$19:$W$4018,0)),E405))</f>
        <v/>
      </c>
      <c r="F406" s="30">
        <f>IF(A406="","",IFERROR(INDEX('자료_한국심리'!$K$3:$K$4002,MATCH(A406,$X$19:$X$4018,0)),F405))</f>
        <v/>
      </c>
      <c r="G406" s="30">
        <f>IF(AND(ISNUMBER(E406),ISNUMBER(F406)),ROUND(E406-F406,6),"")</f>
        <v/>
      </c>
      <c r="H406" s="25">
        <f>IF(A406="","",IFERROR(INDEX('자료_한국심리'!$N$3:$N$4002,MATCH(A406,$Y$19:$Y$4018,0)),H405))</f>
        <v/>
      </c>
      <c r="I406" s="31">
        <f>IF(AND(ISNUMBER(H406),ISNUMBER(H386)),IF(H386&gt;0,H406/H386-1,""),"")</f>
        <v/>
      </c>
      <c r="J406">
        <f>IF(A406="",0,IF(A406&gt;$B$5,1,0))</f>
        <v/>
      </c>
      <c r="K406" s="29">
        <f>IF(AND(J406=1,ISNUMBER(D406)),D406,"")</f>
        <v/>
      </c>
      <c r="L406" s="30">
        <f>IF(AND(J406=1,ISNUMBER(G406)),G406,"")</f>
        <v/>
      </c>
      <c r="M406" s="22">
        <f>IF(AND(J406=1,ISNUMBER(C406)),C406,"")</f>
        <v/>
      </c>
      <c r="N406" s="31">
        <f>IF(AND(J406=1,ISNUMBER(I406)),I406,"")</f>
        <v/>
      </c>
      <c r="O406" s="11">
        <f>IF(K406="","",100-IF($G$13=1,50,(_xlfn.RANK.AVG(K406,$K$19:$K$1518,1)-1)/($G$13-1)*100))</f>
        <v/>
      </c>
      <c r="P406" s="11">
        <f>IF(L406="","",100-IF($G$14=1,50,(_xlfn.RANK.AVG(L406,$L$19:$L$1518,1)-1)/($G$14-1)*100))</f>
        <v/>
      </c>
      <c r="Q406" s="11">
        <f>IF(M406="","",IF($G$15=1,50,(_xlfn.RANK.AVG(M406,$M$19:$M$1518,1)-1)/($G$15-1)*100))</f>
        <v/>
      </c>
      <c r="R406" s="11">
        <f>IF(N406="","",IF($G$16=1,50,(_xlfn.RANK.AVG(N406,$N$19:$N$1518,1)-1)/($G$16-1)*100))</f>
        <v/>
      </c>
      <c r="S406" s="11">
        <f>IF(COUNT(O406:R406)=4,ROUND(AVERAGE(O406:R406),6),"")</f>
        <v/>
      </c>
      <c r="U406">
        <f>IF(AND(ISNUMBER('자료_한국심리'!$A390),ISNUMBER('자료_한국심리'!$B390)),'자료_한국심리'!$A390,"")</f>
        <v/>
      </c>
      <c r="V406">
        <f>IF(AND(ISNUMBER('자료_한국심리'!$D390),ISNUMBER('자료_한국심리'!$E390)),'자료_한국심리'!$D390,"")</f>
        <v/>
      </c>
      <c r="W406">
        <f>IF(AND(ISNUMBER('자료_한국심리'!$G390),ISNUMBER('자료_한국심리'!$H390)),'자료_한국심리'!$G390,"")</f>
        <v/>
      </c>
      <c r="X406">
        <f>IF(AND(ISNUMBER('자료_한국심리'!$J390),ISNUMBER('자료_한국심리'!$K390)),'자료_한국심리'!$J390,"")</f>
        <v/>
      </c>
      <c r="Y406">
        <f>IF(AND(ISNUMBER('자료_한국심리'!$M390),ISNUMBER('자료_한국심리'!$N390)),'자료_한국심리'!$M390,"")</f>
        <v/>
      </c>
    </row>
    <row r="407">
      <c r="A407" s="10">
        <f>IF(389&gt;$E$5,"",SMALL($U$19:$U$4018,$E$6+389))</f>
        <v/>
      </c>
      <c r="B407" s="29">
        <f>IF(A407="","",INDEX('자료_한국심리'!$B$3:$B$4002,MATCH(A407,$U$19:$U$4018,0)))</f>
        <v/>
      </c>
      <c r="C407" s="22">
        <f>IF(A407="","",B407/AVERAGE(B283:B407)-1)</f>
        <v/>
      </c>
      <c r="D407" s="29">
        <f>IF(A407="","",IFERROR(INDEX('자료_한국심리'!$E$3:$E$4002,MATCH(A407,$V$19:$V$4018,0)),D406))</f>
        <v/>
      </c>
      <c r="E407" s="30">
        <f>IF(A407="","",IFERROR(INDEX('자료_한국심리'!$H$3:$H$4002,MATCH(A407,$W$19:$W$4018,0)),E406))</f>
        <v/>
      </c>
      <c r="F407" s="30">
        <f>IF(A407="","",IFERROR(INDEX('자료_한국심리'!$K$3:$K$4002,MATCH(A407,$X$19:$X$4018,0)),F406))</f>
        <v/>
      </c>
      <c r="G407" s="30">
        <f>IF(AND(ISNUMBER(E407),ISNUMBER(F407)),ROUND(E407-F407,6),"")</f>
        <v/>
      </c>
      <c r="H407" s="25">
        <f>IF(A407="","",IFERROR(INDEX('자료_한국심리'!$N$3:$N$4002,MATCH(A407,$Y$19:$Y$4018,0)),H406))</f>
        <v/>
      </c>
      <c r="I407" s="31">
        <f>IF(AND(ISNUMBER(H407),ISNUMBER(H387)),IF(H387&gt;0,H407/H387-1,""),"")</f>
        <v/>
      </c>
      <c r="J407">
        <f>IF(A407="",0,IF(A407&gt;$B$5,1,0))</f>
        <v/>
      </c>
      <c r="K407" s="29">
        <f>IF(AND(J407=1,ISNUMBER(D407)),D407,"")</f>
        <v/>
      </c>
      <c r="L407" s="30">
        <f>IF(AND(J407=1,ISNUMBER(G407)),G407,"")</f>
        <v/>
      </c>
      <c r="M407" s="22">
        <f>IF(AND(J407=1,ISNUMBER(C407)),C407,"")</f>
        <v/>
      </c>
      <c r="N407" s="31">
        <f>IF(AND(J407=1,ISNUMBER(I407)),I407,"")</f>
        <v/>
      </c>
      <c r="O407" s="11">
        <f>IF(K407="","",100-IF($G$13=1,50,(_xlfn.RANK.AVG(K407,$K$19:$K$1518,1)-1)/($G$13-1)*100))</f>
        <v/>
      </c>
      <c r="P407" s="11">
        <f>IF(L407="","",100-IF($G$14=1,50,(_xlfn.RANK.AVG(L407,$L$19:$L$1518,1)-1)/($G$14-1)*100))</f>
        <v/>
      </c>
      <c r="Q407" s="11">
        <f>IF(M407="","",IF($G$15=1,50,(_xlfn.RANK.AVG(M407,$M$19:$M$1518,1)-1)/($G$15-1)*100))</f>
        <v/>
      </c>
      <c r="R407" s="11">
        <f>IF(N407="","",IF($G$16=1,50,(_xlfn.RANK.AVG(N407,$N$19:$N$1518,1)-1)/($G$16-1)*100))</f>
        <v/>
      </c>
      <c r="S407" s="11">
        <f>IF(COUNT(O407:R407)=4,ROUND(AVERAGE(O407:R407),6),"")</f>
        <v/>
      </c>
      <c r="U407">
        <f>IF(AND(ISNUMBER('자료_한국심리'!$A391),ISNUMBER('자료_한국심리'!$B391)),'자료_한국심리'!$A391,"")</f>
        <v/>
      </c>
      <c r="V407">
        <f>IF(AND(ISNUMBER('자료_한국심리'!$D391),ISNUMBER('자료_한국심리'!$E391)),'자료_한국심리'!$D391,"")</f>
        <v/>
      </c>
      <c r="W407">
        <f>IF(AND(ISNUMBER('자료_한국심리'!$G391),ISNUMBER('자료_한국심리'!$H391)),'자료_한국심리'!$G391,"")</f>
        <v/>
      </c>
      <c r="X407">
        <f>IF(AND(ISNUMBER('자료_한국심리'!$J391),ISNUMBER('자료_한국심리'!$K391)),'자료_한국심리'!$J391,"")</f>
        <v/>
      </c>
      <c r="Y407">
        <f>IF(AND(ISNUMBER('자료_한국심리'!$M391),ISNUMBER('자료_한국심리'!$N391)),'자료_한국심리'!$M391,"")</f>
        <v/>
      </c>
    </row>
    <row r="408">
      <c r="A408" s="10">
        <f>IF(390&gt;$E$5,"",SMALL($U$19:$U$4018,$E$6+390))</f>
        <v/>
      </c>
      <c r="B408" s="29">
        <f>IF(A408="","",INDEX('자료_한국심리'!$B$3:$B$4002,MATCH(A408,$U$19:$U$4018,0)))</f>
        <v/>
      </c>
      <c r="C408" s="22">
        <f>IF(A408="","",B408/AVERAGE(B284:B408)-1)</f>
        <v/>
      </c>
      <c r="D408" s="29">
        <f>IF(A408="","",IFERROR(INDEX('자료_한국심리'!$E$3:$E$4002,MATCH(A408,$V$19:$V$4018,0)),D407))</f>
        <v/>
      </c>
      <c r="E408" s="30">
        <f>IF(A408="","",IFERROR(INDEX('자료_한국심리'!$H$3:$H$4002,MATCH(A408,$W$19:$W$4018,0)),E407))</f>
        <v/>
      </c>
      <c r="F408" s="30">
        <f>IF(A408="","",IFERROR(INDEX('자료_한국심리'!$K$3:$K$4002,MATCH(A408,$X$19:$X$4018,0)),F407))</f>
        <v/>
      </c>
      <c r="G408" s="30">
        <f>IF(AND(ISNUMBER(E408),ISNUMBER(F408)),ROUND(E408-F408,6),"")</f>
        <v/>
      </c>
      <c r="H408" s="25">
        <f>IF(A408="","",IFERROR(INDEX('자료_한국심리'!$N$3:$N$4002,MATCH(A408,$Y$19:$Y$4018,0)),H407))</f>
        <v/>
      </c>
      <c r="I408" s="31">
        <f>IF(AND(ISNUMBER(H408),ISNUMBER(H388)),IF(H388&gt;0,H408/H388-1,""),"")</f>
        <v/>
      </c>
      <c r="J408">
        <f>IF(A408="",0,IF(A408&gt;$B$5,1,0))</f>
        <v/>
      </c>
      <c r="K408" s="29">
        <f>IF(AND(J408=1,ISNUMBER(D408)),D408,"")</f>
        <v/>
      </c>
      <c r="L408" s="30">
        <f>IF(AND(J408=1,ISNUMBER(G408)),G408,"")</f>
        <v/>
      </c>
      <c r="M408" s="22">
        <f>IF(AND(J408=1,ISNUMBER(C408)),C408,"")</f>
        <v/>
      </c>
      <c r="N408" s="31">
        <f>IF(AND(J408=1,ISNUMBER(I408)),I408,"")</f>
        <v/>
      </c>
      <c r="O408" s="11">
        <f>IF(K408="","",100-IF($G$13=1,50,(_xlfn.RANK.AVG(K408,$K$19:$K$1518,1)-1)/($G$13-1)*100))</f>
        <v/>
      </c>
      <c r="P408" s="11">
        <f>IF(L408="","",100-IF($G$14=1,50,(_xlfn.RANK.AVG(L408,$L$19:$L$1518,1)-1)/($G$14-1)*100))</f>
        <v/>
      </c>
      <c r="Q408" s="11">
        <f>IF(M408="","",IF($G$15=1,50,(_xlfn.RANK.AVG(M408,$M$19:$M$1518,1)-1)/($G$15-1)*100))</f>
        <v/>
      </c>
      <c r="R408" s="11">
        <f>IF(N408="","",IF($G$16=1,50,(_xlfn.RANK.AVG(N408,$N$19:$N$1518,1)-1)/($G$16-1)*100))</f>
        <v/>
      </c>
      <c r="S408" s="11">
        <f>IF(COUNT(O408:R408)=4,ROUND(AVERAGE(O408:R408),6),"")</f>
        <v/>
      </c>
      <c r="U408">
        <f>IF(AND(ISNUMBER('자료_한국심리'!$A392),ISNUMBER('자료_한국심리'!$B392)),'자료_한국심리'!$A392,"")</f>
        <v/>
      </c>
      <c r="V408">
        <f>IF(AND(ISNUMBER('자료_한국심리'!$D392),ISNUMBER('자료_한국심리'!$E392)),'자료_한국심리'!$D392,"")</f>
        <v/>
      </c>
      <c r="W408">
        <f>IF(AND(ISNUMBER('자료_한국심리'!$G392),ISNUMBER('자료_한국심리'!$H392)),'자료_한국심리'!$G392,"")</f>
        <v/>
      </c>
      <c r="X408">
        <f>IF(AND(ISNUMBER('자료_한국심리'!$J392),ISNUMBER('자료_한국심리'!$K392)),'자료_한국심리'!$J392,"")</f>
        <v/>
      </c>
      <c r="Y408">
        <f>IF(AND(ISNUMBER('자료_한국심리'!$M392),ISNUMBER('자료_한국심리'!$N392)),'자료_한국심리'!$M392,"")</f>
        <v/>
      </c>
    </row>
    <row r="409">
      <c r="A409" s="10">
        <f>IF(391&gt;$E$5,"",SMALL($U$19:$U$4018,$E$6+391))</f>
        <v/>
      </c>
      <c r="B409" s="29">
        <f>IF(A409="","",INDEX('자료_한국심리'!$B$3:$B$4002,MATCH(A409,$U$19:$U$4018,0)))</f>
        <v/>
      </c>
      <c r="C409" s="22">
        <f>IF(A409="","",B409/AVERAGE(B285:B409)-1)</f>
        <v/>
      </c>
      <c r="D409" s="29">
        <f>IF(A409="","",IFERROR(INDEX('자료_한국심리'!$E$3:$E$4002,MATCH(A409,$V$19:$V$4018,0)),D408))</f>
        <v/>
      </c>
      <c r="E409" s="30">
        <f>IF(A409="","",IFERROR(INDEX('자료_한국심리'!$H$3:$H$4002,MATCH(A409,$W$19:$W$4018,0)),E408))</f>
        <v/>
      </c>
      <c r="F409" s="30">
        <f>IF(A409="","",IFERROR(INDEX('자료_한국심리'!$K$3:$K$4002,MATCH(A409,$X$19:$X$4018,0)),F408))</f>
        <v/>
      </c>
      <c r="G409" s="30">
        <f>IF(AND(ISNUMBER(E409),ISNUMBER(F409)),ROUND(E409-F409,6),"")</f>
        <v/>
      </c>
      <c r="H409" s="25">
        <f>IF(A409="","",IFERROR(INDEX('자료_한국심리'!$N$3:$N$4002,MATCH(A409,$Y$19:$Y$4018,0)),H408))</f>
        <v/>
      </c>
      <c r="I409" s="31">
        <f>IF(AND(ISNUMBER(H409),ISNUMBER(H389)),IF(H389&gt;0,H409/H389-1,""),"")</f>
        <v/>
      </c>
      <c r="J409">
        <f>IF(A409="",0,IF(A409&gt;$B$5,1,0))</f>
        <v/>
      </c>
      <c r="K409" s="29">
        <f>IF(AND(J409=1,ISNUMBER(D409)),D409,"")</f>
        <v/>
      </c>
      <c r="L409" s="30">
        <f>IF(AND(J409=1,ISNUMBER(G409)),G409,"")</f>
        <v/>
      </c>
      <c r="M409" s="22">
        <f>IF(AND(J409=1,ISNUMBER(C409)),C409,"")</f>
        <v/>
      </c>
      <c r="N409" s="31">
        <f>IF(AND(J409=1,ISNUMBER(I409)),I409,"")</f>
        <v/>
      </c>
      <c r="O409" s="11">
        <f>IF(K409="","",100-IF($G$13=1,50,(_xlfn.RANK.AVG(K409,$K$19:$K$1518,1)-1)/($G$13-1)*100))</f>
        <v/>
      </c>
      <c r="P409" s="11">
        <f>IF(L409="","",100-IF($G$14=1,50,(_xlfn.RANK.AVG(L409,$L$19:$L$1518,1)-1)/($G$14-1)*100))</f>
        <v/>
      </c>
      <c r="Q409" s="11">
        <f>IF(M409="","",IF($G$15=1,50,(_xlfn.RANK.AVG(M409,$M$19:$M$1518,1)-1)/($G$15-1)*100))</f>
        <v/>
      </c>
      <c r="R409" s="11">
        <f>IF(N409="","",IF($G$16=1,50,(_xlfn.RANK.AVG(N409,$N$19:$N$1518,1)-1)/($G$16-1)*100))</f>
        <v/>
      </c>
      <c r="S409" s="11">
        <f>IF(COUNT(O409:R409)=4,ROUND(AVERAGE(O409:R409),6),"")</f>
        <v/>
      </c>
      <c r="U409">
        <f>IF(AND(ISNUMBER('자료_한국심리'!$A393),ISNUMBER('자료_한국심리'!$B393)),'자료_한국심리'!$A393,"")</f>
        <v/>
      </c>
      <c r="V409">
        <f>IF(AND(ISNUMBER('자료_한국심리'!$D393),ISNUMBER('자료_한국심리'!$E393)),'자료_한국심리'!$D393,"")</f>
        <v/>
      </c>
      <c r="W409">
        <f>IF(AND(ISNUMBER('자료_한국심리'!$G393),ISNUMBER('자료_한국심리'!$H393)),'자료_한국심리'!$G393,"")</f>
        <v/>
      </c>
      <c r="X409">
        <f>IF(AND(ISNUMBER('자료_한국심리'!$J393),ISNUMBER('자료_한국심리'!$K393)),'자료_한국심리'!$J393,"")</f>
        <v/>
      </c>
      <c r="Y409">
        <f>IF(AND(ISNUMBER('자료_한국심리'!$M393),ISNUMBER('자료_한국심리'!$N393)),'자료_한국심리'!$M393,"")</f>
        <v/>
      </c>
    </row>
    <row r="410">
      <c r="A410" s="10">
        <f>IF(392&gt;$E$5,"",SMALL($U$19:$U$4018,$E$6+392))</f>
        <v/>
      </c>
      <c r="B410" s="29">
        <f>IF(A410="","",INDEX('자료_한국심리'!$B$3:$B$4002,MATCH(A410,$U$19:$U$4018,0)))</f>
        <v/>
      </c>
      <c r="C410" s="22">
        <f>IF(A410="","",B410/AVERAGE(B286:B410)-1)</f>
        <v/>
      </c>
      <c r="D410" s="29">
        <f>IF(A410="","",IFERROR(INDEX('자료_한국심리'!$E$3:$E$4002,MATCH(A410,$V$19:$V$4018,0)),D409))</f>
        <v/>
      </c>
      <c r="E410" s="30">
        <f>IF(A410="","",IFERROR(INDEX('자료_한국심리'!$H$3:$H$4002,MATCH(A410,$W$19:$W$4018,0)),E409))</f>
        <v/>
      </c>
      <c r="F410" s="30">
        <f>IF(A410="","",IFERROR(INDEX('자료_한국심리'!$K$3:$K$4002,MATCH(A410,$X$19:$X$4018,0)),F409))</f>
        <v/>
      </c>
      <c r="G410" s="30">
        <f>IF(AND(ISNUMBER(E410),ISNUMBER(F410)),ROUND(E410-F410,6),"")</f>
        <v/>
      </c>
      <c r="H410" s="25">
        <f>IF(A410="","",IFERROR(INDEX('자료_한국심리'!$N$3:$N$4002,MATCH(A410,$Y$19:$Y$4018,0)),H409))</f>
        <v/>
      </c>
      <c r="I410" s="31">
        <f>IF(AND(ISNUMBER(H410),ISNUMBER(H390)),IF(H390&gt;0,H410/H390-1,""),"")</f>
        <v/>
      </c>
      <c r="J410">
        <f>IF(A410="",0,IF(A410&gt;$B$5,1,0))</f>
        <v/>
      </c>
      <c r="K410" s="29">
        <f>IF(AND(J410=1,ISNUMBER(D410)),D410,"")</f>
        <v/>
      </c>
      <c r="L410" s="30">
        <f>IF(AND(J410=1,ISNUMBER(G410)),G410,"")</f>
        <v/>
      </c>
      <c r="M410" s="22">
        <f>IF(AND(J410=1,ISNUMBER(C410)),C410,"")</f>
        <v/>
      </c>
      <c r="N410" s="31">
        <f>IF(AND(J410=1,ISNUMBER(I410)),I410,"")</f>
        <v/>
      </c>
      <c r="O410" s="11">
        <f>IF(K410="","",100-IF($G$13=1,50,(_xlfn.RANK.AVG(K410,$K$19:$K$1518,1)-1)/($G$13-1)*100))</f>
        <v/>
      </c>
      <c r="P410" s="11">
        <f>IF(L410="","",100-IF($G$14=1,50,(_xlfn.RANK.AVG(L410,$L$19:$L$1518,1)-1)/($G$14-1)*100))</f>
        <v/>
      </c>
      <c r="Q410" s="11">
        <f>IF(M410="","",IF($G$15=1,50,(_xlfn.RANK.AVG(M410,$M$19:$M$1518,1)-1)/($G$15-1)*100))</f>
        <v/>
      </c>
      <c r="R410" s="11">
        <f>IF(N410="","",IF($G$16=1,50,(_xlfn.RANK.AVG(N410,$N$19:$N$1518,1)-1)/($G$16-1)*100))</f>
        <v/>
      </c>
      <c r="S410" s="11">
        <f>IF(COUNT(O410:R410)=4,ROUND(AVERAGE(O410:R410),6),"")</f>
        <v/>
      </c>
      <c r="U410">
        <f>IF(AND(ISNUMBER('자료_한국심리'!$A394),ISNUMBER('자료_한국심리'!$B394)),'자료_한국심리'!$A394,"")</f>
        <v/>
      </c>
      <c r="V410">
        <f>IF(AND(ISNUMBER('자료_한국심리'!$D394),ISNUMBER('자료_한국심리'!$E394)),'자료_한국심리'!$D394,"")</f>
        <v/>
      </c>
      <c r="W410">
        <f>IF(AND(ISNUMBER('자료_한국심리'!$G394),ISNUMBER('자료_한국심리'!$H394)),'자료_한국심리'!$G394,"")</f>
        <v/>
      </c>
      <c r="X410">
        <f>IF(AND(ISNUMBER('자료_한국심리'!$J394),ISNUMBER('자료_한국심리'!$K394)),'자료_한국심리'!$J394,"")</f>
        <v/>
      </c>
      <c r="Y410">
        <f>IF(AND(ISNUMBER('자료_한국심리'!$M394),ISNUMBER('자료_한국심리'!$N394)),'자료_한국심리'!$M394,"")</f>
        <v/>
      </c>
    </row>
    <row r="411">
      <c r="A411" s="10">
        <f>IF(393&gt;$E$5,"",SMALL($U$19:$U$4018,$E$6+393))</f>
        <v/>
      </c>
      <c r="B411" s="29">
        <f>IF(A411="","",INDEX('자료_한국심리'!$B$3:$B$4002,MATCH(A411,$U$19:$U$4018,0)))</f>
        <v/>
      </c>
      <c r="C411" s="22">
        <f>IF(A411="","",B411/AVERAGE(B287:B411)-1)</f>
        <v/>
      </c>
      <c r="D411" s="29">
        <f>IF(A411="","",IFERROR(INDEX('자료_한국심리'!$E$3:$E$4002,MATCH(A411,$V$19:$V$4018,0)),D410))</f>
        <v/>
      </c>
      <c r="E411" s="30">
        <f>IF(A411="","",IFERROR(INDEX('자료_한국심리'!$H$3:$H$4002,MATCH(A411,$W$19:$W$4018,0)),E410))</f>
        <v/>
      </c>
      <c r="F411" s="30">
        <f>IF(A411="","",IFERROR(INDEX('자료_한국심리'!$K$3:$K$4002,MATCH(A411,$X$19:$X$4018,0)),F410))</f>
        <v/>
      </c>
      <c r="G411" s="30">
        <f>IF(AND(ISNUMBER(E411),ISNUMBER(F411)),ROUND(E411-F411,6),"")</f>
        <v/>
      </c>
      <c r="H411" s="25">
        <f>IF(A411="","",IFERROR(INDEX('자료_한국심리'!$N$3:$N$4002,MATCH(A411,$Y$19:$Y$4018,0)),H410))</f>
        <v/>
      </c>
      <c r="I411" s="31">
        <f>IF(AND(ISNUMBER(H411),ISNUMBER(H391)),IF(H391&gt;0,H411/H391-1,""),"")</f>
        <v/>
      </c>
      <c r="J411">
        <f>IF(A411="",0,IF(A411&gt;$B$5,1,0))</f>
        <v/>
      </c>
      <c r="K411" s="29">
        <f>IF(AND(J411=1,ISNUMBER(D411)),D411,"")</f>
        <v/>
      </c>
      <c r="L411" s="30">
        <f>IF(AND(J411=1,ISNUMBER(G411)),G411,"")</f>
        <v/>
      </c>
      <c r="M411" s="22">
        <f>IF(AND(J411=1,ISNUMBER(C411)),C411,"")</f>
        <v/>
      </c>
      <c r="N411" s="31">
        <f>IF(AND(J411=1,ISNUMBER(I411)),I411,"")</f>
        <v/>
      </c>
      <c r="O411" s="11">
        <f>IF(K411="","",100-IF($G$13=1,50,(_xlfn.RANK.AVG(K411,$K$19:$K$1518,1)-1)/($G$13-1)*100))</f>
        <v/>
      </c>
      <c r="P411" s="11">
        <f>IF(L411="","",100-IF($G$14=1,50,(_xlfn.RANK.AVG(L411,$L$19:$L$1518,1)-1)/($G$14-1)*100))</f>
        <v/>
      </c>
      <c r="Q411" s="11">
        <f>IF(M411="","",IF($G$15=1,50,(_xlfn.RANK.AVG(M411,$M$19:$M$1518,1)-1)/($G$15-1)*100))</f>
        <v/>
      </c>
      <c r="R411" s="11">
        <f>IF(N411="","",IF($G$16=1,50,(_xlfn.RANK.AVG(N411,$N$19:$N$1518,1)-1)/($G$16-1)*100))</f>
        <v/>
      </c>
      <c r="S411" s="11">
        <f>IF(COUNT(O411:R411)=4,ROUND(AVERAGE(O411:R411),6),"")</f>
        <v/>
      </c>
      <c r="U411">
        <f>IF(AND(ISNUMBER('자료_한국심리'!$A395),ISNUMBER('자료_한국심리'!$B395)),'자료_한국심리'!$A395,"")</f>
        <v/>
      </c>
      <c r="V411">
        <f>IF(AND(ISNUMBER('자료_한국심리'!$D395),ISNUMBER('자료_한국심리'!$E395)),'자료_한국심리'!$D395,"")</f>
        <v/>
      </c>
      <c r="W411">
        <f>IF(AND(ISNUMBER('자료_한국심리'!$G395),ISNUMBER('자료_한국심리'!$H395)),'자료_한국심리'!$G395,"")</f>
        <v/>
      </c>
      <c r="X411">
        <f>IF(AND(ISNUMBER('자료_한국심리'!$J395),ISNUMBER('자료_한국심리'!$K395)),'자료_한국심리'!$J395,"")</f>
        <v/>
      </c>
      <c r="Y411">
        <f>IF(AND(ISNUMBER('자료_한국심리'!$M395),ISNUMBER('자료_한국심리'!$N395)),'자료_한국심리'!$M395,"")</f>
        <v/>
      </c>
    </row>
    <row r="412">
      <c r="A412" s="10">
        <f>IF(394&gt;$E$5,"",SMALL($U$19:$U$4018,$E$6+394))</f>
        <v/>
      </c>
      <c r="B412" s="29">
        <f>IF(A412="","",INDEX('자료_한국심리'!$B$3:$B$4002,MATCH(A412,$U$19:$U$4018,0)))</f>
        <v/>
      </c>
      <c r="C412" s="22">
        <f>IF(A412="","",B412/AVERAGE(B288:B412)-1)</f>
        <v/>
      </c>
      <c r="D412" s="29">
        <f>IF(A412="","",IFERROR(INDEX('자료_한국심리'!$E$3:$E$4002,MATCH(A412,$V$19:$V$4018,0)),D411))</f>
        <v/>
      </c>
      <c r="E412" s="30">
        <f>IF(A412="","",IFERROR(INDEX('자료_한국심리'!$H$3:$H$4002,MATCH(A412,$W$19:$W$4018,0)),E411))</f>
        <v/>
      </c>
      <c r="F412" s="30">
        <f>IF(A412="","",IFERROR(INDEX('자료_한국심리'!$K$3:$K$4002,MATCH(A412,$X$19:$X$4018,0)),F411))</f>
        <v/>
      </c>
      <c r="G412" s="30">
        <f>IF(AND(ISNUMBER(E412),ISNUMBER(F412)),ROUND(E412-F412,6),"")</f>
        <v/>
      </c>
      <c r="H412" s="25">
        <f>IF(A412="","",IFERROR(INDEX('자료_한국심리'!$N$3:$N$4002,MATCH(A412,$Y$19:$Y$4018,0)),H411))</f>
        <v/>
      </c>
      <c r="I412" s="31">
        <f>IF(AND(ISNUMBER(H412),ISNUMBER(H392)),IF(H392&gt;0,H412/H392-1,""),"")</f>
        <v/>
      </c>
      <c r="J412">
        <f>IF(A412="",0,IF(A412&gt;$B$5,1,0))</f>
        <v/>
      </c>
      <c r="K412" s="29">
        <f>IF(AND(J412=1,ISNUMBER(D412)),D412,"")</f>
        <v/>
      </c>
      <c r="L412" s="30">
        <f>IF(AND(J412=1,ISNUMBER(G412)),G412,"")</f>
        <v/>
      </c>
      <c r="M412" s="22">
        <f>IF(AND(J412=1,ISNUMBER(C412)),C412,"")</f>
        <v/>
      </c>
      <c r="N412" s="31">
        <f>IF(AND(J412=1,ISNUMBER(I412)),I412,"")</f>
        <v/>
      </c>
      <c r="O412" s="11">
        <f>IF(K412="","",100-IF($G$13=1,50,(_xlfn.RANK.AVG(K412,$K$19:$K$1518,1)-1)/($G$13-1)*100))</f>
        <v/>
      </c>
      <c r="P412" s="11">
        <f>IF(L412="","",100-IF($G$14=1,50,(_xlfn.RANK.AVG(L412,$L$19:$L$1518,1)-1)/($G$14-1)*100))</f>
        <v/>
      </c>
      <c r="Q412" s="11">
        <f>IF(M412="","",IF($G$15=1,50,(_xlfn.RANK.AVG(M412,$M$19:$M$1518,1)-1)/($G$15-1)*100))</f>
        <v/>
      </c>
      <c r="R412" s="11">
        <f>IF(N412="","",IF($G$16=1,50,(_xlfn.RANK.AVG(N412,$N$19:$N$1518,1)-1)/($G$16-1)*100))</f>
        <v/>
      </c>
      <c r="S412" s="11">
        <f>IF(COUNT(O412:R412)=4,ROUND(AVERAGE(O412:R412),6),"")</f>
        <v/>
      </c>
      <c r="U412">
        <f>IF(AND(ISNUMBER('자료_한국심리'!$A396),ISNUMBER('자료_한국심리'!$B396)),'자료_한국심리'!$A396,"")</f>
        <v/>
      </c>
      <c r="V412">
        <f>IF(AND(ISNUMBER('자료_한국심리'!$D396),ISNUMBER('자료_한국심리'!$E396)),'자료_한국심리'!$D396,"")</f>
        <v/>
      </c>
      <c r="W412">
        <f>IF(AND(ISNUMBER('자료_한국심리'!$G396),ISNUMBER('자료_한국심리'!$H396)),'자료_한국심리'!$G396,"")</f>
        <v/>
      </c>
      <c r="X412">
        <f>IF(AND(ISNUMBER('자료_한국심리'!$J396),ISNUMBER('자료_한국심리'!$K396)),'자료_한국심리'!$J396,"")</f>
        <v/>
      </c>
      <c r="Y412">
        <f>IF(AND(ISNUMBER('자료_한국심리'!$M396),ISNUMBER('자료_한국심리'!$N396)),'자료_한국심리'!$M396,"")</f>
        <v/>
      </c>
    </row>
    <row r="413">
      <c r="A413" s="10">
        <f>IF(395&gt;$E$5,"",SMALL($U$19:$U$4018,$E$6+395))</f>
        <v/>
      </c>
      <c r="B413" s="29">
        <f>IF(A413="","",INDEX('자료_한국심리'!$B$3:$B$4002,MATCH(A413,$U$19:$U$4018,0)))</f>
        <v/>
      </c>
      <c r="C413" s="22">
        <f>IF(A413="","",B413/AVERAGE(B289:B413)-1)</f>
        <v/>
      </c>
      <c r="D413" s="29">
        <f>IF(A413="","",IFERROR(INDEX('자료_한국심리'!$E$3:$E$4002,MATCH(A413,$V$19:$V$4018,0)),D412))</f>
        <v/>
      </c>
      <c r="E413" s="30">
        <f>IF(A413="","",IFERROR(INDEX('자료_한국심리'!$H$3:$H$4002,MATCH(A413,$W$19:$W$4018,0)),E412))</f>
        <v/>
      </c>
      <c r="F413" s="30">
        <f>IF(A413="","",IFERROR(INDEX('자료_한국심리'!$K$3:$K$4002,MATCH(A413,$X$19:$X$4018,0)),F412))</f>
        <v/>
      </c>
      <c r="G413" s="30">
        <f>IF(AND(ISNUMBER(E413),ISNUMBER(F413)),ROUND(E413-F413,6),"")</f>
        <v/>
      </c>
      <c r="H413" s="25">
        <f>IF(A413="","",IFERROR(INDEX('자료_한국심리'!$N$3:$N$4002,MATCH(A413,$Y$19:$Y$4018,0)),H412))</f>
        <v/>
      </c>
      <c r="I413" s="31">
        <f>IF(AND(ISNUMBER(H413),ISNUMBER(H393)),IF(H393&gt;0,H413/H393-1,""),"")</f>
        <v/>
      </c>
      <c r="J413">
        <f>IF(A413="",0,IF(A413&gt;$B$5,1,0))</f>
        <v/>
      </c>
      <c r="K413" s="29">
        <f>IF(AND(J413=1,ISNUMBER(D413)),D413,"")</f>
        <v/>
      </c>
      <c r="L413" s="30">
        <f>IF(AND(J413=1,ISNUMBER(G413)),G413,"")</f>
        <v/>
      </c>
      <c r="M413" s="22">
        <f>IF(AND(J413=1,ISNUMBER(C413)),C413,"")</f>
        <v/>
      </c>
      <c r="N413" s="31">
        <f>IF(AND(J413=1,ISNUMBER(I413)),I413,"")</f>
        <v/>
      </c>
      <c r="O413" s="11">
        <f>IF(K413="","",100-IF($G$13=1,50,(_xlfn.RANK.AVG(K413,$K$19:$K$1518,1)-1)/($G$13-1)*100))</f>
        <v/>
      </c>
      <c r="P413" s="11">
        <f>IF(L413="","",100-IF($G$14=1,50,(_xlfn.RANK.AVG(L413,$L$19:$L$1518,1)-1)/($G$14-1)*100))</f>
        <v/>
      </c>
      <c r="Q413" s="11">
        <f>IF(M413="","",IF($G$15=1,50,(_xlfn.RANK.AVG(M413,$M$19:$M$1518,1)-1)/($G$15-1)*100))</f>
        <v/>
      </c>
      <c r="R413" s="11">
        <f>IF(N413="","",IF($G$16=1,50,(_xlfn.RANK.AVG(N413,$N$19:$N$1518,1)-1)/($G$16-1)*100))</f>
        <v/>
      </c>
      <c r="S413" s="11">
        <f>IF(COUNT(O413:R413)=4,ROUND(AVERAGE(O413:R413),6),"")</f>
        <v/>
      </c>
      <c r="U413">
        <f>IF(AND(ISNUMBER('자료_한국심리'!$A397),ISNUMBER('자료_한국심리'!$B397)),'자료_한국심리'!$A397,"")</f>
        <v/>
      </c>
      <c r="V413">
        <f>IF(AND(ISNUMBER('자료_한국심리'!$D397),ISNUMBER('자료_한국심리'!$E397)),'자료_한국심리'!$D397,"")</f>
        <v/>
      </c>
      <c r="W413">
        <f>IF(AND(ISNUMBER('자료_한국심리'!$G397),ISNUMBER('자료_한국심리'!$H397)),'자료_한국심리'!$G397,"")</f>
        <v/>
      </c>
      <c r="X413">
        <f>IF(AND(ISNUMBER('자료_한국심리'!$J397),ISNUMBER('자료_한국심리'!$K397)),'자료_한국심리'!$J397,"")</f>
        <v/>
      </c>
      <c r="Y413">
        <f>IF(AND(ISNUMBER('자료_한국심리'!$M397),ISNUMBER('자료_한국심리'!$N397)),'자료_한국심리'!$M397,"")</f>
        <v/>
      </c>
    </row>
    <row r="414">
      <c r="A414" s="10">
        <f>IF(396&gt;$E$5,"",SMALL($U$19:$U$4018,$E$6+396))</f>
        <v/>
      </c>
      <c r="B414" s="29">
        <f>IF(A414="","",INDEX('자료_한국심리'!$B$3:$B$4002,MATCH(A414,$U$19:$U$4018,0)))</f>
        <v/>
      </c>
      <c r="C414" s="22">
        <f>IF(A414="","",B414/AVERAGE(B290:B414)-1)</f>
        <v/>
      </c>
      <c r="D414" s="29">
        <f>IF(A414="","",IFERROR(INDEX('자료_한국심리'!$E$3:$E$4002,MATCH(A414,$V$19:$V$4018,0)),D413))</f>
        <v/>
      </c>
      <c r="E414" s="30">
        <f>IF(A414="","",IFERROR(INDEX('자료_한국심리'!$H$3:$H$4002,MATCH(A414,$W$19:$W$4018,0)),E413))</f>
        <v/>
      </c>
      <c r="F414" s="30">
        <f>IF(A414="","",IFERROR(INDEX('자료_한국심리'!$K$3:$K$4002,MATCH(A414,$X$19:$X$4018,0)),F413))</f>
        <v/>
      </c>
      <c r="G414" s="30">
        <f>IF(AND(ISNUMBER(E414),ISNUMBER(F414)),ROUND(E414-F414,6),"")</f>
        <v/>
      </c>
      <c r="H414" s="25">
        <f>IF(A414="","",IFERROR(INDEX('자료_한국심리'!$N$3:$N$4002,MATCH(A414,$Y$19:$Y$4018,0)),H413))</f>
        <v/>
      </c>
      <c r="I414" s="31">
        <f>IF(AND(ISNUMBER(H414),ISNUMBER(H394)),IF(H394&gt;0,H414/H394-1,""),"")</f>
        <v/>
      </c>
      <c r="J414">
        <f>IF(A414="",0,IF(A414&gt;$B$5,1,0))</f>
        <v/>
      </c>
      <c r="K414" s="29">
        <f>IF(AND(J414=1,ISNUMBER(D414)),D414,"")</f>
        <v/>
      </c>
      <c r="L414" s="30">
        <f>IF(AND(J414=1,ISNUMBER(G414)),G414,"")</f>
        <v/>
      </c>
      <c r="M414" s="22">
        <f>IF(AND(J414=1,ISNUMBER(C414)),C414,"")</f>
        <v/>
      </c>
      <c r="N414" s="31">
        <f>IF(AND(J414=1,ISNUMBER(I414)),I414,"")</f>
        <v/>
      </c>
      <c r="O414" s="11">
        <f>IF(K414="","",100-IF($G$13=1,50,(_xlfn.RANK.AVG(K414,$K$19:$K$1518,1)-1)/($G$13-1)*100))</f>
        <v/>
      </c>
      <c r="P414" s="11">
        <f>IF(L414="","",100-IF($G$14=1,50,(_xlfn.RANK.AVG(L414,$L$19:$L$1518,1)-1)/($G$14-1)*100))</f>
        <v/>
      </c>
      <c r="Q414" s="11">
        <f>IF(M414="","",IF($G$15=1,50,(_xlfn.RANK.AVG(M414,$M$19:$M$1518,1)-1)/($G$15-1)*100))</f>
        <v/>
      </c>
      <c r="R414" s="11">
        <f>IF(N414="","",IF($G$16=1,50,(_xlfn.RANK.AVG(N414,$N$19:$N$1518,1)-1)/($G$16-1)*100))</f>
        <v/>
      </c>
      <c r="S414" s="11">
        <f>IF(COUNT(O414:R414)=4,ROUND(AVERAGE(O414:R414),6),"")</f>
        <v/>
      </c>
      <c r="U414">
        <f>IF(AND(ISNUMBER('자료_한국심리'!$A398),ISNUMBER('자료_한국심리'!$B398)),'자료_한국심리'!$A398,"")</f>
        <v/>
      </c>
      <c r="V414">
        <f>IF(AND(ISNUMBER('자료_한국심리'!$D398),ISNUMBER('자료_한국심리'!$E398)),'자료_한국심리'!$D398,"")</f>
        <v/>
      </c>
      <c r="W414">
        <f>IF(AND(ISNUMBER('자료_한국심리'!$G398),ISNUMBER('자료_한국심리'!$H398)),'자료_한국심리'!$G398,"")</f>
        <v/>
      </c>
      <c r="X414">
        <f>IF(AND(ISNUMBER('자료_한국심리'!$J398),ISNUMBER('자료_한국심리'!$K398)),'자료_한국심리'!$J398,"")</f>
        <v/>
      </c>
      <c r="Y414">
        <f>IF(AND(ISNUMBER('자료_한국심리'!$M398),ISNUMBER('자료_한국심리'!$N398)),'자료_한국심리'!$M398,"")</f>
        <v/>
      </c>
    </row>
    <row r="415">
      <c r="A415" s="10">
        <f>IF(397&gt;$E$5,"",SMALL($U$19:$U$4018,$E$6+397))</f>
        <v/>
      </c>
      <c r="B415" s="29">
        <f>IF(A415="","",INDEX('자료_한국심리'!$B$3:$B$4002,MATCH(A415,$U$19:$U$4018,0)))</f>
        <v/>
      </c>
      <c r="C415" s="22">
        <f>IF(A415="","",B415/AVERAGE(B291:B415)-1)</f>
        <v/>
      </c>
      <c r="D415" s="29">
        <f>IF(A415="","",IFERROR(INDEX('자료_한국심리'!$E$3:$E$4002,MATCH(A415,$V$19:$V$4018,0)),D414))</f>
        <v/>
      </c>
      <c r="E415" s="30">
        <f>IF(A415="","",IFERROR(INDEX('자료_한국심리'!$H$3:$H$4002,MATCH(A415,$W$19:$W$4018,0)),E414))</f>
        <v/>
      </c>
      <c r="F415" s="30">
        <f>IF(A415="","",IFERROR(INDEX('자료_한국심리'!$K$3:$K$4002,MATCH(A415,$X$19:$X$4018,0)),F414))</f>
        <v/>
      </c>
      <c r="G415" s="30">
        <f>IF(AND(ISNUMBER(E415),ISNUMBER(F415)),ROUND(E415-F415,6),"")</f>
        <v/>
      </c>
      <c r="H415" s="25">
        <f>IF(A415="","",IFERROR(INDEX('자료_한국심리'!$N$3:$N$4002,MATCH(A415,$Y$19:$Y$4018,0)),H414))</f>
        <v/>
      </c>
      <c r="I415" s="31">
        <f>IF(AND(ISNUMBER(H415),ISNUMBER(H395)),IF(H395&gt;0,H415/H395-1,""),"")</f>
        <v/>
      </c>
      <c r="J415">
        <f>IF(A415="",0,IF(A415&gt;$B$5,1,0))</f>
        <v/>
      </c>
      <c r="K415" s="29">
        <f>IF(AND(J415=1,ISNUMBER(D415)),D415,"")</f>
        <v/>
      </c>
      <c r="L415" s="30">
        <f>IF(AND(J415=1,ISNUMBER(G415)),G415,"")</f>
        <v/>
      </c>
      <c r="M415" s="22">
        <f>IF(AND(J415=1,ISNUMBER(C415)),C415,"")</f>
        <v/>
      </c>
      <c r="N415" s="31">
        <f>IF(AND(J415=1,ISNUMBER(I415)),I415,"")</f>
        <v/>
      </c>
      <c r="O415" s="11">
        <f>IF(K415="","",100-IF($G$13=1,50,(_xlfn.RANK.AVG(K415,$K$19:$K$1518,1)-1)/($G$13-1)*100))</f>
        <v/>
      </c>
      <c r="P415" s="11">
        <f>IF(L415="","",100-IF($G$14=1,50,(_xlfn.RANK.AVG(L415,$L$19:$L$1518,1)-1)/($G$14-1)*100))</f>
        <v/>
      </c>
      <c r="Q415" s="11">
        <f>IF(M415="","",IF($G$15=1,50,(_xlfn.RANK.AVG(M415,$M$19:$M$1518,1)-1)/($G$15-1)*100))</f>
        <v/>
      </c>
      <c r="R415" s="11">
        <f>IF(N415="","",IF($G$16=1,50,(_xlfn.RANK.AVG(N415,$N$19:$N$1518,1)-1)/($G$16-1)*100))</f>
        <v/>
      </c>
      <c r="S415" s="11">
        <f>IF(COUNT(O415:R415)=4,ROUND(AVERAGE(O415:R415),6),"")</f>
        <v/>
      </c>
      <c r="U415">
        <f>IF(AND(ISNUMBER('자료_한국심리'!$A399),ISNUMBER('자료_한국심리'!$B399)),'자료_한국심리'!$A399,"")</f>
        <v/>
      </c>
      <c r="V415">
        <f>IF(AND(ISNUMBER('자료_한국심리'!$D399),ISNUMBER('자료_한국심리'!$E399)),'자료_한국심리'!$D399,"")</f>
        <v/>
      </c>
      <c r="W415">
        <f>IF(AND(ISNUMBER('자료_한국심리'!$G399),ISNUMBER('자료_한국심리'!$H399)),'자료_한국심리'!$G399,"")</f>
        <v/>
      </c>
      <c r="X415">
        <f>IF(AND(ISNUMBER('자료_한국심리'!$J399),ISNUMBER('자료_한국심리'!$K399)),'자료_한국심리'!$J399,"")</f>
        <v/>
      </c>
      <c r="Y415">
        <f>IF(AND(ISNUMBER('자료_한국심리'!$M399),ISNUMBER('자료_한국심리'!$N399)),'자료_한국심리'!$M399,"")</f>
        <v/>
      </c>
    </row>
    <row r="416">
      <c r="A416" s="10">
        <f>IF(398&gt;$E$5,"",SMALL($U$19:$U$4018,$E$6+398))</f>
        <v/>
      </c>
      <c r="B416" s="29">
        <f>IF(A416="","",INDEX('자료_한국심리'!$B$3:$B$4002,MATCH(A416,$U$19:$U$4018,0)))</f>
        <v/>
      </c>
      <c r="C416" s="22">
        <f>IF(A416="","",B416/AVERAGE(B292:B416)-1)</f>
        <v/>
      </c>
      <c r="D416" s="29">
        <f>IF(A416="","",IFERROR(INDEX('자료_한국심리'!$E$3:$E$4002,MATCH(A416,$V$19:$V$4018,0)),D415))</f>
        <v/>
      </c>
      <c r="E416" s="30">
        <f>IF(A416="","",IFERROR(INDEX('자료_한국심리'!$H$3:$H$4002,MATCH(A416,$W$19:$W$4018,0)),E415))</f>
        <v/>
      </c>
      <c r="F416" s="30">
        <f>IF(A416="","",IFERROR(INDEX('자료_한국심리'!$K$3:$K$4002,MATCH(A416,$X$19:$X$4018,0)),F415))</f>
        <v/>
      </c>
      <c r="G416" s="30">
        <f>IF(AND(ISNUMBER(E416),ISNUMBER(F416)),ROUND(E416-F416,6),"")</f>
        <v/>
      </c>
      <c r="H416" s="25">
        <f>IF(A416="","",IFERROR(INDEX('자료_한국심리'!$N$3:$N$4002,MATCH(A416,$Y$19:$Y$4018,0)),H415))</f>
        <v/>
      </c>
      <c r="I416" s="31">
        <f>IF(AND(ISNUMBER(H416),ISNUMBER(H396)),IF(H396&gt;0,H416/H396-1,""),"")</f>
        <v/>
      </c>
      <c r="J416">
        <f>IF(A416="",0,IF(A416&gt;$B$5,1,0))</f>
        <v/>
      </c>
      <c r="K416" s="29">
        <f>IF(AND(J416=1,ISNUMBER(D416)),D416,"")</f>
        <v/>
      </c>
      <c r="L416" s="30">
        <f>IF(AND(J416=1,ISNUMBER(G416)),G416,"")</f>
        <v/>
      </c>
      <c r="M416" s="22">
        <f>IF(AND(J416=1,ISNUMBER(C416)),C416,"")</f>
        <v/>
      </c>
      <c r="N416" s="31">
        <f>IF(AND(J416=1,ISNUMBER(I416)),I416,"")</f>
        <v/>
      </c>
      <c r="O416" s="11">
        <f>IF(K416="","",100-IF($G$13=1,50,(_xlfn.RANK.AVG(K416,$K$19:$K$1518,1)-1)/($G$13-1)*100))</f>
        <v/>
      </c>
      <c r="P416" s="11">
        <f>IF(L416="","",100-IF($G$14=1,50,(_xlfn.RANK.AVG(L416,$L$19:$L$1518,1)-1)/($G$14-1)*100))</f>
        <v/>
      </c>
      <c r="Q416" s="11">
        <f>IF(M416="","",IF($G$15=1,50,(_xlfn.RANK.AVG(M416,$M$19:$M$1518,1)-1)/($G$15-1)*100))</f>
        <v/>
      </c>
      <c r="R416" s="11">
        <f>IF(N416="","",IF($G$16=1,50,(_xlfn.RANK.AVG(N416,$N$19:$N$1518,1)-1)/($G$16-1)*100))</f>
        <v/>
      </c>
      <c r="S416" s="11">
        <f>IF(COUNT(O416:R416)=4,ROUND(AVERAGE(O416:R416),6),"")</f>
        <v/>
      </c>
      <c r="U416">
        <f>IF(AND(ISNUMBER('자료_한국심리'!$A400),ISNUMBER('자료_한국심리'!$B400)),'자료_한국심리'!$A400,"")</f>
        <v/>
      </c>
      <c r="V416">
        <f>IF(AND(ISNUMBER('자료_한국심리'!$D400),ISNUMBER('자료_한국심리'!$E400)),'자료_한국심리'!$D400,"")</f>
        <v/>
      </c>
      <c r="W416">
        <f>IF(AND(ISNUMBER('자료_한국심리'!$G400),ISNUMBER('자료_한국심리'!$H400)),'자료_한국심리'!$G400,"")</f>
        <v/>
      </c>
      <c r="X416">
        <f>IF(AND(ISNUMBER('자료_한국심리'!$J400),ISNUMBER('자료_한국심리'!$K400)),'자료_한국심리'!$J400,"")</f>
        <v/>
      </c>
      <c r="Y416">
        <f>IF(AND(ISNUMBER('자료_한국심리'!$M400),ISNUMBER('자료_한국심리'!$N400)),'자료_한국심리'!$M400,"")</f>
        <v/>
      </c>
    </row>
    <row r="417">
      <c r="A417" s="10">
        <f>IF(399&gt;$E$5,"",SMALL($U$19:$U$4018,$E$6+399))</f>
        <v/>
      </c>
      <c r="B417" s="29">
        <f>IF(A417="","",INDEX('자료_한국심리'!$B$3:$B$4002,MATCH(A417,$U$19:$U$4018,0)))</f>
        <v/>
      </c>
      <c r="C417" s="22">
        <f>IF(A417="","",B417/AVERAGE(B293:B417)-1)</f>
        <v/>
      </c>
      <c r="D417" s="29">
        <f>IF(A417="","",IFERROR(INDEX('자료_한국심리'!$E$3:$E$4002,MATCH(A417,$V$19:$V$4018,0)),D416))</f>
        <v/>
      </c>
      <c r="E417" s="30">
        <f>IF(A417="","",IFERROR(INDEX('자료_한국심리'!$H$3:$H$4002,MATCH(A417,$W$19:$W$4018,0)),E416))</f>
        <v/>
      </c>
      <c r="F417" s="30">
        <f>IF(A417="","",IFERROR(INDEX('자료_한국심리'!$K$3:$K$4002,MATCH(A417,$X$19:$X$4018,0)),F416))</f>
        <v/>
      </c>
      <c r="G417" s="30">
        <f>IF(AND(ISNUMBER(E417),ISNUMBER(F417)),ROUND(E417-F417,6),"")</f>
        <v/>
      </c>
      <c r="H417" s="25">
        <f>IF(A417="","",IFERROR(INDEX('자료_한국심리'!$N$3:$N$4002,MATCH(A417,$Y$19:$Y$4018,0)),H416))</f>
        <v/>
      </c>
      <c r="I417" s="31">
        <f>IF(AND(ISNUMBER(H417),ISNUMBER(H397)),IF(H397&gt;0,H417/H397-1,""),"")</f>
        <v/>
      </c>
      <c r="J417">
        <f>IF(A417="",0,IF(A417&gt;$B$5,1,0))</f>
        <v/>
      </c>
      <c r="K417" s="29">
        <f>IF(AND(J417=1,ISNUMBER(D417)),D417,"")</f>
        <v/>
      </c>
      <c r="L417" s="30">
        <f>IF(AND(J417=1,ISNUMBER(G417)),G417,"")</f>
        <v/>
      </c>
      <c r="M417" s="22">
        <f>IF(AND(J417=1,ISNUMBER(C417)),C417,"")</f>
        <v/>
      </c>
      <c r="N417" s="31">
        <f>IF(AND(J417=1,ISNUMBER(I417)),I417,"")</f>
        <v/>
      </c>
      <c r="O417" s="11">
        <f>IF(K417="","",100-IF($G$13=1,50,(_xlfn.RANK.AVG(K417,$K$19:$K$1518,1)-1)/($G$13-1)*100))</f>
        <v/>
      </c>
      <c r="P417" s="11">
        <f>IF(L417="","",100-IF($G$14=1,50,(_xlfn.RANK.AVG(L417,$L$19:$L$1518,1)-1)/($G$14-1)*100))</f>
        <v/>
      </c>
      <c r="Q417" s="11">
        <f>IF(M417="","",IF($G$15=1,50,(_xlfn.RANK.AVG(M417,$M$19:$M$1518,1)-1)/($G$15-1)*100))</f>
        <v/>
      </c>
      <c r="R417" s="11">
        <f>IF(N417="","",IF($G$16=1,50,(_xlfn.RANK.AVG(N417,$N$19:$N$1518,1)-1)/($G$16-1)*100))</f>
        <v/>
      </c>
      <c r="S417" s="11">
        <f>IF(COUNT(O417:R417)=4,ROUND(AVERAGE(O417:R417),6),"")</f>
        <v/>
      </c>
      <c r="U417">
        <f>IF(AND(ISNUMBER('자료_한국심리'!$A401),ISNUMBER('자료_한국심리'!$B401)),'자료_한국심리'!$A401,"")</f>
        <v/>
      </c>
      <c r="V417">
        <f>IF(AND(ISNUMBER('자료_한국심리'!$D401),ISNUMBER('자료_한국심리'!$E401)),'자료_한국심리'!$D401,"")</f>
        <v/>
      </c>
      <c r="W417">
        <f>IF(AND(ISNUMBER('자료_한국심리'!$G401),ISNUMBER('자료_한국심리'!$H401)),'자료_한국심리'!$G401,"")</f>
        <v/>
      </c>
      <c r="X417">
        <f>IF(AND(ISNUMBER('자료_한국심리'!$J401),ISNUMBER('자료_한국심리'!$K401)),'자료_한국심리'!$J401,"")</f>
        <v/>
      </c>
      <c r="Y417">
        <f>IF(AND(ISNUMBER('자료_한국심리'!$M401),ISNUMBER('자료_한국심리'!$N401)),'자료_한국심리'!$M401,"")</f>
        <v/>
      </c>
    </row>
    <row r="418">
      <c r="A418" s="10">
        <f>IF(400&gt;$E$5,"",SMALL($U$19:$U$4018,$E$6+400))</f>
        <v/>
      </c>
      <c r="B418" s="29">
        <f>IF(A418="","",INDEX('자료_한국심리'!$B$3:$B$4002,MATCH(A418,$U$19:$U$4018,0)))</f>
        <v/>
      </c>
      <c r="C418" s="22">
        <f>IF(A418="","",B418/AVERAGE(B294:B418)-1)</f>
        <v/>
      </c>
      <c r="D418" s="29">
        <f>IF(A418="","",IFERROR(INDEX('자료_한국심리'!$E$3:$E$4002,MATCH(A418,$V$19:$V$4018,0)),D417))</f>
        <v/>
      </c>
      <c r="E418" s="30">
        <f>IF(A418="","",IFERROR(INDEX('자료_한국심리'!$H$3:$H$4002,MATCH(A418,$W$19:$W$4018,0)),E417))</f>
        <v/>
      </c>
      <c r="F418" s="30">
        <f>IF(A418="","",IFERROR(INDEX('자료_한국심리'!$K$3:$K$4002,MATCH(A418,$X$19:$X$4018,0)),F417))</f>
        <v/>
      </c>
      <c r="G418" s="30">
        <f>IF(AND(ISNUMBER(E418),ISNUMBER(F418)),ROUND(E418-F418,6),"")</f>
        <v/>
      </c>
      <c r="H418" s="25">
        <f>IF(A418="","",IFERROR(INDEX('자료_한국심리'!$N$3:$N$4002,MATCH(A418,$Y$19:$Y$4018,0)),H417))</f>
        <v/>
      </c>
      <c r="I418" s="31">
        <f>IF(AND(ISNUMBER(H418),ISNUMBER(H398)),IF(H398&gt;0,H418/H398-1,""),"")</f>
        <v/>
      </c>
      <c r="J418">
        <f>IF(A418="",0,IF(A418&gt;$B$5,1,0))</f>
        <v/>
      </c>
      <c r="K418" s="29">
        <f>IF(AND(J418=1,ISNUMBER(D418)),D418,"")</f>
        <v/>
      </c>
      <c r="L418" s="30">
        <f>IF(AND(J418=1,ISNUMBER(G418)),G418,"")</f>
        <v/>
      </c>
      <c r="M418" s="22">
        <f>IF(AND(J418=1,ISNUMBER(C418)),C418,"")</f>
        <v/>
      </c>
      <c r="N418" s="31">
        <f>IF(AND(J418=1,ISNUMBER(I418)),I418,"")</f>
        <v/>
      </c>
      <c r="O418" s="11">
        <f>IF(K418="","",100-IF($G$13=1,50,(_xlfn.RANK.AVG(K418,$K$19:$K$1518,1)-1)/($G$13-1)*100))</f>
        <v/>
      </c>
      <c r="P418" s="11">
        <f>IF(L418="","",100-IF($G$14=1,50,(_xlfn.RANK.AVG(L418,$L$19:$L$1518,1)-1)/($G$14-1)*100))</f>
        <v/>
      </c>
      <c r="Q418" s="11">
        <f>IF(M418="","",IF($G$15=1,50,(_xlfn.RANK.AVG(M418,$M$19:$M$1518,1)-1)/($G$15-1)*100))</f>
        <v/>
      </c>
      <c r="R418" s="11">
        <f>IF(N418="","",IF($G$16=1,50,(_xlfn.RANK.AVG(N418,$N$19:$N$1518,1)-1)/($G$16-1)*100))</f>
        <v/>
      </c>
      <c r="S418" s="11">
        <f>IF(COUNT(O418:R418)=4,ROUND(AVERAGE(O418:R418),6),"")</f>
        <v/>
      </c>
      <c r="U418">
        <f>IF(AND(ISNUMBER('자료_한국심리'!$A402),ISNUMBER('자료_한국심리'!$B402)),'자료_한국심리'!$A402,"")</f>
        <v/>
      </c>
      <c r="V418">
        <f>IF(AND(ISNUMBER('자료_한국심리'!$D402),ISNUMBER('자료_한국심리'!$E402)),'자료_한국심리'!$D402,"")</f>
        <v/>
      </c>
      <c r="W418">
        <f>IF(AND(ISNUMBER('자료_한국심리'!$G402),ISNUMBER('자료_한국심리'!$H402)),'자료_한국심리'!$G402,"")</f>
        <v/>
      </c>
      <c r="X418">
        <f>IF(AND(ISNUMBER('자료_한국심리'!$J402),ISNUMBER('자료_한국심리'!$K402)),'자료_한국심리'!$J402,"")</f>
        <v/>
      </c>
      <c r="Y418">
        <f>IF(AND(ISNUMBER('자료_한국심리'!$M402),ISNUMBER('자료_한국심리'!$N402)),'자료_한국심리'!$M402,"")</f>
        <v/>
      </c>
    </row>
    <row r="419">
      <c r="A419" s="10">
        <f>IF(401&gt;$E$5,"",SMALL($U$19:$U$4018,$E$6+401))</f>
        <v/>
      </c>
      <c r="B419" s="29">
        <f>IF(A419="","",INDEX('자료_한국심리'!$B$3:$B$4002,MATCH(A419,$U$19:$U$4018,0)))</f>
        <v/>
      </c>
      <c r="C419" s="22">
        <f>IF(A419="","",B419/AVERAGE(B295:B419)-1)</f>
        <v/>
      </c>
      <c r="D419" s="29">
        <f>IF(A419="","",IFERROR(INDEX('자료_한국심리'!$E$3:$E$4002,MATCH(A419,$V$19:$V$4018,0)),D418))</f>
        <v/>
      </c>
      <c r="E419" s="30">
        <f>IF(A419="","",IFERROR(INDEX('자료_한국심리'!$H$3:$H$4002,MATCH(A419,$W$19:$W$4018,0)),E418))</f>
        <v/>
      </c>
      <c r="F419" s="30">
        <f>IF(A419="","",IFERROR(INDEX('자료_한국심리'!$K$3:$K$4002,MATCH(A419,$X$19:$X$4018,0)),F418))</f>
        <v/>
      </c>
      <c r="G419" s="30">
        <f>IF(AND(ISNUMBER(E419),ISNUMBER(F419)),ROUND(E419-F419,6),"")</f>
        <v/>
      </c>
      <c r="H419" s="25">
        <f>IF(A419="","",IFERROR(INDEX('자료_한국심리'!$N$3:$N$4002,MATCH(A419,$Y$19:$Y$4018,0)),H418))</f>
        <v/>
      </c>
      <c r="I419" s="31">
        <f>IF(AND(ISNUMBER(H419),ISNUMBER(H399)),IF(H399&gt;0,H419/H399-1,""),"")</f>
        <v/>
      </c>
      <c r="J419">
        <f>IF(A419="",0,IF(A419&gt;$B$5,1,0))</f>
        <v/>
      </c>
      <c r="K419" s="29">
        <f>IF(AND(J419=1,ISNUMBER(D419)),D419,"")</f>
        <v/>
      </c>
      <c r="L419" s="30">
        <f>IF(AND(J419=1,ISNUMBER(G419)),G419,"")</f>
        <v/>
      </c>
      <c r="M419" s="22">
        <f>IF(AND(J419=1,ISNUMBER(C419)),C419,"")</f>
        <v/>
      </c>
      <c r="N419" s="31">
        <f>IF(AND(J419=1,ISNUMBER(I419)),I419,"")</f>
        <v/>
      </c>
      <c r="O419" s="11">
        <f>IF(K419="","",100-IF($G$13=1,50,(_xlfn.RANK.AVG(K419,$K$19:$K$1518,1)-1)/($G$13-1)*100))</f>
        <v/>
      </c>
      <c r="P419" s="11">
        <f>IF(L419="","",100-IF($G$14=1,50,(_xlfn.RANK.AVG(L419,$L$19:$L$1518,1)-1)/($G$14-1)*100))</f>
        <v/>
      </c>
      <c r="Q419" s="11">
        <f>IF(M419="","",IF($G$15=1,50,(_xlfn.RANK.AVG(M419,$M$19:$M$1518,1)-1)/($G$15-1)*100))</f>
        <v/>
      </c>
      <c r="R419" s="11">
        <f>IF(N419="","",IF($G$16=1,50,(_xlfn.RANK.AVG(N419,$N$19:$N$1518,1)-1)/($G$16-1)*100))</f>
        <v/>
      </c>
      <c r="S419" s="11">
        <f>IF(COUNT(O419:R419)=4,ROUND(AVERAGE(O419:R419),6),"")</f>
        <v/>
      </c>
      <c r="U419">
        <f>IF(AND(ISNUMBER('자료_한국심리'!$A403),ISNUMBER('자료_한국심리'!$B403)),'자료_한국심리'!$A403,"")</f>
        <v/>
      </c>
      <c r="V419">
        <f>IF(AND(ISNUMBER('자료_한국심리'!$D403),ISNUMBER('자료_한국심리'!$E403)),'자료_한국심리'!$D403,"")</f>
        <v/>
      </c>
      <c r="W419">
        <f>IF(AND(ISNUMBER('자료_한국심리'!$G403),ISNUMBER('자료_한국심리'!$H403)),'자료_한국심리'!$G403,"")</f>
        <v/>
      </c>
      <c r="X419">
        <f>IF(AND(ISNUMBER('자료_한국심리'!$J403),ISNUMBER('자료_한국심리'!$K403)),'자료_한국심리'!$J403,"")</f>
        <v/>
      </c>
      <c r="Y419">
        <f>IF(AND(ISNUMBER('자료_한국심리'!$M403),ISNUMBER('자료_한국심리'!$N403)),'자료_한국심리'!$M403,"")</f>
        <v/>
      </c>
    </row>
    <row r="420">
      <c r="A420" s="10">
        <f>IF(402&gt;$E$5,"",SMALL($U$19:$U$4018,$E$6+402))</f>
        <v/>
      </c>
      <c r="B420" s="29">
        <f>IF(A420="","",INDEX('자료_한국심리'!$B$3:$B$4002,MATCH(A420,$U$19:$U$4018,0)))</f>
        <v/>
      </c>
      <c r="C420" s="22">
        <f>IF(A420="","",B420/AVERAGE(B296:B420)-1)</f>
        <v/>
      </c>
      <c r="D420" s="29">
        <f>IF(A420="","",IFERROR(INDEX('자료_한국심리'!$E$3:$E$4002,MATCH(A420,$V$19:$V$4018,0)),D419))</f>
        <v/>
      </c>
      <c r="E420" s="30">
        <f>IF(A420="","",IFERROR(INDEX('자료_한국심리'!$H$3:$H$4002,MATCH(A420,$W$19:$W$4018,0)),E419))</f>
        <v/>
      </c>
      <c r="F420" s="30">
        <f>IF(A420="","",IFERROR(INDEX('자료_한국심리'!$K$3:$K$4002,MATCH(A420,$X$19:$X$4018,0)),F419))</f>
        <v/>
      </c>
      <c r="G420" s="30">
        <f>IF(AND(ISNUMBER(E420),ISNUMBER(F420)),ROUND(E420-F420,6),"")</f>
        <v/>
      </c>
      <c r="H420" s="25">
        <f>IF(A420="","",IFERROR(INDEX('자료_한국심리'!$N$3:$N$4002,MATCH(A420,$Y$19:$Y$4018,0)),H419))</f>
        <v/>
      </c>
      <c r="I420" s="31">
        <f>IF(AND(ISNUMBER(H420),ISNUMBER(H400)),IF(H400&gt;0,H420/H400-1,""),"")</f>
        <v/>
      </c>
      <c r="J420">
        <f>IF(A420="",0,IF(A420&gt;$B$5,1,0))</f>
        <v/>
      </c>
      <c r="K420" s="29">
        <f>IF(AND(J420=1,ISNUMBER(D420)),D420,"")</f>
        <v/>
      </c>
      <c r="L420" s="30">
        <f>IF(AND(J420=1,ISNUMBER(G420)),G420,"")</f>
        <v/>
      </c>
      <c r="M420" s="22">
        <f>IF(AND(J420=1,ISNUMBER(C420)),C420,"")</f>
        <v/>
      </c>
      <c r="N420" s="31">
        <f>IF(AND(J420=1,ISNUMBER(I420)),I420,"")</f>
        <v/>
      </c>
      <c r="O420" s="11">
        <f>IF(K420="","",100-IF($G$13=1,50,(_xlfn.RANK.AVG(K420,$K$19:$K$1518,1)-1)/($G$13-1)*100))</f>
        <v/>
      </c>
      <c r="P420" s="11">
        <f>IF(L420="","",100-IF($G$14=1,50,(_xlfn.RANK.AVG(L420,$L$19:$L$1518,1)-1)/($G$14-1)*100))</f>
        <v/>
      </c>
      <c r="Q420" s="11">
        <f>IF(M420="","",IF($G$15=1,50,(_xlfn.RANK.AVG(M420,$M$19:$M$1518,1)-1)/($G$15-1)*100))</f>
        <v/>
      </c>
      <c r="R420" s="11">
        <f>IF(N420="","",IF($G$16=1,50,(_xlfn.RANK.AVG(N420,$N$19:$N$1518,1)-1)/($G$16-1)*100))</f>
        <v/>
      </c>
      <c r="S420" s="11">
        <f>IF(COUNT(O420:R420)=4,ROUND(AVERAGE(O420:R420),6),"")</f>
        <v/>
      </c>
      <c r="U420">
        <f>IF(AND(ISNUMBER('자료_한국심리'!$A404),ISNUMBER('자료_한국심리'!$B404)),'자료_한국심리'!$A404,"")</f>
        <v/>
      </c>
      <c r="V420">
        <f>IF(AND(ISNUMBER('자료_한국심리'!$D404),ISNUMBER('자료_한국심리'!$E404)),'자료_한국심리'!$D404,"")</f>
        <v/>
      </c>
      <c r="W420">
        <f>IF(AND(ISNUMBER('자료_한국심리'!$G404),ISNUMBER('자료_한국심리'!$H404)),'자료_한국심리'!$G404,"")</f>
        <v/>
      </c>
      <c r="X420">
        <f>IF(AND(ISNUMBER('자료_한국심리'!$J404),ISNUMBER('자료_한국심리'!$K404)),'자료_한국심리'!$J404,"")</f>
        <v/>
      </c>
      <c r="Y420">
        <f>IF(AND(ISNUMBER('자료_한국심리'!$M404),ISNUMBER('자료_한국심리'!$N404)),'자료_한국심리'!$M404,"")</f>
        <v/>
      </c>
    </row>
    <row r="421">
      <c r="A421" s="10">
        <f>IF(403&gt;$E$5,"",SMALL($U$19:$U$4018,$E$6+403))</f>
        <v/>
      </c>
      <c r="B421" s="29">
        <f>IF(A421="","",INDEX('자료_한국심리'!$B$3:$B$4002,MATCH(A421,$U$19:$U$4018,0)))</f>
        <v/>
      </c>
      <c r="C421" s="22">
        <f>IF(A421="","",B421/AVERAGE(B297:B421)-1)</f>
        <v/>
      </c>
      <c r="D421" s="29">
        <f>IF(A421="","",IFERROR(INDEX('자료_한국심리'!$E$3:$E$4002,MATCH(A421,$V$19:$V$4018,0)),D420))</f>
        <v/>
      </c>
      <c r="E421" s="30">
        <f>IF(A421="","",IFERROR(INDEX('자료_한국심리'!$H$3:$H$4002,MATCH(A421,$W$19:$W$4018,0)),E420))</f>
        <v/>
      </c>
      <c r="F421" s="30">
        <f>IF(A421="","",IFERROR(INDEX('자료_한국심리'!$K$3:$K$4002,MATCH(A421,$X$19:$X$4018,0)),F420))</f>
        <v/>
      </c>
      <c r="G421" s="30">
        <f>IF(AND(ISNUMBER(E421),ISNUMBER(F421)),ROUND(E421-F421,6),"")</f>
        <v/>
      </c>
      <c r="H421" s="25">
        <f>IF(A421="","",IFERROR(INDEX('자료_한국심리'!$N$3:$N$4002,MATCH(A421,$Y$19:$Y$4018,0)),H420))</f>
        <v/>
      </c>
      <c r="I421" s="31">
        <f>IF(AND(ISNUMBER(H421),ISNUMBER(H401)),IF(H401&gt;0,H421/H401-1,""),"")</f>
        <v/>
      </c>
      <c r="J421">
        <f>IF(A421="",0,IF(A421&gt;$B$5,1,0))</f>
        <v/>
      </c>
      <c r="K421" s="29">
        <f>IF(AND(J421=1,ISNUMBER(D421)),D421,"")</f>
        <v/>
      </c>
      <c r="L421" s="30">
        <f>IF(AND(J421=1,ISNUMBER(G421)),G421,"")</f>
        <v/>
      </c>
      <c r="M421" s="22">
        <f>IF(AND(J421=1,ISNUMBER(C421)),C421,"")</f>
        <v/>
      </c>
      <c r="N421" s="31">
        <f>IF(AND(J421=1,ISNUMBER(I421)),I421,"")</f>
        <v/>
      </c>
      <c r="O421" s="11">
        <f>IF(K421="","",100-IF($G$13=1,50,(_xlfn.RANK.AVG(K421,$K$19:$K$1518,1)-1)/($G$13-1)*100))</f>
        <v/>
      </c>
      <c r="P421" s="11">
        <f>IF(L421="","",100-IF($G$14=1,50,(_xlfn.RANK.AVG(L421,$L$19:$L$1518,1)-1)/($G$14-1)*100))</f>
        <v/>
      </c>
      <c r="Q421" s="11">
        <f>IF(M421="","",IF($G$15=1,50,(_xlfn.RANK.AVG(M421,$M$19:$M$1518,1)-1)/($G$15-1)*100))</f>
        <v/>
      </c>
      <c r="R421" s="11">
        <f>IF(N421="","",IF($G$16=1,50,(_xlfn.RANK.AVG(N421,$N$19:$N$1518,1)-1)/($G$16-1)*100))</f>
        <v/>
      </c>
      <c r="S421" s="11">
        <f>IF(COUNT(O421:R421)=4,ROUND(AVERAGE(O421:R421),6),"")</f>
        <v/>
      </c>
      <c r="U421">
        <f>IF(AND(ISNUMBER('자료_한국심리'!$A405),ISNUMBER('자료_한국심리'!$B405)),'자료_한국심리'!$A405,"")</f>
        <v/>
      </c>
      <c r="V421">
        <f>IF(AND(ISNUMBER('자료_한국심리'!$D405),ISNUMBER('자료_한국심리'!$E405)),'자료_한국심리'!$D405,"")</f>
        <v/>
      </c>
      <c r="W421">
        <f>IF(AND(ISNUMBER('자료_한국심리'!$G405),ISNUMBER('자료_한국심리'!$H405)),'자료_한국심리'!$G405,"")</f>
        <v/>
      </c>
      <c r="X421">
        <f>IF(AND(ISNUMBER('자료_한국심리'!$J405),ISNUMBER('자료_한국심리'!$K405)),'자료_한국심리'!$J405,"")</f>
        <v/>
      </c>
      <c r="Y421">
        <f>IF(AND(ISNUMBER('자료_한국심리'!$M405),ISNUMBER('자료_한국심리'!$N405)),'자료_한국심리'!$M405,"")</f>
        <v/>
      </c>
    </row>
    <row r="422">
      <c r="A422" s="10">
        <f>IF(404&gt;$E$5,"",SMALL($U$19:$U$4018,$E$6+404))</f>
        <v/>
      </c>
      <c r="B422" s="29">
        <f>IF(A422="","",INDEX('자료_한국심리'!$B$3:$B$4002,MATCH(A422,$U$19:$U$4018,0)))</f>
        <v/>
      </c>
      <c r="C422" s="22">
        <f>IF(A422="","",B422/AVERAGE(B298:B422)-1)</f>
        <v/>
      </c>
      <c r="D422" s="29">
        <f>IF(A422="","",IFERROR(INDEX('자료_한국심리'!$E$3:$E$4002,MATCH(A422,$V$19:$V$4018,0)),D421))</f>
        <v/>
      </c>
      <c r="E422" s="30">
        <f>IF(A422="","",IFERROR(INDEX('자료_한국심리'!$H$3:$H$4002,MATCH(A422,$W$19:$W$4018,0)),E421))</f>
        <v/>
      </c>
      <c r="F422" s="30">
        <f>IF(A422="","",IFERROR(INDEX('자료_한국심리'!$K$3:$K$4002,MATCH(A422,$X$19:$X$4018,0)),F421))</f>
        <v/>
      </c>
      <c r="G422" s="30">
        <f>IF(AND(ISNUMBER(E422),ISNUMBER(F422)),ROUND(E422-F422,6),"")</f>
        <v/>
      </c>
      <c r="H422" s="25">
        <f>IF(A422="","",IFERROR(INDEX('자료_한국심리'!$N$3:$N$4002,MATCH(A422,$Y$19:$Y$4018,0)),H421))</f>
        <v/>
      </c>
      <c r="I422" s="31">
        <f>IF(AND(ISNUMBER(H422),ISNUMBER(H402)),IF(H402&gt;0,H422/H402-1,""),"")</f>
        <v/>
      </c>
      <c r="J422">
        <f>IF(A422="",0,IF(A422&gt;$B$5,1,0))</f>
        <v/>
      </c>
      <c r="K422" s="29">
        <f>IF(AND(J422=1,ISNUMBER(D422)),D422,"")</f>
        <v/>
      </c>
      <c r="L422" s="30">
        <f>IF(AND(J422=1,ISNUMBER(G422)),G422,"")</f>
        <v/>
      </c>
      <c r="M422" s="22">
        <f>IF(AND(J422=1,ISNUMBER(C422)),C422,"")</f>
        <v/>
      </c>
      <c r="N422" s="31">
        <f>IF(AND(J422=1,ISNUMBER(I422)),I422,"")</f>
        <v/>
      </c>
      <c r="O422" s="11">
        <f>IF(K422="","",100-IF($G$13=1,50,(_xlfn.RANK.AVG(K422,$K$19:$K$1518,1)-1)/($G$13-1)*100))</f>
        <v/>
      </c>
      <c r="P422" s="11">
        <f>IF(L422="","",100-IF($G$14=1,50,(_xlfn.RANK.AVG(L422,$L$19:$L$1518,1)-1)/($G$14-1)*100))</f>
        <v/>
      </c>
      <c r="Q422" s="11">
        <f>IF(M422="","",IF($G$15=1,50,(_xlfn.RANK.AVG(M422,$M$19:$M$1518,1)-1)/($G$15-1)*100))</f>
        <v/>
      </c>
      <c r="R422" s="11">
        <f>IF(N422="","",IF($G$16=1,50,(_xlfn.RANK.AVG(N422,$N$19:$N$1518,1)-1)/($G$16-1)*100))</f>
        <v/>
      </c>
      <c r="S422" s="11">
        <f>IF(COUNT(O422:R422)=4,ROUND(AVERAGE(O422:R422),6),"")</f>
        <v/>
      </c>
      <c r="U422">
        <f>IF(AND(ISNUMBER('자료_한국심리'!$A406),ISNUMBER('자료_한국심리'!$B406)),'자료_한국심리'!$A406,"")</f>
        <v/>
      </c>
      <c r="V422">
        <f>IF(AND(ISNUMBER('자료_한국심리'!$D406),ISNUMBER('자료_한국심리'!$E406)),'자료_한국심리'!$D406,"")</f>
        <v/>
      </c>
      <c r="W422">
        <f>IF(AND(ISNUMBER('자료_한국심리'!$G406),ISNUMBER('자료_한국심리'!$H406)),'자료_한국심리'!$G406,"")</f>
        <v/>
      </c>
      <c r="X422">
        <f>IF(AND(ISNUMBER('자료_한국심리'!$J406),ISNUMBER('자료_한국심리'!$K406)),'자료_한국심리'!$J406,"")</f>
        <v/>
      </c>
      <c r="Y422">
        <f>IF(AND(ISNUMBER('자료_한국심리'!$M406),ISNUMBER('자료_한국심리'!$N406)),'자료_한국심리'!$M406,"")</f>
        <v/>
      </c>
    </row>
    <row r="423">
      <c r="A423" s="10">
        <f>IF(405&gt;$E$5,"",SMALL($U$19:$U$4018,$E$6+405))</f>
        <v/>
      </c>
      <c r="B423" s="29">
        <f>IF(A423="","",INDEX('자료_한국심리'!$B$3:$B$4002,MATCH(A423,$U$19:$U$4018,0)))</f>
        <v/>
      </c>
      <c r="C423" s="22">
        <f>IF(A423="","",B423/AVERAGE(B299:B423)-1)</f>
        <v/>
      </c>
      <c r="D423" s="29">
        <f>IF(A423="","",IFERROR(INDEX('자료_한국심리'!$E$3:$E$4002,MATCH(A423,$V$19:$V$4018,0)),D422))</f>
        <v/>
      </c>
      <c r="E423" s="30">
        <f>IF(A423="","",IFERROR(INDEX('자료_한국심리'!$H$3:$H$4002,MATCH(A423,$W$19:$W$4018,0)),E422))</f>
        <v/>
      </c>
      <c r="F423" s="30">
        <f>IF(A423="","",IFERROR(INDEX('자료_한국심리'!$K$3:$K$4002,MATCH(A423,$X$19:$X$4018,0)),F422))</f>
        <v/>
      </c>
      <c r="G423" s="30">
        <f>IF(AND(ISNUMBER(E423),ISNUMBER(F423)),ROUND(E423-F423,6),"")</f>
        <v/>
      </c>
      <c r="H423" s="25">
        <f>IF(A423="","",IFERROR(INDEX('자료_한국심리'!$N$3:$N$4002,MATCH(A423,$Y$19:$Y$4018,0)),H422))</f>
        <v/>
      </c>
      <c r="I423" s="31">
        <f>IF(AND(ISNUMBER(H423),ISNUMBER(H403)),IF(H403&gt;0,H423/H403-1,""),"")</f>
        <v/>
      </c>
      <c r="J423">
        <f>IF(A423="",0,IF(A423&gt;$B$5,1,0))</f>
        <v/>
      </c>
      <c r="K423" s="29">
        <f>IF(AND(J423=1,ISNUMBER(D423)),D423,"")</f>
        <v/>
      </c>
      <c r="L423" s="30">
        <f>IF(AND(J423=1,ISNUMBER(G423)),G423,"")</f>
        <v/>
      </c>
      <c r="M423" s="22">
        <f>IF(AND(J423=1,ISNUMBER(C423)),C423,"")</f>
        <v/>
      </c>
      <c r="N423" s="31">
        <f>IF(AND(J423=1,ISNUMBER(I423)),I423,"")</f>
        <v/>
      </c>
      <c r="O423" s="11">
        <f>IF(K423="","",100-IF($G$13=1,50,(_xlfn.RANK.AVG(K423,$K$19:$K$1518,1)-1)/($G$13-1)*100))</f>
        <v/>
      </c>
      <c r="P423" s="11">
        <f>IF(L423="","",100-IF($G$14=1,50,(_xlfn.RANK.AVG(L423,$L$19:$L$1518,1)-1)/($G$14-1)*100))</f>
        <v/>
      </c>
      <c r="Q423" s="11">
        <f>IF(M423="","",IF($G$15=1,50,(_xlfn.RANK.AVG(M423,$M$19:$M$1518,1)-1)/($G$15-1)*100))</f>
        <v/>
      </c>
      <c r="R423" s="11">
        <f>IF(N423="","",IF($G$16=1,50,(_xlfn.RANK.AVG(N423,$N$19:$N$1518,1)-1)/($G$16-1)*100))</f>
        <v/>
      </c>
      <c r="S423" s="11">
        <f>IF(COUNT(O423:R423)=4,ROUND(AVERAGE(O423:R423),6),"")</f>
        <v/>
      </c>
      <c r="U423">
        <f>IF(AND(ISNUMBER('자료_한국심리'!$A407),ISNUMBER('자료_한국심리'!$B407)),'자료_한국심리'!$A407,"")</f>
        <v/>
      </c>
      <c r="V423">
        <f>IF(AND(ISNUMBER('자료_한국심리'!$D407),ISNUMBER('자료_한국심리'!$E407)),'자료_한국심리'!$D407,"")</f>
        <v/>
      </c>
      <c r="W423">
        <f>IF(AND(ISNUMBER('자료_한국심리'!$G407),ISNUMBER('자료_한국심리'!$H407)),'자료_한국심리'!$G407,"")</f>
        <v/>
      </c>
      <c r="X423">
        <f>IF(AND(ISNUMBER('자료_한국심리'!$J407),ISNUMBER('자료_한국심리'!$K407)),'자료_한국심리'!$J407,"")</f>
        <v/>
      </c>
      <c r="Y423">
        <f>IF(AND(ISNUMBER('자료_한국심리'!$M407),ISNUMBER('자료_한국심리'!$N407)),'자료_한국심리'!$M407,"")</f>
        <v/>
      </c>
    </row>
    <row r="424">
      <c r="A424" s="10">
        <f>IF(406&gt;$E$5,"",SMALL($U$19:$U$4018,$E$6+406))</f>
        <v/>
      </c>
      <c r="B424" s="29">
        <f>IF(A424="","",INDEX('자료_한국심리'!$B$3:$B$4002,MATCH(A424,$U$19:$U$4018,0)))</f>
        <v/>
      </c>
      <c r="C424" s="22">
        <f>IF(A424="","",B424/AVERAGE(B300:B424)-1)</f>
        <v/>
      </c>
      <c r="D424" s="29">
        <f>IF(A424="","",IFERROR(INDEX('자료_한국심리'!$E$3:$E$4002,MATCH(A424,$V$19:$V$4018,0)),D423))</f>
        <v/>
      </c>
      <c r="E424" s="30">
        <f>IF(A424="","",IFERROR(INDEX('자료_한국심리'!$H$3:$H$4002,MATCH(A424,$W$19:$W$4018,0)),E423))</f>
        <v/>
      </c>
      <c r="F424" s="30">
        <f>IF(A424="","",IFERROR(INDEX('자료_한국심리'!$K$3:$K$4002,MATCH(A424,$X$19:$X$4018,0)),F423))</f>
        <v/>
      </c>
      <c r="G424" s="30">
        <f>IF(AND(ISNUMBER(E424),ISNUMBER(F424)),ROUND(E424-F424,6),"")</f>
        <v/>
      </c>
      <c r="H424" s="25">
        <f>IF(A424="","",IFERROR(INDEX('자료_한국심리'!$N$3:$N$4002,MATCH(A424,$Y$19:$Y$4018,0)),H423))</f>
        <v/>
      </c>
      <c r="I424" s="31">
        <f>IF(AND(ISNUMBER(H424),ISNUMBER(H404)),IF(H404&gt;0,H424/H404-1,""),"")</f>
        <v/>
      </c>
      <c r="J424">
        <f>IF(A424="",0,IF(A424&gt;$B$5,1,0))</f>
        <v/>
      </c>
      <c r="K424" s="29">
        <f>IF(AND(J424=1,ISNUMBER(D424)),D424,"")</f>
        <v/>
      </c>
      <c r="L424" s="30">
        <f>IF(AND(J424=1,ISNUMBER(G424)),G424,"")</f>
        <v/>
      </c>
      <c r="M424" s="22">
        <f>IF(AND(J424=1,ISNUMBER(C424)),C424,"")</f>
        <v/>
      </c>
      <c r="N424" s="31">
        <f>IF(AND(J424=1,ISNUMBER(I424)),I424,"")</f>
        <v/>
      </c>
      <c r="O424" s="11">
        <f>IF(K424="","",100-IF($G$13=1,50,(_xlfn.RANK.AVG(K424,$K$19:$K$1518,1)-1)/($G$13-1)*100))</f>
        <v/>
      </c>
      <c r="P424" s="11">
        <f>IF(L424="","",100-IF($G$14=1,50,(_xlfn.RANK.AVG(L424,$L$19:$L$1518,1)-1)/($G$14-1)*100))</f>
        <v/>
      </c>
      <c r="Q424" s="11">
        <f>IF(M424="","",IF($G$15=1,50,(_xlfn.RANK.AVG(M424,$M$19:$M$1518,1)-1)/($G$15-1)*100))</f>
        <v/>
      </c>
      <c r="R424" s="11">
        <f>IF(N424="","",IF($G$16=1,50,(_xlfn.RANK.AVG(N424,$N$19:$N$1518,1)-1)/($G$16-1)*100))</f>
        <v/>
      </c>
      <c r="S424" s="11">
        <f>IF(COUNT(O424:R424)=4,ROUND(AVERAGE(O424:R424),6),"")</f>
        <v/>
      </c>
      <c r="U424">
        <f>IF(AND(ISNUMBER('자료_한국심리'!$A408),ISNUMBER('자료_한국심리'!$B408)),'자료_한국심리'!$A408,"")</f>
        <v/>
      </c>
      <c r="V424">
        <f>IF(AND(ISNUMBER('자료_한국심리'!$D408),ISNUMBER('자료_한국심리'!$E408)),'자료_한국심리'!$D408,"")</f>
        <v/>
      </c>
      <c r="W424">
        <f>IF(AND(ISNUMBER('자료_한국심리'!$G408),ISNUMBER('자료_한국심리'!$H408)),'자료_한국심리'!$G408,"")</f>
        <v/>
      </c>
      <c r="X424">
        <f>IF(AND(ISNUMBER('자료_한국심리'!$J408),ISNUMBER('자료_한국심리'!$K408)),'자료_한국심리'!$J408,"")</f>
        <v/>
      </c>
      <c r="Y424">
        <f>IF(AND(ISNUMBER('자료_한국심리'!$M408),ISNUMBER('자료_한국심리'!$N408)),'자료_한국심리'!$M408,"")</f>
        <v/>
      </c>
    </row>
    <row r="425">
      <c r="A425" s="10">
        <f>IF(407&gt;$E$5,"",SMALL($U$19:$U$4018,$E$6+407))</f>
        <v/>
      </c>
      <c r="B425" s="29">
        <f>IF(A425="","",INDEX('자료_한국심리'!$B$3:$B$4002,MATCH(A425,$U$19:$U$4018,0)))</f>
        <v/>
      </c>
      <c r="C425" s="22">
        <f>IF(A425="","",B425/AVERAGE(B301:B425)-1)</f>
        <v/>
      </c>
      <c r="D425" s="29">
        <f>IF(A425="","",IFERROR(INDEX('자료_한국심리'!$E$3:$E$4002,MATCH(A425,$V$19:$V$4018,0)),D424))</f>
        <v/>
      </c>
      <c r="E425" s="30">
        <f>IF(A425="","",IFERROR(INDEX('자료_한국심리'!$H$3:$H$4002,MATCH(A425,$W$19:$W$4018,0)),E424))</f>
        <v/>
      </c>
      <c r="F425" s="30">
        <f>IF(A425="","",IFERROR(INDEX('자료_한국심리'!$K$3:$K$4002,MATCH(A425,$X$19:$X$4018,0)),F424))</f>
        <v/>
      </c>
      <c r="G425" s="30">
        <f>IF(AND(ISNUMBER(E425),ISNUMBER(F425)),ROUND(E425-F425,6),"")</f>
        <v/>
      </c>
      <c r="H425" s="25">
        <f>IF(A425="","",IFERROR(INDEX('자료_한국심리'!$N$3:$N$4002,MATCH(A425,$Y$19:$Y$4018,0)),H424))</f>
        <v/>
      </c>
      <c r="I425" s="31">
        <f>IF(AND(ISNUMBER(H425),ISNUMBER(H405)),IF(H405&gt;0,H425/H405-1,""),"")</f>
        <v/>
      </c>
      <c r="J425">
        <f>IF(A425="",0,IF(A425&gt;$B$5,1,0))</f>
        <v/>
      </c>
      <c r="K425" s="29">
        <f>IF(AND(J425=1,ISNUMBER(D425)),D425,"")</f>
        <v/>
      </c>
      <c r="L425" s="30">
        <f>IF(AND(J425=1,ISNUMBER(G425)),G425,"")</f>
        <v/>
      </c>
      <c r="M425" s="22">
        <f>IF(AND(J425=1,ISNUMBER(C425)),C425,"")</f>
        <v/>
      </c>
      <c r="N425" s="31">
        <f>IF(AND(J425=1,ISNUMBER(I425)),I425,"")</f>
        <v/>
      </c>
      <c r="O425" s="11">
        <f>IF(K425="","",100-IF($G$13=1,50,(_xlfn.RANK.AVG(K425,$K$19:$K$1518,1)-1)/($G$13-1)*100))</f>
        <v/>
      </c>
      <c r="P425" s="11">
        <f>IF(L425="","",100-IF($G$14=1,50,(_xlfn.RANK.AVG(L425,$L$19:$L$1518,1)-1)/($G$14-1)*100))</f>
        <v/>
      </c>
      <c r="Q425" s="11">
        <f>IF(M425="","",IF($G$15=1,50,(_xlfn.RANK.AVG(M425,$M$19:$M$1518,1)-1)/($G$15-1)*100))</f>
        <v/>
      </c>
      <c r="R425" s="11">
        <f>IF(N425="","",IF($G$16=1,50,(_xlfn.RANK.AVG(N425,$N$19:$N$1518,1)-1)/($G$16-1)*100))</f>
        <v/>
      </c>
      <c r="S425" s="11">
        <f>IF(COUNT(O425:R425)=4,ROUND(AVERAGE(O425:R425),6),"")</f>
        <v/>
      </c>
      <c r="U425">
        <f>IF(AND(ISNUMBER('자료_한국심리'!$A409),ISNUMBER('자료_한국심리'!$B409)),'자료_한국심리'!$A409,"")</f>
        <v/>
      </c>
      <c r="V425">
        <f>IF(AND(ISNUMBER('자료_한국심리'!$D409),ISNUMBER('자료_한국심리'!$E409)),'자료_한국심리'!$D409,"")</f>
        <v/>
      </c>
      <c r="W425">
        <f>IF(AND(ISNUMBER('자료_한국심리'!$G409),ISNUMBER('자료_한국심리'!$H409)),'자료_한국심리'!$G409,"")</f>
        <v/>
      </c>
      <c r="X425">
        <f>IF(AND(ISNUMBER('자료_한국심리'!$J409),ISNUMBER('자료_한국심리'!$K409)),'자료_한국심리'!$J409,"")</f>
        <v/>
      </c>
      <c r="Y425">
        <f>IF(AND(ISNUMBER('자료_한국심리'!$M409),ISNUMBER('자료_한국심리'!$N409)),'자료_한국심리'!$M409,"")</f>
        <v/>
      </c>
    </row>
    <row r="426">
      <c r="A426" s="10">
        <f>IF(408&gt;$E$5,"",SMALL($U$19:$U$4018,$E$6+408))</f>
        <v/>
      </c>
      <c r="B426" s="29">
        <f>IF(A426="","",INDEX('자료_한국심리'!$B$3:$B$4002,MATCH(A426,$U$19:$U$4018,0)))</f>
        <v/>
      </c>
      <c r="C426" s="22">
        <f>IF(A426="","",B426/AVERAGE(B302:B426)-1)</f>
        <v/>
      </c>
      <c r="D426" s="29">
        <f>IF(A426="","",IFERROR(INDEX('자료_한국심리'!$E$3:$E$4002,MATCH(A426,$V$19:$V$4018,0)),D425))</f>
        <v/>
      </c>
      <c r="E426" s="30">
        <f>IF(A426="","",IFERROR(INDEX('자료_한국심리'!$H$3:$H$4002,MATCH(A426,$W$19:$W$4018,0)),E425))</f>
        <v/>
      </c>
      <c r="F426" s="30">
        <f>IF(A426="","",IFERROR(INDEX('자료_한국심리'!$K$3:$K$4002,MATCH(A426,$X$19:$X$4018,0)),F425))</f>
        <v/>
      </c>
      <c r="G426" s="30">
        <f>IF(AND(ISNUMBER(E426),ISNUMBER(F426)),ROUND(E426-F426,6),"")</f>
        <v/>
      </c>
      <c r="H426" s="25">
        <f>IF(A426="","",IFERROR(INDEX('자료_한국심리'!$N$3:$N$4002,MATCH(A426,$Y$19:$Y$4018,0)),H425))</f>
        <v/>
      </c>
      <c r="I426" s="31">
        <f>IF(AND(ISNUMBER(H426),ISNUMBER(H406)),IF(H406&gt;0,H426/H406-1,""),"")</f>
        <v/>
      </c>
      <c r="J426">
        <f>IF(A426="",0,IF(A426&gt;$B$5,1,0))</f>
        <v/>
      </c>
      <c r="K426" s="29">
        <f>IF(AND(J426=1,ISNUMBER(D426)),D426,"")</f>
        <v/>
      </c>
      <c r="L426" s="30">
        <f>IF(AND(J426=1,ISNUMBER(G426)),G426,"")</f>
        <v/>
      </c>
      <c r="M426" s="22">
        <f>IF(AND(J426=1,ISNUMBER(C426)),C426,"")</f>
        <v/>
      </c>
      <c r="N426" s="31">
        <f>IF(AND(J426=1,ISNUMBER(I426)),I426,"")</f>
        <v/>
      </c>
      <c r="O426" s="11">
        <f>IF(K426="","",100-IF($G$13=1,50,(_xlfn.RANK.AVG(K426,$K$19:$K$1518,1)-1)/($G$13-1)*100))</f>
        <v/>
      </c>
      <c r="P426" s="11">
        <f>IF(L426="","",100-IF($G$14=1,50,(_xlfn.RANK.AVG(L426,$L$19:$L$1518,1)-1)/($G$14-1)*100))</f>
        <v/>
      </c>
      <c r="Q426" s="11">
        <f>IF(M426="","",IF($G$15=1,50,(_xlfn.RANK.AVG(M426,$M$19:$M$1518,1)-1)/($G$15-1)*100))</f>
        <v/>
      </c>
      <c r="R426" s="11">
        <f>IF(N426="","",IF($G$16=1,50,(_xlfn.RANK.AVG(N426,$N$19:$N$1518,1)-1)/($G$16-1)*100))</f>
        <v/>
      </c>
      <c r="S426" s="11">
        <f>IF(COUNT(O426:R426)=4,ROUND(AVERAGE(O426:R426),6),"")</f>
        <v/>
      </c>
      <c r="U426">
        <f>IF(AND(ISNUMBER('자료_한국심리'!$A410),ISNUMBER('자료_한국심리'!$B410)),'자료_한국심리'!$A410,"")</f>
        <v/>
      </c>
      <c r="V426">
        <f>IF(AND(ISNUMBER('자료_한국심리'!$D410),ISNUMBER('자료_한국심리'!$E410)),'자료_한국심리'!$D410,"")</f>
        <v/>
      </c>
      <c r="W426">
        <f>IF(AND(ISNUMBER('자료_한국심리'!$G410),ISNUMBER('자료_한국심리'!$H410)),'자료_한국심리'!$G410,"")</f>
        <v/>
      </c>
      <c r="X426">
        <f>IF(AND(ISNUMBER('자료_한국심리'!$J410),ISNUMBER('자료_한국심리'!$K410)),'자료_한국심리'!$J410,"")</f>
        <v/>
      </c>
      <c r="Y426">
        <f>IF(AND(ISNUMBER('자료_한국심리'!$M410),ISNUMBER('자료_한국심리'!$N410)),'자료_한국심리'!$M410,"")</f>
        <v/>
      </c>
    </row>
    <row r="427">
      <c r="A427" s="10">
        <f>IF(409&gt;$E$5,"",SMALL($U$19:$U$4018,$E$6+409))</f>
        <v/>
      </c>
      <c r="B427" s="29">
        <f>IF(A427="","",INDEX('자료_한국심리'!$B$3:$B$4002,MATCH(A427,$U$19:$U$4018,0)))</f>
        <v/>
      </c>
      <c r="C427" s="22">
        <f>IF(A427="","",B427/AVERAGE(B303:B427)-1)</f>
        <v/>
      </c>
      <c r="D427" s="29">
        <f>IF(A427="","",IFERROR(INDEX('자료_한국심리'!$E$3:$E$4002,MATCH(A427,$V$19:$V$4018,0)),D426))</f>
        <v/>
      </c>
      <c r="E427" s="30">
        <f>IF(A427="","",IFERROR(INDEX('자료_한국심리'!$H$3:$H$4002,MATCH(A427,$W$19:$W$4018,0)),E426))</f>
        <v/>
      </c>
      <c r="F427" s="30">
        <f>IF(A427="","",IFERROR(INDEX('자료_한국심리'!$K$3:$K$4002,MATCH(A427,$X$19:$X$4018,0)),F426))</f>
        <v/>
      </c>
      <c r="G427" s="30">
        <f>IF(AND(ISNUMBER(E427),ISNUMBER(F427)),ROUND(E427-F427,6),"")</f>
        <v/>
      </c>
      <c r="H427" s="25">
        <f>IF(A427="","",IFERROR(INDEX('자료_한국심리'!$N$3:$N$4002,MATCH(A427,$Y$19:$Y$4018,0)),H426))</f>
        <v/>
      </c>
      <c r="I427" s="31">
        <f>IF(AND(ISNUMBER(H427),ISNUMBER(H407)),IF(H407&gt;0,H427/H407-1,""),"")</f>
        <v/>
      </c>
      <c r="J427">
        <f>IF(A427="",0,IF(A427&gt;$B$5,1,0))</f>
        <v/>
      </c>
      <c r="K427" s="29">
        <f>IF(AND(J427=1,ISNUMBER(D427)),D427,"")</f>
        <v/>
      </c>
      <c r="L427" s="30">
        <f>IF(AND(J427=1,ISNUMBER(G427)),G427,"")</f>
        <v/>
      </c>
      <c r="M427" s="22">
        <f>IF(AND(J427=1,ISNUMBER(C427)),C427,"")</f>
        <v/>
      </c>
      <c r="N427" s="31">
        <f>IF(AND(J427=1,ISNUMBER(I427)),I427,"")</f>
        <v/>
      </c>
      <c r="O427" s="11">
        <f>IF(K427="","",100-IF($G$13=1,50,(_xlfn.RANK.AVG(K427,$K$19:$K$1518,1)-1)/($G$13-1)*100))</f>
        <v/>
      </c>
      <c r="P427" s="11">
        <f>IF(L427="","",100-IF($G$14=1,50,(_xlfn.RANK.AVG(L427,$L$19:$L$1518,1)-1)/($G$14-1)*100))</f>
        <v/>
      </c>
      <c r="Q427" s="11">
        <f>IF(M427="","",IF($G$15=1,50,(_xlfn.RANK.AVG(M427,$M$19:$M$1518,1)-1)/($G$15-1)*100))</f>
        <v/>
      </c>
      <c r="R427" s="11">
        <f>IF(N427="","",IF($G$16=1,50,(_xlfn.RANK.AVG(N427,$N$19:$N$1518,1)-1)/($G$16-1)*100))</f>
        <v/>
      </c>
      <c r="S427" s="11">
        <f>IF(COUNT(O427:R427)=4,ROUND(AVERAGE(O427:R427),6),"")</f>
        <v/>
      </c>
      <c r="U427">
        <f>IF(AND(ISNUMBER('자료_한국심리'!$A411),ISNUMBER('자료_한국심리'!$B411)),'자료_한국심리'!$A411,"")</f>
        <v/>
      </c>
      <c r="V427">
        <f>IF(AND(ISNUMBER('자료_한국심리'!$D411),ISNUMBER('자료_한국심리'!$E411)),'자료_한국심리'!$D411,"")</f>
        <v/>
      </c>
      <c r="W427">
        <f>IF(AND(ISNUMBER('자료_한국심리'!$G411),ISNUMBER('자료_한국심리'!$H411)),'자료_한국심리'!$G411,"")</f>
        <v/>
      </c>
      <c r="X427">
        <f>IF(AND(ISNUMBER('자료_한국심리'!$J411),ISNUMBER('자료_한국심리'!$K411)),'자료_한국심리'!$J411,"")</f>
        <v/>
      </c>
      <c r="Y427">
        <f>IF(AND(ISNUMBER('자료_한국심리'!$M411),ISNUMBER('자료_한국심리'!$N411)),'자료_한국심리'!$M411,"")</f>
        <v/>
      </c>
    </row>
    <row r="428">
      <c r="A428" s="10">
        <f>IF(410&gt;$E$5,"",SMALL($U$19:$U$4018,$E$6+410))</f>
        <v/>
      </c>
      <c r="B428" s="29">
        <f>IF(A428="","",INDEX('자료_한국심리'!$B$3:$B$4002,MATCH(A428,$U$19:$U$4018,0)))</f>
        <v/>
      </c>
      <c r="C428" s="22">
        <f>IF(A428="","",B428/AVERAGE(B304:B428)-1)</f>
        <v/>
      </c>
      <c r="D428" s="29">
        <f>IF(A428="","",IFERROR(INDEX('자료_한국심리'!$E$3:$E$4002,MATCH(A428,$V$19:$V$4018,0)),D427))</f>
        <v/>
      </c>
      <c r="E428" s="30">
        <f>IF(A428="","",IFERROR(INDEX('자료_한국심리'!$H$3:$H$4002,MATCH(A428,$W$19:$W$4018,0)),E427))</f>
        <v/>
      </c>
      <c r="F428" s="30">
        <f>IF(A428="","",IFERROR(INDEX('자료_한국심리'!$K$3:$K$4002,MATCH(A428,$X$19:$X$4018,0)),F427))</f>
        <v/>
      </c>
      <c r="G428" s="30">
        <f>IF(AND(ISNUMBER(E428),ISNUMBER(F428)),ROUND(E428-F428,6),"")</f>
        <v/>
      </c>
      <c r="H428" s="25">
        <f>IF(A428="","",IFERROR(INDEX('자료_한국심리'!$N$3:$N$4002,MATCH(A428,$Y$19:$Y$4018,0)),H427))</f>
        <v/>
      </c>
      <c r="I428" s="31">
        <f>IF(AND(ISNUMBER(H428),ISNUMBER(H408)),IF(H408&gt;0,H428/H408-1,""),"")</f>
        <v/>
      </c>
      <c r="J428">
        <f>IF(A428="",0,IF(A428&gt;$B$5,1,0))</f>
        <v/>
      </c>
      <c r="K428" s="29">
        <f>IF(AND(J428=1,ISNUMBER(D428)),D428,"")</f>
        <v/>
      </c>
      <c r="L428" s="30">
        <f>IF(AND(J428=1,ISNUMBER(G428)),G428,"")</f>
        <v/>
      </c>
      <c r="M428" s="22">
        <f>IF(AND(J428=1,ISNUMBER(C428)),C428,"")</f>
        <v/>
      </c>
      <c r="N428" s="31">
        <f>IF(AND(J428=1,ISNUMBER(I428)),I428,"")</f>
        <v/>
      </c>
      <c r="O428" s="11">
        <f>IF(K428="","",100-IF($G$13=1,50,(_xlfn.RANK.AVG(K428,$K$19:$K$1518,1)-1)/($G$13-1)*100))</f>
        <v/>
      </c>
      <c r="P428" s="11">
        <f>IF(L428="","",100-IF($G$14=1,50,(_xlfn.RANK.AVG(L428,$L$19:$L$1518,1)-1)/($G$14-1)*100))</f>
        <v/>
      </c>
      <c r="Q428" s="11">
        <f>IF(M428="","",IF($G$15=1,50,(_xlfn.RANK.AVG(M428,$M$19:$M$1518,1)-1)/($G$15-1)*100))</f>
        <v/>
      </c>
      <c r="R428" s="11">
        <f>IF(N428="","",IF($G$16=1,50,(_xlfn.RANK.AVG(N428,$N$19:$N$1518,1)-1)/($G$16-1)*100))</f>
        <v/>
      </c>
      <c r="S428" s="11">
        <f>IF(COUNT(O428:R428)=4,ROUND(AVERAGE(O428:R428),6),"")</f>
        <v/>
      </c>
      <c r="U428">
        <f>IF(AND(ISNUMBER('자료_한국심리'!$A412),ISNUMBER('자료_한국심리'!$B412)),'자료_한국심리'!$A412,"")</f>
        <v/>
      </c>
      <c r="V428">
        <f>IF(AND(ISNUMBER('자료_한국심리'!$D412),ISNUMBER('자료_한국심리'!$E412)),'자료_한국심리'!$D412,"")</f>
        <v/>
      </c>
      <c r="W428">
        <f>IF(AND(ISNUMBER('자료_한국심리'!$G412),ISNUMBER('자료_한국심리'!$H412)),'자료_한국심리'!$G412,"")</f>
        <v/>
      </c>
      <c r="X428">
        <f>IF(AND(ISNUMBER('자료_한국심리'!$J412),ISNUMBER('자료_한국심리'!$K412)),'자료_한국심리'!$J412,"")</f>
        <v/>
      </c>
      <c r="Y428">
        <f>IF(AND(ISNUMBER('자료_한국심리'!$M412),ISNUMBER('자료_한국심리'!$N412)),'자료_한국심리'!$M412,"")</f>
        <v/>
      </c>
    </row>
    <row r="429">
      <c r="A429" s="10">
        <f>IF(411&gt;$E$5,"",SMALL($U$19:$U$4018,$E$6+411))</f>
        <v/>
      </c>
      <c r="B429" s="29">
        <f>IF(A429="","",INDEX('자료_한국심리'!$B$3:$B$4002,MATCH(A429,$U$19:$U$4018,0)))</f>
        <v/>
      </c>
      <c r="C429" s="22">
        <f>IF(A429="","",B429/AVERAGE(B305:B429)-1)</f>
        <v/>
      </c>
      <c r="D429" s="29">
        <f>IF(A429="","",IFERROR(INDEX('자료_한국심리'!$E$3:$E$4002,MATCH(A429,$V$19:$V$4018,0)),D428))</f>
        <v/>
      </c>
      <c r="E429" s="30">
        <f>IF(A429="","",IFERROR(INDEX('자료_한국심리'!$H$3:$H$4002,MATCH(A429,$W$19:$W$4018,0)),E428))</f>
        <v/>
      </c>
      <c r="F429" s="30">
        <f>IF(A429="","",IFERROR(INDEX('자료_한국심리'!$K$3:$K$4002,MATCH(A429,$X$19:$X$4018,0)),F428))</f>
        <v/>
      </c>
      <c r="G429" s="30">
        <f>IF(AND(ISNUMBER(E429),ISNUMBER(F429)),ROUND(E429-F429,6),"")</f>
        <v/>
      </c>
      <c r="H429" s="25">
        <f>IF(A429="","",IFERROR(INDEX('자료_한국심리'!$N$3:$N$4002,MATCH(A429,$Y$19:$Y$4018,0)),H428))</f>
        <v/>
      </c>
      <c r="I429" s="31">
        <f>IF(AND(ISNUMBER(H429),ISNUMBER(H409)),IF(H409&gt;0,H429/H409-1,""),"")</f>
        <v/>
      </c>
      <c r="J429">
        <f>IF(A429="",0,IF(A429&gt;$B$5,1,0))</f>
        <v/>
      </c>
      <c r="K429" s="29">
        <f>IF(AND(J429=1,ISNUMBER(D429)),D429,"")</f>
        <v/>
      </c>
      <c r="L429" s="30">
        <f>IF(AND(J429=1,ISNUMBER(G429)),G429,"")</f>
        <v/>
      </c>
      <c r="M429" s="22">
        <f>IF(AND(J429=1,ISNUMBER(C429)),C429,"")</f>
        <v/>
      </c>
      <c r="N429" s="31">
        <f>IF(AND(J429=1,ISNUMBER(I429)),I429,"")</f>
        <v/>
      </c>
      <c r="O429" s="11">
        <f>IF(K429="","",100-IF($G$13=1,50,(_xlfn.RANK.AVG(K429,$K$19:$K$1518,1)-1)/($G$13-1)*100))</f>
        <v/>
      </c>
      <c r="P429" s="11">
        <f>IF(L429="","",100-IF($G$14=1,50,(_xlfn.RANK.AVG(L429,$L$19:$L$1518,1)-1)/($G$14-1)*100))</f>
        <v/>
      </c>
      <c r="Q429" s="11">
        <f>IF(M429="","",IF($G$15=1,50,(_xlfn.RANK.AVG(M429,$M$19:$M$1518,1)-1)/($G$15-1)*100))</f>
        <v/>
      </c>
      <c r="R429" s="11">
        <f>IF(N429="","",IF($G$16=1,50,(_xlfn.RANK.AVG(N429,$N$19:$N$1518,1)-1)/($G$16-1)*100))</f>
        <v/>
      </c>
      <c r="S429" s="11">
        <f>IF(COUNT(O429:R429)=4,ROUND(AVERAGE(O429:R429),6),"")</f>
        <v/>
      </c>
      <c r="U429">
        <f>IF(AND(ISNUMBER('자료_한국심리'!$A413),ISNUMBER('자료_한국심리'!$B413)),'자료_한국심리'!$A413,"")</f>
        <v/>
      </c>
      <c r="V429">
        <f>IF(AND(ISNUMBER('자료_한국심리'!$D413),ISNUMBER('자료_한국심리'!$E413)),'자료_한국심리'!$D413,"")</f>
        <v/>
      </c>
      <c r="W429">
        <f>IF(AND(ISNUMBER('자료_한국심리'!$G413),ISNUMBER('자료_한국심리'!$H413)),'자료_한국심리'!$G413,"")</f>
        <v/>
      </c>
      <c r="X429">
        <f>IF(AND(ISNUMBER('자료_한국심리'!$J413),ISNUMBER('자료_한국심리'!$K413)),'자료_한국심리'!$J413,"")</f>
        <v/>
      </c>
      <c r="Y429">
        <f>IF(AND(ISNUMBER('자료_한국심리'!$M413),ISNUMBER('자료_한국심리'!$N413)),'자료_한국심리'!$M413,"")</f>
        <v/>
      </c>
    </row>
    <row r="430">
      <c r="A430" s="10">
        <f>IF(412&gt;$E$5,"",SMALL($U$19:$U$4018,$E$6+412))</f>
        <v/>
      </c>
      <c r="B430" s="29">
        <f>IF(A430="","",INDEX('자료_한국심리'!$B$3:$B$4002,MATCH(A430,$U$19:$U$4018,0)))</f>
        <v/>
      </c>
      <c r="C430" s="22">
        <f>IF(A430="","",B430/AVERAGE(B306:B430)-1)</f>
        <v/>
      </c>
      <c r="D430" s="29">
        <f>IF(A430="","",IFERROR(INDEX('자료_한국심리'!$E$3:$E$4002,MATCH(A430,$V$19:$V$4018,0)),D429))</f>
        <v/>
      </c>
      <c r="E430" s="30">
        <f>IF(A430="","",IFERROR(INDEX('자료_한국심리'!$H$3:$H$4002,MATCH(A430,$W$19:$W$4018,0)),E429))</f>
        <v/>
      </c>
      <c r="F430" s="30">
        <f>IF(A430="","",IFERROR(INDEX('자료_한국심리'!$K$3:$K$4002,MATCH(A430,$X$19:$X$4018,0)),F429))</f>
        <v/>
      </c>
      <c r="G430" s="30">
        <f>IF(AND(ISNUMBER(E430),ISNUMBER(F430)),ROUND(E430-F430,6),"")</f>
        <v/>
      </c>
      <c r="H430" s="25">
        <f>IF(A430="","",IFERROR(INDEX('자료_한국심리'!$N$3:$N$4002,MATCH(A430,$Y$19:$Y$4018,0)),H429))</f>
        <v/>
      </c>
      <c r="I430" s="31">
        <f>IF(AND(ISNUMBER(H430),ISNUMBER(H410)),IF(H410&gt;0,H430/H410-1,""),"")</f>
        <v/>
      </c>
      <c r="J430">
        <f>IF(A430="",0,IF(A430&gt;$B$5,1,0))</f>
        <v/>
      </c>
      <c r="K430" s="29">
        <f>IF(AND(J430=1,ISNUMBER(D430)),D430,"")</f>
        <v/>
      </c>
      <c r="L430" s="30">
        <f>IF(AND(J430=1,ISNUMBER(G430)),G430,"")</f>
        <v/>
      </c>
      <c r="M430" s="22">
        <f>IF(AND(J430=1,ISNUMBER(C430)),C430,"")</f>
        <v/>
      </c>
      <c r="N430" s="31">
        <f>IF(AND(J430=1,ISNUMBER(I430)),I430,"")</f>
        <v/>
      </c>
      <c r="O430" s="11">
        <f>IF(K430="","",100-IF($G$13=1,50,(_xlfn.RANK.AVG(K430,$K$19:$K$1518,1)-1)/($G$13-1)*100))</f>
        <v/>
      </c>
      <c r="P430" s="11">
        <f>IF(L430="","",100-IF($G$14=1,50,(_xlfn.RANK.AVG(L430,$L$19:$L$1518,1)-1)/($G$14-1)*100))</f>
        <v/>
      </c>
      <c r="Q430" s="11">
        <f>IF(M430="","",IF($G$15=1,50,(_xlfn.RANK.AVG(M430,$M$19:$M$1518,1)-1)/($G$15-1)*100))</f>
        <v/>
      </c>
      <c r="R430" s="11">
        <f>IF(N430="","",IF($G$16=1,50,(_xlfn.RANK.AVG(N430,$N$19:$N$1518,1)-1)/($G$16-1)*100))</f>
        <v/>
      </c>
      <c r="S430" s="11">
        <f>IF(COUNT(O430:R430)=4,ROUND(AVERAGE(O430:R430),6),"")</f>
        <v/>
      </c>
      <c r="U430">
        <f>IF(AND(ISNUMBER('자료_한국심리'!$A414),ISNUMBER('자료_한국심리'!$B414)),'자료_한국심리'!$A414,"")</f>
        <v/>
      </c>
      <c r="V430">
        <f>IF(AND(ISNUMBER('자료_한국심리'!$D414),ISNUMBER('자료_한국심리'!$E414)),'자료_한국심리'!$D414,"")</f>
        <v/>
      </c>
      <c r="W430">
        <f>IF(AND(ISNUMBER('자료_한국심리'!$G414),ISNUMBER('자료_한국심리'!$H414)),'자료_한국심리'!$G414,"")</f>
        <v/>
      </c>
      <c r="X430">
        <f>IF(AND(ISNUMBER('자료_한국심리'!$J414),ISNUMBER('자료_한국심리'!$K414)),'자료_한국심리'!$J414,"")</f>
        <v/>
      </c>
      <c r="Y430">
        <f>IF(AND(ISNUMBER('자료_한국심리'!$M414),ISNUMBER('자료_한국심리'!$N414)),'자료_한국심리'!$M414,"")</f>
        <v/>
      </c>
    </row>
    <row r="431">
      <c r="A431" s="10">
        <f>IF(413&gt;$E$5,"",SMALL($U$19:$U$4018,$E$6+413))</f>
        <v/>
      </c>
      <c r="B431" s="29">
        <f>IF(A431="","",INDEX('자료_한국심리'!$B$3:$B$4002,MATCH(A431,$U$19:$U$4018,0)))</f>
        <v/>
      </c>
      <c r="C431" s="22">
        <f>IF(A431="","",B431/AVERAGE(B307:B431)-1)</f>
        <v/>
      </c>
      <c r="D431" s="29">
        <f>IF(A431="","",IFERROR(INDEX('자료_한국심리'!$E$3:$E$4002,MATCH(A431,$V$19:$V$4018,0)),D430))</f>
        <v/>
      </c>
      <c r="E431" s="30">
        <f>IF(A431="","",IFERROR(INDEX('자료_한국심리'!$H$3:$H$4002,MATCH(A431,$W$19:$W$4018,0)),E430))</f>
        <v/>
      </c>
      <c r="F431" s="30">
        <f>IF(A431="","",IFERROR(INDEX('자료_한국심리'!$K$3:$K$4002,MATCH(A431,$X$19:$X$4018,0)),F430))</f>
        <v/>
      </c>
      <c r="G431" s="30">
        <f>IF(AND(ISNUMBER(E431),ISNUMBER(F431)),ROUND(E431-F431,6),"")</f>
        <v/>
      </c>
      <c r="H431" s="25">
        <f>IF(A431="","",IFERROR(INDEX('자료_한국심리'!$N$3:$N$4002,MATCH(A431,$Y$19:$Y$4018,0)),H430))</f>
        <v/>
      </c>
      <c r="I431" s="31">
        <f>IF(AND(ISNUMBER(H431),ISNUMBER(H411)),IF(H411&gt;0,H431/H411-1,""),"")</f>
        <v/>
      </c>
      <c r="J431">
        <f>IF(A431="",0,IF(A431&gt;$B$5,1,0))</f>
        <v/>
      </c>
      <c r="K431" s="29">
        <f>IF(AND(J431=1,ISNUMBER(D431)),D431,"")</f>
        <v/>
      </c>
      <c r="L431" s="30">
        <f>IF(AND(J431=1,ISNUMBER(G431)),G431,"")</f>
        <v/>
      </c>
      <c r="M431" s="22">
        <f>IF(AND(J431=1,ISNUMBER(C431)),C431,"")</f>
        <v/>
      </c>
      <c r="N431" s="31">
        <f>IF(AND(J431=1,ISNUMBER(I431)),I431,"")</f>
        <v/>
      </c>
      <c r="O431" s="11">
        <f>IF(K431="","",100-IF($G$13=1,50,(_xlfn.RANK.AVG(K431,$K$19:$K$1518,1)-1)/($G$13-1)*100))</f>
        <v/>
      </c>
      <c r="P431" s="11">
        <f>IF(L431="","",100-IF($G$14=1,50,(_xlfn.RANK.AVG(L431,$L$19:$L$1518,1)-1)/($G$14-1)*100))</f>
        <v/>
      </c>
      <c r="Q431" s="11">
        <f>IF(M431="","",IF($G$15=1,50,(_xlfn.RANK.AVG(M431,$M$19:$M$1518,1)-1)/($G$15-1)*100))</f>
        <v/>
      </c>
      <c r="R431" s="11">
        <f>IF(N431="","",IF($G$16=1,50,(_xlfn.RANK.AVG(N431,$N$19:$N$1518,1)-1)/($G$16-1)*100))</f>
        <v/>
      </c>
      <c r="S431" s="11">
        <f>IF(COUNT(O431:R431)=4,ROUND(AVERAGE(O431:R431),6),"")</f>
        <v/>
      </c>
      <c r="U431">
        <f>IF(AND(ISNUMBER('자료_한국심리'!$A415),ISNUMBER('자료_한국심리'!$B415)),'자료_한국심리'!$A415,"")</f>
        <v/>
      </c>
      <c r="V431">
        <f>IF(AND(ISNUMBER('자료_한국심리'!$D415),ISNUMBER('자료_한국심리'!$E415)),'자료_한국심리'!$D415,"")</f>
        <v/>
      </c>
      <c r="W431">
        <f>IF(AND(ISNUMBER('자료_한국심리'!$G415),ISNUMBER('자료_한국심리'!$H415)),'자료_한국심리'!$G415,"")</f>
        <v/>
      </c>
      <c r="X431">
        <f>IF(AND(ISNUMBER('자료_한국심리'!$J415),ISNUMBER('자료_한국심리'!$K415)),'자료_한국심리'!$J415,"")</f>
        <v/>
      </c>
      <c r="Y431">
        <f>IF(AND(ISNUMBER('자료_한국심리'!$M415),ISNUMBER('자료_한국심리'!$N415)),'자료_한국심리'!$M415,"")</f>
        <v/>
      </c>
    </row>
    <row r="432">
      <c r="A432" s="10">
        <f>IF(414&gt;$E$5,"",SMALL($U$19:$U$4018,$E$6+414))</f>
        <v/>
      </c>
      <c r="B432" s="29">
        <f>IF(A432="","",INDEX('자료_한국심리'!$B$3:$B$4002,MATCH(A432,$U$19:$U$4018,0)))</f>
        <v/>
      </c>
      <c r="C432" s="22">
        <f>IF(A432="","",B432/AVERAGE(B308:B432)-1)</f>
        <v/>
      </c>
      <c r="D432" s="29">
        <f>IF(A432="","",IFERROR(INDEX('자료_한국심리'!$E$3:$E$4002,MATCH(A432,$V$19:$V$4018,0)),D431))</f>
        <v/>
      </c>
      <c r="E432" s="30">
        <f>IF(A432="","",IFERROR(INDEX('자료_한국심리'!$H$3:$H$4002,MATCH(A432,$W$19:$W$4018,0)),E431))</f>
        <v/>
      </c>
      <c r="F432" s="30">
        <f>IF(A432="","",IFERROR(INDEX('자료_한국심리'!$K$3:$K$4002,MATCH(A432,$X$19:$X$4018,0)),F431))</f>
        <v/>
      </c>
      <c r="G432" s="30">
        <f>IF(AND(ISNUMBER(E432),ISNUMBER(F432)),ROUND(E432-F432,6),"")</f>
        <v/>
      </c>
      <c r="H432" s="25">
        <f>IF(A432="","",IFERROR(INDEX('자료_한국심리'!$N$3:$N$4002,MATCH(A432,$Y$19:$Y$4018,0)),H431))</f>
        <v/>
      </c>
      <c r="I432" s="31">
        <f>IF(AND(ISNUMBER(H432),ISNUMBER(H412)),IF(H412&gt;0,H432/H412-1,""),"")</f>
        <v/>
      </c>
      <c r="J432">
        <f>IF(A432="",0,IF(A432&gt;$B$5,1,0))</f>
        <v/>
      </c>
      <c r="K432" s="29">
        <f>IF(AND(J432=1,ISNUMBER(D432)),D432,"")</f>
        <v/>
      </c>
      <c r="L432" s="30">
        <f>IF(AND(J432=1,ISNUMBER(G432)),G432,"")</f>
        <v/>
      </c>
      <c r="M432" s="22">
        <f>IF(AND(J432=1,ISNUMBER(C432)),C432,"")</f>
        <v/>
      </c>
      <c r="N432" s="31">
        <f>IF(AND(J432=1,ISNUMBER(I432)),I432,"")</f>
        <v/>
      </c>
      <c r="O432" s="11">
        <f>IF(K432="","",100-IF($G$13=1,50,(_xlfn.RANK.AVG(K432,$K$19:$K$1518,1)-1)/($G$13-1)*100))</f>
        <v/>
      </c>
      <c r="P432" s="11">
        <f>IF(L432="","",100-IF($G$14=1,50,(_xlfn.RANK.AVG(L432,$L$19:$L$1518,1)-1)/($G$14-1)*100))</f>
        <v/>
      </c>
      <c r="Q432" s="11">
        <f>IF(M432="","",IF($G$15=1,50,(_xlfn.RANK.AVG(M432,$M$19:$M$1518,1)-1)/($G$15-1)*100))</f>
        <v/>
      </c>
      <c r="R432" s="11">
        <f>IF(N432="","",IF($G$16=1,50,(_xlfn.RANK.AVG(N432,$N$19:$N$1518,1)-1)/($G$16-1)*100))</f>
        <v/>
      </c>
      <c r="S432" s="11">
        <f>IF(COUNT(O432:R432)=4,ROUND(AVERAGE(O432:R432),6),"")</f>
        <v/>
      </c>
      <c r="U432">
        <f>IF(AND(ISNUMBER('자료_한국심리'!$A416),ISNUMBER('자료_한국심리'!$B416)),'자료_한국심리'!$A416,"")</f>
        <v/>
      </c>
      <c r="V432">
        <f>IF(AND(ISNUMBER('자료_한국심리'!$D416),ISNUMBER('자료_한국심리'!$E416)),'자료_한국심리'!$D416,"")</f>
        <v/>
      </c>
      <c r="W432">
        <f>IF(AND(ISNUMBER('자료_한국심리'!$G416),ISNUMBER('자료_한국심리'!$H416)),'자료_한국심리'!$G416,"")</f>
        <v/>
      </c>
      <c r="X432">
        <f>IF(AND(ISNUMBER('자료_한국심리'!$J416),ISNUMBER('자료_한국심리'!$K416)),'자료_한국심리'!$J416,"")</f>
        <v/>
      </c>
      <c r="Y432">
        <f>IF(AND(ISNUMBER('자료_한국심리'!$M416),ISNUMBER('자료_한국심리'!$N416)),'자료_한국심리'!$M416,"")</f>
        <v/>
      </c>
    </row>
    <row r="433">
      <c r="A433" s="10">
        <f>IF(415&gt;$E$5,"",SMALL($U$19:$U$4018,$E$6+415))</f>
        <v/>
      </c>
      <c r="B433" s="29">
        <f>IF(A433="","",INDEX('자료_한국심리'!$B$3:$B$4002,MATCH(A433,$U$19:$U$4018,0)))</f>
        <v/>
      </c>
      <c r="C433" s="22">
        <f>IF(A433="","",B433/AVERAGE(B309:B433)-1)</f>
        <v/>
      </c>
      <c r="D433" s="29">
        <f>IF(A433="","",IFERROR(INDEX('자료_한국심리'!$E$3:$E$4002,MATCH(A433,$V$19:$V$4018,0)),D432))</f>
        <v/>
      </c>
      <c r="E433" s="30">
        <f>IF(A433="","",IFERROR(INDEX('자료_한국심리'!$H$3:$H$4002,MATCH(A433,$W$19:$W$4018,0)),E432))</f>
        <v/>
      </c>
      <c r="F433" s="30">
        <f>IF(A433="","",IFERROR(INDEX('자료_한국심리'!$K$3:$K$4002,MATCH(A433,$X$19:$X$4018,0)),F432))</f>
        <v/>
      </c>
      <c r="G433" s="30">
        <f>IF(AND(ISNUMBER(E433),ISNUMBER(F433)),ROUND(E433-F433,6),"")</f>
        <v/>
      </c>
      <c r="H433" s="25">
        <f>IF(A433="","",IFERROR(INDEX('자료_한국심리'!$N$3:$N$4002,MATCH(A433,$Y$19:$Y$4018,0)),H432))</f>
        <v/>
      </c>
      <c r="I433" s="31">
        <f>IF(AND(ISNUMBER(H433),ISNUMBER(H413)),IF(H413&gt;0,H433/H413-1,""),"")</f>
        <v/>
      </c>
      <c r="J433">
        <f>IF(A433="",0,IF(A433&gt;$B$5,1,0))</f>
        <v/>
      </c>
      <c r="K433" s="29">
        <f>IF(AND(J433=1,ISNUMBER(D433)),D433,"")</f>
        <v/>
      </c>
      <c r="L433" s="30">
        <f>IF(AND(J433=1,ISNUMBER(G433)),G433,"")</f>
        <v/>
      </c>
      <c r="M433" s="22">
        <f>IF(AND(J433=1,ISNUMBER(C433)),C433,"")</f>
        <v/>
      </c>
      <c r="N433" s="31">
        <f>IF(AND(J433=1,ISNUMBER(I433)),I433,"")</f>
        <v/>
      </c>
      <c r="O433" s="11">
        <f>IF(K433="","",100-IF($G$13=1,50,(_xlfn.RANK.AVG(K433,$K$19:$K$1518,1)-1)/($G$13-1)*100))</f>
        <v/>
      </c>
      <c r="P433" s="11">
        <f>IF(L433="","",100-IF($G$14=1,50,(_xlfn.RANK.AVG(L433,$L$19:$L$1518,1)-1)/($G$14-1)*100))</f>
        <v/>
      </c>
      <c r="Q433" s="11">
        <f>IF(M433="","",IF($G$15=1,50,(_xlfn.RANK.AVG(M433,$M$19:$M$1518,1)-1)/($G$15-1)*100))</f>
        <v/>
      </c>
      <c r="R433" s="11">
        <f>IF(N433="","",IF($G$16=1,50,(_xlfn.RANK.AVG(N433,$N$19:$N$1518,1)-1)/($G$16-1)*100))</f>
        <v/>
      </c>
      <c r="S433" s="11">
        <f>IF(COUNT(O433:R433)=4,ROUND(AVERAGE(O433:R433),6),"")</f>
        <v/>
      </c>
      <c r="U433">
        <f>IF(AND(ISNUMBER('자료_한국심리'!$A417),ISNUMBER('자료_한국심리'!$B417)),'자료_한국심리'!$A417,"")</f>
        <v/>
      </c>
      <c r="V433">
        <f>IF(AND(ISNUMBER('자료_한국심리'!$D417),ISNUMBER('자료_한국심리'!$E417)),'자료_한국심리'!$D417,"")</f>
        <v/>
      </c>
      <c r="W433">
        <f>IF(AND(ISNUMBER('자료_한국심리'!$G417),ISNUMBER('자료_한국심리'!$H417)),'자료_한국심리'!$G417,"")</f>
        <v/>
      </c>
      <c r="X433">
        <f>IF(AND(ISNUMBER('자료_한국심리'!$J417),ISNUMBER('자료_한국심리'!$K417)),'자료_한국심리'!$J417,"")</f>
        <v/>
      </c>
      <c r="Y433">
        <f>IF(AND(ISNUMBER('자료_한국심리'!$M417),ISNUMBER('자료_한국심리'!$N417)),'자료_한국심리'!$M417,"")</f>
        <v/>
      </c>
    </row>
    <row r="434">
      <c r="A434" s="10">
        <f>IF(416&gt;$E$5,"",SMALL($U$19:$U$4018,$E$6+416))</f>
        <v/>
      </c>
      <c r="B434" s="29">
        <f>IF(A434="","",INDEX('자료_한국심리'!$B$3:$B$4002,MATCH(A434,$U$19:$U$4018,0)))</f>
        <v/>
      </c>
      <c r="C434" s="22">
        <f>IF(A434="","",B434/AVERAGE(B310:B434)-1)</f>
        <v/>
      </c>
      <c r="D434" s="29">
        <f>IF(A434="","",IFERROR(INDEX('자료_한국심리'!$E$3:$E$4002,MATCH(A434,$V$19:$V$4018,0)),D433))</f>
        <v/>
      </c>
      <c r="E434" s="30">
        <f>IF(A434="","",IFERROR(INDEX('자료_한국심리'!$H$3:$H$4002,MATCH(A434,$W$19:$W$4018,0)),E433))</f>
        <v/>
      </c>
      <c r="F434" s="30">
        <f>IF(A434="","",IFERROR(INDEX('자료_한국심리'!$K$3:$K$4002,MATCH(A434,$X$19:$X$4018,0)),F433))</f>
        <v/>
      </c>
      <c r="G434" s="30">
        <f>IF(AND(ISNUMBER(E434),ISNUMBER(F434)),ROUND(E434-F434,6),"")</f>
        <v/>
      </c>
      <c r="H434" s="25">
        <f>IF(A434="","",IFERROR(INDEX('자료_한국심리'!$N$3:$N$4002,MATCH(A434,$Y$19:$Y$4018,0)),H433))</f>
        <v/>
      </c>
      <c r="I434" s="31">
        <f>IF(AND(ISNUMBER(H434),ISNUMBER(H414)),IF(H414&gt;0,H434/H414-1,""),"")</f>
        <v/>
      </c>
      <c r="J434">
        <f>IF(A434="",0,IF(A434&gt;$B$5,1,0))</f>
        <v/>
      </c>
      <c r="K434" s="29">
        <f>IF(AND(J434=1,ISNUMBER(D434)),D434,"")</f>
        <v/>
      </c>
      <c r="L434" s="30">
        <f>IF(AND(J434=1,ISNUMBER(G434)),G434,"")</f>
        <v/>
      </c>
      <c r="M434" s="22">
        <f>IF(AND(J434=1,ISNUMBER(C434)),C434,"")</f>
        <v/>
      </c>
      <c r="N434" s="31">
        <f>IF(AND(J434=1,ISNUMBER(I434)),I434,"")</f>
        <v/>
      </c>
      <c r="O434" s="11">
        <f>IF(K434="","",100-IF($G$13=1,50,(_xlfn.RANK.AVG(K434,$K$19:$K$1518,1)-1)/($G$13-1)*100))</f>
        <v/>
      </c>
      <c r="P434" s="11">
        <f>IF(L434="","",100-IF($G$14=1,50,(_xlfn.RANK.AVG(L434,$L$19:$L$1518,1)-1)/($G$14-1)*100))</f>
        <v/>
      </c>
      <c r="Q434" s="11">
        <f>IF(M434="","",IF($G$15=1,50,(_xlfn.RANK.AVG(M434,$M$19:$M$1518,1)-1)/($G$15-1)*100))</f>
        <v/>
      </c>
      <c r="R434" s="11">
        <f>IF(N434="","",IF($G$16=1,50,(_xlfn.RANK.AVG(N434,$N$19:$N$1518,1)-1)/($G$16-1)*100))</f>
        <v/>
      </c>
      <c r="S434" s="11">
        <f>IF(COUNT(O434:R434)=4,ROUND(AVERAGE(O434:R434),6),"")</f>
        <v/>
      </c>
      <c r="U434">
        <f>IF(AND(ISNUMBER('자료_한국심리'!$A418),ISNUMBER('자료_한국심리'!$B418)),'자료_한국심리'!$A418,"")</f>
        <v/>
      </c>
      <c r="V434">
        <f>IF(AND(ISNUMBER('자료_한국심리'!$D418),ISNUMBER('자료_한국심리'!$E418)),'자료_한국심리'!$D418,"")</f>
        <v/>
      </c>
      <c r="W434">
        <f>IF(AND(ISNUMBER('자료_한국심리'!$G418),ISNUMBER('자료_한국심리'!$H418)),'자료_한국심리'!$G418,"")</f>
        <v/>
      </c>
      <c r="X434">
        <f>IF(AND(ISNUMBER('자료_한국심리'!$J418),ISNUMBER('자료_한국심리'!$K418)),'자료_한국심리'!$J418,"")</f>
        <v/>
      </c>
      <c r="Y434">
        <f>IF(AND(ISNUMBER('자료_한국심리'!$M418),ISNUMBER('자료_한국심리'!$N418)),'자료_한국심리'!$M418,"")</f>
        <v/>
      </c>
    </row>
    <row r="435">
      <c r="A435" s="10">
        <f>IF(417&gt;$E$5,"",SMALL($U$19:$U$4018,$E$6+417))</f>
        <v/>
      </c>
      <c r="B435" s="29">
        <f>IF(A435="","",INDEX('자료_한국심리'!$B$3:$B$4002,MATCH(A435,$U$19:$U$4018,0)))</f>
        <v/>
      </c>
      <c r="C435" s="22">
        <f>IF(A435="","",B435/AVERAGE(B311:B435)-1)</f>
        <v/>
      </c>
      <c r="D435" s="29">
        <f>IF(A435="","",IFERROR(INDEX('자료_한국심리'!$E$3:$E$4002,MATCH(A435,$V$19:$V$4018,0)),D434))</f>
        <v/>
      </c>
      <c r="E435" s="30">
        <f>IF(A435="","",IFERROR(INDEX('자료_한국심리'!$H$3:$H$4002,MATCH(A435,$W$19:$W$4018,0)),E434))</f>
        <v/>
      </c>
      <c r="F435" s="30">
        <f>IF(A435="","",IFERROR(INDEX('자료_한국심리'!$K$3:$K$4002,MATCH(A435,$X$19:$X$4018,0)),F434))</f>
        <v/>
      </c>
      <c r="G435" s="30">
        <f>IF(AND(ISNUMBER(E435),ISNUMBER(F435)),ROUND(E435-F435,6),"")</f>
        <v/>
      </c>
      <c r="H435" s="25">
        <f>IF(A435="","",IFERROR(INDEX('자료_한국심리'!$N$3:$N$4002,MATCH(A435,$Y$19:$Y$4018,0)),H434))</f>
        <v/>
      </c>
      <c r="I435" s="31">
        <f>IF(AND(ISNUMBER(H435),ISNUMBER(H415)),IF(H415&gt;0,H435/H415-1,""),"")</f>
        <v/>
      </c>
      <c r="J435">
        <f>IF(A435="",0,IF(A435&gt;$B$5,1,0))</f>
        <v/>
      </c>
      <c r="K435" s="29">
        <f>IF(AND(J435=1,ISNUMBER(D435)),D435,"")</f>
        <v/>
      </c>
      <c r="L435" s="30">
        <f>IF(AND(J435=1,ISNUMBER(G435)),G435,"")</f>
        <v/>
      </c>
      <c r="M435" s="22">
        <f>IF(AND(J435=1,ISNUMBER(C435)),C435,"")</f>
        <v/>
      </c>
      <c r="N435" s="31">
        <f>IF(AND(J435=1,ISNUMBER(I435)),I435,"")</f>
        <v/>
      </c>
      <c r="O435" s="11">
        <f>IF(K435="","",100-IF($G$13=1,50,(_xlfn.RANK.AVG(K435,$K$19:$K$1518,1)-1)/($G$13-1)*100))</f>
        <v/>
      </c>
      <c r="P435" s="11">
        <f>IF(L435="","",100-IF($G$14=1,50,(_xlfn.RANK.AVG(L435,$L$19:$L$1518,1)-1)/($G$14-1)*100))</f>
        <v/>
      </c>
      <c r="Q435" s="11">
        <f>IF(M435="","",IF($G$15=1,50,(_xlfn.RANK.AVG(M435,$M$19:$M$1518,1)-1)/($G$15-1)*100))</f>
        <v/>
      </c>
      <c r="R435" s="11">
        <f>IF(N435="","",IF($G$16=1,50,(_xlfn.RANK.AVG(N435,$N$19:$N$1518,1)-1)/($G$16-1)*100))</f>
        <v/>
      </c>
      <c r="S435" s="11">
        <f>IF(COUNT(O435:R435)=4,ROUND(AVERAGE(O435:R435),6),"")</f>
        <v/>
      </c>
      <c r="U435">
        <f>IF(AND(ISNUMBER('자료_한국심리'!$A419),ISNUMBER('자료_한국심리'!$B419)),'자료_한국심리'!$A419,"")</f>
        <v/>
      </c>
      <c r="V435">
        <f>IF(AND(ISNUMBER('자료_한국심리'!$D419),ISNUMBER('자료_한국심리'!$E419)),'자료_한국심리'!$D419,"")</f>
        <v/>
      </c>
      <c r="W435">
        <f>IF(AND(ISNUMBER('자료_한국심리'!$G419),ISNUMBER('자료_한국심리'!$H419)),'자료_한국심리'!$G419,"")</f>
        <v/>
      </c>
      <c r="X435">
        <f>IF(AND(ISNUMBER('자료_한국심리'!$J419),ISNUMBER('자료_한국심리'!$K419)),'자료_한국심리'!$J419,"")</f>
        <v/>
      </c>
      <c r="Y435">
        <f>IF(AND(ISNUMBER('자료_한국심리'!$M419),ISNUMBER('자료_한국심리'!$N419)),'자료_한국심리'!$M419,"")</f>
        <v/>
      </c>
    </row>
    <row r="436">
      <c r="A436" s="10">
        <f>IF(418&gt;$E$5,"",SMALL($U$19:$U$4018,$E$6+418))</f>
        <v/>
      </c>
      <c r="B436" s="29">
        <f>IF(A436="","",INDEX('자료_한국심리'!$B$3:$B$4002,MATCH(A436,$U$19:$U$4018,0)))</f>
        <v/>
      </c>
      <c r="C436" s="22">
        <f>IF(A436="","",B436/AVERAGE(B312:B436)-1)</f>
        <v/>
      </c>
      <c r="D436" s="29">
        <f>IF(A436="","",IFERROR(INDEX('자료_한국심리'!$E$3:$E$4002,MATCH(A436,$V$19:$V$4018,0)),D435))</f>
        <v/>
      </c>
      <c r="E436" s="30">
        <f>IF(A436="","",IFERROR(INDEX('자료_한국심리'!$H$3:$H$4002,MATCH(A436,$W$19:$W$4018,0)),E435))</f>
        <v/>
      </c>
      <c r="F436" s="30">
        <f>IF(A436="","",IFERROR(INDEX('자료_한국심리'!$K$3:$K$4002,MATCH(A436,$X$19:$X$4018,0)),F435))</f>
        <v/>
      </c>
      <c r="G436" s="30">
        <f>IF(AND(ISNUMBER(E436),ISNUMBER(F436)),ROUND(E436-F436,6),"")</f>
        <v/>
      </c>
      <c r="H436" s="25">
        <f>IF(A436="","",IFERROR(INDEX('자료_한국심리'!$N$3:$N$4002,MATCH(A436,$Y$19:$Y$4018,0)),H435))</f>
        <v/>
      </c>
      <c r="I436" s="31">
        <f>IF(AND(ISNUMBER(H436),ISNUMBER(H416)),IF(H416&gt;0,H436/H416-1,""),"")</f>
        <v/>
      </c>
      <c r="J436">
        <f>IF(A436="",0,IF(A436&gt;$B$5,1,0))</f>
        <v/>
      </c>
      <c r="K436" s="29">
        <f>IF(AND(J436=1,ISNUMBER(D436)),D436,"")</f>
        <v/>
      </c>
      <c r="L436" s="30">
        <f>IF(AND(J436=1,ISNUMBER(G436)),G436,"")</f>
        <v/>
      </c>
      <c r="M436" s="22">
        <f>IF(AND(J436=1,ISNUMBER(C436)),C436,"")</f>
        <v/>
      </c>
      <c r="N436" s="31">
        <f>IF(AND(J436=1,ISNUMBER(I436)),I436,"")</f>
        <v/>
      </c>
      <c r="O436" s="11">
        <f>IF(K436="","",100-IF($G$13=1,50,(_xlfn.RANK.AVG(K436,$K$19:$K$1518,1)-1)/($G$13-1)*100))</f>
        <v/>
      </c>
      <c r="P436" s="11">
        <f>IF(L436="","",100-IF($G$14=1,50,(_xlfn.RANK.AVG(L436,$L$19:$L$1518,1)-1)/($G$14-1)*100))</f>
        <v/>
      </c>
      <c r="Q436" s="11">
        <f>IF(M436="","",IF($G$15=1,50,(_xlfn.RANK.AVG(M436,$M$19:$M$1518,1)-1)/($G$15-1)*100))</f>
        <v/>
      </c>
      <c r="R436" s="11">
        <f>IF(N436="","",IF($G$16=1,50,(_xlfn.RANK.AVG(N436,$N$19:$N$1518,1)-1)/($G$16-1)*100))</f>
        <v/>
      </c>
      <c r="S436" s="11">
        <f>IF(COUNT(O436:R436)=4,ROUND(AVERAGE(O436:R436),6),"")</f>
        <v/>
      </c>
      <c r="U436">
        <f>IF(AND(ISNUMBER('자료_한국심리'!$A420),ISNUMBER('자료_한국심리'!$B420)),'자료_한국심리'!$A420,"")</f>
        <v/>
      </c>
      <c r="V436">
        <f>IF(AND(ISNUMBER('자료_한국심리'!$D420),ISNUMBER('자료_한국심리'!$E420)),'자료_한국심리'!$D420,"")</f>
        <v/>
      </c>
      <c r="W436">
        <f>IF(AND(ISNUMBER('자료_한국심리'!$G420),ISNUMBER('자료_한국심리'!$H420)),'자료_한국심리'!$G420,"")</f>
        <v/>
      </c>
      <c r="X436">
        <f>IF(AND(ISNUMBER('자료_한국심리'!$J420),ISNUMBER('자료_한국심리'!$K420)),'자료_한국심리'!$J420,"")</f>
        <v/>
      </c>
      <c r="Y436">
        <f>IF(AND(ISNUMBER('자료_한국심리'!$M420),ISNUMBER('자료_한국심리'!$N420)),'자료_한국심리'!$M420,"")</f>
        <v/>
      </c>
    </row>
    <row r="437">
      <c r="A437" s="10">
        <f>IF(419&gt;$E$5,"",SMALL($U$19:$U$4018,$E$6+419))</f>
        <v/>
      </c>
      <c r="B437" s="29">
        <f>IF(A437="","",INDEX('자료_한국심리'!$B$3:$B$4002,MATCH(A437,$U$19:$U$4018,0)))</f>
        <v/>
      </c>
      <c r="C437" s="22">
        <f>IF(A437="","",B437/AVERAGE(B313:B437)-1)</f>
        <v/>
      </c>
      <c r="D437" s="29">
        <f>IF(A437="","",IFERROR(INDEX('자료_한국심리'!$E$3:$E$4002,MATCH(A437,$V$19:$V$4018,0)),D436))</f>
        <v/>
      </c>
      <c r="E437" s="30">
        <f>IF(A437="","",IFERROR(INDEX('자료_한국심리'!$H$3:$H$4002,MATCH(A437,$W$19:$W$4018,0)),E436))</f>
        <v/>
      </c>
      <c r="F437" s="30">
        <f>IF(A437="","",IFERROR(INDEX('자료_한국심리'!$K$3:$K$4002,MATCH(A437,$X$19:$X$4018,0)),F436))</f>
        <v/>
      </c>
      <c r="G437" s="30">
        <f>IF(AND(ISNUMBER(E437),ISNUMBER(F437)),ROUND(E437-F437,6),"")</f>
        <v/>
      </c>
      <c r="H437" s="25">
        <f>IF(A437="","",IFERROR(INDEX('자료_한국심리'!$N$3:$N$4002,MATCH(A437,$Y$19:$Y$4018,0)),H436))</f>
        <v/>
      </c>
      <c r="I437" s="31">
        <f>IF(AND(ISNUMBER(H437),ISNUMBER(H417)),IF(H417&gt;0,H437/H417-1,""),"")</f>
        <v/>
      </c>
      <c r="J437">
        <f>IF(A437="",0,IF(A437&gt;$B$5,1,0))</f>
        <v/>
      </c>
      <c r="K437" s="29">
        <f>IF(AND(J437=1,ISNUMBER(D437)),D437,"")</f>
        <v/>
      </c>
      <c r="L437" s="30">
        <f>IF(AND(J437=1,ISNUMBER(G437)),G437,"")</f>
        <v/>
      </c>
      <c r="M437" s="22">
        <f>IF(AND(J437=1,ISNUMBER(C437)),C437,"")</f>
        <v/>
      </c>
      <c r="N437" s="31">
        <f>IF(AND(J437=1,ISNUMBER(I437)),I437,"")</f>
        <v/>
      </c>
      <c r="O437" s="11">
        <f>IF(K437="","",100-IF($G$13=1,50,(_xlfn.RANK.AVG(K437,$K$19:$K$1518,1)-1)/($G$13-1)*100))</f>
        <v/>
      </c>
      <c r="P437" s="11">
        <f>IF(L437="","",100-IF($G$14=1,50,(_xlfn.RANK.AVG(L437,$L$19:$L$1518,1)-1)/($G$14-1)*100))</f>
        <v/>
      </c>
      <c r="Q437" s="11">
        <f>IF(M437="","",IF($G$15=1,50,(_xlfn.RANK.AVG(M437,$M$19:$M$1518,1)-1)/($G$15-1)*100))</f>
        <v/>
      </c>
      <c r="R437" s="11">
        <f>IF(N437="","",IF($G$16=1,50,(_xlfn.RANK.AVG(N437,$N$19:$N$1518,1)-1)/($G$16-1)*100))</f>
        <v/>
      </c>
      <c r="S437" s="11">
        <f>IF(COUNT(O437:R437)=4,ROUND(AVERAGE(O437:R437),6),"")</f>
        <v/>
      </c>
      <c r="U437">
        <f>IF(AND(ISNUMBER('자료_한국심리'!$A421),ISNUMBER('자료_한국심리'!$B421)),'자료_한국심리'!$A421,"")</f>
        <v/>
      </c>
      <c r="V437">
        <f>IF(AND(ISNUMBER('자료_한국심리'!$D421),ISNUMBER('자료_한국심리'!$E421)),'자료_한국심리'!$D421,"")</f>
        <v/>
      </c>
      <c r="W437">
        <f>IF(AND(ISNUMBER('자료_한국심리'!$G421),ISNUMBER('자료_한국심리'!$H421)),'자료_한국심리'!$G421,"")</f>
        <v/>
      </c>
      <c r="X437">
        <f>IF(AND(ISNUMBER('자료_한국심리'!$J421),ISNUMBER('자료_한국심리'!$K421)),'자료_한국심리'!$J421,"")</f>
        <v/>
      </c>
      <c r="Y437">
        <f>IF(AND(ISNUMBER('자료_한국심리'!$M421),ISNUMBER('자료_한국심리'!$N421)),'자료_한국심리'!$M421,"")</f>
        <v/>
      </c>
    </row>
    <row r="438">
      <c r="A438" s="10">
        <f>IF(420&gt;$E$5,"",SMALL($U$19:$U$4018,$E$6+420))</f>
        <v/>
      </c>
      <c r="B438" s="29">
        <f>IF(A438="","",INDEX('자료_한국심리'!$B$3:$B$4002,MATCH(A438,$U$19:$U$4018,0)))</f>
        <v/>
      </c>
      <c r="C438" s="22">
        <f>IF(A438="","",B438/AVERAGE(B314:B438)-1)</f>
        <v/>
      </c>
      <c r="D438" s="29">
        <f>IF(A438="","",IFERROR(INDEX('자료_한국심리'!$E$3:$E$4002,MATCH(A438,$V$19:$V$4018,0)),D437))</f>
        <v/>
      </c>
      <c r="E438" s="30">
        <f>IF(A438="","",IFERROR(INDEX('자료_한국심리'!$H$3:$H$4002,MATCH(A438,$W$19:$W$4018,0)),E437))</f>
        <v/>
      </c>
      <c r="F438" s="30">
        <f>IF(A438="","",IFERROR(INDEX('자료_한국심리'!$K$3:$K$4002,MATCH(A438,$X$19:$X$4018,0)),F437))</f>
        <v/>
      </c>
      <c r="G438" s="30">
        <f>IF(AND(ISNUMBER(E438),ISNUMBER(F438)),ROUND(E438-F438,6),"")</f>
        <v/>
      </c>
      <c r="H438" s="25">
        <f>IF(A438="","",IFERROR(INDEX('자료_한국심리'!$N$3:$N$4002,MATCH(A438,$Y$19:$Y$4018,0)),H437))</f>
        <v/>
      </c>
      <c r="I438" s="31">
        <f>IF(AND(ISNUMBER(H438),ISNUMBER(H418)),IF(H418&gt;0,H438/H418-1,""),"")</f>
        <v/>
      </c>
      <c r="J438">
        <f>IF(A438="",0,IF(A438&gt;$B$5,1,0))</f>
        <v/>
      </c>
      <c r="K438" s="29">
        <f>IF(AND(J438=1,ISNUMBER(D438)),D438,"")</f>
        <v/>
      </c>
      <c r="L438" s="30">
        <f>IF(AND(J438=1,ISNUMBER(G438)),G438,"")</f>
        <v/>
      </c>
      <c r="M438" s="22">
        <f>IF(AND(J438=1,ISNUMBER(C438)),C438,"")</f>
        <v/>
      </c>
      <c r="N438" s="31">
        <f>IF(AND(J438=1,ISNUMBER(I438)),I438,"")</f>
        <v/>
      </c>
      <c r="O438" s="11">
        <f>IF(K438="","",100-IF($G$13=1,50,(_xlfn.RANK.AVG(K438,$K$19:$K$1518,1)-1)/($G$13-1)*100))</f>
        <v/>
      </c>
      <c r="P438" s="11">
        <f>IF(L438="","",100-IF($G$14=1,50,(_xlfn.RANK.AVG(L438,$L$19:$L$1518,1)-1)/($G$14-1)*100))</f>
        <v/>
      </c>
      <c r="Q438" s="11">
        <f>IF(M438="","",IF($G$15=1,50,(_xlfn.RANK.AVG(M438,$M$19:$M$1518,1)-1)/($G$15-1)*100))</f>
        <v/>
      </c>
      <c r="R438" s="11">
        <f>IF(N438="","",IF($G$16=1,50,(_xlfn.RANK.AVG(N438,$N$19:$N$1518,1)-1)/($G$16-1)*100))</f>
        <v/>
      </c>
      <c r="S438" s="11">
        <f>IF(COUNT(O438:R438)=4,ROUND(AVERAGE(O438:R438),6),"")</f>
        <v/>
      </c>
      <c r="U438">
        <f>IF(AND(ISNUMBER('자료_한국심리'!$A422),ISNUMBER('자료_한국심리'!$B422)),'자료_한국심리'!$A422,"")</f>
        <v/>
      </c>
      <c r="V438">
        <f>IF(AND(ISNUMBER('자료_한국심리'!$D422),ISNUMBER('자료_한국심리'!$E422)),'자료_한국심리'!$D422,"")</f>
        <v/>
      </c>
      <c r="W438">
        <f>IF(AND(ISNUMBER('자료_한국심리'!$G422),ISNUMBER('자료_한국심리'!$H422)),'자료_한국심리'!$G422,"")</f>
        <v/>
      </c>
      <c r="X438">
        <f>IF(AND(ISNUMBER('자료_한국심리'!$J422),ISNUMBER('자료_한국심리'!$K422)),'자료_한국심리'!$J422,"")</f>
        <v/>
      </c>
      <c r="Y438">
        <f>IF(AND(ISNUMBER('자료_한국심리'!$M422),ISNUMBER('자료_한국심리'!$N422)),'자료_한국심리'!$M422,"")</f>
        <v/>
      </c>
    </row>
    <row r="439">
      <c r="A439" s="10">
        <f>IF(421&gt;$E$5,"",SMALL($U$19:$U$4018,$E$6+421))</f>
        <v/>
      </c>
      <c r="B439" s="29">
        <f>IF(A439="","",INDEX('자료_한국심리'!$B$3:$B$4002,MATCH(A439,$U$19:$U$4018,0)))</f>
        <v/>
      </c>
      <c r="C439" s="22">
        <f>IF(A439="","",B439/AVERAGE(B315:B439)-1)</f>
        <v/>
      </c>
      <c r="D439" s="29">
        <f>IF(A439="","",IFERROR(INDEX('자료_한국심리'!$E$3:$E$4002,MATCH(A439,$V$19:$V$4018,0)),D438))</f>
        <v/>
      </c>
      <c r="E439" s="30">
        <f>IF(A439="","",IFERROR(INDEX('자료_한국심리'!$H$3:$H$4002,MATCH(A439,$W$19:$W$4018,0)),E438))</f>
        <v/>
      </c>
      <c r="F439" s="30">
        <f>IF(A439="","",IFERROR(INDEX('자료_한국심리'!$K$3:$K$4002,MATCH(A439,$X$19:$X$4018,0)),F438))</f>
        <v/>
      </c>
      <c r="G439" s="30">
        <f>IF(AND(ISNUMBER(E439),ISNUMBER(F439)),ROUND(E439-F439,6),"")</f>
        <v/>
      </c>
      <c r="H439" s="25">
        <f>IF(A439="","",IFERROR(INDEX('자료_한국심리'!$N$3:$N$4002,MATCH(A439,$Y$19:$Y$4018,0)),H438))</f>
        <v/>
      </c>
      <c r="I439" s="31">
        <f>IF(AND(ISNUMBER(H439),ISNUMBER(H419)),IF(H419&gt;0,H439/H419-1,""),"")</f>
        <v/>
      </c>
      <c r="J439">
        <f>IF(A439="",0,IF(A439&gt;$B$5,1,0))</f>
        <v/>
      </c>
      <c r="K439" s="29">
        <f>IF(AND(J439=1,ISNUMBER(D439)),D439,"")</f>
        <v/>
      </c>
      <c r="L439" s="30">
        <f>IF(AND(J439=1,ISNUMBER(G439)),G439,"")</f>
        <v/>
      </c>
      <c r="M439" s="22">
        <f>IF(AND(J439=1,ISNUMBER(C439)),C439,"")</f>
        <v/>
      </c>
      <c r="N439" s="31">
        <f>IF(AND(J439=1,ISNUMBER(I439)),I439,"")</f>
        <v/>
      </c>
      <c r="O439" s="11">
        <f>IF(K439="","",100-IF($G$13=1,50,(_xlfn.RANK.AVG(K439,$K$19:$K$1518,1)-1)/($G$13-1)*100))</f>
        <v/>
      </c>
      <c r="P439" s="11">
        <f>IF(L439="","",100-IF($G$14=1,50,(_xlfn.RANK.AVG(L439,$L$19:$L$1518,1)-1)/($G$14-1)*100))</f>
        <v/>
      </c>
      <c r="Q439" s="11">
        <f>IF(M439="","",IF($G$15=1,50,(_xlfn.RANK.AVG(M439,$M$19:$M$1518,1)-1)/($G$15-1)*100))</f>
        <v/>
      </c>
      <c r="R439" s="11">
        <f>IF(N439="","",IF($G$16=1,50,(_xlfn.RANK.AVG(N439,$N$19:$N$1518,1)-1)/($G$16-1)*100))</f>
        <v/>
      </c>
      <c r="S439" s="11">
        <f>IF(COUNT(O439:R439)=4,ROUND(AVERAGE(O439:R439),6),"")</f>
        <v/>
      </c>
      <c r="U439">
        <f>IF(AND(ISNUMBER('자료_한국심리'!$A423),ISNUMBER('자료_한국심리'!$B423)),'자료_한국심리'!$A423,"")</f>
        <v/>
      </c>
      <c r="V439">
        <f>IF(AND(ISNUMBER('자료_한국심리'!$D423),ISNUMBER('자료_한국심리'!$E423)),'자료_한국심리'!$D423,"")</f>
        <v/>
      </c>
      <c r="W439">
        <f>IF(AND(ISNUMBER('자료_한국심리'!$G423),ISNUMBER('자료_한국심리'!$H423)),'자료_한국심리'!$G423,"")</f>
        <v/>
      </c>
      <c r="X439">
        <f>IF(AND(ISNUMBER('자료_한국심리'!$J423),ISNUMBER('자료_한국심리'!$K423)),'자료_한국심리'!$J423,"")</f>
        <v/>
      </c>
      <c r="Y439">
        <f>IF(AND(ISNUMBER('자료_한국심리'!$M423),ISNUMBER('자료_한국심리'!$N423)),'자료_한국심리'!$M423,"")</f>
        <v/>
      </c>
    </row>
    <row r="440">
      <c r="A440" s="10">
        <f>IF(422&gt;$E$5,"",SMALL($U$19:$U$4018,$E$6+422))</f>
        <v/>
      </c>
      <c r="B440" s="29">
        <f>IF(A440="","",INDEX('자료_한국심리'!$B$3:$B$4002,MATCH(A440,$U$19:$U$4018,0)))</f>
        <v/>
      </c>
      <c r="C440" s="22">
        <f>IF(A440="","",B440/AVERAGE(B316:B440)-1)</f>
        <v/>
      </c>
      <c r="D440" s="29">
        <f>IF(A440="","",IFERROR(INDEX('자료_한국심리'!$E$3:$E$4002,MATCH(A440,$V$19:$V$4018,0)),D439))</f>
        <v/>
      </c>
      <c r="E440" s="30">
        <f>IF(A440="","",IFERROR(INDEX('자료_한국심리'!$H$3:$H$4002,MATCH(A440,$W$19:$W$4018,0)),E439))</f>
        <v/>
      </c>
      <c r="F440" s="30">
        <f>IF(A440="","",IFERROR(INDEX('자료_한국심리'!$K$3:$K$4002,MATCH(A440,$X$19:$X$4018,0)),F439))</f>
        <v/>
      </c>
      <c r="G440" s="30">
        <f>IF(AND(ISNUMBER(E440),ISNUMBER(F440)),ROUND(E440-F440,6),"")</f>
        <v/>
      </c>
      <c r="H440" s="25">
        <f>IF(A440="","",IFERROR(INDEX('자료_한국심리'!$N$3:$N$4002,MATCH(A440,$Y$19:$Y$4018,0)),H439))</f>
        <v/>
      </c>
      <c r="I440" s="31">
        <f>IF(AND(ISNUMBER(H440),ISNUMBER(H420)),IF(H420&gt;0,H440/H420-1,""),"")</f>
        <v/>
      </c>
      <c r="J440">
        <f>IF(A440="",0,IF(A440&gt;$B$5,1,0))</f>
        <v/>
      </c>
      <c r="K440" s="29">
        <f>IF(AND(J440=1,ISNUMBER(D440)),D440,"")</f>
        <v/>
      </c>
      <c r="L440" s="30">
        <f>IF(AND(J440=1,ISNUMBER(G440)),G440,"")</f>
        <v/>
      </c>
      <c r="M440" s="22">
        <f>IF(AND(J440=1,ISNUMBER(C440)),C440,"")</f>
        <v/>
      </c>
      <c r="N440" s="31">
        <f>IF(AND(J440=1,ISNUMBER(I440)),I440,"")</f>
        <v/>
      </c>
      <c r="O440" s="11">
        <f>IF(K440="","",100-IF($G$13=1,50,(_xlfn.RANK.AVG(K440,$K$19:$K$1518,1)-1)/($G$13-1)*100))</f>
        <v/>
      </c>
      <c r="P440" s="11">
        <f>IF(L440="","",100-IF($G$14=1,50,(_xlfn.RANK.AVG(L440,$L$19:$L$1518,1)-1)/($G$14-1)*100))</f>
        <v/>
      </c>
      <c r="Q440" s="11">
        <f>IF(M440="","",IF($G$15=1,50,(_xlfn.RANK.AVG(M440,$M$19:$M$1518,1)-1)/($G$15-1)*100))</f>
        <v/>
      </c>
      <c r="R440" s="11">
        <f>IF(N440="","",IF($G$16=1,50,(_xlfn.RANK.AVG(N440,$N$19:$N$1518,1)-1)/($G$16-1)*100))</f>
        <v/>
      </c>
      <c r="S440" s="11">
        <f>IF(COUNT(O440:R440)=4,ROUND(AVERAGE(O440:R440),6),"")</f>
        <v/>
      </c>
      <c r="U440">
        <f>IF(AND(ISNUMBER('자료_한국심리'!$A424),ISNUMBER('자료_한국심리'!$B424)),'자료_한국심리'!$A424,"")</f>
        <v/>
      </c>
      <c r="V440">
        <f>IF(AND(ISNUMBER('자료_한국심리'!$D424),ISNUMBER('자료_한국심리'!$E424)),'자료_한국심리'!$D424,"")</f>
        <v/>
      </c>
      <c r="W440">
        <f>IF(AND(ISNUMBER('자료_한국심리'!$G424),ISNUMBER('자료_한국심리'!$H424)),'자료_한국심리'!$G424,"")</f>
        <v/>
      </c>
      <c r="X440">
        <f>IF(AND(ISNUMBER('자료_한국심리'!$J424),ISNUMBER('자료_한국심리'!$K424)),'자료_한국심리'!$J424,"")</f>
        <v/>
      </c>
      <c r="Y440">
        <f>IF(AND(ISNUMBER('자료_한국심리'!$M424),ISNUMBER('자료_한국심리'!$N424)),'자료_한국심리'!$M424,"")</f>
        <v/>
      </c>
    </row>
    <row r="441">
      <c r="A441" s="10">
        <f>IF(423&gt;$E$5,"",SMALL($U$19:$U$4018,$E$6+423))</f>
        <v/>
      </c>
      <c r="B441" s="29">
        <f>IF(A441="","",INDEX('자료_한국심리'!$B$3:$B$4002,MATCH(A441,$U$19:$U$4018,0)))</f>
        <v/>
      </c>
      <c r="C441" s="22">
        <f>IF(A441="","",B441/AVERAGE(B317:B441)-1)</f>
        <v/>
      </c>
      <c r="D441" s="29">
        <f>IF(A441="","",IFERROR(INDEX('자료_한국심리'!$E$3:$E$4002,MATCH(A441,$V$19:$V$4018,0)),D440))</f>
        <v/>
      </c>
      <c r="E441" s="30">
        <f>IF(A441="","",IFERROR(INDEX('자료_한국심리'!$H$3:$H$4002,MATCH(A441,$W$19:$W$4018,0)),E440))</f>
        <v/>
      </c>
      <c r="F441" s="30">
        <f>IF(A441="","",IFERROR(INDEX('자료_한국심리'!$K$3:$K$4002,MATCH(A441,$X$19:$X$4018,0)),F440))</f>
        <v/>
      </c>
      <c r="G441" s="30">
        <f>IF(AND(ISNUMBER(E441),ISNUMBER(F441)),ROUND(E441-F441,6),"")</f>
        <v/>
      </c>
      <c r="H441" s="25">
        <f>IF(A441="","",IFERROR(INDEX('자료_한국심리'!$N$3:$N$4002,MATCH(A441,$Y$19:$Y$4018,0)),H440))</f>
        <v/>
      </c>
      <c r="I441" s="31">
        <f>IF(AND(ISNUMBER(H441),ISNUMBER(H421)),IF(H421&gt;0,H441/H421-1,""),"")</f>
        <v/>
      </c>
      <c r="J441">
        <f>IF(A441="",0,IF(A441&gt;$B$5,1,0))</f>
        <v/>
      </c>
      <c r="K441" s="29">
        <f>IF(AND(J441=1,ISNUMBER(D441)),D441,"")</f>
        <v/>
      </c>
      <c r="L441" s="30">
        <f>IF(AND(J441=1,ISNUMBER(G441)),G441,"")</f>
        <v/>
      </c>
      <c r="M441" s="22">
        <f>IF(AND(J441=1,ISNUMBER(C441)),C441,"")</f>
        <v/>
      </c>
      <c r="N441" s="31">
        <f>IF(AND(J441=1,ISNUMBER(I441)),I441,"")</f>
        <v/>
      </c>
      <c r="O441" s="11">
        <f>IF(K441="","",100-IF($G$13=1,50,(_xlfn.RANK.AVG(K441,$K$19:$K$1518,1)-1)/($G$13-1)*100))</f>
        <v/>
      </c>
      <c r="P441" s="11">
        <f>IF(L441="","",100-IF($G$14=1,50,(_xlfn.RANK.AVG(L441,$L$19:$L$1518,1)-1)/($G$14-1)*100))</f>
        <v/>
      </c>
      <c r="Q441" s="11">
        <f>IF(M441="","",IF($G$15=1,50,(_xlfn.RANK.AVG(M441,$M$19:$M$1518,1)-1)/($G$15-1)*100))</f>
        <v/>
      </c>
      <c r="R441" s="11">
        <f>IF(N441="","",IF($G$16=1,50,(_xlfn.RANK.AVG(N441,$N$19:$N$1518,1)-1)/($G$16-1)*100))</f>
        <v/>
      </c>
      <c r="S441" s="11">
        <f>IF(COUNT(O441:R441)=4,ROUND(AVERAGE(O441:R441),6),"")</f>
        <v/>
      </c>
      <c r="U441">
        <f>IF(AND(ISNUMBER('자료_한국심리'!$A425),ISNUMBER('자료_한국심리'!$B425)),'자료_한국심리'!$A425,"")</f>
        <v/>
      </c>
      <c r="V441">
        <f>IF(AND(ISNUMBER('자료_한국심리'!$D425),ISNUMBER('자료_한국심리'!$E425)),'자료_한국심리'!$D425,"")</f>
        <v/>
      </c>
      <c r="W441">
        <f>IF(AND(ISNUMBER('자료_한국심리'!$G425),ISNUMBER('자료_한국심리'!$H425)),'자료_한국심리'!$G425,"")</f>
        <v/>
      </c>
      <c r="X441">
        <f>IF(AND(ISNUMBER('자료_한국심리'!$J425),ISNUMBER('자료_한국심리'!$K425)),'자료_한국심리'!$J425,"")</f>
        <v/>
      </c>
      <c r="Y441">
        <f>IF(AND(ISNUMBER('자료_한국심리'!$M425),ISNUMBER('자료_한국심리'!$N425)),'자료_한국심리'!$M425,"")</f>
        <v/>
      </c>
    </row>
    <row r="442">
      <c r="A442" s="10">
        <f>IF(424&gt;$E$5,"",SMALL($U$19:$U$4018,$E$6+424))</f>
        <v/>
      </c>
      <c r="B442" s="29">
        <f>IF(A442="","",INDEX('자료_한국심리'!$B$3:$B$4002,MATCH(A442,$U$19:$U$4018,0)))</f>
        <v/>
      </c>
      <c r="C442" s="22">
        <f>IF(A442="","",B442/AVERAGE(B318:B442)-1)</f>
        <v/>
      </c>
      <c r="D442" s="29">
        <f>IF(A442="","",IFERROR(INDEX('자료_한국심리'!$E$3:$E$4002,MATCH(A442,$V$19:$V$4018,0)),D441))</f>
        <v/>
      </c>
      <c r="E442" s="30">
        <f>IF(A442="","",IFERROR(INDEX('자료_한국심리'!$H$3:$H$4002,MATCH(A442,$W$19:$W$4018,0)),E441))</f>
        <v/>
      </c>
      <c r="F442" s="30">
        <f>IF(A442="","",IFERROR(INDEX('자료_한국심리'!$K$3:$K$4002,MATCH(A442,$X$19:$X$4018,0)),F441))</f>
        <v/>
      </c>
      <c r="G442" s="30">
        <f>IF(AND(ISNUMBER(E442),ISNUMBER(F442)),ROUND(E442-F442,6),"")</f>
        <v/>
      </c>
      <c r="H442" s="25">
        <f>IF(A442="","",IFERROR(INDEX('자료_한국심리'!$N$3:$N$4002,MATCH(A442,$Y$19:$Y$4018,0)),H441))</f>
        <v/>
      </c>
      <c r="I442" s="31">
        <f>IF(AND(ISNUMBER(H442),ISNUMBER(H422)),IF(H422&gt;0,H442/H422-1,""),"")</f>
        <v/>
      </c>
      <c r="J442">
        <f>IF(A442="",0,IF(A442&gt;$B$5,1,0))</f>
        <v/>
      </c>
      <c r="K442" s="29">
        <f>IF(AND(J442=1,ISNUMBER(D442)),D442,"")</f>
        <v/>
      </c>
      <c r="L442" s="30">
        <f>IF(AND(J442=1,ISNUMBER(G442)),G442,"")</f>
        <v/>
      </c>
      <c r="M442" s="22">
        <f>IF(AND(J442=1,ISNUMBER(C442)),C442,"")</f>
        <v/>
      </c>
      <c r="N442" s="31">
        <f>IF(AND(J442=1,ISNUMBER(I442)),I442,"")</f>
        <v/>
      </c>
      <c r="O442" s="11">
        <f>IF(K442="","",100-IF($G$13=1,50,(_xlfn.RANK.AVG(K442,$K$19:$K$1518,1)-1)/($G$13-1)*100))</f>
        <v/>
      </c>
      <c r="P442" s="11">
        <f>IF(L442="","",100-IF($G$14=1,50,(_xlfn.RANK.AVG(L442,$L$19:$L$1518,1)-1)/($G$14-1)*100))</f>
        <v/>
      </c>
      <c r="Q442" s="11">
        <f>IF(M442="","",IF($G$15=1,50,(_xlfn.RANK.AVG(M442,$M$19:$M$1518,1)-1)/($G$15-1)*100))</f>
        <v/>
      </c>
      <c r="R442" s="11">
        <f>IF(N442="","",IF($G$16=1,50,(_xlfn.RANK.AVG(N442,$N$19:$N$1518,1)-1)/($G$16-1)*100))</f>
        <v/>
      </c>
      <c r="S442" s="11">
        <f>IF(COUNT(O442:R442)=4,ROUND(AVERAGE(O442:R442),6),"")</f>
        <v/>
      </c>
      <c r="U442">
        <f>IF(AND(ISNUMBER('자료_한국심리'!$A426),ISNUMBER('자료_한국심리'!$B426)),'자료_한국심리'!$A426,"")</f>
        <v/>
      </c>
      <c r="V442">
        <f>IF(AND(ISNUMBER('자료_한국심리'!$D426),ISNUMBER('자료_한국심리'!$E426)),'자료_한국심리'!$D426,"")</f>
        <v/>
      </c>
      <c r="W442">
        <f>IF(AND(ISNUMBER('자료_한국심리'!$G426),ISNUMBER('자료_한국심리'!$H426)),'자료_한국심리'!$G426,"")</f>
        <v/>
      </c>
      <c r="X442">
        <f>IF(AND(ISNUMBER('자료_한국심리'!$J426),ISNUMBER('자료_한국심리'!$K426)),'자료_한국심리'!$J426,"")</f>
        <v/>
      </c>
      <c r="Y442">
        <f>IF(AND(ISNUMBER('자료_한국심리'!$M426),ISNUMBER('자료_한국심리'!$N426)),'자료_한국심리'!$M426,"")</f>
        <v/>
      </c>
    </row>
    <row r="443">
      <c r="A443" s="10">
        <f>IF(425&gt;$E$5,"",SMALL($U$19:$U$4018,$E$6+425))</f>
        <v/>
      </c>
      <c r="B443" s="29">
        <f>IF(A443="","",INDEX('자료_한국심리'!$B$3:$B$4002,MATCH(A443,$U$19:$U$4018,0)))</f>
        <v/>
      </c>
      <c r="C443" s="22">
        <f>IF(A443="","",B443/AVERAGE(B319:B443)-1)</f>
        <v/>
      </c>
      <c r="D443" s="29">
        <f>IF(A443="","",IFERROR(INDEX('자료_한국심리'!$E$3:$E$4002,MATCH(A443,$V$19:$V$4018,0)),D442))</f>
        <v/>
      </c>
      <c r="E443" s="30">
        <f>IF(A443="","",IFERROR(INDEX('자료_한국심리'!$H$3:$H$4002,MATCH(A443,$W$19:$W$4018,0)),E442))</f>
        <v/>
      </c>
      <c r="F443" s="30">
        <f>IF(A443="","",IFERROR(INDEX('자료_한국심리'!$K$3:$K$4002,MATCH(A443,$X$19:$X$4018,0)),F442))</f>
        <v/>
      </c>
      <c r="G443" s="30">
        <f>IF(AND(ISNUMBER(E443),ISNUMBER(F443)),ROUND(E443-F443,6),"")</f>
        <v/>
      </c>
      <c r="H443" s="25">
        <f>IF(A443="","",IFERROR(INDEX('자료_한국심리'!$N$3:$N$4002,MATCH(A443,$Y$19:$Y$4018,0)),H442))</f>
        <v/>
      </c>
      <c r="I443" s="31">
        <f>IF(AND(ISNUMBER(H443),ISNUMBER(H423)),IF(H423&gt;0,H443/H423-1,""),"")</f>
        <v/>
      </c>
      <c r="J443">
        <f>IF(A443="",0,IF(A443&gt;$B$5,1,0))</f>
        <v/>
      </c>
      <c r="K443" s="29">
        <f>IF(AND(J443=1,ISNUMBER(D443)),D443,"")</f>
        <v/>
      </c>
      <c r="L443" s="30">
        <f>IF(AND(J443=1,ISNUMBER(G443)),G443,"")</f>
        <v/>
      </c>
      <c r="M443" s="22">
        <f>IF(AND(J443=1,ISNUMBER(C443)),C443,"")</f>
        <v/>
      </c>
      <c r="N443" s="31">
        <f>IF(AND(J443=1,ISNUMBER(I443)),I443,"")</f>
        <v/>
      </c>
      <c r="O443" s="11">
        <f>IF(K443="","",100-IF($G$13=1,50,(_xlfn.RANK.AVG(K443,$K$19:$K$1518,1)-1)/($G$13-1)*100))</f>
        <v/>
      </c>
      <c r="P443" s="11">
        <f>IF(L443="","",100-IF($G$14=1,50,(_xlfn.RANK.AVG(L443,$L$19:$L$1518,1)-1)/($G$14-1)*100))</f>
        <v/>
      </c>
      <c r="Q443" s="11">
        <f>IF(M443="","",IF($G$15=1,50,(_xlfn.RANK.AVG(M443,$M$19:$M$1518,1)-1)/($G$15-1)*100))</f>
        <v/>
      </c>
      <c r="R443" s="11">
        <f>IF(N443="","",IF($G$16=1,50,(_xlfn.RANK.AVG(N443,$N$19:$N$1518,1)-1)/($G$16-1)*100))</f>
        <v/>
      </c>
      <c r="S443" s="11">
        <f>IF(COUNT(O443:R443)=4,ROUND(AVERAGE(O443:R443),6),"")</f>
        <v/>
      </c>
      <c r="U443">
        <f>IF(AND(ISNUMBER('자료_한국심리'!$A427),ISNUMBER('자료_한국심리'!$B427)),'자료_한국심리'!$A427,"")</f>
        <v/>
      </c>
      <c r="V443">
        <f>IF(AND(ISNUMBER('자료_한국심리'!$D427),ISNUMBER('자료_한국심리'!$E427)),'자료_한국심리'!$D427,"")</f>
        <v/>
      </c>
      <c r="W443">
        <f>IF(AND(ISNUMBER('자료_한국심리'!$G427),ISNUMBER('자료_한국심리'!$H427)),'자료_한국심리'!$G427,"")</f>
        <v/>
      </c>
      <c r="X443">
        <f>IF(AND(ISNUMBER('자료_한국심리'!$J427),ISNUMBER('자료_한국심리'!$K427)),'자료_한국심리'!$J427,"")</f>
        <v/>
      </c>
      <c r="Y443">
        <f>IF(AND(ISNUMBER('자료_한국심리'!$M427),ISNUMBER('자료_한국심리'!$N427)),'자료_한국심리'!$M427,"")</f>
        <v/>
      </c>
    </row>
    <row r="444">
      <c r="A444" s="10">
        <f>IF(426&gt;$E$5,"",SMALL($U$19:$U$4018,$E$6+426))</f>
        <v/>
      </c>
      <c r="B444" s="29">
        <f>IF(A444="","",INDEX('자료_한국심리'!$B$3:$B$4002,MATCH(A444,$U$19:$U$4018,0)))</f>
        <v/>
      </c>
      <c r="C444" s="22">
        <f>IF(A444="","",B444/AVERAGE(B320:B444)-1)</f>
        <v/>
      </c>
      <c r="D444" s="29">
        <f>IF(A444="","",IFERROR(INDEX('자료_한국심리'!$E$3:$E$4002,MATCH(A444,$V$19:$V$4018,0)),D443))</f>
        <v/>
      </c>
      <c r="E444" s="30">
        <f>IF(A444="","",IFERROR(INDEX('자료_한국심리'!$H$3:$H$4002,MATCH(A444,$W$19:$W$4018,0)),E443))</f>
        <v/>
      </c>
      <c r="F444" s="30">
        <f>IF(A444="","",IFERROR(INDEX('자료_한국심리'!$K$3:$K$4002,MATCH(A444,$X$19:$X$4018,0)),F443))</f>
        <v/>
      </c>
      <c r="G444" s="30">
        <f>IF(AND(ISNUMBER(E444),ISNUMBER(F444)),ROUND(E444-F444,6),"")</f>
        <v/>
      </c>
      <c r="H444" s="25">
        <f>IF(A444="","",IFERROR(INDEX('자료_한국심리'!$N$3:$N$4002,MATCH(A444,$Y$19:$Y$4018,0)),H443))</f>
        <v/>
      </c>
      <c r="I444" s="31">
        <f>IF(AND(ISNUMBER(H444),ISNUMBER(H424)),IF(H424&gt;0,H444/H424-1,""),"")</f>
        <v/>
      </c>
      <c r="J444">
        <f>IF(A444="",0,IF(A444&gt;$B$5,1,0))</f>
        <v/>
      </c>
      <c r="K444" s="29">
        <f>IF(AND(J444=1,ISNUMBER(D444)),D444,"")</f>
        <v/>
      </c>
      <c r="L444" s="30">
        <f>IF(AND(J444=1,ISNUMBER(G444)),G444,"")</f>
        <v/>
      </c>
      <c r="M444" s="22">
        <f>IF(AND(J444=1,ISNUMBER(C444)),C444,"")</f>
        <v/>
      </c>
      <c r="N444" s="31">
        <f>IF(AND(J444=1,ISNUMBER(I444)),I444,"")</f>
        <v/>
      </c>
      <c r="O444" s="11">
        <f>IF(K444="","",100-IF($G$13=1,50,(_xlfn.RANK.AVG(K444,$K$19:$K$1518,1)-1)/($G$13-1)*100))</f>
        <v/>
      </c>
      <c r="P444" s="11">
        <f>IF(L444="","",100-IF($G$14=1,50,(_xlfn.RANK.AVG(L444,$L$19:$L$1518,1)-1)/($G$14-1)*100))</f>
        <v/>
      </c>
      <c r="Q444" s="11">
        <f>IF(M444="","",IF($G$15=1,50,(_xlfn.RANK.AVG(M444,$M$19:$M$1518,1)-1)/($G$15-1)*100))</f>
        <v/>
      </c>
      <c r="R444" s="11">
        <f>IF(N444="","",IF($G$16=1,50,(_xlfn.RANK.AVG(N444,$N$19:$N$1518,1)-1)/($G$16-1)*100))</f>
        <v/>
      </c>
      <c r="S444" s="11">
        <f>IF(COUNT(O444:R444)=4,ROUND(AVERAGE(O444:R444),6),"")</f>
        <v/>
      </c>
      <c r="U444">
        <f>IF(AND(ISNUMBER('자료_한국심리'!$A428),ISNUMBER('자료_한국심리'!$B428)),'자료_한국심리'!$A428,"")</f>
        <v/>
      </c>
      <c r="V444">
        <f>IF(AND(ISNUMBER('자료_한국심리'!$D428),ISNUMBER('자료_한국심리'!$E428)),'자료_한국심리'!$D428,"")</f>
        <v/>
      </c>
      <c r="W444">
        <f>IF(AND(ISNUMBER('자료_한국심리'!$G428),ISNUMBER('자료_한국심리'!$H428)),'자료_한국심리'!$G428,"")</f>
        <v/>
      </c>
      <c r="X444">
        <f>IF(AND(ISNUMBER('자료_한국심리'!$J428),ISNUMBER('자료_한국심리'!$K428)),'자료_한국심리'!$J428,"")</f>
        <v/>
      </c>
      <c r="Y444">
        <f>IF(AND(ISNUMBER('자료_한국심리'!$M428),ISNUMBER('자료_한국심리'!$N428)),'자료_한국심리'!$M428,"")</f>
        <v/>
      </c>
    </row>
    <row r="445">
      <c r="A445" s="10">
        <f>IF(427&gt;$E$5,"",SMALL($U$19:$U$4018,$E$6+427))</f>
        <v/>
      </c>
      <c r="B445" s="29">
        <f>IF(A445="","",INDEX('자료_한국심리'!$B$3:$B$4002,MATCH(A445,$U$19:$U$4018,0)))</f>
        <v/>
      </c>
      <c r="C445" s="22">
        <f>IF(A445="","",B445/AVERAGE(B321:B445)-1)</f>
        <v/>
      </c>
      <c r="D445" s="29">
        <f>IF(A445="","",IFERROR(INDEX('자료_한국심리'!$E$3:$E$4002,MATCH(A445,$V$19:$V$4018,0)),D444))</f>
        <v/>
      </c>
      <c r="E445" s="30">
        <f>IF(A445="","",IFERROR(INDEX('자료_한국심리'!$H$3:$H$4002,MATCH(A445,$W$19:$W$4018,0)),E444))</f>
        <v/>
      </c>
      <c r="F445" s="30">
        <f>IF(A445="","",IFERROR(INDEX('자료_한국심리'!$K$3:$K$4002,MATCH(A445,$X$19:$X$4018,0)),F444))</f>
        <v/>
      </c>
      <c r="G445" s="30">
        <f>IF(AND(ISNUMBER(E445),ISNUMBER(F445)),ROUND(E445-F445,6),"")</f>
        <v/>
      </c>
      <c r="H445" s="25">
        <f>IF(A445="","",IFERROR(INDEX('자료_한국심리'!$N$3:$N$4002,MATCH(A445,$Y$19:$Y$4018,0)),H444))</f>
        <v/>
      </c>
      <c r="I445" s="31">
        <f>IF(AND(ISNUMBER(H445),ISNUMBER(H425)),IF(H425&gt;0,H445/H425-1,""),"")</f>
        <v/>
      </c>
      <c r="J445">
        <f>IF(A445="",0,IF(A445&gt;$B$5,1,0))</f>
        <v/>
      </c>
      <c r="K445" s="29">
        <f>IF(AND(J445=1,ISNUMBER(D445)),D445,"")</f>
        <v/>
      </c>
      <c r="L445" s="30">
        <f>IF(AND(J445=1,ISNUMBER(G445)),G445,"")</f>
        <v/>
      </c>
      <c r="M445" s="22">
        <f>IF(AND(J445=1,ISNUMBER(C445)),C445,"")</f>
        <v/>
      </c>
      <c r="N445" s="31">
        <f>IF(AND(J445=1,ISNUMBER(I445)),I445,"")</f>
        <v/>
      </c>
      <c r="O445" s="11">
        <f>IF(K445="","",100-IF($G$13=1,50,(_xlfn.RANK.AVG(K445,$K$19:$K$1518,1)-1)/($G$13-1)*100))</f>
        <v/>
      </c>
      <c r="P445" s="11">
        <f>IF(L445="","",100-IF($G$14=1,50,(_xlfn.RANK.AVG(L445,$L$19:$L$1518,1)-1)/($G$14-1)*100))</f>
        <v/>
      </c>
      <c r="Q445" s="11">
        <f>IF(M445="","",IF($G$15=1,50,(_xlfn.RANK.AVG(M445,$M$19:$M$1518,1)-1)/($G$15-1)*100))</f>
        <v/>
      </c>
      <c r="R445" s="11">
        <f>IF(N445="","",IF($G$16=1,50,(_xlfn.RANK.AVG(N445,$N$19:$N$1518,1)-1)/($G$16-1)*100))</f>
        <v/>
      </c>
      <c r="S445" s="11">
        <f>IF(COUNT(O445:R445)=4,ROUND(AVERAGE(O445:R445),6),"")</f>
        <v/>
      </c>
      <c r="U445">
        <f>IF(AND(ISNUMBER('자료_한국심리'!$A429),ISNUMBER('자료_한국심리'!$B429)),'자료_한국심리'!$A429,"")</f>
        <v/>
      </c>
      <c r="V445">
        <f>IF(AND(ISNUMBER('자료_한국심리'!$D429),ISNUMBER('자료_한국심리'!$E429)),'자료_한국심리'!$D429,"")</f>
        <v/>
      </c>
      <c r="W445">
        <f>IF(AND(ISNUMBER('자료_한국심리'!$G429),ISNUMBER('자료_한국심리'!$H429)),'자료_한국심리'!$G429,"")</f>
        <v/>
      </c>
      <c r="X445">
        <f>IF(AND(ISNUMBER('자료_한국심리'!$J429),ISNUMBER('자료_한국심리'!$K429)),'자료_한국심리'!$J429,"")</f>
        <v/>
      </c>
      <c r="Y445">
        <f>IF(AND(ISNUMBER('자료_한국심리'!$M429),ISNUMBER('자료_한국심리'!$N429)),'자료_한국심리'!$M429,"")</f>
        <v/>
      </c>
    </row>
    <row r="446">
      <c r="A446" s="10">
        <f>IF(428&gt;$E$5,"",SMALL($U$19:$U$4018,$E$6+428))</f>
        <v/>
      </c>
      <c r="B446" s="29">
        <f>IF(A446="","",INDEX('자료_한국심리'!$B$3:$B$4002,MATCH(A446,$U$19:$U$4018,0)))</f>
        <v/>
      </c>
      <c r="C446" s="22">
        <f>IF(A446="","",B446/AVERAGE(B322:B446)-1)</f>
        <v/>
      </c>
      <c r="D446" s="29">
        <f>IF(A446="","",IFERROR(INDEX('자료_한국심리'!$E$3:$E$4002,MATCH(A446,$V$19:$V$4018,0)),D445))</f>
        <v/>
      </c>
      <c r="E446" s="30">
        <f>IF(A446="","",IFERROR(INDEX('자료_한국심리'!$H$3:$H$4002,MATCH(A446,$W$19:$W$4018,0)),E445))</f>
        <v/>
      </c>
      <c r="F446" s="30">
        <f>IF(A446="","",IFERROR(INDEX('자료_한국심리'!$K$3:$K$4002,MATCH(A446,$X$19:$X$4018,0)),F445))</f>
        <v/>
      </c>
      <c r="G446" s="30">
        <f>IF(AND(ISNUMBER(E446),ISNUMBER(F446)),ROUND(E446-F446,6),"")</f>
        <v/>
      </c>
      <c r="H446" s="25">
        <f>IF(A446="","",IFERROR(INDEX('자료_한국심리'!$N$3:$N$4002,MATCH(A446,$Y$19:$Y$4018,0)),H445))</f>
        <v/>
      </c>
      <c r="I446" s="31">
        <f>IF(AND(ISNUMBER(H446),ISNUMBER(H426)),IF(H426&gt;0,H446/H426-1,""),"")</f>
        <v/>
      </c>
      <c r="J446">
        <f>IF(A446="",0,IF(A446&gt;$B$5,1,0))</f>
        <v/>
      </c>
      <c r="K446" s="29">
        <f>IF(AND(J446=1,ISNUMBER(D446)),D446,"")</f>
        <v/>
      </c>
      <c r="L446" s="30">
        <f>IF(AND(J446=1,ISNUMBER(G446)),G446,"")</f>
        <v/>
      </c>
      <c r="M446" s="22">
        <f>IF(AND(J446=1,ISNUMBER(C446)),C446,"")</f>
        <v/>
      </c>
      <c r="N446" s="31">
        <f>IF(AND(J446=1,ISNUMBER(I446)),I446,"")</f>
        <v/>
      </c>
      <c r="O446" s="11">
        <f>IF(K446="","",100-IF($G$13=1,50,(_xlfn.RANK.AVG(K446,$K$19:$K$1518,1)-1)/($G$13-1)*100))</f>
        <v/>
      </c>
      <c r="P446" s="11">
        <f>IF(L446="","",100-IF($G$14=1,50,(_xlfn.RANK.AVG(L446,$L$19:$L$1518,1)-1)/($G$14-1)*100))</f>
        <v/>
      </c>
      <c r="Q446" s="11">
        <f>IF(M446="","",IF($G$15=1,50,(_xlfn.RANK.AVG(M446,$M$19:$M$1518,1)-1)/($G$15-1)*100))</f>
        <v/>
      </c>
      <c r="R446" s="11">
        <f>IF(N446="","",IF($G$16=1,50,(_xlfn.RANK.AVG(N446,$N$19:$N$1518,1)-1)/($G$16-1)*100))</f>
        <v/>
      </c>
      <c r="S446" s="11">
        <f>IF(COUNT(O446:R446)=4,ROUND(AVERAGE(O446:R446),6),"")</f>
        <v/>
      </c>
      <c r="U446">
        <f>IF(AND(ISNUMBER('자료_한국심리'!$A430),ISNUMBER('자료_한국심리'!$B430)),'자료_한국심리'!$A430,"")</f>
        <v/>
      </c>
      <c r="V446">
        <f>IF(AND(ISNUMBER('자료_한국심리'!$D430),ISNUMBER('자료_한국심리'!$E430)),'자료_한국심리'!$D430,"")</f>
        <v/>
      </c>
      <c r="W446">
        <f>IF(AND(ISNUMBER('자료_한국심리'!$G430),ISNUMBER('자료_한국심리'!$H430)),'자료_한국심리'!$G430,"")</f>
        <v/>
      </c>
      <c r="X446">
        <f>IF(AND(ISNUMBER('자료_한국심리'!$J430),ISNUMBER('자료_한국심리'!$K430)),'자료_한국심리'!$J430,"")</f>
        <v/>
      </c>
      <c r="Y446">
        <f>IF(AND(ISNUMBER('자료_한국심리'!$M430),ISNUMBER('자료_한국심리'!$N430)),'자료_한국심리'!$M430,"")</f>
        <v/>
      </c>
    </row>
    <row r="447">
      <c r="A447" s="10">
        <f>IF(429&gt;$E$5,"",SMALL($U$19:$U$4018,$E$6+429))</f>
        <v/>
      </c>
      <c r="B447" s="29">
        <f>IF(A447="","",INDEX('자료_한국심리'!$B$3:$B$4002,MATCH(A447,$U$19:$U$4018,0)))</f>
        <v/>
      </c>
      <c r="C447" s="22">
        <f>IF(A447="","",B447/AVERAGE(B323:B447)-1)</f>
        <v/>
      </c>
      <c r="D447" s="29">
        <f>IF(A447="","",IFERROR(INDEX('자료_한국심리'!$E$3:$E$4002,MATCH(A447,$V$19:$V$4018,0)),D446))</f>
        <v/>
      </c>
      <c r="E447" s="30">
        <f>IF(A447="","",IFERROR(INDEX('자료_한국심리'!$H$3:$H$4002,MATCH(A447,$W$19:$W$4018,0)),E446))</f>
        <v/>
      </c>
      <c r="F447" s="30">
        <f>IF(A447="","",IFERROR(INDEX('자료_한국심리'!$K$3:$K$4002,MATCH(A447,$X$19:$X$4018,0)),F446))</f>
        <v/>
      </c>
      <c r="G447" s="30">
        <f>IF(AND(ISNUMBER(E447),ISNUMBER(F447)),ROUND(E447-F447,6),"")</f>
        <v/>
      </c>
      <c r="H447" s="25">
        <f>IF(A447="","",IFERROR(INDEX('자료_한국심리'!$N$3:$N$4002,MATCH(A447,$Y$19:$Y$4018,0)),H446))</f>
        <v/>
      </c>
      <c r="I447" s="31">
        <f>IF(AND(ISNUMBER(H447),ISNUMBER(H427)),IF(H427&gt;0,H447/H427-1,""),"")</f>
        <v/>
      </c>
      <c r="J447">
        <f>IF(A447="",0,IF(A447&gt;$B$5,1,0))</f>
        <v/>
      </c>
      <c r="K447" s="29">
        <f>IF(AND(J447=1,ISNUMBER(D447)),D447,"")</f>
        <v/>
      </c>
      <c r="L447" s="30">
        <f>IF(AND(J447=1,ISNUMBER(G447)),G447,"")</f>
        <v/>
      </c>
      <c r="M447" s="22">
        <f>IF(AND(J447=1,ISNUMBER(C447)),C447,"")</f>
        <v/>
      </c>
      <c r="N447" s="31">
        <f>IF(AND(J447=1,ISNUMBER(I447)),I447,"")</f>
        <v/>
      </c>
      <c r="O447" s="11">
        <f>IF(K447="","",100-IF($G$13=1,50,(_xlfn.RANK.AVG(K447,$K$19:$K$1518,1)-1)/($G$13-1)*100))</f>
        <v/>
      </c>
      <c r="P447" s="11">
        <f>IF(L447="","",100-IF($G$14=1,50,(_xlfn.RANK.AVG(L447,$L$19:$L$1518,1)-1)/($G$14-1)*100))</f>
        <v/>
      </c>
      <c r="Q447" s="11">
        <f>IF(M447="","",IF($G$15=1,50,(_xlfn.RANK.AVG(M447,$M$19:$M$1518,1)-1)/($G$15-1)*100))</f>
        <v/>
      </c>
      <c r="R447" s="11">
        <f>IF(N447="","",IF($G$16=1,50,(_xlfn.RANK.AVG(N447,$N$19:$N$1518,1)-1)/($G$16-1)*100))</f>
        <v/>
      </c>
      <c r="S447" s="11">
        <f>IF(COUNT(O447:R447)=4,ROUND(AVERAGE(O447:R447),6),"")</f>
        <v/>
      </c>
      <c r="U447">
        <f>IF(AND(ISNUMBER('자료_한국심리'!$A431),ISNUMBER('자료_한국심리'!$B431)),'자료_한국심리'!$A431,"")</f>
        <v/>
      </c>
      <c r="V447">
        <f>IF(AND(ISNUMBER('자료_한국심리'!$D431),ISNUMBER('자료_한국심리'!$E431)),'자료_한국심리'!$D431,"")</f>
        <v/>
      </c>
      <c r="W447">
        <f>IF(AND(ISNUMBER('자료_한국심리'!$G431),ISNUMBER('자료_한국심리'!$H431)),'자료_한국심리'!$G431,"")</f>
        <v/>
      </c>
      <c r="X447">
        <f>IF(AND(ISNUMBER('자료_한국심리'!$J431),ISNUMBER('자료_한국심리'!$K431)),'자료_한국심리'!$J431,"")</f>
        <v/>
      </c>
      <c r="Y447">
        <f>IF(AND(ISNUMBER('자료_한국심리'!$M431),ISNUMBER('자료_한국심리'!$N431)),'자료_한국심리'!$M431,"")</f>
        <v/>
      </c>
    </row>
    <row r="448">
      <c r="A448" s="10">
        <f>IF(430&gt;$E$5,"",SMALL($U$19:$U$4018,$E$6+430))</f>
        <v/>
      </c>
      <c r="B448" s="29">
        <f>IF(A448="","",INDEX('자료_한국심리'!$B$3:$B$4002,MATCH(A448,$U$19:$U$4018,0)))</f>
        <v/>
      </c>
      <c r="C448" s="22">
        <f>IF(A448="","",B448/AVERAGE(B324:B448)-1)</f>
        <v/>
      </c>
      <c r="D448" s="29">
        <f>IF(A448="","",IFERROR(INDEX('자료_한국심리'!$E$3:$E$4002,MATCH(A448,$V$19:$V$4018,0)),D447))</f>
        <v/>
      </c>
      <c r="E448" s="30">
        <f>IF(A448="","",IFERROR(INDEX('자료_한국심리'!$H$3:$H$4002,MATCH(A448,$W$19:$W$4018,0)),E447))</f>
        <v/>
      </c>
      <c r="F448" s="30">
        <f>IF(A448="","",IFERROR(INDEX('자료_한국심리'!$K$3:$K$4002,MATCH(A448,$X$19:$X$4018,0)),F447))</f>
        <v/>
      </c>
      <c r="G448" s="30">
        <f>IF(AND(ISNUMBER(E448),ISNUMBER(F448)),ROUND(E448-F448,6),"")</f>
        <v/>
      </c>
      <c r="H448" s="25">
        <f>IF(A448="","",IFERROR(INDEX('자료_한국심리'!$N$3:$N$4002,MATCH(A448,$Y$19:$Y$4018,0)),H447))</f>
        <v/>
      </c>
      <c r="I448" s="31">
        <f>IF(AND(ISNUMBER(H448),ISNUMBER(H428)),IF(H428&gt;0,H448/H428-1,""),"")</f>
        <v/>
      </c>
      <c r="J448">
        <f>IF(A448="",0,IF(A448&gt;$B$5,1,0))</f>
        <v/>
      </c>
      <c r="K448" s="29">
        <f>IF(AND(J448=1,ISNUMBER(D448)),D448,"")</f>
        <v/>
      </c>
      <c r="L448" s="30">
        <f>IF(AND(J448=1,ISNUMBER(G448)),G448,"")</f>
        <v/>
      </c>
      <c r="M448" s="22">
        <f>IF(AND(J448=1,ISNUMBER(C448)),C448,"")</f>
        <v/>
      </c>
      <c r="N448" s="31">
        <f>IF(AND(J448=1,ISNUMBER(I448)),I448,"")</f>
        <v/>
      </c>
      <c r="O448" s="11">
        <f>IF(K448="","",100-IF($G$13=1,50,(_xlfn.RANK.AVG(K448,$K$19:$K$1518,1)-1)/($G$13-1)*100))</f>
        <v/>
      </c>
      <c r="P448" s="11">
        <f>IF(L448="","",100-IF($G$14=1,50,(_xlfn.RANK.AVG(L448,$L$19:$L$1518,1)-1)/($G$14-1)*100))</f>
        <v/>
      </c>
      <c r="Q448" s="11">
        <f>IF(M448="","",IF($G$15=1,50,(_xlfn.RANK.AVG(M448,$M$19:$M$1518,1)-1)/($G$15-1)*100))</f>
        <v/>
      </c>
      <c r="R448" s="11">
        <f>IF(N448="","",IF($G$16=1,50,(_xlfn.RANK.AVG(N448,$N$19:$N$1518,1)-1)/($G$16-1)*100))</f>
        <v/>
      </c>
      <c r="S448" s="11">
        <f>IF(COUNT(O448:R448)=4,ROUND(AVERAGE(O448:R448),6),"")</f>
        <v/>
      </c>
      <c r="U448">
        <f>IF(AND(ISNUMBER('자료_한국심리'!$A432),ISNUMBER('자료_한국심리'!$B432)),'자료_한국심리'!$A432,"")</f>
        <v/>
      </c>
      <c r="V448">
        <f>IF(AND(ISNUMBER('자료_한국심리'!$D432),ISNUMBER('자료_한국심리'!$E432)),'자료_한국심리'!$D432,"")</f>
        <v/>
      </c>
      <c r="W448">
        <f>IF(AND(ISNUMBER('자료_한국심리'!$G432),ISNUMBER('자료_한국심리'!$H432)),'자료_한국심리'!$G432,"")</f>
        <v/>
      </c>
      <c r="X448">
        <f>IF(AND(ISNUMBER('자료_한국심리'!$J432),ISNUMBER('자료_한국심리'!$K432)),'자료_한국심리'!$J432,"")</f>
        <v/>
      </c>
      <c r="Y448">
        <f>IF(AND(ISNUMBER('자료_한국심리'!$M432),ISNUMBER('자료_한국심리'!$N432)),'자료_한국심리'!$M432,"")</f>
        <v/>
      </c>
    </row>
    <row r="449">
      <c r="A449" s="10">
        <f>IF(431&gt;$E$5,"",SMALL($U$19:$U$4018,$E$6+431))</f>
        <v/>
      </c>
      <c r="B449" s="29">
        <f>IF(A449="","",INDEX('자료_한국심리'!$B$3:$B$4002,MATCH(A449,$U$19:$U$4018,0)))</f>
        <v/>
      </c>
      <c r="C449" s="22">
        <f>IF(A449="","",B449/AVERAGE(B325:B449)-1)</f>
        <v/>
      </c>
      <c r="D449" s="29">
        <f>IF(A449="","",IFERROR(INDEX('자료_한국심리'!$E$3:$E$4002,MATCH(A449,$V$19:$V$4018,0)),D448))</f>
        <v/>
      </c>
      <c r="E449" s="30">
        <f>IF(A449="","",IFERROR(INDEX('자료_한국심리'!$H$3:$H$4002,MATCH(A449,$W$19:$W$4018,0)),E448))</f>
        <v/>
      </c>
      <c r="F449" s="30">
        <f>IF(A449="","",IFERROR(INDEX('자료_한국심리'!$K$3:$K$4002,MATCH(A449,$X$19:$X$4018,0)),F448))</f>
        <v/>
      </c>
      <c r="G449" s="30">
        <f>IF(AND(ISNUMBER(E449),ISNUMBER(F449)),ROUND(E449-F449,6),"")</f>
        <v/>
      </c>
      <c r="H449" s="25">
        <f>IF(A449="","",IFERROR(INDEX('자료_한국심리'!$N$3:$N$4002,MATCH(A449,$Y$19:$Y$4018,0)),H448))</f>
        <v/>
      </c>
      <c r="I449" s="31">
        <f>IF(AND(ISNUMBER(H449),ISNUMBER(H429)),IF(H429&gt;0,H449/H429-1,""),"")</f>
        <v/>
      </c>
      <c r="J449">
        <f>IF(A449="",0,IF(A449&gt;$B$5,1,0))</f>
        <v/>
      </c>
      <c r="K449" s="29">
        <f>IF(AND(J449=1,ISNUMBER(D449)),D449,"")</f>
        <v/>
      </c>
      <c r="L449" s="30">
        <f>IF(AND(J449=1,ISNUMBER(G449)),G449,"")</f>
        <v/>
      </c>
      <c r="M449" s="22">
        <f>IF(AND(J449=1,ISNUMBER(C449)),C449,"")</f>
        <v/>
      </c>
      <c r="N449" s="31">
        <f>IF(AND(J449=1,ISNUMBER(I449)),I449,"")</f>
        <v/>
      </c>
      <c r="O449" s="11">
        <f>IF(K449="","",100-IF($G$13=1,50,(_xlfn.RANK.AVG(K449,$K$19:$K$1518,1)-1)/($G$13-1)*100))</f>
        <v/>
      </c>
      <c r="P449" s="11">
        <f>IF(L449="","",100-IF($G$14=1,50,(_xlfn.RANK.AVG(L449,$L$19:$L$1518,1)-1)/($G$14-1)*100))</f>
        <v/>
      </c>
      <c r="Q449" s="11">
        <f>IF(M449="","",IF($G$15=1,50,(_xlfn.RANK.AVG(M449,$M$19:$M$1518,1)-1)/($G$15-1)*100))</f>
        <v/>
      </c>
      <c r="R449" s="11">
        <f>IF(N449="","",IF($G$16=1,50,(_xlfn.RANK.AVG(N449,$N$19:$N$1518,1)-1)/($G$16-1)*100))</f>
        <v/>
      </c>
      <c r="S449" s="11">
        <f>IF(COUNT(O449:R449)=4,ROUND(AVERAGE(O449:R449),6),"")</f>
        <v/>
      </c>
      <c r="U449">
        <f>IF(AND(ISNUMBER('자료_한국심리'!$A433),ISNUMBER('자료_한국심리'!$B433)),'자료_한국심리'!$A433,"")</f>
        <v/>
      </c>
      <c r="V449">
        <f>IF(AND(ISNUMBER('자료_한국심리'!$D433),ISNUMBER('자료_한국심리'!$E433)),'자료_한국심리'!$D433,"")</f>
        <v/>
      </c>
      <c r="W449">
        <f>IF(AND(ISNUMBER('자료_한국심리'!$G433),ISNUMBER('자료_한국심리'!$H433)),'자료_한국심리'!$G433,"")</f>
        <v/>
      </c>
      <c r="X449">
        <f>IF(AND(ISNUMBER('자료_한국심리'!$J433),ISNUMBER('자료_한국심리'!$K433)),'자료_한국심리'!$J433,"")</f>
        <v/>
      </c>
      <c r="Y449">
        <f>IF(AND(ISNUMBER('자료_한국심리'!$M433),ISNUMBER('자료_한국심리'!$N433)),'자료_한국심리'!$M433,"")</f>
        <v/>
      </c>
    </row>
    <row r="450">
      <c r="A450" s="10">
        <f>IF(432&gt;$E$5,"",SMALL($U$19:$U$4018,$E$6+432))</f>
        <v/>
      </c>
      <c r="B450" s="29">
        <f>IF(A450="","",INDEX('자료_한국심리'!$B$3:$B$4002,MATCH(A450,$U$19:$U$4018,0)))</f>
        <v/>
      </c>
      <c r="C450" s="22">
        <f>IF(A450="","",B450/AVERAGE(B326:B450)-1)</f>
        <v/>
      </c>
      <c r="D450" s="29">
        <f>IF(A450="","",IFERROR(INDEX('자료_한국심리'!$E$3:$E$4002,MATCH(A450,$V$19:$V$4018,0)),D449))</f>
        <v/>
      </c>
      <c r="E450" s="30">
        <f>IF(A450="","",IFERROR(INDEX('자료_한국심리'!$H$3:$H$4002,MATCH(A450,$W$19:$W$4018,0)),E449))</f>
        <v/>
      </c>
      <c r="F450" s="30">
        <f>IF(A450="","",IFERROR(INDEX('자료_한국심리'!$K$3:$K$4002,MATCH(A450,$X$19:$X$4018,0)),F449))</f>
        <v/>
      </c>
      <c r="G450" s="30">
        <f>IF(AND(ISNUMBER(E450),ISNUMBER(F450)),ROUND(E450-F450,6),"")</f>
        <v/>
      </c>
      <c r="H450" s="25">
        <f>IF(A450="","",IFERROR(INDEX('자료_한국심리'!$N$3:$N$4002,MATCH(A450,$Y$19:$Y$4018,0)),H449))</f>
        <v/>
      </c>
      <c r="I450" s="31">
        <f>IF(AND(ISNUMBER(H450),ISNUMBER(H430)),IF(H430&gt;0,H450/H430-1,""),"")</f>
        <v/>
      </c>
      <c r="J450">
        <f>IF(A450="",0,IF(A450&gt;$B$5,1,0))</f>
        <v/>
      </c>
      <c r="K450" s="29">
        <f>IF(AND(J450=1,ISNUMBER(D450)),D450,"")</f>
        <v/>
      </c>
      <c r="L450" s="30">
        <f>IF(AND(J450=1,ISNUMBER(G450)),G450,"")</f>
        <v/>
      </c>
      <c r="M450" s="22">
        <f>IF(AND(J450=1,ISNUMBER(C450)),C450,"")</f>
        <v/>
      </c>
      <c r="N450" s="31">
        <f>IF(AND(J450=1,ISNUMBER(I450)),I450,"")</f>
        <v/>
      </c>
      <c r="O450" s="11">
        <f>IF(K450="","",100-IF($G$13=1,50,(_xlfn.RANK.AVG(K450,$K$19:$K$1518,1)-1)/($G$13-1)*100))</f>
        <v/>
      </c>
      <c r="P450" s="11">
        <f>IF(L450="","",100-IF($G$14=1,50,(_xlfn.RANK.AVG(L450,$L$19:$L$1518,1)-1)/($G$14-1)*100))</f>
        <v/>
      </c>
      <c r="Q450" s="11">
        <f>IF(M450="","",IF($G$15=1,50,(_xlfn.RANK.AVG(M450,$M$19:$M$1518,1)-1)/($G$15-1)*100))</f>
        <v/>
      </c>
      <c r="R450" s="11">
        <f>IF(N450="","",IF($G$16=1,50,(_xlfn.RANK.AVG(N450,$N$19:$N$1518,1)-1)/($G$16-1)*100))</f>
        <v/>
      </c>
      <c r="S450" s="11">
        <f>IF(COUNT(O450:R450)=4,ROUND(AVERAGE(O450:R450),6),"")</f>
        <v/>
      </c>
      <c r="U450">
        <f>IF(AND(ISNUMBER('자료_한국심리'!$A434),ISNUMBER('자료_한국심리'!$B434)),'자료_한국심리'!$A434,"")</f>
        <v/>
      </c>
      <c r="V450">
        <f>IF(AND(ISNUMBER('자료_한국심리'!$D434),ISNUMBER('자료_한국심리'!$E434)),'자료_한국심리'!$D434,"")</f>
        <v/>
      </c>
      <c r="W450">
        <f>IF(AND(ISNUMBER('자료_한국심리'!$G434),ISNUMBER('자료_한국심리'!$H434)),'자료_한국심리'!$G434,"")</f>
        <v/>
      </c>
      <c r="X450">
        <f>IF(AND(ISNUMBER('자료_한국심리'!$J434),ISNUMBER('자료_한국심리'!$K434)),'자료_한국심리'!$J434,"")</f>
        <v/>
      </c>
      <c r="Y450">
        <f>IF(AND(ISNUMBER('자료_한국심리'!$M434),ISNUMBER('자료_한국심리'!$N434)),'자료_한국심리'!$M434,"")</f>
        <v/>
      </c>
    </row>
    <row r="451">
      <c r="A451" s="10">
        <f>IF(433&gt;$E$5,"",SMALL($U$19:$U$4018,$E$6+433))</f>
        <v/>
      </c>
      <c r="B451" s="29">
        <f>IF(A451="","",INDEX('자료_한국심리'!$B$3:$B$4002,MATCH(A451,$U$19:$U$4018,0)))</f>
        <v/>
      </c>
      <c r="C451" s="22">
        <f>IF(A451="","",B451/AVERAGE(B327:B451)-1)</f>
        <v/>
      </c>
      <c r="D451" s="29">
        <f>IF(A451="","",IFERROR(INDEX('자료_한국심리'!$E$3:$E$4002,MATCH(A451,$V$19:$V$4018,0)),D450))</f>
        <v/>
      </c>
      <c r="E451" s="30">
        <f>IF(A451="","",IFERROR(INDEX('자료_한국심리'!$H$3:$H$4002,MATCH(A451,$W$19:$W$4018,0)),E450))</f>
        <v/>
      </c>
      <c r="F451" s="30">
        <f>IF(A451="","",IFERROR(INDEX('자료_한국심리'!$K$3:$K$4002,MATCH(A451,$X$19:$X$4018,0)),F450))</f>
        <v/>
      </c>
      <c r="G451" s="30">
        <f>IF(AND(ISNUMBER(E451),ISNUMBER(F451)),ROUND(E451-F451,6),"")</f>
        <v/>
      </c>
      <c r="H451" s="25">
        <f>IF(A451="","",IFERROR(INDEX('자료_한국심리'!$N$3:$N$4002,MATCH(A451,$Y$19:$Y$4018,0)),H450))</f>
        <v/>
      </c>
      <c r="I451" s="31">
        <f>IF(AND(ISNUMBER(H451),ISNUMBER(H431)),IF(H431&gt;0,H451/H431-1,""),"")</f>
        <v/>
      </c>
      <c r="J451">
        <f>IF(A451="",0,IF(A451&gt;$B$5,1,0))</f>
        <v/>
      </c>
      <c r="K451" s="29">
        <f>IF(AND(J451=1,ISNUMBER(D451)),D451,"")</f>
        <v/>
      </c>
      <c r="L451" s="30">
        <f>IF(AND(J451=1,ISNUMBER(G451)),G451,"")</f>
        <v/>
      </c>
      <c r="M451" s="22">
        <f>IF(AND(J451=1,ISNUMBER(C451)),C451,"")</f>
        <v/>
      </c>
      <c r="N451" s="31">
        <f>IF(AND(J451=1,ISNUMBER(I451)),I451,"")</f>
        <v/>
      </c>
      <c r="O451" s="11">
        <f>IF(K451="","",100-IF($G$13=1,50,(_xlfn.RANK.AVG(K451,$K$19:$K$1518,1)-1)/($G$13-1)*100))</f>
        <v/>
      </c>
      <c r="P451" s="11">
        <f>IF(L451="","",100-IF($G$14=1,50,(_xlfn.RANK.AVG(L451,$L$19:$L$1518,1)-1)/($G$14-1)*100))</f>
        <v/>
      </c>
      <c r="Q451" s="11">
        <f>IF(M451="","",IF($G$15=1,50,(_xlfn.RANK.AVG(M451,$M$19:$M$1518,1)-1)/($G$15-1)*100))</f>
        <v/>
      </c>
      <c r="R451" s="11">
        <f>IF(N451="","",IF($G$16=1,50,(_xlfn.RANK.AVG(N451,$N$19:$N$1518,1)-1)/($G$16-1)*100))</f>
        <v/>
      </c>
      <c r="S451" s="11">
        <f>IF(COUNT(O451:R451)=4,ROUND(AVERAGE(O451:R451),6),"")</f>
        <v/>
      </c>
      <c r="U451">
        <f>IF(AND(ISNUMBER('자료_한국심리'!$A435),ISNUMBER('자료_한국심리'!$B435)),'자료_한국심리'!$A435,"")</f>
        <v/>
      </c>
      <c r="V451">
        <f>IF(AND(ISNUMBER('자료_한국심리'!$D435),ISNUMBER('자료_한국심리'!$E435)),'자료_한국심리'!$D435,"")</f>
        <v/>
      </c>
      <c r="W451">
        <f>IF(AND(ISNUMBER('자료_한국심리'!$G435),ISNUMBER('자료_한국심리'!$H435)),'자료_한국심리'!$G435,"")</f>
        <v/>
      </c>
      <c r="X451">
        <f>IF(AND(ISNUMBER('자료_한국심리'!$J435),ISNUMBER('자료_한국심리'!$K435)),'자료_한국심리'!$J435,"")</f>
        <v/>
      </c>
      <c r="Y451">
        <f>IF(AND(ISNUMBER('자료_한국심리'!$M435),ISNUMBER('자료_한국심리'!$N435)),'자료_한국심리'!$M435,"")</f>
        <v/>
      </c>
    </row>
    <row r="452">
      <c r="A452" s="10">
        <f>IF(434&gt;$E$5,"",SMALL($U$19:$U$4018,$E$6+434))</f>
        <v/>
      </c>
      <c r="B452" s="29">
        <f>IF(A452="","",INDEX('자료_한국심리'!$B$3:$B$4002,MATCH(A452,$U$19:$U$4018,0)))</f>
        <v/>
      </c>
      <c r="C452" s="22">
        <f>IF(A452="","",B452/AVERAGE(B328:B452)-1)</f>
        <v/>
      </c>
      <c r="D452" s="29">
        <f>IF(A452="","",IFERROR(INDEX('자료_한국심리'!$E$3:$E$4002,MATCH(A452,$V$19:$V$4018,0)),D451))</f>
        <v/>
      </c>
      <c r="E452" s="30">
        <f>IF(A452="","",IFERROR(INDEX('자료_한국심리'!$H$3:$H$4002,MATCH(A452,$W$19:$W$4018,0)),E451))</f>
        <v/>
      </c>
      <c r="F452" s="30">
        <f>IF(A452="","",IFERROR(INDEX('자료_한국심리'!$K$3:$K$4002,MATCH(A452,$X$19:$X$4018,0)),F451))</f>
        <v/>
      </c>
      <c r="G452" s="30">
        <f>IF(AND(ISNUMBER(E452),ISNUMBER(F452)),ROUND(E452-F452,6),"")</f>
        <v/>
      </c>
      <c r="H452" s="25">
        <f>IF(A452="","",IFERROR(INDEX('자료_한국심리'!$N$3:$N$4002,MATCH(A452,$Y$19:$Y$4018,0)),H451))</f>
        <v/>
      </c>
      <c r="I452" s="31">
        <f>IF(AND(ISNUMBER(H452),ISNUMBER(H432)),IF(H432&gt;0,H452/H432-1,""),"")</f>
        <v/>
      </c>
      <c r="J452">
        <f>IF(A452="",0,IF(A452&gt;$B$5,1,0))</f>
        <v/>
      </c>
      <c r="K452" s="29">
        <f>IF(AND(J452=1,ISNUMBER(D452)),D452,"")</f>
        <v/>
      </c>
      <c r="L452" s="30">
        <f>IF(AND(J452=1,ISNUMBER(G452)),G452,"")</f>
        <v/>
      </c>
      <c r="M452" s="22">
        <f>IF(AND(J452=1,ISNUMBER(C452)),C452,"")</f>
        <v/>
      </c>
      <c r="N452" s="31">
        <f>IF(AND(J452=1,ISNUMBER(I452)),I452,"")</f>
        <v/>
      </c>
      <c r="O452" s="11">
        <f>IF(K452="","",100-IF($G$13=1,50,(_xlfn.RANK.AVG(K452,$K$19:$K$1518,1)-1)/($G$13-1)*100))</f>
        <v/>
      </c>
      <c r="P452" s="11">
        <f>IF(L452="","",100-IF($G$14=1,50,(_xlfn.RANK.AVG(L452,$L$19:$L$1518,1)-1)/($G$14-1)*100))</f>
        <v/>
      </c>
      <c r="Q452" s="11">
        <f>IF(M452="","",IF($G$15=1,50,(_xlfn.RANK.AVG(M452,$M$19:$M$1518,1)-1)/($G$15-1)*100))</f>
        <v/>
      </c>
      <c r="R452" s="11">
        <f>IF(N452="","",IF($G$16=1,50,(_xlfn.RANK.AVG(N452,$N$19:$N$1518,1)-1)/($G$16-1)*100))</f>
        <v/>
      </c>
      <c r="S452" s="11">
        <f>IF(COUNT(O452:R452)=4,ROUND(AVERAGE(O452:R452),6),"")</f>
        <v/>
      </c>
      <c r="U452">
        <f>IF(AND(ISNUMBER('자료_한국심리'!$A436),ISNUMBER('자료_한국심리'!$B436)),'자료_한국심리'!$A436,"")</f>
        <v/>
      </c>
      <c r="V452">
        <f>IF(AND(ISNUMBER('자료_한국심리'!$D436),ISNUMBER('자료_한국심리'!$E436)),'자료_한국심리'!$D436,"")</f>
        <v/>
      </c>
      <c r="W452">
        <f>IF(AND(ISNUMBER('자료_한국심리'!$G436),ISNUMBER('자료_한국심리'!$H436)),'자료_한국심리'!$G436,"")</f>
        <v/>
      </c>
      <c r="X452">
        <f>IF(AND(ISNUMBER('자료_한국심리'!$J436),ISNUMBER('자료_한국심리'!$K436)),'자료_한국심리'!$J436,"")</f>
        <v/>
      </c>
      <c r="Y452">
        <f>IF(AND(ISNUMBER('자료_한국심리'!$M436),ISNUMBER('자료_한국심리'!$N436)),'자료_한국심리'!$M436,"")</f>
        <v/>
      </c>
    </row>
    <row r="453">
      <c r="A453" s="10">
        <f>IF(435&gt;$E$5,"",SMALL($U$19:$U$4018,$E$6+435))</f>
        <v/>
      </c>
      <c r="B453" s="29">
        <f>IF(A453="","",INDEX('자료_한국심리'!$B$3:$B$4002,MATCH(A453,$U$19:$U$4018,0)))</f>
        <v/>
      </c>
      <c r="C453" s="22">
        <f>IF(A453="","",B453/AVERAGE(B329:B453)-1)</f>
        <v/>
      </c>
      <c r="D453" s="29">
        <f>IF(A453="","",IFERROR(INDEX('자료_한국심리'!$E$3:$E$4002,MATCH(A453,$V$19:$V$4018,0)),D452))</f>
        <v/>
      </c>
      <c r="E453" s="30">
        <f>IF(A453="","",IFERROR(INDEX('자료_한국심리'!$H$3:$H$4002,MATCH(A453,$W$19:$W$4018,0)),E452))</f>
        <v/>
      </c>
      <c r="F453" s="30">
        <f>IF(A453="","",IFERROR(INDEX('자료_한국심리'!$K$3:$K$4002,MATCH(A453,$X$19:$X$4018,0)),F452))</f>
        <v/>
      </c>
      <c r="G453" s="30">
        <f>IF(AND(ISNUMBER(E453),ISNUMBER(F453)),ROUND(E453-F453,6),"")</f>
        <v/>
      </c>
      <c r="H453" s="25">
        <f>IF(A453="","",IFERROR(INDEX('자료_한국심리'!$N$3:$N$4002,MATCH(A453,$Y$19:$Y$4018,0)),H452))</f>
        <v/>
      </c>
      <c r="I453" s="31">
        <f>IF(AND(ISNUMBER(H453),ISNUMBER(H433)),IF(H433&gt;0,H453/H433-1,""),"")</f>
        <v/>
      </c>
      <c r="J453">
        <f>IF(A453="",0,IF(A453&gt;$B$5,1,0))</f>
        <v/>
      </c>
      <c r="K453" s="29">
        <f>IF(AND(J453=1,ISNUMBER(D453)),D453,"")</f>
        <v/>
      </c>
      <c r="L453" s="30">
        <f>IF(AND(J453=1,ISNUMBER(G453)),G453,"")</f>
        <v/>
      </c>
      <c r="M453" s="22">
        <f>IF(AND(J453=1,ISNUMBER(C453)),C453,"")</f>
        <v/>
      </c>
      <c r="N453" s="31">
        <f>IF(AND(J453=1,ISNUMBER(I453)),I453,"")</f>
        <v/>
      </c>
      <c r="O453" s="11">
        <f>IF(K453="","",100-IF($G$13=1,50,(_xlfn.RANK.AVG(K453,$K$19:$K$1518,1)-1)/($G$13-1)*100))</f>
        <v/>
      </c>
      <c r="P453" s="11">
        <f>IF(L453="","",100-IF($G$14=1,50,(_xlfn.RANK.AVG(L453,$L$19:$L$1518,1)-1)/($G$14-1)*100))</f>
        <v/>
      </c>
      <c r="Q453" s="11">
        <f>IF(M453="","",IF($G$15=1,50,(_xlfn.RANK.AVG(M453,$M$19:$M$1518,1)-1)/($G$15-1)*100))</f>
        <v/>
      </c>
      <c r="R453" s="11">
        <f>IF(N453="","",IF($G$16=1,50,(_xlfn.RANK.AVG(N453,$N$19:$N$1518,1)-1)/($G$16-1)*100))</f>
        <v/>
      </c>
      <c r="S453" s="11">
        <f>IF(COUNT(O453:R453)=4,ROUND(AVERAGE(O453:R453),6),"")</f>
        <v/>
      </c>
      <c r="U453">
        <f>IF(AND(ISNUMBER('자료_한국심리'!$A437),ISNUMBER('자료_한국심리'!$B437)),'자료_한국심리'!$A437,"")</f>
        <v/>
      </c>
      <c r="V453">
        <f>IF(AND(ISNUMBER('자료_한국심리'!$D437),ISNUMBER('자료_한국심리'!$E437)),'자료_한국심리'!$D437,"")</f>
        <v/>
      </c>
      <c r="W453">
        <f>IF(AND(ISNUMBER('자료_한국심리'!$G437),ISNUMBER('자료_한국심리'!$H437)),'자료_한국심리'!$G437,"")</f>
        <v/>
      </c>
      <c r="X453">
        <f>IF(AND(ISNUMBER('자료_한국심리'!$J437),ISNUMBER('자료_한국심리'!$K437)),'자료_한국심리'!$J437,"")</f>
        <v/>
      </c>
      <c r="Y453">
        <f>IF(AND(ISNUMBER('자료_한국심리'!$M437),ISNUMBER('자료_한국심리'!$N437)),'자료_한국심리'!$M437,"")</f>
        <v/>
      </c>
    </row>
    <row r="454">
      <c r="A454" s="10">
        <f>IF(436&gt;$E$5,"",SMALL($U$19:$U$4018,$E$6+436))</f>
        <v/>
      </c>
      <c r="B454" s="29">
        <f>IF(A454="","",INDEX('자료_한국심리'!$B$3:$B$4002,MATCH(A454,$U$19:$U$4018,0)))</f>
        <v/>
      </c>
      <c r="C454" s="22">
        <f>IF(A454="","",B454/AVERAGE(B330:B454)-1)</f>
        <v/>
      </c>
      <c r="D454" s="29">
        <f>IF(A454="","",IFERROR(INDEX('자료_한국심리'!$E$3:$E$4002,MATCH(A454,$V$19:$V$4018,0)),D453))</f>
        <v/>
      </c>
      <c r="E454" s="30">
        <f>IF(A454="","",IFERROR(INDEX('자료_한국심리'!$H$3:$H$4002,MATCH(A454,$W$19:$W$4018,0)),E453))</f>
        <v/>
      </c>
      <c r="F454" s="30">
        <f>IF(A454="","",IFERROR(INDEX('자료_한국심리'!$K$3:$K$4002,MATCH(A454,$X$19:$X$4018,0)),F453))</f>
        <v/>
      </c>
      <c r="G454" s="30">
        <f>IF(AND(ISNUMBER(E454),ISNUMBER(F454)),ROUND(E454-F454,6),"")</f>
        <v/>
      </c>
      <c r="H454" s="25">
        <f>IF(A454="","",IFERROR(INDEX('자료_한국심리'!$N$3:$N$4002,MATCH(A454,$Y$19:$Y$4018,0)),H453))</f>
        <v/>
      </c>
      <c r="I454" s="31">
        <f>IF(AND(ISNUMBER(H454),ISNUMBER(H434)),IF(H434&gt;0,H454/H434-1,""),"")</f>
        <v/>
      </c>
      <c r="J454">
        <f>IF(A454="",0,IF(A454&gt;$B$5,1,0))</f>
        <v/>
      </c>
      <c r="K454" s="29">
        <f>IF(AND(J454=1,ISNUMBER(D454)),D454,"")</f>
        <v/>
      </c>
      <c r="L454" s="30">
        <f>IF(AND(J454=1,ISNUMBER(G454)),G454,"")</f>
        <v/>
      </c>
      <c r="M454" s="22">
        <f>IF(AND(J454=1,ISNUMBER(C454)),C454,"")</f>
        <v/>
      </c>
      <c r="N454" s="31">
        <f>IF(AND(J454=1,ISNUMBER(I454)),I454,"")</f>
        <v/>
      </c>
      <c r="O454" s="11">
        <f>IF(K454="","",100-IF($G$13=1,50,(_xlfn.RANK.AVG(K454,$K$19:$K$1518,1)-1)/($G$13-1)*100))</f>
        <v/>
      </c>
      <c r="P454" s="11">
        <f>IF(L454="","",100-IF($G$14=1,50,(_xlfn.RANK.AVG(L454,$L$19:$L$1518,1)-1)/($G$14-1)*100))</f>
        <v/>
      </c>
      <c r="Q454" s="11">
        <f>IF(M454="","",IF($G$15=1,50,(_xlfn.RANK.AVG(M454,$M$19:$M$1518,1)-1)/($G$15-1)*100))</f>
        <v/>
      </c>
      <c r="R454" s="11">
        <f>IF(N454="","",IF($G$16=1,50,(_xlfn.RANK.AVG(N454,$N$19:$N$1518,1)-1)/($G$16-1)*100))</f>
        <v/>
      </c>
      <c r="S454" s="11">
        <f>IF(COUNT(O454:R454)=4,ROUND(AVERAGE(O454:R454),6),"")</f>
        <v/>
      </c>
      <c r="U454">
        <f>IF(AND(ISNUMBER('자료_한국심리'!$A438),ISNUMBER('자료_한국심리'!$B438)),'자료_한국심리'!$A438,"")</f>
        <v/>
      </c>
      <c r="V454">
        <f>IF(AND(ISNUMBER('자료_한국심리'!$D438),ISNUMBER('자료_한국심리'!$E438)),'자료_한국심리'!$D438,"")</f>
        <v/>
      </c>
      <c r="W454">
        <f>IF(AND(ISNUMBER('자료_한국심리'!$G438),ISNUMBER('자료_한국심리'!$H438)),'자료_한국심리'!$G438,"")</f>
        <v/>
      </c>
      <c r="X454">
        <f>IF(AND(ISNUMBER('자료_한국심리'!$J438),ISNUMBER('자료_한국심리'!$K438)),'자료_한국심리'!$J438,"")</f>
        <v/>
      </c>
      <c r="Y454">
        <f>IF(AND(ISNUMBER('자료_한국심리'!$M438),ISNUMBER('자료_한국심리'!$N438)),'자료_한국심리'!$M438,"")</f>
        <v/>
      </c>
    </row>
    <row r="455">
      <c r="A455" s="10">
        <f>IF(437&gt;$E$5,"",SMALL($U$19:$U$4018,$E$6+437))</f>
        <v/>
      </c>
      <c r="B455" s="29">
        <f>IF(A455="","",INDEX('자료_한국심리'!$B$3:$B$4002,MATCH(A455,$U$19:$U$4018,0)))</f>
        <v/>
      </c>
      <c r="C455" s="22">
        <f>IF(A455="","",B455/AVERAGE(B331:B455)-1)</f>
        <v/>
      </c>
      <c r="D455" s="29">
        <f>IF(A455="","",IFERROR(INDEX('자료_한국심리'!$E$3:$E$4002,MATCH(A455,$V$19:$V$4018,0)),D454))</f>
        <v/>
      </c>
      <c r="E455" s="30">
        <f>IF(A455="","",IFERROR(INDEX('자료_한국심리'!$H$3:$H$4002,MATCH(A455,$W$19:$W$4018,0)),E454))</f>
        <v/>
      </c>
      <c r="F455" s="30">
        <f>IF(A455="","",IFERROR(INDEX('자료_한국심리'!$K$3:$K$4002,MATCH(A455,$X$19:$X$4018,0)),F454))</f>
        <v/>
      </c>
      <c r="G455" s="30">
        <f>IF(AND(ISNUMBER(E455),ISNUMBER(F455)),ROUND(E455-F455,6),"")</f>
        <v/>
      </c>
      <c r="H455" s="25">
        <f>IF(A455="","",IFERROR(INDEX('자료_한국심리'!$N$3:$N$4002,MATCH(A455,$Y$19:$Y$4018,0)),H454))</f>
        <v/>
      </c>
      <c r="I455" s="31">
        <f>IF(AND(ISNUMBER(H455),ISNUMBER(H435)),IF(H435&gt;0,H455/H435-1,""),"")</f>
        <v/>
      </c>
      <c r="J455">
        <f>IF(A455="",0,IF(A455&gt;$B$5,1,0))</f>
        <v/>
      </c>
      <c r="K455" s="29">
        <f>IF(AND(J455=1,ISNUMBER(D455)),D455,"")</f>
        <v/>
      </c>
      <c r="L455" s="30">
        <f>IF(AND(J455=1,ISNUMBER(G455)),G455,"")</f>
        <v/>
      </c>
      <c r="M455" s="22">
        <f>IF(AND(J455=1,ISNUMBER(C455)),C455,"")</f>
        <v/>
      </c>
      <c r="N455" s="31">
        <f>IF(AND(J455=1,ISNUMBER(I455)),I455,"")</f>
        <v/>
      </c>
      <c r="O455" s="11">
        <f>IF(K455="","",100-IF($G$13=1,50,(_xlfn.RANK.AVG(K455,$K$19:$K$1518,1)-1)/($G$13-1)*100))</f>
        <v/>
      </c>
      <c r="P455" s="11">
        <f>IF(L455="","",100-IF($G$14=1,50,(_xlfn.RANK.AVG(L455,$L$19:$L$1518,1)-1)/($G$14-1)*100))</f>
        <v/>
      </c>
      <c r="Q455" s="11">
        <f>IF(M455="","",IF($G$15=1,50,(_xlfn.RANK.AVG(M455,$M$19:$M$1518,1)-1)/($G$15-1)*100))</f>
        <v/>
      </c>
      <c r="R455" s="11">
        <f>IF(N455="","",IF($G$16=1,50,(_xlfn.RANK.AVG(N455,$N$19:$N$1518,1)-1)/($G$16-1)*100))</f>
        <v/>
      </c>
      <c r="S455" s="11">
        <f>IF(COUNT(O455:R455)=4,ROUND(AVERAGE(O455:R455),6),"")</f>
        <v/>
      </c>
      <c r="U455">
        <f>IF(AND(ISNUMBER('자료_한국심리'!$A439),ISNUMBER('자료_한국심리'!$B439)),'자료_한국심리'!$A439,"")</f>
        <v/>
      </c>
      <c r="V455">
        <f>IF(AND(ISNUMBER('자료_한국심리'!$D439),ISNUMBER('자료_한국심리'!$E439)),'자료_한국심리'!$D439,"")</f>
        <v/>
      </c>
      <c r="W455">
        <f>IF(AND(ISNUMBER('자료_한국심리'!$G439),ISNUMBER('자료_한국심리'!$H439)),'자료_한국심리'!$G439,"")</f>
        <v/>
      </c>
      <c r="X455">
        <f>IF(AND(ISNUMBER('자료_한국심리'!$J439),ISNUMBER('자료_한국심리'!$K439)),'자료_한국심리'!$J439,"")</f>
        <v/>
      </c>
      <c r="Y455">
        <f>IF(AND(ISNUMBER('자료_한국심리'!$M439),ISNUMBER('자료_한국심리'!$N439)),'자료_한국심리'!$M439,"")</f>
        <v/>
      </c>
    </row>
    <row r="456">
      <c r="A456" s="10">
        <f>IF(438&gt;$E$5,"",SMALL($U$19:$U$4018,$E$6+438))</f>
        <v/>
      </c>
      <c r="B456" s="29">
        <f>IF(A456="","",INDEX('자료_한국심리'!$B$3:$B$4002,MATCH(A456,$U$19:$U$4018,0)))</f>
        <v/>
      </c>
      <c r="C456" s="22">
        <f>IF(A456="","",B456/AVERAGE(B332:B456)-1)</f>
        <v/>
      </c>
      <c r="D456" s="29">
        <f>IF(A456="","",IFERROR(INDEX('자료_한국심리'!$E$3:$E$4002,MATCH(A456,$V$19:$V$4018,0)),D455))</f>
        <v/>
      </c>
      <c r="E456" s="30">
        <f>IF(A456="","",IFERROR(INDEX('자료_한국심리'!$H$3:$H$4002,MATCH(A456,$W$19:$W$4018,0)),E455))</f>
        <v/>
      </c>
      <c r="F456" s="30">
        <f>IF(A456="","",IFERROR(INDEX('자료_한국심리'!$K$3:$K$4002,MATCH(A456,$X$19:$X$4018,0)),F455))</f>
        <v/>
      </c>
      <c r="G456" s="30">
        <f>IF(AND(ISNUMBER(E456),ISNUMBER(F456)),ROUND(E456-F456,6),"")</f>
        <v/>
      </c>
      <c r="H456" s="25">
        <f>IF(A456="","",IFERROR(INDEX('자료_한국심리'!$N$3:$N$4002,MATCH(A456,$Y$19:$Y$4018,0)),H455))</f>
        <v/>
      </c>
      <c r="I456" s="31">
        <f>IF(AND(ISNUMBER(H456),ISNUMBER(H436)),IF(H436&gt;0,H456/H436-1,""),"")</f>
        <v/>
      </c>
      <c r="J456">
        <f>IF(A456="",0,IF(A456&gt;$B$5,1,0))</f>
        <v/>
      </c>
      <c r="K456" s="29">
        <f>IF(AND(J456=1,ISNUMBER(D456)),D456,"")</f>
        <v/>
      </c>
      <c r="L456" s="30">
        <f>IF(AND(J456=1,ISNUMBER(G456)),G456,"")</f>
        <v/>
      </c>
      <c r="M456" s="22">
        <f>IF(AND(J456=1,ISNUMBER(C456)),C456,"")</f>
        <v/>
      </c>
      <c r="N456" s="31">
        <f>IF(AND(J456=1,ISNUMBER(I456)),I456,"")</f>
        <v/>
      </c>
      <c r="O456" s="11">
        <f>IF(K456="","",100-IF($G$13=1,50,(_xlfn.RANK.AVG(K456,$K$19:$K$1518,1)-1)/($G$13-1)*100))</f>
        <v/>
      </c>
      <c r="P456" s="11">
        <f>IF(L456="","",100-IF($G$14=1,50,(_xlfn.RANK.AVG(L456,$L$19:$L$1518,1)-1)/($G$14-1)*100))</f>
        <v/>
      </c>
      <c r="Q456" s="11">
        <f>IF(M456="","",IF($G$15=1,50,(_xlfn.RANK.AVG(M456,$M$19:$M$1518,1)-1)/($G$15-1)*100))</f>
        <v/>
      </c>
      <c r="R456" s="11">
        <f>IF(N456="","",IF($G$16=1,50,(_xlfn.RANK.AVG(N456,$N$19:$N$1518,1)-1)/($G$16-1)*100))</f>
        <v/>
      </c>
      <c r="S456" s="11">
        <f>IF(COUNT(O456:R456)=4,ROUND(AVERAGE(O456:R456),6),"")</f>
        <v/>
      </c>
      <c r="U456">
        <f>IF(AND(ISNUMBER('자료_한국심리'!$A440),ISNUMBER('자료_한국심리'!$B440)),'자료_한국심리'!$A440,"")</f>
        <v/>
      </c>
      <c r="V456">
        <f>IF(AND(ISNUMBER('자료_한국심리'!$D440),ISNUMBER('자료_한국심리'!$E440)),'자료_한국심리'!$D440,"")</f>
        <v/>
      </c>
      <c r="W456">
        <f>IF(AND(ISNUMBER('자료_한국심리'!$G440),ISNUMBER('자료_한국심리'!$H440)),'자료_한국심리'!$G440,"")</f>
        <v/>
      </c>
      <c r="X456">
        <f>IF(AND(ISNUMBER('자료_한국심리'!$J440),ISNUMBER('자료_한국심리'!$K440)),'자료_한국심리'!$J440,"")</f>
        <v/>
      </c>
      <c r="Y456">
        <f>IF(AND(ISNUMBER('자료_한국심리'!$M440),ISNUMBER('자료_한국심리'!$N440)),'자료_한국심리'!$M440,"")</f>
        <v/>
      </c>
    </row>
    <row r="457">
      <c r="A457" s="10">
        <f>IF(439&gt;$E$5,"",SMALL($U$19:$U$4018,$E$6+439))</f>
        <v/>
      </c>
      <c r="B457" s="29">
        <f>IF(A457="","",INDEX('자료_한국심리'!$B$3:$B$4002,MATCH(A457,$U$19:$U$4018,0)))</f>
        <v/>
      </c>
      <c r="C457" s="22">
        <f>IF(A457="","",B457/AVERAGE(B333:B457)-1)</f>
        <v/>
      </c>
      <c r="D457" s="29">
        <f>IF(A457="","",IFERROR(INDEX('자료_한국심리'!$E$3:$E$4002,MATCH(A457,$V$19:$V$4018,0)),D456))</f>
        <v/>
      </c>
      <c r="E457" s="30">
        <f>IF(A457="","",IFERROR(INDEX('자료_한국심리'!$H$3:$H$4002,MATCH(A457,$W$19:$W$4018,0)),E456))</f>
        <v/>
      </c>
      <c r="F457" s="30">
        <f>IF(A457="","",IFERROR(INDEX('자료_한국심리'!$K$3:$K$4002,MATCH(A457,$X$19:$X$4018,0)),F456))</f>
        <v/>
      </c>
      <c r="G457" s="30">
        <f>IF(AND(ISNUMBER(E457),ISNUMBER(F457)),ROUND(E457-F457,6),"")</f>
        <v/>
      </c>
      <c r="H457" s="25">
        <f>IF(A457="","",IFERROR(INDEX('자료_한국심리'!$N$3:$N$4002,MATCH(A457,$Y$19:$Y$4018,0)),H456))</f>
        <v/>
      </c>
      <c r="I457" s="31">
        <f>IF(AND(ISNUMBER(H457),ISNUMBER(H437)),IF(H437&gt;0,H457/H437-1,""),"")</f>
        <v/>
      </c>
      <c r="J457">
        <f>IF(A457="",0,IF(A457&gt;$B$5,1,0))</f>
        <v/>
      </c>
      <c r="K457" s="29">
        <f>IF(AND(J457=1,ISNUMBER(D457)),D457,"")</f>
        <v/>
      </c>
      <c r="L457" s="30">
        <f>IF(AND(J457=1,ISNUMBER(G457)),G457,"")</f>
        <v/>
      </c>
      <c r="M457" s="22">
        <f>IF(AND(J457=1,ISNUMBER(C457)),C457,"")</f>
        <v/>
      </c>
      <c r="N457" s="31">
        <f>IF(AND(J457=1,ISNUMBER(I457)),I457,"")</f>
        <v/>
      </c>
      <c r="O457" s="11">
        <f>IF(K457="","",100-IF($G$13=1,50,(_xlfn.RANK.AVG(K457,$K$19:$K$1518,1)-1)/($G$13-1)*100))</f>
        <v/>
      </c>
      <c r="P457" s="11">
        <f>IF(L457="","",100-IF($G$14=1,50,(_xlfn.RANK.AVG(L457,$L$19:$L$1518,1)-1)/($G$14-1)*100))</f>
        <v/>
      </c>
      <c r="Q457" s="11">
        <f>IF(M457="","",IF($G$15=1,50,(_xlfn.RANK.AVG(M457,$M$19:$M$1518,1)-1)/($G$15-1)*100))</f>
        <v/>
      </c>
      <c r="R457" s="11">
        <f>IF(N457="","",IF($G$16=1,50,(_xlfn.RANK.AVG(N457,$N$19:$N$1518,1)-1)/($G$16-1)*100))</f>
        <v/>
      </c>
      <c r="S457" s="11">
        <f>IF(COUNT(O457:R457)=4,ROUND(AVERAGE(O457:R457),6),"")</f>
        <v/>
      </c>
      <c r="U457">
        <f>IF(AND(ISNUMBER('자료_한국심리'!$A441),ISNUMBER('자료_한국심리'!$B441)),'자료_한국심리'!$A441,"")</f>
        <v/>
      </c>
      <c r="V457">
        <f>IF(AND(ISNUMBER('자료_한국심리'!$D441),ISNUMBER('자료_한국심리'!$E441)),'자료_한국심리'!$D441,"")</f>
        <v/>
      </c>
      <c r="W457">
        <f>IF(AND(ISNUMBER('자료_한국심리'!$G441),ISNUMBER('자료_한국심리'!$H441)),'자료_한국심리'!$G441,"")</f>
        <v/>
      </c>
      <c r="X457">
        <f>IF(AND(ISNUMBER('자료_한국심리'!$J441),ISNUMBER('자료_한국심리'!$K441)),'자료_한국심리'!$J441,"")</f>
        <v/>
      </c>
      <c r="Y457">
        <f>IF(AND(ISNUMBER('자료_한국심리'!$M441),ISNUMBER('자료_한국심리'!$N441)),'자료_한국심리'!$M441,"")</f>
        <v/>
      </c>
    </row>
    <row r="458">
      <c r="A458" s="10">
        <f>IF(440&gt;$E$5,"",SMALL($U$19:$U$4018,$E$6+440))</f>
        <v/>
      </c>
      <c r="B458" s="29">
        <f>IF(A458="","",INDEX('자료_한국심리'!$B$3:$B$4002,MATCH(A458,$U$19:$U$4018,0)))</f>
        <v/>
      </c>
      <c r="C458" s="22">
        <f>IF(A458="","",B458/AVERAGE(B334:B458)-1)</f>
        <v/>
      </c>
      <c r="D458" s="29">
        <f>IF(A458="","",IFERROR(INDEX('자료_한국심리'!$E$3:$E$4002,MATCH(A458,$V$19:$V$4018,0)),D457))</f>
        <v/>
      </c>
      <c r="E458" s="30">
        <f>IF(A458="","",IFERROR(INDEX('자료_한국심리'!$H$3:$H$4002,MATCH(A458,$W$19:$W$4018,0)),E457))</f>
        <v/>
      </c>
      <c r="F458" s="30">
        <f>IF(A458="","",IFERROR(INDEX('자료_한국심리'!$K$3:$K$4002,MATCH(A458,$X$19:$X$4018,0)),F457))</f>
        <v/>
      </c>
      <c r="G458" s="30">
        <f>IF(AND(ISNUMBER(E458),ISNUMBER(F458)),ROUND(E458-F458,6),"")</f>
        <v/>
      </c>
      <c r="H458" s="25">
        <f>IF(A458="","",IFERROR(INDEX('자료_한국심리'!$N$3:$N$4002,MATCH(A458,$Y$19:$Y$4018,0)),H457))</f>
        <v/>
      </c>
      <c r="I458" s="31">
        <f>IF(AND(ISNUMBER(H458),ISNUMBER(H438)),IF(H438&gt;0,H458/H438-1,""),"")</f>
        <v/>
      </c>
      <c r="J458">
        <f>IF(A458="",0,IF(A458&gt;$B$5,1,0))</f>
        <v/>
      </c>
      <c r="K458" s="29">
        <f>IF(AND(J458=1,ISNUMBER(D458)),D458,"")</f>
        <v/>
      </c>
      <c r="L458" s="30">
        <f>IF(AND(J458=1,ISNUMBER(G458)),G458,"")</f>
        <v/>
      </c>
      <c r="M458" s="22">
        <f>IF(AND(J458=1,ISNUMBER(C458)),C458,"")</f>
        <v/>
      </c>
      <c r="N458" s="31">
        <f>IF(AND(J458=1,ISNUMBER(I458)),I458,"")</f>
        <v/>
      </c>
      <c r="O458" s="11">
        <f>IF(K458="","",100-IF($G$13=1,50,(_xlfn.RANK.AVG(K458,$K$19:$K$1518,1)-1)/($G$13-1)*100))</f>
        <v/>
      </c>
      <c r="P458" s="11">
        <f>IF(L458="","",100-IF($G$14=1,50,(_xlfn.RANK.AVG(L458,$L$19:$L$1518,1)-1)/($G$14-1)*100))</f>
        <v/>
      </c>
      <c r="Q458" s="11">
        <f>IF(M458="","",IF($G$15=1,50,(_xlfn.RANK.AVG(M458,$M$19:$M$1518,1)-1)/($G$15-1)*100))</f>
        <v/>
      </c>
      <c r="R458" s="11">
        <f>IF(N458="","",IF($G$16=1,50,(_xlfn.RANK.AVG(N458,$N$19:$N$1518,1)-1)/($G$16-1)*100))</f>
        <v/>
      </c>
      <c r="S458" s="11">
        <f>IF(COUNT(O458:R458)=4,ROUND(AVERAGE(O458:R458),6),"")</f>
        <v/>
      </c>
      <c r="U458">
        <f>IF(AND(ISNUMBER('자료_한국심리'!$A442),ISNUMBER('자료_한국심리'!$B442)),'자료_한국심리'!$A442,"")</f>
        <v/>
      </c>
      <c r="V458">
        <f>IF(AND(ISNUMBER('자료_한국심리'!$D442),ISNUMBER('자료_한국심리'!$E442)),'자료_한국심리'!$D442,"")</f>
        <v/>
      </c>
      <c r="W458">
        <f>IF(AND(ISNUMBER('자료_한국심리'!$G442),ISNUMBER('자료_한국심리'!$H442)),'자료_한국심리'!$G442,"")</f>
        <v/>
      </c>
      <c r="X458">
        <f>IF(AND(ISNUMBER('자료_한국심리'!$J442),ISNUMBER('자료_한국심리'!$K442)),'자료_한국심리'!$J442,"")</f>
        <v/>
      </c>
      <c r="Y458">
        <f>IF(AND(ISNUMBER('자료_한국심리'!$M442),ISNUMBER('자료_한국심리'!$N442)),'자료_한국심리'!$M442,"")</f>
        <v/>
      </c>
    </row>
    <row r="459">
      <c r="A459" s="10">
        <f>IF(441&gt;$E$5,"",SMALL($U$19:$U$4018,$E$6+441))</f>
        <v/>
      </c>
      <c r="B459" s="29">
        <f>IF(A459="","",INDEX('자료_한국심리'!$B$3:$B$4002,MATCH(A459,$U$19:$U$4018,0)))</f>
        <v/>
      </c>
      <c r="C459" s="22">
        <f>IF(A459="","",B459/AVERAGE(B335:B459)-1)</f>
        <v/>
      </c>
      <c r="D459" s="29">
        <f>IF(A459="","",IFERROR(INDEX('자료_한국심리'!$E$3:$E$4002,MATCH(A459,$V$19:$V$4018,0)),D458))</f>
        <v/>
      </c>
      <c r="E459" s="30">
        <f>IF(A459="","",IFERROR(INDEX('자료_한국심리'!$H$3:$H$4002,MATCH(A459,$W$19:$W$4018,0)),E458))</f>
        <v/>
      </c>
      <c r="F459" s="30">
        <f>IF(A459="","",IFERROR(INDEX('자료_한국심리'!$K$3:$K$4002,MATCH(A459,$X$19:$X$4018,0)),F458))</f>
        <v/>
      </c>
      <c r="G459" s="30">
        <f>IF(AND(ISNUMBER(E459),ISNUMBER(F459)),ROUND(E459-F459,6),"")</f>
        <v/>
      </c>
      <c r="H459" s="25">
        <f>IF(A459="","",IFERROR(INDEX('자료_한국심리'!$N$3:$N$4002,MATCH(A459,$Y$19:$Y$4018,0)),H458))</f>
        <v/>
      </c>
      <c r="I459" s="31">
        <f>IF(AND(ISNUMBER(H459),ISNUMBER(H439)),IF(H439&gt;0,H459/H439-1,""),"")</f>
        <v/>
      </c>
      <c r="J459">
        <f>IF(A459="",0,IF(A459&gt;$B$5,1,0))</f>
        <v/>
      </c>
      <c r="K459" s="29">
        <f>IF(AND(J459=1,ISNUMBER(D459)),D459,"")</f>
        <v/>
      </c>
      <c r="L459" s="30">
        <f>IF(AND(J459=1,ISNUMBER(G459)),G459,"")</f>
        <v/>
      </c>
      <c r="M459" s="22">
        <f>IF(AND(J459=1,ISNUMBER(C459)),C459,"")</f>
        <v/>
      </c>
      <c r="N459" s="31">
        <f>IF(AND(J459=1,ISNUMBER(I459)),I459,"")</f>
        <v/>
      </c>
      <c r="O459" s="11">
        <f>IF(K459="","",100-IF($G$13=1,50,(_xlfn.RANK.AVG(K459,$K$19:$K$1518,1)-1)/($G$13-1)*100))</f>
        <v/>
      </c>
      <c r="P459" s="11">
        <f>IF(L459="","",100-IF($G$14=1,50,(_xlfn.RANK.AVG(L459,$L$19:$L$1518,1)-1)/($G$14-1)*100))</f>
        <v/>
      </c>
      <c r="Q459" s="11">
        <f>IF(M459="","",IF($G$15=1,50,(_xlfn.RANK.AVG(M459,$M$19:$M$1518,1)-1)/($G$15-1)*100))</f>
        <v/>
      </c>
      <c r="R459" s="11">
        <f>IF(N459="","",IF($G$16=1,50,(_xlfn.RANK.AVG(N459,$N$19:$N$1518,1)-1)/($G$16-1)*100))</f>
        <v/>
      </c>
      <c r="S459" s="11">
        <f>IF(COUNT(O459:R459)=4,ROUND(AVERAGE(O459:R459),6),"")</f>
        <v/>
      </c>
      <c r="U459">
        <f>IF(AND(ISNUMBER('자료_한국심리'!$A443),ISNUMBER('자료_한국심리'!$B443)),'자료_한국심리'!$A443,"")</f>
        <v/>
      </c>
      <c r="V459">
        <f>IF(AND(ISNUMBER('자료_한국심리'!$D443),ISNUMBER('자료_한국심리'!$E443)),'자료_한국심리'!$D443,"")</f>
        <v/>
      </c>
      <c r="W459">
        <f>IF(AND(ISNUMBER('자료_한국심리'!$G443),ISNUMBER('자료_한국심리'!$H443)),'자료_한국심리'!$G443,"")</f>
        <v/>
      </c>
      <c r="X459">
        <f>IF(AND(ISNUMBER('자료_한국심리'!$J443),ISNUMBER('자료_한국심리'!$K443)),'자료_한국심리'!$J443,"")</f>
        <v/>
      </c>
      <c r="Y459">
        <f>IF(AND(ISNUMBER('자료_한국심리'!$M443),ISNUMBER('자료_한국심리'!$N443)),'자료_한국심리'!$M443,"")</f>
        <v/>
      </c>
    </row>
    <row r="460">
      <c r="A460" s="10">
        <f>IF(442&gt;$E$5,"",SMALL($U$19:$U$4018,$E$6+442))</f>
        <v/>
      </c>
      <c r="B460" s="29">
        <f>IF(A460="","",INDEX('자료_한국심리'!$B$3:$B$4002,MATCH(A460,$U$19:$U$4018,0)))</f>
        <v/>
      </c>
      <c r="C460" s="22">
        <f>IF(A460="","",B460/AVERAGE(B336:B460)-1)</f>
        <v/>
      </c>
      <c r="D460" s="29">
        <f>IF(A460="","",IFERROR(INDEX('자료_한국심리'!$E$3:$E$4002,MATCH(A460,$V$19:$V$4018,0)),D459))</f>
        <v/>
      </c>
      <c r="E460" s="30">
        <f>IF(A460="","",IFERROR(INDEX('자료_한국심리'!$H$3:$H$4002,MATCH(A460,$W$19:$W$4018,0)),E459))</f>
        <v/>
      </c>
      <c r="F460" s="30">
        <f>IF(A460="","",IFERROR(INDEX('자료_한국심리'!$K$3:$K$4002,MATCH(A460,$X$19:$X$4018,0)),F459))</f>
        <v/>
      </c>
      <c r="G460" s="30">
        <f>IF(AND(ISNUMBER(E460),ISNUMBER(F460)),ROUND(E460-F460,6),"")</f>
        <v/>
      </c>
      <c r="H460" s="25">
        <f>IF(A460="","",IFERROR(INDEX('자료_한국심리'!$N$3:$N$4002,MATCH(A460,$Y$19:$Y$4018,0)),H459))</f>
        <v/>
      </c>
      <c r="I460" s="31">
        <f>IF(AND(ISNUMBER(H460),ISNUMBER(H440)),IF(H440&gt;0,H460/H440-1,""),"")</f>
        <v/>
      </c>
      <c r="J460">
        <f>IF(A460="",0,IF(A460&gt;$B$5,1,0))</f>
        <v/>
      </c>
      <c r="K460" s="29">
        <f>IF(AND(J460=1,ISNUMBER(D460)),D460,"")</f>
        <v/>
      </c>
      <c r="L460" s="30">
        <f>IF(AND(J460=1,ISNUMBER(G460)),G460,"")</f>
        <v/>
      </c>
      <c r="M460" s="22">
        <f>IF(AND(J460=1,ISNUMBER(C460)),C460,"")</f>
        <v/>
      </c>
      <c r="N460" s="31">
        <f>IF(AND(J460=1,ISNUMBER(I460)),I460,"")</f>
        <v/>
      </c>
      <c r="O460" s="11">
        <f>IF(K460="","",100-IF($G$13=1,50,(_xlfn.RANK.AVG(K460,$K$19:$K$1518,1)-1)/($G$13-1)*100))</f>
        <v/>
      </c>
      <c r="P460" s="11">
        <f>IF(L460="","",100-IF($G$14=1,50,(_xlfn.RANK.AVG(L460,$L$19:$L$1518,1)-1)/($G$14-1)*100))</f>
        <v/>
      </c>
      <c r="Q460" s="11">
        <f>IF(M460="","",IF($G$15=1,50,(_xlfn.RANK.AVG(M460,$M$19:$M$1518,1)-1)/($G$15-1)*100))</f>
        <v/>
      </c>
      <c r="R460" s="11">
        <f>IF(N460="","",IF($G$16=1,50,(_xlfn.RANK.AVG(N460,$N$19:$N$1518,1)-1)/($G$16-1)*100))</f>
        <v/>
      </c>
      <c r="S460" s="11">
        <f>IF(COUNT(O460:R460)=4,ROUND(AVERAGE(O460:R460),6),"")</f>
        <v/>
      </c>
      <c r="U460">
        <f>IF(AND(ISNUMBER('자료_한국심리'!$A444),ISNUMBER('자료_한국심리'!$B444)),'자료_한국심리'!$A444,"")</f>
        <v/>
      </c>
      <c r="V460">
        <f>IF(AND(ISNUMBER('자료_한국심리'!$D444),ISNUMBER('자료_한국심리'!$E444)),'자료_한국심리'!$D444,"")</f>
        <v/>
      </c>
      <c r="W460">
        <f>IF(AND(ISNUMBER('자료_한국심리'!$G444),ISNUMBER('자료_한국심리'!$H444)),'자료_한국심리'!$G444,"")</f>
        <v/>
      </c>
      <c r="X460">
        <f>IF(AND(ISNUMBER('자료_한국심리'!$J444),ISNUMBER('자료_한국심리'!$K444)),'자료_한국심리'!$J444,"")</f>
        <v/>
      </c>
      <c r="Y460">
        <f>IF(AND(ISNUMBER('자료_한국심리'!$M444),ISNUMBER('자료_한국심리'!$N444)),'자료_한국심리'!$M444,"")</f>
        <v/>
      </c>
    </row>
    <row r="461">
      <c r="A461" s="10">
        <f>IF(443&gt;$E$5,"",SMALL($U$19:$U$4018,$E$6+443))</f>
        <v/>
      </c>
      <c r="B461" s="29">
        <f>IF(A461="","",INDEX('자료_한국심리'!$B$3:$B$4002,MATCH(A461,$U$19:$U$4018,0)))</f>
        <v/>
      </c>
      <c r="C461" s="22">
        <f>IF(A461="","",B461/AVERAGE(B337:B461)-1)</f>
        <v/>
      </c>
      <c r="D461" s="29">
        <f>IF(A461="","",IFERROR(INDEX('자료_한국심리'!$E$3:$E$4002,MATCH(A461,$V$19:$V$4018,0)),D460))</f>
        <v/>
      </c>
      <c r="E461" s="30">
        <f>IF(A461="","",IFERROR(INDEX('자료_한국심리'!$H$3:$H$4002,MATCH(A461,$W$19:$W$4018,0)),E460))</f>
        <v/>
      </c>
      <c r="F461" s="30">
        <f>IF(A461="","",IFERROR(INDEX('자료_한국심리'!$K$3:$K$4002,MATCH(A461,$X$19:$X$4018,0)),F460))</f>
        <v/>
      </c>
      <c r="G461" s="30">
        <f>IF(AND(ISNUMBER(E461),ISNUMBER(F461)),ROUND(E461-F461,6),"")</f>
        <v/>
      </c>
      <c r="H461" s="25">
        <f>IF(A461="","",IFERROR(INDEX('자료_한국심리'!$N$3:$N$4002,MATCH(A461,$Y$19:$Y$4018,0)),H460))</f>
        <v/>
      </c>
      <c r="I461" s="31">
        <f>IF(AND(ISNUMBER(H461),ISNUMBER(H441)),IF(H441&gt;0,H461/H441-1,""),"")</f>
        <v/>
      </c>
      <c r="J461">
        <f>IF(A461="",0,IF(A461&gt;$B$5,1,0))</f>
        <v/>
      </c>
      <c r="K461" s="29">
        <f>IF(AND(J461=1,ISNUMBER(D461)),D461,"")</f>
        <v/>
      </c>
      <c r="L461" s="30">
        <f>IF(AND(J461=1,ISNUMBER(G461)),G461,"")</f>
        <v/>
      </c>
      <c r="M461" s="22">
        <f>IF(AND(J461=1,ISNUMBER(C461)),C461,"")</f>
        <v/>
      </c>
      <c r="N461" s="31">
        <f>IF(AND(J461=1,ISNUMBER(I461)),I461,"")</f>
        <v/>
      </c>
      <c r="O461" s="11">
        <f>IF(K461="","",100-IF($G$13=1,50,(_xlfn.RANK.AVG(K461,$K$19:$K$1518,1)-1)/($G$13-1)*100))</f>
        <v/>
      </c>
      <c r="P461" s="11">
        <f>IF(L461="","",100-IF($G$14=1,50,(_xlfn.RANK.AVG(L461,$L$19:$L$1518,1)-1)/($G$14-1)*100))</f>
        <v/>
      </c>
      <c r="Q461" s="11">
        <f>IF(M461="","",IF($G$15=1,50,(_xlfn.RANK.AVG(M461,$M$19:$M$1518,1)-1)/($G$15-1)*100))</f>
        <v/>
      </c>
      <c r="R461" s="11">
        <f>IF(N461="","",IF($G$16=1,50,(_xlfn.RANK.AVG(N461,$N$19:$N$1518,1)-1)/($G$16-1)*100))</f>
        <v/>
      </c>
      <c r="S461" s="11">
        <f>IF(COUNT(O461:R461)=4,ROUND(AVERAGE(O461:R461),6),"")</f>
        <v/>
      </c>
      <c r="U461">
        <f>IF(AND(ISNUMBER('자료_한국심리'!$A445),ISNUMBER('자료_한국심리'!$B445)),'자료_한국심리'!$A445,"")</f>
        <v/>
      </c>
      <c r="V461">
        <f>IF(AND(ISNUMBER('자료_한국심리'!$D445),ISNUMBER('자료_한국심리'!$E445)),'자료_한국심리'!$D445,"")</f>
        <v/>
      </c>
      <c r="W461">
        <f>IF(AND(ISNUMBER('자료_한국심리'!$G445),ISNUMBER('자료_한국심리'!$H445)),'자료_한국심리'!$G445,"")</f>
        <v/>
      </c>
      <c r="X461">
        <f>IF(AND(ISNUMBER('자료_한국심리'!$J445),ISNUMBER('자료_한국심리'!$K445)),'자료_한국심리'!$J445,"")</f>
        <v/>
      </c>
      <c r="Y461">
        <f>IF(AND(ISNUMBER('자료_한국심리'!$M445),ISNUMBER('자료_한국심리'!$N445)),'자료_한국심리'!$M445,"")</f>
        <v/>
      </c>
    </row>
    <row r="462">
      <c r="A462" s="10">
        <f>IF(444&gt;$E$5,"",SMALL($U$19:$U$4018,$E$6+444))</f>
        <v/>
      </c>
      <c r="B462" s="29">
        <f>IF(A462="","",INDEX('자료_한국심리'!$B$3:$B$4002,MATCH(A462,$U$19:$U$4018,0)))</f>
        <v/>
      </c>
      <c r="C462" s="22">
        <f>IF(A462="","",B462/AVERAGE(B338:B462)-1)</f>
        <v/>
      </c>
      <c r="D462" s="29">
        <f>IF(A462="","",IFERROR(INDEX('자료_한국심리'!$E$3:$E$4002,MATCH(A462,$V$19:$V$4018,0)),D461))</f>
        <v/>
      </c>
      <c r="E462" s="30">
        <f>IF(A462="","",IFERROR(INDEX('자료_한국심리'!$H$3:$H$4002,MATCH(A462,$W$19:$W$4018,0)),E461))</f>
        <v/>
      </c>
      <c r="F462" s="30">
        <f>IF(A462="","",IFERROR(INDEX('자료_한국심리'!$K$3:$K$4002,MATCH(A462,$X$19:$X$4018,0)),F461))</f>
        <v/>
      </c>
      <c r="G462" s="30">
        <f>IF(AND(ISNUMBER(E462),ISNUMBER(F462)),ROUND(E462-F462,6),"")</f>
        <v/>
      </c>
      <c r="H462" s="25">
        <f>IF(A462="","",IFERROR(INDEX('자료_한국심리'!$N$3:$N$4002,MATCH(A462,$Y$19:$Y$4018,0)),H461))</f>
        <v/>
      </c>
      <c r="I462" s="31">
        <f>IF(AND(ISNUMBER(H462),ISNUMBER(H442)),IF(H442&gt;0,H462/H442-1,""),"")</f>
        <v/>
      </c>
      <c r="J462">
        <f>IF(A462="",0,IF(A462&gt;$B$5,1,0))</f>
        <v/>
      </c>
      <c r="K462" s="29">
        <f>IF(AND(J462=1,ISNUMBER(D462)),D462,"")</f>
        <v/>
      </c>
      <c r="L462" s="30">
        <f>IF(AND(J462=1,ISNUMBER(G462)),G462,"")</f>
        <v/>
      </c>
      <c r="M462" s="22">
        <f>IF(AND(J462=1,ISNUMBER(C462)),C462,"")</f>
        <v/>
      </c>
      <c r="N462" s="31">
        <f>IF(AND(J462=1,ISNUMBER(I462)),I462,"")</f>
        <v/>
      </c>
      <c r="O462" s="11">
        <f>IF(K462="","",100-IF($G$13=1,50,(_xlfn.RANK.AVG(K462,$K$19:$K$1518,1)-1)/($G$13-1)*100))</f>
        <v/>
      </c>
      <c r="P462" s="11">
        <f>IF(L462="","",100-IF($G$14=1,50,(_xlfn.RANK.AVG(L462,$L$19:$L$1518,1)-1)/($G$14-1)*100))</f>
        <v/>
      </c>
      <c r="Q462" s="11">
        <f>IF(M462="","",IF($G$15=1,50,(_xlfn.RANK.AVG(M462,$M$19:$M$1518,1)-1)/($G$15-1)*100))</f>
        <v/>
      </c>
      <c r="R462" s="11">
        <f>IF(N462="","",IF($G$16=1,50,(_xlfn.RANK.AVG(N462,$N$19:$N$1518,1)-1)/($G$16-1)*100))</f>
        <v/>
      </c>
      <c r="S462" s="11">
        <f>IF(COUNT(O462:R462)=4,ROUND(AVERAGE(O462:R462),6),"")</f>
        <v/>
      </c>
      <c r="U462">
        <f>IF(AND(ISNUMBER('자료_한국심리'!$A446),ISNUMBER('자료_한국심리'!$B446)),'자료_한국심리'!$A446,"")</f>
        <v/>
      </c>
      <c r="V462">
        <f>IF(AND(ISNUMBER('자료_한국심리'!$D446),ISNUMBER('자료_한국심리'!$E446)),'자료_한국심리'!$D446,"")</f>
        <v/>
      </c>
      <c r="W462">
        <f>IF(AND(ISNUMBER('자료_한국심리'!$G446),ISNUMBER('자료_한국심리'!$H446)),'자료_한국심리'!$G446,"")</f>
        <v/>
      </c>
      <c r="X462">
        <f>IF(AND(ISNUMBER('자료_한국심리'!$J446),ISNUMBER('자료_한국심리'!$K446)),'자료_한국심리'!$J446,"")</f>
        <v/>
      </c>
      <c r="Y462">
        <f>IF(AND(ISNUMBER('자료_한국심리'!$M446),ISNUMBER('자료_한국심리'!$N446)),'자료_한국심리'!$M446,"")</f>
        <v/>
      </c>
    </row>
    <row r="463">
      <c r="A463" s="10">
        <f>IF(445&gt;$E$5,"",SMALL($U$19:$U$4018,$E$6+445))</f>
        <v/>
      </c>
      <c r="B463" s="29">
        <f>IF(A463="","",INDEX('자료_한국심리'!$B$3:$B$4002,MATCH(A463,$U$19:$U$4018,0)))</f>
        <v/>
      </c>
      <c r="C463" s="22">
        <f>IF(A463="","",B463/AVERAGE(B339:B463)-1)</f>
        <v/>
      </c>
      <c r="D463" s="29">
        <f>IF(A463="","",IFERROR(INDEX('자료_한국심리'!$E$3:$E$4002,MATCH(A463,$V$19:$V$4018,0)),D462))</f>
        <v/>
      </c>
      <c r="E463" s="30">
        <f>IF(A463="","",IFERROR(INDEX('자료_한국심리'!$H$3:$H$4002,MATCH(A463,$W$19:$W$4018,0)),E462))</f>
        <v/>
      </c>
      <c r="F463" s="30">
        <f>IF(A463="","",IFERROR(INDEX('자료_한국심리'!$K$3:$K$4002,MATCH(A463,$X$19:$X$4018,0)),F462))</f>
        <v/>
      </c>
      <c r="G463" s="30">
        <f>IF(AND(ISNUMBER(E463),ISNUMBER(F463)),ROUND(E463-F463,6),"")</f>
        <v/>
      </c>
      <c r="H463" s="25">
        <f>IF(A463="","",IFERROR(INDEX('자료_한국심리'!$N$3:$N$4002,MATCH(A463,$Y$19:$Y$4018,0)),H462))</f>
        <v/>
      </c>
      <c r="I463" s="31">
        <f>IF(AND(ISNUMBER(H463),ISNUMBER(H443)),IF(H443&gt;0,H463/H443-1,""),"")</f>
        <v/>
      </c>
      <c r="J463">
        <f>IF(A463="",0,IF(A463&gt;$B$5,1,0))</f>
        <v/>
      </c>
      <c r="K463" s="29">
        <f>IF(AND(J463=1,ISNUMBER(D463)),D463,"")</f>
        <v/>
      </c>
      <c r="L463" s="30">
        <f>IF(AND(J463=1,ISNUMBER(G463)),G463,"")</f>
        <v/>
      </c>
      <c r="M463" s="22">
        <f>IF(AND(J463=1,ISNUMBER(C463)),C463,"")</f>
        <v/>
      </c>
      <c r="N463" s="31">
        <f>IF(AND(J463=1,ISNUMBER(I463)),I463,"")</f>
        <v/>
      </c>
      <c r="O463" s="11">
        <f>IF(K463="","",100-IF($G$13=1,50,(_xlfn.RANK.AVG(K463,$K$19:$K$1518,1)-1)/($G$13-1)*100))</f>
        <v/>
      </c>
      <c r="P463" s="11">
        <f>IF(L463="","",100-IF($G$14=1,50,(_xlfn.RANK.AVG(L463,$L$19:$L$1518,1)-1)/($G$14-1)*100))</f>
        <v/>
      </c>
      <c r="Q463" s="11">
        <f>IF(M463="","",IF($G$15=1,50,(_xlfn.RANK.AVG(M463,$M$19:$M$1518,1)-1)/($G$15-1)*100))</f>
        <v/>
      </c>
      <c r="R463" s="11">
        <f>IF(N463="","",IF($G$16=1,50,(_xlfn.RANK.AVG(N463,$N$19:$N$1518,1)-1)/($G$16-1)*100))</f>
        <v/>
      </c>
      <c r="S463" s="11">
        <f>IF(COUNT(O463:R463)=4,ROUND(AVERAGE(O463:R463),6),"")</f>
        <v/>
      </c>
      <c r="U463">
        <f>IF(AND(ISNUMBER('자료_한국심리'!$A447),ISNUMBER('자료_한국심리'!$B447)),'자료_한국심리'!$A447,"")</f>
        <v/>
      </c>
      <c r="V463">
        <f>IF(AND(ISNUMBER('자료_한국심리'!$D447),ISNUMBER('자료_한국심리'!$E447)),'자료_한국심리'!$D447,"")</f>
        <v/>
      </c>
      <c r="W463">
        <f>IF(AND(ISNUMBER('자료_한국심리'!$G447),ISNUMBER('자료_한국심리'!$H447)),'자료_한국심리'!$G447,"")</f>
        <v/>
      </c>
      <c r="X463">
        <f>IF(AND(ISNUMBER('자료_한국심리'!$J447),ISNUMBER('자료_한국심리'!$K447)),'자료_한국심리'!$J447,"")</f>
        <v/>
      </c>
      <c r="Y463">
        <f>IF(AND(ISNUMBER('자료_한국심리'!$M447),ISNUMBER('자료_한국심리'!$N447)),'자료_한국심리'!$M447,"")</f>
        <v/>
      </c>
    </row>
    <row r="464">
      <c r="A464" s="10">
        <f>IF(446&gt;$E$5,"",SMALL($U$19:$U$4018,$E$6+446))</f>
        <v/>
      </c>
      <c r="B464" s="29">
        <f>IF(A464="","",INDEX('자료_한국심리'!$B$3:$B$4002,MATCH(A464,$U$19:$U$4018,0)))</f>
        <v/>
      </c>
      <c r="C464" s="22">
        <f>IF(A464="","",B464/AVERAGE(B340:B464)-1)</f>
        <v/>
      </c>
      <c r="D464" s="29">
        <f>IF(A464="","",IFERROR(INDEX('자료_한국심리'!$E$3:$E$4002,MATCH(A464,$V$19:$V$4018,0)),D463))</f>
        <v/>
      </c>
      <c r="E464" s="30">
        <f>IF(A464="","",IFERROR(INDEX('자료_한국심리'!$H$3:$H$4002,MATCH(A464,$W$19:$W$4018,0)),E463))</f>
        <v/>
      </c>
      <c r="F464" s="30">
        <f>IF(A464="","",IFERROR(INDEX('자료_한국심리'!$K$3:$K$4002,MATCH(A464,$X$19:$X$4018,0)),F463))</f>
        <v/>
      </c>
      <c r="G464" s="30">
        <f>IF(AND(ISNUMBER(E464),ISNUMBER(F464)),ROUND(E464-F464,6),"")</f>
        <v/>
      </c>
      <c r="H464" s="25">
        <f>IF(A464="","",IFERROR(INDEX('자료_한국심리'!$N$3:$N$4002,MATCH(A464,$Y$19:$Y$4018,0)),H463))</f>
        <v/>
      </c>
      <c r="I464" s="31">
        <f>IF(AND(ISNUMBER(H464),ISNUMBER(H444)),IF(H444&gt;0,H464/H444-1,""),"")</f>
        <v/>
      </c>
      <c r="J464">
        <f>IF(A464="",0,IF(A464&gt;$B$5,1,0))</f>
        <v/>
      </c>
      <c r="K464" s="29">
        <f>IF(AND(J464=1,ISNUMBER(D464)),D464,"")</f>
        <v/>
      </c>
      <c r="L464" s="30">
        <f>IF(AND(J464=1,ISNUMBER(G464)),G464,"")</f>
        <v/>
      </c>
      <c r="M464" s="22">
        <f>IF(AND(J464=1,ISNUMBER(C464)),C464,"")</f>
        <v/>
      </c>
      <c r="N464" s="31">
        <f>IF(AND(J464=1,ISNUMBER(I464)),I464,"")</f>
        <v/>
      </c>
      <c r="O464" s="11">
        <f>IF(K464="","",100-IF($G$13=1,50,(_xlfn.RANK.AVG(K464,$K$19:$K$1518,1)-1)/($G$13-1)*100))</f>
        <v/>
      </c>
      <c r="P464" s="11">
        <f>IF(L464="","",100-IF($G$14=1,50,(_xlfn.RANK.AVG(L464,$L$19:$L$1518,1)-1)/($G$14-1)*100))</f>
        <v/>
      </c>
      <c r="Q464" s="11">
        <f>IF(M464="","",IF($G$15=1,50,(_xlfn.RANK.AVG(M464,$M$19:$M$1518,1)-1)/($G$15-1)*100))</f>
        <v/>
      </c>
      <c r="R464" s="11">
        <f>IF(N464="","",IF($G$16=1,50,(_xlfn.RANK.AVG(N464,$N$19:$N$1518,1)-1)/($G$16-1)*100))</f>
        <v/>
      </c>
      <c r="S464" s="11">
        <f>IF(COUNT(O464:R464)=4,ROUND(AVERAGE(O464:R464),6),"")</f>
        <v/>
      </c>
      <c r="U464">
        <f>IF(AND(ISNUMBER('자료_한국심리'!$A448),ISNUMBER('자료_한국심리'!$B448)),'자료_한국심리'!$A448,"")</f>
        <v/>
      </c>
      <c r="V464">
        <f>IF(AND(ISNUMBER('자료_한국심리'!$D448),ISNUMBER('자료_한국심리'!$E448)),'자료_한국심리'!$D448,"")</f>
        <v/>
      </c>
      <c r="W464">
        <f>IF(AND(ISNUMBER('자료_한국심리'!$G448),ISNUMBER('자료_한국심리'!$H448)),'자료_한국심리'!$G448,"")</f>
        <v/>
      </c>
      <c r="X464">
        <f>IF(AND(ISNUMBER('자료_한국심리'!$J448),ISNUMBER('자료_한국심리'!$K448)),'자료_한국심리'!$J448,"")</f>
        <v/>
      </c>
      <c r="Y464">
        <f>IF(AND(ISNUMBER('자료_한국심리'!$M448),ISNUMBER('자료_한국심리'!$N448)),'자료_한국심리'!$M448,"")</f>
        <v/>
      </c>
    </row>
    <row r="465">
      <c r="A465" s="10">
        <f>IF(447&gt;$E$5,"",SMALL($U$19:$U$4018,$E$6+447))</f>
        <v/>
      </c>
      <c r="B465" s="29">
        <f>IF(A465="","",INDEX('자료_한국심리'!$B$3:$B$4002,MATCH(A465,$U$19:$U$4018,0)))</f>
        <v/>
      </c>
      <c r="C465" s="22">
        <f>IF(A465="","",B465/AVERAGE(B341:B465)-1)</f>
        <v/>
      </c>
      <c r="D465" s="29">
        <f>IF(A465="","",IFERROR(INDEX('자료_한국심리'!$E$3:$E$4002,MATCH(A465,$V$19:$V$4018,0)),D464))</f>
        <v/>
      </c>
      <c r="E465" s="30">
        <f>IF(A465="","",IFERROR(INDEX('자료_한국심리'!$H$3:$H$4002,MATCH(A465,$W$19:$W$4018,0)),E464))</f>
        <v/>
      </c>
      <c r="F465" s="30">
        <f>IF(A465="","",IFERROR(INDEX('자료_한국심리'!$K$3:$K$4002,MATCH(A465,$X$19:$X$4018,0)),F464))</f>
        <v/>
      </c>
      <c r="G465" s="30">
        <f>IF(AND(ISNUMBER(E465),ISNUMBER(F465)),ROUND(E465-F465,6),"")</f>
        <v/>
      </c>
      <c r="H465" s="25">
        <f>IF(A465="","",IFERROR(INDEX('자료_한국심리'!$N$3:$N$4002,MATCH(A465,$Y$19:$Y$4018,0)),H464))</f>
        <v/>
      </c>
      <c r="I465" s="31">
        <f>IF(AND(ISNUMBER(H465),ISNUMBER(H445)),IF(H445&gt;0,H465/H445-1,""),"")</f>
        <v/>
      </c>
      <c r="J465">
        <f>IF(A465="",0,IF(A465&gt;$B$5,1,0))</f>
        <v/>
      </c>
      <c r="K465" s="29">
        <f>IF(AND(J465=1,ISNUMBER(D465)),D465,"")</f>
        <v/>
      </c>
      <c r="L465" s="30">
        <f>IF(AND(J465=1,ISNUMBER(G465)),G465,"")</f>
        <v/>
      </c>
      <c r="M465" s="22">
        <f>IF(AND(J465=1,ISNUMBER(C465)),C465,"")</f>
        <v/>
      </c>
      <c r="N465" s="31">
        <f>IF(AND(J465=1,ISNUMBER(I465)),I465,"")</f>
        <v/>
      </c>
      <c r="O465" s="11">
        <f>IF(K465="","",100-IF($G$13=1,50,(_xlfn.RANK.AVG(K465,$K$19:$K$1518,1)-1)/($G$13-1)*100))</f>
        <v/>
      </c>
      <c r="P465" s="11">
        <f>IF(L465="","",100-IF($G$14=1,50,(_xlfn.RANK.AVG(L465,$L$19:$L$1518,1)-1)/($G$14-1)*100))</f>
        <v/>
      </c>
      <c r="Q465" s="11">
        <f>IF(M465="","",IF($G$15=1,50,(_xlfn.RANK.AVG(M465,$M$19:$M$1518,1)-1)/($G$15-1)*100))</f>
        <v/>
      </c>
      <c r="R465" s="11">
        <f>IF(N465="","",IF($G$16=1,50,(_xlfn.RANK.AVG(N465,$N$19:$N$1518,1)-1)/($G$16-1)*100))</f>
        <v/>
      </c>
      <c r="S465" s="11">
        <f>IF(COUNT(O465:R465)=4,ROUND(AVERAGE(O465:R465),6),"")</f>
        <v/>
      </c>
      <c r="U465">
        <f>IF(AND(ISNUMBER('자료_한국심리'!$A449),ISNUMBER('자료_한국심리'!$B449)),'자료_한국심리'!$A449,"")</f>
        <v/>
      </c>
      <c r="V465">
        <f>IF(AND(ISNUMBER('자료_한국심리'!$D449),ISNUMBER('자료_한국심리'!$E449)),'자료_한국심리'!$D449,"")</f>
        <v/>
      </c>
      <c r="W465">
        <f>IF(AND(ISNUMBER('자료_한국심리'!$G449),ISNUMBER('자료_한국심리'!$H449)),'자료_한국심리'!$G449,"")</f>
        <v/>
      </c>
      <c r="X465">
        <f>IF(AND(ISNUMBER('자료_한국심리'!$J449),ISNUMBER('자료_한국심리'!$K449)),'자료_한국심리'!$J449,"")</f>
        <v/>
      </c>
      <c r="Y465">
        <f>IF(AND(ISNUMBER('자료_한국심리'!$M449),ISNUMBER('자료_한국심리'!$N449)),'자료_한국심리'!$M449,"")</f>
        <v/>
      </c>
    </row>
    <row r="466">
      <c r="A466" s="10">
        <f>IF(448&gt;$E$5,"",SMALL($U$19:$U$4018,$E$6+448))</f>
        <v/>
      </c>
      <c r="B466" s="29">
        <f>IF(A466="","",INDEX('자료_한국심리'!$B$3:$B$4002,MATCH(A466,$U$19:$U$4018,0)))</f>
        <v/>
      </c>
      <c r="C466" s="22">
        <f>IF(A466="","",B466/AVERAGE(B342:B466)-1)</f>
        <v/>
      </c>
      <c r="D466" s="29">
        <f>IF(A466="","",IFERROR(INDEX('자료_한국심리'!$E$3:$E$4002,MATCH(A466,$V$19:$V$4018,0)),D465))</f>
        <v/>
      </c>
      <c r="E466" s="30">
        <f>IF(A466="","",IFERROR(INDEX('자료_한국심리'!$H$3:$H$4002,MATCH(A466,$W$19:$W$4018,0)),E465))</f>
        <v/>
      </c>
      <c r="F466" s="30">
        <f>IF(A466="","",IFERROR(INDEX('자료_한국심리'!$K$3:$K$4002,MATCH(A466,$X$19:$X$4018,0)),F465))</f>
        <v/>
      </c>
      <c r="G466" s="30">
        <f>IF(AND(ISNUMBER(E466),ISNUMBER(F466)),ROUND(E466-F466,6),"")</f>
        <v/>
      </c>
      <c r="H466" s="25">
        <f>IF(A466="","",IFERROR(INDEX('자료_한국심리'!$N$3:$N$4002,MATCH(A466,$Y$19:$Y$4018,0)),H465))</f>
        <v/>
      </c>
      <c r="I466" s="31">
        <f>IF(AND(ISNUMBER(H466),ISNUMBER(H446)),IF(H446&gt;0,H466/H446-1,""),"")</f>
        <v/>
      </c>
      <c r="J466">
        <f>IF(A466="",0,IF(A466&gt;$B$5,1,0))</f>
        <v/>
      </c>
      <c r="K466" s="29">
        <f>IF(AND(J466=1,ISNUMBER(D466)),D466,"")</f>
        <v/>
      </c>
      <c r="L466" s="30">
        <f>IF(AND(J466=1,ISNUMBER(G466)),G466,"")</f>
        <v/>
      </c>
      <c r="M466" s="22">
        <f>IF(AND(J466=1,ISNUMBER(C466)),C466,"")</f>
        <v/>
      </c>
      <c r="N466" s="31">
        <f>IF(AND(J466=1,ISNUMBER(I466)),I466,"")</f>
        <v/>
      </c>
      <c r="O466" s="11">
        <f>IF(K466="","",100-IF($G$13=1,50,(_xlfn.RANK.AVG(K466,$K$19:$K$1518,1)-1)/($G$13-1)*100))</f>
        <v/>
      </c>
      <c r="P466" s="11">
        <f>IF(L466="","",100-IF($G$14=1,50,(_xlfn.RANK.AVG(L466,$L$19:$L$1518,1)-1)/($G$14-1)*100))</f>
        <v/>
      </c>
      <c r="Q466" s="11">
        <f>IF(M466="","",IF($G$15=1,50,(_xlfn.RANK.AVG(M466,$M$19:$M$1518,1)-1)/($G$15-1)*100))</f>
        <v/>
      </c>
      <c r="R466" s="11">
        <f>IF(N466="","",IF($G$16=1,50,(_xlfn.RANK.AVG(N466,$N$19:$N$1518,1)-1)/($G$16-1)*100))</f>
        <v/>
      </c>
      <c r="S466" s="11">
        <f>IF(COUNT(O466:R466)=4,ROUND(AVERAGE(O466:R466),6),"")</f>
        <v/>
      </c>
      <c r="U466">
        <f>IF(AND(ISNUMBER('자료_한국심리'!$A450),ISNUMBER('자료_한국심리'!$B450)),'자료_한국심리'!$A450,"")</f>
        <v/>
      </c>
      <c r="V466">
        <f>IF(AND(ISNUMBER('자료_한국심리'!$D450),ISNUMBER('자료_한국심리'!$E450)),'자료_한국심리'!$D450,"")</f>
        <v/>
      </c>
      <c r="W466">
        <f>IF(AND(ISNUMBER('자료_한국심리'!$G450),ISNUMBER('자료_한국심리'!$H450)),'자료_한국심리'!$G450,"")</f>
        <v/>
      </c>
      <c r="X466">
        <f>IF(AND(ISNUMBER('자료_한국심리'!$J450),ISNUMBER('자료_한국심리'!$K450)),'자료_한국심리'!$J450,"")</f>
        <v/>
      </c>
      <c r="Y466">
        <f>IF(AND(ISNUMBER('자료_한국심리'!$M450),ISNUMBER('자료_한국심리'!$N450)),'자료_한국심리'!$M450,"")</f>
        <v/>
      </c>
    </row>
    <row r="467">
      <c r="A467" s="10">
        <f>IF(449&gt;$E$5,"",SMALL($U$19:$U$4018,$E$6+449))</f>
        <v/>
      </c>
      <c r="B467" s="29">
        <f>IF(A467="","",INDEX('자료_한국심리'!$B$3:$B$4002,MATCH(A467,$U$19:$U$4018,0)))</f>
        <v/>
      </c>
      <c r="C467" s="22">
        <f>IF(A467="","",B467/AVERAGE(B343:B467)-1)</f>
        <v/>
      </c>
      <c r="D467" s="29">
        <f>IF(A467="","",IFERROR(INDEX('자료_한국심리'!$E$3:$E$4002,MATCH(A467,$V$19:$V$4018,0)),D466))</f>
        <v/>
      </c>
      <c r="E467" s="30">
        <f>IF(A467="","",IFERROR(INDEX('자료_한국심리'!$H$3:$H$4002,MATCH(A467,$W$19:$W$4018,0)),E466))</f>
        <v/>
      </c>
      <c r="F467" s="30">
        <f>IF(A467="","",IFERROR(INDEX('자료_한국심리'!$K$3:$K$4002,MATCH(A467,$X$19:$X$4018,0)),F466))</f>
        <v/>
      </c>
      <c r="G467" s="30">
        <f>IF(AND(ISNUMBER(E467),ISNUMBER(F467)),ROUND(E467-F467,6),"")</f>
        <v/>
      </c>
      <c r="H467" s="25">
        <f>IF(A467="","",IFERROR(INDEX('자료_한국심리'!$N$3:$N$4002,MATCH(A467,$Y$19:$Y$4018,0)),H466))</f>
        <v/>
      </c>
      <c r="I467" s="31">
        <f>IF(AND(ISNUMBER(H467),ISNUMBER(H447)),IF(H447&gt;0,H467/H447-1,""),"")</f>
        <v/>
      </c>
      <c r="J467">
        <f>IF(A467="",0,IF(A467&gt;$B$5,1,0))</f>
        <v/>
      </c>
      <c r="K467" s="29">
        <f>IF(AND(J467=1,ISNUMBER(D467)),D467,"")</f>
        <v/>
      </c>
      <c r="L467" s="30">
        <f>IF(AND(J467=1,ISNUMBER(G467)),G467,"")</f>
        <v/>
      </c>
      <c r="M467" s="22">
        <f>IF(AND(J467=1,ISNUMBER(C467)),C467,"")</f>
        <v/>
      </c>
      <c r="N467" s="31">
        <f>IF(AND(J467=1,ISNUMBER(I467)),I467,"")</f>
        <v/>
      </c>
      <c r="O467" s="11">
        <f>IF(K467="","",100-IF($G$13=1,50,(_xlfn.RANK.AVG(K467,$K$19:$K$1518,1)-1)/($G$13-1)*100))</f>
        <v/>
      </c>
      <c r="P467" s="11">
        <f>IF(L467="","",100-IF($G$14=1,50,(_xlfn.RANK.AVG(L467,$L$19:$L$1518,1)-1)/($G$14-1)*100))</f>
        <v/>
      </c>
      <c r="Q467" s="11">
        <f>IF(M467="","",IF($G$15=1,50,(_xlfn.RANK.AVG(M467,$M$19:$M$1518,1)-1)/($G$15-1)*100))</f>
        <v/>
      </c>
      <c r="R467" s="11">
        <f>IF(N467="","",IF($G$16=1,50,(_xlfn.RANK.AVG(N467,$N$19:$N$1518,1)-1)/($G$16-1)*100))</f>
        <v/>
      </c>
      <c r="S467" s="11">
        <f>IF(COUNT(O467:R467)=4,ROUND(AVERAGE(O467:R467),6),"")</f>
        <v/>
      </c>
      <c r="U467">
        <f>IF(AND(ISNUMBER('자료_한국심리'!$A451),ISNUMBER('자료_한국심리'!$B451)),'자료_한국심리'!$A451,"")</f>
        <v/>
      </c>
      <c r="V467">
        <f>IF(AND(ISNUMBER('자료_한국심리'!$D451),ISNUMBER('자료_한국심리'!$E451)),'자료_한국심리'!$D451,"")</f>
        <v/>
      </c>
      <c r="W467">
        <f>IF(AND(ISNUMBER('자료_한국심리'!$G451),ISNUMBER('자료_한국심리'!$H451)),'자료_한국심리'!$G451,"")</f>
        <v/>
      </c>
      <c r="X467">
        <f>IF(AND(ISNUMBER('자료_한국심리'!$J451),ISNUMBER('자료_한국심리'!$K451)),'자료_한국심리'!$J451,"")</f>
        <v/>
      </c>
      <c r="Y467">
        <f>IF(AND(ISNUMBER('자료_한국심리'!$M451),ISNUMBER('자료_한국심리'!$N451)),'자료_한국심리'!$M451,"")</f>
        <v/>
      </c>
    </row>
    <row r="468">
      <c r="A468" s="10">
        <f>IF(450&gt;$E$5,"",SMALL($U$19:$U$4018,$E$6+450))</f>
        <v/>
      </c>
      <c r="B468" s="29">
        <f>IF(A468="","",INDEX('자료_한국심리'!$B$3:$B$4002,MATCH(A468,$U$19:$U$4018,0)))</f>
        <v/>
      </c>
      <c r="C468" s="22">
        <f>IF(A468="","",B468/AVERAGE(B344:B468)-1)</f>
        <v/>
      </c>
      <c r="D468" s="29">
        <f>IF(A468="","",IFERROR(INDEX('자료_한국심리'!$E$3:$E$4002,MATCH(A468,$V$19:$V$4018,0)),D467))</f>
        <v/>
      </c>
      <c r="E468" s="30">
        <f>IF(A468="","",IFERROR(INDEX('자료_한국심리'!$H$3:$H$4002,MATCH(A468,$W$19:$W$4018,0)),E467))</f>
        <v/>
      </c>
      <c r="F468" s="30">
        <f>IF(A468="","",IFERROR(INDEX('자료_한국심리'!$K$3:$K$4002,MATCH(A468,$X$19:$X$4018,0)),F467))</f>
        <v/>
      </c>
      <c r="G468" s="30">
        <f>IF(AND(ISNUMBER(E468),ISNUMBER(F468)),ROUND(E468-F468,6),"")</f>
        <v/>
      </c>
      <c r="H468" s="25">
        <f>IF(A468="","",IFERROR(INDEX('자료_한국심리'!$N$3:$N$4002,MATCH(A468,$Y$19:$Y$4018,0)),H467))</f>
        <v/>
      </c>
      <c r="I468" s="31">
        <f>IF(AND(ISNUMBER(H468),ISNUMBER(H448)),IF(H448&gt;0,H468/H448-1,""),"")</f>
        <v/>
      </c>
      <c r="J468">
        <f>IF(A468="",0,IF(A468&gt;$B$5,1,0))</f>
        <v/>
      </c>
      <c r="K468" s="29">
        <f>IF(AND(J468=1,ISNUMBER(D468)),D468,"")</f>
        <v/>
      </c>
      <c r="L468" s="30">
        <f>IF(AND(J468=1,ISNUMBER(G468)),G468,"")</f>
        <v/>
      </c>
      <c r="M468" s="22">
        <f>IF(AND(J468=1,ISNUMBER(C468)),C468,"")</f>
        <v/>
      </c>
      <c r="N468" s="31">
        <f>IF(AND(J468=1,ISNUMBER(I468)),I468,"")</f>
        <v/>
      </c>
      <c r="O468" s="11">
        <f>IF(K468="","",100-IF($G$13=1,50,(_xlfn.RANK.AVG(K468,$K$19:$K$1518,1)-1)/($G$13-1)*100))</f>
        <v/>
      </c>
      <c r="P468" s="11">
        <f>IF(L468="","",100-IF($G$14=1,50,(_xlfn.RANK.AVG(L468,$L$19:$L$1518,1)-1)/($G$14-1)*100))</f>
        <v/>
      </c>
      <c r="Q468" s="11">
        <f>IF(M468="","",IF($G$15=1,50,(_xlfn.RANK.AVG(M468,$M$19:$M$1518,1)-1)/($G$15-1)*100))</f>
        <v/>
      </c>
      <c r="R468" s="11">
        <f>IF(N468="","",IF($G$16=1,50,(_xlfn.RANK.AVG(N468,$N$19:$N$1518,1)-1)/($G$16-1)*100))</f>
        <v/>
      </c>
      <c r="S468" s="11">
        <f>IF(COUNT(O468:R468)=4,ROUND(AVERAGE(O468:R468),6),"")</f>
        <v/>
      </c>
      <c r="U468">
        <f>IF(AND(ISNUMBER('자료_한국심리'!$A452),ISNUMBER('자료_한국심리'!$B452)),'자료_한국심리'!$A452,"")</f>
        <v/>
      </c>
      <c r="V468">
        <f>IF(AND(ISNUMBER('자료_한국심리'!$D452),ISNUMBER('자료_한국심리'!$E452)),'자료_한국심리'!$D452,"")</f>
        <v/>
      </c>
      <c r="W468">
        <f>IF(AND(ISNUMBER('자료_한국심리'!$G452),ISNUMBER('자료_한국심리'!$H452)),'자료_한국심리'!$G452,"")</f>
        <v/>
      </c>
      <c r="X468">
        <f>IF(AND(ISNUMBER('자료_한국심리'!$J452),ISNUMBER('자료_한국심리'!$K452)),'자료_한국심리'!$J452,"")</f>
        <v/>
      </c>
      <c r="Y468">
        <f>IF(AND(ISNUMBER('자료_한국심리'!$M452),ISNUMBER('자료_한국심리'!$N452)),'자료_한국심리'!$M452,"")</f>
        <v/>
      </c>
    </row>
    <row r="469">
      <c r="A469" s="10">
        <f>IF(451&gt;$E$5,"",SMALL($U$19:$U$4018,$E$6+451))</f>
        <v/>
      </c>
      <c r="B469" s="29">
        <f>IF(A469="","",INDEX('자료_한국심리'!$B$3:$B$4002,MATCH(A469,$U$19:$U$4018,0)))</f>
        <v/>
      </c>
      <c r="C469" s="22">
        <f>IF(A469="","",B469/AVERAGE(B345:B469)-1)</f>
        <v/>
      </c>
      <c r="D469" s="29">
        <f>IF(A469="","",IFERROR(INDEX('자료_한국심리'!$E$3:$E$4002,MATCH(A469,$V$19:$V$4018,0)),D468))</f>
        <v/>
      </c>
      <c r="E469" s="30">
        <f>IF(A469="","",IFERROR(INDEX('자료_한국심리'!$H$3:$H$4002,MATCH(A469,$W$19:$W$4018,0)),E468))</f>
        <v/>
      </c>
      <c r="F469" s="30">
        <f>IF(A469="","",IFERROR(INDEX('자료_한국심리'!$K$3:$K$4002,MATCH(A469,$X$19:$X$4018,0)),F468))</f>
        <v/>
      </c>
      <c r="G469" s="30">
        <f>IF(AND(ISNUMBER(E469),ISNUMBER(F469)),ROUND(E469-F469,6),"")</f>
        <v/>
      </c>
      <c r="H469" s="25">
        <f>IF(A469="","",IFERROR(INDEX('자료_한국심리'!$N$3:$N$4002,MATCH(A469,$Y$19:$Y$4018,0)),H468))</f>
        <v/>
      </c>
      <c r="I469" s="31">
        <f>IF(AND(ISNUMBER(H469),ISNUMBER(H449)),IF(H449&gt;0,H469/H449-1,""),"")</f>
        <v/>
      </c>
      <c r="J469">
        <f>IF(A469="",0,IF(A469&gt;$B$5,1,0))</f>
        <v/>
      </c>
      <c r="K469" s="29">
        <f>IF(AND(J469=1,ISNUMBER(D469)),D469,"")</f>
        <v/>
      </c>
      <c r="L469" s="30">
        <f>IF(AND(J469=1,ISNUMBER(G469)),G469,"")</f>
        <v/>
      </c>
      <c r="M469" s="22">
        <f>IF(AND(J469=1,ISNUMBER(C469)),C469,"")</f>
        <v/>
      </c>
      <c r="N469" s="31">
        <f>IF(AND(J469=1,ISNUMBER(I469)),I469,"")</f>
        <v/>
      </c>
      <c r="O469" s="11">
        <f>IF(K469="","",100-IF($G$13=1,50,(_xlfn.RANK.AVG(K469,$K$19:$K$1518,1)-1)/($G$13-1)*100))</f>
        <v/>
      </c>
      <c r="P469" s="11">
        <f>IF(L469="","",100-IF($G$14=1,50,(_xlfn.RANK.AVG(L469,$L$19:$L$1518,1)-1)/($G$14-1)*100))</f>
        <v/>
      </c>
      <c r="Q469" s="11">
        <f>IF(M469="","",IF($G$15=1,50,(_xlfn.RANK.AVG(M469,$M$19:$M$1518,1)-1)/($G$15-1)*100))</f>
        <v/>
      </c>
      <c r="R469" s="11">
        <f>IF(N469="","",IF($G$16=1,50,(_xlfn.RANK.AVG(N469,$N$19:$N$1518,1)-1)/($G$16-1)*100))</f>
        <v/>
      </c>
      <c r="S469" s="11">
        <f>IF(COUNT(O469:R469)=4,ROUND(AVERAGE(O469:R469),6),"")</f>
        <v/>
      </c>
      <c r="U469">
        <f>IF(AND(ISNUMBER('자료_한국심리'!$A453),ISNUMBER('자료_한국심리'!$B453)),'자료_한국심리'!$A453,"")</f>
        <v/>
      </c>
      <c r="V469">
        <f>IF(AND(ISNUMBER('자료_한국심리'!$D453),ISNUMBER('자료_한국심리'!$E453)),'자료_한국심리'!$D453,"")</f>
        <v/>
      </c>
      <c r="W469">
        <f>IF(AND(ISNUMBER('자료_한국심리'!$G453),ISNUMBER('자료_한국심리'!$H453)),'자료_한국심리'!$G453,"")</f>
        <v/>
      </c>
      <c r="X469">
        <f>IF(AND(ISNUMBER('자료_한국심리'!$J453),ISNUMBER('자료_한국심리'!$K453)),'자료_한국심리'!$J453,"")</f>
        <v/>
      </c>
      <c r="Y469">
        <f>IF(AND(ISNUMBER('자료_한국심리'!$M453),ISNUMBER('자료_한국심리'!$N453)),'자료_한국심리'!$M453,"")</f>
        <v/>
      </c>
    </row>
    <row r="470">
      <c r="A470" s="10">
        <f>IF(452&gt;$E$5,"",SMALL($U$19:$U$4018,$E$6+452))</f>
        <v/>
      </c>
      <c r="B470" s="29">
        <f>IF(A470="","",INDEX('자료_한국심리'!$B$3:$B$4002,MATCH(A470,$U$19:$U$4018,0)))</f>
        <v/>
      </c>
      <c r="C470" s="22">
        <f>IF(A470="","",B470/AVERAGE(B346:B470)-1)</f>
        <v/>
      </c>
      <c r="D470" s="29">
        <f>IF(A470="","",IFERROR(INDEX('자료_한국심리'!$E$3:$E$4002,MATCH(A470,$V$19:$V$4018,0)),D469))</f>
        <v/>
      </c>
      <c r="E470" s="30">
        <f>IF(A470="","",IFERROR(INDEX('자료_한국심리'!$H$3:$H$4002,MATCH(A470,$W$19:$W$4018,0)),E469))</f>
        <v/>
      </c>
      <c r="F470" s="30">
        <f>IF(A470="","",IFERROR(INDEX('자료_한국심리'!$K$3:$K$4002,MATCH(A470,$X$19:$X$4018,0)),F469))</f>
        <v/>
      </c>
      <c r="G470" s="30">
        <f>IF(AND(ISNUMBER(E470),ISNUMBER(F470)),ROUND(E470-F470,6),"")</f>
        <v/>
      </c>
      <c r="H470" s="25">
        <f>IF(A470="","",IFERROR(INDEX('자료_한국심리'!$N$3:$N$4002,MATCH(A470,$Y$19:$Y$4018,0)),H469))</f>
        <v/>
      </c>
      <c r="I470" s="31">
        <f>IF(AND(ISNUMBER(H470),ISNUMBER(H450)),IF(H450&gt;0,H470/H450-1,""),"")</f>
        <v/>
      </c>
      <c r="J470">
        <f>IF(A470="",0,IF(A470&gt;$B$5,1,0))</f>
        <v/>
      </c>
      <c r="K470" s="29">
        <f>IF(AND(J470=1,ISNUMBER(D470)),D470,"")</f>
        <v/>
      </c>
      <c r="L470" s="30">
        <f>IF(AND(J470=1,ISNUMBER(G470)),G470,"")</f>
        <v/>
      </c>
      <c r="M470" s="22">
        <f>IF(AND(J470=1,ISNUMBER(C470)),C470,"")</f>
        <v/>
      </c>
      <c r="N470" s="31">
        <f>IF(AND(J470=1,ISNUMBER(I470)),I470,"")</f>
        <v/>
      </c>
      <c r="O470" s="11">
        <f>IF(K470="","",100-IF($G$13=1,50,(_xlfn.RANK.AVG(K470,$K$19:$K$1518,1)-1)/($G$13-1)*100))</f>
        <v/>
      </c>
      <c r="P470" s="11">
        <f>IF(L470="","",100-IF($G$14=1,50,(_xlfn.RANK.AVG(L470,$L$19:$L$1518,1)-1)/($G$14-1)*100))</f>
        <v/>
      </c>
      <c r="Q470" s="11">
        <f>IF(M470="","",IF($G$15=1,50,(_xlfn.RANK.AVG(M470,$M$19:$M$1518,1)-1)/($G$15-1)*100))</f>
        <v/>
      </c>
      <c r="R470" s="11">
        <f>IF(N470="","",IF($G$16=1,50,(_xlfn.RANK.AVG(N470,$N$19:$N$1518,1)-1)/($G$16-1)*100))</f>
        <v/>
      </c>
      <c r="S470" s="11">
        <f>IF(COUNT(O470:R470)=4,ROUND(AVERAGE(O470:R470),6),"")</f>
        <v/>
      </c>
      <c r="U470">
        <f>IF(AND(ISNUMBER('자료_한국심리'!$A454),ISNUMBER('자료_한국심리'!$B454)),'자료_한국심리'!$A454,"")</f>
        <v/>
      </c>
      <c r="V470">
        <f>IF(AND(ISNUMBER('자료_한국심리'!$D454),ISNUMBER('자료_한국심리'!$E454)),'자료_한국심리'!$D454,"")</f>
        <v/>
      </c>
      <c r="W470">
        <f>IF(AND(ISNUMBER('자료_한국심리'!$G454),ISNUMBER('자료_한국심리'!$H454)),'자료_한국심리'!$G454,"")</f>
        <v/>
      </c>
      <c r="X470">
        <f>IF(AND(ISNUMBER('자료_한국심리'!$J454),ISNUMBER('자료_한국심리'!$K454)),'자료_한국심리'!$J454,"")</f>
        <v/>
      </c>
      <c r="Y470">
        <f>IF(AND(ISNUMBER('자료_한국심리'!$M454),ISNUMBER('자료_한국심리'!$N454)),'자료_한국심리'!$M454,"")</f>
        <v/>
      </c>
    </row>
    <row r="471">
      <c r="A471" s="10">
        <f>IF(453&gt;$E$5,"",SMALL($U$19:$U$4018,$E$6+453))</f>
        <v/>
      </c>
      <c r="B471" s="29">
        <f>IF(A471="","",INDEX('자료_한국심리'!$B$3:$B$4002,MATCH(A471,$U$19:$U$4018,0)))</f>
        <v/>
      </c>
      <c r="C471" s="22">
        <f>IF(A471="","",B471/AVERAGE(B347:B471)-1)</f>
        <v/>
      </c>
      <c r="D471" s="29">
        <f>IF(A471="","",IFERROR(INDEX('자료_한국심리'!$E$3:$E$4002,MATCH(A471,$V$19:$V$4018,0)),D470))</f>
        <v/>
      </c>
      <c r="E471" s="30">
        <f>IF(A471="","",IFERROR(INDEX('자료_한국심리'!$H$3:$H$4002,MATCH(A471,$W$19:$W$4018,0)),E470))</f>
        <v/>
      </c>
      <c r="F471" s="30">
        <f>IF(A471="","",IFERROR(INDEX('자료_한국심리'!$K$3:$K$4002,MATCH(A471,$X$19:$X$4018,0)),F470))</f>
        <v/>
      </c>
      <c r="G471" s="30">
        <f>IF(AND(ISNUMBER(E471),ISNUMBER(F471)),ROUND(E471-F471,6),"")</f>
        <v/>
      </c>
      <c r="H471" s="25">
        <f>IF(A471="","",IFERROR(INDEX('자료_한국심리'!$N$3:$N$4002,MATCH(A471,$Y$19:$Y$4018,0)),H470))</f>
        <v/>
      </c>
      <c r="I471" s="31">
        <f>IF(AND(ISNUMBER(H471),ISNUMBER(H451)),IF(H451&gt;0,H471/H451-1,""),"")</f>
        <v/>
      </c>
      <c r="J471">
        <f>IF(A471="",0,IF(A471&gt;$B$5,1,0))</f>
        <v/>
      </c>
      <c r="K471" s="29">
        <f>IF(AND(J471=1,ISNUMBER(D471)),D471,"")</f>
        <v/>
      </c>
      <c r="L471" s="30">
        <f>IF(AND(J471=1,ISNUMBER(G471)),G471,"")</f>
        <v/>
      </c>
      <c r="M471" s="22">
        <f>IF(AND(J471=1,ISNUMBER(C471)),C471,"")</f>
        <v/>
      </c>
      <c r="N471" s="31">
        <f>IF(AND(J471=1,ISNUMBER(I471)),I471,"")</f>
        <v/>
      </c>
      <c r="O471" s="11">
        <f>IF(K471="","",100-IF($G$13=1,50,(_xlfn.RANK.AVG(K471,$K$19:$K$1518,1)-1)/($G$13-1)*100))</f>
        <v/>
      </c>
      <c r="P471" s="11">
        <f>IF(L471="","",100-IF($G$14=1,50,(_xlfn.RANK.AVG(L471,$L$19:$L$1518,1)-1)/($G$14-1)*100))</f>
        <v/>
      </c>
      <c r="Q471" s="11">
        <f>IF(M471="","",IF($G$15=1,50,(_xlfn.RANK.AVG(M471,$M$19:$M$1518,1)-1)/($G$15-1)*100))</f>
        <v/>
      </c>
      <c r="R471" s="11">
        <f>IF(N471="","",IF($G$16=1,50,(_xlfn.RANK.AVG(N471,$N$19:$N$1518,1)-1)/($G$16-1)*100))</f>
        <v/>
      </c>
      <c r="S471" s="11">
        <f>IF(COUNT(O471:R471)=4,ROUND(AVERAGE(O471:R471),6),"")</f>
        <v/>
      </c>
      <c r="U471">
        <f>IF(AND(ISNUMBER('자료_한국심리'!$A455),ISNUMBER('자료_한국심리'!$B455)),'자료_한국심리'!$A455,"")</f>
        <v/>
      </c>
      <c r="V471">
        <f>IF(AND(ISNUMBER('자료_한국심리'!$D455),ISNUMBER('자료_한국심리'!$E455)),'자료_한국심리'!$D455,"")</f>
        <v/>
      </c>
      <c r="W471">
        <f>IF(AND(ISNUMBER('자료_한국심리'!$G455),ISNUMBER('자료_한국심리'!$H455)),'자료_한국심리'!$G455,"")</f>
        <v/>
      </c>
      <c r="X471">
        <f>IF(AND(ISNUMBER('자료_한국심리'!$J455),ISNUMBER('자료_한국심리'!$K455)),'자료_한국심리'!$J455,"")</f>
        <v/>
      </c>
      <c r="Y471">
        <f>IF(AND(ISNUMBER('자료_한국심리'!$M455),ISNUMBER('자료_한국심리'!$N455)),'자료_한국심리'!$M455,"")</f>
        <v/>
      </c>
    </row>
    <row r="472">
      <c r="A472" s="10">
        <f>IF(454&gt;$E$5,"",SMALL($U$19:$U$4018,$E$6+454))</f>
        <v/>
      </c>
      <c r="B472" s="29">
        <f>IF(A472="","",INDEX('자료_한국심리'!$B$3:$B$4002,MATCH(A472,$U$19:$U$4018,0)))</f>
        <v/>
      </c>
      <c r="C472" s="22">
        <f>IF(A472="","",B472/AVERAGE(B348:B472)-1)</f>
        <v/>
      </c>
      <c r="D472" s="29">
        <f>IF(A472="","",IFERROR(INDEX('자료_한국심리'!$E$3:$E$4002,MATCH(A472,$V$19:$V$4018,0)),D471))</f>
        <v/>
      </c>
      <c r="E472" s="30">
        <f>IF(A472="","",IFERROR(INDEX('자료_한국심리'!$H$3:$H$4002,MATCH(A472,$W$19:$W$4018,0)),E471))</f>
        <v/>
      </c>
      <c r="F472" s="30">
        <f>IF(A472="","",IFERROR(INDEX('자료_한국심리'!$K$3:$K$4002,MATCH(A472,$X$19:$X$4018,0)),F471))</f>
        <v/>
      </c>
      <c r="G472" s="30">
        <f>IF(AND(ISNUMBER(E472),ISNUMBER(F472)),ROUND(E472-F472,6),"")</f>
        <v/>
      </c>
      <c r="H472" s="25">
        <f>IF(A472="","",IFERROR(INDEX('자료_한국심리'!$N$3:$N$4002,MATCH(A472,$Y$19:$Y$4018,0)),H471))</f>
        <v/>
      </c>
      <c r="I472" s="31">
        <f>IF(AND(ISNUMBER(H472),ISNUMBER(H452)),IF(H452&gt;0,H472/H452-1,""),"")</f>
        <v/>
      </c>
      <c r="J472">
        <f>IF(A472="",0,IF(A472&gt;$B$5,1,0))</f>
        <v/>
      </c>
      <c r="K472" s="29">
        <f>IF(AND(J472=1,ISNUMBER(D472)),D472,"")</f>
        <v/>
      </c>
      <c r="L472" s="30">
        <f>IF(AND(J472=1,ISNUMBER(G472)),G472,"")</f>
        <v/>
      </c>
      <c r="M472" s="22">
        <f>IF(AND(J472=1,ISNUMBER(C472)),C472,"")</f>
        <v/>
      </c>
      <c r="N472" s="31">
        <f>IF(AND(J472=1,ISNUMBER(I472)),I472,"")</f>
        <v/>
      </c>
      <c r="O472" s="11">
        <f>IF(K472="","",100-IF($G$13=1,50,(_xlfn.RANK.AVG(K472,$K$19:$K$1518,1)-1)/($G$13-1)*100))</f>
        <v/>
      </c>
      <c r="P472" s="11">
        <f>IF(L472="","",100-IF($G$14=1,50,(_xlfn.RANK.AVG(L472,$L$19:$L$1518,1)-1)/($G$14-1)*100))</f>
        <v/>
      </c>
      <c r="Q472" s="11">
        <f>IF(M472="","",IF($G$15=1,50,(_xlfn.RANK.AVG(M472,$M$19:$M$1518,1)-1)/($G$15-1)*100))</f>
        <v/>
      </c>
      <c r="R472" s="11">
        <f>IF(N472="","",IF($G$16=1,50,(_xlfn.RANK.AVG(N472,$N$19:$N$1518,1)-1)/($G$16-1)*100))</f>
        <v/>
      </c>
      <c r="S472" s="11">
        <f>IF(COUNT(O472:R472)=4,ROUND(AVERAGE(O472:R472),6),"")</f>
        <v/>
      </c>
      <c r="U472">
        <f>IF(AND(ISNUMBER('자료_한국심리'!$A456),ISNUMBER('자료_한국심리'!$B456)),'자료_한국심리'!$A456,"")</f>
        <v/>
      </c>
      <c r="V472">
        <f>IF(AND(ISNUMBER('자료_한국심리'!$D456),ISNUMBER('자료_한국심리'!$E456)),'자료_한국심리'!$D456,"")</f>
        <v/>
      </c>
      <c r="W472">
        <f>IF(AND(ISNUMBER('자료_한국심리'!$G456),ISNUMBER('자료_한국심리'!$H456)),'자료_한국심리'!$G456,"")</f>
        <v/>
      </c>
      <c r="X472">
        <f>IF(AND(ISNUMBER('자료_한국심리'!$J456),ISNUMBER('자료_한국심리'!$K456)),'자료_한국심리'!$J456,"")</f>
        <v/>
      </c>
      <c r="Y472">
        <f>IF(AND(ISNUMBER('자료_한국심리'!$M456),ISNUMBER('자료_한국심리'!$N456)),'자료_한국심리'!$M456,"")</f>
        <v/>
      </c>
    </row>
    <row r="473">
      <c r="A473" s="10">
        <f>IF(455&gt;$E$5,"",SMALL($U$19:$U$4018,$E$6+455))</f>
        <v/>
      </c>
      <c r="B473" s="29">
        <f>IF(A473="","",INDEX('자료_한국심리'!$B$3:$B$4002,MATCH(A473,$U$19:$U$4018,0)))</f>
        <v/>
      </c>
      <c r="C473" s="22">
        <f>IF(A473="","",B473/AVERAGE(B349:B473)-1)</f>
        <v/>
      </c>
      <c r="D473" s="29">
        <f>IF(A473="","",IFERROR(INDEX('자료_한국심리'!$E$3:$E$4002,MATCH(A473,$V$19:$V$4018,0)),D472))</f>
        <v/>
      </c>
      <c r="E473" s="30">
        <f>IF(A473="","",IFERROR(INDEX('자료_한국심리'!$H$3:$H$4002,MATCH(A473,$W$19:$W$4018,0)),E472))</f>
        <v/>
      </c>
      <c r="F473" s="30">
        <f>IF(A473="","",IFERROR(INDEX('자료_한국심리'!$K$3:$K$4002,MATCH(A473,$X$19:$X$4018,0)),F472))</f>
        <v/>
      </c>
      <c r="G473" s="30">
        <f>IF(AND(ISNUMBER(E473),ISNUMBER(F473)),ROUND(E473-F473,6),"")</f>
        <v/>
      </c>
      <c r="H473" s="25">
        <f>IF(A473="","",IFERROR(INDEX('자료_한국심리'!$N$3:$N$4002,MATCH(A473,$Y$19:$Y$4018,0)),H472))</f>
        <v/>
      </c>
      <c r="I473" s="31">
        <f>IF(AND(ISNUMBER(H473),ISNUMBER(H453)),IF(H453&gt;0,H473/H453-1,""),"")</f>
        <v/>
      </c>
      <c r="J473">
        <f>IF(A473="",0,IF(A473&gt;$B$5,1,0))</f>
        <v/>
      </c>
      <c r="K473" s="29">
        <f>IF(AND(J473=1,ISNUMBER(D473)),D473,"")</f>
        <v/>
      </c>
      <c r="L473" s="30">
        <f>IF(AND(J473=1,ISNUMBER(G473)),G473,"")</f>
        <v/>
      </c>
      <c r="M473" s="22">
        <f>IF(AND(J473=1,ISNUMBER(C473)),C473,"")</f>
        <v/>
      </c>
      <c r="N473" s="31">
        <f>IF(AND(J473=1,ISNUMBER(I473)),I473,"")</f>
        <v/>
      </c>
      <c r="O473" s="11">
        <f>IF(K473="","",100-IF($G$13=1,50,(_xlfn.RANK.AVG(K473,$K$19:$K$1518,1)-1)/($G$13-1)*100))</f>
        <v/>
      </c>
      <c r="P473" s="11">
        <f>IF(L473="","",100-IF($G$14=1,50,(_xlfn.RANK.AVG(L473,$L$19:$L$1518,1)-1)/($G$14-1)*100))</f>
        <v/>
      </c>
      <c r="Q473" s="11">
        <f>IF(M473="","",IF($G$15=1,50,(_xlfn.RANK.AVG(M473,$M$19:$M$1518,1)-1)/($G$15-1)*100))</f>
        <v/>
      </c>
      <c r="R473" s="11">
        <f>IF(N473="","",IF($G$16=1,50,(_xlfn.RANK.AVG(N473,$N$19:$N$1518,1)-1)/($G$16-1)*100))</f>
        <v/>
      </c>
      <c r="S473" s="11">
        <f>IF(COUNT(O473:R473)=4,ROUND(AVERAGE(O473:R473),6),"")</f>
        <v/>
      </c>
      <c r="U473">
        <f>IF(AND(ISNUMBER('자료_한국심리'!$A457),ISNUMBER('자료_한국심리'!$B457)),'자료_한국심리'!$A457,"")</f>
        <v/>
      </c>
      <c r="V473">
        <f>IF(AND(ISNUMBER('자료_한국심리'!$D457),ISNUMBER('자료_한국심리'!$E457)),'자료_한국심리'!$D457,"")</f>
        <v/>
      </c>
      <c r="W473">
        <f>IF(AND(ISNUMBER('자료_한국심리'!$G457),ISNUMBER('자료_한국심리'!$H457)),'자료_한국심리'!$G457,"")</f>
        <v/>
      </c>
      <c r="X473">
        <f>IF(AND(ISNUMBER('자료_한국심리'!$J457),ISNUMBER('자료_한국심리'!$K457)),'자료_한국심리'!$J457,"")</f>
        <v/>
      </c>
      <c r="Y473">
        <f>IF(AND(ISNUMBER('자료_한국심리'!$M457),ISNUMBER('자료_한국심리'!$N457)),'자료_한국심리'!$M457,"")</f>
        <v/>
      </c>
    </row>
    <row r="474">
      <c r="A474" s="10">
        <f>IF(456&gt;$E$5,"",SMALL($U$19:$U$4018,$E$6+456))</f>
        <v/>
      </c>
      <c r="B474" s="29">
        <f>IF(A474="","",INDEX('자료_한국심리'!$B$3:$B$4002,MATCH(A474,$U$19:$U$4018,0)))</f>
        <v/>
      </c>
      <c r="C474" s="22">
        <f>IF(A474="","",B474/AVERAGE(B350:B474)-1)</f>
        <v/>
      </c>
      <c r="D474" s="29">
        <f>IF(A474="","",IFERROR(INDEX('자료_한국심리'!$E$3:$E$4002,MATCH(A474,$V$19:$V$4018,0)),D473))</f>
        <v/>
      </c>
      <c r="E474" s="30">
        <f>IF(A474="","",IFERROR(INDEX('자료_한국심리'!$H$3:$H$4002,MATCH(A474,$W$19:$W$4018,0)),E473))</f>
        <v/>
      </c>
      <c r="F474" s="30">
        <f>IF(A474="","",IFERROR(INDEX('자료_한국심리'!$K$3:$K$4002,MATCH(A474,$X$19:$X$4018,0)),F473))</f>
        <v/>
      </c>
      <c r="G474" s="30">
        <f>IF(AND(ISNUMBER(E474),ISNUMBER(F474)),ROUND(E474-F474,6),"")</f>
        <v/>
      </c>
      <c r="H474" s="25">
        <f>IF(A474="","",IFERROR(INDEX('자료_한국심리'!$N$3:$N$4002,MATCH(A474,$Y$19:$Y$4018,0)),H473))</f>
        <v/>
      </c>
      <c r="I474" s="31">
        <f>IF(AND(ISNUMBER(H474),ISNUMBER(H454)),IF(H454&gt;0,H474/H454-1,""),"")</f>
        <v/>
      </c>
      <c r="J474">
        <f>IF(A474="",0,IF(A474&gt;$B$5,1,0))</f>
        <v/>
      </c>
      <c r="K474" s="29">
        <f>IF(AND(J474=1,ISNUMBER(D474)),D474,"")</f>
        <v/>
      </c>
      <c r="L474" s="30">
        <f>IF(AND(J474=1,ISNUMBER(G474)),G474,"")</f>
        <v/>
      </c>
      <c r="M474" s="22">
        <f>IF(AND(J474=1,ISNUMBER(C474)),C474,"")</f>
        <v/>
      </c>
      <c r="N474" s="31">
        <f>IF(AND(J474=1,ISNUMBER(I474)),I474,"")</f>
        <v/>
      </c>
      <c r="O474" s="11">
        <f>IF(K474="","",100-IF($G$13=1,50,(_xlfn.RANK.AVG(K474,$K$19:$K$1518,1)-1)/($G$13-1)*100))</f>
        <v/>
      </c>
      <c r="P474" s="11">
        <f>IF(L474="","",100-IF($G$14=1,50,(_xlfn.RANK.AVG(L474,$L$19:$L$1518,1)-1)/($G$14-1)*100))</f>
        <v/>
      </c>
      <c r="Q474" s="11">
        <f>IF(M474="","",IF($G$15=1,50,(_xlfn.RANK.AVG(M474,$M$19:$M$1518,1)-1)/($G$15-1)*100))</f>
        <v/>
      </c>
      <c r="R474" s="11">
        <f>IF(N474="","",IF($G$16=1,50,(_xlfn.RANK.AVG(N474,$N$19:$N$1518,1)-1)/($G$16-1)*100))</f>
        <v/>
      </c>
      <c r="S474" s="11">
        <f>IF(COUNT(O474:R474)=4,ROUND(AVERAGE(O474:R474),6),"")</f>
        <v/>
      </c>
      <c r="U474">
        <f>IF(AND(ISNUMBER('자료_한국심리'!$A458),ISNUMBER('자료_한국심리'!$B458)),'자료_한국심리'!$A458,"")</f>
        <v/>
      </c>
      <c r="V474">
        <f>IF(AND(ISNUMBER('자료_한국심리'!$D458),ISNUMBER('자료_한국심리'!$E458)),'자료_한국심리'!$D458,"")</f>
        <v/>
      </c>
      <c r="W474">
        <f>IF(AND(ISNUMBER('자료_한국심리'!$G458),ISNUMBER('자료_한국심리'!$H458)),'자료_한국심리'!$G458,"")</f>
        <v/>
      </c>
      <c r="X474">
        <f>IF(AND(ISNUMBER('자료_한국심리'!$J458),ISNUMBER('자료_한국심리'!$K458)),'자료_한국심리'!$J458,"")</f>
        <v/>
      </c>
      <c r="Y474">
        <f>IF(AND(ISNUMBER('자료_한국심리'!$M458),ISNUMBER('자료_한국심리'!$N458)),'자료_한국심리'!$M458,"")</f>
        <v/>
      </c>
    </row>
    <row r="475">
      <c r="A475" s="10">
        <f>IF(457&gt;$E$5,"",SMALL($U$19:$U$4018,$E$6+457))</f>
        <v/>
      </c>
      <c r="B475" s="29">
        <f>IF(A475="","",INDEX('자료_한국심리'!$B$3:$B$4002,MATCH(A475,$U$19:$U$4018,0)))</f>
        <v/>
      </c>
      <c r="C475" s="22">
        <f>IF(A475="","",B475/AVERAGE(B351:B475)-1)</f>
        <v/>
      </c>
      <c r="D475" s="29">
        <f>IF(A475="","",IFERROR(INDEX('자료_한국심리'!$E$3:$E$4002,MATCH(A475,$V$19:$V$4018,0)),D474))</f>
        <v/>
      </c>
      <c r="E475" s="30">
        <f>IF(A475="","",IFERROR(INDEX('자료_한국심리'!$H$3:$H$4002,MATCH(A475,$W$19:$W$4018,0)),E474))</f>
        <v/>
      </c>
      <c r="F475" s="30">
        <f>IF(A475="","",IFERROR(INDEX('자료_한국심리'!$K$3:$K$4002,MATCH(A475,$X$19:$X$4018,0)),F474))</f>
        <v/>
      </c>
      <c r="G475" s="30">
        <f>IF(AND(ISNUMBER(E475),ISNUMBER(F475)),ROUND(E475-F475,6),"")</f>
        <v/>
      </c>
      <c r="H475" s="25">
        <f>IF(A475="","",IFERROR(INDEX('자료_한국심리'!$N$3:$N$4002,MATCH(A475,$Y$19:$Y$4018,0)),H474))</f>
        <v/>
      </c>
      <c r="I475" s="31">
        <f>IF(AND(ISNUMBER(H475),ISNUMBER(H455)),IF(H455&gt;0,H475/H455-1,""),"")</f>
        <v/>
      </c>
      <c r="J475">
        <f>IF(A475="",0,IF(A475&gt;$B$5,1,0))</f>
        <v/>
      </c>
      <c r="K475" s="29">
        <f>IF(AND(J475=1,ISNUMBER(D475)),D475,"")</f>
        <v/>
      </c>
      <c r="L475" s="30">
        <f>IF(AND(J475=1,ISNUMBER(G475)),G475,"")</f>
        <v/>
      </c>
      <c r="M475" s="22">
        <f>IF(AND(J475=1,ISNUMBER(C475)),C475,"")</f>
        <v/>
      </c>
      <c r="N475" s="31">
        <f>IF(AND(J475=1,ISNUMBER(I475)),I475,"")</f>
        <v/>
      </c>
      <c r="O475" s="11">
        <f>IF(K475="","",100-IF($G$13=1,50,(_xlfn.RANK.AVG(K475,$K$19:$K$1518,1)-1)/($G$13-1)*100))</f>
        <v/>
      </c>
      <c r="P475" s="11">
        <f>IF(L475="","",100-IF($G$14=1,50,(_xlfn.RANK.AVG(L475,$L$19:$L$1518,1)-1)/($G$14-1)*100))</f>
        <v/>
      </c>
      <c r="Q475" s="11">
        <f>IF(M475="","",IF($G$15=1,50,(_xlfn.RANK.AVG(M475,$M$19:$M$1518,1)-1)/($G$15-1)*100))</f>
        <v/>
      </c>
      <c r="R475" s="11">
        <f>IF(N475="","",IF($G$16=1,50,(_xlfn.RANK.AVG(N475,$N$19:$N$1518,1)-1)/($G$16-1)*100))</f>
        <v/>
      </c>
      <c r="S475" s="11">
        <f>IF(COUNT(O475:R475)=4,ROUND(AVERAGE(O475:R475),6),"")</f>
        <v/>
      </c>
      <c r="U475">
        <f>IF(AND(ISNUMBER('자료_한국심리'!$A459),ISNUMBER('자료_한국심리'!$B459)),'자료_한국심리'!$A459,"")</f>
        <v/>
      </c>
      <c r="V475">
        <f>IF(AND(ISNUMBER('자료_한국심리'!$D459),ISNUMBER('자료_한국심리'!$E459)),'자료_한국심리'!$D459,"")</f>
        <v/>
      </c>
      <c r="W475">
        <f>IF(AND(ISNUMBER('자료_한국심리'!$G459),ISNUMBER('자료_한국심리'!$H459)),'자료_한국심리'!$G459,"")</f>
        <v/>
      </c>
      <c r="X475">
        <f>IF(AND(ISNUMBER('자료_한국심리'!$J459),ISNUMBER('자료_한국심리'!$K459)),'자료_한국심리'!$J459,"")</f>
        <v/>
      </c>
      <c r="Y475">
        <f>IF(AND(ISNUMBER('자료_한국심리'!$M459),ISNUMBER('자료_한국심리'!$N459)),'자료_한국심리'!$M459,"")</f>
        <v/>
      </c>
    </row>
    <row r="476">
      <c r="A476" s="10">
        <f>IF(458&gt;$E$5,"",SMALL($U$19:$U$4018,$E$6+458))</f>
        <v/>
      </c>
      <c r="B476" s="29">
        <f>IF(A476="","",INDEX('자료_한국심리'!$B$3:$B$4002,MATCH(A476,$U$19:$U$4018,0)))</f>
        <v/>
      </c>
      <c r="C476" s="22">
        <f>IF(A476="","",B476/AVERAGE(B352:B476)-1)</f>
        <v/>
      </c>
      <c r="D476" s="29">
        <f>IF(A476="","",IFERROR(INDEX('자료_한국심리'!$E$3:$E$4002,MATCH(A476,$V$19:$V$4018,0)),D475))</f>
        <v/>
      </c>
      <c r="E476" s="30">
        <f>IF(A476="","",IFERROR(INDEX('자료_한국심리'!$H$3:$H$4002,MATCH(A476,$W$19:$W$4018,0)),E475))</f>
        <v/>
      </c>
      <c r="F476" s="30">
        <f>IF(A476="","",IFERROR(INDEX('자료_한국심리'!$K$3:$K$4002,MATCH(A476,$X$19:$X$4018,0)),F475))</f>
        <v/>
      </c>
      <c r="G476" s="30">
        <f>IF(AND(ISNUMBER(E476),ISNUMBER(F476)),ROUND(E476-F476,6),"")</f>
        <v/>
      </c>
      <c r="H476" s="25">
        <f>IF(A476="","",IFERROR(INDEX('자료_한국심리'!$N$3:$N$4002,MATCH(A476,$Y$19:$Y$4018,0)),H475))</f>
        <v/>
      </c>
      <c r="I476" s="31">
        <f>IF(AND(ISNUMBER(H476),ISNUMBER(H456)),IF(H456&gt;0,H476/H456-1,""),"")</f>
        <v/>
      </c>
      <c r="J476">
        <f>IF(A476="",0,IF(A476&gt;$B$5,1,0))</f>
        <v/>
      </c>
      <c r="K476" s="29">
        <f>IF(AND(J476=1,ISNUMBER(D476)),D476,"")</f>
        <v/>
      </c>
      <c r="L476" s="30">
        <f>IF(AND(J476=1,ISNUMBER(G476)),G476,"")</f>
        <v/>
      </c>
      <c r="M476" s="22">
        <f>IF(AND(J476=1,ISNUMBER(C476)),C476,"")</f>
        <v/>
      </c>
      <c r="N476" s="31">
        <f>IF(AND(J476=1,ISNUMBER(I476)),I476,"")</f>
        <v/>
      </c>
      <c r="O476" s="11">
        <f>IF(K476="","",100-IF($G$13=1,50,(_xlfn.RANK.AVG(K476,$K$19:$K$1518,1)-1)/($G$13-1)*100))</f>
        <v/>
      </c>
      <c r="P476" s="11">
        <f>IF(L476="","",100-IF($G$14=1,50,(_xlfn.RANK.AVG(L476,$L$19:$L$1518,1)-1)/($G$14-1)*100))</f>
        <v/>
      </c>
      <c r="Q476" s="11">
        <f>IF(M476="","",IF($G$15=1,50,(_xlfn.RANK.AVG(M476,$M$19:$M$1518,1)-1)/($G$15-1)*100))</f>
        <v/>
      </c>
      <c r="R476" s="11">
        <f>IF(N476="","",IF($G$16=1,50,(_xlfn.RANK.AVG(N476,$N$19:$N$1518,1)-1)/($G$16-1)*100))</f>
        <v/>
      </c>
      <c r="S476" s="11">
        <f>IF(COUNT(O476:R476)=4,ROUND(AVERAGE(O476:R476),6),"")</f>
        <v/>
      </c>
      <c r="U476">
        <f>IF(AND(ISNUMBER('자료_한국심리'!$A460),ISNUMBER('자료_한국심리'!$B460)),'자료_한국심리'!$A460,"")</f>
        <v/>
      </c>
      <c r="V476">
        <f>IF(AND(ISNUMBER('자료_한국심리'!$D460),ISNUMBER('자료_한국심리'!$E460)),'자료_한국심리'!$D460,"")</f>
        <v/>
      </c>
      <c r="W476">
        <f>IF(AND(ISNUMBER('자료_한국심리'!$G460),ISNUMBER('자료_한국심리'!$H460)),'자료_한국심리'!$G460,"")</f>
        <v/>
      </c>
      <c r="X476">
        <f>IF(AND(ISNUMBER('자료_한국심리'!$J460),ISNUMBER('자료_한국심리'!$K460)),'자료_한국심리'!$J460,"")</f>
        <v/>
      </c>
      <c r="Y476">
        <f>IF(AND(ISNUMBER('자료_한국심리'!$M460),ISNUMBER('자료_한국심리'!$N460)),'자료_한국심리'!$M460,"")</f>
        <v/>
      </c>
    </row>
    <row r="477">
      <c r="A477" s="10">
        <f>IF(459&gt;$E$5,"",SMALL($U$19:$U$4018,$E$6+459))</f>
        <v/>
      </c>
      <c r="B477" s="29">
        <f>IF(A477="","",INDEX('자료_한국심리'!$B$3:$B$4002,MATCH(A477,$U$19:$U$4018,0)))</f>
        <v/>
      </c>
      <c r="C477" s="22">
        <f>IF(A477="","",B477/AVERAGE(B353:B477)-1)</f>
        <v/>
      </c>
      <c r="D477" s="29">
        <f>IF(A477="","",IFERROR(INDEX('자료_한국심리'!$E$3:$E$4002,MATCH(A477,$V$19:$V$4018,0)),D476))</f>
        <v/>
      </c>
      <c r="E477" s="30">
        <f>IF(A477="","",IFERROR(INDEX('자료_한국심리'!$H$3:$H$4002,MATCH(A477,$W$19:$W$4018,0)),E476))</f>
        <v/>
      </c>
      <c r="F477" s="30">
        <f>IF(A477="","",IFERROR(INDEX('자료_한국심리'!$K$3:$K$4002,MATCH(A477,$X$19:$X$4018,0)),F476))</f>
        <v/>
      </c>
      <c r="G477" s="30">
        <f>IF(AND(ISNUMBER(E477),ISNUMBER(F477)),ROUND(E477-F477,6),"")</f>
        <v/>
      </c>
      <c r="H477" s="25">
        <f>IF(A477="","",IFERROR(INDEX('자료_한국심리'!$N$3:$N$4002,MATCH(A477,$Y$19:$Y$4018,0)),H476))</f>
        <v/>
      </c>
      <c r="I477" s="31">
        <f>IF(AND(ISNUMBER(H477),ISNUMBER(H457)),IF(H457&gt;0,H477/H457-1,""),"")</f>
        <v/>
      </c>
      <c r="J477">
        <f>IF(A477="",0,IF(A477&gt;$B$5,1,0))</f>
        <v/>
      </c>
      <c r="K477" s="29">
        <f>IF(AND(J477=1,ISNUMBER(D477)),D477,"")</f>
        <v/>
      </c>
      <c r="L477" s="30">
        <f>IF(AND(J477=1,ISNUMBER(G477)),G477,"")</f>
        <v/>
      </c>
      <c r="M477" s="22">
        <f>IF(AND(J477=1,ISNUMBER(C477)),C477,"")</f>
        <v/>
      </c>
      <c r="N477" s="31">
        <f>IF(AND(J477=1,ISNUMBER(I477)),I477,"")</f>
        <v/>
      </c>
      <c r="O477" s="11">
        <f>IF(K477="","",100-IF($G$13=1,50,(_xlfn.RANK.AVG(K477,$K$19:$K$1518,1)-1)/($G$13-1)*100))</f>
        <v/>
      </c>
      <c r="P477" s="11">
        <f>IF(L477="","",100-IF($G$14=1,50,(_xlfn.RANK.AVG(L477,$L$19:$L$1518,1)-1)/($G$14-1)*100))</f>
        <v/>
      </c>
      <c r="Q477" s="11">
        <f>IF(M477="","",IF($G$15=1,50,(_xlfn.RANK.AVG(M477,$M$19:$M$1518,1)-1)/($G$15-1)*100))</f>
        <v/>
      </c>
      <c r="R477" s="11">
        <f>IF(N477="","",IF($G$16=1,50,(_xlfn.RANK.AVG(N477,$N$19:$N$1518,1)-1)/($G$16-1)*100))</f>
        <v/>
      </c>
      <c r="S477" s="11">
        <f>IF(COUNT(O477:R477)=4,ROUND(AVERAGE(O477:R477),6),"")</f>
        <v/>
      </c>
      <c r="U477">
        <f>IF(AND(ISNUMBER('자료_한국심리'!$A461),ISNUMBER('자료_한국심리'!$B461)),'자료_한국심리'!$A461,"")</f>
        <v/>
      </c>
      <c r="V477">
        <f>IF(AND(ISNUMBER('자료_한국심리'!$D461),ISNUMBER('자료_한국심리'!$E461)),'자료_한국심리'!$D461,"")</f>
        <v/>
      </c>
      <c r="W477">
        <f>IF(AND(ISNUMBER('자료_한국심리'!$G461),ISNUMBER('자료_한국심리'!$H461)),'자료_한국심리'!$G461,"")</f>
        <v/>
      </c>
      <c r="X477">
        <f>IF(AND(ISNUMBER('자료_한국심리'!$J461),ISNUMBER('자료_한국심리'!$K461)),'자료_한국심리'!$J461,"")</f>
        <v/>
      </c>
      <c r="Y477">
        <f>IF(AND(ISNUMBER('자료_한국심리'!$M461),ISNUMBER('자료_한국심리'!$N461)),'자료_한국심리'!$M461,"")</f>
        <v/>
      </c>
    </row>
    <row r="478">
      <c r="A478" s="10">
        <f>IF(460&gt;$E$5,"",SMALL($U$19:$U$4018,$E$6+460))</f>
        <v/>
      </c>
      <c r="B478" s="29">
        <f>IF(A478="","",INDEX('자료_한국심리'!$B$3:$B$4002,MATCH(A478,$U$19:$U$4018,0)))</f>
        <v/>
      </c>
      <c r="C478" s="22">
        <f>IF(A478="","",B478/AVERAGE(B354:B478)-1)</f>
        <v/>
      </c>
      <c r="D478" s="29">
        <f>IF(A478="","",IFERROR(INDEX('자료_한국심리'!$E$3:$E$4002,MATCH(A478,$V$19:$V$4018,0)),D477))</f>
        <v/>
      </c>
      <c r="E478" s="30">
        <f>IF(A478="","",IFERROR(INDEX('자료_한국심리'!$H$3:$H$4002,MATCH(A478,$W$19:$W$4018,0)),E477))</f>
        <v/>
      </c>
      <c r="F478" s="30">
        <f>IF(A478="","",IFERROR(INDEX('자료_한국심리'!$K$3:$K$4002,MATCH(A478,$X$19:$X$4018,0)),F477))</f>
        <v/>
      </c>
      <c r="G478" s="30">
        <f>IF(AND(ISNUMBER(E478),ISNUMBER(F478)),ROUND(E478-F478,6),"")</f>
        <v/>
      </c>
      <c r="H478" s="25">
        <f>IF(A478="","",IFERROR(INDEX('자료_한국심리'!$N$3:$N$4002,MATCH(A478,$Y$19:$Y$4018,0)),H477))</f>
        <v/>
      </c>
      <c r="I478" s="31">
        <f>IF(AND(ISNUMBER(H478),ISNUMBER(H458)),IF(H458&gt;0,H478/H458-1,""),"")</f>
        <v/>
      </c>
      <c r="J478">
        <f>IF(A478="",0,IF(A478&gt;$B$5,1,0))</f>
        <v/>
      </c>
      <c r="K478" s="29">
        <f>IF(AND(J478=1,ISNUMBER(D478)),D478,"")</f>
        <v/>
      </c>
      <c r="L478" s="30">
        <f>IF(AND(J478=1,ISNUMBER(G478)),G478,"")</f>
        <v/>
      </c>
      <c r="M478" s="22">
        <f>IF(AND(J478=1,ISNUMBER(C478)),C478,"")</f>
        <v/>
      </c>
      <c r="N478" s="31">
        <f>IF(AND(J478=1,ISNUMBER(I478)),I478,"")</f>
        <v/>
      </c>
      <c r="O478" s="11">
        <f>IF(K478="","",100-IF($G$13=1,50,(_xlfn.RANK.AVG(K478,$K$19:$K$1518,1)-1)/($G$13-1)*100))</f>
        <v/>
      </c>
      <c r="P478" s="11">
        <f>IF(L478="","",100-IF($G$14=1,50,(_xlfn.RANK.AVG(L478,$L$19:$L$1518,1)-1)/($G$14-1)*100))</f>
        <v/>
      </c>
      <c r="Q478" s="11">
        <f>IF(M478="","",IF($G$15=1,50,(_xlfn.RANK.AVG(M478,$M$19:$M$1518,1)-1)/($G$15-1)*100))</f>
        <v/>
      </c>
      <c r="R478" s="11">
        <f>IF(N478="","",IF($G$16=1,50,(_xlfn.RANK.AVG(N478,$N$19:$N$1518,1)-1)/($G$16-1)*100))</f>
        <v/>
      </c>
      <c r="S478" s="11">
        <f>IF(COUNT(O478:R478)=4,ROUND(AVERAGE(O478:R478),6),"")</f>
        <v/>
      </c>
      <c r="U478">
        <f>IF(AND(ISNUMBER('자료_한국심리'!$A462),ISNUMBER('자료_한국심리'!$B462)),'자료_한국심리'!$A462,"")</f>
        <v/>
      </c>
      <c r="V478">
        <f>IF(AND(ISNUMBER('자료_한국심리'!$D462),ISNUMBER('자료_한국심리'!$E462)),'자료_한국심리'!$D462,"")</f>
        <v/>
      </c>
      <c r="W478">
        <f>IF(AND(ISNUMBER('자료_한국심리'!$G462),ISNUMBER('자료_한국심리'!$H462)),'자료_한국심리'!$G462,"")</f>
        <v/>
      </c>
      <c r="X478">
        <f>IF(AND(ISNUMBER('자료_한국심리'!$J462),ISNUMBER('자료_한국심리'!$K462)),'자료_한국심리'!$J462,"")</f>
        <v/>
      </c>
      <c r="Y478">
        <f>IF(AND(ISNUMBER('자료_한국심리'!$M462),ISNUMBER('자료_한국심리'!$N462)),'자료_한국심리'!$M462,"")</f>
        <v/>
      </c>
    </row>
    <row r="479">
      <c r="A479" s="10">
        <f>IF(461&gt;$E$5,"",SMALL($U$19:$U$4018,$E$6+461))</f>
        <v/>
      </c>
      <c r="B479" s="29">
        <f>IF(A479="","",INDEX('자료_한국심리'!$B$3:$B$4002,MATCH(A479,$U$19:$U$4018,0)))</f>
        <v/>
      </c>
      <c r="C479" s="22">
        <f>IF(A479="","",B479/AVERAGE(B355:B479)-1)</f>
        <v/>
      </c>
      <c r="D479" s="29">
        <f>IF(A479="","",IFERROR(INDEX('자료_한국심리'!$E$3:$E$4002,MATCH(A479,$V$19:$V$4018,0)),D478))</f>
        <v/>
      </c>
      <c r="E479" s="30">
        <f>IF(A479="","",IFERROR(INDEX('자료_한국심리'!$H$3:$H$4002,MATCH(A479,$W$19:$W$4018,0)),E478))</f>
        <v/>
      </c>
      <c r="F479" s="30">
        <f>IF(A479="","",IFERROR(INDEX('자료_한국심리'!$K$3:$K$4002,MATCH(A479,$X$19:$X$4018,0)),F478))</f>
        <v/>
      </c>
      <c r="G479" s="30">
        <f>IF(AND(ISNUMBER(E479),ISNUMBER(F479)),ROUND(E479-F479,6),"")</f>
        <v/>
      </c>
      <c r="H479" s="25">
        <f>IF(A479="","",IFERROR(INDEX('자료_한국심리'!$N$3:$N$4002,MATCH(A479,$Y$19:$Y$4018,0)),H478))</f>
        <v/>
      </c>
      <c r="I479" s="31">
        <f>IF(AND(ISNUMBER(H479),ISNUMBER(H459)),IF(H459&gt;0,H479/H459-1,""),"")</f>
        <v/>
      </c>
      <c r="J479">
        <f>IF(A479="",0,IF(A479&gt;$B$5,1,0))</f>
        <v/>
      </c>
      <c r="K479" s="29">
        <f>IF(AND(J479=1,ISNUMBER(D479)),D479,"")</f>
        <v/>
      </c>
      <c r="L479" s="30">
        <f>IF(AND(J479=1,ISNUMBER(G479)),G479,"")</f>
        <v/>
      </c>
      <c r="M479" s="22">
        <f>IF(AND(J479=1,ISNUMBER(C479)),C479,"")</f>
        <v/>
      </c>
      <c r="N479" s="31">
        <f>IF(AND(J479=1,ISNUMBER(I479)),I479,"")</f>
        <v/>
      </c>
      <c r="O479" s="11">
        <f>IF(K479="","",100-IF($G$13=1,50,(_xlfn.RANK.AVG(K479,$K$19:$K$1518,1)-1)/($G$13-1)*100))</f>
        <v/>
      </c>
      <c r="P479" s="11">
        <f>IF(L479="","",100-IF($G$14=1,50,(_xlfn.RANK.AVG(L479,$L$19:$L$1518,1)-1)/($G$14-1)*100))</f>
        <v/>
      </c>
      <c r="Q479" s="11">
        <f>IF(M479="","",IF($G$15=1,50,(_xlfn.RANK.AVG(M479,$M$19:$M$1518,1)-1)/($G$15-1)*100))</f>
        <v/>
      </c>
      <c r="R479" s="11">
        <f>IF(N479="","",IF($G$16=1,50,(_xlfn.RANK.AVG(N479,$N$19:$N$1518,1)-1)/($G$16-1)*100))</f>
        <v/>
      </c>
      <c r="S479" s="11">
        <f>IF(COUNT(O479:R479)=4,ROUND(AVERAGE(O479:R479),6),"")</f>
        <v/>
      </c>
      <c r="U479">
        <f>IF(AND(ISNUMBER('자료_한국심리'!$A463),ISNUMBER('자료_한국심리'!$B463)),'자료_한국심리'!$A463,"")</f>
        <v/>
      </c>
      <c r="V479">
        <f>IF(AND(ISNUMBER('자료_한국심리'!$D463),ISNUMBER('자료_한국심리'!$E463)),'자료_한국심리'!$D463,"")</f>
        <v/>
      </c>
      <c r="W479">
        <f>IF(AND(ISNUMBER('자료_한국심리'!$G463),ISNUMBER('자료_한국심리'!$H463)),'자료_한국심리'!$G463,"")</f>
        <v/>
      </c>
      <c r="X479">
        <f>IF(AND(ISNUMBER('자료_한국심리'!$J463),ISNUMBER('자료_한국심리'!$K463)),'자료_한국심리'!$J463,"")</f>
        <v/>
      </c>
      <c r="Y479">
        <f>IF(AND(ISNUMBER('자료_한국심리'!$M463),ISNUMBER('자료_한국심리'!$N463)),'자료_한국심리'!$M463,"")</f>
        <v/>
      </c>
    </row>
    <row r="480">
      <c r="A480" s="10">
        <f>IF(462&gt;$E$5,"",SMALL($U$19:$U$4018,$E$6+462))</f>
        <v/>
      </c>
      <c r="B480" s="29">
        <f>IF(A480="","",INDEX('자료_한국심리'!$B$3:$B$4002,MATCH(A480,$U$19:$U$4018,0)))</f>
        <v/>
      </c>
      <c r="C480" s="22">
        <f>IF(A480="","",B480/AVERAGE(B356:B480)-1)</f>
        <v/>
      </c>
      <c r="D480" s="29">
        <f>IF(A480="","",IFERROR(INDEX('자료_한국심리'!$E$3:$E$4002,MATCH(A480,$V$19:$V$4018,0)),D479))</f>
        <v/>
      </c>
      <c r="E480" s="30">
        <f>IF(A480="","",IFERROR(INDEX('자료_한국심리'!$H$3:$H$4002,MATCH(A480,$W$19:$W$4018,0)),E479))</f>
        <v/>
      </c>
      <c r="F480" s="30">
        <f>IF(A480="","",IFERROR(INDEX('자료_한국심리'!$K$3:$K$4002,MATCH(A480,$X$19:$X$4018,0)),F479))</f>
        <v/>
      </c>
      <c r="G480" s="30">
        <f>IF(AND(ISNUMBER(E480),ISNUMBER(F480)),ROUND(E480-F480,6),"")</f>
        <v/>
      </c>
      <c r="H480" s="25">
        <f>IF(A480="","",IFERROR(INDEX('자료_한국심리'!$N$3:$N$4002,MATCH(A480,$Y$19:$Y$4018,0)),H479))</f>
        <v/>
      </c>
      <c r="I480" s="31">
        <f>IF(AND(ISNUMBER(H480),ISNUMBER(H460)),IF(H460&gt;0,H480/H460-1,""),"")</f>
        <v/>
      </c>
      <c r="J480">
        <f>IF(A480="",0,IF(A480&gt;$B$5,1,0))</f>
        <v/>
      </c>
      <c r="K480" s="29">
        <f>IF(AND(J480=1,ISNUMBER(D480)),D480,"")</f>
        <v/>
      </c>
      <c r="L480" s="30">
        <f>IF(AND(J480=1,ISNUMBER(G480)),G480,"")</f>
        <v/>
      </c>
      <c r="M480" s="22">
        <f>IF(AND(J480=1,ISNUMBER(C480)),C480,"")</f>
        <v/>
      </c>
      <c r="N480" s="31">
        <f>IF(AND(J480=1,ISNUMBER(I480)),I480,"")</f>
        <v/>
      </c>
      <c r="O480" s="11">
        <f>IF(K480="","",100-IF($G$13=1,50,(_xlfn.RANK.AVG(K480,$K$19:$K$1518,1)-1)/($G$13-1)*100))</f>
        <v/>
      </c>
      <c r="P480" s="11">
        <f>IF(L480="","",100-IF($G$14=1,50,(_xlfn.RANK.AVG(L480,$L$19:$L$1518,1)-1)/($G$14-1)*100))</f>
        <v/>
      </c>
      <c r="Q480" s="11">
        <f>IF(M480="","",IF($G$15=1,50,(_xlfn.RANK.AVG(M480,$M$19:$M$1518,1)-1)/($G$15-1)*100))</f>
        <v/>
      </c>
      <c r="R480" s="11">
        <f>IF(N480="","",IF($G$16=1,50,(_xlfn.RANK.AVG(N480,$N$19:$N$1518,1)-1)/($G$16-1)*100))</f>
        <v/>
      </c>
      <c r="S480" s="11">
        <f>IF(COUNT(O480:R480)=4,ROUND(AVERAGE(O480:R480),6),"")</f>
        <v/>
      </c>
      <c r="U480">
        <f>IF(AND(ISNUMBER('자료_한국심리'!$A464),ISNUMBER('자료_한국심리'!$B464)),'자료_한국심리'!$A464,"")</f>
        <v/>
      </c>
      <c r="V480">
        <f>IF(AND(ISNUMBER('자료_한국심리'!$D464),ISNUMBER('자료_한국심리'!$E464)),'자료_한국심리'!$D464,"")</f>
        <v/>
      </c>
      <c r="W480">
        <f>IF(AND(ISNUMBER('자료_한국심리'!$G464),ISNUMBER('자료_한국심리'!$H464)),'자료_한국심리'!$G464,"")</f>
        <v/>
      </c>
      <c r="X480">
        <f>IF(AND(ISNUMBER('자료_한국심리'!$J464),ISNUMBER('자료_한국심리'!$K464)),'자료_한국심리'!$J464,"")</f>
        <v/>
      </c>
      <c r="Y480">
        <f>IF(AND(ISNUMBER('자료_한국심리'!$M464),ISNUMBER('자료_한국심리'!$N464)),'자료_한국심리'!$M464,"")</f>
        <v/>
      </c>
    </row>
    <row r="481">
      <c r="A481" s="10">
        <f>IF(463&gt;$E$5,"",SMALL($U$19:$U$4018,$E$6+463))</f>
        <v/>
      </c>
      <c r="B481" s="29">
        <f>IF(A481="","",INDEX('자료_한국심리'!$B$3:$B$4002,MATCH(A481,$U$19:$U$4018,0)))</f>
        <v/>
      </c>
      <c r="C481" s="22">
        <f>IF(A481="","",B481/AVERAGE(B357:B481)-1)</f>
        <v/>
      </c>
      <c r="D481" s="29">
        <f>IF(A481="","",IFERROR(INDEX('자료_한국심리'!$E$3:$E$4002,MATCH(A481,$V$19:$V$4018,0)),D480))</f>
        <v/>
      </c>
      <c r="E481" s="30">
        <f>IF(A481="","",IFERROR(INDEX('자료_한국심리'!$H$3:$H$4002,MATCH(A481,$W$19:$W$4018,0)),E480))</f>
        <v/>
      </c>
      <c r="F481" s="30">
        <f>IF(A481="","",IFERROR(INDEX('자료_한국심리'!$K$3:$K$4002,MATCH(A481,$X$19:$X$4018,0)),F480))</f>
        <v/>
      </c>
      <c r="G481" s="30">
        <f>IF(AND(ISNUMBER(E481),ISNUMBER(F481)),ROUND(E481-F481,6),"")</f>
        <v/>
      </c>
      <c r="H481" s="25">
        <f>IF(A481="","",IFERROR(INDEX('자료_한국심리'!$N$3:$N$4002,MATCH(A481,$Y$19:$Y$4018,0)),H480))</f>
        <v/>
      </c>
      <c r="I481" s="31">
        <f>IF(AND(ISNUMBER(H481),ISNUMBER(H461)),IF(H461&gt;0,H481/H461-1,""),"")</f>
        <v/>
      </c>
      <c r="J481">
        <f>IF(A481="",0,IF(A481&gt;$B$5,1,0))</f>
        <v/>
      </c>
      <c r="K481" s="29">
        <f>IF(AND(J481=1,ISNUMBER(D481)),D481,"")</f>
        <v/>
      </c>
      <c r="L481" s="30">
        <f>IF(AND(J481=1,ISNUMBER(G481)),G481,"")</f>
        <v/>
      </c>
      <c r="M481" s="22">
        <f>IF(AND(J481=1,ISNUMBER(C481)),C481,"")</f>
        <v/>
      </c>
      <c r="N481" s="31">
        <f>IF(AND(J481=1,ISNUMBER(I481)),I481,"")</f>
        <v/>
      </c>
      <c r="O481" s="11">
        <f>IF(K481="","",100-IF($G$13=1,50,(_xlfn.RANK.AVG(K481,$K$19:$K$1518,1)-1)/($G$13-1)*100))</f>
        <v/>
      </c>
      <c r="P481" s="11">
        <f>IF(L481="","",100-IF($G$14=1,50,(_xlfn.RANK.AVG(L481,$L$19:$L$1518,1)-1)/($G$14-1)*100))</f>
        <v/>
      </c>
      <c r="Q481" s="11">
        <f>IF(M481="","",IF($G$15=1,50,(_xlfn.RANK.AVG(M481,$M$19:$M$1518,1)-1)/($G$15-1)*100))</f>
        <v/>
      </c>
      <c r="R481" s="11">
        <f>IF(N481="","",IF($G$16=1,50,(_xlfn.RANK.AVG(N481,$N$19:$N$1518,1)-1)/($G$16-1)*100))</f>
        <v/>
      </c>
      <c r="S481" s="11">
        <f>IF(COUNT(O481:R481)=4,ROUND(AVERAGE(O481:R481),6),"")</f>
        <v/>
      </c>
      <c r="U481">
        <f>IF(AND(ISNUMBER('자료_한국심리'!$A465),ISNUMBER('자료_한국심리'!$B465)),'자료_한국심리'!$A465,"")</f>
        <v/>
      </c>
      <c r="V481">
        <f>IF(AND(ISNUMBER('자료_한국심리'!$D465),ISNUMBER('자료_한국심리'!$E465)),'자료_한국심리'!$D465,"")</f>
        <v/>
      </c>
      <c r="W481">
        <f>IF(AND(ISNUMBER('자료_한국심리'!$G465),ISNUMBER('자료_한국심리'!$H465)),'자료_한국심리'!$G465,"")</f>
        <v/>
      </c>
      <c r="X481">
        <f>IF(AND(ISNUMBER('자료_한국심리'!$J465),ISNUMBER('자료_한국심리'!$K465)),'자료_한국심리'!$J465,"")</f>
        <v/>
      </c>
      <c r="Y481">
        <f>IF(AND(ISNUMBER('자료_한국심리'!$M465),ISNUMBER('자료_한국심리'!$N465)),'자료_한국심리'!$M465,"")</f>
        <v/>
      </c>
    </row>
    <row r="482">
      <c r="A482" s="10">
        <f>IF(464&gt;$E$5,"",SMALL($U$19:$U$4018,$E$6+464))</f>
        <v/>
      </c>
      <c r="B482" s="29">
        <f>IF(A482="","",INDEX('자료_한국심리'!$B$3:$B$4002,MATCH(A482,$U$19:$U$4018,0)))</f>
        <v/>
      </c>
      <c r="C482" s="22">
        <f>IF(A482="","",B482/AVERAGE(B358:B482)-1)</f>
        <v/>
      </c>
      <c r="D482" s="29">
        <f>IF(A482="","",IFERROR(INDEX('자료_한국심리'!$E$3:$E$4002,MATCH(A482,$V$19:$V$4018,0)),D481))</f>
        <v/>
      </c>
      <c r="E482" s="30">
        <f>IF(A482="","",IFERROR(INDEX('자료_한국심리'!$H$3:$H$4002,MATCH(A482,$W$19:$W$4018,0)),E481))</f>
        <v/>
      </c>
      <c r="F482" s="30">
        <f>IF(A482="","",IFERROR(INDEX('자료_한국심리'!$K$3:$K$4002,MATCH(A482,$X$19:$X$4018,0)),F481))</f>
        <v/>
      </c>
      <c r="G482" s="30">
        <f>IF(AND(ISNUMBER(E482),ISNUMBER(F482)),ROUND(E482-F482,6),"")</f>
        <v/>
      </c>
      <c r="H482" s="25">
        <f>IF(A482="","",IFERROR(INDEX('자료_한국심리'!$N$3:$N$4002,MATCH(A482,$Y$19:$Y$4018,0)),H481))</f>
        <v/>
      </c>
      <c r="I482" s="31">
        <f>IF(AND(ISNUMBER(H482),ISNUMBER(H462)),IF(H462&gt;0,H482/H462-1,""),"")</f>
        <v/>
      </c>
      <c r="J482">
        <f>IF(A482="",0,IF(A482&gt;$B$5,1,0))</f>
        <v/>
      </c>
      <c r="K482" s="29">
        <f>IF(AND(J482=1,ISNUMBER(D482)),D482,"")</f>
        <v/>
      </c>
      <c r="L482" s="30">
        <f>IF(AND(J482=1,ISNUMBER(G482)),G482,"")</f>
        <v/>
      </c>
      <c r="M482" s="22">
        <f>IF(AND(J482=1,ISNUMBER(C482)),C482,"")</f>
        <v/>
      </c>
      <c r="N482" s="31">
        <f>IF(AND(J482=1,ISNUMBER(I482)),I482,"")</f>
        <v/>
      </c>
      <c r="O482" s="11">
        <f>IF(K482="","",100-IF($G$13=1,50,(_xlfn.RANK.AVG(K482,$K$19:$K$1518,1)-1)/($G$13-1)*100))</f>
        <v/>
      </c>
      <c r="P482" s="11">
        <f>IF(L482="","",100-IF($G$14=1,50,(_xlfn.RANK.AVG(L482,$L$19:$L$1518,1)-1)/($G$14-1)*100))</f>
        <v/>
      </c>
      <c r="Q482" s="11">
        <f>IF(M482="","",IF($G$15=1,50,(_xlfn.RANK.AVG(M482,$M$19:$M$1518,1)-1)/($G$15-1)*100))</f>
        <v/>
      </c>
      <c r="R482" s="11">
        <f>IF(N482="","",IF($G$16=1,50,(_xlfn.RANK.AVG(N482,$N$19:$N$1518,1)-1)/($G$16-1)*100))</f>
        <v/>
      </c>
      <c r="S482" s="11">
        <f>IF(COUNT(O482:R482)=4,ROUND(AVERAGE(O482:R482),6),"")</f>
        <v/>
      </c>
      <c r="U482">
        <f>IF(AND(ISNUMBER('자료_한국심리'!$A466),ISNUMBER('자료_한국심리'!$B466)),'자료_한국심리'!$A466,"")</f>
        <v/>
      </c>
      <c r="V482">
        <f>IF(AND(ISNUMBER('자료_한국심리'!$D466),ISNUMBER('자료_한국심리'!$E466)),'자료_한국심리'!$D466,"")</f>
        <v/>
      </c>
      <c r="W482">
        <f>IF(AND(ISNUMBER('자료_한국심리'!$G466),ISNUMBER('자료_한국심리'!$H466)),'자료_한국심리'!$G466,"")</f>
        <v/>
      </c>
      <c r="X482">
        <f>IF(AND(ISNUMBER('자료_한국심리'!$J466),ISNUMBER('자료_한국심리'!$K466)),'자료_한국심리'!$J466,"")</f>
        <v/>
      </c>
      <c r="Y482">
        <f>IF(AND(ISNUMBER('자료_한국심리'!$M466),ISNUMBER('자료_한국심리'!$N466)),'자료_한국심리'!$M466,"")</f>
        <v/>
      </c>
    </row>
    <row r="483">
      <c r="A483" s="10">
        <f>IF(465&gt;$E$5,"",SMALL($U$19:$U$4018,$E$6+465))</f>
        <v/>
      </c>
      <c r="B483" s="29">
        <f>IF(A483="","",INDEX('자료_한국심리'!$B$3:$B$4002,MATCH(A483,$U$19:$U$4018,0)))</f>
        <v/>
      </c>
      <c r="C483" s="22">
        <f>IF(A483="","",B483/AVERAGE(B359:B483)-1)</f>
        <v/>
      </c>
      <c r="D483" s="29">
        <f>IF(A483="","",IFERROR(INDEX('자료_한국심리'!$E$3:$E$4002,MATCH(A483,$V$19:$V$4018,0)),D482))</f>
        <v/>
      </c>
      <c r="E483" s="30">
        <f>IF(A483="","",IFERROR(INDEX('자료_한국심리'!$H$3:$H$4002,MATCH(A483,$W$19:$W$4018,0)),E482))</f>
        <v/>
      </c>
      <c r="F483" s="30">
        <f>IF(A483="","",IFERROR(INDEX('자료_한국심리'!$K$3:$K$4002,MATCH(A483,$X$19:$X$4018,0)),F482))</f>
        <v/>
      </c>
      <c r="G483" s="30">
        <f>IF(AND(ISNUMBER(E483),ISNUMBER(F483)),ROUND(E483-F483,6),"")</f>
        <v/>
      </c>
      <c r="H483" s="25">
        <f>IF(A483="","",IFERROR(INDEX('자료_한국심리'!$N$3:$N$4002,MATCH(A483,$Y$19:$Y$4018,0)),H482))</f>
        <v/>
      </c>
      <c r="I483" s="31">
        <f>IF(AND(ISNUMBER(H483),ISNUMBER(H463)),IF(H463&gt;0,H483/H463-1,""),"")</f>
        <v/>
      </c>
      <c r="J483">
        <f>IF(A483="",0,IF(A483&gt;$B$5,1,0))</f>
        <v/>
      </c>
      <c r="K483" s="29">
        <f>IF(AND(J483=1,ISNUMBER(D483)),D483,"")</f>
        <v/>
      </c>
      <c r="L483" s="30">
        <f>IF(AND(J483=1,ISNUMBER(G483)),G483,"")</f>
        <v/>
      </c>
      <c r="M483" s="22">
        <f>IF(AND(J483=1,ISNUMBER(C483)),C483,"")</f>
        <v/>
      </c>
      <c r="N483" s="31">
        <f>IF(AND(J483=1,ISNUMBER(I483)),I483,"")</f>
        <v/>
      </c>
      <c r="O483" s="11">
        <f>IF(K483="","",100-IF($G$13=1,50,(_xlfn.RANK.AVG(K483,$K$19:$K$1518,1)-1)/($G$13-1)*100))</f>
        <v/>
      </c>
      <c r="P483" s="11">
        <f>IF(L483="","",100-IF($G$14=1,50,(_xlfn.RANK.AVG(L483,$L$19:$L$1518,1)-1)/($G$14-1)*100))</f>
        <v/>
      </c>
      <c r="Q483" s="11">
        <f>IF(M483="","",IF($G$15=1,50,(_xlfn.RANK.AVG(M483,$M$19:$M$1518,1)-1)/($G$15-1)*100))</f>
        <v/>
      </c>
      <c r="R483" s="11">
        <f>IF(N483="","",IF($G$16=1,50,(_xlfn.RANK.AVG(N483,$N$19:$N$1518,1)-1)/($G$16-1)*100))</f>
        <v/>
      </c>
      <c r="S483" s="11">
        <f>IF(COUNT(O483:R483)=4,ROUND(AVERAGE(O483:R483),6),"")</f>
        <v/>
      </c>
      <c r="U483">
        <f>IF(AND(ISNUMBER('자료_한국심리'!$A467),ISNUMBER('자료_한국심리'!$B467)),'자료_한국심리'!$A467,"")</f>
        <v/>
      </c>
      <c r="V483">
        <f>IF(AND(ISNUMBER('자료_한국심리'!$D467),ISNUMBER('자료_한국심리'!$E467)),'자료_한국심리'!$D467,"")</f>
        <v/>
      </c>
      <c r="W483">
        <f>IF(AND(ISNUMBER('자료_한국심리'!$G467),ISNUMBER('자료_한국심리'!$H467)),'자료_한국심리'!$G467,"")</f>
        <v/>
      </c>
      <c r="X483">
        <f>IF(AND(ISNUMBER('자료_한국심리'!$J467),ISNUMBER('자료_한국심리'!$K467)),'자료_한국심리'!$J467,"")</f>
        <v/>
      </c>
      <c r="Y483">
        <f>IF(AND(ISNUMBER('자료_한국심리'!$M467),ISNUMBER('자료_한국심리'!$N467)),'자료_한국심리'!$M467,"")</f>
        <v/>
      </c>
    </row>
    <row r="484">
      <c r="A484" s="10">
        <f>IF(466&gt;$E$5,"",SMALL($U$19:$U$4018,$E$6+466))</f>
        <v/>
      </c>
      <c r="B484" s="29">
        <f>IF(A484="","",INDEX('자료_한국심리'!$B$3:$B$4002,MATCH(A484,$U$19:$U$4018,0)))</f>
        <v/>
      </c>
      <c r="C484" s="22">
        <f>IF(A484="","",B484/AVERAGE(B360:B484)-1)</f>
        <v/>
      </c>
      <c r="D484" s="29">
        <f>IF(A484="","",IFERROR(INDEX('자료_한국심리'!$E$3:$E$4002,MATCH(A484,$V$19:$V$4018,0)),D483))</f>
        <v/>
      </c>
      <c r="E484" s="30">
        <f>IF(A484="","",IFERROR(INDEX('자료_한국심리'!$H$3:$H$4002,MATCH(A484,$W$19:$W$4018,0)),E483))</f>
        <v/>
      </c>
      <c r="F484" s="30">
        <f>IF(A484="","",IFERROR(INDEX('자료_한국심리'!$K$3:$K$4002,MATCH(A484,$X$19:$X$4018,0)),F483))</f>
        <v/>
      </c>
      <c r="G484" s="30">
        <f>IF(AND(ISNUMBER(E484),ISNUMBER(F484)),ROUND(E484-F484,6),"")</f>
        <v/>
      </c>
      <c r="H484" s="25">
        <f>IF(A484="","",IFERROR(INDEX('자료_한국심리'!$N$3:$N$4002,MATCH(A484,$Y$19:$Y$4018,0)),H483))</f>
        <v/>
      </c>
      <c r="I484" s="31">
        <f>IF(AND(ISNUMBER(H484),ISNUMBER(H464)),IF(H464&gt;0,H484/H464-1,""),"")</f>
        <v/>
      </c>
      <c r="J484">
        <f>IF(A484="",0,IF(A484&gt;$B$5,1,0))</f>
        <v/>
      </c>
      <c r="K484" s="29">
        <f>IF(AND(J484=1,ISNUMBER(D484)),D484,"")</f>
        <v/>
      </c>
      <c r="L484" s="30">
        <f>IF(AND(J484=1,ISNUMBER(G484)),G484,"")</f>
        <v/>
      </c>
      <c r="M484" s="22">
        <f>IF(AND(J484=1,ISNUMBER(C484)),C484,"")</f>
        <v/>
      </c>
      <c r="N484" s="31">
        <f>IF(AND(J484=1,ISNUMBER(I484)),I484,"")</f>
        <v/>
      </c>
      <c r="O484" s="11">
        <f>IF(K484="","",100-IF($G$13=1,50,(_xlfn.RANK.AVG(K484,$K$19:$K$1518,1)-1)/($G$13-1)*100))</f>
        <v/>
      </c>
      <c r="P484" s="11">
        <f>IF(L484="","",100-IF($G$14=1,50,(_xlfn.RANK.AVG(L484,$L$19:$L$1518,1)-1)/($G$14-1)*100))</f>
        <v/>
      </c>
      <c r="Q484" s="11">
        <f>IF(M484="","",IF($G$15=1,50,(_xlfn.RANK.AVG(M484,$M$19:$M$1518,1)-1)/($G$15-1)*100))</f>
        <v/>
      </c>
      <c r="R484" s="11">
        <f>IF(N484="","",IF($G$16=1,50,(_xlfn.RANK.AVG(N484,$N$19:$N$1518,1)-1)/($G$16-1)*100))</f>
        <v/>
      </c>
      <c r="S484" s="11">
        <f>IF(COUNT(O484:R484)=4,ROUND(AVERAGE(O484:R484),6),"")</f>
        <v/>
      </c>
      <c r="U484">
        <f>IF(AND(ISNUMBER('자료_한국심리'!$A468),ISNUMBER('자료_한국심리'!$B468)),'자료_한국심리'!$A468,"")</f>
        <v/>
      </c>
      <c r="V484">
        <f>IF(AND(ISNUMBER('자료_한국심리'!$D468),ISNUMBER('자료_한국심리'!$E468)),'자료_한국심리'!$D468,"")</f>
        <v/>
      </c>
      <c r="W484">
        <f>IF(AND(ISNUMBER('자료_한국심리'!$G468),ISNUMBER('자료_한국심리'!$H468)),'자료_한국심리'!$G468,"")</f>
        <v/>
      </c>
      <c r="X484">
        <f>IF(AND(ISNUMBER('자료_한국심리'!$J468),ISNUMBER('자료_한국심리'!$K468)),'자료_한국심리'!$J468,"")</f>
        <v/>
      </c>
      <c r="Y484">
        <f>IF(AND(ISNUMBER('자료_한국심리'!$M468),ISNUMBER('자료_한국심리'!$N468)),'자료_한국심리'!$M468,"")</f>
        <v/>
      </c>
    </row>
    <row r="485">
      <c r="A485" s="10">
        <f>IF(467&gt;$E$5,"",SMALL($U$19:$U$4018,$E$6+467))</f>
        <v/>
      </c>
      <c r="B485" s="29">
        <f>IF(A485="","",INDEX('자료_한국심리'!$B$3:$B$4002,MATCH(A485,$U$19:$U$4018,0)))</f>
        <v/>
      </c>
      <c r="C485" s="22">
        <f>IF(A485="","",B485/AVERAGE(B361:B485)-1)</f>
        <v/>
      </c>
      <c r="D485" s="29">
        <f>IF(A485="","",IFERROR(INDEX('자료_한국심리'!$E$3:$E$4002,MATCH(A485,$V$19:$V$4018,0)),D484))</f>
        <v/>
      </c>
      <c r="E485" s="30">
        <f>IF(A485="","",IFERROR(INDEX('자료_한국심리'!$H$3:$H$4002,MATCH(A485,$W$19:$W$4018,0)),E484))</f>
        <v/>
      </c>
      <c r="F485" s="30">
        <f>IF(A485="","",IFERROR(INDEX('자료_한국심리'!$K$3:$K$4002,MATCH(A485,$X$19:$X$4018,0)),F484))</f>
        <v/>
      </c>
      <c r="G485" s="30">
        <f>IF(AND(ISNUMBER(E485),ISNUMBER(F485)),ROUND(E485-F485,6),"")</f>
        <v/>
      </c>
      <c r="H485" s="25">
        <f>IF(A485="","",IFERROR(INDEX('자료_한국심리'!$N$3:$N$4002,MATCH(A485,$Y$19:$Y$4018,0)),H484))</f>
        <v/>
      </c>
      <c r="I485" s="31">
        <f>IF(AND(ISNUMBER(H485),ISNUMBER(H465)),IF(H465&gt;0,H485/H465-1,""),"")</f>
        <v/>
      </c>
      <c r="J485">
        <f>IF(A485="",0,IF(A485&gt;$B$5,1,0))</f>
        <v/>
      </c>
      <c r="K485" s="29">
        <f>IF(AND(J485=1,ISNUMBER(D485)),D485,"")</f>
        <v/>
      </c>
      <c r="L485" s="30">
        <f>IF(AND(J485=1,ISNUMBER(G485)),G485,"")</f>
        <v/>
      </c>
      <c r="M485" s="22">
        <f>IF(AND(J485=1,ISNUMBER(C485)),C485,"")</f>
        <v/>
      </c>
      <c r="N485" s="31">
        <f>IF(AND(J485=1,ISNUMBER(I485)),I485,"")</f>
        <v/>
      </c>
      <c r="O485" s="11">
        <f>IF(K485="","",100-IF($G$13=1,50,(_xlfn.RANK.AVG(K485,$K$19:$K$1518,1)-1)/($G$13-1)*100))</f>
        <v/>
      </c>
      <c r="P485" s="11">
        <f>IF(L485="","",100-IF($G$14=1,50,(_xlfn.RANK.AVG(L485,$L$19:$L$1518,1)-1)/($G$14-1)*100))</f>
        <v/>
      </c>
      <c r="Q485" s="11">
        <f>IF(M485="","",IF($G$15=1,50,(_xlfn.RANK.AVG(M485,$M$19:$M$1518,1)-1)/($G$15-1)*100))</f>
        <v/>
      </c>
      <c r="R485" s="11">
        <f>IF(N485="","",IF($G$16=1,50,(_xlfn.RANK.AVG(N485,$N$19:$N$1518,1)-1)/($G$16-1)*100))</f>
        <v/>
      </c>
      <c r="S485" s="11">
        <f>IF(COUNT(O485:R485)=4,ROUND(AVERAGE(O485:R485),6),"")</f>
        <v/>
      </c>
      <c r="U485">
        <f>IF(AND(ISNUMBER('자료_한국심리'!$A469),ISNUMBER('자료_한국심리'!$B469)),'자료_한국심리'!$A469,"")</f>
        <v/>
      </c>
      <c r="V485">
        <f>IF(AND(ISNUMBER('자료_한국심리'!$D469),ISNUMBER('자료_한국심리'!$E469)),'자료_한국심리'!$D469,"")</f>
        <v/>
      </c>
      <c r="W485">
        <f>IF(AND(ISNUMBER('자료_한국심리'!$G469),ISNUMBER('자료_한국심리'!$H469)),'자료_한국심리'!$G469,"")</f>
        <v/>
      </c>
      <c r="X485">
        <f>IF(AND(ISNUMBER('자료_한국심리'!$J469),ISNUMBER('자료_한국심리'!$K469)),'자료_한국심리'!$J469,"")</f>
        <v/>
      </c>
      <c r="Y485">
        <f>IF(AND(ISNUMBER('자료_한국심리'!$M469),ISNUMBER('자료_한국심리'!$N469)),'자료_한국심리'!$M469,"")</f>
        <v/>
      </c>
    </row>
    <row r="486">
      <c r="A486" s="10">
        <f>IF(468&gt;$E$5,"",SMALL($U$19:$U$4018,$E$6+468))</f>
        <v/>
      </c>
      <c r="B486" s="29">
        <f>IF(A486="","",INDEX('자료_한국심리'!$B$3:$B$4002,MATCH(A486,$U$19:$U$4018,0)))</f>
        <v/>
      </c>
      <c r="C486" s="22">
        <f>IF(A486="","",B486/AVERAGE(B362:B486)-1)</f>
        <v/>
      </c>
      <c r="D486" s="29">
        <f>IF(A486="","",IFERROR(INDEX('자료_한국심리'!$E$3:$E$4002,MATCH(A486,$V$19:$V$4018,0)),D485))</f>
        <v/>
      </c>
      <c r="E486" s="30">
        <f>IF(A486="","",IFERROR(INDEX('자료_한국심리'!$H$3:$H$4002,MATCH(A486,$W$19:$W$4018,0)),E485))</f>
        <v/>
      </c>
      <c r="F486" s="30">
        <f>IF(A486="","",IFERROR(INDEX('자료_한국심리'!$K$3:$K$4002,MATCH(A486,$X$19:$X$4018,0)),F485))</f>
        <v/>
      </c>
      <c r="G486" s="30">
        <f>IF(AND(ISNUMBER(E486),ISNUMBER(F486)),ROUND(E486-F486,6),"")</f>
        <v/>
      </c>
      <c r="H486" s="25">
        <f>IF(A486="","",IFERROR(INDEX('자료_한국심리'!$N$3:$N$4002,MATCH(A486,$Y$19:$Y$4018,0)),H485))</f>
        <v/>
      </c>
      <c r="I486" s="31">
        <f>IF(AND(ISNUMBER(H486),ISNUMBER(H466)),IF(H466&gt;0,H486/H466-1,""),"")</f>
        <v/>
      </c>
      <c r="J486">
        <f>IF(A486="",0,IF(A486&gt;$B$5,1,0))</f>
        <v/>
      </c>
      <c r="K486" s="29">
        <f>IF(AND(J486=1,ISNUMBER(D486)),D486,"")</f>
        <v/>
      </c>
      <c r="L486" s="30">
        <f>IF(AND(J486=1,ISNUMBER(G486)),G486,"")</f>
        <v/>
      </c>
      <c r="M486" s="22">
        <f>IF(AND(J486=1,ISNUMBER(C486)),C486,"")</f>
        <v/>
      </c>
      <c r="N486" s="31">
        <f>IF(AND(J486=1,ISNUMBER(I486)),I486,"")</f>
        <v/>
      </c>
      <c r="O486" s="11">
        <f>IF(K486="","",100-IF($G$13=1,50,(_xlfn.RANK.AVG(K486,$K$19:$K$1518,1)-1)/($G$13-1)*100))</f>
        <v/>
      </c>
      <c r="P486" s="11">
        <f>IF(L486="","",100-IF($G$14=1,50,(_xlfn.RANK.AVG(L486,$L$19:$L$1518,1)-1)/($G$14-1)*100))</f>
        <v/>
      </c>
      <c r="Q486" s="11">
        <f>IF(M486="","",IF($G$15=1,50,(_xlfn.RANK.AVG(M486,$M$19:$M$1518,1)-1)/($G$15-1)*100))</f>
        <v/>
      </c>
      <c r="R486" s="11">
        <f>IF(N486="","",IF($G$16=1,50,(_xlfn.RANK.AVG(N486,$N$19:$N$1518,1)-1)/($G$16-1)*100))</f>
        <v/>
      </c>
      <c r="S486" s="11">
        <f>IF(COUNT(O486:R486)=4,ROUND(AVERAGE(O486:R486),6),"")</f>
        <v/>
      </c>
      <c r="U486">
        <f>IF(AND(ISNUMBER('자료_한국심리'!$A470),ISNUMBER('자료_한국심리'!$B470)),'자료_한국심리'!$A470,"")</f>
        <v/>
      </c>
      <c r="V486">
        <f>IF(AND(ISNUMBER('자료_한국심리'!$D470),ISNUMBER('자료_한국심리'!$E470)),'자료_한국심리'!$D470,"")</f>
        <v/>
      </c>
      <c r="W486">
        <f>IF(AND(ISNUMBER('자료_한국심리'!$G470),ISNUMBER('자료_한국심리'!$H470)),'자료_한국심리'!$G470,"")</f>
        <v/>
      </c>
      <c r="X486">
        <f>IF(AND(ISNUMBER('자료_한국심리'!$J470),ISNUMBER('자료_한국심리'!$K470)),'자료_한국심리'!$J470,"")</f>
        <v/>
      </c>
      <c r="Y486">
        <f>IF(AND(ISNUMBER('자료_한국심리'!$M470),ISNUMBER('자료_한국심리'!$N470)),'자료_한국심리'!$M470,"")</f>
        <v/>
      </c>
    </row>
    <row r="487">
      <c r="A487" s="10">
        <f>IF(469&gt;$E$5,"",SMALL($U$19:$U$4018,$E$6+469))</f>
        <v/>
      </c>
      <c r="B487" s="29">
        <f>IF(A487="","",INDEX('자료_한국심리'!$B$3:$B$4002,MATCH(A487,$U$19:$U$4018,0)))</f>
        <v/>
      </c>
      <c r="C487" s="22">
        <f>IF(A487="","",B487/AVERAGE(B363:B487)-1)</f>
        <v/>
      </c>
      <c r="D487" s="29">
        <f>IF(A487="","",IFERROR(INDEX('자료_한국심리'!$E$3:$E$4002,MATCH(A487,$V$19:$V$4018,0)),D486))</f>
        <v/>
      </c>
      <c r="E487" s="30">
        <f>IF(A487="","",IFERROR(INDEX('자료_한국심리'!$H$3:$H$4002,MATCH(A487,$W$19:$W$4018,0)),E486))</f>
        <v/>
      </c>
      <c r="F487" s="30">
        <f>IF(A487="","",IFERROR(INDEX('자료_한국심리'!$K$3:$K$4002,MATCH(A487,$X$19:$X$4018,0)),F486))</f>
        <v/>
      </c>
      <c r="G487" s="30">
        <f>IF(AND(ISNUMBER(E487),ISNUMBER(F487)),ROUND(E487-F487,6),"")</f>
        <v/>
      </c>
      <c r="H487" s="25">
        <f>IF(A487="","",IFERROR(INDEX('자료_한국심리'!$N$3:$N$4002,MATCH(A487,$Y$19:$Y$4018,0)),H486))</f>
        <v/>
      </c>
      <c r="I487" s="31">
        <f>IF(AND(ISNUMBER(H487),ISNUMBER(H467)),IF(H467&gt;0,H487/H467-1,""),"")</f>
        <v/>
      </c>
      <c r="J487">
        <f>IF(A487="",0,IF(A487&gt;$B$5,1,0))</f>
        <v/>
      </c>
      <c r="K487" s="29">
        <f>IF(AND(J487=1,ISNUMBER(D487)),D487,"")</f>
        <v/>
      </c>
      <c r="L487" s="30">
        <f>IF(AND(J487=1,ISNUMBER(G487)),G487,"")</f>
        <v/>
      </c>
      <c r="M487" s="22">
        <f>IF(AND(J487=1,ISNUMBER(C487)),C487,"")</f>
        <v/>
      </c>
      <c r="N487" s="31">
        <f>IF(AND(J487=1,ISNUMBER(I487)),I487,"")</f>
        <v/>
      </c>
      <c r="O487" s="11">
        <f>IF(K487="","",100-IF($G$13=1,50,(_xlfn.RANK.AVG(K487,$K$19:$K$1518,1)-1)/($G$13-1)*100))</f>
        <v/>
      </c>
      <c r="P487" s="11">
        <f>IF(L487="","",100-IF($G$14=1,50,(_xlfn.RANK.AVG(L487,$L$19:$L$1518,1)-1)/($G$14-1)*100))</f>
        <v/>
      </c>
      <c r="Q487" s="11">
        <f>IF(M487="","",IF($G$15=1,50,(_xlfn.RANK.AVG(M487,$M$19:$M$1518,1)-1)/($G$15-1)*100))</f>
        <v/>
      </c>
      <c r="R487" s="11">
        <f>IF(N487="","",IF($G$16=1,50,(_xlfn.RANK.AVG(N487,$N$19:$N$1518,1)-1)/($G$16-1)*100))</f>
        <v/>
      </c>
      <c r="S487" s="11">
        <f>IF(COUNT(O487:R487)=4,ROUND(AVERAGE(O487:R487),6),"")</f>
        <v/>
      </c>
      <c r="U487">
        <f>IF(AND(ISNUMBER('자료_한국심리'!$A471),ISNUMBER('자료_한국심리'!$B471)),'자료_한국심리'!$A471,"")</f>
        <v/>
      </c>
      <c r="V487">
        <f>IF(AND(ISNUMBER('자료_한국심리'!$D471),ISNUMBER('자료_한국심리'!$E471)),'자료_한국심리'!$D471,"")</f>
        <v/>
      </c>
      <c r="W487">
        <f>IF(AND(ISNUMBER('자료_한국심리'!$G471),ISNUMBER('자료_한국심리'!$H471)),'자료_한국심리'!$G471,"")</f>
        <v/>
      </c>
      <c r="X487">
        <f>IF(AND(ISNUMBER('자료_한국심리'!$J471),ISNUMBER('자료_한국심리'!$K471)),'자료_한국심리'!$J471,"")</f>
        <v/>
      </c>
      <c r="Y487">
        <f>IF(AND(ISNUMBER('자료_한국심리'!$M471),ISNUMBER('자료_한국심리'!$N471)),'자료_한국심리'!$M471,"")</f>
        <v/>
      </c>
    </row>
    <row r="488">
      <c r="A488" s="10">
        <f>IF(470&gt;$E$5,"",SMALL($U$19:$U$4018,$E$6+470))</f>
        <v/>
      </c>
      <c r="B488" s="29">
        <f>IF(A488="","",INDEX('자료_한국심리'!$B$3:$B$4002,MATCH(A488,$U$19:$U$4018,0)))</f>
        <v/>
      </c>
      <c r="C488" s="22">
        <f>IF(A488="","",B488/AVERAGE(B364:B488)-1)</f>
        <v/>
      </c>
      <c r="D488" s="29">
        <f>IF(A488="","",IFERROR(INDEX('자료_한국심리'!$E$3:$E$4002,MATCH(A488,$V$19:$V$4018,0)),D487))</f>
        <v/>
      </c>
      <c r="E488" s="30">
        <f>IF(A488="","",IFERROR(INDEX('자료_한국심리'!$H$3:$H$4002,MATCH(A488,$W$19:$W$4018,0)),E487))</f>
        <v/>
      </c>
      <c r="F488" s="30">
        <f>IF(A488="","",IFERROR(INDEX('자료_한국심리'!$K$3:$K$4002,MATCH(A488,$X$19:$X$4018,0)),F487))</f>
        <v/>
      </c>
      <c r="G488" s="30">
        <f>IF(AND(ISNUMBER(E488),ISNUMBER(F488)),ROUND(E488-F488,6),"")</f>
        <v/>
      </c>
      <c r="H488" s="25">
        <f>IF(A488="","",IFERROR(INDEX('자료_한국심리'!$N$3:$N$4002,MATCH(A488,$Y$19:$Y$4018,0)),H487))</f>
        <v/>
      </c>
      <c r="I488" s="31">
        <f>IF(AND(ISNUMBER(H488),ISNUMBER(H468)),IF(H468&gt;0,H488/H468-1,""),"")</f>
        <v/>
      </c>
      <c r="J488">
        <f>IF(A488="",0,IF(A488&gt;$B$5,1,0))</f>
        <v/>
      </c>
      <c r="K488" s="29">
        <f>IF(AND(J488=1,ISNUMBER(D488)),D488,"")</f>
        <v/>
      </c>
      <c r="L488" s="30">
        <f>IF(AND(J488=1,ISNUMBER(G488)),G488,"")</f>
        <v/>
      </c>
      <c r="M488" s="22">
        <f>IF(AND(J488=1,ISNUMBER(C488)),C488,"")</f>
        <v/>
      </c>
      <c r="N488" s="31">
        <f>IF(AND(J488=1,ISNUMBER(I488)),I488,"")</f>
        <v/>
      </c>
      <c r="O488" s="11">
        <f>IF(K488="","",100-IF($G$13=1,50,(_xlfn.RANK.AVG(K488,$K$19:$K$1518,1)-1)/($G$13-1)*100))</f>
        <v/>
      </c>
      <c r="P488" s="11">
        <f>IF(L488="","",100-IF($G$14=1,50,(_xlfn.RANK.AVG(L488,$L$19:$L$1518,1)-1)/($G$14-1)*100))</f>
        <v/>
      </c>
      <c r="Q488" s="11">
        <f>IF(M488="","",IF($G$15=1,50,(_xlfn.RANK.AVG(M488,$M$19:$M$1518,1)-1)/($G$15-1)*100))</f>
        <v/>
      </c>
      <c r="R488" s="11">
        <f>IF(N488="","",IF($G$16=1,50,(_xlfn.RANK.AVG(N488,$N$19:$N$1518,1)-1)/($G$16-1)*100))</f>
        <v/>
      </c>
      <c r="S488" s="11">
        <f>IF(COUNT(O488:R488)=4,ROUND(AVERAGE(O488:R488),6),"")</f>
        <v/>
      </c>
      <c r="U488">
        <f>IF(AND(ISNUMBER('자료_한국심리'!$A472),ISNUMBER('자료_한국심리'!$B472)),'자료_한국심리'!$A472,"")</f>
        <v/>
      </c>
      <c r="V488">
        <f>IF(AND(ISNUMBER('자료_한국심리'!$D472),ISNUMBER('자료_한국심리'!$E472)),'자료_한국심리'!$D472,"")</f>
        <v/>
      </c>
      <c r="W488">
        <f>IF(AND(ISNUMBER('자료_한국심리'!$G472),ISNUMBER('자료_한국심리'!$H472)),'자료_한국심리'!$G472,"")</f>
        <v/>
      </c>
      <c r="X488">
        <f>IF(AND(ISNUMBER('자료_한국심리'!$J472),ISNUMBER('자료_한국심리'!$K472)),'자료_한국심리'!$J472,"")</f>
        <v/>
      </c>
      <c r="Y488">
        <f>IF(AND(ISNUMBER('자료_한국심리'!$M472),ISNUMBER('자료_한국심리'!$N472)),'자료_한국심리'!$M472,"")</f>
        <v/>
      </c>
    </row>
    <row r="489">
      <c r="A489" s="10">
        <f>IF(471&gt;$E$5,"",SMALL($U$19:$U$4018,$E$6+471))</f>
        <v/>
      </c>
      <c r="B489" s="29">
        <f>IF(A489="","",INDEX('자료_한국심리'!$B$3:$B$4002,MATCH(A489,$U$19:$U$4018,0)))</f>
        <v/>
      </c>
      <c r="C489" s="22">
        <f>IF(A489="","",B489/AVERAGE(B365:B489)-1)</f>
        <v/>
      </c>
      <c r="D489" s="29">
        <f>IF(A489="","",IFERROR(INDEX('자료_한국심리'!$E$3:$E$4002,MATCH(A489,$V$19:$V$4018,0)),D488))</f>
        <v/>
      </c>
      <c r="E489" s="30">
        <f>IF(A489="","",IFERROR(INDEX('자료_한국심리'!$H$3:$H$4002,MATCH(A489,$W$19:$W$4018,0)),E488))</f>
        <v/>
      </c>
      <c r="F489" s="30">
        <f>IF(A489="","",IFERROR(INDEX('자료_한국심리'!$K$3:$K$4002,MATCH(A489,$X$19:$X$4018,0)),F488))</f>
        <v/>
      </c>
      <c r="G489" s="30">
        <f>IF(AND(ISNUMBER(E489),ISNUMBER(F489)),ROUND(E489-F489,6),"")</f>
        <v/>
      </c>
      <c r="H489" s="25">
        <f>IF(A489="","",IFERROR(INDEX('자료_한국심리'!$N$3:$N$4002,MATCH(A489,$Y$19:$Y$4018,0)),H488))</f>
        <v/>
      </c>
      <c r="I489" s="31">
        <f>IF(AND(ISNUMBER(H489),ISNUMBER(H469)),IF(H469&gt;0,H489/H469-1,""),"")</f>
        <v/>
      </c>
      <c r="J489">
        <f>IF(A489="",0,IF(A489&gt;$B$5,1,0))</f>
        <v/>
      </c>
      <c r="K489" s="29">
        <f>IF(AND(J489=1,ISNUMBER(D489)),D489,"")</f>
        <v/>
      </c>
      <c r="L489" s="30">
        <f>IF(AND(J489=1,ISNUMBER(G489)),G489,"")</f>
        <v/>
      </c>
      <c r="M489" s="22">
        <f>IF(AND(J489=1,ISNUMBER(C489)),C489,"")</f>
        <v/>
      </c>
      <c r="N489" s="31">
        <f>IF(AND(J489=1,ISNUMBER(I489)),I489,"")</f>
        <v/>
      </c>
      <c r="O489" s="11">
        <f>IF(K489="","",100-IF($G$13=1,50,(_xlfn.RANK.AVG(K489,$K$19:$K$1518,1)-1)/($G$13-1)*100))</f>
        <v/>
      </c>
      <c r="P489" s="11">
        <f>IF(L489="","",100-IF($G$14=1,50,(_xlfn.RANK.AVG(L489,$L$19:$L$1518,1)-1)/($G$14-1)*100))</f>
        <v/>
      </c>
      <c r="Q489" s="11">
        <f>IF(M489="","",IF($G$15=1,50,(_xlfn.RANK.AVG(M489,$M$19:$M$1518,1)-1)/($G$15-1)*100))</f>
        <v/>
      </c>
      <c r="R489" s="11">
        <f>IF(N489="","",IF($G$16=1,50,(_xlfn.RANK.AVG(N489,$N$19:$N$1518,1)-1)/($G$16-1)*100))</f>
        <v/>
      </c>
      <c r="S489" s="11">
        <f>IF(COUNT(O489:R489)=4,ROUND(AVERAGE(O489:R489),6),"")</f>
        <v/>
      </c>
      <c r="U489">
        <f>IF(AND(ISNUMBER('자료_한국심리'!$A473),ISNUMBER('자료_한국심리'!$B473)),'자료_한국심리'!$A473,"")</f>
        <v/>
      </c>
      <c r="V489">
        <f>IF(AND(ISNUMBER('자료_한국심리'!$D473),ISNUMBER('자료_한국심리'!$E473)),'자료_한국심리'!$D473,"")</f>
        <v/>
      </c>
      <c r="W489">
        <f>IF(AND(ISNUMBER('자료_한국심리'!$G473),ISNUMBER('자료_한국심리'!$H473)),'자료_한국심리'!$G473,"")</f>
        <v/>
      </c>
      <c r="X489">
        <f>IF(AND(ISNUMBER('자료_한국심리'!$J473),ISNUMBER('자료_한국심리'!$K473)),'자료_한국심리'!$J473,"")</f>
        <v/>
      </c>
      <c r="Y489">
        <f>IF(AND(ISNUMBER('자료_한국심리'!$M473),ISNUMBER('자료_한국심리'!$N473)),'자료_한국심리'!$M473,"")</f>
        <v/>
      </c>
    </row>
    <row r="490">
      <c r="A490" s="10">
        <f>IF(472&gt;$E$5,"",SMALL($U$19:$U$4018,$E$6+472))</f>
        <v/>
      </c>
      <c r="B490" s="29">
        <f>IF(A490="","",INDEX('자료_한국심리'!$B$3:$B$4002,MATCH(A490,$U$19:$U$4018,0)))</f>
        <v/>
      </c>
      <c r="C490" s="22">
        <f>IF(A490="","",B490/AVERAGE(B366:B490)-1)</f>
        <v/>
      </c>
      <c r="D490" s="29">
        <f>IF(A490="","",IFERROR(INDEX('자료_한국심리'!$E$3:$E$4002,MATCH(A490,$V$19:$V$4018,0)),D489))</f>
        <v/>
      </c>
      <c r="E490" s="30">
        <f>IF(A490="","",IFERROR(INDEX('자료_한국심리'!$H$3:$H$4002,MATCH(A490,$W$19:$W$4018,0)),E489))</f>
        <v/>
      </c>
      <c r="F490" s="30">
        <f>IF(A490="","",IFERROR(INDEX('자료_한국심리'!$K$3:$K$4002,MATCH(A490,$X$19:$X$4018,0)),F489))</f>
        <v/>
      </c>
      <c r="G490" s="30">
        <f>IF(AND(ISNUMBER(E490),ISNUMBER(F490)),ROUND(E490-F490,6),"")</f>
        <v/>
      </c>
      <c r="H490" s="25">
        <f>IF(A490="","",IFERROR(INDEX('자료_한국심리'!$N$3:$N$4002,MATCH(A490,$Y$19:$Y$4018,0)),H489))</f>
        <v/>
      </c>
      <c r="I490" s="31">
        <f>IF(AND(ISNUMBER(H490),ISNUMBER(H470)),IF(H470&gt;0,H490/H470-1,""),"")</f>
        <v/>
      </c>
      <c r="J490">
        <f>IF(A490="",0,IF(A490&gt;$B$5,1,0))</f>
        <v/>
      </c>
      <c r="K490" s="29">
        <f>IF(AND(J490=1,ISNUMBER(D490)),D490,"")</f>
        <v/>
      </c>
      <c r="L490" s="30">
        <f>IF(AND(J490=1,ISNUMBER(G490)),G490,"")</f>
        <v/>
      </c>
      <c r="M490" s="22">
        <f>IF(AND(J490=1,ISNUMBER(C490)),C490,"")</f>
        <v/>
      </c>
      <c r="N490" s="31">
        <f>IF(AND(J490=1,ISNUMBER(I490)),I490,"")</f>
        <v/>
      </c>
      <c r="O490" s="11">
        <f>IF(K490="","",100-IF($G$13=1,50,(_xlfn.RANK.AVG(K490,$K$19:$K$1518,1)-1)/($G$13-1)*100))</f>
        <v/>
      </c>
      <c r="P490" s="11">
        <f>IF(L490="","",100-IF($G$14=1,50,(_xlfn.RANK.AVG(L490,$L$19:$L$1518,1)-1)/($G$14-1)*100))</f>
        <v/>
      </c>
      <c r="Q490" s="11">
        <f>IF(M490="","",IF($G$15=1,50,(_xlfn.RANK.AVG(M490,$M$19:$M$1518,1)-1)/($G$15-1)*100))</f>
        <v/>
      </c>
      <c r="R490" s="11">
        <f>IF(N490="","",IF($G$16=1,50,(_xlfn.RANK.AVG(N490,$N$19:$N$1518,1)-1)/($G$16-1)*100))</f>
        <v/>
      </c>
      <c r="S490" s="11">
        <f>IF(COUNT(O490:R490)=4,ROUND(AVERAGE(O490:R490),6),"")</f>
        <v/>
      </c>
      <c r="U490">
        <f>IF(AND(ISNUMBER('자료_한국심리'!$A474),ISNUMBER('자료_한국심리'!$B474)),'자료_한국심리'!$A474,"")</f>
        <v/>
      </c>
      <c r="V490">
        <f>IF(AND(ISNUMBER('자료_한국심리'!$D474),ISNUMBER('자료_한국심리'!$E474)),'자료_한국심리'!$D474,"")</f>
        <v/>
      </c>
      <c r="W490">
        <f>IF(AND(ISNUMBER('자료_한국심리'!$G474),ISNUMBER('자료_한국심리'!$H474)),'자료_한국심리'!$G474,"")</f>
        <v/>
      </c>
      <c r="X490">
        <f>IF(AND(ISNUMBER('자료_한국심리'!$J474),ISNUMBER('자료_한국심리'!$K474)),'자료_한국심리'!$J474,"")</f>
        <v/>
      </c>
      <c r="Y490">
        <f>IF(AND(ISNUMBER('자료_한국심리'!$M474),ISNUMBER('자료_한국심리'!$N474)),'자료_한국심리'!$M474,"")</f>
        <v/>
      </c>
    </row>
    <row r="491">
      <c r="A491" s="10">
        <f>IF(473&gt;$E$5,"",SMALL($U$19:$U$4018,$E$6+473))</f>
        <v/>
      </c>
      <c r="B491" s="29">
        <f>IF(A491="","",INDEX('자료_한국심리'!$B$3:$B$4002,MATCH(A491,$U$19:$U$4018,0)))</f>
        <v/>
      </c>
      <c r="C491" s="22">
        <f>IF(A491="","",B491/AVERAGE(B367:B491)-1)</f>
        <v/>
      </c>
      <c r="D491" s="29">
        <f>IF(A491="","",IFERROR(INDEX('자료_한국심리'!$E$3:$E$4002,MATCH(A491,$V$19:$V$4018,0)),D490))</f>
        <v/>
      </c>
      <c r="E491" s="30">
        <f>IF(A491="","",IFERROR(INDEX('자료_한국심리'!$H$3:$H$4002,MATCH(A491,$W$19:$W$4018,0)),E490))</f>
        <v/>
      </c>
      <c r="F491" s="30">
        <f>IF(A491="","",IFERROR(INDEX('자료_한국심리'!$K$3:$K$4002,MATCH(A491,$X$19:$X$4018,0)),F490))</f>
        <v/>
      </c>
      <c r="G491" s="30">
        <f>IF(AND(ISNUMBER(E491),ISNUMBER(F491)),ROUND(E491-F491,6),"")</f>
        <v/>
      </c>
      <c r="H491" s="25">
        <f>IF(A491="","",IFERROR(INDEX('자료_한국심리'!$N$3:$N$4002,MATCH(A491,$Y$19:$Y$4018,0)),H490))</f>
        <v/>
      </c>
      <c r="I491" s="31">
        <f>IF(AND(ISNUMBER(H491),ISNUMBER(H471)),IF(H471&gt;0,H491/H471-1,""),"")</f>
        <v/>
      </c>
      <c r="J491">
        <f>IF(A491="",0,IF(A491&gt;$B$5,1,0))</f>
        <v/>
      </c>
      <c r="K491" s="29">
        <f>IF(AND(J491=1,ISNUMBER(D491)),D491,"")</f>
        <v/>
      </c>
      <c r="L491" s="30">
        <f>IF(AND(J491=1,ISNUMBER(G491)),G491,"")</f>
        <v/>
      </c>
      <c r="M491" s="22">
        <f>IF(AND(J491=1,ISNUMBER(C491)),C491,"")</f>
        <v/>
      </c>
      <c r="N491" s="31">
        <f>IF(AND(J491=1,ISNUMBER(I491)),I491,"")</f>
        <v/>
      </c>
      <c r="O491" s="11">
        <f>IF(K491="","",100-IF($G$13=1,50,(_xlfn.RANK.AVG(K491,$K$19:$K$1518,1)-1)/($G$13-1)*100))</f>
        <v/>
      </c>
      <c r="P491" s="11">
        <f>IF(L491="","",100-IF($G$14=1,50,(_xlfn.RANK.AVG(L491,$L$19:$L$1518,1)-1)/($G$14-1)*100))</f>
        <v/>
      </c>
      <c r="Q491" s="11">
        <f>IF(M491="","",IF($G$15=1,50,(_xlfn.RANK.AVG(M491,$M$19:$M$1518,1)-1)/($G$15-1)*100))</f>
        <v/>
      </c>
      <c r="R491" s="11">
        <f>IF(N491="","",IF($G$16=1,50,(_xlfn.RANK.AVG(N491,$N$19:$N$1518,1)-1)/($G$16-1)*100))</f>
        <v/>
      </c>
      <c r="S491" s="11">
        <f>IF(COUNT(O491:R491)=4,ROUND(AVERAGE(O491:R491),6),"")</f>
        <v/>
      </c>
      <c r="U491">
        <f>IF(AND(ISNUMBER('자료_한국심리'!$A475),ISNUMBER('자료_한국심리'!$B475)),'자료_한국심리'!$A475,"")</f>
        <v/>
      </c>
      <c r="V491">
        <f>IF(AND(ISNUMBER('자료_한국심리'!$D475),ISNUMBER('자료_한국심리'!$E475)),'자료_한국심리'!$D475,"")</f>
        <v/>
      </c>
      <c r="W491">
        <f>IF(AND(ISNUMBER('자료_한국심리'!$G475),ISNUMBER('자료_한국심리'!$H475)),'자료_한국심리'!$G475,"")</f>
        <v/>
      </c>
      <c r="X491">
        <f>IF(AND(ISNUMBER('자료_한국심리'!$J475),ISNUMBER('자료_한국심리'!$K475)),'자료_한국심리'!$J475,"")</f>
        <v/>
      </c>
      <c r="Y491">
        <f>IF(AND(ISNUMBER('자료_한국심리'!$M475),ISNUMBER('자료_한국심리'!$N475)),'자료_한국심리'!$M475,"")</f>
        <v/>
      </c>
    </row>
    <row r="492">
      <c r="A492" s="10">
        <f>IF(474&gt;$E$5,"",SMALL($U$19:$U$4018,$E$6+474))</f>
        <v/>
      </c>
      <c r="B492" s="29">
        <f>IF(A492="","",INDEX('자료_한국심리'!$B$3:$B$4002,MATCH(A492,$U$19:$U$4018,0)))</f>
        <v/>
      </c>
      <c r="C492" s="22">
        <f>IF(A492="","",B492/AVERAGE(B368:B492)-1)</f>
        <v/>
      </c>
      <c r="D492" s="29">
        <f>IF(A492="","",IFERROR(INDEX('자료_한국심리'!$E$3:$E$4002,MATCH(A492,$V$19:$V$4018,0)),D491))</f>
        <v/>
      </c>
      <c r="E492" s="30">
        <f>IF(A492="","",IFERROR(INDEX('자료_한국심리'!$H$3:$H$4002,MATCH(A492,$W$19:$W$4018,0)),E491))</f>
        <v/>
      </c>
      <c r="F492" s="30">
        <f>IF(A492="","",IFERROR(INDEX('자료_한국심리'!$K$3:$K$4002,MATCH(A492,$X$19:$X$4018,0)),F491))</f>
        <v/>
      </c>
      <c r="G492" s="30">
        <f>IF(AND(ISNUMBER(E492),ISNUMBER(F492)),ROUND(E492-F492,6),"")</f>
        <v/>
      </c>
      <c r="H492" s="25">
        <f>IF(A492="","",IFERROR(INDEX('자료_한국심리'!$N$3:$N$4002,MATCH(A492,$Y$19:$Y$4018,0)),H491))</f>
        <v/>
      </c>
      <c r="I492" s="31">
        <f>IF(AND(ISNUMBER(H492),ISNUMBER(H472)),IF(H472&gt;0,H492/H472-1,""),"")</f>
        <v/>
      </c>
      <c r="J492">
        <f>IF(A492="",0,IF(A492&gt;$B$5,1,0))</f>
        <v/>
      </c>
      <c r="K492" s="29">
        <f>IF(AND(J492=1,ISNUMBER(D492)),D492,"")</f>
        <v/>
      </c>
      <c r="L492" s="30">
        <f>IF(AND(J492=1,ISNUMBER(G492)),G492,"")</f>
        <v/>
      </c>
      <c r="M492" s="22">
        <f>IF(AND(J492=1,ISNUMBER(C492)),C492,"")</f>
        <v/>
      </c>
      <c r="N492" s="31">
        <f>IF(AND(J492=1,ISNUMBER(I492)),I492,"")</f>
        <v/>
      </c>
      <c r="O492" s="11">
        <f>IF(K492="","",100-IF($G$13=1,50,(_xlfn.RANK.AVG(K492,$K$19:$K$1518,1)-1)/($G$13-1)*100))</f>
        <v/>
      </c>
      <c r="P492" s="11">
        <f>IF(L492="","",100-IF($G$14=1,50,(_xlfn.RANK.AVG(L492,$L$19:$L$1518,1)-1)/($G$14-1)*100))</f>
        <v/>
      </c>
      <c r="Q492" s="11">
        <f>IF(M492="","",IF($G$15=1,50,(_xlfn.RANK.AVG(M492,$M$19:$M$1518,1)-1)/($G$15-1)*100))</f>
        <v/>
      </c>
      <c r="R492" s="11">
        <f>IF(N492="","",IF($G$16=1,50,(_xlfn.RANK.AVG(N492,$N$19:$N$1518,1)-1)/($G$16-1)*100))</f>
        <v/>
      </c>
      <c r="S492" s="11">
        <f>IF(COUNT(O492:R492)=4,ROUND(AVERAGE(O492:R492),6),"")</f>
        <v/>
      </c>
      <c r="U492">
        <f>IF(AND(ISNUMBER('자료_한국심리'!$A476),ISNUMBER('자료_한국심리'!$B476)),'자료_한국심리'!$A476,"")</f>
        <v/>
      </c>
      <c r="V492">
        <f>IF(AND(ISNUMBER('자료_한국심리'!$D476),ISNUMBER('자료_한국심리'!$E476)),'자료_한국심리'!$D476,"")</f>
        <v/>
      </c>
      <c r="W492">
        <f>IF(AND(ISNUMBER('자료_한국심리'!$G476),ISNUMBER('자료_한국심리'!$H476)),'자료_한국심리'!$G476,"")</f>
        <v/>
      </c>
      <c r="X492">
        <f>IF(AND(ISNUMBER('자료_한국심리'!$J476),ISNUMBER('자료_한국심리'!$K476)),'자료_한국심리'!$J476,"")</f>
        <v/>
      </c>
      <c r="Y492">
        <f>IF(AND(ISNUMBER('자료_한국심리'!$M476),ISNUMBER('자료_한국심리'!$N476)),'자료_한국심리'!$M476,"")</f>
        <v/>
      </c>
    </row>
    <row r="493">
      <c r="A493" s="10">
        <f>IF(475&gt;$E$5,"",SMALL($U$19:$U$4018,$E$6+475))</f>
        <v/>
      </c>
      <c r="B493" s="29">
        <f>IF(A493="","",INDEX('자료_한국심리'!$B$3:$B$4002,MATCH(A493,$U$19:$U$4018,0)))</f>
        <v/>
      </c>
      <c r="C493" s="22">
        <f>IF(A493="","",B493/AVERAGE(B369:B493)-1)</f>
        <v/>
      </c>
      <c r="D493" s="29">
        <f>IF(A493="","",IFERROR(INDEX('자료_한국심리'!$E$3:$E$4002,MATCH(A493,$V$19:$V$4018,0)),D492))</f>
        <v/>
      </c>
      <c r="E493" s="30">
        <f>IF(A493="","",IFERROR(INDEX('자료_한국심리'!$H$3:$H$4002,MATCH(A493,$W$19:$W$4018,0)),E492))</f>
        <v/>
      </c>
      <c r="F493" s="30">
        <f>IF(A493="","",IFERROR(INDEX('자료_한국심리'!$K$3:$K$4002,MATCH(A493,$X$19:$X$4018,0)),F492))</f>
        <v/>
      </c>
      <c r="G493" s="30">
        <f>IF(AND(ISNUMBER(E493),ISNUMBER(F493)),ROUND(E493-F493,6),"")</f>
        <v/>
      </c>
      <c r="H493" s="25">
        <f>IF(A493="","",IFERROR(INDEX('자료_한국심리'!$N$3:$N$4002,MATCH(A493,$Y$19:$Y$4018,0)),H492))</f>
        <v/>
      </c>
      <c r="I493" s="31">
        <f>IF(AND(ISNUMBER(H493),ISNUMBER(H473)),IF(H473&gt;0,H493/H473-1,""),"")</f>
        <v/>
      </c>
      <c r="J493">
        <f>IF(A493="",0,IF(A493&gt;$B$5,1,0))</f>
        <v/>
      </c>
      <c r="K493" s="29">
        <f>IF(AND(J493=1,ISNUMBER(D493)),D493,"")</f>
        <v/>
      </c>
      <c r="L493" s="30">
        <f>IF(AND(J493=1,ISNUMBER(G493)),G493,"")</f>
        <v/>
      </c>
      <c r="M493" s="22">
        <f>IF(AND(J493=1,ISNUMBER(C493)),C493,"")</f>
        <v/>
      </c>
      <c r="N493" s="31">
        <f>IF(AND(J493=1,ISNUMBER(I493)),I493,"")</f>
        <v/>
      </c>
      <c r="O493" s="11">
        <f>IF(K493="","",100-IF($G$13=1,50,(_xlfn.RANK.AVG(K493,$K$19:$K$1518,1)-1)/($G$13-1)*100))</f>
        <v/>
      </c>
      <c r="P493" s="11">
        <f>IF(L493="","",100-IF($G$14=1,50,(_xlfn.RANK.AVG(L493,$L$19:$L$1518,1)-1)/($G$14-1)*100))</f>
        <v/>
      </c>
      <c r="Q493" s="11">
        <f>IF(M493="","",IF($G$15=1,50,(_xlfn.RANK.AVG(M493,$M$19:$M$1518,1)-1)/($G$15-1)*100))</f>
        <v/>
      </c>
      <c r="R493" s="11">
        <f>IF(N493="","",IF($G$16=1,50,(_xlfn.RANK.AVG(N493,$N$19:$N$1518,1)-1)/($G$16-1)*100))</f>
        <v/>
      </c>
      <c r="S493" s="11">
        <f>IF(COUNT(O493:R493)=4,ROUND(AVERAGE(O493:R493),6),"")</f>
        <v/>
      </c>
      <c r="U493">
        <f>IF(AND(ISNUMBER('자료_한국심리'!$A477),ISNUMBER('자료_한국심리'!$B477)),'자료_한국심리'!$A477,"")</f>
        <v/>
      </c>
      <c r="V493">
        <f>IF(AND(ISNUMBER('자료_한국심리'!$D477),ISNUMBER('자료_한국심리'!$E477)),'자료_한국심리'!$D477,"")</f>
        <v/>
      </c>
      <c r="W493">
        <f>IF(AND(ISNUMBER('자료_한국심리'!$G477),ISNUMBER('자료_한국심리'!$H477)),'자료_한국심리'!$G477,"")</f>
        <v/>
      </c>
      <c r="X493">
        <f>IF(AND(ISNUMBER('자료_한국심리'!$J477),ISNUMBER('자료_한국심리'!$K477)),'자료_한국심리'!$J477,"")</f>
        <v/>
      </c>
      <c r="Y493">
        <f>IF(AND(ISNUMBER('자료_한국심리'!$M477),ISNUMBER('자료_한국심리'!$N477)),'자료_한국심리'!$M477,"")</f>
        <v/>
      </c>
    </row>
    <row r="494">
      <c r="A494" s="10">
        <f>IF(476&gt;$E$5,"",SMALL($U$19:$U$4018,$E$6+476))</f>
        <v/>
      </c>
      <c r="B494" s="29">
        <f>IF(A494="","",INDEX('자료_한국심리'!$B$3:$B$4002,MATCH(A494,$U$19:$U$4018,0)))</f>
        <v/>
      </c>
      <c r="C494" s="22">
        <f>IF(A494="","",B494/AVERAGE(B370:B494)-1)</f>
        <v/>
      </c>
      <c r="D494" s="29">
        <f>IF(A494="","",IFERROR(INDEX('자료_한국심리'!$E$3:$E$4002,MATCH(A494,$V$19:$V$4018,0)),D493))</f>
        <v/>
      </c>
      <c r="E494" s="30">
        <f>IF(A494="","",IFERROR(INDEX('자료_한국심리'!$H$3:$H$4002,MATCH(A494,$W$19:$W$4018,0)),E493))</f>
        <v/>
      </c>
      <c r="F494" s="30">
        <f>IF(A494="","",IFERROR(INDEX('자료_한국심리'!$K$3:$K$4002,MATCH(A494,$X$19:$X$4018,0)),F493))</f>
        <v/>
      </c>
      <c r="G494" s="30">
        <f>IF(AND(ISNUMBER(E494),ISNUMBER(F494)),ROUND(E494-F494,6),"")</f>
        <v/>
      </c>
      <c r="H494" s="25">
        <f>IF(A494="","",IFERROR(INDEX('자료_한국심리'!$N$3:$N$4002,MATCH(A494,$Y$19:$Y$4018,0)),H493))</f>
        <v/>
      </c>
      <c r="I494" s="31">
        <f>IF(AND(ISNUMBER(H494),ISNUMBER(H474)),IF(H474&gt;0,H494/H474-1,""),"")</f>
        <v/>
      </c>
      <c r="J494">
        <f>IF(A494="",0,IF(A494&gt;$B$5,1,0))</f>
        <v/>
      </c>
      <c r="K494" s="29">
        <f>IF(AND(J494=1,ISNUMBER(D494)),D494,"")</f>
        <v/>
      </c>
      <c r="L494" s="30">
        <f>IF(AND(J494=1,ISNUMBER(G494)),G494,"")</f>
        <v/>
      </c>
      <c r="M494" s="22">
        <f>IF(AND(J494=1,ISNUMBER(C494)),C494,"")</f>
        <v/>
      </c>
      <c r="N494" s="31">
        <f>IF(AND(J494=1,ISNUMBER(I494)),I494,"")</f>
        <v/>
      </c>
      <c r="O494" s="11">
        <f>IF(K494="","",100-IF($G$13=1,50,(_xlfn.RANK.AVG(K494,$K$19:$K$1518,1)-1)/($G$13-1)*100))</f>
        <v/>
      </c>
      <c r="P494" s="11">
        <f>IF(L494="","",100-IF($G$14=1,50,(_xlfn.RANK.AVG(L494,$L$19:$L$1518,1)-1)/($G$14-1)*100))</f>
        <v/>
      </c>
      <c r="Q494" s="11">
        <f>IF(M494="","",IF($G$15=1,50,(_xlfn.RANK.AVG(M494,$M$19:$M$1518,1)-1)/($G$15-1)*100))</f>
        <v/>
      </c>
      <c r="R494" s="11">
        <f>IF(N494="","",IF($G$16=1,50,(_xlfn.RANK.AVG(N494,$N$19:$N$1518,1)-1)/($G$16-1)*100))</f>
        <v/>
      </c>
      <c r="S494" s="11">
        <f>IF(COUNT(O494:R494)=4,ROUND(AVERAGE(O494:R494),6),"")</f>
        <v/>
      </c>
      <c r="U494">
        <f>IF(AND(ISNUMBER('자료_한국심리'!$A478),ISNUMBER('자료_한국심리'!$B478)),'자료_한국심리'!$A478,"")</f>
        <v/>
      </c>
      <c r="V494">
        <f>IF(AND(ISNUMBER('자료_한국심리'!$D478),ISNUMBER('자료_한국심리'!$E478)),'자료_한국심리'!$D478,"")</f>
        <v/>
      </c>
      <c r="W494">
        <f>IF(AND(ISNUMBER('자료_한국심리'!$G478),ISNUMBER('자료_한국심리'!$H478)),'자료_한국심리'!$G478,"")</f>
        <v/>
      </c>
      <c r="X494">
        <f>IF(AND(ISNUMBER('자료_한국심리'!$J478),ISNUMBER('자료_한국심리'!$K478)),'자료_한국심리'!$J478,"")</f>
        <v/>
      </c>
      <c r="Y494">
        <f>IF(AND(ISNUMBER('자료_한국심리'!$M478),ISNUMBER('자료_한국심리'!$N478)),'자료_한국심리'!$M478,"")</f>
        <v/>
      </c>
    </row>
    <row r="495">
      <c r="A495" s="10">
        <f>IF(477&gt;$E$5,"",SMALL($U$19:$U$4018,$E$6+477))</f>
        <v/>
      </c>
      <c r="B495" s="29">
        <f>IF(A495="","",INDEX('자료_한국심리'!$B$3:$B$4002,MATCH(A495,$U$19:$U$4018,0)))</f>
        <v/>
      </c>
      <c r="C495" s="22">
        <f>IF(A495="","",B495/AVERAGE(B371:B495)-1)</f>
        <v/>
      </c>
      <c r="D495" s="29">
        <f>IF(A495="","",IFERROR(INDEX('자료_한국심리'!$E$3:$E$4002,MATCH(A495,$V$19:$V$4018,0)),D494))</f>
        <v/>
      </c>
      <c r="E495" s="30">
        <f>IF(A495="","",IFERROR(INDEX('자료_한국심리'!$H$3:$H$4002,MATCH(A495,$W$19:$W$4018,0)),E494))</f>
        <v/>
      </c>
      <c r="F495" s="30">
        <f>IF(A495="","",IFERROR(INDEX('자료_한국심리'!$K$3:$K$4002,MATCH(A495,$X$19:$X$4018,0)),F494))</f>
        <v/>
      </c>
      <c r="G495" s="30">
        <f>IF(AND(ISNUMBER(E495),ISNUMBER(F495)),ROUND(E495-F495,6),"")</f>
        <v/>
      </c>
      <c r="H495" s="25">
        <f>IF(A495="","",IFERROR(INDEX('자료_한국심리'!$N$3:$N$4002,MATCH(A495,$Y$19:$Y$4018,0)),H494))</f>
        <v/>
      </c>
      <c r="I495" s="31">
        <f>IF(AND(ISNUMBER(H495),ISNUMBER(H475)),IF(H475&gt;0,H495/H475-1,""),"")</f>
        <v/>
      </c>
      <c r="J495">
        <f>IF(A495="",0,IF(A495&gt;$B$5,1,0))</f>
        <v/>
      </c>
      <c r="K495" s="29">
        <f>IF(AND(J495=1,ISNUMBER(D495)),D495,"")</f>
        <v/>
      </c>
      <c r="L495" s="30">
        <f>IF(AND(J495=1,ISNUMBER(G495)),G495,"")</f>
        <v/>
      </c>
      <c r="M495" s="22">
        <f>IF(AND(J495=1,ISNUMBER(C495)),C495,"")</f>
        <v/>
      </c>
      <c r="N495" s="31">
        <f>IF(AND(J495=1,ISNUMBER(I495)),I495,"")</f>
        <v/>
      </c>
      <c r="O495" s="11">
        <f>IF(K495="","",100-IF($G$13=1,50,(_xlfn.RANK.AVG(K495,$K$19:$K$1518,1)-1)/($G$13-1)*100))</f>
        <v/>
      </c>
      <c r="P495" s="11">
        <f>IF(L495="","",100-IF($G$14=1,50,(_xlfn.RANK.AVG(L495,$L$19:$L$1518,1)-1)/($G$14-1)*100))</f>
        <v/>
      </c>
      <c r="Q495" s="11">
        <f>IF(M495="","",IF($G$15=1,50,(_xlfn.RANK.AVG(M495,$M$19:$M$1518,1)-1)/($G$15-1)*100))</f>
        <v/>
      </c>
      <c r="R495" s="11">
        <f>IF(N495="","",IF($G$16=1,50,(_xlfn.RANK.AVG(N495,$N$19:$N$1518,1)-1)/($G$16-1)*100))</f>
        <v/>
      </c>
      <c r="S495" s="11">
        <f>IF(COUNT(O495:R495)=4,ROUND(AVERAGE(O495:R495),6),"")</f>
        <v/>
      </c>
      <c r="U495">
        <f>IF(AND(ISNUMBER('자료_한국심리'!$A479),ISNUMBER('자료_한국심리'!$B479)),'자료_한국심리'!$A479,"")</f>
        <v/>
      </c>
      <c r="V495">
        <f>IF(AND(ISNUMBER('자료_한국심리'!$D479),ISNUMBER('자료_한국심리'!$E479)),'자료_한국심리'!$D479,"")</f>
        <v/>
      </c>
      <c r="W495">
        <f>IF(AND(ISNUMBER('자료_한국심리'!$G479),ISNUMBER('자료_한국심리'!$H479)),'자료_한국심리'!$G479,"")</f>
        <v/>
      </c>
      <c r="X495">
        <f>IF(AND(ISNUMBER('자료_한국심리'!$J479),ISNUMBER('자료_한국심리'!$K479)),'자료_한국심리'!$J479,"")</f>
        <v/>
      </c>
      <c r="Y495">
        <f>IF(AND(ISNUMBER('자료_한국심리'!$M479),ISNUMBER('자료_한국심리'!$N479)),'자료_한국심리'!$M479,"")</f>
        <v/>
      </c>
    </row>
    <row r="496">
      <c r="A496" s="10">
        <f>IF(478&gt;$E$5,"",SMALL($U$19:$U$4018,$E$6+478))</f>
        <v/>
      </c>
      <c r="B496" s="29">
        <f>IF(A496="","",INDEX('자료_한국심리'!$B$3:$B$4002,MATCH(A496,$U$19:$U$4018,0)))</f>
        <v/>
      </c>
      <c r="C496" s="22">
        <f>IF(A496="","",B496/AVERAGE(B372:B496)-1)</f>
        <v/>
      </c>
      <c r="D496" s="29">
        <f>IF(A496="","",IFERROR(INDEX('자료_한국심리'!$E$3:$E$4002,MATCH(A496,$V$19:$V$4018,0)),D495))</f>
        <v/>
      </c>
      <c r="E496" s="30">
        <f>IF(A496="","",IFERROR(INDEX('자료_한국심리'!$H$3:$H$4002,MATCH(A496,$W$19:$W$4018,0)),E495))</f>
        <v/>
      </c>
      <c r="F496" s="30">
        <f>IF(A496="","",IFERROR(INDEX('자료_한국심리'!$K$3:$K$4002,MATCH(A496,$X$19:$X$4018,0)),F495))</f>
        <v/>
      </c>
      <c r="G496" s="30">
        <f>IF(AND(ISNUMBER(E496),ISNUMBER(F496)),ROUND(E496-F496,6),"")</f>
        <v/>
      </c>
      <c r="H496" s="25">
        <f>IF(A496="","",IFERROR(INDEX('자료_한국심리'!$N$3:$N$4002,MATCH(A496,$Y$19:$Y$4018,0)),H495))</f>
        <v/>
      </c>
      <c r="I496" s="31">
        <f>IF(AND(ISNUMBER(H496),ISNUMBER(H476)),IF(H476&gt;0,H496/H476-1,""),"")</f>
        <v/>
      </c>
      <c r="J496">
        <f>IF(A496="",0,IF(A496&gt;$B$5,1,0))</f>
        <v/>
      </c>
      <c r="K496" s="29">
        <f>IF(AND(J496=1,ISNUMBER(D496)),D496,"")</f>
        <v/>
      </c>
      <c r="L496" s="30">
        <f>IF(AND(J496=1,ISNUMBER(G496)),G496,"")</f>
        <v/>
      </c>
      <c r="M496" s="22">
        <f>IF(AND(J496=1,ISNUMBER(C496)),C496,"")</f>
        <v/>
      </c>
      <c r="N496" s="31">
        <f>IF(AND(J496=1,ISNUMBER(I496)),I496,"")</f>
        <v/>
      </c>
      <c r="O496" s="11">
        <f>IF(K496="","",100-IF($G$13=1,50,(_xlfn.RANK.AVG(K496,$K$19:$K$1518,1)-1)/($G$13-1)*100))</f>
        <v/>
      </c>
      <c r="P496" s="11">
        <f>IF(L496="","",100-IF($G$14=1,50,(_xlfn.RANK.AVG(L496,$L$19:$L$1518,1)-1)/($G$14-1)*100))</f>
        <v/>
      </c>
      <c r="Q496" s="11">
        <f>IF(M496="","",IF($G$15=1,50,(_xlfn.RANK.AVG(M496,$M$19:$M$1518,1)-1)/($G$15-1)*100))</f>
        <v/>
      </c>
      <c r="R496" s="11">
        <f>IF(N496="","",IF($G$16=1,50,(_xlfn.RANK.AVG(N496,$N$19:$N$1518,1)-1)/($G$16-1)*100))</f>
        <v/>
      </c>
      <c r="S496" s="11">
        <f>IF(COUNT(O496:R496)=4,ROUND(AVERAGE(O496:R496),6),"")</f>
        <v/>
      </c>
      <c r="U496">
        <f>IF(AND(ISNUMBER('자료_한국심리'!$A480),ISNUMBER('자료_한국심리'!$B480)),'자료_한국심리'!$A480,"")</f>
        <v/>
      </c>
      <c r="V496">
        <f>IF(AND(ISNUMBER('자료_한국심리'!$D480),ISNUMBER('자료_한국심리'!$E480)),'자료_한국심리'!$D480,"")</f>
        <v/>
      </c>
      <c r="W496">
        <f>IF(AND(ISNUMBER('자료_한국심리'!$G480),ISNUMBER('자료_한국심리'!$H480)),'자료_한국심리'!$G480,"")</f>
        <v/>
      </c>
      <c r="X496">
        <f>IF(AND(ISNUMBER('자료_한국심리'!$J480),ISNUMBER('자료_한국심리'!$K480)),'자료_한국심리'!$J480,"")</f>
        <v/>
      </c>
      <c r="Y496">
        <f>IF(AND(ISNUMBER('자료_한국심리'!$M480),ISNUMBER('자료_한국심리'!$N480)),'자료_한국심리'!$M480,"")</f>
        <v/>
      </c>
    </row>
    <row r="497">
      <c r="A497" s="10">
        <f>IF(479&gt;$E$5,"",SMALL($U$19:$U$4018,$E$6+479))</f>
        <v/>
      </c>
      <c r="B497" s="29">
        <f>IF(A497="","",INDEX('자료_한국심리'!$B$3:$B$4002,MATCH(A497,$U$19:$U$4018,0)))</f>
        <v/>
      </c>
      <c r="C497" s="22">
        <f>IF(A497="","",B497/AVERAGE(B373:B497)-1)</f>
        <v/>
      </c>
      <c r="D497" s="29">
        <f>IF(A497="","",IFERROR(INDEX('자료_한국심리'!$E$3:$E$4002,MATCH(A497,$V$19:$V$4018,0)),D496))</f>
        <v/>
      </c>
      <c r="E497" s="30">
        <f>IF(A497="","",IFERROR(INDEX('자료_한국심리'!$H$3:$H$4002,MATCH(A497,$W$19:$W$4018,0)),E496))</f>
        <v/>
      </c>
      <c r="F497" s="30">
        <f>IF(A497="","",IFERROR(INDEX('자료_한국심리'!$K$3:$K$4002,MATCH(A497,$X$19:$X$4018,0)),F496))</f>
        <v/>
      </c>
      <c r="G497" s="30">
        <f>IF(AND(ISNUMBER(E497),ISNUMBER(F497)),ROUND(E497-F497,6),"")</f>
        <v/>
      </c>
      <c r="H497" s="25">
        <f>IF(A497="","",IFERROR(INDEX('자료_한국심리'!$N$3:$N$4002,MATCH(A497,$Y$19:$Y$4018,0)),H496))</f>
        <v/>
      </c>
      <c r="I497" s="31">
        <f>IF(AND(ISNUMBER(H497),ISNUMBER(H477)),IF(H477&gt;0,H497/H477-1,""),"")</f>
        <v/>
      </c>
      <c r="J497">
        <f>IF(A497="",0,IF(A497&gt;$B$5,1,0))</f>
        <v/>
      </c>
      <c r="K497" s="29">
        <f>IF(AND(J497=1,ISNUMBER(D497)),D497,"")</f>
        <v/>
      </c>
      <c r="L497" s="30">
        <f>IF(AND(J497=1,ISNUMBER(G497)),G497,"")</f>
        <v/>
      </c>
      <c r="M497" s="22">
        <f>IF(AND(J497=1,ISNUMBER(C497)),C497,"")</f>
        <v/>
      </c>
      <c r="N497" s="31">
        <f>IF(AND(J497=1,ISNUMBER(I497)),I497,"")</f>
        <v/>
      </c>
      <c r="O497" s="11">
        <f>IF(K497="","",100-IF($G$13=1,50,(_xlfn.RANK.AVG(K497,$K$19:$K$1518,1)-1)/($G$13-1)*100))</f>
        <v/>
      </c>
      <c r="P497" s="11">
        <f>IF(L497="","",100-IF($G$14=1,50,(_xlfn.RANK.AVG(L497,$L$19:$L$1518,1)-1)/($G$14-1)*100))</f>
        <v/>
      </c>
      <c r="Q497" s="11">
        <f>IF(M497="","",IF($G$15=1,50,(_xlfn.RANK.AVG(M497,$M$19:$M$1518,1)-1)/($G$15-1)*100))</f>
        <v/>
      </c>
      <c r="R497" s="11">
        <f>IF(N497="","",IF($G$16=1,50,(_xlfn.RANK.AVG(N497,$N$19:$N$1518,1)-1)/($G$16-1)*100))</f>
        <v/>
      </c>
      <c r="S497" s="11">
        <f>IF(COUNT(O497:R497)=4,ROUND(AVERAGE(O497:R497),6),"")</f>
        <v/>
      </c>
      <c r="U497">
        <f>IF(AND(ISNUMBER('자료_한국심리'!$A481),ISNUMBER('자료_한국심리'!$B481)),'자료_한국심리'!$A481,"")</f>
        <v/>
      </c>
      <c r="V497">
        <f>IF(AND(ISNUMBER('자료_한국심리'!$D481),ISNUMBER('자료_한국심리'!$E481)),'자료_한국심리'!$D481,"")</f>
        <v/>
      </c>
      <c r="W497">
        <f>IF(AND(ISNUMBER('자료_한국심리'!$G481),ISNUMBER('자료_한국심리'!$H481)),'자료_한국심리'!$G481,"")</f>
        <v/>
      </c>
      <c r="X497">
        <f>IF(AND(ISNUMBER('자료_한국심리'!$J481),ISNUMBER('자료_한국심리'!$K481)),'자료_한국심리'!$J481,"")</f>
        <v/>
      </c>
      <c r="Y497">
        <f>IF(AND(ISNUMBER('자료_한국심리'!$M481),ISNUMBER('자료_한국심리'!$N481)),'자료_한국심리'!$M481,"")</f>
        <v/>
      </c>
    </row>
    <row r="498">
      <c r="A498" s="10">
        <f>IF(480&gt;$E$5,"",SMALL($U$19:$U$4018,$E$6+480))</f>
        <v/>
      </c>
      <c r="B498" s="29">
        <f>IF(A498="","",INDEX('자료_한국심리'!$B$3:$B$4002,MATCH(A498,$U$19:$U$4018,0)))</f>
        <v/>
      </c>
      <c r="C498" s="22">
        <f>IF(A498="","",B498/AVERAGE(B374:B498)-1)</f>
        <v/>
      </c>
      <c r="D498" s="29">
        <f>IF(A498="","",IFERROR(INDEX('자료_한국심리'!$E$3:$E$4002,MATCH(A498,$V$19:$V$4018,0)),D497))</f>
        <v/>
      </c>
      <c r="E498" s="30">
        <f>IF(A498="","",IFERROR(INDEX('자료_한국심리'!$H$3:$H$4002,MATCH(A498,$W$19:$W$4018,0)),E497))</f>
        <v/>
      </c>
      <c r="F498" s="30">
        <f>IF(A498="","",IFERROR(INDEX('자료_한국심리'!$K$3:$K$4002,MATCH(A498,$X$19:$X$4018,0)),F497))</f>
        <v/>
      </c>
      <c r="G498" s="30">
        <f>IF(AND(ISNUMBER(E498),ISNUMBER(F498)),ROUND(E498-F498,6),"")</f>
        <v/>
      </c>
      <c r="H498" s="25">
        <f>IF(A498="","",IFERROR(INDEX('자료_한국심리'!$N$3:$N$4002,MATCH(A498,$Y$19:$Y$4018,0)),H497))</f>
        <v/>
      </c>
      <c r="I498" s="31">
        <f>IF(AND(ISNUMBER(H498),ISNUMBER(H478)),IF(H478&gt;0,H498/H478-1,""),"")</f>
        <v/>
      </c>
      <c r="J498">
        <f>IF(A498="",0,IF(A498&gt;$B$5,1,0))</f>
        <v/>
      </c>
      <c r="K498" s="29">
        <f>IF(AND(J498=1,ISNUMBER(D498)),D498,"")</f>
        <v/>
      </c>
      <c r="L498" s="30">
        <f>IF(AND(J498=1,ISNUMBER(G498)),G498,"")</f>
        <v/>
      </c>
      <c r="M498" s="22">
        <f>IF(AND(J498=1,ISNUMBER(C498)),C498,"")</f>
        <v/>
      </c>
      <c r="N498" s="31">
        <f>IF(AND(J498=1,ISNUMBER(I498)),I498,"")</f>
        <v/>
      </c>
      <c r="O498" s="11">
        <f>IF(K498="","",100-IF($G$13=1,50,(_xlfn.RANK.AVG(K498,$K$19:$K$1518,1)-1)/($G$13-1)*100))</f>
        <v/>
      </c>
      <c r="P498" s="11">
        <f>IF(L498="","",100-IF($G$14=1,50,(_xlfn.RANK.AVG(L498,$L$19:$L$1518,1)-1)/($G$14-1)*100))</f>
        <v/>
      </c>
      <c r="Q498" s="11">
        <f>IF(M498="","",IF($G$15=1,50,(_xlfn.RANK.AVG(M498,$M$19:$M$1518,1)-1)/($G$15-1)*100))</f>
        <v/>
      </c>
      <c r="R498" s="11">
        <f>IF(N498="","",IF($G$16=1,50,(_xlfn.RANK.AVG(N498,$N$19:$N$1518,1)-1)/($G$16-1)*100))</f>
        <v/>
      </c>
      <c r="S498" s="11">
        <f>IF(COUNT(O498:R498)=4,ROUND(AVERAGE(O498:R498),6),"")</f>
        <v/>
      </c>
      <c r="U498">
        <f>IF(AND(ISNUMBER('자료_한국심리'!$A482),ISNUMBER('자료_한국심리'!$B482)),'자료_한국심리'!$A482,"")</f>
        <v/>
      </c>
      <c r="V498">
        <f>IF(AND(ISNUMBER('자료_한국심리'!$D482),ISNUMBER('자료_한국심리'!$E482)),'자료_한국심리'!$D482,"")</f>
        <v/>
      </c>
      <c r="W498">
        <f>IF(AND(ISNUMBER('자료_한국심리'!$G482),ISNUMBER('자료_한국심리'!$H482)),'자료_한국심리'!$G482,"")</f>
        <v/>
      </c>
      <c r="X498">
        <f>IF(AND(ISNUMBER('자료_한국심리'!$J482),ISNUMBER('자료_한국심리'!$K482)),'자료_한국심리'!$J482,"")</f>
        <v/>
      </c>
      <c r="Y498">
        <f>IF(AND(ISNUMBER('자료_한국심리'!$M482),ISNUMBER('자료_한국심리'!$N482)),'자료_한국심리'!$M482,"")</f>
        <v/>
      </c>
    </row>
    <row r="499">
      <c r="A499" s="10">
        <f>IF(481&gt;$E$5,"",SMALL($U$19:$U$4018,$E$6+481))</f>
        <v/>
      </c>
      <c r="B499" s="29">
        <f>IF(A499="","",INDEX('자료_한국심리'!$B$3:$B$4002,MATCH(A499,$U$19:$U$4018,0)))</f>
        <v/>
      </c>
      <c r="C499" s="22">
        <f>IF(A499="","",B499/AVERAGE(B375:B499)-1)</f>
        <v/>
      </c>
      <c r="D499" s="29">
        <f>IF(A499="","",IFERROR(INDEX('자료_한국심리'!$E$3:$E$4002,MATCH(A499,$V$19:$V$4018,0)),D498))</f>
        <v/>
      </c>
      <c r="E499" s="30">
        <f>IF(A499="","",IFERROR(INDEX('자료_한국심리'!$H$3:$H$4002,MATCH(A499,$W$19:$W$4018,0)),E498))</f>
        <v/>
      </c>
      <c r="F499" s="30">
        <f>IF(A499="","",IFERROR(INDEX('자료_한국심리'!$K$3:$K$4002,MATCH(A499,$X$19:$X$4018,0)),F498))</f>
        <v/>
      </c>
      <c r="G499" s="30">
        <f>IF(AND(ISNUMBER(E499),ISNUMBER(F499)),ROUND(E499-F499,6),"")</f>
        <v/>
      </c>
      <c r="H499" s="25">
        <f>IF(A499="","",IFERROR(INDEX('자료_한국심리'!$N$3:$N$4002,MATCH(A499,$Y$19:$Y$4018,0)),H498))</f>
        <v/>
      </c>
      <c r="I499" s="31">
        <f>IF(AND(ISNUMBER(H499),ISNUMBER(H479)),IF(H479&gt;0,H499/H479-1,""),"")</f>
        <v/>
      </c>
      <c r="J499">
        <f>IF(A499="",0,IF(A499&gt;$B$5,1,0))</f>
        <v/>
      </c>
      <c r="K499" s="29">
        <f>IF(AND(J499=1,ISNUMBER(D499)),D499,"")</f>
        <v/>
      </c>
      <c r="L499" s="30">
        <f>IF(AND(J499=1,ISNUMBER(G499)),G499,"")</f>
        <v/>
      </c>
      <c r="M499" s="22">
        <f>IF(AND(J499=1,ISNUMBER(C499)),C499,"")</f>
        <v/>
      </c>
      <c r="N499" s="31">
        <f>IF(AND(J499=1,ISNUMBER(I499)),I499,"")</f>
        <v/>
      </c>
      <c r="O499" s="11">
        <f>IF(K499="","",100-IF($G$13=1,50,(_xlfn.RANK.AVG(K499,$K$19:$K$1518,1)-1)/($G$13-1)*100))</f>
        <v/>
      </c>
      <c r="P499" s="11">
        <f>IF(L499="","",100-IF($G$14=1,50,(_xlfn.RANK.AVG(L499,$L$19:$L$1518,1)-1)/($G$14-1)*100))</f>
        <v/>
      </c>
      <c r="Q499" s="11">
        <f>IF(M499="","",IF($G$15=1,50,(_xlfn.RANK.AVG(M499,$M$19:$M$1518,1)-1)/($G$15-1)*100))</f>
        <v/>
      </c>
      <c r="R499" s="11">
        <f>IF(N499="","",IF($G$16=1,50,(_xlfn.RANK.AVG(N499,$N$19:$N$1518,1)-1)/($G$16-1)*100))</f>
        <v/>
      </c>
      <c r="S499" s="11">
        <f>IF(COUNT(O499:R499)=4,ROUND(AVERAGE(O499:R499),6),"")</f>
        <v/>
      </c>
      <c r="U499">
        <f>IF(AND(ISNUMBER('자료_한국심리'!$A483),ISNUMBER('자료_한국심리'!$B483)),'자료_한국심리'!$A483,"")</f>
        <v/>
      </c>
      <c r="V499">
        <f>IF(AND(ISNUMBER('자료_한국심리'!$D483),ISNUMBER('자료_한국심리'!$E483)),'자료_한국심리'!$D483,"")</f>
        <v/>
      </c>
      <c r="W499">
        <f>IF(AND(ISNUMBER('자료_한국심리'!$G483),ISNUMBER('자료_한국심리'!$H483)),'자료_한국심리'!$G483,"")</f>
        <v/>
      </c>
      <c r="X499">
        <f>IF(AND(ISNUMBER('자료_한국심리'!$J483),ISNUMBER('자료_한국심리'!$K483)),'자료_한국심리'!$J483,"")</f>
        <v/>
      </c>
      <c r="Y499">
        <f>IF(AND(ISNUMBER('자료_한국심리'!$M483),ISNUMBER('자료_한국심리'!$N483)),'자료_한국심리'!$M483,"")</f>
        <v/>
      </c>
    </row>
    <row r="500">
      <c r="A500" s="10">
        <f>IF(482&gt;$E$5,"",SMALL($U$19:$U$4018,$E$6+482))</f>
        <v/>
      </c>
      <c r="B500" s="29">
        <f>IF(A500="","",INDEX('자료_한국심리'!$B$3:$B$4002,MATCH(A500,$U$19:$U$4018,0)))</f>
        <v/>
      </c>
      <c r="C500" s="22">
        <f>IF(A500="","",B500/AVERAGE(B376:B500)-1)</f>
        <v/>
      </c>
      <c r="D500" s="29">
        <f>IF(A500="","",IFERROR(INDEX('자료_한국심리'!$E$3:$E$4002,MATCH(A500,$V$19:$V$4018,0)),D499))</f>
        <v/>
      </c>
      <c r="E500" s="30">
        <f>IF(A500="","",IFERROR(INDEX('자료_한국심리'!$H$3:$H$4002,MATCH(A500,$W$19:$W$4018,0)),E499))</f>
        <v/>
      </c>
      <c r="F500" s="30">
        <f>IF(A500="","",IFERROR(INDEX('자료_한국심리'!$K$3:$K$4002,MATCH(A500,$X$19:$X$4018,0)),F499))</f>
        <v/>
      </c>
      <c r="G500" s="30">
        <f>IF(AND(ISNUMBER(E500),ISNUMBER(F500)),ROUND(E500-F500,6),"")</f>
        <v/>
      </c>
      <c r="H500" s="25">
        <f>IF(A500="","",IFERROR(INDEX('자료_한국심리'!$N$3:$N$4002,MATCH(A500,$Y$19:$Y$4018,0)),H499))</f>
        <v/>
      </c>
      <c r="I500" s="31">
        <f>IF(AND(ISNUMBER(H500),ISNUMBER(H480)),IF(H480&gt;0,H500/H480-1,""),"")</f>
        <v/>
      </c>
      <c r="J500">
        <f>IF(A500="",0,IF(A500&gt;$B$5,1,0))</f>
        <v/>
      </c>
      <c r="K500" s="29">
        <f>IF(AND(J500=1,ISNUMBER(D500)),D500,"")</f>
        <v/>
      </c>
      <c r="L500" s="30">
        <f>IF(AND(J500=1,ISNUMBER(G500)),G500,"")</f>
        <v/>
      </c>
      <c r="M500" s="22">
        <f>IF(AND(J500=1,ISNUMBER(C500)),C500,"")</f>
        <v/>
      </c>
      <c r="N500" s="31">
        <f>IF(AND(J500=1,ISNUMBER(I500)),I500,"")</f>
        <v/>
      </c>
      <c r="O500" s="11">
        <f>IF(K500="","",100-IF($G$13=1,50,(_xlfn.RANK.AVG(K500,$K$19:$K$1518,1)-1)/($G$13-1)*100))</f>
        <v/>
      </c>
      <c r="P500" s="11">
        <f>IF(L500="","",100-IF($G$14=1,50,(_xlfn.RANK.AVG(L500,$L$19:$L$1518,1)-1)/($G$14-1)*100))</f>
        <v/>
      </c>
      <c r="Q500" s="11">
        <f>IF(M500="","",IF($G$15=1,50,(_xlfn.RANK.AVG(M500,$M$19:$M$1518,1)-1)/($G$15-1)*100))</f>
        <v/>
      </c>
      <c r="R500" s="11">
        <f>IF(N500="","",IF($G$16=1,50,(_xlfn.RANK.AVG(N500,$N$19:$N$1518,1)-1)/($G$16-1)*100))</f>
        <v/>
      </c>
      <c r="S500" s="11">
        <f>IF(COUNT(O500:R500)=4,ROUND(AVERAGE(O500:R500),6),"")</f>
        <v/>
      </c>
      <c r="U500">
        <f>IF(AND(ISNUMBER('자료_한국심리'!$A484),ISNUMBER('자료_한국심리'!$B484)),'자료_한국심리'!$A484,"")</f>
        <v/>
      </c>
      <c r="V500">
        <f>IF(AND(ISNUMBER('자료_한국심리'!$D484),ISNUMBER('자료_한국심리'!$E484)),'자료_한국심리'!$D484,"")</f>
        <v/>
      </c>
      <c r="W500">
        <f>IF(AND(ISNUMBER('자료_한국심리'!$G484),ISNUMBER('자료_한국심리'!$H484)),'자료_한국심리'!$G484,"")</f>
        <v/>
      </c>
      <c r="X500">
        <f>IF(AND(ISNUMBER('자료_한국심리'!$J484),ISNUMBER('자료_한국심리'!$K484)),'자료_한국심리'!$J484,"")</f>
        <v/>
      </c>
      <c r="Y500">
        <f>IF(AND(ISNUMBER('자료_한국심리'!$M484),ISNUMBER('자료_한국심리'!$N484)),'자료_한국심리'!$M484,"")</f>
        <v/>
      </c>
    </row>
    <row r="501">
      <c r="A501" s="10">
        <f>IF(483&gt;$E$5,"",SMALL($U$19:$U$4018,$E$6+483))</f>
        <v/>
      </c>
      <c r="B501" s="29">
        <f>IF(A501="","",INDEX('자료_한국심리'!$B$3:$B$4002,MATCH(A501,$U$19:$U$4018,0)))</f>
        <v/>
      </c>
      <c r="C501" s="22">
        <f>IF(A501="","",B501/AVERAGE(B377:B501)-1)</f>
        <v/>
      </c>
      <c r="D501" s="29">
        <f>IF(A501="","",IFERROR(INDEX('자료_한국심리'!$E$3:$E$4002,MATCH(A501,$V$19:$V$4018,0)),D500))</f>
        <v/>
      </c>
      <c r="E501" s="30">
        <f>IF(A501="","",IFERROR(INDEX('자료_한국심리'!$H$3:$H$4002,MATCH(A501,$W$19:$W$4018,0)),E500))</f>
        <v/>
      </c>
      <c r="F501" s="30">
        <f>IF(A501="","",IFERROR(INDEX('자료_한국심리'!$K$3:$K$4002,MATCH(A501,$X$19:$X$4018,0)),F500))</f>
        <v/>
      </c>
      <c r="G501" s="30">
        <f>IF(AND(ISNUMBER(E501),ISNUMBER(F501)),ROUND(E501-F501,6),"")</f>
        <v/>
      </c>
      <c r="H501" s="25">
        <f>IF(A501="","",IFERROR(INDEX('자료_한국심리'!$N$3:$N$4002,MATCH(A501,$Y$19:$Y$4018,0)),H500))</f>
        <v/>
      </c>
      <c r="I501" s="31">
        <f>IF(AND(ISNUMBER(H501),ISNUMBER(H481)),IF(H481&gt;0,H501/H481-1,""),"")</f>
        <v/>
      </c>
      <c r="J501">
        <f>IF(A501="",0,IF(A501&gt;$B$5,1,0))</f>
        <v/>
      </c>
      <c r="K501" s="29">
        <f>IF(AND(J501=1,ISNUMBER(D501)),D501,"")</f>
        <v/>
      </c>
      <c r="L501" s="30">
        <f>IF(AND(J501=1,ISNUMBER(G501)),G501,"")</f>
        <v/>
      </c>
      <c r="M501" s="22">
        <f>IF(AND(J501=1,ISNUMBER(C501)),C501,"")</f>
        <v/>
      </c>
      <c r="N501" s="31">
        <f>IF(AND(J501=1,ISNUMBER(I501)),I501,"")</f>
        <v/>
      </c>
      <c r="O501" s="11">
        <f>IF(K501="","",100-IF($G$13=1,50,(_xlfn.RANK.AVG(K501,$K$19:$K$1518,1)-1)/($G$13-1)*100))</f>
        <v/>
      </c>
      <c r="P501" s="11">
        <f>IF(L501="","",100-IF($G$14=1,50,(_xlfn.RANK.AVG(L501,$L$19:$L$1518,1)-1)/($G$14-1)*100))</f>
        <v/>
      </c>
      <c r="Q501" s="11">
        <f>IF(M501="","",IF($G$15=1,50,(_xlfn.RANK.AVG(M501,$M$19:$M$1518,1)-1)/($G$15-1)*100))</f>
        <v/>
      </c>
      <c r="R501" s="11">
        <f>IF(N501="","",IF($G$16=1,50,(_xlfn.RANK.AVG(N501,$N$19:$N$1518,1)-1)/($G$16-1)*100))</f>
        <v/>
      </c>
      <c r="S501" s="11">
        <f>IF(COUNT(O501:R501)=4,ROUND(AVERAGE(O501:R501),6),"")</f>
        <v/>
      </c>
      <c r="U501">
        <f>IF(AND(ISNUMBER('자료_한국심리'!$A485),ISNUMBER('자료_한국심리'!$B485)),'자료_한국심리'!$A485,"")</f>
        <v/>
      </c>
      <c r="V501">
        <f>IF(AND(ISNUMBER('자료_한국심리'!$D485),ISNUMBER('자료_한국심리'!$E485)),'자료_한국심리'!$D485,"")</f>
        <v/>
      </c>
      <c r="W501">
        <f>IF(AND(ISNUMBER('자료_한국심리'!$G485),ISNUMBER('자료_한국심리'!$H485)),'자료_한국심리'!$G485,"")</f>
        <v/>
      </c>
      <c r="X501">
        <f>IF(AND(ISNUMBER('자료_한국심리'!$J485),ISNUMBER('자료_한국심리'!$K485)),'자료_한국심리'!$J485,"")</f>
        <v/>
      </c>
      <c r="Y501">
        <f>IF(AND(ISNUMBER('자료_한국심리'!$M485),ISNUMBER('자료_한국심리'!$N485)),'자료_한국심리'!$M485,"")</f>
        <v/>
      </c>
    </row>
    <row r="502">
      <c r="A502" s="10">
        <f>IF(484&gt;$E$5,"",SMALL($U$19:$U$4018,$E$6+484))</f>
        <v/>
      </c>
      <c r="B502" s="29">
        <f>IF(A502="","",INDEX('자료_한국심리'!$B$3:$B$4002,MATCH(A502,$U$19:$U$4018,0)))</f>
        <v/>
      </c>
      <c r="C502" s="22">
        <f>IF(A502="","",B502/AVERAGE(B378:B502)-1)</f>
        <v/>
      </c>
      <c r="D502" s="29">
        <f>IF(A502="","",IFERROR(INDEX('자료_한국심리'!$E$3:$E$4002,MATCH(A502,$V$19:$V$4018,0)),D501))</f>
        <v/>
      </c>
      <c r="E502" s="30">
        <f>IF(A502="","",IFERROR(INDEX('자료_한국심리'!$H$3:$H$4002,MATCH(A502,$W$19:$W$4018,0)),E501))</f>
        <v/>
      </c>
      <c r="F502" s="30">
        <f>IF(A502="","",IFERROR(INDEX('자료_한국심리'!$K$3:$K$4002,MATCH(A502,$X$19:$X$4018,0)),F501))</f>
        <v/>
      </c>
      <c r="G502" s="30">
        <f>IF(AND(ISNUMBER(E502),ISNUMBER(F502)),ROUND(E502-F502,6),"")</f>
        <v/>
      </c>
      <c r="H502" s="25">
        <f>IF(A502="","",IFERROR(INDEX('자료_한국심리'!$N$3:$N$4002,MATCH(A502,$Y$19:$Y$4018,0)),H501))</f>
        <v/>
      </c>
      <c r="I502" s="31">
        <f>IF(AND(ISNUMBER(H502),ISNUMBER(H482)),IF(H482&gt;0,H502/H482-1,""),"")</f>
        <v/>
      </c>
      <c r="J502">
        <f>IF(A502="",0,IF(A502&gt;$B$5,1,0))</f>
        <v/>
      </c>
      <c r="K502" s="29">
        <f>IF(AND(J502=1,ISNUMBER(D502)),D502,"")</f>
        <v/>
      </c>
      <c r="L502" s="30">
        <f>IF(AND(J502=1,ISNUMBER(G502)),G502,"")</f>
        <v/>
      </c>
      <c r="M502" s="22">
        <f>IF(AND(J502=1,ISNUMBER(C502)),C502,"")</f>
        <v/>
      </c>
      <c r="N502" s="31">
        <f>IF(AND(J502=1,ISNUMBER(I502)),I502,"")</f>
        <v/>
      </c>
      <c r="O502" s="11">
        <f>IF(K502="","",100-IF($G$13=1,50,(_xlfn.RANK.AVG(K502,$K$19:$K$1518,1)-1)/($G$13-1)*100))</f>
        <v/>
      </c>
      <c r="P502" s="11">
        <f>IF(L502="","",100-IF($G$14=1,50,(_xlfn.RANK.AVG(L502,$L$19:$L$1518,1)-1)/($G$14-1)*100))</f>
        <v/>
      </c>
      <c r="Q502" s="11">
        <f>IF(M502="","",IF($G$15=1,50,(_xlfn.RANK.AVG(M502,$M$19:$M$1518,1)-1)/($G$15-1)*100))</f>
        <v/>
      </c>
      <c r="R502" s="11">
        <f>IF(N502="","",IF($G$16=1,50,(_xlfn.RANK.AVG(N502,$N$19:$N$1518,1)-1)/($G$16-1)*100))</f>
        <v/>
      </c>
      <c r="S502" s="11">
        <f>IF(COUNT(O502:R502)=4,ROUND(AVERAGE(O502:R502),6),"")</f>
        <v/>
      </c>
      <c r="U502">
        <f>IF(AND(ISNUMBER('자료_한국심리'!$A486),ISNUMBER('자료_한국심리'!$B486)),'자료_한국심리'!$A486,"")</f>
        <v/>
      </c>
      <c r="V502">
        <f>IF(AND(ISNUMBER('자료_한국심리'!$D486),ISNUMBER('자료_한국심리'!$E486)),'자료_한국심리'!$D486,"")</f>
        <v/>
      </c>
      <c r="W502">
        <f>IF(AND(ISNUMBER('자료_한국심리'!$G486),ISNUMBER('자료_한국심리'!$H486)),'자료_한국심리'!$G486,"")</f>
        <v/>
      </c>
      <c r="X502">
        <f>IF(AND(ISNUMBER('자료_한국심리'!$J486),ISNUMBER('자료_한국심리'!$K486)),'자료_한국심리'!$J486,"")</f>
        <v/>
      </c>
      <c r="Y502">
        <f>IF(AND(ISNUMBER('자료_한국심리'!$M486),ISNUMBER('자료_한국심리'!$N486)),'자료_한국심리'!$M486,"")</f>
        <v/>
      </c>
    </row>
    <row r="503">
      <c r="A503" s="10">
        <f>IF(485&gt;$E$5,"",SMALL($U$19:$U$4018,$E$6+485))</f>
        <v/>
      </c>
      <c r="B503" s="29">
        <f>IF(A503="","",INDEX('자료_한국심리'!$B$3:$B$4002,MATCH(A503,$U$19:$U$4018,0)))</f>
        <v/>
      </c>
      <c r="C503" s="22">
        <f>IF(A503="","",B503/AVERAGE(B379:B503)-1)</f>
        <v/>
      </c>
      <c r="D503" s="29">
        <f>IF(A503="","",IFERROR(INDEX('자료_한국심리'!$E$3:$E$4002,MATCH(A503,$V$19:$V$4018,0)),D502))</f>
        <v/>
      </c>
      <c r="E503" s="30">
        <f>IF(A503="","",IFERROR(INDEX('자료_한국심리'!$H$3:$H$4002,MATCH(A503,$W$19:$W$4018,0)),E502))</f>
        <v/>
      </c>
      <c r="F503" s="30">
        <f>IF(A503="","",IFERROR(INDEX('자료_한국심리'!$K$3:$K$4002,MATCH(A503,$X$19:$X$4018,0)),F502))</f>
        <v/>
      </c>
      <c r="G503" s="30">
        <f>IF(AND(ISNUMBER(E503),ISNUMBER(F503)),ROUND(E503-F503,6),"")</f>
        <v/>
      </c>
      <c r="H503" s="25">
        <f>IF(A503="","",IFERROR(INDEX('자료_한국심리'!$N$3:$N$4002,MATCH(A503,$Y$19:$Y$4018,0)),H502))</f>
        <v/>
      </c>
      <c r="I503" s="31">
        <f>IF(AND(ISNUMBER(H503),ISNUMBER(H483)),IF(H483&gt;0,H503/H483-1,""),"")</f>
        <v/>
      </c>
      <c r="J503">
        <f>IF(A503="",0,IF(A503&gt;$B$5,1,0))</f>
        <v/>
      </c>
      <c r="K503" s="29">
        <f>IF(AND(J503=1,ISNUMBER(D503)),D503,"")</f>
        <v/>
      </c>
      <c r="L503" s="30">
        <f>IF(AND(J503=1,ISNUMBER(G503)),G503,"")</f>
        <v/>
      </c>
      <c r="M503" s="22">
        <f>IF(AND(J503=1,ISNUMBER(C503)),C503,"")</f>
        <v/>
      </c>
      <c r="N503" s="31">
        <f>IF(AND(J503=1,ISNUMBER(I503)),I503,"")</f>
        <v/>
      </c>
      <c r="O503" s="11">
        <f>IF(K503="","",100-IF($G$13=1,50,(_xlfn.RANK.AVG(K503,$K$19:$K$1518,1)-1)/($G$13-1)*100))</f>
        <v/>
      </c>
      <c r="P503" s="11">
        <f>IF(L503="","",100-IF($G$14=1,50,(_xlfn.RANK.AVG(L503,$L$19:$L$1518,1)-1)/($G$14-1)*100))</f>
        <v/>
      </c>
      <c r="Q503" s="11">
        <f>IF(M503="","",IF($G$15=1,50,(_xlfn.RANK.AVG(M503,$M$19:$M$1518,1)-1)/($G$15-1)*100))</f>
        <v/>
      </c>
      <c r="R503" s="11">
        <f>IF(N503="","",IF($G$16=1,50,(_xlfn.RANK.AVG(N503,$N$19:$N$1518,1)-1)/($G$16-1)*100))</f>
        <v/>
      </c>
      <c r="S503" s="11">
        <f>IF(COUNT(O503:R503)=4,ROUND(AVERAGE(O503:R503),6),"")</f>
        <v/>
      </c>
      <c r="U503">
        <f>IF(AND(ISNUMBER('자료_한국심리'!$A487),ISNUMBER('자료_한국심리'!$B487)),'자료_한국심리'!$A487,"")</f>
        <v/>
      </c>
      <c r="V503">
        <f>IF(AND(ISNUMBER('자료_한국심리'!$D487),ISNUMBER('자료_한국심리'!$E487)),'자료_한국심리'!$D487,"")</f>
        <v/>
      </c>
      <c r="W503">
        <f>IF(AND(ISNUMBER('자료_한국심리'!$G487),ISNUMBER('자료_한국심리'!$H487)),'자료_한국심리'!$G487,"")</f>
        <v/>
      </c>
      <c r="X503">
        <f>IF(AND(ISNUMBER('자료_한국심리'!$J487),ISNUMBER('자료_한국심리'!$K487)),'자료_한국심리'!$J487,"")</f>
        <v/>
      </c>
      <c r="Y503">
        <f>IF(AND(ISNUMBER('자료_한국심리'!$M487),ISNUMBER('자료_한국심리'!$N487)),'자료_한국심리'!$M487,"")</f>
        <v/>
      </c>
    </row>
    <row r="504">
      <c r="A504" s="10">
        <f>IF(486&gt;$E$5,"",SMALL($U$19:$U$4018,$E$6+486))</f>
        <v/>
      </c>
      <c r="B504" s="29">
        <f>IF(A504="","",INDEX('자료_한국심리'!$B$3:$B$4002,MATCH(A504,$U$19:$U$4018,0)))</f>
        <v/>
      </c>
      <c r="C504" s="22">
        <f>IF(A504="","",B504/AVERAGE(B380:B504)-1)</f>
        <v/>
      </c>
      <c r="D504" s="29">
        <f>IF(A504="","",IFERROR(INDEX('자료_한국심리'!$E$3:$E$4002,MATCH(A504,$V$19:$V$4018,0)),D503))</f>
        <v/>
      </c>
      <c r="E504" s="30">
        <f>IF(A504="","",IFERROR(INDEX('자료_한국심리'!$H$3:$H$4002,MATCH(A504,$W$19:$W$4018,0)),E503))</f>
        <v/>
      </c>
      <c r="F504" s="30">
        <f>IF(A504="","",IFERROR(INDEX('자료_한국심리'!$K$3:$K$4002,MATCH(A504,$X$19:$X$4018,0)),F503))</f>
        <v/>
      </c>
      <c r="G504" s="30">
        <f>IF(AND(ISNUMBER(E504),ISNUMBER(F504)),ROUND(E504-F504,6),"")</f>
        <v/>
      </c>
      <c r="H504" s="25">
        <f>IF(A504="","",IFERROR(INDEX('자료_한국심리'!$N$3:$N$4002,MATCH(A504,$Y$19:$Y$4018,0)),H503))</f>
        <v/>
      </c>
      <c r="I504" s="31">
        <f>IF(AND(ISNUMBER(H504),ISNUMBER(H484)),IF(H484&gt;0,H504/H484-1,""),"")</f>
        <v/>
      </c>
      <c r="J504">
        <f>IF(A504="",0,IF(A504&gt;$B$5,1,0))</f>
        <v/>
      </c>
      <c r="K504" s="29">
        <f>IF(AND(J504=1,ISNUMBER(D504)),D504,"")</f>
        <v/>
      </c>
      <c r="L504" s="30">
        <f>IF(AND(J504=1,ISNUMBER(G504)),G504,"")</f>
        <v/>
      </c>
      <c r="M504" s="22">
        <f>IF(AND(J504=1,ISNUMBER(C504)),C504,"")</f>
        <v/>
      </c>
      <c r="N504" s="31">
        <f>IF(AND(J504=1,ISNUMBER(I504)),I504,"")</f>
        <v/>
      </c>
      <c r="O504" s="11">
        <f>IF(K504="","",100-IF($G$13=1,50,(_xlfn.RANK.AVG(K504,$K$19:$K$1518,1)-1)/($G$13-1)*100))</f>
        <v/>
      </c>
      <c r="P504" s="11">
        <f>IF(L504="","",100-IF($G$14=1,50,(_xlfn.RANK.AVG(L504,$L$19:$L$1518,1)-1)/($G$14-1)*100))</f>
        <v/>
      </c>
      <c r="Q504" s="11">
        <f>IF(M504="","",IF($G$15=1,50,(_xlfn.RANK.AVG(M504,$M$19:$M$1518,1)-1)/($G$15-1)*100))</f>
        <v/>
      </c>
      <c r="R504" s="11">
        <f>IF(N504="","",IF($G$16=1,50,(_xlfn.RANK.AVG(N504,$N$19:$N$1518,1)-1)/($G$16-1)*100))</f>
        <v/>
      </c>
      <c r="S504" s="11">
        <f>IF(COUNT(O504:R504)=4,ROUND(AVERAGE(O504:R504),6),"")</f>
        <v/>
      </c>
      <c r="U504">
        <f>IF(AND(ISNUMBER('자료_한국심리'!$A488),ISNUMBER('자료_한국심리'!$B488)),'자료_한국심리'!$A488,"")</f>
        <v/>
      </c>
      <c r="V504">
        <f>IF(AND(ISNUMBER('자료_한국심리'!$D488),ISNUMBER('자료_한국심리'!$E488)),'자료_한국심리'!$D488,"")</f>
        <v/>
      </c>
      <c r="W504">
        <f>IF(AND(ISNUMBER('자료_한국심리'!$G488),ISNUMBER('자료_한국심리'!$H488)),'자료_한국심리'!$G488,"")</f>
        <v/>
      </c>
      <c r="X504">
        <f>IF(AND(ISNUMBER('자료_한국심리'!$J488),ISNUMBER('자료_한국심리'!$K488)),'자료_한국심리'!$J488,"")</f>
        <v/>
      </c>
      <c r="Y504">
        <f>IF(AND(ISNUMBER('자료_한국심리'!$M488),ISNUMBER('자료_한국심리'!$N488)),'자료_한국심리'!$M488,"")</f>
        <v/>
      </c>
    </row>
    <row r="505">
      <c r="A505" s="10">
        <f>IF(487&gt;$E$5,"",SMALL($U$19:$U$4018,$E$6+487))</f>
        <v/>
      </c>
      <c r="B505" s="29">
        <f>IF(A505="","",INDEX('자료_한국심리'!$B$3:$B$4002,MATCH(A505,$U$19:$U$4018,0)))</f>
        <v/>
      </c>
      <c r="C505" s="22">
        <f>IF(A505="","",B505/AVERAGE(B381:B505)-1)</f>
        <v/>
      </c>
      <c r="D505" s="29">
        <f>IF(A505="","",IFERROR(INDEX('자료_한국심리'!$E$3:$E$4002,MATCH(A505,$V$19:$V$4018,0)),D504))</f>
        <v/>
      </c>
      <c r="E505" s="30">
        <f>IF(A505="","",IFERROR(INDEX('자료_한국심리'!$H$3:$H$4002,MATCH(A505,$W$19:$W$4018,0)),E504))</f>
        <v/>
      </c>
      <c r="F505" s="30">
        <f>IF(A505="","",IFERROR(INDEX('자료_한국심리'!$K$3:$K$4002,MATCH(A505,$X$19:$X$4018,0)),F504))</f>
        <v/>
      </c>
      <c r="G505" s="30">
        <f>IF(AND(ISNUMBER(E505),ISNUMBER(F505)),ROUND(E505-F505,6),"")</f>
        <v/>
      </c>
      <c r="H505" s="25">
        <f>IF(A505="","",IFERROR(INDEX('자료_한국심리'!$N$3:$N$4002,MATCH(A505,$Y$19:$Y$4018,0)),H504))</f>
        <v/>
      </c>
      <c r="I505" s="31">
        <f>IF(AND(ISNUMBER(H505),ISNUMBER(H485)),IF(H485&gt;0,H505/H485-1,""),"")</f>
        <v/>
      </c>
      <c r="J505">
        <f>IF(A505="",0,IF(A505&gt;$B$5,1,0))</f>
        <v/>
      </c>
      <c r="K505" s="29">
        <f>IF(AND(J505=1,ISNUMBER(D505)),D505,"")</f>
        <v/>
      </c>
      <c r="L505" s="30">
        <f>IF(AND(J505=1,ISNUMBER(G505)),G505,"")</f>
        <v/>
      </c>
      <c r="M505" s="22">
        <f>IF(AND(J505=1,ISNUMBER(C505)),C505,"")</f>
        <v/>
      </c>
      <c r="N505" s="31">
        <f>IF(AND(J505=1,ISNUMBER(I505)),I505,"")</f>
        <v/>
      </c>
      <c r="O505" s="11">
        <f>IF(K505="","",100-IF($G$13=1,50,(_xlfn.RANK.AVG(K505,$K$19:$K$1518,1)-1)/($G$13-1)*100))</f>
        <v/>
      </c>
      <c r="P505" s="11">
        <f>IF(L505="","",100-IF($G$14=1,50,(_xlfn.RANK.AVG(L505,$L$19:$L$1518,1)-1)/($G$14-1)*100))</f>
        <v/>
      </c>
      <c r="Q505" s="11">
        <f>IF(M505="","",IF($G$15=1,50,(_xlfn.RANK.AVG(M505,$M$19:$M$1518,1)-1)/($G$15-1)*100))</f>
        <v/>
      </c>
      <c r="R505" s="11">
        <f>IF(N505="","",IF($G$16=1,50,(_xlfn.RANK.AVG(N505,$N$19:$N$1518,1)-1)/($G$16-1)*100))</f>
        <v/>
      </c>
      <c r="S505" s="11">
        <f>IF(COUNT(O505:R505)=4,ROUND(AVERAGE(O505:R505),6),"")</f>
        <v/>
      </c>
      <c r="U505">
        <f>IF(AND(ISNUMBER('자료_한국심리'!$A489),ISNUMBER('자료_한국심리'!$B489)),'자료_한국심리'!$A489,"")</f>
        <v/>
      </c>
      <c r="V505">
        <f>IF(AND(ISNUMBER('자료_한국심리'!$D489),ISNUMBER('자료_한국심리'!$E489)),'자료_한국심리'!$D489,"")</f>
        <v/>
      </c>
      <c r="W505">
        <f>IF(AND(ISNUMBER('자료_한국심리'!$G489),ISNUMBER('자료_한국심리'!$H489)),'자료_한국심리'!$G489,"")</f>
        <v/>
      </c>
      <c r="X505">
        <f>IF(AND(ISNUMBER('자료_한국심리'!$J489),ISNUMBER('자료_한국심리'!$K489)),'자료_한국심리'!$J489,"")</f>
        <v/>
      </c>
      <c r="Y505">
        <f>IF(AND(ISNUMBER('자료_한국심리'!$M489),ISNUMBER('자료_한국심리'!$N489)),'자료_한국심리'!$M489,"")</f>
        <v/>
      </c>
    </row>
    <row r="506">
      <c r="A506" s="10">
        <f>IF(488&gt;$E$5,"",SMALL($U$19:$U$4018,$E$6+488))</f>
        <v/>
      </c>
      <c r="B506" s="29">
        <f>IF(A506="","",INDEX('자료_한국심리'!$B$3:$B$4002,MATCH(A506,$U$19:$U$4018,0)))</f>
        <v/>
      </c>
      <c r="C506" s="22">
        <f>IF(A506="","",B506/AVERAGE(B382:B506)-1)</f>
        <v/>
      </c>
      <c r="D506" s="29">
        <f>IF(A506="","",IFERROR(INDEX('자료_한국심리'!$E$3:$E$4002,MATCH(A506,$V$19:$V$4018,0)),D505))</f>
        <v/>
      </c>
      <c r="E506" s="30">
        <f>IF(A506="","",IFERROR(INDEX('자료_한국심리'!$H$3:$H$4002,MATCH(A506,$W$19:$W$4018,0)),E505))</f>
        <v/>
      </c>
      <c r="F506" s="30">
        <f>IF(A506="","",IFERROR(INDEX('자료_한국심리'!$K$3:$K$4002,MATCH(A506,$X$19:$X$4018,0)),F505))</f>
        <v/>
      </c>
      <c r="G506" s="30">
        <f>IF(AND(ISNUMBER(E506),ISNUMBER(F506)),ROUND(E506-F506,6),"")</f>
        <v/>
      </c>
      <c r="H506" s="25">
        <f>IF(A506="","",IFERROR(INDEX('자료_한국심리'!$N$3:$N$4002,MATCH(A506,$Y$19:$Y$4018,0)),H505))</f>
        <v/>
      </c>
      <c r="I506" s="31">
        <f>IF(AND(ISNUMBER(H506),ISNUMBER(H486)),IF(H486&gt;0,H506/H486-1,""),"")</f>
        <v/>
      </c>
      <c r="J506">
        <f>IF(A506="",0,IF(A506&gt;$B$5,1,0))</f>
        <v/>
      </c>
      <c r="K506" s="29">
        <f>IF(AND(J506=1,ISNUMBER(D506)),D506,"")</f>
        <v/>
      </c>
      <c r="L506" s="30">
        <f>IF(AND(J506=1,ISNUMBER(G506)),G506,"")</f>
        <v/>
      </c>
      <c r="M506" s="22">
        <f>IF(AND(J506=1,ISNUMBER(C506)),C506,"")</f>
        <v/>
      </c>
      <c r="N506" s="31">
        <f>IF(AND(J506=1,ISNUMBER(I506)),I506,"")</f>
        <v/>
      </c>
      <c r="O506" s="11">
        <f>IF(K506="","",100-IF($G$13=1,50,(_xlfn.RANK.AVG(K506,$K$19:$K$1518,1)-1)/($G$13-1)*100))</f>
        <v/>
      </c>
      <c r="P506" s="11">
        <f>IF(L506="","",100-IF($G$14=1,50,(_xlfn.RANK.AVG(L506,$L$19:$L$1518,1)-1)/($G$14-1)*100))</f>
        <v/>
      </c>
      <c r="Q506" s="11">
        <f>IF(M506="","",IF($G$15=1,50,(_xlfn.RANK.AVG(M506,$M$19:$M$1518,1)-1)/($G$15-1)*100))</f>
        <v/>
      </c>
      <c r="R506" s="11">
        <f>IF(N506="","",IF($G$16=1,50,(_xlfn.RANK.AVG(N506,$N$19:$N$1518,1)-1)/($G$16-1)*100))</f>
        <v/>
      </c>
      <c r="S506" s="11">
        <f>IF(COUNT(O506:R506)=4,ROUND(AVERAGE(O506:R506),6),"")</f>
        <v/>
      </c>
      <c r="U506">
        <f>IF(AND(ISNUMBER('자료_한국심리'!$A490),ISNUMBER('자료_한국심리'!$B490)),'자료_한국심리'!$A490,"")</f>
        <v/>
      </c>
      <c r="V506">
        <f>IF(AND(ISNUMBER('자료_한국심리'!$D490),ISNUMBER('자료_한국심리'!$E490)),'자료_한국심리'!$D490,"")</f>
        <v/>
      </c>
      <c r="W506">
        <f>IF(AND(ISNUMBER('자료_한국심리'!$G490),ISNUMBER('자료_한국심리'!$H490)),'자료_한국심리'!$G490,"")</f>
        <v/>
      </c>
      <c r="X506">
        <f>IF(AND(ISNUMBER('자료_한국심리'!$J490),ISNUMBER('자료_한국심리'!$K490)),'자료_한국심리'!$J490,"")</f>
        <v/>
      </c>
      <c r="Y506">
        <f>IF(AND(ISNUMBER('자료_한국심리'!$M490),ISNUMBER('자료_한국심리'!$N490)),'자료_한국심리'!$M490,"")</f>
        <v/>
      </c>
    </row>
    <row r="507">
      <c r="A507" s="10">
        <f>IF(489&gt;$E$5,"",SMALL($U$19:$U$4018,$E$6+489))</f>
        <v/>
      </c>
      <c r="B507" s="29">
        <f>IF(A507="","",INDEX('자료_한국심리'!$B$3:$B$4002,MATCH(A507,$U$19:$U$4018,0)))</f>
        <v/>
      </c>
      <c r="C507" s="22">
        <f>IF(A507="","",B507/AVERAGE(B383:B507)-1)</f>
        <v/>
      </c>
      <c r="D507" s="29">
        <f>IF(A507="","",IFERROR(INDEX('자료_한국심리'!$E$3:$E$4002,MATCH(A507,$V$19:$V$4018,0)),D506))</f>
        <v/>
      </c>
      <c r="E507" s="30">
        <f>IF(A507="","",IFERROR(INDEX('자료_한국심리'!$H$3:$H$4002,MATCH(A507,$W$19:$W$4018,0)),E506))</f>
        <v/>
      </c>
      <c r="F507" s="30">
        <f>IF(A507="","",IFERROR(INDEX('자료_한국심리'!$K$3:$K$4002,MATCH(A507,$X$19:$X$4018,0)),F506))</f>
        <v/>
      </c>
      <c r="G507" s="30">
        <f>IF(AND(ISNUMBER(E507),ISNUMBER(F507)),ROUND(E507-F507,6),"")</f>
        <v/>
      </c>
      <c r="H507" s="25">
        <f>IF(A507="","",IFERROR(INDEX('자료_한국심리'!$N$3:$N$4002,MATCH(A507,$Y$19:$Y$4018,0)),H506))</f>
        <v/>
      </c>
      <c r="I507" s="31">
        <f>IF(AND(ISNUMBER(H507),ISNUMBER(H487)),IF(H487&gt;0,H507/H487-1,""),"")</f>
        <v/>
      </c>
      <c r="J507">
        <f>IF(A507="",0,IF(A507&gt;$B$5,1,0))</f>
        <v/>
      </c>
      <c r="K507" s="29">
        <f>IF(AND(J507=1,ISNUMBER(D507)),D507,"")</f>
        <v/>
      </c>
      <c r="L507" s="30">
        <f>IF(AND(J507=1,ISNUMBER(G507)),G507,"")</f>
        <v/>
      </c>
      <c r="M507" s="22">
        <f>IF(AND(J507=1,ISNUMBER(C507)),C507,"")</f>
        <v/>
      </c>
      <c r="N507" s="31">
        <f>IF(AND(J507=1,ISNUMBER(I507)),I507,"")</f>
        <v/>
      </c>
      <c r="O507" s="11">
        <f>IF(K507="","",100-IF($G$13=1,50,(_xlfn.RANK.AVG(K507,$K$19:$K$1518,1)-1)/($G$13-1)*100))</f>
        <v/>
      </c>
      <c r="P507" s="11">
        <f>IF(L507="","",100-IF($G$14=1,50,(_xlfn.RANK.AVG(L507,$L$19:$L$1518,1)-1)/($G$14-1)*100))</f>
        <v/>
      </c>
      <c r="Q507" s="11">
        <f>IF(M507="","",IF($G$15=1,50,(_xlfn.RANK.AVG(M507,$M$19:$M$1518,1)-1)/($G$15-1)*100))</f>
        <v/>
      </c>
      <c r="R507" s="11">
        <f>IF(N507="","",IF($G$16=1,50,(_xlfn.RANK.AVG(N507,$N$19:$N$1518,1)-1)/($G$16-1)*100))</f>
        <v/>
      </c>
      <c r="S507" s="11">
        <f>IF(COUNT(O507:R507)=4,ROUND(AVERAGE(O507:R507),6),"")</f>
        <v/>
      </c>
      <c r="U507">
        <f>IF(AND(ISNUMBER('자료_한국심리'!$A491),ISNUMBER('자료_한국심리'!$B491)),'자료_한국심리'!$A491,"")</f>
        <v/>
      </c>
      <c r="V507">
        <f>IF(AND(ISNUMBER('자료_한국심리'!$D491),ISNUMBER('자료_한국심리'!$E491)),'자료_한국심리'!$D491,"")</f>
        <v/>
      </c>
      <c r="W507">
        <f>IF(AND(ISNUMBER('자료_한국심리'!$G491),ISNUMBER('자료_한국심리'!$H491)),'자료_한국심리'!$G491,"")</f>
        <v/>
      </c>
      <c r="X507">
        <f>IF(AND(ISNUMBER('자료_한국심리'!$J491),ISNUMBER('자료_한국심리'!$K491)),'자료_한국심리'!$J491,"")</f>
        <v/>
      </c>
      <c r="Y507">
        <f>IF(AND(ISNUMBER('자료_한국심리'!$M491),ISNUMBER('자료_한국심리'!$N491)),'자료_한국심리'!$M491,"")</f>
        <v/>
      </c>
    </row>
    <row r="508">
      <c r="A508" s="10">
        <f>IF(490&gt;$E$5,"",SMALL($U$19:$U$4018,$E$6+490))</f>
        <v/>
      </c>
      <c r="B508" s="29">
        <f>IF(A508="","",INDEX('자료_한국심리'!$B$3:$B$4002,MATCH(A508,$U$19:$U$4018,0)))</f>
        <v/>
      </c>
      <c r="C508" s="22">
        <f>IF(A508="","",B508/AVERAGE(B384:B508)-1)</f>
        <v/>
      </c>
      <c r="D508" s="29">
        <f>IF(A508="","",IFERROR(INDEX('자료_한국심리'!$E$3:$E$4002,MATCH(A508,$V$19:$V$4018,0)),D507))</f>
        <v/>
      </c>
      <c r="E508" s="30">
        <f>IF(A508="","",IFERROR(INDEX('자료_한국심리'!$H$3:$H$4002,MATCH(A508,$W$19:$W$4018,0)),E507))</f>
        <v/>
      </c>
      <c r="F508" s="30">
        <f>IF(A508="","",IFERROR(INDEX('자료_한국심리'!$K$3:$K$4002,MATCH(A508,$X$19:$X$4018,0)),F507))</f>
        <v/>
      </c>
      <c r="G508" s="30">
        <f>IF(AND(ISNUMBER(E508),ISNUMBER(F508)),ROUND(E508-F508,6),"")</f>
        <v/>
      </c>
      <c r="H508" s="25">
        <f>IF(A508="","",IFERROR(INDEX('자료_한국심리'!$N$3:$N$4002,MATCH(A508,$Y$19:$Y$4018,0)),H507))</f>
        <v/>
      </c>
      <c r="I508" s="31">
        <f>IF(AND(ISNUMBER(H508),ISNUMBER(H488)),IF(H488&gt;0,H508/H488-1,""),"")</f>
        <v/>
      </c>
      <c r="J508">
        <f>IF(A508="",0,IF(A508&gt;$B$5,1,0))</f>
        <v/>
      </c>
      <c r="K508" s="29">
        <f>IF(AND(J508=1,ISNUMBER(D508)),D508,"")</f>
        <v/>
      </c>
      <c r="L508" s="30">
        <f>IF(AND(J508=1,ISNUMBER(G508)),G508,"")</f>
        <v/>
      </c>
      <c r="M508" s="22">
        <f>IF(AND(J508=1,ISNUMBER(C508)),C508,"")</f>
        <v/>
      </c>
      <c r="N508" s="31">
        <f>IF(AND(J508=1,ISNUMBER(I508)),I508,"")</f>
        <v/>
      </c>
      <c r="O508" s="11">
        <f>IF(K508="","",100-IF($G$13=1,50,(_xlfn.RANK.AVG(K508,$K$19:$K$1518,1)-1)/($G$13-1)*100))</f>
        <v/>
      </c>
      <c r="P508" s="11">
        <f>IF(L508="","",100-IF($G$14=1,50,(_xlfn.RANK.AVG(L508,$L$19:$L$1518,1)-1)/($G$14-1)*100))</f>
        <v/>
      </c>
      <c r="Q508" s="11">
        <f>IF(M508="","",IF($G$15=1,50,(_xlfn.RANK.AVG(M508,$M$19:$M$1518,1)-1)/($G$15-1)*100))</f>
        <v/>
      </c>
      <c r="R508" s="11">
        <f>IF(N508="","",IF($G$16=1,50,(_xlfn.RANK.AVG(N508,$N$19:$N$1518,1)-1)/($G$16-1)*100))</f>
        <v/>
      </c>
      <c r="S508" s="11">
        <f>IF(COUNT(O508:R508)=4,ROUND(AVERAGE(O508:R508),6),"")</f>
        <v/>
      </c>
      <c r="U508">
        <f>IF(AND(ISNUMBER('자료_한국심리'!$A492),ISNUMBER('자료_한국심리'!$B492)),'자료_한국심리'!$A492,"")</f>
        <v/>
      </c>
      <c r="V508">
        <f>IF(AND(ISNUMBER('자료_한국심리'!$D492),ISNUMBER('자료_한국심리'!$E492)),'자료_한국심리'!$D492,"")</f>
        <v/>
      </c>
      <c r="W508">
        <f>IF(AND(ISNUMBER('자료_한국심리'!$G492),ISNUMBER('자료_한국심리'!$H492)),'자료_한국심리'!$G492,"")</f>
        <v/>
      </c>
      <c r="X508">
        <f>IF(AND(ISNUMBER('자료_한국심리'!$J492),ISNUMBER('자료_한국심리'!$K492)),'자료_한국심리'!$J492,"")</f>
        <v/>
      </c>
      <c r="Y508">
        <f>IF(AND(ISNUMBER('자료_한국심리'!$M492),ISNUMBER('자료_한국심리'!$N492)),'자료_한국심리'!$M492,"")</f>
        <v/>
      </c>
    </row>
    <row r="509">
      <c r="A509" s="10">
        <f>IF(491&gt;$E$5,"",SMALL($U$19:$U$4018,$E$6+491))</f>
        <v/>
      </c>
      <c r="B509" s="29">
        <f>IF(A509="","",INDEX('자료_한국심리'!$B$3:$B$4002,MATCH(A509,$U$19:$U$4018,0)))</f>
        <v/>
      </c>
      <c r="C509" s="22">
        <f>IF(A509="","",B509/AVERAGE(B385:B509)-1)</f>
        <v/>
      </c>
      <c r="D509" s="29">
        <f>IF(A509="","",IFERROR(INDEX('자료_한국심리'!$E$3:$E$4002,MATCH(A509,$V$19:$V$4018,0)),D508))</f>
        <v/>
      </c>
      <c r="E509" s="30">
        <f>IF(A509="","",IFERROR(INDEX('자료_한국심리'!$H$3:$H$4002,MATCH(A509,$W$19:$W$4018,0)),E508))</f>
        <v/>
      </c>
      <c r="F509" s="30">
        <f>IF(A509="","",IFERROR(INDEX('자료_한국심리'!$K$3:$K$4002,MATCH(A509,$X$19:$X$4018,0)),F508))</f>
        <v/>
      </c>
      <c r="G509" s="30">
        <f>IF(AND(ISNUMBER(E509),ISNUMBER(F509)),ROUND(E509-F509,6),"")</f>
        <v/>
      </c>
      <c r="H509" s="25">
        <f>IF(A509="","",IFERROR(INDEX('자료_한국심리'!$N$3:$N$4002,MATCH(A509,$Y$19:$Y$4018,0)),H508))</f>
        <v/>
      </c>
      <c r="I509" s="31">
        <f>IF(AND(ISNUMBER(H509),ISNUMBER(H489)),IF(H489&gt;0,H509/H489-1,""),"")</f>
        <v/>
      </c>
      <c r="J509">
        <f>IF(A509="",0,IF(A509&gt;$B$5,1,0))</f>
        <v/>
      </c>
      <c r="K509" s="29">
        <f>IF(AND(J509=1,ISNUMBER(D509)),D509,"")</f>
        <v/>
      </c>
      <c r="L509" s="30">
        <f>IF(AND(J509=1,ISNUMBER(G509)),G509,"")</f>
        <v/>
      </c>
      <c r="M509" s="22">
        <f>IF(AND(J509=1,ISNUMBER(C509)),C509,"")</f>
        <v/>
      </c>
      <c r="N509" s="31">
        <f>IF(AND(J509=1,ISNUMBER(I509)),I509,"")</f>
        <v/>
      </c>
      <c r="O509" s="11">
        <f>IF(K509="","",100-IF($G$13=1,50,(_xlfn.RANK.AVG(K509,$K$19:$K$1518,1)-1)/($G$13-1)*100))</f>
        <v/>
      </c>
      <c r="P509" s="11">
        <f>IF(L509="","",100-IF($G$14=1,50,(_xlfn.RANK.AVG(L509,$L$19:$L$1518,1)-1)/($G$14-1)*100))</f>
        <v/>
      </c>
      <c r="Q509" s="11">
        <f>IF(M509="","",IF($G$15=1,50,(_xlfn.RANK.AVG(M509,$M$19:$M$1518,1)-1)/($G$15-1)*100))</f>
        <v/>
      </c>
      <c r="R509" s="11">
        <f>IF(N509="","",IF($G$16=1,50,(_xlfn.RANK.AVG(N509,$N$19:$N$1518,1)-1)/($G$16-1)*100))</f>
        <v/>
      </c>
      <c r="S509" s="11">
        <f>IF(COUNT(O509:R509)=4,ROUND(AVERAGE(O509:R509),6),"")</f>
        <v/>
      </c>
      <c r="U509">
        <f>IF(AND(ISNUMBER('자료_한국심리'!$A493),ISNUMBER('자료_한국심리'!$B493)),'자료_한국심리'!$A493,"")</f>
        <v/>
      </c>
      <c r="V509">
        <f>IF(AND(ISNUMBER('자료_한국심리'!$D493),ISNUMBER('자료_한국심리'!$E493)),'자료_한국심리'!$D493,"")</f>
        <v/>
      </c>
      <c r="W509">
        <f>IF(AND(ISNUMBER('자료_한국심리'!$G493),ISNUMBER('자료_한국심리'!$H493)),'자료_한국심리'!$G493,"")</f>
        <v/>
      </c>
      <c r="X509">
        <f>IF(AND(ISNUMBER('자료_한국심리'!$J493),ISNUMBER('자료_한국심리'!$K493)),'자료_한국심리'!$J493,"")</f>
        <v/>
      </c>
      <c r="Y509">
        <f>IF(AND(ISNUMBER('자료_한국심리'!$M493),ISNUMBER('자료_한국심리'!$N493)),'자료_한국심리'!$M493,"")</f>
        <v/>
      </c>
    </row>
    <row r="510">
      <c r="A510" s="10">
        <f>IF(492&gt;$E$5,"",SMALL($U$19:$U$4018,$E$6+492))</f>
        <v/>
      </c>
      <c r="B510" s="29">
        <f>IF(A510="","",INDEX('자료_한국심리'!$B$3:$B$4002,MATCH(A510,$U$19:$U$4018,0)))</f>
        <v/>
      </c>
      <c r="C510" s="22">
        <f>IF(A510="","",B510/AVERAGE(B386:B510)-1)</f>
        <v/>
      </c>
      <c r="D510" s="29">
        <f>IF(A510="","",IFERROR(INDEX('자료_한국심리'!$E$3:$E$4002,MATCH(A510,$V$19:$V$4018,0)),D509))</f>
        <v/>
      </c>
      <c r="E510" s="30">
        <f>IF(A510="","",IFERROR(INDEX('자료_한국심리'!$H$3:$H$4002,MATCH(A510,$W$19:$W$4018,0)),E509))</f>
        <v/>
      </c>
      <c r="F510" s="30">
        <f>IF(A510="","",IFERROR(INDEX('자료_한국심리'!$K$3:$K$4002,MATCH(A510,$X$19:$X$4018,0)),F509))</f>
        <v/>
      </c>
      <c r="G510" s="30">
        <f>IF(AND(ISNUMBER(E510),ISNUMBER(F510)),ROUND(E510-F510,6),"")</f>
        <v/>
      </c>
      <c r="H510" s="25">
        <f>IF(A510="","",IFERROR(INDEX('자료_한국심리'!$N$3:$N$4002,MATCH(A510,$Y$19:$Y$4018,0)),H509))</f>
        <v/>
      </c>
      <c r="I510" s="31">
        <f>IF(AND(ISNUMBER(H510),ISNUMBER(H490)),IF(H490&gt;0,H510/H490-1,""),"")</f>
        <v/>
      </c>
      <c r="J510">
        <f>IF(A510="",0,IF(A510&gt;$B$5,1,0))</f>
        <v/>
      </c>
      <c r="K510" s="29">
        <f>IF(AND(J510=1,ISNUMBER(D510)),D510,"")</f>
        <v/>
      </c>
      <c r="L510" s="30">
        <f>IF(AND(J510=1,ISNUMBER(G510)),G510,"")</f>
        <v/>
      </c>
      <c r="M510" s="22">
        <f>IF(AND(J510=1,ISNUMBER(C510)),C510,"")</f>
        <v/>
      </c>
      <c r="N510" s="31">
        <f>IF(AND(J510=1,ISNUMBER(I510)),I510,"")</f>
        <v/>
      </c>
      <c r="O510" s="11">
        <f>IF(K510="","",100-IF($G$13=1,50,(_xlfn.RANK.AVG(K510,$K$19:$K$1518,1)-1)/($G$13-1)*100))</f>
        <v/>
      </c>
      <c r="P510" s="11">
        <f>IF(L510="","",100-IF($G$14=1,50,(_xlfn.RANK.AVG(L510,$L$19:$L$1518,1)-1)/($G$14-1)*100))</f>
        <v/>
      </c>
      <c r="Q510" s="11">
        <f>IF(M510="","",IF($G$15=1,50,(_xlfn.RANK.AVG(M510,$M$19:$M$1518,1)-1)/($G$15-1)*100))</f>
        <v/>
      </c>
      <c r="R510" s="11">
        <f>IF(N510="","",IF($G$16=1,50,(_xlfn.RANK.AVG(N510,$N$19:$N$1518,1)-1)/($G$16-1)*100))</f>
        <v/>
      </c>
      <c r="S510" s="11">
        <f>IF(COUNT(O510:R510)=4,ROUND(AVERAGE(O510:R510),6),"")</f>
        <v/>
      </c>
      <c r="U510">
        <f>IF(AND(ISNUMBER('자료_한국심리'!$A494),ISNUMBER('자료_한국심리'!$B494)),'자료_한국심리'!$A494,"")</f>
        <v/>
      </c>
      <c r="V510">
        <f>IF(AND(ISNUMBER('자료_한국심리'!$D494),ISNUMBER('자료_한국심리'!$E494)),'자료_한국심리'!$D494,"")</f>
        <v/>
      </c>
      <c r="W510">
        <f>IF(AND(ISNUMBER('자료_한국심리'!$G494),ISNUMBER('자료_한국심리'!$H494)),'자료_한국심리'!$G494,"")</f>
        <v/>
      </c>
      <c r="X510">
        <f>IF(AND(ISNUMBER('자료_한국심리'!$J494),ISNUMBER('자료_한국심리'!$K494)),'자료_한국심리'!$J494,"")</f>
        <v/>
      </c>
      <c r="Y510">
        <f>IF(AND(ISNUMBER('자료_한국심리'!$M494),ISNUMBER('자료_한국심리'!$N494)),'자료_한국심리'!$M494,"")</f>
        <v/>
      </c>
    </row>
    <row r="511">
      <c r="A511" s="10">
        <f>IF(493&gt;$E$5,"",SMALL($U$19:$U$4018,$E$6+493))</f>
        <v/>
      </c>
      <c r="B511" s="29">
        <f>IF(A511="","",INDEX('자료_한국심리'!$B$3:$B$4002,MATCH(A511,$U$19:$U$4018,0)))</f>
        <v/>
      </c>
      <c r="C511" s="22">
        <f>IF(A511="","",B511/AVERAGE(B387:B511)-1)</f>
        <v/>
      </c>
      <c r="D511" s="29">
        <f>IF(A511="","",IFERROR(INDEX('자료_한국심리'!$E$3:$E$4002,MATCH(A511,$V$19:$V$4018,0)),D510))</f>
        <v/>
      </c>
      <c r="E511" s="30">
        <f>IF(A511="","",IFERROR(INDEX('자료_한국심리'!$H$3:$H$4002,MATCH(A511,$W$19:$W$4018,0)),E510))</f>
        <v/>
      </c>
      <c r="F511" s="30">
        <f>IF(A511="","",IFERROR(INDEX('자료_한국심리'!$K$3:$K$4002,MATCH(A511,$X$19:$X$4018,0)),F510))</f>
        <v/>
      </c>
      <c r="G511" s="30">
        <f>IF(AND(ISNUMBER(E511),ISNUMBER(F511)),ROUND(E511-F511,6),"")</f>
        <v/>
      </c>
      <c r="H511" s="25">
        <f>IF(A511="","",IFERROR(INDEX('자료_한국심리'!$N$3:$N$4002,MATCH(A511,$Y$19:$Y$4018,0)),H510))</f>
        <v/>
      </c>
      <c r="I511" s="31">
        <f>IF(AND(ISNUMBER(H511),ISNUMBER(H491)),IF(H491&gt;0,H511/H491-1,""),"")</f>
        <v/>
      </c>
      <c r="J511">
        <f>IF(A511="",0,IF(A511&gt;$B$5,1,0))</f>
        <v/>
      </c>
      <c r="K511" s="29">
        <f>IF(AND(J511=1,ISNUMBER(D511)),D511,"")</f>
        <v/>
      </c>
      <c r="L511" s="30">
        <f>IF(AND(J511=1,ISNUMBER(G511)),G511,"")</f>
        <v/>
      </c>
      <c r="M511" s="22">
        <f>IF(AND(J511=1,ISNUMBER(C511)),C511,"")</f>
        <v/>
      </c>
      <c r="N511" s="31">
        <f>IF(AND(J511=1,ISNUMBER(I511)),I511,"")</f>
        <v/>
      </c>
      <c r="O511" s="11">
        <f>IF(K511="","",100-IF($G$13=1,50,(_xlfn.RANK.AVG(K511,$K$19:$K$1518,1)-1)/($G$13-1)*100))</f>
        <v/>
      </c>
      <c r="P511" s="11">
        <f>IF(L511="","",100-IF($G$14=1,50,(_xlfn.RANK.AVG(L511,$L$19:$L$1518,1)-1)/($G$14-1)*100))</f>
        <v/>
      </c>
      <c r="Q511" s="11">
        <f>IF(M511="","",IF($G$15=1,50,(_xlfn.RANK.AVG(M511,$M$19:$M$1518,1)-1)/($G$15-1)*100))</f>
        <v/>
      </c>
      <c r="R511" s="11">
        <f>IF(N511="","",IF($G$16=1,50,(_xlfn.RANK.AVG(N511,$N$19:$N$1518,1)-1)/($G$16-1)*100))</f>
        <v/>
      </c>
      <c r="S511" s="11">
        <f>IF(COUNT(O511:R511)=4,ROUND(AVERAGE(O511:R511),6),"")</f>
        <v/>
      </c>
      <c r="U511">
        <f>IF(AND(ISNUMBER('자료_한국심리'!$A495),ISNUMBER('자료_한국심리'!$B495)),'자료_한국심리'!$A495,"")</f>
        <v/>
      </c>
      <c r="V511">
        <f>IF(AND(ISNUMBER('자료_한국심리'!$D495),ISNUMBER('자료_한국심리'!$E495)),'자료_한국심리'!$D495,"")</f>
        <v/>
      </c>
      <c r="W511">
        <f>IF(AND(ISNUMBER('자료_한국심리'!$G495),ISNUMBER('자료_한국심리'!$H495)),'자료_한국심리'!$G495,"")</f>
        <v/>
      </c>
      <c r="X511">
        <f>IF(AND(ISNUMBER('자료_한국심리'!$J495),ISNUMBER('자료_한국심리'!$K495)),'자료_한국심리'!$J495,"")</f>
        <v/>
      </c>
      <c r="Y511">
        <f>IF(AND(ISNUMBER('자료_한국심리'!$M495),ISNUMBER('자료_한국심리'!$N495)),'자료_한국심리'!$M495,"")</f>
        <v/>
      </c>
    </row>
    <row r="512">
      <c r="A512" s="10">
        <f>IF(494&gt;$E$5,"",SMALL($U$19:$U$4018,$E$6+494))</f>
        <v/>
      </c>
      <c r="B512" s="29">
        <f>IF(A512="","",INDEX('자료_한국심리'!$B$3:$B$4002,MATCH(A512,$U$19:$U$4018,0)))</f>
        <v/>
      </c>
      <c r="C512" s="22">
        <f>IF(A512="","",B512/AVERAGE(B388:B512)-1)</f>
        <v/>
      </c>
      <c r="D512" s="29">
        <f>IF(A512="","",IFERROR(INDEX('자료_한국심리'!$E$3:$E$4002,MATCH(A512,$V$19:$V$4018,0)),D511))</f>
        <v/>
      </c>
      <c r="E512" s="30">
        <f>IF(A512="","",IFERROR(INDEX('자료_한국심리'!$H$3:$H$4002,MATCH(A512,$W$19:$W$4018,0)),E511))</f>
        <v/>
      </c>
      <c r="F512" s="30">
        <f>IF(A512="","",IFERROR(INDEX('자료_한국심리'!$K$3:$K$4002,MATCH(A512,$X$19:$X$4018,0)),F511))</f>
        <v/>
      </c>
      <c r="G512" s="30">
        <f>IF(AND(ISNUMBER(E512),ISNUMBER(F512)),ROUND(E512-F512,6),"")</f>
        <v/>
      </c>
      <c r="H512" s="25">
        <f>IF(A512="","",IFERROR(INDEX('자료_한국심리'!$N$3:$N$4002,MATCH(A512,$Y$19:$Y$4018,0)),H511))</f>
        <v/>
      </c>
      <c r="I512" s="31">
        <f>IF(AND(ISNUMBER(H512),ISNUMBER(H492)),IF(H492&gt;0,H512/H492-1,""),"")</f>
        <v/>
      </c>
      <c r="J512">
        <f>IF(A512="",0,IF(A512&gt;$B$5,1,0))</f>
        <v/>
      </c>
      <c r="K512" s="29">
        <f>IF(AND(J512=1,ISNUMBER(D512)),D512,"")</f>
        <v/>
      </c>
      <c r="L512" s="30">
        <f>IF(AND(J512=1,ISNUMBER(G512)),G512,"")</f>
        <v/>
      </c>
      <c r="M512" s="22">
        <f>IF(AND(J512=1,ISNUMBER(C512)),C512,"")</f>
        <v/>
      </c>
      <c r="N512" s="31">
        <f>IF(AND(J512=1,ISNUMBER(I512)),I512,"")</f>
        <v/>
      </c>
      <c r="O512" s="11">
        <f>IF(K512="","",100-IF($G$13=1,50,(_xlfn.RANK.AVG(K512,$K$19:$K$1518,1)-1)/($G$13-1)*100))</f>
        <v/>
      </c>
      <c r="P512" s="11">
        <f>IF(L512="","",100-IF($G$14=1,50,(_xlfn.RANK.AVG(L512,$L$19:$L$1518,1)-1)/($G$14-1)*100))</f>
        <v/>
      </c>
      <c r="Q512" s="11">
        <f>IF(M512="","",IF($G$15=1,50,(_xlfn.RANK.AVG(M512,$M$19:$M$1518,1)-1)/($G$15-1)*100))</f>
        <v/>
      </c>
      <c r="R512" s="11">
        <f>IF(N512="","",IF($G$16=1,50,(_xlfn.RANK.AVG(N512,$N$19:$N$1518,1)-1)/($G$16-1)*100))</f>
        <v/>
      </c>
      <c r="S512" s="11">
        <f>IF(COUNT(O512:R512)=4,ROUND(AVERAGE(O512:R512),6),"")</f>
        <v/>
      </c>
      <c r="U512">
        <f>IF(AND(ISNUMBER('자료_한국심리'!$A496),ISNUMBER('자료_한국심리'!$B496)),'자료_한국심리'!$A496,"")</f>
        <v/>
      </c>
      <c r="V512">
        <f>IF(AND(ISNUMBER('자료_한국심리'!$D496),ISNUMBER('자료_한국심리'!$E496)),'자료_한국심리'!$D496,"")</f>
        <v/>
      </c>
      <c r="W512">
        <f>IF(AND(ISNUMBER('자료_한국심리'!$G496),ISNUMBER('자료_한국심리'!$H496)),'자료_한국심리'!$G496,"")</f>
        <v/>
      </c>
      <c r="X512">
        <f>IF(AND(ISNUMBER('자료_한국심리'!$J496),ISNUMBER('자료_한국심리'!$K496)),'자료_한국심리'!$J496,"")</f>
        <v/>
      </c>
      <c r="Y512">
        <f>IF(AND(ISNUMBER('자료_한국심리'!$M496),ISNUMBER('자료_한국심리'!$N496)),'자료_한국심리'!$M496,"")</f>
        <v/>
      </c>
    </row>
    <row r="513">
      <c r="A513" s="10">
        <f>IF(495&gt;$E$5,"",SMALL($U$19:$U$4018,$E$6+495))</f>
        <v/>
      </c>
      <c r="B513" s="29">
        <f>IF(A513="","",INDEX('자료_한국심리'!$B$3:$B$4002,MATCH(A513,$U$19:$U$4018,0)))</f>
        <v/>
      </c>
      <c r="C513" s="22">
        <f>IF(A513="","",B513/AVERAGE(B389:B513)-1)</f>
        <v/>
      </c>
      <c r="D513" s="29">
        <f>IF(A513="","",IFERROR(INDEX('자료_한국심리'!$E$3:$E$4002,MATCH(A513,$V$19:$V$4018,0)),D512))</f>
        <v/>
      </c>
      <c r="E513" s="30">
        <f>IF(A513="","",IFERROR(INDEX('자료_한국심리'!$H$3:$H$4002,MATCH(A513,$W$19:$W$4018,0)),E512))</f>
        <v/>
      </c>
      <c r="F513" s="30">
        <f>IF(A513="","",IFERROR(INDEX('자료_한국심리'!$K$3:$K$4002,MATCH(A513,$X$19:$X$4018,0)),F512))</f>
        <v/>
      </c>
      <c r="G513" s="30">
        <f>IF(AND(ISNUMBER(E513),ISNUMBER(F513)),ROUND(E513-F513,6),"")</f>
        <v/>
      </c>
      <c r="H513" s="25">
        <f>IF(A513="","",IFERROR(INDEX('자료_한국심리'!$N$3:$N$4002,MATCH(A513,$Y$19:$Y$4018,0)),H512))</f>
        <v/>
      </c>
      <c r="I513" s="31">
        <f>IF(AND(ISNUMBER(H513),ISNUMBER(H493)),IF(H493&gt;0,H513/H493-1,""),"")</f>
        <v/>
      </c>
      <c r="J513">
        <f>IF(A513="",0,IF(A513&gt;$B$5,1,0))</f>
        <v/>
      </c>
      <c r="K513" s="29">
        <f>IF(AND(J513=1,ISNUMBER(D513)),D513,"")</f>
        <v/>
      </c>
      <c r="L513" s="30">
        <f>IF(AND(J513=1,ISNUMBER(G513)),G513,"")</f>
        <v/>
      </c>
      <c r="M513" s="22">
        <f>IF(AND(J513=1,ISNUMBER(C513)),C513,"")</f>
        <v/>
      </c>
      <c r="N513" s="31">
        <f>IF(AND(J513=1,ISNUMBER(I513)),I513,"")</f>
        <v/>
      </c>
      <c r="O513" s="11">
        <f>IF(K513="","",100-IF($G$13=1,50,(_xlfn.RANK.AVG(K513,$K$19:$K$1518,1)-1)/($G$13-1)*100))</f>
        <v/>
      </c>
      <c r="P513" s="11">
        <f>IF(L513="","",100-IF($G$14=1,50,(_xlfn.RANK.AVG(L513,$L$19:$L$1518,1)-1)/($G$14-1)*100))</f>
        <v/>
      </c>
      <c r="Q513" s="11">
        <f>IF(M513="","",IF($G$15=1,50,(_xlfn.RANK.AVG(M513,$M$19:$M$1518,1)-1)/($G$15-1)*100))</f>
        <v/>
      </c>
      <c r="R513" s="11">
        <f>IF(N513="","",IF($G$16=1,50,(_xlfn.RANK.AVG(N513,$N$19:$N$1518,1)-1)/($G$16-1)*100))</f>
        <v/>
      </c>
      <c r="S513" s="11">
        <f>IF(COUNT(O513:R513)=4,ROUND(AVERAGE(O513:R513),6),"")</f>
        <v/>
      </c>
      <c r="U513">
        <f>IF(AND(ISNUMBER('자료_한국심리'!$A497),ISNUMBER('자료_한국심리'!$B497)),'자료_한국심리'!$A497,"")</f>
        <v/>
      </c>
      <c r="V513">
        <f>IF(AND(ISNUMBER('자료_한국심리'!$D497),ISNUMBER('자료_한국심리'!$E497)),'자료_한국심리'!$D497,"")</f>
        <v/>
      </c>
      <c r="W513">
        <f>IF(AND(ISNUMBER('자료_한국심리'!$G497),ISNUMBER('자료_한국심리'!$H497)),'자료_한국심리'!$G497,"")</f>
        <v/>
      </c>
      <c r="X513">
        <f>IF(AND(ISNUMBER('자료_한국심리'!$J497),ISNUMBER('자료_한국심리'!$K497)),'자료_한국심리'!$J497,"")</f>
        <v/>
      </c>
      <c r="Y513">
        <f>IF(AND(ISNUMBER('자료_한국심리'!$M497),ISNUMBER('자료_한국심리'!$N497)),'자료_한국심리'!$M497,"")</f>
        <v/>
      </c>
    </row>
    <row r="514">
      <c r="A514" s="10">
        <f>IF(496&gt;$E$5,"",SMALL($U$19:$U$4018,$E$6+496))</f>
        <v/>
      </c>
      <c r="B514" s="29">
        <f>IF(A514="","",INDEX('자료_한국심리'!$B$3:$B$4002,MATCH(A514,$U$19:$U$4018,0)))</f>
        <v/>
      </c>
      <c r="C514" s="22">
        <f>IF(A514="","",B514/AVERAGE(B390:B514)-1)</f>
        <v/>
      </c>
      <c r="D514" s="29">
        <f>IF(A514="","",IFERROR(INDEX('자료_한국심리'!$E$3:$E$4002,MATCH(A514,$V$19:$V$4018,0)),D513))</f>
        <v/>
      </c>
      <c r="E514" s="30">
        <f>IF(A514="","",IFERROR(INDEX('자료_한국심리'!$H$3:$H$4002,MATCH(A514,$W$19:$W$4018,0)),E513))</f>
        <v/>
      </c>
      <c r="F514" s="30">
        <f>IF(A514="","",IFERROR(INDEX('자료_한국심리'!$K$3:$K$4002,MATCH(A514,$X$19:$X$4018,0)),F513))</f>
        <v/>
      </c>
      <c r="G514" s="30">
        <f>IF(AND(ISNUMBER(E514),ISNUMBER(F514)),ROUND(E514-F514,6),"")</f>
        <v/>
      </c>
      <c r="H514" s="25">
        <f>IF(A514="","",IFERROR(INDEX('자료_한국심리'!$N$3:$N$4002,MATCH(A514,$Y$19:$Y$4018,0)),H513))</f>
        <v/>
      </c>
      <c r="I514" s="31">
        <f>IF(AND(ISNUMBER(H514),ISNUMBER(H494)),IF(H494&gt;0,H514/H494-1,""),"")</f>
        <v/>
      </c>
      <c r="J514">
        <f>IF(A514="",0,IF(A514&gt;$B$5,1,0))</f>
        <v/>
      </c>
      <c r="K514" s="29">
        <f>IF(AND(J514=1,ISNUMBER(D514)),D514,"")</f>
        <v/>
      </c>
      <c r="L514" s="30">
        <f>IF(AND(J514=1,ISNUMBER(G514)),G514,"")</f>
        <v/>
      </c>
      <c r="M514" s="22">
        <f>IF(AND(J514=1,ISNUMBER(C514)),C514,"")</f>
        <v/>
      </c>
      <c r="N514" s="31">
        <f>IF(AND(J514=1,ISNUMBER(I514)),I514,"")</f>
        <v/>
      </c>
      <c r="O514" s="11">
        <f>IF(K514="","",100-IF($G$13=1,50,(_xlfn.RANK.AVG(K514,$K$19:$K$1518,1)-1)/($G$13-1)*100))</f>
        <v/>
      </c>
      <c r="P514" s="11">
        <f>IF(L514="","",100-IF($G$14=1,50,(_xlfn.RANK.AVG(L514,$L$19:$L$1518,1)-1)/($G$14-1)*100))</f>
        <v/>
      </c>
      <c r="Q514" s="11">
        <f>IF(M514="","",IF($G$15=1,50,(_xlfn.RANK.AVG(M514,$M$19:$M$1518,1)-1)/($G$15-1)*100))</f>
        <v/>
      </c>
      <c r="R514" s="11">
        <f>IF(N514="","",IF($G$16=1,50,(_xlfn.RANK.AVG(N514,$N$19:$N$1518,1)-1)/($G$16-1)*100))</f>
        <v/>
      </c>
      <c r="S514" s="11">
        <f>IF(COUNT(O514:R514)=4,ROUND(AVERAGE(O514:R514),6),"")</f>
        <v/>
      </c>
      <c r="U514">
        <f>IF(AND(ISNUMBER('자료_한국심리'!$A498),ISNUMBER('자료_한국심리'!$B498)),'자료_한국심리'!$A498,"")</f>
        <v/>
      </c>
      <c r="V514">
        <f>IF(AND(ISNUMBER('자료_한국심리'!$D498),ISNUMBER('자료_한국심리'!$E498)),'자료_한국심리'!$D498,"")</f>
        <v/>
      </c>
      <c r="W514">
        <f>IF(AND(ISNUMBER('자료_한국심리'!$G498),ISNUMBER('자료_한국심리'!$H498)),'자료_한국심리'!$G498,"")</f>
        <v/>
      </c>
      <c r="X514">
        <f>IF(AND(ISNUMBER('자료_한국심리'!$J498),ISNUMBER('자료_한국심리'!$K498)),'자료_한국심리'!$J498,"")</f>
        <v/>
      </c>
      <c r="Y514">
        <f>IF(AND(ISNUMBER('자료_한국심리'!$M498),ISNUMBER('자료_한국심리'!$N498)),'자료_한국심리'!$M498,"")</f>
        <v/>
      </c>
    </row>
    <row r="515">
      <c r="A515" s="10">
        <f>IF(497&gt;$E$5,"",SMALL($U$19:$U$4018,$E$6+497))</f>
        <v/>
      </c>
      <c r="B515" s="29">
        <f>IF(A515="","",INDEX('자료_한국심리'!$B$3:$B$4002,MATCH(A515,$U$19:$U$4018,0)))</f>
        <v/>
      </c>
      <c r="C515" s="22">
        <f>IF(A515="","",B515/AVERAGE(B391:B515)-1)</f>
        <v/>
      </c>
      <c r="D515" s="29">
        <f>IF(A515="","",IFERROR(INDEX('자료_한국심리'!$E$3:$E$4002,MATCH(A515,$V$19:$V$4018,0)),D514))</f>
        <v/>
      </c>
      <c r="E515" s="30">
        <f>IF(A515="","",IFERROR(INDEX('자료_한국심리'!$H$3:$H$4002,MATCH(A515,$W$19:$W$4018,0)),E514))</f>
        <v/>
      </c>
      <c r="F515" s="30">
        <f>IF(A515="","",IFERROR(INDEX('자료_한국심리'!$K$3:$K$4002,MATCH(A515,$X$19:$X$4018,0)),F514))</f>
        <v/>
      </c>
      <c r="G515" s="30">
        <f>IF(AND(ISNUMBER(E515),ISNUMBER(F515)),ROUND(E515-F515,6),"")</f>
        <v/>
      </c>
      <c r="H515" s="25">
        <f>IF(A515="","",IFERROR(INDEX('자료_한국심리'!$N$3:$N$4002,MATCH(A515,$Y$19:$Y$4018,0)),H514))</f>
        <v/>
      </c>
      <c r="I515" s="31">
        <f>IF(AND(ISNUMBER(H515),ISNUMBER(H495)),IF(H495&gt;0,H515/H495-1,""),"")</f>
        <v/>
      </c>
      <c r="J515">
        <f>IF(A515="",0,IF(A515&gt;$B$5,1,0))</f>
        <v/>
      </c>
      <c r="K515" s="29">
        <f>IF(AND(J515=1,ISNUMBER(D515)),D515,"")</f>
        <v/>
      </c>
      <c r="L515" s="30">
        <f>IF(AND(J515=1,ISNUMBER(G515)),G515,"")</f>
        <v/>
      </c>
      <c r="M515" s="22">
        <f>IF(AND(J515=1,ISNUMBER(C515)),C515,"")</f>
        <v/>
      </c>
      <c r="N515" s="31">
        <f>IF(AND(J515=1,ISNUMBER(I515)),I515,"")</f>
        <v/>
      </c>
      <c r="O515" s="11">
        <f>IF(K515="","",100-IF($G$13=1,50,(_xlfn.RANK.AVG(K515,$K$19:$K$1518,1)-1)/($G$13-1)*100))</f>
        <v/>
      </c>
      <c r="P515" s="11">
        <f>IF(L515="","",100-IF($G$14=1,50,(_xlfn.RANK.AVG(L515,$L$19:$L$1518,1)-1)/($G$14-1)*100))</f>
        <v/>
      </c>
      <c r="Q515" s="11">
        <f>IF(M515="","",IF($G$15=1,50,(_xlfn.RANK.AVG(M515,$M$19:$M$1518,1)-1)/($G$15-1)*100))</f>
        <v/>
      </c>
      <c r="R515" s="11">
        <f>IF(N515="","",IF($G$16=1,50,(_xlfn.RANK.AVG(N515,$N$19:$N$1518,1)-1)/($G$16-1)*100))</f>
        <v/>
      </c>
      <c r="S515" s="11">
        <f>IF(COUNT(O515:R515)=4,ROUND(AVERAGE(O515:R515),6),"")</f>
        <v/>
      </c>
      <c r="U515">
        <f>IF(AND(ISNUMBER('자료_한국심리'!$A499),ISNUMBER('자료_한국심리'!$B499)),'자료_한국심리'!$A499,"")</f>
        <v/>
      </c>
      <c r="V515">
        <f>IF(AND(ISNUMBER('자료_한국심리'!$D499),ISNUMBER('자료_한국심리'!$E499)),'자료_한국심리'!$D499,"")</f>
        <v/>
      </c>
      <c r="W515">
        <f>IF(AND(ISNUMBER('자료_한국심리'!$G499),ISNUMBER('자료_한국심리'!$H499)),'자료_한국심리'!$G499,"")</f>
        <v/>
      </c>
      <c r="X515">
        <f>IF(AND(ISNUMBER('자료_한국심리'!$J499),ISNUMBER('자료_한국심리'!$K499)),'자료_한국심리'!$J499,"")</f>
        <v/>
      </c>
      <c r="Y515">
        <f>IF(AND(ISNUMBER('자료_한국심리'!$M499),ISNUMBER('자료_한국심리'!$N499)),'자료_한국심리'!$M499,"")</f>
        <v/>
      </c>
    </row>
    <row r="516">
      <c r="A516" s="10">
        <f>IF(498&gt;$E$5,"",SMALL($U$19:$U$4018,$E$6+498))</f>
        <v/>
      </c>
      <c r="B516" s="29">
        <f>IF(A516="","",INDEX('자료_한국심리'!$B$3:$B$4002,MATCH(A516,$U$19:$U$4018,0)))</f>
        <v/>
      </c>
      <c r="C516" s="22">
        <f>IF(A516="","",B516/AVERAGE(B392:B516)-1)</f>
        <v/>
      </c>
      <c r="D516" s="29">
        <f>IF(A516="","",IFERROR(INDEX('자료_한국심리'!$E$3:$E$4002,MATCH(A516,$V$19:$V$4018,0)),D515))</f>
        <v/>
      </c>
      <c r="E516" s="30">
        <f>IF(A516="","",IFERROR(INDEX('자료_한국심리'!$H$3:$H$4002,MATCH(A516,$W$19:$W$4018,0)),E515))</f>
        <v/>
      </c>
      <c r="F516" s="30">
        <f>IF(A516="","",IFERROR(INDEX('자료_한국심리'!$K$3:$K$4002,MATCH(A516,$X$19:$X$4018,0)),F515))</f>
        <v/>
      </c>
      <c r="G516" s="30">
        <f>IF(AND(ISNUMBER(E516),ISNUMBER(F516)),ROUND(E516-F516,6),"")</f>
        <v/>
      </c>
      <c r="H516" s="25">
        <f>IF(A516="","",IFERROR(INDEX('자료_한국심리'!$N$3:$N$4002,MATCH(A516,$Y$19:$Y$4018,0)),H515))</f>
        <v/>
      </c>
      <c r="I516" s="31">
        <f>IF(AND(ISNUMBER(H516),ISNUMBER(H496)),IF(H496&gt;0,H516/H496-1,""),"")</f>
        <v/>
      </c>
      <c r="J516">
        <f>IF(A516="",0,IF(A516&gt;$B$5,1,0))</f>
        <v/>
      </c>
      <c r="K516" s="29">
        <f>IF(AND(J516=1,ISNUMBER(D516)),D516,"")</f>
        <v/>
      </c>
      <c r="L516" s="30">
        <f>IF(AND(J516=1,ISNUMBER(G516)),G516,"")</f>
        <v/>
      </c>
      <c r="M516" s="22">
        <f>IF(AND(J516=1,ISNUMBER(C516)),C516,"")</f>
        <v/>
      </c>
      <c r="N516" s="31">
        <f>IF(AND(J516=1,ISNUMBER(I516)),I516,"")</f>
        <v/>
      </c>
      <c r="O516" s="11">
        <f>IF(K516="","",100-IF($G$13=1,50,(_xlfn.RANK.AVG(K516,$K$19:$K$1518,1)-1)/($G$13-1)*100))</f>
        <v/>
      </c>
      <c r="P516" s="11">
        <f>IF(L516="","",100-IF($G$14=1,50,(_xlfn.RANK.AVG(L516,$L$19:$L$1518,1)-1)/($G$14-1)*100))</f>
        <v/>
      </c>
      <c r="Q516" s="11">
        <f>IF(M516="","",IF($G$15=1,50,(_xlfn.RANK.AVG(M516,$M$19:$M$1518,1)-1)/($G$15-1)*100))</f>
        <v/>
      </c>
      <c r="R516" s="11">
        <f>IF(N516="","",IF($G$16=1,50,(_xlfn.RANK.AVG(N516,$N$19:$N$1518,1)-1)/($G$16-1)*100))</f>
        <v/>
      </c>
      <c r="S516" s="11">
        <f>IF(COUNT(O516:R516)=4,ROUND(AVERAGE(O516:R516),6),"")</f>
        <v/>
      </c>
      <c r="U516">
        <f>IF(AND(ISNUMBER('자료_한국심리'!$A500),ISNUMBER('자료_한국심리'!$B500)),'자료_한국심리'!$A500,"")</f>
        <v/>
      </c>
      <c r="V516">
        <f>IF(AND(ISNUMBER('자료_한국심리'!$D500),ISNUMBER('자료_한국심리'!$E500)),'자료_한국심리'!$D500,"")</f>
        <v/>
      </c>
      <c r="W516">
        <f>IF(AND(ISNUMBER('자료_한국심리'!$G500),ISNUMBER('자료_한국심리'!$H500)),'자료_한국심리'!$G500,"")</f>
        <v/>
      </c>
      <c r="X516">
        <f>IF(AND(ISNUMBER('자료_한국심리'!$J500),ISNUMBER('자료_한국심리'!$K500)),'자료_한국심리'!$J500,"")</f>
        <v/>
      </c>
      <c r="Y516">
        <f>IF(AND(ISNUMBER('자료_한국심리'!$M500),ISNUMBER('자료_한국심리'!$N500)),'자료_한국심리'!$M500,"")</f>
        <v/>
      </c>
    </row>
    <row r="517">
      <c r="A517" s="10">
        <f>IF(499&gt;$E$5,"",SMALL($U$19:$U$4018,$E$6+499))</f>
        <v/>
      </c>
      <c r="B517" s="29">
        <f>IF(A517="","",INDEX('자료_한국심리'!$B$3:$B$4002,MATCH(A517,$U$19:$U$4018,0)))</f>
        <v/>
      </c>
      <c r="C517" s="22">
        <f>IF(A517="","",B517/AVERAGE(B393:B517)-1)</f>
        <v/>
      </c>
      <c r="D517" s="29">
        <f>IF(A517="","",IFERROR(INDEX('자료_한국심리'!$E$3:$E$4002,MATCH(A517,$V$19:$V$4018,0)),D516))</f>
        <v/>
      </c>
      <c r="E517" s="30">
        <f>IF(A517="","",IFERROR(INDEX('자료_한국심리'!$H$3:$H$4002,MATCH(A517,$W$19:$W$4018,0)),E516))</f>
        <v/>
      </c>
      <c r="F517" s="30">
        <f>IF(A517="","",IFERROR(INDEX('자료_한국심리'!$K$3:$K$4002,MATCH(A517,$X$19:$X$4018,0)),F516))</f>
        <v/>
      </c>
      <c r="G517" s="30">
        <f>IF(AND(ISNUMBER(E517),ISNUMBER(F517)),ROUND(E517-F517,6),"")</f>
        <v/>
      </c>
      <c r="H517" s="25">
        <f>IF(A517="","",IFERROR(INDEX('자료_한국심리'!$N$3:$N$4002,MATCH(A517,$Y$19:$Y$4018,0)),H516))</f>
        <v/>
      </c>
      <c r="I517" s="31">
        <f>IF(AND(ISNUMBER(H517),ISNUMBER(H497)),IF(H497&gt;0,H517/H497-1,""),"")</f>
        <v/>
      </c>
      <c r="J517">
        <f>IF(A517="",0,IF(A517&gt;$B$5,1,0))</f>
        <v/>
      </c>
      <c r="K517" s="29">
        <f>IF(AND(J517=1,ISNUMBER(D517)),D517,"")</f>
        <v/>
      </c>
      <c r="L517" s="30">
        <f>IF(AND(J517=1,ISNUMBER(G517)),G517,"")</f>
        <v/>
      </c>
      <c r="M517" s="22">
        <f>IF(AND(J517=1,ISNUMBER(C517)),C517,"")</f>
        <v/>
      </c>
      <c r="N517" s="31">
        <f>IF(AND(J517=1,ISNUMBER(I517)),I517,"")</f>
        <v/>
      </c>
      <c r="O517" s="11">
        <f>IF(K517="","",100-IF($G$13=1,50,(_xlfn.RANK.AVG(K517,$K$19:$K$1518,1)-1)/($G$13-1)*100))</f>
        <v/>
      </c>
      <c r="P517" s="11">
        <f>IF(L517="","",100-IF($G$14=1,50,(_xlfn.RANK.AVG(L517,$L$19:$L$1518,1)-1)/($G$14-1)*100))</f>
        <v/>
      </c>
      <c r="Q517" s="11">
        <f>IF(M517="","",IF($G$15=1,50,(_xlfn.RANK.AVG(M517,$M$19:$M$1518,1)-1)/($G$15-1)*100))</f>
        <v/>
      </c>
      <c r="R517" s="11">
        <f>IF(N517="","",IF($G$16=1,50,(_xlfn.RANK.AVG(N517,$N$19:$N$1518,1)-1)/($G$16-1)*100))</f>
        <v/>
      </c>
      <c r="S517" s="11">
        <f>IF(COUNT(O517:R517)=4,ROUND(AVERAGE(O517:R517),6),"")</f>
        <v/>
      </c>
      <c r="U517">
        <f>IF(AND(ISNUMBER('자료_한국심리'!$A501),ISNUMBER('자료_한국심리'!$B501)),'자료_한국심리'!$A501,"")</f>
        <v/>
      </c>
      <c r="V517">
        <f>IF(AND(ISNUMBER('자료_한국심리'!$D501),ISNUMBER('자료_한국심리'!$E501)),'자료_한국심리'!$D501,"")</f>
        <v/>
      </c>
      <c r="W517">
        <f>IF(AND(ISNUMBER('자료_한국심리'!$G501),ISNUMBER('자료_한국심리'!$H501)),'자료_한국심리'!$G501,"")</f>
        <v/>
      </c>
      <c r="X517">
        <f>IF(AND(ISNUMBER('자료_한국심리'!$J501),ISNUMBER('자료_한국심리'!$K501)),'자료_한국심리'!$J501,"")</f>
        <v/>
      </c>
      <c r="Y517">
        <f>IF(AND(ISNUMBER('자료_한국심리'!$M501),ISNUMBER('자료_한국심리'!$N501)),'자료_한국심리'!$M501,"")</f>
        <v/>
      </c>
    </row>
    <row r="518">
      <c r="A518" s="10">
        <f>IF(500&gt;$E$5,"",SMALL($U$19:$U$4018,$E$6+500))</f>
        <v/>
      </c>
      <c r="B518" s="29">
        <f>IF(A518="","",INDEX('자료_한국심리'!$B$3:$B$4002,MATCH(A518,$U$19:$U$4018,0)))</f>
        <v/>
      </c>
      <c r="C518" s="22">
        <f>IF(A518="","",B518/AVERAGE(B394:B518)-1)</f>
        <v/>
      </c>
      <c r="D518" s="29">
        <f>IF(A518="","",IFERROR(INDEX('자료_한국심리'!$E$3:$E$4002,MATCH(A518,$V$19:$V$4018,0)),D517))</f>
        <v/>
      </c>
      <c r="E518" s="30">
        <f>IF(A518="","",IFERROR(INDEX('자료_한국심리'!$H$3:$H$4002,MATCH(A518,$W$19:$W$4018,0)),E517))</f>
        <v/>
      </c>
      <c r="F518" s="30">
        <f>IF(A518="","",IFERROR(INDEX('자료_한국심리'!$K$3:$K$4002,MATCH(A518,$X$19:$X$4018,0)),F517))</f>
        <v/>
      </c>
      <c r="G518" s="30">
        <f>IF(AND(ISNUMBER(E518),ISNUMBER(F518)),ROUND(E518-F518,6),"")</f>
        <v/>
      </c>
      <c r="H518" s="25">
        <f>IF(A518="","",IFERROR(INDEX('자료_한국심리'!$N$3:$N$4002,MATCH(A518,$Y$19:$Y$4018,0)),H517))</f>
        <v/>
      </c>
      <c r="I518" s="31">
        <f>IF(AND(ISNUMBER(H518),ISNUMBER(H498)),IF(H498&gt;0,H518/H498-1,""),"")</f>
        <v/>
      </c>
      <c r="J518">
        <f>IF(A518="",0,IF(A518&gt;$B$5,1,0))</f>
        <v/>
      </c>
      <c r="K518" s="29">
        <f>IF(AND(J518=1,ISNUMBER(D518)),D518,"")</f>
        <v/>
      </c>
      <c r="L518" s="30">
        <f>IF(AND(J518=1,ISNUMBER(G518)),G518,"")</f>
        <v/>
      </c>
      <c r="M518" s="22">
        <f>IF(AND(J518=1,ISNUMBER(C518)),C518,"")</f>
        <v/>
      </c>
      <c r="N518" s="31">
        <f>IF(AND(J518=1,ISNUMBER(I518)),I518,"")</f>
        <v/>
      </c>
      <c r="O518" s="11">
        <f>IF(K518="","",100-IF($G$13=1,50,(_xlfn.RANK.AVG(K518,$K$19:$K$1518,1)-1)/($G$13-1)*100))</f>
        <v/>
      </c>
      <c r="P518" s="11">
        <f>IF(L518="","",100-IF($G$14=1,50,(_xlfn.RANK.AVG(L518,$L$19:$L$1518,1)-1)/($G$14-1)*100))</f>
        <v/>
      </c>
      <c r="Q518" s="11">
        <f>IF(M518="","",IF($G$15=1,50,(_xlfn.RANK.AVG(M518,$M$19:$M$1518,1)-1)/($G$15-1)*100))</f>
        <v/>
      </c>
      <c r="R518" s="11">
        <f>IF(N518="","",IF($G$16=1,50,(_xlfn.RANK.AVG(N518,$N$19:$N$1518,1)-1)/($G$16-1)*100))</f>
        <v/>
      </c>
      <c r="S518" s="11">
        <f>IF(COUNT(O518:R518)=4,ROUND(AVERAGE(O518:R518),6),"")</f>
        <v/>
      </c>
      <c r="U518">
        <f>IF(AND(ISNUMBER('자료_한국심리'!$A502),ISNUMBER('자료_한국심리'!$B502)),'자료_한국심리'!$A502,"")</f>
        <v/>
      </c>
      <c r="V518">
        <f>IF(AND(ISNUMBER('자료_한국심리'!$D502),ISNUMBER('자료_한국심리'!$E502)),'자료_한국심리'!$D502,"")</f>
        <v/>
      </c>
      <c r="W518">
        <f>IF(AND(ISNUMBER('자료_한국심리'!$G502),ISNUMBER('자료_한국심리'!$H502)),'자료_한국심리'!$G502,"")</f>
        <v/>
      </c>
      <c r="X518">
        <f>IF(AND(ISNUMBER('자료_한국심리'!$J502),ISNUMBER('자료_한국심리'!$K502)),'자료_한국심리'!$J502,"")</f>
        <v/>
      </c>
      <c r="Y518">
        <f>IF(AND(ISNUMBER('자료_한국심리'!$M502),ISNUMBER('자료_한국심리'!$N502)),'자료_한국심리'!$M502,"")</f>
        <v/>
      </c>
    </row>
    <row r="519">
      <c r="A519" s="10">
        <f>IF(501&gt;$E$5,"",SMALL($U$19:$U$4018,$E$6+501))</f>
        <v/>
      </c>
      <c r="B519" s="29">
        <f>IF(A519="","",INDEX('자료_한국심리'!$B$3:$B$4002,MATCH(A519,$U$19:$U$4018,0)))</f>
        <v/>
      </c>
      <c r="C519" s="22">
        <f>IF(A519="","",B519/AVERAGE(B395:B519)-1)</f>
        <v/>
      </c>
      <c r="D519" s="29">
        <f>IF(A519="","",IFERROR(INDEX('자료_한국심리'!$E$3:$E$4002,MATCH(A519,$V$19:$V$4018,0)),D518))</f>
        <v/>
      </c>
      <c r="E519" s="30">
        <f>IF(A519="","",IFERROR(INDEX('자료_한국심리'!$H$3:$H$4002,MATCH(A519,$W$19:$W$4018,0)),E518))</f>
        <v/>
      </c>
      <c r="F519" s="30">
        <f>IF(A519="","",IFERROR(INDEX('자료_한국심리'!$K$3:$K$4002,MATCH(A519,$X$19:$X$4018,0)),F518))</f>
        <v/>
      </c>
      <c r="G519" s="30">
        <f>IF(AND(ISNUMBER(E519),ISNUMBER(F519)),ROUND(E519-F519,6),"")</f>
        <v/>
      </c>
      <c r="H519" s="25">
        <f>IF(A519="","",IFERROR(INDEX('자료_한국심리'!$N$3:$N$4002,MATCH(A519,$Y$19:$Y$4018,0)),H518))</f>
        <v/>
      </c>
      <c r="I519" s="31">
        <f>IF(AND(ISNUMBER(H519),ISNUMBER(H499)),IF(H499&gt;0,H519/H499-1,""),"")</f>
        <v/>
      </c>
      <c r="J519">
        <f>IF(A519="",0,IF(A519&gt;$B$5,1,0))</f>
        <v/>
      </c>
      <c r="K519" s="29">
        <f>IF(AND(J519=1,ISNUMBER(D519)),D519,"")</f>
        <v/>
      </c>
      <c r="L519" s="30">
        <f>IF(AND(J519=1,ISNUMBER(G519)),G519,"")</f>
        <v/>
      </c>
      <c r="M519" s="22">
        <f>IF(AND(J519=1,ISNUMBER(C519)),C519,"")</f>
        <v/>
      </c>
      <c r="N519" s="31">
        <f>IF(AND(J519=1,ISNUMBER(I519)),I519,"")</f>
        <v/>
      </c>
      <c r="O519" s="11">
        <f>IF(K519="","",100-IF($G$13=1,50,(_xlfn.RANK.AVG(K519,$K$19:$K$1518,1)-1)/($G$13-1)*100))</f>
        <v/>
      </c>
      <c r="P519" s="11">
        <f>IF(L519="","",100-IF($G$14=1,50,(_xlfn.RANK.AVG(L519,$L$19:$L$1518,1)-1)/($G$14-1)*100))</f>
        <v/>
      </c>
      <c r="Q519" s="11">
        <f>IF(M519="","",IF($G$15=1,50,(_xlfn.RANK.AVG(M519,$M$19:$M$1518,1)-1)/($G$15-1)*100))</f>
        <v/>
      </c>
      <c r="R519" s="11">
        <f>IF(N519="","",IF($G$16=1,50,(_xlfn.RANK.AVG(N519,$N$19:$N$1518,1)-1)/($G$16-1)*100))</f>
        <v/>
      </c>
      <c r="S519" s="11">
        <f>IF(COUNT(O519:R519)=4,ROUND(AVERAGE(O519:R519),6),"")</f>
        <v/>
      </c>
      <c r="U519">
        <f>IF(AND(ISNUMBER('자료_한국심리'!$A503),ISNUMBER('자료_한국심리'!$B503)),'자료_한국심리'!$A503,"")</f>
        <v/>
      </c>
      <c r="V519">
        <f>IF(AND(ISNUMBER('자료_한국심리'!$D503),ISNUMBER('자료_한국심리'!$E503)),'자료_한국심리'!$D503,"")</f>
        <v/>
      </c>
      <c r="W519">
        <f>IF(AND(ISNUMBER('자료_한국심리'!$G503),ISNUMBER('자료_한국심리'!$H503)),'자료_한국심리'!$G503,"")</f>
        <v/>
      </c>
      <c r="X519">
        <f>IF(AND(ISNUMBER('자료_한국심리'!$J503),ISNUMBER('자료_한국심리'!$K503)),'자료_한국심리'!$J503,"")</f>
        <v/>
      </c>
      <c r="Y519">
        <f>IF(AND(ISNUMBER('자료_한국심리'!$M503),ISNUMBER('자료_한국심리'!$N503)),'자료_한국심리'!$M503,"")</f>
        <v/>
      </c>
    </row>
    <row r="520">
      <c r="A520" s="10">
        <f>IF(502&gt;$E$5,"",SMALL($U$19:$U$4018,$E$6+502))</f>
        <v/>
      </c>
      <c r="B520" s="29">
        <f>IF(A520="","",INDEX('자료_한국심리'!$B$3:$B$4002,MATCH(A520,$U$19:$U$4018,0)))</f>
        <v/>
      </c>
      <c r="C520" s="22">
        <f>IF(A520="","",B520/AVERAGE(B396:B520)-1)</f>
        <v/>
      </c>
      <c r="D520" s="29">
        <f>IF(A520="","",IFERROR(INDEX('자료_한국심리'!$E$3:$E$4002,MATCH(A520,$V$19:$V$4018,0)),D519))</f>
        <v/>
      </c>
      <c r="E520" s="30">
        <f>IF(A520="","",IFERROR(INDEX('자료_한국심리'!$H$3:$H$4002,MATCH(A520,$W$19:$W$4018,0)),E519))</f>
        <v/>
      </c>
      <c r="F520" s="30">
        <f>IF(A520="","",IFERROR(INDEX('자료_한국심리'!$K$3:$K$4002,MATCH(A520,$X$19:$X$4018,0)),F519))</f>
        <v/>
      </c>
      <c r="G520" s="30">
        <f>IF(AND(ISNUMBER(E520),ISNUMBER(F520)),ROUND(E520-F520,6),"")</f>
        <v/>
      </c>
      <c r="H520" s="25">
        <f>IF(A520="","",IFERROR(INDEX('자료_한국심리'!$N$3:$N$4002,MATCH(A520,$Y$19:$Y$4018,0)),H519))</f>
        <v/>
      </c>
      <c r="I520" s="31">
        <f>IF(AND(ISNUMBER(H520),ISNUMBER(H500)),IF(H500&gt;0,H520/H500-1,""),"")</f>
        <v/>
      </c>
      <c r="J520">
        <f>IF(A520="",0,IF(A520&gt;$B$5,1,0))</f>
        <v/>
      </c>
      <c r="K520" s="29">
        <f>IF(AND(J520=1,ISNUMBER(D520)),D520,"")</f>
        <v/>
      </c>
      <c r="L520" s="30">
        <f>IF(AND(J520=1,ISNUMBER(G520)),G520,"")</f>
        <v/>
      </c>
      <c r="M520" s="22">
        <f>IF(AND(J520=1,ISNUMBER(C520)),C520,"")</f>
        <v/>
      </c>
      <c r="N520" s="31">
        <f>IF(AND(J520=1,ISNUMBER(I520)),I520,"")</f>
        <v/>
      </c>
      <c r="O520" s="11">
        <f>IF(K520="","",100-IF($G$13=1,50,(_xlfn.RANK.AVG(K520,$K$19:$K$1518,1)-1)/($G$13-1)*100))</f>
        <v/>
      </c>
      <c r="P520" s="11">
        <f>IF(L520="","",100-IF($G$14=1,50,(_xlfn.RANK.AVG(L520,$L$19:$L$1518,1)-1)/($G$14-1)*100))</f>
        <v/>
      </c>
      <c r="Q520" s="11">
        <f>IF(M520="","",IF($G$15=1,50,(_xlfn.RANK.AVG(M520,$M$19:$M$1518,1)-1)/($G$15-1)*100))</f>
        <v/>
      </c>
      <c r="R520" s="11">
        <f>IF(N520="","",IF($G$16=1,50,(_xlfn.RANK.AVG(N520,$N$19:$N$1518,1)-1)/($G$16-1)*100))</f>
        <v/>
      </c>
      <c r="S520" s="11">
        <f>IF(COUNT(O520:R520)=4,ROUND(AVERAGE(O520:R520),6),"")</f>
        <v/>
      </c>
      <c r="U520">
        <f>IF(AND(ISNUMBER('자료_한국심리'!$A504),ISNUMBER('자료_한국심리'!$B504)),'자료_한국심리'!$A504,"")</f>
        <v/>
      </c>
      <c r="V520">
        <f>IF(AND(ISNUMBER('자료_한국심리'!$D504),ISNUMBER('자료_한국심리'!$E504)),'자료_한국심리'!$D504,"")</f>
        <v/>
      </c>
      <c r="W520">
        <f>IF(AND(ISNUMBER('자료_한국심리'!$G504),ISNUMBER('자료_한국심리'!$H504)),'자료_한국심리'!$G504,"")</f>
        <v/>
      </c>
      <c r="X520">
        <f>IF(AND(ISNUMBER('자료_한국심리'!$J504),ISNUMBER('자료_한국심리'!$K504)),'자료_한국심리'!$J504,"")</f>
        <v/>
      </c>
      <c r="Y520">
        <f>IF(AND(ISNUMBER('자료_한국심리'!$M504),ISNUMBER('자료_한국심리'!$N504)),'자료_한국심리'!$M504,"")</f>
        <v/>
      </c>
    </row>
    <row r="521">
      <c r="A521" s="10">
        <f>IF(503&gt;$E$5,"",SMALL($U$19:$U$4018,$E$6+503))</f>
        <v/>
      </c>
      <c r="B521" s="29">
        <f>IF(A521="","",INDEX('자료_한국심리'!$B$3:$B$4002,MATCH(A521,$U$19:$U$4018,0)))</f>
        <v/>
      </c>
      <c r="C521" s="22">
        <f>IF(A521="","",B521/AVERAGE(B397:B521)-1)</f>
        <v/>
      </c>
      <c r="D521" s="29">
        <f>IF(A521="","",IFERROR(INDEX('자료_한국심리'!$E$3:$E$4002,MATCH(A521,$V$19:$V$4018,0)),D520))</f>
        <v/>
      </c>
      <c r="E521" s="30">
        <f>IF(A521="","",IFERROR(INDEX('자료_한국심리'!$H$3:$H$4002,MATCH(A521,$W$19:$W$4018,0)),E520))</f>
        <v/>
      </c>
      <c r="F521" s="30">
        <f>IF(A521="","",IFERROR(INDEX('자료_한국심리'!$K$3:$K$4002,MATCH(A521,$X$19:$X$4018,0)),F520))</f>
        <v/>
      </c>
      <c r="G521" s="30">
        <f>IF(AND(ISNUMBER(E521),ISNUMBER(F521)),ROUND(E521-F521,6),"")</f>
        <v/>
      </c>
      <c r="H521" s="25">
        <f>IF(A521="","",IFERROR(INDEX('자료_한국심리'!$N$3:$N$4002,MATCH(A521,$Y$19:$Y$4018,0)),H520))</f>
        <v/>
      </c>
      <c r="I521" s="31">
        <f>IF(AND(ISNUMBER(H521),ISNUMBER(H501)),IF(H501&gt;0,H521/H501-1,""),"")</f>
        <v/>
      </c>
      <c r="J521">
        <f>IF(A521="",0,IF(A521&gt;$B$5,1,0))</f>
        <v/>
      </c>
      <c r="K521" s="29">
        <f>IF(AND(J521=1,ISNUMBER(D521)),D521,"")</f>
        <v/>
      </c>
      <c r="L521" s="30">
        <f>IF(AND(J521=1,ISNUMBER(G521)),G521,"")</f>
        <v/>
      </c>
      <c r="M521" s="22">
        <f>IF(AND(J521=1,ISNUMBER(C521)),C521,"")</f>
        <v/>
      </c>
      <c r="N521" s="31">
        <f>IF(AND(J521=1,ISNUMBER(I521)),I521,"")</f>
        <v/>
      </c>
      <c r="O521" s="11">
        <f>IF(K521="","",100-IF($G$13=1,50,(_xlfn.RANK.AVG(K521,$K$19:$K$1518,1)-1)/($G$13-1)*100))</f>
        <v/>
      </c>
      <c r="P521" s="11">
        <f>IF(L521="","",100-IF($G$14=1,50,(_xlfn.RANK.AVG(L521,$L$19:$L$1518,1)-1)/($G$14-1)*100))</f>
        <v/>
      </c>
      <c r="Q521" s="11">
        <f>IF(M521="","",IF($G$15=1,50,(_xlfn.RANK.AVG(M521,$M$19:$M$1518,1)-1)/($G$15-1)*100))</f>
        <v/>
      </c>
      <c r="R521" s="11">
        <f>IF(N521="","",IF($G$16=1,50,(_xlfn.RANK.AVG(N521,$N$19:$N$1518,1)-1)/($G$16-1)*100))</f>
        <v/>
      </c>
      <c r="S521" s="11">
        <f>IF(COUNT(O521:R521)=4,ROUND(AVERAGE(O521:R521),6),"")</f>
        <v/>
      </c>
      <c r="U521">
        <f>IF(AND(ISNUMBER('자료_한국심리'!$A505),ISNUMBER('자료_한국심리'!$B505)),'자료_한국심리'!$A505,"")</f>
        <v/>
      </c>
      <c r="V521">
        <f>IF(AND(ISNUMBER('자료_한국심리'!$D505),ISNUMBER('자료_한국심리'!$E505)),'자료_한국심리'!$D505,"")</f>
        <v/>
      </c>
      <c r="W521">
        <f>IF(AND(ISNUMBER('자료_한국심리'!$G505),ISNUMBER('자료_한국심리'!$H505)),'자료_한국심리'!$G505,"")</f>
        <v/>
      </c>
      <c r="X521">
        <f>IF(AND(ISNUMBER('자료_한국심리'!$J505),ISNUMBER('자료_한국심리'!$K505)),'자료_한국심리'!$J505,"")</f>
        <v/>
      </c>
      <c r="Y521">
        <f>IF(AND(ISNUMBER('자료_한국심리'!$M505),ISNUMBER('자료_한국심리'!$N505)),'자료_한국심리'!$M505,"")</f>
        <v/>
      </c>
    </row>
    <row r="522">
      <c r="A522" s="10">
        <f>IF(504&gt;$E$5,"",SMALL($U$19:$U$4018,$E$6+504))</f>
        <v/>
      </c>
      <c r="B522" s="29">
        <f>IF(A522="","",INDEX('자료_한국심리'!$B$3:$B$4002,MATCH(A522,$U$19:$U$4018,0)))</f>
        <v/>
      </c>
      <c r="C522" s="22">
        <f>IF(A522="","",B522/AVERAGE(B398:B522)-1)</f>
        <v/>
      </c>
      <c r="D522" s="29">
        <f>IF(A522="","",IFERROR(INDEX('자료_한국심리'!$E$3:$E$4002,MATCH(A522,$V$19:$V$4018,0)),D521))</f>
        <v/>
      </c>
      <c r="E522" s="30">
        <f>IF(A522="","",IFERROR(INDEX('자료_한국심리'!$H$3:$H$4002,MATCH(A522,$W$19:$W$4018,0)),E521))</f>
        <v/>
      </c>
      <c r="F522" s="30">
        <f>IF(A522="","",IFERROR(INDEX('자료_한국심리'!$K$3:$K$4002,MATCH(A522,$X$19:$X$4018,0)),F521))</f>
        <v/>
      </c>
      <c r="G522" s="30">
        <f>IF(AND(ISNUMBER(E522),ISNUMBER(F522)),ROUND(E522-F522,6),"")</f>
        <v/>
      </c>
      <c r="H522" s="25">
        <f>IF(A522="","",IFERROR(INDEX('자료_한국심리'!$N$3:$N$4002,MATCH(A522,$Y$19:$Y$4018,0)),H521))</f>
        <v/>
      </c>
      <c r="I522" s="31">
        <f>IF(AND(ISNUMBER(H522),ISNUMBER(H502)),IF(H502&gt;0,H522/H502-1,""),"")</f>
        <v/>
      </c>
      <c r="J522">
        <f>IF(A522="",0,IF(A522&gt;$B$5,1,0))</f>
        <v/>
      </c>
      <c r="K522" s="29">
        <f>IF(AND(J522=1,ISNUMBER(D522)),D522,"")</f>
        <v/>
      </c>
      <c r="L522" s="30">
        <f>IF(AND(J522=1,ISNUMBER(G522)),G522,"")</f>
        <v/>
      </c>
      <c r="M522" s="22">
        <f>IF(AND(J522=1,ISNUMBER(C522)),C522,"")</f>
        <v/>
      </c>
      <c r="N522" s="31">
        <f>IF(AND(J522=1,ISNUMBER(I522)),I522,"")</f>
        <v/>
      </c>
      <c r="O522" s="11">
        <f>IF(K522="","",100-IF($G$13=1,50,(_xlfn.RANK.AVG(K522,$K$19:$K$1518,1)-1)/($G$13-1)*100))</f>
        <v/>
      </c>
      <c r="P522" s="11">
        <f>IF(L522="","",100-IF($G$14=1,50,(_xlfn.RANK.AVG(L522,$L$19:$L$1518,1)-1)/($G$14-1)*100))</f>
        <v/>
      </c>
      <c r="Q522" s="11">
        <f>IF(M522="","",IF($G$15=1,50,(_xlfn.RANK.AVG(M522,$M$19:$M$1518,1)-1)/($G$15-1)*100))</f>
        <v/>
      </c>
      <c r="R522" s="11">
        <f>IF(N522="","",IF($G$16=1,50,(_xlfn.RANK.AVG(N522,$N$19:$N$1518,1)-1)/($G$16-1)*100))</f>
        <v/>
      </c>
      <c r="S522" s="11">
        <f>IF(COUNT(O522:R522)=4,ROUND(AVERAGE(O522:R522),6),"")</f>
        <v/>
      </c>
      <c r="U522">
        <f>IF(AND(ISNUMBER('자료_한국심리'!$A506),ISNUMBER('자료_한국심리'!$B506)),'자료_한국심리'!$A506,"")</f>
        <v/>
      </c>
      <c r="V522">
        <f>IF(AND(ISNUMBER('자료_한국심리'!$D506),ISNUMBER('자료_한국심리'!$E506)),'자료_한국심리'!$D506,"")</f>
        <v/>
      </c>
      <c r="W522">
        <f>IF(AND(ISNUMBER('자료_한국심리'!$G506),ISNUMBER('자료_한국심리'!$H506)),'자료_한국심리'!$G506,"")</f>
        <v/>
      </c>
      <c r="X522">
        <f>IF(AND(ISNUMBER('자료_한국심리'!$J506),ISNUMBER('자료_한국심리'!$K506)),'자료_한국심리'!$J506,"")</f>
        <v/>
      </c>
      <c r="Y522">
        <f>IF(AND(ISNUMBER('자료_한국심리'!$M506),ISNUMBER('자료_한국심리'!$N506)),'자료_한국심리'!$M506,"")</f>
        <v/>
      </c>
    </row>
    <row r="523">
      <c r="A523" s="10">
        <f>IF(505&gt;$E$5,"",SMALL($U$19:$U$4018,$E$6+505))</f>
        <v/>
      </c>
      <c r="B523" s="29">
        <f>IF(A523="","",INDEX('자료_한국심리'!$B$3:$B$4002,MATCH(A523,$U$19:$U$4018,0)))</f>
        <v/>
      </c>
      <c r="C523" s="22">
        <f>IF(A523="","",B523/AVERAGE(B399:B523)-1)</f>
        <v/>
      </c>
      <c r="D523" s="29">
        <f>IF(A523="","",IFERROR(INDEX('자료_한국심리'!$E$3:$E$4002,MATCH(A523,$V$19:$V$4018,0)),D522))</f>
        <v/>
      </c>
      <c r="E523" s="30">
        <f>IF(A523="","",IFERROR(INDEX('자료_한국심리'!$H$3:$H$4002,MATCH(A523,$W$19:$W$4018,0)),E522))</f>
        <v/>
      </c>
      <c r="F523" s="30">
        <f>IF(A523="","",IFERROR(INDEX('자료_한국심리'!$K$3:$K$4002,MATCH(A523,$X$19:$X$4018,0)),F522))</f>
        <v/>
      </c>
      <c r="G523" s="30">
        <f>IF(AND(ISNUMBER(E523),ISNUMBER(F523)),ROUND(E523-F523,6),"")</f>
        <v/>
      </c>
      <c r="H523" s="25">
        <f>IF(A523="","",IFERROR(INDEX('자료_한국심리'!$N$3:$N$4002,MATCH(A523,$Y$19:$Y$4018,0)),H522))</f>
        <v/>
      </c>
      <c r="I523" s="31">
        <f>IF(AND(ISNUMBER(H523),ISNUMBER(H503)),IF(H503&gt;0,H523/H503-1,""),"")</f>
        <v/>
      </c>
      <c r="J523">
        <f>IF(A523="",0,IF(A523&gt;$B$5,1,0))</f>
        <v/>
      </c>
      <c r="K523" s="29">
        <f>IF(AND(J523=1,ISNUMBER(D523)),D523,"")</f>
        <v/>
      </c>
      <c r="L523" s="30">
        <f>IF(AND(J523=1,ISNUMBER(G523)),G523,"")</f>
        <v/>
      </c>
      <c r="M523" s="22">
        <f>IF(AND(J523=1,ISNUMBER(C523)),C523,"")</f>
        <v/>
      </c>
      <c r="N523" s="31">
        <f>IF(AND(J523=1,ISNUMBER(I523)),I523,"")</f>
        <v/>
      </c>
      <c r="O523" s="11">
        <f>IF(K523="","",100-IF($G$13=1,50,(_xlfn.RANK.AVG(K523,$K$19:$K$1518,1)-1)/($G$13-1)*100))</f>
        <v/>
      </c>
      <c r="P523" s="11">
        <f>IF(L523="","",100-IF($G$14=1,50,(_xlfn.RANK.AVG(L523,$L$19:$L$1518,1)-1)/($G$14-1)*100))</f>
        <v/>
      </c>
      <c r="Q523" s="11">
        <f>IF(M523="","",IF($G$15=1,50,(_xlfn.RANK.AVG(M523,$M$19:$M$1518,1)-1)/($G$15-1)*100))</f>
        <v/>
      </c>
      <c r="R523" s="11">
        <f>IF(N523="","",IF($G$16=1,50,(_xlfn.RANK.AVG(N523,$N$19:$N$1518,1)-1)/($G$16-1)*100))</f>
        <v/>
      </c>
      <c r="S523" s="11">
        <f>IF(COUNT(O523:R523)=4,ROUND(AVERAGE(O523:R523),6),"")</f>
        <v/>
      </c>
      <c r="U523">
        <f>IF(AND(ISNUMBER('자료_한국심리'!$A507),ISNUMBER('자료_한국심리'!$B507)),'자료_한국심리'!$A507,"")</f>
        <v/>
      </c>
      <c r="V523">
        <f>IF(AND(ISNUMBER('자료_한국심리'!$D507),ISNUMBER('자료_한국심리'!$E507)),'자료_한국심리'!$D507,"")</f>
        <v/>
      </c>
      <c r="W523">
        <f>IF(AND(ISNUMBER('자료_한국심리'!$G507),ISNUMBER('자료_한국심리'!$H507)),'자료_한국심리'!$G507,"")</f>
        <v/>
      </c>
      <c r="X523">
        <f>IF(AND(ISNUMBER('자료_한국심리'!$J507),ISNUMBER('자료_한국심리'!$K507)),'자료_한국심리'!$J507,"")</f>
        <v/>
      </c>
      <c r="Y523">
        <f>IF(AND(ISNUMBER('자료_한국심리'!$M507),ISNUMBER('자료_한국심리'!$N507)),'자료_한국심리'!$M507,"")</f>
        <v/>
      </c>
    </row>
    <row r="524">
      <c r="A524" s="10">
        <f>IF(506&gt;$E$5,"",SMALL($U$19:$U$4018,$E$6+506))</f>
        <v/>
      </c>
      <c r="B524" s="29">
        <f>IF(A524="","",INDEX('자료_한국심리'!$B$3:$B$4002,MATCH(A524,$U$19:$U$4018,0)))</f>
        <v/>
      </c>
      <c r="C524" s="22">
        <f>IF(A524="","",B524/AVERAGE(B400:B524)-1)</f>
        <v/>
      </c>
      <c r="D524" s="29">
        <f>IF(A524="","",IFERROR(INDEX('자료_한국심리'!$E$3:$E$4002,MATCH(A524,$V$19:$V$4018,0)),D523))</f>
        <v/>
      </c>
      <c r="E524" s="30">
        <f>IF(A524="","",IFERROR(INDEX('자료_한국심리'!$H$3:$H$4002,MATCH(A524,$W$19:$W$4018,0)),E523))</f>
        <v/>
      </c>
      <c r="F524" s="30">
        <f>IF(A524="","",IFERROR(INDEX('자료_한국심리'!$K$3:$K$4002,MATCH(A524,$X$19:$X$4018,0)),F523))</f>
        <v/>
      </c>
      <c r="G524" s="30">
        <f>IF(AND(ISNUMBER(E524),ISNUMBER(F524)),ROUND(E524-F524,6),"")</f>
        <v/>
      </c>
      <c r="H524" s="25">
        <f>IF(A524="","",IFERROR(INDEX('자료_한국심리'!$N$3:$N$4002,MATCH(A524,$Y$19:$Y$4018,0)),H523))</f>
        <v/>
      </c>
      <c r="I524" s="31">
        <f>IF(AND(ISNUMBER(H524),ISNUMBER(H504)),IF(H504&gt;0,H524/H504-1,""),"")</f>
        <v/>
      </c>
      <c r="J524">
        <f>IF(A524="",0,IF(A524&gt;$B$5,1,0))</f>
        <v/>
      </c>
      <c r="K524" s="29">
        <f>IF(AND(J524=1,ISNUMBER(D524)),D524,"")</f>
        <v/>
      </c>
      <c r="L524" s="30">
        <f>IF(AND(J524=1,ISNUMBER(G524)),G524,"")</f>
        <v/>
      </c>
      <c r="M524" s="22">
        <f>IF(AND(J524=1,ISNUMBER(C524)),C524,"")</f>
        <v/>
      </c>
      <c r="N524" s="31">
        <f>IF(AND(J524=1,ISNUMBER(I524)),I524,"")</f>
        <v/>
      </c>
      <c r="O524" s="11">
        <f>IF(K524="","",100-IF($G$13=1,50,(_xlfn.RANK.AVG(K524,$K$19:$K$1518,1)-1)/($G$13-1)*100))</f>
        <v/>
      </c>
      <c r="P524" s="11">
        <f>IF(L524="","",100-IF($G$14=1,50,(_xlfn.RANK.AVG(L524,$L$19:$L$1518,1)-1)/($G$14-1)*100))</f>
        <v/>
      </c>
      <c r="Q524" s="11">
        <f>IF(M524="","",IF($G$15=1,50,(_xlfn.RANK.AVG(M524,$M$19:$M$1518,1)-1)/($G$15-1)*100))</f>
        <v/>
      </c>
      <c r="R524" s="11">
        <f>IF(N524="","",IF($G$16=1,50,(_xlfn.RANK.AVG(N524,$N$19:$N$1518,1)-1)/($G$16-1)*100))</f>
        <v/>
      </c>
      <c r="S524" s="11">
        <f>IF(COUNT(O524:R524)=4,ROUND(AVERAGE(O524:R524),6),"")</f>
        <v/>
      </c>
      <c r="U524">
        <f>IF(AND(ISNUMBER('자료_한국심리'!$A508),ISNUMBER('자료_한국심리'!$B508)),'자료_한국심리'!$A508,"")</f>
        <v/>
      </c>
      <c r="V524">
        <f>IF(AND(ISNUMBER('자료_한국심리'!$D508),ISNUMBER('자료_한국심리'!$E508)),'자료_한국심리'!$D508,"")</f>
        <v/>
      </c>
      <c r="W524">
        <f>IF(AND(ISNUMBER('자료_한국심리'!$G508),ISNUMBER('자료_한국심리'!$H508)),'자료_한국심리'!$G508,"")</f>
        <v/>
      </c>
      <c r="X524">
        <f>IF(AND(ISNUMBER('자료_한국심리'!$J508),ISNUMBER('자료_한국심리'!$K508)),'자료_한국심리'!$J508,"")</f>
        <v/>
      </c>
      <c r="Y524">
        <f>IF(AND(ISNUMBER('자료_한국심리'!$M508),ISNUMBER('자료_한국심리'!$N508)),'자료_한국심리'!$M508,"")</f>
        <v/>
      </c>
    </row>
    <row r="525">
      <c r="A525" s="10">
        <f>IF(507&gt;$E$5,"",SMALL($U$19:$U$4018,$E$6+507))</f>
        <v/>
      </c>
      <c r="B525" s="29">
        <f>IF(A525="","",INDEX('자료_한국심리'!$B$3:$B$4002,MATCH(A525,$U$19:$U$4018,0)))</f>
        <v/>
      </c>
      <c r="C525" s="22">
        <f>IF(A525="","",B525/AVERAGE(B401:B525)-1)</f>
        <v/>
      </c>
      <c r="D525" s="29">
        <f>IF(A525="","",IFERROR(INDEX('자료_한국심리'!$E$3:$E$4002,MATCH(A525,$V$19:$V$4018,0)),D524))</f>
        <v/>
      </c>
      <c r="E525" s="30">
        <f>IF(A525="","",IFERROR(INDEX('자료_한국심리'!$H$3:$H$4002,MATCH(A525,$W$19:$W$4018,0)),E524))</f>
        <v/>
      </c>
      <c r="F525" s="30">
        <f>IF(A525="","",IFERROR(INDEX('자료_한국심리'!$K$3:$K$4002,MATCH(A525,$X$19:$X$4018,0)),F524))</f>
        <v/>
      </c>
      <c r="G525" s="30">
        <f>IF(AND(ISNUMBER(E525),ISNUMBER(F525)),ROUND(E525-F525,6),"")</f>
        <v/>
      </c>
      <c r="H525" s="25">
        <f>IF(A525="","",IFERROR(INDEX('자료_한국심리'!$N$3:$N$4002,MATCH(A525,$Y$19:$Y$4018,0)),H524))</f>
        <v/>
      </c>
      <c r="I525" s="31">
        <f>IF(AND(ISNUMBER(H525),ISNUMBER(H505)),IF(H505&gt;0,H525/H505-1,""),"")</f>
        <v/>
      </c>
      <c r="J525">
        <f>IF(A525="",0,IF(A525&gt;$B$5,1,0))</f>
        <v/>
      </c>
      <c r="K525" s="29">
        <f>IF(AND(J525=1,ISNUMBER(D525)),D525,"")</f>
        <v/>
      </c>
      <c r="L525" s="30">
        <f>IF(AND(J525=1,ISNUMBER(G525)),G525,"")</f>
        <v/>
      </c>
      <c r="M525" s="22">
        <f>IF(AND(J525=1,ISNUMBER(C525)),C525,"")</f>
        <v/>
      </c>
      <c r="N525" s="31">
        <f>IF(AND(J525=1,ISNUMBER(I525)),I525,"")</f>
        <v/>
      </c>
      <c r="O525" s="11">
        <f>IF(K525="","",100-IF($G$13=1,50,(_xlfn.RANK.AVG(K525,$K$19:$K$1518,1)-1)/($G$13-1)*100))</f>
        <v/>
      </c>
      <c r="P525" s="11">
        <f>IF(L525="","",100-IF($G$14=1,50,(_xlfn.RANK.AVG(L525,$L$19:$L$1518,1)-1)/($G$14-1)*100))</f>
        <v/>
      </c>
      <c r="Q525" s="11">
        <f>IF(M525="","",IF($G$15=1,50,(_xlfn.RANK.AVG(M525,$M$19:$M$1518,1)-1)/($G$15-1)*100))</f>
        <v/>
      </c>
      <c r="R525" s="11">
        <f>IF(N525="","",IF($G$16=1,50,(_xlfn.RANK.AVG(N525,$N$19:$N$1518,1)-1)/($G$16-1)*100))</f>
        <v/>
      </c>
      <c r="S525" s="11">
        <f>IF(COUNT(O525:R525)=4,ROUND(AVERAGE(O525:R525),6),"")</f>
        <v/>
      </c>
      <c r="U525">
        <f>IF(AND(ISNUMBER('자료_한국심리'!$A509),ISNUMBER('자료_한국심리'!$B509)),'자료_한국심리'!$A509,"")</f>
        <v/>
      </c>
      <c r="V525">
        <f>IF(AND(ISNUMBER('자료_한국심리'!$D509),ISNUMBER('자료_한국심리'!$E509)),'자료_한국심리'!$D509,"")</f>
        <v/>
      </c>
      <c r="W525">
        <f>IF(AND(ISNUMBER('자료_한국심리'!$G509),ISNUMBER('자료_한국심리'!$H509)),'자료_한국심리'!$G509,"")</f>
        <v/>
      </c>
      <c r="X525">
        <f>IF(AND(ISNUMBER('자료_한국심리'!$J509),ISNUMBER('자료_한국심리'!$K509)),'자료_한국심리'!$J509,"")</f>
        <v/>
      </c>
      <c r="Y525">
        <f>IF(AND(ISNUMBER('자료_한국심리'!$M509),ISNUMBER('자료_한국심리'!$N509)),'자료_한국심리'!$M509,"")</f>
        <v/>
      </c>
    </row>
    <row r="526">
      <c r="A526" s="10">
        <f>IF(508&gt;$E$5,"",SMALL($U$19:$U$4018,$E$6+508))</f>
        <v/>
      </c>
      <c r="B526" s="29">
        <f>IF(A526="","",INDEX('자료_한국심리'!$B$3:$B$4002,MATCH(A526,$U$19:$U$4018,0)))</f>
        <v/>
      </c>
      <c r="C526" s="22">
        <f>IF(A526="","",B526/AVERAGE(B402:B526)-1)</f>
        <v/>
      </c>
      <c r="D526" s="29">
        <f>IF(A526="","",IFERROR(INDEX('자료_한국심리'!$E$3:$E$4002,MATCH(A526,$V$19:$V$4018,0)),D525))</f>
        <v/>
      </c>
      <c r="E526" s="30">
        <f>IF(A526="","",IFERROR(INDEX('자료_한국심리'!$H$3:$H$4002,MATCH(A526,$W$19:$W$4018,0)),E525))</f>
        <v/>
      </c>
      <c r="F526" s="30">
        <f>IF(A526="","",IFERROR(INDEX('자료_한국심리'!$K$3:$K$4002,MATCH(A526,$X$19:$X$4018,0)),F525))</f>
        <v/>
      </c>
      <c r="G526" s="30">
        <f>IF(AND(ISNUMBER(E526),ISNUMBER(F526)),ROUND(E526-F526,6),"")</f>
        <v/>
      </c>
      <c r="H526" s="25">
        <f>IF(A526="","",IFERROR(INDEX('자료_한국심리'!$N$3:$N$4002,MATCH(A526,$Y$19:$Y$4018,0)),H525))</f>
        <v/>
      </c>
      <c r="I526" s="31">
        <f>IF(AND(ISNUMBER(H526),ISNUMBER(H506)),IF(H506&gt;0,H526/H506-1,""),"")</f>
        <v/>
      </c>
      <c r="J526">
        <f>IF(A526="",0,IF(A526&gt;$B$5,1,0))</f>
        <v/>
      </c>
      <c r="K526" s="29">
        <f>IF(AND(J526=1,ISNUMBER(D526)),D526,"")</f>
        <v/>
      </c>
      <c r="L526" s="30">
        <f>IF(AND(J526=1,ISNUMBER(G526)),G526,"")</f>
        <v/>
      </c>
      <c r="M526" s="22">
        <f>IF(AND(J526=1,ISNUMBER(C526)),C526,"")</f>
        <v/>
      </c>
      <c r="N526" s="31">
        <f>IF(AND(J526=1,ISNUMBER(I526)),I526,"")</f>
        <v/>
      </c>
      <c r="O526" s="11">
        <f>IF(K526="","",100-IF($G$13=1,50,(_xlfn.RANK.AVG(K526,$K$19:$K$1518,1)-1)/($G$13-1)*100))</f>
        <v/>
      </c>
      <c r="P526" s="11">
        <f>IF(L526="","",100-IF($G$14=1,50,(_xlfn.RANK.AVG(L526,$L$19:$L$1518,1)-1)/($G$14-1)*100))</f>
        <v/>
      </c>
      <c r="Q526" s="11">
        <f>IF(M526="","",IF($G$15=1,50,(_xlfn.RANK.AVG(M526,$M$19:$M$1518,1)-1)/($G$15-1)*100))</f>
        <v/>
      </c>
      <c r="R526" s="11">
        <f>IF(N526="","",IF($G$16=1,50,(_xlfn.RANK.AVG(N526,$N$19:$N$1518,1)-1)/($G$16-1)*100))</f>
        <v/>
      </c>
      <c r="S526" s="11">
        <f>IF(COUNT(O526:R526)=4,ROUND(AVERAGE(O526:R526),6),"")</f>
        <v/>
      </c>
      <c r="U526">
        <f>IF(AND(ISNUMBER('자료_한국심리'!$A510),ISNUMBER('자료_한국심리'!$B510)),'자료_한국심리'!$A510,"")</f>
        <v/>
      </c>
      <c r="V526">
        <f>IF(AND(ISNUMBER('자료_한국심리'!$D510),ISNUMBER('자료_한국심리'!$E510)),'자료_한국심리'!$D510,"")</f>
        <v/>
      </c>
      <c r="W526">
        <f>IF(AND(ISNUMBER('자료_한국심리'!$G510),ISNUMBER('자료_한국심리'!$H510)),'자료_한국심리'!$G510,"")</f>
        <v/>
      </c>
      <c r="X526">
        <f>IF(AND(ISNUMBER('자료_한국심리'!$J510),ISNUMBER('자료_한국심리'!$K510)),'자료_한국심리'!$J510,"")</f>
        <v/>
      </c>
      <c r="Y526">
        <f>IF(AND(ISNUMBER('자료_한국심리'!$M510),ISNUMBER('자료_한국심리'!$N510)),'자료_한국심리'!$M510,"")</f>
        <v/>
      </c>
    </row>
    <row r="527">
      <c r="A527" s="10">
        <f>IF(509&gt;$E$5,"",SMALL($U$19:$U$4018,$E$6+509))</f>
        <v/>
      </c>
      <c r="B527" s="29">
        <f>IF(A527="","",INDEX('자료_한국심리'!$B$3:$B$4002,MATCH(A527,$U$19:$U$4018,0)))</f>
        <v/>
      </c>
      <c r="C527" s="22">
        <f>IF(A527="","",B527/AVERAGE(B403:B527)-1)</f>
        <v/>
      </c>
      <c r="D527" s="29">
        <f>IF(A527="","",IFERROR(INDEX('자료_한국심리'!$E$3:$E$4002,MATCH(A527,$V$19:$V$4018,0)),D526))</f>
        <v/>
      </c>
      <c r="E527" s="30">
        <f>IF(A527="","",IFERROR(INDEX('자료_한국심리'!$H$3:$H$4002,MATCH(A527,$W$19:$W$4018,0)),E526))</f>
        <v/>
      </c>
      <c r="F527" s="30">
        <f>IF(A527="","",IFERROR(INDEX('자료_한국심리'!$K$3:$K$4002,MATCH(A527,$X$19:$X$4018,0)),F526))</f>
        <v/>
      </c>
      <c r="G527" s="30">
        <f>IF(AND(ISNUMBER(E527),ISNUMBER(F527)),ROUND(E527-F527,6),"")</f>
        <v/>
      </c>
      <c r="H527" s="25">
        <f>IF(A527="","",IFERROR(INDEX('자료_한국심리'!$N$3:$N$4002,MATCH(A527,$Y$19:$Y$4018,0)),H526))</f>
        <v/>
      </c>
      <c r="I527" s="31">
        <f>IF(AND(ISNUMBER(H527),ISNUMBER(H507)),IF(H507&gt;0,H527/H507-1,""),"")</f>
        <v/>
      </c>
      <c r="J527">
        <f>IF(A527="",0,IF(A527&gt;$B$5,1,0))</f>
        <v/>
      </c>
      <c r="K527" s="29">
        <f>IF(AND(J527=1,ISNUMBER(D527)),D527,"")</f>
        <v/>
      </c>
      <c r="L527" s="30">
        <f>IF(AND(J527=1,ISNUMBER(G527)),G527,"")</f>
        <v/>
      </c>
      <c r="M527" s="22">
        <f>IF(AND(J527=1,ISNUMBER(C527)),C527,"")</f>
        <v/>
      </c>
      <c r="N527" s="31">
        <f>IF(AND(J527=1,ISNUMBER(I527)),I527,"")</f>
        <v/>
      </c>
      <c r="O527" s="11">
        <f>IF(K527="","",100-IF($G$13=1,50,(_xlfn.RANK.AVG(K527,$K$19:$K$1518,1)-1)/($G$13-1)*100))</f>
        <v/>
      </c>
      <c r="P527" s="11">
        <f>IF(L527="","",100-IF($G$14=1,50,(_xlfn.RANK.AVG(L527,$L$19:$L$1518,1)-1)/($G$14-1)*100))</f>
        <v/>
      </c>
      <c r="Q527" s="11">
        <f>IF(M527="","",IF($G$15=1,50,(_xlfn.RANK.AVG(M527,$M$19:$M$1518,1)-1)/($G$15-1)*100))</f>
        <v/>
      </c>
      <c r="R527" s="11">
        <f>IF(N527="","",IF($G$16=1,50,(_xlfn.RANK.AVG(N527,$N$19:$N$1518,1)-1)/($G$16-1)*100))</f>
        <v/>
      </c>
      <c r="S527" s="11">
        <f>IF(COUNT(O527:R527)=4,ROUND(AVERAGE(O527:R527),6),"")</f>
        <v/>
      </c>
      <c r="U527">
        <f>IF(AND(ISNUMBER('자료_한국심리'!$A511),ISNUMBER('자료_한국심리'!$B511)),'자료_한국심리'!$A511,"")</f>
        <v/>
      </c>
      <c r="V527">
        <f>IF(AND(ISNUMBER('자료_한국심리'!$D511),ISNUMBER('자료_한국심리'!$E511)),'자료_한국심리'!$D511,"")</f>
        <v/>
      </c>
      <c r="W527">
        <f>IF(AND(ISNUMBER('자료_한국심리'!$G511),ISNUMBER('자료_한국심리'!$H511)),'자료_한국심리'!$G511,"")</f>
        <v/>
      </c>
      <c r="X527">
        <f>IF(AND(ISNUMBER('자료_한국심리'!$J511),ISNUMBER('자료_한국심리'!$K511)),'자료_한국심리'!$J511,"")</f>
        <v/>
      </c>
      <c r="Y527">
        <f>IF(AND(ISNUMBER('자료_한국심리'!$M511),ISNUMBER('자료_한국심리'!$N511)),'자료_한국심리'!$M511,"")</f>
        <v/>
      </c>
    </row>
    <row r="528">
      <c r="A528" s="10">
        <f>IF(510&gt;$E$5,"",SMALL($U$19:$U$4018,$E$6+510))</f>
        <v/>
      </c>
      <c r="B528" s="29">
        <f>IF(A528="","",INDEX('자료_한국심리'!$B$3:$B$4002,MATCH(A528,$U$19:$U$4018,0)))</f>
        <v/>
      </c>
      <c r="C528" s="22">
        <f>IF(A528="","",B528/AVERAGE(B404:B528)-1)</f>
        <v/>
      </c>
      <c r="D528" s="29">
        <f>IF(A528="","",IFERROR(INDEX('자료_한국심리'!$E$3:$E$4002,MATCH(A528,$V$19:$V$4018,0)),D527))</f>
        <v/>
      </c>
      <c r="E528" s="30">
        <f>IF(A528="","",IFERROR(INDEX('자료_한국심리'!$H$3:$H$4002,MATCH(A528,$W$19:$W$4018,0)),E527))</f>
        <v/>
      </c>
      <c r="F528" s="30">
        <f>IF(A528="","",IFERROR(INDEX('자료_한국심리'!$K$3:$K$4002,MATCH(A528,$X$19:$X$4018,0)),F527))</f>
        <v/>
      </c>
      <c r="G528" s="30">
        <f>IF(AND(ISNUMBER(E528),ISNUMBER(F528)),ROUND(E528-F528,6),"")</f>
        <v/>
      </c>
      <c r="H528" s="25">
        <f>IF(A528="","",IFERROR(INDEX('자료_한국심리'!$N$3:$N$4002,MATCH(A528,$Y$19:$Y$4018,0)),H527))</f>
        <v/>
      </c>
      <c r="I528" s="31">
        <f>IF(AND(ISNUMBER(H528),ISNUMBER(H508)),IF(H508&gt;0,H528/H508-1,""),"")</f>
        <v/>
      </c>
      <c r="J528">
        <f>IF(A528="",0,IF(A528&gt;$B$5,1,0))</f>
        <v/>
      </c>
      <c r="K528" s="29">
        <f>IF(AND(J528=1,ISNUMBER(D528)),D528,"")</f>
        <v/>
      </c>
      <c r="L528" s="30">
        <f>IF(AND(J528=1,ISNUMBER(G528)),G528,"")</f>
        <v/>
      </c>
      <c r="M528" s="22">
        <f>IF(AND(J528=1,ISNUMBER(C528)),C528,"")</f>
        <v/>
      </c>
      <c r="N528" s="31">
        <f>IF(AND(J528=1,ISNUMBER(I528)),I528,"")</f>
        <v/>
      </c>
      <c r="O528" s="11">
        <f>IF(K528="","",100-IF($G$13=1,50,(_xlfn.RANK.AVG(K528,$K$19:$K$1518,1)-1)/($G$13-1)*100))</f>
        <v/>
      </c>
      <c r="P528" s="11">
        <f>IF(L528="","",100-IF($G$14=1,50,(_xlfn.RANK.AVG(L528,$L$19:$L$1518,1)-1)/($G$14-1)*100))</f>
        <v/>
      </c>
      <c r="Q528" s="11">
        <f>IF(M528="","",IF($G$15=1,50,(_xlfn.RANK.AVG(M528,$M$19:$M$1518,1)-1)/($G$15-1)*100))</f>
        <v/>
      </c>
      <c r="R528" s="11">
        <f>IF(N528="","",IF($G$16=1,50,(_xlfn.RANK.AVG(N528,$N$19:$N$1518,1)-1)/($G$16-1)*100))</f>
        <v/>
      </c>
      <c r="S528" s="11">
        <f>IF(COUNT(O528:R528)=4,ROUND(AVERAGE(O528:R528),6),"")</f>
        <v/>
      </c>
      <c r="U528">
        <f>IF(AND(ISNUMBER('자료_한국심리'!$A512),ISNUMBER('자료_한국심리'!$B512)),'자료_한국심리'!$A512,"")</f>
        <v/>
      </c>
      <c r="V528">
        <f>IF(AND(ISNUMBER('자료_한국심리'!$D512),ISNUMBER('자료_한국심리'!$E512)),'자료_한국심리'!$D512,"")</f>
        <v/>
      </c>
      <c r="W528">
        <f>IF(AND(ISNUMBER('자료_한국심리'!$G512),ISNUMBER('자료_한국심리'!$H512)),'자료_한국심리'!$G512,"")</f>
        <v/>
      </c>
      <c r="X528">
        <f>IF(AND(ISNUMBER('자료_한국심리'!$J512),ISNUMBER('자료_한국심리'!$K512)),'자료_한국심리'!$J512,"")</f>
        <v/>
      </c>
      <c r="Y528">
        <f>IF(AND(ISNUMBER('자료_한국심리'!$M512),ISNUMBER('자료_한국심리'!$N512)),'자료_한국심리'!$M512,"")</f>
        <v/>
      </c>
    </row>
    <row r="529">
      <c r="A529" s="10">
        <f>IF(511&gt;$E$5,"",SMALL($U$19:$U$4018,$E$6+511))</f>
        <v/>
      </c>
      <c r="B529" s="29">
        <f>IF(A529="","",INDEX('자료_한국심리'!$B$3:$B$4002,MATCH(A529,$U$19:$U$4018,0)))</f>
        <v/>
      </c>
      <c r="C529" s="22">
        <f>IF(A529="","",B529/AVERAGE(B405:B529)-1)</f>
        <v/>
      </c>
      <c r="D529" s="29">
        <f>IF(A529="","",IFERROR(INDEX('자료_한국심리'!$E$3:$E$4002,MATCH(A529,$V$19:$V$4018,0)),D528))</f>
        <v/>
      </c>
      <c r="E529" s="30">
        <f>IF(A529="","",IFERROR(INDEX('자료_한국심리'!$H$3:$H$4002,MATCH(A529,$W$19:$W$4018,0)),E528))</f>
        <v/>
      </c>
      <c r="F529" s="30">
        <f>IF(A529="","",IFERROR(INDEX('자료_한국심리'!$K$3:$K$4002,MATCH(A529,$X$19:$X$4018,0)),F528))</f>
        <v/>
      </c>
      <c r="G529" s="30">
        <f>IF(AND(ISNUMBER(E529),ISNUMBER(F529)),ROUND(E529-F529,6),"")</f>
        <v/>
      </c>
      <c r="H529" s="25">
        <f>IF(A529="","",IFERROR(INDEX('자료_한국심리'!$N$3:$N$4002,MATCH(A529,$Y$19:$Y$4018,0)),H528))</f>
        <v/>
      </c>
      <c r="I529" s="31">
        <f>IF(AND(ISNUMBER(H529),ISNUMBER(H509)),IF(H509&gt;0,H529/H509-1,""),"")</f>
        <v/>
      </c>
      <c r="J529">
        <f>IF(A529="",0,IF(A529&gt;$B$5,1,0))</f>
        <v/>
      </c>
      <c r="K529" s="29">
        <f>IF(AND(J529=1,ISNUMBER(D529)),D529,"")</f>
        <v/>
      </c>
      <c r="L529" s="30">
        <f>IF(AND(J529=1,ISNUMBER(G529)),G529,"")</f>
        <v/>
      </c>
      <c r="M529" s="22">
        <f>IF(AND(J529=1,ISNUMBER(C529)),C529,"")</f>
        <v/>
      </c>
      <c r="N529" s="31">
        <f>IF(AND(J529=1,ISNUMBER(I529)),I529,"")</f>
        <v/>
      </c>
      <c r="O529" s="11">
        <f>IF(K529="","",100-IF($G$13=1,50,(_xlfn.RANK.AVG(K529,$K$19:$K$1518,1)-1)/($G$13-1)*100))</f>
        <v/>
      </c>
      <c r="P529" s="11">
        <f>IF(L529="","",100-IF($G$14=1,50,(_xlfn.RANK.AVG(L529,$L$19:$L$1518,1)-1)/($G$14-1)*100))</f>
        <v/>
      </c>
      <c r="Q529" s="11">
        <f>IF(M529="","",IF($G$15=1,50,(_xlfn.RANK.AVG(M529,$M$19:$M$1518,1)-1)/($G$15-1)*100))</f>
        <v/>
      </c>
      <c r="R529" s="11">
        <f>IF(N529="","",IF($G$16=1,50,(_xlfn.RANK.AVG(N529,$N$19:$N$1518,1)-1)/($G$16-1)*100))</f>
        <v/>
      </c>
      <c r="S529" s="11">
        <f>IF(COUNT(O529:R529)=4,ROUND(AVERAGE(O529:R529),6),"")</f>
        <v/>
      </c>
      <c r="U529">
        <f>IF(AND(ISNUMBER('자료_한국심리'!$A513),ISNUMBER('자료_한국심리'!$B513)),'자료_한국심리'!$A513,"")</f>
        <v/>
      </c>
      <c r="V529">
        <f>IF(AND(ISNUMBER('자료_한국심리'!$D513),ISNUMBER('자료_한국심리'!$E513)),'자료_한국심리'!$D513,"")</f>
        <v/>
      </c>
      <c r="W529">
        <f>IF(AND(ISNUMBER('자료_한국심리'!$G513),ISNUMBER('자료_한국심리'!$H513)),'자료_한국심리'!$G513,"")</f>
        <v/>
      </c>
      <c r="X529">
        <f>IF(AND(ISNUMBER('자료_한국심리'!$J513),ISNUMBER('자료_한국심리'!$K513)),'자료_한국심리'!$J513,"")</f>
        <v/>
      </c>
      <c r="Y529">
        <f>IF(AND(ISNUMBER('자료_한국심리'!$M513),ISNUMBER('자료_한국심리'!$N513)),'자료_한국심리'!$M513,"")</f>
        <v/>
      </c>
    </row>
    <row r="530">
      <c r="A530" s="10">
        <f>IF(512&gt;$E$5,"",SMALL($U$19:$U$4018,$E$6+512))</f>
        <v/>
      </c>
      <c r="B530" s="29">
        <f>IF(A530="","",INDEX('자료_한국심리'!$B$3:$B$4002,MATCH(A530,$U$19:$U$4018,0)))</f>
        <v/>
      </c>
      <c r="C530" s="22">
        <f>IF(A530="","",B530/AVERAGE(B406:B530)-1)</f>
        <v/>
      </c>
      <c r="D530" s="29">
        <f>IF(A530="","",IFERROR(INDEX('자료_한국심리'!$E$3:$E$4002,MATCH(A530,$V$19:$V$4018,0)),D529))</f>
        <v/>
      </c>
      <c r="E530" s="30">
        <f>IF(A530="","",IFERROR(INDEX('자료_한국심리'!$H$3:$H$4002,MATCH(A530,$W$19:$W$4018,0)),E529))</f>
        <v/>
      </c>
      <c r="F530" s="30">
        <f>IF(A530="","",IFERROR(INDEX('자료_한국심리'!$K$3:$K$4002,MATCH(A530,$X$19:$X$4018,0)),F529))</f>
        <v/>
      </c>
      <c r="G530" s="30">
        <f>IF(AND(ISNUMBER(E530),ISNUMBER(F530)),ROUND(E530-F530,6),"")</f>
        <v/>
      </c>
      <c r="H530" s="25">
        <f>IF(A530="","",IFERROR(INDEX('자료_한국심리'!$N$3:$N$4002,MATCH(A530,$Y$19:$Y$4018,0)),H529))</f>
        <v/>
      </c>
      <c r="I530" s="31">
        <f>IF(AND(ISNUMBER(H530),ISNUMBER(H510)),IF(H510&gt;0,H530/H510-1,""),"")</f>
        <v/>
      </c>
      <c r="J530">
        <f>IF(A530="",0,IF(A530&gt;$B$5,1,0))</f>
        <v/>
      </c>
      <c r="K530" s="29">
        <f>IF(AND(J530=1,ISNUMBER(D530)),D530,"")</f>
        <v/>
      </c>
      <c r="L530" s="30">
        <f>IF(AND(J530=1,ISNUMBER(G530)),G530,"")</f>
        <v/>
      </c>
      <c r="M530" s="22">
        <f>IF(AND(J530=1,ISNUMBER(C530)),C530,"")</f>
        <v/>
      </c>
      <c r="N530" s="31">
        <f>IF(AND(J530=1,ISNUMBER(I530)),I530,"")</f>
        <v/>
      </c>
      <c r="O530" s="11">
        <f>IF(K530="","",100-IF($G$13=1,50,(_xlfn.RANK.AVG(K530,$K$19:$K$1518,1)-1)/($G$13-1)*100))</f>
        <v/>
      </c>
      <c r="P530" s="11">
        <f>IF(L530="","",100-IF($G$14=1,50,(_xlfn.RANK.AVG(L530,$L$19:$L$1518,1)-1)/($G$14-1)*100))</f>
        <v/>
      </c>
      <c r="Q530" s="11">
        <f>IF(M530="","",IF($G$15=1,50,(_xlfn.RANK.AVG(M530,$M$19:$M$1518,1)-1)/($G$15-1)*100))</f>
        <v/>
      </c>
      <c r="R530" s="11">
        <f>IF(N530="","",IF($G$16=1,50,(_xlfn.RANK.AVG(N530,$N$19:$N$1518,1)-1)/($G$16-1)*100))</f>
        <v/>
      </c>
      <c r="S530" s="11">
        <f>IF(COUNT(O530:R530)=4,ROUND(AVERAGE(O530:R530),6),"")</f>
        <v/>
      </c>
      <c r="U530">
        <f>IF(AND(ISNUMBER('자료_한국심리'!$A514),ISNUMBER('자료_한국심리'!$B514)),'자료_한국심리'!$A514,"")</f>
        <v/>
      </c>
      <c r="V530">
        <f>IF(AND(ISNUMBER('자료_한국심리'!$D514),ISNUMBER('자료_한국심리'!$E514)),'자료_한국심리'!$D514,"")</f>
        <v/>
      </c>
      <c r="W530">
        <f>IF(AND(ISNUMBER('자료_한국심리'!$G514),ISNUMBER('자료_한국심리'!$H514)),'자료_한국심리'!$G514,"")</f>
        <v/>
      </c>
      <c r="X530">
        <f>IF(AND(ISNUMBER('자료_한국심리'!$J514),ISNUMBER('자료_한국심리'!$K514)),'자료_한국심리'!$J514,"")</f>
        <v/>
      </c>
      <c r="Y530">
        <f>IF(AND(ISNUMBER('자료_한국심리'!$M514),ISNUMBER('자료_한국심리'!$N514)),'자료_한국심리'!$M514,"")</f>
        <v/>
      </c>
    </row>
    <row r="531">
      <c r="A531" s="10">
        <f>IF(513&gt;$E$5,"",SMALL($U$19:$U$4018,$E$6+513))</f>
        <v/>
      </c>
      <c r="B531" s="29">
        <f>IF(A531="","",INDEX('자료_한국심리'!$B$3:$B$4002,MATCH(A531,$U$19:$U$4018,0)))</f>
        <v/>
      </c>
      <c r="C531" s="22">
        <f>IF(A531="","",B531/AVERAGE(B407:B531)-1)</f>
        <v/>
      </c>
      <c r="D531" s="29">
        <f>IF(A531="","",IFERROR(INDEX('자료_한국심리'!$E$3:$E$4002,MATCH(A531,$V$19:$V$4018,0)),D530))</f>
        <v/>
      </c>
      <c r="E531" s="30">
        <f>IF(A531="","",IFERROR(INDEX('자료_한국심리'!$H$3:$H$4002,MATCH(A531,$W$19:$W$4018,0)),E530))</f>
        <v/>
      </c>
      <c r="F531" s="30">
        <f>IF(A531="","",IFERROR(INDEX('자료_한국심리'!$K$3:$K$4002,MATCH(A531,$X$19:$X$4018,0)),F530))</f>
        <v/>
      </c>
      <c r="G531" s="30">
        <f>IF(AND(ISNUMBER(E531),ISNUMBER(F531)),ROUND(E531-F531,6),"")</f>
        <v/>
      </c>
      <c r="H531" s="25">
        <f>IF(A531="","",IFERROR(INDEX('자료_한국심리'!$N$3:$N$4002,MATCH(A531,$Y$19:$Y$4018,0)),H530))</f>
        <v/>
      </c>
      <c r="I531" s="31">
        <f>IF(AND(ISNUMBER(H531),ISNUMBER(H511)),IF(H511&gt;0,H531/H511-1,""),"")</f>
        <v/>
      </c>
      <c r="J531">
        <f>IF(A531="",0,IF(A531&gt;$B$5,1,0))</f>
        <v/>
      </c>
      <c r="K531" s="29">
        <f>IF(AND(J531=1,ISNUMBER(D531)),D531,"")</f>
        <v/>
      </c>
      <c r="L531" s="30">
        <f>IF(AND(J531=1,ISNUMBER(G531)),G531,"")</f>
        <v/>
      </c>
      <c r="M531" s="22">
        <f>IF(AND(J531=1,ISNUMBER(C531)),C531,"")</f>
        <v/>
      </c>
      <c r="N531" s="31">
        <f>IF(AND(J531=1,ISNUMBER(I531)),I531,"")</f>
        <v/>
      </c>
      <c r="O531" s="11">
        <f>IF(K531="","",100-IF($G$13=1,50,(_xlfn.RANK.AVG(K531,$K$19:$K$1518,1)-1)/($G$13-1)*100))</f>
        <v/>
      </c>
      <c r="P531" s="11">
        <f>IF(L531="","",100-IF($G$14=1,50,(_xlfn.RANK.AVG(L531,$L$19:$L$1518,1)-1)/($G$14-1)*100))</f>
        <v/>
      </c>
      <c r="Q531" s="11">
        <f>IF(M531="","",IF($G$15=1,50,(_xlfn.RANK.AVG(M531,$M$19:$M$1518,1)-1)/($G$15-1)*100))</f>
        <v/>
      </c>
      <c r="R531" s="11">
        <f>IF(N531="","",IF($G$16=1,50,(_xlfn.RANK.AVG(N531,$N$19:$N$1518,1)-1)/($G$16-1)*100))</f>
        <v/>
      </c>
      <c r="S531" s="11">
        <f>IF(COUNT(O531:R531)=4,ROUND(AVERAGE(O531:R531),6),"")</f>
        <v/>
      </c>
      <c r="U531">
        <f>IF(AND(ISNUMBER('자료_한국심리'!$A515),ISNUMBER('자료_한국심리'!$B515)),'자료_한국심리'!$A515,"")</f>
        <v/>
      </c>
      <c r="V531">
        <f>IF(AND(ISNUMBER('자료_한국심리'!$D515),ISNUMBER('자료_한국심리'!$E515)),'자료_한국심리'!$D515,"")</f>
        <v/>
      </c>
      <c r="W531">
        <f>IF(AND(ISNUMBER('자료_한국심리'!$G515),ISNUMBER('자료_한국심리'!$H515)),'자료_한국심리'!$G515,"")</f>
        <v/>
      </c>
      <c r="X531">
        <f>IF(AND(ISNUMBER('자료_한국심리'!$J515),ISNUMBER('자료_한국심리'!$K515)),'자료_한국심리'!$J515,"")</f>
        <v/>
      </c>
      <c r="Y531">
        <f>IF(AND(ISNUMBER('자료_한국심리'!$M515),ISNUMBER('자료_한국심리'!$N515)),'자료_한국심리'!$M515,"")</f>
        <v/>
      </c>
    </row>
    <row r="532">
      <c r="A532" s="10">
        <f>IF(514&gt;$E$5,"",SMALL($U$19:$U$4018,$E$6+514))</f>
        <v/>
      </c>
      <c r="B532" s="29">
        <f>IF(A532="","",INDEX('자료_한국심리'!$B$3:$B$4002,MATCH(A532,$U$19:$U$4018,0)))</f>
        <v/>
      </c>
      <c r="C532" s="22">
        <f>IF(A532="","",B532/AVERAGE(B408:B532)-1)</f>
        <v/>
      </c>
      <c r="D532" s="29">
        <f>IF(A532="","",IFERROR(INDEX('자료_한국심리'!$E$3:$E$4002,MATCH(A532,$V$19:$V$4018,0)),D531))</f>
        <v/>
      </c>
      <c r="E532" s="30">
        <f>IF(A532="","",IFERROR(INDEX('자료_한국심리'!$H$3:$H$4002,MATCH(A532,$W$19:$W$4018,0)),E531))</f>
        <v/>
      </c>
      <c r="F532" s="30">
        <f>IF(A532="","",IFERROR(INDEX('자료_한국심리'!$K$3:$K$4002,MATCH(A532,$X$19:$X$4018,0)),F531))</f>
        <v/>
      </c>
      <c r="G532" s="30">
        <f>IF(AND(ISNUMBER(E532),ISNUMBER(F532)),ROUND(E532-F532,6),"")</f>
        <v/>
      </c>
      <c r="H532" s="25">
        <f>IF(A532="","",IFERROR(INDEX('자료_한국심리'!$N$3:$N$4002,MATCH(A532,$Y$19:$Y$4018,0)),H531))</f>
        <v/>
      </c>
      <c r="I532" s="31">
        <f>IF(AND(ISNUMBER(H532),ISNUMBER(H512)),IF(H512&gt;0,H532/H512-1,""),"")</f>
        <v/>
      </c>
      <c r="J532">
        <f>IF(A532="",0,IF(A532&gt;$B$5,1,0))</f>
        <v/>
      </c>
      <c r="K532" s="29">
        <f>IF(AND(J532=1,ISNUMBER(D532)),D532,"")</f>
        <v/>
      </c>
      <c r="L532" s="30">
        <f>IF(AND(J532=1,ISNUMBER(G532)),G532,"")</f>
        <v/>
      </c>
      <c r="M532" s="22">
        <f>IF(AND(J532=1,ISNUMBER(C532)),C532,"")</f>
        <v/>
      </c>
      <c r="N532" s="31">
        <f>IF(AND(J532=1,ISNUMBER(I532)),I532,"")</f>
        <v/>
      </c>
      <c r="O532" s="11">
        <f>IF(K532="","",100-IF($G$13=1,50,(_xlfn.RANK.AVG(K532,$K$19:$K$1518,1)-1)/($G$13-1)*100))</f>
        <v/>
      </c>
      <c r="P532" s="11">
        <f>IF(L532="","",100-IF($G$14=1,50,(_xlfn.RANK.AVG(L532,$L$19:$L$1518,1)-1)/($G$14-1)*100))</f>
        <v/>
      </c>
      <c r="Q532" s="11">
        <f>IF(M532="","",IF($G$15=1,50,(_xlfn.RANK.AVG(M532,$M$19:$M$1518,1)-1)/($G$15-1)*100))</f>
        <v/>
      </c>
      <c r="R532" s="11">
        <f>IF(N532="","",IF($G$16=1,50,(_xlfn.RANK.AVG(N532,$N$19:$N$1518,1)-1)/($G$16-1)*100))</f>
        <v/>
      </c>
      <c r="S532" s="11">
        <f>IF(COUNT(O532:R532)=4,ROUND(AVERAGE(O532:R532),6),"")</f>
        <v/>
      </c>
      <c r="U532">
        <f>IF(AND(ISNUMBER('자료_한국심리'!$A516),ISNUMBER('자료_한국심리'!$B516)),'자료_한국심리'!$A516,"")</f>
        <v/>
      </c>
      <c r="V532">
        <f>IF(AND(ISNUMBER('자료_한국심리'!$D516),ISNUMBER('자료_한국심리'!$E516)),'자료_한국심리'!$D516,"")</f>
        <v/>
      </c>
      <c r="W532">
        <f>IF(AND(ISNUMBER('자료_한국심리'!$G516),ISNUMBER('자료_한국심리'!$H516)),'자료_한국심리'!$G516,"")</f>
        <v/>
      </c>
      <c r="X532">
        <f>IF(AND(ISNUMBER('자료_한국심리'!$J516),ISNUMBER('자료_한국심리'!$K516)),'자료_한국심리'!$J516,"")</f>
        <v/>
      </c>
      <c r="Y532">
        <f>IF(AND(ISNUMBER('자료_한국심리'!$M516),ISNUMBER('자료_한국심리'!$N516)),'자료_한국심리'!$M516,"")</f>
        <v/>
      </c>
    </row>
    <row r="533">
      <c r="A533" s="10">
        <f>IF(515&gt;$E$5,"",SMALL($U$19:$U$4018,$E$6+515))</f>
        <v/>
      </c>
      <c r="B533" s="29">
        <f>IF(A533="","",INDEX('자료_한국심리'!$B$3:$B$4002,MATCH(A533,$U$19:$U$4018,0)))</f>
        <v/>
      </c>
      <c r="C533" s="22">
        <f>IF(A533="","",B533/AVERAGE(B409:B533)-1)</f>
        <v/>
      </c>
      <c r="D533" s="29">
        <f>IF(A533="","",IFERROR(INDEX('자료_한국심리'!$E$3:$E$4002,MATCH(A533,$V$19:$V$4018,0)),D532))</f>
        <v/>
      </c>
      <c r="E533" s="30">
        <f>IF(A533="","",IFERROR(INDEX('자료_한국심리'!$H$3:$H$4002,MATCH(A533,$W$19:$W$4018,0)),E532))</f>
        <v/>
      </c>
      <c r="F533" s="30">
        <f>IF(A533="","",IFERROR(INDEX('자료_한국심리'!$K$3:$K$4002,MATCH(A533,$X$19:$X$4018,0)),F532))</f>
        <v/>
      </c>
      <c r="G533" s="30">
        <f>IF(AND(ISNUMBER(E533),ISNUMBER(F533)),ROUND(E533-F533,6),"")</f>
        <v/>
      </c>
      <c r="H533" s="25">
        <f>IF(A533="","",IFERROR(INDEX('자료_한국심리'!$N$3:$N$4002,MATCH(A533,$Y$19:$Y$4018,0)),H532))</f>
        <v/>
      </c>
      <c r="I533" s="31">
        <f>IF(AND(ISNUMBER(H533),ISNUMBER(H513)),IF(H513&gt;0,H533/H513-1,""),"")</f>
        <v/>
      </c>
      <c r="J533">
        <f>IF(A533="",0,IF(A533&gt;$B$5,1,0))</f>
        <v/>
      </c>
      <c r="K533" s="29">
        <f>IF(AND(J533=1,ISNUMBER(D533)),D533,"")</f>
        <v/>
      </c>
      <c r="L533" s="30">
        <f>IF(AND(J533=1,ISNUMBER(G533)),G533,"")</f>
        <v/>
      </c>
      <c r="M533" s="22">
        <f>IF(AND(J533=1,ISNUMBER(C533)),C533,"")</f>
        <v/>
      </c>
      <c r="N533" s="31">
        <f>IF(AND(J533=1,ISNUMBER(I533)),I533,"")</f>
        <v/>
      </c>
      <c r="O533" s="11">
        <f>IF(K533="","",100-IF($G$13=1,50,(_xlfn.RANK.AVG(K533,$K$19:$K$1518,1)-1)/($G$13-1)*100))</f>
        <v/>
      </c>
      <c r="P533" s="11">
        <f>IF(L533="","",100-IF($G$14=1,50,(_xlfn.RANK.AVG(L533,$L$19:$L$1518,1)-1)/($G$14-1)*100))</f>
        <v/>
      </c>
      <c r="Q533" s="11">
        <f>IF(M533="","",IF($G$15=1,50,(_xlfn.RANK.AVG(M533,$M$19:$M$1518,1)-1)/($G$15-1)*100))</f>
        <v/>
      </c>
      <c r="R533" s="11">
        <f>IF(N533="","",IF($G$16=1,50,(_xlfn.RANK.AVG(N533,$N$19:$N$1518,1)-1)/($G$16-1)*100))</f>
        <v/>
      </c>
      <c r="S533" s="11">
        <f>IF(COUNT(O533:R533)=4,ROUND(AVERAGE(O533:R533),6),"")</f>
        <v/>
      </c>
      <c r="U533">
        <f>IF(AND(ISNUMBER('자료_한국심리'!$A517),ISNUMBER('자료_한국심리'!$B517)),'자료_한국심리'!$A517,"")</f>
        <v/>
      </c>
      <c r="V533">
        <f>IF(AND(ISNUMBER('자료_한국심리'!$D517),ISNUMBER('자료_한국심리'!$E517)),'자료_한국심리'!$D517,"")</f>
        <v/>
      </c>
      <c r="W533">
        <f>IF(AND(ISNUMBER('자료_한국심리'!$G517),ISNUMBER('자료_한국심리'!$H517)),'자료_한국심리'!$G517,"")</f>
        <v/>
      </c>
      <c r="X533">
        <f>IF(AND(ISNUMBER('자료_한국심리'!$J517),ISNUMBER('자료_한국심리'!$K517)),'자료_한국심리'!$J517,"")</f>
        <v/>
      </c>
      <c r="Y533">
        <f>IF(AND(ISNUMBER('자료_한국심리'!$M517),ISNUMBER('자료_한국심리'!$N517)),'자료_한국심리'!$M517,"")</f>
        <v/>
      </c>
    </row>
    <row r="534">
      <c r="A534" s="10">
        <f>IF(516&gt;$E$5,"",SMALL($U$19:$U$4018,$E$6+516))</f>
        <v/>
      </c>
      <c r="B534" s="29">
        <f>IF(A534="","",INDEX('자료_한국심리'!$B$3:$B$4002,MATCH(A534,$U$19:$U$4018,0)))</f>
        <v/>
      </c>
      <c r="C534" s="22">
        <f>IF(A534="","",B534/AVERAGE(B410:B534)-1)</f>
        <v/>
      </c>
      <c r="D534" s="29">
        <f>IF(A534="","",IFERROR(INDEX('자료_한국심리'!$E$3:$E$4002,MATCH(A534,$V$19:$V$4018,0)),D533))</f>
        <v/>
      </c>
      <c r="E534" s="30">
        <f>IF(A534="","",IFERROR(INDEX('자료_한국심리'!$H$3:$H$4002,MATCH(A534,$W$19:$W$4018,0)),E533))</f>
        <v/>
      </c>
      <c r="F534" s="30">
        <f>IF(A534="","",IFERROR(INDEX('자료_한국심리'!$K$3:$K$4002,MATCH(A534,$X$19:$X$4018,0)),F533))</f>
        <v/>
      </c>
      <c r="G534" s="30">
        <f>IF(AND(ISNUMBER(E534),ISNUMBER(F534)),ROUND(E534-F534,6),"")</f>
        <v/>
      </c>
      <c r="H534" s="25">
        <f>IF(A534="","",IFERROR(INDEX('자료_한국심리'!$N$3:$N$4002,MATCH(A534,$Y$19:$Y$4018,0)),H533))</f>
        <v/>
      </c>
      <c r="I534" s="31">
        <f>IF(AND(ISNUMBER(H534),ISNUMBER(H514)),IF(H514&gt;0,H534/H514-1,""),"")</f>
        <v/>
      </c>
      <c r="J534">
        <f>IF(A534="",0,IF(A534&gt;$B$5,1,0))</f>
        <v/>
      </c>
      <c r="K534" s="29">
        <f>IF(AND(J534=1,ISNUMBER(D534)),D534,"")</f>
        <v/>
      </c>
      <c r="L534" s="30">
        <f>IF(AND(J534=1,ISNUMBER(G534)),G534,"")</f>
        <v/>
      </c>
      <c r="M534" s="22">
        <f>IF(AND(J534=1,ISNUMBER(C534)),C534,"")</f>
        <v/>
      </c>
      <c r="N534" s="31">
        <f>IF(AND(J534=1,ISNUMBER(I534)),I534,"")</f>
        <v/>
      </c>
      <c r="O534" s="11">
        <f>IF(K534="","",100-IF($G$13=1,50,(_xlfn.RANK.AVG(K534,$K$19:$K$1518,1)-1)/($G$13-1)*100))</f>
        <v/>
      </c>
      <c r="P534" s="11">
        <f>IF(L534="","",100-IF($G$14=1,50,(_xlfn.RANK.AVG(L534,$L$19:$L$1518,1)-1)/($G$14-1)*100))</f>
        <v/>
      </c>
      <c r="Q534" s="11">
        <f>IF(M534="","",IF($G$15=1,50,(_xlfn.RANK.AVG(M534,$M$19:$M$1518,1)-1)/($G$15-1)*100))</f>
        <v/>
      </c>
      <c r="R534" s="11">
        <f>IF(N534="","",IF($G$16=1,50,(_xlfn.RANK.AVG(N534,$N$19:$N$1518,1)-1)/($G$16-1)*100))</f>
        <v/>
      </c>
      <c r="S534" s="11">
        <f>IF(COUNT(O534:R534)=4,ROUND(AVERAGE(O534:R534),6),"")</f>
        <v/>
      </c>
      <c r="U534">
        <f>IF(AND(ISNUMBER('자료_한국심리'!$A518),ISNUMBER('자료_한국심리'!$B518)),'자료_한국심리'!$A518,"")</f>
        <v/>
      </c>
      <c r="V534">
        <f>IF(AND(ISNUMBER('자료_한국심리'!$D518),ISNUMBER('자료_한국심리'!$E518)),'자료_한국심리'!$D518,"")</f>
        <v/>
      </c>
      <c r="W534">
        <f>IF(AND(ISNUMBER('자료_한국심리'!$G518),ISNUMBER('자료_한국심리'!$H518)),'자료_한국심리'!$G518,"")</f>
        <v/>
      </c>
      <c r="X534">
        <f>IF(AND(ISNUMBER('자료_한국심리'!$J518),ISNUMBER('자료_한국심리'!$K518)),'자료_한국심리'!$J518,"")</f>
        <v/>
      </c>
      <c r="Y534">
        <f>IF(AND(ISNUMBER('자료_한국심리'!$M518),ISNUMBER('자료_한국심리'!$N518)),'자료_한국심리'!$M518,"")</f>
        <v/>
      </c>
    </row>
    <row r="535">
      <c r="A535" s="10">
        <f>IF(517&gt;$E$5,"",SMALL($U$19:$U$4018,$E$6+517))</f>
        <v/>
      </c>
      <c r="B535" s="29">
        <f>IF(A535="","",INDEX('자료_한국심리'!$B$3:$B$4002,MATCH(A535,$U$19:$U$4018,0)))</f>
        <v/>
      </c>
      <c r="C535" s="22">
        <f>IF(A535="","",B535/AVERAGE(B411:B535)-1)</f>
        <v/>
      </c>
      <c r="D535" s="29">
        <f>IF(A535="","",IFERROR(INDEX('자료_한국심리'!$E$3:$E$4002,MATCH(A535,$V$19:$V$4018,0)),D534))</f>
        <v/>
      </c>
      <c r="E535" s="30">
        <f>IF(A535="","",IFERROR(INDEX('자료_한국심리'!$H$3:$H$4002,MATCH(A535,$W$19:$W$4018,0)),E534))</f>
        <v/>
      </c>
      <c r="F535" s="30">
        <f>IF(A535="","",IFERROR(INDEX('자료_한국심리'!$K$3:$K$4002,MATCH(A535,$X$19:$X$4018,0)),F534))</f>
        <v/>
      </c>
      <c r="G535" s="30">
        <f>IF(AND(ISNUMBER(E535),ISNUMBER(F535)),ROUND(E535-F535,6),"")</f>
        <v/>
      </c>
      <c r="H535" s="25">
        <f>IF(A535="","",IFERROR(INDEX('자료_한국심리'!$N$3:$N$4002,MATCH(A535,$Y$19:$Y$4018,0)),H534))</f>
        <v/>
      </c>
      <c r="I535" s="31">
        <f>IF(AND(ISNUMBER(H535),ISNUMBER(H515)),IF(H515&gt;0,H535/H515-1,""),"")</f>
        <v/>
      </c>
      <c r="J535">
        <f>IF(A535="",0,IF(A535&gt;$B$5,1,0))</f>
        <v/>
      </c>
      <c r="K535" s="29">
        <f>IF(AND(J535=1,ISNUMBER(D535)),D535,"")</f>
        <v/>
      </c>
      <c r="L535" s="30">
        <f>IF(AND(J535=1,ISNUMBER(G535)),G535,"")</f>
        <v/>
      </c>
      <c r="M535" s="22">
        <f>IF(AND(J535=1,ISNUMBER(C535)),C535,"")</f>
        <v/>
      </c>
      <c r="N535" s="31">
        <f>IF(AND(J535=1,ISNUMBER(I535)),I535,"")</f>
        <v/>
      </c>
      <c r="O535" s="11">
        <f>IF(K535="","",100-IF($G$13=1,50,(_xlfn.RANK.AVG(K535,$K$19:$K$1518,1)-1)/($G$13-1)*100))</f>
        <v/>
      </c>
      <c r="P535" s="11">
        <f>IF(L535="","",100-IF($G$14=1,50,(_xlfn.RANK.AVG(L535,$L$19:$L$1518,1)-1)/($G$14-1)*100))</f>
        <v/>
      </c>
      <c r="Q535" s="11">
        <f>IF(M535="","",IF($G$15=1,50,(_xlfn.RANK.AVG(M535,$M$19:$M$1518,1)-1)/($G$15-1)*100))</f>
        <v/>
      </c>
      <c r="R535" s="11">
        <f>IF(N535="","",IF($G$16=1,50,(_xlfn.RANK.AVG(N535,$N$19:$N$1518,1)-1)/($G$16-1)*100))</f>
        <v/>
      </c>
      <c r="S535" s="11">
        <f>IF(COUNT(O535:R535)=4,ROUND(AVERAGE(O535:R535),6),"")</f>
        <v/>
      </c>
      <c r="U535">
        <f>IF(AND(ISNUMBER('자료_한국심리'!$A519),ISNUMBER('자료_한국심리'!$B519)),'자료_한국심리'!$A519,"")</f>
        <v/>
      </c>
      <c r="V535">
        <f>IF(AND(ISNUMBER('자료_한국심리'!$D519),ISNUMBER('자료_한국심리'!$E519)),'자료_한국심리'!$D519,"")</f>
        <v/>
      </c>
      <c r="W535">
        <f>IF(AND(ISNUMBER('자료_한국심리'!$G519),ISNUMBER('자료_한국심리'!$H519)),'자료_한국심리'!$G519,"")</f>
        <v/>
      </c>
      <c r="X535">
        <f>IF(AND(ISNUMBER('자료_한국심리'!$J519),ISNUMBER('자료_한국심리'!$K519)),'자료_한국심리'!$J519,"")</f>
        <v/>
      </c>
      <c r="Y535">
        <f>IF(AND(ISNUMBER('자료_한국심리'!$M519),ISNUMBER('자료_한국심리'!$N519)),'자료_한국심리'!$M519,"")</f>
        <v/>
      </c>
    </row>
    <row r="536">
      <c r="A536" s="10">
        <f>IF(518&gt;$E$5,"",SMALL($U$19:$U$4018,$E$6+518))</f>
        <v/>
      </c>
      <c r="B536" s="29">
        <f>IF(A536="","",INDEX('자료_한국심리'!$B$3:$B$4002,MATCH(A536,$U$19:$U$4018,0)))</f>
        <v/>
      </c>
      <c r="C536" s="22">
        <f>IF(A536="","",B536/AVERAGE(B412:B536)-1)</f>
        <v/>
      </c>
      <c r="D536" s="29">
        <f>IF(A536="","",IFERROR(INDEX('자료_한국심리'!$E$3:$E$4002,MATCH(A536,$V$19:$V$4018,0)),D535))</f>
        <v/>
      </c>
      <c r="E536" s="30">
        <f>IF(A536="","",IFERROR(INDEX('자료_한국심리'!$H$3:$H$4002,MATCH(A536,$W$19:$W$4018,0)),E535))</f>
        <v/>
      </c>
      <c r="F536" s="30">
        <f>IF(A536="","",IFERROR(INDEX('자료_한국심리'!$K$3:$K$4002,MATCH(A536,$X$19:$X$4018,0)),F535))</f>
        <v/>
      </c>
      <c r="G536" s="30">
        <f>IF(AND(ISNUMBER(E536),ISNUMBER(F536)),ROUND(E536-F536,6),"")</f>
        <v/>
      </c>
      <c r="H536" s="25">
        <f>IF(A536="","",IFERROR(INDEX('자료_한국심리'!$N$3:$N$4002,MATCH(A536,$Y$19:$Y$4018,0)),H535))</f>
        <v/>
      </c>
      <c r="I536" s="31">
        <f>IF(AND(ISNUMBER(H536),ISNUMBER(H516)),IF(H516&gt;0,H536/H516-1,""),"")</f>
        <v/>
      </c>
      <c r="J536">
        <f>IF(A536="",0,IF(A536&gt;$B$5,1,0))</f>
        <v/>
      </c>
      <c r="K536" s="29">
        <f>IF(AND(J536=1,ISNUMBER(D536)),D536,"")</f>
        <v/>
      </c>
      <c r="L536" s="30">
        <f>IF(AND(J536=1,ISNUMBER(G536)),G536,"")</f>
        <v/>
      </c>
      <c r="M536" s="22">
        <f>IF(AND(J536=1,ISNUMBER(C536)),C536,"")</f>
        <v/>
      </c>
      <c r="N536" s="31">
        <f>IF(AND(J536=1,ISNUMBER(I536)),I536,"")</f>
        <v/>
      </c>
      <c r="O536" s="11">
        <f>IF(K536="","",100-IF($G$13=1,50,(_xlfn.RANK.AVG(K536,$K$19:$K$1518,1)-1)/($G$13-1)*100))</f>
        <v/>
      </c>
      <c r="P536" s="11">
        <f>IF(L536="","",100-IF($G$14=1,50,(_xlfn.RANK.AVG(L536,$L$19:$L$1518,1)-1)/($G$14-1)*100))</f>
        <v/>
      </c>
      <c r="Q536" s="11">
        <f>IF(M536="","",IF($G$15=1,50,(_xlfn.RANK.AVG(M536,$M$19:$M$1518,1)-1)/($G$15-1)*100))</f>
        <v/>
      </c>
      <c r="R536" s="11">
        <f>IF(N536="","",IF($G$16=1,50,(_xlfn.RANK.AVG(N536,$N$19:$N$1518,1)-1)/($G$16-1)*100))</f>
        <v/>
      </c>
      <c r="S536" s="11">
        <f>IF(COUNT(O536:R536)=4,ROUND(AVERAGE(O536:R536),6),"")</f>
        <v/>
      </c>
      <c r="U536">
        <f>IF(AND(ISNUMBER('자료_한국심리'!$A520),ISNUMBER('자료_한국심리'!$B520)),'자료_한국심리'!$A520,"")</f>
        <v/>
      </c>
      <c r="V536">
        <f>IF(AND(ISNUMBER('자료_한국심리'!$D520),ISNUMBER('자료_한국심리'!$E520)),'자료_한국심리'!$D520,"")</f>
        <v/>
      </c>
      <c r="W536">
        <f>IF(AND(ISNUMBER('자료_한국심리'!$G520),ISNUMBER('자료_한국심리'!$H520)),'자료_한국심리'!$G520,"")</f>
        <v/>
      </c>
      <c r="X536">
        <f>IF(AND(ISNUMBER('자료_한국심리'!$J520),ISNUMBER('자료_한국심리'!$K520)),'자료_한국심리'!$J520,"")</f>
        <v/>
      </c>
      <c r="Y536">
        <f>IF(AND(ISNUMBER('자료_한국심리'!$M520),ISNUMBER('자료_한국심리'!$N520)),'자료_한국심리'!$M520,"")</f>
        <v/>
      </c>
    </row>
    <row r="537">
      <c r="A537" s="10">
        <f>IF(519&gt;$E$5,"",SMALL($U$19:$U$4018,$E$6+519))</f>
        <v/>
      </c>
      <c r="B537" s="29">
        <f>IF(A537="","",INDEX('자료_한국심리'!$B$3:$B$4002,MATCH(A537,$U$19:$U$4018,0)))</f>
        <v/>
      </c>
      <c r="C537" s="22">
        <f>IF(A537="","",B537/AVERAGE(B413:B537)-1)</f>
        <v/>
      </c>
      <c r="D537" s="29">
        <f>IF(A537="","",IFERROR(INDEX('자료_한국심리'!$E$3:$E$4002,MATCH(A537,$V$19:$V$4018,0)),D536))</f>
        <v/>
      </c>
      <c r="E537" s="30">
        <f>IF(A537="","",IFERROR(INDEX('자료_한국심리'!$H$3:$H$4002,MATCH(A537,$W$19:$W$4018,0)),E536))</f>
        <v/>
      </c>
      <c r="F537" s="30">
        <f>IF(A537="","",IFERROR(INDEX('자료_한국심리'!$K$3:$K$4002,MATCH(A537,$X$19:$X$4018,0)),F536))</f>
        <v/>
      </c>
      <c r="G537" s="30">
        <f>IF(AND(ISNUMBER(E537),ISNUMBER(F537)),ROUND(E537-F537,6),"")</f>
        <v/>
      </c>
      <c r="H537" s="25">
        <f>IF(A537="","",IFERROR(INDEX('자료_한국심리'!$N$3:$N$4002,MATCH(A537,$Y$19:$Y$4018,0)),H536))</f>
        <v/>
      </c>
      <c r="I537" s="31">
        <f>IF(AND(ISNUMBER(H537),ISNUMBER(H517)),IF(H517&gt;0,H537/H517-1,""),"")</f>
        <v/>
      </c>
      <c r="J537">
        <f>IF(A537="",0,IF(A537&gt;$B$5,1,0))</f>
        <v/>
      </c>
      <c r="K537" s="29">
        <f>IF(AND(J537=1,ISNUMBER(D537)),D537,"")</f>
        <v/>
      </c>
      <c r="L537" s="30">
        <f>IF(AND(J537=1,ISNUMBER(G537)),G537,"")</f>
        <v/>
      </c>
      <c r="M537" s="22">
        <f>IF(AND(J537=1,ISNUMBER(C537)),C537,"")</f>
        <v/>
      </c>
      <c r="N537" s="31">
        <f>IF(AND(J537=1,ISNUMBER(I537)),I537,"")</f>
        <v/>
      </c>
      <c r="O537" s="11">
        <f>IF(K537="","",100-IF($G$13=1,50,(_xlfn.RANK.AVG(K537,$K$19:$K$1518,1)-1)/($G$13-1)*100))</f>
        <v/>
      </c>
      <c r="P537" s="11">
        <f>IF(L537="","",100-IF($G$14=1,50,(_xlfn.RANK.AVG(L537,$L$19:$L$1518,1)-1)/($G$14-1)*100))</f>
        <v/>
      </c>
      <c r="Q537" s="11">
        <f>IF(M537="","",IF($G$15=1,50,(_xlfn.RANK.AVG(M537,$M$19:$M$1518,1)-1)/($G$15-1)*100))</f>
        <v/>
      </c>
      <c r="R537" s="11">
        <f>IF(N537="","",IF($G$16=1,50,(_xlfn.RANK.AVG(N537,$N$19:$N$1518,1)-1)/($G$16-1)*100))</f>
        <v/>
      </c>
      <c r="S537" s="11">
        <f>IF(COUNT(O537:R537)=4,ROUND(AVERAGE(O537:R537),6),"")</f>
        <v/>
      </c>
      <c r="U537">
        <f>IF(AND(ISNUMBER('자료_한국심리'!$A521),ISNUMBER('자료_한국심리'!$B521)),'자료_한국심리'!$A521,"")</f>
        <v/>
      </c>
      <c r="V537">
        <f>IF(AND(ISNUMBER('자료_한국심리'!$D521),ISNUMBER('자료_한국심리'!$E521)),'자료_한국심리'!$D521,"")</f>
        <v/>
      </c>
      <c r="W537">
        <f>IF(AND(ISNUMBER('자료_한국심리'!$G521),ISNUMBER('자료_한국심리'!$H521)),'자료_한국심리'!$G521,"")</f>
        <v/>
      </c>
      <c r="X537">
        <f>IF(AND(ISNUMBER('자료_한국심리'!$J521),ISNUMBER('자료_한국심리'!$K521)),'자료_한국심리'!$J521,"")</f>
        <v/>
      </c>
      <c r="Y537">
        <f>IF(AND(ISNUMBER('자료_한국심리'!$M521),ISNUMBER('자료_한국심리'!$N521)),'자료_한국심리'!$M521,"")</f>
        <v/>
      </c>
    </row>
    <row r="538">
      <c r="A538" s="10">
        <f>IF(520&gt;$E$5,"",SMALL($U$19:$U$4018,$E$6+520))</f>
        <v/>
      </c>
      <c r="B538" s="29">
        <f>IF(A538="","",INDEX('자료_한국심리'!$B$3:$B$4002,MATCH(A538,$U$19:$U$4018,0)))</f>
        <v/>
      </c>
      <c r="C538" s="22">
        <f>IF(A538="","",B538/AVERAGE(B414:B538)-1)</f>
        <v/>
      </c>
      <c r="D538" s="29">
        <f>IF(A538="","",IFERROR(INDEX('자료_한국심리'!$E$3:$E$4002,MATCH(A538,$V$19:$V$4018,0)),D537))</f>
        <v/>
      </c>
      <c r="E538" s="30">
        <f>IF(A538="","",IFERROR(INDEX('자료_한국심리'!$H$3:$H$4002,MATCH(A538,$W$19:$W$4018,0)),E537))</f>
        <v/>
      </c>
      <c r="F538" s="30">
        <f>IF(A538="","",IFERROR(INDEX('자료_한국심리'!$K$3:$K$4002,MATCH(A538,$X$19:$X$4018,0)),F537))</f>
        <v/>
      </c>
      <c r="G538" s="30">
        <f>IF(AND(ISNUMBER(E538),ISNUMBER(F538)),ROUND(E538-F538,6),"")</f>
        <v/>
      </c>
      <c r="H538" s="25">
        <f>IF(A538="","",IFERROR(INDEX('자료_한국심리'!$N$3:$N$4002,MATCH(A538,$Y$19:$Y$4018,0)),H537))</f>
        <v/>
      </c>
      <c r="I538" s="31">
        <f>IF(AND(ISNUMBER(H538),ISNUMBER(H518)),IF(H518&gt;0,H538/H518-1,""),"")</f>
        <v/>
      </c>
      <c r="J538">
        <f>IF(A538="",0,IF(A538&gt;$B$5,1,0))</f>
        <v/>
      </c>
      <c r="K538" s="29">
        <f>IF(AND(J538=1,ISNUMBER(D538)),D538,"")</f>
        <v/>
      </c>
      <c r="L538" s="30">
        <f>IF(AND(J538=1,ISNUMBER(G538)),G538,"")</f>
        <v/>
      </c>
      <c r="M538" s="22">
        <f>IF(AND(J538=1,ISNUMBER(C538)),C538,"")</f>
        <v/>
      </c>
      <c r="N538" s="31">
        <f>IF(AND(J538=1,ISNUMBER(I538)),I538,"")</f>
        <v/>
      </c>
      <c r="O538" s="11">
        <f>IF(K538="","",100-IF($G$13=1,50,(_xlfn.RANK.AVG(K538,$K$19:$K$1518,1)-1)/($G$13-1)*100))</f>
        <v/>
      </c>
      <c r="P538" s="11">
        <f>IF(L538="","",100-IF($G$14=1,50,(_xlfn.RANK.AVG(L538,$L$19:$L$1518,1)-1)/($G$14-1)*100))</f>
        <v/>
      </c>
      <c r="Q538" s="11">
        <f>IF(M538="","",IF($G$15=1,50,(_xlfn.RANK.AVG(M538,$M$19:$M$1518,1)-1)/($G$15-1)*100))</f>
        <v/>
      </c>
      <c r="R538" s="11">
        <f>IF(N538="","",IF($G$16=1,50,(_xlfn.RANK.AVG(N538,$N$19:$N$1518,1)-1)/($G$16-1)*100))</f>
        <v/>
      </c>
      <c r="S538" s="11">
        <f>IF(COUNT(O538:R538)=4,ROUND(AVERAGE(O538:R538),6),"")</f>
        <v/>
      </c>
      <c r="U538">
        <f>IF(AND(ISNUMBER('자료_한국심리'!$A522),ISNUMBER('자료_한국심리'!$B522)),'자료_한국심리'!$A522,"")</f>
        <v/>
      </c>
      <c r="V538">
        <f>IF(AND(ISNUMBER('자료_한국심리'!$D522),ISNUMBER('자료_한국심리'!$E522)),'자료_한국심리'!$D522,"")</f>
        <v/>
      </c>
      <c r="W538">
        <f>IF(AND(ISNUMBER('자료_한국심리'!$G522),ISNUMBER('자료_한국심리'!$H522)),'자료_한국심리'!$G522,"")</f>
        <v/>
      </c>
      <c r="X538">
        <f>IF(AND(ISNUMBER('자료_한국심리'!$J522),ISNUMBER('자료_한국심리'!$K522)),'자료_한국심리'!$J522,"")</f>
        <v/>
      </c>
      <c r="Y538">
        <f>IF(AND(ISNUMBER('자료_한국심리'!$M522),ISNUMBER('자료_한국심리'!$N522)),'자료_한국심리'!$M522,"")</f>
        <v/>
      </c>
    </row>
    <row r="539">
      <c r="A539" s="10">
        <f>IF(521&gt;$E$5,"",SMALL($U$19:$U$4018,$E$6+521))</f>
        <v/>
      </c>
      <c r="B539" s="29">
        <f>IF(A539="","",INDEX('자료_한국심리'!$B$3:$B$4002,MATCH(A539,$U$19:$U$4018,0)))</f>
        <v/>
      </c>
      <c r="C539" s="22">
        <f>IF(A539="","",B539/AVERAGE(B415:B539)-1)</f>
        <v/>
      </c>
      <c r="D539" s="29">
        <f>IF(A539="","",IFERROR(INDEX('자료_한국심리'!$E$3:$E$4002,MATCH(A539,$V$19:$V$4018,0)),D538))</f>
        <v/>
      </c>
      <c r="E539" s="30">
        <f>IF(A539="","",IFERROR(INDEX('자료_한국심리'!$H$3:$H$4002,MATCH(A539,$W$19:$W$4018,0)),E538))</f>
        <v/>
      </c>
      <c r="F539" s="30">
        <f>IF(A539="","",IFERROR(INDEX('자료_한국심리'!$K$3:$K$4002,MATCH(A539,$X$19:$X$4018,0)),F538))</f>
        <v/>
      </c>
      <c r="G539" s="30">
        <f>IF(AND(ISNUMBER(E539),ISNUMBER(F539)),ROUND(E539-F539,6),"")</f>
        <v/>
      </c>
      <c r="H539" s="25">
        <f>IF(A539="","",IFERROR(INDEX('자료_한국심리'!$N$3:$N$4002,MATCH(A539,$Y$19:$Y$4018,0)),H538))</f>
        <v/>
      </c>
      <c r="I539" s="31">
        <f>IF(AND(ISNUMBER(H539),ISNUMBER(H519)),IF(H519&gt;0,H539/H519-1,""),"")</f>
        <v/>
      </c>
      <c r="J539">
        <f>IF(A539="",0,IF(A539&gt;$B$5,1,0))</f>
        <v/>
      </c>
      <c r="K539" s="29">
        <f>IF(AND(J539=1,ISNUMBER(D539)),D539,"")</f>
        <v/>
      </c>
      <c r="L539" s="30">
        <f>IF(AND(J539=1,ISNUMBER(G539)),G539,"")</f>
        <v/>
      </c>
      <c r="M539" s="22">
        <f>IF(AND(J539=1,ISNUMBER(C539)),C539,"")</f>
        <v/>
      </c>
      <c r="N539" s="31">
        <f>IF(AND(J539=1,ISNUMBER(I539)),I539,"")</f>
        <v/>
      </c>
      <c r="O539" s="11">
        <f>IF(K539="","",100-IF($G$13=1,50,(_xlfn.RANK.AVG(K539,$K$19:$K$1518,1)-1)/($G$13-1)*100))</f>
        <v/>
      </c>
      <c r="P539" s="11">
        <f>IF(L539="","",100-IF($G$14=1,50,(_xlfn.RANK.AVG(L539,$L$19:$L$1518,1)-1)/($G$14-1)*100))</f>
        <v/>
      </c>
      <c r="Q539" s="11">
        <f>IF(M539="","",IF($G$15=1,50,(_xlfn.RANK.AVG(M539,$M$19:$M$1518,1)-1)/($G$15-1)*100))</f>
        <v/>
      </c>
      <c r="R539" s="11">
        <f>IF(N539="","",IF($G$16=1,50,(_xlfn.RANK.AVG(N539,$N$19:$N$1518,1)-1)/($G$16-1)*100))</f>
        <v/>
      </c>
      <c r="S539" s="11">
        <f>IF(COUNT(O539:R539)=4,ROUND(AVERAGE(O539:R539),6),"")</f>
        <v/>
      </c>
      <c r="U539">
        <f>IF(AND(ISNUMBER('자료_한국심리'!$A523),ISNUMBER('자료_한국심리'!$B523)),'자료_한국심리'!$A523,"")</f>
        <v/>
      </c>
      <c r="V539">
        <f>IF(AND(ISNUMBER('자료_한국심리'!$D523),ISNUMBER('자료_한국심리'!$E523)),'자료_한국심리'!$D523,"")</f>
        <v/>
      </c>
      <c r="W539">
        <f>IF(AND(ISNUMBER('자료_한국심리'!$G523),ISNUMBER('자료_한국심리'!$H523)),'자료_한국심리'!$G523,"")</f>
        <v/>
      </c>
      <c r="X539">
        <f>IF(AND(ISNUMBER('자료_한국심리'!$J523),ISNUMBER('자료_한국심리'!$K523)),'자료_한국심리'!$J523,"")</f>
        <v/>
      </c>
      <c r="Y539">
        <f>IF(AND(ISNUMBER('자료_한국심리'!$M523),ISNUMBER('자료_한국심리'!$N523)),'자료_한국심리'!$M523,"")</f>
        <v/>
      </c>
    </row>
    <row r="540">
      <c r="A540" s="10">
        <f>IF(522&gt;$E$5,"",SMALL($U$19:$U$4018,$E$6+522))</f>
        <v/>
      </c>
      <c r="B540" s="29">
        <f>IF(A540="","",INDEX('자료_한국심리'!$B$3:$B$4002,MATCH(A540,$U$19:$U$4018,0)))</f>
        <v/>
      </c>
      <c r="C540" s="22">
        <f>IF(A540="","",B540/AVERAGE(B416:B540)-1)</f>
        <v/>
      </c>
      <c r="D540" s="29">
        <f>IF(A540="","",IFERROR(INDEX('자료_한국심리'!$E$3:$E$4002,MATCH(A540,$V$19:$V$4018,0)),D539))</f>
        <v/>
      </c>
      <c r="E540" s="30">
        <f>IF(A540="","",IFERROR(INDEX('자료_한국심리'!$H$3:$H$4002,MATCH(A540,$W$19:$W$4018,0)),E539))</f>
        <v/>
      </c>
      <c r="F540" s="30">
        <f>IF(A540="","",IFERROR(INDEX('자료_한국심리'!$K$3:$K$4002,MATCH(A540,$X$19:$X$4018,0)),F539))</f>
        <v/>
      </c>
      <c r="G540" s="30">
        <f>IF(AND(ISNUMBER(E540),ISNUMBER(F540)),ROUND(E540-F540,6),"")</f>
        <v/>
      </c>
      <c r="H540" s="25">
        <f>IF(A540="","",IFERROR(INDEX('자료_한국심리'!$N$3:$N$4002,MATCH(A540,$Y$19:$Y$4018,0)),H539))</f>
        <v/>
      </c>
      <c r="I540" s="31">
        <f>IF(AND(ISNUMBER(H540),ISNUMBER(H520)),IF(H520&gt;0,H540/H520-1,""),"")</f>
        <v/>
      </c>
      <c r="J540">
        <f>IF(A540="",0,IF(A540&gt;$B$5,1,0))</f>
        <v/>
      </c>
      <c r="K540" s="29">
        <f>IF(AND(J540=1,ISNUMBER(D540)),D540,"")</f>
        <v/>
      </c>
      <c r="L540" s="30">
        <f>IF(AND(J540=1,ISNUMBER(G540)),G540,"")</f>
        <v/>
      </c>
      <c r="M540" s="22">
        <f>IF(AND(J540=1,ISNUMBER(C540)),C540,"")</f>
        <v/>
      </c>
      <c r="N540" s="31">
        <f>IF(AND(J540=1,ISNUMBER(I540)),I540,"")</f>
        <v/>
      </c>
      <c r="O540" s="11">
        <f>IF(K540="","",100-IF($G$13=1,50,(_xlfn.RANK.AVG(K540,$K$19:$K$1518,1)-1)/($G$13-1)*100))</f>
        <v/>
      </c>
      <c r="P540" s="11">
        <f>IF(L540="","",100-IF($G$14=1,50,(_xlfn.RANK.AVG(L540,$L$19:$L$1518,1)-1)/($G$14-1)*100))</f>
        <v/>
      </c>
      <c r="Q540" s="11">
        <f>IF(M540="","",IF($G$15=1,50,(_xlfn.RANK.AVG(M540,$M$19:$M$1518,1)-1)/($G$15-1)*100))</f>
        <v/>
      </c>
      <c r="R540" s="11">
        <f>IF(N540="","",IF($G$16=1,50,(_xlfn.RANK.AVG(N540,$N$19:$N$1518,1)-1)/($G$16-1)*100))</f>
        <v/>
      </c>
      <c r="S540" s="11">
        <f>IF(COUNT(O540:R540)=4,ROUND(AVERAGE(O540:R540),6),"")</f>
        <v/>
      </c>
      <c r="U540">
        <f>IF(AND(ISNUMBER('자료_한국심리'!$A524),ISNUMBER('자료_한국심리'!$B524)),'자료_한국심리'!$A524,"")</f>
        <v/>
      </c>
      <c r="V540">
        <f>IF(AND(ISNUMBER('자료_한국심리'!$D524),ISNUMBER('자료_한국심리'!$E524)),'자료_한국심리'!$D524,"")</f>
        <v/>
      </c>
      <c r="W540">
        <f>IF(AND(ISNUMBER('자료_한국심리'!$G524),ISNUMBER('자료_한국심리'!$H524)),'자료_한국심리'!$G524,"")</f>
        <v/>
      </c>
      <c r="X540">
        <f>IF(AND(ISNUMBER('자료_한국심리'!$J524),ISNUMBER('자료_한국심리'!$K524)),'자료_한국심리'!$J524,"")</f>
        <v/>
      </c>
      <c r="Y540">
        <f>IF(AND(ISNUMBER('자료_한국심리'!$M524),ISNUMBER('자료_한국심리'!$N524)),'자료_한국심리'!$M524,"")</f>
        <v/>
      </c>
    </row>
    <row r="541">
      <c r="A541" s="10">
        <f>IF(523&gt;$E$5,"",SMALL($U$19:$U$4018,$E$6+523))</f>
        <v/>
      </c>
      <c r="B541" s="29">
        <f>IF(A541="","",INDEX('자료_한국심리'!$B$3:$B$4002,MATCH(A541,$U$19:$U$4018,0)))</f>
        <v/>
      </c>
      <c r="C541" s="22">
        <f>IF(A541="","",B541/AVERAGE(B417:B541)-1)</f>
        <v/>
      </c>
      <c r="D541" s="29">
        <f>IF(A541="","",IFERROR(INDEX('자료_한국심리'!$E$3:$E$4002,MATCH(A541,$V$19:$V$4018,0)),D540))</f>
        <v/>
      </c>
      <c r="E541" s="30">
        <f>IF(A541="","",IFERROR(INDEX('자료_한국심리'!$H$3:$H$4002,MATCH(A541,$W$19:$W$4018,0)),E540))</f>
        <v/>
      </c>
      <c r="F541" s="30">
        <f>IF(A541="","",IFERROR(INDEX('자료_한국심리'!$K$3:$K$4002,MATCH(A541,$X$19:$X$4018,0)),F540))</f>
        <v/>
      </c>
      <c r="G541" s="30">
        <f>IF(AND(ISNUMBER(E541),ISNUMBER(F541)),ROUND(E541-F541,6),"")</f>
        <v/>
      </c>
      <c r="H541" s="25">
        <f>IF(A541="","",IFERROR(INDEX('자료_한국심리'!$N$3:$N$4002,MATCH(A541,$Y$19:$Y$4018,0)),H540))</f>
        <v/>
      </c>
      <c r="I541" s="31">
        <f>IF(AND(ISNUMBER(H541),ISNUMBER(H521)),IF(H521&gt;0,H541/H521-1,""),"")</f>
        <v/>
      </c>
      <c r="J541">
        <f>IF(A541="",0,IF(A541&gt;$B$5,1,0))</f>
        <v/>
      </c>
      <c r="K541" s="29">
        <f>IF(AND(J541=1,ISNUMBER(D541)),D541,"")</f>
        <v/>
      </c>
      <c r="L541" s="30">
        <f>IF(AND(J541=1,ISNUMBER(G541)),G541,"")</f>
        <v/>
      </c>
      <c r="M541" s="22">
        <f>IF(AND(J541=1,ISNUMBER(C541)),C541,"")</f>
        <v/>
      </c>
      <c r="N541" s="31">
        <f>IF(AND(J541=1,ISNUMBER(I541)),I541,"")</f>
        <v/>
      </c>
      <c r="O541" s="11">
        <f>IF(K541="","",100-IF($G$13=1,50,(_xlfn.RANK.AVG(K541,$K$19:$K$1518,1)-1)/($G$13-1)*100))</f>
        <v/>
      </c>
      <c r="P541" s="11">
        <f>IF(L541="","",100-IF($G$14=1,50,(_xlfn.RANK.AVG(L541,$L$19:$L$1518,1)-1)/($G$14-1)*100))</f>
        <v/>
      </c>
      <c r="Q541" s="11">
        <f>IF(M541="","",IF($G$15=1,50,(_xlfn.RANK.AVG(M541,$M$19:$M$1518,1)-1)/($G$15-1)*100))</f>
        <v/>
      </c>
      <c r="R541" s="11">
        <f>IF(N541="","",IF($G$16=1,50,(_xlfn.RANK.AVG(N541,$N$19:$N$1518,1)-1)/($G$16-1)*100))</f>
        <v/>
      </c>
      <c r="S541" s="11">
        <f>IF(COUNT(O541:R541)=4,ROUND(AVERAGE(O541:R541),6),"")</f>
        <v/>
      </c>
      <c r="U541">
        <f>IF(AND(ISNUMBER('자료_한국심리'!$A525),ISNUMBER('자료_한국심리'!$B525)),'자료_한국심리'!$A525,"")</f>
        <v/>
      </c>
      <c r="V541">
        <f>IF(AND(ISNUMBER('자료_한국심리'!$D525),ISNUMBER('자료_한국심리'!$E525)),'자료_한국심리'!$D525,"")</f>
        <v/>
      </c>
      <c r="W541">
        <f>IF(AND(ISNUMBER('자료_한국심리'!$G525),ISNUMBER('자료_한국심리'!$H525)),'자료_한국심리'!$G525,"")</f>
        <v/>
      </c>
      <c r="X541">
        <f>IF(AND(ISNUMBER('자료_한국심리'!$J525),ISNUMBER('자료_한국심리'!$K525)),'자료_한국심리'!$J525,"")</f>
        <v/>
      </c>
      <c r="Y541">
        <f>IF(AND(ISNUMBER('자료_한국심리'!$M525),ISNUMBER('자료_한국심리'!$N525)),'자료_한국심리'!$M525,"")</f>
        <v/>
      </c>
    </row>
    <row r="542">
      <c r="A542" s="10">
        <f>IF(524&gt;$E$5,"",SMALL($U$19:$U$4018,$E$6+524))</f>
        <v/>
      </c>
      <c r="B542" s="29">
        <f>IF(A542="","",INDEX('자료_한국심리'!$B$3:$B$4002,MATCH(A542,$U$19:$U$4018,0)))</f>
        <v/>
      </c>
      <c r="C542" s="22">
        <f>IF(A542="","",B542/AVERAGE(B418:B542)-1)</f>
        <v/>
      </c>
      <c r="D542" s="29">
        <f>IF(A542="","",IFERROR(INDEX('자료_한국심리'!$E$3:$E$4002,MATCH(A542,$V$19:$V$4018,0)),D541))</f>
        <v/>
      </c>
      <c r="E542" s="30">
        <f>IF(A542="","",IFERROR(INDEX('자료_한국심리'!$H$3:$H$4002,MATCH(A542,$W$19:$W$4018,0)),E541))</f>
        <v/>
      </c>
      <c r="F542" s="30">
        <f>IF(A542="","",IFERROR(INDEX('자료_한국심리'!$K$3:$K$4002,MATCH(A542,$X$19:$X$4018,0)),F541))</f>
        <v/>
      </c>
      <c r="G542" s="30">
        <f>IF(AND(ISNUMBER(E542),ISNUMBER(F542)),ROUND(E542-F542,6),"")</f>
        <v/>
      </c>
      <c r="H542" s="25">
        <f>IF(A542="","",IFERROR(INDEX('자료_한국심리'!$N$3:$N$4002,MATCH(A542,$Y$19:$Y$4018,0)),H541))</f>
        <v/>
      </c>
      <c r="I542" s="31">
        <f>IF(AND(ISNUMBER(H542),ISNUMBER(H522)),IF(H522&gt;0,H542/H522-1,""),"")</f>
        <v/>
      </c>
      <c r="J542">
        <f>IF(A542="",0,IF(A542&gt;$B$5,1,0))</f>
        <v/>
      </c>
      <c r="K542" s="29">
        <f>IF(AND(J542=1,ISNUMBER(D542)),D542,"")</f>
        <v/>
      </c>
      <c r="L542" s="30">
        <f>IF(AND(J542=1,ISNUMBER(G542)),G542,"")</f>
        <v/>
      </c>
      <c r="M542" s="22">
        <f>IF(AND(J542=1,ISNUMBER(C542)),C542,"")</f>
        <v/>
      </c>
      <c r="N542" s="31">
        <f>IF(AND(J542=1,ISNUMBER(I542)),I542,"")</f>
        <v/>
      </c>
      <c r="O542" s="11">
        <f>IF(K542="","",100-IF($G$13=1,50,(_xlfn.RANK.AVG(K542,$K$19:$K$1518,1)-1)/($G$13-1)*100))</f>
        <v/>
      </c>
      <c r="P542" s="11">
        <f>IF(L542="","",100-IF($G$14=1,50,(_xlfn.RANK.AVG(L542,$L$19:$L$1518,1)-1)/($G$14-1)*100))</f>
        <v/>
      </c>
      <c r="Q542" s="11">
        <f>IF(M542="","",IF($G$15=1,50,(_xlfn.RANK.AVG(M542,$M$19:$M$1518,1)-1)/($G$15-1)*100))</f>
        <v/>
      </c>
      <c r="R542" s="11">
        <f>IF(N542="","",IF($G$16=1,50,(_xlfn.RANK.AVG(N542,$N$19:$N$1518,1)-1)/($G$16-1)*100))</f>
        <v/>
      </c>
      <c r="S542" s="11">
        <f>IF(COUNT(O542:R542)=4,ROUND(AVERAGE(O542:R542),6),"")</f>
        <v/>
      </c>
      <c r="U542">
        <f>IF(AND(ISNUMBER('자료_한국심리'!$A526),ISNUMBER('자료_한국심리'!$B526)),'자료_한국심리'!$A526,"")</f>
        <v/>
      </c>
      <c r="V542">
        <f>IF(AND(ISNUMBER('자료_한국심리'!$D526),ISNUMBER('자료_한국심리'!$E526)),'자료_한국심리'!$D526,"")</f>
        <v/>
      </c>
      <c r="W542">
        <f>IF(AND(ISNUMBER('자료_한국심리'!$G526),ISNUMBER('자료_한국심리'!$H526)),'자료_한국심리'!$G526,"")</f>
        <v/>
      </c>
      <c r="X542">
        <f>IF(AND(ISNUMBER('자료_한국심리'!$J526),ISNUMBER('자료_한국심리'!$K526)),'자료_한국심리'!$J526,"")</f>
        <v/>
      </c>
      <c r="Y542">
        <f>IF(AND(ISNUMBER('자료_한국심리'!$M526),ISNUMBER('자료_한국심리'!$N526)),'자료_한국심리'!$M526,"")</f>
        <v/>
      </c>
    </row>
    <row r="543">
      <c r="A543" s="10">
        <f>IF(525&gt;$E$5,"",SMALL($U$19:$U$4018,$E$6+525))</f>
        <v/>
      </c>
      <c r="B543" s="29">
        <f>IF(A543="","",INDEX('자료_한국심리'!$B$3:$B$4002,MATCH(A543,$U$19:$U$4018,0)))</f>
        <v/>
      </c>
      <c r="C543" s="22">
        <f>IF(A543="","",B543/AVERAGE(B419:B543)-1)</f>
        <v/>
      </c>
      <c r="D543" s="29">
        <f>IF(A543="","",IFERROR(INDEX('자료_한국심리'!$E$3:$E$4002,MATCH(A543,$V$19:$V$4018,0)),D542))</f>
        <v/>
      </c>
      <c r="E543" s="30">
        <f>IF(A543="","",IFERROR(INDEX('자료_한국심리'!$H$3:$H$4002,MATCH(A543,$W$19:$W$4018,0)),E542))</f>
        <v/>
      </c>
      <c r="F543" s="30">
        <f>IF(A543="","",IFERROR(INDEX('자료_한국심리'!$K$3:$K$4002,MATCH(A543,$X$19:$X$4018,0)),F542))</f>
        <v/>
      </c>
      <c r="G543" s="30">
        <f>IF(AND(ISNUMBER(E543),ISNUMBER(F543)),ROUND(E543-F543,6),"")</f>
        <v/>
      </c>
      <c r="H543" s="25">
        <f>IF(A543="","",IFERROR(INDEX('자료_한국심리'!$N$3:$N$4002,MATCH(A543,$Y$19:$Y$4018,0)),H542))</f>
        <v/>
      </c>
      <c r="I543" s="31">
        <f>IF(AND(ISNUMBER(H543),ISNUMBER(H523)),IF(H523&gt;0,H543/H523-1,""),"")</f>
        <v/>
      </c>
      <c r="J543">
        <f>IF(A543="",0,IF(A543&gt;$B$5,1,0))</f>
        <v/>
      </c>
      <c r="K543" s="29">
        <f>IF(AND(J543=1,ISNUMBER(D543)),D543,"")</f>
        <v/>
      </c>
      <c r="L543" s="30">
        <f>IF(AND(J543=1,ISNUMBER(G543)),G543,"")</f>
        <v/>
      </c>
      <c r="M543" s="22">
        <f>IF(AND(J543=1,ISNUMBER(C543)),C543,"")</f>
        <v/>
      </c>
      <c r="N543" s="31">
        <f>IF(AND(J543=1,ISNUMBER(I543)),I543,"")</f>
        <v/>
      </c>
      <c r="O543" s="11">
        <f>IF(K543="","",100-IF($G$13=1,50,(_xlfn.RANK.AVG(K543,$K$19:$K$1518,1)-1)/($G$13-1)*100))</f>
        <v/>
      </c>
      <c r="P543" s="11">
        <f>IF(L543="","",100-IF($G$14=1,50,(_xlfn.RANK.AVG(L543,$L$19:$L$1518,1)-1)/($G$14-1)*100))</f>
        <v/>
      </c>
      <c r="Q543" s="11">
        <f>IF(M543="","",IF($G$15=1,50,(_xlfn.RANK.AVG(M543,$M$19:$M$1518,1)-1)/($G$15-1)*100))</f>
        <v/>
      </c>
      <c r="R543" s="11">
        <f>IF(N543="","",IF($G$16=1,50,(_xlfn.RANK.AVG(N543,$N$19:$N$1518,1)-1)/($G$16-1)*100))</f>
        <v/>
      </c>
      <c r="S543" s="11">
        <f>IF(COUNT(O543:R543)=4,ROUND(AVERAGE(O543:R543),6),"")</f>
        <v/>
      </c>
      <c r="U543">
        <f>IF(AND(ISNUMBER('자료_한국심리'!$A527),ISNUMBER('자료_한국심리'!$B527)),'자료_한국심리'!$A527,"")</f>
        <v/>
      </c>
      <c r="V543">
        <f>IF(AND(ISNUMBER('자료_한국심리'!$D527),ISNUMBER('자료_한국심리'!$E527)),'자료_한국심리'!$D527,"")</f>
        <v/>
      </c>
      <c r="W543">
        <f>IF(AND(ISNUMBER('자료_한국심리'!$G527),ISNUMBER('자료_한국심리'!$H527)),'자료_한국심리'!$G527,"")</f>
        <v/>
      </c>
      <c r="X543">
        <f>IF(AND(ISNUMBER('자료_한국심리'!$J527),ISNUMBER('자료_한국심리'!$K527)),'자료_한국심리'!$J527,"")</f>
        <v/>
      </c>
      <c r="Y543">
        <f>IF(AND(ISNUMBER('자료_한국심리'!$M527),ISNUMBER('자료_한국심리'!$N527)),'자료_한국심리'!$M527,"")</f>
        <v/>
      </c>
    </row>
    <row r="544">
      <c r="A544" s="10">
        <f>IF(526&gt;$E$5,"",SMALL($U$19:$U$4018,$E$6+526))</f>
        <v/>
      </c>
      <c r="B544" s="29">
        <f>IF(A544="","",INDEX('자료_한국심리'!$B$3:$B$4002,MATCH(A544,$U$19:$U$4018,0)))</f>
        <v/>
      </c>
      <c r="C544" s="22">
        <f>IF(A544="","",B544/AVERAGE(B420:B544)-1)</f>
        <v/>
      </c>
      <c r="D544" s="29">
        <f>IF(A544="","",IFERROR(INDEX('자료_한국심리'!$E$3:$E$4002,MATCH(A544,$V$19:$V$4018,0)),D543))</f>
        <v/>
      </c>
      <c r="E544" s="30">
        <f>IF(A544="","",IFERROR(INDEX('자료_한국심리'!$H$3:$H$4002,MATCH(A544,$W$19:$W$4018,0)),E543))</f>
        <v/>
      </c>
      <c r="F544" s="30">
        <f>IF(A544="","",IFERROR(INDEX('자료_한국심리'!$K$3:$K$4002,MATCH(A544,$X$19:$X$4018,0)),F543))</f>
        <v/>
      </c>
      <c r="G544" s="30">
        <f>IF(AND(ISNUMBER(E544),ISNUMBER(F544)),ROUND(E544-F544,6),"")</f>
        <v/>
      </c>
      <c r="H544" s="25">
        <f>IF(A544="","",IFERROR(INDEX('자료_한국심리'!$N$3:$N$4002,MATCH(A544,$Y$19:$Y$4018,0)),H543))</f>
        <v/>
      </c>
      <c r="I544" s="31">
        <f>IF(AND(ISNUMBER(H544),ISNUMBER(H524)),IF(H524&gt;0,H544/H524-1,""),"")</f>
        <v/>
      </c>
      <c r="J544">
        <f>IF(A544="",0,IF(A544&gt;$B$5,1,0))</f>
        <v/>
      </c>
      <c r="K544" s="29">
        <f>IF(AND(J544=1,ISNUMBER(D544)),D544,"")</f>
        <v/>
      </c>
      <c r="L544" s="30">
        <f>IF(AND(J544=1,ISNUMBER(G544)),G544,"")</f>
        <v/>
      </c>
      <c r="M544" s="22">
        <f>IF(AND(J544=1,ISNUMBER(C544)),C544,"")</f>
        <v/>
      </c>
      <c r="N544" s="31">
        <f>IF(AND(J544=1,ISNUMBER(I544)),I544,"")</f>
        <v/>
      </c>
      <c r="O544" s="11">
        <f>IF(K544="","",100-IF($G$13=1,50,(_xlfn.RANK.AVG(K544,$K$19:$K$1518,1)-1)/($G$13-1)*100))</f>
        <v/>
      </c>
      <c r="P544" s="11">
        <f>IF(L544="","",100-IF($G$14=1,50,(_xlfn.RANK.AVG(L544,$L$19:$L$1518,1)-1)/($G$14-1)*100))</f>
        <v/>
      </c>
      <c r="Q544" s="11">
        <f>IF(M544="","",IF($G$15=1,50,(_xlfn.RANK.AVG(M544,$M$19:$M$1518,1)-1)/($G$15-1)*100))</f>
        <v/>
      </c>
      <c r="R544" s="11">
        <f>IF(N544="","",IF($G$16=1,50,(_xlfn.RANK.AVG(N544,$N$19:$N$1518,1)-1)/($G$16-1)*100))</f>
        <v/>
      </c>
      <c r="S544" s="11">
        <f>IF(COUNT(O544:R544)=4,ROUND(AVERAGE(O544:R544),6),"")</f>
        <v/>
      </c>
      <c r="U544">
        <f>IF(AND(ISNUMBER('자료_한국심리'!$A528),ISNUMBER('자료_한국심리'!$B528)),'자료_한국심리'!$A528,"")</f>
        <v/>
      </c>
      <c r="V544">
        <f>IF(AND(ISNUMBER('자료_한국심리'!$D528),ISNUMBER('자료_한국심리'!$E528)),'자료_한국심리'!$D528,"")</f>
        <v/>
      </c>
      <c r="W544">
        <f>IF(AND(ISNUMBER('자료_한국심리'!$G528),ISNUMBER('자료_한국심리'!$H528)),'자료_한국심리'!$G528,"")</f>
        <v/>
      </c>
      <c r="X544">
        <f>IF(AND(ISNUMBER('자료_한국심리'!$J528),ISNUMBER('자료_한국심리'!$K528)),'자료_한국심리'!$J528,"")</f>
        <v/>
      </c>
      <c r="Y544">
        <f>IF(AND(ISNUMBER('자료_한국심리'!$M528),ISNUMBER('자료_한국심리'!$N528)),'자료_한국심리'!$M528,"")</f>
        <v/>
      </c>
    </row>
    <row r="545">
      <c r="A545" s="10">
        <f>IF(527&gt;$E$5,"",SMALL($U$19:$U$4018,$E$6+527))</f>
        <v/>
      </c>
      <c r="B545" s="29">
        <f>IF(A545="","",INDEX('자료_한국심리'!$B$3:$B$4002,MATCH(A545,$U$19:$U$4018,0)))</f>
        <v/>
      </c>
      <c r="C545" s="22">
        <f>IF(A545="","",B545/AVERAGE(B421:B545)-1)</f>
        <v/>
      </c>
      <c r="D545" s="29">
        <f>IF(A545="","",IFERROR(INDEX('자료_한국심리'!$E$3:$E$4002,MATCH(A545,$V$19:$V$4018,0)),D544))</f>
        <v/>
      </c>
      <c r="E545" s="30">
        <f>IF(A545="","",IFERROR(INDEX('자료_한국심리'!$H$3:$H$4002,MATCH(A545,$W$19:$W$4018,0)),E544))</f>
        <v/>
      </c>
      <c r="F545" s="30">
        <f>IF(A545="","",IFERROR(INDEX('자료_한국심리'!$K$3:$K$4002,MATCH(A545,$X$19:$X$4018,0)),F544))</f>
        <v/>
      </c>
      <c r="G545" s="30">
        <f>IF(AND(ISNUMBER(E545),ISNUMBER(F545)),ROUND(E545-F545,6),"")</f>
        <v/>
      </c>
      <c r="H545" s="25">
        <f>IF(A545="","",IFERROR(INDEX('자료_한국심리'!$N$3:$N$4002,MATCH(A545,$Y$19:$Y$4018,0)),H544))</f>
        <v/>
      </c>
      <c r="I545" s="31">
        <f>IF(AND(ISNUMBER(H545),ISNUMBER(H525)),IF(H525&gt;0,H545/H525-1,""),"")</f>
        <v/>
      </c>
      <c r="J545">
        <f>IF(A545="",0,IF(A545&gt;$B$5,1,0))</f>
        <v/>
      </c>
      <c r="K545" s="29">
        <f>IF(AND(J545=1,ISNUMBER(D545)),D545,"")</f>
        <v/>
      </c>
      <c r="L545" s="30">
        <f>IF(AND(J545=1,ISNUMBER(G545)),G545,"")</f>
        <v/>
      </c>
      <c r="M545" s="22">
        <f>IF(AND(J545=1,ISNUMBER(C545)),C545,"")</f>
        <v/>
      </c>
      <c r="N545" s="31">
        <f>IF(AND(J545=1,ISNUMBER(I545)),I545,"")</f>
        <v/>
      </c>
      <c r="O545" s="11">
        <f>IF(K545="","",100-IF($G$13=1,50,(_xlfn.RANK.AVG(K545,$K$19:$K$1518,1)-1)/($G$13-1)*100))</f>
        <v/>
      </c>
      <c r="P545" s="11">
        <f>IF(L545="","",100-IF($G$14=1,50,(_xlfn.RANK.AVG(L545,$L$19:$L$1518,1)-1)/($G$14-1)*100))</f>
        <v/>
      </c>
      <c r="Q545" s="11">
        <f>IF(M545="","",IF($G$15=1,50,(_xlfn.RANK.AVG(M545,$M$19:$M$1518,1)-1)/($G$15-1)*100))</f>
        <v/>
      </c>
      <c r="R545" s="11">
        <f>IF(N545="","",IF($G$16=1,50,(_xlfn.RANK.AVG(N545,$N$19:$N$1518,1)-1)/($G$16-1)*100))</f>
        <v/>
      </c>
      <c r="S545" s="11">
        <f>IF(COUNT(O545:R545)=4,ROUND(AVERAGE(O545:R545),6),"")</f>
        <v/>
      </c>
      <c r="U545">
        <f>IF(AND(ISNUMBER('자료_한국심리'!$A529),ISNUMBER('자료_한국심리'!$B529)),'자료_한국심리'!$A529,"")</f>
        <v/>
      </c>
      <c r="V545">
        <f>IF(AND(ISNUMBER('자료_한국심리'!$D529),ISNUMBER('자료_한국심리'!$E529)),'자료_한국심리'!$D529,"")</f>
        <v/>
      </c>
      <c r="W545">
        <f>IF(AND(ISNUMBER('자료_한국심리'!$G529),ISNUMBER('자료_한국심리'!$H529)),'자료_한국심리'!$G529,"")</f>
        <v/>
      </c>
      <c r="X545">
        <f>IF(AND(ISNUMBER('자료_한국심리'!$J529),ISNUMBER('자료_한국심리'!$K529)),'자료_한국심리'!$J529,"")</f>
        <v/>
      </c>
      <c r="Y545">
        <f>IF(AND(ISNUMBER('자료_한국심리'!$M529),ISNUMBER('자료_한국심리'!$N529)),'자료_한국심리'!$M529,"")</f>
        <v/>
      </c>
    </row>
    <row r="546">
      <c r="A546" s="10">
        <f>IF(528&gt;$E$5,"",SMALL($U$19:$U$4018,$E$6+528))</f>
        <v/>
      </c>
      <c r="B546" s="29">
        <f>IF(A546="","",INDEX('자료_한국심리'!$B$3:$B$4002,MATCH(A546,$U$19:$U$4018,0)))</f>
        <v/>
      </c>
      <c r="C546" s="22">
        <f>IF(A546="","",B546/AVERAGE(B422:B546)-1)</f>
        <v/>
      </c>
      <c r="D546" s="29">
        <f>IF(A546="","",IFERROR(INDEX('자료_한국심리'!$E$3:$E$4002,MATCH(A546,$V$19:$V$4018,0)),D545))</f>
        <v/>
      </c>
      <c r="E546" s="30">
        <f>IF(A546="","",IFERROR(INDEX('자료_한국심리'!$H$3:$H$4002,MATCH(A546,$W$19:$W$4018,0)),E545))</f>
        <v/>
      </c>
      <c r="F546" s="30">
        <f>IF(A546="","",IFERROR(INDEX('자료_한국심리'!$K$3:$K$4002,MATCH(A546,$X$19:$X$4018,0)),F545))</f>
        <v/>
      </c>
      <c r="G546" s="30">
        <f>IF(AND(ISNUMBER(E546),ISNUMBER(F546)),ROUND(E546-F546,6),"")</f>
        <v/>
      </c>
      <c r="H546" s="25">
        <f>IF(A546="","",IFERROR(INDEX('자료_한국심리'!$N$3:$N$4002,MATCH(A546,$Y$19:$Y$4018,0)),H545))</f>
        <v/>
      </c>
      <c r="I546" s="31">
        <f>IF(AND(ISNUMBER(H546),ISNUMBER(H526)),IF(H526&gt;0,H546/H526-1,""),"")</f>
        <v/>
      </c>
      <c r="J546">
        <f>IF(A546="",0,IF(A546&gt;$B$5,1,0))</f>
        <v/>
      </c>
      <c r="K546" s="29">
        <f>IF(AND(J546=1,ISNUMBER(D546)),D546,"")</f>
        <v/>
      </c>
      <c r="L546" s="30">
        <f>IF(AND(J546=1,ISNUMBER(G546)),G546,"")</f>
        <v/>
      </c>
      <c r="M546" s="22">
        <f>IF(AND(J546=1,ISNUMBER(C546)),C546,"")</f>
        <v/>
      </c>
      <c r="N546" s="31">
        <f>IF(AND(J546=1,ISNUMBER(I546)),I546,"")</f>
        <v/>
      </c>
      <c r="O546" s="11">
        <f>IF(K546="","",100-IF($G$13=1,50,(_xlfn.RANK.AVG(K546,$K$19:$K$1518,1)-1)/($G$13-1)*100))</f>
        <v/>
      </c>
      <c r="P546" s="11">
        <f>IF(L546="","",100-IF($G$14=1,50,(_xlfn.RANK.AVG(L546,$L$19:$L$1518,1)-1)/($G$14-1)*100))</f>
        <v/>
      </c>
      <c r="Q546" s="11">
        <f>IF(M546="","",IF($G$15=1,50,(_xlfn.RANK.AVG(M546,$M$19:$M$1518,1)-1)/($G$15-1)*100))</f>
        <v/>
      </c>
      <c r="R546" s="11">
        <f>IF(N546="","",IF($G$16=1,50,(_xlfn.RANK.AVG(N546,$N$19:$N$1518,1)-1)/($G$16-1)*100))</f>
        <v/>
      </c>
      <c r="S546" s="11">
        <f>IF(COUNT(O546:R546)=4,ROUND(AVERAGE(O546:R546),6),"")</f>
        <v/>
      </c>
      <c r="U546">
        <f>IF(AND(ISNUMBER('자료_한국심리'!$A530),ISNUMBER('자료_한국심리'!$B530)),'자료_한국심리'!$A530,"")</f>
        <v/>
      </c>
      <c r="V546">
        <f>IF(AND(ISNUMBER('자료_한국심리'!$D530),ISNUMBER('자료_한국심리'!$E530)),'자료_한국심리'!$D530,"")</f>
        <v/>
      </c>
      <c r="W546">
        <f>IF(AND(ISNUMBER('자료_한국심리'!$G530),ISNUMBER('자료_한국심리'!$H530)),'자료_한국심리'!$G530,"")</f>
        <v/>
      </c>
      <c r="X546">
        <f>IF(AND(ISNUMBER('자료_한국심리'!$J530),ISNUMBER('자료_한국심리'!$K530)),'자료_한국심리'!$J530,"")</f>
        <v/>
      </c>
      <c r="Y546">
        <f>IF(AND(ISNUMBER('자료_한국심리'!$M530),ISNUMBER('자료_한국심리'!$N530)),'자료_한국심리'!$M530,"")</f>
        <v/>
      </c>
    </row>
    <row r="547">
      <c r="A547" s="10">
        <f>IF(529&gt;$E$5,"",SMALL($U$19:$U$4018,$E$6+529))</f>
        <v/>
      </c>
      <c r="B547" s="29">
        <f>IF(A547="","",INDEX('자료_한국심리'!$B$3:$B$4002,MATCH(A547,$U$19:$U$4018,0)))</f>
        <v/>
      </c>
      <c r="C547" s="22">
        <f>IF(A547="","",B547/AVERAGE(B423:B547)-1)</f>
        <v/>
      </c>
      <c r="D547" s="29">
        <f>IF(A547="","",IFERROR(INDEX('자료_한국심리'!$E$3:$E$4002,MATCH(A547,$V$19:$V$4018,0)),D546))</f>
        <v/>
      </c>
      <c r="E547" s="30">
        <f>IF(A547="","",IFERROR(INDEX('자료_한국심리'!$H$3:$H$4002,MATCH(A547,$W$19:$W$4018,0)),E546))</f>
        <v/>
      </c>
      <c r="F547" s="30">
        <f>IF(A547="","",IFERROR(INDEX('자료_한국심리'!$K$3:$K$4002,MATCH(A547,$X$19:$X$4018,0)),F546))</f>
        <v/>
      </c>
      <c r="G547" s="30">
        <f>IF(AND(ISNUMBER(E547),ISNUMBER(F547)),ROUND(E547-F547,6),"")</f>
        <v/>
      </c>
      <c r="H547" s="25">
        <f>IF(A547="","",IFERROR(INDEX('자료_한국심리'!$N$3:$N$4002,MATCH(A547,$Y$19:$Y$4018,0)),H546))</f>
        <v/>
      </c>
      <c r="I547" s="31">
        <f>IF(AND(ISNUMBER(H547),ISNUMBER(H527)),IF(H527&gt;0,H547/H527-1,""),"")</f>
        <v/>
      </c>
      <c r="J547">
        <f>IF(A547="",0,IF(A547&gt;$B$5,1,0))</f>
        <v/>
      </c>
      <c r="K547" s="29">
        <f>IF(AND(J547=1,ISNUMBER(D547)),D547,"")</f>
        <v/>
      </c>
      <c r="L547" s="30">
        <f>IF(AND(J547=1,ISNUMBER(G547)),G547,"")</f>
        <v/>
      </c>
      <c r="M547" s="22">
        <f>IF(AND(J547=1,ISNUMBER(C547)),C547,"")</f>
        <v/>
      </c>
      <c r="N547" s="31">
        <f>IF(AND(J547=1,ISNUMBER(I547)),I547,"")</f>
        <v/>
      </c>
      <c r="O547" s="11">
        <f>IF(K547="","",100-IF($G$13=1,50,(_xlfn.RANK.AVG(K547,$K$19:$K$1518,1)-1)/($G$13-1)*100))</f>
        <v/>
      </c>
      <c r="P547" s="11">
        <f>IF(L547="","",100-IF($G$14=1,50,(_xlfn.RANK.AVG(L547,$L$19:$L$1518,1)-1)/($G$14-1)*100))</f>
        <v/>
      </c>
      <c r="Q547" s="11">
        <f>IF(M547="","",IF($G$15=1,50,(_xlfn.RANK.AVG(M547,$M$19:$M$1518,1)-1)/($G$15-1)*100))</f>
        <v/>
      </c>
      <c r="R547" s="11">
        <f>IF(N547="","",IF($G$16=1,50,(_xlfn.RANK.AVG(N547,$N$19:$N$1518,1)-1)/($G$16-1)*100))</f>
        <v/>
      </c>
      <c r="S547" s="11">
        <f>IF(COUNT(O547:R547)=4,ROUND(AVERAGE(O547:R547),6),"")</f>
        <v/>
      </c>
      <c r="U547">
        <f>IF(AND(ISNUMBER('자료_한국심리'!$A531),ISNUMBER('자료_한국심리'!$B531)),'자료_한국심리'!$A531,"")</f>
        <v/>
      </c>
      <c r="V547">
        <f>IF(AND(ISNUMBER('자료_한국심리'!$D531),ISNUMBER('자료_한국심리'!$E531)),'자료_한국심리'!$D531,"")</f>
        <v/>
      </c>
      <c r="W547">
        <f>IF(AND(ISNUMBER('자료_한국심리'!$G531),ISNUMBER('자료_한국심리'!$H531)),'자료_한국심리'!$G531,"")</f>
        <v/>
      </c>
      <c r="X547">
        <f>IF(AND(ISNUMBER('자료_한국심리'!$J531),ISNUMBER('자료_한국심리'!$K531)),'자료_한국심리'!$J531,"")</f>
        <v/>
      </c>
      <c r="Y547">
        <f>IF(AND(ISNUMBER('자료_한국심리'!$M531),ISNUMBER('자료_한국심리'!$N531)),'자료_한국심리'!$M531,"")</f>
        <v/>
      </c>
    </row>
    <row r="548">
      <c r="A548" s="10">
        <f>IF(530&gt;$E$5,"",SMALL($U$19:$U$4018,$E$6+530))</f>
        <v/>
      </c>
      <c r="B548" s="29">
        <f>IF(A548="","",INDEX('자료_한국심리'!$B$3:$B$4002,MATCH(A548,$U$19:$U$4018,0)))</f>
        <v/>
      </c>
      <c r="C548" s="22">
        <f>IF(A548="","",B548/AVERAGE(B424:B548)-1)</f>
        <v/>
      </c>
      <c r="D548" s="29">
        <f>IF(A548="","",IFERROR(INDEX('자료_한국심리'!$E$3:$E$4002,MATCH(A548,$V$19:$V$4018,0)),D547))</f>
        <v/>
      </c>
      <c r="E548" s="30">
        <f>IF(A548="","",IFERROR(INDEX('자료_한국심리'!$H$3:$H$4002,MATCH(A548,$W$19:$W$4018,0)),E547))</f>
        <v/>
      </c>
      <c r="F548" s="30">
        <f>IF(A548="","",IFERROR(INDEX('자료_한국심리'!$K$3:$K$4002,MATCH(A548,$X$19:$X$4018,0)),F547))</f>
        <v/>
      </c>
      <c r="G548" s="30">
        <f>IF(AND(ISNUMBER(E548),ISNUMBER(F548)),ROUND(E548-F548,6),"")</f>
        <v/>
      </c>
      <c r="H548" s="25">
        <f>IF(A548="","",IFERROR(INDEX('자료_한국심리'!$N$3:$N$4002,MATCH(A548,$Y$19:$Y$4018,0)),H547))</f>
        <v/>
      </c>
      <c r="I548" s="31">
        <f>IF(AND(ISNUMBER(H548),ISNUMBER(H528)),IF(H528&gt;0,H548/H528-1,""),"")</f>
        <v/>
      </c>
      <c r="J548">
        <f>IF(A548="",0,IF(A548&gt;$B$5,1,0))</f>
        <v/>
      </c>
      <c r="K548" s="29">
        <f>IF(AND(J548=1,ISNUMBER(D548)),D548,"")</f>
        <v/>
      </c>
      <c r="L548" s="30">
        <f>IF(AND(J548=1,ISNUMBER(G548)),G548,"")</f>
        <v/>
      </c>
      <c r="M548" s="22">
        <f>IF(AND(J548=1,ISNUMBER(C548)),C548,"")</f>
        <v/>
      </c>
      <c r="N548" s="31">
        <f>IF(AND(J548=1,ISNUMBER(I548)),I548,"")</f>
        <v/>
      </c>
      <c r="O548" s="11">
        <f>IF(K548="","",100-IF($G$13=1,50,(_xlfn.RANK.AVG(K548,$K$19:$K$1518,1)-1)/($G$13-1)*100))</f>
        <v/>
      </c>
      <c r="P548" s="11">
        <f>IF(L548="","",100-IF($G$14=1,50,(_xlfn.RANK.AVG(L548,$L$19:$L$1518,1)-1)/($G$14-1)*100))</f>
        <v/>
      </c>
      <c r="Q548" s="11">
        <f>IF(M548="","",IF($G$15=1,50,(_xlfn.RANK.AVG(M548,$M$19:$M$1518,1)-1)/($G$15-1)*100))</f>
        <v/>
      </c>
      <c r="R548" s="11">
        <f>IF(N548="","",IF($G$16=1,50,(_xlfn.RANK.AVG(N548,$N$19:$N$1518,1)-1)/($G$16-1)*100))</f>
        <v/>
      </c>
      <c r="S548" s="11">
        <f>IF(COUNT(O548:R548)=4,ROUND(AVERAGE(O548:R548),6),"")</f>
        <v/>
      </c>
      <c r="U548">
        <f>IF(AND(ISNUMBER('자료_한국심리'!$A532),ISNUMBER('자료_한국심리'!$B532)),'자료_한국심리'!$A532,"")</f>
        <v/>
      </c>
      <c r="V548">
        <f>IF(AND(ISNUMBER('자료_한국심리'!$D532),ISNUMBER('자료_한국심리'!$E532)),'자료_한국심리'!$D532,"")</f>
        <v/>
      </c>
      <c r="W548">
        <f>IF(AND(ISNUMBER('자료_한국심리'!$G532),ISNUMBER('자료_한국심리'!$H532)),'자료_한국심리'!$G532,"")</f>
        <v/>
      </c>
      <c r="X548">
        <f>IF(AND(ISNUMBER('자료_한국심리'!$J532),ISNUMBER('자료_한국심리'!$K532)),'자료_한국심리'!$J532,"")</f>
        <v/>
      </c>
      <c r="Y548">
        <f>IF(AND(ISNUMBER('자료_한국심리'!$M532),ISNUMBER('자료_한국심리'!$N532)),'자료_한국심리'!$M532,"")</f>
        <v/>
      </c>
    </row>
    <row r="549">
      <c r="A549" s="10">
        <f>IF(531&gt;$E$5,"",SMALL($U$19:$U$4018,$E$6+531))</f>
        <v/>
      </c>
      <c r="B549" s="29">
        <f>IF(A549="","",INDEX('자료_한국심리'!$B$3:$B$4002,MATCH(A549,$U$19:$U$4018,0)))</f>
        <v/>
      </c>
      <c r="C549" s="22">
        <f>IF(A549="","",B549/AVERAGE(B425:B549)-1)</f>
        <v/>
      </c>
      <c r="D549" s="29">
        <f>IF(A549="","",IFERROR(INDEX('자료_한국심리'!$E$3:$E$4002,MATCH(A549,$V$19:$V$4018,0)),D548))</f>
        <v/>
      </c>
      <c r="E549" s="30">
        <f>IF(A549="","",IFERROR(INDEX('자료_한국심리'!$H$3:$H$4002,MATCH(A549,$W$19:$W$4018,0)),E548))</f>
        <v/>
      </c>
      <c r="F549" s="30">
        <f>IF(A549="","",IFERROR(INDEX('자료_한국심리'!$K$3:$K$4002,MATCH(A549,$X$19:$X$4018,0)),F548))</f>
        <v/>
      </c>
      <c r="G549" s="30">
        <f>IF(AND(ISNUMBER(E549),ISNUMBER(F549)),ROUND(E549-F549,6),"")</f>
        <v/>
      </c>
      <c r="H549" s="25">
        <f>IF(A549="","",IFERROR(INDEX('자료_한국심리'!$N$3:$N$4002,MATCH(A549,$Y$19:$Y$4018,0)),H548))</f>
        <v/>
      </c>
      <c r="I549" s="31">
        <f>IF(AND(ISNUMBER(H549),ISNUMBER(H529)),IF(H529&gt;0,H549/H529-1,""),"")</f>
        <v/>
      </c>
      <c r="J549">
        <f>IF(A549="",0,IF(A549&gt;$B$5,1,0))</f>
        <v/>
      </c>
      <c r="K549" s="29">
        <f>IF(AND(J549=1,ISNUMBER(D549)),D549,"")</f>
        <v/>
      </c>
      <c r="L549" s="30">
        <f>IF(AND(J549=1,ISNUMBER(G549)),G549,"")</f>
        <v/>
      </c>
      <c r="M549" s="22">
        <f>IF(AND(J549=1,ISNUMBER(C549)),C549,"")</f>
        <v/>
      </c>
      <c r="N549" s="31">
        <f>IF(AND(J549=1,ISNUMBER(I549)),I549,"")</f>
        <v/>
      </c>
      <c r="O549" s="11">
        <f>IF(K549="","",100-IF($G$13=1,50,(_xlfn.RANK.AVG(K549,$K$19:$K$1518,1)-1)/($G$13-1)*100))</f>
        <v/>
      </c>
      <c r="P549" s="11">
        <f>IF(L549="","",100-IF($G$14=1,50,(_xlfn.RANK.AVG(L549,$L$19:$L$1518,1)-1)/($G$14-1)*100))</f>
        <v/>
      </c>
      <c r="Q549" s="11">
        <f>IF(M549="","",IF($G$15=1,50,(_xlfn.RANK.AVG(M549,$M$19:$M$1518,1)-1)/($G$15-1)*100))</f>
        <v/>
      </c>
      <c r="R549" s="11">
        <f>IF(N549="","",IF($G$16=1,50,(_xlfn.RANK.AVG(N549,$N$19:$N$1518,1)-1)/($G$16-1)*100))</f>
        <v/>
      </c>
      <c r="S549" s="11">
        <f>IF(COUNT(O549:R549)=4,ROUND(AVERAGE(O549:R549),6),"")</f>
        <v/>
      </c>
      <c r="U549">
        <f>IF(AND(ISNUMBER('자료_한국심리'!$A533),ISNUMBER('자료_한국심리'!$B533)),'자료_한국심리'!$A533,"")</f>
        <v/>
      </c>
      <c r="V549">
        <f>IF(AND(ISNUMBER('자료_한국심리'!$D533),ISNUMBER('자료_한국심리'!$E533)),'자료_한국심리'!$D533,"")</f>
        <v/>
      </c>
      <c r="W549">
        <f>IF(AND(ISNUMBER('자료_한국심리'!$G533),ISNUMBER('자료_한국심리'!$H533)),'자료_한국심리'!$G533,"")</f>
        <v/>
      </c>
      <c r="X549">
        <f>IF(AND(ISNUMBER('자료_한국심리'!$J533),ISNUMBER('자료_한국심리'!$K533)),'자료_한국심리'!$J533,"")</f>
        <v/>
      </c>
      <c r="Y549">
        <f>IF(AND(ISNUMBER('자료_한국심리'!$M533),ISNUMBER('자료_한국심리'!$N533)),'자료_한국심리'!$M533,"")</f>
        <v/>
      </c>
    </row>
    <row r="550">
      <c r="A550" s="10">
        <f>IF(532&gt;$E$5,"",SMALL($U$19:$U$4018,$E$6+532))</f>
        <v/>
      </c>
      <c r="B550" s="29">
        <f>IF(A550="","",INDEX('자료_한국심리'!$B$3:$B$4002,MATCH(A550,$U$19:$U$4018,0)))</f>
        <v/>
      </c>
      <c r="C550" s="22">
        <f>IF(A550="","",B550/AVERAGE(B426:B550)-1)</f>
        <v/>
      </c>
      <c r="D550" s="29">
        <f>IF(A550="","",IFERROR(INDEX('자료_한국심리'!$E$3:$E$4002,MATCH(A550,$V$19:$V$4018,0)),D549))</f>
        <v/>
      </c>
      <c r="E550" s="30">
        <f>IF(A550="","",IFERROR(INDEX('자료_한국심리'!$H$3:$H$4002,MATCH(A550,$W$19:$W$4018,0)),E549))</f>
        <v/>
      </c>
      <c r="F550" s="30">
        <f>IF(A550="","",IFERROR(INDEX('자료_한국심리'!$K$3:$K$4002,MATCH(A550,$X$19:$X$4018,0)),F549))</f>
        <v/>
      </c>
      <c r="G550" s="30">
        <f>IF(AND(ISNUMBER(E550),ISNUMBER(F550)),ROUND(E550-F550,6),"")</f>
        <v/>
      </c>
      <c r="H550" s="25">
        <f>IF(A550="","",IFERROR(INDEX('자료_한국심리'!$N$3:$N$4002,MATCH(A550,$Y$19:$Y$4018,0)),H549))</f>
        <v/>
      </c>
      <c r="I550" s="31">
        <f>IF(AND(ISNUMBER(H550),ISNUMBER(H530)),IF(H530&gt;0,H550/H530-1,""),"")</f>
        <v/>
      </c>
      <c r="J550">
        <f>IF(A550="",0,IF(A550&gt;$B$5,1,0))</f>
        <v/>
      </c>
      <c r="K550" s="29">
        <f>IF(AND(J550=1,ISNUMBER(D550)),D550,"")</f>
        <v/>
      </c>
      <c r="L550" s="30">
        <f>IF(AND(J550=1,ISNUMBER(G550)),G550,"")</f>
        <v/>
      </c>
      <c r="M550" s="22">
        <f>IF(AND(J550=1,ISNUMBER(C550)),C550,"")</f>
        <v/>
      </c>
      <c r="N550" s="31">
        <f>IF(AND(J550=1,ISNUMBER(I550)),I550,"")</f>
        <v/>
      </c>
      <c r="O550" s="11">
        <f>IF(K550="","",100-IF($G$13=1,50,(_xlfn.RANK.AVG(K550,$K$19:$K$1518,1)-1)/($G$13-1)*100))</f>
        <v/>
      </c>
      <c r="P550" s="11">
        <f>IF(L550="","",100-IF($G$14=1,50,(_xlfn.RANK.AVG(L550,$L$19:$L$1518,1)-1)/($G$14-1)*100))</f>
        <v/>
      </c>
      <c r="Q550" s="11">
        <f>IF(M550="","",IF($G$15=1,50,(_xlfn.RANK.AVG(M550,$M$19:$M$1518,1)-1)/($G$15-1)*100))</f>
        <v/>
      </c>
      <c r="R550" s="11">
        <f>IF(N550="","",IF($G$16=1,50,(_xlfn.RANK.AVG(N550,$N$19:$N$1518,1)-1)/($G$16-1)*100))</f>
        <v/>
      </c>
      <c r="S550" s="11">
        <f>IF(COUNT(O550:R550)=4,ROUND(AVERAGE(O550:R550),6),"")</f>
        <v/>
      </c>
      <c r="U550">
        <f>IF(AND(ISNUMBER('자료_한국심리'!$A534),ISNUMBER('자료_한국심리'!$B534)),'자료_한국심리'!$A534,"")</f>
        <v/>
      </c>
      <c r="V550">
        <f>IF(AND(ISNUMBER('자료_한국심리'!$D534),ISNUMBER('자료_한국심리'!$E534)),'자료_한국심리'!$D534,"")</f>
        <v/>
      </c>
      <c r="W550">
        <f>IF(AND(ISNUMBER('자료_한국심리'!$G534),ISNUMBER('자료_한국심리'!$H534)),'자료_한국심리'!$G534,"")</f>
        <v/>
      </c>
      <c r="X550">
        <f>IF(AND(ISNUMBER('자료_한국심리'!$J534),ISNUMBER('자료_한국심리'!$K534)),'자료_한국심리'!$J534,"")</f>
        <v/>
      </c>
      <c r="Y550">
        <f>IF(AND(ISNUMBER('자료_한국심리'!$M534),ISNUMBER('자료_한국심리'!$N534)),'자료_한국심리'!$M534,"")</f>
        <v/>
      </c>
    </row>
    <row r="551">
      <c r="A551" s="10">
        <f>IF(533&gt;$E$5,"",SMALL($U$19:$U$4018,$E$6+533))</f>
        <v/>
      </c>
      <c r="B551" s="29">
        <f>IF(A551="","",INDEX('자료_한국심리'!$B$3:$B$4002,MATCH(A551,$U$19:$U$4018,0)))</f>
        <v/>
      </c>
      <c r="C551" s="22">
        <f>IF(A551="","",B551/AVERAGE(B427:B551)-1)</f>
        <v/>
      </c>
      <c r="D551" s="29">
        <f>IF(A551="","",IFERROR(INDEX('자료_한국심리'!$E$3:$E$4002,MATCH(A551,$V$19:$V$4018,0)),D550))</f>
        <v/>
      </c>
      <c r="E551" s="30">
        <f>IF(A551="","",IFERROR(INDEX('자료_한국심리'!$H$3:$H$4002,MATCH(A551,$W$19:$W$4018,0)),E550))</f>
        <v/>
      </c>
      <c r="F551" s="30">
        <f>IF(A551="","",IFERROR(INDEX('자료_한국심리'!$K$3:$K$4002,MATCH(A551,$X$19:$X$4018,0)),F550))</f>
        <v/>
      </c>
      <c r="G551" s="30">
        <f>IF(AND(ISNUMBER(E551),ISNUMBER(F551)),ROUND(E551-F551,6),"")</f>
        <v/>
      </c>
      <c r="H551" s="25">
        <f>IF(A551="","",IFERROR(INDEX('자료_한국심리'!$N$3:$N$4002,MATCH(A551,$Y$19:$Y$4018,0)),H550))</f>
        <v/>
      </c>
      <c r="I551" s="31">
        <f>IF(AND(ISNUMBER(H551),ISNUMBER(H531)),IF(H531&gt;0,H551/H531-1,""),"")</f>
        <v/>
      </c>
      <c r="J551">
        <f>IF(A551="",0,IF(A551&gt;$B$5,1,0))</f>
        <v/>
      </c>
      <c r="K551" s="29">
        <f>IF(AND(J551=1,ISNUMBER(D551)),D551,"")</f>
        <v/>
      </c>
      <c r="L551" s="30">
        <f>IF(AND(J551=1,ISNUMBER(G551)),G551,"")</f>
        <v/>
      </c>
      <c r="M551" s="22">
        <f>IF(AND(J551=1,ISNUMBER(C551)),C551,"")</f>
        <v/>
      </c>
      <c r="N551" s="31">
        <f>IF(AND(J551=1,ISNUMBER(I551)),I551,"")</f>
        <v/>
      </c>
      <c r="O551" s="11">
        <f>IF(K551="","",100-IF($G$13=1,50,(_xlfn.RANK.AVG(K551,$K$19:$K$1518,1)-1)/($G$13-1)*100))</f>
        <v/>
      </c>
      <c r="P551" s="11">
        <f>IF(L551="","",100-IF($G$14=1,50,(_xlfn.RANK.AVG(L551,$L$19:$L$1518,1)-1)/($G$14-1)*100))</f>
        <v/>
      </c>
      <c r="Q551" s="11">
        <f>IF(M551="","",IF($G$15=1,50,(_xlfn.RANK.AVG(M551,$M$19:$M$1518,1)-1)/($G$15-1)*100))</f>
        <v/>
      </c>
      <c r="R551" s="11">
        <f>IF(N551="","",IF($G$16=1,50,(_xlfn.RANK.AVG(N551,$N$19:$N$1518,1)-1)/($G$16-1)*100))</f>
        <v/>
      </c>
      <c r="S551" s="11">
        <f>IF(COUNT(O551:R551)=4,ROUND(AVERAGE(O551:R551),6),"")</f>
        <v/>
      </c>
      <c r="U551">
        <f>IF(AND(ISNUMBER('자료_한국심리'!$A535),ISNUMBER('자료_한국심리'!$B535)),'자료_한국심리'!$A535,"")</f>
        <v/>
      </c>
      <c r="V551">
        <f>IF(AND(ISNUMBER('자료_한국심리'!$D535),ISNUMBER('자료_한국심리'!$E535)),'자료_한국심리'!$D535,"")</f>
        <v/>
      </c>
      <c r="W551">
        <f>IF(AND(ISNUMBER('자료_한국심리'!$G535),ISNUMBER('자료_한국심리'!$H535)),'자료_한국심리'!$G535,"")</f>
        <v/>
      </c>
      <c r="X551">
        <f>IF(AND(ISNUMBER('자료_한국심리'!$J535),ISNUMBER('자료_한국심리'!$K535)),'자료_한국심리'!$J535,"")</f>
        <v/>
      </c>
      <c r="Y551">
        <f>IF(AND(ISNUMBER('자료_한국심리'!$M535),ISNUMBER('자료_한국심리'!$N535)),'자료_한국심리'!$M535,"")</f>
        <v/>
      </c>
    </row>
    <row r="552">
      <c r="A552" s="10">
        <f>IF(534&gt;$E$5,"",SMALL($U$19:$U$4018,$E$6+534))</f>
        <v/>
      </c>
      <c r="B552" s="29">
        <f>IF(A552="","",INDEX('자료_한국심리'!$B$3:$B$4002,MATCH(A552,$U$19:$U$4018,0)))</f>
        <v/>
      </c>
      <c r="C552" s="22">
        <f>IF(A552="","",B552/AVERAGE(B428:B552)-1)</f>
        <v/>
      </c>
      <c r="D552" s="29">
        <f>IF(A552="","",IFERROR(INDEX('자료_한국심리'!$E$3:$E$4002,MATCH(A552,$V$19:$V$4018,0)),D551))</f>
        <v/>
      </c>
      <c r="E552" s="30">
        <f>IF(A552="","",IFERROR(INDEX('자료_한국심리'!$H$3:$H$4002,MATCH(A552,$W$19:$W$4018,0)),E551))</f>
        <v/>
      </c>
      <c r="F552" s="30">
        <f>IF(A552="","",IFERROR(INDEX('자료_한국심리'!$K$3:$K$4002,MATCH(A552,$X$19:$X$4018,0)),F551))</f>
        <v/>
      </c>
      <c r="G552" s="30">
        <f>IF(AND(ISNUMBER(E552),ISNUMBER(F552)),ROUND(E552-F552,6),"")</f>
        <v/>
      </c>
      <c r="H552" s="25">
        <f>IF(A552="","",IFERROR(INDEX('자료_한국심리'!$N$3:$N$4002,MATCH(A552,$Y$19:$Y$4018,0)),H551))</f>
        <v/>
      </c>
      <c r="I552" s="31">
        <f>IF(AND(ISNUMBER(H552),ISNUMBER(H532)),IF(H532&gt;0,H552/H532-1,""),"")</f>
        <v/>
      </c>
      <c r="J552">
        <f>IF(A552="",0,IF(A552&gt;$B$5,1,0))</f>
        <v/>
      </c>
      <c r="K552" s="29">
        <f>IF(AND(J552=1,ISNUMBER(D552)),D552,"")</f>
        <v/>
      </c>
      <c r="L552" s="30">
        <f>IF(AND(J552=1,ISNUMBER(G552)),G552,"")</f>
        <v/>
      </c>
      <c r="M552" s="22">
        <f>IF(AND(J552=1,ISNUMBER(C552)),C552,"")</f>
        <v/>
      </c>
      <c r="N552" s="31">
        <f>IF(AND(J552=1,ISNUMBER(I552)),I552,"")</f>
        <v/>
      </c>
      <c r="O552" s="11">
        <f>IF(K552="","",100-IF($G$13=1,50,(_xlfn.RANK.AVG(K552,$K$19:$K$1518,1)-1)/($G$13-1)*100))</f>
        <v/>
      </c>
      <c r="P552" s="11">
        <f>IF(L552="","",100-IF($G$14=1,50,(_xlfn.RANK.AVG(L552,$L$19:$L$1518,1)-1)/($G$14-1)*100))</f>
        <v/>
      </c>
      <c r="Q552" s="11">
        <f>IF(M552="","",IF($G$15=1,50,(_xlfn.RANK.AVG(M552,$M$19:$M$1518,1)-1)/($G$15-1)*100))</f>
        <v/>
      </c>
      <c r="R552" s="11">
        <f>IF(N552="","",IF($G$16=1,50,(_xlfn.RANK.AVG(N552,$N$19:$N$1518,1)-1)/($G$16-1)*100))</f>
        <v/>
      </c>
      <c r="S552" s="11">
        <f>IF(COUNT(O552:R552)=4,ROUND(AVERAGE(O552:R552),6),"")</f>
        <v/>
      </c>
      <c r="U552">
        <f>IF(AND(ISNUMBER('자료_한국심리'!$A536),ISNUMBER('자료_한국심리'!$B536)),'자료_한국심리'!$A536,"")</f>
        <v/>
      </c>
      <c r="V552">
        <f>IF(AND(ISNUMBER('자료_한국심리'!$D536),ISNUMBER('자료_한국심리'!$E536)),'자료_한국심리'!$D536,"")</f>
        <v/>
      </c>
      <c r="W552">
        <f>IF(AND(ISNUMBER('자료_한국심리'!$G536),ISNUMBER('자료_한국심리'!$H536)),'자료_한국심리'!$G536,"")</f>
        <v/>
      </c>
      <c r="X552">
        <f>IF(AND(ISNUMBER('자료_한국심리'!$J536),ISNUMBER('자료_한국심리'!$K536)),'자료_한국심리'!$J536,"")</f>
        <v/>
      </c>
      <c r="Y552">
        <f>IF(AND(ISNUMBER('자료_한국심리'!$M536),ISNUMBER('자료_한국심리'!$N536)),'자료_한국심리'!$M536,"")</f>
        <v/>
      </c>
    </row>
    <row r="553">
      <c r="A553" s="10">
        <f>IF(535&gt;$E$5,"",SMALL($U$19:$U$4018,$E$6+535))</f>
        <v/>
      </c>
      <c r="B553" s="29">
        <f>IF(A553="","",INDEX('자료_한국심리'!$B$3:$B$4002,MATCH(A553,$U$19:$U$4018,0)))</f>
        <v/>
      </c>
      <c r="C553" s="22">
        <f>IF(A553="","",B553/AVERAGE(B429:B553)-1)</f>
        <v/>
      </c>
      <c r="D553" s="29">
        <f>IF(A553="","",IFERROR(INDEX('자료_한국심리'!$E$3:$E$4002,MATCH(A553,$V$19:$V$4018,0)),D552))</f>
        <v/>
      </c>
      <c r="E553" s="30">
        <f>IF(A553="","",IFERROR(INDEX('자료_한국심리'!$H$3:$H$4002,MATCH(A553,$W$19:$W$4018,0)),E552))</f>
        <v/>
      </c>
      <c r="F553" s="30">
        <f>IF(A553="","",IFERROR(INDEX('자료_한국심리'!$K$3:$K$4002,MATCH(A553,$X$19:$X$4018,0)),F552))</f>
        <v/>
      </c>
      <c r="G553" s="30">
        <f>IF(AND(ISNUMBER(E553),ISNUMBER(F553)),ROUND(E553-F553,6),"")</f>
        <v/>
      </c>
      <c r="H553" s="25">
        <f>IF(A553="","",IFERROR(INDEX('자료_한국심리'!$N$3:$N$4002,MATCH(A553,$Y$19:$Y$4018,0)),H552))</f>
        <v/>
      </c>
      <c r="I553" s="31">
        <f>IF(AND(ISNUMBER(H553),ISNUMBER(H533)),IF(H533&gt;0,H553/H533-1,""),"")</f>
        <v/>
      </c>
      <c r="J553">
        <f>IF(A553="",0,IF(A553&gt;$B$5,1,0))</f>
        <v/>
      </c>
      <c r="K553" s="29">
        <f>IF(AND(J553=1,ISNUMBER(D553)),D553,"")</f>
        <v/>
      </c>
      <c r="L553" s="30">
        <f>IF(AND(J553=1,ISNUMBER(G553)),G553,"")</f>
        <v/>
      </c>
      <c r="M553" s="22">
        <f>IF(AND(J553=1,ISNUMBER(C553)),C553,"")</f>
        <v/>
      </c>
      <c r="N553" s="31">
        <f>IF(AND(J553=1,ISNUMBER(I553)),I553,"")</f>
        <v/>
      </c>
      <c r="O553" s="11">
        <f>IF(K553="","",100-IF($G$13=1,50,(_xlfn.RANK.AVG(K553,$K$19:$K$1518,1)-1)/($G$13-1)*100))</f>
        <v/>
      </c>
      <c r="P553" s="11">
        <f>IF(L553="","",100-IF($G$14=1,50,(_xlfn.RANK.AVG(L553,$L$19:$L$1518,1)-1)/($G$14-1)*100))</f>
        <v/>
      </c>
      <c r="Q553" s="11">
        <f>IF(M553="","",IF($G$15=1,50,(_xlfn.RANK.AVG(M553,$M$19:$M$1518,1)-1)/($G$15-1)*100))</f>
        <v/>
      </c>
      <c r="R553" s="11">
        <f>IF(N553="","",IF($G$16=1,50,(_xlfn.RANK.AVG(N553,$N$19:$N$1518,1)-1)/($G$16-1)*100))</f>
        <v/>
      </c>
      <c r="S553" s="11">
        <f>IF(COUNT(O553:R553)=4,ROUND(AVERAGE(O553:R553),6),"")</f>
        <v/>
      </c>
      <c r="U553">
        <f>IF(AND(ISNUMBER('자료_한국심리'!$A537),ISNUMBER('자료_한국심리'!$B537)),'자료_한국심리'!$A537,"")</f>
        <v/>
      </c>
      <c r="V553">
        <f>IF(AND(ISNUMBER('자료_한국심리'!$D537),ISNUMBER('자료_한국심리'!$E537)),'자료_한국심리'!$D537,"")</f>
        <v/>
      </c>
      <c r="W553">
        <f>IF(AND(ISNUMBER('자료_한국심리'!$G537),ISNUMBER('자료_한국심리'!$H537)),'자료_한국심리'!$G537,"")</f>
        <v/>
      </c>
      <c r="X553">
        <f>IF(AND(ISNUMBER('자료_한국심리'!$J537),ISNUMBER('자료_한국심리'!$K537)),'자료_한국심리'!$J537,"")</f>
        <v/>
      </c>
      <c r="Y553">
        <f>IF(AND(ISNUMBER('자료_한국심리'!$M537),ISNUMBER('자료_한국심리'!$N537)),'자료_한국심리'!$M537,"")</f>
        <v/>
      </c>
    </row>
    <row r="554">
      <c r="A554" s="10">
        <f>IF(536&gt;$E$5,"",SMALL($U$19:$U$4018,$E$6+536))</f>
        <v/>
      </c>
      <c r="B554" s="29">
        <f>IF(A554="","",INDEX('자료_한국심리'!$B$3:$B$4002,MATCH(A554,$U$19:$U$4018,0)))</f>
        <v/>
      </c>
      <c r="C554" s="22">
        <f>IF(A554="","",B554/AVERAGE(B430:B554)-1)</f>
        <v/>
      </c>
      <c r="D554" s="29">
        <f>IF(A554="","",IFERROR(INDEX('자료_한국심리'!$E$3:$E$4002,MATCH(A554,$V$19:$V$4018,0)),D553))</f>
        <v/>
      </c>
      <c r="E554" s="30">
        <f>IF(A554="","",IFERROR(INDEX('자료_한국심리'!$H$3:$H$4002,MATCH(A554,$W$19:$W$4018,0)),E553))</f>
        <v/>
      </c>
      <c r="F554" s="30">
        <f>IF(A554="","",IFERROR(INDEX('자료_한국심리'!$K$3:$K$4002,MATCH(A554,$X$19:$X$4018,0)),F553))</f>
        <v/>
      </c>
      <c r="G554" s="30">
        <f>IF(AND(ISNUMBER(E554),ISNUMBER(F554)),ROUND(E554-F554,6),"")</f>
        <v/>
      </c>
      <c r="H554" s="25">
        <f>IF(A554="","",IFERROR(INDEX('자료_한국심리'!$N$3:$N$4002,MATCH(A554,$Y$19:$Y$4018,0)),H553))</f>
        <v/>
      </c>
      <c r="I554" s="31">
        <f>IF(AND(ISNUMBER(H554),ISNUMBER(H534)),IF(H534&gt;0,H554/H534-1,""),"")</f>
        <v/>
      </c>
      <c r="J554">
        <f>IF(A554="",0,IF(A554&gt;$B$5,1,0))</f>
        <v/>
      </c>
      <c r="K554" s="29">
        <f>IF(AND(J554=1,ISNUMBER(D554)),D554,"")</f>
        <v/>
      </c>
      <c r="L554" s="30">
        <f>IF(AND(J554=1,ISNUMBER(G554)),G554,"")</f>
        <v/>
      </c>
      <c r="M554" s="22">
        <f>IF(AND(J554=1,ISNUMBER(C554)),C554,"")</f>
        <v/>
      </c>
      <c r="N554" s="31">
        <f>IF(AND(J554=1,ISNUMBER(I554)),I554,"")</f>
        <v/>
      </c>
      <c r="O554" s="11">
        <f>IF(K554="","",100-IF($G$13=1,50,(_xlfn.RANK.AVG(K554,$K$19:$K$1518,1)-1)/($G$13-1)*100))</f>
        <v/>
      </c>
      <c r="P554" s="11">
        <f>IF(L554="","",100-IF($G$14=1,50,(_xlfn.RANK.AVG(L554,$L$19:$L$1518,1)-1)/($G$14-1)*100))</f>
        <v/>
      </c>
      <c r="Q554" s="11">
        <f>IF(M554="","",IF($G$15=1,50,(_xlfn.RANK.AVG(M554,$M$19:$M$1518,1)-1)/($G$15-1)*100))</f>
        <v/>
      </c>
      <c r="R554" s="11">
        <f>IF(N554="","",IF($G$16=1,50,(_xlfn.RANK.AVG(N554,$N$19:$N$1518,1)-1)/($G$16-1)*100))</f>
        <v/>
      </c>
      <c r="S554" s="11">
        <f>IF(COUNT(O554:R554)=4,ROUND(AVERAGE(O554:R554),6),"")</f>
        <v/>
      </c>
      <c r="U554">
        <f>IF(AND(ISNUMBER('자료_한국심리'!$A538),ISNUMBER('자료_한국심리'!$B538)),'자료_한국심리'!$A538,"")</f>
        <v/>
      </c>
      <c r="V554">
        <f>IF(AND(ISNUMBER('자료_한국심리'!$D538),ISNUMBER('자료_한국심리'!$E538)),'자료_한국심리'!$D538,"")</f>
        <v/>
      </c>
      <c r="W554">
        <f>IF(AND(ISNUMBER('자료_한국심리'!$G538),ISNUMBER('자료_한국심리'!$H538)),'자료_한국심리'!$G538,"")</f>
        <v/>
      </c>
      <c r="X554">
        <f>IF(AND(ISNUMBER('자료_한국심리'!$J538),ISNUMBER('자료_한국심리'!$K538)),'자료_한국심리'!$J538,"")</f>
        <v/>
      </c>
      <c r="Y554">
        <f>IF(AND(ISNUMBER('자료_한국심리'!$M538),ISNUMBER('자료_한국심리'!$N538)),'자료_한국심리'!$M538,"")</f>
        <v/>
      </c>
    </row>
    <row r="555">
      <c r="A555" s="10">
        <f>IF(537&gt;$E$5,"",SMALL($U$19:$U$4018,$E$6+537))</f>
        <v/>
      </c>
      <c r="B555" s="29">
        <f>IF(A555="","",INDEX('자료_한국심리'!$B$3:$B$4002,MATCH(A555,$U$19:$U$4018,0)))</f>
        <v/>
      </c>
      <c r="C555" s="22">
        <f>IF(A555="","",B555/AVERAGE(B431:B555)-1)</f>
        <v/>
      </c>
      <c r="D555" s="29">
        <f>IF(A555="","",IFERROR(INDEX('자료_한국심리'!$E$3:$E$4002,MATCH(A555,$V$19:$V$4018,0)),D554))</f>
        <v/>
      </c>
      <c r="E555" s="30">
        <f>IF(A555="","",IFERROR(INDEX('자료_한국심리'!$H$3:$H$4002,MATCH(A555,$W$19:$W$4018,0)),E554))</f>
        <v/>
      </c>
      <c r="F555" s="30">
        <f>IF(A555="","",IFERROR(INDEX('자료_한국심리'!$K$3:$K$4002,MATCH(A555,$X$19:$X$4018,0)),F554))</f>
        <v/>
      </c>
      <c r="G555" s="30">
        <f>IF(AND(ISNUMBER(E555),ISNUMBER(F555)),ROUND(E555-F555,6),"")</f>
        <v/>
      </c>
      <c r="H555" s="25">
        <f>IF(A555="","",IFERROR(INDEX('자료_한국심리'!$N$3:$N$4002,MATCH(A555,$Y$19:$Y$4018,0)),H554))</f>
        <v/>
      </c>
      <c r="I555" s="31">
        <f>IF(AND(ISNUMBER(H555),ISNUMBER(H535)),IF(H535&gt;0,H555/H535-1,""),"")</f>
        <v/>
      </c>
      <c r="J555">
        <f>IF(A555="",0,IF(A555&gt;$B$5,1,0))</f>
        <v/>
      </c>
      <c r="K555" s="29">
        <f>IF(AND(J555=1,ISNUMBER(D555)),D555,"")</f>
        <v/>
      </c>
      <c r="L555" s="30">
        <f>IF(AND(J555=1,ISNUMBER(G555)),G555,"")</f>
        <v/>
      </c>
      <c r="M555" s="22">
        <f>IF(AND(J555=1,ISNUMBER(C555)),C555,"")</f>
        <v/>
      </c>
      <c r="N555" s="31">
        <f>IF(AND(J555=1,ISNUMBER(I555)),I555,"")</f>
        <v/>
      </c>
      <c r="O555" s="11">
        <f>IF(K555="","",100-IF($G$13=1,50,(_xlfn.RANK.AVG(K555,$K$19:$K$1518,1)-1)/($G$13-1)*100))</f>
        <v/>
      </c>
      <c r="P555" s="11">
        <f>IF(L555="","",100-IF($G$14=1,50,(_xlfn.RANK.AVG(L555,$L$19:$L$1518,1)-1)/($G$14-1)*100))</f>
        <v/>
      </c>
      <c r="Q555" s="11">
        <f>IF(M555="","",IF($G$15=1,50,(_xlfn.RANK.AVG(M555,$M$19:$M$1518,1)-1)/($G$15-1)*100))</f>
        <v/>
      </c>
      <c r="R555" s="11">
        <f>IF(N555="","",IF($G$16=1,50,(_xlfn.RANK.AVG(N555,$N$19:$N$1518,1)-1)/($G$16-1)*100))</f>
        <v/>
      </c>
      <c r="S555" s="11">
        <f>IF(COUNT(O555:R555)=4,ROUND(AVERAGE(O555:R555),6),"")</f>
        <v/>
      </c>
      <c r="U555">
        <f>IF(AND(ISNUMBER('자료_한국심리'!$A539),ISNUMBER('자료_한국심리'!$B539)),'자료_한국심리'!$A539,"")</f>
        <v/>
      </c>
      <c r="V555">
        <f>IF(AND(ISNUMBER('자료_한국심리'!$D539),ISNUMBER('자료_한국심리'!$E539)),'자료_한국심리'!$D539,"")</f>
        <v/>
      </c>
      <c r="W555">
        <f>IF(AND(ISNUMBER('자료_한국심리'!$G539),ISNUMBER('자료_한국심리'!$H539)),'자료_한국심리'!$G539,"")</f>
        <v/>
      </c>
      <c r="X555">
        <f>IF(AND(ISNUMBER('자료_한국심리'!$J539),ISNUMBER('자료_한국심리'!$K539)),'자료_한국심리'!$J539,"")</f>
        <v/>
      </c>
      <c r="Y555">
        <f>IF(AND(ISNUMBER('자료_한국심리'!$M539),ISNUMBER('자료_한국심리'!$N539)),'자료_한국심리'!$M539,"")</f>
        <v/>
      </c>
    </row>
    <row r="556">
      <c r="A556" s="10">
        <f>IF(538&gt;$E$5,"",SMALL($U$19:$U$4018,$E$6+538))</f>
        <v/>
      </c>
      <c r="B556" s="29">
        <f>IF(A556="","",INDEX('자료_한국심리'!$B$3:$B$4002,MATCH(A556,$U$19:$U$4018,0)))</f>
        <v/>
      </c>
      <c r="C556" s="22">
        <f>IF(A556="","",B556/AVERAGE(B432:B556)-1)</f>
        <v/>
      </c>
      <c r="D556" s="29">
        <f>IF(A556="","",IFERROR(INDEX('자료_한국심리'!$E$3:$E$4002,MATCH(A556,$V$19:$V$4018,0)),D555))</f>
        <v/>
      </c>
      <c r="E556" s="30">
        <f>IF(A556="","",IFERROR(INDEX('자료_한국심리'!$H$3:$H$4002,MATCH(A556,$W$19:$W$4018,0)),E555))</f>
        <v/>
      </c>
      <c r="F556" s="30">
        <f>IF(A556="","",IFERROR(INDEX('자료_한국심리'!$K$3:$K$4002,MATCH(A556,$X$19:$X$4018,0)),F555))</f>
        <v/>
      </c>
      <c r="G556" s="30">
        <f>IF(AND(ISNUMBER(E556),ISNUMBER(F556)),ROUND(E556-F556,6),"")</f>
        <v/>
      </c>
      <c r="H556" s="25">
        <f>IF(A556="","",IFERROR(INDEX('자료_한국심리'!$N$3:$N$4002,MATCH(A556,$Y$19:$Y$4018,0)),H555))</f>
        <v/>
      </c>
      <c r="I556" s="31">
        <f>IF(AND(ISNUMBER(H556),ISNUMBER(H536)),IF(H536&gt;0,H556/H536-1,""),"")</f>
        <v/>
      </c>
      <c r="J556">
        <f>IF(A556="",0,IF(A556&gt;$B$5,1,0))</f>
        <v/>
      </c>
      <c r="K556" s="29">
        <f>IF(AND(J556=1,ISNUMBER(D556)),D556,"")</f>
        <v/>
      </c>
      <c r="L556" s="30">
        <f>IF(AND(J556=1,ISNUMBER(G556)),G556,"")</f>
        <v/>
      </c>
      <c r="M556" s="22">
        <f>IF(AND(J556=1,ISNUMBER(C556)),C556,"")</f>
        <v/>
      </c>
      <c r="N556" s="31">
        <f>IF(AND(J556=1,ISNUMBER(I556)),I556,"")</f>
        <v/>
      </c>
      <c r="O556" s="11">
        <f>IF(K556="","",100-IF($G$13=1,50,(_xlfn.RANK.AVG(K556,$K$19:$K$1518,1)-1)/($G$13-1)*100))</f>
        <v/>
      </c>
      <c r="P556" s="11">
        <f>IF(L556="","",100-IF($G$14=1,50,(_xlfn.RANK.AVG(L556,$L$19:$L$1518,1)-1)/($G$14-1)*100))</f>
        <v/>
      </c>
      <c r="Q556" s="11">
        <f>IF(M556="","",IF($G$15=1,50,(_xlfn.RANK.AVG(M556,$M$19:$M$1518,1)-1)/($G$15-1)*100))</f>
        <v/>
      </c>
      <c r="R556" s="11">
        <f>IF(N556="","",IF($G$16=1,50,(_xlfn.RANK.AVG(N556,$N$19:$N$1518,1)-1)/($G$16-1)*100))</f>
        <v/>
      </c>
      <c r="S556" s="11">
        <f>IF(COUNT(O556:R556)=4,ROUND(AVERAGE(O556:R556),6),"")</f>
        <v/>
      </c>
      <c r="U556">
        <f>IF(AND(ISNUMBER('자료_한국심리'!$A540),ISNUMBER('자료_한국심리'!$B540)),'자료_한국심리'!$A540,"")</f>
        <v/>
      </c>
      <c r="V556">
        <f>IF(AND(ISNUMBER('자료_한국심리'!$D540),ISNUMBER('자료_한국심리'!$E540)),'자료_한국심리'!$D540,"")</f>
        <v/>
      </c>
      <c r="W556">
        <f>IF(AND(ISNUMBER('자료_한국심리'!$G540),ISNUMBER('자료_한국심리'!$H540)),'자료_한국심리'!$G540,"")</f>
        <v/>
      </c>
      <c r="X556">
        <f>IF(AND(ISNUMBER('자료_한국심리'!$J540),ISNUMBER('자료_한국심리'!$K540)),'자료_한국심리'!$J540,"")</f>
        <v/>
      </c>
      <c r="Y556">
        <f>IF(AND(ISNUMBER('자료_한국심리'!$M540),ISNUMBER('자료_한국심리'!$N540)),'자료_한국심리'!$M540,"")</f>
        <v/>
      </c>
    </row>
    <row r="557">
      <c r="A557" s="10">
        <f>IF(539&gt;$E$5,"",SMALL($U$19:$U$4018,$E$6+539))</f>
        <v/>
      </c>
      <c r="B557" s="29">
        <f>IF(A557="","",INDEX('자료_한국심리'!$B$3:$B$4002,MATCH(A557,$U$19:$U$4018,0)))</f>
        <v/>
      </c>
      <c r="C557" s="22">
        <f>IF(A557="","",B557/AVERAGE(B433:B557)-1)</f>
        <v/>
      </c>
      <c r="D557" s="29">
        <f>IF(A557="","",IFERROR(INDEX('자료_한국심리'!$E$3:$E$4002,MATCH(A557,$V$19:$V$4018,0)),D556))</f>
        <v/>
      </c>
      <c r="E557" s="30">
        <f>IF(A557="","",IFERROR(INDEX('자료_한국심리'!$H$3:$H$4002,MATCH(A557,$W$19:$W$4018,0)),E556))</f>
        <v/>
      </c>
      <c r="F557" s="30">
        <f>IF(A557="","",IFERROR(INDEX('자료_한국심리'!$K$3:$K$4002,MATCH(A557,$X$19:$X$4018,0)),F556))</f>
        <v/>
      </c>
      <c r="G557" s="30">
        <f>IF(AND(ISNUMBER(E557),ISNUMBER(F557)),ROUND(E557-F557,6),"")</f>
        <v/>
      </c>
      <c r="H557" s="25">
        <f>IF(A557="","",IFERROR(INDEX('자료_한국심리'!$N$3:$N$4002,MATCH(A557,$Y$19:$Y$4018,0)),H556))</f>
        <v/>
      </c>
      <c r="I557" s="31">
        <f>IF(AND(ISNUMBER(H557),ISNUMBER(H537)),IF(H537&gt;0,H557/H537-1,""),"")</f>
        <v/>
      </c>
      <c r="J557">
        <f>IF(A557="",0,IF(A557&gt;$B$5,1,0))</f>
        <v/>
      </c>
      <c r="K557" s="29">
        <f>IF(AND(J557=1,ISNUMBER(D557)),D557,"")</f>
        <v/>
      </c>
      <c r="L557" s="30">
        <f>IF(AND(J557=1,ISNUMBER(G557)),G557,"")</f>
        <v/>
      </c>
      <c r="M557" s="22">
        <f>IF(AND(J557=1,ISNUMBER(C557)),C557,"")</f>
        <v/>
      </c>
      <c r="N557" s="31">
        <f>IF(AND(J557=1,ISNUMBER(I557)),I557,"")</f>
        <v/>
      </c>
      <c r="O557" s="11">
        <f>IF(K557="","",100-IF($G$13=1,50,(_xlfn.RANK.AVG(K557,$K$19:$K$1518,1)-1)/($G$13-1)*100))</f>
        <v/>
      </c>
      <c r="P557" s="11">
        <f>IF(L557="","",100-IF($G$14=1,50,(_xlfn.RANK.AVG(L557,$L$19:$L$1518,1)-1)/($G$14-1)*100))</f>
        <v/>
      </c>
      <c r="Q557" s="11">
        <f>IF(M557="","",IF($G$15=1,50,(_xlfn.RANK.AVG(M557,$M$19:$M$1518,1)-1)/($G$15-1)*100))</f>
        <v/>
      </c>
      <c r="R557" s="11">
        <f>IF(N557="","",IF($G$16=1,50,(_xlfn.RANK.AVG(N557,$N$19:$N$1518,1)-1)/($G$16-1)*100))</f>
        <v/>
      </c>
      <c r="S557" s="11">
        <f>IF(COUNT(O557:R557)=4,ROUND(AVERAGE(O557:R557),6),"")</f>
        <v/>
      </c>
      <c r="U557">
        <f>IF(AND(ISNUMBER('자료_한국심리'!$A541),ISNUMBER('자료_한국심리'!$B541)),'자료_한국심리'!$A541,"")</f>
        <v/>
      </c>
      <c r="V557">
        <f>IF(AND(ISNUMBER('자료_한국심리'!$D541),ISNUMBER('자료_한국심리'!$E541)),'자료_한국심리'!$D541,"")</f>
        <v/>
      </c>
      <c r="W557">
        <f>IF(AND(ISNUMBER('자료_한국심리'!$G541),ISNUMBER('자료_한국심리'!$H541)),'자료_한국심리'!$G541,"")</f>
        <v/>
      </c>
      <c r="X557">
        <f>IF(AND(ISNUMBER('자료_한국심리'!$J541),ISNUMBER('자료_한국심리'!$K541)),'자료_한국심리'!$J541,"")</f>
        <v/>
      </c>
      <c r="Y557">
        <f>IF(AND(ISNUMBER('자료_한국심리'!$M541),ISNUMBER('자료_한국심리'!$N541)),'자료_한국심리'!$M541,"")</f>
        <v/>
      </c>
    </row>
    <row r="558">
      <c r="A558" s="10">
        <f>IF(540&gt;$E$5,"",SMALL($U$19:$U$4018,$E$6+540))</f>
        <v/>
      </c>
      <c r="B558" s="29">
        <f>IF(A558="","",INDEX('자료_한국심리'!$B$3:$B$4002,MATCH(A558,$U$19:$U$4018,0)))</f>
        <v/>
      </c>
      <c r="C558" s="22">
        <f>IF(A558="","",B558/AVERAGE(B434:B558)-1)</f>
        <v/>
      </c>
      <c r="D558" s="29">
        <f>IF(A558="","",IFERROR(INDEX('자료_한국심리'!$E$3:$E$4002,MATCH(A558,$V$19:$V$4018,0)),D557))</f>
        <v/>
      </c>
      <c r="E558" s="30">
        <f>IF(A558="","",IFERROR(INDEX('자료_한국심리'!$H$3:$H$4002,MATCH(A558,$W$19:$W$4018,0)),E557))</f>
        <v/>
      </c>
      <c r="F558" s="30">
        <f>IF(A558="","",IFERROR(INDEX('자료_한국심리'!$K$3:$K$4002,MATCH(A558,$X$19:$X$4018,0)),F557))</f>
        <v/>
      </c>
      <c r="G558" s="30">
        <f>IF(AND(ISNUMBER(E558),ISNUMBER(F558)),ROUND(E558-F558,6),"")</f>
        <v/>
      </c>
      <c r="H558" s="25">
        <f>IF(A558="","",IFERROR(INDEX('자료_한국심리'!$N$3:$N$4002,MATCH(A558,$Y$19:$Y$4018,0)),H557))</f>
        <v/>
      </c>
      <c r="I558" s="31">
        <f>IF(AND(ISNUMBER(H558),ISNUMBER(H538)),IF(H538&gt;0,H558/H538-1,""),"")</f>
        <v/>
      </c>
      <c r="J558">
        <f>IF(A558="",0,IF(A558&gt;$B$5,1,0))</f>
        <v/>
      </c>
      <c r="K558" s="29">
        <f>IF(AND(J558=1,ISNUMBER(D558)),D558,"")</f>
        <v/>
      </c>
      <c r="L558" s="30">
        <f>IF(AND(J558=1,ISNUMBER(G558)),G558,"")</f>
        <v/>
      </c>
      <c r="M558" s="22">
        <f>IF(AND(J558=1,ISNUMBER(C558)),C558,"")</f>
        <v/>
      </c>
      <c r="N558" s="31">
        <f>IF(AND(J558=1,ISNUMBER(I558)),I558,"")</f>
        <v/>
      </c>
      <c r="O558" s="11">
        <f>IF(K558="","",100-IF($G$13=1,50,(_xlfn.RANK.AVG(K558,$K$19:$K$1518,1)-1)/($G$13-1)*100))</f>
        <v/>
      </c>
      <c r="P558" s="11">
        <f>IF(L558="","",100-IF($G$14=1,50,(_xlfn.RANK.AVG(L558,$L$19:$L$1518,1)-1)/($G$14-1)*100))</f>
        <v/>
      </c>
      <c r="Q558" s="11">
        <f>IF(M558="","",IF($G$15=1,50,(_xlfn.RANK.AVG(M558,$M$19:$M$1518,1)-1)/($G$15-1)*100))</f>
        <v/>
      </c>
      <c r="R558" s="11">
        <f>IF(N558="","",IF($G$16=1,50,(_xlfn.RANK.AVG(N558,$N$19:$N$1518,1)-1)/($G$16-1)*100))</f>
        <v/>
      </c>
      <c r="S558" s="11">
        <f>IF(COUNT(O558:R558)=4,ROUND(AVERAGE(O558:R558),6),"")</f>
        <v/>
      </c>
      <c r="U558">
        <f>IF(AND(ISNUMBER('자료_한국심리'!$A542),ISNUMBER('자료_한국심리'!$B542)),'자료_한국심리'!$A542,"")</f>
        <v/>
      </c>
      <c r="V558">
        <f>IF(AND(ISNUMBER('자료_한국심리'!$D542),ISNUMBER('자료_한국심리'!$E542)),'자료_한국심리'!$D542,"")</f>
        <v/>
      </c>
      <c r="W558">
        <f>IF(AND(ISNUMBER('자료_한국심리'!$G542),ISNUMBER('자료_한국심리'!$H542)),'자료_한국심리'!$G542,"")</f>
        <v/>
      </c>
      <c r="X558">
        <f>IF(AND(ISNUMBER('자료_한국심리'!$J542),ISNUMBER('자료_한국심리'!$K542)),'자료_한국심리'!$J542,"")</f>
        <v/>
      </c>
      <c r="Y558">
        <f>IF(AND(ISNUMBER('자료_한국심리'!$M542),ISNUMBER('자료_한국심리'!$N542)),'자료_한국심리'!$M542,"")</f>
        <v/>
      </c>
    </row>
    <row r="559">
      <c r="A559" s="10">
        <f>IF(541&gt;$E$5,"",SMALL($U$19:$U$4018,$E$6+541))</f>
        <v/>
      </c>
      <c r="B559" s="29">
        <f>IF(A559="","",INDEX('자료_한국심리'!$B$3:$B$4002,MATCH(A559,$U$19:$U$4018,0)))</f>
        <v/>
      </c>
      <c r="C559" s="22">
        <f>IF(A559="","",B559/AVERAGE(B435:B559)-1)</f>
        <v/>
      </c>
      <c r="D559" s="29">
        <f>IF(A559="","",IFERROR(INDEX('자료_한국심리'!$E$3:$E$4002,MATCH(A559,$V$19:$V$4018,0)),D558))</f>
        <v/>
      </c>
      <c r="E559" s="30">
        <f>IF(A559="","",IFERROR(INDEX('자료_한국심리'!$H$3:$H$4002,MATCH(A559,$W$19:$W$4018,0)),E558))</f>
        <v/>
      </c>
      <c r="F559" s="30">
        <f>IF(A559="","",IFERROR(INDEX('자료_한국심리'!$K$3:$K$4002,MATCH(A559,$X$19:$X$4018,0)),F558))</f>
        <v/>
      </c>
      <c r="G559" s="30">
        <f>IF(AND(ISNUMBER(E559),ISNUMBER(F559)),ROUND(E559-F559,6),"")</f>
        <v/>
      </c>
      <c r="H559" s="25">
        <f>IF(A559="","",IFERROR(INDEX('자료_한국심리'!$N$3:$N$4002,MATCH(A559,$Y$19:$Y$4018,0)),H558))</f>
        <v/>
      </c>
      <c r="I559" s="31">
        <f>IF(AND(ISNUMBER(H559),ISNUMBER(H539)),IF(H539&gt;0,H559/H539-1,""),"")</f>
        <v/>
      </c>
      <c r="J559">
        <f>IF(A559="",0,IF(A559&gt;$B$5,1,0))</f>
        <v/>
      </c>
      <c r="K559" s="29">
        <f>IF(AND(J559=1,ISNUMBER(D559)),D559,"")</f>
        <v/>
      </c>
      <c r="L559" s="30">
        <f>IF(AND(J559=1,ISNUMBER(G559)),G559,"")</f>
        <v/>
      </c>
      <c r="M559" s="22">
        <f>IF(AND(J559=1,ISNUMBER(C559)),C559,"")</f>
        <v/>
      </c>
      <c r="N559" s="31">
        <f>IF(AND(J559=1,ISNUMBER(I559)),I559,"")</f>
        <v/>
      </c>
      <c r="O559" s="11">
        <f>IF(K559="","",100-IF($G$13=1,50,(_xlfn.RANK.AVG(K559,$K$19:$K$1518,1)-1)/($G$13-1)*100))</f>
        <v/>
      </c>
      <c r="P559" s="11">
        <f>IF(L559="","",100-IF($G$14=1,50,(_xlfn.RANK.AVG(L559,$L$19:$L$1518,1)-1)/($G$14-1)*100))</f>
        <v/>
      </c>
      <c r="Q559" s="11">
        <f>IF(M559="","",IF($G$15=1,50,(_xlfn.RANK.AVG(M559,$M$19:$M$1518,1)-1)/($G$15-1)*100))</f>
        <v/>
      </c>
      <c r="R559" s="11">
        <f>IF(N559="","",IF($G$16=1,50,(_xlfn.RANK.AVG(N559,$N$19:$N$1518,1)-1)/($G$16-1)*100))</f>
        <v/>
      </c>
      <c r="S559" s="11">
        <f>IF(COUNT(O559:R559)=4,ROUND(AVERAGE(O559:R559),6),"")</f>
        <v/>
      </c>
      <c r="U559">
        <f>IF(AND(ISNUMBER('자료_한국심리'!$A543),ISNUMBER('자료_한국심리'!$B543)),'자료_한국심리'!$A543,"")</f>
        <v/>
      </c>
      <c r="V559">
        <f>IF(AND(ISNUMBER('자료_한국심리'!$D543),ISNUMBER('자료_한국심리'!$E543)),'자료_한국심리'!$D543,"")</f>
        <v/>
      </c>
      <c r="W559">
        <f>IF(AND(ISNUMBER('자료_한국심리'!$G543),ISNUMBER('자료_한국심리'!$H543)),'자료_한국심리'!$G543,"")</f>
        <v/>
      </c>
      <c r="X559">
        <f>IF(AND(ISNUMBER('자료_한국심리'!$J543),ISNUMBER('자료_한국심리'!$K543)),'자료_한국심리'!$J543,"")</f>
        <v/>
      </c>
      <c r="Y559">
        <f>IF(AND(ISNUMBER('자료_한국심리'!$M543),ISNUMBER('자료_한국심리'!$N543)),'자료_한국심리'!$M543,"")</f>
        <v/>
      </c>
    </row>
    <row r="560">
      <c r="A560" s="10">
        <f>IF(542&gt;$E$5,"",SMALL($U$19:$U$4018,$E$6+542))</f>
        <v/>
      </c>
      <c r="B560" s="29">
        <f>IF(A560="","",INDEX('자료_한국심리'!$B$3:$B$4002,MATCH(A560,$U$19:$U$4018,0)))</f>
        <v/>
      </c>
      <c r="C560" s="22">
        <f>IF(A560="","",B560/AVERAGE(B436:B560)-1)</f>
        <v/>
      </c>
      <c r="D560" s="29">
        <f>IF(A560="","",IFERROR(INDEX('자료_한국심리'!$E$3:$E$4002,MATCH(A560,$V$19:$V$4018,0)),D559))</f>
        <v/>
      </c>
      <c r="E560" s="30">
        <f>IF(A560="","",IFERROR(INDEX('자료_한국심리'!$H$3:$H$4002,MATCH(A560,$W$19:$W$4018,0)),E559))</f>
        <v/>
      </c>
      <c r="F560" s="30">
        <f>IF(A560="","",IFERROR(INDEX('자료_한국심리'!$K$3:$K$4002,MATCH(A560,$X$19:$X$4018,0)),F559))</f>
        <v/>
      </c>
      <c r="G560" s="30">
        <f>IF(AND(ISNUMBER(E560),ISNUMBER(F560)),ROUND(E560-F560,6),"")</f>
        <v/>
      </c>
      <c r="H560" s="25">
        <f>IF(A560="","",IFERROR(INDEX('자료_한국심리'!$N$3:$N$4002,MATCH(A560,$Y$19:$Y$4018,0)),H559))</f>
        <v/>
      </c>
      <c r="I560" s="31">
        <f>IF(AND(ISNUMBER(H560),ISNUMBER(H540)),IF(H540&gt;0,H560/H540-1,""),"")</f>
        <v/>
      </c>
      <c r="J560">
        <f>IF(A560="",0,IF(A560&gt;$B$5,1,0))</f>
        <v/>
      </c>
      <c r="K560" s="29">
        <f>IF(AND(J560=1,ISNUMBER(D560)),D560,"")</f>
        <v/>
      </c>
      <c r="L560" s="30">
        <f>IF(AND(J560=1,ISNUMBER(G560)),G560,"")</f>
        <v/>
      </c>
      <c r="M560" s="22">
        <f>IF(AND(J560=1,ISNUMBER(C560)),C560,"")</f>
        <v/>
      </c>
      <c r="N560" s="31">
        <f>IF(AND(J560=1,ISNUMBER(I560)),I560,"")</f>
        <v/>
      </c>
      <c r="O560" s="11">
        <f>IF(K560="","",100-IF($G$13=1,50,(_xlfn.RANK.AVG(K560,$K$19:$K$1518,1)-1)/($G$13-1)*100))</f>
        <v/>
      </c>
      <c r="P560" s="11">
        <f>IF(L560="","",100-IF($G$14=1,50,(_xlfn.RANK.AVG(L560,$L$19:$L$1518,1)-1)/($G$14-1)*100))</f>
        <v/>
      </c>
      <c r="Q560" s="11">
        <f>IF(M560="","",IF($G$15=1,50,(_xlfn.RANK.AVG(M560,$M$19:$M$1518,1)-1)/($G$15-1)*100))</f>
        <v/>
      </c>
      <c r="R560" s="11">
        <f>IF(N560="","",IF($G$16=1,50,(_xlfn.RANK.AVG(N560,$N$19:$N$1518,1)-1)/($G$16-1)*100))</f>
        <v/>
      </c>
      <c r="S560" s="11">
        <f>IF(COUNT(O560:R560)=4,ROUND(AVERAGE(O560:R560),6),"")</f>
        <v/>
      </c>
      <c r="U560">
        <f>IF(AND(ISNUMBER('자료_한국심리'!$A544),ISNUMBER('자료_한국심리'!$B544)),'자료_한국심리'!$A544,"")</f>
        <v/>
      </c>
      <c r="V560">
        <f>IF(AND(ISNUMBER('자료_한국심리'!$D544),ISNUMBER('자료_한국심리'!$E544)),'자료_한국심리'!$D544,"")</f>
        <v/>
      </c>
      <c r="W560">
        <f>IF(AND(ISNUMBER('자료_한국심리'!$G544),ISNUMBER('자료_한국심리'!$H544)),'자료_한국심리'!$G544,"")</f>
        <v/>
      </c>
      <c r="X560">
        <f>IF(AND(ISNUMBER('자료_한국심리'!$J544),ISNUMBER('자료_한국심리'!$K544)),'자료_한국심리'!$J544,"")</f>
        <v/>
      </c>
      <c r="Y560">
        <f>IF(AND(ISNUMBER('자료_한국심리'!$M544),ISNUMBER('자료_한국심리'!$N544)),'자료_한국심리'!$M544,"")</f>
        <v/>
      </c>
    </row>
    <row r="561">
      <c r="A561" s="10">
        <f>IF(543&gt;$E$5,"",SMALL($U$19:$U$4018,$E$6+543))</f>
        <v/>
      </c>
      <c r="B561" s="29">
        <f>IF(A561="","",INDEX('자료_한국심리'!$B$3:$B$4002,MATCH(A561,$U$19:$U$4018,0)))</f>
        <v/>
      </c>
      <c r="C561" s="22">
        <f>IF(A561="","",B561/AVERAGE(B437:B561)-1)</f>
        <v/>
      </c>
      <c r="D561" s="29">
        <f>IF(A561="","",IFERROR(INDEX('자료_한국심리'!$E$3:$E$4002,MATCH(A561,$V$19:$V$4018,0)),D560))</f>
        <v/>
      </c>
      <c r="E561" s="30">
        <f>IF(A561="","",IFERROR(INDEX('자료_한국심리'!$H$3:$H$4002,MATCH(A561,$W$19:$W$4018,0)),E560))</f>
        <v/>
      </c>
      <c r="F561" s="30">
        <f>IF(A561="","",IFERROR(INDEX('자료_한국심리'!$K$3:$K$4002,MATCH(A561,$X$19:$X$4018,0)),F560))</f>
        <v/>
      </c>
      <c r="G561" s="30">
        <f>IF(AND(ISNUMBER(E561),ISNUMBER(F561)),ROUND(E561-F561,6),"")</f>
        <v/>
      </c>
      <c r="H561" s="25">
        <f>IF(A561="","",IFERROR(INDEX('자료_한국심리'!$N$3:$N$4002,MATCH(A561,$Y$19:$Y$4018,0)),H560))</f>
        <v/>
      </c>
      <c r="I561" s="31">
        <f>IF(AND(ISNUMBER(H561),ISNUMBER(H541)),IF(H541&gt;0,H561/H541-1,""),"")</f>
        <v/>
      </c>
      <c r="J561">
        <f>IF(A561="",0,IF(A561&gt;$B$5,1,0))</f>
        <v/>
      </c>
      <c r="K561" s="29">
        <f>IF(AND(J561=1,ISNUMBER(D561)),D561,"")</f>
        <v/>
      </c>
      <c r="L561" s="30">
        <f>IF(AND(J561=1,ISNUMBER(G561)),G561,"")</f>
        <v/>
      </c>
      <c r="M561" s="22">
        <f>IF(AND(J561=1,ISNUMBER(C561)),C561,"")</f>
        <v/>
      </c>
      <c r="N561" s="31">
        <f>IF(AND(J561=1,ISNUMBER(I561)),I561,"")</f>
        <v/>
      </c>
      <c r="O561" s="11">
        <f>IF(K561="","",100-IF($G$13=1,50,(_xlfn.RANK.AVG(K561,$K$19:$K$1518,1)-1)/($G$13-1)*100))</f>
        <v/>
      </c>
      <c r="P561" s="11">
        <f>IF(L561="","",100-IF($G$14=1,50,(_xlfn.RANK.AVG(L561,$L$19:$L$1518,1)-1)/($G$14-1)*100))</f>
        <v/>
      </c>
      <c r="Q561" s="11">
        <f>IF(M561="","",IF($G$15=1,50,(_xlfn.RANK.AVG(M561,$M$19:$M$1518,1)-1)/($G$15-1)*100))</f>
        <v/>
      </c>
      <c r="R561" s="11">
        <f>IF(N561="","",IF($G$16=1,50,(_xlfn.RANK.AVG(N561,$N$19:$N$1518,1)-1)/($G$16-1)*100))</f>
        <v/>
      </c>
      <c r="S561" s="11">
        <f>IF(COUNT(O561:R561)=4,ROUND(AVERAGE(O561:R561),6),"")</f>
        <v/>
      </c>
      <c r="U561">
        <f>IF(AND(ISNUMBER('자료_한국심리'!$A545),ISNUMBER('자료_한국심리'!$B545)),'자료_한국심리'!$A545,"")</f>
        <v/>
      </c>
      <c r="V561">
        <f>IF(AND(ISNUMBER('자료_한국심리'!$D545),ISNUMBER('자료_한국심리'!$E545)),'자료_한국심리'!$D545,"")</f>
        <v/>
      </c>
      <c r="W561">
        <f>IF(AND(ISNUMBER('자료_한국심리'!$G545),ISNUMBER('자료_한국심리'!$H545)),'자료_한국심리'!$G545,"")</f>
        <v/>
      </c>
      <c r="X561">
        <f>IF(AND(ISNUMBER('자료_한국심리'!$J545),ISNUMBER('자료_한국심리'!$K545)),'자료_한국심리'!$J545,"")</f>
        <v/>
      </c>
      <c r="Y561">
        <f>IF(AND(ISNUMBER('자료_한국심리'!$M545),ISNUMBER('자료_한국심리'!$N545)),'자료_한국심리'!$M545,"")</f>
        <v/>
      </c>
    </row>
    <row r="562">
      <c r="A562" s="10">
        <f>IF(544&gt;$E$5,"",SMALL($U$19:$U$4018,$E$6+544))</f>
        <v/>
      </c>
      <c r="B562" s="29">
        <f>IF(A562="","",INDEX('자료_한국심리'!$B$3:$B$4002,MATCH(A562,$U$19:$U$4018,0)))</f>
        <v/>
      </c>
      <c r="C562" s="22">
        <f>IF(A562="","",B562/AVERAGE(B438:B562)-1)</f>
        <v/>
      </c>
      <c r="D562" s="29">
        <f>IF(A562="","",IFERROR(INDEX('자료_한국심리'!$E$3:$E$4002,MATCH(A562,$V$19:$V$4018,0)),D561))</f>
        <v/>
      </c>
      <c r="E562" s="30">
        <f>IF(A562="","",IFERROR(INDEX('자료_한국심리'!$H$3:$H$4002,MATCH(A562,$W$19:$W$4018,0)),E561))</f>
        <v/>
      </c>
      <c r="F562" s="30">
        <f>IF(A562="","",IFERROR(INDEX('자료_한국심리'!$K$3:$K$4002,MATCH(A562,$X$19:$X$4018,0)),F561))</f>
        <v/>
      </c>
      <c r="G562" s="30">
        <f>IF(AND(ISNUMBER(E562),ISNUMBER(F562)),ROUND(E562-F562,6),"")</f>
        <v/>
      </c>
      <c r="H562" s="25">
        <f>IF(A562="","",IFERROR(INDEX('자료_한국심리'!$N$3:$N$4002,MATCH(A562,$Y$19:$Y$4018,0)),H561))</f>
        <v/>
      </c>
      <c r="I562" s="31">
        <f>IF(AND(ISNUMBER(H562),ISNUMBER(H542)),IF(H542&gt;0,H562/H542-1,""),"")</f>
        <v/>
      </c>
      <c r="J562">
        <f>IF(A562="",0,IF(A562&gt;$B$5,1,0))</f>
        <v/>
      </c>
      <c r="K562" s="29">
        <f>IF(AND(J562=1,ISNUMBER(D562)),D562,"")</f>
        <v/>
      </c>
      <c r="L562" s="30">
        <f>IF(AND(J562=1,ISNUMBER(G562)),G562,"")</f>
        <v/>
      </c>
      <c r="M562" s="22">
        <f>IF(AND(J562=1,ISNUMBER(C562)),C562,"")</f>
        <v/>
      </c>
      <c r="N562" s="31">
        <f>IF(AND(J562=1,ISNUMBER(I562)),I562,"")</f>
        <v/>
      </c>
      <c r="O562" s="11">
        <f>IF(K562="","",100-IF($G$13=1,50,(_xlfn.RANK.AVG(K562,$K$19:$K$1518,1)-1)/($G$13-1)*100))</f>
        <v/>
      </c>
      <c r="P562" s="11">
        <f>IF(L562="","",100-IF($G$14=1,50,(_xlfn.RANK.AVG(L562,$L$19:$L$1518,1)-1)/($G$14-1)*100))</f>
        <v/>
      </c>
      <c r="Q562" s="11">
        <f>IF(M562="","",IF($G$15=1,50,(_xlfn.RANK.AVG(M562,$M$19:$M$1518,1)-1)/($G$15-1)*100))</f>
        <v/>
      </c>
      <c r="R562" s="11">
        <f>IF(N562="","",IF($G$16=1,50,(_xlfn.RANK.AVG(N562,$N$19:$N$1518,1)-1)/($G$16-1)*100))</f>
        <v/>
      </c>
      <c r="S562" s="11">
        <f>IF(COUNT(O562:R562)=4,ROUND(AVERAGE(O562:R562),6),"")</f>
        <v/>
      </c>
      <c r="U562">
        <f>IF(AND(ISNUMBER('자료_한국심리'!$A546),ISNUMBER('자료_한국심리'!$B546)),'자료_한국심리'!$A546,"")</f>
        <v/>
      </c>
      <c r="V562">
        <f>IF(AND(ISNUMBER('자료_한국심리'!$D546),ISNUMBER('자료_한국심리'!$E546)),'자료_한국심리'!$D546,"")</f>
        <v/>
      </c>
      <c r="W562">
        <f>IF(AND(ISNUMBER('자료_한국심리'!$G546),ISNUMBER('자료_한국심리'!$H546)),'자료_한국심리'!$G546,"")</f>
        <v/>
      </c>
      <c r="X562">
        <f>IF(AND(ISNUMBER('자료_한국심리'!$J546),ISNUMBER('자료_한국심리'!$K546)),'자료_한국심리'!$J546,"")</f>
        <v/>
      </c>
      <c r="Y562">
        <f>IF(AND(ISNUMBER('자료_한국심리'!$M546),ISNUMBER('자료_한국심리'!$N546)),'자료_한국심리'!$M546,"")</f>
        <v/>
      </c>
    </row>
    <row r="563">
      <c r="A563" s="10">
        <f>IF(545&gt;$E$5,"",SMALL($U$19:$U$4018,$E$6+545))</f>
        <v/>
      </c>
      <c r="B563" s="29">
        <f>IF(A563="","",INDEX('자료_한국심리'!$B$3:$B$4002,MATCH(A563,$U$19:$U$4018,0)))</f>
        <v/>
      </c>
      <c r="C563" s="22">
        <f>IF(A563="","",B563/AVERAGE(B439:B563)-1)</f>
        <v/>
      </c>
      <c r="D563" s="29">
        <f>IF(A563="","",IFERROR(INDEX('자료_한국심리'!$E$3:$E$4002,MATCH(A563,$V$19:$V$4018,0)),D562))</f>
        <v/>
      </c>
      <c r="E563" s="30">
        <f>IF(A563="","",IFERROR(INDEX('자료_한국심리'!$H$3:$H$4002,MATCH(A563,$W$19:$W$4018,0)),E562))</f>
        <v/>
      </c>
      <c r="F563" s="30">
        <f>IF(A563="","",IFERROR(INDEX('자료_한국심리'!$K$3:$K$4002,MATCH(A563,$X$19:$X$4018,0)),F562))</f>
        <v/>
      </c>
      <c r="G563" s="30">
        <f>IF(AND(ISNUMBER(E563),ISNUMBER(F563)),ROUND(E563-F563,6),"")</f>
        <v/>
      </c>
      <c r="H563" s="25">
        <f>IF(A563="","",IFERROR(INDEX('자료_한국심리'!$N$3:$N$4002,MATCH(A563,$Y$19:$Y$4018,0)),H562))</f>
        <v/>
      </c>
      <c r="I563" s="31">
        <f>IF(AND(ISNUMBER(H563),ISNUMBER(H543)),IF(H543&gt;0,H563/H543-1,""),"")</f>
        <v/>
      </c>
      <c r="J563">
        <f>IF(A563="",0,IF(A563&gt;$B$5,1,0))</f>
        <v/>
      </c>
      <c r="K563" s="29">
        <f>IF(AND(J563=1,ISNUMBER(D563)),D563,"")</f>
        <v/>
      </c>
      <c r="L563" s="30">
        <f>IF(AND(J563=1,ISNUMBER(G563)),G563,"")</f>
        <v/>
      </c>
      <c r="M563" s="22">
        <f>IF(AND(J563=1,ISNUMBER(C563)),C563,"")</f>
        <v/>
      </c>
      <c r="N563" s="31">
        <f>IF(AND(J563=1,ISNUMBER(I563)),I563,"")</f>
        <v/>
      </c>
      <c r="O563" s="11">
        <f>IF(K563="","",100-IF($G$13=1,50,(_xlfn.RANK.AVG(K563,$K$19:$K$1518,1)-1)/($G$13-1)*100))</f>
        <v/>
      </c>
      <c r="P563" s="11">
        <f>IF(L563="","",100-IF($G$14=1,50,(_xlfn.RANK.AVG(L563,$L$19:$L$1518,1)-1)/($G$14-1)*100))</f>
        <v/>
      </c>
      <c r="Q563" s="11">
        <f>IF(M563="","",IF($G$15=1,50,(_xlfn.RANK.AVG(M563,$M$19:$M$1518,1)-1)/($G$15-1)*100))</f>
        <v/>
      </c>
      <c r="R563" s="11">
        <f>IF(N563="","",IF($G$16=1,50,(_xlfn.RANK.AVG(N563,$N$19:$N$1518,1)-1)/($G$16-1)*100))</f>
        <v/>
      </c>
      <c r="S563" s="11">
        <f>IF(COUNT(O563:R563)=4,ROUND(AVERAGE(O563:R563),6),"")</f>
        <v/>
      </c>
      <c r="U563">
        <f>IF(AND(ISNUMBER('자료_한국심리'!$A547),ISNUMBER('자료_한국심리'!$B547)),'자료_한국심리'!$A547,"")</f>
        <v/>
      </c>
      <c r="V563">
        <f>IF(AND(ISNUMBER('자료_한국심리'!$D547),ISNUMBER('자료_한국심리'!$E547)),'자료_한국심리'!$D547,"")</f>
        <v/>
      </c>
      <c r="W563">
        <f>IF(AND(ISNUMBER('자료_한국심리'!$G547),ISNUMBER('자료_한국심리'!$H547)),'자료_한국심리'!$G547,"")</f>
        <v/>
      </c>
      <c r="X563">
        <f>IF(AND(ISNUMBER('자료_한국심리'!$J547),ISNUMBER('자료_한국심리'!$K547)),'자료_한국심리'!$J547,"")</f>
        <v/>
      </c>
      <c r="Y563">
        <f>IF(AND(ISNUMBER('자료_한국심리'!$M547),ISNUMBER('자료_한국심리'!$N547)),'자료_한국심리'!$M547,"")</f>
        <v/>
      </c>
    </row>
    <row r="564">
      <c r="A564" s="10">
        <f>IF(546&gt;$E$5,"",SMALL($U$19:$U$4018,$E$6+546))</f>
        <v/>
      </c>
      <c r="B564" s="29">
        <f>IF(A564="","",INDEX('자료_한국심리'!$B$3:$B$4002,MATCH(A564,$U$19:$U$4018,0)))</f>
        <v/>
      </c>
      <c r="C564" s="22">
        <f>IF(A564="","",B564/AVERAGE(B440:B564)-1)</f>
        <v/>
      </c>
      <c r="D564" s="29">
        <f>IF(A564="","",IFERROR(INDEX('자료_한국심리'!$E$3:$E$4002,MATCH(A564,$V$19:$V$4018,0)),D563))</f>
        <v/>
      </c>
      <c r="E564" s="30">
        <f>IF(A564="","",IFERROR(INDEX('자료_한국심리'!$H$3:$H$4002,MATCH(A564,$W$19:$W$4018,0)),E563))</f>
        <v/>
      </c>
      <c r="F564" s="30">
        <f>IF(A564="","",IFERROR(INDEX('자료_한국심리'!$K$3:$K$4002,MATCH(A564,$X$19:$X$4018,0)),F563))</f>
        <v/>
      </c>
      <c r="G564" s="30">
        <f>IF(AND(ISNUMBER(E564),ISNUMBER(F564)),ROUND(E564-F564,6),"")</f>
        <v/>
      </c>
      <c r="H564" s="25">
        <f>IF(A564="","",IFERROR(INDEX('자료_한국심리'!$N$3:$N$4002,MATCH(A564,$Y$19:$Y$4018,0)),H563))</f>
        <v/>
      </c>
      <c r="I564" s="31">
        <f>IF(AND(ISNUMBER(H564),ISNUMBER(H544)),IF(H544&gt;0,H564/H544-1,""),"")</f>
        <v/>
      </c>
      <c r="J564">
        <f>IF(A564="",0,IF(A564&gt;$B$5,1,0))</f>
        <v/>
      </c>
      <c r="K564" s="29">
        <f>IF(AND(J564=1,ISNUMBER(D564)),D564,"")</f>
        <v/>
      </c>
      <c r="L564" s="30">
        <f>IF(AND(J564=1,ISNUMBER(G564)),G564,"")</f>
        <v/>
      </c>
      <c r="M564" s="22">
        <f>IF(AND(J564=1,ISNUMBER(C564)),C564,"")</f>
        <v/>
      </c>
      <c r="N564" s="31">
        <f>IF(AND(J564=1,ISNUMBER(I564)),I564,"")</f>
        <v/>
      </c>
      <c r="O564" s="11">
        <f>IF(K564="","",100-IF($G$13=1,50,(_xlfn.RANK.AVG(K564,$K$19:$K$1518,1)-1)/($G$13-1)*100))</f>
        <v/>
      </c>
      <c r="P564" s="11">
        <f>IF(L564="","",100-IF($G$14=1,50,(_xlfn.RANK.AVG(L564,$L$19:$L$1518,1)-1)/($G$14-1)*100))</f>
        <v/>
      </c>
      <c r="Q564" s="11">
        <f>IF(M564="","",IF($G$15=1,50,(_xlfn.RANK.AVG(M564,$M$19:$M$1518,1)-1)/($G$15-1)*100))</f>
        <v/>
      </c>
      <c r="R564" s="11">
        <f>IF(N564="","",IF($G$16=1,50,(_xlfn.RANK.AVG(N564,$N$19:$N$1518,1)-1)/($G$16-1)*100))</f>
        <v/>
      </c>
      <c r="S564" s="11">
        <f>IF(COUNT(O564:R564)=4,ROUND(AVERAGE(O564:R564),6),"")</f>
        <v/>
      </c>
      <c r="U564">
        <f>IF(AND(ISNUMBER('자료_한국심리'!$A548),ISNUMBER('자료_한국심리'!$B548)),'자료_한국심리'!$A548,"")</f>
        <v/>
      </c>
      <c r="V564">
        <f>IF(AND(ISNUMBER('자료_한국심리'!$D548),ISNUMBER('자료_한국심리'!$E548)),'자료_한국심리'!$D548,"")</f>
        <v/>
      </c>
      <c r="W564">
        <f>IF(AND(ISNUMBER('자료_한국심리'!$G548),ISNUMBER('자료_한국심리'!$H548)),'자료_한국심리'!$G548,"")</f>
        <v/>
      </c>
      <c r="X564">
        <f>IF(AND(ISNUMBER('자료_한국심리'!$J548),ISNUMBER('자료_한국심리'!$K548)),'자료_한국심리'!$J548,"")</f>
        <v/>
      </c>
      <c r="Y564">
        <f>IF(AND(ISNUMBER('자료_한국심리'!$M548),ISNUMBER('자료_한국심리'!$N548)),'자료_한국심리'!$M548,"")</f>
        <v/>
      </c>
    </row>
    <row r="565">
      <c r="A565" s="10">
        <f>IF(547&gt;$E$5,"",SMALL($U$19:$U$4018,$E$6+547))</f>
        <v/>
      </c>
      <c r="B565" s="29">
        <f>IF(A565="","",INDEX('자료_한국심리'!$B$3:$B$4002,MATCH(A565,$U$19:$U$4018,0)))</f>
        <v/>
      </c>
      <c r="C565" s="22">
        <f>IF(A565="","",B565/AVERAGE(B441:B565)-1)</f>
        <v/>
      </c>
      <c r="D565" s="29">
        <f>IF(A565="","",IFERROR(INDEX('자료_한국심리'!$E$3:$E$4002,MATCH(A565,$V$19:$V$4018,0)),D564))</f>
        <v/>
      </c>
      <c r="E565" s="30">
        <f>IF(A565="","",IFERROR(INDEX('자료_한국심리'!$H$3:$H$4002,MATCH(A565,$W$19:$W$4018,0)),E564))</f>
        <v/>
      </c>
      <c r="F565" s="30">
        <f>IF(A565="","",IFERROR(INDEX('자료_한국심리'!$K$3:$K$4002,MATCH(A565,$X$19:$X$4018,0)),F564))</f>
        <v/>
      </c>
      <c r="G565" s="30">
        <f>IF(AND(ISNUMBER(E565),ISNUMBER(F565)),ROUND(E565-F565,6),"")</f>
        <v/>
      </c>
      <c r="H565" s="25">
        <f>IF(A565="","",IFERROR(INDEX('자료_한국심리'!$N$3:$N$4002,MATCH(A565,$Y$19:$Y$4018,0)),H564))</f>
        <v/>
      </c>
      <c r="I565" s="31">
        <f>IF(AND(ISNUMBER(H565),ISNUMBER(H545)),IF(H545&gt;0,H565/H545-1,""),"")</f>
        <v/>
      </c>
      <c r="J565">
        <f>IF(A565="",0,IF(A565&gt;$B$5,1,0))</f>
        <v/>
      </c>
      <c r="K565" s="29">
        <f>IF(AND(J565=1,ISNUMBER(D565)),D565,"")</f>
        <v/>
      </c>
      <c r="L565" s="30">
        <f>IF(AND(J565=1,ISNUMBER(G565)),G565,"")</f>
        <v/>
      </c>
      <c r="M565" s="22">
        <f>IF(AND(J565=1,ISNUMBER(C565)),C565,"")</f>
        <v/>
      </c>
      <c r="N565" s="31">
        <f>IF(AND(J565=1,ISNUMBER(I565)),I565,"")</f>
        <v/>
      </c>
      <c r="O565" s="11">
        <f>IF(K565="","",100-IF($G$13=1,50,(_xlfn.RANK.AVG(K565,$K$19:$K$1518,1)-1)/($G$13-1)*100))</f>
        <v/>
      </c>
      <c r="P565" s="11">
        <f>IF(L565="","",100-IF($G$14=1,50,(_xlfn.RANK.AVG(L565,$L$19:$L$1518,1)-1)/($G$14-1)*100))</f>
        <v/>
      </c>
      <c r="Q565" s="11">
        <f>IF(M565="","",IF($G$15=1,50,(_xlfn.RANK.AVG(M565,$M$19:$M$1518,1)-1)/($G$15-1)*100))</f>
        <v/>
      </c>
      <c r="R565" s="11">
        <f>IF(N565="","",IF($G$16=1,50,(_xlfn.RANK.AVG(N565,$N$19:$N$1518,1)-1)/($G$16-1)*100))</f>
        <v/>
      </c>
      <c r="S565" s="11">
        <f>IF(COUNT(O565:R565)=4,ROUND(AVERAGE(O565:R565),6),"")</f>
        <v/>
      </c>
      <c r="U565">
        <f>IF(AND(ISNUMBER('자료_한국심리'!$A549),ISNUMBER('자료_한국심리'!$B549)),'자료_한국심리'!$A549,"")</f>
        <v/>
      </c>
      <c r="V565">
        <f>IF(AND(ISNUMBER('자료_한국심리'!$D549),ISNUMBER('자료_한국심리'!$E549)),'자료_한국심리'!$D549,"")</f>
        <v/>
      </c>
      <c r="W565">
        <f>IF(AND(ISNUMBER('자료_한국심리'!$G549),ISNUMBER('자료_한국심리'!$H549)),'자료_한국심리'!$G549,"")</f>
        <v/>
      </c>
      <c r="X565">
        <f>IF(AND(ISNUMBER('자료_한국심리'!$J549),ISNUMBER('자료_한국심리'!$K549)),'자료_한국심리'!$J549,"")</f>
        <v/>
      </c>
      <c r="Y565">
        <f>IF(AND(ISNUMBER('자료_한국심리'!$M549),ISNUMBER('자료_한국심리'!$N549)),'자료_한국심리'!$M549,"")</f>
        <v/>
      </c>
    </row>
    <row r="566">
      <c r="A566" s="10">
        <f>IF(548&gt;$E$5,"",SMALL($U$19:$U$4018,$E$6+548))</f>
        <v/>
      </c>
      <c r="B566" s="29">
        <f>IF(A566="","",INDEX('자료_한국심리'!$B$3:$B$4002,MATCH(A566,$U$19:$U$4018,0)))</f>
        <v/>
      </c>
      <c r="C566" s="22">
        <f>IF(A566="","",B566/AVERAGE(B442:B566)-1)</f>
        <v/>
      </c>
      <c r="D566" s="29">
        <f>IF(A566="","",IFERROR(INDEX('자료_한국심리'!$E$3:$E$4002,MATCH(A566,$V$19:$V$4018,0)),D565))</f>
        <v/>
      </c>
      <c r="E566" s="30">
        <f>IF(A566="","",IFERROR(INDEX('자료_한국심리'!$H$3:$H$4002,MATCH(A566,$W$19:$W$4018,0)),E565))</f>
        <v/>
      </c>
      <c r="F566" s="30">
        <f>IF(A566="","",IFERROR(INDEX('자료_한국심리'!$K$3:$K$4002,MATCH(A566,$X$19:$X$4018,0)),F565))</f>
        <v/>
      </c>
      <c r="G566" s="30">
        <f>IF(AND(ISNUMBER(E566),ISNUMBER(F566)),ROUND(E566-F566,6),"")</f>
        <v/>
      </c>
      <c r="H566" s="25">
        <f>IF(A566="","",IFERROR(INDEX('자료_한국심리'!$N$3:$N$4002,MATCH(A566,$Y$19:$Y$4018,0)),H565))</f>
        <v/>
      </c>
      <c r="I566" s="31">
        <f>IF(AND(ISNUMBER(H566),ISNUMBER(H546)),IF(H546&gt;0,H566/H546-1,""),"")</f>
        <v/>
      </c>
      <c r="J566">
        <f>IF(A566="",0,IF(A566&gt;$B$5,1,0))</f>
        <v/>
      </c>
      <c r="K566" s="29">
        <f>IF(AND(J566=1,ISNUMBER(D566)),D566,"")</f>
        <v/>
      </c>
      <c r="L566" s="30">
        <f>IF(AND(J566=1,ISNUMBER(G566)),G566,"")</f>
        <v/>
      </c>
      <c r="M566" s="22">
        <f>IF(AND(J566=1,ISNUMBER(C566)),C566,"")</f>
        <v/>
      </c>
      <c r="N566" s="31">
        <f>IF(AND(J566=1,ISNUMBER(I566)),I566,"")</f>
        <v/>
      </c>
      <c r="O566" s="11">
        <f>IF(K566="","",100-IF($G$13=1,50,(_xlfn.RANK.AVG(K566,$K$19:$K$1518,1)-1)/($G$13-1)*100))</f>
        <v/>
      </c>
      <c r="P566" s="11">
        <f>IF(L566="","",100-IF($G$14=1,50,(_xlfn.RANK.AVG(L566,$L$19:$L$1518,1)-1)/($G$14-1)*100))</f>
        <v/>
      </c>
      <c r="Q566" s="11">
        <f>IF(M566="","",IF($G$15=1,50,(_xlfn.RANK.AVG(M566,$M$19:$M$1518,1)-1)/($G$15-1)*100))</f>
        <v/>
      </c>
      <c r="R566" s="11">
        <f>IF(N566="","",IF($G$16=1,50,(_xlfn.RANK.AVG(N566,$N$19:$N$1518,1)-1)/($G$16-1)*100))</f>
        <v/>
      </c>
      <c r="S566" s="11">
        <f>IF(COUNT(O566:R566)=4,ROUND(AVERAGE(O566:R566),6),"")</f>
        <v/>
      </c>
      <c r="U566">
        <f>IF(AND(ISNUMBER('자료_한국심리'!$A550),ISNUMBER('자료_한국심리'!$B550)),'자료_한국심리'!$A550,"")</f>
        <v/>
      </c>
      <c r="V566">
        <f>IF(AND(ISNUMBER('자료_한국심리'!$D550),ISNUMBER('자료_한국심리'!$E550)),'자료_한국심리'!$D550,"")</f>
        <v/>
      </c>
      <c r="W566">
        <f>IF(AND(ISNUMBER('자료_한국심리'!$G550),ISNUMBER('자료_한국심리'!$H550)),'자료_한국심리'!$G550,"")</f>
        <v/>
      </c>
      <c r="X566">
        <f>IF(AND(ISNUMBER('자료_한국심리'!$J550),ISNUMBER('자료_한국심리'!$K550)),'자료_한국심리'!$J550,"")</f>
        <v/>
      </c>
      <c r="Y566">
        <f>IF(AND(ISNUMBER('자료_한국심리'!$M550),ISNUMBER('자료_한국심리'!$N550)),'자료_한국심리'!$M550,"")</f>
        <v/>
      </c>
    </row>
    <row r="567">
      <c r="A567" s="10">
        <f>IF(549&gt;$E$5,"",SMALL($U$19:$U$4018,$E$6+549))</f>
        <v/>
      </c>
      <c r="B567" s="29">
        <f>IF(A567="","",INDEX('자료_한국심리'!$B$3:$B$4002,MATCH(A567,$U$19:$U$4018,0)))</f>
        <v/>
      </c>
      <c r="C567" s="22">
        <f>IF(A567="","",B567/AVERAGE(B443:B567)-1)</f>
        <v/>
      </c>
      <c r="D567" s="29">
        <f>IF(A567="","",IFERROR(INDEX('자료_한국심리'!$E$3:$E$4002,MATCH(A567,$V$19:$V$4018,0)),D566))</f>
        <v/>
      </c>
      <c r="E567" s="30">
        <f>IF(A567="","",IFERROR(INDEX('자료_한국심리'!$H$3:$H$4002,MATCH(A567,$W$19:$W$4018,0)),E566))</f>
        <v/>
      </c>
      <c r="F567" s="30">
        <f>IF(A567="","",IFERROR(INDEX('자료_한국심리'!$K$3:$K$4002,MATCH(A567,$X$19:$X$4018,0)),F566))</f>
        <v/>
      </c>
      <c r="G567" s="30">
        <f>IF(AND(ISNUMBER(E567),ISNUMBER(F567)),ROUND(E567-F567,6),"")</f>
        <v/>
      </c>
      <c r="H567" s="25">
        <f>IF(A567="","",IFERROR(INDEX('자료_한국심리'!$N$3:$N$4002,MATCH(A567,$Y$19:$Y$4018,0)),H566))</f>
        <v/>
      </c>
      <c r="I567" s="31">
        <f>IF(AND(ISNUMBER(H567),ISNUMBER(H547)),IF(H547&gt;0,H567/H547-1,""),"")</f>
        <v/>
      </c>
      <c r="J567">
        <f>IF(A567="",0,IF(A567&gt;$B$5,1,0))</f>
        <v/>
      </c>
      <c r="K567" s="29">
        <f>IF(AND(J567=1,ISNUMBER(D567)),D567,"")</f>
        <v/>
      </c>
      <c r="L567" s="30">
        <f>IF(AND(J567=1,ISNUMBER(G567)),G567,"")</f>
        <v/>
      </c>
      <c r="M567" s="22">
        <f>IF(AND(J567=1,ISNUMBER(C567)),C567,"")</f>
        <v/>
      </c>
      <c r="N567" s="31">
        <f>IF(AND(J567=1,ISNUMBER(I567)),I567,"")</f>
        <v/>
      </c>
      <c r="O567" s="11">
        <f>IF(K567="","",100-IF($G$13=1,50,(_xlfn.RANK.AVG(K567,$K$19:$K$1518,1)-1)/($G$13-1)*100))</f>
        <v/>
      </c>
      <c r="P567" s="11">
        <f>IF(L567="","",100-IF($G$14=1,50,(_xlfn.RANK.AVG(L567,$L$19:$L$1518,1)-1)/($G$14-1)*100))</f>
        <v/>
      </c>
      <c r="Q567" s="11">
        <f>IF(M567="","",IF($G$15=1,50,(_xlfn.RANK.AVG(M567,$M$19:$M$1518,1)-1)/($G$15-1)*100))</f>
        <v/>
      </c>
      <c r="R567" s="11">
        <f>IF(N567="","",IF($G$16=1,50,(_xlfn.RANK.AVG(N567,$N$19:$N$1518,1)-1)/($G$16-1)*100))</f>
        <v/>
      </c>
      <c r="S567" s="11">
        <f>IF(COUNT(O567:R567)=4,ROUND(AVERAGE(O567:R567),6),"")</f>
        <v/>
      </c>
      <c r="U567">
        <f>IF(AND(ISNUMBER('자료_한국심리'!$A551),ISNUMBER('자료_한국심리'!$B551)),'자료_한국심리'!$A551,"")</f>
        <v/>
      </c>
      <c r="V567">
        <f>IF(AND(ISNUMBER('자료_한국심리'!$D551),ISNUMBER('자료_한국심리'!$E551)),'자료_한국심리'!$D551,"")</f>
        <v/>
      </c>
      <c r="W567">
        <f>IF(AND(ISNUMBER('자료_한국심리'!$G551),ISNUMBER('자료_한국심리'!$H551)),'자료_한국심리'!$G551,"")</f>
        <v/>
      </c>
      <c r="X567">
        <f>IF(AND(ISNUMBER('자료_한국심리'!$J551),ISNUMBER('자료_한국심리'!$K551)),'자료_한국심리'!$J551,"")</f>
        <v/>
      </c>
      <c r="Y567">
        <f>IF(AND(ISNUMBER('자료_한국심리'!$M551),ISNUMBER('자료_한국심리'!$N551)),'자료_한국심리'!$M551,"")</f>
        <v/>
      </c>
    </row>
    <row r="568">
      <c r="A568" s="10">
        <f>IF(550&gt;$E$5,"",SMALL($U$19:$U$4018,$E$6+550))</f>
        <v/>
      </c>
      <c r="B568" s="29">
        <f>IF(A568="","",INDEX('자료_한국심리'!$B$3:$B$4002,MATCH(A568,$U$19:$U$4018,0)))</f>
        <v/>
      </c>
      <c r="C568" s="22">
        <f>IF(A568="","",B568/AVERAGE(B444:B568)-1)</f>
        <v/>
      </c>
      <c r="D568" s="29">
        <f>IF(A568="","",IFERROR(INDEX('자료_한국심리'!$E$3:$E$4002,MATCH(A568,$V$19:$V$4018,0)),D567))</f>
        <v/>
      </c>
      <c r="E568" s="30">
        <f>IF(A568="","",IFERROR(INDEX('자료_한국심리'!$H$3:$H$4002,MATCH(A568,$W$19:$W$4018,0)),E567))</f>
        <v/>
      </c>
      <c r="F568" s="30">
        <f>IF(A568="","",IFERROR(INDEX('자료_한국심리'!$K$3:$K$4002,MATCH(A568,$X$19:$X$4018,0)),F567))</f>
        <v/>
      </c>
      <c r="G568" s="30">
        <f>IF(AND(ISNUMBER(E568),ISNUMBER(F568)),ROUND(E568-F568,6),"")</f>
        <v/>
      </c>
      <c r="H568" s="25">
        <f>IF(A568="","",IFERROR(INDEX('자료_한국심리'!$N$3:$N$4002,MATCH(A568,$Y$19:$Y$4018,0)),H567))</f>
        <v/>
      </c>
      <c r="I568" s="31">
        <f>IF(AND(ISNUMBER(H568),ISNUMBER(H548)),IF(H548&gt;0,H568/H548-1,""),"")</f>
        <v/>
      </c>
      <c r="J568">
        <f>IF(A568="",0,IF(A568&gt;$B$5,1,0))</f>
        <v/>
      </c>
      <c r="K568" s="29">
        <f>IF(AND(J568=1,ISNUMBER(D568)),D568,"")</f>
        <v/>
      </c>
      <c r="L568" s="30">
        <f>IF(AND(J568=1,ISNUMBER(G568)),G568,"")</f>
        <v/>
      </c>
      <c r="M568" s="22">
        <f>IF(AND(J568=1,ISNUMBER(C568)),C568,"")</f>
        <v/>
      </c>
      <c r="N568" s="31">
        <f>IF(AND(J568=1,ISNUMBER(I568)),I568,"")</f>
        <v/>
      </c>
      <c r="O568" s="11">
        <f>IF(K568="","",100-IF($G$13=1,50,(_xlfn.RANK.AVG(K568,$K$19:$K$1518,1)-1)/($G$13-1)*100))</f>
        <v/>
      </c>
      <c r="P568" s="11">
        <f>IF(L568="","",100-IF($G$14=1,50,(_xlfn.RANK.AVG(L568,$L$19:$L$1518,1)-1)/($G$14-1)*100))</f>
        <v/>
      </c>
      <c r="Q568" s="11">
        <f>IF(M568="","",IF($G$15=1,50,(_xlfn.RANK.AVG(M568,$M$19:$M$1518,1)-1)/($G$15-1)*100))</f>
        <v/>
      </c>
      <c r="R568" s="11">
        <f>IF(N568="","",IF($G$16=1,50,(_xlfn.RANK.AVG(N568,$N$19:$N$1518,1)-1)/($G$16-1)*100))</f>
        <v/>
      </c>
      <c r="S568" s="11">
        <f>IF(COUNT(O568:R568)=4,ROUND(AVERAGE(O568:R568),6),"")</f>
        <v/>
      </c>
      <c r="U568">
        <f>IF(AND(ISNUMBER('자료_한국심리'!$A552),ISNUMBER('자료_한국심리'!$B552)),'자료_한국심리'!$A552,"")</f>
        <v/>
      </c>
      <c r="V568">
        <f>IF(AND(ISNUMBER('자료_한국심리'!$D552),ISNUMBER('자료_한국심리'!$E552)),'자료_한국심리'!$D552,"")</f>
        <v/>
      </c>
      <c r="W568">
        <f>IF(AND(ISNUMBER('자료_한국심리'!$G552),ISNUMBER('자료_한국심리'!$H552)),'자료_한국심리'!$G552,"")</f>
        <v/>
      </c>
      <c r="X568">
        <f>IF(AND(ISNUMBER('자료_한국심리'!$J552),ISNUMBER('자료_한국심리'!$K552)),'자료_한국심리'!$J552,"")</f>
        <v/>
      </c>
      <c r="Y568">
        <f>IF(AND(ISNUMBER('자료_한국심리'!$M552),ISNUMBER('자료_한국심리'!$N552)),'자료_한국심리'!$M552,"")</f>
        <v/>
      </c>
    </row>
    <row r="569">
      <c r="A569" s="10">
        <f>IF(551&gt;$E$5,"",SMALL($U$19:$U$4018,$E$6+551))</f>
        <v/>
      </c>
      <c r="B569" s="29">
        <f>IF(A569="","",INDEX('자료_한국심리'!$B$3:$B$4002,MATCH(A569,$U$19:$U$4018,0)))</f>
        <v/>
      </c>
      <c r="C569" s="22">
        <f>IF(A569="","",B569/AVERAGE(B445:B569)-1)</f>
        <v/>
      </c>
      <c r="D569" s="29">
        <f>IF(A569="","",IFERROR(INDEX('자료_한국심리'!$E$3:$E$4002,MATCH(A569,$V$19:$V$4018,0)),D568))</f>
        <v/>
      </c>
      <c r="E569" s="30">
        <f>IF(A569="","",IFERROR(INDEX('자료_한국심리'!$H$3:$H$4002,MATCH(A569,$W$19:$W$4018,0)),E568))</f>
        <v/>
      </c>
      <c r="F569" s="30">
        <f>IF(A569="","",IFERROR(INDEX('자료_한국심리'!$K$3:$K$4002,MATCH(A569,$X$19:$X$4018,0)),F568))</f>
        <v/>
      </c>
      <c r="G569" s="30">
        <f>IF(AND(ISNUMBER(E569),ISNUMBER(F569)),ROUND(E569-F569,6),"")</f>
        <v/>
      </c>
      <c r="H569" s="25">
        <f>IF(A569="","",IFERROR(INDEX('자료_한국심리'!$N$3:$N$4002,MATCH(A569,$Y$19:$Y$4018,0)),H568))</f>
        <v/>
      </c>
      <c r="I569" s="31">
        <f>IF(AND(ISNUMBER(H569),ISNUMBER(H549)),IF(H549&gt;0,H569/H549-1,""),"")</f>
        <v/>
      </c>
      <c r="J569">
        <f>IF(A569="",0,IF(A569&gt;$B$5,1,0))</f>
        <v/>
      </c>
      <c r="K569" s="29">
        <f>IF(AND(J569=1,ISNUMBER(D569)),D569,"")</f>
        <v/>
      </c>
      <c r="L569" s="30">
        <f>IF(AND(J569=1,ISNUMBER(G569)),G569,"")</f>
        <v/>
      </c>
      <c r="M569" s="22">
        <f>IF(AND(J569=1,ISNUMBER(C569)),C569,"")</f>
        <v/>
      </c>
      <c r="N569" s="31">
        <f>IF(AND(J569=1,ISNUMBER(I569)),I569,"")</f>
        <v/>
      </c>
      <c r="O569" s="11">
        <f>IF(K569="","",100-IF($G$13=1,50,(_xlfn.RANK.AVG(K569,$K$19:$K$1518,1)-1)/($G$13-1)*100))</f>
        <v/>
      </c>
      <c r="P569" s="11">
        <f>IF(L569="","",100-IF($G$14=1,50,(_xlfn.RANK.AVG(L569,$L$19:$L$1518,1)-1)/($G$14-1)*100))</f>
        <v/>
      </c>
      <c r="Q569" s="11">
        <f>IF(M569="","",IF($G$15=1,50,(_xlfn.RANK.AVG(M569,$M$19:$M$1518,1)-1)/($G$15-1)*100))</f>
        <v/>
      </c>
      <c r="R569" s="11">
        <f>IF(N569="","",IF($G$16=1,50,(_xlfn.RANK.AVG(N569,$N$19:$N$1518,1)-1)/($G$16-1)*100))</f>
        <v/>
      </c>
      <c r="S569" s="11">
        <f>IF(COUNT(O569:R569)=4,ROUND(AVERAGE(O569:R569),6),"")</f>
        <v/>
      </c>
      <c r="U569">
        <f>IF(AND(ISNUMBER('자료_한국심리'!$A553),ISNUMBER('자료_한국심리'!$B553)),'자료_한국심리'!$A553,"")</f>
        <v/>
      </c>
      <c r="V569">
        <f>IF(AND(ISNUMBER('자료_한국심리'!$D553),ISNUMBER('자료_한국심리'!$E553)),'자료_한국심리'!$D553,"")</f>
        <v/>
      </c>
      <c r="W569">
        <f>IF(AND(ISNUMBER('자료_한국심리'!$G553),ISNUMBER('자료_한국심리'!$H553)),'자료_한국심리'!$G553,"")</f>
        <v/>
      </c>
      <c r="X569">
        <f>IF(AND(ISNUMBER('자료_한국심리'!$J553),ISNUMBER('자료_한국심리'!$K553)),'자료_한국심리'!$J553,"")</f>
        <v/>
      </c>
      <c r="Y569">
        <f>IF(AND(ISNUMBER('자료_한국심리'!$M553),ISNUMBER('자료_한국심리'!$N553)),'자료_한국심리'!$M553,"")</f>
        <v/>
      </c>
    </row>
    <row r="570">
      <c r="A570" s="10">
        <f>IF(552&gt;$E$5,"",SMALL($U$19:$U$4018,$E$6+552))</f>
        <v/>
      </c>
      <c r="B570" s="29">
        <f>IF(A570="","",INDEX('자료_한국심리'!$B$3:$B$4002,MATCH(A570,$U$19:$U$4018,0)))</f>
        <v/>
      </c>
      <c r="C570" s="22">
        <f>IF(A570="","",B570/AVERAGE(B446:B570)-1)</f>
        <v/>
      </c>
      <c r="D570" s="29">
        <f>IF(A570="","",IFERROR(INDEX('자료_한국심리'!$E$3:$E$4002,MATCH(A570,$V$19:$V$4018,0)),D569))</f>
        <v/>
      </c>
      <c r="E570" s="30">
        <f>IF(A570="","",IFERROR(INDEX('자료_한국심리'!$H$3:$H$4002,MATCH(A570,$W$19:$W$4018,0)),E569))</f>
        <v/>
      </c>
      <c r="F570" s="30">
        <f>IF(A570="","",IFERROR(INDEX('자료_한국심리'!$K$3:$K$4002,MATCH(A570,$X$19:$X$4018,0)),F569))</f>
        <v/>
      </c>
      <c r="G570" s="30">
        <f>IF(AND(ISNUMBER(E570),ISNUMBER(F570)),ROUND(E570-F570,6),"")</f>
        <v/>
      </c>
      <c r="H570" s="25">
        <f>IF(A570="","",IFERROR(INDEX('자료_한국심리'!$N$3:$N$4002,MATCH(A570,$Y$19:$Y$4018,0)),H569))</f>
        <v/>
      </c>
      <c r="I570" s="31">
        <f>IF(AND(ISNUMBER(H570),ISNUMBER(H550)),IF(H550&gt;0,H570/H550-1,""),"")</f>
        <v/>
      </c>
      <c r="J570">
        <f>IF(A570="",0,IF(A570&gt;$B$5,1,0))</f>
        <v/>
      </c>
      <c r="K570" s="29">
        <f>IF(AND(J570=1,ISNUMBER(D570)),D570,"")</f>
        <v/>
      </c>
      <c r="L570" s="30">
        <f>IF(AND(J570=1,ISNUMBER(G570)),G570,"")</f>
        <v/>
      </c>
      <c r="M570" s="22">
        <f>IF(AND(J570=1,ISNUMBER(C570)),C570,"")</f>
        <v/>
      </c>
      <c r="N570" s="31">
        <f>IF(AND(J570=1,ISNUMBER(I570)),I570,"")</f>
        <v/>
      </c>
      <c r="O570" s="11">
        <f>IF(K570="","",100-IF($G$13=1,50,(_xlfn.RANK.AVG(K570,$K$19:$K$1518,1)-1)/($G$13-1)*100))</f>
        <v/>
      </c>
      <c r="P570" s="11">
        <f>IF(L570="","",100-IF($G$14=1,50,(_xlfn.RANK.AVG(L570,$L$19:$L$1518,1)-1)/($G$14-1)*100))</f>
        <v/>
      </c>
      <c r="Q570" s="11">
        <f>IF(M570="","",IF($G$15=1,50,(_xlfn.RANK.AVG(M570,$M$19:$M$1518,1)-1)/($G$15-1)*100))</f>
        <v/>
      </c>
      <c r="R570" s="11">
        <f>IF(N570="","",IF($G$16=1,50,(_xlfn.RANK.AVG(N570,$N$19:$N$1518,1)-1)/($G$16-1)*100))</f>
        <v/>
      </c>
      <c r="S570" s="11">
        <f>IF(COUNT(O570:R570)=4,ROUND(AVERAGE(O570:R570),6),"")</f>
        <v/>
      </c>
      <c r="U570">
        <f>IF(AND(ISNUMBER('자료_한국심리'!$A554),ISNUMBER('자료_한국심리'!$B554)),'자료_한국심리'!$A554,"")</f>
        <v/>
      </c>
      <c r="V570">
        <f>IF(AND(ISNUMBER('자료_한국심리'!$D554),ISNUMBER('자료_한국심리'!$E554)),'자료_한국심리'!$D554,"")</f>
        <v/>
      </c>
      <c r="W570">
        <f>IF(AND(ISNUMBER('자료_한국심리'!$G554),ISNUMBER('자료_한국심리'!$H554)),'자료_한국심리'!$G554,"")</f>
        <v/>
      </c>
      <c r="X570">
        <f>IF(AND(ISNUMBER('자료_한국심리'!$J554),ISNUMBER('자료_한국심리'!$K554)),'자료_한국심리'!$J554,"")</f>
        <v/>
      </c>
      <c r="Y570">
        <f>IF(AND(ISNUMBER('자료_한국심리'!$M554),ISNUMBER('자료_한국심리'!$N554)),'자료_한국심리'!$M554,"")</f>
        <v/>
      </c>
    </row>
    <row r="571">
      <c r="A571" s="10">
        <f>IF(553&gt;$E$5,"",SMALL($U$19:$U$4018,$E$6+553))</f>
        <v/>
      </c>
      <c r="B571" s="29">
        <f>IF(A571="","",INDEX('자료_한국심리'!$B$3:$B$4002,MATCH(A571,$U$19:$U$4018,0)))</f>
        <v/>
      </c>
      <c r="C571" s="22">
        <f>IF(A571="","",B571/AVERAGE(B447:B571)-1)</f>
        <v/>
      </c>
      <c r="D571" s="29">
        <f>IF(A571="","",IFERROR(INDEX('자료_한국심리'!$E$3:$E$4002,MATCH(A571,$V$19:$V$4018,0)),D570))</f>
        <v/>
      </c>
      <c r="E571" s="30">
        <f>IF(A571="","",IFERROR(INDEX('자료_한국심리'!$H$3:$H$4002,MATCH(A571,$W$19:$W$4018,0)),E570))</f>
        <v/>
      </c>
      <c r="F571" s="30">
        <f>IF(A571="","",IFERROR(INDEX('자료_한국심리'!$K$3:$K$4002,MATCH(A571,$X$19:$X$4018,0)),F570))</f>
        <v/>
      </c>
      <c r="G571" s="30">
        <f>IF(AND(ISNUMBER(E571),ISNUMBER(F571)),ROUND(E571-F571,6),"")</f>
        <v/>
      </c>
      <c r="H571" s="25">
        <f>IF(A571="","",IFERROR(INDEX('자료_한국심리'!$N$3:$N$4002,MATCH(A571,$Y$19:$Y$4018,0)),H570))</f>
        <v/>
      </c>
      <c r="I571" s="31">
        <f>IF(AND(ISNUMBER(H571),ISNUMBER(H551)),IF(H551&gt;0,H571/H551-1,""),"")</f>
        <v/>
      </c>
      <c r="J571">
        <f>IF(A571="",0,IF(A571&gt;$B$5,1,0))</f>
        <v/>
      </c>
      <c r="K571" s="29">
        <f>IF(AND(J571=1,ISNUMBER(D571)),D571,"")</f>
        <v/>
      </c>
      <c r="L571" s="30">
        <f>IF(AND(J571=1,ISNUMBER(G571)),G571,"")</f>
        <v/>
      </c>
      <c r="M571" s="22">
        <f>IF(AND(J571=1,ISNUMBER(C571)),C571,"")</f>
        <v/>
      </c>
      <c r="N571" s="31">
        <f>IF(AND(J571=1,ISNUMBER(I571)),I571,"")</f>
        <v/>
      </c>
      <c r="O571" s="11">
        <f>IF(K571="","",100-IF($G$13=1,50,(_xlfn.RANK.AVG(K571,$K$19:$K$1518,1)-1)/($G$13-1)*100))</f>
        <v/>
      </c>
      <c r="P571" s="11">
        <f>IF(L571="","",100-IF($G$14=1,50,(_xlfn.RANK.AVG(L571,$L$19:$L$1518,1)-1)/($G$14-1)*100))</f>
        <v/>
      </c>
      <c r="Q571" s="11">
        <f>IF(M571="","",IF($G$15=1,50,(_xlfn.RANK.AVG(M571,$M$19:$M$1518,1)-1)/($G$15-1)*100))</f>
        <v/>
      </c>
      <c r="R571" s="11">
        <f>IF(N571="","",IF($G$16=1,50,(_xlfn.RANK.AVG(N571,$N$19:$N$1518,1)-1)/($G$16-1)*100))</f>
        <v/>
      </c>
      <c r="S571" s="11">
        <f>IF(COUNT(O571:R571)=4,ROUND(AVERAGE(O571:R571),6),"")</f>
        <v/>
      </c>
      <c r="U571">
        <f>IF(AND(ISNUMBER('자료_한국심리'!$A555),ISNUMBER('자료_한국심리'!$B555)),'자료_한국심리'!$A555,"")</f>
        <v/>
      </c>
      <c r="V571">
        <f>IF(AND(ISNUMBER('자료_한국심리'!$D555),ISNUMBER('자료_한국심리'!$E555)),'자료_한국심리'!$D555,"")</f>
        <v/>
      </c>
      <c r="W571">
        <f>IF(AND(ISNUMBER('자료_한국심리'!$G555),ISNUMBER('자료_한국심리'!$H555)),'자료_한국심리'!$G555,"")</f>
        <v/>
      </c>
      <c r="X571">
        <f>IF(AND(ISNUMBER('자료_한국심리'!$J555),ISNUMBER('자료_한국심리'!$K555)),'자료_한국심리'!$J555,"")</f>
        <v/>
      </c>
      <c r="Y571">
        <f>IF(AND(ISNUMBER('자료_한국심리'!$M555),ISNUMBER('자료_한국심리'!$N555)),'자료_한국심리'!$M555,"")</f>
        <v/>
      </c>
    </row>
    <row r="572">
      <c r="A572" s="10">
        <f>IF(554&gt;$E$5,"",SMALL($U$19:$U$4018,$E$6+554))</f>
        <v/>
      </c>
      <c r="B572" s="29">
        <f>IF(A572="","",INDEX('자료_한국심리'!$B$3:$B$4002,MATCH(A572,$U$19:$U$4018,0)))</f>
        <v/>
      </c>
      <c r="C572" s="22">
        <f>IF(A572="","",B572/AVERAGE(B448:B572)-1)</f>
        <v/>
      </c>
      <c r="D572" s="29">
        <f>IF(A572="","",IFERROR(INDEX('자료_한국심리'!$E$3:$E$4002,MATCH(A572,$V$19:$V$4018,0)),D571))</f>
        <v/>
      </c>
      <c r="E572" s="30">
        <f>IF(A572="","",IFERROR(INDEX('자료_한국심리'!$H$3:$H$4002,MATCH(A572,$W$19:$W$4018,0)),E571))</f>
        <v/>
      </c>
      <c r="F572" s="30">
        <f>IF(A572="","",IFERROR(INDEX('자료_한국심리'!$K$3:$K$4002,MATCH(A572,$X$19:$X$4018,0)),F571))</f>
        <v/>
      </c>
      <c r="G572" s="30">
        <f>IF(AND(ISNUMBER(E572),ISNUMBER(F572)),ROUND(E572-F572,6),"")</f>
        <v/>
      </c>
      <c r="H572" s="25">
        <f>IF(A572="","",IFERROR(INDEX('자료_한국심리'!$N$3:$N$4002,MATCH(A572,$Y$19:$Y$4018,0)),H571))</f>
        <v/>
      </c>
      <c r="I572" s="31">
        <f>IF(AND(ISNUMBER(H572),ISNUMBER(H552)),IF(H552&gt;0,H572/H552-1,""),"")</f>
        <v/>
      </c>
      <c r="J572">
        <f>IF(A572="",0,IF(A572&gt;$B$5,1,0))</f>
        <v/>
      </c>
      <c r="K572" s="29">
        <f>IF(AND(J572=1,ISNUMBER(D572)),D572,"")</f>
        <v/>
      </c>
      <c r="L572" s="30">
        <f>IF(AND(J572=1,ISNUMBER(G572)),G572,"")</f>
        <v/>
      </c>
      <c r="M572" s="22">
        <f>IF(AND(J572=1,ISNUMBER(C572)),C572,"")</f>
        <v/>
      </c>
      <c r="N572" s="31">
        <f>IF(AND(J572=1,ISNUMBER(I572)),I572,"")</f>
        <v/>
      </c>
      <c r="O572" s="11">
        <f>IF(K572="","",100-IF($G$13=1,50,(_xlfn.RANK.AVG(K572,$K$19:$K$1518,1)-1)/($G$13-1)*100))</f>
        <v/>
      </c>
      <c r="P572" s="11">
        <f>IF(L572="","",100-IF($G$14=1,50,(_xlfn.RANK.AVG(L572,$L$19:$L$1518,1)-1)/($G$14-1)*100))</f>
        <v/>
      </c>
      <c r="Q572" s="11">
        <f>IF(M572="","",IF($G$15=1,50,(_xlfn.RANK.AVG(M572,$M$19:$M$1518,1)-1)/($G$15-1)*100))</f>
        <v/>
      </c>
      <c r="R572" s="11">
        <f>IF(N572="","",IF($G$16=1,50,(_xlfn.RANK.AVG(N572,$N$19:$N$1518,1)-1)/($G$16-1)*100))</f>
        <v/>
      </c>
      <c r="S572" s="11">
        <f>IF(COUNT(O572:R572)=4,ROUND(AVERAGE(O572:R572),6),"")</f>
        <v/>
      </c>
      <c r="U572">
        <f>IF(AND(ISNUMBER('자료_한국심리'!$A556),ISNUMBER('자료_한국심리'!$B556)),'자료_한국심리'!$A556,"")</f>
        <v/>
      </c>
      <c r="V572">
        <f>IF(AND(ISNUMBER('자료_한국심리'!$D556),ISNUMBER('자료_한국심리'!$E556)),'자료_한국심리'!$D556,"")</f>
        <v/>
      </c>
      <c r="W572">
        <f>IF(AND(ISNUMBER('자료_한국심리'!$G556),ISNUMBER('자료_한국심리'!$H556)),'자료_한국심리'!$G556,"")</f>
        <v/>
      </c>
      <c r="X572">
        <f>IF(AND(ISNUMBER('자료_한국심리'!$J556),ISNUMBER('자료_한국심리'!$K556)),'자료_한국심리'!$J556,"")</f>
        <v/>
      </c>
      <c r="Y572">
        <f>IF(AND(ISNUMBER('자료_한국심리'!$M556),ISNUMBER('자료_한국심리'!$N556)),'자료_한국심리'!$M556,"")</f>
        <v/>
      </c>
    </row>
    <row r="573">
      <c r="A573" s="10">
        <f>IF(555&gt;$E$5,"",SMALL($U$19:$U$4018,$E$6+555))</f>
        <v/>
      </c>
      <c r="B573" s="29">
        <f>IF(A573="","",INDEX('자료_한국심리'!$B$3:$B$4002,MATCH(A573,$U$19:$U$4018,0)))</f>
        <v/>
      </c>
      <c r="C573" s="22">
        <f>IF(A573="","",B573/AVERAGE(B449:B573)-1)</f>
        <v/>
      </c>
      <c r="D573" s="29">
        <f>IF(A573="","",IFERROR(INDEX('자료_한국심리'!$E$3:$E$4002,MATCH(A573,$V$19:$V$4018,0)),D572))</f>
        <v/>
      </c>
      <c r="E573" s="30">
        <f>IF(A573="","",IFERROR(INDEX('자료_한국심리'!$H$3:$H$4002,MATCH(A573,$W$19:$W$4018,0)),E572))</f>
        <v/>
      </c>
      <c r="F573" s="30">
        <f>IF(A573="","",IFERROR(INDEX('자료_한국심리'!$K$3:$K$4002,MATCH(A573,$X$19:$X$4018,0)),F572))</f>
        <v/>
      </c>
      <c r="G573" s="30">
        <f>IF(AND(ISNUMBER(E573),ISNUMBER(F573)),ROUND(E573-F573,6),"")</f>
        <v/>
      </c>
      <c r="H573" s="25">
        <f>IF(A573="","",IFERROR(INDEX('자료_한국심리'!$N$3:$N$4002,MATCH(A573,$Y$19:$Y$4018,0)),H572))</f>
        <v/>
      </c>
      <c r="I573" s="31">
        <f>IF(AND(ISNUMBER(H573),ISNUMBER(H553)),IF(H553&gt;0,H573/H553-1,""),"")</f>
        <v/>
      </c>
      <c r="J573">
        <f>IF(A573="",0,IF(A573&gt;$B$5,1,0))</f>
        <v/>
      </c>
      <c r="K573" s="29">
        <f>IF(AND(J573=1,ISNUMBER(D573)),D573,"")</f>
        <v/>
      </c>
      <c r="L573" s="30">
        <f>IF(AND(J573=1,ISNUMBER(G573)),G573,"")</f>
        <v/>
      </c>
      <c r="M573" s="22">
        <f>IF(AND(J573=1,ISNUMBER(C573)),C573,"")</f>
        <v/>
      </c>
      <c r="N573" s="31">
        <f>IF(AND(J573=1,ISNUMBER(I573)),I573,"")</f>
        <v/>
      </c>
      <c r="O573" s="11">
        <f>IF(K573="","",100-IF($G$13=1,50,(_xlfn.RANK.AVG(K573,$K$19:$K$1518,1)-1)/($G$13-1)*100))</f>
        <v/>
      </c>
      <c r="P573" s="11">
        <f>IF(L573="","",100-IF($G$14=1,50,(_xlfn.RANK.AVG(L573,$L$19:$L$1518,1)-1)/($G$14-1)*100))</f>
        <v/>
      </c>
      <c r="Q573" s="11">
        <f>IF(M573="","",IF($G$15=1,50,(_xlfn.RANK.AVG(M573,$M$19:$M$1518,1)-1)/($G$15-1)*100))</f>
        <v/>
      </c>
      <c r="R573" s="11">
        <f>IF(N573="","",IF($G$16=1,50,(_xlfn.RANK.AVG(N573,$N$19:$N$1518,1)-1)/($G$16-1)*100))</f>
        <v/>
      </c>
      <c r="S573" s="11">
        <f>IF(COUNT(O573:R573)=4,ROUND(AVERAGE(O573:R573),6),"")</f>
        <v/>
      </c>
      <c r="U573">
        <f>IF(AND(ISNUMBER('자료_한국심리'!$A557),ISNUMBER('자료_한국심리'!$B557)),'자료_한국심리'!$A557,"")</f>
        <v/>
      </c>
      <c r="V573">
        <f>IF(AND(ISNUMBER('자료_한국심리'!$D557),ISNUMBER('자료_한국심리'!$E557)),'자료_한국심리'!$D557,"")</f>
        <v/>
      </c>
      <c r="W573">
        <f>IF(AND(ISNUMBER('자료_한국심리'!$G557),ISNUMBER('자료_한국심리'!$H557)),'자료_한국심리'!$G557,"")</f>
        <v/>
      </c>
      <c r="X573">
        <f>IF(AND(ISNUMBER('자료_한국심리'!$J557),ISNUMBER('자료_한국심리'!$K557)),'자료_한국심리'!$J557,"")</f>
        <v/>
      </c>
      <c r="Y573">
        <f>IF(AND(ISNUMBER('자료_한국심리'!$M557),ISNUMBER('자료_한국심리'!$N557)),'자료_한국심리'!$M557,"")</f>
        <v/>
      </c>
    </row>
    <row r="574">
      <c r="A574" s="10">
        <f>IF(556&gt;$E$5,"",SMALL($U$19:$U$4018,$E$6+556))</f>
        <v/>
      </c>
      <c r="B574" s="29">
        <f>IF(A574="","",INDEX('자료_한국심리'!$B$3:$B$4002,MATCH(A574,$U$19:$U$4018,0)))</f>
        <v/>
      </c>
      <c r="C574" s="22">
        <f>IF(A574="","",B574/AVERAGE(B450:B574)-1)</f>
        <v/>
      </c>
      <c r="D574" s="29">
        <f>IF(A574="","",IFERROR(INDEX('자료_한국심리'!$E$3:$E$4002,MATCH(A574,$V$19:$V$4018,0)),D573))</f>
        <v/>
      </c>
      <c r="E574" s="30">
        <f>IF(A574="","",IFERROR(INDEX('자료_한국심리'!$H$3:$H$4002,MATCH(A574,$W$19:$W$4018,0)),E573))</f>
        <v/>
      </c>
      <c r="F574" s="30">
        <f>IF(A574="","",IFERROR(INDEX('자료_한국심리'!$K$3:$K$4002,MATCH(A574,$X$19:$X$4018,0)),F573))</f>
        <v/>
      </c>
      <c r="G574" s="30">
        <f>IF(AND(ISNUMBER(E574),ISNUMBER(F574)),ROUND(E574-F574,6),"")</f>
        <v/>
      </c>
      <c r="H574" s="25">
        <f>IF(A574="","",IFERROR(INDEX('자료_한국심리'!$N$3:$N$4002,MATCH(A574,$Y$19:$Y$4018,0)),H573))</f>
        <v/>
      </c>
      <c r="I574" s="31">
        <f>IF(AND(ISNUMBER(H574),ISNUMBER(H554)),IF(H554&gt;0,H574/H554-1,""),"")</f>
        <v/>
      </c>
      <c r="J574">
        <f>IF(A574="",0,IF(A574&gt;$B$5,1,0))</f>
        <v/>
      </c>
      <c r="K574" s="29">
        <f>IF(AND(J574=1,ISNUMBER(D574)),D574,"")</f>
        <v/>
      </c>
      <c r="L574" s="30">
        <f>IF(AND(J574=1,ISNUMBER(G574)),G574,"")</f>
        <v/>
      </c>
      <c r="M574" s="22">
        <f>IF(AND(J574=1,ISNUMBER(C574)),C574,"")</f>
        <v/>
      </c>
      <c r="N574" s="31">
        <f>IF(AND(J574=1,ISNUMBER(I574)),I574,"")</f>
        <v/>
      </c>
      <c r="O574" s="11">
        <f>IF(K574="","",100-IF($G$13=1,50,(_xlfn.RANK.AVG(K574,$K$19:$K$1518,1)-1)/($G$13-1)*100))</f>
        <v/>
      </c>
      <c r="P574" s="11">
        <f>IF(L574="","",100-IF($G$14=1,50,(_xlfn.RANK.AVG(L574,$L$19:$L$1518,1)-1)/($G$14-1)*100))</f>
        <v/>
      </c>
      <c r="Q574" s="11">
        <f>IF(M574="","",IF($G$15=1,50,(_xlfn.RANK.AVG(M574,$M$19:$M$1518,1)-1)/($G$15-1)*100))</f>
        <v/>
      </c>
      <c r="R574" s="11">
        <f>IF(N574="","",IF($G$16=1,50,(_xlfn.RANK.AVG(N574,$N$19:$N$1518,1)-1)/($G$16-1)*100))</f>
        <v/>
      </c>
      <c r="S574" s="11">
        <f>IF(COUNT(O574:R574)=4,ROUND(AVERAGE(O574:R574),6),"")</f>
        <v/>
      </c>
      <c r="U574">
        <f>IF(AND(ISNUMBER('자료_한국심리'!$A558),ISNUMBER('자료_한국심리'!$B558)),'자료_한국심리'!$A558,"")</f>
        <v/>
      </c>
      <c r="V574">
        <f>IF(AND(ISNUMBER('자료_한국심리'!$D558),ISNUMBER('자료_한국심리'!$E558)),'자료_한국심리'!$D558,"")</f>
        <v/>
      </c>
      <c r="W574">
        <f>IF(AND(ISNUMBER('자료_한국심리'!$G558),ISNUMBER('자료_한국심리'!$H558)),'자료_한국심리'!$G558,"")</f>
        <v/>
      </c>
      <c r="X574">
        <f>IF(AND(ISNUMBER('자료_한국심리'!$J558),ISNUMBER('자료_한국심리'!$K558)),'자료_한국심리'!$J558,"")</f>
        <v/>
      </c>
      <c r="Y574">
        <f>IF(AND(ISNUMBER('자료_한국심리'!$M558),ISNUMBER('자료_한국심리'!$N558)),'자료_한국심리'!$M558,"")</f>
        <v/>
      </c>
    </row>
    <row r="575">
      <c r="A575" s="10">
        <f>IF(557&gt;$E$5,"",SMALL($U$19:$U$4018,$E$6+557))</f>
        <v/>
      </c>
      <c r="B575" s="29">
        <f>IF(A575="","",INDEX('자료_한국심리'!$B$3:$B$4002,MATCH(A575,$U$19:$U$4018,0)))</f>
        <v/>
      </c>
      <c r="C575" s="22">
        <f>IF(A575="","",B575/AVERAGE(B451:B575)-1)</f>
        <v/>
      </c>
      <c r="D575" s="29">
        <f>IF(A575="","",IFERROR(INDEX('자료_한국심리'!$E$3:$E$4002,MATCH(A575,$V$19:$V$4018,0)),D574))</f>
        <v/>
      </c>
      <c r="E575" s="30">
        <f>IF(A575="","",IFERROR(INDEX('자료_한국심리'!$H$3:$H$4002,MATCH(A575,$W$19:$W$4018,0)),E574))</f>
        <v/>
      </c>
      <c r="F575" s="30">
        <f>IF(A575="","",IFERROR(INDEX('자료_한국심리'!$K$3:$K$4002,MATCH(A575,$X$19:$X$4018,0)),F574))</f>
        <v/>
      </c>
      <c r="G575" s="30">
        <f>IF(AND(ISNUMBER(E575),ISNUMBER(F575)),ROUND(E575-F575,6),"")</f>
        <v/>
      </c>
      <c r="H575" s="25">
        <f>IF(A575="","",IFERROR(INDEX('자료_한국심리'!$N$3:$N$4002,MATCH(A575,$Y$19:$Y$4018,0)),H574))</f>
        <v/>
      </c>
      <c r="I575" s="31">
        <f>IF(AND(ISNUMBER(H575),ISNUMBER(H555)),IF(H555&gt;0,H575/H555-1,""),"")</f>
        <v/>
      </c>
      <c r="J575">
        <f>IF(A575="",0,IF(A575&gt;$B$5,1,0))</f>
        <v/>
      </c>
      <c r="K575" s="29">
        <f>IF(AND(J575=1,ISNUMBER(D575)),D575,"")</f>
        <v/>
      </c>
      <c r="L575" s="30">
        <f>IF(AND(J575=1,ISNUMBER(G575)),G575,"")</f>
        <v/>
      </c>
      <c r="M575" s="22">
        <f>IF(AND(J575=1,ISNUMBER(C575)),C575,"")</f>
        <v/>
      </c>
      <c r="N575" s="31">
        <f>IF(AND(J575=1,ISNUMBER(I575)),I575,"")</f>
        <v/>
      </c>
      <c r="O575" s="11">
        <f>IF(K575="","",100-IF($G$13=1,50,(_xlfn.RANK.AVG(K575,$K$19:$K$1518,1)-1)/($G$13-1)*100))</f>
        <v/>
      </c>
      <c r="P575" s="11">
        <f>IF(L575="","",100-IF($G$14=1,50,(_xlfn.RANK.AVG(L575,$L$19:$L$1518,1)-1)/($G$14-1)*100))</f>
        <v/>
      </c>
      <c r="Q575" s="11">
        <f>IF(M575="","",IF($G$15=1,50,(_xlfn.RANK.AVG(M575,$M$19:$M$1518,1)-1)/($G$15-1)*100))</f>
        <v/>
      </c>
      <c r="R575" s="11">
        <f>IF(N575="","",IF($G$16=1,50,(_xlfn.RANK.AVG(N575,$N$19:$N$1518,1)-1)/($G$16-1)*100))</f>
        <v/>
      </c>
      <c r="S575" s="11">
        <f>IF(COUNT(O575:R575)=4,ROUND(AVERAGE(O575:R575),6),"")</f>
        <v/>
      </c>
      <c r="U575">
        <f>IF(AND(ISNUMBER('자료_한국심리'!$A559),ISNUMBER('자료_한국심리'!$B559)),'자료_한국심리'!$A559,"")</f>
        <v/>
      </c>
      <c r="V575">
        <f>IF(AND(ISNUMBER('자료_한국심리'!$D559),ISNUMBER('자료_한국심리'!$E559)),'자료_한국심리'!$D559,"")</f>
        <v/>
      </c>
      <c r="W575">
        <f>IF(AND(ISNUMBER('자료_한국심리'!$G559),ISNUMBER('자료_한국심리'!$H559)),'자료_한국심리'!$G559,"")</f>
        <v/>
      </c>
      <c r="X575">
        <f>IF(AND(ISNUMBER('자료_한국심리'!$J559),ISNUMBER('자료_한국심리'!$K559)),'자료_한국심리'!$J559,"")</f>
        <v/>
      </c>
      <c r="Y575">
        <f>IF(AND(ISNUMBER('자료_한국심리'!$M559),ISNUMBER('자료_한국심리'!$N559)),'자료_한국심리'!$M559,"")</f>
        <v/>
      </c>
    </row>
    <row r="576">
      <c r="A576" s="10">
        <f>IF(558&gt;$E$5,"",SMALL($U$19:$U$4018,$E$6+558))</f>
        <v/>
      </c>
      <c r="B576" s="29">
        <f>IF(A576="","",INDEX('자료_한국심리'!$B$3:$B$4002,MATCH(A576,$U$19:$U$4018,0)))</f>
        <v/>
      </c>
      <c r="C576" s="22">
        <f>IF(A576="","",B576/AVERAGE(B452:B576)-1)</f>
        <v/>
      </c>
      <c r="D576" s="29">
        <f>IF(A576="","",IFERROR(INDEX('자료_한국심리'!$E$3:$E$4002,MATCH(A576,$V$19:$V$4018,0)),D575))</f>
        <v/>
      </c>
      <c r="E576" s="30">
        <f>IF(A576="","",IFERROR(INDEX('자료_한국심리'!$H$3:$H$4002,MATCH(A576,$W$19:$W$4018,0)),E575))</f>
        <v/>
      </c>
      <c r="F576" s="30">
        <f>IF(A576="","",IFERROR(INDEX('자료_한국심리'!$K$3:$K$4002,MATCH(A576,$X$19:$X$4018,0)),F575))</f>
        <v/>
      </c>
      <c r="G576" s="30">
        <f>IF(AND(ISNUMBER(E576),ISNUMBER(F576)),ROUND(E576-F576,6),"")</f>
        <v/>
      </c>
      <c r="H576" s="25">
        <f>IF(A576="","",IFERROR(INDEX('자료_한국심리'!$N$3:$N$4002,MATCH(A576,$Y$19:$Y$4018,0)),H575))</f>
        <v/>
      </c>
      <c r="I576" s="31">
        <f>IF(AND(ISNUMBER(H576),ISNUMBER(H556)),IF(H556&gt;0,H576/H556-1,""),"")</f>
        <v/>
      </c>
      <c r="J576">
        <f>IF(A576="",0,IF(A576&gt;$B$5,1,0))</f>
        <v/>
      </c>
      <c r="K576" s="29">
        <f>IF(AND(J576=1,ISNUMBER(D576)),D576,"")</f>
        <v/>
      </c>
      <c r="L576" s="30">
        <f>IF(AND(J576=1,ISNUMBER(G576)),G576,"")</f>
        <v/>
      </c>
      <c r="M576" s="22">
        <f>IF(AND(J576=1,ISNUMBER(C576)),C576,"")</f>
        <v/>
      </c>
      <c r="N576" s="31">
        <f>IF(AND(J576=1,ISNUMBER(I576)),I576,"")</f>
        <v/>
      </c>
      <c r="O576" s="11">
        <f>IF(K576="","",100-IF($G$13=1,50,(_xlfn.RANK.AVG(K576,$K$19:$K$1518,1)-1)/($G$13-1)*100))</f>
        <v/>
      </c>
      <c r="P576" s="11">
        <f>IF(L576="","",100-IF($G$14=1,50,(_xlfn.RANK.AVG(L576,$L$19:$L$1518,1)-1)/($G$14-1)*100))</f>
        <v/>
      </c>
      <c r="Q576" s="11">
        <f>IF(M576="","",IF($G$15=1,50,(_xlfn.RANK.AVG(M576,$M$19:$M$1518,1)-1)/($G$15-1)*100))</f>
        <v/>
      </c>
      <c r="R576" s="11">
        <f>IF(N576="","",IF($G$16=1,50,(_xlfn.RANK.AVG(N576,$N$19:$N$1518,1)-1)/($G$16-1)*100))</f>
        <v/>
      </c>
      <c r="S576" s="11">
        <f>IF(COUNT(O576:R576)=4,ROUND(AVERAGE(O576:R576),6),"")</f>
        <v/>
      </c>
      <c r="U576">
        <f>IF(AND(ISNUMBER('자료_한국심리'!$A560),ISNUMBER('자료_한국심리'!$B560)),'자료_한국심리'!$A560,"")</f>
        <v/>
      </c>
      <c r="V576">
        <f>IF(AND(ISNUMBER('자료_한국심리'!$D560),ISNUMBER('자료_한국심리'!$E560)),'자료_한국심리'!$D560,"")</f>
        <v/>
      </c>
      <c r="W576">
        <f>IF(AND(ISNUMBER('자료_한국심리'!$G560),ISNUMBER('자료_한국심리'!$H560)),'자료_한국심리'!$G560,"")</f>
        <v/>
      </c>
      <c r="X576">
        <f>IF(AND(ISNUMBER('자료_한국심리'!$J560),ISNUMBER('자료_한국심리'!$K560)),'자료_한국심리'!$J560,"")</f>
        <v/>
      </c>
      <c r="Y576">
        <f>IF(AND(ISNUMBER('자료_한국심리'!$M560),ISNUMBER('자료_한국심리'!$N560)),'자료_한국심리'!$M560,"")</f>
        <v/>
      </c>
    </row>
    <row r="577">
      <c r="A577" s="10">
        <f>IF(559&gt;$E$5,"",SMALL($U$19:$U$4018,$E$6+559))</f>
        <v/>
      </c>
      <c r="B577" s="29">
        <f>IF(A577="","",INDEX('자료_한국심리'!$B$3:$B$4002,MATCH(A577,$U$19:$U$4018,0)))</f>
        <v/>
      </c>
      <c r="C577" s="22">
        <f>IF(A577="","",B577/AVERAGE(B453:B577)-1)</f>
        <v/>
      </c>
      <c r="D577" s="29">
        <f>IF(A577="","",IFERROR(INDEX('자료_한국심리'!$E$3:$E$4002,MATCH(A577,$V$19:$V$4018,0)),D576))</f>
        <v/>
      </c>
      <c r="E577" s="30">
        <f>IF(A577="","",IFERROR(INDEX('자료_한국심리'!$H$3:$H$4002,MATCH(A577,$W$19:$W$4018,0)),E576))</f>
        <v/>
      </c>
      <c r="F577" s="30">
        <f>IF(A577="","",IFERROR(INDEX('자료_한국심리'!$K$3:$K$4002,MATCH(A577,$X$19:$X$4018,0)),F576))</f>
        <v/>
      </c>
      <c r="G577" s="30">
        <f>IF(AND(ISNUMBER(E577),ISNUMBER(F577)),ROUND(E577-F577,6),"")</f>
        <v/>
      </c>
      <c r="H577" s="25">
        <f>IF(A577="","",IFERROR(INDEX('자료_한국심리'!$N$3:$N$4002,MATCH(A577,$Y$19:$Y$4018,0)),H576))</f>
        <v/>
      </c>
      <c r="I577" s="31">
        <f>IF(AND(ISNUMBER(H577),ISNUMBER(H557)),IF(H557&gt;0,H577/H557-1,""),"")</f>
        <v/>
      </c>
      <c r="J577">
        <f>IF(A577="",0,IF(A577&gt;$B$5,1,0))</f>
        <v/>
      </c>
      <c r="K577" s="29">
        <f>IF(AND(J577=1,ISNUMBER(D577)),D577,"")</f>
        <v/>
      </c>
      <c r="L577" s="30">
        <f>IF(AND(J577=1,ISNUMBER(G577)),G577,"")</f>
        <v/>
      </c>
      <c r="M577" s="22">
        <f>IF(AND(J577=1,ISNUMBER(C577)),C577,"")</f>
        <v/>
      </c>
      <c r="N577" s="31">
        <f>IF(AND(J577=1,ISNUMBER(I577)),I577,"")</f>
        <v/>
      </c>
      <c r="O577" s="11">
        <f>IF(K577="","",100-IF($G$13=1,50,(_xlfn.RANK.AVG(K577,$K$19:$K$1518,1)-1)/($G$13-1)*100))</f>
        <v/>
      </c>
      <c r="P577" s="11">
        <f>IF(L577="","",100-IF($G$14=1,50,(_xlfn.RANK.AVG(L577,$L$19:$L$1518,1)-1)/($G$14-1)*100))</f>
        <v/>
      </c>
      <c r="Q577" s="11">
        <f>IF(M577="","",IF($G$15=1,50,(_xlfn.RANK.AVG(M577,$M$19:$M$1518,1)-1)/($G$15-1)*100))</f>
        <v/>
      </c>
      <c r="R577" s="11">
        <f>IF(N577="","",IF($G$16=1,50,(_xlfn.RANK.AVG(N577,$N$19:$N$1518,1)-1)/($G$16-1)*100))</f>
        <v/>
      </c>
      <c r="S577" s="11">
        <f>IF(COUNT(O577:R577)=4,ROUND(AVERAGE(O577:R577),6),"")</f>
        <v/>
      </c>
      <c r="U577">
        <f>IF(AND(ISNUMBER('자료_한국심리'!$A561),ISNUMBER('자료_한국심리'!$B561)),'자료_한국심리'!$A561,"")</f>
        <v/>
      </c>
      <c r="V577">
        <f>IF(AND(ISNUMBER('자료_한국심리'!$D561),ISNUMBER('자료_한국심리'!$E561)),'자료_한국심리'!$D561,"")</f>
        <v/>
      </c>
      <c r="W577">
        <f>IF(AND(ISNUMBER('자료_한국심리'!$G561),ISNUMBER('자료_한국심리'!$H561)),'자료_한국심리'!$G561,"")</f>
        <v/>
      </c>
      <c r="X577">
        <f>IF(AND(ISNUMBER('자료_한국심리'!$J561),ISNUMBER('자료_한국심리'!$K561)),'자료_한국심리'!$J561,"")</f>
        <v/>
      </c>
      <c r="Y577">
        <f>IF(AND(ISNUMBER('자료_한국심리'!$M561),ISNUMBER('자료_한국심리'!$N561)),'자료_한국심리'!$M561,"")</f>
        <v/>
      </c>
    </row>
    <row r="578">
      <c r="A578" s="10">
        <f>IF(560&gt;$E$5,"",SMALL($U$19:$U$4018,$E$6+560))</f>
        <v/>
      </c>
      <c r="B578" s="29">
        <f>IF(A578="","",INDEX('자료_한국심리'!$B$3:$B$4002,MATCH(A578,$U$19:$U$4018,0)))</f>
        <v/>
      </c>
      <c r="C578" s="22">
        <f>IF(A578="","",B578/AVERAGE(B454:B578)-1)</f>
        <v/>
      </c>
      <c r="D578" s="29">
        <f>IF(A578="","",IFERROR(INDEX('자료_한국심리'!$E$3:$E$4002,MATCH(A578,$V$19:$V$4018,0)),D577))</f>
        <v/>
      </c>
      <c r="E578" s="30">
        <f>IF(A578="","",IFERROR(INDEX('자료_한국심리'!$H$3:$H$4002,MATCH(A578,$W$19:$W$4018,0)),E577))</f>
        <v/>
      </c>
      <c r="F578" s="30">
        <f>IF(A578="","",IFERROR(INDEX('자료_한국심리'!$K$3:$K$4002,MATCH(A578,$X$19:$X$4018,0)),F577))</f>
        <v/>
      </c>
      <c r="G578" s="30">
        <f>IF(AND(ISNUMBER(E578),ISNUMBER(F578)),ROUND(E578-F578,6),"")</f>
        <v/>
      </c>
      <c r="H578" s="25">
        <f>IF(A578="","",IFERROR(INDEX('자료_한국심리'!$N$3:$N$4002,MATCH(A578,$Y$19:$Y$4018,0)),H577))</f>
        <v/>
      </c>
      <c r="I578" s="31">
        <f>IF(AND(ISNUMBER(H578),ISNUMBER(H558)),IF(H558&gt;0,H578/H558-1,""),"")</f>
        <v/>
      </c>
      <c r="J578">
        <f>IF(A578="",0,IF(A578&gt;$B$5,1,0))</f>
        <v/>
      </c>
      <c r="K578" s="29">
        <f>IF(AND(J578=1,ISNUMBER(D578)),D578,"")</f>
        <v/>
      </c>
      <c r="L578" s="30">
        <f>IF(AND(J578=1,ISNUMBER(G578)),G578,"")</f>
        <v/>
      </c>
      <c r="M578" s="22">
        <f>IF(AND(J578=1,ISNUMBER(C578)),C578,"")</f>
        <v/>
      </c>
      <c r="N578" s="31">
        <f>IF(AND(J578=1,ISNUMBER(I578)),I578,"")</f>
        <v/>
      </c>
      <c r="O578" s="11">
        <f>IF(K578="","",100-IF($G$13=1,50,(_xlfn.RANK.AVG(K578,$K$19:$K$1518,1)-1)/($G$13-1)*100))</f>
        <v/>
      </c>
      <c r="P578" s="11">
        <f>IF(L578="","",100-IF($G$14=1,50,(_xlfn.RANK.AVG(L578,$L$19:$L$1518,1)-1)/($G$14-1)*100))</f>
        <v/>
      </c>
      <c r="Q578" s="11">
        <f>IF(M578="","",IF($G$15=1,50,(_xlfn.RANK.AVG(M578,$M$19:$M$1518,1)-1)/($G$15-1)*100))</f>
        <v/>
      </c>
      <c r="R578" s="11">
        <f>IF(N578="","",IF($G$16=1,50,(_xlfn.RANK.AVG(N578,$N$19:$N$1518,1)-1)/($G$16-1)*100))</f>
        <v/>
      </c>
      <c r="S578" s="11">
        <f>IF(COUNT(O578:R578)=4,ROUND(AVERAGE(O578:R578),6),"")</f>
        <v/>
      </c>
      <c r="U578">
        <f>IF(AND(ISNUMBER('자료_한국심리'!$A562),ISNUMBER('자료_한국심리'!$B562)),'자료_한국심리'!$A562,"")</f>
        <v/>
      </c>
      <c r="V578">
        <f>IF(AND(ISNUMBER('자료_한국심리'!$D562),ISNUMBER('자료_한국심리'!$E562)),'자료_한국심리'!$D562,"")</f>
        <v/>
      </c>
      <c r="W578">
        <f>IF(AND(ISNUMBER('자료_한국심리'!$G562),ISNUMBER('자료_한국심리'!$H562)),'자료_한국심리'!$G562,"")</f>
        <v/>
      </c>
      <c r="X578">
        <f>IF(AND(ISNUMBER('자료_한국심리'!$J562),ISNUMBER('자료_한국심리'!$K562)),'자료_한국심리'!$J562,"")</f>
        <v/>
      </c>
      <c r="Y578">
        <f>IF(AND(ISNUMBER('자료_한국심리'!$M562),ISNUMBER('자료_한국심리'!$N562)),'자료_한국심리'!$M562,"")</f>
        <v/>
      </c>
    </row>
    <row r="579">
      <c r="A579" s="10">
        <f>IF(561&gt;$E$5,"",SMALL($U$19:$U$4018,$E$6+561))</f>
        <v/>
      </c>
      <c r="B579" s="29">
        <f>IF(A579="","",INDEX('자료_한국심리'!$B$3:$B$4002,MATCH(A579,$U$19:$U$4018,0)))</f>
        <v/>
      </c>
      <c r="C579" s="22">
        <f>IF(A579="","",B579/AVERAGE(B455:B579)-1)</f>
        <v/>
      </c>
      <c r="D579" s="29">
        <f>IF(A579="","",IFERROR(INDEX('자료_한국심리'!$E$3:$E$4002,MATCH(A579,$V$19:$V$4018,0)),D578))</f>
        <v/>
      </c>
      <c r="E579" s="30">
        <f>IF(A579="","",IFERROR(INDEX('자료_한국심리'!$H$3:$H$4002,MATCH(A579,$W$19:$W$4018,0)),E578))</f>
        <v/>
      </c>
      <c r="F579" s="30">
        <f>IF(A579="","",IFERROR(INDEX('자료_한국심리'!$K$3:$K$4002,MATCH(A579,$X$19:$X$4018,0)),F578))</f>
        <v/>
      </c>
      <c r="G579" s="30">
        <f>IF(AND(ISNUMBER(E579),ISNUMBER(F579)),ROUND(E579-F579,6),"")</f>
        <v/>
      </c>
      <c r="H579" s="25">
        <f>IF(A579="","",IFERROR(INDEX('자료_한국심리'!$N$3:$N$4002,MATCH(A579,$Y$19:$Y$4018,0)),H578))</f>
        <v/>
      </c>
      <c r="I579" s="31">
        <f>IF(AND(ISNUMBER(H579),ISNUMBER(H559)),IF(H559&gt;0,H579/H559-1,""),"")</f>
        <v/>
      </c>
      <c r="J579">
        <f>IF(A579="",0,IF(A579&gt;$B$5,1,0))</f>
        <v/>
      </c>
      <c r="K579" s="29">
        <f>IF(AND(J579=1,ISNUMBER(D579)),D579,"")</f>
        <v/>
      </c>
      <c r="L579" s="30">
        <f>IF(AND(J579=1,ISNUMBER(G579)),G579,"")</f>
        <v/>
      </c>
      <c r="M579" s="22">
        <f>IF(AND(J579=1,ISNUMBER(C579)),C579,"")</f>
        <v/>
      </c>
      <c r="N579" s="31">
        <f>IF(AND(J579=1,ISNUMBER(I579)),I579,"")</f>
        <v/>
      </c>
      <c r="O579" s="11">
        <f>IF(K579="","",100-IF($G$13=1,50,(_xlfn.RANK.AVG(K579,$K$19:$K$1518,1)-1)/($G$13-1)*100))</f>
        <v/>
      </c>
      <c r="P579" s="11">
        <f>IF(L579="","",100-IF($G$14=1,50,(_xlfn.RANK.AVG(L579,$L$19:$L$1518,1)-1)/($G$14-1)*100))</f>
        <v/>
      </c>
      <c r="Q579" s="11">
        <f>IF(M579="","",IF($G$15=1,50,(_xlfn.RANK.AVG(M579,$M$19:$M$1518,1)-1)/($G$15-1)*100))</f>
        <v/>
      </c>
      <c r="R579" s="11">
        <f>IF(N579="","",IF($G$16=1,50,(_xlfn.RANK.AVG(N579,$N$19:$N$1518,1)-1)/($G$16-1)*100))</f>
        <v/>
      </c>
      <c r="S579" s="11">
        <f>IF(COUNT(O579:R579)=4,ROUND(AVERAGE(O579:R579),6),"")</f>
        <v/>
      </c>
      <c r="U579">
        <f>IF(AND(ISNUMBER('자료_한국심리'!$A563),ISNUMBER('자료_한국심리'!$B563)),'자료_한국심리'!$A563,"")</f>
        <v/>
      </c>
      <c r="V579">
        <f>IF(AND(ISNUMBER('자료_한국심리'!$D563),ISNUMBER('자료_한국심리'!$E563)),'자료_한국심리'!$D563,"")</f>
        <v/>
      </c>
      <c r="W579">
        <f>IF(AND(ISNUMBER('자료_한국심리'!$G563),ISNUMBER('자료_한국심리'!$H563)),'자료_한국심리'!$G563,"")</f>
        <v/>
      </c>
      <c r="X579">
        <f>IF(AND(ISNUMBER('자료_한국심리'!$J563),ISNUMBER('자료_한국심리'!$K563)),'자료_한국심리'!$J563,"")</f>
        <v/>
      </c>
      <c r="Y579">
        <f>IF(AND(ISNUMBER('자료_한국심리'!$M563),ISNUMBER('자료_한국심리'!$N563)),'자료_한국심리'!$M563,"")</f>
        <v/>
      </c>
    </row>
    <row r="580">
      <c r="A580" s="10">
        <f>IF(562&gt;$E$5,"",SMALL($U$19:$U$4018,$E$6+562))</f>
        <v/>
      </c>
      <c r="B580" s="29">
        <f>IF(A580="","",INDEX('자료_한국심리'!$B$3:$B$4002,MATCH(A580,$U$19:$U$4018,0)))</f>
        <v/>
      </c>
      <c r="C580" s="22">
        <f>IF(A580="","",B580/AVERAGE(B456:B580)-1)</f>
        <v/>
      </c>
      <c r="D580" s="29">
        <f>IF(A580="","",IFERROR(INDEX('자료_한국심리'!$E$3:$E$4002,MATCH(A580,$V$19:$V$4018,0)),D579))</f>
        <v/>
      </c>
      <c r="E580" s="30">
        <f>IF(A580="","",IFERROR(INDEX('자료_한국심리'!$H$3:$H$4002,MATCH(A580,$W$19:$W$4018,0)),E579))</f>
        <v/>
      </c>
      <c r="F580" s="30">
        <f>IF(A580="","",IFERROR(INDEX('자료_한국심리'!$K$3:$K$4002,MATCH(A580,$X$19:$X$4018,0)),F579))</f>
        <v/>
      </c>
      <c r="G580" s="30">
        <f>IF(AND(ISNUMBER(E580),ISNUMBER(F580)),ROUND(E580-F580,6),"")</f>
        <v/>
      </c>
      <c r="H580" s="25">
        <f>IF(A580="","",IFERROR(INDEX('자료_한국심리'!$N$3:$N$4002,MATCH(A580,$Y$19:$Y$4018,0)),H579))</f>
        <v/>
      </c>
      <c r="I580" s="31">
        <f>IF(AND(ISNUMBER(H580),ISNUMBER(H560)),IF(H560&gt;0,H580/H560-1,""),"")</f>
        <v/>
      </c>
      <c r="J580">
        <f>IF(A580="",0,IF(A580&gt;$B$5,1,0))</f>
        <v/>
      </c>
      <c r="K580" s="29">
        <f>IF(AND(J580=1,ISNUMBER(D580)),D580,"")</f>
        <v/>
      </c>
      <c r="L580" s="30">
        <f>IF(AND(J580=1,ISNUMBER(G580)),G580,"")</f>
        <v/>
      </c>
      <c r="M580" s="22">
        <f>IF(AND(J580=1,ISNUMBER(C580)),C580,"")</f>
        <v/>
      </c>
      <c r="N580" s="31">
        <f>IF(AND(J580=1,ISNUMBER(I580)),I580,"")</f>
        <v/>
      </c>
      <c r="O580" s="11">
        <f>IF(K580="","",100-IF($G$13=1,50,(_xlfn.RANK.AVG(K580,$K$19:$K$1518,1)-1)/($G$13-1)*100))</f>
        <v/>
      </c>
      <c r="P580" s="11">
        <f>IF(L580="","",100-IF($G$14=1,50,(_xlfn.RANK.AVG(L580,$L$19:$L$1518,1)-1)/($G$14-1)*100))</f>
        <v/>
      </c>
      <c r="Q580" s="11">
        <f>IF(M580="","",IF($G$15=1,50,(_xlfn.RANK.AVG(M580,$M$19:$M$1518,1)-1)/($G$15-1)*100))</f>
        <v/>
      </c>
      <c r="R580" s="11">
        <f>IF(N580="","",IF($G$16=1,50,(_xlfn.RANK.AVG(N580,$N$19:$N$1518,1)-1)/($G$16-1)*100))</f>
        <v/>
      </c>
      <c r="S580" s="11">
        <f>IF(COUNT(O580:R580)=4,ROUND(AVERAGE(O580:R580),6),"")</f>
        <v/>
      </c>
      <c r="U580">
        <f>IF(AND(ISNUMBER('자료_한국심리'!$A564),ISNUMBER('자료_한국심리'!$B564)),'자료_한국심리'!$A564,"")</f>
        <v/>
      </c>
      <c r="V580">
        <f>IF(AND(ISNUMBER('자료_한국심리'!$D564),ISNUMBER('자료_한국심리'!$E564)),'자료_한국심리'!$D564,"")</f>
        <v/>
      </c>
      <c r="W580">
        <f>IF(AND(ISNUMBER('자료_한국심리'!$G564),ISNUMBER('자료_한국심리'!$H564)),'자료_한국심리'!$G564,"")</f>
        <v/>
      </c>
      <c r="X580">
        <f>IF(AND(ISNUMBER('자료_한국심리'!$J564),ISNUMBER('자료_한국심리'!$K564)),'자료_한국심리'!$J564,"")</f>
        <v/>
      </c>
      <c r="Y580">
        <f>IF(AND(ISNUMBER('자료_한국심리'!$M564),ISNUMBER('자료_한국심리'!$N564)),'자료_한국심리'!$M564,"")</f>
        <v/>
      </c>
    </row>
    <row r="581">
      <c r="A581" s="10">
        <f>IF(563&gt;$E$5,"",SMALL($U$19:$U$4018,$E$6+563))</f>
        <v/>
      </c>
      <c r="B581" s="29">
        <f>IF(A581="","",INDEX('자료_한국심리'!$B$3:$B$4002,MATCH(A581,$U$19:$U$4018,0)))</f>
        <v/>
      </c>
      <c r="C581" s="22">
        <f>IF(A581="","",B581/AVERAGE(B457:B581)-1)</f>
        <v/>
      </c>
      <c r="D581" s="29">
        <f>IF(A581="","",IFERROR(INDEX('자료_한국심리'!$E$3:$E$4002,MATCH(A581,$V$19:$V$4018,0)),D580))</f>
        <v/>
      </c>
      <c r="E581" s="30">
        <f>IF(A581="","",IFERROR(INDEX('자료_한국심리'!$H$3:$H$4002,MATCH(A581,$W$19:$W$4018,0)),E580))</f>
        <v/>
      </c>
      <c r="F581" s="30">
        <f>IF(A581="","",IFERROR(INDEX('자료_한국심리'!$K$3:$K$4002,MATCH(A581,$X$19:$X$4018,0)),F580))</f>
        <v/>
      </c>
      <c r="G581" s="30">
        <f>IF(AND(ISNUMBER(E581),ISNUMBER(F581)),ROUND(E581-F581,6),"")</f>
        <v/>
      </c>
      <c r="H581" s="25">
        <f>IF(A581="","",IFERROR(INDEX('자료_한국심리'!$N$3:$N$4002,MATCH(A581,$Y$19:$Y$4018,0)),H580))</f>
        <v/>
      </c>
      <c r="I581" s="31">
        <f>IF(AND(ISNUMBER(H581),ISNUMBER(H561)),IF(H561&gt;0,H581/H561-1,""),"")</f>
        <v/>
      </c>
      <c r="J581">
        <f>IF(A581="",0,IF(A581&gt;$B$5,1,0))</f>
        <v/>
      </c>
      <c r="K581" s="29">
        <f>IF(AND(J581=1,ISNUMBER(D581)),D581,"")</f>
        <v/>
      </c>
      <c r="L581" s="30">
        <f>IF(AND(J581=1,ISNUMBER(G581)),G581,"")</f>
        <v/>
      </c>
      <c r="M581" s="22">
        <f>IF(AND(J581=1,ISNUMBER(C581)),C581,"")</f>
        <v/>
      </c>
      <c r="N581" s="31">
        <f>IF(AND(J581=1,ISNUMBER(I581)),I581,"")</f>
        <v/>
      </c>
      <c r="O581" s="11">
        <f>IF(K581="","",100-IF($G$13=1,50,(_xlfn.RANK.AVG(K581,$K$19:$K$1518,1)-1)/($G$13-1)*100))</f>
        <v/>
      </c>
      <c r="P581" s="11">
        <f>IF(L581="","",100-IF($G$14=1,50,(_xlfn.RANK.AVG(L581,$L$19:$L$1518,1)-1)/($G$14-1)*100))</f>
        <v/>
      </c>
      <c r="Q581" s="11">
        <f>IF(M581="","",IF($G$15=1,50,(_xlfn.RANK.AVG(M581,$M$19:$M$1518,1)-1)/($G$15-1)*100))</f>
        <v/>
      </c>
      <c r="R581" s="11">
        <f>IF(N581="","",IF($G$16=1,50,(_xlfn.RANK.AVG(N581,$N$19:$N$1518,1)-1)/($G$16-1)*100))</f>
        <v/>
      </c>
      <c r="S581" s="11">
        <f>IF(COUNT(O581:R581)=4,ROUND(AVERAGE(O581:R581),6),"")</f>
        <v/>
      </c>
      <c r="U581">
        <f>IF(AND(ISNUMBER('자료_한국심리'!$A565),ISNUMBER('자료_한국심리'!$B565)),'자료_한국심리'!$A565,"")</f>
        <v/>
      </c>
      <c r="V581">
        <f>IF(AND(ISNUMBER('자료_한국심리'!$D565),ISNUMBER('자료_한국심리'!$E565)),'자료_한국심리'!$D565,"")</f>
        <v/>
      </c>
      <c r="W581">
        <f>IF(AND(ISNUMBER('자료_한국심리'!$G565),ISNUMBER('자료_한국심리'!$H565)),'자료_한국심리'!$G565,"")</f>
        <v/>
      </c>
      <c r="X581">
        <f>IF(AND(ISNUMBER('자료_한국심리'!$J565),ISNUMBER('자료_한국심리'!$K565)),'자료_한국심리'!$J565,"")</f>
        <v/>
      </c>
      <c r="Y581">
        <f>IF(AND(ISNUMBER('자료_한국심리'!$M565),ISNUMBER('자료_한국심리'!$N565)),'자료_한국심리'!$M565,"")</f>
        <v/>
      </c>
    </row>
    <row r="582">
      <c r="A582" s="10">
        <f>IF(564&gt;$E$5,"",SMALL($U$19:$U$4018,$E$6+564))</f>
        <v/>
      </c>
      <c r="B582" s="29">
        <f>IF(A582="","",INDEX('자료_한국심리'!$B$3:$B$4002,MATCH(A582,$U$19:$U$4018,0)))</f>
        <v/>
      </c>
      <c r="C582" s="22">
        <f>IF(A582="","",B582/AVERAGE(B458:B582)-1)</f>
        <v/>
      </c>
      <c r="D582" s="29">
        <f>IF(A582="","",IFERROR(INDEX('자료_한국심리'!$E$3:$E$4002,MATCH(A582,$V$19:$V$4018,0)),D581))</f>
        <v/>
      </c>
      <c r="E582" s="30">
        <f>IF(A582="","",IFERROR(INDEX('자료_한국심리'!$H$3:$H$4002,MATCH(A582,$W$19:$W$4018,0)),E581))</f>
        <v/>
      </c>
      <c r="F582" s="30">
        <f>IF(A582="","",IFERROR(INDEX('자료_한국심리'!$K$3:$K$4002,MATCH(A582,$X$19:$X$4018,0)),F581))</f>
        <v/>
      </c>
      <c r="G582" s="30">
        <f>IF(AND(ISNUMBER(E582),ISNUMBER(F582)),ROUND(E582-F582,6),"")</f>
        <v/>
      </c>
      <c r="H582" s="25">
        <f>IF(A582="","",IFERROR(INDEX('자료_한국심리'!$N$3:$N$4002,MATCH(A582,$Y$19:$Y$4018,0)),H581))</f>
        <v/>
      </c>
      <c r="I582" s="31">
        <f>IF(AND(ISNUMBER(H582),ISNUMBER(H562)),IF(H562&gt;0,H582/H562-1,""),"")</f>
        <v/>
      </c>
      <c r="J582">
        <f>IF(A582="",0,IF(A582&gt;$B$5,1,0))</f>
        <v/>
      </c>
      <c r="K582" s="29">
        <f>IF(AND(J582=1,ISNUMBER(D582)),D582,"")</f>
        <v/>
      </c>
      <c r="L582" s="30">
        <f>IF(AND(J582=1,ISNUMBER(G582)),G582,"")</f>
        <v/>
      </c>
      <c r="M582" s="22">
        <f>IF(AND(J582=1,ISNUMBER(C582)),C582,"")</f>
        <v/>
      </c>
      <c r="N582" s="31">
        <f>IF(AND(J582=1,ISNUMBER(I582)),I582,"")</f>
        <v/>
      </c>
      <c r="O582" s="11">
        <f>IF(K582="","",100-IF($G$13=1,50,(_xlfn.RANK.AVG(K582,$K$19:$K$1518,1)-1)/($G$13-1)*100))</f>
        <v/>
      </c>
      <c r="P582" s="11">
        <f>IF(L582="","",100-IF($G$14=1,50,(_xlfn.RANK.AVG(L582,$L$19:$L$1518,1)-1)/($G$14-1)*100))</f>
        <v/>
      </c>
      <c r="Q582" s="11">
        <f>IF(M582="","",IF($G$15=1,50,(_xlfn.RANK.AVG(M582,$M$19:$M$1518,1)-1)/($G$15-1)*100))</f>
        <v/>
      </c>
      <c r="R582" s="11">
        <f>IF(N582="","",IF($G$16=1,50,(_xlfn.RANK.AVG(N582,$N$19:$N$1518,1)-1)/($G$16-1)*100))</f>
        <v/>
      </c>
      <c r="S582" s="11">
        <f>IF(COUNT(O582:R582)=4,ROUND(AVERAGE(O582:R582),6),"")</f>
        <v/>
      </c>
      <c r="U582">
        <f>IF(AND(ISNUMBER('자료_한국심리'!$A566),ISNUMBER('자료_한국심리'!$B566)),'자료_한국심리'!$A566,"")</f>
        <v/>
      </c>
      <c r="V582">
        <f>IF(AND(ISNUMBER('자료_한국심리'!$D566),ISNUMBER('자료_한국심리'!$E566)),'자료_한국심리'!$D566,"")</f>
        <v/>
      </c>
      <c r="W582">
        <f>IF(AND(ISNUMBER('자료_한국심리'!$G566),ISNUMBER('자료_한국심리'!$H566)),'자료_한국심리'!$G566,"")</f>
        <v/>
      </c>
      <c r="X582">
        <f>IF(AND(ISNUMBER('자료_한국심리'!$J566),ISNUMBER('자료_한국심리'!$K566)),'자료_한국심리'!$J566,"")</f>
        <v/>
      </c>
      <c r="Y582">
        <f>IF(AND(ISNUMBER('자료_한국심리'!$M566),ISNUMBER('자료_한국심리'!$N566)),'자료_한국심리'!$M566,"")</f>
        <v/>
      </c>
    </row>
    <row r="583">
      <c r="A583" s="10">
        <f>IF(565&gt;$E$5,"",SMALL($U$19:$U$4018,$E$6+565))</f>
        <v/>
      </c>
      <c r="B583" s="29">
        <f>IF(A583="","",INDEX('자료_한국심리'!$B$3:$B$4002,MATCH(A583,$U$19:$U$4018,0)))</f>
        <v/>
      </c>
      <c r="C583" s="22">
        <f>IF(A583="","",B583/AVERAGE(B459:B583)-1)</f>
        <v/>
      </c>
      <c r="D583" s="29">
        <f>IF(A583="","",IFERROR(INDEX('자료_한국심리'!$E$3:$E$4002,MATCH(A583,$V$19:$V$4018,0)),D582))</f>
        <v/>
      </c>
      <c r="E583" s="30">
        <f>IF(A583="","",IFERROR(INDEX('자료_한국심리'!$H$3:$H$4002,MATCH(A583,$W$19:$W$4018,0)),E582))</f>
        <v/>
      </c>
      <c r="F583" s="30">
        <f>IF(A583="","",IFERROR(INDEX('자료_한국심리'!$K$3:$K$4002,MATCH(A583,$X$19:$X$4018,0)),F582))</f>
        <v/>
      </c>
      <c r="G583" s="30">
        <f>IF(AND(ISNUMBER(E583),ISNUMBER(F583)),ROUND(E583-F583,6),"")</f>
        <v/>
      </c>
      <c r="H583" s="25">
        <f>IF(A583="","",IFERROR(INDEX('자료_한국심리'!$N$3:$N$4002,MATCH(A583,$Y$19:$Y$4018,0)),H582))</f>
        <v/>
      </c>
      <c r="I583" s="31">
        <f>IF(AND(ISNUMBER(H583),ISNUMBER(H563)),IF(H563&gt;0,H583/H563-1,""),"")</f>
        <v/>
      </c>
      <c r="J583">
        <f>IF(A583="",0,IF(A583&gt;$B$5,1,0))</f>
        <v/>
      </c>
      <c r="K583" s="29">
        <f>IF(AND(J583=1,ISNUMBER(D583)),D583,"")</f>
        <v/>
      </c>
      <c r="L583" s="30">
        <f>IF(AND(J583=1,ISNUMBER(G583)),G583,"")</f>
        <v/>
      </c>
      <c r="M583" s="22">
        <f>IF(AND(J583=1,ISNUMBER(C583)),C583,"")</f>
        <v/>
      </c>
      <c r="N583" s="31">
        <f>IF(AND(J583=1,ISNUMBER(I583)),I583,"")</f>
        <v/>
      </c>
      <c r="O583" s="11">
        <f>IF(K583="","",100-IF($G$13=1,50,(_xlfn.RANK.AVG(K583,$K$19:$K$1518,1)-1)/($G$13-1)*100))</f>
        <v/>
      </c>
      <c r="P583" s="11">
        <f>IF(L583="","",100-IF($G$14=1,50,(_xlfn.RANK.AVG(L583,$L$19:$L$1518,1)-1)/($G$14-1)*100))</f>
        <v/>
      </c>
      <c r="Q583" s="11">
        <f>IF(M583="","",IF($G$15=1,50,(_xlfn.RANK.AVG(M583,$M$19:$M$1518,1)-1)/($G$15-1)*100))</f>
        <v/>
      </c>
      <c r="R583" s="11">
        <f>IF(N583="","",IF($G$16=1,50,(_xlfn.RANK.AVG(N583,$N$19:$N$1518,1)-1)/($G$16-1)*100))</f>
        <v/>
      </c>
      <c r="S583" s="11">
        <f>IF(COUNT(O583:R583)=4,ROUND(AVERAGE(O583:R583),6),"")</f>
        <v/>
      </c>
      <c r="U583">
        <f>IF(AND(ISNUMBER('자료_한국심리'!$A567),ISNUMBER('자료_한국심리'!$B567)),'자료_한국심리'!$A567,"")</f>
        <v/>
      </c>
      <c r="V583">
        <f>IF(AND(ISNUMBER('자료_한국심리'!$D567),ISNUMBER('자료_한국심리'!$E567)),'자료_한국심리'!$D567,"")</f>
        <v/>
      </c>
      <c r="W583">
        <f>IF(AND(ISNUMBER('자료_한국심리'!$G567),ISNUMBER('자료_한국심리'!$H567)),'자료_한국심리'!$G567,"")</f>
        <v/>
      </c>
      <c r="X583">
        <f>IF(AND(ISNUMBER('자료_한국심리'!$J567),ISNUMBER('자료_한국심리'!$K567)),'자료_한국심리'!$J567,"")</f>
        <v/>
      </c>
      <c r="Y583">
        <f>IF(AND(ISNUMBER('자료_한국심리'!$M567),ISNUMBER('자료_한국심리'!$N567)),'자료_한국심리'!$M567,"")</f>
        <v/>
      </c>
    </row>
    <row r="584">
      <c r="A584" s="10">
        <f>IF(566&gt;$E$5,"",SMALL($U$19:$U$4018,$E$6+566))</f>
        <v/>
      </c>
      <c r="B584" s="29">
        <f>IF(A584="","",INDEX('자료_한국심리'!$B$3:$B$4002,MATCH(A584,$U$19:$U$4018,0)))</f>
        <v/>
      </c>
      <c r="C584" s="22">
        <f>IF(A584="","",B584/AVERAGE(B460:B584)-1)</f>
        <v/>
      </c>
      <c r="D584" s="29">
        <f>IF(A584="","",IFERROR(INDEX('자료_한국심리'!$E$3:$E$4002,MATCH(A584,$V$19:$V$4018,0)),D583))</f>
        <v/>
      </c>
      <c r="E584" s="30">
        <f>IF(A584="","",IFERROR(INDEX('자료_한국심리'!$H$3:$H$4002,MATCH(A584,$W$19:$W$4018,0)),E583))</f>
        <v/>
      </c>
      <c r="F584" s="30">
        <f>IF(A584="","",IFERROR(INDEX('자료_한국심리'!$K$3:$K$4002,MATCH(A584,$X$19:$X$4018,0)),F583))</f>
        <v/>
      </c>
      <c r="G584" s="30">
        <f>IF(AND(ISNUMBER(E584),ISNUMBER(F584)),ROUND(E584-F584,6),"")</f>
        <v/>
      </c>
      <c r="H584" s="25">
        <f>IF(A584="","",IFERROR(INDEX('자료_한국심리'!$N$3:$N$4002,MATCH(A584,$Y$19:$Y$4018,0)),H583))</f>
        <v/>
      </c>
      <c r="I584" s="31">
        <f>IF(AND(ISNUMBER(H584),ISNUMBER(H564)),IF(H564&gt;0,H584/H564-1,""),"")</f>
        <v/>
      </c>
      <c r="J584">
        <f>IF(A584="",0,IF(A584&gt;$B$5,1,0))</f>
        <v/>
      </c>
      <c r="K584" s="29">
        <f>IF(AND(J584=1,ISNUMBER(D584)),D584,"")</f>
        <v/>
      </c>
      <c r="L584" s="30">
        <f>IF(AND(J584=1,ISNUMBER(G584)),G584,"")</f>
        <v/>
      </c>
      <c r="M584" s="22">
        <f>IF(AND(J584=1,ISNUMBER(C584)),C584,"")</f>
        <v/>
      </c>
      <c r="N584" s="31">
        <f>IF(AND(J584=1,ISNUMBER(I584)),I584,"")</f>
        <v/>
      </c>
      <c r="O584" s="11">
        <f>IF(K584="","",100-IF($G$13=1,50,(_xlfn.RANK.AVG(K584,$K$19:$K$1518,1)-1)/($G$13-1)*100))</f>
        <v/>
      </c>
      <c r="P584" s="11">
        <f>IF(L584="","",100-IF($G$14=1,50,(_xlfn.RANK.AVG(L584,$L$19:$L$1518,1)-1)/($G$14-1)*100))</f>
        <v/>
      </c>
      <c r="Q584" s="11">
        <f>IF(M584="","",IF($G$15=1,50,(_xlfn.RANK.AVG(M584,$M$19:$M$1518,1)-1)/($G$15-1)*100))</f>
        <v/>
      </c>
      <c r="R584" s="11">
        <f>IF(N584="","",IF($G$16=1,50,(_xlfn.RANK.AVG(N584,$N$19:$N$1518,1)-1)/($G$16-1)*100))</f>
        <v/>
      </c>
      <c r="S584" s="11">
        <f>IF(COUNT(O584:R584)=4,ROUND(AVERAGE(O584:R584),6),"")</f>
        <v/>
      </c>
      <c r="U584">
        <f>IF(AND(ISNUMBER('자료_한국심리'!$A568),ISNUMBER('자료_한국심리'!$B568)),'자료_한국심리'!$A568,"")</f>
        <v/>
      </c>
      <c r="V584">
        <f>IF(AND(ISNUMBER('자료_한국심리'!$D568),ISNUMBER('자료_한국심리'!$E568)),'자료_한국심리'!$D568,"")</f>
        <v/>
      </c>
      <c r="W584">
        <f>IF(AND(ISNUMBER('자료_한국심리'!$G568),ISNUMBER('자료_한국심리'!$H568)),'자료_한국심리'!$G568,"")</f>
        <v/>
      </c>
      <c r="X584">
        <f>IF(AND(ISNUMBER('자료_한국심리'!$J568),ISNUMBER('자료_한국심리'!$K568)),'자료_한국심리'!$J568,"")</f>
        <v/>
      </c>
      <c r="Y584">
        <f>IF(AND(ISNUMBER('자료_한국심리'!$M568),ISNUMBER('자료_한국심리'!$N568)),'자료_한국심리'!$M568,"")</f>
        <v/>
      </c>
    </row>
    <row r="585">
      <c r="A585" s="10">
        <f>IF(567&gt;$E$5,"",SMALL($U$19:$U$4018,$E$6+567))</f>
        <v/>
      </c>
      <c r="B585" s="29">
        <f>IF(A585="","",INDEX('자료_한국심리'!$B$3:$B$4002,MATCH(A585,$U$19:$U$4018,0)))</f>
        <v/>
      </c>
      <c r="C585" s="22">
        <f>IF(A585="","",B585/AVERAGE(B461:B585)-1)</f>
        <v/>
      </c>
      <c r="D585" s="29">
        <f>IF(A585="","",IFERROR(INDEX('자료_한국심리'!$E$3:$E$4002,MATCH(A585,$V$19:$V$4018,0)),D584))</f>
        <v/>
      </c>
      <c r="E585" s="30">
        <f>IF(A585="","",IFERROR(INDEX('자료_한국심리'!$H$3:$H$4002,MATCH(A585,$W$19:$W$4018,0)),E584))</f>
        <v/>
      </c>
      <c r="F585" s="30">
        <f>IF(A585="","",IFERROR(INDEX('자료_한국심리'!$K$3:$K$4002,MATCH(A585,$X$19:$X$4018,0)),F584))</f>
        <v/>
      </c>
      <c r="G585" s="30">
        <f>IF(AND(ISNUMBER(E585),ISNUMBER(F585)),ROUND(E585-F585,6),"")</f>
        <v/>
      </c>
      <c r="H585" s="25">
        <f>IF(A585="","",IFERROR(INDEX('자료_한국심리'!$N$3:$N$4002,MATCH(A585,$Y$19:$Y$4018,0)),H584))</f>
        <v/>
      </c>
      <c r="I585" s="31">
        <f>IF(AND(ISNUMBER(H585),ISNUMBER(H565)),IF(H565&gt;0,H585/H565-1,""),"")</f>
        <v/>
      </c>
      <c r="J585">
        <f>IF(A585="",0,IF(A585&gt;$B$5,1,0))</f>
        <v/>
      </c>
      <c r="K585" s="29">
        <f>IF(AND(J585=1,ISNUMBER(D585)),D585,"")</f>
        <v/>
      </c>
      <c r="L585" s="30">
        <f>IF(AND(J585=1,ISNUMBER(G585)),G585,"")</f>
        <v/>
      </c>
      <c r="M585" s="22">
        <f>IF(AND(J585=1,ISNUMBER(C585)),C585,"")</f>
        <v/>
      </c>
      <c r="N585" s="31">
        <f>IF(AND(J585=1,ISNUMBER(I585)),I585,"")</f>
        <v/>
      </c>
      <c r="O585" s="11">
        <f>IF(K585="","",100-IF($G$13=1,50,(_xlfn.RANK.AVG(K585,$K$19:$K$1518,1)-1)/($G$13-1)*100))</f>
        <v/>
      </c>
      <c r="P585" s="11">
        <f>IF(L585="","",100-IF($G$14=1,50,(_xlfn.RANK.AVG(L585,$L$19:$L$1518,1)-1)/($G$14-1)*100))</f>
        <v/>
      </c>
      <c r="Q585" s="11">
        <f>IF(M585="","",IF($G$15=1,50,(_xlfn.RANK.AVG(M585,$M$19:$M$1518,1)-1)/($G$15-1)*100))</f>
        <v/>
      </c>
      <c r="R585" s="11">
        <f>IF(N585="","",IF($G$16=1,50,(_xlfn.RANK.AVG(N585,$N$19:$N$1518,1)-1)/($G$16-1)*100))</f>
        <v/>
      </c>
      <c r="S585" s="11">
        <f>IF(COUNT(O585:R585)=4,ROUND(AVERAGE(O585:R585),6),"")</f>
        <v/>
      </c>
      <c r="U585">
        <f>IF(AND(ISNUMBER('자료_한국심리'!$A569),ISNUMBER('자료_한국심리'!$B569)),'자료_한국심리'!$A569,"")</f>
        <v/>
      </c>
      <c r="V585">
        <f>IF(AND(ISNUMBER('자료_한국심리'!$D569),ISNUMBER('자료_한국심리'!$E569)),'자료_한국심리'!$D569,"")</f>
        <v/>
      </c>
      <c r="W585">
        <f>IF(AND(ISNUMBER('자료_한국심리'!$G569),ISNUMBER('자료_한국심리'!$H569)),'자료_한국심리'!$G569,"")</f>
        <v/>
      </c>
      <c r="X585">
        <f>IF(AND(ISNUMBER('자료_한국심리'!$J569),ISNUMBER('자료_한국심리'!$K569)),'자료_한국심리'!$J569,"")</f>
        <v/>
      </c>
      <c r="Y585">
        <f>IF(AND(ISNUMBER('자료_한국심리'!$M569),ISNUMBER('자료_한국심리'!$N569)),'자료_한국심리'!$M569,"")</f>
        <v/>
      </c>
    </row>
    <row r="586">
      <c r="A586" s="10">
        <f>IF(568&gt;$E$5,"",SMALL($U$19:$U$4018,$E$6+568))</f>
        <v/>
      </c>
      <c r="B586" s="29">
        <f>IF(A586="","",INDEX('자료_한국심리'!$B$3:$B$4002,MATCH(A586,$U$19:$U$4018,0)))</f>
        <v/>
      </c>
      <c r="C586" s="22">
        <f>IF(A586="","",B586/AVERAGE(B462:B586)-1)</f>
        <v/>
      </c>
      <c r="D586" s="29">
        <f>IF(A586="","",IFERROR(INDEX('자료_한국심리'!$E$3:$E$4002,MATCH(A586,$V$19:$V$4018,0)),D585))</f>
        <v/>
      </c>
      <c r="E586" s="30">
        <f>IF(A586="","",IFERROR(INDEX('자료_한국심리'!$H$3:$H$4002,MATCH(A586,$W$19:$W$4018,0)),E585))</f>
        <v/>
      </c>
      <c r="F586" s="30">
        <f>IF(A586="","",IFERROR(INDEX('자료_한국심리'!$K$3:$K$4002,MATCH(A586,$X$19:$X$4018,0)),F585))</f>
        <v/>
      </c>
      <c r="G586" s="30">
        <f>IF(AND(ISNUMBER(E586),ISNUMBER(F586)),ROUND(E586-F586,6),"")</f>
        <v/>
      </c>
      <c r="H586" s="25">
        <f>IF(A586="","",IFERROR(INDEX('자료_한국심리'!$N$3:$N$4002,MATCH(A586,$Y$19:$Y$4018,0)),H585))</f>
        <v/>
      </c>
      <c r="I586" s="31">
        <f>IF(AND(ISNUMBER(H586),ISNUMBER(H566)),IF(H566&gt;0,H586/H566-1,""),"")</f>
        <v/>
      </c>
      <c r="J586">
        <f>IF(A586="",0,IF(A586&gt;$B$5,1,0))</f>
        <v/>
      </c>
      <c r="K586" s="29">
        <f>IF(AND(J586=1,ISNUMBER(D586)),D586,"")</f>
        <v/>
      </c>
      <c r="L586" s="30">
        <f>IF(AND(J586=1,ISNUMBER(G586)),G586,"")</f>
        <v/>
      </c>
      <c r="M586" s="22">
        <f>IF(AND(J586=1,ISNUMBER(C586)),C586,"")</f>
        <v/>
      </c>
      <c r="N586" s="31">
        <f>IF(AND(J586=1,ISNUMBER(I586)),I586,"")</f>
        <v/>
      </c>
      <c r="O586" s="11">
        <f>IF(K586="","",100-IF($G$13=1,50,(_xlfn.RANK.AVG(K586,$K$19:$K$1518,1)-1)/($G$13-1)*100))</f>
        <v/>
      </c>
      <c r="P586" s="11">
        <f>IF(L586="","",100-IF($G$14=1,50,(_xlfn.RANK.AVG(L586,$L$19:$L$1518,1)-1)/($G$14-1)*100))</f>
        <v/>
      </c>
      <c r="Q586" s="11">
        <f>IF(M586="","",IF($G$15=1,50,(_xlfn.RANK.AVG(M586,$M$19:$M$1518,1)-1)/($G$15-1)*100))</f>
        <v/>
      </c>
      <c r="R586" s="11">
        <f>IF(N586="","",IF($G$16=1,50,(_xlfn.RANK.AVG(N586,$N$19:$N$1518,1)-1)/($G$16-1)*100))</f>
        <v/>
      </c>
      <c r="S586" s="11">
        <f>IF(COUNT(O586:R586)=4,ROUND(AVERAGE(O586:R586),6),"")</f>
        <v/>
      </c>
      <c r="U586">
        <f>IF(AND(ISNUMBER('자료_한국심리'!$A570),ISNUMBER('자료_한국심리'!$B570)),'자료_한국심리'!$A570,"")</f>
        <v/>
      </c>
      <c r="V586">
        <f>IF(AND(ISNUMBER('자료_한국심리'!$D570),ISNUMBER('자료_한국심리'!$E570)),'자료_한국심리'!$D570,"")</f>
        <v/>
      </c>
      <c r="W586">
        <f>IF(AND(ISNUMBER('자료_한국심리'!$G570),ISNUMBER('자료_한국심리'!$H570)),'자료_한국심리'!$G570,"")</f>
        <v/>
      </c>
      <c r="X586">
        <f>IF(AND(ISNUMBER('자료_한국심리'!$J570),ISNUMBER('자료_한국심리'!$K570)),'자료_한국심리'!$J570,"")</f>
        <v/>
      </c>
      <c r="Y586">
        <f>IF(AND(ISNUMBER('자료_한국심리'!$M570),ISNUMBER('자료_한국심리'!$N570)),'자료_한국심리'!$M570,"")</f>
        <v/>
      </c>
    </row>
    <row r="587">
      <c r="A587" s="10">
        <f>IF(569&gt;$E$5,"",SMALL($U$19:$U$4018,$E$6+569))</f>
        <v/>
      </c>
      <c r="B587" s="29">
        <f>IF(A587="","",INDEX('자료_한국심리'!$B$3:$B$4002,MATCH(A587,$U$19:$U$4018,0)))</f>
        <v/>
      </c>
      <c r="C587" s="22">
        <f>IF(A587="","",B587/AVERAGE(B463:B587)-1)</f>
        <v/>
      </c>
      <c r="D587" s="29">
        <f>IF(A587="","",IFERROR(INDEX('자료_한국심리'!$E$3:$E$4002,MATCH(A587,$V$19:$V$4018,0)),D586))</f>
        <v/>
      </c>
      <c r="E587" s="30">
        <f>IF(A587="","",IFERROR(INDEX('자료_한국심리'!$H$3:$H$4002,MATCH(A587,$W$19:$W$4018,0)),E586))</f>
        <v/>
      </c>
      <c r="F587" s="30">
        <f>IF(A587="","",IFERROR(INDEX('자료_한국심리'!$K$3:$K$4002,MATCH(A587,$X$19:$X$4018,0)),F586))</f>
        <v/>
      </c>
      <c r="G587" s="30">
        <f>IF(AND(ISNUMBER(E587),ISNUMBER(F587)),ROUND(E587-F587,6),"")</f>
        <v/>
      </c>
      <c r="H587" s="25">
        <f>IF(A587="","",IFERROR(INDEX('자료_한국심리'!$N$3:$N$4002,MATCH(A587,$Y$19:$Y$4018,0)),H586))</f>
        <v/>
      </c>
      <c r="I587" s="31">
        <f>IF(AND(ISNUMBER(H587),ISNUMBER(H567)),IF(H567&gt;0,H587/H567-1,""),"")</f>
        <v/>
      </c>
      <c r="J587">
        <f>IF(A587="",0,IF(A587&gt;$B$5,1,0))</f>
        <v/>
      </c>
      <c r="K587" s="29">
        <f>IF(AND(J587=1,ISNUMBER(D587)),D587,"")</f>
        <v/>
      </c>
      <c r="L587" s="30">
        <f>IF(AND(J587=1,ISNUMBER(G587)),G587,"")</f>
        <v/>
      </c>
      <c r="M587" s="22">
        <f>IF(AND(J587=1,ISNUMBER(C587)),C587,"")</f>
        <v/>
      </c>
      <c r="N587" s="31">
        <f>IF(AND(J587=1,ISNUMBER(I587)),I587,"")</f>
        <v/>
      </c>
      <c r="O587" s="11">
        <f>IF(K587="","",100-IF($G$13=1,50,(_xlfn.RANK.AVG(K587,$K$19:$K$1518,1)-1)/($G$13-1)*100))</f>
        <v/>
      </c>
      <c r="P587" s="11">
        <f>IF(L587="","",100-IF($G$14=1,50,(_xlfn.RANK.AVG(L587,$L$19:$L$1518,1)-1)/($G$14-1)*100))</f>
        <v/>
      </c>
      <c r="Q587" s="11">
        <f>IF(M587="","",IF($G$15=1,50,(_xlfn.RANK.AVG(M587,$M$19:$M$1518,1)-1)/($G$15-1)*100))</f>
        <v/>
      </c>
      <c r="R587" s="11">
        <f>IF(N587="","",IF($G$16=1,50,(_xlfn.RANK.AVG(N587,$N$19:$N$1518,1)-1)/($G$16-1)*100))</f>
        <v/>
      </c>
      <c r="S587" s="11">
        <f>IF(COUNT(O587:R587)=4,ROUND(AVERAGE(O587:R587),6),"")</f>
        <v/>
      </c>
      <c r="U587">
        <f>IF(AND(ISNUMBER('자료_한국심리'!$A571),ISNUMBER('자료_한국심리'!$B571)),'자료_한국심리'!$A571,"")</f>
        <v/>
      </c>
      <c r="V587">
        <f>IF(AND(ISNUMBER('자료_한국심리'!$D571),ISNUMBER('자료_한국심리'!$E571)),'자료_한국심리'!$D571,"")</f>
        <v/>
      </c>
      <c r="W587">
        <f>IF(AND(ISNUMBER('자료_한국심리'!$G571),ISNUMBER('자료_한국심리'!$H571)),'자료_한국심리'!$G571,"")</f>
        <v/>
      </c>
      <c r="X587">
        <f>IF(AND(ISNUMBER('자료_한국심리'!$J571),ISNUMBER('자료_한국심리'!$K571)),'자료_한국심리'!$J571,"")</f>
        <v/>
      </c>
      <c r="Y587">
        <f>IF(AND(ISNUMBER('자료_한국심리'!$M571),ISNUMBER('자료_한국심리'!$N571)),'자료_한국심리'!$M571,"")</f>
        <v/>
      </c>
    </row>
    <row r="588">
      <c r="A588" s="10">
        <f>IF(570&gt;$E$5,"",SMALL($U$19:$U$4018,$E$6+570))</f>
        <v/>
      </c>
      <c r="B588" s="29">
        <f>IF(A588="","",INDEX('자료_한국심리'!$B$3:$B$4002,MATCH(A588,$U$19:$U$4018,0)))</f>
        <v/>
      </c>
      <c r="C588" s="22">
        <f>IF(A588="","",B588/AVERAGE(B464:B588)-1)</f>
        <v/>
      </c>
      <c r="D588" s="29">
        <f>IF(A588="","",IFERROR(INDEX('자료_한국심리'!$E$3:$E$4002,MATCH(A588,$V$19:$V$4018,0)),D587))</f>
        <v/>
      </c>
      <c r="E588" s="30">
        <f>IF(A588="","",IFERROR(INDEX('자료_한국심리'!$H$3:$H$4002,MATCH(A588,$W$19:$W$4018,0)),E587))</f>
        <v/>
      </c>
      <c r="F588" s="30">
        <f>IF(A588="","",IFERROR(INDEX('자료_한국심리'!$K$3:$K$4002,MATCH(A588,$X$19:$X$4018,0)),F587))</f>
        <v/>
      </c>
      <c r="G588" s="30">
        <f>IF(AND(ISNUMBER(E588),ISNUMBER(F588)),ROUND(E588-F588,6),"")</f>
        <v/>
      </c>
      <c r="H588" s="25">
        <f>IF(A588="","",IFERROR(INDEX('자료_한국심리'!$N$3:$N$4002,MATCH(A588,$Y$19:$Y$4018,0)),H587))</f>
        <v/>
      </c>
      <c r="I588" s="31">
        <f>IF(AND(ISNUMBER(H588),ISNUMBER(H568)),IF(H568&gt;0,H588/H568-1,""),"")</f>
        <v/>
      </c>
      <c r="J588">
        <f>IF(A588="",0,IF(A588&gt;$B$5,1,0))</f>
        <v/>
      </c>
      <c r="K588" s="29">
        <f>IF(AND(J588=1,ISNUMBER(D588)),D588,"")</f>
        <v/>
      </c>
      <c r="L588" s="30">
        <f>IF(AND(J588=1,ISNUMBER(G588)),G588,"")</f>
        <v/>
      </c>
      <c r="M588" s="22">
        <f>IF(AND(J588=1,ISNUMBER(C588)),C588,"")</f>
        <v/>
      </c>
      <c r="N588" s="31">
        <f>IF(AND(J588=1,ISNUMBER(I588)),I588,"")</f>
        <v/>
      </c>
      <c r="O588" s="11">
        <f>IF(K588="","",100-IF($G$13=1,50,(_xlfn.RANK.AVG(K588,$K$19:$K$1518,1)-1)/($G$13-1)*100))</f>
        <v/>
      </c>
      <c r="P588" s="11">
        <f>IF(L588="","",100-IF($G$14=1,50,(_xlfn.RANK.AVG(L588,$L$19:$L$1518,1)-1)/($G$14-1)*100))</f>
        <v/>
      </c>
      <c r="Q588" s="11">
        <f>IF(M588="","",IF($G$15=1,50,(_xlfn.RANK.AVG(M588,$M$19:$M$1518,1)-1)/($G$15-1)*100))</f>
        <v/>
      </c>
      <c r="R588" s="11">
        <f>IF(N588="","",IF($G$16=1,50,(_xlfn.RANK.AVG(N588,$N$19:$N$1518,1)-1)/($G$16-1)*100))</f>
        <v/>
      </c>
      <c r="S588" s="11">
        <f>IF(COUNT(O588:R588)=4,ROUND(AVERAGE(O588:R588),6),"")</f>
        <v/>
      </c>
      <c r="U588">
        <f>IF(AND(ISNUMBER('자료_한국심리'!$A572),ISNUMBER('자료_한국심리'!$B572)),'자료_한국심리'!$A572,"")</f>
        <v/>
      </c>
      <c r="V588">
        <f>IF(AND(ISNUMBER('자료_한국심리'!$D572),ISNUMBER('자료_한국심리'!$E572)),'자료_한국심리'!$D572,"")</f>
        <v/>
      </c>
      <c r="W588">
        <f>IF(AND(ISNUMBER('자료_한국심리'!$G572),ISNUMBER('자료_한국심리'!$H572)),'자료_한국심리'!$G572,"")</f>
        <v/>
      </c>
      <c r="X588">
        <f>IF(AND(ISNUMBER('자료_한국심리'!$J572),ISNUMBER('자료_한국심리'!$K572)),'자료_한국심리'!$J572,"")</f>
        <v/>
      </c>
      <c r="Y588">
        <f>IF(AND(ISNUMBER('자료_한국심리'!$M572),ISNUMBER('자료_한국심리'!$N572)),'자료_한국심리'!$M572,"")</f>
        <v/>
      </c>
    </row>
    <row r="589">
      <c r="A589" s="10">
        <f>IF(571&gt;$E$5,"",SMALL($U$19:$U$4018,$E$6+571))</f>
        <v/>
      </c>
      <c r="B589" s="29">
        <f>IF(A589="","",INDEX('자료_한국심리'!$B$3:$B$4002,MATCH(A589,$U$19:$U$4018,0)))</f>
        <v/>
      </c>
      <c r="C589" s="22">
        <f>IF(A589="","",B589/AVERAGE(B465:B589)-1)</f>
        <v/>
      </c>
      <c r="D589" s="29">
        <f>IF(A589="","",IFERROR(INDEX('자료_한국심리'!$E$3:$E$4002,MATCH(A589,$V$19:$V$4018,0)),D588))</f>
        <v/>
      </c>
      <c r="E589" s="30">
        <f>IF(A589="","",IFERROR(INDEX('자료_한국심리'!$H$3:$H$4002,MATCH(A589,$W$19:$W$4018,0)),E588))</f>
        <v/>
      </c>
      <c r="F589" s="30">
        <f>IF(A589="","",IFERROR(INDEX('자료_한국심리'!$K$3:$K$4002,MATCH(A589,$X$19:$X$4018,0)),F588))</f>
        <v/>
      </c>
      <c r="G589" s="30">
        <f>IF(AND(ISNUMBER(E589),ISNUMBER(F589)),ROUND(E589-F589,6),"")</f>
        <v/>
      </c>
      <c r="H589" s="25">
        <f>IF(A589="","",IFERROR(INDEX('자료_한국심리'!$N$3:$N$4002,MATCH(A589,$Y$19:$Y$4018,0)),H588))</f>
        <v/>
      </c>
      <c r="I589" s="31">
        <f>IF(AND(ISNUMBER(H589),ISNUMBER(H569)),IF(H569&gt;0,H589/H569-1,""),"")</f>
        <v/>
      </c>
      <c r="J589">
        <f>IF(A589="",0,IF(A589&gt;$B$5,1,0))</f>
        <v/>
      </c>
      <c r="K589" s="29">
        <f>IF(AND(J589=1,ISNUMBER(D589)),D589,"")</f>
        <v/>
      </c>
      <c r="L589" s="30">
        <f>IF(AND(J589=1,ISNUMBER(G589)),G589,"")</f>
        <v/>
      </c>
      <c r="M589" s="22">
        <f>IF(AND(J589=1,ISNUMBER(C589)),C589,"")</f>
        <v/>
      </c>
      <c r="N589" s="31">
        <f>IF(AND(J589=1,ISNUMBER(I589)),I589,"")</f>
        <v/>
      </c>
      <c r="O589" s="11">
        <f>IF(K589="","",100-IF($G$13=1,50,(_xlfn.RANK.AVG(K589,$K$19:$K$1518,1)-1)/($G$13-1)*100))</f>
        <v/>
      </c>
      <c r="P589" s="11">
        <f>IF(L589="","",100-IF($G$14=1,50,(_xlfn.RANK.AVG(L589,$L$19:$L$1518,1)-1)/($G$14-1)*100))</f>
        <v/>
      </c>
      <c r="Q589" s="11">
        <f>IF(M589="","",IF($G$15=1,50,(_xlfn.RANK.AVG(M589,$M$19:$M$1518,1)-1)/($G$15-1)*100))</f>
        <v/>
      </c>
      <c r="R589" s="11">
        <f>IF(N589="","",IF($G$16=1,50,(_xlfn.RANK.AVG(N589,$N$19:$N$1518,1)-1)/($G$16-1)*100))</f>
        <v/>
      </c>
      <c r="S589" s="11">
        <f>IF(COUNT(O589:R589)=4,ROUND(AVERAGE(O589:R589),6),"")</f>
        <v/>
      </c>
      <c r="U589">
        <f>IF(AND(ISNUMBER('자료_한국심리'!$A573),ISNUMBER('자료_한국심리'!$B573)),'자료_한국심리'!$A573,"")</f>
        <v/>
      </c>
      <c r="V589">
        <f>IF(AND(ISNUMBER('자료_한국심리'!$D573),ISNUMBER('자료_한국심리'!$E573)),'자료_한국심리'!$D573,"")</f>
        <v/>
      </c>
      <c r="W589">
        <f>IF(AND(ISNUMBER('자료_한국심리'!$G573),ISNUMBER('자료_한국심리'!$H573)),'자료_한국심리'!$G573,"")</f>
        <v/>
      </c>
      <c r="X589">
        <f>IF(AND(ISNUMBER('자료_한국심리'!$J573),ISNUMBER('자료_한국심리'!$K573)),'자료_한국심리'!$J573,"")</f>
        <v/>
      </c>
      <c r="Y589">
        <f>IF(AND(ISNUMBER('자료_한국심리'!$M573),ISNUMBER('자료_한국심리'!$N573)),'자료_한국심리'!$M573,"")</f>
        <v/>
      </c>
    </row>
    <row r="590">
      <c r="A590" s="10">
        <f>IF(572&gt;$E$5,"",SMALL($U$19:$U$4018,$E$6+572))</f>
        <v/>
      </c>
      <c r="B590" s="29">
        <f>IF(A590="","",INDEX('자료_한국심리'!$B$3:$B$4002,MATCH(A590,$U$19:$U$4018,0)))</f>
        <v/>
      </c>
      <c r="C590" s="22">
        <f>IF(A590="","",B590/AVERAGE(B466:B590)-1)</f>
        <v/>
      </c>
      <c r="D590" s="29">
        <f>IF(A590="","",IFERROR(INDEX('자료_한국심리'!$E$3:$E$4002,MATCH(A590,$V$19:$V$4018,0)),D589))</f>
        <v/>
      </c>
      <c r="E590" s="30">
        <f>IF(A590="","",IFERROR(INDEX('자료_한국심리'!$H$3:$H$4002,MATCH(A590,$W$19:$W$4018,0)),E589))</f>
        <v/>
      </c>
      <c r="F590" s="30">
        <f>IF(A590="","",IFERROR(INDEX('자료_한국심리'!$K$3:$K$4002,MATCH(A590,$X$19:$X$4018,0)),F589))</f>
        <v/>
      </c>
      <c r="G590" s="30">
        <f>IF(AND(ISNUMBER(E590),ISNUMBER(F590)),ROUND(E590-F590,6),"")</f>
        <v/>
      </c>
      <c r="H590" s="25">
        <f>IF(A590="","",IFERROR(INDEX('자료_한국심리'!$N$3:$N$4002,MATCH(A590,$Y$19:$Y$4018,0)),H589))</f>
        <v/>
      </c>
      <c r="I590" s="31">
        <f>IF(AND(ISNUMBER(H590),ISNUMBER(H570)),IF(H570&gt;0,H590/H570-1,""),"")</f>
        <v/>
      </c>
      <c r="J590">
        <f>IF(A590="",0,IF(A590&gt;$B$5,1,0))</f>
        <v/>
      </c>
      <c r="K590" s="29">
        <f>IF(AND(J590=1,ISNUMBER(D590)),D590,"")</f>
        <v/>
      </c>
      <c r="L590" s="30">
        <f>IF(AND(J590=1,ISNUMBER(G590)),G590,"")</f>
        <v/>
      </c>
      <c r="M590" s="22">
        <f>IF(AND(J590=1,ISNUMBER(C590)),C590,"")</f>
        <v/>
      </c>
      <c r="N590" s="31">
        <f>IF(AND(J590=1,ISNUMBER(I590)),I590,"")</f>
        <v/>
      </c>
      <c r="O590" s="11">
        <f>IF(K590="","",100-IF($G$13=1,50,(_xlfn.RANK.AVG(K590,$K$19:$K$1518,1)-1)/($G$13-1)*100))</f>
        <v/>
      </c>
      <c r="P590" s="11">
        <f>IF(L590="","",100-IF($G$14=1,50,(_xlfn.RANK.AVG(L590,$L$19:$L$1518,1)-1)/($G$14-1)*100))</f>
        <v/>
      </c>
      <c r="Q590" s="11">
        <f>IF(M590="","",IF($G$15=1,50,(_xlfn.RANK.AVG(M590,$M$19:$M$1518,1)-1)/($G$15-1)*100))</f>
        <v/>
      </c>
      <c r="R590" s="11">
        <f>IF(N590="","",IF($G$16=1,50,(_xlfn.RANK.AVG(N590,$N$19:$N$1518,1)-1)/($G$16-1)*100))</f>
        <v/>
      </c>
      <c r="S590" s="11">
        <f>IF(COUNT(O590:R590)=4,ROUND(AVERAGE(O590:R590),6),"")</f>
        <v/>
      </c>
      <c r="U590">
        <f>IF(AND(ISNUMBER('자료_한국심리'!$A574),ISNUMBER('자료_한국심리'!$B574)),'자료_한국심리'!$A574,"")</f>
        <v/>
      </c>
      <c r="V590">
        <f>IF(AND(ISNUMBER('자료_한국심리'!$D574),ISNUMBER('자료_한국심리'!$E574)),'자료_한국심리'!$D574,"")</f>
        <v/>
      </c>
      <c r="W590">
        <f>IF(AND(ISNUMBER('자료_한국심리'!$G574),ISNUMBER('자료_한국심리'!$H574)),'자료_한국심리'!$G574,"")</f>
        <v/>
      </c>
      <c r="X590">
        <f>IF(AND(ISNUMBER('자료_한국심리'!$J574),ISNUMBER('자료_한국심리'!$K574)),'자료_한국심리'!$J574,"")</f>
        <v/>
      </c>
      <c r="Y590">
        <f>IF(AND(ISNUMBER('자료_한국심리'!$M574),ISNUMBER('자료_한국심리'!$N574)),'자료_한국심리'!$M574,"")</f>
        <v/>
      </c>
    </row>
    <row r="591">
      <c r="A591" s="10">
        <f>IF(573&gt;$E$5,"",SMALL($U$19:$U$4018,$E$6+573))</f>
        <v/>
      </c>
      <c r="B591" s="29">
        <f>IF(A591="","",INDEX('자료_한국심리'!$B$3:$B$4002,MATCH(A591,$U$19:$U$4018,0)))</f>
        <v/>
      </c>
      <c r="C591" s="22">
        <f>IF(A591="","",B591/AVERAGE(B467:B591)-1)</f>
        <v/>
      </c>
      <c r="D591" s="29">
        <f>IF(A591="","",IFERROR(INDEX('자료_한국심리'!$E$3:$E$4002,MATCH(A591,$V$19:$V$4018,0)),D590))</f>
        <v/>
      </c>
      <c r="E591" s="30">
        <f>IF(A591="","",IFERROR(INDEX('자료_한국심리'!$H$3:$H$4002,MATCH(A591,$W$19:$W$4018,0)),E590))</f>
        <v/>
      </c>
      <c r="F591" s="30">
        <f>IF(A591="","",IFERROR(INDEX('자료_한국심리'!$K$3:$K$4002,MATCH(A591,$X$19:$X$4018,0)),F590))</f>
        <v/>
      </c>
      <c r="G591" s="30">
        <f>IF(AND(ISNUMBER(E591),ISNUMBER(F591)),ROUND(E591-F591,6),"")</f>
        <v/>
      </c>
      <c r="H591" s="25">
        <f>IF(A591="","",IFERROR(INDEX('자료_한국심리'!$N$3:$N$4002,MATCH(A591,$Y$19:$Y$4018,0)),H590))</f>
        <v/>
      </c>
      <c r="I591" s="31">
        <f>IF(AND(ISNUMBER(H591),ISNUMBER(H571)),IF(H571&gt;0,H591/H571-1,""),"")</f>
        <v/>
      </c>
      <c r="J591">
        <f>IF(A591="",0,IF(A591&gt;$B$5,1,0))</f>
        <v/>
      </c>
      <c r="K591" s="29">
        <f>IF(AND(J591=1,ISNUMBER(D591)),D591,"")</f>
        <v/>
      </c>
      <c r="L591" s="30">
        <f>IF(AND(J591=1,ISNUMBER(G591)),G591,"")</f>
        <v/>
      </c>
      <c r="M591" s="22">
        <f>IF(AND(J591=1,ISNUMBER(C591)),C591,"")</f>
        <v/>
      </c>
      <c r="N591" s="31">
        <f>IF(AND(J591=1,ISNUMBER(I591)),I591,"")</f>
        <v/>
      </c>
      <c r="O591" s="11">
        <f>IF(K591="","",100-IF($G$13=1,50,(_xlfn.RANK.AVG(K591,$K$19:$K$1518,1)-1)/($G$13-1)*100))</f>
        <v/>
      </c>
      <c r="P591" s="11">
        <f>IF(L591="","",100-IF($G$14=1,50,(_xlfn.RANK.AVG(L591,$L$19:$L$1518,1)-1)/($G$14-1)*100))</f>
        <v/>
      </c>
      <c r="Q591" s="11">
        <f>IF(M591="","",IF($G$15=1,50,(_xlfn.RANK.AVG(M591,$M$19:$M$1518,1)-1)/($G$15-1)*100))</f>
        <v/>
      </c>
      <c r="R591" s="11">
        <f>IF(N591="","",IF($G$16=1,50,(_xlfn.RANK.AVG(N591,$N$19:$N$1518,1)-1)/($G$16-1)*100))</f>
        <v/>
      </c>
      <c r="S591" s="11">
        <f>IF(COUNT(O591:R591)=4,ROUND(AVERAGE(O591:R591),6),"")</f>
        <v/>
      </c>
      <c r="U591">
        <f>IF(AND(ISNUMBER('자료_한국심리'!$A575),ISNUMBER('자료_한국심리'!$B575)),'자료_한국심리'!$A575,"")</f>
        <v/>
      </c>
      <c r="V591">
        <f>IF(AND(ISNUMBER('자료_한국심리'!$D575),ISNUMBER('자료_한국심리'!$E575)),'자료_한국심리'!$D575,"")</f>
        <v/>
      </c>
      <c r="W591">
        <f>IF(AND(ISNUMBER('자료_한국심리'!$G575),ISNUMBER('자료_한국심리'!$H575)),'자료_한국심리'!$G575,"")</f>
        <v/>
      </c>
      <c r="X591">
        <f>IF(AND(ISNUMBER('자료_한국심리'!$J575),ISNUMBER('자료_한국심리'!$K575)),'자료_한국심리'!$J575,"")</f>
        <v/>
      </c>
      <c r="Y591">
        <f>IF(AND(ISNUMBER('자료_한국심리'!$M575),ISNUMBER('자료_한국심리'!$N575)),'자료_한국심리'!$M575,"")</f>
        <v/>
      </c>
    </row>
    <row r="592">
      <c r="A592" s="10">
        <f>IF(574&gt;$E$5,"",SMALL($U$19:$U$4018,$E$6+574))</f>
        <v/>
      </c>
      <c r="B592" s="29">
        <f>IF(A592="","",INDEX('자료_한국심리'!$B$3:$B$4002,MATCH(A592,$U$19:$U$4018,0)))</f>
        <v/>
      </c>
      <c r="C592" s="22">
        <f>IF(A592="","",B592/AVERAGE(B468:B592)-1)</f>
        <v/>
      </c>
      <c r="D592" s="29">
        <f>IF(A592="","",IFERROR(INDEX('자료_한국심리'!$E$3:$E$4002,MATCH(A592,$V$19:$V$4018,0)),D591))</f>
        <v/>
      </c>
      <c r="E592" s="30">
        <f>IF(A592="","",IFERROR(INDEX('자료_한국심리'!$H$3:$H$4002,MATCH(A592,$W$19:$W$4018,0)),E591))</f>
        <v/>
      </c>
      <c r="F592" s="30">
        <f>IF(A592="","",IFERROR(INDEX('자료_한국심리'!$K$3:$K$4002,MATCH(A592,$X$19:$X$4018,0)),F591))</f>
        <v/>
      </c>
      <c r="G592" s="30">
        <f>IF(AND(ISNUMBER(E592),ISNUMBER(F592)),ROUND(E592-F592,6),"")</f>
        <v/>
      </c>
      <c r="H592" s="25">
        <f>IF(A592="","",IFERROR(INDEX('자료_한국심리'!$N$3:$N$4002,MATCH(A592,$Y$19:$Y$4018,0)),H591))</f>
        <v/>
      </c>
      <c r="I592" s="31">
        <f>IF(AND(ISNUMBER(H592),ISNUMBER(H572)),IF(H572&gt;0,H592/H572-1,""),"")</f>
        <v/>
      </c>
      <c r="J592">
        <f>IF(A592="",0,IF(A592&gt;$B$5,1,0))</f>
        <v/>
      </c>
      <c r="K592" s="29">
        <f>IF(AND(J592=1,ISNUMBER(D592)),D592,"")</f>
        <v/>
      </c>
      <c r="L592" s="30">
        <f>IF(AND(J592=1,ISNUMBER(G592)),G592,"")</f>
        <v/>
      </c>
      <c r="M592" s="22">
        <f>IF(AND(J592=1,ISNUMBER(C592)),C592,"")</f>
        <v/>
      </c>
      <c r="N592" s="31">
        <f>IF(AND(J592=1,ISNUMBER(I592)),I592,"")</f>
        <v/>
      </c>
      <c r="O592" s="11">
        <f>IF(K592="","",100-IF($G$13=1,50,(_xlfn.RANK.AVG(K592,$K$19:$K$1518,1)-1)/($G$13-1)*100))</f>
        <v/>
      </c>
      <c r="P592" s="11">
        <f>IF(L592="","",100-IF($G$14=1,50,(_xlfn.RANK.AVG(L592,$L$19:$L$1518,1)-1)/($G$14-1)*100))</f>
        <v/>
      </c>
      <c r="Q592" s="11">
        <f>IF(M592="","",IF($G$15=1,50,(_xlfn.RANK.AVG(M592,$M$19:$M$1518,1)-1)/($G$15-1)*100))</f>
        <v/>
      </c>
      <c r="R592" s="11">
        <f>IF(N592="","",IF($G$16=1,50,(_xlfn.RANK.AVG(N592,$N$19:$N$1518,1)-1)/($G$16-1)*100))</f>
        <v/>
      </c>
      <c r="S592" s="11">
        <f>IF(COUNT(O592:R592)=4,ROUND(AVERAGE(O592:R592),6),"")</f>
        <v/>
      </c>
      <c r="U592">
        <f>IF(AND(ISNUMBER('자료_한국심리'!$A576),ISNUMBER('자료_한국심리'!$B576)),'자료_한국심리'!$A576,"")</f>
        <v/>
      </c>
      <c r="V592">
        <f>IF(AND(ISNUMBER('자료_한국심리'!$D576),ISNUMBER('자료_한국심리'!$E576)),'자료_한국심리'!$D576,"")</f>
        <v/>
      </c>
      <c r="W592">
        <f>IF(AND(ISNUMBER('자료_한국심리'!$G576),ISNUMBER('자료_한국심리'!$H576)),'자료_한국심리'!$G576,"")</f>
        <v/>
      </c>
      <c r="X592">
        <f>IF(AND(ISNUMBER('자료_한국심리'!$J576),ISNUMBER('자료_한국심리'!$K576)),'자료_한국심리'!$J576,"")</f>
        <v/>
      </c>
      <c r="Y592">
        <f>IF(AND(ISNUMBER('자료_한국심리'!$M576),ISNUMBER('자료_한국심리'!$N576)),'자료_한국심리'!$M576,"")</f>
        <v/>
      </c>
    </row>
    <row r="593">
      <c r="A593" s="10">
        <f>IF(575&gt;$E$5,"",SMALL($U$19:$U$4018,$E$6+575))</f>
        <v/>
      </c>
      <c r="B593" s="29">
        <f>IF(A593="","",INDEX('자료_한국심리'!$B$3:$B$4002,MATCH(A593,$U$19:$U$4018,0)))</f>
        <v/>
      </c>
      <c r="C593" s="22">
        <f>IF(A593="","",B593/AVERAGE(B469:B593)-1)</f>
        <v/>
      </c>
      <c r="D593" s="29">
        <f>IF(A593="","",IFERROR(INDEX('자료_한국심리'!$E$3:$E$4002,MATCH(A593,$V$19:$V$4018,0)),D592))</f>
        <v/>
      </c>
      <c r="E593" s="30">
        <f>IF(A593="","",IFERROR(INDEX('자료_한국심리'!$H$3:$H$4002,MATCH(A593,$W$19:$W$4018,0)),E592))</f>
        <v/>
      </c>
      <c r="F593" s="30">
        <f>IF(A593="","",IFERROR(INDEX('자료_한국심리'!$K$3:$K$4002,MATCH(A593,$X$19:$X$4018,0)),F592))</f>
        <v/>
      </c>
      <c r="G593" s="30">
        <f>IF(AND(ISNUMBER(E593),ISNUMBER(F593)),ROUND(E593-F593,6),"")</f>
        <v/>
      </c>
      <c r="H593" s="25">
        <f>IF(A593="","",IFERROR(INDEX('자료_한국심리'!$N$3:$N$4002,MATCH(A593,$Y$19:$Y$4018,0)),H592))</f>
        <v/>
      </c>
      <c r="I593" s="31">
        <f>IF(AND(ISNUMBER(H593),ISNUMBER(H573)),IF(H573&gt;0,H593/H573-1,""),"")</f>
        <v/>
      </c>
      <c r="J593">
        <f>IF(A593="",0,IF(A593&gt;$B$5,1,0))</f>
        <v/>
      </c>
      <c r="K593" s="29">
        <f>IF(AND(J593=1,ISNUMBER(D593)),D593,"")</f>
        <v/>
      </c>
      <c r="L593" s="30">
        <f>IF(AND(J593=1,ISNUMBER(G593)),G593,"")</f>
        <v/>
      </c>
      <c r="M593" s="22">
        <f>IF(AND(J593=1,ISNUMBER(C593)),C593,"")</f>
        <v/>
      </c>
      <c r="N593" s="31">
        <f>IF(AND(J593=1,ISNUMBER(I593)),I593,"")</f>
        <v/>
      </c>
      <c r="O593" s="11">
        <f>IF(K593="","",100-IF($G$13=1,50,(_xlfn.RANK.AVG(K593,$K$19:$K$1518,1)-1)/($G$13-1)*100))</f>
        <v/>
      </c>
      <c r="P593" s="11">
        <f>IF(L593="","",100-IF($G$14=1,50,(_xlfn.RANK.AVG(L593,$L$19:$L$1518,1)-1)/($G$14-1)*100))</f>
        <v/>
      </c>
      <c r="Q593" s="11">
        <f>IF(M593="","",IF($G$15=1,50,(_xlfn.RANK.AVG(M593,$M$19:$M$1518,1)-1)/($G$15-1)*100))</f>
        <v/>
      </c>
      <c r="R593" s="11">
        <f>IF(N593="","",IF($G$16=1,50,(_xlfn.RANK.AVG(N593,$N$19:$N$1518,1)-1)/($G$16-1)*100))</f>
        <v/>
      </c>
      <c r="S593" s="11">
        <f>IF(COUNT(O593:R593)=4,ROUND(AVERAGE(O593:R593),6),"")</f>
        <v/>
      </c>
      <c r="U593">
        <f>IF(AND(ISNUMBER('자료_한국심리'!$A577),ISNUMBER('자료_한국심리'!$B577)),'자료_한국심리'!$A577,"")</f>
        <v/>
      </c>
      <c r="V593">
        <f>IF(AND(ISNUMBER('자료_한국심리'!$D577),ISNUMBER('자료_한국심리'!$E577)),'자료_한국심리'!$D577,"")</f>
        <v/>
      </c>
      <c r="W593">
        <f>IF(AND(ISNUMBER('자료_한국심리'!$G577),ISNUMBER('자료_한국심리'!$H577)),'자료_한국심리'!$G577,"")</f>
        <v/>
      </c>
      <c r="X593">
        <f>IF(AND(ISNUMBER('자료_한국심리'!$J577),ISNUMBER('자료_한국심리'!$K577)),'자료_한국심리'!$J577,"")</f>
        <v/>
      </c>
      <c r="Y593">
        <f>IF(AND(ISNUMBER('자료_한국심리'!$M577),ISNUMBER('자료_한국심리'!$N577)),'자료_한국심리'!$M577,"")</f>
        <v/>
      </c>
    </row>
    <row r="594">
      <c r="A594" s="10">
        <f>IF(576&gt;$E$5,"",SMALL($U$19:$U$4018,$E$6+576))</f>
        <v/>
      </c>
      <c r="B594" s="29">
        <f>IF(A594="","",INDEX('자료_한국심리'!$B$3:$B$4002,MATCH(A594,$U$19:$U$4018,0)))</f>
        <v/>
      </c>
      <c r="C594" s="22">
        <f>IF(A594="","",B594/AVERAGE(B470:B594)-1)</f>
        <v/>
      </c>
      <c r="D594" s="29">
        <f>IF(A594="","",IFERROR(INDEX('자료_한국심리'!$E$3:$E$4002,MATCH(A594,$V$19:$V$4018,0)),D593))</f>
        <v/>
      </c>
      <c r="E594" s="30">
        <f>IF(A594="","",IFERROR(INDEX('자료_한국심리'!$H$3:$H$4002,MATCH(A594,$W$19:$W$4018,0)),E593))</f>
        <v/>
      </c>
      <c r="F594" s="30">
        <f>IF(A594="","",IFERROR(INDEX('자료_한국심리'!$K$3:$K$4002,MATCH(A594,$X$19:$X$4018,0)),F593))</f>
        <v/>
      </c>
      <c r="G594" s="30">
        <f>IF(AND(ISNUMBER(E594),ISNUMBER(F594)),ROUND(E594-F594,6),"")</f>
        <v/>
      </c>
      <c r="H594" s="25">
        <f>IF(A594="","",IFERROR(INDEX('자료_한국심리'!$N$3:$N$4002,MATCH(A594,$Y$19:$Y$4018,0)),H593))</f>
        <v/>
      </c>
      <c r="I594" s="31">
        <f>IF(AND(ISNUMBER(H594),ISNUMBER(H574)),IF(H574&gt;0,H594/H574-1,""),"")</f>
        <v/>
      </c>
      <c r="J594">
        <f>IF(A594="",0,IF(A594&gt;$B$5,1,0))</f>
        <v/>
      </c>
      <c r="K594" s="29">
        <f>IF(AND(J594=1,ISNUMBER(D594)),D594,"")</f>
        <v/>
      </c>
      <c r="L594" s="30">
        <f>IF(AND(J594=1,ISNUMBER(G594)),G594,"")</f>
        <v/>
      </c>
      <c r="M594" s="22">
        <f>IF(AND(J594=1,ISNUMBER(C594)),C594,"")</f>
        <v/>
      </c>
      <c r="N594" s="31">
        <f>IF(AND(J594=1,ISNUMBER(I594)),I594,"")</f>
        <v/>
      </c>
      <c r="O594" s="11">
        <f>IF(K594="","",100-IF($G$13=1,50,(_xlfn.RANK.AVG(K594,$K$19:$K$1518,1)-1)/($G$13-1)*100))</f>
        <v/>
      </c>
      <c r="P594" s="11">
        <f>IF(L594="","",100-IF($G$14=1,50,(_xlfn.RANK.AVG(L594,$L$19:$L$1518,1)-1)/($G$14-1)*100))</f>
        <v/>
      </c>
      <c r="Q594" s="11">
        <f>IF(M594="","",IF($G$15=1,50,(_xlfn.RANK.AVG(M594,$M$19:$M$1518,1)-1)/($G$15-1)*100))</f>
        <v/>
      </c>
      <c r="R594" s="11">
        <f>IF(N594="","",IF($G$16=1,50,(_xlfn.RANK.AVG(N594,$N$19:$N$1518,1)-1)/($G$16-1)*100))</f>
        <v/>
      </c>
      <c r="S594" s="11">
        <f>IF(COUNT(O594:R594)=4,ROUND(AVERAGE(O594:R594),6),"")</f>
        <v/>
      </c>
      <c r="U594">
        <f>IF(AND(ISNUMBER('자료_한국심리'!$A578),ISNUMBER('자료_한국심리'!$B578)),'자료_한국심리'!$A578,"")</f>
        <v/>
      </c>
      <c r="V594">
        <f>IF(AND(ISNUMBER('자료_한국심리'!$D578),ISNUMBER('자료_한국심리'!$E578)),'자료_한국심리'!$D578,"")</f>
        <v/>
      </c>
      <c r="W594">
        <f>IF(AND(ISNUMBER('자료_한국심리'!$G578),ISNUMBER('자료_한국심리'!$H578)),'자료_한국심리'!$G578,"")</f>
        <v/>
      </c>
      <c r="X594">
        <f>IF(AND(ISNUMBER('자료_한국심리'!$J578),ISNUMBER('자료_한국심리'!$K578)),'자료_한국심리'!$J578,"")</f>
        <v/>
      </c>
      <c r="Y594">
        <f>IF(AND(ISNUMBER('자료_한국심리'!$M578),ISNUMBER('자료_한국심리'!$N578)),'자료_한국심리'!$M578,"")</f>
        <v/>
      </c>
    </row>
    <row r="595">
      <c r="A595" s="10">
        <f>IF(577&gt;$E$5,"",SMALL($U$19:$U$4018,$E$6+577))</f>
        <v/>
      </c>
      <c r="B595" s="29">
        <f>IF(A595="","",INDEX('자료_한국심리'!$B$3:$B$4002,MATCH(A595,$U$19:$U$4018,0)))</f>
        <v/>
      </c>
      <c r="C595" s="22">
        <f>IF(A595="","",B595/AVERAGE(B471:B595)-1)</f>
        <v/>
      </c>
      <c r="D595" s="29">
        <f>IF(A595="","",IFERROR(INDEX('자료_한국심리'!$E$3:$E$4002,MATCH(A595,$V$19:$V$4018,0)),D594))</f>
        <v/>
      </c>
      <c r="E595" s="30">
        <f>IF(A595="","",IFERROR(INDEX('자료_한국심리'!$H$3:$H$4002,MATCH(A595,$W$19:$W$4018,0)),E594))</f>
        <v/>
      </c>
      <c r="F595" s="30">
        <f>IF(A595="","",IFERROR(INDEX('자료_한국심리'!$K$3:$K$4002,MATCH(A595,$X$19:$X$4018,0)),F594))</f>
        <v/>
      </c>
      <c r="G595" s="30">
        <f>IF(AND(ISNUMBER(E595),ISNUMBER(F595)),ROUND(E595-F595,6),"")</f>
        <v/>
      </c>
      <c r="H595" s="25">
        <f>IF(A595="","",IFERROR(INDEX('자료_한국심리'!$N$3:$N$4002,MATCH(A595,$Y$19:$Y$4018,0)),H594))</f>
        <v/>
      </c>
      <c r="I595" s="31">
        <f>IF(AND(ISNUMBER(H595),ISNUMBER(H575)),IF(H575&gt;0,H595/H575-1,""),"")</f>
        <v/>
      </c>
      <c r="J595">
        <f>IF(A595="",0,IF(A595&gt;$B$5,1,0))</f>
        <v/>
      </c>
      <c r="K595" s="29">
        <f>IF(AND(J595=1,ISNUMBER(D595)),D595,"")</f>
        <v/>
      </c>
      <c r="L595" s="30">
        <f>IF(AND(J595=1,ISNUMBER(G595)),G595,"")</f>
        <v/>
      </c>
      <c r="M595" s="22">
        <f>IF(AND(J595=1,ISNUMBER(C595)),C595,"")</f>
        <v/>
      </c>
      <c r="N595" s="31">
        <f>IF(AND(J595=1,ISNUMBER(I595)),I595,"")</f>
        <v/>
      </c>
      <c r="O595" s="11">
        <f>IF(K595="","",100-IF($G$13=1,50,(_xlfn.RANK.AVG(K595,$K$19:$K$1518,1)-1)/($G$13-1)*100))</f>
        <v/>
      </c>
      <c r="P595" s="11">
        <f>IF(L595="","",100-IF($G$14=1,50,(_xlfn.RANK.AVG(L595,$L$19:$L$1518,1)-1)/($G$14-1)*100))</f>
        <v/>
      </c>
      <c r="Q595" s="11">
        <f>IF(M595="","",IF($G$15=1,50,(_xlfn.RANK.AVG(M595,$M$19:$M$1518,1)-1)/($G$15-1)*100))</f>
        <v/>
      </c>
      <c r="R595" s="11">
        <f>IF(N595="","",IF($G$16=1,50,(_xlfn.RANK.AVG(N595,$N$19:$N$1518,1)-1)/($G$16-1)*100))</f>
        <v/>
      </c>
      <c r="S595" s="11">
        <f>IF(COUNT(O595:R595)=4,ROUND(AVERAGE(O595:R595),6),"")</f>
        <v/>
      </c>
      <c r="U595">
        <f>IF(AND(ISNUMBER('자료_한국심리'!$A579),ISNUMBER('자료_한국심리'!$B579)),'자료_한국심리'!$A579,"")</f>
        <v/>
      </c>
      <c r="V595">
        <f>IF(AND(ISNUMBER('자료_한국심리'!$D579),ISNUMBER('자료_한국심리'!$E579)),'자료_한국심리'!$D579,"")</f>
        <v/>
      </c>
      <c r="W595">
        <f>IF(AND(ISNUMBER('자료_한국심리'!$G579),ISNUMBER('자료_한국심리'!$H579)),'자료_한국심리'!$G579,"")</f>
        <v/>
      </c>
      <c r="X595">
        <f>IF(AND(ISNUMBER('자료_한국심리'!$J579),ISNUMBER('자료_한국심리'!$K579)),'자료_한국심리'!$J579,"")</f>
        <v/>
      </c>
      <c r="Y595">
        <f>IF(AND(ISNUMBER('자료_한국심리'!$M579),ISNUMBER('자료_한국심리'!$N579)),'자료_한국심리'!$M579,"")</f>
        <v/>
      </c>
    </row>
    <row r="596">
      <c r="A596" s="10">
        <f>IF(578&gt;$E$5,"",SMALL($U$19:$U$4018,$E$6+578))</f>
        <v/>
      </c>
      <c r="B596" s="29">
        <f>IF(A596="","",INDEX('자료_한국심리'!$B$3:$B$4002,MATCH(A596,$U$19:$U$4018,0)))</f>
        <v/>
      </c>
      <c r="C596" s="22">
        <f>IF(A596="","",B596/AVERAGE(B472:B596)-1)</f>
        <v/>
      </c>
      <c r="D596" s="29">
        <f>IF(A596="","",IFERROR(INDEX('자료_한국심리'!$E$3:$E$4002,MATCH(A596,$V$19:$V$4018,0)),D595))</f>
        <v/>
      </c>
      <c r="E596" s="30">
        <f>IF(A596="","",IFERROR(INDEX('자료_한국심리'!$H$3:$H$4002,MATCH(A596,$W$19:$W$4018,0)),E595))</f>
        <v/>
      </c>
      <c r="F596" s="30">
        <f>IF(A596="","",IFERROR(INDEX('자료_한국심리'!$K$3:$K$4002,MATCH(A596,$X$19:$X$4018,0)),F595))</f>
        <v/>
      </c>
      <c r="G596" s="30">
        <f>IF(AND(ISNUMBER(E596),ISNUMBER(F596)),ROUND(E596-F596,6),"")</f>
        <v/>
      </c>
      <c r="H596" s="25">
        <f>IF(A596="","",IFERROR(INDEX('자료_한국심리'!$N$3:$N$4002,MATCH(A596,$Y$19:$Y$4018,0)),H595))</f>
        <v/>
      </c>
      <c r="I596" s="31">
        <f>IF(AND(ISNUMBER(H596),ISNUMBER(H576)),IF(H576&gt;0,H596/H576-1,""),"")</f>
        <v/>
      </c>
      <c r="J596">
        <f>IF(A596="",0,IF(A596&gt;$B$5,1,0))</f>
        <v/>
      </c>
      <c r="K596" s="29">
        <f>IF(AND(J596=1,ISNUMBER(D596)),D596,"")</f>
        <v/>
      </c>
      <c r="L596" s="30">
        <f>IF(AND(J596=1,ISNUMBER(G596)),G596,"")</f>
        <v/>
      </c>
      <c r="M596" s="22">
        <f>IF(AND(J596=1,ISNUMBER(C596)),C596,"")</f>
        <v/>
      </c>
      <c r="N596" s="31">
        <f>IF(AND(J596=1,ISNUMBER(I596)),I596,"")</f>
        <v/>
      </c>
      <c r="O596" s="11">
        <f>IF(K596="","",100-IF($G$13=1,50,(_xlfn.RANK.AVG(K596,$K$19:$K$1518,1)-1)/($G$13-1)*100))</f>
        <v/>
      </c>
      <c r="P596" s="11">
        <f>IF(L596="","",100-IF($G$14=1,50,(_xlfn.RANK.AVG(L596,$L$19:$L$1518,1)-1)/($G$14-1)*100))</f>
        <v/>
      </c>
      <c r="Q596" s="11">
        <f>IF(M596="","",IF($G$15=1,50,(_xlfn.RANK.AVG(M596,$M$19:$M$1518,1)-1)/($G$15-1)*100))</f>
        <v/>
      </c>
      <c r="R596" s="11">
        <f>IF(N596="","",IF($G$16=1,50,(_xlfn.RANK.AVG(N596,$N$19:$N$1518,1)-1)/($G$16-1)*100))</f>
        <v/>
      </c>
      <c r="S596" s="11">
        <f>IF(COUNT(O596:R596)=4,ROUND(AVERAGE(O596:R596),6),"")</f>
        <v/>
      </c>
      <c r="U596">
        <f>IF(AND(ISNUMBER('자료_한국심리'!$A580),ISNUMBER('자료_한국심리'!$B580)),'자료_한국심리'!$A580,"")</f>
        <v/>
      </c>
      <c r="V596">
        <f>IF(AND(ISNUMBER('자료_한국심리'!$D580),ISNUMBER('자료_한국심리'!$E580)),'자료_한국심리'!$D580,"")</f>
        <v/>
      </c>
      <c r="W596">
        <f>IF(AND(ISNUMBER('자료_한국심리'!$G580),ISNUMBER('자료_한국심리'!$H580)),'자료_한국심리'!$G580,"")</f>
        <v/>
      </c>
      <c r="X596">
        <f>IF(AND(ISNUMBER('자료_한국심리'!$J580),ISNUMBER('자료_한국심리'!$K580)),'자료_한국심리'!$J580,"")</f>
        <v/>
      </c>
      <c r="Y596">
        <f>IF(AND(ISNUMBER('자료_한국심리'!$M580),ISNUMBER('자료_한국심리'!$N580)),'자료_한국심리'!$M580,"")</f>
        <v/>
      </c>
    </row>
    <row r="597">
      <c r="A597" s="10">
        <f>IF(579&gt;$E$5,"",SMALL($U$19:$U$4018,$E$6+579))</f>
        <v/>
      </c>
      <c r="B597" s="29">
        <f>IF(A597="","",INDEX('자료_한국심리'!$B$3:$B$4002,MATCH(A597,$U$19:$U$4018,0)))</f>
        <v/>
      </c>
      <c r="C597" s="22">
        <f>IF(A597="","",B597/AVERAGE(B473:B597)-1)</f>
        <v/>
      </c>
      <c r="D597" s="29">
        <f>IF(A597="","",IFERROR(INDEX('자료_한국심리'!$E$3:$E$4002,MATCH(A597,$V$19:$V$4018,0)),D596))</f>
        <v/>
      </c>
      <c r="E597" s="30">
        <f>IF(A597="","",IFERROR(INDEX('자료_한국심리'!$H$3:$H$4002,MATCH(A597,$W$19:$W$4018,0)),E596))</f>
        <v/>
      </c>
      <c r="F597" s="30">
        <f>IF(A597="","",IFERROR(INDEX('자료_한국심리'!$K$3:$K$4002,MATCH(A597,$X$19:$X$4018,0)),F596))</f>
        <v/>
      </c>
      <c r="G597" s="30">
        <f>IF(AND(ISNUMBER(E597),ISNUMBER(F597)),ROUND(E597-F597,6),"")</f>
        <v/>
      </c>
      <c r="H597" s="25">
        <f>IF(A597="","",IFERROR(INDEX('자료_한국심리'!$N$3:$N$4002,MATCH(A597,$Y$19:$Y$4018,0)),H596))</f>
        <v/>
      </c>
      <c r="I597" s="31">
        <f>IF(AND(ISNUMBER(H597),ISNUMBER(H577)),IF(H577&gt;0,H597/H577-1,""),"")</f>
        <v/>
      </c>
      <c r="J597">
        <f>IF(A597="",0,IF(A597&gt;$B$5,1,0))</f>
        <v/>
      </c>
      <c r="K597" s="29">
        <f>IF(AND(J597=1,ISNUMBER(D597)),D597,"")</f>
        <v/>
      </c>
      <c r="L597" s="30">
        <f>IF(AND(J597=1,ISNUMBER(G597)),G597,"")</f>
        <v/>
      </c>
      <c r="M597" s="22">
        <f>IF(AND(J597=1,ISNUMBER(C597)),C597,"")</f>
        <v/>
      </c>
      <c r="N597" s="31">
        <f>IF(AND(J597=1,ISNUMBER(I597)),I597,"")</f>
        <v/>
      </c>
      <c r="O597" s="11">
        <f>IF(K597="","",100-IF($G$13=1,50,(_xlfn.RANK.AVG(K597,$K$19:$K$1518,1)-1)/($G$13-1)*100))</f>
        <v/>
      </c>
      <c r="P597" s="11">
        <f>IF(L597="","",100-IF($G$14=1,50,(_xlfn.RANK.AVG(L597,$L$19:$L$1518,1)-1)/($G$14-1)*100))</f>
        <v/>
      </c>
      <c r="Q597" s="11">
        <f>IF(M597="","",IF($G$15=1,50,(_xlfn.RANK.AVG(M597,$M$19:$M$1518,1)-1)/($G$15-1)*100))</f>
        <v/>
      </c>
      <c r="R597" s="11">
        <f>IF(N597="","",IF($G$16=1,50,(_xlfn.RANK.AVG(N597,$N$19:$N$1518,1)-1)/($G$16-1)*100))</f>
        <v/>
      </c>
      <c r="S597" s="11">
        <f>IF(COUNT(O597:R597)=4,ROUND(AVERAGE(O597:R597),6),"")</f>
        <v/>
      </c>
      <c r="U597">
        <f>IF(AND(ISNUMBER('자료_한국심리'!$A581),ISNUMBER('자료_한국심리'!$B581)),'자료_한국심리'!$A581,"")</f>
        <v/>
      </c>
      <c r="V597">
        <f>IF(AND(ISNUMBER('자료_한국심리'!$D581),ISNUMBER('자료_한국심리'!$E581)),'자료_한국심리'!$D581,"")</f>
        <v/>
      </c>
      <c r="W597">
        <f>IF(AND(ISNUMBER('자료_한국심리'!$G581),ISNUMBER('자료_한국심리'!$H581)),'자료_한국심리'!$G581,"")</f>
        <v/>
      </c>
      <c r="X597">
        <f>IF(AND(ISNUMBER('자료_한국심리'!$J581),ISNUMBER('자료_한국심리'!$K581)),'자료_한국심리'!$J581,"")</f>
        <v/>
      </c>
      <c r="Y597">
        <f>IF(AND(ISNUMBER('자료_한국심리'!$M581),ISNUMBER('자료_한국심리'!$N581)),'자료_한국심리'!$M581,"")</f>
        <v/>
      </c>
    </row>
    <row r="598">
      <c r="A598" s="10">
        <f>IF(580&gt;$E$5,"",SMALL($U$19:$U$4018,$E$6+580))</f>
        <v/>
      </c>
      <c r="B598" s="29">
        <f>IF(A598="","",INDEX('자료_한국심리'!$B$3:$B$4002,MATCH(A598,$U$19:$U$4018,0)))</f>
        <v/>
      </c>
      <c r="C598" s="22">
        <f>IF(A598="","",B598/AVERAGE(B474:B598)-1)</f>
        <v/>
      </c>
      <c r="D598" s="29">
        <f>IF(A598="","",IFERROR(INDEX('자료_한국심리'!$E$3:$E$4002,MATCH(A598,$V$19:$V$4018,0)),D597))</f>
        <v/>
      </c>
      <c r="E598" s="30">
        <f>IF(A598="","",IFERROR(INDEX('자료_한국심리'!$H$3:$H$4002,MATCH(A598,$W$19:$W$4018,0)),E597))</f>
        <v/>
      </c>
      <c r="F598" s="30">
        <f>IF(A598="","",IFERROR(INDEX('자료_한국심리'!$K$3:$K$4002,MATCH(A598,$X$19:$X$4018,0)),F597))</f>
        <v/>
      </c>
      <c r="G598" s="30">
        <f>IF(AND(ISNUMBER(E598),ISNUMBER(F598)),ROUND(E598-F598,6),"")</f>
        <v/>
      </c>
      <c r="H598" s="25">
        <f>IF(A598="","",IFERROR(INDEX('자료_한국심리'!$N$3:$N$4002,MATCH(A598,$Y$19:$Y$4018,0)),H597))</f>
        <v/>
      </c>
      <c r="I598" s="31">
        <f>IF(AND(ISNUMBER(H598),ISNUMBER(H578)),IF(H578&gt;0,H598/H578-1,""),"")</f>
        <v/>
      </c>
      <c r="J598">
        <f>IF(A598="",0,IF(A598&gt;$B$5,1,0))</f>
        <v/>
      </c>
      <c r="K598" s="29">
        <f>IF(AND(J598=1,ISNUMBER(D598)),D598,"")</f>
        <v/>
      </c>
      <c r="L598" s="30">
        <f>IF(AND(J598=1,ISNUMBER(G598)),G598,"")</f>
        <v/>
      </c>
      <c r="M598" s="22">
        <f>IF(AND(J598=1,ISNUMBER(C598)),C598,"")</f>
        <v/>
      </c>
      <c r="N598" s="31">
        <f>IF(AND(J598=1,ISNUMBER(I598)),I598,"")</f>
        <v/>
      </c>
      <c r="O598" s="11">
        <f>IF(K598="","",100-IF($G$13=1,50,(_xlfn.RANK.AVG(K598,$K$19:$K$1518,1)-1)/($G$13-1)*100))</f>
        <v/>
      </c>
      <c r="P598" s="11">
        <f>IF(L598="","",100-IF($G$14=1,50,(_xlfn.RANK.AVG(L598,$L$19:$L$1518,1)-1)/($G$14-1)*100))</f>
        <v/>
      </c>
      <c r="Q598" s="11">
        <f>IF(M598="","",IF($G$15=1,50,(_xlfn.RANK.AVG(M598,$M$19:$M$1518,1)-1)/($G$15-1)*100))</f>
        <v/>
      </c>
      <c r="R598" s="11">
        <f>IF(N598="","",IF($G$16=1,50,(_xlfn.RANK.AVG(N598,$N$19:$N$1518,1)-1)/($G$16-1)*100))</f>
        <v/>
      </c>
      <c r="S598" s="11">
        <f>IF(COUNT(O598:R598)=4,ROUND(AVERAGE(O598:R598),6),"")</f>
        <v/>
      </c>
      <c r="U598">
        <f>IF(AND(ISNUMBER('자료_한국심리'!$A582),ISNUMBER('자료_한국심리'!$B582)),'자료_한국심리'!$A582,"")</f>
        <v/>
      </c>
      <c r="V598">
        <f>IF(AND(ISNUMBER('자료_한국심리'!$D582),ISNUMBER('자료_한국심리'!$E582)),'자료_한국심리'!$D582,"")</f>
        <v/>
      </c>
      <c r="W598">
        <f>IF(AND(ISNUMBER('자료_한국심리'!$G582),ISNUMBER('자료_한국심리'!$H582)),'자료_한국심리'!$G582,"")</f>
        <v/>
      </c>
      <c r="X598">
        <f>IF(AND(ISNUMBER('자료_한국심리'!$J582),ISNUMBER('자료_한국심리'!$K582)),'자료_한국심리'!$J582,"")</f>
        <v/>
      </c>
      <c r="Y598">
        <f>IF(AND(ISNUMBER('자료_한국심리'!$M582),ISNUMBER('자료_한국심리'!$N582)),'자료_한국심리'!$M582,"")</f>
        <v/>
      </c>
    </row>
    <row r="599">
      <c r="A599" s="10">
        <f>IF(581&gt;$E$5,"",SMALL($U$19:$U$4018,$E$6+581))</f>
        <v/>
      </c>
      <c r="B599" s="29">
        <f>IF(A599="","",INDEX('자료_한국심리'!$B$3:$B$4002,MATCH(A599,$U$19:$U$4018,0)))</f>
        <v/>
      </c>
      <c r="C599" s="22">
        <f>IF(A599="","",B599/AVERAGE(B475:B599)-1)</f>
        <v/>
      </c>
      <c r="D599" s="29">
        <f>IF(A599="","",IFERROR(INDEX('자료_한국심리'!$E$3:$E$4002,MATCH(A599,$V$19:$V$4018,0)),D598))</f>
        <v/>
      </c>
      <c r="E599" s="30">
        <f>IF(A599="","",IFERROR(INDEX('자료_한국심리'!$H$3:$H$4002,MATCH(A599,$W$19:$W$4018,0)),E598))</f>
        <v/>
      </c>
      <c r="F599" s="30">
        <f>IF(A599="","",IFERROR(INDEX('자료_한국심리'!$K$3:$K$4002,MATCH(A599,$X$19:$X$4018,0)),F598))</f>
        <v/>
      </c>
      <c r="G599" s="30">
        <f>IF(AND(ISNUMBER(E599),ISNUMBER(F599)),ROUND(E599-F599,6),"")</f>
        <v/>
      </c>
      <c r="H599" s="25">
        <f>IF(A599="","",IFERROR(INDEX('자료_한국심리'!$N$3:$N$4002,MATCH(A599,$Y$19:$Y$4018,0)),H598))</f>
        <v/>
      </c>
      <c r="I599" s="31">
        <f>IF(AND(ISNUMBER(H599),ISNUMBER(H579)),IF(H579&gt;0,H599/H579-1,""),"")</f>
        <v/>
      </c>
      <c r="J599">
        <f>IF(A599="",0,IF(A599&gt;$B$5,1,0))</f>
        <v/>
      </c>
      <c r="K599" s="29">
        <f>IF(AND(J599=1,ISNUMBER(D599)),D599,"")</f>
        <v/>
      </c>
      <c r="L599" s="30">
        <f>IF(AND(J599=1,ISNUMBER(G599)),G599,"")</f>
        <v/>
      </c>
      <c r="M599" s="22">
        <f>IF(AND(J599=1,ISNUMBER(C599)),C599,"")</f>
        <v/>
      </c>
      <c r="N599" s="31">
        <f>IF(AND(J599=1,ISNUMBER(I599)),I599,"")</f>
        <v/>
      </c>
      <c r="O599" s="11">
        <f>IF(K599="","",100-IF($G$13=1,50,(_xlfn.RANK.AVG(K599,$K$19:$K$1518,1)-1)/($G$13-1)*100))</f>
        <v/>
      </c>
      <c r="P599" s="11">
        <f>IF(L599="","",100-IF($G$14=1,50,(_xlfn.RANK.AVG(L599,$L$19:$L$1518,1)-1)/($G$14-1)*100))</f>
        <v/>
      </c>
      <c r="Q599" s="11">
        <f>IF(M599="","",IF($G$15=1,50,(_xlfn.RANK.AVG(M599,$M$19:$M$1518,1)-1)/($G$15-1)*100))</f>
        <v/>
      </c>
      <c r="R599" s="11">
        <f>IF(N599="","",IF($G$16=1,50,(_xlfn.RANK.AVG(N599,$N$19:$N$1518,1)-1)/($G$16-1)*100))</f>
        <v/>
      </c>
      <c r="S599" s="11">
        <f>IF(COUNT(O599:R599)=4,ROUND(AVERAGE(O599:R599),6),"")</f>
        <v/>
      </c>
      <c r="U599">
        <f>IF(AND(ISNUMBER('자료_한국심리'!$A583),ISNUMBER('자료_한국심리'!$B583)),'자료_한국심리'!$A583,"")</f>
        <v/>
      </c>
      <c r="V599">
        <f>IF(AND(ISNUMBER('자료_한국심리'!$D583),ISNUMBER('자료_한국심리'!$E583)),'자료_한국심리'!$D583,"")</f>
        <v/>
      </c>
      <c r="W599">
        <f>IF(AND(ISNUMBER('자료_한국심리'!$G583),ISNUMBER('자료_한국심리'!$H583)),'자료_한국심리'!$G583,"")</f>
        <v/>
      </c>
      <c r="X599">
        <f>IF(AND(ISNUMBER('자료_한국심리'!$J583),ISNUMBER('자료_한국심리'!$K583)),'자료_한국심리'!$J583,"")</f>
        <v/>
      </c>
      <c r="Y599">
        <f>IF(AND(ISNUMBER('자료_한국심리'!$M583),ISNUMBER('자료_한국심리'!$N583)),'자료_한국심리'!$M583,"")</f>
        <v/>
      </c>
    </row>
    <row r="600">
      <c r="A600" s="10">
        <f>IF(582&gt;$E$5,"",SMALL($U$19:$U$4018,$E$6+582))</f>
        <v/>
      </c>
      <c r="B600" s="29">
        <f>IF(A600="","",INDEX('자료_한국심리'!$B$3:$B$4002,MATCH(A600,$U$19:$U$4018,0)))</f>
        <v/>
      </c>
      <c r="C600" s="22">
        <f>IF(A600="","",B600/AVERAGE(B476:B600)-1)</f>
        <v/>
      </c>
      <c r="D600" s="29">
        <f>IF(A600="","",IFERROR(INDEX('자료_한국심리'!$E$3:$E$4002,MATCH(A600,$V$19:$V$4018,0)),D599))</f>
        <v/>
      </c>
      <c r="E600" s="30">
        <f>IF(A600="","",IFERROR(INDEX('자료_한국심리'!$H$3:$H$4002,MATCH(A600,$W$19:$W$4018,0)),E599))</f>
        <v/>
      </c>
      <c r="F600" s="30">
        <f>IF(A600="","",IFERROR(INDEX('자료_한국심리'!$K$3:$K$4002,MATCH(A600,$X$19:$X$4018,0)),F599))</f>
        <v/>
      </c>
      <c r="G600" s="30">
        <f>IF(AND(ISNUMBER(E600),ISNUMBER(F600)),ROUND(E600-F600,6),"")</f>
        <v/>
      </c>
      <c r="H600" s="25">
        <f>IF(A600="","",IFERROR(INDEX('자료_한국심리'!$N$3:$N$4002,MATCH(A600,$Y$19:$Y$4018,0)),H599))</f>
        <v/>
      </c>
      <c r="I600" s="31">
        <f>IF(AND(ISNUMBER(H600),ISNUMBER(H580)),IF(H580&gt;0,H600/H580-1,""),"")</f>
        <v/>
      </c>
      <c r="J600">
        <f>IF(A600="",0,IF(A600&gt;$B$5,1,0))</f>
        <v/>
      </c>
      <c r="K600" s="29">
        <f>IF(AND(J600=1,ISNUMBER(D600)),D600,"")</f>
        <v/>
      </c>
      <c r="L600" s="30">
        <f>IF(AND(J600=1,ISNUMBER(G600)),G600,"")</f>
        <v/>
      </c>
      <c r="M600" s="22">
        <f>IF(AND(J600=1,ISNUMBER(C600)),C600,"")</f>
        <v/>
      </c>
      <c r="N600" s="31">
        <f>IF(AND(J600=1,ISNUMBER(I600)),I600,"")</f>
        <v/>
      </c>
      <c r="O600" s="11">
        <f>IF(K600="","",100-IF($G$13=1,50,(_xlfn.RANK.AVG(K600,$K$19:$K$1518,1)-1)/($G$13-1)*100))</f>
        <v/>
      </c>
      <c r="P600" s="11">
        <f>IF(L600="","",100-IF($G$14=1,50,(_xlfn.RANK.AVG(L600,$L$19:$L$1518,1)-1)/($G$14-1)*100))</f>
        <v/>
      </c>
      <c r="Q600" s="11">
        <f>IF(M600="","",IF($G$15=1,50,(_xlfn.RANK.AVG(M600,$M$19:$M$1518,1)-1)/($G$15-1)*100))</f>
        <v/>
      </c>
      <c r="R600" s="11">
        <f>IF(N600="","",IF($G$16=1,50,(_xlfn.RANK.AVG(N600,$N$19:$N$1518,1)-1)/($G$16-1)*100))</f>
        <v/>
      </c>
      <c r="S600" s="11">
        <f>IF(COUNT(O600:R600)=4,ROUND(AVERAGE(O600:R600),6),"")</f>
        <v/>
      </c>
      <c r="U600">
        <f>IF(AND(ISNUMBER('자료_한국심리'!$A584),ISNUMBER('자료_한국심리'!$B584)),'자료_한국심리'!$A584,"")</f>
        <v/>
      </c>
      <c r="V600">
        <f>IF(AND(ISNUMBER('자료_한국심리'!$D584),ISNUMBER('자료_한국심리'!$E584)),'자료_한국심리'!$D584,"")</f>
        <v/>
      </c>
      <c r="W600">
        <f>IF(AND(ISNUMBER('자료_한국심리'!$G584),ISNUMBER('자료_한국심리'!$H584)),'자료_한국심리'!$G584,"")</f>
        <v/>
      </c>
      <c r="X600">
        <f>IF(AND(ISNUMBER('자료_한국심리'!$J584),ISNUMBER('자료_한국심리'!$K584)),'자료_한국심리'!$J584,"")</f>
        <v/>
      </c>
      <c r="Y600">
        <f>IF(AND(ISNUMBER('자료_한국심리'!$M584),ISNUMBER('자료_한국심리'!$N584)),'자료_한국심리'!$M584,"")</f>
        <v/>
      </c>
    </row>
    <row r="601">
      <c r="A601" s="10">
        <f>IF(583&gt;$E$5,"",SMALL($U$19:$U$4018,$E$6+583))</f>
        <v/>
      </c>
      <c r="B601" s="29">
        <f>IF(A601="","",INDEX('자료_한국심리'!$B$3:$B$4002,MATCH(A601,$U$19:$U$4018,0)))</f>
        <v/>
      </c>
      <c r="C601" s="22">
        <f>IF(A601="","",B601/AVERAGE(B477:B601)-1)</f>
        <v/>
      </c>
      <c r="D601" s="29">
        <f>IF(A601="","",IFERROR(INDEX('자료_한국심리'!$E$3:$E$4002,MATCH(A601,$V$19:$V$4018,0)),D600))</f>
        <v/>
      </c>
      <c r="E601" s="30">
        <f>IF(A601="","",IFERROR(INDEX('자료_한국심리'!$H$3:$H$4002,MATCH(A601,$W$19:$W$4018,0)),E600))</f>
        <v/>
      </c>
      <c r="F601" s="30">
        <f>IF(A601="","",IFERROR(INDEX('자료_한국심리'!$K$3:$K$4002,MATCH(A601,$X$19:$X$4018,0)),F600))</f>
        <v/>
      </c>
      <c r="G601" s="30">
        <f>IF(AND(ISNUMBER(E601),ISNUMBER(F601)),ROUND(E601-F601,6),"")</f>
        <v/>
      </c>
      <c r="H601" s="25">
        <f>IF(A601="","",IFERROR(INDEX('자료_한국심리'!$N$3:$N$4002,MATCH(A601,$Y$19:$Y$4018,0)),H600))</f>
        <v/>
      </c>
      <c r="I601" s="31">
        <f>IF(AND(ISNUMBER(H601),ISNUMBER(H581)),IF(H581&gt;0,H601/H581-1,""),"")</f>
        <v/>
      </c>
      <c r="J601">
        <f>IF(A601="",0,IF(A601&gt;$B$5,1,0))</f>
        <v/>
      </c>
      <c r="K601" s="29">
        <f>IF(AND(J601=1,ISNUMBER(D601)),D601,"")</f>
        <v/>
      </c>
      <c r="L601" s="30">
        <f>IF(AND(J601=1,ISNUMBER(G601)),G601,"")</f>
        <v/>
      </c>
      <c r="M601" s="22">
        <f>IF(AND(J601=1,ISNUMBER(C601)),C601,"")</f>
        <v/>
      </c>
      <c r="N601" s="31">
        <f>IF(AND(J601=1,ISNUMBER(I601)),I601,"")</f>
        <v/>
      </c>
      <c r="O601" s="11">
        <f>IF(K601="","",100-IF($G$13=1,50,(_xlfn.RANK.AVG(K601,$K$19:$K$1518,1)-1)/($G$13-1)*100))</f>
        <v/>
      </c>
      <c r="P601" s="11">
        <f>IF(L601="","",100-IF($G$14=1,50,(_xlfn.RANK.AVG(L601,$L$19:$L$1518,1)-1)/($G$14-1)*100))</f>
        <v/>
      </c>
      <c r="Q601" s="11">
        <f>IF(M601="","",IF($G$15=1,50,(_xlfn.RANK.AVG(M601,$M$19:$M$1518,1)-1)/($G$15-1)*100))</f>
        <v/>
      </c>
      <c r="R601" s="11">
        <f>IF(N601="","",IF($G$16=1,50,(_xlfn.RANK.AVG(N601,$N$19:$N$1518,1)-1)/($G$16-1)*100))</f>
        <v/>
      </c>
      <c r="S601" s="11">
        <f>IF(COUNT(O601:R601)=4,ROUND(AVERAGE(O601:R601),6),"")</f>
        <v/>
      </c>
      <c r="U601">
        <f>IF(AND(ISNUMBER('자료_한국심리'!$A585),ISNUMBER('자료_한국심리'!$B585)),'자료_한국심리'!$A585,"")</f>
        <v/>
      </c>
      <c r="V601">
        <f>IF(AND(ISNUMBER('자료_한국심리'!$D585),ISNUMBER('자료_한국심리'!$E585)),'자료_한국심리'!$D585,"")</f>
        <v/>
      </c>
      <c r="W601">
        <f>IF(AND(ISNUMBER('자료_한국심리'!$G585),ISNUMBER('자료_한국심리'!$H585)),'자료_한국심리'!$G585,"")</f>
        <v/>
      </c>
      <c r="X601">
        <f>IF(AND(ISNUMBER('자료_한국심리'!$J585),ISNUMBER('자료_한국심리'!$K585)),'자료_한국심리'!$J585,"")</f>
        <v/>
      </c>
      <c r="Y601">
        <f>IF(AND(ISNUMBER('자료_한국심리'!$M585),ISNUMBER('자료_한국심리'!$N585)),'자료_한국심리'!$M585,"")</f>
        <v/>
      </c>
    </row>
    <row r="602">
      <c r="A602" s="10">
        <f>IF(584&gt;$E$5,"",SMALL($U$19:$U$4018,$E$6+584))</f>
        <v/>
      </c>
      <c r="B602" s="29">
        <f>IF(A602="","",INDEX('자료_한국심리'!$B$3:$B$4002,MATCH(A602,$U$19:$U$4018,0)))</f>
        <v/>
      </c>
      <c r="C602" s="22">
        <f>IF(A602="","",B602/AVERAGE(B478:B602)-1)</f>
        <v/>
      </c>
      <c r="D602" s="29">
        <f>IF(A602="","",IFERROR(INDEX('자료_한국심리'!$E$3:$E$4002,MATCH(A602,$V$19:$V$4018,0)),D601))</f>
        <v/>
      </c>
      <c r="E602" s="30">
        <f>IF(A602="","",IFERROR(INDEX('자료_한국심리'!$H$3:$H$4002,MATCH(A602,$W$19:$W$4018,0)),E601))</f>
        <v/>
      </c>
      <c r="F602" s="30">
        <f>IF(A602="","",IFERROR(INDEX('자료_한국심리'!$K$3:$K$4002,MATCH(A602,$X$19:$X$4018,0)),F601))</f>
        <v/>
      </c>
      <c r="G602" s="30">
        <f>IF(AND(ISNUMBER(E602),ISNUMBER(F602)),ROUND(E602-F602,6),"")</f>
        <v/>
      </c>
      <c r="H602" s="25">
        <f>IF(A602="","",IFERROR(INDEX('자료_한국심리'!$N$3:$N$4002,MATCH(A602,$Y$19:$Y$4018,0)),H601))</f>
        <v/>
      </c>
      <c r="I602" s="31">
        <f>IF(AND(ISNUMBER(H602),ISNUMBER(H582)),IF(H582&gt;0,H602/H582-1,""),"")</f>
        <v/>
      </c>
      <c r="J602">
        <f>IF(A602="",0,IF(A602&gt;$B$5,1,0))</f>
        <v/>
      </c>
      <c r="K602" s="29">
        <f>IF(AND(J602=1,ISNUMBER(D602)),D602,"")</f>
        <v/>
      </c>
      <c r="L602" s="30">
        <f>IF(AND(J602=1,ISNUMBER(G602)),G602,"")</f>
        <v/>
      </c>
      <c r="M602" s="22">
        <f>IF(AND(J602=1,ISNUMBER(C602)),C602,"")</f>
        <v/>
      </c>
      <c r="N602" s="31">
        <f>IF(AND(J602=1,ISNUMBER(I602)),I602,"")</f>
        <v/>
      </c>
      <c r="O602" s="11">
        <f>IF(K602="","",100-IF($G$13=1,50,(_xlfn.RANK.AVG(K602,$K$19:$K$1518,1)-1)/($G$13-1)*100))</f>
        <v/>
      </c>
      <c r="P602" s="11">
        <f>IF(L602="","",100-IF($G$14=1,50,(_xlfn.RANK.AVG(L602,$L$19:$L$1518,1)-1)/($G$14-1)*100))</f>
        <v/>
      </c>
      <c r="Q602" s="11">
        <f>IF(M602="","",IF($G$15=1,50,(_xlfn.RANK.AVG(M602,$M$19:$M$1518,1)-1)/($G$15-1)*100))</f>
        <v/>
      </c>
      <c r="R602" s="11">
        <f>IF(N602="","",IF($G$16=1,50,(_xlfn.RANK.AVG(N602,$N$19:$N$1518,1)-1)/($G$16-1)*100))</f>
        <v/>
      </c>
      <c r="S602" s="11">
        <f>IF(COUNT(O602:R602)=4,ROUND(AVERAGE(O602:R602),6),"")</f>
        <v/>
      </c>
      <c r="U602">
        <f>IF(AND(ISNUMBER('자료_한국심리'!$A586),ISNUMBER('자료_한국심리'!$B586)),'자료_한국심리'!$A586,"")</f>
        <v/>
      </c>
      <c r="V602">
        <f>IF(AND(ISNUMBER('자료_한국심리'!$D586),ISNUMBER('자료_한국심리'!$E586)),'자료_한국심리'!$D586,"")</f>
        <v/>
      </c>
      <c r="W602">
        <f>IF(AND(ISNUMBER('자료_한국심리'!$G586),ISNUMBER('자료_한국심리'!$H586)),'자료_한국심리'!$G586,"")</f>
        <v/>
      </c>
      <c r="X602">
        <f>IF(AND(ISNUMBER('자료_한국심리'!$J586),ISNUMBER('자료_한국심리'!$K586)),'자료_한국심리'!$J586,"")</f>
        <v/>
      </c>
      <c r="Y602">
        <f>IF(AND(ISNUMBER('자료_한국심리'!$M586),ISNUMBER('자료_한국심리'!$N586)),'자료_한국심리'!$M586,"")</f>
        <v/>
      </c>
    </row>
    <row r="603">
      <c r="A603" s="10">
        <f>IF(585&gt;$E$5,"",SMALL($U$19:$U$4018,$E$6+585))</f>
        <v/>
      </c>
      <c r="B603" s="29">
        <f>IF(A603="","",INDEX('자료_한국심리'!$B$3:$B$4002,MATCH(A603,$U$19:$U$4018,0)))</f>
        <v/>
      </c>
      <c r="C603" s="22">
        <f>IF(A603="","",B603/AVERAGE(B479:B603)-1)</f>
        <v/>
      </c>
      <c r="D603" s="29">
        <f>IF(A603="","",IFERROR(INDEX('자료_한국심리'!$E$3:$E$4002,MATCH(A603,$V$19:$V$4018,0)),D602))</f>
        <v/>
      </c>
      <c r="E603" s="30">
        <f>IF(A603="","",IFERROR(INDEX('자료_한국심리'!$H$3:$H$4002,MATCH(A603,$W$19:$W$4018,0)),E602))</f>
        <v/>
      </c>
      <c r="F603" s="30">
        <f>IF(A603="","",IFERROR(INDEX('자료_한국심리'!$K$3:$K$4002,MATCH(A603,$X$19:$X$4018,0)),F602))</f>
        <v/>
      </c>
      <c r="G603" s="30">
        <f>IF(AND(ISNUMBER(E603),ISNUMBER(F603)),ROUND(E603-F603,6),"")</f>
        <v/>
      </c>
      <c r="H603" s="25">
        <f>IF(A603="","",IFERROR(INDEX('자료_한국심리'!$N$3:$N$4002,MATCH(A603,$Y$19:$Y$4018,0)),H602))</f>
        <v/>
      </c>
      <c r="I603" s="31">
        <f>IF(AND(ISNUMBER(H603),ISNUMBER(H583)),IF(H583&gt;0,H603/H583-1,""),"")</f>
        <v/>
      </c>
      <c r="J603">
        <f>IF(A603="",0,IF(A603&gt;$B$5,1,0))</f>
        <v/>
      </c>
      <c r="K603" s="29">
        <f>IF(AND(J603=1,ISNUMBER(D603)),D603,"")</f>
        <v/>
      </c>
      <c r="L603" s="30">
        <f>IF(AND(J603=1,ISNUMBER(G603)),G603,"")</f>
        <v/>
      </c>
      <c r="M603" s="22">
        <f>IF(AND(J603=1,ISNUMBER(C603)),C603,"")</f>
        <v/>
      </c>
      <c r="N603" s="31">
        <f>IF(AND(J603=1,ISNUMBER(I603)),I603,"")</f>
        <v/>
      </c>
      <c r="O603" s="11">
        <f>IF(K603="","",100-IF($G$13=1,50,(_xlfn.RANK.AVG(K603,$K$19:$K$1518,1)-1)/($G$13-1)*100))</f>
        <v/>
      </c>
      <c r="P603" s="11">
        <f>IF(L603="","",100-IF($G$14=1,50,(_xlfn.RANK.AVG(L603,$L$19:$L$1518,1)-1)/($G$14-1)*100))</f>
        <v/>
      </c>
      <c r="Q603" s="11">
        <f>IF(M603="","",IF($G$15=1,50,(_xlfn.RANK.AVG(M603,$M$19:$M$1518,1)-1)/($G$15-1)*100))</f>
        <v/>
      </c>
      <c r="R603" s="11">
        <f>IF(N603="","",IF($G$16=1,50,(_xlfn.RANK.AVG(N603,$N$19:$N$1518,1)-1)/($G$16-1)*100))</f>
        <v/>
      </c>
      <c r="S603" s="11">
        <f>IF(COUNT(O603:R603)=4,ROUND(AVERAGE(O603:R603),6),"")</f>
        <v/>
      </c>
      <c r="U603">
        <f>IF(AND(ISNUMBER('자료_한국심리'!$A587),ISNUMBER('자료_한국심리'!$B587)),'자료_한국심리'!$A587,"")</f>
        <v/>
      </c>
      <c r="V603">
        <f>IF(AND(ISNUMBER('자료_한국심리'!$D587),ISNUMBER('자료_한국심리'!$E587)),'자료_한국심리'!$D587,"")</f>
        <v/>
      </c>
      <c r="W603">
        <f>IF(AND(ISNUMBER('자료_한국심리'!$G587),ISNUMBER('자료_한국심리'!$H587)),'자료_한국심리'!$G587,"")</f>
        <v/>
      </c>
      <c r="X603">
        <f>IF(AND(ISNUMBER('자료_한국심리'!$J587),ISNUMBER('자료_한국심리'!$K587)),'자료_한국심리'!$J587,"")</f>
        <v/>
      </c>
      <c r="Y603">
        <f>IF(AND(ISNUMBER('자료_한국심리'!$M587),ISNUMBER('자료_한국심리'!$N587)),'자료_한국심리'!$M587,"")</f>
        <v/>
      </c>
    </row>
    <row r="604">
      <c r="A604" s="10">
        <f>IF(586&gt;$E$5,"",SMALL($U$19:$U$4018,$E$6+586))</f>
        <v/>
      </c>
      <c r="B604" s="29">
        <f>IF(A604="","",INDEX('자료_한국심리'!$B$3:$B$4002,MATCH(A604,$U$19:$U$4018,0)))</f>
        <v/>
      </c>
      <c r="C604" s="22">
        <f>IF(A604="","",B604/AVERAGE(B480:B604)-1)</f>
        <v/>
      </c>
      <c r="D604" s="29">
        <f>IF(A604="","",IFERROR(INDEX('자료_한국심리'!$E$3:$E$4002,MATCH(A604,$V$19:$V$4018,0)),D603))</f>
        <v/>
      </c>
      <c r="E604" s="30">
        <f>IF(A604="","",IFERROR(INDEX('자료_한국심리'!$H$3:$H$4002,MATCH(A604,$W$19:$W$4018,0)),E603))</f>
        <v/>
      </c>
      <c r="F604" s="30">
        <f>IF(A604="","",IFERROR(INDEX('자료_한국심리'!$K$3:$K$4002,MATCH(A604,$X$19:$X$4018,0)),F603))</f>
        <v/>
      </c>
      <c r="G604" s="30">
        <f>IF(AND(ISNUMBER(E604),ISNUMBER(F604)),ROUND(E604-F604,6),"")</f>
        <v/>
      </c>
      <c r="H604" s="25">
        <f>IF(A604="","",IFERROR(INDEX('자료_한국심리'!$N$3:$N$4002,MATCH(A604,$Y$19:$Y$4018,0)),H603))</f>
        <v/>
      </c>
      <c r="I604" s="31">
        <f>IF(AND(ISNUMBER(H604),ISNUMBER(H584)),IF(H584&gt;0,H604/H584-1,""),"")</f>
        <v/>
      </c>
      <c r="J604">
        <f>IF(A604="",0,IF(A604&gt;$B$5,1,0))</f>
        <v/>
      </c>
      <c r="K604" s="29">
        <f>IF(AND(J604=1,ISNUMBER(D604)),D604,"")</f>
        <v/>
      </c>
      <c r="L604" s="30">
        <f>IF(AND(J604=1,ISNUMBER(G604)),G604,"")</f>
        <v/>
      </c>
      <c r="M604" s="22">
        <f>IF(AND(J604=1,ISNUMBER(C604)),C604,"")</f>
        <v/>
      </c>
      <c r="N604" s="31">
        <f>IF(AND(J604=1,ISNUMBER(I604)),I604,"")</f>
        <v/>
      </c>
      <c r="O604" s="11">
        <f>IF(K604="","",100-IF($G$13=1,50,(_xlfn.RANK.AVG(K604,$K$19:$K$1518,1)-1)/($G$13-1)*100))</f>
        <v/>
      </c>
      <c r="P604" s="11">
        <f>IF(L604="","",100-IF($G$14=1,50,(_xlfn.RANK.AVG(L604,$L$19:$L$1518,1)-1)/($G$14-1)*100))</f>
        <v/>
      </c>
      <c r="Q604" s="11">
        <f>IF(M604="","",IF($G$15=1,50,(_xlfn.RANK.AVG(M604,$M$19:$M$1518,1)-1)/($G$15-1)*100))</f>
        <v/>
      </c>
      <c r="R604" s="11">
        <f>IF(N604="","",IF($G$16=1,50,(_xlfn.RANK.AVG(N604,$N$19:$N$1518,1)-1)/($G$16-1)*100))</f>
        <v/>
      </c>
      <c r="S604" s="11">
        <f>IF(COUNT(O604:R604)=4,ROUND(AVERAGE(O604:R604),6),"")</f>
        <v/>
      </c>
      <c r="U604">
        <f>IF(AND(ISNUMBER('자료_한국심리'!$A588),ISNUMBER('자료_한국심리'!$B588)),'자료_한국심리'!$A588,"")</f>
        <v/>
      </c>
      <c r="V604">
        <f>IF(AND(ISNUMBER('자료_한국심리'!$D588),ISNUMBER('자료_한국심리'!$E588)),'자료_한국심리'!$D588,"")</f>
        <v/>
      </c>
      <c r="W604">
        <f>IF(AND(ISNUMBER('자료_한국심리'!$G588),ISNUMBER('자료_한국심리'!$H588)),'자료_한국심리'!$G588,"")</f>
        <v/>
      </c>
      <c r="X604">
        <f>IF(AND(ISNUMBER('자료_한국심리'!$J588),ISNUMBER('자료_한국심리'!$K588)),'자료_한국심리'!$J588,"")</f>
        <v/>
      </c>
      <c r="Y604">
        <f>IF(AND(ISNUMBER('자료_한국심리'!$M588),ISNUMBER('자료_한국심리'!$N588)),'자료_한국심리'!$M588,"")</f>
        <v/>
      </c>
    </row>
    <row r="605">
      <c r="A605" s="10">
        <f>IF(587&gt;$E$5,"",SMALL($U$19:$U$4018,$E$6+587))</f>
        <v/>
      </c>
      <c r="B605" s="29">
        <f>IF(A605="","",INDEX('자료_한국심리'!$B$3:$B$4002,MATCH(A605,$U$19:$U$4018,0)))</f>
        <v/>
      </c>
      <c r="C605" s="22">
        <f>IF(A605="","",B605/AVERAGE(B481:B605)-1)</f>
        <v/>
      </c>
      <c r="D605" s="29">
        <f>IF(A605="","",IFERROR(INDEX('자료_한국심리'!$E$3:$E$4002,MATCH(A605,$V$19:$V$4018,0)),D604))</f>
        <v/>
      </c>
      <c r="E605" s="30">
        <f>IF(A605="","",IFERROR(INDEX('자료_한국심리'!$H$3:$H$4002,MATCH(A605,$W$19:$W$4018,0)),E604))</f>
        <v/>
      </c>
      <c r="F605" s="30">
        <f>IF(A605="","",IFERROR(INDEX('자료_한국심리'!$K$3:$K$4002,MATCH(A605,$X$19:$X$4018,0)),F604))</f>
        <v/>
      </c>
      <c r="G605" s="30">
        <f>IF(AND(ISNUMBER(E605),ISNUMBER(F605)),ROUND(E605-F605,6),"")</f>
        <v/>
      </c>
      <c r="H605" s="25">
        <f>IF(A605="","",IFERROR(INDEX('자료_한국심리'!$N$3:$N$4002,MATCH(A605,$Y$19:$Y$4018,0)),H604))</f>
        <v/>
      </c>
      <c r="I605" s="31">
        <f>IF(AND(ISNUMBER(H605),ISNUMBER(H585)),IF(H585&gt;0,H605/H585-1,""),"")</f>
        <v/>
      </c>
      <c r="J605">
        <f>IF(A605="",0,IF(A605&gt;$B$5,1,0))</f>
        <v/>
      </c>
      <c r="K605" s="29">
        <f>IF(AND(J605=1,ISNUMBER(D605)),D605,"")</f>
        <v/>
      </c>
      <c r="L605" s="30">
        <f>IF(AND(J605=1,ISNUMBER(G605)),G605,"")</f>
        <v/>
      </c>
      <c r="M605" s="22">
        <f>IF(AND(J605=1,ISNUMBER(C605)),C605,"")</f>
        <v/>
      </c>
      <c r="N605" s="31">
        <f>IF(AND(J605=1,ISNUMBER(I605)),I605,"")</f>
        <v/>
      </c>
      <c r="O605" s="11">
        <f>IF(K605="","",100-IF($G$13=1,50,(_xlfn.RANK.AVG(K605,$K$19:$K$1518,1)-1)/($G$13-1)*100))</f>
        <v/>
      </c>
      <c r="P605" s="11">
        <f>IF(L605="","",100-IF($G$14=1,50,(_xlfn.RANK.AVG(L605,$L$19:$L$1518,1)-1)/($G$14-1)*100))</f>
        <v/>
      </c>
      <c r="Q605" s="11">
        <f>IF(M605="","",IF($G$15=1,50,(_xlfn.RANK.AVG(M605,$M$19:$M$1518,1)-1)/($G$15-1)*100))</f>
        <v/>
      </c>
      <c r="R605" s="11">
        <f>IF(N605="","",IF($G$16=1,50,(_xlfn.RANK.AVG(N605,$N$19:$N$1518,1)-1)/($G$16-1)*100))</f>
        <v/>
      </c>
      <c r="S605" s="11">
        <f>IF(COUNT(O605:R605)=4,ROUND(AVERAGE(O605:R605),6),"")</f>
        <v/>
      </c>
      <c r="U605">
        <f>IF(AND(ISNUMBER('자료_한국심리'!$A589),ISNUMBER('자료_한국심리'!$B589)),'자료_한국심리'!$A589,"")</f>
        <v/>
      </c>
      <c r="V605">
        <f>IF(AND(ISNUMBER('자료_한국심리'!$D589),ISNUMBER('자료_한국심리'!$E589)),'자료_한국심리'!$D589,"")</f>
        <v/>
      </c>
      <c r="W605">
        <f>IF(AND(ISNUMBER('자료_한국심리'!$G589),ISNUMBER('자료_한국심리'!$H589)),'자료_한국심리'!$G589,"")</f>
        <v/>
      </c>
      <c r="X605">
        <f>IF(AND(ISNUMBER('자료_한국심리'!$J589),ISNUMBER('자료_한국심리'!$K589)),'자료_한국심리'!$J589,"")</f>
        <v/>
      </c>
      <c r="Y605">
        <f>IF(AND(ISNUMBER('자료_한국심리'!$M589),ISNUMBER('자료_한국심리'!$N589)),'자료_한국심리'!$M589,"")</f>
        <v/>
      </c>
    </row>
    <row r="606">
      <c r="A606" s="10">
        <f>IF(588&gt;$E$5,"",SMALL($U$19:$U$4018,$E$6+588))</f>
        <v/>
      </c>
      <c r="B606" s="29">
        <f>IF(A606="","",INDEX('자료_한국심리'!$B$3:$B$4002,MATCH(A606,$U$19:$U$4018,0)))</f>
        <v/>
      </c>
      <c r="C606" s="22">
        <f>IF(A606="","",B606/AVERAGE(B482:B606)-1)</f>
        <v/>
      </c>
      <c r="D606" s="29">
        <f>IF(A606="","",IFERROR(INDEX('자료_한국심리'!$E$3:$E$4002,MATCH(A606,$V$19:$V$4018,0)),D605))</f>
        <v/>
      </c>
      <c r="E606" s="30">
        <f>IF(A606="","",IFERROR(INDEX('자료_한국심리'!$H$3:$H$4002,MATCH(A606,$W$19:$W$4018,0)),E605))</f>
        <v/>
      </c>
      <c r="F606" s="30">
        <f>IF(A606="","",IFERROR(INDEX('자료_한국심리'!$K$3:$K$4002,MATCH(A606,$X$19:$X$4018,0)),F605))</f>
        <v/>
      </c>
      <c r="G606" s="30">
        <f>IF(AND(ISNUMBER(E606),ISNUMBER(F606)),ROUND(E606-F606,6),"")</f>
        <v/>
      </c>
      <c r="H606" s="25">
        <f>IF(A606="","",IFERROR(INDEX('자료_한국심리'!$N$3:$N$4002,MATCH(A606,$Y$19:$Y$4018,0)),H605))</f>
        <v/>
      </c>
      <c r="I606" s="31">
        <f>IF(AND(ISNUMBER(H606),ISNUMBER(H586)),IF(H586&gt;0,H606/H586-1,""),"")</f>
        <v/>
      </c>
      <c r="J606">
        <f>IF(A606="",0,IF(A606&gt;$B$5,1,0))</f>
        <v/>
      </c>
      <c r="K606" s="29">
        <f>IF(AND(J606=1,ISNUMBER(D606)),D606,"")</f>
        <v/>
      </c>
      <c r="L606" s="30">
        <f>IF(AND(J606=1,ISNUMBER(G606)),G606,"")</f>
        <v/>
      </c>
      <c r="M606" s="22">
        <f>IF(AND(J606=1,ISNUMBER(C606)),C606,"")</f>
        <v/>
      </c>
      <c r="N606" s="31">
        <f>IF(AND(J606=1,ISNUMBER(I606)),I606,"")</f>
        <v/>
      </c>
      <c r="O606" s="11">
        <f>IF(K606="","",100-IF($G$13=1,50,(_xlfn.RANK.AVG(K606,$K$19:$K$1518,1)-1)/($G$13-1)*100))</f>
        <v/>
      </c>
      <c r="P606" s="11">
        <f>IF(L606="","",100-IF($G$14=1,50,(_xlfn.RANK.AVG(L606,$L$19:$L$1518,1)-1)/($G$14-1)*100))</f>
        <v/>
      </c>
      <c r="Q606" s="11">
        <f>IF(M606="","",IF($G$15=1,50,(_xlfn.RANK.AVG(M606,$M$19:$M$1518,1)-1)/($G$15-1)*100))</f>
        <v/>
      </c>
      <c r="R606" s="11">
        <f>IF(N606="","",IF($G$16=1,50,(_xlfn.RANK.AVG(N606,$N$19:$N$1518,1)-1)/($G$16-1)*100))</f>
        <v/>
      </c>
      <c r="S606" s="11">
        <f>IF(COUNT(O606:R606)=4,ROUND(AVERAGE(O606:R606),6),"")</f>
        <v/>
      </c>
      <c r="U606">
        <f>IF(AND(ISNUMBER('자료_한국심리'!$A590),ISNUMBER('자료_한국심리'!$B590)),'자료_한국심리'!$A590,"")</f>
        <v/>
      </c>
      <c r="V606">
        <f>IF(AND(ISNUMBER('자료_한국심리'!$D590),ISNUMBER('자료_한국심리'!$E590)),'자료_한국심리'!$D590,"")</f>
        <v/>
      </c>
      <c r="W606">
        <f>IF(AND(ISNUMBER('자료_한국심리'!$G590),ISNUMBER('자료_한국심리'!$H590)),'자료_한국심리'!$G590,"")</f>
        <v/>
      </c>
      <c r="X606">
        <f>IF(AND(ISNUMBER('자료_한국심리'!$J590),ISNUMBER('자료_한국심리'!$K590)),'자료_한국심리'!$J590,"")</f>
        <v/>
      </c>
      <c r="Y606">
        <f>IF(AND(ISNUMBER('자료_한국심리'!$M590),ISNUMBER('자료_한국심리'!$N590)),'자료_한국심리'!$M590,"")</f>
        <v/>
      </c>
    </row>
    <row r="607">
      <c r="A607" s="10">
        <f>IF(589&gt;$E$5,"",SMALL($U$19:$U$4018,$E$6+589))</f>
        <v/>
      </c>
      <c r="B607" s="29">
        <f>IF(A607="","",INDEX('자료_한국심리'!$B$3:$B$4002,MATCH(A607,$U$19:$U$4018,0)))</f>
        <v/>
      </c>
      <c r="C607" s="22">
        <f>IF(A607="","",B607/AVERAGE(B483:B607)-1)</f>
        <v/>
      </c>
      <c r="D607" s="29">
        <f>IF(A607="","",IFERROR(INDEX('자료_한국심리'!$E$3:$E$4002,MATCH(A607,$V$19:$V$4018,0)),D606))</f>
        <v/>
      </c>
      <c r="E607" s="30">
        <f>IF(A607="","",IFERROR(INDEX('자료_한국심리'!$H$3:$H$4002,MATCH(A607,$W$19:$W$4018,0)),E606))</f>
        <v/>
      </c>
      <c r="F607" s="30">
        <f>IF(A607="","",IFERROR(INDEX('자료_한국심리'!$K$3:$K$4002,MATCH(A607,$X$19:$X$4018,0)),F606))</f>
        <v/>
      </c>
      <c r="G607" s="30">
        <f>IF(AND(ISNUMBER(E607),ISNUMBER(F607)),ROUND(E607-F607,6),"")</f>
        <v/>
      </c>
      <c r="H607" s="25">
        <f>IF(A607="","",IFERROR(INDEX('자료_한국심리'!$N$3:$N$4002,MATCH(A607,$Y$19:$Y$4018,0)),H606))</f>
        <v/>
      </c>
      <c r="I607" s="31">
        <f>IF(AND(ISNUMBER(H607),ISNUMBER(H587)),IF(H587&gt;0,H607/H587-1,""),"")</f>
        <v/>
      </c>
      <c r="J607">
        <f>IF(A607="",0,IF(A607&gt;$B$5,1,0))</f>
        <v/>
      </c>
      <c r="K607" s="29">
        <f>IF(AND(J607=1,ISNUMBER(D607)),D607,"")</f>
        <v/>
      </c>
      <c r="L607" s="30">
        <f>IF(AND(J607=1,ISNUMBER(G607)),G607,"")</f>
        <v/>
      </c>
      <c r="M607" s="22">
        <f>IF(AND(J607=1,ISNUMBER(C607)),C607,"")</f>
        <v/>
      </c>
      <c r="N607" s="31">
        <f>IF(AND(J607=1,ISNUMBER(I607)),I607,"")</f>
        <v/>
      </c>
      <c r="O607" s="11">
        <f>IF(K607="","",100-IF($G$13=1,50,(_xlfn.RANK.AVG(K607,$K$19:$K$1518,1)-1)/($G$13-1)*100))</f>
        <v/>
      </c>
      <c r="P607" s="11">
        <f>IF(L607="","",100-IF($G$14=1,50,(_xlfn.RANK.AVG(L607,$L$19:$L$1518,1)-1)/($G$14-1)*100))</f>
        <v/>
      </c>
      <c r="Q607" s="11">
        <f>IF(M607="","",IF($G$15=1,50,(_xlfn.RANK.AVG(M607,$M$19:$M$1518,1)-1)/($G$15-1)*100))</f>
        <v/>
      </c>
      <c r="R607" s="11">
        <f>IF(N607="","",IF($G$16=1,50,(_xlfn.RANK.AVG(N607,$N$19:$N$1518,1)-1)/($G$16-1)*100))</f>
        <v/>
      </c>
      <c r="S607" s="11">
        <f>IF(COUNT(O607:R607)=4,ROUND(AVERAGE(O607:R607),6),"")</f>
        <v/>
      </c>
      <c r="U607">
        <f>IF(AND(ISNUMBER('자료_한국심리'!$A591),ISNUMBER('자료_한국심리'!$B591)),'자료_한국심리'!$A591,"")</f>
        <v/>
      </c>
      <c r="V607">
        <f>IF(AND(ISNUMBER('자료_한국심리'!$D591),ISNUMBER('자료_한국심리'!$E591)),'자료_한국심리'!$D591,"")</f>
        <v/>
      </c>
      <c r="W607">
        <f>IF(AND(ISNUMBER('자료_한국심리'!$G591),ISNUMBER('자료_한국심리'!$H591)),'자료_한국심리'!$G591,"")</f>
        <v/>
      </c>
      <c r="X607">
        <f>IF(AND(ISNUMBER('자료_한국심리'!$J591),ISNUMBER('자료_한국심리'!$K591)),'자료_한국심리'!$J591,"")</f>
        <v/>
      </c>
      <c r="Y607">
        <f>IF(AND(ISNUMBER('자료_한국심리'!$M591),ISNUMBER('자료_한국심리'!$N591)),'자료_한국심리'!$M591,"")</f>
        <v/>
      </c>
    </row>
    <row r="608">
      <c r="A608" s="10">
        <f>IF(590&gt;$E$5,"",SMALL($U$19:$U$4018,$E$6+590))</f>
        <v/>
      </c>
      <c r="B608" s="29">
        <f>IF(A608="","",INDEX('자료_한국심리'!$B$3:$B$4002,MATCH(A608,$U$19:$U$4018,0)))</f>
        <v/>
      </c>
      <c r="C608" s="22">
        <f>IF(A608="","",B608/AVERAGE(B484:B608)-1)</f>
        <v/>
      </c>
      <c r="D608" s="29">
        <f>IF(A608="","",IFERROR(INDEX('자료_한국심리'!$E$3:$E$4002,MATCH(A608,$V$19:$V$4018,0)),D607))</f>
        <v/>
      </c>
      <c r="E608" s="30">
        <f>IF(A608="","",IFERROR(INDEX('자료_한국심리'!$H$3:$H$4002,MATCH(A608,$W$19:$W$4018,0)),E607))</f>
        <v/>
      </c>
      <c r="F608" s="30">
        <f>IF(A608="","",IFERROR(INDEX('자료_한국심리'!$K$3:$K$4002,MATCH(A608,$X$19:$X$4018,0)),F607))</f>
        <v/>
      </c>
      <c r="G608" s="30">
        <f>IF(AND(ISNUMBER(E608),ISNUMBER(F608)),ROUND(E608-F608,6),"")</f>
        <v/>
      </c>
      <c r="H608" s="25">
        <f>IF(A608="","",IFERROR(INDEX('자료_한국심리'!$N$3:$N$4002,MATCH(A608,$Y$19:$Y$4018,0)),H607))</f>
        <v/>
      </c>
      <c r="I608" s="31">
        <f>IF(AND(ISNUMBER(H608),ISNUMBER(H588)),IF(H588&gt;0,H608/H588-1,""),"")</f>
        <v/>
      </c>
      <c r="J608">
        <f>IF(A608="",0,IF(A608&gt;$B$5,1,0))</f>
        <v/>
      </c>
      <c r="K608" s="29">
        <f>IF(AND(J608=1,ISNUMBER(D608)),D608,"")</f>
        <v/>
      </c>
      <c r="L608" s="30">
        <f>IF(AND(J608=1,ISNUMBER(G608)),G608,"")</f>
        <v/>
      </c>
      <c r="M608" s="22">
        <f>IF(AND(J608=1,ISNUMBER(C608)),C608,"")</f>
        <v/>
      </c>
      <c r="N608" s="31">
        <f>IF(AND(J608=1,ISNUMBER(I608)),I608,"")</f>
        <v/>
      </c>
      <c r="O608" s="11">
        <f>IF(K608="","",100-IF($G$13=1,50,(_xlfn.RANK.AVG(K608,$K$19:$K$1518,1)-1)/($G$13-1)*100))</f>
        <v/>
      </c>
      <c r="P608" s="11">
        <f>IF(L608="","",100-IF($G$14=1,50,(_xlfn.RANK.AVG(L608,$L$19:$L$1518,1)-1)/($G$14-1)*100))</f>
        <v/>
      </c>
      <c r="Q608" s="11">
        <f>IF(M608="","",IF($G$15=1,50,(_xlfn.RANK.AVG(M608,$M$19:$M$1518,1)-1)/($G$15-1)*100))</f>
        <v/>
      </c>
      <c r="R608" s="11">
        <f>IF(N608="","",IF($G$16=1,50,(_xlfn.RANK.AVG(N608,$N$19:$N$1518,1)-1)/($G$16-1)*100))</f>
        <v/>
      </c>
      <c r="S608" s="11">
        <f>IF(COUNT(O608:R608)=4,ROUND(AVERAGE(O608:R608),6),"")</f>
        <v/>
      </c>
      <c r="U608">
        <f>IF(AND(ISNUMBER('자료_한국심리'!$A592),ISNUMBER('자료_한국심리'!$B592)),'자료_한국심리'!$A592,"")</f>
        <v/>
      </c>
      <c r="V608">
        <f>IF(AND(ISNUMBER('자료_한국심리'!$D592),ISNUMBER('자료_한국심리'!$E592)),'자료_한국심리'!$D592,"")</f>
        <v/>
      </c>
      <c r="W608">
        <f>IF(AND(ISNUMBER('자료_한국심리'!$G592),ISNUMBER('자료_한국심리'!$H592)),'자료_한국심리'!$G592,"")</f>
        <v/>
      </c>
      <c r="X608">
        <f>IF(AND(ISNUMBER('자료_한국심리'!$J592),ISNUMBER('자료_한국심리'!$K592)),'자료_한국심리'!$J592,"")</f>
        <v/>
      </c>
      <c r="Y608">
        <f>IF(AND(ISNUMBER('자료_한국심리'!$M592),ISNUMBER('자료_한국심리'!$N592)),'자료_한국심리'!$M592,"")</f>
        <v/>
      </c>
    </row>
    <row r="609">
      <c r="A609" s="10">
        <f>IF(591&gt;$E$5,"",SMALL($U$19:$U$4018,$E$6+591))</f>
        <v/>
      </c>
      <c r="B609" s="29">
        <f>IF(A609="","",INDEX('자료_한국심리'!$B$3:$B$4002,MATCH(A609,$U$19:$U$4018,0)))</f>
        <v/>
      </c>
      <c r="C609" s="22">
        <f>IF(A609="","",B609/AVERAGE(B485:B609)-1)</f>
        <v/>
      </c>
      <c r="D609" s="29">
        <f>IF(A609="","",IFERROR(INDEX('자료_한국심리'!$E$3:$E$4002,MATCH(A609,$V$19:$V$4018,0)),D608))</f>
        <v/>
      </c>
      <c r="E609" s="30">
        <f>IF(A609="","",IFERROR(INDEX('자료_한국심리'!$H$3:$H$4002,MATCH(A609,$W$19:$W$4018,0)),E608))</f>
        <v/>
      </c>
      <c r="F609" s="30">
        <f>IF(A609="","",IFERROR(INDEX('자료_한국심리'!$K$3:$K$4002,MATCH(A609,$X$19:$X$4018,0)),F608))</f>
        <v/>
      </c>
      <c r="G609" s="30">
        <f>IF(AND(ISNUMBER(E609),ISNUMBER(F609)),ROUND(E609-F609,6),"")</f>
        <v/>
      </c>
      <c r="H609" s="25">
        <f>IF(A609="","",IFERROR(INDEX('자료_한국심리'!$N$3:$N$4002,MATCH(A609,$Y$19:$Y$4018,0)),H608))</f>
        <v/>
      </c>
      <c r="I609" s="31">
        <f>IF(AND(ISNUMBER(H609),ISNUMBER(H589)),IF(H589&gt;0,H609/H589-1,""),"")</f>
        <v/>
      </c>
      <c r="J609">
        <f>IF(A609="",0,IF(A609&gt;$B$5,1,0))</f>
        <v/>
      </c>
      <c r="K609" s="29">
        <f>IF(AND(J609=1,ISNUMBER(D609)),D609,"")</f>
        <v/>
      </c>
      <c r="L609" s="30">
        <f>IF(AND(J609=1,ISNUMBER(G609)),G609,"")</f>
        <v/>
      </c>
      <c r="M609" s="22">
        <f>IF(AND(J609=1,ISNUMBER(C609)),C609,"")</f>
        <v/>
      </c>
      <c r="N609" s="31">
        <f>IF(AND(J609=1,ISNUMBER(I609)),I609,"")</f>
        <v/>
      </c>
      <c r="O609" s="11">
        <f>IF(K609="","",100-IF($G$13=1,50,(_xlfn.RANK.AVG(K609,$K$19:$K$1518,1)-1)/($G$13-1)*100))</f>
        <v/>
      </c>
      <c r="P609" s="11">
        <f>IF(L609="","",100-IF($G$14=1,50,(_xlfn.RANK.AVG(L609,$L$19:$L$1518,1)-1)/($G$14-1)*100))</f>
        <v/>
      </c>
      <c r="Q609" s="11">
        <f>IF(M609="","",IF($G$15=1,50,(_xlfn.RANK.AVG(M609,$M$19:$M$1518,1)-1)/($G$15-1)*100))</f>
        <v/>
      </c>
      <c r="R609" s="11">
        <f>IF(N609="","",IF($G$16=1,50,(_xlfn.RANK.AVG(N609,$N$19:$N$1518,1)-1)/($G$16-1)*100))</f>
        <v/>
      </c>
      <c r="S609" s="11">
        <f>IF(COUNT(O609:R609)=4,ROUND(AVERAGE(O609:R609),6),"")</f>
        <v/>
      </c>
      <c r="U609">
        <f>IF(AND(ISNUMBER('자료_한국심리'!$A593),ISNUMBER('자료_한국심리'!$B593)),'자료_한국심리'!$A593,"")</f>
        <v/>
      </c>
      <c r="V609">
        <f>IF(AND(ISNUMBER('자료_한국심리'!$D593),ISNUMBER('자료_한국심리'!$E593)),'자료_한국심리'!$D593,"")</f>
        <v/>
      </c>
      <c r="W609">
        <f>IF(AND(ISNUMBER('자료_한국심리'!$G593),ISNUMBER('자료_한국심리'!$H593)),'자료_한국심리'!$G593,"")</f>
        <v/>
      </c>
      <c r="X609">
        <f>IF(AND(ISNUMBER('자료_한국심리'!$J593),ISNUMBER('자료_한국심리'!$K593)),'자료_한국심리'!$J593,"")</f>
        <v/>
      </c>
      <c r="Y609">
        <f>IF(AND(ISNUMBER('자료_한국심리'!$M593),ISNUMBER('자료_한국심리'!$N593)),'자료_한국심리'!$M593,"")</f>
        <v/>
      </c>
    </row>
    <row r="610">
      <c r="A610" s="10">
        <f>IF(592&gt;$E$5,"",SMALL($U$19:$U$4018,$E$6+592))</f>
        <v/>
      </c>
      <c r="B610" s="29">
        <f>IF(A610="","",INDEX('자료_한국심리'!$B$3:$B$4002,MATCH(A610,$U$19:$U$4018,0)))</f>
        <v/>
      </c>
      <c r="C610" s="22">
        <f>IF(A610="","",B610/AVERAGE(B486:B610)-1)</f>
        <v/>
      </c>
      <c r="D610" s="29">
        <f>IF(A610="","",IFERROR(INDEX('자료_한국심리'!$E$3:$E$4002,MATCH(A610,$V$19:$V$4018,0)),D609))</f>
        <v/>
      </c>
      <c r="E610" s="30">
        <f>IF(A610="","",IFERROR(INDEX('자료_한국심리'!$H$3:$H$4002,MATCH(A610,$W$19:$W$4018,0)),E609))</f>
        <v/>
      </c>
      <c r="F610" s="30">
        <f>IF(A610="","",IFERROR(INDEX('자료_한국심리'!$K$3:$K$4002,MATCH(A610,$X$19:$X$4018,0)),F609))</f>
        <v/>
      </c>
      <c r="G610" s="30">
        <f>IF(AND(ISNUMBER(E610),ISNUMBER(F610)),ROUND(E610-F610,6),"")</f>
        <v/>
      </c>
      <c r="H610" s="25">
        <f>IF(A610="","",IFERROR(INDEX('자료_한국심리'!$N$3:$N$4002,MATCH(A610,$Y$19:$Y$4018,0)),H609))</f>
        <v/>
      </c>
      <c r="I610" s="31">
        <f>IF(AND(ISNUMBER(H610),ISNUMBER(H590)),IF(H590&gt;0,H610/H590-1,""),"")</f>
        <v/>
      </c>
      <c r="J610">
        <f>IF(A610="",0,IF(A610&gt;$B$5,1,0))</f>
        <v/>
      </c>
      <c r="K610" s="29">
        <f>IF(AND(J610=1,ISNUMBER(D610)),D610,"")</f>
        <v/>
      </c>
      <c r="L610" s="30">
        <f>IF(AND(J610=1,ISNUMBER(G610)),G610,"")</f>
        <v/>
      </c>
      <c r="M610" s="22">
        <f>IF(AND(J610=1,ISNUMBER(C610)),C610,"")</f>
        <v/>
      </c>
      <c r="N610" s="31">
        <f>IF(AND(J610=1,ISNUMBER(I610)),I610,"")</f>
        <v/>
      </c>
      <c r="O610" s="11">
        <f>IF(K610="","",100-IF($G$13=1,50,(_xlfn.RANK.AVG(K610,$K$19:$K$1518,1)-1)/($G$13-1)*100))</f>
        <v/>
      </c>
      <c r="P610" s="11">
        <f>IF(L610="","",100-IF($G$14=1,50,(_xlfn.RANK.AVG(L610,$L$19:$L$1518,1)-1)/($G$14-1)*100))</f>
        <v/>
      </c>
      <c r="Q610" s="11">
        <f>IF(M610="","",IF($G$15=1,50,(_xlfn.RANK.AVG(M610,$M$19:$M$1518,1)-1)/($G$15-1)*100))</f>
        <v/>
      </c>
      <c r="R610" s="11">
        <f>IF(N610="","",IF($G$16=1,50,(_xlfn.RANK.AVG(N610,$N$19:$N$1518,1)-1)/($G$16-1)*100))</f>
        <v/>
      </c>
      <c r="S610" s="11">
        <f>IF(COUNT(O610:R610)=4,ROUND(AVERAGE(O610:R610),6),"")</f>
        <v/>
      </c>
      <c r="U610">
        <f>IF(AND(ISNUMBER('자료_한국심리'!$A594),ISNUMBER('자료_한국심리'!$B594)),'자료_한국심리'!$A594,"")</f>
        <v/>
      </c>
      <c r="V610">
        <f>IF(AND(ISNUMBER('자료_한국심리'!$D594),ISNUMBER('자료_한국심리'!$E594)),'자료_한국심리'!$D594,"")</f>
        <v/>
      </c>
      <c r="W610">
        <f>IF(AND(ISNUMBER('자료_한국심리'!$G594),ISNUMBER('자료_한국심리'!$H594)),'자료_한국심리'!$G594,"")</f>
        <v/>
      </c>
      <c r="X610">
        <f>IF(AND(ISNUMBER('자료_한국심리'!$J594),ISNUMBER('자료_한국심리'!$K594)),'자료_한국심리'!$J594,"")</f>
        <v/>
      </c>
      <c r="Y610">
        <f>IF(AND(ISNUMBER('자료_한국심리'!$M594),ISNUMBER('자료_한국심리'!$N594)),'자료_한국심리'!$M594,"")</f>
        <v/>
      </c>
    </row>
    <row r="611">
      <c r="A611" s="10">
        <f>IF(593&gt;$E$5,"",SMALL($U$19:$U$4018,$E$6+593))</f>
        <v/>
      </c>
      <c r="B611" s="29">
        <f>IF(A611="","",INDEX('자료_한국심리'!$B$3:$B$4002,MATCH(A611,$U$19:$U$4018,0)))</f>
        <v/>
      </c>
      <c r="C611" s="22">
        <f>IF(A611="","",B611/AVERAGE(B487:B611)-1)</f>
        <v/>
      </c>
      <c r="D611" s="29">
        <f>IF(A611="","",IFERROR(INDEX('자료_한국심리'!$E$3:$E$4002,MATCH(A611,$V$19:$V$4018,0)),D610))</f>
        <v/>
      </c>
      <c r="E611" s="30">
        <f>IF(A611="","",IFERROR(INDEX('자료_한국심리'!$H$3:$H$4002,MATCH(A611,$W$19:$W$4018,0)),E610))</f>
        <v/>
      </c>
      <c r="F611" s="30">
        <f>IF(A611="","",IFERROR(INDEX('자료_한국심리'!$K$3:$K$4002,MATCH(A611,$X$19:$X$4018,0)),F610))</f>
        <v/>
      </c>
      <c r="G611" s="30">
        <f>IF(AND(ISNUMBER(E611),ISNUMBER(F611)),ROUND(E611-F611,6),"")</f>
        <v/>
      </c>
      <c r="H611" s="25">
        <f>IF(A611="","",IFERROR(INDEX('자료_한국심리'!$N$3:$N$4002,MATCH(A611,$Y$19:$Y$4018,0)),H610))</f>
        <v/>
      </c>
      <c r="I611" s="31">
        <f>IF(AND(ISNUMBER(H611),ISNUMBER(H591)),IF(H591&gt;0,H611/H591-1,""),"")</f>
        <v/>
      </c>
      <c r="J611">
        <f>IF(A611="",0,IF(A611&gt;$B$5,1,0))</f>
        <v/>
      </c>
      <c r="K611" s="29">
        <f>IF(AND(J611=1,ISNUMBER(D611)),D611,"")</f>
        <v/>
      </c>
      <c r="L611" s="30">
        <f>IF(AND(J611=1,ISNUMBER(G611)),G611,"")</f>
        <v/>
      </c>
      <c r="M611" s="22">
        <f>IF(AND(J611=1,ISNUMBER(C611)),C611,"")</f>
        <v/>
      </c>
      <c r="N611" s="31">
        <f>IF(AND(J611=1,ISNUMBER(I611)),I611,"")</f>
        <v/>
      </c>
      <c r="O611" s="11">
        <f>IF(K611="","",100-IF($G$13=1,50,(_xlfn.RANK.AVG(K611,$K$19:$K$1518,1)-1)/($G$13-1)*100))</f>
        <v/>
      </c>
      <c r="P611" s="11">
        <f>IF(L611="","",100-IF($G$14=1,50,(_xlfn.RANK.AVG(L611,$L$19:$L$1518,1)-1)/($G$14-1)*100))</f>
        <v/>
      </c>
      <c r="Q611" s="11">
        <f>IF(M611="","",IF($G$15=1,50,(_xlfn.RANK.AVG(M611,$M$19:$M$1518,1)-1)/($G$15-1)*100))</f>
        <v/>
      </c>
      <c r="R611" s="11">
        <f>IF(N611="","",IF($G$16=1,50,(_xlfn.RANK.AVG(N611,$N$19:$N$1518,1)-1)/($G$16-1)*100))</f>
        <v/>
      </c>
      <c r="S611" s="11">
        <f>IF(COUNT(O611:R611)=4,ROUND(AVERAGE(O611:R611),6),"")</f>
        <v/>
      </c>
      <c r="U611">
        <f>IF(AND(ISNUMBER('자료_한국심리'!$A595),ISNUMBER('자료_한국심리'!$B595)),'자료_한국심리'!$A595,"")</f>
        <v/>
      </c>
      <c r="V611">
        <f>IF(AND(ISNUMBER('자료_한국심리'!$D595),ISNUMBER('자료_한국심리'!$E595)),'자료_한국심리'!$D595,"")</f>
        <v/>
      </c>
      <c r="W611">
        <f>IF(AND(ISNUMBER('자료_한국심리'!$G595),ISNUMBER('자료_한국심리'!$H595)),'자료_한국심리'!$G595,"")</f>
        <v/>
      </c>
      <c r="X611">
        <f>IF(AND(ISNUMBER('자료_한국심리'!$J595),ISNUMBER('자료_한국심리'!$K595)),'자료_한국심리'!$J595,"")</f>
        <v/>
      </c>
      <c r="Y611">
        <f>IF(AND(ISNUMBER('자료_한국심리'!$M595),ISNUMBER('자료_한국심리'!$N595)),'자료_한국심리'!$M595,"")</f>
        <v/>
      </c>
    </row>
    <row r="612">
      <c r="A612" s="10">
        <f>IF(594&gt;$E$5,"",SMALL($U$19:$U$4018,$E$6+594))</f>
        <v/>
      </c>
      <c r="B612" s="29">
        <f>IF(A612="","",INDEX('자료_한국심리'!$B$3:$B$4002,MATCH(A612,$U$19:$U$4018,0)))</f>
        <v/>
      </c>
      <c r="C612" s="22">
        <f>IF(A612="","",B612/AVERAGE(B488:B612)-1)</f>
        <v/>
      </c>
      <c r="D612" s="29">
        <f>IF(A612="","",IFERROR(INDEX('자료_한국심리'!$E$3:$E$4002,MATCH(A612,$V$19:$V$4018,0)),D611))</f>
        <v/>
      </c>
      <c r="E612" s="30">
        <f>IF(A612="","",IFERROR(INDEX('자료_한국심리'!$H$3:$H$4002,MATCH(A612,$W$19:$W$4018,0)),E611))</f>
        <v/>
      </c>
      <c r="F612" s="30">
        <f>IF(A612="","",IFERROR(INDEX('자료_한국심리'!$K$3:$K$4002,MATCH(A612,$X$19:$X$4018,0)),F611))</f>
        <v/>
      </c>
      <c r="G612" s="30">
        <f>IF(AND(ISNUMBER(E612),ISNUMBER(F612)),ROUND(E612-F612,6),"")</f>
        <v/>
      </c>
      <c r="H612" s="25">
        <f>IF(A612="","",IFERROR(INDEX('자료_한국심리'!$N$3:$N$4002,MATCH(A612,$Y$19:$Y$4018,0)),H611))</f>
        <v/>
      </c>
      <c r="I612" s="31">
        <f>IF(AND(ISNUMBER(H612),ISNUMBER(H592)),IF(H592&gt;0,H612/H592-1,""),"")</f>
        <v/>
      </c>
      <c r="J612">
        <f>IF(A612="",0,IF(A612&gt;$B$5,1,0))</f>
        <v/>
      </c>
      <c r="K612" s="29">
        <f>IF(AND(J612=1,ISNUMBER(D612)),D612,"")</f>
        <v/>
      </c>
      <c r="L612" s="30">
        <f>IF(AND(J612=1,ISNUMBER(G612)),G612,"")</f>
        <v/>
      </c>
      <c r="M612" s="22">
        <f>IF(AND(J612=1,ISNUMBER(C612)),C612,"")</f>
        <v/>
      </c>
      <c r="N612" s="31">
        <f>IF(AND(J612=1,ISNUMBER(I612)),I612,"")</f>
        <v/>
      </c>
      <c r="O612" s="11">
        <f>IF(K612="","",100-IF($G$13=1,50,(_xlfn.RANK.AVG(K612,$K$19:$K$1518,1)-1)/($G$13-1)*100))</f>
        <v/>
      </c>
      <c r="P612" s="11">
        <f>IF(L612="","",100-IF($G$14=1,50,(_xlfn.RANK.AVG(L612,$L$19:$L$1518,1)-1)/($G$14-1)*100))</f>
        <v/>
      </c>
      <c r="Q612" s="11">
        <f>IF(M612="","",IF($G$15=1,50,(_xlfn.RANK.AVG(M612,$M$19:$M$1518,1)-1)/($G$15-1)*100))</f>
        <v/>
      </c>
      <c r="R612" s="11">
        <f>IF(N612="","",IF($G$16=1,50,(_xlfn.RANK.AVG(N612,$N$19:$N$1518,1)-1)/($G$16-1)*100))</f>
        <v/>
      </c>
      <c r="S612" s="11">
        <f>IF(COUNT(O612:R612)=4,ROUND(AVERAGE(O612:R612),6),"")</f>
        <v/>
      </c>
      <c r="U612">
        <f>IF(AND(ISNUMBER('자료_한국심리'!$A596),ISNUMBER('자료_한국심리'!$B596)),'자료_한국심리'!$A596,"")</f>
        <v/>
      </c>
      <c r="V612">
        <f>IF(AND(ISNUMBER('자료_한국심리'!$D596),ISNUMBER('자료_한국심리'!$E596)),'자료_한국심리'!$D596,"")</f>
        <v/>
      </c>
      <c r="W612">
        <f>IF(AND(ISNUMBER('자료_한국심리'!$G596),ISNUMBER('자료_한국심리'!$H596)),'자료_한국심리'!$G596,"")</f>
        <v/>
      </c>
      <c r="X612">
        <f>IF(AND(ISNUMBER('자료_한국심리'!$J596),ISNUMBER('자료_한국심리'!$K596)),'자료_한국심리'!$J596,"")</f>
        <v/>
      </c>
      <c r="Y612">
        <f>IF(AND(ISNUMBER('자료_한국심리'!$M596),ISNUMBER('자료_한국심리'!$N596)),'자료_한국심리'!$M596,"")</f>
        <v/>
      </c>
    </row>
    <row r="613">
      <c r="A613" s="10">
        <f>IF(595&gt;$E$5,"",SMALL($U$19:$U$4018,$E$6+595))</f>
        <v/>
      </c>
      <c r="B613" s="29">
        <f>IF(A613="","",INDEX('자료_한국심리'!$B$3:$B$4002,MATCH(A613,$U$19:$U$4018,0)))</f>
        <v/>
      </c>
      <c r="C613" s="22">
        <f>IF(A613="","",B613/AVERAGE(B489:B613)-1)</f>
        <v/>
      </c>
      <c r="D613" s="29">
        <f>IF(A613="","",IFERROR(INDEX('자료_한국심리'!$E$3:$E$4002,MATCH(A613,$V$19:$V$4018,0)),D612))</f>
        <v/>
      </c>
      <c r="E613" s="30">
        <f>IF(A613="","",IFERROR(INDEX('자료_한국심리'!$H$3:$H$4002,MATCH(A613,$W$19:$W$4018,0)),E612))</f>
        <v/>
      </c>
      <c r="F613" s="30">
        <f>IF(A613="","",IFERROR(INDEX('자료_한국심리'!$K$3:$K$4002,MATCH(A613,$X$19:$X$4018,0)),F612))</f>
        <v/>
      </c>
      <c r="G613" s="30">
        <f>IF(AND(ISNUMBER(E613),ISNUMBER(F613)),ROUND(E613-F613,6),"")</f>
        <v/>
      </c>
      <c r="H613" s="25">
        <f>IF(A613="","",IFERROR(INDEX('자료_한국심리'!$N$3:$N$4002,MATCH(A613,$Y$19:$Y$4018,0)),H612))</f>
        <v/>
      </c>
      <c r="I613" s="31">
        <f>IF(AND(ISNUMBER(H613),ISNUMBER(H593)),IF(H593&gt;0,H613/H593-1,""),"")</f>
        <v/>
      </c>
      <c r="J613">
        <f>IF(A613="",0,IF(A613&gt;$B$5,1,0))</f>
        <v/>
      </c>
      <c r="K613" s="29">
        <f>IF(AND(J613=1,ISNUMBER(D613)),D613,"")</f>
        <v/>
      </c>
      <c r="L613" s="30">
        <f>IF(AND(J613=1,ISNUMBER(G613)),G613,"")</f>
        <v/>
      </c>
      <c r="M613" s="22">
        <f>IF(AND(J613=1,ISNUMBER(C613)),C613,"")</f>
        <v/>
      </c>
      <c r="N613" s="31">
        <f>IF(AND(J613=1,ISNUMBER(I613)),I613,"")</f>
        <v/>
      </c>
      <c r="O613" s="11">
        <f>IF(K613="","",100-IF($G$13=1,50,(_xlfn.RANK.AVG(K613,$K$19:$K$1518,1)-1)/($G$13-1)*100))</f>
        <v/>
      </c>
      <c r="P613" s="11">
        <f>IF(L613="","",100-IF($G$14=1,50,(_xlfn.RANK.AVG(L613,$L$19:$L$1518,1)-1)/($G$14-1)*100))</f>
        <v/>
      </c>
      <c r="Q613" s="11">
        <f>IF(M613="","",IF($G$15=1,50,(_xlfn.RANK.AVG(M613,$M$19:$M$1518,1)-1)/($G$15-1)*100))</f>
        <v/>
      </c>
      <c r="R613" s="11">
        <f>IF(N613="","",IF($G$16=1,50,(_xlfn.RANK.AVG(N613,$N$19:$N$1518,1)-1)/($G$16-1)*100))</f>
        <v/>
      </c>
      <c r="S613" s="11">
        <f>IF(COUNT(O613:R613)=4,ROUND(AVERAGE(O613:R613),6),"")</f>
        <v/>
      </c>
      <c r="U613">
        <f>IF(AND(ISNUMBER('자료_한국심리'!$A597),ISNUMBER('자료_한국심리'!$B597)),'자료_한국심리'!$A597,"")</f>
        <v/>
      </c>
      <c r="V613">
        <f>IF(AND(ISNUMBER('자료_한국심리'!$D597),ISNUMBER('자료_한국심리'!$E597)),'자료_한국심리'!$D597,"")</f>
        <v/>
      </c>
      <c r="W613">
        <f>IF(AND(ISNUMBER('자료_한국심리'!$G597),ISNUMBER('자료_한국심리'!$H597)),'자료_한국심리'!$G597,"")</f>
        <v/>
      </c>
      <c r="X613">
        <f>IF(AND(ISNUMBER('자료_한국심리'!$J597),ISNUMBER('자료_한국심리'!$K597)),'자료_한국심리'!$J597,"")</f>
        <v/>
      </c>
      <c r="Y613">
        <f>IF(AND(ISNUMBER('자료_한국심리'!$M597),ISNUMBER('자료_한국심리'!$N597)),'자료_한국심리'!$M597,"")</f>
        <v/>
      </c>
    </row>
    <row r="614">
      <c r="A614" s="10">
        <f>IF(596&gt;$E$5,"",SMALL($U$19:$U$4018,$E$6+596))</f>
        <v/>
      </c>
      <c r="B614" s="29">
        <f>IF(A614="","",INDEX('자료_한국심리'!$B$3:$B$4002,MATCH(A614,$U$19:$U$4018,0)))</f>
        <v/>
      </c>
      <c r="C614" s="22">
        <f>IF(A614="","",B614/AVERAGE(B490:B614)-1)</f>
        <v/>
      </c>
      <c r="D614" s="29">
        <f>IF(A614="","",IFERROR(INDEX('자료_한국심리'!$E$3:$E$4002,MATCH(A614,$V$19:$V$4018,0)),D613))</f>
        <v/>
      </c>
      <c r="E614" s="30">
        <f>IF(A614="","",IFERROR(INDEX('자료_한국심리'!$H$3:$H$4002,MATCH(A614,$W$19:$W$4018,0)),E613))</f>
        <v/>
      </c>
      <c r="F614" s="30">
        <f>IF(A614="","",IFERROR(INDEX('자료_한국심리'!$K$3:$K$4002,MATCH(A614,$X$19:$X$4018,0)),F613))</f>
        <v/>
      </c>
      <c r="G614" s="30">
        <f>IF(AND(ISNUMBER(E614),ISNUMBER(F614)),ROUND(E614-F614,6),"")</f>
        <v/>
      </c>
      <c r="H614" s="25">
        <f>IF(A614="","",IFERROR(INDEX('자료_한국심리'!$N$3:$N$4002,MATCH(A614,$Y$19:$Y$4018,0)),H613))</f>
        <v/>
      </c>
      <c r="I614" s="31">
        <f>IF(AND(ISNUMBER(H614),ISNUMBER(H594)),IF(H594&gt;0,H614/H594-1,""),"")</f>
        <v/>
      </c>
      <c r="J614">
        <f>IF(A614="",0,IF(A614&gt;$B$5,1,0))</f>
        <v/>
      </c>
      <c r="K614" s="29">
        <f>IF(AND(J614=1,ISNUMBER(D614)),D614,"")</f>
        <v/>
      </c>
      <c r="L614" s="30">
        <f>IF(AND(J614=1,ISNUMBER(G614)),G614,"")</f>
        <v/>
      </c>
      <c r="M614" s="22">
        <f>IF(AND(J614=1,ISNUMBER(C614)),C614,"")</f>
        <v/>
      </c>
      <c r="N614" s="31">
        <f>IF(AND(J614=1,ISNUMBER(I614)),I614,"")</f>
        <v/>
      </c>
      <c r="O614" s="11">
        <f>IF(K614="","",100-IF($G$13=1,50,(_xlfn.RANK.AVG(K614,$K$19:$K$1518,1)-1)/($G$13-1)*100))</f>
        <v/>
      </c>
      <c r="P614" s="11">
        <f>IF(L614="","",100-IF($G$14=1,50,(_xlfn.RANK.AVG(L614,$L$19:$L$1518,1)-1)/($G$14-1)*100))</f>
        <v/>
      </c>
      <c r="Q614" s="11">
        <f>IF(M614="","",IF($G$15=1,50,(_xlfn.RANK.AVG(M614,$M$19:$M$1518,1)-1)/($G$15-1)*100))</f>
        <v/>
      </c>
      <c r="R614" s="11">
        <f>IF(N614="","",IF($G$16=1,50,(_xlfn.RANK.AVG(N614,$N$19:$N$1518,1)-1)/($G$16-1)*100))</f>
        <v/>
      </c>
      <c r="S614" s="11">
        <f>IF(COUNT(O614:R614)=4,ROUND(AVERAGE(O614:R614),6),"")</f>
        <v/>
      </c>
      <c r="U614">
        <f>IF(AND(ISNUMBER('자료_한국심리'!$A598),ISNUMBER('자료_한국심리'!$B598)),'자료_한국심리'!$A598,"")</f>
        <v/>
      </c>
      <c r="V614">
        <f>IF(AND(ISNUMBER('자료_한국심리'!$D598),ISNUMBER('자료_한국심리'!$E598)),'자료_한국심리'!$D598,"")</f>
        <v/>
      </c>
      <c r="W614">
        <f>IF(AND(ISNUMBER('자료_한국심리'!$G598),ISNUMBER('자료_한국심리'!$H598)),'자료_한국심리'!$G598,"")</f>
        <v/>
      </c>
      <c r="X614">
        <f>IF(AND(ISNUMBER('자료_한국심리'!$J598),ISNUMBER('자료_한국심리'!$K598)),'자료_한국심리'!$J598,"")</f>
        <v/>
      </c>
      <c r="Y614">
        <f>IF(AND(ISNUMBER('자료_한국심리'!$M598),ISNUMBER('자료_한국심리'!$N598)),'자료_한국심리'!$M598,"")</f>
        <v/>
      </c>
    </row>
    <row r="615">
      <c r="A615" s="10">
        <f>IF(597&gt;$E$5,"",SMALL($U$19:$U$4018,$E$6+597))</f>
        <v/>
      </c>
      <c r="B615" s="29">
        <f>IF(A615="","",INDEX('자료_한국심리'!$B$3:$B$4002,MATCH(A615,$U$19:$U$4018,0)))</f>
        <v/>
      </c>
      <c r="C615" s="22">
        <f>IF(A615="","",B615/AVERAGE(B491:B615)-1)</f>
        <v/>
      </c>
      <c r="D615" s="29">
        <f>IF(A615="","",IFERROR(INDEX('자료_한국심리'!$E$3:$E$4002,MATCH(A615,$V$19:$V$4018,0)),D614))</f>
        <v/>
      </c>
      <c r="E615" s="30">
        <f>IF(A615="","",IFERROR(INDEX('자료_한국심리'!$H$3:$H$4002,MATCH(A615,$W$19:$W$4018,0)),E614))</f>
        <v/>
      </c>
      <c r="F615" s="30">
        <f>IF(A615="","",IFERROR(INDEX('자료_한국심리'!$K$3:$K$4002,MATCH(A615,$X$19:$X$4018,0)),F614))</f>
        <v/>
      </c>
      <c r="G615" s="30">
        <f>IF(AND(ISNUMBER(E615),ISNUMBER(F615)),ROUND(E615-F615,6),"")</f>
        <v/>
      </c>
      <c r="H615" s="25">
        <f>IF(A615="","",IFERROR(INDEX('자료_한국심리'!$N$3:$N$4002,MATCH(A615,$Y$19:$Y$4018,0)),H614))</f>
        <v/>
      </c>
      <c r="I615" s="31">
        <f>IF(AND(ISNUMBER(H615),ISNUMBER(H595)),IF(H595&gt;0,H615/H595-1,""),"")</f>
        <v/>
      </c>
      <c r="J615">
        <f>IF(A615="",0,IF(A615&gt;$B$5,1,0))</f>
        <v/>
      </c>
      <c r="K615" s="29">
        <f>IF(AND(J615=1,ISNUMBER(D615)),D615,"")</f>
        <v/>
      </c>
      <c r="L615" s="30">
        <f>IF(AND(J615=1,ISNUMBER(G615)),G615,"")</f>
        <v/>
      </c>
      <c r="M615" s="22">
        <f>IF(AND(J615=1,ISNUMBER(C615)),C615,"")</f>
        <v/>
      </c>
      <c r="N615" s="31">
        <f>IF(AND(J615=1,ISNUMBER(I615)),I615,"")</f>
        <v/>
      </c>
      <c r="O615" s="11">
        <f>IF(K615="","",100-IF($G$13=1,50,(_xlfn.RANK.AVG(K615,$K$19:$K$1518,1)-1)/($G$13-1)*100))</f>
        <v/>
      </c>
      <c r="P615" s="11">
        <f>IF(L615="","",100-IF($G$14=1,50,(_xlfn.RANK.AVG(L615,$L$19:$L$1518,1)-1)/($G$14-1)*100))</f>
        <v/>
      </c>
      <c r="Q615" s="11">
        <f>IF(M615="","",IF($G$15=1,50,(_xlfn.RANK.AVG(M615,$M$19:$M$1518,1)-1)/($G$15-1)*100))</f>
        <v/>
      </c>
      <c r="R615" s="11">
        <f>IF(N615="","",IF($G$16=1,50,(_xlfn.RANK.AVG(N615,$N$19:$N$1518,1)-1)/($G$16-1)*100))</f>
        <v/>
      </c>
      <c r="S615" s="11">
        <f>IF(COUNT(O615:R615)=4,ROUND(AVERAGE(O615:R615),6),"")</f>
        <v/>
      </c>
      <c r="U615">
        <f>IF(AND(ISNUMBER('자료_한국심리'!$A599),ISNUMBER('자료_한국심리'!$B599)),'자료_한국심리'!$A599,"")</f>
        <v/>
      </c>
      <c r="V615">
        <f>IF(AND(ISNUMBER('자료_한국심리'!$D599),ISNUMBER('자료_한국심리'!$E599)),'자료_한국심리'!$D599,"")</f>
        <v/>
      </c>
      <c r="W615">
        <f>IF(AND(ISNUMBER('자료_한국심리'!$G599),ISNUMBER('자료_한국심리'!$H599)),'자료_한국심리'!$G599,"")</f>
        <v/>
      </c>
      <c r="X615">
        <f>IF(AND(ISNUMBER('자료_한국심리'!$J599),ISNUMBER('자료_한국심리'!$K599)),'자료_한국심리'!$J599,"")</f>
        <v/>
      </c>
      <c r="Y615">
        <f>IF(AND(ISNUMBER('자료_한국심리'!$M599),ISNUMBER('자료_한국심리'!$N599)),'자료_한국심리'!$M599,"")</f>
        <v/>
      </c>
    </row>
    <row r="616">
      <c r="A616" s="10">
        <f>IF(598&gt;$E$5,"",SMALL($U$19:$U$4018,$E$6+598))</f>
        <v/>
      </c>
      <c r="B616" s="29">
        <f>IF(A616="","",INDEX('자료_한국심리'!$B$3:$B$4002,MATCH(A616,$U$19:$U$4018,0)))</f>
        <v/>
      </c>
      <c r="C616" s="22">
        <f>IF(A616="","",B616/AVERAGE(B492:B616)-1)</f>
        <v/>
      </c>
      <c r="D616" s="29">
        <f>IF(A616="","",IFERROR(INDEX('자료_한국심리'!$E$3:$E$4002,MATCH(A616,$V$19:$V$4018,0)),D615))</f>
        <v/>
      </c>
      <c r="E616" s="30">
        <f>IF(A616="","",IFERROR(INDEX('자료_한국심리'!$H$3:$H$4002,MATCH(A616,$W$19:$W$4018,0)),E615))</f>
        <v/>
      </c>
      <c r="F616" s="30">
        <f>IF(A616="","",IFERROR(INDEX('자료_한국심리'!$K$3:$K$4002,MATCH(A616,$X$19:$X$4018,0)),F615))</f>
        <v/>
      </c>
      <c r="G616" s="30">
        <f>IF(AND(ISNUMBER(E616),ISNUMBER(F616)),ROUND(E616-F616,6),"")</f>
        <v/>
      </c>
      <c r="H616" s="25">
        <f>IF(A616="","",IFERROR(INDEX('자료_한국심리'!$N$3:$N$4002,MATCH(A616,$Y$19:$Y$4018,0)),H615))</f>
        <v/>
      </c>
      <c r="I616" s="31">
        <f>IF(AND(ISNUMBER(H616),ISNUMBER(H596)),IF(H596&gt;0,H616/H596-1,""),"")</f>
        <v/>
      </c>
      <c r="J616">
        <f>IF(A616="",0,IF(A616&gt;$B$5,1,0))</f>
        <v/>
      </c>
      <c r="K616" s="29">
        <f>IF(AND(J616=1,ISNUMBER(D616)),D616,"")</f>
        <v/>
      </c>
      <c r="L616" s="30">
        <f>IF(AND(J616=1,ISNUMBER(G616)),G616,"")</f>
        <v/>
      </c>
      <c r="M616" s="22">
        <f>IF(AND(J616=1,ISNUMBER(C616)),C616,"")</f>
        <v/>
      </c>
      <c r="N616" s="31">
        <f>IF(AND(J616=1,ISNUMBER(I616)),I616,"")</f>
        <v/>
      </c>
      <c r="O616" s="11">
        <f>IF(K616="","",100-IF($G$13=1,50,(_xlfn.RANK.AVG(K616,$K$19:$K$1518,1)-1)/($G$13-1)*100))</f>
        <v/>
      </c>
      <c r="P616" s="11">
        <f>IF(L616="","",100-IF($G$14=1,50,(_xlfn.RANK.AVG(L616,$L$19:$L$1518,1)-1)/($G$14-1)*100))</f>
        <v/>
      </c>
      <c r="Q616" s="11">
        <f>IF(M616="","",IF($G$15=1,50,(_xlfn.RANK.AVG(M616,$M$19:$M$1518,1)-1)/($G$15-1)*100))</f>
        <v/>
      </c>
      <c r="R616" s="11">
        <f>IF(N616="","",IF($G$16=1,50,(_xlfn.RANK.AVG(N616,$N$19:$N$1518,1)-1)/($G$16-1)*100))</f>
        <v/>
      </c>
      <c r="S616" s="11">
        <f>IF(COUNT(O616:R616)=4,ROUND(AVERAGE(O616:R616),6),"")</f>
        <v/>
      </c>
      <c r="U616">
        <f>IF(AND(ISNUMBER('자료_한국심리'!$A600),ISNUMBER('자료_한국심리'!$B600)),'자료_한국심리'!$A600,"")</f>
        <v/>
      </c>
      <c r="V616">
        <f>IF(AND(ISNUMBER('자료_한국심리'!$D600),ISNUMBER('자료_한국심리'!$E600)),'자료_한국심리'!$D600,"")</f>
        <v/>
      </c>
      <c r="W616">
        <f>IF(AND(ISNUMBER('자료_한국심리'!$G600),ISNUMBER('자료_한국심리'!$H600)),'자료_한국심리'!$G600,"")</f>
        <v/>
      </c>
      <c r="X616">
        <f>IF(AND(ISNUMBER('자료_한국심리'!$J600),ISNUMBER('자료_한국심리'!$K600)),'자료_한국심리'!$J600,"")</f>
        <v/>
      </c>
      <c r="Y616">
        <f>IF(AND(ISNUMBER('자료_한국심리'!$M600),ISNUMBER('자료_한국심리'!$N600)),'자료_한국심리'!$M600,"")</f>
        <v/>
      </c>
    </row>
    <row r="617">
      <c r="A617" s="10">
        <f>IF(599&gt;$E$5,"",SMALL($U$19:$U$4018,$E$6+599))</f>
        <v/>
      </c>
      <c r="B617" s="29">
        <f>IF(A617="","",INDEX('자료_한국심리'!$B$3:$B$4002,MATCH(A617,$U$19:$U$4018,0)))</f>
        <v/>
      </c>
      <c r="C617" s="22">
        <f>IF(A617="","",B617/AVERAGE(B493:B617)-1)</f>
        <v/>
      </c>
      <c r="D617" s="29">
        <f>IF(A617="","",IFERROR(INDEX('자료_한국심리'!$E$3:$E$4002,MATCH(A617,$V$19:$V$4018,0)),D616))</f>
        <v/>
      </c>
      <c r="E617" s="30">
        <f>IF(A617="","",IFERROR(INDEX('자료_한국심리'!$H$3:$H$4002,MATCH(A617,$W$19:$W$4018,0)),E616))</f>
        <v/>
      </c>
      <c r="F617" s="30">
        <f>IF(A617="","",IFERROR(INDEX('자료_한국심리'!$K$3:$K$4002,MATCH(A617,$X$19:$X$4018,0)),F616))</f>
        <v/>
      </c>
      <c r="G617" s="30">
        <f>IF(AND(ISNUMBER(E617),ISNUMBER(F617)),ROUND(E617-F617,6),"")</f>
        <v/>
      </c>
      <c r="H617" s="25">
        <f>IF(A617="","",IFERROR(INDEX('자료_한국심리'!$N$3:$N$4002,MATCH(A617,$Y$19:$Y$4018,0)),H616))</f>
        <v/>
      </c>
      <c r="I617" s="31">
        <f>IF(AND(ISNUMBER(H617),ISNUMBER(H597)),IF(H597&gt;0,H617/H597-1,""),"")</f>
        <v/>
      </c>
      <c r="J617">
        <f>IF(A617="",0,IF(A617&gt;$B$5,1,0))</f>
        <v/>
      </c>
      <c r="K617" s="29">
        <f>IF(AND(J617=1,ISNUMBER(D617)),D617,"")</f>
        <v/>
      </c>
      <c r="L617" s="30">
        <f>IF(AND(J617=1,ISNUMBER(G617)),G617,"")</f>
        <v/>
      </c>
      <c r="M617" s="22">
        <f>IF(AND(J617=1,ISNUMBER(C617)),C617,"")</f>
        <v/>
      </c>
      <c r="N617" s="31">
        <f>IF(AND(J617=1,ISNUMBER(I617)),I617,"")</f>
        <v/>
      </c>
      <c r="O617" s="11">
        <f>IF(K617="","",100-IF($G$13=1,50,(_xlfn.RANK.AVG(K617,$K$19:$K$1518,1)-1)/($G$13-1)*100))</f>
        <v/>
      </c>
      <c r="P617" s="11">
        <f>IF(L617="","",100-IF($G$14=1,50,(_xlfn.RANK.AVG(L617,$L$19:$L$1518,1)-1)/($G$14-1)*100))</f>
        <v/>
      </c>
      <c r="Q617" s="11">
        <f>IF(M617="","",IF($G$15=1,50,(_xlfn.RANK.AVG(M617,$M$19:$M$1518,1)-1)/($G$15-1)*100))</f>
        <v/>
      </c>
      <c r="R617" s="11">
        <f>IF(N617="","",IF($G$16=1,50,(_xlfn.RANK.AVG(N617,$N$19:$N$1518,1)-1)/($G$16-1)*100))</f>
        <v/>
      </c>
      <c r="S617" s="11">
        <f>IF(COUNT(O617:R617)=4,ROUND(AVERAGE(O617:R617),6),"")</f>
        <v/>
      </c>
      <c r="U617">
        <f>IF(AND(ISNUMBER('자료_한국심리'!$A601),ISNUMBER('자료_한국심리'!$B601)),'자료_한국심리'!$A601,"")</f>
        <v/>
      </c>
      <c r="V617">
        <f>IF(AND(ISNUMBER('자료_한국심리'!$D601),ISNUMBER('자료_한국심리'!$E601)),'자료_한국심리'!$D601,"")</f>
        <v/>
      </c>
      <c r="W617">
        <f>IF(AND(ISNUMBER('자료_한국심리'!$G601),ISNUMBER('자료_한국심리'!$H601)),'자료_한국심리'!$G601,"")</f>
        <v/>
      </c>
      <c r="X617">
        <f>IF(AND(ISNUMBER('자료_한국심리'!$J601),ISNUMBER('자료_한국심리'!$K601)),'자료_한국심리'!$J601,"")</f>
        <v/>
      </c>
      <c r="Y617">
        <f>IF(AND(ISNUMBER('자료_한국심리'!$M601),ISNUMBER('자료_한국심리'!$N601)),'자료_한국심리'!$M601,"")</f>
        <v/>
      </c>
    </row>
    <row r="618">
      <c r="A618" s="10">
        <f>IF(600&gt;$E$5,"",SMALL($U$19:$U$4018,$E$6+600))</f>
        <v/>
      </c>
      <c r="B618" s="29">
        <f>IF(A618="","",INDEX('자료_한국심리'!$B$3:$B$4002,MATCH(A618,$U$19:$U$4018,0)))</f>
        <v/>
      </c>
      <c r="C618" s="22">
        <f>IF(A618="","",B618/AVERAGE(B494:B618)-1)</f>
        <v/>
      </c>
      <c r="D618" s="29">
        <f>IF(A618="","",IFERROR(INDEX('자료_한국심리'!$E$3:$E$4002,MATCH(A618,$V$19:$V$4018,0)),D617))</f>
        <v/>
      </c>
      <c r="E618" s="30">
        <f>IF(A618="","",IFERROR(INDEX('자료_한국심리'!$H$3:$H$4002,MATCH(A618,$W$19:$W$4018,0)),E617))</f>
        <v/>
      </c>
      <c r="F618" s="30">
        <f>IF(A618="","",IFERROR(INDEX('자료_한국심리'!$K$3:$K$4002,MATCH(A618,$X$19:$X$4018,0)),F617))</f>
        <v/>
      </c>
      <c r="G618" s="30">
        <f>IF(AND(ISNUMBER(E618),ISNUMBER(F618)),ROUND(E618-F618,6),"")</f>
        <v/>
      </c>
      <c r="H618" s="25">
        <f>IF(A618="","",IFERROR(INDEX('자료_한국심리'!$N$3:$N$4002,MATCH(A618,$Y$19:$Y$4018,0)),H617))</f>
        <v/>
      </c>
      <c r="I618" s="31">
        <f>IF(AND(ISNUMBER(H618),ISNUMBER(H598)),IF(H598&gt;0,H618/H598-1,""),"")</f>
        <v/>
      </c>
      <c r="J618">
        <f>IF(A618="",0,IF(A618&gt;$B$5,1,0))</f>
        <v/>
      </c>
      <c r="K618" s="29">
        <f>IF(AND(J618=1,ISNUMBER(D618)),D618,"")</f>
        <v/>
      </c>
      <c r="L618" s="30">
        <f>IF(AND(J618=1,ISNUMBER(G618)),G618,"")</f>
        <v/>
      </c>
      <c r="M618" s="22">
        <f>IF(AND(J618=1,ISNUMBER(C618)),C618,"")</f>
        <v/>
      </c>
      <c r="N618" s="31">
        <f>IF(AND(J618=1,ISNUMBER(I618)),I618,"")</f>
        <v/>
      </c>
      <c r="O618" s="11">
        <f>IF(K618="","",100-IF($G$13=1,50,(_xlfn.RANK.AVG(K618,$K$19:$K$1518,1)-1)/($G$13-1)*100))</f>
        <v/>
      </c>
      <c r="P618" s="11">
        <f>IF(L618="","",100-IF($G$14=1,50,(_xlfn.RANK.AVG(L618,$L$19:$L$1518,1)-1)/($G$14-1)*100))</f>
        <v/>
      </c>
      <c r="Q618" s="11">
        <f>IF(M618="","",IF($G$15=1,50,(_xlfn.RANK.AVG(M618,$M$19:$M$1518,1)-1)/($G$15-1)*100))</f>
        <v/>
      </c>
      <c r="R618" s="11">
        <f>IF(N618="","",IF($G$16=1,50,(_xlfn.RANK.AVG(N618,$N$19:$N$1518,1)-1)/($G$16-1)*100))</f>
        <v/>
      </c>
      <c r="S618" s="11">
        <f>IF(COUNT(O618:R618)=4,ROUND(AVERAGE(O618:R618),6),"")</f>
        <v/>
      </c>
      <c r="U618">
        <f>IF(AND(ISNUMBER('자료_한국심리'!$A602),ISNUMBER('자료_한국심리'!$B602)),'자료_한국심리'!$A602,"")</f>
        <v/>
      </c>
      <c r="V618">
        <f>IF(AND(ISNUMBER('자료_한국심리'!$D602),ISNUMBER('자료_한국심리'!$E602)),'자료_한국심리'!$D602,"")</f>
        <v/>
      </c>
      <c r="W618">
        <f>IF(AND(ISNUMBER('자료_한국심리'!$G602),ISNUMBER('자료_한국심리'!$H602)),'자료_한국심리'!$G602,"")</f>
        <v/>
      </c>
      <c r="X618">
        <f>IF(AND(ISNUMBER('자료_한국심리'!$J602),ISNUMBER('자료_한국심리'!$K602)),'자료_한국심리'!$J602,"")</f>
        <v/>
      </c>
      <c r="Y618">
        <f>IF(AND(ISNUMBER('자료_한국심리'!$M602),ISNUMBER('자료_한국심리'!$N602)),'자료_한국심리'!$M602,"")</f>
        <v/>
      </c>
    </row>
    <row r="619">
      <c r="A619" s="10">
        <f>IF(601&gt;$E$5,"",SMALL($U$19:$U$4018,$E$6+601))</f>
        <v/>
      </c>
      <c r="B619" s="29">
        <f>IF(A619="","",INDEX('자료_한국심리'!$B$3:$B$4002,MATCH(A619,$U$19:$U$4018,0)))</f>
        <v/>
      </c>
      <c r="C619" s="22">
        <f>IF(A619="","",B619/AVERAGE(B495:B619)-1)</f>
        <v/>
      </c>
      <c r="D619" s="29">
        <f>IF(A619="","",IFERROR(INDEX('자료_한국심리'!$E$3:$E$4002,MATCH(A619,$V$19:$V$4018,0)),D618))</f>
        <v/>
      </c>
      <c r="E619" s="30">
        <f>IF(A619="","",IFERROR(INDEX('자료_한국심리'!$H$3:$H$4002,MATCH(A619,$W$19:$W$4018,0)),E618))</f>
        <v/>
      </c>
      <c r="F619" s="30">
        <f>IF(A619="","",IFERROR(INDEX('자료_한국심리'!$K$3:$K$4002,MATCH(A619,$X$19:$X$4018,0)),F618))</f>
        <v/>
      </c>
      <c r="G619" s="30">
        <f>IF(AND(ISNUMBER(E619),ISNUMBER(F619)),ROUND(E619-F619,6),"")</f>
        <v/>
      </c>
      <c r="H619" s="25">
        <f>IF(A619="","",IFERROR(INDEX('자료_한국심리'!$N$3:$N$4002,MATCH(A619,$Y$19:$Y$4018,0)),H618))</f>
        <v/>
      </c>
      <c r="I619" s="31">
        <f>IF(AND(ISNUMBER(H619),ISNUMBER(H599)),IF(H599&gt;0,H619/H599-1,""),"")</f>
        <v/>
      </c>
      <c r="J619">
        <f>IF(A619="",0,IF(A619&gt;$B$5,1,0))</f>
        <v/>
      </c>
      <c r="K619" s="29">
        <f>IF(AND(J619=1,ISNUMBER(D619)),D619,"")</f>
        <v/>
      </c>
      <c r="L619" s="30">
        <f>IF(AND(J619=1,ISNUMBER(G619)),G619,"")</f>
        <v/>
      </c>
      <c r="M619" s="22">
        <f>IF(AND(J619=1,ISNUMBER(C619)),C619,"")</f>
        <v/>
      </c>
      <c r="N619" s="31">
        <f>IF(AND(J619=1,ISNUMBER(I619)),I619,"")</f>
        <v/>
      </c>
      <c r="O619" s="11">
        <f>IF(K619="","",100-IF($G$13=1,50,(_xlfn.RANK.AVG(K619,$K$19:$K$1518,1)-1)/($G$13-1)*100))</f>
        <v/>
      </c>
      <c r="P619" s="11">
        <f>IF(L619="","",100-IF($G$14=1,50,(_xlfn.RANK.AVG(L619,$L$19:$L$1518,1)-1)/($G$14-1)*100))</f>
        <v/>
      </c>
      <c r="Q619" s="11">
        <f>IF(M619="","",IF($G$15=1,50,(_xlfn.RANK.AVG(M619,$M$19:$M$1518,1)-1)/($G$15-1)*100))</f>
        <v/>
      </c>
      <c r="R619" s="11">
        <f>IF(N619="","",IF($G$16=1,50,(_xlfn.RANK.AVG(N619,$N$19:$N$1518,1)-1)/($G$16-1)*100))</f>
        <v/>
      </c>
      <c r="S619" s="11">
        <f>IF(COUNT(O619:R619)=4,ROUND(AVERAGE(O619:R619),6),"")</f>
        <v/>
      </c>
      <c r="U619">
        <f>IF(AND(ISNUMBER('자료_한국심리'!$A603),ISNUMBER('자료_한국심리'!$B603)),'자료_한국심리'!$A603,"")</f>
        <v/>
      </c>
      <c r="V619">
        <f>IF(AND(ISNUMBER('자료_한국심리'!$D603),ISNUMBER('자료_한국심리'!$E603)),'자료_한국심리'!$D603,"")</f>
        <v/>
      </c>
      <c r="W619">
        <f>IF(AND(ISNUMBER('자료_한국심리'!$G603),ISNUMBER('자료_한국심리'!$H603)),'자료_한국심리'!$G603,"")</f>
        <v/>
      </c>
      <c r="X619">
        <f>IF(AND(ISNUMBER('자료_한국심리'!$J603),ISNUMBER('자료_한국심리'!$K603)),'자료_한국심리'!$J603,"")</f>
        <v/>
      </c>
      <c r="Y619">
        <f>IF(AND(ISNUMBER('자료_한국심리'!$M603),ISNUMBER('자료_한국심리'!$N603)),'자료_한국심리'!$M603,"")</f>
        <v/>
      </c>
    </row>
    <row r="620">
      <c r="A620" s="10">
        <f>IF(602&gt;$E$5,"",SMALL($U$19:$U$4018,$E$6+602))</f>
        <v/>
      </c>
      <c r="B620" s="29">
        <f>IF(A620="","",INDEX('자료_한국심리'!$B$3:$B$4002,MATCH(A620,$U$19:$U$4018,0)))</f>
        <v/>
      </c>
      <c r="C620" s="22">
        <f>IF(A620="","",B620/AVERAGE(B496:B620)-1)</f>
        <v/>
      </c>
      <c r="D620" s="29">
        <f>IF(A620="","",IFERROR(INDEX('자료_한국심리'!$E$3:$E$4002,MATCH(A620,$V$19:$V$4018,0)),D619))</f>
        <v/>
      </c>
      <c r="E620" s="30">
        <f>IF(A620="","",IFERROR(INDEX('자료_한국심리'!$H$3:$H$4002,MATCH(A620,$W$19:$W$4018,0)),E619))</f>
        <v/>
      </c>
      <c r="F620" s="30">
        <f>IF(A620="","",IFERROR(INDEX('자료_한국심리'!$K$3:$K$4002,MATCH(A620,$X$19:$X$4018,0)),F619))</f>
        <v/>
      </c>
      <c r="G620" s="30">
        <f>IF(AND(ISNUMBER(E620),ISNUMBER(F620)),ROUND(E620-F620,6),"")</f>
        <v/>
      </c>
      <c r="H620" s="25">
        <f>IF(A620="","",IFERROR(INDEX('자료_한국심리'!$N$3:$N$4002,MATCH(A620,$Y$19:$Y$4018,0)),H619))</f>
        <v/>
      </c>
      <c r="I620" s="31">
        <f>IF(AND(ISNUMBER(H620),ISNUMBER(H600)),IF(H600&gt;0,H620/H600-1,""),"")</f>
        <v/>
      </c>
      <c r="J620">
        <f>IF(A620="",0,IF(A620&gt;$B$5,1,0))</f>
        <v/>
      </c>
      <c r="K620" s="29">
        <f>IF(AND(J620=1,ISNUMBER(D620)),D620,"")</f>
        <v/>
      </c>
      <c r="L620" s="30">
        <f>IF(AND(J620=1,ISNUMBER(G620)),G620,"")</f>
        <v/>
      </c>
      <c r="M620" s="22">
        <f>IF(AND(J620=1,ISNUMBER(C620)),C620,"")</f>
        <v/>
      </c>
      <c r="N620" s="31">
        <f>IF(AND(J620=1,ISNUMBER(I620)),I620,"")</f>
        <v/>
      </c>
      <c r="O620" s="11">
        <f>IF(K620="","",100-IF($G$13=1,50,(_xlfn.RANK.AVG(K620,$K$19:$K$1518,1)-1)/($G$13-1)*100))</f>
        <v/>
      </c>
      <c r="P620" s="11">
        <f>IF(L620="","",100-IF($G$14=1,50,(_xlfn.RANK.AVG(L620,$L$19:$L$1518,1)-1)/($G$14-1)*100))</f>
        <v/>
      </c>
      <c r="Q620" s="11">
        <f>IF(M620="","",IF($G$15=1,50,(_xlfn.RANK.AVG(M620,$M$19:$M$1518,1)-1)/($G$15-1)*100))</f>
        <v/>
      </c>
      <c r="R620" s="11">
        <f>IF(N620="","",IF($G$16=1,50,(_xlfn.RANK.AVG(N620,$N$19:$N$1518,1)-1)/($G$16-1)*100))</f>
        <v/>
      </c>
      <c r="S620" s="11">
        <f>IF(COUNT(O620:R620)=4,ROUND(AVERAGE(O620:R620),6),"")</f>
        <v/>
      </c>
      <c r="U620">
        <f>IF(AND(ISNUMBER('자료_한국심리'!$A604),ISNUMBER('자료_한국심리'!$B604)),'자료_한국심리'!$A604,"")</f>
        <v/>
      </c>
      <c r="V620">
        <f>IF(AND(ISNUMBER('자료_한국심리'!$D604),ISNUMBER('자료_한국심리'!$E604)),'자료_한국심리'!$D604,"")</f>
        <v/>
      </c>
      <c r="W620">
        <f>IF(AND(ISNUMBER('자료_한국심리'!$G604),ISNUMBER('자료_한국심리'!$H604)),'자료_한국심리'!$G604,"")</f>
        <v/>
      </c>
      <c r="X620">
        <f>IF(AND(ISNUMBER('자료_한국심리'!$J604),ISNUMBER('자료_한국심리'!$K604)),'자료_한국심리'!$J604,"")</f>
        <v/>
      </c>
      <c r="Y620">
        <f>IF(AND(ISNUMBER('자료_한국심리'!$M604),ISNUMBER('자료_한국심리'!$N604)),'자료_한국심리'!$M604,"")</f>
        <v/>
      </c>
    </row>
    <row r="621">
      <c r="A621" s="10">
        <f>IF(603&gt;$E$5,"",SMALL($U$19:$U$4018,$E$6+603))</f>
        <v/>
      </c>
      <c r="B621" s="29">
        <f>IF(A621="","",INDEX('자료_한국심리'!$B$3:$B$4002,MATCH(A621,$U$19:$U$4018,0)))</f>
        <v/>
      </c>
      <c r="C621" s="22">
        <f>IF(A621="","",B621/AVERAGE(B497:B621)-1)</f>
        <v/>
      </c>
      <c r="D621" s="29">
        <f>IF(A621="","",IFERROR(INDEX('자료_한국심리'!$E$3:$E$4002,MATCH(A621,$V$19:$V$4018,0)),D620))</f>
        <v/>
      </c>
      <c r="E621" s="30">
        <f>IF(A621="","",IFERROR(INDEX('자료_한국심리'!$H$3:$H$4002,MATCH(A621,$W$19:$W$4018,0)),E620))</f>
        <v/>
      </c>
      <c r="F621" s="30">
        <f>IF(A621="","",IFERROR(INDEX('자료_한국심리'!$K$3:$K$4002,MATCH(A621,$X$19:$X$4018,0)),F620))</f>
        <v/>
      </c>
      <c r="G621" s="30">
        <f>IF(AND(ISNUMBER(E621),ISNUMBER(F621)),ROUND(E621-F621,6),"")</f>
        <v/>
      </c>
      <c r="H621" s="25">
        <f>IF(A621="","",IFERROR(INDEX('자료_한국심리'!$N$3:$N$4002,MATCH(A621,$Y$19:$Y$4018,0)),H620))</f>
        <v/>
      </c>
      <c r="I621" s="31">
        <f>IF(AND(ISNUMBER(H621),ISNUMBER(H601)),IF(H601&gt;0,H621/H601-1,""),"")</f>
        <v/>
      </c>
      <c r="J621">
        <f>IF(A621="",0,IF(A621&gt;$B$5,1,0))</f>
        <v/>
      </c>
      <c r="K621" s="29">
        <f>IF(AND(J621=1,ISNUMBER(D621)),D621,"")</f>
        <v/>
      </c>
      <c r="L621" s="30">
        <f>IF(AND(J621=1,ISNUMBER(G621)),G621,"")</f>
        <v/>
      </c>
      <c r="M621" s="22">
        <f>IF(AND(J621=1,ISNUMBER(C621)),C621,"")</f>
        <v/>
      </c>
      <c r="N621" s="31">
        <f>IF(AND(J621=1,ISNUMBER(I621)),I621,"")</f>
        <v/>
      </c>
      <c r="O621" s="11">
        <f>IF(K621="","",100-IF($G$13=1,50,(_xlfn.RANK.AVG(K621,$K$19:$K$1518,1)-1)/($G$13-1)*100))</f>
        <v/>
      </c>
      <c r="P621" s="11">
        <f>IF(L621="","",100-IF($G$14=1,50,(_xlfn.RANK.AVG(L621,$L$19:$L$1518,1)-1)/($G$14-1)*100))</f>
        <v/>
      </c>
      <c r="Q621" s="11">
        <f>IF(M621="","",IF($G$15=1,50,(_xlfn.RANK.AVG(M621,$M$19:$M$1518,1)-1)/($G$15-1)*100))</f>
        <v/>
      </c>
      <c r="R621" s="11">
        <f>IF(N621="","",IF($G$16=1,50,(_xlfn.RANK.AVG(N621,$N$19:$N$1518,1)-1)/($G$16-1)*100))</f>
        <v/>
      </c>
      <c r="S621" s="11">
        <f>IF(COUNT(O621:R621)=4,ROUND(AVERAGE(O621:R621),6),"")</f>
        <v/>
      </c>
      <c r="U621">
        <f>IF(AND(ISNUMBER('자료_한국심리'!$A605),ISNUMBER('자료_한국심리'!$B605)),'자료_한국심리'!$A605,"")</f>
        <v/>
      </c>
      <c r="V621">
        <f>IF(AND(ISNUMBER('자료_한국심리'!$D605),ISNUMBER('자료_한국심리'!$E605)),'자료_한국심리'!$D605,"")</f>
        <v/>
      </c>
      <c r="W621">
        <f>IF(AND(ISNUMBER('자료_한국심리'!$G605),ISNUMBER('자료_한국심리'!$H605)),'자료_한국심리'!$G605,"")</f>
        <v/>
      </c>
      <c r="X621">
        <f>IF(AND(ISNUMBER('자료_한국심리'!$J605),ISNUMBER('자료_한국심리'!$K605)),'자료_한국심리'!$J605,"")</f>
        <v/>
      </c>
      <c r="Y621">
        <f>IF(AND(ISNUMBER('자료_한국심리'!$M605),ISNUMBER('자료_한국심리'!$N605)),'자료_한국심리'!$M605,"")</f>
        <v/>
      </c>
    </row>
    <row r="622">
      <c r="A622" s="10">
        <f>IF(604&gt;$E$5,"",SMALL($U$19:$U$4018,$E$6+604))</f>
        <v/>
      </c>
      <c r="B622" s="29">
        <f>IF(A622="","",INDEX('자료_한국심리'!$B$3:$B$4002,MATCH(A622,$U$19:$U$4018,0)))</f>
        <v/>
      </c>
      <c r="C622" s="22">
        <f>IF(A622="","",B622/AVERAGE(B498:B622)-1)</f>
        <v/>
      </c>
      <c r="D622" s="29">
        <f>IF(A622="","",IFERROR(INDEX('자료_한국심리'!$E$3:$E$4002,MATCH(A622,$V$19:$V$4018,0)),D621))</f>
        <v/>
      </c>
      <c r="E622" s="30">
        <f>IF(A622="","",IFERROR(INDEX('자료_한국심리'!$H$3:$H$4002,MATCH(A622,$W$19:$W$4018,0)),E621))</f>
        <v/>
      </c>
      <c r="F622" s="30">
        <f>IF(A622="","",IFERROR(INDEX('자료_한국심리'!$K$3:$K$4002,MATCH(A622,$X$19:$X$4018,0)),F621))</f>
        <v/>
      </c>
      <c r="G622" s="30">
        <f>IF(AND(ISNUMBER(E622),ISNUMBER(F622)),ROUND(E622-F622,6),"")</f>
        <v/>
      </c>
      <c r="H622" s="25">
        <f>IF(A622="","",IFERROR(INDEX('자료_한국심리'!$N$3:$N$4002,MATCH(A622,$Y$19:$Y$4018,0)),H621))</f>
        <v/>
      </c>
      <c r="I622" s="31">
        <f>IF(AND(ISNUMBER(H622),ISNUMBER(H602)),IF(H602&gt;0,H622/H602-1,""),"")</f>
        <v/>
      </c>
      <c r="J622">
        <f>IF(A622="",0,IF(A622&gt;$B$5,1,0))</f>
        <v/>
      </c>
      <c r="K622" s="29">
        <f>IF(AND(J622=1,ISNUMBER(D622)),D622,"")</f>
        <v/>
      </c>
      <c r="L622" s="30">
        <f>IF(AND(J622=1,ISNUMBER(G622)),G622,"")</f>
        <v/>
      </c>
      <c r="M622" s="22">
        <f>IF(AND(J622=1,ISNUMBER(C622)),C622,"")</f>
        <v/>
      </c>
      <c r="N622" s="31">
        <f>IF(AND(J622=1,ISNUMBER(I622)),I622,"")</f>
        <v/>
      </c>
      <c r="O622" s="11">
        <f>IF(K622="","",100-IF($G$13=1,50,(_xlfn.RANK.AVG(K622,$K$19:$K$1518,1)-1)/($G$13-1)*100))</f>
        <v/>
      </c>
      <c r="P622" s="11">
        <f>IF(L622="","",100-IF($G$14=1,50,(_xlfn.RANK.AVG(L622,$L$19:$L$1518,1)-1)/($G$14-1)*100))</f>
        <v/>
      </c>
      <c r="Q622" s="11">
        <f>IF(M622="","",IF($G$15=1,50,(_xlfn.RANK.AVG(M622,$M$19:$M$1518,1)-1)/($G$15-1)*100))</f>
        <v/>
      </c>
      <c r="R622" s="11">
        <f>IF(N622="","",IF($G$16=1,50,(_xlfn.RANK.AVG(N622,$N$19:$N$1518,1)-1)/($G$16-1)*100))</f>
        <v/>
      </c>
      <c r="S622" s="11">
        <f>IF(COUNT(O622:R622)=4,ROUND(AVERAGE(O622:R622),6),"")</f>
        <v/>
      </c>
      <c r="U622">
        <f>IF(AND(ISNUMBER('자료_한국심리'!$A606),ISNUMBER('자료_한국심리'!$B606)),'자료_한국심리'!$A606,"")</f>
        <v/>
      </c>
      <c r="V622">
        <f>IF(AND(ISNUMBER('자료_한국심리'!$D606),ISNUMBER('자료_한국심리'!$E606)),'자료_한국심리'!$D606,"")</f>
        <v/>
      </c>
      <c r="W622">
        <f>IF(AND(ISNUMBER('자료_한국심리'!$G606),ISNUMBER('자료_한국심리'!$H606)),'자료_한국심리'!$G606,"")</f>
        <v/>
      </c>
      <c r="X622">
        <f>IF(AND(ISNUMBER('자료_한국심리'!$J606),ISNUMBER('자료_한국심리'!$K606)),'자료_한국심리'!$J606,"")</f>
        <v/>
      </c>
      <c r="Y622">
        <f>IF(AND(ISNUMBER('자료_한국심리'!$M606),ISNUMBER('자료_한국심리'!$N606)),'자료_한국심리'!$M606,"")</f>
        <v/>
      </c>
    </row>
    <row r="623">
      <c r="A623" s="10">
        <f>IF(605&gt;$E$5,"",SMALL($U$19:$U$4018,$E$6+605))</f>
        <v/>
      </c>
      <c r="B623" s="29">
        <f>IF(A623="","",INDEX('자료_한국심리'!$B$3:$B$4002,MATCH(A623,$U$19:$U$4018,0)))</f>
        <v/>
      </c>
      <c r="C623" s="22">
        <f>IF(A623="","",B623/AVERAGE(B499:B623)-1)</f>
        <v/>
      </c>
      <c r="D623" s="29">
        <f>IF(A623="","",IFERROR(INDEX('자료_한국심리'!$E$3:$E$4002,MATCH(A623,$V$19:$V$4018,0)),D622))</f>
        <v/>
      </c>
      <c r="E623" s="30">
        <f>IF(A623="","",IFERROR(INDEX('자료_한국심리'!$H$3:$H$4002,MATCH(A623,$W$19:$W$4018,0)),E622))</f>
        <v/>
      </c>
      <c r="F623" s="30">
        <f>IF(A623="","",IFERROR(INDEX('자료_한국심리'!$K$3:$K$4002,MATCH(A623,$X$19:$X$4018,0)),F622))</f>
        <v/>
      </c>
      <c r="G623" s="30">
        <f>IF(AND(ISNUMBER(E623),ISNUMBER(F623)),ROUND(E623-F623,6),"")</f>
        <v/>
      </c>
      <c r="H623" s="25">
        <f>IF(A623="","",IFERROR(INDEX('자료_한국심리'!$N$3:$N$4002,MATCH(A623,$Y$19:$Y$4018,0)),H622))</f>
        <v/>
      </c>
      <c r="I623" s="31">
        <f>IF(AND(ISNUMBER(H623),ISNUMBER(H603)),IF(H603&gt;0,H623/H603-1,""),"")</f>
        <v/>
      </c>
      <c r="J623">
        <f>IF(A623="",0,IF(A623&gt;$B$5,1,0))</f>
        <v/>
      </c>
      <c r="K623" s="29">
        <f>IF(AND(J623=1,ISNUMBER(D623)),D623,"")</f>
        <v/>
      </c>
      <c r="L623" s="30">
        <f>IF(AND(J623=1,ISNUMBER(G623)),G623,"")</f>
        <v/>
      </c>
      <c r="M623" s="22">
        <f>IF(AND(J623=1,ISNUMBER(C623)),C623,"")</f>
        <v/>
      </c>
      <c r="N623" s="31">
        <f>IF(AND(J623=1,ISNUMBER(I623)),I623,"")</f>
        <v/>
      </c>
      <c r="O623" s="11">
        <f>IF(K623="","",100-IF($G$13=1,50,(_xlfn.RANK.AVG(K623,$K$19:$K$1518,1)-1)/($G$13-1)*100))</f>
        <v/>
      </c>
      <c r="P623" s="11">
        <f>IF(L623="","",100-IF($G$14=1,50,(_xlfn.RANK.AVG(L623,$L$19:$L$1518,1)-1)/($G$14-1)*100))</f>
        <v/>
      </c>
      <c r="Q623" s="11">
        <f>IF(M623="","",IF($G$15=1,50,(_xlfn.RANK.AVG(M623,$M$19:$M$1518,1)-1)/($G$15-1)*100))</f>
        <v/>
      </c>
      <c r="R623" s="11">
        <f>IF(N623="","",IF($G$16=1,50,(_xlfn.RANK.AVG(N623,$N$19:$N$1518,1)-1)/($G$16-1)*100))</f>
        <v/>
      </c>
      <c r="S623" s="11">
        <f>IF(COUNT(O623:R623)=4,ROUND(AVERAGE(O623:R623),6),"")</f>
        <v/>
      </c>
      <c r="U623">
        <f>IF(AND(ISNUMBER('자료_한국심리'!$A607),ISNUMBER('자료_한국심리'!$B607)),'자료_한국심리'!$A607,"")</f>
        <v/>
      </c>
      <c r="V623">
        <f>IF(AND(ISNUMBER('자료_한국심리'!$D607),ISNUMBER('자료_한국심리'!$E607)),'자료_한국심리'!$D607,"")</f>
        <v/>
      </c>
      <c r="W623">
        <f>IF(AND(ISNUMBER('자료_한국심리'!$G607),ISNUMBER('자료_한국심리'!$H607)),'자료_한국심리'!$G607,"")</f>
        <v/>
      </c>
      <c r="X623">
        <f>IF(AND(ISNUMBER('자료_한국심리'!$J607),ISNUMBER('자료_한국심리'!$K607)),'자료_한국심리'!$J607,"")</f>
        <v/>
      </c>
      <c r="Y623">
        <f>IF(AND(ISNUMBER('자료_한국심리'!$M607),ISNUMBER('자료_한국심리'!$N607)),'자료_한국심리'!$M607,"")</f>
        <v/>
      </c>
    </row>
    <row r="624">
      <c r="A624" s="10">
        <f>IF(606&gt;$E$5,"",SMALL($U$19:$U$4018,$E$6+606))</f>
        <v/>
      </c>
      <c r="B624" s="29">
        <f>IF(A624="","",INDEX('자료_한국심리'!$B$3:$B$4002,MATCH(A624,$U$19:$U$4018,0)))</f>
        <v/>
      </c>
      <c r="C624" s="22">
        <f>IF(A624="","",B624/AVERAGE(B500:B624)-1)</f>
        <v/>
      </c>
      <c r="D624" s="29">
        <f>IF(A624="","",IFERROR(INDEX('자료_한국심리'!$E$3:$E$4002,MATCH(A624,$V$19:$V$4018,0)),D623))</f>
        <v/>
      </c>
      <c r="E624" s="30">
        <f>IF(A624="","",IFERROR(INDEX('자료_한국심리'!$H$3:$H$4002,MATCH(A624,$W$19:$W$4018,0)),E623))</f>
        <v/>
      </c>
      <c r="F624" s="30">
        <f>IF(A624="","",IFERROR(INDEX('자료_한국심리'!$K$3:$K$4002,MATCH(A624,$X$19:$X$4018,0)),F623))</f>
        <v/>
      </c>
      <c r="G624" s="30">
        <f>IF(AND(ISNUMBER(E624),ISNUMBER(F624)),ROUND(E624-F624,6),"")</f>
        <v/>
      </c>
      <c r="H624" s="25">
        <f>IF(A624="","",IFERROR(INDEX('자료_한국심리'!$N$3:$N$4002,MATCH(A624,$Y$19:$Y$4018,0)),H623))</f>
        <v/>
      </c>
      <c r="I624" s="31">
        <f>IF(AND(ISNUMBER(H624),ISNUMBER(H604)),IF(H604&gt;0,H624/H604-1,""),"")</f>
        <v/>
      </c>
      <c r="J624">
        <f>IF(A624="",0,IF(A624&gt;$B$5,1,0))</f>
        <v/>
      </c>
      <c r="K624" s="29">
        <f>IF(AND(J624=1,ISNUMBER(D624)),D624,"")</f>
        <v/>
      </c>
      <c r="L624" s="30">
        <f>IF(AND(J624=1,ISNUMBER(G624)),G624,"")</f>
        <v/>
      </c>
      <c r="M624" s="22">
        <f>IF(AND(J624=1,ISNUMBER(C624)),C624,"")</f>
        <v/>
      </c>
      <c r="N624" s="31">
        <f>IF(AND(J624=1,ISNUMBER(I624)),I624,"")</f>
        <v/>
      </c>
      <c r="O624" s="11">
        <f>IF(K624="","",100-IF($G$13=1,50,(_xlfn.RANK.AVG(K624,$K$19:$K$1518,1)-1)/($G$13-1)*100))</f>
        <v/>
      </c>
      <c r="P624" s="11">
        <f>IF(L624="","",100-IF($G$14=1,50,(_xlfn.RANK.AVG(L624,$L$19:$L$1518,1)-1)/($G$14-1)*100))</f>
        <v/>
      </c>
      <c r="Q624" s="11">
        <f>IF(M624="","",IF($G$15=1,50,(_xlfn.RANK.AVG(M624,$M$19:$M$1518,1)-1)/($G$15-1)*100))</f>
        <v/>
      </c>
      <c r="R624" s="11">
        <f>IF(N624="","",IF($G$16=1,50,(_xlfn.RANK.AVG(N624,$N$19:$N$1518,1)-1)/($G$16-1)*100))</f>
        <v/>
      </c>
      <c r="S624" s="11">
        <f>IF(COUNT(O624:R624)=4,ROUND(AVERAGE(O624:R624),6),"")</f>
        <v/>
      </c>
      <c r="U624">
        <f>IF(AND(ISNUMBER('자료_한국심리'!$A608),ISNUMBER('자료_한국심리'!$B608)),'자료_한국심리'!$A608,"")</f>
        <v/>
      </c>
      <c r="V624">
        <f>IF(AND(ISNUMBER('자료_한국심리'!$D608),ISNUMBER('자료_한국심리'!$E608)),'자료_한국심리'!$D608,"")</f>
        <v/>
      </c>
      <c r="W624">
        <f>IF(AND(ISNUMBER('자료_한국심리'!$G608),ISNUMBER('자료_한국심리'!$H608)),'자료_한국심리'!$G608,"")</f>
        <v/>
      </c>
      <c r="X624">
        <f>IF(AND(ISNUMBER('자료_한국심리'!$J608),ISNUMBER('자료_한국심리'!$K608)),'자료_한국심리'!$J608,"")</f>
        <v/>
      </c>
      <c r="Y624">
        <f>IF(AND(ISNUMBER('자료_한국심리'!$M608),ISNUMBER('자료_한국심리'!$N608)),'자료_한국심리'!$M608,"")</f>
        <v/>
      </c>
    </row>
    <row r="625">
      <c r="A625" s="10">
        <f>IF(607&gt;$E$5,"",SMALL($U$19:$U$4018,$E$6+607))</f>
        <v/>
      </c>
      <c r="B625" s="29">
        <f>IF(A625="","",INDEX('자료_한국심리'!$B$3:$B$4002,MATCH(A625,$U$19:$U$4018,0)))</f>
        <v/>
      </c>
      <c r="C625" s="22">
        <f>IF(A625="","",B625/AVERAGE(B501:B625)-1)</f>
        <v/>
      </c>
      <c r="D625" s="29">
        <f>IF(A625="","",IFERROR(INDEX('자료_한국심리'!$E$3:$E$4002,MATCH(A625,$V$19:$V$4018,0)),D624))</f>
        <v/>
      </c>
      <c r="E625" s="30">
        <f>IF(A625="","",IFERROR(INDEX('자료_한국심리'!$H$3:$H$4002,MATCH(A625,$W$19:$W$4018,0)),E624))</f>
        <v/>
      </c>
      <c r="F625" s="30">
        <f>IF(A625="","",IFERROR(INDEX('자료_한국심리'!$K$3:$K$4002,MATCH(A625,$X$19:$X$4018,0)),F624))</f>
        <v/>
      </c>
      <c r="G625" s="30">
        <f>IF(AND(ISNUMBER(E625),ISNUMBER(F625)),ROUND(E625-F625,6),"")</f>
        <v/>
      </c>
      <c r="H625" s="25">
        <f>IF(A625="","",IFERROR(INDEX('자료_한국심리'!$N$3:$N$4002,MATCH(A625,$Y$19:$Y$4018,0)),H624))</f>
        <v/>
      </c>
      <c r="I625" s="31">
        <f>IF(AND(ISNUMBER(H625),ISNUMBER(H605)),IF(H605&gt;0,H625/H605-1,""),"")</f>
        <v/>
      </c>
      <c r="J625">
        <f>IF(A625="",0,IF(A625&gt;$B$5,1,0))</f>
        <v/>
      </c>
      <c r="K625" s="29">
        <f>IF(AND(J625=1,ISNUMBER(D625)),D625,"")</f>
        <v/>
      </c>
      <c r="L625" s="30">
        <f>IF(AND(J625=1,ISNUMBER(G625)),G625,"")</f>
        <v/>
      </c>
      <c r="M625" s="22">
        <f>IF(AND(J625=1,ISNUMBER(C625)),C625,"")</f>
        <v/>
      </c>
      <c r="N625" s="31">
        <f>IF(AND(J625=1,ISNUMBER(I625)),I625,"")</f>
        <v/>
      </c>
      <c r="O625" s="11">
        <f>IF(K625="","",100-IF($G$13=1,50,(_xlfn.RANK.AVG(K625,$K$19:$K$1518,1)-1)/($G$13-1)*100))</f>
        <v/>
      </c>
      <c r="P625" s="11">
        <f>IF(L625="","",100-IF($G$14=1,50,(_xlfn.RANK.AVG(L625,$L$19:$L$1518,1)-1)/($G$14-1)*100))</f>
        <v/>
      </c>
      <c r="Q625" s="11">
        <f>IF(M625="","",IF($G$15=1,50,(_xlfn.RANK.AVG(M625,$M$19:$M$1518,1)-1)/($G$15-1)*100))</f>
        <v/>
      </c>
      <c r="R625" s="11">
        <f>IF(N625="","",IF($G$16=1,50,(_xlfn.RANK.AVG(N625,$N$19:$N$1518,1)-1)/($G$16-1)*100))</f>
        <v/>
      </c>
      <c r="S625" s="11">
        <f>IF(COUNT(O625:R625)=4,ROUND(AVERAGE(O625:R625),6),"")</f>
        <v/>
      </c>
      <c r="U625">
        <f>IF(AND(ISNUMBER('자료_한국심리'!$A609),ISNUMBER('자료_한국심리'!$B609)),'자료_한국심리'!$A609,"")</f>
        <v/>
      </c>
      <c r="V625">
        <f>IF(AND(ISNUMBER('자료_한국심리'!$D609),ISNUMBER('자료_한국심리'!$E609)),'자료_한국심리'!$D609,"")</f>
        <v/>
      </c>
      <c r="W625">
        <f>IF(AND(ISNUMBER('자료_한국심리'!$G609),ISNUMBER('자료_한국심리'!$H609)),'자료_한국심리'!$G609,"")</f>
        <v/>
      </c>
      <c r="X625">
        <f>IF(AND(ISNUMBER('자료_한국심리'!$J609),ISNUMBER('자료_한국심리'!$K609)),'자료_한국심리'!$J609,"")</f>
        <v/>
      </c>
      <c r="Y625">
        <f>IF(AND(ISNUMBER('자료_한국심리'!$M609),ISNUMBER('자료_한국심리'!$N609)),'자료_한국심리'!$M609,"")</f>
        <v/>
      </c>
    </row>
    <row r="626">
      <c r="A626" s="10">
        <f>IF(608&gt;$E$5,"",SMALL($U$19:$U$4018,$E$6+608))</f>
        <v/>
      </c>
      <c r="B626" s="29">
        <f>IF(A626="","",INDEX('자료_한국심리'!$B$3:$B$4002,MATCH(A626,$U$19:$U$4018,0)))</f>
        <v/>
      </c>
      <c r="C626" s="22">
        <f>IF(A626="","",B626/AVERAGE(B502:B626)-1)</f>
        <v/>
      </c>
      <c r="D626" s="29">
        <f>IF(A626="","",IFERROR(INDEX('자료_한국심리'!$E$3:$E$4002,MATCH(A626,$V$19:$V$4018,0)),D625))</f>
        <v/>
      </c>
      <c r="E626" s="30">
        <f>IF(A626="","",IFERROR(INDEX('자료_한국심리'!$H$3:$H$4002,MATCH(A626,$W$19:$W$4018,0)),E625))</f>
        <v/>
      </c>
      <c r="F626" s="30">
        <f>IF(A626="","",IFERROR(INDEX('자료_한국심리'!$K$3:$K$4002,MATCH(A626,$X$19:$X$4018,0)),F625))</f>
        <v/>
      </c>
      <c r="G626" s="30">
        <f>IF(AND(ISNUMBER(E626),ISNUMBER(F626)),ROUND(E626-F626,6),"")</f>
        <v/>
      </c>
      <c r="H626" s="25">
        <f>IF(A626="","",IFERROR(INDEX('자료_한국심리'!$N$3:$N$4002,MATCH(A626,$Y$19:$Y$4018,0)),H625))</f>
        <v/>
      </c>
      <c r="I626" s="31">
        <f>IF(AND(ISNUMBER(H626),ISNUMBER(H606)),IF(H606&gt;0,H626/H606-1,""),"")</f>
        <v/>
      </c>
      <c r="J626">
        <f>IF(A626="",0,IF(A626&gt;$B$5,1,0))</f>
        <v/>
      </c>
      <c r="K626" s="29">
        <f>IF(AND(J626=1,ISNUMBER(D626)),D626,"")</f>
        <v/>
      </c>
      <c r="L626" s="30">
        <f>IF(AND(J626=1,ISNUMBER(G626)),G626,"")</f>
        <v/>
      </c>
      <c r="M626" s="22">
        <f>IF(AND(J626=1,ISNUMBER(C626)),C626,"")</f>
        <v/>
      </c>
      <c r="N626" s="31">
        <f>IF(AND(J626=1,ISNUMBER(I626)),I626,"")</f>
        <v/>
      </c>
      <c r="O626" s="11">
        <f>IF(K626="","",100-IF($G$13=1,50,(_xlfn.RANK.AVG(K626,$K$19:$K$1518,1)-1)/($G$13-1)*100))</f>
        <v/>
      </c>
      <c r="P626" s="11">
        <f>IF(L626="","",100-IF($G$14=1,50,(_xlfn.RANK.AVG(L626,$L$19:$L$1518,1)-1)/($G$14-1)*100))</f>
        <v/>
      </c>
      <c r="Q626" s="11">
        <f>IF(M626="","",IF($G$15=1,50,(_xlfn.RANK.AVG(M626,$M$19:$M$1518,1)-1)/($G$15-1)*100))</f>
        <v/>
      </c>
      <c r="R626" s="11">
        <f>IF(N626="","",IF($G$16=1,50,(_xlfn.RANK.AVG(N626,$N$19:$N$1518,1)-1)/($G$16-1)*100))</f>
        <v/>
      </c>
      <c r="S626" s="11">
        <f>IF(COUNT(O626:R626)=4,ROUND(AVERAGE(O626:R626),6),"")</f>
        <v/>
      </c>
      <c r="U626">
        <f>IF(AND(ISNUMBER('자료_한국심리'!$A610),ISNUMBER('자료_한국심리'!$B610)),'자료_한국심리'!$A610,"")</f>
        <v/>
      </c>
      <c r="V626">
        <f>IF(AND(ISNUMBER('자료_한국심리'!$D610),ISNUMBER('자료_한국심리'!$E610)),'자료_한국심리'!$D610,"")</f>
        <v/>
      </c>
      <c r="W626">
        <f>IF(AND(ISNUMBER('자료_한국심리'!$G610),ISNUMBER('자료_한국심리'!$H610)),'자료_한국심리'!$G610,"")</f>
        <v/>
      </c>
      <c r="X626">
        <f>IF(AND(ISNUMBER('자료_한국심리'!$J610),ISNUMBER('자료_한국심리'!$K610)),'자료_한국심리'!$J610,"")</f>
        <v/>
      </c>
      <c r="Y626">
        <f>IF(AND(ISNUMBER('자료_한국심리'!$M610),ISNUMBER('자료_한국심리'!$N610)),'자료_한국심리'!$M610,"")</f>
        <v/>
      </c>
    </row>
    <row r="627">
      <c r="A627" s="10">
        <f>IF(609&gt;$E$5,"",SMALL($U$19:$U$4018,$E$6+609))</f>
        <v/>
      </c>
      <c r="B627" s="29">
        <f>IF(A627="","",INDEX('자료_한국심리'!$B$3:$B$4002,MATCH(A627,$U$19:$U$4018,0)))</f>
        <v/>
      </c>
      <c r="C627" s="22">
        <f>IF(A627="","",B627/AVERAGE(B503:B627)-1)</f>
        <v/>
      </c>
      <c r="D627" s="29">
        <f>IF(A627="","",IFERROR(INDEX('자료_한국심리'!$E$3:$E$4002,MATCH(A627,$V$19:$V$4018,0)),D626))</f>
        <v/>
      </c>
      <c r="E627" s="30">
        <f>IF(A627="","",IFERROR(INDEX('자료_한국심리'!$H$3:$H$4002,MATCH(A627,$W$19:$W$4018,0)),E626))</f>
        <v/>
      </c>
      <c r="F627" s="30">
        <f>IF(A627="","",IFERROR(INDEX('자료_한국심리'!$K$3:$K$4002,MATCH(A627,$X$19:$X$4018,0)),F626))</f>
        <v/>
      </c>
      <c r="G627" s="30">
        <f>IF(AND(ISNUMBER(E627),ISNUMBER(F627)),ROUND(E627-F627,6),"")</f>
        <v/>
      </c>
      <c r="H627" s="25">
        <f>IF(A627="","",IFERROR(INDEX('자료_한국심리'!$N$3:$N$4002,MATCH(A627,$Y$19:$Y$4018,0)),H626))</f>
        <v/>
      </c>
      <c r="I627" s="31">
        <f>IF(AND(ISNUMBER(H627),ISNUMBER(H607)),IF(H607&gt;0,H627/H607-1,""),"")</f>
        <v/>
      </c>
      <c r="J627">
        <f>IF(A627="",0,IF(A627&gt;$B$5,1,0))</f>
        <v/>
      </c>
      <c r="K627" s="29">
        <f>IF(AND(J627=1,ISNUMBER(D627)),D627,"")</f>
        <v/>
      </c>
      <c r="L627" s="30">
        <f>IF(AND(J627=1,ISNUMBER(G627)),G627,"")</f>
        <v/>
      </c>
      <c r="M627" s="22">
        <f>IF(AND(J627=1,ISNUMBER(C627)),C627,"")</f>
        <v/>
      </c>
      <c r="N627" s="31">
        <f>IF(AND(J627=1,ISNUMBER(I627)),I627,"")</f>
        <v/>
      </c>
      <c r="O627" s="11">
        <f>IF(K627="","",100-IF($G$13=1,50,(_xlfn.RANK.AVG(K627,$K$19:$K$1518,1)-1)/($G$13-1)*100))</f>
        <v/>
      </c>
      <c r="P627" s="11">
        <f>IF(L627="","",100-IF($G$14=1,50,(_xlfn.RANK.AVG(L627,$L$19:$L$1518,1)-1)/($G$14-1)*100))</f>
        <v/>
      </c>
      <c r="Q627" s="11">
        <f>IF(M627="","",IF($G$15=1,50,(_xlfn.RANK.AVG(M627,$M$19:$M$1518,1)-1)/($G$15-1)*100))</f>
        <v/>
      </c>
      <c r="R627" s="11">
        <f>IF(N627="","",IF($G$16=1,50,(_xlfn.RANK.AVG(N627,$N$19:$N$1518,1)-1)/($G$16-1)*100))</f>
        <v/>
      </c>
      <c r="S627" s="11">
        <f>IF(COUNT(O627:R627)=4,ROUND(AVERAGE(O627:R627),6),"")</f>
        <v/>
      </c>
      <c r="U627">
        <f>IF(AND(ISNUMBER('자료_한국심리'!$A611),ISNUMBER('자료_한국심리'!$B611)),'자료_한국심리'!$A611,"")</f>
        <v/>
      </c>
      <c r="V627">
        <f>IF(AND(ISNUMBER('자료_한국심리'!$D611),ISNUMBER('자료_한국심리'!$E611)),'자료_한국심리'!$D611,"")</f>
        <v/>
      </c>
      <c r="W627">
        <f>IF(AND(ISNUMBER('자료_한국심리'!$G611),ISNUMBER('자료_한국심리'!$H611)),'자료_한국심리'!$G611,"")</f>
        <v/>
      </c>
      <c r="X627">
        <f>IF(AND(ISNUMBER('자료_한국심리'!$J611),ISNUMBER('자료_한국심리'!$K611)),'자료_한국심리'!$J611,"")</f>
        <v/>
      </c>
      <c r="Y627">
        <f>IF(AND(ISNUMBER('자료_한국심리'!$M611),ISNUMBER('자료_한국심리'!$N611)),'자료_한국심리'!$M611,"")</f>
        <v/>
      </c>
    </row>
    <row r="628">
      <c r="A628" s="10">
        <f>IF(610&gt;$E$5,"",SMALL($U$19:$U$4018,$E$6+610))</f>
        <v/>
      </c>
      <c r="B628" s="29">
        <f>IF(A628="","",INDEX('자료_한국심리'!$B$3:$B$4002,MATCH(A628,$U$19:$U$4018,0)))</f>
        <v/>
      </c>
      <c r="C628" s="22">
        <f>IF(A628="","",B628/AVERAGE(B504:B628)-1)</f>
        <v/>
      </c>
      <c r="D628" s="29">
        <f>IF(A628="","",IFERROR(INDEX('자료_한국심리'!$E$3:$E$4002,MATCH(A628,$V$19:$V$4018,0)),D627))</f>
        <v/>
      </c>
      <c r="E628" s="30">
        <f>IF(A628="","",IFERROR(INDEX('자료_한국심리'!$H$3:$H$4002,MATCH(A628,$W$19:$W$4018,0)),E627))</f>
        <v/>
      </c>
      <c r="F628" s="30">
        <f>IF(A628="","",IFERROR(INDEX('자료_한국심리'!$K$3:$K$4002,MATCH(A628,$X$19:$X$4018,0)),F627))</f>
        <v/>
      </c>
      <c r="G628" s="30">
        <f>IF(AND(ISNUMBER(E628),ISNUMBER(F628)),ROUND(E628-F628,6),"")</f>
        <v/>
      </c>
      <c r="H628" s="25">
        <f>IF(A628="","",IFERROR(INDEX('자료_한국심리'!$N$3:$N$4002,MATCH(A628,$Y$19:$Y$4018,0)),H627))</f>
        <v/>
      </c>
      <c r="I628" s="31">
        <f>IF(AND(ISNUMBER(H628),ISNUMBER(H608)),IF(H608&gt;0,H628/H608-1,""),"")</f>
        <v/>
      </c>
      <c r="J628">
        <f>IF(A628="",0,IF(A628&gt;$B$5,1,0))</f>
        <v/>
      </c>
      <c r="K628" s="29">
        <f>IF(AND(J628=1,ISNUMBER(D628)),D628,"")</f>
        <v/>
      </c>
      <c r="L628" s="30">
        <f>IF(AND(J628=1,ISNUMBER(G628)),G628,"")</f>
        <v/>
      </c>
      <c r="M628" s="22">
        <f>IF(AND(J628=1,ISNUMBER(C628)),C628,"")</f>
        <v/>
      </c>
      <c r="N628" s="31">
        <f>IF(AND(J628=1,ISNUMBER(I628)),I628,"")</f>
        <v/>
      </c>
      <c r="O628" s="11">
        <f>IF(K628="","",100-IF($G$13=1,50,(_xlfn.RANK.AVG(K628,$K$19:$K$1518,1)-1)/($G$13-1)*100))</f>
        <v/>
      </c>
      <c r="P628" s="11">
        <f>IF(L628="","",100-IF($G$14=1,50,(_xlfn.RANK.AVG(L628,$L$19:$L$1518,1)-1)/($G$14-1)*100))</f>
        <v/>
      </c>
      <c r="Q628" s="11">
        <f>IF(M628="","",IF($G$15=1,50,(_xlfn.RANK.AVG(M628,$M$19:$M$1518,1)-1)/($G$15-1)*100))</f>
        <v/>
      </c>
      <c r="R628" s="11">
        <f>IF(N628="","",IF($G$16=1,50,(_xlfn.RANK.AVG(N628,$N$19:$N$1518,1)-1)/($G$16-1)*100))</f>
        <v/>
      </c>
      <c r="S628" s="11">
        <f>IF(COUNT(O628:R628)=4,ROUND(AVERAGE(O628:R628),6),"")</f>
        <v/>
      </c>
      <c r="U628">
        <f>IF(AND(ISNUMBER('자료_한국심리'!$A612),ISNUMBER('자료_한국심리'!$B612)),'자료_한국심리'!$A612,"")</f>
        <v/>
      </c>
      <c r="V628">
        <f>IF(AND(ISNUMBER('자료_한국심리'!$D612),ISNUMBER('자료_한국심리'!$E612)),'자료_한국심리'!$D612,"")</f>
        <v/>
      </c>
      <c r="W628">
        <f>IF(AND(ISNUMBER('자료_한국심리'!$G612),ISNUMBER('자료_한국심리'!$H612)),'자료_한국심리'!$G612,"")</f>
        <v/>
      </c>
      <c r="X628">
        <f>IF(AND(ISNUMBER('자료_한국심리'!$J612),ISNUMBER('자료_한국심리'!$K612)),'자료_한국심리'!$J612,"")</f>
        <v/>
      </c>
      <c r="Y628">
        <f>IF(AND(ISNUMBER('자료_한국심리'!$M612),ISNUMBER('자료_한국심리'!$N612)),'자료_한국심리'!$M612,"")</f>
        <v/>
      </c>
    </row>
    <row r="629">
      <c r="A629" s="10">
        <f>IF(611&gt;$E$5,"",SMALL($U$19:$U$4018,$E$6+611))</f>
        <v/>
      </c>
      <c r="B629" s="29">
        <f>IF(A629="","",INDEX('자료_한국심리'!$B$3:$B$4002,MATCH(A629,$U$19:$U$4018,0)))</f>
        <v/>
      </c>
      <c r="C629" s="22">
        <f>IF(A629="","",B629/AVERAGE(B505:B629)-1)</f>
        <v/>
      </c>
      <c r="D629" s="29">
        <f>IF(A629="","",IFERROR(INDEX('자료_한국심리'!$E$3:$E$4002,MATCH(A629,$V$19:$V$4018,0)),D628))</f>
        <v/>
      </c>
      <c r="E629" s="30">
        <f>IF(A629="","",IFERROR(INDEX('자료_한국심리'!$H$3:$H$4002,MATCH(A629,$W$19:$W$4018,0)),E628))</f>
        <v/>
      </c>
      <c r="F629" s="30">
        <f>IF(A629="","",IFERROR(INDEX('자료_한국심리'!$K$3:$K$4002,MATCH(A629,$X$19:$X$4018,0)),F628))</f>
        <v/>
      </c>
      <c r="G629" s="30">
        <f>IF(AND(ISNUMBER(E629),ISNUMBER(F629)),ROUND(E629-F629,6),"")</f>
        <v/>
      </c>
      <c r="H629" s="25">
        <f>IF(A629="","",IFERROR(INDEX('자료_한국심리'!$N$3:$N$4002,MATCH(A629,$Y$19:$Y$4018,0)),H628))</f>
        <v/>
      </c>
      <c r="I629" s="31">
        <f>IF(AND(ISNUMBER(H629),ISNUMBER(H609)),IF(H609&gt;0,H629/H609-1,""),"")</f>
        <v/>
      </c>
      <c r="J629">
        <f>IF(A629="",0,IF(A629&gt;$B$5,1,0))</f>
        <v/>
      </c>
      <c r="K629" s="29">
        <f>IF(AND(J629=1,ISNUMBER(D629)),D629,"")</f>
        <v/>
      </c>
      <c r="L629" s="30">
        <f>IF(AND(J629=1,ISNUMBER(G629)),G629,"")</f>
        <v/>
      </c>
      <c r="M629" s="22">
        <f>IF(AND(J629=1,ISNUMBER(C629)),C629,"")</f>
        <v/>
      </c>
      <c r="N629" s="31">
        <f>IF(AND(J629=1,ISNUMBER(I629)),I629,"")</f>
        <v/>
      </c>
      <c r="O629" s="11">
        <f>IF(K629="","",100-IF($G$13=1,50,(_xlfn.RANK.AVG(K629,$K$19:$K$1518,1)-1)/($G$13-1)*100))</f>
        <v/>
      </c>
      <c r="P629" s="11">
        <f>IF(L629="","",100-IF($G$14=1,50,(_xlfn.RANK.AVG(L629,$L$19:$L$1518,1)-1)/($G$14-1)*100))</f>
        <v/>
      </c>
      <c r="Q629" s="11">
        <f>IF(M629="","",IF($G$15=1,50,(_xlfn.RANK.AVG(M629,$M$19:$M$1518,1)-1)/($G$15-1)*100))</f>
        <v/>
      </c>
      <c r="R629" s="11">
        <f>IF(N629="","",IF($G$16=1,50,(_xlfn.RANK.AVG(N629,$N$19:$N$1518,1)-1)/($G$16-1)*100))</f>
        <v/>
      </c>
      <c r="S629" s="11">
        <f>IF(COUNT(O629:R629)=4,ROUND(AVERAGE(O629:R629),6),"")</f>
        <v/>
      </c>
      <c r="U629">
        <f>IF(AND(ISNUMBER('자료_한국심리'!$A613),ISNUMBER('자료_한국심리'!$B613)),'자료_한국심리'!$A613,"")</f>
        <v/>
      </c>
      <c r="V629">
        <f>IF(AND(ISNUMBER('자료_한국심리'!$D613),ISNUMBER('자료_한국심리'!$E613)),'자료_한국심리'!$D613,"")</f>
        <v/>
      </c>
      <c r="W629">
        <f>IF(AND(ISNUMBER('자료_한국심리'!$G613),ISNUMBER('자료_한국심리'!$H613)),'자료_한국심리'!$G613,"")</f>
        <v/>
      </c>
      <c r="X629">
        <f>IF(AND(ISNUMBER('자료_한국심리'!$J613),ISNUMBER('자료_한국심리'!$K613)),'자료_한국심리'!$J613,"")</f>
        <v/>
      </c>
      <c r="Y629">
        <f>IF(AND(ISNUMBER('자료_한국심리'!$M613),ISNUMBER('자료_한국심리'!$N613)),'자료_한국심리'!$M613,"")</f>
        <v/>
      </c>
    </row>
    <row r="630">
      <c r="A630" s="10">
        <f>IF(612&gt;$E$5,"",SMALL($U$19:$U$4018,$E$6+612))</f>
        <v/>
      </c>
      <c r="B630" s="29">
        <f>IF(A630="","",INDEX('자료_한국심리'!$B$3:$B$4002,MATCH(A630,$U$19:$U$4018,0)))</f>
        <v/>
      </c>
      <c r="C630" s="22">
        <f>IF(A630="","",B630/AVERAGE(B506:B630)-1)</f>
        <v/>
      </c>
      <c r="D630" s="29">
        <f>IF(A630="","",IFERROR(INDEX('자료_한국심리'!$E$3:$E$4002,MATCH(A630,$V$19:$V$4018,0)),D629))</f>
        <v/>
      </c>
      <c r="E630" s="30">
        <f>IF(A630="","",IFERROR(INDEX('자료_한국심리'!$H$3:$H$4002,MATCH(A630,$W$19:$W$4018,0)),E629))</f>
        <v/>
      </c>
      <c r="F630" s="30">
        <f>IF(A630="","",IFERROR(INDEX('자료_한국심리'!$K$3:$K$4002,MATCH(A630,$X$19:$X$4018,0)),F629))</f>
        <v/>
      </c>
      <c r="G630" s="30">
        <f>IF(AND(ISNUMBER(E630),ISNUMBER(F630)),ROUND(E630-F630,6),"")</f>
        <v/>
      </c>
      <c r="H630" s="25">
        <f>IF(A630="","",IFERROR(INDEX('자료_한국심리'!$N$3:$N$4002,MATCH(A630,$Y$19:$Y$4018,0)),H629))</f>
        <v/>
      </c>
      <c r="I630" s="31">
        <f>IF(AND(ISNUMBER(H630),ISNUMBER(H610)),IF(H610&gt;0,H630/H610-1,""),"")</f>
        <v/>
      </c>
      <c r="J630">
        <f>IF(A630="",0,IF(A630&gt;$B$5,1,0))</f>
        <v/>
      </c>
      <c r="K630" s="29">
        <f>IF(AND(J630=1,ISNUMBER(D630)),D630,"")</f>
        <v/>
      </c>
      <c r="L630" s="30">
        <f>IF(AND(J630=1,ISNUMBER(G630)),G630,"")</f>
        <v/>
      </c>
      <c r="M630" s="22">
        <f>IF(AND(J630=1,ISNUMBER(C630)),C630,"")</f>
        <v/>
      </c>
      <c r="N630" s="31">
        <f>IF(AND(J630=1,ISNUMBER(I630)),I630,"")</f>
        <v/>
      </c>
      <c r="O630" s="11">
        <f>IF(K630="","",100-IF($G$13=1,50,(_xlfn.RANK.AVG(K630,$K$19:$K$1518,1)-1)/($G$13-1)*100))</f>
        <v/>
      </c>
      <c r="P630" s="11">
        <f>IF(L630="","",100-IF($G$14=1,50,(_xlfn.RANK.AVG(L630,$L$19:$L$1518,1)-1)/($G$14-1)*100))</f>
        <v/>
      </c>
      <c r="Q630" s="11">
        <f>IF(M630="","",IF($G$15=1,50,(_xlfn.RANK.AVG(M630,$M$19:$M$1518,1)-1)/($G$15-1)*100))</f>
        <v/>
      </c>
      <c r="R630" s="11">
        <f>IF(N630="","",IF($G$16=1,50,(_xlfn.RANK.AVG(N630,$N$19:$N$1518,1)-1)/($G$16-1)*100))</f>
        <v/>
      </c>
      <c r="S630" s="11">
        <f>IF(COUNT(O630:R630)=4,ROUND(AVERAGE(O630:R630),6),"")</f>
        <v/>
      </c>
      <c r="U630">
        <f>IF(AND(ISNUMBER('자료_한국심리'!$A614),ISNUMBER('자료_한국심리'!$B614)),'자료_한국심리'!$A614,"")</f>
        <v/>
      </c>
      <c r="V630">
        <f>IF(AND(ISNUMBER('자료_한국심리'!$D614),ISNUMBER('자료_한국심리'!$E614)),'자료_한국심리'!$D614,"")</f>
        <v/>
      </c>
      <c r="W630">
        <f>IF(AND(ISNUMBER('자료_한국심리'!$G614),ISNUMBER('자료_한국심리'!$H614)),'자료_한국심리'!$G614,"")</f>
        <v/>
      </c>
      <c r="X630">
        <f>IF(AND(ISNUMBER('자료_한국심리'!$J614),ISNUMBER('자료_한국심리'!$K614)),'자료_한국심리'!$J614,"")</f>
        <v/>
      </c>
      <c r="Y630">
        <f>IF(AND(ISNUMBER('자료_한국심리'!$M614),ISNUMBER('자료_한국심리'!$N614)),'자료_한국심리'!$M614,"")</f>
        <v/>
      </c>
    </row>
    <row r="631">
      <c r="A631" s="10">
        <f>IF(613&gt;$E$5,"",SMALL($U$19:$U$4018,$E$6+613))</f>
        <v/>
      </c>
      <c r="B631" s="29">
        <f>IF(A631="","",INDEX('자료_한국심리'!$B$3:$B$4002,MATCH(A631,$U$19:$U$4018,0)))</f>
        <v/>
      </c>
      <c r="C631" s="22">
        <f>IF(A631="","",B631/AVERAGE(B507:B631)-1)</f>
        <v/>
      </c>
      <c r="D631" s="29">
        <f>IF(A631="","",IFERROR(INDEX('자료_한국심리'!$E$3:$E$4002,MATCH(A631,$V$19:$V$4018,0)),D630))</f>
        <v/>
      </c>
      <c r="E631" s="30">
        <f>IF(A631="","",IFERROR(INDEX('자료_한국심리'!$H$3:$H$4002,MATCH(A631,$W$19:$W$4018,0)),E630))</f>
        <v/>
      </c>
      <c r="F631" s="30">
        <f>IF(A631="","",IFERROR(INDEX('자료_한국심리'!$K$3:$K$4002,MATCH(A631,$X$19:$X$4018,0)),F630))</f>
        <v/>
      </c>
      <c r="G631" s="30">
        <f>IF(AND(ISNUMBER(E631),ISNUMBER(F631)),ROUND(E631-F631,6),"")</f>
        <v/>
      </c>
      <c r="H631" s="25">
        <f>IF(A631="","",IFERROR(INDEX('자료_한국심리'!$N$3:$N$4002,MATCH(A631,$Y$19:$Y$4018,0)),H630))</f>
        <v/>
      </c>
      <c r="I631" s="31">
        <f>IF(AND(ISNUMBER(H631),ISNUMBER(H611)),IF(H611&gt;0,H631/H611-1,""),"")</f>
        <v/>
      </c>
      <c r="J631">
        <f>IF(A631="",0,IF(A631&gt;$B$5,1,0))</f>
        <v/>
      </c>
      <c r="K631" s="29">
        <f>IF(AND(J631=1,ISNUMBER(D631)),D631,"")</f>
        <v/>
      </c>
      <c r="L631" s="30">
        <f>IF(AND(J631=1,ISNUMBER(G631)),G631,"")</f>
        <v/>
      </c>
      <c r="M631" s="22">
        <f>IF(AND(J631=1,ISNUMBER(C631)),C631,"")</f>
        <v/>
      </c>
      <c r="N631" s="31">
        <f>IF(AND(J631=1,ISNUMBER(I631)),I631,"")</f>
        <v/>
      </c>
      <c r="O631" s="11">
        <f>IF(K631="","",100-IF($G$13=1,50,(_xlfn.RANK.AVG(K631,$K$19:$K$1518,1)-1)/($G$13-1)*100))</f>
        <v/>
      </c>
      <c r="P631" s="11">
        <f>IF(L631="","",100-IF($G$14=1,50,(_xlfn.RANK.AVG(L631,$L$19:$L$1518,1)-1)/($G$14-1)*100))</f>
        <v/>
      </c>
      <c r="Q631" s="11">
        <f>IF(M631="","",IF($G$15=1,50,(_xlfn.RANK.AVG(M631,$M$19:$M$1518,1)-1)/($G$15-1)*100))</f>
        <v/>
      </c>
      <c r="R631" s="11">
        <f>IF(N631="","",IF($G$16=1,50,(_xlfn.RANK.AVG(N631,$N$19:$N$1518,1)-1)/($G$16-1)*100))</f>
        <v/>
      </c>
      <c r="S631" s="11">
        <f>IF(COUNT(O631:R631)=4,ROUND(AVERAGE(O631:R631),6),"")</f>
        <v/>
      </c>
      <c r="U631">
        <f>IF(AND(ISNUMBER('자료_한국심리'!$A615),ISNUMBER('자료_한국심리'!$B615)),'자료_한국심리'!$A615,"")</f>
        <v/>
      </c>
      <c r="V631">
        <f>IF(AND(ISNUMBER('자료_한국심리'!$D615),ISNUMBER('자료_한국심리'!$E615)),'자료_한국심리'!$D615,"")</f>
        <v/>
      </c>
      <c r="W631">
        <f>IF(AND(ISNUMBER('자료_한국심리'!$G615),ISNUMBER('자료_한국심리'!$H615)),'자료_한국심리'!$G615,"")</f>
        <v/>
      </c>
      <c r="X631">
        <f>IF(AND(ISNUMBER('자료_한국심리'!$J615),ISNUMBER('자료_한국심리'!$K615)),'자료_한국심리'!$J615,"")</f>
        <v/>
      </c>
      <c r="Y631">
        <f>IF(AND(ISNUMBER('자료_한국심리'!$M615),ISNUMBER('자료_한국심리'!$N615)),'자료_한국심리'!$M615,"")</f>
        <v/>
      </c>
    </row>
    <row r="632">
      <c r="A632" s="10">
        <f>IF(614&gt;$E$5,"",SMALL($U$19:$U$4018,$E$6+614))</f>
        <v/>
      </c>
      <c r="B632" s="29">
        <f>IF(A632="","",INDEX('자료_한국심리'!$B$3:$B$4002,MATCH(A632,$U$19:$U$4018,0)))</f>
        <v/>
      </c>
      <c r="C632" s="22">
        <f>IF(A632="","",B632/AVERAGE(B508:B632)-1)</f>
        <v/>
      </c>
      <c r="D632" s="29">
        <f>IF(A632="","",IFERROR(INDEX('자료_한국심리'!$E$3:$E$4002,MATCH(A632,$V$19:$V$4018,0)),D631))</f>
        <v/>
      </c>
      <c r="E632" s="30">
        <f>IF(A632="","",IFERROR(INDEX('자료_한국심리'!$H$3:$H$4002,MATCH(A632,$W$19:$W$4018,0)),E631))</f>
        <v/>
      </c>
      <c r="F632" s="30">
        <f>IF(A632="","",IFERROR(INDEX('자료_한국심리'!$K$3:$K$4002,MATCH(A632,$X$19:$X$4018,0)),F631))</f>
        <v/>
      </c>
      <c r="G632" s="30">
        <f>IF(AND(ISNUMBER(E632),ISNUMBER(F632)),ROUND(E632-F632,6),"")</f>
        <v/>
      </c>
      <c r="H632" s="25">
        <f>IF(A632="","",IFERROR(INDEX('자료_한국심리'!$N$3:$N$4002,MATCH(A632,$Y$19:$Y$4018,0)),H631))</f>
        <v/>
      </c>
      <c r="I632" s="31">
        <f>IF(AND(ISNUMBER(H632),ISNUMBER(H612)),IF(H612&gt;0,H632/H612-1,""),"")</f>
        <v/>
      </c>
      <c r="J632">
        <f>IF(A632="",0,IF(A632&gt;$B$5,1,0))</f>
        <v/>
      </c>
      <c r="K632" s="29">
        <f>IF(AND(J632=1,ISNUMBER(D632)),D632,"")</f>
        <v/>
      </c>
      <c r="L632" s="30">
        <f>IF(AND(J632=1,ISNUMBER(G632)),G632,"")</f>
        <v/>
      </c>
      <c r="M632" s="22">
        <f>IF(AND(J632=1,ISNUMBER(C632)),C632,"")</f>
        <v/>
      </c>
      <c r="N632" s="31">
        <f>IF(AND(J632=1,ISNUMBER(I632)),I632,"")</f>
        <v/>
      </c>
      <c r="O632" s="11">
        <f>IF(K632="","",100-IF($G$13=1,50,(_xlfn.RANK.AVG(K632,$K$19:$K$1518,1)-1)/($G$13-1)*100))</f>
        <v/>
      </c>
      <c r="P632" s="11">
        <f>IF(L632="","",100-IF($G$14=1,50,(_xlfn.RANK.AVG(L632,$L$19:$L$1518,1)-1)/($G$14-1)*100))</f>
        <v/>
      </c>
      <c r="Q632" s="11">
        <f>IF(M632="","",IF($G$15=1,50,(_xlfn.RANK.AVG(M632,$M$19:$M$1518,1)-1)/($G$15-1)*100))</f>
        <v/>
      </c>
      <c r="R632" s="11">
        <f>IF(N632="","",IF($G$16=1,50,(_xlfn.RANK.AVG(N632,$N$19:$N$1518,1)-1)/($G$16-1)*100))</f>
        <v/>
      </c>
      <c r="S632" s="11">
        <f>IF(COUNT(O632:R632)=4,ROUND(AVERAGE(O632:R632),6),"")</f>
        <v/>
      </c>
      <c r="U632">
        <f>IF(AND(ISNUMBER('자료_한국심리'!$A616),ISNUMBER('자료_한국심리'!$B616)),'자료_한국심리'!$A616,"")</f>
        <v/>
      </c>
      <c r="V632">
        <f>IF(AND(ISNUMBER('자료_한국심리'!$D616),ISNUMBER('자료_한국심리'!$E616)),'자료_한국심리'!$D616,"")</f>
        <v/>
      </c>
      <c r="W632">
        <f>IF(AND(ISNUMBER('자료_한국심리'!$G616),ISNUMBER('자료_한국심리'!$H616)),'자료_한국심리'!$G616,"")</f>
        <v/>
      </c>
      <c r="X632">
        <f>IF(AND(ISNUMBER('자료_한국심리'!$J616),ISNUMBER('자료_한국심리'!$K616)),'자료_한국심리'!$J616,"")</f>
        <v/>
      </c>
      <c r="Y632">
        <f>IF(AND(ISNUMBER('자료_한국심리'!$M616),ISNUMBER('자료_한국심리'!$N616)),'자료_한국심리'!$M616,"")</f>
        <v/>
      </c>
    </row>
    <row r="633">
      <c r="A633" s="10">
        <f>IF(615&gt;$E$5,"",SMALL($U$19:$U$4018,$E$6+615))</f>
        <v/>
      </c>
      <c r="B633" s="29">
        <f>IF(A633="","",INDEX('자료_한국심리'!$B$3:$B$4002,MATCH(A633,$U$19:$U$4018,0)))</f>
        <v/>
      </c>
      <c r="C633" s="22">
        <f>IF(A633="","",B633/AVERAGE(B509:B633)-1)</f>
        <v/>
      </c>
      <c r="D633" s="29">
        <f>IF(A633="","",IFERROR(INDEX('자료_한국심리'!$E$3:$E$4002,MATCH(A633,$V$19:$V$4018,0)),D632))</f>
        <v/>
      </c>
      <c r="E633" s="30">
        <f>IF(A633="","",IFERROR(INDEX('자료_한국심리'!$H$3:$H$4002,MATCH(A633,$W$19:$W$4018,0)),E632))</f>
        <v/>
      </c>
      <c r="F633" s="30">
        <f>IF(A633="","",IFERROR(INDEX('자료_한국심리'!$K$3:$K$4002,MATCH(A633,$X$19:$X$4018,0)),F632))</f>
        <v/>
      </c>
      <c r="G633" s="30">
        <f>IF(AND(ISNUMBER(E633),ISNUMBER(F633)),ROUND(E633-F633,6),"")</f>
        <v/>
      </c>
      <c r="H633" s="25">
        <f>IF(A633="","",IFERROR(INDEX('자료_한국심리'!$N$3:$N$4002,MATCH(A633,$Y$19:$Y$4018,0)),H632))</f>
        <v/>
      </c>
      <c r="I633" s="31">
        <f>IF(AND(ISNUMBER(H633),ISNUMBER(H613)),IF(H613&gt;0,H633/H613-1,""),"")</f>
        <v/>
      </c>
      <c r="J633">
        <f>IF(A633="",0,IF(A633&gt;$B$5,1,0))</f>
        <v/>
      </c>
      <c r="K633" s="29">
        <f>IF(AND(J633=1,ISNUMBER(D633)),D633,"")</f>
        <v/>
      </c>
      <c r="L633" s="30">
        <f>IF(AND(J633=1,ISNUMBER(G633)),G633,"")</f>
        <v/>
      </c>
      <c r="M633" s="22">
        <f>IF(AND(J633=1,ISNUMBER(C633)),C633,"")</f>
        <v/>
      </c>
      <c r="N633" s="31">
        <f>IF(AND(J633=1,ISNUMBER(I633)),I633,"")</f>
        <v/>
      </c>
      <c r="O633" s="11">
        <f>IF(K633="","",100-IF($G$13=1,50,(_xlfn.RANK.AVG(K633,$K$19:$K$1518,1)-1)/($G$13-1)*100))</f>
        <v/>
      </c>
      <c r="P633" s="11">
        <f>IF(L633="","",100-IF($G$14=1,50,(_xlfn.RANK.AVG(L633,$L$19:$L$1518,1)-1)/($G$14-1)*100))</f>
        <v/>
      </c>
      <c r="Q633" s="11">
        <f>IF(M633="","",IF($G$15=1,50,(_xlfn.RANK.AVG(M633,$M$19:$M$1518,1)-1)/($G$15-1)*100))</f>
        <v/>
      </c>
      <c r="R633" s="11">
        <f>IF(N633="","",IF($G$16=1,50,(_xlfn.RANK.AVG(N633,$N$19:$N$1518,1)-1)/($G$16-1)*100))</f>
        <v/>
      </c>
      <c r="S633" s="11">
        <f>IF(COUNT(O633:R633)=4,ROUND(AVERAGE(O633:R633),6),"")</f>
        <v/>
      </c>
      <c r="U633">
        <f>IF(AND(ISNUMBER('자료_한국심리'!$A617),ISNUMBER('자료_한국심리'!$B617)),'자료_한국심리'!$A617,"")</f>
        <v/>
      </c>
      <c r="V633">
        <f>IF(AND(ISNUMBER('자료_한국심리'!$D617),ISNUMBER('자료_한국심리'!$E617)),'자료_한국심리'!$D617,"")</f>
        <v/>
      </c>
      <c r="W633">
        <f>IF(AND(ISNUMBER('자료_한국심리'!$G617),ISNUMBER('자료_한국심리'!$H617)),'자료_한국심리'!$G617,"")</f>
        <v/>
      </c>
      <c r="X633">
        <f>IF(AND(ISNUMBER('자료_한국심리'!$J617),ISNUMBER('자료_한국심리'!$K617)),'자료_한국심리'!$J617,"")</f>
        <v/>
      </c>
      <c r="Y633">
        <f>IF(AND(ISNUMBER('자료_한국심리'!$M617),ISNUMBER('자료_한국심리'!$N617)),'자료_한국심리'!$M617,"")</f>
        <v/>
      </c>
    </row>
    <row r="634">
      <c r="A634" s="10">
        <f>IF(616&gt;$E$5,"",SMALL($U$19:$U$4018,$E$6+616))</f>
        <v/>
      </c>
      <c r="B634" s="29">
        <f>IF(A634="","",INDEX('자료_한국심리'!$B$3:$B$4002,MATCH(A634,$U$19:$U$4018,0)))</f>
        <v/>
      </c>
      <c r="C634" s="22">
        <f>IF(A634="","",B634/AVERAGE(B510:B634)-1)</f>
        <v/>
      </c>
      <c r="D634" s="29">
        <f>IF(A634="","",IFERROR(INDEX('자료_한국심리'!$E$3:$E$4002,MATCH(A634,$V$19:$V$4018,0)),D633))</f>
        <v/>
      </c>
      <c r="E634" s="30">
        <f>IF(A634="","",IFERROR(INDEX('자료_한국심리'!$H$3:$H$4002,MATCH(A634,$W$19:$W$4018,0)),E633))</f>
        <v/>
      </c>
      <c r="F634" s="30">
        <f>IF(A634="","",IFERROR(INDEX('자료_한국심리'!$K$3:$K$4002,MATCH(A634,$X$19:$X$4018,0)),F633))</f>
        <v/>
      </c>
      <c r="G634" s="30">
        <f>IF(AND(ISNUMBER(E634),ISNUMBER(F634)),ROUND(E634-F634,6),"")</f>
        <v/>
      </c>
      <c r="H634" s="25">
        <f>IF(A634="","",IFERROR(INDEX('자료_한국심리'!$N$3:$N$4002,MATCH(A634,$Y$19:$Y$4018,0)),H633))</f>
        <v/>
      </c>
      <c r="I634" s="31">
        <f>IF(AND(ISNUMBER(H634),ISNUMBER(H614)),IF(H614&gt;0,H634/H614-1,""),"")</f>
        <v/>
      </c>
      <c r="J634">
        <f>IF(A634="",0,IF(A634&gt;$B$5,1,0))</f>
        <v/>
      </c>
      <c r="K634" s="29">
        <f>IF(AND(J634=1,ISNUMBER(D634)),D634,"")</f>
        <v/>
      </c>
      <c r="L634" s="30">
        <f>IF(AND(J634=1,ISNUMBER(G634)),G634,"")</f>
        <v/>
      </c>
      <c r="M634" s="22">
        <f>IF(AND(J634=1,ISNUMBER(C634)),C634,"")</f>
        <v/>
      </c>
      <c r="N634" s="31">
        <f>IF(AND(J634=1,ISNUMBER(I634)),I634,"")</f>
        <v/>
      </c>
      <c r="O634" s="11">
        <f>IF(K634="","",100-IF($G$13=1,50,(_xlfn.RANK.AVG(K634,$K$19:$K$1518,1)-1)/($G$13-1)*100))</f>
        <v/>
      </c>
      <c r="P634" s="11">
        <f>IF(L634="","",100-IF($G$14=1,50,(_xlfn.RANK.AVG(L634,$L$19:$L$1518,1)-1)/($G$14-1)*100))</f>
        <v/>
      </c>
      <c r="Q634" s="11">
        <f>IF(M634="","",IF($G$15=1,50,(_xlfn.RANK.AVG(M634,$M$19:$M$1518,1)-1)/($G$15-1)*100))</f>
        <v/>
      </c>
      <c r="R634" s="11">
        <f>IF(N634="","",IF($G$16=1,50,(_xlfn.RANK.AVG(N634,$N$19:$N$1518,1)-1)/($G$16-1)*100))</f>
        <v/>
      </c>
      <c r="S634" s="11">
        <f>IF(COUNT(O634:R634)=4,ROUND(AVERAGE(O634:R634),6),"")</f>
        <v/>
      </c>
      <c r="U634">
        <f>IF(AND(ISNUMBER('자료_한국심리'!$A618),ISNUMBER('자료_한국심리'!$B618)),'자료_한국심리'!$A618,"")</f>
        <v/>
      </c>
      <c r="V634">
        <f>IF(AND(ISNUMBER('자료_한국심리'!$D618),ISNUMBER('자료_한국심리'!$E618)),'자료_한국심리'!$D618,"")</f>
        <v/>
      </c>
      <c r="W634">
        <f>IF(AND(ISNUMBER('자료_한국심리'!$G618),ISNUMBER('자료_한국심리'!$H618)),'자료_한국심리'!$G618,"")</f>
        <v/>
      </c>
      <c r="X634">
        <f>IF(AND(ISNUMBER('자료_한국심리'!$J618),ISNUMBER('자료_한국심리'!$K618)),'자료_한국심리'!$J618,"")</f>
        <v/>
      </c>
      <c r="Y634">
        <f>IF(AND(ISNUMBER('자료_한국심리'!$M618),ISNUMBER('자료_한국심리'!$N618)),'자료_한국심리'!$M618,"")</f>
        <v/>
      </c>
    </row>
    <row r="635">
      <c r="A635" s="10">
        <f>IF(617&gt;$E$5,"",SMALL($U$19:$U$4018,$E$6+617))</f>
        <v/>
      </c>
      <c r="B635" s="29">
        <f>IF(A635="","",INDEX('자료_한국심리'!$B$3:$B$4002,MATCH(A635,$U$19:$U$4018,0)))</f>
        <v/>
      </c>
      <c r="C635" s="22">
        <f>IF(A635="","",B635/AVERAGE(B511:B635)-1)</f>
        <v/>
      </c>
      <c r="D635" s="29">
        <f>IF(A635="","",IFERROR(INDEX('자료_한국심리'!$E$3:$E$4002,MATCH(A635,$V$19:$V$4018,0)),D634))</f>
        <v/>
      </c>
      <c r="E635" s="30">
        <f>IF(A635="","",IFERROR(INDEX('자료_한국심리'!$H$3:$H$4002,MATCH(A635,$W$19:$W$4018,0)),E634))</f>
        <v/>
      </c>
      <c r="F635" s="30">
        <f>IF(A635="","",IFERROR(INDEX('자료_한국심리'!$K$3:$K$4002,MATCH(A635,$X$19:$X$4018,0)),F634))</f>
        <v/>
      </c>
      <c r="G635" s="30">
        <f>IF(AND(ISNUMBER(E635),ISNUMBER(F635)),ROUND(E635-F635,6),"")</f>
        <v/>
      </c>
      <c r="H635" s="25">
        <f>IF(A635="","",IFERROR(INDEX('자료_한국심리'!$N$3:$N$4002,MATCH(A635,$Y$19:$Y$4018,0)),H634))</f>
        <v/>
      </c>
      <c r="I635" s="31">
        <f>IF(AND(ISNUMBER(H635),ISNUMBER(H615)),IF(H615&gt;0,H635/H615-1,""),"")</f>
        <v/>
      </c>
      <c r="J635">
        <f>IF(A635="",0,IF(A635&gt;$B$5,1,0))</f>
        <v/>
      </c>
      <c r="K635" s="29">
        <f>IF(AND(J635=1,ISNUMBER(D635)),D635,"")</f>
        <v/>
      </c>
      <c r="L635" s="30">
        <f>IF(AND(J635=1,ISNUMBER(G635)),G635,"")</f>
        <v/>
      </c>
      <c r="M635" s="22">
        <f>IF(AND(J635=1,ISNUMBER(C635)),C635,"")</f>
        <v/>
      </c>
      <c r="N635" s="31">
        <f>IF(AND(J635=1,ISNUMBER(I635)),I635,"")</f>
        <v/>
      </c>
      <c r="O635" s="11">
        <f>IF(K635="","",100-IF($G$13=1,50,(_xlfn.RANK.AVG(K635,$K$19:$K$1518,1)-1)/($G$13-1)*100))</f>
        <v/>
      </c>
      <c r="P635" s="11">
        <f>IF(L635="","",100-IF($G$14=1,50,(_xlfn.RANK.AVG(L635,$L$19:$L$1518,1)-1)/($G$14-1)*100))</f>
        <v/>
      </c>
      <c r="Q635" s="11">
        <f>IF(M635="","",IF($G$15=1,50,(_xlfn.RANK.AVG(M635,$M$19:$M$1518,1)-1)/($G$15-1)*100))</f>
        <v/>
      </c>
      <c r="R635" s="11">
        <f>IF(N635="","",IF($G$16=1,50,(_xlfn.RANK.AVG(N635,$N$19:$N$1518,1)-1)/($G$16-1)*100))</f>
        <v/>
      </c>
      <c r="S635" s="11">
        <f>IF(COUNT(O635:R635)=4,ROUND(AVERAGE(O635:R635),6),"")</f>
        <v/>
      </c>
      <c r="U635">
        <f>IF(AND(ISNUMBER('자료_한국심리'!$A619),ISNUMBER('자료_한국심리'!$B619)),'자료_한국심리'!$A619,"")</f>
        <v/>
      </c>
      <c r="V635">
        <f>IF(AND(ISNUMBER('자료_한국심리'!$D619),ISNUMBER('자료_한국심리'!$E619)),'자료_한국심리'!$D619,"")</f>
        <v/>
      </c>
      <c r="W635">
        <f>IF(AND(ISNUMBER('자료_한국심리'!$G619),ISNUMBER('자료_한국심리'!$H619)),'자료_한국심리'!$G619,"")</f>
        <v/>
      </c>
      <c r="X635">
        <f>IF(AND(ISNUMBER('자료_한국심리'!$J619),ISNUMBER('자료_한국심리'!$K619)),'자료_한국심리'!$J619,"")</f>
        <v/>
      </c>
      <c r="Y635">
        <f>IF(AND(ISNUMBER('자료_한국심리'!$M619),ISNUMBER('자료_한국심리'!$N619)),'자료_한국심리'!$M619,"")</f>
        <v/>
      </c>
    </row>
    <row r="636">
      <c r="A636" s="10">
        <f>IF(618&gt;$E$5,"",SMALL($U$19:$U$4018,$E$6+618))</f>
        <v/>
      </c>
      <c r="B636" s="29">
        <f>IF(A636="","",INDEX('자료_한국심리'!$B$3:$B$4002,MATCH(A636,$U$19:$U$4018,0)))</f>
        <v/>
      </c>
      <c r="C636" s="22">
        <f>IF(A636="","",B636/AVERAGE(B512:B636)-1)</f>
        <v/>
      </c>
      <c r="D636" s="29">
        <f>IF(A636="","",IFERROR(INDEX('자료_한국심리'!$E$3:$E$4002,MATCH(A636,$V$19:$V$4018,0)),D635))</f>
        <v/>
      </c>
      <c r="E636" s="30">
        <f>IF(A636="","",IFERROR(INDEX('자료_한국심리'!$H$3:$H$4002,MATCH(A636,$W$19:$W$4018,0)),E635))</f>
        <v/>
      </c>
      <c r="F636" s="30">
        <f>IF(A636="","",IFERROR(INDEX('자료_한국심리'!$K$3:$K$4002,MATCH(A636,$X$19:$X$4018,0)),F635))</f>
        <v/>
      </c>
      <c r="G636" s="30">
        <f>IF(AND(ISNUMBER(E636),ISNUMBER(F636)),ROUND(E636-F636,6),"")</f>
        <v/>
      </c>
      <c r="H636" s="25">
        <f>IF(A636="","",IFERROR(INDEX('자료_한국심리'!$N$3:$N$4002,MATCH(A636,$Y$19:$Y$4018,0)),H635))</f>
        <v/>
      </c>
      <c r="I636" s="31">
        <f>IF(AND(ISNUMBER(H636),ISNUMBER(H616)),IF(H616&gt;0,H636/H616-1,""),"")</f>
        <v/>
      </c>
      <c r="J636">
        <f>IF(A636="",0,IF(A636&gt;$B$5,1,0))</f>
        <v/>
      </c>
      <c r="K636" s="29">
        <f>IF(AND(J636=1,ISNUMBER(D636)),D636,"")</f>
        <v/>
      </c>
      <c r="L636" s="30">
        <f>IF(AND(J636=1,ISNUMBER(G636)),G636,"")</f>
        <v/>
      </c>
      <c r="M636" s="22">
        <f>IF(AND(J636=1,ISNUMBER(C636)),C636,"")</f>
        <v/>
      </c>
      <c r="N636" s="31">
        <f>IF(AND(J636=1,ISNUMBER(I636)),I636,"")</f>
        <v/>
      </c>
      <c r="O636" s="11">
        <f>IF(K636="","",100-IF($G$13=1,50,(_xlfn.RANK.AVG(K636,$K$19:$K$1518,1)-1)/($G$13-1)*100))</f>
        <v/>
      </c>
      <c r="P636" s="11">
        <f>IF(L636="","",100-IF($G$14=1,50,(_xlfn.RANK.AVG(L636,$L$19:$L$1518,1)-1)/($G$14-1)*100))</f>
        <v/>
      </c>
      <c r="Q636" s="11">
        <f>IF(M636="","",IF($G$15=1,50,(_xlfn.RANK.AVG(M636,$M$19:$M$1518,1)-1)/($G$15-1)*100))</f>
        <v/>
      </c>
      <c r="R636" s="11">
        <f>IF(N636="","",IF($G$16=1,50,(_xlfn.RANK.AVG(N636,$N$19:$N$1518,1)-1)/($G$16-1)*100))</f>
        <v/>
      </c>
      <c r="S636" s="11">
        <f>IF(COUNT(O636:R636)=4,ROUND(AVERAGE(O636:R636),6),"")</f>
        <v/>
      </c>
      <c r="U636">
        <f>IF(AND(ISNUMBER('자료_한국심리'!$A620),ISNUMBER('자료_한국심리'!$B620)),'자료_한국심리'!$A620,"")</f>
        <v/>
      </c>
      <c r="V636">
        <f>IF(AND(ISNUMBER('자료_한국심리'!$D620),ISNUMBER('자료_한국심리'!$E620)),'자료_한국심리'!$D620,"")</f>
        <v/>
      </c>
      <c r="W636">
        <f>IF(AND(ISNUMBER('자료_한국심리'!$G620),ISNUMBER('자료_한국심리'!$H620)),'자료_한국심리'!$G620,"")</f>
        <v/>
      </c>
      <c r="X636">
        <f>IF(AND(ISNUMBER('자료_한국심리'!$J620),ISNUMBER('자료_한국심리'!$K620)),'자료_한국심리'!$J620,"")</f>
        <v/>
      </c>
      <c r="Y636">
        <f>IF(AND(ISNUMBER('자료_한국심리'!$M620),ISNUMBER('자료_한국심리'!$N620)),'자료_한국심리'!$M620,"")</f>
        <v/>
      </c>
    </row>
    <row r="637">
      <c r="A637" s="10">
        <f>IF(619&gt;$E$5,"",SMALL($U$19:$U$4018,$E$6+619))</f>
        <v/>
      </c>
      <c r="B637" s="29">
        <f>IF(A637="","",INDEX('자료_한국심리'!$B$3:$B$4002,MATCH(A637,$U$19:$U$4018,0)))</f>
        <v/>
      </c>
      <c r="C637" s="22">
        <f>IF(A637="","",B637/AVERAGE(B513:B637)-1)</f>
        <v/>
      </c>
      <c r="D637" s="29">
        <f>IF(A637="","",IFERROR(INDEX('자료_한국심리'!$E$3:$E$4002,MATCH(A637,$V$19:$V$4018,0)),D636))</f>
        <v/>
      </c>
      <c r="E637" s="30">
        <f>IF(A637="","",IFERROR(INDEX('자료_한국심리'!$H$3:$H$4002,MATCH(A637,$W$19:$W$4018,0)),E636))</f>
        <v/>
      </c>
      <c r="F637" s="30">
        <f>IF(A637="","",IFERROR(INDEX('자료_한국심리'!$K$3:$K$4002,MATCH(A637,$X$19:$X$4018,0)),F636))</f>
        <v/>
      </c>
      <c r="G637" s="30">
        <f>IF(AND(ISNUMBER(E637),ISNUMBER(F637)),ROUND(E637-F637,6),"")</f>
        <v/>
      </c>
      <c r="H637" s="25">
        <f>IF(A637="","",IFERROR(INDEX('자료_한국심리'!$N$3:$N$4002,MATCH(A637,$Y$19:$Y$4018,0)),H636))</f>
        <v/>
      </c>
      <c r="I637" s="31">
        <f>IF(AND(ISNUMBER(H637),ISNUMBER(H617)),IF(H617&gt;0,H637/H617-1,""),"")</f>
        <v/>
      </c>
      <c r="J637">
        <f>IF(A637="",0,IF(A637&gt;$B$5,1,0))</f>
        <v/>
      </c>
      <c r="K637" s="29">
        <f>IF(AND(J637=1,ISNUMBER(D637)),D637,"")</f>
        <v/>
      </c>
      <c r="L637" s="30">
        <f>IF(AND(J637=1,ISNUMBER(G637)),G637,"")</f>
        <v/>
      </c>
      <c r="M637" s="22">
        <f>IF(AND(J637=1,ISNUMBER(C637)),C637,"")</f>
        <v/>
      </c>
      <c r="N637" s="31">
        <f>IF(AND(J637=1,ISNUMBER(I637)),I637,"")</f>
        <v/>
      </c>
      <c r="O637" s="11">
        <f>IF(K637="","",100-IF($G$13=1,50,(_xlfn.RANK.AVG(K637,$K$19:$K$1518,1)-1)/($G$13-1)*100))</f>
        <v/>
      </c>
      <c r="P637" s="11">
        <f>IF(L637="","",100-IF($G$14=1,50,(_xlfn.RANK.AVG(L637,$L$19:$L$1518,1)-1)/($G$14-1)*100))</f>
        <v/>
      </c>
      <c r="Q637" s="11">
        <f>IF(M637="","",IF($G$15=1,50,(_xlfn.RANK.AVG(M637,$M$19:$M$1518,1)-1)/($G$15-1)*100))</f>
        <v/>
      </c>
      <c r="R637" s="11">
        <f>IF(N637="","",IF($G$16=1,50,(_xlfn.RANK.AVG(N637,$N$19:$N$1518,1)-1)/($G$16-1)*100))</f>
        <v/>
      </c>
      <c r="S637" s="11">
        <f>IF(COUNT(O637:R637)=4,ROUND(AVERAGE(O637:R637),6),"")</f>
        <v/>
      </c>
      <c r="U637">
        <f>IF(AND(ISNUMBER('자료_한국심리'!$A621),ISNUMBER('자료_한국심리'!$B621)),'자료_한국심리'!$A621,"")</f>
        <v/>
      </c>
      <c r="V637">
        <f>IF(AND(ISNUMBER('자료_한국심리'!$D621),ISNUMBER('자료_한국심리'!$E621)),'자료_한국심리'!$D621,"")</f>
        <v/>
      </c>
      <c r="W637">
        <f>IF(AND(ISNUMBER('자료_한국심리'!$G621),ISNUMBER('자료_한국심리'!$H621)),'자료_한국심리'!$G621,"")</f>
        <v/>
      </c>
      <c r="X637">
        <f>IF(AND(ISNUMBER('자료_한국심리'!$J621),ISNUMBER('자료_한국심리'!$K621)),'자료_한국심리'!$J621,"")</f>
        <v/>
      </c>
      <c r="Y637">
        <f>IF(AND(ISNUMBER('자료_한국심리'!$M621),ISNUMBER('자료_한국심리'!$N621)),'자료_한국심리'!$M621,"")</f>
        <v/>
      </c>
    </row>
    <row r="638">
      <c r="A638" s="10">
        <f>IF(620&gt;$E$5,"",SMALL($U$19:$U$4018,$E$6+620))</f>
        <v/>
      </c>
      <c r="B638" s="29">
        <f>IF(A638="","",INDEX('자료_한국심리'!$B$3:$B$4002,MATCH(A638,$U$19:$U$4018,0)))</f>
        <v/>
      </c>
      <c r="C638" s="22">
        <f>IF(A638="","",B638/AVERAGE(B514:B638)-1)</f>
        <v/>
      </c>
      <c r="D638" s="29">
        <f>IF(A638="","",IFERROR(INDEX('자료_한국심리'!$E$3:$E$4002,MATCH(A638,$V$19:$V$4018,0)),D637))</f>
        <v/>
      </c>
      <c r="E638" s="30">
        <f>IF(A638="","",IFERROR(INDEX('자료_한국심리'!$H$3:$H$4002,MATCH(A638,$W$19:$W$4018,0)),E637))</f>
        <v/>
      </c>
      <c r="F638" s="30">
        <f>IF(A638="","",IFERROR(INDEX('자료_한국심리'!$K$3:$K$4002,MATCH(A638,$X$19:$X$4018,0)),F637))</f>
        <v/>
      </c>
      <c r="G638" s="30">
        <f>IF(AND(ISNUMBER(E638),ISNUMBER(F638)),ROUND(E638-F638,6),"")</f>
        <v/>
      </c>
      <c r="H638" s="25">
        <f>IF(A638="","",IFERROR(INDEX('자료_한국심리'!$N$3:$N$4002,MATCH(A638,$Y$19:$Y$4018,0)),H637))</f>
        <v/>
      </c>
      <c r="I638" s="31">
        <f>IF(AND(ISNUMBER(H638),ISNUMBER(H618)),IF(H618&gt;0,H638/H618-1,""),"")</f>
        <v/>
      </c>
      <c r="J638">
        <f>IF(A638="",0,IF(A638&gt;$B$5,1,0))</f>
        <v/>
      </c>
      <c r="K638" s="29">
        <f>IF(AND(J638=1,ISNUMBER(D638)),D638,"")</f>
        <v/>
      </c>
      <c r="L638" s="30">
        <f>IF(AND(J638=1,ISNUMBER(G638)),G638,"")</f>
        <v/>
      </c>
      <c r="M638" s="22">
        <f>IF(AND(J638=1,ISNUMBER(C638)),C638,"")</f>
        <v/>
      </c>
      <c r="N638" s="31">
        <f>IF(AND(J638=1,ISNUMBER(I638)),I638,"")</f>
        <v/>
      </c>
      <c r="O638" s="11">
        <f>IF(K638="","",100-IF($G$13=1,50,(_xlfn.RANK.AVG(K638,$K$19:$K$1518,1)-1)/($G$13-1)*100))</f>
        <v/>
      </c>
      <c r="P638" s="11">
        <f>IF(L638="","",100-IF($G$14=1,50,(_xlfn.RANK.AVG(L638,$L$19:$L$1518,1)-1)/($G$14-1)*100))</f>
        <v/>
      </c>
      <c r="Q638" s="11">
        <f>IF(M638="","",IF($G$15=1,50,(_xlfn.RANK.AVG(M638,$M$19:$M$1518,1)-1)/($G$15-1)*100))</f>
        <v/>
      </c>
      <c r="R638" s="11">
        <f>IF(N638="","",IF($G$16=1,50,(_xlfn.RANK.AVG(N638,$N$19:$N$1518,1)-1)/($G$16-1)*100))</f>
        <v/>
      </c>
      <c r="S638" s="11">
        <f>IF(COUNT(O638:R638)=4,ROUND(AVERAGE(O638:R638),6),"")</f>
        <v/>
      </c>
      <c r="U638">
        <f>IF(AND(ISNUMBER('자료_한국심리'!$A622),ISNUMBER('자료_한국심리'!$B622)),'자료_한국심리'!$A622,"")</f>
        <v/>
      </c>
      <c r="V638">
        <f>IF(AND(ISNUMBER('자료_한국심리'!$D622),ISNUMBER('자료_한국심리'!$E622)),'자료_한국심리'!$D622,"")</f>
        <v/>
      </c>
      <c r="W638">
        <f>IF(AND(ISNUMBER('자료_한국심리'!$G622),ISNUMBER('자료_한국심리'!$H622)),'자료_한국심리'!$G622,"")</f>
        <v/>
      </c>
      <c r="X638">
        <f>IF(AND(ISNUMBER('자료_한국심리'!$J622),ISNUMBER('자료_한국심리'!$K622)),'자료_한국심리'!$J622,"")</f>
        <v/>
      </c>
      <c r="Y638">
        <f>IF(AND(ISNUMBER('자료_한국심리'!$M622),ISNUMBER('자료_한국심리'!$N622)),'자료_한국심리'!$M622,"")</f>
        <v/>
      </c>
    </row>
    <row r="639">
      <c r="A639" s="10">
        <f>IF(621&gt;$E$5,"",SMALL($U$19:$U$4018,$E$6+621))</f>
        <v/>
      </c>
      <c r="B639" s="29">
        <f>IF(A639="","",INDEX('자료_한국심리'!$B$3:$B$4002,MATCH(A639,$U$19:$U$4018,0)))</f>
        <v/>
      </c>
      <c r="C639" s="22">
        <f>IF(A639="","",B639/AVERAGE(B515:B639)-1)</f>
        <v/>
      </c>
      <c r="D639" s="29">
        <f>IF(A639="","",IFERROR(INDEX('자료_한국심리'!$E$3:$E$4002,MATCH(A639,$V$19:$V$4018,0)),D638))</f>
        <v/>
      </c>
      <c r="E639" s="30">
        <f>IF(A639="","",IFERROR(INDEX('자료_한국심리'!$H$3:$H$4002,MATCH(A639,$W$19:$W$4018,0)),E638))</f>
        <v/>
      </c>
      <c r="F639" s="30">
        <f>IF(A639="","",IFERROR(INDEX('자료_한국심리'!$K$3:$K$4002,MATCH(A639,$X$19:$X$4018,0)),F638))</f>
        <v/>
      </c>
      <c r="G639" s="30">
        <f>IF(AND(ISNUMBER(E639),ISNUMBER(F639)),ROUND(E639-F639,6),"")</f>
        <v/>
      </c>
      <c r="H639" s="25">
        <f>IF(A639="","",IFERROR(INDEX('자료_한국심리'!$N$3:$N$4002,MATCH(A639,$Y$19:$Y$4018,0)),H638))</f>
        <v/>
      </c>
      <c r="I639" s="31">
        <f>IF(AND(ISNUMBER(H639),ISNUMBER(H619)),IF(H619&gt;0,H639/H619-1,""),"")</f>
        <v/>
      </c>
      <c r="J639">
        <f>IF(A639="",0,IF(A639&gt;$B$5,1,0))</f>
        <v/>
      </c>
      <c r="K639" s="29">
        <f>IF(AND(J639=1,ISNUMBER(D639)),D639,"")</f>
        <v/>
      </c>
      <c r="L639" s="30">
        <f>IF(AND(J639=1,ISNUMBER(G639)),G639,"")</f>
        <v/>
      </c>
      <c r="M639" s="22">
        <f>IF(AND(J639=1,ISNUMBER(C639)),C639,"")</f>
        <v/>
      </c>
      <c r="N639" s="31">
        <f>IF(AND(J639=1,ISNUMBER(I639)),I639,"")</f>
        <v/>
      </c>
      <c r="O639" s="11">
        <f>IF(K639="","",100-IF($G$13=1,50,(_xlfn.RANK.AVG(K639,$K$19:$K$1518,1)-1)/($G$13-1)*100))</f>
        <v/>
      </c>
      <c r="P639" s="11">
        <f>IF(L639="","",100-IF($G$14=1,50,(_xlfn.RANK.AVG(L639,$L$19:$L$1518,1)-1)/($G$14-1)*100))</f>
        <v/>
      </c>
      <c r="Q639" s="11">
        <f>IF(M639="","",IF($G$15=1,50,(_xlfn.RANK.AVG(M639,$M$19:$M$1518,1)-1)/($G$15-1)*100))</f>
        <v/>
      </c>
      <c r="R639" s="11">
        <f>IF(N639="","",IF($G$16=1,50,(_xlfn.RANK.AVG(N639,$N$19:$N$1518,1)-1)/($G$16-1)*100))</f>
        <v/>
      </c>
      <c r="S639" s="11">
        <f>IF(COUNT(O639:R639)=4,ROUND(AVERAGE(O639:R639),6),"")</f>
        <v/>
      </c>
      <c r="U639">
        <f>IF(AND(ISNUMBER('자료_한국심리'!$A623),ISNUMBER('자료_한국심리'!$B623)),'자료_한국심리'!$A623,"")</f>
        <v/>
      </c>
      <c r="V639">
        <f>IF(AND(ISNUMBER('자료_한국심리'!$D623),ISNUMBER('자료_한국심리'!$E623)),'자료_한국심리'!$D623,"")</f>
        <v/>
      </c>
      <c r="W639">
        <f>IF(AND(ISNUMBER('자료_한국심리'!$G623),ISNUMBER('자료_한국심리'!$H623)),'자료_한국심리'!$G623,"")</f>
        <v/>
      </c>
      <c r="X639">
        <f>IF(AND(ISNUMBER('자료_한국심리'!$J623),ISNUMBER('자료_한국심리'!$K623)),'자료_한국심리'!$J623,"")</f>
        <v/>
      </c>
      <c r="Y639">
        <f>IF(AND(ISNUMBER('자료_한국심리'!$M623),ISNUMBER('자료_한국심리'!$N623)),'자료_한국심리'!$M623,"")</f>
        <v/>
      </c>
    </row>
    <row r="640">
      <c r="A640" s="10">
        <f>IF(622&gt;$E$5,"",SMALL($U$19:$U$4018,$E$6+622))</f>
        <v/>
      </c>
      <c r="B640" s="29">
        <f>IF(A640="","",INDEX('자료_한국심리'!$B$3:$B$4002,MATCH(A640,$U$19:$U$4018,0)))</f>
        <v/>
      </c>
      <c r="C640" s="22">
        <f>IF(A640="","",B640/AVERAGE(B516:B640)-1)</f>
        <v/>
      </c>
      <c r="D640" s="29">
        <f>IF(A640="","",IFERROR(INDEX('자료_한국심리'!$E$3:$E$4002,MATCH(A640,$V$19:$V$4018,0)),D639))</f>
        <v/>
      </c>
      <c r="E640" s="30">
        <f>IF(A640="","",IFERROR(INDEX('자료_한국심리'!$H$3:$H$4002,MATCH(A640,$W$19:$W$4018,0)),E639))</f>
        <v/>
      </c>
      <c r="F640" s="30">
        <f>IF(A640="","",IFERROR(INDEX('자료_한국심리'!$K$3:$K$4002,MATCH(A640,$X$19:$X$4018,0)),F639))</f>
        <v/>
      </c>
      <c r="G640" s="30">
        <f>IF(AND(ISNUMBER(E640),ISNUMBER(F640)),ROUND(E640-F640,6),"")</f>
        <v/>
      </c>
      <c r="H640" s="25">
        <f>IF(A640="","",IFERROR(INDEX('자료_한국심리'!$N$3:$N$4002,MATCH(A640,$Y$19:$Y$4018,0)),H639))</f>
        <v/>
      </c>
      <c r="I640" s="31">
        <f>IF(AND(ISNUMBER(H640),ISNUMBER(H620)),IF(H620&gt;0,H640/H620-1,""),"")</f>
        <v/>
      </c>
      <c r="J640">
        <f>IF(A640="",0,IF(A640&gt;$B$5,1,0))</f>
        <v/>
      </c>
      <c r="K640" s="29">
        <f>IF(AND(J640=1,ISNUMBER(D640)),D640,"")</f>
        <v/>
      </c>
      <c r="L640" s="30">
        <f>IF(AND(J640=1,ISNUMBER(G640)),G640,"")</f>
        <v/>
      </c>
      <c r="M640" s="22">
        <f>IF(AND(J640=1,ISNUMBER(C640)),C640,"")</f>
        <v/>
      </c>
      <c r="N640" s="31">
        <f>IF(AND(J640=1,ISNUMBER(I640)),I640,"")</f>
        <v/>
      </c>
      <c r="O640" s="11">
        <f>IF(K640="","",100-IF($G$13=1,50,(_xlfn.RANK.AVG(K640,$K$19:$K$1518,1)-1)/($G$13-1)*100))</f>
        <v/>
      </c>
      <c r="P640" s="11">
        <f>IF(L640="","",100-IF($G$14=1,50,(_xlfn.RANK.AVG(L640,$L$19:$L$1518,1)-1)/($G$14-1)*100))</f>
        <v/>
      </c>
      <c r="Q640" s="11">
        <f>IF(M640="","",IF($G$15=1,50,(_xlfn.RANK.AVG(M640,$M$19:$M$1518,1)-1)/($G$15-1)*100))</f>
        <v/>
      </c>
      <c r="R640" s="11">
        <f>IF(N640="","",IF($G$16=1,50,(_xlfn.RANK.AVG(N640,$N$19:$N$1518,1)-1)/($G$16-1)*100))</f>
        <v/>
      </c>
      <c r="S640" s="11">
        <f>IF(COUNT(O640:R640)=4,ROUND(AVERAGE(O640:R640),6),"")</f>
        <v/>
      </c>
      <c r="U640">
        <f>IF(AND(ISNUMBER('자료_한국심리'!$A624),ISNUMBER('자료_한국심리'!$B624)),'자료_한국심리'!$A624,"")</f>
        <v/>
      </c>
      <c r="V640">
        <f>IF(AND(ISNUMBER('자료_한국심리'!$D624),ISNUMBER('자료_한국심리'!$E624)),'자료_한국심리'!$D624,"")</f>
        <v/>
      </c>
      <c r="W640">
        <f>IF(AND(ISNUMBER('자료_한국심리'!$G624),ISNUMBER('자료_한국심리'!$H624)),'자료_한국심리'!$G624,"")</f>
        <v/>
      </c>
      <c r="X640">
        <f>IF(AND(ISNUMBER('자료_한국심리'!$J624),ISNUMBER('자료_한국심리'!$K624)),'자료_한국심리'!$J624,"")</f>
        <v/>
      </c>
      <c r="Y640">
        <f>IF(AND(ISNUMBER('자료_한국심리'!$M624),ISNUMBER('자료_한국심리'!$N624)),'자료_한국심리'!$M624,"")</f>
        <v/>
      </c>
    </row>
    <row r="641">
      <c r="A641" s="10">
        <f>IF(623&gt;$E$5,"",SMALL($U$19:$U$4018,$E$6+623))</f>
        <v/>
      </c>
      <c r="B641" s="29">
        <f>IF(A641="","",INDEX('자료_한국심리'!$B$3:$B$4002,MATCH(A641,$U$19:$U$4018,0)))</f>
        <v/>
      </c>
      <c r="C641" s="22">
        <f>IF(A641="","",B641/AVERAGE(B517:B641)-1)</f>
        <v/>
      </c>
      <c r="D641" s="29">
        <f>IF(A641="","",IFERROR(INDEX('자료_한국심리'!$E$3:$E$4002,MATCH(A641,$V$19:$V$4018,0)),D640))</f>
        <v/>
      </c>
      <c r="E641" s="30">
        <f>IF(A641="","",IFERROR(INDEX('자료_한국심리'!$H$3:$H$4002,MATCH(A641,$W$19:$W$4018,0)),E640))</f>
        <v/>
      </c>
      <c r="F641" s="30">
        <f>IF(A641="","",IFERROR(INDEX('자료_한국심리'!$K$3:$K$4002,MATCH(A641,$X$19:$X$4018,0)),F640))</f>
        <v/>
      </c>
      <c r="G641" s="30">
        <f>IF(AND(ISNUMBER(E641),ISNUMBER(F641)),ROUND(E641-F641,6),"")</f>
        <v/>
      </c>
      <c r="H641" s="25">
        <f>IF(A641="","",IFERROR(INDEX('자료_한국심리'!$N$3:$N$4002,MATCH(A641,$Y$19:$Y$4018,0)),H640))</f>
        <v/>
      </c>
      <c r="I641" s="31">
        <f>IF(AND(ISNUMBER(H641),ISNUMBER(H621)),IF(H621&gt;0,H641/H621-1,""),"")</f>
        <v/>
      </c>
      <c r="J641">
        <f>IF(A641="",0,IF(A641&gt;$B$5,1,0))</f>
        <v/>
      </c>
      <c r="K641" s="29">
        <f>IF(AND(J641=1,ISNUMBER(D641)),D641,"")</f>
        <v/>
      </c>
      <c r="L641" s="30">
        <f>IF(AND(J641=1,ISNUMBER(G641)),G641,"")</f>
        <v/>
      </c>
      <c r="M641" s="22">
        <f>IF(AND(J641=1,ISNUMBER(C641)),C641,"")</f>
        <v/>
      </c>
      <c r="N641" s="31">
        <f>IF(AND(J641=1,ISNUMBER(I641)),I641,"")</f>
        <v/>
      </c>
      <c r="O641" s="11">
        <f>IF(K641="","",100-IF($G$13=1,50,(_xlfn.RANK.AVG(K641,$K$19:$K$1518,1)-1)/($G$13-1)*100))</f>
        <v/>
      </c>
      <c r="P641" s="11">
        <f>IF(L641="","",100-IF($G$14=1,50,(_xlfn.RANK.AVG(L641,$L$19:$L$1518,1)-1)/($G$14-1)*100))</f>
        <v/>
      </c>
      <c r="Q641" s="11">
        <f>IF(M641="","",IF($G$15=1,50,(_xlfn.RANK.AVG(M641,$M$19:$M$1518,1)-1)/($G$15-1)*100))</f>
        <v/>
      </c>
      <c r="R641" s="11">
        <f>IF(N641="","",IF($G$16=1,50,(_xlfn.RANK.AVG(N641,$N$19:$N$1518,1)-1)/($G$16-1)*100))</f>
        <v/>
      </c>
      <c r="S641" s="11">
        <f>IF(COUNT(O641:R641)=4,ROUND(AVERAGE(O641:R641),6),"")</f>
        <v/>
      </c>
      <c r="U641">
        <f>IF(AND(ISNUMBER('자료_한국심리'!$A625),ISNUMBER('자료_한국심리'!$B625)),'자료_한국심리'!$A625,"")</f>
        <v/>
      </c>
      <c r="V641">
        <f>IF(AND(ISNUMBER('자료_한국심리'!$D625),ISNUMBER('자료_한국심리'!$E625)),'자료_한국심리'!$D625,"")</f>
        <v/>
      </c>
      <c r="W641">
        <f>IF(AND(ISNUMBER('자료_한국심리'!$G625),ISNUMBER('자료_한국심리'!$H625)),'자료_한국심리'!$G625,"")</f>
        <v/>
      </c>
      <c r="X641">
        <f>IF(AND(ISNUMBER('자료_한국심리'!$J625),ISNUMBER('자료_한국심리'!$K625)),'자료_한국심리'!$J625,"")</f>
        <v/>
      </c>
      <c r="Y641">
        <f>IF(AND(ISNUMBER('자료_한국심리'!$M625),ISNUMBER('자료_한국심리'!$N625)),'자료_한국심리'!$M625,"")</f>
        <v/>
      </c>
    </row>
    <row r="642">
      <c r="A642" s="10">
        <f>IF(624&gt;$E$5,"",SMALL($U$19:$U$4018,$E$6+624))</f>
        <v/>
      </c>
      <c r="B642" s="29">
        <f>IF(A642="","",INDEX('자료_한국심리'!$B$3:$B$4002,MATCH(A642,$U$19:$U$4018,0)))</f>
        <v/>
      </c>
      <c r="C642" s="22">
        <f>IF(A642="","",B642/AVERAGE(B518:B642)-1)</f>
        <v/>
      </c>
      <c r="D642" s="29">
        <f>IF(A642="","",IFERROR(INDEX('자료_한국심리'!$E$3:$E$4002,MATCH(A642,$V$19:$V$4018,0)),D641))</f>
        <v/>
      </c>
      <c r="E642" s="30">
        <f>IF(A642="","",IFERROR(INDEX('자료_한국심리'!$H$3:$H$4002,MATCH(A642,$W$19:$W$4018,0)),E641))</f>
        <v/>
      </c>
      <c r="F642" s="30">
        <f>IF(A642="","",IFERROR(INDEX('자료_한국심리'!$K$3:$K$4002,MATCH(A642,$X$19:$X$4018,0)),F641))</f>
        <v/>
      </c>
      <c r="G642" s="30">
        <f>IF(AND(ISNUMBER(E642),ISNUMBER(F642)),ROUND(E642-F642,6),"")</f>
        <v/>
      </c>
      <c r="H642" s="25">
        <f>IF(A642="","",IFERROR(INDEX('자료_한국심리'!$N$3:$N$4002,MATCH(A642,$Y$19:$Y$4018,0)),H641))</f>
        <v/>
      </c>
      <c r="I642" s="31">
        <f>IF(AND(ISNUMBER(H642),ISNUMBER(H622)),IF(H622&gt;0,H642/H622-1,""),"")</f>
        <v/>
      </c>
      <c r="J642">
        <f>IF(A642="",0,IF(A642&gt;$B$5,1,0))</f>
        <v/>
      </c>
      <c r="K642" s="29">
        <f>IF(AND(J642=1,ISNUMBER(D642)),D642,"")</f>
        <v/>
      </c>
      <c r="L642" s="30">
        <f>IF(AND(J642=1,ISNUMBER(G642)),G642,"")</f>
        <v/>
      </c>
      <c r="M642" s="22">
        <f>IF(AND(J642=1,ISNUMBER(C642)),C642,"")</f>
        <v/>
      </c>
      <c r="N642" s="31">
        <f>IF(AND(J642=1,ISNUMBER(I642)),I642,"")</f>
        <v/>
      </c>
      <c r="O642" s="11">
        <f>IF(K642="","",100-IF($G$13=1,50,(_xlfn.RANK.AVG(K642,$K$19:$K$1518,1)-1)/($G$13-1)*100))</f>
        <v/>
      </c>
      <c r="P642" s="11">
        <f>IF(L642="","",100-IF($G$14=1,50,(_xlfn.RANK.AVG(L642,$L$19:$L$1518,1)-1)/($G$14-1)*100))</f>
        <v/>
      </c>
      <c r="Q642" s="11">
        <f>IF(M642="","",IF($G$15=1,50,(_xlfn.RANK.AVG(M642,$M$19:$M$1518,1)-1)/($G$15-1)*100))</f>
        <v/>
      </c>
      <c r="R642" s="11">
        <f>IF(N642="","",IF($G$16=1,50,(_xlfn.RANK.AVG(N642,$N$19:$N$1518,1)-1)/($G$16-1)*100))</f>
        <v/>
      </c>
      <c r="S642" s="11">
        <f>IF(COUNT(O642:R642)=4,ROUND(AVERAGE(O642:R642),6),"")</f>
        <v/>
      </c>
      <c r="U642">
        <f>IF(AND(ISNUMBER('자료_한국심리'!$A626),ISNUMBER('자료_한국심리'!$B626)),'자료_한국심리'!$A626,"")</f>
        <v/>
      </c>
      <c r="V642">
        <f>IF(AND(ISNUMBER('자료_한국심리'!$D626),ISNUMBER('자료_한국심리'!$E626)),'자료_한국심리'!$D626,"")</f>
        <v/>
      </c>
      <c r="W642">
        <f>IF(AND(ISNUMBER('자료_한국심리'!$G626),ISNUMBER('자료_한국심리'!$H626)),'자료_한국심리'!$G626,"")</f>
        <v/>
      </c>
      <c r="X642">
        <f>IF(AND(ISNUMBER('자료_한국심리'!$J626),ISNUMBER('자료_한국심리'!$K626)),'자료_한국심리'!$J626,"")</f>
        <v/>
      </c>
      <c r="Y642">
        <f>IF(AND(ISNUMBER('자료_한국심리'!$M626),ISNUMBER('자료_한국심리'!$N626)),'자료_한국심리'!$M626,"")</f>
        <v/>
      </c>
    </row>
    <row r="643">
      <c r="A643" s="10">
        <f>IF(625&gt;$E$5,"",SMALL($U$19:$U$4018,$E$6+625))</f>
        <v/>
      </c>
      <c r="B643" s="29">
        <f>IF(A643="","",INDEX('자료_한국심리'!$B$3:$B$4002,MATCH(A643,$U$19:$U$4018,0)))</f>
        <v/>
      </c>
      <c r="C643" s="22">
        <f>IF(A643="","",B643/AVERAGE(B519:B643)-1)</f>
        <v/>
      </c>
      <c r="D643" s="29">
        <f>IF(A643="","",IFERROR(INDEX('자료_한국심리'!$E$3:$E$4002,MATCH(A643,$V$19:$V$4018,0)),D642))</f>
        <v/>
      </c>
      <c r="E643" s="30">
        <f>IF(A643="","",IFERROR(INDEX('자료_한국심리'!$H$3:$H$4002,MATCH(A643,$W$19:$W$4018,0)),E642))</f>
        <v/>
      </c>
      <c r="F643" s="30">
        <f>IF(A643="","",IFERROR(INDEX('자료_한국심리'!$K$3:$K$4002,MATCH(A643,$X$19:$X$4018,0)),F642))</f>
        <v/>
      </c>
      <c r="G643" s="30">
        <f>IF(AND(ISNUMBER(E643),ISNUMBER(F643)),ROUND(E643-F643,6),"")</f>
        <v/>
      </c>
      <c r="H643" s="25">
        <f>IF(A643="","",IFERROR(INDEX('자료_한국심리'!$N$3:$N$4002,MATCH(A643,$Y$19:$Y$4018,0)),H642))</f>
        <v/>
      </c>
      <c r="I643" s="31">
        <f>IF(AND(ISNUMBER(H643),ISNUMBER(H623)),IF(H623&gt;0,H643/H623-1,""),"")</f>
        <v/>
      </c>
      <c r="J643">
        <f>IF(A643="",0,IF(A643&gt;$B$5,1,0))</f>
        <v/>
      </c>
      <c r="K643" s="29">
        <f>IF(AND(J643=1,ISNUMBER(D643)),D643,"")</f>
        <v/>
      </c>
      <c r="L643" s="30">
        <f>IF(AND(J643=1,ISNUMBER(G643)),G643,"")</f>
        <v/>
      </c>
      <c r="M643" s="22">
        <f>IF(AND(J643=1,ISNUMBER(C643)),C643,"")</f>
        <v/>
      </c>
      <c r="N643" s="31">
        <f>IF(AND(J643=1,ISNUMBER(I643)),I643,"")</f>
        <v/>
      </c>
      <c r="O643" s="11">
        <f>IF(K643="","",100-IF($G$13=1,50,(_xlfn.RANK.AVG(K643,$K$19:$K$1518,1)-1)/($G$13-1)*100))</f>
        <v/>
      </c>
      <c r="P643" s="11">
        <f>IF(L643="","",100-IF($G$14=1,50,(_xlfn.RANK.AVG(L643,$L$19:$L$1518,1)-1)/($G$14-1)*100))</f>
        <v/>
      </c>
      <c r="Q643" s="11">
        <f>IF(M643="","",IF($G$15=1,50,(_xlfn.RANK.AVG(M643,$M$19:$M$1518,1)-1)/($G$15-1)*100))</f>
        <v/>
      </c>
      <c r="R643" s="11">
        <f>IF(N643="","",IF($G$16=1,50,(_xlfn.RANK.AVG(N643,$N$19:$N$1518,1)-1)/($G$16-1)*100))</f>
        <v/>
      </c>
      <c r="S643" s="11">
        <f>IF(COUNT(O643:R643)=4,ROUND(AVERAGE(O643:R643),6),"")</f>
        <v/>
      </c>
      <c r="U643">
        <f>IF(AND(ISNUMBER('자료_한국심리'!$A627),ISNUMBER('자료_한국심리'!$B627)),'자료_한국심리'!$A627,"")</f>
        <v/>
      </c>
      <c r="V643">
        <f>IF(AND(ISNUMBER('자료_한국심리'!$D627),ISNUMBER('자료_한국심리'!$E627)),'자료_한국심리'!$D627,"")</f>
        <v/>
      </c>
      <c r="W643">
        <f>IF(AND(ISNUMBER('자료_한국심리'!$G627),ISNUMBER('자료_한국심리'!$H627)),'자료_한국심리'!$G627,"")</f>
        <v/>
      </c>
      <c r="X643">
        <f>IF(AND(ISNUMBER('자료_한국심리'!$J627),ISNUMBER('자료_한국심리'!$K627)),'자료_한국심리'!$J627,"")</f>
        <v/>
      </c>
      <c r="Y643">
        <f>IF(AND(ISNUMBER('자료_한국심리'!$M627),ISNUMBER('자료_한국심리'!$N627)),'자료_한국심리'!$M627,"")</f>
        <v/>
      </c>
    </row>
    <row r="644">
      <c r="A644" s="10">
        <f>IF(626&gt;$E$5,"",SMALL($U$19:$U$4018,$E$6+626))</f>
        <v/>
      </c>
      <c r="B644" s="29">
        <f>IF(A644="","",INDEX('자료_한국심리'!$B$3:$B$4002,MATCH(A644,$U$19:$U$4018,0)))</f>
        <v/>
      </c>
      <c r="C644" s="22">
        <f>IF(A644="","",B644/AVERAGE(B520:B644)-1)</f>
        <v/>
      </c>
      <c r="D644" s="29">
        <f>IF(A644="","",IFERROR(INDEX('자료_한국심리'!$E$3:$E$4002,MATCH(A644,$V$19:$V$4018,0)),D643))</f>
        <v/>
      </c>
      <c r="E644" s="30">
        <f>IF(A644="","",IFERROR(INDEX('자료_한국심리'!$H$3:$H$4002,MATCH(A644,$W$19:$W$4018,0)),E643))</f>
        <v/>
      </c>
      <c r="F644" s="30">
        <f>IF(A644="","",IFERROR(INDEX('자료_한국심리'!$K$3:$K$4002,MATCH(A644,$X$19:$X$4018,0)),F643))</f>
        <v/>
      </c>
      <c r="G644" s="30">
        <f>IF(AND(ISNUMBER(E644),ISNUMBER(F644)),ROUND(E644-F644,6),"")</f>
        <v/>
      </c>
      <c r="H644" s="25">
        <f>IF(A644="","",IFERROR(INDEX('자료_한국심리'!$N$3:$N$4002,MATCH(A644,$Y$19:$Y$4018,0)),H643))</f>
        <v/>
      </c>
      <c r="I644" s="31">
        <f>IF(AND(ISNUMBER(H644),ISNUMBER(H624)),IF(H624&gt;0,H644/H624-1,""),"")</f>
        <v/>
      </c>
      <c r="J644">
        <f>IF(A644="",0,IF(A644&gt;$B$5,1,0))</f>
        <v/>
      </c>
      <c r="K644" s="29">
        <f>IF(AND(J644=1,ISNUMBER(D644)),D644,"")</f>
        <v/>
      </c>
      <c r="L644" s="30">
        <f>IF(AND(J644=1,ISNUMBER(G644)),G644,"")</f>
        <v/>
      </c>
      <c r="M644" s="22">
        <f>IF(AND(J644=1,ISNUMBER(C644)),C644,"")</f>
        <v/>
      </c>
      <c r="N644" s="31">
        <f>IF(AND(J644=1,ISNUMBER(I644)),I644,"")</f>
        <v/>
      </c>
      <c r="O644" s="11">
        <f>IF(K644="","",100-IF($G$13=1,50,(_xlfn.RANK.AVG(K644,$K$19:$K$1518,1)-1)/($G$13-1)*100))</f>
        <v/>
      </c>
      <c r="P644" s="11">
        <f>IF(L644="","",100-IF($G$14=1,50,(_xlfn.RANK.AVG(L644,$L$19:$L$1518,1)-1)/($G$14-1)*100))</f>
        <v/>
      </c>
      <c r="Q644" s="11">
        <f>IF(M644="","",IF($G$15=1,50,(_xlfn.RANK.AVG(M644,$M$19:$M$1518,1)-1)/($G$15-1)*100))</f>
        <v/>
      </c>
      <c r="R644" s="11">
        <f>IF(N644="","",IF($G$16=1,50,(_xlfn.RANK.AVG(N644,$N$19:$N$1518,1)-1)/($G$16-1)*100))</f>
        <v/>
      </c>
      <c r="S644" s="11">
        <f>IF(COUNT(O644:R644)=4,ROUND(AVERAGE(O644:R644),6),"")</f>
        <v/>
      </c>
      <c r="U644">
        <f>IF(AND(ISNUMBER('자료_한국심리'!$A628),ISNUMBER('자료_한국심리'!$B628)),'자료_한국심리'!$A628,"")</f>
        <v/>
      </c>
      <c r="V644">
        <f>IF(AND(ISNUMBER('자료_한국심리'!$D628),ISNUMBER('자료_한국심리'!$E628)),'자료_한국심리'!$D628,"")</f>
        <v/>
      </c>
      <c r="W644">
        <f>IF(AND(ISNUMBER('자료_한국심리'!$G628),ISNUMBER('자료_한국심리'!$H628)),'자료_한국심리'!$G628,"")</f>
        <v/>
      </c>
      <c r="X644">
        <f>IF(AND(ISNUMBER('자료_한국심리'!$J628),ISNUMBER('자료_한국심리'!$K628)),'자료_한국심리'!$J628,"")</f>
        <v/>
      </c>
      <c r="Y644">
        <f>IF(AND(ISNUMBER('자료_한국심리'!$M628),ISNUMBER('자료_한국심리'!$N628)),'자료_한국심리'!$M628,"")</f>
        <v/>
      </c>
    </row>
    <row r="645">
      <c r="A645" s="10">
        <f>IF(627&gt;$E$5,"",SMALL($U$19:$U$4018,$E$6+627))</f>
        <v/>
      </c>
      <c r="B645" s="29">
        <f>IF(A645="","",INDEX('자료_한국심리'!$B$3:$B$4002,MATCH(A645,$U$19:$U$4018,0)))</f>
        <v/>
      </c>
      <c r="C645" s="22">
        <f>IF(A645="","",B645/AVERAGE(B521:B645)-1)</f>
        <v/>
      </c>
      <c r="D645" s="29">
        <f>IF(A645="","",IFERROR(INDEX('자료_한국심리'!$E$3:$E$4002,MATCH(A645,$V$19:$V$4018,0)),D644))</f>
        <v/>
      </c>
      <c r="E645" s="30">
        <f>IF(A645="","",IFERROR(INDEX('자료_한국심리'!$H$3:$H$4002,MATCH(A645,$W$19:$W$4018,0)),E644))</f>
        <v/>
      </c>
      <c r="F645" s="30">
        <f>IF(A645="","",IFERROR(INDEX('자료_한국심리'!$K$3:$K$4002,MATCH(A645,$X$19:$X$4018,0)),F644))</f>
        <v/>
      </c>
      <c r="G645" s="30">
        <f>IF(AND(ISNUMBER(E645),ISNUMBER(F645)),ROUND(E645-F645,6),"")</f>
        <v/>
      </c>
      <c r="H645" s="25">
        <f>IF(A645="","",IFERROR(INDEX('자료_한국심리'!$N$3:$N$4002,MATCH(A645,$Y$19:$Y$4018,0)),H644))</f>
        <v/>
      </c>
      <c r="I645" s="31">
        <f>IF(AND(ISNUMBER(H645),ISNUMBER(H625)),IF(H625&gt;0,H645/H625-1,""),"")</f>
        <v/>
      </c>
      <c r="J645">
        <f>IF(A645="",0,IF(A645&gt;$B$5,1,0))</f>
        <v/>
      </c>
      <c r="K645" s="29">
        <f>IF(AND(J645=1,ISNUMBER(D645)),D645,"")</f>
        <v/>
      </c>
      <c r="L645" s="30">
        <f>IF(AND(J645=1,ISNUMBER(G645)),G645,"")</f>
        <v/>
      </c>
      <c r="M645" s="22">
        <f>IF(AND(J645=1,ISNUMBER(C645)),C645,"")</f>
        <v/>
      </c>
      <c r="N645" s="31">
        <f>IF(AND(J645=1,ISNUMBER(I645)),I645,"")</f>
        <v/>
      </c>
      <c r="O645" s="11">
        <f>IF(K645="","",100-IF($G$13=1,50,(_xlfn.RANK.AVG(K645,$K$19:$K$1518,1)-1)/($G$13-1)*100))</f>
        <v/>
      </c>
      <c r="P645" s="11">
        <f>IF(L645="","",100-IF($G$14=1,50,(_xlfn.RANK.AVG(L645,$L$19:$L$1518,1)-1)/($G$14-1)*100))</f>
        <v/>
      </c>
      <c r="Q645" s="11">
        <f>IF(M645="","",IF($G$15=1,50,(_xlfn.RANK.AVG(M645,$M$19:$M$1518,1)-1)/($G$15-1)*100))</f>
        <v/>
      </c>
      <c r="R645" s="11">
        <f>IF(N645="","",IF($G$16=1,50,(_xlfn.RANK.AVG(N645,$N$19:$N$1518,1)-1)/($G$16-1)*100))</f>
        <v/>
      </c>
      <c r="S645" s="11">
        <f>IF(COUNT(O645:R645)=4,ROUND(AVERAGE(O645:R645),6),"")</f>
        <v/>
      </c>
      <c r="U645">
        <f>IF(AND(ISNUMBER('자료_한국심리'!$A629),ISNUMBER('자료_한국심리'!$B629)),'자료_한국심리'!$A629,"")</f>
        <v/>
      </c>
      <c r="V645">
        <f>IF(AND(ISNUMBER('자료_한국심리'!$D629),ISNUMBER('자료_한국심리'!$E629)),'자료_한국심리'!$D629,"")</f>
        <v/>
      </c>
      <c r="W645">
        <f>IF(AND(ISNUMBER('자료_한국심리'!$G629),ISNUMBER('자료_한국심리'!$H629)),'자료_한국심리'!$G629,"")</f>
        <v/>
      </c>
      <c r="X645">
        <f>IF(AND(ISNUMBER('자료_한국심리'!$J629),ISNUMBER('자료_한국심리'!$K629)),'자료_한국심리'!$J629,"")</f>
        <v/>
      </c>
      <c r="Y645">
        <f>IF(AND(ISNUMBER('자료_한국심리'!$M629),ISNUMBER('자료_한국심리'!$N629)),'자료_한국심리'!$M629,"")</f>
        <v/>
      </c>
    </row>
    <row r="646">
      <c r="A646" s="10">
        <f>IF(628&gt;$E$5,"",SMALL($U$19:$U$4018,$E$6+628))</f>
        <v/>
      </c>
      <c r="B646" s="29">
        <f>IF(A646="","",INDEX('자료_한국심리'!$B$3:$B$4002,MATCH(A646,$U$19:$U$4018,0)))</f>
        <v/>
      </c>
      <c r="C646" s="22">
        <f>IF(A646="","",B646/AVERAGE(B522:B646)-1)</f>
        <v/>
      </c>
      <c r="D646" s="29">
        <f>IF(A646="","",IFERROR(INDEX('자료_한국심리'!$E$3:$E$4002,MATCH(A646,$V$19:$V$4018,0)),D645))</f>
        <v/>
      </c>
      <c r="E646" s="30">
        <f>IF(A646="","",IFERROR(INDEX('자료_한국심리'!$H$3:$H$4002,MATCH(A646,$W$19:$W$4018,0)),E645))</f>
        <v/>
      </c>
      <c r="F646" s="30">
        <f>IF(A646="","",IFERROR(INDEX('자료_한국심리'!$K$3:$K$4002,MATCH(A646,$X$19:$X$4018,0)),F645))</f>
        <v/>
      </c>
      <c r="G646" s="30">
        <f>IF(AND(ISNUMBER(E646),ISNUMBER(F646)),ROUND(E646-F646,6),"")</f>
        <v/>
      </c>
      <c r="H646" s="25">
        <f>IF(A646="","",IFERROR(INDEX('자료_한국심리'!$N$3:$N$4002,MATCH(A646,$Y$19:$Y$4018,0)),H645))</f>
        <v/>
      </c>
      <c r="I646" s="31">
        <f>IF(AND(ISNUMBER(H646),ISNUMBER(H626)),IF(H626&gt;0,H646/H626-1,""),"")</f>
        <v/>
      </c>
      <c r="J646">
        <f>IF(A646="",0,IF(A646&gt;$B$5,1,0))</f>
        <v/>
      </c>
      <c r="K646" s="29">
        <f>IF(AND(J646=1,ISNUMBER(D646)),D646,"")</f>
        <v/>
      </c>
      <c r="L646" s="30">
        <f>IF(AND(J646=1,ISNUMBER(G646)),G646,"")</f>
        <v/>
      </c>
      <c r="M646" s="22">
        <f>IF(AND(J646=1,ISNUMBER(C646)),C646,"")</f>
        <v/>
      </c>
      <c r="N646" s="31">
        <f>IF(AND(J646=1,ISNUMBER(I646)),I646,"")</f>
        <v/>
      </c>
      <c r="O646" s="11">
        <f>IF(K646="","",100-IF($G$13=1,50,(_xlfn.RANK.AVG(K646,$K$19:$K$1518,1)-1)/($G$13-1)*100))</f>
        <v/>
      </c>
      <c r="P646" s="11">
        <f>IF(L646="","",100-IF($G$14=1,50,(_xlfn.RANK.AVG(L646,$L$19:$L$1518,1)-1)/($G$14-1)*100))</f>
        <v/>
      </c>
      <c r="Q646" s="11">
        <f>IF(M646="","",IF($G$15=1,50,(_xlfn.RANK.AVG(M646,$M$19:$M$1518,1)-1)/($G$15-1)*100))</f>
        <v/>
      </c>
      <c r="R646" s="11">
        <f>IF(N646="","",IF($G$16=1,50,(_xlfn.RANK.AVG(N646,$N$19:$N$1518,1)-1)/($G$16-1)*100))</f>
        <v/>
      </c>
      <c r="S646" s="11">
        <f>IF(COUNT(O646:R646)=4,ROUND(AVERAGE(O646:R646),6),"")</f>
        <v/>
      </c>
      <c r="U646">
        <f>IF(AND(ISNUMBER('자료_한국심리'!$A630),ISNUMBER('자료_한국심리'!$B630)),'자료_한국심리'!$A630,"")</f>
        <v/>
      </c>
      <c r="V646">
        <f>IF(AND(ISNUMBER('자료_한국심리'!$D630),ISNUMBER('자료_한국심리'!$E630)),'자료_한국심리'!$D630,"")</f>
        <v/>
      </c>
      <c r="W646">
        <f>IF(AND(ISNUMBER('자료_한국심리'!$G630),ISNUMBER('자료_한국심리'!$H630)),'자료_한국심리'!$G630,"")</f>
        <v/>
      </c>
      <c r="X646">
        <f>IF(AND(ISNUMBER('자료_한국심리'!$J630),ISNUMBER('자료_한국심리'!$K630)),'자료_한국심리'!$J630,"")</f>
        <v/>
      </c>
      <c r="Y646">
        <f>IF(AND(ISNUMBER('자료_한국심리'!$M630),ISNUMBER('자료_한국심리'!$N630)),'자료_한국심리'!$M630,"")</f>
        <v/>
      </c>
    </row>
    <row r="647">
      <c r="A647" s="10">
        <f>IF(629&gt;$E$5,"",SMALL($U$19:$U$4018,$E$6+629))</f>
        <v/>
      </c>
      <c r="B647" s="29">
        <f>IF(A647="","",INDEX('자료_한국심리'!$B$3:$B$4002,MATCH(A647,$U$19:$U$4018,0)))</f>
        <v/>
      </c>
      <c r="C647" s="22">
        <f>IF(A647="","",B647/AVERAGE(B523:B647)-1)</f>
        <v/>
      </c>
      <c r="D647" s="29">
        <f>IF(A647="","",IFERROR(INDEX('자료_한국심리'!$E$3:$E$4002,MATCH(A647,$V$19:$V$4018,0)),D646))</f>
        <v/>
      </c>
      <c r="E647" s="30">
        <f>IF(A647="","",IFERROR(INDEX('자료_한국심리'!$H$3:$H$4002,MATCH(A647,$W$19:$W$4018,0)),E646))</f>
        <v/>
      </c>
      <c r="F647" s="30">
        <f>IF(A647="","",IFERROR(INDEX('자료_한국심리'!$K$3:$K$4002,MATCH(A647,$X$19:$X$4018,0)),F646))</f>
        <v/>
      </c>
      <c r="G647" s="30">
        <f>IF(AND(ISNUMBER(E647),ISNUMBER(F647)),ROUND(E647-F647,6),"")</f>
        <v/>
      </c>
      <c r="H647" s="25">
        <f>IF(A647="","",IFERROR(INDEX('자료_한국심리'!$N$3:$N$4002,MATCH(A647,$Y$19:$Y$4018,0)),H646))</f>
        <v/>
      </c>
      <c r="I647" s="31">
        <f>IF(AND(ISNUMBER(H647),ISNUMBER(H627)),IF(H627&gt;0,H647/H627-1,""),"")</f>
        <v/>
      </c>
      <c r="J647">
        <f>IF(A647="",0,IF(A647&gt;$B$5,1,0))</f>
        <v/>
      </c>
      <c r="K647" s="29">
        <f>IF(AND(J647=1,ISNUMBER(D647)),D647,"")</f>
        <v/>
      </c>
      <c r="L647" s="30">
        <f>IF(AND(J647=1,ISNUMBER(G647)),G647,"")</f>
        <v/>
      </c>
      <c r="M647" s="22">
        <f>IF(AND(J647=1,ISNUMBER(C647)),C647,"")</f>
        <v/>
      </c>
      <c r="N647" s="31">
        <f>IF(AND(J647=1,ISNUMBER(I647)),I647,"")</f>
        <v/>
      </c>
      <c r="O647" s="11">
        <f>IF(K647="","",100-IF($G$13=1,50,(_xlfn.RANK.AVG(K647,$K$19:$K$1518,1)-1)/($G$13-1)*100))</f>
        <v/>
      </c>
      <c r="P647" s="11">
        <f>IF(L647="","",100-IF($G$14=1,50,(_xlfn.RANK.AVG(L647,$L$19:$L$1518,1)-1)/($G$14-1)*100))</f>
        <v/>
      </c>
      <c r="Q647" s="11">
        <f>IF(M647="","",IF($G$15=1,50,(_xlfn.RANK.AVG(M647,$M$19:$M$1518,1)-1)/($G$15-1)*100))</f>
        <v/>
      </c>
      <c r="R647" s="11">
        <f>IF(N647="","",IF($G$16=1,50,(_xlfn.RANK.AVG(N647,$N$19:$N$1518,1)-1)/($G$16-1)*100))</f>
        <v/>
      </c>
      <c r="S647" s="11">
        <f>IF(COUNT(O647:R647)=4,ROUND(AVERAGE(O647:R647),6),"")</f>
        <v/>
      </c>
      <c r="U647">
        <f>IF(AND(ISNUMBER('자료_한국심리'!$A631),ISNUMBER('자료_한국심리'!$B631)),'자료_한국심리'!$A631,"")</f>
        <v/>
      </c>
      <c r="V647">
        <f>IF(AND(ISNUMBER('자료_한국심리'!$D631),ISNUMBER('자료_한국심리'!$E631)),'자료_한국심리'!$D631,"")</f>
        <v/>
      </c>
      <c r="W647">
        <f>IF(AND(ISNUMBER('자료_한국심리'!$G631),ISNUMBER('자료_한국심리'!$H631)),'자료_한국심리'!$G631,"")</f>
        <v/>
      </c>
      <c r="X647">
        <f>IF(AND(ISNUMBER('자료_한국심리'!$J631),ISNUMBER('자료_한국심리'!$K631)),'자료_한국심리'!$J631,"")</f>
        <v/>
      </c>
      <c r="Y647">
        <f>IF(AND(ISNUMBER('자료_한국심리'!$M631),ISNUMBER('자료_한국심리'!$N631)),'자료_한국심리'!$M631,"")</f>
        <v/>
      </c>
    </row>
    <row r="648">
      <c r="A648" s="10">
        <f>IF(630&gt;$E$5,"",SMALL($U$19:$U$4018,$E$6+630))</f>
        <v/>
      </c>
      <c r="B648" s="29">
        <f>IF(A648="","",INDEX('자료_한국심리'!$B$3:$B$4002,MATCH(A648,$U$19:$U$4018,0)))</f>
        <v/>
      </c>
      <c r="C648" s="22">
        <f>IF(A648="","",B648/AVERAGE(B524:B648)-1)</f>
        <v/>
      </c>
      <c r="D648" s="29">
        <f>IF(A648="","",IFERROR(INDEX('자료_한국심리'!$E$3:$E$4002,MATCH(A648,$V$19:$V$4018,0)),D647))</f>
        <v/>
      </c>
      <c r="E648" s="30">
        <f>IF(A648="","",IFERROR(INDEX('자료_한국심리'!$H$3:$H$4002,MATCH(A648,$W$19:$W$4018,0)),E647))</f>
        <v/>
      </c>
      <c r="F648" s="30">
        <f>IF(A648="","",IFERROR(INDEX('자료_한국심리'!$K$3:$K$4002,MATCH(A648,$X$19:$X$4018,0)),F647))</f>
        <v/>
      </c>
      <c r="G648" s="30">
        <f>IF(AND(ISNUMBER(E648),ISNUMBER(F648)),ROUND(E648-F648,6),"")</f>
        <v/>
      </c>
      <c r="H648" s="25">
        <f>IF(A648="","",IFERROR(INDEX('자료_한국심리'!$N$3:$N$4002,MATCH(A648,$Y$19:$Y$4018,0)),H647))</f>
        <v/>
      </c>
      <c r="I648" s="31">
        <f>IF(AND(ISNUMBER(H648),ISNUMBER(H628)),IF(H628&gt;0,H648/H628-1,""),"")</f>
        <v/>
      </c>
      <c r="J648">
        <f>IF(A648="",0,IF(A648&gt;$B$5,1,0))</f>
        <v/>
      </c>
      <c r="K648" s="29">
        <f>IF(AND(J648=1,ISNUMBER(D648)),D648,"")</f>
        <v/>
      </c>
      <c r="L648" s="30">
        <f>IF(AND(J648=1,ISNUMBER(G648)),G648,"")</f>
        <v/>
      </c>
      <c r="M648" s="22">
        <f>IF(AND(J648=1,ISNUMBER(C648)),C648,"")</f>
        <v/>
      </c>
      <c r="N648" s="31">
        <f>IF(AND(J648=1,ISNUMBER(I648)),I648,"")</f>
        <v/>
      </c>
      <c r="O648" s="11">
        <f>IF(K648="","",100-IF($G$13=1,50,(_xlfn.RANK.AVG(K648,$K$19:$K$1518,1)-1)/($G$13-1)*100))</f>
        <v/>
      </c>
      <c r="P648" s="11">
        <f>IF(L648="","",100-IF($G$14=1,50,(_xlfn.RANK.AVG(L648,$L$19:$L$1518,1)-1)/($G$14-1)*100))</f>
        <v/>
      </c>
      <c r="Q648" s="11">
        <f>IF(M648="","",IF($G$15=1,50,(_xlfn.RANK.AVG(M648,$M$19:$M$1518,1)-1)/($G$15-1)*100))</f>
        <v/>
      </c>
      <c r="R648" s="11">
        <f>IF(N648="","",IF($G$16=1,50,(_xlfn.RANK.AVG(N648,$N$19:$N$1518,1)-1)/($G$16-1)*100))</f>
        <v/>
      </c>
      <c r="S648" s="11">
        <f>IF(COUNT(O648:R648)=4,ROUND(AVERAGE(O648:R648),6),"")</f>
        <v/>
      </c>
      <c r="U648">
        <f>IF(AND(ISNUMBER('자료_한국심리'!$A632),ISNUMBER('자료_한국심리'!$B632)),'자료_한국심리'!$A632,"")</f>
        <v/>
      </c>
      <c r="V648">
        <f>IF(AND(ISNUMBER('자료_한국심리'!$D632),ISNUMBER('자료_한국심리'!$E632)),'자료_한국심리'!$D632,"")</f>
        <v/>
      </c>
      <c r="W648">
        <f>IF(AND(ISNUMBER('자료_한국심리'!$G632),ISNUMBER('자료_한국심리'!$H632)),'자료_한국심리'!$G632,"")</f>
        <v/>
      </c>
      <c r="X648">
        <f>IF(AND(ISNUMBER('자료_한국심리'!$J632),ISNUMBER('자료_한국심리'!$K632)),'자료_한국심리'!$J632,"")</f>
        <v/>
      </c>
      <c r="Y648">
        <f>IF(AND(ISNUMBER('자료_한국심리'!$M632),ISNUMBER('자료_한국심리'!$N632)),'자료_한국심리'!$M632,"")</f>
        <v/>
      </c>
    </row>
    <row r="649">
      <c r="A649" s="10">
        <f>IF(631&gt;$E$5,"",SMALL($U$19:$U$4018,$E$6+631))</f>
        <v/>
      </c>
      <c r="B649" s="29">
        <f>IF(A649="","",INDEX('자료_한국심리'!$B$3:$B$4002,MATCH(A649,$U$19:$U$4018,0)))</f>
        <v/>
      </c>
      <c r="C649" s="22">
        <f>IF(A649="","",B649/AVERAGE(B525:B649)-1)</f>
        <v/>
      </c>
      <c r="D649" s="29">
        <f>IF(A649="","",IFERROR(INDEX('자료_한국심리'!$E$3:$E$4002,MATCH(A649,$V$19:$V$4018,0)),D648))</f>
        <v/>
      </c>
      <c r="E649" s="30">
        <f>IF(A649="","",IFERROR(INDEX('자료_한국심리'!$H$3:$H$4002,MATCH(A649,$W$19:$W$4018,0)),E648))</f>
        <v/>
      </c>
      <c r="F649" s="30">
        <f>IF(A649="","",IFERROR(INDEX('자료_한국심리'!$K$3:$K$4002,MATCH(A649,$X$19:$X$4018,0)),F648))</f>
        <v/>
      </c>
      <c r="G649" s="30">
        <f>IF(AND(ISNUMBER(E649),ISNUMBER(F649)),ROUND(E649-F649,6),"")</f>
        <v/>
      </c>
      <c r="H649" s="25">
        <f>IF(A649="","",IFERROR(INDEX('자료_한국심리'!$N$3:$N$4002,MATCH(A649,$Y$19:$Y$4018,0)),H648))</f>
        <v/>
      </c>
      <c r="I649" s="31">
        <f>IF(AND(ISNUMBER(H649),ISNUMBER(H629)),IF(H629&gt;0,H649/H629-1,""),"")</f>
        <v/>
      </c>
      <c r="J649">
        <f>IF(A649="",0,IF(A649&gt;$B$5,1,0))</f>
        <v/>
      </c>
      <c r="K649" s="29">
        <f>IF(AND(J649=1,ISNUMBER(D649)),D649,"")</f>
        <v/>
      </c>
      <c r="L649" s="30">
        <f>IF(AND(J649=1,ISNUMBER(G649)),G649,"")</f>
        <v/>
      </c>
      <c r="M649" s="22">
        <f>IF(AND(J649=1,ISNUMBER(C649)),C649,"")</f>
        <v/>
      </c>
      <c r="N649" s="31">
        <f>IF(AND(J649=1,ISNUMBER(I649)),I649,"")</f>
        <v/>
      </c>
      <c r="O649" s="11">
        <f>IF(K649="","",100-IF($G$13=1,50,(_xlfn.RANK.AVG(K649,$K$19:$K$1518,1)-1)/($G$13-1)*100))</f>
        <v/>
      </c>
      <c r="P649" s="11">
        <f>IF(L649="","",100-IF($G$14=1,50,(_xlfn.RANK.AVG(L649,$L$19:$L$1518,1)-1)/($G$14-1)*100))</f>
        <v/>
      </c>
      <c r="Q649" s="11">
        <f>IF(M649="","",IF($G$15=1,50,(_xlfn.RANK.AVG(M649,$M$19:$M$1518,1)-1)/($G$15-1)*100))</f>
        <v/>
      </c>
      <c r="R649" s="11">
        <f>IF(N649="","",IF($G$16=1,50,(_xlfn.RANK.AVG(N649,$N$19:$N$1518,1)-1)/($G$16-1)*100))</f>
        <v/>
      </c>
      <c r="S649" s="11">
        <f>IF(COUNT(O649:R649)=4,ROUND(AVERAGE(O649:R649),6),"")</f>
        <v/>
      </c>
      <c r="U649">
        <f>IF(AND(ISNUMBER('자료_한국심리'!$A633),ISNUMBER('자료_한국심리'!$B633)),'자료_한국심리'!$A633,"")</f>
        <v/>
      </c>
      <c r="V649">
        <f>IF(AND(ISNUMBER('자료_한국심리'!$D633),ISNUMBER('자료_한국심리'!$E633)),'자료_한국심리'!$D633,"")</f>
        <v/>
      </c>
      <c r="W649">
        <f>IF(AND(ISNUMBER('자료_한국심리'!$G633),ISNUMBER('자료_한국심리'!$H633)),'자료_한국심리'!$G633,"")</f>
        <v/>
      </c>
      <c r="X649">
        <f>IF(AND(ISNUMBER('자료_한국심리'!$J633),ISNUMBER('자료_한국심리'!$K633)),'자료_한국심리'!$J633,"")</f>
        <v/>
      </c>
      <c r="Y649">
        <f>IF(AND(ISNUMBER('자료_한국심리'!$M633),ISNUMBER('자료_한국심리'!$N633)),'자료_한국심리'!$M633,"")</f>
        <v/>
      </c>
    </row>
    <row r="650">
      <c r="A650" s="10">
        <f>IF(632&gt;$E$5,"",SMALL($U$19:$U$4018,$E$6+632))</f>
        <v/>
      </c>
      <c r="B650" s="29">
        <f>IF(A650="","",INDEX('자료_한국심리'!$B$3:$B$4002,MATCH(A650,$U$19:$U$4018,0)))</f>
        <v/>
      </c>
      <c r="C650" s="22">
        <f>IF(A650="","",B650/AVERAGE(B526:B650)-1)</f>
        <v/>
      </c>
      <c r="D650" s="29">
        <f>IF(A650="","",IFERROR(INDEX('자료_한국심리'!$E$3:$E$4002,MATCH(A650,$V$19:$V$4018,0)),D649))</f>
        <v/>
      </c>
      <c r="E650" s="30">
        <f>IF(A650="","",IFERROR(INDEX('자료_한국심리'!$H$3:$H$4002,MATCH(A650,$W$19:$W$4018,0)),E649))</f>
        <v/>
      </c>
      <c r="F650" s="30">
        <f>IF(A650="","",IFERROR(INDEX('자료_한국심리'!$K$3:$K$4002,MATCH(A650,$X$19:$X$4018,0)),F649))</f>
        <v/>
      </c>
      <c r="G650" s="30">
        <f>IF(AND(ISNUMBER(E650),ISNUMBER(F650)),ROUND(E650-F650,6),"")</f>
        <v/>
      </c>
      <c r="H650" s="25">
        <f>IF(A650="","",IFERROR(INDEX('자료_한국심리'!$N$3:$N$4002,MATCH(A650,$Y$19:$Y$4018,0)),H649))</f>
        <v/>
      </c>
      <c r="I650" s="31">
        <f>IF(AND(ISNUMBER(H650),ISNUMBER(H630)),IF(H630&gt;0,H650/H630-1,""),"")</f>
        <v/>
      </c>
      <c r="J650">
        <f>IF(A650="",0,IF(A650&gt;$B$5,1,0))</f>
        <v/>
      </c>
      <c r="K650" s="29">
        <f>IF(AND(J650=1,ISNUMBER(D650)),D650,"")</f>
        <v/>
      </c>
      <c r="L650" s="30">
        <f>IF(AND(J650=1,ISNUMBER(G650)),G650,"")</f>
        <v/>
      </c>
      <c r="M650" s="22">
        <f>IF(AND(J650=1,ISNUMBER(C650)),C650,"")</f>
        <v/>
      </c>
      <c r="N650" s="31">
        <f>IF(AND(J650=1,ISNUMBER(I650)),I650,"")</f>
        <v/>
      </c>
      <c r="O650" s="11">
        <f>IF(K650="","",100-IF($G$13=1,50,(_xlfn.RANK.AVG(K650,$K$19:$K$1518,1)-1)/($G$13-1)*100))</f>
        <v/>
      </c>
      <c r="P650" s="11">
        <f>IF(L650="","",100-IF($G$14=1,50,(_xlfn.RANK.AVG(L650,$L$19:$L$1518,1)-1)/($G$14-1)*100))</f>
        <v/>
      </c>
      <c r="Q650" s="11">
        <f>IF(M650="","",IF($G$15=1,50,(_xlfn.RANK.AVG(M650,$M$19:$M$1518,1)-1)/($G$15-1)*100))</f>
        <v/>
      </c>
      <c r="R650" s="11">
        <f>IF(N650="","",IF($G$16=1,50,(_xlfn.RANK.AVG(N650,$N$19:$N$1518,1)-1)/($G$16-1)*100))</f>
        <v/>
      </c>
      <c r="S650" s="11">
        <f>IF(COUNT(O650:R650)=4,ROUND(AVERAGE(O650:R650),6),"")</f>
        <v/>
      </c>
      <c r="U650">
        <f>IF(AND(ISNUMBER('자료_한국심리'!$A634),ISNUMBER('자료_한국심리'!$B634)),'자료_한국심리'!$A634,"")</f>
        <v/>
      </c>
      <c r="V650">
        <f>IF(AND(ISNUMBER('자료_한국심리'!$D634),ISNUMBER('자료_한국심리'!$E634)),'자료_한국심리'!$D634,"")</f>
        <v/>
      </c>
      <c r="W650">
        <f>IF(AND(ISNUMBER('자료_한국심리'!$G634),ISNUMBER('자료_한국심리'!$H634)),'자료_한국심리'!$G634,"")</f>
        <v/>
      </c>
      <c r="X650">
        <f>IF(AND(ISNUMBER('자료_한국심리'!$J634),ISNUMBER('자료_한국심리'!$K634)),'자료_한국심리'!$J634,"")</f>
        <v/>
      </c>
      <c r="Y650">
        <f>IF(AND(ISNUMBER('자료_한국심리'!$M634),ISNUMBER('자료_한국심리'!$N634)),'자료_한국심리'!$M634,"")</f>
        <v/>
      </c>
    </row>
    <row r="651">
      <c r="A651" s="10">
        <f>IF(633&gt;$E$5,"",SMALL($U$19:$U$4018,$E$6+633))</f>
        <v/>
      </c>
      <c r="B651" s="29">
        <f>IF(A651="","",INDEX('자료_한국심리'!$B$3:$B$4002,MATCH(A651,$U$19:$U$4018,0)))</f>
        <v/>
      </c>
      <c r="C651" s="22">
        <f>IF(A651="","",B651/AVERAGE(B527:B651)-1)</f>
        <v/>
      </c>
      <c r="D651" s="29">
        <f>IF(A651="","",IFERROR(INDEX('자료_한국심리'!$E$3:$E$4002,MATCH(A651,$V$19:$V$4018,0)),D650))</f>
        <v/>
      </c>
      <c r="E651" s="30">
        <f>IF(A651="","",IFERROR(INDEX('자료_한국심리'!$H$3:$H$4002,MATCH(A651,$W$19:$W$4018,0)),E650))</f>
        <v/>
      </c>
      <c r="F651" s="30">
        <f>IF(A651="","",IFERROR(INDEX('자료_한국심리'!$K$3:$K$4002,MATCH(A651,$X$19:$X$4018,0)),F650))</f>
        <v/>
      </c>
      <c r="G651" s="30">
        <f>IF(AND(ISNUMBER(E651),ISNUMBER(F651)),ROUND(E651-F651,6),"")</f>
        <v/>
      </c>
      <c r="H651" s="25">
        <f>IF(A651="","",IFERROR(INDEX('자료_한국심리'!$N$3:$N$4002,MATCH(A651,$Y$19:$Y$4018,0)),H650))</f>
        <v/>
      </c>
      <c r="I651" s="31">
        <f>IF(AND(ISNUMBER(H651),ISNUMBER(H631)),IF(H631&gt;0,H651/H631-1,""),"")</f>
        <v/>
      </c>
      <c r="J651">
        <f>IF(A651="",0,IF(A651&gt;$B$5,1,0))</f>
        <v/>
      </c>
      <c r="K651" s="29">
        <f>IF(AND(J651=1,ISNUMBER(D651)),D651,"")</f>
        <v/>
      </c>
      <c r="L651" s="30">
        <f>IF(AND(J651=1,ISNUMBER(G651)),G651,"")</f>
        <v/>
      </c>
      <c r="M651" s="22">
        <f>IF(AND(J651=1,ISNUMBER(C651)),C651,"")</f>
        <v/>
      </c>
      <c r="N651" s="31">
        <f>IF(AND(J651=1,ISNUMBER(I651)),I651,"")</f>
        <v/>
      </c>
      <c r="O651" s="11">
        <f>IF(K651="","",100-IF($G$13=1,50,(_xlfn.RANK.AVG(K651,$K$19:$K$1518,1)-1)/($G$13-1)*100))</f>
        <v/>
      </c>
      <c r="P651" s="11">
        <f>IF(L651="","",100-IF($G$14=1,50,(_xlfn.RANK.AVG(L651,$L$19:$L$1518,1)-1)/($G$14-1)*100))</f>
        <v/>
      </c>
      <c r="Q651" s="11">
        <f>IF(M651="","",IF($G$15=1,50,(_xlfn.RANK.AVG(M651,$M$19:$M$1518,1)-1)/($G$15-1)*100))</f>
        <v/>
      </c>
      <c r="R651" s="11">
        <f>IF(N651="","",IF($G$16=1,50,(_xlfn.RANK.AVG(N651,$N$19:$N$1518,1)-1)/($G$16-1)*100))</f>
        <v/>
      </c>
      <c r="S651" s="11">
        <f>IF(COUNT(O651:R651)=4,ROUND(AVERAGE(O651:R651),6),"")</f>
        <v/>
      </c>
      <c r="U651">
        <f>IF(AND(ISNUMBER('자료_한국심리'!$A635),ISNUMBER('자료_한국심리'!$B635)),'자료_한국심리'!$A635,"")</f>
        <v/>
      </c>
      <c r="V651">
        <f>IF(AND(ISNUMBER('자료_한국심리'!$D635),ISNUMBER('자료_한국심리'!$E635)),'자료_한국심리'!$D635,"")</f>
        <v/>
      </c>
      <c r="W651">
        <f>IF(AND(ISNUMBER('자료_한국심리'!$G635),ISNUMBER('자료_한국심리'!$H635)),'자료_한국심리'!$G635,"")</f>
        <v/>
      </c>
      <c r="X651">
        <f>IF(AND(ISNUMBER('자료_한국심리'!$J635),ISNUMBER('자료_한국심리'!$K635)),'자료_한국심리'!$J635,"")</f>
        <v/>
      </c>
      <c r="Y651">
        <f>IF(AND(ISNUMBER('자료_한국심리'!$M635),ISNUMBER('자료_한국심리'!$N635)),'자료_한국심리'!$M635,"")</f>
        <v/>
      </c>
    </row>
    <row r="652">
      <c r="A652" s="10">
        <f>IF(634&gt;$E$5,"",SMALL($U$19:$U$4018,$E$6+634))</f>
        <v/>
      </c>
      <c r="B652" s="29">
        <f>IF(A652="","",INDEX('자료_한국심리'!$B$3:$B$4002,MATCH(A652,$U$19:$U$4018,0)))</f>
        <v/>
      </c>
      <c r="C652" s="22">
        <f>IF(A652="","",B652/AVERAGE(B528:B652)-1)</f>
        <v/>
      </c>
      <c r="D652" s="29">
        <f>IF(A652="","",IFERROR(INDEX('자료_한국심리'!$E$3:$E$4002,MATCH(A652,$V$19:$V$4018,0)),D651))</f>
        <v/>
      </c>
      <c r="E652" s="30">
        <f>IF(A652="","",IFERROR(INDEX('자료_한국심리'!$H$3:$H$4002,MATCH(A652,$W$19:$W$4018,0)),E651))</f>
        <v/>
      </c>
      <c r="F652" s="30">
        <f>IF(A652="","",IFERROR(INDEX('자료_한국심리'!$K$3:$K$4002,MATCH(A652,$X$19:$X$4018,0)),F651))</f>
        <v/>
      </c>
      <c r="G652" s="30">
        <f>IF(AND(ISNUMBER(E652),ISNUMBER(F652)),ROUND(E652-F652,6),"")</f>
        <v/>
      </c>
      <c r="H652" s="25">
        <f>IF(A652="","",IFERROR(INDEX('자료_한국심리'!$N$3:$N$4002,MATCH(A652,$Y$19:$Y$4018,0)),H651))</f>
        <v/>
      </c>
      <c r="I652" s="31">
        <f>IF(AND(ISNUMBER(H652),ISNUMBER(H632)),IF(H632&gt;0,H652/H632-1,""),"")</f>
        <v/>
      </c>
      <c r="J652">
        <f>IF(A652="",0,IF(A652&gt;$B$5,1,0))</f>
        <v/>
      </c>
      <c r="K652" s="29">
        <f>IF(AND(J652=1,ISNUMBER(D652)),D652,"")</f>
        <v/>
      </c>
      <c r="L652" s="30">
        <f>IF(AND(J652=1,ISNUMBER(G652)),G652,"")</f>
        <v/>
      </c>
      <c r="M652" s="22">
        <f>IF(AND(J652=1,ISNUMBER(C652)),C652,"")</f>
        <v/>
      </c>
      <c r="N652" s="31">
        <f>IF(AND(J652=1,ISNUMBER(I652)),I652,"")</f>
        <v/>
      </c>
      <c r="O652" s="11">
        <f>IF(K652="","",100-IF($G$13=1,50,(_xlfn.RANK.AVG(K652,$K$19:$K$1518,1)-1)/($G$13-1)*100))</f>
        <v/>
      </c>
      <c r="P652" s="11">
        <f>IF(L652="","",100-IF($G$14=1,50,(_xlfn.RANK.AVG(L652,$L$19:$L$1518,1)-1)/($G$14-1)*100))</f>
        <v/>
      </c>
      <c r="Q652" s="11">
        <f>IF(M652="","",IF($G$15=1,50,(_xlfn.RANK.AVG(M652,$M$19:$M$1518,1)-1)/($G$15-1)*100))</f>
        <v/>
      </c>
      <c r="R652" s="11">
        <f>IF(N652="","",IF($G$16=1,50,(_xlfn.RANK.AVG(N652,$N$19:$N$1518,1)-1)/($G$16-1)*100))</f>
        <v/>
      </c>
      <c r="S652" s="11">
        <f>IF(COUNT(O652:R652)=4,ROUND(AVERAGE(O652:R652),6),"")</f>
        <v/>
      </c>
      <c r="U652">
        <f>IF(AND(ISNUMBER('자료_한국심리'!$A636),ISNUMBER('자료_한국심리'!$B636)),'자료_한국심리'!$A636,"")</f>
        <v/>
      </c>
      <c r="V652">
        <f>IF(AND(ISNUMBER('자료_한국심리'!$D636),ISNUMBER('자료_한국심리'!$E636)),'자료_한국심리'!$D636,"")</f>
        <v/>
      </c>
      <c r="W652">
        <f>IF(AND(ISNUMBER('자료_한국심리'!$G636),ISNUMBER('자료_한국심리'!$H636)),'자료_한국심리'!$G636,"")</f>
        <v/>
      </c>
      <c r="X652">
        <f>IF(AND(ISNUMBER('자료_한국심리'!$J636),ISNUMBER('자료_한국심리'!$K636)),'자료_한국심리'!$J636,"")</f>
        <v/>
      </c>
      <c r="Y652">
        <f>IF(AND(ISNUMBER('자료_한국심리'!$M636),ISNUMBER('자료_한국심리'!$N636)),'자료_한국심리'!$M636,"")</f>
        <v/>
      </c>
    </row>
    <row r="653">
      <c r="A653" s="10">
        <f>IF(635&gt;$E$5,"",SMALL($U$19:$U$4018,$E$6+635))</f>
        <v/>
      </c>
      <c r="B653" s="29">
        <f>IF(A653="","",INDEX('자료_한국심리'!$B$3:$B$4002,MATCH(A653,$U$19:$U$4018,0)))</f>
        <v/>
      </c>
      <c r="C653" s="22">
        <f>IF(A653="","",B653/AVERAGE(B529:B653)-1)</f>
        <v/>
      </c>
      <c r="D653" s="29">
        <f>IF(A653="","",IFERROR(INDEX('자료_한국심리'!$E$3:$E$4002,MATCH(A653,$V$19:$V$4018,0)),D652))</f>
        <v/>
      </c>
      <c r="E653" s="30">
        <f>IF(A653="","",IFERROR(INDEX('자료_한국심리'!$H$3:$H$4002,MATCH(A653,$W$19:$W$4018,0)),E652))</f>
        <v/>
      </c>
      <c r="F653" s="30">
        <f>IF(A653="","",IFERROR(INDEX('자료_한국심리'!$K$3:$K$4002,MATCH(A653,$X$19:$X$4018,0)),F652))</f>
        <v/>
      </c>
      <c r="G653" s="30">
        <f>IF(AND(ISNUMBER(E653),ISNUMBER(F653)),ROUND(E653-F653,6),"")</f>
        <v/>
      </c>
      <c r="H653" s="25">
        <f>IF(A653="","",IFERROR(INDEX('자료_한국심리'!$N$3:$N$4002,MATCH(A653,$Y$19:$Y$4018,0)),H652))</f>
        <v/>
      </c>
      <c r="I653" s="31">
        <f>IF(AND(ISNUMBER(H653),ISNUMBER(H633)),IF(H633&gt;0,H653/H633-1,""),"")</f>
        <v/>
      </c>
      <c r="J653">
        <f>IF(A653="",0,IF(A653&gt;$B$5,1,0))</f>
        <v/>
      </c>
      <c r="K653" s="29">
        <f>IF(AND(J653=1,ISNUMBER(D653)),D653,"")</f>
        <v/>
      </c>
      <c r="L653" s="30">
        <f>IF(AND(J653=1,ISNUMBER(G653)),G653,"")</f>
        <v/>
      </c>
      <c r="M653" s="22">
        <f>IF(AND(J653=1,ISNUMBER(C653)),C653,"")</f>
        <v/>
      </c>
      <c r="N653" s="31">
        <f>IF(AND(J653=1,ISNUMBER(I653)),I653,"")</f>
        <v/>
      </c>
      <c r="O653" s="11">
        <f>IF(K653="","",100-IF($G$13=1,50,(_xlfn.RANK.AVG(K653,$K$19:$K$1518,1)-1)/($G$13-1)*100))</f>
        <v/>
      </c>
      <c r="P653" s="11">
        <f>IF(L653="","",100-IF($G$14=1,50,(_xlfn.RANK.AVG(L653,$L$19:$L$1518,1)-1)/($G$14-1)*100))</f>
        <v/>
      </c>
      <c r="Q653" s="11">
        <f>IF(M653="","",IF($G$15=1,50,(_xlfn.RANK.AVG(M653,$M$19:$M$1518,1)-1)/($G$15-1)*100))</f>
        <v/>
      </c>
      <c r="R653" s="11">
        <f>IF(N653="","",IF($G$16=1,50,(_xlfn.RANK.AVG(N653,$N$19:$N$1518,1)-1)/($G$16-1)*100))</f>
        <v/>
      </c>
      <c r="S653" s="11">
        <f>IF(COUNT(O653:R653)=4,ROUND(AVERAGE(O653:R653),6),"")</f>
        <v/>
      </c>
      <c r="U653">
        <f>IF(AND(ISNUMBER('자료_한국심리'!$A637),ISNUMBER('자료_한국심리'!$B637)),'자료_한국심리'!$A637,"")</f>
        <v/>
      </c>
      <c r="V653">
        <f>IF(AND(ISNUMBER('자료_한국심리'!$D637),ISNUMBER('자료_한국심리'!$E637)),'자료_한국심리'!$D637,"")</f>
        <v/>
      </c>
      <c r="W653">
        <f>IF(AND(ISNUMBER('자료_한국심리'!$G637),ISNUMBER('자료_한국심리'!$H637)),'자료_한국심리'!$G637,"")</f>
        <v/>
      </c>
      <c r="X653">
        <f>IF(AND(ISNUMBER('자료_한국심리'!$J637),ISNUMBER('자료_한국심리'!$K637)),'자료_한국심리'!$J637,"")</f>
        <v/>
      </c>
      <c r="Y653">
        <f>IF(AND(ISNUMBER('자료_한국심리'!$M637),ISNUMBER('자료_한국심리'!$N637)),'자료_한국심리'!$M637,"")</f>
        <v/>
      </c>
    </row>
    <row r="654">
      <c r="A654" s="10">
        <f>IF(636&gt;$E$5,"",SMALL($U$19:$U$4018,$E$6+636))</f>
        <v/>
      </c>
      <c r="B654" s="29">
        <f>IF(A654="","",INDEX('자료_한국심리'!$B$3:$B$4002,MATCH(A654,$U$19:$U$4018,0)))</f>
        <v/>
      </c>
      <c r="C654" s="22">
        <f>IF(A654="","",B654/AVERAGE(B530:B654)-1)</f>
        <v/>
      </c>
      <c r="D654" s="29">
        <f>IF(A654="","",IFERROR(INDEX('자료_한국심리'!$E$3:$E$4002,MATCH(A654,$V$19:$V$4018,0)),D653))</f>
        <v/>
      </c>
      <c r="E654" s="30">
        <f>IF(A654="","",IFERROR(INDEX('자료_한국심리'!$H$3:$H$4002,MATCH(A654,$W$19:$W$4018,0)),E653))</f>
        <v/>
      </c>
      <c r="F654" s="30">
        <f>IF(A654="","",IFERROR(INDEX('자료_한국심리'!$K$3:$K$4002,MATCH(A654,$X$19:$X$4018,0)),F653))</f>
        <v/>
      </c>
      <c r="G654" s="30">
        <f>IF(AND(ISNUMBER(E654),ISNUMBER(F654)),ROUND(E654-F654,6),"")</f>
        <v/>
      </c>
      <c r="H654" s="25">
        <f>IF(A654="","",IFERROR(INDEX('자료_한국심리'!$N$3:$N$4002,MATCH(A654,$Y$19:$Y$4018,0)),H653))</f>
        <v/>
      </c>
      <c r="I654" s="31">
        <f>IF(AND(ISNUMBER(H654),ISNUMBER(H634)),IF(H634&gt;0,H654/H634-1,""),"")</f>
        <v/>
      </c>
      <c r="J654">
        <f>IF(A654="",0,IF(A654&gt;$B$5,1,0))</f>
        <v/>
      </c>
      <c r="K654" s="29">
        <f>IF(AND(J654=1,ISNUMBER(D654)),D654,"")</f>
        <v/>
      </c>
      <c r="L654" s="30">
        <f>IF(AND(J654=1,ISNUMBER(G654)),G654,"")</f>
        <v/>
      </c>
      <c r="M654" s="22">
        <f>IF(AND(J654=1,ISNUMBER(C654)),C654,"")</f>
        <v/>
      </c>
      <c r="N654" s="31">
        <f>IF(AND(J654=1,ISNUMBER(I654)),I654,"")</f>
        <v/>
      </c>
      <c r="O654" s="11">
        <f>IF(K654="","",100-IF($G$13=1,50,(_xlfn.RANK.AVG(K654,$K$19:$K$1518,1)-1)/($G$13-1)*100))</f>
        <v/>
      </c>
      <c r="P654" s="11">
        <f>IF(L654="","",100-IF($G$14=1,50,(_xlfn.RANK.AVG(L654,$L$19:$L$1518,1)-1)/($G$14-1)*100))</f>
        <v/>
      </c>
      <c r="Q654" s="11">
        <f>IF(M654="","",IF($G$15=1,50,(_xlfn.RANK.AVG(M654,$M$19:$M$1518,1)-1)/($G$15-1)*100))</f>
        <v/>
      </c>
      <c r="R654" s="11">
        <f>IF(N654="","",IF($G$16=1,50,(_xlfn.RANK.AVG(N654,$N$19:$N$1518,1)-1)/($G$16-1)*100))</f>
        <v/>
      </c>
      <c r="S654" s="11">
        <f>IF(COUNT(O654:R654)=4,ROUND(AVERAGE(O654:R654),6),"")</f>
        <v/>
      </c>
      <c r="U654">
        <f>IF(AND(ISNUMBER('자료_한국심리'!$A638),ISNUMBER('자료_한국심리'!$B638)),'자료_한국심리'!$A638,"")</f>
        <v/>
      </c>
      <c r="V654">
        <f>IF(AND(ISNUMBER('자료_한국심리'!$D638),ISNUMBER('자료_한국심리'!$E638)),'자료_한국심리'!$D638,"")</f>
        <v/>
      </c>
      <c r="W654">
        <f>IF(AND(ISNUMBER('자료_한국심리'!$G638),ISNUMBER('자료_한국심리'!$H638)),'자료_한국심리'!$G638,"")</f>
        <v/>
      </c>
      <c r="X654">
        <f>IF(AND(ISNUMBER('자료_한국심리'!$J638),ISNUMBER('자료_한국심리'!$K638)),'자료_한국심리'!$J638,"")</f>
        <v/>
      </c>
      <c r="Y654">
        <f>IF(AND(ISNUMBER('자료_한국심리'!$M638),ISNUMBER('자료_한국심리'!$N638)),'자료_한국심리'!$M638,"")</f>
        <v/>
      </c>
    </row>
    <row r="655">
      <c r="A655" s="10">
        <f>IF(637&gt;$E$5,"",SMALL($U$19:$U$4018,$E$6+637))</f>
        <v/>
      </c>
      <c r="B655" s="29">
        <f>IF(A655="","",INDEX('자료_한국심리'!$B$3:$B$4002,MATCH(A655,$U$19:$U$4018,0)))</f>
        <v/>
      </c>
      <c r="C655" s="22">
        <f>IF(A655="","",B655/AVERAGE(B531:B655)-1)</f>
        <v/>
      </c>
      <c r="D655" s="29">
        <f>IF(A655="","",IFERROR(INDEX('자료_한국심리'!$E$3:$E$4002,MATCH(A655,$V$19:$V$4018,0)),D654))</f>
        <v/>
      </c>
      <c r="E655" s="30">
        <f>IF(A655="","",IFERROR(INDEX('자료_한국심리'!$H$3:$H$4002,MATCH(A655,$W$19:$W$4018,0)),E654))</f>
        <v/>
      </c>
      <c r="F655" s="30">
        <f>IF(A655="","",IFERROR(INDEX('자료_한국심리'!$K$3:$K$4002,MATCH(A655,$X$19:$X$4018,0)),F654))</f>
        <v/>
      </c>
      <c r="G655" s="30">
        <f>IF(AND(ISNUMBER(E655),ISNUMBER(F655)),ROUND(E655-F655,6),"")</f>
        <v/>
      </c>
      <c r="H655" s="25">
        <f>IF(A655="","",IFERROR(INDEX('자료_한국심리'!$N$3:$N$4002,MATCH(A655,$Y$19:$Y$4018,0)),H654))</f>
        <v/>
      </c>
      <c r="I655" s="31">
        <f>IF(AND(ISNUMBER(H655),ISNUMBER(H635)),IF(H635&gt;0,H655/H635-1,""),"")</f>
        <v/>
      </c>
      <c r="J655">
        <f>IF(A655="",0,IF(A655&gt;$B$5,1,0))</f>
        <v/>
      </c>
      <c r="K655" s="29">
        <f>IF(AND(J655=1,ISNUMBER(D655)),D655,"")</f>
        <v/>
      </c>
      <c r="L655" s="30">
        <f>IF(AND(J655=1,ISNUMBER(G655)),G655,"")</f>
        <v/>
      </c>
      <c r="M655" s="22">
        <f>IF(AND(J655=1,ISNUMBER(C655)),C655,"")</f>
        <v/>
      </c>
      <c r="N655" s="31">
        <f>IF(AND(J655=1,ISNUMBER(I655)),I655,"")</f>
        <v/>
      </c>
      <c r="O655" s="11">
        <f>IF(K655="","",100-IF($G$13=1,50,(_xlfn.RANK.AVG(K655,$K$19:$K$1518,1)-1)/($G$13-1)*100))</f>
        <v/>
      </c>
      <c r="P655" s="11">
        <f>IF(L655="","",100-IF($G$14=1,50,(_xlfn.RANK.AVG(L655,$L$19:$L$1518,1)-1)/($G$14-1)*100))</f>
        <v/>
      </c>
      <c r="Q655" s="11">
        <f>IF(M655="","",IF($G$15=1,50,(_xlfn.RANK.AVG(M655,$M$19:$M$1518,1)-1)/($G$15-1)*100))</f>
        <v/>
      </c>
      <c r="R655" s="11">
        <f>IF(N655="","",IF($G$16=1,50,(_xlfn.RANK.AVG(N655,$N$19:$N$1518,1)-1)/($G$16-1)*100))</f>
        <v/>
      </c>
      <c r="S655" s="11">
        <f>IF(COUNT(O655:R655)=4,ROUND(AVERAGE(O655:R655),6),"")</f>
        <v/>
      </c>
      <c r="U655">
        <f>IF(AND(ISNUMBER('자료_한국심리'!$A639),ISNUMBER('자료_한국심리'!$B639)),'자료_한국심리'!$A639,"")</f>
        <v/>
      </c>
      <c r="V655">
        <f>IF(AND(ISNUMBER('자료_한국심리'!$D639),ISNUMBER('자료_한국심리'!$E639)),'자료_한국심리'!$D639,"")</f>
        <v/>
      </c>
      <c r="W655">
        <f>IF(AND(ISNUMBER('자료_한국심리'!$G639),ISNUMBER('자료_한국심리'!$H639)),'자료_한국심리'!$G639,"")</f>
        <v/>
      </c>
      <c r="X655">
        <f>IF(AND(ISNUMBER('자료_한국심리'!$J639),ISNUMBER('자료_한국심리'!$K639)),'자료_한국심리'!$J639,"")</f>
        <v/>
      </c>
      <c r="Y655">
        <f>IF(AND(ISNUMBER('자료_한국심리'!$M639),ISNUMBER('자료_한국심리'!$N639)),'자료_한국심리'!$M639,"")</f>
        <v/>
      </c>
    </row>
    <row r="656">
      <c r="A656" s="10">
        <f>IF(638&gt;$E$5,"",SMALL($U$19:$U$4018,$E$6+638))</f>
        <v/>
      </c>
      <c r="B656" s="29">
        <f>IF(A656="","",INDEX('자료_한국심리'!$B$3:$B$4002,MATCH(A656,$U$19:$U$4018,0)))</f>
        <v/>
      </c>
      <c r="C656" s="22">
        <f>IF(A656="","",B656/AVERAGE(B532:B656)-1)</f>
        <v/>
      </c>
      <c r="D656" s="29">
        <f>IF(A656="","",IFERROR(INDEX('자료_한국심리'!$E$3:$E$4002,MATCH(A656,$V$19:$V$4018,0)),D655))</f>
        <v/>
      </c>
      <c r="E656" s="30">
        <f>IF(A656="","",IFERROR(INDEX('자료_한국심리'!$H$3:$H$4002,MATCH(A656,$W$19:$W$4018,0)),E655))</f>
        <v/>
      </c>
      <c r="F656" s="30">
        <f>IF(A656="","",IFERROR(INDEX('자료_한국심리'!$K$3:$K$4002,MATCH(A656,$X$19:$X$4018,0)),F655))</f>
        <v/>
      </c>
      <c r="G656" s="30">
        <f>IF(AND(ISNUMBER(E656),ISNUMBER(F656)),ROUND(E656-F656,6),"")</f>
        <v/>
      </c>
      <c r="H656" s="25">
        <f>IF(A656="","",IFERROR(INDEX('자료_한국심리'!$N$3:$N$4002,MATCH(A656,$Y$19:$Y$4018,0)),H655))</f>
        <v/>
      </c>
      <c r="I656" s="31">
        <f>IF(AND(ISNUMBER(H656),ISNUMBER(H636)),IF(H636&gt;0,H656/H636-1,""),"")</f>
        <v/>
      </c>
      <c r="J656">
        <f>IF(A656="",0,IF(A656&gt;$B$5,1,0))</f>
        <v/>
      </c>
      <c r="K656" s="29">
        <f>IF(AND(J656=1,ISNUMBER(D656)),D656,"")</f>
        <v/>
      </c>
      <c r="L656" s="30">
        <f>IF(AND(J656=1,ISNUMBER(G656)),G656,"")</f>
        <v/>
      </c>
      <c r="M656" s="22">
        <f>IF(AND(J656=1,ISNUMBER(C656)),C656,"")</f>
        <v/>
      </c>
      <c r="N656" s="31">
        <f>IF(AND(J656=1,ISNUMBER(I656)),I656,"")</f>
        <v/>
      </c>
      <c r="O656" s="11">
        <f>IF(K656="","",100-IF($G$13=1,50,(_xlfn.RANK.AVG(K656,$K$19:$K$1518,1)-1)/($G$13-1)*100))</f>
        <v/>
      </c>
      <c r="P656" s="11">
        <f>IF(L656="","",100-IF($G$14=1,50,(_xlfn.RANK.AVG(L656,$L$19:$L$1518,1)-1)/($G$14-1)*100))</f>
        <v/>
      </c>
      <c r="Q656" s="11">
        <f>IF(M656="","",IF($G$15=1,50,(_xlfn.RANK.AVG(M656,$M$19:$M$1518,1)-1)/($G$15-1)*100))</f>
        <v/>
      </c>
      <c r="R656" s="11">
        <f>IF(N656="","",IF($G$16=1,50,(_xlfn.RANK.AVG(N656,$N$19:$N$1518,1)-1)/($G$16-1)*100))</f>
        <v/>
      </c>
      <c r="S656" s="11">
        <f>IF(COUNT(O656:R656)=4,ROUND(AVERAGE(O656:R656),6),"")</f>
        <v/>
      </c>
      <c r="U656">
        <f>IF(AND(ISNUMBER('자료_한국심리'!$A640),ISNUMBER('자료_한국심리'!$B640)),'자료_한국심리'!$A640,"")</f>
        <v/>
      </c>
      <c r="V656">
        <f>IF(AND(ISNUMBER('자료_한국심리'!$D640),ISNUMBER('자료_한국심리'!$E640)),'자료_한국심리'!$D640,"")</f>
        <v/>
      </c>
      <c r="W656">
        <f>IF(AND(ISNUMBER('자료_한국심리'!$G640),ISNUMBER('자료_한국심리'!$H640)),'자료_한국심리'!$G640,"")</f>
        <v/>
      </c>
      <c r="X656">
        <f>IF(AND(ISNUMBER('자료_한국심리'!$J640),ISNUMBER('자료_한국심리'!$K640)),'자료_한국심리'!$J640,"")</f>
        <v/>
      </c>
      <c r="Y656">
        <f>IF(AND(ISNUMBER('자료_한국심리'!$M640),ISNUMBER('자료_한국심리'!$N640)),'자료_한국심리'!$M640,"")</f>
        <v/>
      </c>
    </row>
    <row r="657">
      <c r="A657" s="10">
        <f>IF(639&gt;$E$5,"",SMALL($U$19:$U$4018,$E$6+639))</f>
        <v/>
      </c>
      <c r="B657" s="29">
        <f>IF(A657="","",INDEX('자료_한국심리'!$B$3:$B$4002,MATCH(A657,$U$19:$U$4018,0)))</f>
        <v/>
      </c>
      <c r="C657" s="22">
        <f>IF(A657="","",B657/AVERAGE(B533:B657)-1)</f>
        <v/>
      </c>
      <c r="D657" s="29">
        <f>IF(A657="","",IFERROR(INDEX('자료_한국심리'!$E$3:$E$4002,MATCH(A657,$V$19:$V$4018,0)),D656))</f>
        <v/>
      </c>
      <c r="E657" s="30">
        <f>IF(A657="","",IFERROR(INDEX('자료_한국심리'!$H$3:$H$4002,MATCH(A657,$W$19:$W$4018,0)),E656))</f>
        <v/>
      </c>
      <c r="F657" s="30">
        <f>IF(A657="","",IFERROR(INDEX('자료_한국심리'!$K$3:$K$4002,MATCH(A657,$X$19:$X$4018,0)),F656))</f>
        <v/>
      </c>
      <c r="G657" s="30">
        <f>IF(AND(ISNUMBER(E657),ISNUMBER(F657)),ROUND(E657-F657,6),"")</f>
        <v/>
      </c>
      <c r="H657" s="25">
        <f>IF(A657="","",IFERROR(INDEX('자료_한국심리'!$N$3:$N$4002,MATCH(A657,$Y$19:$Y$4018,0)),H656))</f>
        <v/>
      </c>
      <c r="I657" s="31">
        <f>IF(AND(ISNUMBER(H657),ISNUMBER(H637)),IF(H637&gt;0,H657/H637-1,""),"")</f>
        <v/>
      </c>
      <c r="J657">
        <f>IF(A657="",0,IF(A657&gt;$B$5,1,0))</f>
        <v/>
      </c>
      <c r="K657" s="29">
        <f>IF(AND(J657=1,ISNUMBER(D657)),D657,"")</f>
        <v/>
      </c>
      <c r="L657" s="30">
        <f>IF(AND(J657=1,ISNUMBER(G657)),G657,"")</f>
        <v/>
      </c>
      <c r="M657" s="22">
        <f>IF(AND(J657=1,ISNUMBER(C657)),C657,"")</f>
        <v/>
      </c>
      <c r="N657" s="31">
        <f>IF(AND(J657=1,ISNUMBER(I657)),I657,"")</f>
        <v/>
      </c>
      <c r="O657" s="11">
        <f>IF(K657="","",100-IF($G$13=1,50,(_xlfn.RANK.AVG(K657,$K$19:$K$1518,1)-1)/($G$13-1)*100))</f>
        <v/>
      </c>
      <c r="P657" s="11">
        <f>IF(L657="","",100-IF($G$14=1,50,(_xlfn.RANK.AVG(L657,$L$19:$L$1518,1)-1)/($G$14-1)*100))</f>
        <v/>
      </c>
      <c r="Q657" s="11">
        <f>IF(M657="","",IF($G$15=1,50,(_xlfn.RANK.AVG(M657,$M$19:$M$1518,1)-1)/($G$15-1)*100))</f>
        <v/>
      </c>
      <c r="R657" s="11">
        <f>IF(N657="","",IF($G$16=1,50,(_xlfn.RANK.AVG(N657,$N$19:$N$1518,1)-1)/($G$16-1)*100))</f>
        <v/>
      </c>
      <c r="S657" s="11">
        <f>IF(COUNT(O657:R657)=4,ROUND(AVERAGE(O657:R657),6),"")</f>
        <v/>
      </c>
      <c r="U657">
        <f>IF(AND(ISNUMBER('자료_한국심리'!$A641),ISNUMBER('자료_한국심리'!$B641)),'자료_한국심리'!$A641,"")</f>
        <v/>
      </c>
      <c r="V657">
        <f>IF(AND(ISNUMBER('자료_한국심리'!$D641),ISNUMBER('자료_한국심리'!$E641)),'자료_한국심리'!$D641,"")</f>
        <v/>
      </c>
      <c r="W657">
        <f>IF(AND(ISNUMBER('자료_한국심리'!$G641),ISNUMBER('자료_한국심리'!$H641)),'자료_한국심리'!$G641,"")</f>
        <v/>
      </c>
      <c r="X657">
        <f>IF(AND(ISNUMBER('자료_한국심리'!$J641),ISNUMBER('자료_한국심리'!$K641)),'자료_한국심리'!$J641,"")</f>
        <v/>
      </c>
      <c r="Y657">
        <f>IF(AND(ISNUMBER('자료_한국심리'!$M641),ISNUMBER('자료_한국심리'!$N641)),'자료_한국심리'!$M641,"")</f>
        <v/>
      </c>
    </row>
    <row r="658">
      <c r="A658" s="10">
        <f>IF(640&gt;$E$5,"",SMALL($U$19:$U$4018,$E$6+640))</f>
        <v/>
      </c>
      <c r="B658" s="29">
        <f>IF(A658="","",INDEX('자료_한국심리'!$B$3:$B$4002,MATCH(A658,$U$19:$U$4018,0)))</f>
        <v/>
      </c>
      <c r="C658" s="22">
        <f>IF(A658="","",B658/AVERAGE(B534:B658)-1)</f>
        <v/>
      </c>
      <c r="D658" s="29">
        <f>IF(A658="","",IFERROR(INDEX('자료_한국심리'!$E$3:$E$4002,MATCH(A658,$V$19:$V$4018,0)),D657))</f>
        <v/>
      </c>
      <c r="E658" s="30">
        <f>IF(A658="","",IFERROR(INDEX('자료_한국심리'!$H$3:$H$4002,MATCH(A658,$W$19:$W$4018,0)),E657))</f>
        <v/>
      </c>
      <c r="F658" s="30">
        <f>IF(A658="","",IFERROR(INDEX('자료_한국심리'!$K$3:$K$4002,MATCH(A658,$X$19:$X$4018,0)),F657))</f>
        <v/>
      </c>
      <c r="G658" s="30">
        <f>IF(AND(ISNUMBER(E658),ISNUMBER(F658)),ROUND(E658-F658,6),"")</f>
        <v/>
      </c>
      <c r="H658" s="25">
        <f>IF(A658="","",IFERROR(INDEX('자료_한국심리'!$N$3:$N$4002,MATCH(A658,$Y$19:$Y$4018,0)),H657))</f>
        <v/>
      </c>
      <c r="I658" s="31">
        <f>IF(AND(ISNUMBER(H658),ISNUMBER(H638)),IF(H638&gt;0,H658/H638-1,""),"")</f>
        <v/>
      </c>
      <c r="J658">
        <f>IF(A658="",0,IF(A658&gt;$B$5,1,0))</f>
        <v/>
      </c>
      <c r="K658" s="29">
        <f>IF(AND(J658=1,ISNUMBER(D658)),D658,"")</f>
        <v/>
      </c>
      <c r="L658" s="30">
        <f>IF(AND(J658=1,ISNUMBER(G658)),G658,"")</f>
        <v/>
      </c>
      <c r="M658" s="22">
        <f>IF(AND(J658=1,ISNUMBER(C658)),C658,"")</f>
        <v/>
      </c>
      <c r="N658" s="31">
        <f>IF(AND(J658=1,ISNUMBER(I658)),I658,"")</f>
        <v/>
      </c>
      <c r="O658" s="11">
        <f>IF(K658="","",100-IF($G$13=1,50,(_xlfn.RANK.AVG(K658,$K$19:$K$1518,1)-1)/($G$13-1)*100))</f>
        <v/>
      </c>
      <c r="P658" s="11">
        <f>IF(L658="","",100-IF($G$14=1,50,(_xlfn.RANK.AVG(L658,$L$19:$L$1518,1)-1)/($G$14-1)*100))</f>
        <v/>
      </c>
      <c r="Q658" s="11">
        <f>IF(M658="","",IF($G$15=1,50,(_xlfn.RANK.AVG(M658,$M$19:$M$1518,1)-1)/($G$15-1)*100))</f>
        <v/>
      </c>
      <c r="R658" s="11">
        <f>IF(N658="","",IF($G$16=1,50,(_xlfn.RANK.AVG(N658,$N$19:$N$1518,1)-1)/($G$16-1)*100))</f>
        <v/>
      </c>
      <c r="S658" s="11">
        <f>IF(COUNT(O658:R658)=4,ROUND(AVERAGE(O658:R658),6),"")</f>
        <v/>
      </c>
      <c r="U658">
        <f>IF(AND(ISNUMBER('자료_한국심리'!$A642),ISNUMBER('자료_한국심리'!$B642)),'자료_한국심리'!$A642,"")</f>
        <v/>
      </c>
      <c r="V658">
        <f>IF(AND(ISNUMBER('자료_한국심리'!$D642),ISNUMBER('자료_한국심리'!$E642)),'자료_한국심리'!$D642,"")</f>
        <v/>
      </c>
      <c r="W658">
        <f>IF(AND(ISNUMBER('자료_한국심리'!$G642),ISNUMBER('자료_한국심리'!$H642)),'자료_한국심리'!$G642,"")</f>
        <v/>
      </c>
      <c r="X658">
        <f>IF(AND(ISNUMBER('자료_한국심리'!$J642),ISNUMBER('자료_한국심리'!$K642)),'자료_한국심리'!$J642,"")</f>
        <v/>
      </c>
      <c r="Y658">
        <f>IF(AND(ISNUMBER('자료_한국심리'!$M642),ISNUMBER('자료_한국심리'!$N642)),'자료_한국심리'!$M642,"")</f>
        <v/>
      </c>
    </row>
    <row r="659">
      <c r="A659" s="10">
        <f>IF(641&gt;$E$5,"",SMALL($U$19:$U$4018,$E$6+641))</f>
        <v/>
      </c>
      <c r="B659" s="29">
        <f>IF(A659="","",INDEX('자료_한국심리'!$B$3:$B$4002,MATCH(A659,$U$19:$U$4018,0)))</f>
        <v/>
      </c>
      <c r="C659" s="22">
        <f>IF(A659="","",B659/AVERAGE(B535:B659)-1)</f>
        <v/>
      </c>
      <c r="D659" s="29">
        <f>IF(A659="","",IFERROR(INDEX('자료_한국심리'!$E$3:$E$4002,MATCH(A659,$V$19:$V$4018,0)),D658))</f>
        <v/>
      </c>
      <c r="E659" s="30">
        <f>IF(A659="","",IFERROR(INDEX('자료_한국심리'!$H$3:$H$4002,MATCH(A659,$W$19:$W$4018,0)),E658))</f>
        <v/>
      </c>
      <c r="F659" s="30">
        <f>IF(A659="","",IFERROR(INDEX('자료_한국심리'!$K$3:$K$4002,MATCH(A659,$X$19:$X$4018,0)),F658))</f>
        <v/>
      </c>
      <c r="G659" s="30">
        <f>IF(AND(ISNUMBER(E659),ISNUMBER(F659)),ROUND(E659-F659,6),"")</f>
        <v/>
      </c>
      <c r="H659" s="25">
        <f>IF(A659="","",IFERROR(INDEX('자료_한국심리'!$N$3:$N$4002,MATCH(A659,$Y$19:$Y$4018,0)),H658))</f>
        <v/>
      </c>
      <c r="I659" s="31">
        <f>IF(AND(ISNUMBER(H659),ISNUMBER(H639)),IF(H639&gt;0,H659/H639-1,""),"")</f>
        <v/>
      </c>
      <c r="J659">
        <f>IF(A659="",0,IF(A659&gt;$B$5,1,0))</f>
        <v/>
      </c>
      <c r="K659" s="29">
        <f>IF(AND(J659=1,ISNUMBER(D659)),D659,"")</f>
        <v/>
      </c>
      <c r="L659" s="30">
        <f>IF(AND(J659=1,ISNUMBER(G659)),G659,"")</f>
        <v/>
      </c>
      <c r="M659" s="22">
        <f>IF(AND(J659=1,ISNUMBER(C659)),C659,"")</f>
        <v/>
      </c>
      <c r="N659" s="31">
        <f>IF(AND(J659=1,ISNUMBER(I659)),I659,"")</f>
        <v/>
      </c>
      <c r="O659" s="11">
        <f>IF(K659="","",100-IF($G$13=1,50,(_xlfn.RANK.AVG(K659,$K$19:$K$1518,1)-1)/($G$13-1)*100))</f>
        <v/>
      </c>
      <c r="P659" s="11">
        <f>IF(L659="","",100-IF($G$14=1,50,(_xlfn.RANK.AVG(L659,$L$19:$L$1518,1)-1)/($G$14-1)*100))</f>
        <v/>
      </c>
      <c r="Q659" s="11">
        <f>IF(M659="","",IF($G$15=1,50,(_xlfn.RANK.AVG(M659,$M$19:$M$1518,1)-1)/($G$15-1)*100))</f>
        <v/>
      </c>
      <c r="R659" s="11">
        <f>IF(N659="","",IF($G$16=1,50,(_xlfn.RANK.AVG(N659,$N$19:$N$1518,1)-1)/($G$16-1)*100))</f>
        <v/>
      </c>
      <c r="S659" s="11">
        <f>IF(COUNT(O659:R659)=4,ROUND(AVERAGE(O659:R659),6),"")</f>
        <v/>
      </c>
      <c r="U659">
        <f>IF(AND(ISNUMBER('자료_한국심리'!$A643),ISNUMBER('자료_한국심리'!$B643)),'자료_한국심리'!$A643,"")</f>
        <v/>
      </c>
      <c r="V659">
        <f>IF(AND(ISNUMBER('자료_한국심리'!$D643),ISNUMBER('자료_한국심리'!$E643)),'자료_한국심리'!$D643,"")</f>
        <v/>
      </c>
      <c r="W659">
        <f>IF(AND(ISNUMBER('자료_한국심리'!$G643),ISNUMBER('자료_한국심리'!$H643)),'자료_한국심리'!$G643,"")</f>
        <v/>
      </c>
      <c r="X659">
        <f>IF(AND(ISNUMBER('자료_한국심리'!$J643),ISNUMBER('자료_한국심리'!$K643)),'자료_한국심리'!$J643,"")</f>
        <v/>
      </c>
      <c r="Y659">
        <f>IF(AND(ISNUMBER('자료_한국심리'!$M643),ISNUMBER('자료_한국심리'!$N643)),'자료_한국심리'!$M643,"")</f>
        <v/>
      </c>
    </row>
    <row r="660">
      <c r="A660" s="10">
        <f>IF(642&gt;$E$5,"",SMALL($U$19:$U$4018,$E$6+642))</f>
        <v/>
      </c>
      <c r="B660" s="29">
        <f>IF(A660="","",INDEX('자료_한국심리'!$B$3:$B$4002,MATCH(A660,$U$19:$U$4018,0)))</f>
        <v/>
      </c>
      <c r="C660" s="22">
        <f>IF(A660="","",B660/AVERAGE(B536:B660)-1)</f>
        <v/>
      </c>
      <c r="D660" s="29">
        <f>IF(A660="","",IFERROR(INDEX('자료_한국심리'!$E$3:$E$4002,MATCH(A660,$V$19:$V$4018,0)),D659))</f>
        <v/>
      </c>
      <c r="E660" s="30">
        <f>IF(A660="","",IFERROR(INDEX('자료_한국심리'!$H$3:$H$4002,MATCH(A660,$W$19:$W$4018,0)),E659))</f>
        <v/>
      </c>
      <c r="F660" s="30">
        <f>IF(A660="","",IFERROR(INDEX('자료_한국심리'!$K$3:$K$4002,MATCH(A660,$X$19:$X$4018,0)),F659))</f>
        <v/>
      </c>
      <c r="G660" s="30">
        <f>IF(AND(ISNUMBER(E660),ISNUMBER(F660)),ROUND(E660-F660,6),"")</f>
        <v/>
      </c>
      <c r="H660" s="25">
        <f>IF(A660="","",IFERROR(INDEX('자료_한국심리'!$N$3:$N$4002,MATCH(A660,$Y$19:$Y$4018,0)),H659))</f>
        <v/>
      </c>
      <c r="I660" s="31">
        <f>IF(AND(ISNUMBER(H660),ISNUMBER(H640)),IF(H640&gt;0,H660/H640-1,""),"")</f>
        <v/>
      </c>
      <c r="J660">
        <f>IF(A660="",0,IF(A660&gt;$B$5,1,0))</f>
        <v/>
      </c>
      <c r="K660" s="29">
        <f>IF(AND(J660=1,ISNUMBER(D660)),D660,"")</f>
        <v/>
      </c>
      <c r="L660" s="30">
        <f>IF(AND(J660=1,ISNUMBER(G660)),G660,"")</f>
        <v/>
      </c>
      <c r="M660" s="22">
        <f>IF(AND(J660=1,ISNUMBER(C660)),C660,"")</f>
        <v/>
      </c>
      <c r="N660" s="31">
        <f>IF(AND(J660=1,ISNUMBER(I660)),I660,"")</f>
        <v/>
      </c>
      <c r="O660" s="11">
        <f>IF(K660="","",100-IF($G$13=1,50,(_xlfn.RANK.AVG(K660,$K$19:$K$1518,1)-1)/($G$13-1)*100))</f>
        <v/>
      </c>
      <c r="P660" s="11">
        <f>IF(L660="","",100-IF($G$14=1,50,(_xlfn.RANK.AVG(L660,$L$19:$L$1518,1)-1)/($G$14-1)*100))</f>
        <v/>
      </c>
      <c r="Q660" s="11">
        <f>IF(M660="","",IF($G$15=1,50,(_xlfn.RANK.AVG(M660,$M$19:$M$1518,1)-1)/($G$15-1)*100))</f>
        <v/>
      </c>
      <c r="R660" s="11">
        <f>IF(N660="","",IF($G$16=1,50,(_xlfn.RANK.AVG(N660,$N$19:$N$1518,1)-1)/($G$16-1)*100))</f>
        <v/>
      </c>
      <c r="S660" s="11">
        <f>IF(COUNT(O660:R660)=4,ROUND(AVERAGE(O660:R660),6),"")</f>
        <v/>
      </c>
      <c r="U660">
        <f>IF(AND(ISNUMBER('자료_한국심리'!$A644),ISNUMBER('자료_한국심리'!$B644)),'자료_한국심리'!$A644,"")</f>
        <v/>
      </c>
      <c r="V660">
        <f>IF(AND(ISNUMBER('자료_한국심리'!$D644),ISNUMBER('자료_한국심리'!$E644)),'자료_한국심리'!$D644,"")</f>
        <v/>
      </c>
      <c r="W660">
        <f>IF(AND(ISNUMBER('자료_한국심리'!$G644),ISNUMBER('자료_한국심리'!$H644)),'자료_한국심리'!$G644,"")</f>
        <v/>
      </c>
      <c r="X660">
        <f>IF(AND(ISNUMBER('자료_한국심리'!$J644),ISNUMBER('자료_한국심리'!$K644)),'자료_한국심리'!$J644,"")</f>
        <v/>
      </c>
      <c r="Y660">
        <f>IF(AND(ISNUMBER('자료_한국심리'!$M644),ISNUMBER('자료_한국심리'!$N644)),'자료_한국심리'!$M644,"")</f>
        <v/>
      </c>
    </row>
    <row r="661">
      <c r="A661" s="10">
        <f>IF(643&gt;$E$5,"",SMALL($U$19:$U$4018,$E$6+643))</f>
        <v/>
      </c>
      <c r="B661" s="29">
        <f>IF(A661="","",INDEX('자료_한국심리'!$B$3:$B$4002,MATCH(A661,$U$19:$U$4018,0)))</f>
        <v/>
      </c>
      <c r="C661" s="22">
        <f>IF(A661="","",B661/AVERAGE(B537:B661)-1)</f>
        <v/>
      </c>
      <c r="D661" s="29">
        <f>IF(A661="","",IFERROR(INDEX('자료_한국심리'!$E$3:$E$4002,MATCH(A661,$V$19:$V$4018,0)),D660))</f>
        <v/>
      </c>
      <c r="E661" s="30">
        <f>IF(A661="","",IFERROR(INDEX('자료_한국심리'!$H$3:$H$4002,MATCH(A661,$W$19:$W$4018,0)),E660))</f>
        <v/>
      </c>
      <c r="F661" s="30">
        <f>IF(A661="","",IFERROR(INDEX('자료_한국심리'!$K$3:$K$4002,MATCH(A661,$X$19:$X$4018,0)),F660))</f>
        <v/>
      </c>
      <c r="G661" s="30">
        <f>IF(AND(ISNUMBER(E661),ISNUMBER(F661)),ROUND(E661-F661,6),"")</f>
        <v/>
      </c>
      <c r="H661" s="25">
        <f>IF(A661="","",IFERROR(INDEX('자료_한국심리'!$N$3:$N$4002,MATCH(A661,$Y$19:$Y$4018,0)),H660))</f>
        <v/>
      </c>
      <c r="I661" s="31">
        <f>IF(AND(ISNUMBER(H661),ISNUMBER(H641)),IF(H641&gt;0,H661/H641-1,""),"")</f>
        <v/>
      </c>
      <c r="J661">
        <f>IF(A661="",0,IF(A661&gt;$B$5,1,0))</f>
        <v/>
      </c>
      <c r="K661" s="29">
        <f>IF(AND(J661=1,ISNUMBER(D661)),D661,"")</f>
        <v/>
      </c>
      <c r="L661" s="30">
        <f>IF(AND(J661=1,ISNUMBER(G661)),G661,"")</f>
        <v/>
      </c>
      <c r="M661" s="22">
        <f>IF(AND(J661=1,ISNUMBER(C661)),C661,"")</f>
        <v/>
      </c>
      <c r="N661" s="31">
        <f>IF(AND(J661=1,ISNUMBER(I661)),I661,"")</f>
        <v/>
      </c>
      <c r="O661" s="11">
        <f>IF(K661="","",100-IF($G$13=1,50,(_xlfn.RANK.AVG(K661,$K$19:$K$1518,1)-1)/($G$13-1)*100))</f>
        <v/>
      </c>
      <c r="P661" s="11">
        <f>IF(L661="","",100-IF($G$14=1,50,(_xlfn.RANK.AVG(L661,$L$19:$L$1518,1)-1)/($G$14-1)*100))</f>
        <v/>
      </c>
      <c r="Q661" s="11">
        <f>IF(M661="","",IF($G$15=1,50,(_xlfn.RANK.AVG(M661,$M$19:$M$1518,1)-1)/($G$15-1)*100))</f>
        <v/>
      </c>
      <c r="R661" s="11">
        <f>IF(N661="","",IF($G$16=1,50,(_xlfn.RANK.AVG(N661,$N$19:$N$1518,1)-1)/($G$16-1)*100))</f>
        <v/>
      </c>
      <c r="S661" s="11">
        <f>IF(COUNT(O661:R661)=4,ROUND(AVERAGE(O661:R661),6),"")</f>
        <v/>
      </c>
      <c r="U661">
        <f>IF(AND(ISNUMBER('자료_한국심리'!$A645),ISNUMBER('자료_한국심리'!$B645)),'자료_한국심리'!$A645,"")</f>
        <v/>
      </c>
      <c r="V661">
        <f>IF(AND(ISNUMBER('자료_한국심리'!$D645),ISNUMBER('자료_한국심리'!$E645)),'자료_한국심리'!$D645,"")</f>
        <v/>
      </c>
      <c r="W661">
        <f>IF(AND(ISNUMBER('자료_한국심리'!$G645),ISNUMBER('자료_한국심리'!$H645)),'자료_한국심리'!$G645,"")</f>
        <v/>
      </c>
      <c r="X661">
        <f>IF(AND(ISNUMBER('자료_한국심리'!$J645),ISNUMBER('자료_한국심리'!$K645)),'자료_한국심리'!$J645,"")</f>
        <v/>
      </c>
      <c r="Y661">
        <f>IF(AND(ISNUMBER('자료_한국심리'!$M645),ISNUMBER('자료_한국심리'!$N645)),'자료_한국심리'!$M645,"")</f>
        <v/>
      </c>
    </row>
    <row r="662">
      <c r="A662" s="10">
        <f>IF(644&gt;$E$5,"",SMALL($U$19:$U$4018,$E$6+644))</f>
        <v/>
      </c>
      <c r="B662" s="29">
        <f>IF(A662="","",INDEX('자료_한국심리'!$B$3:$B$4002,MATCH(A662,$U$19:$U$4018,0)))</f>
        <v/>
      </c>
      <c r="C662" s="22">
        <f>IF(A662="","",B662/AVERAGE(B538:B662)-1)</f>
        <v/>
      </c>
      <c r="D662" s="29">
        <f>IF(A662="","",IFERROR(INDEX('자료_한국심리'!$E$3:$E$4002,MATCH(A662,$V$19:$V$4018,0)),D661))</f>
        <v/>
      </c>
      <c r="E662" s="30">
        <f>IF(A662="","",IFERROR(INDEX('자료_한국심리'!$H$3:$H$4002,MATCH(A662,$W$19:$W$4018,0)),E661))</f>
        <v/>
      </c>
      <c r="F662" s="30">
        <f>IF(A662="","",IFERROR(INDEX('자료_한국심리'!$K$3:$K$4002,MATCH(A662,$X$19:$X$4018,0)),F661))</f>
        <v/>
      </c>
      <c r="G662" s="30">
        <f>IF(AND(ISNUMBER(E662),ISNUMBER(F662)),ROUND(E662-F662,6),"")</f>
        <v/>
      </c>
      <c r="H662" s="25">
        <f>IF(A662="","",IFERROR(INDEX('자료_한국심리'!$N$3:$N$4002,MATCH(A662,$Y$19:$Y$4018,0)),H661))</f>
        <v/>
      </c>
      <c r="I662" s="31">
        <f>IF(AND(ISNUMBER(H662),ISNUMBER(H642)),IF(H642&gt;0,H662/H642-1,""),"")</f>
        <v/>
      </c>
      <c r="J662">
        <f>IF(A662="",0,IF(A662&gt;$B$5,1,0))</f>
        <v/>
      </c>
      <c r="K662" s="29">
        <f>IF(AND(J662=1,ISNUMBER(D662)),D662,"")</f>
        <v/>
      </c>
      <c r="L662" s="30">
        <f>IF(AND(J662=1,ISNUMBER(G662)),G662,"")</f>
        <v/>
      </c>
      <c r="M662" s="22">
        <f>IF(AND(J662=1,ISNUMBER(C662)),C662,"")</f>
        <v/>
      </c>
      <c r="N662" s="31">
        <f>IF(AND(J662=1,ISNUMBER(I662)),I662,"")</f>
        <v/>
      </c>
      <c r="O662" s="11">
        <f>IF(K662="","",100-IF($G$13=1,50,(_xlfn.RANK.AVG(K662,$K$19:$K$1518,1)-1)/($G$13-1)*100))</f>
        <v/>
      </c>
      <c r="P662" s="11">
        <f>IF(L662="","",100-IF($G$14=1,50,(_xlfn.RANK.AVG(L662,$L$19:$L$1518,1)-1)/($G$14-1)*100))</f>
        <v/>
      </c>
      <c r="Q662" s="11">
        <f>IF(M662="","",IF($G$15=1,50,(_xlfn.RANK.AVG(M662,$M$19:$M$1518,1)-1)/($G$15-1)*100))</f>
        <v/>
      </c>
      <c r="R662" s="11">
        <f>IF(N662="","",IF($G$16=1,50,(_xlfn.RANK.AVG(N662,$N$19:$N$1518,1)-1)/($G$16-1)*100))</f>
        <v/>
      </c>
      <c r="S662" s="11">
        <f>IF(COUNT(O662:R662)=4,ROUND(AVERAGE(O662:R662),6),"")</f>
        <v/>
      </c>
      <c r="U662">
        <f>IF(AND(ISNUMBER('자료_한국심리'!$A646),ISNUMBER('자료_한국심리'!$B646)),'자료_한국심리'!$A646,"")</f>
        <v/>
      </c>
      <c r="V662">
        <f>IF(AND(ISNUMBER('자료_한국심리'!$D646),ISNUMBER('자료_한국심리'!$E646)),'자료_한국심리'!$D646,"")</f>
        <v/>
      </c>
      <c r="W662">
        <f>IF(AND(ISNUMBER('자료_한국심리'!$G646),ISNUMBER('자료_한국심리'!$H646)),'자료_한국심리'!$G646,"")</f>
        <v/>
      </c>
      <c r="X662">
        <f>IF(AND(ISNUMBER('자료_한국심리'!$J646),ISNUMBER('자료_한국심리'!$K646)),'자료_한국심리'!$J646,"")</f>
        <v/>
      </c>
      <c r="Y662">
        <f>IF(AND(ISNUMBER('자료_한국심리'!$M646),ISNUMBER('자료_한국심리'!$N646)),'자료_한국심리'!$M646,"")</f>
        <v/>
      </c>
    </row>
    <row r="663">
      <c r="A663" s="10">
        <f>IF(645&gt;$E$5,"",SMALL($U$19:$U$4018,$E$6+645))</f>
        <v/>
      </c>
      <c r="B663" s="29">
        <f>IF(A663="","",INDEX('자료_한국심리'!$B$3:$B$4002,MATCH(A663,$U$19:$U$4018,0)))</f>
        <v/>
      </c>
      <c r="C663" s="22">
        <f>IF(A663="","",B663/AVERAGE(B539:B663)-1)</f>
        <v/>
      </c>
      <c r="D663" s="29">
        <f>IF(A663="","",IFERROR(INDEX('자료_한국심리'!$E$3:$E$4002,MATCH(A663,$V$19:$V$4018,0)),D662))</f>
        <v/>
      </c>
      <c r="E663" s="30">
        <f>IF(A663="","",IFERROR(INDEX('자료_한국심리'!$H$3:$H$4002,MATCH(A663,$W$19:$W$4018,0)),E662))</f>
        <v/>
      </c>
      <c r="F663" s="30">
        <f>IF(A663="","",IFERROR(INDEX('자료_한국심리'!$K$3:$K$4002,MATCH(A663,$X$19:$X$4018,0)),F662))</f>
        <v/>
      </c>
      <c r="G663" s="30">
        <f>IF(AND(ISNUMBER(E663),ISNUMBER(F663)),ROUND(E663-F663,6),"")</f>
        <v/>
      </c>
      <c r="H663" s="25">
        <f>IF(A663="","",IFERROR(INDEX('자료_한국심리'!$N$3:$N$4002,MATCH(A663,$Y$19:$Y$4018,0)),H662))</f>
        <v/>
      </c>
      <c r="I663" s="31">
        <f>IF(AND(ISNUMBER(H663),ISNUMBER(H643)),IF(H643&gt;0,H663/H643-1,""),"")</f>
        <v/>
      </c>
      <c r="J663">
        <f>IF(A663="",0,IF(A663&gt;$B$5,1,0))</f>
        <v/>
      </c>
      <c r="K663" s="29">
        <f>IF(AND(J663=1,ISNUMBER(D663)),D663,"")</f>
        <v/>
      </c>
      <c r="L663" s="30">
        <f>IF(AND(J663=1,ISNUMBER(G663)),G663,"")</f>
        <v/>
      </c>
      <c r="M663" s="22">
        <f>IF(AND(J663=1,ISNUMBER(C663)),C663,"")</f>
        <v/>
      </c>
      <c r="N663" s="31">
        <f>IF(AND(J663=1,ISNUMBER(I663)),I663,"")</f>
        <v/>
      </c>
      <c r="O663" s="11">
        <f>IF(K663="","",100-IF($G$13=1,50,(_xlfn.RANK.AVG(K663,$K$19:$K$1518,1)-1)/($G$13-1)*100))</f>
        <v/>
      </c>
      <c r="P663" s="11">
        <f>IF(L663="","",100-IF($G$14=1,50,(_xlfn.RANK.AVG(L663,$L$19:$L$1518,1)-1)/($G$14-1)*100))</f>
        <v/>
      </c>
      <c r="Q663" s="11">
        <f>IF(M663="","",IF($G$15=1,50,(_xlfn.RANK.AVG(M663,$M$19:$M$1518,1)-1)/($G$15-1)*100))</f>
        <v/>
      </c>
      <c r="R663" s="11">
        <f>IF(N663="","",IF($G$16=1,50,(_xlfn.RANK.AVG(N663,$N$19:$N$1518,1)-1)/($G$16-1)*100))</f>
        <v/>
      </c>
      <c r="S663" s="11">
        <f>IF(COUNT(O663:R663)=4,ROUND(AVERAGE(O663:R663),6),"")</f>
        <v/>
      </c>
      <c r="U663">
        <f>IF(AND(ISNUMBER('자료_한국심리'!$A647),ISNUMBER('자료_한국심리'!$B647)),'자료_한국심리'!$A647,"")</f>
        <v/>
      </c>
      <c r="V663">
        <f>IF(AND(ISNUMBER('자료_한국심리'!$D647),ISNUMBER('자료_한국심리'!$E647)),'자료_한국심리'!$D647,"")</f>
        <v/>
      </c>
      <c r="W663">
        <f>IF(AND(ISNUMBER('자료_한국심리'!$G647),ISNUMBER('자료_한국심리'!$H647)),'자료_한국심리'!$G647,"")</f>
        <v/>
      </c>
      <c r="X663">
        <f>IF(AND(ISNUMBER('자료_한국심리'!$J647),ISNUMBER('자료_한국심리'!$K647)),'자료_한국심리'!$J647,"")</f>
        <v/>
      </c>
      <c r="Y663">
        <f>IF(AND(ISNUMBER('자료_한국심리'!$M647),ISNUMBER('자료_한국심리'!$N647)),'자료_한국심리'!$M647,"")</f>
        <v/>
      </c>
    </row>
    <row r="664">
      <c r="A664" s="10">
        <f>IF(646&gt;$E$5,"",SMALL($U$19:$U$4018,$E$6+646))</f>
        <v/>
      </c>
      <c r="B664" s="29">
        <f>IF(A664="","",INDEX('자료_한국심리'!$B$3:$B$4002,MATCH(A664,$U$19:$U$4018,0)))</f>
        <v/>
      </c>
      <c r="C664" s="22">
        <f>IF(A664="","",B664/AVERAGE(B540:B664)-1)</f>
        <v/>
      </c>
      <c r="D664" s="29">
        <f>IF(A664="","",IFERROR(INDEX('자료_한국심리'!$E$3:$E$4002,MATCH(A664,$V$19:$V$4018,0)),D663))</f>
        <v/>
      </c>
      <c r="E664" s="30">
        <f>IF(A664="","",IFERROR(INDEX('자료_한국심리'!$H$3:$H$4002,MATCH(A664,$W$19:$W$4018,0)),E663))</f>
        <v/>
      </c>
      <c r="F664" s="30">
        <f>IF(A664="","",IFERROR(INDEX('자료_한국심리'!$K$3:$K$4002,MATCH(A664,$X$19:$X$4018,0)),F663))</f>
        <v/>
      </c>
      <c r="G664" s="30">
        <f>IF(AND(ISNUMBER(E664),ISNUMBER(F664)),ROUND(E664-F664,6),"")</f>
        <v/>
      </c>
      <c r="H664" s="25">
        <f>IF(A664="","",IFERROR(INDEX('자료_한국심리'!$N$3:$N$4002,MATCH(A664,$Y$19:$Y$4018,0)),H663))</f>
        <v/>
      </c>
      <c r="I664" s="31">
        <f>IF(AND(ISNUMBER(H664),ISNUMBER(H644)),IF(H644&gt;0,H664/H644-1,""),"")</f>
        <v/>
      </c>
      <c r="J664">
        <f>IF(A664="",0,IF(A664&gt;$B$5,1,0))</f>
        <v/>
      </c>
      <c r="K664" s="29">
        <f>IF(AND(J664=1,ISNUMBER(D664)),D664,"")</f>
        <v/>
      </c>
      <c r="L664" s="30">
        <f>IF(AND(J664=1,ISNUMBER(G664)),G664,"")</f>
        <v/>
      </c>
      <c r="M664" s="22">
        <f>IF(AND(J664=1,ISNUMBER(C664)),C664,"")</f>
        <v/>
      </c>
      <c r="N664" s="31">
        <f>IF(AND(J664=1,ISNUMBER(I664)),I664,"")</f>
        <v/>
      </c>
      <c r="O664" s="11">
        <f>IF(K664="","",100-IF($G$13=1,50,(_xlfn.RANK.AVG(K664,$K$19:$K$1518,1)-1)/($G$13-1)*100))</f>
        <v/>
      </c>
      <c r="P664" s="11">
        <f>IF(L664="","",100-IF($G$14=1,50,(_xlfn.RANK.AVG(L664,$L$19:$L$1518,1)-1)/($G$14-1)*100))</f>
        <v/>
      </c>
      <c r="Q664" s="11">
        <f>IF(M664="","",IF($G$15=1,50,(_xlfn.RANK.AVG(M664,$M$19:$M$1518,1)-1)/($G$15-1)*100))</f>
        <v/>
      </c>
      <c r="R664" s="11">
        <f>IF(N664="","",IF($G$16=1,50,(_xlfn.RANK.AVG(N664,$N$19:$N$1518,1)-1)/($G$16-1)*100))</f>
        <v/>
      </c>
      <c r="S664" s="11">
        <f>IF(COUNT(O664:R664)=4,ROUND(AVERAGE(O664:R664),6),"")</f>
        <v/>
      </c>
      <c r="U664">
        <f>IF(AND(ISNUMBER('자료_한국심리'!$A648),ISNUMBER('자료_한국심리'!$B648)),'자료_한국심리'!$A648,"")</f>
        <v/>
      </c>
      <c r="V664">
        <f>IF(AND(ISNUMBER('자료_한국심리'!$D648),ISNUMBER('자료_한국심리'!$E648)),'자료_한국심리'!$D648,"")</f>
        <v/>
      </c>
      <c r="W664">
        <f>IF(AND(ISNUMBER('자료_한국심리'!$G648),ISNUMBER('자료_한국심리'!$H648)),'자료_한국심리'!$G648,"")</f>
        <v/>
      </c>
      <c r="X664">
        <f>IF(AND(ISNUMBER('자료_한국심리'!$J648),ISNUMBER('자료_한국심리'!$K648)),'자료_한국심리'!$J648,"")</f>
        <v/>
      </c>
      <c r="Y664">
        <f>IF(AND(ISNUMBER('자료_한국심리'!$M648),ISNUMBER('자료_한국심리'!$N648)),'자료_한국심리'!$M648,"")</f>
        <v/>
      </c>
    </row>
    <row r="665">
      <c r="A665" s="10">
        <f>IF(647&gt;$E$5,"",SMALL($U$19:$U$4018,$E$6+647))</f>
        <v/>
      </c>
      <c r="B665" s="29">
        <f>IF(A665="","",INDEX('자료_한국심리'!$B$3:$B$4002,MATCH(A665,$U$19:$U$4018,0)))</f>
        <v/>
      </c>
      <c r="C665" s="22">
        <f>IF(A665="","",B665/AVERAGE(B541:B665)-1)</f>
        <v/>
      </c>
      <c r="D665" s="29">
        <f>IF(A665="","",IFERROR(INDEX('자료_한국심리'!$E$3:$E$4002,MATCH(A665,$V$19:$V$4018,0)),D664))</f>
        <v/>
      </c>
      <c r="E665" s="30">
        <f>IF(A665="","",IFERROR(INDEX('자료_한국심리'!$H$3:$H$4002,MATCH(A665,$W$19:$W$4018,0)),E664))</f>
        <v/>
      </c>
      <c r="F665" s="30">
        <f>IF(A665="","",IFERROR(INDEX('자료_한국심리'!$K$3:$K$4002,MATCH(A665,$X$19:$X$4018,0)),F664))</f>
        <v/>
      </c>
      <c r="G665" s="30">
        <f>IF(AND(ISNUMBER(E665),ISNUMBER(F665)),ROUND(E665-F665,6),"")</f>
        <v/>
      </c>
      <c r="H665" s="25">
        <f>IF(A665="","",IFERROR(INDEX('자료_한국심리'!$N$3:$N$4002,MATCH(A665,$Y$19:$Y$4018,0)),H664))</f>
        <v/>
      </c>
      <c r="I665" s="31">
        <f>IF(AND(ISNUMBER(H665),ISNUMBER(H645)),IF(H645&gt;0,H665/H645-1,""),"")</f>
        <v/>
      </c>
      <c r="J665">
        <f>IF(A665="",0,IF(A665&gt;$B$5,1,0))</f>
        <v/>
      </c>
      <c r="K665" s="29">
        <f>IF(AND(J665=1,ISNUMBER(D665)),D665,"")</f>
        <v/>
      </c>
      <c r="L665" s="30">
        <f>IF(AND(J665=1,ISNUMBER(G665)),G665,"")</f>
        <v/>
      </c>
      <c r="M665" s="22">
        <f>IF(AND(J665=1,ISNUMBER(C665)),C665,"")</f>
        <v/>
      </c>
      <c r="N665" s="31">
        <f>IF(AND(J665=1,ISNUMBER(I665)),I665,"")</f>
        <v/>
      </c>
      <c r="O665" s="11">
        <f>IF(K665="","",100-IF($G$13=1,50,(_xlfn.RANK.AVG(K665,$K$19:$K$1518,1)-1)/($G$13-1)*100))</f>
        <v/>
      </c>
      <c r="P665" s="11">
        <f>IF(L665="","",100-IF($G$14=1,50,(_xlfn.RANK.AVG(L665,$L$19:$L$1518,1)-1)/($G$14-1)*100))</f>
        <v/>
      </c>
      <c r="Q665" s="11">
        <f>IF(M665="","",IF($G$15=1,50,(_xlfn.RANK.AVG(M665,$M$19:$M$1518,1)-1)/($G$15-1)*100))</f>
        <v/>
      </c>
      <c r="R665" s="11">
        <f>IF(N665="","",IF($G$16=1,50,(_xlfn.RANK.AVG(N665,$N$19:$N$1518,1)-1)/($G$16-1)*100))</f>
        <v/>
      </c>
      <c r="S665" s="11">
        <f>IF(COUNT(O665:R665)=4,ROUND(AVERAGE(O665:R665),6),"")</f>
        <v/>
      </c>
      <c r="U665">
        <f>IF(AND(ISNUMBER('자료_한국심리'!$A649),ISNUMBER('자료_한국심리'!$B649)),'자료_한국심리'!$A649,"")</f>
        <v/>
      </c>
      <c r="V665">
        <f>IF(AND(ISNUMBER('자료_한국심리'!$D649),ISNUMBER('자료_한국심리'!$E649)),'자료_한국심리'!$D649,"")</f>
        <v/>
      </c>
      <c r="W665">
        <f>IF(AND(ISNUMBER('자료_한국심리'!$G649),ISNUMBER('자료_한국심리'!$H649)),'자료_한국심리'!$G649,"")</f>
        <v/>
      </c>
      <c r="X665">
        <f>IF(AND(ISNUMBER('자료_한국심리'!$J649),ISNUMBER('자료_한국심리'!$K649)),'자료_한국심리'!$J649,"")</f>
        <v/>
      </c>
      <c r="Y665">
        <f>IF(AND(ISNUMBER('자료_한국심리'!$M649),ISNUMBER('자료_한국심리'!$N649)),'자료_한국심리'!$M649,"")</f>
        <v/>
      </c>
    </row>
    <row r="666">
      <c r="A666" s="10">
        <f>IF(648&gt;$E$5,"",SMALL($U$19:$U$4018,$E$6+648))</f>
        <v/>
      </c>
      <c r="B666" s="29">
        <f>IF(A666="","",INDEX('자료_한국심리'!$B$3:$B$4002,MATCH(A666,$U$19:$U$4018,0)))</f>
        <v/>
      </c>
      <c r="C666" s="22">
        <f>IF(A666="","",B666/AVERAGE(B542:B666)-1)</f>
        <v/>
      </c>
      <c r="D666" s="29">
        <f>IF(A666="","",IFERROR(INDEX('자료_한국심리'!$E$3:$E$4002,MATCH(A666,$V$19:$V$4018,0)),D665))</f>
        <v/>
      </c>
      <c r="E666" s="30">
        <f>IF(A666="","",IFERROR(INDEX('자료_한국심리'!$H$3:$H$4002,MATCH(A666,$W$19:$W$4018,0)),E665))</f>
        <v/>
      </c>
      <c r="F666" s="30">
        <f>IF(A666="","",IFERROR(INDEX('자료_한국심리'!$K$3:$K$4002,MATCH(A666,$X$19:$X$4018,0)),F665))</f>
        <v/>
      </c>
      <c r="G666" s="30">
        <f>IF(AND(ISNUMBER(E666),ISNUMBER(F666)),ROUND(E666-F666,6),"")</f>
        <v/>
      </c>
      <c r="H666" s="25">
        <f>IF(A666="","",IFERROR(INDEX('자료_한국심리'!$N$3:$N$4002,MATCH(A666,$Y$19:$Y$4018,0)),H665))</f>
        <v/>
      </c>
      <c r="I666" s="31">
        <f>IF(AND(ISNUMBER(H666),ISNUMBER(H646)),IF(H646&gt;0,H666/H646-1,""),"")</f>
        <v/>
      </c>
      <c r="J666">
        <f>IF(A666="",0,IF(A666&gt;$B$5,1,0))</f>
        <v/>
      </c>
      <c r="K666" s="29">
        <f>IF(AND(J666=1,ISNUMBER(D666)),D666,"")</f>
        <v/>
      </c>
      <c r="L666" s="30">
        <f>IF(AND(J666=1,ISNUMBER(G666)),G666,"")</f>
        <v/>
      </c>
      <c r="M666" s="22">
        <f>IF(AND(J666=1,ISNUMBER(C666)),C666,"")</f>
        <v/>
      </c>
      <c r="N666" s="31">
        <f>IF(AND(J666=1,ISNUMBER(I666)),I666,"")</f>
        <v/>
      </c>
      <c r="O666" s="11">
        <f>IF(K666="","",100-IF($G$13=1,50,(_xlfn.RANK.AVG(K666,$K$19:$K$1518,1)-1)/($G$13-1)*100))</f>
        <v/>
      </c>
      <c r="P666" s="11">
        <f>IF(L666="","",100-IF($G$14=1,50,(_xlfn.RANK.AVG(L666,$L$19:$L$1518,1)-1)/($G$14-1)*100))</f>
        <v/>
      </c>
      <c r="Q666" s="11">
        <f>IF(M666="","",IF($G$15=1,50,(_xlfn.RANK.AVG(M666,$M$19:$M$1518,1)-1)/($G$15-1)*100))</f>
        <v/>
      </c>
      <c r="R666" s="11">
        <f>IF(N666="","",IF($G$16=1,50,(_xlfn.RANK.AVG(N666,$N$19:$N$1518,1)-1)/($G$16-1)*100))</f>
        <v/>
      </c>
      <c r="S666" s="11">
        <f>IF(COUNT(O666:R666)=4,ROUND(AVERAGE(O666:R666),6),"")</f>
        <v/>
      </c>
      <c r="U666">
        <f>IF(AND(ISNUMBER('자료_한국심리'!$A650),ISNUMBER('자료_한국심리'!$B650)),'자료_한국심리'!$A650,"")</f>
        <v/>
      </c>
      <c r="V666">
        <f>IF(AND(ISNUMBER('자료_한국심리'!$D650),ISNUMBER('자료_한국심리'!$E650)),'자료_한국심리'!$D650,"")</f>
        <v/>
      </c>
      <c r="W666">
        <f>IF(AND(ISNUMBER('자료_한국심리'!$G650),ISNUMBER('자료_한국심리'!$H650)),'자료_한국심리'!$G650,"")</f>
        <v/>
      </c>
      <c r="X666">
        <f>IF(AND(ISNUMBER('자료_한국심리'!$J650),ISNUMBER('자료_한국심리'!$K650)),'자료_한국심리'!$J650,"")</f>
        <v/>
      </c>
      <c r="Y666">
        <f>IF(AND(ISNUMBER('자료_한국심리'!$M650),ISNUMBER('자료_한국심리'!$N650)),'자료_한국심리'!$M650,"")</f>
        <v/>
      </c>
    </row>
    <row r="667">
      <c r="A667" s="10">
        <f>IF(649&gt;$E$5,"",SMALL($U$19:$U$4018,$E$6+649))</f>
        <v/>
      </c>
      <c r="B667" s="29">
        <f>IF(A667="","",INDEX('자료_한국심리'!$B$3:$B$4002,MATCH(A667,$U$19:$U$4018,0)))</f>
        <v/>
      </c>
      <c r="C667" s="22">
        <f>IF(A667="","",B667/AVERAGE(B543:B667)-1)</f>
        <v/>
      </c>
      <c r="D667" s="29">
        <f>IF(A667="","",IFERROR(INDEX('자료_한국심리'!$E$3:$E$4002,MATCH(A667,$V$19:$V$4018,0)),D666))</f>
        <v/>
      </c>
      <c r="E667" s="30">
        <f>IF(A667="","",IFERROR(INDEX('자료_한국심리'!$H$3:$H$4002,MATCH(A667,$W$19:$W$4018,0)),E666))</f>
        <v/>
      </c>
      <c r="F667" s="30">
        <f>IF(A667="","",IFERROR(INDEX('자료_한국심리'!$K$3:$K$4002,MATCH(A667,$X$19:$X$4018,0)),F666))</f>
        <v/>
      </c>
      <c r="G667" s="30">
        <f>IF(AND(ISNUMBER(E667),ISNUMBER(F667)),ROUND(E667-F667,6),"")</f>
        <v/>
      </c>
      <c r="H667" s="25">
        <f>IF(A667="","",IFERROR(INDEX('자료_한국심리'!$N$3:$N$4002,MATCH(A667,$Y$19:$Y$4018,0)),H666))</f>
        <v/>
      </c>
      <c r="I667" s="31">
        <f>IF(AND(ISNUMBER(H667),ISNUMBER(H647)),IF(H647&gt;0,H667/H647-1,""),"")</f>
        <v/>
      </c>
      <c r="J667">
        <f>IF(A667="",0,IF(A667&gt;$B$5,1,0))</f>
        <v/>
      </c>
      <c r="K667" s="29">
        <f>IF(AND(J667=1,ISNUMBER(D667)),D667,"")</f>
        <v/>
      </c>
      <c r="L667" s="30">
        <f>IF(AND(J667=1,ISNUMBER(G667)),G667,"")</f>
        <v/>
      </c>
      <c r="M667" s="22">
        <f>IF(AND(J667=1,ISNUMBER(C667)),C667,"")</f>
        <v/>
      </c>
      <c r="N667" s="31">
        <f>IF(AND(J667=1,ISNUMBER(I667)),I667,"")</f>
        <v/>
      </c>
      <c r="O667" s="11">
        <f>IF(K667="","",100-IF($G$13=1,50,(_xlfn.RANK.AVG(K667,$K$19:$K$1518,1)-1)/($G$13-1)*100))</f>
        <v/>
      </c>
      <c r="P667" s="11">
        <f>IF(L667="","",100-IF($G$14=1,50,(_xlfn.RANK.AVG(L667,$L$19:$L$1518,1)-1)/($G$14-1)*100))</f>
        <v/>
      </c>
      <c r="Q667" s="11">
        <f>IF(M667="","",IF($G$15=1,50,(_xlfn.RANK.AVG(M667,$M$19:$M$1518,1)-1)/($G$15-1)*100))</f>
        <v/>
      </c>
      <c r="R667" s="11">
        <f>IF(N667="","",IF($G$16=1,50,(_xlfn.RANK.AVG(N667,$N$19:$N$1518,1)-1)/($G$16-1)*100))</f>
        <v/>
      </c>
      <c r="S667" s="11">
        <f>IF(COUNT(O667:R667)=4,ROUND(AVERAGE(O667:R667),6),"")</f>
        <v/>
      </c>
      <c r="U667">
        <f>IF(AND(ISNUMBER('자료_한국심리'!$A651),ISNUMBER('자료_한국심리'!$B651)),'자료_한국심리'!$A651,"")</f>
        <v/>
      </c>
      <c r="V667">
        <f>IF(AND(ISNUMBER('자료_한국심리'!$D651),ISNUMBER('자료_한국심리'!$E651)),'자료_한국심리'!$D651,"")</f>
        <v/>
      </c>
      <c r="W667">
        <f>IF(AND(ISNUMBER('자료_한국심리'!$G651),ISNUMBER('자료_한국심리'!$H651)),'자료_한국심리'!$G651,"")</f>
        <v/>
      </c>
      <c r="X667">
        <f>IF(AND(ISNUMBER('자료_한국심리'!$J651),ISNUMBER('자료_한국심리'!$K651)),'자료_한국심리'!$J651,"")</f>
        <v/>
      </c>
      <c r="Y667">
        <f>IF(AND(ISNUMBER('자료_한국심리'!$M651),ISNUMBER('자료_한국심리'!$N651)),'자료_한국심리'!$M651,"")</f>
        <v/>
      </c>
    </row>
    <row r="668">
      <c r="A668" s="10">
        <f>IF(650&gt;$E$5,"",SMALL($U$19:$U$4018,$E$6+650))</f>
        <v/>
      </c>
      <c r="B668" s="29">
        <f>IF(A668="","",INDEX('자료_한국심리'!$B$3:$B$4002,MATCH(A668,$U$19:$U$4018,0)))</f>
        <v/>
      </c>
      <c r="C668" s="22">
        <f>IF(A668="","",B668/AVERAGE(B544:B668)-1)</f>
        <v/>
      </c>
      <c r="D668" s="29">
        <f>IF(A668="","",IFERROR(INDEX('자료_한국심리'!$E$3:$E$4002,MATCH(A668,$V$19:$V$4018,0)),D667))</f>
        <v/>
      </c>
      <c r="E668" s="30">
        <f>IF(A668="","",IFERROR(INDEX('자료_한국심리'!$H$3:$H$4002,MATCH(A668,$W$19:$W$4018,0)),E667))</f>
        <v/>
      </c>
      <c r="F668" s="30">
        <f>IF(A668="","",IFERROR(INDEX('자료_한국심리'!$K$3:$K$4002,MATCH(A668,$X$19:$X$4018,0)),F667))</f>
        <v/>
      </c>
      <c r="G668" s="30">
        <f>IF(AND(ISNUMBER(E668),ISNUMBER(F668)),ROUND(E668-F668,6),"")</f>
        <v/>
      </c>
      <c r="H668" s="25">
        <f>IF(A668="","",IFERROR(INDEX('자료_한국심리'!$N$3:$N$4002,MATCH(A668,$Y$19:$Y$4018,0)),H667))</f>
        <v/>
      </c>
      <c r="I668" s="31">
        <f>IF(AND(ISNUMBER(H668),ISNUMBER(H648)),IF(H648&gt;0,H668/H648-1,""),"")</f>
        <v/>
      </c>
      <c r="J668">
        <f>IF(A668="",0,IF(A668&gt;$B$5,1,0))</f>
        <v/>
      </c>
      <c r="K668" s="29">
        <f>IF(AND(J668=1,ISNUMBER(D668)),D668,"")</f>
        <v/>
      </c>
      <c r="L668" s="30">
        <f>IF(AND(J668=1,ISNUMBER(G668)),G668,"")</f>
        <v/>
      </c>
      <c r="M668" s="22">
        <f>IF(AND(J668=1,ISNUMBER(C668)),C668,"")</f>
        <v/>
      </c>
      <c r="N668" s="31">
        <f>IF(AND(J668=1,ISNUMBER(I668)),I668,"")</f>
        <v/>
      </c>
      <c r="O668" s="11">
        <f>IF(K668="","",100-IF($G$13=1,50,(_xlfn.RANK.AVG(K668,$K$19:$K$1518,1)-1)/($G$13-1)*100))</f>
        <v/>
      </c>
      <c r="P668" s="11">
        <f>IF(L668="","",100-IF($G$14=1,50,(_xlfn.RANK.AVG(L668,$L$19:$L$1518,1)-1)/($G$14-1)*100))</f>
        <v/>
      </c>
      <c r="Q668" s="11">
        <f>IF(M668="","",IF($G$15=1,50,(_xlfn.RANK.AVG(M668,$M$19:$M$1518,1)-1)/($G$15-1)*100))</f>
        <v/>
      </c>
      <c r="R668" s="11">
        <f>IF(N668="","",IF($G$16=1,50,(_xlfn.RANK.AVG(N668,$N$19:$N$1518,1)-1)/($G$16-1)*100))</f>
        <v/>
      </c>
      <c r="S668" s="11">
        <f>IF(COUNT(O668:R668)=4,ROUND(AVERAGE(O668:R668),6),"")</f>
        <v/>
      </c>
      <c r="U668">
        <f>IF(AND(ISNUMBER('자료_한국심리'!$A652),ISNUMBER('자료_한국심리'!$B652)),'자료_한국심리'!$A652,"")</f>
        <v/>
      </c>
      <c r="V668">
        <f>IF(AND(ISNUMBER('자료_한국심리'!$D652),ISNUMBER('자료_한국심리'!$E652)),'자료_한국심리'!$D652,"")</f>
        <v/>
      </c>
      <c r="W668">
        <f>IF(AND(ISNUMBER('자료_한국심리'!$G652),ISNUMBER('자료_한국심리'!$H652)),'자료_한국심리'!$G652,"")</f>
        <v/>
      </c>
      <c r="X668">
        <f>IF(AND(ISNUMBER('자료_한국심리'!$J652),ISNUMBER('자료_한국심리'!$K652)),'자료_한국심리'!$J652,"")</f>
        <v/>
      </c>
      <c r="Y668">
        <f>IF(AND(ISNUMBER('자료_한국심리'!$M652),ISNUMBER('자료_한국심리'!$N652)),'자료_한국심리'!$M652,"")</f>
        <v/>
      </c>
    </row>
    <row r="669">
      <c r="A669" s="10">
        <f>IF(651&gt;$E$5,"",SMALL($U$19:$U$4018,$E$6+651))</f>
        <v/>
      </c>
      <c r="B669" s="29">
        <f>IF(A669="","",INDEX('자료_한국심리'!$B$3:$B$4002,MATCH(A669,$U$19:$U$4018,0)))</f>
        <v/>
      </c>
      <c r="C669" s="22">
        <f>IF(A669="","",B669/AVERAGE(B545:B669)-1)</f>
        <v/>
      </c>
      <c r="D669" s="29">
        <f>IF(A669="","",IFERROR(INDEX('자료_한국심리'!$E$3:$E$4002,MATCH(A669,$V$19:$V$4018,0)),D668))</f>
        <v/>
      </c>
      <c r="E669" s="30">
        <f>IF(A669="","",IFERROR(INDEX('자료_한국심리'!$H$3:$H$4002,MATCH(A669,$W$19:$W$4018,0)),E668))</f>
        <v/>
      </c>
      <c r="F669" s="30">
        <f>IF(A669="","",IFERROR(INDEX('자료_한국심리'!$K$3:$K$4002,MATCH(A669,$X$19:$X$4018,0)),F668))</f>
        <v/>
      </c>
      <c r="G669" s="30">
        <f>IF(AND(ISNUMBER(E669),ISNUMBER(F669)),ROUND(E669-F669,6),"")</f>
        <v/>
      </c>
      <c r="H669" s="25">
        <f>IF(A669="","",IFERROR(INDEX('자료_한국심리'!$N$3:$N$4002,MATCH(A669,$Y$19:$Y$4018,0)),H668))</f>
        <v/>
      </c>
      <c r="I669" s="31">
        <f>IF(AND(ISNUMBER(H669),ISNUMBER(H649)),IF(H649&gt;0,H669/H649-1,""),"")</f>
        <v/>
      </c>
      <c r="J669">
        <f>IF(A669="",0,IF(A669&gt;$B$5,1,0))</f>
        <v/>
      </c>
      <c r="K669" s="29">
        <f>IF(AND(J669=1,ISNUMBER(D669)),D669,"")</f>
        <v/>
      </c>
      <c r="L669" s="30">
        <f>IF(AND(J669=1,ISNUMBER(G669)),G669,"")</f>
        <v/>
      </c>
      <c r="M669" s="22">
        <f>IF(AND(J669=1,ISNUMBER(C669)),C669,"")</f>
        <v/>
      </c>
      <c r="N669" s="31">
        <f>IF(AND(J669=1,ISNUMBER(I669)),I669,"")</f>
        <v/>
      </c>
      <c r="O669" s="11">
        <f>IF(K669="","",100-IF($G$13=1,50,(_xlfn.RANK.AVG(K669,$K$19:$K$1518,1)-1)/($G$13-1)*100))</f>
        <v/>
      </c>
      <c r="P669" s="11">
        <f>IF(L669="","",100-IF($G$14=1,50,(_xlfn.RANK.AVG(L669,$L$19:$L$1518,1)-1)/($G$14-1)*100))</f>
        <v/>
      </c>
      <c r="Q669" s="11">
        <f>IF(M669="","",IF($G$15=1,50,(_xlfn.RANK.AVG(M669,$M$19:$M$1518,1)-1)/($G$15-1)*100))</f>
        <v/>
      </c>
      <c r="R669" s="11">
        <f>IF(N669="","",IF($G$16=1,50,(_xlfn.RANK.AVG(N669,$N$19:$N$1518,1)-1)/($G$16-1)*100))</f>
        <v/>
      </c>
      <c r="S669" s="11">
        <f>IF(COUNT(O669:R669)=4,ROUND(AVERAGE(O669:R669),6),"")</f>
        <v/>
      </c>
      <c r="U669">
        <f>IF(AND(ISNUMBER('자료_한국심리'!$A653),ISNUMBER('자료_한국심리'!$B653)),'자료_한국심리'!$A653,"")</f>
        <v/>
      </c>
      <c r="V669">
        <f>IF(AND(ISNUMBER('자료_한국심리'!$D653),ISNUMBER('자료_한국심리'!$E653)),'자료_한국심리'!$D653,"")</f>
        <v/>
      </c>
      <c r="W669">
        <f>IF(AND(ISNUMBER('자료_한국심리'!$G653),ISNUMBER('자료_한국심리'!$H653)),'자료_한국심리'!$G653,"")</f>
        <v/>
      </c>
      <c r="X669">
        <f>IF(AND(ISNUMBER('자료_한국심리'!$J653),ISNUMBER('자료_한국심리'!$K653)),'자료_한국심리'!$J653,"")</f>
        <v/>
      </c>
      <c r="Y669">
        <f>IF(AND(ISNUMBER('자료_한국심리'!$M653),ISNUMBER('자료_한국심리'!$N653)),'자료_한국심리'!$M653,"")</f>
        <v/>
      </c>
    </row>
    <row r="670">
      <c r="A670" s="10">
        <f>IF(652&gt;$E$5,"",SMALL($U$19:$U$4018,$E$6+652))</f>
        <v/>
      </c>
      <c r="B670" s="29">
        <f>IF(A670="","",INDEX('자료_한국심리'!$B$3:$B$4002,MATCH(A670,$U$19:$U$4018,0)))</f>
        <v/>
      </c>
      <c r="C670" s="22">
        <f>IF(A670="","",B670/AVERAGE(B546:B670)-1)</f>
        <v/>
      </c>
      <c r="D670" s="29">
        <f>IF(A670="","",IFERROR(INDEX('자료_한국심리'!$E$3:$E$4002,MATCH(A670,$V$19:$V$4018,0)),D669))</f>
        <v/>
      </c>
      <c r="E670" s="30">
        <f>IF(A670="","",IFERROR(INDEX('자료_한국심리'!$H$3:$H$4002,MATCH(A670,$W$19:$W$4018,0)),E669))</f>
        <v/>
      </c>
      <c r="F670" s="30">
        <f>IF(A670="","",IFERROR(INDEX('자료_한국심리'!$K$3:$K$4002,MATCH(A670,$X$19:$X$4018,0)),F669))</f>
        <v/>
      </c>
      <c r="G670" s="30">
        <f>IF(AND(ISNUMBER(E670),ISNUMBER(F670)),ROUND(E670-F670,6),"")</f>
        <v/>
      </c>
      <c r="H670" s="25">
        <f>IF(A670="","",IFERROR(INDEX('자료_한국심리'!$N$3:$N$4002,MATCH(A670,$Y$19:$Y$4018,0)),H669))</f>
        <v/>
      </c>
      <c r="I670" s="31">
        <f>IF(AND(ISNUMBER(H670),ISNUMBER(H650)),IF(H650&gt;0,H670/H650-1,""),"")</f>
        <v/>
      </c>
      <c r="J670">
        <f>IF(A670="",0,IF(A670&gt;$B$5,1,0))</f>
        <v/>
      </c>
      <c r="K670" s="29">
        <f>IF(AND(J670=1,ISNUMBER(D670)),D670,"")</f>
        <v/>
      </c>
      <c r="L670" s="30">
        <f>IF(AND(J670=1,ISNUMBER(G670)),G670,"")</f>
        <v/>
      </c>
      <c r="M670" s="22">
        <f>IF(AND(J670=1,ISNUMBER(C670)),C670,"")</f>
        <v/>
      </c>
      <c r="N670" s="31">
        <f>IF(AND(J670=1,ISNUMBER(I670)),I670,"")</f>
        <v/>
      </c>
      <c r="O670" s="11">
        <f>IF(K670="","",100-IF($G$13=1,50,(_xlfn.RANK.AVG(K670,$K$19:$K$1518,1)-1)/($G$13-1)*100))</f>
        <v/>
      </c>
      <c r="P670" s="11">
        <f>IF(L670="","",100-IF($G$14=1,50,(_xlfn.RANK.AVG(L670,$L$19:$L$1518,1)-1)/($G$14-1)*100))</f>
        <v/>
      </c>
      <c r="Q670" s="11">
        <f>IF(M670="","",IF($G$15=1,50,(_xlfn.RANK.AVG(M670,$M$19:$M$1518,1)-1)/($G$15-1)*100))</f>
        <v/>
      </c>
      <c r="R670" s="11">
        <f>IF(N670="","",IF($G$16=1,50,(_xlfn.RANK.AVG(N670,$N$19:$N$1518,1)-1)/($G$16-1)*100))</f>
        <v/>
      </c>
      <c r="S670" s="11">
        <f>IF(COUNT(O670:R670)=4,ROUND(AVERAGE(O670:R670),6),"")</f>
        <v/>
      </c>
      <c r="U670">
        <f>IF(AND(ISNUMBER('자료_한국심리'!$A654),ISNUMBER('자료_한국심리'!$B654)),'자료_한국심리'!$A654,"")</f>
        <v/>
      </c>
      <c r="V670">
        <f>IF(AND(ISNUMBER('자료_한국심리'!$D654),ISNUMBER('자료_한국심리'!$E654)),'자료_한국심리'!$D654,"")</f>
        <v/>
      </c>
      <c r="W670">
        <f>IF(AND(ISNUMBER('자료_한국심리'!$G654),ISNUMBER('자료_한국심리'!$H654)),'자료_한국심리'!$G654,"")</f>
        <v/>
      </c>
      <c r="X670">
        <f>IF(AND(ISNUMBER('자료_한국심리'!$J654),ISNUMBER('자료_한국심리'!$K654)),'자료_한국심리'!$J654,"")</f>
        <v/>
      </c>
      <c r="Y670">
        <f>IF(AND(ISNUMBER('자료_한국심리'!$M654),ISNUMBER('자료_한국심리'!$N654)),'자료_한국심리'!$M654,"")</f>
        <v/>
      </c>
    </row>
    <row r="671">
      <c r="A671" s="10">
        <f>IF(653&gt;$E$5,"",SMALL($U$19:$U$4018,$E$6+653))</f>
        <v/>
      </c>
      <c r="B671" s="29">
        <f>IF(A671="","",INDEX('자료_한국심리'!$B$3:$B$4002,MATCH(A671,$U$19:$U$4018,0)))</f>
        <v/>
      </c>
      <c r="C671" s="22">
        <f>IF(A671="","",B671/AVERAGE(B547:B671)-1)</f>
        <v/>
      </c>
      <c r="D671" s="29">
        <f>IF(A671="","",IFERROR(INDEX('자료_한국심리'!$E$3:$E$4002,MATCH(A671,$V$19:$V$4018,0)),D670))</f>
        <v/>
      </c>
      <c r="E671" s="30">
        <f>IF(A671="","",IFERROR(INDEX('자료_한국심리'!$H$3:$H$4002,MATCH(A671,$W$19:$W$4018,0)),E670))</f>
        <v/>
      </c>
      <c r="F671" s="30">
        <f>IF(A671="","",IFERROR(INDEX('자료_한국심리'!$K$3:$K$4002,MATCH(A671,$X$19:$X$4018,0)),F670))</f>
        <v/>
      </c>
      <c r="G671" s="30">
        <f>IF(AND(ISNUMBER(E671),ISNUMBER(F671)),ROUND(E671-F671,6),"")</f>
        <v/>
      </c>
      <c r="H671" s="25">
        <f>IF(A671="","",IFERROR(INDEX('자료_한국심리'!$N$3:$N$4002,MATCH(A671,$Y$19:$Y$4018,0)),H670))</f>
        <v/>
      </c>
      <c r="I671" s="31">
        <f>IF(AND(ISNUMBER(H671),ISNUMBER(H651)),IF(H651&gt;0,H671/H651-1,""),"")</f>
        <v/>
      </c>
      <c r="J671">
        <f>IF(A671="",0,IF(A671&gt;$B$5,1,0))</f>
        <v/>
      </c>
      <c r="K671" s="29">
        <f>IF(AND(J671=1,ISNUMBER(D671)),D671,"")</f>
        <v/>
      </c>
      <c r="L671" s="30">
        <f>IF(AND(J671=1,ISNUMBER(G671)),G671,"")</f>
        <v/>
      </c>
      <c r="M671" s="22">
        <f>IF(AND(J671=1,ISNUMBER(C671)),C671,"")</f>
        <v/>
      </c>
      <c r="N671" s="31">
        <f>IF(AND(J671=1,ISNUMBER(I671)),I671,"")</f>
        <v/>
      </c>
      <c r="O671" s="11">
        <f>IF(K671="","",100-IF($G$13=1,50,(_xlfn.RANK.AVG(K671,$K$19:$K$1518,1)-1)/($G$13-1)*100))</f>
        <v/>
      </c>
      <c r="P671" s="11">
        <f>IF(L671="","",100-IF($G$14=1,50,(_xlfn.RANK.AVG(L671,$L$19:$L$1518,1)-1)/($G$14-1)*100))</f>
        <v/>
      </c>
      <c r="Q671" s="11">
        <f>IF(M671="","",IF($G$15=1,50,(_xlfn.RANK.AVG(M671,$M$19:$M$1518,1)-1)/($G$15-1)*100))</f>
        <v/>
      </c>
      <c r="R671" s="11">
        <f>IF(N671="","",IF($G$16=1,50,(_xlfn.RANK.AVG(N671,$N$19:$N$1518,1)-1)/($G$16-1)*100))</f>
        <v/>
      </c>
      <c r="S671" s="11">
        <f>IF(COUNT(O671:R671)=4,ROUND(AVERAGE(O671:R671),6),"")</f>
        <v/>
      </c>
      <c r="U671">
        <f>IF(AND(ISNUMBER('자료_한국심리'!$A655),ISNUMBER('자료_한국심리'!$B655)),'자료_한국심리'!$A655,"")</f>
        <v/>
      </c>
      <c r="V671">
        <f>IF(AND(ISNUMBER('자료_한국심리'!$D655),ISNUMBER('자료_한국심리'!$E655)),'자료_한국심리'!$D655,"")</f>
        <v/>
      </c>
      <c r="W671">
        <f>IF(AND(ISNUMBER('자료_한국심리'!$G655),ISNUMBER('자료_한국심리'!$H655)),'자료_한국심리'!$G655,"")</f>
        <v/>
      </c>
      <c r="X671">
        <f>IF(AND(ISNUMBER('자료_한국심리'!$J655),ISNUMBER('자료_한국심리'!$K655)),'자료_한국심리'!$J655,"")</f>
        <v/>
      </c>
      <c r="Y671">
        <f>IF(AND(ISNUMBER('자료_한국심리'!$M655),ISNUMBER('자료_한국심리'!$N655)),'자료_한국심리'!$M655,"")</f>
        <v/>
      </c>
    </row>
    <row r="672">
      <c r="A672" s="10">
        <f>IF(654&gt;$E$5,"",SMALL($U$19:$U$4018,$E$6+654))</f>
        <v/>
      </c>
      <c r="B672" s="29">
        <f>IF(A672="","",INDEX('자료_한국심리'!$B$3:$B$4002,MATCH(A672,$U$19:$U$4018,0)))</f>
        <v/>
      </c>
      <c r="C672" s="22">
        <f>IF(A672="","",B672/AVERAGE(B548:B672)-1)</f>
        <v/>
      </c>
      <c r="D672" s="29">
        <f>IF(A672="","",IFERROR(INDEX('자료_한국심리'!$E$3:$E$4002,MATCH(A672,$V$19:$V$4018,0)),D671))</f>
        <v/>
      </c>
      <c r="E672" s="30">
        <f>IF(A672="","",IFERROR(INDEX('자료_한국심리'!$H$3:$H$4002,MATCH(A672,$W$19:$W$4018,0)),E671))</f>
        <v/>
      </c>
      <c r="F672" s="30">
        <f>IF(A672="","",IFERROR(INDEX('자료_한국심리'!$K$3:$K$4002,MATCH(A672,$X$19:$X$4018,0)),F671))</f>
        <v/>
      </c>
      <c r="G672" s="30">
        <f>IF(AND(ISNUMBER(E672),ISNUMBER(F672)),ROUND(E672-F672,6),"")</f>
        <v/>
      </c>
      <c r="H672" s="25">
        <f>IF(A672="","",IFERROR(INDEX('자료_한국심리'!$N$3:$N$4002,MATCH(A672,$Y$19:$Y$4018,0)),H671))</f>
        <v/>
      </c>
      <c r="I672" s="31">
        <f>IF(AND(ISNUMBER(H672),ISNUMBER(H652)),IF(H652&gt;0,H672/H652-1,""),"")</f>
        <v/>
      </c>
      <c r="J672">
        <f>IF(A672="",0,IF(A672&gt;$B$5,1,0))</f>
        <v/>
      </c>
      <c r="K672" s="29">
        <f>IF(AND(J672=1,ISNUMBER(D672)),D672,"")</f>
        <v/>
      </c>
      <c r="L672" s="30">
        <f>IF(AND(J672=1,ISNUMBER(G672)),G672,"")</f>
        <v/>
      </c>
      <c r="M672" s="22">
        <f>IF(AND(J672=1,ISNUMBER(C672)),C672,"")</f>
        <v/>
      </c>
      <c r="N672" s="31">
        <f>IF(AND(J672=1,ISNUMBER(I672)),I672,"")</f>
        <v/>
      </c>
      <c r="O672" s="11">
        <f>IF(K672="","",100-IF($G$13=1,50,(_xlfn.RANK.AVG(K672,$K$19:$K$1518,1)-1)/($G$13-1)*100))</f>
        <v/>
      </c>
      <c r="P672" s="11">
        <f>IF(L672="","",100-IF($G$14=1,50,(_xlfn.RANK.AVG(L672,$L$19:$L$1518,1)-1)/($G$14-1)*100))</f>
        <v/>
      </c>
      <c r="Q672" s="11">
        <f>IF(M672="","",IF($G$15=1,50,(_xlfn.RANK.AVG(M672,$M$19:$M$1518,1)-1)/($G$15-1)*100))</f>
        <v/>
      </c>
      <c r="R672" s="11">
        <f>IF(N672="","",IF($G$16=1,50,(_xlfn.RANK.AVG(N672,$N$19:$N$1518,1)-1)/($G$16-1)*100))</f>
        <v/>
      </c>
      <c r="S672" s="11">
        <f>IF(COUNT(O672:R672)=4,ROUND(AVERAGE(O672:R672),6),"")</f>
        <v/>
      </c>
      <c r="U672">
        <f>IF(AND(ISNUMBER('자료_한국심리'!$A656),ISNUMBER('자료_한국심리'!$B656)),'자료_한국심리'!$A656,"")</f>
        <v/>
      </c>
      <c r="V672">
        <f>IF(AND(ISNUMBER('자료_한국심리'!$D656),ISNUMBER('자료_한국심리'!$E656)),'자료_한국심리'!$D656,"")</f>
        <v/>
      </c>
      <c r="W672">
        <f>IF(AND(ISNUMBER('자료_한국심리'!$G656),ISNUMBER('자료_한국심리'!$H656)),'자료_한국심리'!$G656,"")</f>
        <v/>
      </c>
      <c r="X672">
        <f>IF(AND(ISNUMBER('자료_한국심리'!$J656),ISNUMBER('자료_한국심리'!$K656)),'자료_한국심리'!$J656,"")</f>
        <v/>
      </c>
      <c r="Y672">
        <f>IF(AND(ISNUMBER('자료_한국심리'!$M656),ISNUMBER('자료_한국심리'!$N656)),'자료_한국심리'!$M656,"")</f>
        <v/>
      </c>
    </row>
    <row r="673">
      <c r="A673" s="10">
        <f>IF(655&gt;$E$5,"",SMALL($U$19:$U$4018,$E$6+655))</f>
        <v/>
      </c>
      <c r="B673" s="29">
        <f>IF(A673="","",INDEX('자료_한국심리'!$B$3:$B$4002,MATCH(A673,$U$19:$U$4018,0)))</f>
        <v/>
      </c>
      <c r="C673" s="22">
        <f>IF(A673="","",B673/AVERAGE(B549:B673)-1)</f>
        <v/>
      </c>
      <c r="D673" s="29">
        <f>IF(A673="","",IFERROR(INDEX('자료_한국심리'!$E$3:$E$4002,MATCH(A673,$V$19:$V$4018,0)),D672))</f>
        <v/>
      </c>
      <c r="E673" s="30">
        <f>IF(A673="","",IFERROR(INDEX('자료_한국심리'!$H$3:$H$4002,MATCH(A673,$W$19:$W$4018,0)),E672))</f>
        <v/>
      </c>
      <c r="F673" s="30">
        <f>IF(A673="","",IFERROR(INDEX('자료_한국심리'!$K$3:$K$4002,MATCH(A673,$X$19:$X$4018,0)),F672))</f>
        <v/>
      </c>
      <c r="G673" s="30">
        <f>IF(AND(ISNUMBER(E673),ISNUMBER(F673)),ROUND(E673-F673,6),"")</f>
        <v/>
      </c>
      <c r="H673" s="25">
        <f>IF(A673="","",IFERROR(INDEX('자료_한국심리'!$N$3:$N$4002,MATCH(A673,$Y$19:$Y$4018,0)),H672))</f>
        <v/>
      </c>
      <c r="I673" s="31">
        <f>IF(AND(ISNUMBER(H673),ISNUMBER(H653)),IF(H653&gt;0,H673/H653-1,""),"")</f>
        <v/>
      </c>
      <c r="J673">
        <f>IF(A673="",0,IF(A673&gt;$B$5,1,0))</f>
        <v/>
      </c>
      <c r="K673" s="29">
        <f>IF(AND(J673=1,ISNUMBER(D673)),D673,"")</f>
        <v/>
      </c>
      <c r="L673" s="30">
        <f>IF(AND(J673=1,ISNUMBER(G673)),G673,"")</f>
        <v/>
      </c>
      <c r="M673" s="22">
        <f>IF(AND(J673=1,ISNUMBER(C673)),C673,"")</f>
        <v/>
      </c>
      <c r="N673" s="31">
        <f>IF(AND(J673=1,ISNUMBER(I673)),I673,"")</f>
        <v/>
      </c>
      <c r="O673" s="11">
        <f>IF(K673="","",100-IF($G$13=1,50,(_xlfn.RANK.AVG(K673,$K$19:$K$1518,1)-1)/($G$13-1)*100))</f>
        <v/>
      </c>
      <c r="P673" s="11">
        <f>IF(L673="","",100-IF($G$14=1,50,(_xlfn.RANK.AVG(L673,$L$19:$L$1518,1)-1)/($G$14-1)*100))</f>
        <v/>
      </c>
      <c r="Q673" s="11">
        <f>IF(M673="","",IF($G$15=1,50,(_xlfn.RANK.AVG(M673,$M$19:$M$1518,1)-1)/($G$15-1)*100))</f>
        <v/>
      </c>
      <c r="R673" s="11">
        <f>IF(N673="","",IF($G$16=1,50,(_xlfn.RANK.AVG(N673,$N$19:$N$1518,1)-1)/($G$16-1)*100))</f>
        <v/>
      </c>
      <c r="S673" s="11">
        <f>IF(COUNT(O673:R673)=4,ROUND(AVERAGE(O673:R673),6),"")</f>
        <v/>
      </c>
      <c r="U673">
        <f>IF(AND(ISNUMBER('자료_한국심리'!$A657),ISNUMBER('자료_한국심리'!$B657)),'자료_한국심리'!$A657,"")</f>
        <v/>
      </c>
      <c r="V673">
        <f>IF(AND(ISNUMBER('자료_한국심리'!$D657),ISNUMBER('자료_한국심리'!$E657)),'자료_한국심리'!$D657,"")</f>
        <v/>
      </c>
      <c r="W673">
        <f>IF(AND(ISNUMBER('자료_한국심리'!$G657),ISNUMBER('자료_한국심리'!$H657)),'자료_한국심리'!$G657,"")</f>
        <v/>
      </c>
      <c r="X673">
        <f>IF(AND(ISNUMBER('자료_한국심리'!$J657),ISNUMBER('자료_한국심리'!$K657)),'자료_한국심리'!$J657,"")</f>
        <v/>
      </c>
      <c r="Y673">
        <f>IF(AND(ISNUMBER('자료_한국심리'!$M657),ISNUMBER('자료_한국심리'!$N657)),'자료_한국심리'!$M657,"")</f>
        <v/>
      </c>
    </row>
    <row r="674">
      <c r="A674" s="10">
        <f>IF(656&gt;$E$5,"",SMALL($U$19:$U$4018,$E$6+656))</f>
        <v/>
      </c>
      <c r="B674" s="29">
        <f>IF(A674="","",INDEX('자료_한국심리'!$B$3:$B$4002,MATCH(A674,$U$19:$U$4018,0)))</f>
        <v/>
      </c>
      <c r="C674" s="22">
        <f>IF(A674="","",B674/AVERAGE(B550:B674)-1)</f>
        <v/>
      </c>
      <c r="D674" s="29">
        <f>IF(A674="","",IFERROR(INDEX('자료_한국심리'!$E$3:$E$4002,MATCH(A674,$V$19:$V$4018,0)),D673))</f>
        <v/>
      </c>
      <c r="E674" s="30">
        <f>IF(A674="","",IFERROR(INDEX('자료_한국심리'!$H$3:$H$4002,MATCH(A674,$W$19:$W$4018,0)),E673))</f>
        <v/>
      </c>
      <c r="F674" s="30">
        <f>IF(A674="","",IFERROR(INDEX('자료_한국심리'!$K$3:$K$4002,MATCH(A674,$X$19:$X$4018,0)),F673))</f>
        <v/>
      </c>
      <c r="G674" s="30">
        <f>IF(AND(ISNUMBER(E674),ISNUMBER(F674)),ROUND(E674-F674,6),"")</f>
        <v/>
      </c>
      <c r="H674" s="25">
        <f>IF(A674="","",IFERROR(INDEX('자료_한국심리'!$N$3:$N$4002,MATCH(A674,$Y$19:$Y$4018,0)),H673))</f>
        <v/>
      </c>
      <c r="I674" s="31">
        <f>IF(AND(ISNUMBER(H674),ISNUMBER(H654)),IF(H654&gt;0,H674/H654-1,""),"")</f>
        <v/>
      </c>
      <c r="J674">
        <f>IF(A674="",0,IF(A674&gt;$B$5,1,0))</f>
        <v/>
      </c>
      <c r="K674" s="29">
        <f>IF(AND(J674=1,ISNUMBER(D674)),D674,"")</f>
        <v/>
      </c>
      <c r="L674" s="30">
        <f>IF(AND(J674=1,ISNUMBER(G674)),G674,"")</f>
        <v/>
      </c>
      <c r="M674" s="22">
        <f>IF(AND(J674=1,ISNUMBER(C674)),C674,"")</f>
        <v/>
      </c>
      <c r="N674" s="31">
        <f>IF(AND(J674=1,ISNUMBER(I674)),I674,"")</f>
        <v/>
      </c>
      <c r="O674" s="11">
        <f>IF(K674="","",100-IF($G$13=1,50,(_xlfn.RANK.AVG(K674,$K$19:$K$1518,1)-1)/($G$13-1)*100))</f>
        <v/>
      </c>
      <c r="P674" s="11">
        <f>IF(L674="","",100-IF($G$14=1,50,(_xlfn.RANK.AVG(L674,$L$19:$L$1518,1)-1)/($G$14-1)*100))</f>
        <v/>
      </c>
      <c r="Q674" s="11">
        <f>IF(M674="","",IF($G$15=1,50,(_xlfn.RANK.AVG(M674,$M$19:$M$1518,1)-1)/($G$15-1)*100))</f>
        <v/>
      </c>
      <c r="R674" s="11">
        <f>IF(N674="","",IF($G$16=1,50,(_xlfn.RANK.AVG(N674,$N$19:$N$1518,1)-1)/($G$16-1)*100))</f>
        <v/>
      </c>
      <c r="S674" s="11">
        <f>IF(COUNT(O674:R674)=4,ROUND(AVERAGE(O674:R674),6),"")</f>
        <v/>
      </c>
      <c r="U674">
        <f>IF(AND(ISNUMBER('자료_한국심리'!$A658),ISNUMBER('자료_한국심리'!$B658)),'자료_한국심리'!$A658,"")</f>
        <v/>
      </c>
      <c r="V674">
        <f>IF(AND(ISNUMBER('자료_한국심리'!$D658),ISNUMBER('자료_한국심리'!$E658)),'자료_한국심리'!$D658,"")</f>
        <v/>
      </c>
      <c r="W674">
        <f>IF(AND(ISNUMBER('자료_한국심리'!$G658),ISNUMBER('자료_한국심리'!$H658)),'자료_한국심리'!$G658,"")</f>
        <v/>
      </c>
      <c r="X674">
        <f>IF(AND(ISNUMBER('자료_한국심리'!$J658),ISNUMBER('자료_한국심리'!$K658)),'자료_한국심리'!$J658,"")</f>
        <v/>
      </c>
      <c r="Y674">
        <f>IF(AND(ISNUMBER('자료_한국심리'!$M658),ISNUMBER('자료_한국심리'!$N658)),'자료_한국심리'!$M658,"")</f>
        <v/>
      </c>
    </row>
    <row r="675">
      <c r="A675" s="10">
        <f>IF(657&gt;$E$5,"",SMALL($U$19:$U$4018,$E$6+657))</f>
        <v/>
      </c>
      <c r="B675" s="29">
        <f>IF(A675="","",INDEX('자료_한국심리'!$B$3:$B$4002,MATCH(A675,$U$19:$U$4018,0)))</f>
        <v/>
      </c>
      <c r="C675" s="22">
        <f>IF(A675="","",B675/AVERAGE(B551:B675)-1)</f>
        <v/>
      </c>
      <c r="D675" s="29">
        <f>IF(A675="","",IFERROR(INDEX('자료_한국심리'!$E$3:$E$4002,MATCH(A675,$V$19:$V$4018,0)),D674))</f>
        <v/>
      </c>
      <c r="E675" s="30">
        <f>IF(A675="","",IFERROR(INDEX('자료_한국심리'!$H$3:$H$4002,MATCH(A675,$W$19:$W$4018,0)),E674))</f>
        <v/>
      </c>
      <c r="F675" s="30">
        <f>IF(A675="","",IFERROR(INDEX('자료_한국심리'!$K$3:$K$4002,MATCH(A675,$X$19:$X$4018,0)),F674))</f>
        <v/>
      </c>
      <c r="G675" s="30">
        <f>IF(AND(ISNUMBER(E675),ISNUMBER(F675)),ROUND(E675-F675,6),"")</f>
        <v/>
      </c>
      <c r="H675" s="25">
        <f>IF(A675="","",IFERROR(INDEX('자료_한국심리'!$N$3:$N$4002,MATCH(A675,$Y$19:$Y$4018,0)),H674))</f>
        <v/>
      </c>
      <c r="I675" s="31">
        <f>IF(AND(ISNUMBER(H675),ISNUMBER(H655)),IF(H655&gt;0,H675/H655-1,""),"")</f>
        <v/>
      </c>
      <c r="J675">
        <f>IF(A675="",0,IF(A675&gt;$B$5,1,0))</f>
        <v/>
      </c>
      <c r="K675" s="29">
        <f>IF(AND(J675=1,ISNUMBER(D675)),D675,"")</f>
        <v/>
      </c>
      <c r="L675" s="30">
        <f>IF(AND(J675=1,ISNUMBER(G675)),G675,"")</f>
        <v/>
      </c>
      <c r="M675" s="22">
        <f>IF(AND(J675=1,ISNUMBER(C675)),C675,"")</f>
        <v/>
      </c>
      <c r="N675" s="31">
        <f>IF(AND(J675=1,ISNUMBER(I675)),I675,"")</f>
        <v/>
      </c>
      <c r="O675" s="11">
        <f>IF(K675="","",100-IF($G$13=1,50,(_xlfn.RANK.AVG(K675,$K$19:$K$1518,1)-1)/($G$13-1)*100))</f>
        <v/>
      </c>
      <c r="P675" s="11">
        <f>IF(L675="","",100-IF($G$14=1,50,(_xlfn.RANK.AVG(L675,$L$19:$L$1518,1)-1)/($G$14-1)*100))</f>
        <v/>
      </c>
      <c r="Q675" s="11">
        <f>IF(M675="","",IF($G$15=1,50,(_xlfn.RANK.AVG(M675,$M$19:$M$1518,1)-1)/($G$15-1)*100))</f>
        <v/>
      </c>
      <c r="R675" s="11">
        <f>IF(N675="","",IF($G$16=1,50,(_xlfn.RANK.AVG(N675,$N$19:$N$1518,1)-1)/($G$16-1)*100))</f>
        <v/>
      </c>
      <c r="S675" s="11">
        <f>IF(COUNT(O675:R675)=4,ROUND(AVERAGE(O675:R675),6),"")</f>
        <v/>
      </c>
      <c r="U675">
        <f>IF(AND(ISNUMBER('자료_한국심리'!$A659),ISNUMBER('자료_한국심리'!$B659)),'자료_한국심리'!$A659,"")</f>
        <v/>
      </c>
      <c r="V675">
        <f>IF(AND(ISNUMBER('자료_한국심리'!$D659),ISNUMBER('자료_한국심리'!$E659)),'자료_한국심리'!$D659,"")</f>
        <v/>
      </c>
      <c r="W675">
        <f>IF(AND(ISNUMBER('자료_한국심리'!$G659),ISNUMBER('자료_한국심리'!$H659)),'자료_한국심리'!$G659,"")</f>
        <v/>
      </c>
      <c r="X675">
        <f>IF(AND(ISNUMBER('자료_한국심리'!$J659),ISNUMBER('자료_한국심리'!$K659)),'자료_한국심리'!$J659,"")</f>
        <v/>
      </c>
      <c r="Y675">
        <f>IF(AND(ISNUMBER('자료_한국심리'!$M659),ISNUMBER('자료_한국심리'!$N659)),'자료_한국심리'!$M659,"")</f>
        <v/>
      </c>
    </row>
    <row r="676">
      <c r="A676" s="10">
        <f>IF(658&gt;$E$5,"",SMALL($U$19:$U$4018,$E$6+658))</f>
        <v/>
      </c>
      <c r="B676" s="29">
        <f>IF(A676="","",INDEX('자료_한국심리'!$B$3:$B$4002,MATCH(A676,$U$19:$U$4018,0)))</f>
        <v/>
      </c>
      <c r="C676" s="22">
        <f>IF(A676="","",B676/AVERAGE(B552:B676)-1)</f>
        <v/>
      </c>
      <c r="D676" s="29">
        <f>IF(A676="","",IFERROR(INDEX('자료_한국심리'!$E$3:$E$4002,MATCH(A676,$V$19:$V$4018,0)),D675))</f>
        <v/>
      </c>
      <c r="E676" s="30">
        <f>IF(A676="","",IFERROR(INDEX('자료_한국심리'!$H$3:$H$4002,MATCH(A676,$W$19:$W$4018,0)),E675))</f>
        <v/>
      </c>
      <c r="F676" s="30">
        <f>IF(A676="","",IFERROR(INDEX('자료_한국심리'!$K$3:$K$4002,MATCH(A676,$X$19:$X$4018,0)),F675))</f>
        <v/>
      </c>
      <c r="G676" s="30">
        <f>IF(AND(ISNUMBER(E676),ISNUMBER(F676)),ROUND(E676-F676,6),"")</f>
        <v/>
      </c>
      <c r="H676" s="25">
        <f>IF(A676="","",IFERROR(INDEX('자료_한국심리'!$N$3:$N$4002,MATCH(A676,$Y$19:$Y$4018,0)),H675))</f>
        <v/>
      </c>
      <c r="I676" s="31">
        <f>IF(AND(ISNUMBER(H676),ISNUMBER(H656)),IF(H656&gt;0,H676/H656-1,""),"")</f>
        <v/>
      </c>
      <c r="J676">
        <f>IF(A676="",0,IF(A676&gt;$B$5,1,0))</f>
        <v/>
      </c>
      <c r="K676" s="29">
        <f>IF(AND(J676=1,ISNUMBER(D676)),D676,"")</f>
        <v/>
      </c>
      <c r="L676" s="30">
        <f>IF(AND(J676=1,ISNUMBER(G676)),G676,"")</f>
        <v/>
      </c>
      <c r="M676" s="22">
        <f>IF(AND(J676=1,ISNUMBER(C676)),C676,"")</f>
        <v/>
      </c>
      <c r="N676" s="31">
        <f>IF(AND(J676=1,ISNUMBER(I676)),I676,"")</f>
        <v/>
      </c>
      <c r="O676" s="11">
        <f>IF(K676="","",100-IF($G$13=1,50,(_xlfn.RANK.AVG(K676,$K$19:$K$1518,1)-1)/($G$13-1)*100))</f>
        <v/>
      </c>
      <c r="P676" s="11">
        <f>IF(L676="","",100-IF($G$14=1,50,(_xlfn.RANK.AVG(L676,$L$19:$L$1518,1)-1)/($G$14-1)*100))</f>
        <v/>
      </c>
      <c r="Q676" s="11">
        <f>IF(M676="","",IF($G$15=1,50,(_xlfn.RANK.AVG(M676,$M$19:$M$1518,1)-1)/($G$15-1)*100))</f>
        <v/>
      </c>
      <c r="R676" s="11">
        <f>IF(N676="","",IF($G$16=1,50,(_xlfn.RANK.AVG(N676,$N$19:$N$1518,1)-1)/($G$16-1)*100))</f>
        <v/>
      </c>
      <c r="S676" s="11">
        <f>IF(COUNT(O676:R676)=4,ROUND(AVERAGE(O676:R676),6),"")</f>
        <v/>
      </c>
      <c r="U676">
        <f>IF(AND(ISNUMBER('자료_한국심리'!$A660),ISNUMBER('자료_한국심리'!$B660)),'자료_한국심리'!$A660,"")</f>
        <v/>
      </c>
      <c r="V676">
        <f>IF(AND(ISNUMBER('자료_한국심리'!$D660),ISNUMBER('자료_한국심리'!$E660)),'자료_한국심리'!$D660,"")</f>
        <v/>
      </c>
      <c r="W676">
        <f>IF(AND(ISNUMBER('자료_한국심리'!$G660),ISNUMBER('자료_한국심리'!$H660)),'자료_한국심리'!$G660,"")</f>
        <v/>
      </c>
      <c r="X676">
        <f>IF(AND(ISNUMBER('자료_한국심리'!$J660),ISNUMBER('자료_한국심리'!$K660)),'자료_한국심리'!$J660,"")</f>
        <v/>
      </c>
      <c r="Y676">
        <f>IF(AND(ISNUMBER('자료_한국심리'!$M660),ISNUMBER('자료_한국심리'!$N660)),'자료_한국심리'!$M660,"")</f>
        <v/>
      </c>
    </row>
    <row r="677">
      <c r="A677" s="10">
        <f>IF(659&gt;$E$5,"",SMALL($U$19:$U$4018,$E$6+659))</f>
        <v/>
      </c>
      <c r="B677" s="29">
        <f>IF(A677="","",INDEX('자료_한국심리'!$B$3:$B$4002,MATCH(A677,$U$19:$U$4018,0)))</f>
        <v/>
      </c>
      <c r="C677" s="22">
        <f>IF(A677="","",B677/AVERAGE(B553:B677)-1)</f>
        <v/>
      </c>
      <c r="D677" s="29">
        <f>IF(A677="","",IFERROR(INDEX('자료_한국심리'!$E$3:$E$4002,MATCH(A677,$V$19:$V$4018,0)),D676))</f>
        <v/>
      </c>
      <c r="E677" s="30">
        <f>IF(A677="","",IFERROR(INDEX('자료_한국심리'!$H$3:$H$4002,MATCH(A677,$W$19:$W$4018,0)),E676))</f>
        <v/>
      </c>
      <c r="F677" s="30">
        <f>IF(A677="","",IFERROR(INDEX('자료_한국심리'!$K$3:$K$4002,MATCH(A677,$X$19:$X$4018,0)),F676))</f>
        <v/>
      </c>
      <c r="G677" s="30">
        <f>IF(AND(ISNUMBER(E677),ISNUMBER(F677)),ROUND(E677-F677,6),"")</f>
        <v/>
      </c>
      <c r="H677" s="25">
        <f>IF(A677="","",IFERROR(INDEX('자료_한국심리'!$N$3:$N$4002,MATCH(A677,$Y$19:$Y$4018,0)),H676))</f>
        <v/>
      </c>
      <c r="I677" s="31">
        <f>IF(AND(ISNUMBER(H677),ISNUMBER(H657)),IF(H657&gt;0,H677/H657-1,""),"")</f>
        <v/>
      </c>
      <c r="J677">
        <f>IF(A677="",0,IF(A677&gt;$B$5,1,0))</f>
        <v/>
      </c>
      <c r="K677" s="29">
        <f>IF(AND(J677=1,ISNUMBER(D677)),D677,"")</f>
        <v/>
      </c>
      <c r="L677" s="30">
        <f>IF(AND(J677=1,ISNUMBER(G677)),G677,"")</f>
        <v/>
      </c>
      <c r="M677" s="22">
        <f>IF(AND(J677=1,ISNUMBER(C677)),C677,"")</f>
        <v/>
      </c>
      <c r="N677" s="31">
        <f>IF(AND(J677=1,ISNUMBER(I677)),I677,"")</f>
        <v/>
      </c>
      <c r="O677" s="11">
        <f>IF(K677="","",100-IF($G$13=1,50,(_xlfn.RANK.AVG(K677,$K$19:$K$1518,1)-1)/($G$13-1)*100))</f>
        <v/>
      </c>
      <c r="P677" s="11">
        <f>IF(L677="","",100-IF($G$14=1,50,(_xlfn.RANK.AVG(L677,$L$19:$L$1518,1)-1)/($G$14-1)*100))</f>
        <v/>
      </c>
      <c r="Q677" s="11">
        <f>IF(M677="","",IF($G$15=1,50,(_xlfn.RANK.AVG(M677,$M$19:$M$1518,1)-1)/($G$15-1)*100))</f>
        <v/>
      </c>
      <c r="R677" s="11">
        <f>IF(N677="","",IF($G$16=1,50,(_xlfn.RANK.AVG(N677,$N$19:$N$1518,1)-1)/($G$16-1)*100))</f>
        <v/>
      </c>
      <c r="S677" s="11">
        <f>IF(COUNT(O677:R677)=4,ROUND(AVERAGE(O677:R677),6),"")</f>
        <v/>
      </c>
      <c r="U677">
        <f>IF(AND(ISNUMBER('자료_한국심리'!$A661),ISNUMBER('자료_한국심리'!$B661)),'자료_한국심리'!$A661,"")</f>
        <v/>
      </c>
      <c r="V677">
        <f>IF(AND(ISNUMBER('자료_한국심리'!$D661),ISNUMBER('자료_한국심리'!$E661)),'자료_한국심리'!$D661,"")</f>
        <v/>
      </c>
      <c r="W677">
        <f>IF(AND(ISNUMBER('자료_한국심리'!$G661),ISNUMBER('자료_한국심리'!$H661)),'자료_한국심리'!$G661,"")</f>
        <v/>
      </c>
      <c r="X677">
        <f>IF(AND(ISNUMBER('자료_한국심리'!$J661),ISNUMBER('자료_한국심리'!$K661)),'자료_한국심리'!$J661,"")</f>
        <v/>
      </c>
      <c r="Y677">
        <f>IF(AND(ISNUMBER('자료_한국심리'!$M661),ISNUMBER('자료_한국심리'!$N661)),'자료_한국심리'!$M661,"")</f>
        <v/>
      </c>
    </row>
    <row r="678">
      <c r="A678" s="10">
        <f>IF(660&gt;$E$5,"",SMALL($U$19:$U$4018,$E$6+660))</f>
        <v/>
      </c>
      <c r="B678" s="29">
        <f>IF(A678="","",INDEX('자료_한국심리'!$B$3:$B$4002,MATCH(A678,$U$19:$U$4018,0)))</f>
        <v/>
      </c>
      <c r="C678" s="22">
        <f>IF(A678="","",B678/AVERAGE(B554:B678)-1)</f>
        <v/>
      </c>
      <c r="D678" s="29">
        <f>IF(A678="","",IFERROR(INDEX('자료_한국심리'!$E$3:$E$4002,MATCH(A678,$V$19:$V$4018,0)),D677))</f>
        <v/>
      </c>
      <c r="E678" s="30">
        <f>IF(A678="","",IFERROR(INDEX('자료_한국심리'!$H$3:$H$4002,MATCH(A678,$W$19:$W$4018,0)),E677))</f>
        <v/>
      </c>
      <c r="F678" s="30">
        <f>IF(A678="","",IFERROR(INDEX('자료_한국심리'!$K$3:$K$4002,MATCH(A678,$X$19:$X$4018,0)),F677))</f>
        <v/>
      </c>
      <c r="G678" s="30">
        <f>IF(AND(ISNUMBER(E678),ISNUMBER(F678)),ROUND(E678-F678,6),"")</f>
        <v/>
      </c>
      <c r="H678" s="25">
        <f>IF(A678="","",IFERROR(INDEX('자료_한국심리'!$N$3:$N$4002,MATCH(A678,$Y$19:$Y$4018,0)),H677))</f>
        <v/>
      </c>
      <c r="I678" s="31">
        <f>IF(AND(ISNUMBER(H678),ISNUMBER(H658)),IF(H658&gt;0,H678/H658-1,""),"")</f>
        <v/>
      </c>
      <c r="J678">
        <f>IF(A678="",0,IF(A678&gt;$B$5,1,0))</f>
        <v/>
      </c>
      <c r="K678" s="29">
        <f>IF(AND(J678=1,ISNUMBER(D678)),D678,"")</f>
        <v/>
      </c>
      <c r="L678" s="30">
        <f>IF(AND(J678=1,ISNUMBER(G678)),G678,"")</f>
        <v/>
      </c>
      <c r="M678" s="22">
        <f>IF(AND(J678=1,ISNUMBER(C678)),C678,"")</f>
        <v/>
      </c>
      <c r="N678" s="31">
        <f>IF(AND(J678=1,ISNUMBER(I678)),I678,"")</f>
        <v/>
      </c>
      <c r="O678" s="11">
        <f>IF(K678="","",100-IF($G$13=1,50,(_xlfn.RANK.AVG(K678,$K$19:$K$1518,1)-1)/($G$13-1)*100))</f>
        <v/>
      </c>
      <c r="P678" s="11">
        <f>IF(L678="","",100-IF($G$14=1,50,(_xlfn.RANK.AVG(L678,$L$19:$L$1518,1)-1)/($G$14-1)*100))</f>
        <v/>
      </c>
      <c r="Q678" s="11">
        <f>IF(M678="","",IF($G$15=1,50,(_xlfn.RANK.AVG(M678,$M$19:$M$1518,1)-1)/($G$15-1)*100))</f>
        <v/>
      </c>
      <c r="R678" s="11">
        <f>IF(N678="","",IF($G$16=1,50,(_xlfn.RANK.AVG(N678,$N$19:$N$1518,1)-1)/($G$16-1)*100))</f>
        <v/>
      </c>
      <c r="S678" s="11">
        <f>IF(COUNT(O678:R678)=4,ROUND(AVERAGE(O678:R678),6),"")</f>
        <v/>
      </c>
      <c r="U678">
        <f>IF(AND(ISNUMBER('자료_한국심리'!$A662),ISNUMBER('자료_한국심리'!$B662)),'자료_한국심리'!$A662,"")</f>
        <v/>
      </c>
      <c r="V678">
        <f>IF(AND(ISNUMBER('자료_한국심리'!$D662),ISNUMBER('자료_한국심리'!$E662)),'자료_한국심리'!$D662,"")</f>
        <v/>
      </c>
      <c r="W678">
        <f>IF(AND(ISNUMBER('자료_한국심리'!$G662),ISNUMBER('자료_한국심리'!$H662)),'자료_한국심리'!$G662,"")</f>
        <v/>
      </c>
      <c r="X678">
        <f>IF(AND(ISNUMBER('자료_한국심리'!$J662),ISNUMBER('자료_한국심리'!$K662)),'자료_한국심리'!$J662,"")</f>
        <v/>
      </c>
      <c r="Y678">
        <f>IF(AND(ISNUMBER('자료_한국심리'!$M662),ISNUMBER('자료_한국심리'!$N662)),'자료_한국심리'!$M662,"")</f>
        <v/>
      </c>
    </row>
    <row r="679">
      <c r="A679" s="10">
        <f>IF(661&gt;$E$5,"",SMALL($U$19:$U$4018,$E$6+661))</f>
        <v/>
      </c>
      <c r="B679" s="29">
        <f>IF(A679="","",INDEX('자료_한국심리'!$B$3:$B$4002,MATCH(A679,$U$19:$U$4018,0)))</f>
        <v/>
      </c>
      <c r="C679" s="22">
        <f>IF(A679="","",B679/AVERAGE(B555:B679)-1)</f>
        <v/>
      </c>
      <c r="D679" s="29">
        <f>IF(A679="","",IFERROR(INDEX('자료_한국심리'!$E$3:$E$4002,MATCH(A679,$V$19:$V$4018,0)),D678))</f>
        <v/>
      </c>
      <c r="E679" s="30">
        <f>IF(A679="","",IFERROR(INDEX('자료_한국심리'!$H$3:$H$4002,MATCH(A679,$W$19:$W$4018,0)),E678))</f>
        <v/>
      </c>
      <c r="F679" s="30">
        <f>IF(A679="","",IFERROR(INDEX('자료_한국심리'!$K$3:$K$4002,MATCH(A679,$X$19:$X$4018,0)),F678))</f>
        <v/>
      </c>
      <c r="G679" s="30">
        <f>IF(AND(ISNUMBER(E679),ISNUMBER(F679)),ROUND(E679-F679,6),"")</f>
        <v/>
      </c>
      <c r="H679" s="25">
        <f>IF(A679="","",IFERROR(INDEX('자료_한국심리'!$N$3:$N$4002,MATCH(A679,$Y$19:$Y$4018,0)),H678))</f>
        <v/>
      </c>
      <c r="I679" s="31">
        <f>IF(AND(ISNUMBER(H679),ISNUMBER(H659)),IF(H659&gt;0,H679/H659-1,""),"")</f>
        <v/>
      </c>
      <c r="J679">
        <f>IF(A679="",0,IF(A679&gt;$B$5,1,0))</f>
        <v/>
      </c>
      <c r="K679" s="29">
        <f>IF(AND(J679=1,ISNUMBER(D679)),D679,"")</f>
        <v/>
      </c>
      <c r="L679" s="30">
        <f>IF(AND(J679=1,ISNUMBER(G679)),G679,"")</f>
        <v/>
      </c>
      <c r="M679" s="22">
        <f>IF(AND(J679=1,ISNUMBER(C679)),C679,"")</f>
        <v/>
      </c>
      <c r="N679" s="31">
        <f>IF(AND(J679=1,ISNUMBER(I679)),I679,"")</f>
        <v/>
      </c>
      <c r="O679" s="11">
        <f>IF(K679="","",100-IF($G$13=1,50,(_xlfn.RANK.AVG(K679,$K$19:$K$1518,1)-1)/($G$13-1)*100))</f>
        <v/>
      </c>
      <c r="P679" s="11">
        <f>IF(L679="","",100-IF($G$14=1,50,(_xlfn.RANK.AVG(L679,$L$19:$L$1518,1)-1)/($G$14-1)*100))</f>
        <v/>
      </c>
      <c r="Q679" s="11">
        <f>IF(M679="","",IF($G$15=1,50,(_xlfn.RANK.AVG(M679,$M$19:$M$1518,1)-1)/($G$15-1)*100))</f>
        <v/>
      </c>
      <c r="R679" s="11">
        <f>IF(N679="","",IF($G$16=1,50,(_xlfn.RANK.AVG(N679,$N$19:$N$1518,1)-1)/($G$16-1)*100))</f>
        <v/>
      </c>
      <c r="S679" s="11">
        <f>IF(COUNT(O679:R679)=4,ROUND(AVERAGE(O679:R679),6),"")</f>
        <v/>
      </c>
      <c r="U679">
        <f>IF(AND(ISNUMBER('자료_한국심리'!$A663),ISNUMBER('자료_한국심리'!$B663)),'자료_한국심리'!$A663,"")</f>
        <v/>
      </c>
      <c r="V679">
        <f>IF(AND(ISNUMBER('자료_한국심리'!$D663),ISNUMBER('자료_한국심리'!$E663)),'자료_한국심리'!$D663,"")</f>
        <v/>
      </c>
      <c r="W679">
        <f>IF(AND(ISNUMBER('자료_한국심리'!$G663),ISNUMBER('자료_한국심리'!$H663)),'자료_한국심리'!$G663,"")</f>
        <v/>
      </c>
      <c r="X679">
        <f>IF(AND(ISNUMBER('자료_한국심리'!$J663),ISNUMBER('자료_한국심리'!$K663)),'자료_한국심리'!$J663,"")</f>
        <v/>
      </c>
      <c r="Y679">
        <f>IF(AND(ISNUMBER('자료_한국심리'!$M663),ISNUMBER('자료_한국심리'!$N663)),'자료_한국심리'!$M663,"")</f>
        <v/>
      </c>
    </row>
    <row r="680">
      <c r="A680" s="10">
        <f>IF(662&gt;$E$5,"",SMALL($U$19:$U$4018,$E$6+662))</f>
        <v/>
      </c>
      <c r="B680" s="29">
        <f>IF(A680="","",INDEX('자료_한국심리'!$B$3:$B$4002,MATCH(A680,$U$19:$U$4018,0)))</f>
        <v/>
      </c>
      <c r="C680" s="22">
        <f>IF(A680="","",B680/AVERAGE(B556:B680)-1)</f>
        <v/>
      </c>
      <c r="D680" s="29">
        <f>IF(A680="","",IFERROR(INDEX('자료_한국심리'!$E$3:$E$4002,MATCH(A680,$V$19:$V$4018,0)),D679))</f>
        <v/>
      </c>
      <c r="E680" s="30">
        <f>IF(A680="","",IFERROR(INDEX('자료_한국심리'!$H$3:$H$4002,MATCH(A680,$W$19:$W$4018,0)),E679))</f>
        <v/>
      </c>
      <c r="F680" s="30">
        <f>IF(A680="","",IFERROR(INDEX('자료_한국심리'!$K$3:$K$4002,MATCH(A680,$X$19:$X$4018,0)),F679))</f>
        <v/>
      </c>
      <c r="G680" s="30">
        <f>IF(AND(ISNUMBER(E680),ISNUMBER(F680)),ROUND(E680-F680,6),"")</f>
        <v/>
      </c>
      <c r="H680" s="25">
        <f>IF(A680="","",IFERROR(INDEX('자료_한국심리'!$N$3:$N$4002,MATCH(A680,$Y$19:$Y$4018,0)),H679))</f>
        <v/>
      </c>
      <c r="I680" s="31">
        <f>IF(AND(ISNUMBER(H680),ISNUMBER(H660)),IF(H660&gt;0,H680/H660-1,""),"")</f>
        <v/>
      </c>
      <c r="J680">
        <f>IF(A680="",0,IF(A680&gt;$B$5,1,0))</f>
        <v/>
      </c>
      <c r="K680" s="29">
        <f>IF(AND(J680=1,ISNUMBER(D680)),D680,"")</f>
        <v/>
      </c>
      <c r="L680" s="30">
        <f>IF(AND(J680=1,ISNUMBER(G680)),G680,"")</f>
        <v/>
      </c>
      <c r="M680" s="22">
        <f>IF(AND(J680=1,ISNUMBER(C680)),C680,"")</f>
        <v/>
      </c>
      <c r="N680" s="31">
        <f>IF(AND(J680=1,ISNUMBER(I680)),I680,"")</f>
        <v/>
      </c>
      <c r="O680" s="11">
        <f>IF(K680="","",100-IF($G$13=1,50,(_xlfn.RANK.AVG(K680,$K$19:$K$1518,1)-1)/($G$13-1)*100))</f>
        <v/>
      </c>
      <c r="P680" s="11">
        <f>IF(L680="","",100-IF($G$14=1,50,(_xlfn.RANK.AVG(L680,$L$19:$L$1518,1)-1)/($G$14-1)*100))</f>
        <v/>
      </c>
      <c r="Q680" s="11">
        <f>IF(M680="","",IF($G$15=1,50,(_xlfn.RANK.AVG(M680,$M$19:$M$1518,1)-1)/($G$15-1)*100))</f>
        <v/>
      </c>
      <c r="R680" s="11">
        <f>IF(N680="","",IF($G$16=1,50,(_xlfn.RANK.AVG(N680,$N$19:$N$1518,1)-1)/($G$16-1)*100))</f>
        <v/>
      </c>
      <c r="S680" s="11">
        <f>IF(COUNT(O680:R680)=4,ROUND(AVERAGE(O680:R680),6),"")</f>
        <v/>
      </c>
      <c r="U680">
        <f>IF(AND(ISNUMBER('자료_한국심리'!$A664),ISNUMBER('자료_한국심리'!$B664)),'자료_한국심리'!$A664,"")</f>
        <v/>
      </c>
      <c r="V680">
        <f>IF(AND(ISNUMBER('자료_한국심리'!$D664),ISNUMBER('자료_한국심리'!$E664)),'자료_한국심리'!$D664,"")</f>
        <v/>
      </c>
      <c r="W680">
        <f>IF(AND(ISNUMBER('자료_한국심리'!$G664),ISNUMBER('자료_한국심리'!$H664)),'자료_한국심리'!$G664,"")</f>
        <v/>
      </c>
      <c r="X680">
        <f>IF(AND(ISNUMBER('자료_한국심리'!$J664),ISNUMBER('자료_한국심리'!$K664)),'자료_한국심리'!$J664,"")</f>
        <v/>
      </c>
      <c r="Y680">
        <f>IF(AND(ISNUMBER('자료_한국심리'!$M664),ISNUMBER('자료_한국심리'!$N664)),'자료_한국심리'!$M664,"")</f>
        <v/>
      </c>
    </row>
    <row r="681">
      <c r="A681" s="10">
        <f>IF(663&gt;$E$5,"",SMALL($U$19:$U$4018,$E$6+663))</f>
        <v/>
      </c>
      <c r="B681" s="29">
        <f>IF(A681="","",INDEX('자료_한국심리'!$B$3:$B$4002,MATCH(A681,$U$19:$U$4018,0)))</f>
        <v/>
      </c>
      <c r="C681" s="22">
        <f>IF(A681="","",B681/AVERAGE(B557:B681)-1)</f>
        <v/>
      </c>
      <c r="D681" s="29">
        <f>IF(A681="","",IFERROR(INDEX('자료_한국심리'!$E$3:$E$4002,MATCH(A681,$V$19:$V$4018,0)),D680))</f>
        <v/>
      </c>
      <c r="E681" s="30">
        <f>IF(A681="","",IFERROR(INDEX('자료_한국심리'!$H$3:$H$4002,MATCH(A681,$W$19:$W$4018,0)),E680))</f>
        <v/>
      </c>
      <c r="F681" s="30">
        <f>IF(A681="","",IFERROR(INDEX('자료_한국심리'!$K$3:$K$4002,MATCH(A681,$X$19:$X$4018,0)),F680))</f>
        <v/>
      </c>
      <c r="G681" s="30">
        <f>IF(AND(ISNUMBER(E681),ISNUMBER(F681)),ROUND(E681-F681,6),"")</f>
        <v/>
      </c>
      <c r="H681" s="25">
        <f>IF(A681="","",IFERROR(INDEX('자료_한국심리'!$N$3:$N$4002,MATCH(A681,$Y$19:$Y$4018,0)),H680))</f>
        <v/>
      </c>
      <c r="I681" s="31">
        <f>IF(AND(ISNUMBER(H681),ISNUMBER(H661)),IF(H661&gt;0,H681/H661-1,""),"")</f>
        <v/>
      </c>
      <c r="J681">
        <f>IF(A681="",0,IF(A681&gt;$B$5,1,0))</f>
        <v/>
      </c>
      <c r="K681" s="29">
        <f>IF(AND(J681=1,ISNUMBER(D681)),D681,"")</f>
        <v/>
      </c>
      <c r="L681" s="30">
        <f>IF(AND(J681=1,ISNUMBER(G681)),G681,"")</f>
        <v/>
      </c>
      <c r="M681" s="22">
        <f>IF(AND(J681=1,ISNUMBER(C681)),C681,"")</f>
        <v/>
      </c>
      <c r="N681" s="31">
        <f>IF(AND(J681=1,ISNUMBER(I681)),I681,"")</f>
        <v/>
      </c>
      <c r="O681" s="11">
        <f>IF(K681="","",100-IF($G$13=1,50,(_xlfn.RANK.AVG(K681,$K$19:$K$1518,1)-1)/($G$13-1)*100))</f>
        <v/>
      </c>
      <c r="P681" s="11">
        <f>IF(L681="","",100-IF($G$14=1,50,(_xlfn.RANK.AVG(L681,$L$19:$L$1518,1)-1)/($G$14-1)*100))</f>
        <v/>
      </c>
      <c r="Q681" s="11">
        <f>IF(M681="","",IF($G$15=1,50,(_xlfn.RANK.AVG(M681,$M$19:$M$1518,1)-1)/($G$15-1)*100))</f>
        <v/>
      </c>
      <c r="R681" s="11">
        <f>IF(N681="","",IF($G$16=1,50,(_xlfn.RANK.AVG(N681,$N$19:$N$1518,1)-1)/($G$16-1)*100))</f>
        <v/>
      </c>
      <c r="S681" s="11">
        <f>IF(COUNT(O681:R681)=4,ROUND(AVERAGE(O681:R681),6),"")</f>
        <v/>
      </c>
      <c r="U681">
        <f>IF(AND(ISNUMBER('자료_한국심리'!$A665),ISNUMBER('자료_한국심리'!$B665)),'자료_한국심리'!$A665,"")</f>
        <v/>
      </c>
      <c r="V681">
        <f>IF(AND(ISNUMBER('자료_한국심리'!$D665),ISNUMBER('자료_한국심리'!$E665)),'자료_한국심리'!$D665,"")</f>
        <v/>
      </c>
      <c r="W681">
        <f>IF(AND(ISNUMBER('자료_한국심리'!$G665),ISNUMBER('자료_한국심리'!$H665)),'자료_한국심리'!$G665,"")</f>
        <v/>
      </c>
      <c r="X681">
        <f>IF(AND(ISNUMBER('자료_한국심리'!$J665),ISNUMBER('자료_한국심리'!$K665)),'자료_한국심리'!$J665,"")</f>
        <v/>
      </c>
      <c r="Y681">
        <f>IF(AND(ISNUMBER('자료_한국심리'!$M665),ISNUMBER('자료_한국심리'!$N665)),'자료_한국심리'!$M665,"")</f>
        <v/>
      </c>
    </row>
    <row r="682">
      <c r="A682" s="10">
        <f>IF(664&gt;$E$5,"",SMALL($U$19:$U$4018,$E$6+664))</f>
        <v/>
      </c>
      <c r="B682" s="29">
        <f>IF(A682="","",INDEX('자료_한국심리'!$B$3:$B$4002,MATCH(A682,$U$19:$U$4018,0)))</f>
        <v/>
      </c>
      <c r="C682" s="22">
        <f>IF(A682="","",B682/AVERAGE(B558:B682)-1)</f>
        <v/>
      </c>
      <c r="D682" s="29">
        <f>IF(A682="","",IFERROR(INDEX('자료_한국심리'!$E$3:$E$4002,MATCH(A682,$V$19:$V$4018,0)),D681))</f>
        <v/>
      </c>
      <c r="E682" s="30">
        <f>IF(A682="","",IFERROR(INDEX('자료_한국심리'!$H$3:$H$4002,MATCH(A682,$W$19:$W$4018,0)),E681))</f>
        <v/>
      </c>
      <c r="F682" s="30">
        <f>IF(A682="","",IFERROR(INDEX('자료_한국심리'!$K$3:$K$4002,MATCH(A682,$X$19:$X$4018,0)),F681))</f>
        <v/>
      </c>
      <c r="G682" s="30">
        <f>IF(AND(ISNUMBER(E682),ISNUMBER(F682)),ROUND(E682-F682,6),"")</f>
        <v/>
      </c>
      <c r="H682" s="25">
        <f>IF(A682="","",IFERROR(INDEX('자료_한국심리'!$N$3:$N$4002,MATCH(A682,$Y$19:$Y$4018,0)),H681))</f>
        <v/>
      </c>
      <c r="I682" s="31">
        <f>IF(AND(ISNUMBER(H682),ISNUMBER(H662)),IF(H662&gt;0,H682/H662-1,""),"")</f>
        <v/>
      </c>
      <c r="J682">
        <f>IF(A682="",0,IF(A682&gt;$B$5,1,0))</f>
        <v/>
      </c>
      <c r="K682" s="29">
        <f>IF(AND(J682=1,ISNUMBER(D682)),D682,"")</f>
        <v/>
      </c>
      <c r="L682" s="30">
        <f>IF(AND(J682=1,ISNUMBER(G682)),G682,"")</f>
        <v/>
      </c>
      <c r="M682" s="22">
        <f>IF(AND(J682=1,ISNUMBER(C682)),C682,"")</f>
        <v/>
      </c>
      <c r="N682" s="31">
        <f>IF(AND(J682=1,ISNUMBER(I682)),I682,"")</f>
        <v/>
      </c>
      <c r="O682" s="11">
        <f>IF(K682="","",100-IF($G$13=1,50,(_xlfn.RANK.AVG(K682,$K$19:$K$1518,1)-1)/($G$13-1)*100))</f>
        <v/>
      </c>
      <c r="P682" s="11">
        <f>IF(L682="","",100-IF($G$14=1,50,(_xlfn.RANK.AVG(L682,$L$19:$L$1518,1)-1)/($G$14-1)*100))</f>
        <v/>
      </c>
      <c r="Q682" s="11">
        <f>IF(M682="","",IF($G$15=1,50,(_xlfn.RANK.AVG(M682,$M$19:$M$1518,1)-1)/($G$15-1)*100))</f>
        <v/>
      </c>
      <c r="R682" s="11">
        <f>IF(N682="","",IF($G$16=1,50,(_xlfn.RANK.AVG(N682,$N$19:$N$1518,1)-1)/($G$16-1)*100))</f>
        <v/>
      </c>
      <c r="S682" s="11">
        <f>IF(COUNT(O682:R682)=4,ROUND(AVERAGE(O682:R682),6),"")</f>
        <v/>
      </c>
      <c r="U682">
        <f>IF(AND(ISNUMBER('자료_한국심리'!$A666),ISNUMBER('자료_한국심리'!$B666)),'자료_한국심리'!$A666,"")</f>
        <v/>
      </c>
      <c r="V682">
        <f>IF(AND(ISNUMBER('자료_한국심리'!$D666),ISNUMBER('자료_한국심리'!$E666)),'자료_한국심리'!$D666,"")</f>
        <v/>
      </c>
      <c r="W682">
        <f>IF(AND(ISNUMBER('자료_한국심리'!$G666),ISNUMBER('자료_한국심리'!$H666)),'자료_한국심리'!$G666,"")</f>
        <v/>
      </c>
      <c r="X682">
        <f>IF(AND(ISNUMBER('자료_한국심리'!$J666),ISNUMBER('자료_한국심리'!$K666)),'자료_한국심리'!$J666,"")</f>
        <v/>
      </c>
      <c r="Y682">
        <f>IF(AND(ISNUMBER('자료_한국심리'!$M666),ISNUMBER('자료_한국심리'!$N666)),'자료_한국심리'!$M666,"")</f>
        <v/>
      </c>
    </row>
    <row r="683">
      <c r="A683" s="10">
        <f>IF(665&gt;$E$5,"",SMALL($U$19:$U$4018,$E$6+665))</f>
        <v/>
      </c>
      <c r="B683" s="29">
        <f>IF(A683="","",INDEX('자료_한국심리'!$B$3:$B$4002,MATCH(A683,$U$19:$U$4018,0)))</f>
        <v/>
      </c>
      <c r="C683" s="22">
        <f>IF(A683="","",B683/AVERAGE(B559:B683)-1)</f>
        <v/>
      </c>
      <c r="D683" s="29">
        <f>IF(A683="","",IFERROR(INDEX('자료_한국심리'!$E$3:$E$4002,MATCH(A683,$V$19:$V$4018,0)),D682))</f>
        <v/>
      </c>
      <c r="E683" s="30">
        <f>IF(A683="","",IFERROR(INDEX('자료_한국심리'!$H$3:$H$4002,MATCH(A683,$W$19:$W$4018,0)),E682))</f>
        <v/>
      </c>
      <c r="F683" s="30">
        <f>IF(A683="","",IFERROR(INDEX('자료_한국심리'!$K$3:$K$4002,MATCH(A683,$X$19:$X$4018,0)),F682))</f>
        <v/>
      </c>
      <c r="G683" s="30">
        <f>IF(AND(ISNUMBER(E683),ISNUMBER(F683)),ROUND(E683-F683,6),"")</f>
        <v/>
      </c>
      <c r="H683" s="25">
        <f>IF(A683="","",IFERROR(INDEX('자료_한국심리'!$N$3:$N$4002,MATCH(A683,$Y$19:$Y$4018,0)),H682))</f>
        <v/>
      </c>
      <c r="I683" s="31">
        <f>IF(AND(ISNUMBER(H683),ISNUMBER(H663)),IF(H663&gt;0,H683/H663-1,""),"")</f>
        <v/>
      </c>
      <c r="J683">
        <f>IF(A683="",0,IF(A683&gt;$B$5,1,0))</f>
        <v/>
      </c>
      <c r="K683" s="29">
        <f>IF(AND(J683=1,ISNUMBER(D683)),D683,"")</f>
        <v/>
      </c>
      <c r="L683" s="30">
        <f>IF(AND(J683=1,ISNUMBER(G683)),G683,"")</f>
        <v/>
      </c>
      <c r="M683" s="22">
        <f>IF(AND(J683=1,ISNUMBER(C683)),C683,"")</f>
        <v/>
      </c>
      <c r="N683" s="31">
        <f>IF(AND(J683=1,ISNUMBER(I683)),I683,"")</f>
        <v/>
      </c>
      <c r="O683" s="11">
        <f>IF(K683="","",100-IF($G$13=1,50,(_xlfn.RANK.AVG(K683,$K$19:$K$1518,1)-1)/($G$13-1)*100))</f>
        <v/>
      </c>
      <c r="P683" s="11">
        <f>IF(L683="","",100-IF($G$14=1,50,(_xlfn.RANK.AVG(L683,$L$19:$L$1518,1)-1)/($G$14-1)*100))</f>
        <v/>
      </c>
      <c r="Q683" s="11">
        <f>IF(M683="","",IF($G$15=1,50,(_xlfn.RANK.AVG(M683,$M$19:$M$1518,1)-1)/($G$15-1)*100))</f>
        <v/>
      </c>
      <c r="R683" s="11">
        <f>IF(N683="","",IF($G$16=1,50,(_xlfn.RANK.AVG(N683,$N$19:$N$1518,1)-1)/($G$16-1)*100))</f>
        <v/>
      </c>
      <c r="S683" s="11">
        <f>IF(COUNT(O683:R683)=4,ROUND(AVERAGE(O683:R683),6),"")</f>
        <v/>
      </c>
      <c r="U683">
        <f>IF(AND(ISNUMBER('자료_한국심리'!$A667),ISNUMBER('자료_한국심리'!$B667)),'자료_한국심리'!$A667,"")</f>
        <v/>
      </c>
      <c r="V683">
        <f>IF(AND(ISNUMBER('자료_한국심리'!$D667),ISNUMBER('자료_한국심리'!$E667)),'자료_한국심리'!$D667,"")</f>
        <v/>
      </c>
      <c r="W683">
        <f>IF(AND(ISNUMBER('자료_한국심리'!$G667),ISNUMBER('자료_한국심리'!$H667)),'자료_한국심리'!$G667,"")</f>
        <v/>
      </c>
      <c r="X683">
        <f>IF(AND(ISNUMBER('자료_한국심리'!$J667),ISNUMBER('자료_한국심리'!$K667)),'자료_한국심리'!$J667,"")</f>
        <v/>
      </c>
      <c r="Y683">
        <f>IF(AND(ISNUMBER('자료_한국심리'!$M667),ISNUMBER('자료_한국심리'!$N667)),'자료_한국심리'!$M667,"")</f>
        <v/>
      </c>
    </row>
    <row r="684">
      <c r="A684" s="10">
        <f>IF(666&gt;$E$5,"",SMALL($U$19:$U$4018,$E$6+666))</f>
        <v/>
      </c>
      <c r="B684" s="29">
        <f>IF(A684="","",INDEX('자료_한국심리'!$B$3:$B$4002,MATCH(A684,$U$19:$U$4018,0)))</f>
        <v/>
      </c>
      <c r="C684" s="22">
        <f>IF(A684="","",B684/AVERAGE(B560:B684)-1)</f>
        <v/>
      </c>
      <c r="D684" s="29">
        <f>IF(A684="","",IFERROR(INDEX('자료_한국심리'!$E$3:$E$4002,MATCH(A684,$V$19:$V$4018,0)),D683))</f>
        <v/>
      </c>
      <c r="E684" s="30">
        <f>IF(A684="","",IFERROR(INDEX('자료_한국심리'!$H$3:$H$4002,MATCH(A684,$W$19:$W$4018,0)),E683))</f>
        <v/>
      </c>
      <c r="F684" s="30">
        <f>IF(A684="","",IFERROR(INDEX('자료_한국심리'!$K$3:$K$4002,MATCH(A684,$X$19:$X$4018,0)),F683))</f>
        <v/>
      </c>
      <c r="G684" s="30">
        <f>IF(AND(ISNUMBER(E684),ISNUMBER(F684)),ROUND(E684-F684,6),"")</f>
        <v/>
      </c>
      <c r="H684" s="25">
        <f>IF(A684="","",IFERROR(INDEX('자료_한국심리'!$N$3:$N$4002,MATCH(A684,$Y$19:$Y$4018,0)),H683))</f>
        <v/>
      </c>
      <c r="I684" s="31">
        <f>IF(AND(ISNUMBER(H684),ISNUMBER(H664)),IF(H664&gt;0,H684/H664-1,""),"")</f>
        <v/>
      </c>
      <c r="J684">
        <f>IF(A684="",0,IF(A684&gt;$B$5,1,0))</f>
        <v/>
      </c>
      <c r="K684" s="29">
        <f>IF(AND(J684=1,ISNUMBER(D684)),D684,"")</f>
        <v/>
      </c>
      <c r="L684" s="30">
        <f>IF(AND(J684=1,ISNUMBER(G684)),G684,"")</f>
        <v/>
      </c>
      <c r="M684" s="22">
        <f>IF(AND(J684=1,ISNUMBER(C684)),C684,"")</f>
        <v/>
      </c>
      <c r="N684" s="31">
        <f>IF(AND(J684=1,ISNUMBER(I684)),I684,"")</f>
        <v/>
      </c>
      <c r="O684" s="11">
        <f>IF(K684="","",100-IF($G$13=1,50,(_xlfn.RANK.AVG(K684,$K$19:$K$1518,1)-1)/($G$13-1)*100))</f>
        <v/>
      </c>
      <c r="P684" s="11">
        <f>IF(L684="","",100-IF($G$14=1,50,(_xlfn.RANK.AVG(L684,$L$19:$L$1518,1)-1)/($G$14-1)*100))</f>
        <v/>
      </c>
      <c r="Q684" s="11">
        <f>IF(M684="","",IF($G$15=1,50,(_xlfn.RANK.AVG(M684,$M$19:$M$1518,1)-1)/($G$15-1)*100))</f>
        <v/>
      </c>
      <c r="R684" s="11">
        <f>IF(N684="","",IF($G$16=1,50,(_xlfn.RANK.AVG(N684,$N$19:$N$1518,1)-1)/($G$16-1)*100))</f>
        <v/>
      </c>
      <c r="S684" s="11">
        <f>IF(COUNT(O684:R684)=4,ROUND(AVERAGE(O684:R684),6),"")</f>
        <v/>
      </c>
      <c r="U684">
        <f>IF(AND(ISNUMBER('자료_한국심리'!$A668),ISNUMBER('자료_한국심리'!$B668)),'자료_한국심리'!$A668,"")</f>
        <v/>
      </c>
      <c r="V684">
        <f>IF(AND(ISNUMBER('자료_한국심리'!$D668),ISNUMBER('자료_한국심리'!$E668)),'자료_한국심리'!$D668,"")</f>
        <v/>
      </c>
      <c r="W684">
        <f>IF(AND(ISNUMBER('자료_한국심리'!$G668),ISNUMBER('자료_한국심리'!$H668)),'자료_한국심리'!$G668,"")</f>
        <v/>
      </c>
      <c r="X684">
        <f>IF(AND(ISNUMBER('자료_한국심리'!$J668),ISNUMBER('자료_한국심리'!$K668)),'자료_한국심리'!$J668,"")</f>
        <v/>
      </c>
      <c r="Y684">
        <f>IF(AND(ISNUMBER('자료_한국심리'!$M668),ISNUMBER('자료_한국심리'!$N668)),'자료_한국심리'!$M668,"")</f>
        <v/>
      </c>
    </row>
    <row r="685">
      <c r="A685" s="10">
        <f>IF(667&gt;$E$5,"",SMALL($U$19:$U$4018,$E$6+667))</f>
        <v/>
      </c>
      <c r="B685" s="29">
        <f>IF(A685="","",INDEX('자료_한국심리'!$B$3:$B$4002,MATCH(A685,$U$19:$U$4018,0)))</f>
        <v/>
      </c>
      <c r="C685" s="22">
        <f>IF(A685="","",B685/AVERAGE(B561:B685)-1)</f>
        <v/>
      </c>
      <c r="D685" s="29">
        <f>IF(A685="","",IFERROR(INDEX('자료_한국심리'!$E$3:$E$4002,MATCH(A685,$V$19:$V$4018,0)),D684))</f>
        <v/>
      </c>
      <c r="E685" s="30">
        <f>IF(A685="","",IFERROR(INDEX('자료_한국심리'!$H$3:$H$4002,MATCH(A685,$W$19:$W$4018,0)),E684))</f>
        <v/>
      </c>
      <c r="F685" s="30">
        <f>IF(A685="","",IFERROR(INDEX('자료_한국심리'!$K$3:$K$4002,MATCH(A685,$X$19:$X$4018,0)),F684))</f>
        <v/>
      </c>
      <c r="G685" s="30">
        <f>IF(AND(ISNUMBER(E685),ISNUMBER(F685)),ROUND(E685-F685,6),"")</f>
        <v/>
      </c>
      <c r="H685" s="25">
        <f>IF(A685="","",IFERROR(INDEX('자료_한국심리'!$N$3:$N$4002,MATCH(A685,$Y$19:$Y$4018,0)),H684))</f>
        <v/>
      </c>
      <c r="I685" s="31">
        <f>IF(AND(ISNUMBER(H685),ISNUMBER(H665)),IF(H665&gt;0,H685/H665-1,""),"")</f>
        <v/>
      </c>
      <c r="J685">
        <f>IF(A685="",0,IF(A685&gt;$B$5,1,0))</f>
        <v/>
      </c>
      <c r="K685" s="29">
        <f>IF(AND(J685=1,ISNUMBER(D685)),D685,"")</f>
        <v/>
      </c>
      <c r="L685" s="30">
        <f>IF(AND(J685=1,ISNUMBER(G685)),G685,"")</f>
        <v/>
      </c>
      <c r="M685" s="22">
        <f>IF(AND(J685=1,ISNUMBER(C685)),C685,"")</f>
        <v/>
      </c>
      <c r="N685" s="31">
        <f>IF(AND(J685=1,ISNUMBER(I685)),I685,"")</f>
        <v/>
      </c>
      <c r="O685" s="11">
        <f>IF(K685="","",100-IF($G$13=1,50,(_xlfn.RANK.AVG(K685,$K$19:$K$1518,1)-1)/($G$13-1)*100))</f>
        <v/>
      </c>
      <c r="P685" s="11">
        <f>IF(L685="","",100-IF($G$14=1,50,(_xlfn.RANK.AVG(L685,$L$19:$L$1518,1)-1)/($G$14-1)*100))</f>
        <v/>
      </c>
      <c r="Q685" s="11">
        <f>IF(M685="","",IF($G$15=1,50,(_xlfn.RANK.AVG(M685,$M$19:$M$1518,1)-1)/($G$15-1)*100))</f>
        <v/>
      </c>
      <c r="R685" s="11">
        <f>IF(N685="","",IF($G$16=1,50,(_xlfn.RANK.AVG(N685,$N$19:$N$1518,1)-1)/($G$16-1)*100))</f>
        <v/>
      </c>
      <c r="S685" s="11">
        <f>IF(COUNT(O685:R685)=4,ROUND(AVERAGE(O685:R685),6),"")</f>
        <v/>
      </c>
      <c r="U685">
        <f>IF(AND(ISNUMBER('자료_한국심리'!$A669),ISNUMBER('자료_한국심리'!$B669)),'자료_한국심리'!$A669,"")</f>
        <v/>
      </c>
      <c r="V685">
        <f>IF(AND(ISNUMBER('자료_한국심리'!$D669),ISNUMBER('자료_한국심리'!$E669)),'자료_한국심리'!$D669,"")</f>
        <v/>
      </c>
      <c r="W685">
        <f>IF(AND(ISNUMBER('자료_한국심리'!$G669),ISNUMBER('자료_한국심리'!$H669)),'자료_한국심리'!$G669,"")</f>
        <v/>
      </c>
      <c r="X685">
        <f>IF(AND(ISNUMBER('자료_한국심리'!$J669),ISNUMBER('자료_한국심리'!$K669)),'자료_한국심리'!$J669,"")</f>
        <v/>
      </c>
      <c r="Y685">
        <f>IF(AND(ISNUMBER('자료_한국심리'!$M669),ISNUMBER('자료_한국심리'!$N669)),'자료_한국심리'!$M669,"")</f>
        <v/>
      </c>
    </row>
    <row r="686">
      <c r="A686" s="10">
        <f>IF(668&gt;$E$5,"",SMALL($U$19:$U$4018,$E$6+668))</f>
        <v/>
      </c>
      <c r="B686" s="29">
        <f>IF(A686="","",INDEX('자료_한국심리'!$B$3:$B$4002,MATCH(A686,$U$19:$U$4018,0)))</f>
        <v/>
      </c>
      <c r="C686" s="22">
        <f>IF(A686="","",B686/AVERAGE(B562:B686)-1)</f>
        <v/>
      </c>
      <c r="D686" s="29">
        <f>IF(A686="","",IFERROR(INDEX('자료_한국심리'!$E$3:$E$4002,MATCH(A686,$V$19:$V$4018,0)),D685))</f>
        <v/>
      </c>
      <c r="E686" s="30">
        <f>IF(A686="","",IFERROR(INDEX('자료_한국심리'!$H$3:$H$4002,MATCH(A686,$W$19:$W$4018,0)),E685))</f>
        <v/>
      </c>
      <c r="F686" s="30">
        <f>IF(A686="","",IFERROR(INDEX('자료_한국심리'!$K$3:$K$4002,MATCH(A686,$X$19:$X$4018,0)),F685))</f>
        <v/>
      </c>
      <c r="G686" s="30">
        <f>IF(AND(ISNUMBER(E686),ISNUMBER(F686)),ROUND(E686-F686,6),"")</f>
        <v/>
      </c>
      <c r="H686" s="25">
        <f>IF(A686="","",IFERROR(INDEX('자료_한국심리'!$N$3:$N$4002,MATCH(A686,$Y$19:$Y$4018,0)),H685))</f>
        <v/>
      </c>
      <c r="I686" s="31">
        <f>IF(AND(ISNUMBER(H686),ISNUMBER(H666)),IF(H666&gt;0,H686/H666-1,""),"")</f>
        <v/>
      </c>
      <c r="J686">
        <f>IF(A686="",0,IF(A686&gt;$B$5,1,0))</f>
        <v/>
      </c>
      <c r="K686" s="29">
        <f>IF(AND(J686=1,ISNUMBER(D686)),D686,"")</f>
        <v/>
      </c>
      <c r="L686" s="30">
        <f>IF(AND(J686=1,ISNUMBER(G686)),G686,"")</f>
        <v/>
      </c>
      <c r="M686" s="22">
        <f>IF(AND(J686=1,ISNUMBER(C686)),C686,"")</f>
        <v/>
      </c>
      <c r="N686" s="31">
        <f>IF(AND(J686=1,ISNUMBER(I686)),I686,"")</f>
        <v/>
      </c>
      <c r="O686" s="11">
        <f>IF(K686="","",100-IF($G$13=1,50,(_xlfn.RANK.AVG(K686,$K$19:$K$1518,1)-1)/($G$13-1)*100))</f>
        <v/>
      </c>
      <c r="P686" s="11">
        <f>IF(L686="","",100-IF($G$14=1,50,(_xlfn.RANK.AVG(L686,$L$19:$L$1518,1)-1)/($G$14-1)*100))</f>
        <v/>
      </c>
      <c r="Q686" s="11">
        <f>IF(M686="","",IF($G$15=1,50,(_xlfn.RANK.AVG(M686,$M$19:$M$1518,1)-1)/($G$15-1)*100))</f>
        <v/>
      </c>
      <c r="R686" s="11">
        <f>IF(N686="","",IF($G$16=1,50,(_xlfn.RANK.AVG(N686,$N$19:$N$1518,1)-1)/($G$16-1)*100))</f>
        <v/>
      </c>
      <c r="S686" s="11">
        <f>IF(COUNT(O686:R686)=4,ROUND(AVERAGE(O686:R686),6),"")</f>
        <v/>
      </c>
      <c r="U686">
        <f>IF(AND(ISNUMBER('자료_한국심리'!$A670),ISNUMBER('자료_한국심리'!$B670)),'자료_한국심리'!$A670,"")</f>
        <v/>
      </c>
      <c r="V686">
        <f>IF(AND(ISNUMBER('자료_한국심리'!$D670),ISNUMBER('자료_한국심리'!$E670)),'자료_한국심리'!$D670,"")</f>
        <v/>
      </c>
      <c r="W686">
        <f>IF(AND(ISNUMBER('자료_한국심리'!$G670),ISNUMBER('자료_한국심리'!$H670)),'자료_한국심리'!$G670,"")</f>
        <v/>
      </c>
      <c r="X686">
        <f>IF(AND(ISNUMBER('자료_한국심리'!$J670),ISNUMBER('자료_한국심리'!$K670)),'자료_한국심리'!$J670,"")</f>
        <v/>
      </c>
      <c r="Y686">
        <f>IF(AND(ISNUMBER('자료_한국심리'!$M670),ISNUMBER('자료_한국심리'!$N670)),'자료_한국심리'!$M670,"")</f>
        <v/>
      </c>
    </row>
    <row r="687">
      <c r="A687" s="10">
        <f>IF(669&gt;$E$5,"",SMALL($U$19:$U$4018,$E$6+669))</f>
        <v/>
      </c>
      <c r="B687" s="29">
        <f>IF(A687="","",INDEX('자료_한국심리'!$B$3:$B$4002,MATCH(A687,$U$19:$U$4018,0)))</f>
        <v/>
      </c>
      <c r="C687" s="22">
        <f>IF(A687="","",B687/AVERAGE(B563:B687)-1)</f>
        <v/>
      </c>
      <c r="D687" s="29">
        <f>IF(A687="","",IFERROR(INDEX('자료_한국심리'!$E$3:$E$4002,MATCH(A687,$V$19:$V$4018,0)),D686))</f>
        <v/>
      </c>
      <c r="E687" s="30">
        <f>IF(A687="","",IFERROR(INDEX('자료_한국심리'!$H$3:$H$4002,MATCH(A687,$W$19:$W$4018,0)),E686))</f>
        <v/>
      </c>
      <c r="F687" s="30">
        <f>IF(A687="","",IFERROR(INDEX('자료_한국심리'!$K$3:$K$4002,MATCH(A687,$X$19:$X$4018,0)),F686))</f>
        <v/>
      </c>
      <c r="G687" s="30">
        <f>IF(AND(ISNUMBER(E687),ISNUMBER(F687)),ROUND(E687-F687,6),"")</f>
        <v/>
      </c>
      <c r="H687" s="25">
        <f>IF(A687="","",IFERROR(INDEX('자료_한국심리'!$N$3:$N$4002,MATCH(A687,$Y$19:$Y$4018,0)),H686))</f>
        <v/>
      </c>
      <c r="I687" s="31">
        <f>IF(AND(ISNUMBER(H687),ISNUMBER(H667)),IF(H667&gt;0,H687/H667-1,""),"")</f>
        <v/>
      </c>
      <c r="J687">
        <f>IF(A687="",0,IF(A687&gt;$B$5,1,0))</f>
        <v/>
      </c>
      <c r="K687" s="29">
        <f>IF(AND(J687=1,ISNUMBER(D687)),D687,"")</f>
        <v/>
      </c>
      <c r="L687" s="30">
        <f>IF(AND(J687=1,ISNUMBER(G687)),G687,"")</f>
        <v/>
      </c>
      <c r="M687" s="22">
        <f>IF(AND(J687=1,ISNUMBER(C687)),C687,"")</f>
        <v/>
      </c>
      <c r="N687" s="31">
        <f>IF(AND(J687=1,ISNUMBER(I687)),I687,"")</f>
        <v/>
      </c>
      <c r="O687" s="11">
        <f>IF(K687="","",100-IF($G$13=1,50,(_xlfn.RANK.AVG(K687,$K$19:$K$1518,1)-1)/($G$13-1)*100))</f>
        <v/>
      </c>
      <c r="P687" s="11">
        <f>IF(L687="","",100-IF($G$14=1,50,(_xlfn.RANK.AVG(L687,$L$19:$L$1518,1)-1)/($G$14-1)*100))</f>
        <v/>
      </c>
      <c r="Q687" s="11">
        <f>IF(M687="","",IF($G$15=1,50,(_xlfn.RANK.AVG(M687,$M$19:$M$1518,1)-1)/($G$15-1)*100))</f>
        <v/>
      </c>
      <c r="R687" s="11">
        <f>IF(N687="","",IF($G$16=1,50,(_xlfn.RANK.AVG(N687,$N$19:$N$1518,1)-1)/($G$16-1)*100))</f>
        <v/>
      </c>
      <c r="S687" s="11">
        <f>IF(COUNT(O687:R687)=4,ROUND(AVERAGE(O687:R687),6),"")</f>
        <v/>
      </c>
      <c r="U687">
        <f>IF(AND(ISNUMBER('자료_한국심리'!$A671),ISNUMBER('자료_한국심리'!$B671)),'자료_한국심리'!$A671,"")</f>
        <v/>
      </c>
      <c r="V687">
        <f>IF(AND(ISNUMBER('자료_한국심리'!$D671),ISNUMBER('자료_한국심리'!$E671)),'자료_한국심리'!$D671,"")</f>
        <v/>
      </c>
      <c r="W687">
        <f>IF(AND(ISNUMBER('자료_한국심리'!$G671),ISNUMBER('자료_한국심리'!$H671)),'자료_한국심리'!$G671,"")</f>
        <v/>
      </c>
      <c r="X687">
        <f>IF(AND(ISNUMBER('자료_한국심리'!$J671),ISNUMBER('자료_한국심리'!$K671)),'자료_한국심리'!$J671,"")</f>
        <v/>
      </c>
      <c r="Y687">
        <f>IF(AND(ISNUMBER('자료_한국심리'!$M671),ISNUMBER('자료_한국심리'!$N671)),'자료_한국심리'!$M671,"")</f>
        <v/>
      </c>
    </row>
    <row r="688">
      <c r="A688" s="10">
        <f>IF(670&gt;$E$5,"",SMALL($U$19:$U$4018,$E$6+670))</f>
        <v/>
      </c>
      <c r="B688" s="29">
        <f>IF(A688="","",INDEX('자료_한국심리'!$B$3:$B$4002,MATCH(A688,$U$19:$U$4018,0)))</f>
        <v/>
      </c>
      <c r="C688" s="22">
        <f>IF(A688="","",B688/AVERAGE(B564:B688)-1)</f>
        <v/>
      </c>
      <c r="D688" s="29">
        <f>IF(A688="","",IFERROR(INDEX('자료_한국심리'!$E$3:$E$4002,MATCH(A688,$V$19:$V$4018,0)),D687))</f>
        <v/>
      </c>
      <c r="E688" s="30">
        <f>IF(A688="","",IFERROR(INDEX('자료_한국심리'!$H$3:$H$4002,MATCH(A688,$W$19:$W$4018,0)),E687))</f>
        <v/>
      </c>
      <c r="F688" s="30">
        <f>IF(A688="","",IFERROR(INDEX('자료_한국심리'!$K$3:$K$4002,MATCH(A688,$X$19:$X$4018,0)),F687))</f>
        <v/>
      </c>
      <c r="G688" s="30">
        <f>IF(AND(ISNUMBER(E688),ISNUMBER(F688)),ROUND(E688-F688,6),"")</f>
        <v/>
      </c>
      <c r="H688" s="25">
        <f>IF(A688="","",IFERROR(INDEX('자료_한국심리'!$N$3:$N$4002,MATCH(A688,$Y$19:$Y$4018,0)),H687))</f>
        <v/>
      </c>
      <c r="I688" s="31">
        <f>IF(AND(ISNUMBER(H688),ISNUMBER(H668)),IF(H668&gt;0,H688/H668-1,""),"")</f>
        <v/>
      </c>
      <c r="J688">
        <f>IF(A688="",0,IF(A688&gt;$B$5,1,0))</f>
        <v/>
      </c>
      <c r="K688" s="29">
        <f>IF(AND(J688=1,ISNUMBER(D688)),D688,"")</f>
        <v/>
      </c>
      <c r="L688" s="30">
        <f>IF(AND(J688=1,ISNUMBER(G688)),G688,"")</f>
        <v/>
      </c>
      <c r="M688" s="22">
        <f>IF(AND(J688=1,ISNUMBER(C688)),C688,"")</f>
        <v/>
      </c>
      <c r="N688" s="31">
        <f>IF(AND(J688=1,ISNUMBER(I688)),I688,"")</f>
        <v/>
      </c>
      <c r="O688" s="11">
        <f>IF(K688="","",100-IF($G$13=1,50,(_xlfn.RANK.AVG(K688,$K$19:$K$1518,1)-1)/($G$13-1)*100))</f>
        <v/>
      </c>
      <c r="P688" s="11">
        <f>IF(L688="","",100-IF($G$14=1,50,(_xlfn.RANK.AVG(L688,$L$19:$L$1518,1)-1)/($G$14-1)*100))</f>
        <v/>
      </c>
      <c r="Q688" s="11">
        <f>IF(M688="","",IF($G$15=1,50,(_xlfn.RANK.AVG(M688,$M$19:$M$1518,1)-1)/($G$15-1)*100))</f>
        <v/>
      </c>
      <c r="R688" s="11">
        <f>IF(N688="","",IF($G$16=1,50,(_xlfn.RANK.AVG(N688,$N$19:$N$1518,1)-1)/($G$16-1)*100))</f>
        <v/>
      </c>
      <c r="S688" s="11">
        <f>IF(COUNT(O688:R688)=4,ROUND(AVERAGE(O688:R688),6),"")</f>
        <v/>
      </c>
      <c r="U688">
        <f>IF(AND(ISNUMBER('자료_한국심리'!$A672),ISNUMBER('자료_한국심리'!$B672)),'자료_한국심리'!$A672,"")</f>
        <v/>
      </c>
      <c r="V688">
        <f>IF(AND(ISNUMBER('자료_한국심리'!$D672),ISNUMBER('자료_한국심리'!$E672)),'자료_한국심리'!$D672,"")</f>
        <v/>
      </c>
      <c r="W688">
        <f>IF(AND(ISNUMBER('자료_한국심리'!$G672),ISNUMBER('자료_한국심리'!$H672)),'자료_한국심리'!$G672,"")</f>
        <v/>
      </c>
      <c r="X688">
        <f>IF(AND(ISNUMBER('자료_한국심리'!$J672),ISNUMBER('자료_한국심리'!$K672)),'자료_한국심리'!$J672,"")</f>
        <v/>
      </c>
      <c r="Y688">
        <f>IF(AND(ISNUMBER('자료_한국심리'!$M672),ISNUMBER('자료_한국심리'!$N672)),'자료_한국심리'!$M672,"")</f>
        <v/>
      </c>
    </row>
    <row r="689">
      <c r="A689" s="10">
        <f>IF(671&gt;$E$5,"",SMALL($U$19:$U$4018,$E$6+671))</f>
        <v/>
      </c>
      <c r="B689" s="29">
        <f>IF(A689="","",INDEX('자료_한국심리'!$B$3:$B$4002,MATCH(A689,$U$19:$U$4018,0)))</f>
        <v/>
      </c>
      <c r="C689" s="22">
        <f>IF(A689="","",B689/AVERAGE(B565:B689)-1)</f>
        <v/>
      </c>
      <c r="D689" s="29">
        <f>IF(A689="","",IFERROR(INDEX('자료_한국심리'!$E$3:$E$4002,MATCH(A689,$V$19:$V$4018,0)),D688))</f>
        <v/>
      </c>
      <c r="E689" s="30">
        <f>IF(A689="","",IFERROR(INDEX('자료_한국심리'!$H$3:$H$4002,MATCH(A689,$W$19:$W$4018,0)),E688))</f>
        <v/>
      </c>
      <c r="F689" s="30">
        <f>IF(A689="","",IFERROR(INDEX('자료_한국심리'!$K$3:$K$4002,MATCH(A689,$X$19:$X$4018,0)),F688))</f>
        <v/>
      </c>
      <c r="G689" s="30">
        <f>IF(AND(ISNUMBER(E689),ISNUMBER(F689)),ROUND(E689-F689,6),"")</f>
        <v/>
      </c>
      <c r="H689" s="25">
        <f>IF(A689="","",IFERROR(INDEX('자료_한국심리'!$N$3:$N$4002,MATCH(A689,$Y$19:$Y$4018,0)),H688))</f>
        <v/>
      </c>
      <c r="I689" s="31">
        <f>IF(AND(ISNUMBER(H689),ISNUMBER(H669)),IF(H669&gt;0,H689/H669-1,""),"")</f>
        <v/>
      </c>
      <c r="J689">
        <f>IF(A689="",0,IF(A689&gt;$B$5,1,0))</f>
        <v/>
      </c>
      <c r="K689" s="29">
        <f>IF(AND(J689=1,ISNUMBER(D689)),D689,"")</f>
        <v/>
      </c>
      <c r="L689" s="30">
        <f>IF(AND(J689=1,ISNUMBER(G689)),G689,"")</f>
        <v/>
      </c>
      <c r="M689" s="22">
        <f>IF(AND(J689=1,ISNUMBER(C689)),C689,"")</f>
        <v/>
      </c>
      <c r="N689" s="31">
        <f>IF(AND(J689=1,ISNUMBER(I689)),I689,"")</f>
        <v/>
      </c>
      <c r="O689" s="11">
        <f>IF(K689="","",100-IF($G$13=1,50,(_xlfn.RANK.AVG(K689,$K$19:$K$1518,1)-1)/($G$13-1)*100))</f>
        <v/>
      </c>
      <c r="P689" s="11">
        <f>IF(L689="","",100-IF($G$14=1,50,(_xlfn.RANK.AVG(L689,$L$19:$L$1518,1)-1)/($G$14-1)*100))</f>
        <v/>
      </c>
      <c r="Q689" s="11">
        <f>IF(M689="","",IF($G$15=1,50,(_xlfn.RANK.AVG(M689,$M$19:$M$1518,1)-1)/($G$15-1)*100))</f>
        <v/>
      </c>
      <c r="R689" s="11">
        <f>IF(N689="","",IF($G$16=1,50,(_xlfn.RANK.AVG(N689,$N$19:$N$1518,1)-1)/($G$16-1)*100))</f>
        <v/>
      </c>
      <c r="S689" s="11">
        <f>IF(COUNT(O689:R689)=4,ROUND(AVERAGE(O689:R689),6),"")</f>
        <v/>
      </c>
      <c r="U689">
        <f>IF(AND(ISNUMBER('자료_한국심리'!$A673),ISNUMBER('자료_한국심리'!$B673)),'자료_한국심리'!$A673,"")</f>
        <v/>
      </c>
      <c r="V689">
        <f>IF(AND(ISNUMBER('자료_한국심리'!$D673),ISNUMBER('자료_한국심리'!$E673)),'자료_한국심리'!$D673,"")</f>
        <v/>
      </c>
      <c r="W689">
        <f>IF(AND(ISNUMBER('자료_한국심리'!$G673),ISNUMBER('자료_한국심리'!$H673)),'자료_한국심리'!$G673,"")</f>
        <v/>
      </c>
      <c r="X689">
        <f>IF(AND(ISNUMBER('자료_한국심리'!$J673),ISNUMBER('자료_한국심리'!$K673)),'자료_한국심리'!$J673,"")</f>
        <v/>
      </c>
      <c r="Y689">
        <f>IF(AND(ISNUMBER('자료_한국심리'!$M673),ISNUMBER('자료_한국심리'!$N673)),'자료_한국심리'!$M673,"")</f>
        <v/>
      </c>
    </row>
    <row r="690">
      <c r="A690" s="10">
        <f>IF(672&gt;$E$5,"",SMALL($U$19:$U$4018,$E$6+672))</f>
        <v/>
      </c>
      <c r="B690" s="29">
        <f>IF(A690="","",INDEX('자료_한국심리'!$B$3:$B$4002,MATCH(A690,$U$19:$U$4018,0)))</f>
        <v/>
      </c>
      <c r="C690" s="22">
        <f>IF(A690="","",B690/AVERAGE(B566:B690)-1)</f>
        <v/>
      </c>
      <c r="D690" s="29">
        <f>IF(A690="","",IFERROR(INDEX('자료_한국심리'!$E$3:$E$4002,MATCH(A690,$V$19:$V$4018,0)),D689))</f>
        <v/>
      </c>
      <c r="E690" s="30">
        <f>IF(A690="","",IFERROR(INDEX('자료_한국심리'!$H$3:$H$4002,MATCH(A690,$W$19:$W$4018,0)),E689))</f>
        <v/>
      </c>
      <c r="F690" s="30">
        <f>IF(A690="","",IFERROR(INDEX('자료_한국심리'!$K$3:$K$4002,MATCH(A690,$X$19:$X$4018,0)),F689))</f>
        <v/>
      </c>
      <c r="G690" s="30">
        <f>IF(AND(ISNUMBER(E690),ISNUMBER(F690)),ROUND(E690-F690,6),"")</f>
        <v/>
      </c>
      <c r="H690" s="25">
        <f>IF(A690="","",IFERROR(INDEX('자료_한국심리'!$N$3:$N$4002,MATCH(A690,$Y$19:$Y$4018,0)),H689))</f>
        <v/>
      </c>
      <c r="I690" s="31">
        <f>IF(AND(ISNUMBER(H690),ISNUMBER(H670)),IF(H670&gt;0,H690/H670-1,""),"")</f>
        <v/>
      </c>
      <c r="J690">
        <f>IF(A690="",0,IF(A690&gt;$B$5,1,0))</f>
        <v/>
      </c>
      <c r="K690" s="29">
        <f>IF(AND(J690=1,ISNUMBER(D690)),D690,"")</f>
        <v/>
      </c>
      <c r="L690" s="30">
        <f>IF(AND(J690=1,ISNUMBER(G690)),G690,"")</f>
        <v/>
      </c>
      <c r="M690" s="22">
        <f>IF(AND(J690=1,ISNUMBER(C690)),C690,"")</f>
        <v/>
      </c>
      <c r="N690" s="31">
        <f>IF(AND(J690=1,ISNUMBER(I690)),I690,"")</f>
        <v/>
      </c>
      <c r="O690" s="11">
        <f>IF(K690="","",100-IF($G$13=1,50,(_xlfn.RANK.AVG(K690,$K$19:$K$1518,1)-1)/($G$13-1)*100))</f>
        <v/>
      </c>
      <c r="P690" s="11">
        <f>IF(L690="","",100-IF($G$14=1,50,(_xlfn.RANK.AVG(L690,$L$19:$L$1518,1)-1)/($G$14-1)*100))</f>
        <v/>
      </c>
      <c r="Q690" s="11">
        <f>IF(M690="","",IF($G$15=1,50,(_xlfn.RANK.AVG(M690,$M$19:$M$1518,1)-1)/($G$15-1)*100))</f>
        <v/>
      </c>
      <c r="R690" s="11">
        <f>IF(N690="","",IF($G$16=1,50,(_xlfn.RANK.AVG(N690,$N$19:$N$1518,1)-1)/($G$16-1)*100))</f>
        <v/>
      </c>
      <c r="S690" s="11">
        <f>IF(COUNT(O690:R690)=4,ROUND(AVERAGE(O690:R690),6),"")</f>
        <v/>
      </c>
      <c r="U690">
        <f>IF(AND(ISNUMBER('자료_한국심리'!$A674),ISNUMBER('자료_한국심리'!$B674)),'자료_한국심리'!$A674,"")</f>
        <v/>
      </c>
      <c r="V690">
        <f>IF(AND(ISNUMBER('자료_한국심리'!$D674),ISNUMBER('자료_한국심리'!$E674)),'자료_한국심리'!$D674,"")</f>
        <v/>
      </c>
      <c r="W690">
        <f>IF(AND(ISNUMBER('자료_한국심리'!$G674),ISNUMBER('자료_한국심리'!$H674)),'자료_한국심리'!$G674,"")</f>
        <v/>
      </c>
      <c r="X690">
        <f>IF(AND(ISNUMBER('자료_한국심리'!$J674),ISNUMBER('자료_한국심리'!$K674)),'자료_한국심리'!$J674,"")</f>
        <v/>
      </c>
      <c r="Y690">
        <f>IF(AND(ISNUMBER('자료_한국심리'!$M674),ISNUMBER('자료_한국심리'!$N674)),'자료_한국심리'!$M674,"")</f>
        <v/>
      </c>
    </row>
    <row r="691">
      <c r="A691" s="10">
        <f>IF(673&gt;$E$5,"",SMALL($U$19:$U$4018,$E$6+673))</f>
        <v/>
      </c>
      <c r="B691" s="29">
        <f>IF(A691="","",INDEX('자료_한국심리'!$B$3:$B$4002,MATCH(A691,$U$19:$U$4018,0)))</f>
        <v/>
      </c>
      <c r="C691" s="22">
        <f>IF(A691="","",B691/AVERAGE(B567:B691)-1)</f>
        <v/>
      </c>
      <c r="D691" s="29">
        <f>IF(A691="","",IFERROR(INDEX('자료_한국심리'!$E$3:$E$4002,MATCH(A691,$V$19:$V$4018,0)),D690))</f>
        <v/>
      </c>
      <c r="E691" s="30">
        <f>IF(A691="","",IFERROR(INDEX('자료_한국심리'!$H$3:$H$4002,MATCH(A691,$W$19:$W$4018,0)),E690))</f>
        <v/>
      </c>
      <c r="F691" s="30">
        <f>IF(A691="","",IFERROR(INDEX('자료_한국심리'!$K$3:$K$4002,MATCH(A691,$X$19:$X$4018,0)),F690))</f>
        <v/>
      </c>
      <c r="G691" s="30">
        <f>IF(AND(ISNUMBER(E691),ISNUMBER(F691)),ROUND(E691-F691,6),"")</f>
        <v/>
      </c>
      <c r="H691" s="25">
        <f>IF(A691="","",IFERROR(INDEX('자료_한국심리'!$N$3:$N$4002,MATCH(A691,$Y$19:$Y$4018,0)),H690))</f>
        <v/>
      </c>
      <c r="I691" s="31">
        <f>IF(AND(ISNUMBER(H691),ISNUMBER(H671)),IF(H671&gt;0,H691/H671-1,""),"")</f>
        <v/>
      </c>
      <c r="J691">
        <f>IF(A691="",0,IF(A691&gt;$B$5,1,0))</f>
        <v/>
      </c>
      <c r="K691" s="29">
        <f>IF(AND(J691=1,ISNUMBER(D691)),D691,"")</f>
        <v/>
      </c>
      <c r="L691" s="30">
        <f>IF(AND(J691=1,ISNUMBER(G691)),G691,"")</f>
        <v/>
      </c>
      <c r="M691" s="22">
        <f>IF(AND(J691=1,ISNUMBER(C691)),C691,"")</f>
        <v/>
      </c>
      <c r="N691" s="31">
        <f>IF(AND(J691=1,ISNUMBER(I691)),I691,"")</f>
        <v/>
      </c>
      <c r="O691" s="11">
        <f>IF(K691="","",100-IF($G$13=1,50,(_xlfn.RANK.AVG(K691,$K$19:$K$1518,1)-1)/($G$13-1)*100))</f>
        <v/>
      </c>
      <c r="P691" s="11">
        <f>IF(L691="","",100-IF($G$14=1,50,(_xlfn.RANK.AVG(L691,$L$19:$L$1518,1)-1)/($G$14-1)*100))</f>
        <v/>
      </c>
      <c r="Q691" s="11">
        <f>IF(M691="","",IF($G$15=1,50,(_xlfn.RANK.AVG(M691,$M$19:$M$1518,1)-1)/($G$15-1)*100))</f>
        <v/>
      </c>
      <c r="R691" s="11">
        <f>IF(N691="","",IF($G$16=1,50,(_xlfn.RANK.AVG(N691,$N$19:$N$1518,1)-1)/($G$16-1)*100))</f>
        <v/>
      </c>
      <c r="S691" s="11">
        <f>IF(COUNT(O691:R691)=4,ROUND(AVERAGE(O691:R691),6),"")</f>
        <v/>
      </c>
      <c r="U691">
        <f>IF(AND(ISNUMBER('자료_한국심리'!$A675),ISNUMBER('자료_한국심리'!$B675)),'자료_한국심리'!$A675,"")</f>
        <v/>
      </c>
      <c r="V691">
        <f>IF(AND(ISNUMBER('자료_한국심리'!$D675),ISNUMBER('자료_한국심리'!$E675)),'자료_한국심리'!$D675,"")</f>
        <v/>
      </c>
      <c r="W691">
        <f>IF(AND(ISNUMBER('자료_한국심리'!$G675),ISNUMBER('자료_한국심리'!$H675)),'자료_한국심리'!$G675,"")</f>
        <v/>
      </c>
      <c r="X691">
        <f>IF(AND(ISNUMBER('자료_한국심리'!$J675),ISNUMBER('자료_한국심리'!$K675)),'자료_한국심리'!$J675,"")</f>
        <v/>
      </c>
      <c r="Y691">
        <f>IF(AND(ISNUMBER('자료_한국심리'!$M675),ISNUMBER('자료_한국심리'!$N675)),'자료_한국심리'!$M675,"")</f>
        <v/>
      </c>
    </row>
    <row r="692">
      <c r="A692" s="10">
        <f>IF(674&gt;$E$5,"",SMALL($U$19:$U$4018,$E$6+674))</f>
        <v/>
      </c>
      <c r="B692" s="29">
        <f>IF(A692="","",INDEX('자료_한국심리'!$B$3:$B$4002,MATCH(A692,$U$19:$U$4018,0)))</f>
        <v/>
      </c>
      <c r="C692" s="22">
        <f>IF(A692="","",B692/AVERAGE(B568:B692)-1)</f>
        <v/>
      </c>
      <c r="D692" s="29">
        <f>IF(A692="","",IFERROR(INDEX('자료_한국심리'!$E$3:$E$4002,MATCH(A692,$V$19:$V$4018,0)),D691))</f>
        <v/>
      </c>
      <c r="E692" s="30">
        <f>IF(A692="","",IFERROR(INDEX('자료_한국심리'!$H$3:$H$4002,MATCH(A692,$W$19:$W$4018,0)),E691))</f>
        <v/>
      </c>
      <c r="F692" s="30">
        <f>IF(A692="","",IFERROR(INDEX('자료_한국심리'!$K$3:$K$4002,MATCH(A692,$X$19:$X$4018,0)),F691))</f>
        <v/>
      </c>
      <c r="G692" s="30">
        <f>IF(AND(ISNUMBER(E692),ISNUMBER(F692)),ROUND(E692-F692,6),"")</f>
        <v/>
      </c>
      <c r="H692" s="25">
        <f>IF(A692="","",IFERROR(INDEX('자료_한국심리'!$N$3:$N$4002,MATCH(A692,$Y$19:$Y$4018,0)),H691))</f>
        <v/>
      </c>
      <c r="I692" s="31">
        <f>IF(AND(ISNUMBER(H692),ISNUMBER(H672)),IF(H672&gt;0,H692/H672-1,""),"")</f>
        <v/>
      </c>
      <c r="J692">
        <f>IF(A692="",0,IF(A692&gt;$B$5,1,0))</f>
        <v/>
      </c>
      <c r="K692" s="29">
        <f>IF(AND(J692=1,ISNUMBER(D692)),D692,"")</f>
        <v/>
      </c>
      <c r="L692" s="30">
        <f>IF(AND(J692=1,ISNUMBER(G692)),G692,"")</f>
        <v/>
      </c>
      <c r="M692" s="22">
        <f>IF(AND(J692=1,ISNUMBER(C692)),C692,"")</f>
        <v/>
      </c>
      <c r="N692" s="31">
        <f>IF(AND(J692=1,ISNUMBER(I692)),I692,"")</f>
        <v/>
      </c>
      <c r="O692" s="11">
        <f>IF(K692="","",100-IF($G$13=1,50,(_xlfn.RANK.AVG(K692,$K$19:$K$1518,1)-1)/($G$13-1)*100))</f>
        <v/>
      </c>
      <c r="P692" s="11">
        <f>IF(L692="","",100-IF($G$14=1,50,(_xlfn.RANK.AVG(L692,$L$19:$L$1518,1)-1)/($G$14-1)*100))</f>
        <v/>
      </c>
      <c r="Q692" s="11">
        <f>IF(M692="","",IF($G$15=1,50,(_xlfn.RANK.AVG(M692,$M$19:$M$1518,1)-1)/($G$15-1)*100))</f>
        <v/>
      </c>
      <c r="R692" s="11">
        <f>IF(N692="","",IF($G$16=1,50,(_xlfn.RANK.AVG(N692,$N$19:$N$1518,1)-1)/($G$16-1)*100))</f>
        <v/>
      </c>
      <c r="S692" s="11">
        <f>IF(COUNT(O692:R692)=4,ROUND(AVERAGE(O692:R692),6),"")</f>
        <v/>
      </c>
      <c r="U692">
        <f>IF(AND(ISNUMBER('자료_한국심리'!$A676),ISNUMBER('자료_한국심리'!$B676)),'자료_한국심리'!$A676,"")</f>
        <v/>
      </c>
      <c r="V692">
        <f>IF(AND(ISNUMBER('자료_한국심리'!$D676),ISNUMBER('자료_한국심리'!$E676)),'자료_한국심리'!$D676,"")</f>
        <v/>
      </c>
      <c r="W692">
        <f>IF(AND(ISNUMBER('자료_한국심리'!$G676),ISNUMBER('자료_한국심리'!$H676)),'자료_한국심리'!$G676,"")</f>
        <v/>
      </c>
      <c r="X692">
        <f>IF(AND(ISNUMBER('자료_한국심리'!$J676),ISNUMBER('자료_한국심리'!$K676)),'자료_한국심리'!$J676,"")</f>
        <v/>
      </c>
      <c r="Y692">
        <f>IF(AND(ISNUMBER('자료_한국심리'!$M676),ISNUMBER('자료_한국심리'!$N676)),'자료_한국심리'!$M676,"")</f>
        <v/>
      </c>
    </row>
    <row r="693">
      <c r="A693" s="10">
        <f>IF(675&gt;$E$5,"",SMALL($U$19:$U$4018,$E$6+675))</f>
        <v/>
      </c>
      <c r="B693" s="29">
        <f>IF(A693="","",INDEX('자료_한국심리'!$B$3:$B$4002,MATCH(A693,$U$19:$U$4018,0)))</f>
        <v/>
      </c>
      <c r="C693" s="22">
        <f>IF(A693="","",B693/AVERAGE(B569:B693)-1)</f>
        <v/>
      </c>
      <c r="D693" s="29">
        <f>IF(A693="","",IFERROR(INDEX('자료_한국심리'!$E$3:$E$4002,MATCH(A693,$V$19:$V$4018,0)),D692))</f>
        <v/>
      </c>
      <c r="E693" s="30">
        <f>IF(A693="","",IFERROR(INDEX('자료_한국심리'!$H$3:$H$4002,MATCH(A693,$W$19:$W$4018,0)),E692))</f>
        <v/>
      </c>
      <c r="F693" s="30">
        <f>IF(A693="","",IFERROR(INDEX('자료_한국심리'!$K$3:$K$4002,MATCH(A693,$X$19:$X$4018,0)),F692))</f>
        <v/>
      </c>
      <c r="G693" s="30">
        <f>IF(AND(ISNUMBER(E693),ISNUMBER(F693)),ROUND(E693-F693,6),"")</f>
        <v/>
      </c>
      <c r="H693" s="25">
        <f>IF(A693="","",IFERROR(INDEX('자료_한국심리'!$N$3:$N$4002,MATCH(A693,$Y$19:$Y$4018,0)),H692))</f>
        <v/>
      </c>
      <c r="I693" s="31">
        <f>IF(AND(ISNUMBER(H693),ISNUMBER(H673)),IF(H673&gt;0,H693/H673-1,""),"")</f>
        <v/>
      </c>
      <c r="J693">
        <f>IF(A693="",0,IF(A693&gt;$B$5,1,0))</f>
        <v/>
      </c>
      <c r="K693" s="29">
        <f>IF(AND(J693=1,ISNUMBER(D693)),D693,"")</f>
        <v/>
      </c>
      <c r="L693" s="30">
        <f>IF(AND(J693=1,ISNUMBER(G693)),G693,"")</f>
        <v/>
      </c>
      <c r="M693" s="22">
        <f>IF(AND(J693=1,ISNUMBER(C693)),C693,"")</f>
        <v/>
      </c>
      <c r="N693" s="31">
        <f>IF(AND(J693=1,ISNUMBER(I693)),I693,"")</f>
        <v/>
      </c>
      <c r="O693" s="11">
        <f>IF(K693="","",100-IF($G$13=1,50,(_xlfn.RANK.AVG(K693,$K$19:$K$1518,1)-1)/($G$13-1)*100))</f>
        <v/>
      </c>
      <c r="P693" s="11">
        <f>IF(L693="","",100-IF($G$14=1,50,(_xlfn.RANK.AVG(L693,$L$19:$L$1518,1)-1)/($G$14-1)*100))</f>
        <v/>
      </c>
      <c r="Q693" s="11">
        <f>IF(M693="","",IF($G$15=1,50,(_xlfn.RANK.AVG(M693,$M$19:$M$1518,1)-1)/($G$15-1)*100))</f>
        <v/>
      </c>
      <c r="R693" s="11">
        <f>IF(N693="","",IF($G$16=1,50,(_xlfn.RANK.AVG(N693,$N$19:$N$1518,1)-1)/($G$16-1)*100))</f>
        <v/>
      </c>
      <c r="S693" s="11">
        <f>IF(COUNT(O693:R693)=4,ROUND(AVERAGE(O693:R693),6),"")</f>
        <v/>
      </c>
      <c r="U693">
        <f>IF(AND(ISNUMBER('자료_한국심리'!$A677),ISNUMBER('자료_한국심리'!$B677)),'자료_한국심리'!$A677,"")</f>
        <v/>
      </c>
      <c r="V693">
        <f>IF(AND(ISNUMBER('자료_한국심리'!$D677),ISNUMBER('자료_한국심리'!$E677)),'자료_한국심리'!$D677,"")</f>
        <v/>
      </c>
      <c r="W693">
        <f>IF(AND(ISNUMBER('자료_한국심리'!$G677),ISNUMBER('자료_한국심리'!$H677)),'자료_한국심리'!$G677,"")</f>
        <v/>
      </c>
      <c r="X693">
        <f>IF(AND(ISNUMBER('자료_한국심리'!$J677),ISNUMBER('자료_한국심리'!$K677)),'자료_한국심리'!$J677,"")</f>
        <v/>
      </c>
      <c r="Y693">
        <f>IF(AND(ISNUMBER('자료_한국심리'!$M677),ISNUMBER('자료_한국심리'!$N677)),'자료_한국심리'!$M677,"")</f>
        <v/>
      </c>
    </row>
    <row r="694">
      <c r="A694" s="10">
        <f>IF(676&gt;$E$5,"",SMALL($U$19:$U$4018,$E$6+676))</f>
        <v/>
      </c>
      <c r="B694" s="29">
        <f>IF(A694="","",INDEX('자료_한국심리'!$B$3:$B$4002,MATCH(A694,$U$19:$U$4018,0)))</f>
        <v/>
      </c>
      <c r="C694" s="22">
        <f>IF(A694="","",B694/AVERAGE(B570:B694)-1)</f>
        <v/>
      </c>
      <c r="D694" s="29">
        <f>IF(A694="","",IFERROR(INDEX('자료_한국심리'!$E$3:$E$4002,MATCH(A694,$V$19:$V$4018,0)),D693))</f>
        <v/>
      </c>
      <c r="E694" s="30">
        <f>IF(A694="","",IFERROR(INDEX('자료_한국심리'!$H$3:$H$4002,MATCH(A694,$W$19:$W$4018,0)),E693))</f>
        <v/>
      </c>
      <c r="F694" s="30">
        <f>IF(A694="","",IFERROR(INDEX('자료_한국심리'!$K$3:$K$4002,MATCH(A694,$X$19:$X$4018,0)),F693))</f>
        <v/>
      </c>
      <c r="G694" s="30">
        <f>IF(AND(ISNUMBER(E694),ISNUMBER(F694)),ROUND(E694-F694,6),"")</f>
        <v/>
      </c>
      <c r="H694" s="25">
        <f>IF(A694="","",IFERROR(INDEX('자료_한국심리'!$N$3:$N$4002,MATCH(A694,$Y$19:$Y$4018,0)),H693))</f>
        <v/>
      </c>
      <c r="I694" s="31">
        <f>IF(AND(ISNUMBER(H694),ISNUMBER(H674)),IF(H674&gt;0,H694/H674-1,""),"")</f>
        <v/>
      </c>
      <c r="J694">
        <f>IF(A694="",0,IF(A694&gt;$B$5,1,0))</f>
        <v/>
      </c>
      <c r="K694" s="29">
        <f>IF(AND(J694=1,ISNUMBER(D694)),D694,"")</f>
        <v/>
      </c>
      <c r="L694" s="30">
        <f>IF(AND(J694=1,ISNUMBER(G694)),G694,"")</f>
        <v/>
      </c>
      <c r="M694" s="22">
        <f>IF(AND(J694=1,ISNUMBER(C694)),C694,"")</f>
        <v/>
      </c>
      <c r="N694" s="31">
        <f>IF(AND(J694=1,ISNUMBER(I694)),I694,"")</f>
        <v/>
      </c>
      <c r="O694" s="11">
        <f>IF(K694="","",100-IF($G$13=1,50,(_xlfn.RANK.AVG(K694,$K$19:$K$1518,1)-1)/($G$13-1)*100))</f>
        <v/>
      </c>
      <c r="P694" s="11">
        <f>IF(L694="","",100-IF($G$14=1,50,(_xlfn.RANK.AVG(L694,$L$19:$L$1518,1)-1)/($G$14-1)*100))</f>
        <v/>
      </c>
      <c r="Q694" s="11">
        <f>IF(M694="","",IF($G$15=1,50,(_xlfn.RANK.AVG(M694,$M$19:$M$1518,1)-1)/($G$15-1)*100))</f>
        <v/>
      </c>
      <c r="R694" s="11">
        <f>IF(N694="","",IF($G$16=1,50,(_xlfn.RANK.AVG(N694,$N$19:$N$1518,1)-1)/($G$16-1)*100))</f>
        <v/>
      </c>
      <c r="S694" s="11">
        <f>IF(COUNT(O694:R694)=4,ROUND(AVERAGE(O694:R694),6),"")</f>
        <v/>
      </c>
      <c r="U694">
        <f>IF(AND(ISNUMBER('자료_한국심리'!$A678),ISNUMBER('자료_한국심리'!$B678)),'자료_한국심리'!$A678,"")</f>
        <v/>
      </c>
      <c r="V694">
        <f>IF(AND(ISNUMBER('자료_한국심리'!$D678),ISNUMBER('자료_한국심리'!$E678)),'자료_한국심리'!$D678,"")</f>
        <v/>
      </c>
      <c r="W694">
        <f>IF(AND(ISNUMBER('자료_한국심리'!$G678),ISNUMBER('자료_한국심리'!$H678)),'자료_한국심리'!$G678,"")</f>
        <v/>
      </c>
      <c r="X694">
        <f>IF(AND(ISNUMBER('자료_한국심리'!$J678),ISNUMBER('자료_한국심리'!$K678)),'자료_한국심리'!$J678,"")</f>
        <v/>
      </c>
      <c r="Y694">
        <f>IF(AND(ISNUMBER('자료_한국심리'!$M678),ISNUMBER('자료_한국심리'!$N678)),'자료_한국심리'!$M678,"")</f>
        <v/>
      </c>
    </row>
    <row r="695">
      <c r="A695" s="10">
        <f>IF(677&gt;$E$5,"",SMALL($U$19:$U$4018,$E$6+677))</f>
        <v/>
      </c>
      <c r="B695" s="29">
        <f>IF(A695="","",INDEX('자료_한국심리'!$B$3:$B$4002,MATCH(A695,$U$19:$U$4018,0)))</f>
        <v/>
      </c>
      <c r="C695" s="22">
        <f>IF(A695="","",B695/AVERAGE(B571:B695)-1)</f>
        <v/>
      </c>
      <c r="D695" s="29">
        <f>IF(A695="","",IFERROR(INDEX('자료_한국심리'!$E$3:$E$4002,MATCH(A695,$V$19:$V$4018,0)),D694))</f>
        <v/>
      </c>
      <c r="E695" s="30">
        <f>IF(A695="","",IFERROR(INDEX('자료_한국심리'!$H$3:$H$4002,MATCH(A695,$W$19:$W$4018,0)),E694))</f>
        <v/>
      </c>
      <c r="F695" s="30">
        <f>IF(A695="","",IFERROR(INDEX('자료_한국심리'!$K$3:$K$4002,MATCH(A695,$X$19:$X$4018,0)),F694))</f>
        <v/>
      </c>
      <c r="G695" s="30">
        <f>IF(AND(ISNUMBER(E695),ISNUMBER(F695)),ROUND(E695-F695,6),"")</f>
        <v/>
      </c>
      <c r="H695" s="25">
        <f>IF(A695="","",IFERROR(INDEX('자료_한국심리'!$N$3:$N$4002,MATCH(A695,$Y$19:$Y$4018,0)),H694))</f>
        <v/>
      </c>
      <c r="I695" s="31">
        <f>IF(AND(ISNUMBER(H695),ISNUMBER(H675)),IF(H675&gt;0,H695/H675-1,""),"")</f>
        <v/>
      </c>
      <c r="J695">
        <f>IF(A695="",0,IF(A695&gt;$B$5,1,0))</f>
        <v/>
      </c>
      <c r="K695" s="29">
        <f>IF(AND(J695=1,ISNUMBER(D695)),D695,"")</f>
        <v/>
      </c>
      <c r="L695" s="30">
        <f>IF(AND(J695=1,ISNUMBER(G695)),G695,"")</f>
        <v/>
      </c>
      <c r="M695" s="22">
        <f>IF(AND(J695=1,ISNUMBER(C695)),C695,"")</f>
        <v/>
      </c>
      <c r="N695" s="31">
        <f>IF(AND(J695=1,ISNUMBER(I695)),I695,"")</f>
        <v/>
      </c>
      <c r="O695" s="11">
        <f>IF(K695="","",100-IF($G$13=1,50,(_xlfn.RANK.AVG(K695,$K$19:$K$1518,1)-1)/($G$13-1)*100))</f>
        <v/>
      </c>
      <c r="P695" s="11">
        <f>IF(L695="","",100-IF($G$14=1,50,(_xlfn.RANK.AVG(L695,$L$19:$L$1518,1)-1)/($G$14-1)*100))</f>
        <v/>
      </c>
      <c r="Q695" s="11">
        <f>IF(M695="","",IF($G$15=1,50,(_xlfn.RANK.AVG(M695,$M$19:$M$1518,1)-1)/($G$15-1)*100))</f>
        <v/>
      </c>
      <c r="R695" s="11">
        <f>IF(N695="","",IF($G$16=1,50,(_xlfn.RANK.AVG(N695,$N$19:$N$1518,1)-1)/($G$16-1)*100))</f>
        <v/>
      </c>
      <c r="S695" s="11">
        <f>IF(COUNT(O695:R695)=4,ROUND(AVERAGE(O695:R695),6),"")</f>
        <v/>
      </c>
      <c r="U695">
        <f>IF(AND(ISNUMBER('자료_한국심리'!$A679),ISNUMBER('자료_한국심리'!$B679)),'자료_한국심리'!$A679,"")</f>
        <v/>
      </c>
      <c r="V695">
        <f>IF(AND(ISNUMBER('자료_한국심리'!$D679),ISNUMBER('자료_한국심리'!$E679)),'자료_한국심리'!$D679,"")</f>
        <v/>
      </c>
      <c r="W695">
        <f>IF(AND(ISNUMBER('자료_한국심리'!$G679),ISNUMBER('자료_한국심리'!$H679)),'자료_한국심리'!$G679,"")</f>
        <v/>
      </c>
      <c r="X695">
        <f>IF(AND(ISNUMBER('자료_한국심리'!$J679),ISNUMBER('자료_한국심리'!$K679)),'자료_한국심리'!$J679,"")</f>
        <v/>
      </c>
      <c r="Y695">
        <f>IF(AND(ISNUMBER('자료_한국심리'!$M679),ISNUMBER('자료_한국심리'!$N679)),'자료_한국심리'!$M679,"")</f>
        <v/>
      </c>
    </row>
    <row r="696">
      <c r="A696" s="10">
        <f>IF(678&gt;$E$5,"",SMALL($U$19:$U$4018,$E$6+678))</f>
        <v/>
      </c>
      <c r="B696" s="29">
        <f>IF(A696="","",INDEX('자료_한국심리'!$B$3:$B$4002,MATCH(A696,$U$19:$U$4018,0)))</f>
        <v/>
      </c>
      <c r="C696" s="22">
        <f>IF(A696="","",B696/AVERAGE(B572:B696)-1)</f>
        <v/>
      </c>
      <c r="D696" s="29">
        <f>IF(A696="","",IFERROR(INDEX('자료_한국심리'!$E$3:$E$4002,MATCH(A696,$V$19:$V$4018,0)),D695))</f>
        <v/>
      </c>
      <c r="E696" s="30">
        <f>IF(A696="","",IFERROR(INDEX('자료_한국심리'!$H$3:$H$4002,MATCH(A696,$W$19:$W$4018,0)),E695))</f>
        <v/>
      </c>
      <c r="F696" s="30">
        <f>IF(A696="","",IFERROR(INDEX('자료_한국심리'!$K$3:$K$4002,MATCH(A696,$X$19:$X$4018,0)),F695))</f>
        <v/>
      </c>
      <c r="G696" s="30">
        <f>IF(AND(ISNUMBER(E696),ISNUMBER(F696)),ROUND(E696-F696,6),"")</f>
        <v/>
      </c>
      <c r="H696" s="25">
        <f>IF(A696="","",IFERROR(INDEX('자료_한국심리'!$N$3:$N$4002,MATCH(A696,$Y$19:$Y$4018,0)),H695))</f>
        <v/>
      </c>
      <c r="I696" s="31">
        <f>IF(AND(ISNUMBER(H696),ISNUMBER(H676)),IF(H676&gt;0,H696/H676-1,""),"")</f>
        <v/>
      </c>
      <c r="J696">
        <f>IF(A696="",0,IF(A696&gt;$B$5,1,0))</f>
        <v/>
      </c>
      <c r="K696" s="29">
        <f>IF(AND(J696=1,ISNUMBER(D696)),D696,"")</f>
        <v/>
      </c>
      <c r="L696" s="30">
        <f>IF(AND(J696=1,ISNUMBER(G696)),G696,"")</f>
        <v/>
      </c>
      <c r="M696" s="22">
        <f>IF(AND(J696=1,ISNUMBER(C696)),C696,"")</f>
        <v/>
      </c>
      <c r="N696" s="31">
        <f>IF(AND(J696=1,ISNUMBER(I696)),I696,"")</f>
        <v/>
      </c>
      <c r="O696" s="11">
        <f>IF(K696="","",100-IF($G$13=1,50,(_xlfn.RANK.AVG(K696,$K$19:$K$1518,1)-1)/($G$13-1)*100))</f>
        <v/>
      </c>
      <c r="P696" s="11">
        <f>IF(L696="","",100-IF($G$14=1,50,(_xlfn.RANK.AVG(L696,$L$19:$L$1518,1)-1)/($G$14-1)*100))</f>
        <v/>
      </c>
      <c r="Q696" s="11">
        <f>IF(M696="","",IF($G$15=1,50,(_xlfn.RANK.AVG(M696,$M$19:$M$1518,1)-1)/($G$15-1)*100))</f>
        <v/>
      </c>
      <c r="R696" s="11">
        <f>IF(N696="","",IF($G$16=1,50,(_xlfn.RANK.AVG(N696,$N$19:$N$1518,1)-1)/($G$16-1)*100))</f>
        <v/>
      </c>
      <c r="S696" s="11">
        <f>IF(COUNT(O696:R696)=4,ROUND(AVERAGE(O696:R696),6),"")</f>
        <v/>
      </c>
      <c r="U696">
        <f>IF(AND(ISNUMBER('자료_한국심리'!$A680),ISNUMBER('자료_한국심리'!$B680)),'자료_한국심리'!$A680,"")</f>
        <v/>
      </c>
      <c r="V696">
        <f>IF(AND(ISNUMBER('자료_한국심리'!$D680),ISNUMBER('자료_한국심리'!$E680)),'자료_한국심리'!$D680,"")</f>
        <v/>
      </c>
      <c r="W696">
        <f>IF(AND(ISNUMBER('자료_한국심리'!$G680),ISNUMBER('자료_한국심리'!$H680)),'자료_한국심리'!$G680,"")</f>
        <v/>
      </c>
      <c r="X696">
        <f>IF(AND(ISNUMBER('자료_한국심리'!$J680),ISNUMBER('자료_한국심리'!$K680)),'자료_한국심리'!$J680,"")</f>
        <v/>
      </c>
      <c r="Y696">
        <f>IF(AND(ISNUMBER('자료_한국심리'!$M680),ISNUMBER('자료_한국심리'!$N680)),'자료_한국심리'!$M680,"")</f>
        <v/>
      </c>
    </row>
    <row r="697">
      <c r="A697" s="10">
        <f>IF(679&gt;$E$5,"",SMALL($U$19:$U$4018,$E$6+679))</f>
        <v/>
      </c>
      <c r="B697" s="29">
        <f>IF(A697="","",INDEX('자료_한국심리'!$B$3:$B$4002,MATCH(A697,$U$19:$U$4018,0)))</f>
        <v/>
      </c>
      <c r="C697" s="22">
        <f>IF(A697="","",B697/AVERAGE(B573:B697)-1)</f>
        <v/>
      </c>
      <c r="D697" s="29">
        <f>IF(A697="","",IFERROR(INDEX('자료_한국심리'!$E$3:$E$4002,MATCH(A697,$V$19:$V$4018,0)),D696))</f>
        <v/>
      </c>
      <c r="E697" s="30">
        <f>IF(A697="","",IFERROR(INDEX('자료_한국심리'!$H$3:$H$4002,MATCH(A697,$W$19:$W$4018,0)),E696))</f>
        <v/>
      </c>
      <c r="F697" s="30">
        <f>IF(A697="","",IFERROR(INDEX('자료_한국심리'!$K$3:$K$4002,MATCH(A697,$X$19:$X$4018,0)),F696))</f>
        <v/>
      </c>
      <c r="G697" s="30">
        <f>IF(AND(ISNUMBER(E697),ISNUMBER(F697)),ROUND(E697-F697,6),"")</f>
        <v/>
      </c>
      <c r="H697" s="25">
        <f>IF(A697="","",IFERROR(INDEX('자료_한국심리'!$N$3:$N$4002,MATCH(A697,$Y$19:$Y$4018,0)),H696))</f>
        <v/>
      </c>
      <c r="I697" s="31">
        <f>IF(AND(ISNUMBER(H697),ISNUMBER(H677)),IF(H677&gt;0,H697/H677-1,""),"")</f>
        <v/>
      </c>
      <c r="J697">
        <f>IF(A697="",0,IF(A697&gt;$B$5,1,0))</f>
        <v/>
      </c>
      <c r="K697" s="29">
        <f>IF(AND(J697=1,ISNUMBER(D697)),D697,"")</f>
        <v/>
      </c>
      <c r="L697" s="30">
        <f>IF(AND(J697=1,ISNUMBER(G697)),G697,"")</f>
        <v/>
      </c>
      <c r="M697" s="22">
        <f>IF(AND(J697=1,ISNUMBER(C697)),C697,"")</f>
        <v/>
      </c>
      <c r="N697" s="31">
        <f>IF(AND(J697=1,ISNUMBER(I697)),I697,"")</f>
        <v/>
      </c>
      <c r="O697" s="11">
        <f>IF(K697="","",100-IF($G$13=1,50,(_xlfn.RANK.AVG(K697,$K$19:$K$1518,1)-1)/($G$13-1)*100))</f>
        <v/>
      </c>
      <c r="P697" s="11">
        <f>IF(L697="","",100-IF($G$14=1,50,(_xlfn.RANK.AVG(L697,$L$19:$L$1518,1)-1)/($G$14-1)*100))</f>
        <v/>
      </c>
      <c r="Q697" s="11">
        <f>IF(M697="","",IF($G$15=1,50,(_xlfn.RANK.AVG(M697,$M$19:$M$1518,1)-1)/($G$15-1)*100))</f>
        <v/>
      </c>
      <c r="R697" s="11">
        <f>IF(N697="","",IF($G$16=1,50,(_xlfn.RANK.AVG(N697,$N$19:$N$1518,1)-1)/($G$16-1)*100))</f>
        <v/>
      </c>
      <c r="S697" s="11">
        <f>IF(COUNT(O697:R697)=4,ROUND(AVERAGE(O697:R697),6),"")</f>
        <v/>
      </c>
      <c r="U697">
        <f>IF(AND(ISNUMBER('자료_한국심리'!$A681),ISNUMBER('자료_한국심리'!$B681)),'자료_한국심리'!$A681,"")</f>
        <v/>
      </c>
      <c r="V697">
        <f>IF(AND(ISNUMBER('자료_한국심리'!$D681),ISNUMBER('자료_한국심리'!$E681)),'자료_한국심리'!$D681,"")</f>
        <v/>
      </c>
      <c r="W697">
        <f>IF(AND(ISNUMBER('자료_한국심리'!$G681),ISNUMBER('자료_한국심리'!$H681)),'자료_한국심리'!$G681,"")</f>
        <v/>
      </c>
      <c r="X697">
        <f>IF(AND(ISNUMBER('자료_한국심리'!$J681),ISNUMBER('자료_한국심리'!$K681)),'자료_한국심리'!$J681,"")</f>
        <v/>
      </c>
      <c r="Y697">
        <f>IF(AND(ISNUMBER('자료_한국심리'!$M681),ISNUMBER('자료_한국심리'!$N681)),'자료_한국심리'!$M681,"")</f>
        <v/>
      </c>
    </row>
    <row r="698">
      <c r="A698" s="10">
        <f>IF(680&gt;$E$5,"",SMALL($U$19:$U$4018,$E$6+680))</f>
        <v/>
      </c>
      <c r="B698" s="29">
        <f>IF(A698="","",INDEX('자료_한국심리'!$B$3:$B$4002,MATCH(A698,$U$19:$U$4018,0)))</f>
        <v/>
      </c>
      <c r="C698" s="22">
        <f>IF(A698="","",B698/AVERAGE(B574:B698)-1)</f>
        <v/>
      </c>
      <c r="D698" s="29">
        <f>IF(A698="","",IFERROR(INDEX('자료_한국심리'!$E$3:$E$4002,MATCH(A698,$V$19:$V$4018,0)),D697))</f>
        <v/>
      </c>
      <c r="E698" s="30">
        <f>IF(A698="","",IFERROR(INDEX('자료_한국심리'!$H$3:$H$4002,MATCH(A698,$W$19:$W$4018,0)),E697))</f>
        <v/>
      </c>
      <c r="F698" s="30">
        <f>IF(A698="","",IFERROR(INDEX('자료_한국심리'!$K$3:$K$4002,MATCH(A698,$X$19:$X$4018,0)),F697))</f>
        <v/>
      </c>
      <c r="G698" s="30">
        <f>IF(AND(ISNUMBER(E698),ISNUMBER(F698)),ROUND(E698-F698,6),"")</f>
        <v/>
      </c>
      <c r="H698" s="25">
        <f>IF(A698="","",IFERROR(INDEX('자료_한국심리'!$N$3:$N$4002,MATCH(A698,$Y$19:$Y$4018,0)),H697))</f>
        <v/>
      </c>
      <c r="I698" s="31">
        <f>IF(AND(ISNUMBER(H698),ISNUMBER(H678)),IF(H678&gt;0,H698/H678-1,""),"")</f>
        <v/>
      </c>
      <c r="J698">
        <f>IF(A698="",0,IF(A698&gt;$B$5,1,0))</f>
        <v/>
      </c>
      <c r="K698" s="29">
        <f>IF(AND(J698=1,ISNUMBER(D698)),D698,"")</f>
        <v/>
      </c>
      <c r="L698" s="30">
        <f>IF(AND(J698=1,ISNUMBER(G698)),G698,"")</f>
        <v/>
      </c>
      <c r="M698" s="22">
        <f>IF(AND(J698=1,ISNUMBER(C698)),C698,"")</f>
        <v/>
      </c>
      <c r="N698" s="31">
        <f>IF(AND(J698=1,ISNUMBER(I698)),I698,"")</f>
        <v/>
      </c>
      <c r="O698" s="11">
        <f>IF(K698="","",100-IF($G$13=1,50,(_xlfn.RANK.AVG(K698,$K$19:$K$1518,1)-1)/($G$13-1)*100))</f>
        <v/>
      </c>
      <c r="P698" s="11">
        <f>IF(L698="","",100-IF($G$14=1,50,(_xlfn.RANK.AVG(L698,$L$19:$L$1518,1)-1)/($G$14-1)*100))</f>
        <v/>
      </c>
      <c r="Q698" s="11">
        <f>IF(M698="","",IF($G$15=1,50,(_xlfn.RANK.AVG(M698,$M$19:$M$1518,1)-1)/($G$15-1)*100))</f>
        <v/>
      </c>
      <c r="R698" s="11">
        <f>IF(N698="","",IF($G$16=1,50,(_xlfn.RANK.AVG(N698,$N$19:$N$1518,1)-1)/($G$16-1)*100))</f>
        <v/>
      </c>
      <c r="S698" s="11">
        <f>IF(COUNT(O698:R698)=4,ROUND(AVERAGE(O698:R698),6),"")</f>
        <v/>
      </c>
      <c r="U698">
        <f>IF(AND(ISNUMBER('자료_한국심리'!$A682),ISNUMBER('자료_한국심리'!$B682)),'자료_한국심리'!$A682,"")</f>
        <v/>
      </c>
      <c r="V698">
        <f>IF(AND(ISNUMBER('자료_한국심리'!$D682),ISNUMBER('자료_한국심리'!$E682)),'자료_한국심리'!$D682,"")</f>
        <v/>
      </c>
      <c r="W698">
        <f>IF(AND(ISNUMBER('자료_한국심리'!$G682),ISNUMBER('자료_한국심리'!$H682)),'자료_한국심리'!$G682,"")</f>
        <v/>
      </c>
      <c r="X698">
        <f>IF(AND(ISNUMBER('자료_한국심리'!$J682),ISNUMBER('자료_한국심리'!$K682)),'자료_한국심리'!$J682,"")</f>
        <v/>
      </c>
      <c r="Y698">
        <f>IF(AND(ISNUMBER('자료_한국심리'!$M682),ISNUMBER('자료_한국심리'!$N682)),'자료_한국심리'!$M682,"")</f>
        <v/>
      </c>
    </row>
    <row r="699">
      <c r="A699" s="10">
        <f>IF(681&gt;$E$5,"",SMALL($U$19:$U$4018,$E$6+681))</f>
        <v/>
      </c>
      <c r="B699" s="29">
        <f>IF(A699="","",INDEX('자료_한국심리'!$B$3:$B$4002,MATCH(A699,$U$19:$U$4018,0)))</f>
        <v/>
      </c>
      <c r="C699" s="22">
        <f>IF(A699="","",B699/AVERAGE(B575:B699)-1)</f>
        <v/>
      </c>
      <c r="D699" s="29">
        <f>IF(A699="","",IFERROR(INDEX('자료_한국심리'!$E$3:$E$4002,MATCH(A699,$V$19:$V$4018,0)),D698))</f>
        <v/>
      </c>
      <c r="E699" s="30">
        <f>IF(A699="","",IFERROR(INDEX('자료_한국심리'!$H$3:$H$4002,MATCH(A699,$W$19:$W$4018,0)),E698))</f>
        <v/>
      </c>
      <c r="F699" s="30">
        <f>IF(A699="","",IFERROR(INDEX('자료_한국심리'!$K$3:$K$4002,MATCH(A699,$X$19:$X$4018,0)),F698))</f>
        <v/>
      </c>
      <c r="G699" s="30">
        <f>IF(AND(ISNUMBER(E699),ISNUMBER(F699)),ROUND(E699-F699,6),"")</f>
        <v/>
      </c>
      <c r="H699" s="25">
        <f>IF(A699="","",IFERROR(INDEX('자료_한국심리'!$N$3:$N$4002,MATCH(A699,$Y$19:$Y$4018,0)),H698))</f>
        <v/>
      </c>
      <c r="I699" s="31">
        <f>IF(AND(ISNUMBER(H699),ISNUMBER(H679)),IF(H679&gt;0,H699/H679-1,""),"")</f>
        <v/>
      </c>
      <c r="J699">
        <f>IF(A699="",0,IF(A699&gt;$B$5,1,0))</f>
        <v/>
      </c>
      <c r="K699" s="29">
        <f>IF(AND(J699=1,ISNUMBER(D699)),D699,"")</f>
        <v/>
      </c>
      <c r="L699" s="30">
        <f>IF(AND(J699=1,ISNUMBER(G699)),G699,"")</f>
        <v/>
      </c>
      <c r="M699" s="22">
        <f>IF(AND(J699=1,ISNUMBER(C699)),C699,"")</f>
        <v/>
      </c>
      <c r="N699" s="31">
        <f>IF(AND(J699=1,ISNUMBER(I699)),I699,"")</f>
        <v/>
      </c>
      <c r="O699" s="11">
        <f>IF(K699="","",100-IF($G$13=1,50,(_xlfn.RANK.AVG(K699,$K$19:$K$1518,1)-1)/($G$13-1)*100))</f>
        <v/>
      </c>
      <c r="P699" s="11">
        <f>IF(L699="","",100-IF($G$14=1,50,(_xlfn.RANK.AVG(L699,$L$19:$L$1518,1)-1)/($G$14-1)*100))</f>
        <v/>
      </c>
      <c r="Q699" s="11">
        <f>IF(M699="","",IF($G$15=1,50,(_xlfn.RANK.AVG(M699,$M$19:$M$1518,1)-1)/($G$15-1)*100))</f>
        <v/>
      </c>
      <c r="R699" s="11">
        <f>IF(N699="","",IF($G$16=1,50,(_xlfn.RANK.AVG(N699,$N$19:$N$1518,1)-1)/($G$16-1)*100))</f>
        <v/>
      </c>
      <c r="S699" s="11">
        <f>IF(COUNT(O699:R699)=4,ROUND(AVERAGE(O699:R699),6),"")</f>
        <v/>
      </c>
      <c r="U699">
        <f>IF(AND(ISNUMBER('자료_한국심리'!$A683),ISNUMBER('자료_한국심리'!$B683)),'자료_한국심리'!$A683,"")</f>
        <v/>
      </c>
      <c r="V699">
        <f>IF(AND(ISNUMBER('자료_한국심리'!$D683),ISNUMBER('자료_한국심리'!$E683)),'자료_한국심리'!$D683,"")</f>
        <v/>
      </c>
      <c r="W699">
        <f>IF(AND(ISNUMBER('자료_한국심리'!$G683),ISNUMBER('자료_한국심리'!$H683)),'자료_한국심리'!$G683,"")</f>
        <v/>
      </c>
      <c r="X699">
        <f>IF(AND(ISNUMBER('자료_한국심리'!$J683),ISNUMBER('자료_한국심리'!$K683)),'자료_한국심리'!$J683,"")</f>
        <v/>
      </c>
      <c r="Y699">
        <f>IF(AND(ISNUMBER('자료_한국심리'!$M683),ISNUMBER('자료_한국심리'!$N683)),'자료_한국심리'!$M683,"")</f>
        <v/>
      </c>
    </row>
    <row r="700">
      <c r="A700" s="10">
        <f>IF(682&gt;$E$5,"",SMALL($U$19:$U$4018,$E$6+682))</f>
        <v/>
      </c>
      <c r="B700" s="29">
        <f>IF(A700="","",INDEX('자료_한국심리'!$B$3:$B$4002,MATCH(A700,$U$19:$U$4018,0)))</f>
        <v/>
      </c>
      <c r="C700" s="22">
        <f>IF(A700="","",B700/AVERAGE(B576:B700)-1)</f>
        <v/>
      </c>
      <c r="D700" s="29">
        <f>IF(A700="","",IFERROR(INDEX('자료_한국심리'!$E$3:$E$4002,MATCH(A700,$V$19:$V$4018,0)),D699))</f>
        <v/>
      </c>
      <c r="E700" s="30">
        <f>IF(A700="","",IFERROR(INDEX('자료_한국심리'!$H$3:$H$4002,MATCH(A700,$W$19:$W$4018,0)),E699))</f>
        <v/>
      </c>
      <c r="F700" s="30">
        <f>IF(A700="","",IFERROR(INDEX('자료_한국심리'!$K$3:$K$4002,MATCH(A700,$X$19:$X$4018,0)),F699))</f>
        <v/>
      </c>
      <c r="G700" s="30">
        <f>IF(AND(ISNUMBER(E700),ISNUMBER(F700)),ROUND(E700-F700,6),"")</f>
        <v/>
      </c>
      <c r="H700" s="25">
        <f>IF(A700="","",IFERROR(INDEX('자료_한국심리'!$N$3:$N$4002,MATCH(A700,$Y$19:$Y$4018,0)),H699))</f>
        <v/>
      </c>
      <c r="I700" s="31">
        <f>IF(AND(ISNUMBER(H700),ISNUMBER(H680)),IF(H680&gt;0,H700/H680-1,""),"")</f>
        <v/>
      </c>
      <c r="J700">
        <f>IF(A700="",0,IF(A700&gt;$B$5,1,0))</f>
        <v/>
      </c>
      <c r="K700" s="29">
        <f>IF(AND(J700=1,ISNUMBER(D700)),D700,"")</f>
        <v/>
      </c>
      <c r="L700" s="30">
        <f>IF(AND(J700=1,ISNUMBER(G700)),G700,"")</f>
        <v/>
      </c>
      <c r="M700" s="22">
        <f>IF(AND(J700=1,ISNUMBER(C700)),C700,"")</f>
        <v/>
      </c>
      <c r="N700" s="31">
        <f>IF(AND(J700=1,ISNUMBER(I700)),I700,"")</f>
        <v/>
      </c>
      <c r="O700" s="11">
        <f>IF(K700="","",100-IF($G$13=1,50,(_xlfn.RANK.AVG(K700,$K$19:$K$1518,1)-1)/($G$13-1)*100))</f>
        <v/>
      </c>
      <c r="P700" s="11">
        <f>IF(L700="","",100-IF($G$14=1,50,(_xlfn.RANK.AVG(L700,$L$19:$L$1518,1)-1)/($G$14-1)*100))</f>
        <v/>
      </c>
      <c r="Q700" s="11">
        <f>IF(M700="","",IF($G$15=1,50,(_xlfn.RANK.AVG(M700,$M$19:$M$1518,1)-1)/($G$15-1)*100))</f>
        <v/>
      </c>
      <c r="R700" s="11">
        <f>IF(N700="","",IF($G$16=1,50,(_xlfn.RANK.AVG(N700,$N$19:$N$1518,1)-1)/($G$16-1)*100))</f>
        <v/>
      </c>
      <c r="S700" s="11">
        <f>IF(COUNT(O700:R700)=4,ROUND(AVERAGE(O700:R700),6),"")</f>
        <v/>
      </c>
      <c r="U700">
        <f>IF(AND(ISNUMBER('자료_한국심리'!$A684),ISNUMBER('자료_한국심리'!$B684)),'자료_한국심리'!$A684,"")</f>
        <v/>
      </c>
      <c r="V700">
        <f>IF(AND(ISNUMBER('자료_한국심리'!$D684),ISNUMBER('자료_한국심리'!$E684)),'자료_한국심리'!$D684,"")</f>
        <v/>
      </c>
      <c r="W700">
        <f>IF(AND(ISNUMBER('자료_한국심리'!$G684),ISNUMBER('자료_한국심리'!$H684)),'자료_한국심리'!$G684,"")</f>
        <v/>
      </c>
      <c r="X700">
        <f>IF(AND(ISNUMBER('자료_한국심리'!$J684),ISNUMBER('자료_한국심리'!$K684)),'자료_한국심리'!$J684,"")</f>
        <v/>
      </c>
      <c r="Y700">
        <f>IF(AND(ISNUMBER('자료_한국심리'!$M684),ISNUMBER('자료_한국심리'!$N684)),'자료_한국심리'!$M684,"")</f>
        <v/>
      </c>
    </row>
    <row r="701">
      <c r="A701" s="10">
        <f>IF(683&gt;$E$5,"",SMALL($U$19:$U$4018,$E$6+683))</f>
        <v/>
      </c>
      <c r="B701" s="29">
        <f>IF(A701="","",INDEX('자료_한국심리'!$B$3:$B$4002,MATCH(A701,$U$19:$U$4018,0)))</f>
        <v/>
      </c>
      <c r="C701" s="22">
        <f>IF(A701="","",B701/AVERAGE(B577:B701)-1)</f>
        <v/>
      </c>
      <c r="D701" s="29">
        <f>IF(A701="","",IFERROR(INDEX('자료_한국심리'!$E$3:$E$4002,MATCH(A701,$V$19:$V$4018,0)),D700))</f>
        <v/>
      </c>
      <c r="E701" s="30">
        <f>IF(A701="","",IFERROR(INDEX('자료_한국심리'!$H$3:$H$4002,MATCH(A701,$W$19:$W$4018,0)),E700))</f>
        <v/>
      </c>
      <c r="F701" s="30">
        <f>IF(A701="","",IFERROR(INDEX('자료_한국심리'!$K$3:$K$4002,MATCH(A701,$X$19:$X$4018,0)),F700))</f>
        <v/>
      </c>
      <c r="G701" s="30">
        <f>IF(AND(ISNUMBER(E701),ISNUMBER(F701)),ROUND(E701-F701,6),"")</f>
        <v/>
      </c>
      <c r="H701" s="25">
        <f>IF(A701="","",IFERROR(INDEX('자료_한국심리'!$N$3:$N$4002,MATCH(A701,$Y$19:$Y$4018,0)),H700))</f>
        <v/>
      </c>
      <c r="I701" s="31">
        <f>IF(AND(ISNUMBER(H701),ISNUMBER(H681)),IF(H681&gt;0,H701/H681-1,""),"")</f>
        <v/>
      </c>
      <c r="J701">
        <f>IF(A701="",0,IF(A701&gt;$B$5,1,0))</f>
        <v/>
      </c>
      <c r="K701" s="29">
        <f>IF(AND(J701=1,ISNUMBER(D701)),D701,"")</f>
        <v/>
      </c>
      <c r="L701" s="30">
        <f>IF(AND(J701=1,ISNUMBER(G701)),G701,"")</f>
        <v/>
      </c>
      <c r="M701" s="22">
        <f>IF(AND(J701=1,ISNUMBER(C701)),C701,"")</f>
        <v/>
      </c>
      <c r="N701" s="31">
        <f>IF(AND(J701=1,ISNUMBER(I701)),I701,"")</f>
        <v/>
      </c>
      <c r="O701" s="11">
        <f>IF(K701="","",100-IF($G$13=1,50,(_xlfn.RANK.AVG(K701,$K$19:$K$1518,1)-1)/($G$13-1)*100))</f>
        <v/>
      </c>
      <c r="P701" s="11">
        <f>IF(L701="","",100-IF($G$14=1,50,(_xlfn.RANK.AVG(L701,$L$19:$L$1518,1)-1)/($G$14-1)*100))</f>
        <v/>
      </c>
      <c r="Q701" s="11">
        <f>IF(M701="","",IF($G$15=1,50,(_xlfn.RANK.AVG(M701,$M$19:$M$1518,1)-1)/($G$15-1)*100))</f>
        <v/>
      </c>
      <c r="R701" s="11">
        <f>IF(N701="","",IF($G$16=1,50,(_xlfn.RANK.AVG(N701,$N$19:$N$1518,1)-1)/($G$16-1)*100))</f>
        <v/>
      </c>
      <c r="S701" s="11">
        <f>IF(COUNT(O701:R701)=4,ROUND(AVERAGE(O701:R701),6),"")</f>
        <v/>
      </c>
      <c r="U701">
        <f>IF(AND(ISNUMBER('자료_한국심리'!$A685),ISNUMBER('자료_한국심리'!$B685)),'자료_한국심리'!$A685,"")</f>
        <v/>
      </c>
      <c r="V701">
        <f>IF(AND(ISNUMBER('자료_한국심리'!$D685),ISNUMBER('자료_한국심리'!$E685)),'자료_한국심리'!$D685,"")</f>
        <v/>
      </c>
      <c r="W701">
        <f>IF(AND(ISNUMBER('자료_한국심리'!$G685),ISNUMBER('자료_한국심리'!$H685)),'자료_한국심리'!$G685,"")</f>
        <v/>
      </c>
      <c r="X701">
        <f>IF(AND(ISNUMBER('자료_한국심리'!$J685),ISNUMBER('자료_한국심리'!$K685)),'자료_한국심리'!$J685,"")</f>
        <v/>
      </c>
      <c r="Y701">
        <f>IF(AND(ISNUMBER('자료_한국심리'!$M685),ISNUMBER('자료_한국심리'!$N685)),'자료_한국심리'!$M685,"")</f>
        <v/>
      </c>
    </row>
    <row r="702">
      <c r="A702" s="10">
        <f>IF(684&gt;$E$5,"",SMALL($U$19:$U$4018,$E$6+684))</f>
        <v/>
      </c>
      <c r="B702" s="29">
        <f>IF(A702="","",INDEX('자료_한국심리'!$B$3:$B$4002,MATCH(A702,$U$19:$U$4018,0)))</f>
        <v/>
      </c>
      <c r="C702" s="22">
        <f>IF(A702="","",B702/AVERAGE(B578:B702)-1)</f>
        <v/>
      </c>
      <c r="D702" s="29">
        <f>IF(A702="","",IFERROR(INDEX('자료_한국심리'!$E$3:$E$4002,MATCH(A702,$V$19:$V$4018,0)),D701))</f>
        <v/>
      </c>
      <c r="E702" s="30">
        <f>IF(A702="","",IFERROR(INDEX('자료_한국심리'!$H$3:$H$4002,MATCH(A702,$W$19:$W$4018,0)),E701))</f>
        <v/>
      </c>
      <c r="F702" s="30">
        <f>IF(A702="","",IFERROR(INDEX('자료_한국심리'!$K$3:$K$4002,MATCH(A702,$X$19:$X$4018,0)),F701))</f>
        <v/>
      </c>
      <c r="G702" s="30">
        <f>IF(AND(ISNUMBER(E702),ISNUMBER(F702)),ROUND(E702-F702,6),"")</f>
        <v/>
      </c>
      <c r="H702" s="25">
        <f>IF(A702="","",IFERROR(INDEX('자료_한국심리'!$N$3:$N$4002,MATCH(A702,$Y$19:$Y$4018,0)),H701))</f>
        <v/>
      </c>
      <c r="I702" s="31">
        <f>IF(AND(ISNUMBER(H702),ISNUMBER(H682)),IF(H682&gt;0,H702/H682-1,""),"")</f>
        <v/>
      </c>
      <c r="J702">
        <f>IF(A702="",0,IF(A702&gt;$B$5,1,0))</f>
        <v/>
      </c>
      <c r="K702" s="29">
        <f>IF(AND(J702=1,ISNUMBER(D702)),D702,"")</f>
        <v/>
      </c>
      <c r="L702" s="30">
        <f>IF(AND(J702=1,ISNUMBER(G702)),G702,"")</f>
        <v/>
      </c>
      <c r="M702" s="22">
        <f>IF(AND(J702=1,ISNUMBER(C702)),C702,"")</f>
        <v/>
      </c>
      <c r="N702" s="31">
        <f>IF(AND(J702=1,ISNUMBER(I702)),I702,"")</f>
        <v/>
      </c>
      <c r="O702" s="11">
        <f>IF(K702="","",100-IF($G$13=1,50,(_xlfn.RANK.AVG(K702,$K$19:$K$1518,1)-1)/($G$13-1)*100))</f>
        <v/>
      </c>
      <c r="P702" s="11">
        <f>IF(L702="","",100-IF($G$14=1,50,(_xlfn.RANK.AVG(L702,$L$19:$L$1518,1)-1)/($G$14-1)*100))</f>
        <v/>
      </c>
      <c r="Q702" s="11">
        <f>IF(M702="","",IF($G$15=1,50,(_xlfn.RANK.AVG(M702,$M$19:$M$1518,1)-1)/($G$15-1)*100))</f>
        <v/>
      </c>
      <c r="R702" s="11">
        <f>IF(N702="","",IF($G$16=1,50,(_xlfn.RANK.AVG(N702,$N$19:$N$1518,1)-1)/($G$16-1)*100))</f>
        <v/>
      </c>
      <c r="S702" s="11">
        <f>IF(COUNT(O702:R702)=4,ROUND(AVERAGE(O702:R702),6),"")</f>
        <v/>
      </c>
      <c r="U702">
        <f>IF(AND(ISNUMBER('자료_한국심리'!$A686),ISNUMBER('자료_한국심리'!$B686)),'자료_한국심리'!$A686,"")</f>
        <v/>
      </c>
      <c r="V702">
        <f>IF(AND(ISNUMBER('자료_한국심리'!$D686),ISNUMBER('자료_한국심리'!$E686)),'자료_한국심리'!$D686,"")</f>
        <v/>
      </c>
      <c r="W702">
        <f>IF(AND(ISNUMBER('자료_한국심리'!$G686),ISNUMBER('자료_한국심리'!$H686)),'자료_한국심리'!$G686,"")</f>
        <v/>
      </c>
      <c r="X702">
        <f>IF(AND(ISNUMBER('자료_한국심리'!$J686),ISNUMBER('자료_한국심리'!$K686)),'자료_한국심리'!$J686,"")</f>
        <v/>
      </c>
      <c r="Y702">
        <f>IF(AND(ISNUMBER('자료_한국심리'!$M686),ISNUMBER('자료_한국심리'!$N686)),'자료_한국심리'!$M686,"")</f>
        <v/>
      </c>
    </row>
    <row r="703">
      <c r="A703" s="10">
        <f>IF(685&gt;$E$5,"",SMALL($U$19:$U$4018,$E$6+685))</f>
        <v/>
      </c>
      <c r="B703" s="29">
        <f>IF(A703="","",INDEX('자료_한국심리'!$B$3:$B$4002,MATCH(A703,$U$19:$U$4018,0)))</f>
        <v/>
      </c>
      <c r="C703" s="22">
        <f>IF(A703="","",B703/AVERAGE(B579:B703)-1)</f>
        <v/>
      </c>
      <c r="D703" s="29">
        <f>IF(A703="","",IFERROR(INDEX('자료_한국심리'!$E$3:$E$4002,MATCH(A703,$V$19:$V$4018,0)),D702))</f>
        <v/>
      </c>
      <c r="E703" s="30">
        <f>IF(A703="","",IFERROR(INDEX('자료_한국심리'!$H$3:$H$4002,MATCH(A703,$W$19:$W$4018,0)),E702))</f>
        <v/>
      </c>
      <c r="F703" s="30">
        <f>IF(A703="","",IFERROR(INDEX('자료_한국심리'!$K$3:$K$4002,MATCH(A703,$X$19:$X$4018,0)),F702))</f>
        <v/>
      </c>
      <c r="G703" s="30">
        <f>IF(AND(ISNUMBER(E703),ISNUMBER(F703)),ROUND(E703-F703,6),"")</f>
        <v/>
      </c>
      <c r="H703" s="25">
        <f>IF(A703="","",IFERROR(INDEX('자료_한국심리'!$N$3:$N$4002,MATCH(A703,$Y$19:$Y$4018,0)),H702))</f>
        <v/>
      </c>
      <c r="I703" s="31">
        <f>IF(AND(ISNUMBER(H703),ISNUMBER(H683)),IF(H683&gt;0,H703/H683-1,""),"")</f>
        <v/>
      </c>
      <c r="J703">
        <f>IF(A703="",0,IF(A703&gt;$B$5,1,0))</f>
        <v/>
      </c>
      <c r="K703" s="29">
        <f>IF(AND(J703=1,ISNUMBER(D703)),D703,"")</f>
        <v/>
      </c>
      <c r="L703" s="30">
        <f>IF(AND(J703=1,ISNUMBER(G703)),G703,"")</f>
        <v/>
      </c>
      <c r="M703" s="22">
        <f>IF(AND(J703=1,ISNUMBER(C703)),C703,"")</f>
        <v/>
      </c>
      <c r="N703" s="31">
        <f>IF(AND(J703=1,ISNUMBER(I703)),I703,"")</f>
        <v/>
      </c>
      <c r="O703" s="11">
        <f>IF(K703="","",100-IF($G$13=1,50,(_xlfn.RANK.AVG(K703,$K$19:$K$1518,1)-1)/($G$13-1)*100))</f>
        <v/>
      </c>
      <c r="P703" s="11">
        <f>IF(L703="","",100-IF($G$14=1,50,(_xlfn.RANK.AVG(L703,$L$19:$L$1518,1)-1)/($G$14-1)*100))</f>
        <v/>
      </c>
      <c r="Q703" s="11">
        <f>IF(M703="","",IF($G$15=1,50,(_xlfn.RANK.AVG(M703,$M$19:$M$1518,1)-1)/($G$15-1)*100))</f>
        <v/>
      </c>
      <c r="R703" s="11">
        <f>IF(N703="","",IF($G$16=1,50,(_xlfn.RANK.AVG(N703,$N$19:$N$1518,1)-1)/($G$16-1)*100))</f>
        <v/>
      </c>
      <c r="S703" s="11">
        <f>IF(COUNT(O703:R703)=4,ROUND(AVERAGE(O703:R703),6),"")</f>
        <v/>
      </c>
      <c r="U703">
        <f>IF(AND(ISNUMBER('자료_한국심리'!$A687),ISNUMBER('자료_한국심리'!$B687)),'자료_한국심리'!$A687,"")</f>
        <v/>
      </c>
      <c r="V703">
        <f>IF(AND(ISNUMBER('자료_한국심리'!$D687),ISNUMBER('자료_한국심리'!$E687)),'자료_한국심리'!$D687,"")</f>
        <v/>
      </c>
      <c r="W703">
        <f>IF(AND(ISNUMBER('자료_한국심리'!$G687),ISNUMBER('자료_한국심리'!$H687)),'자료_한국심리'!$G687,"")</f>
        <v/>
      </c>
      <c r="X703">
        <f>IF(AND(ISNUMBER('자료_한국심리'!$J687),ISNUMBER('자료_한국심리'!$K687)),'자료_한국심리'!$J687,"")</f>
        <v/>
      </c>
      <c r="Y703">
        <f>IF(AND(ISNUMBER('자료_한국심리'!$M687),ISNUMBER('자료_한국심리'!$N687)),'자료_한국심리'!$M687,"")</f>
        <v/>
      </c>
    </row>
    <row r="704">
      <c r="A704" s="10">
        <f>IF(686&gt;$E$5,"",SMALL($U$19:$U$4018,$E$6+686))</f>
        <v/>
      </c>
      <c r="B704" s="29">
        <f>IF(A704="","",INDEX('자료_한국심리'!$B$3:$B$4002,MATCH(A704,$U$19:$U$4018,0)))</f>
        <v/>
      </c>
      <c r="C704" s="22">
        <f>IF(A704="","",B704/AVERAGE(B580:B704)-1)</f>
        <v/>
      </c>
      <c r="D704" s="29">
        <f>IF(A704="","",IFERROR(INDEX('자료_한국심리'!$E$3:$E$4002,MATCH(A704,$V$19:$V$4018,0)),D703))</f>
        <v/>
      </c>
      <c r="E704" s="30">
        <f>IF(A704="","",IFERROR(INDEX('자료_한국심리'!$H$3:$H$4002,MATCH(A704,$W$19:$W$4018,0)),E703))</f>
        <v/>
      </c>
      <c r="F704" s="30">
        <f>IF(A704="","",IFERROR(INDEX('자료_한국심리'!$K$3:$K$4002,MATCH(A704,$X$19:$X$4018,0)),F703))</f>
        <v/>
      </c>
      <c r="G704" s="30">
        <f>IF(AND(ISNUMBER(E704),ISNUMBER(F704)),ROUND(E704-F704,6),"")</f>
        <v/>
      </c>
      <c r="H704" s="25">
        <f>IF(A704="","",IFERROR(INDEX('자료_한국심리'!$N$3:$N$4002,MATCH(A704,$Y$19:$Y$4018,0)),H703))</f>
        <v/>
      </c>
      <c r="I704" s="31">
        <f>IF(AND(ISNUMBER(H704),ISNUMBER(H684)),IF(H684&gt;0,H704/H684-1,""),"")</f>
        <v/>
      </c>
      <c r="J704">
        <f>IF(A704="",0,IF(A704&gt;$B$5,1,0))</f>
        <v/>
      </c>
      <c r="K704" s="29">
        <f>IF(AND(J704=1,ISNUMBER(D704)),D704,"")</f>
        <v/>
      </c>
      <c r="L704" s="30">
        <f>IF(AND(J704=1,ISNUMBER(G704)),G704,"")</f>
        <v/>
      </c>
      <c r="M704" s="22">
        <f>IF(AND(J704=1,ISNUMBER(C704)),C704,"")</f>
        <v/>
      </c>
      <c r="N704" s="31">
        <f>IF(AND(J704=1,ISNUMBER(I704)),I704,"")</f>
        <v/>
      </c>
      <c r="O704" s="11">
        <f>IF(K704="","",100-IF($G$13=1,50,(_xlfn.RANK.AVG(K704,$K$19:$K$1518,1)-1)/($G$13-1)*100))</f>
        <v/>
      </c>
      <c r="P704" s="11">
        <f>IF(L704="","",100-IF($G$14=1,50,(_xlfn.RANK.AVG(L704,$L$19:$L$1518,1)-1)/($G$14-1)*100))</f>
        <v/>
      </c>
      <c r="Q704" s="11">
        <f>IF(M704="","",IF($G$15=1,50,(_xlfn.RANK.AVG(M704,$M$19:$M$1518,1)-1)/($G$15-1)*100))</f>
        <v/>
      </c>
      <c r="R704" s="11">
        <f>IF(N704="","",IF($G$16=1,50,(_xlfn.RANK.AVG(N704,$N$19:$N$1518,1)-1)/($G$16-1)*100))</f>
        <v/>
      </c>
      <c r="S704" s="11">
        <f>IF(COUNT(O704:R704)=4,ROUND(AVERAGE(O704:R704),6),"")</f>
        <v/>
      </c>
      <c r="U704">
        <f>IF(AND(ISNUMBER('자료_한국심리'!$A688),ISNUMBER('자료_한국심리'!$B688)),'자료_한국심리'!$A688,"")</f>
        <v/>
      </c>
      <c r="V704">
        <f>IF(AND(ISNUMBER('자료_한국심리'!$D688),ISNUMBER('자료_한국심리'!$E688)),'자료_한국심리'!$D688,"")</f>
        <v/>
      </c>
      <c r="W704">
        <f>IF(AND(ISNUMBER('자료_한국심리'!$G688),ISNUMBER('자료_한국심리'!$H688)),'자료_한국심리'!$G688,"")</f>
        <v/>
      </c>
      <c r="X704">
        <f>IF(AND(ISNUMBER('자료_한국심리'!$J688),ISNUMBER('자료_한국심리'!$K688)),'자료_한국심리'!$J688,"")</f>
        <v/>
      </c>
      <c r="Y704">
        <f>IF(AND(ISNUMBER('자료_한국심리'!$M688),ISNUMBER('자료_한국심리'!$N688)),'자료_한국심리'!$M688,"")</f>
        <v/>
      </c>
    </row>
    <row r="705">
      <c r="A705" s="10">
        <f>IF(687&gt;$E$5,"",SMALL($U$19:$U$4018,$E$6+687))</f>
        <v/>
      </c>
      <c r="B705" s="29">
        <f>IF(A705="","",INDEX('자료_한국심리'!$B$3:$B$4002,MATCH(A705,$U$19:$U$4018,0)))</f>
        <v/>
      </c>
      <c r="C705" s="22">
        <f>IF(A705="","",B705/AVERAGE(B581:B705)-1)</f>
        <v/>
      </c>
      <c r="D705" s="29">
        <f>IF(A705="","",IFERROR(INDEX('자료_한국심리'!$E$3:$E$4002,MATCH(A705,$V$19:$V$4018,0)),D704))</f>
        <v/>
      </c>
      <c r="E705" s="30">
        <f>IF(A705="","",IFERROR(INDEX('자료_한국심리'!$H$3:$H$4002,MATCH(A705,$W$19:$W$4018,0)),E704))</f>
        <v/>
      </c>
      <c r="F705" s="30">
        <f>IF(A705="","",IFERROR(INDEX('자료_한국심리'!$K$3:$K$4002,MATCH(A705,$X$19:$X$4018,0)),F704))</f>
        <v/>
      </c>
      <c r="G705" s="30">
        <f>IF(AND(ISNUMBER(E705),ISNUMBER(F705)),ROUND(E705-F705,6),"")</f>
        <v/>
      </c>
      <c r="H705" s="25">
        <f>IF(A705="","",IFERROR(INDEX('자료_한국심리'!$N$3:$N$4002,MATCH(A705,$Y$19:$Y$4018,0)),H704))</f>
        <v/>
      </c>
      <c r="I705" s="31">
        <f>IF(AND(ISNUMBER(H705),ISNUMBER(H685)),IF(H685&gt;0,H705/H685-1,""),"")</f>
        <v/>
      </c>
      <c r="J705">
        <f>IF(A705="",0,IF(A705&gt;$B$5,1,0))</f>
        <v/>
      </c>
      <c r="K705" s="29">
        <f>IF(AND(J705=1,ISNUMBER(D705)),D705,"")</f>
        <v/>
      </c>
      <c r="L705" s="30">
        <f>IF(AND(J705=1,ISNUMBER(G705)),G705,"")</f>
        <v/>
      </c>
      <c r="M705" s="22">
        <f>IF(AND(J705=1,ISNUMBER(C705)),C705,"")</f>
        <v/>
      </c>
      <c r="N705" s="31">
        <f>IF(AND(J705=1,ISNUMBER(I705)),I705,"")</f>
        <v/>
      </c>
      <c r="O705" s="11">
        <f>IF(K705="","",100-IF($G$13=1,50,(_xlfn.RANK.AVG(K705,$K$19:$K$1518,1)-1)/($G$13-1)*100))</f>
        <v/>
      </c>
      <c r="P705" s="11">
        <f>IF(L705="","",100-IF($G$14=1,50,(_xlfn.RANK.AVG(L705,$L$19:$L$1518,1)-1)/($G$14-1)*100))</f>
        <v/>
      </c>
      <c r="Q705" s="11">
        <f>IF(M705="","",IF($G$15=1,50,(_xlfn.RANK.AVG(M705,$M$19:$M$1518,1)-1)/($G$15-1)*100))</f>
        <v/>
      </c>
      <c r="R705" s="11">
        <f>IF(N705="","",IF($G$16=1,50,(_xlfn.RANK.AVG(N705,$N$19:$N$1518,1)-1)/($G$16-1)*100))</f>
        <v/>
      </c>
      <c r="S705" s="11">
        <f>IF(COUNT(O705:R705)=4,ROUND(AVERAGE(O705:R705),6),"")</f>
        <v/>
      </c>
      <c r="U705">
        <f>IF(AND(ISNUMBER('자료_한국심리'!$A689),ISNUMBER('자료_한국심리'!$B689)),'자료_한국심리'!$A689,"")</f>
        <v/>
      </c>
      <c r="V705">
        <f>IF(AND(ISNUMBER('자료_한국심리'!$D689),ISNUMBER('자료_한국심리'!$E689)),'자료_한국심리'!$D689,"")</f>
        <v/>
      </c>
      <c r="W705">
        <f>IF(AND(ISNUMBER('자료_한국심리'!$G689),ISNUMBER('자료_한국심리'!$H689)),'자료_한국심리'!$G689,"")</f>
        <v/>
      </c>
      <c r="X705">
        <f>IF(AND(ISNUMBER('자료_한국심리'!$J689),ISNUMBER('자료_한국심리'!$K689)),'자료_한국심리'!$J689,"")</f>
        <v/>
      </c>
      <c r="Y705">
        <f>IF(AND(ISNUMBER('자료_한국심리'!$M689),ISNUMBER('자료_한국심리'!$N689)),'자료_한국심리'!$M689,"")</f>
        <v/>
      </c>
    </row>
    <row r="706">
      <c r="A706" s="10">
        <f>IF(688&gt;$E$5,"",SMALL($U$19:$U$4018,$E$6+688))</f>
        <v/>
      </c>
      <c r="B706" s="29">
        <f>IF(A706="","",INDEX('자료_한국심리'!$B$3:$B$4002,MATCH(A706,$U$19:$U$4018,0)))</f>
        <v/>
      </c>
      <c r="C706" s="22">
        <f>IF(A706="","",B706/AVERAGE(B582:B706)-1)</f>
        <v/>
      </c>
      <c r="D706" s="29">
        <f>IF(A706="","",IFERROR(INDEX('자료_한국심리'!$E$3:$E$4002,MATCH(A706,$V$19:$V$4018,0)),D705))</f>
        <v/>
      </c>
      <c r="E706" s="30">
        <f>IF(A706="","",IFERROR(INDEX('자료_한국심리'!$H$3:$H$4002,MATCH(A706,$W$19:$W$4018,0)),E705))</f>
        <v/>
      </c>
      <c r="F706" s="30">
        <f>IF(A706="","",IFERROR(INDEX('자료_한국심리'!$K$3:$K$4002,MATCH(A706,$X$19:$X$4018,0)),F705))</f>
        <v/>
      </c>
      <c r="G706" s="30">
        <f>IF(AND(ISNUMBER(E706),ISNUMBER(F706)),ROUND(E706-F706,6),"")</f>
        <v/>
      </c>
      <c r="H706" s="25">
        <f>IF(A706="","",IFERROR(INDEX('자료_한국심리'!$N$3:$N$4002,MATCH(A706,$Y$19:$Y$4018,0)),H705))</f>
        <v/>
      </c>
      <c r="I706" s="31">
        <f>IF(AND(ISNUMBER(H706),ISNUMBER(H686)),IF(H686&gt;0,H706/H686-1,""),"")</f>
        <v/>
      </c>
      <c r="J706">
        <f>IF(A706="",0,IF(A706&gt;$B$5,1,0))</f>
        <v/>
      </c>
      <c r="K706" s="29">
        <f>IF(AND(J706=1,ISNUMBER(D706)),D706,"")</f>
        <v/>
      </c>
      <c r="L706" s="30">
        <f>IF(AND(J706=1,ISNUMBER(G706)),G706,"")</f>
        <v/>
      </c>
      <c r="M706" s="22">
        <f>IF(AND(J706=1,ISNUMBER(C706)),C706,"")</f>
        <v/>
      </c>
      <c r="N706" s="31">
        <f>IF(AND(J706=1,ISNUMBER(I706)),I706,"")</f>
        <v/>
      </c>
      <c r="O706" s="11">
        <f>IF(K706="","",100-IF($G$13=1,50,(_xlfn.RANK.AVG(K706,$K$19:$K$1518,1)-1)/($G$13-1)*100))</f>
        <v/>
      </c>
      <c r="P706" s="11">
        <f>IF(L706="","",100-IF($G$14=1,50,(_xlfn.RANK.AVG(L706,$L$19:$L$1518,1)-1)/($G$14-1)*100))</f>
        <v/>
      </c>
      <c r="Q706" s="11">
        <f>IF(M706="","",IF($G$15=1,50,(_xlfn.RANK.AVG(M706,$M$19:$M$1518,1)-1)/($G$15-1)*100))</f>
        <v/>
      </c>
      <c r="R706" s="11">
        <f>IF(N706="","",IF($G$16=1,50,(_xlfn.RANK.AVG(N706,$N$19:$N$1518,1)-1)/($G$16-1)*100))</f>
        <v/>
      </c>
      <c r="S706" s="11">
        <f>IF(COUNT(O706:R706)=4,ROUND(AVERAGE(O706:R706),6),"")</f>
        <v/>
      </c>
      <c r="U706">
        <f>IF(AND(ISNUMBER('자료_한국심리'!$A690),ISNUMBER('자료_한국심리'!$B690)),'자료_한국심리'!$A690,"")</f>
        <v/>
      </c>
      <c r="V706">
        <f>IF(AND(ISNUMBER('자료_한국심리'!$D690),ISNUMBER('자료_한국심리'!$E690)),'자료_한국심리'!$D690,"")</f>
        <v/>
      </c>
      <c r="W706">
        <f>IF(AND(ISNUMBER('자료_한국심리'!$G690),ISNUMBER('자료_한국심리'!$H690)),'자료_한국심리'!$G690,"")</f>
        <v/>
      </c>
      <c r="X706">
        <f>IF(AND(ISNUMBER('자료_한국심리'!$J690),ISNUMBER('자료_한국심리'!$K690)),'자료_한국심리'!$J690,"")</f>
        <v/>
      </c>
      <c r="Y706">
        <f>IF(AND(ISNUMBER('자료_한국심리'!$M690),ISNUMBER('자료_한국심리'!$N690)),'자료_한국심리'!$M690,"")</f>
        <v/>
      </c>
    </row>
    <row r="707">
      <c r="A707" s="10">
        <f>IF(689&gt;$E$5,"",SMALL($U$19:$U$4018,$E$6+689))</f>
        <v/>
      </c>
      <c r="B707" s="29">
        <f>IF(A707="","",INDEX('자료_한국심리'!$B$3:$B$4002,MATCH(A707,$U$19:$U$4018,0)))</f>
        <v/>
      </c>
      <c r="C707" s="22">
        <f>IF(A707="","",B707/AVERAGE(B583:B707)-1)</f>
        <v/>
      </c>
      <c r="D707" s="29">
        <f>IF(A707="","",IFERROR(INDEX('자료_한국심리'!$E$3:$E$4002,MATCH(A707,$V$19:$V$4018,0)),D706))</f>
        <v/>
      </c>
      <c r="E707" s="30">
        <f>IF(A707="","",IFERROR(INDEX('자료_한국심리'!$H$3:$H$4002,MATCH(A707,$W$19:$W$4018,0)),E706))</f>
        <v/>
      </c>
      <c r="F707" s="30">
        <f>IF(A707="","",IFERROR(INDEX('자료_한국심리'!$K$3:$K$4002,MATCH(A707,$X$19:$X$4018,0)),F706))</f>
        <v/>
      </c>
      <c r="G707" s="30">
        <f>IF(AND(ISNUMBER(E707),ISNUMBER(F707)),ROUND(E707-F707,6),"")</f>
        <v/>
      </c>
      <c r="H707" s="25">
        <f>IF(A707="","",IFERROR(INDEX('자료_한국심리'!$N$3:$N$4002,MATCH(A707,$Y$19:$Y$4018,0)),H706))</f>
        <v/>
      </c>
      <c r="I707" s="31">
        <f>IF(AND(ISNUMBER(H707),ISNUMBER(H687)),IF(H687&gt;0,H707/H687-1,""),"")</f>
        <v/>
      </c>
      <c r="J707">
        <f>IF(A707="",0,IF(A707&gt;$B$5,1,0))</f>
        <v/>
      </c>
      <c r="K707" s="29">
        <f>IF(AND(J707=1,ISNUMBER(D707)),D707,"")</f>
        <v/>
      </c>
      <c r="L707" s="30">
        <f>IF(AND(J707=1,ISNUMBER(G707)),G707,"")</f>
        <v/>
      </c>
      <c r="M707" s="22">
        <f>IF(AND(J707=1,ISNUMBER(C707)),C707,"")</f>
        <v/>
      </c>
      <c r="N707" s="31">
        <f>IF(AND(J707=1,ISNUMBER(I707)),I707,"")</f>
        <v/>
      </c>
      <c r="O707" s="11">
        <f>IF(K707="","",100-IF($G$13=1,50,(_xlfn.RANK.AVG(K707,$K$19:$K$1518,1)-1)/($G$13-1)*100))</f>
        <v/>
      </c>
      <c r="P707" s="11">
        <f>IF(L707="","",100-IF($G$14=1,50,(_xlfn.RANK.AVG(L707,$L$19:$L$1518,1)-1)/($G$14-1)*100))</f>
        <v/>
      </c>
      <c r="Q707" s="11">
        <f>IF(M707="","",IF($G$15=1,50,(_xlfn.RANK.AVG(M707,$M$19:$M$1518,1)-1)/($G$15-1)*100))</f>
        <v/>
      </c>
      <c r="R707" s="11">
        <f>IF(N707="","",IF($G$16=1,50,(_xlfn.RANK.AVG(N707,$N$19:$N$1518,1)-1)/($G$16-1)*100))</f>
        <v/>
      </c>
      <c r="S707" s="11">
        <f>IF(COUNT(O707:R707)=4,ROUND(AVERAGE(O707:R707),6),"")</f>
        <v/>
      </c>
      <c r="U707">
        <f>IF(AND(ISNUMBER('자료_한국심리'!$A691),ISNUMBER('자료_한국심리'!$B691)),'자료_한국심리'!$A691,"")</f>
        <v/>
      </c>
      <c r="V707">
        <f>IF(AND(ISNUMBER('자료_한국심리'!$D691),ISNUMBER('자료_한국심리'!$E691)),'자료_한국심리'!$D691,"")</f>
        <v/>
      </c>
      <c r="W707">
        <f>IF(AND(ISNUMBER('자료_한국심리'!$G691),ISNUMBER('자료_한국심리'!$H691)),'자료_한국심리'!$G691,"")</f>
        <v/>
      </c>
      <c r="X707">
        <f>IF(AND(ISNUMBER('자료_한국심리'!$J691),ISNUMBER('자료_한국심리'!$K691)),'자료_한국심리'!$J691,"")</f>
        <v/>
      </c>
      <c r="Y707">
        <f>IF(AND(ISNUMBER('자료_한국심리'!$M691),ISNUMBER('자료_한국심리'!$N691)),'자료_한국심리'!$M691,"")</f>
        <v/>
      </c>
    </row>
    <row r="708">
      <c r="A708" s="10">
        <f>IF(690&gt;$E$5,"",SMALL($U$19:$U$4018,$E$6+690))</f>
        <v/>
      </c>
      <c r="B708" s="29">
        <f>IF(A708="","",INDEX('자료_한국심리'!$B$3:$B$4002,MATCH(A708,$U$19:$U$4018,0)))</f>
        <v/>
      </c>
      <c r="C708" s="22">
        <f>IF(A708="","",B708/AVERAGE(B584:B708)-1)</f>
        <v/>
      </c>
      <c r="D708" s="29">
        <f>IF(A708="","",IFERROR(INDEX('자료_한국심리'!$E$3:$E$4002,MATCH(A708,$V$19:$V$4018,0)),D707))</f>
        <v/>
      </c>
      <c r="E708" s="30">
        <f>IF(A708="","",IFERROR(INDEX('자료_한국심리'!$H$3:$H$4002,MATCH(A708,$W$19:$W$4018,0)),E707))</f>
        <v/>
      </c>
      <c r="F708" s="30">
        <f>IF(A708="","",IFERROR(INDEX('자료_한국심리'!$K$3:$K$4002,MATCH(A708,$X$19:$X$4018,0)),F707))</f>
        <v/>
      </c>
      <c r="G708" s="30">
        <f>IF(AND(ISNUMBER(E708),ISNUMBER(F708)),ROUND(E708-F708,6),"")</f>
        <v/>
      </c>
      <c r="H708" s="25">
        <f>IF(A708="","",IFERROR(INDEX('자료_한국심리'!$N$3:$N$4002,MATCH(A708,$Y$19:$Y$4018,0)),H707))</f>
        <v/>
      </c>
      <c r="I708" s="31">
        <f>IF(AND(ISNUMBER(H708),ISNUMBER(H688)),IF(H688&gt;0,H708/H688-1,""),"")</f>
        <v/>
      </c>
      <c r="J708">
        <f>IF(A708="",0,IF(A708&gt;$B$5,1,0))</f>
        <v/>
      </c>
      <c r="K708" s="29">
        <f>IF(AND(J708=1,ISNUMBER(D708)),D708,"")</f>
        <v/>
      </c>
      <c r="L708" s="30">
        <f>IF(AND(J708=1,ISNUMBER(G708)),G708,"")</f>
        <v/>
      </c>
      <c r="M708" s="22">
        <f>IF(AND(J708=1,ISNUMBER(C708)),C708,"")</f>
        <v/>
      </c>
      <c r="N708" s="31">
        <f>IF(AND(J708=1,ISNUMBER(I708)),I708,"")</f>
        <v/>
      </c>
      <c r="O708" s="11">
        <f>IF(K708="","",100-IF($G$13=1,50,(_xlfn.RANK.AVG(K708,$K$19:$K$1518,1)-1)/($G$13-1)*100))</f>
        <v/>
      </c>
      <c r="P708" s="11">
        <f>IF(L708="","",100-IF($G$14=1,50,(_xlfn.RANK.AVG(L708,$L$19:$L$1518,1)-1)/($G$14-1)*100))</f>
        <v/>
      </c>
      <c r="Q708" s="11">
        <f>IF(M708="","",IF($G$15=1,50,(_xlfn.RANK.AVG(M708,$M$19:$M$1518,1)-1)/($G$15-1)*100))</f>
        <v/>
      </c>
      <c r="R708" s="11">
        <f>IF(N708="","",IF($G$16=1,50,(_xlfn.RANK.AVG(N708,$N$19:$N$1518,1)-1)/($G$16-1)*100))</f>
        <v/>
      </c>
      <c r="S708" s="11">
        <f>IF(COUNT(O708:R708)=4,ROUND(AVERAGE(O708:R708),6),"")</f>
        <v/>
      </c>
      <c r="U708">
        <f>IF(AND(ISNUMBER('자료_한국심리'!$A692),ISNUMBER('자료_한국심리'!$B692)),'자료_한국심리'!$A692,"")</f>
        <v/>
      </c>
      <c r="V708">
        <f>IF(AND(ISNUMBER('자료_한국심리'!$D692),ISNUMBER('자료_한국심리'!$E692)),'자료_한국심리'!$D692,"")</f>
        <v/>
      </c>
      <c r="W708">
        <f>IF(AND(ISNUMBER('자료_한국심리'!$G692),ISNUMBER('자료_한국심리'!$H692)),'자료_한국심리'!$G692,"")</f>
        <v/>
      </c>
      <c r="X708">
        <f>IF(AND(ISNUMBER('자료_한국심리'!$J692),ISNUMBER('자료_한국심리'!$K692)),'자료_한국심리'!$J692,"")</f>
        <v/>
      </c>
      <c r="Y708">
        <f>IF(AND(ISNUMBER('자료_한국심리'!$M692),ISNUMBER('자료_한국심리'!$N692)),'자료_한국심리'!$M692,"")</f>
        <v/>
      </c>
    </row>
    <row r="709">
      <c r="A709" s="10">
        <f>IF(691&gt;$E$5,"",SMALL($U$19:$U$4018,$E$6+691))</f>
        <v/>
      </c>
      <c r="B709" s="29">
        <f>IF(A709="","",INDEX('자료_한국심리'!$B$3:$B$4002,MATCH(A709,$U$19:$U$4018,0)))</f>
        <v/>
      </c>
      <c r="C709" s="22">
        <f>IF(A709="","",B709/AVERAGE(B585:B709)-1)</f>
        <v/>
      </c>
      <c r="D709" s="29">
        <f>IF(A709="","",IFERROR(INDEX('자료_한국심리'!$E$3:$E$4002,MATCH(A709,$V$19:$V$4018,0)),D708))</f>
        <v/>
      </c>
      <c r="E709" s="30">
        <f>IF(A709="","",IFERROR(INDEX('자료_한국심리'!$H$3:$H$4002,MATCH(A709,$W$19:$W$4018,0)),E708))</f>
        <v/>
      </c>
      <c r="F709" s="30">
        <f>IF(A709="","",IFERROR(INDEX('자료_한국심리'!$K$3:$K$4002,MATCH(A709,$X$19:$X$4018,0)),F708))</f>
        <v/>
      </c>
      <c r="G709" s="30">
        <f>IF(AND(ISNUMBER(E709),ISNUMBER(F709)),ROUND(E709-F709,6),"")</f>
        <v/>
      </c>
      <c r="H709" s="25">
        <f>IF(A709="","",IFERROR(INDEX('자료_한국심리'!$N$3:$N$4002,MATCH(A709,$Y$19:$Y$4018,0)),H708))</f>
        <v/>
      </c>
      <c r="I709" s="31">
        <f>IF(AND(ISNUMBER(H709),ISNUMBER(H689)),IF(H689&gt;0,H709/H689-1,""),"")</f>
        <v/>
      </c>
      <c r="J709">
        <f>IF(A709="",0,IF(A709&gt;$B$5,1,0))</f>
        <v/>
      </c>
      <c r="K709" s="29">
        <f>IF(AND(J709=1,ISNUMBER(D709)),D709,"")</f>
        <v/>
      </c>
      <c r="L709" s="30">
        <f>IF(AND(J709=1,ISNUMBER(G709)),G709,"")</f>
        <v/>
      </c>
      <c r="M709" s="22">
        <f>IF(AND(J709=1,ISNUMBER(C709)),C709,"")</f>
        <v/>
      </c>
      <c r="N709" s="31">
        <f>IF(AND(J709=1,ISNUMBER(I709)),I709,"")</f>
        <v/>
      </c>
      <c r="O709" s="11">
        <f>IF(K709="","",100-IF($G$13=1,50,(_xlfn.RANK.AVG(K709,$K$19:$K$1518,1)-1)/($G$13-1)*100))</f>
        <v/>
      </c>
      <c r="P709" s="11">
        <f>IF(L709="","",100-IF($G$14=1,50,(_xlfn.RANK.AVG(L709,$L$19:$L$1518,1)-1)/($G$14-1)*100))</f>
        <v/>
      </c>
      <c r="Q709" s="11">
        <f>IF(M709="","",IF($G$15=1,50,(_xlfn.RANK.AVG(M709,$M$19:$M$1518,1)-1)/($G$15-1)*100))</f>
        <v/>
      </c>
      <c r="R709" s="11">
        <f>IF(N709="","",IF($G$16=1,50,(_xlfn.RANK.AVG(N709,$N$19:$N$1518,1)-1)/($G$16-1)*100))</f>
        <v/>
      </c>
      <c r="S709" s="11">
        <f>IF(COUNT(O709:R709)=4,ROUND(AVERAGE(O709:R709),6),"")</f>
        <v/>
      </c>
      <c r="U709">
        <f>IF(AND(ISNUMBER('자료_한국심리'!$A693),ISNUMBER('자료_한국심리'!$B693)),'자료_한국심리'!$A693,"")</f>
        <v/>
      </c>
      <c r="V709">
        <f>IF(AND(ISNUMBER('자료_한국심리'!$D693),ISNUMBER('자료_한국심리'!$E693)),'자료_한국심리'!$D693,"")</f>
        <v/>
      </c>
      <c r="W709">
        <f>IF(AND(ISNUMBER('자료_한국심리'!$G693),ISNUMBER('자료_한국심리'!$H693)),'자료_한국심리'!$G693,"")</f>
        <v/>
      </c>
      <c r="X709">
        <f>IF(AND(ISNUMBER('자료_한국심리'!$J693),ISNUMBER('자료_한국심리'!$K693)),'자료_한국심리'!$J693,"")</f>
        <v/>
      </c>
      <c r="Y709">
        <f>IF(AND(ISNUMBER('자료_한국심리'!$M693),ISNUMBER('자료_한국심리'!$N693)),'자료_한국심리'!$M693,"")</f>
        <v/>
      </c>
    </row>
    <row r="710">
      <c r="A710" s="10">
        <f>IF(692&gt;$E$5,"",SMALL($U$19:$U$4018,$E$6+692))</f>
        <v/>
      </c>
      <c r="B710" s="29">
        <f>IF(A710="","",INDEX('자료_한국심리'!$B$3:$B$4002,MATCH(A710,$U$19:$U$4018,0)))</f>
        <v/>
      </c>
      <c r="C710" s="22">
        <f>IF(A710="","",B710/AVERAGE(B586:B710)-1)</f>
        <v/>
      </c>
      <c r="D710" s="29">
        <f>IF(A710="","",IFERROR(INDEX('자료_한국심리'!$E$3:$E$4002,MATCH(A710,$V$19:$V$4018,0)),D709))</f>
        <v/>
      </c>
      <c r="E710" s="30">
        <f>IF(A710="","",IFERROR(INDEX('자료_한국심리'!$H$3:$H$4002,MATCH(A710,$W$19:$W$4018,0)),E709))</f>
        <v/>
      </c>
      <c r="F710" s="30">
        <f>IF(A710="","",IFERROR(INDEX('자료_한국심리'!$K$3:$K$4002,MATCH(A710,$X$19:$X$4018,0)),F709))</f>
        <v/>
      </c>
      <c r="G710" s="30">
        <f>IF(AND(ISNUMBER(E710),ISNUMBER(F710)),ROUND(E710-F710,6),"")</f>
        <v/>
      </c>
      <c r="H710" s="25">
        <f>IF(A710="","",IFERROR(INDEX('자료_한국심리'!$N$3:$N$4002,MATCH(A710,$Y$19:$Y$4018,0)),H709))</f>
        <v/>
      </c>
      <c r="I710" s="31">
        <f>IF(AND(ISNUMBER(H710),ISNUMBER(H690)),IF(H690&gt;0,H710/H690-1,""),"")</f>
        <v/>
      </c>
      <c r="J710">
        <f>IF(A710="",0,IF(A710&gt;$B$5,1,0))</f>
        <v/>
      </c>
      <c r="K710" s="29">
        <f>IF(AND(J710=1,ISNUMBER(D710)),D710,"")</f>
        <v/>
      </c>
      <c r="L710" s="30">
        <f>IF(AND(J710=1,ISNUMBER(G710)),G710,"")</f>
        <v/>
      </c>
      <c r="M710" s="22">
        <f>IF(AND(J710=1,ISNUMBER(C710)),C710,"")</f>
        <v/>
      </c>
      <c r="N710" s="31">
        <f>IF(AND(J710=1,ISNUMBER(I710)),I710,"")</f>
        <v/>
      </c>
      <c r="O710" s="11">
        <f>IF(K710="","",100-IF($G$13=1,50,(_xlfn.RANK.AVG(K710,$K$19:$K$1518,1)-1)/($G$13-1)*100))</f>
        <v/>
      </c>
      <c r="P710" s="11">
        <f>IF(L710="","",100-IF($G$14=1,50,(_xlfn.RANK.AVG(L710,$L$19:$L$1518,1)-1)/($G$14-1)*100))</f>
        <v/>
      </c>
      <c r="Q710" s="11">
        <f>IF(M710="","",IF($G$15=1,50,(_xlfn.RANK.AVG(M710,$M$19:$M$1518,1)-1)/($G$15-1)*100))</f>
        <v/>
      </c>
      <c r="R710" s="11">
        <f>IF(N710="","",IF($G$16=1,50,(_xlfn.RANK.AVG(N710,$N$19:$N$1518,1)-1)/($G$16-1)*100))</f>
        <v/>
      </c>
      <c r="S710" s="11">
        <f>IF(COUNT(O710:R710)=4,ROUND(AVERAGE(O710:R710),6),"")</f>
        <v/>
      </c>
      <c r="U710">
        <f>IF(AND(ISNUMBER('자료_한국심리'!$A694),ISNUMBER('자료_한국심리'!$B694)),'자료_한국심리'!$A694,"")</f>
        <v/>
      </c>
      <c r="V710">
        <f>IF(AND(ISNUMBER('자료_한국심리'!$D694),ISNUMBER('자료_한국심리'!$E694)),'자료_한국심리'!$D694,"")</f>
        <v/>
      </c>
      <c r="W710">
        <f>IF(AND(ISNUMBER('자료_한국심리'!$G694),ISNUMBER('자료_한국심리'!$H694)),'자료_한국심리'!$G694,"")</f>
        <v/>
      </c>
      <c r="X710">
        <f>IF(AND(ISNUMBER('자료_한국심리'!$J694),ISNUMBER('자료_한국심리'!$K694)),'자료_한국심리'!$J694,"")</f>
        <v/>
      </c>
      <c r="Y710">
        <f>IF(AND(ISNUMBER('자료_한국심리'!$M694),ISNUMBER('자료_한국심리'!$N694)),'자료_한국심리'!$M694,"")</f>
        <v/>
      </c>
    </row>
    <row r="711">
      <c r="A711" s="10">
        <f>IF(693&gt;$E$5,"",SMALL($U$19:$U$4018,$E$6+693))</f>
        <v/>
      </c>
      <c r="B711" s="29">
        <f>IF(A711="","",INDEX('자료_한국심리'!$B$3:$B$4002,MATCH(A711,$U$19:$U$4018,0)))</f>
        <v/>
      </c>
      <c r="C711" s="22">
        <f>IF(A711="","",B711/AVERAGE(B587:B711)-1)</f>
        <v/>
      </c>
      <c r="D711" s="29">
        <f>IF(A711="","",IFERROR(INDEX('자료_한국심리'!$E$3:$E$4002,MATCH(A711,$V$19:$V$4018,0)),D710))</f>
        <v/>
      </c>
      <c r="E711" s="30">
        <f>IF(A711="","",IFERROR(INDEX('자료_한국심리'!$H$3:$H$4002,MATCH(A711,$W$19:$W$4018,0)),E710))</f>
        <v/>
      </c>
      <c r="F711" s="30">
        <f>IF(A711="","",IFERROR(INDEX('자료_한국심리'!$K$3:$K$4002,MATCH(A711,$X$19:$X$4018,0)),F710))</f>
        <v/>
      </c>
      <c r="G711" s="30">
        <f>IF(AND(ISNUMBER(E711),ISNUMBER(F711)),ROUND(E711-F711,6),"")</f>
        <v/>
      </c>
      <c r="H711" s="25">
        <f>IF(A711="","",IFERROR(INDEX('자료_한국심리'!$N$3:$N$4002,MATCH(A711,$Y$19:$Y$4018,0)),H710))</f>
        <v/>
      </c>
      <c r="I711" s="31">
        <f>IF(AND(ISNUMBER(H711),ISNUMBER(H691)),IF(H691&gt;0,H711/H691-1,""),"")</f>
        <v/>
      </c>
      <c r="J711">
        <f>IF(A711="",0,IF(A711&gt;$B$5,1,0))</f>
        <v/>
      </c>
      <c r="K711" s="29">
        <f>IF(AND(J711=1,ISNUMBER(D711)),D711,"")</f>
        <v/>
      </c>
      <c r="L711" s="30">
        <f>IF(AND(J711=1,ISNUMBER(G711)),G711,"")</f>
        <v/>
      </c>
      <c r="M711" s="22">
        <f>IF(AND(J711=1,ISNUMBER(C711)),C711,"")</f>
        <v/>
      </c>
      <c r="N711" s="31">
        <f>IF(AND(J711=1,ISNUMBER(I711)),I711,"")</f>
        <v/>
      </c>
      <c r="O711" s="11">
        <f>IF(K711="","",100-IF($G$13=1,50,(_xlfn.RANK.AVG(K711,$K$19:$K$1518,1)-1)/($G$13-1)*100))</f>
        <v/>
      </c>
      <c r="P711" s="11">
        <f>IF(L711="","",100-IF($G$14=1,50,(_xlfn.RANK.AVG(L711,$L$19:$L$1518,1)-1)/($G$14-1)*100))</f>
        <v/>
      </c>
      <c r="Q711" s="11">
        <f>IF(M711="","",IF($G$15=1,50,(_xlfn.RANK.AVG(M711,$M$19:$M$1518,1)-1)/($G$15-1)*100))</f>
        <v/>
      </c>
      <c r="R711" s="11">
        <f>IF(N711="","",IF($G$16=1,50,(_xlfn.RANK.AVG(N711,$N$19:$N$1518,1)-1)/($G$16-1)*100))</f>
        <v/>
      </c>
      <c r="S711" s="11">
        <f>IF(COUNT(O711:R711)=4,ROUND(AVERAGE(O711:R711),6),"")</f>
        <v/>
      </c>
      <c r="U711">
        <f>IF(AND(ISNUMBER('자료_한국심리'!$A695),ISNUMBER('자료_한국심리'!$B695)),'자료_한국심리'!$A695,"")</f>
        <v/>
      </c>
      <c r="V711">
        <f>IF(AND(ISNUMBER('자료_한국심리'!$D695),ISNUMBER('자료_한국심리'!$E695)),'자료_한국심리'!$D695,"")</f>
        <v/>
      </c>
      <c r="W711">
        <f>IF(AND(ISNUMBER('자료_한국심리'!$G695),ISNUMBER('자료_한국심리'!$H695)),'자료_한국심리'!$G695,"")</f>
        <v/>
      </c>
      <c r="X711">
        <f>IF(AND(ISNUMBER('자료_한국심리'!$J695),ISNUMBER('자료_한국심리'!$K695)),'자료_한국심리'!$J695,"")</f>
        <v/>
      </c>
      <c r="Y711">
        <f>IF(AND(ISNUMBER('자료_한국심리'!$M695),ISNUMBER('자료_한국심리'!$N695)),'자료_한국심리'!$M695,"")</f>
        <v/>
      </c>
    </row>
    <row r="712">
      <c r="A712" s="10">
        <f>IF(694&gt;$E$5,"",SMALL($U$19:$U$4018,$E$6+694))</f>
        <v/>
      </c>
      <c r="B712" s="29">
        <f>IF(A712="","",INDEX('자료_한국심리'!$B$3:$B$4002,MATCH(A712,$U$19:$U$4018,0)))</f>
        <v/>
      </c>
      <c r="C712" s="22">
        <f>IF(A712="","",B712/AVERAGE(B588:B712)-1)</f>
        <v/>
      </c>
      <c r="D712" s="29">
        <f>IF(A712="","",IFERROR(INDEX('자료_한국심리'!$E$3:$E$4002,MATCH(A712,$V$19:$V$4018,0)),D711))</f>
        <v/>
      </c>
      <c r="E712" s="30">
        <f>IF(A712="","",IFERROR(INDEX('자료_한국심리'!$H$3:$H$4002,MATCH(A712,$W$19:$W$4018,0)),E711))</f>
        <v/>
      </c>
      <c r="F712" s="30">
        <f>IF(A712="","",IFERROR(INDEX('자료_한국심리'!$K$3:$K$4002,MATCH(A712,$X$19:$X$4018,0)),F711))</f>
        <v/>
      </c>
      <c r="G712" s="30">
        <f>IF(AND(ISNUMBER(E712),ISNUMBER(F712)),ROUND(E712-F712,6),"")</f>
        <v/>
      </c>
      <c r="H712" s="25">
        <f>IF(A712="","",IFERROR(INDEX('자료_한국심리'!$N$3:$N$4002,MATCH(A712,$Y$19:$Y$4018,0)),H711))</f>
        <v/>
      </c>
      <c r="I712" s="31">
        <f>IF(AND(ISNUMBER(H712),ISNUMBER(H692)),IF(H692&gt;0,H712/H692-1,""),"")</f>
        <v/>
      </c>
      <c r="J712">
        <f>IF(A712="",0,IF(A712&gt;$B$5,1,0))</f>
        <v/>
      </c>
      <c r="K712" s="29">
        <f>IF(AND(J712=1,ISNUMBER(D712)),D712,"")</f>
        <v/>
      </c>
      <c r="L712" s="30">
        <f>IF(AND(J712=1,ISNUMBER(G712)),G712,"")</f>
        <v/>
      </c>
      <c r="M712" s="22">
        <f>IF(AND(J712=1,ISNUMBER(C712)),C712,"")</f>
        <v/>
      </c>
      <c r="N712" s="31">
        <f>IF(AND(J712=1,ISNUMBER(I712)),I712,"")</f>
        <v/>
      </c>
      <c r="O712" s="11">
        <f>IF(K712="","",100-IF($G$13=1,50,(_xlfn.RANK.AVG(K712,$K$19:$K$1518,1)-1)/($G$13-1)*100))</f>
        <v/>
      </c>
      <c r="P712" s="11">
        <f>IF(L712="","",100-IF($G$14=1,50,(_xlfn.RANK.AVG(L712,$L$19:$L$1518,1)-1)/($G$14-1)*100))</f>
        <v/>
      </c>
      <c r="Q712" s="11">
        <f>IF(M712="","",IF($G$15=1,50,(_xlfn.RANK.AVG(M712,$M$19:$M$1518,1)-1)/($G$15-1)*100))</f>
        <v/>
      </c>
      <c r="R712" s="11">
        <f>IF(N712="","",IF($G$16=1,50,(_xlfn.RANK.AVG(N712,$N$19:$N$1518,1)-1)/($G$16-1)*100))</f>
        <v/>
      </c>
      <c r="S712" s="11">
        <f>IF(COUNT(O712:R712)=4,ROUND(AVERAGE(O712:R712),6),"")</f>
        <v/>
      </c>
      <c r="U712">
        <f>IF(AND(ISNUMBER('자료_한국심리'!$A696),ISNUMBER('자료_한국심리'!$B696)),'자료_한국심리'!$A696,"")</f>
        <v/>
      </c>
      <c r="V712">
        <f>IF(AND(ISNUMBER('자료_한국심리'!$D696),ISNUMBER('자료_한국심리'!$E696)),'자료_한국심리'!$D696,"")</f>
        <v/>
      </c>
      <c r="W712">
        <f>IF(AND(ISNUMBER('자료_한국심리'!$G696),ISNUMBER('자료_한국심리'!$H696)),'자료_한국심리'!$G696,"")</f>
        <v/>
      </c>
      <c r="X712">
        <f>IF(AND(ISNUMBER('자료_한국심리'!$J696),ISNUMBER('자료_한국심리'!$K696)),'자료_한국심리'!$J696,"")</f>
        <v/>
      </c>
      <c r="Y712">
        <f>IF(AND(ISNUMBER('자료_한국심리'!$M696),ISNUMBER('자료_한국심리'!$N696)),'자료_한국심리'!$M696,"")</f>
        <v/>
      </c>
    </row>
    <row r="713">
      <c r="A713" s="10">
        <f>IF(695&gt;$E$5,"",SMALL($U$19:$U$4018,$E$6+695))</f>
        <v/>
      </c>
      <c r="B713" s="29">
        <f>IF(A713="","",INDEX('자료_한국심리'!$B$3:$B$4002,MATCH(A713,$U$19:$U$4018,0)))</f>
        <v/>
      </c>
      <c r="C713" s="22">
        <f>IF(A713="","",B713/AVERAGE(B589:B713)-1)</f>
        <v/>
      </c>
      <c r="D713" s="29">
        <f>IF(A713="","",IFERROR(INDEX('자료_한국심리'!$E$3:$E$4002,MATCH(A713,$V$19:$V$4018,0)),D712))</f>
        <v/>
      </c>
      <c r="E713" s="30">
        <f>IF(A713="","",IFERROR(INDEX('자료_한국심리'!$H$3:$H$4002,MATCH(A713,$W$19:$W$4018,0)),E712))</f>
        <v/>
      </c>
      <c r="F713" s="30">
        <f>IF(A713="","",IFERROR(INDEX('자료_한국심리'!$K$3:$K$4002,MATCH(A713,$X$19:$X$4018,0)),F712))</f>
        <v/>
      </c>
      <c r="G713" s="30">
        <f>IF(AND(ISNUMBER(E713),ISNUMBER(F713)),ROUND(E713-F713,6),"")</f>
        <v/>
      </c>
      <c r="H713" s="25">
        <f>IF(A713="","",IFERROR(INDEX('자료_한국심리'!$N$3:$N$4002,MATCH(A713,$Y$19:$Y$4018,0)),H712))</f>
        <v/>
      </c>
      <c r="I713" s="31">
        <f>IF(AND(ISNUMBER(H713),ISNUMBER(H693)),IF(H693&gt;0,H713/H693-1,""),"")</f>
        <v/>
      </c>
      <c r="J713">
        <f>IF(A713="",0,IF(A713&gt;$B$5,1,0))</f>
        <v/>
      </c>
      <c r="K713" s="29">
        <f>IF(AND(J713=1,ISNUMBER(D713)),D713,"")</f>
        <v/>
      </c>
      <c r="L713" s="30">
        <f>IF(AND(J713=1,ISNUMBER(G713)),G713,"")</f>
        <v/>
      </c>
      <c r="M713" s="22">
        <f>IF(AND(J713=1,ISNUMBER(C713)),C713,"")</f>
        <v/>
      </c>
      <c r="N713" s="31">
        <f>IF(AND(J713=1,ISNUMBER(I713)),I713,"")</f>
        <v/>
      </c>
      <c r="O713" s="11">
        <f>IF(K713="","",100-IF($G$13=1,50,(_xlfn.RANK.AVG(K713,$K$19:$K$1518,1)-1)/($G$13-1)*100))</f>
        <v/>
      </c>
      <c r="P713" s="11">
        <f>IF(L713="","",100-IF($G$14=1,50,(_xlfn.RANK.AVG(L713,$L$19:$L$1518,1)-1)/($G$14-1)*100))</f>
        <v/>
      </c>
      <c r="Q713" s="11">
        <f>IF(M713="","",IF($G$15=1,50,(_xlfn.RANK.AVG(M713,$M$19:$M$1518,1)-1)/($G$15-1)*100))</f>
        <v/>
      </c>
      <c r="R713" s="11">
        <f>IF(N713="","",IF($G$16=1,50,(_xlfn.RANK.AVG(N713,$N$19:$N$1518,1)-1)/($G$16-1)*100))</f>
        <v/>
      </c>
      <c r="S713" s="11">
        <f>IF(COUNT(O713:R713)=4,ROUND(AVERAGE(O713:R713),6),"")</f>
        <v/>
      </c>
      <c r="U713">
        <f>IF(AND(ISNUMBER('자료_한국심리'!$A697),ISNUMBER('자료_한국심리'!$B697)),'자료_한국심리'!$A697,"")</f>
        <v/>
      </c>
      <c r="V713">
        <f>IF(AND(ISNUMBER('자료_한국심리'!$D697),ISNUMBER('자료_한국심리'!$E697)),'자료_한국심리'!$D697,"")</f>
        <v/>
      </c>
      <c r="W713">
        <f>IF(AND(ISNUMBER('자료_한국심리'!$G697),ISNUMBER('자료_한국심리'!$H697)),'자료_한국심리'!$G697,"")</f>
        <v/>
      </c>
      <c r="X713">
        <f>IF(AND(ISNUMBER('자료_한국심리'!$J697),ISNUMBER('자료_한국심리'!$K697)),'자료_한국심리'!$J697,"")</f>
        <v/>
      </c>
      <c r="Y713">
        <f>IF(AND(ISNUMBER('자료_한국심리'!$M697),ISNUMBER('자료_한국심리'!$N697)),'자료_한국심리'!$M697,"")</f>
        <v/>
      </c>
    </row>
    <row r="714">
      <c r="A714" s="10">
        <f>IF(696&gt;$E$5,"",SMALL($U$19:$U$4018,$E$6+696))</f>
        <v/>
      </c>
      <c r="B714" s="29">
        <f>IF(A714="","",INDEX('자료_한국심리'!$B$3:$B$4002,MATCH(A714,$U$19:$U$4018,0)))</f>
        <v/>
      </c>
      <c r="C714" s="22">
        <f>IF(A714="","",B714/AVERAGE(B590:B714)-1)</f>
        <v/>
      </c>
      <c r="D714" s="29">
        <f>IF(A714="","",IFERROR(INDEX('자료_한국심리'!$E$3:$E$4002,MATCH(A714,$V$19:$V$4018,0)),D713))</f>
        <v/>
      </c>
      <c r="E714" s="30">
        <f>IF(A714="","",IFERROR(INDEX('자료_한국심리'!$H$3:$H$4002,MATCH(A714,$W$19:$W$4018,0)),E713))</f>
        <v/>
      </c>
      <c r="F714" s="30">
        <f>IF(A714="","",IFERROR(INDEX('자료_한국심리'!$K$3:$K$4002,MATCH(A714,$X$19:$X$4018,0)),F713))</f>
        <v/>
      </c>
      <c r="G714" s="30">
        <f>IF(AND(ISNUMBER(E714),ISNUMBER(F714)),ROUND(E714-F714,6),"")</f>
        <v/>
      </c>
      <c r="H714" s="25">
        <f>IF(A714="","",IFERROR(INDEX('자료_한국심리'!$N$3:$N$4002,MATCH(A714,$Y$19:$Y$4018,0)),H713))</f>
        <v/>
      </c>
      <c r="I714" s="31">
        <f>IF(AND(ISNUMBER(H714),ISNUMBER(H694)),IF(H694&gt;0,H714/H694-1,""),"")</f>
        <v/>
      </c>
      <c r="J714">
        <f>IF(A714="",0,IF(A714&gt;$B$5,1,0))</f>
        <v/>
      </c>
      <c r="K714" s="29">
        <f>IF(AND(J714=1,ISNUMBER(D714)),D714,"")</f>
        <v/>
      </c>
      <c r="L714" s="30">
        <f>IF(AND(J714=1,ISNUMBER(G714)),G714,"")</f>
        <v/>
      </c>
      <c r="M714" s="22">
        <f>IF(AND(J714=1,ISNUMBER(C714)),C714,"")</f>
        <v/>
      </c>
      <c r="N714" s="31">
        <f>IF(AND(J714=1,ISNUMBER(I714)),I714,"")</f>
        <v/>
      </c>
      <c r="O714" s="11">
        <f>IF(K714="","",100-IF($G$13=1,50,(_xlfn.RANK.AVG(K714,$K$19:$K$1518,1)-1)/($G$13-1)*100))</f>
        <v/>
      </c>
      <c r="P714" s="11">
        <f>IF(L714="","",100-IF($G$14=1,50,(_xlfn.RANK.AVG(L714,$L$19:$L$1518,1)-1)/($G$14-1)*100))</f>
        <v/>
      </c>
      <c r="Q714" s="11">
        <f>IF(M714="","",IF($G$15=1,50,(_xlfn.RANK.AVG(M714,$M$19:$M$1518,1)-1)/($G$15-1)*100))</f>
        <v/>
      </c>
      <c r="R714" s="11">
        <f>IF(N714="","",IF($G$16=1,50,(_xlfn.RANK.AVG(N714,$N$19:$N$1518,1)-1)/($G$16-1)*100))</f>
        <v/>
      </c>
      <c r="S714" s="11">
        <f>IF(COUNT(O714:R714)=4,ROUND(AVERAGE(O714:R714),6),"")</f>
        <v/>
      </c>
      <c r="U714">
        <f>IF(AND(ISNUMBER('자료_한국심리'!$A698),ISNUMBER('자료_한국심리'!$B698)),'자료_한국심리'!$A698,"")</f>
        <v/>
      </c>
      <c r="V714">
        <f>IF(AND(ISNUMBER('자료_한국심리'!$D698),ISNUMBER('자료_한국심리'!$E698)),'자료_한국심리'!$D698,"")</f>
        <v/>
      </c>
      <c r="W714">
        <f>IF(AND(ISNUMBER('자료_한국심리'!$G698),ISNUMBER('자료_한국심리'!$H698)),'자료_한국심리'!$G698,"")</f>
        <v/>
      </c>
      <c r="X714">
        <f>IF(AND(ISNUMBER('자료_한국심리'!$J698),ISNUMBER('자료_한국심리'!$K698)),'자료_한국심리'!$J698,"")</f>
        <v/>
      </c>
      <c r="Y714">
        <f>IF(AND(ISNUMBER('자료_한국심리'!$M698),ISNUMBER('자료_한국심리'!$N698)),'자료_한국심리'!$M698,"")</f>
        <v/>
      </c>
    </row>
    <row r="715">
      <c r="A715" s="10">
        <f>IF(697&gt;$E$5,"",SMALL($U$19:$U$4018,$E$6+697))</f>
        <v/>
      </c>
      <c r="B715" s="29">
        <f>IF(A715="","",INDEX('자료_한국심리'!$B$3:$B$4002,MATCH(A715,$U$19:$U$4018,0)))</f>
        <v/>
      </c>
      <c r="C715" s="22">
        <f>IF(A715="","",B715/AVERAGE(B591:B715)-1)</f>
        <v/>
      </c>
      <c r="D715" s="29">
        <f>IF(A715="","",IFERROR(INDEX('자료_한국심리'!$E$3:$E$4002,MATCH(A715,$V$19:$V$4018,0)),D714))</f>
        <v/>
      </c>
      <c r="E715" s="30">
        <f>IF(A715="","",IFERROR(INDEX('자료_한국심리'!$H$3:$H$4002,MATCH(A715,$W$19:$W$4018,0)),E714))</f>
        <v/>
      </c>
      <c r="F715" s="30">
        <f>IF(A715="","",IFERROR(INDEX('자료_한국심리'!$K$3:$K$4002,MATCH(A715,$X$19:$X$4018,0)),F714))</f>
        <v/>
      </c>
      <c r="G715" s="30">
        <f>IF(AND(ISNUMBER(E715),ISNUMBER(F715)),ROUND(E715-F715,6),"")</f>
        <v/>
      </c>
      <c r="H715" s="25">
        <f>IF(A715="","",IFERROR(INDEX('자료_한국심리'!$N$3:$N$4002,MATCH(A715,$Y$19:$Y$4018,0)),H714))</f>
        <v/>
      </c>
      <c r="I715" s="31">
        <f>IF(AND(ISNUMBER(H715),ISNUMBER(H695)),IF(H695&gt;0,H715/H695-1,""),"")</f>
        <v/>
      </c>
      <c r="J715">
        <f>IF(A715="",0,IF(A715&gt;$B$5,1,0))</f>
        <v/>
      </c>
      <c r="K715" s="29">
        <f>IF(AND(J715=1,ISNUMBER(D715)),D715,"")</f>
        <v/>
      </c>
      <c r="L715" s="30">
        <f>IF(AND(J715=1,ISNUMBER(G715)),G715,"")</f>
        <v/>
      </c>
      <c r="M715" s="22">
        <f>IF(AND(J715=1,ISNUMBER(C715)),C715,"")</f>
        <v/>
      </c>
      <c r="N715" s="31">
        <f>IF(AND(J715=1,ISNUMBER(I715)),I715,"")</f>
        <v/>
      </c>
      <c r="O715" s="11">
        <f>IF(K715="","",100-IF($G$13=1,50,(_xlfn.RANK.AVG(K715,$K$19:$K$1518,1)-1)/($G$13-1)*100))</f>
        <v/>
      </c>
      <c r="P715" s="11">
        <f>IF(L715="","",100-IF($G$14=1,50,(_xlfn.RANK.AVG(L715,$L$19:$L$1518,1)-1)/($G$14-1)*100))</f>
        <v/>
      </c>
      <c r="Q715" s="11">
        <f>IF(M715="","",IF($G$15=1,50,(_xlfn.RANK.AVG(M715,$M$19:$M$1518,1)-1)/($G$15-1)*100))</f>
        <v/>
      </c>
      <c r="R715" s="11">
        <f>IF(N715="","",IF($G$16=1,50,(_xlfn.RANK.AVG(N715,$N$19:$N$1518,1)-1)/($G$16-1)*100))</f>
        <v/>
      </c>
      <c r="S715" s="11">
        <f>IF(COUNT(O715:R715)=4,ROUND(AVERAGE(O715:R715),6),"")</f>
        <v/>
      </c>
      <c r="U715">
        <f>IF(AND(ISNUMBER('자료_한국심리'!$A699),ISNUMBER('자료_한국심리'!$B699)),'자료_한국심리'!$A699,"")</f>
        <v/>
      </c>
      <c r="V715">
        <f>IF(AND(ISNUMBER('자료_한국심리'!$D699),ISNUMBER('자료_한국심리'!$E699)),'자료_한국심리'!$D699,"")</f>
        <v/>
      </c>
      <c r="W715">
        <f>IF(AND(ISNUMBER('자료_한국심리'!$G699),ISNUMBER('자료_한국심리'!$H699)),'자료_한국심리'!$G699,"")</f>
        <v/>
      </c>
      <c r="X715">
        <f>IF(AND(ISNUMBER('자료_한국심리'!$J699),ISNUMBER('자료_한국심리'!$K699)),'자료_한국심리'!$J699,"")</f>
        <v/>
      </c>
      <c r="Y715">
        <f>IF(AND(ISNUMBER('자료_한국심리'!$M699),ISNUMBER('자료_한국심리'!$N699)),'자료_한국심리'!$M699,"")</f>
        <v/>
      </c>
    </row>
    <row r="716">
      <c r="A716" s="10">
        <f>IF(698&gt;$E$5,"",SMALL($U$19:$U$4018,$E$6+698))</f>
        <v/>
      </c>
      <c r="B716" s="29">
        <f>IF(A716="","",INDEX('자료_한국심리'!$B$3:$B$4002,MATCH(A716,$U$19:$U$4018,0)))</f>
        <v/>
      </c>
      <c r="C716" s="22">
        <f>IF(A716="","",B716/AVERAGE(B592:B716)-1)</f>
        <v/>
      </c>
      <c r="D716" s="29">
        <f>IF(A716="","",IFERROR(INDEX('자료_한국심리'!$E$3:$E$4002,MATCH(A716,$V$19:$V$4018,0)),D715))</f>
        <v/>
      </c>
      <c r="E716" s="30">
        <f>IF(A716="","",IFERROR(INDEX('자료_한국심리'!$H$3:$H$4002,MATCH(A716,$W$19:$W$4018,0)),E715))</f>
        <v/>
      </c>
      <c r="F716" s="30">
        <f>IF(A716="","",IFERROR(INDEX('자료_한국심리'!$K$3:$K$4002,MATCH(A716,$X$19:$X$4018,0)),F715))</f>
        <v/>
      </c>
      <c r="G716" s="30">
        <f>IF(AND(ISNUMBER(E716),ISNUMBER(F716)),ROUND(E716-F716,6),"")</f>
        <v/>
      </c>
      <c r="H716" s="25">
        <f>IF(A716="","",IFERROR(INDEX('자료_한국심리'!$N$3:$N$4002,MATCH(A716,$Y$19:$Y$4018,0)),H715))</f>
        <v/>
      </c>
      <c r="I716" s="31">
        <f>IF(AND(ISNUMBER(H716),ISNUMBER(H696)),IF(H696&gt;0,H716/H696-1,""),"")</f>
        <v/>
      </c>
      <c r="J716">
        <f>IF(A716="",0,IF(A716&gt;$B$5,1,0))</f>
        <v/>
      </c>
      <c r="K716" s="29">
        <f>IF(AND(J716=1,ISNUMBER(D716)),D716,"")</f>
        <v/>
      </c>
      <c r="L716" s="30">
        <f>IF(AND(J716=1,ISNUMBER(G716)),G716,"")</f>
        <v/>
      </c>
      <c r="M716" s="22">
        <f>IF(AND(J716=1,ISNUMBER(C716)),C716,"")</f>
        <v/>
      </c>
      <c r="N716" s="31">
        <f>IF(AND(J716=1,ISNUMBER(I716)),I716,"")</f>
        <v/>
      </c>
      <c r="O716" s="11">
        <f>IF(K716="","",100-IF($G$13=1,50,(_xlfn.RANK.AVG(K716,$K$19:$K$1518,1)-1)/($G$13-1)*100))</f>
        <v/>
      </c>
      <c r="P716" s="11">
        <f>IF(L716="","",100-IF($G$14=1,50,(_xlfn.RANK.AVG(L716,$L$19:$L$1518,1)-1)/($G$14-1)*100))</f>
        <v/>
      </c>
      <c r="Q716" s="11">
        <f>IF(M716="","",IF($G$15=1,50,(_xlfn.RANK.AVG(M716,$M$19:$M$1518,1)-1)/($G$15-1)*100))</f>
        <v/>
      </c>
      <c r="R716" s="11">
        <f>IF(N716="","",IF($G$16=1,50,(_xlfn.RANK.AVG(N716,$N$19:$N$1518,1)-1)/($G$16-1)*100))</f>
        <v/>
      </c>
      <c r="S716" s="11">
        <f>IF(COUNT(O716:R716)=4,ROUND(AVERAGE(O716:R716),6),"")</f>
        <v/>
      </c>
      <c r="U716">
        <f>IF(AND(ISNUMBER('자료_한국심리'!$A700),ISNUMBER('자료_한국심리'!$B700)),'자료_한국심리'!$A700,"")</f>
        <v/>
      </c>
      <c r="V716">
        <f>IF(AND(ISNUMBER('자료_한국심리'!$D700),ISNUMBER('자료_한국심리'!$E700)),'자료_한국심리'!$D700,"")</f>
        <v/>
      </c>
      <c r="W716">
        <f>IF(AND(ISNUMBER('자료_한국심리'!$G700),ISNUMBER('자료_한국심리'!$H700)),'자료_한국심리'!$G700,"")</f>
        <v/>
      </c>
      <c r="X716">
        <f>IF(AND(ISNUMBER('자료_한국심리'!$J700),ISNUMBER('자료_한국심리'!$K700)),'자료_한국심리'!$J700,"")</f>
        <v/>
      </c>
      <c r="Y716">
        <f>IF(AND(ISNUMBER('자료_한국심리'!$M700),ISNUMBER('자료_한국심리'!$N700)),'자료_한국심리'!$M700,"")</f>
        <v/>
      </c>
    </row>
    <row r="717">
      <c r="A717" s="10">
        <f>IF(699&gt;$E$5,"",SMALL($U$19:$U$4018,$E$6+699))</f>
        <v/>
      </c>
      <c r="B717" s="29">
        <f>IF(A717="","",INDEX('자료_한국심리'!$B$3:$B$4002,MATCH(A717,$U$19:$U$4018,0)))</f>
        <v/>
      </c>
      <c r="C717" s="22">
        <f>IF(A717="","",B717/AVERAGE(B593:B717)-1)</f>
        <v/>
      </c>
      <c r="D717" s="29">
        <f>IF(A717="","",IFERROR(INDEX('자료_한국심리'!$E$3:$E$4002,MATCH(A717,$V$19:$V$4018,0)),D716))</f>
        <v/>
      </c>
      <c r="E717" s="30">
        <f>IF(A717="","",IFERROR(INDEX('자료_한국심리'!$H$3:$H$4002,MATCH(A717,$W$19:$W$4018,0)),E716))</f>
        <v/>
      </c>
      <c r="F717" s="30">
        <f>IF(A717="","",IFERROR(INDEX('자료_한국심리'!$K$3:$K$4002,MATCH(A717,$X$19:$X$4018,0)),F716))</f>
        <v/>
      </c>
      <c r="G717" s="30">
        <f>IF(AND(ISNUMBER(E717),ISNUMBER(F717)),ROUND(E717-F717,6),"")</f>
        <v/>
      </c>
      <c r="H717" s="25">
        <f>IF(A717="","",IFERROR(INDEX('자료_한국심리'!$N$3:$N$4002,MATCH(A717,$Y$19:$Y$4018,0)),H716))</f>
        <v/>
      </c>
      <c r="I717" s="31">
        <f>IF(AND(ISNUMBER(H717),ISNUMBER(H697)),IF(H697&gt;0,H717/H697-1,""),"")</f>
        <v/>
      </c>
      <c r="J717">
        <f>IF(A717="",0,IF(A717&gt;$B$5,1,0))</f>
        <v/>
      </c>
      <c r="K717" s="29">
        <f>IF(AND(J717=1,ISNUMBER(D717)),D717,"")</f>
        <v/>
      </c>
      <c r="L717" s="30">
        <f>IF(AND(J717=1,ISNUMBER(G717)),G717,"")</f>
        <v/>
      </c>
      <c r="M717" s="22">
        <f>IF(AND(J717=1,ISNUMBER(C717)),C717,"")</f>
        <v/>
      </c>
      <c r="N717" s="31">
        <f>IF(AND(J717=1,ISNUMBER(I717)),I717,"")</f>
        <v/>
      </c>
      <c r="O717" s="11">
        <f>IF(K717="","",100-IF($G$13=1,50,(_xlfn.RANK.AVG(K717,$K$19:$K$1518,1)-1)/($G$13-1)*100))</f>
        <v/>
      </c>
      <c r="P717" s="11">
        <f>IF(L717="","",100-IF($G$14=1,50,(_xlfn.RANK.AVG(L717,$L$19:$L$1518,1)-1)/($G$14-1)*100))</f>
        <v/>
      </c>
      <c r="Q717" s="11">
        <f>IF(M717="","",IF($G$15=1,50,(_xlfn.RANK.AVG(M717,$M$19:$M$1518,1)-1)/($G$15-1)*100))</f>
        <v/>
      </c>
      <c r="R717" s="11">
        <f>IF(N717="","",IF($G$16=1,50,(_xlfn.RANK.AVG(N717,$N$19:$N$1518,1)-1)/($G$16-1)*100))</f>
        <v/>
      </c>
      <c r="S717" s="11">
        <f>IF(COUNT(O717:R717)=4,ROUND(AVERAGE(O717:R717),6),"")</f>
        <v/>
      </c>
      <c r="U717">
        <f>IF(AND(ISNUMBER('자료_한국심리'!$A701),ISNUMBER('자료_한국심리'!$B701)),'자료_한국심리'!$A701,"")</f>
        <v/>
      </c>
      <c r="V717">
        <f>IF(AND(ISNUMBER('자료_한국심리'!$D701),ISNUMBER('자료_한국심리'!$E701)),'자료_한국심리'!$D701,"")</f>
        <v/>
      </c>
      <c r="W717">
        <f>IF(AND(ISNUMBER('자료_한국심리'!$G701),ISNUMBER('자료_한국심리'!$H701)),'자료_한국심리'!$G701,"")</f>
        <v/>
      </c>
      <c r="X717">
        <f>IF(AND(ISNUMBER('자료_한국심리'!$J701),ISNUMBER('자료_한국심리'!$K701)),'자료_한국심리'!$J701,"")</f>
        <v/>
      </c>
      <c r="Y717">
        <f>IF(AND(ISNUMBER('자료_한국심리'!$M701),ISNUMBER('자료_한국심리'!$N701)),'자료_한국심리'!$M701,"")</f>
        <v/>
      </c>
    </row>
    <row r="718">
      <c r="A718" s="10">
        <f>IF(700&gt;$E$5,"",SMALL($U$19:$U$4018,$E$6+700))</f>
        <v/>
      </c>
      <c r="B718" s="29">
        <f>IF(A718="","",INDEX('자료_한국심리'!$B$3:$B$4002,MATCH(A718,$U$19:$U$4018,0)))</f>
        <v/>
      </c>
      <c r="C718" s="22">
        <f>IF(A718="","",B718/AVERAGE(B594:B718)-1)</f>
        <v/>
      </c>
      <c r="D718" s="29">
        <f>IF(A718="","",IFERROR(INDEX('자료_한국심리'!$E$3:$E$4002,MATCH(A718,$V$19:$V$4018,0)),D717))</f>
        <v/>
      </c>
      <c r="E718" s="30">
        <f>IF(A718="","",IFERROR(INDEX('자료_한국심리'!$H$3:$H$4002,MATCH(A718,$W$19:$W$4018,0)),E717))</f>
        <v/>
      </c>
      <c r="F718" s="30">
        <f>IF(A718="","",IFERROR(INDEX('자료_한국심리'!$K$3:$K$4002,MATCH(A718,$X$19:$X$4018,0)),F717))</f>
        <v/>
      </c>
      <c r="G718" s="30">
        <f>IF(AND(ISNUMBER(E718),ISNUMBER(F718)),ROUND(E718-F718,6),"")</f>
        <v/>
      </c>
      <c r="H718" s="25">
        <f>IF(A718="","",IFERROR(INDEX('자료_한국심리'!$N$3:$N$4002,MATCH(A718,$Y$19:$Y$4018,0)),H717))</f>
        <v/>
      </c>
      <c r="I718" s="31">
        <f>IF(AND(ISNUMBER(H718),ISNUMBER(H698)),IF(H698&gt;0,H718/H698-1,""),"")</f>
        <v/>
      </c>
      <c r="J718">
        <f>IF(A718="",0,IF(A718&gt;$B$5,1,0))</f>
        <v/>
      </c>
      <c r="K718" s="29">
        <f>IF(AND(J718=1,ISNUMBER(D718)),D718,"")</f>
        <v/>
      </c>
      <c r="L718" s="30">
        <f>IF(AND(J718=1,ISNUMBER(G718)),G718,"")</f>
        <v/>
      </c>
      <c r="M718" s="22">
        <f>IF(AND(J718=1,ISNUMBER(C718)),C718,"")</f>
        <v/>
      </c>
      <c r="N718" s="31">
        <f>IF(AND(J718=1,ISNUMBER(I718)),I718,"")</f>
        <v/>
      </c>
      <c r="O718" s="11">
        <f>IF(K718="","",100-IF($G$13=1,50,(_xlfn.RANK.AVG(K718,$K$19:$K$1518,1)-1)/($G$13-1)*100))</f>
        <v/>
      </c>
      <c r="P718" s="11">
        <f>IF(L718="","",100-IF($G$14=1,50,(_xlfn.RANK.AVG(L718,$L$19:$L$1518,1)-1)/($G$14-1)*100))</f>
        <v/>
      </c>
      <c r="Q718" s="11">
        <f>IF(M718="","",IF($G$15=1,50,(_xlfn.RANK.AVG(M718,$M$19:$M$1518,1)-1)/($G$15-1)*100))</f>
        <v/>
      </c>
      <c r="R718" s="11">
        <f>IF(N718="","",IF($G$16=1,50,(_xlfn.RANK.AVG(N718,$N$19:$N$1518,1)-1)/($G$16-1)*100))</f>
        <v/>
      </c>
      <c r="S718" s="11">
        <f>IF(COUNT(O718:R718)=4,ROUND(AVERAGE(O718:R718),6),"")</f>
        <v/>
      </c>
      <c r="U718">
        <f>IF(AND(ISNUMBER('자료_한국심리'!$A702),ISNUMBER('자료_한국심리'!$B702)),'자료_한국심리'!$A702,"")</f>
        <v/>
      </c>
      <c r="V718">
        <f>IF(AND(ISNUMBER('자료_한국심리'!$D702),ISNUMBER('자료_한국심리'!$E702)),'자료_한국심리'!$D702,"")</f>
        <v/>
      </c>
      <c r="W718">
        <f>IF(AND(ISNUMBER('자료_한국심리'!$G702),ISNUMBER('자료_한국심리'!$H702)),'자료_한국심리'!$G702,"")</f>
        <v/>
      </c>
      <c r="X718">
        <f>IF(AND(ISNUMBER('자료_한국심리'!$J702),ISNUMBER('자료_한국심리'!$K702)),'자료_한국심리'!$J702,"")</f>
        <v/>
      </c>
      <c r="Y718">
        <f>IF(AND(ISNUMBER('자료_한국심리'!$M702),ISNUMBER('자료_한국심리'!$N702)),'자료_한국심리'!$M702,"")</f>
        <v/>
      </c>
    </row>
    <row r="719">
      <c r="A719" s="10">
        <f>IF(701&gt;$E$5,"",SMALL($U$19:$U$4018,$E$6+701))</f>
        <v/>
      </c>
      <c r="B719" s="29">
        <f>IF(A719="","",INDEX('자료_한국심리'!$B$3:$B$4002,MATCH(A719,$U$19:$U$4018,0)))</f>
        <v/>
      </c>
      <c r="C719" s="22">
        <f>IF(A719="","",B719/AVERAGE(B595:B719)-1)</f>
        <v/>
      </c>
      <c r="D719" s="29">
        <f>IF(A719="","",IFERROR(INDEX('자료_한국심리'!$E$3:$E$4002,MATCH(A719,$V$19:$V$4018,0)),D718))</f>
        <v/>
      </c>
      <c r="E719" s="30">
        <f>IF(A719="","",IFERROR(INDEX('자료_한국심리'!$H$3:$H$4002,MATCH(A719,$W$19:$W$4018,0)),E718))</f>
        <v/>
      </c>
      <c r="F719" s="30">
        <f>IF(A719="","",IFERROR(INDEX('자료_한국심리'!$K$3:$K$4002,MATCH(A719,$X$19:$X$4018,0)),F718))</f>
        <v/>
      </c>
      <c r="G719" s="30">
        <f>IF(AND(ISNUMBER(E719),ISNUMBER(F719)),ROUND(E719-F719,6),"")</f>
        <v/>
      </c>
      <c r="H719" s="25">
        <f>IF(A719="","",IFERROR(INDEX('자료_한국심리'!$N$3:$N$4002,MATCH(A719,$Y$19:$Y$4018,0)),H718))</f>
        <v/>
      </c>
      <c r="I719" s="31">
        <f>IF(AND(ISNUMBER(H719),ISNUMBER(H699)),IF(H699&gt;0,H719/H699-1,""),"")</f>
        <v/>
      </c>
      <c r="J719">
        <f>IF(A719="",0,IF(A719&gt;$B$5,1,0))</f>
        <v/>
      </c>
      <c r="K719" s="29">
        <f>IF(AND(J719=1,ISNUMBER(D719)),D719,"")</f>
        <v/>
      </c>
      <c r="L719" s="30">
        <f>IF(AND(J719=1,ISNUMBER(G719)),G719,"")</f>
        <v/>
      </c>
      <c r="M719" s="22">
        <f>IF(AND(J719=1,ISNUMBER(C719)),C719,"")</f>
        <v/>
      </c>
      <c r="N719" s="31">
        <f>IF(AND(J719=1,ISNUMBER(I719)),I719,"")</f>
        <v/>
      </c>
      <c r="O719" s="11">
        <f>IF(K719="","",100-IF($G$13=1,50,(_xlfn.RANK.AVG(K719,$K$19:$K$1518,1)-1)/($G$13-1)*100))</f>
        <v/>
      </c>
      <c r="P719" s="11">
        <f>IF(L719="","",100-IF($G$14=1,50,(_xlfn.RANK.AVG(L719,$L$19:$L$1518,1)-1)/($G$14-1)*100))</f>
        <v/>
      </c>
      <c r="Q719" s="11">
        <f>IF(M719="","",IF($G$15=1,50,(_xlfn.RANK.AVG(M719,$M$19:$M$1518,1)-1)/($G$15-1)*100))</f>
        <v/>
      </c>
      <c r="R719" s="11">
        <f>IF(N719="","",IF($G$16=1,50,(_xlfn.RANK.AVG(N719,$N$19:$N$1518,1)-1)/($G$16-1)*100))</f>
        <v/>
      </c>
      <c r="S719" s="11">
        <f>IF(COUNT(O719:R719)=4,ROUND(AVERAGE(O719:R719),6),"")</f>
        <v/>
      </c>
      <c r="U719">
        <f>IF(AND(ISNUMBER('자료_한국심리'!$A703),ISNUMBER('자료_한국심리'!$B703)),'자료_한국심리'!$A703,"")</f>
        <v/>
      </c>
      <c r="V719">
        <f>IF(AND(ISNUMBER('자료_한국심리'!$D703),ISNUMBER('자료_한국심리'!$E703)),'자료_한국심리'!$D703,"")</f>
        <v/>
      </c>
      <c r="W719">
        <f>IF(AND(ISNUMBER('자료_한국심리'!$G703),ISNUMBER('자료_한국심리'!$H703)),'자료_한국심리'!$G703,"")</f>
        <v/>
      </c>
      <c r="X719">
        <f>IF(AND(ISNUMBER('자료_한국심리'!$J703),ISNUMBER('자료_한국심리'!$K703)),'자료_한국심리'!$J703,"")</f>
        <v/>
      </c>
      <c r="Y719">
        <f>IF(AND(ISNUMBER('자료_한국심리'!$M703),ISNUMBER('자료_한국심리'!$N703)),'자료_한국심리'!$M703,"")</f>
        <v/>
      </c>
    </row>
    <row r="720">
      <c r="A720" s="10">
        <f>IF(702&gt;$E$5,"",SMALL($U$19:$U$4018,$E$6+702))</f>
        <v/>
      </c>
      <c r="B720" s="29">
        <f>IF(A720="","",INDEX('자료_한국심리'!$B$3:$B$4002,MATCH(A720,$U$19:$U$4018,0)))</f>
        <v/>
      </c>
      <c r="C720" s="22">
        <f>IF(A720="","",B720/AVERAGE(B596:B720)-1)</f>
        <v/>
      </c>
      <c r="D720" s="29">
        <f>IF(A720="","",IFERROR(INDEX('자료_한국심리'!$E$3:$E$4002,MATCH(A720,$V$19:$V$4018,0)),D719))</f>
        <v/>
      </c>
      <c r="E720" s="30">
        <f>IF(A720="","",IFERROR(INDEX('자료_한국심리'!$H$3:$H$4002,MATCH(A720,$W$19:$W$4018,0)),E719))</f>
        <v/>
      </c>
      <c r="F720" s="30">
        <f>IF(A720="","",IFERROR(INDEX('자료_한국심리'!$K$3:$K$4002,MATCH(A720,$X$19:$X$4018,0)),F719))</f>
        <v/>
      </c>
      <c r="G720" s="30">
        <f>IF(AND(ISNUMBER(E720),ISNUMBER(F720)),ROUND(E720-F720,6),"")</f>
        <v/>
      </c>
      <c r="H720" s="25">
        <f>IF(A720="","",IFERROR(INDEX('자료_한국심리'!$N$3:$N$4002,MATCH(A720,$Y$19:$Y$4018,0)),H719))</f>
        <v/>
      </c>
      <c r="I720" s="31">
        <f>IF(AND(ISNUMBER(H720),ISNUMBER(H700)),IF(H700&gt;0,H720/H700-1,""),"")</f>
        <v/>
      </c>
      <c r="J720">
        <f>IF(A720="",0,IF(A720&gt;$B$5,1,0))</f>
        <v/>
      </c>
      <c r="K720" s="29">
        <f>IF(AND(J720=1,ISNUMBER(D720)),D720,"")</f>
        <v/>
      </c>
      <c r="L720" s="30">
        <f>IF(AND(J720=1,ISNUMBER(G720)),G720,"")</f>
        <v/>
      </c>
      <c r="M720" s="22">
        <f>IF(AND(J720=1,ISNUMBER(C720)),C720,"")</f>
        <v/>
      </c>
      <c r="N720" s="31">
        <f>IF(AND(J720=1,ISNUMBER(I720)),I720,"")</f>
        <v/>
      </c>
      <c r="O720" s="11">
        <f>IF(K720="","",100-IF($G$13=1,50,(_xlfn.RANK.AVG(K720,$K$19:$K$1518,1)-1)/($G$13-1)*100))</f>
        <v/>
      </c>
      <c r="P720" s="11">
        <f>IF(L720="","",100-IF($G$14=1,50,(_xlfn.RANK.AVG(L720,$L$19:$L$1518,1)-1)/($G$14-1)*100))</f>
        <v/>
      </c>
      <c r="Q720" s="11">
        <f>IF(M720="","",IF($G$15=1,50,(_xlfn.RANK.AVG(M720,$M$19:$M$1518,1)-1)/($G$15-1)*100))</f>
        <v/>
      </c>
      <c r="R720" s="11">
        <f>IF(N720="","",IF($G$16=1,50,(_xlfn.RANK.AVG(N720,$N$19:$N$1518,1)-1)/($G$16-1)*100))</f>
        <v/>
      </c>
      <c r="S720" s="11">
        <f>IF(COUNT(O720:R720)=4,ROUND(AVERAGE(O720:R720),6),"")</f>
        <v/>
      </c>
      <c r="U720">
        <f>IF(AND(ISNUMBER('자료_한국심리'!$A704),ISNUMBER('자료_한국심리'!$B704)),'자료_한국심리'!$A704,"")</f>
        <v/>
      </c>
      <c r="V720">
        <f>IF(AND(ISNUMBER('자료_한국심리'!$D704),ISNUMBER('자료_한국심리'!$E704)),'자료_한국심리'!$D704,"")</f>
        <v/>
      </c>
      <c r="W720">
        <f>IF(AND(ISNUMBER('자료_한국심리'!$G704),ISNUMBER('자료_한국심리'!$H704)),'자료_한국심리'!$G704,"")</f>
        <v/>
      </c>
      <c r="X720">
        <f>IF(AND(ISNUMBER('자료_한국심리'!$J704),ISNUMBER('자료_한국심리'!$K704)),'자료_한국심리'!$J704,"")</f>
        <v/>
      </c>
      <c r="Y720">
        <f>IF(AND(ISNUMBER('자료_한국심리'!$M704),ISNUMBER('자료_한국심리'!$N704)),'자료_한국심리'!$M704,"")</f>
        <v/>
      </c>
    </row>
    <row r="721">
      <c r="A721" s="10">
        <f>IF(703&gt;$E$5,"",SMALL($U$19:$U$4018,$E$6+703))</f>
        <v/>
      </c>
      <c r="B721" s="29">
        <f>IF(A721="","",INDEX('자료_한국심리'!$B$3:$B$4002,MATCH(A721,$U$19:$U$4018,0)))</f>
        <v/>
      </c>
      <c r="C721" s="22">
        <f>IF(A721="","",B721/AVERAGE(B597:B721)-1)</f>
        <v/>
      </c>
      <c r="D721" s="29">
        <f>IF(A721="","",IFERROR(INDEX('자료_한국심리'!$E$3:$E$4002,MATCH(A721,$V$19:$V$4018,0)),D720))</f>
        <v/>
      </c>
      <c r="E721" s="30">
        <f>IF(A721="","",IFERROR(INDEX('자료_한국심리'!$H$3:$H$4002,MATCH(A721,$W$19:$W$4018,0)),E720))</f>
        <v/>
      </c>
      <c r="F721" s="30">
        <f>IF(A721="","",IFERROR(INDEX('자료_한국심리'!$K$3:$K$4002,MATCH(A721,$X$19:$X$4018,0)),F720))</f>
        <v/>
      </c>
      <c r="G721" s="30">
        <f>IF(AND(ISNUMBER(E721),ISNUMBER(F721)),ROUND(E721-F721,6),"")</f>
        <v/>
      </c>
      <c r="H721" s="25">
        <f>IF(A721="","",IFERROR(INDEX('자료_한국심리'!$N$3:$N$4002,MATCH(A721,$Y$19:$Y$4018,0)),H720))</f>
        <v/>
      </c>
      <c r="I721" s="31">
        <f>IF(AND(ISNUMBER(H721),ISNUMBER(H701)),IF(H701&gt;0,H721/H701-1,""),"")</f>
        <v/>
      </c>
      <c r="J721">
        <f>IF(A721="",0,IF(A721&gt;$B$5,1,0))</f>
        <v/>
      </c>
      <c r="K721" s="29">
        <f>IF(AND(J721=1,ISNUMBER(D721)),D721,"")</f>
        <v/>
      </c>
      <c r="L721" s="30">
        <f>IF(AND(J721=1,ISNUMBER(G721)),G721,"")</f>
        <v/>
      </c>
      <c r="M721" s="22">
        <f>IF(AND(J721=1,ISNUMBER(C721)),C721,"")</f>
        <v/>
      </c>
      <c r="N721" s="31">
        <f>IF(AND(J721=1,ISNUMBER(I721)),I721,"")</f>
        <v/>
      </c>
      <c r="O721" s="11">
        <f>IF(K721="","",100-IF($G$13=1,50,(_xlfn.RANK.AVG(K721,$K$19:$K$1518,1)-1)/($G$13-1)*100))</f>
        <v/>
      </c>
      <c r="P721" s="11">
        <f>IF(L721="","",100-IF($G$14=1,50,(_xlfn.RANK.AVG(L721,$L$19:$L$1518,1)-1)/($G$14-1)*100))</f>
        <v/>
      </c>
      <c r="Q721" s="11">
        <f>IF(M721="","",IF($G$15=1,50,(_xlfn.RANK.AVG(M721,$M$19:$M$1518,1)-1)/($G$15-1)*100))</f>
        <v/>
      </c>
      <c r="R721" s="11">
        <f>IF(N721="","",IF($G$16=1,50,(_xlfn.RANK.AVG(N721,$N$19:$N$1518,1)-1)/($G$16-1)*100))</f>
        <v/>
      </c>
      <c r="S721" s="11">
        <f>IF(COUNT(O721:R721)=4,ROUND(AVERAGE(O721:R721),6),"")</f>
        <v/>
      </c>
      <c r="U721">
        <f>IF(AND(ISNUMBER('자료_한국심리'!$A705),ISNUMBER('자료_한국심리'!$B705)),'자료_한국심리'!$A705,"")</f>
        <v/>
      </c>
      <c r="V721">
        <f>IF(AND(ISNUMBER('자료_한국심리'!$D705),ISNUMBER('자료_한국심리'!$E705)),'자료_한국심리'!$D705,"")</f>
        <v/>
      </c>
      <c r="W721">
        <f>IF(AND(ISNUMBER('자료_한국심리'!$G705),ISNUMBER('자료_한국심리'!$H705)),'자료_한국심리'!$G705,"")</f>
        <v/>
      </c>
      <c r="X721">
        <f>IF(AND(ISNUMBER('자료_한국심리'!$J705),ISNUMBER('자료_한국심리'!$K705)),'자료_한국심리'!$J705,"")</f>
        <v/>
      </c>
      <c r="Y721">
        <f>IF(AND(ISNUMBER('자료_한국심리'!$M705),ISNUMBER('자료_한국심리'!$N705)),'자료_한국심리'!$M705,"")</f>
        <v/>
      </c>
    </row>
    <row r="722">
      <c r="A722" s="10">
        <f>IF(704&gt;$E$5,"",SMALL($U$19:$U$4018,$E$6+704))</f>
        <v/>
      </c>
      <c r="B722" s="29">
        <f>IF(A722="","",INDEX('자료_한국심리'!$B$3:$B$4002,MATCH(A722,$U$19:$U$4018,0)))</f>
        <v/>
      </c>
      <c r="C722" s="22">
        <f>IF(A722="","",B722/AVERAGE(B598:B722)-1)</f>
        <v/>
      </c>
      <c r="D722" s="29">
        <f>IF(A722="","",IFERROR(INDEX('자료_한국심리'!$E$3:$E$4002,MATCH(A722,$V$19:$V$4018,0)),D721))</f>
        <v/>
      </c>
      <c r="E722" s="30">
        <f>IF(A722="","",IFERROR(INDEX('자료_한국심리'!$H$3:$H$4002,MATCH(A722,$W$19:$W$4018,0)),E721))</f>
        <v/>
      </c>
      <c r="F722" s="30">
        <f>IF(A722="","",IFERROR(INDEX('자료_한국심리'!$K$3:$K$4002,MATCH(A722,$X$19:$X$4018,0)),F721))</f>
        <v/>
      </c>
      <c r="G722" s="30">
        <f>IF(AND(ISNUMBER(E722),ISNUMBER(F722)),ROUND(E722-F722,6),"")</f>
        <v/>
      </c>
      <c r="H722" s="25">
        <f>IF(A722="","",IFERROR(INDEX('자료_한국심리'!$N$3:$N$4002,MATCH(A722,$Y$19:$Y$4018,0)),H721))</f>
        <v/>
      </c>
      <c r="I722" s="31">
        <f>IF(AND(ISNUMBER(H722),ISNUMBER(H702)),IF(H702&gt;0,H722/H702-1,""),"")</f>
        <v/>
      </c>
      <c r="J722">
        <f>IF(A722="",0,IF(A722&gt;$B$5,1,0))</f>
        <v/>
      </c>
      <c r="K722" s="29">
        <f>IF(AND(J722=1,ISNUMBER(D722)),D722,"")</f>
        <v/>
      </c>
      <c r="L722" s="30">
        <f>IF(AND(J722=1,ISNUMBER(G722)),G722,"")</f>
        <v/>
      </c>
      <c r="M722" s="22">
        <f>IF(AND(J722=1,ISNUMBER(C722)),C722,"")</f>
        <v/>
      </c>
      <c r="N722" s="31">
        <f>IF(AND(J722=1,ISNUMBER(I722)),I722,"")</f>
        <v/>
      </c>
      <c r="O722" s="11">
        <f>IF(K722="","",100-IF($G$13=1,50,(_xlfn.RANK.AVG(K722,$K$19:$K$1518,1)-1)/($G$13-1)*100))</f>
        <v/>
      </c>
      <c r="P722" s="11">
        <f>IF(L722="","",100-IF($G$14=1,50,(_xlfn.RANK.AVG(L722,$L$19:$L$1518,1)-1)/($G$14-1)*100))</f>
        <v/>
      </c>
      <c r="Q722" s="11">
        <f>IF(M722="","",IF($G$15=1,50,(_xlfn.RANK.AVG(M722,$M$19:$M$1518,1)-1)/($G$15-1)*100))</f>
        <v/>
      </c>
      <c r="R722" s="11">
        <f>IF(N722="","",IF($G$16=1,50,(_xlfn.RANK.AVG(N722,$N$19:$N$1518,1)-1)/($G$16-1)*100))</f>
        <v/>
      </c>
      <c r="S722" s="11">
        <f>IF(COUNT(O722:R722)=4,ROUND(AVERAGE(O722:R722),6),"")</f>
        <v/>
      </c>
      <c r="U722">
        <f>IF(AND(ISNUMBER('자료_한국심리'!$A706),ISNUMBER('자료_한국심리'!$B706)),'자료_한국심리'!$A706,"")</f>
        <v/>
      </c>
      <c r="V722">
        <f>IF(AND(ISNUMBER('자료_한국심리'!$D706),ISNUMBER('자료_한국심리'!$E706)),'자료_한국심리'!$D706,"")</f>
        <v/>
      </c>
      <c r="W722">
        <f>IF(AND(ISNUMBER('자료_한국심리'!$G706),ISNUMBER('자료_한국심리'!$H706)),'자료_한국심리'!$G706,"")</f>
        <v/>
      </c>
      <c r="X722">
        <f>IF(AND(ISNUMBER('자료_한국심리'!$J706),ISNUMBER('자료_한국심리'!$K706)),'자료_한국심리'!$J706,"")</f>
        <v/>
      </c>
      <c r="Y722">
        <f>IF(AND(ISNUMBER('자료_한국심리'!$M706),ISNUMBER('자료_한국심리'!$N706)),'자료_한국심리'!$M706,"")</f>
        <v/>
      </c>
    </row>
    <row r="723">
      <c r="A723" s="10">
        <f>IF(705&gt;$E$5,"",SMALL($U$19:$U$4018,$E$6+705))</f>
        <v/>
      </c>
      <c r="B723" s="29">
        <f>IF(A723="","",INDEX('자료_한국심리'!$B$3:$B$4002,MATCH(A723,$U$19:$U$4018,0)))</f>
        <v/>
      </c>
      <c r="C723" s="22">
        <f>IF(A723="","",B723/AVERAGE(B599:B723)-1)</f>
        <v/>
      </c>
      <c r="D723" s="29">
        <f>IF(A723="","",IFERROR(INDEX('자료_한국심리'!$E$3:$E$4002,MATCH(A723,$V$19:$V$4018,0)),D722))</f>
        <v/>
      </c>
      <c r="E723" s="30">
        <f>IF(A723="","",IFERROR(INDEX('자료_한국심리'!$H$3:$H$4002,MATCH(A723,$W$19:$W$4018,0)),E722))</f>
        <v/>
      </c>
      <c r="F723" s="30">
        <f>IF(A723="","",IFERROR(INDEX('자료_한국심리'!$K$3:$K$4002,MATCH(A723,$X$19:$X$4018,0)),F722))</f>
        <v/>
      </c>
      <c r="G723" s="30">
        <f>IF(AND(ISNUMBER(E723),ISNUMBER(F723)),ROUND(E723-F723,6),"")</f>
        <v/>
      </c>
      <c r="H723" s="25">
        <f>IF(A723="","",IFERROR(INDEX('자료_한국심리'!$N$3:$N$4002,MATCH(A723,$Y$19:$Y$4018,0)),H722))</f>
        <v/>
      </c>
      <c r="I723" s="31">
        <f>IF(AND(ISNUMBER(H723),ISNUMBER(H703)),IF(H703&gt;0,H723/H703-1,""),"")</f>
        <v/>
      </c>
      <c r="J723">
        <f>IF(A723="",0,IF(A723&gt;$B$5,1,0))</f>
        <v/>
      </c>
      <c r="K723" s="29">
        <f>IF(AND(J723=1,ISNUMBER(D723)),D723,"")</f>
        <v/>
      </c>
      <c r="L723" s="30">
        <f>IF(AND(J723=1,ISNUMBER(G723)),G723,"")</f>
        <v/>
      </c>
      <c r="M723" s="22">
        <f>IF(AND(J723=1,ISNUMBER(C723)),C723,"")</f>
        <v/>
      </c>
      <c r="N723" s="31">
        <f>IF(AND(J723=1,ISNUMBER(I723)),I723,"")</f>
        <v/>
      </c>
      <c r="O723" s="11">
        <f>IF(K723="","",100-IF($G$13=1,50,(_xlfn.RANK.AVG(K723,$K$19:$K$1518,1)-1)/($G$13-1)*100))</f>
        <v/>
      </c>
      <c r="P723" s="11">
        <f>IF(L723="","",100-IF($G$14=1,50,(_xlfn.RANK.AVG(L723,$L$19:$L$1518,1)-1)/($G$14-1)*100))</f>
        <v/>
      </c>
      <c r="Q723" s="11">
        <f>IF(M723="","",IF($G$15=1,50,(_xlfn.RANK.AVG(M723,$M$19:$M$1518,1)-1)/($G$15-1)*100))</f>
        <v/>
      </c>
      <c r="R723" s="11">
        <f>IF(N723="","",IF($G$16=1,50,(_xlfn.RANK.AVG(N723,$N$19:$N$1518,1)-1)/($G$16-1)*100))</f>
        <v/>
      </c>
      <c r="S723" s="11">
        <f>IF(COUNT(O723:R723)=4,ROUND(AVERAGE(O723:R723),6),"")</f>
        <v/>
      </c>
      <c r="U723">
        <f>IF(AND(ISNUMBER('자료_한국심리'!$A707),ISNUMBER('자료_한국심리'!$B707)),'자료_한국심리'!$A707,"")</f>
        <v/>
      </c>
      <c r="V723">
        <f>IF(AND(ISNUMBER('자료_한국심리'!$D707),ISNUMBER('자료_한국심리'!$E707)),'자료_한국심리'!$D707,"")</f>
        <v/>
      </c>
      <c r="W723">
        <f>IF(AND(ISNUMBER('자료_한국심리'!$G707),ISNUMBER('자료_한국심리'!$H707)),'자료_한국심리'!$G707,"")</f>
        <v/>
      </c>
      <c r="X723">
        <f>IF(AND(ISNUMBER('자료_한국심리'!$J707),ISNUMBER('자료_한국심리'!$K707)),'자료_한국심리'!$J707,"")</f>
        <v/>
      </c>
      <c r="Y723">
        <f>IF(AND(ISNUMBER('자료_한국심리'!$M707),ISNUMBER('자료_한국심리'!$N707)),'자료_한국심리'!$M707,"")</f>
        <v/>
      </c>
    </row>
    <row r="724">
      <c r="A724" s="10">
        <f>IF(706&gt;$E$5,"",SMALL($U$19:$U$4018,$E$6+706))</f>
        <v/>
      </c>
      <c r="B724" s="29">
        <f>IF(A724="","",INDEX('자료_한국심리'!$B$3:$B$4002,MATCH(A724,$U$19:$U$4018,0)))</f>
        <v/>
      </c>
      <c r="C724" s="22">
        <f>IF(A724="","",B724/AVERAGE(B600:B724)-1)</f>
        <v/>
      </c>
      <c r="D724" s="29">
        <f>IF(A724="","",IFERROR(INDEX('자료_한국심리'!$E$3:$E$4002,MATCH(A724,$V$19:$V$4018,0)),D723))</f>
        <v/>
      </c>
      <c r="E724" s="30">
        <f>IF(A724="","",IFERROR(INDEX('자료_한국심리'!$H$3:$H$4002,MATCH(A724,$W$19:$W$4018,0)),E723))</f>
        <v/>
      </c>
      <c r="F724" s="30">
        <f>IF(A724="","",IFERROR(INDEX('자료_한국심리'!$K$3:$K$4002,MATCH(A724,$X$19:$X$4018,0)),F723))</f>
        <v/>
      </c>
      <c r="G724" s="30">
        <f>IF(AND(ISNUMBER(E724),ISNUMBER(F724)),ROUND(E724-F724,6),"")</f>
        <v/>
      </c>
      <c r="H724" s="25">
        <f>IF(A724="","",IFERROR(INDEX('자료_한국심리'!$N$3:$N$4002,MATCH(A724,$Y$19:$Y$4018,0)),H723))</f>
        <v/>
      </c>
      <c r="I724" s="31">
        <f>IF(AND(ISNUMBER(H724),ISNUMBER(H704)),IF(H704&gt;0,H724/H704-1,""),"")</f>
        <v/>
      </c>
      <c r="J724">
        <f>IF(A724="",0,IF(A724&gt;$B$5,1,0))</f>
        <v/>
      </c>
      <c r="K724" s="29">
        <f>IF(AND(J724=1,ISNUMBER(D724)),D724,"")</f>
        <v/>
      </c>
      <c r="L724" s="30">
        <f>IF(AND(J724=1,ISNUMBER(G724)),G724,"")</f>
        <v/>
      </c>
      <c r="M724" s="22">
        <f>IF(AND(J724=1,ISNUMBER(C724)),C724,"")</f>
        <v/>
      </c>
      <c r="N724" s="31">
        <f>IF(AND(J724=1,ISNUMBER(I724)),I724,"")</f>
        <v/>
      </c>
      <c r="O724" s="11">
        <f>IF(K724="","",100-IF($G$13=1,50,(_xlfn.RANK.AVG(K724,$K$19:$K$1518,1)-1)/($G$13-1)*100))</f>
        <v/>
      </c>
      <c r="P724" s="11">
        <f>IF(L724="","",100-IF($G$14=1,50,(_xlfn.RANK.AVG(L724,$L$19:$L$1518,1)-1)/($G$14-1)*100))</f>
        <v/>
      </c>
      <c r="Q724" s="11">
        <f>IF(M724="","",IF($G$15=1,50,(_xlfn.RANK.AVG(M724,$M$19:$M$1518,1)-1)/($G$15-1)*100))</f>
        <v/>
      </c>
      <c r="R724" s="11">
        <f>IF(N724="","",IF($G$16=1,50,(_xlfn.RANK.AVG(N724,$N$19:$N$1518,1)-1)/($G$16-1)*100))</f>
        <v/>
      </c>
      <c r="S724" s="11">
        <f>IF(COUNT(O724:R724)=4,ROUND(AVERAGE(O724:R724),6),"")</f>
        <v/>
      </c>
      <c r="U724">
        <f>IF(AND(ISNUMBER('자료_한국심리'!$A708),ISNUMBER('자료_한국심리'!$B708)),'자료_한국심리'!$A708,"")</f>
        <v/>
      </c>
      <c r="V724">
        <f>IF(AND(ISNUMBER('자료_한국심리'!$D708),ISNUMBER('자료_한국심리'!$E708)),'자료_한국심리'!$D708,"")</f>
        <v/>
      </c>
      <c r="W724">
        <f>IF(AND(ISNUMBER('자료_한국심리'!$G708),ISNUMBER('자료_한국심리'!$H708)),'자료_한국심리'!$G708,"")</f>
        <v/>
      </c>
      <c r="X724">
        <f>IF(AND(ISNUMBER('자료_한국심리'!$J708),ISNUMBER('자료_한국심리'!$K708)),'자료_한국심리'!$J708,"")</f>
        <v/>
      </c>
      <c r="Y724">
        <f>IF(AND(ISNUMBER('자료_한국심리'!$M708),ISNUMBER('자료_한국심리'!$N708)),'자료_한국심리'!$M708,"")</f>
        <v/>
      </c>
    </row>
    <row r="725">
      <c r="A725" s="10">
        <f>IF(707&gt;$E$5,"",SMALL($U$19:$U$4018,$E$6+707))</f>
        <v/>
      </c>
      <c r="B725" s="29">
        <f>IF(A725="","",INDEX('자료_한국심리'!$B$3:$B$4002,MATCH(A725,$U$19:$U$4018,0)))</f>
        <v/>
      </c>
      <c r="C725" s="22">
        <f>IF(A725="","",B725/AVERAGE(B601:B725)-1)</f>
        <v/>
      </c>
      <c r="D725" s="29">
        <f>IF(A725="","",IFERROR(INDEX('자료_한국심리'!$E$3:$E$4002,MATCH(A725,$V$19:$V$4018,0)),D724))</f>
        <v/>
      </c>
      <c r="E725" s="30">
        <f>IF(A725="","",IFERROR(INDEX('자료_한국심리'!$H$3:$H$4002,MATCH(A725,$W$19:$W$4018,0)),E724))</f>
        <v/>
      </c>
      <c r="F725" s="30">
        <f>IF(A725="","",IFERROR(INDEX('자료_한국심리'!$K$3:$K$4002,MATCH(A725,$X$19:$X$4018,0)),F724))</f>
        <v/>
      </c>
      <c r="G725" s="30">
        <f>IF(AND(ISNUMBER(E725),ISNUMBER(F725)),ROUND(E725-F725,6),"")</f>
        <v/>
      </c>
      <c r="H725" s="25">
        <f>IF(A725="","",IFERROR(INDEX('자료_한국심리'!$N$3:$N$4002,MATCH(A725,$Y$19:$Y$4018,0)),H724))</f>
        <v/>
      </c>
      <c r="I725" s="31">
        <f>IF(AND(ISNUMBER(H725),ISNUMBER(H705)),IF(H705&gt;0,H725/H705-1,""),"")</f>
        <v/>
      </c>
      <c r="J725">
        <f>IF(A725="",0,IF(A725&gt;$B$5,1,0))</f>
        <v/>
      </c>
      <c r="K725" s="29">
        <f>IF(AND(J725=1,ISNUMBER(D725)),D725,"")</f>
        <v/>
      </c>
      <c r="L725" s="30">
        <f>IF(AND(J725=1,ISNUMBER(G725)),G725,"")</f>
        <v/>
      </c>
      <c r="M725" s="22">
        <f>IF(AND(J725=1,ISNUMBER(C725)),C725,"")</f>
        <v/>
      </c>
      <c r="N725" s="31">
        <f>IF(AND(J725=1,ISNUMBER(I725)),I725,"")</f>
        <v/>
      </c>
      <c r="O725" s="11">
        <f>IF(K725="","",100-IF($G$13=1,50,(_xlfn.RANK.AVG(K725,$K$19:$K$1518,1)-1)/($G$13-1)*100))</f>
        <v/>
      </c>
      <c r="P725" s="11">
        <f>IF(L725="","",100-IF($G$14=1,50,(_xlfn.RANK.AVG(L725,$L$19:$L$1518,1)-1)/($G$14-1)*100))</f>
        <v/>
      </c>
      <c r="Q725" s="11">
        <f>IF(M725="","",IF($G$15=1,50,(_xlfn.RANK.AVG(M725,$M$19:$M$1518,1)-1)/($G$15-1)*100))</f>
        <v/>
      </c>
      <c r="R725" s="11">
        <f>IF(N725="","",IF($G$16=1,50,(_xlfn.RANK.AVG(N725,$N$19:$N$1518,1)-1)/($G$16-1)*100))</f>
        <v/>
      </c>
      <c r="S725" s="11">
        <f>IF(COUNT(O725:R725)=4,ROUND(AVERAGE(O725:R725),6),"")</f>
        <v/>
      </c>
      <c r="U725">
        <f>IF(AND(ISNUMBER('자료_한국심리'!$A709),ISNUMBER('자료_한국심리'!$B709)),'자료_한국심리'!$A709,"")</f>
        <v/>
      </c>
      <c r="V725">
        <f>IF(AND(ISNUMBER('자료_한국심리'!$D709),ISNUMBER('자료_한국심리'!$E709)),'자료_한국심리'!$D709,"")</f>
        <v/>
      </c>
      <c r="W725">
        <f>IF(AND(ISNUMBER('자료_한국심리'!$G709),ISNUMBER('자료_한국심리'!$H709)),'자료_한국심리'!$G709,"")</f>
        <v/>
      </c>
      <c r="X725">
        <f>IF(AND(ISNUMBER('자료_한국심리'!$J709),ISNUMBER('자료_한국심리'!$K709)),'자료_한국심리'!$J709,"")</f>
        <v/>
      </c>
      <c r="Y725">
        <f>IF(AND(ISNUMBER('자료_한국심리'!$M709),ISNUMBER('자료_한국심리'!$N709)),'자료_한국심리'!$M709,"")</f>
        <v/>
      </c>
    </row>
    <row r="726">
      <c r="A726" s="10">
        <f>IF(708&gt;$E$5,"",SMALL($U$19:$U$4018,$E$6+708))</f>
        <v/>
      </c>
      <c r="B726" s="29">
        <f>IF(A726="","",INDEX('자료_한국심리'!$B$3:$B$4002,MATCH(A726,$U$19:$U$4018,0)))</f>
        <v/>
      </c>
      <c r="C726" s="22">
        <f>IF(A726="","",B726/AVERAGE(B602:B726)-1)</f>
        <v/>
      </c>
      <c r="D726" s="29">
        <f>IF(A726="","",IFERROR(INDEX('자료_한국심리'!$E$3:$E$4002,MATCH(A726,$V$19:$V$4018,0)),D725))</f>
        <v/>
      </c>
      <c r="E726" s="30">
        <f>IF(A726="","",IFERROR(INDEX('자료_한국심리'!$H$3:$H$4002,MATCH(A726,$W$19:$W$4018,0)),E725))</f>
        <v/>
      </c>
      <c r="F726" s="30">
        <f>IF(A726="","",IFERROR(INDEX('자료_한국심리'!$K$3:$K$4002,MATCH(A726,$X$19:$X$4018,0)),F725))</f>
        <v/>
      </c>
      <c r="G726" s="30">
        <f>IF(AND(ISNUMBER(E726),ISNUMBER(F726)),ROUND(E726-F726,6),"")</f>
        <v/>
      </c>
      <c r="H726" s="25">
        <f>IF(A726="","",IFERROR(INDEX('자료_한국심리'!$N$3:$N$4002,MATCH(A726,$Y$19:$Y$4018,0)),H725))</f>
        <v/>
      </c>
      <c r="I726" s="31">
        <f>IF(AND(ISNUMBER(H726),ISNUMBER(H706)),IF(H706&gt;0,H726/H706-1,""),"")</f>
        <v/>
      </c>
      <c r="J726">
        <f>IF(A726="",0,IF(A726&gt;$B$5,1,0))</f>
        <v/>
      </c>
      <c r="K726" s="29">
        <f>IF(AND(J726=1,ISNUMBER(D726)),D726,"")</f>
        <v/>
      </c>
      <c r="L726" s="30">
        <f>IF(AND(J726=1,ISNUMBER(G726)),G726,"")</f>
        <v/>
      </c>
      <c r="M726" s="22">
        <f>IF(AND(J726=1,ISNUMBER(C726)),C726,"")</f>
        <v/>
      </c>
      <c r="N726" s="31">
        <f>IF(AND(J726=1,ISNUMBER(I726)),I726,"")</f>
        <v/>
      </c>
      <c r="O726" s="11">
        <f>IF(K726="","",100-IF($G$13=1,50,(_xlfn.RANK.AVG(K726,$K$19:$K$1518,1)-1)/($G$13-1)*100))</f>
        <v/>
      </c>
      <c r="P726" s="11">
        <f>IF(L726="","",100-IF($G$14=1,50,(_xlfn.RANK.AVG(L726,$L$19:$L$1518,1)-1)/($G$14-1)*100))</f>
        <v/>
      </c>
      <c r="Q726" s="11">
        <f>IF(M726="","",IF($G$15=1,50,(_xlfn.RANK.AVG(M726,$M$19:$M$1518,1)-1)/($G$15-1)*100))</f>
        <v/>
      </c>
      <c r="R726" s="11">
        <f>IF(N726="","",IF($G$16=1,50,(_xlfn.RANK.AVG(N726,$N$19:$N$1518,1)-1)/($G$16-1)*100))</f>
        <v/>
      </c>
      <c r="S726" s="11">
        <f>IF(COUNT(O726:R726)=4,ROUND(AVERAGE(O726:R726),6),"")</f>
        <v/>
      </c>
      <c r="U726">
        <f>IF(AND(ISNUMBER('자료_한국심리'!$A710),ISNUMBER('자료_한국심리'!$B710)),'자료_한국심리'!$A710,"")</f>
        <v/>
      </c>
      <c r="V726">
        <f>IF(AND(ISNUMBER('자료_한국심리'!$D710),ISNUMBER('자료_한국심리'!$E710)),'자료_한국심리'!$D710,"")</f>
        <v/>
      </c>
      <c r="W726">
        <f>IF(AND(ISNUMBER('자료_한국심리'!$G710),ISNUMBER('자료_한국심리'!$H710)),'자료_한국심리'!$G710,"")</f>
        <v/>
      </c>
      <c r="X726">
        <f>IF(AND(ISNUMBER('자료_한국심리'!$J710),ISNUMBER('자료_한국심리'!$K710)),'자료_한국심리'!$J710,"")</f>
        <v/>
      </c>
      <c r="Y726">
        <f>IF(AND(ISNUMBER('자료_한국심리'!$M710),ISNUMBER('자료_한국심리'!$N710)),'자료_한국심리'!$M710,"")</f>
        <v/>
      </c>
    </row>
    <row r="727">
      <c r="A727" s="10">
        <f>IF(709&gt;$E$5,"",SMALL($U$19:$U$4018,$E$6+709))</f>
        <v/>
      </c>
      <c r="B727" s="29">
        <f>IF(A727="","",INDEX('자료_한국심리'!$B$3:$B$4002,MATCH(A727,$U$19:$U$4018,0)))</f>
        <v/>
      </c>
      <c r="C727" s="22">
        <f>IF(A727="","",B727/AVERAGE(B603:B727)-1)</f>
        <v/>
      </c>
      <c r="D727" s="29">
        <f>IF(A727="","",IFERROR(INDEX('자료_한국심리'!$E$3:$E$4002,MATCH(A727,$V$19:$V$4018,0)),D726))</f>
        <v/>
      </c>
      <c r="E727" s="30">
        <f>IF(A727="","",IFERROR(INDEX('자료_한국심리'!$H$3:$H$4002,MATCH(A727,$W$19:$W$4018,0)),E726))</f>
        <v/>
      </c>
      <c r="F727" s="30">
        <f>IF(A727="","",IFERROR(INDEX('자료_한국심리'!$K$3:$K$4002,MATCH(A727,$X$19:$X$4018,0)),F726))</f>
        <v/>
      </c>
      <c r="G727" s="30">
        <f>IF(AND(ISNUMBER(E727),ISNUMBER(F727)),ROUND(E727-F727,6),"")</f>
        <v/>
      </c>
      <c r="H727" s="25">
        <f>IF(A727="","",IFERROR(INDEX('자료_한국심리'!$N$3:$N$4002,MATCH(A727,$Y$19:$Y$4018,0)),H726))</f>
        <v/>
      </c>
      <c r="I727" s="31">
        <f>IF(AND(ISNUMBER(H727),ISNUMBER(H707)),IF(H707&gt;0,H727/H707-1,""),"")</f>
        <v/>
      </c>
      <c r="J727">
        <f>IF(A727="",0,IF(A727&gt;$B$5,1,0))</f>
        <v/>
      </c>
      <c r="K727" s="29">
        <f>IF(AND(J727=1,ISNUMBER(D727)),D727,"")</f>
        <v/>
      </c>
      <c r="L727" s="30">
        <f>IF(AND(J727=1,ISNUMBER(G727)),G727,"")</f>
        <v/>
      </c>
      <c r="M727" s="22">
        <f>IF(AND(J727=1,ISNUMBER(C727)),C727,"")</f>
        <v/>
      </c>
      <c r="N727" s="31">
        <f>IF(AND(J727=1,ISNUMBER(I727)),I727,"")</f>
        <v/>
      </c>
      <c r="O727" s="11">
        <f>IF(K727="","",100-IF($G$13=1,50,(_xlfn.RANK.AVG(K727,$K$19:$K$1518,1)-1)/($G$13-1)*100))</f>
        <v/>
      </c>
      <c r="P727" s="11">
        <f>IF(L727="","",100-IF($G$14=1,50,(_xlfn.RANK.AVG(L727,$L$19:$L$1518,1)-1)/($G$14-1)*100))</f>
        <v/>
      </c>
      <c r="Q727" s="11">
        <f>IF(M727="","",IF($G$15=1,50,(_xlfn.RANK.AVG(M727,$M$19:$M$1518,1)-1)/($G$15-1)*100))</f>
        <v/>
      </c>
      <c r="R727" s="11">
        <f>IF(N727="","",IF($G$16=1,50,(_xlfn.RANK.AVG(N727,$N$19:$N$1518,1)-1)/($G$16-1)*100))</f>
        <v/>
      </c>
      <c r="S727" s="11">
        <f>IF(COUNT(O727:R727)=4,ROUND(AVERAGE(O727:R727),6),"")</f>
        <v/>
      </c>
      <c r="U727">
        <f>IF(AND(ISNUMBER('자료_한국심리'!$A711),ISNUMBER('자료_한국심리'!$B711)),'자료_한국심리'!$A711,"")</f>
        <v/>
      </c>
      <c r="V727">
        <f>IF(AND(ISNUMBER('자료_한국심리'!$D711),ISNUMBER('자료_한국심리'!$E711)),'자료_한국심리'!$D711,"")</f>
        <v/>
      </c>
      <c r="W727">
        <f>IF(AND(ISNUMBER('자료_한국심리'!$G711),ISNUMBER('자료_한국심리'!$H711)),'자료_한국심리'!$G711,"")</f>
        <v/>
      </c>
      <c r="X727">
        <f>IF(AND(ISNUMBER('자료_한국심리'!$J711),ISNUMBER('자료_한국심리'!$K711)),'자료_한국심리'!$J711,"")</f>
        <v/>
      </c>
      <c r="Y727">
        <f>IF(AND(ISNUMBER('자료_한국심리'!$M711),ISNUMBER('자료_한국심리'!$N711)),'자료_한국심리'!$M711,"")</f>
        <v/>
      </c>
    </row>
    <row r="728">
      <c r="A728" s="10">
        <f>IF(710&gt;$E$5,"",SMALL($U$19:$U$4018,$E$6+710))</f>
        <v/>
      </c>
      <c r="B728" s="29">
        <f>IF(A728="","",INDEX('자료_한국심리'!$B$3:$B$4002,MATCH(A728,$U$19:$U$4018,0)))</f>
        <v/>
      </c>
      <c r="C728" s="22">
        <f>IF(A728="","",B728/AVERAGE(B604:B728)-1)</f>
        <v/>
      </c>
      <c r="D728" s="29">
        <f>IF(A728="","",IFERROR(INDEX('자료_한국심리'!$E$3:$E$4002,MATCH(A728,$V$19:$V$4018,0)),D727))</f>
        <v/>
      </c>
      <c r="E728" s="30">
        <f>IF(A728="","",IFERROR(INDEX('자료_한국심리'!$H$3:$H$4002,MATCH(A728,$W$19:$W$4018,0)),E727))</f>
        <v/>
      </c>
      <c r="F728" s="30">
        <f>IF(A728="","",IFERROR(INDEX('자료_한국심리'!$K$3:$K$4002,MATCH(A728,$X$19:$X$4018,0)),F727))</f>
        <v/>
      </c>
      <c r="G728" s="30">
        <f>IF(AND(ISNUMBER(E728),ISNUMBER(F728)),ROUND(E728-F728,6),"")</f>
        <v/>
      </c>
      <c r="H728" s="25">
        <f>IF(A728="","",IFERROR(INDEX('자료_한국심리'!$N$3:$N$4002,MATCH(A728,$Y$19:$Y$4018,0)),H727))</f>
        <v/>
      </c>
      <c r="I728" s="31">
        <f>IF(AND(ISNUMBER(H728),ISNUMBER(H708)),IF(H708&gt;0,H728/H708-1,""),"")</f>
        <v/>
      </c>
      <c r="J728">
        <f>IF(A728="",0,IF(A728&gt;$B$5,1,0))</f>
        <v/>
      </c>
      <c r="K728" s="29">
        <f>IF(AND(J728=1,ISNUMBER(D728)),D728,"")</f>
        <v/>
      </c>
      <c r="L728" s="30">
        <f>IF(AND(J728=1,ISNUMBER(G728)),G728,"")</f>
        <v/>
      </c>
      <c r="M728" s="22">
        <f>IF(AND(J728=1,ISNUMBER(C728)),C728,"")</f>
        <v/>
      </c>
      <c r="N728" s="31">
        <f>IF(AND(J728=1,ISNUMBER(I728)),I728,"")</f>
        <v/>
      </c>
      <c r="O728" s="11">
        <f>IF(K728="","",100-IF($G$13=1,50,(_xlfn.RANK.AVG(K728,$K$19:$K$1518,1)-1)/($G$13-1)*100))</f>
        <v/>
      </c>
      <c r="P728" s="11">
        <f>IF(L728="","",100-IF($G$14=1,50,(_xlfn.RANK.AVG(L728,$L$19:$L$1518,1)-1)/($G$14-1)*100))</f>
        <v/>
      </c>
      <c r="Q728" s="11">
        <f>IF(M728="","",IF($G$15=1,50,(_xlfn.RANK.AVG(M728,$M$19:$M$1518,1)-1)/($G$15-1)*100))</f>
        <v/>
      </c>
      <c r="R728" s="11">
        <f>IF(N728="","",IF($G$16=1,50,(_xlfn.RANK.AVG(N728,$N$19:$N$1518,1)-1)/($G$16-1)*100))</f>
        <v/>
      </c>
      <c r="S728" s="11">
        <f>IF(COUNT(O728:R728)=4,ROUND(AVERAGE(O728:R728),6),"")</f>
        <v/>
      </c>
      <c r="U728">
        <f>IF(AND(ISNUMBER('자료_한국심리'!$A712),ISNUMBER('자료_한국심리'!$B712)),'자료_한국심리'!$A712,"")</f>
        <v/>
      </c>
      <c r="V728">
        <f>IF(AND(ISNUMBER('자료_한국심리'!$D712),ISNUMBER('자료_한국심리'!$E712)),'자료_한국심리'!$D712,"")</f>
        <v/>
      </c>
      <c r="W728">
        <f>IF(AND(ISNUMBER('자료_한국심리'!$G712),ISNUMBER('자료_한국심리'!$H712)),'자료_한국심리'!$G712,"")</f>
        <v/>
      </c>
      <c r="X728">
        <f>IF(AND(ISNUMBER('자료_한국심리'!$J712),ISNUMBER('자료_한국심리'!$K712)),'자료_한국심리'!$J712,"")</f>
        <v/>
      </c>
      <c r="Y728">
        <f>IF(AND(ISNUMBER('자료_한국심리'!$M712),ISNUMBER('자료_한국심리'!$N712)),'자료_한국심리'!$M712,"")</f>
        <v/>
      </c>
    </row>
    <row r="729">
      <c r="A729" s="10">
        <f>IF(711&gt;$E$5,"",SMALL($U$19:$U$4018,$E$6+711))</f>
        <v/>
      </c>
      <c r="B729" s="29">
        <f>IF(A729="","",INDEX('자료_한국심리'!$B$3:$B$4002,MATCH(A729,$U$19:$U$4018,0)))</f>
        <v/>
      </c>
      <c r="C729" s="22">
        <f>IF(A729="","",B729/AVERAGE(B605:B729)-1)</f>
        <v/>
      </c>
      <c r="D729" s="29">
        <f>IF(A729="","",IFERROR(INDEX('자료_한국심리'!$E$3:$E$4002,MATCH(A729,$V$19:$V$4018,0)),D728))</f>
        <v/>
      </c>
      <c r="E729" s="30">
        <f>IF(A729="","",IFERROR(INDEX('자료_한국심리'!$H$3:$H$4002,MATCH(A729,$W$19:$W$4018,0)),E728))</f>
        <v/>
      </c>
      <c r="F729" s="30">
        <f>IF(A729="","",IFERROR(INDEX('자료_한국심리'!$K$3:$K$4002,MATCH(A729,$X$19:$X$4018,0)),F728))</f>
        <v/>
      </c>
      <c r="G729" s="30">
        <f>IF(AND(ISNUMBER(E729),ISNUMBER(F729)),ROUND(E729-F729,6),"")</f>
        <v/>
      </c>
      <c r="H729" s="25">
        <f>IF(A729="","",IFERROR(INDEX('자료_한국심리'!$N$3:$N$4002,MATCH(A729,$Y$19:$Y$4018,0)),H728))</f>
        <v/>
      </c>
      <c r="I729" s="31">
        <f>IF(AND(ISNUMBER(H729),ISNUMBER(H709)),IF(H709&gt;0,H729/H709-1,""),"")</f>
        <v/>
      </c>
      <c r="J729">
        <f>IF(A729="",0,IF(A729&gt;$B$5,1,0))</f>
        <v/>
      </c>
      <c r="K729" s="29">
        <f>IF(AND(J729=1,ISNUMBER(D729)),D729,"")</f>
        <v/>
      </c>
      <c r="L729" s="30">
        <f>IF(AND(J729=1,ISNUMBER(G729)),G729,"")</f>
        <v/>
      </c>
      <c r="M729" s="22">
        <f>IF(AND(J729=1,ISNUMBER(C729)),C729,"")</f>
        <v/>
      </c>
      <c r="N729" s="31">
        <f>IF(AND(J729=1,ISNUMBER(I729)),I729,"")</f>
        <v/>
      </c>
      <c r="O729" s="11">
        <f>IF(K729="","",100-IF($G$13=1,50,(_xlfn.RANK.AVG(K729,$K$19:$K$1518,1)-1)/($G$13-1)*100))</f>
        <v/>
      </c>
      <c r="P729" s="11">
        <f>IF(L729="","",100-IF($G$14=1,50,(_xlfn.RANK.AVG(L729,$L$19:$L$1518,1)-1)/($G$14-1)*100))</f>
        <v/>
      </c>
      <c r="Q729" s="11">
        <f>IF(M729="","",IF($G$15=1,50,(_xlfn.RANK.AVG(M729,$M$19:$M$1518,1)-1)/($G$15-1)*100))</f>
        <v/>
      </c>
      <c r="R729" s="11">
        <f>IF(N729="","",IF($G$16=1,50,(_xlfn.RANK.AVG(N729,$N$19:$N$1518,1)-1)/($G$16-1)*100))</f>
        <v/>
      </c>
      <c r="S729" s="11">
        <f>IF(COUNT(O729:R729)=4,ROUND(AVERAGE(O729:R729),6),"")</f>
        <v/>
      </c>
      <c r="U729">
        <f>IF(AND(ISNUMBER('자료_한국심리'!$A713),ISNUMBER('자료_한국심리'!$B713)),'자료_한국심리'!$A713,"")</f>
        <v/>
      </c>
      <c r="V729">
        <f>IF(AND(ISNUMBER('자료_한국심리'!$D713),ISNUMBER('자료_한국심리'!$E713)),'자료_한국심리'!$D713,"")</f>
        <v/>
      </c>
      <c r="W729">
        <f>IF(AND(ISNUMBER('자료_한국심리'!$G713),ISNUMBER('자료_한국심리'!$H713)),'자료_한국심리'!$G713,"")</f>
        <v/>
      </c>
      <c r="X729">
        <f>IF(AND(ISNUMBER('자료_한국심리'!$J713),ISNUMBER('자료_한국심리'!$K713)),'자료_한국심리'!$J713,"")</f>
        <v/>
      </c>
      <c r="Y729">
        <f>IF(AND(ISNUMBER('자료_한국심리'!$M713),ISNUMBER('자료_한국심리'!$N713)),'자료_한국심리'!$M713,"")</f>
        <v/>
      </c>
    </row>
    <row r="730">
      <c r="A730" s="10">
        <f>IF(712&gt;$E$5,"",SMALL($U$19:$U$4018,$E$6+712))</f>
        <v/>
      </c>
      <c r="B730" s="29">
        <f>IF(A730="","",INDEX('자료_한국심리'!$B$3:$B$4002,MATCH(A730,$U$19:$U$4018,0)))</f>
        <v/>
      </c>
      <c r="C730" s="22">
        <f>IF(A730="","",B730/AVERAGE(B606:B730)-1)</f>
        <v/>
      </c>
      <c r="D730" s="29">
        <f>IF(A730="","",IFERROR(INDEX('자료_한국심리'!$E$3:$E$4002,MATCH(A730,$V$19:$V$4018,0)),D729))</f>
        <v/>
      </c>
      <c r="E730" s="30">
        <f>IF(A730="","",IFERROR(INDEX('자료_한국심리'!$H$3:$H$4002,MATCH(A730,$W$19:$W$4018,0)),E729))</f>
        <v/>
      </c>
      <c r="F730" s="30">
        <f>IF(A730="","",IFERROR(INDEX('자료_한국심리'!$K$3:$K$4002,MATCH(A730,$X$19:$X$4018,0)),F729))</f>
        <v/>
      </c>
      <c r="G730" s="30">
        <f>IF(AND(ISNUMBER(E730),ISNUMBER(F730)),ROUND(E730-F730,6),"")</f>
        <v/>
      </c>
      <c r="H730" s="25">
        <f>IF(A730="","",IFERROR(INDEX('자료_한국심리'!$N$3:$N$4002,MATCH(A730,$Y$19:$Y$4018,0)),H729))</f>
        <v/>
      </c>
      <c r="I730" s="31">
        <f>IF(AND(ISNUMBER(H730),ISNUMBER(H710)),IF(H710&gt;0,H730/H710-1,""),"")</f>
        <v/>
      </c>
      <c r="J730">
        <f>IF(A730="",0,IF(A730&gt;$B$5,1,0))</f>
        <v/>
      </c>
      <c r="K730" s="29">
        <f>IF(AND(J730=1,ISNUMBER(D730)),D730,"")</f>
        <v/>
      </c>
      <c r="L730" s="30">
        <f>IF(AND(J730=1,ISNUMBER(G730)),G730,"")</f>
        <v/>
      </c>
      <c r="M730" s="22">
        <f>IF(AND(J730=1,ISNUMBER(C730)),C730,"")</f>
        <v/>
      </c>
      <c r="N730" s="31">
        <f>IF(AND(J730=1,ISNUMBER(I730)),I730,"")</f>
        <v/>
      </c>
      <c r="O730" s="11">
        <f>IF(K730="","",100-IF($G$13=1,50,(_xlfn.RANK.AVG(K730,$K$19:$K$1518,1)-1)/($G$13-1)*100))</f>
        <v/>
      </c>
      <c r="P730" s="11">
        <f>IF(L730="","",100-IF($G$14=1,50,(_xlfn.RANK.AVG(L730,$L$19:$L$1518,1)-1)/($G$14-1)*100))</f>
        <v/>
      </c>
      <c r="Q730" s="11">
        <f>IF(M730="","",IF($G$15=1,50,(_xlfn.RANK.AVG(M730,$M$19:$M$1518,1)-1)/($G$15-1)*100))</f>
        <v/>
      </c>
      <c r="R730" s="11">
        <f>IF(N730="","",IF($G$16=1,50,(_xlfn.RANK.AVG(N730,$N$19:$N$1518,1)-1)/($G$16-1)*100))</f>
        <v/>
      </c>
      <c r="S730" s="11">
        <f>IF(COUNT(O730:R730)=4,ROUND(AVERAGE(O730:R730),6),"")</f>
        <v/>
      </c>
      <c r="U730">
        <f>IF(AND(ISNUMBER('자료_한국심리'!$A714),ISNUMBER('자료_한국심리'!$B714)),'자료_한국심리'!$A714,"")</f>
        <v/>
      </c>
      <c r="V730">
        <f>IF(AND(ISNUMBER('자료_한국심리'!$D714),ISNUMBER('자료_한국심리'!$E714)),'자료_한국심리'!$D714,"")</f>
        <v/>
      </c>
      <c r="W730">
        <f>IF(AND(ISNUMBER('자료_한국심리'!$G714),ISNUMBER('자료_한국심리'!$H714)),'자료_한국심리'!$G714,"")</f>
        <v/>
      </c>
      <c r="X730">
        <f>IF(AND(ISNUMBER('자료_한국심리'!$J714),ISNUMBER('자료_한국심리'!$K714)),'자료_한국심리'!$J714,"")</f>
        <v/>
      </c>
      <c r="Y730">
        <f>IF(AND(ISNUMBER('자료_한국심리'!$M714),ISNUMBER('자료_한국심리'!$N714)),'자료_한국심리'!$M714,"")</f>
        <v/>
      </c>
    </row>
    <row r="731">
      <c r="A731" s="10">
        <f>IF(713&gt;$E$5,"",SMALL($U$19:$U$4018,$E$6+713))</f>
        <v/>
      </c>
      <c r="B731" s="29">
        <f>IF(A731="","",INDEX('자료_한국심리'!$B$3:$B$4002,MATCH(A731,$U$19:$U$4018,0)))</f>
        <v/>
      </c>
      <c r="C731" s="22">
        <f>IF(A731="","",B731/AVERAGE(B607:B731)-1)</f>
        <v/>
      </c>
      <c r="D731" s="29">
        <f>IF(A731="","",IFERROR(INDEX('자료_한국심리'!$E$3:$E$4002,MATCH(A731,$V$19:$V$4018,0)),D730))</f>
        <v/>
      </c>
      <c r="E731" s="30">
        <f>IF(A731="","",IFERROR(INDEX('자료_한국심리'!$H$3:$H$4002,MATCH(A731,$W$19:$W$4018,0)),E730))</f>
        <v/>
      </c>
      <c r="F731" s="30">
        <f>IF(A731="","",IFERROR(INDEX('자료_한국심리'!$K$3:$K$4002,MATCH(A731,$X$19:$X$4018,0)),F730))</f>
        <v/>
      </c>
      <c r="G731" s="30">
        <f>IF(AND(ISNUMBER(E731),ISNUMBER(F731)),ROUND(E731-F731,6),"")</f>
        <v/>
      </c>
      <c r="H731" s="25">
        <f>IF(A731="","",IFERROR(INDEX('자료_한국심리'!$N$3:$N$4002,MATCH(A731,$Y$19:$Y$4018,0)),H730))</f>
        <v/>
      </c>
      <c r="I731" s="31">
        <f>IF(AND(ISNUMBER(H731),ISNUMBER(H711)),IF(H711&gt;0,H731/H711-1,""),"")</f>
        <v/>
      </c>
      <c r="J731">
        <f>IF(A731="",0,IF(A731&gt;$B$5,1,0))</f>
        <v/>
      </c>
      <c r="K731" s="29">
        <f>IF(AND(J731=1,ISNUMBER(D731)),D731,"")</f>
        <v/>
      </c>
      <c r="L731" s="30">
        <f>IF(AND(J731=1,ISNUMBER(G731)),G731,"")</f>
        <v/>
      </c>
      <c r="M731" s="22">
        <f>IF(AND(J731=1,ISNUMBER(C731)),C731,"")</f>
        <v/>
      </c>
      <c r="N731" s="31">
        <f>IF(AND(J731=1,ISNUMBER(I731)),I731,"")</f>
        <v/>
      </c>
      <c r="O731" s="11">
        <f>IF(K731="","",100-IF($G$13=1,50,(_xlfn.RANK.AVG(K731,$K$19:$K$1518,1)-1)/($G$13-1)*100))</f>
        <v/>
      </c>
      <c r="P731" s="11">
        <f>IF(L731="","",100-IF($G$14=1,50,(_xlfn.RANK.AVG(L731,$L$19:$L$1518,1)-1)/($G$14-1)*100))</f>
        <v/>
      </c>
      <c r="Q731" s="11">
        <f>IF(M731="","",IF($G$15=1,50,(_xlfn.RANK.AVG(M731,$M$19:$M$1518,1)-1)/($G$15-1)*100))</f>
        <v/>
      </c>
      <c r="R731" s="11">
        <f>IF(N731="","",IF($G$16=1,50,(_xlfn.RANK.AVG(N731,$N$19:$N$1518,1)-1)/($G$16-1)*100))</f>
        <v/>
      </c>
      <c r="S731" s="11">
        <f>IF(COUNT(O731:R731)=4,ROUND(AVERAGE(O731:R731),6),"")</f>
        <v/>
      </c>
      <c r="U731">
        <f>IF(AND(ISNUMBER('자료_한국심리'!$A715),ISNUMBER('자료_한국심리'!$B715)),'자료_한국심리'!$A715,"")</f>
        <v/>
      </c>
      <c r="V731">
        <f>IF(AND(ISNUMBER('자료_한국심리'!$D715),ISNUMBER('자료_한국심리'!$E715)),'자료_한국심리'!$D715,"")</f>
        <v/>
      </c>
      <c r="W731">
        <f>IF(AND(ISNUMBER('자료_한국심리'!$G715),ISNUMBER('자료_한국심리'!$H715)),'자료_한국심리'!$G715,"")</f>
        <v/>
      </c>
      <c r="X731">
        <f>IF(AND(ISNUMBER('자료_한국심리'!$J715),ISNUMBER('자료_한국심리'!$K715)),'자료_한국심리'!$J715,"")</f>
        <v/>
      </c>
      <c r="Y731">
        <f>IF(AND(ISNUMBER('자료_한국심리'!$M715),ISNUMBER('자료_한국심리'!$N715)),'자료_한국심리'!$M715,"")</f>
        <v/>
      </c>
    </row>
    <row r="732">
      <c r="A732" s="10">
        <f>IF(714&gt;$E$5,"",SMALL($U$19:$U$4018,$E$6+714))</f>
        <v/>
      </c>
      <c r="B732" s="29">
        <f>IF(A732="","",INDEX('자료_한국심리'!$B$3:$B$4002,MATCH(A732,$U$19:$U$4018,0)))</f>
        <v/>
      </c>
      <c r="C732" s="22">
        <f>IF(A732="","",B732/AVERAGE(B608:B732)-1)</f>
        <v/>
      </c>
      <c r="D732" s="29">
        <f>IF(A732="","",IFERROR(INDEX('자료_한국심리'!$E$3:$E$4002,MATCH(A732,$V$19:$V$4018,0)),D731))</f>
        <v/>
      </c>
      <c r="E732" s="30">
        <f>IF(A732="","",IFERROR(INDEX('자료_한국심리'!$H$3:$H$4002,MATCH(A732,$W$19:$W$4018,0)),E731))</f>
        <v/>
      </c>
      <c r="F732" s="30">
        <f>IF(A732="","",IFERROR(INDEX('자료_한국심리'!$K$3:$K$4002,MATCH(A732,$X$19:$X$4018,0)),F731))</f>
        <v/>
      </c>
      <c r="G732" s="30">
        <f>IF(AND(ISNUMBER(E732),ISNUMBER(F732)),ROUND(E732-F732,6),"")</f>
        <v/>
      </c>
      <c r="H732" s="25">
        <f>IF(A732="","",IFERROR(INDEX('자료_한국심리'!$N$3:$N$4002,MATCH(A732,$Y$19:$Y$4018,0)),H731))</f>
        <v/>
      </c>
      <c r="I732" s="31">
        <f>IF(AND(ISNUMBER(H732),ISNUMBER(H712)),IF(H712&gt;0,H732/H712-1,""),"")</f>
        <v/>
      </c>
      <c r="J732">
        <f>IF(A732="",0,IF(A732&gt;$B$5,1,0))</f>
        <v/>
      </c>
      <c r="K732" s="29">
        <f>IF(AND(J732=1,ISNUMBER(D732)),D732,"")</f>
        <v/>
      </c>
      <c r="L732" s="30">
        <f>IF(AND(J732=1,ISNUMBER(G732)),G732,"")</f>
        <v/>
      </c>
      <c r="M732" s="22">
        <f>IF(AND(J732=1,ISNUMBER(C732)),C732,"")</f>
        <v/>
      </c>
      <c r="N732" s="31">
        <f>IF(AND(J732=1,ISNUMBER(I732)),I732,"")</f>
        <v/>
      </c>
      <c r="O732" s="11">
        <f>IF(K732="","",100-IF($G$13=1,50,(_xlfn.RANK.AVG(K732,$K$19:$K$1518,1)-1)/($G$13-1)*100))</f>
        <v/>
      </c>
      <c r="P732" s="11">
        <f>IF(L732="","",100-IF($G$14=1,50,(_xlfn.RANK.AVG(L732,$L$19:$L$1518,1)-1)/($G$14-1)*100))</f>
        <v/>
      </c>
      <c r="Q732" s="11">
        <f>IF(M732="","",IF($G$15=1,50,(_xlfn.RANK.AVG(M732,$M$19:$M$1518,1)-1)/($G$15-1)*100))</f>
        <v/>
      </c>
      <c r="R732" s="11">
        <f>IF(N732="","",IF($G$16=1,50,(_xlfn.RANK.AVG(N732,$N$19:$N$1518,1)-1)/($G$16-1)*100))</f>
        <v/>
      </c>
      <c r="S732" s="11">
        <f>IF(COUNT(O732:R732)=4,ROUND(AVERAGE(O732:R732),6),"")</f>
        <v/>
      </c>
      <c r="U732">
        <f>IF(AND(ISNUMBER('자료_한국심리'!$A716),ISNUMBER('자료_한국심리'!$B716)),'자료_한국심리'!$A716,"")</f>
        <v/>
      </c>
      <c r="V732">
        <f>IF(AND(ISNUMBER('자료_한국심리'!$D716),ISNUMBER('자료_한국심리'!$E716)),'자료_한국심리'!$D716,"")</f>
        <v/>
      </c>
      <c r="W732">
        <f>IF(AND(ISNUMBER('자료_한국심리'!$G716),ISNUMBER('자료_한국심리'!$H716)),'자료_한국심리'!$G716,"")</f>
        <v/>
      </c>
      <c r="X732">
        <f>IF(AND(ISNUMBER('자료_한국심리'!$J716),ISNUMBER('자료_한국심리'!$K716)),'자료_한국심리'!$J716,"")</f>
        <v/>
      </c>
      <c r="Y732">
        <f>IF(AND(ISNUMBER('자료_한국심리'!$M716),ISNUMBER('자료_한국심리'!$N716)),'자료_한국심리'!$M716,"")</f>
        <v/>
      </c>
    </row>
    <row r="733">
      <c r="A733" s="10">
        <f>IF(715&gt;$E$5,"",SMALL($U$19:$U$4018,$E$6+715))</f>
        <v/>
      </c>
      <c r="B733" s="29">
        <f>IF(A733="","",INDEX('자료_한국심리'!$B$3:$B$4002,MATCH(A733,$U$19:$U$4018,0)))</f>
        <v/>
      </c>
      <c r="C733" s="22">
        <f>IF(A733="","",B733/AVERAGE(B609:B733)-1)</f>
        <v/>
      </c>
      <c r="D733" s="29">
        <f>IF(A733="","",IFERROR(INDEX('자료_한국심리'!$E$3:$E$4002,MATCH(A733,$V$19:$V$4018,0)),D732))</f>
        <v/>
      </c>
      <c r="E733" s="30">
        <f>IF(A733="","",IFERROR(INDEX('자료_한국심리'!$H$3:$H$4002,MATCH(A733,$W$19:$W$4018,0)),E732))</f>
        <v/>
      </c>
      <c r="F733" s="30">
        <f>IF(A733="","",IFERROR(INDEX('자료_한국심리'!$K$3:$K$4002,MATCH(A733,$X$19:$X$4018,0)),F732))</f>
        <v/>
      </c>
      <c r="G733" s="30">
        <f>IF(AND(ISNUMBER(E733),ISNUMBER(F733)),ROUND(E733-F733,6),"")</f>
        <v/>
      </c>
      <c r="H733" s="25">
        <f>IF(A733="","",IFERROR(INDEX('자료_한국심리'!$N$3:$N$4002,MATCH(A733,$Y$19:$Y$4018,0)),H732))</f>
        <v/>
      </c>
      <c r="I733" s="31">
        <f>IF(AND(ISNUMBER(H733),ISNUMBER(H713)),IF(H713&gt;0,H733/H713-1,""),"")</f>
        <v/>
      </c>
      <c r="J733">
        <f>IF(A733="",0,IF(A733&gt;$B$5,1,0))</f>
        <v/>
      </c>
      <c r="K733" s="29">
        <f>IF(AND(J733=1,ISNUMBER(D733)),D733,"")</f>
        <v/>
      </c>
      <c r="L733" s="30">
        <f>IF(AND(J733=1,ISNUMBER(G733)),G733,"")</f>
        <v/>
      </c>
      <c r="M733" s="22">
        <f>IF(AND(J733=1,ISNUMBER(C733)),C733,"")</f>
        <v/>
      </c>
      <c r="N733" s="31">
        <f>IF(AND(J733=1,ISNUMBER(I733)),I733,"")</f>
        <v/>
      </c>
      <c r="O733" s="11">
        <f>IF(K733="","",100-IF($G$13=1,50,(_xlfn.RANK.AVG(K733,$K$19:$K$1518,1)-1)/($G$13-1)*100))</f>
        <v/>
      </c>
      <c r="P733" s="11">
        <f>IF(L733="","",100-IF($G$14=1,50,(_xlfn.RANK.AVG(L733,$L$19:$L$1518,1)-1)/($G$14-1)*100))</f>
        <v/>
      </c>
      <c r="Q733" s="11">
        <f>IF(M733="","",IF($G$15=1,50,(_xlfn.RANK.AVG(M733,$M$19:$M$1518,1)-1)/($G$15-1)*100))</f>
        <v/>
      </c>
      <c r="R733" s="11">
        <f>IF(N733="","",IF($G$16=1,50,(_xlfn.RANK.AVG(N733,$N$19:$N$1518,1)-1)/($G$16-1)*100))</f>
        <v/>
      </c>
      <c r="S733" s="11">
        <f>IF(COUNT(O733:R733)=4,ROUND(AVERAGE(O733:R733),6),"")</f>
        <v/>
      </c>
      <c r="U733">
        <f>IF(AND(ISNUMBER('자료_한국심리'!$A717),ISNUMBER('자료_한국심리'!$B717)),'자료_한국심리'!$A717,"")</f>
        <v/>
      </c>
      <c r="V733">
        <f>IF(AND(ISNUMBER('자료_한국심리'!$D717),ISNUMBER('자료_한국심리'!$E717)),'자료_한국심리'!$D717,"")</f>
        <v/>
      </c>
      <c r="W733">
        <f>IF(AND(ISNUMBER('자료_한국심리'!$G717),ISNUMBER('자료_한국심리'!$H717)),'자료_한국심리'!$G717,"")</f>
        <v/>
      </c>
      <c r="X733">
        <f>IF(AND(ISNUMBER('자료_한국심리'!$J717),ISNUMBER('자료_한국심리'!$K717)),'자료_한국심리'!$J717,"")</f>
        <v/>
      </c>
      <c r="Y733">
        <f>IF(AND(ISNUMBER('자료_한국심리'!$M717),ISNUMBER('자료_한국심리'!$N717)),'자료_한국심리'!$M717,"")</f>
        <v/>
      </c>
    </row>
    <row r="734">
      <c r="A734" s="10">
        <f>IF(716&gt;$E$5,"",SMALL($U$19:$U$4018,$E$6+716))</f>
        <v/>
      </c>
      <c r="B734" s="29">
        <f>IF(A734="","",INDEX('자료_한국심리'!$B$3:$B$4002,MATCH(A734,$U$19:$U$4018,0)))</f>
        <v/>
      </c>
      <c r="C734" s="22">
        <f>IF(A734="","",B734/AVERAGE(B610:B734)-1)</f>
        <v/>
      </c>
      <c r="D734" s="29">
        <f>IF(A734="","",IFERROR(INDEX('자료_한국심리'!$E$3:$E$4002,MATCH(A734,$V$19:$V$4018,0)),D733))</f>
        <v/>
      </c>
      <c r="E734" s="30">
        <f>IF(A734="","",IFERROR(INDEX('자료_한국심리'!$H$3:$H$4002,MATCH(A734,$W$19:$W$4018,0)),E733))</f>
        <v/>
      </c>
      <c r="F734" s="30">
        <f>IF(A734="","",IFERROR(INDEX('자료_한국심리'!$K$3:$K$4002,MATCH(A734,$X$19:$X$4018,0)),F733))</f>
        <v/>
      </c>
      <c r="G734" s="30">
        <f>IF(AND(ISNUMBER(E734),ISNUMBER(F734)),ROUND(E734-F734,6),"")</f>
        <v/>
      </c>
      <c r="H734" s="25">
        <f>IF(A734="","",IFERROR(INDEX('자료_한국심리'!$N$3:$N$4002,MATCH(A734,$Y$19:$Y$4018,0)),H733))</f>
        <v/>
      </c>
      <c r="I734" s="31">
        <f>IF(AND(ISNUMBER(H734),ISNUMBER(H714)),IF(H714&gt;0,H734/H714-1,""),"")</f>
        <v/>
      </c>
      <c r="J734">
        <f>IF(A734="",0,IF(A734&gt;$B$5,1,0))</f>
        <v/>
      </c>
      <c r="K734" s="29">
        <f>IF(AND(J734=1,ISNUMBER(D734)),D734,"")</f>
        <v/>
      </c>
      <c r="L734" s="30">
        <f>IF(AND(J734=1,ISNUMBER(G734)),G734,"")</f>
        <v/>
      </c>
      <c r="M734" s="22">
        <f>IF(AND(J734=1,ISNUMBER(C734)),C734,"")</f>
        <v/>
      </c>
      <c r="N734" s="31">
        <f>IF(AND(J734=1,ISNUMBER(I734)),I734,"")</f>
        <v/>
      </c>
      <c r="O734" s="11">
        <f>IF(K734="","",100-IF($G$13=1,50,(_xlfn.RANK.AVG(K734,$K$19:$K$1518,1)-1)/($G$13-1)*100))</f>
        <v/>
      </c>
      <c r="P734" s="11">
        <f>IF(L734="","",100-IF($G$14=1,50,(_xlfn.RANK.AVG(L734,$L$19:$L$1518,1)-1)/($G$14-1)*100))</f>
        <v/>
      </c>
      <c r="Q734" s="11">
        <f>IF(M734="","",IF($G$15=1,50,(_xlfn.RANK.AVG(M734,$M$19:$M$1518,1)-1)/($G$15-1)*100))</f>
        <v/>
      </c>
      <c r="R734" s="11">
        <f>IF(N734="","",IF($G$16=1,50,(_xlfn.RANK.AVG(N734,$N$19:$N$1518,1)-1)/($G$16-1)*100))</f>
        <v/>
      </c>
      <c r="S734" s="11">
        <f>IF(COUNT(O734:R734)=4,ROUND(AVERAGE(O734:R734),6),"")</f>
        <v/>
      </c>
      <c r="U734">
        <f>IF(AND(ISNUMBER('자료_한국심리'!$A718),ISNUMBER('자료_한국심리'!$B718)),'자료_한국심리'!$A718,"")</f>
        <v/>
      </c>
      <c r="V734">
        <f>IF(AND(ISNUMBER('자료_한국심리'!$D718),ISNUMBER('자료_한국심리'!$E718)),'자료_한국심리'!$D718,"")</f>
        <v/>
      </c>
      <c r="W734">
        <f>IF(AND(ISNUMBER('자료_한국심리'!$G718),ISNUMBER('자료_한국심리'!$H718)),'자료_한국심리'!$G718,"")</f>
        <v/>
      </c>
      <c r="X734">
        <f>IF(AND(ISNUMBER('자료_한국심리'!$J718),ISNUMBER('자료_한국심리'!$K718)),'자료_한국심리'!$J718,"")</f>
        <v/>
      </c>
      <c r="Y734">
        <f>IF(AND(ISNUMBER('자료_한국심리'!$M718),ISNUMBER('자료_한국심리'!$N718)),'자료_한국심리'!$M718,"")</f>
        <v/>
      </c>
    </row>
    <row r="735">
      <c r="A735" s="10">
        <f>IF(717&gt;$E$5,"",SMALL($U$19:$U$4018,$E$6+717))</f>
        <v/>
      </c>
      <c r="B735" s="29">
        <f>IF(A735="","",INDEX('자료_한국심리'!$B$3:$B$4002,MATCH(A735,$U$19:$U$4018,0)))</f>
        <v/>
      </c>
      <c r="C735" s="22">
        <f>IF(A735="","",B735/AVERAGE(B611:B735)-1)</f>
        <v/>
      </c>
      <c r="D735" s="29">
        <f>IF(A735="","",IFERROR(INDEX('자료_한국심리'!$E$3:$E$4002,MATCH(A735,$V$19:$V$4018,0)),D734))</f>
        <v/>
      </c>
      <c r="E735" s="30">
        <f>IF(A735="","",IFERROR(INDEX('자료_한국심리'!$H$3:$H$4002,MATCH(A735,$W$19:$W$4018,0)),E734))</f>
        <v/>
      </c>
      <c r="F735" s="30">
        <f>IF(A735="","",IFERROR(INDEX('자료_한국심리'!$K$3:$K$4002,MATCH(A735,$X$19:$X$4018,0)),F734))</f>
        <v/>
      </c>
      <c r="G735" s="30">
        <f>IF(AND(ISNUMBER(E735),ISNUMBER(F735)),ROUND(E735-F735,6),"")</f>
        <v/>
      </c>
      <c r="H735" s="25">
        <f>IF(A735="","",IFERROR(INDEX('자료_한국심리'!$N$3:$N$4002,MATCH(A735,$Y$19:$Y$4018,0)),H734))</f>
        <v/>
      </c>
      <c r="I735" s="31">
        <f>IF(AND(ISNUMBER(H735),ISNUMBER(H715)),IF(H715&gt;0,H735/H715-1,""),"")</f>
        <v/>
      </c>
      <c r="J735">
        <f>IF(A735="",0,IF(A735&gt;$B$5,1,0))</f>
        <v/>
      </c>
      <c r="K735" s="29">
        <f>IF(AND(J735=1,ISNUMBER(D735)),D735,"")</f>
        <v/>
      </c>
      <c r="L735" s="30">
        <f>IF(AND(J735=1,ISNUMBER(G735)),G735,"")</f>
        <v/>
      </c>
      <c r="M735" s="22">
        <f>IF(AND(J735=1,ISNUMBER(C735)),C735,"")</f>
        <v/>
      </c>
      <c r="N735" s="31">
        <f>IF(AND(J735=1,ISNUMBER(I735)),I735,"")</f>
        <v/>
      </c>
      <c r="O735" s="11">
        <f>IF(K735="","",100-IF($G$13=1,50,(_xlfn.RANK.AVG(K735,$K$19:$K$1518,1)-1)/($G$13-1)*100))</f>
        <v/>
      </c>
      <c r="P735" s="11">
        <f>IF(L735="","",100-IF($G$14=1,50,(_xlfn.RANK.AVG(L735,$L$19:$L$1518,1)-1)/($G$14-1)*100))</f>
        <v/>
      </c>
      <c r="Q735" s="11">
        <f>IF(M735="","",IF($G$15=1,50,(_xlfn.RANK.AVG(M735,$M$19:$M$1518,1)-1)/($G$15-1)*100))</f>
        <v/>
      </c>
      <c r="R735" s="11">
        <f>IF(N735="","",IF($G$16=1,50,(_xlfn.RANK.AVG(N735,$N$19:$N$1518,1)-1)/($G$16-1)*100))</f>
        <v/>
      </c>
      <c r="S735" s="11">
        <f>IF(COUNT(O735:R735)=4,ROUND(AVERAGE(O735:R735),6),"")</f>
        <v/>
      </c>
      <c r="U735">
        <f>IF(AND(ISNUMBER('자료_한국심리'!$A719),ISNUMBER('자료_한국심리'!$B719)),'자료_한국심리'!$A719,"")</f>
        <v/>
      </c>
      <c r="V735">
        <f>IF(AND(ISNUMBER('자료_한국심리'!$D719),ISNUMBER('자료_한국심리'!$E719)),'자료_한국심리'!$D719,"")</f>
        <v/>
      </c>
      <c r="W735">
        <f>IF(AND(ISNUMBER('자료_한국심리'!$G719),ISNUMBER('자료_한국심리'!$H719)),'자료_한국심리'!$G719,"")</f>
        <v/>
      </c>
      <c r="X735">
        <f>IF(AND(ISNUMBER('자료_한국심리'!$J719),ISNUMBER('자료_한국심리'!$K719)),'자료_한국심리'!$J719,"")</f>
        <v/>
      </c>
      <c r="Y735">
        <f>IF(AND(ISNUMBER('자료_한국심리'!$M719),ISNUMBER('자료_한국심리'!$N719)),'자료_한국심리'!$M719,"")</f>
        <v/>
      </c>
    </row>
    <row r="736">
      <c r="A736" s="10">
        <f>IF(718&gt;$E$5,"",SMALL($U$19:$U$4018,$E$6+718))</f>
        <v/>
      </c>
      <c r="B736" s="29">
        <f>IF(A736="","",INDEX('자료_한국심리'!$B$3:$B$4002,MATCH(A736,$U$19:$U$4018,0)))</f>
        <v/>
      </c>
      <c r="C736" s="22">
        <f>IF(A736="","",B736/AVERAGE(B612:B736)-1)</f>
        <v/>
      </c>
      <c r="D736" s="29">
        <f>IF(A736="","",IFERROR(INDEX('자료_한국심리'!$E$3:$E$4002,MATCH(A736,$V$19:$V$4018,0)),D735))</f>
        <v/>
      </c>
      <c r="E736" s="30">
        <f>IF(A736="","",IFERROR(INDEX('자료_한국심리'!$H$3:$H$4002,MATCH(A736,$W$19:$W$4018,0)),E735))</f>
        <v/>
      </c>
      <c r="F736" s="30">
        <f>IF(A736="","",IFERROR(INDEX('자료_한국심리'!$K$3:$K$4002,MATCH(A736,$X$19:$X$4018,0)),F735))</f>
        <v/>
      </c>
      <c r="G736" s="30">
        <f>IF(AND(ISNUMBER(E736),ISNUMBER(F736)),ROUND(E736-F736,6),"")</f>
        <v/>
      </c>
      <c r="H736" s="25">
        <f>IF(A736="","",IFERROR(INDEX('자료_한국심리'!$N$3:$N$4002,MATCH(A736,$Y$19:$Y$4018,0)),H735))</f>
        <v/>
      </c>
      <c r="I736" s="31">
        <f>IF(AND(ISNUMBER(H736),ISNUMBER(H716)),IF(H716&gt;0,H736/H716-1,""),"")</f>
        <v/>
      </c>
      <c r="J736">
        <f>IF(A736="",0,IF(A736&gt;$B$5,1,0))</f>
        <v/>
      </c>
      <c r="K736" s="29">
        <f>IF(AND(J736=1,ISNUMBER(D736)),D736,"")</f>
        <v/>
      </c>
      <c r="L736" s="30">
        <f>IF(AND(J736=1,ISNUMBER(G736)),G736,"")</f>
        <v/>
      </c>
      <c r="M736" s="22">
        <f>IF(AND(J736=1,ISNUMBER(C736)),C736,"")</f>
        <v/>
      </c>
      <c r="N736" s="31">
        <f>IF(AND(J736=1,ISNUMBER(I736)),I736,"")</f>
        <v/>
      </c>
      <c r="O736" s="11">
        <f>IF(K736="","",100-IF($G$13=1,50,(_xlfn.RANK.AVG(K736,$K$19:$K$1518,1)-1)/($G$13-1)*100))</f>
        <v/>
      </c>
      <c r="P736" s="11">
        <f>IF(L736="","",100-IF($G$14=1,50,(_xlfn.RANK.AVG(L736,$L$19:$L$1518,1)-1)/($G$14-1)*100))</f>
        <v/>
      </c>
      <c r="Q736" s="11">
        <f>IF(M736="","",IF($G$15=1,50,(_xlfn.RANK.AVG(M736,$M$19:$M$1518,1)-1)/($G$15-1)*100))</f>
        <v/>
      </c>
      <c r="R736" s="11">
        <f>IF(N736="","",IF($G$16=1,50,(_xlfn.RANK.AVG(N736,$N$19:$N$1518,1)-1)/($G$16-1)*100))</f>
        <v/>
      </c>
      <c r="S736" s="11">
        <f>IF(COUNT(O736:R736)=4,ROUND(AVERAGE(O736:R736),6),"")</f>
        <v/>
      </c>
      <c r="U736">
        <f>IF(AND(ISNUMBER('자료_한국심리'!$A720),ISNUMBER('자료_한국심리'!$B720)),'자료_한국심리'!$A720,"")</f>
        <v/>
      </c>
      <c r="V736">
        <f>IF(AND(ISNUMBER('자료_한국심리'!$D720),ISNUMBER('자료_한국심리'!$E720)),'자료_한국심리'!$D720,"")</f>
        <v/>
      </c>
      <c r="W736">
        <f>IF(AND(ISNUMBER('자료_한국심리'!$G720),ISNUMBER('자료_한국심리'!$H720)),'자료_한국심리'!$G720,"")</f>
        <v/>
      </c>
      <c r="X736">
        <f>IF(AND(ISNUMBER('자료_한국심리'!$J720),ISNUMBER('자료_한국심리'!$K720)),'자료_한국심리'!$J720,"")</f>
        <v/>
      </c>
      <c r="Y736">
        <f>IF(AND(ISNUMBER('자료_한국심리'!$M720),ISNUMBER('자료_한국심리'!$N720)),'자료_한국심리'!$M720,"")</f>
        <v/>
      </c>
    </row>
    <row r="737">
      <c r="A737" s="10">
        <f>IF(719&gt;$E$5,"",SMALL($U$19:$U$4018,$E$6+719))</f>
        <v/>
      </c>
      <c r="B737" s="29">
        <f>IF(A737="","",INDEX('자료_한국심리'!$B$3:$B$4002,MATCH(A737,$U$19:$U$4018,0)))</f>
        <v/>
      </c>
      <c r="C737" s="22">
        <f>IF(A737="","",B737/AVERAGE(B613:B737)-1)</f>
        <v/>
      </c>
      <c r="D737" s="29">
        <f>IF(A737="","",IFERROR(INDEX('자료_한국심리'!$E$3:$E$4002,MATCH(A737,$V$19:$V$4018,0)),D736))</f>
        <v/>
      </c>
      <c r="E737" s="30">
        <f>IF(A737="","",IFERROR(INDEX('자료_한국심리'!$H$3:$H$4002,MATCH(A737,$W$19:$W$4018,0)),E736))</f>
        <v/>
      </c>
      <c r="F737" s="30">
        <f>IF(A737="","",IFERROR(INDEX('자료_한국심리'!$K$3:$K$4002,MATCH(A737,$X$19:$X$4018,0)),F736))</f>
        <v/>
      </c>
      <c r="G737" s="30">
        <f>IF(AND(ISNUMBER(E737),ISNUMBER(F737)),ROUND(E737-F737,6),"")</f>
        <v/>
      </c>
      <c r="H737" s="25">
        <f>IF(A737="","",IFERROR(INDEX('자료_한국심리'!$N$3:$N$4002,MATCH(A737,$Y$19:$Y$4018,0)),H736))</f>
        <v/>
      </c>
      <c r="I737" s="31">
        <f>IF(AND(ISNUMBER(H737),ISNUMBER(H717)),IF(H717&gt;0,H737/H717-1,""),"")</f>
        <v/>
      </c>
      <c r="J737">
        <f>IF(A737="",0,IF(A737&gt;$B$5,1,0))</f>
        <v/>
      </c>
      <c r="K737" s="29">
        <f>IF(AND(J737=1,ISNUMBER(D737)),D737,"")</f>
        <v/>
      </c>
      <c r="L737" s="30">
        <f>IF(AND(J737=1,ISNUMBER(G737)),G737,"")</f>
        <v/>
      </c>
      <c r="M737" s="22">
        <f>IF(AND(J737=1,ISNUMBER(C737)),C737,"")</f>
        <v/>
      </c>
      <c r="N737" s="31">
        <f>IF(AND(J737=1,ISNUMBER(I737)),I737,"")</f>
        <v/>
      </c>
      <c r="O737" s="11">
        <f>IF(K737="","",100-IF($G$13=1,50,(_xlfn.RANK.AVG(K737,$K$19:$K$1518,1)-1)/($G$13-1)*100))</f>
        <v/>
      </c>
      <c r="P737" s="11">
        <f>IF(L737="","",100-IF($G$14=1,50,(_xlfn.RANK.AVG(L737,$L$19:$L$1518,1)-1)/($G$14-1)*100))</f>
        <v/>
      </c>
      <c r="Q737" s="11">
        <f>IF(M737="","",IF($G$15=1,50,(_xlfn.RANK.AVG(M737,$M$19:$M$1518,1)-1)/($G$15-1)*100))</f>
        <v/>
      </c>
      <c r="R737" s="11">
        <f>IF(N737="","",IF($G$16=1,50,(_xlfn.RANK.AVG(N737,$N$19:$N$1518,1)-1)/($G$16-1)*100))</f>
        <v/>
      </c>
      <c r="S737" s="11">
        <f>IF(COUNT(O737:R737)=4,ROUND(AVERAGE(O737:R737),6),"")</f>
        <v/>
      </c>
      <c r="U737">
        <f>IF(AND(ISNUMBER('자료_한국심리'!$A721),ISNUMBER('자료_한국심리'!$B721)),'자료_한국심리'!$A721,"")</f>
        <v/>
      </c>
      <c r="V737">
        <f>IF(AND(ISNUMBER('자료_한국심리'!$D721),ISNUMBER('자료_한국심리'!$E721)),'자료_한국심리'!$D721,"")</f>
        <v/>
      </c>
      <c r="W737">
        <f>IF(AND(ISNUMBER('자료_한국심리'!$G721),ISNUMBER('자료_한국심리'!$H721)),'자료_한국심리'!$G721,"")</f>
        <v/>
      </c>
      <c r="X737">
        <f>IF(AND(ISNUMBER('자료_한국심리'!$J721),ISNUMBER('자료_한국심리'!$K721)),'자료_한국심리'!$J721,"")</f>
        <v/>
      </c>
      <c r="Y737">
        <f>IF(AND(ISNUMBER('자료_한국심리'!$M721),ISNUMBER('자료_한국심리'!$N721)),'자료_한국심리'!$M721,"")</f>
        <v/>
      </c>
    </row>
    <row r="738">
      <c r="A738" s="10">
        <f>IF(720&gt;$E$5,"",SMALL($U$19:$U$4018,$E$6+720))</f>
        <v/>
      </c>
      <c r="B738" s="29">
        <f>IF(A738="","",INDEX('자료_한국심리'!$B$3:$B$4002,MATCH(A738,$U$19:$U$4018,0)))</f>
        <v/>
      </c>
      <c r="C738" s="22">
        <f>IF(A738="","",B738/AVERAGE(B614:B738)-1)</f>
        <v/>
      </c>
      <c r="D738" s="29">
        <f>IF(A738="","",IFERROR(INDEX('자료_한국심리'!$E$3:$E$4002,MATCH(A738,$V$19:$V$4018,0)),D737))</f>
        <v/>
      </c>
      <c r="E738" s="30">
        <f>IF(A738="","",IFERROR(INDEX('자료_한국심리'!$H$3:$H$4002,MATCH(A738,$W$19:$W$4018,0)),E737))</f>
        <v/>
      </c>
      <c r="F738" s="30">
        <f>IF(A738="","",IFERROR(INDEX('자료_한국심리'!$K$3:$K$4002,MATCH(A738,$X$19:$X$4018,0)),F737))</f>
        <v/>
      </c>
      <c r="G738" s="30">
        <f>IF(AND(ISNUMBER(E738),ISNUMBER(F738)),ROUND(E738-F738,6),"")</f>
        <v/>
      </c>
      <c r="H738" s="25">
        <f>IF(A738="","",IFERROR(INDEX('자료_한국심리'!$N$3:$N$4002,MATCH(A738,$Y$19:$Y$4018,0)),H737))</f>
        <v/>
      </c>
      <c r="I738" s="31">
        <f>IF(AND(ISNUMBER(H738),ISNUMBER(H718)),IF(H718&gt;0,H738/H718-1,""),"")</f>
        <v/>
      </c>
      <c r="J738">
        <f>IF(A738="",0,IF(A738&gt;$B$5,1,0))</f>
        <v/>
      </c>
      <c r="K738" s="29">
        <f>IF(AND(J738=1,ISNUMBER(D738)),D738,"")</f>
        <v/>
      </c>
      <c r="L738" s="30">
        <f>IF(AND(J738=1,ISNUMBER(G738)),G738,"")</f>
        <v/>
      </c>
      <c r="M738" s="22">
        <f>IF(AND(J738=1,ISNUMBER(C738)),C738,"")</f>
        <v/>
      </c>
      <c r="N738" s="31">
        <f>IF(AND(J738=1,ISNUMBER(I738)),I738,"")</f>
        <v/>
      </c>
      <c r="O738" s="11">
        <f>IF(K738="","",100-IF($G$13=1,50,(_xlfn.RANK.AVG(K738,$K$19:$K$1518,1)-1)/($G$13-1)*100))</f>
        <v/>
      </c>
      <c r="P738" s="11">
        <f>IF(L738="","",100-IF($G$14=1,50,(_xlfn.RANK.AVG(L738,$L$19:$L$1518,1)-1)/($G$14-1)*100))</f>
        <v/>
      </c>
      <c r="Q738" s="11">
        <f>IF(M738="","",IF($G$15=1,50,(_xlfn.RANK.AVG(M738,$M$19:$M$1518,1)-1)/($G$15-1)*100))</f>
        <v/>
      </c>
      <c r="R738" s="11">
        <f>IF(N738="","",IF($G$16=1,50,(_xlfn.RANK.AVG(N738,$N$19:$N$1518,1)-1)/($G$16-1)*100))</f>
        <v/>
      </c>
      <c r="S738" s="11">
        <f>IF(COUNT(O738:R738)=4,ROUND(AVERAGE(O738:R738),6),"")</f>
        <v/>
      </c>
      <c r="U738">
        <f>IF(AND(ISNUMBER('자료_한국심리'!$A722),ISNUMBER('자료_한국심리'!$B722)),'자료_한국심리'!$A722,"")</f>
        <v/>
      </c>
      <c r="V738">
        <f>IF(AND(ISNUMBER('자료_한국심리'!$D722),ISNUMBER('자료_한국심리'!$E722)),'자료_한국심리'!$D722,"")</f>
        <v/>
      </c>
      <c r="W738">
        <f>IF(AND(ISNUMBER('자료_한국심리'!$G722),ISNUMBER('자료_한국심리'!$H722)),'자료_한국심리'!$G722,"")</f>
        <v/>
      </c>
      <c r="X738">
        <f>IF(AND(ISNUMBER('자료_한국심리'!$J722),ISNUMBER('자료_한국심리'!$K722)),'자료_한국심리'!$J722,"")</f>
        <v/>
      </c>
      <c r="Y738">
        <f>IF(AND(ISNUMBER('자료_한국심리'!$M722),ISNUMBER('자료_한국심리'!$N722)),'자료_한국심리'!$M722,"")</f>
        <v/>
      </c>
    </row>
    <row r="739">
      <c r="A739" s="10">
        <f>IF(721&gt;$E$5,"",SMALL($U$19:$U$4018,$E$6+721))</f>
        <v/>
      </c>
      <c r="B739" s="29">
        <f>IF(A739="","",INDEX('자료_한국심리'!$B$3:$B$4002,MATCH(A739,$U$19:$U$4018,0)))</f>
        <v/>
      </c>
      <c r="C739" s="22">
        <f>IF(A739="","",B739/AVERAGE(B615:B739)-1)</f>
        <v/>
      </c>
      <c r="D739" s="29">
        <f>IF(A739="","",IFERROR(INDEX('자료_한국심리'!$E$3:$E$4002,MATCH(A739,$V$19:$V$4018,0)),D738))</f>
        <v/>
      </c>
      <c r="E739" s="30">
        <f>IF(A739="","",IFERROR(INDEX('자료_한국심리'!$H$3:$H$4002,MATCH(A739,$W$19:$W$4018,0)),E738))</f>
        <v/>
      </c>
      <c r="F739" s="30">
        <f>IF(A739="","",IFERROR(INDEX('자료_한국심리'!$K$3:$K$4002,MATCH(A739,$X$19:$X$4018,0)),F738))</f>
        <v/>
      </c>
      <c r="G739" s="30">
        <f>IF(AND(ISNUMBER(E739),ISNUMBER(F739)),ROUND(E739-F739,6),"")</f>
        <v/>
      </c>
      <c r="H739" s="25">
        <f>IF(A739="","",IFERROR(INDEX('자료_한국심리'!$N$3:$N$4002,MATCH(A739,$Y$19:$Y$4018,0)),H738))</f>
        <v/>
      </c>
      <c r="I739" s="31">
        <f>IF(AND(ISNUMBER(H739),ISNUMBER(H719)),IF(H719&gt;0,H739/H719-1,""),"")</f>
        <v/>
      </c>
      <c r="J739">
        <f>IF(A739="",0,IF(A739&gt;$B$5,1,0))</f>
        <v/>
      </c>
      <c r="K739" s="29">
        <f>IF(AND(J739=1,ISNUMBER(D739)),D739,"")</f>
        <v/>
      </c>
      <c r="L739" s="30">
        <f>IF(AND(J739=1,ISNUMBER(G739)),G739,"")</f>
        <v/>
      </c>
      <c r="M739" s="22">
        <f>IF(AND(J739=1,ISNUMBER(C739)),C739,"")</f>
        <v/>
      </c>
      <c r="N739" s="31">
        <f>IF(AND(J739=1,ISNUMBER(I739)),I739,"")</f>
        <v/>
      </c>
      <c r="O739" s="11">
        <f>IF(K739="","",100-IF($G$13=1,50,(_xlfn.RANK.AVG(K739,$K$19:$K$1518,1)-1)/($G$13-1)*100))</f>
        <v/>
      </c>
      <c r="P739" s="11">
        <f>IF(L739="","",100-IF($G$14=1,50,(_xlfn.RANK.AVG(L739,$L$19:$L$1518,1)-1)/($G$14-1)*100))</f>
        <v/>
      </c>
      <c r="Q739" s="11">
        <f>IF(M739="","",IF($G$15=1,50,(_xlfn.RANK.AVG(M739,$M$19:$M$1518,1)-1)/($G$15-1)*100))</f>
        <v/>
      </c>
      <c r="R739" s="11">
        <f>IF(N739="","",IF($G$16=1,50,(_xlfn.RANK.AVG(N739,$N$19:$N$1518,1)-1)/($G$16-1)*100))</f>
        <v/>
      </c>
      <c r="S739" s="11">
        <f>IF(COUNT(O739:R739)=4,ROUND(AVERAGE(O739:R739),6),"")</f>
        <v/>
      </c>
      <c r="U739">
        <f>IF(AND(ISNUMBER('자료_한국심리'!$A723),ISNUMBER('자료_한국심리'!$B723)),'자료_한국심리'!$A723,"")</f>
        <v/>
      </c>
      <c r="V739">
        <f>IF(AND(ISNUMBER('자료_한국심리'!$D723),ISNUMBER('자료_한국심리'!$E723)),'자료_한국심리'!$D723,"")</f>
        <v/>
      </c>
      <c r="W739">
        <f>IF(AND(ISNUMBER('자료_한국심리'!$G723),ISNUMBER('자료_한국심리'!$H723)),'자료_한국심리'!$G723,"")</f>
        <v/>
      </c>
      <c r="X739">
        <f>IF(AND(ISNUMBER('자료_한국심리'!$J723),ISNUMBER('자료_한국심리'!$K723)),'자료_한국심리'!$J723,"")</f>
        <v/>
      </c>
      <c r="Y739">
        <f>IF(AND(ISNUMBER('자료_한국심리'!$M723),ISNUMBER('자료_한국심리'!$N723)),'자료_한국심리'!$M723,"")</f>
        <v/>
      </c>
    </row>
    <row r="740">
      <c r="A740" s="10">
        <f>IF(722&gt;$E$5,"",SMALL($U$19:$U$4018,$E$6+722))</f>
        <v/>
      </c>
      <c r="B740" s="29">
        <f>IF(A740="","",INDEX('자료_한국심리'!$B$3:$B$4002,MATCH(A740,$U$19:$U$4018,0)))</f>
        <v/>
      </c>
      <c r="C740" s="22">
        <f>IF(A740="","",B740/AVERAGE(B616:B740)-1)</f>
        <v/>
      </c>
      <c r="D740" s="29">
        <f>IF(A740="","",IFERROR(INDEX('자료_한국심리'!$E$3:$E$4002,MATCH(A740,$V$19:$V$4018,0)),D739))</f>
        <v/>
      </c>
      <c r="E740" s="30">
        <f>IF(A740="","",IFERROR(INDEX('자료_한국심리'!$H$3:$H$4002,MATCH(A740,$W$19:$W$4018,0)),E739))</f>
        <v/>
      </c>
      <c r="F740" s="30">
        <f>IF(A740="","",IFERROR(INDEX('자료_한국심리'!$K$3:$K$4002,MATCH(A740,$X$19:$X$4018,0)),F739))</f>
        <v/>
      </c>
      <c r="G740" s="30">
        <f>IF(AND(ISNUMBER(E740),ISNUMBER(F740)),ROUND(E740-F740,6),"")</f>
        <v/>
      </c>
      <c r="H740" s="25">
        <f>IF(A740="","",IFERROR(INDEX('자료_한국심리'!$N$3:$N$4002,MATCH(A740,$Y$19:$Y$4018,0)),H739))</f>
        <v/>
      </c>
      <c r="I740" s="31">
        <f>IF(AND(ISNUMBER(H740),ISNUMBER(H720)),IF(H720&gt;0,H740/H720-1,""),"")</f>
        <v/>
      </c>
      <c r="J740">
        <f>IF(A740="",0,IF(A740&gt;$B$5,1,0))</f>
        <v/>
      </c>
      <c r="K740" s="29">
        <f>IF(AND(J740=1,ISNUMBER(D740)),D740,"")</f>
        <v/>
      </c>
      <c r="L740" s="30">
        <f>IF(AND(J740=1,ISNUMBER(G740)),G740,"")</f>
        <v/>
      </c>
      <c r="M740" s="22">
        <f>IF(AND(J740=1,ISNUMBER(C740)),C740,"")</f>
        <v/>
      </c>
      <c r="N740" s="31">
        <f>IF(AND(J740=1,ISNUMBER(I740)),I740,"")</f>
        <v/>
      </c>
      <c r="O740" s="11">
        <f>IF(K740="","",100-IF($G$13=1,50,(_xlfn.RANK.AVG(K740,$K$19:$K$1518,1)-1)/($G$13-1)*100))</f>
        <v/>
      </c>
      <c r="P740" s="11">
        <f>IF(L740="","",100-IF($G$14=1,50,(_xlfn.RANK.AVG(L740,$L$19:$L$1518,1)-1)/($G$14-1)*100))</f>
        <v/>
      </c>
      <c r="Q740" s="11">
        <f>IF(M740="","",IF($G$15=1,50,(_xlfn.RANK.AVG(M740,$M$19:$M$1518,1)-1)/($G$15-1)*100))</f>
        <v/>
      </c>
      <c r="R740" s="11">
        <f>IF(N740="","",IF($G$16=1,50,(_xlfn.RANK.AVG(N740,$N$19:$N$1518,1)-1)/($G$16-1)*100))</f>
        <v/>
      </c>
      <c r="S740" s="11">
        <f>IF(COUNT(O740:R740)=4,ROUND(AVERAGE(O740:R740),6),"")</f>
        <v/>
      </c>
      <c r="U740">
        <f>IF(AND(ISNUMBER('자료_한국심리'!$A724),ISNUMBER('자료_한국심리'!$B724)),'자료_한국심리'!$A724,"")</f>
        <v/>
      </c>
      <c r="V740">
        <f>IF(AND(ISNUMBER('자료_한국심리'!$D724),ISNUMBER('자료_한국심리'!$E724)),'자료_한국심리'!$D724,"")</f>
        <v/>
      </c>
      <c r="W740">
        <f>IF(AND(ISNUMBER('자료_한국심리'!$G724),ISNUMBER('자료_한국심리'!$H724)),'자료_한국심리'!$G724,"")</f>
        <v/>
      </c>
      <c r="X740">
        <f>IF(AND(ISNUMBER('자료_한국심리'!$J724),ISNUMBER('자료_한국심리'!$K724)),'자료_한국심리'!$J724,"")</f>
        <v/>
      </c>
      <c r="Y740">
        <f>IF(AND(ISNUMBER('자료_한국심리'!$M724),ISNUMBER('자료_한국심리'!$N724)),'자료_한국심리'!$M724,"")</f>
        <v/>
      </c>
    </row>
    <row r="741">
      <c r="A741" s="10">
        <f>IF(723&gt;$E$5,"",SMALL($U$19:$U$4018,$E$6+723))</f>
        <v/>
      </c>
      <c r="B741" s="29">
        <f>IF(A741="","",INDEX('자료_한국심리'!$B$3:$B$4002,MATCH(A741,$U$19:$U$4018,0)))</f>
        <v/>
      </c>
      <c r="C741" s="22">
        <f>IF(A741="","",B741/AVERAGE(B617:B741)-1)</f>
        <v/>
      </c>
      <c r="D741" s="29">
        <f>IF(A741="","",IFERROR(INDEX('자료_한국심리'!$E$3:$E$4002,MATCH(A741,$V$19:$V$4018,0)),D740))</f>
        <v/>
      </c>
      <c r="E741" s="30">
        <f>IF(A741="","",IFERROR(INDEX('자료_한국심리'!$H$3:$H$4002,MATCH(A741,$W$19:$W$4018,0)),E740))</f>
        <v/>
      </c>
      <c r="F741" s="30">
        <f>IF(A741="","",IFERROR(INDEX('자료_한국심리'!$K$3:$K$4002,MATCH(A741,$X$19:$X$4018,0)),F740))</f>
        <v/>
      </c>
      <c r="G741" s="30">
        <f>IF(AND(ISNUMBER(E741),ISNUMBER(F741)),ROUND(E741-F741,6),"")</f>
        <v/>
      </c>
      <c r="H741" s="25">
        <f>IF(A741="","",IFERROR(INDEX('자료_한국심리'!$N$3:$N$4002,MATCH(A741,$Y$19:$Y$4018,0)),H740))</f>
        <v/>
      </c>
      <c r="I741" s="31">
        <f>IF(AND(ISNUMBER(H741),ISNUMBER(H721)),IF(H721&gt;0,H741/H721-1,""),"")</f>
        <v/>
      </c>
      <c r="J741">
        <f>IF(A741="",0,IF(A741&gt;$B$5,1,0))</f>
        <v/>
      </c>
      <c r="K741" s="29">
        <f>IF(AND(J741=1,ISNUMBER(D741)),D741,"")</f>
        <v/>
      </c>
      <c r="L741" s="30">
        <f>IF(AND(J741=1,ISNUMBER(G741)),G741,"")</f>
        <v/>
      </c>
      <c r="M741" s="22">
        <f>IF(AND(J741=1,ISNUMBER(C741)),C741,"")</f>
        <v/>
      </c>
      <c r="N741" s="31">
        <f>IF(AND(J741=1,ISNUMBER(I741)),I741,"")</f>
        <v/>
      </c>
      <c r="O741" s="11">
        <f>IF(K741="","",100-IF($G$13=1,50,(_xlfn.RANK.AVG(K741,$K$19:$K$1518,1)-1)/($G$13-1)*100))</f>
        <v/>
      </c>
      <c r="P741" s="11">
        <f>IF(L741="","",100-IF($G$14=1,50,(_xlfn.RANK.AVG(L741,$L$19:$L$1518,1)-1)/($G$14-1)*100))</f>
        <v/>
      </c>
      <c r="Q741" s="11">
        <f>IF(M741="","",IF($G$15=1,50,(_xlfn.RANK.AVG(M741,$M$19:$M$1518,1)-1)/($G$15-1)*100))</f>
        <v/>
      </c>
      <c r="R741" s="11">
        <f>IF(N741="","",IF($G$16=1,50,(_xlfn.RANK.AVG(N741,$N$19:$N$1518,1)-1)/($G$16-1)*100))</f>
        <v/>
      </c>
      <c r="S741" s="11">
        <f>IF(COUNT(O741:R741)=4,ROUND(AVERAGE(O741:R741),6),"")</f>
        <v/>
      </c>
      <c r="U741">
        <f>IF(AND(ISNUMBER('자료_한국심리'!$A725),ISNUMBER('자료_한국심리'!$B725)),'자료_한국심리'!$A725,"")</f>
        <v/>
      </c>
      <c r="V741">
        <f>IF(AND(ISNUMBER('자료_한국심리'!$D725),ISNUMBER('자료_한국심리'!$E725)),'자료_한국심리'!$D725,"")</f>
        <v/>
      </c>
      <c r="W741">
        <f>IF(AND(ISNUMBER('자료_한국심리'!$G725),ISNUMBER('자료_한국심리'!$H725)),'자료_한국심리'!$G725,"")</f>
        <v/>
      </c>
      <c r="X741">
        <f>IF(AND(ISNUMBER('자료_한국심리'!$J725),ISNUMBER('자료_한국심리'!$K725)),'자료_한국심리'!$J725,"")</f>
        <v/>
      </c>
      <c r="Y741">
        <f>IF(AND(ISNUMBER('자료_한국심리'!$M725),ISNUMBER('자료_한국심리'!$N725)),'자료_한국심리'!$M725,"")</f>
        <v/>
      </c>
    </row>
    <row r="742">
      <c r="A742" s="10">
        <f>IF(724&gt;$E$5,"",SMALL($U$19:$U$4018,$E$6+724))</f>
        <v/>
      </c>
      <c r="B742" s="29">
        <f>IF(A742="","",INDEX('자료_한국심리'!$B$3:$B$4002,MATCH(A742,$U$19:$U$4018,0)))</f>
        <v/>
      </c>
      <c r="C742" s="22">
        <f>IF(A742="","",B742/AVERAGE(B618:B742)-1)</f>
        <v/>
      </c>
      <c r="D742" s="29">
        <f>IF(A742="","",IFERROR(INDEX('자료_한국심리'!$E$3:$E$4002,MATCH(A742,$V$19:$V$4018,0)),D741))</f>
        <v/>
      </c>
      <c r="E742" s="30">
        <f>IF(A742="","",IFERROR(INDEX('자료_한국심리'!$H$3:$H$4002,MATCH(A742,$W$19:$W$4018,0)),E741))</f>
        <v/>
      </c>
      <c r="F742" s="30">
        <f>IF(A742="","",IFERROR(INDEX('자료_한국심리'!$K$3:$K$4002,MATCH(A742,$X$19:$X$4018,0)),F741))</f>
        <v/>
      </c>
      <c r="G742" s="30">
        <f>IF(AND(ISNUMBER(E742),ISNUMBER(F742)),ROUND(E742-F742,6),"")</f>
        <v/>
      </c>
      <c r="H742" s="25">
        <f>IF(A742="","",IFERROR(INDEX('자료_한국심리'!$N$3:$N$4002,MATCH(A742,$Y$19:$Y$4018,0)),H741))</f>
        <v/>
      </c>
      <c r="I742" s="31">
        <f>IF(AND(ISNUMBER(H742),ISNUMBER(H722)),IF(H722&gt;0,H742/H722-1,""),"")</f>
        <v/>
      </c>
      <c r="J742">
        <f>IF(A742="",0,IF(A742&gt;$B$5,1,0))</f>
        <v/>
      </c>
      <c r="K742" s="29">
        <f>IF(AND(J742=1,ISNUMBER(D742)),D742,"")</f>
        <v/>
      </c>
      <c r="L742" s="30">
        <f>IF(AND(J742=1,ISNUMBER(G742)),G742,"")</f>
        <v/>
      </c>
      <c r="M742" s="22">
        <f>IF(AND(J742=1,ISNUMBER(C742)),C742,"")</f>
        <v/>
      </c>
      <c r="N742" s="31">
        <f>IF(AND(J742=1,ISNUMBER(I742)),I742,"")</f>
        <v/>
      </c>
      <c r="O742" s="11">
        <f>IF(K742="","",100-IF($G$13=1,50,(_xlfn.RANK.AVG(K742,$K$19:$K$1518,1)-1)/($G$13-1)*100))</f>
        <v/>
      </c>
      <c r="P742" s="11">
        <f>IF(L742="","",100-IF($G$14=1,50,(_xlfn.RANK.AVG(L742,$L$19:$L$1518,1)-1)/($G$14-1)*100))</f>
        <v/>
      </c>
      <c r="Q742" s="11">
        <f>IF(M742="","",IF($G$15=1,50,(_xlfn.RANK.AVG(M742,$M$19:$M$1518,1)-1)/($G$15-1)*100))</f>
        <v/>
      </c>
      <c r="R742" s="11">
        <f>IF(N742="","",IF($G$16=1,50,(_xlfn.RANK.AVG(N742,$N$19:$N$1518,1)-1)/($G$16-1)*100))</f>
        <v/>
      </c>
      <c r="S742" s="11">
        <f>IF(COUNT(O742:R742)=4,ROUND(AVERAGE(O742:R742),6),"")</f>
        <v/>
      </c>
      <c r="U742">
        <f>IF(AND(ISNUMBER('자료_한국심리'!$A726),ISNUMBER('자료_한국심리'!$B726)),'자료_한국심리'!$A726,"")</f>
        <v/>
      </c>
      <c r="V742">
        <f>IF(AND(ISNUMBER('자료_한국심리'!$D726),ISNUMBER('자료_한국심리'!$E726)),'자료_한국심리'!$D726,"")</f>
        <v/>
      </c>
      <c r="W742">
        <f>IF(AND(ISNUMBER('자료_한국심리'!$G726),ISNUMBER('자료_한국심리'!$H726)),'자료_한국심리'!$G726,"")</f>
        <v/>
      </c>
      <c r="X742">
        <f>IF(AND(ISNUMBER('자료_한국심리'!$J726),ISNUMBER('자료_한국심리'!$K726)),'자료_한국심리'!$J726,"")</f>
        <v/>
      </c>
      <c r="Y742">
        <f>IF(AND(ISNUMBER('자료_한국심리'!$M726),ISNUMBER('자료_한국심리'!$N726)),'자료_한국심리'!$M726,"")</f>
        <v/>
      </c>
    </row>
    <row r="743">
      <c r="A743" s="10">
        <f>IF(725&gt;$E$5,"",SMALL($U$19:$U$4018,$E$6+725))</f>
        <v/>
      </c>
      <c r="B743" s="29">
        <f>IF(A743="","",INDEX('자료_한국심리'!$B$3:$B$4002,MATCH(A743,$U$19:$U$4018,0)))</f>
        <v/>
      </c>
      <c r="C743" s="22">
        <f>IF(A743="","",B743/AVERAGE(B619:B743)-1)</f>
        <v/>
      </c>
      <c r="D743" s="29">
        <f>IF(A743="","",IFERROR(INDEX('자료_한국심리'!$E$3:$E$4002,MATCH(A743,$V$19:$V$4018,0)),D742))</f>
        <v/>
      </c>
      <c r="E743" s="30">
        <f>IF(A743="","",IFERROR(INDEX('자료_한국심리'!$H$3:$H$4002,MATCH(A743,$W$19:$W$4018,0)),E742))</f>
        <v/>
      </c>
      <c r="F743" s="30">
        <f>IF(A743="","",IFERROR(INDEX('자료_한국심리'!$K$3:$K$4002,MATCH(A743,$X$19:$X$4018,0)),F742))</f>
        <v/>
      </c>
      <c r="G743" s="30">
        <f>IF(AND(ISNUMBER(E743),ISNUMBER(F743)),ROUND(E743-F743,6),"")</f>
        <v/>
      </c>
      <c r="H743" s="25">
        <f>IF(A743="","",IFERROR(INDEX('자료_한국심리'!$N$3:$N$4002,MATCH(A743,$Y$19:$Y$4018,0)),H742))</f>
        <v/>
      </c>
      <c r="I743" s="31">
        <f>IF(AND(ISNUMBER(H743),ISNUMBER(H723)),IF(H723&gt;0,H743/H723-1,""),"")</f>
        <v/>
      </c>
      <c r="J743">
        <f>IF(A743="",0,IF(A743&gt;$B$5,1,0))</f>
        <v/>
      </c>
      <c r="K743" s="29">
        <f>IF(AND(J743=1,ISNUMBER(D743)),D743,"")</f>
        <v/>
      </c>
      <c r="L743" s="30">
        <f>IF(AND(J743=1,ISNUMBER(G743)),G743,"")</f>
        <v/>
      </c>
      <c r="M743" s="22">
        <f>IF(AND(J743=1,ISNUMBER(C743)),C743,"")</f>
        <v/>
      </c>
      <c r="N743" s="31">
        <f>IF(AND(J743=1,ISNUMBER(I743)),I743,"")</f>
        <v/>
      </c>
      <c r="O743" s="11">
        <f>IF(K743="","",100-IF($G$13=1,50,(_xlfn.RANK.AVG(K743,$K$19:$K$1518,1)-1)/($G$13-1)*100))</f>
        <v/>
      </c>
      <c r="P743" s="11">
        <f>IF(L743="","",100-IF($G$14=1,50,(_xlfn.RANK.AVG(L743,$L$19:$L$1518,1)-1)/($G$14-1)*100))</f>
        <v/>
      </c>
      <c r="Q743" s="11">
        <f>IF(M743="","",IF($G$15=1,50,(_xlfn.RANK.AVG(M743,$M$19:$M$1518,1)-1)/($G$15-1)*100))</f>
        <v/>
      </c>
      <c r="R743" s="11">
        <f>IF(N743="","",IF($G$16=1,50,(_xlfn.RANK.AVG(N743,$N$19:$N$1518,1)-1)/($G$16-1)*100))</f>
        <v/>
      </c>
      <c r="S743" s="11">
        <f>IF(COUNT(O743:R743)=4,ROUND(AVERAGE(O743:R743),6),"")</f>
        <v/>
      </c>
      <c r="U743">
        <f>IF(AND(ISNUMBER('자료_한국심리'!$A727),ISNUMBER('자료_한국심리'!$B727)),'자료_한국심리'!$A727,"")</f>
        <v/>
      </c>
      <c r="V743">
        <f>IF(AND(ISNUMBER('자료_한국심리'!$D727),ISNUMBER('자료_한국심리'!$E727)),'자료_한국심리'!$D727,"")</f>
        <v/>
      </c>
      <c r="W743">
        <f>IF(AND(ISNUMBER('자료_한국심리'!$G727),ISNUMBER('자료_한국심리'!$H727)),'자료_한국심리'!$G727,"")</f>
        <v/>
      </c>
      <c r="X743">
        <f>IF(AND(ISNUMBER('자료_한국심리'!$J727),ISNUMBER('자료_한국심리'!$K727)),'자료_한국심리'!$J727,"")</f>
        <v/>
      </c>
      <c r="Y743">
        <f>IF(AND(ISNUMBER('자료_한국심리'!$M727),ISNUMBER('자료_한국심리'!$N727)),'자료_한국심리'!$M727,"")</f>
        <v/>
      </c>
    </row>
    <row r="744">
      <c r="A744" s="10">
        <f>IF(726&gt;$E$5,"",SMALL($U$19:$U$4018,$E$6+726))</f>
        <v/>
      </c>
      <c r="B744" s="29">
        <f>IF(A744="","",INDEX('자료_한국심리'!$B$3:$B$4002,MATCH(A744,$U$19:$U$4018,0)))</f>
        <v/>
      </c>
      <c r="C744" s="22">
        <f>IF(A744="","",B744/AVERAGE(B620:B744)-1)</f>
        <v/>
      </c>
      <c r="D744" s="29">
        <f>IF(A744="","",IFERROR(INDEX('자료_한국심리'!$E$3:$E$4002,MATCH(A744,$V$19:$V$4018,0)),D743))</f>
        <v/>
      </c>
      <c r="E744" s="30">
        <f>IF(A744="","",IFERROR(INDEX('자료_한국심리'!$H$3:$H$4002,MATCH(A744,$W$19:$W$4018,0)),E743))</f>
        <v/>
      </c>
      <c r="F744" s="30">
        <f>IF(A744="","",IFERROR(INDEX('자료_한국심리'!$K$3:$K$4002,MATCH(A744,$X$19:$X$4018,0)),F743))</f>
        <v/>
      </c>
      <c r="G744" s="30">
        <f>IF(AND(ISNUMBER(E744),ISNUMBER(F744)),ROUND(E744-F744,6),"")</f>
        <v/>
      </c>
      <c r="H744" s="25">
        <f>IF(A744="","",IFERROR(INDEX('자료_한국심리'!$N$3:$N$4002,MATCH(A744,$Y$19:$Y$4018,0)),H743))</f>
        <v/>
      </c>
      <c r="I744" s="31">
        <f>IF(AND(ISNUMBER(H744),ISNUMBER(H724)),IF(H724&gt;0,H744/H724-1,""),"")</f>
        <v/>
      </c>
      <c r="J744">
        <f>IF(A744="",0,IF(A744&gt;$B$5,1,0))</f>
        <v/>
      </c>
      <c r="K744" s="29">
        <f>IF(AND(J744=1,ISNUMBER(D744)),D744,"")</f>
        <v/>
      </c>
      <c r="L744" s="30">
        <f>IF(AND(J744=1,ISNUMBER(G744)),G744,"")</f>
        <v/>
      </c>
      <c r="M744" s="22">
        <f>IF(AND(J744=1,ISNUMBER(C744)),C744,"")</f>
        <v/>
      </c>
      <c r="N744" s="31">
        <f>IF(AND(J744=1,ISNUMBER(I744)),I744,"")</f>
        <v/>
      </c>
      <c r="O744" s="11">
        <f>IF(K744="","",100-IF($G$13=1,50,(_xlfn.RANK.AVG(K744,$K$19:$K$1518,1)-1)/($G$13-1)*100))</f>
        <v/>
      </c>
      <c r="P744" s="11">
        <f>IF(L744="","",100-IF($G$14=1,50,(_xlfn.RANK.AVG(L744,$L$19:$L$1518,1)-1)/($G$14-1)*100))</f>
        <v/>
      </c>
      <c r="Q744" s="11">
        <f>IF(M744="","",IF($G$15=1,50,(_xlfn.RANK.AVG(M744,$M$19:$M$1518,1)-1)/($G$15-1)*100))</f>
        <v/>
      </c>
      <c r="R744" s="11">
        <f>IF(N744="","",IF($G$16=1,50,(_xlfn.RANK.AVG(N744,$N$19:$N$1518,1)-1)/($G$16-1)*100))</f>
        <v/>
      </c>
      <c r="S744" s="11">
        <f>IF(COUNT(O744:R744)=4,ROUND(AVERAGE(O744:R744),6),"")</f>
        <v/>
      </c>
      <c r="U744">
        <f>IF(AND(ISNUMBER('자료_한국심리'!$A728),ISNUMBER('자료_한국심리'!$B728)),'자료_한국심리'!$A728,"")</f>
        <v/>
      </c>
      <c r="V744">
        <f>IF(AND(ISNUMBER('자료_한국심리'!$D728),ISNUMBER('자료_한국심리'!$E728)),'자료_한국심리'!$D728,"")</f>
        <v/>
      </c>
      <c r="W744">
        <f>IF(AND(ISNUMBER('자료_한국심리'!$G728),ISNUMBER('자료_한국심리'!$H728)),'자료_한국심리'!$G728,"")</f>
        <v/>
      </c>
      <c r="X744">
        <f>IF(AND(ISNUMBER('자료_한국심리'!$J728),ISNUMBER('자료_한국심리'!$K728)),'자료_한국심리'!$J728,"")</f>
        <v/>
      </c>
      <c r="Y744">
        <f>IF(AND(ISNUMBER('자료_한국심리'!$M728),ISNUMBER('자료_한국심리'!$N728)),'자료_한국심리'!$M728,"")</f>
        <v/>
      </c>
    </row>
    <row r="745">
      <c r="A745" s="10">
        <f>IF(727&gt;$E$5,"",SMALL($U$19:$U$4018,$E$6+727))</f>
        <v/>
      </c>
      <c r="B745" s="29">
        <f>IF(A745="","",INDEX('자료_한국심리'!$B$3:$B$4002,MATCH(A745,$U$19:$U$4018,0)))</f>
        <v/>
      </c>
      <c r="C745" s="22">
        <f>IF(A745="","",B745/AVERAGE(B621:B745)-1)</f>
        <v/>
      </c>
      <c r="D745" s="29">
        <f>IF(A745="","",IFERROR(INDEX('자료_한국심리'!$E$3:$E$4002,MATCH(A745,$V$19:$V$4018,0)),D744))</f>
        <v/>
      </c>
      <c r="E745" s="30">
        <f>IF(A745="","",IFERROR(INDEX('자료_한국심리'!$H$3:$H$4002,MATCH(A745,$W$19:$W$4018,0)),E744))</f>
        <v/>
      </c>
      <c r="F745" s="30">
        <f>IF(A745="","",IFERROR(INDEX('자료_한국심리'!$K$3:$K$4002,MATCH(A745,$X$19:$X$4018,0)),F744))</f>
        <v/>
      </c>
      <c r="G745" s="30">
        <f>IF(AND(ISNUMBER(E745),ISNUMBER(F745)),ROUND(E745-F745,6),"")</f>
        <v/>
      </c>
      <c r="H745" s="25">
        <f>IF(A745="","",IFERROR(INDEX('자료_한국심리'!$N$3:$N$4002,MATCH(A745,$Y$19:$Y$4018,0)),H744))</f>
        <v/>
      </c>
      <c r="I745" s="31">
        <f>IF(AND(ISNUMBER(H745),ISNUMBER(H725)),IF(H725&gt;0,H745/H725-1,""),"")</f>
        <v/>
      </c>
      <c r="J745">
        <f>IF(A745="",0,IF(A745&gt;$B$5,1,0))</f>
        <v/>
      </c>
      <c r="K745" s="29">
        <f>IF(AND(J745=1,ISNUMBER(D745)),D745,"")</f>
        <v/>
      </c>
      <c r="L745" s="30">
        <f>IF(AND(J745=1,ISNUMBER(G745)),G745,"")</f>
        <v/>
      </c>
      <c r="M745" s="22">
        <f>IF(AND(J745=1,ISNUMBER(C745)),C745,"")</f>
        <v/>
      </c>
      <c r="N745" s="31">
        <f>IF(AND(J745=1,ISNUMBER(I745)),I745,"")</f>
        <v/>
      </c>
      <c r="O745" s="11">
        <f>IF(K745="","",100-IF($G$13=1,50,(_xlfn.RANK.AVG(K745,$K$19:$K$1518,1)-1)/($G$13-1)*100))</f>
        <v/>
      </c>
      <c r="P745" s="11">
        <f>IF(L745="","",100-IF($G$14=1,50,(_xlfn.RANK.AVG(L745,$L$19:$L$1518,1)-1)/($G$14-1)*100))</f>
        <v/>
      </c>
      <c r="Q745" s="11">
        <f>IF(M745="","",IF($G$15=1,50,(_xlfn.RANK.AVG(M745,$M$19:$M$1518,1)-1)/($G$15-1)*100))</f>
        <v/>
      </c>
      <c r="R745" s="11">
        <f>IF(N745="","",IF($G$16=1,50,(_xlfn.RANK.AVG(N745,$N$19:$N$1518,1)-1)/($G$16-1)*100))</f>
        <v/>
      </c>
      <c r="S745" s="11">
        <f>IF(COUNT(O745:R745)=4,ROUND(AVERAGE(O745:R745),6),"")</f>
        <v/>
      </c>
      <c r="U745">
        <f>IF(AND(ISNUMBER('자료_한국심리'!$A729),ISNUMBER('자료_한국심리'!$B729)),'자료_한국심리'!$A729,"")</f>
        <v/>
      </c>
      <c r="V745">
        <f>IF(AND(ISNUMBER('자료_한국심리'!$D729),ISNUMBER('자료_한국심리'!$E729)),'자료_한국심리'!$D729,"")</f>
        <v/>
      </c>
      <c r="W745">
        <f>IF(AND(ISNUMBER('자료_한국심리'!$G729),ISNUMBER('자료_한국심리'!$H729)),'자료_한국심리'!$G729,"")</f>
        <v/>
      </c>
      <c r="X745">
        <f>IF(AND(ISNUMBER('자료_한국심리'!$J729),ISNUMBER('자료_한국심리'!$K729)),'자료_한국심리'!$J729,"")</f>
        <v/>
      </c>
      <c r="Y745">
        <f>IF(AND(ISNUMBER('자료_한국심리'!$M729),ISNUMBER('자료_한국심리'!$N729)),'자료_한국심리'!$M729,"")</f>
        <v/>
      </c>
    </row>
    <row r="746">
      <c r="A746" s="10">
        <f>IF(728&gt;$E$5,"",SMALL($U$19:$U$4018,$E$6+728))</f>
        <v/>
      </c>
      <c r="B746" s="29">
        <f>IF(A746="","",INDEX('자료_한국심리'!$B$3:$B$4002,MATCH(A746,$U$19:$U$4018,0)))</f>
        <v/>
      </c>
      <c r="C746" s="22">
        <f>IF(A746="","",B746/AVERAGE(B622:B746)-1)</f>
        <v/>
      </c>
      <c r="D746" s="29">
        <f>IF(A746="","",IFERROR(INDEX('자료_한국심리'!$E$3:$E$4002,MATCH(A746,$V$19:$V$4018,0)),D745))</f>
        <v/>
      </c>
      <c r="E746" s="30">
        <f>IF(A746="","",IFERROR(INDEX('자료_한국심리'!$H$3:$H$4002,MATCH(A746,$W$19:$W$4018,0)),E745))</f>
        <v/>
      </c>
      <c r="F746" s="30">
        <f>IF(A746="","",IFERROR(INDEX('자료_한국심리'!$K$3:$K$4002,MATCH(A746,$X$19:$X$4018,0)),F745))</f>
        <v/>
      </c>
      <c r="G746" s="30">
        <f>IF(AND(ISNUMBER(E746),ISNUMBER(F746)),ROUND(E746-F746,6),"")</f>
        <v/>
      </c>
      <c r="H746" s="25">
        <f>IF(A746="","",IFERROR(INDEX('자료_한국심리'!$N$3:$N$4002,MATCH(A746,$Y$19:$Y$4018,0)),H745))</f>
        <v/>
      </c>
      <c r="I746" s="31">
        <f>IF(AND(ISNUMBER(H746),ISNUMBER(H726)),IF(H726&gt;0,H746/H726-1,""),"")</f>
        <v/>
      </c>
      <c r="J746">
        <f>IF(A746="",0,IF(A746&gt;$B$5,1,0))</f>
        <v/>
      </c>
      <c r="K746" s="29">
        <f>IF(AND(J746=1,ISNUMBER(D746)),D746,"")</f>
        <v/>
      </c>
      <c r="L746" s="30">
        <f>IF(AND(J746=1,ISNUMBER(G746)),G746,"")</f>
        <v/>
      </c>
      <c r="M746" s="22">
        <f>IF(AND(J746=1,ISNUMBER(C746)),C746,"")</f>
        <v/>
      </c>
      <c r="N746" s="31">
        <f>IF(AND(J746=1,ISNUMBER(I746)),I746,"")</f>
        <v/>
      </c>
      <c r="O746" s="11">
        <f>IF(K746="","",100-IF($G$13=1,50,(_xlfn.RANK.AVG(K746,$K$19:$K$1518,1)-1)/($G$13-1)*100))</f>
        <v/>
      </c>
      <c r="P746" s="11">
        <f>IF(L746="","",100-IF($G$14=1,50,(_xlfn.RANK.AVG(L746,$L$19:$L$1518,1)-1)/($G$14-1)*100))</f>
        <v/>
      </c>
      <c r="Q746" s="11">
        <f>IF(M746="","",IF($G$15=1,50,(_xlfn.RANK.AVG(M746,$M$19:$M$1518,1)-1)/($G$15-1)*100))</f>
        <v/>
      </c>
      <c r="R746" s="11">
        <f>IF(N746="","",IF($G$16=1,50,(_xlfn.RANK.AVG(N746,$N$19:$N$1518,1)-1)/($G$16-1)*100))</f>
        <v/>
      </c>
      <c r="S746" s="11">
        <f>IF(COUNT(O746:R746)=4,ROUND(AVERAGE(O746:R746),6),"")</f>
        <v/>
      </c>
      <c r="U746">
        <f>IF(AND(ISNUMBER('자료_한국심리'!$A730),ISNUMBER('자료_한국심리'!$B730)),'자료_한국심리'!$A730,"")</f>
        <v/>
      </c>
      <c r="V746">
        <f>IF(AND(ISNUMBER('자료_한국심리'!$D730),ISNUMBER('자료_한국심리'!$E730)),'자료_한국심리'!$D730,"")</f>
        <v/>
      </c>
      <c r="W746">
        <f>IF(AND(ISNUMBER('자료_한국심리'!$G730),ISNUMBER('자료_한국심리'!$H730)),'자료_한국심리'!$G730,"")</f>
        <v/>
      </c>
      <c r="X746">
        <f>IF(AND(ISNUMBER('자료_한국심리'!$J730),ISNUMBER('자료_한국심리'!$K730)),'자료_한국심리'!$J730,"")</f>
        <v/>
      </c>
      <c r="Y746">
        <f>IF(AND(ISNUMBER('자료_한국심리'!$M730),ISNUMBER('자료_한국심리'!$N730)),'자료_한국심리'!$M730,"")</f>
        <v/>
      </c>
    </row>
    <row r="747">
      <c r="A747" s="10">
        <f>IF(729&gt;$E$5,"",SMALL($U$19:$U$4018,$E$6+729))</f>
        <v/>
      </c>
      <c r="B747" s="29">
        <f>IF(A747="","",INDEX('자료_한국심리'!$B$3:$B$4002,MATCH(A747,$U$19:$U$4018,0)))</f>
        <v/>
      </c>
      <c r="C747" s="22">
        <f>IF(A747="","",B747/AVERAGE(B623:B747)-1)</f>
        <v/>
      </c>
      <c r="D747" s="29">
        <f>IF(A747="","",IFERROR(INDEX('자료_한국심리'!$E$3:$E$4002,MATCH(A747,$V$19:$V$4018,0)),D746))</f>
        <v/>
      </c>
      <c r="E747" s="30">
        <f>IF(A747="","",IFERROR(INDEX('자료_한국심리'!$H$3:$H$4002,MATCH(A747,$W$19:$W$4018,0)),E746))</f>
        <v/>
      </c>
      <c r="F747" s="30">
        <f>IF(A747="","",IFERROR(INDEX('자료_한국심리'!$K$3:$K$4002,MATCH(A747,$X$19:$X$4018,0)),F746))</f>
        <v/>
      </c>
      <c r="G747" s="30">
        <f>IF(AND(ISNUMBER(E747),ISNUMBER(F747)),ROUND(E747-F747,6),"")</f>
        <v/>
      </c>
      <c r="H747" s="25">
        <f>IF(A747="","",IFERROR(INDEX('자료_한국심리'!$N$3:$N$4002,MATCH(A747,$Y$19:$Y$4018,0)),H746))</f>
        <v/>
      </c>
      <c r="I747" s="31">
        <f>IF(AND(ISNUMBER(H747),ISNUMBER(H727)),IF(H727&gt;0,H747/H727-1,""),"")</f>
        <v/>
      </c>
      <c r="J747">
        <f>IF(A747="",0,IF(A747&gt;$B$5,1,0))</f>
        <v/>
      </c>
      <c r="K747" s="29">
        <f>IF(AND(J747=1,ISNUMBER(D747)),D747,"")</f>
        <v/>
      </c>
      <c r="L747" s="30">
        <f>IF(AND(J747=1,ISNUMBER(G747)),G747,"")</f>
        <v/>
      </c>
      <c r="M747" s="22">
        <f>IF(AND(J747=1,ISNUMBER(C747)),C747,"")</f>
        <v/>
      </c>
      <c r="N747" s="31">
        <f>IF(AND(J747=1,ISNUMBER(I747)),I747,"")</f>
        <v/>
      </c>
      <c r="O747" s="11">
        <f>IF(K747="","",100-IF($G$13=1,50,(_xlfn.RANK.AVG(K747,$K$19:$K$1518,1)-1)/($G$13-1)*100))</f>
        <v/>
      </c>
      <c r="P747" s="11">
        <f>IF(L747="","",100-IF($G$14=1,50,(_xlfn.RANK.AVG(L747,$L$19:$L$1518,1)-1)/($G$14-1)*100))</f>
        <v/>
      </c>
      <c r="Q747" s="11">
        <f>IF(M747="","",IF($G$15=1,50,(_xlfn.RANK.AVG(M747,$M$19:$M$1518,1)-1)/($G$15-1)*100))</f>
        <v/>
      </c>
      <c r="R747" s="11">
        <f>IF(N747="","",IF($G$16=1,50,(_xlfn.RANK.AVG(N747,$N$19:$N$1518,1)-1)/($G$16-1)*100))</f>
        <v/>
      </c>
      <c r="S747" s="11">
        <f>IF(COUNT(O747:R747)=4,ROUND(AVERAGE(O747:R747),6),"")</f>
        <v/>
      </c>
      <c r="U747">
        <f>IF(AND(ISNUMBER('자료_한국심리'!$A731),ISNUMBER('자료_한국심리'!$B731)),'자료_한국심리'!$A731,"")</f>
        <v/>
      </c>
      <c r="V747">
        <f>IF(AND(ISNUMBER('자료_한국심리'!$D731),ISNUMBER('자료_한국심리'!$E731)),'자료_한국심리'!$D731,"")</f>
        <v/>
      </c>
      <c r="W747">
        <f>IF(AND(ISNUMBER('자료_한국심리'!$G731),ISNUMBER('자료_한국심리'!$H731)),'자료_한국심리'!$G731,"")</f>
        <v/>
      </c>
      <c r="X747">
        <f>IF(AND(ISNUMBER('자료_한국심리'!$J731),ISNUMBER('자료_한국심리'!$K731)),'자료_한국심리'!$J731,"")</f>
        <v/>
      </c>
      <c r="Y747">
        <f>IF(AND(ISNUMBER('자료_한국심리'!$M731),ISNUMBER('자료_한국심리'!$N731)),'자료_한국심리'!$M731,"")</f>
        <v/>
      </c>
    </row>
    <row r="748">
      <c r="A748" s="10">
        <f>IF(730&gt;$E$5,"",SMALL($U$19:$U$4018,$E$6+730))</f>
        <v/>
      </c>
      <c r="B748" s="29">
        <f>IF(A748="","",INDEX('자료_한국심리'!$B$3:$B$4002,MATCH(A748,$U$19:$U$4018,0)))</f>
        <v/>
      </c>
      <c r="C748" s="22">
        <f>IF(A748="","",B748/AVERAGE(B624:B748)-1)</f>
        <v/>
      </c>
      <c r="D748" s="29">
        <f>IF(A748="","",IFERROR(INDEX('자료_한국심리'!$E$3:$E$4002,MATCH(A748,$V$19:$V$4018,0)),D747))</f>
        <v/>
      </c>
      <c r="E748" s="30">
        <f>IF(A748="","",IFERROR(INDEX('자료_한국심리'!$H$3:$H$4002,MATCH(A748,$W$19:$W$4018,0)),E747))</f>
        <v/>
      </c>
      <c r="F748" s="30">
        <f>IF(A748="","",IFERROR(INDEX('자료_한국심리'!$K$3:$K$4002,MATCH(A748,$X$19:$X$4018,0)),F747))</f>
        <v/>
      </c>
      <c r="G748" s="30">
        <f>IF(AND(ISNUMBER(E748),ISNUMBER(F748)),ROUND(E748-F748,6),"")</f>
        <v/>
      </c>
      <c r="H748" s="25">
        <f>IF(A748="","",IFERROR(INDEX('자료_한국심리'!$N$3:$N$4002,MATCH(A748,$Y$19:$Y$4018,0)),H747))</f>
        <v/>
      </c>
      <c r="I748" s="31">
        <f>IF(AND(ISNUMBER(H748),ISNUMBER(H728)),IF(H728&gt;0,H748/H728-1,""),"")</f>
        <v/>
      </c>
      <c r="J748">
        <f>IF(A748="",0,IF(A748&gt;$B$5,1,0))</f>
        <v/>
      </c>
      <c r="K748" s="29">
        <f>IF(AND(J748=1,ISNUMBER(D748)),D748,"")</f>
        <v/>
      </c>
      <c r="L748" s="30">
        <f>IF(AND(J748=1,ISNUMBER(G748)),G748,"")</f>
        <v/>
      </c>
      <c r="M748" s="22">
        <f>IF(AND(J748=1,ISNUMBER(C748)),C748,"")</f>
        <v/>
      </c>
      <c r="N748" s="31">
        <f>IF(AND(J748=1,ISNUMBER(I748)),I748,"")</f>
        <v/>
      </c>
      <c r="O748" s="11">
        <f>IF(K748="","",100-IF($G$13=1,50,(_xlfn.RANK.AVG(K748,$K$19:$K$1518,1)-1)/($G$13-1)*100))</f>
        <v/>
      </c>
      <c r="P748" s="11">
        <f>IF(L748="","",100-IF($G$14=1,50,(_xlfn.RANK.AVG(L748,$L$19:$L$1518,1)-1)/($G$14-1)*100))</f>
        <v/>
      </c>
      <c r="Q748" s="11">
        <f>IF(M748="","",IF($G$15=1,50,(_xlfn.RANK.AVG(M748,$M$19:$M$1518,1)-1)/($G$15-1)*100))</f>
        <v/>
      </c>
      <c r="R748" s="11">
        <f>IF(N748="","",IF($G$16=1,50,(_xlfn.RANK.AVG(N748,$N$19:$N$1518,1)-1)/($G$16-1)*100))</f>
        <v/>
      </c>
      <c r="S748" s="11">
        <f>IF(COUNT(O748:R748)=4,ROUND(AVERAGE(O748:R748),6),"")</f>
        <v/>
      </c>
      <c r="U748">
        <f>IF(AND(ISNUMBER('자료_한국심리'!$A732),ISNUMBER('자료_한국심리'!$B732)),'자료_한국심리'!$A732,"")</f>
        <v/>
      </c>
      <c r="V748">
        <f>IF(AND(ISNUMBER('자료_한국심리'!$D732),ISNUMBER('자료_한국심리'!$E732)),'자료_한국심리'!$D732,"")</f>
        <v/>
      </c>
      <c r="W748">
        <f>IF(AND(ISNUMBER('자료_한국심리'!$G732),ISNUMBER('자료_한국심리'!$H732)),'자료_한국심리'!$G732,"")</f>
        <v/>
      </c>
      <c r="X748">
        <f>IF(AND(ISNUMBER('자료_한국심리'!$J732),ISNUMBER('자료_한국심리'!$K732)),'자료_한국심리'!$J732,"")</f>
        <v/>
      </c>
      <c r="Y748">
        <f>IF(AND(ISNUMBER('자료_한국심리'!$M732),ISNUMBER('자료_한국심리'!$N732)),'자료_한국심리'!$M732,"")</f>
        <v/>
      </c>
    </row>
    <row r="749">
      <c r="A749" s="10">
        <f>IF(731&gt;$E$5,"",SMALL($U$19:$U$4018,$E$6+731))</f>
        <v/>
      </c>
      <c r="B749" s="29">
        <f>IF(A749="","",INDEX('자료_한국심리'!$B$3:$B$4002,MATCH(A749,$U$19:$U$4018,0)))</f>
        <v/>
      </c>
      <c r="C749" s="22">
        <f>IF(A749="","",B749/AVERAGE(B625:B749)-1)</f>
        <v/>
      </c>
      <c r="D749" s="29">
        <f>IF(A749="","",IFERROR(INDEX('자료_한국심리'!$E$3:$E$4002,MATCH(A749,$V$19:$V$4018,0)),D748))</f>
        <v/>
      </c>
      <c r="E749" s="30">
        <f>IF(A749="","",IFERROR(INDEX('자료_한국심리'!$H$3:$H$4002,MATCH(A749,$W$19:$W$4018,0)),E748))</f>
        <v/>
      </c>
      <c r="F749" s="30">
        <f>IF(A749="","",IFERROR(INDEX('자료_한국심리'!$K$3:$K$4002,MATCH(A749,$X$19:$X$4018,0)),F748))</f>
        <v/>
      </c>
      <c r="G749" s="30">
        <f>IF(AND(ISNUMBER(E749),ISNUMBER(F749)),ROUND(E749-F749,6),"")</f>
        <v/>
      </c>
      <c r="H749" s="25">
        <f>IF(A749="","",IFERROR(INDEX('자료_한국심리'!$N$3:$N$4002,MATCH(A749,$Y$19:$Y$4018,0)),H748))</f>
        <v/>
      </c>
      <c r="I749" s="31">
        <f>IF(AND(ISNUMBER(H749),ISNUMBER(H729)),IF(H729&gt;0,H749/H729-1,""),"")</f>
        <v/>
      </c>
      <c r="J749">
        <f>IF(A749="",0,IF(A749&gt;$B$5,1,0))</f>
        <v/>
      </c>
      <c r="K749" s="29">
        <f>IF(AND(J749=1,ISNUMBER(D749)),D749,"")</f>
        <v/>
      </c>
      <c r="L749" s="30">
        <f>IF(AND(J749=1,ISNUMBER(G749)),G749,"")</f>
        <v/>
      </c>
      <c r="M749" s="22">
        <f>IF(AND(J749=1,ISNUMBER(C749)),C749,"")</f>
        <v/>
      </c>
      <c r="N749" s="31">
        <f>IF(AND(J749=1,ISNUMBER(I749)),I749,"")</f>
        <v/>
      </c>
      <c r="O749" s="11">
        <f>IF(K749="","",100-IF($G$13=1,50,(_xlfn.RANK.AVG(K749,$K$19:$K$1518,1)-1)/($G$13-1)*100))</f>
        <v/>
      </c>
      <c r="P749" s="11">
        <f>IF(L749="","",100-IF($G$14=1,50,(_xlfn.RANK.AVG(L749,$L$19:$L$1518,1)-1)/($G$14-1)*100))</f>
        <v/>
      </c>
      <c r="Q749" s="11">
        <f>IF(M749="","",IF($G$15=1,50,(_xlfn.RANK.AVG(M749,$M$19:$M$1518,1)-1)/($G$15-1)*100))</f>
        <v/>
      </c>
      <c r="R749" s="11">
        <f>IF(N749="","",IF($G$16=1,50,(_xlfn.RANK.AVG(N749,$N$19:$N$1518,1)-1)/($G$16-1)*100))</f>
        <v/>
      </c>
      <c r="S749" s="11">
        <f>IF(COUNT(O749:R749)=4,ROUND(AVERAGE(O749:R749),6),"")</f>
        <v/>
      </c>
      <c r="U749">
        <f>IF(AND(ISNUMBER('자료_한국심리'!$A733),ISNUMBER('자료_한국심리'!$B733)),'자료_한국심리'!$A733,"")</f>
        <v/>
      </c>
      <c r="V749">
        <f>IF(AND(ISNUMBER('자료_한국심리'!$D733),ISNUMBER('자료_한국심리'!$E733)),'자료_한국심리'!$D733,"")</f>
        <v/>
      </c>
      <c r="W749">
        <f>IF(AND(ISNUMBER('자료_한국심리'!$G733),ISNUMBER('자료_한국심리'!$H733)),'자료_한국심리'!$G733,"")</f>
        <v/>
      </c>
      <c r="X749">
        <f>IF(AND(ISNUMBER('자료_한국심리'!$J733),ISNUMBER('자료_한국심리'!$K733)),'자료_한국심리'!$J733,"")</f>
        <v/>
      </c>
      <c r="Y749">
        <f>IF(AND(ISNUMBER('자료_한국심리'!$M733),ISNUMBER('자료_한국심리'!$N733)),'자료_한국심리'!$M733,"")</f>
        <v/>
      </c>
    </row>
    <row r="750">
      <c r="A750" s="10">
        <f>IF(732&gt;$E$5,"",SMALL($U$19:$U$4018,$E$6+732))</f>
        <v/>
      </c>
      <c r="B750" s="29">
        <f>IF(A750="","",INDEX('자료_한국심리'!$B$3:$B$4002,MATCH(A750,$U$19:$U$4018,0)))</f>
        <v/>
      </c>
      <c r="C750" s="22">
        <f>IF(A750="","",B750/AVERAGE(B626:B750)-1)</f>
        <v/>
      </c>
      <c r="D750" s="29">
        <f>IF(A750="","",IFERROR(INDEX('자료_한국심리'!$E$3:$E$4002,MATCH(A750,$V$19:$V$4018,0)),D749))</f>
        <v/>
      </c>
      <c r="E750" s="30">
        <f>IF(A750="","",IFERROR(INDEX('자료_한국심리'!$H$3:$H$4002,MATCH(A750,$W$19:$W$4018,0)),E749))</f>
        <v/>
      </c>
      <c r="F750" s="30">
        <f>IF(A750="","",IFERROR(INDEX('자료_한국심리'!$K$3:$K$4002,MATCH(A750,$X$19:$X$4018,0)),F749))</f>
        <v/>
      </c>
      <c r="G750" s="30">
        <f>IF(AND(ISNUMBER(E750),ISNUMBER(F750)),ROUND(E750-F750,6),"")</f>
        <v/>
      </c>
      <c r="H750" s="25">
        <f>IF(A750="","",IFERROR(INDEX('자료_한국심리'!$N$3:$N$4002,MATCH(A750,$Y$19:$Y$4018,0)),H749))</f>
        <v/>
      </c>
      <c r="I750" s="31">
        <f>IF(AND(ISNUMBER(H750),ISNUMBER(H730)),IF(H730&gt;0,H750/H730-1,""),"")</f>
        <v/>
      </c>
      <c r="J750">
        <f>IF(A750="",0,IF(A750&gt;$B$5,1,0))</f>
        <v/>
      </c>
      <c r="K750" s="29">
        <f>IF(AND(J750=1,ISNUMBER(D750)),D750,"")</f>
        <v/>
      </c>
      <c r="L750" s="30">
        <f>IF(AND(J750=1,ISNUMBER(G750)),G750,"")</f>
        <v/>
      </c>
      <c r="M750" s="22">
        <f>IF(AND(J750=1,ISNUMBER(C750)),C750,"")</f>
        <v/>
      </c>
      <c r="N750" s="31">
        <f>IF(AND(J750=1,ISNUMBER(I750)),I750,"")</f>
        <v/>
      </c>
      <c r="O750" s="11">
        <f>IF(K750="","",100-IF($G$13=1,50,(_xlfn.RANK.AVG(K750,$K$19:$K$1518,1)-1)/($G$13-1)*100))</f>
        <v/>
      </c>
      <c r="P750" s="11">
        <f>IF(L750="","",100-IF($G$14=1,50,(_xlfn.RANK.AVG(L750,$L$19:$L$1518,1)-1)/($G$14-1)*100))</f>
        <v/>
      </c>
      <c r="Q750" s="11">
        <f>IF(M750="","",IF($G$15=1,50,(_xlfn.RANK.AVG(M750,$M$19:$M$1518,1)-1)/($G$15-1)*100))</f>
        <v/>
      </c>
      <c r="R750" s="11">
        <f>IF(N750="","",IF($G$16=1,50,(_xlfn.RANK.AVG(N750,$N$19:$N$1518,1)-1)/($G$16-1)*100))</f>
        <v/>
      </c>
      <c r="S750" s="11">
        <f>IF(COUNT(O750:R750)=4,ROUND(AVERAGE(O750:R750),6),"")</f>
        <v/>
      </c>
      <c r="U750">
        <f>IF(AND(ISNUMBER('자료_한국심리'!$A734),ISNUMBER('자료_한국심리'!$B734)),'자료_한국심리'!$A734,"")</f>
        <v/>
      </c>
      <c r="V750">
        <f>IF(AND(ISNUMBER('자료_한국심리'!$D734),ISNUMBER('자료_한국심리'!$E734)),'자료_한국심리'!$D734,"")</f>
        <v/>
      </c>
      <c r="W750">
        <f>IF(AND(ISNUMBER('자료_한국심리'!$G734),ISNUMBER('자료_한국심리'!$H734)),'자료_한국심리'!$G734,"")</f>
        <v/>
      </c>
      <c r="X750">
        <f>IF(AND(ISNUMBER('자료_한국심리'!$J734),ISNUMBER('자료_한국심리'!$K734)),'자료_한국심리'!$J734,"")</f>
        <v/>
      </c>
      <c r="Y750">
        <f>IF(AND(ISNUMBER('자료_한국심리'!$M734),ISNUMBER('자료_한국심리'!$N734)),'자료_한국심리'!$M734,"")</f>
        <v/>
      </c>
    </row>
    <row r="751">
      <c r="A751" s="10">
        <f>IF(733&gt;$E$5,"",SMALL($U$19:$U$4018,$E$6+733))</f>
        <v/>
      </c>
      <c r="B751" s="29">
        <f>IF(A751="","",INDEX('자료_한국심리'!$B$3:$B$4002,MATCH(A751,$U$19:$U$4018,0)))</f>
        <v/>
      </c>
      <c r="C751" s="22">
        <f>IF(A751="","",B751/AVERAGE(B627:B751)-1)</f>
        <v/>
      </c>
      <c r="D751" s="29">
        <f>IF(A751="","",IFERROR(INDEX('자료_한국심리'!$E$3:$E$4002,MATCH(A751,$V$19:$V$4018,0)),D750))</f>
        <v/>
      </c>
      <c r="E751" s="30">
        <f>IF(A751="","",IFERROR(INDEX('자료_한국심리'!$H$3:$H$4002,MATCH(A751,$W$19:$W$4018,0)),E750))</f>
        <v/>
      </c>
      <c r="F751" s="30">
        <f>IF(A751="","",IFERROR(INDEX('자료_한국심리'!$K$3:$K$4002,MATCH(A751,$X$19:$X$4018,0)),F750))</f>
        <v/>
      </c>
      <c r="G751" s="30">
        <f>IF(AND(ISNUMBER(E751),ISNUMBER(F751)),ROUND(E751-F751,6),"")</f>
        <v/>
      </c>
      <c r="H751" s="25">
        <f>IF(A751="","",IFERROR(INDEX('자료_한국심리'!$N$3:$N$4002,MATCH(A751,$Y$19:$Y$4018,0)),H750))</f>
        <v/>
      </c>
      <c r="I751" s="31">
        <f>IF(AND(ISNUMBER(H751),ISNUMBER(H731)),IF(H731&gt;0,H751/H731-1,""),"")</f>
        <v/>
      </c>
      <c r="J751">
        <f>IF(A751="",0,IF(A751&gt;$B$5,1,0))</f>
        <v/>
      </c>
      <c r="K751" s="29">
        <f>IF(AND(J751=1,ISNUMBER(D751)),D751,"")</f>
        <v/>
      </c>
      <c r="L751" s="30">
        <f>IF(AND(J751=1,ISNUMBER(G751)),G751,"")</f>
        <v/>
      </c>
      <c r="M751" s="22">
        <f>IF(AND(J751=1,ISNUMBER(C751)),C751,"")</f>
        <v/>
      </c>
      <c r="N751" s="31">
        <f>IF(AND(J751=1,ISNUMBER(I751)),I751,"")</f>
        <v/>
      </c>
      <c r="O751" s="11">
        <f>IF(K751="","",100-IF($G$13=1,50,(_xlfn.RANK.AVG(K751,$K$19:$K$1518,1)-1)/($G$13-1)*100))</f>
        <v/>
      </c>
      <c r="P751" s="11">
        <f>IF(L751="","",100-IF($G$14=1,50,(_xlfn.RANK.AVG(L751,$L$19:$L$1518,1)-1)/($G$14-1)*100))</f>
        <v/>
      </c>
      <c r="Q751" s="11">
        <f>IF(M751="","",IF($G$15=1,50,(_xlfn.RANK.AVG(M751,$M$19:$M$1518,1)-1)/($G$15-1)*100))</f>
        <v/>
      </c>
      <c r="R751" s="11">
        <f>IF(N751="","",IF($G$16=1,50,(_xlfn.RANK.AVG(N751,$N$19:$N$1518,1)-1)/($G$16-1)*100))</f>
        <v/>
      </c>
      <c r="S751" s="11">
        <f>IF(COUNT(O751:R751)=4,ROUND(AVERAGE(O751:R751),6),"")</f>
        <v/>
      </c>
      <c r="U751">
        <f>IF(AND(ISNUMBER('자료_한국심리'!$A735),ISNUMBER('자료_한국심리'!$B735)),'자료_한국심리'!$A735,"")</f>
        <v/>
      </c>
      <c r="V751">
        <f>IF(AND(ISNUMBER('자료_한국심리'!$D735),ISNUMBER('자료_한국심리'!$E735)),'자료_한국심리'!$D735,"")</f>
        <v/>
      </c>
      <c r="W751">
        <f>IF(AND(ISNUMBER('자료_한국심리'!$G735),ISNUMBER('자료_한국심리'!$H735)),'자료_한국심리'!$G735,"")</f>
        <v/>
      </c>
      <c r="X751">
        <f>IF(AND(ISNUMBER('자료_한국심리'!$J735),ISNUMBER('자료_한국심리'!$K735)),'자료_한국심리'!$J735,"")</f>
        <v/>
      </c>
      <c r="Y751">
        <f>IF(AND(ISNUMBER('자료_한국심리'!$M735),ISNUMBER('자료_한국심리'!$N735)),'자료_한국심리'!$M735,"")</f>
        <v/>
      </c>
    </row>
    <row r="752">
      <c r="A752" s="10">
        <f>IF(734&gt;$E$5,"",SMALL($U$19:$U$4018,$E$6+734))</f>
        <v/>
      </c>
      <c r="B752" s="29">
        <f>IF(A752="","",INDEX('자료_한국심리'!$B$3:$B$4002,MATCH(A752,$U$19:$U$4018,0)))</f>
        <v/>
      </c>
      <c r="C752" s="22">
        <f>IF(A752="","",B752/AVERAGE(B628:B752)-1)</f>
        <v/>
      </c>
      <c r="D752" s="29">
        <f>IF(A752="","",IFERROR(INDEX('자료_한국심리'!$E$3:$E$4002,MATCH(A752,$V$19:$V$4018,0)),D751))</f>
        <v/>
      </c>
      <c r="E752" s="30">
        <f>IF(A752="","",IFERROR(INDEX('자료_한국심리'!$H$3:$H$4002,MATCH(A752,$W$19:$W$4018,0)),E751))</f>
        <v/>
      </c>
      <c r="F752" s="30">
        <f>IF(A752="","",IFERROR(INDEX('자료_한국심리'!$K$3:$K$4002,MATCH(A752,$X$19:$X$4018,0)),F751))</f>
        <v/>
      </c>
      <c r="G752" s="30">
        <f>IF(AND(ISNUMBER(E752),ISNUMBER(F752)),ROUND(E752-F752,6),"")</f>
        <v/>
      </c>
      <c r="H752" s="25">
        <f>IF(A752="","",IFERROR(INDEX('자료_한국심리'!$N$3:$N$4002,MATCH(A752,$Y$19:$Y$4018,0)),H751))</f>
        <v/>
      </c>
      <c r="I752" s="31">
        <f>IF(AND(ISNUMBER(H752),ISNUMBER(H732)),IF(H732&gt;0,H752/H732-1,""),"")</f>
        <v/>
      </c>
      <c r="J752">
        <f>IF(A752="",0,IF(A752&gt;$B$5,1,0))</f>
        <v/>
      </c>
      <c r="K752" s="29">
        <f>IF(AND(J752=1,ISNUMBER(D752)),D752,"")</f>
        <v/>
      </c>
      <c r="L752" s="30">
        <f>IF(AND(J752=1,ISNUMBER(G752)),G752,"")</f>
        <v/>
      </c>
      <c r="M752" s="22">
        <f>IF(AND(J752=1,ISNUMBER(C752)),C752,"")</f>
        <v/>
      </c>
      <c r="N752" s="31">
        <f>IF(AND(J752=1,ISNUMBER(I752)),I752,"")</f>
        <v/>
      </c>
      <c r="O752" s="11">
        <f>IF(K752="","",100-IF($G$13=1,50,(_xlfn.RANK.AVG(K752,$K$19:$K$1518,1)-1)/($G$13-1)*100))</f>
        <v/>
      </c>
      <c r="P752" s="11">
        <f>IF(L752="","",100-IF($G$14=1,50,(_xlfn.RANK.AVG(L752,$L$19:$L$1518,1)-1)/($G$14-1)*100))</f>
        <v/>
      </c>
      <c r="Q752" s="11">
        <f>IF(M752="","",IF($G$15=1,50,(_xlfn.RANK.AVG(M752,$M$19:$M$1518,1)-1)/($G$15-1)*100))</f>
        <v/>
      </c>
      <c r="R752" s="11">
        <f>IF(N752="","",IF($G$16=1,50,(_xlfn.RANK.AVG(N752,$N$19:$N$1518,1)-1)/($G$16-1)*100))</f>
        <v/>
      </c>
      <c r="S752" s="11">
        <f>IF(COUNT(O752:R752)=4,ROUND(AVERAGE(O752:R752),6),"")</f>
        <v/>
      </c>
      <c r="U752">
        <f>IF(AND(ISNUMBER('자료_한국심리'!$A736),ISNUMBER('자료_한국심리'!$B736)),'자료_한국심리'!$A736,"")</f>
        <v/>
      </c>
      <c r="V752">
        <f>IF(AND(ISNUMBER('자료_한국심리'!$D736),ISNUMBER('자료_한국심리'!$E736)),'자료_한국심리'!$D736,"")</f>
        <v/>
      </c>
      <c r="W752">
        <f>IF(AND(ISNUMBER('자료_한국심리'!$G736),ISNUMBER('자료_한국심리'!$H736)),'자료_한국심리'!$G736,"")</f>
        <v/>
      </c>
      <c r="X752">
        <f>IF(AND(ISNUMBER('자료_한국심리'!$J736),ISNUMBER('자료_한국심리'!$K736)),'자료_한국심리'!$J736,"")</f>
        <v/>
      </c>
      <c r="Y752">
        <f>IF(AND(ISNUMBER('자료_한국심리'!$M736),ISNUMBER('자료_한국심리'!$N736)),'자료_한국심리'!$M736,"")</f>
        <v/>
      </c>
    </row>
    <row r="753">
      <c r="A753" s="10">
        <f>IF(735&gt;$E$5,"",SMALL($U$19:$U$4018,$E$6+735))</f>
        <v/>
      </c>
      <c r="B753" s="29">
        <f>IF(A753="","",INDEX('자료_한국심리'!$B$3:$B$4002,MATCH(A753,$U$19:$U$4018,0)))</f>
        <v/>
      </c>
      <c r="C753" s="22">
        <f>IF(A753="","",B753/AVERAGE(B629:B753)-1)</f>
        <v/>
      </c>
      <c r="D753" s="29">
        <f>IF(A753="","",IFERROR(INDEX('자료_한국심리'!$E$3:$E$4002,MATCH(A753,$V$19:$V$4018,0)),D752))</f>
        <v/>
      </c>
      <c r="E753" s="30">
        <f>IF(A753="","",IFERROR(INDEX('자료_한국심리'!$H$3:$H$4002,MATCH(A753,$W$19:$W$4018,0)),E752))</f>
        <v/>
      </c>
      <c r="F753" s="30">
        <f>IF(A753="","",IFERROR(INDEX('자료_한국심리'!$K$3:$K$4002,MATCH(A753,$X$19:$X$4018,0)),F752))</f>
        <v/>
      </c>
      <c r="G753" s="30">
        <f>IF(AND(ISNUMBER(E753),ISNUMBER(F753)),ROUND(E753-F753,6),"")</f>
        <v/>
      </c>
      <c r="H753" s="25">
        <f>IF(A753="","",IFERROR(INDEX('자료_한국심리'!$N$3:$N$4002,MATCH(A753,$Y$19:$Y$4018,0)),H752))</f>
        <v/>
      </c>
      <c r="I753" s="31">
        <f>IF(AND(ISNUMBER(H753),ISNUMBER(H733)),IF(H733&gt;0,H753/H733-1,""),"")</f>
        <v/>
      </c>
      <c r="J753">
        <f>IF(A753="",0,IF(A753&gt;$B$5,1,0))</f>
        <v/>
      </c>
      <c r="K753" s="29">
        <f>IF(AND(J753=1,ISNUMBER(D753)),D753,"")</f>
        <v/>
      </c>
      <c r="L753" s="30">
        <f>IF(AND(J753=1,ISNUMBER(G753)),G753,"")</f>
        <v/>
      </c>
      <c r="M753" s="22">
        <f>IF(AND(J753=1,ISNUMBER(C753)),C753,"")</f>
        <v/>
      </c>
      <c r="N753" s="31">
        <f>IF(AND(J753=1,ISNUMBER(I753)),I753,"")</f>
        <v/>
      </c>
      <c r="O753" s="11">
        <f>IF(K753="","",100-IF($G$13=1,50,(_xlfn.RANK.AVG(K753,$K$19:$K$1518,1)-1)/($G$13-1)*100))</f>
        <v/>
      </c>
      <c r="P753" s="11">
        <f>IF(L753="","",100-IF($G$14=1,50,(_xlfn.RANK.AVG(L753,$L$19:$L$1518,1)-1)/($G$14-1)*100))</f>
        <v/>
      </c>
      <c r="Q753" s="11">
        <f>IF(M753="","",IF($G$15=1,50,(_xlfn.RANK.AVG(M753,$M$19:$M$1518,1)-1)/($G$15-1)*100))</f>
        <v/>
      </c>
      <c r="R753" s="11">
        <f>IF(N753="","",IF($G$16=1,50,(_xlfn.RANK.AVG(N753,$N$19:$N$1518,1)-1)/($G$16-1)*100))</f>
        <v/>
      </c>
      <c r="S753" s="11">
        <f>IF(COUNT(O753:R753)=4,ROUND(AVERAGE(O753:R753),6),"")</f>
        <v/>
      </c>
      <c r="U753">
        <f>IF(AND(ISNUMBER('자료_한국심리'!$A737),ISNUMBER('자료_한국심리'!$B737)),'자료_한국심리'!$A737,"")</f>
        <v/>
      </c>
      <c r="V753">
        <f>IF(AND(ISNUMBER('자료_한국심리'!$D737),ISNUMBER('자료_한국심리'!$E737)),'자료_한국심리'!$D737,"")</f>
        <v/>
      </c>
      <c r="W753">
        <f>IF(AND(ISNUMBER('자료_한국심리'!$G737),ISNUMBER('자료_한국심리'!$H737)),'자료_한국심리'!$G737,"")</f>
        <v/>
      </c>
      <c r="X753">
        <f>IF(AND(ISNUMBER('자료_한국심리'!$J737),ISNUMBER('자료_한국심리'!$K737)),'자료_한국심리'!$J737,"")</f>
        <v/>
      </c>
      <c r="Y753">
        <f>IF(AND(ISNUMBER('자료_한국심리'!$M737),ISNUMBER('자료_한국심리'!$N737)),'자료_한국심리'!$M737,"")</f>
        <v/>
      </c>
    </row>
    <row r="754">
      <c r="A754" s="10">
        <f>IF(736&gt;$E$5,"",SMALL($U$19:$U$4018,$E$6+736))</f>
        <v/>
      </c>
      <c r="B754" s="29">
        <f>IF(A754="","",INDEX('자료_한국심리'!$B$3:$B$4002,MATCH(A754,$U$19:$U$4018,0)))</f>
        <v/>
      </c>
      <c r="C754" s="22">
        <f>IF(A754="","",B754/AVERAGE(B630:B754)-1)</f>
        <v/>
      </c>
      <c r="D754" s="29">
        <f>IF(A754="","",IFERROR(INDEX('자료_한국심리'!$E$3:$E$4002,MATCH(A754,$V$19:$V$4018,0)),D753))</f>
        <v/>
      </c>
      <c r="E754" s="30">
        <f>IF(A754="","",IFERROR(INDEX('자료_한국심리'!$H$3:$H$4002,MATCH(A754,$W$19:$W$4018,0)),E753))</f>
        <v/>
      </c>
      <c r="F754" s="30">
        <f>IF(A754="","",IFERROR(INDEX('자료_한국심리'!$K$3:$K$4002,MATCH(A754,$X$19:$X$4018,0)),F753))</f>
        <v/>
      </c>
      <c r="G754" s="30">
        <f>IF(AND(ISNUMBER(E754),ISNUMBER(F754)),ROUND(E754-F754,6),"")</f>
        <v/>
      </c>
      <c r="H754" s="25">
        <f>IF(A754="","",IFERROR(INDEX('자료_한국심리'!$N$3:$N$4002,MATCH(A754,$Y$19:$Y$4018,0)),H753))</f>
        <v/>
      </c>
      <c r="I754" s="31">
        <f>IF(AND(ISNUMBER(H754),ISNUMBER(H734)),IF(H734&gt;0,H754/H734-1,""),"")</f>
        <v/>
      </c>
      <c r="J754">
        <f>IF(A754="",0,IF(A754&gt;$B$5,1,0))</f>
        <v/>
      </c>
      <c r="K754" s="29">
        <f>IF(AND(J754=1,ISNUMBER(D754)),D754,"")</f>
        <v/>
      </c>
      <c r="L754" s="30">
        <f>IF(AND(J754=1,ISNUMBER(G754)),G754,"")</f>
        <v/>
      </c>
      <c r="M754" s="22">
        <f>IF(AND(J754=1,ISNUMBER(C754)),C754,"")</f>
        <v/>
      </c>
      <c r="N754" s="31">
        <f>IF(AND(J754=1,ISNUMBER(I754)),I754,"")</f>
        <v/>
      </c>
      <c r="O754" s="11">
        <f>IF(K754="","",100-IF($G$13=1,50,(_xlfn.RANK.AVG(K754,$K$19:$K$1518,1)-1)/($G$13-1)*100))</f>
        <v/>
      </c>
      <c r="P754" s="11">
        <f>IF(L754="","",100-IF($G$14=1,50,(_xlfn.RANK.AVG(L754,$L$19:$L$1518,1)-1)/($G$14-1)*100))</f>
        <v/>
      </c>
      <c r="Q754" s="11">
        <f>IF(M754="","",IF($G$15=1,50,(_xlfn.RANK.AVG(M754,$M$19:$M$1518,1)-1)/($G$15-1)*100))</f>
        <v/>
      </c>
      <c r="R754" s="11">
        <f>IF(N754="","",IF($G$16=1,50,(_xlfn.RANK.AVG(N754,$N$19:$N$1518,1)-1)/($G$16-1)*100))</f>
        <v/>
      </c>
      <c r="S754" s="11">
        <f>IF(COUNT(O754:R754)=4,ROUND(AVERAGE(O754:R754),6),"")</f>
        <v/>
      </c>
      <c r="U754">
        <f>IF(AND(ISNUMBER('자료_한국심리'!$A738),ISNUMBER('자료_한국심리'!$B738)),'자료_한국심리'!$A738,"")</f>
        <v/>
      </c>
      <c r="V754">
        <f>IF(AND(ISNUMBER('자료_한국심리'!$D738),ISNUMBER('자료_한국심리'!$E738)),'자료_한국심리'!$D738,"")</f>
        <v/>
      </c>
      <c r="W754">
        <f>IF(AND(ISNUMBER('자료_한국심리'!$G738),ISNUMBER('자료_한국심리'!$H738)),'자료_한국심리'!$G738,"")</f>
        <v/>
      </c>
      <c r="X754">
        <f>IF(AND(ISNUMBER('자료_한국심리'!$J738),ISNUMBER('자료_한국심리'!$K738)),'자료_한국심리'!$J738,"")</f>
        <v/>
      </c>
      <c r="Y754">
        <f>IF(AND(ISNUMBER('자료_한국심리'!$M738),ISNUMBER('자료_한국심리'!$N738)),'자료_한국심리'!$M738,"")</f>
        <v/>
      </c>
    </row>
    <row r="755">
      <c r="A755" s="10">
        <f>IF(737&gt;$E$5,"",SMALL($U$19:$U$4018,$E$6+737))</f>
        <v/>
      </c>
      <c r="B755" s="29">
        <f>IF(A755="","",INDEX('자료_한국심리'!$B$3:$B$4002,MATCH(A755,$U$19:$U$4018,0)))</f>
        <v/>
      </c>
      <c r="C755" s="22">
        <f>IF(A755="","",B755/AVERAGE(B631:B755)-1)</f>
        <v/>
      </c>
      <c r="D755" s="29">
        <f>IF(A755="","",IFERROR(INDEX('자료_한국심리'!$E$3:$E$4002,MATCH(A755,$V$19:$V$4018,0)),D754))</f>
        <v/>
      </c>
      <c r="E755" s="30">
        <f>IF(A755="","",IFERROR(INDEX('자료_한국심리'!$H$3:$H$4002,MATCH(A755,$W$19:$W$4018,0)),E754))</f>
        <v/>
      </c>
      <c r="F755" s="30">
        <f>IF(A755="","",IFERROR(INDEX('자료_한국심리'!$K$3:$K$4002,MATCH(A755,$X$19:$X$4018,0)),F754))</f>
        <v/>
      </c>
      <c r="G755" s="30">
        <f>IF(AND(ISNUMBER(E755),ISNUMBER(F755)),ROUND(E755-F755,6),"")</f>
        <v/>
      </c>
      <c r="H755" s="25">
        <f>IF(A755="","",IFERROR(INDEX('자료_한국심리'!$N$3:$N$4002,MATCH(A755,$Y$19:$Y$4018,0)),H754))</f>
        <v/>
      </c>
      <c r="I755" s="31">
        <f>IF(AND(ISNUMBER(H755),ISNUMBER(H735)),IF(H735&gt;0,H755/H735-1,""),"")</f>
        <v/>
      </c>
      <c r="J755">
        <f>IF(A755="",0,IF(A755&gt;$B$5,1,0))</f>
        <v/>
      </c>
      <c r="K755" s="29">
        <f>IF(AND(J755=1,ISNUMBER(D755)),D755,"")</f>
        <v/>
      </c>
      <c r="L755" s="30">
        <f>IF(AND(J755=1,ISNUMBER(G755)),G755,"")</f>
        <v/>
      </c>
      <c r="M755" s="22">
        <f>IF(AND(J755=1,ISNUMBER(C755)),C755,"")</f>
        <v/>
      </c>
      <c r="N755" s="31">
        <f>IF(AND(J755=1,ISNUMBER(I755)),I755,"")</f>
        <v/>
      </c>
      <c r="O755" s="11">
        <f>IF(K755="","",100-IF($G$13=1,50,(_xlfn.RANK.AVG(K755,$K$19:$K$1518,1)-1)/($G$13-1)*100))</f>
        <v/>
      </c>
      <c r="P755" s="11">
        <f>IF(L755="","",100-IF($G$14=1,50,(_xlfn.RANK.AVG(L755,$L$19:$L$1518,1)-1)/($G$14-1)*100))</f>
        <v/>
      </c>
      <c r="Q755" s="11">
        <f>IF(M755="","",IF($G$15=1,50,(_xlfn.RANK.AVG(M755,$M$19:$M$1518,1)-1)/($G$15-1)*100))</f>
        <v/>
      </c>
      <c r="R755" s="11">
        <f>IF(N755="","",IF($G$16=1,50,(_xlfn.RANK.AVG(N755,$N$19:$N$1518,1)-1)/($G$16-1)*100))</f>
        <v/>
      </c>
      <c r="S755" s="11">
        <f>IF(COUNT(O755:R755)=4,ROUND(AVERAGE(O755:R755),6),"")</f>
        <v/>
      </c>
      <c r="U755">
        <f>IF(AND(ISNUMBER('자료_한국심리'!$A739),ISNUMBER('자료_한국심리'!$B739)),'자료_한국심리'!$A739,"")</f>
        <v/>
      </c>
      <c r="V755">
        <f>IF(AND(ISNUMBER('자료_한국심리'!$D739),ISNUMBER('자료_한국심리'!$E739)),'자료_한국심리'!$D739,"")</f>
        <v/>
      </c>
      <c r="W755">
        <f>IF(AND(ISNUMBER('자료_한국심리'!$G739),ISNUMBER('자료_한국심리'!$H739)),'자료_한국심리'!$G739,"")</f>
        <v/>
      </c>
      <c r="X755">
        <f>IF(AND(ISNUMBER('자료_한국심리'!$J739),ISNUMBER('자료_한국심리'!$K739)),'자료_한국심리'!$J739,"")</f>
        <v/>
      </c>
      <c r="Y755">
        <f>IF(AND(ISNUMBER('자료_한국심리'!$M739),ISNUMBER('자료_한국심리'!$N739)),'자료_한국심리'!$M739,"")</f>
        <v/>
      </c>
    </row>
    <row r="756">
      <c r="A756" s="10">
        <f>IF(738&gt;$E$5,"",SMALL($U$19:$U$4018,$E$6+738))</f>
        <v/>
      </c>
      <c r="B756" s="29">
        <f>IF(A756="","",INDEX('자료_한국심리'!$B$3:$B$4002,MATCH(A756,$U$19:$U$4018,0)))</f>
        <v/>
      </c>
      <c r="C756" s="22">
        <f>IF(A756="","",B756/AVERAGE(B632:B756)-1)</f>
        <v/>
      </c>
      <c r="D756" s="29">
        <f>IF(A756="","",IFERROR(INDEX('자료_한국심리'!$E$3:$E$4002,MATCH(A756,$V$19:$V$4018,0)),D755))</f>
        <v/>
      </c>
      <c r="E756" s="30">
        <f>IF(A756="","",IFERROR(INDEX('자료_한국심리'!$H$3:$H$4002,MATCH(A756,$W$19:$W$4018,0)),E755))</f>
        <v/>
      </c>
      <c r="F756" s="30">
        <f>IF(A756="","",IFERROR(INDEX('자료_한국심리'!$K$3:$K$4002,MATCH(A756,$X$19:$X$4018,0)),F755))</f>
        <v/>
      </c>
      <c r="G756" s="30">
        <f>IF(AND(ISNUMBER(E756),ISNUMBER(F756)),ROUND(E756-F756,6),"")</f>
        <v/>
      </c>
      <c r="H756" s="25">
        <f>IF(A756="","",IFERROR(INDEX('자료_한국심리'!$N$3:$N$4002,MATCH(A756,$Y$19:$Y$4018,0)),H755))</f>
        <v/>
      </c>
      <c r="I756" s="31">
        <f>IF(AND(ISNUMBER(H756),ISNUMBER(H736)),IF(H736&gt;0,H756/H736-1,""),"")</f>
        <v/>
      </c>
      <c r="J756">
        <f>IF(A756="",0,IF(A756&gt;$B$5,1,0))</f>
        <v/>
      </c>
      <c r="K756" s="29">
        <f>IF(AND(J756=1,ISNUMBER(D756)),D756,"")</f>
        <v/>
      </c>
      <c r="L756" s="30">
        <f>IF(AND(J756=1,ISNUMBER(G756)),G756,"")</f>
        <v/>
      </c>
      <c r="M756" s="22">
        <f>IF(AND(J756=1,ISNUMBER(C756)),C756,"")</f>
        <v/>
      </c>
      <c r="N756" s="31">
        <f>IF(AND(J756=1,ISNUMBER(I756)),I756,"")</f>
        <v/>
      </c>
      <c r="O756" s="11">
        <f>IF(K756="","",100-IF($G$13=1,50,(_xlfn.RANK.AVG(K756,$K$19:$K$1518,1)-1)/($G$13-1)*100))</f>
        <v/>
      </c>
      <c r="P756" s="11">
        <f>IF(L756="","",100-IF($G$14=1,50,(_xlfn.RANK.AVG(L756,$L$19:$L$1518,1)-1)/($G$14-1)*100))</f>
        <v/>
      </c>
      <c r="Q756" s="11">
        <f>IF(M756="","",IF($G$15=1,50,(_xlfn.RANK.AVG(M756,$M$19:$M$1518,1)-1)/($G$15-1)*100))</f>
        <v/>
      </c>
      <c r="R756" s="11">
        <f>IF(N756="","",IF($G$16=1,50,(_xlfn.RANK.AVG(N756,$N$19:$N$1518,1)-1)/($G$16-1)*100))</f>
        <v/>
      </c>
      <c r="S756" s="11">
        <f>IF(COUNT(O756:R756)=4,ROUND(AVERAGE(O756:R756),6),"")</f>
        <v/>
      </c>
      <c r="U756">
        <f>IF(AND(ISNUMBER('자료_한국심리'!$A740),ISNUMBER('자료_한국심리'!$B740)),'자료_한국심리'!$A740,"")</f>
        <v/>
      </c>
      <c r="V756">
        <f>IF(AND(ISNUMBER('자료_한국심리'!$D740),ISNUMBER('자료_한국심리'!$E740)),'자료_한국심리'!$D740,"")</f>
        <v/>
      </c>
      <c r="W756">
        <f>IF(AND(ISNUMBER('자료_한국심리'!$G740),ISNUMBER('자료_한국심리'!$H740)),'자료_한국심리'!$G740,"")</f>
        <v/>
      </c>
      <c r="X756">
        <f>IF(AND(ISNUMBER('자료_한국심리'!$J740),ISNUMBER('자료_한국심리'!$K740)),'자료_한국심리'!$J740,"")</f>
        <v/>
      </c>
      <c r="Y756">
        <f>IF(AND(ISNUMBER('자료_한국심리'!$M740),ISNUMBER('자료_한국심리'!$N740)),'자료_한국심리'!$M740,"")</f>
        <v/>
      </c>
    </row>
    <row r="757">
      <c r="A757" s="10">
        <f>IF(739&gt;$E$5,"",SMALL($U$19:$U$4018,$E$6+739))</f>
        <v/>
      </c>
      <c r="B757" s="29">
        <f>IF(A757="","",INDEX('자료_한국심리'!$B$3:$B$4002,MATCH(A757,$U$19:$U$4018,0)))</f>
        <v/>
      </c>
      <c r="C757" s="22">
        <f>IF(A757="","",B757/AVERAGE(B633:B757)-1)</f>
        <v/>
      </c>
      <c r="D757" s="29">
        <f>IF(A757="","",IFERROR(INDEX('자료_한국심리'!$E$3:$E$4002,MATCH(A757,$V$19:$V$4018,0)),D756))</f>
        <v/>
      </c>
      <c r="E757" s="30">
        <f>IF(A757="","",IFERROR(INDEX('자료_한국심리'!$H$3:$H$4002,MATCH(A757,$W$19:$W$4018,0)),E756))</f>
        <v/>
      </c>
      <c r="F757" s="30">
        <f>IF(A757="","",IFERROR(INDEX('자료_한국심리'!$K$3:$K$4002,MATCH(A757,$X$19:$X$4018,0)),F756))</f>
        <v/>
      </c>
      <c r="G757" s="30">
        <f>IF(AND(ISNUMBER(E757),ISNUMBER(F757)),ROUND(E757-F757,6),"")</f>
        <v/>
      </c>
      <c r="H757" s="25">
        <f>IF(A757="","",IFERROR(INDEX('자료_한국심리'!$N$3:$N$4002,MATCH(A757,$Y$19:$Y$4018,0)),H756))</f>
        <v/>
      </c>
      <c r="I757" s="31">
        <f>IF(AND(ISNUMBER(H757),ISNUMBER(H737)),IF(H737&gt;0,H757/H737-1,""),"")</f>
        <v/>
      </c>
      <c r="J757">
        <f>IF(A757="",0,IF(A757&gt;$B$5,1,0))</f>
        <v/>
      </c>
      <c r="K757" s="29">
        <f>IF(AND(J757=1,ISNUMBER(D757)),D757,"")</f>
        <v/>
      </c>
      <c r="L757" s="30">
        <f>IF(AND(J757=1,ISNUMBER(G757)),G757,"")</f>
        <v/>
      </c>
      <c r="M757" s="22">
        <f>IF(AND(J757=1,ISNUMBER(C757)),C757,"")</f>
        <v/>
      </c>
      <c r="N757" s="31">
        <f>IF(AND(J757=1,ISNUMBER(I757)),I757,"")</f>
        <v/>
      </c>
      <c r="O757" s="11">
        <f>IF(K757="","",100-IF($G$13=1,50,(_xlfn.RANK.AVG(K757,$K$19:$K$1518,1)-1)/($G$13-1)*100))</f>
        <v/>
      </c>
      <c r="P757" s="11">
        <f>IF(L757="","",100-IF($G$14=1,50,(_xlfn.RANK.AVG(L757,$L$19:$L$1518,1)-1)/($G$14-1)*100))</f>
        <v/>
      </c>
      <c r="Q757" s="11">
        <f>IF(M757="","",IF($G$15=1,50,(_xlfn.RANK.AVG(M757,$M$19:$M$1518,1)-1)/($G$15-1)*100))</f>
        <v/>
      </c>
      <c r="R757" s="11">
        <f>IF(N757="","",IF($G$16=1,50,(_xlfn.RANK.AVG(N757,$N$19:$N$1518,1)-1)/($G$16-1)*100))</f>
        <v/>
      </c>
      <c r="S757" s="11">
        <f>IF(COUNT(O757:R757)=4,ROUND(AVERAGE(O757:R757),6),"")</f>
        <v/>
      </c>
      <c r="U757">
        <f>IF(AND(ISNUMBER('자료_한국심리'!$A741),ISNUMBER('자료_한국심리'!$B741)),'자료_한국심리'!$A741,"")</f>
        <v/>
      </c>
      <c r="V757">
        <f>IF(AND(ISNUMBER('자료_한국심리'!$D741),ISNUMBER('자료_한국심리'!$E741)),'자료_한국심리'!$D741,"")</f>
        <v/>
      </c>
      <c r="W757">
        <f>IF(AND(ISNUMBER('자료_한국심리'!$G741),ISNUMBER('자료_한국심리'!$H741)),'자료_한국심리'!$G741,"")</f>
        <v/>
      </c>
      <c r="X757">
        <f>IF(AND(ISNUMBER('자료_한국심리'!$J741),ISNUMBER('자료_한국심리'!$K741)),'자료_한국심리'!$J741,"")</f>
        <v/>
      </c>
      <c r="Y757">
        <f>IF(AND(ISNUMBER('자료_한국심리'!$M741),ISNUMBER('자료_한국심리'!$N741)),'자료_한국심리'!$M741,"")</f>
        <v/>
      </c>
    </row>
    <row r="758">
      <c r="A758" s="10">
        <f>IF(740&gt;$E$5,"",SMALL($U$19:$U$4018,$E$6+740))</f>
        <v/>
      </c>
      <c r="B758" s="29">
        <f>IF(A758="","",INDEX('자료_한국심리'!$B$3:$B$4002,MATCH(A758,$U$19:$U$4018,0)))</f>
        <v/>
      </c>
      <c r="C758" s="22">
        <f>IF(A758="","",B758/AVERAGE(B634:B758)-1)</f>
        <v/>
      </c>
      <c r="D758" s="29">
        <f>IF(A758="","",IFERROR(INDEX('자료_한국심리'!$E$3:$E$4002,MATCH(A758,$V$19:$V$4018,0)),D757))</f>
        <v/>
      </c>
      <c r="E758" s="30">
        <f>IF(A758="","",IFERROR(INDEX('자료_한국심리'!$H$3:$H$4002,MATCH(A758,$W$19:$W$4018,0)),E757))</f>
        <v/>
      </c>
      <c r="F758" s="30">
        <f>IF(A758="","",IFERROR(INDEX('자료_한국심리'!$K$3:$K$4002,MATCH(A758,$X$19:$X$4018,0)),F757))</f>
        <v/>
      </c>
      <c r="G758" s="30">
        <f>IF(AND(ISNUMBER(E758),ISNUMBER(F758)),ROUND(E758-F758,6),"")</f>
        <v/>
      </c>
      <c r="H758" s="25">
        <f>IF(A758="","",IFERROR(INDEX('자료_한국심리'!$N$3:$N$4002,MATCH(A758,$Y$19:$Y$4018,0)),H757))</f>
        <v/>
      </c>
      <c r="I758" s="31">
        <f>IF(AND(ISNUMBER(H758),ISNUMBER(H738)),IF(H738&gt;0,H758/H738-1,""),"")</f>
        <v/>
      </c>
      <c r="J758">
        <f>IF(A758="",0,IF(A758&gt;$B$5,1,0))</f>
        <v/>
      </c>
      <c r="K758" s="29">
        <f>IF(AND(J758=1,ISNUMBER(D758)),D758,"")</f>
        <v/>
      </c>
      <c r="L758" s="30">
        <f>IF(AND(J758=1,ISNUMBER(G758)),G758,"")</f>
        <v/>
      </c>
      <c r="M758" s="22">
        <f>IF(AND(J758=1,ISNUMBER(C758)),C758,"")</f>
        <v/>
      </c>
      <c r="N758" s="31">
        <f>IF(AND(J758=1,ISNUMBER(I758)),I758,"")</f>
        <v/>
      </c>
      <c r="O758" s="11">
        <f>IF(K758="","",100-IF($G$13=1,50,(_xlfn.RANK.AVG(K758,$K$19:$K$1518,1)-1)/($G$13-1)*100))</f>
        <v/>
      </c>
      <c r="P758" s="11">
        <f>IF(L758="","",100-IF($G$14=1,50,(_xlfn.RANK.AVG(L758,$L$19:$L$1518,1)-1)/($G$14-1)*100))</f>
        <v/>
      </c>
      <c r="Q758" s="11">
        <f>IF(M758="","",IF($G$15=1,50,(_xlfn.RANK.AVG(M758,$M$19:$M$1518,1)-1)/($G$15-1)*100))</f>
        <v/>
      </c>
      <c r="R758" s="11">
        <f>IF(N758="","",IF($G$16=1,50,(_xlfn.RANK.AVG(N758,$N$19:$N$1518,1)-1)/($G$16-1)*100))</f>
        <v/>
      </c>
      <c r="S758" s="11">
        <f>IF(COUNT(O758:R758)=4,ROUND(AVERAGE(O758:R758),6),"")</f>
        <v/>
      </c>
      <c r="U758">
        <f>IF(AND(ISNUMBER('자료_한국심리'!$A742),ISNUMBER('자료_한국심리'!$B742)),'자료_한국심리'!$A742,"")</f>
        <v/>
      </c>
      <c r="V758">
        <f>IF(AND(ISNUMBER('자료_한국심리'!$D742),ISNUMBER('자료_한국심리'!$E742)),'자료_한국심리'!$D742,"")</f>
        <v/>
      </c>
      <c r="W758">
        <f>IF(AND(ISNUMBER('자료_한국심리'!$G742),ISNUMBER('자료_한국심리'!$H742)),'자료_한국심리'!$G742,"")</f>
        <v/>
      </c>
      <c r="X758">
        <f>IF(AND(ISNUMBER('자료_한국심리'!$J742),ISNUMBER('자료_한국심리'!$K742)),'자료_한국심리'!$J742,"")</f>
        <v/>
      </c>
      <c r="Y758">
        <f>IF(AND(ISNUMBER('자료_한국심리'!$M742),ISNUMBER('자료_한국심리'!$N742)),'자료_한국심리'!$M742,"")</f>
        <v/>
      </c>
    </row>
    <row r="759">
      <c r="A759" s="10">
        <f>IF(741&gt;$E$5,"",SMALL($U$19:$U$4018,$E$6+741))</f>
        <v/>
      </c>
      <c r="B759" s="29">
        <f>IF(A759="","",INDEX('자료_한국심리'!$B$3:$B$4002,MATCH(A759,$U$19:$U$4018,0)))</f>
        <v/>
      </c>
      <c r="C759" s="22">
        <f>IF(A759="","",B759/AVERAGE(B635:B759)-1)</f>
        <v/>
      </c>
      <c r="D759" s="29">
        <f>IF(A759="","",IFERROR(INDEX('자료_한국심리'!$E$3:$E$4002,MATCH(A759,$V$19:$V$4018,0)),D758))</f>
        <v/>
      </c>
      <c r="E759" s="30">
        <f>IF(A759="","",IFERROR(INDEX('자료_한국심리'!$H$3:$H$4002,MATCH(A759,$W$19:$W$4018,0)),E758))</f>
        <v/>
      </c>
      <c r="F759" s="30">
        <f>IF(A759="","",IFERROR(INDEX('자료_한국심리'!$K$3:$K$4002,MATCH(A759,$X$19:$X$4018,0)),F758))</f>
        <v/>
      </c>
      <c r="G759" s="30">
        <f>IF(AND(ISNUMBER(E759),ISNUMBER(F759)),ROUND(E759-F759,6),"")</f>
        <v/>
      </c>
      <c r="H759" s="25">
        <f>IF(A759="","",IFERROR(INDEX('자료_한국심리'!$N$3:$N$4002,MATCH(A759,$Y$19:$Y$4018,0)),H758))</f>
        <v/>
      </c>
      <c r="I759" s="31">
        <f>IF(AND(ISNUMBER(H759),ISNUMBER(H739)),IF(H739&gt;0,H759/H739-1,""),"")</f>
        <v/>
      </c>
      <c r="J759">
        <f>IF(A759="",0,IF(A759&gt;$B$5,1,0))</f>
        <v/>
      </c>
      <c r="K759" s="29">
        <f>IF(AND(J759=1,ISNUMBER(D759)),D759,"")</f>
        <v/>
      </c>
      <c r="L759" s="30">
        <f>IF(AND(J759=1,ISNUMBER(G759)),G759,"")</f>
        <v/>
      </c>
      <c r="M759" s="22">
        <f>IF(AND(J759=1,ISNUMBER(C759)),C759,"")</f>
        <v/>
      </c>
      <c r="N759" s="31">
        <f>IF(AND(J759=1,ISNUMBER(I759)),I759,"")</f>
        <v/>
      </c>
      <c r="O759" s="11">
        <f>IF(K759="","",100-IF($G$13=1,50,(_xlfn.RANK.AVG(K759,$K$19:$K$1518,1)-1)/($G$13-1)*100))</f>
        <v/>
      </c>
      <c r="P759" s="11">
        <f>IF(L759="","",100-IF($G$14=1,50,(_xlfn.RANK.AVG(L759,$L$19:$L$1518,1)-1)/($G$14-1)*100))</f>
        <v/>
      </c>
      <c r="Q759" s="11">
        <f>IF(M759="","",IF($G$15=1,50,(_xlfn.RANK.AVG(M759,$M$19:$M$1518,1)-1)/($G$15-1)*100))</f>
        <v/>
      </c>
      <c r="R759" s="11">
        <f>IF(N759="","",IF($G$16=1,50,(_xlfn.RANK.AVG(N759,$N$19:$N$1518,1)-1)/($G$16-1)*100))</f>
        <v/>
      </c>
      <c r="S759" s="11">
        <f>IF(COUNT(O759:R759)=4,ROUND(AVERAGE(O759:R759),6),"")</f>
        <v/>
      </c>
      <c r="U759">
        <f>IF(AND(ISNUMBER('자료_한국심리'!$A743),ISNUMBER('자료_한국심리'!$B743)),'자료_한국심리'!$A743,"")</f>
        <v/>
      </c>
      <c r="V759">
        <f>IF(AND(ISNUMBER('자료_한국심리'!$D743),ISNUMBER('자료_한국심리'!$E743)),'자료_한국심리'!$D743,"")</f>
        <v/>
      </c>
      <c r="W759">
        <f>IF(AND(ISNUMBER('자료_한국심리'!$G743),ISNUMBER('자료_한국심리'!$H743)),'자료_한국심리'!$G743,"")</f>
        <v/>
      </c>
      <c r="X759">
        <f>IF(AND(ISNUMBER('자료_한국심리'!$J743),ISNUMBER('자료_한국심리'!$K743)),'자료_한국심리'!$J743,"")</f>
        <v/>
      </c>
      <c r="Y759">
        <f>IF(AND(ISNUMBER('자료_한국심리'!$M743),ISNUMBER('자료_한국심리'!$N743)),'자료_한국심리'!$M743,"")</f>
        <v/>
      </c>
    </row>
    <row r="760">
      <c r="A760" s="10">
        <f>IF(742&gt;$E$5,"",SMALL($U$19:$U$4018,$E$6+742))</f>
        <v/>
      </c>
      <c r="B760" s="29">
        <f>IF(A760="","",INDEX('자료_한국심리'!$B$3:$B$4002,MATCH(A760,$U$19:$U$4018,0)))</f>
        <v/>
      </c>
      <c r="C760" s="22">
        <f>IF(A760="","",B760/AVERAGE(B636:B760)-1)</f>
        <v/>
      </c>
      <c r="D760" s="29">
        <f>IF(A760="","",IFERROR(INDEX('자료_한국심리'!$E$3:$E$4002,MATCH(A760,$V$19:$V$4018,0)),D759))</f>
        <v/>
      </c>
      <c r="E760" s="30">
        <f>IF(A760="","",IFERROR(INDEX('자료_한국심리'!$H$3:$H$4002,MATCH(A760,$W$19:$W$4018,0)),E759))</f>
        <v/>
      </c>
      <c r="F760" s="30">
        <f>IF(A760="","",IFERROR(INDEX('자료_한국심리'!$K$3:$K$4002,MATCH(A760,$X$19:$X$4018,0)),F759))</f>
        <v/>
      </c>
      <c r="G760" s="30">
        <f>IF(AND(ISNUMBER(E760),ISNUMBER(F760)),ROUND(E760-F760,6),"")</f>
        <v/>
      </c>
      <c r="H760" s="25">
        <f>IF(A760="","",IFERROR(INDEX('자료_한국심리'!$N$3:$N$4002,MATCH(A760,$Y$19:$Y$4018,0)),H759))</f>
        <v/>
      </c>
      <c r="I760" s="31">
        <f>IF(AND(ISNUMBER(H760),ISNUMBER(H740)),IF(H740&gt;0,H760/H740-1,""),"")</f>
        <v/>
      </c>
      <c r="J760">
        <f>IF(A760="",0,IF(A760&gt;$B$5,1,0))</f>
        <v/>
      </c>
      <c r="K760" s="29">
        <f>IF(AND(J760=1,ISNUMBER(D760)),D760,"")</f>
        <v/>
      </c>
      <c r="L760" s="30">
        <f>IF(AND(J760=1,ISNUMBER(G760)),G760,"")</f>
        <v/>
      </c>
      <c r="M760" s="22">
        <f>IF(AND(J760=1,ISNUMBER(C760)),C760,"")</f>
        <v/>
      </c>
      <c r="N760" s="31">
        <f>IF(AND(J760=1,ISNUMBER(I760)),I760,"")</f>
        <v/>
      </c>
      <c r="O760" s="11">
        <f>IF(K760="","",100-IF($G$13=1,50,(_xlfn.RANK.AVG(K760,$K$19:$K$1518,1)-1)/($G$13-1)*100))</f>
        <v/>
      </c>
      <c r="P760" s="11">
        <f>IF(L760="","",100-IF($G$14=1,50,(_xlfn.RANK.AVG(L760,$L$19:$L$1518,1)-1)/($G$14-1)*100))</f>
        <v/>
      </c>
      <c r="Q760" s="11">
        <f>IF(M760="","",IF($G$15=1,50,(_xlfn.RANK.AVG(M760,$M$19:$M$1518,1)-1)/($G$15-1)*100))</f>
        <v/>
      </c>
      <c r="R760" s="11">
        <f>IF(N760="","",IF($G$16=1,50,(_xlfn.RANK.AVG(N760,$N$19:$N$1518,1)-1)/($G$16-1)*100))</f>
        <v/>
      </c>
      <c r="S760" s="11">
        <f>IF(COUNT(O760:R760)=4,ROUND(AVERAGE(O760:R760),6),"")</f>
        <v/>
      </c>
      <c r="U760">
        <f>IF(AND(ISNUMBER('자료_한국심리'!$A744),ISNUMBER('자료_한국심리'!$B744)),'자료_한국심리'!$A744,"")</f>
        <v/>
      </c>
      <c r="V760">
        <f>IF(AND(ISNUMBER('자료_한국심리'!$D744),ISNUMBER('자료_한국심리'!$E744)),'자료_한국심리'!$D744,"")</f>
        <v/>
      </c>
      <c r="W760">
        <f>IF(AND(ISNUMBER('자료_한국심리'!$G744),ISNUMBER('자료_한국심리'!$H744)),'자료_한국심리'!$G744,"")</f>
        <v/>
      </c>
      <c r="X760">
        <f>IF(AND(ISNUMBER('자료_한국심리'!$J744),ISNUMBER('자료_한국심리'!$K744)),'자료_한국심리'!$J744,"")</f>
        <v/>
      </c>
      <c r="Y760">
        <f>IF(AND(ISNUMBER('자료_한국심리'!$M744),ISNUMBER('자료_한국심리'!$N744)),'자료_한국심리'!$M744,"")</f>
        <v/>
      </c>
    </row>
    <row r="761">
      <c r="A761" s="10">
        <f>IF(743&gt;$E$5,"",SMALL($U$19:$U$4018,$E$6+743))</f>
        <v/>
      </c>
      <c r="B761" s="29">
        <f>IF(A761="","",INDEX('자료_한국심리'!$B$3:$B$4002,MATCH(A761,$U$19:$U$4018,0)))</f>
        <v/>
      </c>
      <c r="C761" s="22">
        <f>IF(A761="","",B761/AVERAGE(B637:B761)-1)</f>
        <v/>
      </c>
      <c r="D761" s="29">
        <f>IF(A761="","",IFERROR(INDEX('자료_한국심리'!$E$3:$E$4002,MATCH(A761,$V$19:$V$4018,0)),D760))</f>
        <v/>
      </c>
      <c r="E761" s="30">
        <f>IF(A761="","",IFERROR(INDEX('자료_한국심리'!$H$3:$H$4002,MATCH(A761,$W$19:$W$4018,0)),E760))</f>
        <v/>
      </c>
      <c r="F761" s="30">
        <f>IF(A761="","",IFERROR(INDEX('자료_한국심리'!$K$3:$K$4002,MATCH(A761,$X$19:$X$4018,0)),F760))</f>
        <v/>
      </c>
      <c r="G761" s="30">
        <f>IF(AND(ISNUMBER(E761),ISNUMBER(F761)),ROUND(E761-F761,6),"")</f>
        <v/>
      </c>
      <c r="H761" s="25">
        <f>IF(A761="","",IFERROR(INDEX('자료_한국심리'!$N$3:$N$4002,MATCH(A761,$Y$19:$Y$4018,0)),H760))</f>
        <v/>
      </c>
      <c r="I761" s="31">
        <f>IF(AND(ISNUMBER(H761),ISNUMBER(H741)),IF(H741&gt;0,H761/H741-1,""),"")</f>
        <v/>
      </c>
      <c r="J761">
        <f>IF(A761="",0,IF(A761&gt;$B$5,1,0))</f>
        <v/>
      </c>
      <c r="K761" s="29">
        <f>IF(AND(J761=1,ISNUMBER(D761)),D761,"")</f>
        <v/>
      </c>
      <c r="L761" s="30">
        <f>IF(AND(J761=1,ISNUMBER(G761)),G761,"")</f>
        <v/>
      </c>
      <c r="M761" s="22">
        <f>IF(AND(J761=1,ISNUMBER(C761)),C761,"")</f>
        <v/>
      </c>
      <c r="N761" s="31">
        <f>IF(AND(J761=1,ISNUMBER(I761)),I761,"")</f>
        <v/>
      </c>
      <c r="O761" s="11">
        <f>IF(K761="","",100-IF($G$13=1,50,(_xlfn.RANK.AVG(K761,$K$19:$K$1518,1)-1)/($G$13-1)*100))</f>
        <v/>
      </c>
      <c r="P761" s="11">
        <f>IF(L761="","",100-IF($G$14=1,50,(_xlfn.RANK.AVG(L761,$L$19:$L$1518,1)-1)/($G$14-1)*100))</f>
        <v/>
      </c>
      <c r="Q761" s="11">
        <f>IF(M761="","",IF($G$15=1,50,(_xlfn.RANK.AVG(M761,$M$19:$M$1518,1)-1)/($G$15-1)*100))</f>
        <v/>
      </c>
      <c r="R761" s="11">
        <f>IF(N761="","",IF($G$16=1,50,(_xlfn.RANK.AVG(N761,$N$19:$N$1518,1)-1)/($G$16-1)*100))</f>
        <v/>
      </c>
      <c r="S761" s="11">
        <f>IF(COUNT(O761:R761)=4,ROUND(AVERAGE(O761:R761),6),"")</f>
        <v/>
      </c>
      <c r="U761">
        <f>IF(AND(ISNUMBER('자료_한국심리'!$A745),ISNUMBER('자료_한국심리'!$B745)),'자료_한국심리'!$A745,"")</f>
        <v/>
      </c>
      <c r="V761">
        <f>IF(AND(ISNUMBER('자료_한국심리'!$D745),ISNUMBER('자료_한국심리'!$E745)),'자료_한국심리'!$D745,"")</f>
        <v/>
      </c>
      <c r="W761">
        <f>IF(AND(ISNUMBER('자료_한국심리'!$G745),ISNUMBER('자료_한국심리'!$H745)),'자료_한국심리'!$G745,"")</f>
        <v/>
      </c>
      <c r="X761">
        <f>IF(AND(ISNUMBER('자료_한국심리'!$J745),ISNUMBER('자료_한국심리'!$K745)),'자료_한국심리'!$J745,"")</f>
        <v/>
      </c>
      <c r="Y761">
        <f>IF(AND(ISNUMBER('자료_한국심리'!$M745),ISNUMBER('자료_한국심리'!$N745)),'자료_한국심리'!$M745,"")</f>
        <v/>
      </c>
    </row>
    <row r="762">
      <c r="A762" s="10">
        <f>IF(744&gt;$E$5,"",SMALL($U$19:$U$4018,$E$6+744))</f>
        <v/>
      </c>
      <c r="B762" s="29">
        <f>IF(A762="","",INDEX('자료_한국심리'!$B$3:$B$4002,MATCH(A762,$U$19:$U$4018,0)))</f>
        <v/>
      </c>
      <c r="C762" s="22">
        <f>IF(A762="","",B762/AVERAGE(B638:B762)-1)</f>
        <v/>
      </c>
      <c r="D762" s="29">
        <f>IF(A762="","",IFERROR(INDEX('자료_한국심리'!$E$3:$E$4002,MATCH(A762,$V$19:$V$4018,0)),D761))</f>
        <v/>
      </c>
      <c r="E762" s="30">
        <f>IF(A762="","",IFERROR(INDEX('자료_한국심리'!$H$3:$H$4002,MATCH(A762,$W$19:$W$4018,0)),E761))</f>
        <v/>
      </c>
      <c r="F762" s="30">
        <f>IF(A762="","",IFERROR(INDEX('자료_한국심리'!$K$3:$K$4002,MATCH(A762,$X$19:$X$4018,0)),F761))</f>
        <v/>
      </c>
      <c r="G762" s="30">
        <f>IF(AND(ISNUMBER(E762),ISNUMBER(F762)),ROUND(E762-F762,6),"")</f>
        <v/>
      </c>
      <c r="H762" s="25">
        <f>IF(A762="","",IFERROR(INDEX('자료_한국심리'!$N$3:$N$4002,MATCH(A762,$Y$19:$Y$4018,0)),H761))</f>
        <v/>
      </c>
      <c r="I762" s="31">
        <f>IF(AND(ISNUMBER(H762),ISNUMBER(H742)),IF(H742&gt;0,H762/H742-1,""),"")</f>
        <v/>
      </c>
      <c r="J762">
        <f>IF(A762="",0,IF(A762&gt;$B$5,1,0))</f>
        <v/>
      </c>
      <c r="K762" s="29">
        <f>IF(AND(J762=1,ISNUMBER(D762)),D762,"")</f>
        <v/>
      </c>
      <c r="L762" s="30">
        <f>IF(AND(J762=1,ISNUMBER(G762)),G762,"")</f>
        <v/>
      </c>
      <c r="M762" s="22">
        <f>IF(AND(J762=1,ISNUMBER(C762)),C762,"")</f>
        <v/>
      </c>
      <c r="N762" s="31">
        <f>IF(AND(J762=1,ISNUMBER(I762)),I762,"")</f>
        <v/>
      </c>
      <c r="O762" s="11">
        <f>IF(K762="","",100-IF($G$13=1,50,(_xlfn.RANK.AVG(K762,$K$19:$K$1518,1)-1)/($G$13-1)*100))</f>
        <v/>
      </c>
      <c r="P762" s="11">
        <f>IF(L762="","",100-IF($G$14=1,50,(_xlfn.RANK.AVG(L762,$L$19:$L$1518,1)-1)/($G$14-1)*100))</f>
        <v/>
      </c>
      <c r="Q762" s="11">
        <f>IF(M762="","",IF($G$15=1,50,(_xlfn.RANK.AVG(M762,$M$19:$M$1518,1)-1)/($G$15-1)*100))</f>
        <v/>
      </c>
      <c r="R762" s="11">
        <f>IF(N762="","",IF($G$16=1,50,(_xlfn.RANK.AVG(N762,$N$19:$N$1518,1)-1)/($G$16-1)*100))</f>
        <v/>
      </c>
      <c r="S762" s="11">
        <f>IF(COUNT(O762:R762)=4,ROUND(AVERAGE(O762:R762),6),"")</f>
        <v/>
      </c>
      <c r="U762">
        <f>IF(AND(ISNUMBER('자료_한국심리'!$A746),ISNUMBER('자료_한국심리'!$B746)),'자료_한국심리'!$A746,"")</f>
        <v/>
      </c>
      <c r="V762">
        <f>IF(AND(ISNUMBER('자료_한국심리'!$D746),ISNUMBER('자료_한국심리'!$E746)),'자료_한국심리'!$D746,"")</f>
        <v/>
      </c>
      <c r="W762">
        <f>IF(AND(ISNUMBER('자료_한국심리'!$G746),ISNUMBER('자료_한국심리'!$H746)),'자료_한국심리'!$G746,"")</f>
        <v/>
      </c>
      <c r="X762">
        <f>IF(AND(ISNUMBER('자료_한국심리'!$J746),ISNUMBER('자료_한국심리'!$K746)),'자료_한국심리'!$J746,"")</f>
        <v/>
      </c>
      <c r="Y762">
        <f>IF(AND(ISNUMBER('자료_한국심리'!$M746),ISNUMBER('자료_한국심리'!$N746)),'자료_한국심리'!$M746,"")</f>
        <v/>
      </c>
    </row>
    <row r="763">
      <c r="A763" s="10">
        <f>IF(745&gt;$E$5,"",SMALL($U$19:$U$4018,$E$6+745))</f>
        <v/>
      </c>
      <c r="B763" s="29">
        <f>IF(A763="","",INDEX('자료_한국심리'!$B$3:$B$4002,MATCH(A763,$U$19:$U$4018,0)))</f>
        <v/>
      </c>
      <c r="C763" s="22">
        <f>IF(A763="","",B763/AVERAGE(B639:B763)-1)</f>
        <v/>
      </c>
      <c r="D763" s="29">
        <f>IF(A763="","",IFERROR(INDEX('자료_한국심리'!$E$3:$E$4002,MATCH(A763,$V$19:$V$4018,0)),D762))</f>
        <v/>
      </c>
      <c r="E763" s="30">
        <f>IF(A763="","",IFERROR(INDEX('자료_한국심리'!$H$3:$H$4002,MATCH(A763,$W$19:$W$4018,0)),E762))</f>
        <v/>
      </c>
      <c r="F763" s="30">
        <f>IF(A763="","",IFERROR(INDEX('자료_한국심리'!$K$3:$K$4002,MATCH(A763,$X$19:$X$4018,0)),F762))</f>
        <v/>
      </c>
      <c r="G763" s="30">
        <f>IF(AND(ISNUMBER(E763),ISNUMBER(F763)),ROUND(E763-F763,6),"")</f>
        <v/>
      </c>
      <c r="H763" s="25">
        <f>IF(A763="","",IFERROR(INDEX('자료_한국심리'!$N$3:$N$4002,MATCH(A763,$Y$19:$Y$4018,0)),H762))</f>
        <v/>
      </c>
      <c r="I763" s="31">
        <f>IF(AND(ISNUMBER(H763),ISNUMBER(H743)),IF(H743&gt;0,H763/H743-1,""),"")</f>
        <v/>
      </c>
      <c r="J763">
        <f>IF(A763="",0,IF(A763&gt;$B$5,1,0))</f>
        <v/>
      </c>
      <c r="K763" s="29">
        <f>IF(AND(J763=1,ISNUMBER(D763)),D763,"")</f>
        <v/>
      </c>
      <c r="L763" s="30">
        <f>IF(AND(J763=1,ISNUMBER(G763)),G763,"")</f>
        <v/>
      </c>
      <c r="M763" s="22">
        <f>IF(AND(J763=1,ISNUMBER(C763)),C763,"")</f>
        <v/>
      </c>
      <c r="N763" s="31">
        <f>IF(AND(J763=1,ISNUMBER(I763)),I763,"")</f>
        <v/>
      </c>
      <c r="O763" s="11">
        <f>IF(K763="","",100-IF($G$13=1,50,(_xlfn.RANK.AVG(K763,$K$19:$K$1518,1)-1)/($G$13-1)*100))</f>
        <v/>
      </c>
      <c r="P763" s="11">
        <f>IF(L763="","",100-IF($G$14=1,50,(_xlfn.RANK.AVG(L763,$L$19:$L$1518,1)-1)/($G$14-1)*100))</f>
        <v/>
      </c>
      <c r="Q763" s="11">
        <f>IF(M763="","",IF($G$15=1,50,(_xlfn.RANK.AVG(M763,$M$19:$M$1518,1)-1)/($G$15-1)*100))</f>
        <v/>
      </c>
      <c r="R763" s="11">
        <f>IF(N763="","",IF($G$16=1,50,(_xlfn.RANK.AVG(N763,$N$19:$N$1518,1)-1)/($G$16-1)*100))</f>
        <v/>
      </c>
      <c r="S763" s="11">
        <f>IF(COUNT(O763:R763)=4,ROUND(AVERAGE(O763:R763),6),"")</f>
        <v/>
      </c>
      <c r="U763">
        <f>IF(AND(ISNUMBER('자료_한국심리'!$A747),ISNUMBER('자료_한국심리'!$B747)),'자료_한국심리'!$A747,"")</f>
        <v/>
      </c>
      <c r="V763">
        <f>IF(AND(ISNUMBER('자료_한국심리'!$D747),ISNUMBER('자료_한국심리'!$E747)),'자료_한국심리'!$D747,"")</f>
        <v/>
      </c>
      <c r="W763">
        <f>IF(AND(ISNUMBER('자료_한국심리'!$G747),ISNUMBER('자료_한국심리'!$H747)),'자료_한국심리'!$G747,"")</f>
        <v/>
      </c>
      <c r="X763">
        <f>IF(AND(ISNUMBER('자료_한국심리'!$J747),ISNUMBER('자료_한국심리'!$K747)),'자료_한국심리'!$J747,"")</f>
        <v/>
      </c>
      <c r="Y763">
        <f>IF(AND(ISNUMBER('자료_한국심리'!$M747),ISNUMBER('자료_한국심리'!$N747)),'자료_한국심리'!$M747,"")</f>
        <v/>
      </c>
    </row>
    <row r="764">
      <c r="A764" s="10">
        <f>IF(746&gt;$E$5,"",SMALL($U$19:$U$4018,$E$6+746))</f>
        <v/>
      </c>
      <c r="B764" s="29">
        <f>IF(A764="","",INDEX('자료_한국심리'!$B$3:$B$4002,MATCH(A764,$U$19:$U$4018,0)))</f>
        <v/>
      </c>
      <c r="C764" s="22">
        <f>IF(A764="","",B764/AVERAGE(B640:B764)-1)</f>
        <v/>
      </c>
      <c r="D764" s="29">
        <f>IF(A764="","",IFERROR(INDEX('자료_한국심리'!$E$3:$E$4002,MATCH(A764,$V$19:$V$4018,0)),D763))</f>
        <v/>
      </c>
      <c r="E764" s="30">
        <f>IF(A764="","",IFERROR(INDEX('자료_한국심리'!$H$3:$H$4002,MATCH(A764,$W$19:$W$4018,0)),E763))</f>
        <v/>
      </c>
      <c r="F764" s="30">
        <f>IF(A764="","",IFERROR(INDEX('자료_한국심리'!$K$3:$K$4002,MATCH(A764,$X$19:$X$4018,0)),F763))</f>
        <v/>
      </c>
      <c r="G764" s="30">
        <f>IF(AND(ISNUMBER(E764),ISNUMBER(F764)),ROUND(E764-F764,6),"")</f>
        <v/>
      </c>
      <c r="H764" s="25">
        <f>IF(A764="","",IFERROR(INDEX('자료_한국심리'!$N$3:$N$4002,MATCH(A764,$Y$19:$Y$4018,0)),H763))</f>
        <v/>
      </c>
      <c r="I764" s="31">
        <f>IF(AND(ISNUMBER(H764),ISNUMBER(H744)),IF(H744&gt;0,H764/H744-1,""),"")</f>
        <v/>
      </c>
      <c r="J764">
        <f>IF(A764="",0,IF(A764&gt;$B$5,1,0))</f>
        <v/>
      </c>
      <c r="K764" s="29">
        <f>IF(AND(J764=1,ISNUMBER(D764)),D764,"")</f>
        <v/>
      </c>
      <c r="L764" s="30">
        <f>IF(AND(J764=1,ISNUMBER(G764)),G764,"")</f>
        <v/>
      </c>
      <c r="M764" s="22">
        <f>IF(AND(J764=1,ISNUMBER(C764)),C764,"")</f>
        <v/>
      </c>
      <c r="N764" s="31">
        <f>IF(AND(J764=1,ISNUMBER(I764)),I764,"")</f>
        <v/>
      </c>
      <c r="O764" s="11">
        <f>IF(K764="","",100-IF($G$13=1,50,(_xlfn.RANK.AVG(K764,$K$19:$K$1518,1)-1)/($G$13-1)*100))</f>
        <v/>
      </c>
      <c r="P764" s="11">
        <f>IF(L764="","",100-IF($G$14=1,50,(_xlfn.RANK.AVG(L764,$L$19:$L$1518,1)-1)/($G$14-1)*100))</f>
        <v/>
      </c>
      <c r="Q764" s="11">
        <f>IF(M764="","",IF($G$15=1,50,(_xlfn.RANK.AVG(M764,$M$19:$M$1518,1)-1)/($G$15-1)*100))</f>
        <v/>
      </c>
      <c r="R764" s="11">
        <f>IF(N764="","",IF($G$16=1,50,(_xlfn.RANK.AVG(N764,$N$19:$N$1518,1)-1)/($G$16-1)*100))</f>
        <v/>
      </c>
      <c r="S764" s="11">
        <f>IF(COUNT(O764:R764)=4,ROUND(AVERAGE(O764:R764),6),"")</f>
        <v/>
      </c>
      <c r="U764">
        <f>IF(AND(ISNUMBER('자료_한국심리'!$A748),ISNUMBER('자료_한국심리'!$B748)),'자료_한국심리'!$A748,"")</f>
        <v/>
      </c>
      <c r="V764">
        <f>IF(AND(ISNUMBER('자료_한국심리'!$D748),ISNUMBER('자료_한국심리'!$E748)),'자료_한국심리'!$D748,"")</f>
        <v/>
      </c>
      <c r="W764">
        <f>IF(AND(ISNUMBER('자료_한국심리'!$G748),ISNUMBER('자료_한국심리'!$H748)),'자료_한국심리'!$G748,"")</f>
        <v/>
      </c>
      <c r="X764">
        <f>IF(AND(ISNUMBER('자료_한국심리'!$J748),ISNUMBER('자료_한국심리'!$K748)),'자료_한국심리'!$J748,"")</f>
        <v/>
      </c>
      <c r="Y764">
        <f>IF(AND(ISNUMBER('자료_한국심리'!$M748),ISNUMBER('자료_한국심리'!$N748)),'자료_한국심리'!$M748,"")</f>
        <v/>
      </c>
    </row>
    <row r="765">
      <c r="A765" s="10">
        <f>IF(747&gt;$E$5,"",SMALL($U$19:$U$4018,$E$6+747))</f>
        <v/>
      </c>
      <c r="B765" s="29">
        <f>IF(A765="","",INDEX('자료_한국심리'!$B$3:$B$4002,MATCH(A765,$U$19:$U$4018,0)))</f>
        <v/>
      </c>
      <c r="C765" s="22">
        <f>IF(A765="","",B765/AVERAGE(B641:B765)-1)</f>
        <v/>
      </c>
      <c r="D765" s="29">
        <f>IF(A765="","",IFERROR(INDEX('자료_한국심리'!$E$3:$E$4002,MATCH(A765,$V$19:$V$4018,0)),D764))</f>
        <v/>
      </c>
      <c r="E765" s="30">
        <f>IF(A765="","",IFERROR(INDEX('자료_한국심리'!$H$3:$H$4002,MATCH(A765,$W$19:$W$4018,0)),E764))</f>
        <v/>
      </c>
      <c r="F765" s="30">
        <f>IF(A765="","",IFERROR(INDEX('자료_한국심리'!$K$3:$K$4002,MATCH(A765,$X$19:$X$4018,0)),F764))</f>
        <v/>
      </c>
      <c r="G765" s="30">
        <f>IF(AND(ISNUMBER(E765),ISNUMBER(F765)),ROUND(E765-F765,6),"")</f>
        <v/>
      </c>
      <c r="H765" s="25">
        <f>IF(A765="","",IFERROR(INDEX('자료_한국심리'!$N$3:$N$4002,MATCH(A765,$Y$19:$Y$4018,0)),H764))</f>
        <v/>
      </c>
      <c r="I765" s="31">
        <f>IF(AND(ISNUMBER(H765),ISNUMBER(H745)),IF(H745&gt;0,H765/H745-1,""),"")</f>
        <v/>
      </c>
      <c r="J765">
        <f>IF(A765="",0,IF(A765&gt;$B$5,1,0))</f>
        <v/>
      </c>
      <c r="K765" s="29">
        <f>IF(AND(J765=1,ISNUMBER(D765)),D765,"")</f>
        <v/>
      </c>
      <c r="L765" s="30">
        <f>IF(AND(J765=1,ISNUMBER(G765)),G765,"")</f>
        <v/>
      </c>
      <c r="M765" s="22">
        <f>IF(AND(J765=1,ISNUMBER(C765)),C765,"")</f>
        <v/>
      </c>
      <c r="N765" s="31">
        <f>IF(AND(J765=1,ISNUMBER(I765)),I765,"")</f>
        <v/>
      </c>
      <c r="O765" s="11">
        <f>IF(K765="","",100-IF($G$13=1,50,(_xlfn.RANK.AVG(K765,$K$19:$K$1518,1)-1)/($G$13-1)*100))</f>
        <v/>
      </c>
      <c r="P765" s="11">
        <f>IF(L765="","",100-IF($G$14=1,50,(_xlfn.RANK.AVG(L765,$L$19:$L$1518,1)-1)/($G$14-1)*100))</f>
        <v/>
      </c>
      <c r="Q765" s="11">
        <f>IF(M765="","",IF($G$15=1,50,(_xlfn.RANK.AVG(M765,$M$19:$M$1518,1)-1)/($G$15-1)*100))</f>
        <v/>
      </c>
      <c r="R765" s="11">
        <f>IF(N765="","",IF($G$16=1,50,(_xlfn.RANK.AVG(N765,$N$19:$N$1518,1)-1)/($G$16-1)*100))</f>
        <v/>
      </c>
      <c r="S765" s="11">
        <f>IF(COUNT(O765:R765)=4,ROUND(AVERAGE(O765:R765),6),"")</f>
        <v/>
      </c>
      <c r="U765">
        <f>IF(AND(ISNUMBER('자료_한국심리'!$A749),ISNUMBER('자료_한국심리'!$B749)),'자료_한국심리'!$A749,"")</f>
        <v/>
      </c>
      <c r="V765">
        <f>IF(AND(ISNUMBER('자료_한국심리'!$D749),ISNUMBER('자료_한국심리'!$E749)),'자료_한국심리'!$D749,"")</f>
        <v/>
      </c>
      <c r="W765">
        <f>IF(AND(ISNUMBER('자료_한국심리'!$G749),ISNUMBER('자료_한국심리'!$H749)),'자료_한국심리'!$G749,"")</f>
        <v/>
      </c>
      <c r="X765">
        <f>IF(AND(ISNUMBER('자료_한국심리'!$J749),ISNUMBER('자료_한국심리'!$K749)),'자료_한국심리'!$J749,"")</f>
        <v/>
      </c>
      <c r="Y765">
        <f>IF(AND(ISNUMBER('자료_한국심리'!$M749),ISNUMBER('자료_한국심리'!$N749)),'자료_한국심리'!$M749,"")</f>
        <v/>
      </c>
    </row>
    <row r="766">
      <c r="A766" s="10">
        <f>IF(748&gt;$E$5,"",SMALL($U$19:$U$4018,$E$6+748))</f>
        <v/>
      </c>
      <c r="B766" s="29">
        <f>IF(A766="","",INDEX('자료_한국심리'!$B$3:$B$4002,MATCH(A766,$U$19:$U$4018,0)))</f>
        <v/>
      </c>
      <c r="C766" s="22">
        <f>IF(A766="","",B766/AVERAGE(B642:B766)-1)</f>
        <v/>
      </c>
      <c r="D766" s="29">
        <f>IF(A766="","",IFERROR(INDEX('자료_한국심리'!$E$3:$E$4002,MATCH(A766,$V$19:$V$4018,0)),D765))</f>
        <v/>
      </c>
      <c r="E766" s="30">
        <f>IF(A766="","",IFERROR(INDEX('자료_한국심리'!$H$3:$H$4002,MATCH(A766,$W$19:$W$4018,0)),E765))</f>
        <v/>
      </c>
      <c r="F766" s="30">
        <f>IF(A766="","",IFERROR(INDEX('자료_한국심리'!$K$3:$K$4002,MATCH(A766,$X$19:$X$4018,0)),F765))</f>
        <v/>
      </c>
      <c r="G766" s="30">
        <f>IF(AND(ISNUMBER(E766),ISNUMBER(F766)),ROUND(E766-F766,6),"")</f>
        <v/>
      </c>
      <c r="H766" s="25">
        <f>IF(A766="","",IFERROR(INDEX('자료_한국심리'!$N$3:$N$4002,MATCH(A766,$Y$19:$Y$4018,0)),H765))</f>
        <v/>
      </c>
      <c r="I766" s="31">
        <f>IF(AND(ISNUMBER(H766),ISNUMBER(H746)),IF(H746&gt;0,H766/H746-1,""),"")</f>
        <v/>
      </c>
      <c r="J766">
        <f>IF(A766="",0,IF(A766&gt;$B$5,1,0))</f>
        <v/>
      </c>
      <c r="K766" s="29">
        <f>IF(AND(J766=1,ISNUMBER(D766)),D766,"")</f>
        <v/>
      </c>
      <c r="L766" s="30">
        <f>IF(AND(J766=1,ISNUMBER(G766)),G766,"")</f>
        <v/>
      </c>
      <c r="M766" s="22">
        <f>IF(AND(J766=1,ISNUMBER(C766)),C766,"")</f>
        <v/>
      </c>
      <c r="N766" s="31">
        <f>IF(AND(J766=1,ISNUMBER(I766)),I766,"")</f>
        <v/>
      </c>
      <c r="O766" s="11">
        <f>IF(K766="","",100-IF($G$13=1,50,(_xlfn.RANK.AVG(K766,$K$19:$K$1518,1)-1)/($G$13-1)*100))</f>
        <v/>
      </c>
      <c r="P766" s="11">
        <f>IF(L766="","",100-IF($G$14=1,50,(_xlfn.RANK.AVG(L766,$L$19:$L$1518,1)-1)/($G$14-1)*100))</f>
        <v/>
      </c>
      <c r="Q766" s="11">
        <f>IF(M766="","",IF($G$15=1,50,(_xlfn.RANK.AVG(M766,$M$19:$M$1518,1)-1)/($G$15-1)*100))</f>
        <v/>
      </c>
      <c r="R766" s="11">
        <f>IF(N766="","",IF($G$16=1,50,(_xlfn.RANK.AVG(N766,$N$19:$N$1518,1)-1)/($G$16-1)*100))</f>
        <v/>
      </c>
      <c r="S766" s="11">
        <f>IF(COUNT(O766:R766)=4,ROUND(AVERAGE(O766:R766),6),"")</f>
        <v/>
      </c>
      <c r="U766">
        <f>IF(AND(ISNUMBER('자료_한국심리'!$A750),ISNUMBER('자료_한국심리'!$B750)),'자료_한국심리'!$A750,"")</f>
        <v/>
      </c>
      <c r="V766">
        <f>IF(AND(ISNUMBER('자료_한국심리'!$D750),ISNUMBER('자료_한국심리'!$E750)),'자료_한국심리'!$D750,"")</f>
        <v/>
      </c>
      <c r="W766">
        <f>IF(AND(ISNUMBER('자료_한국심리'!$G750),ISNUMBER('자료_한국심리'!$H750)),'자료_한국심리'!$G750,"")</f>
        <v/>
      </c>
      <c r="X766">
        <f>IF(AND(ISNUMBER('자료_한국심리'!$J750),ISNUMBER('자료_한국심리'!$K750)),'자료_한국심리'!$J750,"")</f>
        <v/>
      </c>
      <c r="Y766">
        <f>IF(AND(ISNUMBER('자료_한국심리'!$M750),ISNUMBER('자료_한국심리'!$N750)),'자료_한국심리'!$M750,"")</f>
        <v/>
      </c>
    </row>
    <row r="767">
      <c r="A767" s="10">
        <f>IF(749&gt;$E$5,"",SMALL($U$19:$U$4018,$E$6+749))</f>
        <v/>
      </c>
      <c r="B767" s="29">
        <f>IF(A767="","",INDEX('자료_한국심리'!$B$3:$B$4002,MATCH(A767,$U$19:$U$4018,0)))</f>
        <v/>
      </c>
      <c r="C767" s="22">
        <f>IF(A767="","",B767/AVERAGE(B643:B767)-1)</f>
        <v/>
      </c>
      <c r="D767" s="29">
        <f>IF(A767="","",IFERROR(INDEX('자료_한국심리'!$E$3:$E$4002,MATCH(A767,$V$19:$V$4018,0)),D766))</f>
        <v/>
      </c>
      <c r="E767" s="30">
        <f>IF(A767="","",IFERROR(INDEX('자료_한국심리'!$H$3:$H$4002,MATCH(A767,$W$19:$W$4018,0)),E766))</f>
        <v/>
      </c>
      <c r="F767" s="30">
        <f>IF(A767="","",IFERROR(INDEX('자료_한국심리'!$K$3:$K$4002,MATCH(A767,$X$19:$X$4018,0)),F766))</f>
        <v/>
      </c>
      <c r="G767" s="30">
        <f>IF(AND(ISNUMBER(E767),ISNUMBER(F767)),ROUND(E767-F767,6),"")</f>
        <v/>
      </c>
      <c r="H767" s="25">
        <f>IF(A767="","",IFERROR(INDEX('자료_한국심리'!$N$3:$N$4002,MATCH(A767,$Y$19:$Y$4018,0)),H766))</f>
        <v/>
      </c>
      <c r="I767" s="31">
        <f>IF(AND(ISNUMBER(H767),ISNUMBER(H747)),IF(H747&gt;0,H767/H747-1,""),"")</f>
        <v/>
      </c>
      <c r="J767">
        <f>IF(A767="",0,IF(A767&gt;$B$5,1,0))</f>
        <v/>
      </c>
      <c r="K767" s="29">
        <f>IF(AND(J767=1,ISNUMBER(D767)),D767,"")</f>
        <v/>
      </c>
      <c r="L767" s="30">
        <f>IF(AND(J767=1,ISNUMBER(G767)),G767,"")</f>
        <v/>
      </c>
      <c r="M767" s="22">
        <f>IF(AND(J767=1,ISNUMBER(C767)),C767,"")</f>
        <v/>
      </c>
      <c r="N767" s="31">
        <f>IF(AND(J767=1,ISNUMBER(I767)),I767,"")</f>
        <v/>
      </c>
      <c r="O767" s="11">
        <f>IF(K767="","",100-IF($G$13=1,50,(_xlfn.RANK.AVG(K767,$K$19:$K$1518,1)-1)/($G$13-1)*100))</f>
        <v/>
      </c>
      <c r="P767" s="11">
        <f>IF(L767="","",100-IF($G$14=1,50,(_xlfn.RANK.AVG(L767,$L$19:$L$1518,1)-1)/($G$14-1)*100))</f>
        <v/>
      </c>
      <c r="Q767" s="11">
        <f>IF(M767="","",IF($G$15=1,50,(_xlfn.RANK.AVG(M767,$M$19:$M$1518,1)-1)/($G$15-1)*100))</f>
        <v/>
      </c>
      <c r="R767" s="11">
        <f>IF(N767="","",IF($G$16=1,50,(_xlfn.RANK.AVG(N767,$N$19:$N$1518,1)-1)/($G$16-1)*100))</f>
        <v/>
      </c>
      <c r="S767" s="11">
        <f>IF(COUNT(O767:R767)=4,ROUND(AVERAGE(O767:R767),6),"")</f>
        <v/>
      </c>
      <c r="U767">
        <f>IF(AND(ISNUMBER('자료_한국심리'!$A751),ISNUMBER('자료_한국심리'!$B751)),'자료_한국심리'!$A751,"")</f>
        <v/>
      </c>
      <c r="V767">
        <f>IF(AND(ISNUMBER('자료_한국심리'!$D751),ISNUMBER('자료_한국심리'!$E751)),'자료_한국심리'!$D751,"")</f>
        <v/>
      </c>
      <c r="W767">
        <f>IF(AND(ISNUMBER('자료_한국심리'!$G751),ISNUMBER('자료_한국심리'!$H751)),'자료_한국심리'!$G751,"")</f>
        <v/>
      </c>
      <c r="X767">
        <f>IF(AND(ISNUMBER('자료_한국심리'!$J751),ISNUMBER('자료_한국심리'!$K751)),'자료_한국심리'!$J751,"")</f>
        <v/>
      </c>
      <c r="Y767">
        <f>IF(AND(ISNUMBER('자료_한국심리'!$M751),ISNUMBER('자료_한국심리'!$N751)),'자료_한국심리'!$M751,"")</f>
        <v/>
      </c>
    </row>
    <row r="768">
      <c r="A768" s="10">
        <f>IF(750&gt;$E$5,"",SMALL($U$19:$U$4018,$E$6+750))</f>
        <v/>
      </c>
      <c r="B768" s="29">
        <f>IF(A768="","",INDEX('자료_한국심리'!$B$3:$B$4002,MATCH(A768,$U$19:$U$4018,0)))</f>
        <v/>
      </c>
      <c r="C768" s="22">
        <f>IF(A768="","",B768/AVERAGE(B644:B768)-1)</f>
        <v/>
      </c>
      <c r="D768" s="29">
        <f>IF(A768="","",IFERROR(INDEX('자료_한국심리'!$E$3:$E$4002,MATCH(A768,$V$19:$V$4018,0)),D767))</f>
        <v/>
      </c>
      <c r="E768" s="30">
        <f>IF(A768="","",IFERROR(INDEX('자료_한국심리'!$H$3:$H$4002,MATCH(A768,$W$19:$W$4018,0)),E767))</f>
        <v/>
      </c>
      <c r="F768" s="30">
        <f>IF(A768="","",IFERROR(INDEX('자료_한국심리'!$K$3:$K$4002,MATCH(A768,$X$19:$X$4018,0)),F767))</f>
        <v/>
      </c>
      <c r="G768" s="30">
        <f>IF(AND(ISNUMBER(E768),ISNUMBER(F768)),ROUND(E768-F768,6),"")</f>
        <v/>
      </c>
      <c r="H768" s="25">
        <f>IF(A768="","",IFERROR(INDEX('자료_한국심리'!$N$3:$N$4002,MATCH(A768,$Y$19:$Y$4018,0)),H767))</f>
        <v/>
      </c>
      <c r="I768" s="31">
        <f>IF(AND(ISNUMBER(H768),ISNUMBER(H748)),IF(H748&gt;0,H768/H748-1,""),"")</f>
        <v/>
      </c>
      <c r="J768">
        <f>IF(A768="",0,IF(A768&gt;$B$5,1,0))</f>
        <v/>
      </c>
      <c r="K768" s="29">
        <f>IF(AND(J768=1,ISNUMBER(D768)),D768,"")</f>
        <v/>
      </c>
      <c r="L768" s="30">
        <f>IF(AND(J768=1,ISNUMBER(G768)),G768,"")</f>
        <v/>
      </c>
      <c r="M768" s="22">
        <f>IF(AND(J768=1,ISNUMBER(C768)),C768,"")</f>
        <v/>
      </c>
      <c r="N768" s="31">
        <f>IF(AND(J768=1,ISNUMBER(I768)),I768,"")</f>
        <v/>
      </c>
      <c r="O768" s="11">
        <f>IF(K768="","",100-IF($G$13=1,50,(_xlfn.RANK.AVG(K768,$K$19:$K$1518,1)-1)/($G$13-1)*100))</f>
        <v/>
      </c>
      <c r="P768" s="11">
        <f>IF(L768="","",100-IF($G$14=1,50,(_xlfn.RANK.AVG(L768,$L$19:$L$1518,1)-1)/($G$14-1)*100))</f>
        <v/>
      </c>
      <c r="Q768" s="11">
        <f>IF(M768="","",IF($G$15=1,50,(_xlfn.RANK.AVG(M768,$M$19:$M$1518,1)-1)/($G$15-1)*100))</f>
        <v/>
      </c>
      <c r="R768" s="11">
        <f>IF(N768="","",IF($G$16=1,50,(_xlfn.RANK.AVG(N768,$N$19:$N$1518,1)-1)/($G$16-1)*100))</f>
        <v/>
      </c>
      <c r="S768" s="11">
        <f>IF(COUNT(O768:R768)=4,ROUND(AVERAGE(O768:R768),6),"")</f>
        <v/>
      </c>
      <c r="U768">
        <f>IF(AND(ISNUMBER('자료_한국심리'!$A752),ISNUMBER('자료_한국심리'!$B752)),'자료_한국심리'!$A752,"")</f>
        <v/>
      </c>
      <c r="V768">
        <f>IF(AND(ISNUMBER('자료_한국심리'!$D752),ISNUMBER('자료_한국심리'!$E752)),'자료_한국심리'!$D752,"")</f>
        <v/>
      </c>
      <c r="W768">
        <f>IF(AND(ISNUMBER('자료_한국심리'!$G752),ISNUMBER('자료_한국심리'!$H752)),'자료_한국심리'!$G752,"")</f>
        <v/>
      </c>
      <c r="X768">
        <f>IF(AND(ISNUMBER('자료_한국심리'!$J752),ISNUMBER('자료_한국심리'!$K752)),'자료_한국심리'!$J752,"")</f>
        <v/>
      </c>
      <c r="Y768">
        <f>IF(AND(ISNUMBER('자료_한국심리'!$M752),ISNUMBER('자료_한국심리'!$N752)),'자료_한국심리'!$M752,"")</f>
        <v/>
      </c>
    </row>
    <row r="769">
      <c r="A769" s="10">
        <f>IF(751&gt;$E$5,"",SMALL($U$19:$U$4018,$E$6+751))</f>
        <v/>
      </c>
      <c r="B769" s="29">
        <f>IF(A769="","",INDEX('자료_한국심리'!$B$3:$B$4002,MATCH(A769,$U$19:$U$4018,0)))</f>
        <v/>
      </c>
      <c r="C769" s="22">
        <f>IF(A769="","",B769/AVERAGE(B645:B769)-1)</f>
        <v/>
      </c>
      <c r="D769" s="29">
        <f>IF(A769="","",IFERROR(INDEX('자료_한국심리'!$E$3:$E$4002,MATCH(A769,$V$19:$V$4018,0)),D768))</f>
        <v/>
      </c>
      <c r="E769" s="30">
        <f>IF(A769="","",IFERROR(INDEX('자료_한국심리'!$H$3:$H$4002,MATCH(A769,$W$19:$W$4018,0)),E768))</f>
        <v/>
      </c>
      <c r="F769" s="30">
        <f>IF(A769="","",IFERROR(INDEX('자료_한국심리'!$K$3:$K$4002,MATCH(A769,$X$19:$X$4018,0)),F768))</f>
        <v/>
      </c>
      <c r="G769" s="30">
        <f>IF(AND(ISNUMBER(E769),ISNUMBER(F769)),ROUND(E769-F769,6),"")</f>
        <v/>
      </c>
      <c r="H769" s="25">
        <f>IF(A769="","",IFERROR(INDEX('자료_한국심리'!$N$3:$N$4002,MATCH(A769,$Y$19:$Y$4018,0)),H768))</f>
        <v/>
      </c>
      <c r="I769" s="31">
        <f>IF(AND(ISNUMBER(H769),ISNUMBER(H749)),IF(H749&gt;0,H769/H749-1,""),"")</f>
        <v/>
      </c>
      <c r="J769">
        <f>IF(A769="",0,IF(A769&gt;$B$5,1,0))</f>
        <v/>
      </c>
      <c r="K769" s="29">
        <f>IF(AND(J769=1,ISNUMBER(D769)),D769,"")</f>
        <v/>
      </c>
      <c r="L769" s="30">
        <f>IF(AND(J769=1,ISNUMBER(G769)),G769,"")</f>
        <v/>
      </c>
      <c r="M769" s="22">
        <f>IF(AND(J769=1,ISNUMBER(C769)),C769,"")</f>
        <v/>
      </c>
      <c r="N769" s="31">
        <f>IF(AND(J769=1,ISNUMBER(I769)),I769,"")</f>
        <v/>
      </c>
      <c r="O769" s="11">
        <f>IF(K769="","",100-IF($G$13=1,50,(_xlfn.RANK.AVG(K769,$K$19:$K$1518,1)-1)/($G$13-1)*100))</f>
        <v/>
      </c>
      <c r="P769" s="11">
        <f>IF(L769="","",100-IF($G$14=1,50,(_xlfn.RANK.AVG(L769,$L$19:$L$1518,1)-1)/($G$14-1)*100))</f>
        <v/>
      </c>
      <c r="Q769" s="11">
        <f>IF(M769="","",IF($G$15=1,50,(_xlfn.RANK.AVG(M769,$M$19:$M$1518,1)-1)/($G$15-1)*100))</f>
        <v/>
      </c>
      <c r="R769" s="11">
        <f>IF(N769="","",IF($G$16=1,50,(_xlfn.RANK.AVG(N769,$N$19:$N$1518,1)-1)/($G$16-1)*100))</f>
        <v/>
      </c>
      <c r="S769" s="11">
        <f>IF(COUNT(O769:R769)=4,ROUND(AVERAGE(O769:R769),6),"")</f>
        <v/>
      </c>
      <c r="U769">
        <f>IF(AND(ISNUMBER('자료_한국심리'!$A753),ISNUMBER('자료_한국심리'!$B753)),'자료_한국심리'!$A753,"")</f>
        <v/>
      </c>
      <c r="V769">
        <f>IF(AND(ISNUMBER('자료_한국심리'!$D753),ISNUMBER('자료_한국심리'!$E753)),'자료_한국심리'!$D753,"")</f>
        <v/>
      </c>
      <c r="W769">
        <f>IF(AND(ISNUMBER('자료_한국심리'!$G753),ISNUMBER('자료_한국심리'!$H753)),'자료_한국심리'!$G753,"")</f>
        <v/>
      </c>
      <c r="X769">
        <f>IF(AND(ISNUMBER('자료_한국심리'!$J753),ISNUMBER('자료_한국심리'!$K753)),'자료_한국심리'!$J753,"")</f>
        <v/>
      </c>
      <c r="Y769">
        <f>IF(AND(ISNUMBER('자료_한국심리'!$M753),ISNUMBER('자료_한국심리'!$N753)),'자료_한국심리'!$M753,"")</f>
        <v/>
      </c>
    </row>
    <row r="770">
      <c r="A770" s="10">
        <f>IF(752&gt;$E$5,"",SMALL($U$19:$U$4018,$E$6+752))</f>
        <v/>
      </c>
      <c r="B770" s="29">
        <f>IF(A770="","",INDEX('자료_한국심리'!$B$3:$B$4002,MATCH(A770,$U$19:$U$4018,0)))</f>
        <v/>
      </c>
      <c r="C770" s="22">
        <f>IF(A770="","",B770/AVERAGE(B646:B770)-1)</f>
        <v/>
      </c>
      <c r="D770" s="29">
        <f>IF(A770="","",IFERROR(INDEX('자료_한국심리'!$E$3:$E$4002,MATCH(A770,$V$19:$V$4018,0)),D769))</f>
        <v/>
      </c>
      <c r="E770" s="30">
        <f>IF(A770="","",IFERROR(INDEX('자료_한국심리'!$H$3:$H$4002,MATCH(A770,$W$19:$W$4018,0)),E769))</f>
        <v/>
      </c>
      <c r="F770" s="30">
        <f>IF(A770="","",IFERROR(INDEX('자료_한국심리'!$K$3:$K$4002,MATCH(A770,$X$19:$X$4018,0)),F769))</f>
        <v/>
      </c>
      <c r="G770" s="30">
        <f>IF(AND(ISNUMBER(E770),ISNUMBER(F770)),ROUND(E770-F770,6),"")</f>
        <v/>
      </c>
      <c r="H770" s="25">
        <f>IF(A770="","",IFERROR(INDEX('자료_한국심리'!$N$3:$N$4002,MATCH(A770,$Y$19:$Y$4018,0)),H769))</f>
        <v/>
      </c>
      <c r="I770" s="31">
        <f>IF(AND(ISNUMBER(H770),ISNUMBER(H750)),IF(H750&gt;0,H770/H750-1,""),"")</f>
        <v/>
      </c>
      <c r="J770">
        <f>IF(A770="",0,IF(A770&gt;$B$5,1,0))</f>
        <v/>
      </c>
      <c r="K770" s="29">
        <f>IF(AND(J770=1,ISNUMBER(D770)),D770,"")</f>
        <v/>
      </c>
      <c r="L770" s="30">
        <f>IF(AND(J770=1,ISNUMBER(G770)),G770,"")</f>
        <v/>
      </c>
      <c r="M770" s="22">
        <f>IF(AND(J770=1,ISNUMBER(C770)),C770,"")</f>
        <v/>
      </c>
      <c r="N770" s="31">
        <f>IF(AND(J770=1,ISNUMBER(I770)),I770,"")</f>
        <v/>
      </c>
      <c r="O770" s="11">
        <f>IF(K770="","",100-IF($G$13=1,50,(_xlfn.RANK.AVG(K770,$K$19:$K$1518,1)-1)/($G$13-1)*100))</f>
        <v/>
      </c>
      <c r="P770" s="11">
        <f>IF(L770="","",100-IF($G$14=1,50,(_xlfn.RANK.AVG(L770,$L$19:$L$1518,1)-1)/($G$14-1)*100))</f>
        <v/>
      </c>
      <c r="Q770" s="11">
        <f>IF(M770="","",IF($G$15=1,50,(_xlfn.RANK.AVG(M770,$M$19:$M$1518,1)-1)/($G$15-1)*100))</f>
        <v/>
      </c>
      <c r="R770" s="11">
        <f>IF(N770="","",IF($G$16=1,50,(_xlfn.RANK.AVG(N770,$N$19:$N$1518,1)-1)/($G$16-1)*100))</f>
        <v/>
      </c>
      <c r="S770" s="11">
        <f>IF(COUNT(O770:R770)=4,ROUND(AVERAGE(O770:R770),6),"")</f>
        <v/>
      </c>
      <c r="U770">
        <f>IF(AND(ISNUMBER('자료_한국심리'!$A754),ISNUMBER('자료_한국심리'!$B754)),'자료_한국심리'!$A754,"")</f>
        <v/>
      </c>
      <c r="V770">
        <f>IF(AND(ISNUMBER('자료_한국심리'!$D754),ISNUMBER('자료_한국심리'!$E754)),'자료_한국심리'!$D754,"")</f>
        <v/>
      </c>
      <c r="W770">
        <f>IF(AND(ISNUMBER('자료_한국심리'!$G754),ISNUMBER('자료_한국심리'!$H754)),'자료_한국심리'!$G754,"")</f>
        <v/>
      </c>
      <c r="X770">
        <f>IF(AND(ISNUMBER('자료_한국심리'!$J754),ISNUMBER('자료_한국심리'!$K754)),'자료_한국심리'!$J754,"")</f>
        <v/>
      </c>
      <c r="Y770">
        <f>IF(AND(ISNUMBER('자료_한국심리'!$M754),ISNUMBER('자료_한국심리'!$N754)),'자료_한국심리'!$M754,"")</f>
        <v/>
      </c>
    </row>
    <row r="771">
      <c r="A771" s="10">
        <f>IF(753&gt;$E$5,"",SMALL($U$19:$U$4018,$E$6+753))</f>
        <v/>
      </c>
      <c r="B771" s="29">
        <f>IF(A771="","",INDEX('자료_한국심리'!$B$3:$B$4002,MATCH(A771,$U$19:$U$4018,0)))</f>
        <v/>
      </c>
      <c r="C771" s="22">
        <f>IF(A771="","",B771/AVERAGE(B647:B771)-1)</f>
        <v/>
      </c>
      <c r="D771" s="29">
        <f>IF(A771="","",IFERROR(INDEX('자료_한국심리'!$E$3:$E$4002,MATCH(A771,$V$19:$V$4018,0)),D770))</f>
        <v/>
      </c>
      <c r="E771" s="30">
        <f>IF(A771="","",IFERROR(INDEX('자료_한국심리'!$H$3:$H$4002,MATCH(A771,$W$19:$W$4018,0)),E770))</f>
        <v/>
      </c>
      <c r="F771" s="30">
        <f>IF(A771="","",IFERROR(INDEX('자료_한국심리'!$K$3:$K$4002,MATCH(A771,$X$19:$X$4018,0)),F770))</f>
        <v/>
      </c>
      <c r="G771" s="30">
        <f>IF(AND(ISNUMBER(E771),ISNUMBER(F771)),ROUND(E771-F771,6),"")</f>
        <v/>
      </c>
      <c r="H771" s="25">
        <f>IF(A771="","",IFERROR(INDEX('자료_한국심리'!$N$3:$N$4002,MATCH(A771,$Y$19:$Y$4018,0)),H770))</f>
        <v/>
      </c>
      <c r="I771" s="31">
        <f>IF(AND(ISNUMBER(H771),ISNUMBER(H751)),IF(H751&gt;0,H771/H751-1,""),"")</f>
        <v/>
      </c>
      <c r="J771">
        <f>IF(A771="",0,IF(A771&gt;$B$5,1,0))</f>
        <v/>
      </c>
      <c r="K771" s="29">
        <f>IF(AND(J771=1,ISNUMBER(D771)),D771,"")</f>
        <v/>
      </c>
      <c r="L771" s="30">
        <f>IF(AND(J771=1,ISNUMBER(G771)),G771,"")</f>
        <v/>
      </c>
      <c r="M771" s="22">
        <f>IF(AND(J771=1,ISNUMBER(C771)),C771,"")</f>
        <v/>
      </c>
      <c r="N771" s="31">
        <f>IF(AND(J771=1,ISNUMBER(I771)),I771,"")</f>
        <v/>
      </c>
      <c r="O771" s="11">
        <f>IF(K771="","",100-IF($G$13=1,50,(_xlfn.RANK.AVG(K771,$K$19:$K$1518,1)-1)/($G$13-1)*100))</f>
        <v/>
      </c>
      <c r="P771" s="11">
        <f>IF(L771="","",100-IF($G$14=1,50,(_xlfn.RANK.AVG(L771,$L$19:$L$1518,1)-1)/($G$14-1)*100))</f>
        <v/>
      </c>
      <c r="Q771" s="11">
        <f>IF(M771="","",IF($G$15=1,50,(_xlfn.RANK.AVG(M771,$M$19:$M$1518,1)-1)/($G$15-1)*100))</f>
        <v/>
      </c>
      <c r="R771" s="11">
        <f>IF(N771="","",IF($G$16=1,50,(_xlfn.RANK.AVG(N771,$N$19:$N$1518,1)-1)/($G$16-1)*100))</f>
        <v/>
      </c>
      <c r="S771" s="11">
        <f>IF(COUNT(O771:R771)=4,ROUND(AVERAGE(O771:R771),6),"")</f>
        <v/>
      </c>
      <c r="U771">
        <f>IF(AND(ISNUMBER('자료_한국심리'!$A755),ISNUMBER('자료_한국심리'!$B755)),'자료_한국심리'!$A755,"")</f>
        <v/>
      </c>
      <c r="V771">
        <f>IF(AND(ISNUMBER('자료_한국심리'!$D755),ISNUMBER('자료_한국심리'!$E755)),'자료_한국심리'!$D755,"")</f>
        <v/>
      </c>
      <c r="W771">
        <f>IF(AND(ISNUMBER('자료_한국심리'!$G755),ISNUMBER('자료_한국심리'!$H755)),'자료_한국심리'!$G755,"")</f>
        <v/>
      </c>
      <c r="X771">
        <f>IF(AND(ISNUMBER('자료_한국심리'!$J755),ISNUMBER('자료_한국심리'!$K755)),'자료_한국심리'!$J755,"")</f>
        <v/>
      </c>
      <c r="Y771">
        <f>IF(AND(ISNUMBER('자료_한국심리'!$M755),ISNUMBER('자료_한국심리'!$N755)),'자료_한국심리'!$M755,"")</f>
        <v/>
      </c>
    </row>
    <row r="772">
      <c r="A772" s="10">
        <f>IF(754&gt;$E$5,"",SMALL($U$19:$U$4018,$E$6+754))</f>
        <v/>
      </c>
      <c r="B772" s="29">
        <f>IF(A772="","",INDEX('자료_한국심리'!$B$3:$B$4002,MATCH(A772,$U$19:$U$4018,0)))</f>
        <v/>
      </c>
      <c r="C772" s="22">
        <f>IF(A772="","",B772/AVERAGE(B648:B772)-1)</f>
        <v/>
      </c>
      <c r="D772" s="29">
        <f>IF(A772="","",IFERROR(INDEX('자료_한국심리'!$E$3:$E$4002,MATCH(A772,$V$19:$V$4018,0)),D771))</f>
        <v/>
      </c>
      <c r="E772" s="30">
        <f>IF(A772="","",IFERROR(INDEX('자료_한국심리'!$H$3:$H$4002,MATCH(A772,$W$19:$W$4018,0)),E771))</f>
        <v/>
      </c>
      <c r="F772" s="30">
        <f>IF(A772="","",IFERROR(INDEX('자료_한국심리'!$K$3:$K$4002,MATCH(A772,$X$19:$X$4018,0)),F771))</f>
        <v/>
      </c>
      <c r="G772" s="30">
        <f>IF(AND(ISNUMBER(E772),ISNUMBER(F772)),ROUND(E772-F772,6),"")</f>
        <v/>
      </c>
      <c r="H772" s="25">
        <f>IF(A772="","",IFERROR(INDEX('자료_한국심리'!$N$3:$N$4002,MATCH(A772,$Y$19:$Y$4018,0)),H771))</f>
        <v/>
      </c>
      <c r="I772" s="31">
        <f>IF(AND(ISNUMBER(H772),ISNUMBER(H752)),IF(H752&gt;0,H772/H752-1,""),"")</f>
        <v/>
      </c>
      <c r="J772">
        <f>IF(A772="",0,IF(A772&gt;$B$5,1,0))</f>
        <v/>
      </c>
      <c r="K772" s="29">
        <f>IF(AND(J772=1,ISNUMBER(D772)),D772,"")</f>
        <v/>
      </c>
      <c r="L772" s="30">
        <f>IF(AND(J772=1,ISNUMBER(G772)),G772,"")</f>
        <v/>
      </c>
      <c r="M772" s="22">
        <f>IF(AND(J772=1,ISNUMBER(C772)),C772,"")</f>
        <v/>
      </c>
      <c r="N772" s="31">
        <f>IF(AND(J772=1,ISNUMBER(I772)),I772,"")</f>
        <v/>
      </c>
      <c r="O772" s="11">
        <f>IF(K772="","",100-IF($G$13=1,50,(_xlfn.RANK.AVG(K772,$K$19:$K$1518,1)-1)/($G$13-1)*100))</f>
        <v/>
      </c>
      <c r="P772" s="11">
        <f>IF(L772="","",100-IF($G$14=1,50,(_xlfn.RANK.AVG(L772,$L$19:$L$1518,1)-1)/($G$14-1)*100))</f>
        <v/>
      </c>
      <c r="Q772" s="11">
        <f>IF(M772="","",IF($G$15=1,50,(_xlfn.RANK.AVG(M772,$M$19:$M$1518,1)-1)/($G$15-1)*100))</f>
        <v/>
      </c>
      <c r="R772" s="11">
        <f>IF(N772="","",IF($G$16=1,50,(_xlfn.RANK.AVG(N772,$N$19:$N$1518,1)-1)/($G$16-1)*100))</f>
        <v/>
      </c>
      <c r="S772" s="11">
        <f>IF(COUNT(O772:R772)=4,ROUND(AVERAGE(O772:R772),6),"")</f>
        <v/>
      </c>
      <c r="U772">
        <f>IF(AND(ISNUMBER('자료_한국심리'!$A756),ISNUMBER('자료_한국심리'!$B756)),'자료_한국심리'!$A756,"")</f>
        <v/>
      </c>
      <c r="V772">
        <f>IF(AND(ISNUMBER('자료_한국심리'!$D756),ISNUMBER('자료_한국심리'!$E756)),'자료_한국심리'!$D756,"")</f>
        <v/>
      </c>
      <c r="W772">
        <f>IF(AND(ISNUMBER('자료_한국심리'!$G756),ISNUMBER('자료_한국심리'!$H756)),'자료_한국심리'!$G756,"")</f>
        <v/>
      </c>
      <c r="X772">
        <f>IF(AND(ISNUMBER('자료_한국심리'!$J756),ISNUMBER('자료_한국심리'!$K756)),'자료_한국심리'!$J756,"")</f>
        <v/>
      </c>
      <c r="Y772">
        <f>IF(AND(ISNUMBER('자료_한국심리'!$M756),ISNUMBER('자료_한국심리'!$N756)),'자료_한국심리'!$M756,"")</f>
        <v/>
      </c>
    </row>
    <row r="773">
      <c r="A773" s="10">
        <f>IF(755&gt;$E$5,"",SMALL($U$19:$U$4018,$E$6+755))</f>
        <v/>
      </c>
      <c r="B773" s="29">
        <f>IF(A773="","",INDEX('자료_한국심리'!$B$3:$B$4002,MATCH(A773,$U$19:$U$4018,0)))</f>
        <v/>
      </c>
      <c r="C773" s="22">
        <f>IF(A773="","",B773/AVERAGE(B649:B773)-1)</f>
        <v/>
      </c>
      <c r="D773" s="29">
        <f>IF(A773="","",IFERROR(INDEX('자료_한국심리'!$E$3:$E$4002,MATCH(A773,$V$19:$V$4018,0)),D772))</f>
        <v/>
      </c>
      <c r="E773" s="30">
        <f>IF(A773="","",IFERROR(INDEX('자료_한국심리'!$H$3:$H$4002,MATCH(A773,$W$19:$W$4018,0)),E772))</f>
        <v/>
      </c>
      <c r="F773" s="30">
        <f>IF(A773="","",IFERROR(INDEX('자료_한국심리'!$K$3:$K$4002,MATCH(A773,$X$19:$X$4018,0)),F772))</f>
        <v/>
      </c>
      <c r="G773" s="30">
        <f>IF(AND(ISNUMBER(E773),ISNUMBER(F773)),ROUND(E773-F773,6),"")</f>
        <v/>
      </c>
      <c r="H773" s="25">
        <f>IF(A773="","",IFERROR(INDEX('자료_한국심리'!$N$3:$N$4002,MATCH(A773,$Y$19:$Y$4018,0)),H772))</f>
        <v/>
      </c>
      <c r="I773" s="31">
        <f>IF(AND(ISNUMBER(H773),ISNUMBER(H753)),IF(H753&gt;0,H773/H753-1,""),"")</f>
        <v/>
      </c>
      <c r="J773">
        <f>IF(A773="",0,IF(A773&gt;$B$5,1,0))</f>
        <v/>
      </c>
      <c r="K773" s="29">
        <f>IF(AND(J773=1,ISNUMBER(D773)),D773,"")</f>
        <v/>
      </c>
      <c r="L773" s="30">
        <f>IF(AND(J773=1,ISNUMBER(G773)),G773,"")</f>
        <v/>
      </c>
      <c r="M773" s="22">
        <f>IF(AND(J773=1,ISNUMBER(C773)),C773,"")</f>
        <v/>
      </c>
      <c r="N773" s="31">
        <f>IF(AND(J773=1,ISNUMBER(I773)),I773,"")</f>
        <v/>
      </c>
      <c r="O773" s="11">
        <f>IF(K773="","",100-IF($G$13=1,50,(_xlfn.RANK.AVG(K773,$K$19:$K$1518,1)-1)/($G$13-1)*100))</f>
        <v/>
      </c>
      <c r="P773" s="11">
        <f>IF(L773="","",100-IF($G$14=1,50,(_xlfn.RANK.AVG(L773,$L$19:$L$1518,1)-1)/($G$14-1)*100))</f>
        <v/>
      </c>
      <c r="Q773" s="11">
        <f>IF(M773="","",IF($G$15=1,50,(_xlfn.RANK.AVG(M773,$M$19:$M$1518,1)-1)/($G$15-1)*100))</f>
        <v/>
      </c>
      <c r="R773" s="11">
        <f>IF(N773="","",IF($G$16=1,50,(_xlfn.RANK.AVG(N773,$N$19:$N$1518,1)-1)/($G$16-1)*100))</f>
        <v/>
      </c>
      <c r="S773" s="11">
        <f>IF(COUNT(O773:R773)=4,ROUND(AVERAGE(O773:R773),6),"")</f>
        <v/>
      </c>
      <c r="U773">
        <f>IF(AND(ISNUMBER('자료_한국심리'!$A757),ISNUMBER('자료_한국심리'!$B757)),'자료_한국심리'!$A757,"")</f>
        <v/>
      </c>
      <c r="V773">
        <f>IF(AND(ISNUMBER('자료_한국심리'!$D757),ISNUMBER('자료_한국심리'!$E757)),'자료_한국심리'!$D757,"")</f>
        <v/>
      </c>
      <c r="W773">
        <f>IF(AND(ISNUMBER('자료_한국심리'!$G757),ISNUMBER('자료_한국심리'!$H757)),'자료_한국심리'!$G757,"")</f>
        <v/>
      </c>
      <c r="X773">
        <f>IF(AND(ISNUMBER('자료_한국심리'!$J757),ISNUMBER('자료_한국심리'!$K757)),'자료_한국심리'!$J757,"")</f>
        <v/>
      </c>
      <c r="Y773">
        <f>IF(AND(ISNUMBER('자료_한국심리'!$M757),ISNUMBER('자료_한국심리'!$N757)),'자료_한국심리'!$M757,"")</f>
        <v/>
      </c>
    </row>
    <row r="774">
      <c r="A774" s="10">
        <f>IF(756&gt;$E$5,"",SMALL($U$19:$U$4018,$E$6+756))</f>
        <v/>
      </c>
      <c r="B774" s="29">
        <f>IF(A774="","",INDEX('자료_한국심리'!$B$3:$B$4002,MATCH(A774,$U$19:$U$4018,0)))</f>
        <v/>
      </c>
      <c r="C774" s="22">
        <f>IF(A774="","",B774/AVERAGE(B650:B774)-1)</f>
        <v/>
      </c>
      <c r="D774" s="29">
        <f>IF(A774="","",IFERROR(INDEX('자료_한국심리'!$E$3:$E$4002,MATCH(A774,$V$19:$V$4018,0)),D773))</f>
        <v/>
      </c>
      <c r="E774" s="30">
        <f>IF(A774="","",IFERROR(INDEX('자료_한국심리'!$H$3:$H$4002,MATCH(A774,$W$19:$W$4018,0)),E773))</f>
        <v/>
      </c>
      <c r="F774" s="30">
        <f>IF(A774="","",IFERROR(INDEX('자료_한국심리'!$K$3:$K$4002,MATCH(A774,$X$19:$X$4018,0)),F773))</f>
        <v/>
      </c>
      <c r="G774" s="30">
        <f>IF(AND(ISNUMBER(E774),ISNUMBER(F774)),ROUND(E774-F774,6),"")</f>
        <v/>
      </c>
      <c r="H774" s="25">
        <f>IF(A774="","",IFERROR(INDEX('자료_한국심리'!$N$3:$N$4002,MATCH(A774,$Y$19:$Y$4018,0)),H773))</f>
        <v/>
      </c>
      <c r="I774" s="31">
        <f>IF(AND(ISNUMBER(H774),ISNUMBER(H754)),IF(H754&gt;0,H774/H754-1,""),"")</f>
        <v/>
      </c>
      <c r="J774">
        <f>IF(A774="",0,IF(A774&gt;$B$5,1,0))</f>
        <v/>
      </c>
      <c r="K774" s="29">
        <f>IF(AND(J774=1,ISNUMBER(D774)),D774,"")</f>
        <v/>
      </c>
      <c r="L774" s="30">
        <f>IF(AND(J774=1,ISNUMBER(G774)),G774,"")</f>
        <v/>
      </c>
      <c r="M774" s="22">
        <f>IF(AND(J774=1,ISNUMBER(C774)),C774,"")</f>
        <v/>
      </c>
      <c r="N774" s="31">
        <f>IF(AND(J774=1,ISNUMBER(I774)),I774,"")</f>
        <v/>
      </c>
      <c r="O774" s="11">
        <f>IF(K774="","",100-IF($G$13=1,50,(_xlfn.RANK.AVG(K774,$K$19:$K$1518,1)-1)/($G$13-1)*100))</f>
        <v/>
      </c>
      <c r="P774" s="11">
        <f>IF(L774="","",100-IF($G$14=1,50,(_xlfn.RANK.AVG(L774,$L$19:$L$1518,1)-1)/($G$14-1)*100))</f>
        <v/>
      </c>
      <c r="Q774" s="11">
        <f>IF(M774="","",IF($G$15=1,50,(_xlfn.RANK.AVG(M774,$M$19:$M$1518,1)-1)/($G$15-1)*100))</f>
        <v/>
      </c>
      <c r="R774" s="11">
        <f>IF(N774="","",IF($G$16=1,50,(_xlfn.RANK.AVG(N774,$N$19:$N$1518,1)-1)/($G$16-1)*100))</f>
        <v/>
      </c>
      <c r="S774" s="11">
        <f>IF(COUNT(O774:R774)=4,ROUND(AVERAGE(O774:R774),6),"")</f>
        <v/>
      </c>
      <c r="U774">
        <f>IF(AND(ISNUMBER('자료_한국심리'!$A758),ISNUMBER('자료_한국심리'!$B758)),'자료_한국심리'!$A758,"")</f>
        <v/>
      </c>
      <c r="V774">
        <f>IF(AND(ISNUMBER('자료_한국심리'!$D758),ISNUMBER('자료_한국심리'!$E758)),'자료_한국심리'!$D758,"")</f>
        <v/>
      </c>
      <c r="W774">
        <f>IF(AND(ISNUMBER('자료_한국심리'!$G758),ISNUMBER('자료_한국심리'!$H758)),'자료_한국심리'!$G758,"")</f>
        <v/>
      </c>
      <c r="X774">
        <f>IF(AND(ISNUMBER('자료_한국심리'!$J758),ISNUMBER('자료_한국심리'!$K758)),'자료_한국심리'!$J758,"")</f>
        <v/>
      </c>
      <c r="Y774">
        <f>IF(AND(ISNUMBER('자료_한국심리'!$M758),ISNUMBER('자료_한국심리'!$N758)),'자료_한국심리'!$M758,"")</f>
        <v/>
      </c>
    </row>
    <row r="775">
      <c r="A775" s="10">
        <f>IF(757&gt;$E$5,"",SMALL($U$19:$U$4018,$E$6+757))</f>
        <v/>
      </c>
      <c r="B775" s="29">
        <f>IF(A775="","",INDEX('자료_한국심리'!$B$3:$B$4002,MATCH(A775,$U$19:$U$4018,0)))</f>
        <v/>
      </c>
      <c r="C775" s="22">
        <f>IF(A775="","",B775/AVERAGE(B651:B775)-1)</f>
        <v/>
      </c>
      <c r="D775" s="29">
        <f>IF(A775="","",IFERROR(INDEX('자료_한국심리'!$E$3:$E$4002,MATCH(A775,$V$19:$V$4018,0)),D774))</f>
        <v/>
      </c>
      <c r="E775" s="30">
        <f>IF(A775="","",IFERROR(INDEX('자료_한국심리'!$H$3:$H$4002,MATCH(A775,$W$19:$W$4018,0)),E774))</f>
        <v/>
      </c>
      <c r="F775" s="30">
        <f>IF(A775="","",IFERROR(INDEX('자료_한국심리'!$K$3:$K$4002,MATCH(A775,$X$19:$X$4018,0)),F774))</f>
        <v/>
      </c>
      <c r="G775" s="30">
        <f>IF(AND(ISNUMBER(E775),ISNUMBER(F775)),ROUND(E775-F775,6),"")</f>
        <v/>
      </c>
      <c r="H775" s="25">
        <f>IF(A775="","",IFERROR(INDEX('자료_한국심리'!$N$3:$N$4002,MATCH(A775,$Y$19:$Y$4018,0)),H774))</f>
        <v/>
      </c>
      <c r="I775" s="31">
        <f>IF(AND(ISNUMBER(H775),ISNUMBER(H755)),IF(H755&gt;0,H775/H755-1,""),"")</f>
        <v/>
      </c>
      <c r="J775">
        <f>IF(A775="",0,IF(A775&gt;$B$5,1,0))</f>
        <v/>
      </c>
      <c r="K775" s="29">
        <f>IF(AND(J775=1,ISNUMBER(D775)),D775,"")</f>
        <v/>
      </c>
      <c r="L775" s="30">
        <f>IF(AND(J775=1,ISNUMBER(G775)),G775,"")</f>
        <v/>
      </c>
      <c r="M775" s="22">
        <f>IF(AND(J775=1,ISNUMBER(C775)),C775,"")</f>
        <v/>
      </c>
      <c r="N775" s="31">
        <f>IF(AND(J775=1,ISNUMBER(I775)),I775,"")</f>
        <v/>
      </c>
      <c r="O775" s="11">
        <f>IF(K775="","",100-IF($G$13=1,50,(_xlfn.RANK.AVG(K775,$K$19:$K$1518,1)-1)/($G$13-1)*100))</f>
        <v/>
      </c>
      <c r="P775" s="11">
        <f>IF(L775="","",100-IF($G$14=1,50,(_xlfn.RANK.AVG(L775,$L$19:$L$1518,1)-1)/($G$14-1)*100))</f>
        <v/>
      </c>
      <c r="Q775" s="11">
        <f>IF(M775="","",IF($G$15=1,50,(_xlfn.RANK.AVG(M775,$M$19:$M$1518,1)-1)/($G$15-1)*100))</f>
        <v/>
      </c>
      <c r="R775" s="11">
        <f>IF(N775="","",IF($G$16=1,50,(_xlfn.RANK.AVG(N775,$N$19:$N$1518,1)-1)/($G$16-1)*100))</f>
        <v/>
      </c>
      <c r="S775" s="11">
        <f>IF(COUNT(O775:R775)=4,ROUND(AVERAGE(O775:R775),6),"")</f>
        <v/>
      </c>
      <c r="U775">
        <f>IF(AND(ISNUMBER('자료_한국심리'!$A759),ISNUMBER('자료_한국심리'!$B759)),'자료_한국심리'!$A759,"")</f>
        <v/>
      </c>
      <c r="V775">
        <f>IF(AND(ISNUMBER('자료_한국심리'!$D759),ISNUMBER('자료_한국심리'!$E759)),'자료_한국심리'!$D759,"")</f>
        <v/>
      </c>
      <c r="W775">
        <f>IF(AND(ISNUMBER('자료_한국심리'!$G759),ISNUMBER('자료_한국심리'!$H759)),'자료_한국심리'!$G759,"")</f>
        <v/>
      </c>
      <c r="X775">
        <f>IF(AND(ISNUMBER('자료_한국심리'!$J759),ISNUMBER('자료_한국심리'!$K759)),'자료_한국심리'!$J759,"")</f>
        <v/>
      </c>
      <c r="Y775">
        <f>IF(AND(ISNUMBER('자료_한국심리'!$M759),ISNUMBER('자료_한국심리'!$N759)),'자료_한국심리'!$M759,"")</f>
        <v/>
      </c>
    </row>
    <row r="776">
      <c r="A776" s="10">
        <f>IF(758&gt;$E$5,"",SMALL($U$19:$U$4018,$E$6+758))</f>
        <v/>
      </c>
      <c r="B776" s="29">
        <f>IF(A776="","",INDEX('자료_한국심리'!$B$3:$B$4002,MATCH(A776,$U$19:$U$4018,0)))</f>
        <v/>
      </c>
      <c r="C776" s="22">
        <f>IF(A776="","",B776/AVERAGE(B652:B776)-1)</f>
        <v/>
      </c>
      <c r="D776" s="29">
        <f>IF(A776="","",IFERROR(INDEX('자료_한국심리'!$E$3:$E$4002,MATCH(A776,$V$19:$V$4018,0)),D775))</f>
        <v/>
      </c>
      <c r="E776" s="30">
        <f>IF(A776="","",IFERROR(INDEX('자료_한국심리'!$H$3:$H$4002,MATCH(A776,$W$19:$W$4018,0)),E775))</f>
        <v/>
      </c>
      <c r="F776" s="30">
        <f>IF(A776="","",IFERROR(INDEX('자료_한국심리'!$K$3:$K$4002,MATCH(A776,$X$19:$X$4018,0)),F775))</f>
        <v/>
      </c>
      <c r="G776" s="30">
        <f>IF(AND(ISNUMBER(E776),ISNUMBER(F776)),ROUND(E776-F776,6),"")</f>
        <v/>
      </c>
      <c r="H776" s="25">
        <f>IF(A776="","",IFERROR(INDEX('자료_한국심리'!$N$3:$N$4002,MATCH(A776,$Y$19:$Y$4018,0)),H775))</f>
        <v/>
      </c>
      <c r="I776" s="31">
        <f>IF(AND(ISNUMBER(H776),ISNUMBER(H756)),IF(H756&gt;0,H776/H756-1,""),"")</f>
        <v/>
      </c>
      <c r="J776">
        <f>IF(A776="",0,IF(A776&gt;$B$5,1,0))</f>
        <v/>
      </c>
      <c r="K776" s="29">
        <f>IF(AND(J776=1,ISNUMBER(D776)),D776,"")</f>
        <v/>
      </c>
      <c r="L776" s="30">
        <f>IF(AND(J776=1,ISNUMBER(G776)),G776,"")</f>
        <v/>
      </c>
      <c r="M776" s="22">
        <f>IF(AND(J776=1,ISNUMBER(C776)),C776,"")</f>
        <v/>
      </c>
      <c r="N776" s="31">
        <f>IF(AND(J776=1,ISNUMBER(I776)),I776,"")</f>
        <v/>
      </c>
      <c r="O776" s="11">
        <f>IF(K776="","",100-IF($G$13=1,50,(_xlfn.RANK.AVG(K776,$K$19:$K$1518,1)-1)/($G$13-1)*100))</f>
        <v/>
      </c>
      <c r="P776" s="11">
        <f>IF(L776="","",100-IF($G$14=1,50,(_xlfn.RANK.AVG(L776,$L$19:$L$1518,1)-1)/($G$14-1)*100))</f>
        <v/>
      </c>
      <c r="Q776" s="11">
        <f>IF(M776="","",IF($G$15=1,50,(_xlfn.RANK.AVG(M776,$M$19:$M$1518,1)-1)/($G$15-1)*100))</f>
        <v/>
      </c>
      <c r="R776" s="11">
        <f>IF(N776="","",IF($G$16=1,50,(_xlfn.RANK.AVG(N776,$N$19:$N$1518,1)-1)/($G$16-1)*100))</f>
        <v/>
      </c>
      <c r="S776" s="11">
        <f>IF(COUNT(O776:R776)=4,ROUND(AVERAGE(O776:R776),6),"")</f>
        <v/>
      </c>
      <c r="U776">
        <f>IF(AND(ISNUMBER('자료_한국심리'!$A760),ISNUMBER('자료_한국심리'!$B760)),'자료_한국심리'!$A760,"")</f>
        <v/>
      </c>
      <c r="V776">
        <f>IF(AND(ISNUMBER('자료_한국심리'!$D760),ISNUMBER('자료_한국심리'!$E760)),'자료_한국심리'!$D760,"")</f>
        <v/>
      </c>
      <c r="W776">
        <f>IF(AND(ISNUMBER('자료_한국심리'!$G760),ISNUMBER('자료_한국심리'!$H760)),'자료_한국심리'!$G760,"")</f>
        <v/>
      </c>
      <c r="X776">
        <f>IF(AND(ISNUMBER('자료_한국심리'!$J760),ISNUMBER('자료_한국심리'!$K760)),'자료_한국심리'!$J760,"")</f>
        <v/>
      </c>
      <c r="Y776">
        <f>IF(AND(ISNUMBER('자료_한국심리'!$M760),ISNUMBER('자료_한국심리'!$N760)),'자료_한국심리'!$M760,"")</f>
        <v/>
      </c>
    </row>
    <row r="777">
      <c r="A777" s="10">
        <f>IF(759&gt;$E$5,"",SMALL($U$19:$U$4018,$E$6+759))</f>
        <v/>
      </c>
      <c r="B777" s="29">
        <f>IF(A777="","",INDEX('자료_한국심리'!$B$3:$B$4002,MATCH(A777,$U$19:$U$4018,0)))</f>
        <v/>
      </c>
      <c r="C777" s="22">
        <f>IF(A777="","",B777/AVERAGE(B653:B777)-1)</f>
        <v/>
      </c>
      <c r="D777" s="29">
        <f>IF(A777="","",IFERROR(INDEX('자료_한국심리'!$E$3:$E$4002,MATCH(A777,$V$19:$V$4018,0)),D776))</f>
        <v/>
      </c>
      <c r="E777" s="30">
        <f>IF(A777="","",IFERROR(INDEX('자료_한국심리'!$H$3:$H$4002,MATCH(A777,$W$19:$W$4018,0)),E776))</f>
        <v/>
      </c>
      <c r="F777" s="30">
        <f>IF(A777="","",IFERROR(INDEX('자료_한국심리'!$K$3:$K$4002,MATCH(A777,$X$19:$X$4018,0)),F776))</f>
        <v/>
      </c>
      <c r="G777" s="30">
        <f>IF(AND(ISNUMBER(E777),ISNUMBER(F777)),ROUND(E777-F777,6),"")</f>
        <v/>
      </c>
      <c r="H777" s="25">
        <f>IF(A777="","",IFERROR(INDEX('자료_한국심리'!$N$3:$N$4002,MATCH(A777,$Y$19:$Y$4018,0)),H776))</f>
        <v/>
      </c>
      <c r="I777" s="31">
        <f>IF(AND(ISNUMBER(H777),ISNUMBER(H757)),IF(H757&gt;0,H777/H757-1,""),"")</f>
        <v/>
      </c>
      <c r="J777">
        <f>IF(A777="",0,IF(A777&gt;$B$5,1,0))</f>
        <v/>
      </c>
      <c r="K777" s="29">
        <f>IF(AND(J777=1,ISNUMBER(D777)),D777,"")</f>
        <v/>
      </c>
      <c r="L777" s="30">
        <f>IF(AND(J777=1,ISNUMBER(G777)),G777,"")</f>
        <v/>
      </c>
      <c r="M777" s="22">
        <f>IF(AND(J777=1,ISNUMBER(C777)),C777,"")</f>
        <v/>
      </c>
      <c r="N777" s="31">
        <f>IF(AND(J777=1,ISNUMBER(I777)),I777,"")</f>
        <v/>
      </c>
      <c r="O777" s="11">
        <f>IF(K777="","",100-IF($G$13=1,50,(_xlfn.RANK.AVG(K777,$K$19:$K$1518,1)-1)/($G$13-1)*100))</f>
        <v/>
      </c>
      <c r="P777" s="11">
        <f>IF(L777="","",100-IF($G$14=1,50,(_xlfn.RANK.AVG(L777,$L$19:$L$1518,1)-1)/($G$14-1)*100))</f>
        <v/>
      </c>
      <c r="Q777" s="11">
        <f>IF(M777="","",IF($G$15=1,50,(_xlfn.RANK.AVG(M777,$M$19:$M$1518,1)-1)/($G$15-1)*100))</f>
        <v/>
      </c>
      <c r="R777" s="11">
        <f>IF(N777="","",IF($G$16=1,50,(_xlfn.RANK.AVG(N777,$N$19:$N$1518,1)-1)/($G$16-1)*100))</f>
        <v/>
      </c>
      <c r="S777" s="11">
        <f>IF(COUNT(O777:R777)=4,ROUND(AVERAGE(O777:R777),6),"")</f>
        <v/>
      </c>
      <c r="U777">
        <f>IF(AND(ISNUMBER('자료_한국심리'!$A761),ISNUMBER('자료_한국심리'!$B761)),'자료_한국심리'!$A761,"")</f>
        <v/>
      </c>
      <c r="V777">
        <f>IF(AND(ISNUMBER('자료_한국심리'!$D761),ISNUMBER('자료_한국심리'!$E761)),'자료_한국심리'!$D761,"")</f>
        <v/>
      </c>
      <c r="W777">
        <f>IF(AND(ISNUMBER('자료_한국심리'!$G761),ISNUMBER('자료_한국심리'!$H761)),'자료_한국심리'!$G761,"")</f>
        <v/>
      </c>
      <c r="X777">
        <f>IF(AND(ISNUMBER('자료_한국심리'!$J761),ISNUMBER('자료_한국심리'!$K761)),'자료_한국심리'!$J761,"")</f>
        <v/>
      </c>
      <c r="Y777">
        <f>IF(AND(ISNUMBER('자료_한국심리'!$M761),ISNUMBER('자료_한국심리'!$N761)),'자료_한국심리'!$M761,"")</f>
        <v/>
      </c>
    </row>
    <row r="778">
      <c r="A778" s="10">
        <f>IF(760&gt;$E$5,"",SMALL($U$19:$U$4018,$E$6+760))</f>
        <v/>
      </c>
      <c r="B778" s="29">
        <f>IF(A778="","",INDEX('자료_한국심리'!$B$3:$B$4002,MATCH(A778,$U$19:$U$4018,0)))</f>
        <v/>
      </c>
      <c r="C778" s="22">
        <f>IF(A778="","",B778/AVERAGE(B654:B778)-1)</f>
        <v/>
      </c>
      <c r="D778" s="29">
        <f>IF(A778="","",IFERROR(INDEX('자료_한국심리'!$E$3:$E$4002,MATCH(A778,$V$19:$V$4018,0)),D777))</f>
        <v/>
      </c>
      <c r="E778" s="30">
        <f>IF(A778="","",IFERROR(INDEX('자료_한국심리'!$H$3:$H$4002,MATCH(A778,$W$19:$W$4018,0)),E777))</f>
        <v/>
      </c>
      <c r="F778" s="30">
        <f>IF(A778="","",IFERROR(INDEX('자료_한국심리'!$K$3:$K$4002,MATCH(A778,$X$19:$X$4018,0)),F777))</f>
        <v/>
      </c>
      <c r="G778" s="30">
        <f>IF(AND(ISNUMBER(E778),ISNUMBER(F778)),ROUND(E778-F778,6),"")</f>
        <v/>
      </c>
      <c r="H778" s="25">
        <f>IF(A778="","",IFERROR(INDEX('자료_한국심리'!$N$3:$N$4002,MATCH(A778,$Y$19:$Y$4018,0)),H777))</f>
        <v/>
      </c>
      <c r="I778" s="31">
        <f>IF(AND(ISNUMBER(H778),ISNUMBER(H758)),IF(H758&gt;0,H778/H758-1,""),"")</f>
        <v/>
      </c>
      <c r="J778">
        <f>IF(A778="",0,IF(A778&gt;$B$5,1,0))</f>
        <v/>
      </c>
      <c r="K778" s="29">
        <f>IF(AND(J778=1,ISNUMBER(D778)),D778,"")</f>
        <v/>
      </c>
      <c r="L778" s="30">
        <f>IF(AND(J778=1,ISNUMBER(G778)),G778,"")</f>
        <v/>
      </c>
      <c r="M778" s="22">
        <f>IF(AND(J778=1,ISNUMBER(C778)),C778,"")</f>
        <v/>
      </c>
      <c r="N778" s="31">
        <f>IF(AND(J778=1,ISNUMBER(I778)),I778,"")</f>
        <v/>
      </c>
      <c r="O778" s="11">
        <f>IF(K778="","",100-IF($G$13=1,50,(_xlfn.RANK.AVG(K778,$K$19:$K$1518,1)-1)/($G$13-1)*100))</f>
        <v/>
      </c>
      <c r="P778" s="11">
        <f>IF(L778="","",100-IF($G$14=1,50,(_xlfn.RANK.AVG(L778,$L$19:$L$1518,1)-1)/($G$14-1)*100))</f>
        <v/>
      </c>
      <c r="Q778" s="11">
        <f>IF(M778="","",IF($G$15=1,50,(_xlfn.RANK.AVG(M778,$M$19:$M$1518,1)-1)/($G$15-1)*100))</f>
        <v/>
      </c>
      <c r="R778" s="11">
        <f>IF(N778="","",IF($G$16=1,50,(_xlfn.RANK.AVG(N778,$N$19:$N$1518,1)-1)/($G$16-1)*100))</f>
        <v/>
      </c>
      <c r="S778" s="11">
        <f>IF(COUNT(O778:R778)=4,ROUND(AVERAGE(O778:R778),6),"")</f>
        <v/>
      </c>
      <c r="U778">
        <f>IF(AND(ISNUMBER('자료_한국심리'!$A762),ISNUMBER('자료_한국심리'!$B762)),'자료_한국심리'!$A762,"")</f>
        <v/>
      </c>
      <c r="V778">
        <f>IF(AND(ISNUMBER('자료_한국심리'!$D762),ISNUMBER('자료_한국심리'!$E762)),'자료_한국심리'!$D762,"")</f>
        <v/>
      </c>
      <c r="W778">
        <f>IF(AND(ISNUMBER('자료_한국심리'!$G762),ISNUMBER('자료_한국심리'!$H762)),'자료_한국심리'!$G762,"")</f>
        <v/>
      </c>
      <c r="X778">
        <f>IF(AND(ISNUMBER('자료_한국심리'!$J762),ISNUMBER('자료_한국심리'!$K762)),'자료_한국심리'!$J762,"")</f>
        <v/>
      </c>
      <c r="Y778">
        <f>IF(AND(ISNUMBER('자료_한국심리'!$M762),ISNUMBER('자료_한국심리'!$N762)),'자료_한국심리'!$M762,"")</f>
        <v/>
      </c>
    </row>
    <row r="779">
      <c r="A779" s="10">
        <f>IF(761&gt;$E$5,"",SMALL($U$19:$U$4018,$E$6+761))</f>
        <v/>
      </c>
      <c r="B779" s="29">
        <f>IF(A779="","",INDEX('자료_한국심리'!$B$3:$B$4002,MATCH(A779,$U$19:$U$4018,0)))</f>
        <v/>
      </c>
      <c r="C779" s="22">
        <f>IF(A779="","",B779/AVERAGE(B655:B779)-1)</f>
        <v/>
      </c>
      <c r="D779" s="29">
        <f>IF(A779="","",IFERROR(INDEX('자료_한국심리'!$E$3:$E$4002,MATCH(A779,$V$19:$V$4018,0)),D778))</f>
        <v/>
      </c>
      <c r="E779" s="30">
        <f>IF(A779="","",IFERROR(INDEX('자료_한국심리'!$H$3:$H$4002,MATCH(A779,$W$19:$W$4018,0)),E778))</f>
        <v/>
      </c>
      <c r="F779" s="30">
        <f>IF(A779="","",IFERROR(INDEX('자료_한국심리'!$K$3:$K$4002,MATCH(A779,$X$19:$X$4018,0)),F778))</f>
        <v/>
      </c>
      <c r="G779" s="30">
        <f>IF(AND(ISNUMBER(E779),ISNUMBER(F779)),ROUND(E779-F779,6),"")</f>
        <v/>
      </c>
      <c r="H779" s="25">
        <f>IF(A779="","",IFERROR(INDEX('자료_한국심리'!$N$3:$N$4002,MATCH(A779,$Y$19:$Y$4018,0)),H778))</f>
        <v/>
      </c>
      <c r="I779" s="31">
        <f>IF(AND(ISNUMBER(H779),ISNUMBER(H759)),IF(H759&gt;0,H779/H759-1,""),"")</f>
        <v/>
      </c>
      <c r="J779">
        <f>IF(A779="",0,IF(A779&gt;$B$5,1,0))</f>
        <v/>
      </c>
      <c r="K779" s="29">
        <f>IF(AND(J779=1,ISNUMBER(D779)),D779,"")</f>
        <v/>
      </c>
      <c r="L779" s="30">
        <f>IF(AND(J779=1,ISNUMBER(G779)),G779,"")</f>
        <v/>
      </c>
      <c r="M779" s="22">
        <f>IF(AND(J779=1,ISNUMBER(C779)),C779,"")</f>
        <v/>
      </c>
      <c r="N779" s="31">
        <f>IF(AND(J779=1,ISNUMBER(I779)),I779,"")</f>
        <v/>
      </c>
      <c r="O779" s="11">
        <f>IF(K779="","",100-IF($G$13=1,50,(_xlfn.RANK.AVG(K779,$K$19:$K$1518,1)-1)/($G$13-1)*100))</f>
        <v/>
      </c>
      <c r="P779" s="11">
        <f>IF(L779="","",100-IF($G$14=1,50,(_xlfn.RANK.AVG(L779,$L$19:$L$1518,1)-1)/($G$14-1)*100))</f>
        <v/>
      </c>
      <c r="Q779" s="11">
        <f>IF(M779="","",IF($G$15=1,50,(_xlfn.RANK.AVG(M779,$M$19:$M$1518,1)-1)/($G$15-1)*100))</f>
        <v/>
      </c>
      <c r="R779" s="11">
        <f>IF(N779="","",IF($G$16=1,50,(_xlfn.RANK.AVG(N779,$N$19:$N$1518,1)-1)/($G$16-1)*100))</f>
        <v/>
      </c>
      <c r="S779" s="11">
        <f>IF(COUNT(O779:R779)=4,ROUND(AVERAGE(O779:R779),6),"")</f>
        <v/>
      </c>
      <c r="U779">
        <f>IF(AND(ISNUMBER('자료_한국심리'!$A763),ISNUMBER('자료_한국심리'!$B763)),'자료_한국심리'!$A763,"")</f>
        <v/>
      </c>
      <c r="V779">
        <f>IF(AND(ISNUMBER('자료_한국심리'!$D763),ISNUMBER('자료_한국심리'!$E763)),'자료_한국심리'!$D763,"")</f>
        <v/>
      </c>
      <c r="W779">
        <f>IF(AND(ISNUMBER('자료_한국심리'!$G763),ISNUMBER('자료_한국심리'!$H763)),'자료_한국심리'!$G763,"")</f>
        <v/>
      </c>
      <c r="X779">
        <f>IF(AND(ISNUMBER('자료_한국심리'!$J763),ISNUMBER('자료_한국심리'!$K763)),'자료_한국심리'!$J763,"")</f>
        <v/>
      </c>
      <c r="Y779">
        <f>IF(AND(ISNUMBER('자료_한국심리'!$M763),ISNUMBER('자료_한국심리'!$N763)),'자료_한국심리'!$M763,"")</f>
        <v/>
      </c>
    </row>
    <row r="780">
      <c r="A780" s="10">
        <f>IF(762&gt;$E$5,"",SMALL($U$19:$U$4018,$E$6+762))</f>
        <v/>
      </c>
      <c r="B780" s="29">
        <f>IF(A780="","",INDEX('자료_한국심리'!$B$3:$B$4002,MATCH(A780,$U$19:$U$4018,0)))</f>
        <v/>
      </c>
      <c r="C780" s="22">
        <f>IF(A780="","",B780/AVERAGE(B656:B780)-1)</f>
        <v/>
      </c>
      <c r="D780" s="29">
        <f>IF(A780="","",IFERROR(INDEX('자료_한국심리'!$E$3:$E$4002,MATCH(A780,$V$19:$V$4018,0)),D779))</f>
        <v/>
      </c>
      <c r="E780" s="30">
        <f>IF(A780="","",IFERROR(INDEX('자료_한국심리'!$H$3:$H$4002,MATCH(A780,$W$19:$W$4018,0)),E779))</f>
        <v/>
      </c>
      <c r="F780" s="30">
        <f>IF(A780="","",IFERROR(INDEX('자료_한국심리'!$K$3:$K$4002,MATCH(A780,$X$19:$X$4018,0)),F779))</f>
        <v/>
      </c>
      <c r="G780" s="30">
        <f>IF(AND(ISNUMBER(E780),ISNUMBER(F780)),ROUND(E780-F780,6),"")</f>
        <v/>
      </c>
      <c r="H780" s="25">
        <f>IF(A780="","",IFERROR(INDEX('자료_한국심리'!$N$3:$N$4002,MATCH(A780,$Y$19:$Y$4018,0)),H779))</f>
        <v/>
      </c>
      <c r="I780" s="31">
        <f>IF(AND(ISNUMBER(H780),ISNUMBER(H760)),IF(H760&gt;0,H780/H760-1,""),"")</f>
        <v/>
      </c>
      <c r="J780">
        <f>IF(A780="",0,IF(A780&gt;$B$5,1,0))</f>
        <v/>
      </c>
      <c r="K780" s="29">
        <f>IF(AND(J780=1,ISNUMBER(D780)),D780,"")</f>
        <v/>
      </c>
      <c r="L780" s="30">
        <f>IF(AND(J780=1,ISNUMBER(G780)),G780,"")</f>
        <v/>
      </c>
      <c r="M780" s="22">
        <f>IF(AND(J780=1,ISNUMBER(C780)),C780,"")</f>
        <v/>
      </c>
      <c r="N780" s="31">
        <f>IF(AND(J780=1,ISNUMBER(I780)),I780,"")</f>
        <v/>
      </c>
      <c r="O780" s="11">
        <f>IF(K780="","",100-IF($G$13=1,50,(_xlfn.RANK.AVG(K780,$K$19:$K$1518,1)-1)/($G$13-1)*100))</f>
        <v/>
      </c>
      <c r="P780" s="11">
        <f>IF(L780="","",100-IF($G$14=1,50,(_xlfn.RANK.AVG(L780,$L$19:$L$1518,1)-1)/($G$14-1)*100))</f>
        <v/>
      </c>
      <c r="Q780" s="11">
        <f>IF(M780="","",IF($G$15=1,50,(_xlfn.RANK.AVG(M780,$M$19:$M$1518,1)-1)/($G$15-1)*100))</f>
        <v/>
      </c>
      <c r="R780" s="11">
        <f>IF(N780="","",IF($G$16=1,50,(_xlfn.RANK.AVG(N780,$N$19:$N$1518,1)-1)/($G$16-1)*100))</f>
        <v/>
      </c>
      <c r="S780" s="11">
        <f>IF(COUNT(O780:R780)=4,ROUND(AVERAGE(O780:R780),6),"")</f>
        <v/>
      </c>
      <c r="U780">
        <f>IF(AND(ISNUMBER('자료_한국심리'!$A764),ISNUMBER('자료_한국심리'!$B764)),'자료_한국심리'!$A764,"")</f>
        <v/>
      </c>
      <c r="V780">
        <f>IF(AND(ISNUMBER('자료_한국심리'!$D764),ISNUMBER('자료_한국심리'!$E764)),'자료_한국심리'!$D764,"")</f>
        <v/>
      </c>
      <c r="W780">
        <f>IF(AND(ISNUMBER('자료_한국심리'!$G764),ISNUMBER('자료_한국심리'!$H764)),'자료_한국심리'!$G764,"")</f>
        <v/>
      </c>
      <c r="X780">
        <f>IF(AND(ISNUMBER('자료_한국심리'!$J764),ISNUMBER('자료_한국심리'!$K764)),'자료_한국심리'!$J764,"")</f>
        <v/>
      </c>
      <c r="Y780">
        <f>IF(AND(ISNUMBER('자료_한국심리'!$M764),ISNUMBER('자료_한국심리'!$N764)),'자료_한국심리'!$M764,"")</f>
        <v/>
      </c>
    </row>
    <row r="781">
      <c r="A781" s="10">
        <f>IF(763&gt;$E$5,"",SMALL($U$19:$U$4018,$E$6+763))</f>
        <v/>
      </c>
      <c r="B781" s="29">
        <f>IF(A781="","",INDEX('자료_한국심리'!$B$3:$B$4002,MATCH(A781,$U$19:$U$4018,0)))</f>
        <v/>
      </c>
      <c r="C781" s="22">
        <f>IF(A781="","",B781/AVERAGE(B657:B781)-1)</f>
        <v/>
      </c>
      <c r="D781" s="29">
        <f>IF(A781="","",IFERROR(INDEX('자료_한국심리'!$E$3:$E$4002,MATCH(A781,$V$19:$V$4018,0)),D780))</f>
        <v/>
      </c>
      <c r="E781" s="30">
        <f>IF(A781="","",IFERROR(INDEX('자료_한국심리'!$H$3:$H$4002,MATCH(A781,$W$19:$W$4018,0)),E780))</f>
        <v/>
      </c>
      <c r="F781" s="30">
        <f>IF(A781="","",IFERROR(INDEX('자료_한국심리'!$K$3:$K$4002,MATCH(A781,$X$19:$X$4018,0)),F780))</f>
        <v/>
      </c>
      <c r="G781" s="30">
        <f>IF(AND(ISNUMBER(E781),ISNUMBER(F781)),ROUND(E781-F781,6),"")</f>
        <v/>
      </c>
      <c r="H781" s="25">
        <f>IF(A781="","",IFERROR(INDEX('자료_한국심리'!$N$3:$N$4002,MATCH(A781,$Y$19:$Y$4018,0)),H780))</f>
        <v/>
      </c>
      <c r="I781" s="31">
        <f>IF(AND(ISNUMBER(H781),ISNUMBER(H761)),IF(H761&gt;0,H781/H761-1,""),"")</f>
        <v/>
      </c>
      <c r="J781">
        <f>IF(A781="",0,IF(A781&gt;$B$5,1,0))</f>
        <v/>
      </c>
      <c r="K781" s="29">
        <f>IF(AND(J781=1,ISNUMBER(D781)),D781,"")</f>
        <v/>
      </c>
      <c r="L781" s="30">
        <f>IF(AND(J781=1,ISNUMBER(G781)),G781,"")</f>
        <v/>
      </c>
      <c r="M781" s="22">
        <f>IF(AND(J781=1,ISNUMBER(C781)),C781,"")</f>
        <v/>
      </c>
      <c r="N781" s="31">
        <f>IF(AND(J781=1,ISNUMBER(I781)),I781,"")</f>
        <v/>
      </c>
      <c r="O781" s="11">
        <f>IF(K781="","",100-IF($G$13=1,50,(_xlfn.RANK.AVG(K781,$K$19:$K$1518,1)-1)/($G$13-1)*100))</f>
        <v/>
      </c>
      <c r="P781" s="11">
        <f>IF(L781="","",100-IF($G$14=1,50,(_xlfn.RANK.AVG(L781,$L$19:$L$1518,1)-1)/($G$14-1)*100))</f>
        <v/>
      </c>
      <c r="Q781" s="11">
        <f>IF(M781="","",IF($G$15=1,50,(_xlfn.RANK.AVG(M781,$M$19:$M$1518,1)-1)/($G$15-1)*100))</f>
        <v/>
      </c>
      <c r="R781" s="11">
        <f>IF(N781="","",IF($G$16=1,50,(_xlfn.RANK.AVG(N781,$N$19:$N$1518,1)-1)/($G$16-1)*100))</f>
        <v/>
      </c>
      <c r="S781" s="11">
        <f>IF(COUNT(O781:R781)=4,ROUND(AVERAGE(O781:R781),6),"")</f>
        <v/>
      </c>
      <c r="U781">
        <f>IF(AND(ISNUMBER('자료_한국심리'!$A765),ISNUMBER('자료_한국심리'!$B765)),'자료_한국심리'!$A765,"")</f>
        <v/>
      </c>
      <c r="V781">
        <f>IF(AND(ISNUMBER('자료_한국심리'!$D765),ISNUMBER('자료_한국심리'!$E765)),'자료_한국심리'!$D765,"")</f>
        <v/>
      </c>
      <c r="W781">
        <f>IF(AND(ISNUMBER('자료_한국심리'!$G765),ISNUMBER('자료_한국심리'!$H765)),'자료_한국심리'!$G765,"")</f>
        <v/>
      </c>
      <c r="X781">
        <f>IF(AND(ISNUMBER('자료_한국심리'!$J765),ISNUMBER('자료_한국심리'!$K765)),'자료_한국심리'!$J765,"")</f>
        <v/>
      </c>
      <c r="Y781">
        <f>IF(AND(ISNUMBER('자료_한국심리'!$M765),ISNUMBER('자료_한국심리'!$N765)),'자료_한국심리'!$M765,"")</f>
        <v/>
      </c>
    </row>
    <row r="782">
      <c r="A782" s="10">
        <f>IF(764&gt;$E$5,"",SMALL($U$19:$U$4018,$E$6+764))</f>
        <v/>
      </c>
      <c r="B782" s="29">
        <f>IF(A782="","",INDEX('자료_한국심리'!$B$3:$B$4002,MATCH(A782,$U$19:$U$4018,0)))</f>
        <v/>
      </c>
      <c r="C782" s="22">
        <f>IF(A782="","",B782/AVERAGE(B658:B782)-1)</f>
        <v/>
      </c>
      <c r="D782" s="29">
        <f>IF(A782="","",IFERROR(INDEX('자료_한국심리'!$E$3:$E$4002,MATCH(A782,$V$19:$V$4018,0)),D781))</f>
        <v/>
      </c>
      <c r="E782" s="30">
        <f>IF(A782="","",IFERROR(INDEX('자료_한국심리'!$H$3:$H$4002,MATCH(A782,$W$19:$W$4018,0)),E781))</f>
        <v/>
      </c>
      <c r="F782" s="30">
        <f>IF(A782="","",IFERROR(INDEX('자료_한국심리'!$K$3:$K$4002,MATCH(A782,$X$19:$X$4018,0)),F781))</f>
        <v/>
      </c>
      <c r="G782" s="30">
        <f>IF(AND(ISNUMBER(E782),ISNUMBER(F782)),ROUND(E782-F782,6),"")</f>
        <v/>
      </c>
      <c r="H782" s="25">
        <f>IF(A782="","",IFERROR(INDEX('자료_한국심리'!$N$3:$N$4002,MATCH(A782,$Y$19:$Y$4018,0)),H781))</f>
        <v/>
      </c>
      <c r="I782" s="31">
        <f>IF(AND(ISNUMBER(H782),ISNUMBER(H762)),IF(H762&gt;0,H782/H762-1,""),"")</f>
        <v/>
      </c>
      <c r="J782">
        <f>IF(A782="",0,IF(A782&gt;$B$5,1,0))</f>
        <v/>
      </c>
      <c r="K782" s="29">
        <f>IF(AND(J782=1,ISNUMBER(D782)),D782,"")</f>
        <v/>
      </c>
      <c r="L782" s="30">
        <f>IF(AND(J782=1,ISNUMBER(G782)),G782,"")</f>
        <v/>
      </c>
      <c r="M782" s="22">
        <f>IF(AND(J782=1,ISNUMBER(C782)),C782,"")</f>
        <v/>
      </c>
      <c r="N782" s="31">
        <f>IF(AND(J782=1,ISNUMBER(I782)),I782,"")</f>
        <v/>
      </c>
      <c r="O782" s="11">
        <f>IF(K782="","",100-IF($G$13=1,50,(_xlfn.RANK.AVG(K782,$K$19:$K$1518,1)-1)/($G$13-1)*100))</f>
        <v/>
      </c>
      <c r="P782" s="11">
        <f>IF(L782="","",100-IF($G$14=1,50,(_xlfn.RANK.AVG(L782,$L$19:$L$1518,1)-1)/($G$14-1)*100))</f>
        <v/>
      </c>
      <c r="Q782" s="11">
        <f>IF(M782="","",IF($G$15=1,50,(_xlfn.RANK.AVG(M782,$M$19:$M$1518,1)-1)/($G$15-1)*100))</f>
        <v/>
      </c>
      <c r="R782" s="11">
        <f>IF(N782="","",IF($G$16=1,50,(_xlfn.RANK.AVG(N782,$N$19:$N$1518,1)-1)/($G$16-1)*100))</f>
        <v/>
      </c>
      <c r="S782" s="11">
        <f>IF(COUNT(O782:R782)=4,ROUND(AVERAGE(O782:R782),6),"")</f>
        <v/>
      </c>
      <c r="U782">
        <f>IF(AND(ISNUMBER('자료_한국심리'!$A766),ISNUMBER('자료_한국심리'!$B766)),'자료_한국심리'!$A766,"")</f>
        <v/>
      </c>
      <c r="V782">
        <f>IF(AND(ISNUMBER('자료_한국심리'!$D766),ISNUMBER('자료_한국심리'!$E766)),'자료_한국심리'!$D766,"")</f>
        <v/>
      </c>
      <c r="W782">
        <f>IF(AND(ISNUMBER('자료_한국심리'!$G766),ISNUMBER('자료_한국심리'!$H766)),'자료_한국심리'!$G766,"")</f>
        <v/>
      </c>
      <c r="X782">
        <f>IF(AND(ISNUMBER('자료_한국심리'!$J766),ISNUMBER('자료_한국심리'!$K766)),'자료_한국심리'!$J766,"")</f>
        <v/>
      </c>
      <c r="Y782">
        <f>IF(AND(ISNUMBER('자료_한국심리'!$M766),ISNUMBER('자료_한국심리'!$N766)),'자료_한국심리'!$M766,"")</f>
        <v/>
      </c>
    </row>
    <row r="783">
      <c r="A783" s="10">
        <f>IF(765&gt;$E$5,"",SMALL($U$19:$U$4018,$E$6+765))</f>
        <v/>
      </c>
      <c r="B783" s="29">
        <f>IF(A783="","",INDEX('자료_한국심리'!$B$3:$B$4002,MATCH(A783,$U$19:$U$4018,0)))</f>
        <v/>
      </c>
      <c r="C783" s="22">
        <f>IF(A783="","",B783/AVERAGE(B659:B783)-1)</f>
        <v/>
      </c>
      <c r="D783" s="29">
        <f>IF(A783="","",IFERROR(INDEX('자료_한국심리'!$E$3:$E$4002,MATCH(A783,$V$19:$V$4018,0)),D782))</f>
        <v/>
      </c>
      <c r="E783" s="30">
        <f>IF(A783="","",IFERROR(INDEX('자료_한국심리'!$H$3:$H$4002,MATCH(A783,$W$19:$W$4018,0)),E782))</f>
        <v/>
      </c>
      <c r="F783" s="30">
        <f>IF(A783="","",IFERROR(INDEX('자료_한국심리'!$K$3:$K$4002,MATCH(A783,$X$19:$X$4018,0)),F782))</f>
        <v/>
      </c>
      <c r="G783" s="30">
        <f>IF(AND(ISNUMBER(E783),ISNUMBER(F783)),ROUND(E783-F783,6),"")</f>
        <v/>
      </c>
      <c r="H783" s="25">
        <f>IF(A783="","",IFERROR(INDEX('자료_한국심리'!$N$3:$N$4002,MATCH(A783,$Y$19:$Y$4018,0)),H782))</f>
        <v/>
      </c>
      <c r="I783" s="31">
        <f>IF(AND(ISNUMBER(H783),ISNUMBER(H763)),IF(H763&gt;0,H783/H763-1,""),"")</f>
        <v/>
      </c>
      <c r="J783">
        <f>IF(A783="",0,IF(A783&gt;$B$5,1,0))</f>
        <v/>
      </c>
      <c r="K783" s="29">
        <f>IF(AND(J783=1,ISNUMBER(D783)),D783,"")</f>
        <v/>
      </c>
      <c r="L783" s="30">
        <f>IF(AND(J783=1,ISNUMBER(G783)),G783,"")</f>
        <v/>
      </c>
      <c r="M783" s="22">
        <f>IF(AND(J783=1,ISNUMBER(C783)),C783,"")</f>
        <v/>
      </c>
      <c r="N783" s="31">
        <f>IF(AND(J783=1,ISNUMBER(I783)),I783,"")</f>
        <v/>
      </c>
      <c r="O783" s="11">
        <f>IF(K783="","",100-IF($G$13=1,50,(_xlfn.RANK.AVG(K783,$K$19:$K$1518,1)-1)/($G$13-1)*100))</f>
        <v/>
      </c>
      <c r="P783" s="11">
        <f>IF(L783="","",100-IF($G$14=1,50,(_xlfn.RANK.AVG(L783,$L$19:$L$1518,1)-1)/($G$14-1)*100))</f>
        <v/>
      </c>
      <c r="Q783" s="11">
        <f>IF(M783="","",IF($G$15=1,50,(_xlfn.RANK.AVG(M783,$M$19:$M$1518,1)-1)/($G$15-1)*100))</f>
        <v/>
      </c>
      <c r="R783" s="11">
        <f>IF(N783="","",IF($G$16=1,50,(_xlfn.RANK.AVG(N783,$N$19:$N$1518,1)-1)/($G$16-1)*100))</f>
        <v/>
      </c>
      <c r="S783" s="11">
        <f>IF(COUNT(O783:R783)=4,ROUND(AVERAGE(O783:R783),6),"")</f>
        <v/>
      </c>
      <c r="U783">
        <f>IF(AND(ISNUMBER('자료_한국심리'!$A767),ISNUMBER('자료_한국심리'!$B767)),'자료_한국심리'!$A767,"")</f>
        <v/>
      </c>
      <c r="V783">
        <f>IF(AND(ISNUMBER('자료_한국심리'!$D767),ISNUMBER('자료_한국심리'!$E767)),'자료_한국심리'!$D767,"")</f>
        <v/>
      </c>
      <c r="W783">
        <f>IF(AND(ISNUMBER('자료_한국심리'!$G767),ISNUMBER('자료_한국심리'!$H767)),'자료_한국심리'!$G767,"")</f>
        <v/>
      </c>
      <c r="X783">
        <f>IF(AND(ISNUMBER('자료_한국심리'!$J767),ISNUMBER('자료_한국심리'!$K767)),'자료_한국심리'!$J767,"")</f>
        <v/>
      </c>
      <c r="Y783">
        <f>IF(AND(ISNUMBER('자료_한국심리'!$M767),ISNUMBER('자료_한국심리'!$N767)),'자료_한국심리'!$M767,"")</f>
        <v/>
      </c>
    </row>
    <row r="784">
      <c r="A784" s="10">
        <f>IF(766&gt;$E$5,"",SMALL($U$19:$U$4018,$E$6+766))</f>
        <v/>
      </c>
      <c r="B784" s="29">
        <f>IF(A784="","",INDEX('자료_한국심리'!$B$3:$B$4002,MATCH(A784,$U$19:$U$4018,0)))</f>
        <v/>
      </c>
      <c r="C784" s="22">
        <f>IF(A784="","",B784/AVERAGE(B660:B784)-1)</f>
        <v/>
      </c>
      <c r="D784" s="29">
        <f>IF(A784="","",IFERROR(INDEX('자료_한국심리'!$E$3:$E$4002,MATCH(A784,$V$19:$V$4018,0)),D783))</f>
        <v/>
      </c>
      <c r="E784" s="30">
        <f>IF(A784="","",IFERROR(INDEX('자료_한국심리'!$H$3:$H$4002,MATCH(A784,$W$19:$W$4018,0)),E783))</f>
        <v/>
      </c>
      <c r="F784" s="30">
        <f>IF(A784="","",IFERROR(INDEX('자료_한국심리'!$K$3:$K$4002,MATCH(A784,$X$19:$X$4018,0)),F783))</f>
        <v/>
      </c>
      <c r="G784" s="30">
        <f>IF(AND(ISNUMBER(E784),ISNUMBER(F784)),ROUND(E784-F784,6),"")</f>
        <v/>
      </c>
      <c r="H784" s="25">
        <f>IF(A784="","",IFERROR(INDEX('자료_한국심리'!$N$3:$N$4002,MATCH(A784,$Y$19:$Y$4018,0)),H783))</f>
        <v/>
      </c>
      <c r="I784" s="31">
        <f>IF(AND(ISNUMBER(H784),ISNUMBER(H764)),IF(H764&gt;0,H784/H764-1,""),"")</f>
        <v/>
      </c>
      <c r="J784">
        <f>IF(A784="",0,IF(A784&gt;$B$5,1,0))</f>
        <v/>
      </c>
      <c r="K784" s="29">
        <f>IF(AND(J784=1,ISNUMBER(D784)),D784,"")</f>
        <v/>
      </c>
      <c r="L784" s="30">
        <f>IF(AND(J784=1,ISNUMBER(G784)),G784,"")</f>
        <v/>
      </c>
      <c r="M784" s="22">
        <f>IF(AND(J784=1,ISNUMBER(C784)),C784,"")</f>
        <v/>
      </c>
      <c r="N784" s="31">
        <f>IF(AND(J784=1,ISNUMBER(I784)),I784,"")</f>
        <v/>
      </c>
      <c r="O784" s="11">
        <f>IF(K784="","",100-IF($G$13=1,50,(_xlfn.RANK.AVG(K784,$K$19:$K$1518,1)-1)/($G$13-1)*100))</f>
        <v/>
      </c>
      <c r="P784" s="11">
        <f>IF(L784="","",100-IF($G$14=1,50,(_xlfn.RANK.AVG(L784,$L$19:$L$1518,1)-1)/($G$14-1)*100))</f>
        <v/>
      </c>
      <c r="Q784" s="11">
        <f>IF(M784="","",IF($G$15=1,50,(_xlfn.RANK.AVG(M784,$M$19:$M$1518,1)-1)/($G$15-1)*100))</f>
        <v/>
      </c>
      <c r="R784" s="11">
        <f>IF(N784="","",IF($G$16=1,50,(_xlfn.RANK.AVG(N784,$N$19:$N$1518,1)-1)/($G$16-1)*100))</f>
        <v/>
      </c>
      <c r="S784" s="11">
        <f>IF(COUNT(O784:R784)=4,ROUND(AVERAGE(O784:R784),6),"")</f>
        <v/>
      </c>
      <c r="U784">
        <f>IF(AND(ISNUMBER('자료_한국심리'!$A768),ISNUMBER('자료_한국심리'!$B768)),'자료_한국심리'!$A768,"")</f>
        <v/>
      </c>
      <c r="V784">
        <f>IF(AND(ISNUMBER('자료_한국심리'!$D768),ISNUMBER('자료_한국심리'!$E768)),'자료_한국심리'!$D768,"")</f>
        <v/>
      </c>
      <c r="W784">
        <f>IF(AND(ISNUMBER('자료_한국심리'!$G768),ISNUMBER('자료_한국심리'!$H768)),'자료_한국심리'!$G768,"")</f>
        <v/>
      </c>
      <c r="X784">
        <f>IF(AND(ISNUMBER('자료_한국심리'!$J768),ISNUMBER('자료_한국심리'!$K768)),'자료_한국심리'!$J768,"")</f>
        <v/>
      </c>
      <c r="Y784">
        <f>IF(AND(ISNUMBER('자료_한국심리'!$M768),ISNUMBER('자료_한국심리'!$N768)),'자료_한국심리'!$M768,"")</f>
        <v/>
      </c>
    </row>
    <row r="785">
      <c r="A785" s="10">
        <f>IF(767&gt;$E$5,"",SMALL($U$19:$U$4018,$E$6+767))</f>
        <v/>
      </c>
      <c r="B785" s="29">
        <f>IF(A785="","",INDEX('자료_한국심리'!$B$3:$B$4002,MATCH(A785,$U$19:$U$4018,0)))</f>
        <v/>
      </c>
      <c r="C785" s="22">
        <f>IF(A785="","",B785/AVERAGE(B661:B785)-1)</f>
        <v/>
      </c>
      <c r="D785" s="29">
        <f>IF(A785="","",IFERROR(INDEX('자료_한국심리'!$E$3:$E$4002,MATCH(A785,$V$19:$V$4018,0)),D784))</f>
        <v/>
      </c>
      <c r="E785" s="30">
        <f>IF(A785="","",IFERROR(INDEX('자료_한국심리'!$H$3:$H$4002,MATCH(A785,$W$19:$W$4018,0)),E784))</f>
        <v/>
      </c>
      <c r="F785" s="30">
        <f>IF(A785="","",IFERROR(INDEX('자료_한국심리'!$K$3:$K$4002,MATCH(A785,$X$19:$X$4018,0)),F784))</f>
        <v/>
      </c>
      <c r="G785" s="30">
        <f>IF(AND(ISNUMBER(E785),ISNUMBER(F785)),ROUND(E785-F785,6),"")</f>
        <v/>
      </c>
      <c r="H785" s="25">
        <f>IF(A785="","",IFERROR(INDEX('자료_한국심리'!$N$3:$N$4002,MATCH(A785,$Y$19:$Y$4018,0)),H784))</f>
        <v/>
      </c>
      <c r="I785" s="31">
        <f>IF(AND(ISNUMBER(H785),ISNUMBER(H765)),IF(H765&gt;0,H785/H765-1,""),"")</f>
        <v/>
      </c>
      <c r="J785">
        <f>IF(A785="",0,IF(A785&gt;$B$5,1,0))</f>
        <v/>
      </c>
      <c r="K785" s="29">
        <f>IF(AND(J785=1,ISNUMBER(D785)),D785,"")</f>
        <v/>
      </c>
      <c r="L785" s="30">
        <f>IF(AND(J785=1,ISNUMBER(G785)),G785,"")</f>
        <v/>
      </c>
      <c r="M785" s="22">
        <f>IF(AND(J785=1,ISNUMBER(C785)),C785,"")</f>
        <v/>
      </c>
      <c r="N785" s="31">
        <f>IF(AND(J785=1,ISNUMBER(I785)),I785,"")</f>
        <v/>
      </c>
      <c r="O785" s="11">
        <f>IF(K785="","",100-IF($G$13=1,50,(_xlfn.RANK.AVG(K785,$K$19:$K$1518,1)-1)/($G$13-1)*100))</f>
        <v/>
      </c>
      <c r="P785" s="11">
        <f>IF(L785="","",100-IF($G$14=1,50,(_xlfn.RANK.AVG(L785,$L$19:$L$1518,1)-1)/($G$14-1)*100))</f>
        <v/>
      </c>
      <c r="Q785" s="11">
        <f>IF(M785="","",IF($G$15=1,50,(_xlfn.RANK.AVG(M785,$M$19:$M$1518,1)-1)/($G$15-1)*100))</f>
        <v/>
      </c>
      <c r="R785" s="11">
        <f>IF(N785="","",IF($G$16=1,50,(_xlfn.RANK.AVG(N785,$N$19:$N$1518,1)-1)/($G$16-1)*100))</f>
        <v/>
      </c>
      <c r="S785" s="11">
        <f>IF(COUNT(O785:R785)=4,ROUND(AVERAGE(O785:R785),6),"")</f>
        <v/>
      </c>
      <c r="U785">
        <f>IF(AND(ISNUMBER('자료_한국심리'!$A769),ISNUMBER('자료_한국심리'!$B769)),'자료_한국심리'!$A769,"")</f>
        <v/>
      </c>
      <c r="V785">
        <f>IF(AND(ISNUMBER('자료_한국심리'!$D769),ISNUMBER('자료_한국심리'!$E769)),'자료_한국심리'!$D769,"")</f>
        <v/>
      </c>
      <c r="W785">
        <f>IF(AND(ISNUMBER('자료_한국심리'!$G769),ISNUMBER('자료_한국심리'!$H769)),'자료_한국심리'!$G769,"")</f>
        <v/>
      </c>
      <c r="X785">
        <f>IF(AND(ISNUMBER('자료_한국심리'!$J769),ISNUMBER('자료_한국심리'!$K769)),'자료_한국심리'!$J769,"")</f>
        <v/>
      </c>
      <c r="Y785">
        <f>IF(AND(ISNUMBER('자료_한국심리'!$M769),ISNUMBER('자료_한국심리'!$N769)),'자료_한국심리'!$M769,"")</f>
        <v/>
      </c>
    </row>
    <row r="786">
      <c r="A786" s="10">
        <f>IF(768&gt;$E$5,"",SMALL($U$19:$U$4018,$E$6+768))</f>
        <v/>
      </c>
      <c r="B786" s="29">
        <f>IF(A786="","",INDEX('자료_한국심리'!$B$3:$B$4002,MATCH(A786,$U$19:$U$4018,0)))</f>
        <v/>
      </c>
      <c r="C786" s="22">
        <f>IF(A786="","",B786/AVERAGE(B662:B786)-1)</f>
        <v/>
      </c>
      <c r="D786" s="29">
        <f>IF(A786="","",IFERROR(INDEX('자료_한국심리'!$E$3:$E$4002,MATCH(A786,$V$19:$V$4018,0)),D785))</f>
        <v/>
      </c>
      <c r="E786" s="30">
        <f>IF(A786="","",IFERROR(INDEX('자료_한국심리'!$H$3:$H$4002,MATCH(A786,$W$19:$W$4018,0)),E785))</f>
        <v/>
      </c>
      <c r="F786" s="30">
        <f>IF(A786="","",IFERROR(INDEX('자료_한국심리'!$K$3:$K$4002,MATCH(A786,$X$19:$X$4018,0)),F785))</f>
        <v/>
      </c>
      <c r="G786" s="30">
        <f>IF(AND(ISNUMBER(E786),ISNUMBER(F786)),ROUND(E786-F786,6),"")</f>
        <v/>
      </c>
      <c r="H786" s="25">
        <f>IF(A786="","",IFERROR(INDEX('자료_한국심리'!$N$3:$N$4002,MATCH(A786,$Y$19:$Y$4018,0)),H785))</f>
        <v/>
      </c>
      <c r="I786" s="31">
        <f>IF(AND(ISNUMBER(H786),ISNUMBER(H766)),IF(H766&gt;0,H786/H766-1,""),"")</f>
        <v/>
      </c>
      <c r="J786">
        <f>IF(A786="",0,IF(A786&gt;$B$5,1,0))</f>
        <v/>
      </c>
      <c r="K786" s="29">
        <f>IF(AND(J786=1,ISNUMBER(D786)),D786,"")</f>
        <v/>
      </c>
      <c r="L786" s="30">
        <f>IF(AND(J786=1,ISNUMBER(G786)),G786,"")</f>
        <v/>
      </c>
      <c r="M786" s="22">
        <f>IF(AND(J786=1,ISNUMBER(C786)),C786,"")</f>
        <v/>
      </c>
      <c r="N786" s="31">
        <f>IF(AND(J786=1,ISNUMBER(I786)),I786,"")</f>
        <v/>
      </c>
      <c r="O786" s="11">
        <f>IF(K786="","",100-IF($G$13=1,50,(_xlfn.RANK.AVG(K786,$K$19:$K$1518,1)-1)/($G$13-1)*100))</f>
        <v/>
      </c>
      <c r="P786" s="11">
        <f>IF(L786="","",100-IF($G$14=1,50,(_xlfn.RANK.AVG(L786,$L$19:$L$1518,1)-1)/($G$14-1)*100))</f>
        <v/>
      </c>
      <c r="Q786" s="11">
        <f>IF(M786="","",IF($G$15=1,50,(_xlfn.RANK.AVG(M786,$M$19:$M$1518,1)-1)/($G$15-1)*100))</f>
        <v/>
      </c>
      <c r="R786" s="11">
        <f>IF(N786="","",IF($G$16=1,50,(_xlfn.RANK.AVG(N786,$N$19:$N$1518,1)-1)/($G$16-1)*100))</f>
        <v/>
      </c>
      <c r="S786" s="11">
        <f>IF(COUNT(O786:R786)=4,ROUND(AVERAGE(O786:R786),6),"")</f>
        <v/>
      </c>
      <c r="U786">
        <f>IF(AND(ISNUMBER('자료_한국심리'!$A770),ISNUMBER('자료_한국심리'!$B770)),'자료_한국심리'!$A770,"")</f>
        <v/>
      </c>
      <c r="V786">
        <f>IF(AND(ISNUMBER('자료_한국심리'!$D770),ISNUMBER('자료_한국심리'!$E770)),'자료_한국심리'!$D770,"")</f>
        <v/>
      </c>
      <c r="W786">
        <f>IF(AND(ISNUMBER('자료_한국심리'!$G770),ISNUMBER('자료_한국심리'!$H770)),'자료_한국심리'!$G770,"")</f>
        <v/>
      </c>
      <c r="X786">
        <f>IF(AND(ISNUMBER('자료_한국심리'!$J770),ISNUMBER('자료_한국심리'!$K770)),'자료_한국심리'!$J770,"")</f>
        <v/>
      </c>
      <c r="Y786">
        <f>IF(AND(ISNUMBER('자료_한국심리'!$M770),ISNUMBER('자료_한국심리'!$N770)),'자료_한국심리'!$M770,"")</f>
        <v/>
      </c>
    </row>
    <row r="787">
      <c r="A787" s="10">
        <f>IF(769&gt;$E$5,"",SMALL($U$19:$U$4018,$E$6+769))</f>
        <v/>
      </c>
      <c r="B787" s="29">
        <f>IF(A787="","",INDEX('자료_한국심리'!$B$3:$B$4002,MATCH(A787,$U$19:$U$4018,0)))</f>
        <v/>
      </c>
      <c r="C787" s="22">
        <f>IF(A787="","",B787/AVERAGE(B663:B787)-1)</f>
        <v/>
      </c>
      <c r="D787" s="29">
        <f>IF(A787="","",IFERROR(INDEX('자료_한국심리'!$E$3:$E$4002,MATCH(A787,$V$19:$V$4018,0)),D786))</f>
        <v/>
      </c>
      <c r="E787" s="30">
        <f>IF(A787="","",IFERROR(INDEX('자료_한국심리'!$H$3:$H$4002,MATCH(A787,$W$19:$W$4018,0)),E786))</f>
        <v/>
      </c>
      <c r="F787" s="30">
        <f>IF(A787="","",IFERROR(INDEX('자료_한국심리'!$K$3:$K$4002,MATCH(A787,$X$19:$X$4018,0)),F786))</f>
        <v/>
      </c>
      <c r="G787" s="30">
        <f>IF(AND(ISNUMBER(E787),ISNUMBER(F787)),ROUND(E787-F787,6),"")</f>
        <v/>
      </c>
      <c r="H787" s="25">
        <f>IF(A787="","",IFERROR(INDEX('자료_한국심리'!$N$3:$N$4002,MATCH(A787,$Y$19:$Y$4018,0)),H786))</f>
        <v/>
      </c>
      <c r="I787" s="31">
        <f>IF(AND(ISNUMBER(H787),ISNUMBER(H767)),IF(H767&gt;0,H787/H767-1,""),"")</f>
        <v/>
      </c>
      <c r="J787">
        <f>IF(A787="",0,IF(A787&gt;$B$5,1,0))</f>
        <v/>
      </c>
      <c r="K787" s="29">
        <f>IF(AND(J787=1,ISNUMBER(D787)),D787,"")</f>
        <v/>
      </c>
      <c r="L787" s="30">
        <f>IF(AND(J787=1,ISNUMBER(G787)),G787,"")</f>
        <v/>
      </c>
      <c r="M787" s="22">
        <f>IF(AND(J787=1,ISNUMBER(C787)),C787,"")</f>
        <v/>
      </c>
      <c r="N787" s="31">
        <f>IF(AND(J787=1,ISNUMBER(I787)),I787,"")</f>
        <v/>
      </c>
      <c r="O787" s="11">
        <f>IF(K787="","",100-IF($G$13=1,50,(_xlfn.RANK.AVG(K787,$K$19:$K$1518,1)-1)/($G$13-1)*100))</f>
        <v/>
      </c>
      <c r="P787" s="11">
        <f>IF(L787="","",100-IF($G$14=1,50,(_xlfn.RANK.AVG(L787,$L$19:$L$1518,1)-1)/($G$14-1)*100))</f>
        <v/>
      </c>
      <c r="Q787" s="11">
        <f>IF(M787="","",IF($G$15=1,50,(_xlfn.RANK.AVG(M787,$M$19:$M$1518,1)-1)/($G$15-1)*100))</f>
        <v/>
      </c>
      <c r="R787" s="11">
        <f>IF(N787="","",IF($G$16=1,50,(_xlfn.RANK.AVG(N787,$N$19:$N$1518,1)-1)/($G$16-1)*100))</f>
        <v/>
      </c>
      <c r="S787" s="11">
        <f>IF(COUNT(O787:R787)=4,ROUND(AVERAGE(O787:R787),6),"")</f>
        <v/>
      </c>
      <c r="U787">
        <f>IF(AND(ISNUMBER('자료_한국심리'!$A771),ISNUMBER('자료_한국심리'!$B771)),'자료_한국심리'!$A771,"")</f>
        <v/>
      </c>
      <c r="V787">
        <f>IF(AND(ISNUMBER('자료_한국심리'!$D771),ISNUMBER('자료_한국심리'!$E771)),'자료_한국심리'!$D771,"")</f>
        <v/>
      </c>
      <c r="W787">
        <f>IF(AND(ISNUMBER('자료_한국심리'!$G771),ISNUMBER('자료_한국심리'!$H771)),'자료_한국심리'!$G771,"")</f>
        <v/>
      </c>
      <c r="X787">
        <f>IF(AND(ISNUMBER('자료_한국심리'!$J771),ISNUMBER('자료_한국심리'!$K771)),'자료_한국심리'!$J771,"")</f>
        <v/>
      </c>
      <c r="Y787">
        <f>IF(AND(ISNUMBER('자료_한국심리'!$M771),ISNUMBER('자료_한국심리'!$N771)),'자료_한국심리'!$M771,"")</f>
        <v/>
      </c>
    </row>
    <row r="788">
      <c r="A788" s="10">
        <f>IF(770&gt;$E$5,"",SMALL($U$19:$U$4018,$E$6+770))</f>
        <v/>
      </c>
      <c r="B788" s="29">
        <f>IF(A788="","",INDEX('자료_한국심리'!$B$3:$B$4002,MATCH(A788,$U$19:$U$4018,0)))</f>
        <v/>
      </c>
      <c r="C788" s="22">
        <f>IF(A788="","",B788/AVERAGE(B664:B788)-1)</f>
        <v/>
      </c>
      <c r="D788" s="29">
        <f>IF(A788="","",IFERROR(INDEX('자료_한국심리'!$E$3:$E$4002,MATCH(A788,$V$19:$V$4018,0)),D787))</f>
        <v/>
      </c>
      <c r="E788" s="30">
        <f>IF(A788="","",IFERROR(INDEX('자료_한국심리'!$H$3:$H$4002,MATCH(A788,$W$19:$W$4018,0)),E787))</f>
        <v/>
      </c>
      <c r="F788" s="30">
        <f>IF(A788="","",IFERROR(INDEX('자료_한국심리'!$K$3:$K$4002,MATCH(A788,$X$19:$X$4018,0)),F787))</f>
        <v/>
      </c>
      <c r="G788" s="30">
        <f>IF(AND(ISNUMBER(E788),ISNUMBER(F788)),ROUND(E788-F788,6),"")</f>
        <v/>
      </c>
      <c r="H788" s="25">
        <f>IF(A788="","",IFERROR(INDEX('자료_한국심리'!$N$3:$N$4002,MATCH(A788,$Y$19:$Y$4018,0)),H787))</f>
        <v/>
      </c>
      <c r="I788" s="31">
        <f>IF(AND(ISNUMBER(H788),ISNUMBER(H768)),IF(H768&gt;0,H788/H768-1,""),"")</f>
        <v/>
      </c>
      <c r="J788">
        <f>IF(A788="",0,IF(A788&gt;$B$5,1,0))</f>
        <v/>
      </c>
      <c r="K788" s="29">
        <f>IF(AND(J788=1,ISNUMBER(D788)),D788,"")</f>
        <v/>
      </c>
      <c r="L788" s="30">
        <f>IF(AND(J788=1,ISNUMBER(G788)),G788,"")</f>
        <v/>
      </c>
      <c r="M788" s="22">
        <f>IF(AND(J788=1,ISNUMBER(C788)),C788,"")</f>
        <v/>
      </c>
      <c r="N788" s="31">
        <f>IF(AND(J788=1,ISNUMBER(I788)),I788,"")</f>
        <v/>
      </c>
      <c r="O788" s="11">
        <f>IF(K788="","",100-IF($G$13=1,50,(_xlfn.RANK.AVG(K788,$K$19:$K$1518,1)-1)/($G$13-1)*100))</f>
        <v/>
      </c>
      <c r="P788" s="11">
        <f>IF(L788="","",100-IF($G$14=1,50,(_xlfn.RANK.AVG(L788,$L$19:$L$1518,1)-1)/($G$14-1)*100))</f>
        <v/>
      </c>
      <c r="Q788" s="11">
        <f>IF(M788="","",IF($G$15=1,50,(_xlfn.RANK.AVG(M788,$M$19:$M$1518,1)-1)/($G$15-1)*100))</f>
        <v/>
      </c>
      <c r="R788" s="11">
        <f>IF(N788="","",IF($G$16=1,50,(_xlfn.RANK.AVG(N788,$N$19:$N$1518,1)-1)/($G$16-1)*100))</f>
        <v/>
      </c>
      <c r="S788" s="11">
        <f>IF(COUNT(O788:R788)=4,ROUND(AVERAGE(O788:R788),6),"")</f>
        <v/>
      </c>
      <c r="U788">
        <f>IF(AND(ISNUMBER('자료_한국심리'!$A772),ISNUMBER('자료_한국심리'!$B772)),'자료_한국심리'!$A772,"")</f>
        <v/>
      </c>
      <c r="V788">
        <f>IF(AND(ISNUMBER('자료_한국심리'!$D772),ISNUMBER('자료_한국심리'!$E772)),'자료_한국심리'!$D772,"")</f>
        <v/>
      </c>
      <c r="W788">
        <f>IF(AND(ISNUMBER('자료_한국심리'!$G772),ISNUMBER('자료_한국심리'!$H772)),'자료_한국심리'!$G772,"")</f>
        <v/>
      </c>
      <c r="X788">
        <f>IF(AND(ISNUMBER('자료_한국심리'!$J772),ISNUMBER('자료_한국심리'!$K772)),'자료_한국심리'!$J772,"")</f>
        <v/>
      </c>
      <c r="Y788">
        <f>IF(AND(ISNUMBER('자료_한국심리'!$M772),ISNUMBER('자료_한국심리'!$N772)),'자료_한국심리'!$M772,"")</f>
        <v/>
      </c>
    </row>
    <row r="789">
      <c r="A789" s="10">
        <f>IF(771&gt;$E$5,"",SMALL($U$19:$U$4018,$E$6+771))</f>
        <v/>
      </c>
      <c r="B789" s="29">
        <f>IF(A789="","",INDEX('자료_한국심리'!$B$3:$B$4002,MATCH(A789,$U$19:$U$4018,0)))</f>
        <v/>
      </c>
      <c r="C789" s="22">
        <f>IF(A789="","",B789/AVERAGE(B665:B789)-1)</f>
        <v/>
      </c>
      <c r="D789" s="29">
        <f>IF(A789="","",IFERROR(INDEX('자료_한국심리'!$E$3:$E$4002,MATCH(A789,$V$19:$V$4018,0)),D788))</f>
        <v/>
      </c>
      <c r="E789" s="30">
        <f>IF(A789="","",IFERROR(INDEX('자료_한국심리'!$H$3:$H$4002,MATCH(A789,$W$19:$W$4018,0)),E788))</f>
        <v/>
      </c>
      <c r="F789" s="30">
        <f>IF(A789="","",IFERROR(INDEX('자료_한국심리'!$K$3:$K$4002,MATCH(A789,$X$19:$X$4018,0)),F788))</f>
        <v/>
      </c>
      <c r="G789" s="30">
        <f>IF(AND(ISNUMBER(E789),ISNUMBER(F789)),ROUND(E789-F789,6),"")</f>
        <v/>
      </c>
      <c r="H789" s="25">
        <f>IF(A789="","",IFERROR(INDEX('자료_한국심리'!$N$3:$N$4002,MATCH(A789,$Y$19:$Y$4018,0)),H788))</f>
        <v/>
      </c>
      <c r="I789" s="31">
        <f>IF(AND(ISNUMBER(H789),ISNUMBER(H769)),IF(H769&gt;0,H789/H769-1,""),"")</f>
        <v/>
      </c>
      <c r="J789">
        <f>IF(A789="",0,IF(A789&gt;$B$5,1,0))</f>
        <v/>
      </c>
      <c r="K789" s="29">
        <f>IF(AND(J789=1,ISNUMBER(D789)),D789,"")</f>
        <v/>
      </c>
      <c r="L789" s="30">
        <f>IF(AND(J789=1,ISNUMBER(G789)),G789,"")</f>
        <v/>
      </c>
      <c r="M789" s="22">
        <f>IF(AND(J789=1,ISNUMBER(C789)),C789,"")</f>
        <v/>
      </c>
      <c r="N789" s="31">
        <f>IF(AND(J789=1,ISNUMBER(I789)),I789,"")</f>
        <v/>
      </c>
      <c r="O789" s="11">
        <f>IF(K789="","",100-IF($G$13=1,50,(_xlfn.RANK.AVG(K789,$K$19:$K$1518,1)-1)/($G$13-1)*100))</f>
        <v/>
      </c>
      <c r="P789" s="11">
        <f>IF(L789="","",100-IF($G$14=1,50,(_xlfn.RANK.AVG(L789,$L$19:$L$1518,1)-1)/($G$14-1)*100))</f>
        <v/>
      </c>
      <c r="Q789" s="11">
        <f>IF(M789="","",IF($G$15=1,50,(_xlfn.RANK.AVG(M789,$M$19:$M$1518,1)-1)/($G$15-1)*100))</f>
        <v/>
      </c>
      <c r="R789" s="11">
        <f>IF(N789="","",IF($G$16=1,50,(_xlfn.RANK.AVG(N789,$N$19:$N$1518,1)-1)/($G$16-1)*100))</f>
        <v/>
      </c>
      <c r="S789" s="11">
        <f>IF(COUNT(O789:R789)=4,ROUND(AVERAGE(O789:R789),6),"")</f>
        <v/>
      </c>
      <c r="U789">
        <f>IF(AND(ISNUMBER('자료_한국심리'!$A773),ISNUMBER('자료_한국심리'!$B773)),'자료_한국심리'!$A773,"")</f>
        <v/>
      </c>
      <c r="V789">
        <f>IF(AND(ISNUMBER('자료_한국심리'!$D773),ISNUMBER('자료_한국심리'!$E773)),'자료_한국심리'!$D773,"")</f>
        <v/>
      </c>
      <c r="W789">
        <f>IF(AND(ISNUMBER('자료_한국심리'!$G773),ISNUMBER('자료_한국심리'!$H773)),'자료_한국심리'!$G773,"")</f>
        <v/>
      </c>
      <c r="X789">
        <f>IF(AND(ISNUMBER('자료_한국심리'!$J773),ISNUMBER('자료_한국심리'!$K773)),'자료_한국심리'!$J773,"")</f>
        <v/>
      </c>
      <c r="Y789">
        <f>IF(AND(ISNUMBER('자료_한국심리'!$M773),ISNUMBER('자료_한국심리'!$N773)),'자료_한국심리'!$M773,"")</f>
        <v/>
      </c>
    </row>
    <row r="790">
      <c r="A790" s="10">
        <f>IF(772&gt;$E$5,"",SMALL($U$19:$U$4018,$E$6+772))</f>
        <v/>
      </c>
      <c r="B790" s="29">
        <f>IF(A790="","",INDEX('자료_한국심리'!$B$3:$B$4002,MATCH(A790,$U$19:$U$4018,0)))</f>
        <v/>
      </c>
      <c r="C790" s="22">
        <f>IF(A790="","",B790/AVERAGE(B666:B790)-1)</f>
        <v/>
      </c>
      <c r="D790" s="29">
        <f>IF(A790="","",IFERROR(INDEX('자료_한국심리'!$E$3:$E$4002,MATCH(A790,$V$19:$V$4018,0)),D789))</f>
        <v/>
      </c>
      <c r="E790" s="30">
        <f>IF(A790="","",IFERROR(INDEX('자료_한국심리'!$H$3:$H$4002,MATCH(A790,$W$19:$W$4018,0)),E789))</f>
        <v/>
      </c>
      <c r="F790" s="30">
        <f>IF(A790="","",IFERROR(INDEX('자료_한국심리'!$K$3:$K$4002,MATCH(A790,$X$19:$X$4018,0)),F789))</f>
        <v/>
      </c>
      <c r="G790" s="30">
        <f>IF(AND(ISNUMBER(E790),ISNUMBER(F790)),ROUND(E790-F790,6),"")</f>
        <v/>
      </c>
      <c r="H790" s="25">
        <f>IF(A790="","",IFERROR(INDEX('자료_한국심리'!$N$3:$N$4002,MATCH(A790,$Y$19:$Y$4018,0)),H789))</f>
        <v/>
      </c>
      <c r="I790" s="31">
        <f>IF(AND(ISNUMBER(H790),ISNUMBER(H770)),IF(H770&gt;0,H790/H770-1,""),"")</f>
        <v/>
      </c>
      <c r="J790">
        <f>IF(A790="",0,IF(A790&gt;$B$5,1,0))</f>
        <v/>
      </c>
      <c r="K790" s="29">
        <f>IF(AND(J790=1,ISNUMBER(D790)),D790,"")</f>
        <v/>
      </c>
      <c r="L790" s="30">
        <f>IF(AND(J790=1,ISNUMBER(G790)),G790,"")</f>
        <v/>
      </c>
      <c r="M790" s="22">
        <f>IF(AND(J790=1,ISNUMBER(C790)),C790,"")</f>
        <v/>
      </c>
      <c r="N790" s="31">
        <f>IF(AND(J790=1,ISNUMBER(I790)),I790,"")</f>
        <v/>
      </c>
      <c r="O790" s="11">
        <f>IF(K790="","",100-IF($G$13=1,50,(_xlfn.RANK.AVG(K790,$K$19:$K$1518,1)-1)/($G$13-1)*100))</f>
        <v/>
      </c>
      <c r="P790" s="11">
        <f>IF(L790="","",100-IF($G$14=1,50,(_xlfn.RANK.AVG(L790,$L$19:$L$1518,1)-1)/($G$14-1)*100))</f>
        <v/>
      </c>
      <c r="Q790" s="11">
        <f>IF(M790="","",IF($G$15=1,50,(_xlfn.RANK.AVG(M790,$M$19:$M$1518,1)-1)/($G$15-1)*100))</f>
        <v/>
      </c>
      <c r="R790" s="11">
        <f>IF(N790="","",IF($G$16=1,50,(_xlfn.RANK.AVG(N790,$N$19:$N$1518,1)-1)/($G$16-1)*100))</f>
        <v/>
      </c>
      <c r="S790" s="11">
        <f>IF(COUNT(O790:R790)=4,ROUND(AVERAGE(O790:R790),6),"")</f>
        <v/>
      </c>
      <c r="U790">
        <f>IF(AND(ISNUMBER('자료_한국심리'!$A774),ISNUMBER('자료_한국심리'!$B774)),'자료_한국심리'!$A774,"")</f>
        <v/>
      </c>
      <c r="V790">
        <f>IF(AND(ISNUMBER('자료_한국심리'!$D774),ISNUMBER('자료_한국심리'!$E774)),'자료_한국심리'!$D774,"")</f>
        <v/>
      </c>
      <c r="W790">
        <f>IF(AND(ISNUMBER('자료_한국심리'!$G774),ISNUMBER('자료_한국심리'!$H774)),'자료_한국심리'!$G774,"")</f>
        <v/>
      </c>
      <c r="X790">
        <f>IF(AND(ISNUMBER('자료_한국심리'!$J774),ISNUMBER('자료_한국심리'!$K774)),'자료_한국심리'!$J774,"")</f>
        <v/>
      </c>
      <c r="Y790">
        <f>IF(AND(ISNUMBER('자료_한국심리'!$M774),ISNUMBER('자료_한국심리'!$N774)),'자료_한국심리'!$M774,"")</f>
        <v/>
      </c>
    </row>
    <row r="791">
      <c r="A791" s="10">
        <f>IF(773&gt;$E$5,"",SMALL($U$19:$U$4018,$E$6+773))</f>
        <v/>
      </c>
      <c r="B791" s="29">
        <f>IF(A791="","",INDEX('자료_한국심리'!$B$3:$B$4002,MATCH(A791,$U$19:$U$4018,0)))</f>
        <v/>
      </c>
      <c r="C791" s="22">
        <f>IF(A791="","",B791/AVERAGE(B667:B791)-1)</f>
        <v/>
      </c>
      <c r="D791" s="29">
        <f>IF(A791="","",IFERROR(INDEX('자료_한국심리'!$E$3:$E$4002,MATCH(A791,$V$19:$V$4018,0)),D790))</f>
        <v/>
      </c>
      <c r="E791" s="30">
        <f>IF(A791="","",IFERROR(INDEX('자료_한국심리'!$H$3:$H$4002,MATCH(A791,$W$19:$W$4018,0)),E790))</f>
        <v/>
      </c>
      <c r="F791" s="30">
        <f>IF(A791="","",IFERROR(INDEX('자료_한국심리'!$K$3:$K$4002,MATCH(A791,$X$19:$X$4018,0)),F790))</f>
        <v/>
      </c>
      <c r="G791" s="30">
        <f>IF(AND(ISNUMBER(E791),ISNUMBER(F791)),ROUND(E791-F791,6),"")</f>
        <v/>
      </c>
      <c r="H791" s="25">
        <f>IF(A791="","",IFERROR(INDEX('자료_한국심리'!$N$3:$N$4002,MATCH(A791,$Y$19:$Y$4018,0)),H790))</f>
        <v/>
      </c>
      <c r="I791" s="31">
        <f>IF(AND(ISNUMBER(H791),ISNUMBER(H771)),IF(H771&gt;0,H791/H771-1,""),"")</f>
        <v/>
      </c>
      <c r="J791">
        <f>IF(A791="",0,IF(A791&gt;$B$5,1,0))</f>
        <v/>
      </c>
      <c r="K791" s="29">
        <f>IF(AND(J791=1,ISNUMBER(D791)),D791,"")</f>
        <v/>
      </c>
      <c r="L791" s="30">
        <f>IF(AND(J791=1,ISNUMBER(G791)),G791,"")</f>
        <v/>
      </c>
      <c r="M791" s="22">
        <f>IF(AND(J791=1,ISNUMBER(C791)),C791,"")</f>
        <v/>
      </c>
      <c r="N791" s="31">
        <f>IF(AND(J791=1,ISNUMBER(I791)),I791,"")</f>
        <v/>
      </c>
      <c r="O791" s="11">
        <f>IF(K791="","",100-IF($G$13=1,50,(_xlfn.RANK.AVG(K791,$K$19:$K$1518,1)-1)/($G$13-1)*100))</f>
        <v/>
      </c>
      <c r="P791" s="11">
        <f>IF(L791="","",100-IF($G$14=1,50,(_xlfn.RANK.AVG(L791,$L$19:$L$1518,1)-1)/($G$14-1)*100))</f>
        <v/>
      </c>
      <c r="Q791" s="11">
        <f>IF(M791="","",IF($G$15=1,50,(_xlfn.RANK.AVG(M791,$M$19:$M$1518,1)-1)/($G$15-1)*100))</f>
        <v/>
      </c>
      <c r="R791" s="11">
        <f>IF(N791="","",IF($G$16=1,50,(_xlfn.RANK.AVG(N791,$N$19:$N$1518,1)-1)/($G$16-1)*100))</f>
        <v/>
      </c>
      <c r="S791" s="11">
        <f>IF(COUNT(O791:R791)=4,ROUND(AVERAGE(O791:R791),6),"")</f>
        <v/>
      </c>
      <c r="U791">
        <f>IF(AND(ISNUMBER('자료_한국심리'!$A775),ISNUMBER('자료_한국심리'!$B775)),'자료_한국심리'!$A775,"")</f>
        <v/>
      </c>
      <c r="V791">
        <f>IF(AND(ISNUMBER('자료_한국심리'!$D775),ISNUMBER('자료_한국심리'!$E775)),'자료_한국심리'!$D775,"")</f>
        <v/>
      </c>
      <c r="W791">
        <f>IF(AND(ISNUMBER('자료_한국심리'!$G775),ISNUMBER('자료_한국심리'!$H775)),'자료_한국심리'!$G775,"")</f>
        <v/>
      </c>
      <c r="X791">
        <f>IF(AND(ISNUMBER('자료_한국심리'!$J775),ISNUMBER('자료_한국심리'!$K775)),'자료_한국심리'!$J775,"")</f>
        <v/>
      </c>
      <c r="Y791">
        <f>IF(AND(ISNUMBER('자료_한국심리'!$M775),ISNUMBER('자료_한국심리'!$N775)),'자료_한국심리'!$M775,"")</f>
        <v/>
      </c>
    </row>
    <row r="792">
      <c r="A792" s="10">
        <f>IF(774&gt;$E$5,"",SMALL($U$19:$U$4018,$E$6+774))</f>
        <v/>
      </c>
      <c r="B792" s="29">
        <f>IF(A792="","",INDEX('자료_한국심리'!$B$3:$B$4002,MATCH(A792,$U$19:$U$4018,0)))</f>
        <v/>
      </c>
      <c r="C792" s="22">
        <f>IF(A792="","",B792/AVERAGE(B668:B792)-1)</f>
        <v/>
      </c>
      <c r="D792" s="29">
        <f>IF(A792="","",IFERROR(INDEX('자료_한국심리'!$E$3:$E$4002,MATCH(A792,$V$19:$V$4018,0)),D791))</f>
        <v/>
      </c>
      <c r="E792" s="30">
        <f>IF(A792="","",IFERROR(INDEX('자료_한국심리'!$H$3:$H$4002,MATCH(A792,$W$19:$W$4018,0)),E791))</f>
        <v/>
      </c>
      <c r="F792" s="30">
        <f>IF(A792="","",IFERROR(INDEX('자료_한국심리'!$K$3:$K$4002,MATCH(A792,$X$19:$X$4018,0)),F791))</f>
        <v/>
      </c>
      <c r="G792" s="30">
        <f>IF(AND(ISNUMBER(E792),ISNUMBER(F792)),ROUND(E792-F792,6),"")</f>
        <v/>
      </c>
      <c r="H792" s="25">
        <f>IF(A792="","",IFERROR(INDEX('자료_한국심리'!$N$3:$N$4002,MATCH(A792,$Y$19:$Y$4018,0)),H791))</f>
        <v/>
      </c>
      <c r="I792" s="31">
        <f>IF(AND(ISNUMBER(H792),ISNUMBER(H772)),IF(H772&gt;0,H792/H772-1,""),"")</f>
        <v/>
      </c>
      <c r="J792">
        <f>IF(A792="",0,IF(A792&gt;$B$5,1,0))</f>
        <v/>
      </c>
      <c r="K792" s="29">
        <f>IF(AND(J792=1,ISNUMBER(D792)),D792,"")</f>
        <v/>
      </c>
      <c r="L792" s="30">
        <f>IF(AND(J792=1,ISNUMBER(G792)),G792,"")</f>
        <v/>
      </c>
      <c r="M792" s="22">
        <f>IF(AND(J792=1,ISNUMBER(C792)),C792,"")</f>
        <v/>
      </c>
      <c r="N792" s="31">
        <f>IF(AND(J792=1,ISNUMBER(I792)),I792,"")</f>
        <v/>
      </c>
      <c r="O792" s="11">
        <f>IF(K792="","",100-IF($G$13=1,50,(_xlfn.RANK.AVG(K792,$K$19:$K$1518,1)-1)/($G$13-1)*100))</f>
        <v/>
      </c>
      <c r="P792" s="11">
        <f>IF(L792="","",100-IF($G$14=1,50,(_xlfn.RANK.AVG(L792,$L$19:$L$1518,1)-1)/($G$14-1)*100))</f>
        <v/>
      </c>
      <c r="Q792" s="11">
        <f>IF(M792="","",IF($G$15=1,50,(_xlfn.RANK.AVG(M792,$M$19:$M$1518,1)-1)/($G$15-1)*100))</f>
        <v/>
      </c>
      <c r="R792" s="11">
        <f>IF(N792="","",IF($G$16=1,50,(_xlfn.RANK.AVG(N792,$N$19:$N$1518,1)-1)/($G$16-1)*100))</f>
        <v/>
      </c>
      <c r="S792" s="11">
        <f>IF(COUNT(O792:R792)=4,ROUND(AVERAGE(O792:R792),6),"")</f>
        <v/>
      </c>
      <c r="U792">
        <f>IF(AND(ISNUMBER('자료_한국심리'!$A776),ISNUMBER('자료_한국심리'!$B776)),'자료_한국심리'!$A776,"")</f>
        <v/>
      </c>
      <c r="V792">
        <f>IF(AND(ISNUMBER('자료_한국심리'!$D776),ISNUMBER('자료_한국심리'!$E776)),'자료_한국심리'!$D776,"")</f>
        <v/>
      </c>
      <c r="W792">
        <f>IF(AND(ISNUMBER('자료_한국심리'!$G776),ISNUMBER('자료_한국심리'!$H776)),'자료_한국심리'!$G776,"")</f>
        <v/>
      </c>
      <c r="X792">
        <f>IF(AND(ISNUMBER('자료_한국심리'!$J776),ISNUMBER('자료_한국심리'!$K776)),'자료_한국심리'!$J776,"")</f>
        <v/>
      </c>
      <c r="Y792">
        <f>IF(AND(ISNUMBER('자료_한국심리'!$M776),ISNUMBER('자료_한국심리'!$N776)),'자료_한국심리'!$M776,"")</f>
        <v/>
      </c>
    </row>
    <row r="793">
      <c r="A793" s="10">
        <f>IF(775&gt;$E$5,"",SMALL($U$19:$U$4018,$E$6+775))</f>
        <v/>
      </c>
      <c r="B793" s="29">
        <f>IF(A793="","",INDEX('자료_한국심리'!$B$3:$B$4002,MATCH(A793,$U$19:$U$4018,0)))</f>
        <v/>
      </c>
      <c r="C793" s="22">
        <f>IF(A793="","",B793/AVERAGE(B669:B793)-1)</f>
        <v/>
      </c>
      <c r="D793" s="29">
        <f>IF(A793="","",IFERROR(INDEX('자료_한국심리'!$E$3:$E$4002,MATCH(A793,$V$19:$V$4018,0)),D792))</f>
        <v/>
      </c>
      <c r="E793" s="30">
        <f>IF(A793="","",IFERROR(INDEX('자료_한국심리'!$H$3:$H$4002,MATCH(A793,$W$19:$W$4018,0)),E792))</f>
        <v/>
      </c>
      <c r="F793" s="30">
        <f>IF(A793="","",IFERROR(INDEX('자료_한국심리'!$K$3:$K$4002,MATCH(A793,$X$19:$X$4018,0)),F792))</f>
        <v/>
      </c>
      <c r="G793" s="30">
        <f>IF(AND(ISNUMBER(E793),ISNUMBER(F793)),ROUND(E793-F793,6),"")</f>
        <v/>
      </c>
      <c r="H793" s="25">
        <f>IF(A793="","",IFERROR(INDEX('자료_한국심리'!$N$3:$N$4002,MATCH(A793,$Y$19:$Y$4018,0)),H792))</f>
        <v/>
      </c>
      <c r="I793" s="31">
        <f>IF(AND(ISNUMBER(H793),ISNUMBER(H773)),IF(H773&gt;0,H793/H773-1,""),"")</f>
        <v/>
      </c>
      <c r="J793">
        <f>IF(A793="",0,IF(A793&gt;$B$5,1,0))</f>
        <v/>
      </c>
      <c r="K793" s="29">
        <f>IF(AND(J793=1,ISNUMBER(D793)),D793,"")</f>
        <v/>
      </c>
      <c r="L793" s="30">
        <f>IF(AND(J793=1,ISNUMBER(G793)),G793,"")</f>
        <v/>
      </c>
      <c r="M793" s="22">
        <f>IF(AND(J793=1,ISNUMBER(C793)),C793,"")</f>
        <v/>
      </c>
      <c r="N793" s="31">
        <f>IF(AND(J793=1,ISNUMBER(I793)),I793,"")</f>
        <v/>
      </c>
      <c r="O793" s="11">
        <f>IF(K793="","",100-IF($G$13=1,50,(_xlfn.RANK.AVG(K793,$K$19:$K$1518,1)-1)/($G$13-1)*100))</f>
        <v/>
      </c>
      <c r="P793" s="11">
        <f>IF(L793="","",100-IF($G$14=1,50,(_xlfn.RANK.AVG(L793,$L$19:$L$1518,1)-1)/($G$14-1)*100))</f>
        <v/>
      </c>
      <c r="Q793" s="11">
        <f>IF(M793="","",IF($G$15=1,50,(_xlfn.RANK.AVG(M793,$M$19:$M$1518,1)-1)/($G$15-1)*100))</f>
        <v/>
      </c>
      <c r="R793" s="11">
        <f>IF(N793="","",IF($G$16=1,50,(_xlfn.RANK.AVG(N793,$N$19:$N$1518,1)-1)/($G$16-1)*100))</f>
        <v/>
      </c>
      <c r="S793" s="11">
        <f>IF(COUNT(O793:R793)=4,ROUND(AVERAGE(O793:R793),6),"")</f>
        <v/>
      </c>
      <c r="U793">
        <f>IF(AND(ISNUMBER('자료_한국심리'!$A777),ISNUMBER('자료_한국심리'!$B777)),'자료_한국심리'!$A777,"")</f>
        <v/>
      </c>
      <c r="V793">
        <f>IF(AND(ISNUMBER('자료_한국심리'!$D777),ISNUMBER('자료_한국심리'!$E777)),'자료_한국심리'!$D777,"")</f>
        <v/>
      </c>
      <c r="W793">
        <f>IF(AND(ISNUMBER('자료_한국심리'!$G777),ISNUMBER('자료_한국심리'!$H777)),'자료_한국심리'!$G777,"")</f>
        <v/>
      </c>
      <c r="X793">
        <f>IF(AND(ISNUMBER('자료_한국심리'!$J777),ISNUMBER('자료_한국심리'!$K777)),'자료_한국심리'!$J777,"")</f>
        <v/>
      </c>
      <c r="Y793">
        <f>IF(AND(ISNUMBER('자료_한국심리'!$M777),ISNUMBER('자료_한국심리'!$N777)),'자료_한국심리'!$M777,"")</f>
        <v/>
      </c>
    </row>
    <row r="794">
      <c r="A794" s="10">
        <f>IF(776&gt;$E$5,"",SMALL($U$19:$U$4018,$E$6+776))</f>
        <v/>
      </c>
      <c r="B794" s="29">
        <f>IF(A794="","",INDEX('자료_한국심리'!$B$3:$B$4002,MATCH(A794,$U$19:$U$4018,0)))</f>
        <v/>
      </c>
      <c r="C794" s="22">
        <f>IF(A794="","",B794/AVERAGE(B670:B794)-1)</f>
        <v/>
      </c>
      <c r="D794" s="29">
        <f>IF(A794="","",IFERROR(INDEX('자료_한국심리'!$E$3:$E$4002,MATCH(A794,$V$19:$V$4018,0)),D793))</f>
        <v/>
      </c>
      <c r="E794" s="30">
        <f>IF(A794="","",IFERROR(INDEX('자료_한국심리'!$H$3:$H$4002,MATCH(A794,$W$19:$W$4018,0)),E793))</f>
        <v/>
      </c>
      <c r="F794" s="30">
        <f>IF(A794="","",IFERROR(INDEX('자료_한국심리'!$K$3:$K$4002,MATCH(A794,$X$19:$X$4018,0)),F793))</f>
        <v/>
      </c>
      <c r="G794" s="30">
        <f>IF(AND(ISNUMBER(E794),ISNUMBER(F794)),ROUND(E794-F794,6),"")</f>
        <v/>
      </c>
      <c r="H794" s="25">
        <f>IF(A794="","",IFERROR(INDEX('자료_한국심리'!$N$3:$N$4002,MATCH(A794,$Y$19:$Y$4018,0)),H793))</f>
        <v/>
      </c>
      <c r="I794" s="31">
        <f>IF(AND(ISNUMBER(H794),ISNUMBER(H774)),IF(H774&gt;0,H794/H774-1,""),"")</f>
        <v/>
      </c>
      <c r="J794">
        <f>IF(A794="",0,IF(A794&gt;$B$5,1,0))</f>
        <v/>
      </c>
      <c r="K794" s="29">
        <f>IF(AND(J794=1,ISNUMBER(D794)),D794,"")</f>
        <v/>
      </c>
      <c r="L794" s="30">
        <f>IF(AND(J794=1,ISNUMBER(G794)),G794,"")</f>
        <v/>
      </c>
      <c r="M794" s="22">
        <f>IF(AND(J794=1,ISNUMBER(C794)),C794,"")</f>
        <v/>
      </c>
      <c r="N794" s="31">
        <f>IF(AND(J794=1,ISNUMBER(I794)),I794,"")</f>
        <v/>
      </c>
      <c r="O794" s="11">
        <f>IF(K794="","",100-IF($G$13=1,50,(_xlfn.RANK.AVG(K794,$K$19:$K$1518,1)-1)/($G$13-1)*100))</f>
        <v/>
      </c>
      <c r="P794" s="11">
        <f>IF(L794="","",100-IF($G$14=1,50,(_xlfn.RANK.AVG(L794,$L$19:$L$1518,1)-1)/($G$14-1)*100))</f>
        <v/>
      </c>
      <c r="Q794" s="11">
        <f>IF(M794="","",IF($G$15=1,50,(_xlfn.RANK.AVG(M794,$M$19:$M$1518,1)-1)/($G$15-1)*100))</f>
        <v/>
      </c>
      <c r="R794" s="11">
        <f>IF(N794="","",IF($G$16=1,50,(_xlfn.RANK.AVG(N794,$N$19:$N$1518,1)-1)/($G$16-1)*100))</f>
        <v/>
      </c>
      <c r="S794" s="11">
        <f>IF(COUNT(O794:R794)=4,ROUND(AVERAGE(O794:R794),6),"")</f>
        <v/>
      </c>
      <c r="U794">
        <f>IF(AND(ISNUMBER('자료_한국심리'!$A778),ISNUMBER('자료_한국심리'!$B778)),'자료_한국심리'!$A778,"")</f>
        <v/>
      </c>
      <c r="V794">
        <f>IF(AND(ISNUMBER('자료_한국심리'!$D778),ISNUMBER('자료_한국심리'!$E778)),'자료_한국심리'!$D778,"")</f>
        <v/>
      </c>
      <c r="W794">
        <f>IF(AND(ISNUMBER('자료_한국심리'!$G778),ISNUMBER('자료_한국심리'!$H778)),'자료_한국심리'!$G778,"")</f>
        <v/>
      </c>
      <c r="X794">
        <f>IF(AND(ISNUMBER('자료_한국심리'!$J778),ISNUMBER('자료_한국심리'!$K778)),'자료_한국심리'!$J778,"")</f>
        <v/>
      </c>
      <c r="Y794">
        <f>IF(AND(ISNUMBER('자료_한국심리'!$M778),ISNUMBER('자료_한국심리'!$N778)),'자료_한국심리'!$M778,"")</f>
        <v/>
      </c>
    </row>
    <row r="795">
      <c r="A795" s="10">
        <f>IF(777&gt;$E$5,"",SMALL($U$19:$U$4018,$E$6+777))</f>
        <v/>
      </c>
      <c r="B795" s="29">
        <f>IF(A795="","",INDEX('자료_한국심리'!$B$3:$B$4002,MATCH(A795,$U$19:$U$4018,0)))</f>
        <v/>
      </c>
      <c r="C795" s="22">
        <f>IF(A795="","",B795/AVERAGE(B671:B795)-1)</f>
        <v/>
      </c>
      <c r="D795" s="29">
        <f>IF(A795="","",IFERROR(INDEX('자료_한국심리'!$E$3:$E$4002,MATCH(A795,$V$19:$V$4018,0)),D794))</f>
        <v/>
      </c>
      <c r="E795" s="30">
        <f>IF(A795="","",IFERROR(INDEX('자료_한국심리'!$H$3:$H$4002,MATCH(A795,$W$19:$W$4018,0)),E794))</f>
        <v/>
      </c>
      <c r="F795" s="30">
        <f>IF(A795="","",IFERROR(INDEX('자료_한국심리'!$K$3:$K$4002,MATCH(A795,$X$19:$X$4018,0)),F794))</f>
        <v/>
      </c>
      <c r="G795" s="30">
        <f>IF(AND(ISNUMBER(E795),ISNUMBER(F795)),ROUND(E795-F795,6),"")</f>
        <v/>
      </c>
      <c r="H795" s="25">
        <f>IF(A795="","",IFERROR(INDEX('자료_한국심리'!$N$3:$N$4002,MATCH(A795,$Y$19:$Y$4018,0)),H794))</f>
        <v/>
      </c>
      <c r="I795" s="31">
        <f>IF(AND(ISNUMBER(H795),ISNUMBER(H775)),IF(H775&gt;0,H795/H775-1,""),"")</f>
        <v/>
      </c>
      <c r="J795">
        <f>IF(A795="",0,IF(A795&gt;$B$5,1,0))</f>
        <v/>
      </c>
      <c r="K795" s="29">
        <f>IF(AND(J795=1,ISNUMBER(D795)),D795,"")</f>
        <v/>
      </c>
      <c r="L795" s="30">
        <f>IF(AND(J795=1,ISNUMBER(G795)),G795,"")</f>
        <v/>
      </c>
      <c r="M795" s="22">
        <f>IF(AND(J795=1,ISNUMBER(C795)),C795,"")</f>
        <v/>
      </c>
      <c r="N795" s="31">
        <f>IF(AND(J795=1,ISNUMBER(I795)),I795,"")</f>
        <v/>
      </c>
      <c r="O795" s="11">
        <f>IF(K795="","",100-IF($G$13=1,50,(_xlfn.RANK.AVG(K795,$K$19:$K$1518,1)-1)/($G$13-1)*100))</f>
        <v/>
      </c>
      <c r="P795" s="11">
        <f>IF(L795="","",100-IF($G$14=1,50,(_xlfn.RANK.AVG(L795,$L$19:$L$1518,1)-1)/($G$14-1)*100))</f>
        <v/>
      </c>
      <c r="Q795" s="11">
        <f>IF(M795="","",IF($G$15=1,50,(_xlfn.RANK.AVG(M795,$M$19:$M$1518,1)-1)/($G$15-1)*100))</f>
        <v/>
      </c>
      <c r="R795" s="11">
        <f>IF(N795="","",IF($G$16=1,50,(_xlfn.RANK.AVG(N795,$N$19:$N$1518,1)-1)/($G$16-1)*100))</f>
        <v/>
      </c>
      <c r="S795" s="11">
        <f>IF(COUNT(O795:R795)=4,ROUND(AVERAGE(O795:R795),6),"")</f>
        <v/>
      </c>
      <c r="U795">
        <f>IF(AND(ISNUMBER('자료_한국심리'!$A779),ISNUMBER('자료_한국심리'!$B779)),'자료_한국심리'!$A779,"")</f>
        <v/>
      </c>
      <c r="V795">
        <f>IF(AND(ISNUMBER('자료_한국심리'!$D779),ISNUMBER('자료_한국심리'!$E779)),'자료_한국심리'!$D779,"")</f>
        <v/>
      </c>
      <c r="W795">
        <f>IF(AND(ISNUMBER('자료_한국심리'!$G779),ISNUMBER('자료_한국심리'!$H779)),'자료_한국심리'!$G779,"")</f>
        <v/>
      </c>
      <c r="X795">
        <f>IF(AND(ISNUMBER('자료_한국심리'!$J779),ISNUMBER('자료_한국심리'!$K779)),'자료_한국심리'!$J779,"")</f>
        <v/>
      </c>
      <c r="Y795">
        <f>IF(AND(ISNUMBER('자료_한국심리'!$M779),ISNUMBER('자료_한국심리'!$N779)),'자료_한국심리'!$M779,"")</f>
        <v/>
      </c>
    </row>
    <row r="796">
      <c r="A796" s="10">
        <f>IF(778&gt;$E$5,"",SMALL($U$19:$U$4018,$E$6+778))</f>
        <v/>
      </c>
      <c r="B796" s="29">
        <f>IF(A796="","",INDEX('자료_한국심리'!$B$3:$B$4002,MATCH(A796,$U$19:$U$4018,0)))</f>
        <v/>
      </c>
      <c r="C796" s="22">
        <f>IF(A796="","",B796/AVERAGE(B672:B796)-1)</f>
        <v/>
      </c>
      <c r="D796" s="29">
        <f>IF(A796="","",IFERROR(INDEX('자료_한국심리'!$E$3:$E$4002,MATCH(A796,$V$19:$V$4018,0)),D795))</f>
        <v/>
      </c>
      <c r="E796" s="30">
        <f>IF(A796="","",IFERROR(INDEX('자료_한국심리'!$H$3:$H$4002,MATCH(A796,$W$19:$W$4018,0)),E795))</f>
        <v/>
      </c>
      <c r="F796" s="30">
        <f>IF(A796="","",IFERROR(INDEX('자료_한국심리'!$K$3:$K$4002,MATCH(A796,$X$19:$X$4018,0)),F795))</f>
        <v/>
      </c>
      <c r="G796" s="30">
        <f>IF(AND(ISNUMBER(E796),ISNUMBER(F796)),ROUND(E796-F796,6),"")</f>
        <v/>
      </c>
      <c r="H796" s="25">
        <f>IF(A796="","",IFERROR(INDEX('자료_한국심리'!$N$3:$N$4002,MATCH(A796,$Y$19:$Y$4018,0)),H795))</f>
        <v/>
      </c>
      <c r="I796" s="31">
        <f>IF(AND(ISNUMBER(H796),ISNUMBER(H776)),IF(H776&gt;0,H796/H776-1,""),"")</f>
        <v/>
      </c>
      <c r="J796">
        <f>IF(A796="",0,IF(A796&gt;$B$5,1,0))</f>
        <v/>
      </c>
      <c r="K796" s="29">
        <f>IF(AND(J796=1,ISNUMBER(D796)),D796,"")</f>
        <v/>
      </c>
      <c r="L796" s="30">
        <f>IF(AND(J796=1,ISNUMBER(G796)),G796,"")</f>
        <v/>
      </c>
      <c r="M796" s="22">
        <f>IF(AND(J796=1,ISNUMBER(C796)),C796,"")</f>
        <v/>
      </c>
      <c r="N796" s="31">
        <f>IF(AND(J796=1,ISNUMBER(I796)),I796,"")</f>
        <v/>
      </c>
      <c r="O796" s="11">
        <f>IF(K796="","",100-IF($G$13=1,50,(_xlfn.RANK.AVG(K796,$K$19:$K$1518,1)-1)/($G$13-1)*100))</f>
        <v/>
      </c>
      <c r="P796" s="11">
        <f>IF(L796="","",100-IF($G$14=1,50,(_xlfn.RANK.AVG(L796,$L$19:$L$1518,1)-1)/($G$14-1)*100))</f>
        <v/>
      </c>
      <c r="Q796" s="11">
        <f>IF(M796="","",IF($G$15=1,50,(_xlfn.RANK.AVG(M796,$M$19:$M$1518,1)-1)/($G$15-1)*100))</f>
        <v/>
      </c>
      <c r="R796" s="11">
        <f>IF(N796="","",IF($G$16=1,50,(_xlfn.RANK.AVG(N796,$N$19:$N$1518,1)-1)/($G$16-1)*100))</f>
        <v/>
      </c>
      <c r="S796" s="11">
        <f>IF(COUNT(O796:R796)=4,ROUND(AVERAGE(O796:R796),6),"")</f>
        <v/>
      </c>
      <c r="U796">
        <f>IF(AND(ISNUMBER('자료_한국심리'!$A780),ISNUMBER('자료_한국심리'!$B780)),'자료_한국심리'!$A780,"")</f>
        <v/>
      </c>
      <c r="V796">
        <f>IF(AND(ISNUMBER('자료_한국심리'!$D780),ISNUMBER('자료_한국심리'!$E780)),'자료_한국심리'!$D780,"")</f>
        <v/>
      </c>
      <c r="W796">
        <f>IF(AND(ISNUMBER('자료_한국심리'!$G780),ISNUMBER('자료_한국심리'!$H780)),'자료_한국심리'!$G780,"")</f>
        <v/>
      </c>
      <c r="X796">
        <f>IF(AND(ISNUMBER('자료_한국심리'!$J780),ISNUMBER('자료_한국심리'!$K780)),'자료_한국심리'!$J780,"")</f>
        <v/>
      </c>
      <c r="Y796">
        <f>IF(AND(ISNUMBER('자료_한국심리'!$M780),ISNUMBER('자료_한국심리'!$N780)),'자료_한국심리'!$M780,"")</f>
        <v/>
      </c>
    </row>
    <row r="797">
      <c r="A797" s="10">
        <f>IF(779&gt;$E$5,"",SMALL($U$19:$U$4018,$E$6+779))</f>
        <v/>
      </c>
      <c r="B797" s="29">
        <f>IF(A797="","",INDEX('자료_한국심리'!$B$3:$B$4002,MATCH(A797,$U$19:$U$4018,0)))</f>
        <v/>
      </c>
      <c r="C797" s="22">
        <f>IF(A797="","",B797/AVERAGE(B673:B797)-1)</f>
        <v/>
      </c>
      <c r="D797" s="29">
        <f>IF(A797="","",IFERROR(INDEX('자료_한국심리'!$E$3:$E$4002,MATCH(A797,$V$19:$V$4018,0)),D796))</f>
        <v/>
      </c>
      <c r="E797" s="30">
        <f>IF(A797="","",IFERROR(INDEX('자료_한국심리'!$H$3:$H$4002,MATCH(A797,$W$19:$W$4018,0)),E796))</f>
        <v/>
      </c>
      <c r="F797" s="30">
        <f>IF(A797="","",IFERROR(INDEX('자료_한국심리'!$K$3:$K$4002,MATCH(A797,$X$19:$X$4018,0)),F796))</f>
        <v/>
      </c>
      <c r="G797" s="30">
        <f>IF(AND(ISNUMBER(E797),ISNUMBER(F797)),ROUND(E797-F797,6),"")</f>
        <v/>
      </c>
      <c r="H797" s="25">
        <f>IF(A797="","",IFERROR(INDEX('자료_한국심리'!$N$3:$N$4002,MATCH(A797,$Y$19:$Y$4018,0)),H796))</f>
        <v/>
      </c>
      <c r="I797" s="31">
        <f>IF(AND(ISNUMBER(H797),ISNUMBER(H777)),IF(H777&gt;0,H797/H777-1,""),"")</f>
        <v/>
      </c>
      <c r="J797">
        <f>IF(A797="",0,IF(A797&gt;$B$5,1,0))</f>
        <v/>
      </c>
      <c r="K797" s="29">
        <f>IF(AND(J797=1,ISNUMBER(D797)),D797,"")</f>
        <v/>
      </c>
      <c r="L797" s="30">
        <f>IF(AND(J797=1,ISNUMBER(G797)),G797,"")</f>
        <v/>
      </c>
      <c r="M797" s="22">
        <f>IF(AND(J797=1,ISNUMBER(C797)),C797,"")</f>
        <v/>
      </c>
      <c r="N797" s="31">
        <f>IF(AND(J797=1,ISNUMBER(I797)),I797,"")</f>
        <v/>
      </c>
      <c r="O797" s="11">
        <f>IF(K797="","",100-IF($G$13=1,50,(_xlfn.RANK.AVG(K797,$K$19:$K$1518,1)-1)/($G$13-1)*100))</f>
        <v/>
      </c>
      <c r="P797" s="11">
        <f>IF(L797="","",100-IF($G$14=1,50,(_xlfn.RANK.AVG(L797,$L$19:$L$1518,1)-1)/($G$14-1)*100))</f>
        <v/>
      </c>
      <c r="Q797" s="11">
        <f>IF(M797="","",IF($G$15=1,50,(_xlfn.RANK.AVG(M797,$M$19:$M$1518,1)-1)/($G$15-1)*100))</f>
        <v/>
      </c>
      <c r="R797" s="11">
        <f>IF(N797="","",IF($G$16=1,50,(_xlfn.RANK.AVG(N797,$N$19:$N$1518,1)-1)/($G$16-1)*100))</f>
        <v/>
      </c>
      <c r="S797" s="11">
        <f>IF(COUNT(O797:R797)=4,ROUND(AVERAGE(O797:R797),6),"")</f>
        <v/>
      </c>
      <c r="U797">
        <f>IF(AND(ISNUMBER('자료_한국심리'!$A781),ISNUMBER('자료_한국심리'!$B781)),'자료_한국심리'!$A781,"")</f>
        <v/>
      </c>
      <c r="V797">
        <f>IF(AND(ISNUMBER('자료_한국심리'!$D781),ISNUMBER('자료_한국심리'!$E781)),'자료_한국심리'!$D781,"")</f>
        <v/>
      </c>
      <c r="W797">
        <f>IF(AND(ISNUMBER('자료_한국심리'!$G781),ISNUMBER('자료_한국심리'!$H781)),'자료_한국심리'!$G781,"")</f>
        <v/>
      </c>
      <c r="X797">
        <f>IF(AND(ISNUMBER('자료_한국심리'!$J781),ISNUMBER('자료_한국심리'!$K781)),'자료_한국심리'!$J781,"")</f>
        <v/>
      </c>
      <c r="Y797">
        <f>IF(AND(ISNUMBER('자료_한국심리'!$M781),ISNUMBER('자료_한국심리'!$N781)),'자료_한국심리'!$M781,"")</f>
        <v/>
      </c>
    </row>
    <row r="798">
      <c r="A798" s="10">
        <f>IF(780&gt;$E$5,"",SMALL($U$19:$U$4018,$E$6+780))</f>
        <v/>
      </c>
      <c r="B798" s="29">
        <f>IF(A798="","",INDEX('자료_한국심리'!$B$3:$B$4002,MATCH(A798,$U$19:$U$4018,0)))</f>
        <v/>
      </c>
      <c r="C798" s="22">
        <f>IF(A798="","",B798/AVERAGE(B674:B798)-1)</f>
        <v/>
      </c>
      <c r="D798" s="29">
        <f>IF(A798="","",IFERROR(INDEX('자료_한국심리'!$E$3:$E$4002,MATCH(A798,$V$19:$V$4018,0)),D797))</f>
        <v/>
      </c>
      <c r="E798" s="30">
        <f>IF(A798="","",IFERROR(INDEX('자료_한국심리'!$H$3:$H$4002,MATCH(A798,$W$19:$W$4018,0)),E797))</f>
        <v/>
      </c>
      <c r="F798" s="30">
        <f>IF(A798="","",IFERROR(INDEX('자료_한국심리'!$K$3:$K$4002,MATCH(A798,$X$19:$X$4018,0)),F797))</f>
        <v/>
      </c>
      <c r="G798" s="30">
        <f>IF(AND(ISNUMBER(E798),ISNUMBER(F798)),ROUND(E798-F798,6),"")</f>
        <v/>
      </c>
      <c r="H798" s="25">
        <f>IF(A798="","",IFERROR(INDEX('자료_한국심리'!$N$3:$N$4002,MATCH(A798,$Y$19:$Y$4018,0)),H797))</f>
        <v/>
      </c>
      <c r="I798" s="31">
        <f>IF(AND(ISNUMBER(H798),ISNUMBER(H778)),IF(H778&gt;0,H798/H778-1,""),"")</f>
        <v/>
      </c>
      <c r="J798">
        <f>IF(A798="",0,IF(A798&gt;$B$5,1,0))</f>
        <v/>
      </c>
      <c r="K798" s="29">
        <f>IF(AND(J798=1,ISNUMBER(D798)),D798,"")</f>
        <v/>
      </c>
      <c r="L798" s="30">
        <f>IF(AND(J798=1,ISNUMBER(G798)),G798,"")</f>
        <v/>
      </c>
      <c r="M798" s="22">
        <f>IF(AND(J798=1,ISNUMBER(C798)),C798,"")</f>
        <v/>
      </c>
      <c r="N798" s="31">
        <f>IF(AND(J798=1,ISNUMBER(I798)),I798,"")</f>
        <v/>
      </c>
      <c r="O798" s="11">
        <f>IF(K798="","",100-IF($G$13=1,50,(_xlfn.RANK.AVG(K798,$K$19:$K$1518,1)-1)/($G$13-1)*100))</f>
        <v/>
      </c>
      <c r="P798" s="11">
        <f>IF(L798="","",100-IF($G$14=1,50,(_xlfn.RANK.AVG(L798,$L$19:$L$1518,1)-1)/($G$14-1)*100))</f>
        <v/>
      </c>
      <c r="Q798" s="11">
        <f>IF(M798="","",IF($G$15=1,50,(_xlfn.RANK.AVG(M798,$M$19:$M$1518,1)-1)/($G$15-1)*100))</f>
        <v/>
      </c>
      <c r="R798" s="11">
        <f>IF(N798="","",IF($G$16=1,50,(_xlfn.RANK.AVG(N798,$N$19:$N$1518,1)-1)/($G$16-1)*100))</f>
        <v/>
      </c>
      <c r="S798" s="11">
        <f>IF(COUNT(O798:R798)=4,ROUND(AVERAGE(O798:R798),6),"")</f>
        <v/>
      </c>
      <c r="U798">
        <f>IF(AND(ISNUMBER('자료_한국심리'!$A782),ISNUMBER('자료_한국심리'!$B782)),'자료_한국심리'!$A782,"")</f>
        <v/>
      </c>
      <c r="V798">
        <f>IF(AND(ISNUMBER('자료_한국심리'!$D782),ISNUMBER('자료_한국심리'!$E782)),'자료_한국심리'!$D782,"")</f>
        <v/>
      </c>
      <c r="W798">
        <f>IF(AND(ISNUMBER('자료_한국심리'!$G782),ISNUMBER('자료_한국심리'!$H782)),'자료_한국심리'!$G782,"")</f>
        <v/>
      </c>
      <c r="X798">
        <f>IF(AND(ISNUMBER('자료_한국심리'!$J782),ISNUMBER('자료_한국심리'!$K782)),'자료_한국심리'!$J782,"")</f>
        <v/>
      </c>
      <c r="Y798">
        <f>IF(AND(ISNUMBER('자료_한국심리'!$M782),ISNUMBER('자료_한국심리'!$N782)),'자료_한국심리'!$M782,"")</f>
        <v/>
      </c>
    </row>
    <row r="799">
      <c r="A799" s="10">
        <f>IF(781&gt;$E$5,"",SMALL($U$19:$U$4018,$E$6+781))</f>
        <v/>
      </c>
      <c r="B799" s="29">
        <f>IF(A799="","",INDEX('자료_한국심리'!$B$3:$B$4002,MATCH(A799,$U$19:$U$4018,0)))</f>
        <v/>
      </c>
      <c r="C799" s="22">
        <f>IF(A799="","",B799/AVERAGE(B675:B799)-1)</f>
        <v/>
      </c>
      <c r="D799" s="29">
        <f>IF(A799="","",IFERROR(INDEX('자료_한국심리'!$E$3:$E$4002,MATCH(A799,$V$19:$V$4018,0)),D798))</f>
        <v/>
      </c>
      <c r="E799" s="30">
        <f>IF(A799="","",IFERROR(INDEX('자료_한국심리'!$H$3:$H$4002,MATCH(A799,$W$19:$W$4018,0)),E798))</f>
        <v/>
      </c>
      <c r="F799" s="30">
        <f>IF(A799="","",IFERROR(INDEX('자료_한국심리'!$K$3:$K$4002,MATCH(A799,$X$19:$X$4018,0)),F798))</f>
        <v/>
      </c>
      <c r="G799" s="30">
        <f>IF(AND(ISNUMBER(E799),ISNUMBER(F799)),ROUND(E799-F799,6),"")</f>
        <v/>
      </c>
      <c r="H799" s="25">
        <f>IF(A799="","",IFERROR(INDEX('자료_한국심리'!$N$3:$N$4002,MATCH(A799,$Y$19:$Y$4018,0)),H798))</f>
        <v/>
      </c>
      <c r="I799" s="31">
        <f>IF(AND(ISNUMBER(H799),ISNUMBER(H779)),IF(H779&gt;0,H799/H779-1,""),"")</f>
        <v/>
      </c>
      <c r="J799">
        <f>IF(A799="",0,IF(A799&gt;$B$5,1,0))</f>
        <v/>
      </c>
      <c r="K799" s="29">
        <f>IF(AND(J799=1,ISNUMBER(D799)),D799,"")</f>
        <v/>
      </c>
      <c r="L799" s="30">
        <f>IF(AND(J799=1,ISNUMBER(G799)),G799,"")</f>
        <v/>
      </c>
      <c r="M799" s="22">
        <f>IF(AND(J799=1,ISNUMBER(C799)),C799,"")</f>
        <v/>
      </c>
      <c r="N799" s="31">
        <f>IF(AND(J799=1,ISNUMBER(I799)),I799,"")</f>
        <v/>
      </c>
      <c r="O799" s="11">
        <f>IF(K799="","",100-IF($G$13=1,50,(_xlfn.RANK.AVG(K799,$K$19:$K$1518,1)-1)/($G$13-1)*100))</f>
        <v/>
      </c>
      <c r="P799" s="11">
        <f>IF(L799="","",100-IF($G$14=1,50,(_xlfn.RANK.AVG(L799,$L$19:$L$1518,1)-1)/($G$14-1)*100))</f>
        <v/>
      </c>
      <c r="Q799" s="11">
        <f>IF(M799="","",IF($G$15=1,50,(_xlfn.RANK.AVG(M799,$M$19:$M$1518,1)-1)/($G$15-1)*100))</f>
        <v/>
      </c>
      <c r="R799" s="11">
        <f>IF(N799="","",IF($G$16=1,50,(_xlfn.RANK.AVG(N799,$N$19:$N$1518,1)-1)/($G$16-1)*100))</f>
        <v/>
      </c>
      <c r="S799" s="11">
        <f>IF(COUNT(O799:R799)=4,ROUND(AVERAGE(O799:R799),6),"")</f>
        <v/>
      </c>
      <c r="U799">
        <f>IF(AND(ISNUMBER('자료_한국심리'!$A783),ISNUMBER('자료_한국심리'!$B783)),'자료_한국심리'!$A783,"")</f>
        <v/>
      </c>
      <c r="V799">
        <f>IF(AND(ISNUMBER('자료_한국심리'!$D783),ISNUMBER('자료_한국심리'!$E783)),'자료_한국심리'!$D783,"")</f>
        <v/>
      </c>
      <c r="W799">
        <f>IF(AND(ISNUMBER('자료_한국심리'!$G783),ISNUMBER('자료_한국심리'!$H783)),'자료_한국심리'!$G783,"")</f>
        <v/>
      </c>
      <c r="X799">
        <f>IF(AND(ISNUMBER('자료_한국심리'!$J783),ISNUMBER('자료_한국심리'!$K783)),'자료_한국심리'!$J783,"")</f>
        <v/>
      </c>
      <c r="Y799">
        <f>IF(AND(ISNUMBER('자료_한국심리'!$M783),ISNUMBER('자료_한국심리'!$N783)),'자료_한국심리'!$M783,"")</f>
        <v/>
      </c>
    </row>
    <row r="800">
      <c r="A800" s="10">
        <f>IF(782&gt;$E$5,"",SMALL($U$19:$U$4018,$E$6+782))</f>
        <v/>
      </c>
      <c r="B800" s="29">
        <f>IF(A800="","",INDEX('자료_한국심리'!$B$3:$B$4002,MATCH(A800,$U$19:$U$4018,0)))</f>
        <v/>
      </c>
      <c r="C800" s="22">
        <f>IF(A800="","",B800/AVERAGE(B676:B800)-1)</f>
        <v/>
      </c>
      <c r="D800" s="29">
        <f>IF(A800="","",IFERROR(INDEX('자료_한국심리'!$E$3:$E$4002,MATCH(A800,$V$19:$V$4018,0)),D799))</f>
        <v/>
      </c>
      <c r="E800" s="30">
        <f>IF(A800="","",IFERROR(INDEX('자료_한국심리'!$H$3:$H$4002,MATCH(A800,$W$19:$W$4018,0)),E799))</f>
        <v/>
      </c>
      <c r="F800" s="30">
        <f>IF(A800="","",IFERROR(INDEX('자료_한국심리'!$K$3:$K$4002,MATCH(A800,$X$19:$X$4018,0)),F799))</f>
        <v/>
      </c>
      <c r="G800" s="30">
        <f>IF(AND(ISNUMBER(E800),ISNUMBER(F800)),ROUND(E800-F800,6),"")</f>
        <v/>
      </c>
      <c r="H800" s="25">
        <f>IF(A800="","",IFERROR(INDEX('자료_한국심리'!$N$3:$N$4002,MATCH(A800,$Y$19:$Y$4018,0)),H799))</f>
        <v/>
      </c>
      <c r="I800" s="31">
        <f>IF(AND(ISNUMBER(H800),ISNUMBER(H780)),IF(H780&gt;0,H800/H780-1,""),"")</f>
        <v/>
      </c>
      <c r="J800">
        <f>IF(A800="",0,IF(A800&gt;$B$5,1,0))</f>
        <v/>
      </c>
      <c r="K800" s="29">
        <f>IF(AND(J800=1,ISNUMBER(D800)),D800,"")</f>
        <v/>
      </c>
      <c r="L800" s="30">
        <f>IF(AND(J800=1,ISNUMBER(G800)),G800,"")</f>
        <v/>
      </c>
      <c r="M800" s="22">
        <f>IF(AND(J800=1,ISNUMBER(C800)),C800,"")</f>
        <v/>
      </c>
      <c r="N800" s="31">
        <f>IF(AND(J800=1,ISNUMBER(I800)),I800,"")</f>
        <v/>
      </c>
      <c r="O800" s="11">
        <f>IF(K800="","",100-IF($G$13=1,50,(_xlfn.RANK.AVG(K800,$K$19:$K$1518,1)-1)/($G$13-1)*100))</f>
        <v/>
      </c>
      <c r="P800" s="11">
        <f>IF(L800="","",100-IF($G$14=1,50,(_xlfn.RANK.AVG(L800,$L$19:$L$1518,1)-1)/($G$14-1)*100))</f>
        <v/>
      </c>
      <c r="Q800" s="11">
        <f>IF(M800="","",IF($G$15=1,50,(_xlfn.RANK.AVG(M800,$M$19:$M$1518,1)-1)/($G$15-1)*100))</f>
        <v/>
      </c>
      <c r="R800" s="11">
        <f>IF(N800="","",IF($G$16=1,50,(_xlfn.RANK.AVG(N800,$N$19:$N$1518,1)-1)/($G$16-1)*100))</f>
        <v/>
      </c>
      <c r="S800" s="11">
        <f>IF(COUNT(O800:R800)=4,ROUND(AVERAGE(O800:R800),6),"")</f>
        <v/>
      </c>
      <c r="U800">
        <f>IF(AND(ISNUMBER('자료_한국심리'!$A784),ISNUMBER('자료_한국심리'!$B784)),'자료_한국심리'!$A784,"")</f>
        <v/>
      </c>
      <c r="V800">
        <f>IF(AND(ISNUMBER('자료_한국심리'!$D784),ISNUMBER('자료_한국심리'!$E784)),'자료_한국심리'!$D784,"")</f>
        <v/>
      </c>
      <c r="W800">
        <f>IF(AND(ISNUMBER('자료_한국심리'!$G784),ISNUMBER('자료_한국심리'!$H784)),'자료_한국심리'!$G784,"")</f>
        <v/>
      </c>
      <c r="X800">
        <f>IF(AND(ISNUMBER('자료_한국심리'!$J784),ISNUMBER('자료_한국심리'!$K784)),'자료_한국심리'!$J784,"")</f>
        <v/>
      </c>
      <c r="Y800">
        <f>IF(AND(ISNUMBER('자료_한국심리'!$M784),ISNUMBER('자료_한국심리'!$N784)),'자료_한국심리'!$M784,"")</f>
        <v/>
      </c>
    </row>
    <row r="801">
      <c r="A801" s="10">
        <f>IF(783&gt;$E$5,"",SMALL($U$19:$U$4018,$E$6+783))</f>
        <v/>
      </c>
      <c r="B801" s="29">
        <f>IF(A801="","",INDEX('자료_한국심리'!$B$3:$B$4002,MATCH(A801,$U$19:$U$4018,0)))</f>
        <v/>
      </c>
      <c r="C801" s="22">
        <f>IF(A801="","",B801/AVERAGE(B677:B801)-1)</f>
        <v/>
      </c>
      <c r="D801" s="29">
        <f>IF(A801="","",IFERROR(INDEX('자료_한국심리'!$E$3:$E$4002,MATCH(A801,$V$19:$V$4018,0)),D800))</f>
        <v/>
      </c>
      <c r="E801" s="30">
        <f>IF(A801="","",IFERROR(INDEX('자료_한국심리'!$H$3:$H$4002,MATCH(A801,$W$19:$W$4018,0)),E800))</f>
        <v/>
      </c>
      <c r="F801" s="30">
        <f>IF(A801="","",IFERROR(INDEX('자료_한국심리'!$K$3:$K$4002,MATCH(A801,$X$19:$X$4018,0)),F800))</f>
        <v/>
      </c>
      <c r="G801" s="30">
        <f>IF(AND(ISNUMBER(E801),ISNUMBER(F801)),ROUND(E801-F801,6),"")</f>
        <v/>
      </c>
      <c r="H801" s="25">
        <f>IF(A801="","",IFERROR(INDEX('자료_한국심리'!$N$3:$N$4002,MATCH(A801,$Y$19:$Y$4018,0)),H800))</f>
        <v/>
      </c>
      <c r="I801" s="31">
        <f>IF(AND(ISNUMBER(H801),ISNUMBER(H781)),IF(H781&gt;0,H801/H781-1,""),"")</f>
        <v/>
      </c>
      <c r="J801">
        <f>IF(A801="",0,IF(A801&gt;$B$5,1,0))</f>
        <v/>
      </c>
      <c r="K801" s="29">
        <f>IF(AND(J801=1,ISNUMBER(D801)),D801,"")</f>
        <v/>
      </c>
      <c r="L801" s="30">
        <f>IF(AND(J801=1,ISNUMBER(G801)),G801,"")</f>
        <v/>
      </c>
      <c r="M801" s="22">
        <f>IF(AND(J801=1,ISNUMBER(C801)),C801,"")</f>
        <v/>
      </c>
      <c r="N801" s="31">
        <f>IF(AND(J801=1,ISNUMBER(I801)),I801,"")</f>
        <v/>
      </c>
      <c r="O801" s="11">
        <f>IF(K801="","",100-IF($G$13=1,50,(_xlfn.RANK.AVG(K801,$K$19:$K$1518,1)-1)/($G$13-1)*100))</f>
        <v/>
      </c>
      <c r="P801" s="11">
        <f>IF(L801="","",100-IF($G$14=1,50,(_xlfn.RANK.AVG(L801,$L$19:$L$1518,1)-1)/($G$14-1)*100))</f>
        <v/>
      </c>
      <c r="Q801" s="11">
        <f>IF(M801="","",IF($G$15=1,50,(_xlfn.RANK.AVG(M801,$M$19:$M$1518,1)-1)/($G$15-1)*100))</f>
        <v/>
      </c>
      <c r="R801" s="11">
        <f>IF(N801="","",IF($G$16=1,50,(_xlfn.RANK.AVG(N801,$N$19:$N$1518,1)-1)/($G$16-1)*100))</f>
        <v/>
      </c>
      <c r="S801" s="11">
        <f>IF(COUNT(O801:R801)=4,ROUND(AVERAGE(O801:R801),6),"")</f>
        <v/>
      </c>
      <c r="U801">
        <f>IF(AND(ISNUMBER('자료_한국심리'!$A785),ISNUMBER('자료_한국심리'!$B785)),'자료_한국심리'!$A785,"")</f>
        <v/>
      </c>
      <c r="V801">
        <f>IF(AND(ISNUMBER('자료_한국심리'!$D785),ISNUMBER('자료_한국심리'!$E785)),'자료_한국심리'!$D785,"")</f>
        <v/>
      </c>
      <c r="W801">
        <f>IF(AND(ISNUMBER('자료_한국심리'!$G785),ISNUMBER('자료_한국심리'!$H785)),'자료_한국심리'!$G785,"")</f>
        <v/>
      </c>
      <c r="X801">
        <f>IF(AND(ISNUMBER('자료_한국심리'!$J785),ISNUMBER('자료_한국심리'!$K785)),'자료_한국심리'!$J785,"")</f>
        <v/>
      </c>
      <c r="Y801">
        <f>IF(AND(ISNUMBER('자료_한국심리'!$M785),ISNUMBER('자료_한국심리'!$N785)),'자료_한국심리'!$M785,"")</f>
        <v/>
      </c>
    </row>
    <row r="802">
      <c r="A802" s="10">
        <f>IF(784&gt;$E$5,"",SMALL($U$19:$U$4018,$E$6+784))</f>
        <v/>
      </c>
      <c r="B802" s="29">
        <f>IF(A802="","",INDEX('자료_한국심리'!$B$3:$B$4002,MATCH(A802,$U$19:$U$4018,0)))</f>
        <v/>
      </c>
      <c r="C802" s="22">
        <f>IF(A802="","",B802/AVERAGE(B678:B802)-1)</f>
        <v/>
      </c>
      <c r="D802" s="29">
        <f>IF(A802="","",IFERROR(INDEX('자료_한국심리'!$E$3:$E$4002,MATCH(A802,$V$19:$V$4018,0)),D801))</f>
        <v/>
      </c>
      <c r="E802" s="30">
        <f>IF(A802="","",IFERROR(INDEX('자료_한국심리'!$H$3:$H$4002,MATCH(A802,$W$19:$W$4018,0)),E801))</f>
        <v/>
      </c>
      <c r="F802" s="30">
        <f>IF(A802="","",IFERROR(INDEX('자료_한국심리'!$K$3:$K$4002,MATCH(A802,$X$19:$X$4018,0)),F801))</f>
        <v/>
      </c>
      <c r="G802" s="30">
        <f>IF(AND(ISNUMBER(E802),ISNUMBER(F802)),ROUND(E802-F802,6),"")</f>
        <v/>
      </c>
      <c r="H802" s="25">
        <f>IF(A802="","",IFERROR(INDEX('자료_한국심리'!$N$3:$N$4002,MATCH(A802,$Y$19:$Y$4018,0)),H801))</f>
        <v/>
      </c>
      <c r="I802" s="31">
        <f>IF(AND(ISNUMBER(H802),ISNUMBER(H782)),IF(H782&gt;0,H802/H782-1,""),"")</f>
        <v/>
      </c>
      <c r="J802">
        <f>IF(A802="",0,IF(A802&gt;$B$5,1,0))</f>
        <v/>
      </c>
      <c r="K802" s="29">
        <f>IF(AND(J802=1,ISNUMBER(D802)),D802,"")</f>
        <v/>
      </c>
      <c r="L802" s="30">
        <f>IF(AND(J802=1,ISNUMBER(G802)),G802,"")</f>
        <v/>
      </c>
      <c r="M802" s="22">
        <f>IF(AND(J802=1,ISNUMBER(C802)),C802,"")</f>
        <v/>
      </c>
      <c r="N802" s="31">
        <f>IF(AND(J802=1,ISNUMBER(I802)),I802,"")</f>
        <v/>
      </c>
      <c r="O802" s="11">
        <f>IF(K802="","",100-IF($G$13=1,50,(_xlfn.RANK.AVG(K802,$K$19:$K$1518,1)-1)/($G$13-1)*100))</f>
        <v/>
      </c>
      <c r="P802" s="11">
        <f>IF(L802="","",100-IF($G$14=1,50,(_xlfn.RANK.AVG(L802,$L$19:$L$1518,1)-1)/($G$14-1)*100))</f>
        <v/>
      </c>
      <c r="Q802" s="11">
        <f>IF(M802="","",IF($G$15=1,50,(_xlfn.RANK.AVG(M802,$M$19:$M$1518,1)-1)/($G$15-1)*100))</f>
        <v/>
      </c>
      <c r="R802" s="11">
        <f>IF(N802="","",IF($G$16=1,50,(_xlfn.RANK.AVG(N802,$N$19:$N$1518,1)-1)/($G$16-1)*100))</f>
        <v/>
      </c>
      <c r="S802" s="11">
        <f>IF(COUNT(O802:R802)=4,ROUND(AVERAGE(O802:R802),6),"")</f>
        <v/>
      </c>
      <c r="U802">
        <f>IF(AND(ISNUMBER('자료_한국심리'!$A786),ISNUMBER('자료_한국심리'!$B786)),'자료_한국심리'!$A786,"")</f>
        <v/>
      </c>
      <c r="V802">
        <f>IF(AND(ISNUMBER('자료_한국심리'!$D786),ISNUMBER('자료_한국심리'!$E786)),'자료_한국심리'!$D786,"")</f>
        <v/>
      </c>
      <c r="W802">
        <f>IF(AND(ISNUMBER('자료_한국심리'!$G786),ISNUMBER('자료_한국심리'!$H786)),'자료_한국심리'!$G786,"")</f>
        <v/>
      </c>
      <c r="X802">
        <f>IF(AND(ISNUMBER('자료_한국심리'!$J786),ISNUMBER('자료_한국심리'!$K786)),'자료_한국심리'!$J786,"")</f>
        <v/>
      </c>
      <c r="Y802">
        <f>IF(AND(ISNUMBER('자료_한국심리'!$M786),ISNUMBER('자료_한국심리'!$N786)),'자료_한국심리'!$M786,"")</f>
        <v/>
      </c>
    </row>
    <row r="803">
      <c r="A803" s="10">
        <f>IF(785&gt;$E$5,"",SMALL($U$19:$U$4018,$E$6+785))</f>
        <v/>
      </c>
      <c r="B803" s="29">
        <f>IF(A803="","",INDEX('자료_한국심리'!$B$3:$B$4002,MATCH(A803,$U$19:$U$4018,0)))</f>
        <v/>
      </c>
      <c r="C803" s="22">
        <f>IF(A803="","",B803/AVERAGE(B679:B803)-1)</f>
        <v/>
      </c>
      <c r="D803" s="29">
        <f>IF(A803="","",IFERROR(INDEX('자료_한국심리'!$E$3:$E$4002,MATCH(A803,$V$19:$V$4018,0)),D802))</f>
        <v/>
      </c>
      <c r="E803" s="30">
        <f>IF(A803="","",IFERROR(INDEX('자료_한국심리'!$H$3:$H$4002,MATCH(A803,$W$19:$W$4018,0)),E802))</f>
        <v/>
      </c>
      <c r="F803" s="30">
        <f>IF(A803="","",IFERROR(INDEX('자료_한국심리'!$K$3:$K$4002,MATCH(A803,$X$19:$X$4018,0)),F802))</f>
        <v/>
      </c>
      <c r="G803" s="30">
        <f>IF(AND(ISNUMBER(E803),ISNUMBER(F803)),ROUND(E803-F803,6),"")</f>
        <v/>
      </c>
      <c r="H803" s="25">
        <f>IF(A803="","",IFERROR(INDEX('자료_한국심리'!$N$3:$N$4002,MATCH(A803,$Y$19:$Y$4018,0)),H802))</f>
        <v/>
      </c>
      <c r="I803" s="31">
        <f>IF(AND(ISNUMBER(H803),ISNUMBER(H783)),IF(H783&gt;0,H803/H783-1,""),"")</f>
        <v/>
      </c>
      <c r="J803">
        <f>IF(A803="",0,IF(A803&gt;$B$5,1,0))</f>
        <v/>
      </c>
      <c r="K803" s="29">
        <f>IF(AND(J803=1,ISNUMBER(D803)),D803,"")</f>
        <v/>
      </c>
      <c r="L803" s="30">
        <f>IF(AND(J803=1,ISNUMBER(G803)),G803,"")</f>
        <v/>
      </c>
      <c r="M803" s="22">
        <f>IF(AND(J803=1,ISNUMBER(C803)),C803,"")</f>
        <v/>
      </c>
      <c r="N803" s="31">
        <f>IF(AND(J803=1,ISNUMBER(I803)),I803,"")</f>
        <v/>
      </c>
      <c r="O803" s="11">
        <f>IF(K803="","",100-IF($G$13=1,50,(_xlfn.RANK.AVG(K803,$K$19:$K$1518,1)-1)/($G$13-1)*100))</f>
        <v/>
      </c>
      <c r="P803" s="11">
        <f>IF(L803="","",100-IF($G$14=1,50,(_xlfn.RANK.AVG(L803,$L$19:$L$1518,1)-1)/($G$14-1)*100))</f>
        <v/>
      </c>
      <c r="Q803" s="11">
        <f>IF(M803="","",IF($G$15=1,50,(_xlfn.RANK.AVG(M803,$M$19:$M$1518,1)-1)/($G$15-1)*100))</f>
        <v/>
      </c>
      <c r="R803" s="11">
        <f>IF(N803="","",IF($G$16=1,50,(_xlfn.RANK.AVG(N803,$N$19:$N$1518,1)-1)/($G$16-1)*100))</f>
        <v/>
      </c>
      <c r="S803" s="11">
        <f>IF(COUNT(O803:R803)=4,ROUND(AVERAGE(O803:R803),6),"")</f>
        <v/>
      </c>
      <c r="U803">
        <f>IF(AND(ISNUMBER('자료_한국심리'!$A787),ISNUMBER('자료_한국심리'!$B787)),'자료_한국심리'!$A787,"")</f>
        <v/>
      </c>
      <c r="V803">
        <f>IF(AND(ISNUMBER('자료_한국심리'!$D787),ISNUMBER('자료_한국심리'!$E787)),'자료_한국심리'!$D787,"")</f>
        <v/>
      </c>
      <c r="W803">
        <f>IF(AND(ISNUMBER('자료_한국심리'!$G787),ISNUMBER('자료_한국심리'!$H787)),'자료_한국심리'!$G787,"")</f>
        <v/>
      </c>
      <c r="X803">
        <f>IF(AND(ISNUMBER('자료_한국심리'!$J787),ISNUMBER('자료_한국심리'!$K787)),'자료_한국심리'!$J787,"")</f>
        <v/>
      </c>
      <c r="Y803">
        <f>IF(AND(ISNUMBER('자료_한국심리'!$M787),ISNUMBER('자료_한국심리'!$N787)),'자료_한국심리'!$M787,"")</f>
        <v/>
      </c>
    </row>
    <row r="804">
      <c r="A804" s="10">
        <f>IF(786&gt;$E$5,"",SMALL($U$19:$U$4018,$E$6+786))</f>
        <v/>
      </c>
      <c r="B804" s="29">
        <f>IF(A804="","",INDEX('자료_한국심리'!$B$3:$B$4002,MATCH(A804,$U$19:$U$4018,0)))</f>
        <v/>
      </c>
      <c r="C804" s="22">
        <f>IF(A804="","",B804/AVERAGE(B680:B804)-1)</f>
        <v/>
      </c>
      <c r="D804" s="29">
        <f>IF(A804="","",IFERROR(INDEX('자료_한국심리'!$E$3:$E$4002,MATCH(A804,$V$19:$V$4018,0)),D803))</f>
        <v/>
      </c>
      <c r="E804" s="30">
        <f>IF(A804="","",IFERROR(INDEX('자료_한국심리'!$H$3:$H$4002,MATCH(A804,$W$19:$W$4018,0)),E803))</f>
        <v/>
      </c>
      <c r="F804" s="30">
        <f>IF(A804="","",IFERROR(INDEX('자료_한국심리'!$K$3:$K$4002,MATCH(A804,$X$19:$X$4018,0)),F803))</f>
        <v/>
      </c>
      <c r="G804" s="30">
        <f>IF(AND(ISNUMBER(E804),ISNUMBER(F804)),ROUND(E804-F804,6),"")</f>
        <v/>
      </c>
      <c r="H804" s="25">
        <f>IF(A804="","",IFERROR(INDEX('자료_한국심리'!$N$3:$N$4002,MATCH(A804,$Y$19:$Y$4018,0)),H803))</f>
        <v/>
      </c>
      <c r="I804" s="31">
        <f>IF(AND(ISNUMBER(H804),ISNUMBER(H784)),IF(H784&gt;0,H804/H784-1,""),"")</f>
        <v/>
      </c>
      <c r="J804">
        <f>IF(A804="",0,IF(A804&gt;$B$5,1,0))</f>
        <v/>
      </c>
      <c r="K804" s="29">
        <f>IF(AND(J804=1,ISNUMBER(D804)),D804,"")</f>
        <v/>
      </c>
      <c r="L804" s="30">
        <f>IF(AND(J804=1,ISNUMBER(G804)),G804,"")</f>
        <v/>
      </c>
      <c r="M804" s="22">
        <f>IF(AND(J804=1,ISNUMBER(C804)),C804,"")</f>
        <v/>
      </c>
      <c r="N804" s="31">
        <f>IF(AND(J804=1,ISNUMBER(I804)),I804,"")</f>
        <v/>
      </c>
      <c r="O804" s="11">
        <f>IF(K804="","",100-IF($G$13=1,50,(_xlfn.RANK.AVG(K804,$K$19:$K$1518,1)-1)/($G$13-1)*100))</f>
        <v/>
      </c>
      <c r="P804" s="11">
        <f>IF(L804="","",100-IF($G$14=1,50,(_xlfn.RANK.AVG(L804,$L$19:$L$1518,1)-1)/($G$14-1)*100))</f>
        <v/>
      </c>
      <c r="Q804" s="11">
        <f>IF(M804="","",IF($G$15=1,50,(_xlfn.RANK.AVG(M804,$M$19:$M$1518,1)-1)/($G$15-1)*100))</f>
        <v/>
      </c>
      <c r="R804" s="11">
        <f>IF(N804="","",IF($G$16=1,50,(_xlfn.RANK.AVG(N804,$N$19:$N$1518,1)-1)/($G$16-1)*100))</f>
        <v/>
      </c>
      <c r="S804" s="11">
        <f>IF(COUNT(O804:R804)=4,ROUND(AVERAGE(O804:R804),6),"")</f>
        <v/>
      </c>
      <c r="U804">
        <f>IF(AND(ISNUMBER('자료_한국심리'!$A788),ISNUMBER('자료_한국심리'!$B788)),'자료_한국심리'!$A788,"")</f>
        <v/>
      </c>
      <c r="V804">
        <f>IF(AND(ISNUMBER('자료_한국심리'!$D788),ISNUMBER('자료_한국심리'!$E788)),'자료_한국심리'!$D788,"")</f>
        <v/>
      </c>
      <c r="W804">
        <f>IF(AND(ISNUMBER('자료_한국심리'!$G788),ISNUMBER('자료_한국심리'!$H788)),'자료_한국심리'!$G788,"")</f>
        <v/>
      </c>
      <c r="X804">
        <f>IF(AND(ISNUMBER('자료_한국심리'!$J788),ISNUMBER('자료_한국심리'!$K788)),'자료_한국심리'!$J788,"")</f>
        <v/>
      </c>
      <c r="Y804">
        <f>IF(AND(ISNUMBER('자료_한국심리'!$M788),ISNUMBER('자료_한국심리'!$N788)),'자료_한국심리'!$M788,"")</f>
        <v/>
      </c>
    </row>
    <row r="805">
      <c r="A805" s="10">
        <f>IF(787&gt;$E$5,"",SMALL($U$19:$U$4018,$E$6+787))</f>
        <v/>
      </c>
      <c r="B805" s="29">
        <f>IF(A805="","",INDEX('자료_한국심리'!$B$3:$B$4002,MATCH(A805,$U$19:$U$4018,0)))</f>
        <v/>
      </c>
      <c r="C805" s="22">
        <f>IF(A805="","",B805/AVERAGE(B681:B805)-1)</f>
        <v/>
      </c>
      <c r="D805" s="29">
        <f>IF(A805="","",IFERROR(INDEX('자료_한국심리'!$E$3:$E$4002,MATCH(A805,$V$19:$V$4018,0)),D804))</f>
        <v/>
      </c>
      <c r="E805" s="30">
        <f>IF(A805="","",IFERROR(INDEX('자료_한국심리'!$H$3:$H$4002,MATCH(A805,$W$19:$W$4018,0)),E804))</f>
        <v/>
      </c>
      <c r="F805" s="30">
        <f>IF(A805="","",IFERROR(INDEX('자료_한국심리'!$K$3:$K$4002,MATCH(A805,$X$19:$X$4018,0)),F804))</f>
        <v/>
      </c>
      <c r="G805" s="30">
        <f>IF(AND(ISNUMBER(E805),ISNUMBER(F805)),ROUND(E805-F805,6),"")</f>
        <v/>
      </c>
      <c r="H805" s="25">
        <f>IF(A805="","",IFERROR(INDEX('자료_한국심리'!$N$3:$N$4002,MATCH(A805,$Y$19:$Y$4018,0)),H804))</f>
        <v/>
      </c>
      <c r="I805" s="31">
        <f>IF(AND(ISNUMBER(H805),ISNUMBER(H785)),IF(H785&gt;0,H805/H785-1,""),"")</f>
        <v/>
      </c>
      <c r="J805">
        <f>IF(A805="",0,IF(A805&gt;$B$5,1,0))</f>
        <v/>
      </c>
      <c r="K805" s="29">
        <f>IF(AND(J805=1,ISNUMBER(D805)),D805,"")</f>
        <v/>
      </c>
      <c r="L805" s="30">
        <f>IF(AND(J805=1,ISNUMBER(G805)),G805,"")</f>
        <v/>
      </c>
      <c r="M805" s="22">
        <f>IF(AND(J805=1,ISNUMBER(C805)),C805,"")</f>
        <v/>
      </c>
      <c r="N805" s="31">
        <f>IF(AND(J805=1,ISNUMBER(I805)),I805,"")</f>
        <v/>
      </c>
      <c r="O805" s="11">
        <f>IF(K805="","",100-IF($G$13=1,50,(_xlfn.RANK.AVG(K805,$K$19:$K$1518,1)-1)/($G$13-1)*100))</f>
        <v/>
      </c>
      <c r="P805" s="11">
        <f>IF(L805="","",100-IF($G$14=1,50,(_xlfn.RANK.AVG(L805,$L$19:$L$1518,1)-1)/($G$14-1)*100))</f>
        <v/>
      </c>
      <c r="Q805" s="11">
        <f>IF(M805="","",IF($G$15=1,50,(_xlfn.RANK.AVG(M805,$M$19:$M$1518,1)-1)/($G$15-1)*100))</f>
        <v/>
      </c>
      <c r="R805" s="11">
        <f>IF(N805="","",IF($G$16=1,50,(_xlfn.RANK.AVG(N805,$N$19:$N$1518,1)-1)/($G$16-1)*100))</f>
        <v/>
      </c>
      <c r="S805" s="11">
        <f>IF(COUNT(O805:R805)=4,ROUND(AVERAGE(O805:R805),6),"")</f>
        <v/>
      </c>
      <c r="U805">
        <f>IF(AND(ISNUMBER('자료_한국심리'!$A789),ISNUMBER('자료_한국심리'!$B789)),'자료_한국심리'!$A789,"")</f>
        <v/>
      </c>
      <c r="V805">
        <f>IF(AND(ISNUMBER('자료_한국심리'!$D789),ISNUMBER('자료_한국심리'!$E789)),'자료_한국심리'!$D789,"")</f>
        <v/>
      </c>
      <c r="W805">
        <f>IF(AND(ISNUMBER('자료_한국심리'!$G789),ISNUMBER('자료_한국심리'!$H789)),'자료_한국심리'!$G789,"")</f>
        <v/>
      </c>
      <c r="X805">
        <f>IF(AND(ISNUMBER('자료_한국심리'!$J789),ISNUMBER('자료_한국심리'!$K789)),'자료_한국심리'!$J789,"")</f>
        <v/>
      </c>
      <c r="Y805">
        <f>IF(AND(ISNUMBER('자료_한국심리'!$M789),ISNUMBER('자료_한국심리'!$N789)),'자료_한국심리'!$M789,"")</f>
        <v/>
      </c>
    </row>
    <row r="806">
      <c r="A806" s="10">
        <f>IF(788&gt;$E$5,"",SMALL($U$19:$U$4018,$E$6+788))</f>
        <v/>
      </c>
      <c r="B806" s="29">
        <f>IF(A806="","",INDEX('자료_한국심리'!$B$3:$B$4002,MATCH(A806,$U$19:$U$4018,0)))</f>
        <v/>
      </c>
      <c r="C806" s="22">
        <f>IF(A806="","",B806/AVERAGE(B682:B806)-1)</f>
        <v/>
      </c>
      <c r="D806" s="29">
        <f>IF(A806="","",IFERROR(INDEX('자료_한국심리'!$E$3:$E$4002,MATCH(A806,$V$19:$V$4018,0)),D805))</f>
        <v/>
      </c>
      <c r="E806" s="30">
        <f>IF(A806="","",IFERROR(INDEX('자료_한국심리'!$H$3:$H$4002,MATCH(A806,$W$19:$W$4018,0)),E805))</f>
        <v/>
      </c>
      <c r="F806" s="30">
        <f>IF(A806="","",IFERROR(INDEX('자료_한국심리'!$K$3:$K$4002,MATCH(A806,$X$19:$X$4018,0)),F805))</f>
        <v/>
      </c>
      <c r="G806" s="30">
        <f>IF(AND(ISNUMBER(E806),ISNUMBER(F806)),ROUND(E806-F806,6),"")</f>
        <v/>
      </c>
      <c r="H806" s="25">
        <f>IF(A806="","",IFERROR(INDEX('자료_한국심리'!$N$3:$N$4002,MATCH(A806,$Y$19:$Y$4018,0)),H805))</f>
        <v/>
      </c>
      <c r="I806" s="31">
        <f>IF(AND(ISNUMBER(H806),ISNUMBER(H786)),IF(H786&gt;0,H806/H786-1,""),"")</f>
        <v/>
      </c>
      <c r="J806">
        <f>IF(A806="",0,IF(A806&gt;$B$5,1,0))</f>
        <v/>
      </c>
      <c r="K806" s="29">
        <f>IF(AND(J806=1,ISNUMBER(D806)),D806,"")</f>
        <v/>
      </c>
      <c r="L806" s="30">
        <f>IF(AND(J806=1,ISNUMBER(G806)),G806,"")</f>
        <v/>
      </c>
      <c r="M806" s="22">
        <f>IF(AND(J806=1,ISNUMBER(C806)),C806,"")</f>
        <v/>
      </c>
      <c r="N806" s="31">
        <f>IF(AND(J806=1,ISNUMBER(I806)),I806,"")</f>
        <v/>
      </c>
      <c r="O806" s="11">
        <f>IF(K806="","",100-IF($G$13=1,50,(_xlfn.RANK.AVG(K806,$K$19:$K$1518,1)-1)/($G$13-1)*100))</f>
        <v/>
      </c>
      <c r="P806" s="11">
        <f>IF(L806="","",100-IF($G$14=1,50,(_xlfn.RANK.AVG(L806,$L$19:$L$1518,1)-1)/($G$14-1)*100))</f>
        <v/>
      </c>
      <c r="Q806" s="11">
        <f>IF(M806="","",IF($G$15=1,50,(_xlfn.RANK.AVG(M806,$M$19:$M$1518,1)-1)/($G$15-1)*100))</f>
        <v/>
      </c>
      <c r="R806" s="11">
        <f>IF(N806="","",IF($G$16=1,50,(_xlfn.RANK.AVG(N806,$N$19:$N$1518,1)-1)/($G$16-1)*100))</f>
        <v/>
      </c>
      <c r="S806" s="11">
        <f>IF(COUNT(O806:R806)=4,ROUND(AVERAGE(O806:R806),6),"")</f>
        <v/>
      </c>
      <c r="U806">
        <f>IF(AND(ISNUMBER('자료_한국심리'!$A790),ISNUMBER('자료_한국심리'!$B790)),'자료_한국심리'!$A790,"")</f>
        <v/>
      </c>
      <c r="V806">
        <f>IF(AND(ISNUMBER('자료_한국심리'!$D790),ISNUMBER('자료_한국심리'!$E790)),'자료_한국심리'!$D790,"")</f>
        <v/>
      </c>
      <c r="W806">
        <f>IF(AND(ISNUMBER('자료_한국심리'!$G790),ISNUMBER('자료_한국심리'!$H790)),'자료_한국심리'!$G790,"")</f>
        <v/>
      </c>
      <c r="X806">
        <f>IF(AND(ISNUMBER('자료_한국심리'!$J790),ISNUMBER('자료_한국심리'!$K790)),'자료_한국심리'!$J790,"")</f>
        <v/>
      </c>
      <c r="Y806">
        <f>IF(AND(ISNUMBER('자료_한국심리'!$M790),ISNUMBER('자료_한국심리'!$N790)),'자료_한국심리'!$M790,"")</f>
        <v/>
      </c>
    </row>
    <row r="807">
      <c r="A807" s="10">
        <f>IF(789&gt;$E$5,"",SMALL($U$19:$U$4018,$E$6+789))</f>
        <v/>
      </c>
      <c r="B807" s="29">
        <f>IF(A807="","",INDEX('자료_한국심리'!$B$3:$B$4002,MATCH(A807,$U$19:$U$4018,0)))</f>
        <v/>
      </c>
      <c r="C807" s="22">
        <f>IF(A807="","",B807/AVERAGE(B683:B807)-1)</f>
        <v/>
      </c>
      <c r="D807" s="29">
        <f>IF(A807="","",IFERROR(INDEX('자료_한국심리'!$E$3:$E$4002,MATCH(A807,$V$19:$V$4018,0)),D806))</f>
        <v/>
      </c>
      <c r="E807" s="30">
        <f>IF(A807="","",IFERROR(INDEX('자료_한국심리'!$H$3:$H$4002,MATCH(A807,$W$19:$W$4018,0)),E806))</f>
        <v/>
      </c>
      <c r="F807" s="30">
        <f>IF(A807="","",IFERROR(INDEX('자료_한국심리'!$K$3:$K$4002,MATCH(A807,$X$19:$X$4018,0)),F806))</f>
        <v/>
      </c>
      <c r="G807" s="30">
        <f>IF(AND(ISNUMBER(E807),ISNUMBER(F807)),ROUND(E807-F807,6),"")</f>
        <v/>
      </c>
      <c r="H807" s="25">
        <f>IF(A807="","",IFERROR(INDEX('자료_한국심리'!$N$3:$N$4002,MATCH(A807,$Y$19:$Y$4018,0)),H806))</f>
        <v/>
      </c>
      <c r="I807" s="31">
        <f>IF(AND(ISNUMBER(H807),ISNUMBER(H787)),IF(H787&gt;0,H807/H787-1,""),"")</f>
        <v/>
      </c>
      <c r="J807">
        <f>IF(A807="",0,IF(A807&gt;$B$5,1,0))</f>
        <v/>
      </c>
      <c r="K807" s="29">
        <f>IF(AND(J807=1,ISNUMBER(D807)),D807,"")</f>
        <v/>
      </c>
      <c r="L807" s="30">
        <f>IF(AND(J807=1,ISNUMBER(G807)),G807,"")</f>
        <v/>
      </c>
      <c r="M807" s="22">
        <f>IF(AND(J807=1,ISNUMBER(C807)),C807,"")</f>
        <v/>
      </c>
      <c r="N807" s="31">
        <f>IF(AND(J807=1,ISNUMBER(I807)),I807,"")</f>
        <v/>
      </c>
      <c r="O807" s="11">
        <f>IF(K807="","",100-IF($G$13=1,50,(_xlfn.RANK.AVG(K807,$K$19:$K$1518,1)-1)/($G$13-1)*100))</f>
        <v/>
      </c>
      <c r="P807" s="11">
        <f>IF(L807="","",100-IF($G$14=1,50,(_xlfn.RANK.AVG(L807,$L$19:$L$1518,1)-1)/($G$14-1)*100))</f>
        <v/>
      </c>
      <c r="Q807" s="11">
        <f>IF(M807="","",IF($G$15=1,50,(_xlfn.RANK.AVG(M807,$M$19:$M$1518,1)-1)/($G$15-1)*100))</f>
        <v/>
      </c>
      <c r="R807" s="11">
        <f>IF(N807="","",IF($G$16=1,50,(_xlfn.RANK.AVG(N807,$N$19:$N$1518,1)-1)/($G$16-1)*100))</f>
        <v/>
      </c>
      <c r="S807" s="11">
        <f>IF(COUNT(O807:R807)=4,ROUND(AVERAGE(O807:R807),6),"")</f>
        <v/>
      </c>
      <c r="U807">
        <f>IF(AND(ISNUMBER('자료_한국심리'!$A791),ISNUMBER('자료_한국심리'!$B791)),'자료_한국심리'!$A791,"")</f>
        <v/>
      </c>
      <c r="V807">
        <f>IF(AND(ISNUMBER('자료_한국심리'!$D791),ISNUMBER('자료_한국심리'!$E791)),'자료_한국심리'!$D791,"")</f>
        <v/>
      </c>
      <c r="W807">
        <f>IF(AND(ISNUMBER('자료_한국심리'!$G791),ISNUMBER('자료_한국심리'!$H791)),'자료_한국심리'!$G791,"")</f>
        <v/>
      </c>
      <c r="X807">
        <f>IF(AND(ISNUMBER('자료_한국심리'!$J791),ISNUMBER('자료_한국심리'!$K791)),'자료_한국심리'!$J791,"")</f>
        <v/>
      </c>
      <c r="Y807">
        <f>IF(AND(ISNUMBER('자료_한국심리'!$M791),ISNUMBER('자료_한국심리'!$N791)),'자료_한국심리'!$M791,"")</f>
        <v/>
      </c>
    </row>
    <row r="808">
      <c r="A808" s="10">
        <f>IF(790&gt;$E$5,"",SMALL($U$19:$U$4018,$E$6+790))</f>
        <v/>
      </c>
      <c r="B808" s="29">
        <f>IF(A808="","",INDEX('자료_한국심리'!$B$3:$B$4002,MATCH(A808,$U$19:$U$4018,0)))</f>
        <v/>
      </c>
      <c r="C808" s="22">
        <f>IF(A808="","",B808/AVERAGE(B684:B808)-1)</f>
        <v/>
      </c>
      <c r="D808" s="29">
        <f>IF(A808="","",IFERROR(INDEX('자료_한국심리'!$E$3:$E$4002,MATCH(A808,$V$19:$V$4018,0)),D807))</f>
        <v/>
      </c>
      <c r="E808" s="30">
        <f>IF(A808="","",IFERROR(INDEX('자료_한국심리'!$H$3:$H$4002,MATCH(A808,$W$19:$W$4018,0)),E807))</f>
        <v/>
      </c>
      <c r="F808" s="30">
        <f>IF(A808="","",IFERROR(INDEX('자료_한국심리'!$K$3:$K$4002,MATCH(A808,$X$19:$X$4018,0)),F807))</f>
        <v/>
      </c>
      <c r="G808" s="30">
        <f>IF(AND(ISNUMBER(E808),ISNUMBER(F808)),ROUND(E808-F808,6),"")</f>
        <v/>
      </c>
      <c r="H808" s="25">
        <f>IF(A808="","",IFERROR(INDEX('자료_한국심리'!$N$3:$N$4002,MATCH(A808,$Y$19:$Y$4018,0)),H807))</f>
        <v/>
      </c>
      <c r="I808" s="31">
        <f>IF(AND(ISNUMBER(H808),ISNUMBER(H788)),IF(H788&gt;0,H808/H788-1,""),"")</f>
        <v/>
      </c>
      <c r="J808">
        <f>IF(A808="",0,IF(A808&gt;$B$5,1,0))</f>
        <v/>
      </c>
      <c r="K808" s="29">
        <f>IF(AND(J808=1,ISNUMBER(D808)),D808,"")</f>
        <v/>
      </c>
      <c r="L808" s="30">
        <f>IF(AND(J808=1,ISNUMBER(G808)),G808,"")</f>
        <v/>
      </c>
      <c r="M808" s="22">
        <f>IF(AND(J808=1,ISNUMBER(C808)),C808,"")</f>
        <v/>
      </c>
      <c r="N808" s="31">
        <f>IF(AND(J808=1,ISNUMBER(I808)),I808,"")</f>
        <v/>
      </c>
      <c r="O808" s="11">
        <f>IF(K808="","",100-IF($G$13=1,50,(_xlfn.RANK.AVG(K808,$K$19:$K$1518,1)-1)/($G$13-1)*100))</f>
        <v/>
      </c>
      <c r="P808" s="11">
        <f>IF(L808="","",100-IF($G$14=1,50,(_xlfn.RANK.AVG(L808,$L$19:$L$1518,1)-1)/($G$14-1)*100))</f>
        <v/>
      </c>
      <c r="Q808" s="11">
        <f>IF(M808="","",IF($G$15=1,50,(_xlfn.RANK.AVG(M808,$M$19:$M$1518,1)-1)/($G$15-1)*100))</f>
        <v/>
      </c>
      <c r="R808" s="11">
        <f>IF(N808="","",IF($G$16=1,50,(_xlfn.RANK.AVG(N808,$N$19:$N$1518,1)-1)/($G$16-1)*100))</f>
        <v/>
      </c>
      <c r="S808" s="11">
        <f>IF(COUNT(O808:R808)=4,ROUND(AVERAGE(O808:R808),6),"")</f>
        <v/>
      </c>
      <c r="U808">
        <f>IF(AND(ISNUMBER('자료_한국심리'!$A792),ISNUMBER('자료_한국심리'!$B792)),'자료_한국심리'!$A792,"")</f>
        <v/>
      </c>
      <c r="V808">
        <f>IF(AND(ISNUMBER('자료_한국심리'!$D792),ISNUMBER('자료_한국심리'!$E792)),'자료_한국심리'!$D792,"")</f>
        <v/>
      </c>
      <c r="W808">
        <f>IF(AND(ISNUMBER('자료_한국심리'!$G792),ISNUMBER('자료_한국심리'!$H792)),'자료_한국심리'!$G792,"")</f>
        <v/>
      </c>
      <c r="X808">
        <f>IF(AND(ISNUMBER('자료_한국심리'!$J792),ISNUMBER('자료_한국심리'!$K792)),'자료_한국심리'!$J792,"")</f>
        <v/>
      </c>
      <c r="Y808">
        <f>IF(AND(ISNUMBER('자료_한국심리'!$M792),ISNUMBER('자료_한국심리'!$N792)),'자료_한국심리'!$M792,"")</f>
        <v/>
      </c>
    </row>
    <row r="809">
      <c r="A809" s="10">
        <f>IF(791&gt;$E$5,"",SMALL($U$19:$U$4018,$E$6+791))</f>
        <v/>
      </c>
      <c r="B809" s="29">
        <f>IF(A809="","",INDEX('자료_한국심리'!$B$3:$B$4002,MATCH(A809,$U$19:$U$4018,0)))</f>
        <v/>
      </c>
      <c r="C809" s="22">
        <f>IF(A809="","",B809/AVERAGE(B685:B809)-1)</f>
        <v/>
      </c>
      <c r="D809" s="29">
        <f>IF(A809="","",IFERROR(INDEX('자료_한국심리'!$E$3:$E$4002,MATCH(A809,$V$19:$V$4018,0)),D808))</f>
        <v/>
      </c>
      <c r="E809" s="30">
        <f>IF(A809="","",IFERROR(INDEX('자료_한국심리'!$H$3:$H$4002,MATCH(A809,$W$19:$W$4018,0)),E808))</f>
        <v/>
      </c>
      <c r="F809" s="30">
        <f>IF(A809="","",IFERROR(INDEX('자료_한국심리'!$K$3:$K$4002,MATCH(A809,$X$19:$X$4018,0)),F808))</f>
        <v/>
      </c>
      <c r="G809" s="30">
        <f>IF(AND(ISNUMBER(E809),ISNUMBER(F809)),ROUND(E809-F809,6),"")</f>
        <v/>
      </c>
      <c r="H809" s="25">
        <f>IF(A809="","",IFERROR(INDEX('자료_한국심리'!$N$3:$N$4002,MATCH(A809,$Y$19:$Y$4018,0)),H808))</f>
        <v/>
      </c>
      <c r="I809" s="31">
        <f>IF(AND(ISNUMBER(H809),ISNUMBER(H789)),IF(H789&gt;0,H809/H789-1,""),"")</f>
        <v/>
      </c>
      <c r="J809">
        <f>IF(A809="",0,IF(A809&gt;$B$5,1,0))</f>
        <v/>
      </c>
      <c r="K809" s="29">
        <f>IF(AND(J809=1,ISNUMBER(D809)),D809,"")</f>
        <v/>
      </c>
      <c r="L809" s="30">
        <f>IF(AND(J809=1,ISNUMBER(G809)),G809,"")</f>
        <v/>
      </c>
      <c r="M809" s="22">
        <f>IF(AND(J809=1,ISNUMBER(C809)),C809,"")</f>
        <v/>
      </c>
      <c r="N809" s="31">
        <f>IF(AND(J809=1,ISNUMBER(I809)),I809,"")</f>
        <v/>
      </c>
      <c r="O809" s="11">
        <f>IF(K809="","",100-IF($G$13=1,50,(_xlfn.RANK.AVG(K809,$K$19:$K$1518,1)-1)/($G$13-1)*100))</f>
        <v/>
      </c>
      <c r="P809" s="11">
        <f>IF(L809="","",100-IF($G$14=1,50,(_xlfn.RANK.AVG(L809,$L$19:$L$1518,1)-1)/($G$14-1)*100))</f>
        <v/>
      </c>
      <c r="Q809" s="11">
        <f>IF(M809="","",IF($G$15=1,50,(_xlfn.RANK.AVG(M809,$M$19:$M$1518,1)-1)/($G$15-1)*100))</f>
        <v/>
      </c>
      <c r="R809" s="11">
        <f>IF(N809="","",IF($G$16=1,50,(_xlfn.RANK.AVG(N809,$N$19:$N$1518,1)-1)/($G$16-1)*100))</f>
        <v/>
      </c>
      <c r="S809" s="11">
        <f>IF(COUNT(O809:R809)=4,ROUND(AVERAGE(O809:R809),6),"")</f>
        <v/>
      </c>
      <c r="U809">
        <f>IF(AND(ISNUMBER('자료_한국심리'!$A793),ISNUMBER('자료_한국심리'!$B793)),'자료_한국심리'!$A793,"")</f>
        <v/>
      </c>
      <c r="V809">
        <f>IF(AND(ISNUMBER('자료_한국심리'!$D793),ISNUMBER('자료_한국심리'!$E793)),'자료_한국심리'!$D793,"")</f>
        <v/>
      </c>
      <c r="W809">
        <f>IF(AND(ISNUMBER('자료_한국심리'!$G793),ISNUMBER('자료_한국심리'!$H793)),'자료_한국심리'!$G793,"")</f>
        <v/>
      </c>
      <c r="X809">
        <f>IF(AND(ISNUMBER('자료_한국심리'!$J793),ISNUMBER('자료_한국심리'!$K793)),'자료_한국심리'!$J793,"")</f>
        <v/>
      </c>
      <c r="Y809">
        <f>IF(AND(ISNUMBER('자료_한국심리'!$M793),ISNUMBER('자료_한국심리'!$N793)),'자료_한국심리'!$M793,"")</f>
        <v/>
      </c>
    </row>
    <row r="810">
      <c r="A810" s="10">
        <f>IF(792&gt;$E$5,"",SMALL($U$19:$U$4018,$E$6+792))</f>
        <v/>
      </c>
      <c r="B810" s="29">
        <f>IF(A810="","",INDEX('자료_한국심리'!$B$3:$B$4002,MATCH(A810,$U$19:$U$4018,0)))</f>
        <v/>
      </c>
      <c r="C810" s="22">
        <f>IF(A810="","",B810/AVERAGE(B686:B810)-1)</f>
        <v/>
      </c>
      <c r="D810" s="29">
        <f>IF(A810="","",IFERROR(INDEX('자료_한국심리'!$E$3:$E$4002,MATCH(A810,$V$19:$V$4018,0)),D809))</f>
        <v/>
      </c>
      <c r="E810" s="30">
        <f>IF(A810="","",IFERROR(INDEX('자료_한국심리'!$H$3:$H$4002,MATCH(A810,$W$19:$W$4018,0)),E809))</f>
        <v/>
      </c>
      <c r="F810" s="30">
        <f>IF(A810="","",IFERROR(INDEX('자료_한국심리'!$K$3:$K$4002,MATCH(A810,$X$19:$X$4018,0)),F809))</f>
        <v/>
      </c>
      <c r="G810" s="30">
        <f>IF(AND(ISNUMBER(E810),ISNUMBER(F810)),ROUND(E810-F810,6),"")</f>
        <v/>
      </c>
      <c r="H810" s="25">
        <f>IF(A810="","",IFERROR(INDEX('자료_한국심리'!$N$3:$N$4002,MATCH(A810,$Y$19:$Y$4018,0)),H809))</f>
        <v/>
      </c>
      <c r="I810" s="31">
        <f>IF(AND(ISNUMBER(H810),ISNUMBER(H790)),IF(H790&gt;0,H810/H790-1,""),"")</f>
        <v/>
      </c>
      <c r="J810">
        <f>IF(A810="",0,IF(A810&gt;$B$5,1,0))</f>
        <v/>
      </c>
      <c r="K810" s="29">
        <f>IF(AND(J810=1,ISNUMBER(D810)),D810,"")</f>
        <v/>
      </c>
      <c r="L810" s="30">
        <f>IF(AND(J810=1,ISNUMBER(G810)),G810,"")</f>
        <v/>
      </c>
      <c r="M810" s="22">
        <f>IF(AND(J810=1,ISNUMBER(C810)),C810,"")</f>
        <v/>
      </c>
      <c r="N810" s="31">
        <f>IF(AND(J810=1,ISNUMBER(I810)),I810,"")</f>
        <v/>
      </c>
      <c r="O810" s="11">
        <f>IF(K810="","",100-IF($G$13=1,50,(_xlfn.RANK.AVG(K810,$K$19:$K$1518,1)-1)/($G$13-1)*100))</f>
        <v/>
      </c>
      <c r="P810" s="11">
        <f>IF(L810="","",100-IF($G$14=1,50,(_xlfn.RANK.AVG(L810,$L$19:$L$1518,1)-1)/($G$14-1)*100))</f>
        <v/>
      </c>
      <c r="Q810" s="11">
        <f>IF(M810="","",IF($G$15=1,50,(_xlfn.RANK.AVG(M810,$M$19:$M$1518,1)-1)/($G$15-1)*100))</f>
        <v/>
      </c>
      <c r="R810" s="11">
        <f>IF(N810="","",IF($G$16=1,50,(_xlfn.RANK.AVG(N810,$N$19:$N$1518,1)-1)/($G$16-1)*100))</f>
        <v/>
      </c>
      <c r="S810" s="11">
        <f>IF(COUNT(O810:R810)=4,ROUND(AVERAGE(O810:R810),6),"")</f>
        <v/>
      </c>
      <c r="U810">
        <f>IF(AND(ISNUMBER('자료_한국심리'!$A794),ISNUMBER('자료_한국심리'!$B794)),'자료_한국심리'!$A794,"")</f>
        <v/>
      </c>
      <c r="V810">
        <f>IF(AND(ISNUMBER('자료_한국심리'!$D794),ISNUMBER('자료_한국심리'!$E794)),'자료_한국심리'!$D794,"")</f>
        <v/>
      </c>
      <c r="W810">
        <f>IF(AND(ISNUMBER('자료_한국심리'!$G794),ISNUMBER('자료_한국심리'!$H794)),'자료_한국심리'!$G794,"")</f>
        <v/>
      </c>
      <c r="X810">
        <f>IF(AND(ISNUMBER('자료_한국심리'!$J794),ISNUMBER('자료_한국심리'!$K794)),'자료_한국심리'!$J794,"")</f>
        <v/>
      </c>
      <c r="Y810">
        <f>IF(AND(ISNUMBER('자료_한국심리'!$M794),ISNUMBER('자료_한국심리'!$N794)),'자료_한국심리'!$M794,"")</f>
        <v/>
      </c>
    </row>
    <row r="811">
      <c r="A811" s="10">
        <f>IF(793&gt;$E$5,"",SMALL($U$19:$U$4018,$E$6+793))</f>
        <v/>
      </c>
      <c r="B811" s="29">
        <f>IF(A811="","",INDEX('자료_한국심리'!$B$3:$B$4002,MATCH(A811,$U$19:$U$4018,0)))</f>
        <v/>
      </c>
      <c r="C811" s="22">
        <f>IF(A811="","",B811/AVERAGE(B687:B811)-1)</f>
        <v/>
      </c>
      <c r="D811" s="29">
        <f>IF(A811="","",IFERROR(INDEX('자료_한국심리'!$E$3:$E$4002,MATCH(A811,$V$19:$V$4018,0)),D810))</f>
        <v/>
      </c>
      <c r="E811" s="30">
        <f>IF(A811="","",IFERROR(INDEX('자료_한국심리'!$H$3:$H$4002,MATCH(A811,$W$19:$W$4018,0)),E810))</f>
        <v/>
      </c>
      <c r="F811" s="30">
        <f>IF(A811="","",IFERROR(INDEX('자료_한국심리'!$K$3:$K$4002,MATCH(A811,$X$19:$X$4018,0)),F810))</f>
        <v/>
      </c>
      <c r="G811" s="30">
        <f>IF(AND(ISNUMBER(E811),ISNUMBER(F811)),ROUND(E811-F811,6),"")</f>
        <v/>
      </c>
      <c r="H811" s="25">
        <f>IF(A811="","",IFERROR(INDEX('자료_한국심리'!$N$3:$N$4002,MATCH(A811,$Y$19:$Y$4018,0)),H810))</f>
        <v/>
      </c>
      <c r="I811" s="31">
        <f>IF(AND(ISNUMBER(H811),ISNUMBER(H791)),IF(H791&gt;0,H811/H791-1,""),"")</f>
        <v/>
      </c>
      <c r="J811">
        <f>IF(A811="",0,IF(A811&gt;$B$5,1,0))</f>
        <v/>
      </c>
      <c r="K811" s="29">
        <f>IF(AND(J811=1,ISNUMBER(D811)),D811,"")</f>
        <v/>
      </c>
      <c r="L811" s="30">
        <f>IF(AND(J811=1,ISNUMBER(G811)),G811,"")</f>
        <v/>
      </c>
      <c r="M811" s="22">
        <f>IF(AND(J811=1,ISNUMBER(C811)),C811,"")</f>
        <v/>
      </c>
      <c r="N811" s="31">
        <f>IF(AND(J811=1,ISNUMBER(I811)),I811,"")</f>
        <v/>
      </c>
      <c r="O811" s="11">
        <f>IF(K811="","",100-IF($G$13=1,50,(_xlfn.RANK.AVG(K811,$K$19:$K$1518,1)-1)/($G$13-1)*100))</f>
        <v/>
      </c>
      <c r="P811" s="11">
        <f>IF(L811="","",100-IF($G$14=1,50,(_xlfn.RANK.AVG(L811,$L$19:$L$1518,1)-1)/($G$14-1)*100))</f>
        <v/>
      </c>
      <c r="Q811" s="11">
        <f>IF(M811="","",IF($G$15=1,50,(_xlfn.RANK.AVG(M811,$M$19:$M$1518,1)-1)/($G$15-1)*100))</f>
        <v/>
      </c>
      <c r="R811" s="11">
        <f>IF(N811="","",IF($G$16=1,50,(_xlfn.RANK.AVG(N811,$N$19:$N$1518,1)-1)/($G$16-1)*100))</f>
        <v/>
      </c>
      <c r="S811" s="11">
        <f>IF(COUNT(O811:R811)=4,ROUND(AVERAGE(O811:R811),6),"")</f>
        <v/>
      </c>
      <c r="U811">
        <f>IF(AND(ISNUMBER('자료_한국심리'!$A795),ISNUMBER('자료_한국심리'!$B795)),'자료_한국심리'!$A795,"")</f>
        <v/>
      </c>
      <c r="V811">
        <f>IF(AND(ISNUMBER('자료_한국심리'!$D795),ISNUMBER('자료_한국심리'!$E795)),'자료_한국심리'!$D795,"")</f>
        <v/>
      </c>
      <c r="W811">
        <f>IF(AND(ISNUMBER('자료_한국심리'!$G795),ISNUMBER('자료_한국심리'!$H795)),'자료_한국심리'!$G795,"")</f>
        <v/>
      </c>
      <c r="X811">
        <f>IF(AND(ISNUMBER('자료_한국심리'!$J795),ISNUMBER('자료_한국심리'!$K795)),'자료_한국심리'!$J795,"")</f>
        <v/>
      </c>
      <c r="Y811">
        <f>IF(AND(ISNUMBER('자료_한국심리'!$M795),ISNUMBER('자료_한국심리'!$N795)),'자료_한국심리'!$M795,"")</f>
        <v/>
      </c>
    </row>
    <row r="812">
      <c r="A812" s="10">
        <f>IF(794&gt;$E$5,"",SMALL($U$19:$U$4018,$E$6+794))</f>
        <v/>
      </c>
      <c r="B812" s="29">
        <f>IF(A812="","",INDEX('자료_한국심리'!$B$3:$B$4002,MATCH(A812,$U$19:$U$4018,0)))</f>
        <v/>
      </c>
      <c r="C812" s="22">
        <f>IF(A812="","",B812/AVERAGE(B688:B812)-1)</f>
        <v/>
      </c>
      <c r="D812" s="29">
        <f>IF(A812="","",IFERROR(INDEX('자료_한국심리'!$E$3:$E$4002,MATCH(A812,$V$19:$V$4018,0)),D811))</f>
        <v/>
      </c>
      <c r="E812" s="30">
        <f>IF(A812="","",IFERROR(INDEX('자료_한국심리'!$H$3:$H$4002,MATCH(A812,$W$19:$W$4018,0)),E811))</f>
        <v/>
      </c>
      <c r="F812" s="30">
        <f>IF(A812="","",IFERROR(INDEX('자료_한국심리'!$K$3:$K$4002,MATCH(A812,$X$19:$X$4018,0)),F811))</f>
        <v/>
      </c>
      <c r="G812" s="30">
        <f>IF(AND(ISNUMBER(E812),ISNUMBER(F812)),ROUND(E812-F812,6),"")</f>
        <v/>
      </c>
      <c r="H812" s="25">
        <f>IF(A812="","",IFERROR(INDEX('자료_한국심리'!$N$3:$N$4002,MATCH(A812,$Y$19:$Y$4018,0)),H811))</f>
        <v/>
      </c>
      <c r="I812" s="31">
        <f>IF(AND(ISNUMBER(H812),ISNUMBER(H792)),IF(H792&gt;0,H812/H792-1,""),"")</f>
        <v/>
      </c>
      <c r="J812">
        <f>IF(A812="",0,IF(A812&gt;$B$5,1,0))</f>
        <v/>
      </c>
      <c r="K812" s="29">
        <f>IF(AND(J812=1,ISNUMBER(D812)),D812,"")</f>
        <v/>
      </c>
      <c r="L812" s="30">
        <f>IF(AND(J812=1,ISNUMBER(G812)),G812,"")</f>
        <v/>
      </c>
      <c r="M812" s="22">
        <f>IF(AND(J812=1,ISNUMBER(C812)),C812,"")</f>
        <v/>
      </c>
      <c r="N812" s="31">
        <f>IF(AND(J812=1,ISNUMBER(I812)),I812,"")</f>
        <v/>
      </c>
      <c r="O812" s="11">
        <f>IF(K812="","",100-IF($G$13=1,50,(_xlfn.RANK.AVG(K812,$K$19:$K$1518,1)-1)/($G$13-1)*100))</f>
        <v/>
      </c>
      <c r="P812" s="11">
        <f>IF(L812="","",100-IF($G$14=1,50,(_xlfn.RANK.AVG(L812,$L$19:$L$1518,1)-1)/($G$14-1)*100))</f>
        <v/>
      </c>
      <c r="Q812" s="11">
        <f>IF(M812="","",IF($G$15=1,50,(_xlfn.RANK.AVG(M812,$M$19:$M$1518,1)-1)/($G$15-1)*100))</f>
        <v/>
      </c>
      <c r="R812" s="11">
        <f>IF(N812="","",IF($G$16=1,50,(_xlfn.RANK.AVG(N812,$N$19:$N$1518,1)-1)/($G$16-1)*100))</f>
        <v/>
      </c>
      <c r="S812" s="11">
        <f>IF(COUNT(O812:R812)=4,ROUND(AVERAGE(O812:R812),6),"")</f>
        <v/>
      </c>
      <c r="U812">
        <f>IF(AND(ISNUMBER('자료_한국심리'!$A796),ISNUMBER('자료_한국심리'!$B796)),'자료_한국심리'!$A796,"")</f>
        <v/>
      </c>
      <c r="V812">
        <f>IF(AND(ISNUMBER('자료_한국심리'!$D796),ISNUMBER('자료_한국심리'!$E796)),'자료_한국심리'!$D796,"")</f>
        <v/>
      </c>
      <c r="W812">
        <f>IF(AND(ISNUMBER('자료_한국심리'!$G796),ISNUMBER('자료_한국심리'!$H796)),'자료_한국심리'!$G796,"")</f>
        <v/>
      </c>
      <c r="X812">
        <f>IF(AND(ISNUMBER('자료_한국심리'!$J796),ISNUMBER('자료_한국심리'!$K796)),'자료_한국심리'!$J796,"")</f>
        <v/>
      </c>
      <c r="Y812">
        <f>IF(AND(ISNUMBER('자료_한국심리'!$M796),ISNUMBER('자료_한국심리'!$N796)),'자료_한국심리'!$M796,"")</f>
        <v/>
      </c>
    </row>
    <row r="813">
      <c r="A813" s="10">
        <f>IF(795&gt;$E$5,"",SMALL($U$19:$U$4018,$E$6+795))</f>
        <v/>
      </c>
      <c r="B813" s="29">
        <f>IF(A813="","",INDEX('자료_한국심리'!$B$3:$B$4002,MATCH(A813,$U$19:$U$4018,0)))</f>
        <v/>
      </c>
      <c r="C813" s="22">
        <f>IF(A813="","",B813/AVERAGE(B689:B813)-1)</f>
        <v/>
      </c>
      <c r="D813" s="29">
        <f>IF(A813="","",IFERROR(INDEX('자료_한국심리'!$E$3:$E$4002,MATCH(A813,$V$19:$V$4018,0)),D812))</f>
        <v/>
      </c>
      <c r="E813" s="30">
        <f>IF(A813="","",IFERROR(INDEX('자료_한국심리'!$H$3:$H$4002,MATCH(A813,$W$19:$W$4018,0)),E812))</f>
        <v/>
      </c>
      <c r="F813" s="30">
        <f>IF(A813="","",IFERROR(INDEX('자료_한국심리'!$K$3:$K$4002,MATCH(A813,$X$19:$X$4018,0)),F812))</f>
        <v/>
      </c>
      <c r="G813" s="30">
        <f>IF(AND(ISNUMBER(E813),ISNUMBER(F813)),ROUND(E813-F813,6),"")</f>
        <v/>
      </c>
      <c r="H813" s="25">
        <f>IF(A813="","",IFERROR(INDEX('자료_한국심리'!$N$3:$N$4002,MATCH(A813,$Y$19:$Y$4018,0)),H812))</f>
        <v/>
      </c>
      <c r="I813" s="31">
        <f>IF(AND(ISNUMBER(H813),ISNUMBER(H793)),IF(H793&gt;0,H813/H793-1,""),"")</f>
        <v/>
      </c>
      <c r="J813">
        <f>IF(A813="",0,IF(A813&gt;$B$5,1,0))</f>
        <v/>
      </c>
      <c r="K813" s="29">
        <f>IF(AND(J813=1,ISNUMBER(D813)),D813,"")</f>
        <v/>
      </c>
      <c r="L813" s="30">
        <f>IF(AND(J813=1,ISNUMBER(G813)),G813,"")</f>
        <v/>
      </c>
      <c r="M813" s="22">
        <f>IF(AND(J813=1,ISNUMBER(C813)),C813,"")</f>
        <v/>
      </c>
      <c r="N813" s="31">
        <f>IF(AND(J813=1,ISNUMBER(I813)),I813,"")</f>
        <v/>
      </c>
      <c r="O813" s="11">
        <f>IF(K813="","",100-IF($G$13=1,50,(_xlfn.RANK.AVG(K813,$K$19:$K$1518,1)-1)/($G$13-1)*100))</f>
        <v/>
      </c>
      <c r="P813" s="11">
        <f>IF(L813="","",100-IF($G$14=1,50,(_xlfn.RANK.AVG(L813,$L$19:$L$1518,1)-1)/($G$14-1)*100))</f>
        <v/>
      </c>
      <c r="Q813" s="11">
        <f>IF(M813="","",IF($G$15=1,50,(_xlfn.RANK.AVG(M813,$M$19:$M$1518,1)-1)/($G$15-1)*100))</f>
        <v/>
      </c>
      <c r="R813" s="11">
        <f>IF(N813="","",IF($G$16=1,50,(_xlfn.RANK.AVG(N813,$N$19:$N$1518,1)-1)/($G$16-1)*100))</f>
        <v/>
      </c>
      <c r="S813" s="11">
        <f>IF(COUNT(O813:R813)=4,ROUND(AVERAGE(O813:R813),6),"")</f>
        <v/>
      </c>
      <c r="U813">
        <f>IF(AND(ISNUMBER('자료_한국심리'!$A797),ISNUMBER('자료_한국심리'!$B797)),'자료_한국심리'!$A797,"")</f>
        <v/>
      </c>
      <c r="V813">
        <f>IF(AND(ISNUMBER('자료_한국심리'!$D797),ISNUMBER('자료_한국심리'!$E797)),'자료_한국심리'!$D797,"")</f>
        <v/>
      </c>
      <c r="W813">
        <f>IF(AND(ISNUMBER('자료_한국심리'!$G797),ISNUMBER('자료_한국심리'!$H797)),'자료_한국심리'!$G797,"")</f>
        <v/>
      </c>
      <c r="X813">
        <f>IF(AND(ISNUMBER('자료_한국심리'!$J797),ISNUMBER('자료_한국심리'!$K797)),'자료_한국심리'!$J797,"")</f>
        <v/>
      </c>
      <c r="Y813">
        <f>IF(AND(ISNUMBER('자료_한국심리'!$M797),ISNUMBER('자료_한국심리'!$N797)),'자료_한국심리'!$M797,"")</f>
        <v/>
      </c>
    </row>
    <row r="814">
      <c r="A814" s="10">
        <f>IF(796&gt;$E$5,"",SMALL($U$19:$U$4018,$E$6+796))</f>
        <v/>
      </c>
      <c r="B814" s="29">
        <f>IF(A814="","",INDEX('자료_한국심리'!$B$3:$B$4002,MATCH(A814,$U$19:$U$4018,0)))</f>
        <v/>
      </c>
      <c r="C814" s="22">
        <f>IF(A814="","",B814/AVERAGE(B690:B814)-1)</f>
        <v/>
      </c>
      <c r="D814" s="29">
        <f>IF(A814="","",IFERROR(INDEX('자료_한국심리'!$E$3:$E$4002,MATCH(A814,$V$19:$V$4018,0)),D813))</f>
        <v/>
      </c>
      <c r="E814" s="30">
        <f>IF(A814="","",IFERROR(INDEX('자료_한국심리'!$H$3:$H$4002,MATCH(A814,$W$19:$W$4018,0)),E813))</f>
        <v/>
      </c>
      <c r="F814" s="30">
        <f>IF(A814="","",IFERROR(INDEX('자료_한국심리'!$K$3:$K$4002,MATCH(A814,$X$19:$X$4018,0)),F813))</f>
        <v/>
      </c>
      <c r="G814" s="30">
        <f>IF(AND(ISNUMBER(E814),ISNUMBER(F814)),ROUND(E814-F814,6),"")</f>
        <v/>
      </c>
      <c r="H814" s="25">
        <f>IF(A814="","",IFERROR(INDEX('자료_한국심리'!$N$3:$N$4002,MATCH(A814,$Y$19:$Y$4018,0)),H813))</f>
        <v/>
      </c>
      <c r="I814" s="31">
        <f>IF(AND(ISNUMBER(H814),ISNUMBER(H794)),IF(H794&gt;0,H814/H794-1,""),"")</f>
        <v/>
      </c>
      <c r="J814">
        <f>IF(A814="",0,IF(A814&gt;$B$5,1,0))</f>
        <v/>
      </c>
      <c r="K814" s="29">
        <f>IF(AND(J814=1,ISNUMBER(D814)),D814,"")</f>
        <v/>
      </c>
      <c r="L814" s="30">
        <f>IF(AND(J814=1,ISNUMBER(G814)),G814,"")</f>
        <v/>
      </c>
      <c r="M814" s="22">
        <f>IF(AND(J814=1,ISNUMBER(C814)),C814,"")</f>
        <v/>
      </c>
      <c r="N814" s="31">
        <f>IF(AND(J814=1,ISNUMBER(I814)),I814,"")</f>
        <v/>
      </c>
      <c r="O814" s="11">
        <f>IF(K814="","",100-IF($G$13=1,50,(_xlfn.RANK.AVG(K814,$K$19:$K$1518,1)-1)/($G$13-1)*100))</f>
        <v/>
      </c>
      <c r="P814" s="11">
        <f>IF(L814="","",100-IF($G$14=1,50,(_xlfn.RANK.AVG(L814,$L$19:$L$1518,1)-1)/($G$14-1)*100))</f>
        <v/>
      </c>
      <c r="Q814" s="11">
        <f>IF(M814="","",IF($G$15=1,50,(_xlfn.RANK.AVG(M814,$M$19:$M$1518,1)-1)/($G$15-1)*100))</f>
        <v/>
      </c>
      <c r="R814" s="11">
        <f>IF(N814="","",IF($G$16=1,50,(_xlfn.RANK.AVG(N814,$N$19:$N$1518,1)-1)/($G$16-1)*100))</f>
        <v/>
      </c>
      <c r="S814" s="11">
        <f>IF(COUNT(O814:R814)=4,ROUND(AVERAGE(O814:R814),6),"")</f>
        <v/>
      </c>
      <c r="U814">
        <f>IF(AND(ISNUMBER('자료_한국심리'!$A798),ISNUMBER('자료_한국심리'!$B798)),'자료_한국심리'!$A798,"")</f>
        <v/>
      </c>
      <c r="V814">
        <f>IF(AND(ISNUMBER('자료_한국심리'!$D798),ISNUMBER('자료_한국심리'!$E798)),'자료_한국심리'!$D798,"")</f>
        <v/>
      </c>
      <c r="W814">
        <f>IF(AND(ISNUMBER('자료_한국심리'!$G798),ISNUMBER('자료_한국심리'!$H798)),'자료_한국심리'!$G798,"")</f>
        <v/>
      </c>
      <c r="X814">
        <f>IF(AND(ISNUMBER('자료_한국심리'!$J798),ISNUMBER('자료_한국심리'!$K798)),'자료_한국심리'!$J798,"")</f>
        <v/>
      </c>
      <c r="Y814">
        <f>IF(AND(ISNUMBER('자료_한국심리'!$M798),ISNUMBER('자료_한국심리'!$N798)),'자료_한국심리'!$M798,"")</f>
        <v/>
      </c>
    </row>
    <row r="815">
      <c r="A815" s="10">
        <f>IF(797&gt;$E$5,"",SMALL($U$19:$U$4018,$E$6+797))</f>
        <v/>
      </c>
      <c r="B815" s="29">
        <f>IF(A815="","",INDEX('자료_한국심리'!$B$3:$B$4002,MATCH(A815,$U$19:$U$4018,0)))</f>
        <v/>
      </c>
      <c r="C815" s="22">
        <f>IF(A815="","",B815/AVERAGE(B691:B815)-1)</f>
        <v/>
      </c>
      <c r="D815" s="29">
        <f>IF(A815="","",IFERROR(INDEX('자료_한국심리'!$E$3:$E$4002,MATCH(A815,$V$19:$V$4018,0)),D814))</f>
        <v/>
      </c>
      <c r="E815" s="30">
        <f>IF(A815="","",IFERROR(INDEX('자료_한국심리'!$H$3:$H$4002,MATCH(A815,$W$19:$W$4018,0)),E814))</f>
        <v/>
      </c>
      <c r="F815" s="30">
        <f>IF(A815="","",IFERROR(INDEX('자료_한국심리'!$K$3:$K$4002,MATCH(A815,$X$19:$X$4018,0)),F814))</f>
        <v/>
      </c>
      <c r="G815" s="30">
        <f>IF(AND(ISNUMBER(E815),ISNUMBER(F815)),ROUND(E815-F815,6),"")</f>
        <v/>
      </c>
      <c r="H815" s="25">
        <f>IF(A815="","",IFERROR(INDEX('자료_한국심리'!$N$3:$N$4002,MATCH(A815,$Y$19:$Y$4018,0)),H814))</f>
        <v/>
      </c>
      <c r="I815" s="31">
        <f>IF(AND(ISNUMBER(H815),ISNUMBER(H795)),IF(H795&gt;0,H815/H795-1,""),"")</f>
        <v/>
      </c>
      <c r="J815">
        <f>IF(A815="",0,IF(A815&gt;$B$5,1,0))</f>
        <v/>
      </c>
      <c r="K815" s="29">
        <f>IF(AND(J815=1,ISNUMBER(D815)),D815,"")</f>
        <v/>
      </c>
      <c r="L815" s="30">
        <f>IF(AND(J815=1,ISNUMBER(G815)),G815,"")</f>
        <v/>
      </c>
      <c r="M815" s="22">
        <f>IF(AND(J815=1,ISNUMBER(C815)),C815,"")</f>
        <v/>
      </c>
      <c r="N815" s="31">
        <f>IF(AND(J815=1,ISNUMBER(I815)),I815,"")</f>
        <v/>
      </c>
      <c r="O815" s="11">
        <f>IF(K815="","",100-IF($G$13=1,50,(_xlfn.RANK.AVG(K815,$K$19:$K$1518,1)-1)/($G$13-1)*100))</f>
        <v/>
      </c>
      <c r="P815" s="11">
        <f>IF(L815="","",100-IF($G$14=1,50,(_xlfn.RANK.AVG(L815,$L$19:$L$1518,1)-1)/($G$14-1)*100))</f>
        <v/>
      </c>
      <c r="Q815" s="11">
        <f>IF(M815="","",IF($G$15=1,50,(_xlfn.RANK.AVG(M815,$M$19:$M$1518,1)-1)/($G$15-1)*100))</f>
        <v/>
      </c>
      <c r="R815" s="11">
        <f>IF(N815="","",IF($G$16=1,50,(_xlfn.RANK.AVG(N815,$N$19:$N$1518,1)-1)/($G$16-1)*100))</f>
        <v/>
      </c>
      <c r="S815" s="11">
        <f>IF(COUNT(O815:R815)=4,ROUND(AVERAGE(O815:R815),6),"")</f>
        <v/>
      </c>
      <c r="U815">
        <f>IF(AND(ISNUMBER('자료_한국심리'!$A799),ISNUMBER('자료_한국심리'!$B799)),'자료_한국심리'!$A799,"")</f>
        <v/>
      </c>
      <c r="V815">
        <f>IF(AND(ISNUMBER('자료_한국심리'!$D799),ISNUMBER('자료_한국심리'!$E799)),'자료_한국심리'!$D799,"")</f>
        <v/>
      </c>
      <c r="W815">
        <f>IF(AND(ISNUMBER('자료_한국심리'!$G799),ISNUMBER('자료_한국심리'!$H799)),'자료_한국심리'!$G799,"")</f>
        <v/>
      </c>
      <c r="X815">
        <f>IF(AND(ISNUMBER('자료_한국심리'!$J799),ISNUMBER('자료_한국심리'!$K799)),'자료_한국심리'!$J799,"")</f>
        <v/>
      </c>
      <c r="Y815">
        <f>IF(AND(ISNUMBER('자료_한국심리'!$M799),ISNUMBER('자료_한국심리'!$N799)),'자료_한국심리'!$M799,"")</f>
        <v/>
      </c>
    </row>
    <row r="816">
      <c r="A816" s="10">
        <f>IF(798&gt;$E$5,"",SMALL($U$19:$U$4018,$E$6+798))</f>
        <v/>
      </c>
      <c r="B816" s="29">
        <f>IF(A816="","",INDEX('자료_한국심리'!$B$3:$B$4002,MATCH(A816,$U$19:$U$4018,0)))</f>
        <v/>
      </c>
      <c r="C816" s="22">
        <f>IF(A816="","",B816/AVERAGE(B692:B816)-1)</f>
        <v/>
      </c>
      <c r="D816" s="29">
        <f>IF(A816="","",IFERROR(INDEX('자료_한국심리'!$E$3:$E$4002,MATCH(A816,$V$19:$V$4018,0)),D815))</f>
        <v/>
      </c>
      <c r="E816" s="30">
        <f>IF(A816="","",IFERROR(INDEX('자료_한국심리'!$H$3:$H$4002,MATCH(A816,$W$19:$W$4018,0)),E815))</f>
        <v/>
      </c>
      <c r="F816" s="30">
        <f>IF(A816="","",IFERROR(INDEX('자료_한국심리'!$K$3:$K$4002,MATCH(A816,$X$19:$X$4018,0)),F815))</f>
        <v/>
      </c>
      <c r="G816" s="30">
        <f>IF(AND(ISNUMBER(E816),ISNUMBER(F816)),ROUND(E816-F816,6),"")</f>
        <v/>
      </c>
      <c r="H816" s="25">
        <f>IF(A816="","",IFERROR(INDEX('자료_한국심리'!$N$3:$N$4002,MATCH(A816,$Y$19:$Y$4018,0)),H815))</f>
        <v/>
      </c>
      <c r="I816" s="31">
        <f>IF(AND(ISNUMBER(H816),ISNUMBER(H796)),IF(H796&gt;0,H816/H796-1,""),"")</f>
        <v/>
      </c>
      <c r="J816">
        <f>IF(A816="",0,IF(A816&gt;$B$5,1,0))</f>
        <v/>
      </c>
      <c r="K816" s="29">
        <f>IF(AND(J816=1,ISNUMBER(D816)),D816,"")</f>
        <v/>
      </c>
      <c r="L816" s="30">
        <f>IF(AND(J816=1,ISNUMBER(G816)),G816,"")</f>
        <v/>
      </c>
      <c r="M816" s="22">
        <f>IF(AND(J816=1,ISNUMBER(C816)),C816,"")</f>
        <v/>
      </c>
      <c r="N816" s="31">
        <f>IF(AND(J816=1,ISNUMBER(I816)),I816,"")</f>
        <v/>
      </c>
      <c r="O816" s="11">
        <f>IF(K816="","",100-IF($G$13=1,50,(_xlfn.RANK.AVG(K816,$K$19:$K$1518,1)-1)/($G$13-1)*100))</f>
        <v/>
      </c>
      <c r="P816" s="11">
        <f>IF(L816="","",100-IF($G$14=1,50,(_xlfn.RANK.AVG(L816,$L$19:$L$1518,1)-1)/($G$14-1)*100))</f>
        <v/>
      </c>
      <c r="Q816" s="11">
        <f>IF(M816="","",IF($G$15=1,50,(_xlfn.RANK.AVG(M816,$M$19:$M$1518,1)-1)/($G$15-1)*100))</f>
        <v/>
      </c>
      <c r="R816" s="11">
        <f>IF(N816="","",IF($G$16=1,50,(_xlfn.RANK.AVG(N816,$N$19:$N$1518,1)-1)/($G$16-1)*100))</f>
        <v/>
      </c>
      <c r="S816" s="11">
        <f>IF(COUNT(O816:R816)=4,ROUND(AVERAGE(O816:R816),6),"")</f>
        <v/>
      </c>
      <c r="U816">
        <f>IF(AND(ISNUMBER('자료_한국심리'!$A800),ISNUMBER('자료_한국심리'!$B800)),'자료_한국심리'!$A800,"")</f>
        <v/>
      </c>
      <c r="V816">
        <f>IF(AND(ISNUMBER('자료_한국심리'!$D800),ISNUMBER('자료_한국심리'!$E800)),'자료_한국심리'!$D800,"")</f>
        <v/>
      </c>
      <c r="W816">
        <f>IF(AND(ISNUMBER('자료_한국심리'!$G800),ISNUMBER('자료_한국심리'!$H800)),'자료_한국심리'!$G800,"")</f>
        <v/>
      </c>
      <c r="X816">
        <f>IF(AND(ISNUMBER('자료_한국심리'!$J800),ISNUMBER('자료_한국심리'!$K800)),'자료_한국심리'!$J800,"")</f>
        <v/>
      </c>
      <c r="Y816">
        <f>IF(AND(ISNUMBER('자료_한국심리'!$M800),ISNUMBER('자료_한국심리'!$N800)),'자료_한국심리'!$M800,"")</f>
        <v/>
      </c>
    </row>
    <row r="817">
      <c r="A817" s="10">
        <f>IF(799&gt;$E$5,"",SMALL($U$19:$U$4018,$E$6+799))</f>
        <v/>
      </c>
      <c r="B817" s="29">
        <f>IF(A817="","",INDEX('자료_한국심리'!$B$3:$B$4002,MATCH(A817,$U$19:$U$4018,0)))</f>
        <v/>
      </c>
      <c r="C817" s="22">
        <f>IF(A817="","",B817/AVERAGE(B693:B817)-1)</f>
        <v/>
      </c>
      <c r="D817" s="29">
        <f>IF(A817="","",IFERROR(INDEX('자료_한국심리'!$E$3:$E$4002,MATCH(A817,$V$19:$V$4018,0)),D816))</f>
        <v/>
      </c>
      <c r="E817" s="30">
        <f>IF(A817="","",IFERROR(INDEX('자료_한국심리'!$H$3:$H$4002,MATCH(A817,$W$19:$W$4018,0)),E816))</f>
        <v/>
      </c>
      <c r="F817" s="30">
        <f>IF(A817="","",IFERROR(INDEX('자료_한국심리'!$K$3:$K$4002,MATCH(A817,$X$19:$X$4018,0)),F816))</f>
        <v/>
      </c>
      <c r="G817" s="30">
        <f>IF(AND(ISNUMBER(E817),ISNUMBER(F817)),ROUND(E817-F817,6),"")</f>
        <v/>
      </c>
      <c r="H817" s="25">
        <f>IF(A817="","",IFERROR(INDEX('자료_한국심리'!$N$3:$N$4002,MATCH(A817,$Y$19:$Y$4018,0)),H816))</f>
        <v/>
      </c>
      <c r="I817" s="31">
        <f>IF(AND(ISNUMBER(H817),ISNUMBER(H797)),IF(H797&gt;0,H817/H797-1,""),"")</f>
        <v/>
      </c>
      <c r="J817">
        <f>IF(A817="",0,IF(A817&gt;$B$5,1,0))</f>
        <v/>
      </c>
      <c r="K817" s="29">
        <f>IF(AND(J817=1,ISNUMBER(D817)),D817,"")</f>
        <v/>
      </c>
      <c r="L817" s="30">
        <f>IF(AND(J817=1,ISNUMBER(G817)),G817,"")</f>
        <v/>
      </c>
      <c r="M817" s="22">
        <f>IF(AND(J817=1,ISNUMBER(C817)),C817,"")</f>
        <v/>
      </c>
      <c r="N817" s="31">
        <f>IF(AND(J817=1,ISNUMBER(I817)),I817,"")</f>
        <v/>
      </c>
      <c r="O817" s="11">
        <f>IF(K817="","",100-IF($G$13=1,50,(_xlfn.RANK.AVG(K817,$K$19:$K$1518,1)-1)/($G$13-1)*100))</f>
        <v/>
      </c>
      <c r="P817" s="11">
        <f>IF(L817="","",100-IF($G$14=1,50,(_xlfn.RANK.AVG(L817,$L$19:$L$1518,1)-1)/($G$14-1)*100))</f>
        <v/>
      </c>
      <c r="Q817" s="11">
        <f>IF(M817="","",IF($G$15=1,50,(_xlfn.RANK.AVG(M817,$M$19:$M$1518,1)-1)/($G$15-1)*100))</f>
        <v/>
      </c>
      <c r="R817" s="11">
        <f>IF(N817="","",IF($G$16=1,50,(_xlfn.RANK.AVG(N817,$N$19:$N$1518,1)-1)/($G$16-1)*100))</f>
        <v/>
      </c>
      <c r="S817" s="11">
        <f>IF(COUNT(O817:R817)=4,ROUND(AVERAGE(O817:R817),6),"")</f>
        <v/>
      </c>
      <c r="U817">
        <f>IF(AND(ISNUMBER('자료_한국심리'!$A801),ISNUMBER('자료_한국심리'!$B801)),'자료_한국심리'!$A801,"")</f>
        <v/>
      </c>
      <c r="V817">
        <f>IF(AND(ISNUMBER('자료_한국심리'!$D801),ISNUMBER('자료_한국심리'!$E801)),'자료_한국심리'!$D801,"")</f>
        <v/>
      </c>
      <c r="W817">
        <f>IF(AND(ISNUMBER('자료_한국심리'!$G801),ISNUMBER('자료_한국심리'!$H801)),'자료_한국심리'!$G801,"")</f>
        <v/>
      </c>
      <c r="X817">
        <f>IF(AND(ISNUMBER('자료_한국심리'!$J801),ISNUMBER('자료_한국심리'!$K801)),'자료_한국심리'!$J801,"")</f>
        <v/>
      </c>
      <c r="Y817">
        <f>IF(AND(ISNUMBER('자료_한국심리'!$M801),ISNUMBER('자료_한국심리'!$N801)),'자료_한국심리'!$M801,"")</f>
        <v/>
      </c>
    </row>
    <row r="818">
      <c r="A818" s="10">
        <f>IF(800&gt;$E$5,"",SMALL($U$19:$U$4018,$E$6+800))</f>
        <v/>
      </c>
      <c r="B818" s="29">
        <f>IF(A818="","",INDEX('자료_한국심리'!$B$3:$B$4002,MATCH(A818,$U$19:$U$4018,0)))</f>
        <v/>
      </c>
      <c r="C818" s="22">
        <f>IF(A818="","",B818/AVERAGE(B694:B818)-1)</f>
        <v/>
      </c>
      <c r="D818" s="29">
        <f>IF(A818="","",IFERROR(INDEX('자료_한국심리'!$E$3:$E$4002,MATCH(A818,$V$19:$V$4018,0)),D817))</f>
        <v/>
      </c>
      <c r="E818" s="30">
        <f>IF(A818="","",IFERROR(INDEX('자료_한국심리'!$H$3:$H$4002,MATCH(A818,$W$19:$W$4018,0)),E817))</f>
        <v/>
      </c>
      <c r="F818" s="30">
        <f>IF(A818="","",IFERROR(INDEX('자료_한국심리'!$K$3:$K$4002,MATCH(A818,$X$19:$X$4018,0)),F817))</f>
        <v/>
      </c>
      <c r="G818" s="30">
        <f>IF(AND(ISNUMBER(E818),ISNUMBER(F818)),ROUND(E818-F818,6),"")</f>
        <v/>
      </c>
      <c r="H818" s="25">
        <f>IF(A818="","",IFERROR(INDEX('자료_한국심리'!$N$3:$N$4002,MATCH(A818,$Y$19:$Y$4018,0)),H817))</f>
        <v/>
      </c>
      <c r="I818" s="31">
        <f>IF(AND(ISNUMBER(H818),ISNUMBER(H798)),IF(H798&gt;0,H818/H798-1,""),"")</f>
        <v/>
      </c>
      <c r="J818">
        <f>IF(A818="",0,IF(A818&gt;$B$5,1,0))</f>
        <v/>
      </c>
      <c r="K818" s="29">
        <f>IF(AND(J818=1,ISNUMBER(D818)),D818,"")</f>
        <v/>
      </c>
      <c r="L818" s="30">
        <f>IF(AND(J818=1,ISNUMBER(G818)),G818,"")</f>
        <v/>
      </c>
      <c r="M818" s="22">
        <f>IF(AND(J818=1,ISNUMBER(C818)),C818,"")</f>
        <v/>
      </c>
      <c r="N818" s="31">
        <f>IF(AND(J818=1,ISNUMBER(I818)),I818,"")</f>
        <v/>
      </c>
      <c r="O818" s="11">
        <f>IF(K818="","",100-IF($G$13=1,50,(_xlfn.RANK.AVG(K818,$K$19:$K$1518,1)-1)/($G$13-1)*100))</f>
        <v/>
      </c>
      <c r="P818" s="11">
        <f>IF(L818="","",100-IF($G$14=1,50,(_xlfn.RANK.AVG(L818,$L$19:$L$1518,1)-1)/($G$14-1)*100))</f>
        <v/>
      </c>
      <c r="Q818" s="11">
        <f>IF(M818="","",IF($G$15=1,50,(_xlfn.RANK.AVG(M818,$M$19:$M$1518,1)-1)/($G$15-1)*100))</f>
        <v/>
      </c>
      <c r="R818" s="11">
        <f>IF(N818="","",IF($G$16=1,50,(_xlfn.RANK.AVG(N818,$N$19:$N$1518,1)-1)/($G$16-1)*100))</f>
        <v/>
      </c>
      <c r="S818" s="11">
        <f>IF(COUNT(O818:R818)=4,ROUND(AVERAGE(O818:R818),6),"")</f>
        <v/>
      </c>
      <c r="U818">
        <f>IF(AND(ISNUMBER('자료_한국심리'!$A802),ISNUMBER('자료_한국심리'!$B802)),'자료_한국심리'!$A802,"")</f>
        <v/>
      </c>
      <c r="V818">
        <f>IF(AND(ISNUMBER('자료_한국심리'!$D802),ISNUMBER('자료_한국심리'!$E802)),'자료_한국심리'!$D802,"")</f>
        <v/>
      </c>
      <c r="W818">
        <f>IF(AND(ISNUMBER('자료_한국심리'!$G802),ISNUMBER('자료_한국심리'!$H802)),'자료_한국심리'!$G802,"")</f>
        <v/>
      </c>
      <c r="X818">
        <f>IF(AND(ISNUMBER('자료_한국심리'!$J802),ISNUMBER('자료_한국심리'!$K802)),'자료_한국심리'!$J802,"")</f>
        <v/>
      </c>
      <c r="Y818">
        <f>IF(AND(ISNUMBER('자료_한국심리'!$M802),ISNUMBER('자료_한국심리'!$N802)),'자료_한국심리'!$M802,"")</f>
        <v/>
      </c>
    </row>
    <row r="819">
      <c r="A819" s="10">
        <f>IF(801&gt;$E$5,"",SMALL($U$19:$U$4018,$E$6+801))</f>
        <v/>
      </c>
      <c r="B819" s="29">
        <f>IF(A819="","",INDEX('자료_한국심리'!$B$3:$B$4002,MATCH(A819,$U$19:$U$4018,0)))</f>
        <v/>
      </c>
      <c r="C819" s="22">
        <f>IF(A819="","",B819/AVERAGE(B695:B819)-1)</f>
        <v/>
      </c>
      <c r="D819" s="29">
        <f>IF(A819="","",IFERROR(INDEX('자료_한국심리'!$E$3:$E$4002,MATCH(A819,$V$19:$V$4018,0)),D818))</f>
        <v/>
      </c>
      <c r="E819" s="30">
        <f>IF(A819="","",IFERROR(INDEX('자료_한국심리'!$H$3:$H$4002,MATCH(A819,$W$19:$W$4018,0)),E818))</f>
        <v/>
      </c>
      <c r="F819" s="30">
        <f>IF(A819="","",IFERROR(INDEX('자료_한국심리'!$K$3:$K$4002,MATCH(A819,$X$19:$X$4018,0)),F818))</f>
        <v/>
      </c>
      <c r="G819" s="30">
        <f>IF(AND(ISNUMBER(E819),ISNUMBER(F819)),ROUND(E819-F819,6),"")</f>
        <v/>
      </c>
      <c r="H819" s="25">
        <f>IF(A819="","",IFERROR(INDEX('자료_한국심리'!$N$3:$N$4002,MATCH(A819,$Y$19:$Y$4018,0)),H818))</f>
        <v/>
      </c>
      <c r="I819" s="31">
        <f>IF(AND(ISNUMBER(H819),ISNUMBER(H799)),IF(H799&gt;0,H819/H799-1,""),"")</f>
        <v/>
      </c>
      <c r="J819">
        <f>IF(A819="",0,IF(A819&gt;$B$5,1,0))</f>
        <v/>
      </c>
      <c r="K819" s="29">
        <f>IF(AND(J819=1,ISNUMBER(D819)),D819,"")</f>
        <v/>
      </c>
      <c r="L819" s="30">
        <f>IF(AND(J819=1,ISNUMBER(G819)),G819,"")</f>
        <v/>
      </c>
      <c r="M819" s="22">
        <f>IF(AND(J819=1,ISNUMBER(C819)),C819,"")</f>
        <v/>
      </c>
      <c r="N819" s="31">
        <f>IF(AND(J819=1,ISNUMBER(I819)),I819,"")</f>
        <v/>
      </c>
      <c r="O819" s="11">
        <f>IF(K819="","",100-IF($G$13=1,50,(_xlfn.RANK.AVG(K819,$K$19:$K$1518,1)-1)/($G$13-1)*100))</f>
        <v/>
      </c>
      <c r="P819" s="11">
        <f>IF(L819="","",100-IF($G$14=1,50,(_xlfn.RANK.AVG(L819,$L$19:$L$1518,1)-1)/($G$14-1)*100))</f>
        <v/>
      </c>
      <c r="Q819" s="11">
        <f>IF(M819="","",IF($G$15=1,50,(_xlfn.RANK.AVG(M819,$M$19:$M$1518,1)-1)/($G$15-1)*100))</f>
        <v/>
      </c>
      <c r="R819" s="11">
        <f>IF(N819="","",IF($G$16=1,50,(_xlfn.RANK.AVG(N819,$N$19:$N$1518,1)-1)/($G$16-1)*100))</f>
        <v/>
      </c>
      <c r="S819" s="11">
        <f>IF(COUNT(O819:R819)=4,ROUND(AVERAGE(O819:R819),6),"")</f>
        <v/>
      </c>
      <c r="U819">
        <f>IF(AND(ISNUMBER('자료_한국심리'!$A803),ISNUMBER('자료_한국심리'!$B803)),'자료_한국심리'!$A803,"")</f>
        <v/>
      </c>
      <c r="V819">
        <f>IF(AND(ISNUMBER('자료_한국심리'!$D803),ISNUMBER('자료_한국심리'!$E803)),'자료_한국심리'!$D803,"")</f>
        <v/>
      </c>
      <c r="W819">
        <f>IF(AND(ISNUMBER('자료_한국심리'!$G803),ISNUMBER('자료_한국심리'!$H803)),'자료_한국심리'!$G803,"")</f>
        <v/>
      </c>
      <c r="X819">
        <f>IF(AND(ISNUMBER('자료_한국심리'!$J803),ISNUMBER('자료_한국심리'!$K803)),'자료_한국심리'!$J803,"")</f>
        <v/>
      </c>
      <c r="Y819">
        <f>IF(AND(ISNUMBER('자료_한국심리'!$M803),ISNUMBER('자료_한국심리'!$N803)),'자료_한국심리'!$M803,"")</f>
        <v/>
      </c>
    </row>
    <row r="820">
      <c r="A820" s="10">
        <f>IF(802&gt;$E$5,"",SMALL($U$19:$U$4018,$E$6+802))</f>
        <v/>
      </c>
      <c r="B820" s="29">
        <f>IF(A820="","",INDEX('자료_한국심리'!$B$3:$B$4002,MATCH(A820,$U$19:$U$4018,0)))</f>
        <v/>
      </c>
      <c r="C820" s="22">
        <f>IF(A820="","",B820/AVERAGE(B696:B820)-1)</f>
        <v/>
      </c>
      <c r="D820" s="29">
        <f>IF(A820="","",IFERROR(INDEX('자료_한국심리'!$E$3:$E$4002,MATCH(A820,$V$19:$V$4018,0)),D819))</f>
        <v/>
      </c>
      <c r="E820" s="30">
        <f>IF(A820="","",IFERROR(INDEX('자료_한국심리'!$H$3:$H$4002,MATCH(A820,$W$19:$W$4018,0)),E819))</f>
        <v/>
      </c>
      <c r="F820" s="30">
        <f>IF(A820="","",IFERROR(INDEX('자료_한국심리'!$K$3:$K$4002,MATCH(A820,$X$19:$X$4018,0)),F819))</f>
        <v/>
      </c>
      <c r="G820" s="30">
        <f>IF(AND(ISNUMBER(E820),ISNUMBER(F820)),ROUND(E820-F820,6),"")</f>
        <v/>
      </c>
      <c r="H820" s="25">
        <f>IF(A820="","",IFERROR(INDEX('자료_한국심리'!$N$3:$N$4002,MATCH(A820,$Y$19:$Y$4018,0)),H819))</f>
        <v/>
      </c>
      <c r="I820" s="31">
        <f>IF(AND(ISNUMBER(H820),ISNUMBER(H800)),IF(H800&gt;0,H820/H800-1,""),"")</f>
        <v/>
      </c>
      <c r="J820">
        <f>IF(A820="",0,IF(A820&gt;$B$5,1,0))</f>
        <v/>
      </c>
      <c r="K820" s="29">
        <f>IF(AND(J820=1,ISNUMBER(D820)),D820,"")</f>
        <v/>
      </c>
      <c r="L820" s="30">
        <f>IF(AND(J820=1,ISNUMBER(G820)),G820,"")</f>
        <v/>
      </c>
      <c r="M820" s="22">
        <f>IF(AND(J820=1,ISNUMBER(C820)),C820,"")</f>
        <v/>
      </c>
      <c r="N820" s="31">
        <f>IF(AND(J820=1,ISNUMBER(I820)),I820,"")</f>
        <v/>
      </c>
      <c r="O820" s="11">
        <f>IF(K820="","",100-IF($G$13=1,50,(_xlfn.RANK.AVG(K820,$K$19:$K$1518,1)-1)/($G$13-1)*100))</f>
        <v/>
      </c>
      <c r="P820" s="11">
        <f>IF(L820="","",100-IF($G$14=1,50,(_xlfn.RANK.AVG(L820,$L$19:$L$1518,1)-1)/($G$14-1)*100))</f>
        <v/>
      </c>
      <c r="Q820" s="11">
        <f>IF(M820="","",IF($G$15=1,50,(_xlfn.RANK.AVG(M820,$M$19:$M$1518,1)-1)/($G$15-1)*100))</f>
        <v/>
      </c>
      <c r="R820" s="11">
        <f>IF(N820="","",IF($G$16=1,50,(_xlfn.RANK.AVG(N820,$N$19:$N$1518,1)-1)/($G$16-1)*100))</f>
        <v/>
      </c>
      <c r="S820" s="11">
        <f>IF(COUNT(O820:R820)=4,ROUND(AVERAGE(O820:R820),6),"")</f>
        <v/>
      </c>
      <c r="U820">
        <f>IF(AND(ISNUMBER('자료_한국심리'!$A804),ISNUMBER('자료_한국심리'!$B804)),'자료_한국심리'!$A804,"")</f>
        <v/>
      </c>
      <c r="V820">
        <f>IF(AND(ISNUMBER('자료_한국심리'!$D804),ISNUMBER('자료_한국심리'!$E804)),'자료_한국심리'!$D804,"")</f>
        <v/>
      </c>
      <c r="W820">
        <f>IF(AND(ISNUMBER('자료_한국심리'!$G804),ISNUMBER('자료_한국심리'!$H804)),'자료_한국심리'!$G804,"")</f>
        <v/>
      </c>
      <c r="X820">
        <f>IF(AND(ISNUMBER('자료_한국심리'!$J804),ISNUMBER('자료_한국심리'!$K804)),'자료_한국심리'!$J804,"")</f>
        <v/>
      </c>
      <c r="Y820">
        <f>IF(AND(ISNUMBER('자료_한국심리'!$M804),ISNUMBER('자료_한국심리'!$N804)),'자료_한국심리'!$M804,"")</f>
        <v/>
      </c>
    </row>
    <row r="821">
      <c r="A821" s="10">
        <f>IF(803&gt;$E$5,"",SMALL($U$19:$U$4018,$E$6+803))</f>
        <v/>
      </c>
      <c r="B821" s="29">
        <f>IF(A821="","",INDEX('자료_한국심리'!$B$3:$B$4002,MATCH(A821,$U$19:$U$4018,0)))</f>
        <v/>
      </c>
      <c r="C821" s="22">
        <f>IF(A821="","",B821/AVERAGE(B697:B821)-1)</f>
        <v/>
      </c>
      <c r="D821" s="29">
        <f>IF(A821="","",IFERROR(INDEX('자료_한국심리'!$E$3:$E$4002,MATCH(A821,$V$19:$V$4018,0)),D820))</f>
        <v/>
      </c>
      <c r="E821" s="30">
        <f>IF(A821="","",IFERROR(INDEX('자료_한국심리'!$H$3:$H$4002,MATCH(A821,$W$19:$W$4018,0)),E820))</f>
        <v/>
      </c>
      <c r="F821" s="30">
        <f>IF(A821="","",IFERROR(INDEX('자료_한국심리'!$K$3:$K$4002,MATCH(A821,$X$19:$X$4018,0)),F820))</f>
        <v/>
      </c>
      <c r="G821" s="30">
        <f>IF(AND(ISNUMBER(E821),ISNUMBER(F821)),ROUND(E821-F821,6),"")</f>
        <v/>
      </c>
      <c r="H821" s="25">
        <f>IF(A821="","",IFERROR(INDEX('자료_한국심리'!$N$3:$N$4002,MATCH(A821,$Y$19:$Y$4018,0)),H820))</f>
        <v/>
      </c>
      <c r="I821" s="31">
        <f>IF(AND(ISNUMBER(H821),ISNUMBER(H801)),IF(H801&gt;0,H821/H801-1,""),"")</f>
        <v/>
      </c>
      <c r="J821">
        <f>IF(A821="",0,IF(A821&gt;$B$5,1,0))</f>
        <v/>
      </c>
      <c r="K821" s="29">
        <f>IF(AND(J821=1,ISNUMBER(D821)),D821,"")</f>
        <v/>
      </c>
      <c r="L821" s="30">
        <f>IF(AND(J821=1,ISNUMBER(G821)),G821,"")</f>
        <v/>
      </c>
      <c r="M821" s="22">
        <f>IF(AND(J821=1,ISNUMBER(C821)),C821,"")</f>
        <v/>
      </c>
      <c r="N821" s="31">
        <f>IF(AND(J821=1,ISNUMBER(I821)),I821,"")</f>
        <v/>
      </c>
      <c r="O821" s="11">
        <f>IF(K821="","",100-IF($G$13=1,50,(_xlfn.RANK.AVG(K821,$K$19:$K$1518,1)-1)/($G$13-1)*100))</f>
        <v/>
      </c>
      <c r="P821" s="11">
        <f>IF(L821="","",100-IF($G$14=1,50,(_xlfn.RANK.AVG(L821,$L$19:$L$1518,1)-1)/($G$14-1)*100))</f>
        <v/>
      </c>
      <c r="Q821" s="11">
        <f>IF(M821="","",IF($G$15=1,50,(_xlfn.RANK.AVG(M821,$M$19:$M$1518,1)-1)/($G$15-1)*100))</f>
        <v/>
      </c>
      <c r="R821" s="11">
        <f>IF(N821="","",IF($G$16=1,50,(_xlfn.RANK.AVG(N821,$N$19:$N$1518,1)-1)/($G$16-1)*100))</f>
        <v/>
      </c>
      <c r="S821" s="11">
        <f>IF(COUNT(O821:R821)=4,ROUND(AVERAGE(O821:R821),6),"")</f>
        <v/>
      </c>
      <c r="U821">
        <f>IF(AND(ISNUMBER('자료_한국심리'!$A805),ISNUMBER('자료_한국심리'!$B805)),'자료_한국심리'!$A805,"")</f>
        <v/>
      </c>
      <c r="V821">
        <f>IF(AND(ISNUMBER('자료_한국심리'!$D805),ISNUMBER('자료_한국심리'!$E805)),'자료_한국심리'!$D805,"")</f>
        <v/>
      </c>
      <c r="W821">
        <f>IF(AND(ISNUMBER('자료_한국심리'!$G805),ISNUMBER('자료_한국심리'!$H805)),'자료_한국심리'!$G805,"")</f>
        <v/>
      </c>
      <c r="X821">
        <f>IF(AND(ISNUMBER('자료_한국심리'!$J805),ISNUMBER('자료_한국심리'!$K805)),'자료_한국심리'!$J805,"")</f>
        <v/>
      </c>
      <c r="Y821">
        <f>IF(AND(ISNUMBER('자료_한국심리'!$M805),ISNUMBER('자료_한국심리'!$N805)),'자료_한국심리'!$M805,"")</f>
        <v/>
      </c>
    </row>
    <row r="822">
      <c r="A822" s="10">
        <f>IF(804&gt;$E$5,"",SMALL($U$19:$U$4018,$E$6+804))</f>
        <v/>
      </c>
      <c r="B822" s="29">
        <f>IF(A822="","",INDEX('자료_한국심리'!$B$3:$B$4002,MATCH(A822,$U$19:$U$4018,0)))</f>
        <v/>
      </c>
      <c r="C822" s="22">
        <f>IF(A822="","",B822/AVERAGE(B698:B822)-1)</f>
        <v/>
      </c>
      <c r="D822" s="29">
        <f>IF(A822="","",IFERROR(INDEX('자료_한국심리'!$E$3:$E$4002,MATCH(A822,$V$19:$V$4018,0)),D821))</f>
        <v/>
      </c>
      <c r="E822" s="30">
        <f>IF(A822="","",IFERROR(INDEX('자료_한국심리'!$H$3:$H$4002,MATCH(A822,$W$19:$W$4018,0)),E821))</f>
        <v/>
      </c>
      <c r="F822" s="30">
        <f>IF(A822="","",IFERROR(INDEX('자료_한국심리'!$K$3:$K$4002,MATCH(A822,$X$19:$X$4018,0)),F821))</f>
        <v/>
      </c>
      <c r="G822" s="30">
        <f>IF(AND(ISNUMBER(E822),ISNUMBER(F822)),ROUND(E822-F822,6),"")</f>
        <v/>
      </c>
      <c r="H822" s="25">
        <f>IF(A822="","",IFERROR(INDEX('자료_한국심리'!$N$3:$N$4002,MATCH(A822,$Y$19:$Y$4018,0)),H821))</f>
        <v/>
      </c>
      <c r="I822" s="31">
        <f>IF(AND(ISNUMBER(H822),ISNUMBER(H802)),IF(H802&gt;0,H822/H802-1,""),"")</f>
        <v/>
      </c>
      <c r="J822">
        <f>IF(A822="",0,IF(A822&gt;$B$5,1,0))</f>
        <v/>
      </c>
      <c r="K822" s="29">
        <f>IF(AND(J822=1,ISNUMBER(D822)),D822,"")</f>
        <v/>
      </c>
      <c r="L822" s="30">
        <f>IF(AND(J822=1,ISNUMBER(G822)),G822,"")</f>
        <v/>
      </c>
      <c r="M822" s="22">
        <f>IF(AND(J822=1,ISNUMBER(C822)),C822,"")</f>
        <v/>
      </c>
      <c r="N822" s="31">
        <f>IF(AND(J822=1,ISNUMBER(I822)),I822,"")</f>
        <v/>
      </c>
      <c r="O822" s="11">
        <f>IF(K822="","",100-IF($G$13=1,50,(_xlfn.RANK.AVG(K822,$K$19:$K$1518,1)-1)/($G$13-1)*100))</f>
        <v/>
      </c>
      <c r="P822" s="11">
        <f>IF(L822="","",100-IF($G$14=1,50,(_xlfn.RANK.AVG(L822,$L$19:$L$1518,1)-1)/($G$14-1)*100))</f>
        <v/>
      </c>
      <c r="Q822" s="11">
        <f>IF(M822="","",IF($G$15=1,50,(_xlfn.RANK.AVG(M822,$M$19:$M$1518,1)-1)/($G$15-1)*100))</f>
        <v/>
      </c>
      <c r="R822" s="11">
        <f>IF(N822="","",IF($G$16=1,50,(_xlfn.RANK.AVG(N822,$N$19:$N$1518,1)-1)/($G$16-1)*100))</f>
        <v/>
      </c>
      <c r="S822" s="11">
        <f>IF(COUNT(O822:R822)=4,ROUND(AVERAGE(O822:R822),6),"")</f>
        <v/>
      </c>
      <c r="U822">
        <f>IF(AND(ISNUMBER('자료_한국심리'!$A806),ISNUMBER('자료_한국심리'!$B806)),'자료_한국심리'!$A806,"")</f>
        <v/>
      </c>
      <c r="V822">
        <f>IF(AND(ISNUMBER('자료_한국심리'!$D806),ISNUMBER('자료_한국심리'!$E806)),'자료_한국심리'!$D806,"")</f>
        <v/>
      </c>
      <c r="W822">
        <f>IF(AND(ISNUMBER('자료_한국심리'!$G806),ISNUMBER('자료_한국심리'!$H806)),'자료_한국심리'!$G806,"")</f>
        <v/>
      </c>
      <c r="X822">
        <f>IF(AND(ISNUMBER('자료_한국심리'!$J806),ISNUMBER('자료_한국심리'!$K806)),'자료_한국심리'!$J806,"")</f>
        <v/>
      </c>
      <c r="Y822">
        <f>IF(AND(ISNUMBER('자료_한국심리'!$M806),ISNUMBER('자료_한국심리'!$N806)),'자료_한국심리'!$M806,"")</f>
        <v/>
      </c>
    </row>
    <row r="823">
      <c r="A823" s="10">
        <f>IF(805&gt;$E$5,"",SMALL($U$19:$U$4018,$E$6+805))</f>
        <v/>
      </c>
      <c r="B823" s="29">
        <f>IF(A823="","",INDEX('자료_한국심리'!$B$3:$B$4002,MATCH(A823,$U$19:$U$4018,0)))</f>
        <v/>
      </c>
      <c r="C823" s="22">
        <f>IF(A823="","",B823/AVERAGE(B699:B823)-1)</f>
        <v/>
      </c>
      <c r="D823" s="29">
        <f>IF(A823="","",IFERROR(INDEX('자료_한국심리'!$E$3:$E$4002,MATCH(A823,$V$19:$V$4018,0)),D822))</f>
        <v/>
      </c>
      <c r="E823" s="30">
        <f>IF(A823="","",IFERROR(INDEX('자료_한국심리'!$H$3:$H$4002,MATCH(A823,$W$19:$W$4018,0)),E822))</f>
        <v/>
      </c>
      <c r="F823" s="30">
        <f>IF(A823="","",IFERROR(INDEX('자료_한국심리'!$K$3:$K$4002,MATCH(A823,$X$19:$X$4018,0)),F822))</f>
        <v/>
      </c>
      <c r="G823" s="30">
        <f>IF(AND(ISNUMBER(E823),ISNUMBER(F823)),ROUND(E823-F823,6),"")</f>
        <v/>
      </c>
      <c r="H823" s="25">
        <f>IF(A823="","",IFERROR(INDEX('자료_한국심리'!$N$3:$N$4002,MATCH(A823,$Y$19:$Y$4018,0)),H822))</f>
        <v/>
      </c>
      <c r="I823" s="31">
        <f>IF(AND(ISNUMBER(H823),ISNUMBER(H803)),IF(H803&gt;0,H823/H803-1,""),"")</f>
        <v/>
      </c>
      <c r="J823">
        <f>IF(A823="",0,IF(A823&gt;$B$5,1,0))</f>
        <v/>
      </c>
      <c r="K823" s="29">
        <f>IF(AND(J823=1,ISNUMBER(D823)),D823,"")</f>
        <v/>
      </c>
      <c r="L823" s="30">
        <f>IF(AND(J823=1,ISNUMBER(G823)),G823,"")</f>
        <v/>
      </c>
      <c r="M823" s="22">
        <f>IF(AND(J823=1,ISNUMBER(C823)),C823,"")</f>
        <v/>
      </c>
      <c r="N823" s="31">
        <f>IF(AND(J823=1,ISNUMBER(I823)),I823,"")</f>
        <v/>
      </c>
      <c r="O823" s="11">
        <f>IF(K823="","",100-IF($G$13=1,50,(_xlfn.RANK.AVG(K823,$K$19:$K$1518,1)-1)/($G$13-1)*100))</f>
        <v/>
      </c>
      <c r="P823" s="11">
        <f>IF(L823="","",100-IF($G$14=1,50,(_xlfn.RANK.AVG(L823,$L$19:$L$1518,1)-1)/($G$14-1)*100))</f>
        <v/>
      </c>
      <c r="Q823" s="11">
        <f>IF(M823="","",IF($G$15=1,50,(_xlfn.RANK.AVG(M823,$M$19:$M$1518,1)-1)/($G$15-1)*100))</f>
        <v/>
      </c>
      <c r="R823" s="11">
        <f>IF(N823="","",IF($G$16=1,50,(_xlfn.RANK.AVG(N823,$N$19:$N$1518,1)-1)/($G$16-1)*100))</f>
        <v/>
      </c>
      <c r="S823" s="11">
        <f>IF(COUNT(O823:R823)=4,ROUND(AVERAGE(O823:R823),6),"")</f>
        <v/>
      </c>
      <c r="U823">
        <f>IF(AND(ISNUMBER('자료_한국심리'!$A807),ISNUMBER('자료_한국심리'!$B807)),'자료_한국심리'!$A807,"")</f>
        <v/>
      </c>
      <c r="V823">
        <f>IF(AND(ISNUMBER('자료_한국심리'!$D807),ISNUMBER('자료_한국심리'!$E807)),'자료_한국심리'!$D807,"")</f>
        <v/>
      </c>
      <c r="W823">
        <f>IF(AND(ISNUMBER('자료_한국심리'!$G807),ISNUMBER('자료_한국심리'!$H807)),'자료_한국심리'!$G807,"")</f>
        <v/>
      </c>
      <c r="X823">
        <f>IF(AND(ISNUMBER('자료_한국심리'!$J807),ISNUMBER('자료_한국심리'!$K807)),'자료_한국심리'!$J807,"")</f>
        <v/>
      </c>
      <c r="Y823">
        <f>IF(AND(ISNUMBER('자료_한국심리'!$M807),ISNUMBER('자료_한국심리'!$N807)),'자료_한국심리'!$M807,"")</f>
        <v/>
      </c>
    </row>
    <row r="824">
      <c r="A824" s="10">
        <f>IF(806&gt;$E$5,"",SMALL($U$19:$U$4018,$E$6+806))</f>
        <v/>
      </c>
      <c r="B824" s="29">
        <f>IF(A824="","",INDEX('자료_한국심리'!$B$3:$B$4002,MATCH(A824,$U$19:$U$4018,0)))</f>
        <v/>
      </c>
      <c r="C824" s="22">
        <f>IF(A824="","",B824/AVERAGE(B700:B824)-1)</f>
        <v/>
      </c>
      <c r="D824" s="29">
        <f>IF(A824="","",IFERROR(INDEX('자료_한국심리'!$E$3:$E$4002,MATCH(A824,$V$19:$V$4018,0)),D823))</f>
        <v/>
      </c>
      <c r="E824" s="30">
        <f>IF(A824="","",IFERROR(INDEX('자료_한국심리'!$H$3:$H$4002,MATCH(A824,$W$19:$W$4018,0)),E823))</f>
        <v/>
      </c>
      <c r="F824" s="30">
        <f>IF(A824="","",IFERROR(INDEX('자료_한국심리'!$K$3:$K$4002,MATCH(A824,$X$19:$X$4018,0)),F823))</f>
        <v/>
      </c>
      <c r="G824" s="30">
        <f>IF(AND(ISNUMBER(E824),ISNUMBER(F824)),ROUND(E824-F824,6),"")</f>
        <v/>
      </c>
      <c r="H824" s="25">
        <f>IF(A824="","",IFERROR(INDEX('자료_한국심리'!$N$3:$N$4002,MATCH(A824,$Y$19:$Y$4018,0)),H823))</f>
        <v/>
      </c>
      <c r="I824" s="31">
        <f>IF(AND(ISNUMBER(H824),ISNUMBER(H804)),IF(H804&gt;0,H824/H804-1,""),"")</f>
        <v/>
      </c>
      <c r="J824">
        <f>IF(A824="",0,IF(A824&gt;$B$5,1,0))</f>
        <v/>
      </c>
      <c r="K824" s="29">
        <f>IF(AND(J824=1,ISNUMBER(D824)),D824,"")</f>
        <v/>
      </c>
      <c r="L824" s="30">
        <f>IF(AND(J824=1,ISNUMBER(G824)),G824,"")</f>
        <v/>
      </c>
      <c r="M824" s="22">
        <f>IF(AND(J824=1,ISNUMBER(C824)),C824,"")</f>
        <v/>
      </c>
      <c r="N824" s="31">
        <f>IF(AND(J824=1,ISNUMBER(I824)),I824,"")</f>
        <v/>
      </c>
      <c r="O824" s="11">
        <f>IF(K824="","",100-IF($G$13=1,50,(_xlfn.RANK.AVG(K824,$K$19:$K$1518,1)-1)/($G$13-1)*100))</f>
        <v/>
      </c>
      <c r="P824" s="11">
        <f>IF(L824="","",100-IF($G$14=1,50,(_xlfn.RANK.AVG(L824,$L$19:$L$1518,1)-1)/($G$14-1)*100))</f>
        <v/>
      </c>
      <c r="Q824" s="11">
        <f>IF(M824="","",IF($G$15=1,50,(_xlfn.RANK.AVG(M824,$M$19:$M$1518,1)-1)/($G$15-1)*100))</f>
        <v/>
      </c>
      <c r="R824" s="11">
        <f>IF(N824="","",IF($G$16=1,50,(_xlfn.RANK.AVG(N824,$N$19:$N$1518,1)-1)/($G$16-1)*100))</f>
        <v/>
      </c>
      <c r="S824" s="11">
        <f>IF(COUNT(O824:R824)=4,ROUND(AVERAGE(O824:R824),6),"")</f>
        <v/>
      </c>
      <c r="U824">
        <f>IF(AND(ISNUMBER('자료_한국심리'!$A808),ISNUMBER('자료_한국심리'!$B808)),'자료_한국심리'!$A808,"")</f>
        <v/>
      </c>
      <c r="V824">
        <f>IF(AND(ISNUMBER('자료_한국심리'!$D808),ISNUMBER('자료_한국심리'!$E808)),'자료_한국심리'!$D808,"")</f>
        <v/>
      </c>
      <c r="W824">
        <f>IF(AND(ISNUMBER('자료_한국심리'!$G808),ISNUMBER('자료_한국심리'!$H808)),'자료_한국심리'!$G808,"")</f>
        <v/>
      </c>
      <c r="X824">
        <f>IF(AND(ISNUMBER('자료_한국심리'!$J808),ISNUMBER('자료_한국심리'!$K808)),'자료_한국심리'!$J808,"")</f>
        <v/>
      </c>
      <c r="Y824">
        <f>IF(AND(ISNUMBER('자료_한국심리'!$M808),ISNUMBER('자료_한국심리'!$N808)),'자료_한국심리'!$M808,"")</f>
        <v/>
      </c>
    </row>
    <row r="825">
      <c r="A825" s="10">
        <f>IF(807&gt;$E$5,"",SMALL($U$19:$U$4018,$E$6+807))</f>
        <v/>
      </c>
      <c r="B825" s="29">
        <f>IF(A825="","",INDEX('자료_한국심리'!$B$3:$B$4002,MATCH(A825,$U$19:$U$4018,0)))</f>
        <v/>
      </c>
      <c r="C825" s="22">
        <f>IF(A825="","",B825/AVERAGE(B701:B825)-1)</f>
        <v/>
      </c>
      <c r="D825" s="29">
        <f>IF(A825="","",IFERROR(INDEX('자료_한국심리'!$E$3:$E$4002,MATCH(A825,$V$19:$V$4018,0)),D824))</f>
        <v/>
      </c>
      <c r="E825" s="30">
        <f>IF(A825="","",IFERROR(INDEX('자료_한국심리'!$H$3:$H$4002,MATCH(A825,$W$19:$W$4018,0)),E824))</f>
        <v/>
      </c>
      <c r="F825" s="30">
        <f>IF(A825="","",IFERROR(INDEX('자료_한국심리'!$K$3:$K$4002,MATCH(A825,$X$19:$X$4018,0)),F824))</f>
        <v/>
      </c>
      <c r="G825" s="30">
        <f>IF(AND(ISNUMBER(E825),ISNUMBER(F825)),ROUND(E825-F825,6),"")</f>
        <v/>
      </c>
      <c r="H825" s="25">
        <f>IF(A825="","",IFERROR(INDEX('자료_한국심리'!$N$3:$N$4002,MATCH(A825,$Y$19:$Y$4018,0)),H824))</f>
        <v/>
      </c>
      <c r="I825" s="31">
        <f>IF(AND(ISNUMBER(H825),ISNUMBER(H805)),IF(H805&gt;0,H825/H805-1,""),"")</f>
        <v/>
      </c>
      <c r="J825">
        <f>IF(A825="",0,IF(A825&gt;$B$5,1,0))</f>
        <v/>
      </c>
      <c r="K825" s="29">
        <f>IF(AND(J825=1,ISNUMBER(D825)),D825,"")</f>
        <v/>
      </c>
      <c r="L825" s="30">
        <f>IF(AND(J825=1,ISNUMBER(G825)),G825,"")</f>
        <v/>
      </c>
      <c r="M825" s="22">
        <f>IF(AND(J825=1,ISNUMBER(C825)),C825,"")</f>
        <v/>
      </c>
      <c r="N825" s="31">
        <f>IF(AND(J825=1,ISNUMBER(I825)),I825,"")</f>
        <v/>
      </c>
      <c r="O825" s="11">
        <f>IF(K825="","",100-IF($G$13=1,50,(_xlfn.RANK.AVG(K825,$K$19:$K$1518,1)-1)/($G$13-1)*100))</f>
        <v/>
      </c>
      <c r="P825" s="11">
        <f>IF(L825="","",100-IF($G$14=1,50,(_xlfn.RANK.AVG(L825,$L$19:$L$1518,1)-1)/($G$14-1)*100))</f>
        <v/>
      </c>
      <c r="Q825" s="11">
        <f>IF(M825="","",IF($G$15=1,50,(_xlfn.RANK.AVG(M825,$M$19:$M$1518,1)-1)/($G$15-1)*100))</f>
        <v/>
      </c>
      <c r="R825" s="11">
        <f>IF(N825="","",IF($G$16=1,50,(_xlfn.RANK.AVG(N825,$N$19:$N$1518,1)-1)/($G$16-1)*100))</f>
        <v/>
      </c>
      <c r="S825" s="11">
        <f>IF(COUNT(O825:R825)=4,ROUND(AVERAGE(O825:R825),6),"")</f>
        <v/>
      </c>
      <c r="U825">
        <f>IF(AND(ISNUMBER('자료_한국심리'!$A809),ISNUMBER('자료_한국심리'!$B809)),'자료_한국심리'!$A809,"")</f>
        <v/>
      </c>
      <c r="V825">
        <f>IF(AND(ISNUMBER('자료_한국심리'!$D809),ISNUMBER('자료_한국심리'!$E809)),'자료_한국심리'!$D809,"")</f>
        <v/>
      </c>
      <c r="W825">
        <f>IF(AND(ISNUMBER('자료_한국심리'!$G809),ISNUMBER('자료_한국심리'!$H809)),'자료_한국심리'!$G809,"")</f>
        <v/>
      </c>
      <c r="X825">
        <f>IF(AND(ISNUMBER('자료_한국심리'!$J809),ISNUMBER('자료_한국심리'!$K809)),'자료_한국심리'!$J809,"")</f>
        <v/>
      </c>
      <c r="Y825">
        <f>IF(AND(ISNUMBER('자료_한국심리'!$M809),ISNUMBER('자료_한국심리'!$N809)),'자료_한국심리'!$M809,"")</f>
        <v/>
      </c>
    </row>
    <row r="826">
      <c r="A826" s="10">
        <f>IF(808&gt;$E$5,"",SMALL($U$19:$U$4018,$E$6+808))</f>
        <v/>
      </c>
      <c r="B826" s="29">
        <f>IF(A826="","",INDEX('자료_한국심리'!$B$3:$B$4002,MATCH(A826,$U$19:$U$4018,0)))</f>
        <v/>
      </c>
      <c r="C826" s="22">
        <f>IF(A826="","",B826/AVERAGE(B702:B826)-1)</f>
        <v/>
      </c>
      <c r="D826" s="29">
        <f>IF(A826="","",IFERROR(INDEX('자료_한국심리'!$E$3:$E$4002,MATCH(A826,$V$19:$V$4018,0)),D825))</f>
        <v/>
      </c>
      <c r="E826" s="30">
        <f>IF(A826="","",IFERROR(INDEX('자료_한국심리'!$H$3:$H$4002,MATCH(A826,$W$19:$W$4018,0)),E825))</f>
        <v/>
      </c>
      <c r="F826" s="30">
        <f>IF(A826="","",IFERROR(INDEX('자료_한국심리'!$K$3:$K$4002,MATCH(A826,$X$19:$X$4018,0)),F825))</f>
        <v/>
      </c>
      <c r="G826" s="30">
        <f>IF(AND(ISNUMBER(E826),ISNUMBER(F826)),ROUND(E826-F826,6),"")</f>
        <v/>
      </c>
      <c r="H826" s="25">
        <f>IF(A826="","",IFERROR(INDEX('자료_한국심리'!$N$3:$N$4002,MATCH(A826,$Y$19:$Y$4018,0)),H825))</f>
        <v/>
      </c>
      <c r="I826" s="31">
        <f>IF(AND(ISNUMBER(H826),ISNUMBER(H806)),IF(H806&gt;0,H826/H806-1,""),"")</f>
        <v/>
      </c>
      <c r="J826">
        <f>IF(A826="",0,IF(A826&gt;$B$5,1,0))</f>
        <v/>
      </c>
      <c r="K826" s="29">
        <f>IF(AND(J826=1,ISNUMBER(D826)),D826,"")</f>
        <v/>
      </c>
      <c r="L826" s="30">
        <f>IF(AND(J826=1,ISNUMBER(G826)),G826,"")</f>
        <v/>
      </c>
      <c r="M826" s="22">
        <f>IF(AND(J826=1,ISNUMBER(C826)),C826,"")</f>
        <v/>
      </c>
      <c r="N826" s="31">
        <f>IF(AND(J826=1,ISNUMBER(I826)),I826,"")</f>
        <v/>
      </c>
      <c r="O826" s="11">
        <f>IF(K826="","",100-IF($G$13=1,50,(_xlfn.RANK.AVG(K826,$K$19:$K$1518,1)-1)/($G$13-1)*100))</f>
        <v/>
      </c>
      <c r="P826" s="11">
        <f>IF(L826="","",100-IF($G$14=1,50,(_xlfn.RANK.AVG(L826,$L$19:$L$1518,1)-1)/($G$14-1)*100))</f>
        <v/>
      </c>
      <c r="Q826" s="11">
        <f>IF(M826="","",IF($G$15=1,50,(_xlfn.RANK.AVG(M826,$M$19:$M$1518,1)-1)/($G$15-1)*100))</f>
        <v/>
      </c>
      <c r="R826" s="11">
        <f>IF(N826="","",IF($G$16=1,50,(_xlfn.RANK.AVG(N826,$N$19:$N$1518,1)-1)/($G$16-1)*100))</f>
        <v/>
      </c>
      <c r="S826" s="11">
        <f>IF(COUNT(O826:R826)=4,ROUND(AVERAGE(O826:R826),6),"")</f>
        <v/>
      </c>
      <c r="U826">
        <f>IF(AND(ISNUMBER('자료_한국심리'!$A810),ISNUMBER('자료_한국심리'!$B810)),'자료_한국심리'!$A810,"")</f>
        <v/>
      </c>
      <c r="V826">
        <f>IF(AND(ISNUMBER('자료_한국심리'!$D810),ISNUMBER('자료_한국심리'!$E810)),'자료_한국심리'!$D810,"")</f>
        <v/>
      </c>
      <c r="W826">
        <f>IF(AND(ISNUMBER('자료_한국심리'!$G810),ISNUMBER('자료_한국심리'!$H810)),'자료_한국심리'!$G810,"")</f>
        <v/>
      </c>
      <c r="X826">
        <f>IF(AND(ISNUMBER('자료_한국심리'!$J810),ISNUMBER('자료_한국심리'!$K810)),'자료_한국심리'!$J810,"")</f>
        <v/>
      </c>
      <c r="Y826">
        <f>IF(AND(ISNUMBER('자료_한국심리'!$M810),ISNUMBER('자료_한국심리'!$N810)),'자료_한국심리'!$M810,"")</f>
        <v/>
      </c>
    </row>
    <row r="827">
      <c r="A827" s="10">
        <f>IF(809&gt;$E$5,"",SMALL($U$19:$U$4018,$E$6+809))</f>
        <v/>
      </c>
      <c r="B827" s="29">
        <f>IF(A827="","",INDEX('자료_한국심리'!$B$3:$B$4002,MATCH(A827,$U$19:$U$4018,0)))</f>
        <v/>
      </c>
      <c r="C827" s="22">
        <f>IF(A827="","",B827/AVERAGE(B703:B827)-1)</f>
        <v/>
      </c>
      <c r="D827" s="29">
        <f>IF(A827="","",IFERROR(INDEX('자료_한국심리'!$E$3:$E$4002,MATCH(A827,$V$19:$V$4018,0)),D826))</f>
        <v/>
      </c>
      <c r="E827" s="30">
        <f>IF(A827="","",IFERROR(INDEX('자료_한국심리'!$H$3:$H$4002,MATCH(A827,$W$19:$W$4018,0)),E826))</f>
        <v/>
      </c>
      <c r="F827" s="30">
        <f>IF(A827="","",IFERROR(INDEX('자료_한국심리'!$K$3:$K$4002,MATCH(A827,$X$19:$X$4018,0)),F826))</f>
        <v/>
      </c>
      <c r="G827" s="30">
        <f>IF(AND(ISNUMBER(E827),ISNUMBER(F827)),ROUND(E827-F827,6),"")</f>
        <v/>
      </c>
      <c r="H827" s="25">
        <f>IF(A827="","",IFERROR(INDEX('자료_한국심리'!$N$3:$N$4002,MATCH(A827,$Y$19:$Y$4018,0)),H826))</f>
        <v/>
      </c>
      <c r="I827" s="31">
        <f>IF(AND(ISNUMBER(H827),ISNUMBER(H807)),IF(H807&gt;0,H827/H807-1,""),"")</f>
        <v/>
      </c>
      <c r="J827">
        <f>IF(A827="",0,IF(A827&gt;$B$5,1,0))</f>
        <v/>
      </c>
      <c r="K827" s="29">
        <f>IF(AND(J827=1,ISNUMBER(D827)),D827,"")</f>
        <v/>
      </c>
      <c r="L827" s="30">
        <f>IF(AND(J827=1,ISNUMBER(G827)),G827,"")</f>
        <v/>
      </c>
      <c r="M827" s="22">
        <f>IF(AND(J827=1,ISNUMBER(C827)),C827,"")</f>
        <v/>
      </c>
      <c r="N827" s="31">
        <f>IF(AND(J827=1,ISNUMBER(I827)),I827,"")</f>
        <v/>
      </c>
      <c r="O827" s="11">
        <f>IF(K827="","",100-IF($G$13=1,50,(_xlfn.RANK.AVG(K827,$K$19:$K$1518,1)-1)/($G$13-1)*100))</f>
        <v/>
      </c>
      <c r="P827" s="11">
        <f>IF(L827="","",100-IF($G$14=1,50,(_xlfn.RANK.AVG(L827,$L$19:$L$1518,1)-1)/($G$14-1)*100))</f>
        <v/>
      </c>
      <c r="Q827" s="11">
        <f>IF(M827="","",IF($G$15=1,50,(_xlfn.RANK.AVG(M827,$M$19:$M$1518,1)-1)/($G$15-1)*100))</f>
        <v/>
      </c>
      <c r="R827" s="11">
        <f>IF(N827="","",IF($G$16=1,50,(_xlfn.RANK.AVG(N827,$N$19:$N$1518,1)-1)/($G$16-1)*100))</f>
        <v/>
      </c>
      <c r="S827" s="11">
        <f>IF(COUNT(O827:R827)=4,ROUND(AVERAGE(O827:R827),6),"")</f>
        <v/>
      </c>
      <c r="U827">
        <f>IF(AND(ISNUMBER('자료_한국심리'!$A811),ISNUMBER('자료_한국심리'!$B811)),'자료_한국심리'!$A811,"")</f>
        <v/>
      </c>
      <c r="V827">
        <f>IF(AND(ISNUMBER('자료_한국심리'!$D811),ISNUMBER('자료_한국심리'!$E811)),'자료_한국심리'!$D811,"")</f>
        <v/>
      </c>
      <c r="W827">
        <f>IF(AND(ISNUMBER('자료_한국심리'!$G811),ISNUMBER('자료_한국심리'!$H811)),'자료_한국심리'!$G811,"")</f>
        <v/>
      </c>
      <c r="X827">
        <f>IF(AND(ISNUMBER('자료_한국심리'!$J811),ISNUMBER('자료_한국심리'!$K811)),'자료_한국심리'!$J811,"")</f>
        <v/>
      </c>
      <c r="Y827">
        <f>IF(AND(ISNUMBER('자료_한국심리'!$M811),ISNUMBER('자료_한국심리'!$N811)),'자료_한국심리'!$M811,"")</f>
        <v/>
      </c>
    </row>
    <row r="828">
      <c r="A828" s="10">
        <f>IF(810&gt;$E$5,"",SMALL($U$19:$U$4018,$E$6+810))</f>
        <v/>
      </c>
      <c r="B828" s="29">
        <f>IF(A828="","",INDEX('자료_한국심리'!$B$3:$B$4002,MATCH(A828,$U$19:$U$4018,0)))</f>
        <v/>
      </c>
      <c r="C828" s="22">
        <f>IF(A828="","",B828/AVERAGE(B704:B828)-1)</f>
        <v/>
      </c>
      <c r="D828" s="29">
        <f>IF(A828="","",IFERROR(INDEX('자료_한국심리'!$E$3:$E$4002,MATCH(A828,$V$19:$V$4018,0)),D827))</f>
        <v/>
      </c>
      <c r="E828" s="30">
        <f>IF(A828="","",IFERROR(INDEX('자료_한국심리'!$H$3:$H$4002,MATCH(A828,$W$19:$W$4018,0)),E827))</f>
        <v/>
      </c>
      <c r="F828" s="30">
        <f>IF(A828="","",IFERROR(INDEX('자료_한국심리'!$K$3:$K$4002,MATCH(A828,$X$19:$X$4018,0)),F827))</f>
        <v/>
      </c>
      <c r="G828" s="30">
        <f>IF(AND(ISNUMBER(E828),ISNUMBER(F828)),ROUND(E828-F828,6),"")</f>
        <v/>
      </c>
      <c r="H828" s="25">
        <f>IF(A828="","",IFERROR(INDEX('자료_한국심리'!$N$3:$N$4002,MATCH(A828,$Y$19:$Y$4018,0)),H827))</f>
        <v/>
      </c>
      <c r="I828" s="31">
        <f>IF(AND(ISNUMBER(H828),ISNUMBER(H808)),IF(H808&gt;0,H828/H808-1,""),"")</f>
        <v/>
      </c>
      <c r="J828">
        <f>IF(A828="",0,IF(A828&gt;$B$5,1,0))</f>
        <v/>
      </c>
      <c r="K828" s="29">
        <f>IF(AND(J828=1,ISNUMBER(D828)),D828,"")</f>
        <v/>
      </c>
      <c r="L828" s="30">
        <f>IF(AND(J828=1,ISNUMBER(G828)),G828,"")</f>
        <v/>
      </c>
      <c r="M828" s="22">
        <f>IF(AND(J828=1,ISNUMBER(C828)),C828,"")</f>
        <v/>
      </c>
      <c r="N828" s="31">
        <f>IF(AND(J828=1,ISNUMBER(I828)),I828,"")</f>
        <v/>
      </c>
      <c r="O828" s="11">
        <f>IF(K828="","",100-IF($G$13=1,50,(_xlfn.RANK.AVG(K828,$K$19:$K$1518,1)-1)/($G$13-1)*100))</f>
        <v/>
      </c>
      <c r="P828" s="11">
        <f>IF(L828="","",100-IF($G$14=1,50,(_xlfn.RANK.AVG(L828,$L$19:$L$1518,1)-1)/($G$14-1)*100))</f>
        <v/>
      </c>
      <c r="Q828" s="11">
        <f>IF(M828="","",IF($G$15=1,50,(_xlfn.RANK.AVG(M828,$M$19:$M$1518,1)-1)/($G$15-1)*100))</f>
        <v/>
      </c>
      <c r="R828" s="11">
        <f>IF(N828="","",IF($G$16=1,50,(_xlfn.RANK.AVG(N828,$N$19:$N$1518,1)-1)/($G$16-1)*100))</f>
        <v/>
      </c>
      <c r="S828" s="11">
        <f>IF(COUNT(O828:R828)=4,ROUND(AVERAGE(O828:R828),6),"")</f>
        <v/>
      </c>
      <c r="U828">
        <f>IF(AND(ISNUMBER('자료_한국심리'!$A812),ISNUMBER('자료_한국심리'!$B812)),'자료_한국심리'!$A812,"")</f>
        <v/>
      </c>
      <c r="V828">
        <f>IF(AND(ISNUMBER('자료_한국심리'!$D812),ISNUMBER('자료_한국심리'!$E812)),'자료_한국심리'!$D812,"")</f>
        <v/>
      </c>
      <c r="W828">
        <f>IF(AND(ISNUMBER('자료_한국심리'!$G812),ISNUMBER('자료_한국심리'!$H812)),'자료_한국심리'!$G812,"")</f>
        <v/>
      </c>
      <c r="X828">
        <f>IF(AND(ISNUMBER('자료_한국심리'!$J812),ISNUMBER('자료_한국심리'!$K812)),'자료_한국심리'!$J812,"")</f>
        <v/>
      </c>
      <c r="Y828">
        <f>IF(AND(ISNUMBER('자료_한국심리'!$M812),ISNUMBER('자료_한국심리'!$N812)),'자료_한국심리'!$M812,"")</f>
        <v/>
      </c>
    </row>
    <row r="829">
      <c r="A829" s="10">
        <f>IF(811&gt;$E$5,"",SMALL($U$19:$U$4018,$E$6+811))</f>
        <v/>
      </c>
      <c r="B829" s="29">
        <f>IF(A829="","",INDEX('자료_한국심리'!$B$3:$B$4002,MATCH(A829,$U$19:$U$4018,0)))</f>
        <v/>
      </c>
      <c r="C829" s="22">
        <f>IF(A829="","",B829/AVERAGE(B705:B829)-1)</f>
        <v/>
      </c>
      <c r="D829" s="29">
        <f>IF(A829="","",IFERROR(INDEX('자료_한국심리'!$E$3:$E$4002,MATCH(A829,$V$19:$V$4018,0)),D828))</f>
        <v/>
      </c>
      <c r="E829" s="30">
        <f>IF(A829="","",IFERROR(INDEX('자료_한국심리'!$H$3:$H$4002,MATCH(A829,$W$19:$W$4018,0)),E828))</f>
        <v/>
      </c>
      <c r="F829" s="30">
        <f>IF(A829="","",IFERROR(INDEX('자료_한국심리'!$K$3:$K$4002,MATCH(A829,$X$19:$X$4018,0)),F828))</f>
        <v/>
      </c>
      <c r="G829" s="30">
        <f>IF(AND(ISNUMBER(E829),ISNUMBER(F829)),ROUND(E829-F829,6),"")</f>
        <v/>
      </c>
      <c r="H829" s="25">
        <f>IF(A829="","",IFERROR(INDEX('자료_한국심리'!$N$3:$N$4002,MATCH(A829,$Y$19:$Y$4018,0)),H828))</f>
        <v/>
      </c>
      <c r="I829" s="31">
        <f>IF(AND(ISNUMBER(H829),ISNUMBER(H809)),IF(H809&gt;0,H829/H809-1,""),"")</f>
        <v/>
      </c>
      <c r="J829">
        <f>IF(A829="",0,IF(A829&gt;$B$5,1,0))</f>
        <v/>
      </c>
      <c r="K829" s="29">
        <f>IF(AND(J829=1,ISNUMBER(D829)),D829,"")</f>
        <v/>
      </c>
      <c r="L829" s="30">
        <f>IF(AND(J829=1,ISNUMBER(G829)),G829,"")</f>
        <v/>
      </c>
      <c r="M829" s="22">
        <f>IF(AND(J829=1,ISNUMBER(C829)),C829,"")</f>
        <v/>
      </c>
      <c r="N829" s="31">
        <f>IF(AND(J829=1,ISNUMBER(I829)),I829,"")</f>
        <v/>
      </c>
      <c r="O829" s="11">
        <f>IF(K829="","",100-IF($G$13=1,50,(_xlfn.RANK.AVG(K829,$K$19:$K$1518,1)-1)/($G$13-1)*100))</f>
        <v/>
      </c>
      <c r="P829" s="11">
        <f>IF(L829="","",100-IF($G$14=1,50,(_xlfn.RANK.AVG(L829,$L$19:$L$1518,1)-1)/($G$14-1)*100))</f>
        <v/>
      </c>
      <c r="Q829" s="11">
        <f>IF(M829="","",IF($G$15=1,50,(_xlfn.RANK.AVG(M829,$M$19:$M$1518,1)-1)/($G$15-1)*100))</f>
        <v/>
      </c>
      <c r="R829" s="11">
        <f>IF(N829="","",IF($G$16=1,50,(_xlfn.RANK.AVG(N829,$N$19:$N$1518,1)-1)/($G$16-1)*100))</f>
        <v/>
      </c>
      <c r="S829" s="11">
        <f>IF(COUNT(O829:R829)=4,ROUND(AVERAGE(O829:R829),6),"")</f>
        <v/>
      </c>
      <c r="U829">
        <f>IF(AND(ISNUMBER('자료_한국심리'!$A813),ISNUMBER('자료_한국심리'!$B813)),'자료_한국심리'!$A813,"")</f>
        <v/>
      </c>
      <c r="V829">
        <f>IF(AND(ISNUMBER('자료_한국심리'!$D813),ISNUMBER('자료_한국심리'!$E813)),'자료_한국심리'!$D813,"")</f>
        <v/>
      </c>
      <c r="W829">
        <f>IF(AND(ISNUMBER('자료_한국심리'!$G813),ISNUMBER('자료_한국심리'!$H813)),'자료_한국심리'!$G813,"")</f>
        <v/>
      </c>
      <c r="X829">
        <f>IF(AND(ISNUMBER('자료_한국심리'!$J813),ISNUMBER('자료_한국심리'!$K813)),'자료_한국심리'!$J813,"")</f>
        <v/>
      </c>
      <c r="Y829">
        <f>IF(AND(ISNUMBER('자료_한국심리'!$M813),ISNUMBER('자료_한국심리'!$N813)),'자료_한국심리'!$M813,"")</f>
        <v/>
      </c>
    </row>
    <row r="830">
      <c r="A830" s="10">
        <f>IF(812&gt;$E$5,"",SMALL($U$19:$U$4018,$E$6+812))</f>
        <v/>
      </c>
      <c r="B830" s="29">
        <f>IF(A830="","",INDEX('자료_한국심리'!$B$3:$B$4002,MATCH(A830,$U$19:$U$4018,0)))</f>
        <v/>
      </c>
      <c r="C830" s="22">
        <f>IF(A830="","",B830/AVERAGE(B706:B830)-1)</f>
        <v/>
      </c>
      <c r="D830" s="29">
        <f>IF(A830="","",IFERROR(INDEX('자료_한국심리'!$E$3:$E$4002,MATCH(A830,$V$19:$V$4018,0)),D829))</f>
        <v/>
      </c>
      <c r="E830" s="30">
        <f>IF(A830="","",IFERROR(INDEX('자료_한국심리'!$H$3:$H$4002,MATCH(A830,$W$19:$W$4018,0)),E829))</f>
        <v/>
      </c>
      <c r="F830" s="30">
        <f>IF(A830="","",IFERROR(INDEX('자료_한국심리'!$K$3:$K$4002,MATCH(A830,$X$19:$X$4018,0)),F829))</f>
        <v/>
      </c>
      <c r="G830" s="30">
        <f>IF(AND(ISNUMBER(E830),ISNUMBER(F830)),ROUND(E830-F830,6),"")</f>
        <v/>
      </c>
      <c r="H830" s="25">
        <f>IF(A830="","",IFERROR(INDEX('자료_한국심리'!$N$3:$N$4002,MATCH(A830,$Y$19:$Y$4018,0)),H829))</f>
        <v/>
      </c>
      <c r="I830" s="31">
        <f>IF(AND(ISNUMBER(H830),ISNUMBER(H810)),IF(H810&gt;0,H830/H810-1,""),"")</f>
        <v/>
      </c>
      <c r="J830">
        <f>IF(A830="",0,IF(A830&gt;$B$5,1,0))</f>
        <v/>
      </c>
      <c r="K830" s="29">
        <f>IF(AND(J830=1,ISNUMBER(D830)),D830,"")</f>
        <v/>
      </c>
      <c r="L830" s="30">
        <f>IF(AND(J830=1,ISNUMBER(G830)),G830,"")</f>
        <v/>
      </c>
      <c r="M830" s="22">
        <f>IF(AND(J830=1,ISNUMBER(C830)),C830,"")</f>
        <v/>
      </c>
      <c r="N830" s="31">
        <f>IF(AND(J830=1,ISNUMBER(I830)),I830,"")</f>
        <v/>
      </c>
      <c r="O830" s="11">
        <f>IF(K830="","",100-IF($G$13=1,50,(_xlfn.RANK.AVG(K830,$K$19:$K$1518,1)-1)/($G$13-1)*100))</f>
        <v/>
      </c>
      <c r="P830" s="11">
        <f>IF(L830="","",100-IF($G$14=1,50,(_xlfn.RANK.AVG(L830,$L$19:$L$1518,1)-1)/($G$14-1)*100))</f>
        <v/>
      </c>
      <c r="Q830" s="11">
        <f>IF(M830="","",IF($G$15=1,50,(_xlfn.RANK.AVG(M830,$M$19:$M$1518,1)-1)/($G$15-1)*100))</f>
        <v/>
      </c>
      <c r="R830" s="11">
        <f>IF(N830="","",IF($G$16=1,50,(_xlfn.RANK.AVG(N830,$N$19:$N$1518,1)-1)/($G$16-1)*100))</f>
        <v/>
      </c>
      <c r="S830" s="11">
        <f>IF(COUNT(O830:R830)=4,ROUND(AVERAGE(O830:R830),6),"")</f>
        <v/>
      </c>
      <c r="U830">
        <f>IF(AND(ISNUMBER('자료_한국심리'!$A814),ISNUMBER('자료_한국심리'!$B814)),'자료_한국심리'!$A814,"")</f>
        <v/>
      </c>
      <c r="V830">
        <f>IF(AND(ISNUMBER('자료_한국심리'!$D814),ISNUMBER('자료_한국심리'!$E814)),'자료_한국심리'!$D814,"")</f>
        <v/>
      </c>
      <c r="W830">
        <f>IF(AND(ISNUMBER('자료_한국심리'!$G814),ISNUMBER('자료_한국심리'!$H814)),'자료_한국심리'!$G814,"")</f>
        <v/>
      </c>
      <c r="X830">
        <f>IF(AND(ISNUMBER('자료_한국심리'!$J814),ISNUMBER('자료_한국심리'!$K814)),'자료_한국심리'!$J814,"")</f>
        <v/>
      </c>
      <c r="Y830">
        <f>IF(AND(ISNUMBER('자료_한국심리'!$M814),ISNUMBER('자료_한국심리'!$N814)),'자료_한국심리'!$M814,"")</f>
        <v/>
      </c>
    </row>
    <row r="831">
      <c r="A831" s="10">
        <f>IF(813&gt;$E$5,"",SMALL($U$19:$U$4018,$E$6+813))</f>
        <v/>
      </c>
      <c r="B831" s="29">
        <f>IF(A831="","",INDEX('자료_한국심리'!$B$3:$B$4002,MATCH(A831,$U$19:$U$4018,0)))</f>
        <v/>
      </c>
      <c r="C831" s="22">
        <f>IF(A831="","",B831/AVERAGE(B707:B831)-1)</f>
        <v/>
      </c>
      <c r="D831" s="29">
        <f>IF(A831="","",IFERROR(INDEX('자료_한국심리'!$E$3:$E$4002,MATCH(A831,$V$19:$V$4018,0)),D830))</f>
        <v/>
      </c>
      <c r="E831" s="30">
        <f>IF(A831="","",IFERROR(INDEX('자료_한국심리'!$H$3:$H$4002,MATCH(A831,$W$19:$W$4018,0)),E830))</f>
        <v/>
      </c>
      <c r="F831" s="30">
        <f>IF(A831="","",IFERROR(INDEX('자료_한국심리'!$K$3:$K$4002,MATCH(A831,$X$19:$X$4018,0)),F830))</f>
        <v/>
      </c>
      <c r="G831" s="30">
        <f>IF(AND(ISNUMBER(E831),ISNUMBER(F831)),ROUND(E831-F831,6),"")</f>
        <v/>
      </c>
      <c r="H831" s="25">
        <f>IF(A831="","",IFERROR(INDEX('자료_한국심리'!$N$3:$N$4002,MATCH(A831,$Y$19:$Y$4018,0)),H830))</f>
        <v/>
      </c>
      <c r="I831" s="31">
        <f>IF(AND(ISNUMBER(H831),ISNUMBER(H811)),IF(H811&gt;0,H831/H811-1,""),"")</f>
        <v/>
      </c>
      <c r="J831">
        <f>IF(A831="",0,IF(A831&gt;$B$5,1,0))</f>
        <v/>
      </c>
      <c r="K831" s="29">
        <f>IF(AND(J831=1,ISNUMBER(D831)),D831,"")</f>
        <v/>
      </c>
      <c r="L831" s="30">
        <f>IF(AND(J831=1,ISNUMBER(G831)),G831,"")</f>
        <v/>
      </c>
      <c r="M831" s="22">
        <f>IF(AND(J831=1,ISNUMBER(C831)),C831,"")</f>
        <v/>
      </c>
      <c r="N831" s="31">
        <f>IF(AND(J831=1,ISNUMBER(I831)),I831,"")</f>
        <v/>
      </c>
      <c r="O831" s="11">
        <f>IF(K831="","",100-IF($G$13=1,50,(_xlfn.RANK.AVG(K831,$K$19:$K$1518,1)-1)/($G$13-1)*100))</f>
        <v/>
      </c>
      <c r="P831" s="11">
        <f>IF(L831="","",100-IF($G$14=1,50,(_xlfn.RANK.AVG(L831,$L$19:$L$1518,1)-1)/($G$14-1)*100))</f>
        <v/>
      </c>
      <c r="Q831" s="11">
        <f>IF(M831="","",IF($G$15=1,50,(_xlfn.RANK.AVG(M831,$M$19:$M$1518,1)-1)/($G$15-1)*100))</f>
        <v/>
      </c>
      <c r="R831" s="11">
        <f>IF(N831="","",IF($G$16=1,50,(_xlfn.RANK.AVG(N831,$N$19:$N$1518,1)-1)/($G$16-1)*100))</f>
        <v/>
      </c>
      <c r="S831" s="11">
        <f>IF(COUNT(O831:R831)=4,ROUND(AVERAGE(O831:R831),6),"")</f>
        <v/>
      </c>
      <c r="U831">
        <f>IF(AND(ISNUMBER('자료_한국심리'!$A815),ISNUMBER('자료_한국심리'!$B815)),'자료_한국심리'!$A815,"")</f>
        <v/>
      </c>
      <c r="V831">
        <f>IF(AND(ISNUMBER('자료_한국심리'!$D815),ISNUMBER('자료_한국심리'!$E815)),'자료_한국심리'!$D815,"")</f>
        <v/>
      </c>
      <c r="W831">
        <f>IF(AND(ISNUMBER('자료_한국심리'!$G815),ISNUMBER('자료_한국심리'!$H815)),'자료_한국심리'!$G815,"")</f>
        <v/>
      </c>
      <c r="X831">
        <f>IF(AND(ISNUMBER('자료_한국심리'!$J815),ISNUMBER('자료_한국심리'!$K815)),'자료_한국심리'!$J815,"")</f>
        <v/>
      </c>
      <c r="Y831">
        <f>IF(AND(ISNUMBER('자료_한국심리'!$M815),ISNUMBER('자료_한국심리'!$N815)),'자료_한국심리'!$M815,"")</f>
        <v/>
      </c>
    </row>
    <row r="832">
      <c r="A832" s="10">
        <f>IF(814&gt;$E$5,"",SMALL($U$19:$U$4018,$E$6+814))</f>
        <v/>
      </c>
      <c r="B832" s="29">
        <f>IF(A832="","",INDEX('자료_한국심리'!$B$3:$B$4002,MATCH(A832,$U$19:$U$4018,0)))</f>
        <v/>
      </c>
      <c r="C832" s="22">
        <f>IF(A832="","",B832/AVERAGE(B708:B832)-1)</f>
        <v/>
      </c>
      <c r="D832" s="29">
        <f>IF(A832="","",IFERROR(INDEX('자료_한국심리'!$E$3:$E$4002,MATCH(A832,$V$19:$V$4018,0)),D831))</f>
        <v/>
      </c>
      <c r="E832" s="30">
        <f>IF(A832="","",IFERROR(INDEX('자료_한국심리'!$H$3:$H$4002,MATCH(A832,$W$19:$W$4018,0)),E831))</f>
        <v/>
      </c>
      <c r="F832" s="30">
        <f>IF(A832="","",IFERROR(INDEX('자료_한국심리'!$K$3:$K$4002,MATCH(A832,$X$19:$X$4018,0)),F831))</f>
        <v/>
      </c>
      <c r="G832" s="30">
        <f>IF(AND(ISNUMBER(E832),ISNUMBER(F832)),ROUND(E832-F832,6),"")</f>
        <v/>
      </c>
      <c r="H832" s="25">
        <f>IF(A832="","",IFERROR(INDEX('자료_한국심리'!$N$3:$N$4002,MATCH(A832,$Y$19:$Y$4018,0)),H831))</f>
        <v/>
      </c>
      <c r="I832" s="31">
        <f>IF(AND(ISNUMBER(H832),ISNUMBER(H812)),IF(H812&gt;0,H832/H812-1,""),"")</f>
        <v/>
      </c>
      <c r="J832">
        <f>IF(A832="",0,IF(A832&gt;$B$5,1,0))</f>
        <v/>
      </c>
      <c r="K832" s="29">
        <f>IF(AND(J832=1,ISNUMBER(D832)),D832,"")</f>
        <v/>
      </c>
      <c r="L832" s="30">
        <f>IF(AND(J832=1,ISNUMBER(G832)),G832,"")</f>
        <v/>
      </c>
      <c r="M832" s="22">
        <f>IF(AND(J832=1,ISNUMBER(C832)),C832,"")</f>
        <v/>
      </c>
      <c r="N832" s="31">
        <f>IF(AND(J832=1,ISNUMBER(I832)),I832,"")</f>
        <v/>
      </c>
      <c r="O832" s="11">
        <f>IF(K832="","",100-IF($G$13=1,50,(_xlfn.RANK.AVG(K832,$K$19:$K$1518,1)-1)/($G$13-1)*100))</f>
        <v/>
      </c>
      <c r="P832" s="11">
        <f>IF(L832="","",100-IF($G$14=1,50,(_xlfn.RANK.AVG(L832,$L$19:$L$1518,1)-1)/($G$14-1)*100))</f>
        <v/>
      </c>
      <c r="Q832" s="11">
        <f>IF(M832="","",IF($G$15=1,50,(_xlfn.RANK.AVG(M832,$M$19:$M$1518,1)-1)/($G$15-1)*100))</f>
        <v/>
      </c>
      <c r="R832" s="11">
        <f>IF(N832="","",IF($G$16=1,50,(_xlfn.RANK.AVG(N832,$N$19:$N$1518,1)-1)/($G$16-1)*100))</f>
        <v/>
      </c>
      <c r="S832" s="11">
        <f>IF(COUNT(O832:R832)=4,ROUND(AVERAGE(O832:R832),6),"")</f>
        <v/>
      </c>
      <c r="U832">
        <f>IF(AND(ISNUMBER('자료_한국심리'!$A816),ISNUMBER('자료_한국심리'!$B816)),'자료_한국심리'!$A816,"")</f>
        <v/>
      </c>
      <c r="V832">
        <f>IF(AND(ISNUMBER('자료_한국심리'!$D816),ISNUMBER('자료_한국심리'!$E816)),'자료_한국심리'!$D816,"")</f>
        <v/>
      </c>
      <c r="W832">
        <f>IF(AND(ISNUMBER('자료_한국심리'!$G816),ISNUMBER('자료_한국심리'!$H816)),'자료_한국심리'!$G816,"")</f>
        <v/>
      </c>
      <c r="X832">
        <f>IF(AND(ISNUMBER('자료_한국심리'!$J816),ISNUMBER('자료_한국심리'!$K816)),'자료_한국심리'!$J816,"")</f>
        <v/>
      </c>
      <c r="Y832">
        <f>IF(AND(ISNUMBER('자료_한국심리'!$M816),ISNUMBER('자료_한국심리'!$N816)),'자료_한국심리'!$M816,"")</f>
        <v/>
      </c>
    </row>
    <row r="833">
      <c r="A833" s="10">
        <f>IF(815&gt;$E$5,"",SMALL($U$19:$U$4018,$E$6+815))</f>
        <v/>
      </c>
      <c r="B833" s="29">
        <f>IF(A833="","",INDEX('자료_한국심리'!$B$3:$B$4002,MATCH(A833,$U$19:$U$4018,0)))</f>
        <v/>
      </c>
      <c r="C833" s="22">
        <f>IF(A833="","",B833/AVERAGE(B709:B833)-1)</f>
        <v/>
      </c>
      <c r="D833" s="29">
        <f>IF(A833="","",IFERROR(INDEX('자료_한국심리'!$E$3:$E$4002,MATCH(A833,$V$19:$V$4018,0)),D832))</f>
        <v/>
      </c>
      <c r="E833" s="30">
        <f>IF(A833="","",IFERROR(INDEX('자료_한국심리'!$H$3:$H$4002,MATCH(A833,$W$19:$W$4018,0)),E832))</f>
        <v/>
      </c>
      <c r="F833" s="30">
        <f>IF(A833="","",IFERROR(INDEX('자료_한국심리'!$K$3:$K$4002,MATCH(A833,$X$19:$X$4018,0)),F832))</f>
        <v/>
      </c>
      <c r="G833" s="30">
        <f>IF(AND(ISNUMBER(E833),ISNUMBER(F833)),ROUND(E833-F833,6),"")</f>
        <v/>
      </c>
      <c r="H833" s="25">
        <f>IF(A833="","",IFERROR(INDEX('자료_한국심리'!$N$3:$N$4002,MATCH(A833,$Y$19:$Y$4018,0)),H832))</f>
        <v/>
      </c>
      <c r="I833" s="31">
        <f>IF(AND(ISNUMBER(H833),ISNUMBER(H813)),IF(H813&gt;0,H833/H813-1,""),"")</f>
        <v/>
      </c>
      <c r="J833">
        <f>IF(A833="",0,IF(A833&gt;$B$5,1,0))</f>
        <v/>
      </c>
      <c r="K833" s="29">
        <f>IF(AND(J833=1,ISNUMBER(D833)),D833,"")</f>
        <v/>
      </c>
      <c r="L833" s="30">
        <f>IF(AND(J833=1,ISNUMBER(G833)),G833,"")</f>
        <v/>
      </c>
      <c r="M833" s="22">
        <f>IF(AND(J833=1,ISNUMBER(C833)),C833,"")</f>
        <v/>
      </c>
      <c r="N833" s="31">
        <f>IF(AND(J833=1,ISNUMBER(I833)),I833,"")</f>
        <v/>
      </c>
      <c r="O833" s="11">
        <f>IF(K833="","",100-IF($G$13=1,50,(_xlfn.RANK.AVG(K833,$K$19:$K$1518,1)-1)/($G$13-1)*100))</f>
        <v/>
      </c>
      <c r="P833" s="11">
        <f>IF(L833="","",100-IF($G$14=1,50,(_xlfn.RANK.AVG(L833,$L$19:$L$1518,1)-1)/($G$14-1)*100))</f>
        <v/>
      </c>
      <c r="Q833" s="11">
        <f>IF(M833="","",IF($G$15=1,50,(_xlfn.RANK.AVG(M833,$M$19:$M$1518,1)-1)/($G$15-1)*100))</f>
        <v/>
      </c>
      <c r="R833" s="11">
        <f>IF(N833="","",IF($G$16=1,50,(_xlfn.RANK.AVG(N833,$N$19:$N$1518,1)-1)/($G$16-1)*100))</f>
        <v/>
      </c>
      <c r="S833" s="11">
        <f>IF(COUNT(O833:R833)=4,ROUND(AVERAGE(O833:R833),6),"")</f>
        <v/>
      </c>
      <c r="U833">
        <f>IF(AND(ISNUMBER('자료_한국심리'!$A817),ISNUMBER('자료_한국심리'!$B817)),'자료_한국심리'!$A817,"")</f>
        <v/>
      </c>
      <c r="V833">
        <f>IF(AND(ISNUMBER('자료_한국심리'!$D817),ISNUMBER('자료_한국심리'!$E817)),'자료_한국심리'!$D817,"")</f>
        <v/>
      </c>
      <c r="W833">
        <f>IF(AND(ISNUMBER('자료_한국심리'!$G817),ISNUMBER('자료_한국심리'!$H817)),'자료_한국심리'!$G817,"")</f>
        <v/>
      </c>
      <c r="X833">
        <f>IF(AND(ISNUMBER('자료_한국심리'!$J817),ISNUMBER('자료_한국심리'!$K817)),'자료_한국심리'!$J817,"")</f>
        <v/>
      </c>
      <c r="Y833">
        <f>IF(AND(ISNUMBER('자료_한국심리'!$M817),ISNUMBER('자료_한국심리'!$N817)),'자료_한국심리'!$M817,"")</f>
        <v/>
      </c>
    </row>
    <row r="834">
      <c r="A834" s="10">
        <f>IF(816&gt;$E$5,"",SMALL($U$19:$U$4018,$E$6+816))</f>
        <v/>
      </c>
      <c r="B834" s="29">
        <f>IF(A834="","",INDEX('자료_한국심리'!$B$3:$B$4002,MATCH(A834,$U$19:$U$4018,0)))</f>
        <v/>
      </c>
      <c r="C834" s="22">
        <f>IF(A834="","",B834/AVERAGE(B710:B834)-1)</f>
        <v/>
      </c>
      <c r="D834" s="29">
        <f>IF(A834="","",IFERROR(INDEX('자료_한국심리'!$E$3:$E$4002,MATCH(A834,$V$19:$V$4018,0)),D833))</f>
        <v/>
      </c>
      <c r="E834" s="30">
        <f>IF(A834="","",IFERROR(INDEX('자료_한국심리'!$H$3:$H$4002,MATCH(A834,$W$19:$W$4018,0)),E833))</f>
        <v/>
      </c>
      <c r="F834" s="30">
        <f>IF(A834="","",IFERROR(INDEX('자료_한국심리'!$K$3:$K$4002,MATCH(A834,$X$19:$X$4018,0)),F833))</f>
        <v/>
      </c>
      <c r="G834" s="30">
        <f>IF(AND(ISNUMBER(E834),ISNUMBER(F834)),ROUND(E834-F834,6),"")</f>
        <v/>
      </c>
      <c r="H834" s="25">
        <f>IF(A834="","",IFERROR(INDEX('자료_한국심리'!$N$3:$N$4002,MATCH(A834,$Y$19:$Y$4018,0)),H833))</f>
        <v/>
      </c>
      <c r="I834" s="31">
        <f>IF(AND(ISNUMBER(H834),ISNUMBER(H814)),IF(H814&gt;0,H834/H814-1,""),"")</f>
        <v/>
      </c>
      <c r="J834">
        <f>IF(A834="",0,IF(A834&gt;$B$5,1,0))</f>
        <v/>
      </c>
      <c r="K834" s="29">
        <f>IF(AND(J834=1,ISNUMBER(D834)),D834,"")</f>
        <v/>
      </c>
      <c r="L834" s="30">
        <f>IF(AND(J834=1,ISNUMBER(G834)),G834,"")</f>
        <v/>
      </c>
      <c r="M834" s="22">
        <f>IF(AND(J834=1,ISNUMBER(C834)),C834,"")</f>
        <v/>
      </c>
      <c r="N834" s="31">
        <f>IF(AND(J834=1,ISNUMBER(I834)),I834,"")</f>
        <v/>
      </c>
      <c r="O834" s="11">
        <f>IF(K834="","",100-IF($G$13=1,50,(_xlfn.RANK.AVG(K834,$K$19:$K$1518,1)-1)/($G$13-1)*100))</f>
        <v/>
      </c>
      <c r="P834" s="11">
        <f>IF(L834="","",100-IF($G$14=1,50,(_xlfn.RANK.AVG(L834,$L$19:$L$1518,1)-1)/($G$14-1)*100))</f>
        <v/>
      </c>
      <c r="Q834" s="11">
        <f>IF(M834="","",IF($G$15=1,50,(_xlfn.RANK.AVG(M834,$M$19:$M$1518,1)-1)/($G$15-1)*100))</f>
        <v/>
      </c>
      <c r="R834" s="11">
        <f>IF(N834="","",IF($G$16=1,50,(_xlfn.RANK.AVG(N834,$N$19:$N$1518,1)-1)/($G$16-1)*100))</f>
        <v/>
      </c>
      <c r="S834" s="11">
        <f>IF(COUNT(O834:R834)=4,ROUND(AVERAGE(O834:R834),6),"")</f>
        <v/>
      </c>
      <c r="U834">
        <f>IF(AND(ISNUMBER('자료_한국심리'!$A818),ISNUMBER('자료_한국심리'!$B818)),'자료_한국심리'!$A818,"")</f>
        <v/>
      </c>
      <c r="V834">
        <f>IF(AND(ISNUMBER('자료_한국심리'!$D818),ISNUMBER('자료_한국심리'!$E818)),'자료_한국심리'!$D818,"")</f>
        <v/>
      </c>
      <c r="W834">
        <f>IF(AND(ISNUMBER('자료_한국심리'!$G818),ISNUMBER('자료_한국심리'!$H818)),'자료_한국심리'!$G818,"")</f>
        <v/>
      </c>
      <c r="X834">
        <f>IF(AND(ISNUMBER('자료_한국심리'!$J818),ISNUMBER('자료_한국심리'!$K818)),'자료_한국심리'!$J818,"")</f>
        <v/>
      </c>
      <c r="Y834">
        <f>IF(AND(ISNUMBER('자료_한국심리'!$M818),ISNUMBER('자료_한국심리'!$N818)),'자료_한국심리'!$M818,"")</f>
        <v/>
      </c>
    </row>
    <row r="835">
      <c r="A835" s="10">
        <f>IF(817&gt;$E$5,"",SMALL($U$19:$U$4018,$E$6+817))</f>
        <v/>
      </c>
      <c r="B835" s="29">
        <f>IF(A835="","",INDEX('자료_한국심리'!$B$3:$B$4002,MATCH(A835,$U$19:$U$4018,0)))</f>
        <v/>
      </c>
      <c r="C835" s="22">
        <f>IF(A835="","",B835/AVERAGE(B711:B835)-1)</f>
        <v/>
      </c>
      <c r="D835" s="29">
        <f>IF(A835="","",IFERROR(INDEX('자료_한국심리'!$E$3:$E$4002,MATCH(A835,$V$19:$V$4018,0)),D834))</f>
        <v/>
      </c>
      <c r="E835" s="30">
        <f>IF(A835="","",IFERROR(INDEX('자료_한국심리'!$H$3:$H$4002,MATCH(A835,$W$19:$W$4018,0)),E834))</f>
        <v/>
      </c>
      <c r="F835" s="30">
        <f>IF(A835="","",IFERROR(INDEX('자료_한국심리'!$K$3:$K$4002,MATCH(A835,$X$19:$X$4018,0)),F834))</f>
        <v/>
      </c>
      <c r="G835" s="30">
        <f>IF(AND(ISNUMBER(E835),ISNUMBER(F835)),ROUND(E835-F835,6),"")</f>
        <v/>
      </c>
      <c r="H835" s="25">
        <f>IF(A835="","",IFERROR(INDEX('자료_한국심리'!$N$3:$N$4002,MATCH(A835,$Y$19:$Y$4018,0)),H834))</f>
        <v/>
      </c>
      <c r="I835" s="31">
        <f>IF(AND(ISNUMBER(H835),ISNUMBER(H815)),IF(H815&gt;0,H835/H815-1,""),"")</f>
        <v/>
      </c>
      <c r="J835">
        <f>IF(A835="",0,IF(A835&gt;$B$5,1,0))</f>
        <v/>
      </c>
      <c r="K835" s="29">
        <f>IF(AND(J835=1,ISNUMBER(D835)),D835,"")</f>
        <v/>
      </c>
      <c r="L835" s="30">
        <f>IF(AND(J835=1,ISNUMBER(G835)),G835,"")</f>
        <v/>
      </c>
      <c r="M835" s="22">
        <f>IF(AND(J835=1,ISNUMBER(C835)),C835,"")</f>
        <v/>
      </c>
      <c r="N835" s="31">
        <f>IF(AND(J835=1,ISNUMBER(I835)),I835,"")</f>
        <v/>
      </c>
      <c r="O835" s="11">
        <f>IF(K835="","",100-IF($G$13=1,50,(_xlfn.RANK.AVG(K835,$K$19:$K$1518,1)-1)/($G$13-1)*100))</f>
        <v/>
      </c>
      <c r="P835" s="11">
        <f>IF(L835="","",100-IF($G$14=1,50,(_xlfn.RANK.AVG(L835,$L$19:$L$1518,1)-1)/($G$14-1)*100))</f>
        <v/>
      </c>
      <c r="Q835" s="11">
        <f>IF(M835="","",IF($G$15=1,50,(_xlfn.RANK.AVG(M835,$M$19:$M$1518,1)-1)/($G$15-1)*100))</f>
        <v/>
      </c>
      <c r="R835" s="11">
        <f>IF(N835="","",IF($G$16=1,50,(_xlfn.RANK.AVG(N835,$N$19:$N$1518,1)-1)/($G$16-1)*100))</f>
        <v/>
      </c>
      <c r="S835" s="11">
        <f>IF(COUNT(O835:R835)=4,ROUND(AVERAGE(O835:R835),6),"")</f>
        <v/>
      </c>
      <c r="U835">
        <f>IF(AND(ISNUMBER('자료_한국심리'!$A819),ISNUMBER('자료_한국심리'!$B819)),'자료_한국심리'!$A819,"")</f>
        <v/>
      </c>
      <c r="V835">
        <f>IF(AND(ISNUMBER('자료_한국심리'!$D819),ISNUMBER('자료_한국심리'!$E819)),'자료_한국심리'!$D819,"")</f>
        <v/>
      </c>
      <c r="W835">
        <f>IF(AND(ISNUMBER('자료_한국심리'!$G819),ISNUMBER('자료_한국심리'!$H819)),'자료_한국심리'!$G819,"")</f>
        <v/>
      </c>
      <c r="X835">
        <f>IF(AND(ISNUMBER('자료_한국심리'!$J819),ISNUMBER('자료_한국심리'!$K819)),'자료_한국심리'!$J819,"")</f>
        <v/>
      </c>
      <c r="Y835">
        <f>IF(AND(ISNUMBER('자료_한국심리'!$M819),ISNUMBER('자료_한국심리'!$N819)),'자료_한국심리'!$M819,"")</f>
        <v/>
      </c>
    </row>
    <row r="836">
      <c r="A836" s="10">
        <f>IF(818&gt;$E$5,"",SMALL($U$19:$U$4018,$E$6+818))</f>
        <v/>
      </c>
      <c r="B836" s="29">
        <f>IF(A836="","",INDEX('자료_한국심리'!$B$3:$B$4002,MATCH(A836,$U$19:$U$4018,0)))</f>
        <v/>
      </c>
      <c r="C836" s="22">
        <f>IF(A836="","",B836/AVERAGE(B712:B836)-1)</f>
        <v/>
      </c>
      <c r="D836" s="29">
        <f>IF(A836="","",IFERROR(INDEX('자료_한국심리'!$E$3:$E$4002,MATCH(A836,$V$19:$V$4018,0)),D835))</f>
        <v/>
      </c>
      <c r="E836" s="30">
        <f>IF(A836="","",IFERROR(INDEX('자료_한국심리'!$H$3:$H$4002,MATCH(A836,$W$19:$W$4018,0)),E835))</f>
        <v/>
      </c>
      <c r="F836" s="30">
        <f>IF(A836="","",IFERROR(INDEX('자료_한국심리'!$K$3:$K$4002,MATCH(A836,$X$19:$X$4018,0)),F835))</f>
        <v/>
      </c>
      <c r="G836" s="30">
        <f>IF(AND(ISNUMBER(E836),ISNUMBER(F836)),ROUND(E836-F836,6),"")</f>
        <v/>
      </c>
      <c r="H836" s="25">
        <f>IF(A836="","",IFERROR(INDEX('자료_한국심리'!$N$3:$N$4002,MATCH(A836,$Y$19:$Y$4018,0)),H835))</f>
        <v/>
      </c>
      <c r="I836" s="31">
        <f>IF(AND(ISNUMBER(H836),ISNUMBER(H816)),IF(H816&gt;0,H836/H816-1,""),"")</f>
        <v/>
      </c>
      <c r="J836">
        <f>IF(A836="",0,IF(A836&gt;$B$5,1,0))</f>
        <v/>
      </c>
      <c r="K836" s="29">
        <f>IF(AND(J836=1,ISNUMBER(D836)),D836,"")</f>
        <v/>
      </c>
      <c r="L836" s="30">
        <f>IF(AND(J836=1,ISNUMBER(G836)),G836,"")</f>
        <v/>
      </c>
      <c r="M836" s="22">
        <f>IF(AND(J836=1,ISNUMBER(C836)),C836,"")</f>
        <v/>
      </c>
      <c r="N836" s="31">
        <f>IF(AND(J836=1,ISNUMBER(I836)),I836,"")</f>
        <v/>
      </c>
      <c r="O836" s="11">
        <f>IF(K836="","",100-IF($G$13=1,50,(_xlfn.RANK.AVG(K836,$K$19:$K$1518,1)-1)/($G$13-1)*100))</f>
        <v/>
      </c>
      <c r="P836" s="11">
        <f>IF(L836="","",100-IF($G$14=1,50,(_xlfn.RANK.AVG(L836,$L$19:$L$1518,1)-1)/($G$14-1)*100))</f>
        <v/>
      </c>
      <c r="Q836" s="11">
        <f>IF(M836="","",IF($G$15=1,50,(_xlfn.RANK.AVG(M836,$M$19:$M$1518,1)-1)/($G$15-1)*100))</f>
        <v/>
      </c>
      <c r="R836" s="11">
        <f>IF(N836="","",IF($G$16=1,50,(_xlfn.RANK.AVG(N836,$N$19:$N$1518,1)-1)/($G$16-1)*100))</f>
        <v/>
      </c>
      <c r="S836" s="11">
        <f>IF(COUNT(O836:R836)=4,ROUND(AVERAGE(O836:R836),6),"")</f>
        <v/>
      </c>
      <c r="U836">
        <f>IF(AND(ISNUMBER('자료_한국심리'!$A820),ISNUMBER('자료_한국심리'!$B820)),'자료_한국심리'!$A820,"")</f>
        <v/>
      </c>
      <c r="V836">
        <f>IF(AND(ISNUMBER('자료_한국심리'!$D820),ISNUMBER('자료_한국심리'!$E820)),'자료_한국심리'!$D820,"")</f>
        <v/>
      </c>
      <c r="W836">
        <f>IF(AND(ISNUMBER('자료_한국심리'!$G820),ISNUMBER('자료_한국심리'!$H820)),'자료_한국심리'!$G820,"")</f>
        <v/>
      </c>
      <c r="X836">
        <f>IF(AND(ISNUMBER('자료_한국심리'!$J820),ISNUMBER('자료_한국심리'!$K820)),'자료_한국심리'!$J820,"")</f>
        <v/>
      </c>
      <c r="Y836">
        <f>IF(AND(ISNUMBER('자료_한국심리'!$M820),ISNUMBER('자료_한국심리'!$N820)),'자료_한국심리'!$M820,"")</f>
        <v/>
      </c>
    </row>
    <row r="837">
      <c r="A837" s="10">
        <f>IF(819&gt;$E$5,"",SMALL($U$19:$U$4018,$E$6+819))</f>
        <v/>
      </c>
      <c r="B837" s="29">
        <f>IF(A837="","",INDEX('자료_한국심리'!$B$3:$B$4002,MATCH(A837,$U$19:$U$4018,0)))</f>
        <v/>
      </c>
      <c r="C837" s="22">
        <f>IF(A837="","",B837/AVERAGE(B713:B837)-1)</f>
        <v/>
      </c>
      <c r="D837" s="29">
        <f>IF(A837="","",IFERROR(INDEX('자료_한국심리'!$E$3:$E$4002,MATCH(A837,$V$19:$V$4018,0)),D836))</f>
        <v/>
      </c>
      <c r="E837" s="30">
        <f>IF(A837="","",IFERROR(INDEX('자료_한국심리'!$H$3:$H$4002,MATCH(A837,$W$19:$W$4018,0)),E836))</f>
        <v/>
      </c>
      <c r="F837" s="30">
        <f>IF(A837="","",IFERROR(INDEX('자료_한국심리'!$K$3:$K$4002,MATCH(A837,$X$19:$X$4018,0)),F836))</f>
        <v/>
      </c>
      <c r="G837" s="30">
        <f>IF(AND(ISNUMBER(E837),ISNUMBER(F837)),ROUND(E837-F837,6),"")</f>
        <v/>
      </c>
      <c r="H837" s="25">
        <f>IF(A837="","",IFERROR(INDEX('자료_한국심리'!$N$3:$N$4002,MATCH(A837,$Y$19:$Y$4018,0)),H836))</f>
        <v/>
      </c>
      <c r="I837" s="31">
        <f>IF(AND(ISNUMBER(H837),ISNUMBER(H817)),IF(H817&gt;0,H837/H817-1,""),"")</f>
        <v/>
      </c>
      <c r="J837">
        <f>IF(A837="",0,IF(A837&gt;$B$5,1,0))</f>
        <v/>
      </c>
      <c r="K837" s="29">
        <f>IF(AND(J837=1,ISNUMBER(D837)),D837,"")</f>
        <v/>
      </c>
      <c r="L837" s="30">
        <f>IF(AND(J837=1,ISNUMBER(G837)),G837,"")</f>
        <v/>
      </c>
      <c r="M837" s="22">
        <f>IF(AND(J837=1,ISNUMBER(C837)),C837,"")</f>
        <v/>
      </c>
      <c r="N837" s="31">
        <f>IF(AND(J837=1,ISNUMBER(I837)),I837,"")</f>
        <v/>
      </c>
      <c r="O837" s="11">
        <f>IF(K837="","",100-IF($G$13=1,50,(_xlfn.RANK.AVG(K837,$K$19:$K$1518,1)-1)/($G$13-1)*100))</f>
        <v/>
      </c>
      <c r="P837" s="11">
        <f>IF(L837="","",100-IF($G$14=1,50,(_xlfn.RANK.AVG(L837,$L$19:$L$1518,1)-1)/($G$14-1)*100))</f>
        <v/>
      </c>
      <c r="Q837" s="11">
        <f>IF(M837="","",IF($G$15=1,50,(_xlfn.RANK.AVG(M837,$M$19:$M$1518,1)-1)/($G$15-1)*100))</f>
        <v/>
      </c>
      <c r="R837" s="11">
        <f>IF(N837="","",IF($G$16=1,50,(_xlfn.RANK.AVG(N837,$N$19:$N$1518,1)-1)/($G$16-1)*100))</f>
        <v/>
      </c>
      <c r="S837" s="11">
        <f>IF(COUNT(O837:R837)=4,ROUND(AVERAGE(O837:R837),6),"")</f>
        <v/>
      </c>
      <c r="U837">
        <f>IF(AND(ISNUMBER('자료_한국심리'!$A821),ISNUMBER('자료_한국심리'!$B821)),'자료_한국심리'!$A821,"")</f>
        <v/>
      </c>
      <c r="V837">
        <f>IF(AND(ISNUMBER('자료_한국심리'!$D821),ISNUMBER('자료_한국심리'!$E821)),'자료_한국심리'!$D821,"")</f>
        <v/>
      </c>
      <c r="W837">
        <f>IF(AND(ISNUMBER('자료_한국심리'!$G821),ISNUMBER('자료_한국심리'!$H821)),'자료_한국심리'!$G821,"")</f>
        <v/>
      </c>
      <c r="X837">
        <f>IF(AND(ISNUMBER('자료_한국심리'!$J821),ISNUMBER('자료_한국심리'!$K821)),'자료_한국심리'!$J821,"")</f>
        <v/>
      </c>
      <c r="Y837">
        <f>IF(AND(ISNUMBER('자료_한국심리'!$M821),ISNUMBER('자료_한국심리'!$N821)),'자료_한국심리'!$M821,"")</f>
        <v/>
      </c>
    </row>
    <row r="838">
      <c r="A838" s="10">
        <f>IF(820&gt;$E$5,"",SMALL($U$19:$U$4018,$E$6+820))</f>
        <v/>
      </c>
      <c r="B838" s="29">
        <f>IF(A838="","",INDEX('자료_한국심리'!$B$3:$B$4002,MATCH(A838,$U$19:$U$4018,0)))</f>
        <v/>
      </c>
      <c r="C838" s="22">
        <f>IF(A838="","",B838/AVERAGE(B714:B838)-1)</f>
        <v/>
      </c>
      <c r="D838" s="29">
        <f>IF(A838="","",IFERROR(INDEX('자료_한국심리'!$E$3:$E$4002,MATCH(A838,$V$19:$V$4018,0)),D837))</f>
        <v/>
      </c>
      <c r="E838" s="30">
        <f>IF(A838="","",IFERROR(INDEX('자료_한국심리'!$H$3:$H$4002,MATCH(A838,$W$19:$W$4018,0)),E837))</f>
        <v/>
      </c>
      <c r="F838" s="30">
        <f>IF(A838="","",IFERROR(INDEX('자료_한국심리'!$K$3:$K$4002,MATCH(A838,$X$19:$X$4018,0)),F837))</f>
        <v/>
      </c>
      <c r="G838" s="30">
        <f>IF(AND(ISNUMBER(E838),ISNUMBER(F838)),ROUND(E838-F838,6),"")</f>
        <v/>
      </c>
      <c r="H838" s="25">
        <f>IF(A838="","",IFERROR(INDEX('자료_한국심리'!$N$3:$N$4002,MATCH(A838,$Y$19:$Y$4018,0)),H837))</f>
        <v/>
      </c>
      <c r="I838" s="31">
        <f>IF(AND(ISNUMBER(H838),ISNUMBER(H818)),IF(H818&gt;0,H838/H818-1,""),"")</f>
        <v/>
      </c>
      <c r="J838">
        <f>IF(A838="",0,IF(A838&gt;$B$5,1,0))</f>
        <v/>
      </c>
      <c r="K838" s="29">
        <f>IF(AND(J838=1,ISNUMBER(D838)),D838,"")</f>
        <v/>
      </c>
      <c r="L838" s="30">
        <f>IF(AND(J838=1,ISNUMBER(G838)),G838,"")</f>
        <v/>
      </c>
      <c r="M838" s="22">
        <f>IF(AND(J838=1,ISNUMBER(C838)),C838,"")</f>
        <v/>
      </c>
      <c r="N838" s="31">
        <f>IF(AND(J838=1,ISNUMBER(I838)),I838,"")</f>
        <v/>
      </c>
      <c r="O838" s="11">
        <f>IF(K838="","",100-IF($G$13=1,50,(_xlfn.RANK.AVG(K838,$K$19:$K$1518,1)-1)/($G$13-1)*100))</f>
        <v/>
      </c>
      <c r="P838" s="11">
        <f>IF(L838="","",100-IF($G$14=1,50,(_xlfn.RANK.AVG(L838,$L$19:$L$1518,1)-1)/($G$14-1)*100))</f>
        <v/>
      </c>
      <c r="Q838" s="11">
        <f>IF(M838="","",IF($G$15=1,50,(_xlfn.RANK.AVG(M838,$M$19:$M$1518,1)-1)/($G$15-1)*100))</f>
        <v/>
      </c>
      <c r="R838" s="11">
        <f>IF(N838="","",IF($G$16=1,50,(_xlfn.RANK.AVG(N838,$N$19:$N$1518,1)-1)/($G$16-1)*100))</f>
        <v/>
      </c>
      <c r="S838" s="11">
        <f>IF(COUNT(O838:R838)=4,ROUND(AVERAGE(O838:R838),6),"")</f>
        <v/>
      </c>
      <c r="U838">
        <f>IF(AND(ISNUMBER('자료_한국심리'!$A822),ISNUMBER('자료_한국심리'!$B822)),'자료_한국심리'!$A822,"")</f>
        <v/>
      </c>
      <c r="V838">
        <f>IF(AND(ISNUMBER('자료_한국심리'!$D822),ISNUMBER('자료_한국심리'!$E822)),'자료_한국심리'!$D822,"")</f>
        <v/>
      </c>
      <c r="W838">
        <f>IF(AND(ISNUMBER('자료_한국심리'!$G822),ISNUMBER('자료_한국심리'!$H822)),'자료_한국심리'!$G822,"")</f>
        <v/>
      </c>
      <c r="X838">
        <f>IF(AND(ISNUMBER('자료_한국심리'!$J822),ISNUMBER('자료_한국심리'!$K822)),'자료_한국심리'!$J822,"")</f>
        <v/>
      </c>
      <c r="Y838">
        <f>IF(AND(ISNUMBER('자료_한국심리'!$M822),ISNUMBER('자료_한국심리'!$N822)),'자료_한국심리'!$M822,"")</f>
        <v/>
      </c>
    </row>
    <row r="839">
      <c r="A839" s="10">
        <f>IF(821&gt;$E$5,"",SMALL($U$19:$U$4018,$E$6+821))</f>
        <v/>
      </c>
      <c r="B839" s="29">
        <f>IF(A839="","",INDEX('자료_한국심리'!$B$3:$B$4002,MATCH(A839,$U$19:$U$4018,0)))</f>
        <v/>
      </c>
      <c r="C839" s="22">
        <f>IF(A839="","",B839/AVERAGE(B715:B839)-1)</f>
        <v/>
      </c>
      <c r="D839" s="29">
        <f>IF(A839="","",IFERROR(INDEX('자료_한국심리'!$E$3:$E$4002,MATCH(A839,$V$19:$V$4018,0)),D838))</f>
        <v/>
      </c>
      <c r="E839" s="30">
        <f>IF(A839="","",IFERROR(INDEX('자료_한국심리'!$H$3:$H$4002,MATCH(A839,$W$19:$W$4018,0)),E838))</f>
        <v/>
      </c>
      <c r="F839" s="30">
        <f>IF(A839="","",IFERROR(INDEX('자료_한국심리'!$K$3:$K$4002,MATCH(A839,$X$19:$X$4018,0)),F838))</f>
        <v/>
      </c>
      <c r="G839" s="30">
        <f>IF(AND(ISNUMBER(E839),ISNUMBER(F839)),ROUND(E839-F839,6),"")</f>
        <v/>
      </c>
      <c r="H839" s="25">
        <f>IF(A839="","",IFERROR(INDEX('자료_한국심리'!$N$3:$N$4002,MATCH(A839,$Y$19:$Y$4018,0)),H838))</f>
        <v/>
      </c>
      <c r="I839" s="31">
        <f>IF(AND(ISNUMBER(H839),ISNUMBER(H819)),IF(H819&gt;0,H839/H819-1,""),"")</f>
        <v/>
      </c>
      <c r="J839">
        <f>IF(A839="",0,IF(A839&gt;$B$5,1,0))</f>
        <v/>
      </c>
      <c r="K839" s="29">
        <f>IF(AND(J839=1,ISNUMBER(D839)),D839,"")</f>
        <v/>
      </c>
      <c r="L839" s="30">
        <f>IF(AND(J839=1,ISNUMBER(G839)),G839,"")</f>
        <v/>
      </c>
      <c r="M839" s="22">
        <f>IF(AND(J839=1,ISNUMBER(C839)),C839,"")</f>
        <v/>
      </c>
      <c r="N839" s="31">
        <f>IF(AND(J839=1,ISNUMBER(I839)),I839,"")</f>
        <v/>
      </c>
      <c r="O839" s="11">
        <f>IF(K839="","",100-IF($G$13=1,50,(_xlfn.RANK.AVG(K839,$K$19:$K$1518,1)-1)/($G$13-1)*100))</f>
        <v/>
      </c>
      <c r="P839" s="11">
        <f>IF(L839="","",100-IF($G$14=1,50,(_xlfn.RANK.AVG(L839,$L$19:$L$1518,1)-1)/($G$14-1)*100))</f>
        <v/>
      </c>
      <c r="Q839" s="11">
        <f>IF(M839="","",IF($G$15=1,50,(_xlfn.RANK.AVG(M839,$M$19:$M$1518,1)-1)/($G$15-1)*100))</f>
        <v/>
      </c>
      <c r="R839" s="11">
        <f>IF(N839="","",IF($G$16=1,50,(_xlfn.RANK.AVG(N839,$N$19:$N$1518,1)-1)/($G$16-1)*100))</f>
        <v/>
      </c>
      <c r="S839" s="11">
        <f>IF(COUNT(O839:R839)=4,ROUND(AVERAGE(O839:R839),6),"")</f>
        <v/>
      </c>
      <c r="U839">
        <f>IF(AND(ISNUMBER('자료_한국심리'!$A823),ISNUMBER('자료_한국심리'!$B823)),'자료_한국심리'!$A823,"")</f>
        <v/>
      </c>
      <c r="V839">
        <f>IF(AND(ISNUMBER('자료_한국심리'!$D823),ISNUMBER('자료_한국심리'!$E823)),'자료_한국심리'!$D823,"")</f>
        <v/>
      </c>
      <c r="W839">
        <f>IF(AND(ISNUMBER('자료_한국심리'!$G823),ISNUMBER('자료_한국심리'!$H823)),'자료_한국심리'!$G823,"")</f>
        <v/>
      </c>
      <c r="X839">
        <f>IF(AND(ISNUMBER('자료_한국심리'!$J823),ISNUMBER('자료_한국심리'!$K823)),'자료_한국심리'!$J823,"")</f>
        <v/>
      </c>
      <c r="Y839">
        <f>IF(AND(ISNUMBER('자료_한국심리'!$M823),ISNUMBER('자료_한국심리'!$N823)),'자료_한국심리'!$M823,"")</f>
        <v/>
      </c>
    </row>
    <row r="840">
      <c r="A840" s="10">
        <f>IF(822&gt;$E$5,"",SMALL($U$19:$U$4018,$E$6+822))</f>
        <v/>
      </c>
      <c r="B840" s="29">
        <f>IF(A840="","",INDEX('자료_한국심리'!$B$3:$B$4002,MATCH(A840,$U$19:$U$4018,0)))</f>
        <v/>
      </c>
      <c r="C840" s="22">
        <f>IF(A840="","",B840/AVERAGE(B716:B840)-1)</f>
        <v/>
      </c>
      <c r="D840" s="29">
        <f>IF(A840="","",IFERROR(INDEX('자료_한국심리'!$E$3:$E$4002,MATCH(A840,$V$19:$V$4018,0)),D839))</f>
        <v/>
      </c>
      <c r="E840" s="30">
        <f>IF(A840="","",IFERROR(INDEX('자료_한국심리'!$H$3:$H$4002,MATCH(A840,$W$19:$W$4018,0)),E839))</f>
        <v/>
      </c>
      <c r="F840" s="30">
        <f>IF(A840="","",IFERROR(INDEX('자료_한국심리'!$K$3:$K$4002,MATCH(A840,$X$19:$X$4018,0)),F839))</f>
        <v/>
      </c>
      <c r="G840" s="30">
        <f>IF(AND(ISNUMBER(E840),ISNUMBER(F840)),ROUND(E840-F840,6),"")</f>
        <v/>
      </c>
      <c r="H840" s="25">
        <f>IF(A840="","",IFERROR(INDEX('자료_한국심리'!$N$3:$N$4002,MATCH(A840,$Y$19:$Y$4018,0)),H839))</f>
        <v/>
      </c>
      <c r="I840" s="31">
        <f>IF(AND(ISNUMBER(H840),ISNUMBER(H820)),IF(H820&gt;0,H840/H820-1,""),"")</f>
        <v/>
      </c>
      <c r="J840">
        <f>IF(A840="",0,IF(A840&gt;$B$5,1,0))</f>
        <v/>
      </c>
      <c r="K840" s="29">
        <f>IF(AND(J840=1,ISNUMBER(D840)),D840,"")</f>
        <v/>
      </c>
      <c r="L840" s="30">
        <f>IF(AND(J840=1,ISNUMBER(G840)),G840,"")</f>
        <v/>
      </c>
      <c r="M840" s="22">
        <f>IF(AND(J840=1,ISNUMBER(C840)),C840,"")</f>
        <v/>
      </c>
      <c r="N840" s="31">
        <f>IF(AND(J840=1,ISNUMBER(I840)),I840,"")</f>
        <v/>
      </c>
      <c r="O840" s="11">
        <f>IF(K840="","",100-IF($G$13=1,50,(_xlfn.RANK.AVG(K840,$K$19:$K$1518,1)-1)/($G$13-1)*100))</f>
        <v/>
      </c>
      <c r="P840" s="11">
        <f>IF(L840="","",100-IF($G$14=1,50,(_xlfn.RANK.AVG(L840,$L$19:$L$1518,1)-1)/($G$14-1)*100))</f>
        <v/>
      </c>
      <c r="Q840" s="11">
        <f>IF(M840="","",IF($G$15=1,50,(_xlfn.RANK.AVG(M840,$M$19:$M$1518,1)-1)/($G$15-1)*100))</f>
        <v/>
      </c>
      <c r="R840" s="11">
        <f>IF(N840="","",IF($G$16=1,50,(_xlfn.RANK.AVG(N840,$N$19:$N$1518,1)-1)/($G$16-1)*100))</f>
        <v/>
      </c>
      <c r="S840" s="11">
        <f>IF(COUNT(O840:R840)=4,ROUND(AVERAGE(O840:R840),6),"")</f>
        <v/>
      </c>
      <c r="U840">
        <f>IF(AND(ISNUMBER('자료_한국심리'!$A824),ISNUMBER('자료_한국심리'!$B824)),'자료_한국심리'!$A824,"")</f>
        <v/>
      </c>
      <c r="V840">
        <f>IF(AND(ISNUMBER('자료_한국심리'!$D824),ISNUMBER('자료_한국심리'!$E824)),'자료_한국심리'!$D824,"")</f>
        <v/>
      </c>
      <c r="W840">
        <f>IF(AND(ISNUMBER('자료_한국심리'!$G824),ISNUMBER('자료_한국심리'!$H824)),'자료_한국심리'!$G824,"")</f>
        <v/>
      </c>
      <c r="X840">
        <f>IF(AND(ISNUMBER('자료_한국심리'!$J824),ISNUMBER('자료_한국심리'!$K824)),'자료_한국심리'!$J824,"")</f>
        <v/>
      </c>
      <c r="Y840">
        <f>IF(AND(ISNUMBER('자료_한국심리'!$M824),ISNUMBER('자료_한국심리'!$N824)),'자료_한국심리'!$M824,"")</f>
        <v/>
      </c>
    </row>
    <row r="841">
      <c r="A841" s="10">
        <f>IF(823&gt;$E$5,"",SMALL($U$19:$U$4018,$E$6+823))</f>
        <v/>
      </c>
      <c r="B841" s="29">
        <f>IF(A841="","",INDEX('자료_한국심리'!$B$3:$B$4002,MATCH(A841,$U$19:$U$4018,0)))</f>
        <v/>
      </c>
      <c r="C841" s="22">
        <f>IF(A841="","",B841/AVERAGE(B717:B841)-1)</f>
        <v/>
      </c>
      <c r="D841" s="29">
        <f>IF(A841="","",IFERROR(INDEX('자료_한국심리'!$E$3:$E$4002,MATCH(A841,$V$19:$V$4018,0)),D840))</f>
        <v/>
      </c>
      <c r="E841" s="30">
        <f>IF(A841="","",IFERROR(INDEX('자료_한국심리'!$H$3:$H$4002,MATCH(A841,$W$19:$W$4018,0)),E840))</f>
        <v/>
      </c>
      <c r="F841" s="30">
        <f>IF(A841="","",IFERROR(INDEX('자료_한국심리'!$K$3:$K$4002,MATCH(A841,$X$19:$X$4018,0)),F840))</f>
        <v/>
      </c>
      <c r="G841" s="30">
        <f>IF(AND(ISNUMBER(E841),ISNUMBER(F841)),ROUND(E841-F841,6),"")</f>
        <v/>
      </c>
      <c r="H841" s="25">
        <f>IF(A841="","",IFERROR(INDEX('자료_한국심리'!$N$3:$N$4002,MATCH(A841,$Y$19:$Y$4018,0)),H840))</f>
        <v/>
      </c>
      <c r="I841" s="31">
        <f>IF(AND(ISNUMBER(H841),ISNUMBER(H821)),IF(H821&gt;0,H841/H821-1,""),"")</f>
        <v/>
      </c>
      <c r="J841">
        <f>IF(A841="",0,IF(A841&gt;$B$5,1,0))</f>
        <v/>
      </c>
      <c r="K841" s="29">
        <f>IF(AND(J841=1,ISNUMBER(D841)),D841,"")</f>
        <v/>
      </c>
      <c r="L841" s="30">
        <f>IF(AND(J841=1,ISNUMBER(G841)),G841,"")</f>
        <v/>
      </c>
      <c r="M841" s="22">
        <f>IF(AND(J841=1,ISNUMBER(C841)),C841,"")</f>
        <v/>
      </c>
      <c r="N841" s="31">
        <f>IF(AND(J841=1,ISNUMBER(I841)),I841,"")</f>
        <v/>
      </c>
      <c r="O841" s="11">
        <f>IF(K841="","",100-IF($G$13=1,50,(_xlfn.RANK.AVG(K841,$K$19:$K$1518,1)-1)/($G$13-1)*100))</f>
        <v/>
      </c>
      <c r="P841" s="11">
        <f>IF(L841="","",100-IF($G$14=1,50,(_xlfn.RANK.AVG(L841,$L$19:$L$1518,1)-1)/($G$14-1)*100))</f>
        <v/>
      </c>
      <c r="Q841" s="11">
        <f>IF(M841="","",IF($G$15=1,50,(_xlfn.RANK.AVG(M841,$M$19:$M$1518,1)-1)/($G$15-1)*100))</f>
        <v/>
      </c>
      <c r="R841" s="11">
        <f>IF(N841="","",IF($G$16=1,50,(_xlfn.RANK.AVG(N841,$N$19:$N$1518,1)-1)/($G$16-1)*100))</f>
        <v/>
      </c>
      <c r="S841" s="11">
        <f>IF(COUNT(O841:R841)=4,ROUND(AVERAGE(O841:R841),6),"")</f>
        <v/>
      </c>
      <c r="U841">
        <f>IF(AND(ISNUMBER('자료_한국심리'!$A825),ISNUMBER('자료_한국심리'!$B825)),'자료_한국심리'!$A825,"")</f>
        <v/>
      </c>
      <c r="V841">
        <f>IF(AND(ISNUMBER('자료_한국심리'!$D825),ISNUMBER('자료_한국심리'!$E825)),'자료_한국심리'!$D825,"")</f>
        <v/>
      </c>
      <c r="W841">
        <f>IF(AND(ISNUMBER('자료_한국심리'!$G825),ISNUMBER('자료_한국심리'!$H825)),'자료_한국심리'!$G825,"")</f>
        <v/>
      </c>
      <c r="X841">
        <f>IF(AND(ISNUMBER('자료_한국심리'!$J825),ISNUMBER('자료_한국심리'!$K825)),'자료_한국심리'!$J825,"")</f>
        <v/>
      </c>
      <c r="Y841">
        <f>IF(AND(ISNUMBER('자료_한국심리'!$M825),ISNUMBER('자료_한국심리'!$N825)),'자료_한국심리'!$M825,"")</f>
        <v/>
      </c>
    </row>
    <row r="842">
      <c r="A842" s="10">
        <f>IF(824&gt;$E$5,"",SMALL($U$19:$U$4018,$E$6+824))</f>
        <v/>
      </c>
      <c r="B842" s="29">
        <f>IF(A842="","",INDEX('자료_한국심리'!$B$3:$B$4002,MATCH(A842,$U$19:$U$4018,0)))</f>
        <v/>
      </c>
      <c r="C842" s="22">
        <f>IF(A842="","",B842/AVERAGE(B718:B842)-1)</f>
        <v/>
      </c>
      <c r="D842" s="29">
        <f>IF(A842="","",IFERROR(INDEX('자료_한국심리'!$E$3:$E$4002,MATCH(A842,$V$19:$V$4018,0)),D841))</f>
        <v/>
      </c>
      <c r="E842" s="30">
        <f>IF(A842="","",IFERROR(INDEX('자료_한국심리'!$H$3:$H$4002,MATCH(A842,$W$19:$W$4018,0)),E841))</f>
        <v/>
      </c>
      <c r="F842" s="30">
        <f>IF(A842="","",IFERROR(INDEX('자료_한국심리'!$K$3:$K$4002,MATCH(A842,$X$19:$X$4018,0)),F841))</f>
        <v/>
      </c>
      <c r="G842" s="30">
        <f>IF(AND(ISNUMBER(E842),ISNUMBER(F842)),ROUND(E842-F842,6),"")</f>
        <v/>
      </c>
      <c r="H842" s="25">
        <f>IF(A842="","",IFERROR(INDEX('자료_한국심리'!$N$3:$N$4002,MATCH(A842,$Y$19:$Y$4018,0)),H841))</f>
        <v/>
      </c>
      <c r="I842" s="31">
        <f>IF(AND(ISNUMBER(H842),ISNUMBER(H822)),IF(H822&gt;0,H842/H822-1,""),"")</f>
        <v/>
      </c>
      <c r="J842">
        <f>IF(A842="",0,IF(A842&gt;$B$5,1,0))</f>
        <v/>
      </c>
      <c r="K842" s="29">
        <f>IF(AND(J842=1,ISNUMBER(D842)),D842,"")</f>
        <v/>
      </c>
      <c r="L842" s="30">
        <f>IF(AND(J842=1,ISNUMBER(G842)),G842,"")</f>
        <v/>
      </c>
      <c r="M842" s="22">
        <f>IF(AND(J842=1,ISNUMBER(C842)),C842,"")</f>
        <v/>
      </c>
      <c r="N842" s="31">
        <f>IF(AND(J842=1,ISNUMBER(I842)),I842,"")</f>
        <v/>
      </c>
      <c r="O842" s="11">
        <f>IF(K842="","",100-IF($G$13=1,50,(_xlfn.RANK.AVG(K842,$K$19:$K$1518,1)-1)/($G$13-1)*100))</f>
        <v/>
      </c>
      <c r="P842" s="11">
        <f>IF(L842="","",100-IF($G$14=1,50,(_xlfn.RANK.AVG(L842,$L$19:$L$1518,1)-1)/($G$14-1)*100))</f>
        <v/>
      </c>
      <c r="Q842" s="11">
        <f>IF(M842="","",IF($G$15=1,50,(_xlfn.RANK.AVG(M842,$M$19:$M$1518,1)-1)/($G$15-1)*100))</f>
        <v/>
      </c>
      <c r="R842" s="11">
        <f>IF(N842="","",IF($G$16=1,50,(_xlfn.RANK.AVG(N842,$N$19:$N$1518,1)-1)/($G$16-1)*100))</f>
        <v/>
      </c>
      <c r="S842" s="11">
        <f>IF(COUNT(O842:R842)=4,ROUND(AVERAGE(O842:R842),6),"")</f>
        <v/>
      </c>
      <c r="U842">
        <f>IF(AND(ISNUMBER('자료_한국심리'!$A826),ISNUMBER('자료_한국심리'!$B826)),'자료_한국심리'!$A826,"")</f>
        <v/>
      </c>
      <c r="V842">
        <f>IF(AND(ISNUMBER('자료_한국심리'!$D826),ISNUMBER('자료_한국심리'!$E826)),'자료_한국심리'!$D826,"")</f>
        <v/>
      </c>
      <c r="W842">
        <f>IF(AND(ISNUMBER('자료_한국심리'!$G826),ISNUMBER('자료_한국심리'!$H826)),'자료_한국심리'!$G826,"")</f>
        <v/>
      </c>
      <c r="X842">
        <f>IF(AND(ISNUMBER('자료_한국심리'!$J826),ISNUMBER('자료_한국심리'!$K826)),'자료_한국심리'!$J826,"")</f>
        <v/>
      </c>
      <c r="Y842">
        <f>IF(AND(ISNUMBER('자료_한국심리'!$M826),ISNUMBER('자료_한국심리'!$N826)),'자료_한국심리'!$M826,"")</f>
        <v/>
      </c>
    </row>
    <row r="843">
      <c r="A843" s="10">
        <f>IF(825&gt;$E$5,"",SMALL($U$19:$U$4018,$E$6+825))</f>
        <v/>
      </c>
      <c r="B843" s="29">
        <f>IF(A843="","",INDEX('자료_한국심리'!$B$3:$B$4002,MATCH(A843,$U$19:$U$4018,0)))</f>
        <v/>
      </c>
      <c r="C843" s="22">
        <f>IF(A843="","",B843/AVERAGE(B719:B843)-1)</f>
        <v/>
      </c>
      <c r="D843" s="29">
        <f>IF(A843="","",IFERROR(INDEX('자료_한국심리'!$E$3:$E$4002,MATCH(A843,$V$19:$V$4018,0)),D842))</f>
        <v/>
      </c>
      <c r="E843" s="30">
        <f>IF(A843="","",IFERROR(INDEX('자료_한국심리'!$H$3:$H$4002,MATCH(A843,$W$19:$W$4018,0)),E842))</f>
        <v/>
      </c>
      <c r="F843" s="30">
        <f>IF(A843="","",IFERROR(INDEX('자료_한국심리'!$K$3:$K$4002,MATCH(A843,$X$19:$X$4018,0)),F842))</f>
        <v/>
      </c>
      <c r="G843" s="30">
        <f>IF(AND(ISNUMBER(E843),ISNUMBER(F843)),ROUND(E843-F843,6),"")</f>
        <v/>
      </c>
      <c r="H843" s="25">
        <f>IF(A843="","",IFERROR(INDEX('자료_한국심리'!$N$3:$N$4002,MATCH(A843,$Y$19:$Y$4018,0)),H842))</f>
        <v/>
      </c>
      <c r="I843" s="31">
        <f>IF(AND(ISNUMBER(H843),ISNUMBER(H823)),IF(H823&gt;0,H843/H823-1,""),"")</f>
        <v/>
      </c>
      <c r="J843">
        <f>IF(A843="",0,IF(A843&gt;$B$5,1,0))</f>
        <v/>
      </c>
      <c r="K843" s="29">
        <f>IF(AND(J843=1,ISNUMBER(D843)),D843,"")</f>
        <v/>
      </c>
      <c r="L843" s="30">
        <f>IF(AND(J843=1,ISNUMBER(G843)),G843,"")</f>
        <v/>
      </c>
      <c r="M843" s="22">
        <f>IF(AND(J843=1,ISNUMBER(C843)),C843,"")</f>
        <v/>
      </c>
      <c r="N843" s="31">
        <f>IF(AND(J843=1,ISNUMBER(I843)),I843,"")</f>
        <v/>
      </c>
      <c r="O843" s="11">
        <f>IF(K843="","",100-IF($G$13=1,50,(_xlfn.RANK.AVG(K843,$K$19:$K$1518,1)-1)/($G$13-1)*100))</f>
        <v/>
      </c>
      <c r="P843" s="11">
        <f>IF(L843="","",100-IF($G$14=1,50,(_xlfn.RANK.AVG(L843,$L$19:$L$1518,1)-1)/($G$14-1)*100))</f>
        <v/>
      </c>
      <c r="Q843" s="11">
        <f>IF(M843="","",IF($G$15=1,50,(_xlfn.RANK.AVG(M843,$M$19:$M$1518,1)-1)/($G$15-1)*100))</f>
        <v/>
      </c>
      <c r="R843" s="11">
        <f>IF(N843="","",IF($G$16=1,50,(_xlfn.RANK.AVG(N843,$N$19:$N$1518,1)-1)/($G$16-1)*100))</f>
        <v/>
      </c>
      <c r="S843" s="11">
        <f>IF(COUNT(O843:R843)=4,ROUND(AVERAGE(O843:R843),6),"")</f>
        <v/>
      </c>
      <c r="U843">
        <f>IF(AND(ISNUMBER('자료_한국심리'!$A827),ISNUMBER('자료_한국심리'!$B827)),'자료_한국심리'!$A827,"")</f>
        <v/>
      </c>
      <c r="V843">
        <f>IF(AND(ISNUMBER('자료_한국심리'!$D827),ISNUMBER('자료_한국심리'!$E827)),'자료_한국심리'!$D827,"")</f>
        <v/>
      </c>
      <c r="W843">
        <f>IF(AND(ISNUMBER('자료_한국심리'!$G827),ISNUMBER('자료_한국심리'!$H827)),'자료_한국심리'!$G827,"")</f>
        <v/>
      </c>
      <c r="X843">
        <f>IF(AND(ISNUMBER('자료_한국심리'!$J827),ISNUMBER('자료_한국심리'!$K827)),'자료_한국심리'!$J827,"")</f>
        <v/>
      </c>
      <c r="Y843">
        <f>IF(AND(ISNUMBER('자료_한국심리'!$M827),ISNUMBER('자료_한국심리'!$N827)),'자료_한국심리'!$M827,"")</f>
        <v/>
      </c>
    </row>
    <row r="844">
      <c r="A844" s="10">
        <f>IF(826&gt;$E$5,"",SMALL($U$19:$U$4018,$E$6+826))</f>
        <v/>
      </c>
      <c r="B844" s="29">
        <f>IF(A844="","",INDEX('자료_한국심리'!$B$3:$B$4002,MATCH(A844,$U$19:$U$4018,0)))</f>
        <v/>
      </c>
      <c r="C844" s="22">
        <f>IF(A844="","",B844/AVERAGE(B720:B844)-1)</f>
        <v/>
      </c>
      <c r="D844" s="29">
        <f>IF(A844="","",IFERROR(INDEX('자료_한국심리'!$E$3:$E$4002,MATCH(A844,$V$19:$V$4018,0)),D843))</f>
        <v/>
      </c>
      <c r="E844" s="30">
        <f>IF(A844="","",IFERROR(INDEX('자료_한국심리'!$H$3:$H$4002,MATCH(A844,$W$19:$W$4018,0)),E843))</f>
        <v/>
      </c>
      <c r="F844" s="30">
        <f>IF(A844="","",IFERROR(INDEX('자료_한국심리'!$K$3:$K$4002,MATCH(A844,$X$19:$X$4018,0)),F843))</f>
        <v/>
      </c>
      <c r="G844" s="30">
        <f>IF(AND(ISNUMBER(E844),ISNUMBER(F844)),ROUND(E844-F844,6),"")</f>
        <v/>
      </c>
      <c r="H844" s="25">
        <f>IF(A844="","",IFERROR(INDEX('자료_한국심리'!$N$3:$N$4002,MATCH(A844,$Y$19:$Y$4018,0)),H843))</f>
        <v/>
      </c>
      <c r="I844" s="31">
        <f>IF(AND(ISNUMBER(H844),ISNUMBER(H824)),IF(H824&gt;0,H844/H824-1,""),"")</f>
        <v/>
      </c>
      <c r="J844">
        <f>IF(A844="",0,IF(A844&gt;$B$5,1,0))</f>
        <v/>
      </c>
      <c r="K844" s="29">
        <f>IF(AND(J844=1,ISNUMBER(D844)),D844,"")</f>
        <v/>
      </c>
      <c r="L844" s="30">
        <f>IF(AND(J844=1,ISNUMBER(G844)),G844,"")</f>
        <v/>
      </c>
      <c r="M844" s="22">
        <f>IF(AND(J844=1,ISNUMBER(C844)),C844,"")</f>
        <v/>
      </c>
      <c r="N844" s="31">
        <f>IF(AND(J844=1,ISNUMBER(I844)),I844,"")</f>
        <v/>
      </c>
      <c r="O844" s="11">
        <f>IF(K844="","",100-IF($G$13=1,50,(_xlfn.RANK.AVG(K844,$K$19:$K$1518,1)-1)/($G$13-1)*100))</f>
        <v/>
      </c>
      <c r="P844" s="11">
        <f>IF(L844="","",100-IF($G$14=1,50,(_xlfn.RANK.AVG(L844,$L$19:$L$1518,1)-1)/($G$14-1)*100))</f>
        <v/>
      </c>
      <c r="Q844" s="11">
        <f>IF(M844="","",IF($G$15=1,50,(_xlfn.RANK.AVG(M844,$M$19:$M$1518,1)-1)/($G$15-1)*100))</f>
        <v/>
      </c>
      <c r="R844" s="11">
        <f>IF(N844="","",IF($G$16=1,50,(_xlfn.RANK.AVG(N844,$N$19:$N$1518,1)-1)/($G$16-1)*100))</f>
        <v/>
      </c>
      <c r="S844" s="11">
        <f>IF(COUNT(O844:R844)=4,ROUND(AVERAGE(O844:R844),6),"")</f>
        <v/>
      </c>
      <c r="U844">
        <f>IF(AND(ISNUMBER('자료_한국심리'!$A828),ISNUMBER('자료_한국심리'!$B828)),'자료_한국심리'!$A828,"")</f>
        <v/>
      </c>
      <c r="V844">
        <f>IF(AND(ISNUMBER('자료_한국심리'!$D828),ISNUMBER('자료_한국심리'!$E828)),'자료_한국심리'!$D828,"")</f>
        <v/>
      </c>
      <c r="W844">
        <f>IF(AND(ISNUMBER('자료_한국심리'!$G828),ISNUMBER('자료_한국심리'!$H828)),'자료_한국심리'!$G828,"")</f>
        <v/>
      </c>
      <c r="X844">
        <f>IF(AND(ISNUMBER('자료_한국심리'!$J828),ISNUMBER('자료_한국심리'!$K828)),'자료_한국심리'!$J828,"")</f>
        <v/>
      </c>
      <c r="Y844">
        <f>IF(AND(ISNUMBER('자료_한국심리'!$M828),ISNUMBER('자료_한국심리'!$N828)),'자료_한국심리'!$M828,"")</f>
        <v/>
      </c>
    </row>
    <row r="845">
      <c r="A845" s="10">
        <f>IF(827&gt;$E$5,"",SMALL($U$19:$U$4018,$E$6+827))</f>
        <v/>
      </c>
      <c r="B845" s="29">
        <f>IF(A845="","",INDEX('자료_한국심리'!$B$3:$B$4002,MATCH(A845,$U$19:$U$4018,0)))</f>
        <v/>
      </c>
      <c r="C845" s="22">
        <f>IF(A845="","",B845/AVERAGE(B721:B845)-1)</f>
        <v/>
      </c>
      <c r="D845" s="29">
        <f>IF(A845="","",IFERROR(INDEX('자료_한국심리'!$E$3:$E$4002,MATCH(A845,$V$19:$V$4018,0)),D844))</f>
        <v/>
      </c>
      <c r="E845" s="30">
        <f>IF(A845="","",IFERROR(INDEX('자료_한국심리'!$H$3:$H$4002,MATCH(A845,$W$19:$W$4018,0)),E844))</f>
        <v/>
      </c>
      <c r="F845" s="30">
        <f>IF(A845="","",IFERROR(INDEX('자료_한국심리'!$K$3:$K$4002,MATCH(A845,$X$19:$X$4018,0)),F844))</f>
        <v/>
      </c>
      <c r="G845" s="30">
        <f>IF(AND(ISNUMBER(E845),ISNUMBER(F845)),ROUND(E845-F845,6),"")</f>
        <v/>
      </c>
      <c r="H845" s="25">
        <f>IF(A845="","",IFERROR(INDEX('자료_한국심리'!$N$3:$N$4002,MATCH(A845,$Y$19:$Y$4018,0)),H844))</f>
        <v/>
      </c>
      <c r="I845" s="31">
        <f>IF(AND(ISNUMBER(H845),ISNUMBER(H825)),IF(H825&gt;0,H845/H825-1,""),"")</f>
        <v/>
      </c>
      <c r="J845">
        <f>IF(A845="",0,IF(A845&gt;$B$5,1,0))</f>
        <v/>
      </c>
      <c r="K845" s="29">
        <f>IF(AND(J845=1,ISNUMBER(D845)),D845,"")</f>
        <v/>
      </c>
      <c r="L845" s="30">
        <f>IF(AND(J845=1,ISNUMBER(G845)),G845,"")</f>
        <v/>
      </c>
      <c r="M845" s="22">
        <f>IF(AND(J845=1,ISNUMBER(C845)),C845,"")</f>
        <v/>
      </c>
      <c r="N845" s="31">
        <f>IF(AND(J845=1,ISNUMBER(I845)),I845,"")</f>
        <v/>
      </c>
      <c r="O845" s="11">
        <f>IF(K845="","",100-IF($G$13=1,50,(_xlfn.RANK.AVG(K845,$K$19:$K$1518,1)-1)/($G$13-1)*100))</f>
        <v/>
      </c>
      <c r="P845" s="11">
        <f>IF(L845="","",100-IF($G$14=1,50,(_xlfn.RANK.AVG(L845,$L$19:$L$1518,1)-1)/($G$14-1)*100))</f>
        <v/>
      </c>
      <c r="Q845" s="11">
        <f>IF(M845="","",IF($G$15=1,50,(_xlfn.RANK.AVG(M845,$M$19:$M$1518,1)-1)/($G$15-1)*100))</f>
        <v/>
      </c>
      <c r="R845" s="11">
        <f>IF(N845="","",IF($G$16=1,50,(_xlfn.RANK.AVG(N845,$N$19:$N$1518,1)-1)/($G$16-1)*100))</f>
        <v/>
      </c>
      <c r="S845" s="11">
        <f>IF(COUNT(O845:R845)=4,ROUND(AVERAGE(O845:R845),6),"")</f>
        <v/>
      </c>
      <c r="U845">
        <f>IF(AND(ISNUMBER('자료_한국심리'!$A829),ISNUMBER('자료_한국심리'!$B829)),'자료_한국심리'!$A829,"")</f>
        <v/>
      </c>
      <c r="V845">
        <f>IF(AND(ISNUMBER('자료_한국심리'!$D829),ISNUMBER('자료_한국심리'!$E829)),'자료_한국심리'!$D829,"")</f>
        <v/>
      </c>
      <c r="W845">
        <f>IF(AND(ISNUMBER('자료_한국심리'!$G829),ISNUMBER('자료_한국심리'!$H829)),'자료_한국심리'!$G829,"")</f>
        <v/>
      </c>
      <c r="X845">
        <f>IF(AND(ISNUMBER('자료_한국심리'!$J829),ISNUMBER('자료_한국심리'!$K829)),'자료_한국심리'!$J829,"")</f>
        <v/>
      </c>
      <c r="Y845">
        <f>IF(AND(ISNUMBER('자료_한국심리'!$M829),ISNUMBER('자료_한국심리'!$N829)),'자료_한국심리'!$M829,"")</f>
        <v/>
      </c>
    </row>
    <row r="846">
      <c r="A846" s="10">
        <f>IF(828&gt;$E$5,"",SMALL($U$19:$U$4018,$E$6+828))</f>
        <v/>
      </c>
      <c r="B846" s="29">
        <f>IF(A846="","",INDEX('자료_한국심리'!$B$3:$B$4002,MATCH(A846,$U$19:$U$4018,0)))</f>
        <v/>
      </c>
      <c r="C846" s="22">
        <f>IF(A846="","",B846/AVERAGE(B722:B846)-1)</f>
        <v/>
      </c>
      <c r="D846" s="29">
        <f>IF(A846="","",IFERROR(INDEX('자료_한국심리'!$E$3:$E$4002,MATCH(A846,$V$19:$V$4018,0)),D845))</f>
        <v/>
      </c>
      <c r="E846" s="30">
        <f>IF(A846="","",IFERROR(INDEX('자료_한국심리'!$H$3:$H$4002,MATCH(A846,$W$19:$W$4018,0)),E845))</f>
        <v/>
      </c>
      <c r="F846" s="30">
        <f>IF(A846="","",IFERROR(INDEX('자료_한국심리'!$K$3:$K$4002,MATCH(A846,$X$19:$X$4018,0)),F845))</f>
        <v/>
      </c>
      <c r="G846" s="30">
        <f>IF(AND(ISNUMBER(E846),ISNUMBER(F846)),ROUND(E846-F846,6),"")</f>
        <v/>
      </c>
      <c r="H846" s="25">
        <f>IF(A846="","",IFERROR(INDEX('자료_한국심리'!$N$3:$N$4002,MATCH(A846,$Y$19:$Y$4018,0)),H845))</f>
        <v/>
      </c>
      <c r="I846" s="31">
        <f>IF(AND(ISNUMBER(H846),ISNUMBER(H826)),IF(H826&gt;0,H846/H826-1,""),"")</f>
        <v/>
      </c>
      <c r="J846">
        <f>IF(A846="",0,IF(A846&gt;$B$5,1,0))</f>
        <v/>
      </c>
      <c r="K846" s="29">
        <f>IF(AND(J846=1,ISNUMBER(D846)),D846,"")</f>
        <v/>
      </c>
      <c r="L846" s="30">
        <f>IF(AND(J846=1,ISNUMBER(G846)),G846,"")</f>
        <v/>
      </c>
      <c r="M846" s="22">
        <f>IF(AND(J846=1,ISNUMBER(C846)),C846,"")</f>
        <v/>
      </c>
      <c r="N846" s="31">
        <f>IF(AND(J846=1,ISNUMBER(I846)),I846,"")</f>
        <v/>
      </c>
      <c r="O846" s="11">
        <f>IF(K846="","",100-IF($G$13=1,50,(_xlfn.RANK.AVG(K846,$K$19:$K$1518,1)-1)/($G$13-1)*100))</f>
        <v/>
      </c>
      <c r="P846" s="11">
        <f>IF(L846="","",100-IF($G$14=1,50,(_xlfn.RANK.AVG(L846,$L$19:$L$1518,1)-1)/($G$14-1)*100))</f>
        <v/>
      </c>
      <c r="Q846" s="11">
        <f>IF(M846="","",IF($G$15=1,50,(_xlfn.RANK.AVG(M846,$M$19:$M$1518,1)-1)/($G$15-1)*100))</f>
        <v/>
      </c>
      <c r="R846" s="11">
        <f>IF(N846="","",IF($G$16=1,50,(_xlfn.RANK.AVG(N846,$N$19:$N$1518,1)-1)/($G$16-1)*100))</f>
        <v/>
      </c>
      <c r="S846" s="11">
        <f>IF(COUNT(O846:R846)=4,ROUND(AVERAGE(O846:R846),6),"")</f>
        <v/>
      </c>
      <c r="U846">
        <f>IF(AND(ISNUMBER('자료_한국심리'!$A830),ISNUMBER('자료_한국심리'!$B830)),'자료_한국심리'!$A830,"")</f>
        <v/>
      </c>
      <c r="V846">
        <f>IF(AND(ISNUMBER('자료_한국심리'!$D830),ISNUMBER('자료_한국심리'!$E830)),'자료_한국심리'!$D830,"")</f>
        <v/>
      </c>
      <c r="W846">
        <f>IF(AND(ISNUMBER('자료_한국심리'!$G830),ISNUMBER('자료_한국심리'!$H830)),'자료_한국심리'!$G830,"")</f>
        <v/>
      </c>
      <c r="X846">
        <f>IF(AND(ISNUMBER('자료_한국심리'!$J830),ISNUMBER('자료_한국심리'!$K830)),'자료_한국심리'!$J830,"")</f>
        <v/>
      </c>
      <c r="Y846">
        <f>IF(AND(ISNUMBER('자료_한국심리'!$M830),ISNUMBER('자료_한국심리'!$N830)),'자료_한국심리'!$M830,"")</f>
        <v/>
      </c>
    </row>
    <row r="847">
      <c r="A847" s="10">
        <f>IF(829&gt;$E$5,"",SMALL($U$19:$U$4018,$E$6+829))</f>
        <v/>
      </c>
      <c r="B847" s="29">
        <f>IF(A847="","",INDEX('자료_한국심리'!$B$3:$B$4002,MATCH(A847,$U$19:$U$4018,0)))</f>
        <v/>
      </c>
      <c r="C847" s="22">
        <f>IF(A847="","",B847/AVERAGE(B723:B847)-1)</f>
        <v/>
      </c>
      <c r="D847" s="29">
        <f>IF(A847="","",IFERROR(INDEX('자료_한국심리'!$E$3:$E$4002,MATCH(A847,$V$19:$V$4018,0)),D846))</f>
        <v/>
      </c>
      <c r="E847" s="30">
        <f>IF(A847="","",IFERROR(INDEX('자료_한국심리'!$H$3:$H$4002,MATCH(A847,$W$19:$W$4018,0)),E846))</f>
        <v/>
      </c>
      <c r="F847" s="30">
        <f>IF(A847="","",IFERROR(INDEX('자료_한국심리'!$K$3:$K$4002,MATCH(A847,$X$19:$X$4018,0)),F846))</f>
        <v/>
      </c>
      <c r="G847" s="30">
        <f>IF(AND(ISNUMBER(E847),ISNUMBER(F847)),ROUND(E847-F847,6),"")</f>
        <v/>
      </c>
      <c r="H847" s="25">
        <f>IF(A847="","",IFERROR(INDEX('자료_한국심리'!$N$3:$N$4002,MATCH(A847,$Y$19:$Y$4018,0)),H846))</f>
        <v/>
      </c>
      <c r="I847" s="31">
        <f>IF(AND(ISNUMBER(H847),ISNUMBER(H827)),IF(H827&gt;0,H847/H827-1,""),"")</f>
        <v/>
      </c>
      <c r="J847">
        <f>IF(A847="",0,IF(A847&gt;$B$5,1,0))</f>
        <v/>
      </c>
      <c r="K847" s="29">
        <f>IF(AND(J847=1,ISNUMBER(D847)),D847,"")</f>
        <v/>
      </c>
      <c r="L847" s="30">
        <f>IF(AND(J847=1,ISNUMBER(G847)),G847,"")</f>
        <v/>
      </c>
      <c r="M847" s="22">
        <f>IF(AND(J847=1,ISNUMBER(C847)),C847,"")</f>
        <v/>
      </c>
      <c r="N847" s="31">
        <f>IF(AND(J847=1,ISNUMBER(I847)),I847,"")</f>
        <v/>
      </c>
      <c r="O847" s="11">
        <f>IF(K847="","",100-IF($G$13=1,50,(_xlfn.RANK.AVG(K847,$K$19:$K$1518,1)-1)/($G$13-1)*100))</f>
        <v/>
      </c>
      <c r="P847" s="11">
        <f>IF(L847="","",100-IF($G$14=1,50,(_xlfn.RANK.AVG(L847,$L$19:$L$1518,1)-1)/($G$14-1)*100))</f>
        <v/>
      </c>
      <c r="Q847" s="11">
        <f>IF(M847="","",IF($G$15=1,50,(_xlfn.RANK.AVG(M847,$M$19:$M$1518,1)-1)/($G$15-1)*100))</f>
        <v/>
      </c>
      <c r="R847" s="11">
        <f>IF(N847="","",IF($G$16=1,50,(_xlfn.RANK.AVG(N847,$N$19:$N$1518,1)-1)/($G$16-1)*100))</f>
        <v/>
      </c>
      <c r="S847" s="11">
        <f>IF(COUNT(O847:R847)=4,ROUND(AVERAGE(O847:R847),6),"")</f>
        <v/>
      </c>
      <c r="U847">
        <f>IF(AND(ISNUMBER('자료_한국심리'!$A831),ISNUMBER('자료_한국심리'!$B831)),'자료_한국심리'!$A831,"")</f>
        <v/>
      </c>
      <c r="V847">
        <f>IF(AND(ISNUMBER('자료_한국심리'!$D831),ISNUMBER('자료_한국심리'!$E831)),'자료_한국심리'!$D831,"")</f>
        <v/>
      </c>
      <c r="W847">
        <f>IF(AND(ISNUMBER('자료_한국심리'!$G831),ISNUMBER('자료_한국심리'!$H831)),'자료_한국심리'!$G831,"")</f>
        <v/>
      </c>
      <c r="X847">
        <f>IF(AND(ISNUMBER('자료_한국심리'!$J831),ISNUMBER('자료_한국심리'!$K831)),'자료_한국심리'!$J831,"")</f>
        <v/>
      </c>
      <c r="Y847">
        <f>IF(AND(ISNUMBER('자료_한국심리'!$M831),ISNUMBER('자료_한국심리'!$N831)),'자료_한국심리'!$M831,"")</f>
        <v/>
      </c>
    </row>
    <row r="848">
      <c r="A848" s="10">
        <f>IF(830&gt;$E$5,"",SMALL($U$19:$U$4018,$E$6+830))</f>
        <v/>
      </c>
      <c r="B848" s="29">
        <f>IF(A848="","",INDEX('자료_한국심리'!$B$3:$B$4002,MATCH(A848,$U$19:$U$4018,0)))</f>
        <v/>
      </c>
      <c r="C848" s="22">
        <f>IF(A848="","",B848/AVERAGE(B724:B848)-1)</f>
        <v/>
      </c>
      <c r="D848" s="29">
        <f>IF(A848="","",IFERROR(INDEX('자료_한국심리'!$E$3:$E$4002,MATCH(A848,$V$19:$V$4018,0)),D847))</f>
        <v/>
      </c>
      <c r="E848" s="30">
        <f>IF(A848="","",IFERROR(INDEX('자료_한국심리'!$H$3:$H$4002,MATCH(A848,$W$19:$W$4018,0)),E847))</f>
        <v/>
      </c>
      <c r="F848" s="30">
        <f>IF(A848="","",IFERROR(INDEX('자료_한국심리'!$K$3:$K$4002,MATCH(A848,$X$19:$X$4018,0)),F847))</f>
        <v/>
      </c>
      <c r="G848" s="30">
        <f>IF(AND(ISNUMBER(E848),ISNUMBER(F848)),ROUND(E848-F848,6),"")</f>
        <v/>
      </c>
      <c r="H848" s="25">
        <f>IF(A848="","",IFERROR(INDEX('자료_한국심리'!$N$3:$N$4002,MATCH(A848,$Y$19:$Y$4018,0)),H847))</f>
        <v/>
      </c>
      <c r="I848" s="31">
        <f>IF(AND(ISNUMBER(H848),ISNUMBER(H828)),IF(H828&gt;0,H848/H828-1,""),"")</f>
        <v/>
      </c>
      <c r="J848">
        <f>IF(A848="",0,IF(A848&gt;$B$5,1,0))</f>
        <v/>
      </c>
      <c r="K848" s="29">
        <f>IF(AND(J848=1,ISNUMBER(D848)),D848,"")</f>
        <v/>
      </c>
      <c r="L848" s="30">
        <f>IF(AND(J848=1,ISNUMBER(G848)),G848,"")</f>
        <v/>
      </c>
      <c r="M848" s="22">
        <f>IF(AND(J848=1,ISNUMBER(C848)),C848,"")</f>
        <v/>
      </c>
      <c r="N848" s="31">
        <f>IF(AND(J848=1,ISNUMBER(I848)),I848,"")</f>
        <v/>
      </c>
      <c r="O848" s="11">
        <f>IF(K848="","",100-IF($G$13=1,50,(_xlfn.RANK.AVG(K848,$K$19:$K$1518,1)-1)/($G$13-1)*100))</f>
        <v/>
      </c>
      <c r="P848" s="11">
        <f>IF(L848="","",100-IF($G$14=1,50,(_xlfn.RANK.AVG(L848,$L$19:$L$1518,1)-1)/($G$14-1)*100))</f>
        <v/>
      </c>
      <c r="Q848" s="11">
        <f>IF(M848="","",IF($G$15=1,50,(_xlfn.RANK.AVG(M848,$M$19:$M$1518,1)-1)/($G$15-1)*100))</f>
        <v/>
      </c>
      <c r="R848" s="11">
        <f>IF(N848="","",IF($G$16=1,50,(_xlfn.RANK.AVG(N848,$N$19:$N$1518,1)-1)/($G$16-1)*100))</f>
        <v/>
      </c>
      <c r="S848" s="11">
        <f>IF(COUNT(O848:R848)=4,ROUND(AVERAGE(O848:R848),6),"")</f>
        <v/>
      </c>
      <c r="U848">
        <f>IF(AND(ISNUMBER('자료_한국심리'!$A832),ISNUMBER('자료_한국심리'!$B832)),'자료_한국심리'!$A832,"")</f>
        <v/>
      </c>
      <c r="V848">
        <f>IF(AND(ISNUMBER('자료_한국심리'!$D832),ISNUMBER('자료_한국심리'!$E832)),'자료_한국심리'!$D832,"")</f>
        <v/>
      </c>
      <c r="W848">
        <f>IF(AND(ISNUMBER('자료_한국심리'!$G832),ISNUMBER('자료_한국심리'!$H832)),'자료_한국심리'!$G832,"")</f>
        <v/>
      </c>
      <c r="X848">
        <f>IF(AND(ISNUMBER('자료_한국심리'!$J832),ISNUMBER('자료_한국심리'!$K832)),'자료_한국심리'!$J832,"")</f>
        <v/>
      </c>
      <c r="Y848">
        <f>IF(AND(ISNUMBER('자료_한국심리'!$M832),ISNUMBER('자료_한국심리'!$N832)),'자료_한국심리'!$M832,"")</f>
        <v/>
      </c>
    </row>
    <row r="849">
      <c r="A849" s="10">
        <f>IF(831&gt;$E$5,"",SMALL($U$19:$U$4018,$E$6+831))</f>
        <v/>
      </c>
      <c r="B849" s="29">
        <f>IF(A849="","",INDEX('자료_한국심리'!$B$3:$B$4002,MATCH(A849,$U$19:$U$4018,0)))</f>
        <v/>
      </c>
      <c r="C849" s="22">
        <f>IF(A849="","",B849/AVERAGE(B725:B849)-1)</f>
        <v/>
      </c>
      <c r="D849" s="29">
        <f>IF(A849="","",IFERROR(INDEX('자료_한국심리'!$E$3:$E$4002,MATCH(A849,$V$19:$V$4018,0)),D848))</f>
        <v/>
      </c>
      <c r="E849" s="30">
        <f>IF(A849="","",IFERROR(INDEX('자료_한국심리'!$H$3:$H$4002,MATCH(A849,$W$19:$W$4018,0)),E848))</f>
        <v/>
      </c>
      <c r="F849" s="30">
        <f>IF(A849="","",IFERROR(INDEX('자료_한국심리'!$K$3:$K$4002,MATCH(A849,$X$19:$X$4018,0)),F848))</f>
        <v/>
      </c>
      <c r="G849" s="30">
        <f>IF(AND(ISNUMBER(E849),ISNUMBER(F849)),ROUND(E849-F849,6),"")</f>
        <v/>
      </c>
      <c r="H849" s="25">
        <f>IF(A849="","",IFERROR(INDEX('자료_한국심리'!$N$3:$N$4002,MATCH(A849,$Y$19:$Y$4018,0)),H848))</f>
        <v/>
      </c>
      <c r="I849" s="31">
        <f>IF(AND(ISNUMBER(H849),ISNUMBER(H829)),IF(H829&gt;0,H849/H829-1,""),"")</f>
        <v/>
      </c>
      <c r="J849">
        <f>IF(A849="",0,IF(A849&gt;$B$5,1,0))</f>
        <v/>
      </c>
      <c r="K849" s="29">
        <f>IF(AND(J849=1,ISNUMBER(D849)),D849,"")</f>
        <v/>
      </c>
      <c r="L849" s="30">
        <f>IF(AND(J849=1,ISNUMBER(G849)),G849,"")</f>
        <v/>
      </c>
      <c r="M849" s="22">
        <f>IF(AND(J849=1,ISNUMBER(C849)),C849,"")</f>
        <v/>
      </c>
      <c r="N849" s="31">
        <f>IF(AND(J849=1,ISNUMBER(I849)),I849,"")</f>
        <v/>
      </c>
      <c r="O849" s="11">
        <f>IF(K849="","",100-IF($G$13=1,50,(_xlfn.RANK.AVG(K849,$K$19:$K$1518,1)-1)/($G$13-1)*100))</f>
        <v/>
      </c>
      <c r="P849" s="11">
        <f>IF(L849="","",100-IF($G$14=1,50,(_xlfn.RANK.AVG(L849,$L$19:$L$1518,1)-1)/($G$14-1)*100))</f>
        <v/>
      </c>
      <c r="Q849" s="11">
        <f>IF(M849="","",IF($G$15=1,50,(_xlfn.RANK.AVG(M849,$M$19:$M$1518,1)-1)/($G$15-1)*100))</f>
        <v/>
      </c>
      <c r="R849" s="11">
        <f>IF(N849="","",IF($G$16=1,50,(_xlfn.RANK.AVG(N849,$N$19:$N$1518,1)-1)/($G$16-1)*100))</f>
        <v/>
      </c>
      <c r="S849" s="11">
        <f>IF(COUNT(O849:R849)=4,ROUND(AVERAGE(O849:R849),6),"")</f>
        <v/>
      </c>
      <c r="U849">
        <f>IF(AND(ISNUMBER('자료_한국심리'!$A833),ISNUMBER('자료_한국심리'!$B833)),'자료_한국심리'!$A833,"")</f>
        <v/>
      </c>
      <c r="V849">
        <f>IF(AND(ISNUMBER('자료_한국심리'!$D833),ISNUMBER('자료_한국심리'!$E833)),'자료_한국심리'!$D833,"")</f>
        <v/>
      </c>
      <c r="W849">
        <f>IF(AND(ISNUMBER('자료_한국심리'!$G833),ISNUMBER('자료_한국심리'!$H833)),'자료_한국심리'!$G833,"")</f>
        <v/>
      </c>
      <c r="X849">
        <f>IF(AND(ISNUMBER('자료_한국심리'!$J833),ISNUMBER('자료_한국심리'!$K833)),'자료_한국심리'!$J833,"")</f>
        <v/>
      </c>
      <c r="Y849">
        <f>IF(AND(ISNUMBER('자료_한국심리'!$M833),ISNUMBER('자료_한국심리'!$N833)),'자료_한국심리'!$M833,"")</f>
        <v/>
      </c>
    </row>
    <row r="850">
      <c r="A850" s="10">
        <f>IF(832&gt;$E$5,"",SMALL($U$19:$U$4018,$E$6+832))</f>
        <v/>
      </c>
      <c r="B850" s="29">
        <f>IF(A850="","",INDEX('자료_한국심리'!$B$3:$B$4002,MATCH(A850,$U$19:$U$4018,0)))</f>
        <v/>
      </c>
      <c r="C850" s="22">
        <f>IF(A850="","",B850/AVERAGE(B726:B850)-1)</f>
        <v/>
      </c>
      <c r="D850" s="29">
        <f>IF(A850="","",IFERROR(INDEX('자료_한국심리'!$E$3:$E$4002,MATCH(A850,$V$19:$V$4018,0)),D849))</f>
        <v/>
      </c>
      <c r="E850" s="30">
        <f>IF(A850="","",IFERROR(INDEX('자료_한국심리'!$H$3:$H$4002,MATCH(A850,$W$19:$W$4018,0)),E849))</f>
        <v/>
      </c>
      <c r="F850" s="30">
        <f>IF(A850="","",IFERROR(INDEX('자료_한국심리'!$K$3:$K$4002,MATCH(A850,$X$19:$X$4018,0)),F849))</f>
        <v/>
      </c>
      <c r="G850" s="30">
        <f>IF(AND(ISNUMBER(E850),ISNUMBER(F850)),ROUND(E850-F850,6),"")</f>
        <v/>
      </c>
      <c r="H850" s="25">
        <f>IF(A850="","",IFERROR(INDEX('자료_한국심리'!$N$3:$N$4002,MATCH(A850,$Y$19:$Y$4018,0)),H849))</f>
        <v/>
      </c>
      <c r="I850" s="31">
        <f>IF(AND(ISNUMBER(H850),ISNUMBER(H830)),IF(H830&gt;0,H850/H830-1,""),"")</f>
        <v/>
      </c>
      <c r="J850">
        <f>IF(A850="",0,IF(A850&gt;$B$5,1,0))</f>
        <v/>
      </c>
      <c r="K850" s="29">
        <f>IF(AND(J850=1,ISNUMBER(D850)),D850,"")</f>
        <v/>
      </c>
      <c r="L850" s="30">
        <f>IF(AND(J850=1,ISNUMBER(G850)),G850,"")</f>
        <v/>
      </c>
      <c r="M850" s="22">
        <f>IF(AND(J850=1,ISNUMBER(C850)),C850,"")</f>
        <v/>
      </c>
      <c r="N850" s="31">
        <f>IF(AND(J850=1,ISNUMBER(I850)),I850,"")</f>
        <v/>
      </c>
      <c r="O850" s="11">
        <f>IF(K850="","",100-IF($G$13=1,50,(_xlfn.RANK.AVG(K850,$K$19:$K$1518,1)-1)/($G$13-1)*100))</f>
        <v/>
      </c>
      <c r="P850" s="11">
        <f>IF(L850="","",100-IF($G$14=1,50,(_xlfn.RANK.AVG(L850,$L$19:$L$1518,1)-1)/($G$14-1)*100))</f>
        <v/>
      </c>
      <c r="Q850" s="11">
        <f>IF(M850="","",IF($G$15=1,50,(_xlfn.RANK.AVG(M850,$M$19:$M$1518,1)-1)/($G$15-1)*100))</f>
        <v/>
      </c>
      <c r="R850" s="11">
        <f>IF(N850="","",IF($G$16=1,50,(_xlfn.RANK.AVG(N850,$N$19:$N$1518,1)-1)/($G$16-1)*100))</f>
        <v/>
      </c>
      <c r="S850" s="11">
        <f>IF(COUNT(O850:R850)=4,ROUND(AVERAGE(O850:R850),6),"")</f>
        <v/>
      </c>
      <c r="U850">
        <f>IF(AND(ISNUMBER('자료_한국심리'!$A834),ISNUMBER('자료_한국심리'!$B834)),'자료_한국심리'!$A834,"")</f>
        <v/>
      </c>
      <c r="V850">
        <f>IF(AND(ISNUMBER('자료_한국심리'!$D834),ISNUMBER('자료_한국심리'!$E834)),'자료_한국심리'!$D834,"")</f>
        <v/>
      </c>
      <c r="W850">
        <f>IF(AND(ISNUMBER('자료_한국심리'!$G834),ISNUMBER('자료_한국심리'!$H834)),'자료_한국심리'!$G834,"")</f>
        <v/>
      </c>
      <c r="X850">
        <f>IF(AND(ISNUMBER('자료_한국심리'!$J834),ISNUMBER('자료_한국심리'!$K834)),'자료_한국심리'!$J834,"")</f>
        <v/>
      </c>
      <c r="Y850">
        <f>IF(AND(ISNUMBER('자료_한국심리'!$M834),ISNUMBER('자료_한국심리'!$N834)),'자료_한국심리'!$M834,"")</f>
        <v/>
      </c>
    </row>
    <row r="851">
      <c r="A851" s="10">
        <f>IF(833&gt;$E$5,"",SMALL($U$19:$U$4018,$E$6+833))</f>
        <v/>
      </c>
      <c r="B851" s="29">
        <f>IF(A851="","",INDEX('자료_한국심리'!$B$3:$B$4002,MATCH(A851,$U$19:$U$4018,0)))</f>
        <v/>
      </c>
      <c r="C851" s="22">
        <f>IF(A851="","",B851/AVERAGE(B727:B851)-1)</f>
        <v/>
      </c>
      <c r="D851" s="29">
        <f>IF(A851="","",IFERROR(INDEX('자료_한국심리'!$E$3:$E$4002,MATCH(A851,$V$19:$V$4018,0)),D850))</f>
        <v/>
      </c>
      <c r="E851" s="30">
        <f>IF(A851="","",IFERROR(INDEX('자료_한국심리'!$H$3:$H$4002,MATCH(A851,$W$19:$W$4018,0)),E850))</f>
        <v/>
      </c>
      <c r="F851" s="30">
        <f>IF(A851="","",IFERROR(INDEX('자료_한국심리'!$K$3:$K$4002,MATCH(A851,$X$19:$X$4018,0)),F850))</f>
        <v/>
      </c>
      <c r="G851" s="30">
        <f>IF(AND(ISNUMBER(E851),ISNUMBER(F851)),ROUND(E851-F851,6),"")</f>
        <v/>
      </c>
      <c r="H851" s="25">
        <f>IF(A851="","",IFERROR(INDEX('자료_한국심리'!$N$3:$N$4002,MATCH(A851,$Y$19:$Y$4018,0)),H850))</f>
        <v/>
      </c>
      <c r="I851" s="31">
        <f>IF(AND(ISNUMBER(H851),ISNUMBER(H831)),IF(H831&gt;0,H851/H831-1,""),"")</f>
        <v/>
      </c>
      <c r="J851">
        <f>IF(A851="",0,IF(A851&gt;$B$5,1,0))</f>
        <v/>
      </c>
      <c r="K851" s="29">
        <f>IF(AND(J851=1,ISNUMBER(D851)),D851,"")</f>
        <v/>
      </c>
      <c r="L851" s="30">
        <f>IF(AND(J851=1,ISNUMBER(G851)),G851,"")</f>
        <v/>
      </c>
      <c r="M851" s="22">
        <f>IF(AND(J851=1,ISNUMBER(C851)),C851,"")</f>
        <v/>
      </c>
      <c r="N851" s="31">
        <f>IF(AND(J851=1,ISNUMBER(I851)),I851,"")</f>
        <v/>
      </c>
      <c r="O851" s="11">
        <f>IF(K851="","",100-IF($G$13=1,50,(_xlfn.RANK.AVG(K851,$K$19:$K$1518,1)-1)/($G$13-1)*100))</f>
        <v/>
      </c>
      <c r="P851" s="11">
        <f>IF(L851="","",100-IF($G$14=1,50,(_xlfn.RANK.AVG(L851,$L$19:$L$1518,1)-1)/($G$14-1)*100))</f>
        <v/>
      </c>
      <c r="Q851" s="11">
        <f>IF(M851="","",IF($G$15=1,50,(_xlfn.RANK.AVG(M851,$M$19:$M$1518,1)-1)/($G$15-1)*100))</f>
        <v/>
      </c>
      <c r="R851" s="11">
        <f>IF(N851="","",IF($G$16=1,50,(_xlfn.RANK.AVG(N851,$N$19:$N$1518,1)-1)/($G$16-1)*100))</f>
        <v/>
      </c>
      <c r="S851" s="11">
        <f>IF(COUNT(O851:R851)=4,ROUND(AVERAGE(O851:R851),6),"")</f>
        <v/>
      </c>
      <c r="U851">
        <f>IF(AND(ISNUMBER('자료_한국심리'!$A835),ISNUMBER('자료_한국심리'!$B835)),'자료_한국심리'!$A835,"")</f>
        <v/>
      </c>
      <c r="V851">
        <f>IF(AND(ISNUMBER('자료_한국심리'!$D835),ISNUMBER('자료_한국심리'!$E835)),'자료_한국심리'!$D835,"")</f>
        <v/>
      </c>
      <c r="W851">
        <f>IF(AND(ISNUMBER('자료_한국심리'!$G835),ISNUMBER('자료_한국심리'!$H835)),'자료_한국심리'!$G835,"")</f>
        <v/>
      </c>
      <c r="X851">
        <f>IF(AND(ISNUMBER('자료_한국심리'!$J835),ISNUMBER('자료_한국심리'!$K835)),'자료_한국심리'!$J835,"")</f>
        <v/>
      </c>
      <c r="Y851">
        <f>IF(AND(ISNUMBER('자료_한국심리'!$M835),ISNUMBER('자료_한국심리'!$N835)),'자료_한국심리'!$M835,"")</f>
        <v/>
      </c>
    </row>
    <row r="852">
      <c r="A852" s="10">
        <f>IF(834&gt;$E$5,"",SMALL($U$19:$U$4018,$E$6+834))</f>
        <v/>
      </c>
      <c r="B852" s="29">
        <f>IF(A852="","",INDEX('자료_한국심리'!$B$3:$B$4002,MATCH(A852,$U$19:$U$4018,0)))</f>
        <v/>
      </c>
      <c r="C852" s="22">
        <f>IF(A852="","",B852/AVERAGE(B728:B852)-1)</f>
        <v/>
      </c>
      <c r="D852" s="29">
        <f>IF(A852="","",IFERROR(INDEX('자료_한국심리'!$E$3:$E$4002,MATCH(A852,$V$19:$V$4018,0)),D851))</f>
        <v/>
      </c>
      <c r="E852" s="30">
        <f>IF(A852="","",IFERROR(INDEX('자료_한국심리'!$H$3:$H$4002,MATCH(A852,$W$19:$W$4018,0)),E851))</f>
        <v/>
      </c>
      <c r="F852" s="30">
        <f>IF(A852="","",IFERROR(INDEX('자료_한국심리'!$K$3:$K$4002,MATCH(A852,$X$19:$X$4018,0)),F851))</f>
        <v/>
      </c>
      <c r="G852" s="30">
        <f>IF(AND(ISNUMBER(E852),ISNUMBER(F852)),ROUND(E852-F852,6),"")</f>
        <v/>
      </c>
      <c r="H852" s="25">
        <f>IF(A852="","",IFERROR(INDEX('자료_한국심리'!$N$3:$N$4002,MATCH(A852,$Y$19:$Y$4018,0)),H851))</f>
        <v/>
      </c>
      <c r="I852" s="31">
        <f>IF(AND(ISNUMBER(H852),ISNUMBER(H832)),IF(H832&gt;0,H852/H832-1,""),"")</f>
        <v/>
      </c>
      <c r="J852">
        <f>IF(A852="",0,IF(A852&gt;$B$5,1,0))</f>
        <v/>
      </c>
      <c r="K852" s="29">
        <f>IF(AND(J852=1,ISNUMBER(D852)),D852,"")</f>
        <v/>
      </c>
      <c r="L852" s="30">
        <f>IF(AND(J852=1,ISNUMBER(G852)),G852,"")</f>
        <v/>
      </c>
      <c r="M852" s="22">
        <f>IF(AND(J852=1,ISNUMBER(C852)),C852,"")</f>
        <v/>
      </c>
      <c r="N852" s="31">
        <f>IF(AND(J852=1,ISNUMBER(I852)),I852,"")</f>
        <v/>
      </c>
      <c r="O852" s="11">
        <f>IF(K852="","",100-IF($G$13=1,50,(_xlfn.RANK.AVG(K852,$K$19:$K$1518,1)-1)/($G$13-1)*100))</f>
        <v/>
      </c>
      <c r="P852" s="11">
        <f>IF(L852="","",100-IF($G$14=1,50,(_xlfn.RANK.AVG(L852,$L$19:$L$1518,1)-1)/($G$14-1)*100))</f>
        <v/>
      </c>
      <c r="Q852" s="11">
        <f>IF(M852="","",IF($G$15=1,50,(_xlfn.RANK.AVG(M852,$M$19:$M$1518,1)-1)/($G$15-1)*100))</f>
        <v/>
      </c>
      <c r="R852" s="11">
        <f>IF(N852="","",IF($G$16=1,50,(_xlfn.RANK.AVG(N852,$N$19:$N$1518,1)-1)/($G$16-1)*100))</f>
        <v/>
      </c>
      <c r="S852" s="11">
        <f>IF(COUNT(O852:R852)=4,ROUND(AVERAGE(O852:R852),6),"")</f>
        <v/>
      </c>
      <c r="U852">
        <f>IF(AND(ISNUMBER('자료_한국심리'!$A836),ISNUMBER('자료_한국심리'!$B836)),'자료_한국심리'!$A836,"")</f>
        <v/>
      </c>
      <c r="V852">
        <f>IF(AND(ISNUMBER('자료_한국심리'!$D836),ISNUMBER('자료_한국심리'!$E836)),'자료_한국심리'!$D836,"")</f>
        <v/>
      </c>
      <c r="W852">
        <f>IF(AND(ISNUMBER('자료_한국심리'!$G836),ISNUMBER('자료_한국심리'!$H836)),'자료_한국심리'!$G836,"")</f>
        <v/>
      </c>
      <c r="X852">
        <f>IF(AND(ISNUMBER('자료_한국심리'!$J836),ISNUMBER('자료_한국심리'!$K836)),'자료_한국심리'!$J836,"")</f>
        <v/>
      </c>
      <c r="Y852">
        <f>IF(AND(ISNUMBER('자료_한국심리'!$M836),ISNUMBER('자료_한국심리'!$N836)),'자료_한국심리'!$M836,"")</f>
        <v/>
      </c>
    </row>
    <row r="853">
      <c r="A853" s="10">
        <f>IF(835&gt;$E$5,"",SMALL($U$19:$U$4018,$E$6+835))</f>
        <v/>
      </c>
      <c r="B853" s="29">
        <f>IF(A853="","",INDEX('자료_한국심리'!$B$3:$B$4002,MATCH(A853,$U$19:$U$4018,0)))</f>
        <v/>
      </c>
      <c r="C853" s="22">
        <f>IF(A853="","",B853/AVERAGE(B729:B853)-1)</f>
        <v/>
      </c>
      <c r="D853" s="29">
        <f>IF(A853="","",IFERROR(INDEX('자료_한국심리'!$E$3:$E$4002,MATCH(A853,$V$19:$V$4018,0)),D852))</f>
        <v/>
      </c>
      <c r="E853" s="30">
        <f>IF(A853="","",IFERROR(INDEX('자료_한국심리'!$H$3:$H$4002,MATCH(A853,$W$19:$W$4018,0)),E852))</f>
        <v/>
      </c>
      <c r="F853" s="30">
        <f>IF(A853="","",IFERROR(INDEX('자료_한국심리'!$K$3:$K$4002,MATCH(A853,$X$19:$X$4018,0)),F852))</f>
        <v/>
      </c>
      <c r="G853" s="30">
        <f>IF(AND(ISNUMBER(E853),ISNUMBER(F853)),ROUND(E853-F853,6),"")</f>
        <v/>
      </c>
      <c r="H853" s="25">
        <f>IF(A853="","",IFERROR(INDEX('자료_한국심리'!$N$3:$N$4002,MATCH(A853,$Y$19:$Y$4018,0)),H852))</f>
        <v/>
      </c>
      <c r="I853" s="31">
        <f>IF(AND(ISNUMBER(H853),ISNUMBER(H833)),IF(H833&gt;0,H853/H833-1,""),"")</f>
        <v/>
      </c>
      <c r="J853">
        <f>IF(A853="",0,IF(A853&gt;$B$5,1,0))</f>
        <v/>
      </c>
      <c r="K853" s="29">
        <f>IF(AND(J853=1,ISNUMBER(D853)),D853,"")</f>
        <v/>
      </c>
      <c r="L853" s="30">
        <f>IF(AND(J853=1,ISNUMBER(G853)),G853,"")</f>
        <v/>
      </c>
      <c r="M853" s="22">
        <f>IF(AND(J853=1,ISNUMBER(C853)),C853,"")</f>
        <v/>
      </c>
      <c r="N853" s="31">
        <f>IF(AND(J853=1,ISNUMBER(I853)),I853,"")</f>
        <v/>
      </c>
      <c r="O853" s="11">
        <f>IF(K853="","",100-IF($G$13=1,50,(_xlfn.RANK.AVG(K853,$K$19:$K$1518,1)-1)/($G$13-1)*100))</f>
        <v/>
      </c>
      <c r="P853" s="11">
        <f>IF(L853="","",100-IF($G$14=1,50,(_xlfn.RANK.AVG(L853,$L$19:$L$1518,1)-1)/($G$14-1)*100))</f>
        <v/>
      </c>
      <c r="Q853" s="11">
        <f>IF(M853="","",IF($G$15=1,50,(_xlfn.RANK.AVG(M853,$M$19:$M$1518,1)-1)/($G$15-1)*100))</f>
        <v/>
      </c>
      <c r="R853" s="11">
        <f>IF(N853="","",IF($G$16=1,50,(_xlfn.RANK.AVG(N853,$N$19:$N$1518,1)-1)/($G$16-1)*100))</f>
        <v/>
      </c>
      <c r="S853" s="11">
        <f>IF(COUNT(O853:R853)=4,ROUND(AVERAGE(O853:R853),6),"")</f>
        <v/>
      </c>
      <c r="U853">
        <f>IF(AND(ISNUMBER('자료_한국심리'!$A837),ISNUMBER('자료_한국심리'!$B837)),'자료_한국심리'!$A837,"")</f>
        <v/>
      </c>
      <c r="V853">
        <f>IF(AND(ISNUMBER('자료_한국심리'!$D837),ISNUMBER('자료_한국심리'!$E837)),'자료_한국심리'!$D837,"")</f>
        <v/>
      </c>
      <c r="W853">
        <f>IF(AND(ISNUMBER('자료_한국심리'!$G837),ISNUMBER('자료_한국심리'!$H837)),'자료_한국심리'!$G837,"")</f>
        <v/>
      </c>
      <c r="X853">
        <f>IF(AND(ISNUMBER('자료_한국심리'!$J837),ISNUMBER('자료_한국심리'!$K837)),'자료_한국심리'!$J837,"")</f>
        <v/>
      </c>
      <c r="Y853">
        <f>IF(AND(ISNUMBER('자료_한국심리'!$M837),ISNUMBER('자료_한국심리'!$N837)),'자료_한국심리'!$M837,"")</f>
        <v/>
      </c>
    </row>
    <row r="854">
      <c r="A854" s="10">
        <f>IF(836&gt;$E$5,"",SMALL($U$19:$U$4018,$E$6+836))</f>
        <v/>
      </c>
      <c r="B854" s="29">
        <f>IF(A854="","",INDEX('자료_한국심리'!$B$3:$B$4002,MATCH(A854,$U$19:$U$4018,0)))</f>
        <v/>
      </c>
      <c r="C854" s="22">
        <f>IF(A854="","",B854/AVERAGE(B730:B854)-1)</f>
        <v/>
      </c>
      <c r="D854" s="29">
        <f>IF(A854="","",IFERROR(INDEX('자료_한국심리'!$E$3:$E$4002,MATCH(A854,$V$19:$V$4018,0)),D853))</f>
        <v/>
      </c>
      <c r="E854" s="30">
        <f>IF(A854="","",IFERROR(INDEX('자료_한국심리'!$H$3:$H$4002,MATCH(A854,$W$19:$W$4018,0)),E853))</f>
        <v/>
      </c>
      <c r="F854" s="30">
        <f>IF(A854="","",IFERROR(INDEX('자료_한국심리'!$K$3:$K$4002,MATCH(A854,$X$19:$X$4018,0)),F853))</f>
        <v/>
      </c>
      <c r="G854" s="30">
        <f>IF(AND(ISNUMBER(E854),ISNUMBER(F854)),ROUND(E854-F854,6),"")</f>
        <v/>
      </c>
      <c r="H854" s="25">
        <f>IF(A854="","",IFERROR(INDEX('자료_한국심리'!$N$3:$N$4002,MATCH(A854,$Y$19:$Y$4018,0)),H853))</f>
        <v/>
      </c>
      <c r="I854" s="31">
        <f>IF(AND(ISNUMBER(H854),ISNUMBER(H834)),IF(H834&gt;0,H854/H834-1,""),"")</f>
        <v/>
      </c>
      <c r="J854">
        <f>IF(A854="",0,IF(A854&gt;$B$5,1,0))</f>
        <v/>
      </c>
      <c r="K854" s="29">
        <f>IF(AND(J854=1,ISNUMBER(D854)),D854,"")</f>
        <v/>
      </c>
      <c r="L854" s="30">
        <f>IF(AND(J854=1,ISNUMBER(G854)),G854,"")</f>
        <v/>
      </c>
      <c r="M854" s="22">
        <f>IF(AND(J854=1,ISNUMBER(C854)),C854,"")</f>
        <v/>
      </c>
      <c r="N854" s="31">
        <f>IF(AND(J854=1,ISNUMBER(I854)),I854,"")</f>
        <v/>
      </c>
      <c r="O854" s="11">
        <f>IF(K854="","",100-IF($G$13=1,50,(_xlfn.RANK.AVG(K854,$K$19:$K$1518,1)-1)/($G$13-1)*100))</f>
        <v/>
      </c>
      <c r="P854" s="11">
        <f>IF(L854="","",100-IF($G$14=1,50,(_xlfn.RANK.AVG(L854,$L$19:$L$1518,1)-1)/($G$14-1)*100))</f>
        <v/>
      </c>
      <c r="Q854" s="11">
        <f>IF(M854="","",IF($G$15=1,50,(_xlfn.RANK.AVG(M854,$M$19:$M$1518,1)-1)/($G$15-1)*100))</f>
        <v/>
      </c>
      <c r="R854" s="11">
        <f>IF(N854="","",IF($G$16=1,50,(_xlfn.RANK.AVG(N854,$N$19:$N$1518,1)-1)/($G$16-1)*100))</f>
        <v/>
      </c>
      <c r="S854" s="11">
        <f>IF(COUNT(O854:R854)=4,ROUND(AVERAGE(O854:R854),6),"")</f>
        <v/>
      </c>
      <c r="U854">
        <f>IF(AND(ISNUMBER('자료_한국심리'!$A838),ISNUMBER('자료_한국심리'!$B838)),'자료_한국심리'!$A838,"")</f>
        <v/>
      </c>
      <c r="V854">
        <f>IF(AND(ISNUMBER('자료_한국심리'!$D838),ISNUMBER('자료_한국심리'!$E838)),'자료_한국심리'!$D838,"")</f>
        <v/>
      </c>
      <c r="W854">
        <f>IF(AND(ISNUMBER('자료_한국심리'!$G838),ISNUMBER('자료_한국심리'!$H838)),'자료_한국심리'!$G838,"")</f>
        <v/>
      </c>
      <c r="X854">
        <f>IF(AND(ISNUMBER('자료_한국심리'!$J838),ISNUMBER('자료_한국심리'!$K838)),'자료_한국심리'!$J838,"")</f>
        <v/>
      </c>
      <c r="Y854">
        <f>IF(AND(ISNUMBER('자료_한국심리'!$M838),ISNUMBER('자료_한국심리'!$N838)),'자료_한국심리'!$M838,"")</f>
        <v/>
      </c>
    </row>
    <row r="855">
      <c r="A855" s="10">
        <f>IF(837&gt;$E$5,"",SMALL($U$19:$U$4018,$E$6+837))</f>
        <v/>
      </c>
      <c r="B855" s="29">
        <f>IF(A855="","",INDEX('자료_한국심리'!$B$3:$B$4002,MATCH(A855,$U$19:$U$4018,0)))</f>
        <v/>
      </c>
      <c r="C855" s="22">
        <f>IF(A855="","",B855/AVERAGE(B731:B855)-1)</f>
        <v/>
      </c>
      <c r="D855" s="29">
        <f>IF(A855="","",IFERROR(INDEX('자료_한국심리'!$E$3:$E$4002,MATCH(A855,$V$19:$V$4018,0)),D854))</f>
        <v/>
      </c>
      <c r="E855" s="30">
        <f>IF(A855="","",IFERROR(INDEX('자료_한국심리'!$H$3:$H$4002,MATCH(A855,$W$19:$W$4018,0)),E854))</f>
        <v/>
      </c>
      <c r="F855" s="30">
        <f>IF(A855="","",IFERROR(INDEX('자료_한국심리'!$K$3:$K$4002,MATCH(A855,$X$19:$X$4018,0)),F854))</f>
        <v/>
      </c>
      <c r="G855" s="30">
        <f>IF(AND(ISNUMBER(E855),ISNUMBER(F855)),ROUND(E855-F855,6),"")</f>
        <v/>
      </c>
      <c r="H855" s="25">
        <f>IF(A855="","",IFERROR(INDEX('자료_한국심리'!$N$3:$N$4002,MATCH(A855,$Y$19:$Y$4018,0)),H854))</f>
        <v/>
      </c>
      <c r="I855" s="31">
        <f>IF(AND(ISNUMBER(H855),ISNUMBER(H835)),IF(H835&gt;0,H855/H835-1,""),"")</f>
        <v/>
      </c>
      <c r="J855">
        <f>IF(A855="",0,IF(A855&gt;$B$5,1,0))</f>
        <v/>
      </c>
      <c r="K855" s="29">
        <f>IF(AND(J855=1,ISNUMBER(D855)),D855,"")</f>
        <v/>
      </c>
      <c r="L855" s="30">
        <f>IF(AND(J855=1,ISNUMBER(G855)),G855,"")</f>
        <v/>
      </c>
      <c r="M855" s="22">
        <f>IF(AND(J855=1,ISNUMBER(C855)),C855,"")</f>
        <v/>
      </c>
      <c r="N855" s="31">
        <f>IF(AND(J855=1,ISNUMBER(I855)),I855,"")</f>
        <v/>
      </c>
      <c r="O855" s="11">
        <f>IF(K855="","",100-IF($G$13=1,50,(_xlfn.RANK.AVG(K855,$K$19:$K$1518,1)-1)/($G$13-1)*100))</f>
        <v/>
      </c>
      <c r="P855" s="11">
        <f>IF(L855="","",100-IF($G$14=1,50,(_xlfn.RANK.AVG(L855,$L$19:$L$1518,1)-1)/($G$14-1)*100))</f>
        <v/>
      </c>
      <c r="Q855" s="11">
        <f>IF(M855="","",IF($G$15=1,50,(_xlfn.RANK.AVG(M855,$M$19:$M$1518,1)-1)/($G$15-1)*100))</f>
        <v/>
      </c>
      <c r="R855" s="11">
        <f>IF(N855="","",IF($G$16=1,50,(_xlfn.RANK.AVG(N855,$N$19:$N$1518,1)-1)/($G$16-1)*100))</f>
        <v/>
      </c>
      <c r="S855" s="11">
        <f>IF(COUNT(O855:R855)=4,ROUND(AVERAGE(O855:R855),6),"")</f>
        <v/>
      </c>
      <c r="U855">
        <f>IF(AND(ISNUMBER('자료_한국심리'!$A839),ISNUMBER('자료_한국심리'!$B839)),'자료_한국심리'!$A839,"")</f>
        <v/>
      </c>
      <c r="V855">
        <f>IF(AND(ISNUMBER('자료_한국심리'!$D839),ISNUMBER('자료_한국심리'!$E839)),'자료_한국심리'!$D839,"")</f>
        <v/>
      </c>
      <c r="W855">
        <f>IF(AND(ISNUMBER('자료_한국심리'!$G839),ISNUMBER('자료_한국심리'!$H839)),'자료_한국심리'!$G839,"")</f>
        <v/>
      </c>
      <c r="X855">
        <f>IF(AND(ISNUMBER('자료_한국심리'!$J839),ISNUMBER('자료_한국심리'!$K839)),'자료_한국심리'!$J839,"")</f>
        <v/>
      </c>
      <c r="Y855">
        <f>IF(AND(ISNUMBER('자료_한국심리'!$M839),ISNUMBER('자료_한국심리'!$N839)),'자료_한국심리'!$M839,"")</f>
        <v/>
      </c>
    </row>
    <row r="856">
      <c r="A856" s="10">
        <f>IF(838&gt;$E$5,"",SMALL($U$19:$U$4018,$E$6+838))</f>
        <v/>
      </c>
      <c r="B856" s="29">
        <f>IF(A856="","",INDEX('자료_한국심리'!$B$3:$B$4002,MATCH(A856,$U$19:$U$4018,0)))</f>
        <v/>
      </c>
      <c r="C856" s="22">
        <f>IF(A856="","",B856/AVERAGE(B732:B856)-1)</f>
        <v/>
      </c>
      <c r="D856" s="29">
        <f>IF(A856="","",IFERROR(INDEX('자료_한국심리'!$E$3:$E$4002,MATCH(A856,$V$19:$V$4018,0)),D855))</f>
        <v/>
      </c>
      <c r="E856" s="30">
        <f>IF(A856="","",IFERROR(INDEX('자료_한국심리'!$H$3:$H$4002,MATCH(A856,$W$19:$W$4018,0)),E855))</f>
        <v/>
      </c>
      <c r="F856" s="30">
        <f>IF(A856="","",IFERROR(INDEX('자료_한국심리'!$K$3:$K$4002,MATCH(A856,$X$19:$X$4018,0)),F855))</f>
        <v/>
      </c>
      <c r="G856" s="30">
        <f>IF(AND(ISNUMBER(E856),ISNUMBER(F856)),ROUND(E856-F856,6),"")</f>
        <v/>
      </c>
      <c r="H856" s="25">
        <f>IF(A856="","",IFERROR(INDEX('자료_한국심리'!$N$3:$N$4002,MATCH(A856,$Y$19:$Y$4018,0)),H855))</f>
        <v/>
      </c>
      <c r="I856" s="31">
        <f>IF(AND(ISNUMBER(H856),ISNUMBER(H836)),IF(H836&gt;0,H856/H836-1,""),"")</f>
        <v/>
      </c>
      <c r="J856">
        <f>IF(A856="",0,IF(A856&gt;$B$5,1,0))</f>
        <v/>
      </c>
      <c r="K856" s="29">
        <f>IF(AND(J856=1,ISNUMBER(D856)),D856,"")</f>
        <v/>
      </c>
      <c r="L856" s="30">
        <f>IF(AND(J856=1,ISNUMBER(G856)),G856,"")</f>
        <v/>
      </c>
      <c r="M856" s="22">
        <f>IF(AND(J856=1,ISNUMBER(C856)),C856,"")</f>
        <v/>
      </c>
      <c r="N856" s="31">
        <f>IF(AND(J856=1,ISNUMBER(I856)),I856,"")</f>
        <v/>
      </c>
      <c r="O856" s="11">
        <f>IF(K856="","",100-IF($G$13=1,50,(_xlfn.RANK.AVG(K856,$K$19:$K$1518,1)-1)/($G$13-1)*100))</f>
        <v/>
      </c>
      <c r="P856" s="11">
        <f>IF(L856="","",100-IF($G$14=1,50,(_xlfn.RANK.AVG(L856,$L$19:$L$1518,1)-1)/($G$14-1)*100))</f>
        <v/>
      </c>
      <c r="Q856" s="11">
        <f>IF(M856="","",IF($G$15=1,50,(_xlfn.RANK.AVG(M856,$M$19:$M$1518,1)-1)/($G$15-1)*100))</f>
        <v/>
      </c>
      <c r="R856" s="11">
        <f>IF(N856="","",IF($G$16=1,50,(_xlfn.RANK.AVG(N856,$N$19:$N$1518,1)-1)/($G$16-1)*100))</f>
        <v/>
      </c>
      <c r="S856" s="11">
        <f>IF(COUNT(O856:R856)=4,ROUND(AVERAGE(O856:R856),6),"")</f>
        <v/>
      </c>
      <c r="U856">
        <f>IF(AND(ISNUMBER('자료_한국심리'!$A840),ISNUMBER('자료_한국심리'!$B840)),'자료_한국심리'!$A840,"")</f>
        <v/>
      </c>
      <c r="V856">
        <f>IF(AND(ISNUMBER('자료_한국심리'!$D840),ISNUMBER('자료_한국심리'!$E840)),'자료_한국심리'!$D840,"")</f>
        <v/>
      </c>
      <c r="W856">
        <f>IF(AND(ISNUMBER('자료_한국심리'!$G840),ISNUMBER('자료_한국심리'!$H840)),'자료_한국심리'!$G840,"")</f>
        <v/>
      </c>
      <c r="X856">
        <f>IF(AND(ISNUMBER('자료_한국심리'!$J840),ISNUMBER('자료_한국심리'!$K840)),'자료_한국심리'!$J840,"")</f>
        <v/>
      </c>
      <c r="Y856">
        <f>IF(AND(ISNUMBER('자료_한국심리'!$M840),ISNUMBER('자료_한국심리'!$N840)),'자료_한국심리'!$M840,"")</f>
        <v/>
      </c>
    </row>
    <row r="857">
      <c r="A857" s="10">
        <f>IF(839&gt;$E$5,"",SMALL($U$19:$U$4018,$E$6+839))</f>
        <v/>
      </c>
      <c r="B857" s="29">
        <f>IF(A857="","",INDEX('자료_한국심리'!$B$3:$B$4002,MATCH(A857,$U$19:$U$4018,0)))</f>
        <v/>
      </c>
      <c r="C857" s="22">
        <f>IF(A857="","",B857/AVERAGE(B733:B857)-1)</f>
        <v/>
      </c>
      <c r="D857" s="29">
        <f>IF(A857="","",IFERROR(INDEX('자료_한국심리'!$E$3:$E$4002,MATCH(A857,$V$19:$V$4018,0)),D856))</f>
        <v/>
      </c>
      <c r="E857" s="30">
        <f>IF(A857="","",IFERROR(INDEX('자료_한국심리'!$H$3:$H$4002,MATCH(A857,$W$19:$W$4018,0)),E856))</f>
        <v/>
      </c>
      <c r="F857" s="30">
        <f>IF(A857="","",IFERROR(INDEX('자료_한국심리'!$K$3:$K$4002,MATCH(A857,$X$19:$X$4018,0)),F856))</f>
        <v/>
      </c>
      <c r="G857" s="30">
        <f>IF(AND(ISNUMBER(E857),ISNUMBER(F857)),ROUND(E857-F857,6),"")</f>
        <v/>
      </c>
      <c r="H857" s="25">
        <f>IF(A857="","",IFERROR(INDEX('자료_한국심리'!$N$3:$N$4002,MATCH(A857,$Y$19:$Y$4018,0)),H856))</f>
        <v/>
      </c>
      <c r="I857" s="31">
        <f>IF(AND(ISNUMBER(H857),ISNUMBER(H837)),IF(H837&gt;0,H857/H837-1,""),"")</f>
        <v/>
      </c>
      <c r="J857">
        <f>IF(A857="",0,IF(A857&gt;$B$5,1,0))</f>
        <v/>
      </c>
      <c r="K857" s="29">
        <f>IF(AND(J857=1,ISNUMBER(D857)),D857,"")</f>
        <v/>
      </c>
      <c r="L857" s="30">
        <f>IF(AND(J857=1,ISNUMBER(G857)),G857,"")</f>
        <v/>
      </c>
      <c r="M857" s="22">
        <f>IF(AND(J857=1,ISNUMBER(C857)),C857,"")</f>
        <v/>
      </c>
      <c r="N857" s="31">
        <f>IF(AND(J857=1,ISNUMBER(I857)),I857,"")</f>
        <v/>
      </c>
      <c r="O857" s="11">
        <f>IF(K857="","",100-IF($G$13=1,50,(_xlfn.RANK.AVG(K857,$K$19:$K$1518,1)-1)/($G$13-1)*100))</f>
        <v/>
      </c>
      <c r="P857" s="11">
        <f>IF(L857="","",100-IF($G$14=1,50,(_xlfn.RANK.AVG(L857,$L$19:$L$1518,1)-1)/($G$14-1)*100))</f>
        <v/>
      </c>
      <c r="Q857" s="11">
        <f>IF(M857="","",IF($G$15=1,50,(_xlfn.RANK.AVG(M857,$M$19:$M$1518,1)-1)/($G$15-1)*100))</f>
        <v/>
      </c>
      <c r="R857" s="11">
        <f>IF(N857="","",IF($G$16=1,50,(_xlfn.RANK.AVG(N857,$N$19:$N$1518,1)-1)/($G$16-1)*100))</f>
        <v/>
      </c>
      <c r="S857" s="11">
        <f>IF(COUNT(O857:R857)=4,ROUND(AVERAGE(O857:R857),6),"")</f>
        <v/>
      </c>
      <c r="U857">
        <f>IF(AND(ISNUMBER('자료_한국심리'!$A841),ISNUMBER('자료_한국심리'!$B841)),'자료_한국심리'!$A841,"")</f>
        <v/>
      </c>
      <c r="V857">
        <f>IF(AND(ISNUMBER('자료_한국심리'!$D841),ISNUMBER('자료_한국심리'!$E841)),'자료_한국심리'!$D841,"")</f>
        <v/>
      </c>
      <c r="W857">
        <f>IF(AND(ISNUMBER('자료_한국심리'!$G841),ISNUMBER('자료_한국심리'!$H841)),'자료_한국심리'!$G841,"")</f>
        <v/>
      </c>
      <c r="X857">
        <f>IF(AND(ISNUMBER('자료_한국심리'!$J841),ISNUMBER('자료_한국심리'!$K841)),'자료_한국심리'!$J841,"")</f>
        <v/>
      </c>
      <c r="Y857">
        <f>IF(AND(ISNUMBER('자료_한국심리'!$M841),ISNUMBER('자료_한국심리'!$N841)),'자료_한국심리'!$M841,"")</f>
        <v/>
      </c>
    </row>
    <row r="858">
      <c r="A858" s="10">
        <f>IF(840&gt;$E$5,"",SMALL($U$19:$U$4018,$E$6+840))</f>
        <v/>
      </c>
      <c r="B858" s="29">
        <f>IF(A858="","",INDEX('자료_한국심리'!$B$3:$B$4002,MATCH(A858,$U$19:$U$4018,0)))</f>
        <v/>
      </c>
      <c r="C858" s="22">
        <f>IF(A858="","",B858/AVERAGE(B734:B858)-1)</f>
        <v/>
      </c>
      <c r="D858" s="29">
        <f>IF(A858="","",IFERROR(INDEX('자료_한국심리'!$E$3:$E$4002,MATCH(A858,$V$19:$V$4018,0)),D857))</f>
        <v/>
      </c>
      <c r="E858" s="30">
        <f>IF(A858="","",IFERROR(INDEX('자료_한국심리'!$H$3:$H$4002,MATCH(A858,$W$19:$W$4018,0)),E857))</f>
        <v/>
      </c>
      <c r="F858" s="30">
        <f>IF(A858="","",IFERROR(INDEX('자료_한국심리'!$K$3:$K$4002,MATCH(A858,$X$19:$X$4018,0)),F857))</f>
        <v/>
      </c>
      <c r="G858" s="30">
        <f>IF(AND(ISNUMBER(E858),ISNUMBER(F858)),ROUND(E858-F858,6),"")</f>
        <v/>
      </c>
      <c r="H858" s="25">
        <f>IF(A858="","",IFERROR(INDEX('자료_한국심리'!$N$3:$N$4002,MATCH(A858,$Y$19:$Y$4018,0)),H857))</f>
        <v/>
      </c>
      <c r="I858" s="31">
        <f>IF(AND(ISNUMBER(H858),ISNUMBER(H838)),IF(H838&gt;0,H858/H838-1,""),"")</f>
        <v/>
      </c>
      <c r="J858">
        <f>IF(A858="",0,IF(A858&gt;$B$5,1,0))</f>
        <v/>
      </c>
      <c r="K858" s="29">
        <f>IF(AND(J858=1,ISNUMBER(D858)),D858,"")</f>
        <v/>
      </c>
      <c r="L858" s="30">
        <f>IF(AND(J858=1,ISNUMBER(G858)),G858,"")</f>
        <v/>
      </c>
      <c r="M858" s="22">
        <f>IF(AND(J858=1,ISNUMBER(C858)),C858,"")</f>
        <v/>
      </c>
      <c r="N858" s="31">
        <f>IF(AND(J858=1,ISNUMBER(I858)),I858,"")</f>
        <v/>
      </c>
      <c r="O858" s="11">
        <f>IF(K858="","",100-IF($G$13=1,50,(_xlfn.RANK.AVG(K858,$K$19:$K$1518,1)-1)/($G$13-1)*100))</f>
        <v/>
      </c>
      <c r="P858" s="11">
        <f>IF(L858="","",100-IF($G$14=1,50,(_xlfn.RANK.AVG(L858,$L$19:$L$1518,1)-1)/($G$14-1)*100))</f>
        <v/>
      </c>
      <c r="Q858" s="11">
        <f>IF(M858="","",IF($G$15=1,50,(_xlfn.RANK.AVG(M858,$M$19:$M$1518,1)-1)/($G$15-1)*100))</f>
        <v/>
      </c>
      <c r="R858" s="11">
        <f>IF(N858="","",IF($G$16=1,50,(_xlfn.RANK.AVG(N858,$N$19:$N$1518,1)-1)/($G$16-1)*100))</f>
        <v/>
      </c>
      <c r="S858" s="11">
        <f>IF(COUNT(O858:R858)=4,ROUND(AVERAGE(O858:R858),6),"")</f>
        <v/>
      </c>
      <c r="U858">
        <f>IF(AND(ISNUMBER('자료_한국심리'!$A842),ISNUMBER('자료_한국심리'!$B842)),'자료_한국심리'!$A842,"")</f>
        <v/>
      </c>
      <c r="V858">
        <f>IF(AND(ISNUMBER('자료_한국심리'!$D842),ISNUMBER('자료_한국심리'!$E842)),'자료_한국심리'!$D842,"")</f>
        <v/>
      </c>
      <c r="W858">
        <f>IF(AND(ISNUMBER('자료_한국심리'!$G842),ISNUMBER('자료_한국심리'!$H842)),'자료_한국심리'!$G842,"")</f>
        <v/>
      </c>
      <c r="X858">
        <f>IF(AND(ISNUMBER('자료_한국심리'!$J842),ISNUMBER('자료_한국심리'!$K842)),'자료_한국심리'!$J842,"")</f>
        <v/>
      </c>
      <c r="Y858">
        <f>IF(AND(ISNUMBER('자료_한국심리'!$M842),ISNUMBER('자료_한국심리'!$N842)),'자료_한국심리'!$M842,"")</f>
        <v/>
      </c>
    </row>
    <row r="859">
      <c r="A859" s="10">
        <f>IF(841&gt;$E$5,"",SMALL($U$19:$U$4018,$E$6+841))</f>
        <v/>
      </c>
      <c r="B859" s="29">
        <f>IF(A859="","",INDEX('자료_한국심리'!$B$3:$B$4002,MATCH(A859,$U$19:$U$4018,0)))</f>
        <v/>
      </c>
      <c r="C859" s="22">
        <f>IF(A859="","",B859/AVERAGE(B735:B859)-1)</f>
        <v/>
      </c>
      <c r="D859" s="29">
        <f>IF(A859="","",IFERROR(INDEX('자료_한국심리'!$E$3:$E$4002,MATCH(A859,$V$19:$V$4018,0)),D858))</f>
        <v/>
      </c>
      <c r="E859" s="30">
        <f>IF(A859="","",IFERROR(INDEX('자료_한국심리'!$H$3:$H$4002,MATCH(A859,$W$19:$W$4018,0)),E858))</f>
        <v/>
      </c>
      <c r="F859" s="30">
        <f>IF(A859="","",IFERROR(INDEX('자료_한국심리'!$K$3:$K$4002,MATCH(A859,$X$19:$X$4018,0)),F858))</f>
        <v/>
      </c>
      <c r="G859" s="30">
        <f>IF(AND(ISNUMBER(E859),ISNUMBER(F859)),ROUND(E859-F859,6),"")</f>
        <v/>
      </c>
      <c r="H859" s="25">
        <f>IF(A859="","",IFERROR(INDEX('자료_한국심리'!$N$3:$N$4002,MATCH(A859,$Y$19:$Y$4018,0)),H858))</f>
        <v/>
      </c>
      <c r="I859" s="31">
        <f>IF(AND(ISNUMBER(H859),ISNUMBER(H839)),IF(H839&gt;0,H859/H839-1,""),"")</f>
        <v/>
      </c>
      <c r="J859">
        <f>IF(A859="",0,IF(A859&gt;$B$5,1,0))</f>
        <v/>
      </c>
      <c r="K859" s="29">
        <f>IF(AND(J859=1,ISNUMBER(D859)),D859,"")</f>
        <v/>
      </c>
      <c r="L859" s="30">
        <f>IF(AND(J859=1,ISNUMBER(G859)),G859,"")</f>
        <v/>
      </c>
      <c r="M859" s="22">
        <f>IF(AND(J859=1,ISNUMBER(C859)),C859,"")</f>
        <v/>
      </c>
      <c r="N859" s="31">
        <f>IF(AND(J859=1,ISNUMBER(I859)),I859,"")</f>
        <v/>
      </c>
      <c r="O859" s="11">
        <f>IF(K859="","",100-IF($G$13=1,50,(_xlfn.RANK.AVG(K859,$K$19:$K$1518,1)-1)/($G$13-1)*100))</f>
        <v/>
      </c>
      <c r="P859" s="11">
        <f>IF(L859="","",100-IF($G$14=1,50,(_xlfn.RANK.AVG(L859,$L$19:$L$1518,1)-1)/($G$14-1)*100))</f>
        <v/>
      </c>
      <c r="Q859" s="11">
        <f>IF(M859="","",IF($G$15=1,50,(_xlfn.RANK.AVG(M859,$M$19:$M$1518,1)-1)/($G$15-1)*100))</f>
        <v/>
      </c>
      <c r="R859" s="11">
        <f>IF(N859="","",IF($G$16=1,50,(_xlfn.RANK.AVG(N859,$N$19:$N$1518,1)-1)/($G$16-1)*100))</f>
        <v/>
      </c>
      <c r="S859" s="11">
        <f>IF(COUNT(O859:R859)=4,ROUND(AVERAGE(O859:R859),6),"")</f>
        <v/>
      </c>
      <c r="U859">
        <f>IF(AND(ISNUMBER('자료_한국심리'!$A843),ISNUMBER('자료_한국심리'!$B843)),'자료_한국심리'!$A843,"")</f>
        <v/>
      </c>
      <c r="V859">
        <f>IF(AND(ISNUMBER('자료_한국심리'!$D843),ISNUMBER('자료_한국심리'!$E843)),'자료_한국심리'!$D843,"")</f>
        <v/>
      </c>
      <c r="W859">
        <f>IF(AND(ISNUMBER('자료_한국심리'!$G843),ISNUMBER('자료_한국심리'!$H843)),'자료_한국심리'!$G843,"")</f>
        <v/>
      </c>
      <c r="X859">
        <f>IF(AND(ISNUMBER('자료_한국심리'!$J843),ISNUMBER('자료_한국심리'!$K843)),'자료_한국심리'!$J843,"")</f>
        <v/>
      </c>
      <c r="Y859">
        <f>IF(AND(ISNUMBER('자료_한국심리'!$M843),ISNUMBER('자료_한국심리'!$N843)),'자료_한국심리'!$M843,"")</f>
        <v/>
      </c>
    </row>
    <row r="860">
      <c r="A860" s="10">
        <f>IF(842&gt;$E$5,"",SMALL($U$19:$U$4018,$E$6+842))</f>
        <v/>
      </c>
      <c r="B860" s="29">
        <f>IF(A860="","",INDEX('자료_한국심리'!$B$3:$B$4002,MATCH(A860,$U$19:$U$4018,0)))</f>
        <v/>
      </c>
      <c r="C860" s="22">
        <f>IF(A860="","",B860/AVERAGE(B736:B860)-1)</f>
        <v/>
      </c>
      <c r="D860" s="29">
        <f>IF(A860="","",IFERROR(INDEX('자료_한국심리'!$E$3:$E$4002,MATCH(A860,$V$19:$V$4018,0)),D859))</f>
        <v/>
      </c>
      <c r="E860" s="30">
        <f>IF(A860="","",IFERROR(INDEX('자료_한국심리'!$H$3:$H$4002,MATCH(A860,$W$19:$W$4018,0)),E859))</f>
        <v/>
      </c>
      <c r="F860" s="30">
        <f>IF(A860="","",IFERROR(INDEX('자료_한국심리'!$K$3:$K$4002,MATCH(A860,$X$19:$X$4018,0)),F859))</f>
        <v/>
      </c>
      <c r="G860" s="30">
        <f>IF(AND(ISNUMBER(E860),ISNUMBER(F860)),ROUND(E860-F860,6),"")</f>
        <v/>
      </c>
      <c r="H860" s="25">
        <f>IF(A860="","",IFERROR(INDEX('자료_한국심리'!$N$3:$N$4002,MATCH(A860,$Y$19:$Y$4018,0)),H859))</f>
        <v/>
      </c>
      <c r="I860" s="31">
        <f>IF(AND(ISNUMBER(H860),ISNUMBER(H840)),IF(H840&gt;0,H860/H840-1,""),"")</f>
        <v/>
      </c>
      <c r="J860">
        <f>IF(A860="",0,IF(A860&gt;$B$5,1,0))</f>
        <v/>
      </c>
      <c r="K860" s="29">
        <f>IF(AND(J860=1,ISNUMBER(D860)),D860,"")</f>
        <v/>
      </c>
      <c r="L860" s="30">
        <f>IF(AND(J860=1,ISNUMBER(G860)),G860,"")</f>
        <v/>
      </c>
      <c r="M860" s="22">
        <f>IF(AND(J860=1,ISNUMBER(C860)),C860,"")</f>
        <v/>
      </c>
      <c r="N860" s="31">
        <f>IF(AND(J860=1,ISNUMBER(I860)),I860,"")</f>
        <v/>
      </c>
      <c r="O860" s="11">
        <f>IF(K860="","",100-IF($G$13=1,50,(_xlfn.RANK.AVG(K860,$K$19:$K$1518,1)-1)/($G$13-1)*100))</f>
        <v/>
      </c>
      <c r="P860" s="11">
        <f>IF(L860="","",100-IF($G$14=1,50,(_xlfn.RANK.AVG(L860,$L$19:$L$1518,1)-1)/($G$14-1)*100))</f>
        <v/>
      </c>
      <c r="Q860" s="11">
        <f>IF(M860="","",IF($G$15=1,50,(_xlfn.RANK.AVG(M860,$M$19:$M$1518,1)-1)/($G$15-1)*100))</f>
        <v/>
      </c>
      <c r="R860" s="11">
        <f>IF(N860="","",IF($G$16=1,50,(_xlfn.RANK.AVG(N860,$N$19:$N$1518,1)-1)/($G$16-1)*100))</f>
        <v/>
      </c>
      <c r="S860" s="11">
        <f>IF(COUNT(O860:R860)=4,ROUND(AVERAGE(O860:R860),6),"")</f>
        <v/>
      </c>
      <c r="U860">
        <f>IF(AND(ISNUMBER('자료_한국심리'!$A844),ISNUMBER('자료_한국심리'!$B844)),'자료_한국심리'!$A844,"")</f>
        <v/>
      </c>
      <c r="V860">
        <f>IF(AND(ISNUMBER('자료_한국심리'!$D844),ISNUMBER('자료_한국심리'!$E844)),'자료_한국심리'!$D844,"")</f>
        <v/>
      </c>
      <c r="W860">
        <f>IF(AND(ISNUMBER('자료_한국심리'!$G844),ISNUMBER('자료_한국심리'!$H844)),'자료_한국심리'!$G844,"")</f>
        <v/>
      </c>
      <c r="X860">
        <f>IF(AND(ISNUMBER('자료_한국심리'!$J844),ISNUMBER('자료_한국심리'!$K844)),'자료_한국심리'!$J844,"")</f>
        <v/>
      </c>
      <c r="Y860">
        <f>IF(AND(ISNUMBER('자료_한국심리'!$M844),ISNUMBER('자료_한국심리'!$N844)),'자료_한국심리'!$M844,"")</f>
        <v/>
      </c>
    </row>
    <row r="861">
      <c r="A861" s="10">
        <f>IF(843&gt;$E$5,"",SMALL($U$19:$U$4018,$E$6+843))</f>
        <v/>
      </c>
      <c r="B861" s="29">
        <f>IF(A861="","",INDEX('자료_한국심리'!$B$3:$B$4002,MATCH(A861,$U$19:$U$4018,0)))</f>
        <v/>
      </c>
      <c r="C861" s="22">
        <f>IF(A861="","",B861/AVERAGE(B737:B861)-1)</f>
        <v/>
      </c>
      <c r="D861" s="29">
        <f>IF(A861="","",IFERROR(INDEX('자료_한국심리'!$E$3:$E$4002,MATCH(A861,$V$19:$V$4018,0)),D860))</f>
        <v/>
      </c>
      <c r="E861" s="30">
        <f>IF(A861="","",IFERROR(INDEX('자료_한국심리'!$H$3:$H$4002,MATCH(A861,$W$19:$W$4018,0)),E860))</f>
        <v/>
      </c>
      <c r="F861" s="30">
        <f>IF(A861="","",IFERROR(INDEX('자료_한국심리'!$K$3:$K$4002,MATCH(A861,$X$19:$X$4018,0)),F860))</f>
        <v/>
      </c>
      <c r="G861" s="30">
        <f>IF(AND(ISNUMBER(E861),ISNUMBER(F861)),ROUND(E861-F861,6),"")</f>
        <v/>
      </c>
      <c r="H861" s="25">
        <f>IF(A861="","",IFERROR(INDEX('자료_한국심리'!$N$3:$N$4002,MATCH(A861,$Y$19:$Y$4018,0)),H860))</f>
        <v/>
      </c>
      <c r="I861" s="31">
        <f>IF(AND(ISNUMBER(H861),ISNUMBER(H841)),IF(H841&gt;0,H861/H841-1,""),"")</f>
        <v/>
      </c>
      <c r="J861">
        <f>IF(A861="",0,IF(A861&gt;$B$5,1,0))</f>
        <v/>
      </c>
      <c r="K861" s="29">
        <f>IF(AND(J861=1,ISNUMBER(D861)),D861,"")</f>
        <v/>
      </c>
      <c r="L861" s="30">
        <f>IF(AND(J861=1,ISNUMBER(G861)),G861,"")</f>
        <v/>
      </c>
      <c r="M861" s="22">
        <f>IF(AND(J861=1,ISNUMBER(C861)),C861,"")</f>
        <v/>
      </c>
      <c r="N861" s="31">
        <f>IF(AND(J861=1,ISNUMBER(I861)),I861,"")</f>
        <v/>
      </c>
      <c r="O861" s="11">
        <f>IF(K861="","",100-IF($G$13=1,50,(_xlfn.RANK.AVG(K861,$K$19:$K$1518,1)-1)/($G$13-1)*100))</f>
        <v/>
      </c>
      <c r="P861" s="11">
        <f>IF(L861="","",100-IF($G$14=1,50,(_xlfn.RANK.AVG(L861,$L$19:$L$1518,1)-1)/($G$14-1)*100))</f>
        <v/>
      </c>
      <c r="Q861" s="11">
        <f>IF(M861="","",IF($G$15=1,50,(_xlfn.RANK.AVG(M861,$M$19:$M$1518,1)-1)/($G$15-1)*100))</f>
        <v/>
      </c>
      <c r="R861" s="11">
        <f>IF(N861="","",IF($G$16=1,50,(_xlfn.RANK.AVG(N861,$N$19:$N$1518,1)-1)/($G$16-1)*100))</f>
        <v/>
      </c>
      <c r="S861" s="11">
        <f>IF(COUNT(O861:R861)=4,ROUND(AVERAGE(O861:R861),6),"")</f>
        <v/>
      </c>
      <c r="U861">
        <f>IF(AND(ISNUMBER('자료_한국심리'!$A845),ISNUMBER('자료_한국심리'!$B845)),'자료_한국심리'!$A845,"")</f>
        <v/>
      </c>
      <c r="V861">
        <f>IF(AND(ISNUMBER('자료_한국심리'!$D845),ISNUMBER('자료_한국심리'!$E845)),'자료_한국심리'!$D845,"")</f>
        <v/>
      </c>
      <c r="W861">
        <f>IF(AND(ISNUMBER('자료_한국심리'!$G845),ISNUMBER('자료_한국심리'!$H845)),'자료_한국심리'!$G845,"")</f>
        <v/>
      </c>
      <c r="X861">
        <f>IF(AND(ISNUMBER('자료_한국심리'!$J845),ISNUMBER('자료_한국심리'!$K845)),'자료_한국심리'!$J845,"")</f>
        <v/>
      </c>
      <c r="Y861">
        <f>IF(AND(ISNUMBER('자료_한국심리'!$M845),ISNUMBER('자료_한국심리'!$N845)),'자료_한국심리'!$M845,"")</f>
        <v/>
      </c>
    </row>
    <row r="862">
      <c r="A862" s="10">
        <f>IF(844&gt;$E$5,"",SMALL($U$19:$U$4018,$E$6+844))</f>
        <v/>
      </c>
      <c r="B862" s="29">
        <f>IF(A862="","",INDEX('자료_한국심리'!$B$3:$B$4002,MATCH(A862,$U$19:$U$4018,0)))</f>
        <v/>
      </c>
      <c r="C862" s="22">
        <f>IF(A862="","",B862/AVERAGE(B738:B862)-1)</f>
        <v/>
      </c>
      <c r="D862" s="29">
        <f>IF(A862="","",IFERROR(INDEX('자료_한국심리'!$E$3:$E$4002,MATCH(A862,$V$19:$V$4018,0)),D861))</f>
        <v/>
      </c>
      <c r="E862" s="30">
        <f>IF(A862="","",IFERROR(INDEX('자료_한국심리'!$H$3:$H$4002,MATCH(A862,$W$19:$W$4018,0)),E861))</f>
        <v/>
      </c>
      <c r="F862" s="30">
        <f>IF(A862="","",IFERROR(INDEX('자료_한국심리'!$K$3:$K$4002,MATCH(A862,$X$19:$X$4018,0)),F861))</f>
        <v/>
      </c>
      <c r="G862" s="30">
        <f>IF(AND(ISNUMBER(E862),ISNUMBER(F862)),ROUND(E862-F862,6),"")</f>
        <v/>
      </c>
      <c r="H862" s="25">
        <f>IF(A862="","",IFERROR(INDEX('자료_한국심리'!$N$3:$N$4002,MATCH(A862,$Y$19:$Y$4018,0)),H861))</f>
        <v/>
      </c>
      <c r="I862" s="31">
        <f>IF(AND(ISNUMBER(H862),ISNUMBER(H842)),IF(H842&gt;0,H862/H842-1,""),"")</f>
        <v/>
      </c>
      <c r="J862">
        <f>IF(A862="",0,IF(A862&gt;$B$5,1,0))</f>
        <v/>
      </c>
      <c r="K862" s="29">
        <f>IF(AND(J862=1,ISNUMBER(D862)),D862,"")</f>
        <v/>
      </c>
      <c r="L862" s="30">
        <f>IF(AND(J862=1,ISNUMBER(G862)),G862,"")</f>
        <v/>
      </c>
      <c r="M862" s="22">
        <f>IF(AND(J862=1,ISNUMBER(C862)),C862,"")</f>
        <v/>
      </c>
      <c r="N862" s="31">
        <f>IF(AND(J862=1,ISNUMBER(I862)),I862,"")</f>
        <v/>
      </c>
      <c r="O862" s="11">
        <f>IF(K862="","",100-IF($G$13=1,50,(_xlfn.RANK.AVG(K862,$K$19:$K$1518,1)-1)/($G$13-1)*100))</f>
        <v/>
      </c>
      <c r="P862" s="11">
        <f>IF(L862="","",100-IF($G$14=1,50,(_xlfn.RANK.AVG(L862,$L$19:$L$1518,1)-1)/($G$14-1)*100))</f>
        <v/>
      </c>
      <c r="Q862" s="11">
        <f>IF(M862="","",IF($G$15=1,50,(_xlfn.RANK.AVG(M862,$M$19:$M$1518,1)-1)/($G$15-1)*100))</f>
        <v/>
      </c>
      <c r="R862" s="11">
        <f>IF(N862="","",IF($G$16=1,50,(_xlfn.RANK.AVG(N862,$N$19:$N$1518,1)-1)/($G$16-1)*100))</f>
        <v/>
      </c>
      <c r="S862" s="11">
        <f>IF(COUNT(O862:R862)=4,ROUND(AVERAGE(O862:R862),6),"")</f>
        <v/>
      </c>
      <c r="U862">
        <f>IF(AND(ISNUMBER('자료_한국심리'!$A846),ISNUMBER('자료_한국심리'!$B846)),'자료_한국심리'!$A846,"")</f>
        <v/>
      </c>
      <c r="V862">
        <f>IF(AND(ISNUMBER('자료_한국심리'!$D846),ISNUMBER('자료_한국심리'!$E846)),'자료_한국심리'!$D846,"")</f>
        <v/>
      </c>
      <c r="W862">
        <f>IF(AND(ISNUMBER('자료_한국심리'!$G846),ISNUMBER('자료_한국심리'!$H846)),'자료_한국심리'!$G846,"")</f>
        <v/>
      </c>
      <c r="X862">
        <f>IF(AND(ISNUMBER('자료_한국심리'!$J846),ISNUMBER('자료_한국심리'!$K846)),'자료_한국심리'!$J846,"")</f>
        <v/>
      </c>
      <c r="Y862">
        <f>IF(AND(ISNUMBER('자료_한국심리'!$M846),ISNUMBER('자료_한국심리'!$N846)),'자료_한국심리'!$M846,"")</f>
        <v/>
      </c>
    </row>
    <row r="863">
      <c r="A863" s="10">
        <f>IF(845&gt;$E$5,"",SMALL($U$19:$U$4018,$E$6+845))</f>
        <v/>
      </c>
      <c r="B863" s="29">
        <f>IF(A863="","",INDEX('자료_한국심리'!$B$3:$B$4002,MATCH(A863,$U$19:$U$4018,0)))</f>
        <v/>
      </c>
      <c r="C863" s="22">
        <f>IF(A863="","",B863/AVERAGE(B739:B863)-1)</f>
        <v/>
      </c>
      <c r="D863" s="29">
        <f>IF(A863="","",IFERROR(INDEX('자료_한국심리'!$E$3:$E$4002,MATCH(A863,$V$19:$V$4018,0)),D862))</f>
        <v/>
      </c>
      <c r="E863" s="30">
        <f>IF(A863="","",IFERROR(INDEX('자료_한국심리'!$H$3:$H$4002,MATCH(A863,$W$19:$W$4018,0)),E862))</f>
        <v/>
      </c>
      <c r="F863" s="30">
        <f>IF(A863="","",IFERROR(INDEX('자료_한국심리'!$K$3:$K$4002,MATCH(A863,$X$19:$X$4018,0)),F862))</f>
        <v/>
      </c>
      <c r="G863" s="30">
        <f>IF(AND(ISNUMBER(E863),ISNUMBER(F863)),ROUND(E863-F863,6),"")</f>
        <v/>
      </c>
      <c r="H863" s="25">
        <f>IF(A863="","",IFERROR(INDEX('자료_한국심리'!$N$3:$N$4002,MATCH(A863,$Y$19:$Y$4018,0)),H862))</f>
        <v/>
      </c>
      <c r="I863" s="31">
        <f>IF(AND(ISNUMBER(H863),ISNUMBER(H843)),IF(H843&gt;0,H863/H843-1,""),"")</f>
        <v/>
      </c>
      <c r="J863">
        <f>IF(A863="",0,IF(A863&gt;$B$5,1,0))</f>
        <v/>
      </c>
      <c r="K863" s="29">
        <f>IF(AND(J863=1,ISNUMBER(D863)),D863,"")</f>
        <v/>
      </c>
      <c r="L863" s="30">
        <f>IF(AND(J863=1,ISNUMBER(G863)),G863,"")</f>
        <v/>
      </c>
      <c r="M863" s="22">
        <f>IF(AND(J863=1,ISNUMBER(C863)),C863,"")</f>
        <v/>
      </c>
      <c r="N863" s="31">
        <f>IF(AND(J863=1,ISNUMBER(I863)),I863,"")</f>
        <v/>
      </c>
      <c r="O863" s="11">
        <f>IF(K863="","",100-IF($G$13=1,50,(_xlfn.RANK.AVG(K863,$K$19:$K$1518,1)-1)/($G$13-1)*100))</f>
        <v/>
      </c>
      <c r="P863" s="11">
        <f>IF(L863="","",100-IF($G$14=1,50,(_xlfn.RANK.AVG(L863,$L$19:$L$1518,1)-1)/($G$14-1)*100))</f>
        <v/>
      </c>
      <c r="Q863" s="11">
        <f>IF(M863="","",IF($G$15=1,50,(_xlfn.RANK.AVG(M863,$M$19:$M$1518,1)-1)/($G$15-1)*100))</f>
        <v/>
      </c>
      <c r="R863" s="11">
        <f>IF(N863="","",IF($G$16=1,50,(_xlfn.RANK.AVG(N863,$N$19:$N$1518,1)-1)/($G$16-1)*100))</f>
        <v/>
      </c>
      <c r="S863" s="11">
        <f>IF(COUNT(O863:R863)=4,ROUND(AVERAGE(O863:R863),6),"")</f>
        <v/>
      </c>
      <c r="U863">
        <f>IF(AND(ISNUMBER('자료_한국심리'!$A847),ISNUMBER('자료_한국심리'!$B847)),'자료_한국심리'!$A847,"")</f>
        <v/>
      </c>
      <c r="V863">
        <f>IF(AND(ISNUMBER('자료_한국심리'!$D847),ISNUMBER('자료_한국심리'!$E847)),'자료_한국심리'!$D847,"")</f>
        <v/>
      </c>
      <c r="W863">
        <f>IF(AND(ISNUMBER('자료_한국심리'!$G847),ISNUMBER('자료_한국심리'!$H847)),'자료_한국심리'!$G847,"")</f>
        <v/>
      </c>
      <c r="X863">
        <f>IF(AND(ISNUMBER('자료_한국심리'!$J847),ISNUMBER('자료_한국심리'!$K847)),'자료_한국심리'!$J847,"")</f>
        <v/>
      </c>
      <c r="Y863">
        <f>IF(AND(ISNUMBER('자료_한국심리'!$M847),ISNUMBER('자료_한국심리'!$N847)),'자료_한국심리'!$M847,"")</f>
        <v/>
      </c>
    </row>
    <row r="864">
      <c r="A864" s="10">
        <f>IF(846&gt;$E$5,"",SMALL($U$19:$U$4018,$E$6+846))</f>
        <v/>
      </c>
      <c r="B864" s="29">
        <f>IF(A864="","",INDEX('자료_한국심리'!$B$3:$B$4002,MATCH(A864,$U$19:$U$4018,0)))</f>
        <v/>
      </c>
      <c r="C864" s="22">
        <f>IF(A864="","",B864/AVERAGE(B740:B864)-1)</f>
        <v/>
      </c>
      <c r="D864" s="29">
        <f>IF(A864="","",IFERROR(INDEX('자료_한국심리'!$E$3:$E$4002,MATCH(A864,$V$19:$V$4018,0)),D863))</f>
        <v/>
      </c>
      <c r="E864" s="30">
        <f>IF(A864="","",IFERROR(INDEX('자료_한국심리'!$H$3:$H$4002,MATCH(A864,$W$19:$W$4018,0)),E863))</f>
        <v/>
      </c>
      <c r="F864" s="30">
        <f>IF(A864="","",IFERROR(INDEX('자료_한국심리'!$K$3:$K$4002,MATCH(A864,$X$19:$X$4018,0)),F863))</f>
        <v/>
      </c>
      <c r="G864" s="30">
        <f>IF(AND(ISNUMBER(E864),ISNUMBER(F864)),ROUND(E864-F864,6),"")</f>
        <v/>
      </c>
      <c r="H864" s="25">
        <f>IF(A864="","",IFERROR(INDEX('자료_한국심리'!$N$3:$N$4002,MATCH(A864,$Y$19:$Y$4018,0)),H863))</f>
        <v/>
      </c>
      <c r="I864" s="31">
        <f>IF(AND(ISNUMBER(H864),ISNUMBER(H844)),IF(H844&gt;0,H864/H844-1,""),"")</f>
        <v/>
      </c>
      <c r="J864">
        <f>IF(A864="",0,IF(A864&gt;$B$5,1,0))</f>
        <v/>
      </c>
      <c r="K864" s="29">
        <f>IF(AND(J864=1,ISNUMBER(D864)),D864,"")</f>
        <v/>
      </c>
      <c r="L864" s="30">
        <f>IF(AND(J864=1,ISNUMBER(G864)),G864,"")</f>
        <v/>
      </c>
      <c r="M864" s="22">
        <f>IF(AND(J864=1,ISNUMBER(C864)),C864,"")</f>
        <v/>
      </c>
      <c r="N864" s="31">
        <f>IF(AND(J864=1,ISNUMBER(I864)),I864,"")</f>
        <v/>
      </c>
      <c r="O864" s="11">
        <f>IF(K864="","",100-IF($G$13=1,50,(_xlfn.RANK.AVG(K864,$K$19:$K$1518,1)-1)/($G$13-1)*100))</f>
        <v/>
      </c>
      <c r="P864" s="11">
        <f>IF(L864="","",100-IF($G$14=1,50,(_xlfn.RANK.AVG(L864,$L$19:$L$1518,1)-1)/($G$14-1)*100))</f>
        <v/>
      </c>
      <c r="Q864" s="11">
        <f>IF(M864="","",IF($G$15=1,50,(_xlfn.RANK.AVG(M864,$M$19:$M$1518,1)-1)/($G$15-1)*100))</f>
        <v/>
      </c>
      <c r="R864" s="11">
        <f>IF(N864="","",IF($G$16=1,50,(_xlfn.RANK.AVG(N864,$N$19:$N$1518,1)-1)/($G$16-1)*100))</f>
        <v/>
      </c>
      <c r="S864" s="11">
        <f>IF(COUNT(O864:R864)=4,ROUND(AVERAGE(O864:R864),6),"")</f>
        <v/>
      </c>
      <c r="U864">
        <f>IF(AND(ISNUMBER('자료_한국심리'!$A848),ISNUMBER('자료_한국심리'!$B848)),'자료_한국심리'!$A848,"")</f>
        <v/>
      </c>
      <c r="V864">
        <f>IF(AND(ISNUMBER('자료_한국심리'!$D848),ISNUMBER('자료_한국심리'!$E848)),'자료_한국심리'!$D848,"")</f>
        <v/>
      </c>
      <c r="W864">
        <f>IF(AND(ISNUMBER('자료_한국심리'!$G848),ISNUMBER('자료_한국심리'!$H848)),'자료_한국심리'!$G848,"")</f>
        <v/>
      </c>
      <c r="X864">
        <f>IF(AND(ISNUMBER('자료_한국심리'!$J848),ISNUMBER('자료_한국심리'!$K848)),'자료_한국심리'!$J848,"")</f>
        <v/>
      </c>
      <c r="Y864">
        <f>IF(AND(ISNUMBER('자료_한국심리'!$M848),ISNUMBER('자료_한국심리'!$N848)),'자료_한국심리'!$M848,"")</f>
        <v/>
      </c>
    </row>
    <row r="865">
      <c r="A865" s="10">
        <f>IF(847&gt;$E$5,"",SMALL($U$19:$U$4018,$E$6+847))</f>
        <v/>
      </c>
      <c r="B865" s="29">
        <f>IF(A865="","",INDEX('자료_한국심리'!$B$3:$B$4002,MATCH(A865,$U$19:$U$4018,0)))</f>
        <v/>
      </c>
      <c r="C865" s="22">
        <f>IF(A865="","",B865/AVERAGE(B741:B865)-1)</f>
        <v/>
      </c>
      <c r="D865" s="29">
        <f>IF(A865="","",IFERROR(INDEX('자료_한국심리'!$E$3:$E$4002,MATCH(A865,$V$19:$V$4018,0)),D864))</f>
        <v/>
      </c>
      <c r="E865" s="30">
        <f>IF(A865="","",IFERROR(INDEX('자료_한국심리'!$H$3:$H$4002,MATCH(A865,$W$19:$W$4018,0)),E864))</f>
        <v/>
      </c>
      <c r="F865" s="30">
        <f>IF(A865="","",IFERROR(INDEX('자료_한국심리'!$K$3:$K$4002,MATCH(A865,$X$19:$X$4018,0)),F864))</f>
        <v/>
      </c>
      <c r="G865" s="30">
        <f>IF(AND(ISNUMBER(E865),ISNUMBER(F865)),ROUND(E865-F865,6),"")</f>
        <v/>
      </c>
      <c r="H865" s="25">
        <f>IF(A865="","",IFERROR(INDEX('자료_한국심리'!$N$3:$N$4002,MATCH(A865,$Y$19:$Y$4018,0)),H864))</f>
        <v/>
      </c>
      <c r="I865" s="31">
        <f>IF(AND(ISNUMBER(H865),ISNUMBER(H845)),IF(H845&gt;0,H865/H845-1,""),"")</f>
        <v/>
      </c>
      <c r="J865">
        <f>IF(A865="",0,IF(A865&gt;$B$5,1,0))</f>
        <v/>
      </c>
      <c r="K865" s="29">
        <f>IF(AND(J865=1,ISNUMBER(D865)),D865,"")</f>
        <v/>
      </c>
      <c r="L865" s="30">
        <f>IF(AND(J865=1,ISNUMBER(G865)),G865,"")</f>
        <v/>
      </c>
      <c r="M865" s="22">
        <f>IF(AND(J865=1,ISNUMBER(C865)),C865,"")</f>
        <v/>
      </c>
      <c r="N865" s="31">
        <f>IF(AND(J865=1,ISNUMBER(I865)),I865,"")</f>
        <v/>
      </c>
      <c r="O865" s="11">
        <f>IF(K865="","",100-IF($G$13=1,50,(_xlfn.RANK.AVG(K865,$K$19:$K$1518,1)-1)/($G$13-1)*100))</f>
        <v/>
      </c>
      <c r="P865" s="11">
        <f>IF(L865="","",100-IF($G$14=1,50,(_xlfn.RANK.AVG(L865,$L$19:$L$1518,1)-1)/($G$14-1)*100))</f>
        <v/>
      </c>
      <c r="Q865" s="11">
        <f>IF(M865="","",IF($G$15=1,50,(_xlfn.RANK.AVG(M865,$M$19:$M$1518,1)-1)/($G$15-1)*100))</f>
        <v/>
      </c>
      <c r="R865" s="11">
        <f>IF(N865="","",IF($G$16=1,50,(_xlfn.RANK.AVG(N865,$N$19:$N$1518,1)-1)/($G$16-1)*100))</f>
        <v/>
      </c>
      <c r="S865" s="11">
        <f>IF(COUNT(O865:R865)=4,ROUND(AVERAGE(O865:R865),6),"")</f>
        <v/>
      </c>
      <c r="U865">
        <f>IF(AND(ISNUMBER('자료_한국심리'!$A849),ISNUMBER('자료_한국심리'!$B849)),'자료_한국심리'!$A849,"")</f>
        <v/>
      </c>
      <c r="V865">
        <f>IF(AND(ISNUMBER('자료_한국심리'!$D849),ISNUMBER('자료_한국심리'!$E849)),'자료_한국심리'!$D849,"")</f>
        <v/>
      </c>
      <c r="W865">
        <f>IF(AND(ISNUMBER('자료_한국심리'!$G849),ISNUMBER('자료_한국심리'!$H849)),'자료_한국심리'!$G849,"")</f>
        <v/>
      </c>
      <c r="X865">
        <f>IF(AND(ISNUMBER('자료_한국심리'!$J849),ISNUMBER('자료_한국심리'!$K849)),'자료_한국심리'!$J849,"")</f>
        <v/>
      </c>
      <c r="Y865">
        <f>IF(AND(ISNUMBER('자료_한국심리'!$M849),ISNUMBER('자료_한국심리'!$N849)),'자료_한국심리'!$M849,"")</f>
        <v/>
      </c>
    </row>
    <row r="866">
      <c r="A866" s="10">
        <f>IF(848&gt;$E$5,"",SMALL($U$19:$U$4018,$E$6+848))</f>
        <v/>
      </c>
      <c r="B866" s="29">
        <f>IF(A866="","",INDEX('자료_한국심리'!$B$3:$B$4002,MATCH(A866,$U$19:$U$4018,0)))</f>
        <v/>
      </c>
      <c r="C866" s="22">
        <f>IF(A866="","",B866/AVERAGE(B742:B866)-1)</f>
        <v/>
      </c>
      <c r="D866" s="29">
        <f>IF(A866="","",IFERROR(INDEX('자료_한국심리'!$E$3:$E$4002,MATCH(A866,$V$19:$V$4018,0)),D865))</f>
        <v/>
      </c>
      <c r="E866" s="30">
        <f>IF(A866="","",IFERROR(INDEX('자료_한국심리'!$H$3:$H$4002,MATCH(A866,$W$19:$W$4018,0)),E865))</f>
        <v/>
      </c>
      <c r="F866" s="30">
        <f>IF(A866="","",IFERROR(INDEX('자료_한국심리'!$K$3:$K$4002,MATCH(A866,$X$19:$X$4018,0)),F865))</f>
        <v/>
      </c>
      <c r="G866" s="30">
        <f>IF(AND(ISNUMBER(E866),ISNUMBER(F866)),ROUND(E866-F866,6),"")</f>
        <v/>
      </c>
      <c r="H866" s="25">
        <f>IF(A866="","",IFERROR(INDEX('자료_한국심리'!$N$3:$N$4002,MATCH(A866,$Y$19:$Y$4018,0)),H865))</f>
        <v/>
      </c>
      <c r="I866" s="31">
        <f>IF(AND(ISNUMBER(H866),ISNUMBER(H846)),IF(H846&gt;0,H866/H846-1,""),"")</f>
        <v/>
      </c>
      <c r="J866">
        <f>IF(A866="",0,IF(A866&gt;$B$5,1,0))</f>
        <v/>
      </c>
      <c r="K866" s="29">
        <f>IF(AND(J866=1,ISNUMBER(D866)),D866,"")</f>
        <v/>
      </c>
      <c r="L866" s="30">
        <f>IF(AND(J866=1,ISNUMBER(G866)),G866,"")</f>
        <v/>
      </c>
      <c r="M866" s="22">
        <f>IF(AND(J866=1,ISNUMBER(C866)),C866,"")</f>
        <v/>
      </c>
      <c r="N866" s="31">
        <f>IF(AND(J866=1,ISNUMBER(I866)),I866,"")</f>
        <v/>
      </c>
      <c r="O866" s="11">
        <f>IF(K866="","",100-IF($G$13=1,50,(_xlfn.RANK.AVG(K866,$K$19:$K$1518,1)-1)/($G$13-1)*100))</f>
        <v/>
      </c>
      <c r="P866" s="11">
        <f>IF(L866="","",100-IF($G$14=1,50,(_xlfn.RANK.AVG(L866,$L$19:$L$1518,1)-1)/($G$14-1)*100))</f>
        <v/>
      </c>
      <c r="Q866" s="11">
        <f>IF(M866="","",IF($G$15=1,50,(_xlfn.RANK.AVG(M866,$M$19:$M$1518,1)-1)/($G$15-1)*100))</f>
        <v/>
      </c>
      <c r="R866" s="11">
        <f>IF(N866="","",IF($G$16=1,50,(_xlfn.RANK.AVG(N866,$N$19:$N$1518,1)-1)/($G$16-1)*100))</f>
        <v/>
      </c>
      <c r="S866" s="11">
        <f>IF(COUNT(O866:R866)=4,ROUND(AVERAGE(O866:R866),6),"")</f>
        <v/>
      </c>
      <c r="U866">
        <f>IF(AND(ISNUMBER('자료_한국심리'!$A850),ISNUMBER('자료_한국심리'!$B850)),'자료_한국심리'!$A850,"")</f>
        <v/>
      </c>
      <c r="V866">
        <f>IF(AND(ISNUMBER('자료_한국심리'!$D850),ISNUMBER('자료_한국심리'!$E850)),'자료_한국심리'!$D850,"")</f>
        <v/>
      </c>
      <c r="W866">
        <f>IF(AND(ISNUMBER('자료_한국심리'!$G850),ISNUMBER('자료_한국심리'!$H850)),'자료_한국심리'!$G850,"")</f>
        <v/>
      </c>
      <c r="X866">
        <f>IF(AND(ISNUMBER('자료_한국심리'!$J850),ISNUMBER('자료_한국심리'!$K850)),'자료_한국심리'!$J850,"")</f>
        <v/>
      </c>
      <c r="Y866">
        <f>IF(AND(ISNUMBER('자료_한국심리'!$M850),ISNUMBER('자료_한국심리'!$N850)),'자료_한국심리'!$M850,"")</f>
        <v/>
      </c>
    </row>
    <row r="867">
      <c r="A867" s="10">
        <f>IF(849&gt;$E$5,"",SMALL($U$19:$U$4018,$E$6+849))</f>
        <v/>
      </c>
      <c r="B867" s="29">
        <f>IF(A867="","",INDEX('자료_한국심리'!$B$3:$B$4002,MATCH(A867,$U$19:$U$4018,0)))</f>
        <v/>
      </c>
      <c r="C867" s="22">
        <f>IF(A867="","",B867/AVERAGE(B743:B867)-1)</f>
        <v/>
      </c>
      <c r="D867" s="29">
        <f>IF(A867="","",IFERROR(INDEX('자료_한국심리'!$E$3:$E$4002,MATCH(A867,$V$19:$V$4018,0)),D866))</f>
        <v/>
      </c>
      <c r="E867" s="30">
        <f>IF(A867="","",IFERROR(INDEX('자료_한국심리'!$H$3:$H$4002,MATCH(A867,$W$19:$W$4018,0)),E866))</f>
        <v/>
      </c>
      <c r="F867" s="30">
        <f>IF(A867="","",IFERROR(INDEX('자료_한국심리'!$K$3:$K$4002,MATCH(A867,$X$19:$X$4018,0)),F866))</f>
        <v/>
      </c>
      <c r="G867" s="30">
        <f>IF(AND(ISNUMBER(E867),ISNUMBER(F867)),ROUND(E867-F867,6),"")</f>
        <v/>
      </c>
      <c r="H867" s="25">
        <f>IF(A867="","",IFERROR(INDEX('자료_한국심리'!$N$3:$N$4002,MATCH(A867,$Y$19:$Y$4018,0)),H866))</f>
        <v/>
      </c>
      <c r="I867" s="31">
        <f>IF(AND(ISNUMBER(H867),ISNUMBER(H847)),IF(H847&gt;0,H867/H847-1,""),"")</f>
        <v/>
      </c>
      <c r="J867">
        <f>IF(A867="",0,IF(A867&gt;$B$5,1,0))</f>
        <v/>
      </c>
      <c r="K867" s="29">
        <f>IF(AND(J867=1,ISNUMBER(D867)),D867,"")</f>
        <v/>
      </c>
      <c r="L867" s="30">
        <f>IF(AND(J867=1,ISNUMBER(G867)),G867,"")</f>
        <v/>
      </c>
      <c r="M867" s="22">
        <f>IF(AND(J867=1,ISNUMBER(C867)),C867,"")</f>
        <v/>
      </c>
      <c r="N867" s="31">
        <f>IF(AND(J867=1,ISNUMBER(I867)),I867,"")</f>
        <v/>
      </c>
      <c r="O867" s="11">
        <f>IF(K867="","",100-IF($G$13=1,50,(_xlfn.RANK.AVG(K867,$K$19:$K$1518,1)-1)/($G$13-1)*100))</f>
        <v/>
      </c>
      <c r="P867" s="11">
        <f>IF(L867="","",100-IF($G$14=1,50,(_xlfn.RANK.AVG(L867,$L$19:$L$1518,1)-1)/($G$14-1)*100))</f>
        <v/>
      </c>
      <c r="Q867" s="11">
        <f>IF(M867="","",IF($G$15=1,50,(_xlfn.RANK.AVG(M867,$M$19:$M$1518,1)-1)/($G$15-1)*100))</f>
        <v/>
      </c>
      <c r="R867" s="11">
        <f>IF(N867="","",IF($G$16=1,50,(_xlfn.RANK.AVG(N867,$N$19:$N$1518,1)-1)/($G$16-1)*100))</f>
        <v/>
      </c>
      <c r="S867" s="11">
        <f>IF(COUNT(O867:R867)=4,ROUND(AVERAGE(O867:R867),6),"")</f>
        <v/>
      </c>
      <c r="U867">
        <f>IF(AND(ISNUMBER('자료_한국심리'!$A851),ISNUMBER('자료_한국심리'!$B851)),'자료_한국심리'!$A851,"")</f>
        <v/>
      </c>
      <c r="V867">
        <f>IF(AND(ISNUMBER('자료_한국심리'!$D851),ISNUMBER('자료_한국심리'!$E851)),'자료_한국심리'!$D851,"")</f>
        <v/>
      </c>
      <c r="W867">
        <f>IF(AND(ISNUMBER('자료_한국심리'!$G851),ISNUMBER('자료_한국심리'!$H851)),'자료_한국심리'!$G851,"")</f>
        <v/>
      </c>
      <c r="X867">
        <f>IF(AND(ISNUMBER('자료_한국심리'!$J851),ISNUMBER('자료_한국심리'!$K851)),'자료_한국심리'!$J851,"")</f>
        <v/>
      </c>
      <c r="Y867">
        <f>IF(AND(ISNUMBER('자료_한국심리'!$M851),ISNUMBER('자료_한국심리'!$N851)),'자료_한국심리'!$M851,"")</f>
        <v/>
      </c>
    </row>
    <row r="868">
      <c r="A868" s="10">
        <f>IF(850&gt;$E$5,"",SMALL($U$19:$U$4018,$E$6+850))</f>
        <v/>
      </c>
      <c r="B868" s="29">
        <f>IF(A868="","",INDEX('자료_한국심리'!$B$3:$B$4002,MATCH(A868,$U$19:$U$4018,0)))</f>
        <v/>
      </c>
      <c r="C868" s="22">
        <f>IF(A868="","",B868/AVERAGE(B744:B868)-1)</f>
        <v/>
      </c>
      <c r="D868" s="29">
        <f>IF(A868="","",IFERROR(INDEX('자료_한국심리'!$E$3:$E$4002,MATCH(A868,$V$19:$V$4018,0)),D867))</f>
        <v/>
      </c>
      <c r="E868" s="30">
        <f>IF(A868="","",IFERROR(INDEX('자료_한국심리'!$H$3:$H$4002,MATCH(A868,$W$19:$W$4018,0)),E867))</f>
        <v/>
      </c>
      <c r="F868" s="30">
        <f>IF(A868="","",IFERROR(INDEX('자료_한국심리'!$K$3:$K$4002,MATCH(A868,$X$19:$X$4018,0)),F867))</f>
        <v/>
      </c>
      <c r="G868" s="30">
        <f>IF(AND(ISNUMBER(E868),ISNUMBER(F868)),ROUND(E868-F868,6),"")</f>
        <v/>
      </c>
      <c r="H868" s="25">
        <f>IF(A868="","",IFERROR(INDEX('자료_한국심리'!$N$3:$N$4002,MATCH(A868,$Y$19:$Y$4018,0)),H867))</f>
        <v/>
      </c>
      <c r="I868" s="31">
        <f>IF(AND(ISNUMBER(H868),ISNUMBER(H848)),IF(H848&gt;0,H868/H848-1,""),"")</f>
        <v/>
      </c>
      <c r="J868">
        <f>IF(A868="",0,IF(A868&gt;$B$5,1,0))</f>
        <v/>
      </c>
      <c r="K868" s="29">
        <f>IF(AND(J868=1,ISNUMBER(D868)),D868,"")</f>
        <v/>
      </c>
      <c r="L868" s="30">
        <f>IF(AND(J868=1,ISNUMBER(G868)),G868,"")</f>
        <v/>
      </c>
      <c r="M868" s="22">
        <f>IF(AND(J868=1,ISNUMBER(C868)),C868,"")</f>
        <v/>
      </c>
      <c r="N868" s="31">
        <f>IF(AND(J868=1,ISNUMBER(I868)),I868,"")</f>
        <v/>
      </c>
      <c r="O868" s="11">
        <f>IF(K868="","",100-IF($G$13=1,50,(_xlfn.RANK.AVG(K868,$K$19:$K$1518,1)-1)/($G$13-1)*100))</f>
        <v/>
      </c>
      <c r="P868" s="11">
        <f>IF(L868="","",100-IF($G$14=1,50,(_xlfn.RANK.AVG(L868,$L$19:$L$1518,1)-1)/($G$14-1)*100))</f>
        <v/>
      </c>
      <c r="Q868" s="11">
        <f>IF(M868="","",IF($G$15=1,50,(_xlfn.RANK.AVG(M868,$M$19:$M$1518,1)-1)/($G$15-1)*100))</f>
        <v/>
      </c>
      <c r="R868" s="11">
        <f>IF(N868="","",IF($G$16=1,50,(_xlfn.RANK.AVG(N868,$N$19:$N$1518,1)-1)/($G$16-1)*100))</f>
        <v/>
      </c>
      <c r="S868" s="11">
        <f>IF(COUNT(O868:R868)=4,ROUND(AVERAGE(O868:R868),6),"")</f>
        <v/>
      </c>
      <c r="U868">
        <f>IF(AND(ISNUMBER('자료_한국심리'!$A852),ISNUMBER('자료_한국심리'!$B852)),'자료_한국심리'!$A852,"")</f>
        <v/>
      </c>
      <c r="V868">
        <f>IF(AND(ISNUMBER('자료_한국심리'!$D852),ISNUMBER('자료_한국심리'!$E852)),'자료_한국심리'!$D852,"")</f>
        <v/>
      </c>
      <c r="W868">
        <f>IF(AND(ISNUMBER('자료_한국심리'!$G852),ISNUMBER('자료_한국심리'!$H852)),'자료_한국심리'!$G852,"")</f>
        <v/>
      </c>
      <c r="X868">
        <f>IF(AND(ISNUMBER('자료_한국심리'!$J852),ISNUMBER('자료_한국심리'!$K852)),'자료_한국심리'!$J852,"")</f>
        <v/>
      </c>
      <c r="Y868">
        <f>IF(AND(ISNUMBER('자료_한국심리'!$M852),ISNUMBER('자료_한국심리'!$N852)),'자료_한국심리'!$M852,"")</f>
        <v/>
      </c>
    </row>
    <row r="869">
      <c r="A869" s="10">
        <f>IF(851&gt;$E$5,"",SMALL($U$19:$U$4018,$E$6+851))</f>
        <v/>
      </c>
      <c r="B869" s="29">
        <f>IF(A869="","",INDEX('자료_한국심리'!$B$3:$B$4002,MATCH(A869,$U$19:$U$4018,0)))</f>
        <v/>
      </c>
      <c r="C869" s="22">
        <f>IF(A869="","",B869/AVERAGE(B745:B869)-1)</f>
        <v/>
      </c>
      <c r="D869" s="29">
        <f>IF(A869="","",IFERROR(INDEX('자료_한국심리'!$E$3:$E$4002,MATCH(A869,$V$19:$V$4018,0)),D868))</f>
        <v/>
      </c>
      <c r="E869" s="30">
        <f>IF(A869="","",IFERROR(INDEX('자료_한국심리'!$H$3:$H$4002,MATCH(A869,$W$19:$W$4018,0)),E868))</f>
        <v/>
      </c>
      <c r="F869" s="30">
        <f>IF(A869="","",IFERROR(INDEX('자료_한국심리'!$K$3:$K$4002,MATCH(A869,$X$19:$X$4018,0)),F868))</f>
        <v/>
      </c>
      <c r="G869" s="30">
        <f>IF(AND(ISNUMBER(E869),ISNUMBER(F869)),ROUND(E869-F869,6),"")</f>
        <v/>
      </c>
      <c r="H869" s="25">
        <f>IF(A869="","",IFERROR(INDEX('자료_한국심리'!$N$3:$N$4002,MATCH(A869,$Y$19:$Y$4018,0)),H868))</f>
        <v/>
      </c>
      <c r="I869" s="31">
        <f>IF(AND(ISNUMBER(H869),ISNUMBER(H849)),IF(H849&gt;0,H869/H849-1,""),"")</f>
        <v/>
      </c>
      <c r="J869">
        <f>IF(A869="",0,IF(A869&gt;$B$5,1,0))</f>
        <v/>
      </c>
      <c r="K869" s="29">
        <f>IF(AND(J869=1,ISNUMBER(D869)),D869,"")</f>
        <v/>
      </c>
      <c r="L869" s="30">
        <f>IF(AND(J869=1,ISNUMBER(G869)),G869,"")</f>
        <v/>
      </c>
      <c r="M869" s="22">
        <f>IF(AND(J869=1,ISNUMBER(C869)),C869,"")</f>
        <v/>
      </c>
      <c r="N869" s="31">
        <f>IF(AND(J869=1,ISNUMBER(I869)),I869,"")</f>
        <v/>
      </c>
      <c r="O869" s="11">
        <f>IF(K869="","",100-IF($G$13=1,50,(_xlfn.RANK.AVG(K869,$K$19:$K$1518,1)-1)/($G$13-1)*100))</f>
        <v/>
      </c>
      <c r="P869" s="11">
        <f>IF(L869="","",100-IF($G$14=1,50,(_xlfn.RANK.AVG(L869,$L$19:$L$1518,1)-1)/($G$14-1)*100))</f>
        <v/>
      </c>
      <c r="Q869" s="11">
        <f>IF(M869="","",IF($G$15=1,50,(_xlfn.RANK.AVG(M869,$M$19:$M$1518,1)-1)/($G$15-1)*100))</f>
        <v/>
      </c>
      <c r="R869" s="11">
        <f>IF(N869="","",IF($G$16=1,50,(_xlfn.RANK.AVG(N869,$N$19:$N$1518,1)-1)/($G$16-1)*100))</f>
        <v/>
      </c>
      <c r="S869" s="11">
        <f>IF(COUNT(O869:R869)=4,ROUND(AVERAGE(O869:R869),6),"")</f>
        <v/>
      </c>
      <c r="U869">
        <f>IF(AND(ISNUMBER('자료_한국심리'!$A853),ISNUMBER('자료_한국심리'!$B853)),'자료_한국심리'!$A853,"")</f>
        <v/>
      </c>
      <c r="V869">
        <f>IF(AND(ISNUMBER('자료_한국심리'!$D853),ISNUMBER('자료_한국심리'!$E853)),'자료_한국심리'!$D853,"")</f>
        <v/>
      </c>
      <c r="W869">
        <f>IF(AND(ISNUMBER('자료_한국심리'!$G853),ISNUMBER('자료_한국심리'!$H853)),'자료_한국심리'!$G853,"")</f>
        <v/>
      </c>
      <c r="X869">
        <f>IF(AND(ISNUMBER('자료_한국심리'!$J853),ISNUMBER('자료_한국심리'!$K853)),'자료_한국심리'!$J853,"")</f>
        <v/>
      </c>
      <c r="Y869">
        <f>IF(AND(ISNUMBER('자료_한국심리'!$M853),ISNUMBER('자료_한국심리'!$N853)),'자료_한국심리'!$M853,"")</f>
        <v/>
      </c>
    </row>
    <row r="870">
      <c r="A870" s="10">
        <f>IF(852&gt;$E$5,"",SMALL($U$19:$U$4018,$E$6+852))</f>
        <v/>
      </c>
      <c r="B870" s="29">
        <f>IF(A870="","",INDEX('자료_한국심리'!$B$3:$B$4002,MATCH(A870,$U$19:$U$4018,0)))</f>
        <v/>
      </c>
      <c r="C870" s="22">
        <f>IF(A870="","",B870/AVERAGE(B746:B870)-1)</f>
        <v/>
      </c>
      <c r="D870" s="29">
        <f>IF(A870="","",IFERROR(INDEX('자료_한국심리'!$E$3:$E$4002,MATCH(A870,$V$19:$V$4018,0)),D869))</f>
        <v/>
      </c>
      <c r="E870" s="30">
        <f>IF(A870="","",IFERROR(INDEX('자료_한국심리'!$H$3:$H$4002,MATCH(A870,$W$19:$W$4018,0)),E869))</f>
        <v/>
      </c>
      <c r="F870" s="30">
        <f>IF(A870="","",IFERROR(INDEX('자료_한국심리'!$K$3:$K$4002,MATCH(A870,$X$19:$X$4018,0)),F869))</f>
        <v/>
      </c>
      <c r="G870" s="30">
        <f>IF(AND(ISNUMBER(E870),ISNUMBER(F870)),ROUND(E870-F870,6),"")</f>
        <v/>
      </c>
      <c r="H870" s="25">
        <f>IF(A870="","",IFERROR(INDEX('자료_한국심리'!$N$3:$N$4002,MATCH(A870,$Y$19:$Y$4018,0)),H869))</f>
        <v/>
      </c>
      <c r="I870" s="31">
        <f>IF(AND(ISNUMBER(H870),ISNUMBER(H850)),IF(H850&gt;0,H870/H850-1,""),"")</f>
        <v/>
      </c>
      <c r="J870">
        <f>IF(A870="",0,IF(A870&gt;$B$5,1,0))</f>
        <v/>
      </c>
      <c r="K870" s="29">
        <f>IF(AND(J870=1,ISNUMBER(D870)),D870,"")</f>
        <v/>
      </c>
      <c r="L870" s="30">
        <f>IF(AND(J870=1,ISNUMBER(G870)),G870,"")</f>
        <v/>
      </c>
      <c r="M870" s="22">
        <f>IF(AND(J870=1,ISNUMBER(C870)),C870,"")</f>
        <v/>
      </c>
      <c r="N870" s="31">
        <f>IF(AND(J870=1,ISNUMBER(I870)),I870,"")</f>
        <v/>
      </c>
      <c r="O870" s="11">
        <f>IF(K870="","",100-IF($G$13=1,50,(_xlfn.RANK.AVG(K870,$K$19:$K$1518,1)-1)/($G$13-1)*100))</f>
        <v/>
      </c>
      <c r="P870" s="11">
        <f>IF(L870="","",100-IF($G$14=1,50,(_xlfn.RANK.AVG(L870,$L$19:$L$1518,1)-1)/($G$14-1)*100))</f>
        <v/>
      </c>
      <c r="Q870" s="11">
        <f>IF(M870="","",IF($G$15=1,50,(_xlfn.RANK.AVG(M870,$M$19:$M$1518,1)-1)/($G$15-1)*100))</f>
        <v/>
      </c>
      <c r="R870" s="11">
        <f>IF(N870="","",IF($G$16=1,50,(_xlfn.RANK.AVG(N870,$N$19:$N$1518,1)-1)/($G$16-1)*100))</f>
        <v/>
      </c>
      <c r="S870" s="11">
        <f>IF(COUNT(O870:R870)=4,ROUND(AVERAGE(O870:R870),6),"")</f>
        <v/>
      </c>
      <c r="U870">
        <f>IF(AND(ISNUMBER('자료_한국심리'!$A854),ISNUMBER('자료_한국심리'!$B854)),'자료_한국심리'!$A854,"")</f>
        <v/>
      </c>
      <c r="V870">
        <f>IF(AND(ISNUMBER('자료_한국심리'!$D854),ISNUMBER('자료_한국심리'!$E854)),'자료_한국심리'!$D854,"")</f>
        <v/>
      </c>
      <c r="W870">
        <f>IF(AND(ISNUMBER('자료_한국심리'!$G854),ISNUMBER('자료_한국심리'!$H854)),'자료_한국심리'!$G854,"")</f>
        <v/>
      </c>
      <c r="X870">
        <f>IF(AND(ISNUMBER('자료_한국심리'!$J854),ISNUMBER('자료_한국심리'!$K854)),'자료_한국심리'!$J854,"")</f>
        <v/>
      </c>
      <c r="Y870">
        <f>IF(AND(ISNUMBER('자료_한국심리'!$M854),ISNUMBER('자료_한국심리'!$N854)),'자료_한국심리'!$M854,"")</f>
        <v/>
      </c>
    </row>
    <row r="871">
      <c r="A871" s="10">
        <f>IF(853&gt;$E$5,"",SMALL($U$19:$U$4018,$E$6+853))</f>
        <v/>
      </c>
      <c r="B871" s="29">
        <f>IF(A871="","",INDEX('자료_한국심리'!$B$3:$B$4002,MATCH(A871,$U$19:$U$4018,0)))</f>
        <v/>
      </c>
      <c r="C871" s="22">
        <f>IF(A871="","",B871/AVERAGE(B747:B871)-1)</f>
        <v/>
      </c>
      <c r="D871" s="29">
        <f>IF(A871="","",IFERROR(INDEX('자료_한국심리'!$E$3:$E$4002,MATCH(A871,$V$19:$V$4018,0)),D870))</f>
        <v/>
      </c>
      <c r="E871" s="30">
        <f>IF(A871="","",IFERROR(INDEX('자료_한국심리'!$H$3:$H$4002,MATCH(A871,$W$19:$W$4018,0)),E870))</f>
        <v/>
      </c>
      <c r="F871" s="30">
        <f>IF(A871="","",IFERROR(INDEX('자료_한국심리'!$K$3:$K$4002,MATCH(A871,$X$19:$X$4018,0)),F870))</f>
        <v/>
      </c>
      <c r="G871" s="30">
        <f>IF(AND(ISNUMBER(E871),ISNUMBER(F871)),ROUND(E871-F871,6),"")</f>
        <v/>
      </c>
      <c r="H871" s="25">
        <f>IF(A871="","",IFERROR(INDEX('자료_한국심리'!$N$3:$N$4002,MATCH(A871,$Y$19:$Y$4018,0)),H870))</f>
        <v/>
      </c>
      <c r="I871" s="31">
        <f>IF(AND(ISNUMBER(H871),ISNUMBER(H851)),IF(H851&gt;0,H871/H851-1,""),"")</f>
        <v/>
      </c>
      <c r="J871">
        <f>IF(A871="",0,IF(A871&gt;$B$5,1,0))</f>
        <v/>
      </c>
      <c r="K871" s="29">
        <f>IF(AND(J871=1,ISNUMBER(D871)),D871,"")</f>
        <v/>
      </c>
      <c r="L871" s="30">
        <f>IF(AND(J871=1,ISNUMBER(G871)),G871,"")</f>
        <v/>
      </c>
      <c r="M871" s="22">
        <f>IF(AND(J871=1,ISNUMBER(C871)),C871,"")</f>
        <v/>
      </c>
      <c r="N871" s="31">
        <f>IF(AND(J871=1,ISNUMBER(I871)),I871,"")</f>
        <v/>
      </c>
      <c r="O871" s="11">
        <f>IF(K871="","",100-IF($G$13=1,50,(_xlfn.RANK.AVG(K871,$K$19:$K$1518,1)-1)/($G$13-1)*100))</f>
        <v/>
      </c>
      <c r="P871" s="11">
        <f>IF(L871="","",100-IF($G$14=1,50,(_xlfn.RANK.AVG(L871,$L$19:$L$1518,1)-1)/($G$14-1)*100))</f>
        <v/>
      </c>
      <c r="Q871" s="11">
        <f>IF(M871="","",IF($G$15=1,50,(_xlfn.RANK.AVG(M871,$M$19:$M$1518,1)-1)/($G$15-1)*100))</f>
        <v/>
      </c>
      <c r="R871" s="11">
        <f>IF(N871="","",IF($G$16=1,50,(_xlfn.RANK.AVG(N871,$N$19:$N$1518,1)-1)/($G$16-1)*100))</f>
        <v/>
      </c>
      <c r="S871" s="11">
        <f>IF(COUNT(O871:R871)=4,ROUND(AVERAGE(O871:R871),6),"")</f>
        <v/>
      </c>
      <c r="U871">
        <f>IF(AND(ISNUMBER('자료_한국심리'!$A855),ISNUMBER('자료_한국심리'!$B855)),'자료_한국심리'!$A855,"")</f>
        <v/>
      </c>
      <c r="V871">
        <f>IF(AND(ISNUMBER('자료_한국심리'!$D855),ISNUMBER('자료_한국심리'!$E855)),'자료_한국심리'!$D855,"")</f>
        <v/>
      </c>
      <c r="W871">
        <f>IF(AND(ISNUMBER('자료_한국심리'!$G855),ISNUMBER('자료_한국심리'!$H855)),'자료_한국심리'!$G855,"")</f>
        <v/>
      </c>
      <c r="X871">
        <f>IF(AND(ISNUMBER('자료_한국심리'!$J855),ISNUMBER('자료_한국심리'!$K855)),'자료_한국심리'!$J855,"")</f>
        <v/>
      </c>
      <c r="Y871">
        <f>IF(AND(ISNUMBER('자료_한국심리'!$M855),ISNUMBER('자료_한국심리'!$N855)),'자료_한국심리'!$M855,"")</f>
        <v/>
      </c>
    </row>
    <row r="872">
      <c r="A872" s="10">
        <f>IF(854&gt;$E$5,"",SMALL($U$19:$U$4018,$E$6+854))</f>
        <v/>
      </c>
      <c r="B872" s="29">
        <f>IF(A872="","",INDEX('자료_한국심리'!$B$3:$B$4002,MATCH(A872,$U$19:$U$4018,0)))</f>
        <v/>
      </c>
      <c r="C872" s="22">
        <f>IF(A872="","",B872/AVERAGE(B748:B872)-1)</f>
        <v/>
      </c>
      <c r="D872" s="29">
        <f>IF(A872="","",IFERROR(INDEX('자료_한국심리'!$E$3:$E$4002,MATCH(A872,$V$19:$V$4018,0)),D871))</f>
        <v/>
      </c>
      <c r="E872" s="30">
        <f>IF(A872="","",IFERROR(INDEX('자료_한국심리'!$H$3:$H$4002,MATCH(A872,$W$19:$W$4018,0)),E871))</f>
        <v/>
      </c>
      <c r="F872" s="30">
        <f>IF(A872="","",IFERROR(INDEX('자료_한국심리'!$K$3:$K$4002,MATCH(A872,$X$19:$X$4018,0)),F871))</f>
        <v/>
      </c>
      <c r="G872" s="30">
        <f>IF(AND(ISNUMBER(E872),ISNUMBER(F872)),ROUND(E872-F872,6),"")</f>
        <v/>
      </c>
      <c r="H872" s="25">
        <f>IF(A872="","",IFERROR(INDEX('자료_한국심리'!$N$3:$N$4002,MATCH(A872,$Y$19:$Y$4018,0)),H871))</f>
        <v/>
      </c>
      <c r="I872" s="31">
        <f>IF(AND(ISNUMBER(H872),ISNUMBER(H852)),IF(H852&gt;0,H872/H852-1,""),"")</f>
        <v/>
      </c>
      <c r="J872">
        <f>IF(A872="",0,IF(A872&gt;$B$5,1,0))</f>
        <v/>
      </c>
      <c r="K872" s="29">
        <f>IF(AND(J872=1,ISNUMBER(D872)),D872,"")</f>
        <v/>
      </c>
      <c r="L872" s="30">
        <f>IF(AND(J872=1,ISNUMBER(G872)),G872,"")</f>
        <v/>
      </c>
      <c r="M872" s="22">
        <f>IF(AND(J872=1,ISNUMBER(C872)),C872,"")</f>
        <v/>
      </c>
      <c r="N872" s="31">
        <f>IF(AND(J872=1,ISNUMBER(I872)),I872,"")</f>
        <v/>
      </c>
      <c r="O872" s="11">
        <f>IF(K872="","",100-IF($G$13=1,50,(_xlfn.RANK.AVG(K872,$K$19:$K$1518,1)-1)/($G$13-1)*100))</f>
        <v/>
      </c>
      <c r="P872" s="11">
        <f>IF(L872="","",100-IF($G$14=1,50,(_xlfn.RANK.AVG(L872,$L$19:$L$1518,1)-1)/($G$14-1)*100))</f>
        <v/>
      </c>
      <c r="Q872" s="11">
        <f>IF(M872="","",IF($G$15=1,50,(_xlfn.RANK.AVG(M872,$M$19:$M$1518,1)-1)/($G$15-1)*100))</f>
        <v/>
      </c>
      <c r="R872" s="11">
        <f>IF(N872="","",IF($G$16=1,50,(_xlfn.RANK.AVG(N872,$N$19:$N$1518,1)-1)/($G$16-1)*100))</f>
        <v/>
      </c>
      <c r="S872" s="11">
        <f>IF(COUNT(O872:R872)=4,ROUND(AVERAGE(O872:R872),6),"")</f>
        <v/>
      </c>
      <c r="U872">
        <f>IF(AND(ISNUMBER('자료_한국심리'!$A856),ISNUMBER('자료_한국심리'!$B856)),'자료_한국심리'!$A856,"")</f>
        <v/>
      </c>
      <c r="V872">
        <f>IF(AND(ISNUMBER('자료_한국심리'!$D856),ISNUMBER('자료_한국심리'!$E856)),'자료_한국심리'!$D856,"")</f>
        <v/>
      </c>
      <c r="W872">
        <f>IF(AND(ISNUMBER('자료_한국심리'!$G856),ISNUMBER('자료_한국심리'!$H856)),'자료_한국심리'!$G856,"")</f>
        <v/>
      </c>
      <c r="X872">
        <f>IF(AND(ISNUMBER('자료_한국심리'!$J856),ISNUMBER('자료_한국심리'!$K856)),'자료_한국심리'!$J856,"")</f>
        <v/>
      </c>
      <c r="Y872">
        <f>IF(AND(ISNUMBER('자료_한국심리'!$M856),ISNUMBER('자료_한국심리'!$N856)),'자료_한국심리'!$M856,"")</f>
        <v/>
      </c>
    </row>
    <row r="873">
      <c r="A873" s="10">
        <f>IF(855&gt;$E$5,"",SMALL($U$19:$U$4018,$E$6+855))</f>
        <v/>
      </c>
      <c r="B873" s="29">
        <f>IF(A873="","",INDEX('자료_한국심리'!$B$3:$B$4002,MATCH(A873,$U$19:$U$4018,0)))</f>
        <v/>
      </c>
      <c r="C873" s="22">
        <f>IF(A873="","",B873/AVERAGE(B749:B873)-1)</f>
        <v/>
      </c>
      <c r="D873" s="29">
        <f>IF(A873="","",IFERROR(INDEX('자료_한국심리'!$E$3:$E$4002,MATCH(A873,$V$19:$V$4018,0)),D872))</f>
        <v/>
      </c>
      <c r="E873" s="30">
        <f>IF(A873="","",IFERROR(INDEX('자료_한국심리'!$H$3:$H$4002,MATCH(A873,$W$19:$W$4018,0)),E872))</f>
        <v/>
      </c>
      <c r="F873" s="30">
        <f>IF(A873="","",IFERROR(INDEX('자료_한국심리'!$K$3:$K$4002,MATCH(A873,$X$19:$X$4018,0)),F872))</f>
        <v/>
      </c>
      <c r="G873" s="30">
        <f>IF(AND(ISNUMBER(E873),ISNUMBER(F873)),ROUND(E873-F873,6),"")</f>
        <v/>
      </c>
      <c r="H873" s="25">
        <f>IF(A873="","",IFERROR(INDEX('자료_한국심리'!$N$3:$N$4002,MATCH(A873,$Y$19:$Y$4018,0)),H872))</f>
        <v/>
      </c>
      <c r="I873" s="31">
        <f>IF(AND(ISNUMBER(H873),ISNUMBER(H853)),IF(H853&gt;0,H873/H853-1,""),"")</f>
        <v/>
      </c>
      <c r="J873">
        <f>IF(A873="",0,IF(A873&gt;$B$5,1,0))</f>
        <v/>
      </c>
      <c r="K873" s="29">
        <f>IF(AND(J873=1,ISNUMBER(D873)),D873,"")</f>
        <v/>
      </c>
      <c r="L873" s="30">
        <f>IF(AND(J873=1,ISNUMBER(G873)),G873,"")</f>
        <v/>
      </c>
      <c r="M873" s="22">
        <f>IF(AND(J873=1,ISNUMBER(C873)),C873,"")</f>
        <v/>
      </c>
      <c r="N873" s="31">
        <f>IF(AND(J873=1,ISNUMBER(I873)),I873,"")</f>
        <v/>
      </c>
      <c r="O873" s="11">
        <f>IF(K873="","",100-IF($G$13=1,50,(_xlfn.RANK.AVG(K873,$K$19:$K$1518,1)-1)/($G$13-1)*100))</f>
        <v/>
      </c>
      <c r="P873" s="11">
        <f>IF(L873="","",100-IF($G$14=1,50,(_xlfn.RANK.AVG(L873,$L$19:$L$1518,1)-1)/($G$14-1)*100))</f>
        <v/>
      </c>
      <c r="Q873" s="11">
        <f>IF(M873="","",IF($G$15=1,50,(_xlfn.RANK.AVG(M873,$M$19:$M$1518,1)-1)/($G$15-1)*100))</f>
        <v/>
      </c>
      <c r="R873" s="11">
        <f>IF(N873="","",IF($G$16=1,50,(_xlfn.RANK.AVG(N873,$N$19:$N$1518,1)-1)/($G$16-1)*100))</f>
        <v/>
      </c>
      <c r="S873" s="11">
        <f>IF(COUNT(O873:R873)=4,ROUND(AVERAGE(O873:R873),6),"")</f>
        <v/>
      </c>
      <c r="U873">
        <f>IF(AND(ISNUMBER('자료_한국심리'!$A857),ISNUMBER('자료_한국심리'!$B857)),'자료_한국심리'!$A857,"")</f>
        <v/>
      </c>
      <c r="V873">
        <f>IF(AND(ISNUMBER('자료_한국심리'!$D857),ISNUMBER('자료_한국심리'!$E857)),'자료_한국심리'!$D857,"")</f>
        <v/>
      </c>
      <c r="W873">
        <f>IF(AND(ISNUMBER('자료_한국심리'!$G857),ISNUMBER('자료_한국심리'!$H857)),'자료_한국심리'!$G857,"")</f>
        <v/>
      </c>
      <c r="X873">
        <f>IF(AND(ISNUMBER('자료_한국심리'!$J857),ISNUMBER('자료_한국심리'!$K857)),'자료_한국심리'!$J857,"")</f>
        <v/>
      </c>
      <c r="Y873">
        <f>IF(AND(ISNUMBER('자료_한국심리'!$M857),ISNUMBER('자료_한국심리'!$N857)),'자료_한국심리'!$M857,"")</f>
        <v/>
      </c>
    </row>
    <row r="874">
      <c r="A874" s="10">
        <f>IF(856&gt;$E$5,"",SMALL($U$19:$U$4018,$E$6+856))</f>
        <v/>
      </c>
      <c r="B874" s="29">
        <f>IF(A874="","",INDEX('자료_한국심리'!$B$3:$B$4002,MATCH(A874,$U$19:$U$4018,0)))</f>
        <v/>
      </c>
      <c r="C874" s="22">
        <f>IF(A874="","",B874/AVERAGE(B750:B874)-1)</f>
        <v/>
      </c>
      <c r="D874" s="29">
        <f>IF(A874="","",IFERROR(INDEX('자료_한국심리'!$E$3:$E$4002,MATCH(A874,$V$19:$V$4018,0)),D873))</f>
        <v/>
      </c>
      <c r="E874" s="30">
        <f>IF(A874="","",IFERROR(INDEX('자료_한국심리'!$H$3:$H$4002,MATCH(A874,$W$19:$W$4018,0)),E873))</f>
        <v/>
      </c>
      <c r="F874" s="30">
        <f>IF(A874="","",IFERROR(INDEX('자료_한국심리'!$K$3:$K$4002,MATCH(A874,$X$19:$X$4018,0)),F873))</f>
        <v/>
      </c>
      <c r="G874" s="30">
        <f>IF(AND(ISNUMBER(E874),ISNUMBER(F874)),ROUND(E874-F874,6),"")</f>
        <v/>
      </c>
      <c r="H874" s="25">
        <f>IF(A874="","",IFERROR(INDEX('자료_한국심리'!$N$3:$N$4002,MATCH(A874,$Y$19:$Y$4018,0)),H873))</f>
        <v/>
      </c>
      <c r="I874" s="31">
        <f>IF(AND(ISNUMBER(H874),ISNUMBER(H854)),IF(H854&gt;0,H874/H854-1,""),"")</f>
        <v/>
      </c>
      <c r="J874">
        <f>IF(A874="",0,IF(A874&gt;$B$5,1,0))</f>
        <v/>
      </c>
      <c r="K874" s="29">
        <f>IF(AND(J874=1,ISNUMBER(D874)),D874,"")</f>
        <v/>
      </c>
      <c r="L874" s="30">
        <f>IF(AND(J874=1,ISNUMBER(G874)),G874,"")</f>
        <v/>
      </c>
      <c r="M874" s="22">
        <f>IF(AND(J874=1,ISNUMBER(C874)),C874,"")</f>
        <v/>
      </c>
      <c r="N874" s="31">
        <f>IF(AND(J874=1,ISNUMBER(I874)),I874,"")</f>
        <v/>
      </c>
      <c r="O874" s="11">
        <f>IF(K874="","",100-IF($G$13=1,50,(_xlfn.RANK.AVG(K874,$K$19:$K$1518,1)-1)/($G$13-1)*100))</f>
        <v/>
      </c>
      <c r="P874" s="11">
        <f>IF(L874="","",100-IF($G$14=1,50,(_xlfn.RANK.AVG(L874,$L$19:$L$1518,1)-1)/($G$14-1)*100))</f>
        <v/>
      </c>
      <c r="Q874" s="11">
        <f>IF(M874="","",IF($G$15=1,50,(_xlfn.RANK.AVG(M874,$M$19:$M$1518,1)-1)/($G$15-1)*100))</f>
        <v/>
      </c>
      <c r="R874" s="11">
        <f>IF(N874="","",IF($G$16=1,50,(_xlfn.RANK.AVG(N874,$N$19:$N$1518,1)-1)/($G$16-1)*100))</f>
        <v/>
      </c>
      <c r="S874" s="11">
        <f>IF(COUNT(O874:R874)=4,ROUND(AVERAGE(O874:R874),6),"")</f>
        <v/>
      </c>
      <c r="U874">
        <f>IF(AND(ISNUMBER('자료_한국심리'!$A858),ISNUMBER('자료_한국심리'!$B858)),'자료_한국심리'!$A858,"")</f>
        <v/>
      </c>
      <c r="V874">
        <f>IF(AND(ISNUMBER('자료_한국심리'!$D858),ISNUMBER('자료_한국심리'!$E858)),'자료_한국심리'!$D858,"")</f>
        <v/>
      </c>
      <c r="W874">
        <f>IF(AND(ISNUMBER('자료_한국심리'!$G858),ISNUMBER('자료_한국심리'!$H858)),'자료_한국심리'!$G858,"")</f>
        <v/>
      </c>
      <c r="X874">
        <f>IF(AND(ISNUMBER('자료_한국심리'!$J858),ISNUMBER('자료_한국심리'!$K858)),'자료_한국심리'!$J858,"")</f>
        <v/>
      </c>
      <c r="Y874">
        <f>IF(AND(ISNUMBER('자료_한국심리'!$M858),ISNUMBER('자료_한국심리'!$N858)),'자료_한국심리'!$M858,"")</f>
        <v/>
      </c>
    </row>
    <row r="875">
      <c r="A875" s="10">
        <f>IF(857&gt;$E$5,"",SMALL($U$19:$U$4018,$E$6+857))</f>
        <v/>
      </c>
      <c r="B875" s="29">
        <f>IF(A875="","",INDEX('자료_한국심리'!$B$3:$B$4002,MATCH(A875,$U$19:$U$4018,0)))</f>
        <v/>
      </c>
      <c r="C875" s="22">
        <f>IF(A875="","",B875/AVERAGE(B751:B875)-1)</f>
        <v/>
      </c>
      <c r="D875" s="29">
        <f>IF(A875="","",IFERROR(INDEX('자료_한국심리'!$E$3:$E$4002,MATCH(A875,$V$19:$V$4018,0)),D874))</f>
        <v/>
      </c>
      <c r="E875" s="30">
        <f>IF(A875="","",IFERROR(INDEX('자료_한국심리'!$H$3:$H$4002,MATCH(A875,$W$19:$W$4018,0)),E874))</f>
        <v/>
      </c>
      <c r="F875" s="30">
        <f>IF(A875="","",IFERROR(INDEX('자료_한국심리'!$K$3:$K$4002,MATCH(A875,$X$19:$X$4018,0)),F874))</f>
        <v/>
      </c>
      <c r="G875" s="30">
        <f>IF(AND(ISNUMBER(E875),ISNUMBER(F875)),ROUND(E875-F875,6),"")</f>
        <v/>
      </c>
      <c r="H875" s="25">
        <f>IF(A875="","",IFERROR(INDEX('자료_한국심리'!$N$3:$N$4002,MATCH(A875,$Y$19:$Y$4018,0)),H874))</f>
        <v/>
      </c>
      <c r="I875" s="31">
        <f>IF(AND(ISNUMBER(H875),ISNUMBER(H855)),IF(H855&gt;0,H875/H855-1,""),"")</f>
        <v/>
      </c>
      <c r="J875">
        <f>IF(A875="",0,IF(A875&gt;$B$5,1,0))</f>
        <v/>
      </c>
      <c r="K875" s="29">
        <f>IF(AND(J875=1,ISNUMBER(D875)),D875,"")</f>
        <v/>
      </c>
      <c r="L875" s="30">
        <f>IF(AND(J875=1,ISNUMBER(G875)),G875,"")</f>
        <v/>
      </c>
      <c r="M875" s="22">
        <f>IF(AND(J875=1,ISNUMBER(C875)),C875,"")</f>
        <v/>
      </c>
      <c r="N875" s="31">
        <f>IF(AND(J875=1,ISNUMBER(I875)),I875,"")</f>
        <v/>
      </c>
      <c r="O875" s="11">
        <f>IF(K875="","",100-IF($G$13=1,50,(_xlfn.RANK.AVG(K875,$K$19:$K$1518,1)-1)/($G$13-1)*100))</f>
        <v/>
      </c>
      <c r="P875" s="11">
        <f>IF(L875="","",100-IF($G$14=1,50,(_xlfn.RANK.AVG(L875,$L$19:$L$1518,1)-1)/($G$14-1)*100))</f>
        <v/>
      </c>
      <c r="Q875" s="11">
        <f>IF(M875="","",IF($G$15=1,50,(_xlfn.RANK.AVG(M875,$M$19:$M$1518,1)-1)/($G$15-1)*100))</f>
        <v/>
      </c>
      <c r="R875" s="11">
        <f>IF(N875="","",IF($G$16=1,50,(_xlfn.RANK.AVG(N875,$N$19:$N$1518,1)-1)/($G$16-1)*100))</f>
        <v/>
      </c>
      <c r="S875" s="11">
        <f>IF(COUNT(O875:R875)=4,ROUND(AVERAGE(O875:R875),6),"")</f>
        <v/>
      </c>
      <c r="U875">
        <f>IF(AND(ISNUMBER('자료_한국심리'!$A859),ISNUMBER('자료_한국심리'!$B859)),'자료_한국심리'!$A859,"")</f>
        <v/>
      </c>
      <c r="V875">
        <f>IF(AND(ISNUMBER('자료_한국심리'!$D859),ISNUMBER('자료_한국심리'!$E859)),'자료_한국심리'!$D859,"")</f>
        <v/>
      </c>
      <c r="W875">
        <f>IF(AND(ISNUMBER('자료_한국심리'!$G859),ISNUMBER('자료_한국심리'!$H859)),'자료_한국심리'!$G859,"")</f>
        <v/>
      </c>
      <c r="X875">
        <f>IF(AND(ISNUMBER('자료_한국심리'!$J859),ISNUMBER('자료_한국심리'!$K859)),'자료_한국심리'!$J859,"")</f>
        <v/>
      </c>
      <c r="Y875">
        <f>IF(AND(ISNUMBER('자료_한국심리'!$M859),ISNUMBER('자료_한국심리'!$N859)),'자료_한국심리'!$M859,"")</f>
        <v/>
      </c>
    </row>
    <row r="876">
      <c r="A876" s="10">
        <f>IF(858&gt;$E$5,"",SMALL($U$19:$U$4018,$E$6+858))</f>
        <v/>
      </c>
      <c r="B876" s="29">
        <f>IF(A876="","",INDEX('자료_한국심리'!$B$3:$B$4002,MATCH(A876,$U$19:$U$4018,0)))</f>
        <v/>
      </c>
      <c r="C876" s="22">
        <f>IF(A876="","",B876/AVERAGE(B752:B876)-1)</f>
        <v/>
      </c>
      <c r="D876" s="29">
        <f>IF(A876="","",IFERROR(INDEX('자료_한국심리'!$E$3:$E$4002,MATCH(A876,$V$19:$V$4018,0)),D875))</f>
        <v/>
      </c>
      <c r="E876" s="30">
        <f>IF(A876="","",IFERROR(INDEX('자료_한국심리'!$H$3:$H$4002,MATCH(A876,$W$19:$W$4018,0)),E875))</f>
        <v/>
      </c>
      <c r="F876" s="30">
        <f>IF(A876="","",IFERROR(INDEX('자료_한국심리'!$K$3:$K$4002,MATCH(A876,$X$19:$X$4018,0)),F875))</f>
        <v/>
      </c>
      <c r="G876" s="30">
        <f>IF(AND(ISNUMBER(E876),ISNUMBER(F876)),ROUND(E876-F876,6),"")</f>
        <v/>
      </c>
      <c r="H876" s="25">
        <f>IF(A876="","",IFERROR(INDEX('자료_한국심리'!$N$3:$N$4002,MATCH(A876,$Y$19:$Y$4018,0)),H875))</f>
        <v/>
      </c>
      <c r="I876" s="31">
        <f>IF(AND(ISNUMBER(H876),ISNUMBER(H856)),IF(H856&gt;0,H876/H856-1,""),"")</f>
        <v/>
      </c>
      <c r="J876">
        <f>IF(A876="",0,IF(A876&gt;$B$5,1,0))</f>
        <v/>
      </c>
      <c r="K876" s="29">
        <f>IF(AND(J876=1,ISNUMBER(D876)),D876,"")</f>
        <v/>
      </c>
      <c r="L876" s="30">
        <f>IF(AND(J876=1,ISNUMBER(G876)),G876,"")</f>
        <v/>
      </c>
      <c r="M876" s="22">
        <f>IF(AND(J876=1,ISNUMBER(C876)),C876,"")</f>
        <v/>
      </c>
      <c r="N876" s="31">
        <f>IF(AND(J876=1,ISNUMBER(I876)),I876,"")</f>
        <v/>
      </c>
      <c r="O876" s="11">
        <f>IF(K876="","",100-IF($G$13=1,50,(_xlfn.RANK.AVG(K876,$K$19:$K$1518,1)-1)/($G$13-1)*100))</f>
        <v/>
      </c>
      <c r="P876" s="11">
        <f>IF(L876="","",100-IF($G$14=1,50,(_xlfn.RANK.AVG(L876,$L$19:$L$1518,1)-1)/($G$14-1)*100))</f>
        <v/>
      </c>
      <c r="Q876" s="11">
        <f>IF(M876="","",IF($G$15=1,50,(_xlfn.RANK.AVG(M876,$M$19:$M$1518,1)-1)/($G$15-1)*100))</f>
        <v/>
      </c>
      <c r="R876" s="11">
        <f>IF(N876="","",IF($G$16=1,50,(_xlfn.RANK.AVG(N876,$N$19:$N$1518,1)-1)/($G$16-1)*100))</f>
        <v/>
      </c>
      <c r="S876" s="11">
        <f>IF(COUNT(O876:R876)=4,ROUND(AVERAGE(O876:R876),6),"")</f>
        <v/>
      </c>
      <c r="U876">
        <f>IF(AND(ISNUMBER('자료_한국심리'!$A860),ISNUMBER('자료_한국심리'!$B860)),'자료_한국심리'!$A860,"")</f>
        <v/>
      </c>
      <c r="V876">
        <f>IF(AND(ISNUMBER('자료_한국심리'!$D860),ISNUMBER('자료_한국심리'!$E860)),'자료_한국심리'!$D860,"")</f>
        <v/>
      </c>
      <c r="W876">
        <f>IF(AND(ISNUMBER('자료_한국심리'!$G860),ISNUMBER('자료_한국심리'!$H860)),'자료_한국심리'!$G860,"")</f>
        <v/>
      </c>
      <c r="X876">
        <f>IF(AND(ISNUMBER('자료_한국심리'!$J860),ISNUMBER('자료_한국심리'!$K860)),'자료_한국심리'!$J860,"")</f>
        <v/>
      </c>
      <c r="Y876">
        <f>IF(AND(ISNUMBER('자료_한국심리'!$M860),ISNUMBER('자료_한국심리'!$N860)),'자료_한국심리'!$M860,"")</f>
        <v/>
      </c>
    </row>
    <row r="877">
      <c r="A877" s="10">
        <f>IF(859&gt;$E$5,"",SMALL($U$19:$U$4018,$E$6+859))</f>
        <v/>
      </c>
      <c r="B877" s="29">
        <f>IF(A877="","",INDEX('자료_한국심리'!$B$3:$B$4002,MATCH(A877,$U$19:$U$4018,0)))</f>
        <v/>
      </c>
      <c r="C877" s="22">
        <f>IF(A877="","",B877/AVERAGE(B753:B877)-1)</f>
        <v/>
      </c>
      <c r="D877" s="29">
        <f>IF(A877="","",IFERROR(INDEX('자료_한국심리'!$E$3:$E$4002,MATCH(A877,$V$19:$V$4018,0)),D876))</f>
        <v/>
      </c>
      <c r="E877" s="30">
        <f>IF(A877="","",IFERROR(INDEX('자료_한국심리'!$H$3:$H$4002,MATCH(A877,$W$19:$W$4018,0)),E876))</f>
        <v/>
      </c>
      <c r="F877" s="30">
        <f>IF(A877="","",IFERROR(INDEX('자료_한국심리'!$K$3:$K$4002,MATCH(A877,$X$19:$X$4018,0)),F876))</f>
        <v/>
      </c>
      <c r="G877" s="30">
        <f>IF(AND(ISNUMBER(E877),ISNUMBER(F877)),ROUND(E877-F877,6),"")</f>
        <v/>
      </c>
      <c r="H877" s="25">
        <f>IF(A877="","",IFERROR(INDEX('자료_한국심리'!$N$3:$N$4002,MATCH(A877,$Y$19:$Y$4018,0)),H876))</f>
        <v/>
      </c>
      <c r="I877" s="31">
        <f>IF(AND(ISNUMBER(H877),ISNUMBER(H857)),IF(H857&gt;0,H877/H857-1,""),"")</f>
        <v/>
      </c>
      <c r="J877">
        <f>IF(A877="",0,IF(A877&gt;$B$5,1,0))</f>
        <v/>
      </c>
      <c r="K877" s="29">
        <f>IF(AND(J877=1,ISNUMBER(D877)),D877,"")</f>
        <v/>
      </c>
      <c r="L877" s="30">
        <f>IF(AND(J877=1,ISNUMBER(G877)),G877,"")</f>
        <v/>
      </c>
      <c r="M877" s="22">
        <f>IF(AND(J877=1,ISNUMBER(C877)),C877,"")</f>
        <v/>
      </c>
      <c r="N877" s="31">
        <f>IF(AND(J877=1,ISNUMBER(I877)),I877,"")</f>
        <v/>
      </c>
      <c r="O877" s="11">
        <f>IF(K877="","",100-IF($G$13=1,50,(_xlfn.RANK.AVG(K877,$K$19:$K$1518,1)-1)/($G$13-1)*100))</f>
        <v/>
      </c>
      <c r="P877" s="11">
        <f>IF(L877="","",100-IF($G$14=1,50,(_xlfn.RANK.AVG(L877,$L$19:$L$1518,1)-1)/($G$14-1)*100))</f>
        <v/>
      </c>
      <c r="Q877" s="11">
        <f>IF(M877="","",IF($G$15=1,50,(_xlfn.RANK.AVG(M877,$M$19:$M$1518,1)-1)/($G$15-1)*100))</f>
        <v/>
      </c>
      <c r="R877" s="11">
        <f>IF(N877="","",IF($G$16=1,50,(_xlfn.RANK.AVG(N877,$N$19:$N$1518,1)-1)/($G$16-1)*100))</f>
        <v/>
      </c>
      <c r="S877" s="11">
        <f>IF(COUNT(O877:R877)=4,ROUND(AVERAGE(O877:R877),6),"")</f>
        <v/>
      </c>
      <c r="U877">
        <f>IF(AND(ISNUMBER('자료_한국심리'!$A861),ISNUMBER('자료_한국심리'!$B861)),'자료_한국심리'!$A861,"")</f>
        <v/>
      </c>
      <c r="V877">
        <f>IF(AND(ISNUMBER('자료_한국심리'!$D861),ISNUMBER('자료_한국심리'!$E861)),'자료_한국심리'!$D861,"")</f>
        <v/>
      </c>
      <c r="W877">
        <f>IF(AND(ISNUMBER('자료_한국심리'!$G861),ISNUMBER('자료_한국심리'!$H861)),'자료_한국심리'!$G861,"")</f>
        <v/>
      </c>
      <c r="X877">
        <f>IF(AND(ISNUMBER('자료_한국심리'!$J861),ISNUMBER('자료_한국심리'!$K861)),'자료_한국심리'!$J861,"")</f>
        <v/>
      </c>
      <c r="Y877">
        <f>IF(AND(ISNUMBER('자료_한국심리'!$M861),ISNUMBER('자료_한국심리'!$N861)),'자료_한국심리'!$M861,"")</f>
        <v/>
      </c>
    </row>
    <row r="878">
      <c r="A878" s="10">
        <f>IF(860&gt;$E$5,"",SMALL($U$19:$U$4018,$E$6+860))</f>
        <v/>
      </c>
      <c r="B878" s="29">
        <f>IF(A878="","",INDEX('자료_한국심리'!$B$3:$B$4002,MATCH(A878,$U$19:$U$4018,0)))</f>
        <v/>
      </c>
      <c r="C878" s="22">
        <f>IF(A878="","",B878/AVERAGE(B754:B878)-1)</f>
        <v/>
      </c>
      <c r="D878" s="29">
        <f>IF(A878="","",IFERROR(INDEX('자료_한국심리'!$E$3:$E$4002,MATCH(A878,$V$19:$V$4018,0)),D877))</f>
        <v/>
      </c>
      <c r="E878" s="30">
        <f>IF(A878="","",IFERROR(INDEX('자료_한국심리'!$H$3:$H$4002,MATCH(A878,$W$19:$W$4018,0)),E877))</f>
        <v/>
      </c>
      <c r="F878" s="30">
        <f>IF(A878="","",IFERROR(INDEX('자료_한국심리'!$K$3:$K$4002,MATCH(A878,$X$19:$X$4018,0)),F877))</f>
        <v/>
      </c>
      <c r="G878" s="30">
        <f>IF(AND(ISNUMBER(E878),ISNUMBER(F878)),ROUND(E878-F878,6),"")</f>
        <v/>
      </c>
      <c r="H878" s="25">
        <f>IF(A878="","",IFERROR(INDEX('자료_한국심리'!$N$3:$N$4002,MATCH(A878,$Y$19:$Y$4018,0)),H877))</f>
        <v/>
      </c>
      <c r="I878" s="31">
        <f>IF(AND(ISNUMBER(H878),ISNUMBER(H858)),IF(H858&gt;0,H878/H858-1,""),"")</f>
        <v/>
      </c>
      <c r="J878">
        <f>IF(A878="",0,IF(A878&gt;$B$5,1,0))</f>
        <v/>
      </c>
      <c r="K878" s="29">
        <f>IF(AND(J878=1,ISNUMBER(D878)),D878,"")</f>
        <v/>
      </c>
      <c r="L878" s="30">
        <f>IF(AND(J878=1,ISNUMBER(G878)),G878,"")</f>
        <v/>
      </c>
      <c r="M878" s="22">
        <f>IF(AND(J878=1,ISNUMBER(C878)),C878,"")</f>
        <v/>
      </c>
      <c r="N878" s="31">
        <f>IF(AND(J878=1,ISNUMBER(I878)),I878,"")</f>
        <v/>
      </c>
      <c r="O878" s="11">
        <f>IF(K878="","",100-IF($G$13=1,50,(_xlfn.RANK.AVG(K878,$K$19:$K$1518,1)-1)/($G$13-1)*100))</f>
        <v/>
      </c>
      <c r="P878" s="11">
        <f>IF(L878="","",100-IF($G$14=1,50,(_xlfn.RANK.AVG(L878,$L$19:$L$1518,1)-1)/($G$14-1)*100))</f>
        <v/>
      </c>
      <c r="Q878" s="11">
        <f>IF(M878="","",IF($G$15=1,50,(_xlfn.RANK.AVG(M878,$M$19:$M$1518,1)-1)/($G$15-1)*100))</f>
        <v/>
      </c>
      <c r="R878" s="11">
        <f>IF(N878="","",IF($G$16=1,50,(_xlfn.RANK.AVG(N878,$N$19:$N$1518,1)-1)/($G$16-1)*100))</f>
        <v/>
      </c>
      <c r="S878" s="11">
        <f>IF(COUNT(O878:R878)=4,ROUND(AVERAGE(O878:R878),6),"")</f>
        <v/>
      </c>
      <c r="U878">
        <f>IF(AND(ISNUMBER('자료_한국심리'!$A862),ISNUMBER('자료_한국심리'!$B862)),'자료_한국심리'!$A862,"")</f>
        <v/>
      </c>
      <c r="V878">
        <f>IF(AND(ISNUMBER('자료_한국심리'!$D862),ISNUMBER('자료_한국심리'!$E862)),'자료_한국심리'!$D862,"")</f>
        <v/>
      </c>
      <c r="W878">
        <f>IF(AND(ISNUMBER('자료_한국심리'!$G862),ISNUMBER('자료_한국심리'!$H862)),'자료_한국심리'!$G862,"")</f>
        <v/>
      </c>
      <c r="X878">
        <f>IF(AND(ISNUMBER('자료_한국심리'!$J862),ISNUMBER('자료_한국심리'!$K862)),'자료_한국심리'!$J862,"")</f>
        <v/>
      </c>
      <c r="Y878">
        <f>IF(AND(ISNUMBER('자료_한국심리'!$M862),ISNUMBER('자료_한국심리'!$N862)),'자료_한국심리'!$M862,"")</f>
        <v/>
      </c>
    </row>
    <row r="879">
      <c r="A879" s="10">
        <f>IF(861&gt;$E$5,"",SMALL($U$19:$U$4018,$E$6+861))</f>
        <v/>
      </c>
      <c r="B879" s="29">
        <f>IF(A879="","",INDEX('자료_한국심리'!$B$3:$B$4002,MATCH(A879,$U$19:$U$4018,0)))</f>
        <v/>
      </c>
      <c r="C879" s="22">
        <f>IF(A879="","",B879/AVERAGE(B755:B879)-1)</f>
        <v/>
      </c>
      <c r="D879" s="29">
        <f>IF(A879="","",IFERROR(INDEX('자료_한국심리'!$E$3:$E$4002,MATCH(A879,$V$19:$V$4018,0)),D878))</f>
        <v/>
      </c>
      <c r="E879" s="30">
        <f>IF(A879="","",IFERROR(INDEX('자료_한국심리'!$H$3:$H$4002,MATCH(A879,$W$19:$W$4018,0)),E878))</f>
        <v/>
      </c>
      <c r="F879" s="30">
        <f>IF(A879="","",IFERROR(INDEX('자료_한국심리'!$K$3:$K$4002,MATCH(A879,$X$19:$X$4018,0)),F878))</f>
        <v/>
      </c>
      <c r="G879" s="30">
        <f>IF(AND(ISNUMBER(E879),ISNUMBER(F879)),ROUND(E879-F879,6),"")</f>
        <v/>
      </c>
      <c r="H879" s="25">
        <f>IF(A879="","",IFERROR(INDEX('자료_한국심리'!$N$3:$N$4002,MATCH(A879,$Y$19:$Y$4018,0)),H878))</f>
        <v/>
      </c>
      <c r="I879" s="31">
        <f>IF(AND(ISNUMBER(H879),ISNUMBER(H859)),IF(H859&gt;0,H879/H859-1,""),"")</f>
        <v/>
      </c>
      <c r="J879">
        <f>IF(A879="",0,IF(A879&gt;$B$5,1,0))</f>
        <v/>
      </c>
      <c r="K879" s="29">
        <f>IF(AND(J879=1,ISNUMBER(D879)),D879,"")</f>
        <v/>
      </c>
      <c r="L879" s="30">
        <f>IF(AND(J879=1,ISNUMBER(G879)),G879,"")</f>
        <v/>
      </c>
      <c r="M879" s="22">
        <f>IF(AND(J879=1,ISNUMBER(C879)),C879,"")</f>
        <v/>
      </c>
      <c r="N879" s="31">
        <f>IF(AND(J879=1,ISNUMBER(I879)),I879,"")</f>
        <v/>
      </c>
      <c r="O879" s="11">
        <f>IF(K879="","",100-IF($G$13=1,50,(_xlfn.RANK.AVG(K879,$K$19:$K$1518,1)-1)/($G$13-1)*100))</f>
        <v/>
      </c>
      <c r="P879" s="11">
        <f>IF(L879="","",100-IF($G$14=1,50,(_xlfn.RANK.AVG(L879,$L$19:$L$1518,1)-1)/($G$14-1)*100))</f>
        <v/>
      </c>
      <c r="Q879" s="11">
        <f>IF(M879="","",IF($G$15=1,50,(_xlfn.RANK.AVG(M879,$M$19:$M$1518,1)-1)/($G$15-1)*100))</f>
        <v/>
      </c>
      <c r="R879" s="11">
        <f>IF(N879="","",IF($G$16=1,50,(_xlfn.RANK.AVG(N879,$N$19:$N$1518,1)-1)/($G$16-1)*100))</f>
        <v/>
      </c>
      <c r="S879" s="11">
        <f>IF(COUNT(O879:R879)=4,ROUND(AVERAGE(O879:R879),6),"")</f>
        <v/>
      </c>
      <c r="U879">
        <f>IF(AND(ISNUMBER('자료_한국심리'!$A863),ISNUMBER('자료_한국심리'!$B863)),'자료_한국심리'!$A863,"")</f>
        <v/>
      </c>
      <c r="V879">
        <f>IF(AND(ISNUMBER('자료_한국심리'!$D863),ISNUMBER('자료_한국심리'!$E863)),'자료_한국심리'!$D863,"")</f>
        <v/>
      </c>
      <c r="W879">
        <f>IF(AND(ISNUMBER('자료_한국심리'!$G863),ISNUMBER('자료_한국심리'!$H863)),'자료_한국심리'!$G863,"")</f>
        <v/>
      </c>
      <c r="X879">
        <f>IF(AND(ISNUMBER('자료_한국심리'!$J863),ISNUMBER('자료_한국심리'!$K863)),'자료_한국심리'!$J863,"")</f>
        <v/>
      </c>
      <c r="Y879">
        <f>IF(AND(ISNUMBER('자료_한국심리'!$M863),ISNUMBER('자료_한국심리'!$N863)),'자료_한국심리'!$M863,"")</f>
        <v/>
      </c>
    </row>
    <row r="880">
      <c r="A880" s="10">
        <f>IF(862&gt;$E$5,"",SMALL($U$19:$U$4018,$E$6+862))</f>
        <v/>
      </c>
      <c r="B880" s="29">
        <f>IF(A880="","",INDEX('자료_한국심리'!$B$3:$B$4002,MATCH(A880,$U$19:$U$4018,0)))</f>
        <v/>
      </c>
      <c r="C880" s="22">
        <f>IF(A880="","",B880/AVERAGE(B756:B880)-1)</f>
        <v/>
      </c>
      <c r="D880" s="29">
        <f>IF(A880="","",IFERROR(INDEX('자료_한국심리'!$E$3:$E$4002,MATCH(A880,$V$19:$V$4018,0)),D879))</f>
        <v/>
      </c>
      <c r="E880" s="30">
        <f>IF(A880="","",IFERROR(INDEX('자료_한국심리'!$H$3:$H$4002,MATCH(A880,$W$19:$W$4018,0)),E879))</f>
        <v/>
      </c>
      <c r="F880" s="30">
        <f>IF(A880="","",IFERROR(INDEX('자료_한국심리'!$K$3:$K$4002,MATCH(A880,$X$19:$X$4018,0)),F879))</f>
        <v/>
      </c>
      <c r="G880" s="30">
        <f>IF(AND(ISNUMBER(E880),ISNUMBER(F880)),ROUND(E880-F880,6),"")</f>
        <v/>
      </c>
      <c r="H880" s="25">
        <f>IF(A880="","",IFERROR(INDEX('자료_한국심리'!$N$3:$N$4002,MATCH(A880,$Y$19:$Y$4018,0)),H879))</f>
        <v/>
      </c>
      <c r="I880" s="31">
        <f>IF(AND(ISNUMBER(H880),ISNUMBER(H860)),IF(H860&gt;0,H880/H860-1,""),"")</f>
        <v/>
      </c>
      <c r="J880">
        <f>IF(A880="",0,IF(A880&gt;$B$5,1,0))</f>
        <v/>
      </c>
      <c r="K880" s="29">
        <f>IF(AND(J880=1,ISNUMBER(D880)),D880,"")</f>
        <v/>
      </c>
      <c r="L880" s="30">
        <f>IF(AND(J880=1,ISNUMBER(G880)),G880,"")</f>
        <v/>
      </c>
      <c r="M880" s="22">
        <f>IF(AND(J880=1,ISNUMBER(C880)),C880,"")</f>
        <v/>
      </c>
      <c r="N880" s="31">
        <f>IF(AND(J880=1,ISNUMBER(I880)),I880,"")</f>
        <v/>
      </c>
      <c r="O880" s="11">
        <f>IF(K880="","",100-IF($G$13=1,50,(_xlfn.RANK.AVG(K880,$K$19:$K$1518,1)-1)/($G$13-1)*100))</f>
        <v/>
      </c>
      <c r="P880" s="11">
        <f>IF(L880="","",100-IF($G$14=1,50,(_xlfn.RANK.AVG(L880,$L$19:$L$1518,1)-1)/($G$14-1)*100))</f>
        <v/>
      </c>
      <c r="Q880" s="11">
        <f>IF(M880="","",IF($G$15=1,50,(_xlfn.RANK.AVG(M880,$M$19:$M$1518,1)-1)/($G$15-1)*100))</f>
        <v/>
      </c>
      <c r="R880" s="11">
        <f>IF(N880="","",IF($G$16=1,50,(_xlfn.RANK.AVG(N880,$N$19:$N$1518,1)-1)/($G$16-1)*100))</f>
        <v/>
      </c>
      <c r="S880" s="11">
        <f>IF(COUNT(O880:R880)=4,ROUND(AVERAGE(O880:R880),6),"")</f>
        <v/>
      </c>
      <c r="U880">
        <f>IF(AND(ISNUMBER('자료_한국심리'!$A864),ISNUMBER('자료_한국심리'!$B864)),'자료_한국심리'!$A864,"")</f>
        <v/>
      </c>
      <c r="V880">
        <f>IF(AND(ISNUMBER('자료_한국심리'!$D864),ISNUMBER('자료_한국심리'!$E864)),'자료_한국심리'!$D864,"")</f>
        <v/>
      </c>
      <c r="W880">
        <f>IF(AND(ISNUMBER('자료_한국심리'!$G864),ISNUMBER('자료_한국심리'!$H864)),'자료_한국심리'!$G864,"")</f>
        <v/>
      </c>
      <c r="X880">
        <f>IF(AND(ISNUMBER('자료_한국심리'!$J864),ISNUMBER('자료_한국심리'!$K864)),'자료_한국심리'!$J864,"")</f>
        <v/>
      </c>
      <c r="Y880">
        <f>IF(AND(ISNUMBER('자료_한국심리'!$M864),ISNUMBER('자료_한국심리'!$N864)),'자료_한국심리'!$M864,"")</f>
        <v/>
      </c>
    </row>
    <row r="881">
      <c r="A881" s="10">
        <f>IF(863&gt;$E$5,"",SMALL($U$19:$U$4018,$E$6+863))</f>
        <v/>
      </c>
      <c r="B881" s="29">
        <f>IF(A881="","",INDEX('자료_한국심리'!$B$3:$B$4002,MATCH(A881,$U$19:$U$4018,0)))</f>
        <v/>
      </c>
      <c r="C881" s="22">
        <f>IF(A881="","",B881/AVERAGE(B757:B881)-1)</f>
        <v/>
      </c>
      <c r="D881" s="29">
        <f>IF(A881="","",IFERROR(INDEX('자료_한국심리'!$E$3:$E$4002,MATCH(A881,$V$19:$V$4018,0)),D880))</f>
        <v/>
      </c>
      <c r="E881" s="30">
        <f>IF(A881="","",IFERROR(INDEX('자료_한국심리'!$H$3:$H$4002,MATCH(A881,$W$19:$W$4018,0)),E880))</f>
        <v/>
      </c>
      <c r="F881" s="30">
        <f>IF(A881="","",IFERROR(INDEX('자료_한국심리'!$K$3:$K$4002,MATCH(A881,$X$19:$X$4018,0)),F880))</f>
        <v/>
      </c>
      <c r="G881" s="30">
        <f>IF(AND(ISNUMBER(E881),ISNUMBER(F881)),ROUND(E881-F881,6),"")</f>
        <v/>
      </c>
      <c r="H881" s="25">
        <f>IF(A881="","",IFERROR(INDEX('자료_한국심리'!$N$3:$N$4002,MATCH(A881,$Y$19:$Y$4018,0)),H880))</f>
        <v/>
      </c>
      <c r="I881" s="31">
        <f>IF(AND(ISNUMBER(H881),ISNUMBER(H861)),IF(H861&gt;0,H881/H861-1,""),"")</f>
        <v/>
      </c>
      <c r="J881">
        <f>IF(A881="",0,IF(A881&gt;$B$5,1,0))</f>
        <v/>
      </c>
      <c r="K881" s="29">
        <f>IF(AND(J881=1,ISNUMBER(D881)),D881,"")</f>
        <v/>
      </c>
      <c r="L881" s="30">
        <f>IF(AND(J881=1,ISNUMBER(G881)),G881,"")</f>
        <v/>
      </c>
      <c r="M881" s="22">
        <f>IF(AND(J881=1,ISNUMBER(C881)),C881,"")</f>
        <v/>
      </c>
      <c r="N881" s="31">
        <f>IF(AND(J881=1,ISNUMBER(I881)),I881,"")</f>
        <v/>
      </c>
      <c r="O881" s="11">
        <f>IF(K881="","",100-IF($G$13=1,50,(_xlfn.RANK.AVG(K881,$K$19:$K$1518,1)-1)/($G$13-1)*100))</f>
        <v/>
      </c>
      <c r="P881" s="11">
        <f>IF(L881="","",100-IF($G$14=1,50,(_xlfn.RANK.AVG(L881,$L$19:$L$1518,1)-1)/($G$14-1)*100))</f>
        <v/>
      </c>
      <c r="Q881" s="11">
        <f>IF(M881="","",IF($G$15=1,50,(_xlfn.RANK.AVG(M881,$M$19:$M$1518,1)-1)/($G$15-1)*100))</f>
        <v/>
      </c>
      <c r="R881" s="11">
        <f>IF(N881="","",IF($G$16=1,50,(_xlfn.RANK.AVG(N881,$N$19:$N$1518,1)-1)/($G$16-1)*100))</f>
        <v/>
      </c>
      <c r="S881" s="11">
        <f>IF(COUNT(O881:R881)=4,ROUND(AVERAGE(O881:R881),6),"")</f>
        <v/>
      </c>
      <c r="U881">
        <f>IF(AND(ISNUMBER('자료_한국심리'!$A865),ISNUMBER('자료_한국심리'!$B865)),'자료_한국심리'!$A865,"")</f>
        <v/>
      </c>
      <c r="V881">
        <f>IF(AND(ISNUMBER('자료_한국심리'!$D865),ISNUMBER('자료_한국심리'!$E865)),'자료_한국심리'!$D865,"")</f>
        <v/>
      </c>
      <c r="W881">
        <f>IF(AND(ISNUMBER('자료_한국심리'!$G865),ISNUMBER('자료_한국심리'!$H865)),'자료_한국심리'!$G865,"")</f>
        <v/>
      </c>
      <c r="X881">
        <f>IF(AND(ISNUMBER('자료_한국심리'!$J865),ISNUMBER('자료_한국심리'!$K865)),'자료_한국심리'!$J865,"")</f>
        <v/>
      </c>
      <c r="Y881">
        <f>IF(AND(ISNUMBER('자료_한국심리'!$M865),ISNUMBER('자료_한국심리'!$N865)),'자료_한국심리'!$M865,"")</f>
        <v/>
      </c>
    </row>
    <row r="882">
      <c r="A882" s="10">
        <f>IF(864&gt;$E$5,"",SMALL($U$19:$U$4018,$E$6+864))</f>
        <v/>
      </c>
      <c r="B882" s="29">
        <f>IF(A882="","",INDEX('자료_한국심리'!$B$3:$B$4002,MATCH(A882,$U$19:$U$4018,0)))</f>
        <v/>
      </c>
      <c r="C882" s="22">
        <f>IF(A882="","",B882/AVERAGE(B758:B882)-1)</f>
        <v/>
      </c>
      <c r="D882" s="29">
        <f>IF(A882="","",IFERROR(INDEX('자료_한국심리'!$E$3:$E$4002,MATCH(A882,$V$19:$V$4018,0)),D881))</f>
        <v/>
      </c>
      <c r="E882" s="30">
        <f>IF(A882="","",IFERROR(INDEX('자료_한국심리'!$H$3:$H$4002,MATCH(A882,$W$19:$W$4018,0)),E881))</f>
        <v/>
      </c>
      <c r="F882" s="30">
        <f>IF(A882="","",IFERROR(INDEX('자료_한국심리'!$K$3:$K$4002,MATCH(A882,$X$19:$X$4018,0)),F881))</f>
        <v/>
      </c>
      <c r="G882" s="30">
        <f>IF(AND(ISNUMBER(E882),ISNUMBER(F882)),ROUND(E882-F882,6),"")</f>
        <v/>
      </c>
      <c r="H882" s="25">
        <f>IF(A882="","",IFERROR(INDEX('자료_한국심리'!$N$3:$N$4002,MATCH(A882,$Y$19:$Y$4018,0)),H881))</f>
        <v/>
      </c>
      <c r="I882" s="31">
        <f>IF(AND(ISNUMBER(H882),ISNUMBER(H862)),IF(H862&gt;0,H882/H862-1,""),"")</f>
        <v/>
      </c>
      <c r="J882">
        <f>IF(A882="",0,IF(A882&gt;$B$5,1,0))</f>
        <v/>
      </c>
      <c r="K882" s="29">
        <f>IF(AND(J882=1,ISNUMBER(D882)),D882,"")</f>
        <v/>
      </c>
      <c r="L882" s="30">
        <f>IF(AND(J882=1,ISNUMBER(G882)),G882,"")</f>
        <v/>
      </c>
      <c r="M882" s="22">
        <f>IF(AND(J882=1,ISNUMBER(C882)),C882,"")</f>
        <v/>
      </c>
      <c r="N882" s="31">
        <f>IF(AND(J882=1,ISNUMBER(I882)),I882,"")</f>
        <v/>
      </c>
      <c r="O882" s="11">
        <f>IF(K882="","",100-IF($G$13=1,50,(_xlfn.RANK.AVG(K882,$K$19:$K$1518,1)-1)/($G$13-1)*100))</f>
        <v/>
      </c>
      <c r="P882" s="11">
        <f>IF(L882="","",100-IF($G$14=1,50,(_xlfn.RANK.AVG(L882,$L$19:$L$1518,1)-1)/($G$14-1)*100))</f>
        <v/>
      </c>
      <c r="Q882" s="11">
        <f>IF(M882="","",IF($G$15=1,50,(_xlfn.RANK.AVG(M882,$M$19:$M$1518,1)-1)/($G$15-1)*100))</f>
        <v/>
      </c>
      <c r="R882" s="11">
        <f>IF(N882="","",IF($G$16=1,50,(_xlfn.RANK.AVG(N882,$N$19:$N$1518,1)-1)/($G$16-1)*100))</f>
        <v/>
      </c>
      <c r="S882" s="11">
        <f>IF(COUNT(O882:R882)=4,ROUND(AVERAGE(O882:R882),6),"")</f>
        <v/>
      </c>
      <c r="U882">
        <f>IF(AND(ISNUMBER('자료_한국심리'!$A866),ISNUMBER('자료_한국심리'!$B866)),'자료_한국심리'!$A866,"")</f>
        <v/>
      </c>
      <c r="V882">
        <f>IF(AND(ISNUMBER('자료_한국심리'!$D866),ISNUMBER('자료_한국심리'!$E866)),'자료_한국심리'!$D866,"")</f>
        <v/>
      </c>
      <c r="W882">
        <f>IF(AND(ISNUMBER('자료_한국심리'!$G866),ISNUMBER('자료_한국심리'!$H866)),'자료_한국심리'!$G866,"")</f>
        <v/>
      </c>
      <c r="X882">
        <f>IF(AND(ISNUMBER('자료_한국심리'!$J866),ISNUMBER('자료_한국심리'!$K866)),'자료_한국심리'!$J866,"")</f>
        <v/>
      </c>
      <c r="Y882">
        <f>IF(AND(ISNUMBER('자료_한국심리'!$M866),ISNUMBER('자료_한국심리'!$N866)),'자료_한국심리'!$M866,"")</f>
        <v/>
      </c>
    </row>
    <row r="883">
      <c r="A883" s="10">
        <f>IF(865&gt;$E$5,"",SMALL($U$19:$U$4018,$E$6+865))</f>
        <v/>
      </c>
      <c r="B883" s="29">
        <f>IF(A883="","",INDEX('자료_한국심리'!$B$3:$B$4002,MATCH(A883,$U$19:$U$4018,0)))</f>
        <v/>
      </c>
      <c r="C883" s="22">
        <f>IF(A883="","",B883/AVERAGE(B759:B883)-1)</f>
        <v/>
      </c>
      <c r="D883" s="29">
        <f>IF(A883="","",IFERROR(INDEX('자료_한국심리'!$E$3:$E$4002,MATCH(A883,$V$19:$V$4018,0)),D882))</f>
        <v/>
      </c>
      <c r="E883" s="30">
        <f>IF(A883="","",IFERROR(INDEX('자료_한국심리'!$H$3:$H$4002,MATCH(A883,$W$19:$W$4018,0)),E882))</f>
        <v/>
      </c>
      <c r="F883" s="30">
        <f>IF(A883="","",IFERROR(INDEX('자료_한국심리'!$K$3:$K$4002,MATCH(A883,$X$19:$X$4018,0)),F882))</f>
        <v/>
      </c>
      <c r="G883" s="30">
        <f>IF(AND(ISNUMBER(E883),ISNUMBER(F883)),ROUND(E883-F883,6),"")</f>
        <v/>
      </c>
      <c r="H883" s="25">
        <f>IF(A883="","",IFERROR(INDEX('자료_한국심리'!$N$3:$N$4002,MATCH(A883,$Y$19:$Y$4018,0)),H882))</f>
        <v/>
      </c>
      <c r="I883" s="31">
        <f>IF(AND(ISNUMBER(H883),ISNUMBER(H863)),IF(H863&gt;0,H883/H863-1,""),"")</f>
        <v/>
      </c>
      <c r="J883">
        <f>IF(A883="",0,IF(A883&gt;$B$5,1,0))</f>
        <v/>
      </c>
      <c r="K883" s="29">
        <f>IF(AND(J883=1,ISNUMBER(D883)),D883,"")</f>
        <v/>
      </c>
      <c r="L883" s="30">
        <f>IF(AND(J883=1,ISNUMBER(G883)),G883,"")</f>
        <v/>
      </c>
      <c r="M883" s="22">
        <f>IF(AND(J883=1,ISNUMBER(C883)),C883,"")</f>
        <v/>
      </c>
      <c r="N883" s="31">
        <f>IF(AND(J883=1,ISNUMBER(I883)),I883,"")</f>
        <v/>
      </c>
      <c r="O883" s="11">
        <f>IF(K883="","",100-IF($G$13=1,50,(_xlfn.RANK.AVG(K883,$K$19:$K$1518,1)-1)/($G$13-1)*100))</f>
        <v/>
      </c>
      <c r="P883" s="11">
        <f>IF(L883="","",100-IF($G$14=1,50,(_xlfn.RANK.AVG(L883,$L$19:$L$1518,1)-1)/($G$14-1)*100))</f>
        <v/>
      </c>
      <c r="Q883" s="11">
        <f>IF(M883="","",IF($G$15=1,50,(_xlfn.RANK.AVG(M883,$M$19:$M$1518,1)-1)/($G$15-1)*100))</f>
        <v/>
      </c>
      <c r="R883" s="11">
        <f>IF(N883="","",IF($G$16=1,50,(_xlfn.RANK.AVG(N883,$N$19:$N$1518,1)-1)/($G$16-1)*100))</f>
        <v/>
      </c>
      <c r="S883" s="11">
        <f>IF(COUNT(O883:R883)=4,ROUND(AVERAGE(O883:R883),6),"")</f>
        <v/>
      </c>
      <c r="U883">
        <f>IF(AND(ISNUMBER('자료_한국심리'!$A867),ISNUMBER('자료_한국심리'!$B867)),'자료_한국심리'!$A867,"")</f>
        <v/>
      </c>
      <c r="V883">
        <f>IF(AND(ISNUMBER('자료_한국심리'!$D867),ISNUMBER('자료_한국심리'!$E867)),'자료_한국심리'!$D867,"")</f>
        <v/>
      </c>
      <c r="W883">
        <f>IF(AND(ISNUMBER('자료_한국심리'!$G867),ISNUMBER('자료_한국심리'!$H867)),'자료_한국심리'!$G867,"")</f>
        <v/>
      </c>
      <c r="X883">
        <f>IF(AND(ISNUMBER('자료_한국심리'!$J867),ISNUMBER('자료_한국심리'!$K867)),'자료_한국심리'!$J867,"")</f>
        <v/>
      </c>
      <c r="Y883">
        <f>IF(AND(ISNUMBER('자료_한국심리'!$M867),ISNUMBER('자료_한국심리'!$N867)),'자료_한국심리'!$M867,"")</f>
        <v/>
      </c>
    </row>
    <row r="884">
      <c r="A884" s="10">
        <f>IF(866&gt;$E$5,"",SMALL($U$19:$U$4018,$E$6+866))</f>
        <v/>
      </c>
      <c r="B884" s="29">
        <f>IF(A884="","",INDEX('자료_한국심리'!$B$3:$B$4002,MATCH(A884,$U$19:$U$4018,0)))</f>
        <v/>
      </c>
      <c r="C884" s="22">
        <f>IF(A884="","",B884/AVERAGE(B760:B884)-1)</f>
        <v/>
      </c>
      <c r="D884" s="29">
        <f>IF(A884="","",IFERROR(INDEX('자료_한국심리'!$E$3:$E$4002,MATCH(A884,$V$19:$V$4018,0)),D883))</f>
        <v/>
      </c>
      <c r="E884" s="30">
        <f>IF(A884="","",IFERROR(INDEX('자료_한국심리'!$H$3:$H$4002,MATCH(A884,$W$19:$W$4018,0)),E883))</f>
        <v/>
      </c>
      <c r="F884" s="30">
        <f>IF(A884="","",IFERROR(INDEX('자료_한국심리'!$K$3:$K$4002,MATCH(A884,$X$19:$X$4018,0)),F883))</f>
        <v/>
      </c>
      <c r="G884" s="30">
        <f>IF(AND(ISNUMBER(E884),ISNUMBER(F884)),ROUND(E884-F884,6),"")</f>
        <v/>
      </c>
      <c r="H884" s="25">
        <f>IF(A884="","",IFERROR(INDEX('자료_한국심리'!$N$3:$N$4002,MATCH(A884,$Y$19:$Y$4018,0)),H883))</f>
        <v/>
      </c>
      <c r="I884" s="31">
        <f>IF(AND(ISNUMBER(H884),ISNUMBER(H864)),IF(H864&gt;0,H884/H864-1,""),"")</f>
        <v/>
      </c>
      <c r="J884">
        <f>IF(A884="",0,IF(A884&gt;$B$5,1,0))</f>
        <v/>
      </c>
      <c r="K884" s="29">
        <f>IF(AND(J884=1,ISNUMBER(D884)),D884,"")</f>
        <v/>
      </c>
      <c r="L884" s="30">
        <f>IF(AND(J884=1,ISNUMBER(G884)),G884,"")</f>
        <v/>
      </c>
      <c r="M884" s="22">
        <f>IF(AND(J884=1,ISNUMBER(C884)),C884,"")</f>
        <v/>
      </c>
      <c r="N884" s="31">
        <f>IF(AND(J884=1,ISNUMBER(I884)),I884,"")</f>
        <v/>
      </c>
      <c r="O884" s="11">
        <f>IF(K884="","",100-IF($G$13=1,50,(_xlfn.RANK.AVG(K884,$K$19:$K$1518,1)-1)/($G$13-1)*100))</f>
        <v/>
      </c>
      <c r="P884" s="11">
        <f>IF(L884="","",100-IF($G$14=1,50,(_xlfn.RANK.AVG(L884,$L$19:$L$1518,1)-1)/($G$14-1)*100))</f>
        <v/>
      </c>
      <c r="Q884" s="11">
        <f>IF(M884="","",IF($G$15=1,50,(_xlfn.RANK.AVG(M884,$M$19:$M$1518,1)-1)/($G$15-1)*100))</f>
        <v/>
      </c>
      <c r="R884" s="11">
        <f>IF(N884="","",IF($G$16=1,50,(_xlfn.RANK.AVG(N884,$N$19:$N$1518,1)-1)/($G$16-1)*100))</f>
        <v/>
      </c>
      <c r="S884" s="11">
        <f>IF(COUNT(O884:R884)=4,ROUND(AVERAGE(O884:R884),6),"")</f>
        <v/>
      </c>
      <c r="U884">
        <f>IF(AND(ISNUMBER('자료_한국심리'!$A868),ISNUMBER('자료_한국심리'!$B868)),'자료_한국심리'!$A868,"")</f>
        <v/>
      </c>
      <c r="V884">
        <f>IF(AND(ISNUMBER('자료_한국심리'!$D868),ISNUMBER('자료_한국심리'!$E868)),'자료_한국심리'!$D868,"")</f>
        <v/>
      </c>
      <c r="W884">
        <f>IF(AND(ISNUMBER('자료_한국심리'!$G868),ISNUMBER('자료_한국심리'!$H868)),'자료_한국심리'!$G868,"")</f>
        <v/>
      </c>
      <c r="X884">
        <f>IF(AND(ISNUMBER('자료_한국심리'!$J868),ISNUMBER('자료_한국심리'!$K868)),'자료_한국심리'!$J868,"")</f>
        <v/>
      </c>
      <c r="Y884">
        <f>IF(AND(ISNUMBER('자료_한국심리'!$M868),ISNUMBER('자료_한국심리'!$N868)),'자료_한국심리'!$M868,"")</f>
        <v/>
      </c>
    </row>
    <row r="885">
      <c r="A885" s="10">
        <f>IF(867&gt;$E$5,"",SMALL($U$19:$U$4018,$E$6+867))</f>
        <v/>
      </c>
      <c r="B885" s="29">
        <f>IF(A885="","",INDEX('자료_한국심리'!$B$3:$B$4002,MATCH(A885,$U$19:$U$4018,0)))</f>
        <v/>
      </c>
      <c r="C885" s="22">
        <f>IF(A885="","",B885/AVERAGE(B761:B885)-1)</f>
        <v/>
      </c>
      <c r="D885" s="29">
        <f>IF(A885="","",IFERROR(INDEX('자료_한국심리'!$E$3:$E$4002,MATCH(A885,$V$19:$V$4018,0)),D884))</f>
        <v/>
      </c>
      <c r="E885" s="30">
        <f>IF(A885="","",IFERROR(INDEX('자료_한국심리'!$H$3:$H$4002,MATCH(A885,$W$19:$W$4018,0)),E884))</f>
        <v/>
      </c>
      <c r="F885" s="30">
        <f>IF(A885="","",IFERROR(INDEX('자료_한국심리'!$K$3:$K$4002,MATCH(A885,$X$19:$X$4018,0)),F884))</f>
        <v/>
      </c>
      <c r="G885" s="30">
        <f>IF(AND(ISNUMBER(E885),ISNUMBER(F885)),ROUND(E885-F885,6),"")</f>
        <v/>
      </c>
      <c r="H885" s="25">
        <f>IF(A885="","",IFERROR(INDEX('자료_한국심리'!$N$3:$N$4002,MATCH(A885,$Y$19:$Y$4018,0)),H884))</f>
        <v/>
      </c>
      <c r="I885" s="31">
        <f>IF(AND(ISNUMBER(H885),ISNUMBER(H865)),IF(H865&gt;0,H885/H865-1,""),"")</f>
        <v/>
      </c>
      <c r="J885">
        <f>IF(A885="",0,IF(A885&gt;$B$5,1,0))</f>
        <v/>
      </c>
      <c r="K885" s="29">
        <f>IF(AND(J885=1,ISNUMBER(D885)),D885,"")</f>
        <v/>
      </c>
      <c r="L885" s="30">
        <f>IF(AND(J885=1,ISNUMBER(G885)),G885,"")</f>
        <v/>
      </c>
      <c r="M885" s="22">
        <f>IF(AND(J885=1,ISNUMBER(C885)),C885,"")</f>
        <v/>
      </c>
      <c r="N885" s="31">
        <f>IF(AND(J885=1,ISNUMBER(I885)),I885,"")</f>
        <v/>
      </c>
      <c r="O885" s="11">
        <f>IF(K885="","",100-IF($G$13=1,50,(_xlfn.RANK.AVG(K885,$K$19:$K$1518,1)-1)/($G$13-1)*100))</f>
        <v/>
      </c>
      <c r="P885" s="11">
        <f>IF(L885="","",100-IF($G$14=1,50,(_xlfn.RANK.AVG(L885,$L$19:$L$1518,1)-1)/($G$14-1)*100))</f>
        <v/>
      </c>
      <c r="Q885" s="11">
        <f>IF(M885="","",IF($G$15=1,50,(_xlfn.RANK.AVG(M885,$M$19:$M$1518,1)-1)/($G$15-1)*100))</f>
        <v/>
      </c>
      <c r="R885" s="11">
        <f>IF(N885="","",IF($G$16=1,50,(_xlfn.RANK.AVG(N885,$N$19:$N$1518,1)-1)/($G$16-1)*100))</f>
        <v/>
      </c>
      <c r="S885" s="11">
        <f>IF(COUNT(O885:R885)=4,ROUND(AVERAGE(O885:R885),6),"")</f>
        <v/>
      </c>
      <c r="U885">
        <f>IF(AND(ISNUMBER('자료_한국심리'!$A869),ISNUMBER('자료_한국심리'!$B869)),'자료_한국심리'!$A869,"")</f>
        <v/>
      </c>
      <c r="V885">
        <f>IF(AND(ISNUMBER('자료_한국심리'!$D869),ISNUMBER('자료_한국심리'!$E869)),'자료_한국심리'!$D869,"")</f>
        <v/>
      </c>
      <c r="W885">
        <f>IF(AND(ISNUMBER('자료_한국심리'!$G869),ISNUMBER('자료_한국심리'!$H869)),'자료_한국심리'!$G869,"")</f>
        <v/>
      </c>
      <c r="X885">
        <f>IF(AND(ISNUMBER('자료_한국심리'!$J869),ISNUMBER('자료_한국심리'!$K869)),'자료_한국심리'!$J869,"")</f>
        <v/>
      </c>
      <c r="Y885">
        <f>IF(AND(ISNUMBER('자료_한국심리'!$M869),ISNUMBER('자료_한국심리'!$N869)),'자료_한국심리'!$M869,"")</f>
        <v/>
      </c>
    </row>
    <row r="886">
      <c r="A886" s="10">
        <f>IF(868&gt;$E$5,"",SMALL($U$19:$U$4018,$E$6+868))</f>
        <v/>
      </c>
      <c r="B886" s="29">
        <f>IF(A886="","",INDEX('자료_한국심리'!$B$3:$B$4002,MATCH(A886,$U$19:$U$4018,0)))</f>
        <v/>
      </c>
      <c r="C886" s="22">
        <f>IF(A886="","",B886/AVERAGE(B762:B886)-1)</f>
        <v/>
      </c>
      <c r="D886" s="29">
        <f>IF(A886="","",IFERROR(INDEX('자료_한국심리'!$E$3:$E$4002,MATCH(A886,$V$19:$V$4018,0)),D885))</f>
        <v/>
      </c>
      <c r="E886" s="30">
        <f>IF(A886="","",IFERROR(INDEX('자료_한국심리'!$H$3:$H$4002,MATCH(A886,$W$19:$W$4018,0)),E885))</f>
        <v/>
      </c>
      <c r="F886" s="30">
        <f>IF(A886="","",IFERROR(INDEX('자료_한국심리'!$K$3:$K$4002,MATCH(A886,$X$19:$X$4018,0)),F885))</f>
        <v/>
      </c>
      <c r="G886" s="30">
        <f>IF(AND(ISNUMBER(E886),ISNUMBER(F886)),ROUND(E886-F886,6),"")</f>
        <v/>
      </c>
      <c r="H886" s="25">
        <f>IF(A886="","",IFERROR(INDEX('자료_한국심리'!$N$3:$N$4002,MATCH(A886,$Y$19:$Y$4018,0)),H885))</f>
        <v/>
      </c>
      <c r="I886" s="31">
        <f>IF(AND(ISNUMBER(H886),ISNUMBER(H866)),IF(H866&gt;0,H886/H866-1,""),"")</f>
        <v/>
      </c>
      <c r="J886">
        <f>IF(A886="",0,IF(A886&gt;$B$5,1,0))</f>
        <v/>
      </c>
      <c r="K886" s="29">
        <f>IF(AND(J886=1,ISNUMBER(D886)),D886,"")</f>
        <v/>
      </c>
      <c r="L886" s="30">
        <f>IF(AND(J886=1,ISNUMBER(G886)),G886,"")</f>
        <v/>
      </c>
      <c r="M886" s="22">
        <f>IF(AND(J886=1,ISNUMBER(C886)),C886,"")</f>
        <v/>
      </c>
      <c r="N886" s="31">
        <f>IF(AND(J886=1,ISNUMBER(I886)),I886,"")</f>
        <v/>
      </c>
      <c r="O886" s="11">
        <f>IF(K886="","",100-IF($G$13=1,50,(_xlfn.RANK.AVG(K886,$K$19:$K$1518,1)-1)/($G$13-1)*100))</f>
        <v/>
      </c>
      <c r="P886" s="11">
        <f>IF(L886="","",100-IF($G$14=1,50,(_xlfn.RANK.AVG(L886,$L$19:$L$1518,1)-1)/($G$14-1)*100))</f>
        <v/>
      </c>
      <c r="Q886" s="11">
        <f>IF(M886="","",IF($G$15=1,50,(_xlfn.RANK.AVG(M886,$M$19:$M$1518,1)-1)/($G$15-1)*100))</f>
        <v/>
      </c>
      <c r="R886" s="11">
        <f>IF(N886="","",IF($G$16=1,50,(_xlfn.RANK.AVG(N886,$N$19:$N$1518,1)-1)/($G$16-1)*100))</f>
        <v/>
      </c>
      <c r="S886" s="11">
        <f>IF(COUNT(O886:R886)=4,ROUND(AVERAGE(O886:R886),6),"")</f>
        <v/>
      </c>
      <c r="U886">
        <f>IF(AND(ISNUMBER('자료_한국심리'!$A870),ISNUMBER('자료_한국심리'!$B870)),'자료_한국심리'!$A870,"")</f>
        <v/>
      </c>
      <c r="V886">
        <f>IF(AND(ISNUMBER('자료_한국심리'!$D870),ISNUMBER('자료_한국심리'!$E870)),'자료_한국심리'!$D870,"")</f>
        <v/>
      </c>
      <c r="W886">
        <f>IF(AND(ISNUMBER('자료_한국심리'!$G870),ISNUMBER('자료_한국심리'!$H870)),'자료_한국심리'!$G870,"")</f>
        <v/>
      </c>
      <c r="X886">
        <f>IF(AND(ISNUMBER('자료_한국심리'!$J870),ISNUMBER('자료_한국심리'!$K870)),'자료_한국심리'!$J870,"")</f>
        <v/>
      </c>
      <c r="Y886">
        <f>IF(AND(ISNUMBER('자료_한국심리'!$M870),ISNUMBER('자료_한국심리'!$N870)),'자료_한국심리'!$M870,"")</f>
        <v/>
      </c>
    </row>
    <row r="887">
      <c r="A887" s="10">
        <f>IF(869&gt;$E$5,"",SMALL($U$19:$U$4018,$E$6+869))</f>
        <v/>
      </c>
      <c r="B887" s="29">
        <f>IF(A887="","",INDEX('자료_한국심리'!$B$3:$B$4002,MATCH(A887,$U$19:$U$4018,0)))</f>
        <v/>
      </c>
      <c r="C887" s="22">
        <f>IF(A887="","",B887/AVERAGE(B763:B887)-1)</f>
        <v/>
      </c>
      <c r="D887" s="29">
        <f>IF(A887="","",IFERROR(INDEX('자료_한국심리'!$E$3:$E$4002,MATCH(A887,$V$19:$V$4018,0)),D886))</f>
        <v/>
      </c>
      <c r="E887" s="30">
        <f>IF(A887="","",IFERROR(INDEX('자료_한국심리'!$H$3:$H$4002,MATCH(A887,$W$19:$W$4018,0)),E886))</f>
        <v/>
      </c>
      <c r="F887" s="30">
        <f>IF(A887="","",IFERROR(INDEX('자료_한국심리'!$K$3:$K$4002,MATCH(A887,$X$19:$X$4018,0)),F886))</f>
        <v/>
      </c>
      <c r="G887" s="30">
        <f>IF(AND(ISNUMBER(E887),ISNUMBER(F887)),ROUND(E887-F887,6),"")</f>
        <v/>
      </c>
      <c r="H887" s="25">
        <f>IF(A887="","",IFERROR(INDEX('자료_한국심리'!$N$3:$N$4002,MATCH(A887,$Y$19:$Y$4018,0)),H886))</f>
        <v/>
      </c>
      <c r="I887" s="31">
        <f>IF(AND(ISNUMBER(H887),ISNUMBER(H867)),IF(H867&gt;0,H887/H867-1,""),"")</f>
        <v/>
      </c>
      <c r="J887">
        <f>IF(A887="",0,IF(A887&gt;$B$5,1,0))</f>
        <v/>
      </c>
      <c r="K887" s="29">
        <f>IF(AND(J887=1,ISNUMBER(D887)),D887,"")</f>
        <v/>
      </c>
      <c r="L887" s="30">
        <f>IF(AND(J887=1,ISNUMBER(G887)),G887,"")</f>
        <v/>
      </c>
      <c r="M887" s="22">
        <f>IF(AND(J887=1,ISNUMBER(C887)),C887,"")</f>
        <v/>
      </c>
      <c r="N887" s="31">
        <f>IF(AND(J887=1,ISNUMBER(I887)),I887,"")</f>
        <v/>
      </c>
      <c r="O887" s="11">
        <f>IF(K887="","",100-IF($G$13=1,50,(_xlfn.RANK.AVG(K887,$K$19:$K$1518,1)-1)/($G$13-1)*100))</f>
        <v/>
      </c>
      <c r="P887" s="11">
        <f>IF(L887="","",100-IF($G$14=1,50,(_xlfn.RANK.AVG(L887,$L$19:$L$1518,1)-1)/($G$14-1)*100))</f>
        <v/>
      </c>
      <c r="Q887" s="11">
        <f>IF(M887="","",IF($G$15=1,50,(_xlfn.RANK.AVG(M887,$M$19:$M$1518,1)-1)/($G$15-1)*100))</f>
        <v/>
      </c>
      <c r="R887" s="11">
        <f>IF(N887="","",IF($G$16=1,50,(_xlfn.RANK.AVG(N887,$N$19:$N$1518,1)-1)/($G$16-1)*100))</f>
        <v/>
      </c>
      <c r="S887" s="11">
        <f>IF(COUNT(O887:R887)=4,ROUND(AVERAGE(O887:R887),6),"")</f>
        <v/>
      </c>
      <c r="U887">
        <f>IF(AND(ISNUMBER('자료_한국심리'!$A871),ISNUMBER('자료_한국심리'!$B871)),'자료_한국심리'!$A871,"")</f>
        <v/>
      </c>
      <c r="V887">
        <f>IF(AND(ISNUMBER('자료_한국심리'!$D871),ISNUMBER('자료_한국심리'!$E871)),'자료_한국심리'!$D871,"")</f>
        <v/>
      </c>
      <c r="W887">
        <f>IF(AND(ISNUMBER('자료_한국심리'!$G871),ISNUMBER('자료_한국심리'!$H871)),'자료_한국심리'!$G871,"")</f>
        <v/>
      </c>
      <c r="X887">
        <f>IF(AND(ISNUMBER('자료_한국심리'!$J871),ISNUMBER('자료_한국심리'!$K871)),'자료_한국심리'!$J871,"")</f>
        <v/>
      </c>
      <c r="Y887">
        <f>IF(AND(ISNUMBER('자료_한국심리'!$M871),ISNUMBER('자료_한국심리'!$N871)),'자료_한국심리'!$M871,"")</f>
        <v/>
      </c>
    </row>
    <row r="888">
      <c r="A888" s="10">
        <f>IF(870&gt;$E$5,"",SMALL($U$19:$U$4018,$E$6+870))</f>
        <v/>
      </c>
      <c r="B888" s="29">
        <f>IF(A888="","",INDEX('자료_한국심리'!$B$3:$B$4002,MATCH(A888,$U$19:$U$4018,0)))</f>
        <v/>
      </c>
      <c r="C888" s="22">
        <f>IF(A888="","",B888/AVERAGE(B764:B888)-1)</f>
        <v/>
      </c>
      <c r="D888" s="29">
        <f>IF(A888="","",IFERROR(INDEX('자료_한국심리'!$E$3:$E$4002,MATCH(A888,$V$19:$V$4018,0)),D887))</f>
        <v/>
      </c>
      <c r="E888" s="30">
        <f>IF(A888="","",IFERROR(INDEX('자료_한국심리'!$H$3:$H$4002,MATCH(A888,$W$19:$W$4018,0)),E887))</f>
        <v/>
      </c>
      <c r="F888" s="30">
        <f>IF(A888="","",IFERROR(INDEX('자료_한국심리'!$K$3:$K$4002,MATCH(A888,$X$19:$X$4018,0)),F887))</f>
        <v/>
      </c>
      <c r="G888" s="30">
        <f>IF(AND(ISNUMBER(E888),ISNUMBER(F888)),ROUND(E888-F888,6),"")</f>
        <v/>
      </c>
      <c r="H888" s="25">
        <f>IF(A888="","",IFERROR(INDEX('자료_한국심리'!$N$3:$N$4002,MATCH(A888,$Y$19:$Y$4018,0)),H887))</f>
        <v/>
      </c>
      <c r="I888" s="31">
        <f>IF(AND(ISNUMBER(H888),ISNUMBER(H868)),IF(H868&gt;0,H888/H868-1,""),"")</f>
        <v/>
      </c>
      <c r="J888">
        <f>IF(A888="",0,IF(A888&gt;$B$5,1,0))</f>
        <v/>
      </c>
      <c r="K888" s="29">
        <f>IF(AND(J888=1,ISNUMBER(D888)),D888,"")</f>
        <v/>
      </c>
      <c r="L888" s="30">
        <f>IF(AND(J888=1,ISNUMBER(G888)),G888,"")</f>
        <v/>
      </c>
      <c r="M888" s="22">
        <f>IF(AND(J888=1,ISNUMBER(C888)),C888,"")</f>
        <v/>
      </c>
      <c r="N888" s="31">
        <f>IF(AND(J888=1,ISNUMBER(I888)),I888,"")</f>
        <v/>
      </c>
      <c r="O888" s="11">
        <f>IF(K888="","",100-IF($G$13=1,50,(_xlfn.RANK.AVG(K888,$K$19:$K$1518,1)-1)/($G$13-1)*100))</f>
        <v/>
      </c>
      <c r="P888" s="11">
        <f>IF(L888="","",100-IF($G$14=1,50,(_xlfn.RANK.AVG(L888,$L$19:$L$1518,1)-1)/($G$14-1)*100))</f>
        <v/>
      </c>
      <c r="Q888" s="11">
        <f>IF(M888="","",IF($G$15=1,50,(_xlfn.RANK.AVG(M888,$M$19:$M$1518,1)-1)/($G$15-1)*100))</f>
        <v/>
      </c>
      <c r="R888" s="11">
        <f>IF(N888="","",IF($G$16=1,50,(_xlfn.RANK.AVG(N888,$N$19:$N$1518,1)-1)/($G$16-1)*100))</f>
        <v/>
      </c>
      <c r="S888" s="11">
        <f>IF(COUNT(O888:R888)=4,ROUND(AVERAGE(O888:R888),6),"")</f>
        <v/>
      </c>
      <c r="U888">
        <f>IF(AND(ISNUMBER('자료_한국심리'!$A872),ISNUMBER('자료_한국심리'!$B872)),'자료_한국심리'!$A872,"")</f>
        <v/>
      </c>
      <c r="V888">
        <f>IF(AND(ISNUMBER('자료_한국심리'!$D872),ISNUMBER('자료_한국심리'!$E872)),'자료_한국심리'!$D872,"")</f>
        <v/>
      </c>
      <c r="W888">
        <f>IF(AND(ISNUMBER('자료_한국심리'!$G872),ISNUMBER('자료_한국심리'!$H872)),'자료_한국심리'!$G872,"")</f>
        <v/>
      </c>
      <c r="X888">
        <f>IF(AND(ISNUMBER('자료_한국심리'!$J872),ISNUMBER('자료_한국심리'!$K872)),'자료_한국심리'!$J872,"")</f>
        <v/>
      </c>
      <c r="Y888">
        <f>IF(AND(ISNUMBER('자료_한국심리'!$M872),ISNUMBER('자료_한국심리'!$N872)),'자료_한국심리'!$M872,"")</f>
        <v/>
      </c>
    </row>
    <row r="889">
      <c r="A889" s="10">
        <f>IF(871&gt;$E$5,"",SMALL($U$19:$U$4018,$E$6+871))</f>
        <v/>
      </c>
      <c r="B889" s="29">
        <f>IF(A889="","",INDEX('자료_한국심리'!$B$3:$B$4002,MATCH(A889,$U$19:$U$4018,0)))</f>
        <v/>
      </c>
      <c r="C889" s="22">
        <f>IF(A889="","",B889/AVERAGE(B765:B889)-1)</f>
        <v/>
      </c>
      <c r="D889" s="29">
        <f>IF(A889="","",IFERROR(INDEX('자료_한국심리'!$E$3:$E$4002,MATCH(A889,$V$19:$V$4018,0)),D888))</f>
        <v/>
      </c>
      <c r="E889" s="30">
        <f>IF(A889="","",IFERROR(INDEX('자료_한국심리'!$H$3:$H$4002,MATCH(A889,$W$19:$W$4018,0)),E888))</f>
        <v/>
      </c>
      <c r="F889" s="30">
        <f>IF(A889="","",IFERROR(INDEX('자료_한국심리'!$K$3:$K$4002,MATCH(A889,$X$19:$X$4018,0)),F888))</f>
        <v/>
      </c>
      <c r="G889" s="30">
        <f>IF(AND(ISNUMBER(E889),ISNUMBER(F889)),ROUND(E889-F889,6),"")</f>
        <v/>
      </c>
      <c r="H889" s="25">
        <f>IF(A889="","",IFERROR(INDEX('자료_한국심리'!$N$3:$N$4002,MATCH(A889,$Y$19:$Y$4018,0)),H888))</f>
        <v/>
      </c>
      <c r="I889" s="31">
        <f>IF(AND(ISNUMBER(H889),ISNUMBER(H869)),IF(H869&gt;0,H889/H869-1,""),"")</f>
        <v/>
      </c>
      <c r="J889">
        <f>IF(A889="",0,IF(A889&gt;$B$5,1,0))</f>
        <v/>
      </c>
      <c r="K889" s="29">
        <f>IF(AND(J889=1,ISNUMBER(D889)),D889,"")</f>
        <v/>
      </c>
      <c r="L889" s="30">
        <f>IF(AND(J889=1,ISNUMBER(G889)),G889,"")</f>
        <v/>
      </c>
      <c r="M889" s="22">
        <f>IF(AND(J889=1,ISNUMBER(C889)),C889,"")</f>
        <v/>
      </c>
      <c r="N889" s="31">
        <f>IF(AND(J889=1,ISNUMBER(I889)),I889,"")</f>
        <v/>
      </c>
      <c r="O889" s="11">
        <f>IF(K889="","",100-IF($G$13=1,50,(_xlfn.RANK.AVG(K889,$K$19:$K$1518,1)-1)/($G$13-1)*100))</f>
        <v/>
      </c>
      <c r="P889" s="11">
        <f>IF(L889="","",100-IF($G$14=1,50,(_xlfn.RANK.AVG(L889,$L$19:$L$1518,1)-1)/($G$14-1)*100))</f>
        <v/>
      </c>
      <c r="Q889" s="11">
        <f>IF(M889="","",IF($G$15=1,50,(_xlfn.RANK.AVG(M889,$M$19:$M$1518,1)-1)/($G$15-1)*100))</f>
        <v/>
      </c>
      <c r="R889" s="11">
        <f>IF(N889="","",IF($G$16=1,50,(_xlfn.RANK.AVG(N889,$N$19:$N$1518,1)-1)/($G$16-1)*100))</f>
        <v/>
      </c>
      <c r="S889" s="11">
        <f>IF(COUNT(O889:R889)=4,ROUND(AVERAGE(O889:R889),6),"")</f>
        <v/>
      </c>
      <c r="U889">
        <f>IF(AND(ISNUMBER('자료_한국심리'!$A873),ISNUMBER('자료_한국심리'!$B873)),'자료_한국심리'!$A873,"")</f>
        <v/>
      </c>
      <c r="V889">
        <f>IF(AND(ISNUMBER('자료_한국심리'!$D873),ISNUMBER('자료_한국심리'!$E873)),'자료_한국심리'!$D873,"")</f>
        <v/>
      </c>
      <c r="W889">
        <f>IF(AND(ISNUMBER('자료_한국심리'!$G873),ISNUMBER('자료_한국심리'!$H873)),'자료_한국심리'!$G873,"")</f>
        <v/>
      </c>
      <c r="X889">
        <f>IF(AND(ISNUMBER('자료_한국심리'!$J873),ISNUMBER('자료_한국심리'!$K873)),'자료_한국심리'!$J873,"")</f>
        <v/>
      </c>
      <c r="Y889">
        <f>IF(AND(ISNUMBER('자료_한국심리'!$M873),ISNUMBER('자료_한국심리'!$N873)),'자료_한국심리'!$M873,"")</f>
        <v/>
      </c>
    </row>
    <row r="890">
      <c r="A890" s="10">
        <f>IF(872&gt;$E$5,"",SMALL($U$19:$U$4018,$E$6+872))</f>
        <v/>
      </c>
      <c r="B890" s="29">
        <f>IF(A890="","",INDEX('자료_한국심리'!$B$3:$B$4002,MATCH(A890,$U$19:$U$4018,0)))</f>
        <v/>
      </c>
      <c r="C890" s="22">
        <f>IF(A890="","",B890/AVERAGE(B766:B890)-1)</f>
        <v/>
      </c>
      <c r="D890" s="29">
        <f>IF(A890="","",IFERROR(INDEX('자료_한국심리'!$E$3:$E$4002,MATCH(A890,$V$19:$V$4018,0)),D889))</f>
        <v/>
      </c>
      <c r="E890" s="30">
        <f>IF(A890="","",IFERROR(INDEX('자료_한국심리'!$H$3:$H$4002,MATCH(A890,$W$19:$W$4018,0)),E889))</f>
        <v/>
      </c>
      <c r="F890" s="30">
        <f>IF(A890="","",IFERROR(INDEX('자료_한국심리'!$K$3:$K$4002,MATCH(A890,$X$19:$X$4018,0)),F889))</f>
        <v/>
      </c>
      <c r="G890" s="30">
        <f>IF(AND(ISNUMBER(E890),ISNUMBER(F890)),ROUND(E890-F890,6),"")</f>
        <v/>
      </c>
      <c r="H890" s="25">
        <f>IF(A890="","",IFERROR(INDEX('자료_한국심리'!$N$3:$N$4002,MATCH(A890,$Y$19:$Y$4018,0)),H889))</f>
        <v/>
      </c>
      <c r="I890" s="31">
        <f>IF(AND(ISNUMBER(H890),ISNUMBER(H870)),IF(H870&gt;0,H890/H870-1,""),"")</f>
        <v/>
      </c>
      <c r="J890">
        <f>IF(A890="",0,IF(A890&gt;$B$5,1,0))</f>
        <v/>
      </c>
      <c r="K890" s="29">
        <f>IF(AND(J890=1,ISNUMBER(D890)),D890,"")</f>
        <v/>
      </c>
      <c r="L890" s="30">
        <f>IF(AND(J890=1,ISNUMBER(G890)),G890,"")</f>
        <v/>
      </c>
      <c r="M890" s="22">
        <f>IF(AND(J890=1,ISNUMBER(C890)),C890,"")</f>
        <v/>
      </c>
      <c r="N890" s="31">
        <f>IF(AND(J890=1,ISNUMBER(I890)),I890,"")</f>
        <v/>
      </c>
      <c r="O890" s="11">
        <f>IF(K890="","",100-IF($G$13=1,50,(_xlfn.RANK.AVG(K890,$K$19:$K$1518,1)-1)/($G$13-1)*100))</f>
        <v/>
      </c>
      <c r="P890" s="11">
        <f>IF(L890="","",100-IF($G$14=1,50,(_xlfn.RANK.AVG(L890,$L$19:$L$1518,1)-1)/($G$14-1)*100))</f>
        <v/>
      </c>
      <c r="Q890" s="11">
        <f>IF(M890="","",IF($G$15=1,50,(_xlfn.RANK.AVG(M890,$M$19:$M$1518,1)-1)/($G$15-1)*100))</f>
        <v/>
      </c>
      <c r="R890" s="11">
        <f>IF(N890="","",IF($G$16=1,50,(_xlfn.RANK.AVG(N890,$N$19:$N$1518,1)-1)/($G$16-1)*100))</f>
        <v/>
      </c>
      <c r="S890" s="11">
        <f>IF(COUNT(O890:R890)=4,ROUND(AVERAGE(O890:R890),6),"")</f>
        <v/>
      </c>
      <c r="U890">
        <f>IF(AND(ISNUMBER('자료_한국심리'!$A874),ISNUMBER('자료_한국심리'!$B874)),'자료_한국심리'!$A874,"")</f>
        <v/>
      </c>
      <c r="V890">
        <f>IF(AND(ISNUMBER('자료_한국심리'!$D874),ISNUMBER('자료_한국심리'!$E874)),'자료_한국심리'!$D874,"")</f>
        <v/>
      </c>
      <c r="W890">
        <f>IF(AND(ISNUMBER('자료_한국심리'!$G874),ISNUMBER('자료_한국심리'!$H874)),'자료_한국심리'!$G874,"")</f>
        <v/>
      </c>
      <c r="X890">
        <f>IF(AND(ISNUMBER('자료_한국심리'!$J874),ISNUMBER('자료_한국심리'!$K874)),'자료_한국심리'!$J874,"")</f>
        <v/>
      </c>
      <c r="Y890">
        <f>IF(AND(ISNUMBER('자료_한국심리'!$M874),ISNUMBER('자료_한국심리'!$N874)),'자료_한국심리'!$M874,"")</f>
        <v/>
      </c>
    </row>
    <row r="891">
      <c r="A891" s="10">
        <f>IF(873&gt;$E$5,"",SMALL($U$19:$U$4018,$E$6+873))</f>
        <v/>
      </c>
      <c r="B891" s="29">
        <f>IF(A891="","",INDEX('자료_한국심리'!$B$3:$B$4002,MATCH(A891,$U$19:$U$4018,0)))</f>
        <v/>
      </c>
      <c r="C891" s="22">
        <f>IF(A891="","",B891/AVERAGE(B767:B891)-1)</f>
        <v/>
      </c>
      <c r="D891" s="29">
        <f>IF(A891="","",IFERROR(INDEX('자료_한국심리'!$E$3:$E$4002,MATCH(A891,$V$19:$V$4018,0)),D890))</f>
        <v/>
      </c>
      <c r="E891" s="30">
        <f>IF(A891="","",IFERROR(INDEX('자료_한국심리'!$H$3:$H$4002,MATCH(A891,$W$19:$W$4018,0)),E890))</f>
        <v/>
      </c>
      <c r="F891" s="30">
        <f>IF(A891="","",IFERROR(INDEX('자료_한국심리'!$K$3:$K$4002,MATCH(A891,$X$19:$X$4018,0)),F890))</f>
        <v/>
      </c>
      <c r="G891" s="30">
        <f>IF(AND(ISNUMBER(E891),ISNUMBER(F891)),ROUND(E891-F891,6),"")</f>
        <v/>
      </c>
      <c r="H891" s="25">
        <f>IF(A891="","",IFERROR(INDEX('자료_한국심리'!$N$3:$N$4002,MATCH(A891,$Y$19:$Y$4018,0)),H890))</f>
        <v/>
      </c>
      <c r="I891" s="31">
        <f>IF(AND(ISNUMBER(H891),ISNUMBER(H871)),IF(H871&gt;0,H891/H871-1,""),"")</f>
        <v/>
      </c>
      <c r="J891">
        <f>IF(A891="",0,IF(A891&gt;$B$5,1,0))</f>
        <v/>
      </c>
      <c r="K891" s="29">
        <f>IF(AND(J891=1,ISNUMBER(D891)),D891,"")</f>
        <v/>
      </c>
      <c r="L891" s="30">
        <f>IF(AND(J891=1,ISNUMBER(G891)),G891,"")</f>
        <v/>
      </c>
      <c r="M891" s="22">
        <f>IF(AND(J891=1,ISNUMBER(C891)),C891,"")</f>
        <v/>
      </c>
      <c r="N891" s="31">
        <f>IF(AND(J891=1,ISNUMBER(I891)),I891,"")</f>
        <v/>
      </c>
      <c r="O891" s="11">
        <f>IF(K891="","",100-IF($G$13=1,50,(_xlfn.RANK.AVG(K891,$K$19:$K$1518,1)-1)/($G$13-1)*100))</f>
        <v/>
      </c>
      <c r="P891" s="11">
        <f>IF(L891="","",100-IF($G$14=1,50,(_xlfn.RANK.AVG(L891,$L$19:$L$1518,1)-1)/($G$14-1)*100))</f>
        <v/>
      </c>
      <c r="Q891" s="11">
        <f>IF(M891="","",IF($G$15=1,50,(_xlfn.RANK.AVG(M891,$M$19:$M$1518,1)-1)/($G$15-1)*100))</f>
        <v/>
      </c>
      <c r="R891" s="11">
        <f>IF(N891="","",IF($G$16=1,50,(_xlfn.RANK.AVG(N891,$N$19:$N$1518,1)-1)/($G$16-1)*100))</f>
        <v/>
      </c>
      <c r="S891" s="11">
        <f>IF(COUNT(O891:R891)=4,ROUND(AVERAGE(O891:R891),6),"")</f>
        <v/>
      </c>
      <c r="U891">
        <f>IF(AND(ISNUMBER('자료_한국심리'!$A875),ISNUMBER('자료_한국심리'!$B875)),'자료_한국심리'!$A875,"")</f>
        <v/>
      </c>
      <c r="V891">
        <f>IF(AND(ISNUMBER('자료_한국심리'!$D875),ISNUMBER('자료_한국심리'!$E875)),'자료_한국심리'!$D875,"")</f>
        <v/>
      </c>
      <c r="W891">
        <f>IF(AND(ISNUMBER('자료_한국심리'!$G875),ISNUMBER('자료_한국심리'!$H875)),'자료_한국심리'!$G875,"")</f>
        <v/>
      </c>
      <c r="X891">
        <f>IF(AND(ISNUMBER('자료_한국심리'!$J875),ISNUMBER('자료_한국심리'!$K875)),'자료_한국심리'!$J875,"")</f>
        <v/>
      </c>
      <c r="Y891">
        <f>IF(AND(ISNUMBER('자료_한국심리'!$M875),ISNUMBER('자료_한국심리'!$N875)),'자료_한국심리'!$M875,"")</f>
        <v/>
      </c>
    </row>
    <row r="892">
      <c r="A892" s="10">
        <f>IF(874&gt;$E$5,"",SMALL($U$19:$U$4018,$E$6+874))</f>
        <v/>
      </c>
      <c r="B892" s="29">
        <f>IF(A892="","",INDEX('자료_한국심리'!$B$3:$B$4002,MATCH(A892,$U$19:$U$4018,0)))</f>
        <v/>
      </c>
      <c r="C892" s="22">
        <f>IF(A892="","",B892/AVERAGE(B768:B892)-1)</f>
        <v/>
      </c>
      <c r="D892" s="29">
        <f>IF(A892="","",IFERROR(INDEX('자료_한국심리'!$E$3:$E$4002,MATCH(A892,$V$19:$V$4018,0)),D891))</f>
        <v/>
      </c>
      <c r="E892" s="30">
        <f>IF(A892="","",IFERROR(INDEX('자료_한국심리'!$H$3:$H$4002,MATCH(A892,$W$19:$W$4018,0)),E891))</f>
        <v/>
      </c>
      <c r="F892" s="30">
        <f>IF(A892="","",IFERROR(INDEX('자료_한국심리'!$K$3:$K$4002,MATCH(A892,$X$19:$X$4018,0)),F891))</f>
        <v/>
      </c>
      <c r="G892" s="30">
        <f>IF(AND(ISNUMBER(E892),ISNUMBER(F892)),ROUND(E892-F892,6),"")</f>
        <v/>
      </c>
      <c r="H892" s="25">
        <f>IF(A892="","",IFERROR(INDEX('자료_한국심리'!$N$3:$N$4002,MATCH(A892,$Y$19:$Y$4018,0)),H891))</f>
        <v/>
      </c>
      <c r="I892" s="31">
        <f>IF(AND(ISNUMBER(H892),ISNUMBER(H872)),IF(H872&gt;0,H892/H872-1,""),"")</f>
        <v/>
      </c>
      <c r="J892">
        <f>IF(A892="",0,IF(A892&gt;$B$5,1,0))</f>
        <v/>
      </c>
      <c r="K892" s="29">
        <f>IF(AND(J892=1,ISNUMBER(D892)),D892,"")</f>
        <v/>
      </c>
      <c r="L892" s="30">
        <f>IF(AND(J892=1,ISNUMBER(G892)),G892,"")</f>
        <v/>
      </c>
      <c r="M892" s="22">
        <f>IF(AND(J892=1,ISNUMBER(C892)),C892,"")</f>
        <v/>
      </c>
      <c r="N892" s="31">
        <f>IF(AND(J892=1,ISNUMBER(I892)),I892,"")</f>
        <v/>
      </c>
      <c r="O892" s="11">
        <f>IF(K892="","",100-IF($G$13=1,50,(_xlfn.RANK.AVG(K892,$K$19:$K$1518,1)-1)/($G$13-1)*100))</f>
        <v/>
      </c>
      <c r="P892" s="11">
        <f>IF(L892="","",100-IF($G$14=1,50,(_xlfn.RANK.AVG(L892,$L$19:$L$1518,1)-1)/($G$14-1)*100))</f>
        <v/>
      </c>
      <c r="Q892" s="11">
        <f>IF(M892="","",IF($G$15=1,50,(_xlfn.RANK.AVG(M892,$M$19:$M$1518,1)-1)/($G$15-1)*100))</f>
        <v/>
      </c>
      <c r="R892" s="11">
        <f>IF(N892="","",IF($G$16=1,50,(_xlfn.RANK.AVG(N892,$N$19:$N$1518,1)-1)/($G$16-1)*100))</f>
        <v/>
      </c>
      <c r="S892" s="11">
        <f>IF(COUNT(O892:R892)=4,ROUND(AVERAGE(O892:R892),6),"")</f>
        <v/>
      </c>
      <c r="U892">
        <f>IF(AND(ISNUMBER('자료_한국심리'!$A876),ISNUMBER('자료_한국심리'!$B876)),'자료_한국심리'!$A876,"")</f>
        <v/>
      </c>
      <c r="V892">
        <f>IF(AND(ISNUMBER('자료_한국심리'!$D876),ISNUMBER('자료_한국심리'!$E876)),'자료_한국심리'!$D876,"")</f>
        <v/>
      </c>
      <c r="W892">
        <f>IF(AND(ISNUMBER('자료_한국심리'!$G876),ISNUMBER('자료_한국심리'!$H876)),'자료_한국심리'!$G876,"")</f>
        <v/>
      </c>
      <c r="X892">
        <f>IF(AND(ISNUMBER('자료_한국심리'!$J876),ISNUMBER('자료_한국심리'!$K876)),'자료_한국심리'!$J876,"")</f>
        <v/>
      </c>
      <c r="Y892">
        <f>IF(AND(ISNUMBER('자료_한국심리'!$M876),ISNUMBER('자료_한국심리'!$N876)),'자료_한국심리'!$M876,"")</f>
        <v/>
      </c>
    </row>
    <row r="893">
      <c r="A893" s="10">
        <f>IF(875&gt;$E$5,"",SMALL($U$19:$U$4018,$E$6+875))</f>
        <v/>
      </c>
      <c r="B893" s="29">
        <f>IF(A893="","",INDEX('자료_한국심리'!$B$3:$B$4002,MATCH(A893,$U$19:$U$4018,0)))</f>
        <v/>
      </c>
      <c r="C893" s="22">
        <f>IF(A893="","",B893/AVERAGE(B769:B893)-1)</f>
        <v/>
      </c>
      <c r="D893" s="29">
        <f>IF(A893="","",IFERROR(INDEX('자료_한국심리'!$E$3:$E$4002,MATCH(A893,$V$19:$V$4018,0)),D892))</f>
        <v/>
      </c>
      <c r="E893" s="30">
        <f>IF(A893="","",IFERROR(INDEX('자료_한국심리'!$H$3:$H$4002,MATCH(A893,$W$19:$W$4018,0)),E892))</f>
        <v/>
      </c>
      <c r="F893" s="30">
        <f>IF(A893="","",IFERROR(INDEX('자료_한국심리'!$K$3:$K$4002,MATCH(A893,$X$19:$X$4018,0)),F892))</f>
        <v/>
      </c>
      <c r="G893" s="30">
        <f>IF(AND(ISNUMBER(E893),ISNUMBER(F893)),ROUND(E893-F893,6),"")</f>
        <v/>
      </c>
      <c r="H893" s="25">
        <f>IF(A893="","",IFERROR(INDEX('자료_한국심리'!$N$3:$N$4002,MATCH(A893,$Y$19:$Y$4018,0)),H892))</f>
        <v/>
      </c>
      <c r="I893" s="31">
        <f>IF(AND(ISNUMBER(H893),ISNUMBER(H873)),IF(H873&gt;0,H893/H873-1,""),"")</f>
        <v/>
      </c>
      <c r="J893">
        <f>IF(A893="",0,IF(A893&gt;$B$5,1,0))</f>
        <v/>
      </c>
      <c r="K893" s="29">
        <f>IF(AND(J893=1,ISNUMBER(D893)),D893,"")</f>
        <v/>
      </c>
      <c r="L893" s="30">
        <f>IF(AND(J893=1,ISNUMBER(G893)),G893,"")</f>
        <v/>
      </c>
      <c r="M893" s="22">
        <f>IF(AND(J893=1,ISNUMBER(C893)),C893,"")</f>
        <v/>
      </c>
      <c r="N893" s="31">
        <f>IF(AND(J893=1,ISNUMBER(I893)),I893,"")</f>
        <v/>
      </c>
      <c r="O893" s="11">
        <f>IF(K893="","",100-IF($G$13=1,50,(_xlfn.RANK.AVG(K893,$K$19:$K$1518,1)-1)/($G$13-1)*100))</f>
        <v/>
      </c>
      <c r="P893" s="11">
        <f>IF(L893="","",100-IF($G$14=1,50,(_xlfn.RANK.AVG(L893,$L$19:$L$1518,1)-1)/($G$14-1)*100))</f>
        <v/>
      </c>
      <c r="Q893" s="11">
        <f>IF(M893="","",IF($G$15=1,50,(_xlfn.RANK.AVG(M893,$M$19:$M$1518,1)-1)/($G$15-1)*100))</f>
        <v/>
      </c>
      <c r="R893" s="11">
        <f>IF(N893="","",IF($G$16=1,50,(_xlfn.RANK.AVG(N893,$N$19:$N$1518,1)-1)/($G$16-1)*100))</f>
        <v/>
      </c>
      <c r="S893" s="11">
        <f>IF(COUNT(O893:R893)=4,ROUND(AVERAGE(O893:R893),6),"")</f>
        <v/>
      </c>
      <c r="U893">
        <f>IF(AND(ISNUMBER('자료_한국심리'!$A877),ISNUMBER('자료_한국심리'!$B877)),'자료_한국심리'!$A877,"")</f>
        <v/>
      </c>
      <c r="V893">
        <f>IF(AND(ISNUMBER('자료_한국심리'!$D877),ISNUMBER('자료_한국심리'!$E877)),'자료_한국심리'!$D877,"")</f>
        <v/>
      </c>
      <c r="W893">
        <f>IF(AND(ISNUMBER('자료_한국심리'!$G877),ISNUMBER('자료_한국심리'!$H877)),'자료_한국심리'!$G877,"")</f>
        <v/>
      </c>
      <c r="X893">
        <f>IF(AND(ISNUMBER('자료_한국심리'!$J877),ISNUMBER('자료_한국심리'!$K877)),'자료_한국심리'!$J877,"")</f>
        <v/>
      </c>
      <c r="Y893">
        <f>IF(AND(ISNUMBER('자료_한국심리'!$M877),ISNUMBER('자료_한국심리'!$N877)),'자료_한국심리'!$M877,"")</f>
        <v/>
      </c>
    </row>
    <row r="894">
      <c r="A894" s="10">
        <f>IF(876&gt;$E$5,"",SMALL($U$19:$U$4018,$E$6+876))</f>
        <v/>
      </c>
      <c r="B894" s="29">
        <f>IF(A894="","",INDEX('자료_한국심리'!$B$3:$B$4002,MATCH(A894,$U$19:$U$4018,0)))</f>
        <v/>
      </c>
      <c r="C894" s="22">
        <f>IF(A894="","",B894/AVERAGE(B770:B894)-1)</f>
        <v/>
      </c>
      <c r="D894" s="29">
        <f>IF(A894="","",IFERROR(INDEX('자료_한국심리'!$E$3:$E$4002,MATCH(A894,$V$19:$V$4018,0)),D893))</f>
        <v/>
      </c>
      <c r="E894" s="30">
        <f>IF(A894="","",IFERROR(INDEX('자료_한국심리'!$H$3:$H$4002,MATCH(A894,$W$19:$W$4018,0)),E893))</f>
        <v/>
      </c>
      <c r="F894" s="30">
        <f>IF(A894="","",IFERROR(INDEX('자료_한국심리'!$K$3:$K$4002,MATCH(A894,$X$19:$X$4018,0)),F893))</f>
        <v/>
      </c>
      <c r="G894" s="30">
        <f>IF(AND(ISNUMBER(E894),ISNUMBER(F894)),ROUND(E894-F894,6),"")</f>
        <v/>
      </c>
      <c r="H894" s="25">
        <f>IF(A894="","",IFERROR(INDEX('자료_한국심리'!$N$3:$N$4002,MATCH(A894,$Y$19:$Y$4018,0)),H893))</f>
        <v/>
      </c>
      <c r="I894" s="31">
        <f>IF(AND(ISNUMBER(H894),ISNUMBER(H874)),IF(H874&gt;0,H894/H874-1,""),"")</f>
        <v/>
      </c>
      <c r="J894">
        <f>IF(A894="",0,IF(A894&gt;$B$5,1,0))</f>
        <v/>
      </c>
      <c r="K894" s="29">
        <f>IF(AND(J894=1,ISNUMBER(D894)),D894,"")</f>
        <v/>
      </c>
      <c r="L894" s="30">
        <f>IF(AND(J894=1,ISNUMBER(G894)),G894,"")</f>
        <v/>
      </c>
      <c r="M894" s="22">
        <f>IF(AND(J894=1,ISNUMBER(C894)),C894,"")</f>
        <v/>
      </c>
      <c r="N894" s="31">
        <f>IF(AND(J894=1,ISNUMBER(I894)),I894,"")</f>
        <v/>
      </c>
      <c r="O894" s="11">
        <f>IF(K894="","",100-IF($G$13=1,50,(_xlfn.RANK.AVG(K894,$K$19:$K$1518,1)-1)/($G$13-1)*100))</f>
        <v/>
      </c>
      <c r="P894" s="11">
        <f>IF(L894="","",100-IF($G$14=1,50,(_xlfn.RANK.AVG(L894,$L$19:$L$1518,1)-1)/($G$14-1)*100))</f>
        <v/>
      </c>
      <c r="Q894" s="11">
        <f>IF(M894="","",IF($G$15=1,50,(_xlfn.RANK.AVG(M894,$M$19:$M$1518,1)-1)/($G$15-1)*100))</f>
        <v/>
      </c>
      <c r="R894" s="11">
        <f>IF(N894="","",IF($G$16=1,50,(_xlfn.RANK.AVG(N894,$N$19:$N$1518,1)-1)/($G$16-1)*100))</f>
        <v/>
      </c>
      <c r="S894" s="11">
        <f>IF(COUNT(O894:R894)=4,ROUND(AVERAGE(O894:R894),6),"")</f>
        <v/>
      </c>
      <c r="U894">
        <f>IF(AND(ISNUMBER('자료_한국심리'!$A878),ISNUMBER('자료_한국심리'!$B878)),'자료_한국심리'!$A878,"")</f>
        <v/>
      </c>
      <c r="V894">
        <f>IF(AND(ISNUMBER('자료_한국심리'!$D878),ISNUMBER('자료_한국심리'!$E878)),'자료_한국심리'!$D878,"")</f>
        <v/>
      </c>
      <c r="W894">
        <f>IF(AND(ISNUMBER('자료_한국심리'!$G878),ISNUMBER('자료_한국심리'!$H878)),'자료_한국심리'!$G878,"")</f>
        <v/>
      </c>
      <c r="X894">
        <f>IF(AND(ISNUMBER('자료_한국심리'!$J878),ISNUMBER('자료_한국심리'!$K878)),'자료_한국심리'!$J878,"")</f>
        <v/>
      </c>
      <c r="Y894">
        <f>IF(AND(ISNUMBER('자료_한국심리'!$M878),ISNUMBER('자료_한국심리'!$N878)),'자료_한국심리'!$M878,"")</f>
        <v/>
      </c>
    </row>
    <row r="895">
      <c r="A895" s="10">
        <f>IF(877&gt;$E$5,"",SMALL($U$19:$U$4018,$E$6+877))</f>
        <v/>
      </c>
      <c r="B895" s="29">
        <f>IF(A895="","",INDEX('자료_한국심리'!$B$3:$B$4002,MATCH(A895,$U$19:$U$4018,0)))</f>
        <v/>
      </c>
      <c r="C895" s="22">
        <f>IF(A895="","",B895/AVERAGE(B771:B895)-1)</f>
        <v/>
      </c>
      <c r="D895" s="29">
        <f>IF(A895="","",IFERROR(INDEX('자료_한국심리'!$E$3:$E$4002,MATCH(A895,$V$19:$V$4018,0)),D894))</f>
        <v/>
      </c>
      <c r="E895" s="30">
        <f>IF(A895="","",IFERROR(INDEX('자료_한국심리'!$H$3:$H$4002,MATCH(A895,$W$19:$W$4018,0)),E894))</f>
        <v/>
      </c>
      <c r="F895" s="30">
        <f>IF(A895="","",IFERROR(INDEX('자료_한국심리'!$K$3:$K$4002,MATCH(A895,$X$19:$X$4018,0)),F894))</f>
        <v/>
      </c>
      <c r="G895" s="30">
        <f>IF(AND(ISNUMBER(E895),ISNUMBER(F895)),ROUND(E895-F895,6),"")</f>
        <v/>
      </c>
      <c r="H895" s="25">
        <f>IF(A895="","",IFERROR(INDEX('자료_한국심리'!$N$3:$N$4002,MATCH(A895,$Y$19:$Y$4018,0)),H894))</f>
        <v/>
      </c>
      <c r="I895" s="31">
        <f>IF(AND(ISNUMBER(H895),ISNUMBER(H875)),IF(H875&gt;0,H895/H875-1,""),"")</f>
        <v/>
      </c>
      <c r="J895">
        <f>IF(A895="",0,IF(A895&gt;$B$5,1,0))</f>
        <v/>
      </c>
      <c r="K895" s="29">
        <f>IF(AND(J895=1,ISNUMBER(D895)),D895,"")</f>
        <v/>
      </c>
      <c r="L895" s="30">
        <f>IF(AND(J895=1,ISNUMBER(G895)),G895,"")</f>
        <v/>
      </c>
      <c r="M895" s="22">
        <f>IF(AND(J895=1,ISNUMBER(C895)),C895,"")</f>
        <v/>
      </c>
      <c r="N895" s="31">
        <f>IF(AND(J895=1,ISNUMBER(I895)),I895,"")</f>
        <v/>
      </c>
      <c r="O895" s="11">
        <f>IF(K895="","",100-IF($G$13=1,50,(_xlfn.RANK.AVG(K895,$K$19:$K$1518,1)-1)/($G$13-1)*100))</f>
        <v/>
      </c>
      <c r="P895" s="11">
        <f>IF(L895="","",100-IF($G$14=1,50,(_xlfn.RANK.AVG(L895,$L$19:$L$1518,1)-1)/($G$14-1)*100))</f>
        <v/>
      </c>
      <c r="Q895" s="11">
        <f>IF(M895="","",IF($G$15=1,50,(_xlfn.RANK.AVG(M895,$M$19:$M$1518,1)-1)/($G$15-1)*100))</f>
        <v/>
      </c>
      <c r="R895" s="11">
        <f>IF(N895="","",IF($G$16=1,50,(_xlfn.RANK.AVG(N895,$N$19:$N$1518,1)-1)/($G$16-1)*100))</f>
        <v/>
      </c>
      <c r="S895" s="11">
        <f>IF(COUNT(O895:R895)=4,ROUND(AVERAGE(O895:R895),6),"")</f>
        <v/>
      </c>
      <c r="U895">
        <f>IF(AND(ISNUMBER('자료_한국심리'!$A879),ISNUMBER('자료_한국심리'!$B879)),'자료_한국심리'!$A879,"")</f>
        <v/>
      </c>
      <c r="V895">
        <f>IF(AND(ISNUMBER('자료_한국심리'!$D879),ISNUMBER('자료_한국심리'!$E879)),'자료_한국심리'!$D879,"")</f>
        <v/>
      </c>
      <c r="W895">
        <f>IF(AND(ISNUMBER('자료_한국심리'!$G879),ISNUMBER('자료_한국심리'!$H879)),'자료_한국심리'!$G879,"")</f>
        <v/>
      </c>
      <c r="X895">
        <f>IF(AND(ISNUMBER('자료_한국심리'!$J879),ISNUMBER('자료_한국심리'!$K879)),'자료_한국심리'!$J879,"")</f>
        <v/>
      </c>
      <c r="Y895">
        <f>IF(AND(ISNUMBER('자료_한국심리'!$M879),ISNUMBER('자료_한국심리'!$N879)),'자료_한국심리'!$M879,"")</f>
        <v/>
      </c>
    </row>
    <row r="896">
      <c r="A896" s="10">
        <f>IF(878&gt;$E$5,"",SMALL($U$19:$U$4018,$E$6+878))</f>
        <v/>
      </c>
      <c r="B896" s="29">
        <f>IF(A896="","",INDEX('자료_한국심리'!$B$3:$B$4002,MATCH(A896,$U$19:$U$4018,0)))</f>
        <v/>
      </c>
      <c r="C896" s="22">
        <f>IF(A896="","",B896/AVERAGE(B772:B896)-1)</f>
        <v/>
      </c>
      <c r="D896" s="29">
        <f>IF(A896="","",IFERROR(INDEX('자료_한국심리'!$E$3:$E$4002,MATCH(A896,$V$19:$V$4018,0)),D895))</f>
        <v/>
      </c>
      <c r="E896" s="30">
        <f>IF(A896="","",IFERROR(INDEX('자료_한국심리'!$H$3:$H$4002,MATCH(A896,$W$19:$W$4018,0)),E895))</f>
        <v/>
      </c>
      <c r="F896" s="30">
        <f>IF(A896="","",IFERROR(INDEX('자료_한국심리'!$K$3:$K$4002,MATCH(A896,$X$19:$X$4018,0)),F895))</f>
        <v/>
      </c>
      <c r="G896" s="30">
        <f>IF(AND(ISNUMBER(E896),ISNUMBER(F896)),ROUND(E896-F896,6),"")</f>
        <v/>
      </c>
      <c r="H896" s="25">
        <f>IF(A896="","",IFERROR(INDEX('자료_한국심리'!$N$3:$N$4002,MATCH(A896,$Y$19:$Y$4018,0)),H895))</f>
        <v/>
      </c>
      <c r="I896" s="31">
        <f>IF(AND(ISNUMBER(H896),ISNUMBER(H876)),IF(H876&gt;0,H896/H876-1,""),"")</f>
        <v/>
      </c>
      <c r="J896">
        <f>IF(A896="",0,IF(A896&gt;$B$5,1,0))</f>
        <v/>
      </c>
      <c r="K896" s="29">
        <f>IF(AND(J896=1,ISNUMBER(D896)),D896,"")</f>
        <v/>
      </c>
      <c r="L896" s="30">
        <f>IF(AND(J896=1,ISNUMBER(G896)),G896,"")</f>
        <v/>
      </c>
      <c r="M896" s="22">
        <f>IF(AND(J896=1,ISNUMBER(C896)),C896,"")</f>
        <v/>
      </c>
      <c r="N896" s="31">
        <f>IF(AND(J896=1,ISNUMBER(I896)),I896,"")</f>
        <v/>
      </c>
      <c r="O896" s="11">
        <f>IF(K896="","",100-IF($G$13=1,50,(_xlfn.RANK.AVG(K896,$K$19:$K$1518,1)-1)/($G$13-1)*100))</f>
        <v/>
      </c>
      <c r="P896" s="11">
        <f>IF(L896="","",100-IF($G$14=1,50,(_xlfn.RANK.AVG(L896,$L$19:$L$1518,1)-1)/($G$14-1)*100))</f>
        <v/>
      </c>
      <c r="Q896" s="11">
        <f>IF(M896="","",IF($G$15=1,50,(_xlfn.RANK.AVG(M896,$M$19:$M$1518,1)-1)/($G$15-1)*100))</f>
        <v/>
      </c>
      <c r="R896" s="11">
        <f>IF(N896="","",IF($G$16=1,50,(_xlfn.RANK.AVG(N896,$N$19:$N$1518,1)-1)/($G$16-1)*100))</f>
        <v/>
      </c>
      <c r="S896" s="11">
        <f>IF(COUNT(O896:R896)=4,ROUND(AVERAGE(O896:R896),6),"")</f>
        <v/>
      </c>
      <c r="U896">
        <f>IF(AND(ISNUMBER('자료_한국심리'!$A880),ISNUMBER('자료_한국심리'!$B880)),'자료_한국심리'!$A880,"")</f>
        <v/>
      </c>
      <c r="V896">
        <f>IF(AND(ISNUMBER('자료_한국심리'!$D880),ISNUMBER('자료_한국심리'!$E880)),'자료_한국심리'!$D880,"")</f>
        <v/>
      </c>
      <c r="W896">
        <f>IF(AND(ISNUMBER('자료_한국심리'!$G880),ISNUMBER('자료_한국심리'!$H880)),'자료_한국심리'!$G880,"")</f>
        <v/>
      </c>
      <c r="X896">
        <f>IF(AND(ISNUMBER('자료_한국심리'!$J880),ISNUMBER('자료_한국심리'!$K880)),'자료_한국심리'!$J880,"")</f>
        <v/>
      </c>
      <c r="Y896">
        <f>IF(AND(ISNUMBER('자료_한국심리'!$M880),ISNUMBER('자료_한국심리'!$N880)),'자료_한국심리'!$M880,"")</f>
        <v/>
      </c>
    </row>
    <row r="897">
      <c r="A897" s="10">
        <f>IF(879&gt;$E$5,"",SMALL($U$19:$U$4018,$E$6+879))</f>
        <v/>
      </c>
      <c r="B897" s="29">
        <f>IF(A897="","",INDEX('자료_한국심리'!$B$3:$B$4002,MATCH(A897,$U$19:$U$4018,0)))</f>
        <v/>
      </c>
      <c r="C897" s="22">
        <f>IF(A897="","",B897/AVERAGE(B773:B897)-1)</f>
        <v/>
      </c>
      <c r="D897" s="29">
        <f>IF(A897="","",IFERROR(INDEX('자료_한국심리'!$E$3:$E$4002,MATCH(A897,$V$19:$V$4018,0)),D896))</f>
        <v/>
      </c>
      <c r="E897" s="30">
        <f>IF(A897="","",IFERROR(INDEX('자료_한국심리'!$H$3:$H$4002,MATCH(A897,$W$19:$W$4018,0)),E896))</f>
        <v/>
      </c>
      <c r="F897" s="30">
        <f>IF(A897="","",IFERROR(INDEX('자료_한국심리'!$K$3:$K$4002,MATCH(A897,$X$19:$X$4018,0)),F896))</f>
        <v/>
      </c>
      <c r="G897" s="30">
        <f>IF(AND(ISNUMBER(E897),ISNUMBER(F897)),ROUND(E897-F897,6),"")</f>
        <v/>
      </c>
      <c r="H897" s="25">
        <f>IF(A897="","",IFERROR(INDEX('자료_한국심리'!$N$3:$N$4002,MATCH(A897,$Y$19:$Y$4018,0)),H896))</f>
        <v/>
      </c>
      <c r="I897" s="31">
        <f>IF(AND(ISNUMBER(H897),ISNUMBER(H877)),IF(H877&gt;0,H897/H877-1,""),"")</f>
        <v/>
      </c>
      <c r="J897">
        <f>IF(A897="",0,IF(A897&gt;$B$5,1,0))</f>
        <v/>
      </c>
      <c r="K897" s="29">
        <f>IF(AND(J897=1,ISNUMBER(D897)),D897,"")</f>
        <v/>
      </c>
      <c r="L897" s="30">
        <f>IF(AND(J897=1,ISNUMBER(G897)),G897,"")</f>
        <v/>
      </c>
      <c r="M897" s="22">
        <f>IF(AND(J897=1,ISNUMBER(C897)),C897,"")</f>
        <v/>
      </c>
      <c r="N897" s="31">
        <f>IF(AND(J897=1,ISNUMBER(I897)),I897,"")</f>
        <v/>
      </c>
      <c r="O897" s="11">
        <f>IF(K897="","",100-IF($G$13=1,50,(_xlfn.RANK.AVG(K897,$K$19:$K$1518,1)-1)/($G$13-1)*100))</f>
        <v/>
      </c>
      <c r="P897" s="11">
        <f>IF(L897="","",100-IF($G$14=1,50,(_xlfn.RANK.AVG(L897,$L$19:$L$1518,1)-1)/($G$14-1)*100))</f>
        <v/>
      </c>
      <c r="Q897" s="11">
        <f>IF(M897="","",IF($G$15=1,50,(_xlfn.RANK.AVG(M897,$M$19:$M$1518,1)-1)/($G$15-1)*100))</f>
        <v/>
      </c>
      <c r="R897" s="11">
        <f>IF(N897="","",IF($G$16=1,50,(_xlfn.RANK.AVG(N897,$N$19:$N$1518,1)-1)/($G$16-1)*100))</f>
        <v/>
      </c>
      <c r="S897" s="11">
        <f>IF(COUNT(O897:R897)=4,ROUND(AVERAGE(O897:R897),6),"")</f>
        <v/>
      </c>
      <c r="U897">
        <f>IF(AND(ISNUMBER('자료_한국심리'!$A881),ISNUMBER('자료_한국심리'!$B881)),'자료_한국심리'!$A881,"")</f>
        <v/>
      </c>
      <c r="V897">
        <f>IF(AND(ISNUMBER('자료_한국심리'!$D881),ISNUMBER('자료_한국심리'!$E881)),'자료_한국심리'!$D881,"")</f>
        <v/>
      </c>
      <c r="W897">
        <f>IF(AND(ISNUMBER('자료_한국심리'!$G881),ISNUMBER('자료_한국심리'!$H881)),'자료_한국심리'!$G881,"")</f>
        <v/>
      </c>
      <c r="X897">
        <f>IF(AND(ISNUMBER('자료_한국심리'!$J881),ISNUMBER('자료_한국심리'!$K881)),'자료_한국심리'!$J881,"")</f>
        <v/>
      </c>
      <c r="Y897">
        <f>IF(AND(ISNUMBER('자료_한국심리'!$M881),ISNUMBER('자료_한국심리'!$N881)),'자료_한국심리'!$M881,"")</f>
        <v/>
      </c>
    </row>
    <row r="898">
      <c r="A898" s="10">
        <f>IF(880&gt;$E$5,"",SMALL($U$19:$U$4018,$E$6+880))</f>
        <v/>
      </c>
      <c r="B898" s="29">
        <f>IF(A898="","",INDEX('자료_한국심리'!$B$3:$B$4002,MATCH(A898,$U$19:$U$4018,0)))</f>
        <v/>
      </c>
      <c r="C898" s="22">
        <f>IF(A898="","",B898/AVERAGE(B774:B898)-1)</f>
        <v/>
      </c>
      <c r="D898" s="29">
        <f>IF(A898="","",IFERROR(INDEX('자료_한국심리'!$E$3:$E$4002,MATCH(A898,$V$19:$V$4018,0)),D897))</f>
        <v/>
      </c>
      <c r="E898" s="30">
        <f>IF(A898="","",IFERROR(INDEX('자료_한국심리'!$H$3:$H$4002,MATCH(A898,$W$19:$W$4018,0)),E897))</f>
        <v/>
      </c>
      <c r="F898" s="30">
        <f>IF(A898="","",IFERROR(INDEX('자료_한국심리'!$K$3:$K$4002,MATCH(A898,$X$19:$X$4018,0)),F897))</f>
        <v/>
      </c>
      <c r="G898" s="30">
        <f>IF(AND(ISNUMBER(E898),ISNUMBER(F898)),ROUND(E898-F898,6),"")</f>
        <v/>
      </c>
      <c r="H898" s="25">
        <f>IF(A898="","",IFERROR(INDEX('자료_한국심리'!$N$3:$N$4002,MATCH(A898,$Y$19:$Y$4018,0)),H897))</f>
        <v/>
      </c>
      <c r="I898" s="31">
        <f>IF(AND(ISNUMBER(H898),ISNUMBER(H878)),IF(H878&gt;0,H898/H878-1,""),"")</f>
        <v/>
      </c>
      <c r="J898">
        <f>IF(A898="",0,IF(A898&gt;$B$5,1,0))</f>
        <v/>
      </c>
      <c r="K898" s="29">
        <f>IF(AND(J898=1,ISNUMBER(D898)),D898,"")</f>
        <v/>
      </c>
      <c r="L898" s="30">
        <f>IF(AND(J898=1,ISNUMBER(G898)),G898,"")</f>
        <v/>
      </c>
      <c r="M898" s="22">
        <f>IF(AND(J898=1,ISNUMBER(C898)),C898,"")</f>
        <v/>
      </c>
      <c r="N898" s="31">
        <f>IF(AND(J898=1,ISNUMBER(I898)),I898,"")</f>
        <v/>
      </c>
      <c r="O898" s="11">
        <f>IF(K898="","",100-IF($G$13=1,50,(_xlfn.RANK.AVG(K898,$K$19:$K$1518,1)-1)/($G$13-1)*100))</f>
        <v/>
      </c>
      <c r="P898" s="11">
        <f>IF(L898="","",100-IF($G$14=1,50,(_xlfn.RANK.AVG(L898,$L$19:$L$1518,1)-1)/($G$14-1)*100))</f>
        <v/>
      </c>
      <c r="Q898" s="11">
        <f>IF(M898="","",IF($G$15=1,50,(_xlfn.RANK.AVG(M898,$M$19:$M$1518,1)-1)/($G$15-1)*100))</f>
        <v/>
      </c>
      <c r="R898" s="11">
        <f>IF(N898="","",IF($G$16=1,50,(_xlfn.RANK.AVG(N898,$N$19:$N$1518,1)-1)/($G$16-1)*100))</f>
        <v/>
      </c>
      <c r="S898" s="11">
        <f>IF(COUNT(O898:R898)=4,ROUND(AVERAGE(O898:R898),6),"")</f>
        <v/>
      </c>
      <c r="U898">
        <f>IF(AND(ISNUMBER('자료_한국심리'!$A882),ISNUMBER('자료_한국심리'!$B882)),'자료_한국심리'!$A882,"")</f>
        <v/>
      </c>
      <c r="V898">
        <f>IF(AND(ISNUMBER('자료_한국심리'!$D882),ISNUMBER('자료_한국심리'!$E882)),'자료_한국심리'!$D882,"")</f>
        <v/>
      </c>
      <c r="W898">
        <f>IF(AND(ISNUMBER('자료_한국심리'!$G882),ISNUMBER('자료_한국심리'!$H882)),'자료_한국심리'!$G882,"")</f>
        <v/>
      </c>
      <c r="X898">
        <f>IF(AND(ISNUMBER('자료_한국심리'!$J882),ISNUMBER('자료_한국심리'!$K882)),'자료_한국심리'!$J882,"")</f>
        <v/>
      </c>
      <c r="Y898">
        <f>IF(AND(ISNUMBER('자료_한국심리'!$M882),ISNUMBER('자료_한국심리'!$N882)),'자료_한국심리'!$M882,"")</f>
        <v/>
      </c>
    </row>
    <row r="899">
      <c r="A899" s="10">
        <f>IF(881&gt;$E$5,"",SMALL($U$19:$U$4018,$E$6+881))</f>
        <v/>
      </c>
      <c r="B899" s="29">
        <f>IF(A899="","",INDEX('자료_한국심리'!$B$3:$B$4002,MATCH(A899,$U$19:$U$4018,0)))</f>
        <v/>
      </c>
      <c r="C899" s="22">
        <f>IF(A899="","",B899/AVERAGE(B775:B899)-1)</f>
        <v/>
      </c>
      <c r="D899" s="29">
        <f>IF(A899="","",IFERROR(INDEX('자료_한국심리'!$E$3:$E$4002,MATCH(A899,$V$19:$V$4018,0)),D898))</f>
        <v/>
      </c>
      <c r="E899" s="30">
        <f>IF(A899="","",IFERROR(INDEX('자료_한국심리'!$H$3:$H$4002,MATCH(A899,$W$19:$W$4018,0)),E898))</f>
        <v/>
      </c>
      <c r="F899" s="30">
        <f>IF(A899="","",IFERROR(INDEX('자료_한국심리'!$K$3:$K$4002,MATCH(A899,$X$19:$X$4018,0)),F898))</f>
        <v/>
      </c>
      <c r="G899" s="30">
        <f>IF(AND(ISNUMBER(E899),ISNUMBER(F899)),ROUND(E899-F899,6),"")</f>
        <v/>
      </c>
      <c r="H899" s="25">
        <f>IF(A899="","",IFERROR(INDEX('자료_한국심리'!$N$3:$N$4002,MATCH(A899,$Y$19:$Y$4018,0)),H898))</f>
        <v/>
      </c>
      <c r="I899" s="31">
        <f>IF(AND(ISNUMBER(H899),ISNUMBER(H879)),IF(H879&gt;0,H899/H879-1,""),"")</f>
        <v/>
      </c>
      <c r="J899">
        <f>IF(A899="",0,IF(A899&gt;$B$5,1,0))</f>
        <v/>
      </c>
      <c r="K899" s="29">
        <f>IF(AND(J899=1,ISNUMBER(D899)),D899,"")</f>
        <v/>
      </c>
      <c r="L899" s="30">
        <f>IF(AND(J899=1,ISNUMBER(G899)),G899,"")</f>
        <v/>
      </c>
      <c r="M899" s="22">
        <f>IF(AND(J899=1,ISNUMBER(C899)),C899,"")</f>
        <v/>
      </c>
      <c r="N899" s="31">
        <f>IF(AND(J899=1,ISNUMBER(I899)),I899,"")</f>
        <v/>
      </c>
      <c r="O899" s="11">
        <f>IF(K899="","",100-IF($G$13=1,50,(_xlfn.RANK.AVG(K899,$K$19:$K$1518,1)-1)/($G$13-1)*100))</f>
        <v/>
      </c>
      <c r="P899" s="11">
        <f>IF(L899="","",100-IF($G$14=1,50,(_xlfn.RANK.AVG(L899,$L$19:$L$1518,1)-1)/($G$14-1)*100))</f>
        <v/>
      </c>
      <c r="Q899" s="11">
        <f>IF(M899="","",IF($G$15=1,50,(_xlfn.RANK.AVG(M899,$M$19:$M$1518,1)-1)/($G$15-1)*100))</f>
        <v/>
      </c>
      <c r="R899" s="11">
        <f>IF(N899="","",IF($G$16=1,50,(_xlfn.RANK.AVG(N899,$N$19:$N$1518,1)-1)/($G$16-1)*100))</f>
        <v/>
      </c>
      <c r="S899" s="11">
        <f>IF(COUNT(O899:R899)=4,ROUND(AVERAGE(O899:R899),6),"")</f>
        <v/>
      </c>
      <c r="U899">
        <f>IF(AND(ISNUMBER('자료_한국심리'!$A883),ISNUMBER('자료_한국심리'!$B883)),'자료_한국심리'!$A883,"")</f>
        <v/>
      </c>
      <c r="V899">
        <f>IF(AND(ISNUMBER('자료_한국심리'!$D883),ISNUMBER('자료_한국심리'!$E883)),'자료_한국심리'!$D883,"")</f>
        <v/>
      </c>
      <c r="W899">
        <f>IF(AND(ISNUMBER('자료_한국심리'!$G883),ISNUMBER('자료_한국심리'!$H883)),'자료_한국심리'!$G883,"")</f>
        <v/>
      </c>
      <c r="X899">
        <f>IF(AND(ISNUMBER('자료_한국심리'!$J883),ISNUMBER('자료_한국심리'!$K883)),'자료_한국심리'!$J883,"")</f>
        <v/>
      </c>
      <c r="Y899">
        <f>IF(AND(ISNUMBER('자료_한국심리'!$M883),ISNUMBER('자료_한국심리'!$N883)),'자료_한국심리'!$M883,"")</f>
        <v/>
      </c>
    </row>
    <row r="900">
      <c r="A900" s="10">
        <f>IF(882&gt;$E$5,"",SMALL($U$19:$U$4018,$E$6+882))</f>
        <v/>
      </c>
      <c r="B900" s="29">
        <f>IF(A900="","",INDEX('자료_한국심리'!$B$3:$B$4002,MATCH(A900,$U$19:$U$4018,0)))</f>
        <v/>
      </c>
      <c r="C900" s="22">
        <f>IF(A900="","",B900/AVERAGE(B776:B900)-1)</f>
        <v/>
      </c>
      <c r="D900" s="29">
        <f>IF(A900="","",IFERROR(INDEX('자료_한국심리'!$E$3:$E$4002,MATCH(A900,$V$19:$V$4018,0)),D899))</f>
        <v/>
      </c>
      <c r="E900" s="30">
        <f>IF(A900="","",IFERROR(INDEX('자료_한국심리'!$H$3:$H$4002,MATCH(A900,$W$19:$W$4018,0)),E899))</f>
        <v/>
      </c>
      <c r="F900" s="30">
        <f>IF(A900="","",IFERROR(INDEX('자료_한국심리'!$K$3:$K$4002,MATCH(A900,$X$19:$X$4018,0)),F899))</f>
        <v/>
      </c>
      <c r="G900" s="30">
        <f>IF(AND(ISNUMBER(E900),ISNUMBER(F900)),ROUND(E900-F900,6),"")</f>
        <v/>
      </c>
      <c r="H900" s="25">
        <f>IF(A900="","",IFERROR(INDEX('자료_한국심리'!$N$3:$N$4002,MATCH(A900,$Y$19:$Y$4018,0)),H899))</f>
        <v/>
      </c>
      <c r="I900" s="31">
        <f>IF(AND(ISNUMBER(H900),ISNUMBER(H880)),IF(H880&gt;0,H900/H880-1,""),"")</f>
        <v/>
      </c>
      <c r="J900">
        <f>IF(A900="",0,IF(A900&gt;$B$5,1,0))</f>
        <v/>
      </c>
      <c r="K900" s="29">
        <f>IF(AND(J900=1,ISNUMBER(D900)),D900,"")</f>
        <v/>
      </c>
      <c r="L900" s="30">
        <f>IF(AND(J900=1,ISNUMBER(G900)),G900,"")</f>
        <v/>
      </c>
      <c r="M900" s="22">
        <f>IF(AND(J900=1,ISNUMBER(C900)),C900,"")</f>
        <v/>
      </c>
      <c r="N900" s="31">
        <f>IF(AND(J900=1,ISNUMBER(I900)),I900,"")</f>
        <v/>
      </c>
      <c r="O900" s="11">
        <f>IF(K900="","",100-IF($G$13=1,50,(_xlfn.RANK.AVG(K900,$K$19:$K$1518,1)-1)/($G$13-1)*100))</f>
        <v/>
      </c>
      <c r="P900" s="11">
        <f>IF(L900="","",100-IF($G$14=1,50,(_xlfn.RANK.AVG(L900,$L$19:$L$1518,1)-1)/($G$14-1)*100))</f>
        <v/>
      </c>
      <c r="Q900" s="11">
        <f>IF(M900="","",IF($G$15=1,50,(_xlfn.RANK.AVG(M900,$M$19:$M$1518,1)-1)/($G$15-1)*100))</f>
        <v/>
      </c>
      <c r="R900" s="11">
        <f>IF(N900="","",IF($G$16=1,50,(_xlfn.RANK.AVG(N900,$N$19:$N$1518,1)-1)/($G$16-1)*100))</f>
        <v/>
      </c>
      <c r="S900" s="11">
        <f>IF(COUNT(O900:R900)=4,ROUND(AVERAGE(O900:R900),6),"")</f>
        <v/>
      </c>
      <c r="U900">
        <f>IF(AND(ISNUMBER('자료_한국심리'!$A884),ISNUMBER('자료_한국심리'!$B884)),'자료_한국심리'!$A884,"")</f>
        <v/>
      </c>
      <c r="V900">
        <f>IF(AND(ISNUMBER('자료_한국심리'!$D884),ISNUMBER('자료_한국심리'!$E884)),'자료_한국심리'!$D884,"")</f>
        <v/>
      </c>
      <c r="W900">
        <f>IF(AND(ISNUMBER('자료_한국심리'!$G884),ISNUMBER('자료_한국심리'!$H884)),'자료_한국심리'!$G884,"")</f>
        <v/>
      </c>
      <c r="X900">
        <f>IF(AND(ISNUMBER('자료_한국심리'!$J884),ISNUMBER('자료_한국심리'!$K884)),'자료_한국심리'!$J884,"")</f>
        <v/>
      </c>
      <c r="Y900">
        <f>IF(AND(ISNUMBER('자료_한국심리'!$M884),ISNUMBER('자료_한국심리'!$N884)),'자료_한국심리'!$M884,"")</f>
        <v/>
      </c>
    </row>
    <row r="901">
      <c r="A901" s="10">
        <f>IF(883&gt;$E$5,"",SMALL($U$19:$U$4018,$E$6+883))</f>
        <v/>
      </c>
      <c r="B901" s="29">
        <f>IF(A901="","",INDEX('자료_한국심리'!$B$3:$B$4002,MATCH(A901,$U$19:$U$4018,0)))</f>
        <v/>
      </c>
      <c r="C901" s="22">
        <f>IF(A901="","",B901/AVERAGE(B777:B901)-1)</f>
        <v/>
      </c>
      <c r="D901" s="29">
        <f>IF(A901="","",IFERROR(INDEX('자료_한국심리'!$E$3:$E$4002,MATCH(A901,$V$19:$V$4018,0)),D900))</f>
        <v/>
      </c>
      <c r="E901" s="30">
        <f>IF(A901="","",IFERROR(INDEX('자료_한국심리'!$H$3:$H$4002,MATCH(A901,$W$19:$W$4018,0)),E900))</f>
        <v/>
      </c>
      <c r="F901" s="30">
        <f>IF(A901="","",IFERROR(INDEX('자료_한국심리'!$K$3:$K$4002,MATCH(A901,$X$19:$X$4018,0)),F900))</f>
        <v/>
      </c>
      <c r="G901" s="30">
        <f>IF(AND(ISNUMBER(E901),ISNUMBER(F901)),ROUND(E901-F901,6),"")</f>
        <v/>
      </c>
      <c r="H901" s="25">
        <f>IF(A901="","",IFERROR(INDEX('자료_한국심리'!$N$3:$N$4002,MATCH(A901,$Y$19:$Y$4018,0)),H900))</f>
        <v/>
      </c>
      <c r="I901" s="31">
        <f>IF(AND(ISNUMBER(H901),ISNUMBER(H881)),IF(H881&gt;0,H901/H881-1,""),"")</f>
        <v/>
      </c>
      <c r="J901">
        <f>IF(A901="",0,IF(A901&gt;$B$5,1,0))</f>
        <v/>
      </c>
      <c r="K901" s="29">
        <f>IF(AND(J901=1,ISNUMBER(D901)),D901,"")</f>
        <v/>
      </c>
      <c r="L901" s="30">
        <f>IF(AND(J901=1,ISNUMBER(G901)),G901,"")</f>
        <v/>
      </c>
      <c r="M901" s="22">
        <f>IF(AND(J901=1,ISNUMBER(C901)),C901,"")</f>
        <v/>
      </c>
      <c r="N901" s="31">
        <f>IF(AND(J901=1,ISNUMBER(I901)),I901,"")</f>
        <v/>
      </c>
      <c r="O901" s="11">
        <f>IF(K901="","",100-IF($G$13=1,50,(_xlfn.RANK.AVG(K901,$K$19:$K$1518,1)-1)/($G$13-1)*100))</f>
        <v/>
      </c>
      <c r="P901" s="11">
        <f>IF(L901="","",100-IF($G$14=1,50,(_xlfn.RANK.AVG(L901,$L$19:$L$1518,1)-1)/($G$14-1)*100))</f>
        <v/>
      </c>
      <c r="Q901" s="11">
        <f>IF(M901="","",IF($G$15=1,50,(_xlfn.RANK.AVG(M901,$M$19:$M$1518,1)-1)/($G$15-1)*100))</f>
        <v/>
      </c>
      <c r="R901" s="11">
        <f>IF(N901="","",IF($G$16=1,50,(_xlfn.RANK.AVG(N901,$N$19:$N$1518,1)-1)/($G$16-1)*100))</f>
        <v/>
      </c>
      <c r="S901" s="11">
        <f>IF(COUNT(O901:R901)=4,ROUND(AVERAGE(O901:R901),6),"")</f>
        <v/>
      </c>
      <c r="U901">
        <f>IF(AND(ISNUMBER('자료_한국심리'!$A885),ISNUMBER('자료_한국심리'!$B885)),'자료_한국심리'!$A885,"")</f>
        <v/>
      </c>
      <c r="V901">
        <f>IF(AND(ISNUMBER('자료_한국심리'!$D885),ISNUMBER('자료_한국심리'!$E885)),'자료_한국심리'!$D885,"")</f>
        <v/>
      </c>
      <c r="W901">
        <f>IF(AND(ISNUMBER('자료_한국심리'!$G885),ISNUMBER('자료_한국심리'!$H885)),'자료_한국심리'!$G885,"")</f>
        <v/>
      </c>
      <c r="X901">
        <f>IF(AND(ISNUMBER('자료_한국심리'!$J885),ISNUMBER('자료_한국심리'!$K885)),'자료_한국심리'!$J885,"")</f>
        <v/>
      </c>
      <c r="Y901">
        <f>IF(AND(ISNUMBER('자료_한국심리'!$M885),ISNUMBER('자료_한국심리'!$N885)),'자료_한국심리'!$M885,"")</f>
        <v/>
      </c>
    </row>
    <row r="902">
      <c r="A902" s="10">
        <f>IF(884&gt;$E$5,"",SMALL($U$19:$U$4018,$E$6+884))</f>
        <v/>
      </c>
      <c r="B902" s="29">
        <f>IF(A902="","",INDEX('자료_한국심리'!$B$3:$B$4002,MATCH(A902,$U$19:$U$4018,0)))</f>
        <v/>
      </c>
      <c r="C902" s="22">
        <f>IF(A902="","",B902/AVERAGE(B778:B902)-1)</f>
        <v/>
      </c>
      <c r="D902" s="29">
        <f>IF(A902="","",IFERROR(INDEX('자료_한국심리'!$E$3:$E$4002,MATCH(A902,$V$19:$V$4018,0)),D901))</f>
        <v/>
      </c>
      <c r="E902" s="30">
        <f>IF(A902="","",IFERROR(INDEX('자료_한국심리'!$H$3:$H$4002,MATCH(A902,$W$19:$W$4018,0)),E901))</f>
        <v/>
      </c>
      <c r="F902" s="30">
        <f>IF(A902="","",IFERROR(INDEX('자료_한국심리'!$K$3:$K$4002,MATCH(A902,$X$19:$X$4018,0)),F901))</f>
        <v/>
      </c>
      <c r="G902" s="30">
        <f>IF(AND(ISNUMBER(E902),ISNUMBER(F902)),ROUND(E902-F902,6),"")</f>
        <v/>
      </c>
      <c r="H902" s="25">
        <f>IF(A902="","",IFERROR(INDEX('자료_한국심리'!$N$3:$N$4002,MATCH(A902,$Y$19:$Y$4018,0)),H901))</f>
        <v/>
      </c>
      <c r="I902" s="31">
        <f>IF(AND(ISNUMBER(H902),ISNUMBER(H882)),IF(H882&gt;0,H902/H882-1,""),"")</f>
        <v/>
      </c>
      <c r="J902">
        <f>IF(A902="",0,IF(A902&gt;$B$5,1,0))</f>
        <v/>
      </c>
      <c r="K902" s="29">
        <f>IF(AND(J902=1,ISNUMBER(D902)),D902,"")</f>
        <v/>
      </c>
      <c r="L902" s="30">
        <f>IF(AND(J902=1,ISNUMBER(G902)),G902,"")</f>
        <v/>
      </c>
      <c r="M902" s="22">
        <f>IF(AND(J902=1,ISNUMBER(C902)),C902,"")</f>
        <v/>
      </c>
      <c r="N902" s="31">
        <f>IF(AND(J902=1,ISNUMBER(I902)),I902,"")</f>
        <v/>
      </c>
      <c r="O902" s="11">
        <f>IF(K902="","",100-IF($G$13=1,50,(_xlfn.RANK.AVG(K902,$K$19:$K$1518,1)-1)/($G$13-1)*100))</f>
        <v/>
      </c>
      <c r="P902" s="11">
        <f>IF(L902="","",100-IF($G$14=1,50,(_xlfn.RANK.AVG(L902,$L$19:$L$1518,1)-1)/($G$14-1)*100))</f>
        <v/>
      </c>
      <c r="Q902" s="11">
        <f>IF(M902="","",IF($G$15=1,50,(_xlfn.RANK.AVG(M902,$M$19:$M$1518,1)-1)/($G$15-1)*100))</f>
        <v/>
      </c>
      <c r="R902" s="11">
        <f>IF(N902="","",IF($G$16=1,50,(_xlfn.RANK.AVG(N902,$N$19:$N$1518,1)-1)/($G$16-1)*100))</f>
        <v/>
      </c>
      <c r="S902" s="11">
        <f>IF(COUNT(O902:R902)=4,ROUND(AVERAGE(O902:R902),6),"")</f>
        <v/>
      </c>
      <c r="U902">
        <f>IF(AND(ISNUMBER('자료_한국심리'!$A886),ISNUMBER('자료_한국심리'!$B886)),'자료_한국심리'!$A886,"")</f>
        <v/>
      </c>
      <c r="V902">
        <f>IF(AND(ISNUMBER('자료_한국심리'!$D886),ISNUMBER('자료_한국심리'!$E886)),'자료_한국심리'!$D886,"")</f>
        <v/>
      </c>
      <c r="W902">
        <f>IF(AND(ISNUMBER('자료_한국심리'!$G886),ISNUMBER('자료_한국심리'!$H886)),'자료_한국심리'!$G886,"")</f>
        <v/>
      </c>
      <c r="X902">
        <f>IF(AND(ISNUMBER('자료_한국심리'!$J886),ISNUMBER('자료_한국심리'!$K886)),'자료_한국심리'!$J886,"")</f>
        <v/>
      </c>
      <c r="Y902">
        <f>IF(AND(ISNUMBER('자료_한국심리'!$M886),ISNUMBER('자료_한국심리'!$N886)),'자료_한국심리'!$M886,"")</f>
        <v/>
      </c>
    </row>
    <row r="903">
      <c r="A903" s="10">
        <f>IF(885&gt;$E$5,"",SMALL($U$19:$U$4018,$E$6+885))</f>
        <v/>
      </c>
      <c r="B903" s="29">
        <f>IF(A903="","",INDEX('자료_한국심리'!$B$3:$B$4002,MATCH(A903,$U$19:$U$4018,0)))</f>
        <v/>
      </c>
      <c r="C903" s="22">
        <f>IF(A903="","",B903/AVERAGE(B779:B903)-1)</f>
        <v/>
      </c>
      <c r="D903" s="29">
        <f>IF(A903="","",IFERROR(INDEX('자료_한국심리'!$E$3:$E$4002,MATCH(A903,$V$19:$V$4018,0)),D902))</f>
        <v/>
      </c>
      <c r="E903" s="30">
        <f>IF(A903="","",IFERROR(INDEX('자료_한국심리'!$H$3:$H$4002,MATCH(A903,$W$19:$W$4018,0)),E902))</f>
        <v/>
      </c>
      <c r="F903" s="30">
        <f>IF(A903="","",IFERROR(INDEX('자료_한국심리'!$K$3:$K$4002,MATCH(A903,$X$19:$X$4018,0)),F902))</f>
        <v/>
      </c>
      <c r="G903" s="30">
        <f>IF(AND(ISNUMBER(E903),ISNUMBER(F903)),ROUND(E903-F903,6),"")</f>
        <v/>
      </c>
      <c r="H903" s="25">
        <f>IF(A903="","",IFERROR(INDEX('자료_한국심리'!$N$3:$N$4002,MATCH(A903,$Y$19:$Y$4018,0)),H902))</f>
        <v/>
      </c>
      <c r="I903" s="31">
        <f>IF(AND(ISNUMBER(H903),ISNUMBER(H883)),IF(H883&gt;0,H903/H883-1,""),"")</f>
        <v/>
      </c>
      <c r="J903">
        <f>IF(A903="",0,IF(A903&gt;$B$5,1,0))</f>
        <v/>
      </c>
      <c r="K903" s="29">
        <f>IF(AND(J903=1,ISNUMBER(D903)),D903,"")</f>
        <v/>
      </c>
      <c r="L903" s="30">
        <f>IF(AND(J903=1,ISNUMBER(G903)),G903,"")</f>
        <v/>
      </c>
      <c r="M903" s="22">
        <f>IF(AND(J903=1,ISNUMBER(C903)),C903,"")</f>
        <v/>
      </c>
      <c r="N903" s="31">
        <f>IF(AND(J903=1,ISNUMBER(I903)),I903,"")</f>
        <v/>
      </c>
      <c r="O903" s="11">
        <f>IF(K903="","",100-IF($G$13=1,50,(_xlfn.RANK.AVG(K903,$K$19:$K$1518,1)-1)/($G$13-1)*100))</f>
        <v/>
      </c>
      <c r="P903" s="11">
        <f>IF(L903="","",100-IF($G$14=1,50,(_xlfn.RANK.AVG(L903,$L$19:$L$1518,1)-1)/($G$14-1)*100))</f>
        <v/>
      </c>
      <c r="Q903" s="11">
        <f>IF(M903="","",IF($G$15=1,50,(_xlfn.RANK.AVG(M903,$M$19:$M$1518,1)-1)/($G$15-1)*100))</f>
        <v/>
      </c>
      <c r="R903" s="11">
        <f>IF(N903="","",IF($G$16=1,50,(_xlfn.RANK.AVG(N903,$N$19:$N$1518,1)-1)/($G$16-1)*100))</f>
        <v/>
      </c>
      <c r="S903" s="11">
        <f>IF(COUNT(O903:R903)=4,ROUND(AVERAGE(O903:R903),6),"")</f>
        <v/>
      </c>
      <c r="U903">
        <f>IF(AND(ISNUMBER('자료_한국심리'!$A887),ISNUMBER('자료_한국심리'!$B887)),'자료_한국심리'!$A887,"")</f>
        <v/>
      </c>
      <c r="V903">
        <f>IF(AND(ISNUMBER('자료_한국심리'!$D887),ISNUMBER('자료_한국심리'!$E887)),'자료_한국심리'!$D887,"")</f>
        <v/>
      </c>
      <c r="W903">
        <f>IF(AND(ISNUMBER('자료_한국심리'!$G887),ISNUMBER('자료_한국심리'!$H887)),'자료_한국심리'!$G887,"")</f>
        <v/>
      </c>
      <c r="X903">
        <f>IF(AND(ISNUMBER('자료_한국심리'!$J887),ISNUMBER('자료_한국심리'!$K887)),'자료_한국심리'!$J887,"")</f>
        <v/>
      </c>
      <c r="Y903">
        <f>IF(AND(ISNUMBER('자료_한국심리'!$M887),ISNUMBER('자료_한국심리'!$N887)),'자료_한국심리'!$M887,"")</f>
        <v/>
      </c>
    </row>
    <row r="904">
      <c r="A904" s="10">
        <f>IF(886&gt;$E$5,"",SMALL($U$19:$U$4018,$E$6+886))</f>
        <v/>
      </c>
      <c r="B904" s="29">
        <f>IF(A904="","",INDEX('자료_한국심리'!$B$3:$B$4002,MATCH(A904,$U$19:$U$4018,0)))</f>
        <v/>
      </c>
      <c r="C904" s="22">
        <f>IF(A904="","",B904/AVERAGE(B780:B904)-1)</f>
        <v/>
      </c>
      <c r="D904" s="29">
        <f>IF(A904="","",IFERROR(INDEX('자료_한국심리'!$E$3:$E$4002,MATCH(A904,$V$19:$V$4018,0)),D903))</f>
        <v/>
      </c>
      <c r="E904" s="30">
        <f>IF(A904="","",IFERROR(INDEX('자료_한국심리'!$H$3:$H$4002,MATCH(A904,$W$19:$W$4018,0)),E903))</f>
        <v/>
      </c>
      <c r="F904" s="30">
        <f>IF(A904="","",IFERROR(INDEX('자료_한국심리'!$K$3:$K$4002,MATCH(A904,$X$19:$X$4018,0)),F903))</f>
        <v/>
      </c>
      <c r="G904" s="30">
        <f>IF(AND(ISNUMBER(E904),ISNUMBER(F904)),ROUND(E904-F904,6),"")</f>
        <v/>
      </c>
      <c r="H904" s="25">
        <f>IF(A904="","",IFERROR(INDEX('자료_한국심리'!$N$3:$N$4002,MATCH(A904,$Y$19:$Y$4018,0)),H903))</f>
        <v/>
      </c>
      <c r="I904" s="31">
        <f>IF(AND(ISNUMBER(H904),ISNUMBER(H884)),IF(H884&gt;0,H904/H884-1,""),"")</f>
        <v/>
      </c>
      <c r="J904">
        <f>IF(A904="",0,IF(A904&gt;$B$5,1,0))</f>
        <v/>
      </c>
      <c r="K904" s="29">
        <f>IF(AND(J904=1,ISNUMBER(D904)),D904,"")</f>
        <v/>
      </c>
      <c r="L904" s="30">
        <f>IF(AND(J904=1,ISNUMBER(G904)),G904,"")</f>
        <v/>
      </c>
      <c r="M904" s="22">
        <f>IF(AND(J904=1,ISNUMBER(C904)),C904,"")</f>
        <v/>
      </c>
      <c r="N904" s="31">
        <f>IF(AND(J904=1,ISNUMBER(I904)),I904,"")</f>
        <v/>
      </c>
      <c r="O904" s="11">
        <f>IF(K904="","",100-IF($G$13=1,50,(_xlfn.RANK.AVG(K904,$K$19:$K$1518,1)-1)/($G$13-1)*100))</f>
        <v/>
      </c>
      <c r="P904" s="11">
        <f>IF(L904="","",100-IF($G$14=1,50,(_xlfn.RANK.AVG(L904,$L$19:$L$1518,1)-1)/($G$14-1)*100))</f>
        <v/>
      </c>
      <c r="Q904" s="11">
        <f>IF(M904="","",IF($G$15=1,50,(_xlfn.RANK.AVG(M904,$M$19:$M$1518,1)-1)/($G$15-1)*100))</f>
        <v/>
      </c>
      <c r="R904" s="11">
        <f>IF(N904="","",IF($G$16=1,50,(_xlfn.RANK.AVG(N904,$N$19:$N$1518,1)-1)/($G$16-1)*100))</f>
        <v/>
      </c>
      <c r="S904" s="11">
        <f>IF(COUNT(O904:R904)=4,ROUND(AVERAGE(O904:R904),6),"")</f>
        <v/>
      </c>
      <c r="U904">
        <f>IF(AND(ISNUMBER('자료_한국심리'!$A888),ISNUMBER('자료_한국심리'!$B888)),'자료_한국심리'!$A888,"")</f>
        <v/>
      </c>
      <c r="V904">
        <f>IF(AND(ISNUMBER('자료_한국심리'!$D888),ISNUMBER('자료_한국심리'!$E888)),'자료_한국심리'!$D888,"")</f>
        <v/>
      </c>
      <c r="W904">
        <f>IF(AND(ISNUMBER('자료_한국심리'!$G888),ISNUMBER('자료_한국심리'!$H888)),'자료_한국심리'!$G888,"")</f>
        <v/>
      </c>
      <c r="X904">
        <f>IF(AND(ISNUMBER('자료_한국심리'!$J888),ISNUMBER('자료_한국심리'!$K888)),'자료_한국심리'!$J888,"")</f>
        <v/>
      </c>
      <c r="Y904">
        <f>IF(AND(ISNUMBER('자료_한국심리'!$M888),ISNUMBER('자료_한국심리'!$N888)),'자료_한국심리'!$M888,"")</f>
        <v/>
      </c>
    </row>
    <row r="905">
      <c r="A905" s="10">
        <f>IF(887&gt;$E$5,"",SMALL($U$19:$U$4018,$E$6+887))</f>
        <v/>
      </c>
      <c r="B905" s="29">
        <f>IF(A905="","",INDEX('자료_한국심리'!$B$3:$B$4002,MATCH(A905,$U$19:$U$4018,0)))</f>
        <v/>
      </c>
      <c r="C905" s="22">
        <f>IF(A905="","",B905/AVERAGE(B781:B905)-1)</f>
        <v/>
      </c>
      <c r="D905" s="29">
        <f>IF(A905="","",IFERROR(INDEX('자료_한국심리'!$E$3:$E$4002,MATCH(A905,$V$19:$V$4018,0)),D904))</f>
        <v/>
      </c>
      <c r="E905" s="30">
        <f>IF(A905="","",IFERROR(INDEX('자료_한국심리'!$H$3:$H$4002,MATCH(A905,$W$19:$W$4018,0)),E904))</f>
        <v/>
      </c>
      <c r="F905" s="30">
        <f>IF(A905="","",IFERROR(INDEX('자료_한국심리'!$K$3:$K$4002,MATCH(A905,$X$19:$X$4018,0)),F904))</f>
        <v/>
      </c>
      <c r="G905" s="30">
        <f>IF(AND(ISNUMBER(E905),ISNUMBER(F905)),ROUND(E905-F905,6),"")</f>
        <v/>
      </c>
      <c r="H905" s="25">
        <f>IF(A905="","",IFERROR(INDEX('자료_한국심리'!$N$3:$N$4002,MATCH(A905,$Y$19:$Y$4018,0)),H904))</f>
        <v/>
      </c>
      <c r="I905" s="31">
        <f>IF(AND(ISNUMBER(H905),ISNUMBER(H885)),IF(H885&gt;0,H905/H885-1,""),"")</f>
        <v/>
      </c>
      <c r="J905">
        <f>IF(A905="",0,IF(A905&gt;$B$5,1,0))</f>
        <v/>
      </c>
      <c r="K905" s="29">
        <f>IF(AND(J905=1,ISNUMBER(D905)),D905,"")</f>
        <v/>
      </c>
      <c r="L905" s="30">
        <f>IF(AND(J905=1,ISNUMBER(G905)),G905,"")</f>
        <v/>
      </c>
      <c r="M905" s="22">
        <f>IF(AND(J905=1,ISNUMBER(C905)),C905,"")</f>
        <v/>
      </c>
      <c r="N905" s="31">
        <f>IF(AND(J905=1,ISNUMBER(I905)),I905,"")</f>
        <v/>
      </c>
      <c r="O905" s="11">
        <f>IF(K905="","",100-IF($G$13=1,50,(_xlfn.RANK.AVG(K905,$K$19:$K$1518,1)-1)/($G$13-1)*100))</f>
        <v/>
      </c>
      <c r="P905" s="11">
        <f>IF(L905="","",100-IF($G$14=1,50,(_xlfn.RANK.AVG(L905,$L$19:$L$1518,1)-1)/($G$14-1)*100))</f>
        <v/>
      </c>
      <c r="Q905" s="11">
        <f>IF(M905="","",IF($G$15=1,50,(_xlfn.RANK.AVG(M905,$M$19:$M$1518,1)-1)/($G$15-1)*100))</f>
        <v/>
      </c>
      <c r="R905" s="11">
        <f>IF(N905="","",IF($G$16=1,50,(_xlfn.RANK.AVG(N905,$N$19:$N$1518,1)-1)/($G$16-1)*100))</f>
        <v/>
      </c>
      <c r="S905" s="11">
        <f>IF(COUNT(O905:R905)=4,ROUND(AVERAGE(O905:R905),6),"")</f>
        <v/>
      </c>
      <c r="U905">
        <f>IF(AND(ISNUMBER('자료_한국심리'!$A889),ISNUMBER('자료_한국심리'!$B889)),'자료_한국심리'!$A889,"")</f>
        <v/>
      </c>
      <c r="V905">
        <f>IF(AND(ISNUMBER('자료_한국심리'!$D889),ISNUMBER('자료_한국심리'!$E889)),'자료_한국심리'!$D889,"")</f>
        <v/>
      </c>
      <c r="W905">
        <f>IF(AND(ISNUMBER('자료_한국심리'!$G889),ISNUMBER('자료_한국심리'!$H889)),'자료_한국심리'!$G889,"")</f>
        <v/>
      </c>
      <c r="X905">
        <f>IF(AND(ISNUMBER('자료_한국심리'!$J889),ISNUMBER('자료_한국심리'!$K889)),'자료_한국심리'!$J889,"")</f>
        <v/>
      </c>
      <c r="Y905">
        <f>IF(AND(ISNUMBER('자료_한국심리'!$M889),ISNUMBER('자료_한국심리'!$N889)),'자료_한국심리'!$M889,"")</f>
        <v/>
      </c>
    </row>
    <row r="906">
      <c r="A906" s="10">
        <f>IF(888&gt;$E$5,"",SMALL($U$19:$U$4018,$E$6+888))</f>
        <v/>
      </c>
      <c r="B906" s="29">
        <f>IF(A906="","",INDEX('자료_한국심리'!$B$3:$B$4002,MATCH(A906,$U$19:$U$4018,0)))</f>
        <v/>
      </c>
      <c r="C906" s="22">
        <f>IF(A906="","",B906/AVERAGE(B782:B906)-1)</f>
        <v/>
      </c>
      <c r="D906" s="29">
        <f>IF(A906="","",IFERROR(INDEX('자료_한국심리'!$E$3:$E$4002,MATCH(A906,$V$19:$V$4018,0)),D905))</f>
        <v/>
      </c>
      <c r="E906" s="30">
        <f>IF(A906="","",IFERROR(INDEX('자료_한국심리'!$H$3:$H$4002,MATCH(A906,$W$19:$W$4018,0)),E905))</f>
        <v/>
      </c>
      <c r="F906" s="30">
        <f>IF(A906="","",IFERROR(INDEX('자료_한국심리'!$K$3:$K$4002,MATCH(A906,$X$19:$X$4018,0)),F905))</f>
        <v/>
      </c>
      <c r="G906" s="30">
        <f>IF(AND(ISNUMBER(E906),ISNUMBER(F906)),ROUND(E906-F906,6),"")</f>
        <v/>
      </c>
      <c r="H906" s="25">
        <f>IF(A906="","",IFERROR(INDEX('자료_한국심리'!$N$3:$N$4002,MATCH(A906,$Y$19:$Y$4018,0)),H905))</f>
        <v/>
      </c>
      <c r="I906" s="31">
        <f>IF(AND(ISNUMBER(H906),ISNUMBER(H886)),IF(H886&gt;0,H906/H886-1,""),"")</f>
        <v/>
      </c>
      <c r="J906">
        <f>IF(A906="",0,IF(A906&gt;$B$5,1,0))</f>
        <v/>
      </c>
      <c r="K906" s="29">
        <f>IF(AND(J906=1,ISNUMBER(D906)),D906,"")</f>
        <v/>
      </c>
      <c r="L906" s="30">
        <f>IF(AND(J906=1,ISNUMBER(G906)),G906,"")</f>
        <v/>
      </c>
      <c r="M906" s="22">
        <f>IF(AND(J906=1,ISNUMBER(C906)),C906,"")</f>
        <v/>
      </c>
      <c r="N906" s="31">
        <f>IF(AND(J906=1,ISNUMBER(I906)),I906,"")</f>
        <v/>
      </c>
      <c r="O906" s="11">
        <f>IF(K906="","",100-IF($G$13=1,50,(_xlfn.RANK.AVG(K906,$K$19:$K$1518,1)-1)/($G$13-1)*100))</f>
        <v/>
      </c>
      <c r="P906" s="11">
        <f>IF(L906="","",100-IF($G$14=1,50,(_xlfn.RANK.AVG(L906,$L$19:$L$1518,1)-1)/($G$14-1)*100))</f>
        <v/>
      </c>
      <c r="Q906" s="11">
        <f>IF(M906="","",IF($G$15=1,50,(_xlfn.RANK.AVG(M906,$M$19:$M$1518,1)-1)/($G$15-1)*100))</f>
        <v/>
      </c>
      <c r="R906" s="11">
        <f>IF(N906="","",IF($G$16=1,50,(_xlfn.RANK.AVG(N906,$N$19:$N$1518,1)-1)/($G$16-1)*100))</f>
        <v/>
      </c>
      <c r="S906" s="11">
        <f>IF(COUNT(O906:R906)=4,ROUND(AVERAGE(O906:R906),6),"")</f>
        <v/>
      </c>
      <c r="U906">
        <f>IF(AND(ISNUMBER('자료_한국심리'!$A890),ISNUMBER('자료_한국심리'!$B890)),'자료_한국심리'!$A890,"")</f>
        <v/>
      </c>
      <c r="V906">
        <f>IF(AND(ISNUMBER('자료_한국심리'!$D890),ISNUMBER('자료_한국심리'!$E890)),'자료_한국심리'!$D890,"")</f>
        <v/>
      </c>
      <c r="W906">
        <f>IF(AND(ISNUMBER('자료_한국심리'!$G890),ISNUMBER('자료_한국심리'!$H890)),'자료_한국심리'!$G890,"")</f>
        <v/>
      </c>
      <c r="X906">
        <f>IF(AND(ISNUMBER('자료_한국심리'!$J890),ISNUMBER('자료_한국심리'!$K890)),'자료_한국심리'!$J890,"")</f>
        <v/>
      </c>
      <c r="Y906">
        <f>IF(AND(ISNUMBER('자료_한국심리'!$M890),ISNUMBER('자료_한국심리'!$N890)),'자료_한국심리'!$M890,"")</f>
        <v/>
      </c>
    </row>
    <row r="907">
      <c r="A907" s="10">
        <f>IF(889&gt;$E$5,"",SMALL($U$19:$U$4018,$E$6+889))</f>
        <v/>
      </c>
      <c r="B907" s="29">
        <f>IF(A907="","",INDEX('자료_한국심리'!$B$3:$B$4002,MATCH(A907,$U$19:$U$4018,0)))</f>
        <v/>
      </c>
      <c r="C907" s="22">
        <f>IF(A907="","",B907/AVERAGE(B783:B907)-1)</f>
        <v/>
      </c>
      <c r="D907" s="29">
        <f>IF(A907="","",IFERROR(INDEX('자료_한국심리'!$E$3:$E$4002,MATCH(A907,$V$19:$V$4018,0)),D906))</f>
        <v/>
      </c>
      <c r="E907" s="30">
        <f>IF(A907="","",IFERROR(INDEX('자료_한국심리'!$H$3:$H$4002,MATCH(A907,$W$19:$W$4018,0)),E906))</f>
        <v/>
      </c>
      <c r="F907" s="30">
        <f>IF(A907="","",IFERROR(INDEX('자료_한국심리'!$K$3:$K$4002,MATCH(A907,$X$19:$X$4018,0)),F906))</f>
        <v/>
      </c>
      <c r="G907" s="30">
        <f>IF(AND(ISNUMBER(E907),ISNUMBER(F907)),ROUND(E907-F907,6),"")</f>
        <v/>
      </c>
      <c r="H907" s="25">
        <f>IF(A907="","",IFERROR(INDEX('자료_한국심리'!$N$3:$N$4002,MATCH(A907,$Y$19:$Y$4018,0)),H906))</f>
        <v/>
      </c>
      <c r="I907" s="31">
        <f>IF(AND(ISNUMBER(H907),ISNUMBER(H887)),IF(H887&gt;0,H907/H887-1,""),"")</f>
        <v/>
      </c>
      <c r="J907">
        <f>IF(A907="",0,IF(A907&gt;$B$5,1,0))</f>
        <v/>
      </c>
      <c r="K907" s="29">
        <f>IF(AND(J907=1,ISNUMBER(D907)),D907,"")</f>
        <v/>
      </c>
      <c r="L907" s="30">
        <f>IF(AND(J907=1,ISNUMBER(G907)),G907,"")</f>
        <v/>
      </c>
      <c r="M907" s="22">
        <f>IF(AND(J907=1,ISNUMBER(C907)),C907,"")</f>
        <v/>
      </c>
      <c r="N907" s="31">
        <f>IF(AND(J907=1,ISNUMBER(I907)),I907,"")</f>
        <v/>
      </c>
      <c r="O907" s="11">
        <f>IF(K907="","",100-IF($G$13=1,50,(_xlfn.RANK.AVG(K907,$K$19:$K$1518,1)-1)/($G$13-1)*100))</f>
        <v/>
      </c>
      <c r="P907" s="11">
        <f>IF(L907="","",100-IF($G$14=1,50,(_xlfn.RANK.AVG(L907,$L$19:$L$1518,1)-1)/($G$14-1)*100))</f>
        <v/>
      </c>
      <c r="Q907" s="11">
        <f>IF(M907="","",IF($G$15=1,50,(_xlfn.RANK.AVG(M907,$M$19:$M$1518,1)-1)/($G$15-1)*100))</f>
        <v/>
      </c>
      <c r="R907" s="11">
        <f>IF(N907="","",IF($G$16=1,50,(_xlfn.RANK.AVG(N907,$N$19:$N$1518,1)-1)/($G$16-1)*100))</f>
        <v/>
      </c>
      <c r="S907" s="11">
        <f>IF(COUNT(O907:R907)=4,ROUND(AVERAGE(O907:R907),6),"")</f>
        <v/>
      </c>
      <c r="U907">
        <f>IF(AND(ISNUMBER('자료_한국심리'!$A891),ISNUMBER('자료_한국심리'!$B891)),'자료_한국심리'!$A891,"")</f>
        <v/>
      </c>
      <c r="V907">
        <f>IF(AND(ISNUMBER('자료_한국심리'!$D891),ISNUMBER('자료_한국심리'!$E891)),'자료_한국심리'!$D891,"")</f>
        <v/>
      </c>
      <c r="W907">
        <f>IF(AND(ISNUMBER('자료_한국심리'!$G891),ISNUMBER('자료_한국심리'!$H891)),'자료_한국심리'!$G891,"")</f>
        <v/>
      </c>
      <c r="X907">
        <f>IF(AND(ISNUMBER('자료_한국심리'!$J891),ISNUMBER('자료_한국심리'!$K891)),'자료_한국심리'!$J891,"")</f>
        <v/>
      </c>
      <c r="Y907">
        <f>IF(AND(ISNUMBER('자료_한국심리'!$M891),ISNUMBER('자료_한국심리'!$N891)),'자료_한국심리'!$M891,"")</f>
        <v/>
      </c>
    </row>
    <row r="908">
      <c r="A908" s="10">
        <f>IF(890&gt;$E$5,"",SMALL($U$19:$U$4018,$E$6+890))</f>
        <v/>
      </c>
      <c r="B908" s="29">
        <f>IF(A908="","",INDEX('자료_한국심리'!$B$3:$B$4002,MATCH(A908,$U$19:$U$4018,0)))</f>
        <v/>
      </c>
      <c r="C908" s="22">
        <f>IF(A908="","",B908/AVERAGE(B784:B908)-1)</f>
        <v/>
      </c>
      <c r="D908" s="29">
        <f>IF(A908="","",IFERROR(INDEX('자료_한국심리'!$E$3:$E$4002,MATCH(A908,$V$19:$V$4018,0)),D907))</f>
        <v/>
      </c>
      <c r="E908" s="30">
        <f>IF(A908="","",IFERROR(INDEX('자료_한국심리'!$H$3:$H$4002,MATCH(A908,$W$19:$W$4018,0)),E907))</f>
        <v/>
      </c>
      <c r="F908" s="30">
        <f>IF(A908="","",IFERROR(INDEX('자료_한국심리'!$K$3:$K$4002,MATCH(A908,$X$19:$X$4018,0)),F907))</f>
        <v/>
      </c>
      <c r="G908" s="30">
        <f>IF(AND(ISNUMBER(E908),ISNUMBER(F908)),ROUND(E908-F908,6),"")</f>
        <v/>
      </c>
      <c r="H908" s="25">
        <f>IF(A908="","",IFERROR(INDEX('자료_한국심리'!$N$3:$N$4002,MATCH(A908,$Y$19:$Y$4018,0)),H907))</f>
        <v/>
      </c>
      <c r="I908" s="31">
        <f>IF(AND(ISNUMBER(H908),ISNUMBER(H888)),IF(H888&gt;0,H908/H888-1,""),"")</f>
        <v/>
      </c>
      <c r="J908">
        <f>IF(A908="",0,IF(A908&gt;$B$5,1,0))</f>
        <v/>
      </c>
      <c r="K908" s="29">
        <f>IF(AND(J908=1,ISNUMBER(D908)),D908,"")</f>
        <v/>
      </c>
      <c r="L908" s="30">
        <f>IF(AND(J908=1,ISNUMBER(G908)),G908,"")</f>
        <v/>
      </c>
      <c r="M908" s="22">
        <f>IF(AND(J908=1,ISNUMBER(C908)),C908,"")</f>
        <v/>
      </c>
      <c r="N908" s="31">
        <f>IF(AND(J908=1,ISNUMBER(I908)),I908,"")</f>
        <v/>
      </c>
      <c r="O908" s="11">
        <f>IF(K908="","",100-IF($G$13=1,50,(_xlfn.RANK.AVG(K908,$K$19:$K$1518,1)-1)/($G$13-1)*100))</f>
        <v/>
      </c>
      <c r="P908" s="11">
        <f>IF(L908="","",100-IF($G$14=1,50,(_xlfn.RANK.AVG(L908,$L$19:$L$1518,1)-1)/($G$14-1)*100))</f>
        <v/>
      </c>
      <c r="Q908" s="11">
        <f>IF(M908="","",IF($G$15=1,50,(_xlfn.RANK.AVG(M908,$M$19:$M$1518,1)-1)/($G$15-1)*100))</f>
        <v/>
      </c>
      <c r="R908" s="11">
        <f>IF(N908="","",IF($G$16=1,50,(_xlfn.RANK.AVG(N908,$N$19:$N$1518,1)-1)/($G$16-1)*100))</f>
        <v/>
      </c>
      <c r="S908" s="11">
        <f>IF(COUNT(O908:R908)=4,ROUND(AVERAGE(O908:R908),6),"")</f>
        <v/>
      </c>
      <c r="U908">
        <f>IF(AND(ISNUMBER('자료_한국심리'!$A892),ISNUMBER('자료_한국심리'!$B892)),'자료_한국심리'!$A892,"")</f>
        <v/>
      </c>
      <c r="V908">
        <f>IF(AND(ISNUMBER('자료_한국심리'!$D892),ISNUMBER('자료_한국심리'!$E892)),'자료_한국심리'!$D892,"")</f>
        <v/>
      </c>
      <c r="W908">
        <f>IF(AND(ISNUMBER('자료_한국심리'!$G892),ISNUMBER('자료_한국심리'!$H892)),'자료_한국심리'!$G892,"")</f>
        <v/>
      </c>
      <c r="X908">
        <f>IF(AND(ISNUMBER('자료_한국심리'!$J892),ISNUMBER('자료_한국심리'!$K892)),'자료_한국심리'!$J892,"")</f>
        <v/>
      </c>
      <c r="Y908">
        <f>IF(AND(ISNUMBER('자료_한국심리'!$M892),ISNUMBER('자료_한국심리'!$N892)),'자료_한국심리'!$M892,"")</f>
        <v/>
      </c>
    </row>
    <row r="909">
      <c r="A909" s="10">
        <f>IF(891&gt;$E$5,"",SMALL($U$19:$U$4018,$E$6+891))</f>
        <v/>
      </c>
      <c r="B909" s="29">
        <f>IF(A909="","",INDEX('자료_한국심리'!$B$3:$B$4002,MATCH(A909,$U$19:$U$4018,0)))</f>
        <v/>
      </c>
      <c r="C909" s="22">
        <f>IF(A909="","",B909/AVERAGE(B785:B909)-1)</f>
        <v/>
      </c>
      <c r="D909" s="29">
        <f>IF(A909="","",IFERROR(INDEX('자료_한국심리'!$E$3:$E$4002,MATCH(A909,$V$19:$V$4018,0)),D908))</f>
        <v/>
      </c>
      <c r="E909" s="30">
        <f>IF(A909="","",IFERROR(INDEX('자료_한국심리'!$H$3:$H$4002,MATCH(A909,$W$19:$W$4018,0)),E908))</f>
        <v/>
      </c>
      <c r="F909" s="30">
        <f>IF(A909="","",IFERROR(INDEX('자료_한국심리'!$K$3:$K$4002,MATCH(A909,$X$19:$X$4018,0)),F908))</f>
        <v/>
      </c>
      <c r="G909" s="30">
        <f>IF(AND(ISNUMBER(E909),ISNUMBER(F909)),ROUND(E909-F909,6),"")</f>
        <v/>
      </c>
      <c r="H909" s="25">
        <f>IF(A909="","",IFERROR(INDEX('자료_한국심리'!$N$3:$N$4002,MATCH(A909,$Y$19:$Y$4018,0)),H908))</f>
        <v/>
      </c>
      <c r="I909" s="31">
        <f>IF(AND(ISNUMBER(H909),ISNUMBER(H889)),IF(H889&gt;0,H909/H889-1,""),"")</f>
        <v/>
      </c>
      <c r="J909">
        <f>IF(A909="",0,IF(A909&gt;$B$5,1,0))</f>
        <v/>
      </c>
      <c r="K909" s="29">
        <f>IF(AND(J909=1,ISNUMBER(D909)),D909,"")</f>
        <v/>
      </c>
      <c r="L909" s="30">
        <f>IF(AND(J909=1,ISNUMBER(G909)),G909,"")</f>
        <v/>
      </c>
      <c r="M909" s="22">
        <f>IF(AND(J909=1,ISNUMBER(C909)),C909,"")</f>
        <v/>
      </c>
      <c r="N909" s="31">
        <f>IF(AND(J909=1,ISNUMBER(I909)),I909,"")</f>
        <v/>
      </c>
      <c r="O909" s="11">
        <f>IF(K909="","",100-IF($G$13=1,50,(_xlfn.RANK.AVG(K909,$K$19:$K$1518,1)-1)/($G$13-1)*100))</f>
        <v/>
      </c>
      <c r="P909" s="11">
        <f>IF(L909="","",100-IF($G$14=1,50,(_xlfn.RANK.AVG(L909,$L$19:$L$1518,1)-1)/($G$14-1)*100))</f>
        <v/>
      </c>
      <c r="Q909" s="11">
        <f>IF(M909="","",IF($G$15=1,50,(_xlfn.RANK.AVG(M909,$M$19:$M$1518,1)-1)/($G$15-1)*100))</f>
        <v/>
      </c>
      <c r="R909" s="11">
        <f>IF(N909="","",IF($G$16=1,50,(_xlfn.RANK.AVG(N909,$N$19:$N$1518,1)-1)/($G$16-1)*100))</f>
        <v/>
      </c>
      <c r="S909" s="11">
        <f>IF(COUNT(O909:R909)=4,ROUND(AVERAGE(O909:R909),6),"")</f>
        <v/>
      </c>
      <c r="U909">
        <f>IF(AND(ISNUMBER('자료_한국심리'!$A893),ISNUMBER('자료_한국심리'!$B893)),'자료_한국심리'!$A893,"")</f>
        <v/>
      </c>
      <c r="V909">
        <f>IF(AND(ISNUMBER('자료_한국심리'!$D893),ISNUMBER('자료_한국심리'!$E893)),'자료_한국심리'!$D893,"")</f>
        <v/>
      </c>
      <c r="W909">
        <f>IF(AND(ISNUMBER('자료_한국심리'!$G893),ISNUMBER('자료_한국심리'!$H893)),'자료_한국심리'!$G893,"")</f>
        <v/>
      </c>
      <c r="X909">
        <f>IF(AND(ISNUMBER('자료_한국심리'!$J893),ISNUMBER('자료_한국심리'!$K893)),'자료_한국심리'!$J893,"")</f>
        <v/>
      </c>
      <c r="Y909">
        <f>IF(AND(ISNUMBER('자료_한국심리'!$M893),ISNUMBER('자료_한국심리'!$N893)),'자료_한국심리'!$M893,"")</f>
        <v/>
      </c>
    </row>
    <row r="910">
      <c r="A910" s="10">
        <f>IF(892&gt;$E$5,"",SMALL($U$19:$U$4018,$E$6+892))</f>
        <v/>
      </c>
      <c r="B910" s="29">
        <f>IF(A910="","",INDEX('자료_한국심리'!$B$3:$B$4002,MATCH(A910,$U$19:$U$4018,0)))</f>
        <v/>
      </c>
      <c r="C910" s="22">
        <f>IF(A910="","",B910/AVERAGE(B786:B910)-1)</f>
        <v/>
      </c>
      <c r="D910" s="29">
        <f>IF(A910="","",IFERROR(INDEX('자료_한국심리'!$E$3:$E$4002,MATCH(A910,$V$19:$V$4018,0)),D909))</f>
        <v/>
      </c>
      <c r="E910" s="30">
        <f>IF(A910="","",IFERROR(INDEX('자료_한국심리'!$H$3:$H$4002,MATCH(A910,$W$19:$W$4018,0)),E909))</f>
        <v/>
      </c>
      <c r="F910" s="30">
        <f>IF(A910="","",IFERROR(INDEX('자료_한국심리'!$K$3:$K$4002,MATCH(A910,$X$19:$X$4018,0)),F909))</f>
        <v/>
      </c>
      <c r="G910" s="30">
        <f>IF(AND(ISNUMBER(E910),ISNUMBER(F910)),ROUND(E910-F910,6),"")</f>
        <v/>
      </c>
      <c r="H910" s="25">
        <f>IF(A910="","",IFERROR(INDEX('자료_한국심리'!$N$3:$N$4002,MATCH(A910,$Y$19:$Y$4018,0)),H909))</f>
        <v/>
      </c>
      <c r="I910" s="31">
        <f>IF(AND(ISNUMBER(H910),ISNUMBER(H890)),IF(H890&gt;0,H910/H890-1,""),"")</f>
        <v/>
      </c>
      <c r="J910">
        <f>IF(A910="",0,IF(A910&gt;$B$5,1,0))</f>
        <v/>
      </c>
      <c r="K910" s="29">
        <f>IF(AND(J910=1,ISNUMBER(D910)),D910,"")</f>
        <v/>
      </c>
      <c r="L910" s="30">
        <f>IF(AND(J910=1,ISNUMBER(G910)),G910,"")</f>
        <v/>
      </c>
      <c r="M910" s="22">
        <f>IF(AND(J910=1,ISNUMBER(C910)),C910,"")</f>
        <v/>
      </c>
      <c r="N910" s="31">
        <f>IF(AND(J910=1,ISNUMBER(I910)),I910,"")</f>
        <v/>
      </c>
      <c r="O910" s="11">
        <f>IF(K910="","",100-IF($G$13=1,50,(_xlfn.RANK.AVG(K910,$K$19:$K$1518,1)-1)/($G$13-1)*100))</f>
        <v/>
      </c>
      <c r="P910" s="11">
        <f>IF(L910="","",100-IF($G$14=1,50,(_xlfn.RANK.AVG(L910,$L$19:$L$1518,1)-1)/($G$14-1)*100))</f>
        <v/>
      </c>
      <c r="Q910" s="11">
        <f>IF(M910="","",IF($G$15=1,50,(_xlfn.RANK.AVG(M910,$M$19:$M$1518,1)-1)/($G$15-1)*100))</f>
        <v/>
      </c>
      <c r="R910" s="11">
        <f>IF(N910="","",IF($G$16=1,50,(_xlfn.RANK.AVG(N910,$N$19:$N$1518,1)-1)/($G$16-1)*100))</f>
        <v/>
      </c>
      <c r="S910" s="11">
        <f>IF(COUNT(O910:R910)=4,ROUND(AVERAGE(O910:R910),6),"")</f>
        <v/>
      </c>
      <c r="U910">
        <f>IF(AND(ISNUMBER('자료_한국심리'!$A894),ISNUMBER('자료_한국심리'!$B894)),'자료_한국심리'!$A894,"")</f>
        <v/>
      </c>
      <c r="V910">
        <f>IF(AND(ISNUMBER('자료_한국심리'!$D894),ISNUMBER('자료_한국심리'!$E894)),'자료_한국심리'!$D894,"")</f>
        <v/>
      </c>
      <c r="W910">
        <f>IF(AND(ISNUMBER('자료_한국심리'!$G894),ISNUMBER('자료_한국심리'!$H894)),'자료_한국심리'!$G894,"")</f>
        <v/>
      </c>
      <c r="X910">
        <f>IF(AND(ISNUMBER('자료_한국심리'!$J894),ISNUMBER('자료_한국심리'!$K894)),'자료_한국심리'!$J894,"")</f>
        <v/>
      </c>
      <c r="Y910">
        <f>IF(AND(ISNUMBER('자료_한국심리'!$M894),ISNUMBER('자료_한국심리'!$N894)),'자료_한국심리'!$M894,"")</f>
        <v/>
      </c>
    </row>
    <row r="911">
      <c r="A911" s="10">
        <f>IF(893&gt;$E$5,"",SMALL($U$19:$U$4018,$E$6+893))</f>
        <v/>
      </c>
      <c r="B911" s="29">
        <f>IF(A911="","",INDEX('자료_한국심리'!$B$3:$B$4002,MATCH(A911,$U$19:$U$4018,0)))</f>
        <v/>
      </c>
      <c r="C911" s="22">
        <f>IF(A911="","",B911/AVERAGE(B787:B911)-1)</f>
        <v/>
      </c>
      <c r="D911" s="29">
        <f>IF(A911="","",IFERROR(INDEX('자료_한국심리'!$E$3:$E$4002,MATCH(A911,$V$19:$V$4018,0)),D910))</f>
        <v/>
      </c>
      <c r="E911" s="30">
        <f>IF(A911="","",IFERROR(INDEX('자료_한국심리'!$H$3:$H$4002,MATCH(A911,$W$19:$W$4018,0)),E910))</f>
        <v/>
      </c>
      <c r="F911" s="30">
        <f>IF(A911="","",IFERROR(INDEX('자료_한국심리'!$K$3:$K$4002,MATCH(A911,$X$19:$X$4018,0)),F910))</f>
        <v/>
      </c>
      <c r="G911" s="30">
        <f>IF(AND(ISNUMBER(E911),ISNUMBER(F911)),ROUND(E911-F911,6),"")</f>
        <v/>
      </c>
      <c r="H911" s="25">
        <f>IF(A911="","",IFERROR(INDEX('자료_한국심리'!$N$3:$N$4002,MATCH(A911,$Y$19:$Y$4018,0)),H910))</f>
        <v/>
      </c>
      <c r="I911" s="31">
        <f>IF(AND(ISNUMBER(H911),ISNUMBER(H891)),IF(H891&gt;0,H911/H891-1,""),"")</f>
        <v/>
      </c>
      <c r="J911">
        <f>IF(A911="",0,IF(A911&gt;$B$5,1,0))</f>
        <v/>
      </c>
      <c r="K911" s="29">
        <f>IF(AND(J911=1,ISNUMBER(D911)),D911,"")</f>
        <v/>
      </c>
      <c r="L911" s="30">
        <f>IF(AND(J911=1,ISNUMBER(G911)),G911,"")</f>
        <v/>
      </c>
      <c r="M911" s="22">
        <f>IF(AND(J911=1,ISNUMBER(C911)),C911,"")</f>
        <v/>
      </c>
      <c r="N911" s="31">
        <f>IF(AND(J911=1,ISNUMBER(I911)),I911,"")</f>
        <v/>
      </c>
      <c r="O911" s="11">
        <f>IF(K911="","",100-IF($G$13=1,50,(_xlfn.RANK.AVG(K911,$K$19:$K$1518,1)-1)/($G$13-1)*100))</f>
        <v/>
      </c>
      <c r="P911" s="11">
        <f>IF(L911="","",100-IF($G$14=1,50,(_xlfn.RANK.AVG(L911,$L$19:$L$1518,1)-1)/($G$14-1)*100))</f>
        <v/>
      </c>
      <c r="Q911" s="11">
        <f>IF(M911="","",IF($G$15=1,50,(_xlfn.RANK.AVG(M911,$M$19:$M$1518,1)-1)/($G$15-1)*100))</f>
        <v/>
      </c>
      <c r="R911" s="11">
        <f>IF(N911="","",IF($G$16=1,50,(_xlfn.RANK.AVG(N911,$N$19:$N$1518,1)-1)/($G$16-1)*100))</f>
        <v/>
      </c>
      <c r="S911" s="11">
        <f>IF(COUNT(O911:R911)=4,ROUND(AVERAGE(O911:R911),6),"")</f>
        <v/>
      </c>
      <c r="U911">
        <f>IF(AND(ISNUMBER('자료_한국심리'!$A895),ISNUMBER('자료_한국심리'!$B895)),'자료_한국심리'!$A895,"")</f>
        <v/>
      </c>
      <c r="V911">
        <f>IF(AND(ISNUMBER('자료_한국심리'!$D895),ISNUMBER('자료_한국심리'!$E895)),'자료_한국심리'!$D895,"")</f>
        <v/>
      </c>
      <c r="W911">
        <f>IF(AND(ISNUMBER('자료_한국심리'!$G895),ISNUMBER('자료_한국심리'!$H895)),'자료_한국심리'!$G895,"")</f>
        <v/>
      </c>
      <c r="X911">
        <f>IF(AND(ISNUMBER('자료_한국심리'!$J895),ISNUMBER('자료_한국심리'!$K895)),'자료_한국심리'!$J895,"")</f>
        <v/>
      </c>
      <c r="Y911">
        <f>IF(AND(ISNUMBER('자료_한국심리'!$M895),ISNUMBER('자료_한국심리'!$N895)),'자료_한국심리'!$M895,"")</f>
        <v/>
      </c>
    </row>
    <row r="912">
      <c r="A912" s="10">
        <f>IF(894&gt;$E$5,"",SMALL($U$19:$U$4018,$E$6+894))</f>
        <v/>
      </c>
      <c r="B912" s="29">
        <f>IF(A912="","",INDEX('자료_한국심리'!$B$3:$B$4002,MATCH(A912,$U$19:$U$4018,0)))</f>
        <v/>
      </c>
      <c r="C912" s="22">
        <f>IF(A912="","",B912/AVERAGE(B788:B912)-1)</f>
        <v/>
      </c>
      <c r="D912" s="29">
        <f>IF(A912="","",IFERROR(INDEX('자료_한국심리'!$E$3:$E$4002,MATCH(A912,$V$19:$V$4018,0)),D911))</f>
        <v/>
      </c>
      <c r="E912" s="30">
        <f>IF(A912="","",IFERROR(INDEX('자료_한국심리'!$H$3:$H$4002,MATCH(A912,$W$19:$W$4018,0)),E911))</f>
        <v/>
      </c>
      <c r="F912" s="30">
        <f>IF(A912="","",IFERROR(INDEX('자료_한국심리'!$K$3:$K$4002,MATCH(A912,$X$19:$X$4018,0)),F911))</f>
        <v/>
      </c>
      <c r="G912" s="30">
        <f>IF(AND(ISNUMBER(E912),ISNUMBER(F912)),ROUND(E912-F912,6),"")</f>
        <v/>
      </c>
      <c r="H912" s="25">
        <f>IF(A912="","",IFERROR(INDEX('자료_한국심리'!$N$3:$N$4002,MATCH(A912,$Y$19:$Y$4018,0)),H911))</f>
        <v/>
      </c>
      <c r="I912" s="31">
        <f>IF(AND(ISNUMBER(H912),ISNUMBER(H892)),IF(H892&gt;0,H912/H892-1,""),"")</f>
        <v/>
      </c>
      <c r="J912">
        <f>IF(A912="",0,IF(A912&gt;$B$5,1,0))</f>
        <v/>
      </c>
      <c r="K912" s="29">
        <f>IF(AND(J912=1,ISNUMBER(D912)),D912,"")</f>
        <v/>
      </c>
      <c r="L912" s="30">
        <f>IF(AND(J912=1,ISNUMBER(G912)),G912,"")</f>
        <v/>
      </c>
      <c r="M912" s="22">
        <f>IF(AND(J912=1,ISNUMBER(C912)),C912,"")</f>
        <v/>
      </c>
      <c r="N912" s="31">
        <f>IF(AND(J912=1,ISNUMBER(I912)),I912,"")</f>
        <v/>
      </c>
      <c r="O912" s="11">
        <f>IF(K912="","",100-IF($G$13=1,50,(_xlfn.RANK.AVG(K912,$K$19:$K$1518,1)-1)/($G$13-1)*100))</f>
        <v/>
      </c>
      <c r="P912" s="11">
        <f>IF(L912="","",100-IF($G$14=1,50,(_xlfn.RANK.AVG(L912,$L$19:$L$1518,1)-1)/($G$14-1)*100))</f>
        <v/>
      </c>
      <c r="Q912" s="11">
        <f>IF(M912="","",IF($G$15=1,50,(_xlfn.RANK.AVG(M912,$M$19:$M$1518,1)-1)/($G$15-1)*100))</f>
        <v/>
      </c>
      <c r="R912" s="11">
        <f>IF(N912="","",IF($G$16=1,50,(_xlfn.RANK.AVG(N912,$N$19:$N$1518,1)-1)/($G$16-1)*100))</f>
        <v/>
      </c>
      <c r="S912" s="11">
        <f>IF(COUNT(O912:R912)=4,ROUND(AVERAGE(O912:R912),6),"")</f>
        <v/>
      </c>
      <c r="U912">
        <f>IF(AND(ISNUMBER('자료_한국심리'!$A896),ISNUMBER('자료_한국심리'!$B896)),'자료_한국심리'!$A896,"")</f>
        <v/>
      </c>
      <c r="V912">
        <f>IF(AND(ISNUMBER('자료_한국심리'!$D896),ISNUMBER('자료_한국심리'!$E896)),'자료_한국심리'!$D896,"")</f>
        <v/>
      </c>
      <c r="W912">
        <f>IF(AND(ISNUMBER('자료_한국심리'!$G896),ISNUMBER('자료_한국심리'!$H896)),'자료_한국심리'!$G896,"")</f>
        <v/>
      </c>
      <c r="X912">
        <f>IF(AND(ISNUMBER('자료_한국심리'!$J896),ISNUMBER('자료_한국심리'!$K896)),'자료_한국심리'!$J896,"")</f>
        <v/>
      </c>
      <c r="Y912">
        <f>IF(AND(ISNUMBER('자료_한국심리'!$M896),ISNUMBER('자료_한국심리'!$N896)),'자료_한국심리'!$M896,"")</f>
        <v/>
      </c>
    </row>
    <row r="913">
      <c r="A913" s="10">
        <f>IF(895&gt;$E$5,"",SMALL($U$19:$U$4018,$E$6+895))</f>
        <v/>
      </c>
      <c r="B913" s="29">
        <f>IF(A913="","",INDEX('자료_한국심리'!$B$3:$B$4002,MATCH(A913,$U$19:$U$4018,0)))</f>
        <v/>
      </c>
      <c r="C913" s="22">
        <f>IF(A913="","",B913/AVERAGE(B789:B913)-1)</f>
        <v/>
      </c>
      <c r="D913" s="29">
        <f>IF(A913="","",IFERROR(INDEX('자료_한국심리'!$E$3:$E$4002,MATCH(A913,$V$19:$V$4018,0)),D912))</f>
        <v/>
      </c>
      <c r="E913" s="30">
        <f>IF(A913="","",IFERROR(INDEX('자료_한국심리'!$H$3:$H$4002,MATCH(A913,$W$19:$W$4018,0)),E912))</f>
        <v/>
      </c>
      <c r="F913" s="30">
        <f>IF(A913="","",IFERROR(INDEX('자료_한국심리'!$K$3:$K$4002,MATCH(A913,$X$19:$X$4018,0)),F912))</f>
        <v/>
      </c>
      <c r="G913" s="30">
        <f>IF(AND(ISNUMBER(E913),ISNUMBER(F913)),ROUND(E913-F913,6),"")</f>
        <v/>
      </c>
      <c r="H913" s="25">
        <f>IF(A913="","",IFERROR(INDEX('자료_한국심리'!$N$3:$N$4002,MATCH(A913,$Y$19:$Y$4018,0)),H912))</f>
        <v/>
      </c>
      <c r="I913" s="31">
        <f>IF(AND(ISNUMBER(H913),ISNUMBER(H893)),IF(H893&gt;0,H913/H893-1,""),"")</f>
        <v/>
      </c>
      <c r="J913">
        <f>IF(A913="",0,IF(A913&gt;$B$5,1,0))</f>
        <v/>
      </c>
      <c r="K913" s="29">
        <f>IF(AND(J913=1,ISNUMBER(D913)),D913,"")</f>
        <v/>
      </c>
      <c r="L913" s="30">
        <f>IF(AND(J913=1,ISNUMBER(G913)),G913,"")</f>
        <v/>
      </c>
      <c r="M913" s="22">
        <f>IF(AND(J913=1,ISNUMBER(C913)),C913,"")</f>
        <v/>
      </c>
      <c r="N913" s="31">
        <f>IF(AND(J913=1,ISNUMBER(I913)),I913,"")</f>
        <v/>
      </c>
      <c r="O913" s="11">
        <f>IF(K913="","",100-IF($G$13=1,50,(_xlfn.RANK.AVG(K913,$K$19:$K$1518,1)-1)/($G$13-1)*100))</f>
        <v/>
      </c>
      <c r="P913" s="11">
        <f>IF(L913="","",100-IF($G$14=1,50,(_xlfn.RANK.AVG(L913,$L$19:$L$1518,1)-1)/($G$14-1)*100))</f>
        <v/>
      </c>
      <c r="Q913" s="11">
        <f>IF(M913="","",IF($G$15=1,50,(_xlfn.RANK.AVG(M913,$M$19:$M$1518,1)-1)/($G$15-1)*100))</f>
        <v/>
      </c>
      <c r="R913" s="11">
        <f>IF(N913="","",IF($G$16=1,50,(_xlfn.RANK.AVG(N913,$N$19:$N$1518,1)-1)/($G$16-1)*100))</f>
        <v/>
      </c>
      <c r="S913" s="11">
        <f>IF(COUNT(O913:R913)=4,ROUND(AVERAGE(O913:R913),6),"")</f>
        <v/>
      </c>
      <c r="U913">
        <f>IF(AND(ISNUMBER('자료_한국심리'!$A897),ISNUMBER('자료_한국심리'!$B897)),'자료_한국심리'!$A897,"")</f>
        <v/>
      </c>
      <c r="V913">
        <f>IF(AND(ISNUMBER('자료_한국심리'!$D897),ISNUMBER('자료_한국심리'!$E897)),'자료_한국심리'!$D897,"")</f>
        <v/>
      </c>
      <c r="W913">
        <f>IF(AND(ISNUMBER('자료_한국심리'!$G897),ISNUMBER('자료_한국심리'!$H897)),'자료_한국심리'!$G897,"")</f>
        <v/>
      </c>
      <c r="X913">
        <f>IF(AND(ISNUMBER('자료_한국심리'!$J897),ISNUMBER('자료_한국심리'!$K897)),'자료_한국심리'!$J897,"")</f>
        <v/>
      </c>
      <c r="Y913">
        <f>IF(AND(ISNUMBER('자료_한국심리'!$M897),ISNUMBER('자료_한국심리'!$N897)),'자료_한국심리'!$M897,"")</f>
        <v/>
      </c>
    </row>
    <row r="914">
      <c r="A914" s="10">
        <f>IF(896&gt;$E$5,"",SMALL($U$19:$U$4018,$E$6+896))</f>
        <v/>
      </c>
      <c r="B914" s="29">
        <f>IF(A914="","",INDEX('자료_한국심리'!$B$3:$B$4002,MATCH(A914,$U$19:$U$4018,0)))</f>
        <v/>
      </c>
      <c r="C914" s="22">
        <f>IF(A914="","",B914/AVERAGE(B790:B914)-1)</f>
        <v/>
      </c>
      <c r="D914" s="29">
        <f>IF(A914="","",IFERROR(INDEX('자료_한국심리'!$E$3:$E$4002,MATCH(A914,$V$19:$V$4018,0)),D913))</f>
        <v/>
      </c>
      <c r="E914" s="30">
        <f>IF(A914="","",IFERROR(INDEX('자료_한국심리'!$H$3:$H$4002,MATCH(A914,$W$19:$W$4018,0)),E913))</f>
        <v/>
      </c>
      <c r="F914" s="30">
        <f>IF(A914="","",IFERROR(INDEX('자료_한국심리'!$K$3:$K$4002,MATCH(A914,$X$19:$X$4018,0)),F913))</f>
        <v/>
      </c>
      <c r="G914" s="30">
        <f>IF(AND(ISNUMBER(E914),ISNUMBER(F914)),ROUND(E914-F914,6),"")</f>
        <v/>
      </c>
      <c r="H914" s="25">
        <f>IF(A914="","",IFERROR(INDEX('자료_한국심리'!$N$3:$N$4002,MATCH(A914,$Y$19:$Y$4018,0)),H913))</f>
        <v/>
      </c>
      <c r="I914" s="31">
        <f>IF(AND(ISNUMBER(H914),ISNUMBER(H894)),IF(H894&gt;0,H914/H894-1,""),"")</f>
        <v/>
      </c>
      <c r="J914">
        <f>IF(A914="",0,IF(A914&gt;$B$5,1,0))</f>
        <v/>
      </c>
      <c r="K914" s="29">
        <f>IF(AND(J914=1,ISNUMBER(D914)),D914,"")</f>
        <v/>
      </c>
      <c r="L914" s="30">
        <f>IF(AND(J914=1,ISNUMBER(G914)),G914,"")</f>
        <v/>
      </c>
      <c r="M914" s="22">
        <f>IF(AND(J914=1,ISNUMBER(C914)),C914,"")</f>
        <v/>
      </c>
      <c r="N914" s="31">
        <f>IF(AND(J914=1,ISNUMBER(I914)),I914,"")</f>
        <v/>
      </c>
      <c r="O914" s="11">
        <f>IF(K914="","",100-IF($G$13=1,50,(_xlfn.RANK.AVG(K914,$K$19:$K$1518,1)-1)/($G$13-1)*100))</f>
        <v/>
      </c>
      <c r="P914" s="11">
        <f>IF(L914="","",100-IF($G$14=1,50,(_xlfn.RANK.AVG(L914,$L$19:$L$1518,1)-1)/($G$14-1)*100))</f>
        <v/>
      </c>
      <c r="Q914" s="11">
        <f>IF(M914="","",IF($G$15=1,50,(_xlfn.RANK.AVG(M914,$M$19:$M$1518,1)-1)/($G$15-1)*100))</f>
        <v/>
      </c>
      <c r="R914" s="11">
        <f>IF(N914="","",IF($G$16=1,50,(_xlfn.RANK.AVG(N914,$N$19:$N$1518,1)-1)/($G$16-1)*100))</f>
        <v/>
      </c>
      <c r="S914" s="11">
        <f>IF(COUNT(O914:R914)=4,ROUND(AVERAGE(O914:R914),6),"")</f>
        <v/>
      </c>
      <c r="U914">
        <f>IF(AND(ISNUMBER('자료_한국심리'!$A898),ISNUMBER('자료_한국심리'!$B898)),'자료_한국심리'!$A898,"")</f>
        <v/>
      </c>
      <c r="V914">
        <f>IF(AND(ISNUMBER('자료_한국심리'!$D898),ISNUMBER('자료_한국심리'!$E898)),'자료_한국심리'!$D898,"")</f>
        <v/>
      </c>
      <c r="W914">
        <f>IF(AND(ISNUMBER('자료_한국심리'!$G898),ISNUMBER('자료_한국심리'!$H898)),'자료_한국심리'!$G898,"")</f>
        <v/>
      </c>
      <c r="X914">
        <f>IF(AND(ISNUMBER('자료_한국심리'!$J898),ISNUMBER('자료_한국심리'!$K898)),'자료_한국심리'!$J898,"")</f>
        <v/>
      </c>
      <c r="Y914">
        <f>IF(AND(ISNUMBER('자료_한국심리'!$M898),ISNUMBER('자료_한국심리'!$N898)),'자료_한국심리'!$M898,"")</f>
        <v/>
      </c>
    </row>
    <row r="915">
      <c r="A915" s="10">
        <f>IF(897&gt;$E$5,"",SMALL($U$19:$U$4018,$E$6+897))</f>
        <v/>
      </c>
      <c r="B915" s="29">
        <f>IF(A915="","",INDEX('자료_한국심리'!$B$3:$B$4002,MATCH(A915,$U$19:$U$4018,0)))</f>
        <v/>
      </c>
      <c r="C915" s="22">
        <f>IF(A915="","",B915/AVERAGE(B791:B915)-1)</f>
        <v/>
      </c>
      <c r="D915" s="29">
        <f>IF(A915="","",IFERROR(INDEX('자료_한국심리'!$E$3:$E$4002,MATCH(A915,$V$19:$V$4018,0)),D914))</f>
        <v/>
      </c>
      <c r="E915" s="30">
        <f>IF(A915="","",IFERROR(INDEX('자료_한국심리'!$H$3:$H$4002,MATCH(A915,$W$19:$W$4018,0)),E914))</f>
        <v/>
      </c>
      <c r="F915" s="30">
        <f>IF(A915="","",IFERROR(INDEX('자료_한국심리'!$K$3:$K$4002,MATCH(A915,$X$19:$X$4018,0)),F914))</f>
        <v/>
      </c>
      <c r="G915" s="30">
        <f>IF(AND(ISNUMBER(E915),ISNUMBER(F915)),ROUND(E915-F915,6),"")</f>
        <v/>
      </c>
      <c r="H915" s="25">
        <f>IF(A915="","",IFERROR(INDEX('자료_한국심리'!$N$3:$N$4002,MATCH(A915,$Y$19:$Y$4018,0)),H914))</f>
        <v/>
      </c>
      <c r="I915" s="31">
        <f>IF(AND(ISNUMBER(H915),ISNUMBER(H895)),IF(H895&gt;0,H915/H895-1,""),"")</f>
        <v/>
      </c>
      <c r="J915">
        <f>IF(A915="",0,IF(A915&gt;$B$5,1,0))</f>
        <v/>
      </c>
      <c r="K915" s="29">
        <f>IF(AND(J915=1,ISNUMBER(D915)),D915,"")</f>
        <v/>
      </c>
      <c r="L915" s="30">
        <f>IF(AND(J915=1,ISNUMBER(G915)),G915,"")</f>
        <v/>
      </c>
      <c r="M915" s="22">
        <f>IF(AND(J915=1,ISNUMBER(C915)),C915,"")</f>
        <v/>
      </c>
      <c r="N915" s="31">
        <f>IF(AND(J915=1,ISNUMBER(I915)),I915,"")</f>
        <v/>
      </c>
      <c r="O915" s="11">
        <f>IF(K915="","",100-IF($G$13=1,50,(_xlfn.RANK.AVG(K915,$K$19:$K$1518,1)-1)/($G$13-1)*100))</f>
        <v/>
      </c>
      <c r="P915" s="11">
        <f>IF(L915="","",100-IF($G$14=1,50,(_xlfn.RANK.AVG(L915,$L$19:$L$1518,1)-1)/($G$14-1)*100))</f>
        <v/>
      </c>
      <c r="Q915" s="11">
        <f>IF(M915="","",IF($G$15=1,50,(_xlfn.RANK.AVG(M915,$M$19:$M$1518,1)-1)/($G$15-1)*100))</f>
        <v/>
      </c>
      <c r="R915" s="11">
        <f>IF(N915="","",IF($G$16=1,50,(_xlfn.RANK.AVG(N915,$N$19:$N$1518,1)-1)/($G$16-1)*100))</f>
        <v/>
      </c>
      <c r="S915" s="11">
        <f>IF(COUNT(O915:R915)=4,ROUND(AVERAGE(O915:R915),6),"")</f>
        <v/>
      </c>
      <c r="U915">
        <f>IF(AND(ISNUMBER('자료_한국심리'!$A899),ISNUMBER('자료_한국심리'!$B899)),'자료_한국심리'!$A899,"")</f>
        <v/>
      </c>
      <c r="V915">
        <f>IF(AND(ISNUMBER('자료_한국심리'!$D899),ISNUMBER('자료_한국심리'!$E899)),'자료_한국심리'!$D899,"")</f>
        <v/>
      </c>
      <c r="W915">
        <f>IF(AND(ISNUMBER('자료_한국심리'!$G899),ISNUMBER('자료_한국심리'!$H899)),'자료_한국심리'!$G899,"")</f>
        <v/>
      </c>
      <c r="X915">
        <f>IF(AND(ISNUMBER('자료_한국심리'!$J899),ISNUMBER('자료_한국심리'!$K899)),'자료_한국심리'!$J899,"")</f>
        <v/>
      </c>
      <c r="Y915">
        <f>IF(AND(ISNUMBER('자료_한국심리'!$M899),ISNUMBER('자료_한국심리'!$N899)),'자료_한국심리'!$M899,"")</f>
        <v/>
      </c>
    </row>
    <row r="916">
      <c r="A916" s="10">
        <f>IF(898&gt;$E$5,"",SMALL($U$19:$U$4018,$E$6+898))</f>
        <v/>
      </c>
      <c r="B916" s="29">
        <f>IF(A916="","",INDEX('자료_한국심리'!$B$3:$B$4002,MATCH(A916,$U$19:$U$4018,0)))</f>
        <v/>
      </c>
      <c r="C916" s="22">
        <f>IF(A916="","",B916/AVERAGE(B792:B916)-1)</f>
        <v/>
      </c>
      <c r="D916" s="29">
        <f>IF(A916="","",IFERROR(INDEX('자료_한국심리'!$E$3:$E$4002,MATCH(A916,$V$19:$V$4018,0)),D915))</f>
        <v/>
      </c>
      <c r="E916" s="30">
        <f>IF(A916="","",IFERROR(INDEX('자료_한국심리'!$H$3:$H$4002,MATCH(A916,$W$19:$W$4018,0)),E915))</f>
        <v/>
      </c>
      <c r="F916" s="30">
        <f>IF(A916="","",IFERROR(INDEX('자료_한국심리'!$K$3:$K$4002,MATCH(A916,$X$19:$X$4018,0)),F915))</f>
        <v/>
      </c>
      <c r="G916" s="30">
        <f>IF(AND(ISNUMBER(E916),ISNUMBER(F916)),ROUND(E916-F916,6),"")</f>
        <v/>
      </c>
      <c r="H916" s="25">
        <f>IF(A916="","",IFERROR(INDEX('자료_한국심리'!$N$3:$N$4002,MATCH(A916,$Y$19:$Y$4018,0)),H915))</f>
        <v/>
      </c>
      <c r="I916" s="31">
        <f>IF(AND(ISNUMBER(H916),ISNUMBER(H896)),IF(H896&gt;0,H916/H896-1,""),"")</f>
        <v/>
      </c>
      <c r="J916">
        <f>IF(A916="",0,IF(A916&gt;$B$5,1,0))</f>
        <v/>
      </c>
      <c r="K916" s="29">
        <f>IF(AND(J916=1,ISNUMBER(D916)),D916,"")</f>
        <v/>
      </c>
      <c r="L916" s="30">
        <f>IF(AND(J916=1,ISNUMBER(G916)),G916,"")</f>
        <v/>
      </c>
      <c r="M916" s="22">
        <f>IF(AND(J916=1,ISNUMBER(C916)),C916,"")</f>
        <v/>
      </c>
      <c r="N916" s="31">
        <f>IF(AND(J916=1,ISNUMBER(I916)),I916,"")</f>
        <v/>
      </c>
      <c r="O916" s="11">
        <f>IF(K916="","",100-IF($G$13=1,50,(_xlfn.RANK.AVG(K916,$K$19:$K$1518,1)-1)/($G$13-1)*100))</f>
        <v/>
      </c>
      <c r="P916" s="11">
        <f>IF(L916="","",100-IF($G$14=1,50,(_xlfn.RANK.AVG(L916,$L$19:$L$1518,1)-1)/($G$14-1)*100))</f>
        <v/>
      </c>
      <c r="Q916" s="11">
        <f>IF(M916="","",IF($G$15=1,50,(_xlfn.RANK.AVG(M916,$M$19:$M$1518,1)-1)/($G$15-1)*100))</f>
        <v/>
      </c>
      <c r="R916" s="11">
        <f>IF(N916="","",IF($G$16=1,50,(_xlfn.RANK.AVG(N916,$N$19:$N$1518,1)-1)/($G$16-1)*100))</f>
        <v/>
      </c>
      <c r="S916" s="11">
        <f>IF(COUNT(O916:R916)=4,ROUND(AVERAGE(O916:R916),6),"")</f>
        <v/>
      </c>
      <c r="U916">
        <f>IF(AND(ISNUMBER('자료_한국심리'!$A900),ISNUMBER('자료_한국심리'!$B900)),'자료_한국심리'!$A900,"")</f>
        <v/>
      </c>
      <c r="V916">
        <f>IF(AND(ISNUMBER('자료_한국심리'!$D900),ISNUMBER('자료_한국심리'!$E900)),'자료_한국심리'!$D900,"")</f>
        <v/>
      </c>
      <c r="W916">
        <f>IF(AND(ISNUMBER('자료_한국심리'!$G900),ISNUMBER('자료_한국심리'!$H900)),'자료_한국심리'!$G900,"")</f>
        <v/>
      </c>
      <c r="X916">
        <f>IF(AND(ISNUMBER('자료_한국심리'!$J900),ISNUMBER('자료_한국심리'!$K900)),'자료_한국심리'!$J900,"")</f>
        <v/>
      </c>
      <c r="Y916">
        <f>IF(AND(ISNUMBER('자료_한국심리'!$M900),ISNUMBER('자료_한국심리'!$N900)),'자료_한국심리'!$M900,"")</f>
        <v/>
      </c>
    </row>
    <row r="917">
      <c r="A917" s="10">
        <f>IF(899&gt;$E$5,"",SMALL($U$19:$U$4018,$E$6+899))</f>
        <v/>
      </c>
      <c r="B917" s="29">
        <f>IF(A917="","",INDEX('자료_한국심리'!$B$3:$B$4002,MATCH(A917,$U$19:$U$4018,0)))</f>
        <v/>
      </c>
      <c r="C917" s="22">
        <f>IF(A917="","",B917/AVERAGE(B793:B917)-1)</f>
        <v/>
      </c>
      <c r="D917" s="29">
        <f>IF(A917="","",IFERROR(INDEX('자료_한국심리'!$E$3:$E$4002,MATCH(A917,$V$19:$V$4018,0)),D916))</f>
        <v/>
      </c>
      <c r="E917" s="30">
        <f>IF(A917="","",IFERROR(INDEX('자료_한국심리'!$H$3:$H$4002,MATCH(A917,$W$19:$W$4018,0)),E916))</f>
        <v/>
      </c>
      <c r="F917" s="30">
        <f>IF(A917="","",IFERROR(INDEX('자료_한국심리'!$K$3:$K$4002,MATCH(A917,$X$19:$X$4018,0)),F916))</f>
        <v/>
      </c>
      <c r="G917" s="30">
        <f>IF(AND(ISNUMBER(E917),ISNUMBER(F917)),ROUND(E917-F917,6),"")</f>
        <v/>
      </c>
      <c r="H917" s="25">
        <f>IF(A917="","",IFERROR(INDEX('자료_한국심리'!$N$3:$N$4002,MATCH(A917,$Y$19:$Y$4018,0)),H916))</f>
        <v/>
      </c>
      <c r="I917" s="31">
        <f>IF(AND(ISNUMBER(H917),ISNUMBER(H897)),IF(H897&gt;0,H917/H897-1,""),"")</f>
        <v/>
      </c>
      <c r="J917">
        <f>IF(A917="",0,IF(A917&gt;$B$5,1,0))</f>
        <v/>
      </c>
      <c r="K917" s="29">
        <f>IF(AND(J917=1,ISNUMBER(D917)),D917,"")</f>
        <v/>
      </c>
      <c r="L917" s="30">
        <f>IF(AND(J917=1,ISNUMBER(G917)),G917,"")</f>
        <v/>
      </c>
      <c r="M917" s="22">
        <f>IF(AND(J917=1,ISNUMBER(C917)),C917,"")</f>
        <v/>
      </c>
      <c r="N917" s="31">
        <f>IF(AND(J917=1,ISNUMBER(I917)),I917,"")</f>
        <v/>
      </c>
      <c r="O917" s="11">
        <f>IF(K917="","",100-IF($G$13=1,50,(_xlfn.RANK.AVG(K917,$K$19:$K$1518,1)-1)/($G$13-1)*100))</f>
        <v/>
      </c>
      <c r="P917" s="11">
        <f>IF(L917="","",100-IF($G$14=1,50,(_xlfn.RANK.AVG(L917,$L$19:$L$1518,1)-1)/($G$14-1)*100))</f>
        <v/>
      </c>
      <c r="Q917" s="11">
        <f>IF(M917="","",IF($G$15=1,50,(_xlfn.RANK.AVG(M917,$M$19:$M$1518,1)-1)/($G$15-1)*100))</f>
        <v/>
      </c>
      <c r="R917" s="11">
        <f>IF(N917="","",IF($G$16=1,50,(_xlfn.RANK.AVG(N917,$N$19:$N$1518,1)-1)/($G$16-1)*100))</f>
        <v/>
      </c>
      <c r="S917" s="11">
        <f>IF(COUNT(O917:R917)=4,ROUND(AVERAGE(O917:R917),6),"")</f>
        <v/>
      </c>
      <c r="U917">
        <f>IF(AND(ISNUMBER('자료_한국심리'!$A901),ISNUMBER('자료_한국심리'!$B901)),'자료_한국심리'!$A901,"")</f>
        <v/>
      </c>
      <c r="V917">
        <f>IF(AND(ISNUMBER('자료_한국심리'!$D901),ISNUMBER('자료_한국심리'!$E901)),'자료_한국심리'!$D901,"")</f>
        <v/>
      </c>
      <c r="W917">
        <f>IF(AND(ISNUMBER('자료_한국심리'!$G901),ISNUMBER('자료_한국심리'!$H901)),'자료_한국심리'!$G901,"")</f>
        <v/>
      </c>
      <c r="X917">
        <f>IF(AND(ISNUMBER('자료_한국심리'!$J901),ISNUMBER('자료_한국심리'!$K901)),'자료_한국심리'!$J901,"")</f>
        <v/>
      </c>
      <c r="Y917">
        <f>IF(AND(ISNUMBER('자료_한국심리'!$M901),ISNUMBER('자료_한국심리'!$N901)),'자료_한국심리'!$M901,"")</f>
        <v/>
      </c>
    </row>
    <row r="918">
      <c r="A918" s="10">
        <f>IF(900&gt;$E$5,"",SMALL($U$19:$U$4018,$E$6+900))</f>
        <v/>
      </c>
      <c r="B918" s="29">
        <f>IF(A918="","",INDEX('자료_한국심리'!$B$3:$B$4002,MATCH(A918,$U$19:$U$4018,0)))</f>
        <v/>
      </c>
      <c r="C918" s="22">
        <f>IF(A918="","",B918/AVERAGE(B794:B918)-1)</f>
        <v/>
      </c>
      <c r="D918" s="29">
        <f>IF(A918="","",IFERROR(INDEX('자료_한국심리'!$E$3:$E$4002,MATCH(A918,$V$19:$V$4018,0)),D917))</f>
        <v/>
      </c>
      <c r="E918" s="30">
        <f>IF(A918="","",IFERROR(INDEX('자료_한국심리'!$H$3:$H$4002,MATCH(A918,$W$19:$W$4018,0)),E917))</f>
        <v/>
      </c>
      <c r="F918" s="30">
        <f>IF(A918="","",IFERROR(INDEX('자료_한국심리'!$K$3:$K$4002,MATCH(A918,$X$19:$X$4018,0)),F917))</f>
        <v/>
      </c>
      <c r="G918" s="30">
        <f>IF(AND(ISNUMBER(E918),ISNUMBER(F918)),ROUND(E918-F918,6),"")</f>
        <v/>
      </c>
      <c r="H918" s="25">
        <f>IF(A918="","",IFERROR(INDEX('자료_한국심리'!$N$3:$N$4002,MATCH(A918,$Y$19:$Y$4018,0)),H917))</f>
        <v/>
      </c>
      <c r="I918" s="31">
        <f>IF(AND(ISNUMBER(H918),ISNUMBER(H898)),IF(H898&gt;0,H918/H898-1,""),"")</f>
        <v/>
      </c>
      <c r="J918">
        <f>IF(A918="",0,IF(A918&gt;$B$5,1,0))</f>
        <v/>
      </c>
      <c r="K918" s="29">
        <f>IF(AND(J918=1,ISNUMBER(D918)),D918,"")</f>
        <v/>
      </c>
      <c r="L918" s="30">
        <f>IF(AND(J918=1,ISNUMBER(G918)),G918,"")</f>
        <v/>
      </c>
      <c r="M918" s="22">
        <f>IF(AND(J918=1,ISNUMBER(C918)),C918,"")</f>
        <v/>
      </c>
      <c r="N918" s="31">
        <f>IF(AND(J918=1,ISNUMBER(I918)),I918,"")</f>
        <v/>
      </c>
      <c r="O918" s="11">
        <f>IF(K918="","",100-IF($G$13=1,50,(_xlfn.RANK.AVG(K918,$K$19:$K$1518,1)-1)/($G$13-1)*100))</f>
        <v/>
      </c>
      <c r="P918" s="11">
        <f>IF(L918="","",100-IF($G$14=1,50,(_xlfn.RANK.AVG(L918,$L$19:$L$1518,1)-1)/($G$14-1)*100))</f>
        <v/>
      </c>
      <c r="Q918" s="11">
        <f>IF(M918="","",IF($G$15=1,50,(_xlfn.RANK.AVG(M918,$M$19:$M$1518,1)-1)/($G$15-1)*100))</f>
        <v/>
      </c>
      <c r="R918" s="11">
        <f>IF(N918="","",IF($G$16=1,50,(_xlfn.RANK.AVG(N918,$N$19:$N$1518,1)-1)/($G$16-1)*100))</f>
        <v/>
      </c>
      <c r="S918" s="11">
        <f>IF(COUNT(O918:R918)=4,ROUND(AVERAGE(O918:R918),6),"")</f>
        <v/>
      </c>
      <c r="U918">
        <f>IF(AND(ISNUMBER('자료_한국심리'!$A902),ISNUMBER('자료_한국심리'!$B902)),'자료_한국심리'!$A902,"")</f>
        <v/>
      </c>
      <c r="V918">
        <f>IF(AND(ISNUMBER('자료_한국심리'!$D902),ISNUMBER('자료_한국심리'!$E902)),'자료_한국심리'!$D902,"")</f>
        <v/>
      </c>
      <c r="W918">
        <f>IF(AND(ISNUMBER('자료_한국심리'!$G902),ISNUMBER('자료_한국심리'!$H902)),'자료_한국심리'!$G902,"")</f>
        <v/>
      </c>
      <c r="X918">
        <f>IF(AND(ISNUMBER('자료_한국심리'!$J902),ISNUMBER('자료_한국심리'!$K902)),'자료_한국심리'!$J902,"")</f>
        <v/>
      </c>
      <c r="Y918">
        <f>IF(AND(ISNUMBER('자료_한국심리'!$M902),ISNUMBER('자료_한국심리'!$N902)),'자료_한국심리'!$M902,"")</f>
        <v/>
      </c>
    </row>
    <row r="919">
      <c r="A919" s="10">
        <f>IF(901&gt;$E$5,"",SMALL($U$19:$U$4018,$E$6+901))</f>
        <v/>
      </c>
      <c r="B919" s="29">
        <f>IF(A919="","",INDEX('자료_한국심리'!$B$3:$B$4002,MATCH(A919,$U$19:$U$4018,0)))</f>
        <v/>
      </c>
      <c r="C919" s="22">
        <f>IF(A919="","",B919/AVERAGE(B795:B919)-1)</f>
        <v/>
      </c>
      <c r="D919" s="29">
        <f>IF(A919="","",IFERROR(INDEX('자료_한국심리'!$E$3:$E$4002,MATCH(A919,$V$19:$V$4018,0)),D918))</f>
        <v/>
      </c>
      <c r="E919" s="30">
        <f>IF(A919="","",IFERROR(INDEX('자료_한국심리'!$H$3:$H$4002,MATCH(A919,$W$19:$W$4018,0)),E918))</f>
        <v/>
      </c>
      <c r="F919" s="30">
        <f>IF(A919="","",IFERROR(INDEX('자료_한국심리'!$K$3:$K$4002,MATCH(A919,$X$19:$X$4018,0)),F918))</f>
        <v/>
      </c>
      <c r="G919" s="30">
        <f>IF(AND(ISNUMBER(E919),ISNUMBER(F919)),ROUND(E919-F919,6),"")</f>
        <v/>
      </c>
      <c r="H919" s="25">
        <f>IF(A919="","",IFERROR(INDEX('자료_한국심리'!$N$3:$N$4002,MATCH(A919,$Y$19:$Y$4018,0)),H918))</f>
        <v/>
      </c>
      <c r="I919" s="31">
        <f>IF(AND(ISNUMBER(H919),ISNUMBER(H899)),IF(H899&gt;0,H919/H899-1,""),"")</f>
        <v/>
      </c>
      <c r="J919">
        <f>IF(A919="",0,IF(A919&gt;$B$5,1,0))</f>
        <v/>
      </c>
      <c r="K919" s="29">
        <f>IF(AND(J919=1,ISNUMBER(D919)),D919,"")</f>
        <v/>
      </c>
      <c r="L919" s="30">
        <f>IF(AND(J919=1,ISNUMBER(G919)),G919,"")</f>
        <v/>
      </c>
      <c r="M919" s="22">
        <f>IF(AND(J919=1,ISNUMBER(C919)),C919,"")</f>
        <v/>
      </c>
      <c r="N919" s="31">
        <f>IF(AND(J919=1,ISNUMBER(I919)),I919,"")</f>
        <v/>
      </c>
      <c r="O919" s="11">
        <f>IF(K919="","",100-IF($G$13=1,50,(_xlfn.RANK.AVG(K919,$K$19:$K$1518,1)-1)/($G$13-1)*100))</f>
        <v/>
      </c>
      <c r="P919" s="11">
        <f>IF(L919="","",100-IF($G$14=1,50,(_xlfn.RANK.AVG(L919,$L$19:$L$1518,1)-1)/($G$14-1)*100))</f>
        <v/>
      </c>
      <c r="Q919" s="11">
        <f>IF(M919="","",IF($G$15=1,50,(_xlfn.RANK.AVG(M919,$M$19:$M$1518,1)-1)/($G$15-1)*100))</f>
        <v/>
      </c>
      <c r="R919" s="11">
        <f>IF(N919="","",IF($G$16=1,50,(_xlfn.RANK.AVG(N919,$N$19:$N$1518,1)-1)/($G$16-1)*100))</f>
        <v/>
      </c>
      <c r="S919" s="11">
        <f>IF(COUNT(O919:R919)=4,ROUND(AVERAGE(O919:R919),6),"")</f>
        <v/>
      </c>
      <c r="U919">
        <f>IF(AND(ISNUMBER('자료_한국심리'!$A903),ISNUMBER('자료_한국심리'!$B903)),'자료_한국심리'!$A903,"")</f>
        <v/>
      </c>
      <c r="V919">
        <f>IF(AND(ISNUMBER('자료_한국심리'!$D903),ISNUMBER('자료_한국심리'!$E903)),'자료_한국심리'!$D903,"")</f>
        <v/>
      </c>
      <c r="W919">
        <f>IF(AND(ISNUMBER('자료_한국심리'!$G903),ISNUMBER('자료_한국심리'!$H903)),'자료_한국심리'!$G903,"")</f>
        <v/>
      </c>
      <c r="X919">
        <f>IF(AND(ISNUMBER('자료_한국심리'!$J903),ISNUMBER('자료_한국심리'!$K903)),'자료_한국심리'!$J903,"")</f>
        <v/>
      </c>
      <c r="Y919">
        <f>IF(AND(ISNUMBER('자료_한국심리'!$M903),ISNUMBER('자료_한국심리'!$N903)),'자료_한국심리'!$M903,"")</f>
        <v/>
      </c>
    </row>
    <row r="920">
      <c r="A920" s="10">
        <f>IF(902&gt;$E$5,"",SMALL($U$19:$U$4018,$E$6+902))</f>
        <v/>
      </c>
      <c r="B920" s="29">
        <f>IF(A920="","",INDEX('자료_한국심리'!$B$3:$B$4002,MATCH(A920,$U$19:$U$4018,0)))</f>
        <v/>
      </c>
      <c r="C920" s="22">
        <f>IF(A920="","",B920/AVERAGE(B796:B920)-1)</f>
        <v/>
      </c>
      <c r="D920" s="29">
        <f>IF(A920="","",IFERROR(INDEX('자료_한국심리'!$E$3:$E$4002,MATCH(A920,$V$19:$V$4018,0)),D919))</f>
        <v/>
      </c>
      <c r="E920" s="30">
        <f>IF(A920="","",IFERROR(INDEX('자료_한국심리'!$H$3:$H$4002,MATCH(A920,$W$19:$W$4018,0)),E919))</f>
        <v/>
      </c>
      <c r="F920" s="30">
        <f>IF(A920="","",IFERROR(INDEX('자료_한국심리'!$K$3:$K$4002,MATCH(A920,$X$19:$X$4018,0)),F919))</f>
        <v/>
      </c>
      <c r="G920" s="30">
        <f>IF(AND(ISNUMBER(E920),ISNUMBER(F920)),ROUND(E920-F920,6),"")</f>
        <v/>
      </c>
      <c r="H920" s="25">
        <f>IF(A920="","",IFERROR(INDEX('자료_한국심리'!$N$3:$N$4002,MATCH(A920,$Y$19:$Y$4018,0)),H919))</f>
        <v/>
      </c>
      <c r="I920" s="31">
        <f>IF(AND(ISNUMBER(H920),ISNUMBER(H900)),IF(H900&gt;0,H920/H900-1,""),"")</f>
        <v/>
      </c>
      <c r="J920">
        <f>IF(A920="",0,IF(A920&gt;$B$5,1,0))</f>
        <v/>
      </c>
      <c r="K920" s="29">
        <f>IF(AND(J920=1,ISNUMBER(D920)),D920,"")</f>
        <v/>
      </c>
      <c r="L920" s="30">
        <f>IF(AND(J920=1,ISNUMBER(G920)),G920,"")</f>
        <v/>
      </c>
      <c r="M920" s="22">
        <f>IF(AND(J920=1,ISNUMBER(C920)),C920,"")</f>
        <v/>
      </c>
      <c r="N920" s="31">
        <f>IF(AND(J920=1,ISNUMBER(I920)),I920,"")</f>
        <v/>
      </c>
      <c r="O920" s="11">
        <f>IF(K920="","",100-IF($G$13=1,50,(_xlfn.RANK.AVG(K920,$K$19:$K$1518,1)-1)/($G$13-1)*100))</f>
        <v/>
      </c>
      <c r="P920" s="11">
        <f>IF(L920="","",100-IF($G$14=1,50,(_xlfn.RANK.AVG(L920,$L$19:$L$1518,1)-1)/($G$14-1)*100))</f>
        <v/>
      </c>
      <c r="Q920" s="11">
        <f>IF(M920="","",IF($G$15=1,50,(_xlfn.RANK.AVG(M920,$M$19:$M$1518,1)-1)/($G$15-1)*100))</f>
        <v/>
      </c>
      <c r="R920" s="11">
        <f>IF(N920="","",IF($G$16=1,50,(_xlfn.RANK.AVG(N920,$N$19:$N$1518,1)-1)/($G$16-1)*100))</f>
        <v/>
      </c>
      <c r="S920" s="11">
        <f>IF(COUNT(O920:R920)=4,ROUND(AVERAGE(O920:R920),6),"")</f>
        <v/>
      </c>
      <c r="U920">
        <f>IF(AND(ISNUMBER('자료_한국심리'!$A904),ISNUMBER('자료_한국심리'!$B904)),'자료_한국심리'!$A904,"")</f>
        <v/>
      </c>
      <c r="V920">
        <f>IF(AND(ISNUMBER('자료_한국심리'!$D904),ISNUMBER('자료_한국심리'!$E904)),'자료_한국심리'!$D904,"")</f>
        <v/>
      </c>
      <c r="W920">
        <f>IF(AND(ISNUMBER('자료_한국심리'!$G904),ISNUMBER('자료_한국심리'!$H904)),'자료_한국심리'!$G904,"")</f>
        <v/>
      </c>
      <c r="X920">
        <f>IF(AND(ISNUMBER('자료_한국심리'!$J904),ISNUMBER('자료_한국심리'!$K904)),'자료_한국심리'!$J904,"")</f>
        <v/>
      </c>
      <c r="Y920">
        <f>IF(AND(ISNUMBER('자료_한국심리'!$M904),ISNUMBER('자료_한국심리'!$N904)),'자료_한국심리'!$M904,"")</f>
        <v/>
      </c>
    </row>
    <row r="921">
      <c r="A921" s="10">
        <f>IF(903&gt;$E$5,"",SMALL($U$19:$U$4018,$E$6+903))</f>
        <v/>
      </c>
      <c r="B921" s="29">
        <f>IF(A921="","",INDEX('자료_한국심리'!$B$3:$B$4002,MATCH(A921,$U$19:$U$4018,0)))</f>
        <v/>
      </c>
      <c r="C921" s="22">
        <f>IF(A921="","",B921/AVERAGE(B797:B921)-1)</f>
        <v/>
      </c>
      <c r="D921" s="29">
        <f>IF(A921="","",IFERROR(INDEX('자료_한국심리'!$E$3:$E$4002,MATCH(A921,$V$19:$V$4018,0)),D920))</f>
        <v/>
      </c>
      <c r="E921" s="30">
        <f>IF(A921="","",IFERROR(INDEX('자료_한국심리'!$H$3:$H$4002,MATCH(A921,$W$19:$W$4018,0)),E920))</f>
        <v/>
      </c>
      <c r="F921" s="30">
        <f>IF(A921="","",IFERROR(INDEX('자료_한국심리'!$K$3:$K$4002,MATCH(A921,$X$19:$X$4018,0)),F920))</f>
        <v/>
      </c>
      <c r="G921" s="30">
        <f>IF(AND(ISNUMBER(E921),ISNUMBER(F921)),ROUND(E921-F921,6),"")</f>
        <v/>
      </c>
      <c r="H921" s="25">
        <f>IF(A921="","",IFERROR(INDEX('자료_한국심리'!$N$3:$N$4002,MATCH(A921,$Y$19:$Y$4018,0)),H920))</f>
        <v/>
      </c>
      <c r="I921" s="31">
        <f>IF(AND(ISNUMBER(H921),ISNUMBER(H901)),IF(H901&gt;0,H921/H901-1,""),"")</f>
        <v/>
      </c>
      <c r="J921">
        <f>IF(A921="",0,IF(A921&gt;$B$5,1,0))</f>
        <v/>
      </c>
      <c r="K921" s="29">
        <f>IF(AND(J921=1,ISNUMBER(D921)),D921,"")</f>
        <v/>
      </c>
      <c r="L921" s="30">
        <f>IF(AND(J921=1,ISNUMBER(G921)),G921,"")</f>
        <v/>
      </c>
      <c r="M921" s="22">
        <f>IF(AND(J921=1,ISNUMBER(C921)),C921,"")</f>
        <v/>
      </c>
      <c r="N921" s="31">
        <f>IF(AND(J921=1,ISNUMBER(I921)),I921,"")</f>
        <v/>
      </c>
      <c r="O921" s="11">
        <f>IF(K921="","",100-IF($G$13=1,50,(_xlfn.RANK.AVG(K921,$K$19:$K$1518,1)-1)/($G$13-1)*100))</f>
        <v/>
      </c>
      <c r="P921" s="11">
        <f>IF(L921="","",100-IF($G$14=1,50,(_xlfn.RANK.AVG(L921,$L$19:$L$1518,1)-1)/($G$14-1)*100))</f>
        <v/>
      </c>
      <c r="Q921" s="11">
        <f>IF(M921="","",IF($G$15=1,50,(_xlfn.RANK.AVG(M921,$M$19:$M$1518,1)-1)/($G$15-1)*100))</f>
        <v/>
      </c>
      <c r="R921" s="11">
        <f>IF(N921="","",IF($G$16=1,50,(_xlfn.RANK.AVG(N921,$N$19:$N$1518,1)-1)/($G$16-1)*100))</f>
        <v/>
      </c>
      <c r="S921" s="11">
        <f>IF(COUNT(O921:R921)=4,ROUND(AVERAGE(O921:R921),6),"")</f>
        <v/>
      </c>
      <c r="U921">
        <f>IF(AND(ISNUMBER('자료_한국심리'!$A905),ISNUMBER('자료_한국심리'!$B905)),'자료_한국심리'!$A905,"")</f>
        <v/>
      </c>
      <c r="V921">
        <f>IF(AND(ISNUMBER('자료_한국심리'!$D905),ISNUMBER('자료_한국심리'!$E905)),'자료_한국심리'!$D905,"")</f>
        <v/>
      </c>
      <c r="W921">
        <f>IF(AND(ISNUMBER('자료_한국심리'!$G905),ISNUMBER('자료_한국심리'!$H905)),'자료_한국심리'!$G905,"")</f>
        <v/>
      </c>
      <c r="X921">
        <f>IF(AND(ISNUMBER('자료_한국심리'!$J905),ISNUMBER('자료_한국심리'!$K905)),'자료_한국심리'!$J905,"")</f>
        <v/>
      </c>
      <c r="Y921">
        <f>IF(AND(ISNUMBER('자료_한국심리'!$M905),ISNUMBER('자료_한국심리'!$N905)),'자료_한국심리'!$M905,"")</f>
        <v/>
      </c>
    </row>
    <row r="922">
      <c r="A922" s="10">
        <f>IF(904&gt;$E$5,"",SMALL($U$19:$U$4018,$E$6+904))</f>
        <v/>
      </c>
      <c r="B922" s="29">
        <f>IF(A922="","",INDEX('자료_한국심리'!$B$3:$B$4002,MATCH(A922,$U$19:$U$4018,0)))</f>
        <v/>
      </c>
      <c r="C922" s="22">
        <f>IF(A922="","",B922/AVERAGE(B798:B922)-1)</f>
        <v/>
      </c>
      <c r="D922" s="29">
        <f>IF(A922="","",IFERROR(INDEX('자료_한국심리'!$E$3:$E$4002,MATCH(A922,$V$19:$V$4018,0)),D921))</f>
        <v/>
      </c>
      <c r="E922" s="30">
        <f>IF(A922="","",IFERROR(INDEX('자료_한국심리'!$H$3:$H$4002,MATCH(A922,$W$19:$W$4018,0)),E921))</f>
        <v/>
      </c>
      <c r="F922" s="30">
        <f>IF(A922="","",IFERROR(INDEX('자료_한국심리'!$K$3:$K$4002,MATCH(A922,$X$19:$X$4018,0)),F921))</f>
        <v/>
      </c>
      <c r="G922" s="30">
        <f>IF(AND(ISNUMBER(E922),ISNUMBER(F922)),ROUND(E922-F922,6),"")</f>
        <v/>
      </c>
      <c r="H922" s="25">
        <f>IF(A922="","",IFERROR(INDEX('자료_한국심리'!$N$3:$N$4002,MATCH(A922,$Y$19:$Y$4018,0)),H921))</f>
        <v/>
      </c>
      <c r="I922" s="31">
        <f>IF(AND(ISNUMBER(H922),ISNUMBER(H902)),IF(H902&gt;0,H922/H902-1,""),"")</f>
        <v/>
      </c>
      <c r="J922">
        <f>IF(A922="",0,IF(A922&gt;$B$5,1,0))</f>
        <v/>
      </c>
      <c r="K922" s="29">
        <f>IF(AND(J922=1,ISNUMBER(D922)),D922,"")</f>
        <v/>
      </c>
      <c r="L922" s="30">
        <f>IF(AND(J922=1,ISNUMBER(G922)),G922,"")</f>
        <v/>
      </c>
      <c r="M922" s="22">
        <f>IF(AND(J922=1,ISNUMBER(C922)),C922,"")</f>
        <v/>
      </c>
      <c r="N922" s="31">
        <f>IF(AND(J922=1,ISNUMBER(I922)),I922,"")</f>
        <v/>
      </c>
      <c r="O922" s="11">
        <f>IF(K922="","",100-IF($G$13=1,50,(_xlfn.RANK.AVG(K922,$K$19:$K$1518,1)-1)/($G$13-1)*100))</f>
        <v/>
      </c>
      <c r="P922" s="11">
        <f>IF(L922="","",100-IF($G$14=1,50,(_xlfn.RANK.AVG(L922,$L$19:$L$1518,1)-1)/($G$14-1)*100))</f>
        <v/>
      </c>
      <c r="Q922" s="11">
        <f>IF(M922="","",IF($G$15=1,50,(_xlfn.RANK.AVG(M922,$M$19:$M$1518,1)-1)/($G$15-1)*100))</f>
        <v/>
      </c>
      <c r="R922" s="11">
        <f>IF(N922="","",IF($G$16=1,50,(_xlfn.RANK.AVG(N922,$N$19:$N$1518,1)-1)/($G$16-1)*100))</f>
        <v/>
      </c>
      <c r="S922" s="11">
        <f>IF(COUNT(O922:R922)=4,ROUND(AVERAGE(O922:R922),6),"")</f>
        <v/>
      </c>
      <c r="U922">
        <f>IF(AND(ISNUMBER('자료_한국심리'!$A906),ISNUMBER('자료_한국심리'!$B906)),'자료_한국심리'!$A906,"")</f>
        <v/>
      </c>
      <c r="V922">
        <f>IF(AND(ISNUMBER('자료_한국심리'!$D906),ISNUMBER('자료_한국심리'!$E906)),'자료_한국심리'!$D906,"")</f>
        <v/>
      </c>
      <c r="W922">
        <f>IF(AND(ISNUMBER('자료_한국심리'!$G906),ISNUMBER('자료_한국심리'!$H906)),'자료_한국심리'!$G906,"")</f>
        <v/>
      </c>
      <c r="X922">
        <f>IF(AND(ISNUMBER('자료_한국심리'!$J906),ISNUMBER('자료_한국심리'!$K906)),'자료_한국심리'!$J906,"")</f>
        <v/>
      </c>
      <c r="Y922">
        <f>IF(AND(ISNUMBER('자료_한국심리'!$M906),ISNUMBER('자료_한국심리'!$N906)),'자료_한국심리'!$M906,"")</f>
        <v/>
      </c>
    </row>
    <row r="923">
      <c r="A923" s="10">
        <f>IF(905&gt;$E$5,"",SMALL($U$19:$U$4018,$E$6+905))</f>
        <v/>
      </c>
      <c r="B923" s="29">
        <f>IF(A923="","",INDEX('자료_한국심리'!$B$3:$B$4002,MATCH(A923,$U$19:$U$4018,0)))</f>
        <v/>
      </c>
      <c r="C923" s="22">
        <f>IF(A923="","",B923/AVERAGE(B799:B923)-1)</f>
        <v/>
      </c>
      <c r="D923" s="29">
        <f>IF(A923="","",IFERROR(INDEX('자료_한국심리'!$E$3:$E$4002,MATCH(A923,$V$19:$V$4018,0)),D922))</f>
        <v/>
      </c>
      <c r="E923" s="30">
        <f>IF(A923="","",IFERROR(INDEX('자료_한국심리'!$H$3:$H$4002,MATCH(A923,$W$19:$W$4018,0)),E922))</f>
        <v/>
      </c>
      <c r="F923" s="30">
        <f>IF(A923="","",IFERROR(INDEX('자료_한국심리'!$K$3:$K$4002,MATCH(A923,$X$19:$X$4018,0)),F922))</f>
        <v/>
      </c>
      <c r="G923" s="30">
        <f>IF(AND(ISNUMBER(E923),ISNUMBER(F923)),ROUND(E923-F923,6),"")</f>
        <v/>
      </c>
      <c r="H923" s="25">
        <f>IF(A923="","",IFERROR(INDEX('자료_한국심리'!$N$3:$N$4002,MATCH(A923,$Y$19:$Y$4018,0)),H922))</f>
        <v/>
      </c>
      <c r="I923" s="31">
        <f>IF(AND(ISNUMBER(H923),ISNUMBER(H903)),IF(H903&gt;0,H923/H903-1,""),"")</f>
        <v/>
      </c>
      <c r="J923">
        <f>IF(A923="",0,IF(A923&gt;$B$5,1,0))</f>
        <v/>
      </c>
      <c r="K923" s="29">
        <f>IF(AND(J923=1,ISNUMBER(D923)),D923,"")</f>
        <v/>
      </c>
      <c r="L923" s="30">
        <f>IF(AND(J923=1,ISNUMBER(G923)),G923,"")</f>
        <v/>
      </c>
      <c r="M923" s="22">
        <f>IF(AND(J923=1,ISNUMBER(C923)),C923,"")</f>
        <v/>
      </c>
      <c r="N923" s="31">
        <f>IF(AND(J923=1,ISNUMBER(I923)),I923,"")</f>
        <v/>
      </c>
      <c r="O923" s="11">
        <f>IF(K923="","",100-IF($G$13=1,50,(_xlfn.RANK.AVG(K923,$K$19:$K$1518,1)-1)/($G$13-1)*100))</f>
        <v/>
      </c>
      <c r="P923" s="11">
        <f>IF(L923="","",100-IF($G$14=1,50,(_xlfn.RANK.AVG(L923,$L$19:$L$1518,1)-1)/($G$14-1)*100))</f>
        <v/>
      </c>
      <c r="Q923" s="11">
        <f>IF(M923="","",IF($G$15=1,50,(_xlfn.RANK.AVG(M923,$M$19:$M$1518,1)-1)/($G$15-1)*100))</f>
        <v/>
      </c>
      <c r="R923" s="11">
        <f>IF(N923="","",IF($G$16=1,50,(_xlfn.RANK.AVG(N923,$N$19:$N$1518,1)-1)/($G$16-1)*100))</f>
        <v/>
      </c>
      <c r="S923" s="11">
        <f>IF(COUNT(O923:R923)=4,ROUND(AVERAGE(O923:R923),6),"")</f>
        <v/>
      </c>
      <c r="U923">
        <f>IF(AND(ISNUMBER('자료_한국심리'!$A907),ISNUMBER('자료_한국심리'!$B907)),'자료_한국심리'!$A907,"")</f>
        <v/>
      </c>
      <c r="V923">
        <f>IF(AND(ISNUMBER('자료_한국심리'!$D907),ISNUMBER('자료_한국심리'!$E907)),'자료_한국심리'!$D907,"")</f>
        <v/>
      </c>
      <c r="W923">
        <f>IF(AND(ISNUMBER('자료_한국심리'!$G907),ISNUMBER('자료_한국심리'!$H907)),'자료_한국심리'!$G907,"")</f>
        <v/>
      </c>
      <c r="X923">
        <f>IF(AND(ISNUMBER('자료_한국심리'!$J907),ISNUMBER('자료_한국심리'!$K907)),'자료_한국심리'!$J907,"")</f>
        <v/>
      </c>
      <c r="Y923">
        <f>IF(AND(ISNUMBER('자료_한국심리'!$M907),ISNUMBER('자료_한국심리'!$N907)),'자료_한국심리'!$M907,"")</f>
        <v/>
      </c>
    </row>
    <row r="924">
      <c r="A924" s="10">
        <f>IF(906&gt;$E$5,"",SMALL($U$19:$U$4018,$E$6+906))</f>
        <v/>
      </c>
      <c r="B924" s="29">
        <f>IF(A924="","",INDEX('자료_한국심리'!$B$3:$B$4002,MATCH(A924,$U$19:$U$4018,0)))</f>
        <v/>
      </c>
      <c r="C924" s="22">
        <f>IF(A924="","",B924/AVERAGE(B800:B924)-1)</f>
        <v/>
      </c>
      <c r="D924" s="29">
        <f>IF(A924="","",IFERROR(INDEX('자료_한국심리'!$E$3:$E$4002,MATCH(A924,$V$19:$V$4018,0)),D923))</f>
        <v/>
      </c>
      <c r="E924" s="30">
        <f>IF(A924="","",IFERROR(INDEX('자료_한국심리'!$H$3:$H$4002,MATCH(A924,$W$19:$W$4018,0)),E923))</f>
        <v/>
      </c>
      <c r="F924" s="30">
        <f>IF(A924="","",IFERROR(INDEX('자료_한국심리'!$K$3:$K$4002,MATCH(A924,$X$19:$X$4018,0)),F923))</f>
        <v/>
      </c>
      <c r="G924" s="30">
        <f>IF(AND(ISNUMBER(E924),ISNUMBER(F924)),ROUND(E924-F924,6),"")</f>
        <v/>
      </c>
      <c r="H924" s="25">
        <f>IF(A924="","",IFERROR(INDEX('자료_한국심리'!$N$3:$N$4002,MATCH(A924,$Y$19:$Y$4018,0)),H923))</f>
        <v/>
      </c>
      <c r="I924" s="31">
        <f>IF(AND(ISNUMBER(H924),ISNUMBER(H904)),IF(H904&gt;0,H924/H904-1,""),"")</f>
        <v/>
      </c>
      <c r="J924">
        <f>IF(A924="",0,IF(A924&gt;$B$5,1,0))</f>
        <v/>
      </c>
      <c r="K924" s="29">
        <f>IF(AND(J924=1,ISNUMBER(D924)),D924,"")</f>
        <v/>
      </c>
      <c r="L924" s="30">
        <f>IF(AND(J924=1,ISNUMBER(G924)),G924,"")</f>
        <v/>
      </c>
      <c r="M924" s="22">
        <f>IF(AND(J924=1,ISNUMBER(C924)),C924,"")</f>
        <v/>
      </c>
      <c r="N924" s="31">
        <f>IF(AND(J924=1,ISNUMBER(I924)),I924,"")</f>
        <v/>
      </c>
      <c r="O924" s="11">
        <f>IF(K924="","",100-IF($G$13=1,50,(_xlfn.RANK.AVG(K924,$K$19:$K$1518,1)-1)/($G$13-1)*100))</f>
        <v/>
      </c>
      <c r="P924" s="11">
        <f>IF(L924="","",100-IF($G$14=1,50,(_xlfn.RANK.AVG(L924,$L$19:$L$1518,1)-1)/($G$14-1)*100))</f>
        <v/>
      </c>
      <c r="Q924" s="11">
        <f>IF(M924="","",IF($G$15=1,50,(_xlfn.RANK.AVG(M924,$M$19:$M$1518,1)-1)/($G$15-1)*100))</f>
        <v/>
      </c>
      <c r="R924" s="11">
        <f>IF(N924="","",IF($G$16=1,50,(_xlfn.RANK.AVG(N924,$N$19:$N$1518,1)-1)/($G$16-1)*100))</f>
        <v/>
      </c>
      <c r="S924" s="11">
        <f>IF(COUNT(O924:R924)=4,ROUND(AVERAGE(O924:R924),6),"")</f>
        <v/>
      </c>
      <c r="U924">
        <f>IF(AND(ISNUMBER('자료_한국심리'!$A908),ISNUMBER('자료_한국심리'!$B908)),'자료_한국심리'!$A908,"")</f>
        <v/>
      </c>
      <c r="V924">
        <f>IF(AND(ISNUMBER('자료_한국심리'!$D908),ISNUMBER('자료_한국심리'!$E908)),'자료_한국심리'!$D908,"")</f>
        <v/>
      </c>
      <c r="W924">
        <f>IF(AND(ISNUMBER('자료_한국심리'!$G908),ISNUMBER('자료_한국심리'!$H908)),'자료_한국심리'!$G908,"")</f>
        <v/>
      </c>
      <c r="X924">
        <f>IF(AND(ISNUMBER('자료_한국심리'!$J908),ISNUMBER('자료_한국심리'!$K908)),'자료_한국심리'!$J908,"")</f>
        <v/>
      </c>
      <c r="Y924">
        <f>IF(AND(ISNUMBER('자료_한국심리'!$M908),ISNUMBER('자료_한국심리'!$N908)),'자료_한국심리'!$M908,"")</f>
        <v/>
      </c>
    </row>
    <row r="925">
      <c r="A925" s="10">
        <f>IF(907&gt;$E$5,"",SMALL($U$19:$U$4018,$E$6+907))</f>
        <v/>
      </c>
      <c r="B925" s="29">
        <f>IF(A925="","",INDEX('자료_한국심리'!$B$3:$B$4002,MATCH(A925,$U$19:$U$4018,0)))</f>
        <v/>
      </c>
      <c r="C925" s="22">
        <f>IF(A925="","",B925/AVERAGE(B801:B925)-1)</f>
        <v/>
      </c>
      <c r="D925" s="29">
        <f>IF(A925="","",IFERROR(INDEX('자료_한국심리'!$E$3:$E$4002,MATCH(A925,$V$19:$V$4018,0)),D924))</f>
        <v/>
      </c>
      <c r="E925" s="30">
        <f>IF(A925="","",IFERROR(INDEX('자료_한국심리'!$H$3:$H$4002,MATCH(A925,$W$19:$W$4018,0)),E924))</f>
        <v/>
      </c>
      <c r="F925" s="30">
        <f>IF(A925="","",IFERROR(INDEX('자료_한국심리'!$K$3:$K$4002,MATCH(A925,$X$19:$X$4018,0)),F924))</f>
        <v/>
      </c>
      <c r="G925" s="30">
        <f>IF(AND(ISNUMBER(E925),ISNUMBER(F925)),ROUND(E925-F925,6),"")</f>
        <v/>
      </c>
      <c r="H925" s="25">
        <f>IF(A925="","",IFERROR(INDEX('자료_한국심리'!$N$3:$N$4002,MATCH(A925,$Y$19:$Y$4018,0)),H924))</f>
        <v/>
      </c>
      <c r="I925" s="31">
        <f>IF(AND(ISNUMBER(H925),ISNUMBER(H905)),IF(H905&gt;0,H925/H905-1,""),"")</f>
        <v/>
      </c>
      <c r="J925">
        <f>IF(A925="",0,IF(A925&gt;$B$5,1,0))</f>
        <v/>
      </c>
      <c r="K925" s="29">
        <f>IF(AND(J925=1,ISNUMBER(D925)),D925,"")</f>
        <v/>
      </c>
      <c r="L925" s="30">
        <f>IF(AND(J925=1,ISNUMBER(G925)),G925,"")</f>
        <v/>
      </c>
      <c r="M925" s="22">
        <f>IF(AND(J925=1,ISNUMBER(C925)),C925,"")</f>
        <v/>
      </c>
      <c r="N925" s="31">
        <f>IF(AND(J925=1,ISNUMBER(I925)),I925,"")</f>
        <v/>
      </c>
      <c r="O925" s="11">
        <f>IF(K925="","",100-IF($G$13=1,50,(_xlfn.RANK.AVG(K925,$K$19:$K$1518,1)-1)/($G$13-1)*100))</f>
        <v/>
      </c>
      <c r="P925" s="11">
        <f>IF(L925="","",100-IF($G$14=1,50,(_xlfn.RANK.AVG(L925,$L$19:$L$1518,1)-1)/($G$14-1)*100))</f>
        <v/>
      </c>
      <c r="Q925" s="11">
        <f>IF(M925="","",IF($G$15=1,50,(_xlfn.RANK.AVG(M925,$M$19:$M$1518,1)-1)/($G$15-1)*100))</f>
        <v/>
      </c>
      <c r="R925" s="11">
        <f>IF(N925="","",IF($G$16=1,50,(_xlfn.RANK.AVG(N925,$N$19:$N$1518,1)-1)/($G$16-1)*100))</f>
        <v/>
      </c>
      <c r="S925" s="11">
        <f>IF(COUNT(O925:R925)=4,ROUND(AVERAGE(O925:R925),6),"")</f>
        <v/>
      </c>
      <c r="U925">
        <f>IF(AND(ISNUMBER('자료_한국심리'!$A909),ISNUMBER('자료_한국심리'!$B909)),'자료_한국심리'!$A909,"")</f>
        <v/>
      </c>
      <c r="V925">
        <f>IF(AND(ISNUMBER('자료_한국심리'!$D909),ISNUMBER('자료_한국심리'!$E909)),'자료_한국심리'!$D909,"")</f>
        <v/>
      </c>
      <c r="W925">
        <f>IF(AND(ISNUMBER('자료_한국심리'!$G909),ISNUMBER('자료_한국심리'!$H909)),'자료_한국심리'!$G909,"")</f>
        <v/>
      </c>
      <c r="X925">
        <f>IF(AND(ISNUMBER('자료_한국심리'!$J909),ISNUMBER('자료_한국심리'!$K909)),'자료_한국심리'!$J909,"")</f>
        <v/>
      </c>
      <c r="Y925">
        <f>IF(AND(ISNUMBER('자료_한국심리'!$M909),ISNUMBER('자료_한국심리'!$N909)),'자료_한국심리'!$M909,"")</f>
        <v/>
      </c>
    </row>
    <row r="926">
      <c r="A926" s="10">
        <f>IF(908&gt;$E$5,"",SMALL($U$19:$U$4018,$E$6+908))</f>
        <v/>
      </c>
      <c r="B926" s="29">
        <f>IF(A926="","",INDEX('자료_한국심리'!$B$3:$B$4002,MATCH(A926,$U$19:$U$4018,0)))</f>
        <v/>
      </c>
      <c r="C926" s="22">
        <f>IF(A926="","",B926/AVERAGE(B802:B926)-1)</f>
        <v/>
      </c>
      <c r="D926" s="29">
        <f>IF(A926="","",IFERROR(INDEX('자료_한국심리'!$E$3:$E$4002,MATCH(A926,$V$19:$V$4018,0)),D925))</f>
        <v/>
      </c>
      <c r="E926" s="30">
        <f>IF(A926="","",IFERROR(INDEX('자료_한국심리'!$H$3:$H$4002,MATCH(A926,$W$19:$W$4018,0)),E925))</f>
        <v/>
      </c>
      <c r="F926" s="30">
        <f>IF(A926="","",IFERROR(INDEX('자료_한국심리'!$K$3:$K$4002,MATCH(A926,$X$19:$X$4018,0)),F925))</f>
        <v/>
      </c>
      <c r="G926" s="30">
        <f>IF(AND(ISNUMBER(E926),ISNUMBER(F926)),ROUND(E926-F926,6),"")</f>
        <v/>
      </c>
      <c r="H926" s="25">
        <f>IF(A926="","",IFERROR(INDEX('자료_한국심리'!$N$3:$N$4002,MATCH(A926,$Y$19:$Y$4018,0)),H925))</f>
        <v/>
      </c>
      <c r="I926" s="31">
        <f>IF(AND(ISNUMBER(H926),ISNUMBER(H906)),IF(H906&gt;0,H926/H906-1,""),"")</f>
        <v/>
      </c>
      <c r="J926">
        <f>IF(A926="",0,IF(A926&gt;$B$5,1,0))</f>
        <v/>
      </c>
      <c r="K926" s="29">
        <f>IF(AND(J926=1,ISNUMBER(D926)),D926,"")</f>
        <v/>
      </c>
      <c r="L926" s="30">
        <f>IF(AND(J926=1,ISNUMBER(G926)),G926,"")</f>
        <v/>
      </c>
      <c r="M926" s="22">
        <f>IF(AND(J926=1,ISNUMBER(C926)),C926,"")</f>
        <v/>
      </c>
      <c r="N926" s="31">
        <f>IF(AND(J926=1,ISNUMBER(I926)),I926,"")</f>
        <v/>
      </c>
      <c r="O926" s="11">
        <f>IF(K926="","",100-IF($G$13=1,50,(_xlfn.RANK.AVG(K926,$K$19:$K$1518,1)-1)/($G$13-1)*100))</f>
        <v/>
      </c>
      <c r="P926" s="11">
        <f>IF(L926="","",100-IF($G$14=1,50,(_xlfn.RANK.AVG(L926,$L$19:$L$1518,1)-1)/($G$14-1)*100))</f>
        <v/>
      </c>
      <c r="Q926" s="11">
        <f>IF(M926="","",IF($G$15=1,50,(_xlfn.RANK.AVG(M926,$M$19:$M$1518,1)-1)/($G$15-1)*100))</f>
        <v/>
      </c>
      <c r="R926" s="11">
        <f>IF(N926="","",IF($G$16=1,50,(_xlfn.RANK.AVG(N926,$N$19:$N$1518,1)-1)/($G$16-1)*100))</f>
        <v/>
      </c>
      <c r="S926" s="11">
        <f>IF(COUNT(O926:R926)=4,ROUND(AVERAGE(O926:R926),6),"")</f>
        <v/>
      </c>
      <c r="U926">
        <f>IF(AND(ISNUMBER('자료_한국심리'!$A910),ISNUMBER('자료_한국심리'!$B910)),'자료_한국심리'!$A910,"")</f>
        <v/>
      </c>
      <c r="V926">
        <f>IF(AND(ISNUMBER('자료_한국심리'!$D910),ISNUMBER('자료_한국심리'!$E910)),'자료_한국심리'!$D910,"")</f>
        <v/>
      </c>
      <c r="W926">
        <f>IF(AND(ISNUMBER('자료_한국심리'!$G910),ISNUMBER('자료_한국심리'!$H910)),'자료_한국심리'!$G910,"")</f>
        <v/>
      </c>
      <c r="X926">
        <f>IF(AND(ISNUMBER('자료_한국심리'!$J910),ISNUMBER('자료_한국심리'!$K910)),'자료_한국심리'!$J910,"")</f>
        <v/>
      </c>
      <c r="Y926">
        <f>IF(AND(ISNUMBER('자료_한국심리'!$M910),ISNUMBER('자료_한국심리'!$N910)),'자료_한국심리'!$M910,"")</f>
        <v/>
      </c>
    </row>
    <row r="927">
      <c r="A927" s="10">
        <f>IF(909&gt;$E$5,"",SMALL($U$19:$U$4018,$E$6+909))</f>
        <v/>
      </c>
      <c r="B927" s="29">
        <f>IF(A927="","",INDEX('자료_한국심리'!$B$3:$B$4002,MATCH(A927,$U$19:$U$4018,0)))</f>
        <v/>
      </c>
      <c r="C927" s="22">
        <f>IF(A927="","",B927/AVERAGE(B803:B927)-1)</f>
        <v/>
      </c>
      <c r="D927" s="29">
        <f>IF(A927="","",IFERROR(INDEX('자료_한국심리'!$E$3:$E$4002,MATCH(A927,$V$19:$V$4018,0)),D926))</f>
        <v/>
      </c>
      <c r="E927" s="30">
        <f>IF(A927="","",IFERROR(INDEX('자료_한국심리'!$H$3:$H$4002,MATCH(A927,$W$19:$W$4018,0)),E926))</f>
        <v/>
      </c>
      <c r="F927" s="30">
        <f>IF(A927="","",IFERROR(INDEX('자료_한국심리'!$K$3:$K$4002,MATCH(A927,$X$19:$X$4018,0)),F926))</f>
        <v/>
      </c>
      <c r="G927" s="30">
        <f>IF(AND(ISNUMBER(E927),ISNUMBER(F927)),ROUND(E927-F927,6),"")</f>
        <v/>
      </c>
      <c r="H927" s="25">
        <f>IF(A927="","",IFERROR(INDEX('자료_한국심리'!$N$3:$N$4002,MATCH(A927,$Y$19:$Y$4018,0)),H926))</f>
        <v/>
      </c>
      <c r="I927" s="31">
        <f>IF(AND(ISNUMBER(H927),ISNUMBER(H907)),IF(H907&gt;0,H927/H907-1,""),"")</f>
        <v/>
      </c>
      <c r="J927">
        <f>IF(A927="",0,IF(A927&gt;$B$5,1,0))</f>
        <v/>
      </c>
      <c r="K927" s="29">
        <f>IF(AND(J927=1,ISNUMBER(D927)),D927,"")</f>
        <v/>
      </c>
      <c r="L927" s="30">
        <f>IF(AND(J927=1,ISNUMBER(G927)),G927,"")</f>
        <v/>
      </c>
      <c r="M927" s="22">
        <f>IF(AND(J927=1,ISNUMBER(C927)),C927,"")</f>
        <v/>
      </c>
      <c r="N927" s="31">
        <f>IF(AND(J927=1,ISNUMBER(I927)),I927,"")</f>
        <v/>
      </c>
      <c r="O927" s="11">
        <f>IF(K927="","",100-IF($G$13=1,50,(_xlfn.RANK.AVG(K927,$K$19:$K$1518,1)-1)/($G$13-1)*100))</f>
        <v/>
      </c>
      <c r="P927" s="11">
        <f>IF(L927="","",100-IF($G$14=1,50,(_xlfn.RANK.AVG(L927,$L$19:$L$1518,1)-1)/($G$14-1)*100))</f>
        <v/>
      </c>
      <c r="Q927" s="11">
        <f>IF(M927="","",IF($G$15=1,50,(_xlfn.RANK.AVG(M927,$M$19:$M$1518,1)-1)/($G$15-1)*100))</f>
        <v/>
      </c>
      <c r="R927" s="11">
        <f>IF(N927="","",IF($G$16=1,50,(_xlfn.RANK.AVG(N927,$N$19:$N$1518,1)-1)/($G$16-1)*100))</f>
        <v/>
      </c>
      <c r="S927" s="11">
        <f>IF(COUNT(O927:R927)=4,ROUND(AVERAGE(O927:R927),6),"")</f>
        <v/>
      </c>
      <c r="U927">
        <f>IF(AND(ISNUMBER('자료_한국심리'!$A911),ISNUMBER('자료_한국심리'!$B911)),'자료_한국심리'!$A911,"")</f>
        <v/>
      </c>
      <c r="V927">
        <f>IF(AND(ISNUMBER('자료_한국심리'!$D911),ISNUMBER('자료_한국심리'!$E911)),'자료_한국심리'!$D911,"")</f>
        <v/>
      </c>
      <c r="W927">
        <f>IF(AND(ISNUMBER('자료_한국심리'!$G911),ISNUMBER('자료_한국심리'!$H911)),'자료_한국심리'!$G911,"")</f>
        <v/>
      </c>
      <c r="X927">
        <f>IF(AND(ISNUMBER('자료_한국심리'!$J911),ISNUMBER('자료_한국심리'!$K911)),'자료_한국심리'!$J911,"")</f>
        <v/>
      </c>
      <c r="Y927">
        <f>IF(AND(ISNUMBER('자료_한국심리'!$M911),ISNUMBER('자료_한국심리'!$N911)),'자료_한국심리'!$M911,"")</f>
        <v/>
      </c>
    </row>
    <row r="928">
      <c r="A928" s="10">
        <f>IF(910&gt;$E$5,"",SMALL($U$19:$U$4018,$E$6+910))</f>
        <v/>
      </c>
      <c r="B928" s="29">
        <f>IF(A928="","",INDEX('자료_한국심리'!$B$3:$B$4002,MATCH(A928,$U$19:$U$4018,0)))</f>
        <v/>
      </c>
      <c r="C928" s="22">
        <f>IF(A928="","",B928/AVERAGE(B804:B928)-1)</f>
        <v/>
      </c>
      <c r="D928" s="29">
        <f>IF(A928="","",IFERROR(INDEX('자료_한국심리'!$E$3:$E$4002,MATCH(A928,$V$19:$V$4018,0)),D927))</f>
        <v/>
      </c>
      <c r="E928" s="30">
        <f>IF(A928="","",IFERROR(INDEX('자료_한국심리'!$H$3:$H$4002,MATCH(A928,$W$19:$W$4018,0)),E927))</f>
        <v/>
      </c>
      <c r="F928" s="30">
        <f>IF(A928="","",IFERROR(INDEX('자료_한국심리'!$K$3:$K$4002,MATCH(A928,$X$19:$X$4018,0)),F927))</f>
        <v/>
      </c>
      <c r="G928" s="30">
        <f>IF(AND(ISNUMBER(E928),ISNUMBER(F928)),ROUND(E928-F928,6),"")</f>
        <v/>
      </c>
      <c r="H928" s="25">
        <f>IF(A928="","",IFERROR(INDEX('자료_한국심리'!$N$3:$N$4002,MATCH(A928,$Y$19:$Y$4018,0)),H927))</f>
        <v/>
      </c>
      <c r="I928" s="31">
        <f>IF(AND(ISNUMBER(H928),ISNUMBER(H908)),IF(H908&gt;0,H928/H908-1,""),"")</f>
        <v/>
      </c>
      <c r="J928">
        <f>IF(A928="",0,IF(A928&gt;$B$5,1,0))</f>
        <v/>
      </c>
      <c r="K928" s="29">
        <f>IF(AND(J928=1,ISNUMBER(D928)),D928,"")</f>
        <v/>
      </c>
      <c r="L928" s="30">
        <f>IF(AND(J928=1,ISNUMBER(G928)),G928,"")</f>
        <v/>
      </c>
      <c r="M928" s="22">
        <f>IF(AND(J928=1,ISNUMBER(C928)),C928,"")</f>
        <v/>
      </c>
      <c r="N928" s="31">
        <f>IF(AND(J928=1,ISNUMBER(I928)),I928,"")</f>
        <v/>
      </c>
      <c r="O928" s="11">
        <f>IF(K928="","",100-IF($G$13=1,50,(_xlfn.RANK.AVG(K928,$K$19:$K$1518,1)-1)/($G$13-1)*100))</f>
        <v/>
      </c>
      <c r="P928" s="11">
        <f>IF(L928="","",100-IF($G$14=1,50,(_xlfn.RANK.AVG(L928,$L$19:$L$1518,1)-1)/($G$14-1)*100))</f>
        <v/>
      </c>
      <c r="Q928" s="11">
        <f>IF(M928="","",IF($G$15=1,50,(_xlfn.RANK.AVG(M928,$M$19:$M$1518,1)-1)/($G$15-1)*100))</f>
        <v/>
      </c>
      <c r="R928" s="11">
        <f>IF(N928="","",IF($G$16=1,50,(_xlfn.RANK.AVG(N928,$N$19:$N$1518,1)-1)/($G$16-1)*100))</f>
        <v/>
      </c>
      <c r="S928" s="11">
        <f>IF(COUNT(O928:R928)=4,ROUND(AVERAGE(O928:R928),6),"")</f>
        <v/>
      </c>
      <c r="U928">
        <f>IF(AND(ISNUMBER('자료_한국심리'!$A912),ISNUMBER('자료_한국심리'!$B912)),'자료_한국심리'!$A912,"")</f>
        <v/>
      </c>
      <c r="V928">
        <f>IF(AND(ISNUMBER('자료_한국심리'!$D912),ISNUMBER('자료_한국심리'!$E912)),'자료_한국심리'!$D912,"")</f>
        <v/>
      </c>
      <c r="W928">
        <f>IF(AND(ISNUMBER('자료_한국심리'!$G912),ISNUMBER('자료_한국심리'!$H912)),'자료_한국심리'!$G912,"")</f>
        <v/>
      </c>
      <c r="X928">
        <f>IF(AND(ISNUMBER('자료_한국심리'!$J912),ISNUMBER('자료_한국심리'!$K912)),'자료_한국심리'!$J912,"")</f>
        <v/>
      </c>
      <c r="Y928">
        <f>IF(AND(ISNUMBER('자료_한국심리'!$M912),ISNUMBER('자료_한국심리'!$N912)),'자료_한국심리'!$M912,"")</f>
        <v/>
      </c>
    </row>
    <row r="929">
      <c r="A929" s="10">
        <f>IF(911&gt;$E$5,"",SMALL($U$19:$U$4018,$E$6+911))</f>
        <v/>
      </c>
      <c r="B929" s="29">
        <f>IF(A929="","",INDEX('자료_한국심리'!$B$3:$B$4002,MATCH(A929,$U$19:$U$4018,0)))</f>
        <v/>
      </c>
      <c r="C929" s="22">
        <f>IF(A929="","",B929/AVERAGE(B805:B929)-1)</f>
        <v/>
      </c>
      <c r="D929" s="29">
        <f>IF(A929="","",IFERROR(INDEX('자료_한국심리'!$E$3:$E$4002,MATCH(A929,$V$19:$V$4018,0)),D928))</f>
        <v/>
      </c>
      <c r="E929" s="30">
        <f>IF(A929="","",IFERROR(INDEX('자료_한국심리'!$H$3:$H$4002,MATCH(A929,$W$19:$W$4018,0)),E928))</f>
        <v/>
      </c>
      <c r="F929" s="30">
        <f>IF(A929="","",IFERROR(INDEX('자료_한국심리'!$K$3:$K$4002,MATCH(A929,$X$19:$X$4018,0)),F928))</f>
        <v/>
      </c>
      <c r="G929" s="30">
        <f>IF(AND(ISNUMBER(E929),ISNUMBER(F929)),ROUND(E929-F929,6),"")</f>
        <v/>
      </c>
      <c r="H929" s="25">
        <f>IF(A929="","",IFERROR(INDEX('자료_한국심리'!$N$3:$N$4002,MATCH(A929,$Y$19:$Y$4018,0)),H928))</f>
        <v/>
      </c>
      <c r="I929" s="31">
        <f>IF(AND(ISNUMBER(H929),ISNUMBER(H909)),IF(H909&gt;0,H929/H909-1,""),"")</f>
        <v/>
      </c>
      <c r="J929">
        <f>IF(A929="",0,IF(A929&gt;$B$5,1,0))</f>
        <v/>
      </c>
      <c r="K929" s="29">
        <f>IF(AND(J929=1,ISNUMBER(D929)),D929,"")</f>
        <v/>
      </c>
      <c r="L929" s="30">
        <f>IF(AND(J929=1,ISNUMBER(G929)),G929,"")</f>
        <v/>
      </c>
      <c r="M929" s="22">
        <f>IF(AND(J929=1,ISNUMBER(C929)),C929,"")</f>
        <v/>
      </c>
      <c r="N929" s="31">
        <f>IF(AND(J929=1,ISNUMBER(I929)),I929,"")</f>
        <v/>
      </c>
      <c r="O929" s="11">
        <f>IF(K929="","",100-IF($G$13=1,50,(_xlfn.RANK.AVG(K929,$K$19:$K$1518,1)-1)/($G$13-1)*100))</f>
        <v/>
      </c>
      <c r="P929" s="11">
        <f>IF(L929="","",100-IF($G$14=1,50,(_xlfn.RANK.AVG(L929,$L$19:$L$1518,1)-1)/($G$14-1)*100))</f>
        <v/>
      </c>
      <c r="Q929" s="11">
        <f>IF(M929="","",IF($G$15=1,50,(_xlfn.RANK.AVG(M929,$M$19:$M$1518,1)-1)/($G$15-1)*100))</f>
        <v/>
      </c>
      <c r="R929" s="11">
        <f>IF(N929="","",IF($G$16=1,50,(_xlfn.RANK.AVG(N929,$N$19:$N$1518,1)-1)/($G$16-1)*100))</f>
        <v/>
      </c>
      <c r="S929" s="11">
        <f>IF(COUNT(O929:R929)=4,ROUND(AVERAGE(O929:R929),6),"")</f>
        <v/>
      </c>
      <c r="U929">
        <f>IF(AND(ISNUMBER('자료_한국심리'!$A913),ISNUMBER('자료_한국심리'!$B913)),'자료_한국심리'!$A913,"")</f>
        <v/>
      </c>
      <c r="V929">
        <f>IF(AND(ISNUMBER('자료_한국심리'!$D913),ISNUMBER('자료_한국심리'!$E913)),'자료_한국심리'!$D913,"")</f>
        <v/>
      </c>
      <c r="W929">
        <f>IF(AND(ISNUMBER('자료_한국심리'!$G913),ISNUMBER('자료_한국심리'!$H913)),'자료_한국심리'!$G913,"")</f>
        <v/>
      </c>
      <c r="X929">
        <f>IF(AND(ISNUMBER('자료_한국심리'!$J913),ISNUMBER('자료_한국심리'!$K913)),'자료_한국심리'!$J913,"")</f>
        <v/>
      </c>
      <c r="Y929">
        <f>IF(AND(ISNUMBER('자료_한국심리'!$M913),ISNUMBER('자료_한국심리'!$N913)),'자료_한국심리'!$M913,"")</f>
        <v/>
      </c>
    </row>
    <row r="930">
      <c r="A930" s="10">
        <f>IF(912&gt;$E$5,"",SMALL($U$19:$U$4018,$E$6+912))</f>
        <v/>
      </c>
      <c r="B930" s="29">
        <f>IF(A930="","",INDEX('자료_한국심리'!$B$3:$B$4002,MATCH(A930,$U$19:$U$4018,0)))</f>
        <v/>
      </c>
      <c r="C930" s="22">
        <f>IF(A930="","",B930/AVERAGE(B806:B930)-1)</f>
        <v/>
      </c>
      <c r="D930" s="29">
        <f>IF(A930="","",IFERROR(INDEX('자료_한국심리'!$E$3:$E$4002,MATCH(A930,$V$19:$V$4018,0)),D929))</f>
        <v/>
      </c>
      <c r="E930" s="30">
        <f>IF(A930="","",IFERROR(INDEX('자료_한국심리'!$H$3:$H$4002,MATCH(A930,$W$19:$W$4018,0)),E929))</f>
        <v/>
      </c>
      <c r="F930" s="30">
        <f>IF(A930="","",IFERROR(INDEX('자료_한국심리'!$K$3:$K$4002,MATCH(A930,$X$19:$X$4018,0)),F929))</f>
        <v/>
      </c>
      <c r="G930" s="30">
        <f>IF(AND(ISNUMBER(E930),ISNUMBER(F930)),ROUND(E930-F930,6),"")</f>
        <v/>
      </c>
      <c r="H930" s="25">
        <f>IF(A930="","",IFERROR(INDEX('자료_한국심리'!$N$3:$N$4002,MATCH(A930,$Y$19:$Y$4018,0)),H929))</f>
        <v/>
      </c>
      <c r="I930" s="31">
        <f>IF(AND(ISNUMBER(H930),ISNUMBER(H910)),IF(H910&gt;0,H930/H910-1,""),"")</f>
        <v/>
      </c>
      <c r="J930">
        <f>IF(A930="",0,IF(A930&gt;$B$5,1,0))</f>
        <v/>
      </c>
      <c r="K930" s="29">
        <f>IF(AND(J930=1,ISNUMBER(D930)),D930,"")</f>
        <v/>
      </c>
      <c r="L930" s="30">
        <f>IF(AND(J930=1,ISNUMBER(G930)),G930,"")</f>
        <v/>
      </c>
      <c r="M930" s="22">
        <f>IF(AND(J930=1,ISNUMBER(C930)),C930,"")</f>
        <v/>
      </c>
      <c r="N930" s="31">
        <f>IF(AND(J930=1,ISNUMBER(I930)),I930,"")</f>
        <v/>
      </c>
      <c r="O930" s="11">
        <f>IF(K930="","",100-IF($G$13=1,50,(_xlfn.RANK.AVG(K930,$K$19:$K$1518,1)-1)/($G$13-1)*100))</f>
        <v/>
      </c>
      <c r="P930" s="11">
        <f>IF(L930="","",100-IF($G$14=1,50,(_xlfn.RANK.AVG(L930,$L$19:$L$1518,1)-1)/($G$14-1)*100))</f>
        <v/>
      </c>
      <c r="Q930" s="11">
        <f>IF(M930="","",IF($G$15=1,50,(_xlfn.RANK.AVG(M930,$M$19:$M$1518,1)-1)/($G$15-1)*100))</f>
        <v/>
      </c>
      <c r="R930" s="11">
        <f>IF(N930="","",IF($G$16=1,50,(_xlfn.RANK.AVG(N930,$N$19:$N$1518,1)-1)/($G$16-1)*100))</f>
        <v/>
      </c>
      <c r="S930" s="11">
        <f>IF(COUNT(O930:R930)=4,ROUND(AVERAGE(O930:R930),6),"")</f>
        <v/>
      </c>
      <c r="U930">
        <f>IF(AND(ISNUMBER('자료_한국심리'!$A914),ISNUMBER('자료_한국심리'!$B914)),'자료_한국심리'!$A914,"")</f>
        <v/>
      </c>
      <c r="V930">
        <f>IF(AND(ISNUMBER('자료_한국심리'!$D914),ISNUMBER('자료_한국심리'!$E914)),'자료_한국심리'!$D914,"")</f>
        <v/>
      </c>
      <c r="W930">
        <f>IF(AND(ISNUMBER('자료_한국심리'!$G914),ISNUMBER('자료_한국심리'!$H914)),'자료_한국심리'!$G914,"")</f>
        <v/>
      </c>
      <c r="X930">
        <f>IF(AND(ISNUMBER('자료_한국심리'!$J914),ISNUMBER('자료_한국심리'!$K914)),'자료_한국심리'!$J914,"")</f>
        <v/>
      </c>
      <c r="Y930">
        <f>IF(AND(ISNUMBER('자료_한국심리'!$M914),ISNUMBER('자료_한국심리'!$N914)),'자료_한국심리'!$M914,"")</f>
        <v/>
      </c>
    </row>
    <row r="931">
      <c r="A931" s="10">
        <f>IF(913&gt;$E$5,"",SMALL($U$19:$U$4018,$E$6+913))</f>
        <v/>
      </c>
      <c r="B931" s="29">
        <f>IF(A931="","",INDEX('자료_한국심리'!$B$3:$B$4002,MATCH(A931,$U$19:$U$4018,0)))</f>
        <v/>
      </c>
      <c r="C931" s="22">
        <f>IF(A931="","",B931/AVERAGE(B807:B931)-1)</f>
        <v/>
      </c>
      <c r="D931" s="29">
        <f>IF(A931="","",IFERROR(INDEX('자료_한국심리'!$E$3:$E$4002,MATCH(A931,$V$19:$V$4018,0)),D930))</f>
        <v/>
      </c>
      <c r="E931" s="30">
        <f>IF(A931="","",IFERROR(INDEX('자료_한국심리'!$H$3:$H$4002,MATCH(A931,$W$19:$W$4018,0)),E930))</f>
        <v/>
      </c>
      <c r="F931" s="30">
        <f>IF(A931="","",IFERROR(INDEX('자료_한국심리'!$K$3:$K$4002,MATCH(A931,$X$19:$X$4018,0)),F930))</f>
        <v/>
      </c>
      <c r="G931" s="30">
        <f>IF(AND(ISNUMBER(E931),ISNUMBER(F931)),ROUND(E931-F931,6),"")</f>
        <v/>
      </c>
      <c r="H931" s="25">
        <f>IF(A931="","",IFERROR(INDEX('자료_한국심리'!$N$3:$N$4002,MATCH(A931,$Y$19:$Y$4018,0)),H930))</f>
        <v/>
      </c>
      <c r="I931" s="31">
        <f>IF(AND(ISNUMBER(H931),ISNUMBER(H911)),IF(H911&gt;0,H931/H911-1,""),"")</f>
        <v/>
      </c>
      <c r="J931">
        <f>IF(A931="",0,IF(A931&gt;$B$5,1,0))</f>
        <v/>
      </c>
      <c r="K931" s="29">
        <f>IF(AND(J931=1,ISNUMBER(D931)),D931,"")</f>
        <v/>
      </c>
      <c r="L931" s="30">
        <f>IF(AND(J931=1,ISNUMBER(G931)),G931,"")</f>
        <v/>
      </c>
      <c r="M931" s="22">
        <f>IF(AND(J931=1,ISNUMBER(C931)),C931,"")</f>
        <v/>
      </c>
      <c r="N931" s="31">
        <f>IF(AND(J931=1,ISNUMBER(I931)),I931,"")</f>
        <v/>
      </c>
      <c r="O931" s="11">
        <f>IF(K931="","",100-IF($G$13=1,50,(_xlfn.RANK.AVG(K931,$K$19:$K$1518,1)-1)/($G$13-1)*100))</f>
        <v/>
      </c>
      <c r="P931" s="11">
        <f>IF(L931="","",100-IF($G$14=1,50,(_xlfn.RANK.AVG(L931,$L$19:$L$1518,1)-1)/($G$14-1)*100))</f>
        <v/>
      </c>
      <c r="Q931" s="11">
        <f>IF(M931="","",IF($G$15=1,50,(_xlfn.RANK.AVG(M931,$M$19:$M$1518,1)-1)/($G$15-1)*100))</f>
        <v/>
      </c>
      <c r="R931" s="11">
        <f>IF(N931="","",IF($G$16=1,50,(_xlfn.RANK.AVG(N931,$N$19:$N$1518,1)-1)/($G$16-1)*100))</f>
        <v/>
      </c>
      <c r="S931" s="11">
        <f>IF(COUNT(O931:R931)=4,ROUND(AVERAGE(O931:R931),6),"")</f>
        <v/>
      </c>
      <c r="U931">
        <f>IF(AND(ISNUMBER('자료_한국심리'!$A915),ISNUMBER('자료_한국심리'!$B915)),'자료_한국심리'!$A915,"")</f>
        <v/>
      </c>
      <c r="V931">
        <f>IF(AND(ISNUMBER('자료_한국심리'!$D915),ISNUMBER('자료_한국심리'!$E915)),'자료_한국심리'!$D915,"")</f>
        <v/>
      </c>
      <c r="W931">
        <f>IF(AND(ISNUMBER('자료_한국심리'!$G915),ISNUMBER('자료_한국심리'!$H915)),'자료_한국심리'!$G915,"")</f>
        <v/>
      </c>
      <c r="X931">
        <f>IF(AND(ISNUMBER('자료_한국심리'!$J915),ISNUMBER('자료_한국심리'!$K915)),'자료_한국심리'!$J915,"")</f>
        <v/>
      </c>
      <c r="Y931">
        <f>IF(AND(ISNUMBER('자료_한국심리'!$M915),ISNUMBER('자료_한국심리'!$N915)),'자료_한국심리'!$M915,"")</f>
        <v/>
      </c>
    </row>
    <row r="932">
      <c r="A932" s="10">
        <f>IF(914&gt;$E$5,"",SMALL($U$19:$U$4018,$E$6+914))</f>
        <v/>
      </c>
      <c r="B932" s="29">
        <f>IF(A932="","",INDEX('자료_한국심리'!$B$3:$B$4002,MATCH(A932,$U$19:$U$4018,0)))</f>
        <v/>
      </c>
      <c r="C932" s="22">
        <f>IF(A932="","",B932/AVERAGE(B808:B932)-1)</f>
        <v/>
      </c>
      <c r="D932" s="29">
        <f>IF(A932="","",IFERROR(INDEX('자료_한국심리'!$E$3:$E$4002,MATCH(A932,$V$19:$V$4018,0)),D931))</f>
        <v/>
      </c>
      <c r="E932" s="30">
        <f>IF(A932="","",IFERROR(INDEX('자료_한국심리'!$H$3:$H$4002,MATCH(A932,$W$19:$W$4018,0)),E931))</f>
        <v/>
      </c>
      <c r="F932" s="30">
        <f>IF(A932="","",IFERROR(INDEX('자료_한국심리'!$K$3:$K$4002,MATCH(A932,$X$19:$X$4018,0)),F931))</f>
        <v/>
      </c>
      <c r="G932" s="30">
        <f>IF(AND(ISNUMBER(E932),ISNUMBER(F932)),ROUND(E932-F932,6),"")</f>
        <v/>
      </c>
      <c r="H932" s="25">
        <f>IF(A932="","",IFERROR(INDEX('자료_한국심리'!$N$3:$N$4002,MATCH(A932,$Y$19:$Y$4018,0)),H931))</f>
        <v/>
      </c>
      <c r="I932" s="31">
        <f>IF(AND(ISNUMBER(H932),ISNUMBER(H912)),IF(H912&gt;0,H932/H912-1,""),"")</f>
        <v/>
      </c>
      <c r="J932">
        <f>IF(A932="",0,IF(A932&gt;$B$5,1,0))</f>
        <v/>
      </c>
      <c r="K932" s="29">
        <f>IF(AND(J932=1,ISNUMBER(D932)),D932,"")</f>
        <v/>
      </c>
      <c r="L932" s="30">
        <f>IF(AND(J932=1,ISNUMBER(G932)),G932,"")</f>
        <v/>
      </c>
      <c r="M932" s="22">
        <f>IF(AND(J932=1,ISNUMBER(C932)),C932,"")</f>
        <v/>
      </c>
      <c r="N932" s="31">
        <f>IF(AND(J932=1,ISNUMBER(I932)),I932,"")</f>
        <v/>
      </c>
      <c r="O932" s="11">
        <f>IF(K932="","",100-IF($G$13=1,50,(_xlfn.RANK.AVG(K932,$K$19:$K$1518,1)-1)/($G$13-1)*100))</f>
        <v/>
      </c>
      <c r="P932" s="11">
        <f>IF(L932="","",100-IF($G$14=1,50,(_xlfn.RANK.AVG(L932,$L$19:$L$1518,1)-1)/($G$14-1)*100))</f>
        <v/>
      </c>
      <c r="Q932" s="11">
        <f>IF(M932="","",IF($G$15=1,50,(_xlfn.RANK.AVG(M932,$M$19:$M$1518,1)-1)/($G$15-1)*100))</f>
        <v/>
      </c>
      <c r="R932" s="11">
        <f>IF(N932="","",IF($G$16=1,50,(_xlfn.RANK.AVG(N932,$N$19:$N$1518,1)-1)/($G$16-1)*100))</f>
        <v/>
      </c>
      <c r="S932" s="11">
        <f>IF(COUNT(O932:R932)=4,ROUND(AVERAGE(O932:R932),6),"")</f>
        <v/>
      </c>
      <c r="U932">
        <f>IF(AND(ISNUMBER('자료_한국심리'!$A916),ISNUMBER('자료_한국심리'!$B916)),'자료_한국심리'!$A916,"")</f>
        <v/>
      </c>
      <c r="V932">
        <f>IF(AND(ISNUMBER('자료_한국심리'!$D916),ISNUMBER('자료_한국심리'!$E916)),'자료_한국심리'!$D916,"")</f>
        <v/>
      </c>
      <c r="W932">
        <f>IF(AND(ISNUMBER('자료_한국심리'!$G916),ISNUMBER('자료_한국심리'!$H916)),'자료_한국심리'!$G916,"")</f>
        <v/>
      </c>
      <c r="X932">
        <f>IF(AND(ISNUMBER('자료_한국심리'!$J916),ISNUMBER('자료_한국심리'!$K916)),'자료_한국심리'!$J916,"")</f>
        <v/>
      </c>
      <c r="Y932">
        <f>IF(AND(ISNUMBER('자료_한국심리'!$M916),ISNUMBER('자료_한국심리'!$N916)),'자료_한국심리'!$M916,"")</f>
        <v/>
      </c>
    </row>
    <row r="933">
      <c r="A933" s="10">
        <f>IF(915&gt;$E$5,"",SMALL($U$19:$U$4018,$E$6+915))</f>
        <v/>
      </c>
      <c r="B933" s="29">
        <f>IF(A933="","",INDEX('자료_한국심리'!$B$3:$B$4002,MATCH(A933,$U$19:$U$4018,0)))</f>
        <v/>
      </c>
      <c r="C933" s="22">
        <f>IF(A933="","",B933/AVERAGE(B809:B933)-1)</f>
        <v/>
      </c>
      <c r="D933" s="29">
        <f>IF(A933="","",IFERROR(INDEX('자료_한국심리'!$E$3:$E$4002,MATCH(A933,$V$19:$V$4018,0)),D932))</f>
        <v/>
      </c>
      <c r="E933" s="30">
        <f>IF(A933="","",IFERROR(INDEX('자료_한국심리'!$H$3:$H$4002,MATCH(A933,$W$19:$W$4018,0)),E932))</f>
        <v/>
      </c>
      <c r="F933" s="30">
        <f>IF(A933="","",IFERROR(INDEX('자료_한국심리'!$K$3:$K$4002,MATCH(A933,$X$19:$X$4018,0)),F932))</f>
        <v/>
      </c>
      <c r="G933" s="30">
        <f>IF(AND(ISNUMBER(E933),ISNUMBER(F933)),ROUND(E933-F933,6),"")</f>
        <v/>
      </c>
      <c r="H933" s="25">
        <f>IF(A933="","",IFERROR(INDEX('자료_한국심리'!$N$3:$N$4002,MATCH(A933,$Y$19:$Y$4018,0)),H932))</f>
        <v/>
      </c>
      <c r="I933" s="31">
        <f>IF(AND(ISNUMBER(H933),ISNUMBER(H913)),IF(H913&gt;0,H933/H913-1,""),"")</f>
        <v/>
      </c>
      <c r="J933">
        <f>IF(A933="",0,IF(A933&gt;$B$5,1,0))</f>
        <v/>
      </c>
      <c r="K933" s="29">
        <f>IF(AND(J933=1,ISNUMBER(D933)),D933,"")</f>
        <v/>
      </c>
      <c r="L933" s="30">
        <f>IF(AND(J933=1,ISNUMBER(G933)),G933,"")</f>
        <v/>
      </c>
      <c r="M933" s="22">
        <f>IF(AND(J933=1,ISNUMBER(C933)),C933,"")</f>
        <v/>
      </c>
      <c r="N933" s="31">
        <f>IF(AND(J933=1,ISNUMBER(I933)),I933,"")</f>
        <v/>
      </c>
      <c r="O933" s="11">
        <f>IF(K933="","",100-IF($G$13=1,50,(_xlfn.RANK.AVG(K933,$K$19:$K$1518,1)-1)/($G$13-1)*100))</f>
        <v/>
      </c>
      <c r="P933" s="11">
        <f>IF(L933="","",100-IF($G$14=1,50,(_xlfn.RANK.AVG(L933,$L$19:$L$1518,1)-1)/($G$14-1)*100))</f>
        <v/>
      </c>
      <c r="Q933" s="11">
        <f>IF(M933="","",IF($G$15=1,50,(_xlfn.RANK.AVG(M933,$M$19:$M$1518,1)-1)/($G$15-1)*100))</f>
        <v/>
      </c>
      <c r="R933" s="11">
        <f>IF(N933="","",IF($G$16=1,50,(_xlfn.RANK.AVG(N933,$N$19:$N$1518,1)-1)/($G$16-1)*100))</f>
        <v/>
      </c>
      <c r="S933" s="11">
        <f>IF(COUNT(O933:R933)=4,ROUND(AVERAGE(O933:R933),6),"")</f>
        <v/>
      </c>
      <c r="U933">
        <f>IF(AND(ISNUMBER('자료_한국심리'!$A917),ISNUMBER('자료_한국심리'!$B917)),'자료_한국심리'!$A917,"")</f>
        <v/>
      </c>
      <c r="V933">
        <f>IF(AND(ISNUMBER('자료_한국심리'!$D917),ISNUMBER('자료_한국심리'!$E917)),'자료_한국심리'!$D917,"")</f>
        <v/>
      </c>
      <c r="W933">
        <f>IF(AND(ISNUMBER('자료_한국심리'!$G917),ISNUMBER('자료_한국심리'!$H917)),'자료_한국심리'!$G917,"")</f>
        <v/>
      </c>
      <c r="X933">
        <f>IF(AND(ISNUMBER('자료_한국심리'!$J917),ISNUMBER('자료_한국심리'!$K917)),'자료_한국심리'!$J917,"")</f>
        <v/>
      </c>
      <c r="Y933">
        <f>IF(AND(ISNUMBER('자료_한국심리'!$M917),ISNUMBER('자료_한국심리'!$N917)),'자료_한국심리'!$M917,"")</f>
        <v/>
      </c>
    </row>
    <row r="934">
      <c r="A934" s="10">
        <f>IF(916&gt;$E$5,"",SMALL($U$19:$U$4018,$E$6+916))</f>
        <v/>
      </c>
      <c r="B934" s="29">
        <f>IF(A934="","",INDEX('자료_한국심리'!$B$3:$B$4002,MATCH(A934,$U$19:$U$4018,0)))</f>
        <v/>
      </c>
      <c r="C934" s="22">
        <f>IF(A934="","",B934/AVERAGE(B810:B934)-1)</f>
        <v/>
      </c>
      <c r="D934" s="29">
        <f>IF(A934="","",IFERROR(INDEX('자료_한국심리'!$E$3:$E$4002,MATCH(A934,$V$19:$V$4018,0)),D933))</f>
        <v/>
      </c>
      <c r="E934" s="30">
        <f>IF(A934="","",IFERROR(INDEX('자료_한국심리'!$H$3:$H$4002,MATCH(A934,$W$19:$W$4018,0)),E933))</f>
        <v/>
      </c>
      <c r="F934" s="30">
        <f>IF(A934="","",IFERROR(INDEX('자료_한국심리'!$K$3:$K$4002,MATCH(A934,$X$19:$X$4018,0)),F933))</f>
        <v/>
      </c>
      <c r="G934" s="30">
        <f>IF(AND(ISNUMBER(E934),ISNUMBER(F934)),ROUND(E934-F934,6),"")</f>
        <v/>
      </c>
      <c r="H934" s="25">
        <f>IF(A934="","",IFERROR(INDEX('자료_한국심리'!$N$3:$N$4002,MATCH(A934,$Y$19:$Y$4018,0)),H933))</f>
        <v/>
      </c>
      <c r="I934" s="31">
        <f>IF(AND(ISNUMBER(H934),ISNUMBER(H914)),IF(H914&gt;0,H934/H914-1,""),"")</f>
        <v/>
      </c>
      <c r="J934">
        <f>IF(A934="",0,IF(A934&gt;$B$5,1,0))</f>
        <v/>
      </c>
      <c r="K934" s="29">
        <f>IF(AND(J934=1,ISNUMBER(D934)),D934,"")</f>
        <v/>
      </c>
      <c r="L934" s="30">
        <f>IF(AND(J934=1,ISNUMBER(G934)),G934,"")</f>
        <v/>
      </c>
      <c r="M934" s="22">
        <f>IF(AND(J934=1,ISNUMBER(C934)),C934,"")</f>
        <v/>
      </c>
      <c r="N934" s="31">
        <f>IF(AND(J934=1,ISNUMBER(I934)),I934,"")</f>
        <v/>
      </c>
      <c r="O934" s="11">
        <f>IF(K934="","",100-IF($G$13=1,50,(_xlfn.RANK.AVG(K934,$K$19:$K$1518,1)-1)/($G$13-1)*100))</f>
        <v/>
      </c>
      <c r="P934" s="11">
        <f>IF(L934="","",100-IF($G$14=1,50,(_xlfn.RANK.AVG(L934,$L$19:$L$1518,1)-1)/($G$14-1)*100))</f>
        <v/>
      </c>
      <c r="Q934" s="11">
        <f>IF(M934="","",IF($G$15=1,50,(_xlfn.RANK.AVG(M934,$M$19:$M$1518,1)-1)/($G$15-1)*100))</f>
        <v/>
      </c>
      <c r="R934" s="11">
        <f>IF(N934="","",IF($G$16=1,50,(_xlfn.RANK.AVG(N934,$N$19:$N$1518,1)-1)/($G$16-1)*100))</f>
        <v/>
      </c>
      <c r="S934" s="11">
        <f>IF(COUNT(O934:R934)=4,ROUND(AVERAGE(O934:R934),6),"")</f>
        <v/>
      </c>
      <c r="U934">
        <f>IF(AND(ISNUMBER('자료_한국심리'!$A918),ISNUMBER('자료_한국심리'!$B918)),'자료_한국심리'!$A918,"")</f>
        <v/>
      </c>
      <c r="V934">
        <f>IF(AND(ISNUMBER('자료_한국심리'!$D918),ISNUMBER('자료_한국심리'!$E918)),'자료_한국심리'!$D918,"")</f>
        <v/>
      </c>
      <c r="W934">
        <f>IF(AND(ISNUMBER('자료_한국심리'!$G918),ISNUMBER('자료_한국심리'!$H918)),'자료_한국심리'!$G918,"")</f>
        <v/>
      </c>
      <c r="X934">
        <f>IF(AND(ISNUMBER('자료_한국심리'!$J918),ISNUMBER('자료_한국심리'!$K918)),'자료_한국심리'!$J918,"")</f>
        <v/>
      </c>
      <c r="Y934">
        <f>IF(AND(ISNUMBER('자료_한국심리'!$M918),ISNUMBER('자료_한국심리'!$N918)),'자료_한국심리'!$M918,"")</f>
        <v/>
      </c>
    </row>
    <row r="935">
      <c r="A935" s="10">
        <f>IF(917&gt;$E$5,"",SMALL($U$19:$U$4018,$E$6+917))</f>
        <v/>
      </c>
      <c r="B935" s="29">
        <f>IF(A935="","",INDEX('자료_한국심리'!$B$3:$B$4002,MATCH(A935,$U$19:$U$4018,0)))</f>
        <v/>
      </c>
      <c r="C935" s="22">
        <f>IF(A935="","",B935/AVERAGE(B811:B935)-1)</f>
        <v/>
      </c>
      <c r="D935" s="29">
        <f>IF(A935="","",IFERROR(INDEX('자료_한국심리'!$E$3:$E$4002,MATCH(A935,$V$19:$V$4018,0)),D934))</f>
        <v/>
      </c>
      <c r="E935" s="30">
        <f>IF(A935="","",IFERROR(INDEX('자료_한국심리'!$H$3:$H$4002,MATCH(A935,$W$19:$W$4018,0)),E934))</f>
        <v/>
      </c>
      <c r="F935" s="30">
        <f>IF(A935="","",IFERROR(INDEX('자료_한국심리'!$K$3:$K$4002,MATCH(A935,$X$19:$X$4018,0)),F934))</f>
        <v/>
      </c>
      <c r="G935" s="30">
        <f>IF(AND(ISNUMBER(E935),ISNUMBER(F935)),ROUND(E935-F935,6),"")</f>
        <v/>
      </c>
      <c r="H935" s="25">
        <f>IF(A935="","",IFERROR(INDEX('자료_한국심리'!$N$3:$N$4002,MATCH(A935,$Y$19:$Y$4018,0)),H934))</f>
        <v/>
      </c>
      <c r="I935" s="31">
        <f>IF(AND(ISNUMBER(H935),ISNUMBER(H915)),IF(H915&gt;0,H935/H915-1,""),"")</f>
        <v/>
      </c>
      <c r="J935">
        <f>IF(A935="",0,IF(A935&gt;$B$5,1,0))</f>
        <v/>
      </c>
      <c r="K935" s="29">
        <f>IF(AND(J935=1,ISNUMBER(D935)),D935,"")</f>
        <v/>
      </c>
      <c r="L935" s="30">
        <f>IF(AND(J935=1,ISNUMBER(G935)),G935,"")</f>
        <v/>
      </c>
      <c r="M935" s="22">
        <f>IF(AND(J935=1,ISNUMBER(C935)),C935,"")</f>
        <v/>
      </c>
      <c r="N935" s="31">
        <f>IF(AND(J935=1,ISNUMBER(I935)),I935,"")</f>
        <v/>
      </c>
      <c r="O935" s="11">
        <f>IF(K935="","",100-IF($G$13=1,50,(_xlfn.RANK.AVG(K935,$K$19:$K$1518,1)-1)/($G$13-1)*100))</f>
        <v/>
      </c>
      <c r="P935" s="11">
        <f>IF(L935="","",100-IF($G$14=1,50,(_xlfn.RANK.AVG(L935,$L$19:$L$1518,1)-1)/($G$14-1)*100))</f>
        <v/>
      </c>
      <c r="Q935" s="11">
        <f>IF(M935="","",IF($G$15=1,50,(_xlfn.RANK.AVG(M935,$M$19:$M$1518,1)-1)/($G$15-1)*100))</f>
        <v/>
      </c>
      <c r="R935" s="11">
        <f>IF(N935="","",IF($G$16=1,50,(_xlfn.RANK.AVG(N935,$N$19:$N$1518,1)-1)/($G$16-1)*100))</f>
        <v/>
      </c>
      <c r="S935" s="11">
        <f>IF(COUNT(O935:R935)=4,ROUND(AVERAGE(O935:R935),6),"")</f>
        <v/>
      </c>
      <c r="U935">
        <f>IF(AND(ISNUMBER('자료_한국심리'!$A919),ISNUMBER('자료_한국심리'!$B919)),'자료_한국심리'!$A919,"")</f>
        <v/>
      </c>
      <c r="V935">
        <f>IF(AND(ISNUMBER('자료_한국심리'!$D919),ISNUMBER('자료_한국심리'!$E919)),'자료_한국심리'!$D919,"")</f>
        <v/>
      </c>
      <c r="W935">
        <f>IF(AND(ISNUMBER('자료_한국심리'!$G919),ISNUMBER('자료_한국심리'!$H919)),'자료_한국심리'!$G919,"")</f>
        <v/>
      </c>
      <c r="X935">
        <f>IF(AND(ISNUMBER('자료_한국심리'!$J919),ISNUMBER('자료_한국심리'!$K919)),'자료_한국심리'!$J919,"")</f>
        <v/>
      </c>
      <c r="Y935">
        <f>IF(AND(ISNUMBER('자료_한국심리'!$M919),ISNUMBER('자료_한국심리'!$N919)),'자료_한국심리'!$M919,"")</f>
        <v/>
      </c>
    </row>
    <row r="936">
      <c r="A936" s="10">
        <f>IF(918&gt;$E$5,"",SMALL($U$19:$U$4018,$E$6+918))</f>
        <v/>
      </c>
      <c r="B936" s="29">
        <f>IF(A936="","",INDEX('자료_한국심리'!$B$3:$B$4002,MATCH(A936,$U$19:$U$4018,0)))</f>
        <v/>
      </c>
      <c r="C936" s="22">
        <f>IF(A936="","",B936/AVERAGE(B812:B936)-1)</f>
        <v/>
      </c>
      <c r="D936" s="29">
        <f>IF(A936="","",IFERROR(INDEX('자료_한국심리'!$E$3:$E$4002,MATCH(A936,$V$19:$V$4018,0)),D935))</f>
        <v/>
      </c>
      <c r="E936" s="30">
        <f>IF(A936="","",IFERROR(INDEX('자료_한국심리'!$H$3:$H$4002,MATCH(A936,$W$19:$W$4018,0)),E935))</f>
        <v/>
      </c>
      <c r="F936" s="30">
        <f>IF(A936="","",IFERROR(INDEX('자료_한국심리'!$K$3:$K$4002,MATCH(A936,$X$19:$X$4018,0)),F935))</f>
        <v/>
      </c>
      <c r="G936" s="30">
        <f>IF(AND(ISNUMBER(E936),ISNUMBER(F936)),ROUND(E936-F936,6),"")</f>
        <v/>
      </c>
      <c r="H936" s="25">
        <f>IF(A936="","",IFERROR(INDEX('자료_한국심리'!$N$3:$N$4002,MATCH(A936,$Y$19:$Y$4018,0)),H935))</f>
        <v/>
      </c>
      <c r="I936" s="31">
        <f>IF(AND(ISNUMBER(H936),ISNUMBER(H916)),IF(H916&gt;0,H936/H916-1,""),"")</f>
        <v/>
      </c>
      <c r="J936">
        <f>IF(A936="",0,IF(A936&gt;$B$5,1,0))</f>
        <v/>
      </c>
      <c r="K936" s="29">
        <f>IF(AND(J936=1,ISNUMBER(D936)),D936,"")</f>
        <v/>
      </c>
      <c r="L936" s="30">
        <f>IF(AND(J936=1,ISNUMBER(G936)),G936,"")</f>
        <v/>
      </c>
      <c r="M936" s="22">
        <f>IF(AND(J936=1,ISNUMBER(C936)),C936,"")</f>
        <v/>
      </c>
      <c r="N936" s="31">
        <f>IF(AND(J936=1,ISNUMBER(I936)),I936,"")</f>
        <v/>
      </c>
      <c r="O936" s="11">
        <f>IF(K936="","",100-IF($G$13=1,50,(_xlfn.RANK.AVG(K936,$K$19:$K$1518,1)-1)/($G$13-1)*100))</f>
        <v/>
      </c>
      <c r="P936" s="11">
        <f>IF(L936="","",100-IF($G$14=1,50,(_xlfn.RANK.AVG(L936,$L$19:$L$1518,1)-1)/($G$14-1)*100))</f>
        <v/>
      </c>
      <c r="Q936" s="11">
        <f>IF(M936="","",IF($G$15=1,50,(_xlfn.RANK.AVG(M936,$M$19:$M$1518,1)-1)/($G$15-1)*100))</f>
        <v/>
      </c>
      <c r="R936" s="11">
        <f>IF(N936="","",IF($G$16=1,50,(_xlfn.RANK.AVG(N936,$N$19:$N$1518,1)-1)/($G$16-1)*100))</f>
        <v/>
      </c>
      <c r="S936" s="11">
        <f>IF(COUNT(O936:R936)=4,ROUND(AVERAGE(O936:R936),6),"")</f>
        <v/>
      </c>
      <c r="U936">
        <f>IF(AND(ISNUMBER('자료_한국심리'!$A920),ISNUMBER('자료_한국심리'!$B920)),'자료_한국심리'!$A920,"")</f>
        <v/>
      </c>
      <c r="V936">
        <f>IF(AND(ISNUMBER('자료_한국심리'!$D920),ISNUMBER('자료_한국심리'!$E920)),'자료_한국심리'!$D920,"")</f>
        <v/>
      </c>
      <c r="W936">
        <f>IF(AND(ISNUMBER('자료_한국심리'!$G920),ISNUMBER('자료_한국심리'!$H920)),'자료_한국심리'!$G920,"")</f>
        <v/>
      </c>
      <c r="X936">
        <f>IF(AND(ISNUMBER('자료_한국심리'!$J920),ISNUMBER('자료_한국심리'!$K920)),'자료_한국심리'!$J920,"")</f>
        <v/>
      </c>
      <c r="Y936">
        <f>IF(AND(ISNUMBER('자료_한국심리'!$M920),ISNUMBER('자료_한국심리'!$N920)),'자료_한국심리'!$M920,"")</f>
        <v/>
      </c>
    </row>
    <row r="937">
      <c r="A937" s="10">
        <f>IF(919&gt;$E$5,"",SMALL($U$19:$U$4018,$E$6+919))</f>
        <v/>
      </c>
      <c r="B937" s="29">
        <f>IF(A937="","",INDEX('자료_한국심리'!$B$3:$B$4002,MATCH(A937,$U$19:$U$4018,0)))</f>
        <v/>
      </c>
      <c r="C937" s="22">
        <f>IF(A937="","",B937/AVERAGE(B813:B937)-1)</f>
        <v/>
      </c>
      <c r="D937" s="29">
        <f>IF(A937="","",IFERROR(INDEX('자료_한국심리'!$E$3:$E$4002,MATCH(A937,$V$19:$V$4018,0)),D936))</f>
        <v/>
      </c>
      <c r="E937" s="30">
        <f>IF(A937="","",IFERROR(INDEX('자료_한국심리'!$H$3:$H$4002,MATCH(A937,$W$19:$W$4018,0)),E936))</f>
        <v/>
      </c>
      <c r="F937" s="30">
        <f>IF(A937="","",IFERROR(INDEX('자료_한국심리'!$K$3:$K$4002,MATCH(A937,$X$19:$X$4018,0)),F936))</f>
        <v/>
      </c>
      <c r="G937" s="30">
        <f>IF(AND(ISNUMBER(E937),ISNUMBER(F937)),ROUND(E937-F937,6),"")</f>
        <v/>
      </c>
      <c r="H937" s="25">
        <f>IF(A937="","",IFERROR(INDEX('자료_한국심리'!$N$3:$N$4002,MATCH(A937,$Y$19:$Y$4018,0)),H936))</f>
        <v/>
      </c>
      <c r="I937" s="31">
        <f>IF(AND(ISNUMBER(H937),ISNUMBER(H917)),IF(H917&gt;0,H937/H917-1,""),"")</f>
        <v/>
      </c>
      <c r="J937">
        <f>IF(A937="",0,IF(A937&gt;$B$5,1,0))</f>
        <v/>
      </c>
      <c r="K937" s="29">
        <f>IF(AND(J937=1,ISNUMBER(D937)),D937,"")</f>
        <v/>
      </c>
      <c r="L937" s="30">
        <f>IF(AND(J937=1,ISNUMBER(G937)),G937,"")</f>
        <v/>
      </c>
      <c r="M937" s="22">
        <f>IF(AND(J937=1,ISNUMBER(C937)),C937,"")</f>
        <v/>
      </c>
      <c r="N937" s="31">
        <f>IF(AND(J937=1,ISNUMBER(I937)),I937,"")</f>
        <v/>
      </c>
      <c r="O937" s="11">
        <f>IF(K937="","",100-IF($G$13=1,50,(_xlfn.RANK.AVG(K937,$K$19:$K$1518,1)-1)/($G$13-1)*100))</f>
        <v/>
      </c>
      <c r="P937" s="11">
        <f>IF(L937="","",100-IF($G$14=1,50,(_xlfn.RANK.AVG(L937,$L$19:$L$1518,1)-1)/($G$14-1)*100))</f>
        <v/>
      </c>
      <c r="Q937" s="11">
        <f>IF(M937="","",IF($G$15=1,50,(_xlfn.RANK.AVG(M937,$M$19:$M$1518,1)-1)/($G$15-1)*100))</f>
        <v/>
      </c>
      <c r="R937" s="11">
        <f>IF(N937="","",IF($G$16=1,50,(_xlfn.RANK.AVG(N937,$N$19:$N$1518,1)-1)/($G$16-1)*100))</f>
        <v/>
      </c>
      <c r="S937" s="11">
        <f>IF(COUNT(O937:R937)=4,ROUND(AVERAGE(O937:R937),6),"")</f>
        <v/>
      </c>
      <c r="U937">
        <f>IF(AND(ISNUMBER('자료_한국심리'!$A921),ISNUMBER('자료_한국심리'!$B921)),'자료_한국심리'!$A921,"")</f>
        <v/>
      </c>
      <c r="V937">
        <f>IF(AND(ISNUMBER('자료_한국심리'!$D921),ISNUMBER('자료_한국심리'!$E921)),'자료_한국심리'!$D921,"")</f>
        <v/>
      </c>
      <c r="W937">
        <f>IF(AND(ISNUMBER('자료_한국심리'!$G921),ISNUMBER('자료_한국심리'!$H921)),'자료_한국심리'!$G921,"")</f>
        <v/>
      </c>
      <c r="X937">
        <f>IF(AND(ISNUMBER('자료_한국심리'!$J921),ISNUMBER('자료_한국심리'!$K921)),'자료_한국심리'!$J921,"")</f>
        <v/>
      </c>
      <c r="Y937">
        <f>IF(AND(ISNUMBER('자료_한국심리'!$M921),ISNUMBER('자료_한국심리'!$N921)),'자료_한국심리'!$M921,"")</f>
        <v/>
      </c>
    </row>
    <row r="938">
      <c r="A938" s="10">
        <f>IF(920&gt;$E$5,"",SMALL($U$19:$U$4018,$E$6+920))</f>
        <v/>
      </c>
      <c r="B938" s="29">
        <f>IF(A938="","",INDEX('자료_한국심리'!$B$3:$B$4002,MATCH(A938,$U$19:$U$4018,0)))</f>
        <v/>
      </c>
      <c r="C938" s="22">
        <f>IF(A938="","",B938/AVERAGE(B814:B938)-1)</f>
        <v/>
      </c>
      <c r="D938" s="29">
        <f>IF(A938="","",IFERROR(INDEX('자료_한국심리'!$E$3:$E$4002,MATCH(A938,$V$19:$V$4018,0)),D937))</f>
        <v/>
      </c>
      <c r="E938" s="30">
        <f>IF(A938="","",IFERROR(INDEX('자료_한국심리'!$H$3:$H$4002,MATCH(A938,$W$19:$W$4018,0)),E937))</f>
        <v/>
      </c>
      <c r="F938" s="30">
        <f>IF(A938="","",IFERROR(INDEX('자료_한국심리'!$K$3:$K$4002,MATCH(A938,$X$19:$X$4018,0)),F937))</f>
        <v/>
      </c>
      <c r="G938" s="30">
        <f>IF(AND(ISNUMBER(E938),ISNUMBER(F938)),ROUND(E938-F938,6),"")</f>
        <v/>
      </c>
      <c r="H938" s="25">
        <f>IF(A938="","",IFERROR(INDEX('자료_한국심리'!$N$3:$N$4002,MATCH(A938,$Y$19:$Y$4018,0)),H937))</f>
        <v/>
      </c>
      <c r="I938" s="31">
        <f>IF(AND(ISNUMBER(H938),ISNUMBER(H918)),IF(H918&gt;0,H938/H918-1,""),"")</f>
        <v/>
      </c>
      <c r="J938">
        <f>IF(A938="",0,IF(A938&gt;$B$5,1,0))</f>
        <v/>
      </c>
      <c r="K938" s="29">
        <f>IF(AND(J938=1,ISNUMBER(D938)),D938,"")</f>
        <v/>
      </c>
      <c r="L938" s="30">
        <f>IF(AND(J938=1,ISNUMBER(G938)),G938,"")</f>
        <v/>
      </c>
      <c r="M938" s="22">
        <f>IF(AND(J938=1,ISNUMBER(C938)),C938,"")</f>
        <v/>
      </c>
      <c r="N938" s="31">
        <f>IF(AND(J938=1,ISNUMBER(I938)),I938,"")</f>
        <v/>
      </c>
      <c r="O938" s="11">
        <f>IF(K938="","",100-IF($G$13=1,50,(_xlfn.RANK.AVG(K938,$K$19:$K$1518,1)-1)/($G$13-1)*100))</f>
        <v/>
      </c>
      <c r="P938" s="11">
        <f>IF(L938="","",100-IF($G$14=1,50,(_xlfn.RANK.AVG(L938,$L$19:$L$1518,1)-1)/($G$14-1)*100))</f>
        <v/>
      </c>
      <c r="Q938" s="11">
        <f>IF(M938="","",IF($G$15=1,50,(_xlfn.RANK.AVG(M938,$M$19:$M$1518,1)-1)/($G$15-1)*100))</f>
        <v/>
      </c>
      <c r="R938" s="11">
        <f>IF(N938="","",IF($G$16=1,50,(_xlfn.RANK.AVG(N938,$N$19:$N$1518,1)-1)/($G$16-1)*100))</f>
        <v/>
      </c>
      <c r="S938" s="11">
        <f>IF(COUNT(O938:R938)=4,ROUND(AVERAGE(O938:R938),6),"")</f>
        <v/>
      </c>
      <c r="U938">
        <f>IF(AND(ISNUMBER('자료_한국심리'!$A922),ISNUMBER('자료_한국심리'!$B922)),'자료_한국심리'!$A922,"")</f>
        <v/>
      </c>
      <c r="V938">
        <f>IF(AND(ISNUMBER('자료_한국심리'!$D922),ISNUMBER('자료_한국심리'!$E922)),'자료_한국심리'!$D922,"")</f>
        <v/>
      </c>
      <c r="W938">
        <f>IF(AND(ISNUMBER('자료_한국심리'!$G922),ISNUMBER('자료_한국심리'!$H922)),'자료_한국심리'!$G922,"")</f>
        <v/>
      </c>
      <c r="X938">
        <f>IF(AND(ISNUMBER('자료_한국심리'!$J922),ISNUMBER('자료_한국심리'!$K922)),'자료_한국심리'!$J922,"")</f>
        <v/>
      </c>
      <c r="Y938">
        <f>IF(AND(ISNUMBER('자료_한국심리'!$M922),ISNUMBER('자료_한국심리'!$N922)),'자료_한국심리'!$M922,"")</f>
        <v/>
      </c>
    </row>
    <row r="939">
      <c r="A939" s="10">
        <f>IF(921&gt;$E$5,"",SMALL($U$19:$U$4018,$E$6+921))</f>
        <v/>
      </c>
      <c r="B939" s="29">
        <f>IF(A939="","",INDEX('자료_한국심리'!$B$3:$B$4002,MATCH(A939,$U$19:$U$4018,0)))</f>
        <v/>
      </c>
      <c r="C939" s="22">
        <f>IF(A939="","",B939/AVERAGE(B815:B939)-1)</f>
        <v/>
      </c>
      <c r="D939" s="29">
        <f>IF(A939="","",IFERROR(INDEX('자료_한국심리'!$E$3:$E$4002,MATCH(A939,$V$19:$V$4018,0)),D938))</f>
        <v/>
      </c>
      <c r="E939" s="30">
        <f>IF(A939="","",IFERROR(INDEX('자료_한국심리'!$H$3:$H$4002,MATCH(A939,$W$19:$W$4018,0)),E938))</f>
        <v/>
      </c>
      <c r="F939" s="30">
        <f>IF(A939="","",IFERROR(INDEX('자료_한국심리'!$K$3:$K$4002,MATCH(A939,$X$19:$X$4018,0)),F938))</f>
        <v/>
      </c>
      <c r="G939" s="30">
        <f>IF(AND(ISNUMBER(E939),ISNUMBER(F939)),ROUND(E939-F939,6),"")</f>
        <v/>
      </c>
      <c r="H939" s="25">
        <f>IF(A939="","",IFERROR(INDEX('자료_한국심리'!$N$3:$N$4002,MATCH(A939,$Y$19:$Y$4018,0)),H938))</f>
        <v/>
      </c>
      <c r="I939" s="31">
        <f>IF(AND(ISNUMBER(H939),ISNUMBER(H919)),IF(H919&gt;0,H939/H919-1,""),"")</f>
        <v/>
      </c>
      <c r="J939">
        <f>IF(A939="",0,IF(A939&gt;$B$5,1,0))</f>
        <v/>
      </c>
      <c r="K939" s="29">
        <f>IF(AND(J939=1,ISNUMBER(D939)),D939,"")</f>
        <v/>
      </c>
      <c r="L939" s="30">
        <f>IF(AND(J939=1,ISNUMBER(G939)),G939,"")</f>
        <v/>
      </c>
      <c r="M939" s="22">
        <f>IF(AND(J939=1,ISNUMBER(C939)),C939,"")</f>
        <v/>
      </c>
      <c r="N939" s="31">
        <f>IF(AND(J939=1,ISNUMBER(I939)),I939,"")</f>
        <v/>
      </c>
      <c r="O939" s="11">
        <f>IF(K939="","",100-IF($G$13=1,50,(_xlfn.RANK.AVG(K939,$K$19:$K$1518,1)-1)/($G$13-1)*100))</f>
        <v/>
      </c>
      <c r="P939" s="11">
        <f>IF(L939="","",100-IF($G$14=1,50,(_xlfn.RANK.AVG(L939,$L$19:$L$1518,1)-1)/($G$14-1)*100))</f>
        <v/>
      </c>
      <c r="Q939" s="11">
        <f>IF(M939="","",IF($G$15=1,50,(_xlfn.RANK.AVG(M939,$M$19:$M$1518,1)-1)/($G$15-1)*100))</f>
        <v/>
      </c>
      <c r="R939" s="11">
        <f>IF(N939="","",IF($G$16=1,50,(_xlfn.RANK.AVG(N939,$N$19:$N$1518,1)-1)/($G$16-1)*100))</f>
        <v/>
      </c>
      <c r="S939" s="11">
        <f>IF(COUNT(O939:R939)=4,ROUND(AVERAGE(O939:R939),6),"")</f>
        <v/>
      </c>
      <c r="U939">
        <f>IF(AND(ISNUMBER('자료_한국심리'!$A923),ISNUMBER('자료_한국심리'!$B923)),'자료_한국심리'!$A923,"")</f>
        <v/>
      </c>
      <c r="V939">
        <f>IF(AND(ISNUMBER('자료_한국심리'!$D923),ISNUMBER('자료_한국심리'!$E923)),'자료_한국심리'!$D923,"")</f>
        <v/>
      </c>
      <c r="W939">
        <f>IF(AND(ISNUMBER('자료_한국심리'!$G923),ISNUMBER('자료_한국심리'!$H923)),'자료_한국심리'!$G923,"")</f>
        <v/>
      </c>
      <c r="X939">
        <f>IF(AND(ISNUMBER('자료_한국심리'!$J923),ISNUMBER('자료_한국심리'!$K923)),'자료_한국심리'!$J923,"")</f>
        <v/>
      </c>
      <c r="Y939">
        <f>IF(AND(ISNUMBER('자료_한국심리'!$M923),ISNUMBER('자료_한국심리'!$N923)),'자료_한국심리'!$M923,"")</f>
        <v/>
      </c>
    </row>
    <row r="940">
      <c r="A940" s="10">
        <f>IF(922&gt;$E$5,"",SMALL($U$19:$U$4018,$E$6+922))</f>
        <v/>
      </c>
      <c r="B940" s="29">
        <f>IF(A940="","",INDEX('자료_한국심리'!$B$3:$B$4002,MATCH(A940,$U$19:$U$4018,0)))</f>
        <v/>
      </c>
      <c r="C940" s="22">
        <f>IF(A940="","",B940/AVERAGE(B816:B940)-1)</f>
        <v/>
      </c>
      <c r="D940" s="29">
        <f>IF(A940="","",IFERROR(INDEX('자료_한국심리'!$E$3:$E$4002,MATCH(A940,$V$19:$V$4018,0)),D939))</f>
        <v/>
      </c>
      <c r="E940" s="30">
        <f>IF(A940="","",IFERROR(INDEX('자료_한국심리'!$H$3:$H$4002,MATCH(A940,$W$19:$W$4018,0)),E939))</f>
        <v/>
      </c>
      <c r="F940" s="30">
        <f>IF(A940="","",IFERROR(INDEX('자료_한국심리'!$K$3:$K$4002,MATCH(A940,$X$19:$X$4018,0)),F939))</f>
        <v/>
      </c>
      <c r="G940" s="30">
        <f>IF(AND(ISNUMBER(E940),ISNUMBER(F940)),ROUND(E940-F940,6),"")</f>
        <v/>
      </c>
      <c r="H940" s="25">
        <f>IF(A940="","",IFERROR(INDEX('자료_한국심리'!$N$3:$N$4002,MATCH(A940,$Y$19:$Y$4018,0)),H939))</f>
        <v/>
      </c>
      <c r="I940" s="31">
        <f>IF(AND(ISNUMBER(H940),ISNUMBER(H920)),IF(H920&gt;0,H940/H920-1,""),"")</f>
        <v/>
      </c>
      <c r="J940">
        <f>IF(A940="",0,IF(A940&gt;$B$5,1,0))</f>
        <v/>
      </c>
      <c r="K940" s="29">
        <f>IF(AND(J940=1,ISNUMBER(D940)),D940,"")</f>
        <v/>
      </c>
      <c r="L940" s="30">
        <f>IF(AND(J940=1,ISNUMBER(G940)),G940,"")</f>
        <v/>
      </c>
      <c r="M940" s="22">
        <f>IF(AND(J940=1,ISNUMBER(C940)),C940,"")</f>
        <v/>
      </c>
      <c r="N940" s="31">
        <f>IF(AND(J940=1,ISNUMBER(I940)),I940,"")</f>
        <v/>
      </c>
      <c r="O940" s="11">
        <f>IF(K940="","",100-IF($G$13=1,50,(_xlfn.RANK.AVG(K940,$K$19:$K$1518,1)-1)/($G$13-1)*100))</f>
        <v/>
      </c>
      <c r="P940" s="11">
        <f>IF(L940="","",100-IF($G$14=1,50,(_xlfn.RANK.AVG(L940,$L$19:$L$1518,1)-1)/($G$14-1)*100))</f>
        <v/>
      </c>
      <c r="Q940" s="11">
        <f>IF(M940="","",IF($G$15=1,50,(_xlfn.RANK.AVG(M940,$M$19:$M$1518,1)-1)/($G$15-1)*100))</f>
        <v/>
      </c>
      <c r="R940" s="11">
        <f>IF(N940="","",IF($G$16=1,50,(_xlfn.RANK.AVG(N940,$N$19:$N$1518,1)-1)/($G$16-1)*100))</f>
        <v/>
      </c>
      <c r="S940" s="11">
        <f>IF(COUNT(O940:R940)=4,ROUND(AVERAGE(O940:R940),6),"")</f>
        <v/>
      </c>
      <c r="U940">
        <f>IF(AND(ISNUMBER('자료_한국심리'!$A924),ISNUMBER('자료_한국심리'!$B924)),'자료_한국심리'!$A924,"")</f>
        <v/>
      </c>
      <c r="V940">
        <f>IF(AND(ISNUMBER('자료_한국심리'!$D924),ISNUMBER('자료_한국심리'!$E924)),'자료_한국심리'!$D924,"")</f>
        <v/>
      </c>
      <c r="W940">
        <f>IF(AND(ISNUMBER('자료_한국심리'!$G924),ISNUMBER('자료_한국심리'!$H924)),'자료_한국심리'!$G924,"")</f>
        <v/>
      </c>
      <c r="X940">
        <f>IF(AND(ISNUMBER('자료_한국심리'!$J924),ISNUMBER('자료_한국심리'!$K924)),'자료_한국심리'!$J924,"")</f>
        <v/>
      </c>
      <c r="Y940">
        <f>IF(AND(ISNUMBER('자료_한국심리'!$M924),ISNUMBER('자료_한국심리'!$N924)),'자료_한국심리'!$M924,"")</f>
        <v/>
      </c>
    </row>
    <row r="941">
      <c r="A941" s="10">
        <f>IF(923&gt;$E$5,"",SMALL($U$19:$U$4018,$E$6+923))</f>
        <v/>
      </c>
      <c r="B941" s="29">
        <f>IF(A941="","",INDEX('자료_한국심리'!$B$3:$B$4002,MATCH(A941,$U$19:$U$4018,0)))</f>
        <v/>
      </c>
      <c r="C941" s="22">
        <f>IF(A941="","",B941/AVERAGE(B817:B941)-1)</f>
        <v/>
      </c>
      <c r="D941" s="29">
        <f>IF(A941="","",IFERROR(INDEX('자료_한국심리'!$E$3:$E$4002,MATCH(A941,$V$19:$V$4018,0)),D940))</f>
        <v/>
      </c>
      <c r="E941" s="30">
        <f>IF(A941="","",IFERROR(INDEX('자료_한국심리'!$H$3:$H$4002,MATCH(A941,$W$19:$W$4018,0)),E940))</f>
        <v/>
      </c>
      <c r="F941" s="30">
        <f>IF(A941="","",IFERROR(INDEX('자료_한국심리'!$K$3:$K$4002,MATCH(A941,$X$19:$X$4018,0)),F940))</f>
        <v/>
      </c>
      <c r="G941" s="30">
        <f>IF(AND(ISNUMBER(E941),ISNUMBER(F941)),ROUND(E941-F941,6),"")</f>
        <v/>
      </c>
      <c r="H941" s="25">
        <f>IF(A941="","",IFERROR(INDEX('자료_한국심리'!$N$3:$N$4002,MATCH(A941,$Y$19:$Y$4018,0)),H940))</f>
        <v/>
      </c>
      <c r="I941" s="31">
        <f>IF(AND(ISNUMBER(H941),ISNUMBER(H921)),IF(H921&gt;0,H941/H921-1,""),"")</f>
        <v/>
      </c>
      <c r="J941">
        <f>IF(A941="",0,IF(A941&gt;$B$5,1,0))</f>
        <v/>
      </c>
      <c r="K941" s="29">
        <f>IF(AND(J941=1,ISNUMBER(D941)),D941,"")</f>
        <v/>
      </c>
      <c r="L941" s="30">
        <f>IF(AND(J941=1,ISNUMBER(G941)),G941,"")</f>
        <v/>
      </c>
      <c r="M941" s="22">
        <f>IF(AND(J941=1,ISNUMBER(C941)),C941,"")</f>
        <v/>
      </c>
      <c r="N941" s="31">
        <f>IF(AND(J941=1,ISNUMBER(I941)),I941,"")</f>
        <v/>
      </c>
      <c r="O941" s="11">
        <f>IF(K941="","",100-IF($G$13=1,50,(_xlfn.RANK.AVG(K941,$K$19:$K$1518,1)-1)/($G$13-1)*100))</f>
        <v/>
      </c>
      <c r="P941" s="11">
        <f>IF(L941="","",100-IF($G$14=1,50,(_xlfn.RANK.AVG(L941,$L$19:$L$1518,1)-1)/($G$14-1)*100))</f>
        <v/>
      </c>
      <c r="Q941" s="11">
        <f>IF(M941="","",IF($G$15=1,50,(_xlfn.RANK.AVG(M941,$M$19:$M$1518,1)-1)/($G$15-1)*100))</f>
        <v/>
      </c>
      <c r="R941" s="11">
        <f>IF(N941="","",IF($G$16=1,50,(_xlfn.RANK.AVG(N941,$N$19:$N$1518,1)-1)/($G$16-1)*100))</f>
        <v/>
      </c>
      <c r="S941" s="11">
        <f>IF(COUNT(O941:R941)=4,ROUND(AVERAGE(O941:R941),6),"")</f>
        <v/>
      </c>
      <c r="U941">
        <f>IF(AND(ISNUMBER('자료_한국심리'!$A925),ISNUMBER('자료_한국심리'!$B925)),'자료_한국심리'!$A925,"")</f>
        <v/>
      </c>
      <c r="V941">
        <f>IF(AND(ISNUMBER('자료_한국심리'!$D925),ISNUMBER('자료_한국심리'!$E925)),'자료_한국심리'!$D925,"")</f>
        <v/>
      </c>
      <c r="W941">
        <f>IF(AND(ISNUMBER('자료_한국심리'!$G925),ISNUMBER('자료_한국심리'!$H925)),'자료_한국심리'!$G925,"")</f>
        <v/>
      </c>
      <c r="X941">
        <f>IF(AND(ISNUMBER('자료_한국심리'!$J925),ISNUMBER('자료_한국심리'!$K925)),'자료_한국심리'!$J925,"")</f>
        <v/>
      </c>
      <c r="Y941">
        <f>IF(AND(ISNUMBER('자료_한국심리'!$M925),ISNUMBER('자료_한국심리'!$N925)),'자료_한국심리'!$M925,"")</f>
        <v/>
      </c>
    </row>
    <row r="942">
      <c r="A942" s="10">
        <f>IF(924&gt;$E$5,"",SMALL($U$19:$U$4018,$E$6+924))</f>
        <v/>
      </c>
      <c r="B942" s="29">
        <f>IF(A942="","",INDEX('자료_한국심리'!$B$3:$B$4002,MATCH(A942,$U$19:$U$4018,0)))</f>
        <v/>
      </c>
      <c r="C942" s="22">
        <f>IF(A942="","",B942/AVERAGE(B818:B942)-1)</f>
        <v/>
      </c>
      <c r="D942" s="29">
        <f>IF(A942="","",IFERROR(INDEX('자료_한국심리'!$E$3:$E$4002,MATCH(A942,$V$19:$V$4018,0)),D941))</f>
        <v/>
      </c>
      <c r="E942" s="30">
        <f>IF(A942="","",IFERROR(INDEX('자료_한국심리'!$H$3:$H$4002,MATCH(A942,$W$19:$W$4018,0)),E941))</f>
        <v/>
      </c>
      <c r="F942" s="30">
        <f>IF(A942="","",IFERROR(INDEX('자료_한국심리'!$K$3:$K$4002,MATCH(A942,$X$19:$X$4018,0)),F941))</f>
        <v/>
      </c>
      <c r="G942" s="30">
        <f>IF(AND(ISNUMBER(E942),ISNUMBER(F942)),ROUND(E942-F942,6),"")</f>
        <v/>
      </c>
      <c r="H942" s="25">
        <f>IF(A942="","",IFERROR(INDEX('자료_한국심리'!$N$3:$N$4002,MATCH(A942,$Y$19:$Y$4018,0)),H941))</f>
        <v/>
      </c>
      <c r="I942" s="31">
        <f>IF(AND(ISNUMBER(H942),ISNUMBER(H922)),IF(H922&gt;0,H942/H922-1,""),"")</f>
        <v/>
      </c>
      <c r="J942">
        <f>IF(A942="",0,IF(A942&gt;$B$5,1,0))</f>
        <v/>
      </c>
      <c r="K942" s="29">
        <f>IF(AND(J942=1,ISNUMBER(D942)),D942,"")</f>
        <v/>
      </c>
      <c r="L942" s="30">
        <f>IF(AND(J942=1,ISNUMBER(G942)),G942,"")</f>
        <v/>
      </c>
      <c r="M942" s="22">
        <f>IF(AND(J942=1,ISNUMBER(C942)),C942,"")</f>
        <v/>
      </c>
      <c r="N942" s="31">
        <f>IF(AND(J942=1,ISNUMBER(I942)),I942,"")</f>
        <v/>
      </c>
      <c r="O942" s="11">
        <f>IF(K942="","",100-IF($G$13=1,50,(_xlfn.RANK.AVG(K942,$K$19:$K$1518,1)-1)/($G$13-1)*100))</f>
        <v/>
      </c>
      <c r="P942" s="11">
        <f>IF(L942="","",100-IF($G$14=1,50,(_xlfn.RANK.AVG(L942,$L$19:$L$1518,1)-1)/($G$14-1)*100))</f>
        <v/>
      </c>
      <c r="Q942" s="11">
        <f>IF(M942="","",IF($G$15=1,50,(_xlfn.RANK.AVG(M942,$M$19:$M$1518,1)-1)/($G$15-1)*100))</f>
        <v/>
      </c>
      <c r="R942" s="11">
        <f>IF(N942="","",IF($G$16=1,50,(_xlfn.RANK.AVG(N942,$N$19:$N$1518,1)-1)/($G$16-1)*100))</f>
        <v/>
      </c>
      <c r="S942" s="11">
        <f>IF(COUNT(O942:R942)=4,ROUND(AVERAGE(O942:R942),6),"")</f>
        <v/>
      </c>
      <c r="U942">
        <f>IF(AND(ISNUMBER('자료_한국심리'!$A926),ISNUMBER('자료_한국심리'!$B926)),'자료_한국심리'!$A926,"")</f>
        <v/>
      </c>
      <c r="V942">
        <f>IF(AND(ISNUMBER('자료_한국심리'!$D926),ISNUMBER('자료_한국심리'!$E926)),'자료_한국심리'!$D926,"")</f>
        <v/>
      </c>
      <c r="W942">
        <f>IF(AND(ISNUMBER('자료_한국심리'!$G926),ISNUMBER('자료_한국심리'!$H926)),'자료_한국심리'!$G926,"")</f>
        <v/>
      </c>
      <c r="X942">
        <f>IF(AND(ISNUMBER('자료_한국심리'!$J926),ISNUMBER('자료_한국심리'!$K926)),'자료_한국심리'!$J926,"")</f>
        <v/>
      </c>
      <c r="Y942">
        <f>IF(AND(ISNUMBER('자료_한국심리'!$M926),ISNUMBER('자료_한국심리'!$N926)),'자료_한국심리'!$M926,"")</f>
        <v/>
      </c>
    </row>
    <row r="943">
      <c r="A943" s="10">
        <f>IF(925&gt;$E$5,"",SMALL($U$19:$U$4018,$E$6+925))</f>
        <v/>
      </c>
      <c r="B943" s="29">
        <f>IF(A943="","",INDEX('자료_한국심리'!$B$3:$B$4002,MATCH(A943,$U$19:$U$4018,0)))</f>
        <v/>
      </c>
      <c r="C943" s="22">
        <f>IF(A943="","",B943/AVERAGE(B819:B943)-1)</f>
        <v/>
      </c>
      <c r="D943" s="29">
        <f>IF(A943="","",IFERROR(INDEX('자료_한국심리'!$E$3:$E$4002,MATCH(A943,$V$19:$V$4018,0)),D942))</f>
        <v/>
      </c>
      <c r="E943" s="30">
        <f>IF(A943="","",IFERROR(INDEX('자료_한국심리'!$H$3:$H$4002,MATCH(A943,$W$19:$W$4018,0)),E942))</f>
        <v/>
      </c>
      <c r="F943" s="30">
        <f>IF(A943="","",IFERROR(INDEX('자료_한국심리'!$K$3:$K$4002,MATCH(A943,$X$19:$X$4018,0)),F942))</f>
        <v/>
      </c>
      <c r="G943" s="30">
        <f>IF(AND(ISNUMBER(E943),ISNUMBER(F943)),ROUND(E943-F943,6),"")</f>
        <v/>
      </c>
      <c r="H943" s="25">
        <f>IF(A943="","",IFERROR(INDEX('자료_한국심리'!$N$3:$N$4002,MATCH(A943,$Y$19:$Y$4018,0)),H942))</f>
        <v/>
      </c>
      <c r="I943" s="31">
        <f>IF(AND(ISNUMBER(H943),ISNUMBER(H923)),IF(H923&gt;0,H943/H923-1,""),"")</f>
        <v/>
      </c>
      <c r="J943">
        <f>IF(A943="",0,IF(A943&gt;$B$5,1,0))</f>
        <v/>
      </c>
      <c r="K943" s="29">
        <f>IF(AND(J943=1,ISNUMBER(D943)),D943,"")</f>
        <v/>
      </c>
      <c r="L943" s="30">
        <f>IF(AND(J943=1,ISNUMBER(G943)),G943,"")</f>
        <v/>
      </c>
      <c r="M943" s="22">
        <f>IF(AND(J943=1,ISNUMBER(C943)),C943,"")</f>
        <v/>
      </c>
      <c r="N943" s="31">
        <f>IF(AND(J943=1,ISNUMBER(I943)),I943,"")</f>
        <v/>
      </c>
      <c r="O943" s="11">
        <f>IF(K943="","",100-IF($G$13=1,50,(_xlfn.RANK.AVG(K943,$K$19:$K$1518,1)-1)/($G$13-1)*100))</f>
        <v/>
      </c>
      <c r="P943" s="11">
        <f>IF(L943="","",100-IF($G$14=1,50,(_xlfn.RANK.AVG(L943,$L$19:$L$1518,1)-1)/($G$14-1)*100))</f>
        <v/>
      </c>
      <c r="Q943" s="11">
        <f>IF(M943="","",IF($G$15=1,50,(_xlfn.RANK.AVG(M943,$M$19:$M$1518,1)-1)/($G$15-1)*100))</f>
        <v/>
      </c>
      <c r="R943" s="11">
        <f>IF(N943="","",IF($G$16=1,50,(_xlfn.RANK.AVG(N943,$N$19:$N$1518,1)-1)/($G$16-1)*100))</f>
        <v/>
      </c>
      <c r="S943" s="11">
        <f>IF(COUNT(O943:R943)=4,ROUND(AVERAGE(O943:R943),6),"")</f>
        <v/>
      </c>
      <c r="U943">
        <f>IF(AND(ISNUMBER('자료_한국심리'!$A927),ISNUMBER('자료_한국심리'!$B927)),'자료_한국심리'!$A927,"")</f>
        <v/>
      </c>
      <c r="V943">
        <f>IF(AND(ISNUMBER('자료_한국심리'!$D927),ISNUMBER('자료_한국심리'!$E927)),'자료_한국심리'!$D927,"")</f>
        <v/>
      </c>
      <c r="W943">
        <f>IF(AND(ISNUMBER('자료_한국심리'!$G927),ISNUMBER('자료_한국심리'!$H927)),'자료_한국심리'!$G927,"")</f>
        <v/>
      </c>
      <c r="X943">
        <f>IF(AND(ISNUMBER('자료_한국심리'!$J927),ISNUMBER('자료_한국심리'!$K927)),'자료_한국심리'!$J927,"")</f>
        <v/>
      </c>
      <c r="Y943">
        <f>IF(AND(ISNUMBER('자료_한국심리'!$M927),ISNUMBER('자료_한국심리'!$N927)),'자료_한국심리'!$M927,"")</f>
        <v/>
      </c>
    </row>
    <row r="944">
      <c r="A944" s="10">
        <f>IF(926&gt;$E$5,"",SMALL($U$19:$U$4018,$E$6+926))</f>
        <v/>
      </c>
      <c r="B944" s="29">
        <f>IF(A944="","",INDEX('자료_한국심리'!$B$3:$B$4002,MATCH(A944,$U$19:$U$4018,0)))</f>
        <v/>
      </c>
      <c r="C944" s="22">
        <f>IF(A944="","",B944/AVERAGE(B820:B944)-1)</f>
        <v/>
      </c>
      <c r="D944" s="29">
        <f>IF(A944="","",IFERROR(INDEX('자료_한국심리'!$E$3:$E$4002,MATCH(A944,$V$19:$V$4018,0)),D943))</f>
        <v/>
      </c>
      <c r="E944" s="30">
        <f>IF(A944="","",IFERROR(INDEX('자료_한국심리'!$H$3:$H$4002,MATCH(A944,$W$19:$W$4018,0)),E943))</f>
        <v/>
      </c>
      <c r="F944" s="30">
        <f>IF(A944="","",IFERROR(INDEX('자료_한국심리'!$K$3:$K$4002,MATCH(A944,$X$19:$X$4018,0)),F943))</f>
        <v/>
      </c>
      <c r="G944" s="30">
        <f>IF(AND(ISNUMBER(E944),ISNUMBER(F944)),ROUND(E944-F944,6),"")</f>
        <v/>
      </c>
      <c r="H944" s="25">
        <f>IF(A944="","",IFERROR(INDEX('자료_한국심리'!$N$3:$N$4002,MATCH(A944,$Y$19:$Y$4018,0)),H943))</f>
        <v/>
      </c>
      <c r="I944" s="31">
        <f>IF(AND(ISNUMBER(H944),ISNUMBER(H924)),IF(H924&gt;0,H944/H924-1,""),"")</f>
        <v/>
      </c>
      <c r="J944">
        <f>IF(A944="",0,IF(A944&gt;$B$5,1,0))</f>
        <v/>
      </c>
      <c r="K944" s="29">
        <f>IF(AND(J944=1,ISNUMBER(D944)),D944,"")</f>
        <v/>
      </c>
      <c r="L944" s="30">
        <f>IF(AND(J944=1,ISNUMBER(G944)),G944,"")</f>
        <v/>
      </c>
      <c r="M944" s="22">
        <f>IF(AND(J944=1,ISNUMBER(C944)),C944,"")</f>
        <v/>
      </c>
      <c r="N944" s="31">
        <f>IF(AND(J944=1,ISNUMBER(I944)),I944,"")</f>
        <v/>
      </c>
      <c r="O944" s="11">
        <f>IF(K944="","",100-IF($G$13=1,50,(_xlfn.RANK.AVG(K944,$K$19:$K$1518,1)-1)/($G$13-1)*100))</f>
        <v/>
      </c>
      <c r="P944" s="11">
        <f>IF(L944="","",100-IF($G$14=1,50,(_xlfn.RANK.AVG(L944,$L$19:$L$1518,1)-1)/($G$14-1)*100))</f>
        <v/>
      </c>
      <c r="Q944" s="11">
        <f>IF(M944="","",IF($G$15=1,50,(_xlfn.RANK.AVG(M944,$M$19:$M$1518,1)-1)/($G$15-1)*100))</f>
        <v/>
      </c>
      <c r="R944" s="11">
        <f>IF(N944="","",IF($G$16=1,50,(_xlfn.RANK.AVG(N944,$N$19:$N$1518,1)-1)/($G$16-1)*100))</f>
        <v/>
      </c>
      <c r="S944" s="11">
        <f>IF(COUNT(O944:R944)=4,ROUND(AVERAGE(O944:R944),6),"")</f>
        <v/>
      </c>
      <c r="U944">
        <f>IF(AND(ISNUMBER('자료_한국심리'!$A928),ISNUMBER('자료_한국심리'!$B928)),'자료_한국심리'!$A928,"")</f>
        <v/>
      </c>
      <c r="V944">
        <f>IF(AND(ISNUMBER('자료_한국심리'!$D928),ISNUMBER('자료_한국심리'!$E928)),'자료_한국심리'!$D928,"")</f>
        <v/>
      </c>
      <c r="W944">
        <f>IF(AND(ISNUMBER('자료_한국심리'!$G928),ISNUMBER('자료_한국심리'!$H928)),'자료_한국심리'!$G928,"")</f>
        <v/>
      </c>
      <c r="X944">
        <f>IF(AND(ISNUMBER('자료_한국심리'!$J928),ISNUMBER('자료_한국심리'!$K928)),'자료_한국심리'!$J928,"")</f>
        <v/>
      </c>
      <c r="Y944">
        <f>IF(AND(ISNUMBER('자료_한국심리'!$M928),ISNUMBER('자료_한국심리'!$N928)),'자료_한국심리'!$M928,"")</f>
        <v/>
      </c>
    </row>
    <row r="945">
      <c r="A945" s="10">
        <f>IF(927&gt;$E$5,"",SMALL($U$19:$U$4018,$E$6+927))</f>
        <v/>
      </c>
      <c r="B945" s="29">
        <f>IF(A945="","",INDEX('자료_한국심리'!$B$3:$B$4002,MATCH(A945,$U$19:$U$4018,0)))</f>
        <v/>
      </c>
      <c r="C945" s="22">
        <f>IF(A945="","",B945/AVERAGE(B821:B945)-1)</f>
        <v/>
      </c>
      <c r="D945" s="29">
        <f>IF(A945="","",IFERROR(INDEX('자료_한국심리'!$E$3:$E$4002,MATCH(A945,$V$19:$V$4018,0)),D944))</f>
        <v/>
      </c>
      <c r="E945" s="30">
        <f>IF(A945="","",IFERROR(INDEX('자료_한국심리'!$H$3:$H$4002,MATCH(A945,$W$19:$W$4018,0)),E944))</f>
        <v/>
      </c>
      <c r="F945" s="30">
        <f>IF(A945="","",IFERROR(INDEX('자료_한국심리'!$K$3:$K$4002,MATCH(A945,$X$19:$X$4018,0)),F944))</f>
        <v/>
      </c>
      <c r="G945" s="30">
        <f>IF(AND(ISNUMBER(E945),ISNUMBER(F945)),ROUND(E945-F945,6),"")</f>
        <v/>
      </c>
      <c r="H945" s="25">
        <f>IF(A945="","",IFERROR(INDEX('자료_한국심리'!$N$3:$N$4002,MATCH(A945,$Y$19:$Y$4018,0)),H944))</f>
        <v/>
      </c>
      <c r="I945" s="31">
        <f>IF(AND(ISNUMBER(H945),ISNUMBER(H925)),IF(H925&gt;0,H945/H925-1,""),"")</f>
        <v/>
      </c>
      <c r="J945">
        <f>IF(A945="",0,IF(A945&gt;$B$5,1,0))</f>
        <v/>
      </c>
      <c r="K945" s="29">
        <f>IF(AND(J945=1,ISNUMBER(D945)),D945,"")</f>
        <v/>
      </c>
      <c r="L945" s="30">
        <f>IF(AND(J945=1,ISNUMBER(G945)),G945,"")</f>
        <v/>
      </c>
      <c r="M945" s="22">
        <f>IF(AND(J945=1,ISNUMBER(C945)),C945,"")</f>
        <v/>
      </c>
      <c r="N945" s="31">
        <f>IF(AND(J945=1,ISNUMBER(I945)),I945,"")</f>
        <v/>
      </c>
      <c r="O945" s="11">
        <f>IF(K945="","",100-IF($G$13=1,50,(_xlfn.RANK.AVG(K945,$K$19:$K$1518,1)-1)/($G$13-1)*100))</f>
        <v/>
      </c>
      <c r="P945" s="11">
        <f>IF(L945="","",100-IF($G$14=1,50,(_xlfn.RANK.AVG(L945,$L$19:$L$1518,1)-1)/($G$14-1)*100))</f>
        <v/>
      </c>
      <c r="Q945" s="11">
        <f>IF(M945="","",IF($G$15=1,50,(_xlfn.RANK.AVG(M945,$M$19:$M$1518,1)-1)/($G$15-1)*100))</f>
        <v/>
      </c>
      <c r="R945" s="11">
        <f>IF(N945="","",IF($G$16=1,50,(_xlfn.RANK.AVG(N945,$N$19:$N$1518,1)-1)/($G$16-1)*100))</f>
        <v/>
      </c>
      <c r="S945" s="11">
        <f>IF(COUNT(O945:R945)=4,ROUND(AVERAGE(O945:R945),6),"")</f>
        <v/>
      </c>
      <c r="U945">
        <f>IF(AND(ISNUMBER('자료_한국심리'!$A929),ISNUMBER('자료_한국심리'!$B929)),'자료_한국심리'!$A929,"")</f>
        <v/>
      </c>
      <c r="V945">
        <f>IF(AND(ISNUMBER('자료_한국심리'!$D929),ISNUMBER('자료_한국심리'!$E929)),'자료_한국심리'!$D929,"")</f>
        <v/>
      </c>
      <c r="W945">
        <f>IF(AND(ISNUMBER('자료_한국심리'!$G929),ISNUMBER('자료_한국심리'!$H929)),'자료_한국심리'!$G929,"")</f>
        <v/>
      </c>
      <c r="X945">
        <f>IF(AND(ISNUMBER('자료_한국심리'!$J929),ISNUMBER('자료_한국심리'!$K929)),'자료_한국심리'!$J929,"")</f>
        <v/>
      </c>
      <c r="Y945">
        <f>IF(AND(ISNUMBER('자료_한국심리'!$M929),ISNUMBER('자료_한국심리'!$N929)),'자료_한국심리'!$M929,"")</f>
        <v/>
      </c>
    </row>
    <row r="946">
      <c r="A946" s="10">
        <f>IF(928&gt;$E$5,"",SMALL($U$19:$U$4018,$E$6+928))</f>
        <v/>
      </c>
      <c r="B946" s="29">
        <f>IF(A946="","",INDEX('자료_한국심리'!$B$3:$B$4002,MATCH(A946,$U$19:$U$4018,0)))</f>
        <v/>
      </c>
      <c r="C946" s="22">
        <f>IF(A946="","",B946/AVERAGE(B822:B946)-1)</f>
        <v/>
      </c>
      <c r="D946" s="29">
        <f>IF(A946="","",IFERROR(INDEX('자료_한국심리'!$E$3:$E$4002,MATCH(A946,$V$19:$V$4018,0)),D945))</f>
        <v/>
      </c>
      <c r="E946" s="30">
        <f>IF(A946="","",IFERROR(INDEX('자료_한국심리'!$H$3:$H$4002,MATCH(A946,$W$19:$W$4018,0)),E945))</f>
        <v/>
      </c>
      <c r="F946" s="30">
        <f>IF(A946="","",IFERROR(INDEX('자료_한국심리'!$K$3:$K$4002,MATCH(A946,$X$19:$X$4018,0)),F945))</f>
        <v/>
      </c>
      <c r="G946" s="30">
        <f>IF(AND(ISNUMBER(E946),ISNUMBER(F946)),ROUND(E946-F946,6),"")</f>
        <v/>
      </c>
      <c r="H946" s="25">
        <f>IF(A946="","",IFERROR(INDEX('자료_한국심리'!$N$3:$N$4002,MATCH(A946,$Y$19:$Y$4018,0)),H945))</f>
        <v/>
      </c>
      <c r="I946" s="31">
        <f>IF(AND(ISNUMBER(H946),ISNUMBER(H926)),IF(H926&gt;0,H946/H926-1,""),"")</f>
        <v/>
      </c>
      <c r="J946">
        <f>IF(A946="",0,IF(A946&gt;$B$5,1,0))</f>
        <v/>
      </c>
      <c r="K946" s="29">
        <f>IF(AND(J946=1,ISNUMBER(D946)),D946,"")</f>
        <v/>
      </c>
      <c r="L946" s="30">
        <f>IF(AND(J946=1,ISNUMBER(G946)),G946,"")</f>
        <v/>
      </c>
      <c r="M946" s="22">
        <f>IF(AND(J946=1,ISNUMBER(C946)),C946,"")</f>
        <v/>
      </c>
      <c r="N946" s="31">
        <f>IF(AND(J946=1,ISNUMBER(I946)),I946,"")</f>
        <v/>
      </c>
      <c r="O946" s="11">
        <f>IF(K946="","",100-IF($G$13=1,50,(_xlfn.RANK.AVG(K946,$K$19:$K$1518,1)-1)/($G$13-1)*100))</f>
        <v/>
      </c>
      <c r="P946" s="11">
        <f>IF(L946="","",100-IF($G$14=1,50,(_xlfn.RANK.AVG(L946,$L$19:$L$1518,1)-1)/($G$14-1)*100))</f>
        <v/>
      </c>
      <c r="Q946" s="11">
        <f>IF(M946="","",IF($G$15=1,50,(_xlfn.RANK.AVG(M946,$M$19:$M$1518,1)-1)/($G$15-1)*100))</f>
        <v/>
      </c>
      <c r="R946" s="11">
        <f>IF(N946="","",IF($G$16=1,50,(_xlfn.RANK.AVG(N946,$N$19:$N$1518,1)-1)/($G$16-1)*100))</f>
        <v/>
      </c>
      <c r="S946" s="11">
        <f>IF(COUNT(O946:R946)=4,ROUND(AVERAGE(O946:R946),6),"")</f>
        <v/>
      </c>
      <c r="U946">
        <f>IF(AND(ISNUMBER('자료_한국심리'!$A930),ISNUMBER('자료_한국심리'!$B930)),'자료_한국심리'!$A930,"")</f>
        <v/>
      </c>
      <c r="V946">
        <f>IF(AND(ISNUMBER('자료_한국심리'!$D930),ISNUMBER('자료_한국심리'!$E930)),'자료_한국심리'!$D930,"")</f>
        <v/>
      </c>
      <c r="W946">
        <f>IF(AND(ISNUMBER('자료_한국심리'!$G930),ISNUMBER('자료_한국심리'!$H930)),'자료_한국심리'!$G930,"")</f>
        <v/>
      </c>
      <c r="X946">
        <f>IF(AND(ISNUMBER('자료_한국심리'!$J930),ISNUMBER('자료_한국심리'!$K930)),'자료_한국심리'!$J930,"")</f>
        <v/>
      </c>
      <c r="Y946">
        <f>IF(AND(ISNUMBER('자료_한국심리'!$M930),ISNUMBER('자료_한국심리'!$N930)),'자료_한국심리'!$M930,"")</f>
        <v/>
      </c>
    </row>
    <row r="947">
      <c r="A947" s="10">
        <f>IF(929&gt;$E$5,"",SMALL($U$19:$U$4018,$E$6+929))</f>
        <v/>
      </c>
      <c r="B947" s="29">
        <f>IF(A947="","",INDEX('자료_한국심리'!$B$3:$B$4002,MATCH(A947,$U$19:$U$4018,0)))</f>
        <v/>
      </c>
      <c r="C947" s="22">
        <f>IF(A947="","",B947/AVERAGE(B823:B947)-1)</f>
        <v/>
      </c>
      <c r="D947" s="29">
        <f>IF(A947="","",IFERROR(INDEX('자료_한국심리'!$E$3:$E$4002,MATCH(A947,$V$19:$V$4018,0)),D946))</f>
        <v/>
      </c>
      <c r="E947" s="30">
        <f>IF(A947="","",IFERROR(INDEX('자료_한국심리'!$H$3:$H$4002,MATCH(A947,$W$19:$W$4018,0)),E946))</f>
        <v/>
      </c>
      <c r="F947" s="30">
        <f>IF(A947="","",IFERROR(INDEX('자료_한국심리'!$K$3:$K$4002,MATCH(A947,$X$19:$X$4018,0)),F946))</f>
        <v/>
      </c>
      <c r="G947" s="30">
        <f>IF(AND(ISNUMBER(E947),ISNUMBER(F947)),ROUND(E947-F947,6),"")</f>
        <v/>
      </c>
      <c r="H947" s="25">
        <f>IF(A947="","",IFERROR(INDEX('자료_한국심리'!$N$3:$N$4002,MATCH(A947,$Y$19:$Y$4018,0)),H946))</f>
        <v/>
      </c>
      <c r="I947" s="31">
        <f>IF(AND(ISNUMBER(H947),ISNUMBER(H927)),IF(H927&gt;0,H947/H927-1,""),"")</f>
        <v/>
      </c>
      <c r="J947">
        <f>IF(A947="",0,IF(A947&gt;$B$5,1,0))</f>
        <v/>
      </c>
      <c r="K947" s="29">
        <f>IF(AND(J947=1,ISNUMBER(D947)),D947,"")</f>
        <v/>
      </c>
      <c r="L947" s="30">
        <f>IF(AND(J947=1,ISNUMBER(G947)),G947,"")</f>
        <v/>
      </c>
      <c r="M947" s="22">
        <f>IF(AND(J947=1,ISNUMBER(C947)),C947,"")</f>
        <v/>
      </c>
      <c r="N947" s="31">
        <f>IF(AND(J947=1,ISNUMBER(I947)),I947,"")</f>
        <v/>
      </c>
      <c r="O947" s="11">
        <f>IF(K947="","",100-IF($G$13=1,50,(_xlfn.RANK.AVG(K947,$K$19:$K$1518,1)-1)/($G$13-1)*100))</f>
        <v/>
      </c>
      <c r="P947" s="11">
        <f>IF(L947="","",100-IF($G$14=1,50,(_xlfn.RANK.AVG(L947,$L$19:$L$1518,1)-1)/($G$14-1)*100))</f>
        <v/>
      </c>
      <c r="Q947" s="11">
        <f>IF(M947="","",IF($G$15=1,50,(_xlfn.RANK.AVG(M947,$M$19:$M$1518,1)-1)/($G$15-1)*100))</f>
        <v/>
      </c>
      <c r="R947" s="11">
        <f>IF(N947="","",IF($G$16=1,50,(_xlfn.RANK.AVG(N947,$N$19:$N$1518,1)-1)/($G$16-1)*100))</f>
        <v/>
      </c>
      <c r="S947" s="11">
        <f>IF(COUNT(O947:R947)=4,ROUND(AVERAGE(O947:R947),6),"")</f>
        <v/>
      </c>
      <c r="U947">
        <f>IF(AND(ISNUMBER('자료_한국심리'!$A931),ISNUMBER('자료_한국심리'!$B931)),'자료_한국심리'!$A931,"")</f>
        <v/>
      </c>
      <c r="V947">
        <f>IF(AND(ISNUMBER('자료_한국심리'!$D931),ISNUMBER('자료_한국심리'!$E931)),'자료_한국심리'!$D931,"")</f>
        <v/>
      </c>
      <c r="W947">
        <f>IF(AND(ISNUMBER('자료_한국심리'!$G931),ISNUMBER('자료_한국심리'!$H931)),'자료_한국심리'!$G931,"")</f>
        <v/>
      </c>
      <c r="X947">
        <f>IF(AND(ISNUMBER('자료_한국심리'!$J931),ISNUMBER('자료_한국심리'!$K931)),'자료_한국심리'!$J931,"")</f>
        <v/>
      </c>
      <c r="Y947">
        <f>IF(AND(ISNUMBER('자료_한국심리'!$M931),ISNUMBER('자료_한국심리'!$N931)),'자료_한국심리'!$M931,"")</f>
        <v/>
      </c>
    </row>
    <row r="948">
      <c r="A948" s="10">
        <f>IF(930&gt;$E$5,"",SMALL($U$19:$U$4018,$E$6+930))</f>
        <v/>
      </c>
      <c r="B948" s="29">
        <f>IF(A948="","",INDEX('자료_한국심리'!$B$3:$B$4002,MATCH(A948,$U$19:$U$4018,0)))</f>
        <v/>
      </c>
      <c r="C948" s="22">
        <f>IF(A948="","",B948/AVERAGE(B824:B948)-1)</f>
        <v/>
      </c>
      <c r="D948" s="29">
        <f>IF(A948="","",IFERROR(INDEX('자료_한국심리'!$E$3:$E$4002,MATCH(A948,$V$19:$V$4018,0)),D947))</f>
        <v/>
      </c>
      <c r="E948" s="30">
        <f>IF(A948="","",IFERROR(INDEX('자료_한국심리'!$H$3:$H$4002,MATCH(A948,$W$19:$W$4018,0)),E947))</f>
        <v/>
      </c>
      <c r="F948" s="30">
        <f>IF(A948="","",IFERROR(INDEX('자료_한국심리'!$K$3:$K$4002,MATCH(A948,$X$19:$X$4018,0)),F947))</f>
        <v/>
      </c>
      <c r="G948" s="30">
        <f>IF(AND(ISNUMBER(E948),ISNUMBER(F948)),ROUND(E948-F948,6),"")</f>
        <v/>
      </c>
      <c r="H948" s="25">
        <f>IF(A948="","",IFERROR(INDEX('자료_한국심리'!$N$3:$N$4002,MATCH(A948,$Y$19:$Y$4018,0)),H947))</f>
        <v/>
      </c>
      <c r="I948" s="31">
        <f>IF(AND(ISNUMBER(H948),ISNUMBER(H928)),IF(H928&gt;0,H948/H928-1,""),"")</f>
        <v/>
      </c>
      <c r="J948">
        <f>IF(A948="",0,IF(A948&gt;$B$5,1,0))</f>
        <v/>
      </c>
      <c r="K948" s="29">
        <f>IF(AND(J948=1,ISNUMBER(D948)),D948,"")</f>
        <v/>
      </c>
      <c r="L948" s="30">
        <f>IF(AND(J948=1,ISNUMBER(G948)),G948,"")</f>
        <v/>
      </c>
      <c r="M948" s="22">
        <f>IF(AND(J948=1,ISNUMBER(C948)),C948,"")</f>
        <v/>
      </c>
      <c r="N948" s="31">
        <f>IF(AND(J948=1,ISNUMBER(I948)),I948,"")</f>
        <v/>
      </c>
      <c r="O948" s="11">
        <f>IF(K948="","",100-IF($G$13=1,50,(_xlfn.RANK.AVG(K948,$K$19:$K$1518,1)-1)/($G$13-1)*100))</f>
        <v/>
      </c>
      <c r="P948" s="11">
        <f>IF(L948="","",100-IF($G$14=1,50,(_xlfn.RANK.AVG(L948,$L$19:$L$1518,1)-1)/($G$14-1)*100))</f>
        <v/>
      </c>
      <c r="Q948" s="11">
        <f>IF(M948="","",IF($G$15=1,50,(_xlfn.RANK.AVG(M948,$M$19:$M$1518,1)-1)/($G$15-1)*100))</f>
        <v/>
      </c>
      <c r="R948" s="11">
        <f>IF(N948="","",IF($G$16=1,50,(_xlfn.RANK.AVG(N948,$N$19:$N$1518,1)-1)/($G$16-1)*100))</f>
        <v/>
      </c>
      <c r="S948" s="11">
        <f>IF(COUNT(O948:R948)=4,ROUND(AVERAGE(O948:R948),6),"")</f>
        <v/>
      </c>
      <c r="U948">
        <f>IF(AND(ISNUMBER('자료_한국심리'!$A932),ISNUMBER('자료_한국심리'!$B932)),'자료_한국심리'!$A932,"")</f>
        <v/>
      </c>
      <c r="V948">
        <f>IF(AND(ISNUMBER('자료_한국심리'!$D932),ISNUMBER('자료_한국심리'!$E932)),'자료_한국심리'!$D932,"")</f>
        <v/>
      </c>
      <c r="W948">
        <f>IF(AND(ISNUMBER('자료_한국심리'!$G932),ISNUMBER('자료_한국심리'!$H932)),'자료_한국심리'!$G932,"")</f>
        <v/>
      </c>
      <c r="X948">
        <f>IF(AND(ISNUMBER('자료_한국심리'!$J932),ISNUMBER('자료_한국심리'!$K932)),'자료_한국심리'!$J932,"")</f>
        <v/>
      </c>
      <c r="Y948">
        <f>IF(AND(ISNUMBER('자료_한국심리'!$M932),ISNUMBER('자료_한국심리'!$N932)),'자료_한국심리'!$M932,"")</f>
        <v/>
      </c>
    </row>
    <row r="949">
      <c r="A949" s="10">
        <f>IF(931&gt;$E$5,"",SMALL($U$19:$U$4018,$E$6+931))</f>
        <v/>
      </c>
      <c r="B949" s="29">
        <f>IF(A949="","",INDEX('자료_한국심리'!$B$3:$B$4002,MATCH(A949,$U$19:$U$4018,0)))</f>
        <v/>
      </c>
      <c r="C949" s="22">
        <f>IF(A949="","",B949/AVERAGE(B825:B949)-1)</f>
        <v/>
      </c>
      <c r="D949" s="29">
        <f>IF(A949="","",IFERROR(INDEX('자료_한국심리'!$E$3:$E$4002,MATCH(A949,$V$19:$V$4018,0)),D948))</f>
        <v/>
      </c>
      <c r="E949" s="30">
        <f>IF(A949="","",IFERROR(INDEX('자료_한국심리'!$H$3:$H$4002,MATCH(A949,$W$19:$W$4018,0)),E948))</f>
        <v/>
      </c>
      <c r="F949" s="30">
        <f>IF(A949="","",IFERROR(INDEX('자료_한국심리'!$K$3:$K$4002,MATCH(A949,$X$19:$X$4018,0)),F948))</f>
        <v/>
      </c>
      <c r="G949" s="30">
        <f>IF(AND(ISNUMBER(E949),ISNUMBER(F949)),ROUND(E949-F949,6),"")</f>
        <v/>
      </c>
      <c r="H949" s="25">
        <f>IF(A949="","",IFERROR(INDEX('자료_한국심리'!$N$3:$N$4002,MATCH(A949,$Y$19:$Y$4018,0)),H948))</f>
        <v/>
      </c>
      <c r="I949" s="31">
        <f>IF(AND(ISNUMBER(H949),ISNUMBER(H929)),IF(H929&gt;0,H949/H929-1,""),"")</f>
        <v/>
      </c>
      <c r="J949">
        <f>IF(A949="",0,IF(A949&gt;$B$5,1,0))</f>
        <v/>
      </c>
      <c r="K949" s="29">
        <f>IF(AND(J949=1,ISNUMBER(D949)),D949,"")</f>
        <v/>
      </c>
      <c r="L949" s="30">
        <f>IF(AND(J949=1,ISNUMBER(G949)),G949,"")</f>
        <v/>
      </c>
      <c r="M949" s="22">
        <f>IF(AND(J949=1,ISNUMBER(C949)),C949,"")</f>
        <v/>
      </c>
      <c r="N949" s="31">
        <f>IF(AND(J949=1,ISNUMBER(I949)),I949,"")</f>
        <v/>
      </c>
      <c r="O949" s="11">
        <f>IF(K949="","",100-IF($G$13=1,50,(_xlfn.RANK.AVG(K949,$K$19:$K$1518,1)-1)/($G$13-1)*100))</f>
        <v/>
      </c>
      <c r="P949" s="11">
        <f>IF(L949="","",100-IF($G$14=1,50,(_xlfn.RANK.AVG(L949,$L$19:$L$1518,1)-1)/($G$14-1)*100))</f>
        <v/>
      </c>
      <c r="Q949" s="11">
        <f>IF(M949="","",IF($G$15=1,50,(_xlfn.RANK.AVG(M949,$M$19:$M$1518,1)-1)/($G$15-1)*100))</f>
        <v/>
      </c>
      <c r="R949" s="11">
        <f>IF(N949="","",IF($G$16=1,50,(_xlfn.RANK.AVG(N949,$N$19:$N$1518,1)-1)/($G$16-1)*100))</f>
        <v/>
      </c>
      <c r="S949" s="11">
        <f>IF(COUNT(O949:R949)=4,ROUND(AVERAGE(O949:R949),6),"")</f>
        <v/>
      </c>
      <c r="U949">
        <f>IF(AND(ISNUMBER('자료_한국심리'!$A933),ISNUMBER('자료_한국심리'!$B933)),'자료_한국심리'!$A933,"")</f>
        <v/>
      </c>
      <c r="V949">
        <f>IF(AND(ISNUMBER('자료_한국심리'!$D933),ISNUMBER('자료_한국심리'!$E933)),'자료_한국심리'!$D933,"")</f>
        <v/>
      </c>
      <c r="W949">
        <f>IF(AND(ISNUMBER('자료_한국심리'!$G933),ISNUMBER('자료_한국심리'!$H933)),'자료_한국심리'!$G933,"")</f>
        <v/>
      </c>
      <c r="X949">
        <f>IF(AND(ISNUMBER('자료_한국심리'!$J933),ISNUMBER('자료_한국심리'!$K933)),'자료_한국심리'!$J933,"")</f>
        <v/>
      </c>
      <c r="Y949">
        <f>IF(AND(ISNUMBER('자료_한국심리'!$M933),ISNUMBER('자료_한국심리'!$N933)),'자료_한국심리'!$M933,"")</f>
        <v/>
      </c>
    </row>
    <row r="950">
      <c r="A950" s="10">
        <f>IF(932&gt;$E$5,"",SMALL($U$19:$U$4018,$E$6+932))</f>
        <v/>
      </c>
      <c r="B950" s="29">
        <f>IF(A950="","",INDEX('자료_한국심리'!$B$3:$B$4002,MATCH(A950,$U$19:$U$4018,0)))</f>
        <v/>
      </c>
      <c r="C950" s="22">
        <f>IF(A950="","",B950/AVERAGE(B826:B950)-1)</f>
        <v/>
      </c>
      <c r="D950" s="29">
        <f>IF(A950="","",IFERROR(INDEX('자료_한국심리'!$E$3:$E$4002,MATCH(A950,$V$19:$V$4018,0)),D949))</f>
        <v/>
      </c>
      <c r="E950" s="30">
        <f>IF(A950="","",IFERROR(INDEX('자료_한국심리'!$H$3:$H$4002,MATCH(A950,$W$19:$W$4018,0)),E949))</f>
        <v/>
      </c>
      <c r="F950" s="30">
        <f>IF(A950="","",IFERROR(INDEX('자료_한국심리'!$K$3:$K$4002,MATCH(A950,$X$19:$X$4018,0)),F949))</f>
        <v/>
      </c>
      <c r="G950" s="30">
        <f>IF(AND(ISNUMBER(E950),ISNUMBER(F950)),ROUND(E950-F950,6),"")</f>
        <v/>
      </c>
      <c r="H950" s="25">
        <f>IF(A950="","",IFERROR(INDEX('자료_한국심리'!$N$3:$N$4002,MATCH(A950,$Y$19:$Y$4018,0)),H949))</f>
        <v/>
      </c>
      <c r="I950" s="31">
        <f>IF(AND(ISNUMBER(H950),ISNUMBER(H930)),IF(H930&gt;0,H950/H930-1,""),"")</f>
        <v/>
      </c>
      <c r="J950">
        <f>IF(A950="",0,IF(A950&gt;$B$5,1,0))</f>
        <v/>
      </c>
      <c r="K950" s="29">
        <f>IF(AND(J950=1,ISNUMBER(D950)),D950,"")</f>
        <v/>
      </c>
      <c r="L950" s="30">
        <f>IF(AND(J950=1,ISNUMBER(G950)),G950,"")</f>
        <v/>
      </c>
      <c r="M950" s="22">
        <f>IF(AND(J950=1,ISNUMBER(C950)),C950,"")</f>
        <v/>
      </c>
      <c r="N950" s="31">
        <f>IF(AND(J950=1,ISNUMBER(I950)),I950,"")</f>
        <v/>
      </c>
      <c r="O950" s="11">
        <f>IF(K950="","",100-IF($G$13=1,50,(_xlfn.RANK.AVG(K950,$K$19:$K$1518,1)-1)/($G$13-1)*100))</f>
        <v/>
      </c>
      <c r="P950" s="11">
        <f>IF(L950="","",100-IF($G$14=1,50,(_xlfn.RANK.AVG(L950,$L$19:$L$1518,1)-1)/($G$14-1)*100))</f>
        <v/>
      </c>
      <c r="Q950" s="11">
        <f>IF(M950="","",IF($G$15=1,50,(_xlfn.RANK.AVG(M950,$M$19:$M$1518,1)-1)/($G$15-1)*100))</f>
        <v/>
      </c>
      <c r="R950" s="11">
        <f>IF(N950="","",IF($G$16=1,50,(_xlfn.RANK.AVG(N950,$N$19:$N$1518,1)-1)/($G$16-1)*100))</f>
        <v/>
      </c>
      <c r="S950" s="11">
        <f>IF(COUNT(O950:R950)=4,ROUND(AVERAGE(O950:R950),6),"")</f>
        <v/>
      </c>
      <c r="U950">
        <f>IF(AND(ISNUMBER('자료_한국심리'!$A934),ISNUMBER('자료_한국심리'!$B934)),'자료_한국심리'!$A934,"")</f>
        <v/>
      </c>
      <c r="V950">
        <f>IF(AND(ISNUMBER('자료_한국심리'!$D934),ISNUMBER('자료_한국심리'!$E934)),'자료_한국심리'!$D934,"")</f>
        <v/>
      </c>
      <c r="W950">
        <f>IF(AND(ISNUMBER('자료_한국심리'!$G934),ISNUMBER('자료_한국심리'!$H934)),'자료_한국심리'!$G934,"")</f>
        <v/>
      </c>
      <c r="X950">
        <f>IF(AND(ISNUMBER('자료_한국심리'!$J934),ISNUMBER('자료_한국심리'!$K934)),'자료_한국심리'!$J934,"")</f>
        <v/>
      </c>
      <c r="Y950">
        <f>IF(AND(ISNUMBER('자료_한국심리'!$M934),ISNUMBER('자료_한국심리'!$N934)),'자료_한국심리'!$M934,"")</f>
        <v/>
      </c>
    </row>
    <row r="951">
      <c r="A951" s="10">
        <f>IF(933&gt;$E$5,"",SMALL($U$19:$U$4018,$E$6+933))</f>
        <v/>
      </c>
      <c r="B951" s="29">
        <f>IF(A951="","",INDEX('자료_한국심리'!$B$3:$B$4002,MATCH(A951,$U$19:$U$4018,0)))</f>
        <v/>
      </c>
      <c r="C951" s="22">
        <f>IF(A951="","",B951/AVERAGE(B827:B951)-1)</f>
        <v/>
      </c>
      <c r="D951" s="29">
        <f>IF(A951="","",IFERROR(INDEX('자료_한국심리'!$E$3:$E$4002,MATCH(A951,$V$19:$V$4018,0)),D950))</f>
        <v/>
      </c>
      <c r="E951" s="30">
        <f>IF(A951="","",IFERROR(INDEX('자료_한국심리'!$H$3:$H$4002,MATCH(A951,$W$19:$W$4018,0)),E950))</f>
        <v/>
      </c>
      <c r="F951" s="30">
        <f>IF(A951="","",IFERROR(INDEX('자료_한국심리'!$K$3:$K$4002,MATCH(A951,$X$19:$X$4018,0)),F950))</f>
        <v/>
      </c>
      <c r="G951" s="30">
        <f>IF(AND(ISNUMBER(E951),ISNUMBER(F951)),ROUND(E951-F951,6),"")</f>
        <v/>
      </c>
      <c r="H951" s="25">
        <f>IF(A951="","",IFERROR(INDEX('자료_한국심리'!$N$3:$N$4002,MATCH(A951,$Y$19:$Y$4018,0)),H950))</f>
        <v/>
      </c>
      <c r="I951" s="31">
        <f>IF(AND(ISNUMBER(H951),ISNUMBER(H931)),IF(H931&gt;0,H951/H931-1,""),"")</f>
        <v/>
      </c>
      <c r="J951">
        <f>IF(A951="",0,IF(A951&gt;$B$5,1,0))</f>
        <v/>
      </c>
      <c r="K951" s="29">
        <f>IF(AND(J951=1,ISNUMBER(D951)),D951,"")</f>
        <v/>
      </c>
      <c r="L951" s="30">
        <f>IF(AND(J951=1,ISNUMBER(G951)),G951,"")</f>
        <v/>
      </c>
      <c r="M951" s="22">
        <f>IF(AND(J951=1,ISNUMBER(C951)),C951,"")</f>
        <v/>
      </c>
      <c r="N951" s="31">
        <f>IF(AND(J951=1,ISNUMBER(I951)),I951,"")</f>
        <v/>
      </c>
      <c r="O951" s="11">
        <f>IF(K951="","",100-IF($G$13=1,50,(_xlfn.RANK.AVG(K951,$K$19:$K$1518,1)-1)/($G$13-1)*100))</f>
        <v/>
      </c>
      <c r="P951" s="11">
        <f>IF(L951="","",100-IF($G$14=1,50,(_xlfn.RANK.AVG(L951,$L$19:$L$1518,1)-1)/($G$14-1)*100))</f>
        <v/>
      </c>
      <c r="Q951" s="11">
        <f>IF(M951="","",IF($G$15=1,50,(_xlfn.RANK.AVG(M951,$M$19:$M$1518,1)-1)/($G$15-1)*100))</f>
        <v/>
      </c>
      <c r="R951" s="11">
        <f>IF(N951="","",IF($G$16=1,50,(_xlfn.RANK.AVG(N951,$N$19:$N$1518,1)-1)/($G$16-1)*100))</f>
        <v/>
      </c>
      <c r="S951" s="11">
        <f>IF(COUNT(O951:R951)=4,ROUND(AVERAGE(O951:R951),6),"")</f>
        <v/>
      </c>
      <c r="U951">
        <f>IF(AND(ISNUMBER('자료_한국심리'!$A935),ISNUMBER('자료_한국심리'!$B935)),'자료_한국심리'!$A935,"")</f>
        <v/>
      </c>
      <c r="V951">
        <f>IF(AND(ISNUMBER('자료_한국심리'!$D935),ISNUMBER('자료_한국심리'!$E935)),'자료_한국심리'!$D935,"")</f>
        <v/>
      </c>
      <c r="W951">
        <f>IF(AND(ISNUMBER('자료_한국심리'!$G935),ISNUMBER('자료_한국심리'!$H935)),'자료_한국심리'!$G935,"")</f>
        <v/>
      </c>
      <c r="X951">
        <f>IF(AND(ISNUMBER('자료_한국심리'!$J935),ISNUMBER('자료_한국심리'!$K935)),'자료_한국심리'!$J935,"")</f>
        <v/>
      </c>
      <c r="Y951">
        <f>IF(AND(ISNUMBER('자료_한국심리'!$M935),ISNUMBER('자료_한국심리'!$N935)),'자료_한국심리'!$M935,"")</f>
        <v/>
      </c>
    </row>
    <row r="952">
      <c r="A952" s="10">
        <f>IF(934&gt;$E$5,"",SMALL($U$19:$U$4018,$E$6+934))</f>
        <v/>
      </c>
      <c r="B952" s="29">
        <f>IF(A952="","",INDEX('자료_한국심리'!$B$3:$B$4002,MATCH(A952,$U$19:$U$4018,0)))</f>
        <v/>
      </c>
      <c r="C952" s="22">
        <f>IF(A952="","",B952/AVERAGE(B828:B952)-1)</f>
        <v/>
      </c>
      <c r="D952" s="29">
        <f>IF(A952="","",IFERROR(INDEX('자료_한국심리'!$E$3:$E$4002,MATCH(A952,$V$19:$V$4018,0)),D951))</f>
        <v/>
      </c>
      <c r="E952" s="30">
        <f>IF(A952="","",IFERROR(INDEX('자료_한국심리'!$H$3:$H$4002,MATCH(A952,$W$19:$W$4018,0)),E951))</f>
        <v/>
      </c>
      <c r="F952" s="30">
        <f>IF(A952="","",IFERROR(INDEX('자료_한국심리'!$K$3:$K$4002,MATCH(A952,$X$19:$X$4018,0)),F951))</f>
        <v/>
      </c>
      <c r="G952" s="30">
        <f>IF(AND(ISNUMBER(E952),ISNUMBER(F952)),ROUND(E952-F952,6),"")</f>
        <v/>
      </c>
      <c r="H952" s="25">
        <f>IF(A952="","",IFERROR(INDEX('자료_한국심리'!$N$3:$N$4002,MATCH(A952,$Y$19:$Y$4018,0)),H951))</f>
        <v/>
      </c>
      <c r="I952" s="31">
        <f>IF(AND(ISNUMBER(H952),ISNUMBER(H932)),IF(H932&gt;0,H952/H932-1,""),"")</f>
        <v/>
      </c>
      <c r="J952">
        <f>IF(A952="",0,IF(A952&gt;$B$5,1,0))</f>
        <v/>
      </c>
      <c r="K952" s="29">
        <f>IF(AND(J952=1,ISNUMBER(D952)),D952,"")</f>
        <v/>
      </c>
      <c r="L952" s="30">
        <f>IF(AND(J952=1,ISNUMBER(G952)),G952,"")</f>
        <v/>
      </c>
      <c r="M952" s="22">
        <f>IF(AND(J952=1,ISNUMBER(C952)),C952,"")</f>
        <v/>
      </c>
      <c r="N952" s="31">
        <f>IF(AND(J952=1,ISNUMBER(I952)),I952,"")</f>
        <v/>
      </c>
      <c r="O952" s="11">
        <f>IF(K952="","",100-IF($G$13=1,50,(_xlfn.RANK.AVG(K952,$K$19:$K$1518,1)-1)/($G$13-1)*100))</f>
        <v/>
      </c>
      <c r="P952" s="11">
        <f>IF(L952="","",100-IF($G$14=1,50,(_xlfn.RANK.AVG(L952,$L$19:$L$1518,1)-1)/($G$14-1)*100))</f>
        <v/>
      </c>
      <c r="Q952" s="11">
        <f>IF(M952="","",IF($G$15=1,50,(_xlfn.RANK.AVG(M952,$M$19:$M$1518,1)-1)/($G$15-1)*100))</f>
        <v/>
      </c>
      <c r="R952" s="11">
        <f>IF(N952="","",IF($G$16=1,50,(_xlfn.RANK.AVG(N952,$N$19:$N$1518,1)-1)/($G$16-1)*100))</f>
        <v/>
      </c>
      <c r="S952" s="11">
        <f>IF(COUNT(O952:R952)=4,ROUND(AVERAGE(O952:R952),6),"")</f>
        <v/>
      </c>
      <c r="U952">
        <f>IF(AND(ISNUMBER('자료_한국심리'!$A936),ISNUMBER('자료_한국심리'!$B936)),'자료_한국심리'!$A936,"")</f>
        <v/>
      </c>
      <c r="V952">
        <f>IF(AND(ISNUMBER('자료_한국심리'!$D936),ISNUMBER('자료_한국심리'!$E936)),'자료_한국심리'!$D936,"")</f>
        <v/>
      </c>
      <c r="W952">
        <f>IF(AND(ISNUMBER('자료_한국심리'!$G936),ISNUMBER('자료_한국심리'!$H936)),'자료_한국심리'!$G936,"")</f>
        <v/>
      </c>
      <c r="X952">
        <f>IF(AND(ISNUMBER('자료_한국심리'!$J936),ISNUMBER('자료_한국심리'!$K936)),'자료_한국심리'!$J936,"")</f>
        <v/>
      </c>
      <c r="Y952">
        <f>IF(AND(ISNUMBER('자료_한국심리'!$M936),ISNUMBER('자료_한국심리'!$N936)),'자료_한국심리'!$M936,"")</f>
        <v/>
      </c>
    </row>
    <row r="953">
      <c r="A953" s="10">
        <f>IF(935&gt;$E$5,"",SMALL($U$19:$U$4018,$E$6+935))</f>
        <v/>
      </c>
      <c r="B953" s="29">
        <f>IF(A953="","",INDEX('자료_한국심리'!$B$3:$B$4002,MATCH(A953,$U$19:$U$4018,0)))</f>
        <v/>
      </c>
      <c r="C953" s="22">
        <f>IF(A953="","",B953/AVERAGE(B829:B953)-1)</f>
        <v/>
      </c>
      <c r="D953" s="29">
        <f>IF(A953="","",IFERROR(INDEX('자료_한국심리'!$E$3:$E$4002,MATCH(A953,$V$19:$V$4018,0)),D952))</f>
        <v/>
      </c>
      <c r="E953" s="30">
        <f>IF(A953="","",IFERROR(INDEX('자료_한국심리'!$H$3:$H$4002,MATCH(A953,$W$19:$W$4018,0)),E952))</f>
        <v/>
      </c>
      <c r="F953" s="30">
        <f>IF(A953="","",IFERROR(INDEX('자료_한국심리'!$K$3:$K$4002,MATCH(A953,$X$19:$X$4018,0)),F952))</f>
        <v/>
      </c>
      <c r="G953" s="30">
        <f>IF(AND(ISNUMBER(E953),ISNUMBER(F953)),ROUND(E953-F953,6),"")</f>
        <v/>
      </c>
      <c r="H953" s="25">
        <f>IF(A953="","",IFERROR(INDEX('자료_한국심리'!$N$3:$N$4002,MATCH(A953,$Y$19:$Y$4018,0)),H952))</f>
        <v/>
      </c>
      <c r="I953" s="31">
        <f>IF(AND(ISNUMBER(H953),ISNUMBER(H933)),IF(H933&gt;0,H953/H933-1,""),"")</f>
        <v/>
      </c>
      <c r="J953">
        <f>IF(A953="",0,IF(A953&gt;$B$5,1,0))</f>
        <v/>
      </c>
      <c r="K953" s="29">
        <f>IF(AND(J953=1,ISNUMBER(D953)),D953,"")</f>
        <v/>
      </c>
      <c r="L953" s="30">
        <f>IF(AND(J953=1,ISNUMBER(G953)),G953,"")</f>
        <v/>
      </c>
      <c r="M953" s="22">
        <f>IF(AND(J953=1,ISNUMBER(C953)),C953,"")</f>
        <v/>
      </c>
      <c r="N953" s="31">
        <f>IF(AND(J953=1,ISNUMBER(I953)),I953,"")</f>
        <v/>
      </c>
      <c r="O953" s="11">
        <f>IF(K953="","",100-IF($G$13=1,50,(_xlfn.RANK.AVG(K953,$K$19:$K$1518,1)-1)/($G$13-1)*100))</f>
        <v/>
      </c>
      <c r="P953" s="11">
        <f>IF(L953="","",100-IF($G$14=1,50,(_xlfn.RANK.AVG(L953,$L$19:$L$1518,1)-1)/($G$14-1)*100))</f>
        <v/>
      </c>
      <c r="Q953" s="11">
        <f>IF(M953="","",IF($G$15=1,50,(_xlfn.RANK.AVG(M953,$M$19:$M$1518,1)-1)/($G$15-1)*100))</f>
        <v/>
      </c>
      <c r="R953" s="11">
        <f>IF(N953="","",IF($G$16=1,50,(_xlfn.RANK.AVG(N953,$N$19:$N$1518,1)-1)/($G$16-1)*100))</f>
        <v/>
      </c>
      <c r="S953" s="11">
        <f>IF(COUNT(O953:R953)=4,ROUND(AVERAGE(O953:R953),6),"")</f>
        <v/>
      </c>
      <c r="U953">
        <f>IF(AND(ISNUMBER('자료_한국심리'!$A937),ISNUMBER('자료_한국심리'!$B937)),'자료_한국심리'!$A937,"")</f>
        <v/>
      </c>
      <c r="V953">
        <f>IF(AND(ISNUMBER('자료_한국심리'!$D937),ISNUMBER('자료_한국심리'!$E937)),'자료_한국심리'!$D937,"")</f>
        <v/>
      </c>
      <c r="W953">
        <f>IF(AND(ISNUMBER('자료_한국심리'!$G937),ISNUMBER('자료_한국심리'!$H937)),'자료_한국심리'!$G937,"")</f>
        <v/>
      </c>
      <c r="X953">
        <f>IF(AND(ISNUMBER('자료_한국심리'!$J937),ISNUMBER('자료_한국심리'!$K937)),'자료_한국심리'!$J937,"")</f>
        <v/>
      </c>
      <c r="Y953">
        <f>IF(AND(ISNUMBER('자료_한국심리'!$M937),ISNUMBER('자료_한국심리'!$N937)),'자료_한국심리'!$M937,"")</f>
        <v/>
      </c>
    </row>
    <row r="954">
      <c r="A954" s="10">
        <f>IF(936&gt;$E$5,"",SMALL($U$19:$U$4018,$E$6+936))</f>
        <v/>
      </c>
      <c r="B954" s="29">
        <f>IF(A954="","",INDEX('자료_한국심리'!$B$3:$B$4002,MATCH(A954,$U$19:$U$4018,0)))</f>
        <v/>
      </c>
      <c r="C954" s="22">
        <f>IF(A954="","",B954/AVERAGE(B830:B954)-1)</f>
        <v/>
      </c>
      <c r="D954" s="29">
        <f>IF(A954="","",IFERROR(INDEX('자료_한국심리'!$E$3:$E$4002,MATCH(A954,$V$19:$V$4018,0)),D953))</f>
        <v/>
      </c>
      <c r="E954" s="30">
        <f>IF(A954="","",IFERROR(INDEX('자료_한국심리'!$H$3:$H$4002,MATCH(A954,$W$19:$W$4018,0)),E953))</f>
        <v/>
      </c>
      <c r="F954" s="30">
        <f>IF(A954="","",IFERROR(INDEX('자료_한국심리'!$K$3:$K$4002,MATCH(A954,$X$19:$X$4018,0)),F953))</f>
        <v/>
      </c>
      <c r="G954" s="30">
        <f>IF(AND(ISNUMBER(E954),ISNUMBER(F954)),ROUND(E954-F954,6),"")</f>
        <v/>
      </c>
      <c r="H954" s="25">
        <f>IF(A954="","",IFERROR(INDEX('자료_한국심리'!$N$3:$N$4002,MATCH(A954,$Y$19:$Y$4018,0)),H953))</f>
        <v/>
      </c>
      <c r="I954" s="31">
        <f>IF(AND(ISNUMBER(H954),ISNUMBER(H934)),IF(H934&gt;0,H954/H934-1,""),"")</f>
        <v/>
      </c>
      <c r="J954">
        <f>IF(A954="",0,IF(A954&gt;$B$5,1,0))</f>
        <v/>
      </c>
      <c r="K954" s="29">
        <f>IF(AND(J954=1,ISNUMBER(D954)),D954,"")</f>
        <v/>
      </c>
      <c r="L954" s="30">
        <f>IF(AND(J954=1,ISNUMBER(G954)),G954,"")</f>
        <v/>
      </c>
      <c r="M954" s="22">
        <f>IF(AND(J954=1,ISNUMBER(C954)),C954,"")</f>
        <v/>
      </c>
      <c r="N954" s="31">
        <f>IF(AND(J954=1,ISNUMBER(I954)),I954,"")</f>
        <v/>
      </c>
      <c r="O954" s="11">
        <f>IF(K954="","",100-IF($G$13=1,50,(_xlfn.RANK.AVG(K954,$K$19:$K$1518,1)-1)/($G$13-1)*100))</f>
        <v/>
      </c>
      <c r="P954" s="11">
        <f>IF(L954="","",100-IF($G$14=1,50,(_xlfn.RANK.AVG(L954,$L$19:$L$1518,1)-1)/($G$14-1)*100))</f>
        <v/>
      </c>
      <c r="Q954" s="11">
        <f>IF(M954="","",IF($G$15=1,50,(_xlfn.RANK.AVG(M954,$M$19:$M$1518,1)-1)/($G$15-1)*100))</f>
        <v/>
      </c>
      <c r="R954" s="11">
        <f>IF(N954="","",IF($G$16=1,50,(_xlfn.RANK.AVG(N954,$N$19:$N$1518,1)-1)/($G$16-1)*100))</f>
        <v/>
      </c>
      <c r="S954" s="11">
        <f>IF(COUNT(O954:R954)=4,ROUND(AVERAGE(O954:R954),6),"")</f>
        <v/>
      </c>
      <c r="U954">
        <f>IF(AND(ISNUMBER('자료_한국심리'!$A938),ISNUMBER('자료_한국심리'!$B938)),'자료_한국심리'!$A938,"")</f>
        <v/>
      </c>
      <c r="V954">
        <f>IF(AND(ISNUMBER('자료_한국심리'!$D938),ISNUMBER('자료_한국심리'!$E938)),'자료_한국심리'!$D938,"")</f>
        <v/>
      </c>
      <c r="W954">
        <f>IF(AND(ISNUMBER('자료_한국심리'!$G938),ISNUMBER('자료_한국심리'!$H938)),'자료_한국심리'!$G938,"")</f>
        <v/>
      </c>
      <c r="X954">
        <f>IF(AND(ISNUMBER('자료_한국심리'!$J938),ISNUMBER('자료_한국심리'!$K938)),'자료_한국심리'!$J938,"")</f>
        <v/>
      </c>
      <c r="Y954">
        <f>IF(AND(ISNUMBER('자료_한국심리'!$M938),ISNUMBER('자료_한국심리'!$N938)),'자료_한국심리'!$M938,"")</f>
        <v/>
      </c>
    </row>
    <row r="955">
      <c r="A955" s="10">
        <f>IF(937&gt;$E$5,"",SMALL($U$19:$U$4018,$E$6+937))</f>
        <v/>
      </c>
      <c r="B955" s="29">
        <f>IF(A955="","",INDEX('자료_한국심리'!$B$3:$B$4002,MATCH(A955,$U$19:$U$4018,0)))</f>
        <v/>
      </c>
      <c r="C955" s="22">
        <f>IF(A955="","",B955/AVERAGE(B831:B955)-1)</f>
        <v/>
      </c>
      <c r="D955" s="29">
        <f>IF(A955="","",IFERROR(INDEX('자료_한국심리'!$E$3:$E$4002,MATCH(A955,$V$19:$V$4018,0)),D954))</f>
        <v/>
      </c>
      <c r="E955" s="30">
        <f>IF(A955="","",IFERROR(INDEX('자료_한국심리'!$H$3:$H$4002,MATCH(A955,$W$19:$W$4018,0)),E954))</f>
        <v/>
      </c>
      <c r="F955" s="30">
        <f>IF(A955="","",IFERROR(INDEX('자료_한국심리'!$K$3:$K$4002,MATCH(A955,$X$19:$X$4018,0)),F954))</f>
        <v/>
      </c>
      <c r="G955" s="30">
        <f>IF(AND(ISNUMBER(E955),ISNUMBER(F955)),ROUND(E955-F955,6),"")</f>
        <v/>
      </c>
      <c r="H955" s="25">
        <f>IF(A955="","",IFERROR(INDEX('자료_한국심리'!$N$3:$N$4002,MATCH(A955,$Y$19:$Y$4018,0)),H954))</f>
        <v/>
      </c>
      <c r="I955" s="31">
        <f>IF(AND(ISNUMBER(H955),ISNUMBER(H935)),IF(H935&gt;0,H955/H935-1,""),"")</f>
        <v/>
      </c>
      <c r="J955">
        <f>IF(A955="",0,IF(A955&gt;$B$5,1,0))</f>
        <v/>
      </c>
      <c r="K955" s="29">
        <f>IF(AND(J955=1,ISNUMBER(D955)),D955,"")</f>
        <v/>
      </c>
      <c r="L955" s="30">
        <f>IF(AND(J955=1,ISNUMBER(G955)),G955,"")</f>
        <v/>
      </c>
      <c r="M955" s="22">
        <f>IF(AND(J955=1,ISNUMBER(C955)),C955,"")</f>
        <v/>
      </c>
      <c r="N955" s="31">
        <f>IF(AND(J955=1,ISNUMBER(I955)),I955,"")</f>
        <v/>
      </c>
      <c r="O955" s="11">
        <f>IF(K955="","",100-IF($G$13=1,50,(_xlfn.RANK.AVG(K955,$K$19:$K$1518,1)-1)/($G$13-1)*100))</f>
        <v/>
      </c>
      <c r="P955" s="11">
        <f>IF(L955="","",100-IF($G$14=1,50,(_xlfn.RANK.AVG(L955,$L$19:$L$1518,1)-1)/($G$14-1)*100))</f>
        <v/>
      </c>
      <c r="Q955" s="11">
        <f>IF(M955="","",IF($G$15=1,50,(_xlfn.RANK.AVG(M955,$M$19:$M$1518,1)-1)/($G$15-1)*100))</f>
        <v/>
      </c>
      <c r="R955" s="11">
        <f>IF(N955="","",IF($G$16=1,50,(_xlfn.RANK.AVG(N955,$N$19:$N$1518,1)-1)/($G$16-1)*100))</f>
        <v/>
      </c>
      <c r="S955" s="11">
        <f>IF(COUNT(O955:R955)=4,ROUND(AVERAGE(O955:R955),6),"")</f>
        <v/>
      </c>
      <c r="U955">
        <f>IF(AND(ISNUMBER('자료_한국심리'!$A939),ISNUMBER('자료_한국심리'!$B939)),'자료_한국심리'!$A939,"")</f>
        <v/>
      </c>
      <c r="V955">
        <f>IF(AND(ISNUMBER('자료_한국심리'!$D939),ISNUMBER('자료_한국심리'!$E939)),'자료_한국심리'!$D939,"")</f>
        <v/>
      </c>
      <c r="W955">
        <f>IF(AND(ISNUMBER('자료_한국심리'!$G939),ISNUMBER('자료_한국심리'!$H939)),'자료_한국심리'!$G939,"")</f>
        <v/>
      </c>
      <c r="X955">
        <f>IF(AND(ISNUMBER('자료_한국심리'!$J939),ISNUMBER('자료_한국심리'!$K939)),'자료_한국심리'!$J939,"")</f>
        <v/>
      </c>
      <c r="Y955">
        <f>IF(AND(ISNUMBER('자료_한국심리'!$M939),ISNUMBER('자료_한국심리'!$N939)),'자료_한국심리'!$M939,"")</f>
        <v/>
      </c>
    </row>
    <row r="956">
      <c r="A956" s="10">
        <f>IF(938&gt;$E$5,"",SMALL($U$19:$U$4018,$E$6+938))</f>
        <v/>
      </c>
      <c r="B956" s="29">
        <f>IF(A956="","",INDEX('자료_한국심리'!$B$3:$B$4002,MATCH(A956,$U$19:$U$4018,0)))</f>
        <v/>
      </c>
      <c r="C956" s="22">
        <f>IF(A956="","",B956/AVERAGE(B832:B956)-1)</f>
        <v/>
      </c>
      <c r="D956" s="29">
        <f>IF(A956="","",IFERROR(INDEX('자료_한국심리'!$E$3:$E$4002,MATCH(A956,$V$19:$V$4018,0)),D955))</f>
        <v/>
      </c>
      <c r="E956" s="30">
        <f>IF(A956="","",IFERROR(INDEX('자료_한국심리'!$H$3:$H$4002,MATCH(A956,$W$19:$W$4018,0)),E955))</f>
        <v/>
      </c>
      <c r="F956" s="30">
        <f>IF(A956="","",IFERROR(INDEX('자료_한국심리'!$K$3:$K$4002,MATCH(A956,$X$19:$X$4018,0)),F955))</f>
        <v/>
      </c>
      <c r="G956" s="30">
        <f>IF(AND(ISNUMBER(E956),ISNUMBER(F956)),ROUND(E956-F956,6),"")</f>
        <v/>
      </c>
      <c r="H956" s="25">
        <f>IF(A956="","",IFERROR(INDEX('자료_한국심리'!$N$3:$N$4002,MATCH(A956,$Y$19:$Y$4018,0)),H955))</f>
        <v/>
      </c>
      <c r="I956" s="31">
        <f>IF(AND(ISNUMBER(H956),ISNUMBER(H936)),IF(H936&gt;0,H956/H936-1,""),"")</f>
        <v/>
      </c>
      <c r="J956">
        <f>IF(A956="",0,IF(A956&gt;$B$5,1,0))</f>
        <v/>
      </c>
      <c r="K956" s="29">
        <f>IF(AND(J956=1,ISNUMBER(D956)),D956,"")</f>
        <v/>
      </c>
      <c r="L956" s="30">
        <f>IF(AND(J956=1,ISNUMBER(G956)),G956,"")</f>
        <v/>
      </c>
      <c r="M956" s="22">
        <f>IF(AND(J956=1,ISNUMBER(C956)),C956,"")</f>
        <v/>
      </c>
      <c r="N956" s="31">
        <f>IF(AND(J956=1,ISNUMBER(I956)),I956,"")</f>
        <v/>
      </c>
      <c r="O956" s="11">
        <f>IF(K956="","",100-IF($G$13=1,50,(_xlfn.RANK.AVG(K956,$K$19:$K$1518,1)-1)/($G$13-1)*100))</f>
        <v/>
      </c>
      <c r="P956" s="11">
        <f>IF(L956="","",100-IF($G$14=1,50,(_xlfn.RANK.AVG(L956,$L$19:$L$1518,1)-1)/($G$14-1)*100))</f>
        <v/>
      </c>
      <c r="Q956" s="11">
        <f>IF(M956="","",IF($G$15=1,50,(_xlfn.RANK.AVG(M956,$M$19:$M$1518,1)-1)/($G$15-1)*100))</f>
        <v/>
      </c>
      <c r="R956" s="11">
        <f>IF(N956="","",IF($G$16=1,50,(_xlfn.RANK.AVG(N956,$N$19:$N$1518,1)-1)/($G$16-1)*100))</f>
        <v/>
      </c>
      <c r="S956" s="11">
        <f>IF(COUNT(O956:R956)=4,ROUND(AVERAGE(O956:R956),6),"")</f>
        <v/>
      </c>
      <c r="U956">
        <f>IF(AND(ISNUMBER('자료_한국심리'!$A940),ISNUMBER('자료_한국심리'!$B940)),'자료_한국심리'!$A940,"")</f>
        <v/>
      </c>
      <c r="V956">
        <f>IF(AND(ISNUMBER('자료_한국심리'!$D940),ISNUMBER('자료_한국심리'!$E940)),'자료_한국심리'!$D940,"")</f>
        <v/>
      </c>
      <c r="W956">
        <f>IF(AND(ISNUMBER('자료_한국심리'!$G940),ISNUMBER('자료_한국심리'!$H940)),'자료_한국심리'!$G940,"")</f>
        <v/>
      </c>
      <c r="X956">
        <f>IF(AND(ISNUMBER('자료_한국심리'!$J940),ISNUMBER('자료_한국심리'!$K940)),'자료_한국심리'!$J940,"")</f>
        <v/>
      </c>
      <c r="Y956">
        <f>IF(AND(ISNUMBER('자료_한국심리'!$M940),ISNUMBER('자료_한국심리'!$N940)),'자료_한국심리'!$M940,"")</f>
        <v/>
      </c>
    </row>
    <row r="957">
      <c r="A957" s="10">
        <f>IF(939&gt;$E$5,"",SMALL($U$19:$U$4018,$E$6+939))</f>
        <v/>
      </c>
      <c r="B957" s="29">
        <f>IF(A957="","",INDEX('자료_한국심리'!$B$3:$B$4002,MATCH(A957,$U$19:$U$4018,0)))</f>
        <v/>
      </c>
      <c r="C957" s="22">
        <f>IF(A957="","",B957/AVERAGE(B833:B957)-1)</f>
        <v/>
      </c>
      <c r="D957" s="29">
        <f>IF(A957="","",IFERROR(INDEX('자료_한국심리'!$E$3:$E$4002,MATCH(A957,$V$19:$V$4018,0)),D956))</f>
        <v/>
      </c>
      <c r="E957" s="30">
        <f>IF(A957="","",IFERROR(INDEX('자료_한국심리'!$H$3:$H$4002,MATCH(A957,$W$19:$W$4018,0)),E956))</f>
        <v/>
      </c>
      <c r="F957" s="30">
        <f>IF(A957="","",IFERROR(INDEX('자료_한국심리'!$K$3:$K$4002,MATCH(A957,$X$19:$X$4018,0)),F956))</f>
        <v/>
      </c>
      <c r="G957" s="30">
        <f>IF(AND(ISNUMBER(E957),ISNUMBER(F957)),ROUND(E957-F957,6),"")</f>
        <v/>
      </c>
      <c r="H957" s="25">
        <f>IF(A957="","",IFERROR(INDEX('자료_한국심리'!$N$3:$N$4002,MATCH(A957,$Y$19:$Y$4018,0)),H956))</f>
        <v/>
      </c>
      <c r="I957" s="31">
        <f>IF(AND(ISNUMBER(H957),ISNUMBER(H937)),IF(H937&gt;0,H957/H937-1,""),"")</f>
        <v/>
      </c>
      <c r="J957">
        <f>IF(A957="",0,IF(A957&gt;$B$5,1,0))</f>
        <v/>
      </c>
      <c r="K957" s="29">
        <f>IF(AND(J957=1,ISNUMBER(D957)),D957,"")</f>
        <v/>
      </c>
      <c r="L957" s="30">
        <f>IF(AND(J957=1,ISNUMBER(G957)),G957,"")</f>
        <v/>
      </c>
      <c r="M957" s="22">
        <f>IF(AND(J957=1,ISNUMBER(C957)),C957,"")</f>
        <v/>
      </c>
      <c r="N957" s="31">
        <f>IF(AND(J957=1,ISNUMBER(I957)),I957,"")</f>
        <v/>
      </c>
      <c r="O957" s="11">
        <f>IF(K957="","",100-IF($G$13=1,50,(_xlfn.RANK.AVG(K957,$K$19:$K$1518,1)-1)/($G$13-1)*100))</f>
        <v/>
      </c>
      <c r="P957" s="11">
        <f>IF(L957="","",100-IF($G$14=1,50,(_xlfn.RANK.AVG(L957,$L$19:$L$1518,1)-1)/($G$14-1)*100))</f>
        <v/>
      </c>
      <c r="Q957" s="11">
        <f>IF(M957="","",IF($G$15=1,50,(_xlfn.RANK.AVG(M957,$M$19:$M$1518,1)-1)/($G$15-1)*100))</f>
        <v/>
      </c>
      <c r="R957" s="11">
        <f>IF(N957="","",IF($G$16=1,50,(_xlfn.RANK.AVG(N957,$N$19:$N$1518,1)-1)/($G$16-1)*100))</f>
        <v/>
      </c>
      <c r="S957" s="11">
        <f>IF(COUNT(O957:R957)=4,ROUND(AVERAGE(O957:R957),6),"")</f>
        <v/>
      </c>
      <c r="U957">
        <f>IF(AND(ISNUMBER('자료_한국심리'!$A941),ISNUMBER('자료_한국심리'!$B941)),'자료_한국심리'!$A941,"")</f>
        <v/>
      </c>
      <c r="V957">
        <f>IF(AND(ISNUMBER('자료_한국심리'!$D941),ISNUMBER('자료_한국심리'!$E941)),'자료_한국심리'!$D941,"")</f>
        <v/>
      </c>
      <c r="W957">
        <f>IF(AND(ISNUMBER('자료_한국심리'!$G941),ISNUMBER('자료_한국심리'!$H941)),'자료_한국심리'!$G941,"")</f>
        <v/>
      </c>
      <c r="X957">
        <f>IF(AND(ISNUMBER('자료_한국심리'!$J941),ISNUMBER('자료_한국심리'!$K941)),'자료_한국심리'!$J941,"")</f>
        <v/>
      </c>
      <c r="Y957">
        <f>IF(AND(ISNUMBER('자료_한국심리'!$M941),ISNUMBER('자료_한국심리'!$N941)),'자료_한국심리'!$M941,"")</f>
        <v/>
      </c>
    </row>
    <row r="958">
      <c r="A958" s="10">
        <f>IF(940&gt;$E$5,"",SMALL($U$19:$U$4018,$E$6+940))</f>
        <v/>
      </c>
      <c r="B958" s="29">
        <f>IF(A958="","",INDEX('자료_한국심리'!$B$3:$B$4002,MATCH(A958,$U$19:$U$4018,0)))</f>
        <v/>
      </c>
      <c r="C958" s="22">
        <f>IF(A958="","",B958/AVERAGE(B834:B958)-1)</f>
        <v/>
      </c>
      <c r="D958" s="29">
        <f>IF(A958="","",IFERROR(INDEX('자료_한국심리'!$E$3:$E$4002,MATCH(A958,$V$19:$V$4018,0)),D957))</f>
        <v/>
      </c>
      <c r="E958" s="30">
        <f>IF(A958="","",IFERROR(INDEX('자료_한국심리'!$H$3:$H$4002,MATCH(A958,$W$19:$W$4018,0)),E957))</f>
        <v/>
      </c>
      <c r="F958" s="30">
        <f>IF(A958="","",IFERROR(INDEX('자료_한국심리'!$K$3:$K$4002,MATCH(A958,$X$19:$X$4018,0)),F957))</f>
        <v/>
      </c>
      <c r="G958" s="30">
        <f>IF(AND(ISNUMBER(E958),ISNUMBER(F958)),ROUND(E958-F958,6),"")</f>
        <v/>
      </c>
      <c r="H958" s="25">
        <f>IF(A958="","",IFERROR(INDEX('자료_한국심리'!$N$3:$N$4002,MATCH(A958,$Y$19:$Y$4018,0)),H957))</f>
        <v/>
      </c>
      <c r="I958" s="31">
        <f>IF(AND(ISNUMBER(H958),ISNUMBER(H938)),IF(H938&gt;0,H958/H938-1,""),"")</f>
        <v/>
      </c>
      <c r="J958">
        <f>IF(A958="",0,IF(A958&gt;$B$5,1,0))</f>
        <v/>
      </c>
      <c r="K958" s="29">
        <f>IF(AND(J958=1,ISNUMBER(D958)),D958,"")</f>
        <v/>
      </c>
      <c r="L958" s="30">
        <f>IF(AND(J958=1,ISNUMBER(G958)),G958,"")</f>
        <v/>
      </c>
      <c r="M958" s="22">
        <f>IF(AND(J958=1,ISNUMBER(C958)),C958,"")</f>
        <v/>
      </c>
      <c r="N958" s="31">
        <f>IF(AND(J958=1,ISNUMBER(I958)),I958,"")</f>
        <v/>
      </c>
      <c r="O958" s="11">
        <f>IF(K958="","",100-IF($G$13=1,50,(_xlfn.RANK.AVG(K958,$K$19:$K$1518,1)-1)/($G$13-1)*100))</f>
        <v/>
      </c>
      <c r="P958" s="11">
        <f>IF(L958="","",100-IF($G$14=1,50,(_xlfn.RANK.AVG(L958,$L$19:$L$1518,1)-1)/($G$14-1)*100))</f>
        <v/>
      </c>
      <c r="Q958" s="11">
        <f>IF(M958="","",IF($G$15=1,50,(_xlfn.RANK.AVG(M958,$M$19:$M$1518,1)-1)/($G$15-1)*100))</f>
        <v/>
      </c>
      <c r="R958" s="11">
        <f>IF(N958="","",IF($G$16=1,50,(_xlfn.RANK.AVG(N958,$N$19:$N$1518,1)-1)/($G$16-1)*100))</f>
        <v/>
      </c>
      <c r="S958" s="11">
        <f>IF(COUNT(O958:R958)=4,ROUND(AVERAGE(O958:R958),6),"")</f>
        <v/>
      </c>
      <c r="U958">
        <f>IF(AND(ISNUMBER('자료_한국심리'!$A942),ISNUMBER('자료_한국심리'!$B942)),'자료_한국심리'!$A942,"")</f>
        <v/>
      </c>
      <c r="V958">
        <f>IF(AND(ISNUMBER('자료_한국심리'!$D942),ISNUMBER('자료_한국심리'!$E942)),'자료_한국심리'!$D942,"")</f>
        <v/>
      </c>
      <c r="W958">
        <f>IF(AND(ISNUMBER('자료_한국심리'!$G942),ISNUMBER('자료_한국심리'!$H942)),'자료_한국심리'!$G942,"")</f>
        <v/>
      </c>
      <c r="X958">
        <f>IF(AND(ISNUMBER('자료_한국심리'!$J942),ISNUMBER('자료_한국심리'!$K942)),'자료_한국심리'!$J942,"")</f>
        <v/>
      </c>
      <c r="Y958">
        <f>IF(AND(ISNUMBER('자료_한국심리'!$M942),ISNUMBER('자료_한국심리'!$N942)),'자료_한국심리'!$M942,"")</f>
        <v/>
      </c>
    </row>
    <row r="959">
      <c r="A959" s="10">
        <f>IF(941&gt;$E$5,"",SMALL($U$19:$U$4018,$E$6+941))</f>
        <v/>
      </c>
      <c r="B959" s="29">
        <f>IF(A959="","",INDEX('자료_한국심리'!$B$3:$B$4002,MATCH(A959,$U$19:$U$4018,0)))</f>
        <v/>
      </c>
      <c r="C959" s="22">
        <f>IF(A959="","",B959/AVERAGE(B835:B959)-1)</f>
        <v/>
      </c>
      <c r="D959" s="29">
        <f>IF(A959="","",IFERROR(INDEX('자료_한국심리'!$E$3:$E$4002,MATCH(A959,$V$19:$V$4018,0)),D958))</f>
        <v/>
      </c>
      <c r="E959" s="30">
        <f>IF(A959="","",IFERROR(INDEX('자료_한국심리'!$H$3:$H$4002,MATCH(A959,$W$19:$W$4018,0)),E958))</f>
        <v/>
      </c>
      <c r="F959" s="30">
        <f>IF(A959="","",IFERROR(INDEX('자료_한국심리'!$K$3:$K$4002,MATCH(A959,$X$19:$X$4018,0)),F958))</f>
        <v/>
      </c>
      <c r="G959" s="30">
        <f>IF(AND(ISNUMBER(E959),ISNUMBER(F959)),ROUND(E959-F959,6),"")</f>
        <v/>
      </c>
      <c r="H959" s="25">
        <f>IF(A959="","",IFERROR(INDEX('자료_한국심리'!$N$3:$N$4002,MATCH(A959,$Y$19:$Y$4018,0)),H958))</f>
        <v/>
      </c>
      <c r="I959" s="31">
        <f>IF(AND(ISNUMBER(H959),ISNUMBER(H939)),IF(H939&gt;0,H959/H939-1,""),"")</f>
        <v/>
      </c>
      <c r="J959">
        <f>IF(A959="",0,IF(A959&gt;$B$5,1,0))</f>
        <v/>
      </c>
      <c r="K959" s="29">
        <f>IF(AND(J959=1,ISNUMBER(D959)),D959,"")</f>
        <v/>
      </c>
      <c r="L959" s="30">
        <f>IF(AND(J959=1,ISNUMBER(G959)),G959,"")</f>
        <v/>
      </c>
      <c r="M959" s="22">
        <f>IF(AND(J959=1,ISNUMBER(C959)),C959,"")</f>
        <v/>
      </c>
      <c r="N959" s="31">
        <f>IF(AND(J959=1,ISNUMBER(I959)),I959,"")</f>
        <v/>
      </c>
      <c r="O959" s="11">
        <f>IF(K959="","",100-IF($G$13=1,50,(_xlfn.RANK.AVG(K959,$K$19:$K$1518,1)-1)/($G$13-1)*100))</f>
        <v/>
      </c>
      <c r="P959" s="11">
        <f>IF(L959="","",100-IF($G$14=1,50,(_xlfn.RANK.AVG(L959,$L$19:$L$1518,1)-1)/($G$14-1)*100))</f>
        <v/>
      </c>
      <c r="Q959" s="11">
        <f>IF(M959="","",IF($G$15=1,50,(_xlfn.RANK.AVG(M959,$M$19:$M$1518,1)-1)/($G$15-1)*100))</f>
        <v/>
      </c>
      <c r="R959" s="11">
        <f>IF(N959="","",IF($G$16=1,50,(_xlfn.RANK.AVG(N959,$N$19:$N$1518,1)-1)/($G$16-1)*100))</f>
        <v/>
      </c>
      <c r="S959" s="11">
        <f>IF(COUNT(O959:R959)=4,ROUND(AVERAGE(O959:R959),6),"")</f>
        <v/>
      </c>
      <c r="U959">
        <f>IF(AND(ISNUMBER('자료_한국심리'!$A943),ISNUMBER('자료_한국심리'!$B943)),'자료_한국심리'!$A943,"")</f>
        <v/>
      </c>
      <c r="V959">
        <f>IF(AND(ISNUMBER('자료_한국심리'!$D943),ISNUMBER('자료_한국심리'!$E943)),'자료_한국심리'!$D943,"")</f>
        <v/>
      </c>
      <c r="W959">
        <f>IF(AND(ISNUMBER('자료_한국심리'!$G943),ISNUMBER('자료_한국심리'!$H943)),'자료_한국심리'!$G943,"")</f>
        <v/>
      </c>
      <c r="X959">
        <f>IF(AND(ISNUMBER('자료_한국심리'!$J943),ISNUMBER('자료_한국심리'!$K943)),'자료_한국심리'!$J943,"")</f>
        <v/>
      </c>
      <c r="Y959">
        <f>IF(AND(ISNUMBER('자료_한국심리'!$M943),ISNUMBER('자료_한국심리'!$N943)),'자료_한국심리'!$M943,"")</f>
        <v/>
      </c>
    </row>
    <row r="960">
      <c r="A960" s="10">
        <f>IF(942&gt;$E$5,"",SMALL($U$19:$U$4018,$E$6+942))</f>
        <v/>
      </c>
      <c r="B960" s="29">
        <f>IF(A960="","",INDEX('자료_한국심리'!$B$3:$B$4002,MATCH(A960,$U$19:$U$4018,0)))</f>
        <v/>
      </c>
      <c r="C960" s="22">
        <f>IF(A960="","",B960/AVERAGE(B836:B960)-1)</f>
        <v/>
      </c>
      <c r="D960" s="29">
        <f>IF(A960="","",IFERROR(INDEX('자료_한국심리'!$E$3:$E$4002,MATCH(A960,$V$19:$V$4018,0)),D959))</f>
        <v/>
      </c>
      <c r="E960" s="30">
        <f>IF(A960="","",IFERROR(INDEX('자료_한국심리'!$H$3:$H$4002,MATCH(A960,$W$19:$W$4018,0)),E959))</f>
        <v/>
      </c>
      <c r="F960" s="30">
        <f>IF(A960="","",IFERROR(INDEX('자료_한국심리'!$K$3:$K$4002,MATCH(A960,$X$19:$X$4018,0)),F959))</f>
        <v/>
      </c>
      <c r="G960" s="30">
        <f>IF(AND(ISNUMBER(E960),ISNUMBER(F960)),ROUND(E960-F960,6),"")</f>
        <v/>
      </c>
      <c r="H960" s="25">
        <f>IF(A960="","",IFERROR(INDEX('자료_한국심리'!$N$3:$N$4002,MATCH(A960,$Y$19:$Y$4018,0)),H959))</f>
        <v/>
      </c>
      <c r="I960" s="31">
        <f>IF(AND(ISNUMBER(H960),ISNUMBER(H940)),IF(H940&gt;0,H960/H940-1,""),"")</f>
        <v/>
      </c>
      <c r="J960">
        <f>IF(A960="",0,IF(A960&gt;$B$5,1,0))</f>
        <v/>
      </c>
      <c r="K960" s="29">
        <f>IF(AND(J960=1,ISNUMBER(D960)),D960,"")</f>
        <v/>
      </c>
      <c r="L960" s="30">
        <f>IF(AND(J960=1,ISNUMBER(G960)),G960,"")</f>
        <v/>
      </c>
      <c r="M960" s="22">
        <f>IF(AND(J960=1,ISNUMBER(C960)),C960,"")</f>
        <v/>
      </c>
      <c r="N960" s="31">
        <f>IF(AND(J960=1,ISNUMBER(I960)),I960,"")</f>
        <v/>
      </c>
      <c r="O960" s="11">
        <f>IF(K960="","",100-IF($G$13=1,50,(_xlfn.RANK.AVG(K960,$K$19:$K$1518,1)-1)/($G$13-1)*100))</f>
        <v/>
      </c>
      <c r="P960" s="11">
        <f>IF(L960="","",100-IF($G$14=1,50,(_xlfn.RANK.AVG(L960,$L$19:$L$1518,1)-1)/($G$14-1)*100))</f>
        <v/>
      </c>
      <c r="Q960" s="11">
        <f>IF(M960="","",IF($G$15=1,50,(_xlfn.RANK.AVG(M960,$M$19:$M$1518,1)-1)/($G$15-1)*100))</f>
        <v/>
      </c>
      <c r="R960" s="11">
        <f>IF(N960="","",IF($G$16=1,50,(_xlfn.RANK.AVG(N960,$N$19:$N$1518,1)-1)/($G$16-1)*100))</f>
        <v/>
      </c>
      <c r="S960" s="11">
        <f>IF(COUNT(O960:R960)=4,ROUND(AVERAGE(O960:R960),6),"")</f>
        <v/>
      </c>
      <c r="U960">
        <f>IF(AND(ISNUMBER('자료_한국심리'!$A944),ISNUMBER('자료_한국심리'!$B944)),'자료_한국심리'!$A944,"")</f>
        <v/>
      </c>
      <c r="V960">
        <f>IF(AND(ISNUMBER('자료_한국심리'!$D944),ISNUMBER('자료_한국심리'!$E944)),'자료_한국심리'!$D944,"")</f>
        <v/>
      </c>
      <c r="W960">
        <f>IF(AND(ISNUMBER('자료_한국심리'!$G944),ISNUMBER('자료_한국심리'!$H944)),'자료_한국심리'!$G944,"")</f>
        <v/>
      </c>
      <c r="X960">
        <f>IF(AND(ISNUMBER('자료_한국심리'!$J944),ISNUMBER('자료_한국심리'!$K944)),'자료_한국심리'!$J944,"")</f>
        <v/>
      </c>
      <c r="Y960">
        <f>IF(AND(ISNUMBER('자료_한국심리'!$M944),ISNUMBER('자료_한국심리'!$N944)),'자료_한국심리'!$M944,"")</f>
        <v/>
      </c>
    </row>
    <row r="961">
      <c r="A961" s="10">
        <f>IF(943&gt;$E$5,"",SMALL($U$19:$U$4018,$E$6+943))</f>
        <v/>
      </c>
      <c r="B961" s="29">
        <f>IF(A961="","",INDEX('자료_한국심리'!$B$3:$B$4002,MATCH(A961,$U$19:$U$4018,0)))</f>
        <v/>
      </c>
      <c r="C961" s="22">
        <f>IF(A961="","",B961/AVERAGE(B837:B961)-1)</f>
        <v/>
      </c>
      <c r="D961" s="29">
        <f>IF(A961="","",IFERROR(INDEX('자료_한국심리'!$E$3:$E$4002,MATCH(A961,$V$19:$V$4018,0)),D960))</f>
        <v/>
      </c>
      <c r="E961" s="30">
        <f>IF(A961="","",IFERROR(INDEX('자료_한국심리'!$H$3:$H$4002,MATCH(A961,$W$19:$W$4018,0)),E960))</f>
        <v/>
      </c>
      <c r="F961" s="30">
        <f>IF(A961="","",IFERROR(INDEX('자료_한국심리'!$K$3:$K$4002,MATCH(A961,$X$19:$X$4018,0)),F960))</f>
        <v/>
      </c>
      <c r="G961" s="30">
        <f>IF(AND(ISNUMBER(E961),ISNUMBER(F961)),ROUND(E961-F961,6),"")</f>
        <v/>
      </c>
      <c r="H961" s="25">
        <f>IF(A961="","",IFERROR(INDEX('자료_한국심리'!$N$3:$N$4002,MATCH(A961,$Y$19:$Y$4018,0)),H960))</f>
        <v/>
      </c>
      <c r="I961" s="31">
        <f>IF(AND(ISNUMBER(H961),ISNUMBER(H941)),IF(H941&gt;0,H961/H941-1,""),"")</f>
        <v/>
      </c>
      <c r="J961">
        <f>IF(A961="",0,IF(A961&gt;$B$5,1,0))</f>
        <v/>
      </c>
      <c r="K961" s="29">
        <f>IF(AND(J961=1,ISNUMBER(D961)),D961,"")</f>
        <v/>
      </c>
      <c r="L961" s="30">
        <f>IF(AND(J961=1,ISNUMBER(G961)),G961,"")</f>
        <v/>
      </c>
      <c r="M961" s="22">
        <f>IF(AND(J961=1,ISNUMBER(C961)),C961,"")</f>
        <v/>
      </c>
      <c r="N961" s="31">
        <f>IF(AND(J961=1,ISNUMBER(I961)),I961,"")</f>
        <v/>
      </c>
      <c r="O961" s="11">
        <f>IF(K961="","",100-IF($G$13=1,50,(_xlfn.RANK.AVG(K961,$K$19:$K$1518,1)-1)/($G$13-1)*100))</f>
        <v/>
      </c>
      <c r="P961" s="11">
        <f>IF(L961="","",100-IF($G$14=1,50,(_xlfn.RANK.AVG(L961,$L$19:$L$1518,1)-1)/($G$14-1)*100))</f>
        <v/>
      </c>
      <c r="Q961" s="11">
        <f>IF(M961="","",IF($G$15=1,50,(_xlfn.RANK.AVG(M961,$M$19:$M$1518,1)-1)/($G$15-1)*100))</f>
        <v/>
      </c>
      <c r="R961" s="11">
        <f>IF(N961="","",IF($G$16=1,50,(_xlfn.RANK.AVG(N961,$N$19:$N$1518,1)-1)/($G$16-1)*100))</f>
        <v/>
      </c>
      <c r="S961" s="11">
        <f>IF(COUNT(O961:R961)=4,ROUND(AVERAGE(O961:R961),6),"")</f>
        <v/>
      </c>
      <c r="U961">
        <f>IF(AND(ISNUMBER('자료_한국심리'!$A945),ISNUMBER('자료_한국심리'!$B945)),'자료_한국심리'!$A945,"")</f>
        <v/>
      </c>
      <c r="V961">
        <f>IF(AND(ISNUMBER('자료_한국심리'!$D945),ISNUMBER('자료_한국심리'!$E945)),'자료_한국심리'!$D945,"")</f>
        <v/>
      </c>
      <c r="W961">
        <f>IF(AND(ISNUMBER('자료_한국심리'!$G945),ISNUMBER('자료_한국심리'!$H945)),'자료_한국심리'!$G945,"")</f>
        <v/>
      </c>
      <c r="X961">
        <f>IF(AND(ISNUMBER('자료_한국심리'!$J945),ISNUMBER('자료_한국심리'!$K945)),'자료_한국심리'!$J945,"")</f>
        <v/>
      </c>
      <c r="Y961">
        <f>IF(AND(ISNUMBER('자료_한국심리'!$M945),ISNUMBER('자료_한국심리'!$N945)),'자료_한국심리'!$M945,"")</f>
        <v/>
      </c>
    </row>
    <row r="962">
      <c r="A962" s="10">
        <f>IF(944&gt;$E$5,"",SMALL($U$19:$U$4018,$E$6+944))</f>
        <v/>
      </c>
      <c r="B962" s="29">
        <f>IF(A962="","",INDEX('자료_한국심리'!$B$3:$B$4002,MATCH(A962,$U$19:$U$4018,0)))</f>
        <v/>
      </c>
      <c r="C962" s="22">
        <f>IF(A962="","",B962/AVERAGE(B838:B962)-1)</f>
        <v/>
      </c>
      <c r="D962" s="29">
        <f>IF(A962="","",IFERROR(INDEX('자료_한국심리'!$E$3:$E$4002,MATCH(A962,$V$19:$V$4018,0)),D961))</f>
        <v/>
      </c>
      <c r="E962" s="30">
        <f>IF(A962="","",IFERROR(INDEX('자료_한국심리'!$H$3:$H$4002,MATCH(A962,$W$19:$W$4018,0)),E961))</f>
        <v/>
      </c>
      <c r="F962" s="30">
        <f>IF(A962="","",IFERROR(INDEX('자료_한국심리'!$K$3:$K$4002,MATCH(A962,$X$19:$X$4018,0)),F961))</f>
        <v/>
      </c>
      <c r="G962" s="30">
        <f>IF(AND(ISNUMBER(E962),ISNUMBER(F962)),ROUND(E962-F962,6),"")</f>
        <v/>
      </c>
      <c r="H962" s="25">
        <f>IF(A962="","",IFERROR(INDEX('자료_한국심리'!$N$3:$N$4002,MATCH(A962,$Y$19:$Y$4018,0)),H961))</f>
        <v/>
      </c>
      <c r="I962" s="31">
        <f>IF(AND(ISNUMBER(H962),ISNUMBER(H942)),IF(H942&gt;0,H962/H942-1,""),"")</f>
        <v/>
      </c>
      <c r="J962">
        <f>IF(A962="",0,IF(A962&gt;$B$5,1,0))</f>
        <v/>
      </c>
      <c r="K962" s="29">
        <f>IF(AND(J962=1,ISNUMBER(D962)),D962,"")</f>
        <v/>
      </c>
      <c r="L962" s="30">
        <f>IF(AND(J962=1,ISNUMBER(G962)),G962,"")</f>
        <v/>
      </c>
      <c r="M962" s="22">
        <f>IF(AND(J962=1,ISNUMBER(C962)),C962,"")</f>
        <v/>
      </c>
      <c r="N962" s="31">
        <f>IF(AND(J962=1,ISNUMBER(I962)),I962,"")</f>
        <v/>
      </c>
      <c r="O962" s="11">
        <f>IF(K962="","",100-IF($G$13=1,50,(_xlfn.RANK.AVG(K962,$K$19:$K$1518,1)-1)/($G$13-1)*100))</f>
        <v/>
      </c>
      <c r="P962" s="11">
        <f>IF(L962="","",100-IF($G$14=1,50,(_xlfn.RANK.AVG(L962,$L$19:$L$1518,1)-1)/($G$14-1)*100))</f>
        <v/>
      </c>
      <c r="Q962" s="11">
        <f>IF(M962="","",IF($G$15=1,50,(_xlfn.RANK.AVG(M962,$M$19:$M$1518,1)-1)/($G$15-1)*100))</f>
        <v/>
      </c>
      <c r="R962" s="11">
        <f>IF(N962="","",IF($G$16=1,50,(_xlfn.RANK.AVG(N962,$N$19:$N$1518,1)-1)/($G$16-1)*100))</f>
        <v/>
      </c>
      <c r="S962" s="11">
        <f>IF(COUNT(O962:R962)=4,ROUND(AVERAGE(O962:R962),6),"")</f>
        <v/>
      </c>
      <c r="U962">
        <f>IF(AND(ISNUMBER('자료_한국심리'!$A946),ISNUMBER('자료_한국심리'!$B946)),'자료_한국심리'!$A946,"")</f>
        <v/>
      </c>
      <c r="V962">
        <f>IF(AND(ISNUMBER('자료_한국심리'!$D946),ISNUMBER('자료_한국심리'!$E946)),'자료_한국심리'!$D946,"")</f>
        <v/>
      </c>
      <c r="W962">
        <f>IF(AND(ISNUMBER('자료_한국심리'!$G946),ISNUMBER('자료_한국심리'!$H946)),'자료_한국심리'!$G946,"")</f>
        <v/>
      </c>
      <c r="X962">
        <f>IF(AND(ISNUMBER('자료_한국심리'!$J946),ISNUMBER('자료_한국심리'!$K946)),'자료_한국심리'!$J946,"")</f>
        <v/>
      </c>
      <c r="Y962">
        <f>IF(AND(ISNUMBER('자료_한국심리'!$M946),ISNUMBER('자료_한국심리'!$N946)),'자료_한국심리'!$M946,"")</f>
        <v/>
      </c>
    </row>
    <row r="963">
      <c r="A963" s="10">
        <f>IF(945&gt;$E$5,"",SMALL($U$19:$U$4018,$E$6+945))</f>
        <v/>
      </c>
      <c r="B963" s="29">
        <f>IF(A963="","",INDEX('자료_한국심리'!$B$3:$B$4002,MATCH(A963,$U$19:$U$4018,0)))</f>
        <v/>
      </c>
      <c r="C963" s="22">
        <f>IF(A963="","",B963/AVERAGE(B839:B963)-1)</f>
        <v/>
      </c>
      <c r="D963" s="29">
        <f>IF(A963="","",IFERROR(INDEX('자료_한국심리'!$E$3:$E$4002,MATCH(A963,$V$19:$V$4018,0)),D962))</f>
        <v/>
      </c>
      <c r="E963" s="30">
        <f>IF(A963="","",IFERROR(INDEX('자료_한국심리'!$H$3:$H$4002,MATCH(A963,$W$19:$W$4018,0)),E962))</f>
        <v/>
      </c>
      <c r="F963" s="30">
        <f>IF(A963="","",IFERROR(INDEX('자료_한국심리'!$K$3:$K$4002,MATCH(A963,$X$19:$X$4018,0)),F962))</f>
        <v/>
      </c>
      <c r="G963" s="30">
        <f>IF(AND(ISNUMBER(E963),ISNUMBER(F963)),ROUND(E963-F963,6),"")</f>
        <v/>
      </c>
      <c r="H963" s="25">
        <f>IF(A963="","",IFERROR(INDEX('자료_한국심리'!$N$3:$N$4002,MATCH(A963,$Y$19:$Y$4018,0)),H962))</f>
        <v/>
      </c>
      <c r="I963" s="31">
        <f>IF(AND(ISNUMBER(H963),ISNUMBER(H943)),IF(H943&gt;0,H963/H943-1,""),"")</f>
        <v/>
      </c>
      <c r="J963">
        <f>IF(A963="",0,IF(A963&gt;$B$5,1,0))</f>
        <v/>
      </c>
      <c r="K963" s="29">
        <f>IF(AND(J963=1,ISNUMBER(D963)),D963,"")</f>
        <v/>
      </c>
      <c r="L963" s="30">
        <f>IF(AND(J963=1,ISNUMBER(G963)),G963,"")</f>
        <v/>
      </c>
      <c r="M963" s="22">
        <f>IF(AND(J963=1,ISNUMBER(C963)),C963,"")</f>
        <v/>
      </c>
      <c r="N963" s="31">
        <f>IF(AND(J963=1,ISNUMBER(I963)),I963,"")</f>
        <v/>
      </c>
      <c r="O963" s="11">
        <f>IF(K963="","",100-IF($G$13=1,50,(_xlfn.RANK.AVG(K963,$K$19:$K$1518,1)-1)/($G$13-1)*100))</f>
        <v/>
      </c>
      <c r="P963" s="11">
        <f>IF(L963="","",100-IF($G$14=1,50,(_xlfn.RANK.AVG(L963,$L$19:$L$1518,1)-1)/($G$14-1)*100))</f>
        <v/>
      </c>
      <c r="Q963" s="11">
        <f>IF(M963="","",IF($G$15=1,50,(_xlfn.RANK.AVG(M963,$M$19:$M$1518,1)-1)/($G$15-1)*100))</f>
        <v/>
      </c>
      <c r="R963" s="11">
        <f>IF(N963="","",IF($G$16=1,50,(_xlfn.RANK.AVG(N963,$N$19:$N$1518,1)-1)/($G$16-1)*100))</f>
        <v/>
      </c>
      <c r="S963" s="11">
        <f>IF(COUNT(O963:R963)=4,ROUND(AVERAGE(O963:R963),6),"")</f>
        <v/>
      </c>
      <c r="U963">
        <f>IF(AND(ISNUMBER('자료_한국심리'!$A947),ISNUMBER('자료_한국심리'!$B947)),'자료_한국심리'!$A947,"")</f>
        <v/>
      </c>
      <c r="V963">
        <f>IF(AND(ISNUMBER('자료_한국심리'!$D947),ISNUMBER('자료_한국심리'!$E947)),'자료_한국심리'!$D947,"")</f>
        <v/>
      </c>
      <c r="W963">
        <f>IF(AND(ISNUMBER('자료_한국심리'!$G947),ISNUMBER('자료_한국심리'!$H947)),'자료_한국심리'!$G947,"")</f>
        <v/>
      </c>
      <c r="X963">
        <f>IF(AND(ISNUMBER('자료_한국심리'!$J947),ISNUMBER('자료_한국심리'!$K947)),'자료_한국심리'!$J947,"")</f>
        <v/>
      </c>
      <c r="Y963">
        <f>IF(AND(ISNUMBER('자료_한국심리'!$M947),ISNUMBER('자료_한국심리'!$N947)),'자료_한국심리'!$M947,"")</f>
        <v/>
      </c>
    </row>
    <row r="964">
      <c r="A964" s="10">
        <f>IF(946&gt;$E$5,"",SMALL($U$19:$U$4018,$E$6+946))</f>
        <v/>
      </c>
      <c r="B964" s="29">
        <f>IF(A964="","",INDEX('자료_한국심리'!$B$3:$B$4002,MATCH(A964,$U$19:$U$4018,0)))</f>
        <v/>
      </c>
      <c r="C964" s="22">
        <f>IF(A964="","",B964/AVERAGE(B840:B964)-1)</f>
        <v/>
      </c>
      <c r="D964" s="29">
        <f>IF(A964="","",IFERROR(INDEX('자료_한국심리'!$E$3:$E$4002,MATCH(A964,$V$19:$V$4018,0)),D963))</f>
        <v/>
      </c>
      <c r="E964" s="30">
        <f>IF(A964="","",IFERROR(INDEX('자료_한국심리'!$H$3:$H$4002,MATCH(A964,$W$19:$W$4018,0)),E963))</f>
        <v/>
      </c>
      <c r="F964" s="30">
        <f>IF(A964="","",IFERROR(INDEX('자료_한국심리'!$K$3:$K$4002,MATCH(A964,$X$19:$X$4018,0)),F963))</f>
        <v/>
      </c>
      <c r="G964" s="30">
        <f>IF(AND(ISNUMBER(E964),ISNUMBER(F964)),ROUND(E964-F964,6),"")</f>
        <v/>
      </c>
      <c r="H964" s="25">
        <f>IF(A964="","",IFERROR(INDEX('자료_한국심리'!$N$3:$N$4002,MATCH(A964,$Y$19:$Y$4018,0)),H963))</f>
        <v/>
      </c>
      <c r="I964" s="31">
        <f>IF(AND(ISNUMBER(H964),ISNUMBER(H944)),IF(H944&gt;0,H964/H944-1,""),"")</f>
        <v/>
      </c>
      <c r="J964">
        <f>IF(A964="",0,IF(A964&gt;$B$5,1,0))</f>
        <v/>
      </c>
      <c r="K964" s="29">
        <f>IF(AND(J964=1,ISNUMBER(D964)),D964,"")</f>
        <v/>
      </c>
      <c r="L964" s="30">
        <f>IF(AND(J964=1,ISNUMBER(G964)),G964,"")</f>
        <v/>
      </c>
      <c r="M964" s="22">
        <f>IF(AND(J964=1,ISNUMBER(C964)),C964,"")</f>
        <v/>
      </c>
      <c r="N964" s="31">
        <f>IF(AND(J964=1,ISNUMBER(I964)),I964,"")</f>
        <v/>
      </c>
      <c r="O964" s="11">
        <f>IF(K964="","",100-IF($G$13=1,50,(_xlfn.RANK.AVG(K964,$K$19:$K$1518,1)-1)/($G$13-1)*100))</f>
        <v/>
      </c>
      <c r="P964" s="11">
        <f>IF(L964="","",100-IF($G$14=1,50,(_xlfn.RANK.AVG(L964,$L$19:$L$1518,1)-1)/($G$14-1)*100))</f>
        <v/>
      </c>
      <c r="Q964" s="11">
        <f>IF(M964="","",IF($G$15=1,50,(_xlfn.RANK.AVG(M964,$M$19:$M$1518,1)-1)/($G$15-1)*100))</f>
        <v/>
      </c>
      <c r="R964" s="11">
        <f>IF(N964="","",IF($G$16=1,50,(_xlfn.RANK.AVG(N964,$N$19:$N$1518,1)-1)/($G$16-1)*100))</f>
        <v/>
      </c>
      <c r="S964" s="11">
        <f>IF(COUNT(O964:R964)=4,ROUND(AVERAGE(O964:R964),6),"")</f>
        <v/>
      </c>
      <c r="U964">
        <f>IF(AND(ISNUMBER('자료_한국심리'!$A948),ISNUMBER('자료_한국심리'!$B948)),'자료_한국심리'!$A948,"")</f>
        <v/>
      </c>
      <c r="V964">
        <f>IF(AND(ISNUMBER('자료_한국심리'!$D948),ISNUMBER('자료_한국심리'!$E948)),'자료_한국심리'!$D948,"")</f>
        <v/>
      </c>
      <c r="W964">
        <f>IF(AND(ISNUMBER('자료_한국심리'!$G948),ISNUMBER('자료_한국심리'!$H948)),'자료_한국심리'!$G948,"")</f>
        <v/>
      </c>
      <c r="X964">
        <f>IF(AND(ISNUMBER('자료_한국심리'!$J948),ISNUMBER('자료_한국심리'!$K948)),'자료_한국심리'!$J948,"")</f>
        <v/>
      </c>
      <c r="Y964">
        <f>IF(AND(ISNUMBER('자료_한국심리'!$M948),ISNUMBER('자료_한국심리'!$N948)),'자료_한국심리'!$M948,"")</f>
        <v/>
      </c>
    </row>
    <row r="965">
      <c r="A965" s="10">
        <f>IF(947&gt;$E$5,"",SMALL($U$19:$U$4018,$E$6+947))</f>
        <v/>
      </c>
      <c r="B965" s="29">
        <f>IF(A965="","",INDEX('자료_한국심리'!$B$3:$B$4002,MATCH(A965,$U$19:$U$4018,0)))</f>
        <v/>
      </c>
      <c r="C965" s="22">
        <f>IF(A965="","",B965/AVERAGE(B841:B965)-1)</f>
        <v/>
      </c>
      <c r="D965" s="29">
        <f>IF(A965="","",IFERROR(INDEX('자료_한국심리'!$E$3:$E$4002,MATCH(A965,$V$19:$V$4018,0)),D964))</f>
        <v/>
      </c>
      <c r="E965" s="30">
        <f>IF(A965="","",IFERROR(INDEX('자료_한국심리'!$H$3:$H$4002,MATCH(A965,$W$19:$W$4018,0)),E964))</f>
        <v/>
      </c>
      <c r="F965" s="30">
        <f>IF(A965="","",IFERROR(INDEX('자료_한국심리'!$K$3:$K$4002,MATCH(A965,$X$19:$X$4018,0)),F964))</f>
        <v/>
      </c>
      <c r="G965" s="30">
        <f>IF(AND(ISNUMBER(E965),ISNUMBER(F965)),ROUND(E965-F965,6),"")</f>
        <v/>
      </c>
      <c r="H965" s="25">
        <f>IF(A965="","",IFERROR(INDEX('자료_한국심리'!$N$3:$N$4002,MATCH(A965,$Y$19:$Y$4018,0)),H964))</f>
        <v/>
      </c>
      <c r="I965" s="31">
        <f>IF(AND(ISNUMBER(H965),ISNUMBER(H945)),IF(H945&gt;0,H965/H945-1,""),"")</f>
        <v/>
      </c>
      <c r="J965">
        <f>IF(A965="",0,IF(A965&gt;$B$5,1,0))</f>
        <v/>
      </c>
      <c r="K965" s="29">
        <f>IF(AND(J965=1,ISNUMBER(D965)),D965,"")</f>
        <v/>
      </c>
      <c r="L965" s="30">
        <f>IF(AND(J965=1,ISNUMBER(G965)),G965,"")</f>
        <v/>
      </c>
      <c r="M965" s="22">
        <f>IF(AND(J965=1,ISNUMBER(C965)),C965,"")</f>
        <v/>
      </c>
      <c r="N965" s="31">
        <f>IF(AND(J965=1,ISNUMBER(I965)),I965,"")</f>
        <v/>
      </c>
      <c r="O965" s="11">
        <f>IF(K965="","",100-IF($G$13=1,50,(_xlfn.RANK.AVG(K965,$K$19:$K$1518,1)-1)/($G$13-1)*100))</f>
        <v/>
      </c>
      <c r="P965" s="11">
        <f>IF(L965="","",100-IF($G$14=1,50,(_xlfn.RANK.AVG(L965,$L$19:$L$1518,1)-1)/($G$14-1)*100))</f>
        <v/>
      </c>
      <c r="Q965" s="11">
        <f>IF(M965="","",IF($G$15=1,50,(_xlfn.RANK.AVG(M965,$M$19:$M$1518,1)-1)/($G$15-1)*100))</f>
        <v/>
      </c>
      <c r="R965" s="11">
        <f>IF(N965="","",IF($G$16=1,50,(_xlfn.RANK.AVG(N965,$N$19:$N$1518,1)-1)/($G$16-1)*100))</f>
        <v/>
      </c>
      <c r="S965" s="11">
        <f>IF(COUNT(O965:R965)=4,ROUND(AVERAGE(O965:R965),6),"")</f>
        <v/>
      </c>
      <c r="U965">
        <f>IF(AND(ISNUMBER('자료_한국심리'!$A949),ISNUMBER('자료_한국심리'!$B949)),'자료_한국심리'!$A949,"")</f>
        <v/>
      </c>
      <c r="V965">
        <f>IF(AND(ISNUMBER('자료_한국심리'!$D949),ISNUMBER('자료_한국심리'!$E949)),'자료_한국심리'!$D949,"")</f>
        <v/>
      </c>
      <c r="W965">
        <f>IF(AND(ISNUMBER('자료_한국심리'!$G949),ISNUMBER('자료_한국심리'!$H949)),'자료_한국심리'!$G949,"")</f>
        <v/>
      </c>
      <c r="X965">
        <f>IF(AND(ISNUMBER('자료_한국심리'!$J949),ISNUMBER('자료_한국심리'!$K949)),'자료_한국심리'!$J949,"")</f>
        <v/>
      </c>
      <c r="Y965">
        <f>IF(AND(ISNUMBER('자료_한국심리'!$M949),ISNUMBER('자료_한국심리'!$N949)),'자료_한국심리'!$M949,"")</f>
        <v/>
      </c>
    </row>
    <row r="966">
      <c r="A966" s="10">
        <f>IF(948&gt;$E$5,"",SMALL($U$19:$U$4018,$E$6+948))</f>
        <v/>
      </c>
      <c r="B966" s="29">
        <f>IF(A966="","",INDEX('자료_한국심리'!$B$3:$B$4002,MATCH(A966,$U$19:$U$4018,0)))</f>
        <v/>
      </c>
      <c r="C966" s="22">
        <f>IF(A966="","",B966/AVERAGE(B842:B966)-1)</f>
        <v/>
      </c>
      <c r="D966" s="29">
        <f>IF(A966="","",IFERROR(INDEX('자료_한국심리'!$E$3:$E$4002,MATCH(A966,$V$19:$V$4018,0)),D965))</f>
        <v/>
      </c>
      <c r="E966" s="30">
        <f>IF(A966="","",IFERROR(INDEX('자료_한국심리'!$H$3:$H$4002,MATCH(A966,$W$19:$W$4018,0)),E965))</f>
        <v/>
      </c>
      <c r="F966" s="30">
        <f>IF(A966="","",IFERROR(INDEX('자료_한국심리'!$K$3:$K$4002,MATCH(A966,$X$19:$X$4018,0)),F965))</f>
        <v/>
      </c>
      <c r="G966" s="30">
        <f>IF(AND(ISNUMBER(E966),ISNUMBER(F966)),ROUND(E966-F966,6),"")</f>
        <v/>
      </c>
      <c r="H966" s="25">
        <f>IF(A966="","",IFERROR(INDEX('자료_한국심리'!$N$3:$N$4002,MATCH(A966,$Y$19:$Y$4018,0)),H965))</f>
        <v/>
      </c>
      <c r="I966" s="31">
        <f>IF(AND(ISNUMBER(H966),ISNUMBER(H946)),IF(H946&gt;0,H966/H946-1,""),"")</f>
        <v/>
      </c>
      <c r="J966">
        <f>IF(A966="",0,IF(A966&gt;$B$5,1,0))</f>
        <v/>
      </c>
      <c r="K966" s="29">
        <f>IF(AND(J966=1,ISNUMBER(D966)),D966,"")</f>
        <v/>
      </c>
      <c r="L966" s="30">
        <f>IF(AND(J966=1,ISNUMBER(G966)),G966,"")</f>
        <v/>
      </c>
      <c r="M966" s="22">
        <f>IF(AND(J966=1,ISNUMBER(C966)),C966,"")</f>
        <v/>
      </c>
      <c r="N966" s="31">
        <f>IF(AND(J966=1,ISNUMBER(I966)),I966,"")</f>
        <v/>
      </c>
      <c r="O966" s="11">
        <f>IF(K966="","",100-IF($G$13=1,50,(_xlfn.RANK.AVG(K966,$K$19:$K$1518,1)-1)/($G$13-1)*100))</f>
        <v/>
      </c>
      <c r="P966" s="11">
        <f>IF(L966="","",100-IF($G$14=1,50,(_xlfn.RANK.AVG(L966,$L$19:$L$1518,1)-1)/($G$14-1)*100))</f>
        <v/>
      </c>
      <c r="Q966" s="11">
        <f>IF(M966="","",IF($G$15=1,50,(_xlfn.RANK.AVG(M966,$M$19:$M$1518,1)-1)/($G$15-1)*100))</f>
        <v/>
      </c>
      <c r="R966" s="11">
        <f>IF(N966="","",IF($G$16=1,50,(_xlfn.RANK.AVG(N966,$N$19:$N$1518,1)-1)/($G$16-1)*100))</f>
        <v/>
      </c>
      <c r="S966" s="11">
        <f>IF(COUNT(O966:R966)=4,ROUND(AVERAGE(O966:R966),6),"")</f>
        <v/>
      </c>
      <c r="U966">
        <f>IF(AND(ISNUMBER('자료_한국심리'!$A950),ISNUMBER('자료_한국심리'!$B950)),'자료_한국심리'!$A950,"")</f>
        <v/>
      </c>
      <c r="V966">
        <f>IF(AND(ISNUMBER('자료_한국심리'!$D950),ISNUMBER('자료_한국심리'!$E950)),'자료_한국심리'!$D950,"")</f>
        <v/>
      </c>
      <c r="W966">
        <f>IF(AND(ISNUMBER('자료_한국심리'!$G950),ISNUMBER('자료_한국심리'!$H950)),'자료_한국심리'!$G950,"")</f>
        <v/>
      </c>
      <c r="X966">
        <f>IF(AND(ISNUMBER('자료_한국심리'!$J950),ISNUMBER('자료_한국심리'!$K950)),'자료_한국심리'!$J950,"")</f>
        <v/>
      </c>
      <c r="Y966">
        <f>IF(AND(ISNUMBER('자료_한국심리'!$M950),ISNUMBER('자료_한국심리'!$N950)),'자료_한국심리'!$M950,"")</f>
        <v/>
      </c>
    </row>
    <row r="967">
      <c r="A967" s="10">
        <f>IF(949&gt;$E$5,"",SMALL($U$19:$U$4018,$E$6+949))</f>
        <v/>
      </c>
      <c r="B967" s="29">
        <f>IF(A967="","",INDEX('자료_한국심리'!$B$3:$B$4002,MATCH(A967,$U$19:$U$4018,0)))</f>
        <v/>
      </c>
      <c r="C967" s="22">
        <f>IF(A967="","",B967/AVERAGE(B843:B967)-1)</f>
        <v/>
      </c>
      <c r="D967" s="29">
        <f>IF(A967="","",IFERROR(INDEX('자료_한국심리'!$E$3:$E$4002,MATCH(A967,$V$19:$V$4018,0)),D966))</f>
        <v/>
      </c>
      <c r="E967" s="30">
        <f>IF(A967="","",IFERROR(INDEX('자료_한국심리'!$H$3:$H$4002,MATCH(A967,$W$19:$W$4018,0)),E966))</f>
        <v/>
      </c>
      <c r="F967" s="30">
        <f>IF(A967="","",IFERROR(INDEX('자료_한국심리'!$K$3:$K$4002,MATCH(A967,$X$19:$X$4018,0)),F966))</f>
        <v/>
      </c>
      <c r="G967" s="30">
        <f>IF(AND(ISNUMBER(E967),ISNUMBER(F967)),ROUND(E967-F967,6),"")</f>
        <v/>
      </c>
      <c r="H967" s="25">
        <f>IF(A967="","",IFERROR(INDEX('자료_한국심리'!$N$3:$N$4002,MATCH(A967,$Y$19:$Y$4018,0)),H966))</f>
        <v/>
      </c>
      <c r="I967" s="31">
        <f>IF(AND(ISNUMBER(H967),ISNUMBER(H947)),IF(H947&gt;0,H967/H947-1,""),"")</f>
        <v/>
      </c>
      <c r="J967">
        <f>IF(A967="",0,IF(A967&gt;$B$5,1,0))</f>
        <v/>
      </c>
      <c r="K967" s="29">
        <f>IF(AND(J967=1,ISNUMBER(D967)),D967,"")</f>
        <v/>
      </c>
      <c r="L967" s="30">
        <f>IF(AND(J967=1,ISNUMBER(G967)),G967,"")</f>
        <v/>
      </c>
      <c r="M967" s="22">
        <f>IF(AND(J967=1,ISNUMBER(C967)),C967,"")</f>
        <v/>
      </c>
      <c r="N967" s="31">
        <f>IF(AND(J967=1,ISNUMBER(I967)),I967,"")</f>
        <v/>
      </c>
      <c r="O967" s="11">
        <f>IF(K967="","",100-IF($G$13=1,50,(_xlfn.RANK.AVG(K967,$K$19:$K$1518,1)-1)/($G$13-1)*100))</f>
        <v/>
      </c>
      <c r="P967" s="11">
        <f>IF(L967="","",100-IF($G$14=1,50,(_xlfn.RANK.AVG(L967,$L$19:$L$1518,1)-1)/($G$14-1)*100))</f>
        <v/>
      </c>
      <c r="Q967" s="11">
        <f>IF(M967="","",IF($G$15=1,50,(_xlfn.RANK.AVG(M967,$M$19:$M$1518,1)-1)/($G$15-1)*100))</f>
        <v/>
      </c>
      <c r="R967" s="11">
        <f>IF(N967="","",IF($G$16=1,50,(_xlfn.RANK.AVG(N967,$N$19:$N$1518,1)-1)/($G$16-1)*100))</f>
        <v/>
      </c>
      <c r="S967" s="11">
        <f>IF(COUNT(O967:R967)=4,ROUND(AVERAGE(O967:R967),6),"")</f>
        <v/>
      </c>
      <c r="U967">
        <f>IF(AND(ISNUMBER('자료_한국심리'!$A951),ISNUMBER('자료_한국심리'!$B951)),'자료_한국심리'!$A951,"")</f>
        <v/>
      </c>
      <c r="V967">
        <f>IF(AND(ISNUMBER('자료_한국심리'!$D951),ISNUMBER('자료_한국심리'!$E951)),'자료_한국심리'!$D951,"")</f>
        <v/>
      </c>
      <c r="W967">
        <f>IF(AND(ISNUMBER('자료_한국심리'!$G951),ISNUMBER('자료_한국심리'!$H951)),'자료_한국심리'!$G951,"")</f>
        <v/>
      </c>
      <c r="X967">
        <f>IF(AND(ISNUMBER('자료_한국심리'!$J951),ISNUMBER('자료_한국심리'!$K951)),'자료_한국심리'!$J951,"")</f>
        <v/>
      </c>
      <c r="Y967">
        <f>IF(AND(ISNUMBER('자료_한국심리'!$M951),ISNUMBER('자료_한국심리'!$N951)),'자료_한국심리'!$M951,"")</f>
        <v/>
      </c>
    </row>
    <row r="968">
      <c r="A968" s="10">
        <f>IF(950&gt;$E$5,"",SMALL($U$19:$U$4018,$E$6+950))</f>
        <v/>
      </c>
      <c r="B968" s="29">
        <f>IF(A968="","",INDEX('자료_한국심리'!$B$3:$B$4002,MATCH(A968,$U$19:$U$4018,0)))</f>
        <v/>
      </c>
      <c r="C968" s="22">
        <f>IF(A968="","",B968/AVERAGE(B844:B968)-1)</f>
        <v/>
      </c>
      <c r="D968" s="29">
        <f>IF(A968="","",IFERROR(INDEX('자료_한국심리'!$E$3:$E$4002,MATCH(A968,$V$19:$V$4018,0)),D967))</f>
        <v/>
      </c>
      <c r="E968" s="30">
        <f>IF(A968="","",IFERROR(INDEX('자료_한국심리'!$H$3:$H$4002,MATCH(A968,$W$19:$W$4018,0)),E967))</f>
        <v/>
      </c>
      <c r="F968" s="30">
        <f>IF(A968="","",IFERROR(INDEX('자료_한국심리'!$K$3:$K$4002,MATCH(A968,$X$19:$X$4018,0)),F967))</f>
        <v/>
      </c>
      <c r="G968" s="30">
        <f>IF(AND(ISNUMBER(E968),ISNUMBER(F968)),ROUND(E968-F968,6),"")</f>
        <v/>
      </c>
      <c r="H968" s="25">
        <f>IF(A968="","",IFERROR(INDEX('자료_한국심리'!$N$3:$N$4002,MATCH(A968,$Y$19:$Y$4018,0)),H967))</f>
        <v/>
      </c>
      <c r="I968" s="31">
        <f>IF(AND(ISNUMBER(H968),ISNUMBER(H948)),IF(H948&gt;0,H968/H948-1,""),"")</f>
        <v/>
      </c>
      <c r="J968">
        <f>IF(A968="",0,IF(A968&gt;$B$5,1,0))</f>
        <v/>
      </c>
      <c r="K968" s="29">
        <f>IF(AND(J968=1,ISNUMBER(D968)),D968,"")</f>
        <v/>
      </c>
      <c r="L968" s="30">
        <f>IF(AND(J968=1,ISNUMBER(G968)),G968,"")</f>
        <v/>
      </c>
      <c r="M968" s="22">
        <f>IF(AND(J968=1,ISNUMBER(C968)),C968,"")</f>
        <v/>
      </c>
      <c r="N968" s="31">
        <f>IF(AND(J968=1,ISNUMBER(I968)),I968,"")</f>
        <v/>
      </c>
      <c r="O968" s="11">
        <f>IF(K968="","",100-IF($G$13=1,50,(_xlfn.RANK.AVG(K968,$K$19:$K$1518,1)-1)/($G$13-1)*100))</f>
        <v/>
      </c>
      <c r="P968" s="11">
        <f>IF(L968="","",100-IF($G$14=1,50,(_xlfn.RANK.AVG(L968,$L$19:$L$1518,1)-1)/($G$14-1)*100))</f>
        <v/>
      </c>
      <c r="Q968" s="11">
        <f>IF(M968="","",IF($G$15=1,50,(_xlfn.RANK.AVG(M968,$M$19:$M$1518,1)-1)/($G$15-1)*100))</f>
        <v/>
      </c>
      <c r="R968" s="11">
        <f>IF(N968="","",IF($G$16=1,50,(_xlfn.RANK.AVG(N968,$N$19:$N$1518,1)-1)/($G$16-1)*100))</f>
        <v/>
      </c>
      <c r="S968" s="11">
        <f>IF(COUNT(O968:R968)=4,ROUND(AVERAGE(O968:R968),6),"")</f>
        <v/>
      </c>
      <c r="U968">
        <f>IF(AND(ISNUMBER('자료_한국심리'!$A952),ISNUMBER('자료_한국심리'!$B952)),'자료_한국심리'!$A952,"")</f>
        <v/>
      </c>
      <c r="V968">
        <f>IF(AND(ISNUMBER('자료_한국심리'!$D952),ISNUMBER('자료_한국심리'!$E952)),'자료_한국심리'!$D952,"")</f>
        <v/>
      </c>
      <c r="W968">
        <f>IF(AND(ISNUMBER('자료_한국심리'!$G952),ISNUMBER('자료_한국심리'!$H952)),'자료_한국심리'!$G952,"")</f>
        <v/>
      </c>
      <c r="X968">
        <f>IF(AND(ISNUMBER('자료_한국심리'!$J952),ISNUMBER('자료_한국심리'!$K952)),'자료_한국심리'!$J952,"")</f>
        <v/>
      </c>
      <c r="Y968">
        <f>IF(AND(ISNUMBER('자료_한국심리'!$M952),ISNUMBER('자료_한국심리'!$N952)),'자료_한국심리'!$M952,"")</f>
        <v/>
      </c>
    </row>
    <row r="969">
      <c r="A969" s="10">
        <f>IF(951&gt;$E$5,"",SMALL($U$19:$U$4018,$E$6+951))</f>
        <v/>
      </c>
      <c r="B969" s="29">
        <f>IF(A969="","",INDEX('자료_한국심리'!$B$3:$B$4002,MATCH(A969,$U$19:$U$4018,0)))</f>
        <v/>
      </c>
      <c r="C969" s="22">
        <f>IF(A969="","",B969/AVERAGE(B845:B969)-1)</f>
        <v/>
      </c>
      <c r="D969" s="29">
        <f>IF(A969="","",IFERROR(INDEX('자료_한국심리'!$E$3:$E$4002,MATCH(A969,$V$19:$V$4018,0)),D968))</f>
        <v/>
      </c>
      <c r="E969" s="30">
        <f>IF(A969="","",IFERROR(INDEX('자료_한국심리'!$H$3:$H$4002,MATCH(A969,$W$19:$W$4018,0)),E968))</f>
        <v/>
      </c>
      <c r="F969" s="30">
        <f>IF(A969="","",IFERROR(INDEX('자료_한국심리'!$K$3:$K$4002,MATCH(A969,$X$19:$X$4018,0)),F968))</f>
        <v/>
      </c>
      <c r="G969" s="30">
        <f>IF(AND(ISNUMBER(E969),ISNUMBER(F969)),ROUND(E969-F969,6),"")</f>
        <v/>
      </c>
      <c r="H969" s="25">
        <f>IF(A969="","",IFERROR(INDEX('자료_한국심리'!$N$3:$N$4002,MATCH(A969,$Y$19:$Y$4018,0)),H968))</f>
        <v/>
      </c>
      <c r="I969" s="31">
        <f>IF(AND(ISNUMBER(H969),ISNUMBER(H949)),IF(H949&gt;0,H969/H949-1,""),"")</f>
        <v/>
      </c>
      <c r="J969">
        <f>IF(A969="",0,IF(A969&gt;$B$5,1,0))</f>
        <v/>
      </c>
      <c r="K969" s="29">
        <f>IF(AND(J969=1,ISNUMBER(D969)),D969,"")</f>
        <v/>
      </c>
      <c r="L969" s="30">
        <f>IF(AND(J969=1,ISNUMBER(G969)),G969,"")</f>
        <v/>
      </c>
      <c r="M969" s="22">
        <f>IF(AND(J969=1,ISNUMBER(C969)),C969,"")</f>
        <v/>
      </c>
      <c r="N969" s="31">
        <f>IF(AND(J969=1,ISNUMBER(I969)),I969,"")</f>
        <v/>
      </c>
      <c r="O969" s="11">
        <f>IF(K969="","",100-IF($G$13=1,50,(_xlfn.RANK.AVG(K969,$K$19:$K$1518,1)-1)/($G$13-1)*100))</f>
        <v/>
      </c>
      <c r="P969" s="11">
        <f>IF(L969="","",100-IF($G$14=1,50,(_xlfn.RANK.AVG(L969,$L$19:$L$1518,1)-1)/($G$14-1)*100))</f>
        <v/>
      </c>
      <c r="Q969" s="11">
        <f>IF(M969="","",IF($G$15=1,50,(_xlfn.RANK.AVG(M969,$M$19:$M$1518,1)-1)/($G$15-1)*100))</f>
        <v/>
      </c>
      <c r="R969" s="11">
        <f>IF(N969="","",IF($G$16=1,50,(_xlfn.RANK.AVG(N969,$N$19:$N$1518,1)-1)/($G$16-1)*100))</f>
        <v/>
      </c>
      <c r="S969" s="11">
        <f>IF(COUNT(O969:R969)=4,ROUND(AVERAGE(O969:R969),6),"")</f>
        <v/>
      </c>
      <c r="U969">
        <f>IF(AND(ISNUMBER('자료_한국심리'!$A953),ISNUMBER('자료_한국심리'!$B953)),'자료_한국심리'!$A953,"")</f>
        <v/>
      </c>
      <c r="V969">
        <f>IF(AND(ISNUMBER('자료_한국심리'!$D953),ISNUMBER('자료_한국심리'!$E953)),'자료_한국심리'!$D953,"")</f>
        <v/>
      </c>
      <c r="W969">
        <f>IF(AND(ISNUMBER('자료_한국심리'!$G953),ISNUMBER('자료_한국심리'!$H953)),'자료_한국심리'!$G953,"")</f>
        <v/>
      </c>
      <c r="X969">
        <f>IF(AND(ISNUMBER('자료_한국심리'!$J953),ISNUMBER('자료_한국심리'!$K953)),'자료_한국심리'!$J953,"")</f>
        <v/>
      </c>
      <c r="Y969">
        <f>IF(AND(ISNUMBER('자료_한국심리'!$M953),ISNUMBER('자료_한국심리'!$N953)),'자료_한국심리'!$M953,"")</f>
        <v/>
      </c>
    </row>
    <row r="970">
      <c r="A970" s="10">
        <f>IF(952&gt;$E$5,"",SMALL($U$19:$U$4018,$E$6+952))</f>
        <v/>
      </c>
      <c r="B970" s="29">
        <f>IF(A970="","",INDEX('자료_한국심리'!$B$3:$B$4002,MATCH(A970,$U$19:$U$4018,0)))</f>
        <v/>
      </c>
      <c r="C970" s="22">
        <f>IF(A970="","",B970/AVERAGE(B846:B970)-1)</f>
        <v/>
      </c>
      <c r="D970" s="29">
        <f>IF(A970="","",IFERROR(INDEX('자료_한국심리'!$E$3:$E$4002,MATCH(A970,$V$19:$V$4018,0)),D969))</f>
        <v/>
      </c>
      <c r="E970" s="30">
        <f>IF(A970="","",IFERROR(INDEX('자료_한국심리'!$H$3:$H$4002,MATCH(A970,$W$19:$W$4018,0)),E969))</f>
        <v/>
      </c>
      <c r="F970" s="30">
        <f>IF(A970="","",IFERROR(INDEX('자료_한국심리'!$K$3:$K$4002,MATCH(A970,$X$19:$X$4018,0)),F969))</f>
        <v/>
      </c>
      <c r="G970" s="30">
        <f>IF(AND(ISNUMBER(E970),ISNUMBER(F970)),ROUND(E970-F970,6),"")</f>
        <v/>
      </c>
      <c r="H970" s="25">
        <f>IF(A970="","",IFERROR(INDEX('자료_한국심리'!$N$3:$N$4002,MATCH(A970,$Y$19:$Y$4018,0)),H969))</f>
        <v/>
      </c>
      <c r="I970" s="31">
        <f>IF(AND(ISNUMBER(H970),ISNUMBER(H950)),IF(H950&gt;0,H970/H950-1,""),"")</f>
        <v/>
      </c>
      <c r="J970">
        <f>IF(A970="",0,IF(A970&gt;$B$5,1,0))</f>
        <v/>
      </c>
      <c r="K970" s="29">
        <f>IF(AND(J970=1,ISNUMBER(D970)),D970,"")</f>
        <v/>
      </c>
      <c r="L970" s="30">
        <f>IF(AND(J970=1,ISNUMBER(G970)),G970,"")</f>
        <v/>
      </c>
      <c r="M970" s="22">
        <f>IF(AND(J970=1,ISNUMBER(C970)),C970,"")</f>
        <v/>
      </c>
      <c r="N970" s="31">
        <f>IF(AND(J970=1,ISNUMBER(I970)),I970,"")</f>
        <v/>
      </c>
      <c r="O970" s="11">
        <f>IF(K970="","",100-IF($G$13=1,50,(_xlfn.RANK.AVG(K970,$K$19:$K$1518,1)-1)/($G$13-1)*100))</f>
        <v/>
      </c>
      <c r="P970" s="11">
        <f>IF(L970="","",100-IF($G$14=1,50,(_xlfn.RANK.AVG(L970,$L$19:$L$1518,1)-1)/($G$14-1)*100))</f>
        <v/>
      </c>
      <c r="Q970" s="11">
        <f>IF(M970="","",IF($G$15=1,50,(_xlfn.RANK.AVG(M970,$M$19:$M$1518,1)-1)/($G$15-1)*100))</f>
        <v/>
      </c>
      <c r="R970" s="11">
        <f>IF(N970="","",IF($G$16=1,50,(_xlfn.RANK.AVG(N970,$N$19:$N$1518,1)-1)/($G$16-1)*100))</f>
        <v/>
      </c>
      <c r="S970" s="11">
        <f>IF(COUNT(O970:R970)=4,ROUND(AVERAGE(O970:R970),6),"")</f>
        <v/>
      </c>
      <c r="U970">
        <f>IF(AND(ISNUMBER('자료_한국심리'!$A954),ISNUMBER('자료_한국심리'!$B954)),'자료_한국심리'!$A954,"")</f>
        <v/>
      </c>
      <c r="V970">
        <f>IF(AND(ISNUMBER('자료_한국심리'!$D954),ISNUMBER('자료_한국심리'!$E954)),'자료_한국심리'!$D954,"")</f>
        <v/>
      </c>
      <c r="W970">
        <f>IF(AND(ISNUMBER('자료_한국심리'!$G954),ISNUMBER('자료_한국심리'!$H954)),'자료_한국심리'!$G954,"")</f>
        <v/>
      </c>
      <c r="X970">
        <f>IF(AND(ISNUMBER('자료_한국심리'!$J954),ISNUMBER('자료_한국심리'!$K954)),'자료_한국심리'!$J954,"")</f>
        <v/>
      </c>
      <c r="Y970">
        <f>IF(AND(ISNUMBER('자료_한국심리'!$M954),ISNUMBER('자료_한국심리'!$N954)),'자료_한국심리'!$M954,"")</f>
        <v/>
      </c>
    </row>
    <row r="971">
      <c r="A971" s="10">
        <f>IF(953&gt;$E$5,"",SMALL($U$19:$U$4018,$E$6+953))</f>
        <v/>
      </c>
      <c r="B971" s="29">
        <f>IF(A971="","",INDEX('자료_한국심리'!$B$3:$B$4002,MATCH(A971,$U$19:$U$4018,0)))</f>
        <v/>
      </c>
      <c r="C971" s="22">
        <f>IF(A971="","",B971/AVERAGE(B847:B971)-1)</f>
        <v/>
      </c>
      <c r="D971" s="29">
        <f>IF(A971="","",IFERROR(INDEX('자료_한국심리'!$E$3:$E$4002,MATCH(A971,$V$19:$V$4018,0)),D970))</f>
        <v/>
      </c>
      <c r="E971" s="30">
        <f>IF(A971="","",IFERROR(INDEX('자료_한국심리'!$H$3:$H$4002,MATCH(A971,$W$19:$W$4018,0)),E970))</f>
        <v/>
      </c>
      <c r="F971" s="30">
        <f>IF(A971="","",IFERROR(INDEX('자료_한국심리'!$K$3:$K$4002,MATCH(A971,$X$19:$X$4018,0)),F970))</f>
        <v/>
      </c>
      <c r="G971" s="30">
        <f>IF(AND(ISNUMBER(E971),ISNUMBER(F971)),ROUND(E971-F971,6),"")</f>
        <v/>
      </c>
      <c r="H971" s="25">
        <f>IF(A971="","",IFERROR(INDEX('자료_한국심리'!$N$3:$N$4002,MATCH(A971,$Y$19:$Y$4018,0)),H970))</f>
        <v/>
      </c>
      <c r="I971" s="31">
        <f>IF(AND(ISNUMBER(H971),ISNUMBER(H951)),IF(H951&gt;0,H971/H951-1,""),"")</f>
        <v/>
      </c>
      <c r="J971">
        <f>IF(A971="",0,IF(A971&gt;$B$5,1,0))</f>
        <v/>
      </c>
      <c r="K971" s="29">
        <f>IF(AND(J971=1,ISNUMBER(D971)),D971,"")</f>
        <v/>
      </c>
      <c r="L971" s="30">
        <f>IF(AND(J971=1,ISNUMBER(G971)),G971,"")</f>
        <v/>
      </c>
      <c r="M971" s="22">
        <f>IF(AND(J971=1,ISNUMBER(C971)),C971,"")</f>
        <v/>
      </c>
      <c r="N971" s="31">
        <f>IF(AND(J971=1,ISNUMBER(I971)),I971,"")</f>
        <v/>
      </c>
      <c r="O971" s="11">
        <f>IF(K971="","",100-IF($G$13=1,50,(_xlfn.RANK.AVG(K971,$K$19:$K$1518,1)-1)/($G$13-1)*100))</f>
        <v/>
      </c>
      <c r="P971" s="11">
        <f>IF(L971="","",100-IF($G$14=1,50,(_xlfn.RANK.AVG(L971,$L$19:$L$1518,1)-1)/($G$14-1)*100))</f>
        <v/>
      </c>
      <c r="Q971" s="11">
        <f>IF(M971="","",IF($G$15=1,50,(_xlfn.RANK.AVG(M971,$M$19:$M$1518,1)-1)/($G$15-1)*100))</f>
        <v/>
      </c>
      <c r="R971" s="11">
        <f>IF(N971="","",IF($G$16=1,50,(_xlfn.RANK.AVG(N971,$N$19:$N$1518,1)-1)/($G$16-1)*100))</f>
        <v/>
      </c>
      <c r="S971" s="11">
        <f>IF(COUNT(O971:R971)=4,ROUND(AVERAGE(O971:R971),6),"")</f>
        <v/>
      </c>
      <c r="U971">
        <f>IF(AND(ISNUMBER('자료_한국심리'!$A955),ISNUMBER('자료_한국심리'!$B955)),'자료_한국심리'!$A955,"")</f>
        <v/>
      </c>
      <c r="V971">
        <f>IF(AND(ISNUMBER('자료_한국심리'!$D955),ISNUMBER('자료_한국심리'!$E955)),'자료_한국심리'!$D955,"")</f>
        <v/>
      </c>
      <c r="W971">
        <f>IF(AND(ISNUMBER('자료_한국심리'!$G955),ISNUMBER('자료_한국심리'!$H955)),'자료_한국심리'!$G955,"")</f>
        <v/>
      </c>
      <c r="X971">
        <f>IF(AND(ISNUMBER('자료_한국심리'!$J955),ISNUMBER('자료_한국심리'!$K955)),'자료_한국심리'!$J955,"")</f>
        <v/>
      </c>
      <c r="Y971">
        <f>IF(AND(ISNUMBER('자료_한국심리'!$M955),ISNUMBER('자료_한국심리'!$N955)),'자료_한국심리'!$M955,"")</f>
        <v/>
      </c>
    </row>
    <row r="972">
      <c r="A972" s="10">
        <f>IF(954&gt;$E$5,"",SMALL($U$19:$U$4018,$E$6+954))</f>
        <v/>
      </c>
      <c r="B972" s="29">
        <f>IF(A972="","",INDEX('자료_한국심리'!$B$3:$B$4002,MATCH(A972,$U$19:$U$4018,0)))</f>
        <v/>
      </c>
      <c r="C972" s="22">
        <f>IF(A972="","",B972/AVERAGE(B848:B972)-1)</f>
        <v/>
      </c>
      <c r="D972" s="29">
        <f>IF(A972="","",IFERROR(INDEX('자료_한국심리'!$E$3:$E$4002,MATCH(A972,$V$19:$V$4018,0)),D971))</f>
        <v/>
      </c>
      <c r="E972" s="30">
        <f>IF(A972="","",IFERROR(INDEX('자료_한국심리'!$H$3:$H$4002,MATCH(A972,$W$19:$W$4018,0)),E971))</f>
        <v/>
      </c>
      <c r="F972" s="30">
        <f>IF(A972="","",IFERROR(INDEX('자료_한국심리'!$K$3:$K$4002,MATCH(A972,$X$19:$X$4018,0)),F971))</f>
        <v/>
      </c>
      <c r="G972" s="30">
        <f>IF(AND(ISNUMBER(E972),ISNUMBER(F972)),ROUND(E972-F972,6),"")</f>
        <v/>
      </c>
      <c r="H972" s="25">
        <f>IF(A972="","",IFERROR(INDEX('자료_한국심리'!$N$3:$N$4002,MATCH(A972,$Y$19:$Y$4018,0)),H971))</f>
        <v/>
      </c>
      <c r="I972" s="31">
        <f>IF(AND(ISNUMBER(H972),ISNUMBER(H952)),IF(H952&gt;0,H972/H952-1,""),"")</f>
        <v/>
      </c>
      <c r="J972">
        <f>IF(A972="",0,IF(A972&gt;$B$5,1,0))</f>
        <v/>
      </c>
      <c r="K972" s="29">
        <f>IF(AND(J972=1,ISNUMBER(D972)),D972,"")</f>
        <v/>
      </c>
      <c r="L972" s="30">
        <f>IF(AND(J972=1,ISNUMBER(G972)),G972,"")</f>
        <v/>
      </c>
      <c r="M972" s="22">
        <f>IF(AND(J972=1,ISNUMBER(C972)),C972,"")</f>
        <v/>
      </c>
      <c r="N972" s="31">
        <f>IF(AND(J972=1,ISNUMBER(I972)),I972,"")</f>
        <v/>
      </c>
      <c r="O972" s="11">
        <f>IF(K972="","",100-IF($G$13=1,50,(_xlfn.RANK.AVG(K972,$K$19:$K$1518,1)-1)/($G$13-1)*100))</f>
        <v/>
      </c>
      <c r="P972" s="11">
        <f>IF(L972="","",100-IF($G$14=1,50,(_xlfn.RANK.AVG(L972,$L$19:$L$1518,1)-1)/($G$14-1)*100))</f>
        <v/>
      </c>
      <c r="Q972" s="11">
        <f>IF(M972="","",IF($G$15=1,50,(_xlfn.RANK.AVG(M972,$M$19:$M$1518,1)-1)/($G$15-1)*100))</f>
        <v/>
      </c>
      <c r="R972" s="11">
        <f>IF(N972="","",IF($G$16=1,50,(_xlfn.RANK.AVG(N972,$N$19:$N$1518,1)-1)/($G$16-1)*100))</f>
        <v/>
      </c>
      <c r="S972" s="11">
        <f>IF(COUNT(O972:R972)=4,ROUND(AVERAGE(O972:R972),6),"")</f>
        <v/>
      </c>
      <c r="U972">
        <f>IF(AND(ISNUMBER('자료_한국심리'!$A956),ISNUMBER('자료_한국심리'!$B956)),'자료_한국심리'!$A956,"")</f>
        <v/>
      </c>
      <c r="V972">
        <f>IF(AND(ISNUMBER('자료_한국심리'!$D956),ISNUMBER('자료_한국심리'!$E956)),'자료_한국심리'!$D956,"")</f>
        <v/>
      </c>
      <c r="W972">
        <f>IF(AND(ISNUMBER('자료_한국심리'!$G956),ISNUMBER('자료_한국심리'!$H956)),'자료_한국심리'!$G956,"")</f>
        <v/>
      </c>
      <c r="X972">
        <f>IF(AND(ISNUMBER('자료_한국심리'!$J956),ISNUMBER('자료_한국심리'!$K956)),'자료_한국심리'!$J956,"")</f>
        <v/>
      </c>
      <c r="Y972">
        <f>IF(AND(ISNUMBER('자료_한국심리'!$M956),ISNUMBER('자료_한국심리'!$N956)),'자료_한국심리'!$M956,"")</f>
        <v/>
      </c>
    </row>
    <row r="973">
      <c r="A973" s="10">
        <f>IF(955&gt;$E$5,"",SMALL($U$19:$U$4018,$E$6+955))</f>
        <v/>
      </c>
      <c r="B973" s="29">
        <f>IF(A973="","",INDEX('자료_한국심리'!$B$3:$B$4002,MATCH(A973,$U$19:$U$4018,0)))</f>
        <v/>
      </c>
      <c r="C973" s="22">
        <f>IF(A973="","",B973/AVERAGE(B849:B973)-1)</f>
        <v/>
      </c>
      <c r="D973" s="29">
        <f>IF(A973="","",IFERROR(INDEX('자료_한국심리'!$E$3:$E$4002,MATCH(A973,$V$19:$V$4018,0)),D972))</f>
        <v/>
      </c>
      <c r="E973" s="30">
        <f>IF(A973="","",IFERROR(INDEX('자료_한국심리'!$H$3:$H$4002,MATCH(A973,$W$19:$W$4018,0)),E972))</f>
        <v/>
      </c>
      <c r="F973" s="30">
        <f>IF(A973="","",IFERROR(INDEX('자료_한국심리'!$K$3:$K$4002,MATCH(A973,$X$19:$X$4018,0)),F972))</f>
        <v/>
      </c>
      <c r="G973" s="30">
        <f>IF(AND(ISNUMBER(E973),ISNUMBER(F973)),ROUND(E973-F973,6),"")</f>
        <v/>
      </c>
      <c r="H973" s="25">
        <f>IF(A973="","",IFERROR(INDEX('자료_한국심리'!$N$3:$N$4002,MATCH(A973,$Y$19:$Y$4018,0)),H972))</f>
        <v/>
      </c>
      <c r="I973" s="31">
        <f>IF(AND(ISNUMBER(H973),ISNUMBER(H953)),IF(H953&gt;0,H973/H953-1,""),"")</f>
        <v/>
      </c>
      <c r="J973">
        <f>IF(A973="",0,IF(A973&gt;$B$5,1,0))</f>
        <v/>
      </c>
      <c r="K973" s="29">
        <f>IF(AND(J973=1,ISNUMBER(D973)),D973,"")</f>
        <v/>
      </c>
      <c r="L973" s="30">
        <f>IF(AND(J973=1,ISNUMBER(G973)),G973,"")</f>
        <v/>
      </c>
      <c r="M973" s="22">
        <f>IF(AND(J973=1,ISNUMBER(C973)),C973,"")</f>
        <v/>
      </c>
      <c r="N973" s="31">
        <f>IF(AND(J973=1,ISNUMBER(I973)),I973,"")</f>
        <v/>
      </c>
      <c r="O973" s="11">
        <f>IF(K973="","",100-IF($G$13=1,50,(_xlfn.RANK.AVG(K973,$K$19:$K$1518,1)-1)/($G$13-1)*100))</f>
        <v/>
      </c>
      <c r="P973" s="11">
        <f>IF(L973="","",100-IF($G$14=1,50,(_xlfn.RANK.AVG(L973,$L$19:$L$1518,1)-1)/($G$14-1)*100))</f>
        <v/>
      </c>
      <c r="Q973" s="11">
        <f>IF(M973="","",IF($G$15=1,50,(_xlfn.RANK.AVG(M973,$M$19:$M$1518,1)-1)/($G$15-1)*100))</f>
        <v/>
      </c>
      <c r="R973" s="11">
        <f>IF(N973="","",IF($G$16=1,50,(_xlfn.RANK.AVG(N973,$N$19:$N$1518,1)-1)/($G$16-1)*100))</f>
        <v/>
      </c>
      <c r="S973" s="11">
        <f>IF(COUNT(O973:R973)=4,ROUND(AVERAGE(O973:R973),6),"")</f>
        <v/>
      </c>
      <c r="U973">
        <f>IF(AND(ISNUMBER('자료_한국심리'!$A957),ISNUMBER('자료_한국심리'!$B957)),'자료_한국심리'!$A957,"")</f>
        <v/>
      </c>
      <c r="V973">
        <f>IF(AND(ISNUMBER('자료_한국심리'!$D957),ISNUMBER('자료_한국심리'!$E957)),'자료_한국심리'!$D957,"")</f>
        <v/>
      </c>
      <c r="W973">
        <f>IF(AND(ISNUMBER('자료_한국심리'!$G957),ISNUMBER('자료_한국심리'!$H957)),'자료_한국심리'!$G957,"")</f>
        <v/>
      </c>
      <c r="X973">
        <f>IF(AND(ISNUMBER('자료_한국심리'!$J957),ISNUMBER('자료_한국심리'!$K957)),'자료_한국심리'!$J957,"")</f>
        <v/>
      </c>
      <c r="Y973">
        <f>IF(AND(ISNUMBER('자료_한국심리'!$M957),ISNUMBER('자료_한국심리'!$N957)),'자료_한국심리'!$M957,"")</f>
        <v/>
      </c>
    </row>
    <row r="974">
      <c r="A974" s="10">
        <f>IF(956&gt;$E$5,"",SMALL($U$19:$U$4018,$E$6+956))</f>
        <v/>
      </c>
      <c r="B974" s="29">
        <f>IF(A974="","",INDEX('자료_한국심리'!$B$3:$B$4002,MATCH(A974,$U$19:$U$4018,0)))</f>
        <v/>
      </c>
      <c r="C974" s="22">
        <f>IF(A974="","",B974/AVERAGE(B850:B974)-1)</f>
        <v/>
      </c>
      <c r="D974" s="29">
        <f>IF(A974="","",IFERROR(INDEX('자료_한국심리'!$E$3:$E$4002,MATCH(A974,$V$19:$V$4018,0)),D973))</f>
        <v/>
      </c>
      <c r="E974" s="30">
        <f>IF(A974="","",IFERROR(INDEX('자료_한국심리'!$H$3:$H$4002,MATCH(A974,$W$19:$W$4018,0)),E973))</f>
        <v/>
      </c>
      <c r="F974" s="30">
        <f>IF(A974="","",IFERROR(INDEX('자료_한국심리'!$K$3:$K$4002,MATCH(A974,$X$19:$X$4018,0)),F973))</f>
        <v/>
      </c>
      <c r="G974" s="30">
        <f>IF(AND(ISNUMBER(E974),ISNUMBER(F974)),ROUND(E974-F974,6),"")</f>
        <v/>
      </c>
      <c r="H974" s="25">
        <f>IF(A974="","",IFERROR(INDEX('자료_한국심리'!$N$3:$N$4002,MATCH(A974,$Y$19:$Y$4018,0)),H973))</f>
        <v/>
      </c>
      <c r="I974" s="31">
        <f>IF(AND(ISNUMBER(H974),ISNUMBER(H954)),IF(H954&gt;0,H974/H954-1,""),"")</f>
        <v/>
      </c>
      <c r="J974">
        <f>IF(A974="",0,IF(A974&gt;$B$5,1,0))</f>
        <v/>
      </c>
      <c r="K974" s="29">
        <f>IF(AND(J974=1,ISNUMBER(D974)),D974,"")</f>
        <v/>
      </c>
      <c r="L974" s="30">
        <f>IF(AND(J974=1,ISNUMBER(G974)),G974,"")</f>
        <v/>
      </c>
      <c r="M974" s="22">
        <f>IF(AND(J974=1,ISNUMBER(C974)),C974,"")</f>
        <v/>
      </c>
      <c r="N974" s="31">
        <f>IF(AND(J974=1,ISNUMBER(I974)),I974,"")</f>
        <v/>
      </c>
      <c r="O974" s="11">
        <f>IF(K974="","",100-IF($G$13=1,50,(_xlfn.RANK.AVG(K974,$K$19:$K$1518,1)-1)/($G$13-1)*100))</f>
        <v/>
      </c>
      <c r="P974" s="11">
        <f>IF(L974="","",100-IF($G$14=1,50,(_xlfn.RANK.AVG(L974,$L$19:$L$1518,1)-1)/($G$14-1)*100))</f>
        <v/>
      </c>
      <c r="Q974" s="11">
        <f>IF(M974="","",IF($G$15=1,50,(_xlfn.RANK.AVG(M974,$M$19:$M$1518,1)-1)/($G$15-1)*100))</f>
        <v/>
      </c>
      <c r="R974" s="11">
        <f>IF(N974="","",IF($G$16=1,50,(_xlfn.RANK.AVG(N974,$N$19:$N$1518,1)-1)/($G$16-1)*100))</f>
        <v/>
      </c>
      <c r="S974" s="11">
        <f>IF(COUNT(O974:R974)=4,ROUND(AVERAGE(O974:R974),6),"")</f>
        <v/>
      </c>
      <c r="U974">
        <f>IF(AND(ISNUMBER('자료_한국심리'!$A958),ISNUMBER('자료_한국심리'!$B958)),'자료_한국심리'!$A958,"")</f>
        <v/>
      </c>
      <c r="V974">
        <f>IF(AND(ISNUMBER('자료_한국심리'!$D958),ISNUMBER('자료_한국심리'!$E958)),'자료_한국심리'!$D958,"")</f>
        <v/>
      </c>
      <c r="W974">
        <f>IF(AND(ISNUMBER('자료_한국심리'!$G958),ISNUMBER('자료_한국심리'!$H958)),'자료_한국심리'!$G958,"")</f>
        <v/>
      </c>
      <c r="X974">
        <f>IF(AND(ISNUMBER('자료_한국심리'!$J958),ISNUMBER('자료_한국심리'!$K958)),'자료_한국심리'!$J958,"")</f>
        <v/>
      </c>
      <c r="Y974">
        <f>IF(AND(ISNUMBER('자료_한국심리'!$M958),ISNUMBER('자료_한국심리'!$N958)),'자료_한국심리'!$M958,"")</f>
        <v/>
      </c>
    </row>
    <row r="975">
      <c r="A975" s="10">
        <f>IF(957&gt;$E$5,"",SMALL($U$19:$U$4018,$E$6+957))</f>
        <v/>
      </c>
      <c r="B975" s="29">
        <f>IF(A975="","",INDEX('자료_한국심리'!$B$3:$B$4002,MATCH(A975,$U$19:$U$4018,0)))</f>
        <v/>
      </c>
      <c r="C975" s="22">
        <f>IF(A975="","",B975/AVERAGE(B851:B975)-1)</f>
        <v/>
      </c>
      <c r="D975" s="29">
        <f>IF(A975="","",IFERROR(INDEX('자료_한국심리'!$E$3:$E$4002,MATCH(A975,$V$19:$V$4018,0)),D974))</f>
        <v/>
      </c>
      <c r="E975" s="30">
        <f>IF(A975="","",IFERROR(INDEX('자료_한국심리'!$H$3:$H$4002,MATCH(A975,$W$19:$W$4018,0)),E974))</f>
        <v/>
      </c>
      <c r="F975" s="30">
        <f>IF(A975="","",IFERROR(INDEX('자료_한국심리'!$K$3:$K$4002,MATCH(A975,$X$19:$X$4018,0)),F974))</f>
        <v/>
      </c>
      <c r="G975" s="30">
        <f>IF(AND(ISNUMBER(E975),ISNUMBER(F975)),ROUND(E975-F975,6),"")</f>
        <v/>
      </c>
      <c r="H975" s="25">
        <f>IF(A975="","",IFERROR(INDEX('자료_한국심리'!$N$3:$N$4002,MATCH(A975,$Y$19:$Y$4018,0)),H974))</f>
        <v/>
      </c>
      <c r="I975" s="31">
        <f>IF(AND(ISNUMBER(H975),ISNUMBER(H955)),IF(H955&gt;0,H975/H955-1,""),"")</f>
        <v/>
      </c>
      <c r="J975">
        <f>IF(A975="",0,IF(A975&gt;$B$5,1,0))</f>
        <v/>
      </c>
      <c r="K975" s="29">
        <f>IF(AND(J975=1,ISNUMBER(D975)),D975,"")</f>
        <v/>
      </c>
      <c r="L975" s="30">
        <f>IF(AND(J975=1,ISNUMBER(G975)),G975,"")</f>
        <v/>
      </c>
      <c r="M975" s="22">
        <f>IF(AND(J975=1,ISNUMBER(C975)),C975,"")</f>
        <v/>
      </c>
      <c r="N975" s="31">
        <f>IF(AND(J975=1,ISNUMBER(I975)),I975,"")</f>
        <v/>
      </c>
      <c r="O975" s="11">
        <f>IF(K975="","",100-IF($G$13=1,50,(_xlfn.RANK.AVG(K975,$K$19:$K$1518,1)-1)/($G$13-1)*100))</f>
        <v/>
      </c>
      <c r="P975" s="11">
        <f>IF(L975="","",100-IF($G$14=1,50,(_xlfn.RANK.AVG(L975,$L$19:$L$1518,1)-1)/($G$14-1)*100))</f>
        <v/>
      </c>
      <c r="Q975" s="11">
        <f>IF(M975="","",IF($G$15=1,50,(_xlfn.RANK.AVG(M975,$M$19:$M$1518,1)-1)/($G$15-1)*100))</f>
        <v/>
      </c>
      <c r="R975" s="11">
        <f>IF(N975="","",IF($G$16=1,50,(_xlfn.RANK.AVG(N975,$N$19:$N$1518,1)-1)/($G$16-1)*100))</f>
        <v/>
      </c>
      <c r="S975" s="11">
        <f>IF(COUNT(O975:R975)=4,ROUND(AVERAGE(O975:R975),6),"")</f>
        <v/>
      </c>
      <c r="U975">
        <f>IF(AND(ISNUMBER('자료_한국심리'!$A959),ISNUMBER('자료_한국심리'!$B959)),'자료_한국심리'!$A959,"")</f>
        <v/>
      </c>
      <c r="V975">
        <f>IF(AND(ISNUMBER('자료_한국심리'!$D959),ISNUMBER('자료_한국심리'!$E959)),'자료_한국심리'!$D959,"")</f>
        <v/>
      </c>
      <c r="W975">
        <f>IF(AND(ISNUMBER('자료_한국심리'!$G959),ISNUMBER('자료_한국심리'!$H959)),'자료_한국심리'!$G959,"")</f>
        <v/>
      </c>
      <c r="X975">
        <f>IF(AND(ISNUMBER('자료_한국심리'!$J959),ISNUMBER('자료_한국심리'!$K959)),'자료_한국심리'!$J959,"")</f>
        <v/>
      </c>
      <c r="Y975">
        <f>IF(AND(ISNUMBER('자료_한국심리'!$M959),ISNUMBER('자료_한국심리'!$N959)),'자료_한국심리'!$M959,"")</f>
        <v/>
      </c>
    </row>
    <row r="976">
      <c r="A976" s="10">
        <f>IF(958&gt;$E$5,"",SMALL($U$19:$U$4018,$E$6+958))</f>
        <v/>
      </c>
      <c r="B976" s="29">
        <f>IF(A976="","",INDEX('자료_한국심리'!$B$3:$B$4002,MATCH(A976,$U$19:$U$4018,0)))</f>
        <v/>
      </c>
      <c r="C976" s="22">
        <f>IF(A976="","",B976/AVERAGE(B852:B976)-1)</f>
        <v/>
      </c>
      <c r="D976" s="29">
        <f>IF(A976="","",IFERROR(INDEX('자료_한국심리'!$E$3:$E$4002,MATCH(A976,$V$19:$V$4018,0)),D975))</f>
        <v/>
      </c>
      <c r="E976" s="30">
        <f>IF(A976="","",IFERROR(INDEX('자료_한국심리'!$H$3:$H$4002,MATCH(A976,$W$19:$W$4018,0)),E975))</f>
        <v/>
      </c>
      <c r="F976" s="30">
        <f>IF(A976="","",IFERROR(INDEX('자료_한국심리'!$K$3:$K$4002,MATCH(A976,$X$19:$X$4018,0)),F975))</f>
        <v/>
      </c>
      <c r="G976" s="30">
        <f>IF(AND(ISNUMBER(E976),ISNUMBER(F976)),ROUND(E976-F976,6),"")</f>
        <v/>
      </c>
      <c r="H976" s="25">
        <f>IF(A976="","",IFERROR(INDEX('자료_한국심리'!$N$3:$N$4002,MATCH(A976,$Y$19:$Y$4018,0)),H975))</f>
        <v/>
      </c>
      <c r="I976" s="31">
        <f>IF(AND(ISNUMBER(H976),ISNUMBER(H956)),IF(H956&gt;0,H976/H956-1,""),"")</f>
        <v/>
      </c>
      <c r="J976">
        <f>IF(A976="",0,IF(A976&gt;$B$5,1,0))</f>
        <v/>
      </c>
      <c r="K976" s="29">
        <f>IF(AND(J976=1,ISNUMBER(D976)),D976,"")</f>
        <v/>
      </c>
      <c r="L976" s="30">
        <f>IF(AND(J976=1,ISNUMBER(G976)),G976,"")</f>
        <v/>
      </c>
      <c r="M976" s="22">
        <f>IF(AND(J976=1,ISNUMBER(C976)),C976,"")</f>
        <v/>
      </c>
      <c r="N976" s="31">
        <f>IF(AND(J976=1,ISNUMBER(I976)),I976,"")</f>
        <v/>
      </c>
      <c r="O976" s="11">
        <f>IF(K976="","",100-IF($G$13=1,50,(_xlfn.RANK.AVG(K976,$K$19:$K$1518,1)-1)/($G$13-1)*100))</f>
        <v/>
      </c>
      <c r="P976" s="11">
        <f>IF(L976="","",100-IF($G$14=1,50,(_xlfn.RANK.AVG(L976,$L$19:$L$1518,1)-1)/($G$14-1)*100))</f>
        <v/>
      </c>
      <c r="Q976" s="11">
        <f>IF(M976="","",IF($G$15=1,50,(_xlfn.RANK.AVG(M976,$M$19:$M$1518,1)-1)/($G$15-1)*100))</f>
        <v/>
      </c>
      <c r="R976" s="11">
        <f>IF(N976="","",IF($G$16=1,50,(_xlfn.RANK.AVG(N976,$N$19:$N$1518,1)-1)/($G$16-1)*100))</f>
        <v/>
      </c>
      <c r="S976" s="11">
        <f>IF(COUNT(O976:R976)=4,ROUND(AVERAGE(O976:R976),6),"")</f>
        <v/>
      </c>
      <c r="U976">
        <f>IF(AND(ISNUMBER('자료_한국심리'!$A960),ISNUMBER('자료_한국심리'!$B960)),'자료_한국심리'!$A960,"")</f>
        <v/>
      </c>
      <c r="V976">
        <f>IF(AND(ISNUMBER('자료_한국심리'!$D960),ISNUMBER('자료_한국심리'!$E960)),'자료_한국심리'!$D960,"")</f>
        <v/>
      </c>
      <c r="W976">
        <f>IF(AND(ISNUMBER('자료_한국심리'!$G960),ISNUMBER('자료_한국심리'!$H960)),'자료_한국심리'!$G960,"")</f>
        <v/>
      </c>
      <c r="X976">
        <f>IF(AND(ISNUMBER('자료_한국심리'!$J960),ISNUMBER('자료_한국심리'!$K960)),'자료_한국심리'!$J960,"")</f>
        <v/>
      </c>
      <c r="Y976">
        <f>IF(AND(ISNUMBER('자료_한국심리'!$M960),ISNUMBER('자료_한국심리'!$N960)),'자료_한국심리'!$M960,"")</f>
        <v/>
      </c>
    </row>
    <row r="977">
      <c r="A977" s="10">
        <f>IF(959&gt;$E$5,"",SMALL($U$19:$U$4018,$E$6+959))</f>
        <v/>
      </c>
      <c r="B977" s="29">
        <f>IF(A977="","",INDEX('자료_한국심리'!$B$3:$B$4002,MATCH(A977,$U$19:$U$4018,0)))</f>
        <v/>
      </c>
      <c r="C977" s="22">
        <f>IF(A977="","",B977/AVERAGE(B853:B977)-1)</f>
        <v/>
      </c>
      <c r="D977" s="29">
        <f>IF(A977="","",IFERROR(INDEX('자료_한국심리'!$E$3:$E$4002,MATCH(A977,$V$19:$V$4018,0)),D976))</f>
        <v/>
      </c>
      <c r="E977" s="30">
        <f>IF(A977="","",IFERROR(INDEX('자료_한국심리'!$H$3:$H$4002,MATCH(A977,$W$19:$W$4018,0)),E976))</f>
        <v/>
      </c>
      <c r="F977" s="30">
        <f>IF(A977="","",IFERROR(INDEX('자료_한국심리'!$K$3:$K$4002,MATCH(A977,$X$19:$X$4018,0)),F976))</f>
        <v/>
      </c>
      <c r="G977" s="30">
        <f>IF(AND(ISNUMBER(E977),ISNUMBER(F977)),ROUND(E977-F977,6),"")</f>
        <v/>
      </c>
      <c r="H977" s="25">
        <f>IF(A977="","",IFERROR(INDEX('자료_한국심리'!$N$3:$N$4002,MATCH(A977,$Y$19:$Y$4018,0)),H976))</f>
        <v/>
      </c>
      <c r="I977" s="31">
        <f>IF(AND(ISNUMBER(H977),ISNUMBER(H957)),IF(H957&gt;0,H977/H957-1,""),"")</f>
        <v/>
      </c>
      <c r="J977">
        <f>IF(A977="",0,IF(A977&gt;$B$5,1,0))</f>
        <v/>
      </c>
      <c r="K977" s="29">
        <f>IF(AND(J977=1,ISNUMBER(D977)),D977,"")</f>
        <v/>
      </c>
      <c r="L977" s="30">
        <f>IF(AND(J977=1,ISNUMBER(G977)),G977,"")</f>
        <v/>
      </c>
      <c r="M977" s="22">
        <f>IF(AND(J977=1,ISNUMBER(C977)),C977,"")</f>
        <v/>
      </c>
      <c r="N977" s="31">
        <f>IF(AND(J977=1,ISNUMBER(I977)),I977,"")</f>
        <v/>
      </c>
      <c r="O977" s="11">
        <f>IF(K977="","",100-IF($G$13=1,50,(_xlfn.RANK.AVG(K977,$K$19:$K$1518,1)-1)/($G$13-1)*100))</f>
        <v/>
      </c>
      <c r="P977" s="11">
        <f>IF(L977="","",100-IF($G$14=1,50,(_xlfn.RANK.AVG(L977,$L$19:$L$1518,1)-1)/($G$14-1)*100))</f>
        <v/>
      </c>
      <c r="Q977" s="11">
        <f>IF(M977="","",IF($G$15=1,50,(_xlfn.RANK.AVG(M977,$M$19:$M$1518,1)-1)/($G$15-1)*100))</f>
        <v/>
      </c>
      <c r="R977" s="11">
        <f>IF(N977="","",IF($G$16=1,50,(_xlfn.RANK.AVG(N977,$N$19:$N$1518,1)-1)/($G$16-1)*100))</f>
        <v/>
      </c>
      <c r="S977" s="11">
        <f>IF(COUNT(O977:R977)=4,ROUND(AVERAGE(O977:R977),6),"")</f>
        <v/>
      </c>
      <c r="U977">
        <f>IF(AND(ISNUMBER('자료_한국심리'!$A961),ISNUMBER('자료_한국심리'!$B961)),'자료_한국심리'!$A961,"")</f>
        <v/>
      </c>
      <c r="V977">
        <f>IF(AND(ISNUMBER('자료_한국심리'!$D961),ISNUMBER('자료_한국심리'!$E961)),'자료_한국심리'!$D961,"")</f>
        <v/>
      </c>
      <c r="W977">
        <f>IF(AND(ISNUMBER('자료_한국심리'!$G961),ISNUMBER('자료_한국심리'!$H961)),'자료_한국심리'!$G961,"")</f>
        <v/>
      </c>
      <c r="X977">
        <f>IF(AND(ISNUMBER('자료_한국심리'!$J961),ISNUMBER('자료_한국심리'!$K961)),'자료_한국심리'!$J961,"")</f>
        <v/>
      </c>
      <c r="Y977">
        <f>IF(AND(ISNUMBER('자료_한국심리'!$M961),ISNUMBER('자료_한국심리'!$N961)),'자료_한국심리'!$M961,"")</f>
        <v/>
      </c>
    </row>
    <row r="978">
      <c r="A978" s="10">
        <f>IF(960&gt;$E$5,"",SMALL($U$19:$U$4018,$E$6+960))</f>
        <v/>
      </c>
      <c r="B978" s="29">
        <f>IF(A978="","",INDEX('자료_한국심리'!$B$3:$B$4002,MATCH(A978,$U$19:$U$4018,0)))</f>
        <v/>
      </c>
      <c r="C978" s="22">
        <f>IF(A978="","",B978/AVERAGE(B854:B978)-1)</f>
        <v/>
      </c>
      <c r="D978" s="29">
        <f>IF(A978="","",IFERROR(INDEX('자료_한국심리'!$E$3:$E$4002,MATCH(A978,$V$19:$V$4018,0)),D977))</f>
        <v/>
      </c>
      <c r="E978" s="30">
        <f>IF(A978="","",IFERROR(INDEX('자료_한국심리'!$H$3:$H$4002,MATCH(A978,$W$19:$W$4018,0)),E977))</f>
        <v/>
      </c>
      <c r="F978" s="30">
        <f>IF(A978="","",IFERROR(INDEX('자료_한국심리'!$K$3:$K$4002,MATCH(A978,$X$19:$X$4018,0)),F977))</f>
        <v/>
      </c>
      <c r="G978" s="30">
        <f>IF(AND(ISNUMBER(E978),ISNUMBER(F978)),ROUND(E978-F978,6),"")</f>
        <v/>
      </c>
      <c r="H978" s="25">
        <f>IF(A978="","",IFERROR(INDEX('자료_한국심리'!$N$3:$N$4002,MATCH(A978,$Y$19:$Y$4018,0)),H977))</f>
        <v/>
      </c>
      <c r="I978" s="31">
        <f>IF(AND(ISNUMBER(H978),ISNUMBER(H958)),IF(H958&gt;0,H978/H958-1,""),"")</f>
        <v/>
      </c>
      <c r="J978">
        <f>IF(A978="",0,IF(A978&gt;$B$5,1,0))</f>
        <v/>
      </c>
      <c r="K978" s="29">
        <f>IF(AND(J978=1,ISNUMBER(D978)),D978,"")</f>
        <v/>
      </c>
      <c r="L978" s="30">
        <f>IF(AND(J978=1,ISNUMBER(G978)),G978,"")</f>
        <v/>
      </c>
      <c r="M978" s="22">
        <f>IF(AND(J978=1,ISNUMBER(C978)),C978,"")</f>
        <v/>
      </c>
      <c r="N978" s="31">
        <f>IF(AND(J978=1,ISNUMBER(I978)),I978,"")</f>
        <v/>
      </c>
      <c r="O978" s="11">
        <f>IF(K978="","",100-IF($G$13=1,50,(_xlfn.RANK.AVG(K978,$K$19:$K$1518,1)-1)/($G$13-1)*100))</f>
        <v/>
      </c>
      <c r="P978" s="11">
        <f>IF(L978="","",100-IF($G$14=1,50,(_xlfn.RANK.AVG(L978,$L$19:$L$1518,1)-1)/($G$14-1)*100))</f>
        <v/>
      </c>
      <c r="Q978" s="11">
        <f>IF(M978="","",IF($G$15=1,50,(_xlfn.RANK.AVG(M978,$M$19:$M$1518,1)-1)/($G$15-1)*100))</f>
        <v/>
      </c>
      <c r="R978" s="11">
        <f>IF(N978="","",IF($G$16=1,50,(_xlfn.RANK.AVG(N978,$N$19:$N$1518,1)-1)/($G$16-1)*100))</f>
        <v/>
      </c>
      <c r="S978" s="11">
        <f>IF(COUNT(O978:R978)=4,ROUND(AVERAGE(O978:R978),6),"")</f>
        <v/>
      </c>
      <c r="U978">
        <f>IF(AND(ISNUMBER('자료_한국심리'!$A962),ISNUMBER('자료_한국심리'!$B962)),'자료_한국심리'!$A962,"")</f>
        <v/>
      </c>
      <c r="V978">
        <f>IF(AND(ISNUMBER('자료_한국심리'!$D962),ISNUMBER('자료_한국심리'!$E962)),'자료_한국심리'!$D962,"")</f>
        <v/>
      </c>
      <c r="W978">
        <f>IF(AND(ISNUMBER('자료_한국심리'!$G962),ISNUMBER('자료_한국심리'!$H962)),'자료_한국심리'!$G962,"")</f>
        <v/>
      </c>
      <c r="X978">
        <f>IF(AND(ISNUMBER('자료_한국심리'!$J962),ISNUMBER('자료_한국심리'!$K962)),'자료_한국심리'!$J962,"")</f>
        <v/>
      </c>
      <c r="Y978">
        <f>IF(AND(ISNUMBER('자료_한국심리'!$M962),ISNUMBER('자료_한국심리'!$N962)),'자료_한국심리'!$M962,"")</f>
        <v/>
      </c>
    </row>
    <row r="979">
      <c r="A979" s="10">
        <f>IF(961&gt;$E$5,"",SMALL($U$19:$U$4018,$E$6+961))</f>
        <v/>
      </c>
      <c r="B979" s="29">
        <f>IF(A979="","",INDEX('자료_한국심리'!$B$3:$B$4002,MATCH(A979,$U$19:$U$4018,0)))</f>
        <v/>
      </c>
      <c r="C979" s="22">
        <f>IF(A979="","",B979/AVERAGE(B855:B979)-1)</f>
        <v/>
      </c>
      <c r="D979" s="29">
        <f>IF(A979="","",IFERROR(INDEX('자료_한국심리'!$E$3:$E$4002,MATCH(A979,$V$19:$V$4018,0)),D978))</f>
        <v/>
      </c>
      <c r="E979" s="30">
        <f>IF(A979="","",IFERROR(INDEX('자료_한국심리'!$H$3:$H$4002,MATCH(A979,$W$19:$W$4018,0)),E978))</f>
        <v/>
      </c>
      <c r="F979" s="30">
        <f>IF(A979="","",IFERROR(INDEX('자료_한국심리'!$K$3:$K$4002,MATCH(A979,$X$19:$X$4018,0)),F978))</f>
        <v/>
      </c>
      <c r="G979" s="30">
        <f>IF(AND(ISNUMBER(E979),ISNUMBER(F979)),ROUND(E979-F979,6),"")</f>
        <v/>
      </c>
      <c r="H979" s="25">
        <f>IF(A979="","",IFERROR(INDEX('자료_한국심리'!$N$3:$N$4002,MATCH(A979,$Y$19:$Y$4018,0)),H978))</f>
        <v/>
      </c>
      <c r="I979" s="31">
        <f>IF(AND(ISNUMBER(H979),ISNUMBER(H959)),IF(H959&gt;0,H979/H959-1,""),"")</f>
        <v/>
      </c>
      <c r="J979">
        <f>IF(A979="",0,IF(A979&gt;$B$5,1,0))</f>
        <v/>
      </c>
      <c r="K979" s="29">
        <f>IF(AND(J979=1,ISNUMBER(D979)),D979,"")</f>
        <v/>
      </c>
      <c r="L979" s="30">
        <f>IF(AND(J979=1,ISNUMBER(G979)),G979,"")</f>
        <v/>
      </c>
      <c r="M979" s="22">
        <f>IF(AND(J979=1,ISNUMBER(C979)),C979,"")</f>
        <v/>
      </c>
      <c r="N979" s="31">
        <f>IF(AND(J979=1,ISNUMBER(I979)),I979,"")</f>
        <v/>
      </c>
      <c r="O979" s="11">
        <f>IF(K979="","",100-IF($G$13=1,50,(_xlfn.RANK.AVG(K979,$K$19:$K$1518,1)-1)/($G$13-1)*100))</f>
        <v/>
      </c>
      <c r="P979" s="11">
        <f>IF(L979="","",100-IF($G$14=1,50,(_xlfn.RANK.AVG(L979,$L$19:$L$1518,1)-1)/($G$14-1)*100))</f>
        <v/>
      </c>
      <c r="Q979" s="11">
        <f>IF(M979="","",IF($G$15=1,50,(_xlfn.RANK.AVG(M979,$M$19:$M$1518,1)-1)/($G$15-1)*100))</f>
        <v/>
      </c>
      <c r="R979" s="11">
        <f>IF(N979="","",IF($G$16=1,50,(_xlfn.RANK.AVG(N979,$N$19:$N$1518,1)-1)/($G$16-1)*100))</f>
        <v/>
      </c>
      <c r="S979" s="11">
        <f>IF(COUNT(O979:R979)=4,ROUND(AVERAGE(O979:R979),6),"")</f>
        <v/>
      </c>
      <c r="U979">
        <f>IF(AND(ISNUMBER('자료_한국심리'!$A963),ISNUMBER('자료_한국심리'!$B963)),'자료_한국심리'!$A963,"")</f>
        <v/>
      </c>
      <c r="V979">
        <f>IF(AND(ISNUMBER('자료_한국심리'!$D963),ISNUMBER('자료_한국심리'!$E963)),'자료_한국심리'!$D963,"")</f>
        <v/>
      </c>
      <c r="W979">
        <f>IF(AND(ISNUMBER('자료_한국심리'!$G963),ISNUMBER('자료_한국심리'!$H963)),'자료_한국심리'!$G963,"")</f>
        <v/>
      </c>
      <c r="X979">
        <f>IF(AND(ISNUMBER('자료_한국심리'!$J963),ISNUMBER('자료_한국심리'!$K963)),'자료_한국심리'!$J963,"")</f>
        <v/>
      </c>
      <c r="Y979">
        <f>IF(AND(ISNUMBER('자료_한국심리'!$M963),ISNUMBER('자료_한국심리'!$N963)),'자료_한국심리'!$M963,"")</f>
        <v/>
      </c>
    </row>
    <row r="980">
      <c r="A980" s="10">
        <f>IF(962&gt;$E$5,"",SMALL($U$19:$U$4018,$E$6+962))</f>
        <v/>
      </c>
      <c r="B980" s="29">
        <f>IF(A980="","",INDEX('자료_한국심리'!$B$3:$B$4002,MATCH(A980,$U$19:$U$4018,0)))</f>
        <v/>
      </c>
      <c r="C980" s="22">
        <f>IF(A980="","",B980/AVERAGE(B856:B980)-1)</f>
        <v/>
      </c>
      <c r="D980" s="29">
        <f>IF(A980="","",IFERROR(INDEX('자료_한국심리'!$E$3:$E$4002,MATCH(A980,$V$19:$V$4018,0)),D979))</f>
        <v/>
      </c>
      <c r="E980" s="30">
        <f>IF(A980="","",IFERROR(INDEX('자료_한국심리'!$H$3:$H$4002,MATCH(A980,$W$19:$W$4018,0)),E979))</f>
        <v/>
      </c>
      <c r="F980" s="30">
        <f>IF(A980="","",IFERROR(INDEX('자료_한국심리'!$K$3:$K$4002,MATCH(A980,$X$19:$X$4018,0)),F979))</f>
        <v/>
      </c>
      <c r="G980" s="30">
        <f>IF(AND(ISNUMBER(E980),ISNUMBER(F980)),ROUND(E980-F980,6),"")</f>
        <v/>
      </c>
      <c r="H980" s="25">
        <f>IF(A980="","",IFERROR(INDEX('자료_한국심리'!$N$3:$N$4002,MATCH(A980,$Y$19:$Y$4018,0)),H979))</f>
        <v/>
      </c>
      <c r="I980" s="31">
        <f>IF(AND(ISNUMBER(H980),ISNUMBER(H960)),IF(H960&gt;0,H980/H960-1,""),"")</f>
        <v/>
      </c>
      <c r="J980">
        <f>IF(A980="",0,IF(A980&gt;$B$5,1,0))</f>
        <v/>
      </c>
      <c r="K980" s="29">
        <f>IF(AND(J980=1,ISNUMBER(D980)),D980,"")</f>
        <v/>
      </c>
      <c r="L980" s="30">
        <f>IF(AND(J980=1,ISNUMBER(G980)),G980,"")</f>
        <v/>
      </c>
      <c r="M980" s="22">
        <f>IF(AND(J980=1,ISNUMBER(C980)),C980,"")</f>
        <v/>
      </c>
      <c r="N980" s="31">
        <f>IF(AND(J980=1,ISNUMBER(I980)),I980,"")</f>
        <v/>
      </c>
      <c r="O980" s="11">
        <f>IF(K980="","",100-IF($G$13=1,50,(_xlfn.RANK.AVG(K980,$K$19:$K$1518,1)-1)/($G$13-1)*100))</f>
        <v/>
      </c>
      <c r="P980" s="11">
        <f>IF(L980="","",100-IF($G$14=1,50,(_xlfn.RANK.AVG(L980,$L$19:$L$1518,1)-1)/($G$14-1)*100))</f>
        <v/>
      </c>
      <c r="Q980" s="11">
        <f>IF(M980="","",IF($G$15=1,50,(_xlfn.RANK.AVG(M980,$M$19:$M$1518,1)-1)/($G$15-1)*100))</f>
        <v/>
      </c>
      <c r="R980" s="11">
        <f>IF(N980="","",IF($G$16=1,50,(_xlfn.RANK.AVG(N980,$N$19:$N$1518,1)-1)/($G$16-1)*100))</f>
        <v/>
      </c>
      <c r="S980" s="11">
        <f>IF(COUNT(O980:R980)=4,ROUND(AVERAGE(O980:R980),6),"")</f>
        <v/>
      </c>
      <c r="U980">
        <f>IF(AND(ISNUMBER('자료_한국심리'!$A964),ISNUMBER('자료_한국심리'!$B964)),'자료_한국심리'!$A964,"")</f>
        <v/>
      </c>
      <c r="V980">
        <f>IF(AND(ISNUMBER('자료_한국심리'!$D964),ISNUMBER('자료_한국심리'!$E964)),'자료_한국심리'!$D964,"")</f>
        <v/>
      </c>
      <c r="W980">
        <f>IF(AND(ISNUMBER('자료_한국심리'!$G964),ISNUMBER('자료_한국심리'!$H964)),'자료_한국심리'!$G964,"")</f>
        <v/>
      </c>
      <c r="X980">
        <f>IF(AND(ISNUMBER('자료_한국심리'!$J964),ISNUMBER('자료_한국심리'!$K964)),'자료_한국심리'!$J964,"")</f>
        <v/>
      </c>
      <c r="Y980">
        <f>IF(AND(ISNUMBER('자료_한국심리'!$M964),ISNUMBER('자료_한국심리'!$N964)),'자료_한국심리'!$M964,"")</f>
        <v/>
      </c>
    </row>
    <row r="981">
      <c r="A981" s="10">
        <f>IF(963&gt;$E$5,"",SMALL($U$19:$U$4018,$E$6+963))</f>
        <v/>
      </c>
      <c r="B981" s="29">
        <f>IF(A981="","",INDEX('자료_한국심리'!$B$3:$B$4002,MATCH(A981,$U$19:$U$4018,0)))</f>
        <v/>
      </c>
      <c r="C981" s="22">
        <f>IF(A981="","",B981/AVERAGE(B857:B981)-1)</f>
        <v/>
      </c>
      <c r="D981" s="29">
        <f>IF(A981="","",IFERROR(INDEX('자료_한국심리'!$E$3:$E$4002,MATCH(A981,$V$19:$V$4018,0)),D980))</f>
        <v/>
      </c>
      <c r="E981" s="30">
        <f>IF(A981="","",IFERROR(INDEX('자료_한국심리'!$H$3:$H$4002,MATCH(A981,$W$19:$W$4018,0)),E980))</f>
        <v/>
      </c>
      <c r="F981" s="30">
        <f>IF(A981="","",IFERROR(INDEX('자료_한국심리'!$K$3:$K$4002,MATCH(A981,$X$19:$X$4018,0)),F980))</f>
        <v/>
      </c>
      <c r="G981" s="30">
        <f>IF(AND(ISNUMBER(E981),ISNUMBER(F981)),ROUND(E981-F981,6),"")</f>
        <v/>
      </c>
      <c r="H981" s="25">
        <f>IF(A981="","",IFERROR(INDEX('자료_한국심리'!$N$3:$N$4002,MATCH(A981,$Y$19:$Y$4018,0)),H980))</f>
        <v/>
      </c>
      <c r="I981" s="31">
        <f>IF(AND(ISNUMBER(H981),ISNUMBER(H961)),IF(H961&gt;0,H981/H961-1,""),"")</f>
        <v/>
      </c>
      <c r="J981">
        <f>IF(A981="",0,IF(A981&gt;$B$5,1,0))</f>
        <v/>
      </c>
      <c r="K981" s="29">
        <f>IF(AND(J981=1,ISNUMBER(D981)),D981,"")</f>
        <v/>
      </c>
      <c r="L981" s="30">
        <f>IF(AND(J981=1,ISNUMBER(G981)),G981,"")</f>
        <v/>
      </c>
      <c r="M981" s="22">
        <f>IF(AND(J981=1,ISNUMBER(C981)),C981,"")</f>
        <v/>
      </c>
      <c r="N981" s="31">
        <f>IF(AND(J981=1,ISNUMBER(I981)),I981,"")</f>
        <v/>
      </c>
      <c r="O981" s="11">
        <f>IF(K981="","",100-IF($G$13=1,50,(_xlfn.RANK.AVG(K981,$K$19:$K$1518,1)-1)/($G$13-1)*100))</f>
        <v/>
      </c>
      <c r="P981" s="11">
        <f>IF(L981="","",100-IF($G$14=1,50,(_xlfn.RANK.AVG(L981,$L$19:$L$1518,1)-1)/($G$14-1)*100))</f>
        <v/>
      </c>
      <c r="Q981" s="11">
        <f>IF(M981="","",IF($G$15=1,50,(_xlfn.RANK.AVG(M981,$M$19:$M$1518,1)-1)/($G$15-1)*100))</f>
        <v/>
      </c>
      <c r="R981" s="11">
        <f>IF(N981="","",IF($G$16=1,50,(_xlfn.RANK.AVG(N981,$N$19:$N$1518,1)-1)/($G$16-1)*100))</f>
        <v/>
      </c>
      <c r="S981" s="11">
        <f>IF(COUNT(O981:R981)=4,ROUND(AVERAGE(O981:R981),6),"")</f>
        <v/>
      </c>
      <c r="U981">
        <f>IF(AND(ISNUMBER('자료_한국심리'!$A965),ISNUMBER('자료_한국심리'!$B965)),'자료_한국심리'!$A965,"")</f>
        <v/>
      </c>
      <c r="V981">
        <f>IF(AND(ISNUMBER('자료_한국심리'!$D965),ISNUMBER('자료_한국심리'!$E965)),'자료_한국심리'!$D965,"")</f>
        <v/>
      </c>
      <c r="W981">
        <f>IF(AND(ISNUMBER('자료_한국심리'!$G965),ISNUMBER('자료_한국심리'!$H965)),'자료_한국심리'!$G965,"")</f>
        <v/>
      </c>
      <c r="X981">
        <f>IF(AND(ISNUMBER('자료_한국심리'!$J965),ISNUMBER('자료_한국심리'!$K965)),'자료_한국심리'!$J965,"")</f>
        <v/>
      </c>
      <c r="Y981">
        <f>IF(AND(ISNUMBER('자료_한국심리'!$M965),ISNUMBER('자료_한국심리'!$N965)),'자료_한국심리'!$M965,"")</f>
        <v/>
      </c>
    </row>
    <row r="982">
      <c r="A982" s="10">
        <f>IF(964&gt;$E$5,"",SMALL($U$19:$U$4018,$E$6+964))</f>
        <v/>
      </c>
      <c r="B982" s="29">
        <f>IF(A982="","",INDEX('자료_한국심리'!$B$3:$B$4002,MATCH(A982,$U$19:$U$4018,0)))</f>
        <v/>
      </c>
      <c r="C982" s="22">
        <f>IF(A982="","",B982/AVERAGE(B858:B982)-1)</f>
        <v/>
      </c>
      <c r="D982" s="29">
        <f>IF(A982="","",IFERROR(INDEX('자료_한국심리'!$E$3:$E$4002,MATCH(A982,$V$19:$V$4018,0)),D981))</f>
        <v/>
      </c>
      <c r="E982" s="30">
        <f>IF(A982="","",IFERROR(INDEX('자료_한국심리'!$H$3:$H$4002,MATCH(A982,$W$19:$W$4018,0)),E981))</f>
        <v/>
      </c>
      <c r="F982" s="30">
        <f>IF(A982="","",IFERROR(INDEX('자료_한국심리'!$K$3:$K$4002,MATCH(A982,$X$19:$X$4018,0)),F981))</f>
        <v/>
      </c>
      <c r="G982" s="30">
        <f>IF(AND(ISNUMBER(E982),ISNUMBER(F982)),ROUND(E982-F982,6),"")</f>
        <v/>
      </c>
      <c r="H982" s="25">
        <f>IF(A982="","",IFERROR(INDEX('자료_한국심리'!$N$3:$N$4002,MATCH(A982,$Y$19:$Y$4018,0)),H981))</f>
        <v/>
      </c>
      <c r="I982" s="31">
        <f>IF(AND(ISNUMBER(H982),ISNUMBER(H962)),IF(H962&gt;0,H982/H962-1,""),"")</f>
        <v/>
      </c>
      <c r="J982">
        <f>IF(A982="",0,IF(A982&gt;$B$5,1,0))</f>
        <v/>
      </c>
      <c r="K982" s="29">
        <f>IF(AND(J982=1,ISNUMBER(D982)),D982,"")</f>
        <v/>
      </c>
      <c r="L982" s="30">
        <f>IF(AND(J982=1,ISNUMBER(G982)),G982,"")</f>
        <v/>
      </c>
      <c r="M982" s="22">
        <f>IF(AND(J982=1,ISNUMBER(C982)),C982,"")</f>
        <v/>
      </c>
      <c r="N982" s="31">
        <f>IF(AND(J982=1,ISNUMBER(I982)),I982,"")</f>
        <v/>
      </c>
      <c r="O982" s="11">
        <f>IF(K982="","",100-IF($G$13=1,50,(_xlfn.RANK.AVG(K982,$K$19:$K$1518,1)-1)/($G$13-1)*100))</f>
        <v/>
      </c>
      <c r="P982" s="11">
        <f>IF(L982="","",100-IF($G$14=1,50,(_xlfn.RANK.AVG(L982,$L$19:$L$1518,1)-1)/($G$14-1)*100))</f>
        <v/>
      </c>
      <c r="Q982" s="11">
        <f>IF(M982="","",IF($G$15=1,50,(_xlfn.RANK.AVG(M982,$M$19:$M$1518,1)-1)/($G$15-1)*100))</f>
        <v/>
      </c>
      <c r="R982" s="11">
        <f>IF(N982="","",IF($G$16=1,50,(_xlfn.RANK.AVG(N982,$N$19:$N$1518,1)-1)/($G$16-1)*100))</f>
        <v/>
      </c>
      <c r="S982" s="11">
        <f>IF(COUNT(O982:R982)=4,ROUND(AVERAGE(O982:R982),6),"")</f>
        <v/>
      </c>
      <c r="U982">
        <f>IF(AND(ISNUMBER('자료_한국심리'!$A966),ISNUMBER('자료_한국심리'!$B966)),'자료_한국심리'!$A966,"")</f>
        <v/>
      </c>
      <c r="V982">
        <f>IF(AND(ISNUMBER('자료_한국심리'!$D966),ISNUMBER('자료_한국심리'!$E966)),'자료_한국심리'!$D966,"")</f>
        <v/>
      </c>
      <c r="W982">
        <f>IF(AND(ISNUMBER('자료_한국심리'!$G966),ISNUMBER('자료_한국심리'!$H966)),'자료_한국심리'!$G966,"")</f>
        <v/>
      </c>
      <c r="X982">
        <f>IF(AND(ISNUMBER('자료_한국심리'!$J966),ISNUMBER('자료_한국심리'!$K966)),'자료_한국심리'!$J966,"")</f>
        <v/>
      </c>
      <c r="Y982">
        <f>IF(AND(ISNUMBER('자료_한국심리'!$M966),ISNUMBER('자료_한국심리'!$N966)),'자료_한국심리'!$M966,"")</f>
        <v/>
      </c>
    </row>
    <row r="983">
      <c r="A983" s="10">
        <f>IF(965&gt;$E$5,"",SMALL($U$19:$U$4018,$E$6+965))</f>
        <v/>
      </c>
      <c r="B983" s="29">
        <f>IF(A983="","",INDEX('자료_한국심리'!$B$3:$B$4002,MATCH(A983,$U$19:$U$4018,0)))</f>
        <v/>
      </c>
      <c r="C983" s="22">
        <f>IF(A983="","",B983/AVERAGE(B859:B983)-1)</f>
        <v/>
      </c>
      <c r="D983" s="29">
        <f>IF(A983="","",IFERROR(INDEX('자료_한국심리'!$E$3:$E$4002,MATCH(A983,$V$19:$V$4018,0)),D982))</f>
        <v/>
      </c>
      <c r="E983" s="30">
        <f>IF(A983="","",IFERROR(INDEX('자료_한국심리'!$H$3:$H$4002,MATCH(A983,$W$19:$W$4018,0)),E982))</f>
        <v/>
      </c>
      <c r="F983" s="30">
        <f>IF(A983="","",IFERROR(INDEX('자료_한국심리'!$K$3:$K$4002,MATCH(A983,$X$19:$X$4018,0)),F982))</f>
        <v/>
      </c>
      <c r="G983" s="30">
        <f>IF(AND(ISNUMBER(E983),ISNUMBER(F983)),ROUND(E983-F983,6),"")</f>
        <v/>
      </c>
      <c r="H983" s="25">
        <f>IF(A983="","",IFERROR(INDEX('자료_한국심리'!$N$3:$N$4002,MATCH(A983,$Y$19:$Y$4018,0)),H982))</f>
        <v/>
      </c>
      <c r="I983" s="31">
        <f>IF(AND(ISNUMBER(H983),ISNUMBER(H963)),IF(H963&gt;0,H983/H963-1,""),"")</f>
        <v/>
      </c>
      <c r="J983">
        <f>IF(A983="",0,IF(A983&gt;$B$5,1,0))</f>
        <v/>
      </c>
      <c r="K983" s="29">
        <f>IF(AND(J983=1,ISNUMBER(D983)),D983,"")</f>
        <v/>
      </c>
      <c r="L983" s="30">
        <f>IF(AND(J983=1,ISNUMBER(G983)),G983,"")</f>
        <v/>
      </c>
      <c r="M983" s="22">
        <f>IF(AND(J983=1,ISNUMBER(C983)),C983,"")</f>
        <v/>
      </c>
      <c r="N983" s="31">
        <f>IF(AND(J983=1,ISNUMBER(I983)),I983,"")</f>
        <v/>
      </c>
      <c r="O983" s="11">
        <f>IF(K983="","",100-IF($G$13=1,50,(_xlfn.RANK.AVG(K983,$K$19:$K$1518,1)-1)/($G$13-1)*100))</f>
        <v/>
      </c>
      <c r="P983" s="11">
        <f>IF(L983="","",100-IF($G$14=1,50,(_xlfn.RANK.AVG(L983,$L$19:$L$1518,1)-1)/($G$14-1)*100))</f>
        <v/>
      </c>
      <c r="Q983" s="11">
        <f>IF(M983="","",IF($G$15=1,50,(_xlfn.RANK.AVG(M983,$M$19:$M$1518,1)-1)/($G$15-1)*100))</f>
        <v/>
      </c>
      <c r="R983" s="11">
        <f>IF(N983="","",IF($G$16=1,50,(_xlfn.RANK.AVG(N983,$N$19:$N$1518,1)-1)/($G$16-1)*100))</f>
        <v/>
      </c>
      <c r="S983" s="11">
        <f>IF(COUNT(O983:R983)=4,ROUND(AVERAGE(O983:R983),6),"")</f>
        <v/>
      </c>
      <c r="U983">
        <f>IF(AND(ISNUMBER('자료_한국심리'!$A967),ISNUMBER('자료_한국심리'!$B967)),'자료_한국심리'!$A967,"")</f>
        <v/>
      </c>
      <c r="V983">
        <f>IF(AND(ISNUMBER('자료_한국심리'!$D967),ISNUMBER('자료_한국심리'!$E967)),'자료_한국심리'!$D967,"")</f>
        <v/>
      </c>
      <c r="W983">
        <f>IF(AND(ISNUMBER('자료_한국심리'!$G967),ISNUMBER('자료_한국심리'!$H967)),'자료_한국심리'!$G967,"")</f>
        <v/>
      </c>
      <c r="X983">
        <f>IF(AND(ISNUMBER('자료_한국심리'!$J967),ISNUMBER('자료_한국심리'!$K967)),'자료_한국심리'!$J967,"")</f>
        <v/>
      </c>
      <c r="Y983">
        <f>IF(AND(ISNUMBER('자료_한국심리'!$M967),ISNUMBER('자료_한국심리'!$N967)),'자료_한국심리'!$M967,"")</f>
        <v/>
      </c>
    </row>
    <row r="984">
      <c r="A984" s="10">
        <f>IF(966&gt;$E$5,"",SMALL($U$19:$U$4018,$E$6+966))</f>
        <v/>
      </c>
      <c r="B984" s="29">
        <f>IF(A984="","",INDEX('자료_한국심리'!$B$3:$B$4002,MATCH(A984,$U$19:$U$4018,0)))</f>
        <v/>
      </c>
      <c r="C984" s="22">
        <f>IF(A984="","",B984/AVERAGE(B860:B984)-1)</f>
        <v/>
      </c>
      <c r="D984" s="29">
        <f>IF(A984="","",IFERROR(INDEX('자료_한국심리'!$E$3:$E$4002,MATCH(A984,$V$19:$V$4018,0)),D983))</f>
        <v/>
      </c>
      <c r="E984" s="30">
        <f>IF(A984="","",IFERROR(INDEX('자료_한국심리'!$H$3:$H$4002,MATCH(A984,$W$19:$W$4018,0)),E983))</f>
        <v/>
      </c>
      <c r="F984" s="30">
        <f>IF(A984="","",IFERROR(INDEX('자료_한국심리'!$K$3:$K$4002,MATCH(A984,$X$19:$X$4018,0)),F983))</f>
        <v/>
      </c>
      <c r="G984" s="30">
        <f>IF(AND(ISNUMBER(E984),ISNUMBER(F984)),ROUND(E984-F984,6),"")</f>
        <v/>
      </c>
      <c r="H984" s="25">
        <f>IF(A984="","",IFERROR(INDEX('자료_한국심리'!$N$3:$N$4002,MATCH(A984,$Y$19:$Y$4018,0)),H983))</f>
        <v/>
      </c>
      <c r="I984" s="31">
        <f>IF(AND(ISNUMBER(H984),ISNUMBER(H964)),IF(H964&gt;0,H984/H964-1,""),"")</f>
        <v/>
      </c>
      <c r="J984">
        <f>IF(A984="",0,IF(A984&gt;$B$5,1,0))</f>
        <v/>
      </c>
      <c r="K984" s="29">
        <f>IF(AND(J984=1,ISNUMBER(D984)),D984,"")</f>
        <v/>
      </c>
      <c r="L984" s="30">
        <f>IF(AND(J984=1,ISNUMBER(G984)),G984,"")</f>
        <v/>
      </c>
      <c r="M984" s="22">
        <f>IF(AND(J984=1,ISNUMBER(C984)),C984,"")</f>
        <v/>
      </c>
      <c r="N984" s="31">
        <f>IF(AND(J984=1,ISNUMBER(I984)),I984,"")</f>
        <v/>
      </c>
      <c r="O984" s="11">
        <f>IF(K984="","",100-IF($G$13=1,50,(_xlfn.RANK.AVG(K984,$K$19:$K$1518,1)-1)/($G$13-1)*100))</f>
        <v/>
      </c>
      <c r="P984" s="11">
        <f>IF(L984="","",100-IF($G$14=1,50,(_xlfn.RANK.AVG(L984,$L$19:$L$1518,1)-1)/($G$14-1)*100))</f>
        <v/>
      </c>
      <c r="Q984" s="11">
        <f>IF(M984="","",IF($G$15=1,50,(_xlfn.RANK.AVG(M984,$M$19:$M$1518,1)-1)/($G$15-1)*100))</f>
        <v/>
      </c>
      <c r="R984" s="11">
        <f>IF(N984="","",IF($G$16=1,50,(_xlfn.RANK.AVG(N984,$N$19:$N$1518,1)-1)/($G$16-1)*100))</f>
        <v/>
      </c>
      <c r="S984" s="11">
        <f>IF(COUNT(O984:R984)=4,ROUND(AVERAGE(O984:R984),6),"")</f>
        <v/>
      </c>
      <c r="U984">
        <f>IF(AND(ISNUMBER('자료_한국심리'!$A968),ISNUMBER('자료_한국심리'!$B968)),'자료_한국심리'!$A968,"")</f>
        <v/>
      </c>
      <c r="V984">
        <f>IF(AND(ISNUMBER('자료_한국심리'!$D968),ISNUMBER('자료_한국심리'!$E968)),'자료_한국심리'!$D968,"")</f>
        <v/>
      </c>
      <c r="W984">
        <f>IF(AND(ISNUMBER('자료_한국심리'!$G968),ISNUMBER('자료_한국심리'!$H968)),'자료_한국심리'!$G968,"")</f>
        <v/>
      </c>
      <c r="X984">
        <f>IF(AND(ISNUMBER('자료_한국심리'!$J968),ISNUMBER('자료_한국심리'!$K968)),'자료_한국심리'!$J968,"")</f>
        <v/>
      </c>
      <c r="Y984">
        <f>IF(AND(ISNUMBER('자료_한국심리'!$M968),ISNUMBER('자료_한국심리'!$N968)),'자료_한국심리'!$M968,"")</f>
        <v/>
      </c>
    </row>
    <row r="985">
      <c r="A985" s="10">
        <f>IF(967&gt;$E$5,"",SMALL($U$19:$U$4018,$E$6+967))</f>
        <v/>
      </c>
      <c r="B985" s="29">
        <f>IF(A985="","",INDEX('자료_한국심리'!$B$3:$B$4002,MATCH(A985,$U$19:$U$4018,0)))</f>
        <v/>
      </c>
      <c r="C985" s="22">
        <f>IF(A985="","",B985/AVERAGE(B861:B985)-1)</f>
        <v/>
      </c>
      <c r="D985" s="29">
        <f>IF(A985="","",IFERROR(INDEX('자료_한국심리'!$E$3:$E$4002,MATCH(A985,$V$19:$V$4018,0)),D984))</f>
        <v/>
      </c>
      <c r="E985" s="30">
        <f>IF(A985="","",IFERROR(INDEX('자료_한국심리'!$H$3:$H$4002,MATCH(A985,$W$19:$W$4018,0)),E984))</f>
        <v/>
      </c>
      <c r="F985" s="30">
        <f>IF(A985="","",IFERROR(INDEX('자료_한국심리'!$K$3:$K$4002,MATCH(A985,$X$19:$X$4018,0)),F984))</f>
        <v/>
      </c>
      <c r="G985" s="30">
        <f>IF(AND(ISNUMBER(E985),ISNUMBER(F985)),ROUND(E985-F985,6),"")</f>
        <v/>
      </c>
      <c r="H985" s="25">
        <f>IF(A985="","",IFERROR(INDEX('자료_한국심리'!$N$3:$N$4002,MATCH(A985,$Y$19:$Y$4018,0)),H984))</f>
        <v/>
      </c>
      <c r="I985" s="31">
        <f>IF(AND(ISNUMBER(H985),ISNUMBER(H965)),IF(H965&gt;0,H985/H965-1,""),"")</f>
        <v/>
      </c>
      <c r="J985">
        <f>IF(A985="",0,IF(A985&gt;$B$5,1,0))</f>
        <v/>
      </c>
      <c r="K985" s="29">
        <f>IF(AND(J985=1,ISNUMBER(D985)),D985,"")</f>
        <v/>
      </c>
      <c r="L985" s="30">
        <f>IF(AND(J985=1,ISNUMBER(G985)),G985,"")</f>
        <v/>
      </c>
      <c r="M985" s="22">
        <f>IF(AND(J985=1,ISNUMBER(C985)),C985,"")</f>
        <v/>
      </c>
      <c r="N985" s="31">
        <f>IF(AND(J985=1,ISNUMBER(I985)),I985,"")</f>
        <v/>
      </c>
      <c r="O985" s="11">
        <f>IF(K985="","",100-IF($G$13=1,50,(_xlfn.RANK.AVG(K985,$K$19:$K$1518,1)-1)/($G$13-1)*100))</f>
        <v/>
      </c>
      <c r="P985" s="11">
        <f>IF(L985="","",100-IF($G$14=1,50,(_xlfn.RANK.AVG(L985,$L$19:$L$1518,1)-1)/($G$14-1)*100))</f>
        <v/>
      </c>
      <c r="Q985" s="11">
        <f>IF(M985="","",IF($G$15=1,50,(_xlfn.RANK.AVG(M985,$M$19:$M$1518,1)-1)/($G$15-1)*100))</f>
        <v/>
      </c>
      <c r="R985" s="11">
        <f>IF(N985="","",IF($G$16=1,50,(_xlfn.RANK.AVG(N985,$N$19:$N$1518,1)-1)/($G$16-1)*100))</f>
        <v/>
      </c>
      <c r="S985" s="11">
        <f>IF(COUNT(O985:R985)=4,ROUND(AVERAGE(O985:R985),6),"")</f>
        <v/>
      </c>
      <c r="U985">
        <f>IF(AND(ISNUMBER('자료_한국심리'!$A969),ISNUMBER('자료_한국심리'!$B969)),'자료_한국심리'!$A969,"")</f>
        <v/>
      </c>
      <c r="V985">
        <f>IF(AND(ISNUMBER('자료_한국심리'!$D969),ISNUMBER('자료_한국심리'!$E969)),'자료_한국심리'!$D969,"")</f>
        <v/>
      </c>
      <c r="W985">
        <f>IF(AND(ISNUMBER('자료_한국심리'!$G969),ISNUMBER('자료_한국심리'!$H969)),'자료_한국심리'!$G969,"")</f>
        <v/>
      </c>
      <c r="X985">
        <f>IF(AND(ISNUMBER('자료_한국심리'!$J969),ISNUMBER('자료_한국심리'!$K969)),'자료_한국심리'!$J969,"")</f>
        <v/>
      </c>
      <c r="Y985">
        <f>IF(AND(ISNUMBER('자료_한국심리'!$M969),ISNUMBER('자료_한국심리'!$N969)),'자료_한국심리'!$M969,"")</f>
        <v/>
      </c>
    </row>
    <row r="986">
      <c r="A986" s="10">
        <f>IF(968&gt;$E$5,"",SMALL($U$19:$U$4018,$E$6+968))</f>
        <v/>
      </c>
      <c r="B986" s="29">
        <f>IF(A986="","",INDEX('자료_한국심리'!$B$3:$B$4002,MATCH(A986,$U$19:$U$4018,0)))</f>
        <v/>
      </c>
      <c r="C986" s="22">
        <f>IF(A986="","",B986/AVERAGE(B862:B986)-1)</f>
        <v/>
      </c>
      <c r="D986" s="29">
        <f>IF(A986="","",IFERROR(INDEX('자료_한국심리'!$E$3:$E$4002,MATCH(A986,$V$19:$V$4018,0)),D985))</f>
        <v/>
      </c>
      <c r="E986" s="30">
        <f>IF(A986="","",IFERROR(INDEX('자료_한국심리'!$H$3:$H$4002,MATCH(A986,$W$19:$W$4018,0)),E985))</f>
        <v/>
      </c>
      <c r="F986" s="30">
        <f>IF(A986="","",IFERROR(INDEX('자료_한국심리'!$K$3:$K$4002,MATCH(A986,$X$19:$X$4018,0)),F985))</f>
        <v/>
      </c>
      <c r="G986" s="30">
        <f>IF(AND(ISNUMBER(E986),ISNUMBER(F986)),ROUND(E986-F986,6),"")</f>
        <v/>
      </c>
      <c r="H986" s="25">
        <f>IF(A986="","",IFERROR(INDEX('자료_한국심리'!$N$3:$N$4002,MATCH(A986,$Y$19:$Y$4018,0)),H985))</f>
        <v/>
      </c>
      <c r="I986" s="31">
        <f>IF(AND(ISNUMBER(H986),ISNUMBER(H966)),IF(H966&gt;0,H986/H966-1,""),"")</f>
        <v/>
      </c>
      <c r="J986">
        <f>IF(A986="",0,IF(A986&gt;$B$5,1,0))</f>
        <v/>
      </c>
      <c r="K986" s="29">
        <f>IF(AND(J986=1,ISNUMBER(D986)),D986,"")</f>
        <v/>
      </c>
      <c r="L986" s="30">
        <f>IF(AND(J986=1,ISNUMBER(G986)),G986,"")</f>
        <v/>
      </c>
      <c r="M986" s="22">
        <f>IF(AND(J986=1,ISNUMBER(C986)),C986,"")</f>
        <v/>
      </c>
      <c r="N986" s="31">
        <f>IF(AND(J986=1,ISNUMBER(I986)),I986,"")</f>
        <v/>
      </c>
      <c r="O986" s="11">
        <f>IF(K986="","",100-IF($G$13=1,50,(_xlfn.RANK.AVG(K986,$K$19:$K$1518,1)-1)/($G$13-1)*100))</f>
        <v/>
      </c>
      <c r="P986" s="11">
        <f>IF(L986="","",100-IF($G$14=1,50,(_xlfn.RANK.AVG(L986,$L$19:$L$1518,1)-1)/($G$14-1)*100))</f>
        <v/>
      </c>
      <c r="Q986" s="11">
        <f>IF(M986="","",IF($G$15=1,50,(_xlfn.RANK.AVG(M986,$M$19:$M$1518,1)-1)/($G$15-1)*100))</f>
        <v/>
      </c>
      <c r="R986" s="11">
        <f>IF(N986="","",IF($G$16=1,50,(_xlfn.RANK.AVG(N986,$N$19:$N$1518,1)-1)/($G$16-1)*100))</f>
        <v/>
      </c>
      <c r="S986" s="11">
        <f>IF(COUNT(O986:R986)=4,ROUND(AVERAGE(O986:R986),6),"")</f>
        <v/>
      </c>
      <c r="U986">
        <f>IF(AND(ISNUMBER('자료_한국심리'!$A970),ISNUMBER('자료_한국심리'!$B970)),'자료_한국심리'!$A970,"")</f>
        <v/>
      </c>
      <c r="V986">
        <f>IF(AND(ISNUMBER('자료_한국심리'!$D970),ISNUMBER('자료_한국심리'!$E970)),'자료_한국심리'!$D970,"")</f>
        <v/>
      </c>
      <c r="W986">
        <f>IF(AND(ISNUMBER('자료_한국심리'!$G970),ISNUMBER('자료_한국심리'!$H970)),'자료_한국심리'!$G970,"")</f>
        <v/>
      </c>
      <c r="X986">
        <f>IF(AND(ISNUMBER('자료_한국심리'!$J970),ISNUMBER('자료_한국심리'!$K970)),'자료_한국심리'!$J970,"")</f>
        <v/>
      </c>
      <c r="Y986">
        <f>IF(AND(ISNUMBER('자료_한국심리'!$M970),ISNUMBER('자료_한국심리'!$N970)),'자료_한국심리'!$M970,"")</f>
        <v/>
      </c>
    </row>
    <row r="987">
      <c r="A987" s="10">
        <f>IF(969&gt;$E$5,"",SMALL($U$19:$U$4018,$E$6+969))</f>
        <v/>
      </c>
      <c r="B987" s="29">
        <f>IF(A987="","",INDEX('자료_한국심리'!$B$3:$B$4002,MATCH(A987,$U$19:$U$4018,0)))</f>
        <v/>
      </c>
      <c r="C987" s="22">
        <f>IF(A987="","",B987/AVERAGE(B863:B987)-1)</f>
        <v/>
      </c>
      <c r="D987" s="29">
        <f>IF(A987="","",IFERROR(INDEX('자료_한국심리'!$E$3:$E$4002,MATCH(A987,$V$19:$V$4018,0)),D986))</f>
        <v/>
      </c>
      <c r="E987" s="30">
        <f>IF(A987="","",IFERROR(INDEX('자료_한국심리'!$H$3:$H$4002,MATCH(A987,$W$19:$W$4018,0)),E986))</f>
        <v/>
      </c>
      <c r="F987" s="30">
        <f>IF(A987="","",IFERROR(INDEX('자료_한국심리'!$K$3:$K$4002,MATCH(A987,$X$19:$X$4018,0)),F986))</f>
        <v/>
      </c>
      <c r="G987" s="30">
        <f>IF(AND(ISNUMBER(E987),ISNUMBER(F987)),ROUND(E987-F987,6),"")</f>
        <v/>
      </c>
      <c r="H987" s="25">
        <f>IF(A987="","",IFERROR(INDEX('자료_한국심리'!$N$3:$N$4002,MATCH(A987,$Y$19:$Y$4018,0)),H986))</f>
        <v/>
      </c>
      <c r="I987" s="31">
        <f>IF(AND(ISNUMBER(H987),ISNUMBER(H967)),IF(H967&gt;0,H987/H967-1,""),"")</f>
        <v/>
      </c>
      <c r="J987">
        <f>IF(A987="",0,IF(A987&gt;$B$5,1,0))</f>
        <v/>
      </c>
      <c r="K987" s="29">
        <f>IF(AND(J987=1,ISNUMBER(D987)),D987,"")</f>
        <v/>
      </c>
      <c r="L987" s="30">
        <f>IF(AND(J987=1,ISNUMBER(G987)),G987,"")</f>
        <v/>
      </c>
      <c r="M987" s="22">
        <f>IF(AND(J987=1,ISNUMBER(C987)),C987,"")</f>
        <v/>
      </c>
      <c r="N987" s="31">
        <f>IF(AND(J987=1,ISNUMBER(I987)),I987,"")</f>
        <v/>
      </c>
      <c r="O987" s="11">
        <f>IF(K987="","",100-IF($G$13=1,50,(_xlfn.RANK.AVG(K987,$K$19:$K$1518,1)-1)/($G$13-1)*100))</f>
        <v/>
      </c>
      <c r="P987" s="11">
        <f>IF(L987="","",100-IF($G$14=1,50,(_xlfn.RANK.AVG(L987,$L$19:$L$1518,1)-1)/($G$14-1)*100))</f>
        <v/>
      </c>
      <c r="Q987" s="11">
        <f>IF(M987="","",IF($G$15=1,50,(_xlfn.RANK.AVG(M987,$M$19:$M$1518,1)-1)/($G$15-1)*100))</f>
        <v/>
      </c>
      <c r="R987" s="11">
        <f>IF(N987="","",IF($G$16=1,50,(_xlfn.RANK.AVG(N987,$N$19:$N$1518,1)-1)/($G$16-1)*100))</f>
        <v/>
      </c>
      <c r="S987" s="11">
        <f>IF(COUNT(O987:R987)=4,ROUND(AVERAGE(O987:R987),6),"")</f>
        <v/>
      </c>
      <c r="U987">
        <f>IF(AND(ISNUMBER('자료_한국심리'!$A971),ISNUMBER('자료_한국심리'!$B971)),'자료_한국심리'!$A971,"")</f>
        <v/>
      </c>
      <c r="V987">
        <f>IF(AND(ISNUMBER('자료_한국심리'!$D971),ISNUMBER('자료_한국심리'!$E971)),'자료_한국심리'!$D971,"")</f>
        <v/>
      </c>
      <c r="W987">
        <f>IF(AND(ISNUMBER('자료_한국심리'!$G971),ISNUMBER('자료_한국심리'!$H971)),'자료_한국심리'!$G971,"")</f>
        <v/>
      </c>
      <c r="X987">
        <f>IF(AND(ISNUMBER('자료_한국심리'!$J971),ISNUMBER('자료_한국심리'!$K971)),'자료_한국심리'!$J971,"")</f>
        <v/>
      </c>
      <c r="Y987">
        <f>IF(AND(ISNUMBER('자료_한국심리'!$M971),ISNUMBER('자료_한국심리'!$N971)),'자료_한국심리'!$M971,"")</f>
        <v/>
      </c>
    </row>
    <row r="988">
      <c r="A988" s="10">
        <f>IF(970&gt;$E$5,"",SMALL($U$19:$U$4018,$E$6+970))</f>
        <v/>
      </c>
      <c r="B988" s="29">
        <f>IF(A988="","",INDEX('자료_한국심리'!$B$3:$B$4002,MATCH(A988,$U$19:$U$4018,0)))</f>
        <v/>
      </c>
      <c r="C988" s="22">
        <f>IF(A988="","",B988/AVERAGE(B864:B988)-1)</f>
        <v/>
      </c>
      <c r="D988" s="29">
        <f>IF(A988="","",IFERROR(INDEX('자료_한국심리'!$E$3:$E$4002,MATCH(A988,$V$19:$V$4018,0)),D987))</f>
        <v/>
      </c>
      <c r="E988" s="30">
        <f>IF(A988="","",IFERROR(INDEX('자료_한국심리'!$H$3:$H$4002,MATCH(A988,$W$19:$W$4018,0)),E987))</f>
        <v/>
      </c>
      <c r="F988" s="30">
        <f>IF(A988="","",IFERROR(INDEX('자료_한국심리'!$K$3:$K$4002,MATCH(A988,$X$19:$X$4018,0)),F987))</f>
        <v/>
      </c>
      <c r="G988" s="30">
        <f>IF(AND(ISNUMBER(E988),ISNUMBER(F988)),ROUND(E988-F988,6),"")</f>
        <v/>
      </c>
      <c r="H988" s="25">
        <f>IF(A988="","",IFERROR(INDEX('자료_한국심리'!$N$3:$N$4002,MATCH(A988,$Y$19:$Y$4018,0)),H987))</f>
        <v/>
      </c>
      <c r="I988" s="31">
        <f>IF(AND(ISNUMBER(H988),ISNUMBER(H968)),IF(H968&gt;0,H988/H968-1,""),"")</f>
        <v/>
      </c>
      <c r="J988">
        <f>IF(A988="",0,IF(A988&gt;$B$5,1,0))</f>
        <v/>
      </c>
      <c r="K988" s="29">
        <f>IF(AND(J988=1,ISNUMBER(D988)),D988,"")</f>
        <v/>
      </c>
      <c r="L988" s="30">
        <f>IF(AND(J988=1,ISNUMBER(G988)),G988,"")</f>
        <v/>
      </c>
      <c r="M988" s="22">
        <f>IF(AND(J988=1,ISNUMBER(C988)),C988,"")</f>
        <v/>
      </c>
      <c r="N988" s="31">
        <f>IF(AND(J988=1,ISNUMBER(I988)),I988,"")</f>
        <v/>
      </c>
      <c r="O988" s="11">
        <f>IF(K988="","",100-IF($G$13=1,50,(_xlfn.RANK.AVG(K988,$K$19:$K$1518,1)-1)/($G$13-1)*100))</f>
        <v/>
      </c>
      <c r="P988" s="11">
        <f>IF(L988="","",100-IF($G$14=1,50,(_xlfn.RANK.AVG(L988,$L$19:$L$1518,1)-1)/($G$14-1)*100))</f>
        <v/>
      </c>
      <c r="Q988" s="11">
        <f>IF(M988="","",IF($G$15=1,50,(_xlfn.RANK.AVG(M988,$M$19:$M$1518,1)-1)/($G$15-1)*100))</f>
        <v/>
      </c>
      <c r="R988" s="11">
        <f>IF(N988="","",IF($G$16=1,50,(_xlfn.RANK.AVG(N988,$N$19:$N$1518,1)-1)/($G$16-1)*100))</f>
        <v/>
      </c>
      <c r="S988" s="11">
        <f>IF(COUNT(O988:R988)=4,ROUND(AVERAGE(O988:R988),6),"")</f>
        <v/>
      </c>
      <c r="U988">
        <f>IF(AND(ISNUMBER('자료_한국심리'!$A972),ISNUMBER('자료_한국심리'!$B972)),'자료_한국심리'!$A972,"")</f>
        <v/>
      </c>
      <c r="V988">
        <f>IF(AND(ISNUMBER('자료_한국심리'!$D972),ISNUMBER('자료_한국심리'!$E972)),'자료_한국심리'!$D972,"")</f>
        <v/>
      </c>
      <c r="W988">
        <f>IF(AND(ISNUMBER('자료_한국심리'!$G972),ISNUMBER('자료_한국심리'!$H972)),'자료_한국심리'!$G972,"")</f>
        <v/>
      </c>
      <c r="X988">
        <f>IF(AND(ISNUMBER('자료_한국심리'!$J972),ISNUMBER('자료_한국심리'!$K972)),'자료_한국심리'!$J972,"")</f>
        <v/>
      </c>
      <c r="Y988">
        <f>IF(AND(ISNUMBER('자료_한국심리'!$M972),ISNUMBER('자료_한국심리'!$N972)),'자료_한국심리'!$M972,"")</f>
        <v/>
      </c>
    </row>
    <row r="989">
      <c r="A989" s="10">
        <f>IF(971&gt;$E$5,"",SMALL($U$19:$U$4018,$E$6+971))</f>
        <v/>
      </c>
      <c r="B989" s="29">
        <f>IF(A989="","",INDEX('자료_한국심리'!$B$3:$B$4002,MATCH(A989,$U$19:$U$4018,0)))</f>
        <v/>
      </c>
      <c r="C989" s="22">
        <f>IF(A989="","",B989/AVERAGE(B865:B989)-1)</f>
        <v/>
      </c>
      <c r="D989" s="29">
        <f>IF(A989="","",IFERROR(INDEX('자료_한국심리'!$E$3:$E$4002,MATCH(A989,$V$19:$V$4018,0)),D988))</f>
        <v/>
      </c>
      <c r="E989" s="30">
        <f>IF(A989="","",IFERROR(INDEX('자료_한국심리'!$H$3:$H$4002,MATCH(A989,$W$19:$W$4018,0)),E988))</f>
        <v/>
      </c>
      <c r="F989" s="30">
        <f>IF(A989="","",IFERROR(INDEX('자료_한국심리'!$K$3:$K$4002,MATCH(A989,$X$19:$X$4018,0)),F988))</f>
        <v/>
      </c>
      <c r="G989" s="30">
        <f>IF(AND(ISNUMBER(E989),ISNUMBER(F989)),ROUND(E989-F989,6),"")</f>
        <v/>
      </c>
      <c r="H989" s="25">
        <f>IF(A989="","",IFERROR(INDEX('자료_한국심리'!$N$3:$N$4002,MATCH(A989,$Y$19:$Y$4018,0)),H988))</f>
        <v/>
      </c>
      <c r="I989" s="31">
        <f>IF(AND(ISNUMBER(H989),ISNUMBER(H969)),IF(H969&gt;0,H989/H969-1,""),"")</f>
        <v/>
      </c>
      <c r="J989">
        <f>IF(A989="",0,IF(A989&gt;$B$5,1,0))</f>
        <v/>
      </c>
      <c r="K989" s="29">
        <f>IF(AND(J989=1,ISNUMBER(D989)),D989,"")</f>
        <v/>
      </c>
      <c r="L989" s="30">
        <f>IF(AND(J989=1,ISNUMBER(G989)),G989,"")</f>
        <v/>
      </c>
      <c r="M989" s="22">
        <f>IF(AND(J989=1,ISNUMBER(C989)),C989,"")</f>
        <v/>
      </c>
      <c r="N989" s="31">
        <f>IF(AND(J989=1,ISNUMBER(I989)),I989,"")</f>
        <v/>
      </c>
      <c r="O989" s="11">
        <f>IF(K989="","",100-IF($G$13=1,50,(_xlfn.RANK.AVG(K989,$K$19:$K$1518,1)-1)/($G$13-1)*100))</f>
        <v/>
      </c>
      <c r="P989" s="11">
        <f>IF(L989="","",100-IF($G$14=1,50,(_xlfn.RANK.AVG(L989,$L$19:$L$1518,1)-1)/($G$14-1)*100))</f>
        <v/>
      </c>
      <c r="Q989" s="11">
        <f>IF(M989="","",IF($G$15=1,50,(_xlfn.RANK.AVG(M989,$M$19:$M$1518,1)-1)/($G$15-1)*100))</f>
        <v/>
      </c>
      <c r="R989" s="11">
        <f>IF(N989="","",IF($G$16=1,50,(_xlfn.RANK.AVG(N989,$N$19:$N$1518,1)-1)/($G$16-1)*100))</f>
        <v/>
      </c>
      <c r="S989" s="11">
        <f>IF(COUNT(O989:R989)=4,ROUND(AVERAGE(O989:R989),6),"")</f>
        <v/>
      </c>
      <c r="U989">
        <f>IF(AND(ISNUMBER('자료_한국심리'!$A973),ISNUMBER('자료_한국심리'!$B973)),'자료_한국심리'!$A973,"")</f>
        <v/>
      </c>
      <c r="V989">
        <f>IF(AND(ISNUMBER('자료_한국심리'!$D973),ISNUMBER('자료_한국심리'!$E973)),'자료_한국심리'!$D973,"")</f>
        <v/>
      </c>
      <c r="W989">
        <f>IF(AND(ISNUMBER('자료_한국심리'!$G973),ISNUMBER('자료_한국심리'!$H973)),'자료_한국심리'!$G973,"")</f>
        <v/>
      </c>
      <c r="X989">
        <f>IF(AND(ISNUMBER('자료_한국심리'!$J973),ISNUMBER('자료_한국심리'!$K973)),'자료_한국심리'!$J973,"")</f>
        <v/>
      </c>
      <c r="Y989">
        <f>IF(AND(ISNUMBER('자료_한국심리'!$M973),ISNUMBER('자료_한국심리'!$N973)),'자료_한국심리'!$M973,"")</f>
        <v/>
      </c>
    </row>
    <row r="990">
      <c r="A990" s="10">
        <f>IF(972&gt;$E$5,"",SMALL($U$19:$U$4018,$E$6+972))</f>
        <v/>
      </c>
      <c r="B990" s="29">
        <f>IF(A990="","",INDEX('자료_한국심리'!$B$3:$B$4002,MATCH(A990,$U$19:$U$4018,0)))</f>
        <v/>
      </c>
      <c r="C990" s="22">
        <f>IF(A990="","",B990/AVERAGE(B866:B990)-1)</f>
        <v/>
      </c>
      <c r="D990" s="29">
        <f>IF(A990="","",IFERROR(INDEX('자료_한국심리'!$E$3:$E$4002,MATCH(A990,$V$19:$V$4018,0)),D989))</f>
        <v/>
      </c>
      <c r="E990" s="30">
        <f>IF(A990="","",IFERROR(INDEX('자료_한국심리'!$H$3:$H$4002,MATCH(A990,$W$19:$W$4018,0)),E989))</f>
        <v/>
      </c>
      <c r="F990" s="30">
        <f>IF(A990="","",IFERROR(INDEX('자료_한국심리'!$K$3:$K$4002,MATCH(A990,$X$19:$X$4018,0)),F989))</f>
        <v/>
      </c>
      <c r="G990" s="30">
        <f>IF(AND(ISNUMBER(E990),ISNUMBER(F990)),ROUND(E990-F990,6),"")</f>
        <v/>
      </c>
      <c r="H990" s="25">
        <f>IF(A990="","",IFERROR(INDEX('자료_한국심리'!$N$3:$N$4002,MATCH(A990,$Y$19:$Y$4018,0)),H989))</f>
        <v/>
      </c>
      <c r="I990" s="31">
        <f>IF(AND(ISNUMBER(H990),ISNUMBER(H970)),IF(H970&gt;0,H990/H970-1,""),"")</f>
        <v/>
      </c>
      <c r="J990">
        <f>IF(A990="",0,IF(A990&gt;$B$5,1,0))</f>
        <v/>
      </c>
      <c r="K990" s="29">
        <f>IF(AND(J990=1,ISNUMBER(D990)),D990,"")</f>
        <v/>
      </c>
      <c r="L990" s="30">
        <f>IF(AND(J990=1,ISNUMBER(G990)),G990,"")</f>
        <v/>
      </c>
      <c r="M990" s="22">
        <f>IF(AND(J990=1,ISNUMBER(C990)),C990,"")</f>
        <v/>
      </c>
      <c r="N990" s="31">
        <f>IF(AND(J990=1,ISNUMBER(I990)),I990,"")</f>
        <v/>
      </c>
      <c r="O990" s="11">
        <f>IF(K990="","",100-IF($G$13=1,50,(_xlfn.RANK.AVG(K990,$K$19:$K$1518,1)-1)/($G$13-1)*100))</f>
        <v/>
      </c>
      <c r="P990" s="11">
        <f>IF(L990="","",100-IF($G$14=1,50,(_xlfn.RANK.AVG(L990,$L$19:$L$1518,1)-1)/($G$14-1)*100))</f>
        <v/>
      </c>
      <c r="Q990" s="11">
        <f>IF(M990="","",IF($G$15=1,50,(_xlfn.RANK.AVG(M990,$M$19:$M$1518,1)-1)/($G$15-1)*100))</f>
        <v/>
      </c>
      <c r="R990" s="11">
        <f>IF(N990="","",IF($G$16=1,50,(_xlfn.RANK.AVG(N990,$N$19:$N$1518,1)-1)/($G$16-1)*100))</f>
        <v/>
      </c>
      <c r="S990" s="11">
        <f>IF(COUNT(O990:R990)=4,ROUND(AVERAGE(O990:R990),6),"")</f>
        <v/>
      </c>
      <c r="U990">
        <f>IF(AND(ISNUMBER('자료_한국심리'!$A974),ISNUMBER('자료_한국심리'!$B974)),'자료_한국심리'!$A974,"")</f>
        <v/>
      </c>
      <c r="V990">
        <f>IF(AND(ISNUMBER('자료_한국심리'!$D974),ISNUMBER('자료_한국심리'!$E974)),'자료_한국심리'!$D974,"")</f>
        <v/>
      </c>
      <c r="W990">
        <f>IF(AND(ISNUMBER('자료_한국심리'!$G974),ISNUMBER('자료_한국심리'!$H974)),'자료_한국심리'!$G974,"")</f>
        <v/>
      </c>
      <c r="X990">
        <f>IF(AND(ISNUMBER('자료_한국심리'!$J974),ISNUMBER('자료_한국심리'!$K974)),'자료_한국심리'!$J974,"")</f>
        <v/>
      </c>
      <c r="Y990">
        <f>IF(AND(ISNUMBER('자료_한국심리'!$M974),ISNUMBER('자료_한국심리'!$N974)),'자료_한국심리'!$M974,"")</f>
        <v/>
      </c>
    </row>
    <row r="991">
      <c r="A991" s="10">
        <f>IF(973&gt;$E$5,"",SMALL($U$19:$U$4018,$E$6+973))</f>
        <v/>
      </c>
      <c r="B991" s="29">
        <f>IF(A991="","",INDEX('자료_한국심리'!$B$3:$B$4002,MATCH(A991,$U$19:$U$4018,0)))</f>
        <v/>
      </c>
      <c r="C991" s="22">
        <f>IF(A991="","",B991/AVERAGE(B867:B991)-1)</f>
        <v/>
      </c>
      <c r="D991" s="29">
        <f>IF(A991="","",IFERROR(INDEX('자료_한국심리'!$E$3:$E$4002,MATCH(A991,$V$19:$V$4018,0)),D990))</f>
        <v/>
      </c>
      <c r="E991" s="30">
        <f>IF(A991="","",IFERROR(INDEX('자료_한국심리'!$H$3:$H$4002,MATCH(A991,$W$19:$W$4018,0)),E990))</f>
        <v/>
      </c>
      <c r="F991" s="30">
        <f>IF(A991="","",IFERROR(INDEX('자료_한국심리'!$K$3:$K$4002,MATCH(A991,$X$19:$X$4018,0)),F990))</f>
        <v/>
      </c>
      <c r="G991" s="30">
        <f>IF(AND(ISNUMBER(E991),ISNUMBER(F991)),ROUND(E991-F991,6),"")</f>
        <v/>
      </c>
      <c r="H991" s="25">
        <f>IF(A991="","",IFERROR(INDEX('자료_한국심리'!$N$3:$N$4002,MATCH(A991,$Y$19:$Y$4018,0)),H990))</f>
        <v/>
      </c>
      <c r="I991" s="31">
        <f>IF(AND(ISNUMBER(H991),ISNUMBER(H971)),IF(H971&gt;0,H991/H971-1,""),"")</f>
        <v/>
      </c>
      <c r="J991">
        <f>IF(A991="",0,IF(A991&gt;$B$5,1,0))</f>
        <v/>
      </c>
      <c r="K991" s="29">
        <f>IF(AND(J991=1,ISNUMBER(D991)),D991,"")</f>
        <v/>
      </c>
      <c r="L991" s="30">
        <f>IF(AND(J991=1,ISNUMBER(G991)),G991,"")</f>
        <v/>
      </c>
      <c r="M991" s="22">
        <f>IF(AND(J991=1,ISNUMBER(C991)),C991,"")</f>
        <v/>
      </c>
      <c r="N991" s="31">
        <f>IF(AND(J991=1,ISNUMBER(I991)),I991,"")</f>
        <v/>
      </c>
      <c r="O991" s="11">
        <f>IF(K991="","",100-IF($G$13=1,50,(_xlfn.RANK.AVG(K991,$K$19:$K$1518,1)-1)/($G$13-1)*100))</f>
        <v/>
      </c>
      <c r="P991" s="11">
        <f>IF(L991="","",100-IF($G$14=1,50,(_xlfn.RANK.AVG(L991,$L$19:$L$1518,1)-1)/($G$14-1)*100))</f>
        <v/>
      </c>
      <c r="Q991" s="11">
        <f>IF(M991="","",IF($G$15=1,50,(_xlfn.RANK.AVG(M991,$M$19:$M$1518,1)-1)/($G$15-1)*100))</f>
        <v/>
      </c>
      <c r="R991" s="11">
        <f>IF(N991="","",IF($G$16=1,50,(_xlfn.RANK.AVG(N991,$N$19:$N$1518,1)-1)/($G$16-1)*100))</f>
        <v/>
      </c>
      <c r="S991" s="11">
        <f>IF(COUNT(O991:R991)=4,ROUND(AVERAGE(O991:R991),6),"")</f>
        <v/>
      </c>
      <c r="U991">
        <f>IF(AND(ISNUMBER('자료_한국심리'!$A975),ISNUMBER('자료_한국심리'!$B975)),'자료_한국심리'!$A975,"")</f>
        <v/>
      </c>
      <c r="V991">
        <f>IF(AND(ISNUMBER('자료_한국심리'!$D975),ISNUMBER('자료_한국심리'!$E975)),'자료_한국심리'!$D975,"")</f>
        <v/>
      </c>
      <c r="W991">
        <f>IF(AND(ISNUMBER('자료_한국심리'!$G975),ISNUMBER('자료_한국심리'!$H975)),'자료_한국심리'!$G975,"")</f>
        <v/>
      </c>
      <c r="X991">
        <f>IF(AND(ISNUMBER('자료_한국심리'!$J975),ISNUMBER('자료_한국심리'!$K975)),'자료_한국심리'!$J975,"")</f>
        <v/>
      </c>
      <c r="Y991">
        <f>IF(AND(ISNUMBER('자료_한국심리'!$M975),ISNUMBER('자료_한국심리'!$N975)),'자료_한국심리'!$M975,"")</f>
        <v/>
      </c>
    </row>
    <row r="992">
      <c r="A992" s="10">
        <f>IF(974&gt;$E$5,"",SMALL($U$19:$U$4018,$E$6+974))</f>
        <v/>
      </c>
      <c r="B992" s="29">
        <f>IF(A992="","",INDEX('자료_한국심리'!$B$3:$B$4002,MATCH(A992,$U$19:$U$4018,0)))</f>
        <v/>
      </c>
      <c r="C992" s="22">
        <f>IF(A992="","",B992/AVERAGE(B868:B992)-1)</f>
        <v/>
      </c>
      <c r="D992" s="29">
        <f>IF(A992="","",IFERROR(INDEX('자료_한국심리'!$E$3:$E$4002,MATCH(A992,$V$19:$V$4018,0)),D991))</f>
        <v/>
      </c>
      <c r="E992" s="30">
        <f>IF(A992="","",IFERROR(INDEX('자료_한국심리'!$H$3:$H$4002,MATCH(A992,$W$19:$W$4018,0)),E991))</f>
        <v/>
      </c>
      <c r="F992" s="30">
        <f>IF(A992="","",IFERROR(INDEX('자료_한국심리'!$K$3:$K$4002,MATCH(A992,$X$19:$X$4018,0)),F991))</f>
        <v/>
      </c>
      <c r="G992" s="30">
        <f>IF(AND(ISNUMBER(E992),ISNUMBER(F992)),ROUND(E992-F992,6),"")</f>
        <v/>
      </c>
      <c r="H992" s="25">
        <f>IF(A992="","",IFERROR(INDEX('자료_한국심리'!$N$3:$N$4002,MATCH(A992,$Y$19:$Y$4018,0)),H991))</f>
        <v/>
      </c>
      <c r="I992" s="31">
        <f>IF(AND(ISNUMBER(H992),ISNUMBER(H972)),IF(H972&gt;0,H992/H972-1,""),"")</f>
        <v/>
      </c>
      <c r="J992">
        <f>IF(A992="",0,IF(A992&gt;$B$5,1,0))</f>
        <v/>
      </c>
      <c r="K992" s="29">
        <f>IF(AND(J992=1,ISNUMBER(D992)),D992,"")</f>
        <v/>
      </c>
      <c r="L992" s="30">
        <f>IF(AND(J992=1,ISNUMBER(G992)),G992,"")</f>
        <v/>
      </c>
      <c r="M992" s="22">
        <f>IF(AND(J992=1,ISNUMBER(C992)),C992,"")</f>
        <v/>
      </c>
      <c r="N992" s="31">
        <f>IF(AND(J992=1,ISNUMBER(I992)),I992,"")</f>
        <v/>
      </c>
      <c r="O992" s="11">
        <f>IF(K992="","",100-IF($G$13=1,50,(_xlfn.RANK.AVG(K992,$K$19:$K$1518,1)-1)/($G$13-1)*100))</f>
        <v/>
      </c>
      <c r="P992" s="11">
        <f>IF(L992="","",100-IF($G$14=1,50,(_xlfn.RANK.AVG(L992,$L$19:$L$1518,1)-1)/($G$14-1)*100))</f>
        <v/>
      </c>
      <c r="Q992" s="11">
        <f>IF(M992="","",IF($G$15=1,50,(_xlfn.RANK.AVG(M992,$M$19:$M$1518,1)-1)/($G$15-1)*100))</f>
        <v/>
      </c>
      <c r="R992" s="11">
        <f>IF(N992="","",IF($G$16=1,50,(_xlfn.RANK.AVG(N992,$N$19:$N$1518,1)-1)/($G$16-1)*100))</f>
        <v/>
      </c>
      <c r="S992" s="11">
        <f>IF(COUNT(O992:R992)=4,ROUND(AVERAGE(O992:R992),6),"")</f>
        <v/>
      </c>
      <c r="U992">
        <f>IF(AND(ISNUMBER('자료_한국심리'!$A976),ISNUMBER('자료_한국심리'!$B976)),'자료_한국심리'!$A976,"")</f>
        <v/>
      </c>
      <c r="V992">
        <f>IF(AND(ISNUMBER('자료_한국심리'!$D976),ISNUMBER('자료_한국심리'!$E976)),'자료_한국심리'!$D976,"")</f>
        <v/>
      </c>
      <c r="W992">
        <f>IF(AND(ISNUMBER('자료_한국심리'!$G976),ISNUMBER('자료_한국심리'!$H976)),'자료_한국심리'!$G976,"")</f>
        <v/>
      </c>
      <c r="X992">
        <f>IF(AND(ISNUMBER('자료_한국심리'!$J976),ISNUMBER('자료_한국심리'!$K976)),'자료_한국심리'!$J976,"")</f>
        <v/>
      </c>
      <c r="Y992">
        <f>IF(AND(ISNUMBER('자료_한국심리'!$M976),ISNUMBER('자료_한국심리'!$N976)),'자료_한국심리'!$M976,"")</f>
        <v/>
      </c>
    </row>
    <row r="993">
      <c r="A993" s="10">
        <f>IF(975&gt;$E$5,"",SMALL($U$19:$U$4018,$E$6+975))</f>
        <v/>
      </c>
      <c r="B993" s="29">
        <f>IF(A993="","",INDEX('자료_한국심리'!$B$3:$B$4002,MATCH(A993,$U$19:$U$4018,0)))</f>
        <v/>
      </c>
      <c r="C993" s="22">
        <f>IF(A993="","",B993/AVERAGE(B869:B993)-1)</f>
        <v/>
      </c>
      <c r="D993" s="29">
        <f>IF(A993="","",IFERROR(INDEX('자료_한국심리'!$E$3:$E$4002,MATCH(A993,$V$19:$V$4018,0)),D992))</f>
        <v/>
      </c>
      <c r="E993" s="30">
        <f>IF(A993="","",IFERROR(INDEX('자료_한국심리'!$H$3:$H$4002,MATCH(A993,$W$19:$W$4018,0)),E992))</f>
        <v/>
      </c>
      <c r="F993" s="30">
        <f>IF(A993="","",IFERROR(INDEX('자료_한국심리'!$K$3:$K$4002,MATCH(A993,$X$19:$X$4018,0)),F992))</f>
        <v/>
      </c>
      <c r="G993" s="30">
        <f>IF(AND(ISNUMBER(E993),ISNUMBER(F993)),ROUND(E993-F993,6),"")</f>
        <v/>
      </c>
      <c r="H993" s="25">
        <f>IF(A993="","",IFERROR(INDEX('자료_한국심리'!$N$3:$N$4002,MATCH(A993,$Y$19:$Y$4018,0)),H992))</f>
        <v/>
      </c>
      <c r="I993" s="31">
        <f>IF(AND(ISNUMBER(H993),ISNUMBER(H973)),IF(H973&gt;0,H993/H973-1,""),"")</f>
        <v/>
      </c>
      <c r="J993">
        <f>IF(A993="",0,IF(A993&gt;$B$5,1,0))</f>
        <v/>
      </c>
      <c r="K993" s="29">
        <f>IF(AND(J993=1,ISNUMBER(D993)),D993,"")</f>
        <v/>
      </c>
      <c r="L993" s="30">
        <f>IF(AND(J993=1,ISNUMBER(G993)),G993,"")</f>
        <v/>
      </c>
      <c r="M993" s="22">
        <f>IF(AND(J993=1,ISNUMBER(C993)),C993,"")</f>
        <v/>
      </c>
      <c r="N993" s="31">
        <f>IF(AND(J993=1,ISNUMBER(I993)),I993,"")</f>
        <v/>
      </c>
      <c r="O993" s="11">
        <f>IF(K993="","",100-IF($G$13=1,50,(_xlfn.RANK.AVG(K993,$K$19:$K$1518,1)-1)/($G$13-1)*100))</f>
        <v/>
      </c>
      <c r="P993" s="11">
        <f>IF(L993="","",100-IF($G$14=1,50,(_xlfn.RANK.AVG(L993,$L$19:$L$1518,1)-1)/($G$14-1)*100))</f>
        <v/>
      </c>
      <c r="Q993" s="11">
        <f>IF(M993="","",IF($G$15=1,50,(_xlfn.RANK.AVG(M993,$M$19:$M$1518,1)-1)/($G$15-1)*100))</f>
        <v/>
      </c>
      <c r="R993" s="11">
        <f>IF(N993="","",IF($G$16=1,50,(_xlfn.RANK.AVG(N993,$N$19:$N$1518,1)-1)/($G$16-1)*100))</f>
        <v/>
      </c>
      <c r="S993" s="11">
        <f>IF(COUNT(O993:R993)=4,ROUND(AVERAGE(O993:R993),6),"")</f>
        <v/>
      </c>
      <c r="U993">
        <f>IF(AND(ISNUMBER('자료_한국심리'!$A977),ISNUMBER('자료_한국심리'!$B977)),'자료_한국심리'!$A977,"")</f>
        <v/>
      </c>
      <c r="V993">
        <f>IF(AND(ISNUMBER('자료_한국심리'!$D977),ISNUMBER('자료_한국심리'!$E977)),'자료_한국심리'!$D977,"")</f>
        <v/>
      </c>
      <c r="W993">
        <f>IF(AND(ISNUMBER('자료_한국심리'!$G977),ISNUMBER('자료_한국심리'!$H977)),'자료_한국심리'!$G977,"")</f>
        <v/>
      </c>
      <c r="X993">
        <f>IF(AND(ISNUMBER('자료_한국심리'!$J977),ISNUMBER('자료_한국심리'!$K977)),'자료_한국심리'!$J977,"")</f>
        <v/>
      </c>
      <c r="Y993">
        <f>IF(AND(ISNUMBER('자료_한국심리'!$M977),ISNUMBER('자료_한국심리'!$N977)),'자료_한국심리'!$M977,"")</f>
        <v/>
      </c>
    </row>
    <row r="994">
      <c r="A994" s="10">
        <f>IF(976&gt;$E$5,"",SMALL($U$19:$U$4018,$E$6+976))</f>
        <v/>
      </c>
      <c r="B994" s="29">
        <f>IF(A994="","",INDEX('자료_한국심리'!$B$3:$B$4002,MATCH(A994,$U$19:$U$4018,0)))</f>
        <v/>
      </c>
      <c r="C994" s="22">
        <f>IF(A994="","",B994/AVERAGE(B870:B994)-1)</f>
        <v/>
      </c>
      <c r="D994" s="29">
        <f>IF(A994="","",IFERROR(INDEX('자료_한국심리'!$E$3:$E$4002,MATCH(A994,$V$19:$V$4018,0)),D993))</f>
        <v/>
      </c>
      <c r="E994" s="30">
        <f>IF(A994="","",IFERROR(INDEX('자료_한국심리'!$H$3:$H$4002,MATCH(A994,$W$19:$W$4018,0)),E993))</f>
        <v/>
      </c>
      <c r="F994" s="30">
        <f>IF(A994="","",IFERROR(INDEX('자료_한국심리'!$K$3:$K$4002,MATCH(A994,$X$19:$X$4018,0)),F993))</f>
        <v/>
      </c>
      <c r="G994" s="30">
        <f>IF(AND(ISNUMBER(E994),ISNUMBER(F994)),ROUND(E994-F994,6),"")</f>
        <v/>
      </c>
      <c r="H994" s="25">
        <f>IF(A994="","",IFERROR(INDEX('자료_한국심리'!$N$3:$N$4002,MATCH(A994,$Y$19:$Y$4018,0)),H993))</f>
        <v/>
      </c>
      <c r="I994" s="31">
        <f>IF(AND(ISNUMBER(H994),ISNUMBER(H974)),IF(H974&gt;0,H994/H974-1,""),"")</f>
        <v/>
      </c>
      <c r="J994">
        <f>IF(A994="",0,IF(A994&gt;$B$5,1,0))</f>
        <v/>
      </c>
      <c r="K994" s="29">
        <f>IF(AND(J994=1,ISNUMBER(D994)),D994,"")</f>
        <v/>
      </c>
      <c r="L994" s="30">
        <f>IF(AND(J994=1,ISNUMBER(G994)),G994,"")</f>
        <v/>
      </c>
      <c r="M994" s="22">
        <f>IF(AND(J994=1,ISNUMBER(C994)),C994,"")</f>
        <v/>
      </c>
      <c r="N994" s="31">
        <f>IF(AND(J994=1,ISNUMBER(I994)),I994,"")</f>
        <v/>
      </c>
      <c r="O994" s="11">
        <f>IF(K994="","",100-IF($G$13=1,50,(_xlfn.RANK.AVG(K994,$K$19:$K$1518,1)-1)/($G$13-1)*100))</f>
        <v/>
      </c>
      <c r="P994" s="11">
        <f>IF(L994="","",100-IF($G$14=1,50,(_xlfn.RANK.AVG(L994,$L$19:$L$1518,1)-1)/($G$14-1)*100))</f>
        <v/>
      </c>
      <c r="Q994" s="11">
        <f>IF(M994="","",IF($G$15=1,50,(_xlfn.RANK.AVG(M994,$M$19:$M$1518,1)-1)/($G$15-1)*100))</f>
        <v/>
      </c>
      <c r="R994" s="11">
        <f>IF(N994="","",IF($G$16=1,50,(_xlfn.RANK.AVG(N994,$N$19:$N$1518,1)-1)/($G$16-1)*100))</f>
        <v/>
      </c>
      <c r="S994" s="11">
        <f>IF(COUNT(O994:R994)=4,ROUND(AVERAGE(O994:R994),6),"")</f>
        <v/>
      </c>
      <c r="U994">
        <f>IF(AND(ISNUMBER('자료_한국심리'!$A978),ISNUMBER('자료_한국심리'!$B978)),'자료_한국심리'!$A978,"")</f>
        <v/>
      </c>
      <c r="V994">
        <f>IF(AND(ISNUMBER('자료_한국심리'!$D978),ISNUMBER('자료_한국심리'!$E978)),'자료_한국심리'!$D978,"")</f>
        <v/>
      </c>
      <c r="W994">
        <f>IF(AND(ISNUMBER('자료_한국심리'!$G978),ISNUMBER('자료_한국심리'!$H978)),'자료_한국심리'!$G978,"")</f>
        <v/>
      </c>
      <c r="X994">
        <f>IF(AND(ISNUMBER('자료_한국심리'!$J978),ISNUMBER('자료_한국심리'!$K978)),'자료_한국심리'!$J978,"")</f>
        <v/>
      </c>
      <c r="Y994">
        <f>IF(AND(ISNUMBER('자료_한국심리'!$M978),ISNUMBER('자료_한국심리'!$N978)),'자료_한국심리'!$M978,"")</f>
        <v/>
      </c>
    </row>
    <row r="995">
      <c r="A995" s="10">
        <f>IF(977&gt;$E$5,"",SMALL($U$19:$U$4018,$E$6+977))</f>
        <v/>
      </c>
      <c r="B995" s="29">
        <f>IF(A995="","",INDEX('자료_한국심리'!$B$3:$B$4002,MATCH(A995,$U$19:$U$4018,0)))</f>
        <v/>
      </c>
      <c r="C995" s="22">
        <f>IF(A995="","",B995/AVERAGE(B871:B995)-1)</f>
        <v/>
      </c>
      <c r="D995" s="29">
        <f>IF(A995="","",IFERROR(INDEX('자료_한국심리'!$E$3:$E$4002,MATCH(A995,$V$19:$V$4018,0)),D994))</f>
        <v/>
      </c>
      <c r="E995" s="30">
        <f>IF(A995="","",IFERROR(INDEX('자료_한국심리'!$H$3:$H$4002,MATCH(A995,$W$19:$W$4018,0)),E994))</f>
        <v/>
      </c>
      <c r="F995" s="30">
        <f>IF(A995="","",IFERROR(INDEX('자료_한국심리'!$K$3:$K$4002,MATCH(A995,$X$19:$X$4018,0)),F994))</f>
        <v/>
      </c>
      <c r="G995" s="30">
        <f>IF(AND(ISNUMBER(E995),ISNUMBER(F995)),ROUND(E995-F995,6),"")</f>
        <v/>
      </c>
      <c r="H995" s="25">
        <f>IF(A995="","",IFERROR(INDEX('자료_한국심리'!$N$3:$N$4002,MATCH(A995,$Y$19:$Y$4018,0)),H994))</f>
        <v/>
      </c>
      <c r="I995" s="31">
        <f>IF(AND(ISNUMBER(H995),ISNUMBER(H975)),IF(H975&gt;0,H995/H975-1,""),"")</f>
        <v/>
      </c>
      <c r="J995">
        <f>IF(A995="",0,IF(A995&gt;$B$5,1,0))</f>
        <v/>
      </c>
      <c r="K995" s="29">
        <f>IF(AND(J995=1,ISNUMBER(D995)),D995,"")</f>
        <v/>
      </c>
      <c r="L995" s="30">
        <f>IF(AND(J995=1,ISNUMBER(G995)),G995,"")</f>
        <v/>
      </c>
      <c r="M995" s="22">
        <f>IF(AND(J995=1,ISNUMBER(C995)),C995,"")</f>
        <v/>
      </c>
      <c r="N995" s="31">
        <f>IF(AND(J995=1,ISNUMBER(I995)),I995,"")</f>
        <v/>
      </c>
      <c r="O995" s="11">
        <f>IF(K995="","",100-IF($G$13=1,50,(_xlfn.RANK.AVG(K995,$K$19:$K$1518,1)-1)/($G$13-1)*100))</f>
        <v/>
      </c>
      <c r="P995" s="11">
        <f>IF(L995="","",100-IF($G$14=1,50,(_xlfn.RANK.AVG(L995,$L$19:$L$1518,1)-1)/($G$14-1)*100))</f>
        <v/>
      </c>
      <c r="Q995" s="11">
        <f>IF(M995="","",IF($G$15=1,50,(_xlfn.RANK.AVG(M995,$M$19:$M$1518,1)-1)/($G$15-1)*100))</f>
        <v/>
      </c>
      <c r="R995" s="11">
        <f>IF(N995="","",IF($G$16=1,50,(_xlfn.RANK.AVG(N995,$N$19:$N$1518,1)-1)/($G$16-1)*100))</f>
        <v/>
      </c>
      <c r="S995" s="11">
        <f>IF(COUNT(O995:R995)=4,ROUND(AVERAGE(O995:R995),6),"")</f>
        <v/>
      </c>
      <c r="U995">
        <f>IF(AND(ISNUMBER('자료_한국심리'!$A979),ISNUMBER('자료_한국심리'!$B979)),'자료_한국심리'!$A979,"")</f>
        <v/>
      </c>
      <c r="V995">
        <f>IF(AND(ISNUMBER('자료_한국심리'!$D979),ISNUMBER('자료_한국심리'!$E979)),'자료_한국심리'!$D979,"")</f>
        <v/>
      </c>
      <c r="W995">
        <f>IF(AND(ISNUMBER('자료_한국심리'!$G979),ISNUMBER('자료_한국심리'!$H979)),'자료_한국심리'!$G979,"")</f>
        <v/>
      </c>
      <c r="X995">
        <f>IF(AND(ISNUMBER('자료_한국심리'!$J979),ISNUMBER('자료_한국심리'!$K979)),'자료_한국심리'!$J979,"")</f>
        <v/>
      </c>
      <c r="Y995">
        <f>IF(AND(ISNUMBER('자료_한국심리'!$M979),ISNUMBER('자료_한국심리'!$N979)),'자료_한국심리'!$M979,"")</f>
        <v/>
      </c>
    </row>
    <row r="996">
      <c r="A996" s="10">
        <f>IF(978&gt;$E$5,"",SMALL($U$19:$U$4018,$E$6+978))</f>
        <v/>
      </c>
      <c r="B996" s="29">
        <f>IF(A996="","",INDEX('자료_한국심리'!$B$3:$B$4002,MATCH(A996,$U$19:$U$4018,0)))</f>
        <v/>
      </c>
      <c r="C996" s="22">
        <f>IF(A996="","",B996/AVERAGE(B872:B996)-1)</f>
        <v/>
      </c>
      <c r="D996" s="29">
        <f>IF(A996="","",IFERROR(INDEX('자료_한국심리'!$E$3:$E$4002,MATCH(A996,$V$19:$V$4018,0)),D995))</f>
        <v/>
      </c>
      <c r="E996" s="30">
        <f>IF(A996="","",IFERROR(INDEX('자료_한국심리'!$H$3:$H$4002,MATCH(A996,$W$19:$W$4018,0)),E995))</f>
        <v/>
      </c>
      <c r="F996" s="30">
        <f>IF(A996="","",IFERROR(INDEX('자료_한국심리'!$K$3:$K$4002,MATCH(A996,$X$19:$X$4018,0)),F995))</f>
        <v/>
      </c>
      <c r="G996" s="30">
        <f>IF(AND(ISNUMBER(E996),ISNUMBER(F996)),ROUND(E996-F996,6),"")</f>
        <v/>
      </c>
      <c r="H996" s="25">
        <f>IF(A996="","",IFERROR(INDEX('자료_한국심리'!$N$3:$N$4002,MATCH(A996,$Y$19:$Y$4018,0)),H995))</f>
        <v/>
      </c>
      <c r="I996" s="31">
        <f>IF(AND(ISNUMBER(H996),ISNUMBER(H976)),IF(H976&gt;0,H996/H976-1,""),"")</f>
        <v/>
      </c>
      <c r="J996">
        <f>IF(A996="",0,IF(A996&gt;$B$5,1,0))</f>
        <v/>
      </c>
      <c r="K996" s="29">
        <f>IF(AND(J996=1,ISNUMBER(D996)),D996,"")</f>
        <v/>
      </c>
      <c r="L996" s="30">
        <f>IF(AND(J996=1,ISNUMBER(G996)),G996,"")</f>
        <v/>
      </c>
      <c r="M996" s="22">
        <f>IF(AND(J996=1,ISNUMBER(C996)),C996,"")</f>
        <v/>
      </c>
      <c r="N996" s="31">
        <f>IF(AND(J996=1,ISNUMBER(I996)),I996,"")</f>
        <v/>
      </c>
      <c r="O996" s="11">
        <f>IF(K996="","",100-IF($G$13=1,50,(_xlfn.RANK.AVG(K996,$K$19:$K$1518,1)-1)/($G$13-1)*100))</f>
        <v/>
      </c>
      <c r="P996" s="11">
        <f>IF(L996="","",100-IF($G$14=1,50,(_xlfn.RANK.AVG(L996,$L$19:$L$1518,1)-1)/($G$14-1)*100))</f>
        <v/>
      </c>
      <c r="Q996" s="11">
        <f>IF(M996="","",IF($G$15=1,50,(_xlfn.RANK.AVG(M996,$M$19:$M$1518,1)-1)/($G$15-1)*100))</f>
        <v/>
      </c>
      <c r="R996" s="11">
        <f>IF(N996="","",IF($G$16=1,50,(_xlfn.RANK.AVG(N996,$N$19:$N$1518,1)-1)/($G$16-1)*100))</f>
        <v/>
      </c>
      <c r="S996" s="11">
        <f>IF(COUNT(O996:R996)=4,ROUND(AVERAGE(O996:R996),6),"")</f>
        <v/>
      </c>
      <c r="U996">
        <f>IF(AND(ISNUMBER('자료_한국심리'!$A980),ISNUMBER('자료_한국심리'!$B980)),'자료_한국심리'!$A980,"")</f>
        <v/>
      </c>
      <c r="V996">
        <f>IF(AND(ISNUMBER('자료_한국심리'!$D980),ISNUMBER('자료_한국심리'!$E980)),'자료_한국심리'!$D980,"")</f>
        <v/>
      </c>
      <c r="W996">
        <f>IF(AND(ISNUMBER('자료_한국심리'!$G980),ISNUMBER('자료_한국심리'!$H980)),'자료_한국심리'!$G980,"")</f>
        <v/>
      </c>
      <c r="X996">
        <f>IF(AND(ISNUMBER('자료_한국심리'!$J980),ISNUMBER('자료_한국심리'!$K980)),'자료_한국심리'!$J980,"")</f>
        <v/>
      </c>
      <c r="Y996">
        <f>IF(AND(ISNUMBER('자료_한국심리'!$M980),ISNUMBER('자료_한국심리'!$N980)),'자료_한국심리'!$M980,"")</f>
        <v/>
      </c>
    </row>
    <row r="997">
      <c r="A997" s="10">
        <f>IF(979&gt;$E$5,"",SMALL($U$19:$U$4018,$E$6+979))</f>
        <v/>
      </c>
      <c r="B997" s="29">
        <f>IF(A997="","",INDEX('자료_한국심리'!$B$3:$B$4002,MATCH(A997,$U$19:$U$4018,0)))</f>
        <v/>
      </c>
      <c r="C997" s="22">
        <f>IF(A997="","",B997/AVERAGE(B873:B997)-1)</f>
        <v/>
      </c>
      <c r="D997" s="29">
        <f>IF(A997="","",IFERROR(INDEX('자료_한국심리'!$E$3:$E$4002,MATCH(A997,$V$19:$V$4018,0)),D996))</f>
        <v/>
      </c>
      <c r="E997" s="30">
        <f>IF(A997="","",IFERROR(INDEX('자료_한국심리'!$H$3:$H$4002,MATCH(A997,$W$19:$W$4018,0)),E996))</f>
        <v/>
      </c>
      <c r="F997" s="30">
        <f>IF(A997="","",IFERROR(INDEX('자료_한국심리'!$K$3:$K$4002,MATCH(A997,$X$19:$X$4018,0)),F996))</f>
        <v/>
      </c>
      <c r="G997" s="30">
        <f>IF(AND(ISNUMBER(E997),ISNUMBER(F997)),ROUND(E997-F997,6),"")</f>
        <v/>
      </c>
      <c r="H997" s="25">
        <f>IF(A997="","",IFERROR(INDEX('자료_한국심리'!$N$3:$N$4002,MATCH(A997,$Y$19:$Y$4018,0)),H996))</f>
        <v/>
      </c>
      <c r="I997" s="31">
        <f>IF(AND(ISNUMBER(H997),ISNUMBER(H977)),IF(H977&gt;0,H997/H977-1,""),"")</f>
        <v/>
      </c>
      <c r="J997">
        <f>IF(A997="",0,IF(A997&gt;$B$5,1,0))</f>
        <v/>
      </c>
      <c r="K997" s="29">
        <f>IF(AND(J997=1,ISNUMBER(D997)),D997,"")</f>
        <v/>
      </c>
      <c r="L997" s="30">
        <f>IF(AND(J997=1,ISNUMBER(G997)),G997,"")</f>
        <v/>
      </c>
      <c r="M997" s="22">
        <f>IF(AND(J997=1,ISNUMBER(C997)),C997,"")</f>
        <v/>
      </c>
      <c r="N997" s="31">
        <f>IF(AND(J997=1,ISNUMBER(I997)),I997,"")</f>
        <v/>
      </c>
      <c r="O997" s="11">
        <f>IF(K997="","",100-IF($G$13=1,50,(_xlfn.RANK.AVG(K997,$K$19:$K$1518,1)-1)/($G$13-1)*100))</f>
        <v/>
      </c>
      <c r="P997" s="11">
        <f>IF(L997="","",100-IF($G$14=1,50,(_xlfn.RANK.AVG(L997,$L$19:$L$1518,1)-1)/($G$14-1)*100))</f>
        <v/>
      </c>
      <c r="Q997" s="11">
        <f>IF(M997="","",IF($G$15=1,50,(_xlfn.RANK.AVG(M997,$M$19:$M$1518,1)-1)/($G$15-1)*100))</f>
        <v/>
      </c>
      <c r="R997" s="11">
        <f>IF(N997="","",IF($G$16=1,50,(_xlfn.RANK.AVG(N997,$N$19:$N$1518,1)-1)/($G$16-1)*100))</f>
        <v/>
      </c>
      <c r="S997" s="11">
        <f>IF(COUNT(O997:R997)=4,ROUND(AVERAGE(O997:R997),6),"")</f>
        <v/>
      </c>
      <c r="U997">
        <f>IF(AND(ISNUMBER('자료_한국심리'!$A981),ISNUMBER('자료_한국심리'!$B981)),'자료_한국심리'!$A981,"")</f>
        <v/>
      </c>
      <c r="V997">
        <f>IF(AND(ISNUMBER('자료_한국심리'!$D981),ISNUMBER('자료_한국심리'!$E981)),'자료_한국심리'!$D981,"")</f>
        <v/>
      </c>
      <c r="W997">
        <f>IF(AND(ISNUMBER('자료_한국심리'!$G981),ISNUMBER('자료_한국심리'!$H981)),'자료_한국심리'!$G981,"")</f>
        <v/>
      </c>
      <c r="X997">
        <f>IF(AND(ISNUMBER('자료_한국심리'!$J981),ISNUMBER('자료_한국심리'!$K981)),'자료_한국심리'!$J981,"")</f>
        <v/>
      </c>
      <c r="Y997">
        <f>IF(AND(ISNUMBER('자료_한국심리'!$M981),ISNUMBER('자료_한국심리'!$N981)),'자료_한국심리'!$M981,"")</f>
        <v/>
      </c>
    </row>
    <row r="998">
      <c r="A998" s="10">
        <f>IF(980&gt;$E$5,"",SMALL($U$19:$U$4018,$E$6+980))</f>
        <v/>
      </c>
      <c r="B998" s="29">
        <f>IF(A998="","",INDEX('자료_한국심리'!$B$3:$B$4002,MATCH(A998,$U$19:$U$4018,0)))</f>
        <v/>
      </c>
      <c r="C998" s="22">
        <f>IF(A998="","",B998/AVERAGE(B874:B998)-1)</f>
        <v/>
      </c>
      <c r="D998" s="29">
        <f>IF(A998="","",IFERROR(INDEX('자료_한국심리'!$E$3:$E$4002,MATCH(A998,$V$19:$V$4018,0)),D997))</f>
        <v/>
      </c>
      <c r="E998" s="30">
        <f>IF(A998="","",IFERROR(INDEX('자료_한국심리'!$H$3:$H$4002,MATCH(A998,$W$19:$W$4018,0)),E997))</f>
        <v/>
      </c>
      <c r="F998" s="30">
        <f>IF(A998="","",IFERROR(INDEX('자료_한국심리'!$K$3:$K$4002,MATCH(A998,$X$19:$X$4018,0)),F997))</f>
        <v/>
      </c>
      <c r="G998" s="30">
        <f>IF(AND(ISNUMBER(E998),ISNUMBER(F998)),ROUND(E998-F998,6),"")</f>
        <v/>
      </c>
      <c r="H998" s="25">
        <f>IF(A998="","",IFERROR(INDEX('자료_한국심리'!$N$3:$N$4002,MATCH(A998,$Y$19:$Y$4018,0)),H997))</f>
        <v/>
      </c>
      <c r="I998" s="31">
        <f>IF(AND(ISNUMBER(H998),ISNUMBER(H978)),IF(H978&gt;0,H998/H978-1,""),"")</f>
        <v/>
      </c>
      <c r="J998">
        <f>IF(A998="",0,IF(A998&gt;$B$5,1,0))</f>
        <v/>
      </c>
      <c r="K998" s="29">
        <f>IF(AND(J998=1,ISNUMBER(D998)),D998,"")</f>
        <v/>
      </c>
      <c r="L998" s="30">
        <f>IF(AND(J998=1,ISNUMBER(G998)),G998,"")</f>
        <v/>
      </c>
      <c r="M998" s="22">
        <f>IF(AND(J998=1,ISNUMBER(C998)),C998,"")</f>
        <v/>
      </c>
      <c r="N998" s="31">
        <f>IF(AND(J998=1,ISNUMBER(I998)),I998,"")</f>
        <v/>
      </c>
      <c r="O998" s="11">
        <f>IF(K998="","",100-IF($G$13=1,50,(_xlfn.RANK.AVG(K998,$K$19:$K$1518,1)-1)/($G$13-1)*100))</f>
        <v/>
      </c>
      <c r="P998" s="11">
        <f>IF(L998="","",100-IF($G$14=1,50,(_xlfn.RANK.AVG(L998,$L$19:$L$1518,1)-1)/($G$14-1)*100))</f>
        <v/>
      </c>
      <c r="Q998" s="11">
        <f>IF(M998="","",IF($G$15=1,50,(_xlfn.RANK.AVG(M998,$M$19:$M$1518,1)-1)/($G$15-1)*100))</f>
        <v/>
      </c>
      <c r="R998" s="11">
        <f>IF(N998="","",IF($G$16=1,50,(_xlfn.RANK.AVG(N998,$N$19:$N$1518,1)-1)/($G$16-1)*100))</f>
        <v/>
      </c>
      <c r="S998" s="11">
        <f>IF(COUNT(O998:R998)=4,ROUND(AVERAGE(O998:R998),6),"")</f>
        <v/>
      </c>
      <c r="U998">
        <f>IF(AND(ISNUMBER('자료_한국심리'!$A982),ISNUMBER('자료_한국심리'!$B982)),'자료_한국심리'!$A982,"")</f>
        <v/>
      </c>
      <c r="V998">
        <f>IF(AND(ISNUMBER('자료_한국심리'!$D982),ISNUMBER('자료_한국심리'!$E982)),'자료_한국심리'!$D982,"")</f>
        <v/>
      </c>
      <c r="W998">
        <f>IF(AND(ISNUMBER('자료_한국심리'!$G982),ISNUMBER('자료_한국심리'!$H982)),'자료_한국심리'!$G982,"")</f>
        <v/>
      </c>
      <c r="X998">
        <f>IF(AND(ISNUMBER('자료_한국심리'!$J982),ISNUMBER('자료_한국심리'!$K982)),'자료_한국심리'!$J982,"")</f>
        <v/>
      </c>
      <c r="Y998">
        <f>IF(AND(ISNUMBER('자료_한국심리'!$M982),ISNUMBER('자료_한국심리'!$N982)),'자료_한국심리'!$M982,"")</f>
        <v/>
      </c>
    </row>
    <row r="999">
      <c r="A999" s="10">
        <f>IF(981&gt;$E$5,"",SMALL($U$19:$U$4018,$E$6+981))</f>
        <v/>
      </c>
      <c r="B999" s="29">
        <f>IF(A999="","",INDEX('자료_한국심리'!$B$3:$B$4002,MATCH(A999,$U$19:$U$4018,0)))</f>
        <v/>
      </c>
      <c r="C999" s="22">
        <f>IF(A999="","",B999/AVERAGE(B875:B999)-1)</f>
        <v/>
      </c>
      <c r="D999" s="29">
        <f>IF(A999="","",IFERROR(INDEX('자료_한국심리'!$E$3:$E$4002,MATCH(A999,$V$19:$V$4018,0)),D998))</f>
        <v/>
      </c>
      <c r="E999" s="30">
        <f>IF(A999="","",IFERROR(INDEX('자료_한국심리'!$H$3:$H$4002,MATCH(A999,$W$19:$W$4018,0)),E998))</f>
        <v/>
      </c>
      <c r="F999" s="30">
        <f>IF(A999="","",IFERROR(INDEX('자료_한국심리'!$K$3:$K$4002,MATCH(A999,$X$19:$X$4018,0)),F998))</f>
        <v/>
      </c>
      <c r="G999" s="30">
        <f>IF(AND(ISNUMBER(E999),ISNUMBER(F999)),ROUND(E999-F999,6),"")</f>
        <v/>
      </c>
      <c r="H999" s="25">
        <f>IF(A999="","",IFERROR(INDEX('자료_한국심리'!$N$3:$N$4002,MATCH(A999,$Y$19:$Y$4018,0)),H998))</f>
        <v/>
      </c>
      <c r="I999" s="31">
        <f>IF(AND(ISNUMBER(H999),ISNUMBER(H979)),IF(H979&gt;0,H999/H979-1,""),"")</f>
        <v/>
      </c>
      <c r="J999">
        <f>IF(A999="",0,IF(A999&gt;$B$5,1,0))</f>
        <v/>
      </c>
      <c r="K999" s="29">
        <f>IF(AND(J999=1,ISNUMBER(D999)),D999,"")</f>
        <v/>
      </c>
      <c r="L999" s="30">
        <f>IF(AND(J999=1,ISNUMBER(G999)),G999,"")</f>
        <v/>
      </c>
      <c r="M999" s="22">
        <f>IF(AND(J999=1,ISNUMBER(C999)),C999,"")</f>
        <v/>
      </c>
      <c r="N999" s="31">
        <f>IF(AND(J999=1,ISNUMBER(I999)),I999,"")</f>
        <v/>
      </c>
      <c r="O999" s="11">
        <f>IF(K999="","",100-IF($G$13=1,50,(_xlfn.RANK.AVG(K999,$K$19:$K$1518,1)-1)/($G$13-1)*100))</f>
        <v/>
      </c>
      <c r="P999" s="11">
        <f>IF(L999="","",100-IF($G$14=1,50,(_xlfn.RANK.AVG(L999,$L$19:$L$1518,1)-1)/($G$14-1)*100))</f>
        <v/>
      </c>
      <c r="Q999" s="11">
        <f>IF(M999="","",IF($G$15=1,50,(_xlfn.RANK.AVG(M999,$M$19:$M$1518,1)-1)/($G$15-1)*100))</f>
        <v/>
      </c>
      <c r="R999" s="11">
        <f>IF(N999="","",IF($G$16=1,50,(_xlfn.RANK.AVG(N999,$N$19:$N$1518,1)-1)/($G$16-1)*100))</f>
        <v/>
      </c>
      <c r="S999" s="11">
        <f>IF(COUNT(O999:R999)=4,ROUND(AVERAGE(O999:R999),6),"")</f>
        <v/>
      </c>
      <c r="U999">
        <f>IF(AND(ISNUMBER('자료_한국심리'!$A983),ISNUMBER('자료_한국심리'!$B983)),'자료_한국심리'!$A983,"")</f>
        <v/>
      </c>
      <c r="V999">
        <f>IF(AND(ISNUMBER('자료_한국심리'!$D983),ISNUMBER('자료_한국심리'!$E983)),'자료_한국심리'!$D983,"")</f>
        <v/>
      </c>
      <c r="W999">
        <f>IF(AND(ISNUMBER('자료_한국심리'!$G983),ISNUMBER('자료_한국심리'!$H983)),'자료_한국심리'!$G983,"")</f>
        <v/>
      </c>
      <c r="X999">
        <f>IF(AND(ISNUMBER('자료_한국심리'!$J983),ISNUMBER('자료_한국심리'!$K983)),'자료_한국심리'!$J983,"")</f>
        <v/>
      </c>
      <c r="Y999">
        <f>IF(AND(ISNUMBER('자료_한국심리'!$M983),ISNUMBER('자료_한국심리'!$N983)),'자료_한국심리'!$M983,"")</f>
        <v/>
      </c>
    </row>
    <row r="1000">
      <c r="A1000" s="10">
        <f>IF(982&gt;$E$5,"",SMALL($U$19:$U$4018,$E$6+982))</f>
        <v/>
      </c>
      <c r="B1000" s="29">
        <f>IF(A1000="","",INDEX('자료_한국심리'!$B$3:$B$4002,MATCH(A1000,$U$19:$U$4018,0)))</f>
        <v/>
      </c>
      <c r="C1000" s="22">
        <f>IF(A1000="","",B1000/AVERAGE(B876:B1000)-1)</f>
        <v/>
      </c>
      <c r="D1000" s="29">
        <f>IF(A1000="","",IFERROR(INDEX('자료_한국심리'!$E$3:$E$4002,MATCH(A1000,$V$19:$V$4018,0)),D999))</f>
        <v/>
      </c>
      <c r="E1000" s="30">
        <f>IF(A1000="","",IFERROR(INDEX('자료_한국심리'!$H$3:$H$4002,MATCH(A1000,$W$19:$W$4018,0)),E999))</f>
        <v/>
      </c>
      <c r="F1000" s="30">
        <f>IF(A1000="","",IFERROR(INDEX('자료_한국심리'!$K$3:$K$4002,MATCH(A1000,$X$19:$X$4018,0)),F999))</f>
        <v/>
      </c>
      <c r="G1000" s="30">
        <f>IF(AND(ISNUMBER(E1000),ISNUMBER(F1000)),ROUND(E1000-F1000,6),"")</f>
        <v/>
      </c>
      <c r="H1000" s="25">
        <f>IF(A1000="","",IFERROR(INDEX('자료_한국심리'!$N$3:$N$4002,MATCH(A1000,$Y$19:$Y$4018,0)),H999))</f>
        <v/>
      </c>
      <c r="I1000" s="31">
        <f>IF(AND(ISNUMBER(H1000),ISNUMBER(H980)),IF(H980&gt;0,H1000/H980-1,""),"")</f>
        <v/>
      </c>
      <c r="J1000">
        <f>IF(A1000="",0,IF(A1000&gt;$B$5,1,0))</f>
        <v/>
      </c>
      <c r="K1000" s="29">
        <f>IF(AND(J1000=1,ISNUMBER(D1000)),D1000,"")</f>
        <v/>
      </c>
      <c r="L1000" s="30">
        <f>IF(AND(J1000=1,ISNUMBER(G1000)),G1000,"")</f>
        <v/>
      </c>
      <c r="M1000" s="22">
        <f>IF(AND(J1000=1,ISNUMBER(C1000)),C1000,"")</f>
        <v/>
      </c>
      <c r="N1000" s="31">
        <f>IF(AND(J1000=1,ISNUMBER(I1000)),I1000,"")</f>
        <v/>
      </c>
      <c r="O1000" s="11">
        <f>IF(K1000="","",100-IF($G$13=1,50,(_xlfn.RANK.AVG(K1000,$K$19:$K$1518,1)-1)/($G$13-1)*100))</f>
        <v/>
      </c>
      <c r="P1000" s="11">
        <f>IF(L1000="","",100-IF($G$14=1,50,(_xlfn.RANK.AVG(L1000,$L$19:$L$1518,1)-1)/($G$14-1)*100))</f>
        <v/>
      </c>
      <c r="Q1000" s="11">
        <f>IF(M1000="","",IF($G$15=1,50,(_xlfn.RANK.AVG(M1000,$M$19:$M$1518,1)-1)/($G$15-1)*100))</f>
        <v/>
      </c>
      <c r="R1000" s="11">
        <f>IF(N1000="","",IF($G$16=1,50,(_xlfn.RANK.AVG(N1000,$N$19:$N$1518,1)-1)/($G$16-1)*100))</f>
        <v/>
      </c>
      <c r="S1000" s="11">
        <f>IF(COUNT(O1000:R1000)=4,ROUND(AVERAGE(O1000:R1000),6),"")</f>
        <v/>
      </c>
      <c r="U1000">
        <f>IF(AND(ISNUMBER('자료_한국심리'!$A984),ISNUMBER('자료_한국심리'!$B984)),'자료_한국심리'!$A984,"")</f>
        <v/>
      </c>
      <c r="V1000">
        <f>IF(AND(ISNUMBER('자료_한국심리'!$D984),ISNUMBER('자료_한국심리'!$E984)),'자료_한국심리'!$D984,"")</f>
        <v/>
      </c>
      <c r="W1000">
        <f>IF(AND(ISNUMBER('자료_한국심리'!$G984),ISNUMBER('자료_한국심리'!$H984)),'자료_한국심리'!$G984,"")</f>
        <v/>
      </c>
      <c r="X1000">
        <f>IF(AND(ISNUMBER('자료_한국심리'!$J984),ISNUMBER('자료_한국심리'!$K984)),'자료_한국심리'!$J984,"")</f>
        <v/>
      </c>
      <c r="Y1000">
        <f>IF(AND(ISNUMBER('자료_한국심리'!$M984),ISNUMBER('자료_한국심리'!$N984)),'자료_한국심리'!$M984,"")</f>
        <v/>
      </c>
    </row>
    <row r="1001">
      <c r="A1001" s="10">
        <f>IF(983&gt;$E$5,"",SMALL($U$19:$U$4018,$E$6+983))</f>
        <v/>
      </c>
      <c r="B1001" s="29">
        <f>IF(A1001="","",INDEX('자료_한국심리'!$B$3:$B$4002,MATCH(A1001,$U$19:$U$4018,0)))</f>
        <v/>
      </c>
      <c r="C1001" s="22">
        <f>IF(A1001="","",B1001/AVERAGE(B877:B1001)-1)</f>
        <v/>
      </c>
      <c r="D1001" s="29">
        <f>IF(A1001="","",IFERROR(INDEX('자료_한국심리'!$E$3:$E$4002,MATCH(A1001,$V$19:$V$4018,0)),D1000))</f>
        <v/>
      </c>
      <c r="E1001" s="30">
        <f>IF(A1001="","",IFERROR(INDEX('자료_한국심리'!$H$3:$H$4002,MATCH(A1001,$W$19:$W$4018,0)),E1000))</f>
        <v/>
      </c>
      <c r="F1001" s="30">
        <f>IF(A1001="","",IFERROR(INDEX('자료_한국심리'!$K$3:$K$4002,MATCH(A1001,$X$19:$X$4018,0)),F1000))</f>
        <v/>
      </c>
      <c r="G1001" s="30">
        <f>IF(AND(ISNUMBER(E1001),ISNUMBER(F1001)),ROUND(E1001-F1001,6),"")</f>
        <v/>
      </c>
      <c r="H1001" s="25">
        <f>IF(A1001="","",IFERROR(INDEX('자료_한국심리'!$N$3:$N$4002,MATCH(A1001,$Y$19:$Y$4018,0)),H1000))</f>
        <v/>
      </c>
      <c r="I1001" s="31">
        <f>IF(AND(ISNUMBER(H1001),ISNUMBER(H981)),IF(H981&gt;0,H1001/H981-1,""),"")</f>
        <v/>
      </c>
      <c r="J1001">
        <f>IF(A1001="",0,IF(A1001&gt;$B$5,1,0))</f>
        <v/>
      </c>
      <c r="K1001" s="29">
        <f>IF(AND(J1001=1,ISNUMBER(D1001)),D1001,"")</f>
        <v/>
      </c>
      <c r="L1001" s="30">
        <f>IF(AND(J1001=1,ISNUMBER(G1001)),G1001,"")</f>
        <v/>
      </c>
      <c r="M1001" s="22">
        <f>IF(AND(J1001=1,ISNUMBER(C1001)),C1001,"")</f>
        <v/>
      </c>
      <c r="N1001" s="31">
        <f>IF(AND(J1001=1,ISNUMBER(I1001)),I1001,"")</f>
        <v/>
      </c>
      <c r="O1001" s="11">
        <f>IF(K1001="","",100-IF($G$13=1,50,(_xlfn.RANK.AVG(K1001,$K$19:$K$1518,1)-1)/($G$13-1)*100))</f>
        <v/>
      </c>
      <c r="P1001" s="11">
        <f>IF(L1001="","",100-IF($G$14=1,50,(_xlfn.RANK.AVG(L1001,$L$19:$L$1518,1)-1)/($G$14-1)*100))</f>
        <v/>
      </c>
      <c r="Q1001" s="11">
        <f>IF(M1001="","",IF($G$15=1,50,(_xlfn.RANK.AVG(M1001,$M$19:$M$1518,1)-1)/($G$15-1)*100))</f>
        <v/>
      </c>
      <c r="R1001" s="11">
        <f>IF(N1001="","",IF($G$16=1,50,(_xlfn.RANK.AVG(N1001,$N$19:$N$1518,1)-1)/($G$16-1)*100))</f>
        <v/>
      </c>
      <c r="S1001" s="11">
        <f>IF(COUNT(O1001:R1001)=4,ROUND(AVERAGE(O1001:R1001),6),"")</f>
        <v/>
      </c>
      <c r="U1001">
        <f>IF(AND(ISNUMBER('자료_한국심리'!$A985),ISNUMBER('자료_한국심리'!$B985)),'자료_한국심리'!$A985,"")</f>
        <v/>
      </c>
      <c r="V1001">
        <f>IF(AND(ISNUMBER('자료_한국심리'!$D985),ISNUMBER('자료_한국심리'!$E985)),'자료_한국심리'!$D985,"")</f>
        <v/>
      </c>
      <c r="W1001">
        <f>IF(AND(ISNUMBER('자료_한국심리'!$G985),ISNUMBER('자료_한국심리'!$H985)),'자료_한국심리'!$G985,"")</f>
        <v/>
      </c>
      <c r="X1001">
        <f>IF(AND(ISNUMBER('자료_한국심리'!$J985),ISNUMBER('자료_한국심리'!$K985)),'자료_한국심리'!$J985,"")</f>
        <v/>
      </c>
      <c r="Y1001">
        <f>IF(AND(ISNUMBER('자료_한국심리'!$M985),ISNUMBER('자료_한국심리'!$N985)),'자료_한국심리'!$M985,"")</f>
        <v/>
      </c>
    </row>
    <row r="1002">
      <c r="A1002" s="10">
        <f>IF(984&gt;$E$5,"",SMALL($U$19:$U$4018,$E$6+984))</f>
        <v/>
      </c>
      <c r="B1002" s="29">
        <f>IF(A1002="","",INDEX('자료_한국심리'!$B$3:$B$4002,MATCH(A1002,$U$19:$U$4018,0)))</f>
        <v/>
      </c>
      <c r="C1002" s="22">
        <f>IF(A1002="","",B1002/AVERAGE(B878:B1002)-1)</f>
        <v/>
      </c>
      <c r="D1002" s="29">
        <f>IF(A1002="","",IFERROR(INDEX('자료_한국심리'!$E$3:$E$4002,MATCH(A1002,$V$19:$V$4018,0)),D1001))</f>
        <v/>
      </c>
      <c r="E1002" s="30">
        <f>IF(A1002="","",IFERROR(INDEX('자료_한국심리'!$H$3:$H$4002,MATCH(A1002,$W$19:$W$4018,0)),E1001))</f>
        <v/>
      </c>
      <c r="F1002" s="30">
        <f>IF(A1002="","",IFERROR(INDEX('자료_한국심리'!$K$3:$K$4002,MATCH(A1002,$X$19:$X$4018,0)),F1001))</f>
        <v/>
      </c>
      <c r="G1002" s="30">
        <f>IF(AND(ISNUMBER(E1002),ISNUMBER(F1002)),ROUND(E1002-F1002,6),"")</f>
        <v/>
      </c>
      <c r="H1002" s="25">
        <f>IF(A1002="","",IFERROR(INDEX('자료_한국심리'!$N$3:$N$4002,MATCH(A1002,$Y$19:$Y$4018,0)),H1001))</f>
        <v/>
      </c>
      <c r="I1002" s="31">
        <f>IF(AND(ISNUMBER(H1002),ISNUMBER(H982)),IF(H982&gt;0,H1002/H982-1,""),"")</f>
        <v/>
      </c>
      <c r="J1002">
        <f>IF(A1002="",0,IF(A1002&gt;$B$5,1,0))</f>
        <v/>
      </c>
      <c r="K1002" s="29">
        <f>IF(AND(J1002=1,ISNUMBER(D1002)),D1002,"")</f>
        <v/>
      </c>
      <c r="L1002" s="30">
        <f>IF(AND(J1002=1,ISNUMBER(G1002)),G1002,"")</f>
        <v/>
      </c>
      <c r="M1002" s="22">
        <f>IF(AND(J1002=1,ISNUMBER(C1002)),C1002,"")</f>
        <v/>
      </c>
      <c r="N1002" s="31">
        <f>IF(AND(J1002=1,ISNUMBER(I1002)),I1002,"")</f>
        <v/>
      </c>
      <c r="O1002" s="11">
        <f>IF(K1002="","",100-IF($G$13=1,50,(_xlfn.RANK.AVG(K1002,$K$19:$K$1518,1)-1)/($G$13-1)*100))</f>
        <v/>
      </c>
      <c r="P1002" s="11">
        <f>IF(L1002="","",100-IF($G$14=1,50,(_xlfn.RANK.AVG(L1002,$L$19:$L$1518,1)-1)/($G$14-1)*100))</f>
        <v/>
      </c>
      <c r="Q1002" s="11">
        <f>IF(M1002="","",IF($G$15=1,50,(_xlfn.RANK.AVG(M1002,$M$19:$M$1518,1)-1)/($G$15-1)*100))</f>
        <v/>
      </c>
      <c r="R1002" s="11">
        <f>IF(N1002="","",IF($G$16=1,50,(_xlfn.RANK.AVG(N1002,$N$19:$N$1518,1)-1)/($G$16-1)*100))</f>
        <v/>
      </c>
      <c r="S1002" s="11">
        <f>IF(COUNT(O1002:R1002)=4,ROUND(AVERAGE(O1002:R1002),6),"")</f>
        <v/>
      </c>
      <c r="U1002">
        <f>IF(AND(ISNUMBER('자료_한국심리'!$A986),ISNUMBER('자료_한국심리'!$B986)),'자료_한국심리'!$A986,"")</f>
        <v/>
      </c>
      <c r="V1002">
        <f>IF(AND(ISNUMBER('자료_한국심리'!$D986),ISNUMBER('자료_한국심리'!$E986)),'자료_한국심리'!$D986,"")</f>
        <v/>
      </c>
      <c r="W1002">
        <f>IF(AND(ISNUMBER('자료_한국심리'!$G986),ISNUMBER('자료_한국심리'!$H986)),'자료_한국심리'!$G986,"")</f>
        <v/>
      </c>
      <c r="X1002">
        <f>IF(AND(ISNUMBER('자료_한국심리'!$J986),ISNUMBER('자료_한국심리'!$K986)),'자료_한국심리'!$J986,"")</f>
        <v/>
      </c>
      <c r="Y1002">
        <f>IF(AND(ISNUMBER('자료_한국심리'!$M986),ISNUMBER('자료_한국심리'!$N986)),'자료_한국심리'!$M986,"")</f>
        <v/>
      </c>
    </row>
    <row r="1003">
      <c r="A1003" s="10">
        <f>IF(985&gt;$E$5,"",SMALL($U$19:$U$4018,$E$6+985))</f>
        <v/>
      </c>
      <c r="B1003" s="29">
        <f>IF(A1003="","",INDEX('자료_한국심리'!$B$3:$B$4002,MATCH(A1003,$U$19:$U$4018,0)))</f>
        <v/>
      </c>
      <c r="C1003" s="22">
        <f>IF(A1003="","",B1003/AVERAGE(B879:B1003)-1)</f>
        <v/>
      </c>
      <c r="D1003" s="29">
        <f>IF(A1003="","",IFERROR(INDEX('자료_한국심리'!$E$3:$E$4002,MATCH(A1003,$V$19:$V$4018,0)),D1002))</f>
        <v/>
      </c>
      <c r="E1003" s="30">
        <f>IF(A1003="","",IFERROR(INDEX('자료_한국심리'!$H$3:$H$4002,MATCH(A1003,$W$19:$W$4018,0)),E1002))</f>
        <v/>
      </c>
      <c r="F1003" s="30">
        <f>IF(A1003="","",IFERROR(INDEX('자료_한국심리'!$K$3:$K$4002,MATCH(A1003,$X$19:$X$4018,0)),F1002))</f>
        <v/>
      </c>
      <c r="G1003" s="30">
        <f>IF(AND(ISNUMBER(E1003),ISNUMBER(F1003)),ROUND(E1003-F1003,6),"")</f>
        <v/>
      </c>
      <c r="H1003" s="25">
        <f>IF(A1003="","",IFERROR(INDEX('자료_한국심리'!$N$3:$N$4002,MATCH(A1003,$Y$19:$Y$4018,0)),H1002))</f>
        <v/>
      </c>
      <c r="I1003" s="31">
        <f>IF(AND(ISNUMBER(H1003),ISNUMBER(H983)),IF(H983&gt;0,H1003/H983-1,""),"")</f>
        <v/>
      </c>
      <c r="J1003">
        <f>IF(A1003="",0,IF(A1003&gt;$B$5,1,0))</f>
        <v/>
      </c>
      <c r="K1003" s="29">
        <f>IF(AND(J1003=1,ISNUMBER(D1003)),D1003,"")</f>
        <v/>
      </c>
      <c r="L1003" s="30">
        <f>IF(AND(J1003=1,ISNUMBER(G1003)),G1003,"")</f>
        <v/>
      </c>
      <c r="M1003" s="22">
        <f>IF(AND(J1003=1,ISNUMBER(C1003)),C1003,"")</f>
        <v/>
      </c>
      <c r="N1003" s="31">
        <f>IF(AND(J1003=1,ISNUMBER(I1003)),I1003,"")</f>
        <v/>
      </c>
      <c r="O1003" s="11">
        <f>IF(K1003="","",100-IF($G$13=1,50,(_xlfn.RANK.AVG(K1003,$K$19:$K$1518,1)-1)/($G$13-1)*100))</f>
        <v/>
      </c>
      <c r="P1003" s="11">
        <f>IF(L1003="","",100-IF($G$14=1,50,(_xlfn.RANK.AVG(L1003,$L$19:$L$1518,1)-1)/($G$14-1)*100))</f>
        <v/>
      </c>
      <c r="Q1003" s="11">
        <f>IF(M1003="","",IF($G$15=1,50,(_xlfn.RANK.AVG(M1003,$M$19:$M$1518,1)-1)/($G$15-1)*100))</f>
        <v/>
      </c>
      <c r="R1003" s="11">
        <f>IF(N1003="","",IF($G$16=1,50,(_xlfn.RANK.AVG(N1003,$N$19:$N$1518,1)-1)/($G$16-1)*100))</f>
        <v/>
      </c>
      <c r="S1003" s="11">
        <f>IF(COUNT(O1003:R1003)=4,ROUND(AVERAGE(O1003:R1003),6),"")</f>
        <v/>
      </c>
      <c r="U1003">
        <f>IF(AND(ISNUMBER('자료_한국심리'!$A987),ISNUMBER('자료_한국심리'!$B987)),'자료_한국심리'!$A987,"")</f>
        <v/>
      </c>
      <c r="V1003">
        <f>IF(AND(ISNUMBER('자료_한국심리'!$D987),ISNUMBER('자료_한국심리'!$E987)),'자료_한국심리'!$D987,"")</f>
        <v/>
      </c>
      <c r="W1003">
        <f>IF(AND(ISNUMBER('자료_한국심리'!$G987),ISNUMBER('자료_한국심리'!$H987)),'자료_한국심리'!$G987,"")</f>
        <v/>
      </c>
      <c r="X1003">
        <f>IF(AND(ISNUMBER('자료_한국심리'!$J987),ISNUMBER('자료_한국심리'!$K987)),'자료_한국심리'!$J987,"")</f>
        <v/>
      </c>
      <c r="Y1003">
        <f>IF(AND(ISNUMBER('자료_한국심리'!$M987),ISNUMBER('자료_한국심리'!$N987)),'자료_한국심리'!$M987,"")</f>
        <v/>
      </c>
    </row>
    <row r="1004">
      <c r="A1004" s="10">
        <f>IF(986&gt;$E$5,"",SMALL($U$19:$U$4018,$E$6+986))</f>
        <v/>
      </c>
      <c r="B1004" s="29">
        <f>IF(A1004="","",INDEX('자료_한국심리'!$B$3:$B$4002,MATCH(A1004,$U$19:$U$4018,0)))</f>
        <v/>
      </c>
      <c r="C1004" s="22">
        <f>IF(A1004="","",B1004/AVERAGE(B880:B1004)-1)</f>
        <v/>
      </c>
      <c r="D1004" s="29">
        <f>IF(A1004="","",IFERROR(INDEX('자료_한국심리'!$E$3:$E$4002,MATCH(A1004,$V$19:$V$4018,0)),D1003))</f>
        <v/>
      </c>
      <c r="E1004" s="30">
        <f>IF(A1004="","",IFERROR(INDEX('자료_한국심리'!$H$3:$H$4002,MATCH(A1004,$W$19:$W$4018,0)),E1003))</f>
        <v/>
      </c>
      <c r="F1004" s="30">
        <f>IF(A1004="","",IFERROR(INDEX('자료_한국심리'!$K$3:$K$4002,MATCH(A1004,$X$19:$X$4018,0)),F1003))</f>
        <v/>
      </c>
      <c r="G1004" s="30">
        <f>IF(AND(ISNUMBER(E1004),ISNUMBER(F1004)),ROUND(E1004-F1004,6),"")</f>
        <v/>
      </c>
      <c r="H1004" s="25">
        <f>IF(A1004="","",IFERROR(INDEX('자료_한국심리'!$N$3:$N$4002,MATCH(A1004,$Y$19:$Y$4018,0)),H1003))</f>
        <v/>
      </c>
      <c r="I1004" s="31">
        <f>IF(AND(ISNUMBER(H1004),ISNUMBER(H984)),IF(H984&gt;0,H1004/H984-1,""),"")</f>
        <v/>
      </c>
      <c r="J1004">
        <f>IF(A1004="",0,IF(A1004&gt;$B$5,1,0))</f>
        <v/>
      </c>
      <c r="K1004" s="29">
        <f>IF(AND(J1004=1,ISNUMBER(D1004)),D1004,"")</f>
        <v/>
      </c>
      <c r="L1004" s="30">
        <f>IF(AND(J1004=1,ISNUMBER(G1004)),G1004,"")</f>
        <v/>
      </c>
      <c r="M1004" s="22">
        <f>IF(AND(J1004=1,ISNUMBER(C1004)),C1004,"")</f>
        <v/>
      </c>
      <c r="N1004" s="31">
        <f>IF(AND(J1004=1,ISNUMBER(I1004)),I1004,"")</f>
        <v/>
      </c>
      <c r="O1004" s="11">
        <f>IF(K1004="","",100-IF($G$13=1,50,(_xlfn.RANK.AVG(K1004,$K$19:$K$1518,1)-1)/($G$13-1)*100))</f>
        <v/>
      </c>
      <c r="P1004" s="11">
        <f>IF(L1004="","",100-IF($G$14=1,50,(_xlfn.RANK.AVG(L1004,$L$19:$L$1518,1)-1)/($G$14-1)*100))</f>
        <v/>
      </c>
      <c r="Q1004" s="11">
        <f>IF(M1004="","",IF($G$15=1,50,(_xlfn.RANK.AVG(M1004,$M$19:$M$1518,1)-1)/($G$15-1)*100))</f>
        <v/>
      </c>
      <c r="R1004" s="11">
        <f>IF(N1004="","",IF($G$16=1,50,(_xlfn.RANK.AVG(N1004,$N$19:$N$1518,1)-1)/($G$16-1)*100))</f>
        <v/>
      </c>
      <c r="S1004" s="11">
        <f>IF(COUNT(O1004:R1004)=4,ROUND(AVERAGE(O1004:R1004),6),"")</f>
        <v/>
      </c>
      <c r="U1004">
        <f>IF(AND(ISNUMBER('자료_한국심리'!$A988),ISNUMBER('자료_한국심리'!$B988)),'자료_한국심리'!$A988,"")</f>
        <v/>
      </c>
      <c r="V1004">
        <f>IF(AND(ISNUMBER('자료_한국심리'!$D988),ISNUMBER('자료_한국심리'!$E988)),'자료_한국심리'!$D988,"")</f>
        <v/>
      </c>
      <c r="W1004">
        <f>IF(AND(ISNUMBER('자료_한국심리'!$G988),ISNUMBER('자료_한국심리'!$H988)),'자료_한국심리'!$G988,"")</f>
        <v/>
      </c>
      <c r="X1004">
        <f>IF(AND(ISNUMBER('자료_한국심리'!$J988),ISNUMBER('자료_한국심리'!$K988)),'자료_한국심리'!$J988,"")</f>
        <v/>
      </c>
      <c r="Y1004">
        <f>IF(AND(ISNUMBER('자료_한국심리'!$M988),ISNUMBER('자료_한국심리'!$N988)),'자료_한국심리'!$M988,"")</f>
        <v/>
      </c>
    </row>
    <row r="1005">
      <c r="A1005" s="10">
        <f>IF(987&gt;$E$5,"",SMALL($U$19:$U$4018,$E$6+987))</f>
        <v/>
      </c>
      <c r="B1005" s="29">
        <f>IF(A1005="","",INDEX('자료_한국심리'!$B$3:$B$4002,MATCH(A1005,$U$19:$U$4018,0)))</f>
        <v/>
      </c>
      <c r="C1005" s="22">
        <f>IF(A1005="","",B1005/AVERAGE(B881:B1005)-1)</f>
        <v/>
      </c>
      <c r="D1005" s="29">
        <f>IF(A1005="","",IFERROR(INDEX('자료_한국심리'!$E$3:$E$4002,MATCH(A1005,$V$19:$V$4018,0)),D1004))</f>
        <v/>
      </c>
      <c r="E1005" s="30">
        <f>IF(A1005="","",IFERROR(INDEX('자료_한국심리'!$H$3:$H$4002,MATCH(A1005,$W$19:$W$4018,0)),E1004))</f>
        <v/>
      </c>
      <c r="F1005" s="30">
        <f>IF(A1005="","",IFERROR(INDEX('자료_한국심리'!$K$3:$K$4002,MATCH(A1005,$X$19:$X$4018,0)),F1004))</f>
        <v/>
      </c>
      <c r="G1005" s="30">
        <f>IF(AND(ISNUMBER(E1005),ISNUMBER(F1005)),ROUND(E1005-F1005,6),"")</f>
        <v/>
      </c>
      <c r="H1005" s="25">
        <f>IF(A1005="","",IFERROR(INDEX('자료_한국심리'!$N$3:$N$4002,MATCH(A1005,$Y$19:$Y$4018,0)),H1004))</f>
        <v/>
      </c>
      <c r="I1005" s="31">
        <f>IF(AND(ISNUMBER(H1005),ISNUMBER(H985)),IF(H985&gt;0,H1005/H985-1,""),"")</f>
        <v/>
      </c>
      <c r="J1005">
        <f>IF(A1005="",0,IF(A1005&gt;$B$5,1,0))</f>
        <v/>
      </c>
      <c r="K1005" s="29">
        <f>IF(AND(J1005=1,ISNUMBER(D1005)),D1005,"")</f>
        <v/>
      </c>
      <c r="L1005" s="30">
        <f>IF(AND(J1005=1,ISNUMBER(G1005)),G1005,"")</f>
        <v/>
      </c>
      <c r="M1005" s="22">
        <f>IF(AND(J1005=1,ISNUMBER(C1005)),C1005,"")</f>
        <v/>
      </c>
      <c r="N1005" s="31">
        <f>IF(AND(J1005=1,ISNUMBER(I1005)),I1005,"")</f>
        <v/>
      </c>
      <c r="O1005" s="11">
        <f>IF(K1005="","",100-IF($G$13=1,50,(_xlfn.RANK.AVG(K1005,$K$19:$K$1518,1)-1)/($G$13-1)*100))</f>
        <v/>
      </c>
      <c r="P1005" s="11">
        <f>IF(L1005="","",100-IF($G$14=1,50,(_xlfn.RANK.AVG(L1005,$L$19:$L$1518,1)-1)/($G$14-1)*100))</f>
        <v/>
      </c>
      <c r="Q1005" s="11">
        <f>IF(M1005="","",IF($G$15=1,50,(_xlfn.RANK.AVG(M1005,$M$19:$M$1518,1)-1)/($G$15-1)*100))</f>
        <v/>
      </c>
      <c r="R1005" s="11">
        <f>IF(N1005="","",IF($G$16=1,50,(_xlfn.RANK.AVG(N1005,$N$19:$N$1518,1)-1)/($G$16-1)*100))</f>
        <v/>
      </c>
      <c r="S1005" s="11">
        <f>IF(COUNT(O1005:R1005)=4,ROUND(AVERAGE(O1005:R1005),6),"")</f>
        <v/>
      </c>
      <c r="U1005">
        <f>IF(AND(ISNUMBER('자료_한국심리'!$A989),ISNUMBER('자료_한국심리'!$B989)),'자료_한국심리'!$A989,"")</f>
        <v/>
      </c>
      <c r="V1005">
        <f>IF(AND(ISNUMBER('자료_한국심리'!$D989),ISNUMBER('자료_한국심리'!$E989)),'자료_한국심리'!$D989,"")</f>
        <v/>
      </c>
      <c r="W1005">
        <f>IF(AND(ISNUMBER('자료_한국심리'!$G989),ISNUMBER('자료_한국심리'!$H989)),'자료_한국심리'!$G989,"")</f>
        <v/>
      </c>
      <c r="X1005">
        <f>IF(AND(ISNUMBER('자료_한국심리'!$J989),ISNUMBER('자료_한국심리'!$K989)),'자료_한국심리'!$J989,"")</f>
        <v/>
      </c>
      <c r="Y1005">
        <f>IF(AND(ISNUMBER('자료_한국심리'!$M989),ISNUMBER('자료_한국심리'!$N989)),'자료_한국심리'!$M989,"")</f>
        <v/>
      </c>
    </row>
    <row r="1006">
      <c r="A1006" s="10">
        <f>IF(988&gt;$E$5,"",SMALL($U$19:$U$4018,$E$6+988))</f>
        <v/>
      </c>
      <c r="B1006" s="29">
        <f>IF(A1006="","",INDEX('자료_한국심리'!$B$3:$B$4002,MATCH(A1006,$U$19:$U$4018,0)))</f>
        <v/>
      </c>
      <c r="C1006" s="22">
        <f>IF(A1006="","",B1006/AVERAGE(B882:B1006)-1)</f>
        <v/>
      </c>
      <c r="D1006" s="29">
        <f>IF(A1006="","",IFERROR(INDEX('자료_한국심리'!$E$3:$E$4002,MATCH(A1006,$V$19:$V$4018,0)),D1005))</f>
        <v/>
      </c>
      <c r="E1006" s="30">
        <f>IF(A1006="","",IFERROR(INDEX('자료_한국심리'!$H$3:$H$4002,MATCH(A1006,$W$19:$W$4018,0)),E1005))</f>
        <v/>
      </c>
      <c r="F1006" s="30">
        <f>IF(A1006="","",IFERROR(INDEX('자료_한국심리'!$K$3:$K$4002,MATCH(A1006,$X$19:$X$4018,0)),F1005))</f>
        <v/>
      </c>
      <c r="G1006" s="30">
        <f>IF(AND(ISNUMBER(E1006),ISNUMBER(F1006)),ROUND(E1006-F1006,6),"")</f>
        <v/>
      </c>
      <c r="H1006" s="25">
        <f>IF(A1006="","",IFERROR(INDEX('자료_한국심리'!$N$3:$N$4002,MATCH(A1006,$Y$19:$Y$4018,0)),H1005))</f>
        <v/>
      </c>
      <c r="I1006" s="31">
        <f>IF(AND(ISNUMBER(H1006),ISNUMBER(H986)),IF(H986&gt;0,H1006/H986-1,""),"")</f>
        <v/>
      </c>
      <c r="J1006">
        <f>IF(A1006="",0,IF(A1006&gt;$B$5,1,0))</f>
        <v/>
      </c>
      <c r="K1006" s="29">
        <f>IF(AND(J1006=1,ISNUMBER(D1006)),D1006,"")</f>
        <v/>
      </c>
      <c r="L1006" s="30">
        <f>IF(AND(J1006=1,ISNUMBER(G1006)),G1006,"")</f>
        <v/>
      </c>
      <c r="M1006" s="22">
        <f>IF(AND(J1006=1,ISNUMBER(C1006)),C1006,"")</f>
        <v/>
      </c>
      <c r="N1006" s="31">
        <f>IF(AND(J1006=1,ISNUMBER(I1006)),I1006,"")</f>
        <v/>
      </c>
      <c r="O1006" s="11">
        <f>IF(K1006="","",100-IF($G$13=1,50,(_xlfn.RANK.AVG(K1006,$K$19:$K$1518,1)-1)/($G$13-1)*100))</f>
        <v/>
      </c>
      <c r="P1006" s="11">
        <f>IF(L1006="","",100-IF($G$14=1,50,(_xlfn.RANK.AVG(L1006,$L$19:$L$1518,1)-1)/($G$14-1)*100))</f>
        <v/>
      </c>
      <c r="Q1006" s="11">
        <f>IF(M1006="","",IF($G$15=1,50,(_xlfn.RANK.AVG(M1006,$M$19:$M$1518,1)-1)/($G$15-1)*100))</f>
        <v/>
      </c>
      <c r="R1006" s="11">
        <f>IF(N1006="","",IF($G$16=1,50,(_xlfn.RANK.AVG(N1006,$N$19:$N$1518,1)-1)/($G$16-1)*100))</f>
        <v/>
      </c>
      <c r="S1006" s="11">
        <f>IF(COUNT(O1006:R1006)=4,ROUND(AVERAGE(O1006:R1006),6),"")</f>
        <v/>
      </c>
      <c r="U1006">
        <f>IF(AND(ISNUMBER('자료_한국심리'!$A990),ISNUMBER('자료_한국심리'!$B990)),'자료_한국심리'!$A990,"")</f>
        <v/>
      </c>
      <c r="V1006">
        <f>IF(AND(ISNUMBER('자료_한국심리'!$D990),ISNUMBER('자료_한국심리'!$E990)),'자료_한국심리'!$D990,"")</f>
        <v/>
      </c>
      <c r="W1006">
        <f>IF(AND(ISNUMBER('자료_한국심리'!$G990),ISNUMBER('자료_한국심리'!$H990)),'자료_한국심리'!$G990,"")</f>
        <v/>
      </c>
      <c r="X1006">
        <f>IF(AND(ISNUMBER('자료_한국심리'!$J990),ISNUMBER('자료_한국심리'!$K990)),'자료_한국심리'!$J990,"")</f>
        <v/>
      </c>
      <c r="Y1006">
        <f>IF(AND(ISNUMBER('자료_한국심리'!$M990),ISNUMBER('자료_한국심리'!$N990)),'자료_한국심리'!$M990,"")</f>
        <v/>
      </c>
    </row>
    <row r="1007">
      <c r="A1007" s="10">
        <f>IF(989&gt;$E$5,"",SMALL($U$19:$U$4018,$E$6+989))</f>
        <v/>
      </c>
      <c r="B1007" s="29">
        <f>IF(A1007="","",INDEX('자료_한국심리'!$B$3:$B$4002,MATCH(A1007,$U$19:$U$4018,0)))</f>
        <v/>
      </c>
      <c r="C1007" s="22">
        <f>IF(A1007="","",B1007/AVERAGE(B883:B1007)-1)</f>
        <v/>
      </c>
      <c r="D1007" s="29">
        <f>IF(A1007="","",IFERROR(INDEX('자료_한국심리'!$E$3:$E$4002,MATCH(A1007,$V$19:$V$4018,0)),D1006))</f>
        <v/>
      </c>
      <c r="E1007" s="30">
        <f>IF(A1007="","",IFERROR(INDEX('자료_한국심리'!$H$3:$H$4002,MATCH(A1007,$W$19:$W$4018,0)),E1006))</f>
        <v/>
      </c>
      <c r="F1007" s="30">
        <f>IF(A1007="","",IFERROR(INDEX('자료_한국심리'!$K$3:$K$4002,MATCH(A1007,$X$19:$X$4018,0)),F1006))</f>
        <v/>
      </c>
      <c r="G1007" s="30">
        <f>IF(AND(ISNUMBER(E1007),ISNUMBER(F1007)),ROUND(E1007-F1007,6),"")</f>
        <v/>
      </c>
      <c r="H1007" s="25">
        <f>IF(A1007="","",IFERROR(INDEX('자료_한국심리'!$N$3:$N$4002,MATCH(A1007,$Y$19:$Y$4018,0)),H1006))</f>
        <v/>
      </c>
      <c r="I1007" s="31">
        <f>IF(AND(ISNUMBER(H1007),ISNUMBER(H987)),IF(H987&gt;0,H1007/H987-1,""),"")</f>
        <v/>
      </c>
      <c r="J1007">
        <f>IF(A1007="",0,IF(A1007&gt;$B$5,1,0))</f>
        <v/>
      </c>
      <c r="K1007" s="29">
        <f>IF(AND(J1007=1,ISNUMBER(D1007)),D1007,"")</f>
        <v/>
      </c>
      <c r="L1007" s="30">
        <f>IF(AND(J1007=1,ISNUMBER(G1007)),G1007,"")</f>
        <v/>
      </c>
      <c r="M1007" s="22">
        <f>IF(AND(J1007=1,ISNUMBER(C1007)),C1007,"")</f>
        <v/>
      </c>
      <c r="N1007" s="31">
        <f>IF(AND(J1007=1,ISNUMBER(I1007)),I1007,"")</f>
        <v/>
      </c>
      <c r="O1007" s="11">
        <f>IF(K1007="","",100-IF($G$13=1,50,(_xlfn.RANK.AVG(K1007,$K$19:$K$1518,1)-1)/($G$13-1)*100))</f>
        <v/>
      </c>
      <c r="P1007" s="11">
        <f>IF(L1007="","",100-IF($G$14=1,50,(_xlfn.RANK.AVG(L1007,$L$19:$L$1518,1)-1)/($G$14-1)*100))</f>
        <v/>
      </c>
      <c r="Q1007" s="11">
        <f>IF(M1007="","",IF($G$15=1,50,(_xlfn.RANK.AVG(M1007,$M$19:$M$1518,1)-1)/($G$15-1)*100))</f>
        <v/>
      </c>
      <c r="R1007" s="11">
        <f>IF(N1007="","",IF($G$16=1,50,(_xlfn.RANK.AVG(N1007,$N$19:$N$1518,1)-1)/($G$16-1)*100))</f>
        <v/>
      </c>
      <c r="S1007" s="11">
        <f>IF(COUNT(O1007:R1007)=4,ROUND(AVERAGE(O1007:R1007),6),"")</f>
        <v/>
      </c>
      <c r="U1007">
        <f>IF(AND(ISNUMBER('자료_한국심리'!$A991),ISNUMBER('자료_한국심리'!$B991)),'자료_한국심리'!$A991,"")</f>
        <v/>
      </c>
      <c r="V1007">
        <f>IF(AND(ISNUMBER('자료_한국심리'!$D991),ISNUMBER('자료_한국심리'!$E991)),'자료_한국심리'!$D991,"")</f>
        <v/>
      </c>
      <c r="W1007">
        <f>IF(AND(ISNUMBER('자료_한국심리'!$G991),ISNUMBER('자료_한국심리'!$H991)),'자료_한국심리'!$G991,"")</f>
        <v/>
      </c>
      <c r="X1007">
        <f>IF(AND(ISNUMBER('자료_한국심리'!$J991),ISNUMBER('자료_한국심리'!$K991)),'자료_한국심리'!$J991,"")</f>
        <v/>
      </c>
      <c r="Y1007">
        <f>IF(AND(ISNUMBER('자료_한국심리'!$M991),ISNUMBER('자료_한국심리'!$N991)),'자료_한국심리'!$M991,"")</f>
        <v/>
      </c>
    </row>
    <row r="1008">
      <c r="A1008" s="10">
        <f>IF(990&gt;$E$5,"",SMALL($U$19:$U$4018,$E$6+990))</f>
        <v/>
      </c>
      <c r="B1008" s="29">
        <f>IF(A1008="","",INDEX('자료_한국심리'!$B$3:$B$4002,MATCH(A1008,$U$19:$U$4018,0)))</f>
        <v/>
      </c>
      <c r="C1008" s="22">
        <f>IF(A1008="","",B1008/AVERAGE(B884:B1008)-1)</f>
        <v/>
      </c>
      <c r="D1008" s="29">
        <f>IF(A1008="","",IFERROR(INDEX('자료_한국심리'!$E$3:$E$4002,MATCH(A1008,$V$19:$V$4018,0)),D1007))</f>
        <v/>
      </c>
      <c r="E1008" s="30">
        <f>IF(A1008="","",IFERROR(INDEX('자료_한국심리'!$H$3:$H$4002,MATCH(A1008,$W$19:$W$4018,0)),E1007))</f>
        <v/>
      </c>
      <c r="F1008" s="30">
        <f>IF(A1008="","",IFERROR(INDEX('자료_한국심리'!$K$3:$K$4002,MATCH(A1008,$X$19:$X$4018,0)),F1007))</f>
        <v/>
      </c>
      <c r="G1008" s="30">
        <f>IF(AND(ISNUMBER(E1008),ISNUMBER(F1008)),ROUND(E1008-F1008,6),"")</f>
        <v/>
      </c>
      <c r="H1008" s="25">
        <f>IF(A1008="","",IFERROR(INDEX('자료_한국심리'!$N$3:$N$4002,MATCH(A1008,$Y$19:$Y$4018,0)),H1007))</f>
        <v/>
      </c>
      <c r="I1008" s="31">
        <f>IF(AND(ISNUMBER(H1008),ISNUMBER(H988)),IF(H988&gt;0,H1008/H988-1,""),"")</f>
        <v/>
      </c>
      <c r="J1008">
        <f>IF(A1008="",0,IF(A1008&gt;$B$5,1,0))</f>
        <v/>
      </c>
      <c r="K1008" s="29">
        <f>IF(AND(J1008=1,ISNUMBER(D1008)),D1008,"")</f>
        <v/>
      </c>
      <c r="L1008" s="30">
        <f>IF(AND(J1008=1,ISNUMBER(G1008)),G1008,"")</f>
        <v/>
      </c>
      <c r="M1008" s="22">
        <f>IF(AND(J1008=1,ISNUMBER(C1008)),C1008,"")</f>
        <v/>
      </c>
      <c r="N1008" s="31">
        <f>IF(AND(J1008=1,ISNUMBER(I1008)),I1008,"")</f>
        <v/>
      </c>
      <c r="O1008" s="11">
        <f>IF(K1008="","",100-IF($G$13=1,50,(_xlfn.RANK.AVG(K1008,$K$19:$K$1518,1)-1)/($G$13-1)*100))</f>
        <v/>
      </c>
      <c r="P1008" s="11">
        <f>IF(L1008="","",100-IF($G$14=1,50,(_xlfn.RANK.AVG(L1008,$L$19:$L$1518,1)-1)/($G$14-1)*100))</f>
        <v/>
      </c>
      <c r="Q1008" s="11">
        <f>IF(M1008="","",IF($G$15=1,50,(_xlfn.RANK.AVG(M1008,$M$19:$M$1518,1)-1)/($G$15-1)*100))</f>
        <v/>
      </c>
      <c r="R1008" s="11">
        <f>IF(N1008="","",IF($G$16=1,50,(_xlfn.RANK.AVG(N1008,$N$19:$N$1518,1)-1)/($G$16-1)*100))</f>
        <v/>
      </c>
      <c r="S1008" s="11">
        <f>IF(COUNT(O1008:R1008)=4,ROUND(AVERAGE(O1008:R1008),6),"")</f>
        <v/>
      </c>
      <c r="U1008">
        <f>IF(AND(ISNUMBER('자료_한국심리'!$A992),ISNUMBER('자료_한국심리'!$B992)),'자료_한국심리'!$A992,"")</f>
        <v/>
      </c>
      <c r="V1008">
        <f>IF(AND(ISNUMBER('자료_한국심리'!$D992),ISNUMBER('자료_한국심리'!$E992)),'자료_한국심리'!$D992,"")</f>
        <v/>
      </c>
      <c r="W1008">
        <f>IF(AND(ISNUMBER('자료_한국심리'!$G992),ISNUMBER('자료_한국심리'!$H992)),'자료_한국심리'!$G992,"")</f>
        <v/>
      </c>
      <c r="X1008">
        <f>IF(AND(ISNUMBER('자료_한국심리'!$J992),ISNUMBER('자료_한국심리'!$K992)),'자료_한국심리'!$J992,"")</f>
        <v/>
      </c>
      <c r="Y1008">
        <f>IF(AND(ISNUMBER('자료_한국심리'!$M992),ISNUMBER('자료_한국심리'!$N992)),'자료_한국심리'!$M992,"")</f>
        <v/>
      </c>
    </row>
    <row r="1009">
      <c r="A1009" s="10">
        <f>IF(991&gt;$E$5,"",SMALL($U$19:$U$4018,$E$6+991))</f>
        <v/>
      </c>
      <c r="B1009" s="29">
        <f>IF(A1009="","",INDEX('자료_한국심리'!$B$3:$B$4002,MATCH(A1009,$U$19:$U$4018,0)))</f>
        <v/>
      </c>
      <c r="C1009" s="22">
        <f>IF(A1009="","",B1009/AVERAGE(B885:B1009)-1)</f>
        <v/>
      </c>
      <c r="D1009" s="29">
        <f>IF(A1009="","",IFERROR(INDEX('자료_한국심리'!$E$3:$E$4002,MATCH(A1009,$V$19:$V$4018,0)),D1008))</f>
        <v/>
      </c>
      <c r="E1009" s="30">
        <f>IF(A1009="","",IFERROR(INDEX('자료_한국심리'!$H$3:$H$4002,MATCH(A1009,$W$19:$W$4018,0)),E1008))</f>
        <v/>
      </c>
      <c r="F1009" s="30">
        <f>IF(A1009="","",IFERROR(INDEX('자료_한국심리'!$K$3:$K$4002,MATCH(A1009,$X$19:$X$4018,0)),F1008))</f>
        <v/>
      </c>
      <c r="G1009" s="30">
        <f>IF(AND(ISNUMBER(E1009),ISNUMBER(F1009)),ROUND(E1009-F1009,6),"")</f>
        <v/>
      </c>
      <c r="H1009" s="25">
        <f>IF(A1009="","",IFERROR(INDEX('자료_한국심리'!$N$3:$N$4002,MATCH(A1009,$Y$19:$Y$4018,0)),H1008))</f>
        <v/>
      </c>
      <c r="I1009" s="31">
        <f>IF(AND(ISNUMBER(H1009),ISNUMBER(H989)),IF(H989&gt;0,H1009/H989-1,""),"")</f>
        <v/>
      </c>
      <c r="J1009">
        <f>IF(A1009="",0,IF(A1009&gt;$B$5,1,0))</f>
        <v/>
      </c>
      <c r="K1009" s="29">
        <f>IF(AND(J1009=1,ISNUMBER(D1009)),D1009,"")</f>
        <v/>
      </c>
      <c r="L1009" s="30">
        <f>IF(AND(J1009=1,ISNUMBER(G1009)),G1009,"")</f>
        <v/>
      </c>
      <c r="M1009" s="22">
        <f>IF(AND(J1009=1,ISNUMBER(C1009)),C1009,"")</f>
        <v/>
      </c>
      <c r="N1009" s="31">
        <f>IF(AND(J1009=1,ISNUMBER(I1009)),I1009,"")</f>
        <v/>
      </c>
      <c r="O1009" s="11">
        <f>IF(K1009="","",100-IF($G$13=1,50,(_xlfn.RANK.AVG(K1009,$K$19:$K$1518,1)-1)/($G$13-1)*100))</f>
        <v/>
      </c>
      <c r="P1009" s="11">
        <f>IF(L1009="","",100-IF($G$14=1,50,(_xlfn.RANK.AVG(L1009,$L$19:$L$1518,1)-1)/($G$14-1)*100))</f>
        <v/>
      </c>
      <c r="Q1009" s="11">
        <f>IF(M1009="","",IF($G$15=1,50,(_xlfn.RANK.AVG(M1009,$M$19:$M$1518,1)-1)/($G$15-1)*100))</f>
        <v/>
      </c>
      <c r="R1009" s="11">
        <f>IF(N1009="","",IF($G$16=1,50,(_xlfn.RANK.AVG(N1009,$N$19:$N$1518,1)-1)/($G$16-1)*100))</f>
        <v/>
      </c>
      <c r="S1009" s="11">
        <f>IF(COUNT(O1009:R1009)=4,ROUND(AVERAGE(O1009:R1009),6),"")</f>
        <v/>
      </c>
      <c r="U1009">
        <f>IF(AND(ISNUMBER('자료_한국심리'!$A993),ISNUMBER('자료_한국심리'!$B993)),'자료_한국심리'!$A993,"")</f>
        <v/>
      </c>
      <c r="V1009">
        <f>IF(AND(ISNUMBER('자료_한국심리'!$D993),ISNUMBER('자료_한국심리'!$E993)),'자료_한국심리'!$D993,"")</f>
        <v/>
      </c>
      <c r="W1009">
        <f>IF(AND(ISNUMBER('자료_한국심리'!$G993),ISNUMBER('자료_한국심리'!$H993)),'자료_한국심리'!$G993,"")</f>
        <v/>
      </c>
      <c r="X1009">
        <f>IF(AND(ISNUMBER('자료_한국심리'!$J993),ISNUMBER('자료_한국심리'!$K993)),'자료_한국심리'!$J993,"")</f>
        <v/>
      </c>
      <c r="Y1009">
        <f>IF(AND(ISNUMBER('자료_한국심리'!$M993),ISNUMBER('자료_한국심리'!$N993)),'자료_한국심리'!$M993,"")</f>
        <v/>
      </c>
    </row>
    <row r="1010">
      <c r="A1010" s="10">
        <f>IF(992&gt;$E$5,"",SMALL($U$19:$U$4018,$E$6+992))</f>
        <v/>
      </c>
      <c r="B1010" s="29">
        <f>IF(A1010="","",INDEX('자료_한국심리'!$B$3:$B$4002,MATCH(A1010,$U$19:$U$4018,0)))</f>
        <v/>
      </c>
      <c r="C1010" s="22">
        <f>IF(A1010="","",B1010/AVERAGE(B886:B1010)-1)</f>
        <v/>
      </c>
      <c r="D1010" s="29">
        <f>IF(A1010="","",IFERROR(INDEX('자료_한국심리'!$E$3:$E$4002,MATCH(A1010,$V$19:$V$4018,0)),D1009))</f>
        <v/>
      </c>
      <c r="E1010" s="30">
        <f>IF(A1010="","",IFERROR(INDEX('자료_한국심리'!$H$3:$H$4002,MATCH(A1010,$W$19:$W$4018,0)),E1009))</f>
        <v/>
      </c>
      <c r="F1010" s="30">
        <f>IF(A1010="","",IFERROR(INDEX('자료_한국심리'!$K$3:$K$4002,MATCH(A1010,$X$19:$X$4018,0)),F1009))</f>
        <v/>
      </c>
      <c r="G1010" s="30">
        <f>IF(AND(ISNUMBER(E1010),ISNUMBER(F1010)),ROUND(E1010-F1010,6),"")</f>
        <v/>
      </c>
      <c r="H1010" s="25">
        <f>IF(A1010="","",IFERROR(INDEX('자료_한국심리'!$N$3:$N$4002,MATCH(A1010,$Y$19:$Y$4018,0)),H1009))</f>
        <v/>
      </c>
      <c r="I1010" s="31">
        <f>IF(AND(ISNUMBER(H1010),ISNUMBER(H990)),IF(H990&gt;0,H1010/H990-1,""),"")</f>
        <v/>
      </c>
      <c r="J1010">
        <f>IF(A1010="",0,IF(A1010&gt;$B$5,1,0))</f>
        <v/>
      </c>
      <c r="K1010" s="29">
        <f>IF(AND(J1010=1,ISNUMBER(D1010)),D1010,"")</f>
        <v/>
      </c>
      <c r="L1010" s="30">
        <f>IF(AND(J1010=1,ISNUMBER(G1010)),G1010,"")</f>
        <v/>
      </c>
      <c r="M1010" s="22">
        <f>IF(AND(J1010=1,ISNUMBER(C1010)),C1010,"")</f>
        <v/>
      </c>
      <c r="N1010" s="31">
        <f>IF(AND(J1010=1,ISNUMBER(I1010)),I1010,"")</f>
        <v/>
      </c>
      <c r="O1010" s="11">
        <f>IF(K1010="","",100-IF($G$13=1,50,(_xlfn.RANK.AVG(K1010,$K$19:$K$1518,1)-1)/($G$13-1)*100))</f>
        <v/>
      </c>
      <c r="P1010" s="11">
        <f>IF(L1010="","",100-IF($G$14=1,50,(_xlfn.RANK.AVG(L1010,$L$19:$L$1518,1)-1)/($G$14-1)*100))</f>
        <v/>
      </c>
      <c r="Q1010" s="11">
        <f>IF(M1010="","",IF($G$15=1,50,(_xlfn.RANK.AVG(M1010,$M$19:$M$1518,1)-1)/($G$15-1)*100))</f>
        <v/>
      </c>
      <c r="R1010" s="11">
        <f>IF(N1010="","",IF($G$16=1,50,(_xlfn.RANK.AVG(N1010,$N$19:$N$1518,1)-1)/($G$16-1)*100))</f>
        <v/>
      </c>
      <c r="S1010" s="11">
        <f>IF(COUNT(O1010:R1010)=4,ROUND(AVERAGE(O1010:R1010),6),"")</f>
        <v/>
      </c>
      <c r="U1010">
        <f>IF(AND(ISNUMBER('자료_한국심리'!$A994),ISNUMBER('자료_한국심리'!$B994)),'자료_한국심리'!$A994,"")</f>
        <v/>
      </c>
      <c r="V1010">
        <f>IF(AND(ISNUMBER('자료_한국심리'!$D994),ISNUMBER('자료_한국심리'!$E994)),'자료_한국심리'!$D994,"")</f>
        <v/>
      </c>
      <c r="W1010">
        <f>IF(AND(ISNUMBER('자료_한국심리'!$G994),ISNUMBER('자료_한국심리'!$H994)),'자료_한국심리'!$G994,"")</f>
        <v/>
      </c>
      <c r="X1010">
        <f>IF(AND(ISNUMBER('자료_한국심리'!$J994),ISNUMBER('자료_한국심리'!$K994)),'자료_한국심리'!$J994,"")</f>
        <v/>
      </c>
      <c r="Y1010">
        <f>IF(AND(ISNUMBER('자료_한국심리'!$M994),ISNUMBER('자료_한국심리'!$N994)),'자료_한국심리'!$M994,"")</f>
        <v/>
      </c>
    </row>
    <row r="1011">
      <c r="A1011" s="10">
        <f>IF(993&gt;$E$5,"",SMALL($U$19:$U$4018,$E$6+993))</f>
        <v/>
      </c>
      <c r="B1011" s="29">
        <f>IF(A1011="","",INDEX('자료_한국심리'!$B$3:$B$4002,MATCH(A1011,$U$19:$U$4018,0)))</f>
        <v/>
      </c>
      <c r="C1011" s="22">
        <f>IF(A1011="","",B1011/AVERAGE(B887:B1011)-1)</f>
        <v/>
      </c>
      <c r="D1011" s="29">
        <f>IF(A1011="","",IFERROR(INDEX('자료_한국심리'!$E$3:$E$4002,MATCH(A1011,$V$19:$V$4018,0)),D1010))</f>
        <v/>
      </c>
      <c r="E1011" s="30">
        <f>IF(A1011="","",IFERROR(INDEX('자료_한국심리'!$H$3:$H$4002,MATCH(A1011,$W$19:$W$4018,0)),E1010))</f>
        <v/>
      </c>
      <c r="F1011" s="30">
        <f>IF(A1011="","",IFERROR(INDEX('자료_한국심리'!$K$3:$K$4002,MATCH(A1011,$X$19:$X$4018,0)),F1010))</f>
        <v/>
      </c>
      <c r="G1011" s="30">
        <f>IF(AND(ISNUMBER(E1011),ISNUMBER(F1011)),ROUND(E1011-F1011,6),"")</f>
        <v/>
      </c>
      <c r="H1011" s="25">
        <f>IF(A1011="","",IFERROR(INDEX('자료_한국심리'!$N$3:$N$4002,MATCH(A1011,$Y$19:$Y$4018,0)),H1010))</f>
        <v/>
      </c>
      <c r="I1011" s="31">
        <f>IF(AND(ISNUMBER(H1011),ISNUMBER(H991)),IF(H991&gt;0,H1011/H991-1,""),"")</f>
        <v/>
      </c>
      <c r="J1011">
        <f>IF(A1011="",0,IF(A1011&gt;$B$5,1,0))</f>
        <v/>
      </c>
      <c r="K1011" s="29">
        <f>IF(AND(J1011=1,ISNUMBER(D1011)),D1011,"")</f>
        <v/>
      </c>
      <c r="L1011" s="30">
        <f>IF(AND(J1011=1,ISNUMBER(G1011)),G1011,"")</f>
        <v/>
      </c>
      <c r="M1011" s="22">
        <f>IF(AND(J1011=1,ISNUMBER(C1011)),C1011,"")</f>
        <v/>
      </c>
      <c r="N1011" s="31">
        <f>IF(AND(J1011=1,ISNUMBER(I1011)),I1011,"")</f>
        <v/>
      </c>
      <c r="O1011" s="11">
        <f>IF(K1011="","",100-IF($G$13=1,50,(_xlfn.RANK.AVG(K1011,$K$19:$K$1518,1)-1)/($G$13-1)*100))</f>
        <v/>
      </c>
      <c r="P1011" s="11">
        <f>IF(L1011="","",100-IF($G$14=1,50,(_xlfn.RANK.AVG(L1011,$L$19:$L$1518,1)-1)/($G$14-1)*100))</f>
        <v/>
      </c>
      <c r="Q1011" s="11">
        <f>IF(M1011="","",IF($G$15=1,50,(_xlfn.RANK.AVG(M1011,$M$19:$M$1518,1)-1)/($G$15-1)*100))</f>
        <v/>
      </c>
      <c r="R1011" s="11">
        <f>IF(N1011="","",IF($G$16=1,50,(_xlfn.RANK.AVG(N1011,$N$19:$N$1518,1)-1)/($G$16-1)*100))</f>
        <v/>
      </c>
      <c r="S1011" s="11">
        <f>IF(COUNT(O1011:R1011)=4,ROUND(AVERAGE(O1011:R1011),6),"")</f>
        <v/>
      </c>
      <c r="U1011">
        <f>IF(AND(ISNUMBER('자료_한국심리'!$A995),ISNUMBER('자료_한국심리'!$B995)),'자료_한국심리'!$A995,"")</f>
        <v/>
      </c>
      <c r="V1011">
        <f>IF(AND(ISNUMBER('자료_한국심리'!$D995),ISNUMBER('자료_한국심리'!$E995)),'자료_한국심리'!$D995,"")</f>
        <v/>
      </c>
      <c r="W1011">
        <f>IF(AND(ISNUMBER('자료_한국심리'!$G995),ISNUMBER('자료_한국심리'!$H995)),'자료_한국심리'!$G995,"")</f>
        <v/>
      </c>
      <c r="X1011">
        <f>IF(AND(ISNUMBER('자료_한국심리'!$J995),ISNUMBER('자료_한국심리'!$K995)),'자료_한국심리'!$J995,"")</f>
        <v/>
      </c>
      <c r="Y1011">
        <f>IF(AND(ISNUMBER('자료_한국심리'!$M995),ISNUMBER('자료_한국심리'!$N995)),'자료_한국심리'!$M995,"")</f>
        <v/>
      </c>
    </row>
    <row r="1012">
      <c r="A1012" s="10">
        <f>IF(994&gt;$E$5,"",SMALL($U$19:$U$4018,$E$6+994))</f>
        <v/>
      </c>
      <c r="B1012" s="29">
        <f>IF(A1012="","",INDEX('자료_한국심리'!$B$3:$B$4002,MATCH(A1012,$U$19:$U$4018,0)))</f>
        <v/>
      </c>
      <c r="C1012" s="22">
        <f>IF(A1012="","",B1012/AVERAGE(B888:B1012)-1)</f>
        <v/>
      </c>
      <c r="D1012" s="29">
        <f>IF(A1012="","",IFERROR(INDEX('자료_한국심리'!$E$3:$E$4002,MATCH(A1012,$V$19:$V$4018,0)),D1011))</f>
        <v/>
      </c>
      <c r="E1012" s="30">
        <f>IF(A1012="","",IFERROR(INDEX('자료_한국심리'!$H$3:$H$4002,MATCH(A1012,$W$19:$W$4018,0)),E1011))</f>
        <v/>
      </c>
      <c r="F1012" s="30">
        <f>IF(A1012="","",IFERROR(INDEX('자료_한국심리'!$K$3:$K$4002,MATCH(A1012,$X$19:$X$4018,0)),F1011))</f>
        <v/>
      </c>
      <c r="G1012" s="30">
        <f>IF(AND(ISNUMBER(E1012),ISNUMBER(F1012)),ROUND(E1012-F1012,6),"")</f>
        <v/>
      </c>
      <c r="H1012" s="25">
        <f>IF(A1012="","",IFERROR(INDEX('자료_한국심리'!$N$3:$N$4002,MATCH(A1012,$Y$19:$Y$4018,0)),H1011))</f>
        <v/>
      </c>
      <c r="I1012" s="31">
        <f>IF(AND(ISNUMBER(H1012),ISNUMBER(H992)),IF(H992&gt;0,H1012/H992-1,""),"")</f>
        <v/>
      </c>
      <c r="J1012">
        <f>IF(A1012="",0,IF(A1012&gt;$B$5,1,0))</f>
        <v/>
      </c>
      <c r="K1012" s="29">
        <f>IF(AND(J1012=1,ISNUMBER(D1012)),D1012,"")</f>
        <v/>
      </c>
      <c r="L1012" s="30">
        <f>IF(AND(J1012=1,ISNUMBER(G1012)),G1012,"")</f>
        <v/>
      </c>
      <c r="M1012" s="22">
        <f>IF(AND(J1012=1,ISNUMBER(C1012)),C1012,"")</f>
        <v/>
      </c>
      <c r="N1012" s="31">
        <f>IF(AND(J1012=1,ISNUMBER(I1012)),I1012,"")</f>
        <v/>
      </c>
      <c r="O1012" s="11">
        <f>IF(K1012="","",100-IF($G$13=1,50,(_xlfn.RANK.AVG(K1012,$K$19:$K$1518,1)-1)/($G$13-1)*100))</f>
        <v/>
      </c>
      <c r="P1012" s="11">
        <f>IF(L1012="","",100-IF($G$14=1,50,(_xlfn.RANK.AVG(L1012,$L$19:$L$1518,1)-1)/($G$14-1)*100))</f>
        <v/>
      </c>
      <c r="Q1012" s="11">
        <f>IF(M1012="","",IF($G$15=1,50,(_xlfn.RANK.AVG(M1012,$M$19:$M$1518,1)-1)/($G$15-1)*100))</f>
        <v/>
      </c>
      <c r="R1012" s="11">
        <f>IF(N1012="","",IF($G$16=1,50,(_xlfn.RANK.AVG(N1012,$N$19:$N$1518,1)-1)/($G$16-1)*100))</f>
        <v/>
      </c>
      <c r="S1012" s="11">
        <f>IF(COUNT(O1012:R1012)=4,ROUND(AVERAGE(O1012:R1012),6),"")</f>
        <v/>
      </c>
      <c r="U1012">
        <f>IF(AND(ISNUMBER('자료_한국심리'!$A996),ISNUMBER('자료_한국심리'!$B996)),'자료_한국심리'!$A996,"")</f>
        <v/>
      </c>
      <c r="V1012">
        <f>IF(AND(ISNUMBER('자료_한국심리'!$D996),ISNUMBER('자료_한국심리'!$E996)),'자료_한국심리'!$D996,"")</f>
        <v/>
      </c>
      <c r="W1012">
        <f>IF(AND(ISNUMBER('자료_한국심리'!$G996),ISNUMBER('자료_한국심리'!$H996)),'자료_한국심리'!$G996,"")</f>
        <v/>
      </c>
      <c r="X1012">
        <f>IF(AND(ISNUMBER('자료_한국심리'!$J996),ISNUMBER('자료_한국심리'!$K996)),'자료_한국심리'!$J996,"")</f>
        <v/>
      </c>
      <c r="Y1012">
        <f>IF(AND(ISNUMBER('자료_한국심리'!$M996),ISNUMBER('자료_한국심리'!$N996)),'자료_한국심리'!$M996,"")</f>
        <v/>
      </c>
    </row>
    <row r="1013">
      <c r="A1013" s="10">
        <f>IF(995&gt;$E$5,"",SMALL($U$19:$U$4018,$E$6+995))</f>
        <v/>
      </c>
      <c r="B1013" s="29">
        <f>IF(A1013="","",INDEX('자료_한국심리'!$B$3:$B$4002,MATCH(A1013,$U$19:$U$4018,0)))</f>
        <v/>
      </c>
      <c r="C1013" s="22">
        <f>IF(A1013="","",B1013/AVERAGE(B889:B1013)-1)</f>
        <v/>
      </c>
      <c r="D1013" s="29">
        <f>IF(A1013="","",IFERROR(INDEX('자료_한국심리'!$E$3:$E$4002,MATCH(A1013,$V$19:$V$4018,0)),D1012))</f>
        <v/>
      </c>
      <c r="E1013" s="30">
        <f>IF(A1013="","",IFERROR(INDEX('자료_한국심리'!$H$3:$H$4002,MATCH(A1013,$W$19:$W$4018,0)),E1012))</f>
        <v/>
      </c>
      <c r="F1013" s="30">
        <f>IF(A1013="","",IFERROR(INDEX('자료_한국심리'!$K$3:$K$4002,MATCH(A1013,$X$19:$X$4018,0)),F1012))</f>
        <v/>
      </c>
      <c r="G1013" s="30">
        <f>IF(AND(ISNUMBER(E1013),ISNUMBER(F1013)),ROUND(E1013-F1013,6),"")</f>
        <v/>
      </c>
      <c r="H1013" s="25">
        <f>IF(A1013="","",IFERROR(INDEX('자료_한국심리'!$N$3:$N$4002,MATCH(A1013,$Y$19:$Y$4018,0)),H1012))</f>
        <v/>
      </c>
      <c r="I1013" s="31">
        <f>IF(AND(ISNUMBER(H1013),ISNUMBER(H993)),IF(H993&gt;0,H1013/H993-1,""),"")</f>
        <v/>
      </c>
      <c r="J1013">
        <f>IF(A1013="",0,IF(A1013&gt;$B$5,1,0))</f>
        <v/>
      </c>
      <c r="K1013" s="29">
        <f>IF(AND(J1013=1,ISNUMBER(D1013)),D1013,"")</f>
        <v/>
      </c>
      <c r="L1013" s="30">
        <f>IF(AND(J1013=1,ISNUMBER(G1013)),G1013,"")</f>
        <v/>
      </c>
      <c r="M1013" s="22">
        <f>IF(AND(J1013=1,ISNUMBER(C1013)),C1013,"")</f>
        <v/>
      </c>
      <c r="N1013" s="31">
        <f>IF(AND(J1013=1,ISNUMBER(I1013)),I1013,"")</f>
        <v/>
      </c>
      <c r="O1013" s="11">
        <f>IF(K1013="","",100-IF($G$13=1,50,(_xlfn.RANK.AVG(K1013,$K$19:$K$1518,1)-1)/($G$13-1)*100))</f>
        <v/>
      </c>
      <c r="P1013" s="11">
        <f>IF(L1013="","",100-IF($G$14=1,50,(_xlfn.RANK.AVG(L1013,$L$19:$L$1518,1)-1)/($G$14-1)*100))</f>
        <v/>
      </c>
      <c r="Q1013" s="11">
        <f>IF(M1013="","",IF($G$15=1,50,(_xlfn.RANK.AVG(M1013,$M$19:$M$1518,1)-1)/($G$15-1)*100))</f>
        <v/>
      </c>
      <c r="R1013" s="11">
        <f>IF(N1013="","",IF($G$16=1,50,(_xlfn.RANK.AVG(N1013,$N$19:$N$1518,1)-1)/($G$16-1)*100))</f>
        <v/>
      </c>
      <c r="S1013" s="11">
        <f>IF(COUNT(O1013:R1013)=4,ROUND(AVERAGE(O1013:R1013),6),"")</f>
        <v/>
      </c>
      <c r="U1013">
        <f>IF(AND(ISNUMBER('자료_한국심리'!$A997),ISNUMBER('자료_한국심리'!$B997)),'자료_한국심리'!$A997,"")</f>
        <v/>
      </c>
      <c r="V1013">
        <f>IF(AND(ISNUMBER('자료_한국심리'!$D997),ISNUMBER('자료_한국심리'!$E997)),'자료_한국심리'!$D997,"")</f>
        <v/>
      </c>
      <c r="W1013">
        <f>IF(AND(ISNUMBER('자료_한국심리'!$G997),ISNUMBER('자료_한국심리'!$H997)),'자료_한국심리'!$G997,"")</f>
        <v/>
      </c>
      <c r="X1013">
        <f>IF(AND(ISNUMBER('자료_한국심리'!$J997),ISNUMBER('자료_한국심리'!$K997)),'자료_한국심리'!$J997,"")</f>
        <v/>
      </c>
      <c r="Y1013">
        <f>IF(AND(ISNUMBER('자료_한국심리'!$M997),ISNUMBER('자료_한국심리'!$N997)),'자료_한국심리'!$M997,"")</f>
        <v/>
      </c>
    </row>
    <row r="1014">
      <c r="A1014" s="10">
        <f>IF(996&gt;$E$5,"",SMALL($U$19:$U$4018,$E$6+996))</f>
        <v/>
      </c>
      <c r="B1014" s="29">
        <f>IF(A1014="","",INDEX('자료_한국심리'!$B$3:$B$4002,MATCH(A1014,$U$19:$U$4018,0)))</f>
        <v/>
      </c>
      <c r="C1014" s="22">
        <f>IF(A1014="","",B1014/AVERAGE(B890:B1014)-1)</f>
        <v/>
      </c>
      <c r="D1014" s="29">
        <f>IF(A1014="","",IFERROR(INDEX('자료_한국심리'!$E$3:$E$4002,MATCH(A1014,$V$19:$V$4018,0)),D1013))</f>
        <v/>
      </c>
      <c r="E1014" s="30">
        <f>IF(A1014="","",IFERROR(INDEX('자료_한국심리'!$H$3:$H$4002,MATCH(A1014,$W$19:$W$4018,0)),E1013))</f>
        <v/>
      </c>
      <c r="F1014" s="30">
        <f>IF(A1014="","",IFERROR(INDEX('자료_한국심리'!$K$3:$K$4002,MATCH(A1014,$X$19:$X$4018,0)),F1013))</f>
        <v/>
      </c>
      <c r="G1014" s="30">
        <f>IF(AND(ISNUMBER(E1014),ISNUMBER(F1014)),ROUND(E1014-F1014,6),"")</f>
        <v/>
      </c>
      <c r="H1014" s="25">
        <f>IF(A1014="","",IFERROR(INDEX('자료_한국심리'!$N$3:$N$4002,MATCH(A1014,$Y$19:$Y$4018,0)),H1013))</f>
        <v/>
      </c>
      <c r="I1014" s="31">
        <f>IF(AND(ISNUMBER(H1014),ISNUMBER(H994)),IF(H994&gt;0,H1014/H994-1,""),"")</f>
        <v/>
      </c>
      <c r="J1014">
        <f>IF(A1014="",0,IF(A1014&gt;$B$5,1,0))</f>
        <v/>
      </c>
      <c r="K1014" s="29">
        <f>IF(AND(J1014=1,ISNUMBER(D1014)),D1014,"")</f>
        <v/>
      </c>
      <c r="L1014" s="30">
        <f>IF(AND(J1014=1,ISNUMBER(G1014)),G1014,"")</f>
        <v/>
      </c>
      <c r="M1014" s="22">
        <f>IF(AND(J1014=1,ISNUMBER(C1014)),C1014,"")</f>
        <v/>
      </c>
      <c r="N1014" s="31">
        <f>IF(AND(J1014=1,ISNUMBER(I1014)),I1014,"")</f>
        <v/>
      </c>
      <c r="O1014" s="11">
        <f>IF(K1014="","",100-IF($G$13=1,50,(_xlfn.RANK.AVG(K1014,$K$19:$K$1518,1)-1)/($G$13-1)*100))</f>
        <v/>
      </c>
      <c r="P1014" s="11">
        <f>IF(L1014="","",100-IF($G$14=1,50,(_xlfn.RANK.AVG(L1014,$L$19:$L$1518,1)-1)/($G$14-1)*100))</f>
        <v/>
      </c>
      <c r="Q1014" s="11">
        <f>IF(M1014="","",IF($G$15=1,50,(_xlfn.RANK.AVG(M1014,$M$19:$M$1518,1)-1)/($G$15-1)*100))</f>
        <v/>
      </c>
      <c r="R1014" s="11">
        <f>IF(N1014="","",IF($G$16=1,50,(_xlfn.RANK.AVG(N1014,$N$19:$N$1518,1)-1)/($G$16-1)*100))</f>
        <v/>
      </c>
      <c r="S1014" s="11">
        <f>IF(COUNT(O1014:R1014)=4,ROUND(AVERAGE(O1014:R1014),6),"")</f>
        <v/>
      </c>
      <c r="U1014">
        <f>IF(AND(ISNUMBER('자료_한국심리'!$A998),ISNUMBER('자료_한국심리'!$B998)),'자료_한국심리'!$A998,"")</f>
        <v/>
      </c>
      <c r="V1014">
        <f>IF(AND(ISNUMBER('자료_한국심리'!$D998),ISNUMBER('자료_한국심리'!$E998)),'자료_한국심리'!$D998,"")</f>
        <v/>
      </c>
      <c r="W1014">
        <f>IF(AND(ISNUMBER('자료_한국심리'!$G998),ISNUMBER('자료_한국심리'!$H998)),'자료_한국심리'!$G998,"")</f>
        <v/>
      </c>
      <c r="X1014">
        <f>IF(AND(ISNUMBER('자료_한국심리'!$J998),ISNUMBER('자료_한국심리'!$K998)),'자료_한국심리'!$J998,"")</f>
        <v/>
      </c>
      <c r="Y1014">
        <f>IF(AND(ISNUMBER('자료_한국심리'!$M998),ISNUMBER('자료_한국심리'!$N998)),'자료_한국심리'!$M998,"")</f>
        <v/>
      </c>
    </row>
    <row r="1015">
      <c r="A1015" s="10">
        <f>IF(997&gt;$E$5,"",SMALL($U$19:$U$4018,$E$6+997))</f>
        <v/>
      </c>
      <c r="B1015" s="29">
        <f>IF(A1015="","",INDEX('자료_한국심리'!$B$3:$B$4002,MATCH(A1015,$U$19:$U$4018,0)))</f>
        <v/>
      </c>
      <c r="C1015" s="22">
        <f>IF(A1015="","",B1015/AVERAGE(B891:B1015)-1)</f>
        <v/>
      </c>
      <c r="D1015" s="29">
        <f>IF(A1015="","",IFERROR(INDEX('자료_한국심리'!$E$3:$E$4002,MATCH(A1015,$V$19:$V$4018,0)),D1014))</f>
        <v/>
      </c>
      <c r="E1015" s="30">
        <f>IF(A1015="","",IFERROR(INDEX('자료_한국심리'!$H$3:$H$4002,MATCH(A1015,$W$19:$W$4018,0)),E1014))</f>
        <v/>
      </c>
      <c r="F1015" s="30">
        <f>IF(A1015="","",IFERROR(INDEX('자료_한국심리'!$K$3:$K$4002,MATCH(A1015,$X$19:$X$4018,0)),F1014))</f>
        <v/>
      </c>
      <c r="G1015" s="30">
        <f>IF(AND(ISNUMBER(E1015),ISNUMBER(F1015)),ROUND(E1015-F1015,6),"")</f>
        <v/>
      </c>
      <c r="H1015" s="25">
        <f>IF(A1015="","",IFERROR(INDEX('자료_한국심리'!$N$3:$N$4002,MATCH(A1015,$Y$19:$Y$4018,0)),H1014))</f>
        <v/>
      </c>
      <c r="I1015" s="31">
        <f>IF(AND(ISNUMBER(H1015),ISNUMBER(H995)),IF(H995&gt;0,H1015/H995-1,""),"")</f>
        <v/>
      </c>
      <c r="J1015">
        <f>IF(A1015="",0,IF(A1015&gt;$B$5,1,0))</f>
        <v/>
      </c>
      <c r="K1015" s="29">
        <f>IF(AND(J1015=1,ISNUMBER(D1015)),D1015,"")</f>
        <v/>
      </c>
      <c r="L1015" s="30">
        <f>IF(AND(J1015=1,ISNUMBER(G1015)),G1015,"")</f>
        <v/>
      </c>
      <c r="M1015" s="22">
        <f>IF(AND(J1015=1,ISNUMBER(C1015)),C1015,"")</f>
        <v/>
      </c>
      <c r="N1015" s="31">
        <f>IF(AND(J1015=1,ISNUMBER(I1015)),I1015,"")</f>
        <v/>
      </c>
      <c r="O1015" s="11">
        <f>IF(K1015="","",100-IF($G$13=1,50,(_xlfn.RANK.AVG(K1015,$K$19:$K$1518,1)-1)/($G$13-1)*100))</f>
        <v/>
      </c>
      <c r="P1015" s="11">
        <f>IF(L1015="","",100-IF($G$14=1,50,(_xlfn.RANK.AVG(L1015,$L$19:$L$1518,1)-1)/($G$14-1)*100))</f>
        <v/>
      </c>
      <c r="Q1015" s="11">
        <f>IF(M1015="","",IF($G$15=1,50,(_xlfn.RANK.AVG(M1015,$M$19:$M$1518,1)-1)/($G$15-1)*100))</f>
        <v/>
      </c>
      <c r="R1015" s="11">
        <f>IF(N1015="","",IF($G$16=1,50,(_xlfn.RANK.AVG(N1015,$N$19:$N$1518,1)-1)/($G$16-1)*100))</f>
        <v/>
      </c>
      <c r="S1015" s="11">
        <f>IF(COUNT(O1015:R1015)=4,ROUND(AVERAGE(O1015:R1015),6),"")</f>
        <v/>
      </c>
      <c r="U1015">
        <f>IF(AND(ISNUMBER('자료_한국심리'!$A999),ISNUMBER('자료_한국심리'!$B999)),'자료_한국심리'!$A999,"")</f>
        <v/>
      </c>
      <c r="V1015">
        <f>IF(AND(ISNUMBER('자료_한국심리'!$D999),ISNUMBER('자료_한국심리'!$E999)),'자료_한국심리'!$D999,"")</f>
        <v/>
      </c>
      <c r="W1015">
        <f>IF(AND(ISNUMBER('자료_한국심리'!$G999),ISNUMBER('자료_한국심리'!$H999)),'자료_한국심리'!$G999,"")</f>
        <v/>
      </c>
      <c r="X1015">
        <f>IF(AND(ISNUMBER('자료_한국심리'!$J999),ISNUMBER('자료_한국심리'!$K999)),'자료_한국심리'!$J999,"")</f>
        <v/>
      </c>
      <c r="Y1015">
        <f>IF(AND(ISNUMBER('자료_한국심리'!$M999),ISNUMBER('자료_한국심리'!$N999)),'자료_한국심리'!$M999,"")</f>
        <v/>
      </c>
    </row>
    <row r="1016">
      <c r="A1016" s="10">
        <f>IF(998&gt;$E$5,"",SMALL($U$19:$U$4018,$E$6+998))</f>
        <v/>
      </c>
      <c r="B1016" s="29">
        <f>IF(A1016="","",INDEX('자료_한국심리'!$B$3:$B$4002,MATCH(A1016,$U$19:$U$4018,0)))</f>
        <v/>
      </c>
      <c r="C1016" s="22">
        <f>IF(A1016="","",B1016/AVERAGE(B892:B1016)-1)</f>
        <v/>
      </c>
      <c r="D1016" s="29">
        <f>IF(A1016="","",IFERROR(INDEX('자료_한국심리'!$E$3:$E$4002,MATCH(A1016,$V$19:$V$4018,0)),D1015))</f>
        <v/>
      </c>
      <c r="E1016" s="30">
        <f>IF(A1016="","",IFERROR(INDEX('자료_한국심리'!$H$3:$H$4002,MATCH(A1016,$W$19:$W$4018,0)),E1015))</f>
        <v/>
      </c>
      <c r="F1016" s="30">
        <f>IF(A1016="","",IFERROR(INDEX('자료_한국심리'!$K$3:$K$4002,MATCH(A1016,$X$19:$X$4018,0)),F1015))</f>
        <v/>
      </c>
      <c r="G1016" s="30">
        <f>IF(AND(ISNUMBER(E1016),ISNUMBER(F1016)),ROUND(E1016-F1016,6),"")</f>
        <v/>
      </c>
      <c r="H1016" s="25">
        <f>IF(A1016="","",IFERROR(INDEX('자료_한국심리'!$N$3:$N$4002,MATCH(A1016,$Y$19:$Y$4018,0)),H1015))</f>
        <v/>
      </c>
      <c r="I1016" s="31">
        <f>IF(AND(ISNUMBER(H1016),ISNUMBER(H996)),IF(H996&gt;0,H1016/H996-1,""),"")</f>
        <v/>
      </c>
      <c r="J1016">
        <f>IF(A1016="",0,IF(A1016&gt;$B$5,1,0))</f>
        <v/>
      </c>
      <c r="K1016" s="29">
        <f>IF(AND(J1016=1,ISNUMBER(D1016)),D1016,"")</f>
        <v/>
      </c>
      <c r="L1016" s="30">
        <f>IF(AND(J1016=1,ISNUMBER(G1016)),G1016,"")</f>
        <v/>
      </c>
      <c r="M1016" s="22">
        <f>IF(AND(J1016=1,ISNUMBER(C1016)),C1016,"")</f>
        <v/>
      </c>
      <c r="N1016" s="31">
        <f>IF(AND(J1016=1,ISNUMBER(I1016)),I1016,"")</f>
        <v/>
      </c>
      <c r="O1016" s="11">
        <f>IF(K1016="","",100-IF($G$13=1,50,(_xlfn.RANK.AVG(K1016,$K$19:$K$1518,1)-1)/($G$13-1)*100))</f>
        <v/>
      </c>
      <c r="P1016" s="11">
        <f>IF(L1016="","",100-IF($G$14=1,50,(_xlfn.RANK.AVG(L1016,$L$19:$L$1518,1)-1)/($G$14-1)*100))</f>
        <v/>
      </c>
      <c r="Q1016" s="11">
        <f>IF(M1016="","",IF($G$15=1,50,(_xlfn.RANK.AVG(M1016,$M$19:$M$1518,1)-1)/($G$15-1)*100))</f>
        <v/>
      </c>
      <c r="R1016" s="11">
        <f>IF(N1016="","",IF($G$16=1,50,(_xlfn.RANK.AVG(N1016,$N$19:$N$1518,1)-1)/($G$16-1)*100))</f>
        <v/>
      </c>
      <c r="S1016" s="11">
        <f>IF(COUNT(O1016:R1016)=4,ROUND(AVERAGE(O1016:R1016),6),"")</f>
        <v/>
      </c>
      <c r="U1016">
        <f>IF(AND(ISNUMBER('자료_한국심리'!$A1000),ISNUMBER('자료_한국심리'!$B1000)),'자료_한국심리'!$A1000,"")</f>
        <v/>
      </c>
      <c r="V1016">
        <f>IF(AND(ISNUMBER('자료_한국심리'!$D1000),ISNUMBER('자료_한국심리'!$E1000)),'자료_한국심리'!$D1000,"")</f>
        <v/>
      </c>
      <c r="W1016">
        <f>IF(AND(ISNUMBER('자료_한국심리'!$G1000),ISNUMBER('자료_한국심리'!$H1000)),'자료_한국심리'!$G1000,"")</f>
        <v/>
      </c>
      <c r="X1016">
        <f>IF(AND(ISNUMBER('자료_한국심리'!$J1000),ISNUMBER('자료_한국심리'!$K1000)),'자료_한국심리'!$J1000,"")</f>
        <v/>
      </c>
      <c r="Y1016">
        <f>IF(AND(ISNUMBER('자료_한국심리'!$M1000),ISNUMBER('자료_한국심리'!$N1000)),'자료_한국심리'!$M1000,"")</f>
        <v/>
      </c>
    </row>
    <row r="1017">
      <c r="A1017" s="10">
        <f>IF(999&gt;$E$5,"",SMALL($U$19:$U$4018,$E$6+999))</f>
        <v/>
      </c>
      <c r="B1017" s="29">
        <f>IF(A1017="","",INDEX('자료_한국심리'!$B$3:$B$4002,MATCH(A1017,$U$19:$U$4018,0)))</f>
        <v/>
      </c>
      <c r="C1017" s="22">
        <f>IF(A1017="","",B1017/AVERAGE(B893:B1017)-1)</f>
        <v/>
      </c>
      <c r="D1017" s="29">
        <f>IF(A1017="","",IFERROR(INDEX('자료_한국심리'!$E$3:$E$4002,MATCH(A1017,$V$19:$V$4018,0)),D1016))</f>
        <v/>
      </c>
      <c r="E1017" s="30">
        <f>IF(A1017="","",IFERROR(INDEX('자료_한국심리'!$H$3:$H$4002,MATCH(A1017,$W$19:$W$4018,0)),E1016))</f>
        <v/>
      </c>
      <c r="F1017" s="30">
        <f>IF(A1017="","",IFERROR(INDEX('자료_한국심리'!$K$3:$K$4002,MATCH(A1017,$X$19:$X$4018,0)),F1016))</f>
        <v/>
      </c>
      <c r="G1017" s="30">
        <f>IF(AND(ISNUMBER(E1017),ISNUMBER(F1017)),ROUND(E1017-F1017,6),"")</f>
        <v/>
      </c>
      <c r="H1017" s="25">
        <f>IF(A1017="","",IFERROR(INDEX('자료_한국심리'!$N$3:$N$4002,MATCH(A1017,$Y$19:$Y$4018,0)),H1016))</f>
        <v/>
      </c>
      <c r="I1017" s="31">
        <f>IF(AND(ISNUMBER(H1017),ISNUMBER(H997)),IF(H997&gt;0,H1017/H997-1,""),"")</f>
        <v/>
      </c>
      <c r="J1017">
        <f>IF(A1017="",0,IF(A1017&gt;$B$5,1,0))</f>
        <v/>
      </c>
      <c r="K1017" s="29">
        <f>IF(AND(J1017=1,ISNUMBER(D1017)),D1017,"")</f>
        <v/>
      </c>
      <c r="L1017" s="30">
        <f>IF(AND(J1017=1,ISNUMBER(G1017)),G1017,"")</f>
        <v/>
      </c>
      <c r="M1017" s="22">
        <f>IF(AND(J1017=1,ISNUMBER(C1017)),C1017,"")</f>
        <v/>
      </c>
      <c r="N1017" s="31">
        <f>IF(AND(J1017=1,ISNUMBER(I1017)),I1017,"")</f>
        <v/>
      </c>
      <c r="O1017" s="11">
        <f>IF(K1017="","",100-IF($G$13=1,50,(_xlfn.RANK.AVG(K1017,$K$19:$K$1518,1)-1)/($G$13-1)*100))</f>
        <v/>
      </c>
      <c r="P1017" s="11">
        <f>IF(L1017="","",100-IF($G$14=1,50,(_xlfn.RANK.AVG(L1017,$L$19:$L$1518,1)-1)/($G$14-1)*100))</f>
        <v/>
      </c>
      <c r="Q1017" s="11">
        <f>IF(M1017="","",IF($G$15=1,50,(_xlfn.RANK.AVG(M1017,$M$19:$M$1518,1)-1)/($G$15-1)*100))</f>
        <v/>
      </c>
      <c r="R1017" s="11">
        <f>IF(N1017="","",IF($G$16=1,50,(_xlfn.RANK.AVG(N1017,$N$19:$N$1518,1)-1)/($G$16-1)*100))</f>
        <v/>
      </c>
      <c r="S1017" s="11">
        <f>IF(COUNT(O1017:R1017)=4,ROUND(AVERAGE(O1017:R1017),6),"")</f>
        <v/>
      </c>
      <c r="U1017">
        <f>IF(AND(ISNUMBER('자료_한국심리'!$A1001),ISNUMBER('자료_한국심리'!$B1001)),'자료_한국심리'!$A1001,"")</f>
        <v/>
      </c>
      <c r="V1017">
        <f>IF(AND(ISNUMBER('자료_한국심리'!$D1001),ISNUMBER('자료_한국심리'!$E1001)),'자료_한국심리'!$D1001,"")</f>
        <v/>
      </c>
      <c r="W1017">
        <f>IF(AND(ISNUMBER('자료_한국심리'!$G1001),ISNUMBER('자료_한국심리'!$H1001)),'자료_한국심리'!$G1001,"")</f>
        <v/>
      </c>
      <c r="X1017">
        <f>IF(AND(ISNUMBER('자료_한국심리'!$J1001),ISNUMBER('자료_한국심리'!$K1001)),'자료_한국심리'!$J1001,"")</f>
        <v/>
      </c>
      <c r="Y1017">
        <f>IF(AND(ISNUMBER('자료_한국심리'!$M1001),ISNUMBER('자료_한국심리'!$N1001)),'자료_한국심리'!$M1001,"")</f>
        <v/>
      </c>
    </row>
    <row r="1018">
      <c r="A1018" s="10">
        <f>IF(1000&gt;$E$5,"",SMALL($U$19:$U$4018,$E$6+1000))</f>
        <v/>
      </c>
      <c r="B1018" s="29">
        <f>IF(A1018="","",INDEX('자료_한국심리'!$B$3:$B$4002,MATCH(A1018,$U$19:$U$4018,0)))</f>
        <v/>
      </c>
      <c r="C1018" s="22">
        <f>IF(A1018="","",B1018/AVERAGE(B894:B1018)-1)</f>
        <v/>
      </c>
      <c r="D1018" s="29">
        <f>IF(A1018="","",IFERROR(INDEX('자료_한국심리'!$E$3:$E$4002,MATCH(A1018,$V$19:$V$4018,0)),D1017))</f>
        <v/>
      </c>
      <c r="E1018" s="30">
        <f>IF(A1018="","",IFERROR(INDEX('자료_한국심리'!$H$3:$H$4002,MATCH(A1018,$W$19:$W$4018,0)),E1017))</f>
        <v/>
      </c>
      <c r="F1018" s="30">
        <f>IF(A1018="","",IFERROR(INDEX('자료_한국심리'!$K$3:$K$4002,MATCH(A1018,$X$19:$X$4018,0)),F1017))</f>
        <v/>
      </c>
      <c r="G1018" s="30">
        <f>IF(AND(ISNUMBER(E1018),ISNUMBER(F1018)),ROUND(E1018-F1018,6),"")</f>
        <v/>
      </c>
      <c r="H1018" s="25">
        <f>IF(A1018="","",IFERROR(INDEX('자료_한국심리'!$N$3:$N$4002,MATCH(A1018,$Y$19:$Y$4018,0)),H1017))</f>
        <v/>
      </c>
      <c r="I1018" s="31">
        <f>IF(AND(ISNUMBER(H1018),ISNUMBER(H998)),IF(H998&gt;0,H1018/H998-1,""),"")</f>
        <v/>
      </c>
      <c r="J1018">
        <f>IF(A1018="",0,IF(A1018&gt;$B$5,1,0))</f>
        <v/>
      </c>
      <c r="K1018" s="29">
        <f>IF(AND(J1018=1,ISNUMBER(D1018)),D1018,"")</f>
        <v/>
      </c>
      <c r="L1018" s="30">
        <f>IF(AND(J1018=1,ISNUMBER(G1018)),G1018,"")</f>
        <v/>
      </c>
      <c r="M1018" s="22">
        <f>IF(AND(J1018=1,ISNUMBER(C1018)),C1018,"")</f>
        <v/>
      </c>
      <c r="N1018" s="31">
        <f>IF(AND(J1018=1,ISNUMBER(I1018)),I1018,"")</f>
        <v/>
      </c>
      <c r="O1018" s="11">
        <f>IF(K1018="","",100-IF($G$13=1,50,(_xlfn.RANK.AVG(K1018,$K$19:$K$1518,1)-1)/($G$13-1)*100))</f>
        <v/>
      </c>
      <c r="P1018" s="11">
        <f>IF(L1018="","",100-IF($G$14=1,50,(_xlfn.RANK.AVG(L1018,$L$19:$L$1518,1)-1)/($G$14-1)*100))</f>
        <v/>
      </c>
      <c r="Q1018" s="11">
        <f>IF(M1018="","",IF($G$15=1,50,(_xlfn.RANK.AVG(M1018,$M$19:$M$1518,1)-1)/($G$15-1)*100))</f>
        <v/>
      </c>
      <c r="R1018" s="11">
        <f>IF(N1018="","",IF($G$16=1,50,(_xlfn.RANK.AVG(N1018,$N$19:$N$1518,1)-1)/($G$16-1)*100))</f>
        <v/>
      </c>
      <c r="S1018" s="11">
        <f>IF(COUNT(O1018:R1018)=4,ROUND(AVERAGE(O1018:R1018),6),"")</f>
        <v/>
      </c>
      <c r="U1018">
        <f>IF(AND(ISNUMBER('자료_한국심리'!$A1002),ISNUMBER('자료_한국심리'!$B1002)),'자료_한국심리'!$A1002,"")</f>
        <v/>
      </c>
      <c r="V1018">
        <f>IF(AND(ISNUMBER('자료_한국심리'!$D1002),ISNUMBER('자료_한국심리'!$E1002)),'자료_한국심리'!$D1002,"")</f>
        <v/>
      </c>
      <c r="W1018">
        <f>IF(AND(ISNUMBER('자료_한국심리'!$G1002),ISNUMBER('자료_한국심리'!$H1002)),'자료_한국심리'!$G1002,"")</f>
        <v/>
      </c>
      <c r="X1018">
        <f>IF(AND(ISNUMBER('자료_한국심리'!$J1002),ISNUMBER('자료_한국심리'!$K1002)),'자료_한국심리'!$J1002,"")</f>
        <v/>
      </c>
      <c r="Y1018">
        <f>IF(AND(ISNUMBER('자료_한국심리'!$M1002),ISNUMBER('자료_한국심리'!$N1002)),'자료_한국심리'!$M1002,"")</f>
        <v/>
      </c>
    </row>
    <row r="1019">
      <c r="A1019" s="10">
        <f>IF(1001&gt;$E$5,"",SMALL($U$19:$U$4018,$E$6+1001))</f>
        <v/>
      </c>
      <c r="B1019" s="29">
        <f>IF(A1019="","",INDEX('자료_한국심리'!$B$3:$B$4002,MATCH(A1019,$U$19:$U$4018,0)))</f>
        <v/>
      </c>
      <c r="C1019" s="22">
        <f>IF(A1019="","",B1019/AVERAGE(B895:B1019)-1)</f>
        <v/>
      </c>
      <c r="D1019" s="29">
        <f>IF(A1019="","",IFERROR(INDEX('자료_한국심리'!$E$3:$E$4002,MATCH(A1019,$V$19:$V$4018,0)),D1018))</f>
        <v/>
      </c>
      <c r="E1019" s="30">
        <f>IF(A1019="","",IFERROR(INDEX('자료_한국심리'!$H$3:$H$4002,MATCH(A1019,$W$19:$W$4018,0)),E1018))</f>
        <v/>
      </c>
      <c r="F1019" s="30">
        <f>IF(A1019="","",IFERROR(INDEX('자료_한국심리'!$K$3:$K$4002,MATCH(A1019,$X$19:$X$4018,0)),F1018))</f>
        <v/>
      </c>
      <c r="G1019" s="30">
        <f>IF(AND(ISNUMBER(E1019),ISNUMBER(F1019)),ROUND(E1019-F1019,6),"")</f>
        <v/>
      </c>
      <c r="H1019" s="25">
        <f>IF(A1019="","",IFERROR(INDEX('자료_한국심리'!$N$3:$N$4002,MATCH(A1019,$Y$19:$Y$4018,0)),H1018))</f>
        <v/>
      </c>
      <c r="I1019" s="31">
        <f>IF(AND(ISNUMBER(H1019),ISNUMBER(H999)),IF(H999&gt;0,H1019/H999-1,""),"")</f>
        <v/>
      </c>
      <c r="J1019">
        <f>IF(A1019="",0,IF(A1019&gt;$B$5,1,0))</f>
        <v/>
      </c>
      <c r="K1019" s="29">
        <f>IF(AND(J1019=1,ISNUMBER(D1019)),D1019,"")</f>
        <v/>
      </c>
      <c r="L1019" s="30">
        <f>IF(AND(J1019=1,ISNUMBER(G1019)),G1019,"")</f>
        <v/>
      </c>
      <c r="M1019" s="22">
        <f>IF(AND(J1019=1,ISNUMBER(C1019)),C1019,"")</f>
        <v/>
      </c>
      <c r="N1019" s="31">
        <f>IF(AND(J1019=1,ISNUMBER(I1019)),I1019,"")</f>
        <v/>
      </c>
      <c r="O1019" s="11">
        <f>IF(K1019="","",100-IF($G$13=1,50,(_xlfn.RANK.AVG(K1019,$K$19:$K$1518,1)-1)/($G$13-1)*100))</f>
        <v/>
      </c>
      <c r="P1019" s="11">
        <f>IF(L1019="","",100-IF($G$14=1,50,(_xlfn.RANK.AVG(L1019,$L$19:$L$1518,1)-1)/($G$14-1)*100))</f>
        <v/>
      </c>
      <c r="Q1019" s="11">
        <f>IF(M1019="","",IF($G$15=1,50,(_xlfn.RANK.AVG(M1019,$M$19:$M$1518,1)-1)/($G$15-1)*100))</f>
        <v/>
      </c>
      <c r="R1019" s="11">
        <f>IF(N1019="","",IF($G$16=1,50,(_xlfn.RANK.AVG(N1019,$N$19:$N$1518,1)-1)/($G$16-1)*100))</f>
        <v/>
      </c>
      <c r="S1019" s="11">
        <f>IF(COUNT(O1019:R1019)=4,ROUND(AVERAGE(O1019:R1019),6),"")</f>
        <v/>
      </c>
      <c r="U1019">
        <f>IF(AND(ISNUMBER('자료_한국심리'!$A1003),ISNUMBER('자료_한국심리'!$B1003)),'자료_한국심리'!$A1003,"")</f>
        <v/>
      </c>
      <c r="V1019">
        <f>IF(AND(ISNUMBER('자료_한국심리'!$D1003),ISNUMBER('자료_한국심리'!$E1003)),'자료_한국심리'!$D1003,"")</f>
        <v/>
      </c>
      <c r="W1019">
        <f>IF(AND(ISNUMBER('자료_한국심리'!$G1003),ISNUMBER('자료_한국심리'!$H1003)),'자료_한국심리'!$G1003,"")</f>
        <v/>
      </c>
      <c r="X1019">
        <f>IF(AND(ISNUMBER('자료_한국심리'!$J1003),ISNUMBER('자료_한국심리'!$K1003)),'자료_한국심리'!$J1003,"")</f>
        <v/>
      </c>
      <c r="Y1019">
        <f>IF(AND(ISNUMBER('자료_한국심리'!$M1003),ISNUMBER('자료_한국심리'!$N1003)),'자료_한국심리'!$M1003,"")</f>
        <v/>
      </c>
    </row>
    <row r="1020">
      <c r="A1020" s="10">
        <f>IF(1002&gt;$E$5,"",SMALL($U$19:$U$4018,$E$6+1002))</f>
        <v/>
      </c>
      <c r="B1020" s="29">
        <f>IF(A1020="","",INDEX('자료_한국심리'!$B$3:$B$4002,MATCH(A1020,$U$19:$U$4018,0)))</f>
        <v/>
      </c>
      <c r="C1020" s="22">
        <f>IF(A1020="","",B1020/AVERAGE(B896:B1020)-1)</f>
        <v/>
      </c>
      <c r="D1020" s="29">
        <f>IF(A1020="","",IFERROR(INDEX('자료_한국심리'!$E$3:$E$4002,MATCH(A1020,$V$19:$V$4018,0)),D1019))</f>
        <v/>
      </c>
      <c r="E1020" s="30">
        <f>IF(A1020="","",IFERROR(INDEX('자료_한국심리'!$H$3:$H$4002,MATCH(A1020,$W$19:$W$4018,0)),E1019))</f>
        <v/>
      </c>
      <c r="F1020" s="30">
        <f>IF(A1020="","",IFERROR(INDEX('자료_한국심리'!$K$3:$K$4002,MATCH(A1020,$X$19:$X$4018,0)),F1019))</f>
        <v/>
      </c>
      <c r="G1020" s="30">
        <f>IF(AND(ISNUMBER(E1020),ISNUMBER(F1020)),ROUND(E1020-F1020,6),"")</f>
        <v/>
      </c>
      <c r="H1020" s="25">
        <f>IF(A1020="","",IFERROR(INDEX('자료_한국심리'!$N$3:$N$4002,MATCH(A1020,$Y$19:$Y$4018,0)),H1019))</f>
        <v/>
      </c>
      <c r="I1020" s="31">
        <f>IF(AND(ISNUMBER(H1020),ISNUMBER(H1000)),IF(H1000&gt;0,H1020/H1000-1,""),"")</f>
        <v/>
      </c>
      <c r="J1020">
        <f>IF(A1020="",0,IF(A1020&gt;$B$5,1,0))</f>
        <v/>
      </c>
      <c r="K1020" s="29">
        <f>IF(AND(J1020=1,ISNUMBER(D1020)),D1020,"")</f>
        <v/>
      </c>
      <c r="L1020" s="30">
        <f>IF(AND(J1020=1,ISNUMBER(G1020)),G1020,"")</f>
        <v/>
      </c>
      <c r="M1020" s="22">
        <f>IF(AND(J1020=1,ISNUMBER(C1020)),C1020,"")</f>
        <v/>
      </c>
      <c r="N1020" s="31">
        <f>IF(AND(J1020=1,ISNUMBER(I1020)),I1020,"")</f>
        <v/>
      </c>
      <c r="O1020" s="11">
        <f>IF(K1020="","",100-IF($G$13=1,50,(_xlfn.RANK.AVG(K1020,$K$19:$K$1518,1)-1)/($G$13-1)*100))</f>
        <v/>
      </c>
      <c r="P1020" s="11">
        <f>IF(L1020="","",100-IF($G$14=1,50,(_xlfn.RANK.AVG(L1020,$L$19:$L$1518,1)-1)/($G$14-1)*100))</f>
        <v/>
      </c>
      <c r="Q1020" s="11">
        <f>IF(M1020="","",IF($G$15=1,50,(_xlfn.RANK.AVG(M1020,$M$19:$M$1518,1)-1)/($G$15-1)*100))</f>
        <v/>
      </c>
      <c r="R1020" s="11">
        <f>IF(N1020="","",IF($G$16=1,50,(_xlfn.RANK.AVG(N1020,$N$19:$N$1518,1)-1)/($G$16-1)*100))</f>
        <v/>
      </c>
      <c r="S1020" s="11">
        <f>IF(COUNT(O1020:R1020)=4,ROUND(AVERAGE(O1020:R1020),6),"")</f>
        <v/>
      </c>
      <c r="U1020">
        <f>IF(AND(ISNUMBER('자료_한국심리'!$A1004),ISNUMBER('자료_한국심리'!$B1004)),'자료_한국심리'!$A1004,"")</f>
        <v/>
      </c>
      <c r="V1020">
        <f>IF(AND(ISNUMBER('자료_한국심리'!$D1004),ISNUMBER('자료_한국심리'!$E1004)),'자료_한국심리'!$D1004,"")</f>
        <v/>
      </c>
      <c r="W1020">
        <f>IF(AND(ISNUMBER('자료_한국심리'!$G1004),ISNUMBER('자료_한국심리'!$H1004)),'자료_한국심리'!$G1004,"")</f>
        <v/>
      </c>
      <c r="X1020">
        <f>IF(AND(ISNUMBER('자료_한국심리'!$J1004),ISNUMBER('자료_한국심리'!$K1004)),'자료_한국심리'!$J1004,"")</f>
        <v/>
      </c>
      <c r="Y1020">
        <f>IF(AND(ISNUMBER('자료_한국심리'!$M1004),ISNUMBER('자료_한국심리'!$N1004)),'자료_한국심리'!$M1004,"")</f>
        <v/>
      </c>
    </row>
    <row r="1021">
      <c r="A1021" s="10">
        <f>IF(1003&gt;$E$5,"",SMALL($U$19:$U$4018,$E$6+1003))</f>
        <v/>
      </c>
      <c r="B1021" s="29">
        <f>IF(A1021="","",INDEX('자료_한국심리'!$B$3:$B$4002,MATCH(A1021,$U$19:$U$4018,0)))</f>
        <v/>
      </c>
      <c r="C1021" s="22">
        <f>IF(A1021="","",B1021/AVERAGE(B897:B1021)-1)</f>
        <v/>
      </c>
      <c r="D1021" s="29">
        <f>IF(A1021="","",IFERROR(INDEX('자료_한국심리'!$E$3:$E$4002,MATCH(A1021,$V$19:$V$4018,0)),D1020))</f>
        <v/>
      </c>
      <c r="E1021" s="30">
        <f>IF(A1021="","",IFERROR(INDEX('자료_한국심리'!$H$3:$H$4002,MATCH(A1021,$W$19:$W$4018,0)),E1020))</f>
        <v/>
      </c>
      <c r="F1021" s="30">
        <f>IF(A1021="","",IFERROR(INDEX('자료_한국심리'!$K$3:$K$4002,MATCH(A1021,$X$19:$X$4018,0)),F1020))</f>
        <v/>
      </c>
      <c r="G1021" s="30">
        <f>IF(AND(ISNUMBER(E1021),ISNUMBER(F1021)),ROUND(E1021-F1021,6),"")</f>
        <v/>
      </c>
      <c r="H1021" s="25">
        <f>IF(A1021="","",IFERROR(INDEX('자료_한국심리'!$N$3:$N$4002,MATCH(A1021,$Y$19:$Y$4018,0)),H1020))</f>
        <v/>
      </c>
      <c r="I1021" s="31">
        <f>IF(AND(ISNUMBER(H1021),ISNUMBER(H1001)),IF(H1001&gt;0,H1021/H1001-1,""),"")</f>
        <v/>
      </c>
      <c r="J1021">
        <f>IF(A1021="",0,IF(A1021&gt;$B$5,1,0))</f>
        <v/>
      </c>
      <c r="K1021" s="29">
        <f>IF(AND(J1021=1,ISNUMBER(D1021)),D1021,"")</f>
        <v/>
      </c>
      <c r="L1021" s="30">
        <f>IF(AND(J1021=1,ISNUMBER(G1021)),G1021,"")</f>
        <v/>
      </c>
      <c r="M1021" s="22">
        <f>IF(AND(J1021=1,ISNUMBER(C1021)),C1021,"")</f>
        <v/>
      </c>
      <c r="N1021" s="31">
        <f>IF(AND(J1021=1,ISNUMBER(I1021)),I1021,"")</f>
        <v/>
      </c>
      <c r="O1021" s="11">
        <f>IF(K1021="","",100-IF($G$13=1,50,(_xlfn.RANK.AVG(K1021,$K$19:$K$1518,1)-1)/($G$13-1)*100))</f>
        <v/>
      </c>
      <c r="P1021" s="11">
        <f>IF(L1021="","",100-IF($G$14=1,50,(_xlfn.RANK.AVG(L1021,$L$19:$L$1518,1)-1)/($G$14-1)*100))</f>
        <v/>
      </c>
      <c r="Q1021" s="11">
        <f>IF(M1021="","",IF($G$15=1,50,(_xlfn.RANK.AVG(M1021,$M$19:$M$1518,1)-1)/($G$15-1)*100))</f>
        <v/>
      </c>
      <c r="R1021" s="11">
        <f>IF(N1021="","",IF($G$16=1,50,(_xlfn.RANK.AVG(N1021,$N$19:$N$1518,1)-1)/($G$16-1)*100))</f>
        <v/>
      </c>
      <c r="S1021" s="11">
        <f>IF(COUNT(O1021:R1021)=4,ROUND(AVERAGE(O1021:R1021),6),"")</f>
        <v/>
      </c>
      <c r="U1021">
        <f>IF(AND(ISNUMBER('자료_한국심리'!$A1005),ISNUMBER('자료_한국심리'!$B1005)),'자료_한국심리'!$A1005,"")</f>
        <v/>
      </c>
      <c r="V1021">
        <f>IF(AND(ISNUMBER('자료_한국심리'!$D1005),ISNUMBER('자료_한국심리'!$E1005)),'자료_한국심리'!$D1005,"")</f>
        <v/>
      </c>
      <c r="W1021">
        <f>IF(AND(ISNUMBER('자료_한국심리'!$G1005),ISNUMBER('자료_한국심리'!$H1005)),'자료_한국심리'!$G1005,"")</f>
        <v/>
      </c>
      <c r="X1021">
        <f>IF(AND(ISNUMBER('자료_한국심리'!$J1005),ISNUMBER('자료_한국심리'!$K1005)),'자료_한국심리'!$J1005,"")</f>
        <v/>
      </c>
      <c r="Y1021">
        <f>IF(AND(ISNUMBER('자료_한국심리'!$M1005),ISNUMBER('자료_한국심리'!$N1005)),'자료_한국심리'!$M1005,"")</f>
        <v/>
      </c>
    </row>
    <row r="1022">
      <c r="A1022" s="10">
        <f>IF(1004&gt;$E$5,"",SMALL($U$19:$U$4018,$E$6+1004))</f>
        <v/>
      </c>
      <c r="B1022" s="29">
        <f>IF(A1022="","",INDEX('자료_한국심리'!$B$3:$B$4002,MATCH(A1022,$U$19:$U$4018,0)))</f>
        <v/>
      </c>
      <c r="C1022" s="22">
        <f>IF(A1022="","",B1022/AVERAGE(B898:B1022)-1)</f>
        <v/>
      </c>
      <c r="D1022" s="29">
        <f>IF(A1022="","",IFERROR(INDEX('자료_한국심리'!$E$3:$E$4002,MATCH(A1022,$V$19:$V$4018,0)),D1021))</f>
        <v/>
      </c>
      <c r="E1022" s="30">
        <f>IF(A1022="","",IFERROR(INDEX('자료_한국심리'!$H$3:$H$4002,MATCH(A1022,$W$19:$W$4018,0)),E1021))</f>
        <v/>
      </c>
      <c r="F1022" s="30">
        <f>IF(A1022="","",IFERROR(INDEX('자료_한국심리'!$K$3:$K$4002,MATCH(A1022,$X$19:$X$4018,0)),F1021))</f>
        <v/>
      </c>
      <c r="G1022" s="30">
        <f>IF(AND(ISNUMBER(E1022),ISNUMBER(F1022)),ROUND(E1022-F1022,6),"")</f>
        <v/>
      </c>
      <c r="H1022" s="25">
        <f>IF(A1022="","",IFERROR(INDEX('자료_한국심리'!$N$3:$N$4002,MATCH(A1022,$Y$19:$Y$4018,0)),H1021))</f>
        <v/>
      </c>
      <c r="I1022" s="31">
        <f>IF(AND(ISNUMBER(H1022),ISNUMBER(H1002)),IF(H1002&gt;0,H1022/H1002-1,""),"")</f>
        <v/>
      </c>
      <c r="J1022">
        <f>IF(A1022="",0,IF(A1022&gt;$B$5,1,0))</f>
        <v/>
      </c>
      <c r="K1022" s="29">
        <f>IF(AND(J1022=1,ISNUMBER(D1022)),D1022,"")</f>
        <v/>
      </c>
      <c r="L1022" s="30">
        <f>IF(AND(J1022=1,ISNUMBER(G1022)),G1022,"")</f>
        <v/>
      </c>
      <c r="M1022" s="22">
        <f>IF(AND(J1022=1,ISNUMBER(C1022)),C1022,"")</f>
        <v/>
      </c>
      <c r="N1022" s="31">
        <f>IF(AND(J1022=1,ISNUMBER(I1022)),I1022,"")</f>
        <v/>
      </c>
      <c r="O1022" s="11">
        <f>IF(K1022="","",100-IF($G$13=1,50,(_xlfn.RANK.AVG(K1022,$K$19:$K$1518,1)-1)/($G$13-1)*100))</f>
        <v/>
      </c>
      <c r="P1022" s="11">
        <f>IF(L1022="","",100-IF($G$14=1,50,(_xlfn.RANK.AVG(L1022,$L$19:$L$1518,1)-1)/($G$14-1)*100))</f>
        <v/>
      </c>
      <c r="Q1022" s="11">
        <f>IF(M1022="","",IF($G$15=1,50,(_xlfn.RANK.AVG(M1022,$M$19:$M$1518,1)-1)/($G$15-1)*100))</f>
        <v/>
      </c>
      <c r="R1022" s="11">
        <f>IF(N1022="","",IF($G$16=1,50,(_xlfn.RANK.AVG(N1022,$N$19:$N$1518,1)-1)/($G$16-1)*100))</f>
        <v/>
      </c>
      <c r="S1022" s="11">
        <f>IF(COUNT(O1022:R1022)=4,ROUND(AVERAGE(O1022:R1022),6),"")</f>
        <v/>
      </c>
      <c r="U1022">
        <f>IF(AND(ISNUMBER('자료_한국심리'!$A1006),ISNUMBER('자료_한국심리'!$B1006)),'자료_한국심리'!$A1006,"")</f>
        <v/>
      </c>
      <c r="V1022">
        <f>IF(AND(ISNUMBER('자료_한국심리'!$D1006),ISNUMBER('자료_한국심리'!$E1006)),'자료_한국심리'!$D1006,"")</f>
        <v/>
      </c>
      <c r="W1022">
        <f>IF(AND(ISNUMBER('자료_한국심리'!$G1006),ISNUMBER('자료_한국심리'!$H1006)),'자료_한국심리'!$G1006,"")</f>
        <v/>
      </c>
      <c r="X1022">
        <f>IF(AND(ISNUMBER('자료_한국심리'!$J1006),ISNUMBER('자료_한국심리'!$K1006)),'자료_한국심리'!$J1006,"")</f>
        <v/>
      </c>
      <c r="Y1022">
        <f>IF(AND(ISNUMBER('자료_한국심리'!$M1006),ISNUMBER('자료_한국심리'!$N1006)),'자료_한국심리'!$M1006,"")</f>
        <v/>
      </c>
    </row>
    <row r="1023">
      <c r="A1023" s="10">
        <f>IF(1005&gt;$E$5,"",SMALL($U$19:$U$4018,$E$6+1005))</f>
        <v/>
      </c>
      <c r="B1023" s="29">
        <f>IF(A1023="","",INDEX('자료_한국심리'!$B$3:$B$4002,MATCH(A1023,$U$19:$U$4018,0)))</f>
        <v/>
      </c>
      <c r="C1023" s="22">
        <f>IF(A1023="","",B1023/AVERAGE(B899:B1023)-1)</f>
        <v/>
      </c>
      <c r="D1023" s="29">
        <f>IF(A1023="","",IFERROR(INDEX('자료_한국심리'!$E$3:$E$4002,MATCH(A1023,$V$19:$V$4018,0)),D1022))</f>
        <v/>
      </c>
      <c r="E1023" s="30">
        <f>IF(A1023="","",IFERROR(INDEX('자료_한국심리'!$H$3:$H$4002,MATCH(A1023,$W$19:$W$4018,0)),E1022))</f>
        <v/>
      </c>
      <c r="F1023" s="30">
        <f>IF(A1023="","",IFERROR(INDEX('자료_한국심리'!$K$3:$K$4002,MATCH(A1023,$X$19:$X$4018,0)),F1022))</f>
        <v/>
      </c>
      <c r="G1023" s="30">
        <f>IF(AND(ISNUMBER(E1023),ISNUMBER(F1023)),ROUND(E1023-F1023,6),"")</f>
        <v/>
      </c>
      <c r="H1023" s="25">
        <f>IF(A1023="","",IFERROR(INDEX('자료_한국심리'!$N$3:$N$4002,MATCH(A1023,$Y$19:$Y$4018,0)),H1022))</f>
        <v/>
      </c>
      <c r="I1023" s="31">
        <f>IF(AND(ISNUMBER(H1023),ISNUMBER(H1003)),IF(H1003&gt;0,H1023/H1003-1,""),"")</f>
        <v/>
      </c>
      <c r="J1023">
        <f>IF(A1023="",0,IF(A1023&gt;$B$5,1,0))</f>
        <v/>
      </c>
      <c r="K1023" s="29">
        <f>IF(AND(J1023=1,ISNUMBER(D1023)),D1023,"")</f>
        <v/>
      </c>
      <c r="L1023" s="30">
        <f>IF(AND(J1023=1,ISNUMBER(G1023)),G1023,"")</f>
        <v/>
      </c>
      <c r="M1023" s="22">
        <f>IF(AND(J1023=1,ISNUMBER(C1023)),C1023,"")</f>
        <v/>
      </c>
      <c r="N1023" s="31">
        <f>IF(AND(J1023=1,ISNUMBER(I1023)),I1023,"")</f>
        <v/>
      </c>
      <c r="O1023" s="11">
        <f>IF(K1023="","",100-IF($G$13=1,50,(_xlfn.RANK.AVG(K1023,$K$19:$K$1518,1)-1)/($G$13-1)*100))</f>
        <v/>
      </c>
      <c r="P1023" s="11">
        <f>IF(L1023="","",100-IF($G$14=1,50,(_xlfn.RANK.AVG(L1023,$L$19:$L$1518,1)-1)/($G$14-1)*100))</f>
        <v/>
      </c>
      <c r="Q1023" s="11">
        <f>IF(M1023="","",IF($G$15=1,50,(_xlfn.RANK.AVG(M1023,$M$19:$M$1518,1)-1)/($G$15-1)*100))</f>
        <v/>
      </c>
      <c r="R1023" s="11">
        <f>IF(N1023="","",IF($G$16=1,50,(_xlfn.RANK.AVG(N1023,$N$19:$N$1518,1)-1)/($G$16-1)*100))</f>
        <v/>
      </c>
      <c r="S1023" s="11">
        <f>IF(COUNT(O1023:R1023)=4,ROUND(AVERAGE(O1023:R1023),6),"")</f>
        <v/>
      </c>
      <c r="U1023">
        <f>IF(AND(ISNUMBER('자료_한국심리'!$A1007),ISNUMBER('자료_한국심리'!$B1007)),'자료_한국심리'!$A1007,"")</f>
        <v/>
      </c>
      <c r="V1023">
        <f>IF(AND(ISNUMBER('자료_한국심리'!$D1007),ISNUMBER('자료_한국심리'!$E1007)),'자료_한국심리'!$D1007,"")</f>
        <v/>
      </c>
      <c r="W1023">
        <f>IF(AND(ISNUMBER('자료_한국심리'!$G1007),ISNUMBER('자료_한국심리'!$H1007)),'자료_한국심리'!$G1007,"")</f>
        <v/>
      </c>
      <c r="X1023">
        <f>IF(AND(ISNUMBER('자료_한국심리'!$J1007),ISNUMBER('자료_한국심리'!$K1007)),'자료_한국심리'!$J1007,"")</f>
        <v/>
      </c>
      <c r="Y1023">
        <f>IF(AND(ISNUMBER('자료_한국심리'!$M1007),ISNUMBER('자료_한국심리'!$N1007)),'자료_한국심리'!$M1007,"")</f>
        <v/>
      </c>
    </row>
    <row r="1024">
      <c r="A1024" s="10">
        <f>IF(1006&gt;$E$5,"",SMALL($U$19:$U$4018,$E$6+1006))</f>
        <v/>
      </c>
      <c r="B1024" s="29">
        <f>IF(A1024="","",INDEX('자료_한국심리'!$B$3:$B$4002,MATCH(A1024,$U$19:$U$4018,0)))</f>
        <v/>
      </c>
      <c r="C1024" s="22">
        <f>IF(A1024="","",B1024/AVERAGE(B900:B1024)-1)</f>
        <v/>
      </c>
      <c r="D1024" s="29">
        <f>IF(A1024="","",IFERROR(INDEX('자료_한국심리'!$E$3:$E$4002,MATCH(A1024,$V$19:$V$4018,0)),D1023))</f>
        <v/>
      </c>
      <c r="E1024" s="30">
        <f>IF(A1024="","",IFERROR(INDEX('자료_한국심리'!$H$3:$H$4002,MATCH(A1024,$W$19:$W$4018,0)),E1023))</f>
        <v/>
      </c>
      <c r="F1024" s="30">
        <f>IF(A1024="","",IFERROR(INDEX('자료_한국심리'!$K$3:$K$4002,MATCH(A1024,$X$19:$X$4018,0)),F1023))</f>
        <v/>
      </c>
      <c r="G1024" s="30">
        <f>IF(AND(ISNUMBER(E1024),ISNUMBER(F1024)),ROUND(E1024-F1024,6),"")</f>
        <v/>
      </c>
      <c r="H1024" s="25">
        <f>IF(A1024="","",IFERROR(INDEX('자료_한국심리'!$N$3:$N$4002,MATCH(A1024,$Y$19:$Y$4018,0)),H1023))</f>
        <v/>
      </c>
      <c r="I1024" s="31">
        <f>IF(AND(ISNUMBER(H1024),ISNUMBER(H1004)),IF(H1004&gt;0,H1024/H1004-1,""),"")</f>
        <v/>
      </c>
      <c r="J1024">
        <f>IF(A1024="",0,IF(A1024&gt;$B$5,1,0))</f>
        <v/>
      </c>
      <c r="K1024" s="29">
        <f>IF(AND(J1024=1,ISNUMBER(D1024)),D1024,"")</f>
        <v/>
      </c>
      <c r="L1024" s="30">
        <f>IF(AND(J1024=1,ISNUMBER(G1024)),G1024,"")</f>
        <v/>
      </c>
      <c r="M1024" s="22">
        <f>IF(AND(J1024=1,ISNUMBER(C1024)),C1024,"")</f>
        <v/>
      </c>
      <c r="N1024" s="31">
        <f>IF(AND(J1024=1,ISNUMBER(I1024)),I1024,"")</f>
        <v/>
      </c>
      <c r="O1024" s="11">
        <f>IF(K1024="","",100-IF($G$13=1,50,(_xlfn.RANK.AVG(K1024,$K$19:$K$1518,1)-1)/($G$13-1)*100))</f>
        <v/>
      </c>
      <c r="P1024" s="11">
        <f>IF(L1024="","",100-IF($G$14=1,50,(_xlfn.RANK.AVG(L1024,$L$19:$L$1518,1)-1)/($G$14-1)*100))</f>
        <v/>
      </c>
      <c r="Q1024" s="11">
        <f>IF(M1024="","",IF($G$15=1,50,(_xlfn.RANK.AVG(M1024,$M$19:$M$1518,1)-1)/($G$15-1)*100))</f>
        <v/>
      </c>
      <c r="R1024" s="11">
        <f>IF(N1024="","",IF($G$16=1,50,(_xlfn.RANK.AVG(N1024,$N$19:$N$1518,1)-1)/($G$16-1)*100))</f>
        <v/>
      </c>
      <c r="S1024" s="11">
        <f>IF(COUNT(O1024:R1024)=4,ROUND(AVERAGE(O1024:R1024),6),"")</f>
        <v/>
      </c>
      <c r="U1024">
        <f>IF(AND(ISNUMBER('자료_한국심리'!$A1008),ISNUMBER('자료_한국심리'!$B1008)),'자료_한국심리'!$A1008,"")</f>
        <v/>
      </c>
      <c r="V1024">
        <f>IF(AND(ISNUMBER('자료_한국심리'!$D1008),ISNUMBER('자료_한국심리'!$E1008)),'자료_한국심리'!$D1008,"")</f>
        <v/>
      </c>
      <c r="W1024">
        <f>IF(AND(ISNUMBER('자료_한국심리'!$G1008),ISNUMBER('자료_한국심리'!$H1008)),'자료_한국심리'!$G1008,"")</f>
        <v/>
      </c>
      <c r="X1024">
        <f>IF(AND(ISNUMBER('자료_한국심리'!$J1008),ISNUMBER('자료_한국심리'!$K1008)),'자료_한국심리'!$J1008,"")</f>
        <v/>
      </c>
      <c r="Y1024">
        <f>IF(AND(ISNUMBER('자료_한국심리'!$M1008),ISNUMBER('자료_한국심리'!$N1008)),'자료_한국심리'!$M1008,"")</f>
        <v/>
      </c>
    </row>
    <row r="1025">
      <c r="A1025" s="10">
        <f>IF(1007&gt;$E$5,"",SMALL($U$19:$U$4018,$E$6+1007))</f>
        <v/>
      </c>
      <c r="B1025" s="29">
        <f>IF(A1025="","",INDEX('자료_한국심리'!$B$3:$B$4002,MATCH(A1025,$U$19:$U$4018,0)))</f>
        <v/>
      </c>
      <c r="C1025" s="22">
        <f>IF(A1025="","",B1025/AVERAGE(B901:B1025)-1)</f>
        <v/>
      </c>
      <c r="D1025" s="29">
        <f>IF(A1025="","",IFERROR(INDEX('자료_한국심리'!$E$3:$E$4002,MATCH(A1025,$V$19:$V$4018,0)),D1024))</f>
        <v/>
      </c>
      <c r="E1025" s="30">
        <f>IF(A1025="","",IFERROR(INDEX('자료_한국심리'!$H$3:$H$4002,MATCH(A1025,$W$19:$W$4018,0)),E1024))</f>
        <v/>
      </c>
      <c r="F1025" s="30">
        <f>IF(A1025="","",IFERROR(INDEX('자료_한국심리'!$K$3:$K$4002,MATCH(A1025,$X$19:$X$4018,0)),F1024))</f>
        <v/>
      </c>
      <c r="G1025" s="30">
        <f>IF(AND(ISNUMBER(E1025),ISNUMBER(F1025)),ROUND(E1025-F1025,6),"")</f>
        <v/>
      </c>
      <c r="H1025" s="25">
        <f>IF(A1025="","",IFERROR(INDEX('자료_한국심리'!$N$3:$N$4002,MATCH(A1025,$Y$19:$Y$4018,0)),H1024))</f>
        <v/>
      </c>
      <c r="I1025" s="31">
        <f>IF(AND(ISNUMBER(H1025),ISNUMBER(H1005)),IF(H1005&gt;0,H1025/H1005-1,""),"")</f>
        <v/>
      </c>
      <c r="J1025">
        <f>IF(A1025="",0,IF(A1025&gt;$B$5,1,0))</f>
        <v/>
      </c>
      <c r="K1025" s="29">
        <f>IF(AND(J1025=1,ISNUMBER(D1025)),D1025,"")</f>
        <v/>
      </c>
      <c r="L1025" s="30">
        <f>IF(AND(J1025=1,ISNUMBER(G1025)),G1025,"")</f>
        <v/>
      </c>
      <c r="M1025" s="22">
        <f>IF(AND(J1025=1,ISNUMBER(C1025)),C1025,"")</f>
        <v/>
      </c>
      <c r="N1025" s="31">
        <f>IF(AND(J1025=1,ISNUMBER(I1025)),I1025,"")</f>
        <v/>
      </c>
      <c r="O1025" s="11">
        <f>IF(K1025="","",100-IF($G$13=1,50,(_xlfn.RANK.AVG(K1025,$K$19:$K$1518,1)-1)/($G$13-1)*100))</f>
        <v/>
      </c>
      <c r="P1025" s="11">
        <f>IF(L1025="","",100-IF($G$14=1,50,(_xlfn.RANK.AVG(L1025,$L$19:$L$1518,1)-1)/($G$14-1)*100))</f>
        <v/>
      </c>
      <c r="Q1025" s="11">
        <f>IF(M1025="","",IF($G$15=1,50,(_xlfn.RANK.AVG(M1025,$M$19:$M$1518,1)-1)/($G$15-1)*100))</f>
        <v/>
      </c>
      <c r="R1025" s="11">
        <f>IF(N1025="","",IF($G$16=1,50,(_xlfn.RANK.AVG(N1025,$N$19:$N$1518,1)-1)/($G$16-1)*100))</f>
        <v/>
      </c>
      <c r="S1025" s="11">
        <f>IF(COUNT(O1025:R1025)=4,ROUND(AVERAGE(O1025:R1025),6),"")</f>
        <v/>
      </c>
      <c r="U1025">
        <f>IF(AND(ISNUMBER('자료_한국심리'!$A1009),ISNUMBER('자료_한국심리'!$B1009)),'자료_한국심리'!$A1009,"")</f>
        <v/>
      </c>
      <c r="V1025">
        <f>IF(AND(ISNUMBER('자료_한국심리'!$D1009),ISNUMBER('자료_한국심리'!$E1009)),'자료_한국심리'!$D1009,"")</f>
        <v/>
      </c>
      <c r="W1025">
        <f>IF(AND(ISNUMBER('자료_한국심리'!$G1009),ISNUMBER('자료_한국심리'!$H1009)),'자료_한국심리'!$G1009,"")</f>
        <v/>
      </c>
      <c r="X1025">
        <f>IF(AND(ISNUMBER('자료_한국심리'!$J1009),ISNUMBER('자료_한국심리'!$K1009)),'자료_한국심리'!$J1009,"")</f>
        <v/>
      </c>
      <c r="Y1025">
        <f>IF(AND(ISNUMBER('자료_한국심리'!$M1009),ISNUMBER('자료_한국심리'!$N1009)),'자료_한국심리'!$M1009,"")</f>
        <v/>
      </c>
    </row>
    <row r="1026">
      <c r="A1026" s="10">
        <f>IF(1008&gt;$E$5,"",SMALL($U$19:$U$4018,$E$6+1008))</f>
        <v/>
      </c>
      <c r="B1026" s="29">
        <f>IF(A1026="","",INDEX('자료_한국심리'!$B$3:$B$4002,MATCH(A1026,$U$19:$U$4018,0)))</f>
        <v/>
      </c>
      <c r="C1026" s="22">
        <f>IF(A1026="","",B1026/AVERAGE(B902:B1026)-1)</f>
        <v/>
      </c>
      <c r="D1026" s="29">
        <f>IF(A1026="","",IFERROR(INDEX('자료_한국심리'!$E$3:$E$4002,MATCH(A1026,$V$19:$V$4018,0)),D1025))</f>
        <v/>
      </c>
      <c r="E1026" s="30">
        <f>IF(A1026="","",IFERROR(INDEX('자료_한국심리'!$H$3:$H$4002,MATCH(A1026,$W$19:$W$4018,0)),E1025))</f>
        <v/>
      </c>
      <c r="F1026" s="30">
        <f>IF(A1026="","",IFERROR(INDEX('자료_한국심리'!$K$3:$K$4002,MATCH(A1026,$X$19:$X$4018,0)),F1025))</f>
        <v/>
      </c>
      <c r="G1026" s="30">
        <f>IF(AND(ISNUMBER(E1026),ISNUMBER(F1026)),ROUND(E1026-F1026,6),"")</f>
        <v/>
      </c>
      <c r="H1026" s="25">
        <f>IF(A1026="","",IFERROR(INDEX('자료_한국심리'!$N$3:$N$4002,MATCH(A1026,$Y$19:$Y$4018,0)),H1025))</f>
        <v/>
      </c>
      <c r="I1026" s="31">
        <f>IF(AND(ISNUMBER(H1026),ISNUMBER(H1006)),IF(H1006&gt;0,H1026/H1006-1,""),"")</f>
        <v/>
      </c>
      <c r="J1026">
        <f>IF(A1026="",0,IF(A1026&gt;$B$5,1,0))</f>
        <v/>
      </c>
      <c r="K1026" s="29">
        <f>IF(AND(J1026=1,ISNUMBER(D1026)),D1026,"")</f>
        <v/>
      </c>
      <c r="L1026" s="30">
        <f>IF(AND(J1026=1,ISNUMBER(G1026)),G1026,"")</f>
        <v/>
      </c>
      <c r="M1026" s="22">
        <f>IF(AND(J1026=1,ISNUMBER(C1026)),C1026,"")</f>
        <v/>
      </c>
      <c r="N1026" s="31">
        <f>IF(AND(J1026=1,ISNUMBER(I1026)),I1026,"")</f>
        <v/>
      </c>
      <c r="O1026" s="11">
        <f>IF(K1026="","",100-IF($G$13=1,50,(_xlfn.RANK.AVG(K1026,$K$19:$K$1518,1)-1)/($G$13-1)*100))</f>
        <v/>
      </c>
      <c r="P1026" s="11">
        <f>IF(L1026="","",100-IF($G$14=1,50,(_xlfn.RANK.AVG(L1026,$L$19:$L$1518,1)-1)/($G$14-1)*100))</f>
        <v/>
      </c>
      <c r="Q1026" s="11">
        <f>IF(M1026="","",IF($G$15=1,50,(_xlfn.RANK.AVG(M1026,$M$19:$M$1518,1)-1)/($G$15-1)*100))</f>
        <v/>
      </c>
      <c r="R1026" s="11">
        <f>IF(N1026="","",IF($G$16=1,50,(_xlfn.RANK.AVG(N1026,$N$19:$N$1518,1)-1)/($G$16-1)*100))</f>
        <v/>
      </c>
      <c r="S1026" s="11">
        <f>IF(COUNT(O1026:R1026)=4,ROUND(AVERAGE(O1026:R1026),6),"")</f>
        <v/>
      </c>
      <c r="U1026">
        <f>IF(AND(ISNUMBER('자료_한국심리'!$A1010),ISNUMBER('자료_한국심리'!$B1010)),'자료_한국심리'!$A1010,"")</f>
        <v/>
      </c>
      <c r="V1026">
        <f>IF(AND(ISNUMBER('자료_한국심리'!$D1010),ISNUMBER('자료_한국심리'!$E1010)),'자료_한국심리'!$D1010,"")</f>
        <v/>
      </c>
      <c r="W1026">
        <f>IF(AND(ISNUMBER('자료_한국심리'!$G1010),ISNUMBER('자료_한국심리'!$H1010)),'자료_한국심리'!$G1010,"")</f>
        <v/>
      </c>
      <c r="X1026">
        <f>IF(AND(ISNUMBER('자료_한국심리'!$J1010),ISNUMBER('자료_한국심리'!$K1010)),'자료_한국심리'!$J1010,"")</f>
        <v/>
      </c>
      <c r="Y1026">
        <f>IF(AND(ISNUMBER('자료_한국심리'!$M1010),ISNUMBER('자료_한국심리'!$N1010)),'자료_한국심리'!$M1010,"")</f>
        <v/>
      </c>
    </row>
    <row r="1027">
      <c r="A1027" s="10">
        <f>IF(1009&gt;$E$5,"",SMALL($U$19:$U$4018,$E$6+1009))</f>
        <v/>
      </c>
      <c r="B1027" s="29">
        <f>IF(A1027="","",INDEX('자료_한국심리'!$B$3:$B$4002,MATCH(A1027,$U$19:$U$4018,0)))</f>
        <v/>
      </c>
      <c r="C1027" s="22">
        <f>IF(A1027="","",B1027/AVERAGE(B903:B1027)-1)</f>
        <v/>
      </c>
      <c r="D1027" s="29">
        <f>IF(A1027="","",IFERROR(INDEX('자료_한국심리'!$E$3:$E$4002,MATCH(A1027,$V$19:$V$4018,0)),D1026))</f>
        <v/>
      </c>
      <c r="E1027" s="30">
        <f>IF(A1027="","",IFERROR(INDEX('자료_한국심리'!$H$3:$H$4002,MATCH(A1027,$W$19:$W$4018,0)),E1026))</f>
        <v/>
      </c>
      <c r="F1027" s="30">
        <f>IF(A1027="","",IFERROR(INDEX('자료_한국심리'!$K$3:$K$4002,MATCH(A1027,$X$19:$X$4018,0)),F1026))</f>
        <v/>
      </c>
      <c r="G1027" s="30">
        <f>IF(AND(ISNUMBER(E1027),ISNUMBER(F1027)),ROUND(E1027-F1027,6),"")</f>
        <v/>
      </c>
      <c r="H1027" s="25">
        <f>IF(A1027="","",IFERROR(INDEX('자료_한국심리'!$N$3:$N$4002,MATCH(A1027,$Y$19:$Y$4018,0)),H1026))</f>
        <v/>
      </c>
      <c r="I1027" s="31">
        <f>IF(AND(ISNUMBER(H1027),ISNUMBER(H1007)),IF(H1007&gt;0,H1027/H1007-1,""),"")</f>
        <v/>
      </c>
      <c r="J1027">
        <f>IF(A1027="",0,IF(A1027&gt;$B$5,1,0))</f>
        <v/>
      </c>
      <c r="K1027" s="29">
        <f>IF(AND(J1027=1,ISNUMBER(D1027)),D1027,"")</f>
        <v/>
      </c>
      <c r="L1027" s="30">
        <f>IF(AND(J1027=1,ISNUMBER(G1027)),G1027,"")</f>
        <v/>
      </c>
      <c r="M1027" s="22">
        <f>IF(AND(J1027=1,ISNUMBER(C1027)),C1027,"")</f>
        <v/>
      </c>
      <c r="N1027" s="31">
        <f>IF(AND(J1027=1,ISNUMBER(I1027)),I1027,"")</f>
        <v/>
      </c>
      <c r="O1027" s="11">
        <f>IF(K1027="","",100-IF($G$13=1,50,(_xlfn.RANK.AVG(K1027,$K$19:$K$1518,1)-1)/($G$13-1)*100))</f>
        <v/>
      </c>
      <c r="P1027" s="11">
        <f>IF(L1027="","",100-IF($G$14=1,50,(_xlfn.RANK.AVG(L1027,$L$19:$L$1518,1)-1)/($G$14-1)*100))</f>
        <v/>
      </c>
      <c r="Q1027" s="11">
        <f>IF(M1027="","",IF($G$15=1,50,(_xlfn.RANK.AVG(M1027,$M$19:$M$1518,1)-1)/($G$15-1)*100))</f>
        <v/>
      </c>
      <c r="R1027" s="11">
        <f>IF(N1027="","",IF($G$16=1,50,(_xlfn.RANK.AVG(N1027,$N$19:$N$1518,1)-1)/($G$16-1)*100))</f>
        <v/>
      </c>
      <c r="S1027" s="11">
        <f>IF(COUNT(O1027:R1027)=4,ROUND(AVERAGE(O1027:R1027),6),"")</f>
        <v/>
      </c>
      <c r="U1027">
        <f>IF(AND(ISNUMBER('자료_한국심리'!$A1011),ISNUMBER('자료_한국심리'!$B1011)),'자료_한국심리'!$A1011,"")</f>
        <v/>
      </c>
      <c r="V1027">
        <f>IF(AND(ISNUMBER('자료_한국심리'!$D1011),ISNUMBER('자료_한국심리'!$E1011)),'자료_한국심리'!$D1011,"")</f>
        <v/>
      </c>
      <c r="W1027">
        <f>IF(AND(ISNUMBER('자료_한국심리'!$G1011),ISNUMBER('자료_한국심리'!$H1011)),'자료_한국심리'!$G1011,"")</f>
        <v/>
      </c>
      <c r="X1027">
        <f>IF(AND(ISNUMBER('자료_한국심리'!$J1011),ISNUMBER('자료_한국심리'!$K1011)),'자료_한국심리'!$J1011,"")</f>
        <v/>
      </c>
      <c r="Y1027">
        <f>IF(AND(ISNUMBER('자료_한국심리'!$M1011),ISNUMBER('자료_한국심리'!$N1011)),'자료_한국심리'!$M1011,"")</f>
        <v/>
      </c>
    </row>
    <row r="1028">
      <c r="A1028" s="10">
        <f>IF(1010&gt;$E$5,"",SMALL($U$19:$U$4018,$E$6+1010))</f>
        <v/>
      </c>
      <c r="B1028" s="29">
        <f>IF(A1028="","",INDEX('자료_한국심리'!$B$3:$B$4002,MATCH(A1028,$U$19:$U$4018,0)))</f>
        <v/>
      </c>
      <c r="C1028" s="22">
        <f>IF(A1028="","",B1028/AVERAGE(B904:B1028)-1)</f>
        <v/>
      </c>
      <c r="D1028" s="29">
        <f>IF(A1028="","",IFERROR(INDEX('자료_한국심리'!$E$3:$E$4002,MATCH(A1028,$V$19:$V$4018,0)),D1027))</f>
        <v/>
      </c>
      <c r="E1028" s="30">
        <f>IF(A1028="","",IFERROR(INDEX('자료_한국심리'!$H$3:$H$4002,MATCH(A1028,$W$19:$W$4018,0)),E1027))</f>
        <v/>
      </c>
      <c r="F1028" s="30">
        <f>IF(A1028="","",IFERROR(INDEX('자료_한국심리'!$K$3:$K$4002,MATCH(A1028,$X$19:$X$4018,0)),F1027))</f>
        <v/>
      </c>
      <c r="G1028" s="30">
        <f>IF(AND(ISNUMBER(E1028),ISNUMBER(F1028)),ROUND(E1028-F1028,6),"")</f>
        <v/>
      </c>
      <c r="H1028" s="25">
        <f>IF(A1028="","",IFERROR(INDEX('자료_한국심리'!$N$3:$N$4002,MATCH(A1028,$Y$19:$Y$4018,0)),H1027))</f>
        <v/>
      </c>
      <c r="I1028" s="31">
        <f>IF(AND(ISNUMBER(H1028),ISNUMBER(H1008)),IF(H1008&gt;0,H1028/H1008-1,""),"")</f>
        <v/>
      </c>
      <c r="J1028">
        <f>IF(A1028="",0,IF(A1028&gt;$B$5,1,0))</f>
        <v/>
      </c>
      <c r="K1028" s="29">
        <f>IF(AND(J1028=1,ISNUMBER(D1028)),D1028,"")</f>
        <v/>
      </c>
      <c r="L1028" s="30">
        <f>IF(AND(J1028=1,ISNUMBER(G1028)),G1028,"")</f>
        <v/>
      </c>
      <c r="M1028" s="22">
        <f>IF(AND(J1028=1,ISNUMBER(C1028)),C1028,"")</f>
        <v/>
      </c>
      <c r="N1028" s="31">
        <f>IF(AND(J1028=1,ISNUMBER(I1028)),I1028,"")</f>
        <v/>
      </c>
      <c r="O1028" s="11">
        <f>IF(K1028="","",100-IF($G$13=1,50,(_xlfn.RANK.AVG(K1028,$K$19:$K$1518,1)-1)/($G$13-1)*100))</f>
        <v/>
      </c>
      <c r="P1028" s="11">
        <f>IF(L1028="","",100-IF($G$14=1,50,(_xlfn.RANK.AVG(L1028,$L$19:$L$1518,1)-1)/($G$14-1)*100))</f>
        <v/>
      </c>
      <c r="Q1028" s="11">
        <f>IF(M1028="","",IF($G$15=1,50,(_xlfn.RANK.AVG(M1028,$M$19:$M$1518,1)-1)/($G$15-1)*100))</f>
        <v/>
      </c>
      <c r="R1028" s="11">
        <f>IF(N1028="","",IF($G$16=1,50,(_xlfn.RANK.AVG(N1028,$N$19:$N$1518,1)-1)/($G$16-1)*100))</f>
        <v/>
      </c>
      <c r="S1028" s="11">
        <f>IF(COUNT(O1028:R1028)=4,ROUND(AVERAGE(O1028:R1028),6),"")</f>
        <v/>
      </c>
      <c r="U1028">
        <f>IF(AND(ISNUMBER('자료_한국심리'!$A1012),ISNUMBER('자료_한국심리'!$B1012)),'자료_한국심리'!$A1012,"")</f>
        <v/>
      </c>
      <c r="V1028">
        <f>IF(AND(ISNUMBER('자료_한국심리'!$D1012),ISNUMBER('자료_한국심리'!$E1012)),'자료_한국심리'!$D1012,"")</f>
        <v/>
      </c>
      <c r="W1028">
        <f>IF(AND(ISNUMBER('자료_한국심리'!$G1012),ISNUMBER('자료_한국심리'!$H1012)),'자료_한국심리'!$G1012,"")</f>
        <v/>
      </c>
      <c r="X1028">
        <f>IF(AND(ISNUMBER('자료_한국심리'!$J1012),ISNUMBER('자료_한국심리'!$K1012)),'자료_한국심리'!$J1012,"")</f>
        <v/>
      </c>
      <c r="Y1028">
        <f>IF(AND(ISNUMBER('자료_한국심리'!$M1012),ISNUMBER('자료_한국심리'!$N1012)),'자료_한국심리'!$M1012,"")</f>
        <v/>
      </c>
    </row>
    <row r="1029">
      <c r="A1029" s="10">
        <f>IF(1011&gt;$E$5,"",SMALL($U$19:$U$4018,$E$6+1011))</f>
        <v/>
      </c>
      <c r="B1029" s="29">
        <f>IF(A1029="","",INDEX('자료_한국심리'!$B$3:$B$4002,MATCH(A1029,$U$19:$U$4018,0)))</f>
        <v/>
      </c>
      <c r="C1029" s="22">
        <f>IF(A1029="","",B1029/AVERAGE(B905:B1029)-1)</f>
        <v/>
      </c>
      <c r="D1029" s="29">
        <f>IF(A1029="","",IFERROR(INDEX('자료_한국심리'!$E$3:$E$4002,MATCH(A1029,$V$19:$V$4018,0)),D1028))</f>
        <v/>
      </c>
      <c r="E1029" s="30">
        <f>IF(A1029="","",IFERROR(INDEX('자료_한국심리'!$H$3:$H$4002,MATCH(A1029,$W$19:$W$4018,0)),E1028))</f>
        <v/>
      </c>
      <c r="F1029" s="30">
        <f>IF(A1029="","",IFERROR(INDEX('자료_한국심리'!$K$3:$K$4002,MATCH(A1029,$X$19:$X$4018,0)),F1028))</f>
        <v/>
      </c>
      <c r="G1029" s="30">
        <f>IF(AND(ISNUMBER(E1029),ISNUMBER(F1029)),ROUND(E1029-F1029,6),"")</f>
        <v/>
      </c>
      <c r="H1029" s="25">
        <f>IF(A1029="","",IFERROR(INDEX('자료_한국심리'!$N$3:$N$4002,MATCH(A1029,$Y$19:$Y$4018,0)),H1028))</f>
        <v/>
      </c>
      <c r="I1029" s="31">
        <f>IF(AND(ISNUMBER(H1029),ISNUMBER(H1009)),IF(H1009&gt;0,H1029/H1009-1,""),"")</f>
        <v/>
      </c>
      <c r="J1029">
        <f>IF(A1029="",0,IF(A1029&gt;$B$5,1,0))</f>
        <v/>
      </c>
      <c r="K1029" s="29">
        <f>IF(AND(J1029=1,ISNUMBER(D1029)),D1029,"")</f>
        <v/>
      </c>
      <c r="L1029" s="30">
        <f>IF(AND(J1029=1,ISNUMBER(G1029)),G1029,"")</f>
        <v/>
      </c>
      <c r="M1029" s="22">
        <f>IF(AND(J1029=1,ISNUMBER(C1029)),C1029,"")</f>
        <v/>
      </c>
      <c r="N1029" s="31">
        <f>IF(AND(J1029=1,ISNUMBER(I1029)),I1029,"")</f>
        <v/>
      </c>
      <c r="O1029" s="11">
        <f>IF(K1029="","",100-IF($G$13=1,50,(_xlfn.RANK.AVG(K1029,$K$19:$K$1518,1)-1)/($G$13-1)*100))</f>
        <v/>
      </c>
      <c r="P1029" s="11">
        <f>IF(L1029="","",100-IF($G$14=1,50,(_xlfn.RANK.AVG(L1029,$L$19:$L$1518,1)-1)/($G$14-1)*100))</f>
        <v/>
      </c>
      <c r="Q1029" s="11">
        <f>IF(M1029="","",IF($G$15=1,50,(_xlfn.RANK.AVG(M1029,$M$19:$M$1518,1)-1)/($G$15-1)*100))</f>
        <v/>
      </c>
      <c r="R1029" s="11">
        <f>IF(N1029="","",IF($G$16=1,50,(_xlfn.RANK.AVG(N1029,$N$19:$N$1518,1)-1)/($G$16-1)*100))</f>
        <v/>
      </c>
      <c r="S1029" s="11">
        <f>IF(COUNT(O1029:R1029)=4,ROUND(AVERAGE(O1029:R1029),6),"")</f>
        <v/>
      </c>
      <c r="U1029">
        <f>IF(AND(ISNUMBER('자료_한국심리'!$A1013),ISNUMBER('자료_한국심리'!$B1013)),'자료_한국심리'!$A1013,"")</f>
        <v/>
      </c>
      <c r="V1029">
        <f>IF(AND(ISNUMBER('자료_한국심리'!$D1013),ISNUMBER('자료_한국심리'!$E1013)),'자료_한국심리'!$D1013,"")</f>
        <v/>
      </c>
      <c r="W1029">
        <f>IF(AND(ISNUMBER('자료_한국심리'!$G1013),ISNUMBER('자료_한국심리'!$H1013)),'자료_한국심리'!$G1013,"")</f>
        <v/>
      </c>
      <c r="X1029">
        <f>IF(AND(ISNUMBER('자료_한국심리'!$J1013),ISNUMBER('자료_한국심리'!$K1013)),'자료_한국심리'!$J1013,"")</f>
        <v/>
      </c>
      <c r="Y1029">
        <f>IF(AND(ISNUMBER('자료_한국심리'!$M1013),ISNUMBER('자료_한국심리'!$N1013)),'자료_한국심리'!$M1013,"")</f>
        <v/>
      </c>
    </row>
    <row r="1030">
      <c r="A1030" s="10">
        <f>IF(1012&gt;$E$5,"",SMALL($U$19:$U$4018,$E$6+1012))</f>
        <v/>
      </c>
      <c r="B1030" s="29">
        <f>IF(A1030="","",INDEX('자료_한국심리'!$B$3:$B$4002,MATCH(A1030,$U$19:$U$4018,0)))</f>
        <v/>
      </c>
      <c r="C1030" s="22">
        <f>IF(A1030="","",B1030/AVERAGE(B906:B1030)-1)</f>
        <v/>
      </c>
      <c r="D1030" s="29">
        <f>IF(A1030="","",IFERROR(INDEX('자료_한국심리'!$E$3:$E$4002,MATCH(A1030,$V$19:$V$4018,0)),D1029))</f>
        <v/>
      </c>
      <c r="E1030" s="30">
        <f>IF(A1030="","",IFERROR(INDEX('자료_한국심리'!$H$3:$H$4002,MATCH(A1030,$W$19:$W$4018,0)),E1029))</f>
        <v/>
      </c>
      <c r="F1030" s="30">
        <f>IF(A1030="","",IFERROR(INDEX('자료_한국심리'!$K$3:$K$4002,MATCH(A1030,$X$19:$X$4018,0)),F1029))</f>
        <v/>
      </c>
      <c r="G1030" s="30">
        <f>IF(AND(ISNUMBER(E1030),ISNUMBER(F1030)),ROUND(E1030-F1030,6),"")</f>
        <v/>
      </c>
      <c r="H1030" s="25">
        <f>IF(A1030="","",IFERROR(INDEX('자료_한국심리'!$N$3:$N$4002,MATCH(A1030,$Y$19:$Y$4018,0)),H1029))</f>
        <v/>
      </c>
      <c r="I1030" s="31">
        <f>IF(AND(ISNUMBER(H1030),ISNUMBER(H1010)),IF(H1010&gt;0,H1030/H1010-1,""),"")</f>
        <v/>
      </c>
      <c r="J1030">
        <f>IF(A1030="",0,IF(A1030&gt;$B$5,1,0))</f>
        <v/>
      </c>
      <c r="K1030" s="29">
        <f>IF(AND(J1030=1,ISNUMBER(D1030)),D1030,"")</f>
        <v/>
      </c>
      <c r="L1030" s="30">
        <f>IF(AND(J1030=1,ISNUMBER(G1030)),G1030,"")</f>
        <v/>
      </c>
      <c r="M1030" s="22">
        <f>IF(AND(J1030=1,ISNUMBER(C1030)),C1030,"")</f>
        <v/>
      </c>
      <c r="N1030" s="31">
        <f>IF(AND(J1030=1,ISNUMBER(I1030)),I1030,"")</f>
        <v/>
      </c>
      <c r="O1030" s="11">
        <f>IF(K1030="","",100-IF($G$13=1,50,(_xlfn.RANK.AVG(K1030,$K$19:$K$1518,1)-1)/($G$13-1)*100))</f>
        <v/>
      </c>
      <c r="P1030" s="11">
        <f>IF(L1030="","",100-IF($G$14=1,50,(_xlfn.RANK.AVG(L1030,$L$19:$L$1518,1)-1)/($G$14-1)*100))</f>
        <v/>
      </c>
      <c r="Q1030" s="11">
        <f>IF(M1030="","",IF($G$15=1,50,(_xlfn.RANK.AVG(M1030,$M$19:$M$1518,1)-1)/($G$15-1)*100))</f>
        <v/>
      </c>
      <c r="R1030" s="11">
        <f>IF(N1030="","",IF($G$16=1,50,(_xlfn.RANK.AVG(N1030,$N$19:$N$1518,1)-1)/($G$16-1)*100))</f>
        <v/>
      </c>
      <c r="S1030" s="11">
        <f>IF(COUNT(O1030:R1030)=4,ROUND(AVERAGE(O1030:R1030),6),"")</f>
        <v/>
      </c>
      <c r="U1030">
        <f>IF(AND(ISNUMBER('자료_한국심리'!$A1014),ISNUMBER('자료_한국심리'!$B1014)),'자료_한국심리'!$A1014,"")</f>
        <v/>
      </c>
      <c r="V1030">
        <f>IF(AND(ISNUMBER('자료_한국심리'!$D1014),ISNUMBER('자료_한국심리'!$E1014)),'자료_한국심리'!$D1014,"")</f>
        <v/>
      </c>
      <c r="W1030">
        <f>IF(AND(ISNUMBER('자료_한국심리'!$G1014),ISNUMBER('자료_한국심리'!$H1014)),'자료_한국심리'!$G1014,"")</f>
        <v/>
      </c>
      <c r="X1030">
        <f>IF(AND(ISNUMBER('자료_한국심리'!$J1014),ISNUMBER('자료_한국심리'!$K1014)),'자료_한국심리'!$J1014,"")</f>
        <v/>
      </c>
      <c r="Y1030">
        <f>IF(AND(ISNUMBER('자료_한국심리'!$M1014),ISNUMBER('자료_한국심리'!$N1014)),'자료_한국심리'!$M1014,"")</f>
        <v/>
      </c>
    </row>
    <row r="1031">
      <c r="A1031" s="10">
        <f>IF(1013&gt;$E$5,"",SMALL($U$19:$U$4018,$E$6+1013))</f>
        <v/>
      </c>
      <c r="B1031" s="29">
        <f>IF(A1031="","",INDEX('자료_한국심리'!$B$3:$B$4002,MATCH(A1031,$U$19:$U$4018,0)))</f>
        <v/>
      </c>
      <c r="C1031" s="22">
        <f>IF(A1031="","",B1031/AVERAGE(B907:B1031)-1)</f>
        <v/>
      </c>
      <c r="D1031" s="29">
        <f>IF(A1031="","",IFERROR(INDEX('자료_한국심리'!$E$3:$E$4002,MATCH(A1031,$V$19:$V$4018,0)),D1030))</f>
        <v/>
      </c>
      <c r="E1031" s="30">
        <f>IF(A1031="","",IFERROR(INDEX('자료_한국심리'!$H$3:$H$4002,MATCH(A1031,$W$19:$W$4018,0)),E1030))</f>
        <v/>
      </c>
      <c r="F1031" s="30">
        <f>IF(A1031="","",IFERROR(INDEX('자료_한국심리'!$K$3:$K$4002,MATCH(A1031,$X$19:$X$4018,0)),F1030))</f>
        <v/>
      </c>
      <c r="G1031" s="30">
        <f>IF(AND(ISNUMBER(E1031),ISNUMBER(F1031)),ROUND(E1031-F1031,6),"")</f>
        <v/>
      </c>
      <c r="H1031" s="25">
        <f>IF(A1031="","",IFERROR(INDEX('자료_한국심리'!$N$3:$N$4002,MATCH(A1031,$Y$19:$Y$4018,0)),H1030))</f>
        <v/>
      </c>
      <c r="I1031" s="31">
        <f>IF(AND(ISNUMBER(H1031),ISNUMBER(H1011)),IF(H1011&gt;0,H1031/H1011-1,""),"")</f>
        <v/>
      </c>
      <c r="J1031">
        <f>IF(A1031="",0,IF(A1031&gt;$B$5,1,0))</f>
        <v/>
      </c>
      <c r="K1031" s="29">
        <f>IF(AND(J1031=1,ISNUMBER(D1031)),D1031,"")</f>
        <v/>
      </c>
      <c r="L1031" s="30">
        <f>IF(AND(J1031=1,ISNUMBER(G1031)),G1031,"")</f>
        <v/>
      </c>
      <c r="M1031" s="22">
        <f>IF(AND(J1031=1,ISNUMBER(C1031)),C1031,"")</f>
        <v/>
      </c>
      <c r="N1031" s="31">
        <f>IF(AND(J1031=1,ISNUMBER(I1031)),I1031,"")</f>
        <v/>
      </c>
      <c r="O1031" s="11">
        <f>IF(K1031="","",100-IF($G$13=1,50,(_xlfn.RANK.AVG(K1031,$K$19:$K$1518,1)-1)/($G$13-1)*100))</f>
        <v/>
      </c>
      <c r="P1031" s="11">
        <f>IF(L1031="","",100-IF($G$14=1,50,(_xlfn.RANK.AVG(L1031,$L$19:$L$1518,1)-1)/($G$14-1)*100))</f>
        <v/>
      </c>
      <c r="Q1031" s="11">
        <f>IF(M1031="","",IF($G$15=1,50,(_xlfn.RANK.AVG(M1031,$M$19:$M$1518,1)-1)/($G$15-1)*100))</f>
        <v/>
      </c>
      <c r="R1031" s="11">
        <f>IF(N1031="","",IF($G$16=1,50,(_xlfn.RANK.AVG(N1031,$N$19:$N$1518,1)-1)/($G$16-1)*100))</f>
        <v/>
      </c>
      <c r="S1031" s="11">
        <f>IF(COUNT(O1031:R1031)=4,ROUND(AVERAGE(O1031:R1031),6),"")</f>
        <v/>
      </c>
      <c r="U1031">
        <f>IF(AND(ISNUMBER('자료_한국심리'!$A1015),ISNUMBER('자료_한국심리'!$B1015)),'자료_한국심리'!$A1015,"")</f>
        <v/>
      </c>
      <c r="V1031">
        <f>IF(AND(ISNUMBER('자료_한국심리'!$D1015),ISNUMBER('자료_한국심리'!$E1015)),'자료_한국심리'!$D1015,"")</f>
        <v/>
      </c>
      <c r="W1031">
        <f>IF(AND(ISNUMBER('자료_한국심리'!$G1015),ISNUMBER('자료_한국심리'!$H1015)),'자료_한국심리'!$G1015,"")</f>
        <v/>
      </c>
      <c r="X1031">
        <f>IF(AND(ISNUMBER('자료_한국심리'!$J1015),ISNUMBER('자료_한국심리'!$K1015)),'자료_한국심리'!$J1015,"")</f>
        <v/>
      </c>
      <c r="Y1031">
        <f>IF(AND(ISNUMBER('자료_한국심리'!$M1015),ISNUMBER('자료_한국심리'!$N1015)),'자료_한국심리'!$M1015,"")</f>
        <v/>
      </c>
    </row>
    <row r="1032">
      <c r="A1032" s="10">
        <f>IF(1014&gt;$E$5,"",SMALL($U$19:$U$4018,$E$6+1014))</f>
        <v/>
      </c>
      <c r="B1032" s="29">
        <f>IF(A1032="","",INDEX('자료_한국심리'!$B$3:$B$4002,MATCH(A1032,$U$19:$U$4018,0)))</f>
        <v/>
      </c>
      <c r="C1032" s="22">
        <f>IF(A1032="","",B1032/AVERAGE(B908:B1032)-1)</f>
        <v/>
      </c>
      <c r="D1032" s="29">
        <f>IF(A1032="","",IFERROR(INDEX('자료_한국심리'!$E$3:$E$4002,MATCH(A1032,$V$19:$V$4018,0)),D1031))</f>
        <v/>
      </c>
      <c r="E1032" s="30">
        <f>IF(A1032="","",IFERROR(INDEX('자료_한국심리'!$H$3:$H$4002,MATCH(A1032,$W$19:$W$4018,0)),E1031))</f>
        <v/>
      </c>
      <c r="F1032" s="30">
        <f>IF(A1032="","",IFERROR(INDEX('자료_한국심리'!$K$3:$K$4002,MATCH(A1032,$X$19:$X$4018,0)),F1031))</f>
        <v/>
      </c>
      <c r="G1032" s="30">
        <f>IF(AND(ISNUMBER(E1032),ISNUMBER(F1032)),ROUND(E1032-F1032,6),"")</f>
        <v/>
      </c>
      <c r="H1032" s="25">
        <f>IF(A1032="","",IFERROR(INDEX('자료_한국심리'!$N$3:$N$4002,MATCH(A1032,$Y$19:$Y$4018,0)),H1031))</f>
        <v/>
      </c>
      <c r="I1032" s="31">
        <f>IF(AND(ISNUMBER(H1032),ISNUMBER(H1012)),IF(H1012&gt;0,H1032/H1012-1,""),"")</f>
        <v/>
      </c>
      <c r="J1032">
        <f>IF(A1032="",0,IF(A1032&gt;$B$5,1,0))</f>
        <v/>
      </c>
      <c r="K1032" s="29">
        <f>IF(AND(J1032=1,ISNUMBER(D1032)),D1032,"")</f>
        <v/>
      </c>
      <c r="L1032" s="30">
        <f>IF(AND(J1032=1,ISNUMBER(G1032)),G1032,"")</f>
        <v/>
      </c>
      <c r="M1032" s="22">
        <f>IF(AND(J1032=1,ISNUMBER(C1032)),C1032,"")</f>
        <v/>
      </c>
      <c r="N1032" s="31">
        <f>IF(AND(J1032=1,ISNUMBER(I1032)),I1032,"")</f>
        <v/>
      </c>
      <c r="O1032" s="11">
        <f>IF(K1032="","",100-IF($G$13=1,50,(_xlfn.RANK.AVG(K1032,$K$19:$K$1518,1)-1)/($G$13-1)*100))</f>
        <v/>
      </c>
      <c r="P1032" s="11">
        <f>IF(L1032="","",100-IF($G$14=1,50,(_xlfn.RANK.AVG(L1032,$L$19:$L$1518,1)-1)/($G$14-1)*100))</f>
        <v/>
      </c>
      <c r="Q1032" s="11">
        <f>IF(M1032="","",IF($G$15=1,50,(_xlfn.RANK.AVG(M1032,$M$19:$M$1518,1)-1)/($G$15-1)*100))</f>
        <v/>
      </c>
      <c r="R1032" s="11">
        <f>IF(N1032="","",IF($G$16=1,50,(_xlfn.RANK.AVG(N1032,$N$19:$N$1518,1)-1)/($G$16-1)*100))</f>
        <v/>
      </c>
      <c r="S1032" s="11">
        <f>IF(COUNT(O1032:R1032)=4,ROUND(AVERAGE(O1032:R1032),6),"")</f>
        <v/>
      </c>
      <c r="U1032">
        <f>IF(AND(ISNUMBER('자료_한국심리'!$A1016),ISNUMBER('자료_한국심리'!$B1016)),'자료_한국심리'!$A1016,"")</f>
        <v/>
      </c>
      <c r="V1032">
        <f>IF(AND(ISNUMBER('자료_한국심리'!$D1016),ISNUMBER('자료_한국심리'!$E1016)),'자료_한국심리'!$D1016,"")</f>
        <v/>
      </c>
      <c r="W1032">
        <f>IF(AND(ISNUMBER('자료_한국심리'!$G1016),ISNUMBER('자료_한국심리'!$H1016)),'자료_한국심리'!$G1016,"")</f>
        <v/>
      </c>
      <c r="X1032">
        <f>IF(AND(ISNUMBER('자료_한국심리'!$J1016),ISNUMBER('자료_한국심리'!$K1016)),'자료_한국심리'!$J1016,"")</f>
        <v/>
      </c>
      <c r="Y1032">
        <f>IF(AND(ISNUMBER('자료_한국심리'!$M1016),ISNUMBER('자료_한국심리'!$N1016)),'자료_한국심리'!$M1016,"")</f>
        <v/>
      </c>
    </row>
    <row r="1033">
      <c r="A1033" s="10">
        <f>IF(1015&gt;$E$5,"",SMALL($U$19:$U$4018,$E$6+1015))</f>
        <v/>
      </c>
      <c r="B1033" s="29">
        <f>IF(A1033="","",INDEX('자료_한국심리'!$B$3:$B$4002,MATCH(A1033,$U$19:$U$4018,0)))</f>
        <v/>
      </c>
      <c r="C1033" s="22">
        <f>IF(A1033="","",B1033/AVERAGE(B909:B1033)-1)</f>
        <v/>
      </c>
      <c r="D1033" s="29">
        <f>IF(A1033="","",IFERROR(INDEX('자료_한국심리'!$E$3:$E$4002,MATCH(A1033,$V$19:$V$4018,0)),D1032))</f>
        <v/>
      </c>
      <c r="E1033" s="30">
        <f>IF(A1033="","",IFERROR(INDEX('자료_한국심리'!$H$3:$H$4002,MATCH(A1033,$W$19:$W$4018,0)),E1032))</f>
        <v/>
      </c>
      <c r="F1033" s="30">
        <f>IF(A1033="","",IFERROR(INDEX('자료_한국심리'!$K$3:$K$4002,MATCH(A1033,$X$19:$X$4018,0)),F1032))</f>
        <v/>
      </c>
      <c r="G1033" s="30">
        <f>IF(AND(ISNUMBER(E1033),ISNUMBER(F1033)),ROUND(E1033-F1033,6),"")</f>
        <v/>
      </c>
      <c r="H1033" s="25">
        <f>IF(A1033="","",IFERROR(INDEX('자료_한국심리'!$N$3:$N$4002,MATCH(A1033,$Y$19:$Y$4018,0)),H1032))</f>
        <v/>
      </c>
      <c r="I1033" s="31">
        <f>IF(AND(ISNUMBER(H1033),ISNUMBER(H1013)),IF(H1013&gt;0,H1033/H1013-1,""),"")</f>
        <v/>
      </c>
      <c r="J1033">
        <f>IF(A1033="",0,IF(A1033&gt;$B$5,1,0))</f>
        <v/>
      </c>
      <c r="K1033" s="29">
        <f>IF(AND(J1033=1,ISNUMBER(D1033)),D1033,"")</f>
        <v/>
      </c>
      <c r="L1033" s="30">
        <f>IF(AND(J1033=1,ISNUMBER(G1033)),G1033,"")</f>
        <v/>
      </c>
      <c r="M1033" s="22">
        <f>IF(AND(J1033=1,ISNUMBER(C1033)),C1033,"")</f>
        <v/>
      </c>
      <c r="N1033" s="31">
        <f>IF(AND(J1033=1,ISNUMBER(I1033)),I1033,"")</f>
        <v/>
      </c>
      <c r="O1033" s="11">
        <f>IF(K1033="","",100-IF($G$13=1,50,(_xlfn.RANK.AVG(K1033,$K$19:$K$1518,1)-1)/($G$13-1)*100))</f>
        <v/>
      </c>
      <c r="P1033" s="11">
        <f>IF(L1033="","",100-IF($G$14=1,50,(_xlfn.RANK.AVG(L1033,$L$19:$L$1518,1)-1)/($G$14-1)*100))</f>
        <v/>
      </c>
      <c r="Q1033" s="11">
        <f>IF(M1033="","",IF($G$15=1,50,(_xlfn.RANK.AVG(M1033,$M$19:$M$1518,1)-1)/($G$15-1)*100))</f>
        <v/>
      </c>
      <c r="R1033" s="11">
        <f>IF(N1033="","",IF($G$16=1,50,(_xlfn.RANK.AVG(N1033,$N$19:$N$1518,1)-1)/($G$16-1)*100))</f>
        <v/>
      </c>
      <c r="S1033" s="11">
        <f>IF(COUNT(O1033:R1033)=4,ROUND(AVERAGE(O1033:R1033),6),"")</f>
        <v/>
      </c>
      <c r="U1033">
        <f>IF(AND(ISNUMBER('자료_한국심리'!$A1017),ISNUMBER('자료_한국심리'!$B1017)),'자료_한국심리'!$A1017,"")</f>
        <v/>
      </c>
      <c r="V1033">
        <f>IF(AND(ISNUMBER('자료_한국심리'!$D1017),ISNUMBER('자료_한국심리'!$E1017)),'자료_한국심리'!$D1017,"")</f>
        <v/>
      </c>
      <c r="W1033">
        <f>IF(AND(ISNUMBER('자료_한국심리'!$G1017),ISNUMBER('자료_한국심리'!$H1017)),'자료_한국심리'!$G1017,"")</f>
        <v/>
      </c>
      <c r="X1033">
        <f>IF(AND(ISNUMBER('자료_한국심리'!$J1017),ISNUMBER('자료_한국심리'!$K1017)),'자료_한국심리'!$J1017,"")</f>
        <v/>
      </c>
      <c r="Y1033">
        <f>IF(AND(ISNUMBER('자료_한국심리'!$M1017),ISNUMBER('자료_한국심리'!$N1017)),'자료_한국심리'!$M1017,"")</f>
        <v/>
      </c>
    </row>
    <row r="1034">
      <c r="A1034" s="10">
        <f>IF(1016&gt;$E$5,"",SMALL($U$19:$U$4018,$E$6+1016))</f>
        <v/>
      </c>
      <c r="B1034" s="29">
        <f>IF(A1034="","",INDEX('자료_한국심리'!$B$3:$B$4002,MATCH(A1034,$U$19:$U$4018,0)))</f>
        <v/>
      </c>
      <c r="C1034" s="22">
        <f>IF(A1034="","",B1034/AVERAGE(B910:B1034)-1)</f>
        <v/>
      </c>
      <c r="D1034" s="29">
        <f>IF(A1034="","",IFERROR(INDEX('자료_한국심리'!$E$3:$E$4002,MATCH(A1034,$V$19:$V$4018,0)),D1033))</f>
        <v/>
      </c>
      <c r="E1034" s="30">
        <f>IF(A1034="","",IFERROR(INDEX('자료_한국심리'!$H$3:$H$4002,MATCH(A1034,$W$19:$W$4018,0)),E1033))</f>
        <v/>
      </c>
      <c r="F1034" s="30">
        <f>IF(A1034="","",IFERROR(INDEX('자료_한국심리'!$K$3:$K$4002,MATCH(A1034,$X$19:$X$4018,0)),F1033))</f>
        <v/>
      </c>
      <c r="G1034" s="30">
        <f>IF(AND(ISNUMBER(E1034),ISNUMBER(F1034)),ROUND(E1034-F1034,6),"")</f>
        <v/>
      </c>
      <c r="H1034" s="25">
        <f>IF(A1034="","",IFERROR(INDEX('자료_한국심리'!$N$3:$N$4002,MATCH(A1034,$Y$19:$Y$4018,0)),H1033))</f>
        <v/>
      </c>
      <c r="I1034" s="31">
        <f>IF(AND(ISNUMBER(H1034),ISNUMBER(H1014)),IF(H1014&gt;0,H1034/H1014-1,""),"")</f>
        <v/>
      </c>
      <c r="J1034">
        <f>IF(A1034="",0,IF(A1034&gt;$B$5,1,0))</f>
        <v/>
      </c>
      <c r="K1034" s="29">
        <f>IF(AND(J1034=1,ISNUMBER(D1034)),D1034,"")</f>
        <v/>
      </c>
      <c r="L1034" s="30">
        <f>IF(AND(J1034=1,ISNUMBER(G1034)),G1034,"")</f>
        <v/>
      </c>
      <c r="M1034" s="22">
        <f>IF(AND(J1034=1,ISNUMBER(C1034)),C1034,"")</f>
        <v/>
      </c>
      <c r="N1034" s="31">
        <f>IF(AND(J1034=1,ISNUMBER(I1034)),I1034,"")</f>
        <v/>
      </c>
      <c r="O1034" s="11">
        <f>IF(K1034="","",100-IF($G$13=1,50,(_xlfn.RANK.AVG(K1034,$K$19:$K$1518,1)-1)/($G$13-1)*100))</f>
        <v/>
      </c>
      <c r="P1034" s="11">
        <f>IF(L1034="","",100-IF($G$14=1,50,(_xlfn.RANK.AVG(L1034,$L$19:$L$1518,1)-1)/($G$14-1)*100))</f>
        <v/>
      </c>
      <c r="Q1034" s="11">
        <f>IF(M1034="","",IF($G$15=1,50,(_xlfn.RANK.AVG(M1034,$M$19:$M$1518,1)-1)/($G$15-1)*100))</f>
        <v/>
      </c>
      <c r="R1034" s="11">
        <f>IF(N1034="","",IF($G$16=1,50,(_xlfn.RANK.AVG(N1034,$N$19:$N$1518,1)-1)/($G$16-1)*100))</f>
        <v/>
      </c>
      <c r="S1034" s="11">
        <f>IF(COUNT(O1034:R1034)=4,ROUND(AVERAGE(O1034:R1034),6),"")</f>
        <v/>
      </c>
      <c r="U1034">
        <f>IF(AND(ISNUMBER('자료_한국심리'!$A1018),ISNUMBER('자료_한국심리'!$B1018)),'자료_한국심리'!$A1018,"")</f>
        <v/>
      </c>
      <c r="V1034">
        <f>IF(AND(ISNUMBER('자료_한국심리'!$D1018),ISNUMBER('자료_한국심리'!$E1018)),'자료_한국심리'!$D1018,"")</f>
        <v/>
      </c>
      <c r="W1034">
        <f>IF(AND(ISNUMBER('자료_한국심리'!$G1018),ISNUMBER('자료_한국심리'!$H1018)),'자료_한국심리'!$G1018,"")</f>
        <v/>
      </c>
      <c r="X1034">
        <f>IF(AND(ISNUMBER('자료_한국심리'!$J1018),ISNUMBER('자료_한국심리'!$K1018)),'자료_한국심리'!$J1018,"")</f>
        <v/>
      </c>
      <c r="Y1034">
        <f>IF(AND(ISNUMBER('자료_한국심리'!$M1018),ISNUMBER('자료_한국심리'!$N1018)),'자료_한국심리'!$M1018,"")</f>
        <v/>
      </c>
    </row>
    <row r="1035">
      <c r="A1035" s="10">
        <f>IF(1017&gt;$E$5,"",SMALL($U$19:$U$4018,$E$6+1017))</f>
        <v/>
      </c>
      <c r="B1035" s="29">
        <f>IF(A1035="","",INDEX('자료_한국심리'!$B$3:$B$4002,MATCH(A1035,$U$19:$U$4018,0)))</f>
        <v/>
      </c>
      <c r="C1035" s="22">
        <f>IF(A1035="","",B1035/AVERAGE(B911:B1035)-1)</f>
        <v/>
      </c>
      <c r="D1035" s="29">
        <f>IF(A1035="","",IFERROR(INDEX('자료_한국심리'!$E$3:$E$4002,MATCH(A1035,$V$19:$V$4018,0)),D1034))</f>
        <v/>
      </c>
      <c r="E1035" s="30">
        <f>IF(A1035="","",IFERROR(INDEX('자료_한국심리'!$H$3:$H$4002,MATCH(A1035,$W$19:$W$4018,0)),E1034))</f>
        <v/>
      </c>
      <c r="F1035" s="30">
        <f>IF(A1035="","",IFERROR(INDEX('자료_한국심리'!$K$3:$K$4002,MATCH(A1035,$X$19:$X$4018,0)),F1034))</f>
        <v/>
      </c>
      <c r="G1035" s="30">
        <f>IF(AND(ISNUMBER(E1035),ISNUMBER(F1035)),ROUND(E1035-F1035,6),"")</f>
        <v/>
      </c>
      <c r="H1035" s="25">
        <f>IF(A1035="","",IFERROR(INDEX('자료_한국심리'!$N$3:$N$4002,MATCH(A1035,$Y$19:$Y$4018,0)),H1034))</f>
        <v/>
      </c>
      <c r="I1035" s="31">
        <f>IF(AND(ISNUMBER(H1035),ISNUMBER(H1015)),IF(H1015&gt;0,H1035/H1015-1,""),"")</f>
        <v/>
      </c>
      <c r="J1035">
        <f>IF(A1035="",0,IF(A1035&gt;$B$5,1,0))</f>
        <v/>
      </c>
      <c r="K1035" s="29">
        <f>IF(AND(J1035=1,ISNUMBER(D1035)),D1035,"")</f>
        <v/>
      </c>
      <c r="L1035" s="30">
        <f>IF(AND(J1035=1,ISNUMBER(G1035)),G1035,"")</f>
        <v/>
      </c>
      <c r="M1035" s="22">
        <f>IF(AND(J1035=1,ISNUMBER(C1035)),C1035,"")</f>
        <v/>
      </c>
      <c r="N1035" s="31">
        <f>IF(AND(J1035=1,ISNUMBER(I1035)),I1035,"")</f>
        <v/>
      </c>
      <c r="O1035" s="11">
        <f>IF(K1035="","",100-IF($G$13=1,50,(_xlfn.RANK.AVG(K1035,$K$19:$K$1518,1)-1)/($G$13-1)*100))</f>
        <v/>
      </c>
      <c r="P1035" s="11">
        <f>IF(L1035="","",100-IF($G$14=1,50,(_xlfn.RANK.AVG(L1035,$L$19:$L$1518,1)-1)/($G$14-1)*100))</f>
        <v/>
      </c>
      <c r="Q1035" s="11">
        <f>IF(M1035="","",IF($G$15=1,50,(_xlfn.RANK.AVG(M1035,$M$19:$M$1518,1)-1)/($G$15-1)*100))</f>
        <v/>
      </c>
      <c r="R1035" s="11">
        <f>IF(N1035="","",IF($G$16=1,50,(_xlfn.RANK.AVG(N1035,$N$19:$N$1518,1)-1)/($G$16-1)*100))</f>
        <v/>
      </c>
      <c r="S1035" s="11">
        <f>IF(COUNT(O1035:R1035)=4,ROUND(AVERAGE(O1035:R1035),6),"")</f>
        <v/>
      </c>
      <c r="U1035">
        <f>IF(AND(ISNUMBER('자료_한국심리'!$A1019),ISNUMBER('자료_한국심리'!$B1019)),'자료_한국심리'!$A1019,"")</f>
        <v/>
      </c>
      <c r="V1035">
        <f>IF(AND(ISNUMBER('자료_한국심리'!$D1019),ISNUMBER('자료_한국심리'!$E1019)),'자료_한국심리'!$D1019,"")</f>
        <v/>
      </c>
      <c r="W1035">
        <f>IF(AND(ISNUMBER('자료_한국심리'!$G1019),ISNUMBER('자료_한국심리'!$H1019)),'자료_한국심리'!$G1019,"")</f>
        <v/>
      </c>
      <c r="X1035">
        <f>IF(AND(ISNUMBER('자료_한국심리'!$J1019),ISNUMBER('자료_한국심리'!$K1019)),'자료_한국심리'!$J1019,"")</f>
        <v/>
      </c>
      <c r="Y1035">
        <f>IF(AND(ISNUMBER('자료_한국심리'!$M1019),ISNUMBER('자료_한국심리'!$N1019)),'자료_한국심리'!$M1019,"")</f>
        <v/>
      </c>
    </row>
    <row r="1036">
      <c r="A1036" s="10">
        <f>IF(1018&gt;$E$5,"",SMALL($U$19:$U$4018,$E$6+1018))</f>
        <v/>
      </c>
      <c r="B1036" s="29">
        <f>IF(A1036="","",INDEX('자료_한국심리'!$B$3:$B$4002,MATCH(A1036,$U$19:$U$4018,0)))</f>
        <v/>
      </c>
      <c r="C1036" s="22">
        <f>IF(A1036="","",B1036/AVERAGE(B912:B1036)-1)</f>
        <v/>
      </c>
      <c r="D1036" s="29">
        <f>IF(A1036="","",IFERROR(INDEX('자료_한국심리'!$E$3:$E$4002,MATCH(A1036,$V$19:$V$4018,0)),D1035))</f>
        <v/>
      </c>
      <c r="E1036" s="30">
        <f>IF(A1036="","",IFERROR(INDEX('자료_한국심리'!$H$3:$H$4002,MATCH(A1036,$W$19:$W$4018,0)),E1035))</f>
        <v/>
      </c>
      <c r="F1036" s="30">
        <f>IF(A1036="","",IFERROR(INDEX('자료_한국심리'!$K$3:$K$4002,MATCH(A1036,$X$19:$X$4018,0)),F1035))</f>
        <v/>
      </c>
      <c r="G1036" s="30">
        <f>IF(AND(ISNUMBER(E1036),ISNUMBER(F1036)),ROUND(E1036-F1036,6),"")</f>
        <v/>
      </c>
      <c r="H1036" s="25">
        <f>IF(A1036="","",IFERROR(INDEX('자료_한국심리'!$N$3:$N$4002,MATCH(A1036,$Y$19:$Y$4018,0)),H1035))</f>
        <v/>
      </c>
      <c r="I1036" s="31">
        <f>IF(AND(ISNUMBER(H1036),ISNUMBER(H1016)),IF(H1016&gt;0,H1036/H1016-1,""),"")</f>
        <v/>
      </c>
      <c r="J1036">
        <f>IF(A1036="",0,IF(A1036&gt;$B$5,1,0))</f>
        <v/>
      </c>
      <c r="K1036" s="29">
        <f>IF(AND(J1036=1,ISNUMBER(D1036)),D1036,"")</f>
        <v/>
      </c>
      <c r="L1036" s="30">
        <f>IF(AND(J1036=1,ISNUMBER(G1036)),G1036,"")</f>
        <v/>
      </c>
      <c r="M1036" s="22">
        <f>IF(AND(J1036=1,ISNUMBER(C1036)),C1036,"")</f>
        <v/>
      </c>
      <c r="N1036" s="31">
        <f>IF(AND(J1036=1,ISNUMBER(I1036)),I1036,"")</f>
        <v/>
      </c>
      <c r="O1036" s="11">
        <f>IF(K1036="","",100-IF($G$13=1,50,(_xlfn.RANK.AVG(K1036,$K$19:$K$1518,1)-1)/($G$13-1)*100))</f>
        <v/>
      </c>
      <c r="P1036" s="11">
        <f>IF(L1036="","",100-IF($G$14=1,50,(_xlfn.RANK.AVG(L1036,$L$19:$L$1518,1)-1)/($G$14-1)*100))</f>
        <v/>
      </c>
      <c r="Q1036" s="11">
        <f>IF(M1036="","",IF($G$15=1,50,(_xlfn.RANK.AVG(M1036,$M$19:$M$1518,1)-1)/($G$15-1)*100))</f>
        <v/>
      </c>
      <c r="R1036" s="11">
        <f>IF(N1036="","",IF($G$16=1,50,(_xlfn.RANK.AVG(N1036,$N$19:$N$1518,1)-1)/($G$16-1)*100))</f>
        <v/>
      </c>
      <c r="S1036" s="11">
        <f>IF(COUNT(O1036:R1036)=4,ROUND(AVERAGE(O1036:R1036),6),"")</f>
        <v/>
      </c>
      <c r="U1036">
        <f>IF(AND(ISNUMBER('자료_한국심리'!$A1020),ISNUMBER('자료_한국심리'!$B1020)),'자료_한국심리'!$A1020,"")</f>
        <v/>
      </c>
      <c r="V1036">
        <f>IF(AND(ISNUMBER('자료_한국심리'!$D1020),ISNUMBER('자료_한국심리'!$E1020)),'자료_한국심리'!$D1020,"")</f>
        <v/>
      </c>
      <c r="W1036">
        <f>IF(AND(ISNUMBER('자료_한국심리'!$G1020),ISNUMBER('자료_한국심리'!$H1020)),'자료_한국심리'!$G1020,"")</f>
        <v/>
      </c>
      <c r="X1036">
        <f>IF(AND(ISNUMBER('자료_한국심리'!$J1020),ISNUMBER('자료_한국심리'!$K1020)),'자료_한국심리'!$J1020,"")</f>
        <v/>
      </c>
      <c r="Y1036">
        <f>IF(AND(ISNUMBER('자료_한국심리'!$M1020),ISNUMBER('자료_한국심리'!$N1020)),'자료_한국심리'!$M1020,"")</f>
        <v/>
      </c>
    </row>
    <row r="1037">
      <c r="A1037" s="10">
        <f>IF(1019&gt;$E$5,"",SMALL($U$19:$U$4018,$E$6+1019))</f>
        <v/>
      </c>
      <c r="B1037" s="29">
        <f>IF(A1037="","",INDEX('자료_한국심리'!$B$3:$B$4002,MATCH(A1037,$U$19:$U$4018,0)))</f>
        <v/>
      </c>
      <c r="C1037" s="22">
        <f>IF(A1037="","",B1037/AVERAGE(B913:B1037)-1)</f>
        <v/>
      </c>
      <c r="D1037" s="29">
        <f>IF(A1037="","",IFERROR(INDEX('자료_한국심리'!$E$3:$E$4002,MATCH(A1037,$V$19:$V$4018,0)),D1036))</f>
        <v/>
      </c>
      <c r="E1037" s="30">
        <f>IF(A1037="","",IFERROR(INDEX('자료_한국심리'!$H$3:$H$4002,MATCH(A1037,$W$19:$W$4018,0)),E1036))</f>
        <v/>
      </c>
      <c r="F1037" s="30">
        <f>IF(A1037="","",IFERROR(INDEX('자료_한국심리'!$K$3:$K$4002,MATCH(A1037,$X$19:$X$4018,0)),F1036))</f>
        <v/>
      </c>
      <c r="G1037" s="30">
        <f>IF(AND(ISNUMBER(E1037),ISNUMBER(F1037)),ROUND(E1037-F1037,6),"")</f>
        <v/>
      </c>
      <c r="H1037" s="25">
        <f>IF(A1037="","",IFERROR(INDEX('자료_한국심리'!$N$3:$N$4002,MATCH(A1037,$Y$19:$Y$4018,0)),H1036))</f>
        <v/>
      </c>
      <c r="I1037" s="31">
        <f>IF(AND(ISNUMBER(H1037),ISNUMBER(H1017)),IF(H1017&gt;0,H1037/H1017-1,""),"")</f>
        <v/>
      </c>
      <c r="J1037">
        <f>IF(A1037="",0,IF(A1037&gt;$B$5,1,0))</f>
        <v/>
      </c>
      <c r="K1037" s="29">
        <f>IF(AND(J1037=1,ISNUMBER(D1037)),D1037,"")</f>
        <v/>
      </c>
      <c r="L1037" s="30">
        <f>IF(AND(J1037=1,ISNUMBER(G1037)),G1037,"")</f>
        <v/>
      </c>
      <c r="M1037" s="22">
        <f>IF(AND(J1037=1,ISNUMBER(C1037)),C1037,"")</f>
        <v/>
      </c>
      <c r="N1037" s="31">
        <f>IF(AND(J1037=1,ISNUMBER(I1037)),I1037,"")</f>
        <v/>
      </c>
      <c r="O1037" s="11">
        <f>IF(K1037="","",100-IF($G$13=1,50,(_xlfn.RANK.AVG(K1037,$K$19:$K$1518,1)-1)/($G$13-1)*100))</f>
        <v/>
      </c>
      <c r="P1037" s="11">
        <f>IF(L1037="","",100-IF($G$14=1,50,(_xlfn.RANK.AVG(L1037,$L$19:$L$1518,1)-1)/($G$14-1)*100))</f>
        <v/>
      </c>
      <c r="Q1037" s="11">
        <f>IF(M1037="","",IF($G$15=1,50,(_xlfn.RANK.AVG(M1037,$M$19:$M$1518,1)-1)/($G$15-1)*100))</f>
        <v/>
      </c>
      <c r="R1037" s="11">
        <f>IF(N1037="","",IF($G$16=1,50,(_xlfn.RANK.AVG(N1037,$N$19:$N$1518,1)-1)/($G$16-1)*100))</f>
        <v/>
      </c>
      <c r="S1037" s="11">
        <f>IF(COUNT(O1037:R1037)=4,ROUND(AVERAGE(O1037:R1037),6),"")</f>
        <v/>
      </c>
      <c r="U1037">
        <f>IF(AND(ISNUMBER('자료_한국심리'!$A1021),ISNUMBER('자료_한국심리'!$B1021)),'자료_한국심리'!$A1021,"")</f>
        <v/>
      </c>
      <c r="V1037">
        <f>IF(AND(ISNUMBER('자료_한국심리'!$D1021),ISNUMBER('자료_한국심리'!$E1021)),'자료_한국심리'!$D1021,"")</f>
        <v/>
      </c>
      <c r="W1037">
        <f>IF(AND(ISNUMBER('자료_한국심리'!$G1021),ISNUMBER('자료_한국심리'!$H1021)),'자료_한국심리'!$G1021,"")</f>
        <v/>
      </c>
      <c r="X1037">
        <f>IF(AND(ISNUMBER('자료_한국심리'!$J1021),ISNUMBER('자료_한국심리'!$K1021)),'자료_한국심리'!$J1021,"")</f>
        <v/>
      </c>
      <c r="Y1037">
        <f>IF(AND(ISNUMBER('자료_한국심리'!$M1021),ISNUMBER('자료_한국심리'!$N1021)),'자료_한국심리'!$M1021,"")</f>
        <v/>
      </c>
    </row>
    <row r="1038">
      <c r="A1038" s="10">
        <f>IF(1020&gt;$E$5,"",SMALL($U$19:$U$4018,$E$6+1020))</f>
        <v/>
      </c>
      <c r="B1038" s="29">
        <f>IF(A1038="","",INDEX('자료_한국심리'!$B$3:$B$4002,MATCH(A1038,$U$19:$U$4018,0)))</f>
        <v/>
      </c>
      <c r="C1038" s="22">
        <f>IF(A1038="","",B1038/AVERAGE(B914:B1038)-1)</f>
        <v/>
      </c>
      <c r="D1038" s="29">
        <f>IF(A1038="","",IFERROR(INDEX('자료_한국심리'!$E$3:$E$4002,MATCH(A1038,$V$19:$V$4018,0)),D1037))</f>
        <v/>
      </c>
      <c r="E1038" s="30">
        <f>IF(A1038="","",IFERROR(INDEX('자료_한국심리'!$H$3:$H$4002,MATCH(A1038,$W$19:$W$4018,0)),E1037))</f>
        <v/>
      </c>
      <c r="F1038" s="30">
        <f>IF(A1038="","",IFERROR(INDEX('자료_한국심리'!$K$3:$K$4002,MATCH(A1038,$X$19:$X$4018,0)),F1037))</f>
        <v/>
      </c>
      <c r="G1038" s="30">
        <f>IF(AND(ISNUMBER(E1038),ISNUMBER(F1038)),ROUND(E1038-F1038,6),"")</f>
        <v/>
      </c>
      <c r="H1038" s="25">
        <f>IF(A1038="","",IFERROR(INDEX('자료_한국심리'!$N$3:$N$4002,MATCH(A1038,$Y$19:$Y$4018,0)),H1037))</f>
        <v/>
      </c>
      <c r="I1038" s="31">
        <f>IF(AND(ISNUMBER(H1038),ISNUMBER(H1018)),IF(H1018&gt;0,H1038/H1018-1,""),"")</f>
        <v/>
      </c>
      <c r="J1038">
        <f>IF(A1038="",0,IF(A1038&gt;$B$5,1,0))</f>
        <v/>
      </c>
      <c r="K1038" s="29">
        <f>IF(AND(J1038=1,ISNUMBER(D1038)),D1038,"")</f>
        <v/>
      </c>
      <c r="L1038" s="30">
        <f>IF(AND(J1038=1,ISNUMBER(G1038)),G1038,"")</f>
        <v/>
      </c>
      <c r="M1038" s="22">
        <f>IF(AND(J1038=1,ISNUMBER(C1038)),C1038,"")</f>
        <v/>
      </c>
      <c r="N1038" s="31">
        <f>IF(AND(J1038=1,ISNUMBER(I1038)),I1038,"")</f>
        <v/>
      </c>
      <c r="O1038" s="11">
        <f>IF(K1038="","",100-IF($G$13=1,50,(_xlfn.RANK.AVG(K1038,$K$19:$K$1518,1)-1)/($G$13-1)*100))</f>
        <v/>
      </c>
      <c r="P1038" s="11">
        <f>IF(L1038="","",100-IF($G$14=1,50,(_xlfn.RANK.AVG(L1038,$L$19:$L$1518,1)-1)/($G$14-1)*100))</f>
        <v/>
      </c>
      <c r="Q1038" s="11">
        <f>IF(M1038="","",IF($G$15=1,50,(_xlfn.RANK.AVG(M1038,$M$19:$M$1518,1)-1)/($G$15-1)*100))</f>
        <v/>
      </c>
      <c r="R1038" s="11">
        <f>IF(N1038="","",IF($G$16=1,50,(_xlfn.RANK.AVG(N1038,$N$19:$N$1518,1)-1)/($G$16-1)*100))</f>
        <v/>
      </c>
      <c r="S1038" s="11">
        <f>IF(COUNT(O1038:R1038)=4,ROUND(AVERAGE(O1038:R1038),6),"")</f>
        <v/>
      </c>
      <c r="U1038">
        <f>IF(AND(ISNUMBER('자료_한국심리'!$A1022),ISNUMBER('자료_한국심리'!$B1022)),'자료_한국심리'!$A1022,"")</f>
        <v/>
      </c>
      <c r="V1038">
        <f>IF(AND(ISNUMBER('자료_한국심리'!$D1022),ISNUMBER('자료_한국심리'!$E1022)),'자료_한국심리'!$D1022,"")</f>
        <v/>
      </c>
      <c r="W1038">
        <f>IF(AND(ISNUMBER('자료_한국심리'!$G1022),ISNUMBER('자료_한국심리'!$H1022)),'자료_한국심리'!$G1022,"")</f>
        <v/>
      </c>
      <c r="X1038">
        <f>IF(AND(ISNUMBER('자료_한국심리'!$J1022),ISNUMBER('자료_한국심리'!$K1022)),'자료_한국심리'!$J1022,"")</f>
        <v/>
      </c>
      <c r="Y1038">
        <f>IF(AND(ISNUMBER('자료_한국심리'!$M1022),ISNUMBER('자료_한국심리'!$N1022)),'자료_한국심리'!$M1022,"")</f>
        <v/>
      </c>
    </row>
    <row r="1039">
      <c r="A1039" s="10">
        <f>IF(1021&gt;$E$5,"",SMALL($U$19:$U$4018,$E$6+1021))</f>
        <v/>
      </c>
      <c r="B1039" s="29">
        <f>IF(A1039="","",INDEX('자료_한국심리'!$B$3:$B$4002,MATCH(A1039,$U$19:$U$4018,0)))</f>
        <v/>
      </c>
      <c r="C1039" s="22">
        <f>IF(A1039="","",B1039/AVERAGE(B915:B1039)-1)</f>
        <v/>
      </c>
      <c r="D1039" s="29">
        <f>IF(A1039="","",IFERROR(INDEX('자료_한국심리'!$E$3:$E$4002,MATCH(A1039,$V$19:$V$4018,0)),D1038))</f>
        <v/>
      </c>
      <c r="E1039" s="30">
        <f>IF(A1039="","",IFERROR(INDEX('자료_한국심리'!$H$3:$H$4002,MATCH(A1039,$W$19:$W$4018,0)),E1038))</f>
        <v/>
      </c>
      <c r="F1039" s="30">
        <f>IF(A1039="","",IFERROR(INDEX('자료_한국심리'!$K$3:$K$4002,MATCH(A1039,$X$19:$X$4018,0)),F1038))</f>
        <v/>
      </c>
      <c r="G1039" s="30">
        <f>IF(AND(ISNUMBER(E1039),ISNUMBER(F1039)),ROUND(E1039-F1039,6),"")</f>
        <v/>
      </c>
      <c r="H1039" s="25">
        <f>IF(A1039="","",IFERROR(INDEX('자료_한국심리'!$N$3:$N$4002,MATCH(A1039,$Y$19:$Y$4018,0)),H1038))</f>
        <v/>
      </c>
      <c r="I1039" s="31">
        <f>IF(AND(ISNUMBER(H1039),ISNUMBER(H1019)),IF(H1019&gt;0,H1039/H1019-1,""),"")</f>
        <v/>
      </c>
      <c r="J1039">
        <f>IF(A1039="",0,IF(A1039&gt;$B$5,1,0))</f>
        <v/>
      </c>
      <c r="K1039" s="29">
        <f>IF(AND(J1039=1,ISNUMBER(D1039)),D1039,"")</f>
        <v/>
      </c>
      <c r="L1039" s="30">
        <f>IF(AND(J1039=1,ISNUMBER(G1039)),G1039,"")</f>
        <v/>
      </c>
      <c r="M1039" s="22">
        <f>IF(AND(J1039=1,ISNUMBER(C1039)),C1039,"")</f>
        <v/>
      </c>
      <c r="N1039" s="31">
        <f>IF(AND(J1039=1,ISNUMBER(I1039)),I1039,"")</f>
        <v/>
      </c>
      <c r="O1039" s="11">
        <f>IF(K1039="","",100-IF($G$13=1,50,(_xlfn.RANK.AVG(K1039,$K$19:$K$1518,1)-1)/($G$13-1)*100))</f>
        <v/>
      </c>
      <c r="P1039" s="11">
        <f>IF(L1039="","",100-IF($G$14=1,50,(_xlfn.RANK.AVG(L1039,$L$19:$L$1518,1)-1)/($G$14-1)*100))</f>
        <v/>
      </c>
      <c r="Q1039" s="11">
        <f>IF(M1039="","",IF($G$15=1,50,(_xlfn.RANK.AVG(M1039,$M$19:$M$1518,1)-1)/($G$15-1)*100))</f>
        <v/>
      </c>
      <c r="R1039" s="11">
        <f>IF(N1039="","",IF($G$16=1,50,(_xlfn.RANK.AVG(N1039,$N$19:$N$1518,1)-1)/($G$16-1)*100))</f>
        <v/>
      </c>
      <c r="S1039" s="11">
        <f>IF(COUNT(O1039:R1039)=4,ROUND(AVERAGE(O1039:R1039),6),"")</f>
        <v/>
      </c>
      <c r="U1039">
        <f>IF(AND(ISNUMBER('자료_한국심리'!$A1023),ISNUMBER('자료_한국심리'!$B1023)),'자료_한국심리'!$A1023,"")</f>
        <v/>
      </c>
      <c r="V1039">
        <f>IF(AND(ISNUMBER('자료_한국심리'!$D1023),ISNUMBER('자료_한국심리'!$E1023)),'자료_한국심리'!$D1023,"")</f>
        <v/>
      </c>
      <c r="W1039">
        <f>IF(AND(ISNUMBER('자료_한국심리'!$G1023),ISNUMBER('자료_한국심리'!$H1023)),'자료_한국심리'!$G1023,"")</f>
        <v/>
      </c>
      <c r="X1039">
        <f>IF(AND(ISNUMBER('자료_한국심리'!$J1023),ISNUMBER('자료_한국심리'!$K1023)),'자료_한국심리'!$J1023,"")</f>
        <v/>
      </c>
      <c r="Y1039">
        <f>IF(AND(ISNUMBER('자료_한국심리'!$M1023),ISNUMBER('자료_한국심리'!$N1023)),'자료_한국심리'!$M1023,"")</f>
        <v/>
      </c>
    </row>
    <row r="1040">
      <c r="A1040" s="10">
        <f>IF(1022&gt;$E$5,"",SMALL($U$19:$U$4018,$E$6+1022))</f>
        <v/>
      </c>
      <c r="B1040" s="29">
        <f>IF(A1040="","",INDEX('자료_한국심리'!$B$3:$B$4002,MATCH(A1040,$U$19:$U$4018,0)))</f>
        <v/>
      </c>
      <c r="C1040" s="22">
        <f>IF(A1040="","",B1040/AVERAGE(B916:B1040)-1)</f>
        <v/>
      </c>
      <c r="D1040" s="29">
        <f>IF(A1040="","",IFERROR(INDEX('자료_한국심리'!$E$3:$E$4002,MATCH(A1040,$V$19:$V$4018,0)),D1039))</f>
        <v/>
      </c>
      <c r="E1040" s="30">
        <f>IF(A1040="","",IFERROR(INDEX('자료_한국심리'!$H$3:$H$4002,MATCH(A1040,$W$19:$W$4018,0)),E1039))</f>
        <v/>
      </c>
      <c r="F1040" s="30">
        <f>IF(A1040="","",IFERROR(INDEX('자료_한국심리'!$K$3:$K$4002,MATCH(A1040,$X$19:$X$4018,0)),F1039))</f>
        <v/>
      </c>
      <c r="G1040" s="30">
        <f>IF(AND(ISNUMBER(E1040),ISNUMBER(F1040)),ROUND(E1040-F1040,6),"")</f>
        <v/>
      </c>
      <c r="H1040" s="25">
        <f>IF(A1040="","",IFERROR(INDEX('자료_한국심리'!$N$3:$N$4002,MATCH(A1040,$Y$19:$Y$4018,0)),H1039))</f>
        <v/>
      </c>
      <c r="I1040" s="31">
        <f>IF(AND(ISNUMBER(H1040),ISNUMBER(H1020)),IF(H1020&gt;0,H1040/H1020-1,""),"")</f>
        <v/>
      </c>
      <c r="J1040">
        <f>IF(A1040="",0,IF(A1040&gt;$B$5,1,0))</f>
        <v/>
      </c>
      <c r="K1040" s="29">
        <f>IF(AND(J1040=1,ISNUMBER(D1040)),D1040,"")</f>
        <v/>
      </c>
      <c r="L1040" s="30">
        <f>IF(AND(J1040=1,ISNUMBER(G1040)),G1040,"")</f>
        <v/>
      </c>
      <c r="M1040" s="22">
        <f>IF(AND(J1040=1,ISNUMBER(C1040)),C1040,"")</f>
        <v/>
      </c>
      <c r="N1040" s="31">
        <f>IF(AND(J1040=1,ISNUMBER(I1040)),I1040,"")</f>
        <v/>
      </c>
      <c r="O1040" s="11">
        <f>IF(K1040="","",100-IF($G$13=1,50,(_xlfn.RANK.AVG(K1040,$K$19:$K$1518,1)-1)/($G$13-1)*100))</f>
        <v/>
      </c>
      <c r="P1040" s="11">
        <f>IF(L1040="","",100-IF($G$14=1,50,(_xlfn.RANK.AVG(L1040,$L$19:$L$1518,1)-1)/($G$14-1)*100))</f>
        <v/>
      </c>
      <c r="Q1040" s="11">
        <f>IF(M1040="","",IF($G$15=1,50,(_xlfn.RANK.AVG(M1040,$M$19:$M$1518,1)-1)/($G$15-1)*100))</f>
        <v/>
      </c>
      <c r="R1040" s="11">
        <f>IF(N1040="","",IF($G$16=1,50,(_xlfn.RANK.AVG(N1040,$N$19:$N$1518,1)-1)/($G$16-1)*100))</f>
        <v/>
      </c>
      <c r="S1040" s="11">
        <f>IF(COUNT(O1040:R1040)=4,ROUND(AVERAGE(O1040:R1040),6),"")</f>
        <v/>
      </c>
      <c r="U1040">
        <f>IF(AND(ISNUMBER('자료_한국심리'!$A1024),ISNUMBER('자료_한국심리'!$B1024)),'자료_한국심리'!$A1024,"")</f>
        <v/>
      </c>
      <c r="V1040">
        <f>IF(AND(ISNUMBER('자료_한국심리'!$D1024),ISNUMBER('자료_한국심리'!$E1024)),'자료_한국심리'!$D1024,"")</f>
        <v/>
      </c>
      <c r="W1040">
        <f>IF(AND(ISNUMBER('자료_한국심리'!$G1024),ISNUMBER('자료_한국심리'!$H1024)),'자료_한국심리'!$G1024,"")</f>
        <v/>
      </c>
      <c r="X1040">
        <f>IF(AND(ISNUMBER('자료_한국심리'!$J1024),ISNUMBER('자료_한국심리'!$K1024)),'자료_한국심리'!$J1024,"")</f>
        <v/>
      </c>
      <c r="Y1040">
        <f>IF(AND(ISNUMBER('자료_한국심리'!$M1024),ISNUMBER('자료_한국심리'!$N1024)),'자료_한국심리'!$M1024,"")</f>
        <v/>
      </c>
    </row>
    <row r="1041">
      <c r="A1041" s="10">
        <f>IF(1023&gt;$E$5,"",SMALL($U$19:$U$4018,$E$6+1023))</f>
        <v/>
      </c>
      <c r="B1041" s="29">
        <f>IF(A1041="","",INDEX('자료_한국심리'!$B$3:$B$4002,MATCH(A1041,$U$19:$U$4018,0)))</f>
        <v/>
      </c>
      <c r="C1041" s="22">
        <f>IF(A1041="","",B1041/AVERAGE(B917:B1041)-1)</f>
        <v/>
      </c>
      <c r="D1041" s="29">
        <f>IF(A1041="","",IFERROR(INDEX('자료_한국심리'!$E$3:$E$4002,MATCH(A1041,$V$19:$V$4018,0)),D1040))</f>
        <v/>
      </c>
      <c r="E1041" s="30">
        <f>IF(A1041="","",IFERROR(INDEX('자료_한국심리'!$H$3:$H$4002,MATCH(A1041,$W$19:$W$4018,0)),E1040))</f>
        <v/>
      </c>
      <c r="F1041" s="30">
        <f>IF(A1041="","",IFERROR(INDEX('자료_한국심리'!$K$3:$K$4002,MATCH(A1041,$X$19:$X$4018,0)),F1040))</f>
        <v/>
      </c>
      <c r="G1041" s="30">
        <f>IF(AND(ISNUMBER(E1041),ISNUMBER(F1041)),ROUND(E1041-F1041,6),"")</f>
        <v/>
      </c>
      <c r="H1041" s="25">
        <f>IF(A1041="","",IFERROR(INDEX('자료_한국심리'!$N$3:$N$4002,MATCH(A1041,$Y$19:$Y$4018,0)),H1040))</f>
        <v/>
      </c>
      <c r="I1041" s="31">
        <f>IF(AND(ISNUMBER(H1041),ISNUMBER(H1021)),IF(H1021&gt;0,H1041/H1021-1,""),"")</f>
        <v/>
      </c>
      <c r="J1041">
        <f>IF(A1041="",0,IF(A1041&gt;$B$5,1,0))</f>
        <v/>
      </c>
      <c r="K1041" s="29">
        <f>IF(AND(J1041=1,ISNUMBER(D1041)),D1041,"")</f>
        <v/>
      </c>
      <c r="L1041" s="30">
        <f>IF(AND(J1041=1,ISNUMBER(G1041)),G1041,"")</f>
        <v/>
      </c>
      <c r="M1041" s="22">
        <f>IF(AND(J1041=1,ISNUMBER(C1041)),C1041,"")</f>
        <v/>
      </c>
      <c r="N1041" s="31">
        <f>IF(AND(J1041=1,ISNUMBER(I1041)),I1041,"")</f>
        <v/>
      </c>
      <c r="O1041" s="11">
        <f>IF(K1041="","",100-IF($G$13=1,50,(_xlfn.RANK.AVG(K1041,$K$19:$K$1518,1)-1)/($G$13-1)*100))</f>
        <v/>
      </c>
      <c r="P1041" s="11">
        <f>IF(L1041="","",100-IF($G$14=1,50,(_xlfn.RANK.AVG(L1041,$L$19:$L$1518,1)-1)/($G$14-1)*100))</f>
        <v/>
      </c>
      <c r="Q1041" s="11">
        <f>IF(M1041="","",IF($G$15=1,50,(_xlfn.RANK.AVG(M1041,$M$19:$M$1518,1)-1)/($G$15-1)*100))</f>
        <v/>
      </c>
      <c r="R1041" s="11">
        <f>IF(N1041="","",IF($G$16=1,50,(_xlfn.RANK.AVG(N1041,$N$19:$N$1518,1)-1)/($G$16-1)*100))</f>
        <v/>
      </c>
      <c r="S1041" s="11">
        <f>IF(COUNT(O1041:R1041)=4,ROUND(AVERAGE(O1041:R1041),6),"")</f>
        <v/>
      </c>
      <c r="U1041">
        <f>IF(AND(ISNUMBER('자료_한국심리'!$A1025),ISNUMBER('자료_한국심리'!$B1025)),'자료_한국심리'!$A1025,"")</f>
        <v/>
      </c>
      <c r="V1041">
        <f>IF(AND(ISNUMBER('자료_한국심리'!$D1025),ISNUMBER('자료_한국심리'!$E1025)),'자료_한국심리'!$D1025,"")</f>
        <v/>
      </c>
      <c r="W1041">
        <f>IF(AND(ISNUMBER('자료_한국심리'!$G1025),ISNUMBER('자료_한국심리'!$H1025)),'자료_한국심리'!$G1025,"")</f>
        <v/>
      </c>
      <c r="X1041">
        <f>IF(AND(ISNUMBER('자료_한국심리'!$J1025),ISNUMBER('자료_한국심리'!$K1025)),'자료_한국심리'!$J1025,"")</f>
        <v/>
      </c>
      <c r="Y1041">
        <f>IF(AND(ISNUMBER('자료_한국심리'!$M1025),ISNUMBER('자료_한국심리'!$N1025)),'자료_한국심리'!$M1025,"")</f>
        <v/>
      </c>
    </row>
    <row r="1042">
      <c r="A1042" s="10">
        <f>IF(1024&gt;$E$5,"",SMALL($U$19:$U$4018,$E$6+1024))</f>
        <v/>
      </c>
      <c r="B1042" s="29">
        <f>IF(A1042="","",INDEX('자료_한국심리'!$B$3:$B$4002,MATCH(A1042,$U$19:$U$4018,0)))</f>
        <v/>
      </c>
      <c r="C1042" s="22">
        <f>IF(A1042="","",B1042/AVERAGE(B918:B1042)-1)</f>
        <v/>
      </c>
      <c r="D1042" s="29">
        <f>IF(A1042="","",IFERROR(INDEX('자료_한국심리'!$E$3:$E$4002,MATCH(A1042,$V$19:$V$4018,0)),D1041))</f>
        <v/>
      </c>
      <c r="E1042" s="30">
        <f>IF(A1042="","",IFERROR(INDEX('자료_한국심리'!$H$3:$H$4002,MATCH(A1042,$W$19:$W$4018,0)),E1041))</f>
        <v/>
      </c>
      <c r="F1042" s="30">
        <f>IF(A1042="","",IFERROR(INDEX('자료_한국심리'!$K$3:$K$4002,MATCH(A1042,$X$19:$X$4018,0)),F1041))</f>
        <v/>
      </c>
      <c r="G1042" s="30">
        <f>IF(AND(ISNUMBER(E1042),ISNUMBER(F1042)),ROUND(E1042-F1042,6),"")</f>
        <v/>
      </c>
      <c r="H1042" s="25">
        <f>IF(A1042="","",IFERROR(INDEX('자료_한국심리'!$N$3:$N$4002,MATCH(A1042,$Y$19:$Y$4018,0)),H1041))</f>
        <v/>
      </c>
      <c r="I1042" s="31">
        <f>IF(AND(ISNUMBER(H1042),ISNUMBER(H1022)),IF(H1022&gt;0,H1042/H1022-1,""),"")</f>
        <v/>
      </c>
      <c r="J1042">
        <f>IF(A1042="",0,IF(A1042&gt;$B$5,1,0))</f>
        <v/>
      </c>
      <c r="K1042" s="29">
        <f>IF(AND(J1042=1,ISNUMBER(D1042)),D1042,"")</f>
        <v/>
      </c>
      <c r="L1042" s="30">
        <f>IF(AND(J1042=1,ISNUMBER(G1042)),G1042,"")</f>
        <v/>
      </c>
      <c r="M1042" s="22">
        <f>IF(AND(J1042=1,ISNUMBER(C1042)),C1042,"")</f>
        <v/>
      </c>
      <c r="N1042" s="31">
        <f>IF(AND(J1042=1,ISNUMBER(I1042)),I1042,"")</f>
        <v/>
      </c>
      <c r="O1042" s="11">
        <f>IF(K1042="","",100-IF($G$13=1,50,(_xlfn.RANK.AVG(K1042,$K$19:$K$1518,1)-1)/($G$13-1)*100))</f>
        <v/>
      </c>
      <c r="P1042" s="11">
        <f>IF(L1042="","",100-IF($G$14=1,50,(_xlfn.RANK.AVG(L1042,$L$19:$L$1518,1)-1)/($G$14-1)*100))</f>
        <v/>
      </c>
      <c r="Q1042" s="11">
        <f>IF(M1042="","",IF($G$15=1,50,(_xlfn.RANK.AVG(M1042,$M$19:$M$1518,1)-1)/($G$15-1)*100))</f>
        <v/>
      </c>
      <c r="R1042" s="11">
        <f>IF(N1042="","",IF($G$16=1,50,(_xlfn.RANK.AVG(N1042,$N$19:$N$1518,1)-1)/($G$16-1)*100))</f>
        <v/>
      </c>
      <c r="S1042" s="11">
        <f>IF(COUNT(O1042:R1042)=4,ROUND(AVERAGE(O1042:R1042),6),"")</f>
        <v/>
      </c>
      <c r="U1042">
        <f>IF(AND(ISNUMBER('자료_한국심리'!$A1026),ISNUMBER('자료_한국심리'!$B1026)),'자료_한국심리'!$A1026,"")</f>
        <v/>
      </c>
      <c r="V1042">
        <f>IF(AND(ISNUMBER('자료_한국심리'!$D1026),ISNUMBER('자료_한국심리'!$E1026)),'자료_한국심리'!$D1026,"")</f>
        <v/>
      </c>
      <c r="W1042">
        <f>IF(AND(ISNUMBER('자료_한국심리'!$G1026),ISNUMBER('자료_한국심리'!$H1026)),'자료_한국심리'!$G1026,"")</f>
        <v/>
      </c>
      <c r="X1042">
        <f>IF(AND(ISNUMBER('자료_한국심리'!$J1026),ISNUMBER('자료_한국심리'!$K1026)),'자료_한국심리'!$J1026,"")</f>
        <v/>
      </c>
      <c r="Y1042">
        <f>IF(AND(ISNUMBER('자료_한국심리'!$M1026),ISNUMBER('자료_한국심리'!$N1026)),'자료_한국심리'!$M1026,"")</f>
        <v/>
      </c>
    </row>
    <row r="1043">
      <c r="A1043" s="10">
        <f>IF(1025&gt;$E$5,"",SMALL($U$19:$U$4018,$E$6+1025))</f>
        <v/>
      </c>
      <c r="B1043" s="29">
        <f>IF(A1043="","",INDEX('자료_한국심리'!$B$3:$B$4002,MATCH(A1043,$U$19:$U$4018,0)))</f>
        <v/>
      </c>
      <c r="C1043" s="22">
        <f>IF(A1043="","",B1043/AVERAGE(B919:B1043)-1)</f>
        <v/>
      </c>
      <c r="D1043" s="29">
        <f>IF(A1043="","",IFERROR(INDEX('자료_한국심리'!$E$3:$E$4002,MATCH(A1043,$V$19:$V$4018,0)),D1042))</f>
        <v/>
      </c>
      <c r="E1043" s="30">
        <f>IF(A1043="","",IFERROR(INDEX('자료_한국심리'!$H$3:$H$4002,MATCH(A1043,$W$19:$W$4018,0)),E1042))</f>
        <v/>
      </c>
      <c r="F1043" s="30">
        <f>IF(A1043="","",IFERROR(INDEX('자료_한국심리'!$K$3:$K$4002,MATCH(A1043,$X$19:$X$4018,0)),F1042))</f>
        <v/>
      </c>
      <c r="G1043" s="30">
        <f>IF(AND(ISNUMBER(E1043),ISNUMBER(F1043)),ROUND(E1043-F1043,6),"")</f>
        <v/>
      </c>
      <c r="H1043" s="25">
        <f>IF(A1043="","",IFERROR(INDEX('자료_한국심리'!$N$3:$N$4002,MATCH(A1043,$Y$19:$Y$4018,0)),H1042))</f>
        <v/>
      </c>
      <c r="I1043" s="31">
        <f>IF(AND(ISNUMBER(H1043),ISNUMBER(H1023)),IF(H1023&gt;0,H1043/H1023-1,""),"")</f>
        <v/>
      </c>
      <c r="J1043">
        <f>IF(A1043="",0,IF(A1043&gt;$B$5,1,0))</f>
        <v/>
      </c>
      <c r="K1043" s="29">
        <f>IF(AND(J1043=1,ISNUMBER(D1043)),D1043,"")</f>
        <v/>
      </c>
      <c r="L1043" s="30">
        <f>IF(AND(J1043=1,ISNUMBER(G1043)),G1043,"")</f>
        <v/>
      </c>
      <c r="M1043" s="22">
        <f>IF(AND(J1043=1,ISNUMBER(C1043)),C1043,"")</f>
        <v/>
      </c>
      <c r="N1043" s="31">
        <f>IF(AND(J1043=1,ISNUMBER(I1043)),I1043,"")</f>
        <v/>
      </c>
      <c r="O1043" s="11">
        <f>IF(K1043="","",100-IF($G$13=1,50,(_xlfn.RANK.AVG(K1043,$K$19:$K$1518,1)-1)/($G$13-1)*100))</f>
        <v/>
      </c>
      <c r="P1043" s="11">
        <f>IF(L1043="","",100-IF($G$14=1,50,(_xlfn.RANK.AVG(L1043,$L$19:$L$1518,1)-1)/($G$14-1)*100))</f>
        <v/>
      </c>
      <c r="Q1043" s="11">
        <f>IF(M1043="","",IF($G$15=1,50,(_xlfn.RANK.AVG(M1043,$M$19:$M$1518,1)-1)/($G$15-1)*100))</f>
        <v/>
      </c>
      <c r="R1043" s="11">
        <f>IF(N1043="","",IF($G$16=1,50,(_xlfn.RANK.AVG(N1043,$N$19:$N$1518,1)-1)/($G$16-1)*100))</f>
        <v/>
      </c>
      <c r="S1043" s="11">
        <f>IF(COUNT(O1043:R1043)=4,ROUND(AVERAGE(O1043:R1043),6),"")</f>
        <v/>
      </c>
      <c r="U1043">
        <f>IF(AND(ISNUMBER('자료_한국심리'!$A1027),ISNUMBER('자료_한국심리'!$B1027)),'자료_한국심리'!$A1027,"")</f>
        <v/>
      </c>
      <c r="V1043">
        <f>IF(AND(ISNUMBER('자료_한국심리'!$D1027),ISNUMBER('자료_한국심리'!$E1027)),'자료_한국심리'!$D1027,"")</f>
        <v/>
      </c>
      <c r="W1043">
        <f>IF(AND(ISNUMBER('자료_한국심리'!$G1027),ISNUMBER('자료_한국심리'!$H1027)),'자료_한국심리'!$G1027,"")</f>
        <v/>
      </c>
      <c r="X1043">
        <f>IF(AND(ISNUMBER('자료_한국심리'!$J1027),ISNUMBER('자료_한국심리'!$K1027)),'자료_한국심리'!$J1027,"")</f>
        <v/>
      </c>
      <c r="Y1043">
        <f>IF(AND(ISNUMBER('자료_한국심리'!$M1027),ISNUMBER('자료_한국심리'!$N1027)),'자료_한국심리'!$M1027,"")</f>
        <v/>
      </c>
    </row>
    <row r="1044">
      <c r="A1044" s="10">
        <f>IF(1026&gt;$E$5,"",SMALL($U$19:$U$4018,$E$6+1026))</f>
        <v/>
      </c>
      <c r="B1044" s="29">
        <f>IF(A1044="","",INDEX('자료_한국심리'!$B$3:$B$4002,MATCH(A1044,$U$19:$U$4018,0)))</f>
        <v/>
      </c>
      <c r="C1044" s="22">
        <f>IF(A1044="","",B1044/AVERAGE(B920:B1044)-1)</f>
        <v/>
      </c>
      <c r="D1044" s="29">
        <f>IF(A1044="","",IFERROR(INDEX('자료_한국심리'!$E$3:$E$4002,MATCH(A1044,$V$19:$V$4018,0)),D1043))</f>
        <v/>
      </c>
      <c r="E1044" s="30">
        <f>IF(A1044="","",IFERROR(INDEX('자료_한국심리'!$H$3:$H$4002,MATCH(A1044,$W$19:$W$4018,0)),E1043))</f>
        <v/>
      </c>
      <c r="F1044" s="30">
        <f>IF(A1044="","",IFERROR(INDEX('자료_한국심리'!$K$3:$K$4002,MATCH(A1044,$X$19:$X$4018,0)),F1043))</f>
        <v/>
      </c>
      <c r="G1044" s="30">
        <f>IF(AND(ISNUMBER(E1044),ISNUMBER(F1044)),ROUND(E1044-F1044,6),"")</f>
        <v/>
      </c>
      <c r="H1044" s="25">
        <f>IF(A1044="","",IFERROR(INDEX('자료_한국심리'!$N$3:$N$4002,MATCH(A1044,$Y$19:$Y$4018,0)),H1043))</f>
        <v/>
      </c>
      <c r="I1044" s="31">
        <f>IF(AND(ISNUMBER(H1044),ISNUMBER(H1024)),IF(H1024&gt;0,H1044/H1024-1,""),"")</f>
        <v/>
      </c>
      <c r="J1044">
        <f>IF(A1044="",0,IF(A1044&gt;$B$5,1,0))</f>
        <v/>
      </c>
      <c r="K1044" s="29">
        <f>IF(AND(J1044=1,ISNUMBER(D1044)),D1044,"")</f>
        <v/>
      </c>
      <c r="L1044" s="30">
        <f>IF(AND(J1044=1,ISNUMBER(G1044)),G1044,"")</f>
        <v/>
      </c>
      <c r="M1044" s="22">
        <f>IF(AND(J1044=1,ISNUMBER(C1044)),C1044,"")</f>
        <v/>
      </c>
      <c r="N1044" s="31">
        <f>IF(AND(J1044=1,ISNUMBER(I1044)),I1044,"")</f>
        <v/>
      </c>
      <c r="O1044" s="11">
        <f>IF(K1044="","",100-IF($G$13=1,50,(_xlfn.RANK.AVG(K1044,$K$19:$K$1518,1)-1)/($G$13-1)*100))</f>
        <v/>
      </c>
      <c r="P1044" s="11">
        <f>IF(L1044="","",100-IF($G$14=1,50,(_xlfn.RANK.AVG(L1044,$L$19:$L$1518,1)-1)/($G$14-1)*100))</f>
        <v/>
      </c>
      <c r="Q1044" s="11">
        <f>IF(M1044="","",IF($G$15=1,50,(_xlfn.RANK.AVG(M1044,$M$19:$M$1518,1)-1)/($G$15-1)*100))</f>
        <v/>
      </c>
      <c r="R1044" s="11">
        <f>IF(N1044="","",IF($G$16=1,50,(_xlfn.RANK.AVG(N1044,$N$19:$N$1518,1)-1)/($G$16-1)*100))</f>
        <v/>
      </c>
      <c r="S1044" s="11">
        <f>IF(COUNT(O1044:R1044)=4,ROUND(AVERAGE(O1044:R1044),6),"")</f>
        <v/>
      </c>
      <c r="U1044">
        <f>IF(AND(ISNUMBER('자료_한국심리'!$A1028),ISNUMBER('자료_한국심리'!$B1028)),'자료_한국심리'!$A1028,"")</f>
        <v/>
      </c>
      <c r="V1044">
        <f>IF(AND(ISNUMBER('자료_한국심리'!$D1028),ISNUMBER('자료_한국심리'!$E1028)),'자료_한국심리'!$D1028,"")</f>
        <v/>
      </c>
      <c r="W1044">
        <f>IF(AND(ISNUMBER('자료_한국심리'!$G1028),ISNUMBER('자료_한국심리'!$H1028)),'자료_한국심리'!$G1028,"")</f>
        <v/>
      </c>
      <c r="X1044">
        <f>IF(AND(ISNUMBER('자료_한국심리'!$J1028),ISNUMBER('자료_한국심리'!$K1028)),'자료_한국심리'!$J1028,"")</f>
        <v/>
      </c>
      <c r="Y1044">
        <f>IF(AND(ISNUMBER('자료_한국심리'!$M1028),ISNUMBER('자료_한국심리'!$N1028)),'자료_한국심리'!$M1028,"")</f>
        <v/>
      </c>
    </row>
    <row r="1045">
      <c r="A1045" s="10">
        <f>IF(1027&gt;$E$5,"",SMALL($U$19:$U$4018,$E$6+1027))</f>
        <v/>
      </c>
      <c r="B1045" s="29">
        <f>IF(A1045="","",INDEX('자료_한국심리'!$B$3:$B$4002,MATCH(A1045,$U$19:$U$4018,0)))</f>
        <v/>
      </c>
      <c r="C1045" s="22">
        <f>IF(A1045="","",B1045/AVERAGE(B921:B1045)-1)</f>
        <v/>
      </c>
      <c r="D1045" s="29">
        <f>IF(A1045="","",IFERROR(INDEX('자료_한국심리'!$E$3:$E$4002,MATCH(A1045,$V$19:$V$4018,0)),D1044))</f>
        <v/>
      </c>
      <c r="E1045" s="30">
        <f>IF(A1045="","",IFERROR(INDEX('자료_한국심리'!$H$3:$H$4002,MATCH(A1045,$W$19:$W$4018,0)),E1044))</f>
        <v/>
      </c>
      <c r="F1045" s="30">
        <f>IF(A1045="","",IFERROR(INDEX('자료_한국심리'!$K$3:$K$4002,MATCH(A1045,$X$19:$X$4018,0)),F1044))</f>
        <v/>
      </c>
      <c r="G1045" s="30">
        <f>IF(AND(ISNUMBER(E1045),ISNUMBER(F1045)),ROUND(E1045-F1045,6),"")</f>
        <v/>
      </c>
      <c r="H1045" s="25">
        <f>IF(A1045="","",IFERROR(INDEX('자료_한국심리'!$N$3:$N$4002,MATCH(A1045,$Y$19:$Y$4018,0)),H1044))</f>
        <v/>
      </c>
      <c r="I1045" s="31">
        <f>IF(AND(ISNUMBER(H1045),ISNUMBER(H1025)),IF(H1025&gt;0,H1045/H1025-1,""),"")</f>
        <v/>
      </c>
      <c r="J1045">
        <f>IF(A1045="",0,IF(A1045&gt;$B$5,1,0))</f>
        <v/>
      </c>
      <c r="K1045" s="29">
        <f>IF(AND(J1045=1,ISNUMBER(D1045)),D1045,"")</f>
        <v/>
      </c>
      <c r="L1045" s="30">
        <f>IF(AND(J1045=1,ISNUMBER(G1045)),G1045,"")</f>
        <v/>
      </c>
      <c r="M1045" s="22">
        <f>IF(AND(J1045=1,ISNUMBER(C1045)),C1045,"")</f>
        <v/>
      </c>
      <c r="N1045" s="31">
        <f>IF(AND(J1045=1,ISNUMBER(I1045)),I1045,"")</f>
        <v/>
      </c>
      <c r="O1045" s="11">
        <f>IF(K1045="","",100-IF($G$13=1,50,(_xlfn.RANK.AVG(K1045,$K$19:$K$1518,1)-1)/($G$13-1)*100))</f>
        <v/>
      </c>
      <c r="P1045" s="11">
        <f>IF(L1045="","",100-IF($G$14=1,50,(_xlfn.RANK.AVG(L1045,$L$19:$L$1518,1)-1)/($G$14-1)*100))</f>
        <v/>
      </c>
      <c r="Q1045" s="11">
        <f>IF(M1045="","",IF($G$15=1,50,(_xlfn.RANK.AVG(M1045,$M$19:$M$1518,1)-1)/($G$15-1)*100))</f>
        <v/>
      </c>
      <c r="R1045" s="11">
        <f>IF(N1045="","",IF($G$16=1,50,(_xlfn.RANK.AVG(N1045,$N$19:$N$1518,1)-1)/($G$16-1)*100))</f>
        <v/>
      </c>
      <c r="S1045" s="11">
        <f>IF(COUNT(O1045:R1045)=4,ROUND(AVERAGE(O1045:R1045),6),"")</f>
        <v/>
      </c>
      <c r="U1045">
        <f>IF(AND(ISNUMBER('자료_한국심리'!$A1029),ISNUMBER('자료_한국심리'!$B1029)),'자료_한국심리'!$A1029,"")</f>
        <v/>
      </c>
      <c r="V1045">
        <f>IF(AND(ISNUMBER('자료_한국심리'!$D1029),ISNUMBER('자료_한국심리'!$E1029)),'자료_한국심리'!$D1029,"")</f>
        <v/>
      </c>
      <c r="W1045">
        <f>IF(AND(ISNUMBER('자료_한국심리'!$G1029),ISNUMBER('자료_한국심리'!$H1029)),'자료_한국심리'!$G1029,"")</f>
        <v/>
      </c>
      <c r="X1045">
        <f>IF(AND(ISNUMBER('자료_한국심리'!$J1029),ISNUMBER('자료_한국심리'!$K1029)),'자료_한국심리'!$J1029,"")</f>
        <v/>
      </c>
      <c r="Y1045">
        <f>IF(AND(ISNUMBER('자료_한국심리'!$M1029),ISNUMBER('자료_한국심리'!$N1029)),'자료_한국심리'!$M1029,"")</f>
        <v/>
      </c>
    </row>
    <row r="1046">
      <c r="A1046" s="10">
        <f>IF(1028&gt;$E$5,"",SMALL($U$19:$U$4018,$E$6+1028))</f>
        <v/>
      </c>
      <c r="B1046" s="29">
        <f>IF(A1046="","",INDEX('자료_한국심리'!$B$3:$B$4002,MATCH(A1046,$U$19:$U$4018,0)))</f>
        <v/>
      </c>
      <c r="C1046" s="22">
        <f>IF(A1046="","",B1046/AVERAGE(B922:B1046)-1)</f>
        <v/>
      </c>
      <c r="D1046" s="29">
        <f>IF(A1046="","",IFERROR(INDEX('자료_한국심리'!$E$3:$E$4002,MATCH(A1046,$V$19:$V$4018,0)),D1045))</f>
        <v/>
      </c>
      <c r="E1046" s="30">
        <f>IF(A1046="","",IFERROR(INDEX('자료_한국심리'!$H$3:$H$4002,MATCH(A1046,$W$19:$W$4018,0)),E1045))</f>
        <v/>
      </c>
      <c r="F1046" s="30">
        <f>IF(A1046="","",IFERROR(INDEX('자료_한국심리'!$K$3:$K$4002,MATCH(A1046,$X$19:$X$4018,0)),F1045))</f>
        <v/>
      </c>
      <c r="G1046" s="30">
        <f>IF(AND(ISNUMBER(E1046),ISNUMBER(F1046)),ROUND(E1046-F1046,6),"")</f>
        <v/>
      </c>
      <c r="H1046" s="25">
        <f>IF(A1046="","",IFERROR(INDEX('자료_한국심리'!$N$3:$N$4002,MATCH(A1046,$Y$19:$Y$4018,0)),H1045))</f>
        <v/>
      </c>
      <c r="I1046" s="31">
        <f>IF(AND(ISNUMBER(H1046),ISNUMBER(H1026)),IF(H1026&gt;0,H1046/H1026-1,""),"")</f>
        <v/>
      </c>
      <c r="J1046">
        <f>IF(A1046="",0,IF(A1046&gt;$B$5,1,0))</f>
        <v/>
      </c>
      <c r="K1046" s="29">
        <f>IF(AND(J1046=1,ISNUMBER(D1046)),D1046,"")</f>
        <v/>
      </c>
      <c r="L1046" s="30">
        <f>IF(AND(J1046=1,ISNUMBER(G1046)),G1046,"")</f>
        <v/>
      </c>
      <c r="M1046" s="22">
        <f>IF(AND(J1046=1,ISNUMBER(C1046)),C1046,"")</f>
        <v/>
      </c>
      <c r="N1046" s="31">
        <f>IF(AND(J1046=1,ISNUMBER(I1046)),I1046,"")</f>
        <v/>
      </c>
      <c r="O1046" s="11">
        <f>IF(K1046="","",100-IF($G$13=1,50,(_xlfn.RANK.AVG(K1046,$K$19:$K$1518,1)-1)/($G$13-1)*100))</f>
        <v/>
      </c>
      <c r="P1046" s="11">
        <f>IF(L1046="","",100-IF($G$14=1,50,(_xlfn.RANK.AVG(L1046,$L$19:$L$1518,1)-1)/($G$14-1)*100))</f>
        <v/>
      </c>
      <c r="Q1046" s="11">
        <f>IF(M1046="","",IF($G$15=1,50,(_xlfn.RANK.AVG(M1046,$M$19:$M$1518,1)-1)/($G$15-1)*100))</f>
        <v/>
      </c>
      <c r="R1046" s="11">
        <f>IF(N1046="","",IF($G$16=1,50,(_xlfn.RANK.AVG(N1046,$N$19:$N$1518,1)-1)/($G$16-1)*100))</f>
        <v/>
      </c>
      <c r="S1046" s="11">
        <f>IF(COUNT(O1046:R1046)=4,ROUND(AVERAGE(O1046:R1046),6),"")</f>
        <v/>
      </c>
      <c r="U1046">
        <f>IF(AND(ISNUMBER('자료_한국심리'!$A1030),ISNUMBER('자료_한국심리'!$B1030)),'자료_한국심리'!$A1030,"")</f>
        <v/>
      </c>
      <c r="V1046">
        <f>IF(AND(ISNUMBER('자료_한국심리'!$D1030),ISNUMBER('자료_한국심리'!$E1030)),'자료_한국심리'!$D1030,"")</f>
        <v/>
      </c>
      <c r="W1046">
        <f>IF(AND(ISNUMBER('자료_한국심리'!$G1030),ISNUMBER('자료_한국심리'!$H1030)),'자료_한국심리'!$G1030,"")</f>
        <v/>
      </c>
      <c r="X1046">
        <f>IF(AND(ISNUMBER('자료_한국심리'!$J1030),ISNUMBER('자료_한국심리'!$K1030)),'자료_한국심리'!$J1030,"")</f>
        <v/>
      </c>
      <c r="Y1046">
        <f>IF(AND(ISNUMBER('자료_한국심리'!$M1030),ISNUMBER('자료_한국심리'!$N1030)),'자료_한국심리'!$M1030,"")</f>
        <v/>
      </c>
    </row>
    <row r="1047">
      <c r="A1047" s="10">
        <f>IF(1029&gt;$E$5,"",SMALL($U$19:$U$4018,$E$6+1029))</f>
        <v/>
      </c>
      <c r="B1047" s="29">
        <f>IF(A1047="","",INDEX('자료_한국심리'!$B$3:$B$4002,MATCH(A1047,$U$19:$U$4018,0)))</f>
        <v/>
      </c>
      <c r="C1047" s="22">
        <f>IF(A1047="","",B1047/AVERAGE(B923:B1047)-1)</f>
        <v/>
      </c>
      <c r="D1047" s="29">
        <f>IF(A1047="","",IFERROR(INDEX('자료_한국심리'!$E$3:$E$4002,MATCH(A1047,$V$19:$V$4018,0)),D1046))</f>
        <v/>
      </c>
      <c r="E1047" s="30">
        <f>IF(A1047="","",IFERROR(INDEX('자료_한국심리'!$H$3:$H$4002,MATCH(A1047,$W$19:$W$4018,0)),E1046))</f>
        <v/>
      </c>
      <c r="F1047" s="30">
        <f>IF(A1047="","",IFERROR(INDEX('자료_한국심리'!$K$3:$K$4002,MATCH(A1047,$X$19:$X$4018,0)),F1046))</f>
        <v/>
      </c>
      <c r="G1047" s="30">
        <f>IF(AND(ISNUMBER(E1047),ISNUMBER(F1047)),ROUND(E1047-F1047,6),"")</f>
        <v/>
      </c>
      <c r="H1047" s="25">
        <f>IF(A1047="","",IFERROR(INDEX('자료_한국심리'!$N$3:$N$4002,MATCH(A1047,$Y$19:$Y$4018,0)),H1046))</f>
        <v/>
      </c>
      <c r="I1047" s="31">
        <f>IF(AND(ISNUMBER(H1047),ISNUMBER(H1027)),IF(H1027&gt;0,H1047/H1027-1,""),"")</f>
        <v/>
      </c>
      <c r="J1047">
        <f>IF(A1047="",0,IF(A1047&gt;$B$5,1,0))</f>
        <v/>
      </c>
      <c r="K1047" s="29">
        <f>IF(AND(J1047=1,ISNUMBER(D1047)),D1047,"")</f>
        <v/>
      </c>
      <c r="L1047" s="30">
        <f>IF(AND(J1047=1,ISNUMBER(G1047)),G1047,"")</f>
        <v/>
      </c>
      <c r="M1047" s="22">
        <f>IF(AND(J1047=1,ISNUMBER(C1047)),C1047,"")</f>
        <v/>
      </c>
      <c r="N1047" s="31">
        <f>IF(AND(J1047=1,ISNUMBER(I1047)),I1047,"")</f>
        <v/>
      </c>
      <c r="O1047" s="11">
        <f>IF(K1047="","",100-IF($G$13=1,50,(_xlfn.RANK.AVG(K1047,$K$19:$K$1518,1)-1)/($G$13-1)*100))</f>
        <v/>
      </c>
      <c r="P1047" s="11">
        <f>IF(L1047="","",100-IF($G$14=1,50,(_xlfn.RANK.AVG(L1047,$L$19:$L$1518,1)-1)/($G$14-1)*100))</f>
        <v/>
      </c>
      <c r="Q1047" s="11">
        <f>IF(M1047="","",IF($G$15=1,50,(_xlfn.RANK.AVG(M1047,$M$19:$M$1518,1)-1)/($G$15-1)*100))</f>
        <v/>
      </c>
      <c r="R1047" s="11">
        <f>IF(N1047="","",IF($G$16=1,50,(_xlfn.RANK.AVG(N1047,$N$19:$N$1518,1)-1)/($G$16-1)*100))</f>
        <v/>
      </c>
      <c r="S1047" s="11">
        <f>IF(COUNT(O1047:R1047)=4,ROUND(AVERAGE(O1047:R1047),6),"")</f>
        <v/>
      </c>
      <c r="U1047">
        <f>IF(AND(ISNUMBER('자료_한국심리'!$A1031),ISNUMBER('자료_한국심리'!$B1031)),'자료_한국심리'!$A1031,"")</f>
        <v/>
      </c>
      <c r="V1047">
        <f>IF(AND(ISNUMBER('자료_한국심리'!$D1031),ISNUMBER('자료_한국심리'!$E1031)),'자료_한국심리'!$D1031,"")</f>
        <v/>
      </c>
      <c r="W1047">
        <f>IF(AND(ISNUMBER('자료_한국심리'!$G1031),ISNUMBER('자료_한국심리'!$H1031)),'자료_한국심리'!$G1031,"")</f>
        <v/>
      </c>
      <c r="X1047">
        <f>IF(AND(ISNUMBER('자료_한국심리'!$J1031),ISNUMBER('자료_한국심리'!$K1031)),'자료_한국심리'!$J1031,"")</f>
        <v/>
      </c>
      <c r="Y1047">
        <f>IF(AND(ISNUMBER('자료_한국심리'!$M1031),ISNUMBER('자료_한국심리'!$N1031)),'자료_한국심리'!$M1031,"")</f>
        <v/>
      </c>
    </row>
    <row r="1048">
      <c r="A1048" s="10">
        <f>IF(1030&gt;$E$5,"",SMALL($U$19:$U$4018,$E$6+1030))</f>
        <v/>
      </c>
      <c r="B1048" s="29">
        <f>IF(A1048="","",INDEX('자료_한국심리'!$B$3:$B$4002,MATCH(A1048,$U$19:$U$4018,0)))</f>
        <v/>
      </c>
      <c r="C1048" s="22">
        <f>IF(A1048="","",B1048/AVERAGE(B924:B1048)-1)</f>
        <v/>
      </c>
      <c r="D1048" s="29">
        <f>IF(A1048="","",IFERROR(INDEX('자료_한국심리'!$E$3:$E$4002,MATCH(A1048,$V$19:$V$4018,0)),D1047))</f>
        <v/>
      </c>
      <c r="E1048" s="30">
        <f>IF(A1048="","",IFERROR(INDEX('자료_한국심리'!$H$3:$H$4002,MATCH(A1048,$W$19:$W$4018,0)),E1047))</f>
        <v/>
      </c>
      <c r="F1048" s="30">
        <f>IF(A1048="","",IFERROR(INDEX('자료_한국심리'!$K$3:$K$4002,MATCH(A1048,$X$19:$X$4018,0)),F1047))</f>
        <v/>
      </c>
      <c r="G1048" s="30">
        <f>IF(AND(ISNUMBER(E1048),ISNUMBER(F1048)),ROUND(E1048-F1048,6),"")</f>
        <v/>
      </c>
      <c r="H1048" s="25">
        <f>IF(A1048="","",IFERROR(INDEX('자료_한국심리'!$N$3:$N$4002,MATCH(A1048,$Y$19:$Y$4018,0)),H1047))</f>
        <v/>
      </c>
      <c r="I1048" s="31">
        <f>IF(AND(ISNUMBER(H1048),ISNUMBER(H1028)),IF(H1028&gt;0,H1048/H1028-1,""),"")</f>
        <v/>
      </c>
      <c r="J1048">
        <f>IF(A1048="",0,IF(A1048&gt;$B$5,1,0))</f>
        <v/>
      </c>
      <c r="K1048" s="29">
        <f>IF(AND(J1048=1,ISNUMBER(D1048)),D1048,"")</f>
        <v/>
      </c>
      <c r="L1048" s="30">
        <f>IF(AND(J1048=1,ISNUMBER(G1048)),G1048,"")</f>
        <v/>
      </c>
      <c r="M1048" s="22">
        <f>IF(AND(J1048=1,ISNUMBER(C1048)),C1048,"")</f>
        <v/>
      </c>
      <c r="N1048" s="31">
        <f>IF(AND(J1048=1,ISNUMBER(I1048)),I1048,"")</f>
        <v/>
      </c>
      <c r="O1048" s="11">
        <f>IF(K1048="","",100-IF($G$13=1,50,(_xlfn.RANK.AVG(K1048,$K$19:$K$1518,1)-1)/($G$13-1)*100))</f>
        <v/>
      </c>
      <c r="P1048" s="11">
        <f>IF(L1048="","",100-IF($G$14=1,50,(_xlfn.RANK.AVG(L1048,$L$19:$L$1518,1)-1)/($G$14-1)*100))</f>
        <v/>
      </c>
      <c r="Q1048" s="11">
        <f>IF(M1048="","",IF($G$15=1,50,(_xlfn.RANK.AVG(M1048,$M$19:$M$1518,1)-1)/($G$15-1)*100))</f>
        <v/>
      </c>
      <c r="R1048" s="11">
        <f>IF(N1048="","",IF($G$16=1,50,(_xlfn.RANK.AVG(N1048,$N$19:$N$1518,1)-1)/($G$16-1)*100))</f>
        <v/>
      </c>
      <c r="S1048" s="11">
        <f>IF(COUNT(O1048:R1048)=4,ROUND(AVERAGE(O1048:R1048),6),"")</f>
        <v/>
      </c>
      <c r="U1048">
        <f>IF(AND(ISNUMBER('자료_한국심리'!$A1032),ISNUMBER('자료_한국심리'!$B1032)),'자료_한국심리'!$A1032,"")</f>
        <v/>
      </c>
      <c r="V1048">
        <f>IF(AND(ISNUMBER('자료_한국심리'!$D1032),ISNUMBER('자료_한국심리'!$E1032)),'자료_한국심리'!$D1032,"")</f>
        <v/>
      </c>
      <c r="W1048">
        <f>IF(AND(ISNUMBER('자료_한국심리'!$G1032),ISNUMBER('자료_한국심리'!$H1032)),'자료_한국심리'!$G1032,"")</f>
        <v/>
      </c>
      <c r="X1048">
        <f>IF(AND(ISNUMBER('자료_한국심리'!$J1032),ISNUMBER('자료_한국심리'!$K1032)),'자료_한국심리'!$J1032,"")</f>
        <v/>
      </c>
      <c r="Y1048">
        <f>IF(AND(ISNUMBER('자료_한국심리'!$M1032),ISNUMBER('자료_한국심리'!$N1032)),'자료_한국심리'!$M1032,"")</f>
        <v/>
      </c>
    </row>
    <row r="1049">
      <c r="A1049" s="10">
        <f>IF(1031&gt;$E$5,"",SMALL($U$19:$U$4018,$E$6+1031))</f>
        <v/>
      </c>
      <c r="B1049" s="29">
        <f>IF(A1049="","",INDEX('자료_한국심리'!$B$3:$B$4002,MATCH(A1049,$U$19:$U$4018,0)))</f>
        <v/>
      </c>
      <c r="C1049" s="22">
        <f>IF(A1049="","",B1049/AVERAGE(B925:B1049)-1)</f>
        <v/>
      </c>
      <c r="D1049" s="29">
        <f>IF(A1049="","",IFERROR(INDEX('자료_한국심리'!$E$3:$E$4002,MATCH(A1049,$V$19:$V$4018,0)),D1048))</f>
        <v/>
      </c>
      <c r="E1049" s="30">
        <f>IF(A1049="","",IFERROR(INDEX('자료_한국심리'!$H$3:$H$4002,MATCH(A1049,$W$19:$W$4018,0)),E1048))</f>
        <v/>
      </c>
      <c r="F1049" s="30">
        <f>IF(A1049="","",IFERROR(INDEX('자료_한국심리'!$K$3:$K$4002,MATCH(A1049,$X$19:$X$4018,0)),F1048))</f>
        <v/>
      </c>
      <c r="G1049" s="30">
        <f>IF(AND(ISNUMBER(E1049),ISNUMBER(F1049)),ROUND(E1049-F1049,6),"")</f>
        <v/>
      </c>
      <c r="H1049" s="25">
        <f>IF(A1049="","",IFERROR(INDEX('자료_한국심리'!$N$3:$N$4002,MATCH(A1049,$Y$19:$Y$4018,0)),H1048))</f>
        <v/>
      </c>
      <c r="I1049" s="31">
        <f>IF(AND(ISNUMBER(H1049),ISNUMBER(H1029)),IF(H1029&gt;0,H1049/H1029-1,""),"")</f>
        <v/>
      </c>
      <c r="J1049">
        <f>IF(A1049="",0,IF(A1049&gt;$B$5,1,0))</f>
        <v/>
      </c>
      <c r="K1049" s="29">
        <f>IF(AND(J1049=1,ISNUMBER(D1049)),D1049,"")</f>
        <v/>
      </c>
      <c r="L1049" s="30">
        <f>IF(AND(J1049=1,ISNUMBER(G1049)),G1049,"")</f>
        <v/>
      </c>
      <c r="M1049" s="22">
        <f>IF(AND(J1049=1,ISNUMBER(C1049)),C1049,"")</f>
        <v/>
      </c>
      <c r="N1049" s="31">
        <f>IF(AND(J1049=1,ISNUMBER(I1049)),I1049,"")</f>
        <v/>
      </c>
      <c r="O1049" s="11">
        <f>IF(K1049="","",100-IF($G$13=1,50,(_xlfn.RANK.AVG(K1049,$K$19:$K$1518,1)-1)/($G$13-1)*100))</f>
        <v/>
      </c>
      <c r="P1049" s="11">
        <f>IF(L1049="","",100-IF($G$14=1,50,(_xlfn.RANK.AVG(L1049,$L$19:$L$1518,1)-1)/($G$14-1)*100))</f>
        <v/>
      </c>
      <c r="Q1049" s="11">
        <f>IF(M1049="","",IF($G$15=1,50,(_xlfn.RANK.AVG(M1049,$M$19:$M$1518,1)-1)/($G$15-1)*100))</f>
        <v/>
      </c>
      <c r="R1049" s="11">
        <f>IF(N1049="","",IF($G$16=1,50,(_xlfn.RANK.AVG(N1049,$N$19:$N$1518,1)-1)/($G$16-1)*100))</f>
        <v/>
      </c>
      <c r="S1049" s="11">
        <f>IF(COUNT(O1049:R1049)=4,ROUND(AVERAGE(O1049:R1049),6),"")</f>
        <v/>
      </c>
      <c r="U1049">
        <f>IF(AND(ISNUMBER('자료_한국심리'!$A1033),ISNUMBER('자료_한국심리'!$B1033)),'자료_한국심리'!$A1033,"")</f>
        <v/>
      </c>
      <c r="V1049">
        <f>IF(AND(ISNUMBER('자료_한국심리'!$D1033),ISNUMBER('자료_한국심리'!$E1033)),'자료_한국심리'!$D1033,"")</f>
        <v/>
      </c>
      <c r="W1049">
        <f>IF(AND(ISNUMBER('자료_한국심리'!$G1033),ISNUMBER('자료_한국심리'!$H1033)),'자료_한국심리'!$G1033,"")</f>
        <v/>
      </c>
      <c r="X1049">
        <f>IF(AND(ISNUMBER('자료_한국심리'!$J1033),ISNUMBER('자료_한국심리'!$K1033)),'자료_한국심리'!$J1033,"")</f>
        <v/>
      </c>
      <c r="Y1049">
        <f>IF(AND(ISNUMBER('자료_한국심리'!$M1033),ISNUMBER('자료_한국심리'!$N1033)),'자료_한국심리'!$M1033,"")</f>
        <v/>
      </c>
    </row>
    <row r="1050">
      <c r="A1050" s="10">
        <f>IF(1032&gt;$E$5,"",SMALL($U$19:$U$4018,$E$6+1032))</f>
        <v/>
      </c>
      <c r="B1050" s="29">
        <f>IF(A1050="","",INDEX('자료_한국심리'!$B$3:$B$4002,MATCH(A1050,$U$19:$U$4018,0)))</f>
        <v/>
      </c>
      <c r="C1050" s="22">
        <f>IF(A1050="","",B1050/AVERAGE(B926:B1050)-1)</f>
        <v/>
      </c>
      <c r="D1050" s="29">
        <f>IF(A1050="","",IFERROR(INDEX('자료_한국심리'!$E$3:$E$4002,MATCH(A1050,$V$19:$V$4018,0)),D1049))</f>
        <v/>
      </c>
      <c r="E1050" s="30">
        <f>IF(A1050="","",IFERROR(INDEX('자료_한국심리'!$H$3:$H$4002,MATCH(A1050,$W$19:$W$4018,0)),E1049))</f>
        <v/>
      </c>
      <c r="F1050" s="30">
        <f>IF(A1050="","",IFERROR(INDEX('자료_한국심리'!$K$3:$K$4002,MATCH(A1050,$X$19:$X$4018,0)),F1049))</f>
        <v/>
      </c>
      <c r="G1050" s="30">
        <f>IF(AND(ISNUMBER(E1050),ISNUMBER(F1050)),ROUND(E1050-F1050,6),"")</f>
        <v/>
      </c>
      <c r="H1050" s="25">
        <f>IF(A1050="","",IFERROR(INDEX('자료_한국심리'!$N$3:$N$4002,MATCH(A1050,$Y$19:$Y$4018,0)),H1049))</f>
        <v/>
      </c>
      <c r="I1050" s="31">
        <f>IF(AND(ISNUMBER(H1050),ISNUMBER(H1030)),IF(H1030&gt;0,H1050/H1030-1,""),"")</f>
        <v/>
      </c>
      <c r="J1050">
        <f>IF(A1050="",0,IF(A1050&gt;$B$5,1,0))</f>
        <v/>
      </c>
      <c r="K1050" s="29">
        <f>IF(AND(J1050=1,ISNUMBER(D1050)),D1050,"")</f>
        <v/>
      </c>
      <c r="L1050" s="30">
        <f>IF(AND(J1050=1,ISNUMBER(G1050)),G1050,"")</f>
        <v/>
      </c>
      <c r="M1050" s="22">
        <f>IF(AND(J1050=1,ISNUMBER(C1050)),C1050,"")</f>
        <v/>
      </c>
      <c r="N1050" s="31">
        <f>IF(AND(J1050=1,ISNUMBER(I1050)),I1050,"")</f>
        <v/>
      </c>
      <c r="O1050" s="11">
        <f>IF(K1050="","",100-IF($G$13=1,50,(_xlfn.RANK.AVG(K1050,$K$19:$K$1518,1)-1)/($G$13-1)*100))</f>
        <v/>
      </c>
      <c r="P1050" s="11">
        <f>IF(L1050="","",100-IF($G$14=1,50,(_xlfn.RANK.AVG(L1050,$L$19:$L$1518,1)-1)/($G$14-1)*100))</f>
        <v/>
      </c>
      <c r="Q1050" s="11">
        <f>IF(M1050="","",IF($G$15=1,50,(_xlfn.RANK.AVG(M1050,$M$19:$M$1518,1)-1)/($G$15-1)*100))</f>
        <v/>
      </c>
      <c r="R1050" s="11">
        <f>IF(N1050="","",IF($G$16=1,50,(_xlfn.RANK.AVG(N1050,$N$19:$N$1518,1)-1)/($G$16-1)*100))</f>
        <v/>
      </c>
      <c r="S1050" s="11">
        <f>IF(COUNT(O1050:R1050)=4,ROUND(AVERAGE(O1050:R1050),6),"")</f>
        <v/>
      </c>
      <c r="U1050">
        <f>IF(AND(ISNUMBER('자료_한국심리'!$A1034),ISNUMBER('자료_한국심리'!$B1034)),'자료_한국심리'!$A1034,"")</f>
        <v/>
      </c>
      <c r="V1050">
        <f>IF(AND(ISNUMBER('자료_한국심리'!$D1034),ISNUMBER('자료_한국심리'!$E1034)),'자료_한국심리'!$D1034,"")</f>
        <v/>
      </c>
      <c r="W1050">
        <f>IF(AND(ISNUMBER('자료_한국심리'!$G1034),ISNUMBER('자료_한국심리'!$H1034)),'자료_한국심리'!$G1034,"")</f>
        <v/>
      </c>
      <c r="X1050">
        <f>IF(AND(ISNUMBER('자료_한국심리'!$J1034),ISNUMBER('자료_한국심리'!$K1034)),'자료_한국심리'!$J1034,"")</f>
        <v/>
      </c>
      <c r="Y1050">
        <f>IF(AND(ISNUMBER('자료_한국심리'!$M1034),ISNUMBER('자료_한국심리'!$N1034)),'자료_한국심리'!$M1034,"")</f>
        <v/>
      </c>
    </row>
    <row r="1051">
      <c r="A1051" s="10">
        <f>IF(1033&gt;$E$5,"",SMALL($U$19:$U$4018,$E$6+1033))</f>
        <v/>
      </c>
      <c r="B1051" s="29">
        <f>IF(A1051="","",INDEX('자료_한국심리'!$B$3:$B$4002,MATCH(A1051,$U$19:$U$4018,0)))</f>
        <v/>
      </c>
      <c r="C1051" s="22">
        <f>IF(A1051="","",B1051/AVERAGE(B927:B1051)-1)</f>
        <v/>
      </c>
      <c r="D1051" s="29">
        <f>IF(A1051="","",IFERROR(INDEX('자료_한국심리'!$E$3:$E$4002,MATCH(A1051,$V$19:$V$4018,0)),D1050))</f>
        <v/>
      </c>
      <c r="E1051" s="30">
        <f>IF(A1051="","",IFERROR(INDEX('자료_한국심리'!$H$3:$H$4002,MATCH(A1051,$W$19:$W$4018,0)),E1050))</f>
        <v/>
      </c>
      <c r="F1051" s="30">
        <f>IF(A1051="","",IFERROR(INDEX('자료_한국심리'!$K$3:$K$4002,MATCH(A1051,$X$19:$X$4018,0)),F1050))</f>
        <v/>
      </c>
      <c r="G1051" s="30">
        <f>IF(AND(ISNUMBER(E1051),ISNUMBER(F1051)),ROUND(E1051-F1051,6),"")</f>
        <v/>
      </c>
      <c r="H1051" s="25">
        <f>IF(A1051="","",IFERROR(INDEX('자료_한국심리'!$N$3:$N$4002,MATCH(A1051,$Y$19:$Y$4018,0)),H1050))</f>
        <v/>
      </c>
      <c r="I1051" s="31">
        <f>IF(AND(ISNUMBER(H1051),ISNUMBER(H1031)),IF(H1031&gt;0,H1051/H1031-1,""),"")</f>
        <v/>
      </c>
      <c r="J1051">
        <f>IF(A1051="",0,IF(A1051&gt;$B$5,1,0))</f>
        <v/>
      </c>
      <c r="K1051" s="29">
        <f>IF(AND(J1051=1,ISNUMBER(D1051)),D1051,"")</f>
        <v/>
      </c>
      <c r="L1051" s="30">
        <f>IF(AND(J1051=1,ISNUMBER(G1051)),G1051,"")</f>
        <v/>
      </c>
      <c r="M1051" s="22">
        <f>IF(AND(J1051=1,ISNUMBER(C1051)),C1051,"")</f>
        <v/>
      </c>
      <c r="N1051" s="31">
        <f>IF(AND(J1051=1,ISNUMBER(I1051)),I1051,"")</f>
        <v/>
      </c>
      <c r="O1051" s="11">
        <f>IF(K1051="","",100-IF($G$13=1,50,(_xlfn.RANK.AVG(K1051,$K$19:$K$1518,1)-1)/($G$13-1)*100))</f>
        <v/>
      </c>
      <c r="P1051" s="11">
        <f>IF(L1051="","",100-IF($G$14=1,50,(_xlfn.RANK.AVG(L1051,$L$19:$L$1518,1)-1)/($G$14-1)*100))</f>
        <v/>
      </c>
      <c r="Q1051" s="11">
        <f>IF(M1051="","",IF($G$15=1,50,(_xlfn.RANK.AVG(M1051,$M$19:$M$1518,1)-1)/($G$15-1)*100))</f>
        <v/>
      </c>
      <c r="R1051" s="11">
        <f>IF(N1051="","",IF($G$16=1,50,(_xlfn.RANK.AVG(N1051,$N$19:$N$1518,1)-1)/($G$16-1)*100))</f>
        <v/>
      </c>
      <c r="S1051" s="11">
        <f>IF(COUNT(O1051:R1051)=4,ROUND(AVERAGE(O1051:R1051),6),"")</f>
        <v/>
      </c>
      <c r="U1051">
        <f>IF(AND(ISNUMBER('자료_한국심리'!$A1035),ISNUMBER('자료_한국심리'!$B1035)),'자료_한국심리'!$A1035,"")</f>
        <v/>
      </c>
      <c r="V1051">
        <f>IF(AND(ISNUMBER('자료_한국심리'!$D1035),ISNUMBER('자료_한국심리'!$E1035)),'자료_한국심리'!$D1035,"")</f>
        <v/>
      </c>
      <c r="W1051">
        <f>IF(AND(ISNUMBER('자료_한국심리'!$G1035),ISNUMBER('자료_한국심리'!$H1035)),'자료_한국심리'!$G1035,"")</f>
        <v/>
      </c>
      <c r="X1051">
        <f>IF(AND(ISNUMBER('자료_한국심리'!$J1035),ISNUMBER('자료_한국심리'!$K1035)),'자료_한국심리'!$J1035,"")</f>
        <v/>
      </c>
      <c r="Y1051">
        <f>IF(AND(ISNUMBER('자료_한국심리'!$M1035),ISNUMBER('자료_한국심리'!$N1035)),'자료_한국심리'!$M1035,"")</f>
        <v/>
      </c>
    </row>
    <row r="1052">
      <c r="A1052" s="10">
        <f>IF(1034&gt;$E$5,"",SMALL($U$19:$U$4018,$E$6+1034))</f>
        <v/>
      </c>
      <c r="B1052" s="29">
        <f>IF(A1052="","",INDEX('자료_한국심리'!$B$3:$B$4002,MATCH(A1052,$U$19:$U$4018,0)))</f>
        <v/>
      </c>
      <c r="C1052" s="22">
        <f>IF(A1052="","",B1052/AVERAGE(B928:B1052)-1)</f>
        <v/>
      </c>
      <c r="D1052" s="29">
        <f>IF(A1052="","",IFERROR(INDEX('자료_한국심리'!$E$3:$E$4002,MATCH(A1052,$V$19:$V$4018,0)),D1051))</f>
        <v/>
      </c>
      <c r="E1052" s="30">
        <f>IF(A1052="","",IFERROR(INDEX('자료_한국심리'!$H$3:$H$4002,MATCH(A1052,$W$19:$W$4018,0)),E1051))</f>
        <v/>
      </c>
      <c r="F1052" s="30">
        <f>IF(A1052="","",IFERROR(INDEX('자료_한국심리'!$K$3:$K$4002,MATCH(A1052,$X$19:$X$4018,0)),F1051))</f>
        <v/>
      </c>
      <c r="G1052" s="30">
        <f>IF(AND(ISNUMBER(E1052),ISNUMBER(F1052)),ROUND(E1052-F1052,6),"")</f>
        <v/>
      </c>
      <c r="H1052" s="25">
        <f>IF(A1052="","",IFERROR(INDEX('자료_한국심리'!$N$3:$N$4002,MATCH(A1052,$Y$19:$Y$4018,0)),H1051))</f>
        <v/>
      </c>
      <c r="I1052" s="31">
        <f>IF(AND(ISNUMBER(H1052),ISNUMBER(H1032)),IF(H1032&gt;0,H1052/H1032-1,""),"")</f>
        <v/>
      </c>
      <c r="J1052">
        <f>IF(A1052="",0,IF(A1052&gt;$B$5,1,0))</f>
        <v/>
      </c>
      <c r="K1052" s="29">
        <f>IF(AND(J1052=1,ISNUMBER(D1052)),D1052,"")</f>
        <v/>
      </c>
      <c r="L1052" s="30">
        <f>IF(AND(J1052=1,ISNUMBER(G1052)),G1052,"")</f>
        <v/>
      </c>
      <c r="M1052" s="22">
        <f>IF(AND(J1052=1,ISNUMBER(C1052)),C1052,"")</f>
        <v/>
      </c>
      <c r="N1052" s="31">
        <f>IF(AND(J1052=1,ISNUMBER(I1052)),I1052,"")</f>
        <v/>
      </c>
      <c r="O1052" s="11">
        <f>IF(K1052="","",100-IF($G$13=1,50,(_xlfn.RANK.AVG(K1052,$K$19:$K$1518,1)-1)/($G$13-1)*100))</f>
        <v/>
      </c>
      <c r="P1052" s="11">
        <f>IF(L1052="","",100-IF($G$14=1,50,(_xlfn.RANK.AVG(L1052,$L$19:$L$1518,1)-1)/($G$14-1)*100))</f>
        <v/>
      </c>
      <c r="Q1052" s="11">
        <f>IF(M1052="","",IF($G$15=1,50,(_xlfn.RANK.AVG(M1052,$M$19:$M$1518,1)-1)/($G$15-1)*100))</f>
        <v/>
      </c>
      <c r="R1052" s="11">
        <f>IF(N1052="","",IF($G$16=1,50,(_xlfn.RANK.AVG(N1052,$N$19:$N$1518,1)-1)/($G$16-1)*100))</f>
        <v/>
      </c>
      <c r="S1052" s="11">
        <f>IF(COUNT(O1052:R1052)=4,ROUND(AVERAGE(O1052:R1052),6),"")</f>
        <v/>
      </c>
      <c r="U1052">
        <f>IF(AND(ISNUMBER('자료_한국심리'!$A1036),ISNUMBER('자료_한국심리'!$B1036)),'자료_한국심리'!$A1036,"")</f>
        <v/>
      </c>
      <c r="V1052">
        <f>IF(AND(ISNUMBER('자료_한국심리'!$D1036),ISNUMBER('자료_한국심리'!$E1036)),'자료_한국심리'!$D1036,"")</f>
        <v/>
      </c>
      <c r="W1052">
        <f>IF(AND(ISNUMBER('자료_한국심리'!$G1036),ISNUMBER('자료_한국심리'!$H1036)),'자료_한국심리'!$G1036,"")</f>
        <v/>
      </c>
      <c r="X1052">
        <f>IF(AND(ISNUMBER('자료_한국심리'!$J1036),ISNUMBER('자료_한국심리'!$K1036)),'자료_한국심리'!$J1036,"")</f>
        <v/>
      </c>
      <c r="Y1052">
        <f>IF(AND(ISNUMBER('자료_한국심리'!$M1036),ISNUMBER('자료_한국심리'!$N1036)),'자료_한국심리'!$M1036,"")</f>
        <v/>
      </c>
    </row>
    <row r="1053">
      <c r="A1053" s="10">
        <f>IF(1035&gt;$E$5,"",SMALL($U$19:$U$4018,$E$6+1035))</f>
        <v/>
      </c>
      <c r="B1053" s="29">
        <f>IF(A1053="","",INDEX('자료_한국심리'!$B$3:$B$4002,MATCH(A1053,$U$19:$U$4018,0)))</f>
        <v/>
      </c>
      <c r="C1053" s="22">
        <f>IF(A1053="","",B1053/AVERAGE(B929:B1053)-1)</f>
        <v/>
      </c>
      <c r="D1053" s="29">
        <f>IF(A1053="","",IFERROR(INDEX('자료_한국심리'!$E$3:$E$4002,MATCH(A1053,$V$19:$V$4018,0)),D1052))</f>
        <v/>
      </c>
      <c r="E1053" s="30">
        <f>IF(A1053="","",IFERROR(INDEX('자료_한국심리'!$H$3:$H$4002,MATCH(A1053,$W$19:$W$4018,0)),E1052))</f>
        <v/>
      </c>
      <c r="F1053" s="30">
        <f>IF(A1053="","",IFERROR(INDEX('자료_한국심리'!$K$3:$K$4002,MATCH(A1053,$X$19:$X$4018,0)),F1052))</f>
        <v/>
      </c>
      <c r="G1053" s="30">
        <f>IF(AND(ISNUMBER(E1053),ISNUMBER(F1053)),ROUND(E1053-F1053,6),"")</f>
        <v/>
      </c>
      <c r="H1053" s="25">
        <f>IF(A1053="","",IFERROR(INDEX('자료_한국심리'!$N$3:$N$4002,MATCH(A1053,$Y$19:$Y$4018,0)),H1052))</f>
        <v/>
      </c>
      <c r="I1053" s="31">
        <f>IF(AND(ISNUMBER(H1053),ISNUMBER(H1033)),IF(H1033&gt;0,H1053/H1033-1,""),"")</f>
        <v/>
      </c>
      <c r="J1053">
        <f>IF(A1053="",0,IF(A1053&gt;$B$5,1,0))</f>
        <v/>
      </c>
      <c r="K1053" s="29">
        <f>IF(AND(J1053=1,ISNUMBER(D1053)),D1053,"")</f>
        <v/>
      </c>
      <c r="L1053" s="30">
        <f>IF(AND(J1053=1,ISNUMBER(G1053)),G1053,"")</f>
        <v/>
      </c>
      <c r="M1053" s="22">
        <f>IF(AND(J1053=1,ISNUMBER(C1053)),C1053,"")</f>
        <v/>
      </c>
      <c r="N1053" s="31">
        <f>IF(AND(J1053=1,ISNUMBER(I1053)),I1053,"")</f>
        <v/>
      </c>
      <c r="O1053" s="11">
        <f>IF(K1053="","",100-IF($G$13=1,50,(_xlfn.RANK.AVG(K1053,$K$19:$K$1518,1)-1)/($G$13-1)*100))</f>
        <v/>
      </c>
      <c r="P1053" s="11">
        <f>IF(L1053="","",100-IF($G$14=1,50,(_xlfn.RANK.AVG(L1053,$L$19:$L$1518,1)-1)/($G$14-1)*100))</f>
        <v/>
      </c>
      <c r="Q1053" s="11">
        <f>IF(M1053="","",IF($G$15=1,50,(_xlfn.RANK.AVG(M1053,$M$19:$M$1518,1)-1)/($G$15-1)*100))</f>
        <v/>
      </c>
      <c r="R1053" s="11">
        <f>IF(N1053="","",IF($G$16=1,50,(_xlfn.RANK.AVG(N1053,$N$19:$N$1518,1)-1)/($G$16-1)*100))</f>
        <v/>
      </c>
      <c r="S1053" s="11">
        <f>IF(COUNT(O1053:R1053)=4,ROUND(AVERAGE(O1053:R1053),6),"")</f>
        <v/>
      </c>
      <c r="U1053">
        <f>IF(AND(ISNUMBER('자료_한국심리'!$A1037),ISNUMBER('자료_한국심리'!$B1037)),'자료_한국심리'!$A1037,"")</f>
        <v/>
      </c>
      <c r="V1053">
        <f>IF(AND(ISNUMBER('자료_한국심리'!$D1037),ISNUMBER('자료_한국심리'!$E1037)),'자료_한국심리'!$D1037,"")</f>
        <v/>
      </c>
      <c r="W1053">
        <f>IF(AND(ISNUMBER('자료_한국심리'!$G1037),ISNUMBER('자료_한국심리'!$H1037)),'자료_한국심리'!$G1037,"")</f>
        <v/>
      </c>
      <c r="X1053">
        <f>IF(AND(ISNUMBER('자료_한국심리'!$J1037),ISNUMBER('자료_한국심리'!$K1037)),'자료_한국심리'!$J1037,"")</f>
        <v/>
      </c>
      <c r="Y1053">
        <f>IF(AND(ISNUMBER('자료_한국심리'!$M1037),ISNUMBER('자료_한국심리'!$N1037)),'자료_한국심리'!$M1037,"")</f>
        <v/>
      </c>
    </row>
    <row r="1054">
      <c r="A1054" s="10">
        <f>IF(1036&gt;$E$5,"",SMALL($U$19:$U$4018,$E$6+1036))</f>
        <v/>
      </c>
      <c r="B1054" s="29">
        <f>IF(A1054="","",INDEX('자료_한국심리'!$B$3:$B$4002,MATCH(A1054,$U$19:$U$4018,0)))</f>
        <v/>
      </c>
      <c r="C1054" s="22">
        <f>IF(A1054="","",B1054/AVERAGE(B930:B1054)-1)</f>
        <v/>
      </c>
      <c r="D1054" s="29">
        <f>IF(A1054="","",IFERROR(INDEX('자료_한국심리'!$E$3:$E$4002,MATCH(A1054,$V$19:$V$4018,0)),D1053))</f>
        <v/>
      </c>
      <c r="E1054" s="30">
        <f>IF(A1054="","",IFERROR(INDEX('자료_한국심리'!$H$3:$H$4002,MATCH(A1054,$W$19:$W$4018,0)),E1053))</f>
        <v/>
      </c>
      <c r="F1054" s="30">
        <f>IF(A1054="","",IFERROR(INDEX('자료_한국심리'!$K$3:$K$4002,MATCH(A1054,$X$19:$X$4018,0)),F1053))</f>
        <v/>
      </c>
      <c r="G1054" s="30">
        <f>IF(AND(ISNUMBER(E1054),ISNUMBER(F1054)),ROUND(E1054-F1054,6),"")</f>
        <v/>
      </c>
      <c r="H1054" s="25">
        <f>IF(A1054="","",IFERROR(INDEX('자료_한국심리'!$N$3:$N$4002,MATCH(A1054,$Y$19:$Y$4018,0)),H1053))</f>
        <v/>
      </c>
      <c r="I1054" s="31">
        <f>IF(AND(ISNUMBER(H1054),ISNUMBER(H1034)),IF(H1034&gt;0,H1054/H1034-1,""),"")</f>
        <v/>
      </c>
      <c r="J1054">
        <f>IF(A1054="",0,IF(A1054&gt;$B$5,1,0))</f>
        <v/>
      </c>
      <c r="K1054" s="29">
        <f>IF(AND(J1054=1,ISNUMBER(D1054)),D1054,"")</f>
        <v/>
      </c>
      <c r="L1054" s="30">
        <f>IF(AND(J1054=1,ISNUMBER(G1054)),G1054,"")</f>
        <v/>
      </c>
      <c r="M1054" s="22">
        <f>IF(AND(J1054=1,ISNUMBER(C1054)),C1054,"")</f>
        <v/>
      </c>
      <c r="N1054" s="31">
        <f>IF(AND(J1054=1,ISNUMBER(I1054)),I1054,"")</f>
        <v/>
      </c>
      <c r="O1054" s="11">
        <f>IF(K1054="","",100-IF($G$13=1,50,(_xlfn.RANK.AVG(K1054,$K$19:$K$1518,1)-1)/($G$13-1)*100))</f>
        <v/>
      </c>
      <c r="P1054" s="11">
        <f>IF(L1054="","",100-IF($G$14=1,50,(_xlfn.RANK.AVG(L1054,$L$19:$L$1518,1)-1)/($G$14-1)*100))</f>
        <v/>
      </c>
      <c r="Q1054" s="11">
        <f>IF(M1054="","",IF($G$15=1,50,(_xlfn.RANK.AVG(M1054,$M$19:$M$1518,1)-1)/($G$15-1)*100))</f>
        <v/>
      </c>
      <c r="R1054" s="11">
        <f>IF(N1054="","",IF($G$16=1,50,(_xlfn.RANK.AVG(N1054,$N$19:$N$1518,1)-1)/($G$16-1)*100))</f>
        <v/>
      </c>
      <c r="S1054" s="11">
        <f>IF(COUNT(O1054:R1054)=4,ROUND(AVERAGE(O1054:R1054),6),"")</f>
        <v/>
      </c>
      <c r="U1054">
        <f>IF(AND(ISNUMBER('자료_한국심리'!$A1038),ISNUMBER('자료_한국심리'!$B1038)),'자료_한국심리'!$A1038,"")</f>
        <v/>
      </c>
      <c r="V1054">
        <f>IF(AND(ISNUMBER('자료_한국심리'!$D1038),ISNUMBER('자료_한국심리'!$E1038)),'자료_한국심리'!$D1038,"")</f>
        <v/>
      </c>
      <c r="W1054">
        <f>IF(AND(ISNUMBER('자료_한국심리'!$G1038),ISNUMBER('자료_한국심리'!$H1038)),'자료_한국심리'!$G1038,"")</f>
        <v/>
      </c>
      <c r="X1054">
        <f>IF(AND(ISNUMBER('자료_한국심리'!$J1038),ISNUMBER('자료_한국심리'!$K1038)),'자료_한국심리'!$J1038,"")</f>
        <v/>
      </c>
      <c r="Y1054">
        <f>IF(AND(ISNUMBER('자료_한국심리'!$M1038),ISNUMBER('자료_한국심리'!$N1038)),'자료_한국심리'!$M1038,"")</f>
        <v/>
      </c>
    </row>
    <row r="1055">
      <c r="A1055" s="10">
        <f>IF(1037&gt;$E$5,"",SMALL($U$19:$U$4018,$E$6+1037))</f>
        <v/>
      </c>
      <c r="B1055" s="29">
        <f>IF(A1055="","",INDEX('자료_한국심리'!$B$3:$B$4002,MATCH(A1055,$U$19:$U$4018,0)))</f>
        <v/>
      </c>
      <c r="C1055" s="22">
        <f>IF(A1055="","",B1055/AVERAGE(B931:B1055)-1)</f>
        <v/>
      </c>
      <c r="D1055" s="29">
        <f>IF(A1055="","",IFERROR(INDEX('자료_한국심리'!$E$3:$E$4002,MATCH(A1055,$V$19:$V$4018,0)),D1054))</f>
        <v/>
      </c>
      <c r="E1055" s="30">
        <f>IF(A1055="","",IFERROR(INDEX('자료_한국심리'!$H$3:$H$4002,MATCH(A1055,$W$19:$W$4018,0)),E1054))</f>
        <v/>
      </c>
      <c r="F1055" s="30">
        <f>IF(A1055="","",IFERROR(INDEX('자료_한국심리'!$K$3:$K$4002,MATCH(A1055,$X$19:$X$4018,0)),F1054))</f>
        <v/>
      </c>
      <c r="G1055" s="30">
        <f>IF(AND(ISNUMBER(E1055),ISNUMBER(F1055)),ROUND(E1055-F1055,6),"")</f>
        <v/>
      </c>
      <c r="H1055" s="25">
        <f>IF(A1055="","",IFERROR(INDEX('자료_한국심리'!$N$3:$N$4002,MATCH(A1055,$Y$19:$Y$4018,0)),H1054))</f>
        <v/>
      </c>
      <c r="I1055" s="31">
        <f>IF(AND(ISNUMBER(H1055),ISNUMBER(H1035)),IF(H1035&gt;0,H1055/H1035-1,""),"")</f>
        <v/>
      </c>
      <c r="J1055">
        <f>IF(A1055="",0,IF(A1055&gt;$B$5,1,0))</f>
        <v/>
      </c>
      <c r="K1055" s="29">
        <f>IF(AND(J1055=1,ISNUMBER(D1055)),D1055,"")</f>
        <v/>
      </c>
      <c r="L1055" s="30">
        <f>IF(AND(J1055=1,ISNUMBER(G1055)),G1055,"")</f>
        <v/>
      </c>
      <c r="M1055" s="22">
        <f>IF(AND(J1055=1,ISNUMBER(C1055)),C1055,"")</f>
        <v/>
      </c>
      <c r="N1055" s="31">
        <f>IF(AND(J1055=1,ISNUMBER(I1055)),I1055,"")</f>
        <v/>
      </c>
      <c r="O1055" s="11">
        <f>IF(K1055="","",100-IF($G$13=1,50,(_xlfn.RANK.AVG(K1055,$K$19:$K$1518,1)-1)/($G$13-1)*100))</f>
        <v/>
      </c>
      <c r="P1055" s="11">
        <f>IF(L1055="","",100-IF($G$14=1,50,(_xlfn.RANK.AVG(L1055,$L$19:$L$1518,1)-1)/($G$14-1)*100))</f>
        <v/>
      </c>
      <c r="Q1055" s="11">
        <f>IF(M1055="","",IF($G$15=1,50,(_xlfn.RANK.AVG(M1055,$M$19:$M$1518,1)-1)/($G$15-1)*100))</f>
        <v/>
      </c>
      <c r="R1055" s="11">
        <f>IF(N1055="","",IF($G$16=1,50,(_xlfn.RANK.AVG(N1055,$N$19:$N$1518,1)-1)/($G$16-1)*100))</f>
        <v/>
      </c>
      <c r="S1055" s="11">
        <f>IF(COUNT(O1055:R1055)=4,ROUND(AVERAGE(O1055:R1055),6),"")</f>
        <v/>
      </c>
      <c r="U1055">
        <f>IF(AND(ISNUMBER('자료_한국심리'!$A1039),ISNUMBER('자료_한국심리'!$B1039)),'자료_한국심리'!$A1039,"")</f>
        <v/>
      </c>
      <c r="V1055">
        <f>IF(AND(ISNUMBER('자료_한국심리'!$D1039),ISNUMBER('자료_한국심리'!$E1039)),'자료_한국심리'!$D1039,"")</f>
        <v/>
      </c>
      <c r="W1055">
        <f>IF(AND(ISNUMBER('자료_한국심리'!$G1039),ISNUMBER('자료_한국심리'!$H1039)),'자료_한국심리'!$G1039,"")</f>
        <v/>
      </c>
      <c r="X1055">
        <f>IF(AND(ISNUMBER('자료_한국심리'!$J1039),ISNUMBER('자료_한국심리'!$K1039)),'자료_한국심리'!$J1039,"")</f>
        <v/>
      </c>
      <c r="Y1055">
        <f>IF(AND(ISNUMBER('자료_한국심리'!$M1039),ISNUMBER('자료_한국심리'!$N1039)),'자료_한국심리'!$M1039,"")</f>
        <v/>
      </c>
    </row>
    <row r="1056">
      <c r="A1056" s="10">
        <f>IF(1038&gt;$E$5,"",SMALL($U$19:$U$4018,$E$6+1038))</f>
        <v/>
      </c>
      <c r="B1056" s="29">
        <f>IF(A1056="","",INDEX('자료_한국심리'!$B$3:$B$4002,MATCH(A1056,$U$19:$U$4018,0)))</f>
        <v/>
      </c>
      <c r="C1056" s="22">
        <f>IF(A1056="","",B1056/AVERAGE(B932:B1056)-1)</f>
        <v/>
      </c>
      <c r="D1056" s="29">
        <f>IF(A1056="","",IFERROR(INDEX('자료_한국심리'!$E$3:$E$4002,MATCH(A1056,$V$19:$V$4018,0)),D1055))</f>
        <v/>
      </c>
      <c r="E1056" s="30">
        <f>IF(A1056="","",IFERROR(INDEX('자료_한국심리'!$H$3:$H$4002,MATCH(A1056,$W$19:$W$4018,0)),E1055))</f>
        <v/>
      </c>
      <c r="F1056" s="30">
        <f>IF(A1056="","",IFERROR(INDEX('자료_한국심리'!$K$3:$K$4002,MATCH(A1056,$X$19:$X$4018,0)),F1055))</f>
        <v/>
      </c>
      <c r="G1056" s="30">
        <f>IF(AND(ISNUMBER(E1056),ISNUMBER(F1056)),ROUND(E1056-F1056,6),"")</f>
        <v/>
      </c>
      <c r="H1056" s="25">
        <f>IF(A1056="","",IFERROR(INDEX('자료_한국심리'!$N$3:$N$4002,MATCH(A1056,$Y$19:$Y$4018,0)),H1055))</f>
        <v/>
      </c>
      <c r="I1056" s="31">
        <f>IF(AND(ISNUMBER(H1056),ISNUMBER(H1036)),IF(H1036&gt;0,H1056/H1036-1,""),"")</f>
        <v/>
      </c>
      <c r="J1056">
        <f>IF(A1056="",0,IF(A1056&gt;$B$5,1,0))</f>
        <v/>
      </c>
      <c r="K1056" s="29">
        <f>IF(AND(J1056=1,ISNUMBER(D1056)),D1056,"")</f>
        <v/>
      </c>
      <c r="L1056" s="30">
        <f>IF(AND(J1056=1,ISNUMBER(G1056)),G1056,"")</f>
        <v/>
      </c>
      <c r="M1056" s="22">
        <f>IF(AND(J1056=1,ISNUMBER(C1056)),C1056,"")</f>
        <v/>
      </c>
      <c r="N1056" s="31">
        <f>IF(AND(J1056=1,ISNUMBER(I1056)),I1056,"")</f>
        <v/>
      </c>
      <c r="O1056" s="11">
        <f>IF(K1056="","",100-IF($G$13=1,50,(_xlfn.RANK.AVG(K1056,$K$19:$K$1518,1)-1)/($G$13-1)*100))</f>
        <v/>
      </c>
      <c r="P1056" s="11">
        <f>IF(L1056="","",100-IF($G$14=1,50,(_xlfn.RANK.AVG(L1056,$L$19:$L$1518,1)-1)/($G$14-1)*100))</f>
        <v/>
      </c>
      <c r="Q1056" s="11">
        <f>IF(M1056="","",IF($G$15=1,50,(_xlfn.RANK.AVG(M1056,$M$19:$M$1518,1)-1)/($G$15-1)*100))</f>
        <v/>
      </c>
      <c r="R1056" s="11">
        <f>IF(N1056="","",IF($G$16=1,50,(_xlfn.RANK.AVG(N1056,$N$19:$N$1518,1)-1)/($G$16-1)*100))</f>
        <v/>
      </c>
      <c r="S1056" s="11">
        <f>IF(COUNT(O1056:R1056)=4,ROUND(AVERAGE(O1056:R1056),6),"")</f>
        <v/>
      </c>
      <c r="U1056">
        <f>IF(AND(ISNUMBER('자료_한국심리'!$A1040),ISNUMBER('자료_한국심리'!$B1040)),'자료_한국심리'!$A1040,"")</f>
        <v/>
      </c>
      <c r="V1056">
        <f>IF(AND(ISNUMBER('자료_한국심리'!$D1040),ISNUMBER('자료_한국심리'!$E1040)),'자료_한국심리'!$D1040,"")</f>
        <v/>
      </c>
      <c r="W1056">
        <f>IF(AND(ISNUMBER('자료_한국심리'!$G1040),ISNUMBER('자료_한국심리'!$H1040)),'자료_한국심리'!$G1040,"")</f>
        <v/>
      </c>
      <c r="X1056">
        <f>IF(AND(ISNUMBER('자료_한국심리'!$J1040),ISNUMBER('자료_한국심리'!$K1040)),'자료_한국심리'!$J1040,"")</f>
        <v/>
      </c>
      <c r="Y1056">
        <f>IF(AND(ISNUMBER('자료_한국심리'!$M1040),ISNUMBER('자료_한국심리'!$N1040)),'자료_한국심리'!$M1040,"")</f>
        <v/>
      </c>
    </row>
    <row r="1057">
      <c r="A1057" s="10">
        <f>IF(1039&gt;$E$5,"",SMALL($U$19:$U$4018,$E$6+1039))</f>
        <v/>
      </c>
      <c r="B1057" s="29">
        <f>IF(A1057="","",INDEX('자료_한국심리'!$B$3:$B$4002,MATCH(A1057,$U$19:$U$4018,0)))</f>
        <v/>
      </c>
      <c r="C1057" s="22">
        <f>IF(A1057="","",B1057/AVERAGE(B933:B1057)-1)</f>
        <v/>
      </c>
      <c r="D1057" s="29">
        <f>IF(A1057="","",IFERROR(INDEX('자료_한국심리'!$E$3:$E$4002,MATCH(A1057,$V$19:$V$4018,0)),D1056))</f>
        <v/>
      </c>
      <c r="E1057" s="30">
        <f>IF(A1057="","",IFERROR(INDEX('자료_한국심리'!$H$3:$H$4002,MATCH(A1057,$W$19:$W$4018,0)),E1056))</f>
        <v/>
      </c>
      <c r="F1057" s="30">
        <f>IF(A1057="","",IFERROR(INDEX('자료_한국심리'!$K$3:$K$4002,MATCH(A1057,$X$19:$X$4018,0)),F1056))</f>
        <v/>
      </c>
      <c r="G1057" s="30">
        <f>IF(AND(ISNUMBER(E1057),ISNUMBER(F1057)),ROUND(E1057-F1057,6),"")</f>
        <v/>
      </c>
      <c r="H1057" s="25">
        <f>IF(A1057="","",IFERROR(INDEX('자료_한국심리'!$N$3:$N$4002,MATCH(A1057,$Y$19:$Y$4018,0)),H1056))</f>
        <v/>
      </c>
      <c r="I1057" s="31">
        <f>IF(AND(ISNUMBER(H1057),ISNUMBER(H1037)),IF(H1037&gt;0,H1057/H1037-1,""),"")</f>
        <v/>
      </c>
      <c r="J1057">
        <f>IF(A1057="",0,IF(A1057&gt;$B$5,1,0))</f>
        <v/>
      </c>
      <c r="K1057" s="29">
        <f>IF(AND(J1057=1,ISNUMBER(D1057)),D1057,"")</f>
        <v/>
      </c>
      <c r="L1057" s="30">
        <f>IF(AND(J1057=1,ISNUMBER(G1057)),G1057,"")</f>
        <v/>
      </c>
      <c r="M1057" s="22">
        <f>IF(AND(J1057=1,ISNUMBER(C1057)),C1057,"")</f>
        <v/>
      </c>
      <c r="N1057" s="31">
        <f>IF(AND(J1057=1,ISNUMBER(I1057)),I1057,"")</f>
        <v/>
      </c>
      <c r="O1057" s="11">
        <f>IF(K1057="","",100-IF($G$13=1,50,(_xlfn.RANK.AVG(K1057,$K$19:$K$1518,1)-1)/($G$13-1)*100))</f>
        <v/>
      </c>
      <c r="P1057" s="11">
        <f>IF(L1057="","",100-IF($G$14=1,50,(_xlfn.RANK.AVG(L1057,$L$19:$L$1518,1)-1)/($G$14-1)*100))</f>
        <v/>
      </c>
      <c r="Q1057" s="11">
        <f>IF(M1057="","",IF($G$15=1,50,(_xlfn.RANK.AVG(M1057,$M$19:$M$1518,1)-1)/($G$15-1)*100))</f>
        <v/>
      </c>
      <c r="R1057" s="11">
        <f>IF(N1057="","",IF($G$16=1,50,(_xlfn.RANK.AVG(N1057,$N$19:$N$1518,1)-1)/($G$16-1)*100))</f>
        <v/>
      </c>
      <c r="S1057" s="11">
        <f>IF(COUNT(O1057:R1057)=4,ROUND(AVERAGE(O1057:R1057),6),"")</f>
        <v/>
      </c>
      <c r="U1057">
        <f>IF(AND(ISNUMBER('자료_한국심리'!$A1041),ISNUMBER('자료_한국심리'!$B1041)),'자료_한국심리'!$A1041,"")</f>
        <v/>
      </c>
      <c r="V1057">
        <f>IF(AND(ISNUMBER('자료_한국심리'!$D1041),ISNUMBER('자료_한국심리'!$E1041)),'자료_한국심리'!$D1041,"")</f>
        <v/>
      </c>
      <c r="W1057">
        <f>IF(AND(ISNUMBER('자료_한국심리'!$G1041),ISNUMBER('자료_한국심리'!$H1041)),'자료_한국심리'!$G1041,"")</f>
        <v/>
      </c>
      <c r="X1057">
        <f>IF(AND(ISNUMBER('자료_한국심리'!$J1041),ISNUMBER('자료_한국심리'!$K1041)),'자료_한국심리'!$J1041,"")</f>
        <v/>
      </c>
      <c r="Y1057">
        <f>IF(AND(ISNUMBER('자료_한국심리'!$M1041),ISNUMBER('자료_한국심리'!$N1041)),'자료_한국심리'!$M1041,"")</f>
        <v/>
      </c>
    </row>
    <row r="1058">
      <c r="A1058" s="10">
        <f>IF(1040&gt;$E$5,"",SMALL($U$19:$U$4018,$E$6+1040))</f>
        <v/>
      </c>
      <c r="B1058" s="29">
        <f>IF(A1058="","",INDEX('자료_한국심리'!$B$3:$B$4002,MATCH(A1058,$U$19:$U$4018,0)))</f>
        <v/>
      </c>
      <c r="C1058" s="22">
        <f>IF(A1058="","",B1058/AVERAGE(B934:B1058)-1)</f>
        <v/>
      </c>
      <c r="D1058" s="29">
        <f>IF(A1058="","",IFERROR(INDEX('자료_한국심리'!$E$3:$E$4002,MATCH(A1058,$V$19:$V$4018,0)),D1057))</f>
        <v/>
      </c>
      <c r="E1058" s="30">
        <f>IF(A1058="","",IFERROR(INDEX('자료_한국심리'!$H$3:$H$4002,MATCH(A1058,$W$19:$W$4018,0)),E1057))</f>
        <v/>
      </c>
      <c r="F1058" s="30">
        <f>IF(A1058="","",IFERROR(INDEX('자료_한국심리'!$K$3:$K$4002,MATCH(A1058,$X$19:$X$4018,0)),F1057))</f>
        <v/>
      </c>
      <c r="G1058" s="30">
        <f>IF(AND(ISNUMBER(E1058),ISNUMBER(F1058)),ROUND(E1058-F1058,6),"")</f>
        <v/>
      </c>
      <c r="H1058" s="25">
        <f>IF(A1058="","",IFERROR(INDEX('자료_한국심리'!$N$3:$N$4002,MATCH(A1058,$Y$19:$Y$4018,0)),H1057))</f>
        <v/>
      </c>
      <c r="I1058" s="31">
        <f>IF(AND(ISNUMBER(H1058),ISNUMBER(H1038)),IF(H1038&gt;0,H1058/H1038-1,""),"")</f>
        <v/>
      </c>
      <c r="J1058">
        <f>IF(A1058="",0,IF(A1058&gt;$B$5,1,0))</f>
        <v/>
      </c>
      <c r="K1058" s="29">
        <f>IF(AND(J1058=1,ISNUMBER(D1058)),D1058,"")</f>
        <v/>
      </c>
      <c r="L1058" s="30">
        <f>IF(AND(J1058=1,ISNUMBER(G1058)),G1058,"")</f>
        <v/>
      </c>
      <c r="M1058" s="22">
        <f>IF(AND(J1058=1,ISNUMBER(C1058)),C1058,"")</f>
        <v/>
      </c>
      <c r="N1058" s="31">
        <f>IF(AND(J1058=1,ISNUMBER(I1058)),I1058,"")</f>
        <v/>
      </c>
      <c r="O1058" s="11">
        <f>IF(K1058="","",100-IF($G$13=1,50,(_xlfn.RANK.AVG(K1058,$K$19:$K$1518,1)-1)/($G$13-1)*100))</f>
        <v/>
      </c>
      <c r="P1058" s="11">
        <f>IF(L1058="","",100-IF($G$14=1,50,(_xlfn.RANK.AVG(L1058,$L$19:$L$1518,1)-1)/($G$14-1)*100))</f>
        <v/>
      </c>
      <c r="Q1058" s="11">
        <f>IF(M1058="","",IF($G$15=1,50,(_xlfn.RANK.AVG(M1058,$M$19:$M$1518,1)-1)/($G$15-1)*100))</f>
        <v/>
      </c>
      <c r="R1058" s="11">
        <f>IF(N1058="","",IF($G$16=1,50,(_xlfn.RANK.AVG(N1058,$N$19:$N$1518,1)-1)/($G$16-1)*100))</f>
        <v/>
      </c>
      <c r="S1058" s="11">
        <f>IF(COUNT(O1058:R1058)=4,ROUND(AVERAGE(O1058:R1058),6),"")</f>
        <v/>
      </c>
      <c r="U1058">
        <f>IF(AND(ISNUMBER('자료_한국심리'!$A1042),ISNUMBER('자료_한국심리'!$B1042)),'자료_한국심리'!$A1042,"")</f>
        <v/>
      </c>
      <c r="V1058">
        <f>IF(AND(ISNUMBER('자료_한국심리'!$D1042),ISNUMBER('자료_한국심리'!$E1042)),'자료_한국심리'!$D1042,"")</f>
        <v/>
      </c>
      <c r="W1058">
        <f>IF(AND(ISNUMBER('자료_한국심리'!$G1042),ISNUMBER('자료_한국심리'!$H1042)),'자료_한국심리'!$G1042,"")</f>
        <v/>
      </c>
      <c r="X1058">
        <f>IF(AND(ISNUMBER('자료_한국심리'!$J1042),ISNUMBER('자료_한국심리'!$K1042)),'자료_한국심리'!$J1042,"")</f>
        <v/>
      </c>
      <c r="Y1058">
        <f>IF(AND(ISNUMBER('자료_한국심리'!$M1042),ISNUMBER('자료_한국심리'!$N1042)),'자료_한국심리'!$M1042,"")</f>
        <v/>
      </c>
    </row>
    <row r="1059">
      <c r="A1059" s="10">
        <f>IF(1041&gt;$E$5,"",SMALL($U$19:$U$4018,$E$6+1041))</f>
        <v/>
      </c>
      <c r="B1059" s="29">
        <f>IF(A1059="","",INDEX('자료_한국심리'!$B$3:$B$4002,MATCH(A1059,$U$19:$U$4018,0)))</f>
        <v/>
      </c>
      <c r="C1059" s="22">
        <f>IF(A1059="","",B1059/AVERAGE(B935:B1059)-1)</f>
        <v/>
      </c>
      <c r="D1059" s="29">
        <f>IF(A1059="","",IFERROR(INDEX('자료_한국심리'!$E$3:$E$4002,MATCH(A1059,$V$19:$V$4018,0)),D1058))</f>
        <v/>
      </c>
      <c r="E1059" s="30">
        <f>IF(A1059="","",IFERROR(INDEX('자료_한국심리'!$H$3:$H$4002,MATCH(A1059,$W$19:$W$4018,0)),E1058))</f>
        <v/>
      </c>
      <c r="F1059" s="30">
        <f>IF(A1059="","",IFERROR(INDEX('자료_한국심리'!$K$3:$K$4002,MATCH(A1059,$X$19:$X$4018,0)),F1058))</f>
        <v/>
      </c>
      <c r="G1059" s="30">
        <f>IF(AND(ISNUMBER(E1059),ISNUMBER(F1059)),ROUND(E1059-F1059,6),"")</f>
        <v/>
      </c>
      <c r="H1059" s="25">
        <f>IF(A1059="","",IFERROR(INDEX('자료_한국심리'!$N$3:$N$4002,MATCH(A1059,$Y$19:$Y$4018,0)),H1058))</f>
        <v/>
      </c>
      <c r="I1059" s="31">
        <f>IF(AND(ISNUMBER(H1059),ISNUMBER(H1039)),IF(H1039&gt;0,H1059/H1039-1,""),"")</f>
        <v/>
      </c>
      <c r="J1059">
        <f>IF(A1059="",0,IF(A1059&gt;$B$5,1,0))</f>
        <v/>
      </c>
      <c r="K1059" s="29">
        <f>IF(AND(J1059=1,ISNUMBER(D1059)),D1059,"")</f>
        <v/>
      </c>
      <c r="L1059" s="30">
        <f>IF(AND(J1059=1,ISNUMBER(G1059)),G1059,"")</f>
        <v/>
      </c>
      <c r="M1059" s="22">
        <f>IF(AND(J1059=1,ISNUMBER(C1059)),C1059,"")</f>
        <v/>
      </c>
      <c r="N1059" s="31">
        <f>IF(AND(J1059=1,ISNUMBER(I1059)),I1059,"")</f>
        <v/>
      </c>
      <c r="O1059" s="11">
        <f>IF(K1059="","",100-IF($G$13=1,50,(_xlfn.RANK.AVG(K1059,$K$19:$K$1518,1)-1)/($G$13-1)*100))</f>
        <v/>
      </c>
      <c r="P1059" s="11">
        <f>IF(L1059="","",100-IF($G$14=1,50,(_xlfn.RANK.AVG(L1059,$L$19:$L$1518,1)-1)/($G$14-1)*100))</f>
        <v/>
      </c>
      <c r="Q1059" s="11">
        <f>IF(M1059="","",IF($G$15=1,50,(_xlfn.RANK.AVG(M1059,$M$19:$M$1518,1)-1)/($G$15-1)*100))</f>
        <v/>
      </c>
      <c r="R1059" s="11">
        <f>IF(N1059="","",IF($G$16=1,50,(_xlfn.RANK.AVG(N1059,$N$19:$N$1518,1)-1)/($G$16-1)*100))</f>
        <v/>
      </c>
      <c r="S1059" s="11">
        <f>IF(COUNT(O1059:R1059)=4,ROUND(AVERAGE(O1059:R1059),6),"")</f>
        <v/>
      </c>
      <c r="U1059">
        <f>IF(AND(ISNUMBER('자료_한국심리'!$A1043),ISNUMBER('자료_한국심리'!$B1043)),'자료_한국심리'!$A1043,"")</f>
        <v/>
      </c>
      <c r="V1059">
        <f>IF(AND(ISNUMBER('자료_한국심리'!$D1043),ISNUMBER('자료_한국심리'!$E1043)),'자료_한국심리'!$D1043,"")</f>
        <v/>
      </c>
      <c r="W1059">
        <f>IF(AND(ISNUMBER('자료_한국심리'!$G1043),ISNUMBER('자료_한국심리'!$H1043)),'자료_한국심리'!$G1043,"")</f>
        <v/>
      </c>
      <c r="X1059">
        <f>IF(AND(ISNUMBER('자료_한국심리'!$J1043),ISNUMBER('자료_한국심리'!$K1043)),'자료_한국심리'!$J1043,"")</f>
        <v/>
      </c>
      <c r="Y1059">
        <f>IF(AND(ISNUMBER('자료_한국심리'!$M1043),ISNUMBER('자료_한국심리'!$N1043)),'자료_한국심리'!$M1043,"")</f>
        <v/>
      </c>
    </row>
    <row r="1060">
      <c r="A1060" s="10">
        <f>IF(1042&gt;$E$5,"",SMALL($U$19:$U$4018,$E$6+1042))</f>
        <v/>
      </c>
      <c r="B1060" s="29">
        <f>IF(A1060="","",INDEX('자료_한국심리'!$B$3:$B$4002,MATCH(A1060,$U$19:$U$4018,0)))</f>
        <v/>
      </c>
      <c r="C1060" s="22">
        <f>IF(A1060="","",B1060/AVERAGE(B936:B1060)-1)</f>
        <v/>
      </c>
      <c r="D1060" s="29">
        <f>IF(A1060="","",IFERROR(INDEX('자료_한국심리'!$E$3:$E$4002,MATCH(A1060,$V$19:$V$4018,0)),D1059))</f>
        <v/>
      </c>
      <c r="E1060" s="30">
        <f>IF(A1060="","",IFERROR(INDEX('자료_한국심리'!$H$3:$H$4002,MATCH(A1060,$W$19:$W$4018,0)),E1059))</f>
        <v/>
      </c>
      <c r="F1060" s="30">
        <f>IF(A1060="","",IFERROR(INDEX('자료_한국심리'!$K$3:$K$4002,MATCH(A1060,$X$19:$X$4018,0)),F1059))</f>
        <v/>
      </c>
      <c r="G1060" s="30">
        <f>IF(AND(ISNUMBER(E1060),ISNUMBER(F1060)),ROUND(E1060-F1060,6),"")</f>
        <v/>
      </c>
      <c r="H1060" s="25">
        <f>IF(A1060="","",IFERROR(INDEX('자료_한국심리'!$N$3:$N$4002,MATCH(A1060,$Y$19:$Y$4018,0)),H1059))</f>
        <v/>
      </c>
      <c r="I1060" s="31">
        <f>IF(AND(ISNUMBER(H1060),ISNUMBER(H1040)),IF(H1040&gt;0,H1060/H1040-1,""),"")</f>
        <v/>
      </c>
      <c r="J1060">
        <f>IF(A1060="",0,IF(A1060&gt;$B$5,1,0))</f>
        <v/>
      </c>
      <c r="K1060" s="29">
        <f>IF(AND(J1060=1,ISNUMBER(D1060)),D1060,"")</f>
        <v/>
      </c>
      <c r="L1060" s="30">
        <f>IF(AND(J1060=1,ISNUMBER(G1060)),G1060,"")</f>
        <v/>
      </c>
      <c r="M1060" s="22">
        <f>IF(AND(J1060=1,ISNUMBER(C1060)),C1060,"")</f>
        <v/>
      </c>
      <c r="N1060" s="31">
        <f>IF(AND(J1060=1,ISNUMBER(I1060)),I1060,"")</f>
        <v/>
      </c>
      <c r="O1060" s="11">
        <f>IF(K1060="","",100-IF($G$13=1,50,(_xlfn.RANK.AVG(K1060,$K$19:$K$1518,1)-1)/($G$13-1)*100))</f>
        <v/>
      </c>
      <c r="P1060" s="11">
        <f>IF(L1060="","",100-IF($G$14=1,50,(_xlfn.RANK.AVG(L1060,$L$19:$L$1518,1)-1)/($G$14-1)*100))</f>
        <v/>
      </c>
      <c r="Q1060" s="11">
        <f>IF(M1060="","",IF($G$15=1,50,(_xlfn.RANK.AVG(M1060,$M$19:$M$1518,1)-1)/($G$15-1)*100))</f>
        <v/>
      </c>
      <c r="R1060" s="11">
        <f>IF(N1060="","",IF($G$16=1,50,(_xlfn.RANK.AVG(N1060,$N$19:$N$1518,1)-1)/($G$16-1)*100))</f>
        <v/>
      </c>
      <c r="S1060" s="11">
        <f>IF(COUNT(O1060:R1060)=4,ROUND(AVERAGE(O1060:R1060),6),"")</f>
        <v/>
      </c>
      <c r="U1060">
        <f>IF(AND(ISNUMBER('자료_한국심리'!$A1044),ISNUMBER('자료_한국심리'!$B1044)),'자료_한국심리'!$A1044,"")</f>
        <v/>
      </c>
      <c r="V1060">
        <f>IF(AND(ISNUMBER('자료_한국심리'!$D1044),ISNUMBER('자료_한국심리'!$E1044)),'자료_한국심리'!$D1044,"")</f>
        <v/>
      </c>
      <c r="W1060">
        <f>IF(AND(ISNUMBER('자료_한국심리'!$G1044),ISNUMBER('자료_한국심리'!$H1044)),'자료_한국심리'!$G1044,"")</f>
        <v/>
      </c>
      <c r="X1060">
        <f>IF(AND(ISNUMBER('자료_한국심리'!$J1044),ISNUMBER('자료_한국심리'!$K1044)),'자료_한국심리'!$J1044,"")</f>
        <v/>
      </c>
      <c r="Y1060">
        <f>IF(AND(ISNUMBER('자료_한국심리'!$M1044),ISNUMBER('자료_한국심리'!$N1044)),'자료_한국심리'!$M1044,"")</f>
        <v/>
      </c>
    </row>
    <row r="1061">
      <c r="A1061" s="10">
        <f>IF(1043&gt;$E$5,"",SMALL($U$19:$U$4018,$E$6+1043))</f>
        <v/>
      </c>
      <c r="B1061" s="29">
        <f>IF(A1061="","",INDEX('자료_한국심리'!$B$3:$B$4002,MATCH(A1061,$U$19:$U$4018,0)))</f>
        <v/>
      </c>
      <c r="C1061" s="22">
        <f>IF(A1061="","",B1061/AVERAGE(B937:B1061)-1)</f>
        <v/>
      </c>
      <c r="D1061" s="29">
        <f>IF(A1061="","",IFERROR(INDEX('자료_한국심리'!$E$3:$E$4002,MATCH(A1061,$V$19:$V$4018,0)),D1060))</f>
        <v/>
      </c>
      <c r="E1061" s="30">
        <f>IF(A1061="","",IFERROR(INDEX('자료_한국심리'!$H$3:$H$4002,MATCH(A1061,$W$19:$W$4018,0)),E1060))</f>
        <v/>
      </c>
      <c r="F1061" s="30">
        <f>IF(A1061="","",IFERROR(INDEX('자료_한국심리'!$K$3:$K$4002,MATCH(A1061,$X$19:$X$4018,0)),F1060))</f>
        <v/>
      </c>
      <c r="G1061" s="30">
        <f>IF(AND(ISNUMBER(E1061),ISNUMBER(F1061)),ROUND(E1061-F1061,6),"")</f>
        <v/>
      </c>
      <c r="H1061" s="25">
        <f>IF(A1061="","",IFERROR(INDEX('자료_한국심리'!$N$3:$N$4002,MATCH(A1061,$Y$19:$Y$4018,0)),H1060))</f>
        <v/>
      </c>
      <c r="I1061" s="31">
        <f>IF(AND(ISNUMBER(H1061),ISNUMBER(H1041)),IF(H1041&gt;0,H1061/H1041-1,""),"")</f>
        <v/>
      </c>
      <c r="J1061">
        <f>IF(A1061="",0,IF(A1061&gt;$B$5,1,0))</f>
        <v/>
      </c>
      <c r="K1061" s="29">
        <f>IF(AND(J1061=1,ISNUMBER(D1061)),D1061,"")</f>
        <v/>
      </c>
      <c r="L1061" s="30">
        <f>IF(AND(J1061=1,ISNUMBER(G1061)),G1061,"")</f>
        <v/>
      </c>
      <c r="M1061" s="22">
        <f>IF(AND(J1061=1,ISNUMBER(C1061)),C1061,"")</f>
        <v/>
      </c>
      <c r="N1061" s="31">
        <f>IF(AND(J1061=1,ISNUMBER(I1061)),I1061,"")</f>
        <v/>
      </c>
      <c r="O1061" s="11">
        <f>IF(K1061="","",100-IF($G$13=1,50,(_xlfn.RANK.AVG(K1061,$K$19:$K$1518,1)-1)/($G$13-1)*100))</f>
        <v/>
      </c>
      <c r="P1061" s="11">
        <f>IF(L1061="","",100-IF($G$14=1,50,(_xlfn.RANK.AVG(L1061,$L$19:$L$1518,1)-1)/($G$14-1)*100))</f>
        <v/>
      </c>
      <c r="Q1061" s="11">
        <f>IF(M1061="","",IF($G$15=1,50,(_xlfn.RANK.AVG(M1061,$M$19:$M$1518,1)-1)/($G$15-1)*100))</f>
        <v/>
      </c>
      <c r="R1061" s="11">
        <f>IF(N1061="","",IF($G$16=1,50,(_xlfn.RANK.AVG(N1061,$N$19:$N$1518,1)-1)/($G$16-1)*100))</f>
        <v/>
      </c>
      <c r="S1061" s="11">
        <f>IF(COUNT(O1061:R1061)=4,ROUND(AVERAGE(O1061:R1061),6),"")</f>
        <v/>
      </c>
      <c r="U1061">
        <f>IF(AND(ISNUMBER('자료_한국심리'!$A1045),ISNUMBER('자료_한국심리'!$B1045)),'자료_한국심리'!$A1045,"")</f>
        <v/>
      </c>
      <c r="V1061">
        <f>IF(AND(ISNUMBER('자료_한국심리'!$D1045),ISNUMBER('자료_한국심리'!$E1045)),'자료_한국심리'!$D1045,"")</f>
        <v/>
      </c>
      <c r="W1061">
        <f>IF(AND(ISNUMBER('자료_한국심리'!$G1045),ISNUMBER('자료_한국심리'!$H1045)),'자료_한국심리'!$G1045,"")</f>
        <v/>
      </c>
      <c r="X1061">
        <f>IF(AND(ISNUMBER('자료_한국심리'!$J1045),ISNUMBER('자료_한국심리'!$K1045)),'자료_한국심리'!$J1045,"")</f>
        <v/>
      </c>
      <c r="Y1061">
        <f>IF(AND(ISNUMBER('자료_한국심리'!$M1045),ISNUMBER('자료_한국심리'!$N1045)),'자료_한국심리'!$M1045,"")</f>
        <v/>
      </c>
    </row>
    <row r="1062">
      <c r="A1062" s="10">
        <f>IF(1044&gt;$E$5,"",SMALL($U$19:$U$4018,$E$6+1044))</f>
        <v/>
      </c>
      <c r="B1062" s="29">
        <f>IF(A1062="","",INDEX('자료_한국심리'!$B$3:$B$4002,MATCH(A1062,$U$19:$U$4018,0)))</f>
        <v/>
      </c>
      <c r="C1062" s="22">
        <f>IF(A1062="","",B1062/AVERAGE(B938:B1062)-1)</f>
        <v/>
      </c>
      <c r="D1062" s="29">
        <f>IF(A1062="","",IFERROR(INDEX('자료_한국심리'!$E$3:$E$4002,MATCH(A1062,$V$19:$V$4018,0)),D1061))</f>
        <v/>
      </c>
      <c r="E1062" s="30">
        <f>IF(A1062="","",IFERROR(INDEX('자료_한국심리'!$H$3:$H$4002,MATCH(A1062,$W$19:$W$4018,0)),E1061))</f>
        <v/>
      </c>
      <c r="F1062" s="30">
        <f>IF(A1062="","",IFERROR(INDEX('자료_한국심리'!$K$3:$K$4002,MATCH(A1062,$X$19:$X$4018,0)),F1061))</f>
        <v/>
      </c>
      <c r="G1062" s="30">
        <f>IF(AND(ISNUMBER(E1062),ISNUMBER(F1062)),ROUND(E1062-F1062,6),"")</f>
        <v/>
      </c>
      <c r="H1062" s="25">
        <f>IF(A1062="","",IFERROR(INDEX('자료_한국심리'!$N$3:$N$4002,MATCH(A1062,$Y$19:$Y$4018,0)),H1061))</f>
        <v/>
      </c>
      <c r="I1062" s="31">
        <f>IF(AND(ISNUMBER(H1062),ISNUMBER(H1042)),IF(H1042&gt;0,H1062/H1042-1,""),"")</f>
        <v/>
      </c>
      <c r="J1062">
        <f>IF(A1062="",0,IF(A1062&gt;$B$5,1,0))</f>
        <v/>
      </c>
      <c r="K1062" s="29">
        <f>IF(AND(J1062=1,ISNUMBER(D1062)),D1062,"")</f>
        <v/>
      </c>
      <c r="L1062" s="30">
        <f>IF(AND(J1062=1,ISNUMBER(G1062)),G1062,"")</f>
        <v/>
      </c>
      <c r="M1062" s="22">
        <f>IF(AND(J1062=1,ISNUMBER(C1062)),C1062,"")</f>
        <v/>
      </c>
      <c r="N1062" s="31">
        <f>IF(AND(J1062=1,ISNUMBER(I1062)),I1062,"")</f>
        <v/>
      </c>
      <c r="O1062" s="11">
        <f>IF(K1062="","",100-IF($G$13=1,50,(_xlfn.RANK.AVG(K1062,$K$19:$K$1518,1)-1)/($G$13-1)*100))</f>
        <v/>
      </c>
      <c r="P1062" s="11">
        <f>IF(L1062="","",100-IF($G$14=1,50,(_xlfn.RANK.AVG(L1062,$L$19:$L$1518,1)-1)/($G$14-1)*100))</f>
        <v/>
      </c>
      <c r="Q1062" s="11">
        <f>IF(M1062="","",IF($G$15=1,50,(_xlfn.RANK.AVG(M1062,$M$19:$M$1518,1)-1)/($G$15-1)*100))</f>
        <v/>
      </c>
      <c r="R1062" s="11">
        <f>IF(N1062="","",IF($G$16=1,50,(_xlfn.RANK.AVG(N1062,$N$19:$N$1518,1)-1)/($G$16-1)*100))</f>
        <v/>
      </c>
      <c r="S1062" s="11">
        <f>IF(COUNT(O1062:R1062)=4,ROUND(AVERAGE(O1062:R1062),6),"")</f>
        <v/>
      </c>
      <c r="U1062">
        <f>IF(AND(ISNUMBER('자료_한국심리'!$A1046),ISNUMBER('자료_한국심리'!$B1046)),'자료_한국심리'!$A1046,"")</f>
        <v/>
      </c>
      <c r="V1062">
        <f>IF(AND(ISNUMBER('자료_한국심리'!$D1046),ISNUMBER('자료_한국심리'!$E1046)),'자료_한국심리'!$D1046,"")</f>
        <v/>
      </c>
      <c r="W1062">
        <f>IF(AND(ISNUMBER('자료_한국심리'!$G1046),ISNUMBER('자료_한국심리'!$H1046)),'자료_한국심리'!$G1046,"")</f>
        <v/>
      </c>
      <c r="X1062">
        <f>IF(AND(ISNUMBER('자료_한국심리'!$J1046),ISNUMBER('자료_한국심리'!$K1046)),'자료_한국심리'!$J1046,"")</f>
        <v/>
      </c>
      <c r="Y1062">
        <f>IF(AND(ISNUMBER('자료_한국심리'!$M1046),ISNUMBER('자료_한국심리'!$N1046)),'자료_한국심리'!$M1046,"")</f>
        <v/>
      </c>
    </row>
    <row r="1063">
      <c r="A1063" s="10">
        <f>IF(1045&gt;$E$5,"",SMALL($U$19:$U$4018,$E$6+1045))</f>
        <v/>
      </c>
      <c r="B1063" s="29">
        <f>IF(A1063="","",INDEX('자료_한국심리'!$B$3:$B$4002,MATCH(A1063,$U$19:$U$4018,0)))</f>
        <v/>
      </c>
      <c r="C1063" s="22">
        <f>IF(A1063="","",B1063/AVERAGE(B939:B1063)-1)</f>
        <v/>
      </c>
      <c r="D1063" s="29">
        <f>IF(A1063="","",IFERROR(INDEX('자료_한국심리'!$E$3:$E$4002,MATCH(A1063,$V$19:$V$4018,0)),D1062))</f>
        <v/>
      </c>
      <c r="E1063" s="30">
        <f>IF(A1063="","",IFERROR(INDEX('자료_한국심리'!$H$3:$H$4002,MATCH(A1063,$W$19:$W$4018,0)),E1062))</f>
        <v/>
      </c>
      <c r="F1063" s="30">
        <f>IF(A1063="","",IFERROR(INDEX('자료_한국심리'!$K$3:$K$4002,MATCH(A1063,$X$19:$X$4018,0)),F1062))</f>
        <v/>
      </c>
      <c r="G1063" s="30">
        <f>IF(AND(ISNUMBER(E1063),ISNUMBER(F1063)),ROUND(E1063-F1063,6),"")</f>
        <v/>
      </c>
      <c r="H1063" s="25">
        <f>IF(A1063="","",IFERROR(INDEX('자료_한국심리'!$N$3:$N$4002,MATCH(A1063,$Y$19:$Y$4018,0)),H1062))</f>
        <v/>
      </c>
      <c r="I1063" s="31">
        <f>IF(AND(ISNUMBER(H1063),ISNUMBER(H1043)),IF(H1043&gt;0,H1063/H1043-1,""),"")</f>
        <v/>
      </c>
      <c r="J1063">
        <f>IF(A1063="",0,IF(A1063&gt;$B$5,1,0))</f>
        <v/>
      </c>
      <c r="K1063" s="29">
        <f>IF(AND(J1063=1,ISNUMBER(D1063)),D1063,"")</f>
        <v/>
      </c>
      <c r="L1063" s="30">
        <f>IF(AND(J1063=1,ISNUMBER(G1063)),G1063,"")</f>
        <v/>
      </c>
      <c r="M1063" s="22">
        <f>IF(AND(J1063=1,ISNUMBER(C1063)),C1063,"")</f>
        <v/>
      </c>
      <c r="N1063" s="31">
        <f>IF(AND(J1063=1,ISNUMBER(I1063)),I1063,"")</f>
        <v/>
      </c>
      <c r="O1063" s="11">
        <f>IF(K1063="","",100-IF($G$13=1,50,(_xlfn.RANK.AVG(K1063,$K$19:$K$1518,1)-1)/($G$13-1)*100))</f>
        <v/>
      </c>
      <c r="P1063" s="11">
        <f>IF(L1063="","",100-IF($G$14=1,50,(_xlfn.RANK.AVG(L1063,$L$19:$L$1518,1)-1)/($G$14-1)*100))</f>
        <v/>
      </c>
      <c r="Q1063" s="11">
        <f>IF(M1063="","",IF($G$15=1,50,(_xlfn.RANK.AVG(M1063,$M$19:$M$1518,1)-1)/($G$15-1)*100))</f>
        <v/>
      </c>
      <c r="R1063" s="11">
        <f>IF(N1063="","",IF($G$16=1,50,(_xlfn.RANK.AVG(N1063,$N$19:$N$1518,1)-1)/($G$16-1)*100))</f>
        <v/>
      </c>
      <c r="S1063" s="11">
        <f>IF(COUNT(O1063:R1063)=4,ROUND(AVERAGE(O1063:R1063),6),"")</f>
        <v/>
      </c>
      <c r="U1063">
        <f>IF(AND(ISNUMBER('자료_한국심리'!$A1047),ISNUMBER('자료_한국심리'!$B1047)),'자료_한국심리'!$A1047,"")</f>
        <v/>
      </c>
      <c r="V1063">
        <f>IF(AND(ISNUMBER('자료_한국심리'!$D1047),ISNUMBER('자료_한국심리'!$E1047)),'자료_한국심리'!$D1047,"")</f>
        <v/>
      </c>
      <c r="W1063">
        <f>IF(AND(ISNUMBER('자료_한국심리'!$G1047),ISNUMBER('자료_한국심리'!$H1047)),'자료_한국심리'!$G1047,"")</f>
        <v/>
      </c>
      <c r="X1063">
        <f>IF(AND(ISNUMBER('자료_한국심리'!$J1047),ISNUMBER('자료_한국심리'!$K1047)),'자료_한국심리'!$J1047,"")</f>
        <v/>
      </c>
      <c r="Y1063">
        <f>IF(AND(ISNUMBER('자료_한국심리'!$M1047),ISNUMBER('자료_한국심리'!$N1047)),'자료_한국심리'!$M1047,"")</f>
        <v/>
      </c>
    </row>
    <row r="1064">
      <c r="A1064" s="10">
        <f>IF(1046&gt;$E$5,"",SMALL($U$19:$U$4018,$E$6+1046))</f>
        <v/>
      </c>
      <c r="B1064" s="29">
        <f>IF(A1064="","",INDEX('자료_한국심리'!$B$3:$B$4002,MATCH(A1064,$U$19:$U$4018,0)))</f>
        <v/>
      </c>
      <c r="C1064" s="22">
        <f>IF(A1064="","",B1064/AVERAGE(B940:B1064)-1)</f>
        <v/>
      </c>
      <c r="D1064" s="29">
        <f>IF(A1064="","",IFERROR(INDEX('자료_한국심리'!$E$3:$E$4002,MATCH(A1064,$V$19:$V$4018,0)),D1063))</f>
        <v/>
      </c>
      <c r="E1064" s="30">
        <f>IF(A1064="","",IFERROR(INDEX('자료_한국심리'!$H$3:$H$4002,MATCH(A1064,$W$19:$W$4018,0)),E1063))</f>
        <v/>
      </c>
      <c r="F1064" s="30">
        <f>IF(A1064="","",IFERROR(INDEX('자료_한국심리'!$K$3:$K$4002,MATCH(A1064,$X$19:$X$4018,0)),F1063))</f>
        <v/>
      </c>
      <c r="G1064" s="30">
        <f>IF(AND(ISNUMBER(E1064),ISNUMBER(F1064)),ROUND(E1064-F1064,6),"")</f>
        <v/>
      </c>
      <c r="H1064" s="25">
        <f>IF(A1064="","",IFERROR(INDEX('자료_한국심리'!$N$3:$N$4002,MATCH(A1064,$Y$19:$Y$4018,0)),H1063))</f>
        <v/>
      </c>
      <c r="I1064" s="31">
        <f>IF(AND(ISNUMBER(H1064),ISNUMBER(H1044)),IF(H1044&gt;0,H1064/H1044-1,""),"")</f>
        <v/>
      </c>
      <c r="J1064">
        <f>IF(A1064="",0,IF(A1064&gt;$B$5,1,0))</f>
        <v/>
      </c>
      <c r="K1064" s="29">
        <f>IF(AND(J1064=1,ISNUMBER(D1064)),D1064,"")</f>
        <v/>
      </c>
      <c r="L1064" s="30">
        <f>IF(AND(J1064=1,ISNUMBER(G1064)),G1064,"")</f>
        <v/>
      </c>
      <c r="M1064" s="22">
        <f>IF(AND(J1064=1,ISNUMBER(C1064)),C1064,"")</f>
        <v/>
      </c>
      <c r="N1064" s="31">
        <f>IF(AND(J1064=1,ISNUMBER(I1064)),I1064,"")</f>
        <v/>
      </c>
      <c r="O1064" s="11">
        <f>IF(K1064="","",100-IF($G$13=1,50,(_xlfn.RANK.AVG(K1064,$K$19:$K$1518,1)-1)/($G$13-1)*100))</f>
        <v/>
      </c>
      <c r="P1064" s="11">
        <f>IF(L1064="","",100-IF($G$14=1,50,(_xlfn.RANK.AVG(L1064,$L$19:$L$1518,1)-1)/($G$14-1)*100))</f>
        <v/>
      </c>
      <c r="Q1064" s="11">
        <f>IF(M1064="","",IF($G$15=1,50,(_xlfn.RANK.AVG(M1064,$M$19:$M$1518,1)-1)/($G$15-1)*100))</f>
        <v/>
      </c>
      <c r="R1064" s="11">
        <f>IF(N1064="","",IF($G$16=1,50,(_xlfn.RANK.AVG(N1064,$N$19:$N$1518,1)-1)/($G$16-1)*100))</f>
        <v/>
      </c>
      <c r="S1064" s="11">
        <f>IF(COUNT(O1064:R1064)=4,ROUND(AVERAGE(O1064:R1064),6),"")</f>
        <v/>
      </c>
      <c r="U1064">
        <f>IF(AND(ISNUMBER('자료_한국심리'!$A1048),ISNUMBER('자료_한국심리'!$B1048)),'자료_한국심리'!$A1048,"")</f>
        <v/>
      </c>
      <c r="V1064">
        <f>IF(AND(ISNUMBER('자료_한국심리'!$D1048),ISNUMBER('자료_한국심리'!$E1048)),'자료_한국심리'!$D1048,"")</f>
        <v/>
      </c>
      <c r="W1064">
        <f>IF(AND(ISNUMBER('자료_한국심리'!$G1048),ISNUMBER('자료_한국심리'!$H1048)),'자료_한국심리'!$G1048,"")</f>
        <v/>
      </c>
      <c r="X1064">
        <f>IF(AND(ISNUMBER('자료_한국심리'!$J1048),ISNUMBER('자료_한국심리'!$K1048)),'자료_한국심리'!$J1048,"")</f>
        <v/>
      </c>
      <c r="Y1064">
        <f>IF(AND(ISNUMBER('자료_한국심리'!$M1048),ISNUMBER('자료_한국심리'!$N1048)),'자료_한국심리'!$M1048,"")</f>
        <v/>
      </c>
    </row>
    <row r="1065">
      <c r="A1065" s="10">
        <f>IF(1047&gt;$E$5,"",SMALL($U$19:$U$4018,$E$6+1047))</f>
        <v/>
      </c>
      <c r="B1065" s="29">
        <f>IF(A1065="","",INDEX('자료_한국심리'!$B$3:$B$4002,MATCH(A1065,$U$19:$U$4018,0)))</f>
        <v/>
      </c>
      <c r="C1065" s="22">
        <f>IF(A1065="","",B1065/AVERAGE(B941:B1065)-1)</f>
        <v/>
      </c>
      <c r="D1065" s="29">
        <f>IF(A1065="","",IFERROR(INDEX('자료_한국심리'!$E$3:$E$4002,MATCH(A1065,$V$19:$V$4018,0)),D1064))</f>
        <v/>
      </c>
      <c r="E1065" s="30">
        <f>IF(A1065="","",IFERROR(INDEX('자료_한국심리'!$H$3:$H$4002,MATCH(A1065,$W$19:$W$4018,0)),E1064))</f>
        <v/>
      </c>
      <c r="F1065" s="30">
        <f>IF(A1065="","",IFERROR(INDEX('자료_한국심리'!$K$3:$K$4002,MATCH(A1065,$X$19:$X$4018,0)),F1064))</f>
        <v/>
      </c>
      <c r="G1065" s="30">
        <f>IF(AND(ISNUMBER(E1065),ISNUMBER(F1065)),ROUND(E1065-F1065,6),"")</f>
        <v/>
      </c>
      <c r="H1065" s="25">
        <f>IF(A1065="","",IFERROR(INDEX('자료_한국심리'!$N$3:$N$4002,MATCH(A1065,$Y$19:$Y$4018,0)),H1064))</f>
        <v/>
      </c>
      <c r="I1065" s="31">
        <f>IF(AND(ISNUMBER(H1065),ISNUMBER(H1045)),IF(H1045&gt;0,H1065/H1045-1,""),"")</f>
        <v/>
      </c>
      <c r="J1065">
        <f>IF(A1065="",0,IF(A1065&gt;$B$5,1,0))</f>
        <v/>
      </c>
      <c r="K1065" s="29">
        <f>IF(AND(J1065=1,ISNUMBER(D1065)),D1065,"")</f>
        <v/>
      </c>
      <c r="L1065" s="30">
        <f>IF(AND(J1065=1,ISNUMBER(G1065)),G1065,"")</f>
        <v/>
      </c>
      <c r="M1065" s="22">
        <f>IF(AND(J1065=1,ISNUMBER(C1065)),C1065,"")</f>
        <v/>
      </c>
      <c r="N1065" s="31">
        <f>IF(AND(J1065=1,ISNUMBER(I1065)),I1065,"")</f>
        <v/>
      </c>
      <c r="O1065" s="11">
        <f>IF(K1065="","",100-IF($G$13=1,50,(_xlfn.RANK.AVG(K1065,$K$19:$K$1518,1)-1)/($G$13-1)*100))</f>
        <v/>
      </c>
      <c r="P1065" s="11">
        <f>IF(L1065="","",100-IF($G$14=1,50,(_xlfn.RANK.AVG(L1065,$L$19:$L$1518,1)-1)/($G$14-1)*100))</f>
        <v/>
      </c>
      <c r="Q1065" s="11">
        <f>IF(M1065="","",IF($G$15=1,50,(_xlfn.RANK.AVG(M1065,$M$19:$M$1518,1)-1)/($G$15-1)*100))</f>
        <v/>
      </c>
      <c r="R1065" s="11">
        <f>IF(N1065="","",IF($G$16=1,50,(_xlfn.RANK.AVG(N1065,$N$19:$N$1518,1)-1)/($G$16-1)*100))</f>
        <v/>
      </c>
      <c r="S1065" s="11">
        <f>IF(COUNT(O1065:R1065)=4,ROUND(AVERAGE(O1065:R1065),6),"")</f>
        <v/>
      </c>
      <c r="U1065">
        <f>IF(AND(ISNUMBER('자료_한국심리'!$A1049),ISNUMBER('자료_한국심리'!$B1049)),'자료_한국심리'!$A1049,"")</f>
        <v/>
      </c>
      <c r="V1065">
        <f>IF(AND(ISNUMBER('자료_한국심리'!$D1049),ISNUMBER('자료_한국심리'!$E1049)),'자료_한국심리'!$D1049,"")</f>
        <v/>
      </c>
      <c r="W1065">
        <f>IF(AND(ISNUMBER('자료_한국심리'!$G1049),ISNUMBER('자료_한국심리'!$H1049)),'자료_한국심리'!$G1049,"")</f>
        <v/>
      </c>
      <c r="X1065">
        <f>IF(AND(ISNUMBER('자료_한국심리'!$J1049),ISNUMBER('자료_한국심리'!$K1049)),'자료_한국심리'!$J1049,"")</f>
        <v/>
      </c>
      <c r="Y1065">
        <f>IF(AND(ISNUMBER('자료_한국심리'!$M1049),ISNUMBER('자료_한국심리'!$N1049)),'자료_한국심리'!$M1049,"")</f>
        <v/>
      </c>
    </row>
    <row r="1066">
      <c r="A1066" s="10">
        <f>IF(1048&gt;$E$5,"",SMALL($U$19:$U$4018,$E$6+1048))</f>
        <v/>
      </c>
      <c r="B1066" s="29">
        <f>IF(A1066="","",INDEX('자료_한국심리'!$B$3:$B$4002,MATCH(A1066,$U$19:$U$4018,0)))</f>
        <v/>
      </c>
      <c r="C1066" s="22">
        <f>IF(A1066="","",B1066/AVERAGE(B942:B1066)-1)</f>
        <v/>
      </c>
      <c r="D1066" s="29">
        <f>IF(A1066="","",IFERROR(INDEX('자료_한국심리'!$E$3:$E$4002,MATCH(A1066,$V$19:$V$4018,0)),D1065))</f>
        <v/>
      </c>
      <c r="E1066" s="30">
        <f>IF(A1066="","",IFERROR(INDEX('자료_한국심리'!$H$3:$H$4002,MATCH(A1066,$W$19:$W$4018,0)),E1065))</f>
        <v/>
      </c>
      <c r="F1066" s="30">
        <f>IF(A1066="","",IFERROR(INDEX('자료_한국심리'!$K$3:$K$4002,MATCH(A1066,$X$19:$X$4018,0)),F1065))</f>
        <v/>
      </c>
      <c r="G1066" s="30">
        <f>IF(AND(ISNUMBER(E1066),ISNUMBER(F1066)),ROUND(E1066-F1066,6),"")</f>
        <v/>
      </c>
      <c r="H1066" s="25">
        <f>IF(A1066="","",IFERROR(INDEX('자료_한국심리'!$N$3:$N$4002,MATCH(A1066,$Y$19:$Y$4018,0)),H1065))</f>
        <v/>
      </c>
      <c r="I1066" s="31">
        <f>IF(AND(ISNUMBER(H1066),ISNUMBER(H1046)),IF(H1046&gt;0,H1066/H1046-1,""),"")</f>
        <v/>
      </c>
      <c r="J1066">
        <f>IF(A1066="",0,IF(A1066&gt;$B$5,1,0))</f>
        <v/>
      </c>
      <c r="K1066" s="29">
        <f>IF(AND(J1066=1,ISNUMBER(D1066)),D1066,"")</f>
        <v/>
      </c>
      <c r="L1066" s="30">
        <f>IF(AND(J1066=1,ISNUMBER(G1066)),G1066,"")</f>
        <v/>
      </c>
      <c r="M1066" s="22">
        <f>IF(AND(J1066=1,ISNUMBER(C1066)),C1066,"")</f>
        <v/>
      </c>
      <c r="N1066" s="31">
        <f>IF(AND(J1066=1,ISNUMBER(I1066)),I1066,"")</f>
        <v/>
      </c>
      <c r="O1066" s="11">
        <f>IF(K1066="","",100-IF($G$13=1,50,(_xlfn.RANK.AVG(K1066,$K$19:$K$1518,1)-1)/($G$13-1)*100))</f>
        <v/>
      </c>
      <c r="P1066" s="11">
        <f>IF(L1066="","",100-IF($G$14=1,50,(_xlfn.RANK.AVG(L1066,$L$19:$L$1518,1)-1)/($G$14-1)*100))</f>
        <v/>
      </c>
      <c r="Q1066" s="11">
        <f>IF(M1066="","",IF($G$15=1,50,(_xlfn.RANK.AVG(M1066,$M$19:$M$1518,1)-1)/($G$15-1)*100))</f>
        <v/>
      </c>
      <c r="R1066" s="11">
        <f>IF(N1066="","",IF($G$16=1,50,(_xlfn.RANK.AVG(N1066,$N$19:$N$1518,1)-1)/($G$16-1)*100))</f>
        <v/>
      </c>
      <c r="S1066" s="11">
        <f>IF(COUNT(O1066:R1066)=4,ROUND(AVERAGE(O1066:R1066),6),"")</f>
        <v/>
      </c>
      <c r="U1066">
        <f>IF(AND(ISNUMBER('자료_한국심리'!$A1050),ISNUMBER('자료_한국심리'!$B1050)),'자료_한국심리'!$A1050,"")</f>
        <v/>
      </c>
      <c r="V1066">
        <f>IF(AND(ISNUMBER('자료_한국심리'!$D1050),ISNUMBER('자료_한국심리'!$E1050)),'자료_한국심리'!$D1050,"")</f>
        <v/>
      </c>
      <c r="W1066">
        <f>IF(AND(ISNUMBER('자료_한국심리'!$G1050),ISNUMBER('자료_한국심리'!$H1050)),'자료_한국심리'!$G1050,"")</f>
        <v/>
      </c>
      <c r="X1066">
        <f>IF(AND(ISNUMBER('자료_한국심리'!$J1050),ISNUMBER('자료_한국심리'!$K1050)),'자료_한국심리'!$J1050,"")</f>
        <v/>
      </c>
      <c r="Y1066">
        <f>IF(AND(ISNUMBER('자료_한국심리'!$M1050),ISNUMBER('자료_한국심리'!$N1050)),'자료_한국심리'!$M1050,"")</f>
        <v/>
      </c>
    </row>
    <row r="1067">
      <c r="A1067" s="10">
        <f>IF(1049&gt;$E$5,"",SMALL($U$19:$U$4018,$E$6+1049))</f>
        <v/>
      </c>
      <c r="B1067" s="29">
        <f>IF(A1067="","",INDEX('자료_한국심리'!$B$3:$B$4002,MATCH(A1067,$U$19:$U$4018,0)))</f>
        <v/>
      </c>
      <c r="C1067" s="22">
        <f>IF(A1067="","",B1067/AVERAGE(B943:B1067)-1)</f>
        <v/>
      </c>
      <c r="D1067" s="29">
        <f>IF(A1067="","",IFERROR(INDEX('자료_한국심리'!$E$3:$E$4002,MATCH(A1067,$V$19:$V$4018,0)),D1066))</f>
        <v/>
      </c>
      <c r="E1067" s="30">
        <f>IF(A1067="","",IFERROR(INDEX('자료_한국심리'!$H$3:$H$4002,MATCH(A1067,$W$19:$W$4018,0)),E1066))</f>
        <v/>
      </c>
      <c r="F1067" s="30">
        <f>IF(A1067="","",IFERROR(INDEX('자료_한국심리'!$K$3:$K$4002,MATCH(A1067,$X$19:$X$4018,0)),F1066))</f>
        <v/>
      </c>
      <c r="G1067" s="30">
        <f>IF(AND(ISNUMBER(E1067),ISNUMBER(F1067)),ROUND(E1067-F1067,6),"")</f>
        <v/>
      </c>
      <c r="H1067" s="25">
        <f>IF(A1067="","",IFERROR(INDEX('자료_한국심리'!$N$3:$N$4002,MATCH(A1067,$Y$19:$Y$4018,0)),H1066))</f>
        <v/>
      </c>
      <c r="I1067" s="31">
        <f>IF(AND(ISNUMBER(H1067),ISNUMBER(H1047)),IF(H1047&gt;0,H1067/H1047-1,""),"")</f>
        <v/>
      </c>
      <c r="J1067">
        <f>IF(A1067="",0,IF(A1067&gt;$B$5,1,0))</f>
        <v/>
      </c>
      <c r="K1067" s="29">
        <f>IF(AND(J1067=1,ISNUMBER(D1067)),D1067,"")</f>
        <v/>
      </c>
      <c r="L1067" s="30">
        <f>IF(AND(J1067=1,ISNUMBER(G1067)),G1067,"")</f>
        <v/>
      </c>
      <c r="M1067" s="22">
        <f>IF(AND(J1067=1,ISNUMBER(C1067)),C1067,"")</f>
        <v/>
      </c>
      <c r="N1067" s="31">
        <f>IF(AND(J1067=1,ISNUMBER(I1067)),I1067,"")</f>
        <v/>
      </c>
      <c r="O1067" s="11">
        <f>IF(K1067="","",100-IF($G$13=1,50,(_xlfn.RANK.AVG(K1067,$K$19:$K$1518,1)-1)/($G$13-1)*100))</f>
        <v/>
      </c>
      <c r="P1067" s="11">
        <f>IF(L1067="","",100-IF($G$14=1,50,(_xlfn.RANK.AVG(L1067,$L$19:$L$1518,1)-1)/($G$14-1)*100))</f>
        <v/>
      </c>
      <c r="Q1067" s="11">
        <f>IF(M1067="","",IF($G$15=1,50,(_xlfn.RANK.AVG(M1067,$M$19:$M$1518,1)-1)/($G$15-1)*100))</f>
        <v/>
      </c>
      <c r="R1067" s="11">
        <f>IF(N1067="","",IF($G$16=1,50,(_xlfn.RANK.AVG(N1067,$N$19:$N$1518,1)-1)/($G$16-1)*100))</f>
        <v/>
      </c>
      <c r="S1067" s="11">
        <f>IF(COUNT(O1067:R1067)=4,ROUND(AVERAGE(O1067:R1067),6),"")</f>
        <v/>
      </c>
      <c r="U1067">
        <f>IF(AND(ISNUMBER('자료_한국심리'!$A1051),ISNUMBER('자료_한국심리'!$B1051)),'자료_한국심리'!$A1051,"")</f>
        <v/>
      </c>
      <c r="V1067">
        <f>IF(AND(ISNUMBER('자료_한국심리'!$D1051),ISNUMBER('자료_한국심리'!$E1051)),'자료_한국심리'!$D1051,"")</f>
        <v/>
      </c>
      <c r="W1067">
        <f>IF(AND(ISNUMBER('자료_한국심리'!$G1051),ISNUMBER('자료_한국심리'!$H1051)),'자료_한국심리'!$G1051,"")</f>
        <v/>
      </c>
      <c r="X1067">
        <f>IF(AND(ISNUMBER('자료_한국심리'!$J1051),ISNUMBER('자료_한국심리'!$K1051)),'자료_한국심리'!$J1051,"")</f>
        <v/>
      </c>
      <c r="Y1067">
        <f>IF(AND(ISNUMBER('자료_한국심리'!$M1051),ISNUMBER('자료_한국심리'!$N1051)),'자료_한국심리'!$M1051,"")</f>
        <v/>
      </c>
    </row>
    <row r="1068">
      <c r="A1068" s="10">
        <f>IF(1050&gt;$E$5,"",SMALL($U$19:$U$4018,$E$6+1050))</f>
        <v/>
      </c>
      <c r="B1068" s="29">
        <f>IF(A1068="","",INDEX('자료_한국심리'!$B$3:$B$4002,MATCH(A1068,$U$19:$U$4018,0)))</f>
        <v/>
      </c>
      <c r="C1068" s="22">
        <f>IF(A1068="","",B1068/AVERAGE(B944:B1068)-1)</f>
        <v/>
      </c>
      <c r="D1068" s="29">
        <f>IF(A1068="","",IFERROR(INDEX('자료_한국심리'!$E$3:$E$4002,MATCH(A1068,$V$19:$V$4018,0)),D1067))</f>
        <v/>
      </c>
      <c r="E1068" s="30">
        <f>IF(A1068="","",IFERROR(INDEX('자료_한국심리'!$H$3:$H$4002,MATCH(A1068,$W$19:$W$4018,0)),E1067))</f>
        <v/>
      </c>
      <c r="F1068" s="30">
        <f>IF(A1068="","",IFERROR(INDEX('자료_한국심리'!$K$3:$K$4002,MATCH(A1068,$X$19:$X$4018,0)),F1067))</f>
        <v/>
      </c>
      <c r="G1068" s="30">
        <f>IF(AND(ISNUMBER(E1068),ISNUMBER(F1068)),ROUND(E1068-F1068,6),"")</f>
        <v/>
      </c>
      <c r="H1068" s="25">
        <f>IF(A1068="","",IFERROR(INDEX('자료_한국심리'!$N$3:$N$4002,MATCH(A1068,$Y$19:$Y$4018,0)),H1067))</f>
        <v/>
      </c>
      <c r="I1068" s="31">
        <f>IF(AND(ISNUMBER(H1068),ISNUMBER(H1048)),IF(H1048&gt;0,H1068/H1048-1,""),"")</f>
        <v/>
      </c>
      <c r="J1068">
        <f>IF(A1068="",0,IF(A1068&gt;$B$5,1,0))</f>
        <v/>
      </c>
      <c r="K1068" s="29">
        <f>IF(AND(J1068=1,ISNUMBER(D1068)),D1068,"")</f>
        <v/>
      </c>
      <c r="L1068" s="30">
        <f>IF(AND(J1068=1,ISNUMBER(G1068)),G1068,"")</f>
        <v/>
      </c>
      <c r="M1068" s="22">
        <f>IF(AND(J1068=1,ISNUMBER(C1068)),C1068,"")</f>
        <v/>
      </c>
      <c r="N1068" s="31">
        <f>IF(AND(J1068=1,ISNUMBER(I1068)),I1068,"")</f>
        <v/>
      </c>
      <c r="O1068" s="11">
        <f>IF(K1068="","",100-IF($G$13=1,50,(_xlfn.RANK.AVG(K1068,$K$19:$K$1518,1)-1)/($G$13-1)*100))</f>
        <v/>
      </c>
      <c r="P1068" s="11">
        <f>IF(L1068="","",100-IF($G$14=1,50,(_xlfn.RANK.AVG(L1068,$L$19:$L$1518,1)-1)/($G$14-1)*100))</f>
        <v/>
      </c>
      <c r="Q1068" s="11">
        <f>IF(M1068="","",IF($G$15=1,50,(_xlfn.RANK.AVG(M1068,$M$19:$M$1518,1)-1)/($G$15-1)*100))</f>
        <v/>
      </c>
      <c r="R1068" s="11">
        <f>IF(N1068="","",IF($G$16=1,50,(_xlfn.RANK.AVG(N1068,$N$19:$N$1518,1)-1)/($G$16-1)*100))</f>
        <v/>
      </c>
      <c r="S1068" s="11">
        <f>IF(COUNT(O1068:R1068)=4,ROUND(AVERAGE(O1068:R1068),6),"")</f>
        <v/>
      </c>
      <c r="U1068">
        <f>IF(AND(ISNUMBER('자료_한국심리'!$A1052),ISNUMBER('자료_한국심리'!$B1052)),'자료_한국심리'!$A1052,"")</f>
        <v/>
      </c>
      <c r="V1068">
        <f>IF(AND(ISNUMBER('자료_한국심리'!$D1052),ISNUMBER('자료_한국심리'!$E1052)),'자료_한국심리'!$D1052,"")</f>
        <v/>
      </c>
      <c r="W1068">
        <f>IF(AND(ISNUMBER('자료_한국심리'!$G1052),ISNUMBER('자료_한국심리'!$H1052)),'자료_한국심리'!$G1052,"")</f>
        <v/>
      </c>
      <c r="X1068">
        <f>IF(AND(ISNUMBER('자료_한국심리'!$J1052),ISNUMBER('자료_한국심리'!$K1052)),'자료_한국심리'!$J1052,"")</f>
        <v/>
      </c>
      <c r="Y1068">
        <f>IF(AND(ISNUMBER('자료_한국심리'!$M1052),ISNUMBER('자료_한국심리'!$N1052)),'자료_한국심리'!$M1052,"")</f>
        <v/>
      </c>
    </row>
    <row r="1069">
      <c r="A1069" s="10">
        <f>IF(1051&gt;$E$5,"",SMALL($U$19:$U$4018,$E$6+1051))</f>
        <v/>
      </c>
      <c r="B1069" s="29">
        <f>IF(A1069="","",INDEX('자료_한국심리'!$B$3:$B$4002,MATCH(A1069,$U$19:$U$4018,0)))</f>
        <v/>
      </c>
      <c r="C1069" s="22">
        <f>IF(A1069="","",B1069/AVERAGE(B945:B1069)-1)</f>
        <v/>
      </c>
      <c r="D1069" s="29">
        <f>IF(A1069="","",IFERROR(INDEX('자료_한국심리'!$E$3:$E$4002,MATCH(A1069,$V$19:$V$4018,0)),D1068))</f>
        <v/>
      </c>
      <c r="E1069" s="30">
        <f>IF(A1069="","",IFERROR(INDEX('자료_한국심리'!$H$3:$H$4002,MATCH(A1069,$W$19:$W$4018,0)),E1068))</f>
        <v/>
      </c>
      <c r="F1069" s="30">
        <f>IF(A1069="","",IFERROR(INDEX('자료_한국심리'!$K$3:$K$4002,MATCH(A1069,$X$19:$X$4018,0)),F1068))</f>
        <v/>
      </c>
      <c r="G1069" s="30">
        <f>IF(AND(ISNUMBER(E1069),ISNUMBER(F1069)),ROUND(E1069-F1069,6),"")</f>
        <v/>
      </c>
      <c r="H1069" s="25">
        <f>IF(A1069="","",IFERROR(INDEX('자료_한국심리'!$N$3:$N$4002,MATCH(A1069,$Y$19:$Y$4018,0)),H1068))</f>
        <v/>
      </c>
      <c r="I1069" s="31">
        <f>IF(AND(ISNUMBER(H1069),ISNUMBER(H1049)),IF(H1049&gt;0,H1069/H1049-1,""),"")</f>
        <v/>
      </c>
      <c r="J1069">
        <f>IF(A1069="",0,IF(A1069&gt;$B$5,1,0))</f>
        <v/>
      </c>
      <c r="K1069" s="29">
        <f>IF(AND(J1069=1,ISNUMBER(D1069)),D1069,"")</f>
        <v/>
      </c>
      <c r="L1069" s="30">
        <f>IF(AND(J1069=1,ISNUMBER(G1069)),G1069,"")</f>
        <v/>
      </c>
      <c r="M1069" s="22">
        <f>IF(AND(J1069=1,ISNUMBER(C1069)),C1069,"")</f>
        <v/>
      </c>
      <c r="N1069" s="31">
        <f>IF(AND(J1069=1,ISNUMBER(I1069)),I1069,"")</f>
        <v/>
      </c>
      <c r="O1069" s="11">
        <f>IF(K1069="","",100-IF($G$13=1,50,(_xlfn.RANK.AVG(K1069,$K$19:$K$1518,1)-1)/($G$13-1)*100))</f>
        <v/>
      </c>
      <c r="P1069" s="11">
        <f>IF(L1069="","",100-IF($G$14=1,50,(_xlfn.RANK.AVG(L1069,$L$19:$L$1518,1)-1)/($G$14-1)*100))</f>
        <v/>
      </c>
      <c r="Q1069" s="11">
        <f>IF(M1069="","",IF($G$15=1,50,(_xlfn.RANK.AVG(M1069,$M$19:$M$1518,1)-1)/($G$15-1)*100))</f>
        <v/>
      </c>
      <c r="R1069" s="11">
        <f>IF(N1069="","",IF($G$16=1,50,(_xlfn.RANK.AVG(N1069,$N$19:$N$1518,1)-1)/($G$16-1)*100))</f>
        <v/>
      </c>
      <c r="S1069" s="11">
        <f>IF(COUNT(O1069:R1069)=4,ROUND(AVERAGE(O1069:R1069),6),"")</f>
        <v/>
      </c>
      <c r="U1069">
        <f>IF(AND(ISNUMBER('자료_한국심리'!$A1053),ISNUMBER('자료_한국심리'!$B1053)),'자료_한국심리'!$A1053,"")</f>
        <v/>
      </c>
      <c r="V1069">
        <f>IF(AND(ISNUMBER('자료_한국심리'!$D1053),ISNUMBER('자료_한국심리'!$E1053)),'자료_한국심리'!$D1053,"")</f>
        <v/>
      </c>
      <c r="W1069">
        <f>IF(AND(ISNUMBER('자료_한국심리'!$G1053),ISNUMBER('자료_한국심리'!$H1053)),'자료_한국심리'!$G1053,"")</f>
        <v/>
      </c>
      <c r="X1069">
        <f>IF(AND(ISNUMBER('자료_한국심리'!$J1053),ISNUMBER('자료_한국심리'!$K1053)),'자료_한국심리'!$J1053,"")</f>
        <v/>
      </c>
      <c r="Y1069">
        <f>IF(AND(ISNUMBER('자료_한국심리'!$M1053),ISNUMBER('자료_한국심리'!$N1053)),'자료_한국심리'!$M1053,"")</f>
        <v/>
      </c>
    </row>
    <row r="1070">
      <c r="A1070" s="10">
        <f>IF(1052&gt;$E$5,"",SMALL($U$19:$U$4018,$E$6+1052))</f>
        <v/>
      </c>
      <c r="B1070" s="29">
        <f>IF(A1070="","",INDEX('자료_한국심리'!$B$3:$B$4002,MATCH(A1070,$U$19:$U$4018,0)))</f>
        <v/>
      </c>
      <c r="C1070" s="22">
        <f>IF(A1070="","",B1070/AVERAGE(B946:B1070)-1)</f>
        <v/>
      </c>
      <c r="D1070" s="29">
        <f>IF(A1070="","",IFERROR(INDEX('자료_한국심리'!$E$3:$E$4002,MATCH(A1070,$V$19:$V$4018,0)),D1069))</f>
        <v/>
      </c>
      <c r="E1070" s="30">
        <f>IF(A1070="","",IFERROR(INDEX('자료_한국심리'!$H$3:$H$4002,MATCH(A1070,$W$19:$W$4018,0)),E1069))</f>
        <v/>
      </c>
      <c r="F1070" s="30">
        <f>IF(A1070="","",IFERROR(INDEX('자료_한국심리'!$K$3:$K$4002,MATCH(A1070,$X$19:$X$4018,0)),F1069))</f>
        <v/>
      </c>
      <c r="G1070" s="30">
        <f>IF(AND(ISNUMBER(E1070),ISNUMBER(F1070)),ROUND(E1070-F1070,6),"")</f>
        <v/>
      </c>
      <c r="H1070" s="25">
        <f>IF(A1070="","",IFERROR(INDEX('자료_한국심리'!$N$3:$N$4002,MATCH(A1070,$Y$19:$Y$4018,0)),H1069))</f>
        <v/>
      </c>
      <c r="I1070" s="31">
        <f>IF(AND(ISNUMBER(H1070),ISNUMBER(H1050)),IF(H1050&gt;0,H1070/H1050-1,""),"")</f>
        <v/>
      </c>
      <c r="J1070">
        <f>IF(A1070="",0,IF(A1070&gt;$B$5,1,0))</f>
        <v/>
      </c>
      <c r="K1070" s="29">
        <f>IF(AND(J1070=1,ISNUMBER(D1070)),D1070,"")</f>
        <v/>
      </c>
      <c r="L1070" s="30">
        <f>IF(AND(J1070=1,ISNUMBER(G1070)),G1070,"")</f>
        <v/>
      </c>
      <c r="M1070" s="22">
        <f>IF(AND(J1070=1,ISNUMBER(C1070)),C1070,"")</f>
        <v/>
      </c>
      <c r="N1070" s="31">
        <f>IF(AND(J1070=1,ISNUMBER(I1070)),I1070,"")</f>
        <v/>
      </c>
      <c r="O1070" s="11">
        <f>IF(K1070="","",100-IF($G$13=1,50,(_xlfn.RANK.AVG(K1070,$K$19:$K$1518,1)-1)/($G$13-1)*100))</f>
        <v/>
      </c>
      <c r="P1070" s="11">
        <f>IF(L1070="","",100-IF($G$14=1,50,(_xlfn.RANK.AVG(L1070,$L$19:$L$1518,1)-1)/($G$14-1)*100))</f>
        <v/>
      </c>
      <c r="Q1070" s="11">
        <f>IF(M1070="","",IF($G$15=1,50,(_xlfn.RANK.AVG(M1070,$M$19:$M$1518,1)-1)/($G$15-1)*100))</f>
        <v/>
      </c>
      <c r="R1070" s="11">
        <f>IF(N1070="","",IF($G$16=1,50,(_xlfn.RANK.AVG(N1070,$N$19:$N$1518,1)-1)/($G$16-1)*100))</f>
        <v/>
      </c>
      <c r="S1070" s="11">
        <f>IF(COUNT(O1070:R1070)=4,ROUND(AVERAGE(O1070:R1070),6),"")</f>
        <v/>
      </c>
      <c r="U1070">
        <f>IF(AND(ISNUMBER('자료_한국심리'!$A1054),ISNUMBER('자료_한국심리'!$B1054)),'자료_한국심리'!$A1054,"")</f>
        <v/>
      </c>
      <c r="V1070">
        <f>IF(AND(ISNUMBER('자료_한국심리'!$D1054),ISNUMBER('자료_한국심리'!$E1054)),'자료_한국심리'!$D1054,"")</f>
        <v/>
      </c>
      <c r="W1070">
        <f>IF(AND(ISNUMBER('자료_한국심리'!$G1054),ISNUMBER('자료_한국심리'!$H1054)),'자료_한국심리'!$G1054,"")</f>
        <v/>
      </c>
      <c r="X1070">
        <f>IF(AND(ISNUMBER('자료_한국심리'!$J1054),ISNUMBER('자료_한국심리'!$K1054)),'자료_한국심리'!$J1054,"")</f>
        <v/>
      </c>
      <c r="Y1070">
        <f>IF(AND(ISNUMBER('자료_한국심리'!$M1054),ISNUMBER('자료_한국심리'!$N1054)),'자료_한국심리'!$M1054,"")</f>
        <v/>
      </c>
    </row>
    <row r="1071">
      <c r="A1071" s="10">
        <f>IF(1053&gt;$E$5,"",SMALL($U$19:$U$4018,$E$6+1053))</f>
        <v/>
      </c>
      <c r="B1071" s="29">
        <f>IF(A1071="","",INDEX('자료_한국심리'!$B$3:$B$4002,MATCH(A1071,$U$19:$U$4018,0)))</f>
        <v/>
      </c>
      <c r="C1071" s="22">
        <f>IF(A1071="","",B1071/AVERAGE(B947:B1071)-1)</f>
        <v/>
      </c>
      <c r="D1071" s="29">
        <f>IF(A1071="","",IFERROR(INDEX('자료_한국심리'!$E$3:$E$4002,MATCH(A1071,$V$19:$V$4018,0)),D1070))</f>
        <v/>
      </c>
      <c r="E1071" s="30">
        <f>IF(A1071="","",IFERROR(INDEX('자료_한국심리'!$H$3:$H$4002,MATCH(A1071,$W$19:$W$4018,0)),E1070))</f>
        <v/>
      </c>
      <c r="F1071" s="30">
        <f>IF(A1071="","",IFERROR(INDEX('자료_한국심리'!$K$3:$K$4002,MATCH(A1071,$X$19:$X$4018,0)),F1070))</f>
        <v/>
      </c>
      <c r="G1071" s="30">
        <f>IF(AND(ISNUMBER(E1071),ISNUMBER(F1071)),ROUND(E1071-F1071,6),"")</f>
        <v/>
      </c>
      <c r="H1071" s="25">
        <f>IF(A1071="","",IFERROR(INDEX('자료_한국심리'!$N$3:$N$4002,MATCH(A1071,$Y$19:$Y$4018,0)),H1070))</f>
        <v/>
      </c>
      <c r="I1071" s="31">
        <f>IF(AND(ISNUMBER(H1071),ISNUMBER(H1051)),IF(H1051&gt;0,H1071/H1051-1,""),"")</f>
        <v/>
      </c>
      <c r="J1071">
        <f>IF(A1071="",0,IF(A1071&gt;$B$5,1,0))</f>
        <v/>
      </c>
      <c r="K1071" s="29">
        <f>IF(AND(J1071=1,ISNUMBER(D1071)),D1071,"")</f>
        <v/>
      </c>
      <c r="L1071" s="30">
        <f>IF(AND(J1071=1,ISNUMBER(G1071)),G1071,"")</f>
        <v/>
      </c>
      <c r="M1071" s="22">
        <f>IF(AND(J1071=1,ISNUMBER(C1071)),C1071,"")</f>
        <v/>
      </c>
      <c r="N1071" s="31">
        <f>IF(AND(J1071=1,ISNUMBER(I1071)),I1071,"")</f>
        <v/>
      </c>
      <c r="O1071" s="11">
        <f>IF(K1071="","",100-IF($G$13=1,50,(_xlfn.RANK.AVG(K1071,$K$19:$K$1518,1)-1)/($G$13-1)*100))</f>
        <v/>
      </c>
      <c r="P1071" s="11">
        <f>IF(L1071="","",100-IF($G$14=1,50,(_xlfn.RANK.AVG(L1071,$L$19:$L$1518,1)-1)/($G$14-1)*100))</f>
        <v/>
      </c>
      <c r="Q1071" s="11">
        <f>IF(M1071="","",IF($G$15=1,50,(_xlfn.RANK.AVG(M1071,$M$19:$M$1518,1)-1)/($G$15-1)*100))</f>
        <v/>
      </c>
      <c r="R1071" s="11">
        <f>IF(N1071="","",IF($G$16=1,50,(_xlfn.RANK.AVG(N1071,$N$19:$N$1518,1)-1)/($G$16-1)*100))</f>
        <v/>
      </c>
      <c r="S1071" s="11">
        <f>IF(COUNT(O1071:R1071)=4,ROUND(AVERAGE(O1071:R1071),6),"")</f>
        <v/>
      </c>
      <c r="U1071">
        <f>IF(AND(ISNUMBER('자료_한국심리'!$A1055),ISNUMBER('자료_한국심리'!$B1055)),'자료_한국심리'!$A1055,"")</f>
        <v/>
      </c>
      <c r="V1071">
        <f>IF(AND(ISNUMBER('자료_한국심리'!$D1055),ISNUMBER('자료_한국심리'!$E1055)),'자료_한국심리'!$D1055,"")</f>
        <v/>
      </c>
      <c r="W1071">
        <f>IF(AND(ISNUMBER('자료_한국심리'!$G1055),ISNUMBER('자료_한국심리'!$H1055)),'자료_한국심리'!$G1055,"")</f>
        <v/>
      </c>
      <c r="X1071">
        <f>IF(AND(ISNUMBER('자료_한국심리'!$J1055),ISNUMBER('자료_한국심리'!$K1055)),'자료_한국심리'!$J1055,"")</f>
        <v/>
      </c>
      <c r="Y1071">
        <f>IF(AND(ISNUMBER('자료_한국심리'!$M1055),ISNUMBER('자료_한국심리'!$N1055)),'자료_한국심리'!$M1055,"")</f>
        <v/>
      </c>
    </row>
    <row r="1072">
      <c r="A1072" s="10">
        <f>IF(1054&gt;$E$5,"",SMALL($U$19:$U$4018,$E$6+1054))</f>
        <v/>
      </c>
      <c r="B1072" s="29">
        <f>IF(A1072="","",INDEX('자료_한국심리'!$B$3:$B$4002,MATCH(A1072,$U$19:$U$4018,0)))</f>
        <v/>
      </c>
      <c r="C1072" s="22">
        <f>IF(A1072="","",B1072/AVERAGE(B948:B1072)-1)</f>
        <v/>
      </c>
      <c r="D1072" s="29">
        <f>IF(A1072="","",IFERROR(INDEX('자료_한국심리'!$E$3:$E$4002,MATCH(A1072,$V$19:$V$4018,0)),D1071))</f>
        <v/>
      </c>
      <c r="E1072" s="30">
        <f>IF(A1072="","",IFERROR(INDEX('자료_한국심리'!$H$3:$H$4002,MATCH(A1072,$W$19:$W$4018,0)),E1071))</f>
        <v/>
      </c>
      <c r="F1072" s="30">
        <f>IF(A1072="","",IFERROR(INDEX('자료_한국심리'!$K$3:$K$4002,MATCH(A1072,$X$19:$X$4018,0)),F1071))</f>
        <v/>
      </c>
      <c r="G1072" s="30">
        <f>IF(AND(ISNUMBER(E1072),ISNUMBER(F1072)),ROUND(E1072-F1072,6),"")</f>
        <v/>
      </c>
      <c r="H1072" s="25">
        <f>IF(A1072="","",IFERROR(INDEX('자료_한국심리'!$N$3:$N$4002,MATCH(A1072,$Y$19:$Y$4018,0)),H1071))</f>
        <v/>
      </c>
      <c r="I1072" s="31">
        <f>IF(AND(ISNUMBER(H1072),ISNUMBER(H1052)),IF(H1052&gt;0,H1072/H1052-1,""),"")</f>
        <v/>
      </c>
      <c r="J1072">
        <f>IF(A1072="",0,IF(A1072&gt;$B$5,1,0))</f>
        <v/>
      </c>
      <c r="K1072" s="29">
        <f>IF(AND(J1072=1,ISNUMBER(D1072)),D1072,"")</f>
        <v/>
      </c>
      <c r="L1072" s="30">
        <f>IF(AND(J1072=1,ISNUMBER(G1072)),G1072,"")</f>
        <v/>
      </c>
      <c r="M1072" s="22">
        <f>IF(AND(J1072=1,ISNUMBER(C1072)),C1072,"")</f>
        <v/>
      </c>
      <c r="N1072" s="31">
        <f>IF(AND(J1072=1,ISNUMBER(I1072)),I1072,"")</f>
        <v/>
      </c>
      <c r="O1072" s="11">
        <f>IF(K1072="","",100-IF($G$13=1,50,(_xlfn.RANK.AVG(K1072,$K$19:$K$1518,1)-1)/($G$13-1)*100))</f>
        <v/>
      </c>
      <c r="P1072" s="11">
        <f>IF(L1072="","",100-IF($G$14=1,50,(_xlfn.RANK.AVG(L1072,$L$19:$L$1518,1)-1)/($G$14-1)*100))</f>
        <v/>
      </c>
      <c r="Q1072" s="11">
        <f>IF(M1072="","",IF($G$15=1,50,(_xlfn.RANK.AVG(M1072,$M$19:$M$1518,1)-1)/($G$15-1)*100))</f>
        <v/>
      </c>
      <c r="R1072" s="11">
        <f>IF(N1072="","",IF($G$16=1,50,(_xlfn.RANK.AVG(N1072,$N$19:$N$1518,1)-1)/($G$16-1)*100))</f>
        <v/>
      </c>
      <c r="S1072" s="11">
        <f>IF(COUNT(O1072:R1072)=4,ROUND(AVERAGE(O1072:R1072),6),"")</f>
        <v/>
      </c>
      <c r="U1072">
        <f>IF(AND(ISNUMBER('자료_한국심리'!$A1056),ISNUMBER('자료_한국심리'!$B1056)),'자료_한국심리'!$A1056,"")</f>
        <v/>
      </c>
      <c r="V1072">
        <f>IF(AND(ISNUMBER('자료_한국심리'!$D1056),ISNUMBER('자료_한국심리'!$E1056)),'자료_한국심리'!$D1056,"")</f>
        <v/>
      </c>
      <c r="W1072">
        <f>IF(AND(ISNUMBER('자료_한국심리'!$G1056),ISNUMBER('자료_한국심리'!$H1056)),'자료_한국심리'!$G1056,"")</f>
        <v/>
      </c>
      <c r="X1072">
        <f>IF(AND(ISNUMBER('자료_한국심리'!$J1056),ISNUMBER('자료_한국심리'!$K1056)),'자료_한국심리'!$J1056,"")</f>
        <v/>
      </c>
      <c r="Y1072">
        <f>IF(AND(ISNUMBER('자료_한국심리'!$M1056),ISNUMBER('자료_한국심리'!$N1056)),'자료_한국심리'!$M1056,"")</f>
        <v/>
      </c>
    </row>
    <row r="1073">
      <c r="A1073" s="10">
        <f>IF(1055&gt;$E$5,"",SMALL($U$19:$U$4018,$E$6+1055))</f>
        <v/>
      </c>
      <c r="B1073" s="29">
        <f>IF(A1073="","",INDEX('자료_한국심리'!$B$3:$B$4002,MATCH(A1073,$U$19:$U$4018,0)))</f>
        <v/>
      </c>
      <c r="C1073" s="22">
        <f>IF(A1073="","",B1073/AVERAGE(B949:B1073)-1)</f>
        <v/>
      </c>
      <c r="D1073" s="29">
        <f>IF(A1073="","",IFERROR(INDEX('자료_한국심리'!$E$3:$E$4002,MATCH(A1073,$V$19:$V$4018,0)),D1072))</f>
        <v/>
      </c>
      <c r="E1073" s="30">
        <f>IF(A1073="","",IFERROR(INDEX('자료_한국심리'!$H$3:$H$4002,MATCH(A1073,$W$19:$W$4018,0)),E1072))</f>
        <v/>
      </c>
      <c r="F1073" s="30">
        <f>IF(A1073="","",IFERROR(INDEX('자료_한국심리'!$K$3:$K$4002,MATCH(A1073,$X$19:$X$4018,0)),F1072))</f>
        <v/>
      </c>
      <c r="G1073" s="30">
        <f>IF(AND(ISNUMBER(E1073),ISNUMBER(F1073)),ROUND(E1073-F1073,6),"")</f>
        <v/>
      </c>
      <c r="H1073" s="25">
        <f>IF(A1073="","",IFERROR(INDEX('자료_한국심리'!$N$3:$N$4002,MATCH(A1073,$Y$19:$Y$4018,0)),H1072))</f>
        <v/>
      </c>
      <c r="I1073" s="31">
        <f>IF(AND(ISNUMBER(H1073),ISNUMBER(H1053)),IF(H1053&gt;0,H1073/H1053-1,""),"")</f>
        <v/>
      </c>
      <c r="J1073">
        <f>IF(A1073="",0,IF(A1073&gt;$B$5,1,0))</f>
        <v/>
      </c>
      <c r="K1073" s="29">
        <f>IF(AND(J1073=1,ISNUMBER(D1073)),D1073,"")</f>
        <v/>
      </c>
      <c r="L1073" s="30">
        <f>IF(AND(J1073=1,ISNUMBER(G1073)),G1073,"")</f>
        <v/>
      </c>
      <c r="M1073" s="22">
        <f>IF(AND(J1073=1,ISNUMBER(C1073)),C1073,"")</f>
        <v/>
      </c>
      <c r="N1073" s="31">
        <f>IF(AND(J1073=1,ISNUMBER(I1073)),I1073,"")</f>
        <v/>
      </c>
      <c r="O1073" s="11">
        <f>IF(K1073="","",100-IF($G$13=1,50,(_xlfn.RANK.AVG(K1073,$K$19:$K$1518,1)-1)/($G$13-1)*100))</f>
        <v/>
      </c>
      <c r="P1073" s="11">
        <f>IF(L1073="","",100-IF($G$14=1,50,(_xlfn.RANK.AVG(L1073,$L$19:$L$1518,1)-1)/($G$14-1)*100))</f>
        <v/>
      </c>
      <c r="Q1073" s="11">
        <f>IF(M1073="","",IF($G$15=1,50,(_xlfn.RANK.AVG(M1073,$M$19:$M$1518,1)-1)/($G$15-1)*100))</f>
        <v/>
      </c>
      <c r="R1073" s="11">
        <f>IF(N1073="","",IF($G$16=1,50,(_xlfn.RANK.AVG(N1073,$N$19:$N$1518,1)-1)/($G$16-1)*100))</f>
        <v/>
      </c>
      <c r="S1073" s="11">
        <f>IF(COUNT(O1073:R1073)=4,ROUND(AVERAGE(O1073:R1073),6),"")</f>
        <v/>
      </c>
      <c r="U1073">
        <f>IF(AND(ISNUMBER('자료_한국심리'!$A1057),ISNUMBER('자료_한국심리'!$B1057)),'자료_한국심리'!$A1057,"")</f>
        <v/>
      </c>
      <c r="V1073">
        <f>IF(AND(ISNUMBER('자료_한국심리'!$D1057),ISNUMBER('자료_한국심리'!$E1057)),'자료_한국심리'!$D1057,"")</f>
        <v/>
      </c>
      <c r="W1073">
        <f>IF(AND(ISNUMBER('자료_한국심리'!$G1057),ISNUMBER('자료_한국심리'!$H1057)),'자료_한국심리'!$G1057,"")</f>
        <v/>
      </c>
      <c r="X1073">
        <f>IF(AND(ISNUMBER('자료_한국심리'!$J1057),ISNUMBER('자료_한국심리'!$K1057)),'자료_한국심리'!$J1057,"")</f>
        <v/>
      </c>
      <c r="Y1073">
        <f>IF(AND(ISNUMBER('자료_한국심리'!$M1057),ISNUMBER('자료_한국심리'!$N1057)),'자료_한국심리'!$M1057,"")</f>
        <v/>
      </c>
    </row>
    <row r="1074">
      <c r="A1074" s="10">
        <f>IF(1056&gt;$E$5,"",SMALL($U$19:$U$4018,$E$6+1056))</f>
        <v/>
      </c>
      <c r="B1074" s="29">
        <f>IF(A1074="","",INDEX('자료_한국심리'!$B$3:$B$4002,MATCH(A1074,$U$19:$U$4018,0)))</f>
        <v/>
      </c>
      <c r="C1074" s="22">
        <f>IF(A1074="","",B1074/AVERAGE(B950:B1074)-1)</f>
        <v/>
      </c>
      <c r="D1074" s="29">
        <f>IF(A1074="","",IFERROR(INDEX('자료_한국심리'!$E$3:$E$4002,MATCH(A1074,$V$19:$V$4018,0)),D1073))</f>
        <v/>
      </c>
      <c r="E1074" s="30">
        <f>IF(A1074="","",IFERROR(INDEX('자료_한국심리'!$H$3:$H$4002,MATCH(A1074,$W$19:$W$4018,0)),E1073))</f>
        <v/>
      </c>
      <c r="F1074" s="30">
        <f>IF(A1074="","",IFERROR(INDEX('자료_한국심리'!$K$3:$K$4002,MATCH(A1074,$X$19:$X$4018,0)),F1073))</f>
        <v/>
      </c>
      <c r="G1074" s="30">
        <f>IF(AND(ISNUMBER(E1074),ISNUMBER(F1074)),ROUND(E1074-F1074,6),"")</f>
        <v/>
      </c>
      <c r="H1074" s="25">
        <f>IF(A1074="","",IFERROR(INDEX('자료_한국심리'!$N$3:$N$4002,MATCH(A1074,$Y$19:$Y$4018,0)),H1073))</f>
        <v/>
      </c>
      <c r="I1074" s="31">
        <f>IF(AND(ISNUMBER(H1074),ISNUMBER(H1054)),IF(H1054&gt;0,H1074/H1054-1,""),"")</f>
        <v/>
      </c>
      <c r="J1074">
        <f>IF(A1074="",0,IF(A1074&gt;$B$5,1,0))</f>
        <v/>
      </c>
      <c r="K1074" s="29">
        <f>IF(AND(J1074=1,ISNUMBER(D1074)),D1074,"")</f>
        <v/>
      </c>
      <c r="L1074" s="30">
        <f>IF(AND(J1074=1,ISNUMBER(G1074)),G1074,"")</f>
        <v/>
      </c>
      <c r="M1074" s="22">
        <f>IF(AND(J1074=1,ISNUMBER(C1074)),C1074,"")</f>
        <v/>
      </c>
      <c r="N1074" s="31">
        <f>IF(AND(J1074=1,ISNUMBER(I1074)),I1074,"")</f>
        <v/>
      </c>
      <c r="O1074" s="11">
        <f>IF(K1074="","",100-IF($G$13=1,50,(_xlfn.RANK.AVG(K1074,$K$19:$K$1518,1)-1)/($G$13-1)*100))</f>
        <v/>
      </c>
      <c r="P1074" s="11">
        <f>IF(L1074="","",100-IF($G$14=1,50,(_xlfn.RANK.AVG(L1074,$L$19:$L$1518,1)-1)/($G$14-1)*100))</f>
        <v/>
      </c>
      <c r="Q1074" s="11">
        <f>IF(M1074="","",IF($G$15=1,50,(_xlfn.RANK.AVG(M1074,$M$19:$M$1518,1)-1)/($G$15-1)*100))</f>
        <v/>
      </c>
      <c r="R1074" s="11">
        <f>IF(N1074="","",IF($G$16=1,50,(_xlfn.RANK.AVG(N1074,$N$19:$N$1518,1)-1)/($G$16-1)*100))</f>
        <v/>
      </c>
      <c r="S1074" s="11">
        <f>IF(COUNT(O1074:R1074)=4,ROUND(AVERAGE(O1074:R1074),6),"")</f>
        <v/>
      </c>
      <c r="U1074">
        <f>IF(AND(ISNUMBER('자료_한국심리'!$A1058),ISNUMBER('자료_한국심리'!$B1058)),'자료_한국심리'!$A1058,"")</f>
        <v/>
      </c>
      <c r="V1074">
        <f>IF(AND(ISNUMBER('자료_한국심리'!$D1058),ISNUMBER('자료_한국심리'!$E1058)),'자료_한국심리'!$D1058,"")</f>
        <v/>
      </c>
      <c r="W1074">
        <f>IF(AND(ISNUMBER('자료_한국심리'!$G1058),ISNUMBER('자료_한국심리'!$H1058)),'자료_한국심리'!$G1058,"")</f>
        <v/>
      </c>
      <c r="X1074">
        <f>IF(AND(ISNUMBER('자료_한국심리'!$J1058),ISNUMBER('자료_한국심리'!$K1058)),'자료_한국심리'!$J1058,"")</f>
        <v/>
      </c>
      <c r="Y1074">
        <f>IF(AND(ISNUMBER('자료_한국심리'!$M1058),ISNUMBER('자료_한국심리'!$N1058)),'자료_한국심리'!$M1058,"")</f>
        <v/>
      </c>
    </row>
    <row r="1075">
      <c r="A1075" s="10">
        <f>IF(1057&gt;$E$5,"",SMALL($U$19:$U$4018,$E$6+1057))</f>
        <v/>
      </c>
      <c r="B1075" s="29">
        <f>IF(A1075="","",INDEX('자료_한국심리'!$B$3:$B$4002,MATCH(A1075,$U$19:$U$4018,0)))</f>
        <v/>
      </c>
      <c r="C1075" s="22">
        <f>IF(A1075="","",B1075/AVERAGE(B951:B1075)-1)</f>
        <v/>
      </c>
      <c r="D1075" s="29">
        <f>IF(A1075="","",IFERROR(INDEX('자료_한국심리'!$E$3:$E$4002,MATCH(A1075,$V$19:$V$4018,0)),D1074))</f>
        <v/>
      </c>
      <c r="E1075" s="30">
        <f>IF(A1075="","",IFERROR(INDEX('자료_한국심리'!$H$3:$H$4002,MATCH(A1075,$W$19:$W$4018,0)),E1074))</f>
        <v/>
      </c>
      <c r="F1075" s="30">
        <f>IF(A1075="","",IFERROR(INDEX('자료_한국심리'!$K$3:$K$4002,MATCH(A1075,$X$19:$X$4018,0)),F1074))</f>
        <v/>
      </c>
      <c r="G1075" s="30">
        <f>IF(AND(ISNUMBER(E1075),ISNUMBER(F1075)),ROUND(E1075-F1075,6),"")</f>
        <v/>
      </c>
      <c r="H1075" s="25">
        <f>IF(A1075="","",IFERROR(INDEX('자료_한국심리'!$N$3:$N$4002,MATCH(A1075,$Y$19:$Y$4018,0)),H1074))</f>
        <v/>
      </c>
      <c r="I1075" s="31">
        <f>IF(AND(ISNUMBER(H1075),ISNUMBER(H1055)),IF(H1055&gt;0,H1075/H1055-1,""),"")</f>
        <v/>
      </c>
      <c r="J1075">
        <f>IF(A1075="",0,IF(A1075&gt;$B$5,1,0))</f>
        <v/>
      </c>
      <c r="K1075" s="29">
        <f>IF(AND(J1075=1,ISNUMBER(D1075)),D1075,"")</f>
        <v/>
      </c>
      <c r="L1075" s="30">
        <f>IF(AND(J1075=1,ISNUMBER(G1075)),G1075,"")</f>
        <v/>
      </c>
      <c r="M1075" s="22">
        <f>IF(AND(J1075=1,ISNUMBER(C1075)),C1075,"")</f>
        <v/>
      </c>
      <c r="N1075" s="31">
        <f>IF(AND(J1075=1,ISNUMBER(I1075)),I1075,"")</f>
        <v/>
      </c>
      <c r="O1075" s="11">
        <f>IF(K1075="","",100-IF($G$13=1,50,(_xlfn.RANK.AVG(K1075,$K$19:$K$1518,1)-1)/($G$13-1)*100))</f>
        <v/>
      </c>
      <c r="P1075" s="11">
        <f>IF(L1075="","",100-IF($G$14=1,50,(_xlfn.RANK.AVG(L1075,$L$19:$L$1518,1)-1)/($G$14-1)*100))</f>
        <v/>
      </c>
      <c r="Q1075" s="11">
        <f>IF(M1075="","",IF($G$15=1,50,(_xlfn.RANK.AVG(M1075,$M$19:$M$1518,1)-1)/($G$15-1)*100))</f>
        <v/>
      </c>
      <c r="R1075" s="11">
        <f>IF(N1075="","",IF($G$16=1,50,(_xlfn.RANK.AVG(N1075,$N$19:$N$1518,1)-1)/($G$16-1)*100))</f>
        <v/>
      </c>
      <c r="S1075" s="11">
        <f>IF(COUNT(O1075:R1075)=4,ROUND(AVERAGE(O1075:R1075),6),"")</f>
        <v/>
      </c>
      <c r="U1075">
        <f>IF(AND(ISNUMBER('자료_한국심리'!$A1059),ISNUMBER('자료_한국심리'!$B1059)),'자료_한국심리'!$A1059,"")</f>
        <v/>
      </c>
      <c r="V1075">
        <f>IF(AND(ISNUMBER('자료_한국심리'!$D1059),ISNUMBER('자료_한국심리'!$E1059)),'자료_한국심리'!$D1059,"")</f>
        <v/>
      </c>
      <c r="W1075">
        <f>IF(AND(ISNUMBER('자료_한국심리'!$G1059),ISNUMBER('자료_한국심리'!$H1059)),'자료_한국심리'!$G1059,"")</f>
        <v/>
      </c>
      <c r="X1075">
        <f>IF(AND(ISNUMBER('자료_한국심리'!$J1059),ISNUMBER('자료_한국심리'!$K1059)),'자료_한국심리'!$J1059,"")</f>
        <v/>
      </c>
      <c r="Y1075">
        <f>IF(AND(ISNUMBER('자료_한국심리'!$M1059),ISNUMBER('자료_한국심리'!$N1059)),'자료_한국심리'!$M1059,"")</f>
        <v/>
      </c>
    </row>
    <row r="1076">
      <c r="A1076" s="10">
        <f>IF(1058&gt;$E$5,"",SMALL($U$19:$U$4018,$E$6+1058))</f>
        <v/>
      </c>
      <c r="B1076" s="29">
        <f>IF(A1076="","",INDEX('자료_한국심리'!$B$3:$B$4002,MATCH(A1076,$U$19:$U$4018,0)))</f>
        <v/>
      </c>
      <c r="C1076" s="22">
        <f>IF(A1076="","",B1076/AVERAGE(B952:B1076)-1)</f>
        <v/>
      </c>
      <c r="D1076" s="29">
        <f>IF(A1076="","",IFERROR(INDEX('자료_한국심리'!$E$3:$E$4002,MATCH(A1076,$V$19:$V$4018,0)),D1075))</f>
        <v/>
      </c>
      <c r="E1076" s="30">
        <f>IF(A1076="","",IFERROR(INDEX('자료_한국심리'!$H$3:$H$4002,MATCH(A1076,$W$19:$W$4018,0)),E1075))</f>
        <v/>
      </c>
      <c r="F1076" s="30">
        <f>IF(A1076="","",IFERROR(INDEX('자료_한국심리'!$K$3:$K$4002,MATCH(A1076,$X$19:$X$4018,0)),F1075))</f>
        <v/>
      </c>
      <c r="G1076" s="30">
        <f>IF(AND(ISNUMBER(E1076),ISNUMBER(F1076)),ROUND(E1076-F1076,6),"")</f>
        <v/>
      </c>
      <c r="H1076" s="25">
        <f>IF(A1076="","",IFERROR(INDEX('자료_한국심리'!$N$3:$N$4002,MATCH(A1076,$Y$19:$Y$4018,0)),H1075))</f>
        <v/>
      </c>
      <c r="I1076" s="31">
        <f>IF(AND(ISNUMBER(H1076),ISNUMBER(H1056)),IF(H1056&gt;0,H1076/H1056-1,""),"")</f>
        <v/>
      </c>
      <c r="J1076">
        <f>IF(A1076="",0,IF(A1076&gt;$B$5,1,0))</f>
        <v/>
      </c>
      <c r="K1076" s="29">
        <f>IF(AND(J1076=1,ISNUMBER(D1076)),D1076,"")</f>
        <v/>
      </c>
      <c r="L1076" s="30">
        <f>IF(AND(J1076=1,ISNUMBER(G1076)),G1076,"")</f>
        <v/>
      </c>
      <c r="M1076" s="22">
        <f>IF(AND(J1076=1,ISNUMBER(C1076)),C1076,"")</f>
        <v/>
      </c>
      <c r="N1076" s="31">
        <f>IF(AND(J1076=1,ISNUMBER(I1076)),I1076,"")</f>
        <v/>
      </c>
      <c r="O1076" s="11">
        <f>IF(K1076="","",100-IF($G$13=1,50,(_xlfn.RANK.AVG(K1076,$K$19:$K$1518,1)-1)/($G$13-1)*100))</f>
        <v/>
      </c>
      <c r="P1076" s="11">
        <f>IF(L1076="","",100-IF($G$14=1,50,(_xlfn.RANK.AVG(L1076,$L$19:$L$1518,1)-1)/($G$14-1)*100))</f>
        <v/>
      </c>
      <c r="Q1076" s="11">
        <f>IF(M1076="","",IF($G$15=1,50,(_xlfn.RANK.AVG(M1076,$M$19:$M$1518,1)-1)/($G$15-1)*100))</f>
        <v/>
      </c>
      <c r="R1076" s="11">
        <f>IF(N1076="","",IF($G$16=1,50,(_xlfn.RANK.AVG(N1076,$N$19:$N$1518,1)-1)/($G$16-1)*100))</f>
        <v/>
      </c>
      <c r="S1076" s="11">
        <f>IF(COUNT(O1076:R1076)=4,ROUND(AVERAGE(O1076:R1076),6),"")</f>
        <v/>
      </c>
      <c r="U1076">
        <f>IF(AND(ISNUMBER('자료_한국심리'!$A1060),ISNUMBER('자료_한국심리'!$B1060)),'자료_한국심리'!$A1060,"")</f>
        <v/>
      </c>
      <c r="V1076">
        <f>IF(AND(ISNUMBER('자료_한국심리'!$D1060),ISNUMBER('자료_한국심리'!$E1060)),'자료_한국심리'!$D1060,"")</f>
        <v/>
      </c>
      <c r="W1076">
        <f>IF(AND(ISNUMBER('자료_한국심리'!$G1060),ISNUMBER('자료_한국심리'!$H1060)),'자료_한국심리'!$G1060,"")</f>
        <v/>
      </c>
      <c r="X1076">
        <f>IF(AND(ISNUMBER('자료_한국심리'!$J1060),ISNUMBER('자료_한국심리'!$K1060)),'자료_한국심리'!$J1060,"")</f>
        <v/>
      </c>
      <c r="Y1076">
        <f>IF(AND(ISNUMBER('자료_한국심리'!$M1060),ISNUMBER('자료_한국심리'!$N1060)),'자료_한국심리'!$M1060,"")</f>
        <v/>
      </c>
    </row>
    <row r="1077">
      <c r="A1077" s="10">
        <f>IF(1059&gt;$E$5,"",SMALL($U$19:$U$4018,$E$6+1059))</f>
        <v/>
      </c>
      <c r="B1077" s="29">
        <f>IF(A1077="","",INDEX('자료_한국심리'!$B$3:$B$4002,MATCH(A1077,$U$19:$U$4018,0)))</f>
        <v/>
      </c>
      <c r="C1077" s="22">
        <f>IF(A1077="","",B1077/AVERAGE(B953:B1077)-1)</f>
        <v/>
      </c>
      <c r="D1077" s="29">
        <f>IF(A1077="","",IFERROR(INDEX('자료_한국심리'!$E$3:$E$4002,MATCH(A1077,$V$19:$V$4018,0)),D1076))</f>
        <v/>
      </c>
      <c r="E1077" s="30">
        <f>IF(A1077="","",IFERROR(INDEX('자료_한국심리'!$H$3:$H$4002,MATCH(A1077,$W$19:$W$4018,0)),E1076))</f>
        <v/>
      </c>
      <c r="F1077" s="30">
        <f>IF(A1077="","",IFERROR(INDEX('자료_한국심리'!$K$3:$K$4002,MATCH(A1077,$X$19:$X$4018,0)),F1076))</f>
        <v/>
      </c>
      <c r="G1077" s="30">
        <f>IF(AND(ISNUMBER(E1077),ISNUMBER(F1077)),ROUND(E1077-F1077,6),"")</f>
        <v/>
      </c>
      <c r="H1077" s="25">
        <f>IF(A1077="","",IFERROR(INDEX('자료_한국심리'!$N$3:$N$4002,MATCH(A1077,$Y$19:$Y$4018,0)),H1076))</f>
        <v/>
      </c>
      <c r="I1077" s="31">
        <f>IF(AND(ISNUMBER(H1077),ISNUMBER(H1057)),IF(H1057&gt;0,H1077/H1057-1,""),"")</f>
        <v/>
      </c>
      <c r="J1077">
        <f>IF(A1077="",0,IF(A1077&gt;$B$5,1,0))</f>
        <v/>
      </c>
      <c r="K1077" s="29">
        <f>IF(AND(J1077=1,ISNUMBER(D1077)),D1077,"")</f>
        <v/>
      </c>
      <c r="L1077" s="30">
        <f>IF(AND(J1077=1,ISNUMBER(G1077)),G1077,"")</f>
        <v/>
      </c>
      <c r="M1077" s="22">
        <f>IF(AND(J1077=1,ISNUMBER(C1077)),C1077,"")</f>
        <v/>
      </c>
      <c r="N1077" s="31">
        <f>IF(AND(J1077=1,ISNUMBER(I1077)),I1077,"")</f>
        <v/>
      </c>
      <c r="O1077" s="11">
        <f>IF(K1077="","",100-IF($G$13=1,50,(_xlfn.RANK.AVG(K1077,$K$19:$K$1518,1)-1)/($G$13-1)*100))</f>
        <v/>
      </c>
      <c r="P1077" s="11">
        <f>IF(L1077="","",100-IF($G$14=1,50,(_xlfn.RANK.AVG(L1077,$L$19:$L$1518,1)-1)/($G$14-1)*100))</f>
        <v/>
      </c>
      <c r="Q1077" s="11">
        <f>IF(M1077="","",IF($G$15=1,50,(_xlfn.RANK.AVG(M1077,$M$19:$M$1518,1)-1)/($G$15-1)*100))</f>
        <v/>
      </c>
      <c r="R1077" s="11">
        <f>IF(N1077="","",IF($G$16=1,50,(_xlfn.RANK.AVG(N1077,$N$19:$N$1518,1)-1)/($G$16-1)*100))</f>
        <v/>
      </c>
      <c r="S1077" s="11">
        <f>IF(COUNT(O1077:R1077)=4,ROUND(AVERAGE(O1077:R1077),6),"")</f>
        <v/>
      </c>
      <c r="U1077">
        <f>IF(AND(ISNUMBER('자료_한국심리'!$A1061),ISNUMBER('자료_한국심리'!$B1061)),'자료_한국심리'!$A1061,"")</f>
        <v/>
      </c>
      <c r="V1077">
        <f>IF(AND(ISNUMBER('자료_한국심리'!$D1061),ISNUMBER('자료_한국심리'!$E1061)),'자료_한국심리'!$D1061,"")</f>
        <v/>
      </c>
      <c r="W1077">
        <f>IF(AND(ISNUMBER('자료_한국심리'!$G1061),ISNUMBER('자료_한국심리'!$H1061)),'자료_한국심리'!$G1061,"")</f>
        <v/>
      </c>
      <c r="X1077">
        <f>IF(AND(ISNUMBER('자료_한국심리'!$J1061),ISNUMBER('자료_한국심리'!$K1061)),'자료_한국심리'!$J1061,"")</f>
        <v/>
      </c>
      <c r="Y1077">
        <f>IF(AND(ISNUMBER('자료_한국심리'!$M1061),ISNUMBER('자료_한국심리'!$N1061)),'자료_한국심리'!$M1061,"")</f>
        <v/>
      </c>
    </row>
    <row r="1078">
      <c r="A1078" s="10">
        <f>IF(1060&gt;$E$5,"",SMALL($U$19:$U$4018,$E$6+1060))</f>
        <v/>
      </c>
      <c r="B1078" s="29">
        <f>IF(A1078="","",INDEX('자료_한국심리'!$B$3:$B$4002,MATCH(A1078,$U$19:$U$4018,0)))</f>
        <v/>
      </c>
      <c r="C1078" s="22">
        <f>IF(A1078="","",B1078/AVERAGE(B954:B1078)-1)</f>
        <v/>
      </c>
      <c r="D1078" s="29">
        <f>IF(A1078="","",IFERROR(INDEX('자료_한국심리'!$E$3:$E$4002,MATCH(A1078,$V$19:$V$4018,0)),D1077))</f>
        <v/>
      </c>
      <c r="E1078" s="30">
        <f>IF(A1078="","",IFERROR(INDEX('자료_한국심리'!$H$3:$H$4002,MATCH(A1078,$W$19:$W$4018,0)),E1077))</f>
        <v/>
      </c>
      <c r="F1078" s="30">
        <f>IF(A1078="","",IFERROR(INDEX('자료_한국심리'!$K$3:$K$4002,MATCH(A1078,$X$19:$X$4018,0)),F1077))</f>
        <v/>
      </c>
      <c r="G1078" s="30">
        <f>IF(AND(ISNUMBER(E1078),ISNUMBER(F1078)),ROUND(E1078-F1078,6),"")</f>
        <v/>
      </c>
      <c r="H1078" s="25">
        <f>IF(A1078="","",IFERROR(INDEX('자료_한국심리'!$N$3:$N$4002,MATCH(A1078,$Y$19:$Y$4018,0)),H1077))</f>
        <v/>
      </c>
      <c r="I1078" s="31">
        <f>IF(AND(ISNUMBER(H1078),ISNUMBER(H1058)),IF(H1058&gt;0,H1078/H1058-1,""),"")</f>
        <v/>
      </c>
      <c r="J1078">
        <f>IF(A1078="",0,IF(A1078&gt;$B$5,1,0))</f>
        <v/>
      </c>
      <c r="K1078" s="29">
        <f>IF(AND(J1078=1,ISNUMBER(D1078)),D1078,"")</f>
        <v/>
      </c>
      <c r="L1078" s="30">
        <f>IF(AND(J1078=1,ISNUMBER(G1078)),G1078,"")</f>
        <v/>
      </c>
      <c r="M1078" s="22">
        <f>IF(AND(J1078=1,ISNUMBER(C1078)),C1078,"")</f>
        <v/>
      </c>
      <c r="N1078" s="31">
        <f>IF(AND(J1078=1,ISNUMBER(I1078)),I1078,"")</f>
        <v/>
      </c>
      <c r="O1078" s="11">
        <f>IF(K1078="","",100-IF($G$13=1,50,(_xlfn.RANK.AVG(K1078,$K$19:$K$1518,1)-1)/($G$13-1)*100))</f>
        <v/>
      </c>
      <c r="P1078" s="11">
        <f>IF(L1078="","",100-IF($G$14=1,50,(_xlfn.RANK.AVG(L1078,$L$19:$L$1518,1)-1)/($G$14-1)*100))</f>
        <v/>
      </c>
      <c r="Q1078" s="11">
        <f>IF(M1078="","",IF($G$15=1,50,(_xlfn.RANK.AVG(M1078,$M$19:$M$1518,1)-1)/($G$15-1)*100))</f>
        <v/>
      </c>
      <c r="R1078" s="11">
        <f>IF(N1078="","",IF($G$16=1,50,(_xlfn.RANK.AVG(N1078,$N$19:$N$1518,1)-1)/($G$16-1)*100))</f>
        <v/>
      </c>
      <c r="S1078" s="11">
        <f>IF(COUNT(O1078:R1078)=4,ROUND(AVERAGE(O1078:R1078),6),"")</f>
        <v/>
      </c>
      <c r="U1078">
        <f>IF(AND(ISNUMBER('자료_한국심리'!$A1062),ISNUMBER('자료_한국심리'!$B1062)),'자료_한국심리'!$A1062,"")</f>
        <v/>
      </c>
      <c r="V1078">
        <f>IF(AND(ISNUMBER('자료_한국심리'!$D1062),ISNUMBER('자료_한국심리'!$E1062)),'자료_한국심리'!$D1062,"")</f>
        <v/>
      </c>
      <c r="W1078">
        <f>IF(AND(ISNUMBER('자료_한국심리'!$G1062),ISNUMBER('자료_한국심리'!$H1062)),'자료_한국심리'!$G1062,"")</f>
        <v/>
      </c>
      <c r="X1078">
        <f>IF(AND(ISNUMBER('자료_한국심리'!$J1062),ISNUMBER('자료_한국심리'!$K1062)),'자료_한국심리'!$J1062,"")</f>
        <v/>
      </c>
      <c r="Y1078">
        <f>IF(AND(ISNUMBER('자료_한국심리'!$M1062),ISNUMBER('자료_한국심리'!$N1062)),'자료_한국심리'!$M1062,"")</f>
        <v/>
      </c>
    </row>
    <row r="1079">
      <c r="A1079" s="10">
        <f>IF(1061&gt;$E$5,"",SMALL($U$19:$U$4018,$E$6+1061))</f>
        <v/>
      </c>
      <c r="B1079" s="29">
        <f>IF(A1079="","",INDEX('자료_한국심리'!$B$3:$B$4002,MATCH(A1079,$U$19:$U$4018,0)))</f>
        <v/>
      </c>
      <c r="C1079" s="22">
        <f>IF(A1079="","",B1079/AVERAGE(B955:B1079)-1)</f>
        <v/>
      </c>
      <c r="D1079" s="29">
        <f>IF(A1079="","",IFERROR(INDEX('자료_한국심리'!$E$3:$E$4002,MATCH(A1079,$V$19:$V$4018,0)),D1078))</f>
        <v/>
      </c>
      <c r="E1079" s="30">
        <f>IF(A1079="","",IFERROR(INDEX('자료_한국심리'!$H$3:$H$4002,MATCH(A1079,$W$19:$W$4018,0)),E1078))</f>
        <v/>
      </c>
      <c r="F1079" s="30">
        <f>IF(A1079="","",IFERROR(INDEX('자료_한국심리'!$K$3:$K$4002,MATCH(A1079,$X$19:$X$4018,0)),F1078))</f>
        <v/>
      </c>
      <c r="G1079" s="30">
        <f>IF(AND(ISNUMBER(E1079),ISNUMBER(F1079)),ROUND(E1079-F1079,6),"")</f>
        <v/>
      </c>
      <c r="H1079" s="25">
        <f>IF(A1079="","",IFERROR(INDEX('자료_한국심리'!$N$3:$N$4002,MATCH(A1079,$Y$19:$Y$4018,0)),H1078))</f>
        <v/>
      </c>
      <c r="I1079" s="31">
        <f>IF(AND(ISNUMBER(H1079),ISNUMBER(H1059)),IF(H1059&gt;0,H1079/H1059-1,""),"")</f>
        <v/>
      </c>
      <c r="J1079">
        <f>IF(A1079="",0,IF(A1079&gt;$B$5,1,0))</f>
        <v/>
      </c>
      <c r="K1079" s="29">
        <f>IF(AND(J1079=1,ISNUMBER(D1079)),D1079,"")</f>
        <v/>
      </c>
      <c r="L1079" s="30">
        <f>IF(AND(J1079=1,ISNUMBER(G1079)),G1079,"")</f>
        <v/>
      </c>
      <c r="M1079" s="22">
        <f>IF(AND(J1079=1,ISNUMBER(C1079)),C1079,"")</f>
        <v/>
      </c>
      <c r="N1079" s="31">
        <f>IF(AND(J1079=1,ISNUMBER(I1079)),I1079,"")</f>
        <v/>
      </c>
      <c r="O1079" s="11">
        <f>IF(K1079="","",100-IF($G$13=1,50,(_xlfn.RANK.AVG(K1079,$K$19:$K$1518,1)-1)/($G$13-1)*100))</f>
        <v/>
      </c>
      <c r="P1079" s="11">
        <f>IF(L1079="","",100-IF($G$14=1,50,(_xlfn.RANK.AVG(L1079,$L$19:$L$1518,1)-1)/($G$14-1)*100))</f>
        <v/>
      </c>
      <c r="Q1079" s="11">
        <f>IF(M1079="","",IF($G$15=1,50,(_xlfn.RANK.AVG(M1079,$M$19:$M$1518,1)-1)/($G$15-1)*100))</f>
        <v/>
      </c>
      <c r="R1079" s="11">
        <f>IF(N1079="","",IF($G$16=1,50,(_xlfn.RANK.AVG(N1079,$N$19:$N$1518,1)-1)/($G$16-1)*100))</f>
        <v/>
      </c>
      <c r="S1079" s="11">
        <f>IF(COUNT(O1079:R1079)=4,ROUND(AVERAGE(O1079:R1079),6),"")</f>
        <v/>
      </c>
      <c r="U1079">
        <f>IF(AND(ISNUMBER('자료_한국심리'!$A1063),ISNUMBER('자료_한국심리'!$B1063)),'자료_한국심리'!$A1063,"")</f>
        <v/>
      </c>
      <c r="V1079">
        <f>IF(AND(ISNUMBER('자료_한국심리'!$D1063),ISNUMBER('자료_한국심리'!$E1063)),'자료_한국심리'!$D1063,"")</f>
        <v/>
      </c>
      <c r="W1079">
        <f>IF(AND(ISNUMBER('자료_한국심리'!$G1063),ISNUMBER('자료_한국심리'!$H1063)),'자료_한국심리'!$G1063,"")</f>
        <v/>
      </c>
      <c r="X1079">
        <f>IF(AND(ISNUMBER('자료_한국심리'!$J1063),ISNUMBER('자료_한국심리'!$K1063)),'자료_한국심리'!$J1063,"")</f>
        <v/>
      </c>
      <c r="Y1079">
        <f>IF(AND(ISNUMBER('자료_한국심리'!$M1063),ISNUMBER('자료_한국심리'!$N1063)),'자료_한국심리'!$M1063,"")</f>
        <v/>
      </c>
    </row>
    <row r="1080">
      <c r="A1080" s="10">
        <f>IF(1062&gt;$E$5,"",SMALL($U$19:$U$4018,$E$6+1062))</f>
        <v/>
      </c>
      <c r="B1080" s="29">
        <f>IF(A1080="","",INDEX('자료_한국심리'!$B$3:$B$4002,MATCH(A1080,$U$19:$U$4018,0)))</f>
        <v/>
      </c>
      <c r="C1080" s="22">
        <f>IF(A1080="","",B1080/AVERAGE(B956:B1080)-1)</f>
        <v/>
      </c>
      <c r="D1080" s="29">
        <f>IF(A1080="","",IFERROR(INDEX('자료_한국심리'!$E$3:$E$4002,MATCH(A1080,$V$19:$V$4018,0)),D1079))</f>
        <v/>
      </c>
      <c r="E1080" s="30">
        <f>IF(A1080="","",IFERROR(INDEX('자료_한국심리'!$H$3:$H$4002,MATCH(A1080,$W$19:$W$4018,0)),E1079))</f>
        <v/>
      </c>
      <c r="F1080" s="30">
        <f>IF(A1080="","",IFERROR(INDEX('자료_한국심리'!$K$3:$K$4002,MATCH(A1080,$X$19:$X$4018,0)),F1079))</f>
        <v/>
      </c>
      <c r="G1080" s="30">
        <f>IF(AND(ISNUMBER(E1080),ISNUMBER(F1080)),ROUND(E1080-F1080,6),"")</f>
        <v/>
      </c>
      <c r="H1080" s="25">
        <f>IF(A1080="","",IFERROR(INDEX('자료_한국심리'!$N$3:$N$4002,MATCH(A1080,$Y$19:$Y$4018,0)),H1079))</f>
        <v/>
      </c>
      <c r="I1080" s="31">
        <f>IF(AND(ISNUMBER(H1080),ISNUMBER(H1060)),IF(H1060&gt;0,H1080/H1060-1,""),"")</f>
        <v/>
      </c>
      <c r="J1080">
        <f>IF(A1080="",0,IF(A1080&gt;$B$5,1,0))</f>
        <v/>
      </c>
      <c r="K1080" s="29">
        <f>IF(AND(J1080=1,ISNUMBER(D1080)),D1080,"")</f>
        <v/>
      </c>
      <c r="L1080" s="30">
        <f>IF(AND(J1080=1,ISNUMBER(G1080)),G1080,"")</f>
        <v/>
      </c>
      <c r="M1080" s="22">
        <f>IF(AND(J1080=1,ISNUMBER(C1080)),C1080,"")</f>
        <v/>
      </c>
      <c r="N1080" s="31">
        <f>IF(AND(J1080=1,ISNUMBER(I1080)),I1080,"")</f>
        <v/>
      </c>
      <c r="O1080" s="11">
        <f>IF(K1080="","",100-IF($G$13=1,50,(_xlfn.RANK.AVG(K1080,$K$19:$K$1518,1)-1)/($G$13-1)*100))</f>
        <v/>
      </c>
      <c r="P1080" s="11">
        <f>IF(L1080="","",100-IF($G$14=1,50,(_xlfn.RANK.AVG(L1080,$L$19:$L$1518,1)-1)/($G$14-1)*100))</f>
        <v/>
      </c>
      <c r="Q1080" s="11">
        <f>IF(M1080="","",IF($G$15=1,50,(_xlfn.RANK.AVG(M1080,$M$19:$M$1518,1)-1)/($G$15-1)*100))</f>
        <v/>
      </c>
      <c r="R1080" s="11">
        <f>IF(N1080="","",IF($G$16=1,50,(_xlfn.RANK.AVG(N1080,$N$19:$N$1518,1)-1)/($G$16-1)*100))</f>
        <v/>
      </c>
      <c r="S1080" s="11">
        <f>IF(COUNT(O1080:R1080)=4,ROUND(AVERAGE(O1080:R1080),6),"")</f>
        <v/>
      </c>
      <c r="U1080">
        <f>IF(AND(ISNUMBER('자료_한국심리'!$A1064),ISNUMBER('자료_한국심리'!$B1064)),'자료_한국심리'!$A1064,"")</f>
        <v/>
      </c>
      <c r="V1080">
        <f>IF(AND(ISNUMBER('자료_한국심리'!$D1064),ISNUMBER('자료_한국심리'!$E1064)),'자료_한국심리'!$D1064,"")</f>
        <v/>
      </c>
      <c r="W1080">
        <f>IF(AND(ISNUMBER('자료_한국심리'!$G1064),ISNUMBER('자료_한국심리'!$H1064)),'자료_한국심리'!$G1064,"")</f>
        <v/>
      </c>
      <c r="X1080">
        <f>IF(AND(ISNUMBER('자료_한국심리'!$J1064),ISNUMBER('자료_한국심리'!$K1064)),'자료_한국심리'!$J1064,"")</f>
        <v/>
      </c>
      <c r="Y1080">
        <f>IF(AND(ISNUMBER('자료_한국심리'!$M1064),ISNUMBER('자료_한국심리'!$N1064)),'자료_한국심리'!$M1064,"")</f>
        <v/>
      </c>
    </row>
    <row r="1081">
      <c r="A1081" s="10">
        <f>IF(1063&gt;$E$5,"",SMALL($U$19:$U$4018,$E$6+1063))</f>
        <v/>
      </c>
      <c r="B1081" s="29">
        <f>IF(A1081="","",INDEX('자료_한국심리'!$B$3:$B$4002,MATCH(A1081,$U$19:$U$4018,0)))</f>
        <v/>
      </c>
      <c r="C1081" s="22">
        <f>IF(A1081="","",B1081/AVERAGE(B957:B1081)-1)</f>
        <v/>
      </c>
      <c r="D1081" s="29">
        <f>IF(A1081="","",IFERROR(INDEX('자료_한국심리'!$E$3:$E$4002,MATCH(A1081,$V$19:$V$4018,0)),D1080))</f>
        <v/>
      </c>
      <c r="E1081" s="30">
        <f>IF(A1081="","",IFERROR(INDEX('자료_한국심리'!$H$3:$H$4002,MATCH(A1081,$W$19:$W$4018,0)),E1080))</f>
        <v/>
      </c>
      <c r="F1081" s="30">
        <f>IF(A1081="","",IFERROR(INDEX('자료_한국심리'!$K$3:$K$4002,MATCH(A1081,$X$19:$X$4018,0)),F1080))</f>
        <v/>
      </c>
      <c r="G1081" s="30">
        <f>IF(AND(ISNUMBER(E1081),ISNUMBER(F1081)),ROUND(E1081-F1081,6),"")</f>
        <v/>
      </c>
      <c r="H1081" s="25">
        <f>IF(A1081="","",IFERROR(INDEX('자료_한국심리'!$N$3:$N$4002,MATCH(A1081,$Y$19:$Y$4018,0)),H1080))</f>
        <v/>
      </c>
      <c r="I1081" s="31">
        <f>IF(AND(ISNUMBER(H1081),ISNUMBER(H1061)),IF(H1061&gt;0,H1081/H1061-1,""),"")</f>
        <v/>
      </c>
      <c r="J1081">
        <f>IF(A1081="",0,IF(A1081&gt;$B$5,1,0))</f>
        <v/>
      </c>
      <c r="K1081" s="29">
        <f>IF(AND(J1081=1,ISNUMBER(D1081)),D1081,"")</f>
        <v/>
      </c>
      <c r="L1081" s="30">
        <f>IF(AND(J1081=1,ISNUMBER(G1081)),G1081,"")</f>
        <v/>
      </c>
      <c r="M1081" s="22">
        <f>IF(AND(J1081=1,ISNUMBER(C1081)),C1081,"")</f>
        <v/>
      </c>
      <c r="N1081" s="31">
        <f>IF(AND(J1081=1,ISNUMBER(I1081)),I1081,"")</f>
        <v/>
      </c>
      <c r="O1081" s="11">
        <f>IF(K1081="","",100-IF($G$13=1,50,(_xlfn.RANK.AVG(K1081,$K$19:$K$1518,1)-1)/($G$13-1)*100))</f>
        <v/>
      </c>
      <c r="P1081" s="11">
        <f>IF(L1081="","",100-IF($G$14=1,50,(_xlfn.RANK.AVG(L1081,$L$19:$L$1518,1)-1)/($G$14-1)*100))</f>
        <v/>
      </c>
      <c r="Q1081" s="11">
        <f>IF(M1081="","",IF($G$15=1,50,(_xlfn.RANK.AVG(M1081,$M$19:$M$1518,1)-1)/($G$15-1)*100))</f>
        <v/>
      </c>
      <c r="R1081" s="11">
        <f>IF(N1081="","",IF($G$16=1,50,(_xlfn.RANK.AVG(N1081,$N$19:$N$1518,1)-1)/($G$16-1)*100))</f>
        <v/>
      </c>
      <c r="S1081" s="11">
        <f>IF(COUNT(O1081:R1081)=4,ROUND(AVERAGE(O1081:R1081),6),"")</f>
        <v/>
      </c>
      <c r="U1081">
        <f>IF(AND(ISNUMBER('자료_한국심리'!$A1065),ISNUMBER('자료_한국심리'!$B1065)),'자료_한국심리'!$A1065,"")</f>
        <v/>
      </c>
      <c r="V1081">
        <f>IF(AND(ISNUMBER('자료_한국심리'!$D1065),ISNUMBER('자료_한국심리'!$E1065)),'자료_한국심리'!$D1065,"")</f>
        <v/>
      </c>
      <c r="W1081">
        <f>IF(AND(ISNUMBER('자료_한국심리'!$G1065),ISNUMBER('자료_한국심리'!$H1065)),'자료_한국심리'!$G1065,"")</f>
        <v/>
      </c>
      <c r="X1081">
        <f>IF(AND(ISNUMBER('자료_한국심리'!$J1065),ISNUMBER('자료_한국심리'!$K1065)),'자료_한국심리'!$J1065,"")</f>
        <v/>
      </c>
      <c r="Y1081">
        <f>IF(AND(ISNUMBER('자료_한국심리'!$M1065),ISNUMBER('자료_한국심리'!$N1065)),'자료_한국심리'!$M1065,"")</f>
        <v/>
      </c>
    </row>
    <row r="1082">
      <c r="A1082" s="10">
        <f>IF(1064&gt;$E$5,"",SMALL($U$19:$U$4018,$E$6+1064))</f>
        <v/>
      </c>
      <c r="B1082" s="29">
        <f>IF(A1082="","",INDEX('자료_한국심리'!$B$3:$B$4002,MATCH(A1082,$U$19:$U$4018,0)))</f>
        <v/>
      </c>
      <c r="C1082" s="22">
        <f>IF(A1082="","",B1082/AVERAGE(B958:B1082)-1)</f>
        <v/>
      </c>
      <c r="D1082" s="29">
        <f>IF(A1082="","",IFERROR(INDEX('자료_한국심리'!$E$3:$E$4002,MATCH(A1082,$V$19:$V$4018,0)),D1081))</f>
        <v/>
      </c>
      <c r="E1082" s="30">
        <f>IF(A1082="","",IFERROR(INDEX('자료_한국심리'!$H$3:$H$4002,MATCH(A1082,$W$19:$W$4018,0)),E1081))</f>
        <v/>
      </c>
      <c r="F1082" s="30">
        <f>IF(A1082="","",IFERROR(INDEX('자료_한국심리'!$K$3:$K$4002,MATCH(A1082,$X$19:$X$4018,0)),F1081))</f>
        <v/>
      </c>
      <c r="G1082" s="30">
        <f>IF(AND(ISNUMBER(E1082),ISNUMBER(F1082)),ROUND(E1082-F1082,6),"")</f>
        <v/>
      </c>
      <c r="H1082" s="25">
        <f>IF(A1082="","",IFERROR(INDEX('자료_한국심리'!$N$3:$N$4002,MATCH(A1082,$Y$19:$Y$4018,0)),H1081))</f>
        <v/>
      </c>
      <c r="I1082" s="31">
        <f>IF(AND(ISNUMBER(H1082),ISNUMBER(H1062)),IF(H1062&gt;0,H1082/H1062-1,""),"")</f>
        <v/>
      </c>
      <c r="J1082">
        <f>IF(A1082="",0,IF(A1082&gt;$B$5,1,0))</f>
        <v/>
      </c>
      <c r="K1082" s="29">
        <f>IF(AND(J1082=1,ISNUMBER(D1082)),D1082,"")</f>
        <v/>
      </c>
      <c r="L1082" s="30">
        <f>IF(AND(J1082=1,ISNUMBER(G1082)),G1082,"")</f>
        <v/>
      </c>
      <c r="M1082" s="22">
        <f>IF(AND(J1082=1,ISNUMBER(C1082)),C1082,"")</f>
        <v/>
      </c>
      <c r="N1082" s="31">
        <f>IF(AND(J1082=1,ISNUMBER(I1082)),I1082,"")</f>
        <v/>
      </c>
      <c r="O1082" s="11">
        <f>IF(K1082="","",100-IF($G$13=1,50,(_xlfn.RANK.AVG(K1082,$K$19:$K$1518,1)-1)/($G$13-1)*100))</f>
        <v/>
      </c>
      <c r="P1082" s="11">
        <f>IF(L1082="","",100-IF($G$14=1,50,(_xlfn.RANK.AVG(L1082,$L$19:$L$1518,1)-1)/($G$14-1)*100))</f>
        <v/>
      </c>
      <c r="Q1082" s="11">
        <f>IF(M1082="","",IF($G$15=1,50,(_xlfn.RANK.AVG(M1082,$M$19:$M$1518,1)-1)/($G$15-1)*100))</f>
        <v/>
      </c>
      <c r="R1082" s="11">
        <f>IF(N1082="","",IF($G$16=1,50,(_xlfn.RANK.AVG(N1082,$N$19:$N$1518,1)-1)/($G$16-1)*100))</f>
        <v/>
      </c>
      <c r="S1082" s="11">
        <f>IF(COUNT(O1082:R1082)=4,ROUND(AVERAGE(O1082:R1082),6),"")</f>
        <v/>
      </c>
      <c r="U1082">
        <f>IF(AND(ISNUMBER('자료_한국심리'!$A1066),ISNUMBER('자료_한국심리'!$B1066)),'자료_한국심리'!$A1066,"")</f>
        <v/>
      </c>
      <c r="V1082">
        <f>IF(AND(ISNUMBER('자료_한국심리'!$D1066),ISNUMBER('자료_한국심리'!$E1066)),'자료_한국심리'!$D1066,"")</f>
        <v/>
      </c>
      <c r="W1082">
        <f>IF(AND(ISNUMBER('자료_한국심리'!$G1066),ISNUMBER('자료_한국심리'!$H1066)),'자료_한국심리'!$G1066,"")</f>
        <v/>
      </c>
      <c r="X1082">
        <f>IF(AND(ISNUMBER('자료_한국심리'!$J1066),ISNUMBER('자료_한국심리'!$K1066)),'자료_한국심리'!$J1066,"")</f>
        <v/>
      </c>
      <c r="Y1082">
        <f>IF(AND(ISNUMBER('자료_한국심리'!$M1066),ISNUMBER('자료_한국심리'!$N1066)),'자료_한국심리'!$M1066,"")</f>
        <v/>
      </c>
    </row>
    <row r="1083">
      <c r="A1083" s="10">
        <f>IF(1065&gt;$E$5,"",SMALL($U$19:$U$4018,$E$6+1065))</f>
        <v/>
      </c>
      <c r="B1083" s="29">
        <f>IF(A1083="","",INDEX('자료_한국심리'!$B$3:$B$4002,MATCH(A1083,$U$19:$U$4018,0)))</f>
        <v/>
      </c>
      <c r="C1083" s="22">
        <f>IF(A1083="","",B1083/AVERAGE(B959:B1083)-1)</f>
        <v/>
      </c>
      <c r="D1083" s="29">
        <f>IF(A1083="","",IFERROR(INDEX('자료_한국심리'!$E$3:$E$4002,MATCH(A1083,$V$19:$V$4018,0)),D1082))</f>
        <v/>
      </c>
      <c r="E1083" s="30">
        <f>IF(A1083="","",IFERROR(INDEX('자료_한국심리'!$H$3:$H$4002,MATCH(A1083,$W$19:$W$4018,0)),E1082))</f>
        <v/>
      </c>
      <c r="F1083" s="30">
        <f>IF(A1083="","",IFERROR(INDEX('자료_한국심리'!$K$3:$K$4002,MATCH(A1083,$X$19:$X$4018,0)),F1082))</f>
        <v/>
      </c>
      <c r="G1083" s="30">
        <f>IF(AND(ISNUMBER(E1083),ISNUMBER(F1083)),ROUND(E1083-F1083,6),"")</f>
        <v/>
      </c>
      <c r="H1083" s="25">
        <f>IF(A1083="","",IFERROR(INDEX('자료_한국심리'!$N$3:$N$4002,MATCH(A1083,$Y$19:$Y$4018,0)),H1082))</f>
        <v/>
      </c>
      <c r="I1083" s="31">
        <f>IF(AND(ISNUMBER(H1083),ISNUMBER(H1063)),IF(H1063&gt;0,H1083/H1063-1,""),"")</f>
        <v/>
      </c>
      <c r="J1083">
        <f>IF(A1083="",0,IF(A1083&gt;$B$5,1,0))</f>
        <v/>
      </c>
      <c r="K1083" s="29">
        <f>IF(AND(J1083=1,ISNUMBER(D1083)),D1083,"")</f>
        <v/>
      </c>
      <c r="L1083" s="30">
        <f>IF(AND(J1083=1,ISNUMBER(G1083)),G1083,"")</f>
        <v/>
      </c>
      <c r="M1083" s="22">
        <f>IF(AND(J1083=1,ISNUMBER(C1083)),C1083,"")</f>
        <v/>
      </c>
      <c r="N1083" s="31">
        <f>IF(AND(J1083=1,ISNUMBER(I1083)),I1083,"")</f>
        <v/>
      </c>
      <c r="O1083" s="11">
        <f>IF(K1083="","",100-IF($G$13=1,50,(_xlfn.RANK.AVG(K1083,$K$19:$K$1518,1)-1)/($G$13-1)*100))</f>
        <v/>
      </c>
      <c r="P1083" s="11">
        <f>IF(L1083="","",100-IF($G$14=1,50,(_xlfn.RANK.AVG(L1083,$L$19:$L$1518,1)-1)/($G$14-1)*100))</f>
        <v/>
      </c>
      <c r="Q1083" s="11">
        <f>IF(M1083="","",IF($G$15=1,50,(_xlfn.RANK.AVG(M1083,$M$19:$M$1518,1)-1)/($G$15-1)*100))</f>
        <v/>
      </c>
      <c r="R1083" s="11">
        <f>IF(N1083="","",IF($G$16=1,50,(_xlfn.RANK.AVG(N1083,$N$19:$N$1518,1)-1)/($G$16-1)*100))</f>
        <v/>
      </c>
      <c r="S1083" s="11">
        <f>IF(COUNT(O1083:R1083)=4,ROUND(AVERAGE(O1083:R1083),6),"")</f>
        <v/>
      </c>
      <c r="U1083">
        <f>IF(AND(ISNUMBER('자료_한국심리'!$A1067),ISNUMBER('자료_한국심리'!$B1067)),'자료_한국심리'!$A1067,"")</f>
        <v/>
      </c>
      <c r="V1083">
        <f>IF(AND(ISNUMBER('자료_한국심리'!$D1067),ISNUMBER('자료_한국심리'!$E1067)),'자료_한국심리'!$D1067,"")</f>
        <v/>
      </c>
      <c r="W1083">
        <f>IF(AND(ISNUMBER('자료_한국심리'!$G1067),ISNUMBER('자료_한국심리'!$H1067)),'자료_한국심리'!$G1067,"")</f>
        <v/>
      </c>
      <c r="X1083">
        <f>IF(AND(ISNUMBER('자료_한국심리'!$J1067),ISNUMBER('자료_한국심리'!$K1067)),'자료_한국심리'!$J1067,"")</f>
        <v/>
      </c>
      <c r="Y1083">
        <f>IF(AND(ISNUMBER('자료_한국심리'!$M1067),ISNUMBER('자료_한국심리'!$N1067)),'자료_한국심리'!$M1067,"")</f>
        <v/>
      </c>
    </row>
    <row r="1084">
      <c r="A1084" s="10">
        <f>IF(1066&gt;$E$5,"",SMALL($U$19:$U$4018,$E$6+1066))</f>
        <v/>
      </c>
      <c r="B1084" s="29">
        <f>IF(A1084="","",INDEX('자료_한국심리'!$B$3:$B$4002,MATCH(A1084,$U$19:$U$4018,0)))</f>
        <v/>
      </c>
      <c r="C1084" s="22">
        <f>IF(A1084="","",B1084/AVERAGE(B960:B1084)-1)</f>
        <v/>
      </c>
      <c r="D1084" s="29">
        <f>IF(A1084="","",IFERROR(INDEX('자료_한국심리'!$E$3:$E$4002,MATCH(A1084,$V$19:$V$4018,0)),D1083))</f>
        <v/>
      </c>
      <c r="E1084" s="30">
        <f>IF(A1084="","",IFERROR(INDEX('자료_한국심리'!$H$3:$H$4002,MATCH(A1084,$W$19:$W$4018,0)),E1083))</f>
        <v/>
      </c>
      <c r="F1084" s="30">
        <f>IF(A1084="","",IFERROR(INDEX('자료_한국심리'!$K$3:$K$4002,MATCH(A1084,$X$19:$X$4018,0)),F1083))</f>
        <v/>
      </c>
      <c r="G1084" s="30">
        <f>IF(AND(ISNUMBER(E1084),ISNUMBER(F1084)),ROUND(E1084-F1084,6),"")</f>
        <v/>
      </c>
      <c r="H1084" s="25">
        <f>IF(A1084="","",IFERROR(INDEX('자료_한국심리'!$N$3:$N$4002,MATCH(A1084,$Y$19:$Y$4018,0)),H1083))</f>
        <v/>
      </c>
      <c r="I1084" s="31">
        <f>IF(AND(ISNUMBER(H1084),ISNUMBER(H1064)),IF(H1064&gt;0,H1084/H1064-1,""),"")</f>
        <v/>
      </c>
      <c r="J1084">
        <f>IF(A1084="",0,IF(A1084&gt;$B$5,1,0))</f>
        <v/>
      </c>
      <c r="K1084" s="29">
        <f>IF(AND(J1084=1,ISNUMBER(D1084)),D1084,"")</f>
        <v/>
      </c>
      <c r="L1084" s="30">
        <f>IF(AND(J1084=1,ISNUMBER(G1084)),G1084,"")</f>
        <v/>
      </c>
      <c r="M1084" s="22">
        <f>IF(AND(J1084=1,ISNUMBER(C1084)),C1084,"")</f>
        <v/>
      </c>
      <c r="N1084" s="31">
        <f>IF(AND(J1084=1,ISNUMBER(I1084)),I1084,"")</f>
        <v/>
      </c>
      <c r="O1084" s="11">
        <f>IF(K1084="","",100-IF($G$13=1,50,(_xlfn.RANK.AVG(K1084,$K$19:$K$1518,1)-1)/($G$13-1)*100))</f>
        <v/>
      </c>
      <c r="P1084" s="11">
        <f>IF(L1084="","",100-IF($G$14=1,50,(_xlfn.RANK.AVG(L1084,$L$19:$L$1518,1)-1)/($G$14-1)*100))</f>
        <v/>
      </c>
      <c r="Q1084" s="11">
        <f>IF(M1084="","",IF($G$15=1,50,(_xlfn.RANK.AVG(M1084,$M$19:$M$1518,1)-1)/($G$15-1)*100))</f>
        <v/>
      </c>
      <c r="R1084" s="11">
        <f>IF(N1084="","",IF($G$16=1,50,(_xlfn.RANK.AVG(N1084,$N$19:$N$1518,1)-1)/($G$16-1)*100))</f>
        <v/>
      </c>
      <c r="S1084" s="11">
        <f>IF(COUNT(O1084:R1084)=4,ROUND(AVERAGE(O1084:R1084),6),"")</f>
        <v/>
      </c>
      <c r="U1084">
        <f>IF(AND(ISNUMBER('자료_한국심리'!$A1068),ISNUMBER('자료_한국심리'!$B1068)),'자료_한국심리'!$A1068,"")</f>
        <v/>
      </c>
      <c r="V1084">
        <f>IF(AND(ISNUMBER('자료_한국심리'!$D1068),ISNUMBER('자료_한국심리'!$E1068)),'자료_한국심리'!$D1068,"")</f>
        <v/>
      </c>
      <c r="W1084">
        <f>IF(AND(ISNUMBER('자료_한국심리'!$G1068),ISNUMBER('자료_한국심리'!$H1068)),'자료_한국심리'!$G1068,"")</f>
        <v/>
      </c>
      <c r="X1084">
        <f>IF(AND(ISNUMBER('자료_한국심리'!$J1068),ISNUMBER('자료_한국심리'!$K1068)),'자료_한국심리'!$J1068,"")</f>
        <v/>
      </c>
      <c r="Y1084">
        <f>IF(AND(ISNUMBER('자료_한국심리'!$M1068),ISNUMBER('자료_한국심리'!$N1068)),'자료_한국심리'!$M1068,"")</f>
        <v/>
      </c>
    </row>
    <row r="1085">
      <c r="A1085" s="10">
        <f>IF(1067&gt;$E$5,"",SMALL($U$19:$U$4018,$E$6+1067))</f>
        <v/>
      </c>
      <c r="B1085" s="29">
        <f>IF(A1085="","",INDEX('자료_한국심리'!$B$3:$B$4002,MATCH(A1085,$U$19:$U$4018,0)))</f>
        <v/>
      </c>
      <c r="C1085" s="22">
        <f>IF(A1085="","",B1085/AVERAGE(B961:B1085)-1)</f>
        <v/>
      </c>
      <c r="D1085" s="29">
        <f>IF(A1085="","",IFERROR(INDEX('자료_한국심리'!$E$3:$E$4002,MATCH(A1085,$V$19:$V$4018,0)),D1084))</f>
        <v/>
      </c>
      <c r="E1085" s="30">
        <f>IF(A1085="","",IFERROR(INDEX('자료_한국심리'!$H$3:$H$4002,MATCH(A1085,$W$19:$W$4018,0)),E1084))</f>
        <v/>
      </c>
      <c r="F1085" s="30">
        <f>IF(A1085="","",IFERROR(INDEX('자료_한국심리'!$K$3:$K$4002,MATCH(A1085,$X$19:$X$4018,0)),F1084))</f>
        <v/>
      </c>
      <c r="G1085" s="30">
        <f>IF(AND(ISNUMBER(E1085),ISNUMBER(F1085)),ROUND(E1085-F1085,6),"")</f>
        <v/>
      </c>
      <c r="H1085" s="25">
        <f>IF(A1085="","",IFERROR(INDEX('자료_한국심리'!$N$3:$N$4002,MATCH(A1085,$Y$19:$Y$4018,0)),H1084))</f>
        <v/>
      </c>
      <c r="I1085" s="31">
        <f>IF(AND(ISNUMBER(H1085),ISNUMBER(H1065)),IF(H1065&gt;0,H1085/H1065-1,""),"")</f>
        <v/>
      </c>
      <c r="J1085">
        <f>IF(A1085="",0,IF(A1085&gt;$B$5,1,0))</f>
        <v/>
      </c>
      <c r="K1085" s="29">
        <f>IF(AND(J1085=1,ISNUMBER(D1085)),D1085,"")</f>
        <v/>
      </c>
      <c r="L1085" s="30">
        <f>IF(AND(J1085=1,ISNUMBER(G1085)),G1085,"")</f>
        <v/>
      </c>
      <c r="M1085" s="22">
        <f>IF(AND(J1085=1,ISNUMBER(C1085)),C1085,"")</f>
        <v/>
      </c>
      <c r="N1085" s="31">
        <f>IF(AND(J1085=1,ISNUMBER(I1085)),I1085,"")</f>
        <v/>
      </c>
      <c r="O1085" s="11">
        <f>IF(K1085="","",100-IF($G$13=1,50,(_xlfn.RANK.AVG(K1085,$K$19:$K$1518,1)-1)/($G$13-1)*100))</f>
        <v/>
      </c>
      <c r="P1085" s="11">
        <f>IF(L1085="","",100-IF($G$14=1,50,(_xlfn.RANK.AVG(L1085,$L$19:$L$1518,1)-1)/($G$14-1)*100))</f>
        <v/>
      </c>
      <c r="Q1085" s="11">
        <f>IF(M1085="","",IF($G$15=1,50,(_xlfn.RANK.AVG(M1085,$M$19:$M$1518,1)-1)/($G$15-1)*100))</f>
        <v/>
      </c>
      <c r="R1085" s="11">
        <f>IF(N1085="","",IF($G$16=1,50,(_xlfn.RANK.AVG(N1085,$N$19:$N$1518,1)-1)/($G$16-1)*100))</f>
        <v/>
      </c>
      <c r="S1085" s="11">
        <f>IF(COUNT(O1085:R1085)=4,ROUND(AVERAGE(O1085:R1085),6),"")</f>
        <v/>
      </c>
      <c r="U1085">
        <f>IF(AND(ISNUMBER('자료_한국심리'!$A1069),ISNUMBER('자료_한국심리'!$B1069)),'자료_한국심리'!$A1069,"")</f>
        <v/>
      </c>
      <c r="V1085">
        <f>IF(AND(ISNUMBER('자료_한국심리'!$D1069),ISNUMBER('자료_한국심리'!$E1069)),'자료_한국심리'!$D1069,"")</f>
        <v/>
      </c>
      <c r="W1085">
        <f>IF(AND(ISNUMBER('자료_한국심리'!$G1069),ISNUMBER('자료_한국심리'!$H1069)),'자료_한국심리'!$G1069,"")</f>
        <v/>
      </c>
      <c r="X1085">
        <f>IF(AND(ISNUMBER('자료_한국심리'!$J1069),ISNUMBER('자료_한국심리'!$K1069)),'자료_한국심리'!$J1069,"")</f>
        <v/>
      </c>
      <c r="Y1085">
        <f>IF(AND(ISNUMBER('자료_한국심리'!$M1069),ISNUMBER('자료_한국심리'!$N1069)),'자료_한국심리'!$M1069,"")</f>
        <v/>
      </c>
    </row>
    <row r="1086">
      <c r="A1086" s="10">
        <f>IF(1068&gt;$E$5,"",SMALL($U$19:$U$4018,$E$6+1068))</f>
        <v/>
      </c>
      <c r="B1086" s="29">
        <f>IF(A1086="","",INDEX('자료_한국심리'!$B$3:$B$4002,MATCH(A1086,$U$19:$U$4018,0)))</f>
        <v/>
      </c>
      <c r="C1086" s="22">
        <f>IF(A1086="","",B1086/AVERAGE(B962:B1086)-1)</f>
        <v/>
      </c>
      <c r="D1086" s="29">
        <f>IF(A1086="","",IFERROR(INDEX('자료_한국심리'!$E$3:$E$4002,MATCH(A1086,$V$19:$V$4018,0)),D1085))</f>
        <v/>
      </c>
      <c r="E1086" s="30">
        <f>IF(A1086="","",IFERROR(INDEX('자료_한국심리'!$H$3:$H$4002,MATCH(A1086,$W$19:$W$4018,0)),E1085))</f>
        <v/>
      </c>
      <c r="F1086" s="30">
        <f>IF(A1086="","",IFERROR(INDEX('자료_한국심리'!$K$3:$K$4002,MATCH(A1086,$X$19:$X$4018,0)),F1085))</f>
        <v/>
      </c>
      <c r="G1086" s="30">
        <f>IF(AND(ISNUMBER(E1086),ISNUMBER(F1086)),ROUND(E1086-F1086,6),"")</f>
        <v/>
      </c>
      <c r="H1086" s="25">
        <f>IF(A1086="","",IFERROR(INDEX('자료_한국심리'!$N$3:$N$4002,MATCH(A1086,$Y$19:$Y$4018,0)),H1085))</f>
        <v/>
      </c>
      <c r="I1086" s="31">
        <f>IF(AND(ISNUMBER(H1086),ISNUMBER(H1066)),IF(H1066&gt;0,H1086/H1066-1,""),"")</f>
        <v/>
      </c>
      <c r="J1086">
        <f>IF(A1086="",0,IF(A1086&gt;$B$5,1,0))</f>
        <v/>
      </c>
      <c r="K1086" s="29">
        <f>IF(AND(J1086=1,ISNUMBER(D1086)),D1086,"")</f>
        <v/>
      </c>
      <c r="L1086" s="30">
        <f>IF(AND(J1086=1,ISNUMBER(G1086)),G1086,"")</f>
        <v/>
      </c>
      <c r="M1086" s="22">
        <f>IF(AND(J1086=1,ISNUMBER(C1086)),C1086,"")</f>
        <v/>
      </c>
      <c r="N1086" s="31">
        <f>IF(AND(J1086=1,ISNUMBER(I1086)),I1086,"")</f>
        <v/>
      </c>
      <c r="O1086" s="11">
        <f>IF(K1086="","",100-IF($G$13=1,50,(_xlfn.RANK.AVG(K1086,$K$19:$K$1518,1)-1)/($G$13-1)*100))</f>
        <v/>
      </c>
      <c r="P1086" s="11">
        <f>IF(L1086="","",100-IF($G$14=1,50,(_xlfn.RANK.AVG(L1086,$L$19:$L$1518,1)-1)/($G$14-1)*100))</f>
        <v/>
      </c>
      <c r="Q1086" s="11">
        <f>IF(M1086="","",IF($G$15=1,50,(_xlfn.RANK.AVG(M1086,$M$19:$M$1518,1)-1)/($G$15-1)*100))</f>
        <v/>
      </c>
      <c r="R1086" s="11">
        <f>IF(N1086="","",IF($G$16=1,50,(_xlfn.RANK.AVG(N1086,$N$19:$N$1518,1)-1)/($G$16-1)*100))</f>
        <v/>
      </c>
      <c r="S1086" s="11">
        <f>IF(COUNT(O1086:R1086)=4,ROUND(AVERAGE(O1086:R1086),6),"")</f>
        <v/>
      </c>
      <c r="U1086">
        <f>IF(AND(ISNUMBER('자료_한국심리'!$A1070),ISNUMBER('자료_한국심리'!$B1070)),'자료_한국심리'!$A1070,"")</f>
        <v/>
      </c>
      <c r="V1086">
        <f>IF(AND(ISNUMBER('자료_한국심리'!$D1070),ISNUMBER('자료_한국심리'!$E1070)),'자료_한국심리'!$D1070,"")</f>
        <v/>
      </c>
      <c r="W1086">
        <f>IF(AND(ISNUMBER('자료_한국심리'!$G1070),ISNUMBER('자료_한국심리'!$H1070)),'자료_한국심리'!$G1070,"")</f>
        <v/>
      </c>
      <c r="X1086">
        <f>IF(AND(ISNUMBER('자료_한국심리'!$J1070),ISNUMBER('자료_한국심리'!$K1070)),'자료_한국심리'!$J1070,"")</f>
        <v/>
      </c>
      <c r="Y1086">
        <f>IF(AND(ISNUMBER('자료_한국심리'!$M1070),ISNUMBER('자료_한국심리'!$N1070)),'자료_한국심리'!$M1070,"")</f>
        <v/>
      </c>
    </row>
    <row r="1087">
      <c r="A1087" s="10">
        <f>IF(1069&gt;$E$5,"",SMALL($U$19:$U$4018,$E$6+1069))</f>
        <v/>
      </c>
      <c r="B1087" s="29">
        <f>IF(A1087="","",INDEX('자료_한국심리'!$B$3:$B$4002,MATCH(A1087,$U$19:$U$4018,0)))</f>
        <v/>
      </c>
      <c r="C1087" s="22">
        <f>IF(A1087="","",B1087/AVERAGE(B963:B1087)-1)</f>
        <v/>
      </c>
      <c r="D1087" s="29">
        <f>IF(A1087="","",IFERROR(INDEX('자료_한국심리'!$E$3:$E$4002,MATCH(A1087,$V$19:$V$4018,0)),D1086))</f>
        <v/>
      </c>
      <c r="E1087" s="30">
        <f>IF(A1087="","",IFERROR(INDEX('자료_한국심리'!$H$3:$H$4002,MATCH(A1087,$W$19:$W$4018,0)),E1086))</f>
        <v/>
      </c>
      <c r="F1087" s="30">
        <f>IF(A1087="","",IFERROR(INDEX('자료_한국심리'!$K$3:$K$4002,MATCH(A1087,$X$19:$X$4018,0)),F1086))</f>
        <v/>
      </c>
      <c r="G1087" s="30">
        <f>IF(AND(ISNUMBER(E1087),ISNUMBER(F1087)),ROUND(E1087-F1087,6),"")</f>
        <v/>
      </c>
      <c r="H1087" s="25">
        <f>IF(A1087="","",IFERROR(INDEX('자료_한국심리'!$N$3:$N$4002,MATCH(A1087,$Y$19:$Y$4018,0)),H1086))</f>
        <v/>
      </c>
      <c r="I1087" s="31">
        <f>IF(AND(ISNUMBER(H1087),ISNUMBER(H1067)),IF(H1067&gt;0,H1087/H1067-1,""),"")</f>
        <v/>
      </c>
      <c r="J1087">
        <f>IF(A1087="",0,IF(A1087&gt;$B$5,1,0))</f>
        <v/>
      </c>
      <c r="K1087" s="29">
        <f>IF(AND(J1087=1,ISNUMBER(D1087)),D1087,"")</f>
        <v/>
      </c>
      <c r="L1087" s="30">
        <f>IF(AND(J1087=1,ISNUMBER(G1087)),G1087,"")</f>
        <v/>
      </c>
      <c r="M1087" s="22">
        <f>IF(AND(J1087=1,ISNUMBER(C1087)),C1087,"")</f>
        <v/>
      </c>
      <c r="N1087" s="31">
        <f>IF(AND(J1087=1,ISNUMBER(I1087)),I1087,"")</f>
        <v/>
      </c>
      <c r="O1087" s="11">
        <f>IF(K1087="","",100-IF($G$13=1,50,(_xlfn.RANK.AVG(K1087,$K$19:$K$1518,1)-1)/($G$13-1)*100))</f>
        <v/>
      </c>
      <c r="P1087" s="11">
        <f>IF(L1087="","",100-IF($G$14=1,50,(_xlfn.RANK.AVG(L1087,$L$19:$L$1518,1)-1)/($G$14-1)*100))</f>
        <v/>
      </c>
      <c r="Q1087" s="11">
        <f>IF(M1087="","",IF($G$15=1,50,(_xlfn.RANK.AVG(M1087,$M$19:$M$1518,1)-1)/($G$15-1)*100))</f>
        <v/>
      </c>
      <c r="R1087" s="11">
        <f>IF(N1087="","",IF($G$16=1,50,(_xlfn.RANK.AVG(N1087,$N$19:$N$1518,1)-1)/($G$16-1)*100))</f>
        <v/>
      </c>
      <c r="S1087" s="11">
        <f>IF(COUNT(O1087:R1087)=4,ROUND(AVERAGE(O1087:R1087),6),"")</f>
        <v/>
      </c>
      <c r="U1087">
        <f>IF(AND(ISNUMBER('자료_한국심리'!$A1071),ISNUMBER('자료_한국심리'!$B1071)),'자료_한국심리'!$A1071,"")</f>
        <v/>
      </c>
      <c r="V1087">
        <f>IF(AND(ISNUMBER('자료_한국심리'!$D1071),ISNUMBER('자료_한국심리'!$E1071)),'자료_한국심리'!$D1071,"")</f>
        <v/>
      </c>
      <c r="W1087">
        <f>IF(AND(ISNUMBER('자료_한국심리'!$G1071),ISNUMBER('자료_한국심리'!$H1071)),'자료_한국심리'!$G1071,"")</f>
        <v/>
      </c>
      <c r="X1087">
        <f>IF(AND(ISNUMBER('자료_한국심리'!$J1071),ISNUMBER('자료_한국심리'!$K1071)),'자료_한국심리'!$J1071,"")</f>
        <v/>
      </c>
      <c r="Y1087">
        <f>IF(AND(ISNUMBER('자료_한국심리'!$M1071),ISNUMBER('자료_한국심리'!$N1071)),'자료_한국심리'!$M1071,"")</f>
        <v/>
      </c>
    </row>
    <row r="1088">
      <c r="A1088" s="10">
        <f>IF(1070&gt;$E$5,"",SMALL($U$19:$U$4018,$E$6+1070))</f>
        <v/>
      </c>
      <c r="B1088" s="29">
        <f>IF(A1088="","",INDEX('자료_한국심리'!$B$3:$B$4002,MATCH(A1088,$U$19:$U$4018,0)))</f>
        <v/>
      </c>
      <c r="C1088" s="22">
        <f>IF(A1088="","",B1088/AVERAGE(B964:B1088)-1)</f>
        <v/>
      </c>
      <c r="D1088" s="29">
        <f>IF(A1088="","",IFERROR(INDEX('자료_한국심리'!$E$3:$E$4002,MATCH(A1088,$V$19:$V$4018,0)),D1087))</f>
        <v/>
      </c>
      <c r="E1088" s="30">
        <f>IF(A1088="","",IFERROR(INDEX('자료_한국심리'!$H$3:$H$4002,MATCH(A1088,$W$19:$W$4018,0)),E1087))</f>
        <v/>
      </c>
      <c r="F1088" s="30">
        <f>IF(A1088="","",IFERROR(INDEX('자료_한국심리'!$K$3:$K$4002,MATCH(A1088,$X$19:$X$4018,0)),F1087))</f>
        <v/>
      </c>
      <c r="G1088" s="30">
        <f>IF(AND(ISNUMBER(E1088),ISNUMBER(F1088)),ROUND(E1088-F1088,6),"")</f>
        <v/>
      </c>
      <c r="H1088" s="25">
        <f>IF(A1088="","",IFERROR(INDEX('자료_한국심리'!$N$3:$N$4002,MATCH(A1088,$Y$19:$Y$4018,0)),H1087))</f>
        <v/>
      </c>
      <c r="I1088" s="31">
        <f>IF(AND(ISNUMBER(H1088),ISNUMBER(H1068)),IF(H1068&gt;0,H1088/H1068-1,""),"")</f>
        <v/>
      </c>
      <c r="J1088">
        <f>IF(A1088="",0,IF(A1088&gt;$B$5,1,0))</f>
        <v/>
      </c>
      <c r="K1088" s="29">
        <f>IF(AND(J1088=1,ISNUMBER(D1088)),D1088,"")</f>
        <v/>
      </c>
      <c r="L1088" s="30">
        <f>IF(AND(J1088=1,ISNUMBER(G1088)),G1088,"")</f>
        <v/>
      </c>
      <c r="M1088" s="22">
        <f>IF(AND(J1088=1,ISNUMBER(C1088)),C1088,"")</f>
        <v/>
      </c>
      <c r="N1088" s="31">
        <f>IF(AND(J1088=1,ISNUMBER(I1088)),I1088,"")</f>
        <v/>
      </c>
      <c r="O1088" s="11">
        <f>IF(K1088="","",100-IF($G$13=1,50,(_xlfn.RANK.AVG(K1088,$K$19:$K$1518,1)-1)/($G$13-1)*100))</f>
        <v/>
      </c>
      <c r="P1088" s="11">
        <f>IF(L1088="","",100-IF($G$14=1,50,(_xlfn.RANK.AVG(L1088,$L$19:$L$1518,1)-1)/($G$14-1)*100))</f>
        <v/>
      </c>
      <c r="Q1088" s="11">
        <f>IF(M1088="","",IF($G$15=1,50,(_xlfn.RANK.AVG(M1088,$M$19:$M$1518,1)-1)/($G$15-1)*100))</f>
        <v/>
      </c>
      <c r="R1088" s="11">
        <f>IF(N1088="","",IF($G$16=1,50,(_xlfn.RANK.AVG(N1088,$N$19:$N$1518,1)-1)/($G$16-1)*100))</f>
        <v/>
      </c>
      <c r="S1088" s="11">
        <f>IF(COUNT(O1088:R1088)=4,ROUND(AVERAGE(O1088:R1088),6),"")</f>
        <v/>
      </c>
      <c r="U1088">
        <f>IF(AND(ISNUMBER('자료_한국심리'!$A1072),ISNUMBER('자료_한국심리'!$B1072)),'자료_한국심리'!$A1072,"")</f>
        <v/>
      </c>
      <c r="V1088">
        <f>IF(AND(ISNUMBER('자료_한국심리'!$D1072),ISNUMBER('자료_한국심리'!$E1072)),'자료_한국심리'!$D1072,"")</f>
        <v/>
      </c>
      <c r="W1088">
        <f>IF(AND(ISNUMBER('자료_한국심리'!$G1072),ISNUMBER('자료_한국심리'!$H1072)),'자료_한국심리'!$G1072,"")</f>
        <v/>
      </c>
      <c r="X1088">
        <f>IF(AND(ISNUMBER('자료_한국심리'!$J1072),ISNUMBER('자료_한국심리'!$K1072)),'자료_한국심리'!$J1072,"")</f>
        <v/>
      </c>
      <c r="Y1088">
        <f>IF(AND(ISNUMBER('자료_한국심리'!$M1072),ISNUMBER('자료_한국심리'!$N1072)),'자료_한국심리'!$M1072,"")</f>
        <v/>
      </c>
    </row>
    <row r="1089">
      <c r="A1089" s="10">
        <f>IF(1071&gt;$E$5,"",SMALL($U$19:$U$4018,$E$6+1071))</f>
        <v/>
      </c>
      <c r="B1089" s="29">
        <f>IF(A1089="","",INDEX('자료_한국심리'!$B$3:$B$4002,MATCH(A1089,$U$19:$U$4018,0)))</f>
        <v/>
      </c>
      <c r="C1089" s="22">
        <f>IF(A1089="","",B1089/AVERAGE(B965:B1089)-1)</f>
        <v/>
      </c>
      <c r="D1089" s="29">
        <f>IF(A1089="","",IFERROR(INDEX('자료_한국심리'!$E$3:$E$4002,MATCH(A1089,$V$19:$V$4018,0)),D1088))</f>
        <v/>
      </c>
      <c r="E1089" s="30">
        <f>IF(A1089="","",IFERROR(INDEX('자료_한국심리'!$H$3:$H$4002,MATCH(A1089,$W$19:$W$4018,0)),E1088))</f>
        <v/>
      </c>
      <c r="F1089" s="30">
        <f>IF(A1089="","",IFERROR(INDEX('자료_한국심리'!$K$3:$K$4002,MATCH(A1089,$X$19:$X$4018,0)),F1088))</f>
        <v/>
      </c>
      <c r="G1089" s="30">
        <f>IF(AND(ISNUMBER(E1089),ISNUMBER(F1089)),ROUND(E1089-F1089,6),"")</f>
        <v/>
      </c>
      <c r="H1089" s="25">
        <f>IF(A1089="","",IFERROR(INDEX('자료_한국심리'!$N$3:$N$4002,MATCH(A1089,$Y$19:$Y$4018,0)),H1088))</f>
        <v/>
      </c>
      <c r="I1089" s="31">
        <f>IF(AND(ISNUMBER(H1089),ISNUMBER(H1069)),IF(H1069&gt;0,H1089/H1069-1,""),"")</f>
        <v/>
      </c>
      <c r="J1089">
        <f>IF(A1089="",0,IF(A1089&gt;$B$5,1,0))</f>
        <v/>
      </c>
      <c r="K1089" s="29">
        <f>IF(AND(J1089=1,ISNUMBER(D1089)),D1089,"")</f>
        <v/>
      </c>
      <c r="L1089" s="30">
        <f>IF(AND(J1089=1,ISNUMBER(G1089)),G1089,"")</f>
        <v/>
      </c>
      <c r="M1089" s="22">
        <f>IF(AND(J1089=1,ISNUMBER(C1089)),C1089,"")</f>
        <v/>
      </c>
      <c r="N1089" s="31">
        <f>IF(AND(J1089=1,ISNUMBER(I1089)),I1089,"")</f>
        <v/>
      </c>
      <c r="O1089" s="11">
        <f>IF(K1089="","",100-IF($G$13=1,50,(_xlfn.RANK.AVG(K1089,$K$19:$K$1518,1)-1)/($G$13-1)*100))</f>
        <v/>
      </c>
      <c r="P1089" s="11">
        <f>IF(L1089="","",100-IF($G$14=1,50,(_xlfn.RANK.AVG(L1089,$L$19:$L$1518,1)-1)/($G$14-1)*100))</f>
        <v/>
      </c>
      <c r="Q1089" s="11">
        <f>IF(M1089="","",IF($G$15=1,50,(_xlfn.RANK.AVG(M1089,$M$19:$M$1518,1)-1)/($G$15-1)*100))</f>
        <v/>
      </c>
      <c r="R1089" s="11">
        <f>IF(N1089="","",IF($G$16=1,50,(_xlfn.RANK.AVG(N1089,$N$19:$N$1518,1)-1)/($G$16-1)*100))</f>
        <v/>
      </c>
      <c r="S1089" s="11">
        <f>IF(COUNT(O1089:R1089)=4,ROUND(AVERAGE(O1089:R1089),6),"")</f>
        <v/>
      </c>
      <c r="U1089">
        <f>IF(AND(ISNUMBER('자료_한국심리'!$A1073),ISNUMBER('자료_한국심리'!$B1073)),'자료_한국심리'!$A1073,"")</f>
        <v/>
      </c>
      <c r="V1089">
        <f>IF(AND(ISNUMBER('자료_한국심리'!$D1073),ISNUMBER('자료_한국심리'!$E1073)),'자료_한국심리'!$D1073,"")</f>
        <v/>
      </c>
      <c r="W1089">
        <f>IF(AND(ISNUMBER('자료_한국심리'!$G1073),ISNUMBER('자료_한국심리'!$H1073)),'자료_한국심리'!$G1073,"")</f>
        <v/>
      </c>
      <c r="X1089">
        <f>IF(AND(ISNUMBER('자료_한국심리'!$J1073),ISNUMBER('자료_한국심리'!$K1073)),'자료_한국심리'!$J1073,"")</f>
        <v/>
      </c>
      <c r="Y1089">
        <f>IF(AND(ISNUMBER('자료_한국심리'!$M1073),ISNUMBER('자료_한국심리'!$N1073)),'자료_한국심리'!$M1073,"")</f>
        <v/>
      </c>
    </row>
    <row r="1090">
      <c r="A1090" s="10">
        <f>IF(1072&gt;$E$5,"",SMALL($U$19:$U$4018,$E$6+1072))</f>
        <v/>
      </c>
      <c r="B1090" s="29">
        <f>IF(A1090="","",INDEX('자료_한국심리'!$B$3:$B$4002,MATCH(A1090,$U$19:$U$4018,0)))</f>
        <v/>
      </c>
      <c r="C1090" s="22">
        <f>IF(A1090="","",B1090/AVERAGE(B966:B1090)-1)</f>
        <v/>
      </c>
      <c r="D1090" s="29">
        <f>IF(A1090="","",IFERROR(INDEX('자료_한국심리'!$E$3:$E$4002,MATCH(A1090,$V$19:$V$4018,0)),D1089))</f>
        <v/>
      </c>
      <c r="E1090" s="30">
        <f>IF(A1090="","",IFERROR(INDEX('자료_한국심리'!$H$3:$H$4002,MATCH(A1090,$W$19:$W$4018,0)),E1089))</f>
        <v/>
      </c>
      <c r="F1090" s="30">
        <f>IF(A1090="","",IFERROR(INDEX('자료_한국심리'!$K$3:$K$4002,MATCH(A1090,$X$19:$X$4018,0)),F1089))</f>
        <v/>
      </c>
      <c r="G1090" s="30">
        <f>IF(AND(ISNUMBER(E1090),ISNUMBER(F1090)),ROUND(E1090-F1090,6),"")</f>
        <v/>
      </c>
      <c r="H1090" s="25">
        <f>IF(A1090="","",IFERROR(INDEX('자료_한국심리'!$N$3:$N$4002,MATCH(A1090,$Y$19:$Y$4018,0)),H1089))</f>
        <v/>
      </c>
      <c r="I1090" s="31">
        <f>IF(AND(ISNUMBER(H1090),ISNUMBER(H1070)),IF(H1070&gt;0,H1090/H1070-1,""),"")</f>
        <v/>
      </c>
      <c r="J1090">
        <f>IF(A1090="",0,IF(A1090&gt;$B$5,1,0))</f>
        <v/>
      </c>
      <c r="K1090" s="29">
        <f>IF(AND(J1090=1,ISNUMBER(D1090)),D1090,"")</f>
        <v/>
      </c>
      <c r="L1090" s="30">
        <f>IF(AND(J1090=1,ISNUMBER(G1090)),G1090,"")</f>
        <v/>
      </c>
      <c r="M1090" s="22">
        <f>IF(AND(J1090=1,ISNUMBER(C1090)),C1090,"")</f>
        <v/>
      </c>
      <c r="N1090" s="31">
        <f>IF(AND(J1090=1,ISNUMBER(I1090)),I1090,"")</f>
        <v/>
      </c>
      <c r="O1090" s="11">
        <f>IF(K1090="","",100-IF($G$13=1,50,(_xlfn.RANK.AVG(K1090,$K$19:$K$1518,1)-1)/($G$13-1)*100))</f>
        <v/>
      </c>
      <c r="P1090" s="11">
        <f>IF(L1090="","",100-IF($G$14=1,50,(_xlfn.RANK.AVG(L1090,$L$19:$L$1518,1)-1)/($G$14-1)*100))</f>
        <v/>
      </c>
      <c r="Q1090" s="11">
        <f>IF(M1090="","",IF($G$15=1,50,(_xlfn.RANK.AVG(M1090,$M$19:$M$1518,1)-1)/($G$15-1)*100))</f>
        <v/>
      </c>
      <c r="R1090" s="11">
        <f>IF(N1090="","",IF($G$16=1,50,(_xlfn.RANK.AVG(N1090,$N$19:$N$1518,1)-1)/($G$16-1)*100))</f>
        <v/>
      </c>
      <c r="S1090" s="11">
        <f>IF(COUNT(O1090:R1090)=4,ROUND(AVERAGE(O1090:R1090),6),"")</f>
        <v/>
      </c>
      <c r="U1090">
        <f>IF(AND(ISNUMBER('자료_한국심리'!$A1074),ISNUMBER('자료_한국심리'!$B1074)),'자료_한국심리'!$A1074,"")</f>
        <v/>
      </c>
      <c r="V1090">
        <f>IF(AND(ISNUMBER('자료_한국심리'!$D1074),ISNUMBER('자료_한국심리'!$E1074)),'자료_한국심리'!$D1074,"")</f>
        <v/>
      </c>
      <c r="W1090">
        <f>IF(AND(ISNUMBER('자료_한국심리'!$G1074),ISNUMBER('자료_한국심리'!$H1074)),'자료_한국심리'!$G1074,"")</f>
        <v/>
      </c>
      <c r="X1090">
        <f>IF(AND(ISNUMBER('자료_한국심리'!$J1074),ISNUMBER('자료_한국심리'!$K1074)),'자료_한국심리'!$J1074,"")</f>
        <v/>
      </c>
      <c r="Y1090">
        <f>IF(AND(ISNUMBER('자료_한국심리'!$M1074),ISNUMBER('자료_한국심리'!$N1074)),'자료_한국심리'!$M1074,"")</f>
        <v/>
      </c>
    </row>
    <row r="1091">
      <c r="A1091" s="10">
        <f>IF(1073&gt;$E$5,"",SMALL($U$19:$U$4018,$E$6+1073))</f>
        <v/>
      </c>
      <c r="B1091" s="29">
        <f>IF(A1091="","",INDEX('자료_한국심리'!$B$3:$B$4002,MATCH(A1091,$U$19:$U$4018,0)))</f>
        <v/>
      </c>
      <c r="C1091" s="22">
        <f>IF(A1091="","",B1091/AVERAGE(B967:B1091)-1)</f>
        <v/>
      </c>
      <c r="D1091" s="29">
        <f>IF(A1091="","",IFERROR(INDEX('자료_한국심리'!$E$3:$E$4002,MATCH(A1091,$V$19:$V$4018,0)),D1090))</f>
        <v/>
      </c>
      <c r="E1091" s="30">
        <f>IF(A1091="","",IFERROR(INDEX('자료_한국심리'!$H$3:$H$4002,MATCH(A1091,$W$19:$W$4018,0)),E1090))</f>
        <v/>
      </c>
      <c r="F1091" s="30">
        <f>IF(A1091="","",IFERROR(INDEX('자료_한국심리'!$K$3:$K$4002,MATCH(A1091,$X$19:$X$4018,0)),F1090))</f>
        <v/>
      </c>
      <c r="G1091" s="30">
        <f>IF(AND(ISNUMBER(E1091),ISNUMBER(F1091)),ROUND(E1091-F1091,6),"")</f>
        <v/>
      </c>
      <c r="H1091" s="25">
        <f>IF(A1091="","",IFERROR(INDEX('자료_한국심리'!$N$3:$N$4002,MATCH(A1091,$Y$19:$Y$4018,0)),H1090))</f>
        <v/>
      </c>
      <c r="I1091" s="31">
        <f>IF(AND(ISNUMBER(H1091),ISNUMBER(H1071)),IF(H1071&gt;0,H1091/H1071-1,""),"")</f>
        <v/>
      </c>
      <c r="J1091">
        <f>IF(A1091="",0,IF(A1091&gt;$B$5,1,0))</f>
        <v/>
      </c>
      <c r="K1091" s="29">
        <f>IF(AND(J1091=1,ISNUMBER(D1091)),D1091,"")</f>
        <v/>
      </c>
      <c r="L1091" s="30">
        <f>IF(AND(J1091=1,ISNUMBER(G1091)),G1091,"")</f>
        <v/>
      </c>
      <c r="M1091" s="22">
        <f>IF(AND(J1091=1,ISNUMBER(C1091)),C1091,"")</f>
        <v/>
      </c>
      <c r="N1091" s="31">
        <f>IF(AND(J1091=1,ISNUMBER(I1091)),I1091,"")</f>
        <v/>
      </c>
      <c r="O1091" s="11">
        <f>IF(K1091="","",100-IF($G$13=1,50,(_xlfn.RANK.AVG(K1091,$K$19:$K$1518,1)-1)/($G$13-1)*100))</f>
        <v/>
      </c>
      <c r="P1091" s="11">
        <f>IF(L1091="","",100-IF($G$14=1,50,(_xlfn.RANK.AVG(L1091,$L$19:$L$1518,1)-1)/($G$14-1)*100))</f>
        <v/>
      </c>
      <c r="Q1091" s="11">
        <f>IF(M1091="","",IF($G$15=1,50,(_xlfn.RANK.AVG(M1091,$M$19:$M$1518,1)-1)/($G$15-1)*100))</f>
        <v/>
      </c>
      <c r="R1091" s="11">
        <f>IF(N1091="","",IF($G$16=1,50,(_xlfn.RANK.AVG(N1091,$N$19:$N$1518,1)-1)/($G$16-1)*100))</f>
        <v/>
      </c>
      <c r="S1091" s="11">
        <f>IF(COUNT(O1091:R1091)=4,ROUND(AVERAGE(O1091:R1091),6),"")</f>
        <v/>
      </c>
      <c r="U1091">
        <f>IF(AND(ISNUMBER('자료_한국심리'!$A1075),ISNUMBER('자료_한국심리'!$B1075)),'자료_한국심리'!$A1075,"")</f>
        <v/>
      </c>
      <c r="V1091">
        <f>IF(AND(ISNUMBER('자료_한국심리'!$D1075),ISNUMBER('자료_한국심리'!$E1075)),'자료_한국심리'!$D1075,"")</f>
        <v/>
      </c>
      <c r="W1091">
        <f>IF(AND(ISNUMBER('자료_한국심리'!$G1075),ISNUMBER('자료_한국심리'!$H1075)),'자료_한국심리'!$G1075,"")</f>
        <v/>
      </c>
      <c r="X1091">
        <f>IF(AND(ISNUMBER('자료_한국심리'!$J1075),ISNUMBER('자료_한국심리'!$K1075)),'자료_한국심리'!$J1075,"")</f>
        <v/>
      </c>
      <c r="Y1091">
        <f>IF(AND(ISNUMBER('자료_한국심리'!$M1075),ISNUMBER('자료_한국심리'!$N1075)),'자료_한국심리'!$M1075,"")</f>
        <v/>
      </c>
    </row>
    <row r="1092">
      <c r="A1092" s="10">
        <f>IF(1074&gt;$E$5,"",SMALL($U$19:$U$4018,$E$6+1074))</f>
        <v/>
      </c>
      <c r="B1092" s="29">
        <f>IF(A1092="","",INDEX('자료_한국심리'!$B$3:$B$4002,MATCH(A1092,$U$19:$U$4018,0)))</f>
        <v/>
      </c>
      <c r="C1092" s="22">
        <f>IF(A1092="","",B1092/AVERAGE(B968:B1092)-1)</f>
        <v/>
      </c>
      <c r="D1092" s="29">
        <f>IF(A1092="","",IFERROR(INDEX('자료_한국심리'!$E$3:$E$4002,MATCH(A1092,$V$19:$V$4018,0)),D1091))</f>
        <v/>
      </c>
      <c r="E1092" s="30">
        <f>IF(A1092="","",IFERROR(INDEX('자료_한국심리'!$H$3:$H$4002,MATCH(A1092,$W$19:$W$4018,0)),E1091))</f>
        <v/>
      </c>
      <c r="F1092" s="30">
        <f>IF(A1092="","",IFERROR(INDEX('자료_한국심리'!$K$3:$K$4002,MATCH(A1092,$X$19:$X$4018,0)),F1091))</f>
        <v/>
      </c>
      <c r="G1092" s="30">
        <f>IF(AND(ISNUMBER(E1092),ISNUMBER(F1092)),ROUND(E1092-F1092,6),"")</f>
        <v/>
      </c>
      <c r="H1092" s="25">
        <f>IF(A1092="","",IFERROR(INDEX('자료_한국심리'!$N$3:$N$4002,MATCH(A1092,$Y$19:$Y$4018,0)),H1091))</f>
        <v/>
      </c>
      <c r="I1092" s="31">
        <f>IF(AND(ISNUMBER(H1092),ISNUMBER(H1072)),IF(H1072&gt;0,H1092/H1072-1,""),"")</f>
        <v/>
      </c>
      <c r="J1092">
        <f>IF(A1092="",0,IF(A1092&gt;$B$5,1,0))</f>
        <v/>
      </c>
      <c r="K1092" s="29">
        <f>IF(AND(J1092=1,ISNUMBER(D1092)),D1092,"")</f>
        <v/>
      </c>
      <c r="L1092" s="30">
        <f>IF(AND(J1092=1,ISNUMBER(G1092)),G1092,"")</f>
        <v/>
      </c>
      <c r="M1092" s="22">
        <f>IF(AND(J1092=1,ISNUMBER(C1092)),C1092,"")</f>
        <v/>
      </c>
      <c r="N1092" s="31">
        <f>IF(AND(J1092=1,ISNUMBER(I1092)),I1092,"")</f>
        <v/>
      </c>
      <c r="O1092" s="11">
        <f>IF(K1092="","",100-IF($G$13=1,50,(_xlfn.RANK.AVG(K1092,$K$19:$K$1518,1)-1)/($G$13-1)*100))</f>
        <v/>
      </c>
      <c r="P1092" s="11">
        <f>IF(L1092="","",100-IF($G$14=1,50,(_xlfn.RANK.AVG(L1092,$L$19:$L$1518,1)-1)/($G$14-1)*100))</f>
        <v/>
      </c>
      <c r="Q1092" s="11">
        <f>IF(M1092="","",IF($G$15=1,50,(_xlfn.RANK.AVG(M1092,$M$19:$M$1518,1)-1)/($G$15-1)*100))</f>
        <v/>
      </c>
      <c r="R1092" s="11">
        <f>IF(N1092="","",IF($G$16=1,50,(_xlfn.RANK.AVG(N1092,$N$19:$N$1518,1)-1)/($G$16-1)*100))</f>
        <v/>
      </c>
      <c r="S1092" s="11">
        <f>IF(COUNT(O1092:R1092)=4,ROUND(AVERAGE(O1092:R1092),6),"")</f>
        <v/>
      </c>
      <c r="U1092">
        <f>IF(AND(ISNUMBER('자료_한국심리'!$A1076),ISNUMBER('자료_한국심리'!$B1076)),'자료_한국심리'!$A1076,"")</f>
        <v/>
      </c>
      <c r="V1092">
        <f>IF(AND(ISNUMBER('자료_한국심리'!$D1076),ISNUMBER('자료_한국심리'!$E1076)),'자료_한국심리'!$D1076,"")</f>
        <v/>
      </c>
      <c r="W1092">
        <f>IF(AND(ISNUMBER('자료_한국심리'!$G1076),ISNUMBER('자료_한국심리'!$H1076)),'자료_한국심리'!$G1076,"")</f>
        <v/>
      </c>
      <c r="X1092">
        <f>IF(AND(ISNUMBER('자료_한국심리'!$J1076),ISNUMBER('자료_한국심리'!$K1076)),'자료_한국심리'!$J1076,"")</f>
        <v/>
      </c>
      <c r="Y1092">
        <f>IF(AND(ISNUMBER('자료_한국심리'!$M1076),ISNUMBER('자료_한국심리'!$N1076)),'자료_한국심리'!$M1076,"")</f>
        <v/>
      </c>
    </row>
    <row r="1093">
      <c r="A1093" s="10">
        <f>IF(1075&gt;$E$5,"",SMALL($U$19:$U$4018,$E$6+1075))</f>
        <v/>
      </c>
      <c r="B1093" s="29">
        <f>IF(A1093="","",INDEX('자료_한국심리'!$B$3:$B$4002,MATCH(A1093,$U$19:$U$4018,0)))</f>
        <v/>
      </c>
      <c r="C1093" s="22">
        <f>IF(A1093="","",B1093/AVERAGE(B969:B1093)-1)</f>
        <v/>
      </c>
      <c r="D1093" s="29">
        <f>IF(A1093="","",IFERROR(INDEX('자료_한국심리'!$E$3:$E$4002,MATCH(A1093,$V$19:$V$4018,0)),D1092))</f>
        <v/>
      </c>
      <c r="E1093" s="30">
        <f>IF(A1093="","",IFERROR(INDEX('자료_한국심리'!$H$3:$H$4002,MATCH(A1093,$W$19:$W$4018,0)),E1092))</f>
        <v/>
      </c>
      <c r="F1093" s="30">
        <f>IF(A1093="","",IFERROR(INDEX('자료_한국심리'!$K$3:$K$4002,MATCH(A1093,$X$19:$X$4018,0)),F1092))</f>
        <v/>
      </c>
      <c r="G1093" s="30">
        <f>IF(AND(ISNUMBER(E1093),ISNUMBER(F1093)),ROUND(E1093-F1093,6),"")</f>
        <v/>
      </c>
      <c r="H1093" s="25">
        <f>IF(A1093="","",IFERROR(INDEX('자료_한국심리'!$N$3:$N$4002,MATCH(A1093,$Y$19:$Y$4018,0)),H1092))</f>
        <v/>
      </c>
      <c r="I1093" s="31">
        <f>IF(AND(ISNUMBER(H1093),ISNUMBER(H1073)),IF(H1073&gt;0,H1093/H1073-1,""),"")</f>
        <v/>
      </c>
      <c r="J1093">
        <f>IF(A1093="",0,IF(A1093&gt;$B$5,1,0))</f>
        <v/>
      </c>
      <c r="K1093" s="29">
        <f>IF(AND(J1093=1,ISNUMBER(D1093)),D1093,"")</f>
        <v/>
      </c>
      <c r="L1093" s="30">
        <f>IF(AND(J1093=1,ISNUMBER(G1093)),G1093,"")</f>
        <v/>
      </c>
      <c r="M1093" s="22">
        <f>IF(AND(J1093=1,ISNUMBER(C1093)),C1093,"")</f>
        <v/>
      </c>
      <c r="N1093" s="31">
        <f>IF(AND(J1093=1,ISNUMBER(I1093)),I1093,"")</f>
        <v/>
      </c>
      <c r="O1093" s="11">
        <f>IF(K1093="","",100-IF($G$13=1,50,(_xlfn.RANK.AVG(K1093,$K$19:$K$1518,1)-1)/($G$13-1)*100))</f>
        <v/>
      </c>
      <c r="P1093" s="11">
        <f>IF(L1093="","",100-IF($G$14=1,50,(_xlfn.RANK.AVG(L1093,$L$19:$L$1518,1)-1)/($G$14-1)*100))</f>
        <v/>
      </c>
      <c r="Q1093" s="11">
        <f>IF(M1093="","",IF($G$15=1,50,(_xlfn.RANK.AVG(M1093,$M$19:$M$1518,1)-1)/($G$15-1)*100))</f>
        <v/>
      </c>
      <c r="R1093" s="11">
        <f>IF(N1093="","",IF($G$16=1,50,(_xlfn.RANK.AVG(N1093,$N$19:$N$1518,1)-1)/($G$16-1)*100))</f>
        <v/>
      </c>
      <c r="S1093" s="11">
        <f>IF(COUNT(O1093:R1093)=4,ROUND(AVERAGE(O1093:R1093),6),"")</f>
        <v/>
      </c>
      <c r="U1093">
        <f>IF(AND(ISNUMBER('자료_한국심리'!$A1077),ISNUMBER('자료_한국심리'!$B1077)),'자료_한국심리'!$A1077,"")</f>
        <v/>
      </c>
      <c r="V1093">
        <f>IF(AND(ISNUMBER('자료_한국심리'!$D1077),ISNUMBER('자료_한국심리'!$E1077)),'자료_한국심리'!$D1077,"")</f>
        <v/>
      </c>
      <c r="W1093">
        <f>IF(AND(ISNUMBER('자료_한국심리'!$G1077),ISNUMBER('자료_한국심리'!$H1077)),'자료_한국심리'!$G1077,"")</f>
        <v/>
      </c>
      <c r="X1093">
        <f>IF(AND(ISNUMBER('자료_한국심리'!$J1077),ISNUMBER('자료_한국심리'!$K1077)),'자료_한국심리'!$J1077,"")</f>
        <v/>
      </c>
      <c r="Y1093">
        <f>IF(AND(ISNUMBER('자료_한국심리'!$M1077),ISNUMBER('자료_한국심리'!$N1077)),'자료_한국심리'!$M1077,"")</f>
        <v/>
      </c>
    </row>
    <row r="1094">
      <c r="A1094" s="10">
        <f>IF(1076&gt;$E$5,"",SMALL($U$19:$U$4018,$E$6+1076))</f>
        <v/>
      </c>
      <c r="B1094" s="29">
        <f>IF(A1094="","",INDEX('자료_한국심리'!$B$3:$B$4002,MATCH(A1094,$U$19:$U$4018,0)))</f>
        <v/>
      </c>
      <c r="C1094" s="22">
        <f>IF(A1094="","",B1094/AVERAGE(B970:B1094)-1)</f>
        <v/>
      </c>
      <c r="D1094" s="29">
        <f>IF(A1094="","",IFERROR(INDEX('자료_한국심리'!$E$3:$E$4002,MATCH(A1094,$V$19:$V$4018,0)),D1093))</f>
        <v/>
      </c>
      <c r="E1094" s="30">
        <f>IF(A1094="","",IFERROR(INDEX('자료_한국심리'!$H$3:$H$4002,MATCH(A1094,$W$19:$W$4018,0)),E1093))</f>
        <v/>
      </c>
      <c r="F1094" s="30">
        <f>IF(A1094="","",IFERROR(INDEX('자료_한국심리'!$K$3:$K$4002,MATCH(A1094,$X$19:$X$4018,0)),F1093))</f>
        <v/>
      </c>
      <c r="G1094" s="30">
        <f>IF(AND(ISNUMBER(E1094),ISNUMBER(F1094)),ROUND(E1094-F1094,6),"")</f>
        <v/>
      </c>
      <c r="H1094" s="25">
        <f>IF(A1094="","",IFERROR(INDEX('자료_한국심리'!$N$3:$N$4002,MATCH(A1094,$Y$19:$Y$4018,0)),H1093))</f>
        <v/>
      </c>
      <c r="I1094" s="31">
        <f>IF(AND(ISNUMBER(H1094),ISNUMBER(H1074)),IF(H1074&gt;0,H1094/H1074-1,""),"")</f>
        <v/>
      </c>
      <c r="J1094">
        <f>IF(A1094="",0,IF(A1094&gt;$B$5,1,0))</f>
        <v/>
      </c>
      <c r="K1094" s="29">
        <f>IF(AND(J1094=1,ISNUMBER(D1094)),D1094,"")</f>
        <v/>
      </c>
      <c r="L1094" s="30">
        <f>IF(AND(J1094=1,ISNUMBER(G1094)),G1094,"")</f>
        <v/>
      </c>
      <c r="M1094" s="22">
        <f>IF(AND(J1094=1,ISNUMBER(C1094)),C1094,"")</f>
        <v/>
      </c>
      <c r="N1094" s="31">
        <f>IF(AND(J1094=1,ISNUMBER(I1094)),I1094,"")</f>
        <v/>
      </c>
      <c r="O1094" s="11">
        <f>IF(K1094="","",100-IF($G$13=1,50,(_xlfn.RANK.AVG(K1094,$K$19:$K$1518,1)-1)/($G$13-1)*100))</f>
        <v/>
      </c>
      <c r="P1094" s="11">
        <f>IF(L1094="","",100-IF($G$14=1,50,(_xlfn.RANK.AVG(L1094,$L$19:$L$1518,1)-1)/($G$14-1)*100))</f>
        <v/>
      </c>
      <c r="Q1094" s="11">
        <f>IF(M1094="","",IF($G$15=1,50,(_xlfn.RANK.AVG(M1094,$M$19:$M$1518,1)-1)/($G$15-1)*100))</f>
        <v/>
      </c>
      <c r="R1094" s="11">
        <f>IF(N1094="","",IF($G$16=1,50,(_xlfn.RANK.AVG(N1094,$N$19:$N$1518,1)-1)/($G$16-1)*100))</f>
        <v/>
      </c>
      <c r="S1094" s="11">
        <f>IF(COUNT(O1094:R1094)=4,ROUND(AVERAGE(O1094:R1094),6),"")</f>
        <v/>
      </c>
      <c r="U1094">
        <f>IF(AND(ISNUMBER('자료_한국심리'!$A1078),ISNUMBER('자료_한국심리'!$B1078)),'자료_한국심리'!$A1078,"")</f>
        <v/>
      </c>
      <c r="V1094">
        <f>IF(AND(ISNUMBER('자료_한국심리'!$D1078),ISNUMBER('자료_한국심리'!$E1078)),'자료_한국심리'!$D1078,"")</f>
        <v/>
      </c>
      <c r="W1094">
        <f>IF(AND(ISNUMBER('자료_한국심리'!$G1078),ISNUMBER('자료_한국심리'!$H1078)),'자료_한국심리'!$G1078,"")</f>
        <v/>
      </c>
      <c r="X1094">
        <f>IF(AND(ISNUMBER('자료_한국심리'!$J1078),ISNUMBER('자료_한국심리'!$K1078)),'자료_한국심리'!$J1078,"")</f>
        <v/>
      </c>
      <c r="Y1094">
        <f>IF(AND(ISNUMBER('자료_한국심리'!$M1078),ISNUMBER('자료_한국심리'!$N1078)),'자료_한국심리'!$M1078,"")</f>
        <v/>
      </c>
    </row>
    <row r="1095">
      <c r="A1095" s="10">
        <f>IF(1077&gt;$E$5,"",SMALL($U$19:$U$4018,$E$6+1077))</f>
        <v/>
      </c>
      <c r="B1095" s="29">
        <f>IF(A1095="","",INDEX('자료_한국심리'!$B$3:$B$4002,MATCH(A1095,$U$19:$U$4018,0)))</f>
        <v/>
      </c>
      <c r="C1095" s="22">
        <f>IF(A1095="","",B1095/AVERAGE(B971:B1095)-1)</f>
        <v/>
      </c>
      <c r="D1095" s="29">
        <f>IF(A1095="","",IFERROR(INDEX('자료_한국심리'!$E$3:$E$4002,MATCH(A1095,$V$19:$V$4018,0)),D1094))</f>
        <v/>
      </c>
      <c r="E1095" s="30">
        <f>IF(A1095="","",IFERROR(INDEX('자료_한국심리'!$H$3:$H$4002,MATCH(A1095,$W$19:$W$4018,0)),E1094))</f>
        <v/>
      </c>
      <c r="F1095" s="30">
        <f>IF(A1095="","",IFERROR(INDEX('자료_한국심리'!$K$3:$K$4002,MATCH(A1095,$X$19:$X$4018,0)),F1094))</f>
        <v/>
      </c>
      <c r="G1095" s="30">
        <f>IF(AND(ISNUMBER(E1095),ISNUMBER(F1095)),ROUND(E1095-F1095,6),"")</f>
        <v/>
      </c>
      <c r="H1095" s="25">
        <f>IF(A1095="","",IFERROR(INDEX('자료_한국심리'!$N$3:$N$4002,MATCH(A1095,$Y$19:$Y$4018,0)),H1094))</f>
        <v/>
      </c>
      <c r="I1095" s="31">
        <f>IF(AND(ISNUMBER(H1095),ISNUMBER(H1075)),IF(H1075&gt;0,H1095/H1075-1,""),"")</f>
        <v/>
      </c>
      <c r="J1095">
        <f>IF(A1095="",0,IF(A1095&gt;$B$5,1,0))</f>
        <v/>
      </c>
      <c r="K1095" s="29">
        <f>IF(AND(J1095=1,ISNUMBER(D1095)),D1095,"")</f>
        <v/>
      </c>
      <c r="L1095" s="30">
        <f>IF(AND(J1095=1,ISNUMBER(G1095)),G1095,"")</f>
        <v/>
      </c>
      <c r="M1095" s="22">
        <f>IF(AND(J1095=1,ISNUMBER(C1095)),C1095,"")</f>
        <v/>
      </c>
      <c r="N1095" s="31">
        <f>IF(AND(J1095=1,ISNUMBER(I1095)),I1095,"")</f>
        <v/>
      </c>
      <c r="O1095" s="11">
        <f>IF(K1095="","",100-IF($G$13=1,50,(_xlfn.RANK.AVG(K1095,$K$19:$K$1518,1)-1)/($G$13-1)*100))</f>
        <v/>
      </c>
      <c r="P1095" s="11">
        <f>IF(L1095="","",100-IF($G$14=1,50,(_xlfn.RANK.AVG(L1095,$L$19:$L$1518,1)-1)/($G$14-1)*100))</f>
        <v/>
      </c>
      <c r="Q1095" s="11">
        <f>IF(M1095="","",IF($G$15=1,50,(_xlfn.RANK.AVG(M1095,$M$19:$M$1518,1)-1)/($G$15-1)*100))</f>
        <v/>
      </c>
      <c r="R1095" s="11">
        <f>IF(N1095="","",IF($G$16=1,50,(_xlfn.RANK.AVG(N1095,$N$19:$N$1518,1)-1)/($G$16-1)*100))</f>
        <v/>
      </c>
      <c r="S1095" s="11">
        <f>IF(COUNT(O1095:R1095)=4,ROUND(AVERAGE(O1095:R1095),6),"")</f>
        <v/>
      </c>
      <c r="U1095">
        <f>IF(AND(ISNUMBER('자료_한국심리'!$A1079),ISNUMBER('자료_한국심리'!$B1079)),'자료_한국심리'!$A1079,"")</f>
        <v/>
      </c>
      <c r="V1095">
        <f>IF(AND(ISNUMBER('자료_한국심리'!$D1079),ISNUMBER('자료_한국심리'!$E1079)),'자료_한국심리'!$D1079,"")</f>
        <v/>
      </c>
      <c r="W1095">
        <f>IF(AND(ISNUMBER('자료_한국심리'!$G1079),ISNUMBER('자료_한국심리'!$H1079)),'자료_한국심리'!$G1079,"")</f>
        <v/>
      </c>
      <c r="X1095">
        <f>IF(AND(ISNUMBER('자료_한국심리'!$J1079),ISNUMBER('자료_한국심리'!$K1079)),'자료_한국심리'!$J1079,"")</f>
        <v/>
      </c>
      <c r="Y1095">
        <f>IF(AND(ISNUMBER('자료_한국심리'!$M1079),ISNUMBER('자료_한국심리'!$N1079)),'자료_한국심리'!$M1079,"")</f>
        <v/>
      </c>
    </row>
    <row r="1096">
      <c r="A1096" s="10">
        <f>IF(1078&gt;$E$5,"",SMALL($U$19:$U$4018,$E$6+1078))</f>
        <v/>
      </c>
      <c r="B1096" s="29">
        <f>IF(A1096="","",INDEX('자료_한국심리'!$B$3:$B$4002,MATCH(A1096,$U$19:$U$4018,0)))</f>
        <v/>
      </c>
      <c r="C1096" s="22">
        <f>IF(A1096="","",B1096/AVERAGE(B972:B1096)-1)</f>
        <v/>
      </c>
      <c r="D1096" s="29">
        <f>IF(A1096="","",IFERROR(INDEX('자료_한국심리'!$E$3:$E$4002,MATCH(A1096,$V$19:$V$4018,0)),D1095))</f>
        <v/>
      </c>
      <c r="E1096" s="30">
        <f>IF(A1096="","",IFERROR(INDEX('자료_한국심리'!$H$3:$H$4002,MATCH(A1096,$W$19:$W$4018,0)),E1095))</f>
        <v/>
      </c>
      <c r="F1096" s="30">
        <f>IF(A1096="","",IFERROR(INDEX('자료_한국심리'!$K$3:$K$4002,MATCH(A1096,$X$19:$X$4018,0)),F1095))</f>
        <v/>
      </c>
      <c r="G1096" s="30">
        <f>IF(AND(ISNUMBER(E1096),ISNUMBER(F1096)),ROUND(E1096-F1096,6),"")</f>
        <v/>
      </c>
      <c r="H1096" s="25">
        <f>IF(A1096="","",IFERROR(INDEX('자료_한국심리'!$N$3:$N$4002,MATCH(A1096,$Y$19:$Y$4018,0)),H1095))</f>
        <v/>
      </c>
      <c r="I1096" s="31">
        <f>IF(AND(ISNUMBER(H1096),ISNUMBER(H1076)),IF(H1076&gt;0,H1096/H1076-1,""),"")</f>
        <v/>
      </c>
      <c r="J1096">
        <f>IF(A1096="",0,IF(A1096&gt;$B$5,1,0))</f>
        <v/>
      </c>
      <c r="K1096" s="29">
        <f>IF(AND(J1096=1,ISNUMBER(D1096)),D1096,"")</f>
        <v/>
      </c>
      <c r="L1096" s="30">
        <f>IF(AND(J1096=1,ISNUMBER(G1096)),G1096,"")</f>
        <v/>
      </c>
      <c r="M1096" s="22">
        <f>IF(AND(J1096=1,ISNUMBER(C1096)),C1096,"")</f>
        <v/>
      </c>
      <c r="N1096" s="31">
        <f>IF(AND(J1096=1,ISNUMBER(I1096)),I1096,"")</f>
        <v/>
      </c>
      <c r="O1096" s="11">
        <f>IF(K1096="","",100-IF($G$13=1,50,(_xlfn.RANK.AVG(K1096,$K$19:$K$1518,1)-1)/($G$13-1)*100))</f>
        <v/>
      </c>
      <c r="P1096" s="11">
        <f>IF(L1096="","",100-IF($G$14=1,50,(_xlfn.RANK.AVG(L1096,$L$19:$L$1518,1)-1)/($G$14-1)*100))</f>
        <v/>
      </c>
      <c r="Q1096" s="11">
        <f>IF(M1096="","",IF($G$15=1,50,(_xlfn.RANK.AVG(M1096,$M$19:$M$1518,1)-1)/($G$15-1)*100))</f>
        <v/>
      </c>
      <c r="R1096" s="11">
        <f>IF(N1096="","",IF($G$16=1,50,(_xlfn.RANK.AVG(N1096,$N$19:$N$1518,1)-1)/($G$16-1)*100))</f>
        <v/>
      </c>
      <c r="S1096" s="11">
        <f>IF(COUNT(O1096:R1096)=4,ROUND(AVERAGE(O1096:R1096),6),"")</f>
        <v/>
      </c>
      <c r="U1096">
        <f>IF(AND(ISNUMBER('자료_한국심리'!$A1080),ISNUMBER('자료_한국심리'!$B1080)),'자료_한국심리'!$A1080,"")</f>
        <v/>
      </c>
      <c r="V1096">
        <f>IF(AND(ISNUMBER('자료_한국심리'!$D1080),ISNUMBER('자료_한국심리'!$E1080)),'자료_한국심리'!$D1080,"")</f>
        <v/>
      </c>
      <c r="W1096">
        <f>IF(AND(ISNUMBER('자료_한국심리'!$G1080),ISNUMBER('자료_한국심리'!$H1080)),'자료_한국심리'!$G1080,"")</f>
        <v/>
      </c>
      <c r="X1096">
        <f>IF(AND(ISNUMBER('자료_한국심리'!$J1080),ISNUMBER('자료_한국심리'!$K1080)),'자료_한국심리'!$J1080,"")</f>
        <v/>
      </c>
      <c r="Y1096">
        <f>IF(AND(ISNUMBER('자료_한국심리'!$M1080),ISNUMBER('자료_한국심리'!$N1080)),'자료_한국심리'!$M1080,"")</f>
        <v/>
      </c>
    </row>
    <row r="1097">
      <c r="A1097" s="10">
        <f>IF(1079&gt;$E$5,"",SMALL($U$19:$U$4018,$E$6+1079))</f>
        <v/>
      </c>
      <c r="B1097" s="29">
        <f>IF(A1097="","",INDEX('자료_한국심리'!$B$3:$B$4002,MATCH(A1097,$U$19:$U$4018,0)))</f>
        <v/>
      </c>
      <c r="C1097" s="22">
        <f>IF(A1097="","",B1097/AVERAGE(B973:B1097)-1)</f>
        <v/>
      </c>
      <c r="D1097" s="29">
        <f>IF(A1097="","",IFERROR(INDEX('자료_한국심리'!$E$3:$E$4002,MATCH(A1097,$V$19:$V$4018,0)),D1096))</f>
        <v/>
      </c>
      <c r="E1097" s="30">
        <f>IF(A1097="","",IFERROR(INDEX('자료_한국심리'!$H$3:$H$4002,MATCH(A1097,$W$19:$W$4018,0)),E1096))</f>
        <v/>
      </c>
      <c r="F1097" s="30">
        <f>IF(A1097="","",IFERROR(INDEX('자료_한국심리'!$K$3:$K$4002,MATCH(A1097,$X$19:$X$4018,0)),F1096))</f>
        <v/>
      </c>
      <c r="G1097" s="30">
        <f>IF(AND(ISNUMBER(E1097),ISNUMBER(F1097)),ROUND(E1097-F1097,6),"")</f>
        <v/>
      </c>
      <c r="H1097" s="25">
        <f>IF(A1097="","",IFERROR(INDEX('자료_한국심리'!$N$3:$N$4002,MATCH(A1097,$Y$19:$Y$4018,0)),H1096))</f>
        <v/>
      </c>
      <c r="I1097" s="31">
        <f>IF(AND(ISNUMBER(H1097),ISNUMBER(H1077)),IF(H1077&gt;0,H1097/H1077-1,""),"")</f>
        <v/>
      </c>
      <c r="J1097">
        <f>IF(A1097="",0,IF(A1097&gt;$B$5,1,0))</f>
        <v/>
      </c>
      <c r="K1097" s="29">
        <f>IF(AND(J1097=1,ISNUMBER(D1097)),D1097,"")</f>
        <v/>
      </c>
      <c r="L1097" s="30">
        <f>IF(AND(J1097=1,ISNUMBER(G1097)),G1097,"")</f>
        <v/>
      </c>
      <c r="M1097" s="22">
        <f>IF(AND(J1097=1,ISNUMBER(C1097)),C1097,"")</f>
        <v/>
      </c>
      <c r="N1097" s="31">
        <f>IF(AND(J1097=1,ISNUMBER(I1097)),I1097,"")</f>
        <v/>
      </c>
      <c r="O1097" s="11">
        <f>IF(K1097="","",100-IF($G$13=1,50,(_xlfn.RANK.AVG(K1097,$K$19:$K$1518,1)-1)/($G$13-1)*100))</f>
        <v/>
      </c>
      <c r="P1097" s="11">
        <f>IF(L1097="","",100-IF($G$14=1,50,(_xlfn.RANK.AVG(L1097,$L$19:$L$1518,1)-1)/($G$14-1)*100))</f>
        <v/>
      </c>
      <c r="Q1097" s="11">
        <f>IF(M1097="","",IF($G$15=1,50,(_xlfn.RANK.AVG(M1097,$M$19:$M$1518,1)-1)/($G$15-1)*100))</f>
        <v/>
      </c>
      <c r="R1097" s="11">
        <f>IF(N1097="","",IF($G$16=1,50,(_xlfn.RANK.AVG(N1097,$N$19:$N$1518,1)-1)/($G$16-1)*100))</f>
        <v/>
      </c>
      <c r="S1097" s="11">
        <f>IF(COUNT(O1097:R1097)=4,ROUND(AVERAGE(O1097:R1097),6),"")</f>
        <v/>
      </c>
      <c r="U1097">
        <f>IF(AND(ISNUMBER('자료_한국심리'!$A1081),ISNUMBER('자료_한국심리'!$B1081)),'자료_한국심리'!$A1081,"")</f>
        <v/>
      </c>
      <c r="V1097">
        <f>IF(AND(ISNUMBER('자료_한국심리'!$D1081),ISNUMBER('자료_한국심리'!$E1081)),'자료_한국심리'!$D1081,"")</f>
        <v/>
      </c>
      <c r="W1097">
        <f>IF(AND(ISNUMBER('자료_한국심리'!$G1081),ISNUMBER('자료_한국심리'!$H1081)),'자료_한국심리'!$G1081,"")</f>
        <v/>
      </c>
      <c r="X1097">
        <f>IF(AND(ISNUMBER('자료_한국심리'!$J1081),ISNUMBER('자료_한국심리'!$K1081)),'자료_한국심리'!$J1081,"")</f>
        <v/>
      </c>
      <c r="Y1097">
        <f>IF(AND(ISNUMBER('자료_한국심리'!$M1081),ISNUMBER('자료_한국심리'!$N1081)),'자료_한국심리'!$M1081,"")</f>
        <v/>
      </c>
    </row>
    <row r="1098">
      <c r="A1098" s="10">
        <f>IF(1080&gt;$E$5,"",SMALL($U$19:$U$4018,$E$6+1080))</f>
        <v/>
      </c>
      <c r="B1098" s="29">
        <f>IF(A1098="","",INDEX('자료_한국심리'!$B$3:$B$4002,MATCH(A1098,$U$19:$U$4018,0)))</f>
        <v/>
      </c>
      <c r="C1098" s="22">
        <f>IF(A1098="","",B1098/AVERAGE(B974:B1098)-1)</f>
        <v/>
      </c>
      <c r="D1098" s="29">
        <f>IF(A1098="","",IFERROR(INDEX('자료_한국심리'!$E$3:$E$4002,MATCH(A1098,$V$19:$V$4018,0)),D1097))</f>
        <v/>
      </c>
      <c r="E1098" s="30">
        <f>IF(A1098="","",IFERROR(INDEX('자료_한국심리'!$H$3:$H$4002,MATCH(A1098,$W$19:$W$4018,0)),E1097))</f>
        <v/>
      </c>
      <c r="F1098" s="30">
        <f>IF(A1098="","",IFERROR(INDEX('자료_한국심리'!$K$3:$K$4002,MATCH(A1098,$X$19:$X$4018,0)),F1097))</f>
        <v/>
      </c>
      <c r="G1098" s="30">
        <f>IF(AND(ISNUMBER(E1098),ISNUMBER(F1098)),ROUND(E1098-F1098,6),"")</f>
        <v/>
      </c>
      <c r="H1098" s="25">
        <f>IF(A1098="","",IFERROR(INDEX('자료_한국심리'!$N$3:$N$4002,MATCH(A1098,$Y$19:$Y$4018,0)),H1097))</f>
        <v/>
      </c>
      <c r="I1098" s="31">
        <f>IF(AND(ISNUMBER(H1098),ISNUMBER(H1078)),IF(H1078&gt;0,H1098/H1078-1,""),"")</f>
        <v/>
      </c>
      <c r="J1098">
        <f>IF(A1098="",0,IF(A1098&gt;$B$5,1,0))</f>
        <v/>
      </c>
      <c r="K1098" s="29">
        <f>IF(AND(J1098=1,ISNUMBER(D1098)),D1098,"")</f>
        <v/>
      </c>
      <c r="L1098" s="30">
        <f>IF(AND(J1098=1,ISNUMBER(G1098)),G1098,"")</f>
        <v/>
      </c>
      <c r="M1098" s="22">
        <f>IF(AND(J1098=1,ISNUMBER(C1098)),C1098,"")</f>
        <v/>
      </c>
      <c r="N1098" s="31">
        <f>IF(AND(J1098=1,ISNUMBER(I1098)),I1098,"")</f>
        <v/>
      </c>
      <c r="O1098" s="11">
        <f>IF(K1098="","",100-IF($G$13=1,50,(_xlfn.RANK.AVG(K1098,$K$19:$K$1518,1)-1)/($G$13-1)*100))</f>
        <v/>
      </c>
      <c r="P1098" s="11">
        <f>IF(L1098="","",100-IF($G$14=1,50,(_xlfn.RANK.AVG(L1098,$L$19:$L$1518,1)-1)/($G$14-1)*100))</f>
        <v/>
      </c>
      <c r="Q1098" s="11">
        <f>IF(M1098="","",IF($G$15=1,50,(_xlfn.RANK.AVG(M1098,$M$19:$M$1518,1)-1)/($G$15-1)*100))</f>
        <v/>
      </c>
      <c r="R1098" s="11">
        <f>IF(N1098="","",IF($G$16=1,50,(_xlfn.RANK.AVG(N1098,$N$19:$N$1518,1)-1)/($G$16-1)*100))</f>
        <v/>
      </c>
      <c r="S1098" s="11">
        <f>IF(COUNT(O1098:R1098)=4,ROUND(AVERAGE(O1098:R1098),6),"")</f>
        <v/>
      </c>
      <c r="U1098">
        <f>IF(AND(ISNUMBER('자료_한국심리'!$A1082),ISNUMBER('자료_한국심리'!$B1082)),'자료_한국심리'!$A1082,"")</f>
        <v/>
      </c>
      <c r="V1098">
        <f>IF(AND(ISNUMBER('자료_한국심리'!$D1082),ISNUMBER('자료_한국심리'!$E1082)),'자료_한국심리'!$D1082,"")</f>
        <v/>
      </c>
      <c r="W1098">
        <f>IF(AND(ISNUMBER('자료_한국심리'!$G1082),ISNUMBER('자료_한국심리'!$H1082)),'자료_한국심리'!$G1082,"")</f>
        <v/>
      </c>
      <c r="X1098">
        <f>IF(AND(ISNUMBER('자료_한국심리'!$J1082),ISNUMBER('자료_한국심리'!$K1082)),'자료_한국심리'!$J1082,"")</f>
        <v/>
      </c>
      <c r="Y1098">
        <f>IF(AND(ISNUMBER('자료_한국심리'!$M1082),ISNUMBER('자료_한국심리'!$N1082)),'자료_한국심리'!$M1082,"")</f>
        <v/>
      </c>
    </row>
    <row r="1099">
      <c r="A1099" s="10">
        <f>IF(1081&gt;$E$5,"",SMALL($U$19:$U$4018,$E$6+1081))</f>
        <v/>
      </c>
      <c r="B1099" s="29">
        <f>IF(A1099="","",INDEX('자료_한국심리'!$B$3:$B$4002,MATCH(A1099,$U$19:$U$4018,0)))</f>
        <v/>
      </c>
      <c r="C1099" s="22">
        <f>IF(A1099="","",B1099/AVERAGE(B975:B1099)-1)</f>
        <v/>
      </c>
      <c r="D1099" s="29">
        <f>IF(A1099="","",IFERROR(INDEX('자료_한국심리'!$E$3:$E$4002,MATCH(A1099,$V$19:$V$4018,0)),D1098))</f>
        <v/>
      </c>
      <c r="E1099" s="30">
        <f>IF(A1099="","",IFERROR(INDEX('자료_한국심리'!$H$3:$H$4002,MATCH(A1099,$W$19:$W$4018,0)),E1098))</f>
        <v/>
      </c>
      <c r="F1099" s="30">
        <f>IF(A1099="","",IFERROR(INDEX('자료_한국심리'!$K$3:$K$4002,MATCH(A1099,$X$19:$X$4018,0)),F1098))</f>
        <v/>
      </c>
      <c r="G1099" s="30">
        <f>IF(AND(ISNUMBER(E1099),ISNUMBER(F1099)),ROUND(E1099-F1099,6),"")</f>
        <v/>
      </c>
      <c r="H1099" s="25">
        <f>IF(A1099="","",IFERROR(INDEX('자료_한국심리'!$N$3:$N$4002,MATCH(A1099,$Y$19:$Y$4018,0)),H1098))</f>
        <v/>
      </c>
      <c r="I1099" s="31">
        <f>IF(AND(ISNUMBER(H1099),ISNUMBER(H1079)),IF(H1079&gt;0,H1099/H1079-1,""),"")</f>
        <v/>
      </c>
      <c r="J1099">
        <f>IF(A1099="",0,IF(A1099&gt;$B$5,1,0))</f>
        <v/>
      </c>
      <c r="K1099" s="29">
        <f>IF(AND(J1099=1,ISNUMBER(D1099)),D1099,"")</f>
        <v/>
      </c>
      <c r="L1099" s="30">
        <f>IF(AND(J1099=1,ISNUMBER(G1099)),G1099,"")</f>
        <v/>
      </c>
      <c r="M1099" s="22">
        <f>IF(AND(J1099=1,ISNUMBER(C1099)),C1099,"")</f>
        <v/>
      </c>
      <c r="N1099" s="31">
        <f>IF(AND(J1099=1,ISNUMBER(I1099)),I1099,"")</f>
        <v/>
      </c>
      <c r="O1099" s="11">
        <f>IF(K1099="","",100-IF($G$13=1,50,(_xlfn.RANK.AVG(K1099,$K$19:$K$1518,1)-1)/($G$13-1)*100))</f>
        <v/>
      </c>
      <c r="P1099" s="11">
        <f>IF(L1099="","",100-IF($G$14=1,50,(_xlfn.RANK.AVG(L1099,$L$19:$L$1518,1)-1)/($G$14-1)*100))</f>
        <v/>
      </c>
      <c r="Q1099" s="11">
        <f>IF(M1099="","",IF($G$15=1,50,(_xlfn.RANK.AVG(M1099,$M$19:$M$1518,1)-1)/($G$15-1)*100))</f>
        <v/>
      </c>
      <c r="R1099" s="11">
        <f>IF(N1099="","",IF($G$16=1,50,(_xlfn.RANK.AVG(N1099,$N$19:$N$1518,1)-1)/($G$16-1)*100))</f>
        <v/>
      </c>
      <c r="S1099" s="11">
        <f>IF(COUNT(O1099:R1099)=4,ROUND(AVERAGE(O1099:R1099),6),"")</f>
        <v/>
      </c>
      <c r="U1099">
        <f>IF(AND(ISNUMBER('자료_한국심리'!$A1083),ISNUMBER('자료_한국심리'!$B1083)),'자료_한국심리'!$A1083,"")</f>
        <v/>
      </c>
      <c r="V1099">
        <f>IF(AND(ISNUMBER('자료_한국심리'!$D1083),ISNUMBER('자료_한국심리'!$E1083)),'자료_한국심리'!$D1083,"")</f>
        <v/>
      </c>
      <c r="W1099">
        <f>IF(AND(ISNUMBER('자료_한국심리'!$G1083),ISNUMBER('자료_한국심리'!$H1083)),'자료_한국심리'!$G1083,"")</f>
        <v/>
      </c>
      <c r="X1099">
        <f>IF(AND(ISNUMBER('자료_한국심리'!$J1083),ISNUMBER('자료_한국심리'!$K1083)),'자료_한국심리'!$J1083,"")</f>
        <v/>
      </c>
      <c r="Y1099">
        <f>IF(AND(ISNUMBER('자료_한국심리'!$M1083),ISNUMBER('자료_한국심리'!$N1083)),'자료_한국심리'!$M1083,"")</f>
        <v/>
      </c>
    </row>
    <row r="1100">
      <c r="A1100" s="10">
        <f>IF(1082&gt;$E$5,"",SMALL($U$19:$U$4018,$E$6+1082))</f>
        <v/>
      </c>
      <c r="B1100" s="29">
        <f>IF(A1100="","",INDEX('자료_한국심리'!$B$3:$B$4002,MATCH(A1100,$U$19:$U$4018,0)))</f>
        <v/>
      </c>
      <c r="C1100" s="22">
        <f>IF(A1100="","",B1100/AVERAGE(B976:B1100)-1)</f>
        <v/>
      </c>
      <c r="D1100" s="29">
        <f>IF(A1100="","",IFERROR(INDEX('자료_한국심리'!$E$3:$E$4002,MATCH(A1100,$V$19:$V$4018,0)),D1099))</f>
        <v/>
      </c>
      <c r="E1100" s="30">
        <f>IF(A1100="","",IFERROR(INDEX('자료_한국심리'!$H$3:$H$4002,MATCH(A1100,$W$19:$W$4018,0)),E1099))</f>
        <v/>
      </c>
      <c r="F1100" s="30">
        <f>IF(A1100="","",IFERROR(INDEX('자료_한국심리'!$K$3:$K$4002,MATCH(A1100,$X$19:$X$4018,0)),F1099))</f>
        <v/>
      </c>
      <c r="G1100" s="30">
        <f>IF(AND(ISNUMBER(E1100),ISNUMBER(F1100)),ROUND(E1100-F1100,6),"")</f>
        <v/>
      </c>
      <c r="H1100" s="25">
        <f>IF(A1100="","",IFERROR(INDEX('자료_한국심리'!$N$3:$N$4002,MATCH(A1100,$Y$19:$Y$4018,0)),H1099))</f>
        <v/>
      </c>
      <c r="I1100" s="31">
        <f>IF(AND(ISNUMBER(H1100),ISNUMBER(H1080)),IF(H1080&gt;0,H1100/H1080-1,""),"")</f>
        <v/>
      </c>
      <c r="J1100">
        <f>IF(A1100="",0,IF(A1100&gt;$B$5,1,0))</f>
        <v/>
      </c>
      <c r="K1100" s="29">
        <f>IF(AND(J1100=1,ISNUMBER(D1100)),D1100,"")</f>
        <v/>
      </c>
      <c r="L1100" s="30">
        <f>IF(AND(J1100=1,ISNUMBER(G1100)),G1100,"")</f>
        <v/>
      </c>
      <c r="M1100" s="22">
        <f>IF(AND(J1100=1,ISNUMBER(C1100)),C1100,"")</f>
        <v/>
      </c>
      <c r="N1100" s="31">
        <f>IF(AND(J1100=1,ISNUMBER(I1100)),I1100,"")</f>
        <v/>
      </c>
      <c r="O1100" s="11">
        <f>IF(K1100="","",100-IF($G$13=1,50,(_xlfn.RANK.AVG(K1100,$K$19:$K$1518,1)-1)/($G$13-1)*100))</f>
        <v/>
      </c>
      <c r="P1100" s="11">
        <f>IF(L1100="","",100-IF($G$14=1,50,(_xlfn.RANK.AVG(L1100,$L$19:$L$1518,1)-1)/($G$14-1)*100))</f>
        <v/>
      </c>
      <c r="Q1100" s="11">
        <f>IF(M1100="","",IF($G$15=1,50,(_xlfn.RANK.AVG(M1100,$M$19:$M$1518,1)-1)/($G$15-1)*100))</f>
        <v/>
      </c>
      <c r="R1100" s="11">
        <f>IF(N1100="","",IF($G$16=1,50,(_xlfn.RANK.AVG(N1100,$N$19:$N$1518,1)-1)/($G$16-1)*100))</f>
        <v/>
      </c>
      <c r="S1100" s="11">
        <f>IF(COUNT(O1100:R1100)=4,ROUND(AVERAGE(O1100:R1100),6),"")</f>
        <v/>
      </c>
      <c r="U1100">
        <f>IF(AND(ISNUMBER('자료_한국심리'!$A1084),ISNUMBER('자료_한국심리'!$B1084)),'자료_한국심리'!$A1084,"")</f>
        <v/>
      </c>
      <c r="V1100">
        <f>IF(AND(ISNUMBER('자료_한국심리'!$D1084),ISNUMBER('자료_한국심리'!$E1084)),'자료_한국심리'!$D1084,"")</f>
        <v/>
      </c>
      <c r="W1100">
        <f>IF(AND(ISNUMBER('자료_한국심리'!$G1084),ISNUMBER('자료_한국심리'!$H1084)),'자료_한국심리'!$G1084,"")</f>
        <v/>
      </c>
      <c r="X1100">
        <f>IF(AND(ISNUMBER('자료_한국심리'!$J1084),ISNUMBER('자료_한국심리'!$K1084)),'자료_한국심리'!$J1084,"")</f>
        <v/>
      </c>
      <c r="Y1100">
        <f>IF(AND(ISNUMBER('자료_한국심리'!$M1084),ISNUMBER('자료_한국심리'!$N1084)),'자료_한국심리'!$M1084,"")</f>
        <v/>
      </c>
    </row>
    <row r="1101">
      <c r="A1101" s="10">
        <f>IF(1083&gt;$E$5,"",SMALL($U$19:$U$4018,$E$6+1083))</f>
        <v/>
      </c>
      <c r="B1101" s="29">
        <f>IF(A1101="","",INDEX('자료_한국심리'!$B$3:$B$4002,MATCH(A1101,$U$19:$U$4018,0)))</f>
        <v/>
      </c>
      <c r="C1101" s="22">
        <f>IF(A1101="","",B1101/AVERAGE(B977:B1101)-1)</f>
        <v/>
      </c>
      <c r="D1101" s="29">
        <f>IF(A1101="","",IFERROR(INDEX('자료_한국심리'!$E$3:$E$4002,MATCH(A1101,$V$19:$V$4018,0)),D1100))</f>
        <v/>
      </c>
      <c r="E1101" s="30">
        <f>IF(A1101="","",IFERROR(INDEX('자료_한국심리'!$H$3:$H$4002,MATCH(A1101,$W$19:$W$4018,0)),E1100))</f>
        <v/>
      </c>
      <c r="F1101" s="30">
        <f>IF(A1101="","",IFERROR(INDEX('자료_한국심리'!$K$3:$K$4002,MATCH(A1101,$X$19:$X$4018,0)),F1100))</f>
        <v/>
      </c>
      <c r="G1101" s="30">
        <f>IF(AND(ISNUMBER(E1101),ISNUMBER(F1101)),ROUND(E1101-F1101,6),"")</f>
        <v/>
      </c>
      <c r="H1101" s="25">
        <f>IF(A1101="","",IFERROR(INDEX('자료_한국심리'!$N$3:$N$4002,MATCH(A1101,$Y$19:$Y$4018,0)),H1100))</f>
        <v/>
      </c>
      <c r="I1101" s="31">
        <f>IF(AND(ISNUMBER(H1101),ISNUMBER(H1081)),IF(H1081&gt;0,H1101/H1081-1,""),"")</f>
        <v/>
      </c>
      <c r="J1101">
        <f>IF(A1101="",0,IF(A1101&gt;$B$5,1,0))</f>
        <v/>
      </c>
      <c r="K1101" s="29">
        <f>IF(AND(J1101=1,ISNUMBER(D1101)),D1101,"")</f>
        <v/>
      </c>
      <c r="L1101" s="30">
        <f>IF(AND(J1101=1,ISNUMBER(G1101)),G1101,"")</f>
        <v/>
      </c>
      <c r="M1101" s="22">
        <f>IF(AND(J1101=1,ISNUMBER(C1101)),C1101,"")</f>
        <v/>
      </c>
      <c r="N1101" s="31">
        <f>IF(AND(J1101=1,ISNUMBER(I1101)),I1101,"")</f>
        <v/>
      </c>
      <c r="O1101" s="11">
        <f>IF(K1101="","",100-IF($G$13=1,50,(_xlfn.RANK.AVG(K1101,$K$19:$K$1518,1)-1)/($G$13-1)*100))</f>
        <v/>
      </c>
      <c r="P1101" s="11">
        <f>IF(L1101="","",100-IF($G$14=1,50,(_xlfn.RANK.AVG(L1101,$L$19:$L$1518,1)-1)/($G$14-1)*100))</f>
        <v/>
      </c>
      <c r="Q1101" s="11">
        <f>IF(M1101="","",IF($G$15=1,50,(_xlfn.RANK.AVG(M1101,$M$19:$M$1518,1)-1)/($G$15-1)*100))</f>
        <v/>
      </c>
      <c r="R1101" s="11">
        <f>IF(N1101="","",IF($G$16=1,50,(_xlfn.RANK.AVG(N1101,$N$19:$N$1518,1)-1)/($G$16-1)*100))</f>
        <v/>
      </c>
      <c r="S1101" s="11">
        <f>IF(COUNT(O1101:R1101)=4,ROUND(AVERAGE(O1101:R1101),6),"")</f>
        <v/>
      </c>
      <c r="U1101">
        <f>IF(AND(ISNUMBER('자료_한국심리'!$A1085),ISNUMBER('자료_한국심리'!$B1085)),'자료_한국심리'!$A1085,"")</f>
        <v/>
      </c>
      <c r="V1101">
        <f>IF(AND(ISNUMBER('자료_한국심리'!$D1085),ISNUMBER('자료_한국심리'!$E1085)),'자료_한국심리'!$D1085,"")</f>
        <v/>
      </c>
      <c r="W1101">
        <f>IF(AND(ISNUMBER('자료_한국심리'!$G1085),ISNUMBER('자료_한국심리'!$H1085)),'자료_한국심리'!$G1085,"")</f>
        <v/>
      </c>
      <c r="X1101">
        <f>IF(AND(ISNUMBER('자료_한국심리'!$J1085),ISNUMBER('자료_한국심리'!$K1085)),'자료_한국심리'!$J1085,"")</f>
        <v/>
      </c>
      <c r="Y1101">
        <f>IF(AND(ISNUMBER('자료_한국심리'!$M1085),ISNUMBER('자료_한국심리'!$N1085)),'자료_한국심리'!$M1085,"")</f>
        <v/>
      </c>
    </row>
    <row r="1102">
      <c r="A1102" s="10">
        <f>IF(1084&gt;$E$5,"",SMALL($U$19:$U$4018,$E$6+1084))</f>
        <v/>
      </c>
      <c r="B1102" s="29">
        <f>IF(A1102="","",INDEX('자료_한국심리'!$B$3:$B$4002,MATCH(A1102,$U$19:$U$4018,0)))</f>
        <v/>
      </c>
      <c r="C1102" s="22">
        <f>IF(A1102="","",B1102/AVERAGE(B978:B1102)-1)</f>
        <v/>
      </c>
      <c r="D1102" s="29">
        <f>IF(A1102="","",IFERROR(INDEX('자료_한국심리'!$E$3:$E$4002,MATCH(A1102,$V$19:$V$4018,0)),D1101))</f>
        <v/>
      </c>
      <c r="E1102" s="30">
        <f>IF(A1102="","",IFERROR(INDEX('자료_한국심리'!$H$3:$H$4002,MATCH(A1102,$W$19:$W$4018,0)),E1101))</f>
        <v/>
      </c>
      <c r="F1102" s="30">
        <f>IF(A1102="","",IFERROR(INDEX('자료_한국심리'!$K$3:$K$4002,MATCH(A1102,$X$19:$X$4018,0)),F1101))</f>
        <v/>
      </c>
      <c r="G1102" s="30">
        <f>IF(AND(ISNUMBER(E1102),ISNUMBER(F1102)),ROUND(E1102-F1102,6),"")</f>
        <v/>
      </c>
      <c r="H1102" s="25">
        <f>IF(A1102="","",IFERROR(INDEX('자료_한국심리'!$N$3:$N$4002,MATCH(A1102,$Y$19:$Y$4018,0)),H1101))</f>
        <v/>
      </c>
      <c r="I1102" s="31">
        <f>IF(AND(ISNUMBER(H1102),ISNUMBER(H1082)),IF(H1082&gt;0,H1102/H1082-1,""),"")</f>
        <v/>
      </c>
      <c r="J1102">
        <f>IF(A1102="",0,IF(A1102&gt;$B$5,1,0))</f>
        <v/>
      </c>
      <c r="K1102" s="29">
        <f>IF(AND(J1102=1,ISNUMBER(D1102)),D1102,"")</f>
        <v/>
      </c>
      <c r="L1102" s="30">
        <f>IF(AND(J1102=1,ISNUMBER(G1102)),G1102,"")</f>
        <v/>
      </c>
      <c r="M1102" s="22">
        <f>IF(AND(J1102=1,ISNUMBER(C1102)),C1102,"")</f>
        <v/>
      </c>
      <c r="N1102" s="31">
        <f>IF(AND(J1102=1,ISNUMBER(I1102)),I1102,"")</f>
        <v/>
      </c>
      <c r="O1102" s="11">
        <f>IF(K1102="","",100-IF($G$13=1,50,(_xlfn.RANK.AVG(K1102,$K$19:$K$1518,1)-1)/($G$13-1)*100))</f>
        <v/>
      </c>
      <c r="P1102" s="11">
        <f>IF(L1102="","",100-IF($G$14=1,50,(_xlfn.RANK.AVG(L1102,$L$19:$L$1518,1)-1)/($G$14-1)*100))</f>
        <v/>
      </c>
      <c r="Q1102" s="11">
        <f>IF(M1102="","",IF($G$15=1,50,(_xlfn.RANK.AVG(M1102,$M$19:$M$1518,1)-1)/($G$15-1)*100))</f>
        <v/>
      </c>
      <c r="R1102" s="11">
        <f>IF(N1102="","",IF($G$16=1,50,(_xlfn.RANK.AVG(N1102,$N$19:$N$1518,1)-1)/($G$16-1)*100))</f>
        <v/>
      </c>
      <c r="S1102" s="11">
        <f>IF(COUNT(O1102:R1102)=4,ROUND(AVERAGE(O1102:R1102),6),"")</f>
        <v/>
      </c>
      <c r="U1102">
        <f>IF(AND(ISNUMBER('자료_한국심리'!$A1086),ISNUMBER('자료_한국심리'!$B1086)),'자료_한국심리'!$A1086,"")</f>
        <v/>
      </c>
      <c r="V1102">
        <f>IF(AND(ISNUMBER('자료_한국심리'!$D1086),ISNUMBER('자료_한국심리'!$E1086)),'자료_한국심리'!$D1086,"")</f>
        <v/>
      </c>
      <c r="W1102">
        <f>IF(AND(ISNUMBER('자료_한국심리'!$G1086),ISNUMBER('자료_한국심리'!$H1086)),'자료_한국심리'!$G1086,"")</f>
        <v/>
      </c>
      <c r="X1102">
        <f>IF(AND(ISNUMBER('자료_한국심리'!$J1086),ISNUMBER('자료_한국심리'!$K1086)),'자료_한국심리'!$J1086,"")</f>
        <v/>
      </c>
      <c r="Y1102">
        <f>IF(AND(ISNUMBER('자료_한국심리'!$M1086),ISNUMBER('자료_한국심리'!$N1086)),'자료_한국심리'!$M1086,"")</f>
        <v/>
      </c>
    </row>
    <row r="1103">
      <c r="A1103" s="10">
        <f>IF(1085&gt;$E$5,"",SMALL($U$19:$U$4018,$E$6+1085))</f>
        <v/>
      </c>
      <c r="B1103" s="29">
        <f>IF(A1103="","",INDEX('자료_한국심리'!$B$3:$B$4002,MATCH(A1103,$U$19:$U$4018,0)))</f>
        <v/>
      </c>
      <c r="C1103" s="22">
        <f>IF(A1103="","",B1103/AVERAGE(B979:B1103)-1)</f>
        <v/>
      </c>
      <c r="D1103" s="29">
        <f>IF(A1103="","",IFERROR(INDEX('자료_한국심리'!$E$3:$E$4002,MATCH(A1103,$V$19:$V$4018,0)),D1102))</f>
        <v/>
      </c>
      <c r="E1103" s="30">
        <f>IF(A1103="","",IFERROR(INDEX('자료_한국심리'!$H$3:$H$4002,MATCH(A1103,$W$19:$W$4018,0)),E1102))</f>
        <v/>
      </c>
      <c r="F1103" s="30">
        <f>IF(A1103="","",IFERROR(INDEX('자료_한국심리'!$K$3:$K$4002,MATCH(A1103,$X$19:$X$4018,0)),F1102))</f>
        <v/>
      </c>
      <c r="G1103" s="30">
        <f>IF(AND(ISNUMBER(E1103),ISNUMBER(F1103)),ROUND(E1103-F1103,6),"")</f>
        <v/>
      </c>
      <c r="H1103" s="25">
        <f>IF(A1103="","",IFERROR(INDEX('자료_한국심리'!$N$3:$N$4002,MATCH(A1103,$Y$19:$Y$4018,0)),H1102))</f>
        <v/>
      </c>
      <c r="I1103" s="31">
        <f>IF(AND(ISNUMBER(H1103),ISNUMBER(H1083)),IF(H1083&gt;0,H1103/H1083-1,""),"")</f>
        <v/>
      </c>
      <c r="J1103">
        <f>IF(A1103="",0,IF(A1103&gt;$B$5,1,0))</f>
        <v/>
      </c>
      <c r="K1103" s="29">
        <f>IF(AND(J1103=1,ISNUMBER(D1103)),D1103,"")</f>
        <v/>
      </c>
      <c r="L1103" s="30">
        <f>IF(AND(J1103=1,ISNUMBER(G1103)),G1103,"")</f>
        <v/>
      </c>
      <c r="M1103" s="22">
        <f>IF(AND(J1103=1,ISNUMBER(C1103)),C1103,"")</f>
        <v/>
      </c>
      <c r="N1103" s="31">
        <f>IF(AND(J1103=1,ISNUMBER(I1103)),I1103,"")</f>
        <v/>
      </c>
      <c r="O1103" s="11">
        <f>IF(K1103="","",100-IF($G$13=1,50,(_xlfn.RANK.AVG(K1103,$K$19:$K$1518,1)-1)/($G$13-1)*100))</f>
        <v/>
      </c>
      <c r="P1103" s="11">
        <f>IF(L1103="","",100-IF($G$14=1,50,(_xlfn.RANK.AVG(L1103,$L$19:$L$1518,1)-1)/($G$14-1)*100))</f>
        <v/>
      </c>
      <c r="Q1103" s="11">
        <f>IF(M1103="","",IF($G$15=1,50,(_xlfn.RANK.AVG(M1103,$M$19:$M$1518,1)-1)/($G$15-1)*100))</f>
        <v/>
      </c>
      <c r="R1103" s="11">
        <f>IF(N1103="","",IF($G$16=1,50,(_xlfn.RANK.AVG(N1103,$N$19:$N$1518,1)-1)/($G$16-1)*100))</f>
        <v/>
      </c>
      <c r="S1103" s="11">
        <f>IF(COUNT(O1103:R1103)=4,ROUND(AVERAGE(O1103:R1103),6),"")</f>
        <v/>
      </c>
      <c r="U1103">
        <f>IF(AND(ISNUMBER('자료_한국심리'!$A1087),ISNUMBER('자료_한국심리'!$B1087)),'자료_한국심리'!$A1087,"")</f>
        <v/>
      </c>
      <c r="V1103">
        <f>IF(AND(ISNUMBER('자료_한국심리'!$D1087),ISNUMBER('자료_한국심리'!$E1087)),'자료_한국심리'!$D1087,"")</f>
        <v/>
      </c>
      <c r="W1103">
        <f>IF(AND(ISNUMBER('자료_한국심리'!$G1087),ISNUMBER('자료_한국심리'!$H1087)),'자료_한국심리'!$G1087,"")</f>
        <v/>
      </c>
      <c r="X1103">
        <f>IF(AND(ISNUMBER('자료_한국심리'!$J1087),ISNUMBER('자료_한국심리'!$K1087)),'자료_한국심리'!$J1087,"")</f>
        <v/>
      </c>
      <c r="Y1103">
        <f>IF(AND(ISNUMBER('자료_한국심리'!$M1087),ISNUMBER('자료_한국심리'!$N1087)),'자료_한국심리'!$M1087,"")</f>
        <v/>
      </c>
    </row>
    <row r="1104">
      <c r="A1104" s="10">
        <f>IF(1086&gt;$E$5,"",SMALL($U$19:$U$4018,$E$6+1086))</f>
        <v/>
      </c>
      <c r="B1104" s="29">
        <f>IF(A1104="","",INDEX('자료_한국심리'!$B$3:$B$4002,MATCH(A1104,$U$19:$U$4018,0)))</f>
        <v/>
      </c>
      <c r="C1104" s="22">
        <f>IF(A1104="","",B1104/AVERAGE(B980:B1104)-1)</f>
        <v/>
      </c>
      <c r="D1104" s="29">
        <f>IF(A1104="","",IFERROR(INDEX('자료_한국심리'!$E$3:$E$4002,MATCH(A1104,$V$19:$V$4018,0)),D1103))</f>
        <v/>
      </c>
      <c r="E1104" s="30">
        <f>IF(A1104="","",IFERROR(INDEX('자료_한국심리'!$H$3:$H$4002,MATCH(A1104,$W$19:$W$4018,0)),E1103))</f>
        <v/>
      </c>
      <c r="F1104" s="30">
        <f>IF(A1104="","",IFERROR(INDEX('자료_한국심리'!$K$3:$K$4002,MATCH(A1104,$X$19:$X$4018,0)),F1103))</f>
        <v/>
      </c>
      <c r="G1104" s="30">
        <f>IF(AND(ISNUMBER(E1104),ISNUMBER(F1104)),ROUND(E1104-F1104,6),"")</f>
        <v/>
      </c>
      <c r="H1104" s="25">
        <f>IF(A1104="","",IFERROR(INDEX('자료_한국심리'!$N$3:$N$4002,MATCH(A1104,$Y$19:$Y$4018,0)),H1103))</f>
        <v/>
      </c>
      <c r="I1104" s="31">
        <f>IF(AND(ISNUMBER(H1104),ISNUMBER(H1084)),IF(H1084&gt;0,H1104/H1084-1,""),"")</f>
        <v/>
      </c>
      <c r="J1104">
        <f>IF(A1104="",0,IF(A1104&gt;$B$5,1,0))</f>
        <v/>
      </c>
      <c r="K1104" s="29">
        <f>IF(AND(J1104=1,ISNUMBER(D1104)),D1104,"")</f>
        <v/>
      </c>
      <c r="L1104" s="30">
        <f>IF(AND(J1104=1,ISNUMBER(G1104)),G1104,"")</f>
        <v/>
      </c>
      <c r="M1104" s="22">
        <f>IF(AND(J1104=1,ISNUMBER(C1104)),C1104,"")</f>
        <v/>
      </c>
      <c r="N1104" s="31">
        <f>IF(AND(J1104=1,ISNUMBER(I1104)),I1104,"")</f>
        <v/>
      </c>
      <c r="O1104" s="11">
        <f>IF(K1104="","",100-IF($G$13=1,50,(_xlfn.RANK.AVG(K1104,$K$19:$K$1518,1)-1)/($G$13-1)*100))</f>
        <v/>
      </c>
      <c r="P1104" s="11">
        <f>IF(L1104="","",100-IF($G$14=1,50,(_xlfn.RANK.AVG(L1104,$L$19:$L$1518,1)-1)/($G$14-1)*100))</f>
        <v/>
      </c>
      <c r="Q1104" s="11">
        <f>IF(M1104="","",IF($G$15=1,50,(_xlfn.RANK.AVG(M1104,$M$19:$M$1518,1)-1)/($G$15-1)*100))</f>
        <v/>
      </c>
      <c r="R1104" s="11">
        <f>IF(N1104="","",IF($G$16=1,50,(_xlfn.RANK.AVG(N1104,$N$19:$N$1518,1)-1)/($G$16-1)*100))</f>
        <v/>
      </c>
      <c r="S1104" s="11">
        <f>IF(COUNT(O1104:R1104)=4,ROUND(AVERAGE(O1104:R1104),6),"")</f>
        <v/>
      </c>
      <c r="U1104">
        <f>IF(AND(ISNUMBER('자료_한국심리'!$A1088),ISNUMBER('자료_한국심리'!$B1088)),'자료_한국심리'!$A1088,"")</f>
        <v/>
      </c>
      <c r="V1104">
        <f>IF(AND(ISNUMBER('자료_한국심리'!$D1088),ISNUMBER('자료_한국심리'!$E1088)),'자료_한국심리'!$D1088,"")</f>
        <v/>
      </c>
      <c r="W1104">
        <f>IF(AND(ISNUMBER('자료_한국심리'!$G1088),ISNUMBER('자료_한국심리'!$H1088)),'자료_한국심리'!$G1088,"")</f>
        <v/>
      </c>
      <c r="X1104">
        <f>IF(AND(ISNUMBER('자료_한국심리'!$J1088),ISNUMBER('자료_한국심리'!$K1088)),'자료_한국심리'!$J1088,"")</f>
        <v/>
      </c>
      <c r="Y1104">
        <f>IF(AND(ISNUMBER('자료_한국심리'!$M1088),ISNUMBER('자료_한국심리'!$N1088)),'자료_한국심리'!$M1088,"")</f>
        <v/>
      </c>
    </row>
    <row r="1105">
      <c r="A1105" s="10">
        <f>IF(1087&gt;$E$5,"",SMALL($U$19:$U$4018,$E$6+1087))</f>
        <v/>
      </c>
      <c r="B1105" s="29">
        <f>IF(A1105="","",INDEX('자료_한국심리'!$B$3:$B$4002,MATCH(A1105,$U$19:$U$4018,0)))</f>
        <v/>
      </c>
      <c r="C1105" s="22">
        <f>IF(A1105="","",B1105/AVERAGE(B981:B1105)-1)</f>
        <v/>
      </c>
      <c r="D1105" s="29">
        <f>IF(A1105="","",IFERROR(INDEX('자료_한국심리'!$E$3:$E$4002,MATCH(A1105,$V$19:$V$4018,0)),D1104))</f>
        <v/>
      </c>
      <c r="E1105" s="30">
        <f>IF(A1105="","",IFERROR(INDEX('자료_한국심리'!$H$3:$H$4002,MATCH(A1105,$W$19:$W$4018,0)),E1104))</f>
        <v/>
      </c>
      <c r="F1105" s="30">
        <f>IF(A1105="","",IFERROR(INDEX('자료_한국심리'!$K$3:$K$4002,MATCH(A1105,$X$19:$X$4018,0)),F1104))</f>
        <v/>
      </c>
      <c r="G1105" s="30">
        <f>IF(AND(ISNUMBER(E1105),ISNUMBER(F1105)),ROUND(E1105-F1105,6),"")</f>
        <v/>
      </c>
      <c r="H1105" s="25">
        <f>IF(A1105="","",IFERROR(INDEX('자료_한국심리'!$N$3:$N$4002,MATCH(A1105,$Y$19:$Y$4018,0)),H1104))</f>
        <v/>
      </c>
      <c r="I1105" s="31">
        <f>IF(AND(ISNUMBER(H1105),ISNUMBER(H1085)),IF(H1085&gt;0,H1105/H1085-1,""),"")</f>
        <v/>
      </c>
      <c r="J1105">
        <f>IF(A1105="",0,IF(A1105&gt;$B$5,1,0))</f>
        <v/>
      </c>
      <c r="K1105" s="29">
        <f>IF(AND(J1105=1,ISNUMBER(D1105)),D1105,"")</f>
        <v/>
      </c>
      <c r="L1105" s="30">
        <f>IF(AND(J1105=1,ISNUMBER(G1105)),G1105,"")</f>
        <v/>
      </c>
      <c r="M1105" s="22">
        <f>IF(AND(J1105=1,ISNUMBER(C1105)),C1105,"")</f>
        <v/>
      </c>
      <c r="N1105" s="31">
        <f>IF(AND(J1105=1,ISNUMBER(I1105)),I1105,"")</f>
        <v/>
      </c>
      <c r="O1105" s="11">
        <f>IF(K1105="","",100-IF($G$13=1,50,(_xlfn.RANK.AVG(K1105,$K$19:$K$1518,1)-1)/($G$13-1)*100))</f>
        <v/>
      </c>
      <c r="P1105" s="11">
        <f>IF(L1105="","",100-IF($G$14=1,50,(_xlfn.RANK.AVG(L1105,$L$19:$L$1518,1)-1)/($G$14-1)*100))</f>
        <v/>
      </c>
      <c r="Q1105" s="11">
        <f>IF(M1105="","",IF($G$15=1,50,(_xlfn.RANK.AVG(M1105,$M$19:$M$1518,1)-1)/($G$15-1)*100))</f>
        <v/>
      </c>
      <c r="R1105" s="11">
        <f>IF(N1105="","",IF($G$16=1,50,(_xlfn.RANK.AVG(N1105,$N$19:$N$1518,1)-1)/($G$16-1)*100))</f>
        <v/>
      </c>
      <c r="S1105" s="11">
        <f>IF(COUNT(O1105:R1105)=4,ROUND(AVERAGE(O1105:R1105),6),"")</f>
        <v/>
      </c>
      <c r="U1105">
        <f>IF(AND(ISNUMBER('자료_한국심리'!$A1089),ISNUMBER('자료_한국심리'!$B1089)),'자료_한국심리'!$A1089,"")</f>
        <v/>
      </c>
      <c r="V1105">
        <f>IF(AND(ISNUMBER('자료_한국심리'!$D1089),ISNUMBER('자료_한국심리'!$E1089)),'자료_한국심리'!$D1089,"")</f>
        <v/>
      </c>
      <c r="W1105">
        <f>IF(AND(ISNUMBER('자료_한국심리'!$G1089),ISNUMBER('자료_한국심리'!$H1089)),'자료_한국심리'!$G1089,"")</f>
        <v/>
      </c>
      <c r="X1105">
        <f>IF(AND(ISNUMBER('자료_한국심리'!$J1089),ISNUMBER('자료_한국심리'!$K1089)),'자료_한국심리'!$J1089,"")</f>
        <v/>
      </c>
      <c r="Y1105">
        <f>IF(AND(ISNUMBER('자료_한국심리'!$M1089),ISNUMBER('자료_한국심리'!$N1089)),'자료_한국심리'!$M1089,"")</f>
        <v/>
      </c>
    </row>
    <row r="1106">
      <c r="A1106" s="10">
        <f>IF(1088&gt;$E$5,"",SMALL($U$19:$U$4018,$E$6+1088))</f>
        <v/>
      </c>
      <c r="B1106" s="29">
        <f>IF(A1106="","",INDEX('자료_한국심리'!$B$3:$B$4002,MATCH(A1106,$U$19:$U$4018,0)))</f>
        <v/>
      </c>
      <c r="C1106" s="22">
        <f>IF(A1106="","",B1106/AVERAGE(B982:B1106)-1)</f>
        <v/>
      </c>
      <c r="D1106" s="29">
        <f>IF(A1106="","",IFERROR(INDEX('자료_한국심리'!$E$3:$E$4002,MATCH(A1106,$V$19:$V$4018,0)),D1105))</f>
        <v/>
      </c>
      <c r="E1106" s="30">
        <f>IF(A1106="","",IFERROR(INDEX('자료_한국심리'!$H$3:$H$4002,MATCH(A1106,$W$19:$W$4018,0)),E1105))</f>
        <v/>
      </c>
      <c r="F1106" s="30">
        <f>IF(A1106="","",IFERROR(INDEX('자료_한국심리'!$K$3:$K$4002,MATCH(A1106,$X$19:$X$4018,0)),F1105))</f>
        <v/>
      </c>
      <c r="G1106" s="30">
        <f>IF(AND(ISNUMBER(E1106),ISNUMBER(F1106)),ROUND(E1106-F1106,6),"")</f>
        <v/>
      </c>
      <c r="H1106" s="25">
        <f>IF(A1106="","",IFERROR(INDEX('자료_한국심리'!$N$3:$N$4002,MATCH(A1106,$Y$19:$Y$4018,0)),H1105))</f>
        <v/>
      </c>
      <c r="I1106" s="31">
        <f>IF(AND(ISNUMBER(H1106),ISNUMBER(H1086)),IF(H1086&gt;0,H1106/H1086-1,""),"")</f>
        <v/>
      </c>
      <c r="J1106">
        <f>IF(A1106="",0,IF(A1106&gt;$B$5,1,0))</f>
        <v/>
      </c>
      <c r="K1106" s="29">
        <f>IF(AND(J1106=1,ISNUMBER(D1106)),D1106,"")</f>
        <v/>
      </c>
      <c r="L1106" s="30">
        <f>IF(AND(J1106=1,ISNUMBER(G1106)),G1106,"")</f>
        <v/>
      </c>
      <c r="M1106" s="22">
        <f>IF(AND(J1106=1,ISNUMBER(C1106)),C1106,"")</f>
        <v/>
      </c>
      <c r="N1106" s="31">
        <f>IF(AND(J1106=1,ISNUMBER(I1106)),I1106,"")</f>
        <v/>
      </c>
      <c r="O1106" s="11">
        <f>IF(K1106="","",100-IF($G$13=1,50,(_xlfn.RANK.AVG(K1106,$K$19:$K$1518,1)-1)/($G$13-1)*100))</f>
        <v/>
      </c>
      <c r="P1106" s="11">
        <f>IF(L1106="","",100-IF($G$14=1,50,(_xlfn.RANK.AVG(L1106,$L$19:$L$1518,1)-1)/($G$14-1)*100))</f>
        <v/>
      </c>
      <c r="Q1106" s="11">
        <f>IF(M1106="","",IF($G$15=1,50,(_xlfn.RANK.AVG(M1106,$M$19:$M$1518,1)-1)/($G$15-1)*100))</f>
        <v/>
      </c>
      <c r="R1106" s="11">
        <f>IF(N1106="","",IF($G$16=1,50,(_xlfn.RANK.AVG(N1106,$N$19:$N$1518,1)-1)/($G$16-1)*100))</f>
        <v/>
      </c>
      <c r="S1106" s="11">
        <f>IF(COUNT(O1106:R1106)=4,ROUND(AVERAGE(O1106:R1106),6),"")</f>
        <v/>
      </c>
      <c r="U1106">
        <f>IF(AND(ISNUMBER('자료_한국심리'!$A1090),ISNUMBER('자료_한국심리'!$B1090)),'자료_한국심리'!$A1090,"")</f>
        <v/>
      </c>
      <c r="V1106">
        <f>IF(AND(ISNUMBER('자료_한국심리'!$D1090),ISNUMBER('자료_한국심리'!$E1090)),'자료_한국심리'!$D1090,"")</f>
        <v/>
      </c>
      <c r="W1106">
        <f>IF(AND(ISNUMBER('자료_한국심리'!$G1090),ISNUMBER('자료_한국심리'!$H1090)),'자료_한국심리'!$G1090,"")</f>
        <v/>
      </c>
      <c r="X1106">
        <f>IF(AND(ISNUMBER('자료_한국심리'!$J1090),ISNUMBER('자료_한국심리'!$K1090)),'자료_한국심리'!$J1090,"")</f>
        <v/>
      </c>
      <c r="Y1106">
        <f>IF(AND(ISNUMBER('자료_한국심리'!$M1090),ISNUMBER('자료_한국심리'!$N1090)),'자료_한국심리'!$M1090,"")</f>
        <v/>
      </c>
    </row>
    <row r="1107">
      <c r="A1107" s="10">
        <f>IF(1089&gt;$E$5,"",SMALL($U$19:$U$4018,$E$6+1089))</f>
        <v/>
      </c>
      <c r="B1107" s="29">
        <f>IF(A1107="","",INDEX('자료_한국심리'!$B$3:$B$4002,MATCH(A1107,$U$19:$U$4018,0)))</f>
        <v/>
      </c>
      <c r="C1107" s="22">
        <f>IF(A1107="","",B1107/AVERAGE(B983:B1107)-1)</f>
        <v/>
      </c>
      <c r="D1107" s="29">
        <f>IF(A1107="","",IFERROR(INDEX('자료_한국심리'!$E$3:$E$4002,MATCH(A1107,$V$19:$V$4018,0)),D1106))</f>
        <v/>
      </c>
      <c r="E1107" s="30">
        <f>IF(A1107="","",IFERROR(INDEX('자료_한국심리'!$H$3:$H$4002,MATCH(A1107,$W$19:$W$4018,0)),E1106))</f>
        <v/>
      </c>
      <c r="F1107" s="30">
        <f>IF(A1107="","",IFERROR(INDEX('자료_한국심리'!$K$3:$K$4002,MATCH(A1107,$X$19:$X$4018,0)),F1106))</f>
        <v/>
      </c>
      <c r="G1107" s="30">
        <f>IF(AND(ISNUMBER(E1107),ISNUMBER(F1107)),ROUND(E1107-F1107,6),"")</f>
        <v/>
      </c>
      <c r="H1107" s="25">
        <f>IF(A1107="","",IFERROR(INDEX('자료_한국심리'!$N$3:$N$4002,MATCH(A1107,$Y$19:$Y$4018,0)),H1106))</f>
        <v/>
      </c>
      <c r="I1107" s="31">
        <f>IF(AND(ISNUMBER(H1107),ISNUMBER(H1087)),IF(H1087&gt;0,H1107/H1087-1,""),"")</f>
        <v/>
      </c>
      <c r="J1107">
        <f>IF(A1107="",0,IF(A1107&gt;$B$5,1,0))</f>
        <v/>
      </c>
      <c r="K1107" s="29">
        <f>IF(AND(J1107=1,ISNUMBER(D1107)),D1107,"")</f>
        <v/>
      </c>
      <c r="L1107" s="30">
        <f>IF(AND(J1107=1,ISNUMBER(G1107)),G1107,"")</f>
        <v/>
      </c>
      <c r="M1107" s="22">
        <f>IF(AND(J1107=1,ISNUMBER(C1107)),C1107,"")</f>
        <v/>
      </c>
      <c r="N1107" s="31">
        <f>IF(AND(J1107=1,ISNUMBER(I1107)),I1107,"")</f>
        <v/>
      </c>
      <c r="O1107" s="11">
        <f>IF(K1107="","",100-IF($G$13=1,50,(_xlfn.RANK.AVG(K1107,$K$19:$K$1518,1)-1)/($G$13-1)*100))</f>
        <v/>
      </c>
      <c r="P1107" s="11">
        <f>IF(L1107="","",100-IF($G$14=1,50,(_xlfn.RANK.AVG(L1107,$L$19:$L$1518,1)-1)/($G$14-1)*100))</f>
        <v/>
      </c>
      <c r="Q1107" s="11">
        <f>IF(M1107="","",IF($G$15=1,50,(_xlfn.RANK.AVG(M1107,$M$19:$M$1518,1)-1)/($G$15-1)*100))</f>
        <v/>
      </c>
      <c r="R1107" s="11">
        <f>IF(N1107="","",IF($G$16=1,50,(_xlfn.RANK.AVG(N1107,$N$19:$N$1518,1)-1)/($G$16-1)*100))</f>
        <v/>
      </c>
      <c r="S1107" s="11">
        <f>IF(COUNT(O1107:R1107)=4,ROUND(AVERAGE(O1107:R1107),6),"")</f>
        <v/>
      </c>
      <c r="U1107">
        <f>IF(AND(ISNUMBER('자료_한국심리'!$A1091),ISNUMBER('자료_한국심리'!$B1091)),'자료_한국심리'!$A1091,"")</f>
        <v/>
      </c>
      <c r="V1107">
        <f>IF(AND(ISNUMBER('자료_한국심리'!$D1091),ISNUMBER('자료_한국심리'!$E1091)),'자료_한국심리'!$D1091,"")</f>
        <v/>
      </c>
      <c r="W1107">
        <f>IF(AND(ISNUMBER('자료_한국심리'!$G1091),ISNUMBER('자료_한국심리'!$H1091)),'자료_한국심리'!$G1091,"")</f>
        <v/>
      </c>
      <c r="X1107">
        <f>IF(AND(ISNUMBER('자료_한국심리'!$J1091),ISNUMBER('자료_한국심리'!$K1091)),'자료_한국심리'!$J1091,"")</f>
        <v/>
      </c>
      <c r="Y1107">
        <f>IF(AND(ISNUMBER('자료_한국심리'!$M1091),ISNUMBER('자료_한국심리'!$N1091)),'자료_한국심리'!$M1091,"")</f>
        <v/>
      </c>
    </row>
    <row r="1108">
      <c r="A1108" s="10">
        <f>IF(1090&gt;$E$5,"",SMALL($U$19:$U$4018,$E$6+1090))</f>
        <v/>
      </c>
      <c r="B1108" s="29">
        <f>IF(A1108="","",INDEX('자료_한국심리'!$B$3:$B$4002,MATCH(A1108,$U$19:$U$4018,0)))</f>
        <v/>
      </c>
      <c r="C1108" s="22">
        <f>IF(A1108="","",B1108/AVERAGE(B984:B1108)-1)</f>
        <v/>
      </c>
      <c r="D1108" s="29">
        <f>IF(A1108="","",IFERROR(INDEX('자료_한국심리'!$E$3:$E$4002,MATCH(A1108,$V$19:$V$4018,0)),D1107))</f>
        <v/>
      </c>
      <c r="E1108" s="30">
        <f>IF(A1108="","",IFERROR(INDEX('자료_한국심리'!$H$3:$H$4002,MATCH(A1108,$W$19:$W$4018,0)),E1107))</f>
        <v/>
      </c>
      <c r="F1108" s="30">
        <f>IF(A1108="","",IFERROR(INDEX('자료_한국심리'!$K$3:$K$4002,MATCH(A1108,$X$19:$X$4018,0)),F1107))</f>
        <v/>
      </c>
      <c r="G1108" s="30">
        <f>IF(AND(ISNUMBER(E1108),ISNUMBER(F1108)),ROUND(E1108-F1108,6),"")</f>
        <v/>
      </c>
      <c r="H1108" s="25">
        <f>IF(A1108="","",IFERROR(INDEX('자료_한국심리'!$N$3:$N$4002,MATCH(A1108,$Y$19:$Y$4018,0)),H1107))</f>
        <v/>
      </c>
      <c r="I1108" s="31">
        <f>IF(AND(ISNUMBER(H1108),ISNUMBER(H1088)),IF(H1088&gt;0,H1108/H1088-1,""),"")</f>
        <v/>
      </c>
      <c r="J1108">
        <f>IF(A1108="",0,IF(A1108&gt;$B$5,1,0))</f>
        <v/>
      </c>
      <c r="K1108" s="29">
        <f>IF(AND(J1108=1,ISNUMBER(D1108)),D1108,"")</f>
        <v/>
      </c>
      <c r="L1108" s="30">
        <f>IF(AND(J1108=1,ISNUMBER(G1108)),G1108,"")</f>
        <v/>
      </c>
      <c r="M1108" s="22">
        <f>IF(AND(J1108=1,ISNUMBER(C1108)),C1108,"")</f>
        <v/>
      </c>
      <c r="N1108" s="31">
        <f>IF(AND(J1108=1,ISNUMBER(I1108)),I1108,"")</f>
        <v/>
      </c>
      <c r="O1108" s="11">
        <f>IF(K1108="","",100-IF($G$13=1,50,(_xlfn.RANK.AVG(K1108,$K$19:$K$1518,1)-1)/($G$13-1)*100))</f>
        <v/>
      </c>
      <c r="P1108" s="11">
        <f>IF(L1108="","",100-IF($G$14=1,50,(_xlfn.RANK.AVG(L1108,$L$19:$L$1518,1)-1)/($G$14-1)*100))</f>
        <v/>
      </c>
      <c r="Q1108" s="11">
        <f>IF(M1108="","",IF($G$15=1,50,(_xlfn.RANK.AVG(M1108,$M$19:$M$1518,1)-1)/($G$15-1)*100))</f>
        <v/>
      </c>
      <c r="R1108" s="11">
        <f>IF(N1108="","",IF($G$16=1,50,(_xlfn.RANK.AVG(N1108,$N$19:$N$1518,1)-1)/($G$16-1)*100))</f>
        <v/>
      </c>
      <c r="S1108" s="11">
        <f>IF(COUNT(O1108:R1108)=4,ROUND(AVERAGE(O1108:R1108),6),"")</f>
        <v/>
      </c>
      <c r="U1108">
        <f>IF(AND(ISNUMBER('자료_한국심리'!$A1092),ISNUMBER('자료_한국심리'!$B1092)),'자료_한국심리'!$A1092,"")</f>
        <v/>
      </c>
      <c r="V1108">
        <f>IF(AND(ISNUMBER('자료_한국심리'!$D1092),ISNUMBER('자료_한국심리'!$E1092)),'자료_한국심리'!$D1092,"")</f>
        <v/>
      </c>
      <c r="W1108">
        <f>IF(AND(ISNUMBER('자료_한국심리'!$G1092),ISNUMBER('자료_한국심리'!$H1092)),'자료_한국심리'!$G1092,"")</f>
        <v/>
      </c>
      <c r="X1108">
        <f>IF(AND(ISNUMBER('자료_한국심리'!$J1092),ISNUMBER('자료_한국심리'!$K1092)),'자료_한국심리'!$J1092,"")</f>
        <v/>
      </c>
      <c r="Y1108">
        <f>IF(AND(ISNUMBER('자료_한국심리'!$M1092),ISNUMBER('자료_한국심리'!$N1092)),'자료_한국심리'!$M1092,"")</f>
        <v/>
      </c>
    </row>
    <row r="1109">
      <c r="A1109" s="10">
        <f>IF(1091&gt;$E$5,"",SMALL($U$19:$U$4018,$E$6+1091))</f>
        <v/>
      </c>
      <c r="B1109" s="29">
        <f>IF(A1109="","",INDEX('자료_한국심리'!$B$3:$B$4002,MATCH(A1109,$U$19:$U$4018,0)))</f>
        <v/>
      </c>
      <c r="C1109" s="22">
        <f>IF(A1109="","",B1109/AVERAGE(B985:B1109)-1)</f>
        <v/>
      </c>
      <c r="D1109" s="29">
        <f>IF(A1109="","",IFERROR(INDEX('자료_한국심리'!$E$3:$E$4002,MATCH(A1109,$V$19:$V$4018,0)),D1108))</f>
        <v/>
      </c>
      <c r="E1109" s="30">
        <f>IF(A1109="","",IFERROR(INDEX('자료_한국심리'!$H$3:$H$4002,MATCH(A1109,$W$19:$W$4018,0)),E1108))</f>
        <v/>
      </c>
      <c r="F1109" s="30">
        <f>IF(A1109="","",IFERROR(INDEX('자료_한국심리'!$K$3:$K$4002,MATCH(A1109,$X$19:$X$4018,0)),F1108))</f>
        <v/>
      </c>
      <c r="G1109" s="30">
        <f>IF(AND(ISNUMBER(E1109),ISNUMBER(F1109)),ROUND(E1109-F1109,6),"")</f>
        <v/>
      </c>
      <c r="H1109" s="25">
        <f>IF(A1109="","",IFERROR(INDEX('자료_한국심리'!$N$3:$N$4002,MATCH(A1109,$Y$19:$Y$4018,0)),H1108))</f>
        <v/>
      </c>
      <c r="I1109" s="31">
        <f>IF(AND(ISNUMBER(H1109),ISNUMBER(H1089)),IF(H1089&gt;0,H1109/H1089-1,""),"")</f>
        <v/>
      </c>
      <c r="J1109">
        <f>IF(A1109="",0,IF(A1109&gt;$B$5,1,0))</f>
        <v/>
      </c>
      <c r="K1109" s="29">
        <f>IF(AND(J1109=1,ISNUMBER(D1109)),D1109,"")</f>
        <v/>
      </c>
      <c r="L1109" s="30">
        <f>IF(AND(J1109=1,ISNUMBER(G1109)),G1109,"")</f>
        <v/>
      </c>
      <c r="M1109" s="22">
        <f>IF(AND(J1109=1,ISNUMBER(C1109)),C1109,"")</f>
        <v/>
      </c>
      <c r="N1109" s="31">
        <f>IF(AND(J1109=1,ISNUMBER(I1109)),I1109,"")</f>
        <v/>
      </c>
      <c r="O1109" s="11">
        <f>IF(K1109="","",100-IF($G$13=1,50,(_xlfn.RANK.AVG(K1109,$K$19:$K$1518,1)-1)/($G$13-1)*100))</f>
        <v/>
      </c>
      <c r="P1109" s="11">
        <f>IF(L1109="","",100-IF($G$14=1,50,(_xlfn.RANK.AVG(L1109,$L$19:$L$1518,1)-1)/($G$14-1)*100))</f>
        <v/>
      </c>
      <c r="Q1109" s="11">
        <f>IF(M1109="","",IF($G$15=1,50,(_xlfn.RANK.AVG(M1109,$M$19:$M$1518,1)-1)/($G$15-1)*100))</f>
        <v/>
      </c>
      <c r="R1109" s="11">
        <f>IF(N1109="","",IF($G$16=1,50,(_xlfn.RANK.AVG(N1109,$N$19:$N$1518,1)-1)/($G$16-1)*100))</f>
        <v/>
      </c>
      <c r="S1109" s="11">
        <f>IF(COUNT(O1109:R1109)=4,ROUND(AVERAGE(O1109:R1109),6),"")</f>
        <v/>
      </c>
      <c r="U1109">
        <f>IF(AND(ISNUMBER('자료_한국심리'!$A1093),ISNUMBER('자료_한국심리'!$B1093)),'자료_한국심리'!$A1093,"")</f>
        <v/>
      </c>
      <c r="V1109">
        <f>IF(AND(ISNUMBER('자료_한국심리'!$D1093),ISNUMBER('자료_한국심리'!$E1093)),'자료_한국심리'!$D1093,"")</f>
        <v/>
      </c>
      <c r="W1109">
        <f>IF(AND(ISNUMBER('자료_한국심리'!$G1093),ISNUMBER('자료_한국심리'!$H1093)),'자료_한국심리'!$G1093,"")</f>
        <v/>
      </c>
      <c r="X1109">
        <f>IF(AND(ISNUMBER('자료_한국심리'!$J1093),ISNUMBER('자료_한국심리'!$K1093)),'자료_한국심리'!$J1093,"")</f>
        <v/>
      </c>
      <c r="Y1109">
        <f>IF(AND(ISNUMBER('자료_한국심리'!$M1093),ISNUMBER('자료_한국심리'!$N1093)),'자료_한국심리'!$M1093,"")</f>
        <v/>
      </c>
    </row>
    <row r="1110">
      <c r="A1110" s="10">
        <f>IF(1092&gt;$E$5,"",SMALL($U$19:$U$4018,$E$6+1092))</f>
        <v/>
      </c>
      <c r="B1110" s="29">
        <f>IF(A1110="","",INDEX('자료_한국심리'!$B$3:$B$4002,MATCH(A1110,$U$19:$U$4018,0)))</f>
        <v/>
      </c>
      <c r="C1110" s="22">
        <f>IF(A1110="","",B1110/AVERAGE(B986:B1110)-1)</f>
        <v/>
      </c>
      <c r="D1110" s="29">
        <f>IF(A1110="","",IFERROR(INDEX('자료_한국심리'!$E$3:$E$4002,MATCH(A1110,$V$19:$V$4018,0)),D1109))</f>
        <v/>
      </c>
      <c r="E1110" s="30">
        <f>IF(A1110="","",IFERROR(INDEX('자료_한국심리'!$H$3:$H$4002,MATCH(A1110,$W$19:$W$4018,0)),E1109))</f>
        <v/>
      </c>
      <c r="F1110" s="30">
        <f>IF(A1110="","",IFERROR(INDEX('자료_한국심리'!$K$3:$K$4002,MATCH(A1110,$X$19:$X$4018,0)),F1109))</f>
        <v/>
      </c>
      <c r="G1110" s="30">
        <f>IF(AND(ISNUMBER(E1110),ISNUMBER(F1110)),ROUND(E1110-F1110,6),"")</f>
        <v/>
      </c>
      <c r="H1110" s="25">
        <f>IF(A1110="","",IFERROR(INDEX('자료_한국심리'!$N$3:$N$4002,MATCH(A1110,$Y$19:$Y$4018,0)),H1109))</f>
        <v/>
      </c>
      <c r="I1110" s="31">
        <f>IF(AND(ISNUMBER(H1110),ISNUMBER(H1090)),IF(H1090&gt;0,H1110/H1090-1,""),"")</f>
        <v/>
      </c>
      <c r="J1110">
        <f>IF(A1110="",0,IF(A1110&gt;$B$5,1,0))</f>
        <v/>
      </c>
      <c r="K1110" s="29">
        <f>IF(AND(J1110=1,ISNUMBER(D1110)),D1110,"")</f>
        <v/>
      </c>
      <c r="L1110" s="30">
        <f>IF(AND(J1110=1,ISNUMBER(G1110)),G1110,"")</f>
        <v/>
      </c>
      <c r="M1110" s="22">
        <f>IF(AND(J1110=1,ISNUMBER(C1110)),C1110,"")</f>
        <v/>
      </c>
      <c r="N1110" s="31">
        <f>IF(AND(J1110=1,ISNUMBER(I1110)),I1110,"")</f>
        <v/>
      </c>
      <c r="O1110" s="11">
        <f>IF(K1110="","",100-IF($G$13=1,50,(_xlfn.RANK.AVG(K1110,$K$19:$K$1518,1)-1)/($G$13-1)*100))</f>
        <v/>
      </c>
      <c r="P1110" s="11">
        <f>IF(L1110="","",100-IF($G$14=1,50,(_xlfn.RANK.AVG(L1110,$L$19:$L$1518,1)-1)/($G$14-1)*100))</f>
        <v/>
      </c>
      <c r="Q1110" s="11">
        <f>IF(M1110="","",IF($G$15=1,50,(_xlfn.RANK.AVG(M1110,$M$19:$M$1518,1)-1)/($G$15-1)*100))</f>
        <v/>
      </c>
      <c r="R1110" s="11">
        <f>IF(N1110="","",IF($G$16=1,50,(_xlfn.RANK.AVG(N1110,$N$19:$N$1518,1)-1)/($G$16-1)*100))</f>
        <v/>
      </c>
      <c r="S1110" s="11">
        <f>IF(COUNT(O1110:R1110)=4,ROUND(AVERAGE(O1110:R1110),6),"")</f>
        <v/>
      </c>
      <c r="U1110">
        <f>IF(AND(ISNUMBER('자료_한국심리'!$A1094),ISNUMBER('자료_한국심리'!$B1094)),'자료_한국심리'!$A1094,"")</f>
        <v/>
      </c>
      <c r="V1110">
        <f>IF(AND(ISNUMBER('자료_한국심리'!$D1094),ISNUMBER('자료_한국심리'!$E1094)),'자료_한국심리'!$D1094,"")</f>
        <v/>
      </c>
      <c r="W1110">
        <f>IF(AND(ISNUMBER('자료_한국심리'!$G1094),ISNUMBER('자료_한국심리'!$H1094)),'자료_한국심리'!$G1094,"")</f>
        <v/>
      </c>
      <c r="X1110">
        <f>IF(AND(ISNUMBER('자료_한국심리'!$J1094),ISNUMBER('자료_한국심리'!$K1094)),'자료_한국심리'!$J1094,"")</f>
        <v/>
      </c>
      <c r="Y1110">
        <f>IF(AND(ISNUMBER('자료_한국심리'!$M1094),ISNUMBER('자료_한국심리'!$N1094)),'자료_한국심리'!$M1094,"")</f>
        <v/>
      </c>
    </row>
    <row r="1111">
      <c r="A1111" s="10">
        <f>IF(1093&gt;$E$5,"",SMALL($U$19:$U$4018,$E$6+1093))</f>
        <v/>
      </c>
      <c r="B1111" s="29">
        <f>IF(A1111="","",INDEX('자료_한국심리'!$B$3:$B$4002,MATCH(A1111,$U$19:$U$4018,0)))</f>
        <v/>
      </c>
      <c r="C1111" s="22">
        <f>IF(A1111="","",B1111/AVERAGE(B987:B1111)-1)</f>
        <v/>
      </c>
      <c r="D1111" s="29">
        <f>IF(A1111="","",IFERROR(INDEX('자료_한국심리'!$E$3:$E$4002,MATCH(A1111,$V$19:$V$4018,0)),D1110))</f>
        <v/>
      </c>
      <c r="E1111" s="30">
        <f>IF(A1111="","",IFERROR(INDEX('자료_한국심리'!$H$3:$H$4002,MATCH(A1111,$W$19:$W$4018,0)),E1110))</f>
        <v/>
      </c>
      <c r="F1111" s="30">
        <f>IF(A1111="","",IFERROR(INDEX('자료_한국심리'!$K$3:$K$4002,MATCH(A1111,$X$19:$X$4018,0)),F1110))</f>
        <v/>
      </c>
      <c r="G1111" s="30">
        <f>IF(AND(ISNUMBER(E1111),ISNUMBER(F1111)),ROUND(E1111-F1111,6),"")</f>
        <v/>
      </c>
      <c r="H1111" s="25">
        <f>IF(A1111="","",IFERROR(INDEX('자료_한국심리'!$N$3:$N$4002,MATCH(A1111,$Y$19:$Y$4018,0)),H1110))</f>
        <v/>
      </c>
      <c r="I1111" s="31">
        <f>IF(AND(ISNUMBER(H1111),ISNUMBER(H1091)),IF(H1091&gt;0,H1111/H1091-1,""),"")</f>
        <v/>
      </c>
      <c r="J1111">
        <f>IF(A1111="",0,IF(A1111&gt;$B$5,1,0))</f>
        <v/>
      </c>
      <c r="K1111" s="29">
        <f>IF(AND(J1111=1,ISNUMBER(D1111)),D1111,"")</f>
        <v/>
      </c>
      <c r="L1111" s="30">
        <f>IF(AND(J1111=1,ISNUMBER(G1111)),G1111,"")</f>
        <v/>
      </c>
      <c r="M1111" s="22">
        <f>IF(AND(J1111=1,ISNUMBER(C1111)),C1111,"")</f>
        <v/>
      </c>
      <c r="N1111" s="31">
        <f>IF(AND(J1111=1,ISNUMBER(I1111)),I1111,"")</f>
        <v/>
      </c>
      <c r="O1111" s="11">
        <f>IF(K1111="","",100-IF($G$13=1,50,(_xlfn.RANK.AVG(K1111,$K$19:$K$1518,1)-1)/($G$13-1)*100))</f>
        <v/>
      </c>
      <c r="P1111" s="11">
        <f>IF(L1111="","",100-IF($G$14=1,50,(_xlfn.RANK.AVG(L1111,$L$19:$L$1518,1)-1)/($G$14-1)*100))</f>
        <v/>
      </c>
      <c r="Q1111" s="11">
        <f>IF(M1111="","",IF($G$15=1,50,(_xlfn.RANK.AVG(M1111,$M$19:$M$1518,1)-1)/($G$15-1)*100))</f>
        <v/>
      </c>
      <c r="R1111" s="11">
        <f>IF(N1111="","",IF($G$16=1,50,(_xlfn.RANK.AVG(N1111,$N$19:$N$1518,1)-1)/($G$16-1)*100))</f>
        <v/>
      </c>
      <c r="S1111" s="11">
        <f>IF(COUNT(O1111:R1111)=4,ROUND(AVERAGE(O1111:R1111),6),"")</f>
        <v/>
      </c>
      <c r="U1111">
        <f>IF(AND(ISNUMBER('자료_한국심리'!$A1095),ISNUMBER('자료_한국심리'!$B1095)),'자료_한국심리'!$A1095,"")</f>
        <v/>
      </c>
      <c r="V1111">
        <f>IF(AND(ISNUMBER('자료_한국심리'!$D1095),ISNUMBER('자료_한국심리'!$E1095)),'자료_한국심리'!$D1095,"")</f>
        <v/>
      </c>
      <c r="W1111">
        <f>IF(AND(ISNUMBER('자료_한국심리'!$G1095),ISNUMBER('자료_한국심리'!$H1095)),'자료_한국심리'!$G1095,"")</f>
        <v/>
      </c>
      <c r="X1111">
        <f>IF(AND(ISNUMBER('자료_한국심리'!$J1095),ISNUMBER('자료_한국심리'!$K1095)),'자료_한국심리'!$J1095,"")</f>
        <v/>
      </c>
      <c r="Y1111">
        <f>IF(AND(ISNUMBER('자료_한국심리'!$M1095),ISNUMBER('자료_한국심리'!$N1095)),'자료_한국심리'!$M1095,"")</f>
        <v/>
      </c>
    </row>
    <row r="1112">
      <c r="A1112" s="10">
        <f>IF(1094&gt;$E$5,"",SMALL($U$19:$U$4018,$E$6+1094))</f>
        <v/>
      </c>
      <c r="B1112" s="29">
        <f>IF(A1112="","",INDEX('자료_한국심리'!$B$3:$B$4002,MATCH(A1112,$U$19:$U$4018,0)))</f>
        <v/>
      </c>
      <c r="C1112" s="22">
        <f>IF(A1112="","",B1112/AVERAGE(B988:B1112)-1)</f>
        <v/>
      </c>
      <c r="D1112" s="29">
        <f>IF(A1112="","",IFERROR(INDEX('자료_한국심리'!$E$3:$E$4002,MATCH(A1112,$V$19:$V$4018,0)),D1111))</f>
        <v/>
      </c>
      <c r="E1112" s="30">
        <f>IF(A1112="","",IFERROR(INDEX('자료_한국심리'!$H$3:$H$4002,MATCH(A1112,$W$19:$W$4018,0)),E1111))</f>
        <v/>
      </c>
      <c r="F1112" s="30">
        <f>IF(A1112="","",IFERROR(INDEX('자료_한국심리'!$K$3:$K$4002,MATCH(A1112,$X$19:$X$4018,0)),F1111))</f>
        <v/>
      </c>
      <c r="G1112" s="30">
        <f>IF(AND(ISNUMBER(E1112),ISNUMBER(F1112)),ROUND(E1112-F1112,6),"")</f>
        <v/>
      </c>
      <c r="H1112" s="25">
        <f>IF(A1112="","",IFERROR(INDEX('자료_한국심리'!$N$3:$N$4002,MATCH(A1112,$Y$19:$Y$4018,0)),H1111))</f>
        <v/>
      </c>
      <c r="I1112" s="31">
        <f>IF(AND(ISNUMBER(H1112),ISNUMBER(H1092)),IF(H1092&gt;0,H1112/H1092-1,""),"")</f>
        <v/>
      </c>
      <c r="J1112">
        <f>IF(A1112="",0,IF(A1112&gt;$B$5,1,0))</f>
        <v/>
      </c>
      <c r="K1112" s="29">
        <f>IF(AND(J1112=1,ISNUMBER(D1112)),D1112,"")</f>
        <v/>
      </c>
      <c r="L1112" s="30">
        <f>IF(AND(J1112=1,ISNUMBER(G1112)),G1112,"")</f>
        <v/>
      </c>
      <c r="M1112" s="22">
        <f>IF(AND(J1112=1,ISNUMBER(C1112)),C1112,"")</f>
        <v/>
      </c>
      <c r="N1112" s="31">
        <f>IF(AND(J1112=1,ISNUMBER(I1112)),I1112,"")</f>
        <v/>
      </c>
      <c r="O1112" s="11">
        <f>IF(K1112="","",100-IF($G$13=1,50,(_xlfn.RANK.AVG(K1112,$K$19:$K$1518,1)-1)/($G$13-1)*100))</f>
        <v/>
      </c>
      <c r="P1112" s="11">
        <f>IF(L1112="","",100-IF($G$14=1,50,(_xlfn.RANK.AVG(L1112,$L$19:$L$1518,1)-1)/($G$14-1)*100))</f>
        <v/>
      </c>
      <c r="Q1112" s="11">
        <f>IF(M1112="","",IF($G$15=1,50,(_xlfn.RANK.AVG(M1112,$M$19:$M$1518,1)-1)/($G$15-1)*100))</f>
        <v/>
      </c>
      <c r="R1112" s="11">
        <f>IF(N1112="","",IF($G$16=1,50,(_xlfn.RANK.AVG(N1112,$N$19:$N$1518,1)-1)/($G$16-1)*100))</f>
        <v/>
      </c>
      <c r="S1112" s="11">
        <f>IF(COUNT(O1112:R1112)=4,ROUND(AVERAGE(O1112:R1112),6),"")</f>
        <v/>
      </c>
      <c r="U1112">
        <f>IF(AND(ISNUMBER('자료_한국심리'!$A1096),ISNUMBER('자료_한국심리'!$B1096)),'자료_한국심리'!$A1096,"")</f>
        <v/>
      </c>
      <c r="V1112">
        <f>IF(AND(ISNUMBER('자료_한국심리'!$D1096),ISNUMBER('자료_한국심리'!$E1096)),'자료_한국심리'!$D1096,"")</f>
        <v/>
      </c>
      <c r="W1112">
        <f>IF(AND(ISNUMBER('자료_한국심리'!$G1096),ISNUMBER('자료_한국심리'!$H1096)),'자료_한국심리'!$G1096,"")</f>
        <v/>
      </c>
      <c r="X1112">
        <f>IF(AND(ISNUMBER('자료_한국심리'!$J1096),ISNUMBER('자료_한국심리'!$K1096)),'자료_한국심리'!$J1096,"")</f>
        <v/>
      </c>
      <c r="Y1112">
        <f>IF(AND(ISNUMBER('자료_한국심리'!$M1096),ISNUMBER('자료_한국심리'!$N1096)),'자료_한국심리'!$M1096,"")</f>
        <v/>
      </c>
    </row>
    <row r="1113">
      <c r="A1113" s="10">
        <f>IF(1095&gt;$E$5,"",SMALL($U$19:$U$4018,$E$6+1095))</f>
        <v/>
      </c>
      <c r="B1113" s="29">
        <f>IF(A1113="","",INDEX('자료_한국심리'!$B$3:$B$4002,MATCH(A1113,$U$19:$U$4018,0)))</f>
        <v/>
      </c>
      <c r="C1113" s="22">
        <f>IF(A1113="","",B1113/AVERAGE(B989:B1113)-1)</f>
        <v/>
      </c>
      <c r="D1113" s="29">
        <f>IF(A1113="","",IFERROR(INDEX('자료_한국심리'!$E$3:$E$4002,MATCH(A1113,$V$19:$V$4018,0)),D1112))</f>
        <v/>
      </c>
      <c r="E1113" s="30">
        <f>IF(A1113="","",IFERROR(INDEX('자료_한국심리'!$H$3:$H$4002,MATCH(A1113,$W$19:$W$4018,0)),E1112))</f>
        <v/>
      </c>
      <c r="F1113" s="30">
        <f>IF(A1113="","",IFERROR(INDEX('자료_한국심리'!$K$3:$K$4002,MATCH(A1113,$X$19:$X$4018,0)),F1112))</f>
        <v/>
      </c>
      <c r="G1113" s="30">
        <f>IF(AND(ISNUMBER(E1113),ISNUMBER(F1113)),ROUND(E1113-F1113,6),"")</f>
        <v/>
      </c>
      <c r="H1113" s="25">
        <f>IF(A1113="","",IFERROR(INDEX('자료_한국심리'!$N$3:$N$4002,MATCH(A1113,$Y$19:$Y$4018,0)),H1112))</f>
        <v/>
      </c>
      <c r="I1113" s="31">
        <f>IF(AND(ISNUMBER(H1113),ISNUMBER(H1093)),IF(H1093&gt;0,H1113/H1093-1,""),"")</f>
        <v/>
      </c>
      <c r="J1113">
        <f>IF(A1113="",0,IF(A1113&gt;$B$5,1,0))</f>
        <v/>
      </c>
      <c r="K1113" s="29">
        <f>IF(AND(J1113=1,ISNUMBER(D1113)),D1113,"")</f>
        <v/>
      </c>
      <c r="L1113" s="30">
        <f>IF(AND(J1113=1,ISNUMBER(G1113)),G1113,"")</f>
        <v/>
      </c>
      <c r="M1113" s="22">
        <f>IF(AND(J1113=1,ISNUMBER(C1113)),C1113,"")</f>
        <v/>
      </c>
      <c r="N1113" s="31">
        <f>IF(AND(J1113=1,ISNUMBER(I1113)),I1113,"")</f>
        <v/>
      </c>
      <c r="O1113" s="11">
        <f>IF(K1113="","",100-IF($G$13=1,50,(_xlfn.RANK.AVG(K1113,$K$19:$K$1518,1)-1)/($G$13-1)*100))</f>
        <v/>
      </c>
      <c r="P1113" s="11">
        <f>IF(L1113="","",100-IF($G$14=1,50,(_xlfn.RANK.AVG(L1113,$L$19:$L$1518,1)-1)/($G$14-1)*100))</f>
        <v/>
      </c>
      <c r="Q1113" s="11">
        <f>IF(M1113="","",IF($G$15=1,50,(_xlfn.RANK.AVG(M1113,$M$19:$M$1518,1)-1)/($G$15-1)*100))</f>
        <v/>
      </c>
      <c r="R1113" s="11">
        <f>IF(N1113="","",IF($G$16=1,50,(_xlfn.RANK.AVG(N1113,$N$19:$N$1518,1)-1)/($G$16-1)*100))</f>
        <v/>
      </c>
      <c r="S1113" s="11">
        <f>IF(COUNT(O1113:R1113)=4,ROUND(AVERAGE(O1113:R1113),6),"")</f>
        <v/>
      </c>
      <c r="U1113">
        <f>IF(AND(ISNUMBER('자료_한국심리'!$A1097),ISNUMBER('자료_한국심리'!$B1097)),'자료_한국심리'!$A1097,"")</f>
        <v/>
      </c>
      <c r="V1113">
        <f>IF(AND(ISNUMBER('자료_한국심리'!$D1097),ISNUMBER('자료_한국심리'!$E1097)),'자료_한국심리'!$D1097,"")</f>
        <v/>
      </c>
      <c r="W1113">
        <f>IF(AND(ISNUMBER('자료_한국심리'!$G1097),ISNUMBER('자료_한국심리'!$H1097)),'자료_한국심리'!$G1097,"")</f>
        <v/>
      </c>
      <c r="X1113">
        <f>IF(AND(ISNUMBER('자료_한국심리'!$J1097),ISNUMBER('자료_한국심리'!$K1097)),'자료_한국심리'!$J1097,"")</f>
        <v/>
      </c>
      <c r="Y1113">
        <f>IF(AND(ISNUMBER('자료_한국심리'!$M1097),ISNUMBER('자료_한국심리'!$N1097)),'자료_한국심리'!$M1097,"")</f>
        <v/>
      </c>
    </row>
    <row r="1114">
      <c r="A1114" s="10">
        <f>IF(1096&gt;$E$5,"",SMALL($U$19:$U$4018,$E$6+1096))</f>
        <v/>
      </c>
      <c r="B1114" s="29">
        <f>IF(A1114="","",INDEX('자료_한국심리'!$B$3:$B$4002,MATCH(A1114,$U$19:$U$4018,0)))</f>
        <v/>
      </c>
      <c r="C1114" s="22">
        <f>IF(A1114="","",B1114/AVERAGE(B990:B1114)-1)</f>
        <v/>
      </c>
      <c r="D1114" s="29">
        <f>IF(A1114="","",IFERROR(INDEX('자료_한국심리'!$E$3:$E$4002,MATCH(A1114,$V$19:$V$4018,0)),D1113))</f>
        <v/>
      </c>
      <c r="E1114" s="30">
        <f>IF(A1114="","",IFERROR(INDEX('자료_한국심리'!$H$3:$H$4002,MATCH(A1114,$W$19:$W$4018,0)),E1113))</f>
        <v/>
      </c>
      <c r="F1114" s="30">
        <f>IF(A1114="","",IFERROR(INDEX('자료_한국심리'!$K$3:$K$4002,MATCH(A1114,$X$19:$X$4018,0)),F1113))</f>
        <v/>
      </c>
      <c r="G1114" s="30">
        <f>IF(AND(ISNUMBER(E1114),ISNUMBER(F1114)),ROUND(E1114-F1114,6),"")</f>
        <v/>
      </c>
      <c r="H1114" s="25">
        <f>IF(A1114="","",IFERROR(INDEX('자료_한국심리'!$N$3:$N$4002,MATCH(A1114,$Y$19:$Y$4018,0)),H1113))</f>
        <v/>
      </c>
      <c r="I1114" s="31">
        <f>IF(AND(ISNUMBER(H1114),ISNUMBER(H1094)),IF(H1094&gt;0,H1114/H1094-1,""),"")</f>
        <v/>
      </c>
      <c r="J1114">
        <f>IF(A1114="",0,IF(A1114&gt;$B$5,1,0))</f>
        <v/>
      </c>
      <c r="K1114" s="29">
        <f>IF(AND(J1114=1,ISNUMBER(D1114)),D1114,"")</f>
        <v/>
      </c>
      <c r="L1114" s="30">
        <f>IF(AND(J1114=1,ISNUMBER(G1114)),G1114,"")</f>
        <v/>
      </c>
      <c r="M1114" s="22">
        <f>IF(AND(J1114=1,ISNUMBER(C1114)),C1114,"")</f>
        <v/>
      </c>
      <c r="N1114" s="31">
        <f>IF(AND(J1114=1,ISNUMBER(I1114)),I1114,"")</f>
        <v/>
      </c>
      <c r="O1114" s="11">
        <f>IF(K1114="","",100-IF($G$13=1,50,(_xlfn.RANK.AVG(K1114,$K$19:$K$1518,1)-1)/($G$13-1)*100))</f>
        <v/>
      </c>
      <c r="P1114" s="11">
        <f>IF(L1114="","",100-IF($G$14=1,50,(_xlfn.RANK.AVG(L1114,$L$19:$L$1518,1)-1)/($G$14-1)*100))</f>
        <v/>
      </c>
      <c r="Q1114" s="11">
        <f>IF(M1114="","",IF($G$15=1,50,(_xlfn.RANK.AVG(M1114,$M$19:$M$1518,1)-1)/($G$15-1)*100))</f>
        <v/>
      </c>
      <c r="R1114" s="11">
        <f>IF(N1114="","",IF($G$16=1,50,(_xlfn.RANK.AVG(N1114,$N$19:$N$1518,1)-1)/($G$16-1)*100))</f>
        <v/>
      </c>
      <c r="S1114" s="11">
        <f>IF(COUNT(O1114:R1114)=4,ROUND(AVERAGE(O1114:R1114),6),"")</f>
        <v/>
      </c>
      <c r="U1114">
        <f>IF(AND(ISNUMBER('자료_한국심리'!$A1098),ISNUMBER('자료_한국심리'!$B1098)),'자료_한국심리'!$A1098,"")</f>
        <v/>
      </c>
      <c r="V1114">
        <f>IF(AND(ISNUMBER('자료_한국심리'!$D1098),ISNUMBER('자료_한국심리'!$E1098)),'자료_한국심리'!$D1098,"")</f>
        <v/>
      </c>
      <c r="W1114">
        <f>IF(AND(ISNUMBER('자료_한국심리'!$G1098),ISNUMBER('자료_한국심리'!$H1098)),'자료_한국심리'!$G1098,"")</f>
        <v/>
      </c>
      <c r="X1114">
        <f>IF(AND(ISNUMBER('자료_한국심리'!$J1098),ISNUMBER('자료_한국심리'!$K1098)),'자료_한국심리'!$J1098,"")</f>
        <v/>
      </c>
      <c r="Y1114">
        <f>IF(AND(ISNUMBER('자료_한국심리'!$M1098),ISNUMBER('자료_한국심리'!$N1098)),'자료_한국심리'!$M1098,"")</f>
        <v/>
      </c>
    </row>
    <row r="1115">
      <c r="A1115" s="10">
        <f>IF(1097&gt;$E$5,"",SMALL($U$19:$U$4018,$E$6+1097))</f>
        <v/>
      </c>
      <c r="B1115" s="29">
        <f>IF(A1115="","",INDEX('자료_한국심리'!$B$3:$B$4002,MATCH(A1115,$U$19:$U$4018,0)))</f>
        <v/>
      </c>
      <c r="C1115" s="22">
        <f>IF(A1115="","",B1115/AVERAGE(B991:B1115)-1)</f>
        <v/>
      </c>
      <c r="D1115" s="29">
        <f>IF(A1115="","",IFERROR(INDEX('자료_한국심리'!$E$3:$E$4002,MATCH(A1115,$V$19:$V$4018,0)),D1114))</f>
        <v/>
      </c>
      <c r="E1115" s="30">
        <f>IF(A1115="","",IFERROR(INDEX('자료_한국심리'!$H$3:$H$4002,MATCH(A1115,$W$19:$W$4018,0)),E1114))</f>
        <v/>
      </c>
      <c r="F1115" s="30">
        <f>IF(A1115="","",IFERROR(INDEX('자료_한국심리'!$K$3:$K$4002,MATCH(A1115,$X$19:$X$4018,0)),F1114))</f>
        <v/>
      </c>
      <c r="G1115" s="30">
        <f>IF(AND(ISNUMBER(E1115),ISNUMBER(F1115)),ROUND(E1115-F1115,6),"")</f>
        <v/>
      </c>
      <c r="H1115" s="25">
        <f>IF(A1115="","",IFERROR(INDEX('자료_한국심리'!$N$3:$N$4002,MATCH(A1115,$Y$19:$Y$4018,0)),H1114))</f>
        <v/>
      </c>
      <c r="I1115" s="31">
        <f>IF(AND(ISNUMBER(H1115),ISNUMBER(H1095)),IF(H1095&gt;0,H1115/H1095-1,""),"")</f>
        <v/>
      </c>
      <c r="J1115">
        <f>IF(A1115="",0,IF(A1115&gt;$B$5,1,0))</f>
        <v/>
      </c>
      <c r="K1115" s="29">
        <f>IF(AND(J1115=1,ISNUMBER(D1115)),D1115,"")</f>
        <v/>
      </c>
      <c r="L1115" s="30">
        <f>IF(AND(J1115=1,ISNUMBER(G1115)),G1115,"")</f>
        <v/>
      </c>
      <c r="M1115" s="22">
        <f>IF(AND(J1115=1,ISNUMBER(C1115)),C1115,"")</f>
        <v/>
      </c>
      <c r="N1115" s="31">
        <f>IF(AND(J1115=1,ISNUMBER(I1115)),I1115,"")</f>
        <v/>
      </c>
      <c r="O1115" s="11">
        <f>IF(K1115="","",100-IF($G$13=1,50,(_xlfn.RANK.AVG(K1115,$K$19:$K$1518,1)-1)/($G$13-1)*100))</f>
        <v/>
      </c>
      <c r="P1115" s="11">
        <f>IF(L1115="","",100-IF($G$14=1,50,(_xlfn.RANK.AVG(L1115,$L$19:$L$1518,1)-1)/($G$14-1)*100))</f>
        <v/>
      </c>
      <c r="Q1115" s="11">
        <f>IF(M1115="","",IF($G$15=1,50,(_xlfn.RANK.AVG(M1115,$M$19:$M$1518,1)-1)/($G$15-1)*100))</f>
        <v/>
      </c>
      <c r="R1115" s="11">
        <f>IF(N1115="","",IF($G$16=1,50,(_xlfn.RANK.AVG(N1115,$N$19:$N$1518,1)-1)/($G$16-1)*100))</f>
        <v/>
      </c>
      <c r="S1115" s="11">
        <f>IF(COUNT(O1115:R1115)=4,ROUND(AVERAGE(O1115:R1115),6),"")</f>
        <v/>
      </c>
      <c r="U1115">
        <f>IF(AND(ISNUMBER('자료_한국심리'!$A1099),ISNUMBER('자료_한국심리'!$B1099)),'자료_한국심리'!$A1099,"")</f>
        <v/>
      </c>
      <c r="V1115">
        <f>IF(AND(ISNUMBER('자료_한국심리'!$D1099),ISNUMBER('자료_한국심리'!$E1099)),'자료_한국심리'!$D1099,"")</f>
        <v/>
      </c>
      <c r="W1115">
        <f>IF(AND(ISNUMBER('자료_한국심리'!$G1099),ISNUMBER('자료_한국심리'!$H1099)),'자료_한국심리'!$G1099,"")</f>
        <v/>
      </c>
      <c r="X1115">
        <f>IF(AND(ISNUMBER('자료_한국심리'!$J1099),ISNUMBER('자료_한국심리'!$K1099)),'자료_한국심리'!$J1099,"")</f>
        <v/>
      </c>
      <c r="Y1115">
        <f>IF(AND(ISNUMBER('자료_한국심리'!$M1099),ISNUMBER('자료_한국심리'!$N1099)),'자료_한국심리'!$M1099,"")</f>
        <v/>
      </c>
    </row>
    <row r="1116">
      <c r="A1116" s="10">
        <f>IF(1098&gt;$E$5,"",SMALL($U$19:$U$4018,$E$6+1098))</f>
        <v/>
      </c>
      <c r="B1116" s="29">
        <f>IF(A1116="","",INDEX('자료_한국심리'!$B$3:$B$4002,MATCH(A1116,$U$19:$U$4018,0)))</f>
        <v/>
      </c>
      <c r="C1116" s="22">
        <f>IF(A1116="","",B1116/AVERAGE(B992:B1116)-1)</f>
        <v/>
      </c>
      <c r="D1116" s="29">
        <f>IF(A1116="","",IFERROR(INDEX('자료_한국심리'!$E$3:$E$4002,MATCH(A1116,$V$19:$V$4018,0)),D1115))</f>
        <v/>
      </c>
      <c r="E1116" s="30">
        <f>IF(A1116="","",IFERROR(INDEX('자료_한국심리'!$H$3:$H$4002,MATCH(A1116,$W$19:$W$4018,0)),E1115))</f>
        <v/>
      </c>
      <c r="F1116" s="30">
        <f>IF(A1116="","",IFERROR(INDEX('자료_한국심리'!$K$3:$K$4002,MATCH(A1116,$X$19:$X$4018,0)),F1115))</f>
        <v/>
      </c>
      <c r="G1116" s="30">
        <f>IF(AND(ISNUMBER(E1116),ISNUMBER(F1116)),ROUND(E1116-F1116,6),"")</f>
        <v/>
      </c>
      <c r="H1116" s="25">
        <f>IF(A1116="","",IFERROR(INDEX('자료_한국심리'!$N$3:$N$4002,MATCH(A1116,$Y$19:$Y$4018,0)),H1115))</f>
        <v/>
      </c>
      <c r="I1116" s="31">
        <f>IF(AND(ISNUMBER(H1116),ISNUMBER(H1096)),IF(H1096&gt;0,H1116/H1096-1,""),"")</f>
        <v/>
      </c>
      <c r="J1116">
        <f>IF(A1116="",0,IF(A1116&gt;$B$5,1,0))</f>
        <v/>
      </c>
      <c r="K1116" s="29">
        <f>IF(AND(J1116=1,ISNUMBER(D1116)),D1116,"")</f>
        <v/>
      </c>
      <c r="L1116" s="30">
        <f>IF(AND(J1116=1,ISNUMBER(G1116)),G1116,"")</f>
        <v/>
      </c>
      <c r="M1116" s="22">
        <f>IF(AND(J1116=1,ISNUMBER(C1116)),C1116,"")</f>
        <v/>
      </c>
      <c r="N1116" s="31">
        <f>IF(AND(J1116=1,ISNUMBER(I1116)),I1116,"")</f>
        <v/>
      </c>
      <c r="O1116" s="11">
        <f>IF(K1116="","",100-IF($G$13=1,50,(_xlfn.RANK.AVG(K1116,$K$19:$K$1518,1)-1)/($G$13-1)*100))</f>
        <v/>
      </c>
      <c r="P1116" s="11">
        <f>IF(L1116="","",100-IF($G$14=1,50,(_xlfn.RANK.AVG(L1116,$L$19:$L$1518,1)-1)/($G$14-1)*100))</f>
        <v/>
      </c>
      <c r="Q1116" s="11">
        <f>IF(M1116="","",IF($G$15=1,50,(_xlfn.RANK.AVG(M1116,$M$19:$M$1518,1)-1)/($G$15-1)*100))</f>
        <v/>
      </c>
      <c r="R1116" s="11">
        <f>IF(N1116="","",IF($G$16=1,50,(_xlfn.RANK.AVG(N1116,$N$19:$N$1518,1)-1)/($G$16-1)*100))</f>
        <v/>
      </c>
      <c r="S1116" s="11">
        <f>IF(COUNT(O1116:R1116)=4,ROUND(AVERAGE(O1116:R1116),6),"")</f>
        <v/>
      </c>
      <c r="U1116">
        <f>IF(AND(ISNUMBER('자료_한국심리'!$A1100),ISNUMBER('자료_한국심리'!$B1100)),'자료_한국심리'!$A1100,"")</f>
        <v/>
      </c>
      <c r="V1116">
        <f>IF(AND(ISNUMBER('자료_한국심리'!$D1100),ISNUMBER('자료_한국심리'!$E1100)),'자료_한국심리'!$D1100,"")</f>
        <v/>
      </c>
      <c r="W1116">
        <f>IF(AND(ISNUMBER('자료_한국심리'!$G1100),ISNUMBER('자료_한국심리'!$H1100)),'자료_한국심리'!$G1100,"")</f>
        <v/>
      </c>
      <c r="X1116">
        <f>IF(AND(ISNUMBER('자료_한국심리'!$J1100),ISNUMBER('자료_한국심리'!$K1100)),'자료_한국심리'!$J1100,"")</f>
        <v/>
      </c>
      <c r="Y1116">
        <f>IF(AND(ISNUMBER('자료_한국심리'!$M1100),ISNUMBER('자료_한국심리'!$N1100)),'자료_한국심리'!$M1100,"")</f>
        <v/>
      </c>
    </row>
    <row r="1117">
      <c r="A1117" s="10">
        <f>IF(1099&gt;$E$5,"",SMALL($U$19:$U$4018,$E$6+1099))</f>
        <v/>
      </c>
      <c r="B1117" s="29">
        <f>IF(A1117="","",INDEX('자료_한국심리'!$B$3:$B$4002,MATCH(A1117,$U$19:$U$4018,0)))</f>
        <v/>
      </c>
      <c r="C1117" s="22">
        <f>IF(A1117="","",B1117/AVERAGE(B993:B1117)-1)</f>
        <v/>
      </c>
      <c r="D1117" s="29">
        <f>IF(A1117="","",IFERROR(INDEX('자료_한국심리'!$E$3:$E$4002,MATCH(A1117,$V$19:$V$4018,0)),D1116))</f>
        <v/>
      </c>
      <c r="E1117" s="30">
        <f>IF(A1117="","",IFERROR(INDEX('자료_한국심리'!$H$3:$H$4002,MATCH(A1117,$W$19:$W$4018,0)),E1116))</f>
        <v/>
      </c>
      <c r="F1117" s="30">
        <f>IF(A1117="","",IFERROR(INDEX('자료_한국심리'!$K$3:$K$4002,MATCH(A1117,$X$19:$X$4018,0)),F1116))</f>
        <v/>
      </c>
      <c r="G1117" s="30">
        <f>IF(AND(ISNUMBER(E1117),ISNUMBER(F1117)),ROUND(E1117-F1117,6),"")</f>
        <v/>
      </c>
      <c r="H1117" s="25">
        <f>IF(A1117="","",IFERROR(INDEX('자료_한국심리'!$N$3:$N$4002,MATCH(A1117,$Y$19:$Y$4018,0)),H1116))</f>
        <v/>
      </c>
      <c r="I1117" s="31">
        <f>IF(AND(ISNUMBER(H1117),ISNUMBER(H1097)),IF(H1097&gt;0,H1117/H1097-1,""),"")</f>
        <v/>
      </c>
      <c r="J1117">
        <f>IF(A1117="",0,IF(A1117&gt;$B$5,1,0))</f>
        <v/>
      </c>
      <c r="K1117" s="29">
        <f>IF(AND(J1117=1,ISNUMBER(D1117)),D1117,"")</f>
        <v/>
      </c>
      <c r="L1117" s="30">
        <f>IF(AND(J1117=1,ISNUMBER(G1117)),G1117,"")</f>
        <v/>
      </c>
      <c r="M1117" s="22">
        <f>IF(AND(J1117=1,ISNUMBER(C1117)),C1117,"")</f>
        <v/>
      </c>
      <c r="N1117" s="31">
        <f>IF(AND(J1117=1,ISNUMBER(I1117)),I1117,"")</f>
        <v/>
      </c>
      <c r="O1117" s="11">
        <f>IF(K1117="","",100-IF($G$13=1,50,(_xlfn.RANK.AVG(K1117,$K$19:$K$1518,1)-1)/($G$13-1)*100))</f>
        <v/>
      </c>
      <c r="P1117" s="11">
        <f>IF(L1117="","",100-IF($G$14=1,50,(_xlfn.RANK.AVG(L1117,$L$19:$L$1518,1)-1)/($G$14-1)*100))</f>
        <v/>
      </c>
      <c r="Q1117" s="11">
        <f>IF(M1117="","",IF($G$15=1,50,(_xlfn.RANK.AVG(M1117,$M$19:$M$1518,1)-1)/($G$15-1)*100))</f>
        <v/>
      </c>
      <c r="R1117" s="11">
        <f>IF(N1117="","",IF($G$16=1,50,(_xlfn.RANK.AVG(N1117,$N$19:$N$1518,1)-1)/($G$16-1)*100))</f>
        <v/>
      </c>
      <c r="S1117" s="11">
        <f>IF(COUNT(O1117:R1117)=4,ROUND(AVERAGE(O1117:R1117),6),"")</f>
        <v/>
      </c>
      <c r="U1117">
        <f>IF(AND(ISNUMBER('자료_한국심리'!$A1101),ISNUMBER('자료_한국심리'!$B1101)),'자료_한국심리'!$A1101,"")</f>
        <v/>
      </c>
      <c r="V1117">
        <f>IF(AND(ISNUMBER('자료_한국심리'!$D1101),ISNUMBER('자료_한국심리'!$E1101)),'자료_한국심리'!$D1101,"")</f>
        <v/>
      </c>
      <c r="W1117">
        <f>IF(AND(ISNUMBER('자료_한국심리'!$G1101),ISNUMBER('자료_한국심리'!$H1101)),'자료_한국심리'!$G1101,"")</f>
        <v/>
      </c>
      <c r="X1117">
        <f>IF(AND(ISNUMBER('자료_한국심리'!$J1101),ISNUMBER('자료_한국심리'!$K1101)),'자료_한국심리'!$J1101,"")</f>
        <v/>
      </c>
      <c r="Y1117">
        <f>IF(AND(ISNUMBER('자료_한국심리'!$M1101),ISNUMBER('자료_한국심리'!$N1101)),'자료_한국심리'!$M1101,"")</f>
        <v/>
      </c>
    </row>
    <row r="1118">
      <c r="A1118" s="10">
        <f>IF(1100&gt;$E$5,"",SMALL($U$19:$U$4018,$E$6+1100))</f>
        <v/>
      </c>
      <c r="B1118" s="29">
        <f>IF(A1118="","",INDEX('자료_한국심리'!$B$3:$B$4002,MATCH(A1118,$U$19:$U$4018,0)))</f>
        <v/>
      </c>
      <c r="C1118" s="22">
        <f>IF(A1118="","",B1118/AVERAGE(B994:B1118)-1)</f>
        <v/>
      </c>
      <c r="D1118" s="29">
        <f>IF(A1118="","",IFERROR(INDEX('자료_한국심리'!$E$3:$E$4002,MATCH(A1118,$V$19:$V$4018,0)),D1117))</f>
        <v/>
      </c>
      <c r="E1118" s="30">
        <f>IF(A1118="","",IFERROR(INDEX('자료_한국심리'!$H$3:$H$4002,MATCH(A1118,$W$19:$W$4018,0)),E1117))</f>
        <v/>
      </c>
      <c r="F1118" s="30">
        <f>IF(A1118="","",IFERROR(INDEX('자료_한국심리'!$K$3:$K$4002,MATCH(A1118,$X$19:$X$4018,0)),F1117))</f>
        <v/>
      </c>
      <c r="G1118" s="30">
        <f>IF(AND(ISNUMBER(E1118),ISNUMBER(F1118)),ROUND(E1118-F1118,6),"")</f>
        <v/>
      </c>
      <c r="H1118" s="25">
        <f>IF(A1118="","",IFERROR(INDEX('자료_한국심리'!$N$3:$N$4002,MATCH(A1118,$Y$19:$Y$4018,0)),H1117))</f>
        <v/>
      </c>
      <c r="I1118" s="31">
        <f>IF(AND(ISNUMBER(H1118),ISNUMBER(H1098)),IF(H1098&gt;0,H1118/H1098-1,""),"")</f>
        <v/>
      </c>
      <c r="J1118">
        <f>IF(A1118="",0,IF(A1118&gt;$B$5,1,0))</f>
        <v/>
      </c>
      <c r="K1118" s="29">
        <f>IF(AND(J1118=1,ISNUMBER(D1118)),D1118,"")</f>
        <v/>
      </c>
      <c r="L1118" s="30">
        <f>IF(AND(J1118=1,ISNUMBER(G1118)),G1118,"")</f>
        <v/>
      </c>
      <c r="M1118" s="22">
        <f>IF(AND(J1118=1,ISNUMBER(C1118)),C1118,"")</f>
        <v/>
      </c>
      <c r="N1118" s="31">
        <f>IF(AND(J1118=1,ISNUMBER(I1118)),I1118,"")</f>
        <v/>
      </c>
      <c r="O1118" s="11">
        <f>IF(K1118="","",100-IF($G$13=1,50,(_xlfn.RANK.AVG(K1118,$K$19:$K$1518,1)-1)/($G$13-1)*100))</f>
        <v/>
      </c>
      <c r="P1118" s="11">
        <f>IF(L1118="","",100-IF($G$14=1,50,(_xlfn.RANK.AVG(L1118,$L$19:$L$1518,1)-1)/($G$14-1)*100))</f>
        <v/>
      </c>
      <c r="Q1118" s="11">
        <f>IF(M1118="","",IF($G$15=1,50,(_xlfn.RANK.AVG(M1118,$M$19:$M$1518,1)-1)/($G$15-1)*100))</f>
        <v/>
      </c>
      <c r="R1118" s="11">
        <f>IF(N1118="","",IF($G$16=1,50,(_xlfn.RANK.AVG(N1118,$N$19:$N$1518,1)-1)/($G$16-1)*100))</f>
        <v/>
      </c>
      <c r="S1118" s="11">
        <f>IF(COUNT(O1118:R1118)=4,ROUND(AVERAGE(O1118:R1118),6),"")</f>
        <v/>
      </c>
      <c r="U1118">
        <f>IF(AND(ISNUMBER('자료_한국심리'!$A1102),ISNUMBER('자료_한국심리'!$B1102)),'자료_한국심리'!$A1102,"")</f>
        <v/>
      </c>
      <c r="V1118">
        <f>IF(AND(ISNUMBER('자료_한국심리'!$D1102),ISNUMBER('자료_한국심리'!$E1102)),'자료_한국심리'!$D1102,"")</f>
        <v/>
      </c>
      <c r="W1118">
        <f>IF(AND(ISNUMBER('자료_한국심리'!$G1102),ISNUMBER('자료_한국심리'!$H1102)),'자료_한국심리'!$G1102,"")</f>
        <v/>
      </c>
      <c r="X1118">
        <f>IF(AND(ISNUMBER('자료_한국심리'!$J1102),ISNUMBER('자료_한국심리'!$K1102)),'자료_한국심리'!$J1102,"")</f>
        <v/>
      </c>
      <c r="Y1118">
        <f>IF(AND(ISNUMBER('자료_한국심리'!$M1102),ISNUMBER('자료_한국심리'!$N1102)),'자료_한국심리'!$M1102,"")</f>
        <v/>
      </c>
    </row>
    <row r="1119">
      <c r="A1119" s="10">
        <f>IF(1101&gt;$E$5,"",SMALL($U$19:$U$4018,$E$6+1101))</f>
        <v/>
      </c>
      <c r="B1119" s="29">
        <f>IF(A1119="","",INDEX('자료_한국심리'!$B$3:$B$4002,MATCH(A1119,$U$19:$U$4018,0)))</f>
        <v/>
      </c>
      <c r="C1119" s="22">
        <f>IF(A1119="","",B1119/AVERAGE(B995:B1119)-1)</f>
        <v/>
      </c>
      <c r="D1119" s="29">
        <f>IF(A1119="","",IFERROR(INDEX('자료_한국심리'!$E$3:$E$4002,MATCH(A1119,$V$19:$V$4018,0)),D1118))</f>
        <v/>
      </c>
      <c r="E1119" s="30">
        <f>IF(A1119="","",IFERROR(INDEX('자료_한국심리'!$H$3:$H$4002,MATCH(A1119,$W$19:$W$4018,0)),E1118))</f>
        <v/>
      </c>
      <c r="F1119" s="30">
        <f>IF(A1119="","",IFERROR(INDEX('자료_한국심리'!$K$3:$K$4002,MATCH(A1119,$X$19:$X$4018,0)),F1118))</f>
        <v/>
      </c>
      <c r="G1119" s="30">
        <f>IF(AND(ISNUMBER(E1119),ISNUMBER(F1119)),ROUND(E1119-F1119,6),"")</f>
        <v/>
      </c>
      <c r="H1119" s="25">
        <f>IF(A1119="","",IFERROR(INDEX('자료_한국심리'!$N$3:$N$4002,MATCH(A1119,$Y$19:$Y$4018,0)),H1118))</f>
        <v/>
      </c>
      <c r="I1119" s="31">
        <f>IF(AND(ISNUMBER(H1119),ISNUMBER(H1099)),IF(H1099&gt;0,H1119/H1099-1,""),"")</f>
        <v/>
      </c>
      <c r="J1119">
        <f>IF(A1119="",0,IF(A1119&gt;$B$5,1,0))</f>
        <v/>
      </c>
      <c r="K1119" s="29">
        <f>IF(AND(J1119=1,ISNUMBER(D1119)),D1119,"")</f>
        <v/>
      </c>
      <c r="L1119" s="30">
        <f>IF(AND(J1119=1,ISNUMBER(G1119)),G1119,"")</f>
        <v/>
      </c>
      <c r="M1119" s="22">
        <f>IF(AND(J1119=1,ISNUMBER(C1119)),C1119,"")</f>
        <v/>
      </c>
      <c r="N1119" s="31">
        <f>IF(AND(J1119=1,ISNUMBER(I1119)),I1119,"")</f>
        <v/>
      </c>
      <c r="O1119" s="11">
        <f>IF(K1119="","",100-IF($G$13=1,50,(_xlfn.RANK.AVG(K1119,$K$19:$K$1518,1)-1)/($G$13-1)*100))</f>
        <v/>
      </c>
      <c r="P1119" s="11">
        <f>IF(L1119="","",100-IF($G$14=1,50,(_xlfn.RANK.AVG(L1119,$L$19:$L$1518,1)-1)/($G$14-1)*100))</f>
        <v/>
      </c>
      <c r="Q1119" s="11">
        <f>IF(M1119="","",IF($G$15=1,50,(_xlfn.RANK.AVG(M1119,$M$19:$M$1518,1)-1)/($G$15-1)*100))</f>
        <v/>
      </c>
      <c r="R1119" s="11">
        <f>IF(N1119="","",IF($G$16=1,50,(_xlfn.RANK.AVG(N1119,$N$19:$N$1518,1)-1)/($G$16-1)*100))</f>
        <v/>
      </c>
      <c r="S1119" s="11">
        <f>IF(COUNT(O1119:R1119)=4,ROUND(AVERAGE(O1119:R1119),6),"")</f>
        <v/>
      </c>
      <c r="U1119">
        <f>IF(AND(ISNUMBER('자료_한국심리'!$A1103),ISNUMBER('자료_한국심리'!$B1103)),'자료_한국심리'!$A1103,"")</f>
        <v/>
      </c>
      <c r="V1119">
        <f>IF(AND(ISNUMBER('자료_한국심리'!$D1103),ISNUMBER('자료_한국심리'!$E1103)),'자료_한국심리'!$D1103,"")</f>
        <v/>
      </c>
      <c r="W1119">
        <f>IF(AND(ISNUMBER('자료_한국심리'!$G1103),ISNUMBER('자료_한국심리'!$H1103)),'자료_한국심리'!$G1103,"")</f>
        <v/>
      </c>
      <c r="X1119">
        <f>IF(AND(ISNUMBER('자료_한국심리'!$J1103),ISNUMBER('자료_한국심리'!$K1103)),'자료_한국심리'!$J1103,"")</f>
        <v/>
      </c>
      <c r="Y1119">
        <f>IF(AND(ISNUMBER('자료_한국심리'!$M1103),ISNUMBER('자료_한국심리'!$N1103)),'자료_한국심리'!$M1103,"")</f>
        <v/>
      </c>
    </row>
    <row r="1120">
      <c r="A1120" s="10">
        <f>IF(1102&gt;$E$5,"",SMALL($U$19:$U$4018,$E$6+1102))</f>
        <v/>
      </c>
      <c r="B1120" s="29">
        <f>IF(A1120="","",INDEX('자료_한국심리'!$B$3:$B$4002,MATCH(A1120,$U$19:$U$4018,0)))</f>
        <v/>
      </c>
      <c r="C1120" s="22">
        <f>IF(A1120="","",B1120/AVERAGE(B996:B1120)-1)</f>
        <v/>
      </c>
      <c r="D1120" s="29">
        <f>IF(A1120="","",IFERROR(INDEX('자료_한국심리'!$E$3:$E$4002,MATCH(A1120,$V$19:$V$4018,0)),D1119))</f>
        <v/>
      </c>
      <c r="E1120" s="30">
        <f>IF(A1120="","",IFERROR(INDEX('자료_한국심리'!$H$3:$H$4002,MATCH(A1120,$W$19:$W$4018,0)),E1119))</f>
        <v/>
      </c>
      <c r="F1120" s="30">
        <f>IF(A1120="","",IFERROR(INDEX('자료_한국심리'!$K$3:$K$4002,MATCH(A1120,$X$19:$X$4018,0)),F1119))</f>
        <v/>
      </c>
      <c r="G1120" s="30">
        <f>IF(AND(ISNUMBER(E1120),ISNUMBER(F1120)),ROUND(E1120-F1120,6),"")</f>
        <v/>
      </c>
      <c r="H1120" s="25">
        <f>IF(A1120="","",IFERROR(INDEX('자료_한국심리'!$N$3:$N$4002,MATCH(A1120,$Y$19:$Y$4018,0)),H1119))</f>
        <v/>
      </c>
      <c r="I1120" s="31">
        <f>IF(AND(ISNUMBER(H1120),ISNUMBER(H1100)),IF(H1100&gt;0,H1120/H1100-1,""),"")</f>
        <v/>
      </c>
      <c r="J1120">
        <f>IF(A1120="",0,IF(A1120&gt;$B$5,1,0))</f>
        <v/>
      </c>
      <c r="K1120" s="29">
        <f>IF(AND(J1120=1,ISNUMBER(D1120)),D1120,"")</f>
        <v/>
      </c>
      <c r="L1120" s="30">
        <f>IF(AND(J1120=1,ISNUMBER(G1120)),G1120,"")</f>
        <v/>
      </c>
      <c r="M1120" s="22">
        <f>IF(AND(J1120=1,ISNUMBER(C1120)),C1120,"")</f>
        <v/>
      </c>
      <c r="N1120" s="31">
        <f>IF(AND(J1120=1,ISNUMBER(I1120)),I1120,"")</f>
        <v/>
      </c>
      <c r="O1120" s="11">
        <f>IF(K1120="","",100-IF($G$13=1,50,(_xlfn.RANK.AVG(K1120,$K$19:$K$1518,1)-1)/($G$13-1)*100))</f>
        <v/>
      </c>
      <c r="P1120" s="11">
        <f>IF(L1120="","",100-IF($G$14=1,50,(_xlfn.RANK.AVG(L1120,$L$19:$L$1518,1)-1)/($G$14-1)*100))</f>
        <v/>
      </c>
      <c r="Q1120" s="11">
        <f>IF(M1120="","",IF($G$15=1,50,(_xlfn.RANK.AVG(M1120,$M$19:$M$1518,1)-1)/($G$15-1)*100))</f>
        <v/>
      </c>
      <c r="R1120" s="11">
        <f>IF(N1120="","",IF($G$16=1,50,(_xlfn.RANK.AVG(N1120,$N$19:$N$1518,1)-1)/($G$16-1)*100))</f>
        <v/>
      </c>
      <c r="S1120" s="11">
        <f>IF(COUNT(O1120:R1120)=4,ROUND(AVERAGE(O1120:R1120),6),"")</f>
        <v/>
      </c>
      <c r="U1120">
        <f>IF(AND(ISNUMBER('자료_한국심리'!$A1104),ISNUMBER('자료_한국심리'!$B1104)),'자료_한국심리'!$A1104,"")</f>
        <v/>
      </c>
      <c r="V1120">
        <f>IF(AND(ISNUMBER('자료_한국심리'!$D1104),ISNUMBER('자료_한국심리'!$E1104)),'자료_한국심리'!$D1104,"")</f>
        <v/>
      </c>
      <c r="W1120">
        <f>IF(AND(ISNUMBER('자료_한국심리'!$G1104),ISNUMBER('자료_한국심리'!$H1104)),'자료_한국심리'!$G1104,"")</f>
        <v/>
      </c>
      <c r="X1120">
        <f>IF(AND(ISNUMBER('자료_한국심리'!$J1104),ISNUMBER('자료_한국심리'!$K1104)),'자료_한국심리'!$J1104,"")</f>
        <v/>
      </c>
      <c r="Y1120">
        <f>IF(AND(ISNUMBER('자료_한국심리'!$M1104),ISNUMBER('자료_한국심리'!$N1104)),'자료_한국심리'!$M1104,"")</f>
        <v/>
      </c>
    </row>
    <row r="1121">
      <c r="A1121" s="10">
        <f>IF(1103&gt;$E$5,"",SMALL($U$19:$U$4018,$E$6+1103))</f>
        <v/>
      </c>
      <c r="B1121" s="29">
        <f>IF(A1121="","",INDEX('자료_한국심리'!$B$3:$B$4002,MATCH(A1121,$U$19:$U$4018,0)))</f>
        <v/>
      </c>
      <c r="C1121" s="22">
        <f>IF(A1121="","",B1121/AVERAGE(B997:B1121)-1)</f>
        <v/>
      </c>
      <c r="D1121" s="29">
        <f>IF(A1121="","",IFERROR(INDEX('자료_한국심리'!$E$3:$E$4002,MATCH(A1121,$V$19:$V$4018,0)),D1120))</f>
        <v/>
      </c>
      <c r="E1121" s="30">
        <f>IF(A1121="","",IFERROR(INDEX('자료_한국심리'!$H$3:$H$4002,MATCH(A1121,$W$19:$W$4018,0)),E1120))</f>
        <v/>
      </c>
      <c r="F1121" s="30">
        <f>IF(A1121="","",IFERROR(INDEX('자료_한국심리'!$K$3:$K$4002,MATCH(A1121,$X$19:$X$4018,0)),F1120))</f>
        <v/>
      </c>
      <c r="G1121" s="30">
        <f>IF(AND(ISNUMBER(E1121),ISNUMBER(F1121)),ROUND(E1121-F1121,6),"")</f>
        <v/>
      </c>
      <c r="H1121" s="25">
        <f>IF(A1121="","",IFERROR(INDEX('자료_한국심리'!$N$3:$N$4002,MATCH(A1121,$Y$19:$Y$4018,0)),H1120))</f>
        <v/>
      </c>
      <c r="I1121" s="31">
        <f>IF(AND(ISNUMBER(H1121),ISNUMBER(H1101)),IF(H1101&gt;0,H1121/H1101-1,""),"")</f>
        <v/>
      </c>
      <c r="J1121">
        <f>IF(A1121="",0,IF(A1121&gt;$B$5,1,0))</f>
        <v/>
      </c>
      <c r="K1121" s="29">
        <f>IF(AND(J1121=1,ISNUMBER(D1121)),D1121,"")</f>
        <v/>
      </c>
      <c r="L1121" s="30">
        <f>IF(AND(J1121=1,ISNUMBER(G1121)),G1121,"")</f>
        <v/>
      </c>
      <c r="M1121" s="22">
        <f>IF(AND(J1121=1,ISNUMBER(C1121)),C1121,"")</f>
        <v/>
      </c>
      <c r="N1121" s="31">
        <f>IF(AND(J1121=1,ISNUMBER(I1121)),I1121,"")</f>
        <v/>
      </c>
      <c r="O1121" s="11">
        <f>IF(K1121="","",100-IF($G$13=1,50,(_xlfn.RANK.AVG(K1121,$K$19:$K$1518,1)-1)/($G$13-1)*100))</f>
        <v/>
      </c>
      <c r="P1121" s="11">
        <f>IF(L1121="","",100-IF($G$14=1,50,(_xlfn.RANK.AVG(L1121,$L$19:$L$1518,1)-1)/($G$14-1)*100))</f>
        <v/>
      </c>
      <c r="Q1121" s="11">
        <f>IF(M1121="","",IF($G$15=1,50,(_xlfn.RANK.AVG(M1121,$M$19:$M$1518,1)-1)/($G$15-1)*100))</f>
        <v/>
      </c>
      <c r="R1121" s="11">
        <f>IF(N1121="","",IF($G$16=1,50,(_xlfn.RANK.AVG(N1121,$N$19:$N$1518,1)-1)/($G$16-1)*100))</f>
        <v/>
      </c>
      <c r="S1121" s="11">
        <f>IF(COUNT(O1121:R1121)=4,ROUND(AVERAGE(O1121:R1121),6),"")</f>
        <v/>
      </c>
      <c r="U1121">
        <f>IF(AND(ISNUMBER('자료_한국심리'!$A1105),ISNUMBER('자료_한국심리'!$B1105)),'자료_한국심리'!$A1105,"")</f>
        <v/>
      </c>
      <c r="V1121">
        <f>IF(AND(ISNUMBER('자료_한국심리'!$D1105),ISNUMBER('자료_한국심리'!$E1105)),'자료_한국심리'!$D1105,"")</f>
        <v/>
      </c>
      <c r="W1121">
        <f>IF(AND(ISNUMBER('자료_한국심리'!$G1105),ISNUMBER('자료_한국심리'!$H1105)),'자료_한국심리'!$G1105,"")</f>
        <v/>
      </c>
      <c r="X1121">
        <f>IF(AND(ISNUMBER('자료_한국심리'!$J1105),ISNUMBER('자료_한국심리'!$K1105)),'자료_한국심리'!$J1105,"")</f>
        <v/>
      </c>
      <c r="Y1121">
        <f>IF(AND(ISNUMBER('자료_한국심리'!$M1105),ISNUMBER('자료_한국심리'!$N1105)),'자료_한국심리'!$M1105,"")</f>
        <v/>
      </c>
    </row>
    <row r="1122">
      <c r="A1122" s="10">
        <f>IF(1104&gt;$E$5,"",SMALL($U$19:$U$4018,$E$6+1104))</f>
        <v/>
      </c>
      <c r="B1122" s="29">
        <f>IF(A1122="","",INDEX('자료_한국심리'!$B$3:$B$4002,MATCH(A1122,$U$19:$U$4018,0)))</f>
        <v/>
      </c>
      <c r="C1122" s="22">
        <f>IF(A1122="","",B1122/AVERAGE(B998:B1122)-1)</f>
        <v/>
      </c>
      <c r="D1122" s="29">
        <f>IF(A1122="","",IFERROR(INDEX('자료_한국심리'!$E$3:$E$4002,MATCH(A1122,$V$19:$V$4018,0)),D1121))</f>
        <v/>
      </c>
      <c r="E1122" s="30">
        <f>IF(A1122="","",IFERROR(INDEX('자료_한국심리'!$H$3:$H$4002,MATCH(A1122,$W$19:$W$4018,0)),E1121))</f>
        <v/>
      </c>
      <c r="F1122" s="30">
        <f>IF(A1122="","",IFERROR(INDEX('자료_한국심리'!$K$3:$K$4002,MATCH(A1122,$X$19:$X$4018,0)),F1121))</f>
        <v/>
      </c>
      <c r="G1122" s="30">
        <f>IF(AND(ISNUMBER(E1122),ISNUMBER(F1122)),ROUND(E1122-F1122,6),"")</f>
        <v/>
      </c>
      <c r="H1122" s="25">
        <f>IF(A1122="","",IFERROR(INDEX('자료_한국심리'!$N$3:$N$4002,MATCH(A1122,$Y$19:$Y$4018,0)),H1121))</f>
        <v/>
      </c>
      <c r="I1122" s="31">
        <f>IF(AND(ISNUMBER(H1122),ISNUMBER(H1102)),IF(H1102&gt;0,H1122/H1102-1,""),"")</f>
        <v/>
      </c>
      <c r="J1122">
        <f>IF(A1122="",0,IF(A1122&gt;$B$5,1,0))</f>
        <v/>
      </c>
      <c r="K1122" s="29">
        <f>IF(AND(J1122=1,ISNUMBER(D1122)),D1122,"")</f>
        <v/>
      </c>
      <c r="L1122" s="30">
        <f>IF(AND(J1122=1,ISNUMBER(G1122)),G1122,"")</f>
        <v/>
      </c>
      <c r="M1122" s="22">
        <f>IF(AND(J1122=1,ISNUMBER(C1122)),C1122,"")</f>
        <v/>
      </c>
      <c r="N1122" s="31">
        <f>IF(AND(J1122=1,ISNUMBER(I1122)),I1122,"")</f>
        <v/>
      </c>
      <c r="O1122" s="11">
        <f>IF(K1122="","",100-IF($G$13=1,50,(_xlfn.RANK.AVG(K1122,$K$19:$K$1518,1)-1)/($G$13-1)*100))</f>
        <v/>
      </c>
      <c r="P1122" s="11">
        <f>IF(L1122="","",100-IF($G$14=1,50,(_xlfn.RANK.AVG(L1122,$L$19:$L$1518,1)-1)/($G$14-1)*100))</f>
        <v/>
      </c>
      <c r="Q1122" s="11">
        <f>IF(M1122="","",IF($G$15=1,50,(_xlfn.RANK.AVG(M1122,$M$19:$M$1518,1)-1)/($G$15-1)*100))</f>
        <v/>
      </c>
      <c r="R1122" s="11">
        <f>IF(N1122="","",IF($G$16=1,50,(_xlfn.RANK.AVG(N1122,$N$19:$N$1518,1)-1)/($G$16-1)*100))</f>
        <v/>
      </c>
      <c r="S1122" s="11">
        <f>IF(COUNT(O1122:R1122)=4,ROUND(AVERAGE(O1122:R1122),6),"")</f>
        <v/>
      </c>
      <c r="U1122">
        <f>IF(AND(ISNUMBER('자료_한국심리'!$A1106),ISNUMBER('자료_한국심리'!$B1106)),'자료_한국심리'!$A1106,"")</f>
        <v/>
      </c>
      <c r="V1122">
        <f>IF(AND(ISNUMBER('자료_한국심리'!$D1106),ISNUMBER('자료_한국심리'!$E1106)),'자료_한국심리'!$D1106,"")</f>
        <v/>
      </c>
      <c r="W1122">
        <f>IF(AND(ISNUMBER('자료_한국심리'!$G1106),ISNUMBER('자료_한국심리'!$H1106)),'자료_한국심리'!$G1106,"")</f>
        <v/>
      </c>
      <c r="X1122">
        <f>IF(AND(ISNUMBER('자료_한국심리'!$J1106),ISNUMBER('자료_한국심리'!$K1106)),'자료_한국심리'!$J1106,"")</f>
        <v/>
      </c>
      <c r="Y1122">
        <f>IF(AND(ISNUMBER('자료_한국심리'!$M1106),ISNUMBER('자료_한국심리'!$N1106)),'자료_한국심리'!$M1106,"")</f>
        <v/>
      </c>
    </row>
    <row r="1123">
      <c r="A1123" s="10">
        <f>IF(1105&gt;$E$5,"",SMALL($U$19:$U$4018,$E$6+1105))</f>
        <v/>
      </c>
      <c r="B1123" s="29">
        <f>IF(A1123="","",INDEX('자료_한국심리'!$B$3:$B$4002,MATCH(A1123,$U$19:$U$4018,0)))</f>
        <v/>
      </c>
      <c r="C1123" s="22">
        <f>IF(A1123="","",B1123/AVERAGE(B999:B1123)-1)</f>
        <v/>
      </c>
      <c r="D1123" s="29">
        <f>IF(A1123="","",IFERROR(INDEX('자료_한국심리'!$E$3:$E$4002,MATCH(A1123,$V$19:$V$4018,0)),D1122))</f>
        <v/>
      </c>
      <c r="E1123" s="30">
        <f>IF(A1123="","",IFERROR(INDEX('자료_한국심리'!$H$3:$H$4002,MATCH(A1123,$W$19:$W$4018,0)),E1122))</f>
        <v/>
      </c>
      <c r="F1123" s="30">
        <f>IF(A1123="","",IFERROR(INDEX('자료_한국심리'!$K$3:$K$4002,MATCH(A1123,$X$19:$X$4018,0)),F1122))</f>
        <v/>
      </c>
      <c r="G1123" s="30">
        <f>IF(AND(ISNUMBER(E1123),ISNUMBER(F1123)),ROUND(E1123-F1123,6),"")</f>
        <v/>
      </c>
      <c r="H1123" s="25">
        <f>IF(A1123="","",IFERROR(INDEX('자료_한국심리'!$N$3:$N$4002,MATCH(A1123,$Y$19:$Y$4018,0)),H1122))</f>
        <v/>
      </c>
      <c r="I1123" s="31">
        <f>IF(AND(ISNUMBER(H1123),ISNUMBER(H1103)),IF(H1103&gt;0,H1123/H1103-1,""),"")</f>
        <v/>
      </c>
      <c r="J1123">
        <f>IF(A1123="",0,IF(A1123&gt;$B$5,1,0))</f>
        <v/>
      </c>
      <c r="K1123" s="29">
        <f>IF(AND(J1123=1,ISNUMBER(D1123)),D1123,"")</f>
        <v/>
      </c>
      <c r="L1123" s="30">
        <f>IF(AND(J1123=1,ISNUMBER(G1123)),G1123,"")</f>
        <v/>
      </c>
      <c r="M1123" s="22">
        <f>IF(AND(J1123=1,ISNUMBER(C1123)),C1123,"")</f>
        <v/>
      </c>
      <c r="N1123" s="31">
        <f>IF(AND(J1123=1,ISNUMBER(I1123)),I1123,"")</f>
        <v/>
      </c>
      <c r="O1123" s="11">
        <f>IF(K1123="","",100-IF($G$13=1,50,(_xlfn.RANK.AVG(K1123,$K$19:$K$1518,1)-1)/($G$13-1)*100))</f>
        <v/>
      </c>
      <c r="P1123" s="11">
        <f>IF(L1123="","",100-IF($G$14=1,50,(_xlfn.RANK.AVG(L1123,$L$19:$L$1518,1)-1)/($G$14-1)*100))</f>
        <v/>
      </c>
      <c r="Q1123" s="11">
        <f>IF(M1123="","",IF($G$15=1,50,(_xlfn.RANK.AVG(M1123,$M$19:$M$1518,1)-1)/($G$15-1)*100))</f>
        <v/>
      </c>
      <c r="R1123" s="11">
        <f>IF(N1123="","",IF($G$16=1,50,(_xlfn.RANK.AVG(N1123,$N$19:$N$1518,1)-1)/($G$16-1)*100))</f>
        <v/>
      </c>
      <c r="S1123" s="11">
        <f>IF(COUNT(O1123:R1123)=4,ROUND(AVERAGE(O1123:R1123),6),"")</f>
        <v/>
      </c>
      <c r="U1123">
        <f>IF(AND(ISNUMBER('자료_한국심리'!$A1107),ISNUMBER('자료_한국심리'!$B1107)),'자료_한국심리'!$A1107,"")</f>
        <v/>
      </c>
      <c r="V1123">
        <f>IF(AND(ISNUMBER('자료_한국심리'!$D1107),ISNUMBER('자료_한국심리'!$E1107)),'자료_한국심리'!$D1107,"")</f>
        <v/>
      </c>
      <c r="W1123">
        <f>IF(AND(ISNUMBER('자료_한국심리'!$G1107),ISNUMBER('자료_한국심리'!$H1107)),'자료_한국심리'!$G1107,"")</f>
        <v/>
      </c>
      <c r="X1123">
        <f>IF(AND(ISNUMBER('자료_한국심리'!$J1107),ISNUMBER('자료_한국심리'!$K1107)),'자료_한국심리'!$J1107,"")</f>
        <v/>
      </c>
      <c r="Y1123">
        <f>IF(AND(ISNUMBER('자료_한국심리'!$M1107),ISNUMBER('자료_한국심리'!$N1107)),'자료_한국심리'!$M1107,"")</f>
        <v/>
      </c>
    </row>
    <row r="1124">
      <c r="A1124" s="10">
        <f>IF(1106&gt;$E$5,"",SMALL($U$19:$U$4018,$E$6+1106))</f>
        <v/>
      </c>
      <c r="B1124" s="29">
        <f>IF(A1124="","",INDEX('자료_한국심리'!$B$3:$B$4002,MATCH(A1124,$U$19:$U$4018,0)))</f>
        <v/>
      </c>
      <c r="C1124" s="22">
        <f>IF(A1124="","",B1124/AVERAGE(B1000:B1124)-1)</f>
        <v/>
      </c>
      <c r="D1124" s="29">
        <f>IF(A1124="","",IFERROR(INDEX('자료_한국심리'!$E$3:$E$4002,MATCH(A1124,$V$19:$V$4018,0)),D1123))</f>
        <v/>
      </c>
      <c r="E1124" s="30">
        <f>IF(A1124="","",IFERROR(INDEX('자료_한국심리'!$H$3:$H$4002,MATCH(A1124,$W$19:$W$4018,0)),E1123))</f>
        <v/>
      </c>
      <c r="F1124" s="30">
        <f>IF(A1124="","",IFERROR(INDEX('자료_한국심리'!$K$3:$K$4002,MATCH(A1124,$X$19:$X$4018,0)),F1123))</f>
        <v/>
      </c>
      <c r="G1124" s="30">
        <f>IF(AND(ISNUMBER(E1124),ISNUMBER(F1124)),ROUND(E1124-F1124,6),"")</f>
        <v/>
      </c>
      <c r="H1124" s="25">
        <f>IF(A1124="","",IFERROR(INDEX('자료_한국심리'!$N$3:$N$4002,MATCH(A1124,$Y$19:$Y$4018,0)),H1123))</f>
        <v/>
      </c>
      <c r="I1124" s="31">
        <f>IF(AND(ISNUMBER(H1124),ISNUMBER(H1104)),IF(H1104&gt;0,H1124/H1104-1,""),"")</f>
        <v/>
      </c>
      <c r="J1124">
        <f>IF(A1124="",0,IF(A1124&gt;$B$5,1,0))</f>
        <v/>
      </c>
      <c r="K1124" s="29">
        <f>IF(AND(J1124=1,ISNUMBER(D1124)),D1124,"")</f>
        <v/>
      </c>
      <c r="L1124" s="30">
        <f>IF(AND(J1124=1,ISNUMBER(G1124)),G1124,"")</f>
        <v/>
      </c>
      <c r="M1124" s="22">
        <f>IF(AND(J1124=1,ISNUMBER(C1124)),C1124,"")</f>
        <v/>
      </c>
      <c r="N1124" s="31">
        <f>IF(AND(J1124=1,ISNUMBER(I1124)),I1124,"")</f>
        <v/>
      </c>
      <c r="O1124" s="11">
        <f>IF(K1124="","",100-IF($G$13=1,50,(_xlfn.RANK.AVG(K1124,$K$19:$K$1518,1)-1)/($G$13-1)*100))</f>
        <v/>
      </c>
      <c r="P1124" s="11">
        <f>IF(L1124="","",100-IF($G$14=1,50,(_xlfn.RANK.AVG(L1124,$L$19:$L$1518,1)-1)/($G$14-1)*100))</f>
        <v/>
      </c>
      <c r="Q1124" s="11">
        <f>IF(M1124="","",IF($G$15=1,50,(_xlfn.RANK.AVG(M1124,$M$19:$M$1518,1)-1)/($G$15-1)*100))</f>
        <v/>
      </c>
      <c r="R1124" s="11">
        <f>IF(N1124="","",IF($G$16=1,50,(_xlfn.RANK.AVG(N1124,$N$19:$N$1518,1)-1)/($G$16-1)*100))</f>
        <v/>
      </c>
      <c r="S1124" s="11">
        <f>IF(COUNT(O1124:R1124)=4,ROUND(AVERAGE(O1124:R1124),6),"")</f>
        <v/>
      </c>
      <c r="U1124">
        <f>IF(AND(ISNUMBER('자료_한국심리'!$A1108),ISNUMBER('자료_한국심리'!$B1108)),'자료_한국심리'!$A1108,"")</f>
        <v/>
      </c>
      <c r="V1124">
        <f>IF(AND(ISNUMBER('자료_한국심리'!$D1108),ISNUMBER('자료_한국심리'!$E1108)),'자료_한국심리'!$D1108,"")</f>
        <v/>
      </c>
      <c r="W1124">
        <f>IF(AND(ISNUMBER('자료_한국심리'!$G1108),ISNUMBER('자료_한국심리'!$H1108)),'자료_한국심리'!$G1108,"")</f>
        <v/>
      </c>
      <c r="X1124">
        <f>IF(AND(ISNUMBER('자료_한국심리'!$J1108),ISNUMBER('자료_한국심리'!$K1108)),'자료_한국심리'!$J1108,"")</f>
        <v/>
      </c>
      <c r="Y1124">
        <f>IF(AND(ISNUMBER('자료_한국심리'!$M1108),ISNUMBER('자료_한국심리'!$N1108)),'자료_한국심리'!$M1108,"")</f>
        <v/>
      </c>
    </row>
    <row r="1125">
      <c r="A1125" s="10">
        <f>IF(1107&gt;$E$5,"",SMALL($U$19:$U$4018,$E$6+1107))</f>
        <v/>
      </c>
      <c r="B1125" s="29">
        <f>IF(A1125="","",INDEX('자료_한국심리'!$B$3:$B$4002,MATCH(A1125,$U$19:$U$4018,0)))</f>
        <v/>
      </c>
      <c r="C1125" s="22">
        <f>IF(A1125="","",B1125/AVERAGE(B1001:B1125)-1)</f>
        <v/>
      </c>
      <c r="D1125" s="29">
        <f>IF(A1125="","",IFERROR(INDEX('자료_한국심리'!$E$3:$E$4002,MATCH(A1125,$V$19:$V$4018,0)),D1124))</f>
        <v/>
      </c>
      <c r="E1125" s="30">
        <f>IF(A1125="","",IFERROR(INDEX('자료_한국심리'!$H$3:$H$4002,MATCH(A1125,$W$19:$W$4018,0)),E1124))</f>
        <v/>
      </c>
      <c r="F1125" s="30">
        <f>IF(A1125="","",IFERROR(INDEX('자료_한국심리'!$K$3:$K$4002,MATCH(A1125,$X$19:$X$4018,0)),F1124))</f>
        <v/>
      </c>
      <c r="G1125" s="30">
        <f>IF(AND(ISNUMBER(E1125),ISNUMBER(F1125)),ROUND(E1125-F1125,6),"")</f>
        <v/>
      </c>
      <c r="H1125" s="25">
        <f>IF(A1125="","",IFERROR(INDEX('자료_한국심리'!$N$3:$N$4002,MATCH(A1125,$Y$19:$Y$4018,0)),H1124))</f>
        <v/>
      </c>
      <c r="I1125" s="31">
        <f>IF(AND(ISNUMBER(H1125),ISNUMBER(H1105)),IF(H1105&gt;0,H1125/H1105-1,""),"")</f>
        <v/>
      </c>
      <c r="J1125">
        <f>IF(A1125="",0,IF(A1125&gt;$B$5,1,0))</f>
        <v/>
      </c>
      <c r="K1125" s="29">
        <f>IF(AND(J1125=1,ISNUMBER(D1125)),D1125,"")</f>
        <v/>
      </c>
      <c r="L1125" s="30">
        <f>IF(AND(J1125=1,ISNUMBER(G1125)),G1125,"")</f>
        <v/>
      </c>
      <c r="M1125" s="22">
        <f>IF(AND(J1125=1,ISNUMBER(C1125)),C1125,"")</f>
        <v/>
      </c>
      <c r="N1125" s="31">
        <f>IF(AND(J1125=1,ISNUMBER(I1125)),I1125,"")</f>
        <v/>
      </c>
      <c r="O1125" s="11">
        <f>IF(K1125="","",100-IF($G$13=1,50,(_xlfn.RANK.AVG(K1125,$K$19:$K$1518,1)-1)/($G$13-1)*100))</f>
        <v/>
      </c>
      <c r="P1125" s="11">
        <f>IF(L1125="","",100-IF($G$14=1,50,(_xlfn.RANK.AVG(L1125,$L$19:$L$1518,1)-1)/($G$14-1)*100))</f>
        <v/>
      </c>
      <c r="Q1125" s="11">
        <f>IF(M1125="","",IF($G$15=1,50,(_xlfn.RANK.AVG(M1125,$M$19:$M$1518,1)-1)/($G$15-1)*100))</f>
        <v/>
      </c>
      <c r="R1125" s="11">
        <f>IF(N1125="","",IF($G$16=1,50,(_xlfn.RANK.AVG(N1125,$N$19:$N$1518,1)-1)/($G$16-1)*100))</f>
        <v/>
      </c>
      <c r="S1125" s="11">
        <f>IF(COUNT(O1125:R1125)=4,ROUND(AVERAGE(O1125:R1125),6),"")</f>
        <v/>
      </c>
      <c r="U1125">
        <f>IF(AND(ISNUMBER('자료_한국심리'!$A1109),ISNUMBER('자료_한국심리'!$B1109)),'자료_한국심리'!$A1109,"")</f>
        <v/>
      </c>
      <c r="V1125">
        <f>IF(AND(ISNUMBER('자료_한국심리'!$D1109),ISNUMBER('자료_한국심리'!$E1109)),'자료_한국심리'!$D1109,"")</f>
        <v/>
      </c>
      <c r="W1125">
        <f>IF(AND(ISNUMBER('자료_한국심리'!$G1109),ISNUMBER('자료_한국심리'!$H1109)),'자료_한국심리'!$G1109,"")</f>
        <v/>
      </c>
      <c r="X1125">
        <f>IF(AND(ISNUMBER('자료_한국심리'!$J1109),ISNUMBER('자료_한국심리'!$K1109)),'자료_한국심리'!$J1109,"")</f>
        <v/>
      </c>
      <c r="Y1125">
        <f>IF(AND(ISNUMBER('자료_한국심리'!$M1109),ISNUMBER('자료_한국심리'!$N1109)),'자료_한국심리'!$M1109,"")</f>
        <v/>
      </c>
    </row>
    <row r="1126">
      <c r="A1126" s="10">
        <f>IF(1108&gt;$E$5,"",SMALL($U$19:$U$4018,$E$6+1108))</f>
        <v/>
      </c>
      <c r="B1126" s="29">
        <f>IF(A1126="","",INDEX('자료_한국심리'!$B$3:$B$4002,MATCH(A1126,$U$19:$U$4018,0)))</f>
        <v/>
      </c>
      <c r="C1126" s="22">
        <f>IF(A1126="","",B1126/AVERAGE(B1002:B1126)-1)</f>
        <v/>
      </c>
      <c r="D1126" s="29">
        <f>IF(A1126="","",IFERROR(INDEX('자료_한국심리'!$E$3:$E$4002,MATCH(A1126,$V$19:$V$4018,0)),D1125))</f>
        <v/>
      </c>
      <c r="E1126" s="30">
        <f>IF(A1126="","",IFERROR(INDEX('자료_한국심리'!$H$3:$H$4002,MATCH(A1126,$W$19:$W$4018,0)),E1125))</f>
        <v/>
      </c>
      <c r="F1126" s="30">
        <f>IF(A1126="","",IFERROR(INDEX('자료_한국심리'!$K$3:$K$4002,MATCH(A1126,$X$19:$X$4018,0)),F1125))</f>
        <v/>
      </c>
      <c r="G1126" s="30">
        <f>IF(AND(ISNUMBER(E1126),ISNUMBER(F1126)),ROUND(E1126-F1126,6),"")</f>
        <v/>
      </c>
      <c r="H1126" s="25">
        <f>IF(A1126="","",IFERROR(INDEX('자료_한국심리'!$N$3:$N$4002,MATCH(A1126,$Y$19:$Y$4018,0)),H1125))</f>
        <v/>
      </c>
      <c r="I1126" s="31">
        <f>IF(AND(ISNUMBER(H1126),ISNUMBER(H1106)),IF(H1106&gt;0,H1126/H1106-1,""),"")</f>
        <v/>
      </c>
      <c r="J1126">
        <f>IF(A1126="",0,IF(A1126&gt;$B$5,1,0))</f>
        <v/>
      </c>
      <c r="K1126" s="29">
        <f>IF(AND(J1126=1,ISNUMBER(D1126)),D1126,"")</f>
        <v/>
      </c>
      <c r="L1126" s="30">
        <f>IF(AND(J1126=1,ISNUMBER(G1126)),G1126,"")</f>
        <v/>
      </c>
      <c r="M1126" s="22">
        <f>IF(AND(J1126=1,ISNUMBER(C1126)),C1126,"")</f>
        <v/>
      </c>
      <c r="N1126" s="31">
        <f>IF(AND(J1126=1,ISNUMBER(I1126)),I1126,"")</f>
        <v/>
      </c>
      <c r="O1126" s="11">
        <f>IF(K1126="","",100-IF($G$13=1,50,(_xlfn.RANK.AVG(K1126,$K$19:$K$1518,1)-1)/($G$13-1)*100))</f>
        <v/>
      </c>
      <c r="P1126" s="11">
        <f>IF(L1126="","",100-IF($G$14=1,50,(_xlfn.RANK.AVG(L1126,$L$19:$L$1518,1)-1)/($G$14-1)*100))</f>
        <v/>
      </c>
      <c r="Q1126" s="11">
        <f>IF(M1126="","",IF($G$15=1,50,(_xlfn.RANK.AVG(M1126,$M$19:$M$1518,1)-1)/($G$15-1)*100))</f>
        <v/>
      </c>
      <c r="R1126" s="11">
        <f>IF(N1126="","",IF($G$16=1,50,(_xlfn.RANK.AVG(N1126,$N$19:$N$1518,1)-1)/($G$16-1)*100))</f>
        <v/>
      </c>
      <c r="S1126" s="11">
        <f>IF(COUNT(O1126:R1126)=4,ROUND(AVERAGE(O1126:R1126),6),"")</f>
        <v/>
      </c>
      <c r="U1126">
        <f>IF(AND(ISNUMBER('자료_한국심리'!$A1110),ISNUMBER('자료_한국심리'!$B1110)),'자료_한국심리'!$A1110,"")</f>
        <v/>
      </c>
      <c r="V1126">
        <f>IF(AND(ISNUMBER('자료_한국심리'!$D1110),ISNUMBER('자료_한국심리'!$E1110)),'자료_한국심리'!$D1110,"")</f>
        <v/>
      </c>
      <c r="W1126">
        <f>IF(AND(ISNUMBER('자료_한국심리'!$G1110),ISNUMBER('자료_한국심리'!$H1110)),'자료_한국심리'!$G1110,"")</f>
        <v/>
      </c>
      <c r="X1126">
        <f>IF(AND(ISNUMBER('자료_한국심리'!$J1110),ISNUMBER('자료_한국심리'!$K1110)),'자료_한국심리'!$J1110,"")</f>
        <v/>
      </c>
      <c r="Y1126">
        <f>IF(AND(ISNUMBER('자료_한국심리'!$M1110),ISNUMBER('자료_한국심리'!$N1110)),'자료_한국심리'!$M1110,"")</f>
        <v/>
      </c>
    </row>
    <row r="1127">
      <c r="A1127" s="10">
        <f>IF(1109&gt;$E$5,"",SMALL($U$19:$U$4018,$E$6+1109))</f>
        <v/>
      </c>
      <c r="B1127" s="29">
        <f>IF(A1127="","",INDEX('자료_한국심리'!$B$3:$B$4002,MATCH(A1127,$U$19:$U$4018,0)))</f>
        <v/>
      </c>
      <c r="C1127" s="22">
        <f>IF(A1127="","",B1127/AVERAGE(B1003:B1127)-1)</f>
        <v/>
      </c>
      <c r="D1127" s="29">
        <f>IF(A1127="","",IFERROR(INDEX('자료_한국심리'!$E$3:$E$4002,MATCH(A1127,$V$19:$V$4018,0)),D1126))</f>
        <v/>
      </c>
      <c r="E1127" s="30">
        <f>IF(A1127="","",IFERROR(INDEX('자료_한국심리'!$H$3:$H$4002,MATCH(A1127,$W$19:$W$4018,0)),E1126))</f>
        <v/>
      </c>
      <c r="F1127" s="30">
        <f>IF(A1127="","",IFERROR(INDEX('자료_한국심리'!$K$3:$K$4002,MATCH(A1127,$X$19:$X$4018,0)),F1126))</f>
        <v/>
      </c>
      <c r="G1127" s="30">
        <f>IF(AND(ISNUMBER(E1127),ISNUMBER(F1127)),ROUND(E1127-F1127,6),"")</f>
        <v/>
      </c>
      <c r="H1127" s="25">
        <f>IF(A1127="","",IFERROR(INDEX('자료_한국심리'!$N$3:$N$4002,MATCH(A1127,$Y$19:$Y$4018,0)),H1126))</f>
        <v/>
      </c>
      <c r="I1127" s="31">
        <f>IF(AND(ISNUMBER(H1127),ISNUMBER(H1107)),IF(H1107&gt;0,H1127/H1107-1,""),"")</f>
        <v/>
      </c>
      <c r="J1127">
        <f>IF(A1127="",0,IF(A1127&gt;$B$5,1,0))</f>
        <v/>
      </c>
      <c r="K1127" s="29">
        <f>IF(AND(J1127=1,ISNUMBER(D1127)),D1127,"")</f>
        <v/>
      </c>
      <c r="L1127" s="30">
        <f>IF(AND(J1127=1,ISNUMBER(G1127)),G1127,"")</f>
        <v/>
      </c>
      <c r="M1127" s="22">
        <f>IF(AND(J1127=1,ISNUMBER(C1127)),C1127,"")</f>
        <v/>
      </c>
      <c r="N1127" s="31">
        <f>IF(AND(J1127=1,ISNUMBER(I1127)),I1127,"")</f>
        <v/>
      </c>
      <c r="O1127" s="11">
        <f>IF(K1127="","",100-IF($G$13=1,50,(_xlfn.RANK.AVG(K1127,$K$19:$K$1518,1)-1)/($G$13-1)*100))</f>
        <v/>
      </c>
      <c r="P1127" s="11">
        <f>IF(L1127="","",100-IF($G$14=1,50,(_xlfn.RANK.AVG(L1127,$L$19:$L$1518,1)-1)/($G$14-1)*100))</f>
        <v/>
      </c>
      <c r="Q1127" s="11">
        <f>IF(M1127="","",IF($G$15=1,50,(_xlfn.RANK.AVG(M1127,$M$19:$M$1518,1)-1)/($G$15-1)*100))</f>
        <v/>
      </c>
      <c r="R1127" s="11">
        <f>IF(N1127="","",IF($G$16=1,50,(_xlfn.RANK.AVG(N1127,$N$19:$N$1518,1)-1)/($G$16-1)*100))</f>
        <v/>
      </c>
      <c r="S1127" s="11">
        <f>IF(COUNT(O1127:R1127)=4,ROUND(AVERAGE(O1127:R1127),6),"")</f>
        <v/>
      </c>
      <c r="U1127">
        <f>IF(AND(ISNUMBER('자료_한국심리'!$A1111),ISNUMBER('자료_한국심리'!$B1111)),'자료_한국심리'!$A1111,"")</f>
        <v/>
      </c>
      <c r="V1127">
        <f>IF(AND(ISNUMBER('자료_한국심리'!$D1111),ISNUMBER('자료_한국심리'!$E1111)),'자료_한국심리'!$D1111,"")</f>
        <v/>
      </c>
      <c r="W1127">
        <f>IF(AND(ISNUMBER('자료_한국심리'!$G1111),ISNUMBER('자료_한국심리'!$H1111)),'자료_한국심리'!$G1111,"")</f>
        <v/>
      </c>
      <c r="X1127">
        <f>IF(AND(ISNUMBER('자료_한국심리'!$J1111),ISNUMBER('자료_한국심리'!$K1111)),'자료_한국심리'!$J1111,"")</f>
        <v/>
      </c>
      <c r="Y1127">
        <f>IF(AND(ISNUMBER('자료_한국심리'!$M1111),ISNUMBER('자료_한국심리'!$N1111)),'자료_한국심리'!$M1111,"")</f>
        <v/>
      </c>
    </row>
    <row r="1128">
      <c r="A1128" s="10">
        <f>IF(1110&gt;$E$5,"",SMALL($U$19:$U$4018,$E$6+1110))</f>
        <v/>
      </c>
      <c r="B1128" s="29">
        <f>IF(A1128="","",INDEX('자료_한국심리'!$B$3:$B$4002,MATCH(A1128,$U$19:$U$4018,0)))</f>
        <v/>
      </c>
      <c r="C1128" s="22">
        <f>IF(A1128="","",B1128/AVERAGE(B1004:B1128)-1)</f>
        <v/>
      </c>
      <c r="D1128" s="29">
        <f>IF(A1128="","",IFERROR(INDEX('자료_한국심리'!$E$3:$E$4002,MATCH(A1128,$V$19:$V$4018,0)),D1127))</f>
        <v/>
      </c>
      <c r="E1128" s="30">
        <f>IF(A1128="","",IFERROR(INDEX('자료_한국심리'!$H$3:$H$4002,MATCH(A1128,$W$19:$W$4018,0)),E1127))</f>
        <v/>
      </c>
      <c r="F1128" s="30">
        <f>IF(A1128="","",IFERROR(INDEX('자료_한국심리'!$K$3:$K$4002,MATCH(A1128,$X$19:$X$4018,0)),F1127))</f>
        <v/>
      </c>
      <c r="G1128" s="30">
        <f>IF(AND(ISNUMBER(E1128),ISNUMBER(F1128)),ROUND(E1128-F1128,6),"")</f>
        <v/>
      </c>
      <c r="H1128" s="25">
        <f>IF(A1128="","",IFERROR(INDEX('자료_한국심리'!$N$3:$N$4002,MATCH(A1128,$Y$19:$Y$4018,0)),H1127))</f>
        <v/>
      </c>
      <c r="I1128" s="31">
        <f>IF(AND(ISNUMBER(H1128),ISNUMBER(H1108)),IF(H1108&gt;0,H1128/H1108-1,""),"")</f>
        <v/>
      </c>
      <c r="J1128">
        <f>IF(A1128="",0,IF(A1128&gt;$B$5,1,0))</f>
        <v/>
      </c>
      <c r="K1128" s="29">
        <f>IF(AND(J1128=1,ISNUMBER(D1128)),D1128,"")</f>
        <v/>
      </c>
      <c r="L1128" s="30">
        <f>IF(AND(J1128=1,ISNUMBER(G1128)),G1128,"")</f>
        <v/>
      </c>
      <c r="M1128" s="22">
        <f>IF(AND(J1128=1,ISNUMBER(C1128)),C1128,"")</f>
        <v/>
      </c>
      <c r="N1128" s="31">
        <f>IF(AND(J1128=1,ISNUMBER(I1128)),I1128,"")</f>
        <v/>
      </c>
      <c r="O1128" s="11">
        <f>IF(K1128="","",100-IF($G$13=1,50,(_xlfn.RANK.AVG(K1128,$K$19:$K$1518,1)-1)/($G$13-1)*100))</f>
        <v/>
      </c>
      <c r="P1128" s="11">
        <f>IF(L1128="","",100-IF($G$14=1,50,(_xlfn.RANK.AVG(L1128,$L$19:$L$1518,1)-1)/($G$14-1)*100))</f>
        <v/>
      </c>
      <c r="Q1128" s="11">
        <f>IF(M1128="","",IF($G$15=1,50,(_xlfn.RANK.AVG(M1128,$M$19:$M$1518,1)-1)/($G$15-1)*100))</f>
        <v/>
      </c>
      <c r="R1128" s="11">
        <f>IF(N1128="","",IF($G$16=1,50,(_xlfn.RANK.AVG(N1128,$N$19:$N$1518,1)-1)/($G$16-1)*100))</f>
        <v/>
      </c>
      <c r="S1128" s="11">
        <f>IF(COUNT(O1128:R1128)=4,ROUND(AVERAGE(O1128:R1128),6),"")</f>
        <v/>
      </c>
      <c r="U1128">
        <f>IF(AND(ISNUMBER('자료_한국심리'!$A1112),ISNUMBER('자료_한국심리'!$B1112)),'자료_한국심리'!$A1112,"")</f>
        <v/>
      </c>
      <c r="V1128">
        <f>IF(AND(ISNUMBER('자료_한국심리'!$D1112),ISNUMBER('자료_한국심리'!$E1112)),'자료_한국심리'!$D1112,"")</f>
        <v/>
      </c>
      <c r="W1128">
        <f>IF(AND(ISNUMBER('자료_한국심리'!$G1112),ISNUMBER('자료_한국심리'!$H1112)),'자료_한국심리'!$G1112,"")</f>
        <v/>
      </c>
      <c r="X1128">
        <f>IF(AND(ISNUMBER('자료_한국심리'!$J1112),ISNUMBER('자료_한국심리'!$K1112)),'자료_한국심리'!$J1112,"")</f>
        <v/>
      </c>
      <c r="Y1128">
        <f>IF(AND(ISNUMBER('자료_한국심리'!$M1112),ISNUMBER('자료_한국심리'!$N1112)),'자료_한국심리'!$M1112,"")</f>
        <v/>
      </c>
    </row>
    <row r="1129">
      <c r="A1129" s="10">
        <f>IF(1111&gt;$E$5,"",SMALL($U$19:$U$4018,$E$6+1111))</f>
        <v/>
      </c>
      <c r="B1129" s="29">
        <f>IF(A1129="","",INDEX('자료_한국심리'!$B$3:$B$4002,MATCH(A1129,$U$19:$U$4018,0)))</f>
        <v/>
      </c>
      <c r="C1129" s="22">
        <f>IF(A1129="","",B1129/AVERAGE(B1005:B1129)-1)</f>
        <v/>
      </c>
      <c r="D1129" s="29">
        <f>IF(A1129="","",IFERROR(INDEX('자료_한국심리'!$E$3:$E$4002,MATCH(A1129,$V$19:$V$4018,0)),D1128))</f>
        <v/>
      </c>
      <c r="E1129" s="30">
        <f>IF(A1129="","",IFERROR(INDEX('자료_한국심리'!$H$3:$H$4002,MATCH(A1129,$W$19:$W$4018,0)),E1128))</f>
        <v/>
      </c>
      <c r="F1129" s="30">
        <f>IF(A1129="","",IFERROR(INDEX('자료_한국심리'!$K$3:$K$4002,MATCH(A1129,$X$19:$X$4018,0)),F1128))</f>
        <v/>
      </c>
      <c r="G1129" s="30">
        <f>IF(AND(ISNUMBER(E1129),ISNUMBER(F1129)),ROUND(E1129-F1129,6),"")</f>
        <v/>
      </c>
      <c r="H1129" s="25">
        <f>IF(A1129="","",IFERROR(INDEX('자료_한국심리'!$N$3:$N$4002,MATCH(A1129,$Y$19:$Y$4018,0)),H1128))</f>
        <v/>
      </c>
      <c r="I1129" s="31">
        <f>IF(AND(ISNUMBER(H1129),ISNUMBER(H1109)),IF(H1109&gt;0,H1129/H1109-1,""),"")</f>
        <v/>
      </c>
      <c r="J1129">
        <f>IF(A1129="",0,IF(A1129&gt;$B$5,1,0))</f>
        <v/>
      </c>
      <c r="K1129" s="29">
        <f>IF(AND(J1129=1,ISNUMBER(D1129)),D1129,"")</f>
        <v/>
      </c>
      <c r="L1129" s="30">
        <f>IF(AND(J1129=1,ISNUMBER(G1129)),G1129,"")</f>
        <v/>
      </c>
      <c r="M1129" s="22">
        <f>IF(AND(J1129=1,ISNUMBER(C1129)),C1129,"")</f>
        <v/>
      </c>
      <c r="N1129" s="31">
        <f>IF(AND(J1129=1,ISNUMBER(I1129)),I1129,"")</f>
        <v/>
      </c>
      <c r="O1129" s="11">
        <f>IF(K1129="","",100-IF($G$13=1,50,(_xlfn.RANK.AVG(K1129,$K$19:$K$1518,1)-1)/($G$13-1)*100))</f>
        <v/>
      </c>
      <c r="P1129" s="11">
        <f>IF(L1129="","",100-IF($G$14=1,50,(_xlfn.RANK.AVG(L1129,$L$19:$L$1518,1)-1)/($G$14-1)*100))</f>
        <v/>
      </c>
      <c r="Q1129" s="11">
        <f>IF(M1129="","",IF($G$15=1,50,(_xlfn.RANK.AVG(M1129,$M$19:$M$1518,1)-1)/($G$15-1)*100))</f>
        <v/>
      </c>
      <c r="R1129" s="11">
        <f>IF(N1129="","",IF($G$16=1,50,(_xlfn.RANK.AVG(N1129,$N$19:$N$1518,1)-1)/($G$16-1)*100))</f>
        <v/>
      </c>
      <c r="S1129" s="11">
        <f>IF(COUNT(O1129:R1129)=4,ROUND(AVERAGE(O1129:R1129),6),"")</f>
        <v/>
      </c>
      <c r="U1129">
        <f>IF(AND(ISNUMBER('자료_한국심리'!$A1113),ISNUMBER('자료_한국심리'!$B1113)),'자료_한국심리'!$A1113,"")</f>
        <v/>
      </c>
      <c r="V1129">
        <f>IF(AND(ISNUMBER('자료_한국심리'!$D1113),ISNUMBER('자료_한국심리'!$E1113)),'자료_한국심리'!$D1113,"")</f>
        <v/>
      </c>
      <c r="W1129">
        <f>IF(AND(ISNUMBER('자료_한국심리'!$G1113),ISNUMBER('자료_한국심리'!$H1113)),'자료_한국심리'!$G1113,"")</f>
        <v/>
      </c>
      <c r="X1129">
        <f>IF(AND(ISNUMBER('자료_한국심리'!$J1113),ISNUMBER('자료_한국심리'!$K1113)),'자료_한국심리'!$J1113,"")</f>
        <v/>
      </c>
      <c r="Y1129">
        <f>IF(AND(ISNUMBER('자료_한국심리'!$M1113),ISNUMBER('자료_한국심리'!$N1113)),'자료_한국심리'!$M1113,"")</f>
        <v/>
      </c>
    </row>
    <row r="1130">
      <c r="A1130" s="10">
        <f>IF(1112&gt;$E$5,"",SMALL($U$19:$U$4018,$E$6+1112))</f>
        <v/>
      </c>
      <c r="B1130" s="29">
        <f>IF(A1130="","",INDEX('자료_한국심리'!$B$3:$B$4002,MATCH(A1130,$U$19:$U$4018,0)))</f>
        <v/>
      </c>
      <c r="C1130" s="22">
        <f>IF(A1130="","",B1130/AVERAGE(B1006:B1130)-1)</f>
        <v/>
      </c>
      <c r="D1130" s="29">
        <f>IF(A1130="","",IFERROR(INDEX('자료_한국심리'!$E$3:$E$4002,MATCH(A1130,$V$19:$V$4018,0)),D1129))</f>
        <v/>
      </c>
      <c r="E1130" s="30">
        <f>IF(A1130="","",IFERROR(INDEX('자료_한국심리'!$H$3:$H$4002,MATCH(A1130,$W$19:$W$4018,0)),E1129))</f>
        <v/>
      </c>
      <c r="F1130" s="30">
        <f>IF(A1130="","",IFERROR(INDEX('자료_한국심리'!$K$3:$K$4002,MATCH(A1130,$X$19:$X$4018,0)),F1129))</f>
        <v/>
      </c>
      <c r="G1130" s="30">
        <f>IF(AND(ISNUMBER(E1130),ISNUMBER(F1130)),ROUND(E1130-F1130,6),"")</f>
        <v/>
      </c>
      <c r="H1130" s="25">
        <f>IF(A1130="","",IFERROR(INDEX('자료_한국심리'!$N$3:$N$4002,MATCH(A1130,$Y$19:$Y$4018,0)),H1129))</f>
        <v/>
      </c>
      <c r="I1130" s="31">
        <f>IF(AND(ISNUMBER(H1130),ISNUMBER(H1110)),IF(H1110&gt;0,H1130/H1110-1,""),"")</f>
        <v/>
      </c>
      <c r="J1130">
        <f>IF(A1130="",0,IF(A1130&gt;$B$5,1,0))</f>
        <v/>
      </c>
      <c r="K1130" s="29">
        <f>IF(AND(J1130=1,ISNUMBER(D1130)),D1130,"")</f>
        <v/>
      </c>
      <c r="L1130" s="30">
        <f>IF(AND(J1130=1,ISNUMBER(G1130)),G1130,"")</f>
        <v/>
      </c>
      <c r="M1130" s="22">
        <f>IF(AND(J1130=1,ISNUMBER(C1130)),C1130,"")</f>
        <v/>
      </c>
      <c r="N1130" s="31">
        <f>IF(AND(J1130=1,ISNUMBER(I1130)),I1130,"")</f>
        <v/>
      </c>
      <c r="O1130" s="11">
        <f>IF(K1130="","",100-IF($G$13=1,50,(_xlfn.RANK.AVG(K1130,$K$19:$K$1518,1)-1)/($G$13-1)*100))</f>
        <v/>
      </c>
      <c r="P1130" s="11">
        <f>IF(L1130="","",100-IF($G$14=1,50,(_xlfn.RANK.AVG(L1130,$L$19:$L$1518,1)-1)/($G$14-1)*100))</f>
        <v/>
      </c>
      <c r="Q1130" s="11">
        <f>IF(M1130="","",IF($G$15=1,50,(_xlfn.RANK.AVG(M1130,$M$19:$M$1518,1)-1)/($G$15-1)*100))</f>
        <v/>
      </c>
      <c r="R1130" s="11">
        <f>IF(N1130="","",IF($G$16=1,50,(_xlfn.RANK.AVG(N1130,$N$19:$N$1518,1)-1)/($G$16-1)*100))</f>
        <v/>
      </c>
      <c r="S1130" s="11">
        <f>IF(COUNT(O1130:R1130)=4,ROUND(AVERAGE(O1130:R1130),6),"")</f>
        <v/>
      </c>
      <c r="U1130">
        <f>IF(AND(ISNUMBER('자료_한국심리'!$A1114),ISNUMBER('자료_한국심리'!$B1114)),'자료_한국심리'!$A1114,"")</f>
        <v/>
      </c>
      <c r="V1130">
        <f>IF(AND(ISNUMBER('자료_한국심리'!$D1114),ISNUMBER('자료_한국심리'!$E1114)),'자료_한국심리'!$D1114,"")</f>
        <v/>
      </c>
      <c r="W1130">
        <f>IF(AND(ISNUMBER('자료_한국심리'!$G1114),ISNUMBER('자료_한국심리'!$H1114)),'자료_한국심리'!$G1114,"")</f>
        <v/>
      </c>
      <c r="X1130">
        <f>IF(AND(ISNUMBER('자료_한국심리'!$J1114),ISNUMBER('자료_한국심리'!$K1114)),'자료_한국심리'!$J1114,"")</f>
        <v/>
      </c>
      <c r="Y1130">
        <f>IF(AND(ISNUMBER('자료_한국심리'!$M1114),ISNUMBER('자료_한국심리'!$N1114)),'자료_한국심리'!$M1114,"")</f>
        <v/>
      </c>
    </row>
    <row r="1131">
      <c r="A1131" s="10">
        <f>IF(1113&gt;$E$5,"",SMALL($U$19:$U$4018,$E$6+1113))</f>
        <v/>
      </c>
      <c r="B1131" s="29">
        <f>IF(A1131="","",INDEX('자료_한국심리'!$B$3:$B$4002,MATCH(A1131,$U$19:$U$4018,0)))</f>
        <v/>
      </c>
      <c r="C1131" s="22">
        <f>IF(A1131="","",B1131/AVERAGE(B1007:B1131)-1)</f>
        <v/>
      </c>
      <c r="D1131" s="29">
        <f>IF(A1131="","",IFERROR(INDEX('자료_한국심리'!$E$3:$E$4002,MATCH(A1131,$V$19:$V$4018,0)),D1130))</f>
        <v/>
      </c>
      <c r="E1131" s="30">
        <f>IF(A1131="","",IFERROR(INDEX('자료_한국심리'!$H$3:$H$4002,MATCH(A1131,$W$19:$W$4018,0)),E1130))</f>
        <v/>
      </c>
      <c r="F1131" s="30">
        <f>IF(A1131="","",IFERROR(INDEX('자료_한국심리'!$K$3:$K$4002,MATCH(A1131,$X$19:$X$4018,0)),F1130))</f>
        <v/>
      </c>
      <c r="G1131" s="30">
        <f>IF(AND(ISNUMBER(E1131),ISNUMBER(F1131)),ROUND(E1131-F1131,6),"")</f>
        <v/>
      </c>
      <c r="H1131" s="25">
        <f>IF(A1131="","",IFERROR(INDEX('자료_한국심리'!$N$3:$N$4002,MATCH(A1131,$Y$19:$Y$4018,0)),H1130))</f>
        <v/>
      </c>
      <c r="I1131" s="31">
        <f>IF(AND(ISNUMBER(H1131),ISNUMBER(H1111)),IF(H1111&gt;0,H1131/H1111-1,""),"")</f>
        <v/>
      </c>
      <c r="J1131">
        <f>IF(A1131="",0,IF(A1131&gt;$B$5,1,0))</f>
        <v/>
      </c>
      <c r="K1131" s="29">
        <f>IF(AND(J1131=1,ISNUMBER(D1131)),D1131,"")</f>
        <v/>
      </c>
      <c r="L1131" s="30">
        <f>IF(AND(J1131=1,ISNUMBER(G1131)),G1131,"")</f>
        <v/>
      </c>
      <c r="M1131" s="22">
        <f>IF(AND(J1131=1,ISNUMBER(C1131)),C1131,"")</f>
        <v/>
      </c>
      <c r="N1131" s="31">
        <f>IF(AND(J1131=1,ISNUMBER(I1131)),I1131,"")</f>
        <v/>
      </c>
      <c r="O1131" s="11">
        <f>IF(K1131="","",100-IF($G$13=1,50,(_xlfn.RANK.AVG(K1131,$K$19:$K$1518,1)-1)/($G$13-1)*100))</f>
        <v/>
      </c>
      <c r="P1131" s="11">
        <f>IF(L1131="","",100-IF($G$14=1,50,(_xlfn.RANK.AVG(L1131,$L$19:$L$1518,1)-1)/($G$14-1)*100))</f>
        <v/>
      </c>
      <c r="Q1131" s="11">
        <f>IF(M1131="","",IF($G$15=1,50,(_xlfn.RANK.AVG(M1131,$M$19:$M$1518,1)-1)/($G$15-1)*100))</f>
        <v/>
      </c>
      <c r="R1131" s="11">
        <f>IF(N1131="","",IF($G$16=1,50,(_xlfn.RANK.AVG(N1131,$N$19:$N$1518,1)-1)/($G$16-1)*100))</f>
        <v/>
      </c>
      <c r="S1131" s="11">
        <f>IF(COUNT(O1131:R1131)=4,ROUND(AVERAGE(O1131:R1131),6),"")</f>
        <v/>
      </c>
      <c r="U1131">
        <f>IF(AND(ISNUMBER('자료_한국심리'!$A1115),ISNUMBER('자료_한국심리'!$B1115)),'자료_한국심리'!$A1115,"")</f>
        <v/>
      </c>
      <c r="V1131">
        <f>IF(AND(ISNUMBER('자료_한국심리'!$D1115),ISNUMBER('자료_한국심리'!$E1115)),'자료_한국심리'!$D1115,"")</f>
        <v/>
      </c>
      <c r="W1131">
        <f>IF(AND(ISNUMBER('자료_한국심리'!$G1115),ISNUMBER('자료_한국심리'!$H1115)),'자료_한국심리'!$G1115,"")</f>
        <v/>
      </c>
      <c r="X1131">
        <f>IF(AND(ISNUMBER('자료_한국심리'!$J1115),ISNUMBER('자료_한국심리'!$K1115)),'자료_한국심리'!$J1115,"")</f>
        <v/>
      </c>
      <c r="Y1131">
        <f>IF(AND(ISNUMBER('자료_한국심리'!$M1115),ISNUMBER('자료_한국심리'!$N1115)),'자료_한국심리'!$M1115,"")</f>
        <v/>
      </c>
    </row>
    <row r="1132">
      <c r="A1132" s="10">
        <f>IF(1114&gt;$E$5,"",SMALL($U$19:$U$4018,$E$6+1114))</f>
        <v/>
      </c>
      <c r="B1132" s="29">
        <f>IF(A1132="","",INDEX('자료_한국심리'!$B$3:$B$4002,MATCH(A1132,$U$19:$U$4018,0)))</f>
        <v/>
      </c>
      <c r="C1132" s="22">
        <f>IF(A1132="","",B1132/AVERAGE(B1008:B1132)-1)</f>
        <v/>
      </c>
      <c r="D1132" s="29">
        <f>IF(A1132="","",IFERROR(INDEX('자료_한국심리'!$E$3:$E$4002,MATCH(A1132,$V$19:$V$4018,0)),D1131))</f>
        <v/>
      </c>
      <c r="E1132" s="30">
        <f>IF(A1132="","",IFERROR(INDEX('자료_한국심리'!$H$3:$H$4002,MATCH(A1132,$W$19:$W$4018,0)),E1131))</f>
        <v/>
      </c>
      <c r="F1132" s="30">
        <f>IF(A1132="","",IFERROR(INDEX('자료_한국심리'!$K$3:$K$4002,MATCH(A1132,$X$19:$X$4018,0)),F1131))</f>
        <v/>
      </c>
      <c r="G1132" s="30">
        <f>IF(AND(ISNUMBER(E1132),ISNUMBER(F1132)),ROUND(E1132-F1132,6),"")</f>
        <v/>
      </c>
      <c r="H1132" s="25">
        <f>IF(A1132="","",IFERROR(INDEX('자료_한국심리'!$N$3:$N$4002,MATCH(A1132,$Y$19:$Y$4018,0)),H1131))</f>
        <v/>
      </c>
      <c r="I1132" s="31">
        <f>IF(AND(ISNUMBER(H1132),ISNUMBER(H1112)),IF(H1112&gt;0,H1132/H1112-1,""),"")</f>
        <v/>
      </c>
      <c r="J1132">
        <f>IF(A1132="",0,IF(A1132&gt;$B$5,1,0))</f>
        <v/>
      </c>
      <c r="K1132" s="29">
        <f>IF(AND(J1132=1,ISNUMBER(D1132)),D1132,"")</f>
        <v/>
      </c>
      <c r="L1132" s="30">
        <f>IF(AND(J1132=1,ISNUMBER(G1132)),G1132,"")</f>
        <v/>
      </c>
      <c r="M1132" s="22">
        <f>IF(AND(J1132=1,ISNUMBER(C1132)),C1132,"")</f>
        <v/>
      </c>
      <c r="N1132" s="31">
        <f>IF(AND(J1132=1,ISNUMBER(I1132)),I1132,"")</f>
        <v/>
      </c>
      <c r="O1132" s="11">
        <f>IF(K1132="","",100-IF($G$13=1,50,(_xlfn.RANK.AVG(K1132,$K$19:$K$1518,1)-1)/($G$13-1)*100))</f>
        <v/>
      </c>
      <c r="P1132" s="11">
        <f>IF(L1132="","",100-IF($G$14=1,50,(_xlfn.RANK.AVG(L1132,$L$19:$L$1518,1)-1)/($G$14-1)*100))</f>
        <v/>
      </c>
      <c r="Q1132" s="11">
        <f>IF(M1132="","",IF($G$15=1,50,(_xlfn.RANK.AVG(M1132,$M$19:$M$1518,1)-1)/($G$15-1)*100))</f>
        <v/>
      </c>
      <c r="R1132" s="11">
        <f>IF(N1132="","",IF($G$16=1,50,(_xlfn.RANK.AVG(N1132,$N$19:$N$1518,1)-1)/($G$16-1)*100))</f>
        <v/>
      </c>
      <c r="S1132" s="11">
        <f>IF(COUNT(O1132:R1132)=4,ROUND(AVERAGE(O1132:R1132),6),"")</f>
        <v/>
      </c>
      <c r="U1132">
        <f>IF(AND(ISNUMBER('자료_한국심리'!$A1116),ISNUMBER('자료_한국심리'!$B1116)),'자료_한국심리'!$A1116,"")</f>
        <v/>
      </c>
      <c r="V1132">
        <f>IF(AND(ISNUMBER('자료_한국심리'!$D1116),ISNUMBER('자료_한국심리'!$E1116)),'자료_한국심리'!$D1116,"")</f>
        <v/>
      </c>
      <c r="W1132">
        <f>IF(AND(ISNUMBER('자료_한국심리'!$G1116),ISNUMBER('자료_한국심리'!$H1116)),'자료_한국심리'!$G1116,"")</f>
        <v/>
      </c>
      <c r="X1132">
        <f>IF(AND(ISNUMBER('자료_한국심리'!$J1116),ISNUMBER('자료_한국심리'!$K1116)),'자료_한국심리'!$J1116,"")</f>
        <v/>
      </c>
      <c r="Y1132">
        <f>IF(AND(ISNUMBER('자료_한국심리'!$M1116),ISNUMBER('자료_한국심리'!$N1116)),'자료_한국심리'!$M1116,"")</f>
        <v/>
      </c>
    </row>
    <row r="1133">
      <c r="A1133" s="10">
        <f>IF(1115&gt;$E$5,"",SMALL($U$19:$U$4018,$E$6+1115))</f>
        <v/>
      </c>
      <c r="B1133" s="29">
        <f>IF(A1133="","",INDEX('자료_한국심리'!$B$3:$B$4002,MATCH(A1133,$U$19:$U$4018,0)))</f>
        <v/>
      </c>
      <c r="C1133" s="22">
        <f>IF(A1133="","",B1133/AVERAGE(B1009:B1133)-1)</f>
        <v/>
      </c>
      <c r="D1133" s="29">
        <f>IF(A1133="","",IFERROR(INDEX('자료_한국심리'!$E$3:$E$4002,MATCH(A1133,$V$19:$V$4018,0)),D1132))</f>
        <v/>
      </c>
      <c r="E1133" s="30">
        <f>IF(A1133="","",IFERROR(INDEX('자료_한국심리'!$H$3:$H$4002,MATCH(A1133,$W$19:$W$4018,0)),E1132))</f>
        <v/>
      </c>
      <c r="F1133" s="30">
        <f>IF(A1133="","",IFERROR(INDEX('자료_한국심리'!$K$3:$K$4002,MATCH(A1133,$X$19:$X$4018,0)),F1132))</f>
        <v/>
      </c>
      <c r="G1133" s="30">
        <f>IF(AND(ISNUMBER(E1133),ISNUMBER(F1133)),ROUND(E1133-F1133,6),"")</f>
        <v/>
      </c>
      <c r="H1133" s="25">
        <f>IF(A1133="","",IFERROR(INDEX('자료_한국심리'!$N$3:$N$4002,MATCH(A1133,$Y$19:$Y$4018,0)),H1132))</f>
        <v/>
      </c>
      <c r="I1133" s="31">
        <f>IF(AND(ISNUMBER(H1133),ISNUMBER(H1113)),IF(H1113&gt;0,H1133/H1113-1,""),"")</f>
        <v/>
      </c>
      <c r="J1133">
        <f>IF(A1133="",0,IF(A1133&gt;$B$5,1,0))</f>
        <v/>
      </c>
      <c r="K1133" s="29">
        <f>IF(AND(J1133=1,ISNUMBER(D1133)),D1133,"")</f>
        <v/>
      </c>
      <c r="L1133" s="30">
        <f>IF(AND(J1133=1,ISNUMBER(G1133)),G1133,"")</f>
        <v/>
      </c>
      <c r="M1133" s="22">
        <f>IF(AND(J1133=1,ISNUMBER(C1133)),C1133,"")</f>
        <v/>
      </c>
      <c r="N1133" s="31">
        <f>IF(AND(J1133=1,ISNUMBER(I1133)),I1133,"")</f>
        <v/>
      </c>
      <c r="O1133" s="11">
        <f>IF(K1133="","",100-IF($G$13=1,50,(_xlfn.RANK.AVG(K1133,$K$19:$K$1518,1)-1)/($G$13-1)*100))</f>
        <v/>
      </c>
      <c r="P1133" s="11">
        <f>IF(L1133="","",100-IF($G$14=1,50,(_xlfn.RANK.AVG(L1133,$L$19:$L$1518,1)-1)/($G$14-1)*100))</f>
        <v/>
      </c>
      <c r="Q1133" s="11">
        <f>IF(M1133="","",IF($G$15=1,50,(_xlfn.RANK.AVG(M1133,$M$19:$M$1518,1)-1)/($G$15-1)*100))</f>
        <v/>
      </c>
      <c r="R1133" s="11">
        <f>IF(N1133="","",IF($G$16=1,50,(_xlfn.RANK.AVG(N1133,$N$19:$N$1518,1)-1)/($G$16-1)*100))</f>
        <v/>
      </c>
      <c r="S1133" s="11">
        <f>IF(COUNT(O1133:R1133)=4,ROUND(AVERAGE(O1133:R1133),6),"")</f>
        <v/>
      </c>
      <c r="U1133">
        <f>IF(AND(ISNUMBER('자료_한국심리'!$A1117),ISNUMBER('자료_한국심리'!$B1117)),'자료_한국심리'!$A1117,"")</f>
        <v/>
      </c>
      <c r="V1133">
        <f>IF(AND(ISNUMBER('자료_한국심리'!$D1117),ISNUMBER('자료_한국심리'!$E1117)),'자료_한국심리'!$D1117,"")</f>
        <v/>
      </c>
      <c r="W1133">
        <f>IF(AND(ISNUMBER('자료_한국심리'!$G1117),ISNUMBER('자료_한국심리'!$H1117)),'자료_한국심리'!$G1117,"")</f>
        <v/>
      </c>
      <c r="X1133">
        <f>IF(AND(ISNUMBER('자료_한국심리'!$J1117),ISNUMBER('자료_한국심리'!$K1117)),'자료_한국심리'!$J1117,"")</f>
        <v/>
      </c>
      <c r="Y1133">
        <f>IF(AND(ISNUMBER('자료_한국심리'!$M1117),ISNUMBER('자료_한국심리'!$N1117)),'자료_한국심리'!$M1117,"")</f>
        <v/>
      </c>
    </row>
    <row r="1134">
      <c r="A1134" s="10">
        <f>IF(1116&gt;$E$5,"",SMALL($U$19:$U$4018,$E$6+1116))</f>
        <v/>
      </c>
      <c r="B1134" s="29">
        <f>IF(A1134="","",INDEX('자료_한국심리'!$B$3:$B$4002,MATCH(A1134,$U$19:$U$4018,0)))</f>
        <v/>
      </c>
      <c r="C1134" s="22">
        <f>IF(A1134="","",B1134/AVERAGE(B1010:B1134)-1)</f>
        <v/>
      </c>
      <c r="D1134" s="29">
        <f>IF(A1134="","",IFERROR(INDEX('자료_한국심리'!$E$3:$E$4002,MATCH(A1134,$V$19:$V$4018,0)),D1133))</f>
        <v/>
      </c>
      <c r="E1134" s="30">
        <f>IF(A1134="","",IFERROR(INDEX('자료_한국심리'!$H$3:$H$4002,MATCH(A1134,$W$19:$W$4018,0)),E1133))</f>
        <v/>
      </c>
      <c r="F1134" s="30">
        <f>IF(A1134="","",IFERROR(INDEX('자료_한국심리'!$K$3:$K$4002,MATCH(A1134,$X$19:$X$4018,0)),F1133))</f>
        <v/>
      </c>
      <c r="G1134" s="30">
        <f>IF(AND(ISNUMBER(E1134),ISNUMBER(F1134)),ROUND(E1134-F1134,6),"")</f>
        <v/>
      </c>
      <c r="H1134" s="25">
        <f>IF(A1134="","",IFERROR(INDEX('자료_한국심리'!$N$3:$N$4002,MATCH(A1134,$Y$19:$Y$4018,0)),H1133))</f>
        <v/>
      </c>
      <c r="I1134" s="31">
        <f>IF(AND(ISNUMBER(H1134),ISNUMBER(H1114)),IF(H1114&gt;0,H1134/H1114-1,""),"")</f>
        <v/>
      </c>
      <c r="J1134">
        <f>IF(A1134="",0,IF(A1134&gt;$B$5,1,0))</f>
        <v/>
      </c>
      <c r="K1134" s="29">
        <f>IF(AND(J1134=1,ISNUMBER(D1134)),D1134,"")</f>
        <v/>
      </c>
      <c r="L1134" s="30">
        <f>IF(AND(J1134=1,ISNUMBER(G1134)),G1134,"")</f>
        <v/>
      </c>
      <c r="M1134" s="22">
        <f>IF(AND(J1134=1,ISNUMBER(C1134)),C1134,"")</f>
        <v/>
      </c>
      <c r="N1134" s="31">
        <f>IF(AND(J1134=1,ISNUMBER(I1134)),I1134,"")</f>
        <v/>
      </c>
      <c r="O1134" s="11">
        <f>IF(K1134="","",100-IF($G$13=1,50,(_xlfn.RANK.AVG(K1134,$K$19:$K$1518,1)-1)/($G$13-1)*100))</f>
        <v/>
      </c>
      <c r="P1134" s="11">
        <f>IF(L1134="","",100-IF($G$14=1,50,(_xlfn.RANK.AVG(L1134,$L$19:$L$1518,1)-1)/($G$14-1)*100))</f>
        <v/>
      </c>
      <c r="Q1134" s="11">
        <f>IF(M1134="","",IF($G$15=1,50,(_xlfn.RANK.AVG(M1134,$M$19:$M$1518,1)-1)/($G$15-1)*100))</f>
        <v/>
      </c>
      <c r="R1134" s="11">
        <f>IF(N1134="","",IF($G$16=1,50,(_xlfn.RANK.AVG(N1134,$N$19:$N$1518,1)-1)/($G$16-1)*100))</f>
        <v/>
      </c>
      <c r="S1134" s="11">
        <f>IF(COUNT(O1134:R1134)=4,ROUND(AVERAGE(O1134:R1134),6),"")</f>
        <v/>
      </c>
      <c r="U1134">
        <f>IF(AND(ISNUMBER('자료_한국심리'!$A1118),ISNUMBER('자료_한국심리'!$B1118)),'자료_한국심리'!$A1118,"")</f>
        <v/>
      </c>
      <c r="V1134">
        <f>IF(AND(ISNUMBER('자료_한국심리'!$D1118),ISNUMBER('자료_한국심리'!$E1118)),'자료_한국심리'!$D1118,"")</f>
        <v/>
      </c>
      <c r="W1134">
        <f>IF(AND(ISNUMBER('자료_한국심리'!$G1118),ISNUMBER('자료_한국심리'!$H1118)),'자료_한국심리'!$G1118,"")</f>
        <v/>
      </c>
      <c r="X1134">
        <f>IF(AND(ISNUMBER('자료_한국심리'!$J1118),ISNUMBER('자료_한국심리'!$K1118)),'자료_한국심리'!$J1118,"")</f>
        <v/>
      </c>
      <c r="Y1134">
        <f>IF(AND(ISNUMBER('자료_한국심리'!$M1118),ISNUMBER('자료_한국심리'!$N1118)),'자료_한국심리'!$M1118,"")</f>
        <v/>
      </c>
    </row>
    <row r="1135">
      <c r="A1135" s="10">
        <f>IF(1117&gt;$E$5,"",SMALL($U$19:$U$4018,$E$6+1117))</f>
        <v/>
      </c>
      <c r="B1135" s="29">
        <f>IF(A1135="","",INDEX('자료_한국심리'!$B$3:$B$4002,MATCH(A1135,$U$19:$U$4018,0)))</f>
        <v/>
      </c>
      <c r="C1135" s="22">
        <f>IF(A1135="","",B1135/AVERAGE(B1011:B1135)-1)</f>
        <v/>
      </c>
      <c r="D1135" s="29">
        <f>IF(A1135="","",IFERROR(INDEX('자료_한국심리'!$E$3:$E$4002,MATCH(A1135,$V$19:$V$4018,0)),D1134))</f>
        <v/>
      </c>
      <c r="E1135" s="30">
        <f>IF(A1135="","",IFERROR(INDEX('자료_한국심리'!$H$3:$H$4002,MATCH(A1135,$W$19:$W$4018,0)),E1134))</f>
        <v/>
      </c>
      <c r="F1135" s="30">
        <f>IF(A1135="","",IFERROR(INDEX('자료_한국심리'!$K$3:$K$4002,MATCH(A1135,$X$19:$X$4018,0)),F1134))</f>
        <v/>
      </c>
      <c r="G1135" s="30">
        <f>IF(AND(ISNUMBER(E1135),ISNUMBER(F1135)),ROUND(E1135-F1135,6),"")</f>
        <v/>
      </c>
      <c r="H1135" s="25">
        <f>IF(A1135="","",IFERROR(INDEX('자료_한국심리'!$N$3:$N$4002,MATCH(A1135,$Y$19:$Y$4018,0)),H1134))</f>
        <v/>
      </c>
      <c r="I1135" s="31">
        <f>IF(AND(ISNUMBER(H1135),ISNUMBER(H1115)),IF(H1115&gt;0,H1135/H1115-1,""),"")</f>
        <v/>
      </c>
      <c r="J1135">
        <f>IF(A1135="",0,IF(A1135&gt;$B$5,1,0))</f>
        <v/>
      </c>
      <c r="K1135" s="29">
        <f>IF(AND(J1135=1,ISNUMBER(D1135)),D1135,"")</f>
        <v/>
      </c>
      <c r="L1135" s="30">
        <f>IF(AND(J1135=1,ISNUMBER(G1135)),G1135,"")</f>
        <v/>
      </c>
      <c r="M1135" s="22">
        <f>IF(AND(J1135=1,ISNUMBER(C1135)),C1135,"")</f>
        <v/>
      </c>
      <c r="N1135" s="31">
        <f>IF(AND(J1135=1,ISNUMBER(I1135)),I1135,"")</f>
        <v/>
      </c>
      <c r="O1135" s="11">
        <f>IF(K1135="","",100-IF($G$13=1,50,(_xlfn.RANK.AVG(K1135,$K$19:$K$1518,1)-1)/($G$13-1)*100))</f>
        <v/>
      </c>
      <c r="P1135" s="11">
        <f>IF(L1135="","",100-IF($G$14=1,50,(_xlfn.RANK.AVG(L1135,$L$19:$L$1518,1)-1)/($G$14-1)*100))</f>
        <v/>
      </c>
      <c r="Q1135" s="11">
        <f>IF(M1135="","",IF($G$15=1,50,(_xlfn.RANK.AVG(M1135,$M$19:$M$1518,1)-1)/($G$15-1)*100))</f>
        <v/>
      </c>
      <c r="R1135" s="11">
        <f>IF(N1135="","",IF($G$16=1,50,(_xlfn.RANK.AVG(N1135,$N$19:$N$1518,1)-1)/($G$16-1)*100))</f>
        <v/>
      </c>
      <c r="S1135" s="11">
        <f>IF(COUNT(O1135:R1135)=4,ROUND(AVERAGE(O1135:R1135),6),"")</f>
        <v/>
      </c>
      <c r="U1135">
        <f>IF(AND(ISNUMBER('자료_한국심리'!$A1119),ISNUMBER('자료_한국심리'!$B1119)),'자료_한국심리'!$A1119,"")</f>
        <v/>
      </c>
      <c r="V1135">
        <f>IF(AND(ISNUMBER('자료_한국심리'!$D1119),ISNUMBER('자료_한국심리'!$E1119)),'자료_한국심리'!$D1119,"")</f>
        <v/>
      </c>
      <c r="W1135">
        <f>IF(AND(ISNUMBER('자료_한국심리'!$G1119),ISNUMBER('자료_한국심리'!$H1119)),'자료_한국심리'!$G1119,"")</f>
        <v/>
      </c>
      <c r="X1135">
        <f>IF(AND(ISNUMBER('자료_한국심리'!$J1119),ISNUMBER('자료_한국심리'!$K1119)),'자료_한국심리'!$J1119,"")</f>
        <v/>
      </c>
      <c r="Y1135">
        <f>IF(AND(ISNUMBER('자료_한국심리'!$M1119),ISNUMBER('자료_한국심리'!$N1119)),'자료_한국심리'!$M1119,"")</f>
        <v/>
      </c>
    </row>
    <row r="1136">
      <c r="A1136" s="10">
        <f>IF(1118&gt;$E$5,"",SMALL($U$19:$U$4018,$E$6+1118))</f>
        <v/>
      </c>
      <c r="B1136" s="29">
        <f>IF(A1136="","",INDEX('자료_한국심리'!$B$3:$B$4002,MATCH(A1136,$U$19:$U$4018,0)))</f>
        <v/>
      </c>
      <c r="C1136" s="22">
        <f>IF(A1136="","",B1136/AVERAGE(B1012:B1136)-1)</f>
        <v/>
      </c>
      <c r="D1136" s="29">
        <f>IF(A1136="","",IFERROR(INDEX('자료_한국심리'!$E$3:$E$4002,MATCH(A1136,$V$19:$V$4018,0)),D1135))</f>
        <v/>
      </c>
      <c r="E1136" s="30">
        <f>IF(A1136="","",IFERROR(INDEX('자료_한국심리'!$H$3:$H$4002,MATCH(A1136,$W$19:$W$4018,0)),E1135))</f>
        <v/>
      </c>
      <c r="F1136" s="30">
        <f>IF(A1136="","",IFERROR(INDEX('자료_한국심리'!$K$3:$K$4002,MATCH(A1136,$X$19:$X$4018,0)),F1135))</f>
        <v/>
      </c>
      <c r="G1136" s="30">
        <f>IF(AND(ISNUMBER(E1136),ISNUMBER(F1136)),ROUND(E1136-F1136,6),"")</f>
        <v/>
      </c>
      <c r="H1136" s="25">
        <f>IF(A1136="","",IFERROR(INDEX('자료_한국심리'!$N$3:$N$4002,MATCH(A1136,$Y$19:$Y$4018,0)),H1135))</f>
        <v/>
      </c>
      <c r="I1136" s="31">
        <f>IF(AND(ISNUMBER(H1136),ISNUMBER(H1116)),IF(H1116&gt;0,H1136/H1116-1,""),"")</f>
        <v/>
      </c>
      <c r="J1136">
        <f>IF(A1136="",0,IF(A1136&gt;$B$5,1,0))</f>
        <v/>
      </c>
      <c r="K1136" s="29">
        <f>IF(AND(J1136=1,ISNUMBER(D1136)),D1136,"")</f>
        <v/>
      </c>
      <c r="L1136" s="30">
        <f>IF(AND(J1136=1,ISNUMBER(G1136)),G1136,"")</f>
        <v/>
      </c>
      <c r="M1136" s="22">
        <f>IF(AND(J1136=1,ISNUMBER(C1136)),C1136,"")</f>
        <v/>
      </c>
      <c r="N1136" s="31">
        <f>IF(AND(J1136=1,ISNUMBER(I1136)),I1136,"")</f>
        <v/>
      </c>
      <c r="O1136" s="11">
        <f>IF(K1136="","",100-IF($G$13=1,50,(_xlfn.RANK.AVG(K1136,$K$19:$K$1518,1)-1)/($G$13-1)*100))</f>
        <v/>
      </c>
      <c r="P1136" s="11">
        <f>IF(L1136="","",100-IF($G$14=1,50,(_xlfn.RANK.AVG(L1136,$L$19:$L$1518,1)-1)/($G$14-1)*100))</f>
        <v/>
      </c>
      <c r="Q1136" s="11">
        <f>IF(M1136="","",IF($G$15=1,50,(_xlfn.RANK.AVG(M1136,$M$19:$M$1518,1)-1)/($G$15-1)*100))</f>
        <v/>
      </c>
      <c r="R1136" s="11">
        <f>IF(N1136="","",IF($G$16=1,50,(_xlfn.RANK.AVG(N1136,$N$19:$N$1518,1)-1)/($G$16-1)*100))</f>
        <v/>
      </c>
      <c r="S1136" s="11">
        <f>IF(COUNT(O1136:R1136)=4,ROUND(AVERAGE(O1136:R1136),6),"")</f>
        <v/>
      </c>
      <c r="U1136">
        <f>IF(AND(ISNUMBER('자료_한국심리'!$A1120),ISNUMBER('자료_한국심리'!$B1120)),'자료_한국심리'!$A1120,"")</f>
        <v/>
      </c>
      <c r="V1136">
        <f>IF(AND(ISNUMBER('자료_한국심리'!$D1120),ISNUMBER('자료_한국심리'!$E1120)),'자료_한국심리'!$D1120,"")</f>
        <v/>
      </c>
      <c r="W1136">
        <f>IF(AND(ISNUMBER('자료_한국심리'!$G1120),ISNUMBER('자료_한국심리'!$H1120)),'자료_한국심리'!$G1120,"")</f>
        <v/>
      </c>
      <c r="X1136">
        <f>IF(AND(ISNUMBER('자료_한국심리'!$J1120),ISNUMBER('자료_한국심리'!$K1120)),'자료_한국심리'!$J1120,"")</f>
        <v/>
      </c>
      <c r="Y1136">
        <f>IF(AND(ISNUMBER('자료_한국심리'!$M1120),ISNUMBER('자료_한국심리'!$N1120)),'자료_한국심리'!$M1120,"")</f>
        <v/>
      </c>
    </row>
    <row r="1137">
      <c r="A1137" s="10">
        <f>IF(1119&gt;$E$5,"",SMALL($U$19:$U$4018,$E$6+1119))</f>
        <v/>
      </c>
      <c r="B1137" s="29">
        <f>IF(A1137="","",INDEX('자료_한국심리'!$B$3:$B$4002,MATCH(A1137,$U$19:$U$4018,0)))</f>
        <v/>
      </c>
      <c r="C1137" s="22">
        <f>IF(A1137="","",B1137/AVERAGE(B1013:B1137)-1)</f>
        <v/>
      </c>
      <c r="D1137" s="29">
        <f>IF(A1137="","",IFERROR(INDEX('자료_한국심리'!$E$3:$E$4002,MATCH(A1137,$V$19:$V$4018,0)),D1136))</f>
        <v/>
      </c>
      <c r="E1137" s="30">
        <f>IF(A1137="","",IFERROR(INDEX('자료_한국심리'!$H$3:$H$4002,MATCH(A1137,$W$19:$W$4018,0)),E1136))</f>
        <v/>
      </c>
      <c r="F1137" s="30">
        <f>IF(A1137="","",IFERROR(INDEX('자료_한국심리'!$K$3:$K$4002,MATCH(A1137,$X$19:$X$4018,0)),F1136))</f>
        <v/>
      </c>
      <c r="G1137" s="30">
        <f>IF(AND(ISNUMBER(E1137),ISNUMBER(F1137)),ROUND(E1137-F1137,6),"")</f>
        <v/>
      </c>
      <c r="H1137" s="25">
        <f>IF(A1137="","",IFERROR(INDEX('자료_한국심리'!$N$3:$N$4002,MATCH(A1137,$Y$19:$Y$4018,0)),H1136))</f>
        <v/>
      </c>
      <c r="I1137" s="31">
        <f>IF(AND(ISNUMBER(H1137),ISNUMBER(H1117)),IF(H1117&gt;0,H1137/H1117-1,""),"")</f>
        <v/>
      </c>
      <c r="J1137">
        <f>IF(A1137="",0,IF(A1137&gt;$B$5,1,0))</f>
        <v/>
      </c>
      <c r="K1137" s="29">
        <f>IF(AND(J1137=1,ISNUMBER(D1137)),D1137,"")</f>
        <v/>
      </c>
      <c r="L1137" s="30">
        <f>IF(AND(J1137=1,ISNUMBER(G1137)),G1137,"")</f>
        <v/>
      </c>
      <c r="M1137" s="22">
        <f>IF(AND(J1137=1,ISNUMBER(C1137)),C1137,"")</f>
        <v/>
      </c>
      <c r="N1137" s="31">
        <f>IF(AND(J1137=1,ISNUMBER(I1137)),I1137,"")</f>
        <v/>
      </c>
      <c r="O1137" s="11">
        <f>IF(K1137="","",100-IF($G$13=1,50,(_xlfn.RANK.AVG(K1137,$K$19:$K$1518,1)-1)/($G$13-1)*100))</f>
        <v/>
      </c>
      <c r="P1137" s="11">
        <f>IF(L1137="","",100-IF($G$14=1,50,(_xlfn.RANK.AVG(L1137,$L$19:$L$1518,1)-1)/($G$14-1)*100))</f>
        <v/>
      </c>
      <c r="Q1137" s="11">
        <f>IF(M1137="","",IF($G$15=1,50,(_xlfn.RANK.AVG(M1137,$M$19:$M$1518,1)-1)/($G$15-1)*100))</f>
        <v/>
      </c>
      <c r="R1137" s="11">
        <f>IF(N1137="","",IF($G$16=1,50,(_xlfn.RANK.AVG(N1137,$N$19:$N$1518,1)-1)/($G$16-1)*100))</f>
        <v/>
      </c>
      <c r="S1137" s="11">
        <f>IF(COUNT(O1137:R1137)=4,ROUND(AVERAGE(O1137:R1137),6),"")</f>
        <v/>
      </c>
      <c r="U1137">
        <f>IF(AND(ISNUMBER('자료_한국심리'!$A1121),ISNUMBER('자료_한국심리'!$B1121)),'자료_한국심리'!$A1121,"")</f>
        <v/>
      </c>
      <c r="V1137">
        <f>IF(AND(ISNUMBER('자료_한국심리'!$D1121),ISNUMBER('자료_한국심리'!$E1121)),'자료_한국심리'!$D1121,"")</f>
        <v/>
      </c>
      <c r="W1137">
        <f>IF(AND(ISNUMBER('자료_한국심리'!$G1121),ISNUMBER('자료_한국심리'!$H1121)),'자료_한국심리'!$G1121,"")</f>
        <v/>
      </c>
      <c r="X1137">
        <f>IF(AND(ISNUMBER('자료_한국심리'!$J1121),ISNUMBER('자료_한국심리'!$K1121)),'자료_한국심리'!$J1121,"")</f>
        <v/>
      </c>
      <c r="Y1137">
        <f>IF(AND(ISNUMBER('자료_한국심리'!$M1121),ISNUMBER('자료_한국심리'!$N1121)),'자료_한국심리'!$M1121,"")</f>
        <v/>
      </c>
    </row>
    <row r="1138">
      <c r="A1138" s="10">
        <f>IF(1120&gt;$E$5,"",SMALL($U$19:$U$4018,$E$6+1120))</f>
        <v/>
      </c>
      <c r="B1138" s="29">
        <f>IF(A1138="","",INDEX('자료_한국심리'!$B$3:$B$4002,MATCH(A1138,$U$19:$U$4018,0)))</f>
        <v/>
      </c>
      <c r="C1138" s="22">
        <f>IF(A1138="","",B1138/AVERAGE(B1014:B1138)-1)</f>
        <v/>
      </c>
      <c r="D1138" s="29">
        <f>IF(A1138="","",IFERROR(INDEX('자료_한국심리'!$E$3:$E$4002,MATCH(A1138,$V$19:$V$4018,0)),D1137))</f>
        <v/>
      </c>
      <c r="E1138" s="30">
        <f>IF(A1138="","",IFERROR(INDEX('자료_한국심리'!$H$3:$H$4002,MATCH(A1138,$W$19:$W$4018,0)),E1137))</f>
        <v/>
      </c>
      <c r="F1138" s="30">
        <f>IF(A1138="","",IFERROR(INDEX('자료_한국심리'!$K$3:$K$4002,MATCH(A1138,$X$19:$X$4018,0)),F1137))</f>
        <v/>
      </c>
      <c r="G1138" s="30">
        <f>IF(AND(ISNUMBER(E1138),ISNUMBER(F1138)),ROUND(E1138-F1138,6),"")</f>
        <v/>
      </c>
      <c r="H1138" s="25">
        <f>IF(A1138="","",IFERROR(INDEX('자료_한국심리'!$N$3:$N$4002,MATCH(A1138,$Y$19:$Y$4018,0)),H1137))</f>
        <v/>
      </c>
      <c r="I1138" s="31">
        <f>IF(AND(ISNUMBER(H1138),ISNUMBER(H1118)),IF(H1118&gt;0,H1138/H1118-1,""),"")</f>
        <v/>
      </c>
      <c r="J1138">
        <f>IF(A1138="",0,IF(A1138&gt;$B$5,1,0))</f>
        <v/>
      </c>
      <c r="K1138" s="29">
        <f>IF(AND(J1138=1,ISNUMBER(D1138)),D1138,"")</f>
        <v/>
      </c>
      <c r="L1138" s="30">
        <f>IF(AND(J1138=1,ISNUMBER(G1138)),G1138,"")</f>
        <v/>
      </c>
      <c r="M1138" s="22">
        <f>IF(AND(J1138=1,ISNUMBER(C1138)),C1138,"")</f>
        <v/>
      </c>
      <c r="N1138" s="31">
        <f>IF(AND(J1138=1,ISNUMBER(I1138)),I1138,"")</f>
        <v/>
      </c>
      <c r="O1138" s="11">
        <f>IF(K1138="","",100-IF($G$13=1,50,(_xlfn.RANK.AVG(K1138,$K$19:$K$1518,1)-1)/($G$13-1)*100))</f>
        <v/>
      </c>
      <c r="P1138" s="11">
        <f>IF(L1138="","",100-IF($G$14=1,50,(_xlfn.RANK.AVG(L1138,$L$19:$L$1518,1)-1)/($G$14-1)*100))</f>
        <v/>
      </c>
      <c r="Q1138" s="11">
        <f>IF(M1138="","",IF($G$15=1,50,(_xlfn.RANK.AVG(M1138,$M$19:$M$1518,1)-1)/($G$15-1)*100))</f>
        <v/>
      </c>
      <c r="R1138" s="11">
        <f>IF(N1138="","",IF($G$16=1,50,(_xlfn.RANK.AVG(N1138,$N$19:$N$1518,1)-1)/($G$16-1)*100))</f>
        <v/>
      </c>
      <c r="S1138" s="11">
        <f>IF(COUNT(O1138:R1138)=4,ROUND(AVERAGE(O1138:R1138),6),"")</f>
        <v/>
      </c>
      <c r="U1138">
        <f>IF(AND(ISNUMBER('자료_한국심리'!$A1122),ISNUMBER('자료_한국심리'!$B1122)),'자료_한국심리'!$A1122,"")</f>
        <v/>
      </c>
      <c r="V1138">
        <f>IF(AND(ISNUMBER('자료_한국심리'!$D1122),ISNUMBER('자료_한국심리'!$E1122)),'자료_한국심리'!$D1122,"")</f>
        <v/>
      </c>
      <c r="W1138">
        <f>IF(AND(ISNUMBER('자료_한국심리'!$G1122),ISNUMBER('자료_한국심리'!$H1122)),'자료_한국심리'!$G1122,"")</f>
        <v/>
      </c>
      <c r="X1138">
        <f>IF(AND(ISNUMBER('자료_한국심리'!$J1122),ISNUMBER('자료_한국심리'!$K1122)),'자료_한국심리'!$J1122,"")</f>
        <v/>
      </c>
      <c r="Y1138">
        <f>IF(AND(ISNUMBER('자료_한국심리'!$M1122),ISNUMBER('자료_한국심리'!$N1122)),'자료_한국심리'!$M1122,"")</f>
        <v/>
      </c>
    </row>
    <row r="1139">
      <c r="A1139" s="10">
        <f>IF(1121&gt;$E$5,"",SMALL($U$19:$U$4018,$E$6+1121))</f>
        <v/>
      </c>
      <c r="B1139" s="29">
        <f>IF(A1139="","",INDEX('자료_한국심리'!$B$3:$B$4002,MATCH(A1139,$U$19:$U$4018,0)))</f>
        <v/>
      </c>
      <c r="C1139" s="22">
        <f>IF(A1139="","",B1139/AVERAGE(B1015:B1139)-1)</f>
        <v/>
      </c>
      <c r="D1139" s="29">
        <f>IF(A1139="","",IFERROR(INDEX('자료_한국심리'!$E$3:$E$4002,MATCH(A1139,$V$19:$V$4018,0)),D1138))</f>
        <v/>
      </c>
      <c r="E1139" s="30">
        <f>IF(A1139="","",IFERROR(INDEX('자료_한국심리'!$H$3:$H$4002,MATCH(A1139,$W$19:$W$4018,0)),E1138))</f>
        <v/>
      </c>
      <c r="F1139" s="30">
        <f>IF(A1139="","",IFERROR(INDEX('자료_한국심리'!$K$3:$K$4002,MATCH(A1139,$X$19:$X$4018,0)),F1138))</f>
        <v/>
      </c>
      <c r="G1139" s="30">
        <f>IF(AND(ISNUMBER(E1139),ISNUMBER(F1139)),ROUND(E1139-F1139,6),"")</f>
        <v/>
      </c>
      <c r="H1139" s="25">
        <f>IF(A1139="","",IFERROR(INDEX('자료_한국심리'!$N$3:$N$4002,MATCH(A1139,$Y$19:$Y$4018,0)),H1138))</f>
        <v/>
      </c>
      <c r="I1139" s="31">
        <f>IF(AND(ISNUMBER(H1139),ISNUMBER(H1119)),IF(H1119&gt;0,H1139/H1119-1,""),"")</f>
        <v/>
      </c>
      <c r="J1139">
        <f>IF(A1139="",0,IF(A1139&gt;$B$5,1,0))</f>
        <v/>
      </c>
      <c r="K1139" s="29">
        <f>IF(AND(J1139=1,ISNUMBER(D1139)),D1139,"")</f>
        <v/>
      </c>
      <c r="L1139" s="30">
        <f>IF(AND(J1139=1,ISNUMBER(G1139)),G1139,"")</f>
        <v/>
      </c>
      <c r="M1139" s="22">
        <f>IF(AND(J1139=1,ISNUMBER(C1139)),C1139,"")</f>
        <v/>
      </c>
      <c r="N1139" s="31">
        <f>IF(AND(J1139=1,ISNUMBER(I1139)),I1139,"")</f>
        <v/>
      </c>
      <c r="O1139" s="11">
        <f>IF(K1139="","",100-IF($G$13=1,50,(_xlfn.RANK.AVG(K1139,$K$19:$K$1518,1)-1)/($G$13-1)*100))</f>
        <v/>
      </c>
      <c r="P1139" s="11">
        <f>IF(L1139="","",100-IF($G$14=1,50,(_xlfn.RANK.AVG(L1139,$L$19:$L$1518,1)-1)/($G$14-1)*100))</f>
        <v/>
      </c>
      <c r="Q1139" s="11">
        <f>IF(M1139="","",IF($G$15=1,50,(_xlfn.RANK.AVG(M1139,$M$19:$M$1518,1)-1)/($G$15-1)*100))</f>
        <v/>
      </c>
      <c r="R1139" s="11">
        <f>IF(N1139="","",IF($G$16=1,50,(_xlfn.RANK.AVG(N1139,$N$19:$N$1518,1)-1)/($G$16-1)*100))</f>
        <v/>
      </c>
      <c r="S1139" s="11">
        <f>IF(COUNT(O1139:R1139)=4,ROUND(AVERAGE(O1139:R1139),6),"")</f>
        <v/>
      </c>
      <c r="U1139">
        <f>IF(AND(ISNUMBER('자료_한국심리'!$A1123),ISNUMBER('자료_한국심리'!$B1123)),'자료_한국심리'!$A1123,"")</f>
        <v/>
      </c>
      <c r="V1139">
        <f>IF(AND(ISNUMBER('자료_한국심리'!$D1123),ISNUMBER('자료_한국심리'!$E1123)),'자료_한국심리'!$D1123,"")</f>
        <v/>
      </c>
      <c r="W1139">
        <f>IF(AND(ISNUMBER('자료_한국심리'!$G1123),ISNUMBER('자료_한국심리'!$H1123)),'자료_한국심리'!$G1123,"")</f>
        <v/>
      </c>
      <c r="X1139">
        <f>IF(AND(ISNUMBER('자료_한국심리'!$J1123),ISNUMBER('자료_한국심리'!$K1123)),'자료_한국심리'!$J1123,"")</f>
        <v/>
      </c>
      <c r="Y1139">
        <f>IF(AND(ISNUMBER('자료_한국심리'!$M1123),ISNUMBER('자료_한국심리'!$N1123)),'자료_한국심리'!$M1123,"")</f>
        <v/>
      </c>
    </row>
    <row r="1140">
      <c r="A1140" s="10">
        <f>IF(1122&gt;$E$5,"",SMALL($U$19:$U$4018,$E$6+1122))</f>
        <v/>
      </c>
      <c r="B1140" s="29">
        <f>IF(A1140="","",INDEX('자료_한국심리'!$B$3:$B$4002,MATCH(A1140,$U$19:$U$4018,0)))</f>
        <v/>
      </c>
      <c r="C1140" s="22">
        <f>IF(A1140="","",B1140/AVERAGE(B1016:B1140)-1)</f>
        <v/>
      </c>
      <c r="D1140" s="29">
        <f>IF(A1140="","",IFERROR(INDEX('자료_한국심리'!$E$3:$E$4002,MATCH(A1140,$V$19:$V$4018,0)),D1139))</f>
        <v/>
      </c>
      <c r="E1140" s="30">
        <f>IF(A1140="","",IFERROR(INDEX('자료_한국심리'!$H$3:$H$4002,MATCH(A1140,$W$19:$W$4018,0)),E1139))</f>
        <v/>
      </c>
      <c r="F1140" s="30">
        <f>IF(A1140="","",IFERROR(INDEX('자료_한국심리'!$K$3:$K$4002,MATCH(A1140,$X$19:$X$4018,0)),F1139))</f>
        <v/>
      </c>
      <c r="G1140" s="30">
        <f>IF(AND(ISNUMBER(E1140),ISNUMBER(F1140)),ROUND(E1140-F1140,6),"")</f>
        <v/>
      </c>
      <c r="H1140" s="25">
        <f>IF(A1140="","",IFERROR(INDEX('자료_한국심리'!$N$3:$N$4002,MATCH(A1140,$Y$19:$Y$4018,0)),H1139))</f>
        <v/>
      </c>
      <c r="I1140" s="31">
        <f>IF(AND(ISNUMBER(H1140),ISNUMBER(H1120)),IF(H1120&gt;0,H1140/H1120-1,""),"")</f>
        <v/>
      </c>
      <c r="J1140">
        <f>IF(A1140="",0,IF(A1140&gt;$B$5,1,0))</f>
        <v/>
      </c>
      <c r="K1140" s="29">
        <f>IF(AND(J1140=1,ISNUMBER(D1140)),D1140,"")</f>
        <v/>
      </c>
      <c r="L1140" s="30">
        <f>IF(AND(J1140=1,ISNUMBER(G1140)),G1140,"")</f>
        <v/>
      </c>
      <c r="M1140" s="22">
        <f>IF(AND(J1140=1,ISNUMBER(C1140)),C1140,"")</f>
        <v/>
      </c>
      <c r="N1140" s="31">
        <f>IF(AND(J1140=1,ISNUMBER(I1140)),I1140,"")</f>
        <v/>
      </c>
      <c r="O1140" s="11">
        <f>IF(K1140="","",100-IF($G$13=1,50,(_xlfn.RANK.AVG(K1140,$K$19:$K$1518,1)-1)/($G$13-1)*100))</f>
        <v/>
      </c>
      <c r="P1140" s="11">
        <f>IF(L1140="","",100-IF($G$14=1,50,(_xlfn.RANK.AVG(L1140,$L$19:$L$1518,1)-1)/($G$14-1)*100))</f>
        <v/>
      </c>
      <c r="Q1140" s="11">
        <f>IF(M1140="","",IF($G$15=1,50,(_xlfn.RANK.AVG(M1140,$M$19:$M$1518,1)-1)/($G$15-1)*100))</f>
        <v/>
      </c>
      <c r="R1140" s="11">
        <f>IF(N1140="","",IF($G$16=1,50,(_xlfn.RANK.AVG(N1140,$N$19:$N$1518,1)-1)/($G$16-1)*100))</f>
        <v/>
      </c>
      <c r="S1140" s="11">
        <f>IF(COUNT(O1140:R1140)=4,ROUND(AVERAGE(O1140:R1140),6),"")</f>
        <v/>
      </c>
      <c r="U1140">
        <f>IF(AND(ISNUMBER('자료_한국심리'!$A1124),ISNUMBER('자료_한국심리'!$B1124)),'자료_한국심리'!$A1124,"")</f>
        <v/>
      </c>
      <c r="V1140">
        <f>IF(AND(ISNUMBER('자료_한국심리'!$D1124),ISNUMBER('자료_한국심리'!$E1124)),'자료_한국심리'!$D1124,"")</f>
        <v/>
      </c>
      <c r="W1140">
        <f>IF(AND(ISNUMBER('자료_한국심리'!$G1124),ISNUMBER('자료_한국심리'!$H1124)),'자료_한국심리'!$G1124,"")</f>
        <v/>
      </c>
      <c r="X1140">
        <f>IF(AND(ISNUMBER('자료_한국심리'!$J1124),ISNUMBER('자료_한국심리'!$K1124)),'자료_한국심리'!$J1124,"")</f>
        <v/>
      </c>
      <c r="Y1140">
        <f>IF(AND(ISNUMBER('자료_한국심리'!$M1124),ISNUMBER('자료_한국심리'!$N1124)),'자료_한국심리'!$M1124,"")</f>
        <v/>
      </c>
    </row>
    <row r="1141">
      <c r="A1141" s="10">
        <f>IF(1123&gt;$E$5,"",SMALL($U$19:$U$4018,$E$6+1123))</f>
        <v/>
      </c>
      <c r="B1141" s="29">
        <f>IF(A1141="","",INDEX('자료_한국심리'!$B$3:$B$4002,MATCH(A1141,$U$19:$U$4018,0)))</f>
        <v/>
      </c>
      <c r="C1141" s="22">
        <f>IF(A1141="","",B1141/AVERAGE(B1017:B1141)-1)</f>
        <v/>
      </c>
      <c r="D1141" s="29">
        <f>IF(A1141="","",IFERROR(INDEX('자료_한국심리'!$E$3:$E$4002,MATCH(A1141,$V$19:$V$4018,0)),D1140))</f>
        <v/>
      </c>
      <c r="E1141" s="30">
        <f>IF(A1141="","",IFERROR(INDEX('자료_한국심리'!$H$3:$H$4002,MATCH(A1141,$W$19:$W$4018,0)),E1140))</f>
        <v/>
      </c>
      <c r="F1141" s="30">
        <f>IF(A1141="","",IFERROR(INDEX('자료_한국심리'!$K$3:$K$4002,MATCH(A1141,$X$19:$X$4018,0)),F1140))</f>
        <v/>
      </c>
      <c r="G1141" s="30">
        <f>IF(AND(ISNUMBER(E1141),ISNUMBER(F1141)),ROUND(E1141-F1141,6),"")</f>
        <v/>
      </c>
      <c r="H1141" s="25">
        <f>IF(A1141="","",IFERROR(INDEX('자료_한국심리'!$N$3:$N$4002,MATCH(A1141,$Y$19:$Y$4018,0)),H1140))</f>
        <v/>
      </c>
      <c r="I1141" s="31">
        <f>IF(AND(ISNUMBER(H1141),ISNUMBER(H1121)),IF(H1121&gt;0,H1141/H1121-1,""),"")</f>
        <v/>
      </c>
      <c r="J1141">
        <f>IF(A1141="",0,IF(A1141&gt;$B$5,1,0))</f>
        <v/>
      </c>
      <c r="K1141" s="29">
        <f>IF(AND(J1141=1,ISNUMBER(D1141)),D1141,"")</f>
        <v/>
      </c>
      <c r="L1141" s="30">
        <f>IF(AND(J1141=1,ISNUMBER(G1141)),G1141,"")</f>
        <v/>
      </c>
      <c r="M1141" s="22">
        <f>IF(AND(J1141=1,ISNUMBER(C1141)),C1141,"")</f>
        <v/>
      </c>
      <c r="N1141" s="31">
        <f>IF(AND(J1141=1,ISNUMBER(I1141)),I1141,"")</f>
        <v/>
      </c>
      <c r="O1141" s="11">
        <f>IF(K1141="","",100-IF($G$13=1,50,(_xlfn.RANK.AVG(K1141,$K$19:$K$1518,1)-1)/($G$13-1)*100))</f>
        <v/>
      </c>
      <c r="P1141" s="11">
        <f>IF(L1141="","",100-IF($G$14=1,50,(_xlfn.RANK.AVG(L1141,$L$19:$L$1518,1)-1)/($G$14-1)*100))</f>
        <v/>
      </c>
      <c r="Q1141" s="11">
        <f>IF(M1141="","",IF($G$15=1,50,(_xlfn.RANK.AVG(M1141,$M$19:$M$1518,1)-1)/($G$15-1)*100))</f>
        <v/>
      </c>
      <c r="R1141" s="11">
        <f>IF(N1141="","",IF($G$16=1,50,(_xlfn.RANK.AVG(N1141,$N$19:$N$1518,1)-1)/($G$16-1)*100))</f>
        <v/>
      </c>
      <c r="S1141" s="11">
        <f>IF(COUNT(O1141:R1141)=4,ROUND(AVERAGE(O1141:R1141),6),"")</f>
        <v/>
      </c>
      <c r="U1141">
        <f>IF(AND(ISNUMBER('자료_한국심리'!$A1125),ISNUMBER('자료_한국심리'!$B1125)),'자료_한국심리'!$A1125,"")</f>
        <v/>
      </c>
      <c r="V1141">
        <f>IF(AND(ISNUMBER('자료_한국심리'!$D1125),ISNUMBER('자료_한국심리'!$E1125)),'자료_한국심리'!$D1125,"")</f>
        <v/>
      </c>
      <c r="W1141">
        <f>IF(AND(ISNUMBER('자료_한국심리'!$G1125),ISNUMBER('자료_한국심리'!$H1125)),'자료_한국심리'!$G1125,"")</f>
        <v/>
      </c>
      <c r="X1141">
        <f>IF(AND(ISNUMBER('자료_한국심리'!$J1125),ISNUMBER('자료_한국심리'!$K1125)),'자료_한국심리'!$J1125,"")</f>
        <v/>
      </c>
      <c r="Y1141">
        <f>IF(AND(ISNUMBER('자료_한국심리'!$M1125),ISNUMBER('자료_한국심리'!$N1125)),'자료_한국심리'!$M1125,"")</f>
        <v/>
      </c>
    </row>
    <row r="1142">
      <c r="A1142" s="10">
        <f>IF(1124&gt;$E$5,"",SMALL($U$19:$U$4018,$E$6+1124))</f>
        <v/>
      </c>
      <c r="B1142" s="29">
        <f>IF(A1142="","",INDEX('자료_한국심리'!$B$3:$B$4002,MATCH(A1142,$U$19:$U$4018,0)))</f>
        <v/>
      </c>
      <c r="C1142" s="22">
        <f>IF(A1142="","",B1142/AVERAGE(B1018:B1142)-1)</f>
        <v/>
      </c>
      <c r="D1142" s="29">
        <f>IF(A1142="","",IFERROR(INDEX('자료_한국심리'!$E$3:$E$4002,MATCH(A1142,$V$19:$V$4018,0)),D1141))</f>
        <v/>
      </c>
      <c r="E1142" s="30">
        <f>IF(A1142="","",IFERROR(INDEX('자료_한국심리'!$H$3:$H$4002,MATCH(A1142,$W$19:$W$4018,0)),E1141))</f>
        <v/>
      </c>
      <c r="F1142" s="30">
        <f>IF(A1142="","",IFERROR(INDEX('자료_한국심리'!$K$3:$K$4002,MATCH(A1142,$X$19:$X$4018,0)),F1141))</f>
        <v/>
      </c>
      <c r="G1142" s="30">
        <f>IF(AND(ISNUMBER(E1142),ISNUMBER(F1142)),ROUND(E1142-F1142,6),"")</f>
        <v/>
      </c>
      <c r="H1142" s="25">
        <f>IF(A1142="","",IFERROR(INDEX('자료_한국심리'!$N$3:$N$4002,MATCH(A1142,$Y$19:$Y$4018,0)),H1141))</f>
        <v/>
      </c>
      <c r="I1142" s="31">
        <f>IF(AND(ISNUMBER(H1142),ISNUMBER(H1122)),IF(H1122&gt;0,H1142/H1122-1,""),"")</f>
        <v/>
      </c>
      <c r="J1142">
        <f>IF(A1142="",0,IF(A1142&gt;$B$5,1,0))</f>
        <v/>
      </c>
      <c r="K1142" s="29">
        <f>IF(AND(J1142=1,ISNUMBER(D1142)),D1142,"")</f>
        <v/>
      </c>
      <c r="L1142" s="30">
        <f>IF(AND(J1142=1,ISNUMBER(G1142)),G1142,"")</f>
        <v/>
      </c>
      <c r="M1142" s="22">
        <f>IF(AND(J1142=1,ISNUMBER(C1142)),C1142,"")</f>
        <v/>
      </c>
      <c r="N1142" s="31">
        <f>IF(AND(J1142=1,ISNUMBER(I1142)),I1142,"")</f>
        <v/>
      </c>
      <c r="O1142" s="11">
        <f>IF(K1142="","",100-IF($G$13=1,50,(_xlfn.RANK.AVG(K1142,$K$19:$K$1518,1)-1)/($G$13-1)*100))</f>
        <v/>
      </c>
      <c r="P1142" s="11">
        <f>IF(L1142="","",100-IF($G$14=1,50,(_xlfn.RANK.AVG(L1142,$L$19:$L$1518,1)-1)/($G$14-1)*100))</f>
        <v/>
      </c>
      <c r="Q1142" s="11">
        <f>IF(M1142="","",IF($G$15=1,50,(_xlfn.RANK.AVG(M1142,$M$19:$M$1518,1)-1)/($G$15-1)*100))</f>
        <v/>
      </c>
      <c r="R1142" s="11">
        <f>IF(N1142="","",IF($G$16=1,50,(_xlfn.RANK.AVG(N1142,$N$19:$N$1518,1)-1)/($G$16-1)*100))</f>
        <v/>
      </c>
      <c r="S1142" s="11">
        <f>IF(COUNT(O1142:R1142)=4,ROUND(AVERAGE(O1142:R1142),6),"")</f>
        <v/>
      </c>
      <c r="U1142">
        <f>IF(AND(ISNUMBER('자료_한국심리'!$A1126),ISNUMBER('자료_한국심리'!$B1126)),'자료_한국심리'!$A1126,"")</f>
        <v/>
      </c>
      <c r="V1142">
        <f>IF(AND(ISNUMBER('자료_한국심리'!$D1126),ISNUMBER('자료_한국심리'!$E1126)),'자료_한국심리'!$D1126,"")</f>
        <v/>
      </c>
      <c r="W1142">
        <f>IF(AND(ISNUMBER('자료_한국심리'!$G1126),ISNUMBER('자료_한국심리'!$H1126)),'자료_한국심리'!$G1126,"")</f>
        <v/>
      </c>
      <c r="X1142">
        <f>IF(AND(ISNUMBER('자료_한국심리'!$J1126),ISNUMBER('자료_한국심리'!$K1126)),'자료_한국심리'!$J1126,"")</f>
        <v/>
      </c>
      <c r="Y1142">
        <f>IF(AND(ISNUMBER('자료_한국심리'!$M1126),ISNUMBER('자료_한국심리'!$N1126)),'자료_한국심리'!$M1126,"")</f>
        <v/>
      </c>
    </row>
    <row r="1143">
      <c r="A1143" s="10">
        <f>IF(1125&gt;$E$5,"",SMALL($U$19:$U$4018,$E$6+1125))</f>
        <v/>
      </c>
      <c r="B1143" s="29">
        <f>IF(A1143="","",INDEX('자료_한국심리'!$B$3:$B$4002,MATCH(A1143,$U$19:$U$4018,0)))</f>
        <v/>
      </c>
      <c r="C1143" s="22">
        <f>IF(A1143="","",B1143/AVERAGE(B1019:B1143)-1)</f>
        <v/>
      </c>
      <c r="D1143" s="29">
        <f>IF(A1143="","",IFERROR(INDEX('자료_한국심리'!$E$3:$E$4002,MATCH(A1143,$V$19:$V$4018,0)),D1142))</f>
        <v/>
      </c>
      <c r="E1143" s="30">
        <f>IF(A1143="","",IFERROR(INDEX('자료_한국심리'!$H$3:$H$4002,MATCH(A1143,$W$19:$W$4018,0)),E1142))</f>
        <v/>
      </c>
      <c r="F1143" s="30">
        <f>IF(A1143="","",IFERROR(INDEX('자료_한국심리'!$K$3:$K$4002,MATCH(A1143,$X$19:$X$4018,0)),F1142))</f>
        <v/>
      </c>
      <c r="G1143" s="30">
        <f>IF(AND(ISNUMBER(E1143),ISNUMBER(F1143)),ROUND(E1143-F1143,6),"")</f>
        <v/>
      </c>
      <c r="H1143" s="25">
        <f>IF(A1143="","",IFERROR(INDEX('자료_한국심리'!$N$3:$N$4002,MATCH(A1143,$Y$19:$Y$4018,0)),H1142))</f>
        <v/>
      </c>
      <c r="I1143" s="31">
        <f>IF(AND(ISNUMBER(H1143),ISNUMBER(H1123)),IF(H1123&gt;0,H1143/H1123-1,""),"")</f>
        <v/>
      </c>
      <c r="J1143">
        <f>IF(A1143="",0,IF(A1143&gt;$B$5,1,0))</f>
        <v/>
      </c>
      <c r="K1143" s="29">
        <f>IF(AND(J1143=1,ISNUMBER(D1143)),D1143,"")</f>
        <v/>
      </c>
      <c r="L1143" s="30">
        <f>IF(AND(J1143=1,ISNUMBER(G1143)),G1143,"")</f>
        <v/>
      </c>
      <c r="M1143" s="22">
        <f>IF(AND(J1143=1,ISNUMBER(C1143)),C1143,"")</f>
        <v/>
      </c>
      <c r="N1143" s="31">
        <f>IF(AND(J1143=1,ISNUMBER(I1143)),I1143,"")</f>
        <v/>
      </c>
      <c r="O1143" s="11">
        <f>IF(K1143="","",100-IF($G$13=1,50,(_xlfn.RANK.AVG(K1143,$K$19:$K$1518,1)-1)/($G$13-1)*100))</f>
        <v/>
      </c>
      <c r="P1143" s="11">
        <f>IF(L1143="","",100-IF($G$14=1,50,(_xlfn.RANK.AVG(L1143,$L$19:$L$1518,1)-1)/($G$14-1)*100))</f>
        <v/>
      </c>
      <c r="Q1143" s="11">
        <f>IF(M1143="","",IF($G$15=1,50,(_xlfn.RANK.AVG(M1143,$M$19:$M$1518,1)-1)/($G$15-1)*100))</f>
        <v/>
      </c>
      <c r="R1143" s="11">
        <f>IF(N1143="","",IF($G$16=1,50,(_xlfn.RANK.AVG(N1143,$N$19:$N$1518,1)-1)/($G$16-1)*100))</f>
        <v/>
      </c>
      <c r="S1143" s="11">
        <f>IF(COUNT(O1143:R1143)=4,ROUND(AVERAGE(O1143:R1143),6),"")</f>
        <v/>
      </c>
      <c r="U1143">
        <f>IF(AND(ISNUMBER('자료_한국심리'!$A1127),ISNUMBER('자료_한국심리'!$B1127)),'자료_한국심리'!$A1127,"")</f>
        <v/>
      </c>
      <c r="V1143">
        <f>IF(AND(ISNUMBER('자료_한국심리'!$D1127),ISNUMBER('자료_한국심리'!$E1127)),'자료_한국심리'!$D1127,"")</f>
        <v/>
      </c>
      <c r="W1143">
        <f>IF(AND(ISNUMBER('자료_한국심리'!$G1127),ISNUMBER('자료_한국심리'!$H1127)),'자료_한국심리'!$G1127,"")</f>
        <v/>
      </c>
      <c r="X1143">
        <f>IF(AND(ISNUMBER('자료_한국심리'!$J1127),ISNUMBER('자료_한국심리'!$K1127)),'자료_한국심리'!$J1127,"")</f>
        <v/>
      </c>
      <c r="Y1143">
        <f>IF(AND(ISNUMBER('자료_한국심리'!$M1127),ISNUMBER('자료_한국심리'!$N1127)),'자료_한국심리'!$M1127,"")</f>
        <v/>
      </c>
    </row>
    <row r="1144">
      <c r="A1144" s="10">
        <f>IF(1126&gt;$E$5,"",SMALL($U$19:$U$4018,$E$6+1126))</f>
        <v/>
      </c>
      <c r="B1144" s="29">
        <f>IF(A1144="","",INDEX('자료_한국심리'!$B$3:$B$4002,MATCH(A1144,$U$19:$U$4018,0)))</f>
        <v/>
      </c>
      <c r="C1144" s="22">
        <f>IF(A1144="","",B1144/AVERAGE(B1020:B1144)-1)</f>
        <v/>
      </c>
      <c r="D1144" s="29">
        <f>IF(A1144="","",IFERROR(INDEX('자료_한국심리'!$E$3:$E$4002,MATCH(A1144,$V$19:$V$4018,0)),D1143))</f>
        <v/>
      </c>
      <c r="E1144" s="30">
        <f>IF(A1144="","",IFERROR(INDEX('자료_한국심리'!$H$3:$H$4002,MATCH(A1144,$W$19:$W$4018,0)),E1143))</f>
        <v/>
      </c>
      <c r="F1144" s="30">
        <f>IF(A1144="","",IFERROR(INDEX('자료_한국심리'!$K$3:$K$4002,MATCH(A1144,$X$19:$X$4018,0)),F1143))</f>
        <v/>
      </c>
      <c r="G1144" s="30">
        <f>IF(AND(ISNUMBER(E1144),ISNUMBER(F1144)),ROUND(E1144-F1144,6),"")</f>
        <v/>
      </c>
      <c r="H1144" s="25">
        <f>IF(A1144="","",IFERROR(INDEX('자료_한국심리'!$N$3:$N$4002,MATCH(A1144,$Y$19:$Y$4018,0)),H1143))</f>
        <v/>
      </c>
      <c r="I1144" s="31">
        <f>IF(AND(ISNUMBER(H1144),ISNUMBER(H1124)),IF(H1124&gt;0,H1144/H1124-1,""),"")</f>
        <v/>
      </c>
      <c r="J1144">
        <f>IF(A1144="",0,IF(A1144&gt;$B$5,1,0))</f>
        <v/>
      </c>
      <c r="K1144" s="29">
        <f>IF(AND(J1144=1,ISNUMBER(D1144)),D1144,"")</f>
        <v/>
      </c>
      <c r="L1144" s="30">
        <f>IF(AND(J1144=1,ISNUMBER(G1144)),G1144,"")</f>
        <v/>
      </c>
      <c r="M1144" s="22">
        <f>IF(AND(J1144=1,ISNUMBER(C1144)),C1144,"")</f>
        <v/>
      </c>
      <c r="N1144" s="31">
        <f>IF(AND(J1144=1,ISNUMBER(I1144)),I1144,"")</f>
        <v/>
      </c>
      <c r="O1144" s="11">
        <f>IF(K1144="","",100-IF($G$13=1,50,(_xlfn.RANK.AVG(K1144,$K$19:$K$1518,1)-1)/($G$13-1)*100))</f>
        <v/>
      </c>
      <c r="P1144" s="11">
        <f>IF(L1144="","",100-IF($G$14=1,50,(_xlfn.RANK.AVG(L1144,$L$19:$L$1518,1)-1)/($G$14-1)*100))</f>
        <v/>
      </c>
      <c r="Q1144" s="11">
        <f>IF(M1144="","",IF($G$15=1,50,(_xlfn.RANK.AVG(M1144,$M$19:$M$1518,1)-1)/($G$15-1)*100))</f>
        <v/>
      </c>
      <c r="R1144" s="11">
        <f>IF(N1144="","",IF($G$16=1,50,(_xlfn.RANK.AVG(N1144,$N$19:$N$1518,1)-1)/($G$16-1)*100))</f>
        <v/>
      </c>
      <c r="S1144" s="11">
        <f>IF(COUNT(O1144:R1144)=4,ROUND(AVERAGE(O1144:R1144),6),"")</f>
        <v/>
      </c>
      <c r="U1144">
        <f>IF(AND(ISNUMBER('자료_한국심리'!$A1128),ISNUMBER('자료_한국심리'!$B1128)),'자료_한국심리'!$A1128,"")</f>
        <v/>
      </c>
      <c r="V1144">
        <f>IF(AND(ISNUMBER('자료_한국심리'!$D1128),ISNUMBER('자료_한국심리'!$E1128)),'자료_한국심리'!$D1128,"")</f>
        <v/>
      </c>
      <c r="W1144">
        <f>IF(AND(ISNUMBER('자료_한국심리'!$G1128),ISNUMBER('자료_한국심리'!$H1128)),'자료_한국심리'!$G1128,"")</f>
        <v/>
      </c>
      <c r="X1144">
        <f>IF(AND(ISNUMBER('자료_한국심리'!$J1128),ISNUMBER('자료_한국심리'!$K1128)),'자료_한국심리'!$J1128,"")</f>
        <v/>
      </c>
      <c r="Y1144">
        <f>IF(AND(ISNUMBER('자료_한국심리'!$M1128),ISNUMBER('자료_한국심리'!$N1128)),'자료_한국심리'!$M1128,"")</f>
        <v/>
      </c>
    </row>
    <row r="1145">
      <c r="A1145" s="10">
        <f>IF(1127&gt;$E$5,"",SMALL($U$19:$U$4018,$E$6+1127))</f>
        <v/>
      </c>
      <c r="B1145" s="29">
        <f>IF(A1145="","",INDEX('자료_한국심리'!$B$3:$B$4002,MATCH(A1145,$U$19:$U$4018,0)))</f>
        <v/>
      </c>
      <c r="C1145" s="22">
        <f>IF(A1145="","",B1145/AVERAGE(B1021:B1145)-1)</f>
        <v/>
      </c>
      <c r="D1145" s="29">
        <f>IF(A1145="","",IFERROR(INDEX('자료_한국심리'!$E$3:$E$4002,MATCH(A1145,$V$19:$V$4018,0)),D1144))</f>
        <v/>
      </c>
      <c r="E1145" s="30">
        <f>IF(A1145="","",IFERROR(INDEX('자료_한국심리'!$H$3:$H$4002,MATCH(A1145,$W$19:$W$4018,0)),E1144))</f>
        <v/>
      </c>
      <c r="F1145" s="30">
        <f>IF(A1145="","",IFERROR(INDEX('자료_한국심리'!$K$3:$K$4002,MATCH(A1145,$X$19:$X$4018,0)),F1144))</f>
        <v/>
      </c>
      <c r="G1145" s="30">
        <f>IF(AND(ISNUMBER(E1145),ISNUMBER(F1145)),ROUND(E1145-F1145,6),"")</f>
        <v/>
      </c>
      <c r="H1145" s="25">
        <f>IF(A1145="","",IFERROR(INDEX('자료_한국심리'!$N$3:$N$4002,MATCH(A1145,$Y$19:$Y$4018,0)),H1144))</f>
        <v/>
      </c>
      <c r="I1145" s="31">
        <f>IF(AND(ISNUMBER(H1145),ISNUMBER(H1125)),IF(H1125&gt;0,H1145/H1125-1,""),"")</f>
        <v/>
      </c>
      <c r="J1145">
        <f>IF(A1145="",0,IF(A1145&gt;$B$5,1,0))</f>
        <v/>
      </c>
      <c r="K1145" s="29">
        <f>IF(AND(J1145=1,ISNUMBER(D1145)),D1145,"")</f>
        <v/>
      </c>
      <c r="L1145" s="30">
        <f>IF(AND(J1145=1,ISNUMBER(G1145)),G1145,"")</f>
        <v/>
      </c>
      <c r="M1145" s="22">
        <f>IF(AND(J1145=1,ISNUMBER(C1145)),C1145,"")</f>
        <v/>
      </c>
      <c r="N1145" s="31">
        <f>IF(AND(J1145=1,ISNUMBER(I1145)),I1145,"")</f>
        <v/>
      </c>
      <c r="O1145" s="11">
        <f>IF(K1145="","",100-IF($G$13=1,50,(_xlfn.RANK.AVG(K1145,$K$19:$K$1518,1)-1)/($G$13-1)*100))</f>
        <v/>
      </c>
      <c r="P1145" s="11">
        <f>IF(L1145="","",100-IF($G$14=1,50,(_xlfn.RANK.AVG(L1145,$L$19:$L$1518,1)-1)/($G$14-1)*100))</f>
        <v/>
      </c>
      <c r="Q1145" s="11">
        <f>IF(M1145="","",IF($G$15=1,50,(_xlfn.RANK.AVG(M1145,$M$19:$M$1518,1)-1)/($G$15-1)*100))</f>
        <v/>
      </c>
      <c r="R1145" s="11">
        <f>IF(N1145="","",IF($G$16=1,50,(_xlfn.RANK.AVG(N1145,$N$19:$N$1518,1)-1)/($G$16-1)*100))</f>
        <v/>
      </c>
      <c r="S1145" s="11">
        <f>IF(COUNT(O1145:R1145)=4,ROUND(AVERAGE(O1145:R1145),6),"")</f>
        <v/>
      </c>
      <c r="U1145">
        <f>IF(AND(ISNUMBER('자료_한국심리'!$A1129),ISNUMBER('자료_한국심리'!$B1129)),'자료_한국심리'!$A1129,"")</f>
        <v/>
      </c>
      <c r="V1145">
        <f>IF(AND(ISNUMBER('자료_한국심리'!$D1129),ISNUMBER('자료_한국심리'!$E1129)),'자료_한국심리'!$D1129,"")</f>
        <v/>
      </c>
      <c r="W1145">
        <f>IF(AND(ISNUMBER('자료_한국심리'!$G1129),ISNUMBER('자료_한국심리'!$H1129)),'자료_한국심리'!$G1129,"")</f>
        <v/>
      </c>
      <c r="X1145">
        <f>IF(AND(ISNUMBER('자료_한국심리'!$J1129),ISNUMBER('자료_한국심리'!$K1129)),'자료_한국심리'!$J1129,"")</f>
        <v/>
      </c>
      <c r="Y1145">
        <f>IF(AND(ISNUMBER('자료_한국심리'!$M1129),ISNUMBER('자료_한국심리'!$N1129)),'자료_한국심리'!$M1129,"")</f>
        <v/>
      </c>
    </row>
    <row r="1146">
      <c r="A1146" s="10">
        <f>IF(1128&gt;$E$5,"",SMALL($U$19:$U$4018,$E$6+1128))</f>
        <v/>
      </c>
      <c r="B1146" s="29">
        <f>IF(A1146="","",INDEX('자료_한국심리'!$B$3:$B$4002,MATCH(A1146,$U$19:$U$4018,0)))</f>
        <v/>
      </c>
      <c r="C1146" s="22">
        <f>IF(A1146="","",B1146/AVERAGE(B1022:B1146)-1)</f>
        <v/>
      </c>
      <c r="D1146" s="29">
        <f>IF(A1146="","",IFERROR(INDEX('자료_한국심리'!$E$3:$E$4002,MATCH(A1146,$V$19:$V$4018,0)),D1145))</f>
        <v/>
      </c>
      <c r="E1146" s="30">
        <f>IF(A1146="","",IFERROR(INDEX('자료_한국심리'!$H$3:$H$4002,MATCH(A1146,$W$19:$W$4018,0)),E1145))</f>
        <v/>
      </c>
      <c r="F1146" s="30">
        <f>IF(A1146="","",IFERROR(INDEX('자료_한국심리'!$K$3:$K$4002,MATCH(A1146,$X$19:$X$4018,0)),F1145))</f>
        <v/>
      </c>
      <c r="G1146" s="30">
        <f>IF(AND(ISNUMBER(E1146),ISNUMBER(F1146)),ROUND(E1146-F1146,6),"")</f>
        <v/>
      </c>
      <c r="H1146" s="25">
        <f>IF(A1146="","",IFERROR(INDEX('자료_한국심리'!$N$3:$N$4002,MATCH(A1146,$Y$19:$Y$4018,0)),H1145))</f>
        <v/>
      </c>
      <c r="I1146" s="31">
        <f>IF(AND(ISNUMBER(H1146),ISNUMBER(H1126)),IF(H1126&gt;0,H1146/H1126-1,""),"")</f>
        <v/>
      </c>
      <c r="J1146">
        <f>IF(A1146="",0,IF(A1146&gt;$B$5,1,0))</f>
        <v/>
      </c>
      <c r="K1146" s="29">
        <f>IF(AND(J1146=1,ISNUMBER(D1146)),D1146,"")</f>
        <v/>
      </c>
      <c r="L1146" s="30">
        <f>IF(AND(J1146=1,ISNUMBER(G1146)),G1146,"")</f>
        <v/>
      </c>
      <c r="M1146" s="22">
        <f>IF(AND(J1146=1,ISNUMBER(C1146)),C1146,"")</f>
        <v/>
      </c>
      <c r="N1146" s="31">
        <f>IF(AND(J1146=1,ISNUMBER(I1146)),I1146,"")</f>
        <v/>
      </c>
      <c r="O1146" s="11">
        <f>IF(K1146="","",100-IF($G$13=1,50,(_xlfn.RANK.AVG(K1146,$K$19:$K$1518,1)-1)/($G$13-1)*100))</f>
        <v/>
      </c>
      <c r="P1146" s="11">
        <f>IF(L1146="","",100-IF($G$14=1,50,(_xlfn.RANK.AVG(L1146,$L$19:$L$1518,1)-1)/($G$14-1)*100))</f>
        <v/>
      </c>
      <c r="Q1146" s="11">
        <f>IF(M1146="","",IF($G$15=1,50,(_xlfn.RANK.AVG(M1146,$M$19:$M$1518,1)-1)/($G$15-1)*100))</f>
        <v/>
      </c>
      <c r="R1146" s="11">
        <f>IF(N1146="","",IF($G$16=1,50,(_xlfn.RANK.AVG(N1146,$N$19:$N$1518,1)-1)/($G$16-1)*100))</f>
        <v/>
      </c>
      <c r="S1146" s="11">
        <f>IF(COUNT(O1146:R1146)=4,ROUND(AVERAGE(O1146:R1146),6),"")</f>
        <v/>
      </c>
      <c r="U1146">
        <f>IF(AND(ISNUMBER('자료_한국심리'!$A1130),ISNUMBER('자료_한국심리'!$B1130)),'자료_한국심리'!$A1130,"")</f>
        <v/>
      </c>
      <c r="V1146">
        <f>IF(AND(ISNUMBER('자료_한국심리'!$D1130),ISNUMBER('자료_한국심리'!$E1130)),'자료_한국심리'!$D1130,"")</f>
        <v/>
      </c>
      <c r="W1146">
        <f>IF(AND(ISNUMBER('자료_한국심리'!$G1130),ISNUMBER('자료_한국심리'!$H1130)),'자료_한국심리'!$G1130,"")</f>
        <v/>
      </c>
      <c r="X1146">
        <f>IF(AND(ISNUMBER('자료_한국심리'!$J1130),ISNUMBER('자료_한국심리'!$K1130)),'자료_한국심리'!$J1130,"")</f>
        <v/>
      </c>
      <c r="Y1146">
        <f>IF(AND(ISNUMBER('자료_한국심리'!$M1130),ISNUMBER('자료_한국심리'!$N1130)),'자료_한국심리'!$M1130,"")</f>
        <v/>
      </c>
    </row>
    <row r="1147">
      <c r="A1147" s="10">
        <f>IF(1129&gt;$E$5,"",SMALL($U$19:$U$4018,$E$6+1129))</f>
        <v/>
      </c>
      <c r="B1147" s="29">
        <f>IF(A1147="","",INDEX('자료_한국심리'!$B$3:$B$4002,MATCH(A1147,$U$19:$U$4018,0)))</f>
        <v/>
      </c>
      <c r="C1147" s="22">
        <f>IF(A1147="","",B1147/AVERAGE(B1023:B1147)-1)</f>
        <v/>
      </c>
      <c r="D1147" s="29">
        <f>IF(A1147="","",IFERROR(INDEX('자료_한국심리'!$E$3:$E$4002,MATCH(A1147,$V$19:$V$4018,0)),D1146))</f>
        <v/>
      </c>
      <c r="E1147" s="30">
        <f>IF(A1147="","",IFERROR(INDEX('자료_한국심리'!$H$3:$H$4002,MATCH(A1147,$W$19:$W$4018,0)),E1146))</f>
        <v/>
      </c>
      <c r="F1147" s="30">
        <f>IF(A1147="","",IFERROR(INDEX('자료_한국심리'!$K$3:$K$4002,MATCH(A1147,$X$19:$X$4018,0)),F1146))</f>
        <v/>
      </c>
      <c r="G1147" s="30">
        <f>IF(AND(ISNUMBER(E1147),ISNUMBER(F1147)),ROUND(E1147-F1147,6),"")</f>
        <v/>
      </c>
      <c r="H1147" s="25">
        <f>IF(A1147="","",IFERROR(INDEX('자료_한국심리'!$N$3:$N$4002,MATCH(A1147,$Y$19:$Y$4018,0)),H1146))</f>
        <v/>
      </c>
      <c r="I1147" s="31">
        <f>IF(AND(ISNUMBER(H1147),ISNUMBER(H1127)),IF(H1127&gt;0,H1147/H1127-1,""),"")</f>
        <v/>
      </c>
      <c r="J1147">
        <f>IF(A1147="",0,IF(A1147&gt;$B$5,1,0))</f>
        <v/>
      </c>
      <c r="K1147" s="29">
        <f>IF(AND(J1147=1,ISNUMBER(D1147)),D1147,"")</f>
        <v/>
      </c>
      <c r="L1147" s="30">
        <f>IF(AND(J1147=1,ISNUMBER(G1147)),G1147,"")</f>
        <v/>
      </c>
      <c r="M1147" s="22">
        <f>IF(AND(J1147=1,ISNUMBER(C1147)),C1147,"")</f>
        <v/>
      </c>
      <c r="N1147" s="31">
        <f>IF(AND(J1147=1,ISNUMBER(I1147)),I1147,"")</f>
        <v/>
      </c>
      <c r="O1147" s="11">
        <f>IF(K1147="","",100-IF($G$13=1,50,(_xlfn.RANK.AVG(K1147,$K$19:$K$1518,1)-1)/($G$13-1)*100))</f>
        <v/>
      </c>
      <c r="P1147" s="11">
        <f>IF(L1147="","",100-IF($G$14=1,50,(_xlfn.RANK.AVG(L1147,$L$19:$L$1518,1)-1)/($G$14-1)*100))</f>
        <v/>
      </c>
      <c r="Q1147" s="11">
        <f>IF(M1147="","",IF($G$15=1,50,(_xlfn.RANK.AVG(M1147,$M$19:$M$1518,1)-1)/($G$15-1)*100))</f>
        <v/>
      </c>
      <c r="R1147" s="11">
        <f>IF(N1147="","",IF($G$16=1,50,(_xlfn.RANK.AVG(N1147,$N$19:$N$1518,1)-1)/($G$16-1)*100))</f>
        <v/>
      </c>
      <c r="S1147" s="11">
        <f>IF(COUNT(O1147:R1147)=4,ROUND(AVERAGE(O1147:R1147),6),"")</f>
        <v/>
      </c>
      <c r="U1147">
        <f>IF(AND(ISNUMBER('자료_한국심리'!$A1131),ISNUMBER('자료_한국심리'!$B1131)),'자료_한국심리'!$A1131,"")</f>
        <v/>
      </c>
      <c r="V1147">
        <f>IF(AND(ISNUMBER('자료_한국심리'!$D1131),ISNUMBER('자료_한국심리'!$E1131)),'자료_한국심리'!$D1131,"")</f>
        <v/>
      </c>
      <c r="W1147">
        <f>IF(AND(ISNUMBER('자료_한국심리'!$G1131),ISNUMBER('자료_한국심리'!$H1131)),'자료_한국심리'!$G1131,"")</f>
        <v/>
      </c>
      <c r="X1147">
        <f>IF(AND(ISNUMBER('자료_한국심리'!$J1131),ISNUMBER('자료_한국심리'!$K1131)),'자료_한국심리'!$J1131,"")</f>
        <v/>
      </c>
      <c r="Y1147">
        <f>IF(AND(ISNUMBER('자료_한국심리'!$M1131),ISNUMBER('자료_한국심리'!$N1131)),'자료_한국심리'!$M1131,"")</f>
        <v/>
      </c>
    </row>
    <row r="1148">
      <c r="A1148" s="10">
        <f>IF(1130&gt;$E$5,"",SMALL($U$19:$U$4018,$E$6+1130))</f>
        <v/>
      </c>
      <c r="B1148" s="29">
        <f>IF(A1148="","",INDEX('자료_한국심리'!$B$3:$B$4002,MATCH(A1148,$U$19:$U$4018,0)))</f>
        <v/>
      </c>
      <c r="C1148" s="22">
        <f>IF(A1148="","",B1148/AVERAGE(B1024:B1148)-1)</f>
        <v/>
      </c>
      <c r="D1148" s="29">
        <f>IF(A1148="","",IFERROR(INDEX('자료_한국심리'!$E$3:$E$4002,MATCH(A1148,$V$19:$V$4018,0)),D1147))</f>
        <v/>
      </c>
      <c r="E1148" s="30">
        <f>IF(A1148="","",IFERROR(INDEX('자료_한국심리'!$H$3:$H$4002,MATCH(A1148,$W$19:$W$4018,0)),E1147))</f>
        <v/>
      </c>
      <c r="F1148" s="30">
        <f>IF(A1148="","",IFERROR(INDEX('자료_한국심리'!$K$3:$K$4002,MATCH(A1148,$X$19:$X$4018,0)),F1147))</f>
        <v/>
      </c>
      <c r="G1148" s="30">
        <f>IF(AND(ISNUMBER(E1148),ISNUMBER(F1148)),ROUND(E1148-F1148,6),"")</f>
        <v/>
      </c>
      <c r="H1148" s="25">
        <f>IF(A1148="","",IFERROR(INDEX('자료_한국심리'!$N$3:$N$4002,MATCH(A1148,$Y$19:$Y$4018,0)),H1147))</f>
        <v/>
      </c>
      <c r="I1148" s="31">
        <f>IF(AND(ISNUMBER(H1148),ISNUMBER(H1128)),IF(H1128&gt;0,H1148/H1128-1,""),"")</f>
        <v/>
      </c>
      <c r="J1148">
        <f>IF(A1148="",0,IF(A1148&gt;$B$5,1,0))</f>
        <v/>
      </c>
      <c r="K1148" s="29">
        <f>IF(AND(J1148=1,ISNUMBER(D1148)),D1148,"")</f>
        <v/>
      </c>
      <c r="L1148" s="30">
        <f>IF(AND(J1148=1,ISNUMBER(G1148)),G1148,"")</f>
        <v/>
      </c>
      <c r="M1148" s="22">
        <f>IF(AND(J1148=1,ISNUMBER(C1148)),C1148,"")</f>
        <v/>
      </c>
      <c r="N1148" s="31">
        <f>IF(AND(J1148=1,ISNUMBER(I1148)),I1148,"")</f>
        <v/>
      </c>
      <c r="O1148" s="11">
        <f>IF(K1148="","",100-IF($G$13=1,50,(_xlfn.RANK.AVG(K1148,$K$19:$K$1518,1)-1)/($G$13-1)*100))</f>
        <v/>
      </c>
      <c r="P1148" s="11">
        <f>IF(L1148="","",100-IF($G$14=1,50,(_xlfn.RANK.AVG(L1148,$L$19:$L$1518,1)-1)/($G$14-1)*100))</f>
        <v/>
      </c>
      <c r="Q1148" s="11">
        <f>IF(M1148="","",IF($G$15=1,50,(_xlfn.RANK.AVG(M1148,$M$19:$M$1518,1)-1)/($G$15-1)*100))</f>
        <v/>
      </c>
      <c r="R1148" s="11">
        <f>IF(N1148="","",IF($G$16=1,50,(_xlfn.RANK.AVG(N1148,$N$19:$N$1518,1)-1)/($G$16-1)*100))</f>
        <v/>
      </c>
      <c r="S1148" s="11">
        <f>IF(COUNT(O1148:R1148)=4,ROUND(AVERAGE(O1148:R1148),6),"")</f>
        <v/>
      </c>
      <c r="U1148">
        <f>IF(AND(ISNUMBER('자료_한국심리'!$A1132),ISNUMBER('자료_한국심리'!$B1132)),'자료_한국심리'!$A1132,"")</f>
        <v/>
      </c>
      <c r="V1148">
        <f>IF(AND(ISNUMBER('자료_한국심리'!$D1132),ISNUMBER('자료_한국심리'!$E1132)),'자료_한국심리'!$D1132,"")</f>
        <v/>
      </c>
      <c r="W1148">
        <f>IF(AND(ISNUMBER('자료_한국심리'!$G1132),ISNUMBER('자료_한국심리'!$H1132)),'자료_한국심리'!$G1132,"")</f>
        <v/>
      </c>
      <c r="X1148">
        <f>IF(AND(ISNUMBER('자료_한국심리'!$J1132),ISNUMBER('자료_한국심리'!$K1132)),'자료_한국심리'!$J1132,"")</f>
        <v/>
      </c>
      <c r="Y1148">
        <f>IF(AND(ISNUMBER('자료_한국심리'!$M1132),ISNUMBER('자료_한국심리'!$N1132)),'자료_한국심리'!$M1132,"")</f>
        <v/>
      </c>
    </row>
    <row r="1149">
      <c r="A1149" s="10">
        <f>IF(1131&gt;$E$5,"",SMALL($U$19:$U$4018,$E$6+1131))</f>
        <v/>
      </c>
      <c r="B1149" s="29">
        <f>IF(A1149="","",INDEX('자료_한국심리'!$B$3:$B$4002,MATCH(A1149,$U$19:$U$4018,0)))</f>
        <v/>
      </c>
      <c r="C1149" s="22">
        <f>IF(A1149="","",B1149/AVERAGE(B1025:B1149)-1)</f>
        <v/>
      </c>
      <c r="D1149" s="29">
        <f>IF(A1149="","",IFERROR(INDEX('자료_한국심리'!$E$3:$E$4002,MATCH(A1149,$V$19:$V$4018,0)),D1148))</f>
        <v/>
      </c>
      <c r="E1149" s="30">
        <f>IF(A1149="","",IFERROR(INDEX('자료_한국심리'!$H$3:$H$4002,MATCH(A1149,$W$19:$W$4018,0)),E1148))</f>
        <v/>
      </c>
      <c r="F1149" s="30">
        <f>IF(A1149="","",IFERROR(INDEX('자료_한국심리'!$K$3:$K$4002,MATCH(A1149,$X$19:$X$4018,0)),F1148))</f>
        <v/>
      </c>
      <c r="G1149" s="30">
        <f>IF(AND(ISNUMBER(E1149),ISNUMBER(F1149)),ROUND(E1149-F1149,6),"")</f>
        <v/>
      </c>
      <c r="H1149" s="25">
        <f>IF(A1149="","",IFERROR(INDEX('자료_한국심리'!$N$3:$N$4002,MATCH(A1149,$Y$19:$Y$4018,0)),H1148))</f>
        <v/>
      </c>
      <c r="I1149" s="31">
        <f>IF(AND(ISNUMBER(H1149),ISNUMBER(H1129)),IF(H1129&gt;0,H1149/H1129-1,""),"")</f>
        <v/>
      </c>
      <c r="J1149">
        <f>IF(A1149="",0,IF(A1149&gt;$B$5,1,0))</f>
        <v/>
      </c>
      <c r="K1149" s="29">
        <f>IF(AND(J1149=1,ISNUMBER(D1149)),D1149,"")</f>
        <v/>
      </c>
      <c r="L1149" s="30">
        <f>IF(AND(J1149=1,ISNUMBER(G1149)),G1149,"")</f>
        <v/>
      </c>
      <c r="M1149" s="22">
        <f>IF(AND(J1149=1,ISNUMBER(C1149)),C1149,"")</f>
        <v/>
      </c>
      <c r="N1149" s="31">
        <f>IF(AND(J1149=1,ISNUMBER(I1149)),I1149,"")</f>
        <v/>
      </c>
      <c r="O1149" s="11">
        <f>IF(K1149="","",100-IF($G$13=1,50,(_xlfn.RANK.AVG(K1149,$K$19:$K$1518,1)-1)/($G$13-1)*100))</f>
        <v/>
      </c>
      <c r="P1149" s="11">
        <f>IF(L1149="","",100-IF($G$14=1,50,(_xlfn.RANK.AVG(L1149,$L$19:$L$1518,1)-1)/($G$14-1)*100))</f>
        <v/>
      </c>
      <c r="Q1149" s="11">
        <f>IF(M1149="","",IF($G$15=1,50,(_xlfn.RANK.AVG(M1149,$M$19:$M$1518,1)-1)/($G$15-1)*100))</f>
        <v/>
      </c>
      <c r="R1149" s="11">
        <f>IF(N1149="","",IF($G$16=1,50,(_xlfn.RANK.AVG(N1149,$N$19:$N$1518,1)-1)/($G$16-1)*100))</f>
        <v/>
      </c>
      <c r="S1149" s="11">
        <f>IF(COUNT(O1149:R1149)=4,ROUND(AVERAGE(O1149:R1149),6),"")</f>
        <v/>
      </c>
      <c r="U1149">
        <f>IF(AND(ISNUMBER('자료_한국심리'!$A1133),ISNUMBER('자료_한국심리'!$B1133)),'자료_한국심리'!$A1133,"")</f>
        <v/>
      </c>
      <c r="V1149">
        <f>IF(AND(ISNUMBER('자료_한국심리'!$D1133),ISNUMBER('자료_한국심리'!$E1133)),'자료_한국심리'!$D1133,"")</f>
        <v/>
      </c>
      <c r="W1149">
        <f>IF(AND(ISNUMBER('자료_한국심리'!$G1133),ISNUMBER('자료_한국심리'!$H1133)),'자료_한국심리'!$G1133,"")</f>
        <v/>
      </c>
      <c r="X1149">
        <f>IF(AND(ISNUMBER('자료_한국심리'!$J1133),ISNUMBER('자료_한국심리'!$K1133)),'자료_한국심리'!$J1133,"")</f>
        <v/>
      </c>
      <c r="Y1149">
        <f>IF(AND(ISNUMBER('자료_한국심리'!$M1133),ISNUMBER('자료_한국심리'!$N1133)),'자료_한국심리'!$M1133,"")</f>
        <v/>
      </c>
    </row>
    <row r="1150">
      <c r="A1150" s="10">
        <f>IF(1132&gt;$E$5,"",SMALL($U$19:$U$4018,$E$6+1132))</f>
        <v/>
      </c>
      <c r="B1150" s="29">
        <f>IF(A1150="","",INDEX('자료_한국심리'!$B$3:$B$4002,MATCH(A1150,$U$19:$U$4018,0)))</f>
        <v/>
      </c>
      <c r="C1150" s="22">
        <f>IF(A1150="","",B1150/AVERAGE(B1026:B1150)-1)</f>
        <v/>
      </c>
      <c r="D1150" s="29">
        <f>IF(A1150="","",IFERROR(INDEX('자료_한국심리'!$E$3:$E$4002,MATCH(A1150,$V$19:$V$4018,0)),D1149))</f>
        <v/>
      </c>
      <c r="E1150" s="30">
        <f>IF(A1150="","",IFERROR(INDEX('자료_한국심리'!$H$3:$H$4002,MATCH(A1150,$W$19:$W$4018,0)),E1149))</f>
        <v/>
      </c>
      <c r="F1150" s="30">
        <f>IF(A1150="","",IFERROR(INDEX('자료_한국심리'!$K$3:$K$4002,MATCH(A1150,$X$19:$X$4018,0)),F1149))</f>
        <v/>
      </c>
      <c r="G1150" s="30">
        <f>IF(AND(ISNUMBER(E1150),ISNUMBER(F1150)),ROUND(E1150-F1150,6),"")</f>
        <v/>
      </c>
      <c r="H1150" s="25">
        <f>IF(A1150="","",IFERROR(INDEX('자료_한국심리'!$N$3:$N$4002,MATCH(A1150,$Y$19:$Y$4018,0)),H1149))</f>
        <v/>
      </c>
      <c r="I1150" s="31">
        <f>IF(AND(ISNUMBER(H1150),ISNUMBER(H1130)),IF(H1130&gt;0,H1150/H1130-1,""),"")</f>
        <v/>
      </c>
      <c r="J1150">
        <f>IF(A1150="",0,IF(A1150&gt;$B$5,1,0))</f>
        <v/>
      </c>
      <c r="K1150" s="29">
        <f>IF(AND(J1150=1,ISNUMBER(D1150)),D1150,"")</f>
        <v/>
      </c>
      <c r="L1150" s="30">
        <f>IF(AND(J1150=1,ISNUMBER(G1150)),G1150,"")</f>
        <v/>
      </c>
      <c r="M1150" s="22">
        <f>IF(AND(J1150=1,ISNUMBER(C1150)),C1150,"")</f>
        <v/>
      </c>
      <c r="N1150" s="31">
        <f>IF(AND(J1150=1,ISNUMBER(I1150)),I1150,"")</f>
        <v/>
      </c>
      <c r="O1150" s="11">
        <f>IF(K1150="","",100-IF($G$13=1,50,(_xlfn.RANK.AVG(K1150,$K$19:$K$1518,1)-1)/($G$13-1)*100))</f>
        <v/>
      </c>
      <c r="P1150" s="11">
        <f>IF(L1150="","",100-IF($G$14=1,50,(_xlfn.RANK.AVG(L1150,$L$19:$L$1518,1)-1)/($G$14-1)*100))</f>
        <v/>
      </c>
      <c r="Q1150" s="11">
        <f>IF(M1150="","",IF($G$15=1,50,(_xlfn.RANK.AVG(M1150,$M$19:$M$1518,1)-1)/($G$15-1)*100))</f>
        <v/>
      </c>
      <c r="R1150" s="11">
        <f>IF(N1150="","",IF($G$16=1,50,(_xlfn.RANK.AVG(N1150,$N$19:$N$1518,1)-1)/($G$16-1)*100))</f>
        <v/>
      </c>
      <c r="S1150" s="11">
        <f>IF(COUNT(O1150:R1150)=4,ROUND(AVERAGE(O1150:R1150),6),"")</f>
        <v/>
      </c>
      <c r="U1150">
        <f>IF(AND(ISNUMBER('자료_한국심리'!$A1134),ISNUMBER('자료_한국심리'!$B1134)),'자료_한국심리'!$A1134,"")</f>
        <v/>
      </c>
      <c r="V1150">
        <f>IF(AND(ISNUMBER('자료_한국심리'!$D1134),ISNUMBER('자료_한국심리'!$E1134)),'자료_한국심리'!$D1134,"")</f>
        <v/>
      </c>
      <c r="W1150">
        <f>IF(AND(ISNUMBER('자료_한국심리'!$G1134),ISNUMBER('자료_한국심리'!$H1134)),'자료_한국심리'!$G1134,"")</f>
        <v/>
      </c>
      <c r="X1150">
        <f>IF(AND(ISNUMBER('자료_한국심리'!$J1134),ISNUMBER('자료_한국심리'!$K1134)),'자료_한국심리'!$J1134,"")</f>
        <v/>
      </c>
      <c r="Y1150">
        <f>IF(AND(ISNUMBER('자료_한국심리'!$M1134),ISNUMBER('자료_한국심리'!$N1134)),'자료_한국심리'!$M1134,"")</f>
        <v/>
      </c>
    </row>
    <row r="1151">
      <c r="A1151" s="10">
        <f>IF(1133&gt;$E$5,"",SMALL($U$19:$U$4018,$E$6+1133))</f>
        <v/>
      </c>
      <c r="B1151" s="29">
        <f>IF(A1151="","",INDEX('자료_한국심리'!$B$3:$B$4002,MATCH(A1151,$U$19:$U$4018,0)))</f>
        <v/>
      </c>
      <c r="C1151" s="22">
        <f>IF(A1151="","",B1151/AVERAGE(B1027:B1151)-1)</f>
        <v/>
      </c>
      <c r="D1151" s="29">
        <f>IF(A1151="","",IFERROR(INDEX('자료_한국심리'!$E$3:$E$4002,MATCH(A1151,$V$19:$V$4018,0)),D1150))</f>
        <v/>
      </c>
      <c r="E1151" s="30">
        <f>IF(A1151="","",IFERROR(INDEX('자료_한국심리'!$H$3:$H$4002,MATCH(A1151,$W$19:$W$4018,0)),E1150))</f>
        <v/>
      </c>
      <c r="F1151" s="30">
        <f>IF(A1151="","",IFERROR(INDEX('자료_한국심리'!$K$3:$K$4002,MATCH(A1151,$X$19:$X$4018,0)),F1150))</f>
        <v/>
      </c>
      <c r="G1151" s="30">
        <f>IF(AND(ISNUMBER(E1151),ISNUMBER(F1151)),ROUND(E1151-F1151,6),"")</f>
        <v/>
      </c>
      <c r="H1151" s="25">
        <f>IF(A1151="","",IFERROR(INDEX('자료_한국심리'!$N$3:$N$4002,MATCH(A1151,$Y$19:$Y$4018,0)),H1150))</f>
        <v/>
      </c>
      <c r="I1151" s="31">
        <f>IF(AND(ISNUMBER(H1151),ISNUMBER(H1131)),IF(H1131&gt;0,H1151/H1131-1,""),"")</f>
        <v/>
      </c>
      <c r="J1151">
        <f>IF(A1151="",0,IF(A1151&gt;$B$5,1,0))</f>
        <v/>
      </c>
      <c r="K1151" s="29">
        <f>IF(AND(J1151=1,ISNUMBER(D1151)),D1151,"")</f>
        <v/>
      </c>
      <c r="L1151" s="30">
        <f>IF(AND(J1151=1,ISNUMBER(G1151)),G1151,"")</f>
        <v/>
      </c>
      <c r="M1151" s="22">
        <f>IF(AND(J1151=1,ISNUMBER(C1151)),C1151,"")</f>
        <v/>
      </c>
      <c r="N1151" s="31">
        <f>IF(AND(J1151=1,ISNUMBER(I1151)),I1151,"")</f>
        <v/>
      </c>
      <c r="O1151" s="11">
        <f>IF(K1151="","",100-IF($G$13=1,50,(_xlfn.RANK.AVG(K1151,$K$19:$K$1518,1)-1)/($G$13-1)*100))</f>
        <v/>
      </c>
      <c r="P1151" s="11">
        <f>IF(L1151="","",100-IF($G$14=1,50,(_xlfn.RANK.AVG(L1151,$L$19:$L$1518,1)-1)/($G$14-1)*100))</f>
        <v/>
      </c>
      <c r="Q1151" s="11">
        <f>IF(M1151="","",IF($G$15=1,50,(_xlfn.RANK.AVG(M1151,$M$19:$M$1518,1)-1)/($G$15-1)*100))</f>
        <v/>
      </c>
      <c r="R1151" s="11">
        <f>IF(N1151="","",IF($G$16=1,50,(_xlfn.RANK.AVG(N1151,$N$19:$N$1518,1)-1)/($G$16-1)*100))</f>
        <v/>
      </c>
      <c r="S1151" s="11">
        <f>IF(COUNT(O1151:R1151)=4,ROUND(AVERAGE(O1151:R1151),6),"")</f>
        <v/>
      </c>
      <c r="U1151">
        <f>IF(AND(ISNUMBER('자료_한국심리'!$A1135),ISNUMBER('자료_한국심리'!$B1135)),'자료_한국심리'!$A1135,"")</f>
        <v/>
      </c>
      <c r="V1151">
        <f>IF(AND(ISNUMBER('자료_한국심리'!$D1135),ISNUMBER('자료_한국심리'!$E1135)),'자료_한국심리'!$D1135,"")</f>
        <v/>
      </c>
      <c r="W1151">
        <f>IF(AND(ISNUMBER('자료_한국심리'!$G1135),ISNUMBER('자료_한국심리'!$H1135)),'자료_한국심리'!$G1135,"")</f>
        <v/>
      </c>
      <c r="X1151">
        <f>IF(AND(ISNUMBER('자료_한국심리'!$J1135),ISNUMBER('자료_한국심리'!$K1135)),'자료_한국심리'!$J1135,"")</f>
        <v/>
      </c>
      <c r="Y1151">
        <f>IF(AND(ISNUMBER('자료_한국심리'!$M1135),ISNUMBER('자료_한국심리'!$N1135)),'자료_한국심리'!$M1135,"")</f>
        <v/>
      </c>
    </row>
    <row r="1152">
      <c r="A1152" s="10">
        <f>IF(1134&gt;$E$5,"",SMALL($U$19:$U$4018,$E$6+1134))</f>
        <v/>
      </c>
      <c r="B1152" s="29">
        <f>IF(A1152="","",INDEX('자료_한국심리'!$B$3:$B$4002,MATCH(A1152,$U$19:$U$4018,0)))</f>
        <v/>
      </c>
      <c r="C1152" s="22">
        <f>IF(A1152="","",B1152/AVERAGE(B1028:B1152)-1)</f>
        <v/>
      </c>
      <c r="D1152" s="29">
        <f>IF(A1152="","",IFERROR(INDEX('자료_한국심리'!$E$3:$E$4002,MATCH(A1152,$V$19:$V$4018,0)),D1151))</f>
        <v/>
      </c>
      <c r="E1152" s="30">
        <f>IF(A1152="","",IFERROR(INDEX('자료_한국심리'!$H$3:$H$4002,MATCH(A1152,$W$19:$W$4018,0)),E1151))</f>
        <v/>
      </c>
      <c r="F1152" s="30">
        <f>IF(A1152="","",IFERROR(INDEX('자료_한국심리'!$K$3:$K$4002,MATCH(A1152,$X$19:$X$4018,0)),F1151))</f>
        <v/>
      </c>
      <c r="G1152" s="30">
        <f>IF(AND(ISNUMBER(E1152),ISNUMBER(F1152)),ROUND(E1152-F1152,6),"")</f>
        <v/>
      </c>
      <c r="H1152" s="25">
        <f>IF(A1152="","",IFERROR(INDEX('자료_한국심리'!$N$3:$N$4002,MATCH(A1152,$Y$19:$Y$4018,0)),H1151))</f>
        <v/>
      </c>
      <c r="I1152" s="31">
        <f>IF(AND(ISNUMBER(H1152),ISNUMBER(H1132)),IF(H1132&gt;0,H1152/H1132-1,""),"")</f>
        <v/>
      </c>
      <c r="J1152">
        <f>IF(A1152="",0,IF(A1152&gt;$B$5,1,0))</f>
        <v/>
      </c>
      <c r="K1152" s="29">
        <f>IF(AND(J1152=1,ISNUMBER(D1152)),D1152,"")</f>
        <v/>
      </c>
      <c r="L1152" s="30">
        <f>IF(AND(J1152=1,ISNUMBER(G1152)),G1152,"")</f>
        <v/>
      </c>
      <c r="M1152" s="22">
        <f>IF(AND(J1152=1,ISNUMBER(C1152)),C1152,"")</f>
        <v/>
      </c>
      <c r="N1152" s="31">
        <f>IF(AND(J1152=1,ISNUMBER(I1152)),I1152,"")</f>
        <v/>
      </c>
      <c r="O1152" s="11">
        <f>IF(K1152="","",100-IF($G$13=1,50,(_xlfn.RANK.AVG(K1152,$K$19:$K$1518,1)-1)/($G$13-1)*100))</f>
        <v/>
      </c>
      <c r="P1152" s="11">
        <f>IF(L1152="","",100-IF($G$14=1,50,(_xlfn.RANK.AVG(L1152,$L$19:$L$1518,1)-1)/($G$14-1)*100))</f>
        <v/>
      </c>
      <c r="Q1152" s="11">
        <f>IF(M1152="","",IF($G$15=1,50,(_xlfn.RANK.AVG(M1152,$M$19:$M$1518,1)-1)/($G$15-1)*100))</f>
        <v/>
      </c>
      <c r="R1152" s="11">
        <f>IF(N1152="","",IF($G$16=1,50,(_xlfn.RANK.AVG(N1152,$N$19:$N$1518,1)-1)/($G$16-1)*100))</f>
        <v/>
      </c>
      <c r="S1152" s="11">
        <f>IF(COUNT(O1152:R1152)=4,ROUND(AVERAGE(O1152:R1152),6),"")</f>
        <v/>
      </c>
      <c r="U1152">
        <f>IF(AND(ISNUMBER('자료_한국심리'!$A1136),ISNUMBER('자료_한국심리'!$B1136)),'자료_한국심리'!$A1136,"")</f>
        <v/>
      </c>
      <c r="V1152">
        <f>IF(AND(ISNUMBER('자료_한국심리'!$D1136),ISNUMBER('자료_한국심리'!$E1136)),'자료_한국심리'!$D1136,"")</f>
        <v/>
      </c>
      <c r="W1152">
        <f>IF(AND(ISNUMBER('자료_한국심리'!$G1136),ISNUMBER('자료_한국심리'!$H1136)),'자료_한국심리'!$G1136,"")</f>
        <v/>
      </c>
      <c r="X1152">
        <f>IF(AND(ISNUMBER('자료_한국심리'!$J1136),ISNUMBER('자료_한국심리'!$K1136)),'자료_한국심리'!$J1136,"")</f>
        <v/>
      </c>
      <c r="Y1152">
        <f>IF(AND(ISNUMBER('자료_한국심리'!$M1136),ISNUMBER('자료_한국심리'!$N1136)),'자료_한국심리'!$M1136,"")</f>
        <v/>
      </c>
    </row>
    <row r="1153">
      <c r="A1153" s="10">
        <f>IF(1135&gt;$E$5,"",SMALL($U$19:$U$4018,$E$6+1135))</f>
        <v/>
      </c>
      <c r="B1153" s="29">
        <f>IF(A1153="","",INDEX('자료_한국심리'!$B$3:$B$4002,MATCH(A1153,$U$19:$U$4018,0)))</f>
        <v/>
      </c>
      <c r="C1153" s="22">
        <f>IF(A1153="","",B1153/AVERAGE(B1029:B1153)-1)</f>
        <v/>
      </c>
      <c r="D1153" s="29">
        <f>IF(A1153="","",IFERROR(INDEX('자료_한국심리'!$E$3:$E$4002,MATCH(A1153,$V$19:$V$4018,0)),D1152))</f>
        <v/>
      </c>
      <c r="E1153" s="30">
        <f>IF(A1153="","",IFERROR(INDEX('자료_한국심리'!$H$3:$H$4002,MATCH(A1153,$W$19:$W$4018,0)),E1152))</f>
        <v/>
      </c>
      <c r="F1153" s="30">
        <f>IF(A1153="","",IFERROR(INDEX('자료_한국심리'!$K$3:$K$4002,MATCH(A1153,$X$19:$X$4018,0)),F1152))</f>
        <v/>
      </c>
      <c r="G1153" s="30">
        <f>IF(AND(ISNUMBER(E1153),ISNUMBER(F1153)),ROUND(E1153-F1153,6),"")</f>
        <v/>
      </c>
      <c r="H1153" s="25">
        <f>IF(A1153="","",IFERROR(INDEX('자료_한국심리'!$N$3:$N$4002,MATCH(A1153,$Y$19:$Y$4018,0)),H1152))</f>
        <v/>
      </c>
      <c r="I1153" s="31">
        <f>IF(AND(ISNUMBER(H1153),ISNUMBER(H1133)),IF(H1133&gt;0,H1153/H1133-1,""),"")</f>
        <v/>
      </c>
      <c r="J1153">
        <f>IF(A1153="",0,IF(A1153&gt;$B$5,1,0))</f>
        <v/>
      </c>
      <c r="K1153" s="29">
        <f>IF(AND(J1153=1,ISNUMBER(D1153)),D1153,"")</f>
        <v/>
      </c>
      <c r="L1153" s="30">
        <f>IF(AND(J1153=1,ISNUMBER(G1153)),G1153,"")</f>
        <v/>
      </c>
      <c r="M1153" s="22">
        <f>IF(AND(J1153=1,ISNUMBER(C1153)),C1153,"")</f>
        <v/>
      </c>
      <c r="N1153" s="31">
        <f>IF(AND(J1153=1,ISNUMBER(I1153)),I1153,"")</f>
        <v/>
      </c>
      <c r="O1153" s="11">
        <f>IF(K1153="","",100-IF($G$13=1,50,(_xlfn.RANK.AVG(K1153,$K$19:$K$1518,1)-1)/($G$13-1)*100))</f>
        <v/>
      </c>
      <c r="P1153" s="11">
        <f>IF(L1153="","",100-IF($G$14=1,50,(_xlfn.RANK.AVG(L1153,$L$19:$L$1518,1)-1)/($G$14-1)*100))</f>
        <v/>
      </c>
      <c r="Q1153" s="11">
        <f>IF(M1153="","",IF($G$15=1,50,(_xlfn.RANK.AVG(M1153,$M$19:$M$1518,1)-1)/($G$15-1)*100))</f>
        <v/>
      </c>
      <c r="R1153" s="11">
        <f>IF(N1153="","",IF($G$16=1,50,(_xlfn.RANK.AVG(N1153,$N$19:$N$1518,1)-1)/($G$16-1)*100))</f>
        <v/>
      </c>
      <c r="S1153" s="11">
        <f>IF(COUNT(O1153:R1153)=4,ROUND(AVERAGE(O1153:R1153),6),"")</f>
        <v/>
      </c>
      <c r="U1153">
        <f>IF(AND(ISNUMBER('자료_한국심리'!$A1137),ISNUMBER('자료_한국심리'!$B1137)),'자료_한국심리'!$A1137,"")</f>
        <v/>
      </c>
      <c r="V1153">
        <f>IF(AND(ISNUMBER('자료_한국심리'!$D1137),ISNUMBER('자료_한국심리'!$E1137)),'자료_한국심리'!$D1137,"")</f>
        <v/>
      </c>
      <c r="W1153">
        <f>IF(AND(ISNUMBER('자료_한국심리'!$G1137),ISNUMBER('자료_한국심리'!$H1137)),'자료_한국심리'!$G1137,"")</f>
        <v/>
      </c>
      <c r="X1153">
        <f>IF(AND(ISNUMBER('자료_한국심리'!$J1137),ISNUMBER('자료_한국심리'!$K1137)),'자료_한국심리'!$J1137,"")</f>
        <v/>
      </c>
      <c r="Y1153">
        <f>IF(AND(ISNUMBER('자료_한국심리'!$M1137),ISNUMBER('자료_한국심리'!$N1137)),'자료_한국심리'!$M1137,"")</f>
        <v/>
      </c>
    </row>
    <row r="1154">
      <c r="A1154" s="10">
        <f>IF(1136&gt;$E$5,"",SMALL($U$19:$U$4018,$E$6+1136))</f>
        <v/>
      </c>
      <c r="B1154" s="29">
        <f>IF(A1154="","",INDEX('자료_한국심리'!$B$3:$B$4002,MATCH(A1154,$U$19:$U$4018,0)))</f>
        <v/>
      </c>
      <c r="C1154" s="22">
        <f>IF(A1154="","",B1154/AVERAGE(B1030:B1154)-1)</f>
        <v/>
      </c>
      <c r="D1154" s="29">
        <f>IF(A1154="","",IFERROR(INDEX('자료_한국심리'!$E$3:$E$4002,MATCH(A1154,$V$19:$V$4018,0)),D1153))</f>
        <v/>
      </c>
      <c r="E1154" s="30">
        <f>IF(A1154="","",IFERROR(INDEX('자료_한국심리'!$H$3:$H$4002,MATCH(A1154,$W$19:$W$4018,0)),E1153))</f>
        <v/>
      </c>
      <c r="F1154" s="30">
        <f>IF(A1154="","",IFERROR(INDEX('자료_한국심리'!$K$3:$K$4002,MATCH(A1154,$X$19:$X$4018,0)),F1153))</f>
        <v/>
      </c>
      <c r="G1154" s="30">
        <f>IF(AND(ISNUMBER(E1154),ISNUMBER(F1154)),ROUND(E1154-F1154,6),"")</f>
        <v/>
      </c>
      <c r="H1154" s="25">
        <f>IF(A1154="","",IFERROR(INDEX('자료_한국심리'!$N$3:$N$4002,MATCH(A1154,$Y$19:$Y$4018,0)),H1153))</f>
        <v/>
      </c>
      <c r="I1154" s="31">
        <f>IF(AND(ISNUMBER(H1154),ISNUMBER(H1134)),IF(H1134&gt;0,H1154/H1134-1,""),"")</f>
        <v/>
      </c>
      <c r="J1154">
        <f>IF(A1154="",0,IF(A1154&gt;$B$5,1,0))</f>
        <v/>
      </c>
      <c r="K1154" s="29">
        <f>IF(AND(J1154=1,ISNUMBER(D1154)),D1154,"")</f>
        <v/>
      </c>
      <c r="L1154" s="30">
        <f>IF(AND(J1154=1,ISNUMBER(G1154)),G1154,"")</f>
        <v/>
      </c>
      <c r="M1154" s="22">
        <f>IF(AND(J1154=1,ISNUMBER(C1154)),C1154,"")</f>
        <v/>
      </c>
      <c r="N1154" s="31">
        <f>IF(AND(J1154=1,ISNUMBER(I1154)),I1154,"")</f>
        <v/>
      </c>
      <c r="O1154" s="11">
        <f>IF(K1154="","",100-IF($G$13=1,50,(_xlfn.RANK.AVG(K1154,$K$19:$K$1518,1)-1)/($G$13-1)*100))</f>
        <v/>
      </c>
      <c r="P1154" s="11">
        <f>IF(L1154="","",100-IF($G$14=1,50,(_xlfn.RANK.AVG(L1154,$L$19:$L$1518,1)-1)/($G$14-1)*100))</f>
        <v/>
      </c>
      <c r="Q1154" s="11">
        <f>IF(M1154="","",IF($G$15=1,50,(_xlfn.RANK.AVG(M1154,$M$19:$M$1518,1)-1)/($G$15-1)*100))</f>
        <v/>
      </c>
      <c r="R1154" s="11">
        <f>IF(N1154="","",IF($G$16=1,50,(_xlfn.RANK.AVG(N1154,$N$19:$N$1518,1)-1)/($G$16-1)*100))</f>
        <v/>
      </c>
      <c r="S1154" s="11">
        <f>IF(COUNT(O1154:R1154)=4,ROUND(AVERAGE(O1154:R1154),6),"")</f>
        <v/>
      </c>
      <c r="U1154">
        <f>IF(AND(ISNUMBER('자료_한국심리'!$A1138),ISNUMBER('자료_한국심리'!$B1138)),'자료_한국심리'!$A1138,"")</f>
        <v/>
      </c>
      <c r="V1154">
        <f>IF(AND(ISNUMBER('자료_한국심리'!$D1138),ISNUMBER('자료_한국심리'!$E1138)),'자료_한국심리'!$D1138,"")</f>
        <v/>
      </c>
      <c r="W1154">
        <f>IF(AND(ISNUMBER('자료_한국심리'!$G1138),ISNUMBER('자료_한국심리'!$H1138)),'자료_한국심리'!$G1138,"")</f>
        <v/>
      </c>
      <c r="X1154">
        <f>IF(AND(ISNUMBER('자료_한국심리'!$J1138),ISNUMBER('자료_한국심리'!$K1138)),'자료_한국심리'!$J1138,"")</f>
        <v/>
      </c>
      <c r="Y1154">
        <f>IF(AND(ISNUMBER('자료_한국심리'!$M1138),ISNUMBER('자료_한국심리'!$N1138)),'자료_한국심리'!$M1138,"")</f>
        <v/>
      </c>
    </row>
    <row r="1155">
      <c r="A1155" s="10">
        <f>IF(1137&gt;$E$5,"",SMALL($U$19:$U$4018,$E$6+1137))</f>
        <v/>
      </c>
      <c r="B1155" s="29">
        <f>IF(A1155="","",INDEX('자료_한국심리'!$B$3:$B$4002,MATCH(A1155,$U$19:$U$4018,0)))</f>
        <v/>
      </c>
      <c r="C1155" s="22">
        <f>IF(A1155="","",B1155/AVERAGE(B1031:B1155)-1)</f>
        <v/>
      </c>
      <c r="D1155" s="29">
        <f>IF(A1155="","",IFERROR(INDEX('자료_한국심리'!$E$3:$E$4002,MATCH(A1155,$V$19:$V$4018,0)),D1154))</f>
        <v/>
      </c>
      <c r="E1155" s="30">
        <f>IF(A1155="","",IFERROR(INDEX('자료_한국심리'!$H$3:$H$4002,MATCH(A1155,$W$19:$W$4018,0)),E1154))</f>
        <v/>
      </c>
      <c r="F1155" s="30">
        <f>IF(A1155="","",IFERROR(INDEX('자료_한국심리'!$K$3:$K$4002,MATCH(A1155,$X$19:$X$4018,0)),F1154))</f>
        <v/>
      </c>
      <c r="G1155" s="30">
        <f>IF(AND(ISNUMBER(E1155),ISNUMBER(F1155)),ROUND(E1155-F1155,6),"")</f>
        <v/>
      </c>
      <c r="H1155" s="25">
        <f>IF(A1155="","",IFERROR(INDEX('자료_한국심리'!$N$3:$N$4002,MATCH(A1155,$Y$19:$Y$4018,0)),H1154))</f>
        <v/>
      </c>
      <c r="I1155" s="31">
        <f>IF(AND(ISNUMBER(H1155),ISNUMBER(H1135)),IF(H1135&gt;0,H1155/H1135-1,""),"")</f>
        <v/>
      </c>
      <c r="J1155">
        <f>IF(A1155="",0,IF(A1155&gt;$B$5,1,0))</f>
        <v/>
      </c>
      <c r="K1155" s="29">
        <f>IF(AND(J1155=1,ISNUMBER(D1155)),D1155,"")</f>
        <v/>
      </c>
      <c r="L1155" s="30">
        <f>IF(AND(J1155=1,ISNUMBER(G1155)),G1155,"")</f>
        <v/>
      </c>
      <c r="M1155" s="22">
        <f>IF(AND(J1155=1,ISNUMBER(C1155)),C1155,"")</f>
        <v/>
      </c>
      <c r="N1155" s="31">
        <f>IF(AND(J1155=1,ISNUMBER(I1155)),I1155,"")</f>
        <v/>
      </c>
      <c r="O1155" s="11">
        <f>IF(K1155="","",100-IF($G$13=1,50,(_xlfn.RANK.AVG(K1155,$K$19:$K$1518,1)-1)/($G$13-1)*100))</f>
        <v/>
      </c>
      <c r="P1155" s="11">
        <f>IF(L1155="","",100-IF($G$14=1,50,(_xlfn.RANK.AVG(L1155,$L$19:$L$1518,1)-1)/($G$14-1)*100))</f>
        <v/>
      </c>
      <c r="Q1155" s="11">
        <f>IF(M1155="","",IF($G$15=1,50,(_xlfn.RANK.AVG(M1155,$M$19:$M$1518,1)-1)/($G$15-1)*100))</f>
        <v/>
      </c>
      <c r="R1155" s="11">
        <f>IF(N1155="","",IF($G$16=1,50,(_xlfn.RANK.AVG(N1155,$N$19:$N$1518,1)-1)/($G$16-1)*100))</f>
        <v/>
      </c>
      <c r="S1155" s="11">
        <f>IF(COUNT(O1155:R1155)=4,ROUND(AVERAGE(O1155:R1155),6),"")</f>
        <v/>
      </c>
      <c r="U1155">
        <f>IF(AND(ISNUMBER('자료_한국심리'!$A1139),ISNUMBER('자료_한국심리'!$B1139)),'자료_한국심리'!$A1139,"")</f>
        <v/>
      </c>
      <c r="V1155">
        <f>IF(AND(ISNUMBER('자료_한국심리'!$D1139),ISNUMBER('자료_한국심리'!$E1139)),'자료_한국심리'!$D1139,"")</f>
        <v/>
      </c>
      <c r="W1155">
        <f>IF(AND(ISNUMBER('자료_한국심리'!$G1139),ISNUMBER('자료_한국심리'!$H1139)),'자료_한국심리'!$G1139,"")</f>
        <v/>
      </c>
      <c r="X1155">
        <f>IF(AND(ISNUMBER('자료_한국심리'!$J1139),ISNUMBER('자료_한국심리'!$K1139)),'자료_한국심리'!$J1139,"")</f>
        <v/>
      </c>
      <c r="Y1155">
        <f>IF(AND(ISNUMBER('자료_한국심리'!$M1139),ISNUMBER('자료_한국심리'!$N1139)),'자료_한국심리'!$M1139,"")</f>
        <v/>
      </c>
    </row>
    <row r="1156">
      <c r="A1156" s="10">
        <f>IF(1138&gt;$E$5,"",SMALL($U$19:$U$4018,$E$6+1138))</f>
        <v/>
      </c>
      <c r="B1156" s="29">
        <f>IF(A1156="","",INDEX('자료_한국심리'!$B$3:$B$4002,MATCH(A1156,$U$19:$U$4018,0)))</f>
        <v/>
      </c>
      <c r="C1156" s="22">
        <f>IF(A1156="","",B1156/AVERAGE(B1032:B1156)-1)</f>
        <v/>
      </c>
      <c r="D1156" s="29">
        <f>IF(A1156="","",IFERROR(INDEX('자료_한국심리'!$E$3:$E$4002,MATCH(A1156,$V$19:$V$4018,0)),D1155))</f>
        <v/>
      </c>
      <c r="E1156" s="30">
        <f>IF(A1156="","",IFERROR(INDEX('자료_한국심리'!$H$3:$H$4002,MATCH(A1156,$W$19:$W$4018,0)),E1155))</f>
        <v/>
      </c>
      <c r="F1156" s="30">
        <f>IF(A1156="","",IFERROR(INDEX('자료_한국심리'!$K$3:$K$4002,MATCH(A1156,$X$19:$X$4018,0)),F1155))</f>
        <v/>
      </c>
      <c r="G1156" s="30">
        <f>IF(AND(ISNUMBER(E1156),ISNUMBER(F1156)),ROUND(E1156-F1156,6),"")</f>
        <v/>
      </c>
      <c r="H1156" s="25">
        <f>IF(A1156="","",IFERROR(INDEX('자료_한국심리'!$N$3:$N$4002,MATCH(A1156,$Y$19:$Y$4018,0)),H1155))</f>
        <v/>
      </c>
      <c r="I1156" s="31">
        <f>IF(AND(ISNUMBER(H1156),ISNUMBER(H1136)),IF(H1136&gt;0,H1156/H1136-1,""),"")</f>
        <v/>
      </c>
      <c r="J1156">
        <f>IF(A1156="",0,IF(A1156&gt;$B$5,1,0))</f>
        <v/>
      </c>
      <c r="K1156" s="29">
        <f>IF(AND(J1156=1,ISNUMBER(D1156)),D1156,"")</f>
        <v/>
      </c>
      <c r="L1156" s="30">
        <f>IF(AND(J1156=1,ISNUMBER(G1156)),G1156,"")</f>
        <v/>
      </c>
      <c r="M1156" s="22">
        <f>IF(AND(J1156=1,ISNUMBER(C1156)),C1156,"")</f>
        <v/>
      </c>
      <c r="N1156" s="31">
        <f>IF(AND(J1156=1,ISNUMBER(I1156)),I1156,"")</f>
        <v/>
      </c>
      <c r="O1156" s="11">
        <f>IF(K1156="","",100-IF($G$13=1,50,(_xlfn.RANK.AVG(K1156,$K$19:$K$1518,1)-1)/($G$13-1)*100))</f>
        <v/>
      </c>
      <c r="P1156" s="11">
        <f>IF(L1156="","",100-IF($G$14=1,50,(_xlfn.RANK.AVG(L1156,$L$19:$L$1518,1)-1)/($G$14-1)*100))</f>
        <v/>
      </c>
      <c r="Q1156" s="11">
        <f>IF(M1156="","",IF($G$15=1,50,(_xlfn.RANK.AVG(M1156,$M$19:$M$1518,1)-1)/($G$15-1)*100))</f>
        <v/>
      </c>
      <c r="R1156" s="11">
        <f>IF(N1156="","",IF($G$16=1,50,(_xlfn.RANK.AVG(N1156,$N$19:$N$1518,1)-1)/($G$16-1)*100))</f>
        <v/>
      </c>
      <c r="S1156" s="11">
        <f>IF(COUNT(O1156:R1156)=4,ROUND(AVERAGE(O1156:R1156),6),"")</f>
        <v/>
      </c>
      <c r="U1156">
        <f>IF(AND(ISNUMBER('자료_한국심리'!$A1140),ISNUMBER('자료_한국심리'!$B1140)),'자료_한국심리'!$A1140,"")</f>
        <v/>
      </c>
      <c r="V1156">
        <f>IF(AND(ISNUMBER('자료_한국심리'!$D1140),ISNUMBER('자료_한국심리'!$E1140)),'자료_한국심리'!$D1140,"")</f>
        <v/>
      </c>
      <c r="W1156">
        <f>IF(AND(ISNUMBER('자료_한국심리'!$G1140),ISNUMBER('자료_한국심리'!$H1140)),'자료_한국심리'!$G1140,"")</f>
        <v/>
      </c>
      <c r="X1156">
        <f>IF(AND(ISNUMBER('자료_한국심리'!$J1140),ISNUMBER('자료_한국심리'!$K1140)),'자료_한국심리'!$J1140,"")</f>
        <v/>
      </c>
      <c r="Y1156">
        <f>IF(AND(ISNUMBER('자료_한국심리'!$M1140),ISNUMBER('자료_한국심리'!$N1140)),'자료_한국심리'!$M1140,"")</f>
        <v/>
      </c>
    </row>
    <row r="1157">
      <c r="A1157" s="10">
        <f>IF(1139&gt;$E$5,"",SMALL($U$19:$U$4018,$E$6+1139))</f>
        <v/>
      </c>
      <c r="B1157" s="29">
        <f>IF(A1157="","",INDEX('자료_한국심리'!$B$3:$B$4002,MATCH(A1157,$U$19:$U$4018,0)))</f>
        <v/>
      </c>
      <c r="C1157" s="22">
        <f>IF(A1157="","",B1157/AVERAGE(B1033:B1157)-1)</f>
        <v/>
      </c>
      <c r="D1157" s="29">
        <f>IF(A1157="","",IFERROR(INDEX('자료_한국심리'!$E$3:$E$4002,MATCH(A1157,$V$19:$V$4018,0)),D1156))</f>
        <v/>
      </c>
      <c r="E1157" s="30">
        <f>IF(A1157="","",IFERROR(INDEX('자료_한국심리'!$H$3:$H$4002,MATCH(A1157,$W$19:$W$4018,0)),E1156))</f>
        <v/>
      </c>
      <c r="F1157" s="30">
        <f>IF(A1157="","",IFERROR(INDEX('자료_한국심리'!$K$3:$K$4002,MATCH(A1157,$X$19:$X$4018,0)),F1156))</f>
        <v/>
      </c>
      <c r="G1157" s="30">
        <f>IF(AND(ISNUMBER(E1157),ISNUMBER(F1157)),ROUND(E1157-F1157,6),"")</f>
        <v/>
      </c>
      <c r="H1157" s="25">
        <f>IF(A1157="","",IFERROR(INDEX('자료_한국심리'!$N$3:$N$4002,MATCH(A1157,$Y$19:$Y$4018,0)),H1156))</f>
        <v/>
      </c>
      <c r="I1157" s="31">
        <f>IF(AND(ISNUMBER(H1157),ISNUMBER(H1137)),IF(H1137&gt;0,H1157/H1137-1,""),"")</f>
        <v/>
      </c>
      <c r="J1157">
        <f>IF(A1157="",0,IF(A1157&gt;$B$5,1,0))</f>
        <v/>
      </c>
      <c r="K1157" s="29">
        <f>IF(AND(J1157=1,ISNUMBER(D1157)),D1157,"")</f>
        <v/>
      </c>
      <c r="L1157" s="30">
        <f>IF(AND(J1157=1,ISNUMBER(G1157)),G1157,"")</f>
        <v/>
      </c>
      <c r="M1157" s="22">
        <f>IF(AND(J1157=1,ISNUMBER(C1157)),C1157,"")</f>
        <v/>
      </c>
      <c r="N1157" s="31">
        <f>IF(AND(J1157=1,ISNUMBER(I1157)),I1157,"")</f>
        <v/>
      </c>
      <c r="O1157" s="11">
        <f>IF(K1157="","",100-IF($G$13=1,50,(_xlfn.RANK.AVG(K1157,$K$19:$K$1518,1)-1)/($G$13-1)*100))</f>
        <v/>
      </c>
      <c r="P1157" s="11">
        <f>IF(L1157="","",100-IF($G$14=1,50,(_xlfn.RANK.AVG(L1157,$L$19:$L$1518,1)-1)/($G$14-1)*100))</f>
        <v/>
      </c>
      <c r="Q1157" s="11">
        <f>IF(M1157="","",IF($G$15=1,50,(_xlfn.RANK.AVG(M1157,$M$19:$M$1518,1)-1)/($G$15-1)*100))</f>
        <v/>
      </c>
      <c r="R1157" s="11">
        <f>IF(N1157="","",IF($G$16=1,50,(_xlfn.RANK.AVG(N1157,$N$19:$N$1518,1)-1)/($G$16-1)*100))</f>
        <v/>
      </c>
      <c r="S1157" s="11">
        <f>IF(COUNT(O1157:R1157)=4,ROUND(AVERAGE(O1157:R1157),6),"")</f>
        <v/>
      </c>
      <c r="U1157">
        <f>IF(AND(ISNUMBER('자료_한국심리'!$A1141),ISNUMBER('자료_한국심리'!$B1141)),'자료_한국심리'!$A1141,"")</f>
        <v/>
      </c>
      <c r="V1157">
        <f>IF(AND(ISNUMBER('자료_한국심리'!$D1141),ISNUMBER('자료_한국심리'!$E1141)),'자료_한국심리'!$D1141,"")</f>
        <v/>
      </c>
      <c r="W1157">
        <f>IF(AND(ISNUMBER('자료_한국심리'!$G1141),ISNUMBER('자료_한국심리'!$H1141)),'자료_한국심리'!$G1141,"")</f>
        <v/>
      </c>
      <c r="X1157">
        <f>IF(AND(ISNUMBER('자료_한국심리'!$J1141),ISNUMBER('자료_한국심리'!$K1141)),'자료_한국심리'!$J1141,"")</f>
        <v/>
      </c>
      <c r="Y1157">
        <f>IF(AND(ISNUMBER('자료_한국심리'!$M1141),ISNUMBER('자료_한국심리'!$N1141)),'자료_한국심리'!$M1141,"")</f>
        <v/>
      </c>
    </row>
    <row r="1158">
      <c r="A1158" s="10">
        <f>IF(1140&gt;$E$5,"",SMALL($U$19:$U$4018,$E$6+1140))</f>
        <v/>
      </c>
      <c r="B1158" s="29">
        <f>IF(A1158="","",INDEX('자료_한국심리'!$B$3:$B$4002,MATCH(A1158,$U$19:$U$4018,0)))</f>
        <v/>
      </c>
      <c r="C1158" s="22">
        <f>IF(A1158="","",B1158/AVERAGE(B1034:B1158)-1)</f>
        <v/>
      </c>
      <c r="D1158" s="29">
        <f>IF(A1158="","",IFERROR(INDEX('자료_한국심리'!$E$3:$E$4002,MATCH(A1158,$V$19:$V$4018,0)),D1157))</f>
        <v/>
      </c>
      <c r="E1158" s="30">
        <f>IF(A1158="","",IFERROR(INDEX('자료_한국심리'!$H$3:$H$4002,MATCH(A1158,$W$19:$W$4018,0)),E1157))</f>
        <v/>
      </c>
      <c r="F1158" s="30">
        <f>IF(A1158="","",IFERROR(INDEX('자료_한국심리'!$K$3:$K$4002,MATCH(A1158,$X$19:$X$4018,0)),F1157))</f>
        <v/>
      </c>
      <c r="G1158" s="30">
        <f>IF(AND(ISNUMBER(E1158),ISNUMBER(F1158)),ROUND(E1158-F1158,6),"")</f>
        <v/>
      </c>
      <c r="H1158" s="25">
        <f>IF(A1158="","",IFERROR(INDEX('자료_한국심리'!$N$3:$N$4002,MATCH(A1158,$Y$19:$Y$4018,0)),H1157))</f>
        <v/>
      </c>
      <c r="I1158" s="31">
        <f>IF(AND(ISNUMBER(H1158),ISNUMBER(H1138)),IF(H1138&gt;0,H1158/H1138-1,""),"")</f>
        <v/>
      </c>
      <c r="J1158">
        <f>IF(A1158="",0,IF(A1158&gt;$B$5,1,0))</f>
        <v/>
      </c>
      <c r="K1158" s="29">
        <f>IF(AND(J1158=1,ISNUMBER(D1158)),D1158,"")</f>
        <v/>
      </c>
      <c r="L1158" s="30">
        <f>IF(AND(J1158=1,ISNUMBER(G1158)),G1158,"")</f>
        <v/>
      </c>
      <c r="M1158" s="22">
        <f>IF(AND(J1158=1,ISNUMBER(C1158)),C1158,"")</f>
        <v/>
      </c>
      <c r="N1158" s="31">
        <f>IF(AND(J1158=1,ISNUMBER(I1158)),I1158,"")</f>
        <v/>
      </c>
      <c r="O1158" s="11">
        <f>IF(K1158="","",100-IF($G$13=1,50,(_xlfn.RANK.AVG(K1158,$K$19:$K$1518,1)-1)/($G$13-1)*100))</f>
        <v/>
      </c>
      <c r="P1158" s="11">
        <f>IF(L1158="","",100-IF($G$14=1,50,(_xlfn.RANK.AVG(L1158,$L$19:$L$1518,1)-1)/($G$14-1)*100))</f>
        <v/>
      </c>
      <c r="Q1158" s="11">
        <f>IF(M1158="","",IF($G$15=1,50,(_xlfn.RANK.AVG(M1158,$M$19:$M$1518,1)-1)/($G$15-1)*100))</f>
        <v/>
      </c>
      <c r="R1158" s="11">
        <f>IF(N1158="","",IF($G$16=1,50,(_xlfn.RANK.AVG(N1158,$N$19:$N$1518,1)-1)/($G$16-1)*100))</f>
        <v/>
      </c>
      <c r="S1158" s="11">
        <f>IF(COUNT(O1158:R1158)=4,ROUND(AVERAGE(O1158:R1158),6),"")</f>
        <v/>
      </c>
      <c r="U1158">
        <f>IF(AND(ISNUMBER('자료_한국심리'!$A1142),ISNUMBER('자료_한국심리'!$B1142)),'자료_한국심리'!$A1142,"")</f>
        <v/>
      </c>
      <c r="V1158">
        <f>IF(AND(ISNUMBER('자료_한국심리'!$D1142),ISNUMBER('자료_한국심리'!$E1142)),'자료_한국심리'!$D1142,"")</f>
        <v/>
      </c>
      <c r="W1158">
        <f>IF(AND(ISNUMBER('자료_한국심리'!$G1142),ISNUMBER('자료_한국심리'!$H1142)),'자료_한국심리'!$G1142,"")</f>
        <v/>
      </c>
      <c r="X1158">
        <f>IF(AND(ISNUMBER('자료_한국심리'!$J1142),ISNUMBER('자료_한국심리'!$K1142)),'자료_한국심리'!$J1142,"")</f>
        <v/>
      </c>
      <c r="Y1158">
        <f>IF(AND(ISNUMBER('자료_한국심리'!$M1142),ISNUMBER('자료_한국심리'!$N1142)),'자료_한국심리'!$M1142,"")</f>
        <v/>
      </c>
    </row>
    <row r="1159">
      <c r="A1159" s="10">
        <f>IF(1141&gt;$E$5,"",SMALL($U$19:$U$4018,$E$6+1141))</f>
        <v/>
      </c>
      <c r="B1159" s="29">
        <f>IF(A1159="","",INDEX('자료_한국심리'!$B$3:$B$4002,MATCH(A1159,$U$19:$U$4018,0)))</f>
        <v/>
      </c>
      <c r="C1159" s="22">
        <f>IF(A1159="","",B1159/AVERAGE(B1035:B1159)-1)</f>
        <v/>
      </c>
      <c r="D1159" s="29">
        <f>IF(A1159="","",IFERROR(INDEX('자료_한국심리'!$E$3:$E$4002,MATCH(A1159,$V$19:$V$4018,0)),D1158))</f>
        <v/>
      </c>
      <c r="E1159" s="30">
        <f>IF(A1159="","",IFERROR(INDEX('자료_한국심리'!$H$3:$H$4002,MATCH(A1159,$W$19:$W$4018,0)),E1158))</f>
        <v/>
      </c>
      <c r="F1159" s="30">
        <f>IF(A1159="","",IFERROR(INDEX('자료_한국심리'!$K$3:$K$4002,MATCH(A1159,$X$19:$X$4018,0)),F1158))</f>
        <v/>
      </c>
      <c r="G1159" s="30">
        <f>IF(AND(ISNUMBER(E1159),ISNUMBER(F1159)),ROUND(E1159-F1159,6),"")</f>
        <v/>
      </c>
      <c r="H1159" s="25">
        <f>IF(A1159="","",IFERROR(INDEX('자료_한국심리'!$N$3:$N$4002,MATCH(A1159,$Y$19:$Y$4018,0)),H1158))</f>
        <v/>
      </c>
      <c r="I1159" s="31">
        <f>IF(AND(ISNUMBER(H1159),ISNUMBER(H1139)),IF(H1139&gt;0,H1159/H1139-1,""),"")</f>
        <v/>
      </c>
      <c r="J1159">
        <f>IF(A1159="",0,IF(A1159&gt;$B$5,1,0))</f>
        <v/>
      </c>
      <c r="K1159" s="29">
        <f>IF(AND(J1159=1,ISNUMBER(D1159)),D1159,"")</f>
        <v/>
      </c>
      <c r="L1159" s="30">
        <f>IF(AND(J1159=1,ISNUMBER(G1159)),G1159,"")</f>
        <v/>
      </c>
      <c r="M1159" s="22">
        <f>IF(AND(J1159=1,ISNUMBER(C1159)),C1159,"")</f>
        <v/>
      </c>
      <c r="N1159" s="31">
        <f>IF(AND(J1159=1,ISNUMBER(I1159)),I1159,"")</f>
        <v/>
      </c>
      <c r="O1159" s="11">
        <f>IF(K1159="","",100-IF($G$13=1,50,(_xlfn.RANK.AVG(K1159,$K$19:$K$1518,1)-1)/($G$13-1)*100))</f>
        <v/>
      </c>
      <c r="P1159" s="11">
        <f>IF(L1159="","",100-IF($G$14=1,50,(_xlfn.RANK.AVG(L1159,$L$19:$L$1518,1)-1)/($G$14-1)*100))</f>
        <v/>
      </c>
      <c r="Q1159" s="11">
        <f>IF(M1159="","",IF($G$15=1,50,(_xlfn.RANK.AVG(M1159,$M$19:$M$1518,1)-1)/($G$15-1)*100))</f>
        <v/>
      </c>
      <c r="R1159" s="11">
        <f>IF(N1159="","",IF($G$16=1,50,(_xlfn.RANK.AVG(N1159,$N$19:$N$1518,1)-1)/($G$16-1)*100))</f>
        <v/>
      </c>
      <c r="S1159" s="11">
        <f>IF(COUNT(O1159:R1159)=4,ROUND(AVERAGE(O1159:R1159),6),"")</f>
        <v/>
      </c>
      <c r="U1159">
        <f>IF(AND(ISNUMBER('자료_한국심리'!$A1143),ISNUMBER('자료_한국심리'!$B1143)),'자료_한국심리'!$A1143,"")</f>
        <v/>
      </c>
      <c r="V1159">
        <f>IF(AND(ISNUMBER('자료_한국심리'!$D1143),ISNUMBER('자료_한국심리'!$E1143)),'자료_한국심리'!$D1143,"")</f>
        <v/>
      </c>
      <c r="W1159">
        <f>IF(AND(ISNUMBER('자료_한국심리'!$G1143),ISNUMBER('자료_한국심리'!$H1143)),'자료_한국심리'!$G1143,"")</f>
        <v/>
      </c>
      <c r="X1159">
        <f>IF(AND(ISNUMBER('자료_한국심리'!$J1143),ISNUMBER('자료_한국심리'!$K1143)),'자료_한국심리'!$J1143,"")</f>
        <v/>
      </c>
      <c r="Y1159">
        <f>IF(AND(ISNUMBER('자료_한국심리'!$M1143),ISNUMBER('자료_한국심리'!$N1143)),'자료_한국심리'!$M1143,"")</f>
        <v/>
      </c>
    </row>
    <row r="1160">
      <c r="A1160" s="10">
        <f>IF(1142&gt;$E$5,"",SMALL($U$19:$U$4018,$E$6+1142))</f>
        <v/>
      </c>
      <c r="B1160" s="29">
        <f>IF(A1160="","",INDEX('자료_한국심리'!$B$3:$B$4002,MATCH(A1160,$U$19:$U$4018,0)))</f>
        <v/>
      </c>
      <c r="C1160" s="22">
        <f>IF(A1160="","",B1160/AVERAGE(B1036:B1160)-1)</f>
        <v/>
      </c>
      <c r="D1160" s="29">
        <f>IF(A1160="","",IFERROR(INDEX('자료_한국심리'!$E$3:$E$4002,MATCH(A1160,$V$19:$V$4018,0)),D1159))</f>
        <v/>
      </c>
      <c r="E1160" s="30">
        <f>IF(A1160="","",IFERROR(INDEX('자료_한국심리'!$H$3:$H$4002,MATCH(A1160,$W$19:$W$4018,0)),E1159))</f>
        <v/>
      </c>
      <c r="F1160" s="30">
        <f>IF(A1160="","",IFERROR(INDEX('자료_한국심리'!$K$3:$K$4002,MATCH(A1160,$X$19:$X$4018,0)),F1159))</f>
        <v/>
      </c>
      <c r="G1160" s="30">
        <f>IF(AND(ISNUMBER(E1160),ISNUMBER(F1160)),ROUND(E1160-F1160,6),"")</f>
        <v/>
      </c>
      <c r="H1160" s="25">
        <f>IF(A1160="","",IFERROR(INDEX('자료_한국심리'!$N$3:$N$4002,MATCH(A1160,$Y$19:$Y$4018,0)),H1159))</f>
        <v/>
      </c>
      <c r="I1160" s="31">
        <f>IF(AND(ISNUMBER(H1160),ISNUMBER(H1140)),IF(H1140&gt;0,H1160/H1140-1,""),"")</f>
        <v/>
      </c>
      <c r="J1160">
        <f>IF(A1160="",0,IF(A1160&gt;$B$5,1,0))</f>
        <v/>
      </c>
      <c r="K1160" s="29">
        <f>IF(AND(J1160=1,ISNUMBER(D1160)),D1160,"")</f>
        <v/>
      </c>
      <c r="L1160" s="30">
        <f>IF(AND(J1160=1,ISNUMBER(G1160)),G1160,"")</f>
        <v/>
      </c>
      <c r="M1160" s="22">
        <f>IF(AND(J1160=1,ISNUMBER(C1160)),C1160,"")</f>
        <v/>
      </c>
      <c r="N1160" s="31">
        <f>IF(AND(J1160=1,ISNUMBER(I1160)),I1160,"")</f>
        <v/>
      </c>
      <c r="O1160" s="11">
        <f>IF(K1160="","",100-IF($G$13=1,50,(_xlfn.RANK.AVG(K1160,$K$19:$K$1518,1)-1)/($G$13-1)*100))</f>
        <v/>
      </c>
      <c r="P1160" s="11">
        <f>IF(L1160="","",100-IF($G$14=1,50,(_xlfn.RANK.AVG(L1160,$L$19:$L$1518,1)-1)/($G$14-1)*100))</f>
        <v/>
      </c>
      <c r="Q1160" s="11">
        <f>IF(M1160="","",IF($G$15=1,50,(_xlfn.RANK.AVG(M1160,$M$19:$M$1518,1)-1)/($G$15-1)*100))</f>
        <v/>
      </c>
      <c r="R1160" s="11">
        <f>IF(N1160="","",IF($G$16=1,50,(_xlfn.RANK.AVG(N1160,$N$19:$N$1518,1)-1)/($G$16-1)*100))</f>
        <v/>
      </c>
      <c r="S1160" s="11">
        <f>IF(COUNT(O1160:R1160)=4,ROUND(AVERAGE(O1160:R1160),6),"")</f>
        <v/>
      </c>
      <c r="U1160">
        <f>IF(AND(ISNUMBER('자료_한국심리'!$A1144),ISNUMBER('자료_한국심리'!$B1144)),'자료_한국심리'!$A1144,"")</f>
        <v/>
      </c>
      <c r="V1160">
        <f>IF(AND(ISNUMBER('자료_한국심리'!$D1144),ISNUMBER('자료_한국심리'!$E1144)),'자료_한국심리'!$D1144,"")</f>
        <v/>
      </c>
      <c r="W1160">
        <f>IF(AND(ISNUMBER('자료_한국심리'!$G1144),ISNUMBER('자료_한국심리'!$H1144)),'자료_한국심리'!$G1144,"")</f>
        <v/>
      </c>
      <c r="X1160">
        <f>IF(AND(ISNUMBER('자료_한국심리'!$J1144),ISNUMBER('자료_한국심리'!$K1144)),'자료_한국심리'!$J1144,"")</f>
        <v/>
      </c>
      <c r="Y1160">
        <f>IF(AND(ISNUMBER('자료_한국심리'!$M1144),ISNUMBER('자료_한국심리'!$N1144)),'자료_한국심리'!$M1144,"")</f>
        <v/>
      </c>
    </row>
    <row r="1161">
      <c r="A1161" s="10">
        <f>IF(1143&gt;$E$5,"",SMALL($U$19:$U$4018,$E$6+1143))</f>
        <v/>
      </c>
      <c r="B1161" s="29">
        <f>IF(A1161="","",INDEX('자료_한국심리'!$B$3:$B$4002,MATCH(A1161,$U$19:$U$4018,0)))</f>
        <v/>
      </c>
      <c r="C1161" s="22">
        <f>IF(A1161="","",B1161/AVERAGE(B1037:B1161)-1)</f>
        <v/>
      </c>
      <c r="D1161" s="29">
        <f>IF(A1161="","",IFERROR(INDEX('자료_한국심리'!$E$3:$E$4002,MATCH(A1161,$V$19:$V$4018,0)),D1160))</f>
        <v/>
      </c>
      <c r="E1161" s="30">
        <f>IF(A1161="","",IFERROR(INDEX('자료_한국심리'!$H$3:$H$4002,MATCH(A1161,$W$19:$W$4018,0)),E1160))</f>
        <v/>
      </c>
      <c r="F1161" s="30">
        <f>IF(A1161="","",IFERROR(INDEX('자료_한국심리'!$K$3:$K$4002,MATCH(A1161,$X$19:$X$4018,0)),F1160))</f>
        <v/>
      </c>
      <c r="G1161" s="30">
        <f>IF(AND(ISNUMBER(E1161),ISNUMBER(F1161)),ROUND(E1161-F1161,6),"")</f>
        <v/>
      </c>
      <c r="H1161" s="25">
        <f>IF(A1161="","",IFERROR(INDEX('자료_한국심리'!$N$3:$N$4002,MATCH(A1161,$Y$19:$Y$4018,0)),H1160))</f>
        <v/>
      </c>
      <c r="I1161" s="31">
        <f>IF(AND(ISNUMBER(H1161),ISNUMBER(H1141)),IF(H1141&gt;0,H1161/H1141-1,""),"")</f>
        <v/>
      </c>
      <c r="J1161">
        <f>IF(A1161="",0,IF(A1161&gt;$B$5,1,0))</f>
        <v/>
      </c>
      <c r="K1161" s="29">
        <f>IF(AND(J1161=1,ISNUMBER(D1161)),D1161,"")</f>
        <v/>
      </c>
      <c r="L1161" s="30">
        <f>IF(AND(J1161=1,ISNUMBER(G1161)),G1161,"")</f>
        <v/>
      </c>
      <c r="M1161" s="22">
        <f>IF(AND(J1161=1,ISNUMBER(C1161)),C1161,"")</f>
        <v/>
      </c>
      <c r="N1161" s="31">
        <f>IF(AND(J1161=1,ISNUMBER(I1161)),I1161,"")</f>
        <v/>
      </c>
      <c r="O1161" s="11">
        <f>IF(K1161="","",100-IF($G$13=1,50,(_xlfn.RANK.AVG(K1161,$K$19:$K$1518,1)-1)/($G$13-1)*100))</f>
        <v/>
      </c>
      <c r="P1161" s="11">
        <f>IF(L1161="","",100-IF($G$14=1,50,(_xlfn.RANK.AVG(L1161,$L$19:$L$1518,1)-1)/($G$14-1)*100))</f>
        <v/>
      </c>
      <c r="Q1161" s="11">
        <f>IF(M1161="","",IF($G$15=1,50,(_xlfn.RANK.AVG(M1161,$M$19:$M$1518,1)-1)/($G$15-1)*100))</f>
        <v/>
      </c>
      <c r="R1161" s="11">
        <f>IF(N1161="","",IF($G$16=1,50,(_xlfn.RANK.AVG(N1161,$N$19:$N$1518,1)-1)/($G$16-1)*100))</f>
        <v/>
      </c>
      <c r="S1161" s="11">
        <f>IF(COUNT(O1161:R1161)=4,ROUND(AVERAGE(O1161:R1161),6),"")</f>
        <v/>
      </c>
      <c r="U1161">
        <f>IF(AND(ISNUMBER('자료_한국심리'!$A1145),ISNUMBER('자료_한국심리'!$B1145)),'자료_한국심리'!$A1145,"")</f>
        <v/>
      </c>
      <c r="V1161">
        <f>IF(AND(ISNUMBER('자료_한국심리'!$D1145),ISNUMBER('자료_한국심리'!$E1145)),'자료_한국심리'!$D1145,"")</f>
        <v/>
      </c>
      <c r="W1161">
        <f>IF(AND(ISNUMBER('자료_한국심리'!$G1145),ISNUMBER('자료_한국심리'!$H1145)),'자료_한국심리'!$G1145,"")</f>
        <v/>
      </c>
      <c r="X1161">
        <f>IF(AND(ISNUMBER('자료_한국심리'!$J1145),ISNUMBER('자료_한국심리'!$K1145)),'자료_한국심리'!$J1145,"")</f>
        <v/>
      </c>
      <c r="Y1161">
        <f>IF(AND(ISNUMBER('자료_한국심리'!$M1145),ISNUMBER('자료_한국심리'!$N1145)),'자료_한국심리'!$M1145,"")</f>
        <v/>
      </c>
    </row>
    <row r="1162">
      <c r="A1162" s="10">
        <f>IF(1144&gt;$E$5,"",SMALL($U$19:$U$4018,$E$6+1144))</f>
        <v/>
      </c>
      <c r="B1162" s="29">
        <f>IF(A1162="","",INDEX('자료_한국심리'!$B$3:$B$4002,MATCH(A1162,$U$19:$U$4018,0)))</f>
        <v/>
      </c>
      <c r="C1162" s="22">
        <f>IF(A1162="","",B1162/AVERAGE(B1038:B1162)-1)</f>
        <v/>
      </c>
      <c r="D1162" s="29">
        <f>IF(A1162="","",IFERROR(INDEX('자료_한국심리'!$E$3:$E$4002,MATCH(A1162,$V$19:$V$4018,0)),D1161))</f>
        <v/>
      </c>
      <c r="E1162" s="30">
        <f>IF(A1162="","",IFERROR(INDEX('자료_한국심리'!$H$3:$H$4002,MATCH(A1162,$W$19:$W$4018,0)),E1161))</f>
        <v/>
      </c>
      <c r="F1162" s="30">
        <f>IF(A1162="","",IFERROR(INDEX('자료_한국심리'!$K$3:$K$4002,MATCH(A1162,$X$19:$X$4018,0)),F1161))</f>
        <v/>
      </c>
      <c r="G1162" s="30">
        <f>IF(AND(ISNUMBER(E1162),ISNUMBER(F1162)),ROUND(E1162-F1162,6),"")</f>
        <v/>
      </c>
      <c r="H1162" s="25">
        <f>IF(A1162="","",IFERROR(INDEX('자료_한국심리'!$N$3:$N$4002,MATCH(A1162,$Y$19:$Y$4018,0)),H1161))</f>
        <v/>
      </c>
      <c r="I1162" s="31">
        <f>IF(AND(ISNUMBER(H1162),ISNUMBER(H1142)),IF(H1142&gt;0,H1162/H1142-1,""),"")</f>
        <v/>
      </c>
      <c r="J1162">
        <f>IF(A1162="",0,IF(A1162&gt;$B$5,1,0))</f>
        <v/>
      </c>
      <c r="K1162" s="29">
        <f>IF(AND(J1162=1,ISNUMBER(D1162)),D1162,"")</f>
        <v/>
      </c>
      <c r="L1162" s="30">
        <f>IF(AND(J1162=1,ISNUMBER(G1162)),G1162,"")</f>
        <v/>
      </c>
      <c r="M1162" s="22">
        <f>IF(AND(J1162=1,ISNUMBER(C1162)),C1162,"")</f>
        <v/>
      </c>
      <c r="N1162" s="31">
        <f>IF(AND(J1162=1,ISNUMBER(I1162)),I1162,"")</f>
        <v/>
      </c>
      <c r="O1162" s="11">
        <f>IF(K1162="","",100-IF($G$13=1,50,(_xlfn.RANK.AVG(K1162,$K$19:$K$1518,1)-1)/($G$13-1)*100))</f>
        <v/>
      </c>
      <c r="P1162" s="11">
        <f>IF(L1162="","",100-IF($G$14=1,50,(_xlfn.RANK.AVG(L1162,$L$19:$L$1518,1)-1)/($G$14-1)*100))</f>
        <v/>
      </c>
      <c r="Q1162" s="11">
        <f>IF(M1162="","",IF($G$15=1,50,(_xlfn.RANK.AVG(M1162,$M$19:$M$1518,1)-1)/($G$15-1)*100))</f>
        <v/>
      </c>
      <c r="R1162" s="11">
        <f>IF(N1162="","",IF($G$16=1,50,(_xlfn.RANK.AVG(N1162,$N$19:$N$1518,1)-1)/($G$16-1)*100))</f>
        <v/>
      </c>
      <c r="S1162" s="11">
        <f>IF(COUNT(O1162:R1162)=4,ROUND(AVERAGE(O1162:R1162),6),"")</f>
        <v/>
      </c>
      <c r="U1162">
        <f>IF(AND(ISNUMBER('자료_한국심리'!$A1146),ISNUMBER('자료_한국심리'!$B1146)),'자료_한국심리'!$A1146,"")</f>
        <v/>
      </c>
      <c r="V1162">
        <f>IF(AND(ISNUMBER('자료_한국심리'!$D1146),ISNUMBER('자료_한국심리'!$E1146)),'자료_한국심리'!$D1146,"")</f>
        <v/>
      </c>
      <c r="W1162">
        <f>IF(AND(ISNUMBER('자료_한국심리'!$G1146),ISNUMBER('자료_한국심리'!$H1146)),'자료_한국심리'!$G1146,"")</f>
        <v/>
      </c>
      <c r="X1162">
        <f>IF(AND(ISNUMBER('자료_한국심리'!$J1146),ISNUMBER('자료_한국심리'!$K1146)),'자료_한국심리'!$J1146,"")</f>
        <v/>
      </c>
      <c r="Y1162">
        <f>IF(AND(ISNUMBER('자료_한국심리'!$M1146),ISNUMBER('자료_한국심리'!$N1146)),'자료_한국심리'!$M1146,"")</f>
        <v/>
      </c>
    </row>
    <row r="1163">
      <c r="A1163" s="10">
        <f>IF(1145&gt;$E$5,"",SMALL($U$19:$U$4018,$E$6+1145))</f>
        <v/>
      </c>
      <c r="B1163" s="29">
        <f>IF(A1163="","",INDEX('자료_한국심리'!$B$3:$B$4002,MATCH(A1163,$U$19:$U$4018,0)))</f>
        <v/>
      </c>
      <c r="C1163" s="22">
        <f>IF(A1163="","",B1163/AVERAGE(B1039:B1163)-1)</f>
        <v/>
      </c>
      <c r="D1163" s="29">
        <f>IF(A1163="","",IFERROR(INDEX('자료_한국심리'!$E$3:$E$4002,MATCH(A1163,$V$19:$V$4018,0)),D1162))</f>
        <v/>
      </c>
      <c r="E1163" s="30">
        <f>IF(A1163="","",IFERROR(INDEX('자료_한국심리'!$H$3:$H$4002,MATCH(A1163,$W$19:$W$4018,0)),E1162))</f>
        <v/>
      </c>
      <c r="F1163" s="30">
        <f>IF(A1163="","",IFERROR(INDEX('자료_한국심리'!$K$3:$K$4002,MATCH(A1163,$X$19:$X$4018,0)),F1162))</f>
        <v/>
      </c>
      <c r="G1163" s="30">
        <f>IF(AND(ISNUMBER(E1163),ISNUMBER(F1163)),ROUND(E1163-F1163,6),"")</f>
        <v/>
      </c>
      <c r="H1163" s="25">
        <f>IF(A1163="","",IFERROR(INDEX('자료_한국심리'!$N$3:$N$4002,MATCH(A1163,$Y$19:$Y$4018,0)),H1162))</f>
        <v/>
      </c>
      <c r="I1163" s="31">
        <f>IF(AND(ISNUMBER(H1163),ISNUMBER(H1143)),IF(H1143&gt;0,H1163/H1143-1,""),"")</f>
        <v/>
      </c>
      <c r="J1163">
        <f>IF(A1163="",0,IF(A1163&gt;$B$5,1,0))</f>
        <v/>
      </c>
      <c r="K1163" s="29">
        <f>IF(AND(J1163=1,ISNUMBER(D1163)),D1163,"")</f>
        <v/>
      </c>
      <c r="L1163" s="30">
        <f>IF(AND(J1163=1,ISNUMBER(G1163)),G1163,"")</f>
        <v/>
      </c>
      <c r="M1163" s="22">
        <f>IF(AND(J1163=1,ISNUMBER(C1163)),C1163,"")</f>
        <v/>
      </c>
      <c r="N1163" s="31">
        <f>IF(AND(J1163=1,ISNUMBER(I1163)),I1163,"")</f>
        <v/>
      </c>
      <c r="O1163" s="11">
        <f>IF(K1163="","",100-IF($G$13=1,50,(_xlfn.RANK.AVG(K1163,$K$19:$K$1518,1)-1)/($G$13-1)*100))</f>
        <v/>
      </c>
      <c r="P1163" s="11">
        <f>IF(L1163="","",100-IF($G$14=1,50,(_xlfn.RANK.AVG(L1163,$L$19:$L$1518,1)-1)/($G$14-1)*100))</f>
        <v/>
      </c>
      <c r="Q1163" s="11">
        <f>IF(M1163="","",IF($G$15=1,50,(_xlfn.RANK.AVG(M1163,$M$19:$M$1518,1)-1)/($G$15-1)*100))</f>
        <v/>
      </c>
      <c r="R1163" s="11">
        <f>IF(N1163="","",IF($G$16=1,50,(_xlfn.RANK.AVG(N1163,$N$19:$N$1518,1)-1)/($G$16-1)*100))</f>
        <v/>
      </c>
      <c r="S1163" s="11">
        <f>IF(COUNT(O1163:R1163)=4,ROUND(AVERAGE(O1163:R1163),6),"")</f>
        <v/>
      </c>
      <c r="U1163">
        <f>IF(AND(ISNUMBER('자료_한국심리'!$A1147),ISNUMBER('자료_한국심리'!$B1147)),'자료_한국심리'!$A1147,"")</f>
        <v/>
      </c>
      <c r="V1163">
        <f>IF(AND(ISNUMBER('자료_한국심리'!$D1147),ISNUMBER('자료_한국심리'!$E1147)),'자료_한국심리'!$D1147,"")</f>
        <v/>
      </c>
      <c r="W1163">
        <f>IF(AND(ISNUMBER('자료_한국심리'!$G1147),ISNUMBER('자료_한국심리'!$H1147)),'자료_한국심리'!$G1147,"")</f>
        <v/>
      </c>
      <c r="X1163">
        <f>IF(AND(ISNUMBER('자료_한국심리'!$J1147),ISNUMBER('자료_한국심리'!$K1147)),'자료_한국심리'!$J1147,"")</f>
        <v/>
      </c>
      <c r="Y1163">
        <f>IF(AND(ISNUMBER('자료_한국심리'!$M1147),ISNUMBER('자료_한국심리'!$N1147)),'자료_한국심리'!$M1147,"")</f>
        <v/>
      </c>
    </row>
    <row r="1164">
      <c r="A1164" s="10">
        <f>IF(1146&gt;$E$5,"",SMALL($U$19:$U$4018,$E$6+1146))</f>
        <v/>
      </c>
      <c r="B1164" s="29">
        <f>IF(A1164="","",INDEX('자료_한국심리'!$B$3:$B$4002,MATCH(A1164,$U$19:$U$4018,0)))</f>
        <v/>
      </c>
      <c r="C1164" s="22">
        <f>IF(A1164="","",B1164/AVERAGE(B1040:B1164)-1)</f>
        <v/>
      </c>
      <c r="D1164" s="29">
        <f>IF(A1164="","",IFERROR(INDEX('자료_한국심리'!$E$3:$E$4002,MATCH(A1164,$V$19:$V$4018,0)),D1163))</f>
        <v/>
      </c>
      <c r="E1164" s="30">
        <f>IF(A1164="","",IFERROR(INDEX('자료_한국심리'!$H$3:$H$4002,MATCH(A1164,$W$19:$W$4018,0)),E1163))</f>
        <v/>
      </c>
      <c r="F1164" s="30">
        <f>IF(A1164="","",IFERROR(INDEX('자료_한국심리'!$K$3:$K$4002,MATCH(A1164,$X$19:$X$4018,0)),F1163))</f>
        <v/>
      </c>
      <c r="G1164" s="30">
        <f>IF(AND(ISNUMBER(E1164),ISNUMBER(F1164)),ROUND(E1164-F1164,6),"")</f>
        <v/>
      </c>
      <c r="H1164" s="25">
        <f>IF(A1164="","",IFERROR(INDEX('자료_한국심리'!$N$3:$N$4002,MATCH(A1164,$Y$19:$Y$4018,0)),H1163))</f>
        <v/>
      </c>
      <c r="I1164" s="31">
        <f>IF(AND(ISNUMBER(H1164),ISNUMBER(H1144)),IF(H1144&gt;0,H1164/H1144-1,""),"")</f>
        <v/>
      </c>
      <c r="J1164">
        <f>IF(A1164="",0,IF(A1164&gt;$B$5,1,0))</f>
        <v/>
      </c>
      <c r="K1164" s="29">
        <f>IF(AND(J1164=1,ISNUMBER(D1164)),D1164,"")</f>
        <v/>
      </c>
      <c r="L1164" s="30">
        <f>IF(AND(J1164=1,ISNUMBER(G1164)),G1164,"")</f>
        <v/>
      </c>
      <c r="M1164" s="22">
        <f>IF(AND(J1164=1,ISNUMBER(C1164)),C1164,"")</f>
        <v/>
      </c>
      <c r="N1164" s="31">
        <f>IF(AND(J1164=1,ISNUMBER(I1164)),I1164,"")</f>
        <v/>
      </c>
      <c r="O1164" s="11">
        <f>IF(K1164="","",100-IF($G$13=1,50,(_xlfn.RANK.AVG(K1164,$K$19:$K$1518,1)-1)/($G$13-1)*100))</f>
        <v/>
      </c>
      <c r="P1164" s="11">
        <f>IF(L1164="","",100-IF($G$14=1,50,(_xlfn.RANK.AVG(L1164,$L$19:$L$1518,1)-1)/($G$14-1)*100))</f>
        <v/>
      </c>
      <c r="Q1164" s="11">
        <f>IF(M1164="","",IF($G$15=1,50,(_xlfn.RANK.AVG(M1164,$M$19:$M$1518,1)-1)/($G$15-1)*100))</f>
        <v/>
      </c>
      <c r="R1164" s="11">
        <f>IF(N1164="","",IF($G$16=1,50,(_xlfn.RANK.AVG(N1164,$N$19:$N$1518,1)-1)/($G$16-1)*100))</f>
        <v/>
      </c>
      <c r="S1164" s="11">
        <f>IF(COUNT(O1164:R1164)=4,ROUND(AVERAGE(O1164:R1164),6),"")</f>
        <v/>
      </c>
      <c r="U1164">
        <f>IF(AND(ISNUMBER('자료_한국심리'!$A1148),ISNUMBER('자료_한국심리'!$B1148)),'자료_한국심리'!$A1148,"")</f>
        <v/>
      </c>
      <c r="V1164">
        <f>IF(AND(ISNUMBER('자료_한국심리'!$D1148),ISNUMBER('자료_한국심리'!$E1148)),'자료_한국심리'!$D1148,"")</f>
        <v/>
      </c>
      <c r="W1164">
        <f>IF(AND(ISNUMBER('자료_한국심리'!$G1148),ISNUMBER('자료_한국심리'!$H1148)),'자료_한국심리'!$G1148,"")</f>
        <v/>
      </c>
      <c r="X1164">
        <f>IF(AND(ISNUMBER('자료_한국심리'!$J1148),ISNUMBER('자료_한국심리'!$K1148)),'자료_한국심리'!$J1148,"")</f>
        <v/>
      </c>
      <c r="Y1164">
        <f>IF(AND(ISNUMBER('자료_한국심리'!$M1148),ISNUMBER('자료_한국심리'!$N1148)),'자료_한국심리'!$M1148,"")</f>
        <v/>
      </c>
    </row>
    <row r="1165">
      <c r="A1165" s="10">
        <f>IF(1147&gt;$E$5,"",SMALL($U$19:$U$4018,$E$6+1147))</f>
        <v/>
      </c>
      <c r="B1165" s="29">
        <f>IF(A1165="","",INDEX('자료_한국심리'!$B$3:$B$4002,MATCH(A1165,$U$19:$U$4018,0)))</f>
        <v/>
      </c>
      <c r="C1165" s="22">
        <f>IF(A1165="","",B1165/AVERAGE(B1041:B1165)-1)</f>
        <v/>
      </c>
      <c r="D1165" s="29">
        <f>IF(A1165="","",IFERROR(INDEX('자료_한국심리'!$E$3:$E$4002,MATCH(A1165,$V$19:$V$4018,0)),D1164))</f>
        <v/>
      </c>
      <c r="E1165" s="30">
        <f>IF(A1165="","",IFERROR(INDEX('자료_한국심리'!$H$3:$H$4002,MATCH(A1165,$W$19:$W$4018,0)),E1164))</f>
        <v/>
      </c>
      <c r="F1165" s="30">
        <f>IF(A1165="","",IFERROR(INDEX('자료_한국심리'!$K$3:$K$4002,MATCH(A1165,$X$19:$X$4018,0)),F1164))</f>
        <v/>
      </c>
      <c r="G1165" s="30">
        <f>IF(AND(ISNUMBER(E1165),ISNUMBER(F1165)),ROUND(E1165-F1165,6),"")</f>
        <v/>
      </c>
      <c r="H1165" s="25">
        <f>IF(A1165="","",IFERROR(INDEX('자료_한국심리'!$N$3:$N$4002,MATCH(A1165,$Y$19:$Y$4018,0)),H1164))</f>
        <v/>
      </c>
      <c r="I1165" s="31">
        <f>IF(AND(ISNUMBER(H1165),ISNUMBER(H1145)),IF(H1145&gt;0,H1165/H1145-1,""),"")</f>
        <v/>
      </c>
      <c r="J1165">
        <f>IF(A1165="",0,IF(A1165&gt;$B$5,1,0))</f>
        <v/>
      </c>
      <c r="K1165" s="29">
        <f>IF(AND(J1165=1,ISNUMBER(D1165)),D1165,"")</f>
        <v/>
      </c>
      <c r="L1165" s="30">
        <f>IF(AND(J1165=1,ISNUMBER(G1165)),G1165,"")</f>
        <v/>
      </c>
      <c r="M1165" s="22">
        <f>IF(AND(J1165=1,ISNUMBER(C1165)),C1165,"")</f>
        <v/>
      </c>
      <c r="N1165" s="31">
        <f>IF(AND(J1165=1,ISNUMBER(I1165)),I1165,"")</f>
        <v/>
      </c>
      <c r="O1165" s="11">
        <f>IF(K1165="","",100-IF($G$13=1,50,(_xlfn.RANK.AVG(K1165,$K$19:$K$1518,1)-1)/($G$13-1)*100))</f>
        <v/>
      </c>
      <c r="P1165" s="11">
        <f>IF(L1165="","",100-IF($G$14=1,50,(_xlfn.RANK.AVG(L1165,$L$19:$L$1518,1)-1)/($G$14-1)*100))</f>
        <v/>
      </c>
      <c r="Q1165" s="11">
        <f>IF(M1165="","",IF($G$15=1,50,(_xlfn.RANK.AVG(M1165,$M$19:$M$1518,1)-1)/($G$15-1)*100))</f>
        <v/>
      </c>
      <c r="R1165" s="11">
        <f>IF(N1165="","",IF($G$16=1,50,(_xlfn.RANK.AVG(N1165,$N$19:$N$1518,1)-1)/($G$16-1)*100))</f>
        <v/>
      </c>
      <c r="S1165" s="11">
        <f>IF(COUNT(O1165:R1165)=4,ROUND(AVERAGE(O1165:R1165),6),"")</f>
        <v/>
      </c>
      <c r="U1165">
        <f>IF(AND(ISNUMBER('자료_한국심리'!$A1149),ISNUMBER('자료_한국심리'!$B1149)),'자료_한국심리'!$A1149,"")</f>
        <v/>
      </c>
      <c r="V1165">
        <f>IF(AND(ISNUMBER('자료_한국심리'!$D1149),ISNUMBER('자료_한국심리'!$E1149)),'자료_한국심리'!$D1149,"")</f>
        <v/>
      </c>
      <c r="W1165">
        <f>IF(AND(ISNUMBER('자료_한국심리'!$G1149),ISNUMBER('자료_한국심리'!$H1149)),'자료_한국심리'!$G1149,"")</f>
        <v/>
      </c>
      <c r="X1165">
        <f>IF(AND(ISNUMBER('자료_한국심리'!$J1149),ISNUMBER('자료_한국심리'!$K1149)),'자료_한국심리'!$J1149,"")</f>
        <v/>
      </c>
      <c r="Y1165">
        <f>IF(AND(ISNUMBER('자료_한국심리'!$M1149),ISNUMBER('자료_한국심리'!$N1149)),'자료_한국심리'!$M1149,"")</f>
        <v/>
      </c>
    </row>
    <row r="1166">
      <c r="A1166" s="10">
        <f>IF(1148&gt;$E$5,"",SMALL($U$19:$U$4018,$E$6+1148))</f>
        <v/>
      </c>
      <c r="B1166" s="29">
        <f>IF(A1166="","",INDEX('자료_한국심리'!$B$3:$B$4002,MATCH(A1166,$U$19:$U$4018,0)))</f>
        <v/>
      </c>
      <c r="C1166" s="22">
        <f>IF(A1166="","",B1166/AVERAGE(B1042:B1166)-1)</f>
        <v/>
      </c>
      <c r="D1166" s="29">
        <f>IF(A1166="","",IFERROR(INDEX('자료_한국심리'!$E$3:$E$4002,MATCH(A1166,$V$19:$V$4018,0)),D1165))</f>
        <v/>
      </c>
      <c r="E1166" s="30">
        <f>IF(A1166="","",IFERROR(INDEX('자료_한국심리'!$H$3:$H$4002,MATCH(A1166,$W$19:$W$4018,0)),E1165))</f>
        <v/>
      </c>
      <c r="F1166" s="30">
        <f>IF(A1166="","",IFERROR(INDEX('자료_한국심리'!$K$3:$K$4002,MATCH(A1166,$X$19:$X$4018,0)),F1165))</f>
        <v/>
      </c>
      <c r="G1166" s="30">
        <f>IF(AND(ISNUMBER(E1166),ISNUMBER(F1166)),ROUND(E1166-F1166,6),"")</f>
        <v/>
      </c>
      <c r="H1166" s="25">
        <f>IF(A1166="","",IFERROR(INDEX('자료_한국심리'!$N$3:$N$4002,MATCH(A1166,$Y$19:$Y$4018,0)),H1165))</f>
        <v/>
      </c>
      <c r="I1166" s="31">
        <f>IF(AND(ISNUMBER(H1166),ISNUMBER(H1146)),IF(H1146&gt;0,H1166/H1146-1,""),"")</f>
        <v/>
      </c>
      <c r="J1166">
        <f>IF(A1166="",0,IF(A1166&gt;$B$5,1,0))</f>
        <v/>
      </c>
      <c r="K1166" s="29">
        <f>IF(AND(J1166=1,ISNUMBER(D1166)),D1166,"")</f>
        <v/>
      </c>
      <c r="L1166" s="30">
        <f>IF(AND(J1166=1,ISNUMBER(G1166)),G1166,"")</f>
        <v/>
      </c>
      <c r="M1166" s="22">
        <f>IF(AND(J1166=1,ISNUMBER(C1166)),C1166,"")</f>
        <v/>
      </c>
      <c r="N1166" s="31">
        <f>IF(AND(J1166=1,ISNUMBER(I1166)),I1166,"")</f>
        <v/>
      </c>
      <c r="O1166" s="11">
        <f>IF(K1166="","",100-IF($G$13=1,50,(_xlfn.RANK.AVG(K1166,$K$19:$K$1518,1)-1)/($G$13-1)*100))</f>
        <v/>
      </c>
      <c r="P1166" s="11">
        <f>IF(L1166="","",100-IF($G$14=1,50,(_xlfn.RANK.AVG(L1166,$L$19:$L$1518,1)-1)/($G$14-1)*100))</f>
        <v/>
      </c>
      <c r="Q1166" s="11">
        <f>IF(M1166="","",IF($G$15=1,50,(_xlfn.RANK.AVG(M1166,$M$19:$M$1518,1)-1)/($G$15-1)*100))</f>
        <v/>
      </c>
      <c r="R1166" s="11">
        <f>IF(N1166="","",IF($G$16=1,50,(_xlfn.RANK.AVG(N1166,$N$19:$N$1518,1)-1)/($G$16-1)*100))</f>
        <v/>
      </c>
      <c r="S1166" s="11">
        <f>IF(COUNT(O1166:R1166)=4,ROUND(AVERAGE(O1166:R1166),6),"")</f>
        <v/>
      </c>
      <c r="U1166">
        <f>IF(AND(ISNUMBER('자료_한국심리'!$A1150),ISNUMBER('자료_한국심리'!$B1150)),'자료_한국심리'!$A1150,"")</f>
        <v/>
      </c>
      <c r="V1166">
        <f>IF(AND(ISNUMBER('자료_한국심리'!$D1150),ISNUMBER('자료_한국심리'!$E1150)),'자료_한국심리'!$D1150,"")</f>
        <v/>
      </c>
      <c r="W1166">
        <f>IF(AND(ISNUMBER('자료_한국심리'!$G1150),ISNUMBER('자료_한국심리'!$H1150)),'자료_한국심리'!$G1150,"")</f>
        <v/>
      </c>
      <c r="X1166">
        <f>IF(AND(ISNUMBER('자료_한국심리'!$J1150),ISNUMBER('자료_한국심리'!$K1150)),'자료_한국심리'!$J1150,"")</f>
        <v/>
      </c>
      <c r="Y1166">
        <f>IF(AND(ISNUMBER('자료_한국심리'!$M1150),ISNUMBER('자료_한국심리'!$N1150)),'자료_한국심리'!$M1150,"")</f>
        <v/>
      </c>
    </row>
    <row r="1167">
      <c r="A1167" s="10">
        <f>IF(1149&gt;$E$5,"",SMALL($U$19:$U$4018,$E$6+1149))</f>
        <v/>
      </c>
      <c r="B1167" s="29">
        <f>IF(A1167="","",INDEX('자료_한국심리'!$B$3:$B$4002,MATCH(A1167,$U$19:$U$4018,0)))</f>
        <v/>
      </c>
      <c r="C1167" s="22">
        <f>IF(A1167="","",B1167/AVERAGE(B1043:B1167)-1)</f>
        <v/>
      </c>
      <c r="D1167" s="29">
        <f>IF(A1167="","",IFERROR(INDEX('자료_한국심리'!$E$3:$E$4002,MATCH(A1167,$V$19:$V$4018,0)),D1166))</f>
        <v/>
      </c>
      <c r="E1167" s="30">
        <f>IF(A1167="","",IFERROR(INDEX('자료_한국심리'!$H$3:$H$4002,MATCH(A1167,$W$19:$W$4018,0)),E1166))</f>
        <v/>
      </c>
      <c r="F1167" s="30">
        <f>IF(A1167="","",IFERROR(INDEX('자료_한국심리'!$K$3:$K$4002,MATCH(A1167,$X$19:$X$4018,0)),F1166))</f>
        <v/>
      </c>
      <c r="G1167" s="30">
        <f>IF(AND(ISNUMBER(E1167),ISNUMBER(F1167)),ROUND(E1167-F1167,6),"")</f>
        <v/>
      </c>
      <c r="H1167" s="25">
        <f>IF(A1167="","",IFERROR(INDEX('자료_한국심리'!$N$3:$N$4002,MATCH(A1167,$Y$19:$Y$4018,0)),H1166))</f>
        <v/>
      </c>
      <c r="I1167" s="31">
        <f>IF(AND(ISNUMBER(H1167),ISNUMBER(H1147)),IF(H1147&gt;0,H1167/H1147-1,""),"")</f>
        <v/>
      </c>
      <c r="J1167">
        <f>IF(A1167="",0,IF(A1167&gt;$B$5,1,0))</f>
        <v/>
      </c>
      <c r="K1167" s="29">
        <f>IF(AND(J1167=1,ISNUMBER(D1167)),D1167,"")</f>
        <v/>
      </c>
      <c r="L1167" s="30">
        <f>IF(AND(J1167=1,ISNUMBER(G1167)),G1167,"")</f>
        <v/>
      </c>
      <c r="M1167" s="22">
        <f>IF(AND(J1167=1,ISNUMBER(C1167)),C1167,"")</f>
        <v/>
      </c>
      <c r="N1167" s="31">
        <f>IF(AND(J1167=1,ISNUMBER(I1167)),I1167,"")</f>
        <v/>
      </c>
      <c r="O1167" s="11">
        <f>IF(K1167="","",100-IF($G$13=1,50,(_xlfn.RANK.AVG(K1167,$K$19:$K$1518,1)-1)/($G$13-1)*100))</f>
        <v/>
      </c>
      <c r="P1167" s="11">
        <f>IF(L1167="","",100-IF($G$14=1,50,(_xlfn.RANK.AVG(L1167,$L$19:$L$1518,1)-1)/($G$14-1)*100))</f>
        <v/>
      </c>
      <c r="Q1167" s="11">
        <f>IF(M1167="","",IF($G$15=1,50,(_xlfn.RANK.AVG(M1167,$M$19:$M$1518,1)-1)/($G$15-1)*100))</f>
        <v/>
      </c>
      <c r="R1167" s="11">
        <f>IF(N1167="","",IF($G$16=1,50,(_xlfn.RANK.AVG(N1167,$N$19:$N$1518,1)-1)/($G$16-1)*100))</f>
        <v/>
      </c>
      <c r="S1167" s="11">
        <f>IF(COUNT(O1167:R1167)=4,ROUND(AVERAGE(O1167:R1167),6),"")</f>
        <v/>
      </c>
      <c r="U1167">
        <f>IF(AND(ISNUMBER('자료_한국심리'!$A1151),ISNUMBER('자료_한국심리'!$B1151)),'자료_한국심리'!$A1151,"")</f>
        <v/>
      </c>
      <c r="V1167">
        <f>IF(AND(ISNUMBER('자료_한국심리'!$D1151),ISNUMBER('자료_한국심리'!$E1151)),'자료_한국심리'!$D1151,"")</f>
        <v/>
      </c>
      <c r="W1167">
        <f>IF(AND(ISNUMBER('자료_한국심리'!$G1151),ISNUMBER('자료_한국심리'!$H1151)),'자료_한국심리'!$G1151,"")</f>
        <v/>
      </c>
      <c r="X1167">
        <f>IF(AND(ISNUMBER('자료_한국심리'!$J1151),ISNUMBER('자료_한국심리'!$K1151)),'자료_한국심리'!$J1151,"")</f>
        <v/>
      </c>
      <c r="Y1167">
        <f>IF(AND(ISNUMBER('자료_한국심리'!$M1151),ISNUMBER('자료_한국심리'!$N1151)),'자료_한국심리'!$M1151,"")</f>
        <v/>
      </c>
    </row>
    <row r="1168">
      <c r="A1168" s="10">
        <f>IF(1150&gt;$E$5,"",SMALL($U$19:$U$4018,$E$6+1150))</f>
        <v/>
      </c>
      <c r="B1168" s="29">
        <f>IF(A1168="","",INDEX('자료_한국심리'!$B$3:$B$4002,MATCH(A1168,$U$19:$U$4018,0)))</f>
        <v/>
      </c>
      <c r="C1168" s="22">
        <f>IF(A1168="","",B1168/AVERAGE(B1044:B1168)-1)</f>
        <v/>
      </c>
      <c r="D1168" s="29">
        <f>IF(A1168="","",IFERROR(INDEX('자료_한국심리'!$E$3:$E$4002,MATCH(A1168,$V$19:$V$4018,0)),D1167))</f>
        <v/>
      </c>
      <c r="E1168" s="30">
        <f>IF(A1168="","",IFERROR(INDEX('자료_한국심리'!$H$3:$H$4002,MATCH(A1168,$W$19:$W$4018,0)),E1167))</f>
        <v/>
      </c>
      <c r="F1168" s="30">
        <f>IF(A1168="","",IFERROR(INDEX('자료_한국심리'!$K$3:$K$4002,MATCH(A1168,$X$19:$X$4018,0)),F1167))</f>
        <v/>
      </c>
      <c r="G1168" s="30">
        <f>IF(AND(ISNUMBER(E1168),ISNUMBER(F1168)),ROUND(E1168-F1168,6),"")</f>
        <v/>
      </c>
      <c r="H1168" s="25">
        <f>IF(A1168="","",IFERROR(INDEX('자료_한국심리'!$N$3:$N$4002,MATCH(A1168,$Y$19:$Y$4018,0)),H1167))</f>
        <v/>
      </c>
      <c r="I1168" s="31">
        <f>IF(AND(ISNUMBER(H1168),ISNUMBER(H1148)),IF(H1148&gt;0,H1168/H1148-1,""),"")</f>
        <v/>
      </c>
      <c r="J1168">
        <f>IF(A1168="",0,IF(A1168&gt;$B$5,1,0))</f>
        <v/>
      </c>
      <c r="K1168" s="29">
        <f>IF(AND(J1168=1,ISNUMBER(D1168)),D1168,"")</f>
        <v/>
      </c>
      <c r="L1168" s="30">
        <f>IF(AND(J1168=1,ISNUMBER(G1168)),G1168,"")</f>
        <v/>
      </c>
      <c r="M1168" s="22">
        <f>IF(AND(J1168=1,ISNUMBER(C1168)),C1168,"")</f>
        <v/>
      </c>
      <c r="N1168" s="31">
        <f>IF(AND(J1168=1,ISNUMBER(I1168)),I1168,"")</f>
        <v/>
      </c>
      <c r="O1168" s="11">
        <f>IF(K1168="","",100-IF($G$13=1,50,(_xlfn.RANK.AVG(K1168,$K$19:$K$1518,1)-1)/($G$13-1)*100))</f>
        <v/>
      </c>
      <c r="P1168" s="11">
        <f>IF(L1168="","",100-IF($G$14=1,50,(_xlfn.RANK.AVG(L1168,$L$19:$L$1518,1)-1)/($G$14-1)*100))</f>
        <v/>
      </c>
      <c r="Q1168" s="11">
        <f>IF(M1168="","",IF($G$15=1,50,(_xlfn.RANK.AVG(M1168,$M$19:$M$1518,1)-1)/($G$15-1)*100))</f>
        <v/>
      </c>
      <c r="R1168" s="11">
        <f>IF(N1168="","",IF($G$16=1,50,(_xlfn.RANK.AVG(N1168,$N$19:$N$1518,1)-1)/($G$16-1)*100))</f>
        <v/>
      </c>
      <c r="S1168" s="11">
        <f>IF(COUNT(O1168:R1168)=4,ROUND(AVERAGE(O1168:R1168),6),"")</f>
        <v/>
      </c>
      <c r="U1168">
        <f>IF(AND(ISNUMBER('자료_한국심리'!$A1152),ISNUMBER('자료_한국심리'!$B1152)),'자료_한국심리'!$A1152,"")</f>
        <v/>
      </c>
      <c r="V1168">
        <f>IF(AND(ISNUMBER('자료_한국심리'!$D1152),ISNUMBER('자료_한국심리'!$E1152)),'자료_한국심리'!$D1152,"")</f>
        <v/>
      </c>
      <c r="W1168">
        <f>IF(AND(ISNUMBER('자료_한국심리'!$G1152),ISNUMBER('자료_한국심리'!$H1152)),'자료_한국심리'!$G1152,"")</f>
        <v/>
      </c>
      <c r="X1168">
        <f>IF(AND(ISNUMBER('자료_한국심리'!$J1152),ISNUMBER('자료_한국심리'!$K1152)),'자료_한국심리'!$J1152,"")</f>
        <v/>
      </c>
      <c r="Y1168">
        <f>IF(AND(ISNUMBER('자료_한국심리'!$M1152),ISNUMBER('자료_한국심리'!$N1152)),'자료_한국심리'!$M1152,"")</f>
        <v/>
      </c>
    </row>
    <row r="1169">
      <c r="A1169" s="10">
        <f>IF(1151&gt;$E$5,"",SMALL($U$19:$U$4018,$E$6+1151))</f>
        <v/>
      </c>
      <c r="B1169" s="29">
        <f>IF(A1169="","",INDEX('자료_한국심리'!$B$3:$B$4002,MATCH(A1169,$U$19:$U$4018,0)))</f>
        <v/>
      </c>
      <c r="C1169" s="22">
        <f>IF(A1169="","",B1169/AVERAGE(B1045:B1169)-1)</f>
        <v/>
      </c>
      <c r="D1169" s="29">
        <f>IF(A1169="","",IFERROR(INDEX('자료_한국심리'!$E$3:$E$4002,MATCH(A1169,$V$19:$V$4018,0)),D1168))</f>
        <v/>
      </c>
      <c r="E1169" s="30">
        <f>IF(A1169="","",IFERROR(INDEX('자료_한국심리'!$H$3:$H$4002,MATCH(A1169,$W$19:$W$4018,0)),E1168))</f>
        <v/>
      </c>
      <c r="F1169" s="30">
        <f>IF(A1169="","",IFERROR(INDEX('자료_한국심리'!$K$3:$K$4002,MATCH(A1169,$X$19:$X$4018,0)),F1168))</f>
        <v/>
      </c>
      <c r="G1169" s="30">
        <f>IF(AND(ISNUMBER(E1169),ISNUMBER(F1169)),ROUND(E1169-F1169,6),"")</f>
        <v/>
      </c>
      <c r="H1169" s="25">
        <f>IF(A1169="","",IFERROR(INDEX('자료_한국심리'!$N$3:$N$4002,MATCH(A1169,$Y$19:$Y$4018,0)),H1168))</f>
        <v/>
      </c>
      <c r="I1169" s="31">
        <f>IF(AND(ISNUMBER(H1169),ISNUMBER(H1149)),IF(H1149&gt;0,H1169/H1149-1,""),"")</f>
        <v/>
      </c>
      <c r="J1169">
        <f>IF(A1169="",0,IF(A1169&gt;$B$5,1,0))</f>
        <v/>
      </c>
      <c r="K1169" s="29">
        <f>IF(AND(J1169=1,ISNUMBER(D1169)),D1169,"")</f>
        <v/>
      </c>
      <c r="L1169" s="30">
        <f>IF(AND(J1169=1,ISNUMBER(G1169)),G1169,"")</f>
        <v/>
      </c>
      <c r="M1169" s="22">
        <f>IF(AND(J1169=1,ISNUMBER(C1169)),C1169,"")</f>
        <v/>
      </c>
      <c r="N1169" s="31">
        <f>IF(AND(J1169=1,ISNUMBER(I1169)),I1169,"")</f>
        <v/>
      </c>
      <c r="O1169" s="11">
        <f>IF(K1169="","",100-IF($G$13=1,50,(_xlfn.RANK.AVG(K1169,$K$19:$K$1518,1)-1)/($G$13-1)*100))</f>
        <v/>
      </c>
      <c r="P1169" s="11">
        <f>IF(L1169="","",100-IF($G$14=1,50,(_xlfn.RANK.AVG(L1169,$L$19:$L$1518,1)-1)/($G$14-1)*100))</f>
        <v/>
      </c>
      <c r="Q1169" s="11">
        <f>IF(M1169="","",IF($G$15=1,50,(_xlfn.RANK.AVG(M1169,$M$19:$M$1518,1)-1)/($G$15-1)*100))</f>
        <v/>
      </c>
      <c r="R1169" s="11">
        <f>IF(N1169="","",IF($G$16=1,50,(_xlfn.RANK.AVG(N1169,$N$19:$N$1518,1)-1)/($G$16-1)*100))</f>
        <v/>
      </c>
      <c r="S1169" s="11">
        <f>IF(COUNT(O1169:R1169)=4,ROUND(AVERAGE(O1169:R1169),6),"")</f>
        <v/>
      </c>
      <c r="U1169">
        <f>IF(AND(ISNUMBER('자료_한국심리'!$A1153),ISNUMBER('자료_한국심리'!$B1153)),'자료_한국심리'!$A1153,"")</f>
        <v/>
      </c>
      <c r="V1169">
        <f>IF(AND(ISNUMBER('자료_한국심리'!$D1153),ISNUMBER('자료_한국심리'!$E1153)),'자료_한국심리'!$D1153,"")</f>
        <v/>
      </c>
      <c r="W1169">
        <f>IF(AND(ISNUMBER('자료_한국심리'!$G1153),ISNUMBER('자료_한국심리'!$H1153)),'자료_한국심리'!$G1153,"")</f>
        <v/>
      </c>
      <c r="X1169">
        <f>IF(AND(ISNUMBER('자료_한국심리'!$J1153),ISNUMBER('자료_한국심리'!$K1153)),'자료_한국심리'!$J1153,"")</f>
        <v/>
      </c>
      <c r="Y1169">
        <f>IF(AND(ISNUMBER('자료_한국심리'!$M1153),ISNUMBER('자료_한국심리'!$N1153)),'자료_한국심리'!$M1153,"")</f>
        <v/>
      </c>
    </row>
    <row r="1170">
      <c r="A1170" s="10">
        <f>IF(1152&gt;$E$5,"",SMALL($U$19:$U$4018,$E$6+1152))</f>
        <v/>
      </c>
      <c r="B1170" s="29">
        <f>IF(A1170="","",INDEX('자료_한국심리'!$B$3:$B$4002,MATCH(A1170,$U$19:$U$4018,0)))</f>
        <v/>
      </c>
      <c r="C1170" s="22">
        <f>IF(A1170="","",B1170/AVERAGE(B1046:B1170)-1)</f>
        <v/>
      </c>
      <c r="D1170" s="29">
        <f>IF(A1170="","",IFERROR(INDEX('자료_한국심리'!$E$3:$E$4002,MATCH(A1170,$V$19:$V$4018,0)),D1169))</f>
        <v/>
      </c>
      <c r="E1170" s="30">
        <f>IF(A1170="","",IFERROR(INDEX('자료_한국심리'!$H$3:$H$4002,MATCH(A1170,$W$19:$W$4018,0)),E1169))</f>
        <v/>
      </c>
      <c r="F1170" s="30">
        <f>IF(A1170="","",IFERROR(INDEX('자료_한국심리'!$K$3:$K$4002,MATCH(A1170,$X$19:$X$4018,0)),F1169))</f>
        <v/>
      </c>
      <c r="G1170" s="30">
        <f>IF(AND(ISNUMBER(E1170),ISNUMBER(F1170)),ROUND(E1170-F1170,6),"")</f>
        <v/>
      </c>
      <c r="H1170" s="25">
        <f>IF(A1170="","",IFERROR(INDEX('자료_한국심리'!$N$3:$N$4002,MATCH(A1170,$Y$19:$Y$4018,0)),H1169))</f>
        <v/>
      </c>
      <c r="I1170" s="31">
        <f>IF(AND(ISNUMBER(H1170),ISNUMBER(H1150)),IF(H1150&gt;0,H1170/H1150-1,""),"")</f>
        <v/>
      </c>
      <c r="J1170">
        <f>IF(A1170="",0,IF(A1170&gt;$B$5,1,0))</f>
        <v/>
      </c>
      <c r="K1170" s="29">
        <f>IF(AND(J1170=1,ISNUMBER(D1170)),D1170,"")</f>
        <v/>
      </c>
      <c r="L1170" s="30">
        <f>IF(AND(J1170=1,ISNUMBER(G1170)),G1170,"")</f>
        <v/>
      </c>
      <c r="M1170" s="22">
        <f>IF(AND(J1170=1,ISNUMBER(C1170)),C1170,"")</f>
        <v/>
      </c>
      <c r="N1170" s="31">
        <f>IF(AND(J1170=1,ISNUMBER(I1170)),I1170,"")</f>
        <v/>
      </c>
      <c r="O1170" s="11">
        <f>IF(K1170="","",100-IF($G$13=1,50,(_xlfn.RANK.AVG(K1170,$K$19:$K$1518,1)-1)/($G$13-1)*100))</f>
        <v/>
      </c>
      <c r="P1170" s="11">
        <f>IF(L1170="","",100-IF($G$14=1,50,(_xlfn.RANK.AVG(L1170,$L$19:$L$1518,1)-1)/($G$14-1)*100))</f>
        <v/>
      </c>
      <c r="Q1170" s="11">
        <f>IF(M1170="","",IF($G$15=1,50,(_xlfn.RANK.AVG(M1170,$M$19:$M$1518,1)-1)/($G$15-1)*100))</f>
        <v/>
      </c>
      <c r="R1170" s="11">
        <f>IF(N1170="","",IF($G$16=1,50,(_xlfn.RANK.AVG(N1170,$N$19:$N$1518,1)-1)/($G$16-1)*100))</f>
        <v/>
      </c>
      <c r="S1170" s="11">
        <f>IF(COUNT(O1170:R1170)=4,ROUND(AVERAGE(O1170:R1170),6),"")</f>
        <v/>
      </c>
      <c r="U1170">
        <f>IF(AND(ISNUMBER('자료_한국심리'!$A1154),ISNUMBER('자료_한국심리'!$B1154)),'자료_한국심리'!$A1154,"")</f>
        <v/>
      </c>
      <c r="V1170">
        <f>IF(AND(ISNUMBER('자료_한국심리'!$D1154),ISNUMBER('자료_한국심리'!$E1154)),'자료_한국심리'!$D1154,"")</f>
        <v/>
      </c>
      <c r="W1170">
        <f>IF(AND(ISNUMBER('자료_한국심리'!$G1154),ISNUMBER('자료_한국심리'!$H1154)),'자료_한국심리'!$G1154,"")</f>
        <v/>
      </c>
      <c r="X1170">
        <f>IF(AND(ISNUMBER('자료_한국심리'!$J1154),ISNUMBER('자료_한국심리'!$K1154)),'자료_한국심리'!$J1154,"")</f>
        <v/>
      </c>
      <c r="Y1170">
        <f>IF(AND(ISNUMBER('자료_한국심리'!$M1154),ISNUMBER('자료_한국심리'!$N1154)),'자료_한국심리'!$M1154,"")</f>
        <v/>
      </c>
    </row>
    <row r="1171">
      <c r="A1171" s="10">
        <f>IF(1153&gt;$E$5,"",SMALL($U$19:$U$4018,$E$6+1153))</f>
        <v/>
      </c>
      <c r="B1171" s="29">
        <f>IF(A1171="","",INDEX('자료_한국심리'!$B$3:$B$4002,MATCH(A1171,$U$19:$U$4018,0)))</f>
        <v/>
      </c>
      <c r="C1171" s="22">
        <f>IF(A1171="","",B1171/AVERAGE(B1047:B1171)-1)</f>
        <v/>
      </c>
      <c r="D1171" s="29">
        <f>IF(A1171="","",IFERROR(INDEX('자료_한국심리'!$E$3:$E$4002,MATCH(A1171,$V$19:$V$4018,0)),D1170))</f>
        <v/>
      </c>
      <c r="E1171" s="30">
        <f>IF(A1171="","",IFERROR(INDEX('자료_한국심리'!$H$3:$H$4002,MATCH(A1171,$W$19:$W$4018,0)),E1170))</f>
        <v/>
      </c>
      <c r="F1171" s="30">
        <f>IF(A1171="","",IFERROR(INDEX('자료_한국심리'!$K$3:$K$4002,MATCH(A1171,$X$19:$X$4018,0)),F1170))</f>
        <v/>
      </c>
      <c r="G1171" s="30">
        <f>IF(AND(ISNUMBER(E1171),ISNUMBER(F1171)),ROUND(E1171-F1171,6),"")</f>
        <v/>
      </c>
      <c r="H1171" s="25">
        <f>IF(A1171="","",IFERROR(INDEX('자료_한국심리'!$N$3:$N$4002,MATCH(A1171,$Y$19:$Y$4018,0)),H1170))</f>
        <v/>
      </c>
      <c r="I1171" s="31">
        <f>IF(AND(ISNUMBER(H1171),ISNUMBER(H1151)),IF(H1151&gt;0,H1171/H1151-1,""),"")</f>
        <v/>
      </c>
      <c r="J1171">
        <f>IF(A1171="",0,IF(A1171&gt;$B$5,1,0))</f>
        <v/>
      </c>
      <c r="K1171" s="29">
        <f>IF(AND(J1171=1,ISNUMBER(D1171)),D1171,"")</f>
        <v/>
      </c>
      <c r="L1171" s="30">
        <f>IF(AND(J1171=1,ISNUMBER(G1171)),G1171,"")</f>
        <v/>
      </c>
      <c r="M1171" s="22">
        <f>IF(AND(J1171=1,ISNUMBER(C1171)),C1171,"")</f>
        <v/>
      </c>
      <c r="N1171" s="31">
        <f>IF(AND(J1171=1,ISNUMBER(I1171)),I1171,"")</f>
        <v/>
      </c>
      <c r="O1171" s="11">
        <f>IF(K1171="","",100-IF($G$13=1,50,(_xlfn.RANK.AVG(K1171,$K$19:$K$1518,1)-1)/($G$13-1)*100))</f>
        <v/>
      </c>
      <c r="P1171" s="11">
        <f>IF(L1171="","",100-IF($G$14=1,50,(_xlfn.RANK.AVG(L1171,$L$19:$L$1518,1)-1)/($G$14-1)*100))</f>
        <v/>
      </c>
      <c r="Q1171" s="11">
        <f>IF(M1171="","",IF($G$15=1,50,(_xlfn.RANK.AVG(M1171,$M$19:$M$1518,1)-1)/($G$15-1)*100))</f>
        <v/>
      </c>
      <c r="R1171" s="11">
        <f>IF(N1171="","",IF($G$16=1,50,(_xlfn.RANK.AVG(N1171,$N$19:$N$1518,1)-1)/($G$16-1)*100))</f>
        <v/>
      </c>
      <c r="S1171" s="11">
        <f>IF(COUNT(O1171:R1171)=4,ROUND(AVERAGE(O1171:R1171),6),"")</f>
        <v/>
      </c>
      <c r="U1171">
        <f>IF(AND(ISNUMBER('자료_한국심리'!$A1155),ISNUMBER('자료_한국심리'!$B1155)),'자료_한국심리'!$A1155,"")</f>
        <v/>
      </c>
      <c r="V1171">
        <f>IF(AND(ISNUMBER('자료_한국심리'!$D1155),ISNUMBER('자료_한국심리'!$E1155)),'자료_한국심리'!$D1155,"")</f>
        <v/>
      </c>
      <c r="W1171">
        <f>IF(AND(ISNUMBER('자료_한국심리'!$G1155),ISNUMBER('자료_한국심리'!$H1155)),'자료_한국심리'!$G1155,"")</f>
        <v/>
      </c>
      <c r="X1171">
        <f>IF(AND(ISNUMBER('자료_한국심리'!$J1155),ISNUMBER('자료_한국심리'!$K1155)),'자료_한국심리'!$J1155,"")</f>
        <v/>
      </c>
      <c r="Y1171">
        <f>IF(AND(ISNUMBER('자료_한국심리'!$M1155),ISNUMBER('자료_한국심리'!$N1155)),'자료_한국심리'!$M1155,"")</f>
        <v/>
      </c>
    </row>
    <row r="1172">
      <c r="A1172" s="10">
        <f>IF(1154&gt;$E$5,"",SMALL($U$19:$U$4018,$E$6+1154))</f>
        <v/>
      </c>
      <c r="B1172" s="29">
        <f>IF(A1172="","",INDEX('자료_한국심리'!$B$3:$B$4002,MATCH(A1172,$U$19:$U$4018,0)))</f>
        <v/>
      </c>
      <c r="C1172" s="22">
        <f>IF(A1172="","",B1172/AVERAGE(B1048:B1172)-1)</f>
        <v/>
      </c>
      <c r="D1172" s="29">
        <f>IF(A1172="","",IFERROR(INDEX('자료_한국심리'!$E$3:$E$4002,MATCH(A1172,$V$19:$V$4018,0)),D1171))</f>
        <v/>
      </c>
      <c r="E1172" s="30">
        <f>IF(A1172="","",IFERROR(INDEX('자료_한국심리'!$H$3:$H$4002,MATCH(A1172,$W$19:$W$4018,0)),E1171))</f>
        <v/>
      </c>
      <c r="F1172" s="30">
        <f>IF(A1172="","",IFERROR(INDEX('자료_한국심리'!$K$3:$K$4002,MATCH(A1172,$X$19:$X$4018,0)),F1171))</f>
        <v/>
      </c>
      <c r="G1172" s="30">
        <f>IF(AND(ISNUMBER(E1172),ISNUMBER(F1172)),ROUND(E1172-F1172,6),"")</f>
        <v/>
      </c>
      <c r="H1172" s="25">
        <f>IF(A1172="","",IFERROR(INDEX('자료_한국심리'!$N$3:$N$4002,MATCH(A1172,$Y$19:$Y$4018,0)),H1171))</f>
        <v/>
      </c>
      <c r="I1172" s="31">
        <f>IF(AND(ISNUMBER(H1172),ISNUMBER(H1152)),IF(H1152&gt;0,H1172/H1152-1,""),"")</f>
        <v/>
      </c>
      <c r="J1172">
        <f>IF(A1172="",0,IF(A1172&gt;$B$5,1,0))</f>
        <v/>
      </c>
      <c r="K1172" s="29">
        <f>IF(AND(J1172=1,ISNUMBER(D1172)),D1172,"")</f>
        <v/>
      </c>
      <c r="L1172" s="30">
        <f>IF(AND(J1172=1,ISNUMBER(G1172)),G1172,"")</f>
        <v/>
      </c>
      <c r="M1172" s="22">
        <f>IF(AND(J1172=1,ISNUMBER(C1172)),C1172,"")</f>
        <v/>
      </c>
      <c r="N1172" s="31">
        <f>IF(AND(J1172=1,ISNUMBER(I1172)),I1172,"")</f>
        <v/>
      </c>
      <c r="O1172" s="11">
        <f>IF(K1172="","",100-IF($G$13=1,50,(_xlfn.RANK.AVG(K1172,$K$19:$K$1518,1)-1)/($G$13-1)*100))</f>
        <v/>
      </c>
      <c r="P1172" s="11">
        <f>IF(L1172="","",100-IF($G$14=1,50,(_xlfn.RANK.AVG(L1172,$L$19:$L$1518,1)-1)/($G$14-1)*100))</f>
        <v/>
      </c>
      <c r="Q1172" s="11">
        <f>IF(M1172="","",IF($G$15=1,50,(_xlfn.RANK.AVG(M1172,$M$19:$M$1518,1)-1)/($G$15-1)*100))</f>
        <v/>
      </c>
      <c r="R1172" s="11">
        <f>IF(N1172="","",IF($G$16=1,50,(_xlfn.RANK.AVG(N1172,$N$19:$N$1518,1)-1)/($G$16-1)*100))</f>
        <v/>
      </c>
      <c r="S1172" s="11">
        <f>IF(COUNT(O1172:R1172)=4,ROUND(AVERAGE(O1172:R1172),6),"")</f>
        <v/>
      </c>
      <c r="U1172">
        <f>IF(AND(ISNUMBER('자료_한국심리'!$A1156),ISNUMBER('자료_한국심리'!$B1156)),'자료_한국심리'!$A1156,"")</f>
        <v/>
      </c>
      <c r="V1172">
        <f>IF(AND(ISNUMBER('자료_한국심리'!$D1156),ISNUMBER('자료_한국심리'!$E1156)),'자료_한국심리'!$D1156,"")</f>
        <v/>
      </c>
      <c r="W1172">
        <f>IF(AND(ISNUMBER('자료_한국심리'!$G1156),ISNUMBER('자료_한국심리'!$H1156)),'자료_한국심리'!$G1156,"")</f>
        <v/>
      </c>
      <c r="X1172">
        <f>IF(AND(ISNUMBER('자료_한국심리'!$J1156),ISNUMBER('자료_한국심리'!$K1156)),'자료_한국심리'!$J1156,"")</f>
        <v/>
      </c>
      <c r="Y1172">
        <f>IF(AND(ISNUMBER('자료_한국심리'!$M1156),ISNUMBER('자료_한국심리'!$N1156)),'자료_한국심리'!$M1156,"")</f>
        <v/>
      </c>
    </row>
    <row r="1173">
      <c r="A1173" s="10">
        <f>IF(1155&gt;$E$5,"",SMALL($U$19:$U$4018,$E$6+1155))</f>
        <v/>
      </c>
      <c r="B1173" s="29">
        <f>IF(A1173="","",INDEX('자료_한국심리'!$B$3:$B$4002,MATCH(A1173,$U$19:$U$4018,0)))</f>
        <v/>
      </c>
      <c r="C1173" s="22">
        <f>IF(A1173="","",B1173/AVERAGE(B1049:B1173)-1)</f>
        <v/>
      </c>
      <c r="D1173" s="29">
        <f>IF(A1173="","",IFERROR(INDEX('자료_한국심리'!$E$3:$E$4002,MATCH(A1173,$V$19:$V$4018,0)),D1172))</f>
        <v/>
      </c>
      <c r="E1173" s="30">
        <f>IF(A1173="","",IFERROR(INDEX('자료_한국심리'!$H$3:$H$4002,MATCH(A1173,$W$19:$W$4018,0)),E1172))</f>
        <v/>
      </c>
      <c r="F1173" s="30">
        <f>IF(A1173="","",IFERROR(INDEX('자료_한국심리'!$K$3:$K$4002,MATCH(A1173,$X$19:$X$4018,0)),F1172))</f>
        <v/>
      </c>
      <c r="G1173" s="30">
        <f>IF(AND(ISNUMBER(E1173),ISNUMBER(F1173)),ROUND(E1173-F1173,6),"")</f>
        <v/>
      </c>
      <c r="H1173" s="25">
        <f>IF(A1173="","",IFERROR(INDEX('자료_한국심리'!$N$3:$N$4002,MATCH(A1173,$Y$19:$Y$4018,0)),H1172))</f>
        <v/>
      </c>
      <c r="I1173" s="31">
        <f>IF(AND(ISNUMBER(H1173),ISNUMBER(H1153)),IF(H1153&gt;0,H1173/H1153-1,""),"")</f>
        <v/>
      </c>
      <c r="J1173">
        <f>IF(A1173="",0,IF(A1173&gt;$B$5,1,0))</f>
        <v/>
      </c>
      <c r="K1173" s="29">
        <f>IF(AND(J1173=1,ISNUMBER(D1173)),D1173,"")</f>
        <v/>
      </c>
      <c r="L1173" s="30">
        <f>IF(AND(J1173=1,ISNUMBER(G1173)),G1173,"")</f>
        <v/>
      </c>
      <c r="M1173" s="22">
        <f>IF(AND(J1173=1,ISNUMBER(C1173)),C1173,"")</f>
        <v/>
      </c>
      <c r="N1173" s="31">
        <f>IF(AND(J1173=1,ISNUMBER(I1173)),I1173,"")</f>
        <v/>
      </c>
      <c r="O1173" s="11">
        <f>IF(K1173="","",100-IF($G$13=1,50,(_xlfn.RANK.AVG(K1173,$K$19:$K$1518,1)-1)/($G$13-1)*100))</f>
        <v/>
      </c>
      <c r="P1173" s="11">
        <f>IF(L1173="","",100-IF($G$14=1,50,(_xlfn.RANK.AVG(L1173,$L$19:$L$1518,1)-1)/($G$14-1)*100))</f>
        <v/>
      </c>
      <c r="Q1173" s="11">
        <f>IF(M1173="","",IF($G$15=1,50,(_xlfn.RANK.AVG(M1173,$M$19:$M$1518,1)-1)/($G$15-1)*100))</f>
        <v/>
      </c>
      <c r="R1173" s="11">
        <f>IF(N1173="","",IF($G$16=1,50,(_xlfn.RANK.AVG(N1173,$N$19:$N$1518,1)-1)/($G$16-1)*100))</f>
        <v/>
      </c>
      <c r="S1173" s="11">
        <f>IF(COUNT(O1173:R1173)=4,ROUND(AVERAGE(O1173:R1173),6),"")</f>
        <v/>
      </c>
      <c r="U1173">
        <f>IF(AND(ISNUMBER('자료_한국심리'!$A1157),ISNUMBER('자료_한국심리'!$B1157)),'자료_한국심리'!$A1157,"")</f>
        <v/>
      </c>
      <c r="V1173">
        <f>IF(AND(ISNUMBER('자료_한국심리'!$D1157),ISNUMBER('자료_한국심리'!$E1157)),'자료_한국심리'!$D1157,"")</f>
        <v/>
      </c>
      <c r="W1173">
        <f>IF(AND(ISNUMBER('자료_한국심리'!$G1157),ISNUMBER('자료_한국심리'!$H1157)),'자료_한국심리'!$G1157,"")</f>
        <v/>
      </c>
      <c r="X1173">
        <f>IF(AND(ISNUMBER('자료_한국심리'!$J1157),ISNUMBER('자료_한국심리'!$K1157)),'자료_한국심리'!$J1157,"")</f>
        <v/>
      </c>
      <c r="Y1173">
        <f>IF(AND(ISNUMBER('자료_한국심리'!$M1157),ISNUMBER('자료_한국심리'!$N1157)),'자료_한국심리'!$M1157,"")</f>
        <v/>
      </c>
    </row>
    <row r="1174">
      <c r="A1174" s="10">
        <f>IF(1156&gt;$E$5,"",SMALL($U$19:$U$4018,$E$6+1156))</f>
        <v/>
      </c>
      <c r="B1174" s="29">
        <f>IF(A1174="","",INDEX('자료_한국심리'!$B$3:$B$4002,MATCH(A1174,$U$19:$U$4018,0)))</f>
        <v/>
      </c>
      <c r="C1174" s="22">
        <f>IF(A1174="","",B1174/AVERAGE(B1050:B1174)-1)</f>
        <v/>
      </c>
      <c r="D1174" s="29">
        <f>IF(A1174="","",IFERROR(INDEX('자료_한국심리'!$E$3:$E$4002,MATCH(A1174,$V$19:$V$4018,0)),D1173))</f>
        <v/>
      </c>
      <c r="E1174" s="30">
        <f>IF(A1174="","",IFERROR(INDEX('자료_한국심리'!$H$3:$H$4002,MATCH(A1174,$W$19:$W$4018,0)),E1173))</f>
        <v/>
      </c>
      <c r="F1174" s="30">
        <f>IF(A1174="","",IFERROR(INDEX('자료_한국심리'!$K$3:$K$4002,MATCH(A1174,$X$19:$X$4018,0)),F1173))</f>
        <v/>
      </c>
      <c r="G1174" s="30">
        <f>IF(AND(ISNUMBER(E1174),ISNUMBER(F1174)),ROUND(E1174-F1174,6),"")</f>
        <v/>
      </c>
      <c r="H1174" s="25">
        <f>IF(A1174="","",IFERROR(INDEX('자료_한국심리'!$N$3:$N$4002,MATCH(A1174,$Y$19:$Y$4018,0)),H1173))</f>
        <v/>
      </c>
      <c r="I1174" s="31">
        <f>IF(AND(ISNUMBER(H1174),ISNUMBER(H1154)),IF(H1154&gt;0,H1174/H1154-1,""),"")</f>
        <v/>
      </c>
      <c r="J1174">
        <f>IF(A1174="",0,IF(A1174&gt;$B$5,1,0))</f>
        <v/>
      </c>
      <c r="K1174" s="29">
        <f>IF(AND(J1174=1,ISNUMBER(D1174)),D1174,"")</f>
        <v/>
      </c>
      <c r="L1174" s="30">
        <f>IF(AND(J1174=1,ISNUMBER(G1174)),G1174,"")</f>
        <v/>
      </c>
      <c r="M1174" s="22">
        <f>IF(AND(J1174=1,ISNUMBER(C1174)),C1174,"")</f>
        <v/>
      </c>
      <c r="N1174" s="31">
        <f>IF(AND(J1174=1,ISNUMBER(I1174)),I1174,"")</f>
        <v/>
      </c>
      <c r="O1174" s="11">
        <f>IF(K1174="","",100-IF($G$13=1,50,(_xlfn.RANK.AVG(K1174,$K$19:$K$1518,1)-1)/($G$13-1)*100))</f>
        <v/>
      </c>
      <c r="P1174" s="11">
        <f>IF(L1174="","",100-IF($G$14=1,50,(_xlfn.RANK.AVG(L1174,$L$19:$L$1518,1)-1)/($G$14-1)*100))</f>
        <v/>
      </c>
      <c r="Q1174" s="11">
        <f>IF(M1174="","",IF($G$15=1,50,(_xlfn.RANK.AVG(M1174,$M$19:$M$1518,1)-1)/($G$15-1)*100))</f>
        <v/>
      </c>
      <c r="R1174" s="11">
        <f>IF(N1174="","",IF($G$16=1,50,(_xlfn.RANK.AVG(N1174,$N$19:$N$1518,1)-1)/($G$16-1)*100))</f>
        <v/>
      </c>
      <c r="S1174" s="11">
        <f>IF(COUNT(O1174:R1174)=4,ROUND(AVERAGE(O1174:R1174),6),"")</f>
        <v/>
      </c>
      <c r="U1174">
        <f>IF(AND(ISNUMBER('자료_한국심리'!$A1158),ISNUMBER('자료_한국심리'!$B1158)),'자료_한국심리'!$A1158,"")</f>
        <v/>
      </c>
      <c r="V1174">
        <f>IF(AND(ISNUMBER('자료_한국심리'!$D1158),ISNUMBER('자료_한국심리'!$E1158)),'자료_한국심리'!$D1158,"")</f>
        <v/>
      </c>
      <c r="W1174">
        <f>IF(AND(ISNUMBER('자료_한국심리'!$G1158),ISNUMBER('자료_한국심리'!$H1158)),'자료_한국심리'!$G1158,"")</f>
        <v/>
      </c>
      <c r="X1174">
        <f>IF(AND(ISNUMBER('자료_한국심리'!$J1158),ISNUMBER('자료_한국심리'!$K1158)),'자료_한국심리'!$J1158,"")</f>
        <v/>
      </c>
      <c r="Y1174">
        <f>IF(AND(ISNUMBER('자료_한국심리'!$M1158),ISNUMBER('자료_한국심리'!$N1158)),'자료_한국심리'!$M1158,"")</f>
        <v/>
      </c>
    </row>
    <row r="1175">
      <c r="A1175" s="10">
        <f>IF(1157&gt;$E$5,"",SMALL($U$19:$U$4018,$E$6+1157))</f>
        <v/>
      </c>
      <c r="B1175" s="29">
        <f>IF(A1175="","",INDEX('자료_한국심리'!$B$3:$B$4002,MATCH(A1175,$U$19:$U$4018,0)))</f>
        <v/>
      </c>
      <c r="C1175" s="22">
        <f>IF(A1175="","",B1175/AVERAGE(B1051:B1175)-1)</f>
        <v/>
      </c>
      <c r="D1175" s="29">
        <f>IF(A1175="","",IFERROR(INDEX('자료_한국심리'!$E$3:$E$4002,MATCH(A1175,$V$19:$V$4018,0)),D1174))</f>
        <v/>
      </c>
      <c r="E1175" s="30">
        <f>IF(A1175="","",IFERROR(INDEX('자료_한국심리'!$H$3:$H$4002,MATCH(A1175,$W$19:$W$4018,0)),E1174))</f>
        <v/>
      </c>
      <c r="F1175" s="30">
        <f>IF(A1175="","",IFERROR(INDEX('자료_한국심리'!$K$3:$K$4002,MATCH(A1175,$X$19:$X$4018,0)),F1174))</f>
        <v/>
      </c>
      <c r="G1175" s="30">
        <f>IF(AND(ISNUMBER(E1175),ISNUMBER(F1175)),ROUND(E1175-F1175,6),"")</f>
        <v/>
      </c>
      <c r="H1175" s="25">
        <f>IF(A1175="","",IFERROR(INDEX('자료_한국심리'!$N$3:$N$4002,MATCH(A1175,$Y$19:$Y$4018,0)),H1174))</f>
        <v/>
      </c>
      <c r="I1175" s="31">
        <f>IF(AND(ISNUMBER(H1175),ISNUMBER(H1155)),IF(H1155&gt;0,H1175/H1155-1,""),"")</f>
        <v/>
      </c>
      <c r="J1175">
        <f>IF(A1175="",0,IF(A1175&gt;$B$5,1,0))</f>
        <v/>
      </c>
      <c r="K1175" s="29">
        <f>IF(AND(J1175=1,ISNUMBER(D1175)),D1175,"")</f>
        <v/>
      </c>
      <c r="L1175" s="30">
        <f>IF(AND(J1175=1,ISNUMBER(G1175)),G1175,"")</f>
        <v/>
      </c>
      <c r="M1175" s="22">
        <f>IF(AND(J1175=1,ISNUMBER(C1175)),C1175,"")</f>
        <v/>
      </c>
      <c r="N1175" s="31">
        <f>IF(AND(J1175=1,ISNUMBER(I1175)),I1175,"")</f>
        <v/>
      </c>
      <c r="O1175" s="11">
        <f>IF(K1175="","",100-IF($G$13=1,50,(_xlfn.RANK.AVG(K1175,$K$19:$K$1518,1)-1)/($G$13-1)*100))</f>
        <v/>
      </c>
      <c r="P1175" s="11">
        <f>IF(L1175="","",100-IF($G$14=1,50,(_xlfn.RANK.AVG(L1175,$L$19:$L$1518,1)-1)/($G$14-1)*100))</f>
        <v/>
      </c>
      <c r="Q1175" s="11">
        <f>IF(M1175="","",IF($G$15=1,50,(_xlfn.RANK.AVG(M1175,$M$19:$M$1518,1)-1)/($G$15-1)*100))</f>
        <v/>
      </c>
      <c r="R1175" s="11">
        <f>IF(N1175="","",IF($G$16=1,50,(_xlfn.RANK.AVG(N1175,$N$19:$N$1518,1)-1)/($G$16-1)*100))</f>
        <v/>
      </c>
      <c r="S1175" s="11">
        <f>IF(COUNT(O1175:R1175)=4,ROUND(AVERAGE(O1175:R1175),6),"")</f>
        <v/>
      </c>
      <c r="U1175">
        <f>IF(AND(ISNUMBER('자료_한국심리'!$A1159),ISNUMBER('자료_한국심리'!$B1159)),'자료_한국심리'!$A1159,"")</f>
        <v/>
      </c>
      <c r="V1175">
        <f>IF(AND(ISNUMBER('자료_한국심리'!$D1159),ISNUMBER('자료_한국심리'!$E1159)),'자료_한국심리'!$D1159,"")</f>
        <v/>
      </c>
      <c r="W1175">
        <f>IF(AND(ISNUMBER('자료_한국심리'!$G1159),ISNUMBER('자료_한국심리'!$H1159)),'자료_한국심리'!$G1159,"")</f>
        <v/>
      </c>
      <c r="X1175">
        <f>IF(AND(ISNUMBER('자료_한국심리'!$J1159),ISNUMBER('자료_한국심리'!$K1159)),'자료_한국심리'!$J1159,"")</f>
        <v/>
      </c>
      <c r="Y1175">
        <f>IF(AND(ISNUMBER('자료_한국심리'!$M1159),ISNUMBER('자료_한국심리'!$N1159)),'자료_한국심리'!$M1159,"")</f>
        <v/>
      </c>
    </row>
    <row r="1176">
      <c r="A1176" s="10">
        <f>IF(1158&gt;$E$5,"",SMALL($U$19:$U$4018,$E$6+1158))</f>
        <v/>
      </c>
      <c r="B1176" s="29">
        <f>IF(A1176="","",INDEX('자료_한국심리'!$B$3:$B$4002,MATCH(A1176,$U$19:$U$4018,0)))</f>
        <v/>
      </c>
      <c r="C1176" s="22">
        <f>IF(A1176="","",B1176/AVERAGE(B1052:B1176)-1)</f>
        <v/>
      </c>
      <c r="D1176" s="29">
        <f>IF(A1176="","",IFERROR(INDEX('자료_한국심리'!$E$3:$E$4002,MATCH(A1176,$V$19:$V$4018,0)),D1175))</f>
        <v/>
      </c>
      <c r="E1176" s="30">
        <f>IF(A1176="","",IFERROR(INDEX('자료_한국심리'!$H$3:$H$4002,MATCH(A1176,$W$19:$W$4018,0)),E1175))</f>
        <v/>
      </c>
      <c r="F1176" s="30">
        <f>IF(A1176="","",IFERROR(INDEX('자료_한국심리'!$K$3:$K$4002,MATCH(A1176,$X$19:$X$4018,0)),F1175))</f>
        <v/>
      </c>
      <c r="G1176" s="30">
        <f>IF(AND(ISNUMBER(E1176),ISNUMBER(F1176)),ROUND(E1176-F1176,6),"")</f>
        <v/>
      </c>
      <c r="H1176" s="25">
        <f>IF(A1176="","",IFERROR(INDEX('자료_한국심리'!$N$3:$N$4002,MATCH(A1176,$Y$19:$Y$4018,0)),H1175))</f>
        <v/>
      </c>
      <c r="I1176" s="31">
        <f>IF(AND(ISNUMBER(H1176),ISNUMBER(H1156)),IF(H1156&gt;0,H1176/H1156-1,""),"")</f>
        <v/>
      </c>
      <c r="J1176">
        <f>IF(A1176="",0,IF(A1176&gt;$B$5,1,0))</f>
        <v/>
      </c>
      <c r="K1176" s="29">
        <f>IF(AND(J1176=1,ISNUMBER(D1176)),D1176,"")</f>
        <v/>
      </c>
      <c r="L1176" s="30">
        <f>IF(AND(J1176=1,ISNUMBER(G1176)),G1176,"")</f>
        <v/>
      </c>
      <c r="M1176" s="22">
        <f>IF(AND(J1176=1,ISNUMBER(C1176)),C1176,"")</f>
        <v/>
      </c>
      <c r="N1176" s="31">
        <f>IF(AND(J1176=1,ISNUMBER(I1176)),I1176,"")</f>
        <v/>
      </c>
      <c r="O1176" s="11">
        <f>IF(K1176="","",100-IF($G$13=1,50,(_xlfn.RANK.AVG(K1176,$K$19:$K$1518,1)-1)/($G$13-1)*100))</f>
        <v/>
      </c>
      <c r="P1176" s="11">
        <f>IF(L1176="","",100-IF($G$14=1,50,(_xlfn.RANK.AVG(L1176,$L$19:$L$1518,1)-1)/($G$14-1)*100))</f>
        <v/>
      </c>
      <c r="Q1176" s="11">
        <f>IF(M1176="","",IF($G$15=1,50,(_xlfn.RANK.AVG(M1176,$M$19:$M$1518,1)-1)/($G$15-1)*100))</f>
        <v/>
      </c>
      <c r="R1176" s="11">
        <f>IF(N1176="","",IF($G$16=1,50,(_xlfn.RANK.AVG(N1176,$N$19:$N$1518,1)-1)/($G$16-1)*100))</f>
        <v/>
      </c>
      <c r="S1176" s="11">
        <f>IF(COUNT(O1176:R1176)=4,ROUND(AVERAGE(O1176:R1176),6),"")</f>
        <v/>
      </c>
      <c r="U1176">
        <f>IF(AND(ISNUMBER('자료_한국심리'!$A1160),ISNUMBER('자료_한국심리'!$B1160)),'자료_한국심리'!$A1160,"")</f>
        <v/>
      </c>
      <c r="V1176">
        <f>IF(AND(ISNUMBER('자료_한국심리'!$D1160),ISNUMBER('자료_한국심리'!$E1160)),'자료_한국심리'!$D1160,"")</f>
        <v/>
      </c>
      <c r="W1176">
        <f>IF(AND(ISNUMBER('자료_한국심리'!$G1160),ISNUMBER('자료_한국심리'!$H1160)),'자료_한국심리'!$G1160,"")</f>
        <v/>
      </c>
      <c r="X1176">
        <f>IF(AND(ISNUMBER('자료_한국심리'!$J1160),ISNUMBER('자료_한국심리'!$K1160)),'자료_한국심리'!$J1160,"")</f>
        <v/>
      </c>
      <c r="Y1176">
        <f>IF(AND(ISNUMBER('자료_한국심리'!$M1160),ISNUMBER('자료_한국심리'!$N1160)),'자료_한국심리'!$M1160,"")</f>
        <v/>
      </c>
    </row>
    <row r="1177">
      <c r="A1177" s="10">
        <f>IF(1159&gt;$E$5,"",SMALL($U$19:$U$4018,$E$6+1159))</f>
        <v/>
      </c>
      <c r="B1177" s="29">
        <f>IF(A1177="","",INDEX('자료_한국심리'!$B$3:$B$4002,MATCH(A1177,$U$19:$U$4018,0)))</f>
        <v/>
      </c>
      <c r="C1177" s="22">
        <f>IF(A1177="","",B1177/AVERAGE(B1053:B1177)-1)</f>
        <v/>
      </c>
      <c r="D1177" s="29">
        <f>IF(A1177="","",IFERROR(INDEX('자료_한국심리'!$E$3:$E$4002,MATCH(A1177,$V$19:$V$4018,0)),D1176))</f>
        <v/>
      </c>
      <c r="E1177" s="30">
        <f>IF(A1177="","",IFERROR(INDEX('자료_한국심리'!$H$3:$H$4002,MATCH(A1177,$W$19:$W$4018,0)),E1176))</f>
        <v/>
      </c>
      <c r="F1177" s="30">
        <f>IF(A1177="","",IFERROR(INDEX('자료_한국심리'!$K$3:$K$4002,MATCH(A1177,$X$19:$X$4018,0)),F1176))</f>
        <v/>
      </c>
      <c r="G1177" s="30">
        <f>IF(AND(ISNUMBER(E1177),ISNUMBER(F1177)),ROUND(E1177-F1177,6),"")</f>
        <v/>
      </c>
      <c r="H1177" s="25">
        <f>IF(A1177="","",IFERROR(INDEX('자료_한국심리'!$N$3:$N$4002,MATCH(A1177,$Y$19:$Y$4018,0)),H1176))</f>
        <v/>
      </c>
      <c r="I1177" s="31">
        <f>IF(AND(ISNUMBER(H1177),ISNUMBER(H1157)),IF(H1157&gt;0,H1177/H1157-1,""),"")</f>
        <v/>
      </c>
      <c r="J1177">
        <f>IF(A1177="",0,IF(A1177&gt;$B$5,1,0))</f>
        <v/>
      </c>
      <c r="K1177" s="29">
        <f>IF(AND(J1177=1,ISNUMBER(D1177)),D1177,"")</f>
        <v/>
      </c>
      <c r="L1177" s="30">
        <f>IF(AND(J1177=1,ISNUMBER(G1177)),G1177,"")</f>
        <v/>
      </c>
      <c r="M1177" s="22">
        <f>IF(AND(J1177=1,ISNUMBER(C1177)),C1177,"")</f>
        <v/>
      </c>
      <c r="N1177" s="31">
        <f>IF(AND(J1177=1,ISNUMBER(I1177)),I1177,"")</f>
        <v/>
      </c>
      <c r="O1177" s="11">
        <f>IF(K1177="","",100-IF($G$13=1,50,(_xlfn.RANK.AVG(K1177,$K$19:$K$1518,1)-1)/($G$13-1)*100))</f>
        <v/>
      </c>
      <c r="P1177" s="11">
        <f>IF(L1177="","",100-IF($G$14=1,50,(_xlfn.RANK.AVG(L1177,$L$19:$L$1518,1)-1)/($G$14-1)*100))</f>
        <v/>
      </c>
      <c r="Q1177" s="11">
        <f>IF(M1177="","",IF($G$15=1,50,(_xlfn.RANK.AVG(M1177,$M$19:$M$1518,1)-1)/($G$15-1)*100))</f>
        <v/>
      </c>
      <c r="R1177" s="11">
        <f>IF(N1177="","",IF($G$16=1,50,(_xlfn.RANK.AVG(N1177,$N$19:$N$1518,1)-1)/($G$16-1)*100))</f>
        <v/>
      </c>
      <c r="S1177" s="11">
        <f>IF(COUNT(O1177:R1177)=4,ROUND(AVERAGE(O1177:R1177),6),"")</f>
        <v/>
      </c>
      <c r="U1177">
        <f>IF(AND(ISNUMBER('자료_한국심리'!$A1161),ISNUMBER('자료_한국심리'!$B1161)),'자료_한국심리'!$A1161,"")</f>
        <v/>
      </c>
      <c r="V1177">
        <f>IF(AND(ISNUMBER('자료_한국심리'!$D1161),ISNUMBER('자료_한국심리'!$E1161)),'자료_한국심리'!$D1161,"")</f>
        <v/>
      </c>
      <c r="W1177">
        <f>IF(AND(ISNUMBER('자료_한국심리'!$G1161),ISNUMBER('자료_한국심리'!$H1161)),'자료_한국심리'!$G1161,"")</f>
        <v/>
      </c>
      <c r="X1177">
        <f>IF(AND(ISNUMBER('자료_한국심리'!$J1161),ISNUMBER('자료_한국심리'!$K1161)),'자료_한국심리'!$J1161,"")</f>
        <v/>
      </c>
      <c r="Y1177">
        <f>IF(AND(ISNUMBER('자료_한국심리'!$M1161),ISNUMBER('자료_한국심리'!$N1161)),'자료_한국심리'!$M1161,"")</f>
        <v/>
      </c>
    </row>
    <row r="1178">
      <c r="A1178" s="10">
        <f>IF(1160&gt;$E$5,"",SMALL($U$19:$U$4018,$E$6+1160))</f>
        <v/>
      </c>
      <c r="B1178" s="29">
        <f>IF(A1178="","",INDEX('자료_한국심리'!$B$3:$B$4002,MATCH(A1178,$U$19:$U$4018,0)))</f>
        <v/>
      </c>
      <c r="C1178" s="22">
        <f>IF(A1178="","",B1178/AVERAGE(B1054:B1178)-1)</f>
        <v/>
      </c>
      <c r="D1178" s="29">
        <f>IF(A1178="","",IFERROR(INDEX('자료_한국심리'!$E$3:$E$4002,MATCH(A1178,$V$19:$V$4018,0)),D1177))</f>
        <v/>
      </c>
      <c r="E1178" s="30">
        <f>IF(A1178="","",IFERROR(INDEX('자료_한국심리'!$H$3:$H$4002,MATCH(A1178,$W$19:$W$4018,0)),E1177))</f>
        <v/>
      </c>
      <c r="F1178" s="30">
        <f>IF(A1178="","",IFERROR(INDEX('자료_한국심리'!$K$3:$K$4002,MATCH(A1178,$X$19:$X$4018,0)),F1177))</f>
        <v/>
      </c>
      <c r="G1178" s="30">
        <f>IF(AND(ISNUMBER(E1178),ISNUMBER(F1178)),ROUND(E1178-F1178,6),"")</f>
        <v/>
      </c>
      <c r="H1178" s="25">
        <f>IF(A1178="","",IFERROR(INDEX('자료_한국심리'!$N$3:$N$4002,MATCH(A1178,$Y$19:$Y$4018,0)),H1177))</f>
        <v/>
      </c>
      <c r="I1178" s="31">
        <f>IF(AND(ISNUMBER(H1178),ISNUMBER(H1158)),IF(H1158&gt;0,H1178/H1158-1,""),"")</f>
        <v/>
      </c>
      <c r="J1178">
        <f>IF(A1178="",0,IF(A1178&gt;$B$5,1,0))</f>
        <v/>
      </c>
      <c r="K1178" s="29">
        <f>IF(AND(J1178=1,ISNUMBER(D1178)),D1178,"")</f>
        <v/>
      </c>
      <c r="L1178" s="30">
        <f>IF(AND(J1178=1,ISNUMBER(G1178)),G1178,"")</f>
        <v/>
      </c>
      <c r="M1178" s="22">
        <f>IF(AND(J1178=1,ISNUMBER(C1178)),C1178,"")</f>
        <v/>
      </c>
      <c r="N1178" s="31">
        <f>IF(AND(J1178=1,ISNUMBER(I1178)),I1178,"")</f>
        <v/>
      </c>
      <c r="O1178" s="11">
        <f>IF(K1178="","",100-IF($G$13=1,50,(_xlfn.RANK.AVG(K1178,$K$19:$K$1518,1)-1)/($G$13-1)*100))</f>
        <v/>
      </c>
      <c r="P1178" s="11">
        <f>IF(L1178="","",100-IF($G$14=1,50,(_xlfn.RANK.AVG(L1178,$L$19:$L$1518,1)-1)/($G$14-1)*100))</f>
        <v/>
      </c>
      <c r="Q1178" s="11">
        <f>IF(M1178="","",IF($G$15=1,50,(_xlfn.RANK.AVG(M1178,$M$19:$M$1518,1)-1)/($G$15-1)*100))</f>
        <v/>
      </c>
      <c r="R1178" s="11">
        <f>IF(N1178="","",IF($G$16=1,50,(_xlfn.RANK.AVG(N1178,$N$19:$N$1518,1)-1)/($G$16-1)*100))</f>
        <v/>
      </c>
      <c r="S1178" s="11">
        <f>IF(COUNT(O1178:R1178)=4,ROUND(AVERAGE(O1178:R1178),6),"")</f>
        <v/>
      </c>
      <c r="U1178">
        <f>IF(AND(ISNUMBER('자료_한국심리'!$A1162),ISNUMBER('자료_한국심리'!$B1162)),'자료_한국심리'!$A1162,"")</f>
        <v/>
      </c>
      <c r="V1178">
        <f>IF(AND(ISNUMBER('자료_한국심리'!$D1162),ISNUMBER('자료_한국심리'!$E1162)),'자료_한국심리'!$D1162,"")</f>
        <v/>
      </c>
      <c r="W1178">
        <f>IF(AND(ISNUMBER('자료_한국심리'!$G1162),ISNUMBER('자료_한국심리'!$H1162)),'자료_한국심리'!$G1162,"")</f>
        <v/>
      </c>
      <c r="X1178">
        <f>IF(AND(ISNUMBER('자료_한국심리'!$J1162),ISNUMBER('자료_한국심리'!$K1162)),'자료_한국심리'!$J1162,"")</f>
        <v/>
      </c>
      <c r="Y1178">
        <f>IF(AND(ISNUMBER('자료_한국심리'!$M1162),ISNUMBER('자료_한국심리'!$N1162)),'자료_한국심리'!$M1162,"")</f>
        <v/>
      </c>
    </row>
    <row r="1179">
      <c r="A1179" s="10">
        <f>IF(1161&gt;$E$5,"",SMALL($U$19:$U$4018,$E$6+1161))</f>
        <v/>
      </c>
      <c r="B1179" s="29">
        <f>IF(A1179="","",INDEX('자료_한국심리'!$B$3:$B$4002,MATCH(A1179,$U$19:$U$4018,0)))</f>
        <v/>
      </c>
      <c r="C1179" s="22">
        <f>IF(A1179="","",B1179/AVERAGE(B1055:B1179)-1)</f>
        <v/>
      </c>
      <c r="D1179" s="29">
        <f>IF(A1179="","",IFERROR(INDEX('자료_한국심리'!$E$3:$E$4002,MATCH(A1179,$V$19:$V$4018,0)),D1178))</f>
        <v/>
      </c>
      <c r="E1179" s="30">
        <f>IF(A1179="","",IFERROR(INDEX('자료_한국심리'!$H$3:$H$4002,MATCH(A1179,$W$19:$W$4018,0)),E1178))</f>
        <v/>
      </c>
      <c r="F1179" s="30">
        <f>IF(A1179="","",IFERROR(INDEX('자료_한국심리'!$K$3:$K$4002,MATCH(A1179,$X$19:$X$4018,0)),F1178))</f>
        <v/>
      </c>
      <c r="G1179" s="30">
        <f>IF(AND(ISNUMBER(E1179),ISNUMBER(F1179)),ROUND(E1179-F1179,6),"")</f>
        <v/>
      </c>
      <c r="H1179" s="25">
        <f>IF(A1179="","",IFERROR(INDEX('자료_한국심리'!$N$3:$N$4002,MATCH(A1179,$Y$19:$Y$4018,0)),H1178))</f>
        <v/>
      </c>
      <c r="I1179" s="31">
        <f>IF(AND(ISNUMBER(H1179),ISNUMBER(H1159)),IF(H1159&gt;0,H1179/H1159-1,""),"")</f>
        <v/>
      </c>
      <c r="J1179">
        <f>IF(A1179="",0,IF(A1179&gt;$B$5,1,0))</f>
        <v/>
      </c>
      <c r="K1179" s="29">
        <f>IF(AND(J1179=1,ISNUMBER(D1179)),D1179,"")</f>
        <v/>
      </c>
      <c r="L1179" s="30">
        <f>IF(AND(J1179=1,ISNUMBER(G1179)),G1179,"")</f>
        <v/>
      </c>
      <c r="M1179" s="22">
        <f>IF(AND(J1179=1,ISNUMBER(C1179)),C1179,"")</f>
        <v/>
      </c>
      <c r="N1179" s="31">
        <f>IF(AND(J1179=1,ISNUMBER(I1179)),I1179,"")</f>
        <v/>
      </c>
      <c r="O1179" s="11">
        <f>IF(K1179="","",100-IF($G$13=1,50,(_xlfn.RANK.AVG(K1179,$K$19:$K$1518,1)-1)/($G$13-1)*100))</f>
        <v/>
      </c>
      <c r="P1179" s="11">
        <f>IF(L1179="","",100-IF($G$14=1,50,(_xlfn.RANK.AVG(L1179,$L$19:$L$1518,1)-1)/($G$14-1)*100))</f>
        <v/>
      </c>
      <c r="Q1179" s="11">
        <f>IF(M1179="","",IF($G$15=1,50,(_xlfn.RANK.AVG(M1179,$M$19:$M$1518,1)-1)/($G$15-1)*100))</f>
        <v/>
      </c>
      <c r="R1179" s="11">
        <f>IF(N1179="","",IF($G$16=1,50,(_xlfn.RANK.AVG(N1179,$N$19:$N$1518,1)-1)/($G$16-1)*100))</f>
        <v/>
      </c>
      <c r="S1179" s="11">
        <f>IF(COUNT(O1179:R1179)=4,ROUND(AVERAGE(O1179:R1179),6),"")</f>
        <v/>
      </c>
      <c r="U1179">
        <f>IF(AND(ISNUMBER('자료_한국심리'!$A1163),ISNUMBER('자료_한국심리'!$B1163)),'자료_한국심리'!$A1163,"")</f>
        <v/>
      </c>
      <c r="V1179">
        <f>IF(AND(ISNUMBER('자료_한국심리'!$D1163),ISNUMBER('자료_한국심리'!$E1163)),'자료_한국심리'!$D1163,"")</f>
        <v/>
      </c>
      <c r="W1179">
        <f>IF(AND(ISNUMBER('자료_한국심리'!$G1163),ISNUMBER('자료_한국심리'!$H1163)),'자료_한국심리'!$G1163,"")</f>
        <v/>
      </c>
      <c r="X1179">
        <f>IF(AND(ISNUMBER('자료_한국심리'!$J1163),ISNUMBER('자료_한국심리'!$K1163)),'자료_한국심리'!$J1163,"")</f>
        <v/>
      </c>
      <c r="Y1179">
        <f>IF(AND(ISNUMBER('자료_한국심리'!$M1163),ISNUMBER('자료_한국심리'!$N1163)),'자료_한국심리'!$M1163,"")</f>
        <v/>
      </c>
    </row>
    <row r="1180">
      <c r="A1180" s="10">
        <f>IF(1162&gt;$E$5,"",SMALL($U$19:$U$4018,$E$6+1162))</f>
        <v/>
      </c>
      <c r="B1180" s="29">
        <f>IF(A1180="","",INDEX('자료_한국심리'!$B$3:$B$4002,MATCH(A1180,$U$19:$U$4018,0)))</f>
        <v/>
      </c>
      <c r="C1180" s="22">
        <f>IF(A1180="","",B1180/AVERAGE(B1056:B1180)-1)</f>
        <v/>
      </c>
      <c r="D1180" s="29">
        <f>IF(A1180="","",IFERROR(INDEX('자료_한국심리'!$E$3:$E$4002,MATCH(A1180,$V$19:$V$4018,0)),D1179))</f>
        <v/>
      </c>
      <c r="E1180" s="30">
        <f>IF(A1180="","",IFERROR(INDEX('자료_한국심리'!$H$3:$H$4002,MATCH(A1180,$W$19:$W$4018,0)),E1179))</f>
        <v/>
      </c>
      <c r="F1180" s="30">
        <f>IF(A1180="","",IFERROR(INDEX('자료_한국심리'!$K$3:$K$4002,MATCH(A1180,$X$19:$X$4018,0)),F1179))</f>
        <v/>
      </c>
      <c r="G1180" s="30">
        <f>IF(AND(ISNUMBER(E1180),ISNUMBER(F1180)),ROUND(E1180-F1180,6),"")</f>
        <v/>
      </c>
      <c r="H1180" s="25">
        <f>IF(A1180="","",IFERROR(INDEX('자료_한국심리'!$N$3:$N$4002,MATCH(A1180,$Y$19:$Y$4018,0)),H1179))</f>
        <v/>
      </c>
      <c r="I1180" s="31">
        <f>IF(AND(ISNUMBER(H1180),ISNUMBER(H1160)),IF(H1160&gt;0,H1180/H1160-1,""),"")</f>
        <v/>
      </c>
      <c r="J1180">
        <f>IF(A1180="",0,IF(A1180&gt;$B$5,1,0))</f>
        <v/>
      </c>
      <c r="K1180" s="29">
        <f>IF(AND(J1180=1,ISNUMBER(D1180)),D1180,"")</f>
        <v/>
      </c>
      <c r="L1180" s="30">
        <f>IF(AND(J1180=1,ISNUMBER(G1180)),G1180,"")</f>
        <v/>
      </c>
      <c r="M1180" s="22">
        <f>IF(AND(J1180=1,ISNUMBER(C1180)),C1180,"")</f>
        <v/>
      </c>
      <c r="N1180" s="31">
        <f>IF(AND(J1180=1,ISNUMBER(I1180)),I1180,"")</f>
        <v/>
      </c>
      <c r="O1180" s="11">
        <f>IF(K1180="","",100-IF($G$13=1,50,(_xlfn.RANK.AVG(K1180,$K$19:$K$1518,1)-1)/($G$13-1)*100))</f>
        <v/>
      </c>
      <c r="P1180" s="11">
        <f>IF(L1180="","",100-IF($G$14=1,50,(_xlfn.RANK.AVG(L1180,$L$19:$L$1518,1)-1)/($G$14-1)*100))</f>
        <v/>
      </c>
      <c r="Q1180" s="11">
        <f>IF(M1180="","",IF($G$15=1,50,(_xlfn.RANK.AVG(M1180,$M$19:$M$1518,1)-1)/($G$15-1)*100))</f>
        <v/>
      </c>
      <c r="R1180" s="11">
        <f>IF(N1180="","",IF($G$16=1,50,(_xlfn.RANK.AVG(N1180,$N$19:$N$1518,1)-1)/($G$16-1)*100))</f>
        <v/>
      </c>
      <c r="S1180" s="11">
        <f>IF(COUNT(O1180:R1180)=4,ROUND(AVERAGE(O1180:R1180),6),"")</f>
        <v/>
      </c>
      <c r="U1180">
        <f>IF(AND(ISNUMBER('자료_한국심리'!$A1164),ISNUMBER('자료_한국심리'!$B1164)),'자료_한국심리'!$A1164,"")</f>
        <v/>
      </c>
      <c r="V1180">
        <f>IF(AND(ISNUMBER('자료_한국심리'!$D1164),ISNUMBER('자료_한국심리'!$E1164)),'자료_한국심리'!$D1164,"")</f>
        <v/>
      </c>
      <c r="W1180">
        <f>IF(AND(ISNUMBER('자료_한국심리'!$G1164),ISNUMBER('자료_한국심리'!$H1164)),'자료_한국심리'!$G1164,"")</f>
        <v/>
      </c>
      <c r="X1180">
        <f>IF(AND(ISNUMBER('자료_한국심리'!$J1164),ISNUMBER('자료_한국심리'!$K1164)),'자료_한국심리'!$J1164,"")</f>
        <v/>
      </c>
      <c r="Y1180">
        <f>IF(AND(ISNUMBER('자료_한국심리'!$M1164),ISNUMBER('자료_한국심리'!$N1164)),'자료_한국심리'!$M1164,"")</f>
        <v/>
      </c>
    </row>
    <row r="1181">
      <c r="A1181" s="10">
        <f>IF(1163&gt;$E$5,"",SMALL($U$19:$U$4018,$E$6+1163))</f>
        <v/>
      </c>
      <c r="B1181" s="29">
        <f>IF(A1181="","",INDEX('자료_한국심리'!$B$3:$B$4002,MATCH(A1181,$U$19:$U$4018,0)))</f>
        <v/>
      </c>
      <c r="C1181" s="22">
        <f>IF(A1181="","",B1181/AVERAGE(B1057:B1181)-1)</f>
        <v/>
      </c>
      <c r="D1181" s="29">
        <f>IF(A1181="","",IFERROR(INDEX('자료_한국심리'!$E$3:$E$4002,MATCH(A1181,$V$19:$V$4018,0)),D1180))</f>
        <v/>
      </c>
      <c r="E1181" s="30">
        <f>IF(A1181="","",IFERROR(INDEX('자료_한국심리'!$H$3:$H$4002,MATCH(A1181,$W$19:$W$4018,0)),E1180))</f>
        <v/>
      </c>
      <c r="F1181" s="30">
        <f>IF(A1181="","",IFERROR(INDEX('자료_한국심리'!$K$3:$K$4002,MATCH(A1181,$X$19:$X$4018,0)),F1180))</f>
        <v/>
      </c>
      <c r="G1181" s="30">
        <f>IF(AND(ISNUMBER(E1181),ISNUMBER(F1181)),ROUND(E1181-F1181,6),"")</f>
        <v/>
      </c>
      <c r="H1181" s="25">
        <f>IF(A1181="","",IFERROR(INDEX('자료_한국심리'!$N$3:$N$4002,MATCH(A1181,$Y$19:$Y$4018,0)),H1180))</f>
        <v/>
      </c>
      <c r="I1181" s="31">
        <f>IF(AND(ISNUMBER(H1181),ISNUMBER(H1161)),IF(H1161&gt;0,H1181/H1161-1,""),"")</f>
        <v/>
      </c>
      <c r="J1181">
        <f>IF(A1181="",0,IF(A1181&gt;$B$5,1,0))</f>
        <v/>
      </c>
      <c r="K1181" s="29">
        <f>IF(AND(J1181=1,ISNUMBER(D1181)),D1181,"")</f>
        <v/>
      </c>
      <c r="L1181" s="30">
        <f>IF(AND(J1181=1,ISNUMBER(G1181)),G1181,"")</f>
        <v/>
      </c>
      <c r="M1181" s="22">
        <f>IF(AND(J1181=1,ISNUMBER(C1181)),C1181,"")</f>
        <v/>
      </c>
      <c r="N1181" s="31">
        <f>IF(AND(J1181=1,ISNUMBER(I1181)),I1181,"")</f>
        <v/>
      </c>
      <c r="O1181" s="11">
        <f>IF(K1181="","",100-IF($G$13=1,50,(_xlfn.RANK.AVG(K1181,$K$19:$K$1518,1)-1)/($G$13-1)*100))</f>
        <v/>
      </c>
      <c r="P1181" s="11">
        <f>IF(L1181="","",100-IF($G$14=1,50,(_xlfn.RANK.AVG(L1181,$L$19:$L$1518,1)-1)/($G$14-1)*100))</f>
        <v/>
      </c>
      <c r="Q1181" s="11">
        <f>IF(M1181="","",IF($G$15=1,50,(_xlfn.RANK.AVG(M1181,$M$19:$M$1518,1)-1)/($G$15-1)*100))</f>
        <v/>
      </c>
      <c r="R1181" s="11">
        <f>IF(N1181="","",IF($G$16=1,50,(_xlfn.RANK.AVG(N1181,$N$19:$N$1518,1)-1)/($G$16-1)*100))</f>
        <v/>
      </c>
      <c r="S1181" s="11">
        <f>IF(COUNT(O1181:R1181)=4,ROUND(AVERAGE(O1181:R1181),6),"")</f>
        <v/>
      </c>
      <c r="U1181">
        <f>IF(AND(ISNUMBER('자료_한국심리'!$A1165),ISNUMBER('자료_한국심리'!$B1165)),'자료_한국심리'!$A1165,"")</f>
        <v/>
      </c>
      <c r="V1181">
        <f>IF(AND(ISNUMBER('자료_한국심리'!$D1165),ISNUMBER('자료_한국심리'!$E1165)),'자료_한국심리'!$D1165,"")</f>
        <v/>
      </c>
      <c r="W1181">
        <f>IF(AND(ISNUMBER('자료_한국심리'!$G1165),ISNUMBER('자료_한국심리'!$H1165)),'자료_한국심리'!$G1165,"")</f>
        <v/>
      </c>
      <c r="X1181">
        <f>IF(AND(ISNUMBER('자료_한국심리'!$J1165),ISNUMBER('자료_한국심리'!$K1165)),'자료_한국심리'!$J1165,"")</f>
        <v/>
      </c>
      <c r="Y1181">
        <f>IF(AND(ISNUMBER('자료_한국심리'!$M1165),ISNUMBER('자료_한국심리'!$N1165)),'자료_한국심리'!$M1165,"")</f>
        <v/>
      </c>
    </row>
    <row r="1182">
      <c r="A1182" s="10">
        <f>IF(1164&gt;$E$5,"",SMALL($U$19:$U$4018,$E$6+1164))</f>
        <v/>
      </c>
      <c r="B1182" s="29">
        <f>IF(A1182="","",INDEX('자료_한국심리'!$B$3:$B$4002,MATCH(A1182,$U$19:$U$4018,0)))</f>
        <v/>
      </c>
      <c r="C1182" s="22">
        <f>IF(A1182="","",B1182/AVERAGE(B1058:B1182)-1)</f>
        <v/>
      </c>
      <c r="D1182" s="29">
        <f>IF(A1182="","",IFERROR(INDEX('자료_한국심리'!$E$3:$E$4002,MATCH(A1182,$V$19:$V$4018,0)),D1181))</f>
        <v/>
      </c>
      <c r="E1182" s="30">
        <f>IF(A1182="","",IFERROR(INDEX('자료_한국심리'!$H$3:$H$4002,MATCH(A1182,$W$19:$W$4018,0)),E1181))</f>
        <v/>
      </c>
      <c r="F1182" s="30">
        <f>IF(A1182="","",IFERROR(INDEX('자료_한국심리'!$K$3:$K$4002,MATCH(A1182,$X$19:$X$4018,0)),F1181))</f>
        <v/>
      </c>
      <c r="G1182" s="30">
        <f>IF(AND(ISNUMBER(E1182),ISNUMBER(F1182)),ROUND(E1182-F1182,6),"")</f>
        <v/>
      </c>
      <c r="H1182" s="25">
        <f>IF(A1182="","",IFERROR(INDEX('자료_한국심리'!$N$3:$N$4002,MATCH(A1182,$Y$19:$Y$4018,0)),H1181))</f>
        <v/>
      </c>
      <c r="I1182" s="31">
        <f>IF(AND(ISNUMBER(H1182),ISNUMBER(H1162)),IF(H1162&gt;0,H1182/H1162-1,""),"")</f>
        <v/>
      </c>
      <c r="J1182">
        <f>IF(A1182="",0,IF(A1182&gt;$B$5,1,0))</f>
        <v/>
      </c>
      <c r="K1182" s="29">
        <f>IF(AND(J1182=1,ISNUMBER(D1182)),D1182,"")</f>
        <v/>
      </c>
      <c r="L1182" s="30">
        <f>IF(AND(J1182=1,ISNUMBER(G1182)),G1182,"")</f>
        <v/>
      </c>
      <c r="M1182" s="22">
        <f>IF(AND(J1182=1,ISNUMBER(C1182)),C1182,"")</f>
        <v/>
      </c>
      <c r="N1182" s="31">
        <f>IF(AND(J1182=1,ISNUMBER(I1182)),I1182,"")</f>
        <v/>
      </c>
      <c r="O1182" s="11">
        <f>IF(K1182="","",100-IF($G$13=1,50,(_xlfn.RANK.AVG(K1182,$K$19:$K$1518,1)-1)/($G$13-1)*100))</f>
        <v/>
      </c>
      <c r="P1182" s="11">
        <f>IF(L1182="","",100-IF($G$14=1,50,(_xlfn.RANK.AVG(L1182,$L$19:$L$1518,1)-1)/($G$14-1)*100))</f>
        <v/>
      </c>
      <c r="Q1182" s="11">
        <f>IF(M1182="","",IF($G$15=1,50,(_xlfn.RANK.AVG(M1182,$M$19:$M$1518,1)-1)/($G$15-1)*100))</f>
        <v/>
      </c>
      <c r="R1182" s="11">
        <f>IF(N1182="","",IF($G$16=1,50,(_xlfn.RANK.AVG(N1182,$N$19:$N$1518,1)-1)/($G$16-1)*100))</f>
        <v/>
      </c>
      <c r="S1182" s="11">
        <f>IF(COUNT(O1182:R1182)=4,ROUND(AVERAGE(O1182:R1182),6),"")</f>
        <v/>
      </c>
      <c r="U1182">
        <f>IF(AND(ISNUMBER('자료_한국심리'!$A1166),ISNUMBER('자료_한국심리'!$B1166)),'자료_한국심리'!$A1166,"")</f>
        <v/>
      </c>
      <c r="V1182">
        <f>IF(AND(ISNUMBER('자료_한국심리'!$D1166),ISNUMBER('자료_한국심리'!$E1166)),'자료_한국심리'!$D1166,"")</f>
        <v/>
      </c>
      <c r="W1182">
        <f>IF(AND(ISNUMBER('자료_한국심리'!$G1166),ISNUMBER('자료_한국심리'!$H1166)),'자료_한국심리'!$G1166,"")</f>
        <v/>
      </c>
      <c r="X1182">
        <f>IF(AND(ISNUMBER('자료_한국심리'!$J1166),ISNUMBER('자료_한국심리'!$K1166)),'자료_한국심리'!$J1166,"")</f>
        <v/>
      </c>
      <c r="Y1182">
        <f>IF(AND(ISNUMBER('자료_한국심리'!$M1166),ISNUMBER('자료_한국심리'!$N1166)),'자료_한국심리'!$M1166,"")</f>
        <v/>
      </c>
    </row>
    <row r="1183">
      <c r="A1183" s="10">
        <f>IF(1165&gt;$E$5,"",SMALL($U$19:$U$4018,$E$6+1165))</f>
        <v/>
      </c>
      <c r="B1183" s="29">
        <f>IF(A1183="","",INDEX('자료_한국심리'!$B$3:$B$4002,MATCH(A1183,$U$19:$U$4018,0)))</f>
        <v/>
      </c>
      <c r="C1183" s="22">
        <f>IF(A1183="","",B1183/AVERAGE(B1059:B1183)-1)</f>
        <v/>
      </c>
      <c r="D1183" s="29">
        <f>IF(A1183="","",IFERROR(INDEX('자료_한국심리'!$E$3:$E$4002,MATCH(A1183,$V$19:$V$4018,0)),D1182))</f>
        <v/>
      </c>
      <c r="E1183" s="30">
        <f>IF(A1183="","",IFERROR(INDEX('자료_한국심리'!$H$3:$H$4002,MATCH(A1183,$W$19:$W$4018,0)),E1182))</f>
        <v/>
      </c>
      <c r="F1183" s="30">
        <f>IF(A1183="","",IFERROR(INDEX('자료_한국심리'!$K$3:$K$4002,MATCH(A1183,$X$19:$X$4018,0)),F1182))</f>
        <v/>
      </c>
      <c r="G1183" s="30">
        <f>IF(AND(ISNUMBER(E1183),ISNUMBER(F1183)),ROUND(E1183-F1183,6),"")</f>
        <v/>
      </c>
      <c r="H1183" s="25">
        <f>IF(A1183="","",IFERROR(INDEX('자료_한국심리'!$N$3:$N$4002,MATCH(A1183,$Y$19:$Y$4018,0)),H1182))</f>
        <v/>
      </c>
      <c r="I1183" s="31">
        <f>IF(AND(ISNUMBER(H1183),ISNUMBER(H1163)),IF(H1163&gt;0,H1183/H1163-1,""),"")</f>
        <v/>
      </c>
      <c r="J1183">
        <f>IF(A1183="",0,IF(A1183&gt;$B$5,1,0))</f>
        <v/>
      </c>
      <c r="K1183" s="29">
        <f>IF(AND(J1183=1,ISNUMBER(D1183)),D1183,"")</f>
        <v/>
      </c>
      <c r="L1183" s="30">
        <f>IF(AND(J1183=1,ISNUMBER(G1183)),G1183,"")</f>
        <v/>
      </c>
      <c r="M1183" s="22">
        <f>IF(AND(J1183=1,ISNUMBER(C1183)),C1183,"")</f>
        <v/>
      </c>
      <c r="N1183" s="31">
        <f>IF(AND(J1183=1,ISNUMBER(I1183)),I1183,"")</f>
        <v/>
      </c>
      <c r="O1183" s="11">
        <f>IF(K1183="","",100-IF($G$13=1,50,(_xlfn.RANK.AVG(K1183,$K$19:$K$1518,1)-1)/($G$13-1)*100))</f>
        <v/>
      </c>
      <c r="P1183" s="11">
        <f>IF(L1183="","",100-IF($G$14=1,50,(_xlfn.RANK.AVG(L1183,$L$19:$L$1518,1)-1)/($G$14-1)*100))</f>
        <v/>
      </c>
      <c r="Q1183" s="11">
        <f>IF(M1183="","",IF($G$15=1,50,(_xlfn.RANK.AVG(M1183,$M$19:$M$1518,1)-1)/($G$15-1)*100))</f>
        <v/>
      </c>
      <c r="R1183" s="11">
        <f>IF(N1183="","",IF($G$16=1,50,(_xlfn.RANK.AVG(N1183,$N$19:$N$1518,1)-1)/($G$16-1)*100))</f>
        <v/>
      </c>
      <c r="S1183" s="11">
        <f>IF(COUNT(O1183:R1183)=4,ROUND(AVERAGE(O1183:R1183),6),"")</f>
        <v/>
      </c>
      <c r="U1183">
        <f>IF(AND(ISNUMBER('자료_한국심리'!$A1167),ISNUMBER('자료_한국심리'!$B1167)),'자료_한국심리'!$A1167,"")</f>
        <v/>
      </c>
      <c r="V1183">
        <f>IF(AND(ISNUMBER('자료_한국심리'!$D1167),ISNUMBER('자료_한국심리'!$E1167)),'자료_한국심리'!$D1167,"")</f>
        <v/>
      </c>
      <c r="W1183">
        <f>IF(AND(ISNUMBER('자료_한국심리'!$G1167),ISNUMBER('자료_한국심리'!$H1167)),'자료_한국심리'!$G1167,"")</f>
        <v/>
      </c>
      <c r="X1183">
        <f>IF(AND(ISNUMBER('자료_한국심리'!$J1167),ISNUMBER('자료_한국심리'!$K1167)),'자료_한국심리'!$J1167,"")</f>
        <v/>
      </c>
      <c r="Y1183">
        <f>IF(AND(ISNUMBER('자료_한국심리'!$M1167),ISNUMBER('자료_한국심리'!$N1167)),'자료_한국심리'!$M1167,"")</f>
        <v/>
      </c>
    </row>
    <row r="1184">
      <c r="A1184" s="10">
        <f>IF(1166&gt;$E$5,"",SMALL($U$19:$U$4018,$E$6+1166))</f>
        <v/>
      </c>
      <c r="B1184" s="29">
        <f>IF(A1184="","",INDEX('자료_한국심리'!$B$3:$B$4002,MATCH(A1184,$U$19:$U$4018,0)))</f>
        <v/>
      </c>
      <c r="C1184" s="22">
        <f>IF(A1184="","",B1184/AVERAGE(B1060:B1184)-1)</f>
        <v/>
      </c>
      <c r="D1184" s="29">
        <f>IF(A1184="","",IFERROR(INDEX('자료_한국심리'!$E$3:$E$4002,MATCH(A1184,$V$19:$V$4018,0)),D1183))</f>
        <v/>
      </c>
      <c r="E1184" s="30">
        <f>IF(A1184="","",IFERROR(INDEX('자료_한국심리'!$H$3:$H$4002,MATCH(A1184,$W$19:$W$4018,0)),E1183))</f>
        <v/>
      </c>
      <c r="F1184" s="30">
        <f>IF(A1184="","",IFERROR(INDEX('자료_한국심리'!$K$3:$K$4002,MATCH(A1184,$X$19:$X$4018,0)),F1183))</f>
        <v/>
      </c>
      <c r="G1184" s="30">
        <f>IF(AND(ISNUMBER(E1184),ISNUMBER(F1184)),ROUND(E1184-F1184,6),"")</f>
        <v/>
      </c>
      <c r="H1184" s="25">
        <f>IF(A1184="","",IFERROR(INDEX('자료_한국심리'!$N$3:$N$4002,MATCH(A1184,$Y$19:$Y$4018,0)),H1183))</f>
        <v/>
      </c>
      <c r="I1184" s="31">
        <f>IF(AND(ISNUMBER(H1184),ISNUMBER(H1164)),IF(H1164&gt;0,H1184/H1164-1,""),"")</f>
        <v/>
      </c>
      <c r="J1184">
        <f>IF(A1184="",0,IF(A1184&gt;$B$5,1,0))</f>
        <v/>
      </c>
      <c r="K1184" s="29">
        <f>IF(AND(J1184=1,ISNUMBER(D1184)),D1184,"")</f>
        <v/>
      </c>
      <c r="L1184" s="30">
        <f>IF(AND(J1184=1,ISNUMBER(G1184)),G1184,"")</f>
        <v/>
      </c>
      <c r="M1184" s="22">
        <f>IF(AND(J1184=1,ISNUMBER(C1184)),C1184,"")</f>
        <v/>
      </c>
      <c r="N1184" s="31">
        <f>IF(AND(J1184=1,ISNUMBER(I1184)),I1184,"")</f>
        <v/>
      </c>
      <c r="O1184" s="11">
        <f>IF(K1184="","",100-IF($G$13=1,50,(_xlfn.RANK.AVG(K1184,$K$19:$K$1518,1)-1)/($G$13-1)*100))</f>
        <v/>
      </c>
      <c r="P1184" s="11">
        <f>IF(L1184="","",100-IF($G$14=1,50,(_xlfn.RANK.AVG(L1184,$L$19:$L$1518,1)-1)/($G$14-1)*100))</f>
        <v/>
      </c>
      <c r="Q1184" s="11">
        <f>IF(M1184="","",IF($G$15=1,50,(_xlfn.RANK.AVG(M1184,$M$19:$M$1518,1)-1)/($G$15-1)*100))</f>
        <v/>
      </c>
      <c r="R1184" s="11">
        <f>IF(N1184="","",IF($G$16=1,50,(_xlfn.RANK.AVG(N1184,$N$19:$N$1518,1)-1)/($G$16-1)*100))</f>
        <v/>
      </c>
      <c r="S1184" s="11">
        <f>IF(COUNT(O1184:R1184)=4,ROUND(AVERAGE(O1184:R1184),6),"")</f>
        <v/>
      </c>
      <c r="U1184">
        <f>IF(AND(ISNUMBER('자료_한국심리'!$A1168),ISNUMBER('자료_한국심리'!$B1168)),'자료_한국심리'!$A1168,"")</f>
        <v/>
      </c>
      <c r="V1184">
        <f>IF(AND(ISNUMBER('자료_한국심리'!$D1168),ISNUMBER('자료_한국심리'!$E1168)),'자료_한국심리'!$D1168,"")</f>
        <v/>
      </c>
      <c r="W1184">
        <f>IF(AND(ISNUMBER('자료_한국심리'!$G1168),ISNUMBER('자료_한국심리'!$H1168)),'자료_한국심리'!$G1168,"")</f>
        <v/>
      </c>
      <c r="X1184">
        <f>IF(AND(ISNUMBER('자료_한국심리'!$J1168),ISNUMBER('자료_한국심리'!$K1168)),'자료_한국심리'!$J1168,"")</f>
        <v/>
      </c>
      <c r="Y1184">
        <f>IF(AND(ISNUMBER('자료_한국심리'!$M1168),ISNUMBER('자료_한국심리'!$N1168)),'자료_한국심리'!$M1168,"")</f>
        <v/>
      </c>
    </row>
    <row r="1185">
      <c r="A1185" s="10">
        <f>IF(1167&gt;$E$5,"",SMALL($U$19:$U$4018,$E$6+1167))</f>
        <v/>
      </c>
      <c r="B1185" s="29">
        <f>IF(A1185="","",INDEX('자료_한국심리'!$B$3:$B$4002,MATCH(A1185,$U$19:$U$4018,0)))</f>
        <v/>
      </c>
      <c r="C1185" s="22">
        <f>IF(A1185="","",B1185/AVERAGE(B1061:B1185)-1)</f>
        <v/>
      </c>
      <c r="D1185" s="29">
        <f>IF(A1185="","",IFERROR(INDEX('자료_한국심리'!$E$3:$E$4002,MATCH(A1185,$V$19:$V$4018,0)),D1184))</f>
        <v/>
      </c>
      <c r="E1185" s="30">
        <f>IF(A1185="","",IFERROR(INDEX('자료_한국심리'!$H$3:$H$4002,MATCH(A1185,$W$19:$W$4018,0)),E1184))</f>
        <v/>
      </c>
      <c r="F1185" s="30">
        <f>IF(A1185="","",IFERROR(INDEX('자료_한국심리'!$K$3:$K$4002,MATCH(A1185,$X$19:$X$4018,0)),F1184))</f>
        <v/>
      </c>
      <c r="G1185" s="30">
        <f>IF(AND(ISNUMBER(E1185),ISNUMBER(F1185)),ROUND(E1185-F1185,6),"")</f>
        <v/>
      </c>
      <c r="H1185" s="25">
        <f>IF(A1185="","",IFERROR(INDEX('자료_한국심리'!$N$3:$N$4002,MATCH(A1185,$Y$19:$Y$4018,0)),H1184))</f>
        <v/>
      </c>
      <c r="I1185" s="31">
        <f>IF(AND(ISNUMBER(H1185),ISNUMBER(H1165)),IF(H1165&gt;0,H1185/H1165-1,""),"")</f>
        <v/>
      </c>
      <c r="J1185">
        <f>IF(A1185="",0,IF(A1185&gt;$B$5,1,0))</f>
        <v/>
      </c>
      <c r="K1185" s="29">
        <f>IF(AND(J1185=1,ISNUMBER(D1185)),D1185,"")</f>
        <v/>
      </c>
      <c r="L1185" s="30">
        <f>IF(AND(J1185=1,ISNUMBER(G1185)),G1185,"")</f>
        <v/>
      </c>
      <c r="M1185" s="22">
        <f>IF(AND(J1185=1,ISNUMBER(C1185)),C1185,"")</f>
        <v/>
      </c>
      <c r="N1185" s="31">
        <f>IF(AND(J1185=1,ISNUMBER(I1185)),I1185,"")</f>
        <v/>
      </c>
      <c r="O1185" s="11">
        <f>IF(K1185="","",100-IF($G$13=1,50,(_xlfn.RANK.AVG(K1185,$K$19:$K$1518,1)-1)/($G$13-1)*100))</f>
        <v/>
      </c>
      <c r="P1185" s="11">
        <f>IF(L1185="","",100-IF($G$14=1,50,(_xlfn.RANK.AVG(L1185,$L$19:$L$1518,1)-1)/($G$14-1)*100))</f>
        <v/>
      </c>
      <c r="Q1185" s="11">
        <f>IF(M1185="","",IF($G$15=1,50,(_xlfn.RANK.AVG(M1185,$M$19:$M$1518,1)-1)/($G$15-1)*100))</f>
        <v/>
      </c>
      <c r="R1185" s="11">
        <f>IF(N1185="","",IF($G$16=1,50,(_xlfn.RANK.AVG(N1185,$N$19:$N$1518,1)-1)/($G$16-1)*100))</f>
        <v/>
      </c>
      <c r="S1185" s="11">
        <f>IF(COUNT(O1185:R1185)=4,ROUND(AVERAGE(O1185:R1185),6),"")</f>
        <v/>
      </c>
      <c r="U1185">
        <f>IF(AND(ISNUMBER('자료_한국심리'!$A1169),ISNUMBER('자료_한국심리'!$B1169)),'자료_한국심리'!$A1169,"")</f>
        <v/>
      </c>
      <c r="V1185">
        <f>IF(AND(ISNUMBER('자료_한국심리'!$D1169),ISNUMBER('자료_한국심리'!$E1169)),'자료_한국심리'!$D1169,"")</f>
        <v/>
      </c>
      <c r="W1185">
        <f>IF(AND(ISNUMBER('자료_한국심리'!$G1169),ISNUMBER('자료_한국심리'!$H1169)),'자료_한국심리'!$G1169,"")</f>
        <v/>
      </c>
      <c r="X1185">
        <f>IF(AND(ISNUMBER('자료_한국심리'!$J1169),ISNUMBER('자료_한국심리'!$K1169)),'자료_한국심리'!$J1169,"")</f>
        <v/>
      </c>
      <c r="Y1185">
        <f>IF(AND(ISNUMBER('자료_한국심리'!$M1169),ISNUMBER('자료_한국심리'!$N1169)),'자료_한국심리'!$M1169,"")</f>
        <v/>
      </c>
    </row>
    <row r="1186">
      <c r="A1186" s="10">
        <f>IF(1168&gt;$E$5,"",SMALL($U$19:$U$4018,$E$6+1168))</f>
        <v/>
      </c>
      <c r="B1186" s="29">
        <f>IF(A1186="","",INDEX('자료_한국심리'!$B$3:$B$4002,MATCH(A1186,$U$19:$U$4018,0)))</f>
        <v/>
      </c>
      <c r="C1186" s="22">
        <f>IF(A1186="","",B1186/AVERAGE(B1062:B1186)-1)</f>
        <v/>
      </c>
      <c r="D1186" s="29">
        <f>IF(A1186="","",IFERROR(INDEX('자료_한국심리'!$E$3:$E$4002,MATCH(A1186,$V$19:$V$4018,0)),D1185))</f>
        <v/>
      </c>
      <c r="E1186" s="30">
        <f>IF(A1186="","",IFERROR(INDEX('자료_한국심리'!$H$3:$H$4002,MATCH(A1186,$W$19:$W$4018,0)),E1185))</f>
        <v/>
      </c>
      <c r="F1186" s="30">
        <f>IF(A1186="","",IFERROR(INDEX('자료_한국심리'!$K$3:$K$4002,MATCH(A1186,$X$19:$X$4018,0)),F1185))</f>
        <v/>
      </c>
      <c r="G1186" s="30">
        <f>IF(AND(ISNUMBER(E1186),ISNUMBER(F1186)),ROUND(E1186-F1186,6),"")</f>
        <v/>
      </c>
      <c r="H1186" s="25">
        <f>IF(A1186="","",IFERROR(INDEX('자료_한국심리'!$N$3:$N$4002,MATCH(A1186,$Y$19:$Y$4018,0)),H1185))</f>
        <v/>
      </c>
      <c r="I1186" s="31">
        <f>IF(AND(ISNUMBER(H1186),ISNUMBER(H1166)),IF(H1166&gt;0,H1186/H1166-1,""),"")</f>
        <v/>
      </c>
      <c r="J1186">
        <f>IF(A1186="",0,IF(A1186&gt;$B$5,1,0))</f>
        <v/>
      </c>
      <c r="K1186" s="29">
        <f>IF(AND(J1186=1,ISNUMBER(D1186)),D1186,"")</f>
        <v/>
      </c>
      <c r="L1186" s="30">
        <f>IF(AND(J1186=1,ISNUMBER(G1186)),G1186,"")</f>
        <v/>
      </c>
      <c r="M1186" s="22">
        <f>IF(AND(J1186=1,ISNUMBER(C1186)),C1186,"")</f>
        <v/>
      </c>
      <c r="N1186" s="31">
        <f>IF(AND(J1186=1,ISNUMBER(I1186)),I1186,"")</f>
        <v/>
      </c>
      <c r="O1186" s="11">
        <f>IF(K1186="","",100-IF($G$13=1,50,(_xlfn.RANK.AVG(K1186,$K$19:$K$1518,1)-1)/($G$13-1)*100))</f>
        <v/>
      </c>
      <c r="P1186" s="11">
        <f>IF(L1186="","",100-IF($G$14=1,50,(_xlfn.RANK.AVG(L1186,$L$19:$L$1518,1)-1)/($G$14-1)*100))</f>
        <v/>
      </c>
      <c r="Q1186" s="11">
        <f>IF(M1186="","",IF($G$15=1,50,(_xlfn.RANK.AVG(M1186,$M$19:$M$1518,1)-1)/($G$15-1)*100))</f>
        <v/>
      </c>
      <c r="R1186" s="11">
        <f>IF(N1186="","",IF($G$16=1,50,(_xlfn.RANK.AVG(N1186,$N$19:$N$1518,1)-1)/($G$16-1)*100))</f>
        <v/>
      </c>
      <c r="S1186" s="11">
        <f>IF(COUNT(O1186:R1186)=4,ROUND(AVERAGE(O1186:R1186),6),"")</f>
        <v/>
      </c>
      <c r="U1186">
        <f>IF(AND(ISNUMBER('자료_한국심리'!$A1170),ISNUMBER('자료_한국심리'!$B1170)),'자료_한국심리'!$A1170,"")</f>
        <v/>
      </c>
      <c r="V1186">
        <f>IF(AND(ISNUMBER('자료_한국심리'!$D1170),ISNUMBER('자료_한국심리'!$E1170)),'자료_한국심리'!$D1170,"")</f>
        <v/>
      </c>
      <c r="W1186">
        <f>IF(AND(ISNUMBER('자료_한국심리'!$G1170),ISNUMBER('자료_한국심리'!$H1170)),'자료_한국심리'!$G1170,"")</f>
        <v/>
      </c>
      <c r="X1186">
        <f>IF(AND(ISNUMBER('자료_한국심리'!$J1170),ISNUMBER('자료_한국심리'!$K1170)),'자료_한국심리'!$J1170,"")</f>
        <v/>
      </c>
      <c r="Y1186">
        <f>IF(AND(ISNUMBER('자료_한국심리'!$M1170),ISNUMBER('자료_한국심리'!$N1170)),'자료_한국심리'!$M1170,"")</f>
        <v/>
      </c>
    </row>
    <row r="1187">
      <c r="A1187" s="10">
        <f>IF(1169&gt;$E$5,"",SMALL($U$19:$U$4018,$E$6+1169))</f>
        <v/>
      </c>
      <c r="B1187" s="29">
        <f>IF(A1187="","",INDEX('자료_한국심리'!$B$3:$B$4002,MATCH(A1187,$U$19:$U$4018,0)))</f>
        <v/>
      </c>
      <c r="C1187" s="22">
        <f>IF(A1187="","",B1187/AVERAGE(B1063:B1187)-1)</f>
        <v/>
      </c>
      <c r="D1187" s="29">
        <f>IF(A1187="","",IFERROR(INDEX('자료_한국심리'!$E$3:$E$4002,MATCH(A1187,$V$19:$V$4018,0)),D1186))</f>
        <v/>
      </c>
      <c r="E1187" s="30">
        <f>IF(A1187="","",IFERROR(INDEX('자료_한국심리'!$H$3:$H$4002,MATCH(A1187,$W$19:$W$4018,0)),E1186))</f>
        <v/>
      </c>
      <c r="F1187" s="30">
        <f>IF(A1187="","",IFERROR(INDEX('자료_한국심리'!$K$3:$K$4002,MATCH(A1187,$X$19:$X$4018,0)),F1186))</f>
        <v/>
      </c>
      <c r="G1187" s="30">
        <f>IF(AND(ISNUMBER(E1187),ISNUMBER(F1187)),ROUND(E1187-F1187,6),"")</f>
        <v/>
      </c>
      <c r="H1187" s="25">
        <f>IF(A1187="","",IFERROR(INDEX('자료_한국심리'!$N$3:$N$4002,MATCH(A1187,$Y$19:$Y$4018,0)),H1186))</f>
        <v/>
      </c>
      <c r="I1187" s="31">
        <f>IF(AND(ISNUMBER(H1187),ISNUMBER(H1167)),IF(H1167&gt;0,H1187/H1167-1,""),"")</f>
        <v/>
      </c>
      <c r="J1187">
        <f>IF(A1187="",0,IF(A1187&gt;$B$5,1,0))</f>
        <v/>
      </c>
      <c r="K1187" s="29">
        <f>IF(AND(J1187=1,ISNUMBER(D1187)),D1187,"")</f>
        <v/>
      </c>
      <c r="L1187" s="30">
        <f>IF(AND(J1187=1,ISNUMBER(G1187)),G1187,"")</f>
        <v/>
      </c>
      <c r="M1187" s="22">
        <f>IF(AND(J1187=1,ISNUMBER(C1187)),C1187,"")</f>
        <v/>
      </c>
      <c r="N1187" s="31">
        <f>IF(AND(J1187=1,ISNUMBER(I1187)),I1187,"")</f>
        <v/>
      </c>
      <c r="O1187" s="11">
        <f>IF(K1187="","",100-IF($G$13=1,50,(_xlfn.RANK.AVG(K1187,$K$19:$K$1518,1)-1)/($G$13-1)*100))</f>
        <v/>
      </c>
      <c r="P1187" s="11">
        <f>IF(L1187="","",100-IF($G$14=1,50,(_xlfn.RANK.AVG(L1187,$L$19:$L$1518,1)-1)/($G$14-1)*100))</f>
        <v/>
      </c>
      <c r="Q1187" s="11">
        <f>IF(M1187="","",IF($G$15=1,50,(_xlfn.RANK.AVG(M1187,$M$19:$M$1518,1)-1)/($G$15-1)*100))</f>
        <v/>
      </c>
      <c r="R1187" s="11">
        <f>IF(N1187="","",IF($G$16=1,50,(_xlfn.RANK.AVG(N1187,$N$19:$N$1518,1)-1)/($G$16-1)*100))</f>
        <v/>
      </c>
      <c r="S1187" s="11">
        <f>IF(COUNT(O1187:R1187)=4,ROUND(AVERAGE(O1187:R1187),6),"")</f>
        <v/>
      </c>
      <c r="U1187">
        <f>IF(AND(ISNUMBER('자료_한국심리'!$A1171),ISNUMBER('자료_한국심리'!$B1171)),'자료_한국심리'!$A1171,"")</f>
        <v/>
      </c>
      <c r="V1187">
        <f>IF(AND(ISNUMBER('자료_한국심리'!$D1171),ISNUMBER('자료_한국심리'!$E1171)),'자료_한국심리'!$D1171,"")</f>
        <v/>
      </c>
      <c r="W1187">
        <f>IF(AND(ISNUMBER('자료_한국심리'!$G1171),ISNUMBER('자료_한국심리'!$H1171)),'자료_한국심리'!$G1171,"")</f>
        <v/>
      </c>
      <c r="X1187">
        <f>IF(AND(ISNUMBER('자료_한국심리'!$J1171),ISNUMBER('자료_한국심리'!$K1171)),'자료_한국심리'!$J1171,"")</f>
        <v/>
      </c>
      <c r="Y1187">
        <f>IF(AND(ISNUMBER('자료_한국심리'!$M1171),ISNUMBER('자료_한국심리'!$N1171)),'자료_한국심리'!$M1171,"")</f>
        <v/>
      </c>
    </row>
    <row r="1188">
      <c r="A1188" s="10">
        <f>IF(1170&gt;$E$5,"",SMALL($U$19:$U$4018,$E$6+1170))</f>
        <v/>
      </c>
      <c r="B1188" s="29">
        <f>IF(A1188="","",INDEX('자료_한국심리'!$B$3:$B$4002,MATCH(A1188,$U$19:$U$4018,0)))</f>
        <v/>
      </c>
      <c r="C1188" s="22">
        <f>IF(A1188="","",B1188/AVERAGE(B1064:B1188)-1)</f>
        <v/>
      </c>
      <c r="D1188" s="29">
        <f>IF(A1188="","",IFERROR(INDEX('자료_한국심리'!$E$3:$E$4002,MATCH(A1188,$V$19:$V$4018,0)),D1187))</f>
        <v/>
      </c>
      <c r="E1188" s="30">
        <f>IF(A1188="","",IFERROR(INDEX('자료_한국심리'!$H$3:$H$4002,MATCH(A1188,$W$19:$W$4018,0)),E1187))</f>
        <v/>
      </c>
      <c r="F1188" s="30">
        <f>IF(A1188="","",IFERROR(INDEX('자료_한국심리'!$K$3:$K$4002,MATCH(A1188,$X$19:$X$4018,0)),F1187))</f>
        <v/>
      </c>
      <c r="G1188" s="30">
        <f>IF(AND(ISNUMBER(E1188),ISNUMBER(F1188)),ROUND(E1188-F1188,6),"")</f>
        <v/>
      </c>
      <c r="H1188" s="25">
        <f>IF(A1188="","",IFERROR(INDEX('자료_한국심리'!$N$3:$N$4002,MATCH(A1188,$Y$19:$Y$4018,0)),H1187))</f>
        <v/>
      </c>
      <c r="I1188" s="31">
        <f>IF(AND(ISNUMBER(H1188),ISNUMBER(H1168)),IF(H1168&gt;0,H1188/H1168-1,""),"")</f>
        <v/>
      </c>
      <c r="J1188">
        <f>IF(A1188="",0,IF(A1188&gt;$B$5,1,0))</f>
        <v/>
      </c>
      <c r="K1188" s="29">
        <f>IF(AND(J1188=1,ISNUMBER(D1188)),D1188,"")</f>
        <v/>
      </c>
      <c r="L1188" s="30">
        <f>IF(AND(J1188=1,ISNUMBER(G1188)),G1188,"")</f>
        <v/>
      </c>
      <c r="M1188" s="22">
        <f>IF(AND(J1188=1,ISNUMBER(C1188)),C1188,"")</f>
        <v/>
      </c>
      <c r="N1188" s="31">
        <f>IF(AND(J1188=1,ISNUMBER(I1188)),I1188,"")</f>
        <v/>
      </c>
      <c r="O1188" s="11">
        <f>IF(K1188="","",100-IF($G$13=1,50,(_xlfn.RANK.AVG(K1188,$K$19:$K$1518,1)-1)/($G$13-1)*100))</f>
        <v/>
      </c>
      <c r="P1188" s="11">
        <f>IF(L1188="","",100-IF($G$14=1,50,(_xlfn.RANK.AVG(L1188,$L$19:$L$1518,1)-1)/($G$14-1)*100))</f>
        <v/>
      </c>
      <c r="Q1188" s="11">
        <f>IF(M1188="","",IF($G$15=1,50,(_xlfn.RANK.AVG(M1188,$M$19:$M$1518,1)-1)/($G$15-1)*100))</f>
        <v/>
      </c>
      <c r="R1188" s="11">
        <f>IF(N1188="","",IF($G$16=1,50,(_xlfn.RANK.AVG(N1188,$N$19:$N$1518,1)-1)/($G$16-1)*100))</f>
        <v/>
      </c>
      <c r="S1188" s="11">
        <f>IF(COUNT(O1188:R1188)=4,ROUND(AVERAGE(O1188:R1188),6),"")</f>
        <v/>
      </c>
      <c r="U1188">
        <f>IF(AND(ISNUMBER('자료_한국심리'!$A1172),ISNUMBER('자료_한국심리'!$B1172)),'자료_한국심리'!$A1172,"")</f>
        <v/>
      </c>
      <c r="V1188">
        <f>IF(AND(ISNUMBER('자료_한국심리'!$D1172),ISNUMBER('자료_한국심리'!$E1172)),'자료_한국심리'!$D1172,"")</f>
        <v/>
      </c>
      <c r="W1188">
        <f>IF(AND(ISNUMBER('자료_한국심리'!$G1172),ISNUMBER('자료_한국심리'!$H1172)),'자료_한국심리'!$G1172,"")</f>
        <v/>
      </c>
      <c r="X1188">
        <f>IF(AND(ISNUMBER('자료_한국심리'!$J1172),ISNUMBER('자료_한국심리'!$K1172)),'자료_한국심리'!$J1172,"")</f>
        <v/>
      </c>
      <c r="Y1188">
        <f>IF(AND(ISNUMBER('자료_한국심리'!$M1172),ISNUMBER('자료_한국심리'!$N1172)),'자료_한국심리'!$M1172,"")</f>
        <v/>
      </c>
    </row>
    <row r="1189">
      <c r="A1189" s="10">
        <f>IF(1171&gt;$E$5,"",SMALL($U$19:$U$4018,$E$6+1171))</f>
        <v/>
      </c>
      <c r="B1189" s="29">
        <f>IF(A1189="","",INDEX('자료_한국심리'!$B$3:$B$4002,MATCH(A1189,$U$19:$U$4018,0)))</f>
        <v/>
      </c>
      <c r="C1189" s="22">
        <f>IF(A1189="","",B1189/AVERAGE(B1065:B1189)-1)</f>
        <v/>
      </c>
      <c r="D1189" s="29">
        <f>IF(A1189="","",IFERROR(INDEX('자료_한국심리'!$E$3:$E$4002,MATCH(A1189,$V$19:$V$4018,0)),D1188))</f>
        <v/>
      </c>
      <c r="E1189" s="30">
        <f>IF(A1189="","",IFERROR(INDEX('자료_한국심리'!$H$3:$H$4002,MATCH(A1189,$W$19:$W$4018,0)),E1188))</f>
        <v/>
      </c>
      <c r="F1189" s="30">
        <f>IF(A1189="","",IFERROR(INDEX('자료_한국심리'!$K$3:$K$4002,MATCH(A1189,$X$19:$X$4018,0)),F1188))</f>
        <v/>
      </c>
      <c r="G1189" s="30">
        <f>IF(AND(ISNUMBER(E1189),ISNUMBER(F1189)),ROUND(E1189-F1189,6),"")</f>
        <v/>
      </c>
      <c r="H1189" s="25">
        <f>IF(A1189="","",IFERROR(INDEX('자료_한국심리'!$N$3:$N$4002,MATCH(A1189,$Y$19:$Y$4018,0)),H1188))</f>
        <v/>
      </c>
      <c r="I1189" s="31">
        <f>IF(AND(ISNUMBER(H1189),ISNUMBER(H1169)),IF(H1169&gt;0,H1189/H1169-1,""),"")</f>
        <v/>
      </c>
      <c r="J1189">
        <f>IF(A1189="",0,IF(A1189&gt;$B$5,1,0))</f>
        <v/>
      </c>
      <c r="K1189" s="29">
        <f>IF(AND(J1189=1,ISNUMBER(D1189)),D1189,"")</f>
        <v/>
      </c>
      <c r="L1189" s="30">
        <f>IF(AND(J1189=1,ISNUMBER(G1189)),G1189,"")</f>
        <v/>
      </c>
      <c r="M1189" s="22">
        <f>IF(AND(J1189=1,ISNUMBER(C1189)),C1189,"")</f>
        <v/>
      </c>
      <c r="N1189" s="31">
        <f>IF(AND(J1189=1,ISNUMBER(I1189)),I1189,"")</f>
        <v/>
      </c>
      <c r="O1189" s="11">
        <f>IF(K1189="","",100-IF($G$13=1,50,(_xlfn.RANK.AVG(K1189,$K$19:$K$1518,1)-1)/($G$13-1)*100))</f>
        <v/>
      </c>
      <c r="P1189" s="11">
        <f>IF(L1189="","",100-IF($G$14=1,50,(_xlfn.RANK.AVG(L1189,$L$19:$L$1518,1)-1)/($G$14-1)*100))</f>
        <v/>
      </c>
      <c r="Q1189" s="11">
        <f>IF(M1189="","",IF($G$15=1,50,(_xlfn.RANK.AVG(M1189,$M$19:$M$1518,1)-1)/($G$15-1)*100))</f>
        <v/>
      </c>
      <c r="R1189" s="11">
        <f>IF(N1189="","",IF($G$16=1,50,(_xlfn.RANK.AVG(N1189,$N$19:$N$1518,1)-1)/($G$16-1)*100))</f>
        <v/>
      </c>
      <c r="S1189" s="11">
        <f>IF(COUNT(O1189:R1189)=4,ROUND(AVERAGE(O1189:R1189),6),"")</f>
        <v/>
      </c>
      <c r="U1189">
        <f>IF(AND(ISNUMBER('자료_한국심리'!$A1173),ISNUMBER('자료_한국심리'!$B1173)),'자료_한국심리'!$A1173,"")</f>
        <v/>
      </c>
      <c r="V1189">
        <f>IF(AND(ISNUMBER('자료_한국심리'!$D1173),ISNUMBER('자료_한국심리'!$E1173)),'자료_한국심리'!$D1173,"")</f>
        <v/>
      </c>
      <c r="W1189">
        <f>IF(AND(ISNUMBER('자료_한국심리'!$G1173),ISNUMBER('자료_한국심리'!$H1173)),'자료_한국심리'!$G1173,"")</f>
        <v/>
      </c>
      <c r="X1189">
        <f>IF(AND(ISNUMBER('자료_한국심리'!$J1173),ISNUMBER('자료_한국심리'!$K1173)),'자료_한국심리'!$J1173,"")</f>
        <v/>
      </c>
      <c r="Y1189">
        <f>IF(AND(ISNUMBER('자료_한국심리'!$M1173),ISNUMBER('자료_한국심리'!$N1173)),'자료_한국심리'!$M1173,"")</f>
        <v/>
      </c>
    </row>
    <row r="1190">
      <c r="A1190" s="10">
        <f>IF(1172&gt;$E$5,"",SMALL($U$19:$U$4018,$E$6+1172))</f>
        <v/>
      </c>
      <c r="B1190" s="29">
        <f>IF(A1190="","",INDEX('자료_한국심리'!$B$3:$B$4002,MATCH(A1190,$U$19:$U$4018,0)))</f>
        <v/>
      </c>
      <c r="C1190" s="22">
        <f>IF(A1190="","",B1190/AVERAGE(B1066:B1190)-1)</f>
        <v/>
      </c>
      <c r="D1190" s="29">
        <f>IF(A1190="","",IFERROR(INDEX('자료_한국심리'!$E$3:$E$4002,MATCH(A1190,$V$19:$V$4018,0)),D1189))</f>
        <v/>
      </c>
      <c r="E1190" s="30">
        <f>IF(A1190="","",IFERROR(INDEX('자료_한국심리'!$H$3:$H$4002,MATCH(A1190,$W$19:$W$4018,0)),E1189))</f>
        <v/>
      </c>
      <c r="F1190" s="30">
        <f>IF(A1190="","",IFERROR(INDEX('자료_한국심리'!$K$3:$K$4002,MATCH(A1190,$X$19:$X$4018,0)),F1189))</f>
        <v/>
      </c>
      <c r="G1190" s="30">
        <f>IF(AND(ISNUMBER(E1190),ISNUMBER(F1190)),ROUND(E1190-F1190,6),"")</f>
        <v/>
      </c>
      <c r="H1190" s="25">
        <f>IF(A1190="","",IFERROR(INDEX('자료_한국심리'!$N$3:$N$4002,MATCH(A1190,$Y$19:$Y$4018,0)),H1189))</f>
        <v/>
      </c>
      <c r="I1190" s="31">
        <f>IF(AND(ISNUMBER(H1190),ISNUMBER(H1170)),IF(H1170&gt;0,H1190/H1170-1,""),"")</f>
        <v/>
      </c>
      <c r="J1190">
        <f>IF(A1190="",0,IF(A1190&gt;$B$5,1,0))</f>
        <v/>
      </c>
      <c r="K1190" s="29">
        <f>IF(AND(J1190=1,ISNUMBER(D1190)),D1190,"")</f>
        <v/>
      </c>
      <c r="L1190" s="30">
        <f>IF(AND(J1190=1,ISNUMBER(G1190)),G1190,"")</f>
        <v/>
      </c>
      <c r="M1190" s="22">
        <f>IF(AND(J1190=1,ISNUMBER(C1190)),C1190,"")</f>
        <v/>
      </c>
      <c r="N1190" s="31">
        <f>IF(AND(J1190=1,ISNUMBER(I1190)),I1190,"")</f>
        <v/>
      </c>
      <c r="O1190" s="11">
        <f>IF(K1190="","",100-IF($G$13=1,50,(_xlfn.RANK.AVG(K1190,$K$19:$K$1518,1)-1)/($G$13-1)*100))</f>
        <v/>
      </c>
      <c r="P1190" s="11">
        <f>IF(L1190="","",100-IF($G$14=1,50,(_xlfn.RANK.AVG(L1190,$L$19:$L$1518,1)-1)/($G$14-1)*100))</f>
        <v/>
      </c>
      <c r="Q1190" s="11">
        <f>IF(M1190="","",IF($G$15=1,50,(_xlfn.RANK.AVG(M1190,$M$19:$M$1518,1)-1)/($G$15-1)*100))</f>
        <v/>
      </c>
      <c r="R1190" s="11">
        <f>IF(N1190="","",IF($G$16=1,50,(_xlfn.RANK.AVG(N1190,$N$19:$N$1518,1)-1)/($G$16-1)*100))</f>
        <v/>
      </c>
      <c r="S1190" s="11">
        <f>IF(COUNT(O1190:R1190)=4,ROUND(AVERAGE(O1190:R1190),6),"")</f>
        <v/>
      </c>
      <c r="U1190">
        <f>IF(AND(ISNUMBER('자료_한국심리'!$A1174),ISNUMBER('자료_한국심리'!$B1174)),'자료_한국심리'!$A1174,"")</f>
        <v/>
      </c>
      <c r="V1190">
        <f>IF(AND(ISNUMBER('자료_한국심리'!$D1174),ISNUMBER('자료_한국심리'!$E1174)),'자료_한국심리'!$D1174,"")</f>
        <v/>
      </c>
      <c r="W1190">
        <f>IF(AND(ISNUMBER('자료_한국심리'!$G1174),ISNUMBER('자료_한국심리'!$H1174)),'자료_한국심리'!$G1174,"")</f>
        <v/>
      </c>
      <c r="X1190">
        <f>IF(AND(ISNUMBER('자료_한국심리'!$J1174),ISNUMBER('자료_한국심리'!$K1174)),'자료_한국심리'!$J1174,"")</f>
        <v/>
      </c>
      <c r="Y1190">
        <f>IF(AND(ISNUMBER('자료_한국심리'!$M1174),ISNUMBER('자료_한국심리'!$N1174)),'자료_한국심리'!$M1174,"")</f>
        <v/>
      </c>
    </row>
    <row r="1191">
      <c r="A1191" s="10">
        <f>IF(1173&gt;$E$5,"",SMALL($U$19:$U$4018,$E$6+1173))</f>
        <v/>
      </c>
      <c r="B1191" s="29">
        <f>IF(A1191="","",INDEX('자료_한국심리'!$B$3:$B$4002,MATCH(A1191,$U$19:$U$4018,0)))</f>
        <v/>
      </c>
      <c r="C1191" s="22">
        <f>IF(A1191="","",B1191/AVERAGE(B1067:B1191)-1)</f>
        <v/>
      </c>
      <c r="D1191" s="29">
        <f>IF(A1191="","",IFERROR(INDEX('자료_한국심리'!$E$3:$E$4002,MATCH(A1191,$V$19:$V$4018,0)),D1190))</f>
        <v/>
      </c>
      <c r="E1191" s="30">
        <f>IF(A1191="","",IFERROR(INDEX('자료_한국심리'!$H$3:$H$4002,MATCH(A1191,$W$19:$W$4018,0)),E1190))</f>
        <v/>
      </c>
      <c r="F1191" s="30">
        <f>IF(A1191="","",IFERROR(INDEX('자료_한국심리'!$K$3:$K$4002,MATCH(A1191,$X$19:$X$4018,0)),F1190))</f>
        <v/>
      </c>
      <c r="G1191" s="30">
        <f>IF(AND(ISNUMBER(E1191),ISNUMBER(F1191)),ROUND(E1191-F1191,6),"")</f>
        <v/>
      </c>
      <c r="H1191" s="25">
        <f>IF(A1191="","",IFERROR(INDEX('자료_한국심리'!$N$3:$N$4002,MATCH(A1191,$Y$19:$Y$4018,0)),H1190))</f>
        <v/>
      </c>
      <c r="I1191" s="31">
        <f>IF(AND(ISNUMBER(H1191),ISNUMBER(H1171)),IF(H1171&gt;0,H1191/H1171-1,""),"")</f>
        <v/>
      </c>
      <c r="J1191">
        <f>IF(A1191="",0,IF(A1191&gt;$B$5,1,0))</f>
        <v/>
      </c>
      <c r="K1191" s="29">
        <f>IF(AND(J1191=1,ISNUMBER(D1191)),D1191,"")</f>
        <v/>
      </c>
      <c r="L1191" s="30">
        <f>IF(AND(J1191=1,ISNUMBER(G1191)),G1191,"")</f>
        <v/>
      </c>
      <c r="M1191" s="22">
        <f>IF(AND(J1191=1,ISNUMBER(C1191)),C1191,"")</f>
        <v/>
      </c>
      <c r="N1191" s="31">
        <f>IF(AND(J1191=1,ISNUMBER(I1191)),I1191,"")</f>
        <v/>
      </c>
      <c r="O1191" s="11">
        <f>IF(K1191="","",100-IF($G$13=1,50,(_xlfn.RANK.AVG(K1191,$K$19:$K$1518,1)-1)/($G$13-1)*100))</f>
        <v/>
      </c>
      <c r="P1191" s="11">
        <f>IF(L1191="","",100-IF($G$14=1,50,(_xlfn.RANK.AVG(L1191,$L$19:$L$1518,1)-1)/($G$14-1)*100))</f>
        <v/>
      </c>
      <c r="Q1191" s="11">
        <f>IF(M1191="","",IF($G$15=1,50,(_xlfn.RANK.AVG(M1191,$M$19:$M$1518,1)-1)/($G$15-1)*100))</f>
        <v/>
      </c>
      <c r="R1191" s="11">
        <f>IF(N1191="","",IF($G$16=1,50,(_xlfn.RANK.AVG(N1191,$N$19:$N$1518,1)-1)/($G$16-1)*100))</f>
        <v/>
      </c>
      <c r="S1191" s="11">
        <f>IF(COUNT(O1191:R1191)=4,ROUND(AVERAGE(O1191:R1191),6),"")</f>
        <v/>
      </c>
      <c r="U1191">
        <f>IF(AND(ISNUMBER('자료_한국심리'!$A1175),ISNUMBER('자료_한국심리'!$B1175)),'자료_한국심리'!$A1175,"")</f>
        <v/>
      </c>
      <c r="V1191">
        <f>IF(AND(ISNUMBER('자료_한국심리'!$D1175),ISNUMBER('자료_한국심리'!$E1175)),'자료_한국심리'!$D1175,"")</f>
        <v/>
      </c>
      <c r="W1191">
        <f>IF(AND(ISNUMBER('자료_한국심리'!$G1175),ISNUMBER('자료_한국심리'!$H1175)),'자료_한국심리'!$G1175,"")</f>
        <v/>
      </c>
      <c r="X1191">
        <f>IF(AND(ISNUMBER('자료_한국심리'!$J1175),ISNUMBER('자료_한국심리'!$K1175)),'자료_한국심리'!$J1175,"")</f>
        <v/>
      </c>
      <c r="Y1191">
        <f>IF(AND(ISNUMBER('자료_한국심리'!$M1175),ISNUMBER('자료_한국심리'!$N1175)),'자료_한국심리'!$M1175,"")</f>
        <v/>
      </c>
    </row>
    <row r="1192">
      <c r="A1192" s="10">
        <f>IF(1174&gt;$E$5,"",SMALL($U$19:$U$4018,$E$6+1174))</f>
        <v/>
      </c>
      <c r="B1192" s="29">
        <f>IF(A1192="","",INDEX('자료_한국심리'!$B$3:$B$4002,MATCH(A1192,$U$19:$U$4018,0)))</f>
        <v/>
      </c>
      <c r="C1192" s="22">
        <f>IF(A1192="","",B1192/AVERAGE(B1068:B1192)-1)</f>
        <v/>
      </c>
      <c r="D1192" s="29">
        <f>IF(A1192="","",IFERROR(INDEX('자료_한국심리'!$E$3:$E$4002,MATCH(A1192,$V$19:$V$4018,0)),D1191))</f>
        <v/>
      </c>
      <c r="E1192" s="30">
        <f>IF(A1192="","",IFERROR(INDEX('자료_한국심리'!$H$3:$H$4002,MATCH(A1192,$W$19:$W$4018,0)),E1191))</f>
        <v/>
      </c>
      <c r="F1192" s="30">
        <f>IF(A1192="","",IFERROR(INDEX('자료_한국심리'!$K$3:$K$4002,MATCH(A1192,$X$19:$X$4018,0)),F1191))</f>
        <v/>
      </c>
      <c r="G1192" s="30">
        <f>IF(AND(ISNUMBER(E1192),ISNUMBER(F1192)),ROUND(E1192-F1192,6),"")</f>
        <v/>
      </c>
      <c r="H1192" s="25">
        <f>IF(A1192="","",IFERROR(INDEX('자료_한국심리'!$N$3:$N$4002,MATCH(A1192,$Y$19:$Y$4018,0)),H1191))</f>
        <v/>
      </c>
      <c r="I1192" s="31">
        <f>IF(AND(ISNUMBER(H1192),ISNUMBER(H1172)),IF(H1172&gt;0,H1192/H1172-1,""),"")</f>
        <v/>
      </c>
      <c r="J1192">
        <f>IF(A1192="",0,IF(A1192&gt;$B$5,1,0))</f>
        <v/>
      </c>
      <c r="K1192" s="29">
        <f>IF(AND(J1192=1,ISNUMBER(D1192)),D1192,"")</f>
        <v/>
      </c>
      <c r="L1192" s="30">
        <f>IF(AND(J1192=1,ISNUMBER(G1192)),G1192,"")</f>
        <v/>
      </c>
      <c r="M1192" s="22">
        <f>IF(AND(J1192=1,ISNUMBER(C1192)),C1192,"")</f>
        <v/>
      </c>
      <c r="N1192" s="31">
        <f>IF(AND(J1192=1,ISNUMBER(I1192)),I1192,"")</f>
        <v/>
      </c>
      <c r="O1192" s="11">
        <f>IF(K1192="","",100-IF($G$13=1,50,(_xlfn.RANK.AVG(K1192,$K$19:$K$1518,1)-1)/($G$13-1)*100))</f>
        <v/>
      </c>
      <c r="P1192" s="11">
        <f>IF(L1192="","",100-IF($G$14=1,50,(_xlfn.RANK.AVG(L1192,$L$19:$L$1518,1)-1)/($G$14-1)*100))</f>
        <v/>
      </c>
      <c r="Q1192" s="11">
        <f>IF(M1192="","",IF($G$15=1,50,(_xlfn.RANK.AVG(M1192,$M$19:$M$1518,1)-1)/($G$15-1)*100))</f>
        <v/>
      </c>
      <c r="R1192" s="11">
        <f>IF(N1192="","",IF($G$16=1,50,(_xlfn.RANK.AVG(N1192,$N$19:$N$1518,1)-1)/($G$16-1)*100))</f>
        <v/>
      </c>
      <c r="S1192" s="11">
        <f>IF(COUNT(O1192:R1192)=4,ROUND(AVERAGE(O1192:R1192),6),"")</f>
        <v/>
      </c>
      <c r="U1192">
        <f>IF(AND(ISNUMBER('자료_한국심리'!$A1176),ISNUMBER('자료_한국심리'!$B1176)),'자료_한국심리'!$A1176,"")</f>
        <v/>
      </c>
      <c r="V1192">
        <f>IF(AND(ISNUMBER('자료_한국심리'!$D1176),ISNUMBER('자료_한국심리'!$E1176)),'자료_한국심리'!$D1176,"")</f>
        <v/>
      </c>
      <c r="W1192">
        <f>IF(AND(ISNUMBER('자료_한국심리'!$G1176),ISNUMBER('자료_한국심리'!$H1176)),'자료_한국심리'!$G1176,"")</f>
        <v/>
      </c>
      <c r="X1192">
        <f>IF(AND(ISNUMBER('자료_한국심리'!$J1176),ISNUMBER('자료_한국심리'!$K1176)),'자료_한국심리'!$J1176,"")</f>
        <v/>
      </c>
      <c r="Y1192">
        <f>IF(AND(ISNUMBER('자료_한국심리'!$M1176),ISNUMBER('자료_한국심리'!$N1176)),'자료_한국심리'!$M1176,"")</f>
        <v/>
      </c>
    </row>
    <row r="1193">
      <c r="A1193" s="10">
        <f>IF(1175&gt;$E$5,"",SMALL($U$19:$U$4018,$E$6+1175))</f>
        <v/>
      </c>
      <c r="B1193" s="29">
        <f>IF(A1193="","",INDEX('자료_한국심리'!$B$3:$B$4002,MATCH(A1193,$U$19:$U$4018,0)))</f>
        <v/>
      </c>
      <c r="C1193" s="22">
        <f>IF(A1193="","",B1193/AVERAGE(B1069:B1193)-1)</f>
        <v/>
      </c>
      <c r="D1193" s="29">
        <f>IF(A1193="","",IFERROR(INDEX('자료_한국심리'!$E$3:$E$4002,MATCH(A1193,$V$19:$V$4018,0)),D1192))</f>
        <v/>
      </c>
      <c r="E1193" s="30">
        <f>IF(A1193="","",IFERROR(INDEX('자료_한국심리'!$H$3:$H$4002,MATCH(A1193,$W$19:$W$4018,0)),E1192))</f>
        <v/>
      </c>
      <c r="F1193" s="30">
        <f>IF(A1193="","",IFERROR(INDEX('자료_한국심리'!$K$3:$K$4002,MATCH(A1193,$X$19:$X$4018,0)),F1192))</f>
        <v/>
      </c>
      <c r="G1193" s="30">
        <f>IF(AND(ISNUMBER(E1193),ISNUMBER(F1193)),ROUND(E1193-F1193,6),"")</f>
        <v/>
      </c>
      <c r="H1193" s="25">
        <f>IF(A1193="","",IFERROR(INDEX('자료_한국심리'!$N$3:$N$4002,MATCH(A1193,$Y$19:$Y$4018,0)),H1192))</f>
        <v/>
      </c>
      <c r="I1193" s="31">
        <f>IF(AND(ISNUMBER(H1193),ISNUMBER(H1173)),IF(H1173&gt;0,H1193/H1173-1,""),"")</f>
        <v/>
      </c>
      <c r="J1193">
        <f>IF(A1193="",0,IF(A1193&gt;$B$5,1,0))</f>
        <v/>
      </c>
      <c r="K1193" s="29">
        <f>IF(AND(J1193=1,ISNUMBER(D1193)),D1193,"")</f>
        <v/>
      </c>
      <c r="L1193" s="30">
        <f>IF(AND(J1193=1,ISNUMBER(G1193)),G1193,"")</f>
        <v/>
      </c>
      <c r="M1193" s="22">
        <f>IF(AND(J1193=1,ISNUMBER(C1193)),C1193,"")</f>
        <v/>
      </c>
      <c r="N1193" s="31">
        <f>IF(AND(J1193=1,ISNUMBER(I1193)),I1193,"")</f>
        <v/>
      </c>
      <c r="O1193" s="11">
        <f>IF(K1193="","",100-IF($G$13=1,50,(_xlfn.RANK.AVG(K1193,$K$19:$K$1518,1)-1)/($G$13-1)*100))</f>
        <v/>
      </c>
      <c r="P1193" s="11">
        <f>IF(L1193="","",100-IF($G$14=1,50,(_xlfn.RANK.AVG(L1193,$L$19:$L$1518,1)-1)/($G$14-1)*100))</f>
        <v/>
      </c>
      <c r="Q1193" s="11">
        <f>IF(M1193="","",IF($G$15=1,50,(_xlfn.RANK.AVG(M1193,$M$19:$M$1518,1)-1)/($G$15-1)*100))</f>
        <v/>
      </c>
      <c r="R1193" s="11">
        <f>IF(N1193="","",IF($G$16=1,50,(_xlfn.RANK.AVG(N1193,$N$19:$N$1518,1)-1)/($G$16-1)*100))</f>
        <v/>
      </c>
      <c r="S1193" s="11">
        <f>IF(COUNT(O1193:R1193)=4,ROUND(AVERAGE(O1193:R1193),6),"")</f>
        <v/>
      </c>
      <c r="U1193">
        <f>IF(AND(ISNUMBER('자료_한국심리'!$A1177),ISNUMBER('자료_한국심리'!$B1177)),'자료_한국심리'!$A1177,"")</f>
        <v/>
      </c>
      <c r="V1193">
        <f>IF(AND(ISNUMBER('자료_한국심리'!$D1177),ISNUMBER('자료_한국심리'!$E1177)),'자료_한국심리'!$D1177,"")</f>
        <v/>
      </c>
      <c r="W1193">
        <f>IF(AND(ISNUMBER('자료_한국심리'!$G1177),ISNUMBER('자료_한국심리'!$H1177)),'자료_한국심리'!$G1177,"")</f>
        <v/>
      </c>
      <c r="X1193">
        <f>IF(AND(ISNUMBER('자료_한국심리'!$J1177),ISNUMBER('자료_한국심리'!$K1177)),'자료_한국심리'!$J1177,"")</f>
        <v/>
      </c>
      <c r="Y1193">
        <f>IF(AND(ISNUMBER('자료_한국심리'!$M1177),ISNUMBER('자료_한국심리'!$N1177)),'자료_한국심리'!$M1177,"")</f>
        <v/>
      </c>
    </row>
    <row r="1194">
      <c r="A1194" s="10">
        <f>IF(1176&gt;$E$5,"",SMALL($U$19:$U$4018,$E$6+1176))</f>
        <v/>
      </c>
      <c r="B1194" s="29">
        <f>IF(A1194="","",INDEX('자료_한국심리'!$B$3:$B$4002,MATCH(A1194,$U$19:$U$4018,0)))</f>
        <v/>
      </c>
      <c r="C1194" s="22">
        <f>IF(A1194="","",B1194/AVERAGE(B1070:B1194)-1)</f>
        <v/>
      </c>
      <c r="D1194" s="29">
        <f>IF(A1194="","",IFERROR(INDEX('자료_한국심리'!$E$3:$E$4002,MATCH(A1194,$V$19:$V$4018,0)),D1193))</f>
        <v/>
      </c>
      <c r="E1194" s="30">
        <f>IF(A1194="","",IFERROR(INDEX('자료_한국심리'!$H$3:$H$4002,MATCH(A1194,$W$19:$W$4018,0)),E1193))</f>
        <v/>
      </c>
      <c r="F1194" s="30">
        <f>IF(A1194="","",IFERROR(INDEX('자료_한국심리'!$K$3:$K$4002,MATCH(A1194,$X$19:$X$4018,0)),F1193))</f>
        <v/>
      </c>
      <c r="G1194" s="30">
        <f>IF(AND(ISNUMBER(E1194),ISNUMBER(F1194)),ROUND(E1194-F1194,6),"")</f>
        <v/>
      </c>
      <c r="H1194" s="25">
        <f>IF(A1194="","",IFERROR(INDEX('자료_한국심리'!$N$3:$N$4002,MATCH(A1194,$Y$19:$Y$4018,0)),H1193))</f>
        <v/>
      </c>
      <c r="I1194" s="31">
        <f>IF(AND(ISNUMBER(H1194),ISNUMBER(H1174)),IF(H1174&gt;0,H1194/H1174-1,""),"")</f>
        <v/>
      </c>
      <c r="J1194">
        <f>IF(A1194="",0,IF(A1194&gt;$B$5,1,0))</f>
        <v/>
      </c>
      <c r="K1194" s="29">
        <f>IF(AND(J1194=1,ISNUMBER(D1194)),D1194,"")</f>
        <v/>
      </c>
      <c r="L1194" s="30">
        <f>IF(AND(J1194=1,ISNUMBER(G1194)),G1194,"")</f>
        <v/>
      </c>
      <c r="M1194" s="22">
        <f>IF(AND(J1194=1,ISNUMBER(C1194)),C1194,"")</f>
        <v/>
      </c>
      <c r="N1194" s="31">
        <f>IF(AND(J1194=1,ISNUMBER(I1194)),I1194,"")</f>
        <v/>
      </c>
      <c r="O1194" s="11">
        <f>IF(K1194="","",100-IF($G$13=1,50,(_xlfn.RANK.AVG(K1194,$K$19:$K$1518,1)-1)/($G$13-1)*100))</f>
        <v/>
      </c>
      <c r="P1194" s="11">
        <f>IF(L1194="","",100-IF($G$14=1,50,(_xlfn.RANK.AVG(L1194,$L$19:$L$1518,1)-1)/($G$14-1)*100))</f>
        <v/>
      </c>
      <c r="Q1194" s="11">
        <f>IF(M1194="","",IF($G$15=1,50,(_xlfn.RANK.AVG(M1194,$M$19:$M$1518,1)-1)/($G$15-1)*100))</f>
        <v/>
      </c>
      <c r="R1194" s="11">
        <f>IF(N1194="","",IF($G$16=1,50,(_xlfn.RANK.AVG(N1194,$N$19:$N$1518,1)-1)/($G$16-1)*100))</f>
        <v/>
      </c>
      <c r="S1194" s="11">
        <f>IF(COUNT(O1194:R1194)=4,ROUND(AVERAGE(O1194:R1194),6),"")</f>
        <v/>
      </c>
      <c r="U1194">
        <f>IF(AND(ISNUMBER('자료_한국심리'!$A1178),ISNUMBER('자료_한국심리'!$B1178)),'자료_한국심리'!$A1178,"")</f>
        <v/>
      </c>
      <c r="V1194">
        <f>IF(AND(ISNUMBER('자료_한국심리'!$D1178),ISNUMBER('자료_한국심리'!$E1178)),'자료_한국심리'!$D1178,"")</f>
        <v/>
      </c>
      <c r="W1194">
        <f>IF(AND(ISNUMBER('자료_한국심리'!$G1178),ISNUMBER('자료_한국심리'!$H1178)),'자료_한국심리'!$G1178,"")</f>
        <v/>
      </c>
      <c r="X1194">
        <f>IF(AND(ISNUMBER('자료_한국심리'!$J1178),ISNUMBER('자료_한국심리'!$K1178)),'자료_한국심리'!$J1178,"")</f>
        <v/>
      </c>
      <c r="Y1194">
        <f>IF(AND(ISNUMBER('자료_한국심리'!$M1178),ISNUMBER('자료_한국심리'!$N1178)),'자료_한국심리'!$M1178,"")</f>
        <v/>
      </c>
    </row>
    <row r="1195">
      <c r="A1195" s="10">
        <f>IF(1177&gt;$E$5,"",SMALL($U$19:$U$4018,$E$6+1177))</f>
        <v/>
      </c>
      <c r="B1195" s="29">
        <f>IF(A1195="","",INDEX('자료_한국심리'!$B$3:$B$4002,MATCH(A1195,$U$19:$U$4018,0)))</f>
        <v/>
      </c>
      <c r="C1195" s="22">
        <f>IF(A1195="","",B1195/AVERAGE(B1071:B1195)-1)</f>
        <v/>
      </c>
      <c r="D1195" s="29">
        <f>IF(A1195="","",IFERROR(INDEX('자료_한국심리'!$E$3:$E$4002,MATCH(A1195,$V$19:$V$4018,0)),D1194))</f>
        <v/>
      </c>
      <c r="E1195" s="30">
        <f>IF(A1195="","",IFERROR(INDEX('자료_한국심리'!$H$3:$H$4002,MATCH(A1195,$W$19:$W$4018,0)),E1194))</f>
        <v/>
      </c>
      <c r="F1195" s="30">
        <f>IF(A1195="","",IFERROR(INDEX('자료_한국심리'!$K$3:$K$4002,MATCH(A1195,$X$19:$X$4018,0)),F1194))</f>
        <v/>
      </c>
      <c r="G1195" s="30">
        <f>IF(AND(ISNUMBER(E1195),ISNUMBER(F1195)),ROUND(E1195-F1195,6),"")</f>
        <v/>
      </c>
      <c r="H1195" s="25">
        <f>IF(A1195="","",IFERROR(INDEX('자료_한국심리'!$N$3:$N$4002,MATCH(A1195,$Y$19:$Y$4018,0)),H1194))</f>
        <v/>
      </c>
      <c r="I1195" s="31">
        <f>IF(AND(ISNUMBER(H1195),ISNUMBER(H1175)),IF(H1175&gt;0,H1195/H1175-1,""),"")</f>
        <v/>
      </c>
      <c r="J1195">
        <f>IF(A1195="",0,IF(A1195&gt;$B$5,1,0))</f>
        <v/>
      </c>
      <c r="K1195" s="29">
        <f>IF(AND(J1195=1,ISNUMBER(D1195)),D1195,"")</f>
        <v/>
      </c>
      <c r="L1195" s="30">
        <f>IF(AND(J1195=1,ISNUMBER(G1195)),G1195,"")</f>
        <v/>
      </c>
      <c r="M1195" s="22">
        <f>IF(AND(J1195=1,ISNUMBER(C1195)),C1195,"")</f>
        <v/>
      </c>
      <c r="N1195" s="31">
        <f>IF(AND(J1195=1,ISNUMBER(I1195)),I1195,"")</f>
        <v/>
      </c>
      <c r="O1195" s="11">
        <f>IF(K1195="","",100-IF($G$13=1,50,(_xlfn.RANK.AVG(K1195,$K$19:$K$1518,1)-1)/($G$13-1)*100))</f>
        <v/>
      </c>
      <c r="P1195" s="11">
        <f>IF(L1195="","",100-IF($G$14=1,50,(_xlfn.RANK.AVG(L1195,$L$19:$L$1518,1)-1)/($G$14-1)*100))</f>
        <v/>
      </c>
      <c r="Q1195" s="11">
        <f>IF(M1195="","",IF($G$15=1,50,(_xlfn.RANK.AVG(M1195,$M$19:$M$1518,1)-1)/($G$15-1)*100))</f>
        <v/>
      </c>
      <c r="R1195" s="11">
        <f>IF(N1195="","",IF($G$16=1,50,(_xlfn.RANK.AVG(N1195,$N$19:$N$1518,1)-1)/($G$16-1)*100))</f>
        <v/>
      </c>
      <c r="S1195" s="11">
        <f>IF(COUNT(O1195:R1195)=4,ROUND(AVERAGE(O1195:R1195),6),"")</f>
        <v/>
      </c>
      <c r="U1195">
        <f>IF(AND(ISNUMBER('자료_한국심리'!$A1179),ISNUMBER('자료_한국심리'!$B1179)),'자료_한국심리'!$A1179,"")</f>
        <v/>
      </c>
      <c r="V1195">
        <f>IF(AND(ISNUMBER('자료_한국심리'!$D1179),ISNUMBER('자료_한국심리'!$E1179)),'자료_한국심리'!$D1179,"")</f>
        <v/>
      </c>
      <c r="W1195">
        <f>IF(AND(ISNUMBER('자료_한국심리'!$G1179),ISNUMBER('자료_한국심리'!$H1179)),'자료_한국심리'!$G1179,"")</f>
        <v/>
      </c>
      <c r="X1195">
        <f>IF(AND(ISNUMBER('자료_한국심리'!$J1179),ISNUMBER('자료_한국심리'!$K1179)),'자료_한국심리'!$J1179,"")</f>
        <v/>
      </c>
      <c r="Y1195">
        <f>IF(AND(ISNUMBER('자료_한국심리'!$M1179),ISNUMBER('자료_한국심리'!$N1179)),'자료_한국심리'!$M1179,"")</f>
        <v/>
      </c>
    </row>
    <row r="1196">
      <c r="A1196" s="10">
        <f>IF(1178&gt;$E$5,"",SMALL($U$19:$U$4018,$E$6+1178))</f>
        <v/>
      </c>
      <c r="B1196" s="29">
        <f>IF(A1196="","",INDEX('자료_한국심리'!$B$3:$B$4002,MATCH(A1196,$U$19:$U$4018,0)))</f>
        <v/>
      </c>
      <c r="C1196" s="22">
        <f>IF(A1196="","",B1196/AVERAGE(B1072:B1196)-1)</f>
        <v/>
      </c>
      <c r="D1196" s="29">
        <f>IF(A1196="","",IFERROR(INDEX('자료_한국심리'!$E$3:$E$4002,MATCH(A1196,$V$19:$V$4018,0)),D1195))</f>
        <v/>
      </c>
      <c r="E1196" s="30">
        <f>IF(A1196="","",IFERROR(INDEX('자료_한국심리'!$H$3:$H$4002,MATCH(A1196,$W$19:$W$4018,0)),E1195))</f>
        <v/>
      </c>
      <c r="F1196" s="30">
        <f>IF(A1196="","",IFERROR(INDEX('자료_한국심리'!$K$3:$K$4002,MATCH(A1196,$X$19:$X$4018,0)),F1195))</f>
        <v/>
      </c>
      <c r="G1196" s="30">
        <f>IF(AND(ISNUMBER(E1196),ISNUMBER(F1196)),ROUND(E1196-F1196,6),"")</f>
        <v/>
      </c>
      <c r="H1196" s="25">
        <f>IF(A1196="","",IFERROR(INDEX('자료_한국심리'!$N$3:$N$4002,MATCH(A1196,$Y$19:$Y$4018,0)),H1195))</f>
        <v/>
      </c>
      <c r="I1196" s="31">
        <f>IF(AND(ISNUMBER(H1196),ISNUMBER(H1176)),IF(H1176&gt;0,H1196/H1176-1,""),"")</f>
        <v/>
      </c>
      <c r="J1196">
        <f>IF(A1196="",0,IF(A1196&gt;$B$5,1,0))</f>
        <v/>
      </c>
      <c r="K1196" s="29">
        <f>IF(AND(J1196=1,ISNUMBER(D1196)),D1196,"")</f>
        <v/>
      </c>
      <c r="L1196" s="30">
        <f>IF(AND(J1196=1,ISNUMBER(G1196)),G1196,"")</f>
        <v/>
      </c>
      <c r="M1196" s="22">
        <f>IF(AND(J1196=1,ISNUMBER(C1196)),C1196,"")</f>
        <v/>
      </c>
      <c r="N1196" s="31">
        <f>IF(AND(J1196=1,ISNUMBER(I1196)),I1196,"")</f>
        <v/>
      </c>
      <c r="O1196" s="11">
        <f>IF(K1196="","",100-IF($G$13=1,50,(_xlfn.RANK.AVG(K1196,$K$19:$K$1518,1)-1)/($G$13-1)*100))</f>
        <v/>
      </c>
      <c r="P1196" s="11">
        <f>IF(L1196="","",100-IF($G$14=1,50,(_xlfn.RANK.AVG(L1196,$L$19:$L$1518,1)-1)/($G$14-1)*100))</f>
        <v/>
      </c>
      <c r="Q1196" s="11">
        <f>IF(M1196="","",IF($G$15=1,50,(_xlfn.RANK.AVG(M1196,$M$19:$M$1518,1)-1)/($G$15-1)*100))</f>
        <v/>
      </c>
      <c r="R1196" s="11">
        <f>IF(N1196="","",IF($G$16=1,50,(_xlfn.RANK.AVG(N1196,$N$19:$N$1518,1)-1)/($G$16-1)*100))</f>
        <v/>
      </c>
      <c r="S1196" s="11">
        <f>IF(COUNT(O1196:R1196)=4,ROUND(AVERAGE(O1196:R1196),6),"")</f>
        <v/>
      </c>
      <c r="U1196">
        <f>IF(AND(ISNUMBER('자료_한국심리'!$A1180),ISNUMBER('자료_한국심리'!$B1180)),'자료_한국심리'!$A1180,"")</f>
        <v/>
      </c>
      <c r="V1196">
        <f>IF(AND(ISNUMBER('자료_한국심리'!$D1180),ISNUMBER('자료_한국심리'!$E1180)),'자료_한국심리'!$D1180,"")</f>
        <v/>
      </c>
      <c r="W1196">
        <f>IF(AND(ISNUMBER('자료_한국심리'!$G1180),ISNUMBER('자료_한국심리'!$H1180)),'자료_한국심리'!$G1180,"")</f>
        <v/>
      </c>
      <c r="X1196">
        <f>IF(AND(ISNUMBER('자료_한국심리'!$J1180),ISNUMBER('자료_한국심리'!$K1180)),'자료_한국심리'!$J1180,"")</f>
        <v/>
      </c>
      <c r="Y1196">
        <f>IF(AND(ISNUMBER('자료_한국심리'!$M1180),ISNUMBER('자료_한국심리'!$N1180)),'자료_한국심리'!$M1180,"")</f>
        <v/>
      </c>
    </row>
    <row r="1197">
      <c r="A1197" s="10">
        <f>IF(1179&gt;$E$5,"",SMALL($U$19:$U$4018,$E$6+1179))</f>
        <v/>
      </c>
      <c r="B1197" s="29">
        <f>IF(A1197="","",INDEX('자료_한국심리'!$B$3:$B$4002,MATCH(A1197,$U$19:$U$4018,0)))</f>
        <v/>
      </c>
      <c r="C1197" s="22">
        <f>IF(A1197="","",B1197/AVERAGE(B1073:B1197)-1)</f>
        <v/>
      </c>
      <c r="D1197" s="29">
        <f>IF(A1197="","",IFERROR(INDEX('자료_한국심리'!$E$3:$E$4002,MATCH(A1197,$V$19:$V$4018,0)),D1196))</f>
        <v/>
      </c>
      <c r="E1197" s="30">
        <f>IF(A1197="","",IFERROR(INDEX('자료_한국심리'!$H$3:$H$4002,MATCH(A1197,$W$19:$W$4018,0)),E1196))</f>
        <v/>
      </c>
      <c r="F1197" s="30">
        <f>IF(A1197="","",IFERROR(INDEX('자료_한국심리'!$K$3:$K$4002,MATCH(A1197,$X$19:$X$4018,0)),F1196))</f>
        <v/>
      </c>
      <c r="G1197" s="30">
        <f>IF(AND(ISNUMBER(E1197),ISNUMBER(F1197)),ROUND(E1197-F1197,6),"")</f>
        <v/>
      </c>
      <c r="H1197" s="25">
        <f>IF(A1197="","",IFERROR(INDEX('자료_한국심리'!$N$3:$N$4002,MATCH(A1197,$Y$19:$Y$4018,0)),H1196))</f>
        <v/>
      </c>
      <c r="I1197" s="31">
        <f>IF(AND(ISNUMBER(H1197),ISNUMBER(H1177)),IF(H1177&gt;0,H1197/H1177-1,""),"")</f>
        <v/>
      </c>
      <c r="J1197">
        <f>IF(A1197="",0,IF(A1197&gt;$B$5,1,0))</f>
        <v/>
      </c>
      <c r="K1197" s="29">
        <f>IF(AND(J1197=1,ISNUMBER(D1197)),D1197,"")</f>
        <v/>
      </c>
      <c r="L1197" s="30">
        <f>IF(AND(J1197=1,ISNUMBER(G1197)),G1197,"")</f>
        <v/>
      </c>
      <c r="M1197" s="22">
        <f>IF(AND(J1197=1,ISNUMBER(C1197)),C1197,"")</f>
        <v/>
      </c>
      <c r="N1197" s="31">
        <f>IF(AND(J1197=1,ISNUMBER(I1197)),I1197,"")</f>
        <v/>
      </c>
      <c r="O1197" s="11">
        <f>IF(K1197="","",100-IF($G$13=1,50,(_xlfn.RANK.AVG(K1197,$K$19:$K$1518,1)-1)/($G$13-1)*100))</f>
        <v/>
      </c>
      <c r="P1197" s="11">
        <f>IF(L1197="","",100-IF($G$14=1,50,(_xlfn.RANK.AVG(L1197,$L$19:$L$1518,1)-1)/($G$14-1)*100))</f>
        <v/>
      </c>
      <c r="Q1197" s="11">
        <f>IF(M1197="","",IF($G$15=1,50,(_xlfn.RANK.AVG(M1197,$M$19:$M$1518,1)-1)/($G$15-1)*100))</f>
        <v/>
      </c>
      <c r="R1197" s="11">
        <f>IF(N1197="","",IF($G$16=1,50,(_xlfn.RANK.AVG(N1197,$N$19:$N$1518,1)-1)/($G$16-1)*100))</f>
        <v/>
      </c>
      <c r="S1197" s="11">
        <f>IF(COUNT(O1197:R1197)=4,ROUND(AVERAGE(O1197:R1197),6),"")</f>
        <v/>
      </c>
      <c r="U1197">
        <f>IF(AND(ISNUMBER('자료_한국심리'!$A1181),ISNUMBER('자료_한국심리'!$B1181)),'자료_한국심리'!$A1181,"")</f>
        <v/>
      </c>
      <c r="V1197">
        <f>IF(AND(ISNUMBER('자료_한국심리'!$D1181),ISNUMBER('자료_한국심리'!$E1181)),'자료_한국심리'!$D1181,"")</f>
        <v/>
      </c>
      <c r="W1197">
        <f>IF(AND(ISNUMBER('자료_한국심리'!$G1181),ISNUMBER('자료_한국심리'!$H1181)),'자료_한국심리'!$G1181,"")</f>
        <v/>
      </c>
      <c r="X1197">
        <f>IF(AND(ISNUMBER('자료_한국심리'!$J1181),ISNUMBER('자료_한국심리'!$K1181)),'자료_한국심리'!$J1181,"")</f>
        <v/>
      </c>
      <c r="Y1197">
        <f>IF(AND(ISNUMBER('자료_한국심리'!$M1181),ISNUMBER('자료_한국심리'!$N1181)),'자료_한국심리'!$M1181,"")</f>
        <v/>
      </c>
    </row>
    <row r="1198">
      <c r="A1198" s="10">
        <f>IF(1180&gt;$E$5,"",SMALL($U$19:$U$4018,$E$6+1180))</f>
        <v/>
      </c>
      <c r="B1198" s="29">
        <f>IF(A1198="","",INDEX('자료_한국심리'!$B$3:$B$4002,MATCH(A1198,$U$19:$U$4018,0)))</f>
        <v/>
      </c>
      <c r="C1198" s="22">
        <f>IF(A1198="","",B1198/AVERAGE(B1074:B1198)-1)</f>
        <v/>
      </c>
      <c r="D1198" s="29">
        <f>IF(A1198="","",IFERROR(INDEX('자료_한국심리'!$E$3:$E$4002,MATCH(A1198,$V$19:$V$4018,0)),D1197))</f>
        <v/>
      </c>
      <c r="E1198" s="30">
        <f>IF(A1198="","",IFERROR(INDEX('자료_한국심리'!$H$3:$H$4002,MATCH(A1198,$W$19:$W$4018,0)),E1197))</f>
        <v/>
      </c>
      <c r="F1198" s="30">
        <f>IF(A1198="","",IFERROR(INDEX('자료_한국심리'!$K$3:$K$4002,MATCH(A1198,$X$19:$X$4018,0)),F1197))</f>
        <v/>
      </c>
      <c r="G1198" s="30">
        <f>IF(AND(ISNUMBER(E1198),ISNUMBER(F1198)),ROUND(E1198-F1198,6),"")</f>
        <v/>
      </c>
      <c r="H1198" s="25">
        <f>IF(A1198="","",IFERROR(INDEX('자료_한국심리'!$N$3:$N$4002,MATCH(A1198,$Y$19:$Y$4018,0)),H1197))</f>
        <v/>
      </c>
      <c r="I1198" s="31">
        <f>IF(AND(ISNUMBER(H1198),ISNUMBER(H1178)),IF(H1178&gt;0,H1198/H1178-1,""),"")</f>
        <v/>
      </c>
      <c r="J1198">
        <f>IF(A1198="",0,IF(A1198&gt;$B$5,1,0))</f>
        <v/>
      </c>
      <c r="K1198" s="29">
        <f>IF(AND(J1198=1,ISNUMBER(D1198)),D1198,"")</f>
        <v/>
      </c>
      <c r="L1198" s="30">
        <f>IF(AND(J1198=1,ISNUMBER(G1198)),G1198,"")</f>
        <v/>
      </c>
      <c r="M1198" s="22">
        <f>IF(AND(J1198=1,ISNUMBER(C1198)),C1198,"")</f>
        <v/>
      </c>
      <c r="N1198" s="31">
        <f>IF(AND(J1198=1,ISNUMBER(I1198)),I1198,"")</f>
        <v/>
      </c>
      <c r="O1198" s="11">
        <f>IF(K1198="","",100-IF($G$13=1,50,(_xlfn.RANK.AVG(K1198,$K$19:$K$1518,1)-1)/($G$13-1)*100))</f>
        <v/>
      </c>
      <c r="P1198" s="11">
        <f>IF(L1198="","",100-IF($G$14=1,50,(_xlfn.RANK.AVG(L1198,$L$19:$L$1518,1)-1)/($G$14-1)*100))</f>
        <v/>
      </c>
      <c r="Q1198" s="11">
        <f>IF(M1198="","",IF($G$15=1,50,(_xlfn.RANK.AVG(M1198,$M$19:$M$1518,1)-1)/($G$15-1)*100))</f>
        <v/>
      </c>
      <c r="R1198" s="11">
        <f>IF(N1198="","",IF($G$16=1,50,(_xlfn.RANK.AVG(N1198,$N$19:$N$1518,1)-1)/($G$16-1)*100))</f>
        <v/>
      </c>
      <c r="S1198" s="11">
        <f>IF(COUNT(O1198:R1198)=4,ROUND(AVERAGE(O1198:R1198),6),"")</f>
        <v/>
      </c>
      <c r="U1198">
        <f>IF(AND(ISNUMBER('자료_한국심리'!$A1182),ISNUMBER('자료_한국심리'!$B1182)),'자료_한국심리'!$A1182,"")</f>
        <v/>
      </c>
      <c r="V1198">
        <f>IF(AND(ISNUMBER('자료_한국심리'!$D1182),ISNUMBER('자료_한국심리'!$E1182)),'자료_한국심리'!$D1182,"")</f>
        <v/>
      </c>
      <c r="W1198">
        <f>IF(AND(ISNUMBER('자료_한국심리'!$G1182),ISNUMBER('자료_한국심리'!$H1182)),'자료_한국심리'!$G1182,"")</f>
        <v/>
      </c>
      <c r="X1198">
        <f>IF(AND(ISNUMBER('자료_한국심리'!$J1182),ISNUMBER('자료_한국심리'!$K1182)),'자료_한국심리'!$J1182,"")</f>
        <v/>
      </c>
      <c r="Y1198">
        <f>IF(AND(ISNUMBER('자료_한국심리'!$M1182),ISNUMBER('자료_한국심리'!$N1182)),'자료_한국심리'!$M1182,"")</f>
        <v/>
      </c>
    </row>
    <row r="1199">
      <c r="A1199" s="10">
        <f>IF(1181&gt;$E$5,"",SMALL($U$19:$U$4018,$E$6+1181))</f>
        <v/>
      </c>
      <c r="B1199" s="29">
        <f>IF(A1199="","",INDEX('자료_한국심리'!$B$3:$B$4002,MATCH(A1199,$U$19:$U$4018,0)))</f>
        <v/>
      </c>
      <c r="C1199" s="22">
        <f>IF(A1199="","",B1199/AVERAGE(B1075:B1199)-1)</f>
        <v/>
      </c>
      <c r="D1199" s="29">
        <f>IF(A1199="","",IFERROR(INDEX('자료_한국심리'!$E$3:$E$4002,MATCH(A1199,$V$19:$V$4018,0)),D1198))</f>
        <v/>
      </c>
      <c r="E1199" s="30">
        <f>IF(A1199="","",IFERROR(INDEX('자료_한국심리'!$H$3:$H$4002,MATCH(A1199,$W$19:$W$4018,0)),E1198))</f>
        <v/>
      </c>
      <c r="F1199" s="30">
        <f>IF(A1199="","",IFERROR(INDEX('자료_한국심리'!$K$3:$K$4002,MATCH(A1199,$X$19:$X$4018,0)),F1198))</f>
        <v/>
      </c>
      <c r="G1199" s="30">
        <f>IF(AND(ISNUMBER(E1199),ISNUMBER(F1199)),ROUND(E1199-F1199,6),"")</f>
        <v/>
      </c>
      <c r="H1199" s="25">
        <f>IF(A1199="","",IFERROR(INDEX('자료_한국심리'!$N$3:$N$4002,MATCH(A1199,$Y$19:$Y$4018,0)),H1198))</f>
        <v/>
      </c>
      <c r="I1199" s="31">
        <f>IF(AND(ISNUMBER(H1199),ISNUMBER(H1179)),IF(H1179&gt;0,H1199/H1179-1,""),"")</f>
        <v/>
      </c>
      <c r="J1199">
        <f>IF(A1199="",0,IF(A1199&gt;$B$5,1,0))</f>
        <v/>
      </c>
      <c r="K1199" s="29">
        <f>IF(AND(J1199=1,ISNUMBER(D1199)),D1199,"")</f>
        <v/>
      </c>
      <c r="L1199" s="30">
        <f>IF(AND(J1199=1,ISNUMBER(G1199)),G1199,"")</f>
        <v/>
      </c>
      <c r="M1199" s="22">
        <f>IF(AND(J1199=1,ISNUMBER(C1199)),C1199,"")</f>
        <v/>
      </c>
      <c r="N1199" s="31">
        <f>IF(AND(J1199=1,ISNUMBER(I1199)),I1199,"")</f>
        <v/>
      </c>
      <c r="O1199" s="11">
        <f>IF(K1199="","",100-IF($G$13=1,50,(_xlfn.RANK.AVG(K1199,$K$19:$K$1518,1)-1)/($G$13-1)*100))</f>
        <v/>
      </c>
      <c r="P1199" s="11">
        <f>IF(L1199="","",100-IF($G$14=1,50,(_xlfn.RANK.AVG(L1199,$L$19:$L$1518,1)-1)/($G$14-1)*100))</f>
        <v/>
      </c>
      <c r="Q1199" s="11">
        <f>IF(M1199="","",IF($G$15=1,50,(_xlfn.RANK.AVG(M1199,$M$19:$M$1518,1)-1)/($G$15-1)*100))</f>
        <v/>
      </c>
      <c r="R1199" s="11">
        <f>IF(N1199="","",IF($G$16=1,50,(_xlfn.RANK.AVG(N1199,$N$19:$N$1518,1)-1)/($G$16-1)*100))</f>
        <v/>
      </c>
      <c r="S1199" s="11">
        <f>IF(COUNT(O1199:R1199)=4,ROUND(AVERAGE(O1199:R1199),6),"")</f>
        <v/>
      </c>
      <c r="U1199">
        <f>IF(AND(ISNUMBER('자료_한국심리'!$A1183),ISNUMBER('자료_한국심리'!$B1183)),'자료_한국심리'!$A1183,"")</f>
        <v/>
      </c>
      <c r="V1199">
        <f>IF(AND(ISNUMBER('자료_한국심리'!$D1183),ISNUMBER('자료_한국심리'!$E1183)),'자료_한국심리'!$D1183,"")</f>
        <v/>
      </c>
      <c r="W1199">
        <f>IF(AND(ISNUMBER('자료_한국심리'!$G1183),ISNUMBER('자료_한국심리'!$H1183)),'자료_한국심리'!$G1183,"")</f>
        <v/>
      </c>
      <c r="X1199">
        <f>IF(AND(ISNUMBER('자료_한국심리'!$J1183),ISNUMBER('자료_한국심리'!$K1183)),'자료_한국심리'!$J1183,"")</f>
        <v/>
      </c>
      <c r="Y1199">
        <f>IF(AND(ISNUMBER('자료_한국심리'!$M1183),ISNUMBER('자료_한국심리'!$N1183)),'자료_한국심리'!$M1183,"")</f>
        <v/>
      </c>
    </row>
    <row r="1200">
      <c r="A1200" s="10">
        <f>IF(1182&gt;$E$5,"",SMALL($U$19:$U$4018,$E$6+1182))</f>
        <v/>
      </c>
      <c r="B1200" s="29">
        <f>IF(A1200="","",INDEX('자료_한국심리'!$B$3:$B$4002,MATCH(A1200,$U$19:$U$4018,0)))</f>
        <v/>
      </c>
      <c r="C1200" s="22">
        <f>IF(A1200="","",B1200/AVERAGE(B1076:B1200)-1)</f>
        <v/>
      </c>
      <c r="D1200" s="29">
        <f>IF(A1200="","",IFERROR(INDEX('자료_한국심리'!$E$3:$E$4002,MATCH(A1200,$V$19:$V$4018,0)),D1199))</f>
        <v/>
      </c>
      <c r="E1200" s="30">
        <f>IF(A1200="","",IFERROR(INDEX('자료_한국심리'!$H$3:$H$4002,MATCH(A1200,$W$19:$W$4018,0)),E1199))</f>
        <v/>
      </c>
      <c r="F1200" s="30">
        <f>IF(A1200="","",IFERROR(INDEX('자료_한국심리'!$K$3:$K$4002,MATCH(A1200,$X$19:$X$4018,0)),F1199))</f>
        <v/>
      </c>
      <c r="G1200" s="30">
        <f>IF(AND(ISNUMBER(E1200),ISNUMBER(F1200)),ROUND(E1200-F1200,6),"")</f>
        <v/>
      </c>
      <c r="H1200" s="25">
        <f>IF(A1200="","",IFERROR(INDEX('자료_한국심리'!$N$3:$N$4002,MATCH(A1200,$Y$19:$Y$4018,0)),H1199))</f>
        <v/>
      </c>
      <c r="I1200" s="31">
        <f>IF(AND(ISNUMBER(H1200),ISNUMBER(H1180)),IF(H1180&gt;0,H1200/H1180-1,""),"")</f>
        <v/>
      </c>
      <c r="J1200">
        <f>IF(A1200="",0,IF(A1200&gt;$B$5,1,0))</f>
        <v/>
      </c>
      <c r="K1200" s="29">
        <f>IF(AND(J1200=1,ISNUMBER(D1200)),D1200,"")</f>
        <v/>
      </c>
      <c r="L1200" s="30">
        <f>IF(AND(J1200=1,ISNUMBER(G1200)),G1200,"")</f>
        <v/>
      </c>
      <c r="M1200" s="22">
        <f>IF(AND(J1200=1,ISNUMBER(C1200)),C1200,"")</f>
        <v/>
      </c>
      <c r="N1200" s="31">
        <f>IF(AND(J1200=1,ISNUMBER(I1200)),I1200,"")</f>
        <v/>
      </c>
      <c r="O1200" s="11">
        <f>IF(K1200="","",100-IF($G$13=1,50,(_xlfn.RANK.AVG(K1200,$K$19:$K$1518,1)-1)/($G$13-1)*100))</f>
        <v/>
      </c>
      <c r="P1200" s="11">
        <f>IF(L1200="","",100-IF($G$14=1,50,(_xlfn.RANK.AVG(L1200,$L$19:$L$1518,1)-1)/($G$14-1)*100))</f>
        <v/>
      </c>
      <c r="Q1200" s="11">
        <f>IF(M1200="","",IF($G$15=1,50,(_xlfn.RANK.AVG(M1200,$M$19:$M$1518,1)-1)/($G$15-1)*100))</f>
        <v/>
      </c>
      <c r="R1200" s="11">
        <f>IF(N1200="","",IF($G$16=1,50,(_xlfn.RANK.AVG(N1200,$N$19:$N$1518,1)-1)/($G$16-1)*100))</f>
        <v/>
      </c>
      <c r="S1200" s="11">
        <f>IF(COUNT(O1200:R1200)=4,ROUND(AVERAGE(O1200:R1200),6),"")</f>
        <v/>
      </c>
      <c r="U1200">
        <f>IF(AND(ISNUMBER('자료_한국심리'!$A1184),ISNUMBER('자료_한국심리'!$B1184)),'자료_한국심리'!$A1184,"")</f>
        <v/>
      </c>
      <c r="V1200">
        <f>IF(AND(ISNUMBER('자료_한국심리'!$D1184),ISNUMBER('자료_한국심리'!$E1184)),'자료_한국심리'!$D1184,"")</f>
        <v/>
      </c>
      <c r="W1200">
        <f>IF(AND(ISNUMBER('자료_한국심리'!$G1184),ISNUMBER('자료_한국심리'!$H1184)),'자료_한국심리'!$G1184,"")</f>
        <v/>
      </c>
      <c r="X1200">
        <f>IF(AND(ISNUMBER('자료_한국심리'!$J1184),ISNUMBER('자료_한국심리'!$K1184)),'자료_한국심리'!$J1184,"")</f>
        <v/>
      </c>
      <c r="Y1200">
        <f>IF(AND(ISNUMBER('자료_한국심리'!$M1184),ISNUMBER('자료_한국심리'!$N1184)),'자료_한국심리'!$M1184,"")</f>
        <v/>
      </c>
    </row>
    <row r="1201">
      <c r="A1201" s="10">
        <f>IF(1183&gt;$E$5,"",SMALL($U$19:$U$4018,$E$6+1183))</f>
        <v/>
      </c>
      <c r="B1201" s="29">
        <f>IF(A1201="","",INDEX('자료_한국심리'!$B$3:$B$4002,MATCH(A1201,$U$19:$U$4018,0)))</f>
        <v/>
      </c>
      <c r="C1201" s="22">
        <f>IF(A1201="","",B1201/AVERAGE(B1077:B1201)-1)</f>
        <v/>
      </c>
      <c r="D1201" s="29">
        <f>IF(A1201="","",IFERROR(INDEX('자료_한국심리'!$E$3:$E$4002,MATCH(A1201,$V$19:$V$4018,0)),D1200))</f>
        <v/>
      </c>
      <c r="E1201" s="30">
        <f>IF(A1201="","",IFERROR(INDEX('자료_한국심리'!$H$3:$H$4002,MATCH(A1201,$W$19:$W$4018,0)),E1200))</f>
        <v/>
      </c>
      <c r="F1201" s="30">
        <f>IF(A1201="","",IFERROR(INDEX('자료_한국심리'!$K$3:$K$4002,MATCH(A1201,$X$19:$X$4018,0)),F1200))</f>
        <v/>
      </c>
      <c r="G1201" s="30">
        <f>IF(AND(ISNUMBER(E1201),ISNUMBER(F1201)),ROUND(E1201-F1201,6),"")</f>
        <v/>
      </c>
      <c r="H1201" s="25">
        <f>IF(A1201="","",IFERROR(INDEX('자료_한국심리'!$N$3:$N$4002,MATCH(A1201,$Y$19:$Y$4018,0)),H1200))</f>
        <v/>
      </c>
      <c r="I1201" s="31">
        <f>IF(AND(ISNUMBER(H1201),ISNUMBER(H1181)),IF(H1181&gt;0,H1201/H1181-1,""),"")</f>
        <v/>
      </c>
      <c r="J1201">
        <f>IF(A1201="",0,IF(A1201&gt;$B$5,1,0))</f>
        <v/>
      </c>
      <c r="K1201" s="29">
        <f>IF(AND(J1201=1,ISNUMBER(D1201)),D1201,"")</f>
        <v/>
      </c>
      <c r="L1201" s="30">
        <f>IF(AND(J1201=1,ISNUMBER(G1201)),G1201,"")</f>
        <v/>
      </c>
      <c r="M1201" s="22">
        <f>IF(AND(J1201=1,ISNUMBER(C1201)),C1201,"")</f>
        <v/>
      </c>
      <c r="N1201" s="31">
        <f>IF(AND(J1201=1,ISNUMBER(I1201)),I1201,"")</f>
        <v/>
      </c>
      <c r="O1201" s="11">
        <f>IF(K1201="","",100-IF($G$13=1,50,(_xlfn.RANK.AVG(K1201,$K$19:$K$1518,1)-1)/($G$13-1)*100))</f>
        <v/>
      </c>
      <c r="P1201" s="11">
        <f>IF(L1201="","",100-IF($G$14=1,50,(_xlfn.RANK.AVG(L1201,$L$19:$L$1518,1)-1)/($G$14-1)*100))</f>
        <v/>
      </c>
      <c r="Q1201" s="11">
        <f>IF(M1201="","",IF($G$15=1,50,(_xlfn.RANK.AVG(M1201,$M$19:$M$1518,1)-1)/($G$15-1)*100))</f>
        <v/>
      </c>
      <c r="R1201" s="11">
        <f>IF(N1201="","",IF($G$16=1,50,(_xlfn.RANK.AVG(N1201,$N$19:$N$1518,1)-1)/($G$16-1)*100))</f>
        <v/>
      </c>
      <c r="S1201" s="11">
        <f>IF(COUNT(O1201:R1201)=4,ROUND(AVERAGE(O1201:R1201),6),"")</f>
        <v/>
      </c>
      <c r="U1201">
        <f>IF(AND(ISNUMBER('자료_한국심리'!$A1185),ISNUMBER('자료_한국심리'!$B1185)),'자료_한국심리'!$A1185,"")</f>
        <v/>
      </c>
      <c r="V1201">
        <f>IF(AND(ISNUMBER('자료_한국심리'!$D1185),ISNUMBER('자료_한국심리'!$E1185)),'자료_한국심리'!$D1185,"")</f>
        <v/>
      </c>
      <c r="W1201">
        <f>IF(AND(ISNUMBER('자료_한국심리'!$G1185),ISNUMBER('자료_한국심리'!$H1185)),'자료_한국심리'!$G1185,"")</f>
        <v/>
      </c>
      <c r="X1201">
        <f>IF(AND(ISNUMBER('자료_한국심리'!$J1185),ISNUMBER('자료_한국심리'!$K1185)),'자료_한국심리'!$J1185,"")</f>
        <v/>
      </c>
      <c r="Y1201">
        <f>IF(AND(ISNUMBER('자료_한국심리'!$M1185),ISNUMBER('자료_한국심리'!$N1185)),'자료_한국심리'!$M1185,"")</f>
        <v/>
      </c>
    </row>
    <row r="1202">
      <c r="A1202" s="10">
        <f>IF(1184&gt;$E$5,"",SMALL($U$19:$U$4018,$E$6+1184))</f>
        <v/>
      </c>
      <c r="B1202" s="29">
        <f>IF(A1202="","",INDEX('자료_한국심리'!$B$3:$B$4002,MATCH(A1202,$U$19:$U$4018,0)))</f>
        <v/>
      </c>
      <c r="C1202" s="22">
        <f>IF(A1202="","",B1202/AVERAGE(B1078:B1202)-1)</f>
        <v/>
      </c>
      <c r="D1202" s="29">
        <f>IF(A1202="","",IFERROR(INDEX('자료_한국심리'!$E$3:$E$4002,MATCH(A1202,$V$19:$V$4018,0)),D1201))</f>
        <v/>
      </c>
      <c r="E1202" s="30">
        <f>IF(A1202="","",IFERROR(INDEX('자료_한국심리'!$H$3:$H$4002,MATCH(A1202,$W$19:$W$4018,0)),E1201))</f>
        <v/>
      </c>
      <c r="F1202" s="30">
        <f>IF(A1202="","",IFERROR(INDEX('자료_한국심리'!$K$3:$K$4002,MATCH(A1202,$X$19:$X$4018,0)),F1201))</f>
        <v/>
      </c>
      <c r="G1202" s="30">
        <f>IF(AND(ISNUMBER(E1202),ISNUMBER(F1202)),ROUND(E1202-F1202,6),"")</f>
        <v/>
      </c>
      <c r="H1202" s="25">
        <f>IF(A1202="","",IFERROR(INDEX('자료_한국심리'!$N$3:$N$4002,MATCH(A1202,$Y$19:$Y$4018,0)),H1201))</f>
        <v/>
      </c>
      <c r="I1202" s="31">
        <f>IF(AND(ISNUMBER(H1202),ISNUMBER(H1182)),IF(H1182&gt;0,H1202/H1182-1,""),"")</f>
        <v/>
      </c>
      <c r="J1202">
        <f>IF(A1202="",0,IF(A1202&gt;$B$5,1,0))</f>
        <v/>
      </c>
      <c r="K1202" s="29">
        <f>IF(AND(J1202=1,ISNUMBER(D1202)),D1202,"")</f>
        <v/>
      </c>
      <c r="L1202" s="30">
        <f>IF(AND(J1202=1,ISNUMBER(G1202)),G1202,"")</f>
        <v/>
      </c>
      <c r="M1202" s="22">
        <f>IF(AND(J1202=1,ISNUMBER(C1202)),C1202,"")</f>
        <v/>
      </c>
      <c r="N1202" s="31">
        <f>IF(AND(J1202=1,ISNUMBER(I1202)),I1202,"")</f>
        <v/>
      </c>
      <c r="O1202" s="11">
        <f>IF(K1202="","",100-IF($G$13=1,50,(_xlfn.RANK.AVG(K1202,$K$19:$K$1518,1)-1)/($G$13-1)*100))</f>
        <v/>
      </c>
      <c r="P1202" s="11">
        <f>IF(L1202="","",100-IF($G$14=1,50,(_xlfn.RANK.AVG(L1202,$L$19:$L$1518,1)-1)/($G$14-1)*100))</f>
        <v/>
      </c>
      <c r="Q1202" s="11">
        <f>IF(M1202="","",IF($G$15=1,50,(_xlfn.RANK.AVG(M1202,$M$19:$M$1518,1)-1)/($G$15-1)*100))</f>
        <v/>
      </c>
      <c r="R1202" s="11">
        <f>IF(N1202="","",IF($G$16=1,50,(_xlfn.RANK.AVG(N1202,$N$19:$N$1518,1)-1)/($G$16-1)*100))</f>
        <v/>
      </c>
      <c r="S1202" s="11">
        <f>IF(COUNT(O1202:R1202)=4,ROUND(AVERAGE(O1202:R1202),6),"")</f>
        <v/>
      </c>
      <c r="U1202">
        <f>IF(AND(ISNUMBER('자료_한국심리'!$A1186),ISNUMBER('자료_한국심리'!$B1186)),'자료_한국심리'!$A1186,"")</f>
        <v/>
      </c>
      <c r="V1202">
        <f>IF(AND(ISNUMBER('자료_한국심리'!$D1186),ISNUMBER('자료_한국심리'!$E1186)),'자료_한국심리'!$D1186,"")</f>
        <v/>
      </c>
      <c r="W1202">
        <f>IF(AND(ISNUMBER('자료_한국심리'!$G1186),ISNUMBER('자료_한국심리'!$H1186)),'자료_한국심리'!$G1186,"")</f>
        <v/>
      </c>
      <c r="X1202">
        <f>IF(AND(ISNUMBER('자료_한국심리'!$J1186),ISNUMBER('자료_한국심리'!$K1186)),'자료_한국심리'!$J1186,"")</f>
        <v/>
      </c>
      <c r="Y1202">
        <f>IF(AND(ISNUMBER('자료_한국심리'!$M1186),ISNUMBER('자료_한국심리'!$N1186)),'자료_한국심리'!$M1186,"")</f>
        <v/>
      </c>
    </row>
    <row r="1203">
      <c r="A1203" s="10">
        <f>IF(1185&gt;$E$5,"",SMALL($U$19:$U$4018,$E$6+1185))</f>
        <v/>
      </c>
      <c r="B1203" s="29">
        <f>IF(A1203="","",INDEX('자료_한국심리'!$B$3:$B$4002,MATCH(A1203,$U$19:$U$4018,0)))</f>
        <v/>
      </c>
      <c r="C1203" s="22">
        <f>IF(A1203="","",B1203/AVERAGE(B1079:B1203)-1)</f>
        <v/>
      </c>
      <c r="D1203" s="29">
        <f>IF(A1203="","",IFERROR(INDEX('자료_한국심리'!$E$3:$E$4002,MATCH(A1203,$V$19:$V$4018,0)),D1202))</f>
        <v/>
      </c>
      <c r="E1203" s="30">
        <f>IF(A1203="","",IFERROR(INDEX('자료_한국심리'!$H$3:$H$4002,MATCH(A1203,$W$19:$W$4018,0)),E1202))</f>
        <v/>
      </c>
      <c r="F1203" s="30">
        <f>IF(A1203="","",IFERROR(INDEX('자료_한국심리'!$K$3:$K$4002,MATCH(A1203,$X$19:$X$4018,0)),F1202))</f>
        <v/>
      </c>
      <c r="G1203" s="30">
        <f>IF(AND(ISNUMBER(E1203),ISNUMBER(F1203)),ROUND(E1203-F1203,6),"")</f>
        <v/>
      </c>
      <c r="H1203" s="25">
        <f>IF(A1203="","",IFERROR(INDEX('자료_한국심리'!$N$3:$N$4002,MATCH(A1203,$Y$19:$Y$4018,0)),H1202))</f>
        <v/>
      </c>
      <c r="I1203" s="31">
        <f>IF(AND(ISNUMBER(H1203),ISNUMBER(H1183)),IF(H1183&gt;0,H1203/H1183-1,""),"")</f>
        <v/>
      </c>
      <c r="J1203">
        <f>IF(A1203="",0,IF(A1203&gt;$B$5,1,0))</f>
        <v/>
      </c>
      <c r="K1203" s="29">
        <f>IF(AND(J1203=1,ISNUMBER(D1203)),D1203,"")</f>
        <v/>
      </c>
      <c r="L1203" s="30">
        <f>IF(AND(J1203=1,ISNUMBER(G1203)),G1203,"")</f>
        <v/>
      </c>
      <c r="M1203" s="22">
        <f>IF(AND(J1203=1,ISNUMBER(C1203)),C1203,"")</f>
        <v/>
      </c>
      <c r="N1203" s="31">
        <f>IF(AND(J1203=1,ISNUMBER(I1203)),I1203,"")</f>
        <v/>
      </c>
      <c r="O1203" s="11">
        <f>IF(K1203="","",100-IF($G$13=1,50,(_xlfn.RANK.AVG(K1203,$K$19:$K$1518,1)-1)/($G$13-1)*100))</f>
        <v/>
      </c>
      <c r="P1203" s="11">
        <f>IF(L1203="","",100-IF($G$14=1,50,(_xlfn.RANK.AVG(L1203,$L$19:$L$1518,1)-1)/($G$14-1)*100))</f>
        <v/>
      </c>
      <c r="Q1203" s="11">
        <f>IF(M1203="","",IF($G$15=1,50,(_xlfn.RANK.AVG(M1203,$M$19:$M$1518,1)-1)/($G$15-1)*100))</f>
        <v/>
      </c>
      <c r="R1203" s="11">
        <f>IF(N1203="","",IF($G$16=1,50,(_xlfn.RANK.AVG(N1203,$N$19:$N$1518,1)-1)/($G$16-1)*100))</f>
        <v/>
      </c>
      <c r="S1203" s="11">
        <f>IF(COUNT(O1203:R1203)=4,ROUND(AVERAGE(O1203:R1203),6),"")</f>
        <v/>
      </c>
      <c r="U1203">
        <f>IF(AND(ISNUMBER('자료_한국심리'!$A1187),ISNUMBER('자료_한국심리'!$B1187)),'자료_한국심리'!$A1187,"")</f>
        <v/>
      </c>
      <c r="V1203">
        <f>IF(AND(ISNUMBER('자료_한국심리'!$D1187),ISNUMBER('자료_한국심리'!$E1187)),'자료_한국심리'!$D1187,"")</f>
        <v/>
      </c>
      <c r="W1203">
        <f>IF(AND(ISNUMBER('자료_한국심리'!$G1187),ISNUMBER('자료_한국심리'!$H1187)),'자료_한국심리'!$G1187,"")</f>
        <v/>
      </c>
      <c r="X1203">
        <f>IF(AND(ISNUMBER('자료_한국심리'!$J1187),ISNUMBER('자료_한국심리'!$K1187)),'자료_한국심리'!$J1187,"")</f>
        <v/>
      </c>
      <c r="Y1203">
        <f>IF(AND(ISNUMBER('자료_한국심리'!$M1187),ISNUMBER('자료_한국심리'!$N1187)),'자료_한국심리'!$M1187,"")</f>
        <v/>
      </c>
    </row>
    <row r="1204">
      <c r="A1204" s="10">
        <f>IF(1186&gt;$E$5,"",SMALL($U$19:$U$4018,$E$6+1186))</f>
        <v/>
      </c>
      <c r="B1204" s="29">
        <f>IF(A1204="","",INDEX('자료_한국심리'!$B$3:$B$4002,MATCH(A1204,$U$19:$U$4018,0)))</f>
        <v/>
      </c>
      <c r="C1204" s="22">
        <f>IF(A1204="","",B1204/AVERAGE(B1080:B1204)-1)</f>
        <v/>
      </c>
      <c r="D1204" s="29">
        <f>IF(A1204="","",IFERROR(INDEX('자료_한국심리'!$E$3:$E$4002,MATCH(A1204,$V$19:$V$4018,0)),D1203))</f>
        <v/>
      </c>
      <c r="E1204" s="30">
        <f>IF(A1204="","",IFERROR(INDEX('자료_한국심리'!$H$3:$H$4002,MATCH(A1204,$W$19:$W$4018,0)),E1203))</f>
        <v/>
      </c>
      <c r="F1204" s="30">
        <f>IF(A1204="","",IFERROR(INDEX('자료_한국심리'!$K$3:$K$4002,MATCH(A1204,$X$19:$X$4018,0)),F1203))</f>
        <v/>
      </c>
      <c r="G1204" s="30">
        <f>IF(AND(ISNUMBER(E1204),ISNUMBER(F1204)),ROUND(E1204-F1204,6),"")</f>
        <v/>
      </c>
      <c r="H1204" s="25">
        <f>IF(A1204="","",IFERROR(INDEX('자료_한국심리'!$N$3:$N$4002,MATCH(A1204,$Y$19:$Y$4018,0)),H1203))</f>
        <v/>
      </c>
      <c r="I1204" s="31">
        <f>IF(AND(ISNUMBER(H1204),ISNUMBER(H1184)),IF(H1184&gt;0,H1204/H1184-1,""),"")</f>
        <v/>
      </c>
      <c r="J1204">
        <f>IF(A1204="",0,IF(A1204&gt;$B$5,1,0))</f>
        <v/>
      </c>
      <c r="K1204" s="29">
        <f>IF(AND(J1204=1,ISNUMBER(D1204)),D1204,"")</f>
        <v/>
      </c>
      <c r="L1204" s="30">
        <f>IF(AND(J1204=1,ISNUMBER(G1204)),G1204,"")</f>
        <v/>
      </c>
      <c r="M1204" s="22">
        <f>IF(AND(J1204=1,ISNUMBER(C1204)),C1204,"")</f>
        <v/>
      </c>
      <c r="N1204" s="31">
        <f>IF(AND(J1204=1,ISNUMBER(I1204)),I1204,"")</f>
        <v/>
      </c>
      <c r="O1204" s="11">
        <f>IF(K1204="","",100-IF($G$13=1,50,(_xlfn.RANK.AVG(K1204,$K$19:$K$1518,1)-1)/($G$13-1)*100))</f>
        <v/>
      </c>
      <c r="P1204" s="11">
        <f>IF(L1204="","",100-IF($G$14=1,50,(_xlfn.RANK.AVG(L1204,$L$19:$L$1518,1)-1)/($G$14-1)*100))</f>
        <v/>
      </c>
      <c r="Q1204" s="11">
        <f>IF(M1204="","",IF($G$15=1,50,(_xlfn.RANK.AVG(M1204,$M$19:$M$1518,1)-1)/($G$15-1)*100))</f>
        <v/>
      </c>
      <c r="R1204" s="11">
        <f>IF(N1204="","",IF($G$16=1,50,(_xlfn.RANK.AVG(N1204,$N$19:$N$1518,1)-1)/($G$16-1)*100))</f>
        <v/>
      </c>
      <c r="S1204" s="11">
        <f>IF(COUNT(O1204:R1204)=4,ROUND(AVERAGE(O1204:R1204),6),"")</f>
        <v/>
      </c>
      <c r="U1204">
        <f>IF(AND(ISNUMBER('자료_한국심리'!$A1188),ISNUMBER('자료_한국심리'!$B1188)),'자료_한국심리'!$A1188,"")</f>
        <v/>
      </c>
      <c r="V1204">
        <f>IF(AND(ISNUMBER('자료_한국심리'!$D1188),ISNUMBER('자료_한국심리'!$E1188)),'자료_한국심리'!$D1188,"")</f>
        <v/>
      </c>
      <c r="W1204">
        <f>IF(AND(ISNUMBER('자료_한국심리'!$G1188),ISNUMBER('자료_한국심리'!$H1188)),'자료_한국심리'!$G1188,"")</f>
        <v/>
      </c>
      <c r="X1204">
        <f>IF(AND(ISNUMBER('자료_한국심리'!$J1188),ISNUMBER('자료_한국심리'!$K1188)),'자료_한국심리'!$J1188,"")</f>
        <v/>
      </c>
      <c r="Y1204">
        <f>IF(AND(ISNUMBER('자료_한국심리'!$M1188),ISNUMBER('자료_한국심리'!$N1188)),'자료_한국심리'!$M1188,"")</f>
        <v/>
      </c>
    </row>
    <row r="1205">
      <c r="A1205" s="10">
        <f>IF(1187&gt;$E$5,"",SMALL($U$19:$U$4018,$E$6+1187))</f>
        <v/>
      </c>
      <c r="B1205" s="29">
        <f>IF(A1205="","",INDEX('자료_한국심리'!$B$3:$B$4002,MATCH(A1205,$U$19:$U$4018,0)))</f>
        <v/>
      </c>
      <c r="C1205" s="22">
        <f>IF(A1205="","",B1205/AVERAGE(B1081:B1205)-1)</f>
        <v/>
      </c>
      <c r="D1205" s="29">
        <f>IF(A1205="","",IFERROR(INDEX('자료_한국심리'!$E$3:$E$4002,MATCH(A1205,$V$19:$V$4018,0)),D1204))</f>
        <v/>
      </c>
      <c r="E1205" s="30">
        <f>IF(A1205="","",IFERROR(INDEX('자료_한국심리'!$H$3:$H$4002,MATCH(A1205,$W$19:$W$4018,0)),E1204))</f>
        <v/>
      </c>
      <c r="F1205" s="30">
        <f>IF(A1205="","",IFERROR(INDEX('자료_한국심리'!$K$3:$K$4002,MATCH(A1205,$X$19:$X$4018,0)),F1204))</f>
        <v/>
      </c>
      <c r="G1205" s="30">
        <f>IF(AND(ISNUMBER(E1205),ISNUMBER(F1205)),ROUND(E1205-F1205,6),"")</f>
        <v/>
      </c>
      <c r="H1205" s="25">
        <f>IF(A1205="","",IFERROR(INDEX('자료_한국심리'!$N$3:$N$4002,MATCH(A1205,$Y$19:$Y$4018,0)),H1204))</f>
        <v/>
      </c>
      <c r="I1205" s="31">
        <f>IF(AND(ISNUMBER(H1205),ISNUMBER(H1185)),IF(H1185&gt;0,H1205/H1185-1,""),"")</f>
        <v/>
      </c>
      <c r="J1205">
        <f>IF(A1205="",0,IF(A1205&gt;$B$5,1,0))</f>
        <v/>
      </c>
      <c r="K1205" s="29">
        <f>IF(AND(J1205=1,ISNUMBER(D1205)),D1205,"")</f>
        <v/>
      </c>
      <c r="L1205" s="30">
        <f>IF(AND(J1205=1,ISNUMBER(G1205)),G1205,"")</f>
        <v/>
      </c>
      <c r="M1205" s="22">
        <f>IF(AND(J1205=1,ISNUMBER(C1205)),C1205,"")</f>
        <v/>
      </c>
      <c r="N1205" s="31">
        <f>IF(AND(J1205=1,ISNUMBER(I1205)),I1205,"")</f>
        <v/>
      </c>
      <c r="O1205" s="11">
        <f>IF(K1205="","",100-IF($G$13=1,50,(_xlfn.RANK.AVG(K1205,$K$19:$K$1518,1)-1)/($G$13-1)*100))</f>
        <v/>
      </c>
      <c r="P1205" s="11">
        <f>IF(L1205="","",100-IF($G$14=1,50,(_xlfn.RANK.AVG(L1205,$L$19:$L$1518,1)-1)/($G$14-1)*100))</f>
        <v/>
      </c>
      <c r="Q1205" s="11">
        <f>IF(M1205="","",IF($G$15=1,50,(_xlfn.RANK.AVG(M1205,$M$19:$M$1518,1)-1)/($G$15-1)*100))</f>
        <v/>
      </c>
      <c r="R1205" s="11">
        <f>IF(N1205="","",IF($G$16=1,50,(_xlfn.RANK.AVG(N1205,$N$19:$N$1518,1)-1)/($G$16-1)*100))</f>
        <v/>
      </c>
      <c r="S1205" s="11">
        <f>IF(COUNT(O1205:R1205)=4,ROUND(AVERAGE(O1205:R1205),6),"")</f>
        <v/>
      </c>
      <c r="U1205">
        <f>IF(AND(ISNUMBER('자료_한국심리'!$A1189),ISNUMBER('자료_한국심리'!$B1189)),'자료_한국심리'!$A1189,"")</f>
        <v/>
      </c>
      <c r="V1205">
        <f>IF(AND(ISNUMBER('자료_한국심리'!$D1189),ISNUMBER('자료_한국심리'!$E1189)),'자료_한국심리'!$D1189,"")</f>
        <v/>
      </c>
      <c r="W1205">
        <f>IF(AND(ISNUMBER('자료_한국심리'!$G1189),ISNUMBER('자료_한국심리'!$H1189)),'자료_한국심리'!$G1189,"")</f>
        <v/>
      </c>
      <c r="X1205">
        <f>IF(AND(ISNUMBER('자료_한국심리'!$J1189),ISNUMBER('자료_한국심리'!$K1189)),'자료_한국심리'!$J1189,"")</f>
        <v/>
      </c>
      <c r="Y1205">
        <f>IF(AND(ISNUMBER('자료_한국심리'!$M1189),ISNUMBER('자료_한국심리'!$N1189)),'자료_한국심리'!$M1189,"")</f>
        <v/>
      </c>
    </row>
    <row r="1206">
      <c r="A1206" s="10">
        <f>IF(1188&gt;$E$5,"",SMALL($U$19:$U$4018,$E$6+1188))</f>
        <v/>
      </c>
      <c r="B1206" s="29">
        <f>IF(A1206="","",INDEX('자료_한국심리'!$B$3:$B$4002,MATCH(A1206,$U$19:$U$4018,0)))</f>
        <v/>
      </c>
      <c r="C1206" s="22">
        <f>IF(A1206="","",B1206/AVERAGE(B1082:B1206)-1)</f>
        <v/>
      </c>
      <c r="D1206" s="29">
        <f>IF(A1206="","",IFERROR(INDEX('자료_한국심리'!$E$3:$E$4002,MATCH(A1206,$V$19:$V$4018,0)),D1205))</f>
        <v/>
      </c>
      <c r="E1206" s="30">
        <f>IF(A1206="","",IFERROR(INDEX('자료_한국심리'!$H$3:$H$4002,MATCH(A1206,$W$19:$W$4018,0)),E1205))</f>
        <v/>
      </c>
      <c r="F1206" s="30">
        <f>IF(A1206="","",IFERROR(INDEX('자료_한국심리'!$K$3:$K$4002,MATCH(A1206,$X$19:$X$4018,0)),F1205))</f>
        <v/>
      </c>
      <c r="G1206" s="30">
        <f>IF(AND(ISNUMBER(E1206),ISNUMBER(F1206)),ROUND(E1206-F1206,6),"")</f>
        <v/>
      </c>
      <c r="H1206" s="25">
        <f>IF(A1206="","",IFERROR(INDEX('자료_한국심리'!$N$3:$N$4002,MATCH(A1206,$Y$19:$Y$4018,0)),H1205))</f>
        <v/>
      </c>
      <c r="I1206" s="31">
        <f>IF(AND(ISNUMBER(H1206),ISNUMBER(H1186)),IF(H1186&gt;0,H1206/H1186-1,""),"")</f>
        <v/>
      </c>
      <c r="J1206">
        <f>IF(A1206="",0,IF(A1206&gt;$B$5,1,0))</f>
        <v/>
      </c>
      <c r="K1206" s="29">
        <f>IF(AND(J1206=1,ISNUMBER(D1206)),D1206,"")</f>
        <v/>
      </c>
      <c r="L1206" s="30">
        <f>IF(AND(J1206=1,ISNUMBER(G1206)),G1206,"")</f>
        <v/>
      </c>
      <c r="M1206" s="22">
        <f>IF(AND(J1206=1,ISNUMBER(C1206)),C1206,"")</f>
        <v/>
      </c>
      <c r="N1206" s="31">
        <f>IF(AND(J1206=1,ISNUMBER(I1206)),I1206,"")</f>
        <v/>
      </c>
      <c r="O1206" s="11">
        <f>IF(K1206="","",100-IF($G$13=1,50,(_xlfn.RANK.AVG(K1206,$K$19:$K$1518,1)-1)/($G$13-1)*100))</f>
        <v/>
      </c>
      <c r="P1206" s="11">
        <f>IF(L1206="","",100-IF($G$14=1,50,(_xlfn.RANK.AVG(L1206,$L$19:$L$1518,1)-1)/($G$14-1)*100))</f>
        <v/>
      </c>
      <c r="Q1206" s="11">
        <f>IF(M1206="","",IF($G$15=1,50,(_xlfn.RANK.AVG(M1206,$M$19:$M$1518,1)-1)/($G$15-1)*100))</f>
        <v/>
      </c>
      <c r="R1206" s="11">
        <f>IF(N1206="","",IF($G$16=1,50,(_xlfn.RANK.AVG(N1206,$N$19:$N$1518,1)-1)/($G$16-1)*100))</f>
        <v/>
      </c>
      <c r="S1206" s="11">
        <f>IF(COUNT(O1206:R1206)=4,ROUND(AVERAGE(O1206:R1206),6),"")</f>
        <v/>
      </c>
      <c r="U1206">
        <f>IF(AND(ISNUMBER('자료_한국심리'!$A1190),ISNUMBER('자료_한국심리'!$B1190)),'자료_한국심리'!$A1190,"")</f>
        <v/>
      </c>
      <c r="V1206">
        <f>IF(AND(ISNUMBER('자료_한국심리'!$D1190),ISNUMBER('자료_한국심리'!$E1190)),'자료_한국심리'!$D1190,"")</f>
        <v/>
      </c>
      <c r="W1206">
        <f>IF(AND(ISNUMBER('자료_한국심리'!$G1190),ISNUMBER('자료_한국심리'!$H1190)),'자료_한국심리'!$G1190,"")</f>
        <v/>
      </c>
      <c r="X1206">
        <f>IF(AND(ISNUMBER('자료_한국심리'!$J1190),ISNUMBER('자료_한국심리'!$K1190)),'자료_한국심리'!$J1190,"")</f>
        <v/>
      </c>
      <c r="Y1206">
        <f>IF(AND(ISNUMBER('자료_한국심리'!$M1190),ISNUMBER('자료_한국심리'!$N1190)),'자료_한국심리'!$M1190,"")</f>
        <v/>
      </c>
    </row>
    <row r="1207">
      <c r="A1207" s="10">
        <f>IF(1189&gt;$E$5,"",SMALL($U$19:$U$4018,$E$6+1189))</f>
        <v/>
      </c>
      <c r="B1207" s="29">
        <f>IF(A1207="","",INDEX('자료_한국심리'!$B$3:$B$4002,MATCH(A1207,$U$19:$U$4018,0)))</f>
        <v/>
      </c>
      <c r="C1207" s="22">
        <f>IF(A1207="","",B1207/AVERAGE(B1083:B1207)-1)</f>
        <v/>
      </c>
      <c r="D1207" s="29">
        <f>IF(A1207="","",IFERROR(INDEX('자료_한국심리'!$E$3:$E$4002,MATCH(A1207,$V$19:$V$4018,0)),D1206))</f>
        <v/>
      </c>
      <c r="E1207" s="30">
        <f>IF(A1207="","",IFERROR(INDEX('자료_한국심리'!$H$3:$H$4002,MATCH(A1207,$W$19:$W$4018,0)),E1206))</f>
        <v/>
      </c>
      <c r="F1207" s="30">
        <f>IF(A1207="","",IFERROR(INDEX('자료_한국심리'!$K$3:$K$4002,MATCH(A1207,$X$19:$X$4018,0)),F1206))</f>
        <v/>
      </c>
      <c r="G1207" s="30">
        <f>IF(AND(ISNUMBER(E1207),ISNUMBER(F1207)),ROUND(E1207-F1207,6),"")</f>
        <v/>
      </c>
      <c r="H1207" s="25">
        <f>IF(A1207="","",IFERROR(INDEX('자료_한국심리'!$N$3:$N$4002,MATCH(A1207,$Y$19:$Y$4018,0)),H1206))</f>
        <v/>
      </c>
      <c r="I1207" s="31">
        <f>IF(AND(ISNUMBER(H1207),ISNUMBER(H1187)),IF(H1187&gt;0,H1207/H1187-1,""),"")</f>
        <v/>
      </c>
      <c r="J1207">
        <f>IF(A1207="",0,IF(A1207&gt;$B$5,1,0))</f>
        <v/>
      </c>
      <c r="K1207" s="29">
        <f>IF(AND(J1207=1,ISNUMBER(D1207)),D1207,"")</f>
        <v/>
      </c>
      <c r="L1207" s="30">
        <f>IF(AND(J1207=1,ISNUMBER(G1207)),G1207,"")</f>
        <v/>
      </c>
      <c r="M1207" s="22">
        <f>IF(AND(J1207=1,ISNUMBER(C1207)),C1207,"")</f>
        <v/>
      </c>
      <c r="N1207" s="31">
        <f>IF(AND(J1207=1,ISNUMBER(I1207)),I1207,"")</f>
        <v/>
      </c>
      <c r="O1207" s="11">
        <f>IF(K1207="","",100-IF($G$13=1,50,(_xlfn.RANK.AVG(K1207,$K$19:$K$1518,1)-1)/($G$13-1)*100))</f>
        <v/>
      </c>
      <c r="P1207" s="11">
        <f>IF(L1207="","",100-IF($G$14=1,50,(_xlfn.RANK.AVG(L1207,$L$19:$L$1518,1)-1)/($G$14-1)*100))</f>
        <v/>
      </c>
      <c r="Q1207" s="11">
        <f>IF(M1207="","",IF($G$15=1,50,(_xlfn.RANK.AVG(M1207,$M$19:$M$1518,1)-1)/($G$15-1)*100))</f>
        <v/>
      </c>
      <c r="R1207" s="11">
        <f>IF(N1207="","",IF($G$16=1,50,(_xlfn.RANK.AVG(N1207,$N$19:$N$1518,1)-1)/($G$16-1)*100))</f>
        <v/>
      </c>
      <c r="S1207" s="11">
        <f>IF(COUNT(O1207:R1207)=4,ROUND(AVERAGE(O1207:R1207),6),"")</f>
        <v/>
      </c>
      <c r="U1207">
        <f>IF(AND(ISNUMBER('자료_한국심리'!$A1191),ISNUMBER('자료_한국심리'!$B1191)),'자료_한국심리'!$A1191,"")</f>
        <v/>
      </c>
      <c r="V1207">
        <f>IF(AND(ISNUMBER('자료_한국심리'!$D1191),ISNUMBER('자료_한국심리'!$E1191)),'자료_한국심리'!$D1191,"")</f>
        <v/>
      </c>
      <c r="W1207">
        <f>IF(AND(ISNUMBER('자료_한국심리'!$G1191),ISNUMBER('자료_한국심리'!$H1191)),'자료_한국심리'!$G1191,"")</f>
        <v/>
      </c>
      <c r="X1207">
        <f>IF(AND(ISNUMBER('자료_한국심리'!$J1191),ISNUMBER('자료_한국심리'!$K1191)),'자료_한국심리'!$J1191,"")</f>
        <v/>
      </c>
      <c r="Y1207">
        <f>IF(AND(ISNUMBER('자료_한국심리'!$M1191),ISNUMBER('자료_한국심리'!$N1191)),'자료_한국심리'!$M1191,"")</f>
        <v/>
      </c>
    </row>
    <row r="1208">
      <c r="A1208" s="10">
        <f>IF(1190&gt;$E$5,"",SMALL($U$19:$U$4018,$E$6+1190))</f>
        <v/>
      </c>
      <c r="B1208" s="29">
        <f>IF(A1208="","",INDEX('자료_한국심리'!$B$3:$B$4002,MATCH(A1208,$U$19:$U$4018,0)))</f>
        <v/>
      </c>
      <c r="C1208" s="22">
        <f>IF(A1208="","",B1208/AVERAGE(B1084:B1208)-1)</f>
        <v/>
      </c>
      <c r="D1208" s="29">
        <f>IF(A1208="","",IFERROR(INDEX('자료_한국심리'!$E$3:$E$4002,MATCH(A1208,$V$19:$V$4018,0)),D1207))</f>
        <v/>
      </c>
      <c r="E1208" s="30">
        <f>IF(A1208="","",IFERROR(INDEX('자료_한국심리'!$H$3:$H$4002,MATCH(A1208,$W$19:$W$4018,0)),E1207))</f>
        <v/>
      </c>
      <c r="F1208" s="30">
        <f>IF(A1208="","",IFERROR(INDEX('자료_한국심리'!$K$3:$K$4002,MATCH(A1208,$X$19:$X$4018,0)),F1207))</f>
        <v/>
      </c>
      <c r="G1208" s="30">
        <f>IF(AND(ISNUMBER(E1208),ISNUMBER(F1208)),ROUND(E1208-F1208,6),"")</f>
        <v/>
      </c>
      <c r="H1208" s="25">
        <f>IF(A1208="","",IFERROR(INDEX('자료_한국심리'!$N$3:$N$4002,MATCH(A1208,$Y$19:$Y$4018,0)),H1207))</f>
        <v/>
      </c>
      <c r="I1208" s="31">
        <f>IF(AND(ISNUMBER(H1208),ISNUMBER(H1188)),IF(H1188&gt;0,H1208/H1188-1,""),"")</f>
        <v/>
      </c>
      <c r="J1208">
        <f>IF(A1208="",0,IF(A1208&gt;$B$5,1,0))</f>
        <v/>
      </c>
      <c r="K1208" s="29">
        <f>IF(AND(J1208=1,ISNUMBER(D1208)),D1208,"")</f>
        <v/>
      </c>
      <c r="L1208" s="30">
        <f>IF(AND(J1208=1,ISNUMBER(G1208)),G1208,"")</f>
        <v/>
      </c>
      <c r="M1208" s="22">
        <f>IF(AND(J1208=1,ISNUMBER(C1208)),C1208,"")</f>
        <v/>
      </c>
      <c r="N1208" s="31">
        <f>IF(AND(J1208=1,ISNUMBER(I1208)),I1208,"")</f>
        <v/>
      </c>
      <c r="O1208" s="11">
        <f>IF(K1208="","",100-IF($G$13=1,50,(_xlfn.RANK.AVG(K1208,$K$19:$K$1518,1)-1)/($G$13-1)*100))</f>
        <v/>
      </c>
      <c r="P1208" s="11">
        <f>IF(L1208="","",100-IF($G$14=1,50,(_xlfn.RANK.AVG(L1208,$L$19:$L$1518,1)-1)/($G$14-1)*100))</f>
        <v/>
      </c>
      <c r="Q1208" s="11">
        <f>IF(M1208="","",IF($G$15=1,50,(_xlfn.RANK.AVG(M1208,$M$19:$M$1518,1)-1)/($G$15-1)*100))</f>
        <v/>
      </c>
      <c r="R1208" s="11">
        <f>IF(N1208="","",IF($G$16=1,50,(_xlfn.RANK.AVG(N1208,$N$19:$N$1518,1)-1)/($G$16-1)*100))</f>
        <v/>
      </c>
      <c r="S1208" s="11">
        <f>IF(COUNT(O1208:R1208)=4,ROUND(AVERAGE(O1208:R1208),6),"")</f>
        <v/>
      </c>
      <c r="U1208">
        <f>IF(AND(ISNUMBER('자료_한국심리'!$A1192),ISNUMBER('자료_한국심리'!$B1192)),'자료_한국심리'!$A1192,"")</f>
        <v/>
      </c>
      <c r="V1208">
        <f>IF(AND(ISNUMBER('자료_한국심리'!$D1192),ISNUMBER('자료_한국심리'!$E1192)),'자료_한국심리'!$D1192,"")</f>
        <v/>
      </c>
      <c r="W1208">
        <f>IF(AND(ISNUMBER('자료_한국심리'!$G1192),ISNUMBER('자료_한국심리'!$H1192)),'자료_한국심리'!$G1192,"")</f>
        <v/>
      </c>
      <c r="X1208">
        <f>IF(AND(ISNUMBER('자료_한국심리'!$J1192),ISNUMBER('자료_한국심리'!$K1192)),'자료_한국심리'!$J1192,"")</f>
        <v/>
      </c>
      <c r="Y1208">
        <f>IF(AND(ISNUMBER('자료_한국심리'!$M1192),ISNUMBER('자료_한국심리'!$N1192)),'자료_한국심리'!$M1192,"")</f>
        <v/>
      </c>
    </row>
    <row r="1209">
      <c r="A1209" s="10">
        <f>IF(1191&gt;$E$5,"",SMALL($U$19:$U$4018,$E$6+1191))</f>
        <v/>
      </c>
      <c r="B1209" s="29">
        <f>IF(A1209="","",INDEX('자료_한국심리'!$B$3:$B$4002,MATCH(A1209,$U$19:$U$4018,0)))</f>
        <v/>
      </c>
      <c r="C1209" s="22">
        <f>IF(A1209="","",B1209/AVERAGE(B1085:B1209)-1)</f>
        <v/>
      </c>
      <c r="D1209" s="29">
        <f>IF(A1209="","",IFERROR(INDEX('자료_한국심리'!$E$3:$E$4002,MATCH(A1209,$V$19:$V$4018,0)),D1208))</f>
        <v/>
      </c>
      <c r="E1209" s="30">
        <f>IF(A1209="","",IFERROR(INDEX('자료_한국심리'!$H$3:$H$4002,MATCH(A1209,$W$19:$W$4018,0)),E1208))</f>
        <v/>
      </c>
      <c r="F1209" s="30">
        <f>IF(A1209="","",IFERROR(INDEX('자료_한국심리'!$K$3:$K$4002,MATCH(A1209,$X$19:$X$4018,0)),F1208))</f>
        <v/>
      </c>
      <c r="G1209" s="30">
        <f>IF(AND(ISNUMBER(E1209),ISNUMBER(F1209)),ROUND(E1209-F1209,6),"")</f>
        <v/>
      </c>
      <c r="H1209" s="25">
        <f>IF(A1209="","",IFERROR(INDEX('자료_한국심리'!$N$3:$N$4002,MATCH(A1209,$Y$19:$Y$4018,0)),H1208))</f>
        <v/>
      </c>
      <c r="I1209" s="31">
        <f>IF(AND(ISNUMBER(H1209),ISNUMBER(H1189)),IF(H1189&gt;0,H1209/H1189-1,""),"")</f>
        <v/>
      </c>
      <c r="J1209">
        <f>IF(A1209="",0,IF(A1209&gt;$B$5,1,0))</f>
        <v/>
      </c>
      <c r="K1209" s="29">
        <f>IF(AND(J1209=1,ISNUMBER(D1209)),D1209,"")</f>
        <v/>
      </c>
      <c r="L1209" s="30">
        <f>IF(AND(J1209=1,ISNUMBER(G1209)),G1209,"")</f>
        <v/>
      </c>
      <c r="M1209" s="22">
        <f>IF(AND(J1209=1,ISNUMBER(C1209)),C1209,"")</f>
        <v/>
      </c>
      <c r="N1209" s="31">
        <f>IF(AND(J1209=1,ISNUMBER(I1209)),I1209,"")</f>
        <v/>
      </c>
      <c r="O1209" s="11">
        <f>IF(K1209="","",100-IF($G$13=1,50,(_xlfn.RANK.AVG(K1209,$K$19:$K$1518,1)-1)/($G$13-1)*100))</f>
        <v/>
      </c>
      <c r="P1209" s="11">
        <f>IF(L1209="","",100-IF($G$14=1,50,(_xlfn.RANK.AVG(L1209,$L$19:$L$1518,1)-1)/($G$14-1)*100))</f>
        <v/>
      </c>
      <c r="Q1209" s="11">
        <f>IF(M1209="","",IF($G$15=1,50,(_xlfn.RANK.AVG(M1209,$M$19:$M$1518,1)-1)/($G$15-1)*100))</f>
        <v/>
      </c>
      <c r="R1209" s="11">
        <f>IF(N1209="","",IF($G$16=1,50,(_xlfn.RANK.AVG(N1209,$N$19:$N$1518,1)-1)/($G$16-1)*100))</f>
        <v/>
      </c>
      <c r="S1209" s="11">
        <f>IF(COUNT(O1209:R1209)=4,ROUND(AVERAGE(O1209:R1209),6),"")</f>
        <v/>
      </c>
      <c r="U1209">
        <f>IF(AND(ISNUMBER('자료_한국심리'!$A1193),ISNUMBER('자료_한국심리'!$B1193)),'자료_한국심리'!$A1193,"")</f>
        <v/>
      </c>
      <c r="V1209">
        <f>IF(AND(ISNUMBER('자료_한국심리'!$D1193),ISNUMBER('자료_한국심리'!$E1193)),'자료_한국심리'!$D1193,"")</f>
        <v/>
      </c>
      <c r="W1209">
        <f>IF(AND(ISNUMBER('자료_한국심리'!$G1193),ISNUMBER('자료_한국심리'!$H1193)),'자료_한국심리'!$G1193,"")</f>
        <v/>
      </c>
      <c r="X1209">
        <f>IF(AND(ISNUMBER('자료_한국심리'!$J1193),ISNUMBER('자료_한국심리'!$K1193)),'자료_한국심리'!$J1193,"")</f>
        <v/>
      </c>
      <c r="Y1209">
        <f>IF(AND(ISNUMBER('자료_한국심리'!$M1193),ISNUMBER('자료_한국심리'!$N1193)),'자료_한국심리'!$M1193,"")</f>
        <v/>
      </c>
    </row>
    <row r="1210">
      <c r="A1210" s="10">
        <f>IF(1192&gt;$E$5,"",SMALL($U$19:$U$4018,$E$6+1192))</f>
        <v/>
      </c>
      <c r="B1210" s="29">
        <f>IF(A1210="","",INDEX('자료_한국심리'!$B$3:$B$4002,MATCH(A1210,$U$19:$U$4018,0)))</f>
        <v/>
      </c>
      <c r="C1210" s="22">
        <f>IF(A1210="","",B1210/AVERAGE(B1086:B1210)-1)</f>
        <v/>
      </c>
      <c r="D1210" s="29">
        <f>IF(A1210="","",IFERROR(INDEX('자료_한국심리'!$E$3:$E$4002,MATCH(A1210,$V$19:$V$4018,0)),D1209))</f>
        <v/>
      </c>
      <c r="E1210" s="30">
        <f>IF(A1210="","",IFERROR(INDEX('자료_한국심리'!$H$3:$H$4002,MATCH(A1210,$W$19:$W$4018,0)),E1209))</f>
        <v/>
      </c>
      <c r="F1210" s="30">
        <f>IF(A1210="","",IFERROR(INDEX('자료_한국심리'!$K$3:$K$4002,MATCH(A1210,$X$19:$X$4018,0)),F1209))</f>
        <v/>
      </c>
      <c r="G1210" s="30">
        <f>IF(AND(ISNUMBER(E1210),ISNUMBER(F1210)),ROUND(E1210-F1210,6),"")</f>
        <v/>
      </c>
      <c r="H1210" s="25">
        <f>IF(A1210="","",IFERROR(INDEX('자료_한국심리'!$N$3:$N$4002,MATCH(A1210,$Y$19:$Y$4018,0)),H1209))</f>
        <v/>
      </c>
      <c r="I1210" s="31">
        <f>IF(AND(ISNUMBER(H1210),ISNUMBER(H1190)),IF(H1190&gt;0,H1210/H1190-1,""),"")</f>
        <v/>
      </c>
      <c r="J1210">
        <f>IF(A1210="",0,IF(A1210&gt;$B$5,1,0))</f>
        <v/>
      </c>
      <c r="K1210" s="29">
        <f>IF(AND(J1210=1,ISNUMBER(D1210)),D1210,"")</f>
        <v/>
      </c>
      <c r="L1210" s="30">
        <f>IF(AND(J1210=1,ISNUMBER(G1210)),G1210,"")</f>
        <v/>
      </c>
      <c r="M1210" s="22">
        <f>IF(AND(J1210=1,ISNUMBER(C1210)),C1210,"")</f>
        <v/>
      </c>
      <c r="N1210" s="31">
        <f>IF(AND(J1210=1,ISNUMBER(I1210)),I1210,"")</f>
        <v/>
      </c>
      <c r="O1210" s="11">
        <f>IF(K1210="","",100-IF($G$13=1,50,(_xlfn.RANK.AVG(K1210,$K$19:$K$1518,1)-1)/($G$13-1)*100))</f>
        <v/>
      </c>
      <c r="P1210" s="11">
        <f>IF(L1210="","",100-IF($G$14=1,50,(_xlfn.RANK.AVG(L1210,$L$19:$L$1518,1)-1)/($G$14-1)*100))</f>
        <v/>
      </c>
      <c r="Q1210" s="11">
        <f>IF(M1210="","",IF($G$15=1,50,(_xlfn.RANK.AVG(M1210,$M$19:$M$1518,1)-1)/($G$15-1)*100))</f>
        <v/>
      </c>
      <c r="R1210" s="11">
        <f>IF(N1210="","",IF($G$16=1,50,(_xlfn.RANK.AVG(N1210,$N$19:$N$1518,1)-1)/($G$16-1)*100))</f>
        <v/>
      </c>
      <c r="S1210" s="11">
        <f>IF(COUNT(O1210:R1210)=4,ROUND(AVERAGE(O1210:R1210),6),"")</f>
        <v/>
      </c>
      <c r="U1210">
        <f>IF(AND(ISNUMBER('자료_한국심리'!$A1194),ISNUMBER('자료_한국심리'!$B1194)),'자료_한국심리'!$A1194,"")</f>
        <v/>
      </c>
      <c r="V1210">
        <f>IF(AND(ISNUMBER('자료_한국심리'!$D1194),ISNUMBER('자료_한국심리'!$E1194)),'자료_한국심리'!$D1194,"")</f>
        <v/>
      </c>
      <c r="W1210">
        <f>IF(AND(ISNUMBER('자료_한국심리'!$G1194),ISNUMBER('자료_한국심리'!$H1194)),'자료_한국심리'!$G1194,"")</f>
        <v/>
      </c>
      <c r="X1210">
        <f>IF(AND(ISNUMBER('자료_한국심리'!$J1194),ISNUMBER('자료_한국심리'!$K1194)),'자료_한국심리'!$J1194,"")</f>
        <v/>
      </c>
      <c r="Y1210">
        <f>IF(AND(ISNUMBER('자료_한국심리'!$M1194),ISNUMBER('자료_한국심리'!$N1194)),'자료_한국심리'!$M1194,"")</f>
        <v/>
      </c>
    </row>
    <row r="1211">
      <c r="A1211" s="10">
        <f>IF(1193&gt;$E$5,"",SMALL($U$19:$U$4018,$E$6+1193))</f>
        <v/>
      </c>
      <c r="B1211" s="29">
        <f>IF(A1211="","",INDEX('자료_한국심리'!$B$3:$B$4002,MATCH(A1211,$U$19:$U$4018,0)))</f>
        <v/>
      </c>
      <c r="C1211" s="22">
        <f>IF(A1211="","",B1211/AVERAGE(B1087:B1211)-1)</f>
        <v/>
      </c>
      <c r="D1211" s="29">
        <f>IF(A1211="","",IFERROR(INDEX('자료_한국심리'!$E$3:$E$4002,MATCH(A1211,$V$19:$V$4018,0)),D1210))</f>
        <v/>
      </c>
      <c r="E1211" s="30">
        <f>IF(A1211="","",IFERROR(INDEX('자료_한국심리'!$H$3:$H$4002,MATCH(A1211,$W$19:$W$4018,0)),E1210))</f>
        <v/>
      </c>
      <c r="F1211" s="30">
        <f>IF(A1211="","",IFERROR(INDEX('자료_한국심리'!$K$3:$K$4002,MATCH(A1211,$X$19:$X$4018,0)),F1210))</f>
        <v/>
      </c>
      <c r="G1211" s="30">
        <f>IF(AND(ISNUMBER(E1211),ISNUMBER(F1211)),ROUND(E1211-F1211,6),"")</f>
        <v/>
      </c>
      <c r="H1211" s="25">
        <f>IF(A1211="","",IFERROR(INDEX('자료_한국심리'!$N$3:$N$4002,MATCH(A1211,$Y$19:$Y$4018,0)),H1210))</f>
        <v/>
      </c>
      <c r="I1211" s="31">
        <f>IF(AND(ISNUMBER(H1211),ISNUMBER(H1191)),IF(H1191&gt;0,H1211/H1191-1,""),"")</f>
        <v/>
      </c>
      <c r="J1211">
        <f>IF(A1211="",0,IF(A1211&gt;$B$5,1,0))</f>
        <v/>
      </c>
      <c r="K1211" s="29">
        <f>IF(AND(J1211=1,ISNUMBER(D1211)),D1211,"")</f>
        <v/>
      </c>
      <c r="L1211" s="30">
        <f>IF(AND(J1211=1,ISNUMBER(G1211)),G1211,"")</f>
        <v/>
      </c>
      <c r="M1211" s="22">
        <f>IF(AND(J1211=1,ISNUMBER(C1211)),C1211,"")</f>
        <v/>
      </c>
      <c r="N1211" s="31">
        <f>IF(AND(J1211=1,ISNUMBER(I1211)),I1211,"")</f>
        <v/>
      </c>
      <c r="O1211" s="11">
        <f>IF(K1211="","",100-IF($G$13=1,50,(_xlfn.RANK.AVG(K1211,$K$19:$K$1518,1)-1)/($G$13-1)*100))</f>
        <v/>
      </c>
      <c r="P1211" s="11">
        <f>IF(L1211="","",100-IF($G$14=1,50,(_xlfn.RANK.AVG(L1211,$L$19:$L$1518,1)-1)/($G$14-1)*100))</f>
        <v/>
      </c>
      <c r="Q1211" s="11">
        <f>IF(M1211="","",IF($G$15=1,50,(_xlfn.RANK.AVG(M1211,$M$19:$M$1518,1)-1)/($G$15-1)*100))</f>
        <v/>
      </c>
      <c r="R1211" s="11">
        <f>IF(N1211="","",IF($G$16=1,50,(_xlfn.RANK.AVG(N1211,$N$19:$N$1518,1)-1)/($G$16-1)*100))</f>
        <v/>
      </c>
      <c r="S1211" s="11">
        <f>IF(COUNT(O1211:R1211)=4,ROUND(AVERAGE(O1211:R1211),6),"")</f>
        <v/>
      </c>
      <c r="U1211">
        <f>IF(AND(ISNUMBER('자료_한국심리'!$A1195),ISNUMBER('자료_한국심리'!$B1195)),'자료_한국심리'!$A1195,"")</f>
        <v/>
      </c>
      <c r="V1211">
        <f>IF(AND(ISNUMBER('자료_한국심리'!$D1195),ISNUMBER('자료_한국심리'!$E1195)),'자료_한국심리'!$D1195,"")</f>
        <v/>
      </c>
      <c r="W1211">
        <f>IF(AND(ISNUMBER('자료_한국심리'!$G1195),ISNUMBER('자료_한국심리'!$H1195)),'자료_한국심리'!$G1195,"")</f>
        <v/>
      </c>
      <c r="X1211">
        <f>IF(AND(ISNUMBER('자료_한국심리'!$J1195),ISNUMBER('자료_한국심리'!$K1195)),'자료_한국심리'!$J1195,"")</f>
        <v/>
      </c>
      <c r="Y1211">
        <f>IF(AND(ISNUMBER('자료_한국심리'!$M1195),ISNUMBER('자료_한국심리'!$N1195)),'자료_한국심리'!$M1195,"")</f>
        <v/>
      </c>
    </row>
    <row r="1212">
      <c r="A1212" s="10">
        <f>IF(1194&gt;$E$5,"",SMALL($U$19:$U$4018,$E$6+1194))</f>
        <v/>
      </c>
      <c r="B1212" s="29">
        <f>IF(A1212="","",INDEX('자료_한국심리'!$B$3:$B$4002,MATCH(A1212,$U$19:$U$4018,0)))</f>
        <v/>
      </c>
      <c r="C1212" s="22">
        <f>IF(A1212="","",B1212/AVERAGE(B1088:B1212)-1)</f>
        <v/>
      </c>
      <c r="D1212" s="29">
        <f>IF(A1212="","",IFERROR(INDEX('자료_한국심리'!$E$3:$E$4002,MATCH(A1212,$V$19:$V$4018,0)),D1211))</f>
        <v/>
      </c>
      <c r="E1212" s="30">
        <f>IF(A1212="","",IFERROR(INDEX('자료_한국심리'!$H$3:$H$4002,MATCH(A1212,$W$19:$W$4018,0)),E1211))</f>
        <v/>
      </c>
      <c r="F1212" s="30">
        <f>IF(A1212="","",IFERROR(INDEX('자료_한국심리'!$K$3:$K$4002,MATCH(A1212,$X$19:$X$4018,0)),F1211))</f>
        <v/>
      </c>
      <c r="G1212" s="30">
        <f>IF(AND(ISNUMBER(E1212),ISNUMBER(F1212)),ROUND(E1212-F1212,6),"")</f>
        <v/>
      </c>
      <c r="H1212" s="25">
        <f>IF(A1212="","",IFERROR(INDEX('자료_한국심리'!$N$3:$N$4002,MATCH(A1212,$Y$19:$Y$4018,0)),H1211))</f>
        <v/>
      </c>
      <c r="I1212" s="31">
        <f>IF(AND(ISNUMBER(H1212),ISNUMBER(H1192)),IF(H1192&gt;0,H1212/H1192-1,""),"")</f>
        <v/>
      </c>
      <c r="J1212">
        <f>IF(A1212="",0,IF(A1212&gt;$B$5,1,0))</f>
        <v/>
      </c>
      <c r="K1212" s="29">
        <f>IF(AND(J1212=1,ISNUMBER(D1212)),D1212,"")</f>
        <v/>
      </c>
      <c r="L1212" s="30">
        <f>IF(AND(J1212=1,ISNUMBER(G1212)),G1212,"")</f>
        <v/>
      </c>
      <c r="M1212" s="22">
        <f>IF(AND(J1212=1,ISNUMBER(C1212)),C1212,"")</f>
        <v/>
      </c>
      <c r="N1212" s="31">
        <f>IF(AND(J1212=1,ISNUMBER(I1212)),I1212,"")</f>
        <v/>
      </c>
      <c r="O1212" s="11">
        <f>IF(K1212="","",100-IF($G$13=1,50,(_xlfn.RANK.AVG(K1212,$K$19:$K$1518,1)-1)/($G$13-1)*100))</f>
        <v/>
      </c>
      <c r="P1212" s="11">
        <f>IF(L1212="","",100-IF($G$14=1,50,(_xlfn.RANK.AVG(L1212,$L$19:$L$1518,1)-1)/($G$14-1)*100))</f>
        <v/>
      </c>
      <c r="Q1212" s="11">
        <f>IF(M1212="","",IF($G$15=1,50,(_xlfn.RANK.AVG(M1212,$M$19:$M$1518,1)-1)/($G$15-1)*100))</f>
        <v/>
      </c>
      <c r="R1212" s="11">
        <f>IF(N1212="","",IF($G$16=1,50,(_xlfn.RANK.AVG(N1212,$N$19:$N$1518,1)-1)/($G$16-1)*100))</f>
        <v/>
      </c>
      <c r="S1212" s="11">
        <f>IF(COUNT(O1212:R1212)=4,ROUND(AVERAGE(O1212:R1212),6),"")</f>
        <v/>
      </c>
      <c r="U1212">
        <f>IF(AND(ISNUMBER('자료_한국심리'!$A1196),ISNUMBER('자료_한국심리'!$B1196)),'자료_한국심리'!$A1196,"")</f>
        <v/>
      </c>
      <c r="V1212">
        <f>IF(AND(ISNUMBER('자료_한국심리'!$D1196),ISNUMBER('자료_한국심리'!$E1196)),'자료_한국심리'!$D1196,"")</f>
        <v/>
      </c>
      <c r="W1212">
        <f>IF(AND(ISNUMBER('자료_한국심리'!$G1196),ISNUMBER('자료_한국심리'!$H1196)),'자료_한국심리'!$G1196,"")</f>
        <v/>
      </c>
      <c r="X1212">
        <f>IF(AND(ISNUMBER('자료_한국심리'!$J1196),ISNUMBER('자료_한국심리'!$K1196)),'자료_한국심리'!$J1196,"")</f>
        <v/>
      </c>
      <c r="Y1212">
        <f>IF(AND(ISNUMBER('자료_한국심리'!$M1196),ISNUMBER('자료_한국심리'!$N1196)),'자료_한국심리'!$M1196,"")</f>
        <v/>
      </c>
    </row>
    <row r="1213">
      <c r="A1213" s="10">
        <f>IF(1195&gt;$E$5,"",SMALL($U$19:$U$4018,$E$6+1195))</f>
        <v/>
      </c>
      <c r="B1213" s="29">
        <f>IF(A1213="","",INDEX('자료_한국심리'!$B$3:$B$4002,MATCH(A1213,$U$19:$U$4018,0)))</f>
        <v/>
      </c>
      <c r="C1213" s="22">
        <f>IF(A1213="","",B1213/AVERAGE(B1089:B1213)-1)</f>
        <v/>
      </c>
      <c r="D1213" s="29">
        <f>IF(A1213="","",IFERROR(INDEX('자료_한국심리'!$E$3:$E$4002,MATCH(A1213,$V$19:$V$4018,0)),D1212))</f>
        <v/>
      </c>
      <c r="E1213" s="30">
        <f>IF(A1213="","",IFERROR(INDEX('자료_한국심리'!$H$3:$H$4002,MATCH(A1213,$W$19:$W$4018,0)),E1212))</f>
        <v/>
      </c>
      <c r="F1213" s="30">
        <f>IF(A1213="","",IFERROR(INDEX('자료_한국심리'!$K$3:$K$4002,MATCH(A1213,$X$19:$X$4018,0)),F1212))</f>
        <v/>
      </c>
      <c r="G1213" s="30">
        <f>IF(AND(ISNUMBER(E1213),ISNUMBER(F1213)),ROUND(E1213-F1213,6),"")</f>
        <v/>
      </c>
      <c r="H1213" s="25">
        <f>IF(A1213="","",IFERROR(INDEX('자료_한국심리'!$N$3:$N$4002,MATCH(A1213,$Y$19:$Y$4018,0)),H1212))</f>
        <v/>
      </c>
      <c r="I1213" s="31">
        <f>IF(AND(ISNUMBER(H1213),ISNUMBER(H1193)),IF(H1193&gt;0,H1213/H1193-1,""),"")</f>
        <v/>
      </c>
      <c r="J1213">
        <f>IF(A1213="",0,IF(A1213&gt;$B$5,1,0))</f>
        <v/>
      </c>
      <c r="K1213" s="29">
        <f>IF(AND(J1213=1,ISNUMBER(D1213)),D1213,"")</f>
        <v/>
      </c>
      <c r="L1213" s="30">
        <f>IF(AND(J1213=1,ISNUMBER(G1213)),G1213,"")</f>
        <v/>
      </c>
      <c r="M1213" s="22">
        <f>IF(AND(J1213=1,ISNUMBER(C1213)),C1213,"")</f>
        <v/>
      </c>
      <c r="N1213" s="31">
        <f>IF(AND(J1213=1,ISNUMBER(I1213)),I1213,"")</f>
        <v/>
      </c>
      <c r="O1213" s="11">
        <f>IF(K1213="","",100-IF($G$13=1,50,(_xlfn.RANK.AVG(K1213,$K$19:$K$1518,1)-1)/($G$13-1)*100))</f>
        <v/>
      </c>
      <c r="P1213" s="11">
        <f>IF(L1213="","",100-IF($G$14=1,50,(_xlfn.RANK.AVG(L1213,$L$19:$L$1518,1)-1)/($G$14-1)*100))</f>
        <v/>
      </c>
      <c r="Q1213" s="11">
        <f>IF(M1213="","",IF($G$15=1,50,(_xlfn.RANK.AVG(M1213,$M$19:$M$1518,1)-1)/($G$15-1)*100))</f>
        <v/>
      </c>
      <c r="R1213" s="11">
        <f>IF(N1213="","",IF($G$16=1,50,(_xlfn.RANK.AVG(N1213,$N$19:$N$1518,1)-1)/($G$16-1)*100))</f>
        <v/>
      </c>
      <c r="S1213" s="11">
        <f>IF(COUNT(O1213:R1213)=4,ROUND(AVERAGE(O1213:R1213),6),"")</f>
        <v/>
      </c>
      <c r="U1213">
        <f>IF(AND(ISNUMBER('자료_한국심리'!$A1197),ISNUMBER('자료_한국심리'!$B1197)),'자료_한국심리'!$A1197,"")</f>
        <v/>
      </c>
      <c r="V1213">
        <f>IF(AND(ISNUMBER('자료_한국심리'!$D1197),ISNUMBER('자료_한국심리'!$E1197)),'자료_한국심리'!$D1197,"")</f>
        <v/>
      </c>
      <c r="W1213">
        <f>IF(AND(ISNUMBER('자료_한국심리'!$G1197),ISNUMBER('자료_한국심리'!$H1197)),'자료_한국심리'!$G1197,"")</f>
        <v/>
      </c>
      <c r="X1213">
        <f>IF(AND(ISNUMBER('자료_한국심리'!$J1197),ISNUMBER('자료_한국심리'!$K1197)),'자료_한국심리'!$J1197,"")</f>
        <v/>
      </c>
      <c r="Y1213">
        <f>IF(AND(ISNUMBER('자료_한국심리'!$M1197),ISNUMBER('자료_한국심리'!$N1197)),'자료_한국심리'!$M1197,"")</f>
        <v/>
      </c>
    </row>
    <row r="1214">
      <c r="A1214" s="10">
        <f>IF(1196&gt;$E$5,"",SMALL($U$19:$U$4018,$E$6+1196))</f>
        <v/>
      </c>
      <c r="B1214" s="29">
        <f>IF(A1214="","",INDEX('자료_한국심리'!$B$3:$B$4002,MATCH(A1214,$U$19:$U$4018,0)))</f>
        <v/>
      </c>
      <c r="C1214" s="22">
        <f>IF(A1214="","",B1214/AVERAGE(B1090:B1214)-1)</f>
        <v/>
      </c>
      <c r="D1214" s="29">
        <f>IF(A1214="","",IFERROR(INDEX('자료_한국심리'!$E$3:$E$4002,MATCH(A1214,$V$19:$V$4018,0)),D1213))</f>
        <v/>
      </c>
      <c r="E1214" s="30">
        <f>IF(A1214="","",IFERROR(INDEX('자료_한국심리'!$H$3:$H$4002,MATCH(A1214,$W$19:$W$4018,0)),E1213))</f>
        <v/>
      </c>
      <c r="F1214" s="30">
        <f>IF(A1214="","",IFERROR(INDEX('자료_한국심리'!$K$3:$K$4002,MATCH(A1214,$X$19:$X$4018,0)),F1213))</f>
        <v/>
      </c>
      <c r="G1214" s="30">
        <f>IF(AND(ISNUMBER(E1214),ISNUMBER(F1214)),ROUND(E1214-F1214,6),"")</f>
        <v/>
      </c>
      <c r="H1214" s="25">
        <f>IF(A1214="","",IFERROR(INDEX('자료_한국심리'!$N$3:$N$4002,MATCH(A1214,$Y$19:$Y$4018,0)),H1213))</f>
        <v/>
      </c>
      <c r="I1214" s="31">
        <f>IF(AND(ISNUMBER(H1214),ISNUMBER(H1194)),IF(H1194&gt;0,H1214/H1194-1,""),"")</f>
        <v/>
      </c>
      <c r="J1214">
        <f>IF(A1214="",0,IF(A1214&gt;$B$5,1,0))</f>
        <v/>
      </c>
      <c r="K1214" s="29">
        <f>IF(AND(J1214=1,ISNUMBER(D1214)),D1214,"")</f>
        <v/>
      </c>
      <c r="L1214" s="30">
        <f>IF(AND(J1214=1,ISNUMBER(G1214)),G1214,"")</f>
        <v/>
      </c>
      <c r="M1214" s="22">
        <f>IF(AND(J1214=1,ISNUMBER(C1214)),C1214,"")</f>
        <v/>
      </c>
      <c r="N1214" s="31">
        <f>IF(AND(J1214=1,ISNUMBER(I1214)),I1214,"")</f>
        <v/>
      </c>
      <c r="O1214" s="11">
        <f>IF(K1214="","",100-IF($G$13=1,50,(_xlfn.RANK.AVG(K1214,$K$19:$K$1518,1)-1)/($G$13-1)*100))</f>
        <v/>
      </c>
      <c r="P1214" s="11">
        <f>IF(L1214="","",100-IF($G$14=1,50,(_xlfn.RANK.AVG(L1214,$L$19:$L$1518,1)-1)/($G$14-1)*100))</f>
        <v/>
      </c>
      <c r="Q1214" s="11">
        <f>IF(M1214="","",IF($G$15=1,50,(_xlfn.RANK.AVG(M1214,$M$19:$M$1518,1)-1)/($G$15-1)*100))</f>
        <v/>
      </c>
      <c r="R1214" s="11">
        <f>IF(N1214="","",IF($G$16=1,50,(_xlfn.RANK.AVG(N1214,$N$19:$N$1518,1)-1)/($G$16-1)*100))</f>
        <v/>
      </c>
      <c r="S1214" s="11">
        <f>IF(COUNT(O1214:R1214)=4,ROUND(AVERAGE(O1214:R1214),6),"")</f>
        <v/>
      </c>
      <c r="U1214">
        <f>IF(AND(ISNUMBER('자료_한국심리'!$A1198),ISNUMBER('자료_한국심리'!$B1198)),'자료_한국심리'!$A1198,"")</f>
        <v/>
      </c>
      <c r="V1214">
        <f>IF(AND(ISNUMBER('자료_한국심리'!$D1198),ISNUMBER('자료_한국심리'!$E1198)),'자료_한국심리'!$D1198,"")</f>
        <v/>
      </c>
      <c r="W1214">
        <f>IF(AND(ISNUMBER('자료_한국심리'!$G1198),ISNUMBER('자료_한국심리'!$H1198)),'자료_한국심리'!$G1198,"")</f>
        <v/>
      </c>
      <c r="X1214">
        <f>IF(AND(ISNUMBER('자료_한국심리'!$J1198),ISNUMBER('자료_한국심리'!$K1198)),'자료_한국심리'!$J1198,"")</f>
        <v/>
      </c>
      <c r="Y1214">
        <f>IF(AND(ISNUMBER('자료_한국심리'!$M1198),ISNUMBER('자료_한국심리'!$N1198)),'자료_한국심리'!$M1198,"")</f>
        <v/>
      </c>
    </row>
    <row r="1215">
      <c r="A1215" s="10">
        <f>IF(1197&gt;$E$5,"",SMALL($U$19:$U$4018,$E$6+1197))</f>
        <v/>
      </c>
      <c r="B1215" s="29">
        <f>IF(A1215="","",INDEX('자료_한국심리'!$B$3:$B$4002,MATCH(A1215,$U$19:$U$4018,0)))</f>
        <v/>
      </c>
      <c r="C1215" s="22">
        <f>IF(A1215="","",B1215/AVERAGE(B1091:B1215)-1)</f>
        <v/>
      </c>
      <c r="D1215" s="29">
        <f>IF(A1215="","",IFERROR(INDEX('자료_한국심리'!$E$3:$E$4002,MATCH(A1215,$V$19:$V$4018,0)),D1214))</f>
        <v/>
      </c>
      <c r="E1215" s="30">
        <f>IF(A1215="","",IFERROR(INDEX('자료_한국심리'!$H$3:$H$4002,MATCH(A1215,$W$19:$W$4018,0)),E1214))</f>
        <v/>
      </c>
      <c r="F1215" s="30">
        <f>IF(A1215="","",IFERROR(INDEX('자료_한국심리'!$K$3:$K$4002,MATCH(A1215,$X$19:$X$4018,0)),F1214))</f>
        <v/>
      </c>
      <c r="G1215" s="30">
        <f>IF(AND(ISNUMBER(E1215),ISNUMBER(F1215)),ROUND(E1215-F1215,6),"")</f>
        <v/>
      </c>
      <c r="H1215" s="25">
        <f>IF(A1215="","",IFERROR(INDEX('자료_한국심리'!$N$3:$N$4002,MATCH(A1215,$Y$19:$Y$4018,0)),H1214))</f>
        <v/>
      </c>
      <c r="I1215" s="31">
        <f>IF(AND(ISNUMBER(H1215),ISNUMBER(H1195)),IF(H1195&gt;0,H1215/H1195-1,""),"")</f>
        <v/>
      </c>
      <c r="J1215">
        <f>IF(A1215="",0,IF(A1215&gt;$B$5,1,0))</f>
        <v/>
      </c>
      <c r="K1215" s="29">
        <f>IF(AND(J1215=1,ISNUMBER(D1215)),D1215,"")</f>
        <v/>
      </c>
      <c r="L1215" s="30">
        <f>IF(AND(J1215=1,ISNUMBER(G1215)),G1215,"")</f>
        <v/>
      </c>
      <c r="M1215" s="22">
        <f>IF(AND(J1215=1,ISNUMBER(C1215)),C1215,"")</f>
        <v/>
      </c>
      <c r="N1215" s="31">
        <f>IF(AND(J1215=1,ISNUMBER(I1215)),I1215,"")</f>
        <v/>
      </c>
      <c r="O1215" s="11">
        <f>IF(K1215="","",100-IF($G$13=1,50,(_xlfn.RANK.AVG(K1215,$K$19:$K$1518,1)-1)/($G$13-1)*100))</f>
        <v/>
      </c>
      <c r="P1215" s="11">
        <f>IF(L1215="","",100-IF($G$14=1,50,(_xlfn.RANK.AVG(L1215,$L$19:$L$1518,1)-1)/($G$14-1)*100))</f>
        <v/>
      </c>
      <c r="Q1215" s="11">
        <f>IF(M1215="","",IF($G$15=1,50,(_xlfn.RANK.AVG(M1215,$M$19:$M$1518,1)-1)/($G$15-1)*100))</f>
        <v/>
      </c>
      <c r="R1215" s="11">
        <f>IF(N1215="","",IF($G$16=1,50,(_xlfn.RANK.AVG(N1215,$N$19:$N$1518,1)-1)/($G$16-1)*100))</f>
        <v/>
      </c>
      <c r="S1215" s="11">
        <f>IF(COUNT(O1215:R1215)=4,ROUND(AVERAGE(O1215:R1215),6),"")</f>
        <v/>
      </c>
      <c r="U1215">
        <f>IF(AND(ISNUMBER('자료_한국심리'!$A1199),ISNUMBER('자료_한국심리'!$B1199)),'자료_한국심리'!$A1199,"")</f>
        <v/>
      </c>
      <c r="V1215">
        <f>IF(AND(ISNUMBER('자료_한국심리'!$D1199),ISNUMBER('자료_한국심리'!$E1199)),'자료_한국심리'!$D1199,"")</f>
        <v/>
      </c>
      <c r="W1215">
        <f>IF(AND(ISNUMBER('자료_한국심리'!$G1199),ISNUMBER('자료_한국심리'!$H1199)),'자료_한국심리'!$G1199,"")</f>
        <v/>
      </c>
      <c r="X1215">
        <f>IF(AND(ISNUMBER('자료_한국심리'!$J1199),ISNUMBER('자료_한국심리'!$K1199)),'자료_한국심리'!$J1199,"")</f>
        <v/>
      </c>
      <c r="Y1215">
        <f>IF(AND(ISNUMBER('자료_한국심리'!$M1199),ISNUMBER('자료_한국심리'!$N1199)),'자료_한국심리'!$M1199,"")</f>
        <v/>
      </c>
    </row>
    <row r="1216">
      <c r="A1216" s="10">
        <f>IF(1198&gt;$E$5,"",SMALL($U$19:$U$4018,$E$6+1198))</f>
        <v/>
      </c>
      <c r="B1216" s="29">
        <f>IF(A1216="","",INDEX('자료_한국심리'!$B$3:$B$4002,MATCH(A1216,$U$19:$U$4018,0)))</f>
        <v/>
      </c>
      <c r="C1216" s="22">
        <f>IF(A1216="","",B1216/AVERAGE(B1092:B1216)-1)</f>
        <v/>
      </c>
      <c r="D1216" s="29">
        <f>IF(A1216="","",IFERROR(INDEX('자료_한국심리'!$E$3:$E$4002,MATCH(A1216,$V$19:$V$4018,0)),D1215))</f>
        <v/>
      </c>
      <c r="E1216" s="30">
        <f>IF(A1216="","",IFERROR(INDEX('자료_한국심리'!$H$3:$H$4002,MATCH(A1216,$W$19:$W$4018,0)),E1215))</f>
        <v/>
      </c>
      <c r="F1216" s="30">
        <f>IF(A1216="","",IFERROR(INDEX('자료_한국심리'!$K$3:$K$4002,MATCH(A1216,$X$19:$X$4018,0)),F1215))</f>
        <v/>
      </c>
      <c r="G1216" s="30">
        <f>IF(AND(ISNUMBER(E1216),ISNUMBER(F1216)),ROUND(E1216-F1216,6),"")</f>
        <v/>
      </c>
      <c r="H1216" s="25">
        <f>IF(A1216="","",IFERROR(INDEX('자료_한국심리'!$N$3:$N$4002,MATCH(A1216,$Y$19:$Y$4018,0)),H1215))</f>
        <v/>
      </c>
      <c r="I1216" s="31">
        <f>IF(AND(ISNUMBER(H1216),ISNUMBER(H1196)),IF(H1196&gt;0,H1216/H1196-1,""),"")</f>
        <v/>
      </c>
      <c r="J1216">
        <f>IF(A1216="",0,IF(A1216&gt;$B$5,1,0))</f>
        <v/>
      </c>
      <c r="K1216" s="29">
        <f>IF(AND(J1216=1,ISNUMBER(D1216)),D1216,"")</f>
        <v/>
      </c>
      <c r="L1216" s="30">
        <f>IF(AND(J1216=1,ISNUMBER(G1216)),G1216,"")</f>
        <v/>
      </c>
      <c r="M1216" s="22">
        <f>IF(AND(J1216=1,ISNUMBER(C1216)),C1216,"")</f>
        <v/>
      </c>
      <c r="N1216" s="31">
        <f>IF(AND(J1216=1,ISNUMBER(I1216)),I1216,"")</f>
        <v/>
      </c>
      <c r="O1216" s="11">
        <f>IF(K1216="","",100-IF($G$13=1,50,(_xlfn.RANK.AVG(K1216,$K$19:$K$1518,1)-1)/($G$13-1)*100))</f>
        <v/>
      </c>
      <c r="P1216" s="11">
        <f>IF(L1216="","",100-IF($G$14=1,50,(_xlfn.RANK.AVG(L1216,$L$19:$L$1518,1)-1)/($G$14-1)*100))</f>
        <v/>
      </c>
      <c r="Q1216" s="11">
        <f>IF(M1216="","",IF($G$15=1,50,(_xlfn.RANK.AVG(M1216,$M$19:$M$1518,1)-1)/($G$15-1)*100))</f>
        <v/>
      </c>
      <c r="R1216" s="11">
        <f>IF(N1216="","",IF($G$16=1,50,(_xlfn.RANK.AVG(N1216,$N$19:$N$1518,1)-1)/($G$16-1)*100))</f>
        <v/>
      </c>
      <c r="S1216" s="11">
        <f>IF(COUNT(O1216:R1216)=4,ROUND(AVERAGE(O1216:R1216),6),"")</f>
        <v/>
      </c>
      <c r="U1216">
        <f>IF(AND(ISNUMBER('자료_한국심리'!$A1200),ISNUMBER('자료_한국심리'!$B1200)),'자료_한국심리'!$A1200,"")</f>
        <v/>
      </c>
      <c r="V1216">
        <f>IF(AND(ISNUMBER('자료_한국심리'!$D1200),ISNUMBER('자료_한국심리'!$E1200)),'자료_한국심리'!$D1200,"")</f>
        <v/>
      </c>
      <c r="W1216">
        <f>IF(AND(ISNUMBER('자료_한국심리'!$G1200),ISNUMBER('자료_한국심리'!$H1200)),'자료_한국심리'!$G1200,"")</f>
        <v/>
      </c>
      <c r="X1216">
        <f>IF(AND(ISNUMBER('자료_한국심리'!$J1200),ISNUMBER('자료_한국심리'!$K1200)),'자료_한국심리'!$J1200,"")</f>
        <v/>
      </c>
      <c r="Y1216">
        <f>IF(AND(ISNUMBER('자료_한국심리'!$M1200),ISNUMBER('자료_한국심리'!$N1200)),'자료_한국심리'!$M1200,"")</f>
        <v/>
      </c>
    </row>
    <row r="1217">
      <c r="A1217" s="10">
        <f>IF(1199&gt;$E$5,"",SMALL($U$19:$U$4018,$E$6+1199))</f>
        <v/>
      </c>
      <c r="B1217" s="29">
        <f>IF(A1217="","",INDEX('자료_한국심리'!$B$3:$B$4002,MATCH(A1217,$U$19:$U$4018,0)))</f>
        <v/>
      </c>
      <c r="C1217" s="22">
        <f>IF(A1217="","",B1217/AVERAGE(B1093:B1217)-1)</f>
        <v/>
      </c>
      <c r="D1217" s="29">
        <f>IF(A1217="","",IFERROR(INDEX('자료_한국심리'!$E$3:$E$4002,MATCH(A1217,$V$19:$V$4018,0)),D1216))</f>
        <v/>
      </c>
      <c r="E1217" s="30">
        <f>IF(A1217="","",IFERROR(INDEX('자료_한국심리'!$H$3:$H$4002,MATCH(A1217,$W$19:$W$4018,0)),E1216))</f>
        <v/>
      </c>
      <c r="F1217" s="30">
        <f>IF(A1217="","",IFERROR(INDEX('자료_한국심리'!$K$3:$K$4002,MATCH(A1217,$X$19:$X$4018,0)),F1216))</f>
        <v/>
      </c>
      <c r="G1217" s="30">
        <f>IF(AND(ISNUMBER(E1217),ISNUMBER(F1217)),ROUND(E1217-F1217,6),"")</f>
        <v/>
      </c>
      <c r="H1217" s="25">
        <f>IF(A1217="","",IFERROR(INDEX('자료_한국심리'!$N$3:$N$4002,MATCH(A1217,$Y$19:$Y$4018,0)),H1216))</f>
        <v/>
      </c>
      <c r="I1217" s="31">
        <f>IF(AND(ISNUMBER(H1217),ISNUMBER(H1197)),IF(H1197&gt;0,H1217/H1197-1,""),"")</f>
        <v/>
      </c>
      <c r="J1217">
        <f>IF(A1217="",0,IF(A1217&gt;$B$5,1,0))</f>
        <v/>
      </c>
      <c r="K1217" s="29">
        <f>IF(AND(J1217=1,ISNUMBER(D1217)),D1217,"")</f>
        <v/>
      </c>
      <c r="L1217" s="30">
        <f>IF(AND(J1217=1,ISNUMBER(G1217)),G1217,"")</f>
        <v/>
      </c>
      <c r="M1217" s="22">
        <f>IF(AND(J1217=1,ISNUMBER(C1217)),C1217,"")</f>
        <v/>
      </c>
      <c r="N1217" s="31">
        <f>IF(AND(J1217=1,ISNUMBER(I1217)),I1217,"")</f>
        <v/>
      </c>
      <c r="O1217" s="11">
        <f>IF(K1217="","",100-IF($G$13=1,50,(_xlfn.RANK.AVG(K1217,$K$19:$K$1518,1)-1)/($G$13-1)*100))</f>
        <v/>
      </c>
      <c r="P1217" s="11">
        <f>IF(L1217="","",100-IF($G$14=1,50,(_xlfn.RANK.AVG(L1217,$L$19:$L$1518,1)-1)/($G$14-1)*100))</f>
        <v/>
      </c>
      <c r="Q1217" s="11">
        <f>IF(M1217="","",IF($G$15=1,50,(_xlfn.RANK.AVG(M1217,$M$19:$M$1518,1)-1)/($G$15-1)*100))</f>
        <v/>
      </c>
      <c r="R1217" s="11">
        <f>IF(N1217="","",IF($G$16=1,50,(_xlfn.RANK.AVG(N1217,$N$19:$N$1518,1)-1)/($G$16-1)*100))</f>
        <v/>
      </c>
      <c r="S1217" s="11">
        <f>IF(COUNT(O1217:R1217)=4,ROUND(AVERAGE(O1217:R1217),6),"")</f>
        <v/>
      </c>
      <c r="U1217">
        <f>IF(AND(ISNUMBER('자료_한국심리'!$A1201),ISNUMBER('자료_한국심리'!$B1201)),'자료_한국심리'!$A1201,"")</f>
        <v/>
      </c>
      <c r="V1217">
        <f>IF(AND(ISNUMBER('자료_한국심리'!$D1201),ISNUMBER('자료_한국심리'!$E1201)),'자료_한국심리'!$D1201,"")</f>
        <v/>
      </c>
      <c r="W1217">
        <f>IF(AND(ISNUMBER('자료_한국심리'!$G1201),ISNUMBER('자료_한국심리'!$H1201)),'자료_한국심리'!$G1201,"")</f>
        <v/>
      </c>
      <c r="X1217">
        <f>IF(AND(ISNUMBER('자료_한국심리'!$J1201),ISNUMBER('자료_한국심리'!$K1201)),'자료_한국심리'!$J1201,"")</f>
        <v/>
      </c>
      <c r="Y1217">
        <f>IF(AND(ISNUMBER('자료_한국심리'!$M1201),ISNUMBER('자료_한국심리'!$N1201)),'자료_한국심리'!$M1201,"")</f>
        <v/>
      </c>
    </row>
    <row r="1218">
      <c r="A1218" s="10">
        <f>IF(1200&gt;$E$5,"",SMALL($U$19:$U$4018,$E$6+1200))</f>
        <v/>
      </c>
      <c r="B1218" s="29">
        <f>IF(A1218="","",INDEX('자료_한국심리'!$B$3:$B$4002,MATCH(A1218,$U$19:$U$4018,0)))</f>
        <v/>
      </c>
      <c r="C1218" s="22">
        <f>IF(A1218="","",B1218/AVERAGE(B1094:B1218)-1)</f>
        <v/>
      </c>
      <c r="D1218" s="29">
        <f>IF(A1218="","",IFERROR(INDEX('자료_한국심리'!$E$3:$E$4002,MATCH(A1218,$V$19:$V$4018,0)),D1217))</f>
        <v/>
      </c>
      <c r="E1218" s="30">
        <f>IF(A1218="","",IFERROR(INDEX('자료_한국심리'!$H$3:$H$4002,MATCH(A1218,$W$19:$W$4018,0)),E1217))</f>
        <v/>
      </c>
      <c r="F1218" s="30">
        <f>IF(A1218="","",IFERROR(INDEX('자료_한국심리'!$K$3:$K$4002,MATCH(A1218,$X$19:$X$4018,0)),F1217))</f>
        <v/>
      </c>
      <c r="G1218" s="30">
        <f>IF(AND(ISNUMBER(E1218),ISNUMBER(F1218)),ROUND(E1218-F1218,6),"")</f>
        <v/>
      </c>
      <c r="H1218" s="25">
        <f>IF(A1218="","",IFERROR(INDEX('자료_한국심리'!$N$3:$N$4002,MATCH(A1218,$Y$19:$Y$4018,0)),H1217))</f>
        <v/>
      </c>
      <c r="I1218" s="31">
        <f>IF(AND(ISNUMBER(H1218),ISNUMBER(H1198)),IF(H1198&gt;0,H1218/H1198-1,""),"")</f>
        <v/>
      </c>
      <c r="J1218">
        <f>IF(A1218="",0,IF(A1218&gt;$B$5,1,0))</f>
        <v/>
      </c>
      <c r="K1218" s="29">
        <f>IF(AND(J1218=1,ISNUMBER(D1218)),D1218,"")</f>
        <v/>
      </c>
      <c r="L1218" s="30">
        <f>IF(AND(J1218=1,ISNUMBER(G1218)),G1218,"")</f>
        <v/>
      </c>
      <c r="M1218" s="22">
        <f>IF(AND(J1218=1,ISNUMBER(C1218)),C1218,"")</f>
        <v/>
      </c>
      <c r="N1218" s="31">
        <f>IF(AND(J1218=1,ISNUMBER(I1218)),I1218,"")</f>
        <v/>
      </c>
      <c r="O1218" s="11">
        <f>IF(K1218="","",100-IF($G$13=1,50,(_xlfn.RANK.AVG(K1218,$K$19:$K$1518,1)-1)/($G$13-1)*100))</f>
        <v/>
      </c>
      <c r="P1218" s="11">
        <f>IF(L1218="","",100-IF($G$14=1,50,(_xlfn.RANK.AVG(L1218,$L$19:$L$1518,1)-1)/($G$14-1)*100))</f>
        <v/>
      </c>
      <c r="Q1218" s="11">
        <f>IF(M1218="","",IF($G$15=1,50,(_xlfn.RANK.AVG(M1218,$M$19:$M$1518,1)-1)/($G$15-1)*100))</f>
        <v/>
      </c>
      <c r="R1218" s="11">
        <f>IF(N1218="","",IF($G$16=1,50,(_xlfn.RANK.AVG(N1218,$N$19:$N$1518,1)-1)/($G$16-1)*100))</f>
        <v/>
      </c>
      <c r="S1218" s="11">
        <f>IF(COUNT(O1218:R1218)=4,ROUND(AVERAGE(O1218:R1218),6),"")</f>
        <v/>
      </c>
      <c r="U1218">
        <f>IF(AND(ISNUMBER('자료_한국심리'!$A1202),ISNUMBER('자료_한국심리'!$B1202)),'자료_한국심리'!$A1202,"")</f>
        <v/>
      </c>
      <c r="V1218">
        <f>IF(AND(ISNUMBER('자료_한국심리'!$D1202),ISNUMBER('자료_한국심리'!$E1202)),'자료_한국심리'!$D1202,"")</f>
        <v/>
      </c>
      <c r="W1218">
        <f>IF(AND(ISNUMBER('자료_한국심리'!$G1202),ISNUMBER('자료_한국심리'!$H1202)),'자료_한국심리'!$G1202,"")</f>
        <v/>
      </c>
      <c r="X1218">
        <f>IF(AND(ISNUMBER('자료_한국심리'!$J1202),ISNUMBER('자료_한국심리'!$K1202)),'자료_한국심리'!$J1202,"")</f>
        <v/>
      </c>
      <c r="Y1218">
        <f>IF(AND(ISNUMBER('자료_한국심리'!$M1202),ISNUMBER('자료_한국심리'!$N1202)),'자료_한국심리'!$M1202,"")</f>
        <v/>
      </c>
    </row>
    <row r="1219">
      <c r="A1219" s="10">
        <f>IF(1201&gt;$E$5,"",SMALL($U$19:$U$4018,$E$6+1201))</f>
        <v/>
      </c>
      <c r="B1219" s="29">
        <f>IF(A1219="","",INDEX('자료_한국심리'!$B$3:$B$4002,MATCH(A1219,$U$19:$U$4018,0)))</f>
        <v/>
      </c>
      <c r="C1219" s="22">
        <f>IF(A1219="","",B1219/AVERAGE(B1095:B1219)-1)</f>
        <v/>
      </c>
      <c r="D1219" s="29">
        <f>IF(A1219="","",IFERROR(INDEX('자료_한국심리'!$E$3:$E$4002,MATCH(A1219,$V$19:$V$4018,0)),D1218))</f>
        <v/>
      </c>
      <c r="E1219" s="30">
        <f>IF(A1219="","",IFERROR(INDEX('자료_한국심리'!$H$3:$H$4002,MATCH(A1219,$W$19:$W$4018,0)),E1218))</f>
        <v/>
      </c>
      <c r="F1219" s="30">
        <f>IF(A1219="","",IFERROR(INDEX('자료_한국심리'!$K$3:$K$4002,MATCH(A1219,$X$19:$X$4018,0)),F1218))</f>
        <v/>
      </c>
      <c r="G1219" s="30">
        <f>IF(AND(ISNUMBER(E1219),ISNUMBER(F1219)),ROUND(E1219-F1219,6),"")</f>
        <v/>
      </c>
      <c r="H1219" s="25">
        <f>IF(A1219="","",IFERROR(INDEX('자료_한국심리'!$N$3:$N$4002,MATCH(A1219,$Y$19:$Y$4018,0)),H1218))</f>
        <v/>
      </c>
      <c r="I1219" s="31">
        <f>IF(AND(ISNUMBER(H1219),ISNUMBER(H1199)),IF(H1199&gt;0,H1219/H1199-1,""),"")</f>
        <v/>
      </c>
      <c r="J1219">
        <f>IF(A1219="",0,IF(A1219&gt;$B$5,1,0))</f>
        <v/>
      </c>
      <c r="K1219" s="29">
        <f>IF(AND(J1219=1,ISNUMBER(D1219)),D1219,"")</f>
        <v/>
      </c>
      <c r="L1219" s="30">
        <f>IF(AND(J1219=1,ISNUMBER(G1219)),G1219,"")</f>
        <v/>
      </c>
      <c r="M1219" s="22">
        <f>IF(AND(J1219=1,ISNUMBER(C1219)),C1219,"")</f>
        <v/>
      </c>
      <c r="N1219" s="31">
        <f>IF(AND(J1219=1,ISNUMBER(I1219)),I1219,"")</f>
        <v/>
      </c>
      <c r="O1219" s="11">
        <f>IF(K1219="","",100-IF($G$13=1,50,(_xlfn.RANK.AVG(K1219,$K$19:$K$1518,1)-1)/($G$13-1)*100))</f>
        <v/>
      </c>
      <c r="P1219" s="11">
        <f>IF(L1219="","",100-IF($G$14=1,50,(_xlfn.RANK.AVG(L1219,$L$19:$L$1518,1)-1)/($G$14-1)*100))</f>
        <v/>
      </c>
      <c r="Q1219" s="11">
        <f>IF(M1219="","",IF($G$15=1,50,(_xlfn.RANK.AVG(M1219,$M$19:$M$1518,1)-1)/($G$15-1)*100))</f>
        <v/>
      </c>
      <c r="R1219" s="11">
        <f>IF(N1219="","",IF($G$16=1,50,(_xlfn.RANK.AVG(N1219,$N$19:$N$1518,1)-1)/($G$16-1)*100))</f>
        <v/>
      </c>
      <c r="S1219" s="11">
        <f>IF(COUNT(O1219:R1219)=4,ROUND(AVERAGE(O1219:R1219),6),"")</f>
        <v/>
      </c>
      <c r="U1219">
        <f>IF(AND(ISNUMBER('자료_한국심리'!$A1203),ISNUMBER('자료_한국심리'!$B1203)),'자료_한국심리'!$A1203,"")</f>
        <v/>
      </c>
      <c r="V1219">
        <f>IF(AND(ISNUMBER('자료_한국심리'!$D1203),ISNUMBER('자료_한국심리'!$E1203)),'자료_한국심리'!$D1203,"")</f>
        <v/>
      </c>
      <c r="W1219">
        <f>IF(AND(ISNUMBER('자료_한국심리'!$G1203),ISNUMBER('자료_한국심리'!$H1203)),'자료_한국심리'!$G1203,"")</f>
        <v/>
      </c>
      <c r="X1219">
        <f>IF(AND(ISNUMBER('자료_한국심리'!$J1203),ISNUMBER('자료_한국심리'!$K1203)),'자료_한국심리'!$J1203,"")</f>
        <v/>
      </c>
      <c r="Y1219">
        <f>IF(AND(ISNUMBER('자료_한국심리'!$M1203),ISNUMBER('자료_한국심리'!$N1203)),'자료_한국심리'!$M1203,"")</f>
        <v/>
      </c>
    </row>
    <row r="1220">
      <c r="A1220" s="10">
        <f>IF(1202&gt;$E$5,"",SMALL($U$19:$U$4018,$E$6+1202))</f>
        <v/>
      </c>
      <c r="B1220" s="29">
        <f>IF(A1220="","",INDEX('자료_한국심리'!$B$3:$B$4002,MATCH(A1220,$U$19:$U$4018,0)))</f>
        <v/>
      </c>
      <c r="C1220" s="22">
        <f>IF(A1220="","",B1220/AVERAGE(B1096:B1220)-1)</f>
        <v/>
      </c>
      <c r="D1220" s="29">
        <f>IF(A1220="","",IFERROR(INDEX('자료_한국심리'!$E$3:$E$4002,MATCH(A1220,$V$19:$V$4018,0)),D1219))</f>
        <v/>
      </c>
      <c r="E1220" s="30">
        <f>IF(A1220="","",IFERROR(INDEX('자료_한국심리'!$H$3:$H$4002,MATCH(A1220,$W$19:$W$4018,0)),E1219))</f>
        <v/>
      </c>
      <c r="F1220" s="30">
        <f>IF(A1220="","",IFERROR(INDEX('자료_한국심리'!$K$3:$K$4002,MATCH(A1220,$X$19:$X$4018,0)),F1219))</f>
        <v/>
      </c>
      <c r="G1220" s="30">
        <f>IF(AND(ISNUMBER(E1220),ISNUMBER(F1220)),ROUND(E1220-F1220,6),"")</f>
        <v/>
      </c>
      <c r="H1220" s="25">
        <f>IF(A1220="","",IFERROR(INDEX('자료_한국심리'!$N$3:$N$4002,MATCH(A1220,$Y$19:$Y$4018,0)),H1219))</f>
        <v/>
      </c>
      <c r="I1220" s="31">
        <f>IF(AND(ISNUMBER(H1220),ISNUMBER(H1200)),IF(H1200&gt;0,H1220/H1200-1,""),"")</f>
        <v/>
      </c>
      <c r="J1220">
        <f>IF(A1220="",0,IF(A1220&gt;$B$5,1,0))</f>
        <v/>
      </c>
      <c r="K1220" s="29">
        <f>IF(AND(J1220=1,ISNUMBER(D1220)),D1220,"")</f>
        <v/>
      </c>
      <c r="L1220" s="30">
        <f>IF(AND(J1220=1,ISNUMBER(G1220)),G1220,"")</f>
        <v/>
      </c>
      <c r="M1220" s="22">
        <f>IF(AND(J1220=1,ISNUMBER(C1220)),C1220,"")</f>
        <v/>
      </c>
      <c r="N1220" s="31">
        <f>IF(AND(J1220=1,ISNUMBER(I1220)),I1220,"")</f>
        <v/>
      </c>
      <c r="O1220" s="11">
        <f>IF(K1220="","",100-IF($G$13=1,50,(_xlfn.RANK.AVG(K1220,$K$19:$K$1518,1)-1)/($G$13-1)*100))</f>
        <v/>
      </c>
      <c r="P1220" s="11">
        <f>IF(L1220="","",100-IF($G$14=1,50,(_xlfn.RANK.AVG(L1220,$L$19:$L$1518,1)-1)/($G$14-1)*100))</f>
        <v/>
      </c>
      <c r="Q1220" s="11">
        <f>IF(M1220="","",IF($G$15=1,50,(_xlfn.RANK.AVG(M1220,$M$19:$M$1518,1)-1)/($G$15-1)*100))</f>
        <v/>
      </c>
      <c r="R1220" s="11">
        <f>IF(N1220="","",IF($G$16=1,50,(_xlfn.RANK.AVG(N1220,$N$19:$N$1518,1)-1)/($G$16-1)*100))</f>
        <v/>
      </c>
      <c r="S1220" s="11">
        <f>IF(COUNT(O1220:R1220)=4,ROUND(AVERAGE(O1220:R1220),6),"")</f>
        <v/>
      </c>
      <c r="U1220">
        <f>IF(AND(ISNUMBER('자료_한국심리'!$A1204),ISNUMBER('자료_한국심리'!$B1204)),'자료_한국심리'!$A1204,"")</f>
        <v/>
      </c>
      <c r="V1220">
        <f>IF(AND(ISNUMBER('자료_한국심리'!$D1204),ISNUMBER('자료_한국심리'!$E1204)),'자료_한국심리'!$D1204,"")</f>
        <v/>
      </c>
      <c r="W1220">
        <f>IF(AND(ISNUMBER('자료_한국심리'!$G1204),ISNUMBER('자료_한국심리'!$H1204)),'자료_한국심리'!$G1204,"")</f>
        <v/>
      </c>
      <c r="X1220">
        <f>IF(AND(ISNUMBER('자료_한국심리'!$J1204),ISNUMBER('자료_한국심리'!$K1204)),'자료_한국심리'!$J1204,"")</f>
        <v/>
      </c>
      <c r="Y1220">
        <f>IF(AND(ISNUMBER('자료_한국심리'!$M1204),ISNUMBER('자료_한국심리'!$N1204)),'자료_한국심리'!$M1204,"")</f>
        <v/>
      </c>
    </row>
    <row r="1221">
      <c r="A1221" s="10">
        <f>IF(1203&gt;$E$5,"",SMALL($U$19:$U$4018,$E$6+1203))</f>
        <v/>
      </c>
      <c r="B1221" s="29">
        <f>IF(A1221="","",INDEX('자료_한국심리'!$B$3:$B$4002,MATCH(A1221,$U$19:$U$4018,0)))</f>
        <v/>
      </c>
      <c r="C1221" s="22">
        <f>IF(A1221="","",B1221/AVERAGE(B1097:B1221)-1)</f>
        <v/>
      </c>
      <c r="D1221" s="29">
        <f>IF(A1221="","",IFERROR(INDEX('자료_한국심리'!$E$3:$E$4002,MATCH(A1221,$V$19:$V$4018,0)),D1220))</f>
        <v/>
      </c>
      <c r="E1221" s="30">
        <f>IF(A1221="","",IFERROR(INDEX('자료_한국심리'!$H$3:$H$4002,MATCH(A1221,$W$19:$W$4018,0)),E1220))</f>
        <v/>
      </c>
      <c r="F1221" s="30">
        <f>IF(A1221="","",IFERROR(INDEX('자료_한국심리'!$K$3:$K$4002,MATCH(A1221,$X$19:$X$4018,0)),F1220))</f>
        <v/>
      </c>
      <c r="G1221" s="30">
        <f>IF(AND(ISNUMBER(E1221),ISNUMBER(F1221)),ROUND(E1221-F1221,6),"")</f>
        <v/>
      </c>
      <c r="H1221" s="25">
        <f>IF(A1221="","",IFERROR(INDEX('자료_한국심리'!$N$3:$N$4002,MATCH(A1221,$Y$19:$Y$4018,0)),H1220))</f>
        <v/>
      </c>
      <c r="I1221" s="31">
        <f>IF(AND(ISNUMBER(H1221),ISNUMBER(H1201)),IF(H1201&gt;0,H1221/H1201-1,""),"")</f>
        <v/>
      </c>
      <c r="J1221">
        <f>IF(A1221="",0,IF(A1221&gt;$B$5,1,0))</f>
        <v/>
      </c>
      <c r="K1221" s="29">
        <f>IF(AND(J1221=1,ISNUMBER(D1221)),D1221,"")</f>
        <v/>
      </c>
      <c r="L1221" s="30">
        <f>IF(AND(J1221=1,ISNUMBER(G1221)),G1221,"")</f>
        <v/>
      </c>
      <c r="M1221" s="22">
        <f>IF(AND(J1221=1,ISNUMBER(C1221)),C1221,"")</f>
        <v/>
      </c>
      <c r="N1221" s="31">
        <f>IF(AND(J1221=1,ISNUMBER(I1221)),I1221,"")</f>
        <v/>
      </c>
      <c r="O1221" s="11">
        <f>IF(K1221="","",100-IF($G$13=1,50,(_xlfn.RANK.AVG(K1221,$K$19:$K$1518,1)-1)/($G$13-1)*100))</f>
        <v/>
      </c>
      <c r="P1221" s="11">
        <f>IF(L1221="","",100-IF($G$14=1,50,(_xlfn.RANK.AVG(L1221,$L$19:$L$1518,1)-1)/($G$14-1)*100))</f>
        <v/>
      </c>
      <c r="Q1221" s="11">
        <f>IF(M1221="","",IF($G$15=1,50,(_xlfn.RANK.AVG(M1221,$M$19:$M$1518,1)-1)/($G$15-1)*100))</f>
        <v/>
      </c>
      <c r="R1221" s="11">
        <f>IF(N1221="","",IF($G$16=1,50,(_xlfn.RANK.AVG(N1221,$N$19:$N$1518,1)-1)/($G$16-1)*100))</f>
        <v/>
      </c>
      <c r="S1221" s="11">
        <f>IF(COUNT(O1221:R1221)=4,ROUND(AVERAGE(O1221:R1221),6),"")</f>
        <v/>
      </c>
      <c r="U1221">
        <f>IF(AND(ISNUMBER('자료_한국심리'!$A1205),ISNUMBER('자료_한국심리'!$B1205)),'자료_한국심리'!$A1205,"")</f>
        <v/>
      </c>
      <c r="V1221">
        <f>IF(AND(ISNUMBER('자료_한국심리'!$D1205),ISNUMBER('자료_한국심리'!$E1205)),'자료_한국심리'!$D1205,"")</f>
        <v/>
      </c>
      <c r="W1221">
        <f>IF(AND(ISNUMBER('자료_한국심리'!$G1205),ISNUMBER('자료_한국심리'!$H1205)),'자료_한국심리'!$G1205,"")</f>
        <v/>
      </c>
      <c r="X1221">
        <f>IF(AND(ISNUMBER('자료_한국심리'!$J1205),ISNUMBER('자료_한국심리'!$K1205)),'자료_한국심리'!$J1205,"")</f>
        <v/>
      </c>
      <c r="Y1221">
        <f>IF(AND(ISNUMBER('자료_한국심리'!$M1205),ISNUMBER('자료_한국심리'!$N1205)),'자료_한국심리'!$M1205,"")</f>
        <v/>
      </c>
    </row>
    <row r="1222">
      <c r="A1222" s="10">
        <f>IF(1204&gt;$E$5,"",SMALL($U$19:$U$4018,$E$6+1204))</f>
        <v/>
      </c>
      <c r="B1222" s="29">
        <f>IF(A1222="","",INDEX('자료_한국심리'!$B$3:$B$4002,MATCH(A1222,$U$19:$U$4018,0)))</f>
        <v/>
      </c>
      <c r="C1222" s="22">
        <f>IF(A1222="","",B1222/AVERAGE(B1098:B1222)-1)</f>
        <v/>
      </c>
      <c r="D1222" s="29">
        <f>IF(A1222="","",IFERROR(INDEX('자료_한국심리'!$E$3:$E$4002,MATCH(A1222,$V$19:$V$4018,0)),D1221))</f>
        <v/>
      </c>
      <c r="E1222" s="30">
        <f>IF(A1222="","",IFERROR(INDEX('자료_한국심리'!$H$3:$H$4002,MATCH(A1222,$W$19:$W$4018,0)),E1221))</f>
        <v/>
      </c>
      <c r="F1222" s="30">
        <f>IF(A1222="","",IFERROR(INDEX('자료_한국심리'!$K$3:$K$4002,MATCH(A1222,$X$19:$X$4018,0)),F1221))</f>
        <v/>
      </c>
      <c r="G1222" s="30">
        <f>IF(AND(ISNUMBER(E1222),ISNUMBER(F1222)),ROUND(E1222-F1222,6),"")</f>
        <v/>
      </c>
      <c r="H1222" s="25">
        <f>IF(A1222="","",IFERROR(INDEX('자료_한국심리'!$N$3:$N$4002,MATCH(A1222,$Y$19:$Y$4018,0)),H1221))</f>
        <v/>
      </c>
      <c r="I1222" s="31">
        <f>IF(AND(ISNUMBER(H1222),ISNUMBER(H1202)),IF(H1202&gt;0,H1222/H1202-1,""),"")</f>
        <v/>
      </c>
      <c r="J1222">
        <f>IF(A1222="",0,IF(A1222&gt;$B$5,1,0))</f>
        <v/>
      </c>
      <c r="K1222" s="29">
        <f>IF(AND(J1222=1,ISNUMBER(D1222)),D1222,"")</f>
        <v/>
      </c>
      <c r="L1222" s="30">
        <f>IF(AND(J1222=1,ISNUMBER(G1222)),G1222,"")</f>
        <v/>
      </c>
      <c r="M1222" s="22">
        <f>IF(AND(J1222=1,ISNUMBER(C1222)),C1222,"")</f>
        <v/>
      </c>
      <c r="N1222" s="31">
        <f>IF(AND(J1222=1,ISNUMBER(I1222)),I1222,"")</f>
        <v/>
      </c>
      <c r="O1222" s="11">
        <f>IF(K1222="","",100-IF($G$13=1,50,(_xlfn.RANK.AVG(K1222,$K$19:$K$1518,1)-1)/($G$13-1)*100))</f>
        <v/>
      </c>
      <c r="P1222" s="11">
        <f>IF(L1222="","",100-IF($G$14=1,50,(_xlfn.RANK.AVG(L1222,$L$19:$L$1518,1)-1)/($G$14-1)*100))</f>
        <v/>
      </c>
      <c r="Q1222" s="11">
        <f>IF(M1222="","",IF($G$15=1,50,(_xlfn.RANK.AVG(M1222,$M$19:$M$1518,1)-1)/($G$15-1)*100))</f>
        <v/>
      </c>
      <c r="R1222" s="11">
        <f>IF(N1222="","",IF($G$16=1,50,(_xlfn.RANK.AVG(N1222,$N$19:$N$1518,1)-1)/($G$16-1)*100))</f>
        <v/>
      </c>
      <c r="S1222" s="11">
        <f>IF(COUNT(O1222:R1222)=4,ROUND(AVERAGE(O1222:R1222),6),"")</f>
        <v/>
      </c>
      <c r="U1222">
        <f>IF(AND(ISNUMBER('자료_한국심리'!$A1206),ISNUMBER('자료_한국심리'!$B1206)),'자료_한국심리'!$A1206,"")</f>
        <v/>
      </c>
      <c r="V1222">
        <f>IF(AND(ISNUMBER('자료_한국심리'!$D1206),ISNUMBER('자료_한국심리'!$E1206)),'자료_한국심리'!$D1206,"")</f>
        <v/>
      </c>
      <c r="W1222">
        <f>IF(AND(ISNUMBER('자료_한국심리'!$G1206),ISNUMBER('자료_한국심리'!$H1206)),'자료_한국심리'!$G1206,"")</f>
        <v/>
      </c>
      <c r="X1222">
        <f>IF(AND(ISNUMBER('자료_한국심리'!$J1206),ISNUMBER('자료_한국심리'!$K1206)),'자료_한국심리'!$J1206,"")</f>
        <v/>
      </c>
      <c r="Y1222">
        <f>IF(AND(ISNUMBER('자료_한국심리'!$M1206),ISNUMBER('자료_한국심리'!$N1206)),'자료_한국심리'!$M1206,"")</f>
        <v/>
      </c>
    </row>
    <row r="1223">
      <c r="A1223" s="10">
        <f>IF(1205&gt;$E$5,"",SMALL($U$19:$U$4018,$E$6+1205))</f>
        <v/>
      </c>
      <c r="B1223" s="29">
        <f>IF(A1223="","",INDEX('자료_한국심리'!$B$3:$B$4002,MATCH(A1223,$U$19:$U$4018,0)))</f>
        <v/>
      </c>
      <c r="C1223" s="22">
        <f>IF(A1223="","",B1223/AVERAGE(B1099:B1223)-1)</f>
        <v/>
      </c>
      <c r="D1223" s="29">
        <f>IF(A1223="","",IFERROR(INDEX('자료_한국심리'!$E$3:$E$4002,MATCH(A1223,$V$19:$V$4018,0)),D1222))</f>
        <v/>
      </c>
      <c r="E1223" s="30">
        <f>IF(A1223="","",IFERROR(INDEX('자료_한국심리'!$H$3:$H$4002,MATCH(A1223,$W$19:$W$4018,0)),E1222))</f>
        <v/>
      </c>
      <c r="F1223" s="30">
        <f>IF(A1223="","",IFERROR(INDEX('자료_한국심리'!$K$3:$K$4002,MATCH(A1223,$X$19:$X$4018,0)),F1222))</f>
        <v/>
      </c>
      <c r="G1223" s="30">
        <f>IF(AND(ISNUMBER(E1223),ISNUMBER(F1223)),ROUND(E1223-F1223,6),"")</f>
        <v/>
      </c>
      <c r="H1223" s="25">
        <f>IF(A1223="","",IFERROR(INDEX('자료_한국심리'!$N$3:$N$4002,MATCH(A1223,$Y$19:$Y$4018,0)),H1222))</f>
        <v/>
      </c>
      <c r="I1223" s="31">
        <f>IF(AND(ISNUMBER(H1223),ISNUMBER(H1203)),IF(H1203&gt;0,H1223/H1203-1,""),"")</f>
        <v/>
      </c>
      <c r="J1223">
        <f>IF(A1223="",0,IF(A1223&gt;$B$5,1,0))</f>
        <v/>
      </c>
      <c r="K1223" s="29">
        <f>IF(AND(J1223=1,ISNUMBER(D1223)),D1223,"")</f>
        <v/>
      </c>
      <c r="L1223" s="30">
        <f>IF(AND(J1223=1,ISNUMBER(G1223)),G1223,"")</f>
        <v/>
      </c>
      <c r="M1223" s="22">
        <f>IF(AND(J1223=1,ISNUMBER(C1223)),C1223,"")</f>
        <v/>
      </c>
      <c r="N1223" s="31">
        <f>IF(AND(J1223=1,ISNUMBER(I1223)),I1223,"")</f>
        <v/>
      </c>
      <c r="O1223" s="11">
        <f>IF(K1223="","",100-IF($G$13=1,50,(_xlfn.RANK.AVG(K1223,$K$19:$K$1518,1)-1)/($G$13-1)*100))</f>
        <v/>
      </c>
      <c r="P1223" s="11">
        <f>IF(L1223="","",100-IF($G$14=1,50,(_xlfn.RANK.AVG(L1223,$L$19:$L$1518,1)-1)/($G$14-1)*100))</f>
        <v/>
      </c>
      <c r="Q1223" s="11">
        <f>IF(M1223="","",IF($G$15=1,50,(_xlfn.RANK.AVG(M1223,$M$19:$M$1518,1)-1)/($G$15-1)*100))</f>
        <v/>
      </c>
      <c r="R1223" s="11">
        <f>IF(N1223="","",IF($G$16=1,50,(_xlfn.RANK.AVG(N1223,$N$19:$N$1518,1)-1)/($G$16-1)*100))</f>
        <v/>
      </c>
      <c r="S1223" s="11">
        <f>IF(COUNT(O1223:R1223)=4,ROUND(AVERAGE(O1223:R1223),6),"")</f>
        <v/>
      </c>
      <c r="U1223">
        <f>IF(AND(ISNUMBER('자료_한국심리'!$A1207),ISNUMBER('자료_한국심리'!$B1207)),'자료_한국심리'!$A1207,"")</f>
        <v/>
      </c>
      <c r="V1223">
        <f>IF(AND(ISNUMBER('자료_한국심리'!$D1207),ISNUMBER('자료_한국심리'!$E1207)),'자료_한국심리'!$D1207,"")</f>
        <v/>
      </c>
      <c r="W1223">
        <f>IF(AND(ISNUMBER('자료_한국심리'!$G1207),ISNUMBER('자료_한국심리'!$H1207)),'자료_한국심리'!$G1207,"")</f>
        <v/>
      </c>
      <c r="X1223">
        <f>IF(AND(ISNUMBER('자료_한국심리'!$J1207),ISNUMBER('자료_한국심리'!$K1207)),'자료_한국심리'!$J1207,"")</f>
        <v/>
      </c>
      <c r="Y1223">
        <f>IF(AND(ISNUMBER('자료_한국심리'!$M1207),ISNUMBER('자료_한국심리'!$N1207)),'자료_한국심리'!$M1207,"")</f>
        <v/>
      </c>
    </row>
    <row r="1224">
      <c r="A1224" s="10">
        <f>IF(1206&gt;$E$5,"",SMALL($U$19:$U$4018,$E$6+1206))</f>
        <v/>
      </c>
      <c r="B1224" s="29">
        <f>IF(A1224="","",INDEX('자료_한국심리'!$B$3:$B$4002,MATCH(A1224,$U$19:$U$4018,0)))</f>
        <v/>
      </c>
      <c r="C1224" s="22">
        <f>IF(A1224="","",B1224/AVERAGE(B1100:B1224)-1)</f>
        <v/>
      </c>
      <c r="D1224" s="29">
        <f>IF(A1224="","",IFERROR(INDEX('자료_한국심리'!$E$3:$E$4002,MATCH(A1224,$V$19:$V$4018,0)),D1223))</f>
        <v/>
      </c>
      <c r="E1224" s="30">
        <f>IF(A1224="","",IFERROR(INDEX('자료_한국심리'!$H$3:$H$4002,MATCH(A1224,$W$19:$W$4018,0)),E1223))</f>
        <v/>
      </c>
      <c r="F1224" s="30">
        <f>IF(A1224="","",IFERROR(INDEX('자료_한국심리'!$K$3:$K$4002,MATCH(A1224,$X$19:$X$4018,0)),F1223))</f>
        <v/>
      </c>
      <c r="G1224" s="30">
        <f>IF(AND(ISNUMBER(E1224),ISNUMBER(F1224)),ROUND(E1224-F1224,6),"")</f>
        <v/>
      </c>
      <c r="H1224" s="25">
        <f>IF(A1224="","",IFERROR(INDEX('자료_한국심리'!$N$3:$N$4002,MATCH(A1224,$Y$19:$Y$4018,0)),H1223))</f>
        <v/>
      </c>
      <c r="I1224" s="31">
        <f>IF(AND(ISNUMBER(H1224),ISNUMBER(H1204)),IF(H1204&gt;0,H1224/H1204-1,""),"")</f>
        <v/>
      </c>
      <c r="J1224">
        <f>IF(A1224="",0,IF(A1224&gt;$B$5,1,0))</f>
        <v/>
      </c>
      <c r="K1224" s="29">
        <f>IF(AND(J1224=1,ISNUMBER(D1224)),D1224,"")</f>
        <v/>
      </c>
      <c r="L1224" s="30">
        <f>IF(AND(J1224=1,ISNUMBER(G1224)),G1224,"")</f>
        <v/>
      </c>
      <c r="M1224" s="22">
        <f>IF(AND(J1224=1,ISNUMBER(C1224)),C1224,"")</f>
        <v/>
      </c>
      <c r="N1224" s="31">
        <f>IF(AND(J1224=1,ISNUMBER(I1224)),I1224,"")</f>
        <v/>
      </c>
      <c r="O1224" s="11">
        <f>IF(K1224="","",100-IF($G$13=1,50,(_xlfn.RANK.AVG(K1224,$K$19:$K$1518,1)-1)/($G$13-1)*100))</f>
        <v/>
      </c>
      <c r="P1224" s="11">
        <f>IF(L1224="","",100-IF($G$14=1,50,(_xlfn.RANK.AVG(L1224,$L$19:$L$1518,1)-1)/($G$14-1)*100))</f>
        <v/>
      </c>
      <c r="Q1224" s="11">
        <f>IF(M1224="","",IF($G$15=1,50,(_xlfn.RANK.AVG(M1224,$M$19:$M$1518,1)-1)/($G$15-1)*100))</f>
        <v/>
      </c>
      <c r="R1224" s="11">
        <f>IF(N1224="","",IF($G$16=1,50,(_xlfn.RANK.AVG(N1224,$N$19:$N$1518,1)-1)/($G$16-1)*100))</f>
        <v/>
      </c>
      <c r="S1224" s="11">
        <f>IF(COUNT(O1224:R1224)=4,ROUND(AVERAGE(O1224:R1224),6),"")</f>
        <v/>
      </c>
      <c r="U1224">
        <f>IF(AND(ISNUMBER('자료_한국심리'!$A1208),ISNUMBER('자료_한국심리'!$B1208)),'자료_한국심리'!$A1208,"")</f>
        <v/>
      </c>
      <c r="V1224">
        <f>IF(AND(ISNUMBER('자료_한국심리'!$D1208),ISNUMBER('자료_한국심리'!$E1208)),'자료_한국심리'!$D1208,"")</f>
        <v/>
      </c>
      <c r="W1224">
        <f>IF(AND(ISNUMBER('자료_한국심리'!$G1208),ISNUMBER('자료_한국심리'!$H1208)),'자료_한국심리'!$G1208,"")</f>
        <v/>
      </c>
      <c r="X1224">
        <f>IF(AND(ISNUMBER('자료_한국심리'!$J1208),ISNUMBER('자료_한국심리'!$K1208)),'자료_한국심리'!$J1208,"")</f>
        <v/>
      </c>
      <c r="Y1224">
        <f>IF(AND(ISNUMBER('자료_한국심리'!$M1208),ISNUMBER('자료_한국심리'!$N1208)),'자료_한국심리'!$M1208,"")</f>
        <v/>
      </c>
    </row>
    <row r="1225">
      <c r="A1225" s="10">
        <f>IF(1207&gt;$E$5,"",SMALL($U$19:$U$4018,$E$6+1207))</f>
        <v/>
      </c>
      <c r="B1225" s="29">
        <f>IF(A1225="","",INDEX('자료_한국심리'!$B$3:$B$4002,MATCH(A1225,$U$19:$U$4018,0)))</f>
        <v/>
      </c>
      <c r="C1225" s="22">
        <f>IF(A1225="","",B1225/AVERAGE(B1101:B1225)-1)</f>
        <v/>
      </c>
      <c r="D1225" s="29">
        <f>IF(A1225="","",IFERROR(INDEX('자료_한국심리'!$E$3:$E$4002,MATCH(A1225,$V$19:$V$4018,0)),D1224))</f>
        <v/>
      </c>
      <c r="E1225" s="30">
        <f>IF(A1225="","",IFERROR(INDEX('자료_한국심리'!$H$3:$H$4002,MATCH(A1225,$W$19:$W$4018,0)),E1224))</f>
        <v/>
      </c>
      <c r="F1225" s="30">
        <f>IF(A1225="","",IFERROR(INDEX('자료_한국심리'!$K$3:$K$4002,MATCH(A1225,$X$19:$X$4018,0)),F1224))</f>
        <v/>
      </c>
      <c r="G1225" s="30">
        <f>IF(AND(ISNUMBER(E1225),ISNUMBER(F1225)),ROUND(E1225-F1225,6),"")</f>
        <v/>
      </c>
      <c r="H1225" s="25">
        <f>IF(A1225="","",IFERROR(INDEX('자료_한국심리'!$N$3:$N$4002,MATCH(A1225,$Y$19:$Y$4018,0)),H1224))</f>
        <v/>
      </c>
      <c r="I1225" s="31">
        <f>IF(AND(ISNUMBER(H1225),ISNUMBER(H1205)),IF(H1205&gt;0,H1225/H1205-1,""),"")</f>
        <v/>
      </c>
      <c r="J1225">
        <f>IF(A1225="",0,IF(A1225&gt;$B$5,1,0))</f>
        <v/>
      </c>
      <c r="K1225" s="29">
        <f>IF(AND(J1225=1,ISNUMBER(D1225)),D1225,"")</f>
        <v/>
      </c>
      <c r="L1225" s="30">
        <f>IF(AND(J1225=1,ISNUMBER(G1225)),G1225,"")</f>
        <v/>
      </c>
      <c r="M1225" s="22">
        <f>IF(AND(J1225=1,ISNUMBER(C1225)),C1225,"")</f>
        <v/>
      </c>
      <c r="N1225" s="31">
        <f>IF(AND(J1225=1,ISNUMBER(I1225)),I1225,"")</f>
        <v/>
      </c>
      <c r="O1225" s="11">
        <f>IF(K1225="","",100-IF($G$13=1,50,(_xlfn.RANK.AVG(K1225,$K$19:$K$1518,1)-1)/($G$13-1)*100))</f>
        <v/>
      </c>
      <c r="P1225" s="11">
        <f>IF(L1225="","",100-IF($G$14=1,50,(_xlfn.RANK.AVG(L1225,$L$19:$L$1518,1)-1)/($G$14-1)*100))</f>
        <v/>
      </c>
      <c r="Q1225" s="11">
        <f>IF(M1225="","",IF($G$15=1,50,(_xlfn.RANK.AVG(M1225,$M$19:$M$1518,1)-1)/($G$15-1)*100))</f>
        <v/>
      </c>
      <c r="R1225" s="11">
        <f>IF(N1225="","",IF($G$16=1,50,(_xlfn.RANK.AVG(N1225,$N$19:$N$1518,1)-1)/($G$16-1)*100))</f>
        <v/>
      </c>
      <c r="S1225" s="11">
        <f>IF(COUNT(O1225:R1225)=4,ROUND(AVERAGE(O1225:R1225),6),"")</f>
        <v/>
      </c>
      <c r="U1225">
        <f>IF(AND(ISNUMBER('자료_한국심리'!$A1209),ISNUMBER('자료_한국심리'!$B1209)),'자료_한국심리'!$A1209,"")</f>
        <v/>
      </c>
      <c r="V1225">
        <f>IF(AND(ISNUMBER('자료_한국심리'!$D1209),ISNUMBER('자료_한국심리'!$E1209)),'자료_한국심리'!$D1209,"")</f>
        <v/>
      </c>
      <c r="W1225">
        <f>IF(AND(ISNUMBER('자료_한국심리'!$G1209),ISNUMBER('자료_한국심리'!$H1209)),'자료_한국심리'!$G1209,"")</f>
        <v/>
      </c>
      <c r="X1225">
        <f>IF(AND(ISNUMBER('자료_한국심리'!$J1209),ISNUMBER('자료_한국심리'!$K1209)),'자료_한국심리'!$J1209,"")</f>
        <v/>
      </c>
      <c r="Y1225">
        <f>IF(AND(ISNUMBER('자료_한국심리'!$M1209),ISNUMBER('자료_한국심리'!$N1209)),'자료_한국심리'!$M1209,"")</f>
        <v/>
      </c>
    </row>
    <row r="1226">
      <c r="A1226" s="10">
        <f>IF(1208&gt;$E$5,"",SMALL($U$19:$U$4018,$E$6+1208))</f>
        <v/>
      </c>
      <c r="B1226" s="29">
        <f>IF(A1226="","",INDEX('자료_한국심리'!$B$3:$B$4002,MATCH(A1226,$U$19:$U$4018,0)))</f>
        <v/>
      </c>
      <c r="C1226" s="22">
        <f>IF(A1226="","",B1226/AVERAGE(B1102:B1226)-1)</f>
        <v/>
      </c>
      <c r="D1226" s="29">
        <f>IF(A1226="","",IFERROR(INDEX('자료_한국심리'!$E$3:$E$4002,MATCH(A1226,$V$19:$V$4018,0)),D1225))</f>
        <v/>
      </c>
      <c r="E1226" s="30">
        <f>IF(A1226="","",IFERROR(INDEX('자료_한국심리'!$H$3:$H$4002,MATCH(A1226,$W$19:$W$4018,0)),E1225))</f>
        <v/>
      </c>
      <c r="F1226" s="30">
        <f>IF(A1226="","",IFERROR(INDEX('자료_한국심리'!$K$3:$K$4002,MATCH(A1226,$X$19:$X$4018,0)),F1225))</f>
        <v/>
      </c>
      <c r="G1226" s="30">
        <f>IF(AND(ISNUMBER(E1226),ISNUMBER(F1226)),ROUND(E1226-F1226,6),"")</f>
        <v/>
      </c>
      <c r="H1226" s="25">
        <f>IF(A1226="","",IFERROR(INDEX('자료_한국심리'!$N$3:$N$4002,MATCH(A1226,$Y$19:$Y$4018,0)),H1225))</f>
        <v/>
      </c>
      <c r="I1226" s="31">
        <f>IF(AND(ISNUMBER(H1226),ISNUMBER(H1206)),IF(H1206&gt;0,H1226/H1206-1,""),"")</f>
        <v/>
      </c>
      <c r="J1226">
        <f>IF(A1226="",0,IF(A1226&gt;$B$5,1,0))</f>
        <v/>
      </c>
      <c r="K1226" s="29">
        <f>IF(AND(J1226=1,ISNUMBER(D1226)),D1226,"")</f>
        <v/>
      </c>
      <c r="L1226" s="30">
        <f>IF(AND(J1226=1,ISNUMBER(G1226)),G1226,"")</f>
        <v/>
      </c>
      <c r="M1226" s="22">
        <f>IF(AND(J1226=1,ISNUMBER(C1226)),C1226,"")</f>
        <v/>
      </c>
      <c r="N1226" s="31">
        <f>IF(AND(J1226=1,ISNUMBER(I1226)),I1226,"")</f>
        <v/>
      </c>
      <c r="O1226" s="11">
        <f>IF(K1226="","",100-IF($G$13=1,50,(_xlfn.RANK.AVG(K1226,$K$19:$K$1518,1)-1)/($G$13-1)*100))</f>
        <v/>
      </c>
      <c r="P1226" s="11">
        <f>IF(L1226="","",100-IF($G$14=1,50,(_xlfn.RANK.AVG(L1226,$L$19:$L$1518,1)-1)/($G$14-1)*100))</f>
        <v/>
      </c>
      <c r="Q1226" s="11">
        <f>IF(M1226="","",IF($G$15=1,50,(_xlfn.RANK.AVG(M1226,$M$19:$M$1518,1)-1)/($G$15-1)*100))</f>
        <v/>
      </c>
      <c r="R1226" s="11">
        <f>IF(N1226="","",IF($G$16=1,50,(_xlfn.RANK.AVG(N1226,$N$19:$N$1518,1)-1)/($G$16-1)*100))</f>
        <v/>
      </c>
      <c r="S1226" s="11">
        <f>IF(COUNT(O1226:R1226)=4,ROUND(AVERAGE(O1226:R1226),6),"")</f>
        <v/>
      </c>
      <c r="U1226">
        <f>IF(AND(ISNUMBER('자료_한국심리'!$A1210),ISNUMBER('자료_한국심리'!$B1210)),'자료_한국심리'!$A1210,"")</f>
        <v/>
      </c>
      <c r="V1226">
        <f>IF(AND(ISNUMBER('자료_한국심리'!$D1210),ISNUMBER('자료_한국심리'!$E1210)),'자료_한국심리'!$D1210,"")</f>
        <v/>
      </c>
      <c r="W1226">
        <f>IF(AND(ISNUMBER('자료_한국심리'!$G1210),ISNUMBER('자료_한국심리'!$H1210)),'자료_한국심리'!$G1210,"")</f>
        <v/>
      </c>
      <c r="X1226">
        <f>IF(AND(ISNUMBER('자료_한국심리'!$J1210),ISNUMBER('자료_한국심리'!$K1210)),'자료_한국심리'!$J1210,"")</f>
        <v/>
      </c>
      <c r="Y1226">
        <f>IF(AND(ISNUMBER('자료_한국심리'!$M1210),ISNUMBER('자료_한국심리'!$N1210)),'자료_한국심리'!$M1210,"")</f>
        <v/>
      </c>
    </row>
    <row r="1227">
      <c r="A1227" s="10">
        <f>IF(1209&gt;$E$5,"",SMALL($U$19:$U$4018,$E$6+1209))</f>
        <v/>
      </c>
      <c r="B1227" s="29">
        <f>IF(A1227="","",INDEX('자료_한국심리'!$B$3:$B$4002,MATCH(A1227,$U$19:$U$4018,0)))</f>
        <v/>
      </c>
      <c r="C1227" s="22">
        <f>IF(A1227="","",B1227/AVERAGE(B1103:B1227)-1)</f>
        <v/>
      </c>
      <c r="D1227" s="29">
        <f>IF(A1227="","",IFERROR(INDEX('자료_한국심리'!$E$3:$E$4002,MATCH(A1227,$V$19:$V$4018,0)),D1226))</f>
        <v/>
      </c>
      <c r="E1227" s="30">
        <f>IF(A1227="","",IFERROR(INDEX('자료_한국심리'!$H$3:$H$4002,MATCH(A1227,$W$19:$W$4018,0)),E1226))</f>
        <v/>
      </c>
      <c r="F1227" s="30">
        <f>IF(A1227="","",IFERROR(INDEX('자료_한국심리'!$K$3:$K$4002,MATCH(A1227,$X$19:$X$4018,0)),F1226))</f>
        <v/>
      </c>
      <c r="G1227" s="30">
        <f>IF(AND(ISNUMBER(E1227),ISNUMBER(F1227)),ROUND(E1227-F1227,6),"")</f>
        <v/>
      </c>
      <c r="H1227" s="25">
        <f>IF(A1227="","",IFERROR(INDEX('자료_한국심리'!$N$3:$N$4002,MATCH(A1227,$Y$19:$Y$4018,0)),H1226))</f>
        <v/>
      </c>
      <c r="I1227" s="31">
        <f>IF(AND(ISNUMBER(H1227),ISNUMBER(H1207)),IF(H1207&gt;0,H1227/H1207-1,""),"")</f>
        <v/>
      </c>
      <c r="J1227">
        <f>IF(A1227="",0,IF(A1227&gt;$B$5,1,0))</f>
        <v/>
      </c>
      <c r="K1227" s="29">
        <f>IF(AND(J1227=1,ISNUMBER(D1227)),D1227,"")</f>
        <v/>
      </c>
      <c r="L1227" s="30">
        <f>IF(AND(J1227=1,ISNUMBER(G1227)),G1227,"")</f>
        <v/>
      </c>
      <c r="M1227" s="22">
        <f>IF(AND(J1227=1,ISNUMBER(C1227)),C1227,"")</f>
        <v/>
      </c>
      <c r="N1227" s="31">
        <f>IF(AND(J1227=1,ISNUMBER(I1227)),I1227,"")</f>
        <v/>
      </c>
      <c r="O1227" s="11">
        <f>IF(K1227="","",100-IF($G$13=1,50,(_xlfn.RANK.AVG(K1227,$K$19:$K$1518,1)-1)/($G$13-1)*100))</f>
        <v/>
      </c>
      <c r="P1227" s="11">
        <f>IF(L1227="","",100-IF($G$14=1,50,(_xlfn.RANK.AVG(L1227,$L$19:$L$1518,1)-1)/($G$14-1)*100))</f>
        <v/>
      </c>
      <c r="Q1227" s="11">
        <f>IF(M1227="","",IF($G$15=1,50,(_xlfn.RANK.AVG(M1227,$M$19:$M$1518,1)-1)/($G$15-1)*100))</f>
        <v/>
      </c>
      <c r="R1227" s="11">
        <f>IF(N1227="","",IF($G$16=1,50,(_xlfn.RANK.AVG(N1227,$N$19:$N$1518,1)-1)/($G$16-1)*100))</f>
        <v/>
      </c>
      <c r="S1227" s="11">
        <f>IF(COUNT(O1227:R1227)=4,ROUND(AVERAGE(O1227:R1227),6),"")</f>
        <v/>
      </c>
      <c r="U1227">
        <f>IF(AND(ISNUMBER('자료_한국심리'!$A1211),ISNUMBER('자료_한국심리'!$B1211)),'자료_한국심리'!$A1211,"")</f>
        <v/>
      </c>
      <c r="V1227">
        <f>IF(AND(ISNUMBER('자료_한국심리'!$D1211),ISNUMBER('자료_한국심리'!$E1211)),'자료_한국심리'!$D1211,"")</f>
        <v/>
      </c>
      <c r="W1227">
        <f>IF(AND(ISNUMBER('자료_한국심리'!$G1211),ISNUMBER('자료_한국심리'!$H1211)),'자료_한국심리'!$G1211,"")</f>
        <v/>
      </c>
      <c r="X1227">
        <f>IF(AND(ISNUMBER('자료_한국심리'!$J1211),ISNUMBER('자료_한국심리'!$K1211)),'자료_한국심리'!$J1211,"")</f>
        <v/>
      </c>
      <c r="Y1227">
        <f>IF(AND(ISNUMBER('자료_한국심리'!$M1211),ISNUMBER('자료_한국심리'!$N1211)),'자료_한국심리'!$M1211,"")</f>
        <v/>
      </c>
    </row>
    <row r="1228">
      <c r="A1228" s="10">
        <f>IF(1210&gt;$E$5,"",SMALL($U$19:$U$4018,$E$6+1210))</f>
        <v/>
      </c>
      <c r="B1228" s="29">
        <f>IF(A1228="","",INDEX('자료_한국심리'!$B$3:$B$4002,MATCH(A1228,$U$19:$U$4018,0)))</f>
        <v/>
      </c>
      <c r="C1228" s="22">
        <f>IF(A1228="","",B1228/AVERAGE(B1104:B1228)-1)</f>
        <v/>
      </c>
      <c r="D1228" s="29">
        <f>IF(A1228="","",IFERROR(INDEX('자료_한국심리'!$E$3:$E$4002,MATCH(A1228,$V$19:$V$4018,0)),D1227))</f>
        <v/>
      </c>
      <c r="E1228" s="30">
        <f>IF(A1228="","",IFERROR(INDEX('자료_한국심리'!$H$3:$H$4002,MATCH(A1228,$W$19:$W$4018,0)),E1227))</f>
        <v/>
      </c>
      <c r="F1228" s="30">
        <f>IF(A1228="","",IFERROR(INDEX('자료_한국심리'!$K$3:$K$4002,MATCH(A1228,$X$19:$X$4018,0)),F1227))</f>
        <v/>
      </c>
      <c r="G1228" s="30">
        <f>IF(AND(ISNUMBER(E1228),ISNUMBER(F1228)),ROUND(E1228-F1228,6),"")</f>
        <v/>
      </c>
      <c r="H1228" s="25">
        <f>IF(A1228="","",IFERROR(INDEX('자료_한국심리'!$N$3:$N$4002,MATCH(A1228,$Y$19:$Y$4018,0)),H1227))</f>
        <v/>
      </c>
      <c r="I1228" s="31">
        <f>IF(AND(ISNUMBER(H1228),ISNUMBER(H1208)),IF(H1208&gt;0,H1228/H1208-1,""),"")</f>
        <v/>
      </c>
      <c r="J1228">
        <f>IF(A1228="",0,IF(A1228&gt;$B$5,1,0))</f>
        <v/>
      </c>
      <c r="K1228" s="29">
        <f>IF(AND(J1228=1,ISNUMBER(D1228)),D1228,"")</f>
        <v/>
      </c>
      <c r="L1228" s="30">
        <f>IF(AND(J1228=1,ISNUMBER(G1228)),G1228,"")</f>
        <v/>
      </c>
      <c r="M1228" s="22">
        <f>IF(AND(J1228=1,ISNUMBER(C1228)),C1228,"")</f>
        <v/>
      </c>
      <c r="N1228" s="31">
        <f>IF(AND(J1228=1,ISNUMBER(I1228)),I1228,"")</f>
        <v/>
      </c>
      <c r="O1228" s="11">
        <f>IF(K1228="","",100-IF($G$13=1,50,(_xlfn.RANK.AVG(K1228,$K$19:$K$1518,1)-1)/($G$13-1)*100))</f>
        <v/>
      </c>
      <c r="P1228" s="11">
        <f>IF(L1228="","",100-IF($G$14=1,50,(_xlfn.RANK.AVG(L1228,$L$19:$L$1518,1)-1)/($G$14-1)*100))</f>
        <v/>
      </c>
      <c r="Q1228" s="11">
        <f>IF(M1228="","",IF($G$15=1,50,(_xlfn.RANK.AVG(M1228,$M$19:$M$1518,1)-1)/($G$15-1)*100))</f>
        <v/>
      </c>
      <c r="R1228" s="11">
        <f>IF(N1228="","",IF($G$16=1,50,(_xlfn.RANK.AVG(N1228,$N$19:$N$1518,1)-1)/($G$16-1)*100))</f>
        <v/>
      </c>
      <c r="S1228" s="11">
        <f>IF(COUNT(O1228:R1228)=4,ROUND(AVERAGE(O1228:R1228),6),"")</f>
        <v/>
      </c>
      <c r="U1228">
        <f>IF(AND(ISNUMBER('자료_한국심리'!$A1212),ISNUMBER('자료_한국심리'!$B1212)),'자료_한국심리'!$A1212,"")</f>
        <v/>
      </c>
      <c r="V1228">
        <f>IF(AND(ISNUMBER('자료_한국심리'!$D1212),ISNUMBER('자료_한국심리'!$E1212)),'자료_한국심리'!$D1212,"")</f>
        <v/>
      </c>
      <c r="W1228">
        <f>IF(AND(ISNUMBER('자료_한국심리'!$G1212),ISNUMBER('자료_한국심리'!$H1212)),'자료_한국심리'!$G1212,"")</f>
        <v/>
      </c>
      <c r="X1228">
        <f>IF(AND(ISNUMBER('자료_한국심리'!$J1212),ISNUMBER('자료_한국심리'!$K1212)),'자료_한국심리'!$J1212,"")</f>
        <v/>
      </c>
      <c r="Y1228">
        <f>IF(AND(ISNUMBER('자료_한국심리'!$M1212),ISNUMBER('자료_한국심리'!$N1212)),'자료_한국심리'!$M1212,"")</f>
        <v/>
      </c>
    </row>
    <row r="1229">
      <c r="A1229" s="10">
        <f>IF(1211&gt;$E$5,"",SMALL($U$19:$U$4018,$E$6+1211))</f>
        <v/>
      </c>
      <c r="B1229" s="29">
        <f>IF(A1229="","",INDEX('자료_한국심리'!$B$3:$B$4002,MATCH(A1229,$U$19:$U$4018,0)))</f>
        <v/>
      </c>
      <c r="C1229" s="22">
        <f>IF(A1229="","",B1229/AVERAGE(B1105:B1229)-1)</f>
        <v/>
      </c>
      <c r="D1229" s="29">
        <f>IF(A1229="","",IFERROR(INDEX('자료_한국심리'!$E$3:$E$4002,MATCH(A1229,$V$19:$V$4018,0)),D1228))</f>
        <v/>
      </c>
      <c r="E1229" s="30">
        <f>IF(A1229="","",IFERROR(INDEX('자료_한국심리'!$H$3:$H$4002,MATCH(A1229,$W$19:$W$4018,0)),E1228))</f>
        <v/>
      </c>
      <c r="F1229" s="30">
        <f>IF(A1229="","",IFERROR(INDEX('자료_한국심리'!$K$3:$K$4002,MATCH(A1229,$X$19:$X$4018,0)),F1228))</f>
        <v/>
      </c>
      <c r="G1229" s="30">
        <f>IF(AND(ISNUMBER(E1229),ISNUMBER(F1229)),ROUND(E1229-F1229,6),"")</f>
        <v/>
      </c>
      <c r="H1229" s="25">
        <f>IF(A1229="","",IFERROR(INDEX('자료_한국심리'!$N$3:$N$4002,MATCH(A1229,$Y$19:$Y$4018,0)),H1228))</f>
        <v/>
      </c>
      <c r="I1229" s="31">
        <f>IF(AND(ISNUMBER(H1229),ISNUMBER(H1209)),IF(H1209&gt;0,H1229/H1209-1,""),"")</f>
        <v/>
      </c>
      <c r="J1229">
        <f>IF(A1229="",0,IF(A1229&gt;$B$5,1,0))</f>
        <v/>
      </c>
      <c r="K1229" s="29">
        <f>IF(AND(J1229=1,ISNUMBER(D1229)),D1229,"")</f>
        <v/>
      </c>
      <c r="L1229" s="30">
        <f>IF(AND(J1229=1,ISNUMBER(G1229)),G1229,"")</f>
        <v/>
      </c>
      <c r="M1229" s="22">
        <f>IF(AND(J1229=1,ISNUMBER(C1229)),C1229,"")</f>
        <v/>
      </c>
      <c r="N1229" s="31">
        <f>IF(AND(J1229=1,ISNUMBER(I1229)),I1229,"")</f>
        <v/>
      </c>
      <c r="O1229" s="11">
        <f>IF(K1229="","",100-IF($G$13=1,50,(_xlfn.RANK.AVG(K1229,$K$19:$K$1518,1)-1)/($G$13-1)*100))</f>
        <v/>
      </c>
      <c r="P1229" s="11">
        <f>IF(L1229="","",100-IF($G$14=1,50,(_xlfn.RANK.AVG(L1229,$L$19:$L$1518,1)-1)/($G$14-1)*100))</f>
        <v/>
      </c>
      <c r="Q1229" s="11">
        <f>IF(M1229="","",IF($G$15=1,50,(_xlfn.RANK.AVG(M1229,$M$19:$M$1518,1)-1)/($G$15-1)*100))</f>
        <v/>
      </c>
      <c r="R1229" s="11">
        <f>IF(N1229="","",IF($G$16=1,50,(_xlfn.RANK.AVG(N1229,$N$19:$N$1518,1)-1)/($G$16-1)*100))</f>
        <v/>
      </c>
      <c r="S1229" s="11">
        <f>IF(COUNT(O1229:R1229)=4,ROUND(AVERAGE(O1229:R1229),6),"")</f>
        <v/>
      </c>
      <c r="U1229">
        <f>IF(AND(ISNUMBER('자료_한국심리'!$A1213),ISNUMBER('자료_한국심리'!$B1213)),'자료_한국심리'!$A1213,"")</f>
        <v/>
      </c>
      <c r="V1229">
        <f>IF(AND(ISNUMBER('자료_한국심리'!$D1213),ISNUMBER('자료_한국심리'!$E1213)),'자료_한국심리'!$D1213,"")</f>
        <v/>
      </c>
      <c r="W1229">
        <f>IF(AND(ISNUMBER('자료_한국심리'!$G1213),ISNUMBER('자료_한국심리'!$H1213)),'자료_한국심리'!$G1213,"")</f>
        <v/>
      </c>
      <c r="X1229">
        <f>IF(AND(ISNUMBER('자료_한국심리'!$J1213),ISNUMBER('자료_한국심리'!$K1213)),'자료_한국심리'!$J1213,"")</f>
        <v/>
      </c>
      <c r="Y1229">
        <f>IF(AND(ISNUMBER('자료_한국심리'!$M1213),ISNUMBER('자료_한국심리'!$N1213)),'자료_한국심리'!$M1213,"")</f>
        <v/>
      </c>
    </row>
    <row r="1230">
      <c r="A1230" s="10">
        <f>IF(1212&gt;$E$5,"",SMALL($U$19:$U$4018,$E$6+1212))</f>
        <v/>
      </c>
      <c r="B1230" s="29">
        <f>IF(A1230="","",INDEX('자료_한국심리'!$B$3:$B$4002,MATCH(A1230,$U$19:$U$4018,0)))</f>
        <v/>
      </c>
      <c r="C1230" s="22">
        <f>IF(A1230="","",B1230/AVERAGE(B1106:B1230)-1)</f>
        <v/>
      </c>
      <c r="D1230" s="29">
        <f>IF(A1230="","",IFERROR(INDEX('자료_한국심리'!$E$3:$E$4002,MATCH(A1230,$V$19:$V$4018,0)),D1229))</f>
        <v/>
      </c>
      <c r="E1230" s="30">
        <f>IF(A1230="","",IFERROR(INDEX('자료_한국심리'!$H$3:$H$4002,MATCH(A1230,$W$19:$W$4018,0)),E1229))</f>
        <v/>
      </c>
      <c r="F1230" s="30">
        <f>IF(A1230="","",IFERROR(INDEX('자료_한국심리'!$K$3:$K$4002,MATCH(A1230,$X$19:$X$4018,0)),F1229))</f>
        <v/>
      </c>
      <c r="G1230" s="30">
        <f>IF(AND(ISNUMBER(E1230),ISNUMBER(F1230)),ROUND(E1230-F1230,6),"")</f>
        <v/>
      </c>
      <c r="H1230" s="25">
        <f>IF(A1230="","",IFERROR(INDEX('자료_한국심리'!$N$3:$N$4002,MATCH(A1230,$Y$19:$Y$4018,0)),H1229))</f>
        <v/>
      </c>
      <c r="I1230" s="31">
        <f>IF(AND(ISNUMBER(H1230),ISNUMBER(H1210)),IF(H1210&gt;0,H1230/H1210-1,""),"")</f>
        <v/>
      </c>
      <c r="J1230">
        <f>IF(A1230="",0,IF(A1230&gt;$B$5,1,0))</f>
        <v/>
      </c>
      <c r="K1230" s="29">
        <f>IF(AND(J1230=1,ISNUMBER(D1230)),D1230,"")</f>
        <v/>
      </c>
      <c r="L1230" s="30">
        <f>IF(AND(J1230=1,ISNUMBER(G1230)),G1230,"")</f>
        <v/>
      </c>
      <c r="M1230" s="22">
        <f>IF(AND(J1230=1,ISNUMBER(C1230)),C1230,"")</f>
        <v/>
      </c>
      <c r="N1230" s="31">
        <f>IF(AND(J1230=1,ISNUMBER(I1230)),I1230,"")</f>
        <v/>
      </c>
      <c r="O1230" s="11">
        <f>IF(K1230="","",100-IF($G$13=1,50,(_xlfn.RANK.AVG(K1230,$K$19:$K$1518,1)-1)/($G$13-1)*100))</f>
        <v/>
      </c>
      <c r="P1230" s="11">
        <f>IF(L1230="","",100-IF($G$14=1,50,(_xlfn.RANK.AVG(L1230,$L$19:$L$1518,1)-1)/($G$14-1)*100))</f>
        <v/>
      </c>
      <c r="Q1230" s="11">
        <f>IF(M1230="","",IF($G$15=1,50,(_xlfn.RANK.AVG(M1230,$M$19:$M$1518,1)-1)/($G$15-1)*100))</f>
        <v/>
      </c>
      <c r="R1230" s="11">
        <f>IF(N1230="","",IF($G$16=1,50,(_xlfn.RANK.AVG(N1230,$N$19:$N$1518,1)-1)/($G$16-1)*100))</f>
        <v/>
      </c>
      <c r="S1230" s="11">
        <f>IF(COUNT(O1230:R1230)=4,ROUND(AVERAGE(O1230:R1230),6),"")</f>
        <v/>
      </c>
      <c r="U1230">
        <f>IF(AND(ISNUMBER('자료_한국심리'!$A1214),ISNUMBER('자료_한국심리'!$B1214)),'자료_한국심리'!$A1214,"")</f>
        <v/>
      </c>
      <c r="V1230">
        <f>IF(AND(ISNUMBER('자료_한국심리'!$D1214),ISNUMBER('자료_한국심리'!$E1214)),'자료_한국심리'!$D1214,"")</f>
        <v/>
      </c>
      <c r="W1230">
        <f>IF(AND(ISNUMBER('자료_한국심리'!$G1214),ISNUMBER('자료_한국심리'!$H1214)),'자료_한국심리'!$G1214,"")</f>
        <v/>
      </c>
      <c r="X1230">
        <f>IF(AND(ISNUMBER('자료_한국심리'!$J1214),ISNUMBER('자료_한국심리'!$K1214)),'자료_한국심리'!$J1214,"")</f>
        <v/>
      </c>
      <c r="Y1230">
        <f>IF(AND(ISNUMBER('자료_한국심리'!$M1214),ISNUMBER('자료_한국심리'!$N1214)),'자료_한국심리'!$M1214,"")</f>
        <v/>
      </c>
    </row>
    <row r="1231">
      <c r="A1231" s="10">
        <f>IF(1213&gt;$E$5,"",SMALL($U$19:$U$4018,$E$6+1213))</f>
        <v/>
      </c>
      <c r="B1231" s="29">
        <f>IF(A1231="","",INDEX('자료_한국심리'!$B$3:$B$4002,MATCH(A1231,$U$19:$U$4018,0)))</f>
        <v/>
      </c>
      <c r="C1231" s="22">
        <f>IF(A1231="","",B1231/AVERAGE(B1107:B1231)-1)</f>
        <v/>
      </c>
      <c r="D1231" s="29">
        <f>IF(A1231="","",IFERROR(INDEX('자료_한국심리'!$E$3:$E$4002,MATCH(A1231,$V$19:$V$4018,0)),D1230))</f>
        <v/>
      </c>
      <c r="E1231" s="30">
        <f>IF(A1231="","",IFERROR(INDEX('자료_한국심리'!$H$3:$H$4002,MATCH(A1231,$W$19:$W$4018,0)),E1230))</f>
        <v/>
      </c>
      <c r="F1231" s="30">
        <f>IF(A1231="","",IFERROR(INDEX('자료_한국심리'!$K$3:$K$4002,MATCH(A1231,$X$19:$X$4018,0)),F1230))</f>
        <v/>
      </c>
      <c r="G1231" s="30">
        <f>IF(AND(ISNUMBER(E1231),ISNUMBER(F1231)),ROUND(E1231-F1231,6),"")</f>
        <v/>
      </c>
      <c r="H1231" s="25">
        <f>IF(A1231="","",IFERROR(INDEX('자료_한국심리'!$N$3:$N$4002,MATCH(A1231,$Y$19:$Y$4018,0)),H1230))</f>
        <v/>
      </c>
      <c r="I1231" s="31">
        <f>IF(AND(ISNUMBER(H1231),ISNUMBER(H1211)),IF(H1211&gt;0,H1231/H1211-1,""),"")</f>
        <v/>
      </c>
      <c r="J1231">
        <f>IF(A1231="",0,IF(A1231&gt;$B$5,1,0))</f>
        <v/>
      </c>
      <c r="K1231" s="29">
        <f>IF(AND(J1231=1,ISNUMBER(D1231)),D1231,"")</f>
        <v/>
      </c>
      <c r="L1231" s="30">
        <f>IF(AND(J1231=1,ISNUMBER(G1231)),G1231,"")</f>
        <v/>
      </c>
      <c r="M1231" s="22">
        <f>IF(AND(J1231=1,ISNUMBER(C1231)),C1231,"")</f>
        <v/>
      </c>
      <c r="N1231" s="31">
        <f>IF(AND(J1231=1,ISNUMBER(I1231)),I1231,"")</f>
        <v/>
      </c>
      <c r="O1231" s="11">
        <f>IF(K1231="","",100-IF($G$13=1,50,(_xlfn.RANK.AVG(K1231,$K$19:$K$1518,1)-1)/($G$13-1)*100))</f>
        <v/>
      </c>
      <c r="P1231" s="11">
        <f>IF(L1231="","",100-IF($G$14=1,50,(_xlfn.RANK.AVG(L1231,$L$19:$L$1518,1)-1)/($G$14-1)*100))</f>
        <v/>
      </c>
      <c r="Q1231" s="11">
        <f>IF(M1231="","",IF($G$15=1,50,(_xlfn.RANK.AVG(M1231,$M$19:$M$1518,1)-1)/($G$15-1)*100))</f>
        <v/>
      </c>
      <c r="R1231" s="11">
        <f>IF(N1231="","",IF($G$16=1,50,(_xlfn.RANK.AVG(N1231,$N$19:$N$1518,1)-1)/($G$16-1)*100))</f>
        <v/>
      </c>
      <c r="S1231" s="11">
        <f>IF(COUNT(O1231:R1231)=4,ROUND(AVERAGE(O1231:R1231),6),"")</f>
        <v/>
      </c>
      <c r="U1231">
        <f>IF(AND(ISNUMBER('자료_한국심리'!$A1215),ISNUMBER('자료_한국심리'!$B1215)),'자료_한국심리'!$A1215,"")</f>
        <v/>
      </c>
      <c r="V1231">
        <f>IF(AND(ISNUMBER('자료_한국심리'!$D1215),ISNUMBER('자료_한국심리'!$E1215)),'자료_한국심리'!$D1215,"")</f>
        <v/>
      </c>
      <c r="W1231">
        <f>IF(AND(ISNUMBER('자료_한국심리'!$G1215),ISNUMBER('자료_한국심리'!$H1215)),'자료_한국심리'!$G1215,"")</f>
        <v/>
      </c>
      <c r="X1231">
        <f>IF(AND(ISNUMBER('자료_한국심리'!$J1215),ISNUMBER('자료_한국심리'!$K1215)),'자료_한국심리'!$J1215,"")</f>
        <v/>
      </c>
      <c r="Y1231">
        <f>IF(AND(ISNUMBER('자료_한국심리'!$M1215),ISNUMBER('자료_한국심리'!$N1215)),'자료_한국심리'!$M1215,"")</f>
        <v/>
      </c>
    </row>
    <row r="1232">
      <c r="A1232" s="10">
        <f>IF(1214&gt;$E$5,"",SMALL($U$19:$U$4018,$E$6+1214))</f>
        <v/>
      </c>
      <c r="B1232" s="29">
        <f>IF(A1232="","",INDEX('자료_한국심리'!$B$3:$B$4002,MATCH(A1232,$U$19:$U$4018,0)))</f>
        <v/>
      </c>
      <c r="C1232" s="22">
        <f>IF(A1232="","",B1232/AVERAGE(B1108:B1232)-1)</f>
        <v/>
      </c>
      <c r="D1232" s="29">
        <f>IF(A1232="","",IFERROR(INDEX('자료_한국심리'!$E$3:$E$4002,MATCH(A1232,$V$19:$V$4018,0)),D1231))</f>
        <v/>
      </c>
      <c r="E1232" s="30">
        <f>IF(A1232="","",IFERROR(INDEX('자료_한국심리'!$H$3:$H$4002,MATCH(A1232,$W$19:$W$4018,0)),E1231))</f>
        <v/>
      </c>
      <c r="F1232" s="30">
        <f>IF(A1232="","",IFERROR(INDEX('자료_한국심리'!$K$3:$K$4002,MATCH(A1232,$X$19:$X$4018,0)),F1231))</f>
        <v/>
      </c>
      <c r="G1232" s="30">
        <f>IF(AND(ISNUMBER(E1232),ISNUMBER(F1232)),ROUND(E1232-F1232,6),"")</f>
        <v/>
      </c>
      <c r="H1232" s="25">
        <f>IF(A1232="","",IFERROR(INDEX('자료_한국심리'!$N$3:$N$4002,MATCH(A1232,$Y$19:$Y$4018,0)),H1231))</f>
        <v/>
      </c>
      <c r="I1232" s="31">
        <f>IF(AND(ISNUMBER(H1232),ISNUMBER(H1212)),IF(H1212&gt;0,H1232/H1212-1,""),"")</f>
        <v/>
      </c>
      <c r="J1232">
        <f>IF(A1232="",0,IF(A1232&gt;$B$5,1,0))</f>
        <v/>
      </c>
      <c r="K1232" s="29">
        <f>IF(AND(J1232=1,ISNUMBER(D1232)),D1232,"")</f>
        <v/>
      </c>
      <c r="L1232" s="30">
        <f>IF(AND(J1232=1,ISNUMBER(G1232)),G1232,"")</f>
        <v/>
      </c>
      <c r="M1232" s="22">
        <f>IF(AND(J1232=1,ISNUMBER(C1232)),C1232,"")</f>
        <v/>
      </c>
      <c r="N1232" s="31">
        <f>IF(AND(J1232=1,ISNUMBER(I1232)),I1232,"")</f>
        <v/>
      </c>
      <c r="O1232" s="11">
        <f>IF(K1232="","",100-IF($G$13=1,50,(_xlfn.RANK.AVG(K1232,$K$19:$K$1518,1)-1)/($G$13-1)*100))</f>
        <v/>
      </c>
      <c r="P1232" s="11">
        <f>IF(L1232="","",100-IF($G$14=1,50,(_xlfn.RANK.AVG(L1232,$L$19:$L$1518,1)-1)/($G$14-1)*100))</f>
        <v/>
      </c>
      <c r="Q1232" s="11">
        <f>IF(M1232="","",IF($G$15=1,50,(_xlfn.RANK.AVG(M1232,$M$19:$M$1518,1)-1)/($G$15-1)*100))</f>
        <v/>
      </c>
      <c r="R1232" s="11">
        <f>IF(N1232="","",IF($G$16=1,50,(_xlfn.RANK.AVG(N1232,$N$19:$N$1518,1)-1)/($G$16-1)*100))</f>
        <v/>
      </c>
      <c r="S1232" s="11">
        <f>IF(COUNT(O1232:R1232)=4,ROUND(AVERAGE(O1232:R1232),6),"")</f>
        <v/>
      </c>
      <c r="U1232">
        <f>IF(AND(ISNUMBER('자료_한국심리'!$A1216),ISNUMBER('자료_한국심리'!$B1216)),'자료_한국심리'!$A1216,"")</f>
        <v/>
      </c>
      <c r="V1232">
        <f>IF(AND(ISNUMBER('자료_한국심리'!$D1216),ISNUMBER('자료_한국심리'!$E1216)),'자료_한국심리'!$D1216,"")</f>
        <v/>
      </c>
      <c r="W1232">
        <f>IF(AND(ISNUMBER('자료_한국심리'!$G1216),ISNUMBER('자료_한국심리'!$H1216)),'자료_한국심리'!$G1216,"")</f>
        <v/>
      </c>
      <c r="X1232">
        <f>IF(AND(ISNUMBER('자료_한국심리'!$J1216),ISNUMBER('자료_한국심리'!$K1216)),'자료_한국심리'!$J1216,"")</f>
        <v/>
      </c>
      <c r="Y1232">
        <f>IF(AND(ISNUMBER('자료_한국심리'!$M1216),ISNUMBER('자료_한국심리'!$N1216)),'자료_한국심리'!$M1216,"")</f>
        <v/>
      </c>
    </row>
    <row r="1233">
      <c r="A1233" s="10">
        <f>IF(1215&gt;$E$5,"",SMALL($U$19:$U$4018,$E$6+1215))</f>
        <v/>
      </c>
      <c r="B1233" s="29">
        <f>IF(A1233="","",INDEX('자료_한국심리'!$B$3:$B$4002,MATCH(A1233,$U$19:$U$4018,0)))</f>
        <v/>
      </c>
      <c r="C1233" s="22">
        <f>IF(A1233="","",B1233/AVERAGE(B1109:B1233)-1)</f>
        <v/>
      </c>
      <c r="D1233" s="29">
        <f>IF(A1233="","",IFERROR(INDEX('자료_한국심리'!$E$3:$E$4002,MATCH(A1233,$V$19:$V$4018,0)),D1232))</f>
        <v/>
      </c>
      <c r="E1233" s="30">
        <f>IF(A1233="","",IFERROR(INDEX('자료_한국심리'!$H$3:$H$4002,MATCH(A1233,$W$19:$W$4018,0)),E1232))</f>
        <v/>
      </c>
      <c r="F1233" s="30">
        <f>IF(A1233="","",IFERROR(INDEX('자료_한국심리'!$K$3:$K$4002,MATCH(A1233,$X$19:$X$4018,0)),F1232))</f>
        <v/>
      </c>
      <c r="G1233" s="30">
        <f>IF(AND(ISNUMBER(E1233),ISNUMBER(F1233)),ROUND(E1233-F1233,6),"")</f>
        <v/>
      </c>
      <c r="H1233" s="25">
        <f>IF(A1233="","",IFERROR(INDEX('자료_한국심리'!$N$3:$N$4002,MATCH(A1233,$Y$19:$Y$4018,0)),H1232))</f>
        <v/>
      </c>
      <c r="I1233" s="31">
        <f>IF(AND(ISNUMBER(H1233),ISNUMBER(H1213)),IF(H1213&gt;0,H1233/H1213-1,""),"")</f>
        <v/>
      </c>
      <c r="J1233">
        <f>IF(A1233="",0,IF(A1233&gt;$B$5,1,0))</f>
        <v/>
      </c>
      <c r="K1233" s="29">
        <f>IF(AND(J1233=1,ISNUMBER(D1233)),D1233,"")</f>
        <v/>
      </c>
      <c r="L1233" s="30">
        <f>IF(AND(J1233=1,ISNUMBER(G1233)),G1233,"")</f>
        <v/>
      </c>
      <c r="M1233" s="22">
        <f>IF(AND(J1233=1,ISNUMBER(C1233)),C1233,"")</f>
        <v/>
      </c>
      <c r="N1233" s="31">
        <f>IF(AND(J1233=1,ISNUMBER(I1233)),I1233,"")</f>
        <v/>
      </c>
      <c r="O1233" s="11">
        <f>IF(K1233="","",100-IF($G$13=1,50,(_xlfn.RANK.AVG(K1233,$K$19:$K$1518,1)-1)/($G$13-1)*100))</f>
        <v/>
      </c>
      <c r="P1233" s="11">
        <f>IF(L1233="","",100-IF($G$14=1,50,(_xlfn.RANK.AVG(L1233,$L$19:$L$1518,1)-1)/($G$14-1)*100))</f>
        <v/>
      </c>
      <c r="Q1233" s="11">
        <f>IF(M1233="","",IF($G$15=1,50,(_xlfn.RANK.AVG(M1233,$M$19:$M$1518,1)-1)/($G$15-1)*100))</f>
        <v/>
      </c>
      <c r="R1233" s="11">
        <f>IF(N1233="","",IF($G$16=1,50,(_xlfn.RANK.AVG(N1233,$N$19:$N$1518,1)-1)/($G$16-1)*100))</f>
        <v/>
      </c>
      <c r="S1233" s="11">
        <f>IF(COUNT(O1233:R1233)=4,ROUND(AVERAGE(O1233:R1233),6),"")</f>
        <v/>
      </c>
      <c r="U1233">
        <f>IF(AND(ISNUMBER('자료_한국심리'!$A1217),ISNUMBER('자료_한국심리'!$B1217)),'자료_한국심리'!$A1217,"")</f>
        <v/>
      </c>
      <c r="V1233">
        <f>IF(AND(ISNUMBER('자료_한국심리'!$D1217),ISNUMBER('자료_한국심리'!$E1217)),'자료_한국심리'!$D1217,"")</f>
        <v/>
      </c>
      <c r="W1233">
        <f>IF(AND(ISNUMBER('자료_한국심리'!$G1217),ISNUMBER('자료_한국심리'!$H1217)),'자료_한국심리'!$G1217,"")</f>
        <v/>
      </c>
      <c r="X1233">
        <f>IF(AND(ISNUMBER('자료_한국심리'!$J1217),ISNUMBER('자료_한국심리'!$K1217)),'자료_한국심리'!$J1217,"")</f>
        <v/>
      </c>
      <c r="Y1233">
        <f>IF(AND(ISNUMBER('자료_한국심리'!$M1217),ISNUMBER('자료_한국심리'!$N1217)),'자료_한국심리'!$M1217,"")</f>
        <v/>
      </c>
    </row>
    <row r="1234">
      <c r="A1234" s="10">
        <f>IF(1216&gt;$E$5,"",SMALL($U$19:$U$4018,$E$6+1216))</f>
        <v/>
      </c>
      <c r="B1234" s="29">
        <f>IF(A1234="","",INDEX('자료_한국심리'!$B$3:$B$4002,MATCH(A1234,$U$19:$U$4018,0)))</f>
        <v/>
      </c>
      <c r="C1234" s="22">
        <f>IF(A1234="","",B1234/AVERAGE(B1110:B1234)-1)</f>
        <v/>
      </c>
      <c r="D1234" s="29">
        <f>IF(A1234="","",IFERROR(INDEX('자료_한국심리'!$E$3:$E$4002,MATCH(A1234,$V$19:$V$4018,0)),D1233))</f>
        <v/>
      </c>
      <c r="E1234" s="30">
        <f>IF(A1234="","",IFERROR(INDEX('자료_한국심리'!$H$3:$H$4002,MATCH(A1234,$W$19:$W$4018,0)),E1233))</f>
        <v/>
      </c>
      <c r="F1234" s="30">
        <f>IF(A1234="","",IFERROR(INDEX('자료_한국심리'!$K$3:$K$4002,MATCH(A1234,$X$19:$X$4018,0)),F1233))</f>
        <v/>
      </c>
      <c r="G1234" s="30">
        <f>IF(AND(ISNUMBER(E1234),ISNUMBER(F1234)),ROUND(E1234-F1234,6),"")</f>
        <v/>
      </c>
      <c r="H1234" s="25">
        <f>IF(A1234="","",IFERROR(INDEX('자료_한국심리'!$N$3:$N$4002,MATCH(A1234,$Y$19:$Y$4018,0)),H1233))</f>
        <v/>
      </c>
      <c r="I1234" s="31">
        <f>IF(AND(ISNUMBER(H1234),ISNUMBER(H1214)),IF(H1214&gt;0,H1234/H1214-1,""),"")</f>
        <v/>
      </c>
      <c r="J1234">
        <f>IF(A1234="",0,IF(A1234&gt;$B$5,1,0))</f>
        <v/>
      </c>
      <c r="K1234" s="29">
        <f>IF(AND(J1234=1,ISNUMBER(D1234)),D1234,"")</f>
        <v/>
      </c>
      <c r="L1234" s="30">
        <f>IF(AND(J1234=1,ISNUMBER(G1234)),G1234,"")</f>
        <v/>
      </c>
      <c r="M1234" s="22">
        <f>IF(AND(J1234=1,ISNUMBER(C1234)),C1234,"")</f>
        <v/>
      </c>
      <c r="N1234" s="31">
        <f>IF(AND(J1234=1,ISNUMBER(I1234)),I1234,"")</f>
        <v/>
      </c>
      <c r="O1234" s="11">
        <f>IF(K1234="","",100-IF($G$13=1,50,(_xlfn.RANK.AVG(K1234,$K$19:$K$1518,1)-1)/($G$13-1)*100))</f>
        <v/>
      </c>
      <c r="P1234" s="11">
        <f>IF(L1234="","",100-IF($G$14=1,50,(_xlfn.RANK.AVG(L1234,$L$19:$L$1518,1)-1)/($G$14-1)*100))</f>
        <v/>
      </c>
      <c r="Q1234" s="11">
        <f>IF(M1234="","",IF($G$15=1,50,(_xlfn.RANK.AVG(M1234,$M$19:$M$1518,1)-1)/($G$15-1)*100))</f>
        <v/>
      </c>
      <c r="R1234" s="11">
        <f>IF(N1234="","",IF($G$16=1,50,(_xlfn.RANK.AVG(N1234,$N$19:$N$1518,1)-1)/($G$16-1)*100))</f>
        <v/>
      </c>
      <c r="S1234" s="11">
        <f>IF(COUNT(O1234:R1234)=4,ROUND(AVERAGE(O1234:R1234),6),"")</f>
        <v/>
      </c>
      <c r="U1234">
        <f>IF(AND(ISNUMBER('자료_한국심리'!$A1218),ISNUMBER('자료_한국심리'!$B1218)),'자료_한국심리'!$A1218,"")</f>
        <v/>
      </c>
      <c r="V1234">
        <f>IF(AND(ISNUMBER('자료_한국심리'!$D1218),ISNUMBER('자료_한국심리'!$E1218)),'자료_한국심리'!$D1218,"")</f>
        <v/>
      </c>
      <c r="W1234">
        <f>IF(AND(ISNUMBER('자료_한국심리'!$G1218),ISNUMBER('자료_한국심리'!$H1218)),'자료_한국심리'!$G1218,"")</f>
        <v/>
      </c>
      <c r="X1234">
        <f>IF(AND(ISNUMBER('자료_한국심리'!$J1218),ISNUMBER('자료_한국심리'!$K1218)),'자료_한국심리'!$J1218,"")</f>
        <v/>
      </c>
      <c r="Y1234">
        <f>IF(AND(ISNUMBER('자료_한국심리'!$M1218),ISNUMBER('자료_한국심리'!$N1218)),'자료_한국심리'!$M1218,"")</f>
        <v/>
      </c>
    </row>
    <row r="1235">
      <c r="A1235" s="10">
        <f>IF(1217&gt;$E$5,"",SMALL($U$19:$U$4018,$E$6+1217))</f>
        <v/>
      </c>
      <c r="B1235" s="29">
        <f>IF(A1235="","",INDEX('자료_한국심리'!$B$3:$B$4002,MATCH(A1235,$U$19:$U$4018,0)))</f>
        <v/>
      </c>
      <c r="C1235" s="22">
        <f>IF(A1235="","",B1235/AVERAGE(B1111:B1235)-1)</f>
        <v/>
      </c>
      <c r="D1235" s="29">
        <f>IF(A1235="","",IFERROR(INDEX('자료_한국심리'!$E$3:$E$4002,MATCH(A1235,$V$19:$V$4018,0)),D1234))</f>
        <v/>
      </c>
      <c r="E1235" s="30">
        <f>IF(A1235="","",IFERROR(INDEX('자료_한국심리'!$H$3:$H$4002,MATCH(A1235,$W$19:$W$4018,0)),E1234))</f>
        <v/>
      </c>
      <c r="F1235" s="30">
        <f>IF(A1235="","",IFERROR(INDEX('자료_한국심리'!$K$3:$K$4002,MATCH(A1235,$X$19:$X$4018,0)),F1234))</f>
        <v/>
      </c>
      <c r="G1235" s="30">
        <f>IF(AND(ISNUMBER(E1235),ISNUMBER(F1235)),ROUND(E1235-F1235,6),"")</f>
        <v/>
      </c>
      <c r="H1235" s="25">
        <f>IF(A1235="","",IFERROR(INDEX('자료_한국심리'!$N$3:$N$4002,MATCH(A1235,$Y$19:$Y$4018,0)),H1234))</f>
        <v/>
      </c>
      <c r="I1235" s="31">
        <f>IF(AND(ISNUMBER(H1235),ISNUMBER(H1215)),IF(H1215&gt;0,H1235/H1215-1,""),"")</f>
        <v/>
      </c>
      <c r="J1235">
        <f>IF(A1235="",0,IF(A1235&gt;$B$5,1,0))</f>
        <v/>
      </c>
      <c r="K1235" s="29">
        <f>IF(AND(J1235=1,ISNUMBER(D1235)),D1235,"")</f>
        <v/>
      </c>
      <c r="L1235" s="30">
        <f>IF(AND(J1235=1,ISNUMBER(G1235)),G1235,"")</f>
        <v/>
      </c>
      <c r="M1235" s="22">
        <f>IF(AND(J1235=1,ISNUMBER(C1235)),C1235,"")</f>
        <v/>
      </c>
      <c r="N1235" s="31">
        <f>IF(AND(J1235=1,ISNUMBER(I1235)),I1235,"")</f>
        <v/>
      </c>
      <c r="O1235" s="11">
        <f>IF(K1235="","",100-IF($G$13=1,50,(_xlfn.RANK.AVG(K1235,$K$19:$K$1518,1)-1)/($G$13-1)*100))</f>
        <v/>
      </c>
      <c r="P1235" s="11">
        <f>IF(L1235="","",100-IF($G$14=1,50,(_xlfn.RANK.AVG(L1235,$L$19:$L$1518,1)-1)/($G$14-1)*100))</f>
        <v/>
      </c>
      <c r="Q1235" s="11">
        <f>IF(M1235="","",IF($G$15=1,50,(_xlfn.RANK.AVG(M1235,$M$19:$M$1518,1)-1)/($G$15-1)*100))</f>
        <v/>
      </c>
      <c r="R1235" s="11">
        <f>IF(N1235="","",IF($G$16=1,50,(_xlfn.RANK.AVG(N1235,$N$19:$N$1518,1)-1)/($G$16-1)*100))</f>
        <v/>
      </c>
      <c r="S1235" s="11">
        <f>IF(COUNT(O1235:R1235)=4,ROUND(AVERAGE(O1235:R1235),6),"")</f>
        <v/>
      </c>
      <c r="U1235">
        <f>IF(AND(ISNUMBER('자료_한국심리'!$A1219),ISNUMBER('자료_한국심리'!$B1219)),'자료_한국심리'!$A1219,"")</f>
        <v/>
      </c>
      <c r="V1235">
        <f>IF(AND(ISNUMBER('자료_한국심리'!$D1219),ISNUMBER('자료_한국심리'!$E1219)),'자료_한국심리'!$D1219,"")</f>
        <v/>
      </c>
      <c r="W1235">
        <f>IF(AND(ISNUMBER('자료_한국심리'!$G1219),ISNUMBER('자료_한국심리'!$H1219)),'자료_한국심리'!$G1219,"")</f>
        <v/>
      </c>
      <c r="X1235">
        <f>IF(AND(ISNUMBER('자료_한국심리'!$J1219),ISNUMBER('자료_한국심리'!$K1219)),'자료_한국심리'!$J1219,"")</f>
        <v/>
      </c>
      <c r="Y1235">
        <f>IF(AND(ISNUMBER('자료_한국심리'!$M1219),ISNUMBER('자료_한국심리'!$N1219)),'자료_한국심리'!$M1219,"")</f>
        <v/>
      </c>
    </row>
    <row r="1236">
      <c r="A1236" s="10">
        <f>IF(1218&gt;$E$5,"",SMALL($U$19:$U$4018,$E$6+1218))</f>
        <v/>
      </c>
      <c r="B1236" s="29">
        <f>IF(A1236="","",INDEX('자료_한국심리'!$B$3:$B$4002,MATCH(A1236,$U$19:$U$4018,0)))</f>
        <v/>
      </c>
      <c r="C1236" s="22">
        <f>IF(A1236="","",B1236/AVERAGE(B1112:B1236)-1)</f>
        <v/>
      </c>
      <c r="D1236" s="29">
        <f>IF(A1236="","",IFERROR(INDEX('자료_한국심리'!$E$3:$E$4002,MATCH(A1236,$V$19:$V$4018,0)),D1235))</f>
        <v/>
      </c>
      <c r="E1236" s="30">
        <f>IF(A1236="","",IFERROR(INDEX('자료_한국심리'!$H$3:$H$4002,MATCH(A1236,$W$19:$W$4018,0)),E1235))</f>
        <v/>
      </c>
      <c r="F1236" s="30">
        <f>IF(A1236="","",IFERROR(INDEX('자료_한국심리'!$K$3:$K$4002,MATCH(A1236,$X$19:$X$4018,0)),F1235))</f>
        <v/>
      </c>
      <c r="G1236" s="30">
        <f>IF(AND(ISNUMBER(E1236),ISNUMBER(F1236)),ROUND(E1236-F1236,6),"")</f>
        <v/>
      </c>
      <c r="H1236" s="25">
        <f>IF(A1236="","",IFERROR(INDEX('자료_한국심리'!$N$3:$N$4002,MATCH(A1236,$Y$19:$Y$4018,0)),H1235))</f>
        <v/>
      </c>
      <c r="I1236" s="31">
        <f>IF(AND(ISNUMBER(H1236),ISNUMBER(H1216)),IF(H1216&gt;0,H1236/H1216-1,""),"")</f>
        <v/>
      </c>
      <c r="J1236">
        <f>IF(A1236="",0,IF(A1236&gt;$B$5,1,0))</f>
        <v/>
      </c>
      <c r="K1236" s="29">
        <f>IF(AND(J1236=1,ISNUMBER(D1236)),D1236,"")</f>
        <v/>
      </c>
      <c r="L1236" s="30">
        <f>IF(AND(J1236=1,ISNUMBER(G1236)),G1236,"")</f>
        <v/>
      </c>
      <c r="M1236" s="22">
        <f>IF(AND(J1236=1,ISNUMBER(C1236)),C1236,"")</f>
        <v/>
      </c>
      <c r="N1236" s="31">
        <f>IF(AND(J1236=1,ISNUMBER(I1236)),I1236,"")</f>
        <v/>
      </c>
      <c r="O1236" s="11">
        <f>IF(K1236="","",100-IF($G$13=1,50,(_xlfn.RANK.AVG(K1236,$K$19:$K$1518,1)-1)/($G$13-1)*100))</f>
        <v/>
      </c>
      <c r="P1236" s="11">
        <f>IF(L1236="","",100-IF($G$14=1,50,(_xlfn.RANK.AVG(L1236,$L$19:$L$1518,1)-1)/($G$14-1)*100))</f>
        <v/>
      </c>
      <c r="Q1236" s="11">
        <f>IF(M1236="","",IF($G$15=1,50,(_xlfn.RANK.AVG(M1236,$M$19:$M$1518,1)-1)/($G$15-1)*100))</f>
        <v/>
      </c>
      <c r="R1236" s="11">
        <f>IF(N1236="","",IF($G$16=1,50,(_xlfn.RANK.AVG(N1236,$N$19:$N$1518,1)-1)/($G$16-1)*100))</f>
        <v/>
      </c>
      <c r="S1236" s="11">
        <f>IF(COUNT(O1236:R1236)=4,ROUND(AVERAGE(O1236:R1236),6),"")</f>
        <v/>
      </c>
      <c r="U1236">
        <f>IF(AND(ISNUMBER('자료_한국심리'!$A1220),ISNUMBER('자료_한국심리'!$B1220)),'자료_한국심리'!$A1220,"")</f>
        <v/>
      </c>
      <c r="V1236">
        <f>IF(AND(ISNUMBER('자료_한국심리'!$D1220),ISNUMBER('자료_한국심리'!$E1220)),'자료_한국심리'!$D1220,"")</f>
        <v/>
      </c>
      <c r="W1236">
        <f>IF(AND(ISNUMBER('자료_한국심리'!$G1220),ISNUMBER('자료_한국심리'!$H1220)),'자료_한국심리'!$G1220,"")</f>
        <v/>
      </c>
      <c r="X1236">
        <f>IF(AND(ISNUMBER('자료_한국심리'!$J1220),ISNUMBER('자료_한국심리'!$K1220)),'자료_한국심리'!$J1220,"")</f>
        <v/>
      </c>
      <c r="Y1236">
        <f>IF(AND(ISNUMBER('자료_한국심리'!$M1220),ISNUMBER('자료_한국심리'!$N1220)),'자료_한국심리'!$M1220,"")</f>
        <v/>
      </c>
    </row>
    <row r="1237">
      <c r="A1237" s="10">
        <f>IF(1219&gt;$E$5,"",SMALL($U$19:$U$4018,$E$6+1219))</f>
        <v/>
      </c>
      <c r="B1237" s="29">
        <f>IF(A1237="","",INDEX('자료_한국심리'!$B$3:$B$4002,MATCH(A1237,$U$19:$U$4018,0)))</f>
        <v/>
      </c>
      <c r="C1237" s="22">
        <f>IF(A1237="","",B1237/AVERAGE(B1113:B1237)-1)</f>
        <v/>
      </c>
      <c r="D1237" s="29">
        <f>IF(A1237="","",IFERROR(INDEX('자료_한국심리'!$E$3:$E$4002,MATCH(A1237,$V$19:$V$4018,0)),D1236))</f>
        <v/>
      </c>
      <c r="E1237" s="30">
        <f>IF(A1237="","",IFERROR(INDEX('자료_한국심리'!$H$3:$H$4002,MATCH(A1237,$W$19:$W$4018,0)),E1236))</f>
        <v/>
      </c>
      <c r="F1237" s="30">
        <f>IF(A1237="","",IFERROR(INDEX('자료_한국심리'!$K$3:$K$4002,MATCH(A1237,$X$19:$X$4018,0)),F1236))</f>
        <v/>
      </c>
      <c r="G1237" s="30">
        <f>IF(AND(ISNUMBER(E1237),ISNUMBER(F1237)),ROUND(E1237-F1237,6),"")</f>
        <v/>
      </c>
      <c r="H1237" s="25">
        <f>IF(A1237="","",IFERROR(INDEX('자료_한국심리'!$N$3:$N$4002,MATCH(A1237,$Y$19:$Y$4018,0)),H1236))</f>
        <v/>
      </c>
      <c r="I1237" s="31">
        <f>IF(AND(ISNUMBER(H1237),ISNUMBER(H1217)),IF(H1217&gt;0,H1237/H1217-1,""),"")</f>
        <v/>
      </c>
      <c r="J1237">
        <f>IF(A1237="",0,IF(A1237&gt;$B$5,1,0))</f>
        <v/>
      </c>
      <c r="K1237" s="29">
        <f>IF(AND(J1237=1,ISNUMBER(D1237)),D1237,"")</f>
        <v/>
      </c>
      <c r="L1237" s="30">
        <f>IF(AND(J1237=1,ISNUMBER(G1237)),G1237,"")</f>
        <v/>
      </c>
      <c r="M1237" s="22">
        <f>IF(AND(J1237=1,ISNUMBER(C1237)),C1237,"")</f>
        <v/>
      </c>
      <c r="N1237" s="31">
        <f>IF(AND(J1237=1,ISNUMBER(I1237)),I1237,"")</f>
        <v/>
      </c>
      <c r="O1237" s="11">
        <f>IF(K1237="","",100-IF($G$13=1,50,(_xlfn.RANK.AVG(K1237,$K$19:$K$1518,1)-1)/($G$13-1)*100))</f>
        <v/>
      </c>
      <c r="P1237" s="11">
        <f>IF(L1237="","",100-IF($G$14=1,50,(_xlfn.RANK.AVG(L1237,$L$19:$L$1518,1)-1)/($G$14-1)*100))</f>
        <v/>
      </c>
      <c r="Q1237" s="11">
        <f>IF(M1237="","",IF($G$15=1,50,(_xlfn.RANK.AVG(M1237,$M$19:$M$1518,1)-1)/($G$15-1)*100))</f>
        <v/>
      </c>
      <c r="R1237" s="11">
        <f>IF(N1237="","",IF($G$16=1,50,(_xlfn.RANK.AVG(N1237,$N$19:$N$1518,1)-1)/($G$16-1)*100))</f>
        <v/>
      </c>
      <c r="S1237" s="11">
        <f>IF(COUNT(O1237:R1237)=4,ROUND(AVERAGE(O1237:R1237),6),"")</f>
        <v/>
      </c>
      <c r="U1237">
        <f>IF(AND(ISNUMBER('자료_한국심리'!$A1221),ISNUMBER('자료_한국심리'!$B1221)),'자료_한국심리'!$A1221,"")</f>
        <v/>
      </c>
      <c r="V1237">
        <f>IF(AND(ISNUMBER('자료_한국심리'!$D1221),ISNUMBER('자료_한국심리'!$E1221)),'자료_한국심리'!$D1221,"")</f>
        <v/>
      </c>
      <c r="W1237">
        <f>IF(AND(ISNUMBER('자료_한국심리'!$G1221),ISNUMBER('자료_한국심리'!$H1221)),'자료_한국심리'!$G1221,"")</f>
        <v/>
      </c>
      <c r="X1237">
        <f>IF(AND(ISNUMBER('자료_한국심리'!$J1221),ISNUMBER('자료_한국심리'!$K1221)),'자료_한국심리'!$J1221,"")</f>
        <v/>
      </c>
      <c r="Y1237">
        <f>IF(AND(ISNUMBER('자료_한국심리'!$M1221),ISNUMBER('자료_한국심리'!$N1221)),'자료_한국심리'!$M1221,"")</f>
        <v/>
      </c>
    </row>
    <row r="1238">
      <c r="A1238" s="10">
        <f>IF(1220&gt;$E$5,"",SMALL($U$19:$U$4018,$E$6+1220))</f>
        <v/>
      </c>
      <c r="B1238" s="29">
        <f>IF(A1238="","",INDEX('자료_한국심리'!$B$3:$B$4002,MATCH(A1238,$U$19:$U$4018,0)))</f>
        <v/>
      </c>
      <c r="C1238" s="22">
        <f>IF(A1238="","",B1238/AVERAGE(B1114:B1238)-1)</f>
        <v/>
      </c>
      <c r="D1238" s="29">
        <f>IF(A1238="","",IFERROR(INDEX('자료_한국심리'!$E$3:$E$4002,MATCH(A1238,$V$19:$V$4018,0)),D1237))</f>
        <v/>
      </c>
      <c r="E1238" s="30">
        <f>IF(A1238="","",IFERROR(INDEX('자료_한국심리'!$H$3:$H$4002,MATCH(A1238,$W$19:$W$4018,0)),E1237))</f>
        <v/>
      </c>
      <c r="F1238" s="30">
        <f>IF(A1238="","",IFERROR(INDEX('자료_한국심리'!$K$3:$K$4002,MATCH(A1238,$X$19:$X$4018,0)),F1237))</f>
        <v/>
      </c>
      <c r="G1238" s="30">
        <f>IF(AND(ISNUMBER(E1238),ISNUMBER(F1238)),ROUND(E1238-F1238,6),"")</f>
        <v/>
      </c>
      <c r="H1238" s="25">
        <f>IF(A1238="","",IFERROR(INDEX('자료_한국심리'!$N$3:$N$4002,MATCH(A1238,$Y$19:$Y$4018,0)),H1237))</f>
        <v/>
      </c>
      <c r="I1238" s="31">
        <f>IF(AND(ISNUMBER(H1238),ISNUMBER(H1218)),IF(H1218&gt;0,H1238/H1218-1,""),"")</f>
        <v/>
      </c>
      <c r="J1238">
        <f>IF(A1238="",0,IF(A1238&gt;$B$5,1,0))</f>
        <v/>
      </c>
      <c r="K1238" s="29">
        <f>IF(AND(J1238=1,ISNUMBER(D1238)),D1238,"")</f>
        <v/>
      </c>
      <c r="L1238" s="30">
        <f>IF(AND(J1238=1,ISNUMBER(G1238)),G1238,"")</f>
        <v/>
      </c>
      <c r="M1238" s="22">
        <f>IF(AND(J1238=1,ISNUMBER(C1238)),C1238,"")</f>
        <v/>
      </c>
      <c r="N1238" s="31">
        <f>IF(AND(J1238=1,ISNUMBER(I1238)),I1238,"")</f>
        <v/>
      </c>
      <c r="O1238" s="11">
        <f>IF(K1238="","",100-IF($G$13=1,50,(_xlfn.RANK.AVG(K1238,$K$19:$K$1518,1)-1)/($G$13-1)*100))</f>
        <v/>
      </c>
      <c r="P1238" s="11">
        <f>IF(L1238="","",100-IF($G$14=1,50,(_xlfn.RANK.AVG(L1238,$L$19:$L$1518,1)-1)/($G$14-1)*100))</f>
        <v/>
      </c>
      <c r="Q1238" s="11">
        <f>IF(M1238="","",IF($G$15=1,50,(_xlfn.RANK.AVG(M1238,$M$19:$M$1518,1)-1)/($G$15-1)*100))</f>
        <v/>
      </c>
      <c r="R1238" s="11">
        <f>IF(N1238="","",IF($G$16=1,50,(_xlfn.RANK.AVG(N1238,$N$19:$N$1518,1)-1)/($G$16-1)*100))</f>
        <v/>
      </c>
      <c r="S1238" s="11">
        <f>IF(COUNT(O1238:R1238)=4,ROUND(AVERAGE(O1238:R1238),6),"")</f>
        <v/>
      </c>
      <c r="U1238">
        <f>IF(AND(ISNUMBER('자료_한국심리'!$A1222),ISNUMBER('자료_한국심리'!$B1222)),'자료_한국심리'!$A1222,"")</f>
        <v/>
      </c>
      <c r="V1238">
        <f>IF(AND(ISNUMBER('자료_한국심리'!$D1222),ISNUMBER('자료_한국심리'!$E1222)),'자료_한국심리'!$D1222,"")</f>
        <v/>
      </c>
      <c r="W1238">
        <f>IF(AND(ISNUMBER('자료_한국심리'!$G1222),ISNUMBER('자료_한국심리'!$H1222)),'자료_한국심리'!$G1222,"")</f>
        <v/>
      </c>
      <c r="X1238">
        <f>IF(AND(ISNUMBER('자료_한국심리'!$J1222),ISNUMBER('자료_한국심리'!$K1222)),'자료_한국심리'!$J1222,"")</f>
        <v/>
      </c>
      <c r="Y1238">
        <f>IF(AND(ISNUMBER('자료_한국심리'!$M1222),ISNUMBER('자료_한국심리'!$N1222)),'자료_한국심리'!$M1222,"")</f>
        <v/>
      </c>
    </row>
    <row r="1239">
      <c r="A1239" s="10">
        <f>IF(1221&gt;$E$5,"",SMALL($U$19:$U$4018,$E$6+1221))</f>
        <v/>
      </c>
      <c r="B1239" s="29">
        <f>IF(A1239="","",INDEX('자료_한국심리'!$B$3:$B$4002,MATCH(A1239,$U$19:$U$4018,0)))</f>
        <v/>
      </c>
      <c r="C1239" s="22">
        <f>IF(A1239="","",B1239/AVERAGE(B1115:B1239)-1)</f>
        <v/>
      </c>
      <c r="D1239" s="29">
        <f>IF(A1239="","",IFERROR(INDEX('자료_한국심리'!$E$3:$E$4002,MATCH(A1239,$V$19:$V$4018,0)),D1238))</f>
        <v/>
      </c>
      <c r="E1239" s="30">
        <f>IF(A1239="","",IFERROR(INDEX('자료_한국심리'!$H$3:$H$4002,MATCH(A1239,$W$19:$W$4018,0)),E1238))</f>
        <v/>
      </c>
      <c r="F1239" s="30">
        <f>IF(A1239="","",IFERROR(INDEX('자료_한국심리'!$K$3:$K$4002,MATCH(A1239,$X$19:$X$4018,0)),F1238))</f>
        <v/>
      </c>
      <c r="G1239" s="30">
        <f>IF(AND(ISNUMBER(E1239),ISNUMBER(F1239)),ROUND(E1239-F1239,6),"")</f>
        <v/>
      </c>
      <c r="H1239" s="25">
        <f>IF(A1239="","",IFERROR(INDEX('자료_한국심리'!$N$3:$N$4002,MATCH(A1239,$Y$19:$Y$4018,0)),H1238))</f>
        <v/>
      </c>
      <c r="I1239" s="31">
        <f>IF(AND(ISNUMBER(H1239),ISNUMBER(H1219)),IF(H1219&gt;0,H1239/H1219-1,""),"")</f>
        <v/>
      </c>
      <c r="J1239">
        <f>IF(A1239="",0,IF(A1239&gt;$B$5,1,0))</f>
        <v/>
      </c>
      <c r="K1239" s="29">
        <f>IF(AND(J1239=1,ISNUMBER(D1239)),D1239,"")</f>
        <v/>
      </c>
      <c r="L1239" s="30">
        <f>IF(AND(J1239=1,ISNUMBER(G1239)),G1239,"")</f>
        <v/>
      </c>
      <c r="M1239" s="22">
        <f>IF(AND(J1239=1,ISNUMBER(C1239)),C1239,"")</f>
        <v/>
      </c>
      <c r="N1239" s="31">
        <f>IF(AND(J1239=1,ISNUMBER(I1239)),I1239,"")</f>
        <v/>
      </c>
      <c r="O1239" s="11">
        <f>IF(K1239="","",100-IF($G$13=1,50,(_xlfn.RANK.AVG(K1239,$K$19:$K$1518,1)-1)/($G$13-1)*100))</f>
        <v/>
      </c>
      <c r="P1239" s="11">
        <f>IF(L1239="","",100-IF($G$14=1,50,(_xlfn.RANK.AVG(L1239,$L$19:$L$1518,1)-1)/($G$14-1)*100))</f>
        <v/>
      </c>
      <c r="Q1239" s="11">
        <f>IF(M1239="","",IF($G$15=1,50,(_xlfn.RANK.AVG(M1239,$M$19:$M$1518,1)-1)/($G$15-1)*100))</f>
        <v/>
      </c>
      <c r="R1239" s="11">
        <f>IF(N1239="","",IF($G$16=1,50,(_xlfn.RANK.AVG(N1239,$N$19:$N$1518,1)-1)/($G$16-1)*100))</f>
        <v/>
      </c>
      <c r="S1239" s="11">
        <f>IF(COUNT(O1239:R1239)=4,ROUND(AVERAGE(O1239:R1239),6),"")</f>
        <v/>
      </c>
      <c r="U1239">
        <f>IF(AND(ISNUMBER('자료_한국심리'!$A1223),ISNUMBER('자료_한국심리'!$B1223)),'자료_한국심리'!$A1223,"")</f>
        <v/>
      </c>
      <c r="V1239">
        <f>IF(AND(ISNUMBER('자료_한국심리'!$D1223),ISNUMBER('자료_한국심리'!$E1223)),'자료_한국심리'!$D1223,"")</f>
        <v/>
      </c>
      <c r="W1239">
        <f>IF(AND(ISNUMBER('자료_한국심리'!$G1223),ISNUMBER('자료_한국심리'!$H1223)),'자료_한국심리'!$G1223,"")</f>
        <v/>
      </c>
      <c r="X1239">
        <f>IF(AND(ISNUMBER('자료_한국심리'!$J1223),ISNUMBER('자료_한국심리'!$K1223)),'자료_한국심리'!$J1223,"")</f>
        <v/>
      </c>
      <c r="Y1239">
        <f>IF(AND(ISNUMBER('자료_한국심리'!$M1223),ISNUMBER('자료_한국심리'!$N1223)),'자료_한국심리'!$M1223,"")</f>
        <v/>
      </c>
    </row>
    <row r="1240">
      <c r="A1240" s="10">
        <f>IF(1222&gt;$E$5,"",SMALL($U$19:$U$4018,$E$6+1222))</f>
        <v/>
      </c>
      <c r="B1240" s="29">
        <f>IF(A1240="","",INDEX('자료_한국심리'!$B$3:$B$4002,MATCH(A1240,$U$19:$U$4018,0)))</f>
        <v/>
      </c>
      <c r="C1240" s="22">
        <f>IF(A1240="","",B1240/AVERAGE(B1116:B1240)-1)</f>
        <v/>
      </c>
      <c r="D1240" s="29">
        <f>IF(A1240="","",IFERROR(INDEX('자료_한국심리'!$E$3:$E$4002,MATCH(A1240,$V$19:$V$4018,0)),D1239))</f>
        <v/>
      </c>
      <c r="E1240" s="30">
        <f>IF(A1240="","",IFERROR(INDEX('자료_한국심리'!$H$3:$H$4002,MATCH(A1240,$W$19:$W$4018,0)),E1239))</f>
        <v/>
      </c>
      <c r="F1240" s="30">
        <f>IF(A1240="","",IFERROR(INDEX('자료_한국심리'!$K$3:$K$4002,MATCH(A1240,$X$19:$X$4018,0)),F1239))</f>
        <v/>
      </c>
      <c r="G1240" s="30">
        <f>IF(AND(ISNUMBER(E1240),ISNUMBER(F1240)),ROUND(E1240-F1240,6),"")</f>
        <v/>
      </c>
      <c r="H1240" s="25">
        <f>IF(A1240="","",IFERROR(INDEX('자료_한국심리'!$N$3:$N$4002,MATCH(A1240,$Y$19:$Y$4018,0)),H1239))</f>
        <v/>
      </c>
      <c r="I1240" s="31">
        <f>IF(AND(ISNUMBER(H1240),ISNUMBER(H1220)),IF(H1220&gt;0,H1240/H1220-1,""),"")</f>
        <v/>
      </c>
      <c r="J1240">
        <f>IF(A1240="",0,IF(A1240&gt;$B$5,1,0))</f>
        <v/>
      </c>
      <c r="K1240" s="29">
        <f>IF(AND(J1240=1,ISNUMBER(D1240)),D1240,"")</f>
        <v/>
      </c>
      <c r="L1240" s="30">
        <f>IF(AND(J1240=1,ISNUMBER(G1240)),G1240,"")</f>
        <v/>
      </c>
      <c r="M1240" s="22">
        <f>IF(AND(J1240=1,ISNUMBER(C1240)),C1240,"")</f>
        <v/>
      </c>
      <c r="N1240" s="31">
        <f>IF(AND(J1240=1,ISNUMBER(I1240)),I1240,"")</f>
        <v/>
      </c>
      <c r="O1240" s="11">
        <f>IF(K1240="","",100-IF($G$13=1,50,(_xlfn.RANK.AVG(K1240,$K$19:$K$1518,1)-1)/($G$13-1)*100))</f>
        <v/>
      </c>
      <c r="P1240" s="11">
        <f>IF(L1240="","",100-IF($G$14=1,50,(_xlfn.RANK.AVG(L1240,$L$19:$L$1518,1)-1)/($G$14-1)*100))</f>
        <v/>
      </c>
      <c r="Q1240" s="11">
        <f>IF(M1240="","",IF($G$15=1,50,(_xlfn.RANK.AVG(M1240,$M$19:$M$1518,1)-1)/($G$15-1)*100))</f>
        <v/>
      </c>
      <c r="R1240" s="11">
        <f>IF(N1240="","",IF($G$16=1,50,(_xlfn.RANK.AVG(N1240,$N$19:$N$1518,1)-1)/($G$16-1)*100))</f>
        <v/>
      </c>
      <c r="S1240" s="11">
        <f>IF(COUNT(O1240:R1240)=4,ROUND(AVERAGE(O1240:R1240),6),"")</f>
        <v/>
      </c>
      <c r="U1240">
        <f>IF(AND(ISNUMBER('자료_한국심리'!$A1224),ISNUMBER('자료_한국심리'!$B1224)),'자료_한국심리'!$A1224,"")</f>
        <v/>
      </c>
      <c r="V1240">
        <f>IF(AND(ISNUMBER('자료_한국심리'!$D1224),ISNUMBER('자료_한국심리'!$E1224)),'자료_한국심리'!$D1224,"")</f>
        <v/>
      </c>
      <c r="W1240">
        <f>IF(AND(ISNUMBER('자료_한국심리'!$G1224),ISNUMBER('자료_한국심리'!$H1224)),'자료_한국심리'!$G1224,"")</f>
        <v/>
      </c>
      <c r="X1240">
        <f>IF(AND(ISNUMBER('자료_한국심리'!$J1224),ISNUMBER('자료_한국심리'!$K1224)),'자료_한국심리'!$J1224,"")</f>
        <v/>
      </c>
      <c r="Y1240">
        <f>IF(AND(ISNUMBER('자료_한국심리'!$M1224),ISNUMBER('자료_한국심리'!$N1224)),'자료_한국심리'!$M1224,"")</f>
        <v/>
      </c>
    </row>
    <row r="1241">
      <c r="A1241" s="10">
        <f>IF(1223&gt;$E$5,"",SMALL($U$19:$U$4018,$E$6+1223))</f>
        <v/>
      </c>
      <c r="B1241" s="29">
        <f>IF(A1241="","",INDEX('자료_한국심리'!$B$3:$B$4002,MATCH(A1241,$U$19:$U$4018,0)))</f>
        <v/>
      </c>
      <c r="C1241" s="22">
        <f>IF(A1241="","",B1241/AVERAGE(B1117:B1241)-1)</f>
        <v/>
      </c>
      <c r="D1241" s="29">
        <f>IF(A1241="","",IFERROR(INDEX('자료_한국심리'!$E$3:$E$4002,MATCH(A1241,$V$19:$V$4018,0)),D1240))</f>
        <v/>
      </c>
      <c r="E1241" s="30">
        <f>IF(A1241="","",IFERROR(INDEX('자료_한국심리'!$H$3:$H$4002,MATCH(A1241,$W$19:$W$4018,0)),E1240))</f>
        <v/>
      </c>
      <c r="F1241" s="30">
        <f>IF(A1241="","",IFERROR(INDEX('자료_한국심리'!$K$3:$K$4002,MATCH(A1241,$X$19:$X$4018,0)),F1240))</f>
        <v/>
      </c>
      <c r="G1241" s="30">
        <f>IF(AND(ISNUMBER(E1241),ISNUMBER(F1241)),ROUND(E1241-F1241,6),"")</f>
        <v/>
      </c>
      <c r="H1241" s="25">
        <f>IF(A1241="","",IFERROR(INDEX('자료_한국심리'!$N$3:$N$4002,MATCH(A1241,$Y$19:$Y$4018,0)),H1240))</f>
        <v/>
      </c>
      <c r="I1241" s="31">
        <f>IF(AND(ISNUMBER(H1241),ISNUMBER(H1221)),IF(H1221&gt;0,H1241/H1221-1,""),"")</f>
        <v/>
      </c>
      <c r="J1241">
        <f>IF(A1241="",0,IF(A1241&gt;$B$5,1,0))</f>
        <v/>
      </c>
      <c r="K1241" s="29">
        <f>IF(AND(J1241=1,ISNUMBER(D1241)),D1241,"")</f>
        <v/>
      </c>
      <c r="L1241" s="30">
        <f>IF(AND(J1241=1,ISNUMBER(G1241)),G1241,"")</f>
        <v/>
      </c>
      <c r="M1241" s="22">
        <f>IF(AND(J1241=1,ISNUMBER(C1241)),C1241,"")</f>
        <v/>
      </c>
      <c r="N1241" s="31">
        <f>IF(AND(J1241=1,ISNUMBER(I1241)),I1241,"")</f>
        <v/>
      </c>
      <c r="O1241" s="11">
        <f>IF(K1241="","",100-IF($G$13=1,50,(_xlfn.RANK.AVG(K1241,$K$19:$K$1518,1)-1)/($G$13-1)*100))</f>
        <v/>
      </c>
      <c r="P1241" s="11">
        <f>IF(L1241="","",100-IF($G$14=1,50,(_xlfn.RANK.AVG(L1241,$L$19:$L$1518,1)-1)/($G$14-1)*100))</f>
        <v/>
      </c>
      <c r="Q1241" s="11">
        <f>IF(M1241="","",IF($G$15=1,50,(_xlfn.RANK.AVG(M1241,$M$19:$M$1518,1)-1)/($G$15-1)*100))</f>
        <v/>
      </c>
      <c r="R1241" s="11">
        <f>IF(N1241="","",IF($G$16=1,50,(_xlfn.RANK.AVG(N1241,$N$19:$N$1518,1)-1)/($G$16-1)*100))</f>
        <v/>
      </c>
      <c r="S1241" s="11">
        <f>IF(COUNT(O1241:R1241)=4,ROUND(AVERAGE(O1241:R1241),6),"")</f>
        <v/>
      </c>
      <c r="U1241">
        <f>IF(AND(ISNUMBER('자료_한국심리'!$A1225),ISNUMBER('자료_한국심리'!$B1225)),'자료_한국심리'!$A1225,"")</f>
        <v/>
      </c>
      <c r="V1241">
        <f>IF(AND(ISNUMBER('자료_한국심리'!$D1225),ISNUMBER('자료_한국심리'!$E1225)),'자료_한국심리'!$D1225,"")</f>
        <v/>
      </c>
      <c r="W1241">
        <f>IF(AND(ISNUMBER('자료_한국심리'!$G1225),ISNUMBER('자료_한국심리'!$H1225)),'자료_한국심리'!$G1225,"")</f>
        <v/>
      </c>
      <c r="X1241">
        <f>IF(AND(ISNUMBER('자료_한국심리'!$J1225),ISNUMBER('자료_한국심리'!$K1225)),'자료_한국심리'!$J1225,"")</f>
        <v/>
      </c>
      <c r="Y1241">
        <f>IF(AND(ISNUMBER('자료_한국심리'!$M1225),ISNUMBER('자료_한국심리'!$N1225)),'자료_한국심리'!$M1225,"")</f>
        <v/>
      </c>
    </row>
    <row r="1242">
      <c r="A1242" s="10">
        <f>IF(1224&gt;$E$5,"",SMALL($U$19:$U$4018,$E$6+1224))</f>
        <v/>
      </c>
      <c r="B1242" s="29">
        <f>IF(A1242="","",INDEX('자료_한국심리'!$B$3:$B$4002,MATCH(A1242,$U$19:$U$4018,0)))</f>
        <v/>
      </c>
      <c r="C1242" s="22">
        <f>IF(A1242="","",B1242/AVERAGE(B1118:B1242)-1)</f>
        <v/>
      </c>
      <c r="D1242" s="29">
        <f>IF(A1242="","",IFERROR(INDEX('자료_한국심리'!$E$3:$E$4002,MATCH(A1242,$V$19:$V$4018,0)),D1241))</f>
        <v/>
      </c>
      <c r="E1242" s="30">
        <f>IF(A1242="","",IFERROR(INDEX('자료_한국심리'!$H$3:$H$4002,MATCH(A1242,$W$19:$W$4018,0)),E1241))</f>
        <v/>
      </c>
      <c r="F1242" s="30">
        <f>IF(A1242="","",IFERROR(INDEX('자료_한국심리'!$K$3:$K$4002,MATCH(A1242,$X$19:$X$4018,0)),F1241))</f>
        <v/>
      </c>
      <c r="G1242" s="30">
        <f>IF(AND(ISNUMBER(E1242),ISNUMBER(F1242)),ROUND(E1242-F1242,6),"")</f>
        <v/>
      </c>
      <c r="H1242" s="25">
        <f>IF(A1242="","",IFERROR(INDEX('자료_한국심리'!$N$3:$N$4002,MATCH(A1242,$Y$19:$Y$4018,0)),H1241))</f>
        <v/>
      </c>
      <c r="I1242" s="31">
        <f>IF(AND(ISNUMBER(H1242),ISNUMBER(H1222)),IF(H1222&gt;0,H1242/H1222-1,""),"")</f>
        <v/>
      </c>
      <c r="J1242">
        <f>IF(A1242="",0,IF(A1242&gt;$B$5,1,0))</f>
        <v/>
      </c>
      <c r="K1242" s="29">
        <f>IF(AND(J1242=1,ISNUMBER(D1242)),D1242,"")</f>
        <v/>
      </c>
      <c r="L1242" s="30">
        <f>IF(AND(J1242=1,ISNUMBER(G1242)),G1242,"")</f>
        <v/>
      </c>
      <c r="M1242" s="22">
        <f>IF(AND(J1242=1,ISNUMBER(C1242)),C1242,"")</f>
        <v/>
      </c>
      <c r="N1242" s="31">
        <f>IF(AND(J1242=1,ISNUMBER(I1242)),I1242,"")</f>
        <v/>
      </c>
      <c r="O1242" s="11">
        <f>IF(K1242="","",100-IF($G$13=1,50,(_xlfn.RANK.AVG(K1242,$K$19:$K$1518,1)-1)/($G$13-1)*100))</f>
        <v/>
      </c>
      <c r="P1242" s="11">
        <f>IF(L1242="","",100-IF($G$14=1,50,(_xlfn.RANK.AVG(L1242,$L$19:$L$1518,1)-1)/($G$14-1)*100))</f>
        <v/>
      </c>
      <c r="Q1242" s="11">
        <f>IF(M1242="","",IF($G$15=1,50,(_xlfn.RANK.AVG(M1242,$M$19:$M$1518,1)-1)/($G$15-1)*100))</f>
        <v/>
      </c>
      <c r="R1242" s="11">
        <f>IF(N1242="","",IF($G$16=1,50,(_xlfn.RANK.AVG(N1242,$N$19:$N$1518,1)-1)/($G$16-1)*100))</f>
        <v/>
      </c>
      <c r="S1242" s="11">
        <f>IF(COUNT(O1242:R1242)=4,ROUND(AVERAGE(O1242:R1242),6),"")</f>
        <v/>
      </c>
      <c r="U1242">
        <f>IF(AND(ISNUMBER('자료_한국심리'!$A1226),ISNUMBER('자료_한국심리'!$B1226)),'자료_한국심리'!$A1226,"")</f>
        <v/>
      </c>
      <c r="V1242">
        <f>IF(AND(ISNUMBER('자료_한국심리'!$D1226),ISNUMBER('자료_한국심리'!$E1226)),'자료_한국심리'!$D1226,"")</f>
        <v/>
      </c>
      <c r="W1242">
        <f>IF(AND(ISNUMBER('자료_한국심리'!$G1226),ISNUMBER('자료_한국심리'!$H1226)),'자료_한국심리'!$G1226,"")</f>
        <v/>
      </c>
      <c r="X1242">
        <f>IF(AND(ISNUMBER('자료_한국심리'!$J1226),ISNUMBER('자료_한국심리'!$K1226)),'자료_한국심리'!$J1226,"")</f>
        <v/>
      </c>
      <c r="Y1242">
        <f>IF(AND(ISNUMBER('자료_한국심리'!$M1226),ISNUMBER('자료_한국심리'!$N1226)),'자료_한국심리'!$M1226,"")</f>
        <v/>
      </c>
    </row>
    <row r="1243">
      <c r="A1243" s="10">
        <f>IF(1225&gt;$E$5,"",SMALL($U$19:$U$4018,$E$6+1225))</f>
        <v/>
      </c>
      <c r="B1243" s="29">
        <f>IF(A1243="","",INDEX('자료_한국심리'!$B$3:$B$4002,MATCH(A1243,$U$19:$U$4018,0)))</f>
        <v/>
      </c>
      <c r="C1243" s="22">
        <f>IF(A1243="","",B1243/AVERAGE(B1119:B1243)-1)</f>
        <v/>
      </c>
      <c r="D1243" s="29">
        <f>IF(A1243="","",IFERROR(INDEX('자료_한국심리'!$E$3:$E$4002,MATCH(A1243,$V$19:$V$4018,0)),D1242))</f>
        <v/>
      </c>
      <c r="E1243" s="30">
        <f>IF(A1243="","",IFERROR(INDEX('자료_한국심리'!$H$3:$H$4002,MATCH(A1243,$W$19:$W$4018,0)),E1242))</f>
        <v/>
      </c>
      <c r="F1243" s="30">
        <f>IF(A1243="","",IFERROR(INDEX('자료_한국심리'!$K$3:$K$4002,MATCH(A1243,$X$19:$X$4018,0)),F1242))</f>
        <v/>
      </c>
      <c r="G1243" s="30">
        <f>IF(AND(ISNUMBER(E1243),ISNUMBER(F1243)),ROUND(E1243-F1243,6),"")</f>
        <v/>
      </c>
      <c r="H1243" s="25">
        <f>IF(A1243="","",IFERROR(INDEX('자료_한국심리'!$N$3:$N$4002,MATCH(A1243,$Y$19:$Y$4018,0)),H1242))</f>
        <v/>
      </c>
      <c r="I1243" s="31">
        <f>IF(AND(ISNUMBER(H1243),ISNUMBER(H1223)),IF(H1223&gt;0,H1243/H1223-1,""),"")</f>
        <v/>
      </c>
      <c r="J1243">
        <f>IF(A1243="",0,IF(A1243&gt;$B$5,1,0))</f>
        <v/>
      </c>
      <c r="K1243" s="29">
        <f>IF(AND(J1243=1,ISNUMBER(D1243)),D1243,"")</f>
        <v/>
      </c>
      <c r="L1243" s="30">
        <f>IF(AND(J1243=1,ISNUMBER(G1243)),G1243,"")</f>
        <v/>
      </c>
      <c r="M1243" s="22">
        <f>IF(AND(J1243=1,ISNUMBER(C1243)),C1243,"")</f>
        <v/>
      </c>
      <c r="N1243" s="31">
        <f>IF(AND(J1243=1,ISNUMBER(I1243)),I1243,"")</f>
        <v/>
      </c>
      <c r="O1243" s="11">
        <f>IF(K1243="","",100-IF($G$13=1,50,(_xlfn.RANK.AVG(K1243,$K$19:$K$1518,1)-1)/($G$13-1)*100))</f>
        <v/>
      </c>
      <c r="P1243" s="11">
        <f>IF(L1243="","",100-IF($G$14=1,50,(_xlfn.RANK.AVG(L1243,$L$19:$L$1518,1)-1)/($G$14-1)*100))</f>
        <v/>
      </c>
      <c r="Q1243" s="11">
        <f>IF(M1243="","",IF($G$15=1,50,(_xlfn.RANK.AVG(M1243,$M$19:$M$1518,1)-1)/($G$15-1)*100))</f>
        <v/>
      </c>
      <c r="R1243" s="11">
        <f>IF(N1243="","",IF($G$16=1,50,(_xlfn.RANK.AVG(N1243,$N$19:$N$1518,1)-1)/($G$16-1)*100))</f>
        <v/>
      </c>
      <c r="S1243" s="11">
        <f>IF(COUNT(O1243:R1243)=4,ROUND(AVERAGE(O1243:R1243),6),"")</f>
        <v/>
      </c>
      <c r="U1243">
        <f>IF(AND(ISNUMBER('자료_한국심리'!$A1227),ISNUMBER('자료_한국심리'!$B1227)),'자료_한국심리'!$A1227,"")</f>
        <v/>
      </c>
      <c r="V1243">
        <f>IF(AND(ISNUMBER('자료_한국심리'!$D1227),ISNUMBER('자료_한국심리'!$E1227)),'자료_한국심리'!$D1227,"")</f>
        <v/>
      </c>
      <c r="W1243">
        <f>IF(AND(ISNUMBER('자료_한국심리'!$G1227),ISNUMBER('자료_한국심리'!$H1227)),'자료_한국심리'!$G1227,"")</f>
        <v/>
      </c>
      <c r="X1243">
        <f>IF(AND(ISNUMBER('자료_한국심리'!$J1227),ISNUMBER('자료_한국심리'!$K1227)),'자료_한국심리'!$J1227,"")</f>
        <v/>
      </c>
      <c r="Y1243">
        <f>IF(AND(ISNUMBER('자료_한국심리'!$M1227),ISNUMBER('자료_한국심리'!$N1227)),'자료_한국심리'!$M1227,"")</f>
        <v/>
      </c>
    </row>
    <row r="1244">
      <c r="A1244" s="10">
        <f>IF(1226&gt;$E$5,"",SMALL($U$19:$U$4018,$E$6+1226))</f>
        <v/>
      </c>
      <c r="B1244" s="29">
        <f>IF(A1244="","",INDEX('자료_한국심리'!$B$3:$B$4002,MATCH(A1244,$U$19:$U$4018,0)))</f>
        <v/>
      </c>
      <c r="C1244" s="22">
        <f>IF(A1244="","",B1244/AVERAGE(B1120:B1244)-1)</f>
        <v/>
      </c>
      <c r="D1244" s="29">
        <f>IF(A1244="","",IFERROR(INDEX('자료_한국심리'!$E$3:$E$4002,MATCH(A1244,$V$19:$V$4018,0)),D1243))</f>
        <v/>
      </c>
      <c r="E1244" s="30">
        <f>IF(A1244="","",IFERROR(INDEX('자료_한국심리'!$H$3:$H$4002,MATCH(A1244,$W$19:$W$4018,0)),E1243))</f>
        <v/>
      </c>
      <c r="F1244" s="30">
        <f>IF(A1244="","",IFERROR(INDEX('자료_한국심리'!$K$3:$K$4002,MATCH(A1244,$X$19:$X$4018,0)),F1243))</f>
        <v/>
      </c>
      <c r="G1244" s="30">
        <f>IF(AND(ISNUMBER(E1244),ISNUMBER(F1244)),ROUND(E1244-F1244,6),"")</f>
        <v/>
      </c>
      <c r="H1244" s="25">
        <f>IF(A1244="","",IFERROR(INDEX('자료_한국심리'!$N$3:$N$4002,MATCH(A1244,$Y$19:$Y$4018,0)),H1243))</f>
        <v/>
      </c>
      <c r="I1244" s="31">
        <f>IF(AND(ISNUMBER(H1244),ISNUMBER(H1224)),IF(H1224&gt;0,H1244/H1224-1,""),"")</f>
        <v/>
      </c>
      <c r="J1244">
        <f>IF(A1244="",0,IF(A1244&gt;$B$5,1,0))</f>
        <v/>
      </c>
      <c r="K1244" s="29">
        <f>IF(AND(J1244=1,ISNUMBER(D1244)),D1244,"")</f>
        <v/>
      </c>
      <c r="L1244" s="30">
        <f>IF(AND(J1244=1,ISNUMBER(G1244)),G1244,"")</f>
        <v/>
      </c>
      <c r="M1244" s="22">
        <f>IF(AND(J1244=1,ISNUMBER(C1244)),C1244,"")</f>
        <v/>
      </c>
      <c r="N1244" s="31">
        <f>IF(AND(J1244=1,ISNUMBER(I1244)),I1244,"")</f>
        <v/>
      </c>
      <c r="O1244" s="11">
        <f>IF(K1244="","",100-IF($G$13=1,50,(_xlfn.RANK.AVG(K1244,$K$19:$K$1518,1)-1)/($G$13-1)*100))</f>
        <v/>
      </c>
      <c r="P1244" s="11">
        <f>IF(L1244="","",100-IF($G$14=1,50,(_xlfn.RANK.AVG(L1244,$L$19:$L$1518,1)-1)/($G$14-1)*100))</f>
        <v/>
      </c>
      <c r="Q1244" s="11">
        <f>IF(M1244="","",IF($G$15=1,50,(_xlfn.RANK.AVG(M1244,$M$19:$M$1518,1)-1)/($G$15-1)*100))</f>
        <v/>
      </c>
      <c r="R1244" s="11">
        <f>IF(N1244="","",IF($G$16=1,50,(_xlfn.RANK.AVG(N1244,$N$19:$N$1518,1)-1)/($G$16-1)*100))</f>
        <v/>
      </c>
      <c r="S1244" s="11">
        <f>IF(COUNT(O1244:R1244)=4,ROUND(AVERAGE(O1244:R1244),6),"")</f>
        <v/>
      </c>
      <c r="U1244">
        <f>IF(AND(ISNUMBER('자료_한국심리'!$A1228),ISNUMBER('자료_한국심리'!$B1228)),'자료_한국심리'!$A1228,"")</f>
        <v/>
      </c>
      <c r="V1244">
        <f>IF(AND(ISNUMBER('자료_한국심리'!$D1228),ISNUMBER('자료_한국심리'!$E1228)),'자료_한국심리'!$D1228,"")</f>
        <v/>
      </c>
      <c r="W1244">
        <f>IF(AND(ISNUMBER('자료_한국심리'!$G1228),ISNUMBER('자료_한국심리'!$H1228)),'자료_한국심리'!$G1228,"")</f>
        <v/>
      </c>
      <c r="X1244">
        <f>IF(AND(ISNUMBER('자료_한국심리'!$J1228),ISNUMBER('자료_한국심리'!$K1228)),'자료_한국심리'!$J1228,"")</f>
        <v/>
      </c>
      <c r="Y1244">
        <f>IF(AND(ISNUMBER('자료_한국심리'!$M1228),ISNUMBER('자료_한국심리'!$N1228)),'자료_한국심리'!$M1228,"")</f>
        <v/>
      </c>
    </row>
    <row r="1245">
      <c r="A1245" s="10">
        <f>IF(1227&gt;$E$5,"",SMALL($U$19:$U$4018,$E$6+1227))</f>
        <v/>
      </c>
      <c r="B1245" s="29">
        <f>IF(A1245="","",INDEX('자료_한국심리'!$B$3:$B$4002,MATCH(A1245,$U$19:$U$4018,0)))</f>
        <v/>
      </c>
      <c r="C1245" s="22">
        <f>IF(A1245="","",B1245/AVERAGE(B1121:B1245)-1)</f>
        <v/>
      </c>
      <c r="D1245" s="29">
        <f>IF(A1245="","",IFERROR(INDEX('자료_한국심리'!$E$3:$E$4002,MATCH(A1245,$V$19:$V$4018,0)),D1244))</f>
        <v/>
      </c>
      <c r="E1245" s="30">
        <f>IF(A1245="","",IFERROR(INDEX('자료_한국심리'!$H$3:$H$4002,MATCH(A1245,$W$19:$W$4018,0)),E1244))</f>
        <v/>
      </c>
      <c r="F1245" s="30">
        <f>IF(A1245="","",IFERROR(INDEX('자료_한국심리'!$K$3:$K$4002,MATCH(A1245,$X$19:$X$4018,0)),F1244))</f>
        <v/>
      </c>
      <c r="G1245" s="30">
        <f>IF(AND(ISNUMBER(E1245),ISNUMBER(F1245)),ROUND(E1245-F1245,6),"")</f>
        <v/>
      </c>
      <c r="H1245" s="25">
        <f>IF(A1245="","",IFERROR(INDEX('자료_한국심리'!$N$3:$N$4002,MATCH(A1245,$Y$19:$Y$4018,0)),H1244))</f>
        <v/>
      </c>
      <c r="I1245" s="31">
        <f>IF(AND(ISNUMBER(H1245),ISNUMBER(H1225)),IF(H1225&gt;0,H1245/H1225-1,""),"")</f>
        <v/>
      </c>
      <c r="J1245">
        <f>IF(A1245="",0,IF(A1245&gt;$B$5,1,0))</f>
        <v/>
      </c>
      <c r="K1245" s="29">
        <f>IF(AND(J1245=1,ISNUMBER(D1245)),D1245,"")</f>
        <v/>
      </c>
      <c r="L1245" s="30">
        <f>IF(AND(J1245=1,ISNUMBER(G1245)),G1245,"")</f>
        <v/>
      </c>
      <c r="M1245" s="22">
        <f>IF(AND(J1245=1,ISNUMBER(C1245)),C1245,"")</f>
        <v/>
      </c>
      <c r="N1245" s="31">
        <f>IF(AND(J1245=1,ISNUMBER(I1245)),I1245,"")</f>
        <v/>
      </c>
      <c r="O1245" s="11">
        <f>IF(K1245="","",100-IF($G$13=1,50,(_xlfn.RANK.AVG(K1245,$K$19:$K$1518,1)-1)/($G$13-1)*100))</f>
        <v/>
      </c>
      <c r="P1245" s="11">
        <f>IF(L1245="","",100-IF($G$14=1,50,(_xlfn.RANK.AVG(L1245,$L$19:$L$1518,1)-1)/($G$14-1)*100))</f>
        <v/>
      </c>
      <c r="Q1245" s="11">
        <f>IF(M1245="","",IF($G$15=1,50,(_xlfn.RANK.AVG(M1245,$M$19:$M$1518,1)-1)/($G$15-1)*100))</f>
        <v/>
      </c>
      <c r="R1245" s="11">
        <f>IF(N1245="","",IF($G$16=1,50,(_xlfn.RANK.AVG(N1245,$N$19:$N$1518,1)-1)/($G$16-1)*100))</f>
        <v/>
      </c>
      <c r="S1245" s="11">
        <f>IF(COUNT(O1245:R1245)=4,ROUND(AVERAGE(O1245:R1245),6),"")</f>
        <v/>
      </c>
      <c r="U1245">
        <f>IF(AND(ISNUMBER('자료_한국심리'!$A1229),ISNUMBER('자료_한국심리'!$B1229)),'자료_한국심리'!$A1229,"")</f>
        <v/>
      </c>
      <c r="V1245">
        <f>IF(AND(ISNUMBER('자료_한국심리'!$D1229),ISNUMBER('자료_한국심리'!$E1229)),'자료_한국심리'!$D1229,"")</f>
        <v/>
      </c>
      <c r="W1245">
        <f>IF(AND(ISNUMBER('자료_한국심리'!$G1229),ISNUMBER('자료_한국심리'!$H1229)),'자료_한국심리'!$G1229,"")</f>
        <v/>
      </c>
      <c r="X1245">
        <f>IF(AND(ISNUMBER('자료_한국심리'!$J1229),ISNUMBER('자료_한국심리'!$K1229)),'자료_한국심리'!$J1229,"")</f>
        <v/>
      </c>
      <c r="Y1245">
        <f>IF(AND(ISNUMBER('자료_한국심리'!$M1229),ISNUMBER('자료_한국심리'!$N1229)),'자료_한국심리'!$M1229,"")</f>
        <v/>
      </c>
    </row>
    <row r="1246">
      <c r="A1246" s="10">
        <f>IF(1228&gt;$E$5,"",SMALL($U$19:$U$4018,$E$6+1228))</f>
        <v/>
      </c>
      <c r="B1246" s="29">
        <f>IF(A1246="","",INDEX('자료_한국심리'!$B$3:$B$4002,MATCH(A1246,$U$19:$U$4018,0)))</f>
        <v/>
      </c>
      <c r="C1246" s="22">
        <f>IF(A1246="","",B1246/AVERAGE(B1122:B1246)-1)</f>
        <v/>
      </c>
      <c r="D1246" s="29">
        <f>IF(A1246="","",IFERROR(INDEX('자료_한국심리'!$E$3:$E$4002,MATCH(A1246,$V$19:$V$4018,0)),D1245))</f>
        <v/>
      </c>
      <c r="E1246" s="30">
        <f>IF(A1246="","",IFERROR(INDEX('자료_한국심리'!$H$3:$H$4002,MATCH(A1246,$W$19:$W$4018,0)),E1245))</f>
        <v/>
      </c>
      <c r="F1246" s="30">
        <f>IF(A1246="","",IFERROR(INDEX('자료_한국심리'!$K$3:$K$4002,MATCH(A1246,$X$19:$X$4018,0)),F1245))</f>
        <v/>
      </c>
      <c r="G1246" s="30">
        <f>IF(AND(ISNUMBER(E1246),ISNUMBER(F1246)),ROUND(E1246-F1246,6),"")</f>
        <v/>
      </c>
      <c r="H1246" s="25">
        <f>IF(A1246="","",IFERROR(INDEX('자료_한국심리'!$N$3:$N$4002,MATCH(A1246,$Y$19:$Y$4018,0)),H1245))</f>
        <v/>
      </c>
      <c r="I1246" s="31">
        <f>IF(AND(ISNUMBER(H1246),ISNUMBER(H1226)),IF(H1226&gt;0,H1246/H1226-1,""),"")</f>
        <v/>
      </c>
      <c r="J1246">
        <f>IF(A1246="",0,IF(A1246&gt;$B$5,1,0))</f>
        <v/>
      </c>
      <c r="K1246" s="29">
        <f>IF(AND(J1246=1,ISNUMBER(D1246)),D1246,"")</f>
        <v/>
      </c>
      <c r="L1246" s="30">
        <f>IF(AND(J1246=1,ISNUMBER(G1246)),G1246,"")</f>
        <v/>
      </c>
      <c r="M1246" s="22">
        <f>IF(AND(J1246=1,ISNUMBER(C1246)),C1246,"")</f>
        <v/>
      </c>
      <c r="N1246" s="31">
        <f>IF(AND(J1246=1,ISNUMBER(I1246)),I1246,"")</f>
        <v/>
      </c>
      <c r="O1246" s="11">
        <f>IF(K1246="","",100-IF($G$13=1,50,(_xlfn.RANK.AVG(K1246,$K$19:$K$1518,1)-1)/($G$13-1)*100))</f>
        <v/>
      </c>
      <c r="P1246" s="11">
        <f>IF(L1246="","",100-IF($G$14=1,50,(_xlfn.RANK.AVG(L1246,$L$19:$L$1518,1)-1)/($G$14-1)*100))</f>
        <v/>
      </c>
      <c r="Q1246" s="11">
        <f>IF(M1246="","",IF($G$15=1,50,(_xlfn.RANK.AVG(M1246,$M$19:$M$1518,1)-1)/($G$15-1)*100))</f>
        <v/>
      </c>
      <c r="R1246" s="11">
        <f>IF(N1246="","",IF($G$16=1,50,(_xlfn.RANK.AVG(N1246,$N$19:$N$1518,1)-1)/($G$16-1)*100))</f>
        <v/>
      </c>
      <c r="S1246" s="11">
        <f>IF(COUNT(O1246:R1246)=4,ROUND(AVERAGE(O1246:R1246),6),"")</f>
        <v/>
      </c>
      <c r="U1246">
        <f>IF(AND(ISNUMBER('자료_한국심리'!$A1230),ISNUMBER('자료_한국심리'!$B1230)),'자료_한국심리'!$A1230,"")</f>
        <v/>
      </c>
      <c r="V1246">
        <f>IF(AND(ISNUMBER('자료_한국심리'!$D1230),ISNUMBER('자료_한국심리'!$E1230)),'자료_한국심리'!$D1230,"")</f>
        <v/>
      </c>
      <c r="W1246">
        <f>IF(AND(ISNUMBER('자료_한국심리'!$G1230),ISNUMBER('자료_한국심리'!$H1230)),'자료_한국심리'!$G1230,"")</f>
        <v/>
      </c>
      <c r="X1246">
        <f>IF(AND(ISNUMBER('자료_한국심리'!$J1230),ISNUMBER('자료_한국심리'!$K1230)),'자료_한국심리'!$J1230,"")</f>
        <v/>
      </c>
      <c r="Y1246">
        <f>IF(AND(ISNUMBER('자료_한국심리'!$M1230),ISNUMBER('자료_한국심리'!$N1230)),'자료_한국심리'!$M1230,"")</f>
        <v/>
      </c>
    </row>
    <row r="1247">
      <c r="A1247" s="10">
        <f>IF(1229&gt;$E$5,"",SMALL($U$19:$U$4018,$E$6+1229))</f>
        <v/>
      </c>
      <c r="B1247" s="29">
        <f>IF(A1247="","",INDEX('자료_한국심리'!$B$3:$B$4002,MATCH(A1247,$U$19:$U$4018,0)))</f>
        <v/>
      </c>
      <c r="C1247" s="22">
        <f>IF(A1247="","",B1247/AVERAGE(B1123:B1247)-1)</f>
        <v/>
      </c>
      <c r="D1247" s="29">
        <f>IF(A1247="","",IFERROR(INDEX('자료_한국심리'!$E$3:$E$4002,MATCH(A1247,$V$19:$V$4018,0)),D1246))</f>
        <v/>
      </c>
      <c r="E1247" s="30">
        <f>IF(A1247="","",IFERROR(INDEX('자료_한국심리'!$H$3:$H$4002,MATCH(A1247,$W$19:$W$4018,0)),E1246))</f>
        <v/>
      </c>
      <c r="F1247" s="30">
        <f>IF(A1247="","",IFERROR(INDEX('자료_한국심리'!$K$3:$K$4002,MATCH(A1247,$X$19:$X$4018,0)),F1246))</f>
        <v/>
      </c>
      <c r="G1247" s="30">
        <f>IF(AND(ISNUMBER(E1247),ISNUMBER(F1247)),ROUND(E1247-F1247,6),"")</f>
        <v/>
      </c>
      <c r="H1247" s="25">
        <f>IF(A1247="","",IFERROR(INDEX('자료_한국심리'!$N$3:$N$4002,MATCH(A1247,$Y$19:$Y$4018,0)),H1246))</f>
        <v/>
      </c>
      <c r="I1247" s="31">
        <f>IF(AND(ISNUMBER(H1247),ISNUMBER(H1227)),IF(H1227&gt;0,H1247/H1227-1,""),"")</f>
        <v/>
      </c>
      <c r="J1247">
        <f>IF(A1247="",0,IF(A1247&gt;$B$5,1,0))</f>
        <v/>
      </c>
      <c r="K1247" s="29">
        <f>IF(AND(J1247=1,ISNUMBER(D1247)),D1247,"")</f>
        <v/>
      </c>
      <c r="L1247" s="30">
        <f>IF(AND(J1247=1,ISNUMBER(G1247)),G1247,"")</f>
        <v/>
      </c>
      <c r="M1247" s="22">
        <f>IF(AND(J1247=1,ISNUMBER(C1247)),C1247,"")</f>
        <v/>
      </c>
      <c r="N1247" s="31">
        <f>IF(AND(J1247=1,ISNUMBER(I1247)),I1247,"")</f>
        <v/>
      </c>
      <c r="O1247" s="11">
        <f>IF(K1247="","",100-IF($G$13=1,50,(_xlfn.RANK.AVG(K1247,$K$19:$K$1518,1)-1)/($G$13-1)*100))</f>
        <v/>
      </c>
      <c r="P1247" s="11">
        <f>IF(L1247="","",100-IF($G$14=1,50,(_xlfn.RANK.AVG(L1247,$L$19:$L$1518,1)-1)/($G$14-1)*100))</f>
        <v/>
      </c>
      <c r="Q1247" s="11">
        <f>IF(M1247="","",IF($G$15=1,50,(_xlfn.RANK.AVG(M1247,$M$19:$M$1518,1)-1)/($G$15-1)*100))</f>
        <v/>
      </c>
      <c r="R1247" s="11">
        <f>IF(N1247="","",IF($G$16=1,50,(_xlfn.RANK.AVG(N1247,$N$19:$N$1518,1)-1)/($G$16-1)*100))</f>
        <v/>
      </c>
      <c r="S1247" s="11">
        <f>IF(COUNT(O1247:R1247)=4,ROUND(AVERAGE(O1247:R1247),6),"")</f>
        <v/>
      </c>
      <c r="U1247">
        <f>IF(AND(ISNUMBER('자료_한국심리'!$A1231),ISNUMBER('자료_한국심리'!$B1231)),'자료_한국심리'!$A1231,"")</f>
        <v/>
      </c>
      <c r="V1247">
        <f>IF(AND(ISNUMBER('자료_한국심리'!$D1231),ISNUMBER('자료_한국심리'!$E1231)),'자료_한국심리'!$D1231,"")</f>
        <v/>
      </c>
      <c r="W1247">
        <f>IF(AND(ISNUMBER('자료_한국심리'!$G1231),ISNUMBER('자료_한국심리'!$H1231)),'자료_한국심리'!$G1231,"")</f>
        <v/>
      </c>
      <c r="X1247">
        <f>IF(AND(ISNUMBER('자료_한국심리'!$J1231),ISNUMBER('자료_한국심리'!$K1231)),'자료_한국심리'!$J1231,"")</f>
        <v/>
      </c>
      <c r="Y1247">
        <f>IF(AND(ISNUMBER('자료_한국심리'!$M1231),ISNUMBER('자료_한국심리'!$N1231)),'자료_한국심리'!$M1231,"")</f>
        <v/>
      </c>
    </row>
    <row r="1248">
      <c r="A1248" s="10">
        <f>IF(1230&gt;$E$5,"",SMALL($U$19:$U$4018,$E$6+1230))</f>
        <v/>
      </c>
      <c r="B1248" s="29">
        <f>IF(A1248="","",INDEX('자료_한국심리'!$B$3:$B$4002,MATCH(A1248,$U$19:$U$4018,0)))</f>
        <v/>
      </c>
      <c r="C1248" s="22">
        <f>IF(A1248="","",B1248/AVERAGE(B1124:B1248)-1)</f>
        <v/>
      </c>
      <c r="D1248" s="29">
        <f>IF(A1248="","",IFERROR(INDEX('자료_한국심리'!$E$3:$E$4002,MATCH(A1248,$V$19:$V$4018,0)),D1247))</f>
        <v/>
      </c>
      <c r="E1248" s="30">
        <f>IF(A1248="","",IFERROR(INDEX('자료_한국심리'!$H$3:$H$4002,MATCH(A1248,$W$19:$W$4018,0)),E1247))</f>
        <v/>
      </c>
      <c r="F1248" s="30">
        <f>IF(A1248="","",IFERROR(INDEX('자료_한국심리'!$K$3:$K$4002,MATCH(A1248,$X$19:$X$4018,0)),F1247))</f>
        <v/>
      </c>
      <c r="G1248" s="30">
        <f>IF(AND(ISNUMBER(E1248),ISNUMBER(F1248)),ROUND(E1248-F1248,6),"")</f>
        <v/>
      </c>
      <c r="H1248" s="25">
        <f>IF(A1248="","",IFERROR(INDEX('자료_한국심리'!$N$3:$N$4002,MATCH(A1248,$Y$19:$Y$4018,0)),H1247))</f>
        <v/>
      </c>
      <c r="I1248" s="31">
        <f>IF(AND(ISNUMBER(H1248),ISNUMBER(H1228)),IF(H1228&gt;0,H1248/H1228-1,""),"")</f>
        <v/>
      </c>
      <c r="J1248">
        <f>IF(A1248="",0,IF(A1248&gt;$B$5,1,0))</f>
        <v/>
      </c>
      <c r="K1248" s="29">
        <f>IF(AND(J1248=1,ISNUMBER(D1248)),D1248,"")</f>
        <v/>
      </c>
      <c r="L1248" s="30">
        <f>IF(AND(J1248=1,ISNUMBER(G1248)),G1248,"")</f>
        <v/>
      </c>
      <c r="M1248" s="22">
        <f>IF(AND(J1248=1,ISNUMBER(C1248)),C1248,"")</f>
        <v/>
      </c>
      <c r="N1248" s="31">
        <f>IF(AND(J1248=1,ISNUMBER(I1248)),I1248,"")</f>
        <v/>
      </c>
      <c r="O1248" s="11">
        <f>IF(K1248="","",100-IF($G$13=1,50,(_xlfn.RANK.AVG(K1248,$K$19:$K$1518,1)-1)/($G$13-1)*100))</f>
        <v/>
      </c>
      <c r="P1248" s="11">
        <f>IF(L1248="","",100-IF($G$14=1,50,(_xlfn.RANK.AVG(L1248,$L$19:$L$1518,1)-1)/($G$14-1)*100))</f>
        <v/>
      </c>
      <c r="Q1248" s="11">
        <f>IF(M1248="","",IF($G$15=1,50,(_xlfn.RANK.AVG(M1248,$M$19:$M$1518,1)-1)/($G$15-1)*100))</f>
        <v/>
      </c>
      <c r="R1248" s="11">
        <f>IF(N1248="","",IF($G$16=1,50,(_xlfn.RANK.AVG(N1248,$N$19:$N$1518,1)-1)/($G$16-1)*100))</f>
        <v/>
      </c>
      <c r="S1248" s="11">
        <f>IF(COUNT(O1248:R1248)=4,ROUND(AVERAGE(O1248:R1248),6),"")</f>
        <v/>
      </c>
      <c r="U1248">
        <f>IF(AND(ISNUMBER('자료_한국심리'!$A1232),ISNUMBER('자료_한국심리'!$B1232)),'자료_한국심리'!$A1232,"")</f>
        <v/>
      </c>
      <c r="V1248">
        <f>IF(AND(ISNUMBER('자료_한국심리'!$D1232),ISNUMBER('자료_한국심리'!$E1232)),'자료_한국심리'!$D1232,"")</f>
        <v/>
      </c>
      <c r="W1248">
        <f>IF(AND(ISNUMBER('자료_한국심리'!$G1232),ISNUMBER('자료_한국심리'!$H1232)),'자료_한국심리'!$G1232,"")</f>
        <v/>
      </c>
      <c r="X1248">
        <f>IF(AND(ISNUMBER('자료_한국심리'!$J1232),ISNUMBER('자료_한국심리'!$K1232)),'자료_한국심리'!$J1232,"")</f>
        <v/>
      </c>
      <c r="Y1248">
        <f>IF(AND(ISNUMBER('자료_한국심리'!$M1232),ISNUMBER('자료_한국심리'!$N1232)),'자료_한국심리'!$M1232,"")</f>
        <v/>
      </c>
    </row>
    <row r="1249">
      <c r="A1249" s="10">
        <f>IF(1231&gt;$E$5,"",SMALL($U$19:$U$4018,$E$6+1231))</f>
        <v/>
      </c>
      <c r="B1249" s="29">
        <f>IF(A1249="","",INDEX('자료_한국심리'!$B$3:$B$4002,MATCH(A1249,$U$19:$U$4018,0)))</f>
        <v/>
      </c>
      <c r="C1249" s="22">
        <f>IF(A1249="","",B1249/AVERAGE(B1125:B1249)-1)</f>
        <v/>
      </c>
      <c r="D1249" s="29">
        <f>IF(A1249="","",IFERROR(INDEX('자료_한국심리'!$E$3:$E$4002,MATCH(A1249,$V$19:$V$4018,0)),D1248))</f>
        <v/>
      </c>
      <c r="E1249" s="30">
        <f>IF(A1249="","",IFERROR(INDEX('자료_한국심리'!$H$3:$H$4002,MATCH(A1249,$W$19:$W$4018,0)),E1248))</f>
        <v/>
      </c>
      <c r="F1249" s="30">
        <f>IF(A1249="","",IFERROR(INDEX('자료_한국심리'!$K$3:$K$4002,MATCH(A1249,$X$19:$X$4018,0)),F1248))</f>
        <v/>
      </c>
      <c r="G1249" s="30">
        <f>IF(AND(ISNUMBER(E1249),ISNUMBER(F1249)),ROUND(E1249-F1249,6),"")</f>
        <v/>
      </c>
      <c r="H1249" s="25">
        <f>IF(A1249="","",IFERROR(INDEX('자료_한국심리'!$N$3:$N$4002,MATCH(A1249,$Y$19:$Y$4018,0)),H1248))</f>
        <v/>
      </c>
      <c r="I1249" s="31">
        <f>IF(AND(ISNUMBER(H1249),ISNUMBER(H1229)),IF(H1229&gt;0,H1249/H1229-1,""),"")</f>
        <v/>
      </c>
      <c r="J1249">
        <f>IF(A1249="",0,IF(A1249&gt;$B$5,1,0))</f>
        <v/>
      </c>
      <c r="K1249" s="29">
        <f>IF(AND(J1249=1,ISNUMBER(D1249)),D1249,"")</f>
        <v/>
      </c>
      <c r="L1249" s="30">
        <f>IF(AND(J1249=1,ISNUMBER(G1249)),G1249,"")</f>
        <v/>
      </c>
      <c r="M1249" s="22">
        <f>IF(AND(J1249=1,ISNUMBER(C1249)),C1249,"")</f>
        <v/>
      </c>
      <c r="N1249" s="31">
        <f>IF(AND(J1249=1,ISNUMBER(I1249)),I1249,"")</f>
        <v/>
      </c>
      <c r="O1249" s="11">
        <f>IF(K1249="","",100-IF($G$13=1,50,(_xlfn.RANK.AVG(K1249,$K$19:$K$1518,1)-1)/($G$13-1)*100))</f>
        <v/>
      </c>
      <c r="P1249" s="11">
        <f>IF(L1249="","",100-IF($G$14=1,50,(_xlfn.RANK.AVG(L1249,$L$19:$L$1518,1)-1)/($G$14-1)*100))</f>
        <v/>
      </c>
      <c r="Q1249" s="11">
        <f>IF(M1249="","",IF($G$15=1,50,(_xlfn.RANK.AVG(M1249,$M$19:$M$1518,1)-1)/($G$15-1)*100))</f>
        <v/>
      </c>
      <c r="R1249" s="11">
        <f>IF(N1249="","",IF($G$16=1,50,(_xlfn.RANK.AVG(N1249,$N$19:$N$1518,1)-1)/($G$16-1)*100))</f>
        <v/>
      </c>
      <c r="S1249" s="11">
        <f>IF(COUNT(O1249:R1249)=4,ROUND(AVERAGE(O1249:R1249),6),"")</f>
        <v/>
      </c>
      <c r="U1249">
        <f>IF(AND(ISNUMBER('자료_한국심리'!$A1233),ISNUMBER('자료_한국심리'!$B1233)),'자료_한국심리'!$A1233,"")</f>
        <v/>
      </c>
      <c r="V1249">
        <f>IF(AND(ISNUMBER('자료_한국심리'!$D1233),ISNUMBER('자료_한국심리'!$E1233)),'자료_한국심리'!$D1233,"")</f>
        <v/>
      </c>
      <c r="W1249">
        <f>IF(AND(ISNUMBER('자료_한국심리'!$G1233),ISNUMBER('자료_한국심리'!$H1233)),'자료_한국심리'!$G1233,"")</f>
        <v/>
      </c>
      <c r="X1249">
        <f>IF(AND(ISNUMBER('자료_한국심리'!$J1233),ISNUMBER('자료_한국심리'!$K1233)),'자료_한국심리'!$J1233,"")</f>
        <v/>
      </c>
      <c r="Y1249">
        <f>IF(AND(ISNUMBER('자료_한국심리'!$M1233),ISNUMBER('자료_한국심리'!$N1233)),'자료_한국심리'!$M1233,"")</f>
        <v/>
      </c>
    </row>
    <row r="1250">
      <c r="A1250" s="10">
        <f>IF(1232&gt;$E$5,"",SMALL($U$19:$U$4018,$E$6+1232))</f>
        <v/>
      </c>
      <c r="B1250" s="29">
        <f>IF(A1250="","",INDEX('자료_한국심리'!$B$3:$B$4002,MATCH(A1250,$U$19:$U$4018,0)))</f>
        <v/>
      </c>
      <c r="C1250" s="22">
        <f>IF(A1250="","",B1250/AVERAGE(B1126:B1250)-1)</f>
        <v/>
      </c>
      <c r="D1250" s="29">
        <f>IF(A1250="","",IFERROR(INDEX('자료_한국심리'!$E$3:$E$4002,MATCH(A1250,$V$19:$V$4018,0)),D1249))</f>
        <v/>
      </c>
      <c r="E1250" s="30">
        <f>IF(A1250="","",IFERROR(INDEX('자료_한국심리'!$H$3:$H$4002,MATCH(A1250,$W$19:$W$4018,0)),E1249))</f>
        <v/>
      </c>
      <c r="F1250" s="30">
        <f>IF(A1250="","",IFERROR(INDEX('자료_한국심리'!$K$3:$K$4002,MATCH(A1250,$X$19:$X$4018,0)),F1249))</f>
        <v/>
      </c>
      <c r="G1250" s="30">
        <f>IF(AND(ISNUMBER(E1250),ISNUMBER(F1250)),ROUND(E1250-F1250,6),"")</f>
        <v/>
      </c>
      <c r="H1250" s="25">
        <f>IF(A1250="","",IFERROR(INDEX('자료_한국심리'!$N$3:$N$4002,MATCH(A1250,$Y$19:$Y$4018,0)),H1249))</f>
        <v/>
      </c>
      <c r="I1250" s="31">
        <f>IF(AND(ISNUMBER(H1250),ISNUMBER(H1230)),IF(H1230&gt;0,H1250/H1230-1,""),"")</f>
        <v/>
      </c>
      <c r="J1250">
        <f>IF(A1250="",0,IF(A1250&gt;$B$5,1,0))</f>
        <v/>
      </c>
      <c r="K1250" s="29">
        <f>IF(AND(J1250=1,ISNUMBER(D1250)),D1250,"")</f>
        <v/>
      </c>
      <c r="L1250" s="30">
        <f>IF(AND(J1250=1,ISNUMBER(G1250)),G1250,"")</f>
        <v/>
      </c>
      <c r="M1250" s="22">
        <f>IF(AND(J1250=1,ISNUMBER(C1250)),C1250,"")</f>
        <v/>
      </c>
      <c r="N1250" s="31">
        <f>IF(AND(J1250=1,ISNUMBER(I1250)),I1250,"")</f>
        <v/>
      </c>
      <c r="O1250" s="11">
        <f>IF(K1250="","",100-IF($G$13=1,50,(_xlfn.RANK.AVG(K1250,$K$19:$K$1518,1)-1)/($G$13-1)*100))</f>
        <v/>
      </c>
      <c r="P1250" s="11">
        <f>IF(L1250="","",100-IF($G$14=1,50,(_xlfn.RANK.AVG(L1250,$L$19:$L$1518,1)-1)/($G$14-1)*100))</f>
        <v/>
      </c>
      <c r="Q1250" s="11">
        <f>IF(M1250="","",IF($G$15=1,50,(_xlfn.RANK.AVG(M1250,$M$19:$M$1518,1)-1)/($G$15-1)*100))</f>
        <v/>
      </c>
      <c r="R1250" s="11">
        <f>IF(N1250="","",IF($G$16=1,50,(_xlfn.RANK.AVG(N1250,$N$19:$N$1518,1)-1)/($G$16-1)*100))</f>
        <v/>
      </c>
      <c r="S1250" s="11">
        <f>IF(COUNT(O1250:R1250)=4,ROUND(AVERAGE(O1250:R1250),6),"")</f>
        <v/>
      </c>
      <c r="U1250">
        <f>IF(AND(ISNUMBER('자료_한국심리'!$A1234),ISNUMBER('자료_한국심리'!$B1234)),'자료_한국심리'!$A1234,"")</f>
        <v/>
      </c>
      <c r="V1250">
        <f>IF(AND(ISNUMBER('자료_한국심리'!$D1234),ISNUMBER('자료_한국심리'!$E1234)),'자료_한국심리'!$D1234,"")</f>
        <v/>
      </c>
      <c r="W1250">
        <f>IF(AND(ISNUMBER('자료_한국심리'!$G1234),ISNUMBER('자료_한국심리'!$H1234)),'자료_한국심리'!$G1234,"")</f>
        <v/>
      </c>
      <c r="X1250">
        <f>IF(AND(ISNUMBER('자료_한국심리'!$J1234),ISNUMBER('자료_한국심리'!$K1234)),'자료_한국심리'!$J1234,"")</f>
        <v/>
      </c>
      <c r="Y1250">
        <f>IF(AND(ISNUMBER('자료_한국심리'!$M1234),ISNUMBER('자료_한국심리'!$N1234)),'자료_한국심리'!$M1234,"")</f>
        <v/>
      </c>
    </row>
    <row r="1251">
      <c r="A1251" s="10">
        <f>IF(1233&gt;$E$5,"",SMALL($U$19:$U$4018,$E$6+1233))</f>
        <v/>
      </c>
      <c r="B1251" s="29">
        <f>IF(A1251="","",INDEX('자료_한국심리'!$B$3:$B$4002,MATCH(A1251,$U$19:$U$4018,0)))</f>
        <v/>
      </c>
      <c r="C1251" s="22">
        <f>IF(A1251="","",B1251/AVERAGE(B1127:B1251)-1)</f>
        <v/>
      </c>
      <c r="D1251" s="29">
        <f>IF(A1251="","",IFERROR(INDEX('자료_한국심리'!$E$3:$E$4002,MATCH(A1251,$V$19:$V$4018,0)),D1250))</f>
        <v/>
      </c>
      <c r="E1251" s="30">
        <f>IF(A1251="","",IFERROR(INDEX('자료_한국심리'!$H$3:$H$4002,MATCH(A1251,$W$19:$W$4018,0)),E1250))</f>
        <v/>
      </c>
      <c r="F1251" s="30">
        <f>IF(A1251="","",IFERROR(INDEX('자료_한국심리'!$K$3:$K$4002,MATCH(A1251,$X$19:$X$4018,0)),F1250))</f>
        <v/>
      </c>
      <c r="G1251" s="30">
        <f>IF(AND(ISNUMBER(E1251),ISNUMBER(F1251)),ROUND(E1251-F1251,6),"")</f>
        <v/>
      </c>
      <c r="H1251" s="25">
        <f>IF(A1251="","",IFERROR(INDEX('자료_한국심리'!$N$3:$N$4002,MATCH(A1251,$Y$19:$Y$4018,0)),H1250))</f>
        <v/>
      </c>
      <c r="I1251" s="31">
        <f>IF(AND(ISNUMBER(H1251),ISNUMBER(H1231)),IF(H1231&gt;0,H1251/H1231-1,""),"")</f>
        <v/>
      </c>
      <c r="J1251">
        <f>IF(A1251="",0,IF(A1251&gt;$B$5,1,0))</f>
        <v/>
      </c>
      <c r="K1251" s="29">
        <f>IF(AND(J1251=1,ISNUMBER(D1251)),D1251,"")</f>
        <v/>
      </c>
      <c r="L1251" s="30">
        <f>IF(AND(J1251=1,ISNUMBER(G1251)),G1251,"")</f>
        <v/>
      </c>
      <c r="M1251" s="22">
        <f>IF(AND(J1251=1,ISNUMBER(C1251)),C1251,"")</f>
        <v/>
      </c>
      <c r="N1251" s="31">
        <f>IF(AND(J1251=1,ISNUMBER(I1251)),I1251,"")</f>
        <v/>
      </c>
      <c r="O1251" s="11">
        <f>IF(K1251="","",100-IF($G$13=1,50,(_xlfn.RANK.AVG(K1251,$K$19:$K$1518,1)-1)/($G$13-1)*100))</f>
        <v/>
      </c>
      <c r="P1251" s="11">
        <f>IF(L1251="","",100-IF($G$14=1,50,(_xlfn.RANK.AVG(L1251,$L$19:$L$1518,1)-1)/($G$14-1)*100))</f>
        <v/>
      </c>
      <c r="Q1251" s="11">
        <f>IF(M1251="","",IF($G$15=1,50,(_xlfn.RANK.AVG(M1251,$M$19:$M$1518,1)-1)/($G$15-1)*100))</f>
        <v/>
      </c>
      <c r="R1251" s="11">
        <f>IF(N1251="","",IF($G$16=1,50,(_xlfn.RANK.AVG(N1251,$N$19:$N$1518,1)-1)/($G$16-1)*100))</f>
        <v/>
      </c>
      <c r="S1251" s="11">
        <f>IF(COUNT(O1251:R1251)=4,ROUND(AVERAGE(O1251:R1251),6),"")</f>
        <v/>
      </c>
      <c r="U1251">
        <f>IF(AND(ISNUMBER('자료_한국심리'!$A1235),ISNUMBER('자료_한국심리'!$B1235)),'자료_한국심리'!$A1235,"")</f>
        <v/>
      </c>
      <c r="V1251">
        <f>IF(AND(ISNUMBER('자료_한국심리'!$D1235),ISNUMBER('자료_한국심리'!$E1235)),'자료_한국심리'!$D1235,"")</f>
        <v/>
      </c>
      <c r="W1251">
        <f>IF(AND(ISNUMBER('자료_한국심리'!$G1235),ISNUMBER('자료_한국심리'!$H1235)),'자료_한국심리'!$G1235,"")</f>
        <v/>
      </c>
      <c r="X1251">
        <f>IF(AND(ISNUMBER('자료_한국심리'!$J1235),ISNUMBER('자료_한국심리'!$K1235)),'자료_한국심리'!$J1235,"")</f>
        <v/>
      </c>
      <c r="Y1251">
        <f>IF(AND(ISNUMBER('자료_한국심리'!$M1235),ISNUMBER('자료_한국심리'!$N1235)),'자료_한국심리'!$M1235,"")</f>
        <v/>
      </c>
    </row>
    <row r="1252">
      <c r="A1252" s="10">
        <f>IF(1234&gt;$E$5,"",SMALL($U$19:$U$4018,$E$6+1234))</f>
        <v/>
      </c>
      <c r="B1252" s="29">
        <f>IF(A1252="","",INDEX('자료_한국심리'!$B$3:$B$4002,MATCH(A1252,$U$19:$U$4018,0)))</f>
        <v/>
      </c>
      <c r="C1252" s="22">
        <f>IF(A1252="","",B1252/AVERAGE(B1128:B1252)-1)</f>
        <v/>
      </c>
      <c r="D1252" s="29">
        <f>IF(A1252="","",IFERROR(INDEX('자료_한국심리'!$E$3:$E$4002,MATCH(A1252,$V$19:$V$4018,0)),D1251))</f>
        <v/>
      </c>
      <c r="E1252" s="30">
        <f>IF(A1252="","",IFERROR(INDEX('자료_한국심리'!$H$3:$H$4002,MATCH(A1252,$W$19:$W$4018,0)),E1251))</f>
        <v/>
      </c>
      <c r="F1252" s="30">
        <f>IF(A1252="","",IFERROR(INDEX('자료_한국심리'!$K$3:$K$4002,MATCH(A1252,$X$19:$X$4018,0)),F1251))</f>
        <v/>
      </c>
      <c r="G1252" s="30">
        <f>IF(AND(ISNUMBER(E1252),ISNUMBER(F1252)),ROUND(E1252-F1252,6),"")</f>
        <v/>
      </c>
      <c r="H1252" s="25">
        <f>IF(A1252="","",IFERROR(INDEX('자료_한국심리'!$N$3:$N$4002,MATCH(A1252,$Y$19:$Y$4018,0)),H1251))</f>
        <v/>
      </c>
      <c r="I1252" s="31">
        <f>IF(AND(ISNUMBER(H1252),ISNUMBER(H1232)),IF(H1232&gt;0,H1252/H1232-1,""),"")</f>
        <v/>
      </c>
      <c r="J1252">
        <f>IF(A1252="",0,IF(A1252&gt;$B$5,1,0))</f>
        <v/>
      </c>
      <c r="K1252" s="29">
        <f>IF(AND(J1252=1,ISNUMBER(D1252)),D1252,"")</f>
        <v/>
      </c>
      <c r="L1252" s="30">
        <f>IF(AND(J1252=1,ISNUMBER(G1252)),G1252,"")</f>
        <v/>
      </c>
      <c r="M1252" s="22">
        <f>IF(AND(J1252=1,ISNUMBER(C1252)),C1252,"")</f>
        <v/>
      </c>
      <c r="N1252" s="31">
        <f>IF(AND(J1252=1,ISNUMBER(I1252)),I1252,"")</f>
        <v/>
      </c>
      <c r="O1252" s="11">
        <f>IF(K1252="","",100-IF($G$13=1,50,(_xlfn.RANK.AVG(K1252,$K$19:$K$1518,1)-1)/($G$13-1)*100))</f>
        <v/>
      </c>
      <c r="P1252" s="11">
        <f>IF(L1252="","",100-IF($G$14=1,50,(_xlfn.RANK.AVG(L1252,$L$19:$L$1518,1)-1)/($G$14-1)*100))</f>
        <v/>
      </c>
      <c r="Q1252" s="11">
        <f>IF(M1252="","",IF($G$15=1,50,(_xlfn.RANK.AVG(M1252,$M$19:$M$1518,1)-1)/($G$15-1)*100))</f>
        <v/>
      </c>
      <c r="R1252" s="11">
        <f>IF(N1252="","",IF($G$16=1,50,(_xlfn.RANK.AVG(N1252,$N$19:$N$1518,1)-1)/($G$16-1)*100))</f>
        <v/>
      </c>
      <c r="S1252" s="11">
        <f>IF(COUNT(O1252:R1252)=4,ROUND(AVERAGE(O1252:R1252),6),"")</f>
        <v/>
      </c>
      <c r="U1252">
        <f>IF(AND(ISNUMBER('자료_한국심리'!$A1236),ISNUMBER('자료_한국심리'!$B1236)),'자료_한국심리'!$A1236,"")</f>
        <v/>
      </c>
      <c r="V1252">
        <f>IF(AND(ISNUMBER('자료_한국심리'!$D1236),ISNUMBER('자료_한국심리'!$E1236)),'자료_한국심리'!$D1236,"")</f>
        <v/>
      </c>
      <c r="W1252">
        <f>IF(AND(ISNUMBER('자료_한국심리'!$G1236),ISNUMBER('자료_한국심리'!$H1236)),'자료_한국심리'!$G1236,"")</f>
        <v/>
      </c>
      <c r="X1252">
        <f>IF(AND(ISNUMBER('자료_한국심리'!$J1236),ISNUMBER('자료_한국심리'!$K1236)),'자료_한국심리'!$J1236,"")</f>
        <v/>
      </c>
      <c r="Y1252">
        <f>IF(AND(ISNUMBER('자료_한국심리'!$M1236),ISNUMBER('자료_한국심리'!$N1236)),'자료_한국심리'!$M1236,"")</f>
        <v/>
      </c>
    </row>
    <row r="1253">
      <c r="A1253" s="10">
        <f>IF(1235&gt;$E$5,"",SMALL($U$19:$U$4018,$E$6+1235))</f>
        <v/>
      </c>
      <c r="B1253" s="29">
        <f>IF(A1253="","",INDEX('자료_한국심리'!$B$3:$B$4002,MATCH(A1253,$U$19:$U$4018,0)))</f>
        <v/>
      </c>
      <c r="C1253" s="22">
        <f>IF(A1253="","",B1253/AVERAGE(B1129:B1253)-1)</f>
        <v/>
      </c>
      <c r="D1253" s="29">
        <f>IF(A1253="","",IFERROR(INDEX('자료_한국심리'!$E$3:$E$4002,MATCH(A1253,$V$19:$V$4018,0)),D1252))</f>
        <v/>
      </c>
      <c r="E1253" s="30">
        <f>IF(A1253="","",IFERROR(INDEX('자료_한국심리'!$H$3:$H$4002,MATCH(A1253,$W$19:$W$4018,0)),E1252))</f>
        <v/>
      </c>
      <c r="F1253" s="30">
        <f>IF(A1253="","",IFERROR(INDEX('자료_한국심리'!$K$3:$K$4002,MATCH(A1253,$X$19:$X$4018,0)),F1252))</f>
        <v/>
      </c>
      <c r="G1253" s="30">
        <f>IF(AND(ISNUMBER(E1253),ISNUMBER(F1253)),ROUND(E1253-F1253,6),"")</f>
        <v/>
      </c>
      <c r="H1253" s="25">
        <f>IF(A1253="","",IFERROR(INDEX('자료_한국심리'!$N$3:$N$4002,MATCH(A1253,$Y$19:$Y$4018,0)),H1252))</f>
        <v/>
      </c>
      <c r="I1253" s="31">
        <f>IF(AND(ISNUMBER(H1253),ISNUMBER(H1233)),IF(H1233&gt;0,H1253/H1233-1,""),"")</f>
        <v/>
      </c>
      <c r="J1253">
        <f>IF(A1253="",0,IF(A1253&gt;$B$5,1,0))</f>
        <v/>
      </c>
      <c r="K1253" s="29">
        <f>IF(AND(J1253=1,ISNUMBER(D1253)),D1253,"")</f>
        <v/>
      </c>
      <c r="L1253" s="30">
        <f>IF(AND(J1253=1,ISNUMBER(G1253)),G1253,"")</f>
        <v/>
      </c>
      <c r="M1253" s="22">
        <f>IF(AND(J1253=1,ISNUMBER(C1253)),C1253,"")</f>
        <v/>
      </c>
      <c r="N1253" s="31">
        <f>IF(AND(J1253=1,ISNUMBER(I1253)),I1253,"")</f>
        <v/>
      </c>
      <c r="O1253" s="11">
        <f>IF(K1253="","",100-IF($G$13=1,50,(_xlfn.RANK.AVG(K1253,$K$19:$K$1518,1)-1)/($G$13-1)*100))</f>
        <v/>
      </c>
      <c r="P1253" s="11">
        <f>IF(L1253="","",100-IF($G$14=1,50,(_xlfn.RANK.AVG(L1253,$L$19:$L$1518,1)-1)/($G$14-1)*100))</f>
        <v/>
      </c>
      <c r="Q1253" s="11">
        <f>IF(M1253="","",IF($G$15=1,50,(_xlfn.RANK.AVG(M1253,$M$19:$M$1518,1)-1)/($G$15-1)*100))</f>
        <v/>
      </c>
      <c r="R1253" s="11">
        <f>IF(N1253="","",IF($G$16=1,50,(_xlfn.RANK.AVG(N1253,$N$19:$N$1518,1)-1)/($G$16-1)*100))</f>
        <v/>
      </c>
      <c r="S1253" s="11">
        <f>IF(COUNT(O1253:R1253)=4,ROUND(AVERAGE(O1253:R1253),6),"")</f>
        <v/>
      </c>
      <c r="U1253">
        <f>IF(AND(ISNUMBER('자료_한국심리'!$A1237),ISNUMBER('자료_한국심리'!$B1237)),'자료_한국심리'!$A1237,"")</f>
        <v/>
      </c>
      <c r="V1253">
        <f>IF(AND(ISNUMBER('자료_한국심리'!$D1237),ISNUMBER('자료_한국심리'!$E1237)),'자료_한국심리'!$D1237,"")</f>
        <v/>
      </c>
      <c r="W1253">
        <f>IF(AND(ISNUMBER('자료_한국심리'!$G1237),ISNUMBER('자료_한국심리'!$H1237)),'자료_한국심리'!$G1237,"")</f>
        <v/>
      </c>
      <c r="X1253">
        <f>IF(AND(ISNUMBER('자료_한국심리'!$J1237),ISNUMBER('자료_한국심리'!$K1237)),'자료_한국심리'!$J1237,"")</f>
        <v/>
      </c>
      <c r="Y1253">
        <f>IF(AND(ISNUMBER('자료_한국심리'!$M1237),ISNUMBER('자료_한국심리'!$N1237)),'자료_한국심리'!$M1237,"")</f>
        <v/>
      </c>
    </row>
    <row r="1254">
      <c r="A1254" s="10">
        <f>IF(1236&gt;$E$5,"",SMALL($U$19:$U$4018,$E$6+1236))</f>
        <v/>
      </c>
      <c r="B1254" s="29">
        <f>IF(A1254="","",INDEX('자료_한국심리'!$B$3:$B$4002,MATCH(A1254,$U$19:$U$4018,0)))</f>
        <v/>
      </c>
      <c r="C1254" s="22">
        <f>IF(A1254="","",B1254/AVERAGE(B1130:B1254)-1)</f>
        <v/>
      </c>
      <c r="D1254" s="29">
        <f>IF(A1254="","",IFERROR(INDEX('자료_한국심리'!$E$3:$E$4002,MATCH(A1254,$V$19:$V$4018,0)),D1253))</f>
        <v/>
      </c>
      <c r="E1254" s="30">
        <f>IF(A1254="","",IFERROR(INDEX('자료_한국심리'!$H$3:$H$4002,MATCH(A1254,$W$19:$W$4018,0)),E1253))</f>
        <v/>
      </c>
      <c r="F1254" s="30">
        <f>IF(A1254="","",IFERROR(INDEX('자료_한국심리'!$K$3:$K$4002,MATCH(A1254,$X$19:$X$4018,0)),F1253))</f>
        <v/>
      </c>
      <c r="G1254" s="30">
        <f>IF(AND(ISNUMBER(E1254),ISNUMBER(F1254)),ROUND(E1254-F1254,6),"")</f>
        <v/>
      </c>
      <c r="H1254" s="25">
        <f>IF(A1254="","",IFERROR(INDEX('자료_한국심리'!$N$3:$N$4002,MATCH(A1254,$Y$19:$Y$4018,0)),H1253))</f>
        <v/>
      </c>
      <c r="I1254" s="31">
        <f>IF(AND(ISNUMBER(H1254),ISNUMBER(H1234)),IF(H1234&gt;0,H1254/H1234-1,""),"")</f>
        <v/>
      </c>
      <c r="J1254">
        <f>IF(A1254="",0,IF(A1254&gt;$B$5,1,0))</f>
        <v/>
      </c>
      <c r="K1254" s="29">
        <f>IF(AND(J1254=1,ISNUMBER(D1254)),D1254,"")</f>
        <v/>
      </c>
      <c r="L1254" s="30">
        <f>IF(AND(J1254=1,ISNUMBER(G1254)),G1254,"")</f>
        <v/>
      </c>
      <c r="M1254" s="22">
        <f>IF(AND(J1254=1,ISNUMBER(C1254)),C1254,"")</f>
        <v/>
      </c>
      <c r="N1254" s="31">
        <f>IF(AND(J1254=1,ISNUMBER(I1254)),I1254,"")</f>
        <v/>
      </c>
      <c r="O1254" s="11">
        <f>IF(K1254="","",100-IF($G$13=1,50,(_xlfn.RANK.AVG(K1254,$K$19:$K$1518,1)-1)/($G$13-1)*100))</f>
        <v/>
      </c>
      <c r="P1254" s="11">
        <f>IF(L1254="","",100-IF($G$14=1,50,(_xlfn.RANK.AVG(L1254,$L$19:$L$1518,1)-1)/($G$14-1)*100))</f>
        <v/>
      </c>
      <c r="Q1254" s="11">
        <f>IF(M1254="","",IF($G$15=1,50,(_xlfn.RANK.AVG(M1254,$M$19:$M$1518,1)-1)/($G$15-1)*100))</f>
        <v/>
      </c>
      <c r="R1254" s="11">
        <f>IF(N1254="","",IF($G$16=1,50,(_xlfn.RANK.AVG(N1254,$N$19:$N$1518,1)-1)/($G$16-1)*100))</f>
        <v/>
      </c>
      <c r="S1254" s="11">
        <f>IF(COUNT(O1254:R1254)=4,ROUND(AVERAGE(O1254:R1254),6),"")</f>
        <v/>
      </c>
      <c r="U1254">
        <f>IF(AND(ISNUMBER('자료_한국심리'!$A1238),ISNUMBER('자료_한국심리'!$B1238)),'자료_한국심리'!$A1238,"")</f>
        <v/>
      </c>
      <c r="V1254">
        <f>IF(AND(ISNUMBER('자료_한국심리'!$D1238),ISNUMBER('자료_한국심리'!$E1238)),'자료_한국심리'!$D1238,"")</f>
        <v/>
      </c>
      <c r="W1254">
        <f>IF(AND(ISNUMBER('자료_한국심리'!$G1238),ISNUMBER('자료_한국심리'!$H1238)),'자료_한국심리'!$G1238,"")</f>
        <v/>
      </c>
      <c r="X1254">
        <f>IF(AND(ISNUMBER('자료_한국심리'!$J1238),ISNUMBER('자료_한국심리'!$K1238)),'자료_한국심리'!$J1238,"")</f>
        <v/>
      </c>
      <c r="Y1254">
        <f>IF(AND(ISNUMBER('자료_한국심리'!$M1238),ISNUMBER('자료_한국심리'!$N1238)),'자료_한국심리'!$M1238,"")</f>
        <v/>
      </c>
    </row>
    <row r="1255">
      <c r="A1255" s="10">
        <f>IF(1237&gt;$E$5,"",SMALL($U$19:$U$4018,$E$6+1237))</f>
        <v/>
      </c>
      <c r="B1255" s="29">
        <f>IF(A1255="","",INDEX('자료_한국심리'!$B$3:$B$4002,MATCH(A1255,$U$19:$U$4018,0)))</f>
        <v/>
      </c>
      <c r="C1255" s="22">
        <f>IF(A1255="","",B1255/AVERAGE(B1131:B1255)-1)</f>
        <v/>
      </c>
      <c r="D1255" s="29">
        <f>IF(A1255="","",IFERROR(INDEX('자료_한국심리'!$E$3:$E$4002,MATCH(A1255,$V$19:$V$4018,0)),D1254))</f>
        <v/>
      </c>
      <c r="E1255" s="30">
        <f>IF(A1255="","",IFERROR(INDEX('자료_한국심리'!$H$3:$H$4002,MATCH(A1255,$W$19:$W$4018,0)),E1254))</f>
        <v/>
      </c>
      <c r="F1255" s="30">
        <f>IF(A1255="","",IFERROR(INDEX('자료_한국심리'!$K$3:$K$4002,MATCH(A1255,$X$19:$X$4018,0)),F1254))</f>
        <v/>
      </c>
      <c r="G1255" s="30">
        <f>IF(AND(ISNUMBER(E1255),ISNUMBER(F1255)),ROUND(E1255-F1255,6),"")</f>
        <v/>
      </c>
      <c r="H1255" s="25">
        <f>IF(A1255="","",IFERROR(INDEX('자료_한국심리'!$N$3:$N$4002,MATCH(A1255,$Y$19:$Y$4018,0)),H1254))</f>
        <v/>
      </c>
      <c r="I1255" s="31">
        <f>IF(AND(ISNUMBER(H1255),ISNUMBER(H1235)),IF(H1235&gt;0,H1255/H1235-1,""),"")</f>
        <v/>
      </c>
      <c r="J1255">
        <f>IF(A1255="",0,IF(A1255&gt;$B$5,1,0))</f>
        <v/>
      </c>
      <c r="K1255" s="29">
        <f>IF(AND(J1255=1,ISNUMBER(D1255)),D1255,"")</f>
        <v/>
      </c>
      <c r="L1255" s="30">
        <f>IF(AND(J1255=1,ISNUMBER(G1255)),G1255,"")</f>
        <v/>
      </c>
      <c r="M1255" s="22">
        <f>IF(AND(J1255=1,ISNUMBER(C1255)),C1255,"")</f>
        <v/>
      </c>
      <c r="N1255" s="31">
        <f>IF(AND(J1255=1,ISNUMBER(I1255)),I1255,"")</f>
        <v/>
      </c>
      <c r="O1255" s="11">
        <f>IF(K1255="","",100-IF($G$13=1,50,(_xlfn.RANK.AVG(K1255,$K$19:$K$1518,1)-1)/($G$13-1)*100))</f>
        <v/>
      </c>
      <c r="P1255" s="11">
        <f>IF(L1255="","",100-IF($G$14=1,50,(_xlfn.RANK.AVG(L1255,$L$19:$L$1518,1)-1)/($G$14-1)*100))</f>
        <v/>
      </c>
      <c r="Q1255" s="11">
        <f>IF(M1255="","",IF($G$15=1,50,(_xlfn.RANK.AVG(M1255,$M$19:$M$1518,1)-1)/($G$15-1)*100))</f>
        <v/>
      </c>
      <c r="R1255" s="11">
        <f>IF(N1255="","",IF($G$16=1,50,(_xlfn.RANK.AVG(N1255,$N$19:$N$1518,1)-1)/($G$16-1)*100))</f>
        <v/>
      </c>
      <c r="S1255" s="11">
        <f>IF(COUNT(O1255:R1255)=4,ROUND(AVERAGE(O1255:R1255),6),"")</f>
        <v/>
      </c>
      <c r="U1255">
        <f>IF(AND(ISNUMBER('자료_한국심리'!$A1239),ISNUMBER('자료_한국심리'!$B1239)),'자료_한국심리'!$A1239,"")</f>
        <v/>
      </c>
      <c r="V1255">
        <f>IF(AND(ISNUMBER('자료_한국심리'!$D1239),ISNUMBER('자료_한국심리'!$E1239)),'자료_한국심리'!$D1239,"")</f>
        <v/>
      </c>
      <c r="W1255">
        <f>IF(AND(ISNUMBER('자료_한국심리'!$G1239),ISNUMBER('자료_한국심리'!$H1239)),'자료_한국심리'!$G1239,"")</f>
        <v/>
      </c>
      <c r="X1255">
        <f>IF(AND(ISNUMBER('자료_한국심리'!$J1239),ISNUMBER('자료_한국심리'!$K1239)),'자료_한국심리'!$J1239,"")</f>
        <v/>
      </c>
      <c r="Y1255">
        <f>IF(AND(ISNUMBER('자료_한국심리'!$M1239),ISNUMBER('자료_한국심리'!$N1239)),'자료_한국심리'!$M1239,"")</f>
        <v/>
      </c>
    </row>
    <row r="1256">
      <c r="A1256" s="10">
        <f>IF(1238&gt;$E$5,"",SMALL($U$19:$U$4018,$E$6+1238))</f>
        <v/>
      </c>
      <c r="B1256" s="29">
        <f>IF(A1256="","",INDEX('자료_한국심리'!$B$3:$B$4002,MATCH(A1256,$U$19:$U$4018,0)))</f>
        <v/>
      </c>
      <c r="C1256" s="22">
        <f>IF(A1256="","",B1256/AVERAGE(B1132:B1256)-1)</f>
        <v/>
      </c>
      <c r="D1256" s="29">
        <f>IF(A1256="","",IFERROR(INDEX('자료_한국심리'!$E$3:$E$4002,MATCH(A1256,$V$19:$V$4018,0)),D1255))</f>
        <v/>
      </c>
      <c r="E1256" s="30">
        <f>IF(A1256="","",IFERROR(INDEX('자료_한국심리'!$H$3:$H$4002,MATCH(A1256,$W$19:$W$4018,0)),E1255))</f>
        <v/>
      </c>
      <c r="F1256" s="30">
        <f>IF(A1256="","",IFERROR(INDEX('자료_한국심리'!$K$3:$K$4002,MATCH(A1256,$X$19:$X$4018,0)),F1255))</f>
        <v/>
      </c>
      <c r="G1256" s="30">
        <f>IF(AND(ISNUMBER(E1256),ISNUMBER(F1256)),ROUND(E1256-F1256,6),"")</f>
        <v/>
      </c>
      <c r="H1256" s="25">
        <f>IF(A1256="","",IFERROR(INDEX('자료_한국심리'!$N$3:$N$4002,MATCH(A1256,$Y$19:$Y$4018,0)),H1255))</f>
        <v/>
      </c>
      <c r="I1256" s="31">
        <f>IF(AND(ISNUMBER(H1256),ISNUMBER(H1236)),IF(H1236&gt;0,H1256/H1236-1,""),"")</f>
        <v/>
      </c>
      <c r="J1256">
        <f>IF(A1256="",0,IF(A1256&gt;$B$5,1,0))</f>
        <v/>
      </c>
      <c r="K1256" s="29">
        <f>IF(AND(J1256=1,ISNUMBER(D1256)),D1256,"")</f>
        <v/>
      </c>
      <c r="L1256" s="30">
        <f>IF(AND(J1256=1,ISNUMBER(G1256)),G1256,"")</f>
        <v/>
      </c>
      <c r="M1256" s="22">
        <f>IF(AND(J1256=1,ISNUMBER(C1256)),C1256,"")</f>
        <v/>
      </c>
      <c r="N1256" s="31">
        <f>IF(AND(J1256=1,ISNUMBER(I1256)),I1256,"")</f>
        <v/>
      </c>
      <c r="O1256" s="11">
        <f>IF(K1256="","",100-IF($G$13=1,50,(_xlfn.RANK.AVG(K1256,$K$19:$K$1518,1)-1)/($G$13-1)*100))</f>
        <v/>
      </c>
      <c r="P1256" s="11">
        <f>IF(L1256="","",100-IF($G$14=1,50,(_xlfn.RANK.AVG(L1256,$L$19:$L$1518,1)-1)/($G$14-1)*100))</f>
        <v/>
      </c>
      <c r="Q1256" s="11">
        <f>IF(M1256="","",IF($G$15=1,50,(_xlfn.RANK.AVG(M1256,$M$19:$M$1518,1)-1)/($G$15-1)*100))</f>
        <v/>
      </c>
      <c r="R1256" s="11">
        <f>IF(N1256="","",IF($G$16=1,50,(_xlfn.RANK.AVG(N1256,$N$19:$N$1518,1)-1)/($G$16-1)*100))</f>
        <v/>
      </c>
      <c r="S1256" s="11">
        <f>IF(COUNT(O1256:R1256)=4,ROUND(AVERAGE(O1256:R1256),6),"")</f>
        <v/>
      </c>
      <c r="U1256">
        <f>IF(AND(ISNUMBER('자료_한국심리'!$A1240),ISNUMBER('자료_한국심리'!$B1240)),'자료_한국심리'!$A1240,"")</f>
        <v/>
      </c>
      <c r="V1256">
        <f>IF(AND(ISNUMBER('자료_한국심리'!$D1240),ISNUMBER('자료_한국심리'!$E1240)),'자료_한국심리'!$D1240,"")</f>
        <v/>
      </c>
      <c r="W1256">
        <f>IF(AND(ISNUMBER('자료_한국심리'!$G1240),ISNUMBER('자료_한국심리'!$H1240)),'자료_한국심리'!$G1240,"")</f>
        <v/>
      </c>
      <c r="X1256">
        <f>IF(AND(ISNUMBER('자료_한국심리'!$J1240),ISNUMBER('자료_한국심리'!$K1240)),'자료_한국심리'!$J1240,"")</f>
        <v/>
      </c>
      <c r="Y1256">
        <f>IF(AND(ISNUMBER('자료_한국심리'!$M1240),ISNUMBER('자료_한국심리'!$N1240)),'자료_한국심리'!$M1240,"")</f>
        <v/>
      </c>
    </row>
    <row r="1257">
      <c r="A1257" s="10">
        <f>IF(1239&gt;$E$5,"",SMALL($U$19:$U$4018,$E$6+1239))</f>
        <v/>
      </c>
      <c r="B1257" s="29">
        <f>IF(A1257="","",INDEX('자료_한국심리'!$B$3:$B$4002,MATCH(A1257,$U$19:$U$4018,0)))</f>
        <v/>
      </c>
      <c r="C1257" s="22">
        <f>IF(A1257="","",B1257/AVERAGE(B1133:B1257)-1)</f>
        <v/>
      </c>
      <c r="D1257" s="29">
        <f>IF(A1257="","",IFERROR(INDEX('자료_한국심리'!$E$3:$E$4002,MATCH(A1257,$V$19:$V$4018,0)),D1256))</f>
        <v/>
      </c>
      <c r="E1257" s="30">
        <f>IF(A1257="","",IFERROR(INDEX('자료_한국심리'!$H$3:$H$4002,MATCH(A1257,$W$19:$W$4018,0)),E1256))</f>
        <v/>
      </c>
      <c r="F1257" s="30">
        <f>IF(A1257="","",IFERROR(INDEX('자료_한국심리'!$K$3:$K$4002,MATCH(A1257,$X$19:$X$4018,0)),F1256))</f>
        <v/>
      </c>
      <c r="G1257" s="30">
        <f>IF(AND(ISNUMBER(E1257),ISNUMBER(F1257)),ROUND(E1257-F1257,6),"")</f>
        <v/>
      </c>
      <c r="H1257" s="25">
        <f>IF(A1257="","",IFERROR(INDEX('자료_한국심리'!$N$3:$N$4002,MATCH(A1257,$Y$19:$Y$4018,0)),H1256))</f>
        <v/>
      </c>
      <c r="I1257" s="31">
        <f>IF(AND(ISNUMBER(H1257),ISNUMBER(H1237)),IF(H1237&gt;0,H1257/H1237-1,""),"")</f>
        <v/>
      </c>
      <c r="J1257">
        <f>IF(A1257="",0,IF(A1257&gt;$B$5,1,0))</f>
        <v/>
      </c>
      <c r="K1257" s="29">
        <f>IF(AND(J1257=1,ISNUMBER(D1257)),D1257,"")</f>
        <v/>
      </c>
      <c r="L1257" s="30">
        <f>IF(AND(J1257=1,ISNUMBER(G1257)),G1257,"")</f>
        <v/>
      </c>
      <c r="M1257" s="22">
        <f>IF(AND(J1257=1,ISNUMBER(C1257)),C1257,"")</f>
        <v/>
      </c>
      <c r="N1257" s="31">
        <f>IF(AND(J1257=1,ISNUMBER(I1257)),I1257,"")</f>
        <v/>
      </c>
      <c r="O1257" s="11">
        <f>IF(K1257="","",100-IF($G$13=1,50,(_xlfn.RANK.AVG(K1257,$K$19:$K$1518,1)-1)/($G$13-1)*100))</f>
        <v/>
      </c>
      <c r="P1257" s="11">
        <f>IF(L1257="","",100-IF($G$14=1,50,(_xlfn.RANK.AVG(L1257,$L$19:$L$1518,1)-1)/($G$14-1)*100))</f>
        <v/>
      </c>
      <c r="Q1257" s="11">
        <f>IF(M1257="","",IF($G$15=1,50,(_xlfn.RANK.AVG(M1257,$M$19:$M$1518,1)-1)/($G$15-1)*100))</f>
        <v/>
      </c>
      <c r="R1257" s="11">
        <f>IF(N1257="","",IF($G$16=1,50,(_xlfn.RANK.AVG(N1257,$N$19:$N$1518,1)-1)/($G$16-1)*100))</f>
        <v/>
      </c>
      <c r="S1257" s="11">
        <f>IF(COUNT(O1257:R1257)=4,ROUND(AVERAGE(O1257:R1257),6),"")</f>
        <v/>
      </c>
      <c r="U1257">
        <f>IF(AND(ISNUMBER('자료_한국심리'!$A1241),ISNUMBER('자료_한국심리'!$B1241)),'자료_한국심리'!$A1241,"")</f>
        <v/>
      </c>
      <c r="V1257">
        <f>IF(AND(ISNUMBER('자료_한국심리'!$D1241),ISNUMBER('자료_한국심리'!$E1241)),'자료_한국심리'!$D1241,"")</f>
        <v/>
      </c>
      <c r="W1257">
        <f>IF(AND(ISNUMBER('자료_한국심리'!$G1241),ISNUMBER('자료_한국심리'!$H1241)),'자료_한국심리'!$G1241,"")</f>
        <v/>
      </c>
      <c r="X1257">
        <f>IF(AND(ISNUMBER('자료_한국심리'!$J1241),ISNUMBER('자료_한국심리'!$K1241)),'자료_한국심리'!$J1241,"")</f>
        <v/>
      </c>
      <c r="Y1257">
        <f>IF(AND(ISNUMBER('자료_한국심리'!$M1241),ISNUMBER('자료_한국심리'!$N1241)),'자료_한국심리'!$M1241,"")</f>
        <v/>
      </c>
    </row>
    <row r="1258">
      <c r="A1258" s="10">
        <f>IF(1240&gt;$E$5,"",SMALL($U$19:$U$4018,$E$6+1240))</f>
        <v/>
      </c>
      <c r="B1258" s="29">
        <f>IF(A1258="","",INDEX('자료_한국심리'!$B$3:$B$4002,MATCH(A1258,$U$19:$U$4018,0)))</f>
        <v/>
      </c>
      <c r="C1258" s="22">
        <f>IF(A1258="","",B1258/AVERAGE(B1134:B1258)-1)</f>
        <v/>
      </c>
      <c r="D1258" s="29">
        <f>IF(A1258="","",IFERROR(INDEX('자료_한국심리'!$E$3:$E$4002,MATCH(A1258,$V$19:$V$4018,0)),D1257))</f>
        <v/>
      </c>
      <c r="E1258" s="30">
        <f>IF(A1258="","",IFERROR(INDEX('자료_한국심리'!$H$3:$H$4002,MATCH(A1258,$W$19:$W$4018,0)),E1257))</f>
        <v/>
      </c>
      <c r="F1258" s="30">
        <f>IF(A1258="","",IFERROR(INDEX('자료_한국심리'!$K$3:$K$4002,MATCH(A1258,$X$19:$X$4018,0)),F1257))</f>
        <v/>
      </c>
      <c r="G1258" s="30">
        <f>IF(AND(ISNUMBER(E1258),ISNUMBER(F1258)),ROUND(E1258-F1258,6),"")</f>
        <v/>
      </c>
      <c r="H1258" s="25">
        <f>IF(A1258="","",IFERROR(INDEX('자료_한국심리'!$N$3:$N$4002,MATCH(A1258,$Y$19:$Y$4018,0)),H1257))</f>
        <v/>
      </c>
      <c r="I1258" s="31">
        <f>IF(AND(ISNUMBER(H1258),ISNUMBER(H1238)),IF(H1238&gt;0,H1258/H1238-1,""),"")</f>
        <v/>
      </c>
      <c r="J1258">
        <f>IF(A1258="",0,IF(A1258&gt;$B$5,1,0))</f>
        <v/>
      </c>
      <c r="K1258" s="29">
        <f>IF(AND(J1258=1,ISNUMBER(D1258)),D1258,"")</f>
        <v/>
      </c>
      <c r="L1258" s="30">
        <f>IF(AND(J1258=1,ISNUMBER(G1258)),G1258,"")</f>
        <v/>
      </c>
      <c r="M1258" s="22">
        <f>IF(AND(J1258=1,ISNUMBER(C1258)),C1258,"")</f>
        <v/>
      </c>
      <c r="N1258" s="31">
        <f>IF(AND(J1258=1,ISNUMBER(I1258)),I1258,"")</f>
        <v/>
      </c>
      <c r="O1258" s="11">
        <f>IF(K1258="","",100-IF($G$13=1,50,(_xlfn.RANK.AVG(K1258,$K$19:$K$1518,1)-1)/($G$13-1)*100))</f>
        <v/>
      </c>
      <c r="P1258" s="11">
        <f>IF(L1258="","",100-IF($G$14=1,50,(_xlfn.RANK.AVG(L1258,$L$19:$L$1518,1)-1)/($G$14-1)*100))</f>
        <v/>
      </c>
      <c r="Q1258" s="11">
        <f>IF(M1258="","",IF($G$15=1,50,(_xlfn.RANK.AVG(M1258,$M$19:$M$1518,1)-1)/($G$15-1)*100))</f>
        <v/>
      </c>
      <c r="R1258" s="11">
        <f>IF(N1258="","",IF($G$16=1,50,(_xlfn.RANK.AVG(N1258,$N$19:$N$1518,1)-1)/($G$16-1)*100))</f>
        <v/>
      </c>
      <c r="S1258" s="11">
        <f>IF(COUNT(O1258:R1258)=4,ROUND(AVERAGE(O1258:R1258),6),"")</f>
        <v/>
      </c>
      <c r="U1258">
        <f>IF(AND(ISNUMBER('자료_한국심리'!$A1242),ISNUMBER('자료_한국심리'!$B1242)),'자료_한국심리'!$A1242,"")</f>
        <v/>
      </c>
      <c r="V1258">
        <f>IF(AND(ISNUMBER('자료_한국심리'!$D1242),ISNUMBER('자료_한국심리'!$E1242)),'자료_한국심리'!$D1242,"")</f>
        <v/>
      </c>
      <c r="W1258">
        <f>IF(AND(ISNUMBER('자료_한국심리'!$G1242),ISNUMBER('자료_한국심리'!$H1242)),'자료_한국심리'!$G1242,"")</f>
        <v/>
      </c>
      <c r="X1258">
        <f>IF(AND(ISNUMBER('자료_한국심리'!$J1242),ISNUMBER('자료_한국심리'!$K1242)),'자료_한국심리'!$J1242,"")</f>
        <v/>
      </c>
      <c r="Y1258">
        <f>IF(AND(ISNUMBER('자료_한국심리'!$M1242),ISNUMBER('자료_한국심리'!$N1242)),'자료_한국심리'!$M1242,"")</f>
        <v/>
      </c>
    </row>
    <row r="1259">
      <c r="A1259" s="10">
        <f>IF(1241&gt;$E$5,"",SMALL($U$19:$U$4018,$E$6+1241))</f>
        <v/>
      </c>
      <c r="B1259" s="29">
        <f>IF(A1259="","",INDEX('자료_한국심리'!$B$3:$B$4002,MATCH(A1259,$U$19:$U$4018,0)))</f>
        <v/>
      </c>
      <c r="C1259" s="22">
        <f>IF(A1259="","",B1259/AVERAGE(B1135:B1259)-1)</f>
        <v/>
      </c>
      <c r="D1259" s="29">
        <f>IF(A1259="","",IFERROR(INDEX('자료_한국심리'!$E$3:$E$4002,MATCH(A1259,$V$19:$V$4018,0)),D1258))</f>
        <v/>
      </c>
      <c r="E1259" s="30">
        <f>IF(A1259="","",IFERROR(INDEX('자료_한국심리'!$H$3:$H$4002,MATCH(A1259,$W$19:$W$4018,0)),E1258))</f>
        <v/>
      </c>
      <c r="F1259" s="30">
        <f>IF(A1259="","",IFERROR(INDEX('자료_한국심리'!$K$3:$K$4002,MATCH(A1259,$X$19:$X$4018,0)),F1258))</f>
        <v/>
      </c>
      <c r="G1259" s="30">
        <f>IF(AND(ISNUMBER(E1259),ISNUMBER(F1259)),ROUND(E1259-F1259,6),"")</f>
        <v/>
      </c>
      <c r="H1259" s="25">
        <f>IF(A1259="","",IFERROR(INDEX('자료_한국심리'!$N$3:$N$4002,MATCH(A1259,$Y$19:$Y$4018,0)),H1258))</f>
        <v/>
      </c>
      <c r="I1259" s="31">
        <f>IF(AND(ISNUMBER(H1259),ISNUMBER(H1239)),IF(H1239&gt;0,H1259/H1239-1,""),"")</f>
        <v/>
      </c>
      <c r="J1259">
        <f>IF(A1259="",0,IF(A1259&gt;$B$5,1,0))</f>
        <v/>
      </c>
      <c r="K1259" s="29">
        <f>IF(AND(J1259=1,ISNUMBER(D1259)),D1259,"")</f>
        <v/>
      </c>
      <c r="L1259" s="30">
        <f>IF(AND(J1259=1,ISNUMBER(G1259)),G1259,"")</f>
        <v/>
      </c>
      <c r="M1259" s="22">
        <f>IF(AND(J1259=1,ISNUMBER(C1259)),C1259,"")</f>
        <v/>
      </c>
      <c r="N1259" s="31">
        <f>IF(AND(J1259=1,ISNUMBER(I1259)),I1259,"")</f>
        <v/>
      </c>
      <c r="O1259" s="11">
        <f>IF(K1259="","",100-IF($G$13=1,50,(_xlfn.RANK.AVG(K1259,$K$19:$K$1518,1)-1)/($G$13-1)*100))</f>
        <v/>
      </c>
      <c r="P1259" s="11">
        <f>IF(L1259="","",100-IF($G$14=1,50,(_xlfn.RANK.AVG(L1259,$L$19:$L$1518,1)-1)/($G$14-1)*100))</f>
        <v/>
      </c>
      <c r="Q1259" s="11">
        <f>IF(M1259="","",IF($G$15=1,50,(_xlfn.RANK.AVG(M1259,$M$19:$M$1518,1)-1)/($G$15-1)*100))</f>
        <v/>
      </c>
      <c r="R1259" s="11">
        <f>IF(N1259="","",IF($G$16=1,50,(_xlfn.RANK.AVG(N1259,$N$19:$N$1518,1)-1)/($G$16-1)*100))</f>
        <v/>
      </c>
      <c r="S1259" s="11">
        <f>IF(COUNT(O1259:R1259)=4,ROUND(AVERAGE(O1259:R1259),6),"")</f>
        <v/>
      </c>
      <c r="U1259">
        <f>IF(AND(ISNUMBER('자료_한국심리'!$A1243),ISNUMBER('자료_한국심리'!$B1243)),'자료_한국심리'!$A1243,"")</f>
        <v/>
      </c>
      <c r="V1259">
        <f>IF(AND(ISNUMBER('자료_한국심리'!$D1243),ISNUMBER('자료_한국심리'!$E1243)),'자료_한국심리'!$D1243,"")</f>
        <v/>
      </c>
      <c r="W1259">
        <f>IF(AND(ISNUMBER('자료_한국심리'!$G1243),ISNUMBER('자료_한국심리'!$H1243)),'자료_한국심리'!$G1243,"")</f>
        <v/>
      </c>
      <c r="X1259">
        <f>IF(AND(ISNUMBER('자료_한국심리'!$J1243),ISNUMBER('자료_한국심리'!$K1243)),'자료_한국심리'!$J1243,"")</f>
        <v/>
      </c>
      <c r="Y1259">
        <f>IF(AND(ISNUMBER('자료_한국심리'!$M1243),ISNUMBER('자료_한국심리'!$N1243)),'자료_한국심리'!$M1243,"")</f>
        <v/>
      </c>
    </row>
    <row r="1260">
      <c r="A1260" s="10">
        <f>IF(1242&gt;$E$5,"",SMALL($U$19:$U$4018,$E$6+1242))</f>
        <v/>
      </c>
      <c r="B1260" s="29">
        <f>IF(A1260="","",INDEX('자료_한국심리'!$B$3:$B$4002,MATCH(A1260,$U$19:$U$4018,0)))</f>
        <v/>
      </c>
      <c r="C1260" s="22">
        <f>IF(A1260="","",B1260/AVERAGE(B1136:B1260)-1)</f>
        <v/>
      </c>
      <c r="D1260" s="29">
        <f>IF(A1260="","",IFERROR(INDEX('자료_한국심리'!$E$3:$E$4002,MATCH(A1260,$V$19:$V$4018,0)),D1259))</f>
        <v/>
      </c>
      <c r="E1260" s="30">
        <f>IF(A1260="","",IFERROR(INDEX('자료_한국심리'!$H$3:$H$4002,MATCH(A1260,$W$19:$W$4018,0)),E1259))</f>
        <v/>
      </c>
      <c r="F1260" s="30">
        <f>IF(A1260="","",IFERROR(INDEX('자료_한국심리'!$K$3:$K$4002,MATCH(A1260,$X$19:$X$4018,0)),F1259))</f>
        <v/>
      </c>
      <c r="G1260" s="30">
        <f>IF(AND(ISNUMBER(E1260),ISNUMBER(F1260)),ROUND(E1260-F1260,6),"")</f>
        <v/>
      </c>
      <c r="H1260" s="25">
        <f>IF(A1260="","",IFERROR(INDEX('자료_한국심리'!$N$3:$N$4002,MATCH(A1260,$Y$19:$Y$4018,0)),H1259))</f>
        <v/>
      </c>
      <c r="I1260" s="31">
        <f>IF(AND(ISNUMBER(H1260),ISNUMBER(H1240)),IF(H1240&gt;0,H1260/H1240-1,""),"")</f>
        <v/>
      </c>
      <c r="J1260">
        <f>IF(A1260="",0,IF(A1260&gt;$B$5,1,0))</f>
        <v/>
      </c>
      <c r="K1260" s="29">
        <f>IF(AND(J1260=1,ISNUMBER(D1260)),D1260,"")</f>
        <v/>
      </c>
      <c r="L1260" s="30">
        <f>IF(AND(J1260=1,ISNUMBER(G1260)),G1260,"")</f>
        <v/>
      </c>
      <c r="M1260" s="22">
        <f>IF(AND(J1260=1,ISNUMBER(C1260)),C1260,"")</f>
        <v/>
      </c>
      <c r="N1260" s="31">
        <f>IF(AND(J1260=1,ISNUMBER(I1260)),I1260,"")</f>
        <v/>
      </c>
      <c r="O1260" s="11">
        <f>IF(K1260="","",100-IF($G$13=1,50,(_xlfn.RANK.AVG(K1260,$K$19:$K$1518,1)-1)/($G$13-1)*100))</f>
        <v/>
      </c>
      <c r="P1260" s="11">
        <f>IF(L1260="","",100-IF($G$14=1,50,(_xlfn.RANK.AVG(L1260,$L$19:$L$1518,1)-1)/($G$14-1)*100))</f>
        <v/>
      </c>
      <c r="Q1260" s="11">
        <f>IF(M1260="","",IF($G$15=1,50,(_xlfn.RANK.AVG(M1260,$M$19:$M$1518,1)-1)/($G$15-1)*100))</f>
        <v/>
      </c>
      <c r="R1260" s="11">
        <f>IF(N1260="","",IF($G$16=1,50,(_xlfn.RANK.AVG(N1260,$N$19:$N$1518,1)-1)/($G$16-1)*100))</f>
        <v/>
      </c>
      <c r="S1260" s="11">
        <f>IF(COUNT(O1260:R1260)=4,ROUND(AVERAGE(O1260:R1260),6),"")</f>
        <v/>
      </c>
      <c r="U1260">
        <f>IF(AND(ISNUMBER('자료_한국심리'!$A1244),ISNUMBER('자료_한국심리'!$B1244)),'자료_한국심리'!$A1244,"")</f>
        <v/>
      </c>
      <c r="V1260">
        <f>IF(AND(ISNUMBER('자료_한국심리'!$D1244),ISNUMBER('자료_한국심리'!$E1244)),'자료_한국심리'!$D1244,"")</f>
        <v/>
      </c>
      <c r="W1260">
        <f>IF(AND(ISNUMBER('자료_한국심리'!$G1244),ISNUMBER('자료_한국심리'!$H1244)),'자료_한국심리'!$G1244,"")</f>
        <v/>
      </c>
      <c r="X1260">
        <f>IF(AND(ISNUMBER('자료_한국심리'!$J1244),ISNUMBER('자료_한국심리'!$K1244)),'자료_한국심리'!$J1244,"")</f>
        <v/>
      </c>
      <c r="Y1260">
        <f>IF(AND(ISNUMBER('자료_한국심리'!$M1244),ISNUMBER('자료_한국심리'!$N1244)),'자료_한국심리'!$M1244,"")</f>
        <v/>
      </c>
    </row>
    <row r="1261">
      <c r="A1261" s="10">
        <f>IF(1243&gt;$E$5,"",SMALL($U$19:$U$4018,$E$6+1243))</f>
        <v/>
      </c>
      <c r="B1261" s="29">
        <f>IF(A1261="","",INDEX('자료_한국심리'!$B$3:$B$4002,MATCH(A1261,$U$19:$U$4018,0)))</f>
        <v/>
      </c>
      <c r="C1261" s="22">
        <f>IF(A1261="","",B1261/AVERAGE(B1137:B1261)-1)</f>
        <v/>
      </c>
      <c r="D1261" s="29">
        <f>IF(A1261="","",IFERROR(INDEX('자료_한국심리'!$E$3:$E$4002,MATCH(A1261,$V$19:$V$4018,0)),D1260))</f>
        <v/>
      </c>
      <c r="E1261" s="30">
        <f>IF(A1261="","",IFERROR(INDEX('자료_한국심리'!$H$3:$H$4002,MATCH(A1261,$W$19:$W$4018,0)),E1260))</f>
        <v/>
      </c>
      <c r="F1261" s="30">
        <f>IF(A1261="","",IFERROR(INDEX('자료_한국심리'!$K$3:$K$4002,MATCH(A1261,$X$19:$X$4018,0)),F1260))</f>
        <v/>
      </c>
      <c r="G1261" s="30">
        <f>IF(AND(ISNUMBER(E1261),ISNUMBER(F1261)),ROUND(E1261-F1261,6),"")</f>
        <v/>
      </c>
      <c r="H1261" s="25">
        <f>IF(A1261="","",IFERROR(INDEX('자료_한국심리'!$N$3:$N$4002,MATCH(A1261,$Y$19:$Y$4018,0)),H1260))</f>
        <v/>
      </c>
      <c r="I1261" s="31">
        <f>IF(AND(ISNUMBER(H1261),ISNUMBER(H1241)),IF(H1241&gt;0,H1261/H1241-1,""),"")</f>
        <v/>
      </c>
      <c r="J1261">
        <f>IF(A1261="",0,IF(A1261&gt;$B$5,1,0))</f>
        <v/>
      </c>
      <c r="K1261" s="29">
        <f>IF(AND(J1261=1,ISNUMBER(D1261)),D1261,"")</f>
        <v/>
      </c>
      <c r="L1261" s="30">
        <f>IF(AND(J1261=1,ISNUMBER(G1261)),G1261,"")</f>
        <v/>
      </c>
      <c r="M1261" s="22">
        <f>IF(AND(J1261=1,ISNUMBER(C1261)),C1261,"")</f>
        <v/>
      </c>
      <c r="N1261" s="31">
        <f>IF(AND(J1261=1,ISNUMBER(I1261)),I1261,"")</f>
        <v/>
      </c>
      <c r="O1261" s="11">
        <f>IF(K1261="","",100-IF($G$13=1,50,(_xlfn.RANK.AVG(K1261,$K$19:$K$1518,1)-1)/($G$13-1)*100))</f>
        <v/>
      </c>
      <c r="P1261" s="11">
        <f>IF(L1261="","",100-IF($G$14=1,50,(_xlfn.RANK.AVG(L1261,$L$19:$L$1518,1)-1)/($G$14-1)*100))</f>
        <v/>
      </c>
      <c r="Q1261" s="11">
        <f>IF(M1261="","",IF($G$15=1,50,(_xlfn.RANK.AVG(M1261,$M$19:$M$1518,1)-1)/($G$15-1)*100))</f>
        <v/>
      </c>
      <c r="R1261" s="11">
        <f>IF(N1261="","",IF($G$16=1,50,(_xlfn.RANK.AVG(N1261,$N$19:$N$1518,1)-1)/($G$16-1)*100))</f>
        <v/>
      </c>
      <c r="S1261" s="11">
        <f>IF(COUNT(O1261:R1261)=4,ROUND(AVERAGE(O1261:R1261),6),"")</f>
        <v/>
      </c>
      <c r="U1261">
        <f>IF(AND(ISNUMBER('자료_한국심리'!$A1245),ISNUMBER('자료_한국심리'!$B1245)),'자료_한국심리'!$A1245,"")</f>
        <v/>
      </c>
      <c r="V1261">
        <f>IF(AND(ISNUMBER('자료_한국심리'!$D1245),ISNUMBER('자료_한국심리'!$E1245)),'자료_한국심리'!$D1245,"")</f>
        <v/>
      </c>
      <c r="W1261">
        <f>IF(AND(ISNUMBER('자료_한국심리'!$G1245),ISNUMBER('자료_한국심리'!$H1245)),'자료_한국심리'!$G1245,"")</f>
        <v/>
      </c>
      <c r="X1261">
        <f>IF(AND(ISNUMBER('자료_한국심리'!$J1245),ISNUMBER('자료_한국심리'!$K1245)),'자료_한국심리'!$J1245,"")</f>
        <v/>
      </c>
      <c r="Y1261">
        <f>IF(AND(ISNUMBER('자료_한국심리'!$M1245),ISNUMBER('자료_한국심리'!$N1245)),'자료_한국심리'!$M1245,"")</f>
        <v/>
      </c>
    </row>
    <row r="1262">
      <c r="A1262" s="10">
        <f>IF(1244&gt;$E$5,"",SMALL($U$19:$U$4018,$E$6+1244))</f>
        <v/>
      </c>
      <c r="B1262" s="29">
        <f>IF(A1262="","",INDEX('자료_한국심리'!$B$3:$B$4002,MATCH(A1262,$U$19:$U$4018,0)))</f>
        <v/>
      </c>
      <c r="C1262" s="22">
        <f>IF(A1262="","",B1262/AVERAGE(B1138:B1262)-1)</f>
        <v/>
      </c>
      <c r="D1262" s="29">
        <f>IF(A1262="","",IFERROR(INDEX('자료_한국심리'!$E$3:$E$4002,MATCH(A1262,$V$19:$V$4018,0)),D1261))</f>
        <v/>
      </c>
      <c r="E1262" s="30">
        <f>IF(A1262="","",IFERROR(INDEX('자료_한국심리'!$H$3:$H$4002,MATCH(A1262,$W$19:$W$4018,0)),E1261))</f>
        <v/>
      </c>
      <c r="F1262" s="30">
        <f>IF(A1262="","",IFERROR(INDEX('자료_한국심리'!$K$3:$K$4002,MATCH(A1262,$X$19:$X$4018,0)),F1261))</f>
        <v/>
      </c>
      <c r="G1262" s="30">
        <f>IF(AND(ISNUMBER(E1262),ISNUMBER(F1262)),ROUND(E1262-F1262,6),"")</f>
        <v/>
      </c>
      <c r="H1262" s="25">
        <f>IF(A1262="","",IFERROR(INDEX('자료_한국심리'!$N$3:$N$4002,MATCH(A1262,$Y$19:$Y$4018,0)),H1261))</f>
        <v/>
      </c>
      <c r="I1262" s="31">
        <f>IF(AND(ISNUMBER(H1262),ISNUMBER(H1242)),IF(H1242&gt;0,H1262/H1242-1,""),"")</f>
        <v/>
      </c>
      <c r="J1262">
        <f>IF(A1262="",0,IF(A1262&gt;$B$5,1,0))</f>
        <v/>
      </c>
      <c r="K1262" s="29">
        <f>IF(AND(J1262=1,ISNUMBER(D1262)),D1262,"")</f>
        <v/>
      </c>
      <c r="L1262" s="30">
        <f>IF(AND(J1262=1,ISNUMBER(G1262)),G1262,"")</f>
        <v/>
      </c>
      <c r="M1262" s="22">
        <f>IF(AND(J1262=1,ISNUMBER(C1262)),C1262,"")</f>
        <v/>
      </c>
      <c r="N1262" s="31">
        <f>IF(AND(J1262=1,ISNUMBER(I1262)),I1262,"")</f>
        <v/>
      </c>
      <c r="O1262" s="11">
        <f>IF(K1262="","",100-IF($G$13=1,50,(_xlfn.RANK.AVG(K1262,$K$19:$K$1518,1)-1)/($G$13-1)*100))</f>
        <v/>
      </c>
      <c r="P1262" s="11">
        <f>IF(L1262="","",100-IF($G$14=1,50,(_xlfn.RANK.AVG(L1262,$L$19:$L$1518,1)-1)/($G$14-1)*100))</f>
        <v/>
      </c>
      <c r="Q1262" s="11">
        <f>IF(M1262="","",IF($G$15=1,50,(_xlfn.RANK.AVG(M1262,$M$19:$M$1518,1)-1)/($G$15-1)*100))</f>
        <v/>
      </c>
      <c r="R1262" s="11">
        <f>IF(N1262="","",IF($G$16=1,50,(_xlfn.RANK.AVG(N1262,$N$19:$N$1518,1)-1)/($G$16-1)*100))</f>
        <v/>
      </c>
      <c r="S1262" s="11">
        <f>IF(COUNT(O1262:R1262)=4,ROUND(AVERAGE(O1262:R1262),6),"")</f>
        <v/>
      </c>
      <c r="U1262">
        <f>IF(AND(ISNUMBER('자료_한국심리'!$A1246),ISNUMBER('자료_한국심리'!$B1246)),'자료_한국심리'!$A1246,"")</f>
        <v/>
      </c>
      <c r="V1262">
        <f>IF(AND(ISNUMBER('자료_한국심리'!$D1246),ISNUMBER('자료_한국심리'!$E1246)),'자료_한국심리'!$D1246,"")</f>
        <v/>
      </c>
      <c r="W1262">
        <f>IF(AND(ISNUMBER('자료_한국심리'!$G1246),ISNUMBER('자료_한국심리'!$H1246)),'자료_한국심리'!$G1246,"")</f>
        <v/>
      </c>
      <c r="X1262">
        <f>IF(AND(ISNUMBER('자료_한국심리'!$J1246),ISNUMBER('자료_한국심리'!$K1246)),'자료_한국심리'!$J1246,"")</f>
        <v/>
      </c>
      <c r="Y1262">
        <f>IF(AND(ISNUMBER('자료_한국심리'!$M1246),ISNUMBER('자료_한국심리'!$N1246)),'자료_한국심리'!$M1246,"")</f>
        <v/>
      </c>
    </row>
    <row r="1263">
      <c r="A1263" s="10">
        <f>IF(1245&gt;$E$5,"",SMALL($U$19:$U$4018,$E$6+1245))</f>
        <v/>
      </c>
      <c r="B1263" s="29">
        <f>IF(A1263="","",INDEX('자료_한국심리'!$B$3:$B$4002,MATCH(A1263,$U$19:$U$4018,0)))</f>
        <v/>
      </c>
      <c r="C1263" s="22">
        <f>IF(A1263="","",B1263/AVERAGE(B1139:B1263)-1)</f>
        <v/>
      </c>
      <c r="D1263" s="29">
        <f>IF(A1263="","",IFERROR(INDEX('자료_한국심리'!$E$3:$E$4002,MATCH(A1263,$V$19:$V$4018,0)),D1262))</f>
        <v/>
      </c>
      <c r="E1263" s="30">
        <f>IF(A1263="","",IFERROR(INDEX('자료_한국심리'!$H$3:$H$4002,MATCH(A1263,$W$19:$W$4018,0)),E1262))</f>
        <v/>
      </c>
      <c r="F1263" s="30">
        <f>IF(A1263="","",IFERROR(INDEX('자료_한국심리'!$K$3:$K$4002,MATCH(A1263,$X$19:$X$4018,0)),F1262))</f>
        <v/>
      </c>
      <c r="G1263" s="30">
        <f>IF(AND(ISNUMBER(E1263),ISNUMBER(F1263)),ROUND(E1263-F1263,6),"")</f>
        <v/>
      </c>
      <c r="H1263" s="25">
        <f>IF(A1263="","",IFERROR(INDEX('자료_한국심리'!$N$3:$N$4002,MATCH(A1263,$Y$19:$Y$4018,0)),H1262))</f>
        <v/>
      </c>
      <c r="I1263" s="31">
        <f>IF(AND(ISNUMBER(H1263),ISNUMBER(H1243)),IF(H1243&gt;0,H1263/H1243-1,""),"")</f>
        <v/>
      </c>
      <c r="J1263">
        <f>IF(A1263="",0,IF(A1263&gt;$B$5,1,0))</f>
        <v/>
      </c>
      <c r="K1263" s="29">
        <f>IF(AND(J1263=1,ISNUMBER(D1263)),D1263,"")</f>
        <v/>
      </c>
      <c r="L1263" s="30">
        <f>IF(AND(J1263=1,ISNUMBER(G1263)),G1263,"")</f>
        <v/>
      </c>
      <c r="M1263" s="22">
        <f>IF(AND(J1263=1,ISNUMBER(C1263)),C1263,"")</f>
        <v/>
      </c>
      <c r="N1263" s="31">
        <f>IF(AND(J1263=1,ISNUMBER(I1263)),I1263,"")</f>
        <v/>
      </c>
      <c r="O1263" s="11">
        <f>IF(K1263="","",100-IF($G$13=1,50,(_xlfn.RANK.AVG(K1263,$K$19:$K$1518,1)-1)/($G$13-1)*100))</f>
        <v/>
      </c>
      <c r="P1263" s="11">
        <f>IF(L1263="","",100-IF($G$14=1,50,(_xlfn.RANK.AVG(L1263,$L$19:$L$1518,1)-1)/($G$14-1)*100))</f>
        <v/>
      </c>
      <c r="Q1263" s="11">
        <f>IF(M1263="","",IF($G$15=1,50,(_xlfn.RANK.AVG(M1263,$M$19:$M$1518,1)-1)/($G$15-1)*100))</f>
        <v/>
      </c>
      <c r="R1263" s="11">
        <f>IF(N1263="","",IF($G$16=1,50,(_xlfn.RANK.AVG(N1263,$N$19:$N$1518,1)-1)/($G$16-1)*100))</f>
        <v/>
      </c>
      <c r="S1263" s="11">
        <f>IF(COUNT(O1263:R1263)=4,ROUND(AVERAGE(O1263:R1263),6),"")</f>
        <v/>
      </c>
      <c r="U1263">
        <f>IF(AND(ISNUMBER('자료_한국심리'!$A1247),ISNUMBER('자료_한국심리'!$B1247)),'자료_한국심리'!$A1247,"")</f>
        <v/>
      </c>
      <c r="V1263">
        <f>IF(AND(ISNUMBER('자료_한국심리'!$D1247),ISNUMBER('자료_한국심리'!$E1247)),'자료_한국심리'!$D1247,"")</f>
        <v/>
      </c>
      <c r="W1263">
        <f>IF(AND(ISNUMBER('자료_한국심리'!$G1247),ISNUMBER('자료_한국심리'!$H1247)),'자료_한국심리'!$G1247,"")</f>
        <v/>
      </c>
      <c r="X1263">
        <f>IF(AND(ISNUMBER('자료_한국심리'!$J1247),ISNUMBER('자료_한국심리'!$K1247)),'자료_한국심리'!$J1247,"")</f>
        <v/>
      </c>
      <c r="Y1263">
        <f>IF(AND(ISNUMBER('자료_한국심리'!$M1247),ISNUMBER('자료_한국심리'!$N1247)),'자료_한국심리'!$M1247,"")</f>
        <v/>
      </c>
    </row>
    <row r="1264">
      <c r="A1264" s="10">
        <f>IF(1246&gt;$E$5,"",SMALL($U$19:$U$4018,$E$6+1246))</f>
        <v/>
      </c>
      <c r="B1264" s="29">
        <f>IF(A1264="","",INDEX('자료_한국심리'!$B$3:$B$4002,MATCH(A1264,$U$19:$U$4018,0)))</f>
        <v/>
      </c>
      <c r="C1264" s="22">
        <f>IF(A1264="","",B1264/AVERAGE(B1140:B1264)-1)</f>
        <v/>
      </c>
      <c r="D1264" s="29">
        <f>IF(A1264="","",IFERROR(INDEX('자료_한국심리'!$E$3:$E$4002,MATCH(A1264,$V$19:$V$4018,0)),D1263))</f>
        <v/>
      </c>
      <c r="E1264" s="30">
        <f>IF(A1264="","",IFERROR(INDEX('자료_한국심리'!$H$3:$H$4002,MATCH(A1264,$W$19:$W$4018,0)),E1263))</f>
        <v/>
      </c>
      <c r="F1264" s="30">
        <f>IF(A1264="","",IFERROR(INDEX('자료_한국심리'!$K$3:$K$4002,MATCH(A1264,$X$19:$X$4018,0)),F1263))</f>
        <v/>
      </c>
      <c r="G1264" s="30">
        <f>IF(AND(ISNUMBER(E1264),ISNUMBER(F1264)),ROUND(E1264-F1264,6),"")</f>
        <v/>
      </c>
      <c r="H1264" s="25">
        <f>IF(A1264="","",IFERROR(INDEX('자료_한국심리'!$N$3:$N$4002,MATCH(A1264,$Y$19:$Y$4018,0)),H1263))</f>
        <v/>
      </c>
      <c r="I1264" s="31">
        <f>IF(AND(ISNUMBER(H1264),ISNUMBER(H1244)),IF(H1244&gt;0,H1264/H1244-1,""),"")</f>
        <v/>
      </c>
      <c r="J1264">
        <f>IF(A1264="",0,IF(A1264&gt;$B$5,1,0))</f>
        <v/>
      </c>
      <c r="K1264" s="29">
        <f>IF(AND(J1264=1,ISNUMBER(D1264)),D1264,"")</f>
        <v/>
      </c>
      <c r="L1264" s="30">
        <f>IF(AND(J1264=1,ISNUMBER(G1264)),G1264,"")</f>
        <v/>
      </c>
      <c r="M1264" s="22">
        <f>IF(AND(J1264=1,ISNUMBER(C1264)),C1264,"")</f>
        <v/>
      </c>
      <c r="N1264" s="31">
        <f>IF(AND(J1264=1,ISNUMBER(I1264)),I1264,"")</f>
        <v/>
      </c>
      <c r="O1264" s="11">
        <f>IF(K1264="","",100-IF($G$13=1,50,(_xlfn.RANK.AVG(K1264,$K$19:$K$1518,1)-1)/($G$13-1)*100))</f>
        <v/>
      </c>
      <c r="P1264" s="11">
        <f>IF(L1264="","",100-IF($G$14=1,50,(_xlfn.RANK.AVG(L1264,$L$19:$L$1518,1)-1)/($G$14-1)*100))</f>
        <v/>
      </c>
      <c r="Q1264" s="11">
        <f>IF(M1264="","",IF($G$15=1,50,(_xlfn.RANK.AVG(M1264,$M$19:$M$1518,1)-1)/($G$15-1)*100))</f>
        <v/>
      </c>
      <c r="R1264" s="11">
        <f>IF(N1264="","",IF($G$16=1,50,(_xlfn.RANK.AVG(N1264,$N$19:$N$1518,1)-1)/($G$16-1)*100))</f>
        <v/>
      </c>
      <c r="S1264" s="11">
        <f>IF(COUNT(O1264:R1264)=4,ROUND(AVERAGE(O1264:R1264),6),"")</f>
        <v/>
      </c>
      <c r="U1264">
        <f>IF(AND(ISNUMBER('자료_한국심리'!$A1248),ISNUMBER('자료_한국심리'!$B1248)),'자료_한국심리'!$A1248,"")</f>
        <v/>
      </c>
      <c r="V1264">
        <f>IF(AND(ISNUMBER('자료_한국심리'!$D1248),ISNUMBER('자료_한국심리'!$E1248)),'자료_한국심리'!$D1248,"")</f>
        <v/>
      </c>
      <c r="W1264">
        <f>IF(AND(ISNUMBER('자료_한국심리'!$G1248),ISNUMBER('자료_한국심리'!$H1248)),'자료_한국심리'!$G1248,"")</f>
        <v/>
      </c>
      <c r="X1264">
        <f>IF(AND(ISNUMBER('자료_한국심리'!$J1248),ISNUMBER('자료_한국심리'!$K1248)),'자료_한국심리'!$J1248,"")</f>
        <v/>
      </c>
      <c r="Y1264">
        <f>IF(AND(ISNUMBER('자료_한국심리'!$M1248),ISNUMBER('자료_한국심리'!$N1248)),'자료_한국심리'!$M1248,"")</f>
        <v/>
      </c>
    </row>
    <row r="1265">
      <c r="A1265" s="10">
        <f>IF(1247&gt;$E$5,"",SMALL($U$19:$U$4018,$E$6+1247))</f>
        <v/>
      </c>
      <c r="B1265" s="29">
        <f>IF(A1265="","",INDEX('자료_한국심리'!$B$3:$B$4002,MATCH(A1265,$U$19:$U$4018,0)))</f>
        <v/>
      </c>
      <c r="C1265" s="22">
        <f>IF(A1265="","",B1265/AVERAGE(B1141:B1265)-1)</f>
        <v/>
      </c>
      <c r="D1265" s="29">
        <f>IF(A1265="","",IFERROR(INDEX('자료_한국심리'!$E$3:$E$4002,MATCH(A1265,$V$19:$V$4018,0)),D1264))</f>
        <v/>
      </c>
      <c r="E1265" s="30">
        <f>IF(A1265="","",IFERROR(INDEX('자료_한국심리'!$H$3:$H$4002,MATCH(A1265,$W$19:$W$4018,0)),E1264))</f>
        <v/>
      </c>
      <c r="F1265" s="30">
        <f>IF(A1265="","",IFERROR(INDEX('자료_한국심리'!$K$3:$K$4002,MATCH(A1265,$X$19:$X$4018,0)),F1264))</f>
        <v/>
      </c>
      <c r="G1265" s="30">
        <f>IF(AND(ISNUMBER(E1265),ISNUMBER(F1265)),ROUND(E1265-F1265,6),"")</f>
        <v/>
      </c>
      <c r="H1265" s="25">
        <f>IF(A1265="","",IFERROR(INDEX('자료_한국심리'!$N$3:$N$4002,MATCH(A1265,$Y$19:$Y$4018,0)),H1264))</f>
        <v/>
      </c>
      <c r="I1265" s="31">
        <f>IF(AND(ISNUMBER(H1265),ISNUMBER(H1245)),IF(H1245&gt;0,H1265/H1245-1,""),"")</f>
        <v/>
      </c>
      <c r="J1265">
        <f>IF(A1265="",0,IF(A1265&gt;$B$5,1,0))</f>
        <v/>
      </c>
      <c r="K1265" s="29">
        <f>IF(AND(J1265=1,ISNUMBER(D1265)),D1265,"")</f>
        <v/>
      </c>
      <c r="L1265" s="30">
        <f>IF(AND(J1265=1,ISNUMBER(G1265)),G1265,"")</f>
        <v/>
      </c>
      <c r="M1265" s="22">
        <f>IF(AND(J1265=1,ISNUMBER(C1265)),C1265,"")</f>
        <v/>
      </c>
      <c r="N1265" s="31">
        <f>IF(AND(J1265=1,ISNUMBER(I1265)),I1265,"")</f>
        <v/>
      </c>
      <c r="O1265" s="11">
        <f>IF(K1265="","",100-IF($G$13=1,50,(_xlfn.RANK.AVG(K1265,$K$19:$K$1518,1)-1)/($G$13-1)*100))</f>
        <v/>
      </c>
      <c r="P1265" s="11">
        <f>IF(L1265="","",100-IF($G$14=1,50,(_xlfn.RANK.AVG(L1265,$L$19:$L$1518,1)-1)/($G$14-1)*100))</f>
        <v/>
      </c>
      <c r="Q1265" s="11">
        <f>IF(M1265="","",IF($G$15=1,50,(_xlfn.RANK.AVG(M1265,$M$19:$M$1518,1)-1)/($G$15-1)*100))</f>
        <v/>
      </c>
      <c r="R1265" s="11">
        <f>IF(N1265="","",IF($G$16=1,50,(_xlfn.RANK.AVG(N1265,$N$19:$N$1518,1)-1)/($G$16-1)*100))</f>
        <v/>
      </c>
      <c r="S1265" s="11">
        <f>IF(COUNT(O1265:R1265)=4,ROUND(AVERAGE(O1265:R1265),6),"")</f>
        <v/>
      </c>
      <c r="U1265">
        <f>IF(AND(ISNUMBER('자료_한국심리'!$A1249),ISNUMBER('자료_한국심리'!$B1249)),'자료_한국심리'!$A1249,"")</f>
        <v/>
      </c>
      <c r="V1265">
        <f>IF(AND(ISNUMBER('자료_한국심리'!$D1249),ISNUMBER('자료_한국심리'!$E1249)),'자료_한국심리'!$D1249,"")</f>
        <v/>
      </c>
      <c r="W1265">
        <f>IF(AND(ISNUMBER('자료_한국심리'!$G1249),ISNUMBER('자료_한국심리'!$H1249)),'자료_한국심리'!$G1249,"")</f>
        <v/>
      </c>
      <c r="X1265">
        <f>IF(AND(ISNUMBER('자료_한국심리'!$J1249),ISNUMBER('자료_한국심리'!$K1249)),'자료_한국심리'!$J1249,"")</f>
        <v/>
      </c>
      <c r="Y1265">
        <f>IF(AND(ISNUMBER('자료_한국심리'!$M1249),ISNUMBER('자료_한국심리'!$N1249)),'자료_한국심리'!$M1249,"")</f>
        <v/>
      </c>
    </row>
    <row r="1266">
      <c r="A1266" s="10">
        <f>IF(1248&gt;$E$5,"",SMALL($U$19:$U$4018,$E$6+1248))</f>
        <v/>
      </c>
      <c r="B1266" s="29">
        <f>IF(A1266="","",INDEX('자료_한국심리'!$B$3:$B$4002,MATCH(A1266,$U$19:$U$4018,0)))</f>
        <v/>
      </c>
      <c r="C1266" s="22">
        <f>IF(A1266="","",B1266/AVERAGE(B1142:B1266)-1)</f>
        <v/>
      </c>
      <c r="D1266" s="29">
        <f>IF(A1266="","",IFERROR(INDEX('자료_한국심리'!$E$3:$E$4002,MATCH(A1266,$V$19:$V$4018,0)),D1265))</f>
        <v/>
      </c>
      <c r="E1266" s="30">
        <f>IF(A1266="","",IFERROR(INDEX('자료_한국심리'!$H$3:$H$4002,MATCH(A1266,$W$19:$W$4018,0)),E1265))</f>
        <v/>
      </c>
      <c r="F1266" s="30">
        <f>IF(A1266="","",IFERROR(INDEX('자료_한국심리'!$K$3:$K$4002,MATCH(A1266,$X$19:$X$4018,0)),F1265))</f>
        <v/>
      </c>
      <c r="G1266" s="30">
        <f>IF(AND(ISNUMBER(E1266),ISNUMBER(F1266)),ROUND(E1266-F1266,6),"")</f>
        <v/>
      </c>
      <c r="H1266" s="25">
        <f>IF(A1266="","",IFERROR(INDEX('자료_한국심리'!$N$3:$N$4002,MATCH(A1266,$Y$19:$Y$4018,0)),H1265))</f>
        <v/>
      </c>
      <c r="I1266" s="31">
        <f>IF(AND(ISNUMBER(H1266),ISNUMBER(H1246)),IF(H1246&gt;0,H1266/H1246-1,""),"")</f>
        <v/>
      </c>
      <c r="J1266">
        <f>IF(A1266="",0,IF(A1266&gt;$B$5,1,0))</f>
        <v/>
      </c>
      <c r="K1266" s="29">
        <f>IF(AND(J1266=1,ISNUMBER(D1266)),D1266,"")</f>
        <v/>
      </c>
      <c r="L1266" s="30">
        <f>IF(AND(J1266=1,ISNUMBER(G1266)),G1266,"")</f>
        <v/>
      </c>
      <c r="M1266" s="22">
        <f>IF(AND(J1266=1,ISNUMBER(C1266)),C1266,"")</f>
        <v/>
      </c>
      <c r="N1266" s="31">
        <f>IF(AND(J1266=1,ISNUMBER(I1266)),I1266,"")</f>
        <v/>
      </c>
      <c r="O1266" s="11">
        <f>IF(K1266="","",100-IF($G$13=1,50,(_xlfn.RANK.AVG(K1266,$K$19:$K$1518,1)-1)/($G$13-1)*100))</f>
        <v/>
      </c>
      <c r="P1266" s="11">
        <f>IF(L1266="","",100-IF($G$14=1,50,(_xlfn.RANK.AVG(L1266,$L$19:$L$1518,1)-1)/($G$14-1)*100))</f>
        <v/>
      </c>
      <c r="Q1266" s="11">
        <f>IF(M1266="","",IF($G$15=1,50,(_xlfn.RANK.AVG(M1266,$M$19:$M$1518,1)-1)/($G$15-1)*100))</f>
        <v/>
      </c>
      <c r="R1266" s="11">
        <f>IF(N1266="","",IF($G$16=1,50,(_xlfn.RANK.AVG(N1266,$N$19:$N$1518,1)-1)/($G$16-1)*100))</f>
        <v/>
      </c>
      <c r="S1266" s="11">
        <f>IF(COUNT(O1266:R1266)=4,ROUND(AVERAGE(O1266:R1266),6),"")</f>
        <v/>
      </c>
      <c r="U1266">
        <f>IF(AND(ISNUMBER('자료_한국심리'!$A1250),ISNUMBER('자료_한국심리'!$B1250)),'자료_한국심리'!$A1250,"")</f>
        <v/>
      </c>
      <c r="V1266">
        <f>IF(AND(ISNUMBER('자료_한국심리'!$D1250),ISNUMBER('자료_한국심리'!$E1250)),'자료_한국심리'!$D1250,"")</f>
        <v/>
      </c>
      <c r="W1266">
        <f>IF(AND(ISNUMBER('자료_한국심리'!$G1250),ISNUMBER('자료_한국심리'!$H1250)),'자료_한국심리'!$G1250,"")</f>
        <v/>
      </c>
      <c r="X1266">
        <f>IF(AND(ISNUMBER('자료_한국심리'!$J1250),ISNUMBER('자료_한국심리'!$K1250)),'자료_한국심리'!$J1250,"")</f>
        <v/>
      </c>
      <c r="Y1266">
        <f>IF(AND(ISNUMBER('자료_한국심리'!$M1250),ISNUMBER('자료_한국심리'!$N1250)),'자료_한국심리'!$M1250,"")</f>
        <v/>
      </c>
    </row>
    <row r="1267">
      <c r="A1267" s="10">
        <f>IF(1249&gt;$E$5,"",SMALL($U$19:$U$4018,$E$6+1249))</f>
        <v/>
      </c>
      <c r="B1267" s="29">
        <f>IF(A1267="","",INDEX('자료_한국심리'!$B$3:$B$4002,MATCH(A1267,$U$19:$U$4018,0)))</f>
        <v/>
      </c>
      <c r="C1267" s="22">
        <f>IF(A1267="","",B1267/AVERAGE(B1143:B1267)-1)</f>
        <v/>
      </c>
      <c r="D1267" s="29">
        <f>IF(A1267="","",IFERROR(INDEX('자료_한국심리'!$E$3:$E$4002,MATCH(A1267,$V$19:$V$4018,0)),D1266))</f>
        <v/>
      </c>
      <c r="E1267" s="30">
        <f>IF(A1267="","",IFERROR(INDEX('자료_한국심리'!$H$3:$H$4002,MATCH(A1267,$W$19:$W$4018,0)),E1266))</f>
        <v/>
      </c>
      <c r="F1267" s="30">
        <f>IF(A1267="","",IFERROR(INDEX('자료_한국심리'!$K$3:$K$4002,MATCH(A1267,$X$19:$X$4018,0)),F1266))</f>
        <v/>
      </c>
      <c r="G1267" s="30">
        <f>IF(AND(ISNUMBER(E1267),ISNUMBER(F1267)),ROUND(E1267-F1267,6),"")</f>
        <v/>
      </c>
      <c r="H1267" s="25">
        <f>IF(A1267="","",IFERROR(INDEX('자료_한국심리'!$N$3:$N$4002,MATCH(A1267,$Y$19:$Y$4018,0)),H1266))</f>
        <v/>
      </c>
      <c r="I1267" s="31">
        <f>IF(AND(ISNUMBER(H1267),ISNUMBER(H1247)),IF(H1247&gt;0,H1267/H1247-1,""),"")</f>
        <v/>
      </c>
      <c r="J1267">
        <f>IF(A1267="",0,IF(A1267&gt;$B$5,1,0))</f>
        <v/>
      </c>
      <c r="K1267" s="29">
        <f>IF(AND(J1267=1,ISNUMBER(D1267)),D1267,"")</f>
        <v/>
      </c>
      <c r="L1267" s="30">
        <f>IF(AND(J1267=1,ISNUMBER(G1267)),G1267,"")</f>
        <v/>
      </c>
      <c r="M1267" s="22">
        <f>IF(AND(J1267=1,ISNUMBER(C1267)),C1267,"")</f>
        <v/>
      </c>
      <c r="N1267" s="31">
        <f>IF(AND(J1267=1,ISNUMBER(I1267)),I1267,"")</f>
        <v/>
      </c>
      <c r="O1267" s="11">
        <f>IF(K1267="","",100-IF($G$13=1,50,(_xlfn.RANK.AVG(K1267,$K$19:$K$1518,1)-1)/($G$13-1)*100))</f>
        <v/>
      </c>
      <c r="P1267" s="11">
        <f>IF(L1267="","",100-IF($G$14=1,50,(_xlfn.RANK.AVG(L1267,$L$19:$L$1518,1)-1)/($G$14-1)*100))</f>
        <v/>
      </c>
      <c r="Q1267" s="11">
        <f>IF(M1267="","",IF($G$15=1,50,(_xlfn.RANK.AVG(M1267,$M$19:$M$1518,1)-1)/($G$15-1)*100))</f>
        <v/>
      </c>
      <c r="R1267" s="11">
        <f>IF(N1267="","",IF($G$16=1,50,(_xlfn.RANK.AVG(N1267,$N$19:$N$1518,1)-1)/($G$16-1)*100))</f>
        <v/>
      </c>
      <c r="S1267" s="11">
        <f>IF(COUNT(O1267:R1267)=4,ROUND(AVERAGE(O1267:R1267),6),"")</f>
        <v/>
      </c>
      <c r="U1267">
        <f>IF(AND(ISNUMBER('자료_한국심리'!$A1251),ISNUMBER('자료_한국심리'!$B1251)),'자료_한국심리'!$A1251,"")</f>
        <v/>
      </c>
      <c r="V1267">
        <f>IF(AND(ISNUMBER('자료_한국심리'!$D1251),ISNUMBER('자료_한국심리'!$E1251)),'자료_한국심리'!$D1251,"")</f>
        <v/>
      </c>
      <c r="W1267">
        <f>IF(AND(ISNUMBER('자료_한국심리'!$G1251),ISNUMBER('자료_한국심리'!$H1251)),'자료_한국심리'!$G1251,"")</f>
        <v/>
      </c>
      <c r="X1267">
        <f>IF(AND(ISNUMBER('자료_한국심리'!$J1251),ISNUMBER('자료_한국심리'!$K1251)),'자료_한국심리'!$J1251,"")</f>
        <v/>
      </c>
      <c r="Y1267">
        <f>IF(AND(ISNUMBER('자료_한국심리'!$M1251),ISNUMBER('자료_한국심리'!$N1251)),'자료_한국심리'!$M1251,"")</f>
        <v/>
      </c>
    </row>
    <row r="1268">
      <c r="A1268" s="10">
        <f>IF(1250&gt;$E$5,"",SMALL($U$19:$U$4018,$E$6+1250))</f>
        <v/>
      </c>
      <c r="B1268" s="29">
        <f>IF(A1268="","",INDEX('자료_한국심리'!$B$3:$B$4002,MATCH(A1268,$U$19:$U$4018,0)))</f>
        <v/>
      </c>
      <c r="C1268" s="22">
        <f>IF(A1268="","",B1268/AVERAGE(B1144:B1268)-1)</f>
        <v/>
      </c>
      <c r="D1268" s="29">
        <f>IF(A1268="","",IFERROR(INDEX('자료_한국심리'!$E$3:$E$4002,MATCH(A1268,$V$19:$V$4018,0)),D1267))</f>
        <v/>
      </c>
      <c r="E1268" s="30">
        <f>IF(A1268="","",IFERROR(INDEX('자료_한국심리'!$H$3:$H$4002,MATCH(A1268,$W$19:$W$4018,0)),E1267))</f>
        <v/>
      </c>
      <c r="F1268" s="30">
        <f>IF(A1268="","",IFERROR(INDEX('자료_한국심리'!$K$3:$K$4002,MATCH(A1268,$X$19:$X$4018,0)),F1267))</f>
        <v/>
      </c>
      <c r="G1268" s="30">
        <f>IF(AND(ISNUMBER(E1268),ISNUMBER(F1268)),ROUND(E1268-F1268,6),"")</f>
        <v/>
      </c>
      <c r="H1268" s="25">
        <f>IF(A1268="","",IFERROR(INDEX('자료_한국심리'!$N$3:$N$4002,MATCH(A1268,$Y$19:$Y$4018,0)),H1267))</f>
        <v/>
      </c>
      <c r="I1268" s="31">
        <f>IF(AND(ISNUMBER(H1268),ISNUMBER(H1248)),IF(H1248&gt;0,H1268/H1248-1,""),"")</f>
        <v/>
      </c>
      <c r="J1268">
        <f>IF(A1268="",0,IF(A1268&gt;$B$5,1,0))</f>
        <v/>
      </c>
      <c r="K1268" s="29">
        <f>IF(AND(J1268=1,ISNUMBER(D1268)),D1268,"")</f>
        <v/>
      </c>
      <c r="L1268" s="30">
        <f>IF(AND(J1268=1,ISNUMBER(G1268)),G1268,"")</f>
        <v/>
      </c>
      <c r="M1268" s="22">
        <f>IF(AND(J1268=1,ISNUMBER(C1268)),C1268,"")</f>
        <v/>
      </c>
      <c r="N1268" s="31">
        <f>IF(AND(J1268=1,ISNUMBER(I1268)),I1268,"")</f>
        <v/>
      </c>
      <c r="O1268" s="11">
        <f>IF(K1268="","",100-IF($G$13=1,50,(_xlfn.RANK.AVG(K1268,$K$19:$K$1518,1)-1)/($G$13-1)*100))</f>
        <v/>
      </c>
      <c r="P1268" s="11">
        <f>IF(L1268="","",100-IF($G$14=1,50,(_xlfn.RANK.AVG(L1268,$L$19:$L$1518,1)-1)/($G$14-1)*100))</f>
        <v/>
      </c>
      <c r="Q1268" s="11">
        <f>IF(M1268="","",IF($G$15=1,50,(_xlfn.RANK.AVG(M1268,$M$19:$M$1518,1)-1)/($G$15-1)*100))</f>
        <v/>
      </c>
      <c r="R1268" s="11">
        <f>IF(N1268="","",IF($G$16=1,50,(_xlfn.RANK.AVG(N1268,$N$19:$N$1518,1)-1)/($G$16-1)*100))</f>
        <v/>
      </c>
      <c r="S1268" s="11">
        <f>IF(COUNT(O1268:R1268)=4,ROUND(AVERAGE(O1268:R1268),6),"")</f>
        <v/>
      </c>
      <c r="U1268">
        <f>IF(AND(ISNUMBER('자료_한국심리'!$A1252),ISNUMBER('자료_한국심리'!$B1252)),'자료_한국심리'!$A1252,"")</f>
        <v/>
      </c>
      <c r="V1268">
        <f>IF(AND(ISNUMBER('자료_한국심리'!$D1252),ISNUMBER('자료_한국심리'!$E1252)),'자료_한국심리'!$D1252,"")</f>
        <v/>
      </c>
      <c r="W1268">
        <f>IF(AND(ISNUMBER('자료_한국심리'!$G1252),ISNUMBER('자료_한국심리'!$H1252)),'자료_한국심리'!$G1252,"")</f>
        <v/>
      </c>
      <c r="X1268">
        <f>IF(AND(ISNUMBER('자료_한국심리'!$J1252),ISNUMBER('자료_한국심리'!$K1252)),'자료_한국심리'!$J1252,"")</f>
        <v/>
      </c>
      <c r="Y1268">
        <f>IF(AND(ISNUMBER('자료_한국심리'!$M1252),ISNUMBER('자료_한국심리'!$N1252)),'자료_한국심리'!$M1252,"")</f>
        <v/>
      </c>
    </row>
    <row r="1269">
      <c r="A1269" s="10">
        <f>IF(1251&gt;$E$5,"",SMALL($U$19:$U$4018,$E$6+1251))</f>
        <v/>
      </c>
      <c r="B1269" s="29">
        <f>IF(A1269="","",INDEX('자료_한국심리'!$B$3:$B$4002,MATCH(A1269,$U$19:$U$4018,0)))</f>
        <v/>
      </c>
      <c r="C1269" s="22">
        <f>IF(A1269="","",B1269/AVERAGE(B1145:B1269)-1)</f>
        <v/>
      </c>
      <c r="D1269" s="29">
        <f>IF(A1269="","",IFERROR(INDEX('자료_한국심리'!$E$3:$E$4002,MATCH(A1269,$V$19:$V$4018,0)),D1268))</f>
        <v/>
      </c>
      <c r="E1269" s="30">
        <f>IF(A1269="","",IFERROR(INDEX('자료_한국심리'!$H$3:$H$4002,MATCH(A1269,$W$19:$W$4018,0)),E1268))</f>
        <v/>
      </c>
      <c r="F1269" s="30">
        <f>IF(A1269="","",IFERROR(INDEX('자료_한국심리'!$K$3:$K$4002,MATCH(A1269,$X$19:$X$4018,0)),F1268))</f>
        <v/>
      </c>
      <c r="G1269" s="30">
        <f>IF(AND(ISNUMBER(E1269),ISNUMBER(F1269)),ROUND(E1269-F1269,6),"")</f>
        <v/>
      </c>
      <c r="H1269" s="25">
        <f>IF(A1269="","",IFERROR(INDEX('자료_한국심리'!$N$3:$N$4002,MATCH(A1269,$Y$19:$Y$4018,0)),H1268))</f>
        <v/>
      </c>
      <c r="I1269" s="31">
        <f>IF(AND(ISNUMBER(H1269),ISNUMBER(H1249)),IF(H1249&gt;0,H1269/H1249-1,""),"")</f>
        <v/>
      </c>
      <c r="J1269">
        <f>IF(A1269="",0,IF(A1269&gt;$B$5,1,0))</f>
        <v/>
      </c>
      <c r="K1269" s="29">
        <f>IF(AND(J1269=1,ISNUMBER(D1269)),D1269,"")</f>
        <v/>
      </c>
      <c r="L1269" s="30">
        <f>IF(AND(J1269=1,ISNUMBER(G1269)),G1269,"")</f>
        <v/>
      </c>
      <c r="M1269" s="22">
        <f>IF(AND(J1269=1,ISNUMBER(C1269)),C1269,"")</f>
        <v/>
      </c>
      <c r="N1269" s="31">
        <f>IF(AND(J1269=1,ISNUMBER(I1269)),I1269,"")</f>
        <v/>
      </c>
      <c r="O1269" s="11">
        <f>IF(K1269="","",100-IF($G$13=1,50,(_xlfn.RANK.AVG(K1269,$K$19:$K$1518,1)-1)/($G$13-1)*100))</f>
        <v/>
      </c>
      <c r="P1269" s="11">
        <f>IF(L1269="","",100-IF($G$14=1,50,(_xlfn.RANK.AVG(L1269,$L$19:$L$1518,1)-1)/($G$14-1)*100))</f>
        <v/>
      </c>
      <c r="Q1269" s="11">
        <f>IF(M1269="","",IF($G$15=1,50,(_xlfn.RANK.AVG(M1269,$M$19:$M$1518,1)-1)/($G$15-1)*100))</f>
        <v/>
      </c>
      <c r="R1269" s="11">
        <f>IF(N1269="","",IF($G$16=1,50,(_xlfn.RANK.AVG(N1269,$N$19:$N$1518,1)-1)/($G$16-1)*100))</f>
        <v/>
      </c>
      <c r="S1269" s="11">
        <f>IF(COUNT(O1269:R1269)=4,ROUND(AVERAGE(O1269:R1269),6),"")</f>
        <v/>
      </c>
      <c r="U1269">
        <f>IF(AND(ISNUMBER('자료_한국심리'!$A1253),ISNUMBER('자료_한국심리'!$B1253)),'자료_한국심리'!$A1253,"")</f>
        <v/>
      </c>
      <c r="V1269">
        <f>IF(AND(ISNUMBER('자료_한국심리'!$D1253),ISNUMBER('자료_한국심리'!$E1253)),'자료_한국심리'!$D1253,"")</f>
        <v/>
      </c>
      <c r="W1269">
        <f>IF(AND(ISNUMBER('자료_한국심리'!$G1253),ISNUMBER('자료_한국심리'!$H1253)),'자료_한국심리'!$G1253,"")</f>
        <v/>
      </c>
      <c r="X1269">
        <f>IF(AND(ISNUMBER('자료_한국심리'!$J1253),ISNUMBER('자료_한국심리'!$K1253)),'자료_한국심리'!$J1253,"")</f>
        <v/>
      </c>
      <c r="Y1269">
        <f>IF(AND(ISNUMBER('자료_한국심리'!$M1253),ISNUMBER('자료_한국심리'!$N1253)),'자료_한국심리'!$M1253,"")</f>
        <v/>
      </c>
    </row>
    <row r="1270">
      <c r="A1270" s="10">
        <f>IF(1252&gt;$E$5,"",SMALL($U$19:$U$4018,$E$6+1252))</f>
        <v/>
      </c>
      <c r="B1270" s="29">
        <f>IF(A1270="","",INDEX('자료_한국심리'!$B$3:$B$4002,MATCH(A1270,$U$19:$U$4018,0)))</f>
        <v/>
      </c>
      <c r="C1270" s="22">
        <f>IF(A1270="","",B1270/AVERAGE(B1146:B1270)-1)</f>
        <v/>
      </c>
      <c r="D1270" s="29">
        <f>IF(A1270="","",IFERROR(INDEX('자료_한국심리'!$E$3:$E$4002,MATCH(A1270,$V$19:$V$4018,0)),D1269))</f>
        <v/>
      </c>
      <c r="E1270" s="30">
        <f>IF(A1270="","",IFERROR(INDEX('자료_한국심리'!$H$3:$H$4002,MATCH(A1270,$W$19:$W$4018,0)),E1269))</f>
        <v/>
      </c>
      <c r="F1270" s="30">
        <f>IF(A1270="","",IFERROR(INDEX('자료_한국심리'!$K$3:$K$4002,MATCH(A1270,$X$19:$X$4018,0)),F1269))</f>
        <v/>
      </c>
      <c r="G1270" s="30">
        <f>IF(AND(ISNUMBER(E1270),ISNUMBER(F1270)),ROUND(E1270-F1270,6),"")</f>
        <v/>
      </c>
      <c r="H1270" s="25">
        <f>IF(A1270="","",IFERROR(INDEX('자료_한국심리'!$N$3:$N$4002,MATCH(A1270,$Y$19:$Y$4018,0)),H1269))</f>
        <v/>
      </c>
      <c r="I1270" s="31">
        <f>IF(AND(ISNUMBER(H1270),ISNUMBER(H1250)),IF(H1250&gt;0,H1270/H1250-1,""),"")</f>
        <v/>
      </c>
      <c r="J1270">
        <f>IF(A1270="",0,IF(A1270&gt;$B$5,1,0))</f>
        <v/>
      </c>
      <c r="K1270" s="29">
        <f>IF(AND(J1270=1,ISNUMBER(D1270)),D1270,"")</f>
        <v/>
      </c>
      <c r="L1270" s="30">
        <f>IF(AND(J1270=1,ISNUMBER(G1270)),G1270,"")</f>
        <v/>
      </c>
      <c r="M1270" s="22">
        <f>IF(AND(J1270=1,ISNUMBER(C1270)),C1270,"")</f>
        <v/>
      </c>
      <c r="N1270" s="31">
        <f>IF(AND(J1270=1,ISNUMBER(I1270)),I1270,"")</f>
        <v/>
      </c>
      <c r="O1270" s="11">
        <f>IF(K1270="","",100-IF($G$13=1,50,(_xlfn.RANK.AVG(K1270,$K$19:$K$1518,1)-1)/($G$13-1)*100))</f>
        <v/>
      </c>
      <c r="P1270" s="11">
        <f>IF(L1270="","",100-IF($G$14=1,50,(_xlfn.RANK.AVG(L1270,$L$19:$L$1518,1)-1)/($G$14-1)*100))</f>
        <v/>
      </c>
      <c r="Q1270" s="11">
        <f>IF(M1270="","",IF($G$15=1,50,(_xlfn.RANK.AVG(M1270,$M$19:$M$1518,1)-1)/($G$15-1)*100))</f>
        <v/>
      </c>
      <c r="R1270" s="11">
        <f>IF(N1270="","",IF($G$16=1,50,(_xlfn.RANK.AVG(N1270,$N$19:$N$1518,1)-1)/($G$16-1)*100))</f>
        <v/>
      </c>
      <c r="S1270" s="11">
        <f>IF(COUNT(O1270:R1270)=4,ROUND(AVERAGE(O1270:R1270),6),"")</f>
        <v/>
      </c>
      <c r="U1270">
        <f>IF(AND(ISNUMBER('자료_한국심리'!$A1254),ISNUMBER('자료_한국심리'!$B1254)),'자료_한국심리'!$A1254,"")</f>
        <v/>
      </c>
      <c r="V1270">
        <f>IF(AND(ISNUMBER('자료_한국심리'!$D1254),ISNUMBER('자료_한국심리'!$E1254)),'자료_한국심리'!$D1254,"")</f>
        <v/>
      </c>
      <c r="W1270">
        <f>IF(AND(ISNUMBER('자료_한국심리'!$G1254),ISNUMBER('자료_한국심리'!$H1254)),'자료_한국심리'!$G1254,"")</f>
        <v/>
      </c>
      <c r="X1270">
        <f>IF(AND(ISNUMBER('자료_한국심리'!$J1254),ISNUMBER('자료_한국심리'!$K1254)),'자료_한국심리'!$J1254,"")</f>
        <v/>
      </c>
      <c r="Y1270">
        <f>IF(AND(ISNUMBER('자료_한국심리'!$M1254),ISNUMBER('자료_한국심리'!$N1254)),'자료_한국심리'!$M1254,"")</f>
        <v/>
      </c>
    </row>
    <row r="1271">
      <c r="A1271" s="10">
        <f>IF(1253&gt;$E$5,"",SMALL($U$19:$U$4018,$E$6+1253))</f>
        <v/>
      </c>
      <c r="B1271" s="29">
        <f>IF(A1271="","",INDEX('자료_한국심리'!$B$3:$B$4002,MATCH(A1271,$U$19:$U$4018,0)))</f>
        <v/>
      </c>
      <c r="C1271" s="22">
        <f>IF(A1271="","",B1271/AVERAGE(B1147:B1271)-1)</f>
        <v/>
      </c>
      <c r="D1271" s="29">
        <f>IF(A1271="","",IFERROR(INDEX('자료_한국심리'!$E$3:$E$4002,MATCH(A1271,$V$19:$V$4018,0)),D1270))</f>
        <v/>
      </c>
      <c r="E1271" s="30">
        <f>IF(A1271="","",IFERROR(INDEX('자료_한국심리'!$H$3:$H$4002,MATCH(A1271,$W$19:$W$4018,0)),E1270))</f>
        <v/>
      </c>
      <c r="F1271" s="30">
        <f>IF(A1271="","",IFERROR(INDEX('자료_한국심리'!$K$3:$K$4002,MATCH(A1271,$X$19:$X$4018,0)),F1270))</f>
        <v/>
      </c>
      <c r="G1271" s="30">
        <f>IF(AND(ISNUMBER(E1271),ISNUMBER(F1271)),ROUND(E1271-F1271,6),"")</f>
        <v/>
      </c>
      <c r="H1271" s="25">
        <f>IF(A1271="","",IFERROR(INDEX('자료_한국심리'!$N$3:$N$4002,MATCH(A1271,$Y$19:$Y$4018,0)),H1270))</f>
        <v/>
      </c>
      <c r="I1271" s="31">
        <f>IF(AND(ISNUMBER(H1271),ISNUMBER(H1251)),IF(H1251&gt;0,H1271/H1251-1,""),"")</f>
        <v/>
      </c>
      <c r="J1271">
        <f>IF(A1271="",0,IF(A1271&gt;$B$5,1,0))</f>
        <v/>
      </c>
      <c r="K1271" s="29">
        <f>IF(AND(J1271=1,ISNUMBER(D1271)),D1271,"")</f>
        <v/>
      </c>
      <c r="L1271" s="30">
        <f>IF(AND(J1271=1,ISNUMBER(G1271)),G1271,"")</f>
        <v/>
      </c>
      <c r="M1271" s="22">
        <f>IF(AND(J1271=1,ISNUMBER(C1271)),C1271,"")</f>
        <v/>
      </c>
      <c r="N1271" s="31">
        <f>IF(AND(J1271=1,ISNUMBER(I1271)),I1271,"")</f>
        <v/>
      </c>
      <c r="O1271" s="11">
        <f>IF(K1271="","",100-IF($G$13=1,50,(_xlfn.RANK.AVG(K1271,$K$19:$K$1518,1)-1)/($G$13-1)*100))</f>
        <v/>
      </c>
      <c r="P1271" s="11">
        <f>IF(L1271="","",100-IF($G$14=1,50,(_xlfn.RANK.AVG(L1271,$L$19:$L$1518,1)-1)/($G$14-1)*100))</f>
        <v/>
      </c>
      <c r="Q1271" s="11">
        <f>IF(M1271="","",IF($G$15=1,50,(_xlfn.RANK.AVG(M1271,$M$19:$M$1518,1)-1)/($G$15-1)*100))</f>
        <v/>
      </c>
      <c r="R1271" s="11">
        <f>IF(N1271="","",IF($G$16=1,50,(_xlfn.RANK.AVG(N1271,$N$19:$N$1518,1)-1)/($G$16-1)*100))</f>
        <v/>
      </c>
      <c r="S1271" s="11">
        <f>IF(COUNT(O1271:R1271)=4,ROUND(AVERAGE(O1271:R1271),6),"")</f>
        <v/>
      </c>
      <c r="U1271">
        <f>IF(AND(ISNUMBER('자료_한국심리'!$A1255),ISNUMBER('자료_한국심리'!$B1255)),'자료_한국심리'!$A1255,"")</f>
        <v/>
      </c>
      <c r="V1271">
        <f>IF(AND(ISNUMBER('자료_한국심리'!$D1255),ISNUMBER('자료_한국심리'!$E1255)),'자료_한국심리'!$D1255,"")</f>
        <v/>
      </c>
      <c r="W1271">
        <f>IF(AND(ISNUMBER('자료_한국심리'!$G1255),ISNUMBER('자료_한국심리'!$H1255)),'자료_한국심리'!$G1255,"")</f>
        <v/>
      </c>
      <c r="X1271">
        <f>IF(AND(ISNUMBER('자료_한국심리'!$J1255),ISNUMBER('자료_한국심리'!$K1255)),'자료_한국심리'!$J1255,"")</f>
        <v/>
      </c>
      <c r="Y1271">
        <f>IF(AND(ISNUMBER('자료_한국심리'!$M1255),ISNUMBER('자료_한국심리'!$N1255)),'자료_한국심리'!$M1255,"")</f>
        <v/>
      </c>
    </row>
    <row r="1272">
      <c r="A1272" s="10">
        <f>IF(1254&gt;$E$5,"",SMALL($U$19:$U$4018,$E$6+1254))</f>
        <v/>
      </c>
      <c r="B1272" s="29">
        <f>IF(A1272="","",INDEX('자료_한국심리'!$B$3:$B$4002,MATCH(A1272,$U$19:$U$4018,0)))</f>
        <v/>
      </c>
      <c r="C1272" s="22">
        <f>IF(A1272="","",B1272/AVERAGE(B1148:B1272)-1)</f>
        <v/>
      </c>
      <c r="D1272" s="29">
        <f>IF(A1272="","",IFERROR(INDEX('자료_한국심리'!$E$3:$E$4002,MATCH(A1272,$V$19:$V$4018,0)),D1271))</f>
        <v/>
      </c>
      <c r="E1272" s="30">
        <f>IF(A1272="","",IFERROR(INDEX('자료_한국심리'!$H$3:$H$4002,MATCH(A1272,$W$19:$W$4018,0)),E1271))</f>
        <v/>
      </c>
      <c r="F1272" s="30">
        <f>IF(A1272="","",IFERROR(INDEX('자료_한국심리'!$K$3:$K$4002,MATCH(A1272,$X$19:$X$4018,0)),F1271))</f>
        <v/>
      </c>
      <c r="G1272" s="30">
        <f>IF(AND(ISNUMBER(E1272),ISNUMBER(F1272)),ROUND(E1272-F1272,6),"")</f>
        <v/>
      </c>
      <c r="H1272" s="25">
        <f>IF(A1272="","",IFERROR(INDEX('자료_한국심리'!$N$3:$N$4002,MATCH(A1272,$Y$19:$Y$4018,0)),H1271))</f>
        <v/>
      </c>
      <c r="I1272" s="31">
        <f>IF(AND(ISNUMBER(H1272),ISNUMBER(H1252)),IF(H1252&gt;0,H1272/H1252-1,""),"")</f>
        <v/>
      </c>
      <c r="J1272">
        <f>IF(A1272="",0,IF(A1272&gt;$B$5,1,0))</f>
        <v/>
      </c>
      <c r="K1272" s="29">
        <f>IF(AND(J1272=1,ISNUMBER(D1272)),D1272,"")</f>
        <v/>
      </c>
      <c r="L1272" s="30">
        <f>IF(AND(J1272=1,ISNUMBER(G1272)),G1272,"")</f>
        <v/>
      </c>
      <c r="M1272" s="22">
        <f>IF(AND(J1272=1,ISNUMBER(C1272)),C1272,"")</f>
        <v/>
      </c>
      <c r="N1272" s="31">
        <f>IF(AND(J1272=1,ISNUMBER(I1272)),I1272,"")</f>
        <v/>
      </c>
      <c r="O1272" s="11">
        <f>IF(K1272="","",100-IF($G$13=1,50,(_xlfn.RANK.AVG(K1272,$K$19:$K$1518,1)-1)/($G$13-1)*100))</f>
        <v/>
      </c>
      <c r="P1272" s="11">
        <f>IF(L1272="","",100-IF($G$14=1,50,(_xlfn.RANK.AVG(L1272,$L$19:$L$1518,1)-1)/($G$14-1)*100))</f>
        <v/>
      </c>
      <c r="Q1272" s="11">
        <f>IF(M1272="","",IF($G$15=1,50,(_xlfn.RANK.AVG(M1272,$M$19:$M$1518,1)-1)/($G$15-1)*100))</f>
        <v/>
      </c>
      <c r="R1272" s="11">
        <f>IF(N1272="","",IF($G$16=1,50,(_xlfn.RANK.AVG(N1272,$N$19:$N$1518,1)-1)/($G$16-1)*100))</f>
        <v/>
      </c>
      <c r="S1272" s="11">
        <f>IF(COUNT(O1272:R1272)=4,ROUND(AVERAGE(O1272:R1272),6),"")</f>
        <v/>
      </c>
      <c r="U1272">
        <f>IF(AND(ISNUMBER('자료_한국심리'!$A1256),ISNUMBER('자료_한국심리'!$B1256)),'자료_한국심리'!$A1256,"")</f>
        <v/>
      </c>
      <c r="V1272">
        <f>IF(AND(ISNUMBER('자료_한국심리'!$D1256),ISNUMBER('자료_한국심리'!$E1256)),'자료_한국심리'!$D1256,"")</f>
        <v/>
      </c>
      <c r="W1272">
        <f>IF(AND(ISNUMBER('자료_한국심리'!$G1256),ISNUMBER('자료_한국심리'!$H1256)),'자료_한국심리'!$G1256,"")</f>
        <v/>
      </c>
      <c r="X1272">
        <f>IF(AND(ISNUMBER('자료_한국심리'!$J1256),ISNUMBER('자료_한국심리'!$K1256)),'자료_한국심리'!$J1256,"")</f>
        <v/>
      </c>
      <c r="Y1272">
        <f>IF(AND(ISNUMBER('자료_한국심리'!$M1256),ISNUMBER('자료_한국심리'!$N1256)),'자료_한국심리'!$M1256,"")</f>
        <v/>
      </c>
    </row>
    <row r="1273">
      <c r="A1273" s="10">
        <f>IF(1255&gt;$E$5,"",SMALL($U$19:$U$4018,$E$6+1255))</f>
        <v/>
      </c>
      <c r="B1273" s="29">
        <f>IF(A1273="","",INDEX('자료_한국심리'!$B$3:$B$4002,MATCH(A1273,$U$19:$U$4018,0)))</f>
        <v/>
      </c>
      <c r="C1273" s="22">
        <f>IF(A1273="","",B1273/AVERAGE(B1149:B1273)-1)</f>
        <v/>
      </c>
      <c r="D1273" s="29">
        <f>IF(A1273="","",IFERROR(INDEX('자료_한국심리'!$E$3:$E$4002,MATCH(A1273,$V$19:$V$4018,0)),D1272))</f>
        <v/>
      </c>
      <c r="E1273" s="30">
        <f>IF(A1273="","",IFERROR(INDEX('자료_한국심리'!$H$3:$H$4002,MATCH(A1273,$W$19:$W$4018,0)),E1272))</f>
        <v/>
      </c>
      <c r="F1273" s="30">
        <f>IF(A1273="","",IFERROR(INDEX('자료_한국심리'!$K$3:$K$4002,MATCH(A1273,$X$19:$X$4018,0)),F1272))</f>
        <v/>
      </c>
      <c r="G1273" s="30">
        <f>IF(AND(ISNUMBER(E1273),ISNUMBER(F1273)),ROUND(E1273-F1273,6),"")</f>
        <v/>
      </c>
      <c r="H1273" s="25">
        <f>IF(A1273="","",IFERROR(INDEX('자료_한국심리'!$N$3:$N$4002,MATCH(A1273,$Y$19:$Y$4018,0)),H1272))</f>
        <v/>
      </c>
      <c r="I1273" s="31">
        <f>IF(AND(ISNUMBER(H1273),ISNUMBER(H1253)),IF(H1253&gt;0,H1273/H1253-1,""),"")</f>
        <v/>
      </c>
      <c r="J1273">
        <f>IF(A1273="",0,IF(A1273&gt;$B$5,1,0))</f>
        <v/>
      </c>
      <c r="K1273" s="29">
        <f>IF(AND(J1273=1,ISNUMBER(D1273)),D1273,"")</f>
        <v/>
      </c>
      <c r="L1273" s="30">
        <f>IF(AND(J1273=1,ISNUMBER(G1273)),G1273,"")</f>
        <v/>
      </c>
      <c r="M1273" s="22">
        <f>IF(AND(J1273=1,ISNUMBER(C1273)),C1273,"")</f>
        <v/>
      </c>
      <c r="N1273" s="31">
        <f>IF(AND(J1273=1,ISNUMBER(I1273)),I1273,"")</f>
        <v/>
      </c>
      <c r="O1273" s="11">
        <f>IF(K1273="","",100-IF($G$13=1,50,(_xlfn.RANK.AVG(K1273,$K$19:$K$1518,1)-1)/($G$13-1)*100))</f>
        <v/>
      </c>
      <c r="P1273" s="11">
        <f>IF(L1273="","",100-IF($G$14=1,50,(_xlfn.RANK.AVG(L1273,$L$19:$L$1518,1)-1)/($G$14-1)*100))</f>
        <v/>
      </c>
      <c r="Q1273" s="11">
        <f>IF(M1273="","",IF($G$15=1,50,(_xlfn.RANK.AVG(M1273,$M$19:$M$1518,1)-1)/($G$15-1)*100))</f>
        <v/>
      </c>
      <c r="R1273" s="11">
        <f>IF(N1273="","",IF($G$16=1,50,(_xlfn.RANK.AVG(N1273,$N$19:$N$1518,1)-1)/($G$16-1)*100))</f>
        <v/>
      </c>
      <c r="S1273" s="11">
        <f>IF(COUNT(O1273:R1273)=4,ROUND(AVERAGE(O1273:R1273),6),"")</f>
        <v/>
      </c>
      <c r="U1273">
        <f>IF(AND(ISNUMBER('자료_한국심리'!$A1257),ISNUMBER('자료_한국심리'!$B1257)),'자료_한국심리'!$A1257,"")</f>
        <v/>
      </c>
      <c r="V1273">
        <f>IF(AND(ISNUMBER('자료_한국심리'!$D1257),ISNUMBER('자료_한국심리'!$E1257)),'자료_한국심리'!$D1257,"")</f>
        <v/>
      </c>
      <c r="W1273">
        <f>IF(AND(ISNUMBER('자료_한국심리'!$G1257),ISNUMBER('자료_한국심리'!$H1257)),'자료_한국심리'!$G1257,"")</f>
        <v/>
      </c>
      <c r="X1273">
        <f>IF(AND(ISNUMBER('자료_한국심리'!$J1257),ISNUMBER('자료_한국심리'!$K1257)),'자료_한국심리'!$J1257,"")</f>
        <v/>
      </c>
      <c r="Y1273">
        <f>IF(AND(ISNUMBER('자료_한국심리'!$M1257),ISNUMBER('자료_한국심리'!$N1257)),'자료_한국심리'!$M1257,"")</f>
        <v/>
      </c>
    </row>
    <row r="1274">
      <c r="A1274" s="10">
        <f>IF(1256&gt;$E$5,"",SMALL($U$19:$U$4018,$E$6+1256))</f>
        <v/>
      </c>
      <c r="B1274" s="29">
        <f>IF(A1274="","",INDEX('자료_한국심리'!$B$3:$B$4002,MATCH(A1274,$U$19:$U$4018,0)))</f>
        <v/>
      </c>
      <c r="C1274" s="22">
        <f>IF(A1274="","",B1274/AVERAGE(B1150:B1274)-1)</f>
        <v/>
      </c>
      <c r="D1274" s="29">
        <f>IF(A1274="","",IFERROR(INDEX('자료_한국심리'!$E$3:$E$4002,MATCH(A1274,$V$19:$V$4018,0)),D1273))</f>
        <v/>
      </c>
      <c r="E1274" s="30">
        <f>IF(A1274="","",IFERROR(INDEX('자료_한국심리'!$H$3:$H$4002,MATCH(A1274,$W$19:$W$4018,0)),E1273))</f>
        <v/>
      </c>
      <c r="F1274" s="30">
        <f>IF(A1274="","",IFERROR(INDEX('자료_한국심리'!$K$3:$K$4002,MATCH(A1274,$X$19:$X$4018,0)),F1273))</f>
        <v/>
      </c>
      <c r="G1274" s="30">
        <f>IF(AND(ISNUMBER(E1274),ISNUMBER(F1274)),ROUND(E1274-F1274,6),"")</f>
        <v/>
      </c>
      <c r="H1274" s="25">
        <f>IF(A1274="","",IFERROR(INDEX('자료_한국심리'!$N$3:$N$4002,MATCH(A1274,$Y$19:$Y$4018,0)),H1273))</f>
        <v/>
      </c>
      <c r="I1274" s="31">
        <f>IF(AND(ISNUMBER(H1274),ISNUMBER(H1254)),IF(H1254&gt;0,H1274/H1254-1,""),"")</f>
        <v/>
      </c>
      <c r="J1274">
        <f>IF(A1274="",0,IF(A1274&gt;$B$5,1,0))</f>
        <v/>
      </c>
      <c r="K1274" s="29">
        <f>IF(AND(J1274=1,ISNUMBER(D1274)),D1274,"")</f>
        <v/>
      </c>
      <c r="L1274" s="30">
        <f>IF(AND(J1274=1,ISNUMBER(G1274)),G1274,"")</f>
        <v/>
      </c>
      <c r="M1274" s="22">
        <f>IF(AND(J1274=1,ISNUMBER(C1274)),C1274,"")</f>
        <v/>
      </c>
      <c r="N1274" s="31">
        <f>IF(AND(J1274=1,ISNUMBER(I1274)),I1274,"")</f>
        <v/>
      </c>
      <c r="O1274" s="11">
        <f>IF(K1274="","",100-IF($G$13=1,50,(_xlfn.RANK.AVG(K1274,$K$19:$K$1518,1)-1)/($G$13-1)*100))</f>
        <v/>
      </c>
      <c r="P1274" s="11">
        <f>IF(L1274="","",100-IF($G$14=1,50,(_xlfn.RANK.AVG(L1274,$L$19:$L$1518,1)-1)/($G$14-1)*100))</f>
        <v/>
      </c>
      <c r="Q1274" s="11">
        <f>IF(M1274="","",IF($G$15=1,50,(_xlfn.RANK.AVG(M1274,$M$19:$M$1518,1)-1)/($G$15-1)*100))</f>
        <v/>
      </c>
      <c r="R1274" s="11">
        <f>IF(N1274="","",IF($G$16=1,50,(_xlfn.RANK.AVG(N1274,$N$19:$N$1518,1)-1)/($G$16-1)*100))</f>
        <v/>
      </c>
      <c r="S1274" s="11">
        <f>IF(COUNT(O1274:R1274)=4,ROUND(AVERAGE(O1274:R1274),6),"")</f>
        <v/>
      </c>
      <c r="U1274">
        <f>IF(AND(ISNUMBER('자료_한국심리'!$A1258),ISNUMBER('자료_한국심리'!$B1258)),'자료_한국심리'!$A1258,"")</f>
        <v/>
      </c>
      <c r="V1274">
        <f>IF(AND(ISNUMBER('자료_한국심리'!$D1258),ISNUMBER('자료_한국심리'!$E1258)),'자료_한국심리'!$D1258,"")</f>
        <v/>
      </c>
      <c r="W1274">
        <f>IF(AND(ISNUMBER('자료_한국심리'!$G1258),ISNUMBER('자료_한국심리'!$H1258)),'자료_한국심리'!$G1258,"")</f>
        <v/>
      </c>
      <c r="X1274">
        <f>IF(AND(ISNUMBER('자료_한국심리'!$J1258),ISNUMBER('자료_한국심리'!$K1258)),'자료_한국심리'!$J1258,"")</f>
        <v/>
      </c>
      <c r="Y1274">
        <f>IF(AND(ISNUMBER('자료_한국심리'!$M1258),ISNUMBER('자료_한국심리'!$N1258)),'자료_한국심리'!$M1258,"")</f>
        <v/>
      </c>
    </row>
    <row r="1275">
      <c r="A1275" s="10">
        <f>IF(1257&gt;$E$5,"",SMALL($U$19:$U$4018,$E$6+1257))</f>
        <v/>
      </c>
      <c r="B1275" s="29">
        <f>IF(A1275="","",INDEX('자료_한국심리'!$B$3:$B$4002,MATCH(A1275,$U$19:$U$4018,0)))</f>
        <v/>
      </c>
      <c r="C1275" s="22">
        <f>IF(A1275="","",B1275/AVERAGE(B1151:B1275)-1)</f>
        <v/>
      </c>
      <c r="D1275" s="29">
        <f>IF(A1275="","",IFERROR(INDEX('자료_한국심리'!$E$3:$E$4002,MATCH(A1275,$V$19:$V$4018,0)),D1274))</f>
        <v/>
      </c>
      <c r="E1275" s="30">
        <f>IF(A1275="","",IFERROR(INDEX('자료_한국심리'!$H$3:$H$4002,MATCH(A1275,$W$19:$W$4018,0)),E1274))</f>
        <v/>
      </c>
      <c r="F1275" s="30">
        <f>IF(A1275="","",IFERROR(INDEX('자료_한국심리'!$K$3:$K$4002,MATCH(A1275,$X$19:$X$4018,0)),F1274))</f>
        <v/>
      </c>
      <c r="G1275" s="30">
        <f>IF(AND(ISNUMBER(E1275),ISNUMBER(F1275)),ROUND(E1275-F1275,6),"")</f>
        <v/>
      </c>
      <c r="H1275" s="25">
        <f>IF(A1275="","",IFERROR(INDEX('자료_한국심리'!$N$3:$N$4002,MATCH(A1275,$Y$19:$Y$4018,0)),H1274))</f>
        <v/>
      </c>
      <c r="I1275" s="31">
        <f>IF(AND(ISNUMBER(H1275),ISNUMBER(H1255)),IF(H1255&gt;0,H1275/H1255-1,""),"")</f>
        <v/>
      </c>
      <c r="J1275">
        <f>IF(A1275="",0,IF(A1275&gt;$B$5,1,0))</f>
        <v/>
      </c>
      <c r="K1275" s="29">
        <f>IF(AND(J1275=1,ISNUMBER(D1275)),D1275,"")</f>
        <v/>
      </c>
      <c r="L1275" s="30">
        <f>IF(AND(J1275=1,ISNUMBER(G1275)),G1275,"")</f>
        <v/>
      </c>
      <c r="M1275" s="22">
        <f>IF(AND(J1275=1,ISNUMBER(C1275)),C1275,"")</f>
        <v/>
      </c>
      <c r="N1275" s="31">
        <f>IF(AND(J1275=1,ISNUMBER(I1275)),I1275,"")</f>
        <v/>
      </c>
      <c r="O1275" s="11">
        <f>IF(K1275="","",100-IF($G$13=1,50,(_xlfn.RANK.AVG(K1275,$K$19:$K$1518,1)-1)/($G$13-1)*100))</f>
        <v/>
      </c>
      <c r="P1275" s="11">
        <f>IF(L1275="","",100-IF($G$14=1,50,(_xlfn.RANK.AVG(L1275,$L$19:$L$1518,1)-1)/($G$14-1)*100))</f>
        <v/>
      </c>
      <c r="Q1275" s="11">
        <f>IF(M1275="","",IF($G$15=1,50,(_xlfn.RANK.AVG(M1275,$M$19:$M$1518,1)-1)/($G$15-1)*100))</f>
        <v/>
      </c>
      <c r="R1275" s="11">
        <f>IF(N1275="","",IF($G$16=1,50,(_xlfn.RANK.AVG(N1275,$N$19:$N$1518,1)-1)/($G$16-1)*100))</f>
        <v/>
      </c>
      <c r="S1275" s="11">
        <f>IF(COUNT(O1275:R1275)=4,ROUND(AVERAGE(O1275:R1275),6),"")</f>
        <v/>
      </c>
      <c r="U1275">
        <f>IF(AND(ISNUMBER('자료_한국심리'!$A1259),ISNUMBER('자료_한국심리'!$B1259)),'자료_한국심리'!$A1259,"")</f>
        <v/>
      </c>
      <c r="V1275">
        <f>IF(AND(ISNUMBER('자료_한국심리'!$D1259),ISNUMBER('자료_한국심리'!$E1259)),'자료_한국심리'!$D1259,"")</f>
        <v/>
      </c>
      <c r="W1275">
        <f>IF(AND(ISNUMBER('자료_한국심리'!$G1259),ISNUMBER('자료_한국심리'!$H1259)),'자료_한국심리'!$G1259,"")</f>
        <v/>
      </c>
      <c r="X1275">
        <f>IF(AND(ISNUMBER('자료_한국심리'!$J1259),ISNUMBER('자료_한국심리'!$K1259)),'자료_한국심리'!$J1259,"")</f>
        <v/>
      </c>
      <c r="Y1275">
        <f>IF(AND(ISNUMBER('자료_한국심리'!$M1259),ISNUMBER('자료_한국심리'!$N1259)),'자료_한국심리'!$M1259,"")</f>
        <v/>
      </c>
    </row>
    <row r="1276">
      <c r="A1276" s="10">
        <f>IF(1258&gt;$E$5,"",SMALL($U$19:$U$4018,$E$6+1258))</f>
        <v/>
      </c>
      <c r="B1276" s="29">
        <f>IF(A1276="","",INDEX('자료_한국심리'!$B$3:$B$4002,MATCH(A1276,$U$19:$U$4018,0)))</f>
        <v/>
      </c>
      <c r="C1276" s="22">
        <f>IF(A1276="","",B1276/AVERAGE(B1152:B1276)-1)</f>
        <v/>
      </c>
      <c r="D1276" s="29">
        <f>IF(A1276="","",IFERROR(INDEX('자료_한국심리'!$E$3:$E$4002,MATCH(A1276,$V$19:$V$4018,0)),D1275))</f>
        <v/>
      </c>
      <c r="E1276" s="30">
        <f>IF(A1276="","",IFERROR(INDEX('자료_한국심리'!$H$3:$H$4002,MATCH(A1276,$W$19:$W$4018,0)),E1275))</f>
        <v/>
      </c>
      <c r="F1276" s="30">
        <f>IF(A1276="","",IFERROR(INDEX('자료_한국심리'!$K$3:$K$4002,MATCH(A1276,$X$19:$X$4018,0)),F1275))</f>
        <v/>
      </c>
      <c r="G1276" s="30">
        <f>IF(AND(ISNUMBER(E1276),ISNUMBER(F1276)),ROUND(E1276-F1276,6),"")</f>
        <v/>
      </c>
      <c r="H1276" s="25">
        <f>IF(A1276="","",IFERROR(INDEX('자료_한국심리'!$N$3:$N$4002,MATCH(A1276,$Y$19:$Y$4018,0)),H1275))</f>
        <v/>
      </c>
      <c r="I1276" s="31">
        <f>IF(AND(ISNUMBER(H1276),ISNUMBER(H1256)),IF(H1256&gt;0,H1276/H1256-1,""),"")</f>
        <v/>
      </c>
      <c r="J1276">
        <f>IF(A1276="",0,IF(A1276&gt;$B$5,1,0))</f>
        <v/>
      </c>
      <c r="K1276" s="29">
        <f>IF(AND(J1276=1,ISNUMBER(D1276)),D1276,"")</f>
        <v/>
      </c>
      <c r="L1276" s="30">
        <f>IF(AND(J1276=1,ISNUMBER(G1276)),G1276,"")</f>
        <v/>
      </c>
      <c r="M1276" s="22">
        <f>IF(AND(J1276=1,ISNUMBER(C1276)),C1276,"")</f>
        <v/>
      </c>
      <c r="N1276" s="31">
        <f>IF(AND(J1276=1,ISNUMBER(I1276)),I1276,"")</f>
        <v/>
      </c>
      <c r="O1276" s="11">
        <f>IF(K1276="","",100-IF($G$13=1,50,(_xlfn.RANK.AVG(K1276,$K$19:$K$1518,1)-1)/($G$13-1)*100))</f>
        <v/>
      </c>
      <c r="P1276" s="11">
        <f>IF(L1276="","",100-IF($G$14=1,50,(_xlfn.RANK.AVG(L1276,$L$19:$L$1518,1)-1)/($G$14-1)*100))</f>
        <v/>
      </c>
      <c r="Q1276" s="11">
        <f>IF(M1276="","",IF($G$15=1,50,(_xlfn.RANK.AVG(M1276,$M$19:$M$1518,1)-1)/($G$15-1)*100))</f>
        <v/>
      </c>
      <c r="R1276" s="11">
        <f>IF(N1276="","",IF($G$16=1,50,(_xlfn.RANK.AVG(N1276,$N$19:$N$1518,1)-1)/($G$16-1)*100))</f>
        <v/>
      </c>
      <c r="S1276" s="11">
        <f>IF(COUNT(O1276:R1276)=4,ROUND(AVERAGE(O1276:R1276),6),"")</f>
        <v/>
      </c>
      <c r="U1276">
        <f>IF(AND(ISNUMBER('자료_한국심리'!$A1260),ISNUMBER('자료_한국심리'!$B1260)),'자료_한국심리'!$A1260,"")</f>
        <v/>
      </c>
      <c r="V1276">
        <f>IF(AND(ISNUMBER('자료_한국심리'!$D1260),ISNUMBER('자료_한국심리'!$E1260)),'자료_한국심리'!$D1260,"")</f>
        <v/>
      </c>
      <c r="W1276">
        <f>IF(AND(ISNUMBER('자료_한국심리'!$G1260),ISNUMBER('자료_한국심리'!$H1260)),'자료_한국심리'!$G1260,"")</f>
        <v/>
      </c>
      <c r="X1276">
        <f>IF(AND(ISNUMBER('자료_한국심리'!$J1260),ISNUMBER('자료_한국심리'!$K1260)),'자료_한국심리'!$J1260,"")</f>
        <v/>
      </c>
      <c r="Y1276">
        <f>IF(AND(ISNUMBER('자료_한국심리'!$M1260),ISNUMBER('자료_한국심리'!$N1260)),'자료_한국심리'!$M1260,"")</f>
        <v/>
      </c>
    </row>
    <row r="1277">
      <c r="A1277" s="10">
        <f>IF(1259&gt;$E$5,"",SMALL($U$19:$U$4018,$E$6+1259))</f>
        <v/>
      </c>
      <c r="B1277" s="29">
        <f>IF(A1277="","",INDEX('자료_한국심리'!$B$3:$B$4002,MATCH(A1277,$U$19:$U$4018,0)))</f>
        <v/>
      </c>
      <c r="C1277" s="22">
        <f>IF(A1277="","",B1277/AVERAGE(B1153:B1277)-1)</f>
        <v/>
      </c>
      <c r="D1277" s="29">
        <f>IF(A1277="","",IFERROR(INDEX('자료_한국심리'!$E$3:$E$4002,MATCH(A1277,$V$19:$V$4018,0)),D1276))</f>
        <v/>
      </c>
      <c r="E1277" s="30">
        <f>IF(A1277="","",IFERROR(INDEX('자료_한국심리'!$H$3:$H$4002,MATCH(A1277,$W$19:$W$4018,0)),E1276))</f>
        <v/>
      </c>
      <c r="F1277" s="30">
        <f>IF(A1277="","",IFERROR(INDEX('자료_한국심리'!$K$3:$K$4002,MATCH(A1277,$X$19:$X$4018,0)),F1276))</f>
        <v/>
      </c>
      <c r="G1277" s="30">
        <f>IF(AND(ISNUMBER(E1277),ISNUMBER(F1277)),ROUND(E1277-F1277,6),"")</f>
        <v/>
      </c>
      <c r="H1277" s="25">
        <f>IF(A1277="","",IFERROR(INDEX('자료_한국심리'!$N$3:$N$4002,MATCH(A1277,$Y$19:$Y$4018,0)),H1276))</f>
        <v/>
      </c>
      <c r="I1277" s="31">
        <f>IF(AND(ISNUMBER(H1277),ISNUMBER(H1257)),IF(H1257&gt;0,H1277/H1257-1,""),"")</f>
        <v/>
      </c>
      <c r="J1277">
        <f>IF(A1277="",0,IF(A1277&gt;$B$5,1,0))</f>
        <v/>
      </c>
      <c r="K1277" s="29">
        <f>IF(AND(J1277=1,ISNUMBER(D1277)),D1277,"")</f>
        <v/>
      </c>
      <c r="L1277" s="30">
        <f>IF(AND(J1277=1,ISNUMBER(G1277)),G1277,"")</f>
        <v/>
      </c>
      <c r="M1277" s="22">
        <f>IF(AND(J1277=1,ISNUMBER(C1277)),C1277,"")</f>
        <v/>
      </c>
      <c r="N1277" s="31">
        <f>IF(AND(J1277=1,ISNUMBER(I1277)),I1277,"")</f>
        <v/>
      </c>
      <c r="O1277" s="11">
        <f>IF(K1277="","",100-IF($G$13=1,50,(_xlfn.RANK.AVG(K1277,$K$19:$K$1518,1)-1)/($G$13-1)*100))</f>
        <v/>
      </c>
      <c r="P1277" s="11">
        <f>IF(L1277="","",100-IF($G$14=1,50,(_xlfn.RANK.AVG(L1277,$L$19:$L$1518,1)-1)/($G$14-1)*100))</f>
        <v/>
      </c>
      <c r="Q1277" s="11">
        <f>IF(M1277="","",IF($G$15=1,50,(_xlfn.RANK.AVG(M1277,$M$19:$M$1518,1)-1)/($G$15-1)*100))</f>
        <v/>
      </c>
      <c r="R1277" s="11">
        <f>IF(N1277="","",IF($G$16=1,50,(_xlfn.RANK.AVG(N1277,$N$19:$N$1518,1)-1)/($G$16-1)*100))</f>
        <v/>
      </c>
      <c r="S1277" s="11">
        <f>IF(COUNT(O1277:R1277)=4,ROUND(AVERAGE(O1277:R1277),6),"")</f>
        <v/>
      </c>
      <c r="U1277">
        <f>IF(AND(ISNUMBER('자료_한국심리'!$A1261),ISNUMBER('자료_한국심리'!$B1261)),'자료_한국심리'!$A1261,"")</f>
        <v/>
      </c>
      <c r="V1277">
        <f>IF(AND(ISNUMBER('자료_한국심리'!$D1261),ISNUMBER('자료_한국심리'!$E1261)),'자료_한국심리'!$D1261,"")</f>
        <v/>
      </c>
      <c r="W1277">
        <f>IF(AND(ISNUMBER('자료_한국심리'!$G1261),ISNUMBER('자료_한국심리'!$H1261)),'자료_한국심리'!$G1261,"")</f>
        <v/>
      </c>
      <c r="X1277">
        <f>IF(AND(ISNUMBER('자료_한국심리'!$J1261),ISNUMBER('자료_한국심리'!$K1261)),'자료_한국심리'!$J1261,"")</f>
        <v/>
      </c>
      <c r="Y1277">
        <f>IF(AND(ISNUMBER('자료_한국심리'!$M1261),ISNUMBER('자료_한국심리'!$N1261)),'자료_한국심리'!$M1261,"")</f>
        <v/>
      </c>
    </row>
    <row r="1278">
      <c r="A1278" s="10">
        <f>IF(1260&gt;$E$5,"",SMALL($U$19:$U$4018,$E$6+1260))</f>
        <v/>
      </c>
      <c r="B1278" s="29">
        <f>IF(A1278="","",INDEX('자료_한국심리'!$B$3:$B$4002,MATCH(A1278,$U$19:$U$4018,0)))</f>
        <v/>
      </c>
      <c r="C1278" s="22">
        <f>IF(A1278="","",B1278/AVERAGE(B1154:B1278)-1)</f>
        <v/>
      </c>
      <c r="D1278" s="29">
        <f>IF(A1278="","",IFERROR(INDEX('자료_한국심리'!$E$3:$E$4002,MATCH(A1278,$V$19:$V$4018,0)),D1277))</f>
        <v/>
      </c>
      <c r="E1278" s="30">
        <f>IF(A1278="","",IFERROR(INDEX('자료_한국심리'!$H$3:$H$4002,MATCH(A1278,$W$19:$W$4018,0)),E1277))</f>
        <v/>
      </c>
      <c r="F1278" s="30">
        <f>IF(A1278="","",IFERROR(INDEX('자료_한국심리'!$K$3:$K$4002,MATCH(A1278,$X$19:$X$4018,0)),F1277))</f>
        <v/>
      </c>
      <c r="G1278" s="30">
        <f>IF(AND(ISNUMBER(E1278),ISNUMBER(F1278)),ROUND(E1278-F1278,6),"")</f>
        <v/>
      </c>
      <c r="H1278" s="25">
        <f>IF(A1278="","",IFERROR(INDEX('자료_한국심리'!$N$3:$N$4002,MATCH(A1278,$Y$19:$Y$4018,0)),H1277))</f>
        <v/>
      </c>
      <c r="I1278" s="31">
        <f>IF(AND(ISNUMBER(H1278),ISNUMBER(H1258)),IF(H1258&gt;0,H1278/H1258-1,""),"")</f>
        <v/>
      </c>
      <c r="J1278">
        <f>IF(A1278="",0,IF(A1278&gt;$B$5,1,0))</f>
        <v/>
      </c>
      <c r="K1278" s="29">
        <f>IF(AND(J1278=1,ISNUMBER(D1278)),D1278,"")</f>
        <v/>
      </c>
      <c r="L1278" s="30">
        <f>IF(AND(J1278=1,ISNUMBER(G1278)),G1278,"")</f>
        <v/>
      </c>
      <c r="M1278" s="22">
        <f>IF(AND(J1278=1,ISNUMBER(C1278)),C1278,"")</f>
        <v/>
      </c>
      <c r="N1278" s="31">
        <f>IF(AND(J1278=1,ISNUMBER(I1278)),I1278,"")</f>
        <v/>
      </c>
      <c r="O1278" s="11">
        <f>IF(K1278="","",100-IF($G$13=1,50,(_xlfn.RANK.AVG(K1278,$K$19:$K$1518,1)-1)/($G$13-1)*100))</f>
        <v/>
      </c>
      <c r="P1278" s="11">
        <f>IF(L1278="","",100-IF($G$14=1,50,(_xlfn.RANK.AVG(L1278,$L$19:$L$1518,1)-1)/($G$14-1)*100))</f>
        <v/>
      </c>
      <c r="Q1278" s="11">
        <f>IF(M1278="","",IF($G$15=1,50,(_xlfn.RANK.AVG(M1278,$M$19:$M$1518,1)-1)/($G$15-1)*100))</f>
        <v/>
      </c>
      <c r="R1278" s="11">
        <f>IF(N1278="","",IF($G$16=1,50,(_xlfn.RANK.AVG(N1278,$N$19:$N$1518,1)-1)/($G$16-1)*100))</f>
        <v/>
      </c>
      <c r="S1278" s="11">
        <f>IF(COUNT(O1278:R1278)=4,ROUND(AVERAGE(O1278:R1278),6),"")</f>
        <v/>
      </c>
      <c r="U1278">
        <f>IF(AND(ISNUMBER('자료_한국심리'!$A1262),ISNUMBER('자료_한국심리'!$B1262)),'자료_한국심리'!$A1262,"")</f>
        <v/>
      </c>
      <c r="V1278">
        <f>IF(AND(ISNUMBER('자료_한국심리'!$D1262),ISNUMBER('자료_한국심리'!$E1262)),'자료_한국심리'!$D1262,"")</f>
        <v/>
      </c>
      <c r="W1278">
        <f>IF(AND(ISNUMBER('자료_한국심리'!$G1262),ISNUMBER('자료_한국심리'!$H1262)),'자료_한국심리'!$G1262,"")</f>
        <v/>
      </c>
      <c r="X1278">
        <f>IF(AND(ISNUMBER('자료_한국심리'!$J1262),ISNUMBER('자료_한국심리'!$K1262)),'자료_한국심리'!$J1262,"")</f>
        <v/>
      </c>
      <c r="Y1278">
        <f>IF(AND(ISNUMBER('자료_한국심리'!$M1262),ISNUMBER('자료_한국심리'!$N1262)),'자료_한국심리'!$M1262,"")</f>
        <v/>
      </c>
    </row>
    <row r="1279">
      <c r="A1279" s="10">
        <f>IF(1261&gt;$E$5,"",SMALL($U$19:$U$4018,$E$6+1261))</f>
        <v/>
      </c>
      <c r="B1279" s="29">
        <f>IF(A1279="","",INDEX('자료_한국심리'!$B$3:$B$4002,MATCH(A1279,$U$19:$U$4018,0)))</f>
        <v/>
      </c>
      <c r="C1279" s="22">
        <f>IF(A1279="","",B1279/AVERAGE(B1155:B1279)-1)</f>
        <v/>
      </c>
      <c r="D1279" s="29">
        <f>IF(A1279="","",IFERROR(INDEX('자료_한국심리'!$E$3:$E$4002,MATCH(A1279,$V$19:$V$4018,0)),D1278))</f>
        <v/>
      </c>
      <c r="E1279" s="30">
        <f>IF(A1279="","",IFERROR(INDEX('자료_한국심리'!$H$3:$H$4002,MATCH(A1279,$W$19:$W$4018,0)),E1278))</f>
        <v/>
      </c>
      <c r="F1279" s="30">
        <f>IF(A1279="","",IFERROR(INDEX('자료_한국심리'!$K$3:$K$4002,MATCH(A1279,$X$19:$X$4018,0)),F1278))</f>
        <v/>
      </c>
      <c r="G1279" s="30">
        <f>IF(AND(ISNUMBER(E1279),ISNUMBER(F1279)),ROUND(E1279-F1279,6),"")</f>
        <v/>
      </c>
      <c r="H1279" s="25">
        <f>IF(A1279="","",IFERROR(INDEX('자료_한국심리'!$N$3:$N$4002,MATCH(A1279,$Y$19:$Y$4018,0)),H1278))</f>
        <v/>
      </c>
      <c r="I1279" s="31">
        <f>IF(AND(ISNUMBER(H1279),ISNUMBER(H1259)),IF(H1259&gt;0,H1279/H1259-1,""),"")</f>
        <v/>
      </c>
      <c r="J1279">
        <f>IF(A1279="",0,IF(A1279&gt;$B$5,1,0))</f>
        <v/>
      </c>
      <c r="K1279" s="29">
        <f>IF(AND(J1279=1,ISNUMBER(D1279)),D1279,"")</f>
        <v/>
      </c>
      <c r="L1279" s="30">
        <f>IF(AND(J1279=1,ISNUMBER(G1279)),G1279,"")</f>
        <v/>
      </c>
      <c r="M1279" s="22">
        <f>IF(AND(J1279=1,ISNUMBER(C1279)),C1279,"")</f>
        <v/>
      </c>
      <c r="N1279" s="31">
        <f>IF(AND(J1279=1,ISNUMBER(I1279)),I1279,"")</f>
        <v/>
      </c>
      <c r="O1279" s="11">
        <f>IF(K1279="","",100-IF($G$13=1,50,(_xlfn.RANK.AVG(K1279,$K$19:$K$1518,1)-1)/($G$13-1)*100))</f>
        <v/>
      </c>
      <c r="P1279" s="11">
        <f>IF(L1279="","",100-IF($G$14=1,50,(_xlfn.RANK.AVG(L1279,$L$19:$L$1518,1)-1)/($G$14-1)*100))</f>
        <v/>
      </c>
      <c r="Q1279" s="11">
        <f>IF(M1279="","",IF($G$15=1,50,(_xlfn.RANK.AVG(M1279,$M$19:$M$1518,1)-1)/($G$15-1)*100))</f>
        <v/>
      </c>
      <c r="R1279" s="11">
        <f>IF(N1279="","",IF($G$16=1,50,(_xlfn.RANK.AVG(N1279,$N$19:$N$1518,1)-1)/($G$16-1)*100))</f>
        <v/>
      </c>
      <c r="S1279" s="11">
        <f>IF(COUNT(O1279:R1279)=4,ROUND(AVERAGE(O1279:R1279),6),"")</f>
        <v/>
      </c>
      <c r="U1279">
        <f>IF(AND(ISNUMBER('자료_한국심리'!$A1263),ISNUMBER('자료_한국심리'!$B1263)),'자료_한국심리'!$A1263,"")</f>
        <v/>
      </c>
      <c r="V1279">
        <f>IF(AND(ISNUMBER('자료_한국심리'!$D1263),ISNUMBER('자료_한국심리'!$E1263)),'자료_한국심리'!$D1263,"")</f>
        <v/>
      </c>
      <c r="W1279">
        <f>IF(AND(ISNUMBER('자료_한국심리'!$G1263),ISNUMBER('자료_한국심리'!$H1263)),'자료_한국심리'!$G1263,"")</f>
        <v/>
      </c>
      <c r="X1279">
        <f>IF(AND(ISNUMBER('자료_한국심리'!$J1263),ISNUMBER('자료_한국심리'!$K1263)),'자료_한국심리'!$J1263,"")</f>
        <v/>
      </c>
      <c r="Y1279">
        <f>IF(AND(ISNUMBER('자료_한국심리'!$M1263),ISNUMBER('자료_한국심리'!$N1263)),'자료_한국심리'!$M1263,"")</f>
        <v/>
      </c>
    </row>
    <row r="1280">
      <c r="A1280" s="10">
        <f>IF(1262&gt;$E$5,"",SMALL($U$19:$U$4018,$E$6+1262))</f>
        <v/>
      </c>
      <c r="B1280" s="29">
        <f>IF(A1280="","",INDEX('자료_한국심리'!$B$3:$B$4002,MATCH(A1280,$U$19:$U$4018,0)))</f>
        <v/>
      </c>
      <c r="C1280" s="22">
        <f>IF(A1280="","",B1280/AVERAGE(B1156:B1280)-1)</f>
        <v/>
      </c>
      <c r="D1280" s="29">
        <f>IF(A1280="","",IFERROR(INDEX('자료_한국심리'!$E$3:$E$4002,MATCH(A1280,$V$19:$V$4018,0)),D1279))</f>
        <v/>
      </c>
      <c r="E1280" s="30">
        <f>IF(A1280="","",IFERROR(INDEX('자료_한국심리'!$H$3:$H$4002,MATCH(A1280,$W$19:$W$4018,0)),E1279))</f>
        <v/>
      </c>
      <c r="F1280" s="30">
        <f>IF(A1280="","",IFERROR(INDEX('자료_한국심리'!$K$3:$K$4002,MATCH(A1280,$X$19:$X$4018,0)),F1279))</f>
        <v/>
      </c>
      <c r="G1280" s="30">
        <f>IF(AND(ISNUMBER(E1280),ISNUMBER(F1280)),ROUND(E1280-F1280,6),"")</f>
        <v/>
      </c>
      <c r="H1280" s="25">
        <f>IF(A1280="","",IFERROR(INDEX('자료_한국심리'!$N$3:$N$4002,MATCH(A1280,$Y$19:$Y$4018,0)),H1279))</f>
        <v/>
      </c>
      <c r="I1280" s="31">
        <f>IF(AND(ISNUMBER(H1280),ISNUMBER(H1260)),IF(H1260&gt;0,H1280/H1260-1,""),"")</f>
        <v/>
      </c>
      <c r="J1280">
        <f>IF(A1280="",0,IF(A1280&gt;$B$5,1,0))</f>
        <v/>
      </c>
      <c r="K1280" s="29">
        <f>IF(AND(J1280=1,ISNUMBER(D1280)),D1280,"")</f>
        <v/>
      </c>
      <c r="L1280" s="30">
        <f>IF(AND(J1280=1,ISNUMBER(G1280)),G1280,"")</f>
        <v/>
      </c>
      <c r="M1280" s="22">
        <f>IF(AND(J1280=1,ISNUMBER(C1280)),C1280,"")</f>
        <v/>
      </c>
      <c r="N1280" s="31">
        <f>IF(AND(J1280=1,ISNUMBER(I1280)),I1280,"")</f>
        <v/>
      </c>
      <c r="O1280" s="11">
        <f>IF(K1280="","",100-IF($G$13=1,50,(_xlfn.RANK.AVG(K1280,$K$19:$K$1518,1)-1)/($G$13-1)*100))</f>
        <v/>
      </c>
      <c r="P1280" s="11">
        <f>IF(L1280="","",100-IF($G$14=1,50,(_xlfn.RANK.AVG(L1280,$L$19:$L$1518,1)-1)/($G$14-1)*100))</f>
        <v/>
      </c>
      <c r="Q1280" s="11">
        <f>IF(M1280="","",IF($G$15=1,50,(_xlfn.RANK.AVG(M1280,$M$19:$M$1518,1)-1)/($G$15-1)*100))</f>
        <v/>
      </c>
      <c r="R1280" s="11">
        <f>IF(N1280="","",IF($G$16=1,50,(_xlfn.RANK.AVG(N1280,$N$19:$N$1518,1)-1)/($G$16-1)*100))</f>
        <v/>
      </c>
      <c r="S1280" s="11">
        <f>IF(COUNT(O1280:R1280)=4,ROUND(AVERAGE(O1280:R1280),6),"")</f>
        <v/>
      </c>
      <c r="U1280">
        <f>IF(AND(ISNUMBER('자료_한국심리'!$A1264),ISNUMBER('자료_한국심리'!$B1264)),'자료_한국심리'!$A1264,"")</f>
        <v/>
      </c>
      <c r="V1280">
        <f>IF(AND(ISNUMBER('자료_한국심리'!$D1264),ISNUMBER('자료_한국심리'!$E1264)),'자료_한국심리'!$D1264,"")</f>
        <v/>
      </c>
      <c r="W1280">
        <f>IF(AND(ISNUMBER('자료_한국심리'!$G1264),ISNUMBER('자료_한국심리'!$H1264)),'자료_한국심리'!$G1264,"")</f>
        <v/>
      </c>
      <c r="X1280">
        <f>IF(AND(ISNUMBER('자료_한국심리'!$J1264),ISNUMBER('자료_한국심리'!$K1264)),'자료_한국심리'!$J1264,"")</f>
        <v/>
      </c>
      <c r="Y1280">
        <f>IF(AND(ISNUMBER('자료_한국심리'!$M1264),ISNUMBER('자료_한국심리'!$N1264)),'자료_한국심리'!$M1264,"")</f>
        <v/>
      </c>
    </row>
    <row r="1281">
      <c r="A1281" s="10">
        <f>IF(1263&gt;$E$5,"",SMALL($U$19:$U$4018,$E$6+1263))</f>
        <v/>
      </c>
      <c r="B1281" s="29">
        <f>IF(A1281="","",INDEX('자료_한국심리'!$B$3:$B$4002,MATCH(A1281,$U$19:$U$4018,0)))</f>
        <v/>
      </c>
      <c r="C1281" s="22">
        <f>IF(A1281="","",B1281/AVERAGE(B1157:B1281)-1)</f>
        <v/>
      </c>
      <c r="D1281" s="29">
        <f>IF(A1281="","",IFERROR(INDEX('자료_한국심리'!$E$3:$E$4002,MATCH(A1281,$V$19:$V$4018,0)),D1280))</f>
        <v/>
      </c>
      <c r="E1281" s="30">
        <f>IF(A1281="","",IFERROR(INDEX('자료_한국심리'!$H$3:$H$4002,MATCH(A1281,$W$19:$W$4018,0)),E1280))</f>
        <v/>
      </c>
      <c r="F1281" s="30">
        <f>IF(A1281="","",IFERROR(INDEX('자료_한국심리'!$K$3:$K$4002,MATCH(A1281,$X$19:$X$4018,0)),F1280))</f>
        <v/>
      </c>
      <c r="G1281" s="30">
        <f>IF(AND(ISNUMBER(E1281),ISNUMBER(F1281)),ROUND(E1281-F1281,6),"")</f>
        <v/>
      </c>
      <c r="H1281" s="25">
        <f>IF(A1281="","",IFERROR(INDEX('자료_한국심리'!$N$3:$N$4002,MATCH(A1281,$Y$19:$Y$4018,0)),H1280))</f>
        <v/>
      </c>
      <c r="I1281" s="31">
        <f>IF(AND(ISNUMBER(H1281),ISNUMBER(H1261)),IF(H1261&gt;0,H1281/H1261-1,""),"")</f>
        <v/>
      </c>
      <c r="J1281">
        <f>IF(A1281="",0,IF(A1281&gt;$B$5,1,0))</f>
        <v/>
      </c>
      <c r="K1281" s="29">
        <f>IF(AND(J1281=1,ISNUMBER(D1281)),D1281,"")</f>
        <v/>
      </c>
      <c r="L1281" s="30">
        <f>IF(AND(J1281=1,ISNUMBER(G1281)),G1281,"")</f>
        <v/>
      </c>
      <c r="M1281" s="22">
        <f>IF(AND(J1281=1,ISNUMBER(C1281)),C1281,"")</f>
        <v/>
      </c>
      <c r="N1281" s="31">
        <f>IF(AND(J1281=1,ISNUMBER(I1281)),I1281,"")</f>
        <v/>
      </c>
      <c r="O1281" s="11">
        <f>IF(K1281="","",100-IF($G$13=1,50,(_xlfn.RANK.AVG(K1281,$K$19:$K$1518,1)-1)/($G$13-1)*100))</f>
        <v/>
      </c>
      <c r="P1281" s="11">
        <f>IF(L1281="","",100-IF($G$14=1,50,(_xlfn.RANK.AVG(L1281,$L$19:$L$1518,1)-1)/($G$14-1)*100))</f>
        <v/>
      </c>
      <c r="Q1281" s="11">
        <f>IF(M1281="","",IF($G$15=1,50,(_xlfn.RANK.AVG(M1281,$M$19:$M$1518,1)-1)/($G$15-1)*100))</f>
        <v/>
      </c>
      <c r="R1281" s="11">
        <f>IF(N1281="","",IF($G$16=1,50,(_xlfn.RANK.AVG(N1281,$N$19:$N$1518,1)-1)/($G$16-1)*100))</f>
        <v/>
      </c>
      <c r="S1281" s="11">
        <f>IF(COUNT(O1281:R1281)=4,ROUND(AVERAGE(O1281:R1281),6),"")</f>
        <v/>
      </c>
      <c r="U1281">
        <f>IF(AND(ISNUMBER('자료_한국심리'!$A1265),ISNUMBER('자료_한국심리'!$B1265)),'자료_한국심리'!$A1265,"")</f>
        <v/>
      </c>
      <c r="V1281">
        <f>IF(AND(ISNUMBER('자료_한국심리'!$D1265),ISNUMBER('자료_한국심리'!$E1265)),'자료_한국심리'!$D1265,"")</f>
        <v/>
      </c>
      <c r="W1281">
        <f>IF(AND(ISNUMBER('자료_한국심리'!$G1265),ISNUMBER('자료_한국심리'!$H1265)),'자료_한국심리'!$G1265,"")</f>
        <v/>
      </c>
      <c r="X1281">
        <f>IF(AND(ISNUMBER('자료_한국심리'!$J1265),ISNUMBER('자료_한국심리'!$K1265)),'자료_한국심리'!$J1265,"")</f>
        <v/>
      </c>
      <c r="Y1281">
        <f>IF(AND(ISNUMBER('자료_한국심리'!$M1265),ISNUMBER('자료_한국심리'!$N1265)),'자료_한국심리'!$M1265,"")</f>
        <v/>
      </c>
    </row>
    <row r="1282">
      <c r="A1282" s="10">
        <f>IF(1264&gt;$E$5,"",SMALL($U$19:$U$4018,$E$6+1264))</f>
        <v/>
      </c>
      <c r="B1282" s="29">
        <f>IF(A1282="","",INDEX('자료_한국심리'!$B$3:$B$4002,MATCH(A1282,$U$19:$U$4018,0)))</f>
        <v/>
      </c>
      <c r="C1282" s="22">
        <f>IF(A1282="","",B1282/AVERAGE(B1158:B1282)-1)</f>
        <v/>
      </c>
      <c r="D1282" s="29">
        <f>IF(A1282="","",IFERROR(INDEX('자료_한국심리'!$E$3:$E$4002,MATCH(A1282,$V$19:$V$4018,0)),D1281))</f>
        <v/>
      </c>
      <c r="E1282" s="30">
        <f>IF(A1282="","",IFERROR(INDEX('자료_한국심리'!$H$3:$H$4002,MATCH(A1282,$W$19:$W$4018,0)),E1281))</f>
        <v/>
      </c>
      <c r="F1282" s="30">
        <f>IF(A1282="","",IFERROR(INDEX('자료_한국심리'!$K$3:$K$4002,MATCH(A1282,$X$19:$X$4018,0)),F1281))</f>
        <v/>
      </c>
      <c r="G1282" s="30">
        <f>IF(AND(ISNUMBER(E1282),ISNUMBER(F1282)),ROUND(E1282-F1282,6),"")</f>
        <v/>
      </c>
      <c r="H1282" s="25">
        <f>IF(A1282="","",IFERROR(INDEX('자료_한국심리'!$N$3:$N$4002,MATCH(A1282,$Y$19:$Y$4018,0)),H1281))</f>
        <v/>
      </c>
      <c r="I1282" s="31">
        <f>IF(AND(ISNUMBER(H1282),ISNUMBER(H1262)),IF(H1262&gt;0,H1282/H1262-1,""),"")</f>
        <v/>
      </c>
      <c r="J1282">
        <f>IF(A1282="",0,IF(A1282&gt;$B$5,1,0))</f>
        <v/>
      </c>
      <c r="K1282" s="29">
        <f>IF(AND(J1282=1,ISNUMBER(D1282)),D1282,"")</f>
        <v/>
      </c>
      <c r="L1282" s="30">
        <f>IF(AND(J1282=1,ISNUMBER(G1282)),G1282,"")</f>
        <v/>
      </c>
      <c r="M1282" s="22">
        <f>IF(AND(J1282=1,ISNUMBER(C1282)),C1282,"")</f>
        <v/>
      </c>
      <c r="N1282" s="31">
        <f>IF(AND(J1282=1,ISNUMBER(I1282)),I1282,"")</f>
        <v/>
      </c>
      <c r="O1282" s="11">
        <f>IF(K1282="","",100-IF($G$13=1,50,(_xlfn.RANK.AVG(K1282,$K$19:$K$1518,1)-1)/($G$13-1)*100))</f>
        <v/>
      </c>
      <c r="P1282" s="11">
        <f>IF(L1282="","",100-IF($G$14=1,50,(_xlfn.RANK.AVG(L1282,$L$19:$L$1518,1)-1)/($G$14-1)*100))</f>
        <v/>
      </c>
      <c r="Q1282" s="11">
        <f>IF(M1282="","",IF($G$15=1,50,(_xlfn.RANK.AVG(M1282,$M$19:$M$1518,1)-1)/($G$15-1)*100))</f>
        <v/>
      </c>
      <c r="R1282" s="11">
        <f>IF(N1282="","",IF($G$16=1,50,(_xlfn.RANK.AVG(N1282,$N$19:$N$1518,1)-1)/($G$16-1)*100))</f>
        <v/>
      </c>
      <c r="S1282" s="11">
        <f>IF(COUNT(O1282:R1282)=4,ROUND(AVERAGE(O1282:R1282),6),"")</f>
        <v/>
      </c>
      <c r="U1282">
        <f>IF(AND(ISNUMBER('자료_한국심리'!$A1266),ISNUMBER('자료_한국심리'!$B1266)),'자료_한국심리'!$A1266,"")</f>
        <v/>
      </c>
      <c r="V1282">
        <f>IF(AND(ISNUMBER('자료_한국심리'!$D1266),ISNUMBER('자료_한국심리'!$E1266)),'자료_한국심리'!$D1266,"")</f>
        <v/>
      </c>
      <c r="W1282">
        <f>IF(AND(ISNUMBER('자료_한국심리'!$G1266),ISNUMBER('자료_한국심리'!$H1266)),'자료_한국심리'!$G1266,"")</f>
        <v/>
      </c>
      <c r="X1282">
        <f>IF(AND(ISNUMBER('자료_한국심리'!$J1266),ISNUMBER('자료_한국심리'!$K1266)),'자료_한국심리'!$J1266,"")</f>
        <v/>
      </c>
      <c r="Y1282">
        <f>IF(AND(ISNUMBER('자료_한국심리'!$M1266),ISNUMBER('자료_한국심리'!$N1266)),'자료_한국심리'!$M1266,"")</f>
        <v/>
      </c>
    </row>
    <row r="1283">
      <c r="A1283" s="10">
        <f>IF(1265&gt;$E$5,"",SMALL($U$19:$U$4018,$E$6+1265))</f>
        <v/>
      </c>
      <c r="B1283" s="29">
        <f>IF(A1283="","",INDEX('자료_한국심리'!$B$3:$B$4002,MATCH(A1283,$U$19:$U$4018,0)))</f>
        <v/>
      </c>
      <c r="C1283" s="22">
        <f>IF(A1283="","",B1283/AVERAGE(B1159:B1283)-1)</f>
        <v/>
      </c>
      <c r="D1283" s="29">
        <f>IF(A1283="","",IFERROR(INDEX('자료_한국심리'!$E$3:$E$4002,MATCH(A1283,$V$19:$V$4018,0)),D1282))</f>
        <v/>
      </c>
      <c r="E1283" s="30">
        <f>IF(A1283="","",IFERROR(INDEX('자료_한국심리'!$H$3:$H$4002,MATCH(A1283,$W$19:$W$4018,0)),E1282))</f>
        <v/>
      </c>
      <c r="F1283" s="30">
        <f>IF(A1283="","",IFERROR(INDEX('자료_한국심리'!$K$3:$K$4002,MATCH(A1283,$X$19:$X$4018,0)),F1282))</f>
        <v/>
      </c>
      <c r="G1283" s="30">
        <f>IF(AND(ISNUMBER(E1283),ISNUMBER(F1283)),ROUND(E1283-F1283,6),"")</f>
        <v/>
      </c>
      <c r="H1283" s="25">
        <f>IF(A1283="","",IFERROR(INDEX('자료_한국심리'!$N$3:$N$4002,MATCH(A1283,$Y$19:$Y$4018,0)),H1282))</f>
        <v/>
      </c>
      <c r="I1283" s="31">
        <f>IF(AND(ISNUMBER(H1283),ISNUMBER(H1263)),IF(H1263&gt;0,H1283/H1263-1,""),"")</f>
        <v/>
      </c>
      <c r="J1283">
        <f>IF(A1283="",0,IF(A1283&gt;$B$5,1,0))</f>
        <v/>
      </c>
      <c r="K1283" s="29">
        <f>IF(AND(J1283=1,ISNUMBER(D1283)),D1283,"")</f>
        <v/>
      </c>
      <c r="L1283" s="30">
        <f>IF(AND(J1283=1,ISNUMBER(G1283)),G1283,"")</f>
        <v/>
      </c>
      <c r="M1283" s="22">
        <f>IF(AND(J1283=1,ISNUMBER(C1283)),C1283,"")</f>
        <v/>
      </c>
      <c r="N1283" s="31">
        <f>IF(AND(J1283=1,ISNUMBER(I1283)),I1283,"")</f>
        <v/>
      </c>
      <c r="O1283" s="11">
        <f>IF(K1283="","",100-IF($G$13=1,50,(_xlfn.RANK.AVG(K1283,$K$19:$K$1518,1)-1)/($G$13-1)*100))</f>
        <v/>
      </c>
      <c r="P1283" s="11">
        <f>IF(L1283="","",100-IF($G$14=1,50,(_xlfn.RANK.AVG(L1283,$L$19:$L$1518,1)-1)/($G$14-1)*100))</f>
        <v/>
      </c>
      <c r="Q1283" s="11">
        <f>IF(M1283="","",IF($G$15=1,50,(_xlfn.RANK.AVG(M1283,$M$19:$M$1518,1)-1)/($G$15-1)*100))</f>
        <v/>
      </c>
      <c r="R1283" s="11">
        <f>IF(N1283="","",IF($G$16=1,50,(_xlfn.RANK.AVG(N1283,$N$19:$N$1518,1)-1)/($G$16-1)*100))</f>
        <v/>
      </c>
      <c r="S1283" s="11">
        <f>IF(COUNT(O1283:R1283)=4,ROUND(AVERAGE(O1283:R1283),6),"")</f>
        <v/>
      </c>
      <c r="U1283">
        <f>IF(AND(ISNUMBER('자료_한국심리'!$A1267),ISNUMBER('자료_한국심리'!$B1267)),'자료_한국심리'!$A1267,"")</f>
        <v/>
      </c>
      <c r="V1283">
        <f>IF(AND(ISNUMBER('자료_한국심리'!$D1267),ISNUMBER('자료_한국심리'!$E1267)),'자료_한국심리'!$D1267,"")</f>
        <v/>
      </c>
      <c r="W1283">
        <f>IF(AND(ISNUMBER('자료_한국심리'!$G1267),ISNUMBER('자료_한국심리'!$H1267)),'자료_한국심리'!$G1267,"")</f>
        <v/>
      </c>
      <c r="X1283">
        <f>IF(AND(ISNUMBER('자료_한국심리'!$J1267),ISNUMBER('자료_한국심리'!$K1267)),'자료_한국심리'!$J1267,"")</f>
        <v/>
      </c>
      <c r="Y1283">
        <f>IF(AND(ISNUMBER('자료_한국심리'!$M1267),ISNUMBER('자료_한국심리'!$N1267)),'자료_한국심리'!$M1267,"")</f>
        <v/>
      </c>
    </row>
    <row r="1284">
      <c r="A1284" s="10">
        <f>IF(1266&gt;$E$5,"",SMALL($U$19:$U$4018,$E$6+1266))</f>
        <v/>
      </c>
      <c r="B1284" s="29">
        <f>IF(A1284="","",INDEX('자료_한국심리'!$B$3:$B$4002,MATCH(A1284,$U$19:$U$4018,0)))</f>
        <v/>
      </c>
      <c r="C1284" s="22">
        <f>IF(A1284="","",B1284/AVERAGE(B1160:B1284)-1)</f>
        <v/>
      </c>
      <c r="D1284" s="29">
        <f>IF(A1284="","",IFERROR(INDEX('자료_한국심리'!$E$3:$E$4002,MATCH(A1284,$V$19:$V$4018,0)),D1283))</f>
        <v/>
      </c>
      <c r="E1284" s="30">
        <f>IF(A1284="","",IFERROR(INDEX('자료_한국심리'!$H$3:$H$4002,MATCH(A1284,$W$19:$W$4018,0)),E1283))</f>
        <v/>
      </c>
      <c r="F1284" s="30">
        <f>IF(A1284="","",IFERROR(INDEX('자료_한국심리'!$K$3:$K$4002,MATCH(A1284,$X$19:$X$4018,0)),F1283))</f>
        <v/>
      </c>
      <c r="G1284" s="30">
        <f>IF(AND(ISNUMBER(E1284),ISNUMBER(F1284)),ROUND(E1284-F1284,6),"")</f>
        <v/>
      </c>
      <c r="H1284" s="25">
        <f>IF(A1284="","",IFERROR(INDEX('자료_한국심리'!$N$3:$N$4002,MATCH(A1284,$Y$19:$Y$4018,0)),H1283))</f>
        <v/>
      </c>
      <c r="I1284" s="31">
        <f>IF(AND(ISNUMBER(H1284),ISNUMBER(H1264)),IF(H1264&gt;0,H1284/H1264-1,""),"")</f>
        <v/>
      </c>
      <c r="J1284">
        <f>IF(A1284="",0,IF(A1284&gt;$B$5,1,0))</f>
        <v/>
      </c>
      <c r="K1284" s="29">
        <f>IF(AND(J1284=1,ISNUMBER(D1284)),D1284,"")</f>
        <v/>
      </c>
      <c r="L1284" s="30">
        <f>IF(AND(J1284=1,ISNUMBER(G1284)),G1284,"")</f>
        <v/>
      </c>
      <c r="M1284" s="22">
        <f>IF(AND(J1284=1,ISNUMBER(C1284)),C1284,"")</f>
        <v/>
      </c>
      <c r="N1284" s="31">
        <f>IF(AND(J1284=1,ISNUMBER(I1284)),I1284,"")</f>
        <v/>
      </c>
      <c r="O1284" s="11">
        <f>IF(K1284="","",100-IF($G$13=1,50,(_xlfn.RANK.AVG(K1284,$K$19:$K$1518,1)-1)/($G$13-1)*100))</f>
        <v/>
      </c>
      <c r="P1284" s="11">
        <f>IF(L1284="","",100-IF($G$14=1,50,(_xlfn.RANK.AVG(L1284,$L$19:$L$1518,1)-1)/($G$14-1)*100))</f>
        <v/>
      </c>
      <c r="Q1284" s="11">
        <f>IF(M1284="","",IF($G$15=1,50,(_xlfn.RANK.AVG(M1284,$M$19:$M$1518,1)-1)/($G$15-1)*100))</f>
        <v/>
      </c>
      <c r="R1284" s="11">
        <f>IF(N1284="","",IF($G$16=1,50,(_xlfn.RANK.AVG(N1284,$N$19:$N$1518,1)-1)/($G$16-1)*100))</f>
        <v/>
      </c>
      <c r="S1284" s="11">
        <f>IF(COUNT(O1284:R1284)=4,ROUND(AVERAGE(O1284:R1284),6),"")</f>
        <v/>
      </c>
      <c r="U1284">
        <f>IF(AND(ISNUMBER('자료_한국심리'!$A1268),ISNUMBER('자료_한국심리'!$B1268)),'자료_한국심리'!$A1268,"")</f>
        <v/>
      </c>
      <c r="V1284">
        <f>IF(AND(ISNUMBER('자료_한국심리'!$D1268),ISNUMBER('자료_한국심리'!$E1268)),'자료_한국심리'!$D1268,"")</f>
        <v/>
      </c>
      <c r="W1284">
        <f>IF(AND(ISNUMBER('자료_한국심리'!$G1268),ISNUMBER('자료_한국심리'!$H1268)),'자료_한국심리'!$G1268,"")</f>
        <v/>
      </c>
      <c r="X1284">
        <f>IF(AND(ISNUMBER('자료_한국심리'!$J1268),ISNUMBER('자료_한국심리'!$K1268)),'자료_한국심리'!$J1268,"")</f>
        <v/>
      </c>
      <c r="Y1284">
        <f>IF(AND(ISNUMBER('자료_한국심리'!$M1268),ISNUMBER('자료_한국심리'!$N1268)),'자료_한국심리'!$M1268,"")</f>
        <v/>
      </c>
    </row>
    <row r="1285">
      <c r="A1285" s="10">
        <f>IF(1267&gt;$E$5,"",SMALL($U$19:$U$4018,$E$6+1267))</f>
        <v/>
      </c>
      <c r="B1285" s="29">
        <f>IF(A1285="","",INDEX('자료_한국심리'!$B$3:$B$4002,MATCH(A1285,$U$19:$U$4018,0)))</f>
        <v/>
      </c>
      <c r="C1285" s="22">
        <f>IF(A1285="","",B1285/AVERAGE(B1161:B1285)-1)</f>
        <v/>
      </c>
      <c r="D1285" s="29">
        <f>IF(A1285="","",IFERROR(INDEX('자료_한국심리'!$E$3:$E$4002,MATCH(A1285,$V$19:$V$4018,0)),D1284))</f>
        <v/>
      </c>
      <c r="E1285" s="30">
        <f>IF(A1285="","",IFERROR(INDEX('자료_한국심리'!$H$3:$H$4002,MATCH(A1285,$W$19:$W$4018,0)),E1284))</f>
        <v/>
      </c>
      <c r="F1285" s="30">
        <f>IF(A1285="","",IFERROR(INDEX('자료_한국심리'!$K$3:$K$4002,MATCH(A1285,$X$19:$X$4018,0)),F1284))</f>
        <v/>
      </c>
      <c r="G1285" s="30">
        <f>IF(AND(ISNUMBER(E1285),ISNUMBER(F1285)),ROUND(E1285-F1285,6),"")</f>
        <v/>
      </c>
      <c r="H1285" s="25">
        <f>IF(A1285="","",IFERROR(INDEX('자료_한국심리'!$N$3:$N$4002,MATCH(A1285,$Y$19:$Y$4018,0)),H1284))</f>
        <v/>
      </c>
      <c r="I1285" s="31">
        <f>IF(AND(ISNUMBER(H1285),ISNUMBER(H1265)),IF(H1265&gt;0,H1285/H1265-1,""),"")</f>
        <v/>
      </c>
      <c r="J1285">
        <f>IF(A1285="",0,IF(A1285&gt;$B$5,1,0))</f>
        <v/>
      </c>
      <c r="K1285" s="29">
        <f>IF(AND(J1285=1,ISNUMBER(D1285)),D1285,"")</f>
        <v/>
      </c>
      <c r="L1285" s="30">
        <f>IF(AND(J1285=1,ISNUMBER(G1285)),G1285,"")</f>
        <v/>
      </c>
      <c r="M1285" s="22">
        <f>IF(AND(J1285=1,ISNUMBER(C1285)),C1285,"")</f>
        <v/>
      </c>
      <c r="N1285" s="31">
        <f>IF(AND(J1285=1,ISNUMBER(I1285)),I1285,"")</f>
        <v/>
      </c>
      <c r="O1285" s="11">
        <f>IF(K1285="","",100-IF($G$13=1,50,(_xlfn.RANK.AVG(K1285,$K$19:$K$1518,1)-1)/($G$13-1)*100))</f>
        <v/>
      </c>
      <c r="P1285" s="11">
        <f>IF(L1285="","",100-IF($G$14=1,50,(_xlfn.RANK.AVG(L1285,$L$19:$L$1518,1)-1)/($G$14-1)*100))</f>
        <v/>
      </c>
      <c r="Q1285" s="11">
        <f>IF(M1285="","",IF($G$15=1,50,(_xlfn.RANK.AVG(M1285,$M$19:$M$1518,1)-1)/($G$15-1)*100))</f>
        <v/>
      </c>
      <c r="R1285" s="11">
        <f>IF(N1285="","",IF($G$16=1,50,(_xlfn.RANK.AVG(N1285,$N$19:$N$1518,1)-1)/($G$16-1)*100))</f>
        <v/>
      </c>
      <c r="S1285" s="11">
        <f>IF(COUNT(O1285:R1285)=4,ROUND(AVERAGE(O1285:R1285),6),"")</f>
        <v/>
      </c>
      <c r="U1285">
        <f>IF(AND(ISNUMBER('자료_한국심리'!$A1269),ISNUMBER('자료_한국심리'!$B1269)),'자료_한국심리'!$A1269,"")</f>
        <v/>
      </c>
      <c r="V1285">
        <f>IF(AND(ISNUMBER('자료_한국심리'!$D1269),ISNUMBER('자료_한국심리'!$E1269)),'자료_한국심리'!$D1269,"")</f>
        <v/>
      </c>
      <c r="W1285">
        <f>IF(AND(ISNUMBER('자료_한국심리'!$G1269),ISNUMBER('자료_한국심리'!$H1269)),'자료_한국심리'!$G1269,"")</f>
        <v/>
      </c>
      <c r="X1285">
        <f>IF(AND(ISNUMBER('자료_한국심리'!$J1269),ISNUMBER('자료_한국심리'!$K1269)),'자료_한국심리'!$J1269,"")</f>
        <v/>
      </c>
      <c r="Y1285">
        <f>IF(AND(ISNUMBER('자료_한국심리'!$M1269),ISNUMBER('자료_한국심리'!$N1269)),'자료_한국심리'!$M1269,"")</f>
        <v/>
      </c>
    </row>
    <row r="1286">
      <c r="A1286" s="10">
        <f>IF(1268&gt;$E$5,"",SMALL($U$19:$U$4018,$E$6+1268))</f>
        <v/>
      </c>
      <c r="B1286" s="29">
        <f>IF(A1286="","",INDEX('자료_한국심리'!$B$3:$B$4002,MATCH(A1286,$U$19:$U$4018,0)))</f>
        <v/>
      </c>
      <c r="C1286" s="22">
        <f>IF(A1286="","",B1286/AVERAGE(B1162:B1286)-1)</f>
        <v/>
      </c>
      <c r="D1286" s="29">
        <f>IF(A1286="","",IFERROR(INDEX('자료_한국심리'!$E$3:$E$4002,MATCH(A1286,$V$19:$V$4018,0)),D1285))</f>
        <v/>
      </c>
      <c r="E1286" s="30">
        <f>IF(A1286="","",IFERROR(INDEX('자료_한국심리'!$H$3:$H$4002,MATCH(A1286,$W$19:$W$4018,0)),E1285))</f>
        <v/>
      </c>
      <c r="F1286" s="30">
        <f>IF(A1286="","",IFERROR(INDEX('자료_한국심리'!$K$3:$K$4002,MATCH(A1286,$X$19:$X$4018,0)),F1285))</f>
        <v/>
      </c>
      <c r="G1286" s="30">
        <f>IF(AND(ISNUMBER(E1286),ISNUMBER(F1286)),ROUND(E1286-F1286,6),"")</f>
        <v/>
      </c>
      <c r="H1286" s="25">
        <f>IF(A1286="","",IFERROR(INDEX('자료_한국심리'!$N$3:$N$4002,MATCH(A1286,$Y$19:$Y$4018,0)),H1285))</f>
        <v/>
      </c>
      <c r="I1286" s="31">
        <f>IF(AND(ISNUMBER(H1286),ISNUMBER(H1266)),IF(H1266&gt;0,H1286/H1266-1,""),"")</f>
        <v/>
      </c>
      <c r="J1286">
        <f>IF(A1286="",0,IF(A1286&gt;$B$5,1,0))</f>
        <v/>
      </c>
      <c r="K1286" s="29">
        <f>IF(AND(J1286=1,ISNUMBER(D1286)),D1286,"")</f>
        <v/>
      </c>
      <c r="L1286" s="30">
        <f>IF(AND(J1286=1,ISNUMBER(G1286)),G1286,"")</f>
        <v/>
      </c>
      <c r="M1286" s="22">
        <f>IF(AND(J1286=1,ISNUMBER(C1286)),C1286,"")</f>
        <v/>
      </c>
      <c r="N1286" s="31">
        <f>IF(AND(J1286=1,ISNUMBER(I1286)),I1286,"")</f>
        <v/>
      </c>
      <c r="O1286" s="11">
        <f>IF(K1286="","",100-IF($G$13=1,50,(_xlfn.RANK.AVG(K1286,$K$19:$K$1518,1)-1)/($G$13-1)*100))</f>
        <v/>
      </c>
      <c r="P1286" s="11">
        <f>IF(L1286="","",100-IF($G$14=1,50,(_xlfn.RANK.AVG(L1286,$L$19:$L$1518,1)-1)/($G$14-1)*100))</f>
        <v/>
      </c>
      <c r="Q1286" s="11">
        <f>IF(M1286="","",IF($G$15=1,50,(_xlfn.RANK.AVG(M1286,$M$19:$M$1518,1)-1)/($G$15-1)*100))</f>
        <v/>
      </c>
      <c r="R1286" s="11">
        <f>IF(N1286="","",IF($G$16=1,50,(_xlfn.RANK.AVG(N1286,$N$19:$N$1518,1)-1)/($G$16-1)*100))</f>
        <v/>
      </c>
      <c r="S1286" s="11">
        <f>IF(COUNT(O1286:R1286)=4,ROUND(AVERAGE(O1286:R1286),6),"")</f>
        <v/>
      </c>
      <c r="U1286">
        <f>IF(AND(ISNUMBER('자료_한국심리'!$A1270),ISNUMBER('자료_한국심리'!$B1270)),'자료_한국심리'!$A1270,"")</f>
        <v/>
      </c>
      <c r="V1286">
        <f>IF(AND(ISNUMBER('자료_한국심리'!$D1270),ISNUMBER('자료_한국심리'!$E1270)),'자료_한국심리'!$D1270,"")</f>
        <v/>
      </c>
      <c r="W1286">
        <f>IF(AND(ISNUMBER('자료_한국심리'!$G1270),ISNUMBER('자료_한국심리'!$H1270)),'자료_한국심리'!$G1270,"")</f>
        <v/>
      </c>
      <c r="X1286">
        <f>IF(AND(ISNUMBER('자료_한국심리'!$J1270),ISNUMBER('자료_한국심리'!$K1270)),'자료_한국심리'!$J1270,"")</f>
        <v/>
      </c>
      <c r="Y1286">
        <f>IF(AND(ISNUMBER('자료_한국심리'!$M1270),ISNUMBER('자료_한국심리'!$N1270)),'자료_한국심리'!$M1270,"")</f>
        <v/>
      </c>
    </row>
    <row r="1287">
      <c r="A1287" s="10">
        <f>IF(1269&gt;$E$5,"",SMALL($U$19:$U$4018,$E$6+1269))</f>
        <v/>
      </c>
      <c r="B1287" s="29">
        <f>IF(A1287="","",INDEX('자료_한국심리'!$B$3:$B$4002,MATCH(A1287,$U$19:$U$4018,0)))</f>
        <v/>
      </c>
      <c r="C1287" s="22">
        <f>IF(A1287="","",B1287/AVERAGE(B1163:B1287)-1)</f>
        <v/>
      </c>
      <c r="D1287" s="29">
        <f>IF(A1287="","",IFERROR(INDEX('자료_한국심리'!$E$3:$E$4002,MATCH(A1287,$V$19:$V$4018,0)),D1286))</f>
        <v/>
      </c>
      <c r="E1287" s="30">
        <f>IF(A1287="","",IFERROR(INDEX('자료_한국심리'!$H$3:$H$4002,MATCH(A1287,$W$19:$W$4018,0)),E1286))</f>
        <v/>
      </c>
      <c r="F1287" s="30">
        <f>IF(A1287="","",IFERROR(INDEX('자료_한국심리'!$K$3:$K$4002,MATCH(A1287,$X$19:$X$4018,0)),F1286))</f>
        <v/>
      </c>
      <c r="G1287" s="30">
        <f>IF(AND(ISNUMBER(E1287),ISNUMBER(F1287)),ROUND(E1287-F1287,6),"")</f>
        <v/>
      </c>
      <c r="H1287" s="25">
        <f>IF(A1287="","",IFERROR(INDEX('자료_한국심리'!$N$3:$N$4002,MATCH(A1287,$Y$19:$Y$4018,0)),H1286))</f>
        <v/>
      </c>
      <c r="I1287" s="31">
        <f>IF(AND(ISNUMBER(H1287),ISNUMBER(H1267)),IF(H1267&gt;0,H1287/H1267-1,""),"")</f>
        <v/>
      </c>
      <c r="J1287">
        <f>IF(A1287="",0,IF(A1287&gt;$B$5,1,0))</f>
        <v/>
      </c>
      <c r="K1287" s="29">
        <f>IF(AND(J1287=1,ISNUMBER(D1287)),D1287,"")</f>
        <v/>
      </c>
      <c r="L1287" s="30">
        <f>IF(AND(J1287=1,ISNUMBER(G1287)),G1287,"")</f>
        <v/>
      </c>
      <c r="M1287" s="22">
        <f>IF(AND(J1287=1,ISNUMBER(C1287)),C1287,"")</f>
        <v/>
      </c>
      <c r="N1287" s="31">
        <f>IF(AND(J1287=1,ISNUMBER(I1287)),I1287,"")</f>
        <v/>
      </c>
      <c r="O1287" s="11">
        <f>IF(K1287="","",100-IF($G$13=1,50,(_xlfn.RANK.AVG(K1287,$K$19:$K$1518,1)-1)/($G$13-1)*100))</f>
        <v/>
      </c>
      <c r="P1287" s="11">
        <f>IF(L1287="","",100-IF($G$14=1,50,(_xlfn.RANK.AVG(L1287,$L$19:$L$1518,1)-1)/($G$14-1)*100))</f>
        <v/>
      </c>
      <c r="Q1287" s="11">
        <f>IF(M1287="","",IF($G$15=1,50,(_xlfn.RANK.AVG(M1287,$M$19:$M$1518,1)-1)/($G$15-1)*100))</f>
        <v/>
      </c>
      <c r="R1287" s="11">
        <f>IF(N1287="","",IF($G$16=1,50,(_xlfn.RANK.AVG(N1287,$N$19:$N$1518,1)-1)/($G$16-1)*100))</f>
        <v/>
      </c>
      <c r="S1287" s="11">
        <f>IF(COUNT(O1287:R1287)=4,ROUND(AVERAGE(O1287:R1287),6),"")</f>
        <v/>
      </c>
      <c r="U1287">
        <f>IF(AND(ISNUMBER('자료_한국심리'!$A1271),ISNUMBER('자료_한국심리'!$B1271)),'자료_한국심리'!$A1271,"")</f>
        <v/>
      </c>
      <c r="V1287">
        <f>IF(AND(ISNUMBER('자료_한국심리'!$D1271),ISNUMBER('자료_한국심리'!$E1271)),'자료_한국심리'!$D1271,"")</f>
        <v/>
      </c>
      <c r="W1287">
        <f>IF(AND(ISNUMBER('자료_한국심리'!$G1271),ISNUMBER('자료_한국심리'!$H1271)),'자료_한국심리'!$G1271,"")</f>
        <v/>
      </c>
      <c r="X1287">
        <f>IF(AND(ISNUMBER('자료_한국심리'!$J1271),ISNUMBER('자료_한국심리'!$K1271)),'자료_한국심리'!$J1271,"")</f>
        <v/>
      </c>
      <c r="Y1287">
        <f>IF(AND(ISNUMBER('자료_한국심리'!$M1271),ISNUMBER('자료_한국심리'!$N1271)),'자료_한국심리'!$M1271,"")</f>
        <v/>
      </c>
    </row>
    <row r="1288">
      <c r="A1288" s="10">
        <f>IF(1270&gt;$E$5,"",SMALL($U$19:$U$4018,$E$6+1270))</f>
        <v/>
      </c>
      <c r="B1288" s="29">
        <f>IF(A1288="","",INDEX('자료_한국심리'!$B$3:$B$4002,MATCH(A1288,$U$19:$U$4018,0)))</f>
        <v/>
      </c>
      <c r="C1288" s="22">
        <f>IF(A1288="","",B1288/AVERAGE(B1164:B1288)-1)</f>
        <v/>
      </c>
      <c r="D1288" s="29">
        <f>IF(A1288="","",IFERROR(INDEX('자료_한국심리'!$E$3:$E$4002,MATCH(A1288,$V$19:$V$4018,0)),D1287))</f>
        <v/>
      </c>
      <c r="E1288" s="30">
        <f>IF(A1288="","",IFERROR(INDEX('자료_한국심리'!$H$3:$H$4002,MATCH(A1288,$W$19:$W$4018,0)),E1287))</f>
        <v/>
      </c>
      <c r="F1288" s="30">
        <f>IF(A1288="","",IFERROR(INDEX('자료_한국심리'!$K$3:$K$4002,MATCH(A1288,$X$19:$X$4018,0)),F1287))</f>
        <v/>
      </c>
      <c r="G1288" s="30">
        <f>IF(AND(ISNUMBER(E1288),ISNUMBER(F1288)),ROUND(E1288-F1288,6),"")</f>
        <v/>
      </c>
      <c r="H1288" s="25">
        <f>IF(A1288="","",IFERROR(INDEX('자료_한국심리'!$N$3:$N$4002,MATCH(A1288,$Y$19:$Y$4018,0)),H1287))</f>
        <v/>
      </c>
      <c r="I1288" s="31">
        <f>IF(AND(ISNUMBER(H1288),ISNUMBER(H1268)),IF(H1268&gt;0,H1288/H1268-1,""),"")</f>
        <v/>
      </c>
      <c r="J1288">
        <f>IF(A1288="",0,IF(A1288&gt;$B$5,1,0))</f>
        <v/>
      </c>
      <c r="K1288" s="29">
        <f>IF(AND(J1288=1,ISNUMBER(D1288)),D1288,"")</f>
        <v/>
      </c>
      <c r="L1288" s="30">
        <f>IF(AND(J1288=1,ISNUMBER(G1288)),G1288,"")</f>
        <v/>
      </c>
      <c r="M1288" s="22">
        <f>IF(AND(J1288=1,ISNUMBER(C1288)),C1288,"")</f>
        <v/>
      </c>
      <c r="N1288" s="31">
        <f>IF(AND(J1288=1,ISNUMBER(I1288)),I1288,"")</f>
        <v/>
      </c>
      <c r="O1288" s="11">
        <f>IF(K1288="","",100-IF($G$13=1,50,(_xlfn.RANK.AVG(K1288,$K$19:$K$1518,1)-1)/($G$13-1)*100))</f>
        <v/>
      </c>
      <c r="P1288" s="11">
        <f>IF(L1288="","",100-IF($G$14=1,50,(_xlfn.RANK.AVG(L1288,$L$19:$L$1518,1)-1)/($G$14-1)*100))</f>
        <v/>
      </c>
      <c r="Q1288" s="11">
        <f>IF(M1288="","",IF($G$15=1,50,(_xlfn.RANK.AVG(M1288,$M$19:$M$1518,1)-1)/($G$15-1)*100))</f>
        <v/>
      </c>
      <c r="R1288" s="11">
        <f>IF(N1288="","",IF($G$16=1,50,(_xlfn.RANK.AVG(N1288,$N$19:$N$1518,1)-1)/($G$16-1)*100))</f>
        <v/>
      </c>
      <c r="S1288" s="11">
        <f>IF(COUNT(O1288:R1288)=4,ROUND(AVERAGE(O1288:R1288),6),"")</f>
        <v/>
      </c>
      <c r="U1288">
        <f>IF(AND(ISNUMBER('자료_한국심리'!$A1272),ISNUMBER('자료_한국심리'!$B1272)),'자료_한국심리'!$A1272,"")</f>
        <v/>
      </c>
      <c r="V1288">
        <f>IF(AND(ISNUMBER('자료_한국심리'!$D1272),ISNUMBER('자료_한국심리'!$E1272)),'자료_한국심리'!$D1272,"")</f>
        <v/>
      </c>
      <c r="W1288">
        <f>IF(AND(ISNUMBER('자료_한국심리'!$G1272),ISNUMBER('자료_한국심리'!$H1272)),'자료_한국심리'!$G1272,"")</f>
        <v/>
      </c>
      <c r="X1288">
        <f>IF(AND(ISNUMBER('자료_한국심리'!$J1272),ISNUMBER('자료_한국심리'!$K1272)),'자료_한국심리'!$J1272,"")</f>
        <v/>
      </c>
      <c r="Y1288">
        <f>IF(AND(ISNUMBER('자료_한국심리'!$M1272),ISNUMBER('자료_한국심리'!$N1272)),'자료_한국심리'!$M1272,"")</f>
        <v/>
      </c>
    </row>
    <row r="1289">
      <c r="A1289" s="10">
        <f>IF(1271&gt;$E$5,"",SMALL($U$19:$U$4018,$E$6+1271))</f>
        <v/>
      </c>
      <c r="B1289" s="29">
        <f>IF(A1289="","",INDEX('자료_한국심리'!$B$3:$B$4002,MATCH(A1289,$U$19:$U$4018,0)))</f>
        <v/>
      </c>
      <c r="C1289" s="22">
        <f>IF(A1289="","",B1289/AVERAGE(B1165:B1289)-1)</f>
        <v/>
      </c>
      <c r="D1289" s="29">
        <f>IF(A1289="","",IFERROR(INDEX('자료_한국심리'!$E$3:$E$4002,MATCH(A1289,$V$19:$V$4018,0)),D1288))</f>
        <v/>
      </c>
      <c r="E1289" s="30">
        <f>IF(A1289="","",IFERROR(INDEX('자료_한국심리'!$H$3:$H$4002,MATCH(A1289,$W$19:$W$4018,0)),E1288))</f>
        <v/>
      </c>
      <c r="F1289" s="30">
        <f>IF(A1289="","",IFERROR(INDEX('자료_한국심리'!$K$3:$K$4002,MATCH(A1289,$X$19:$X$4018,0)),F1288))</f>
        <v/>
      </c>
      <c r="G1289" s="30">
        <f>IF(AND(ISNUMBER(E1289),ISNUMBER(F1289)),ROUND(E1289-F1289,6),"")</f>
        <v/>
      </c>
      <c r="H1289" s="25">
        <f>IF(A1289="","",IFERROR(INDEX('자료_한국심리'!$N$3:$N$4002,MATCH(A1289,$Y$19:$Y$4018,0)),H1288))</f>
        <v/>
      </c>
      <c r="I1289" s="31">
        <f>IF(AND(ISNUMBER(H1289),ISNUMBER(H1269)),IF(H1269&gt;0,H1289/H1269-1,""),"")</f>
        <v/>
      </c>
      <c r="J1289">
        <f>IF(A1289="",0,IF(A1289&gt;$B$5,1,0))</f>
        <v/>
      </c>
      <c r="K1289" s="29">
        <f>IF(AND(J1289=1,ISNUMBER(D1289)),D1289,"")</f>
        <v/>
      </c>
      <c r="L1289" s="30">
        <f>IF(AND(J1289=1,ISNUMBER(G1289)),G1289,"")</f>
        <v/>
      </c>
      <c r="M1289" s="22">
        <f>IF(AND(J1289=1,ISNUMBER(C1289)),C1289,"")</f>
        <v/>
      </c>
      <c r="N1289" s="31">
        <f>IF(AND(J1289=1,ISNUMBER(I1289)),I1289,"")</f>
        <v/>
      </c>
      <c r="O1289" s="11">
        <f>IF(K1289="","",100-IF($G$13=1,50,(_xlfn.RANK.AVG(K1289,$K$19:$K$1518,1)-1)/($G$13-1)*100))</f>
        <v/>
      </c>
      <c r="P1289" s="11">
        <f>IF(L1289="","",100-IF($G$14=1,50,(_xlfn.RANK.AVG(L1289,$L$19:$L$1518,1)-1)/($G$14-1)*100))</f>
        <v/>
      </c>
      <c r="Q1289" s="11">
        <f>IF(M1289="","",IF($G$15=1,50,(_xlfn.RANK.AVG(M1289,$M$19:$M$1518,1)-1)/($G$15-1)*100))</f>
        <v/>
      </c>
      <c r="R1289" s="11">
        <f>IF(N1289="","",IF($G$16=1,50,(_xlfn.RANK.AVG(N1289,$N$19:$N$1518,1)-1)/($G$16-1)*100))</f>
        <v/>
      </c>
      <c r="S1289" s="11">
        <f>IF(COUNT(O1289:R1289)=4,ROUND(AVERAGE(O1289:R1289),6),"")</f>
        <v/>
      </c>
      <c r="U1289">
        <f>IF(AND(ISNUMBER('자료_한국심리'!$A1273),ISNUMBER('자료_한국심리'!$B1273)),'자료_한국심리'!$A1273,"")</f>
        <v/>
      </c>
      <c r="V1289">
        <f>IF(AND(ISNUMBER('자료_한국심리'!$D1273),ISNUMBER('자료_한국심리'!$E1273)),'자료_한국심리'!$D1273,"")</f>
        <v/>
      </c>
      <c r="W1289">
        <f>IF(AND(ISNUMBER('자료_한국심리'!$G1273),ISNUMBER('자료_한국심리'!$H1273)),'자료_한국심리'!$G1273,"")</f>
        <v/>
      </c>
      <c r="X1289">
        <f>IF(AND(ISNUMBER('자료_한국심리'!$J1273),ISNUMBER('자료_한국심리'!$K1273)),'자료_한국심리'!$J1273,"")</f>
        <v/>
      </c>
      <c r="Y1289">
        <f>IF(AND(ISNUMBER('자료_한국심리'!$M1273),ISNUMBER('자료_한국심리'!$N1273)),'자료_한국심리'!$M1273,"")</f>
        <v/>
      </c>
    </row>
    <row r="1290">
      <c r="A1290" s="10">
        <f>IF(1272&gt;$E$5,"",SMALL($U$19:$U$4018,$E$6+1272))</f>
        <v/>
      </c>
      <c r="B1290" s="29">
        <f>IF(A1290="","",INDEX('자료_한국심리'!$B$3:$B$4002,MATCH(A1290,$U$19:$U$4018,0)))</f>
        <v/>
      </c>
      <c r="C1290" s="22">
        <f>IF(A1290="","",B1290/AVERAGE(B1166:B1290)-1)</f>
        <v/>
      </c>
      <c r="D1290" s="29">
        <f>IF(A1290="","",IFERROR(INDEX('자료_한국심리'!$E$3:$E$4002,MATCH(A1290,$V$19:$V$4018,0)),D1289))</f>
        <v/>
      </c>
      <c r="E1290" s="30">
        <f>IF(A1290="","",IFERROR(INDEX('자료_한국심리'!$H$3:$H$4002,MATCH(A1290,$W$19:$W$4018,0)),E1289))</f>
        <v/>
      </c>
      <c r="F1290" s="30">
        <f>IF(A1290="","",IFERROR(INDEX('자료_한국심리'!$K$3:$K$4002,MATCH(A1290,$X$19:$X$4018,0)),F1289))</f>
        <v/>
      </c>
      <c r="G1290" s="30">
        <f>IF(AND(ISNUMBER(E1290),ISNUMBER(F1290)),ROUND(E1290-F1290,6),"")</f>
        <v/>
      </c>
      <c r="H1290" s="25">
        <f>IF(A1290="","",IFERROR(INDEX('자료_한국심리'!$N$3:$N$4002,MATCH(A1290,$Y$19:$Y$4018,0)),H1289))</f>
        <v/>
      </c>
      <c r="I1290" s="31">
        <f>IF(AND(ISNUMBER(H1290),ISNUMBER(H1270)),IF(H1270&gt;0,H1290/H1270-1,""),"")</f>
        <v/>
      </c>
      <c r="J1290">
        <f>IF(A1290="",0,IF(A1290&gt;$B$5,1,0))</f>
        <v/>
      </c>
      <c r="K1290" s="29">
        <f>IF(AND(J1290=1,ISNUMBER(D1290)),D1290,"")</f>
        <v/>
      </c>
      <c r="L1290" s="30">
        <f>IF(AND(J1290=1,ISNUMBER(G1290)),G1290,"")</f>
        <v/>
      </c>
      <c r="M1290" s="22">
        <f>IF(AND(J1290=1,ISNUMBER(C1290)),C1290,"")</f>
        <v/>
      </c>
      <c r="N1290" s="31">
        <f>IF(AND(J1290=1,ISNUMBER(I1290)),I1290,"")</f>
        <v/>
      </c>
      <c r="O1290" s="11">
        <f>IF(K1290="","",100-IF($G$13=1,50,(_xlfn.RANK.AVG(K1290,$K$19:$K$1518,1)-1)/($G$13-1)*100))</f>
        <v/>
      </c>
      <c r="P1290" s="11">
        <f>IF(L1290="","",100-IF($G$14=1,50,(_xlfn.RANK.AVG(L1290,$L$19:$L$1518,1)-1)/($G$14-1)*100))</f>
        <v/>
      </c>
      <c r="Q1290" s="11">
        <f>IF(M1290="","",IF($G$15=1,50,(_xlfn.RANK.AVG(M1290,$M$19:$M$1518,1)-1)/($G$15-1)*100))</f>
        <v/>
      </c>
      <c r="R1290" s="11">
        <f>IF(N1290="","",IF($G$16=1,50,(_xlfn.RANK.AVG(N1290,$N$19:$N$1518,1)-1)/($G$16-1)*100))</f>
        <v/>
      </c>
      <c r="S1290" s="11">
        <f>IF(COUNT(O1290:R1290)=4,ROUND(AVERAGE(O1290:R1290),6),"")</f>
        <v/>
      </c>
      <c r="U1290">
        <f>IF(AND(ISNUMBER('자료_한국심리'!$A1274),ISNUMBER('자료_한국심리'!$B1274)),'자료_한국심리'!$A1274,"")</f>
        <v/>
      </c>
      <c r="V1290">
        <f>IF(AND(ISNUMBER('자료_한국심리'!$D1274),ISNUMBER('자료_한국심리'!$E1274)),'자료_한국심리'!$D1274,"")</f>
        <v/>
      </c>
      <c r="W1290">
        <f>IF(AND(ISNUMBER('자료_한국심리'!$G1274),ISNUMBER('자료_한국심리'!$H1274)),'자료_한국심리'!$G1274,"")</f>
        <v/>
      </c>
      <c r="X1290">
        <f>IF(AND(ISNUMBER('자료_한국심리'!$J1274),ISNUMBER('자료_한국심리'!$K1274)),'자료_한국심리'!$J1274,"")</f>
        <v/>
      </c>
      <c r="Y1290">
        <f>IF(AND(ISNUMBER('자료_한국심리'!$M1274),ISNUMBER('자료_한국심리'!$N1274)),'자료_한국심리'!$M1274,"")</f>
        <v/>
      </c>
    </row>
    <row r="1291">
      <c r="A1291" s="10">
        <f>IF(1273&gt;$E$5,"",SMALL($U$19:$U$4018,$E$6+1273))</f>
        <v/>
      </c>
      <c r="B1291" s="29">
        <f>IF(A1291="","",INDEX('자료_한국심리'!$B$3:$B$4002,MATCH(A1291,$U$19:$U$4018,0)))</f>
        <v/>
      </c>
      <c r="C1291" s="22">
        <f>IF(A1291="","",B1291/AVERAGE(B1167:B1291)-1)</f>
        <v/>
      </c>
      <c r="D1291" s="29">
        <f>IF(A1291="","",IFERROR(INDEX('자료_한국심리'!$E$3:$E$4002,MATCH(A1291,$V$19:$V$4018,0)),D1290))</f>
        <v/>
      </c>
      <c r="E1291" s="30">
        <f>IF(A1291="","",IFERROR(INDEX('자료_한국심리'!$H$3:$H$4002,MATCH(A1291,$W$19:$W$4018,0)),E1290))</f>
        <v/>
      </c>
      <c r="F1291" s="30">
        <f>IF(A1291="","",IFERROR(INDEX('자료_한국심리'!$K$3:$K$4002,MATCH(A1291,$X$19:$X$4018,0)),F1290))</f>
        <v/>
      </c>
      <c r="G1291" s="30">
        <f>IF(AND(ISNUMBER(E1291),ISNUMBER(F1291)),ROUND(E1291-F1291,6),"")</f>
        <v/>
      </c>
      <c r="H1291" s="25">
        <f>IF(A1291="","",IFERROR(INDEX('자료_한국심리'!$N$3:$N$4002,MATCH(A1291,$Y$19:$Y$4018,0)),H1290))</f>
        <v/>
      </c>
      <c r="I1291" s="31">
        <f>IF(AND(ISNUMBER(H1291),ISNUMBER(H1271)),IF(H1271&gt;0,H1291/H1271-1,""),"")</f>
        <v/>
      </c>
      <c r="J1291">
        <f>IF(A1291="",0,IF(A1291&gt;$B$5,1,0))</f>
        <v/>
      </c>
      <c r="K1291" s="29">
        <f>IF(AND(J1291=1,ISNUMBER(D1291)),D1291,"")</f>
        <v/>
      </c>
      <c r="L1291" s="30">
        <f>IF(AND(J1291=1,ISNUMBER(G1291)),G1291,"")</f>
        <v/>
      </c>
      <c r="M1291" s="22">
        <f>IF(AND(J1291=1,ISNUMBER(C1291)),C1291,"")</f>
        <v/>
      </c>
      <c r="N1291" s="31">
        <f>IF(AND(J1291=1,ISNUMBER(I1291)),I1291,"")</f>
        <v/>
      </c>
      <c r="O1291" s="11">
        <f>IF(K1291="","",100-IF($G$13=1,50,(_xlfn.RANK.AVG(K1291,$K$19:$K$1518,1)-1)/($G$13-1)*100))</f>
        <v/>
      </c>
      <c r="P1291" s="11">
        <f>IF(L1291="","",100-IF($G$14=1,50,(_xlfn.RANK.AVG(L1291,$L$19:$L$1518,1)-1)/($G$14-1)*100))</f>
        <v/>
      </c>
      <c r="Q1291" s="11">
        <f>IF(M1291="","",IF($G$15=1,50,(_xlfn.RANK.AVG(M1291,$M$19:$M$1518,1)-1)/($G$15-1)*100))</f>
        <v/>
      </c>
      <c r="R1291" s="11">
        <f>IF(N1291="","",IF($G$16=1,50,(_xlfn.RANK.AVG(N1291,$N$19:$N$1518,1)-1)/($G$16-1)*100))</f>
        <v/>
      </c>
      <c r="S1291" s="11">
        <f>IF(COUNT(O1291:R1291)=4,ROUND(AVERAGE(O1291:R1291),6),"")</f>
        <v/>
      </c>
      <c r="U1291">
        <f>IF(AND(ISNUMBER('자료_한국심리'!$A1275),ISNUMBER('자료_한국심리'!$B1275)),'자료_한국심리'!$A1275,"")</f>
        <v/>
      </c>
      <c r="V1291">
        <f>IF(AND(ISNUMBER('자료_한국심리'!$D1275),ISNUMBER('자료_한국심리'!$E1275)),'자료_한국심리'!$D1275,"")</f>
        <v/>
      </c>
      <c r="W1291">
        <f>IF(AND(ISNUMBER('자료_한국심리'!$G1275),ISNUMBER('자료_한국심리'!$H1275)),'자료_한국심리'!$G1275,"")</f>
        <v/>
      </c>
      <c r="X1291">
        <f>IF(AND(ISNUMBER('자료_한국심리'!$J1275),ISNUMBER('자료_한국심리'!$K1275)),'자료_한국심리'!$J1275,"")</f>
        <v/>
      </c>
      <c r="Y1291">
        <f>IF(AND(ISNUMBER('자료_한국심리'!$M1275),ISNUMBER('자료_한국심리'!$N1275)),'자료_한국심리'!$M1275,"")</f>
        <v/>
      </c>
    </row>
    <row r="1292">
      <c r="A1292" s="10">
        <f>IF(1274&gt;$E$5,"",SMALL($U$19:$U$4018,$E$6+1274))</f>
        <v/>
      </c>
      <c r="B1292" s="29">
        <f>IF(A1292="","",INDEX('자료_한국심리'!$B$3:$B$4002,MATCH(A1292,$U$19:$U$4018,0)))</f>
        <v/>
      </c>
      <c r="C1292" s="22">
        <f>IF(A1292="","",B1292/AVERAGE(B1168:B1292)-1)</f>
        <v/>
      </c>
      <c r="D1292" s="29">
        <f>IF(A1292="","",IFERROR(INDEX('자료_한국심리'!$E$3:$E$4002,MATCH(A1292,$V$19:$V$4018,0)),D1291))</f>
        <v/>
      </c>
      <c r="E1292" s="30">
        <f>IF(A1292="","",IFERROR(INDEX('자료_한국심리'!$H$3:$H$4002,MATCH(A1292,$W$19:$W$4018,0)),E1291))</f>
        <v/>
      </c>
      <c r="F1292" s="30">
        <f>IF(A1292="","",IFERROR(INDEX('자료_한국심리'!$K$3:$K$4002,MATCH(A1292,$X$19:$X$4018,0)),F1291))</f>
        <v/>
      </c>
      <c r="G1292" s="30">
        <f>IF(AND(ISNUMBER(E1292),ISNUMBER(F1292)),ROUND(E1292-F1292,6),"")</f>
        <v/>
      </c>
      <c r="H1292" s="25">
        <f>IF(A1292="","",IFERROR(INDEX('자료_한국심리'!$N$3:$N$4002,MATCH(A1292,$Y$19:$Y$4018,0)),H1291))</f>
        <v/>
      </c>
      <c r="I1292" s="31">
        <f>IF(AND(ISNUMBER(H1292),ISNUMBER(H1272)),IF(H1272&gt;0,H1292/H1272-1,""),"")</f>
        <v/>
      </c>
      <c r="J1292">
        <f>IF(A1292="",0,IF(A1292&gt;$B$5,1,0))</f>
        <v/>
      </c>
      <c r="K1292" s="29">
        <f>IF(AND(J1292=1,ISNUMBER(D1292)),D1292,"")</f>
        <v/>
      </c>
      <c r="L1292" s="30">
        <f>IF(AND(J1292=1,ISNUMBER(G1292)),G1292,"")</f>
        <v/>
      </c>
      <c r="M1292" s="22">
        <f>IF(AND(J1292=1,ISNUMBER(C1292)),C1292,"")</f>
        <v/>
      </c>
      <c r="N1292" s="31">
        <f>IF(AND(J1292=1,ISNUMBER(I1292)),I1292,"")</f>
        <v/>
      </c>
      <c r="O1292" s="11">
        <f>IF(K1292="","",100-IF($G$13=1,50,(_xlfn.RANK.AVG(K1292,$K$19:$K$1518,1)-1)/($G$13-1)*100))</f>
        <v/>
      </c>
      <c r="P1292" s="11">
        <f>IF(L1292="","",100-IF($G$14=1,50,(_xlfn.RANK.AVG(L1292,$L$19:$L$1518,1)-1)/($G$14-1)*100))</f>
        <v/>
      </c>
      <c r="Q1292" s="11">
        <f>IF(M1292="","",IF($G$15=1,50,(_xlfn.RANK.AVG(M1292,$M$19:$M$1518,1)-1)/($G$15-1)*100))</f>
        <v/>
      </c>
      <c r="R1292" s="11">
        <f>IF(N1292="","",IF($G$16=1,50,(_xlfn.RANK.AVG(N1292,$N$19:$N$1518,1)-1)/($G$16-1)*100))</f>
        <v/>
      </c>
      <c r="S1292" s="11">
        <f>IF(COUNT(O1292:R1292)=4,ROUND(AVERAGE(O1292:R1292),6),"")</f>
        <v/>
      </c>
      <c r="U1292">
        <f>IF(AND(ISNUMBER('자료_한국심리'!$A1276),ISNUMBER('자료_한국심리'!$B1276)),'자료_한국심리'!$A1276,"")</f>
        <v/>
      </c>
      <c r="V1292">
        <f>IF(AND(ISNUMBER('자료_한국심리'!$D1276),ISNUMBER('자료_한국심리'!$E1276)),'자료_한국심리'!$D1276,"")</f>
        <v/>
      </c>
      <c r="W1292">
        <f>IF(AND(ISNUMBER('자료_한국심리'!$G1276),ISNUMBER('자료_한국심리'!$H1276)),'자료_한국심리'!$G1276,"")</f>
        <v/>
      </c>
      <c r="X1292">
        <f>IF(AND(ISNUMBER('자료_한국심리'!$J1276),ISNUMBER('자료_한국심리'!$K1276)),'자료_한국심리'!$J1276,"")</f>
        <v/>
      </c>
      <c r="Y1292">
        <f>IF(AND(ISNUMBER('자료_한국심리'!$M1276),ISNUMBER('자료_한국심리'!$N1276)),'자료_한국심리'!$M1276,"")</f>
        <v/>
      </c>
    </row>
    <row r="1293">
      <c r="A1293" s="10">
        <f>IF(1275&gt;$E$5,"",SMALL($U$19:$U$4018,$E$6+1275))</f>
        <v/>
      </c>
      <c r="B1293" s="29">
        <f>IF(A1293="","",INDEX('자료_한국심리'!$B$3:$B$4002,MATCH(A1293,$U$19:$U$4018,0)))</f>
        <v/>
      </c>
      <c r="C1293" s="22">
        <f>IF(A1293="","",B1293/AVERAGE(B1169:B1293)-1)</f>
        <v/>
      </c>
      <c r="D1293" s="29">
        <f>IF(A1293="","",IFERROR(INDEX('자료_한국심리'!$E$3:$E$4002,MATCH(A1293,$V$19:$V$4018,0)),D1292))</f>
        <v/>
      </c>
      <c r="E1293" s="30">
        <f>IF(A1293="","",IFERROR(INDEX('자료_한국심리'!$H$3:$H$4002,MATCH(A1293,$W$19:$W$4018,0)),E1292))</f>
        <v/>
      </c>
      <c r="F1293" s="30">
        <f>IF(A1293="","",IFERROR(INDEX('자료_한국심리'!$K$3:$K$4002,MATCH(A1293,$X$19:$X$4018,0)),F1292))</f>
        <v/>
      </c>
      <c r="G1293" s="30">
        <f>IF(AND(ISNUMBER(E1293),ISNUMBER(F1293)),ROUND(E1293-F1293,6),"")</f>
        <v/>
      </c>
      <c r="H1293" s="25">
        <f>IF(A1293="","",IFERROR(INDEX('자료_한국심리'!$N$3:$N$4002,MATCH(A1293,$Y$19:$Y$4018,0)),H1292))</f>
        <v/>
      </c>
      <c r="I1293" s="31">
        <f>IF(AND(ISNUMBER(H1293),ISNUMBER(H1273)),IF(H1273&gt;0,H1293/H1273-1,""),"")</f>
        <v/>
      </c>
      <c r="J1293">
        <f>IF(A1293="",0,IF(A1293&gt;$B$5,1,0))</f>
        <v/>
      </c>
      <c r="K1293" s="29">
        <f>IF(AND(J1293=1,ISNUMBER(D1293)),D1293,"")</f>
        <v/>
      </c>
      <c r="L1293" s="30">
        <f>IF(AND(J1293=1,ISNUMBER(G1293)),G1293,"")</f>
        <v/>
      </c>
      <c r="M1293" s="22">
        <f>IF(AND(J1293=1,ISNUMBER(C1293)),C1293,"")</f>
        <v/>
      </c>
      <c r="N1293" s="31">
        <f>IF(AND(J1293=1,ISNUMBER(I1293)),I1293,"")</f>
        <v/>
      </c>
      <c r="O1293" s="11">
        <f>IF(K1293="","",100-IF($G$13=1,50,(_xlfn.RANK.AVG(K1293,$K$19:$K$1518,1)-1)/($G$13-1)*100))</f>
        <v/>
      </c>
      <c r="P1293" s="11">
        <f>IF(L1293="","",100-IF($G$14=1,50,(_xlfn.RANK.AVG(L1293,$L$19:$L$1518,1)-1)/($G$14-1)*100))</f>
        <v/>
      </c>
      <c r="Q1293" s="11">
        <f>IF(M1293="","",IF($G$15=1,50,(_xlfn.RANK.AVG(M1293,$M$19:$M$1518,1)-1)/($G$15-1)*100))</f>
        <v/>
      </c>
      <c r="R1293" s="11">
        <f>IF(N1293="","",IF($G$16=1,50,(_xlfn.RANK.AVG(N1293,$N$19:$N$1518,1)-1)/($G$16-1)*100))</f>
        <v/>
      </c>
      <c r="S1293" s="11">
        <f>IF(COUNT(O1293:R1293)=4,ROUND(AVERAGE(O1293:R1293),6),"")</f>
        <v/>
      </c>
      <c r="U1293">
        <f>IF(AND(ISNUMBER('자료_한국심리'!$A1277),ISNUMBER('자료_한국심리'!$B1277)),'자료_한국심리'!$A1277,"")</f>
        <v/>
      </c>
      <c r="V1293">
        <f>IF(AND(ISNUMBER('자료_한국심리'!$D1277),ISNUMBER('자료_한국심리'!$E1277)),'자료_한국심리'!$D1277,"")</f>
        <v/>
      </c>
      <c r="W1293">
        <f>IF(AND(ISNUMBER('자료_한국심리'!$G1277),ISNUMBER('자료_한국심리'!$H1277)),'자료_한국심리'!$G1277,"")</f>
        <v/>
      </c>
      <c r="X1293">
        <f>IF(AND(ISNUMBER('자료_한국심리'!$J1277),ISNUMBER('자료_한국심리'!$K1277)),'자료_한국심리'!$J1277,"")</f>
        <v/>
      </c>
      <c r="Y1293">
        <f>IF(AND(ISNUMBER('자료_한국심리'!$M1277),ISNUMBER('자료_한국심리'!$N1277)),'자료_한국심리'!$M1277,"")</f>
        <v/>
      </c>
    </row>
    <row r="1294">
      <c r="A1294" s="10">
        <f>IF(1276&gt;$E$5,"",SMALL($U$19:$U$4018,$E$6+1276))</f>
        <v/>
      </c>
      <c r="B1294" s="29">
        <f>IF(A1294="","",INDEX('자료_한국심리'!$B$3:$B$4002,MATCH(A1294,$U$19:$U$4018,0)))</f>
        <v/>
      </c>
      <c r="C1294" s="22">
        <f>IF(A1294="","",B1294/AVERAGE(B1170:B1294)-1)</f>
        <v/>
      </c>
      <c r="D1294" s="29">
        <f>IF(A1294="","",IFERROR(INDEX('자료_한국심리'!$E$3:$E$4002,MATCH(A1294,$V$19:$V$4018,0)),D1293))</f>
        <v/>
      </c>
      <c r="E1294" s="30">
        <f>IF(A1294="","",IFERROR(INDEX('자료_한국심리'!$H$3:$H$4002,MATCH(A1294,$W$19:$W$4018,0)),E1293))</f>
        <v/>
      </c>
      <c r="F1294" s="30">
        <f>IF(A1294="","",IFERROR(INDEX('자료_한국심리'!$K$3:$K$4002,MATCH(A1294,$X$19:$X$4018,0)),F1293))</f>
        <v/>
      </c>
      <c r="G1294" s="30">
        <f>IF(AND(ISNUMBER(E1294),ISNUMBER(F1294)),ROUND(E1294-F1294,6),"")</f>
        <v/>
      </c>
      <c r="H1294" s="25">
        <f>IF(A1294="","",IFERROR(INDEX('자료_한국심리'!$N$3:$N$4002,MATCH(A1294,$Y$19:$Y$4018,0)),H1293))</f>
        <v/>
      </c>
      <c r="I1294" s="31">
        <f>IF(AND(ISNUMBER(H1294),ISNUMBER(H1274)),IF(H1274&gt;0,H1294/H1274-1,""),"")</f>
        <v/>
      </c>
      <c r="J1294">
        <f>IF(A1294="",0,IF(A1294&gt;$B$5,1,0))</f>
        <v/>
      </c>
      <c r="K1294" s="29">
        <f>IF(AND(J1294=1,ISNUMBER(D1294)),D1294,"")</f>
        <v/>
      </c>
      <c r="L1294" s="30">
        <f>IF(AND(J1294=1,ISNUMBER(G1294)),G1294,"")</f>
        <v/>
      </c>
      <c r="M1294" s="22">
        <f>IF(AND(J1294=1,ISNUMBER(C1294)),C1294,"")</f>
        <v/>
      </c>
      <c r="N1294" s="31">
        <f>IF(AND(J1294=1,ISNUMBER(I1294)),I1294,"")</f>
        <v/>
      </c>
      <c r="O1294" s="11">
        <f>IF(K1294="","",100-IF($G$13=1,50,(_xlfn.RANK.AVG(K1294,$K$19:$K$1518,1)-1)/($G$13-1)*100))</f>
        <v/>
      </c>
      <c r="P1294" s="11">
        <f>IF(L1294="","",100-IF($G$14=1,50,(_xlfn.RANK.AVG(L1294,$L$19:$L$1518,1)-1)/($G$14-1)*100))</f>
        <v/>
      </c>
      <c r="Q1294" s="11">
        <f>IF(M1294="","",IF($G$15=1,50,(_xlfn.RANK.AVG(M1294,$M$19:$M$1518,1)-1)/($G$15-1)*100))</f>
        <v/>
      </c>
      <c r="R1294" s="11">
        <f>IF(N1294="","",IF($G$16=1,50,(_xlfn.RANK.AVG(N1294,$N$19:$N$1518,1)-1)/($G$16-1)*100))</f>
        <v/>
      </c>
      <c r="S1294" s="11">
        <f>IF(COUNT(O1294:R1294)=4,ROUND(AVERAGE(O1294:R1294),6),"")</f>
        <v/>
      </c>
      <c r="U1294">
        <f>IF(AND(ISNUMBER('자료_한국심리'!$A1278),ISNUMBER('자료_한국심리'!$B1278)),'자료_한국심리'!$A1278,"")</f>
        <v/>
      </c>
      <c r="V1294">
        <f>IF(AND(ISNUMBER('자료_한국심리'!$D1278),ISNUMBER('자료_한국심리'!$E1278)),'자료_한국심리'!$D1278,"")</f>
        <v/>
      </c>
      <c r="W1294">
        <f>IF(AND(ISNUMBER('자료_한국심리'!$G1278),ISNUMBER('자료_한국심리'!$H1278)),'자료_한국심리'!$G1278,"")</f>
        <v/>
      </c>
      <c r="X1294">
        <f>IF(AND(ISNUMBER('자료_한국심리'!$J1278),ISNUMBER('자료_한국심리'!$K1278)),'자료_한국심리'!$J1278,"")</f>
        <v/>
      </c>
      <c r="Y1294">
        <f>IF(AND(ISNUMBER('자료_한국심리'!$M1278),ISNUMBER('자료_한국심리'!$N1278)),'자료_한국심리'!$M1278,"")</f>
        <v/>
      </c>
    </row>
    <row r="1295">
      <c r="A1295" s="10">
        <f>IF(1277&gt;$E$5,"",SMALL($U$19:$U$4018,$E$6+1277))</f>
        <v/>
      </c>
      <c r="B1295" s="29">
        <f>IF(A1295="","",INDEX('자료_한국심리'!$B$3:$B$4002,MATCH(A1295,$U$19:$U$4018,0)))</f>
        <v/>
      </c>
      <c r="C1295" s="22">
        <f>IF(A1295="","",B1295/AVERAGE(B1171:B1295)-1)</f>
        <v/>
      </c>
      <c r="D1295" s="29">
        <f>IF(A1295="","",IFERROR(INDEX('자료_한국심리'!$E$3:$E$4002,MATCH(A1295,$V$19:$V$4018,0)),D1294))</f>
        <v/>
      </c>
      <c r="E1295" s="30">
        <f>IF(A1295="","",IFERROR(INDEX('자료_한국심리'!$H$3:$H$4002,MATCH(A1295,$W$19:$W$4018,0)),E1294))</f>
        <v/>
      </c>
      <c r="F1295" s="30">
        <f>IF(A1295="","",IFERROR(INDEX('자료_한국심리'!$K$3:$K$4002,MATCH(A1295,$X$19:$X$4018,0)),F1294))</f>
        <v/>
      </c>
      <c r="G1295" s="30">
        <f>IF(AND(ISNUMBER(E1295),ISNUMBER(F1295)),ROUND(E1295-F1295,6),"")</f>
        <v/>
      </c>
      <c r="H1295" s="25">
        <f>IF(A1295="","",IFERROR(INDEX('자료_한국심리'!$N$3:$N$4002,MATCH(A1295,$Y$19:$Y$4018,0)),H1294))</f>
        <v/>
      </c>
      <c r="I1295" s="31">
        <f>IF(AND(ISNUMBER(H1295),ISNUMBER(H1275)),IF(H1275&gt;0,H1295/H1275-1,""),"")</f>
        <v/>
      </c>
      <c r="J1295">
        <f>IF(A1295="",0,IF(A1295&gt;$B$5,1,0))</f>
        <v/>
      </c>
      <c r="K1295" s="29">
        <f>IF(AND(J1295=1,ISNUMBER(D1295)),D1295,"")</f>
        <v/>
      </c>
      <c r="L1295" s="30">
        <f>IF(AND(J1295=1,ISNUMBER(G1295)),G1295,"")</f>
        <v/>
      </c>
      <c r="M1295" s="22">
        <f>IF(AND(J1295=1,ISNUMBER(C1295)),C1295,"")</f>
        <v/>
      </c>
      <c r="N1295" s="31">
        <f>IF(AND(J1295=1,ISNUMBER(I1295)),I1295,"")</f>
        <v/>
      </c>
      <c r="O1295" s="11">
        <f>IF(K1295="","",100-IF($G$13=1,50,(_xlfn.RANK.AVG(K1295,$K$19:$K$1518,1)-1)/($G$13-1)*100))</f>
        <v/>
      </c>
      <c r="P1295" s="11">
        <f>IF(L1295="","",100-IF($G$14=1,50,(_xlfn.RANK.AVG(L1295,$L$19:$L$1518,1)-1)/($G$14-1)*100))</f>
        <v/>
      </c>
      <c r="Q1295" s="11">
        <f>IF(M1295="","",IF($G$15=1,50,(_xlfn.RANK.AVG(M1295,$M$19:$M$1518,1)-1)/($G$15-1)*100))</f>
        <v/>
      </c>
      <c r="R1295" s="11">
        <f>IF(N1295="","",IF($G$16=1,50,(_xlfn.RANK.AVG(N1295,$N$19:$N$1518,1)-1)/($G$16-1)*100))</f>
        <v/>
      </c>
      <c r="S1295" s="11">
        <f>IF(COUNT(O1295:R1295)=4,ROUND(AVERAGE(O1295:R1295),6),"")</f>
        <v/>
      </c>
      <c r="U1295">
        <f>IF(AND(ISNUMBER('자료_한국심리'!$A1279),ISNUMBER('자료_한국심리'!$B1279)),'자료_한국심리'!$A1279,"")</f>
        <v/>
      </c>
      <c r="V1295">
        <f>IF(AND(ISNUMBER('자료_한국심리'!$D1279),ISNUMBER('자료_한국심리'!$E1279)),'자료_한국심리'!$D1279,"")</f>
        <v/>
      </c>
      <c r="W1295">
        <f>IF(AND(ISNUMBER('자료_한국심리'!$G1279),ISNUMBER('자료_한국심리'!$H1279)),'자료_한국심리'!$G1279,"")</f>
        <v/>
      </c>
      <c r="X1295">
        <f>IF(AND(ISNUMBER('자료_한국심리'!$J1279),ISNUMBER('자료_한국심리'!$K1279)),'자료_한국심리'!$J1279,"")</f>
        <v/>
      </c>
      <c r="Y1295">
        <f>IF(AND(ISNUMBER('자료_한국심리'!$M1279),ISNUMBER('자료_한국심리'!$N1279)),'자료_한국심리'!$M1279,"")</f>
        <v/>
      </c>
    </row>
    <row r="1296">
      <c r="A1296" s="10">
        <f>IF(1278&gt;$E$5,"",SMALL($U$19:$U$4018,$E$6+1278))</f>
        <v/>
      </c>
      <c r="B1296" s="29">
        <f>IF(A1296="","",INDEX('자료_한국심리'!$B$3:$B$4002,MATCH(A1296,$U$19:$U$4018,0)))</f>
        <v/>
      </c>
      <c r="C1296" s="22">
        <f>IF(A1296="","",B1296/AVERAGE(B1172:B1296)-1)</f>
        <v/>
      </c>
      <c r="D1296" s="29">
        <f>IF(A1296="","",IFERROR(INDEX('자료_한국심리'!$E$3:$E$4002,MATCH(A1296,$V$19:$V$4018,0)),D1295))</f>
        <v/>
      </c>
      <c r="E1296" s="30">
        <f>IF(A1296="","",IFERROR(INDEX('자료_한국심리'!$H$3:$H$4002,MATCH(A1296,$W$19:$W$4018,0)),E1295))</f>
        <v/>
      </c>
      <c r="F1296" s="30">
        <f>IF(A1296="","",IFERROR(INDEX('자료_한국심리'!$K$3:$K$4002,MATCH(A1296,$X$19:$X$4018,0)),F1295))</f>
        <v/>
      </c>
      <c r="G1296" s="30">
        <f>IF(AND(ISNUMBER(E1296),ISNUMBER(F1296)),ROUND(E1296-F1296,6),"")</f>
        <v/>
      </c>
      <c r="H1296" s="25">
        <f>IF(A1296="","",IFERROR(INDEX('자료_한국심리'!$N$3:$N$4002,MATCH(A1296,$Y$19:$Y$4018,0)),H1295))</f>
        <v/>
      </c>
      <c r="I1296" s="31">
        <f>IF(AND(ISNUMBER(H1296),ISNUMBER(H1276)),IF(H1276&gt;0,H1296/H1276-1,""),"")</f>
        <v/>
      </c>
      <c r="J1296">
        <f>IF(A1296="",0,IF(A1296&gt;$B$5,1,0))</f>
        <v/>
      </c>
      <c r="K1296" s="29">
        <f>IF(AND(J1296=1,ISNUMBER(D1296)),D1296,"")</f>
        <v/>
      </c>
      <c r="L1296" s="30">
        <f>IF(AND(J1296=1,ISNUMBER(G1296)),G1296,"")</f>
        <v/>
      </c>
      <c r="M1296" s="22">
        <f>IF(AND(J1296=1,ISNUMBER(C1296)),C1296,"")</f>
        <v/>
      </c>
      <c r="N1296" s="31">
        <f>IF(AND(J1296=1,ISNUMBER(I1296)),I1296,"")</f>
        <v/>
      </c>
      <c r="O1296" s="11">
        <f>IF(K1296="","",100-IF($G$13=1,50,(_xlfn.RANK.AVG(K1296,$K$19:$K$1518,1)-1)/($G$13-1)*100))</f>
        <v/>
      </c>
      <c r="P1296" s="11">
        <f>IF(L1296="","",100-IF($G$14=1,50,(_xlfn.RANK.AVG(L1296,$L$19:$L$1518,1)-1)/($G$14-1)*100))</f>
        <v/>
      </c>
      <c r="Q1296" s="11">
        <f>IF(M1296="","",IF($G$15=1,50,(_xlfn.RANK.AVG(M1296,$M$19:$M$1518,1)-1)/($G$15-1)*100))</f>
        <v/>
      </c>
      <c r="R1296" s="11">
        <f>IF(N1296="","",IF($G$16=1,50,(_xlfn.RANK.AVG(N1296,$N$19:$N$1518,1)-1)/($G$16-1)*100))</f>
        <v/>
      </c>
      <c r="S1296" s="11">
        <f>IF(COUNT(O1296:R1296)=4,ROUND(AVERAGE(O1296:R1296),6),"")</f>
        <v/>
      </c>
      <c r="U1296">
        <f>IF(AND(ISNUMBER('자료_한국심리'!$A1280),ISNUMBER('자료_한국심리'!$B1280)),'자료_한국심리'!$A1280,"")</f>
        <v/>
      </c>
      <c r="V1296">
        <f>IF(AND(ISNUMBER('자료_한국심리'!$D1280),ISNUMBER('자료_한국심리'!$E1280)),'자료_한국심리'!$D1280,"")</f>
        <v/>
      </c>
      <c r="W1296">
        <f>IF(AND(ISNUMBER('자료_한국심리'!$G1280),ISNUMBER('자료_한국심리'!$H1280)),'자료_한국심리'!$G1280,"")</f>
        <v/>
      </c>
      <c r="X1296">
        <f>IF(AND(ISNUMBER('자료_한국심리'!$J1280),ISNUMBER('자료_한국심리'!$K1280)),'자료_한국심리'!$J1280,"")</f>
        <v/>
      </c>
      <c r="Y1296">
        <f>IF(AND(ISNUMBER('자료_한국심리'!$M1280),ISNUMBER('자료_한국심리'!$N1280)),'자료_한국심리'!$M1280,"")</f>
        <v/>
      </c>
    </row>
    <row r="1297">
      <c r="A1297" s="10">
        <f>IF(1279&gt;$E$5,"",SMALL($U$19:$U$4018,$E$6+1279))</f>
        <v/>
      </c>
      <c r="B1297" s="29">
        <f>IF(A1297="","",INDEX('자료_한국심리'!$B$3:$B$4002,MATCH(A1297,$U$19:$U$4018,0)))</f>
        <v/>
      </c>
      <c r="C1297" s="22">
        <f>IF(A1297="","",B1297/AVERAGE(B1173:B1297)-1)</f>
        <v/>
      </c>
      <c r="D1297" s="29">
        <f>IF(A1297="","",IFERROR(INDEX('자료_한국심리'!$E$3:$E$4002,MATCH(A1297,$V$19:$V$4018,0)),D1296))</f>
        <v/>
      </c>
      <c r="E1297" s="30">
        <f>IF(A1297="","",IFERROR(INDEX('자료_한국심리'!$H$3:$H$4002,MATCH(A1297,$W$19:$W$4018,0)),E1296))</f>
        <v/>
      </c>
      <c r="F1297" s="30">
        <f>IF(A1297="","",IFERROR(INDEX('자료_한국심리'!$K$3:$K$4002,MATCH(A1297,$X$19:$X$4018,0)),F1296))</f>
        <v/>
      </c>
      <c r="G1297" s="30">
        <f>IF(AND(ISNUMBER(E1297),ISNUMBER(F1297)),ROUND(E1297-F1297,6),"")</f>
        <v/>
      </c>
      <c r="H1297" s="25">
        <f>IF(A1297="","",IFERROR(INDEX('자료_한국심리'!$N$3:$N$4002,MATCH(A1297,$Y$19:$Y$4018,0)),H1296))</f>
        <v/>
      </c>
      <c r="I1297" s="31">
        <f>IF(AND(ISNUMBER(H1297),ISNUMBER(H1277)),IF(H1277&gt;0,H1297/H1277-1,""),"")</f>
        <v/>
      </c>
      <c r="J1297">
        <f>IF(A1297="",0,IF(A1297&gt;$B$5,1,0))</f>
        <v/>
      </c>
      <c r="K1297" s="29">
        <f>IF(AND(J1297=1,ISNUMBER(D1297)),D1297,"")</f>
        <v/>
      </c>
      <c r="L1297" s="30">
        <f>IF(AND(J1297=1,ISNUMBER(G1297)),G1297,"")</f>
        <v/>
      </c>
      <c r="M1297" s="22">
        <f>IF(AND(J1297=1,ISNUMBER(C1297)),C1297,"")</f>
        <v/>
      </c>
      <c r="N1297" s="31">
        <f>IF(AND(J1297=1,ISNUMBER(I1297)),I1297,"")</f>
        <v/>
      </c>
      <c r="O1297" s="11">
        <f>IF(K1297="","",100-IF($G$13=1,50,(_xlfn.RANK.AVG(K1297,$K$19:$K$1518,1)-1)/($G$13-1)*100))</f>
        <v/>
      </c>
      <c r="P1297" s="11">
        <f>IF(L1297="","",100-IF($G$14=1,50,(_xlfn.RANK.AVG(L1297,$L$19:$L$1518,1)-1)/($G$14-1)*100))</f>
        <v/>
      </c>
      <c r="Q1297" s="11">
        <f>IF(M1297="","",IF($G$15=1,50,(_xlfn.RANK.AVG(M1297,$M$19:$M$1518,1)-1)/($G$15-1)*100))</f>
        <v/>
      </c>
      <c r="R1297" s="11">
        <f>IF(N1297="","",IF($G$16=1,50,(_xlfn.RANK.AVG(N1297,$N$19:$N$1518,1)-1)/($G$16-1)*100))</f>
        <v/>
      </c>
      <c r="S1297" s="11">
        <f>IF(COUNT(O1297:R1297)=4,ROUND(AVERAGE(O1297:R1297),6),"")</f>
        <v/>
      </c>
      <c r="U1297">
        <f>IF(AND(ISNUMBER('자료_한국심리'!$A1281),ISNUMBER('자료_한국심리'!$B1281)),'자료_한국심리'!$A1281,"")</f>
        <v/>
      </c>
      <c r="V1297">
        <f>IF(AND(ISNUMBER('자료_한국심리'!$D1281),ISNUMBER('자료_한국심리'!$E1281)),'자료_한국심리'!$D1281,"")</f>
        <v/>
      </c>
      <c r="W1297">
        <f>IF(AND(ISNUMBER('자료_한국심리'!$G1281),ISNUMBER('자료_한국심리'!$H1281)),'자료_한국심리'!$G1281,"")</f>
        <v/>
      </c>
      <c r="X1297">
        <f>IF(AND(ISNUMBER('자료_한국심리'!$J1281),ISNUMBER('자료_한국심리'!$K1281)),'자료_한국심리'!$J1281,"")</f>
        <v/>
      </c>
      <c r="Y1297">
        <f>IF(AND(ISNUMBER('자료_한국심리'!$M1281),ISNUMBER('자료_한국심리'!$N1281)),'자료_한국심리'!$M1281,"")</f>
        <v/>
      </c>
    </row>
    <row r="1298">
      <c r="A1298" s="10">
        <f>IF(1280&gt;$E$5,"",SMALL($U$19:$U$4018,$E$6+1280))</f>
        <v/>
      </c>
      <c r="B1298" s="29">
        <f>IF(A1298="","",INDEX('자료_한국심리'!$B$3:$B$4002,MATCH(A1298,$U$19:$U$4018,0)))</f>
        <v/>
      </c>
      <c r="C1298" s="22">
        <f>IF(A1298="","",B1298/AVERAGE(B1174:B1298)-1)</f>
        <v/>
      </c>
      <c r="D1298" s="29">
        <f>IF(A1298="","",IFERROR(INDEX('자료_한국심리'!$E$3:$E$4002,MATCH(A1298,$V$19:$V$4018,0)),D1297))</f>
        <v/>
      </c>
      <c r="E1298" s="30">
        <f>IF(A1298="","",IFERROR(INDEX('자료_한국심리'!$H$3:$H$4002,MATCH(A1298,$W$19:$W$4018,0)),E1297))</f>
        <v/>
      </c>
      <c r="F1298" s="30">
        <f>IF(A1298="","",IFERROR(INDEX('자료_한국심리'!$K$3:$K$4002,MATCH(A1298,$X$19:$X$4018,0)),F1297))</f>
        <v/>
      </c>
      <c r="G1298" s="30">
        <f>IF(AND(ISNUMBER(E1298),ISNUMBER(F1298)),ROUND(E1298-F1298,6),"")</f>
        <v/>
      </c>
      <c r="H1298" s="25">
        <f>IF(A1298="","",IFERROR(INDEX('자료_한국심리'!$N$3:$N$4002,MATCH(A1298,$Y$19:$Y$4018,0)),H1297))</f>
        <v/>
      </c>
      <c r="I1298" s="31">
        <f>IF(AND(ISNUMBER(H1298),ISNUMBER(H1278)),IF(H1278&gt;0,H1298/H1278-1,""),"")</f>
        <v/>
      </c>
      <c r="J1298">
        <f>IF(A1298="",0,IF(A1298&gt;$B$5,1,0))</f>
        <v/>
      </c>
      <c r="K1298" s="29">
        <f>IF(AND(J1298=1,ISNUMBER(D1298)),D1298,"")</f>
        <v/>
      </c>
      <c r="L1298" s="30">
        <f>IF(AND(J1298=1,ISNUMBER(G1298)),G1298,"")</f>
        <v/>
      </c>
      <c r="M1298" s="22">
        <f>IF(AND(J1298=1,ISNUMBER(C1298)),C1298,"")</f>
        <v/>
      </c>
      <c r="N1298" s="31">
        <f>IF(AND(J1298=1,ISNUMBER(I1298)),I1298,"")</f>
        <v/>
      </c>
      <c r="O1298" s="11">
        <f>IF(K1298="","",100-IF($G$13=1,50,(_xlfn.RANK.AVG(K1298,$K$19:$K$1518,1)-1)/($G$13-1)*100))</f>
        <v/>
      </c>
      <c r="P1298" s="11">
        <f>IF(L1298="","",100-IF($G$14=1,50,(_xlfn.RANK.AVG(L1298,$L$19:$L$1518,1)-1)/($G$14-1)*100))</f>
        <v/>
      </c>
      <c r="Q1298" s="11">
        <f>IF(M1298="","",IF($G$15=1,50,(_xlfn.RANK.AVG(M1298,$M$19:$M$1518,1)-1)/($G$15-1)*100))</f>
        <v/>
      </c>
      <c r="R1298" s="11">
        <f>IF(N1298="","",IF($G$16=1,50,(_xlfn.RANK.AVG(N1298,$N$19:$N$1518,1)-1)/($G$16-1)*100))</f>
        <v/>
      </c>
      <c r="S1298" s="11">
        <f>IF(COUNT(O1298:R1298)=4,ROUND(AVERAGE(O1298:R1298),6),"")</f>
        <v/>
      </c>
      <c r="U1298">
        <f>IF(AND(ISNUMBER('자료_한국심리'!$A1282),ISNUMBER('자료_한국심리'!$B1282)),'자료_한국심리'!$A1282,"")</f>
        <v/>
      </c>
      <c r="V1298">
        <f>IF(AND(ISNUMBER('자료_한국심리'!$D1282),ISNUMBER('자료_한국심리'!$E1282)),'자료_한국심리'!$D1282,"")</f>
        <v/>
      </c>
      <c r="W1298">
        <f>IF(AND(ISNUMBER('자료_한국심리'!$G1282),ISNUMBER('자료_한국심리'!$H1282)),'자료_한국심리'!$G1282,"")</f>
        <v/>
      </c>
      <c r="X1298">
        <f>IF(AND(ISNUMBER('자료_한국심리'!$J1282),ISNUMBER('자료_한국심리'!$K1282)),'자료_한국심리'!$J1282,"")</f>
        <v/>
      </c>
      <c r="Y1298">
        <f>IF(AND(ISNUMBER('자료_한국심리'!$M1282),ISNUMBER('자료_한국심리'!$N1282)),'자료_한국심리'!$M1282,"")</f>
        <v/>
      </c>
    </row>
    <row r="1299">
      <c r="A1299" s="10">
        <f>IF(1281&gt;$E$5,"",SMALL($U$19:$U$4018,$E$6+1281))</f>
        <v/>
      </c>
      <c r="B1299" s="29">
        <f>IF(A1299="","",INDEX('자료_한국심리'!$B$3:$B$4002,MATCH(A1299,$U$19:$U$4018,0)))</f>
        <v/>
      </c>
      <c r="C1299" s="22">
        <f>IF(A1299="","",B1299/AVERAGE(B1175:B1299)-1)</f>
        <v/>
      </c>
      <c r="D1299" s="29">
        <f>IF(A1299="","",IFERROR(INDEX('자료_한국심리'!$E$3:$E$4002,MATCH(A1299,$V$19:$V$4018,0)),D1298))</f>
        <v/>
      </c>
      <c r="E1299" s="30">
        <f>IF(A1299="","",IFERROR(INDEX('자료_한국심리'!$H$3:$H$4002,MATCH(A1299,$W$19:$W$4018,0)),E1298))</f>
        <v/>
      </c>
      <c r="F1299" s="30">
        <f>IF(A1299="","",IFERROR(INDEX('자료_한국심리'!$K$3:$K$4002,MATCH(A1299,$X$19:$X$4018,0)),F1298))</f>
        <v/>
      </c>
      <c r="G1299" s="30">
        <f>IF(AND(ISNUMBER(E1299),ISNUMBER(F1299)),ROUND(E1299-F1299,6),"")</f>
        <v/>
      </c>
      <c r="H1299" s="25">
        <f>IF(A1299="","",IFERROR(INDEX('자료_한국심리'!$N$3:$N$4002,MATCH(A1299,$Y$19:$Y$4018,0)),H1298))</f>
        <v/>
      </c>
      <c r="I1299" s="31">
        <f>IF(AND(ISNUMBER(H1299),ISNUMBER(H1279)),IF(H1279&gt;0,H1299/H1279-1,""),"")</f>
        <v/>
      </c>
      <c r="J1299">
        <f>IF(A1299="",0,IF(A1299&gt;$B$5,1,0))</f>
        <v/>
      </c>
      <c r="K1299" s="29">
        <f>IF(AND(J1299=1,ISNUMBER(D1299)),D1299,"")</f>
        <v/>
      </c>
      <c r="L1299" s="30">
        <f>IF(AND(J1299=1,ISNUMBER(G1299)),G1299,"")</f>
        <v/>
      </c>
      <c r="M1299" s="22">
        <f>IF(AND(J1299=1,ISNUMBER(C1299)),C1299,"")</f>
        <v/>
      </c>
      <c r="N1299" s="31">
        <f>IF(AND(J1299=1,ISNUMBER(I1299)),I1299,"")</f>
        <v/>
      </c>
      <c r="O1299" s="11">
        <f>IF(K1299="","",100-IF($G$13=1,50,(_xlfn.RANK.AVG(K1299,$K$19:$K$1518,1)-1)/($G$13-1)*100))</f>
        <v/>
      </c>
      <c r="P1299" s="11">
        <f>IF(L1299="","",100-IF($G$14=1,50,(_xlfn.RANK.AVG(L1299,$L$19:$L$1518,1)-1)/($G$14-1)*100))</f>
        <v/>
      </c>
      <c r="Q1299" s="11">
        <f>IF(M1299="","",IF($G$15=1,50,(_xlfn.RANK.AVG(M1299,$M$19:$M$1518,1)-1)/($G$15-1)*100))</f>
        <v/>
      </c>
      <c r="R1299" s="11">
        <f>IF(N1299="","",IF($G$16=1,50,(_xlfn.RANK.AVG(N1299,$N$19:$N$1518,1)-1)/($G$16-1)*100))</f>
        <v/>
      </c>
      <c r="S1299" s="11">
        <f>IF(COUNT(O1299:R1299)=4,ROUND(AVERAGE(O1299:R1299),6),"")</f>
        <v/>
      </c>
      <c r="U1299">
        <f>IF(AND(ISNUMBER('자료_한국심리'!$A1283),ISNUMBER('자료_한국심리'!$B1283)),'자료_한국심리'!$A1283,"")</f>
        <v/>
      </c>
      <c r="V1299">
        <f>IF(AND(ISNUMBER('자료_한국심리'!$D1283),ISNUMBER('자료_한국심리'!$E1283)),'자료_한국심리'!$D1283,"")</f>
        <v/>
      </c>
      <c r="W1299">
        <f>IF(AND(ISNUMBER('자료_한국심리'!$G1283),ISNUMBER('자료_한국심리'!$H1283)),'자료_한국심리'!$G1283,"")</f>
        <v/>
      </c>
      <c r="X1299">
        <f>IF(AND(ISNUMBER('자료_한국심리'!$J1283),ISNUMBER('자료_한국심리'!$K1283)),'자료_한국심리'!$J1283,"")</f>
        <v/>
      </c>
      <c r="Y1299">
        <f>IF(AND(ISNUMBER('자료_한국심리'!$M1283),ISNUMBER('자료_한국심리'!$N1283)),'자료_한국심리'!$M1283,"")</f>
        <v/>
      </c>
    </row>
    <row r="1300">
      <c r="A1300" s="10">
        <f>IF(1282&gt;$E$5,"",SMALL($U$19:$U$4018,$E$6+1282))</f>
        <v/>
      </c>
      <c r="B1300" s="29">
        <f>IF(A1300="","",INDEX('자료_한국심리'!$B$3:$B$4002,MATCH(A1300,$U$19:$U$4018,0)))</f>
        <v/>
      </c>
      <c r="C1300" s="22">
        <f>IF(A1300="","",B1300/AVERAGE(B1176:B1300)-1)</f>
        <v/>
      </c>
      <c r="D1300" s="29">
        <f>IF(A1300="","",IFERROR(INDEX('자료_한국심리'!$E$3:$E$4002,MATCH(A1300,$V$19:$V$4018,0)),D1299))</f>
        <v/>
      </c>
      <c r="E1300" s="30">
        <f>IF(A1300="","",IFERROR(INDEX('자료_한국심리'!$H$3:$H$4002,MATCH(A1300,$W$19:$W$4018,0)),E1299))</f>
        <v/>
      </c>
      <c r="F1300" s="30">
        <f>IF(A1300="","",IFERROR(INDEX('자료_한국심리'!$K$3:$K$4002,MATCH(A1300,$X$19:$X$4018,0)),F1299))</f>
        <v/>
      </c>
      <c r="G1300" s="30">
        <f>IF(AND(ISNUMBER(E1300),ISNUMBER(F1300)),ROUND(E1300-F1300,6),"")</f>
        <v/>
      </c>
      <c r="H1300" s="25">
        <f>IF(A1300="","",IFERROR(INDEX('자료_한국심리'!$N$3:$N$4002,MATCH(A1300,$Y$19:$Y$4018,0)),H1299))</f>
        <v/>
      </c>
      <c r="I1300" s="31">
        <f>IF(AND(ISNUMBER(H1300),ISNUMBER(H1280)),IF(H1280&gt;0,H1300/H1280-1,""),"")</f>
        <v/>
      </c>
      <c r="J1300">
        <f>IF(A1300="",0,IF(A1300&gt;$B$5,1,0))</f>
        <v/>
      </c>
      <c r="K1300" s="29">
        <f>IF(AND(J1300=1,ISNUMBER(D1300)),D1300,"")</f>
        <v/>
      </c>
      <c r="L1300" s="30">
        <f>IF(AND(J1300=1,ISNUMBER(G1300)),G1300,"")</f>
        <v/>
      </c>
      <c r="M1300" s="22">
        <f>IF(AND(J1300=1,ISNUMBER(C1300)),C1300,"")</f>
        <v/>
      </c>
      <c r="N1300" s="31">
        <f>IF(AND(J1300=1,ISNUMBER(I1300)),I1300,"")</f>
        <v/>
      </c>
      <c r="O1300" s="11">
        <f>IF(K1300="","",100-IF($G$13=1,50,(_xlfn.RANK.AVG(K1300,$K$19:$K$1518,1)-1)/($G$13-1)*100))</f>
        <v/>
      </c>
      <c r="P1300" s="11">
        <f>IF(L1300="","",100-IF($G$14=1,50,(_xlfn.RANK.AVG(L1300,$L$19:$L$1518,1)-1)/($G$14-1)*100))</f>
        <v/>
      </c>
      <c r="Q1300" s="11">
        <f>IF(M1300="","",IF($G$15=1,50,(_xlfn.RANK.AVG(M1300,$M$19:$M$1518,1)-1)/($G$15-1)*100))</f>
        <v/>
      </c>
      <c r="R1300" s="11">
        <f>IF(N1300="","",IF($G$16=1,50,(_xlfn.RANK.AVG(N1300,$N$19:$N$1518,1)-1)/($G$16-1)*100))</f>
        <v/>
      </c>
      <c r="S1300" s="11">
        <f>IF(COUNT(O1300:R1300)=4,ROUND(AVERAGE(O1300:R1300),6),"")</f>
        <v/>
      </c>
      <c r="U1300">
        <f>IF(AND(ISNUMBER('자료_한국심리'!$A1284),ISNUMBER('자료_한국심리'!$B1284)),'자료_한국심리'!$A1284,"")</f>
        <v/>
      </c>
      <c r="V1300">
        <f>IF(AND(ISNUMBER('자료_한국심리'!$D1284),ISNUMBER('자료_한국심리'!$E1284)),'자료_한국심리'!$D1284,"")</f>
        <v/>
      </c>
      <c r="W1300">
        <f>IF(AND(ISNUMBER('자료_한국심리'!$G1284),ISNUMBER('자료_한국심리'!$H1284)),'자료_한국심리'!$G1284,"")</f>
        <v/>
      </c>
      <c r="X1300">
        <f>IF(AND(ISNUMBER('자료_한국심리'!$J1284),ISNUMBER('자료_한국심리'!$K1284)),'자료_한국심리'!$J1284,"")</f>
        <v/>
      </c>
      <c r="Y1300">
        <f>IF(AND(ISNUMBER('자료_한국심리'!$M1284),ISNUMBER('자료_한국심리'!$N1284)),'자료_한국심리'!$M1284,"")</f>
        <v/>
      </c>
    </row>
    <row r="1301">
      <c r="A1301" s="10">
        <f>IF(1283&gt;$E$5,"",SMALL($U$19:$U$4018,$E$6+1283))</f>
        <v/>
      </c>
      <c r="B1301" s="29">
        <f>IF(A1301="","",INDEX('자료_한국심리'!$B$3:$B$4002,MATCH(A1301,$U$19:$U$4018,0)))</f>
        <v/>
      </c>
      <c r="C1301" s="22">
        <f>IF(A1301="","",B1301/AVERAGE(B1177:B1301)-1)</f>
        <v/>
      </c>
      <c r="D1301" s="29">
        <f>IF(A1301="","",IFERROR(INDEX('자료_한국심리'!$E$3:$E$4002,MATCH(A1301,$V$19:$V$4018,0)),D1300))</f>
        <v/>
      </c>
      <c r="E1301" s="30">
        <f>IF(A1301="","",IFERROR(INDEX('자료_한국심리'!$H$3:$H$4002,MATCH(A1301,$W$19:$W$4018,0)),E1300))</f>
        <v/>
      </c>
      <c r="F1301" s="30">
        <f>IF(A1301="","",IFERROR(INDEX('자료_한국심리'!$K$3:$K$4002,MATCH(A1301,$X$19:$X$4018,0)),F1300))</f>
        <v/>
      </c>
      <c r="G1301" s="30">
        <f>IF(AND(ISNUMBER(E1301),ISNUMBER(F1301)),ROUND(E1301-F1301,6),"")</f>
        <v/>
      </c>
      <c r="H1301" s="25">
        <f>IF(A1301="","",IFERROR(INDEX('자료_한국심리'!$N$3:$N$4002,MATCH(A1301,$Y$19:$Y$4018,0)),H1300))</f>
        <v/>
      </c>
      <c r="I1301" s="31">
        <f>IF(AND(ISNUMBER(H1301),ISNUMBER(H1281)),IF(H1281&gt;0,H1301/H1281-1,""),"")</f>
        <v/>
      </c>
      <c r="J1301">
        <f>IF(A1301="",0,IF(A1301&gt;$B$5,1,0))</f>
        <v/>
      </c>
      <c r="K1301" s="29">
        <f>IF(AND(J1301=1,ISNUMBER(D1301)),D1301,"")</f>
        <v/>
      </c>
      <c r="L1301" s="30">
        <f>IF(AND(J1301=1,ISNUMBER(G1301)),G1301,"")</f>
        <v/>
      </c>
      <c r="M1301" s="22">
        <f>IF(AND(J1301=1,ISNUMBER(C1301)),C1301,"")</f>
        <v/>
      </c>
      <c r="N1301" s="31">
        <f>IF(AND(J1301=1,ISNUMBER(I1301)),I1301,"")</f>
        <v/>
      </c>
      <c r="O1301" s="11">
        <f>IF(K1301="","",100-IF($G$13=1,50,(_xlfn.RANK.AVG(K1301,$K$19:$K$1518,1)-1)/($G$13-1)*100))</f>
        <v/>
      </c>
      <c r="P1301" s="11">
        <f>IF(L1301="","",100-IF($G$14=1,50,(_xlfn.RANK.AVG(L1301,$L$19:$L$1518,1)-1)/($G$14-1)*100))</f>
        <v/>
      </c>
      <c r="Q1301" s="11">
        <f>IF(M1301="","",IF($G$15=1,50,(_xlfn.RANK.AVG(M1301,$M$19:$M$1518,1)-1)/($G$15-1)*100))</f>
        <v/>
      </c>
      <c r="R1301" s="11">
        <f>IF(N1301="","",IF($G$16=1,50,(_xlfn.RANK.AVG(N1301,$N$19:$N$1518,1)-1)/($G$16-1)*100))</f>
        <v/>
      </c>
      <c r="S1301" s="11">
        <f>IF(COUNT(O1301:R1301)=4,ROUND(AVERAGE(O1301:R1301),6),"")</f>
        <v/>
      </c>
      <c r="U1301">
        <f>IF(AND(ISNUMBER('자료_한국심리'!$A1285),ISNUMBER('자료_한국심리'!$B1285)),'자료_한국심리'!$A1285,"")</f>
        <v/>
      </c>
      <c r="V1301">
        <f>IF(AND(ISNUMBER('자료_한국심리'!$D1285),ISNUMBER('자료_한국심리'!$E1285)),'자료_한국심리'!$D1285,"")</f>
        <v/>
      </c>
      <c r="W1301">
        <f>IF(AND(ISNUMBER('자료_한국심리'!$G1285),ISNUMBER('자료_한국심리'!$H1285)),'자료_한국심리'!$G1285,"")</f>
        <v/>
      </c>
      <c r="X1301">
        <f>IF(AND(ISNUMBER('자료_한국심리'!$J1285),ISNUMBER('자료_한국심리'!$K1285)),'자료_한국심리'!$J1285,"")</f>
        <v/>
      </c>
      <c r="Y1301">
        <f>IF(AND(ISNUMBER('자료_한국심리'!$M1285),ISNUMBER('자료_한국심리'!$N1285)),'자료_한국심리'!$M1285,"")</f>
        <v/>
      </c>
    </row>
    <row r="1302">
      <c r="A1302" s="10">
        <f>IF(1284&gt;$E$5,"",SMALL($U$19:$U$4018,$E$6+1284))</f>
        <v/>
      </c>
      <c r="B1302" s="29">
        <f>IF(A1302="","",INDEX('자료_한국심리'!$B$3:$B$4002,MATCH(A1302,$U$19:$U$4018,0)))</f>
        <v/>
      </c>
      <c r="C1302" s="22">
        <f>IF(A1302="","",B1302/AVERAGE(B1178:B1302)-1)</f>
        <v/>
      </c>
      <c r="D1302" s="29">
        <f>IF(A1302="","",IFERROR(INDEX('자료_한국심리'!$E$3:$E$4002,MATCH(A1302,$V$19:$V$4018,0)),D1301))</f>
        <v/>
      </c>
      <c r="E1302" s="30">
        <f>IF(A1302="","",IFERROR(INDEX('자료_한국심리'!$H$3:$H$4002,MATCH(A1302,$W$19:$W$4018,0)),E1301))</f>
        <v/>
      </c>
      <c r="F1302" s="30">
        <f>IF(A1302="","",IFERROR(INDEX('자료_한국심리'!$K$3:$K$4002,MATCH(A1302,$X$19:$X$4018,0)),F1301))</f>
        <v/>
      </c>
      <c r="G1302" s="30">
        <f>IF(AND(ISNUMBER(E1302),ISNUMBER(F1302)),ROUND(E1302-F1302,6),"")</f>
        <v/>
      </c>
      <c r="H1302" s="25">
        <f>IF(A1302="","",IFERROR(INDEX('자료_한국심리'!$N$3:$N$4002,MATCH(A1302,$Y$19:$Y$4018,0)),H1301))</f>
        <v/>
      </c>
      <c r="I1302" s="31">
        <f>IF(AND(ISNUMBER(H1302),ISNUMBER(H1282)),IF(H1282&gt;0,H1302/H1282-1,""),"")</f>
        <v/>
      </c>
      <c r="J1302">
        <f>IF(A1302="",0,IF(A1302&gt;$B$5,1,0))</f>
        <v/>
      </c>
      <c r="K1302" s="29">
        <f>IF(AND(J1302=1,ISNUMBER(D1302)),D1302,"")</f>
        <v/>
      </c>
      <c r="L1302" s="30">
        <f>IF(AND(J1302=1,ISNUMBER(G1302)),G1302,"")</f>
        <v/>
      </c>
      <c r="M1302" s="22">
        <f>IF(AND(J1302=1,ISNUMBER(C1302)),C1302,"")</f>
        <v/>
      </c>
      <c r="N1302" s="31">
        <f>IF(AND(J1302=1,ISNUMBER(I1302)),I1302,"")</f>
        <v/>
      </c>
      <c r="O1302" s="11">
        <f>IF(K1302="","",100-IF($G$13=1,50,(_xlfn.RANK.AVG(K1302,$K$19:$K$1518,1)-1)/($G$13-1)*100))</f>
        <v/>
      </c>
      <c r="P1302" s="11">
        <f>IF(L1302="","",100-IF($G$14=1,50,(_xlfn.RANK.AVG(L1302,$L$19:$L$1518,1)-1)/($G$14-1)*100))</f>
        <v/>
      </c>
      <c r="Q1302" s="11">
        <f>IF(M1302="","",IF($G$15=1,50,(_xlfn.RANK.AVG(M1302,$M$19:$M$1518,1)-1)/($G$15-1)*100))</f>
        <v/>
      </c>
      <c r="R1302" s="11">
        <f>IF(N1302="","",IF($G$16=1,50,(_xlfn.RANK.AVG(N1302,$N$19:$N$1518,1)-1)/($G$16-1)*100))</f>
        <v/>
      </c>
      <c r="S1302" s="11">
        <f>IF(COUNT(O1302:R1302)=4,ROUND(AVERAGE(O1302:R1302),6),"")</f>
        <v/>
      </c>
      <c r="U1302">
        <f>IF(AND(ISNUMBER('자료_한국심리'!$A1286),ISNUMBER('자료_한국심리'!$B1286)),'자료_한국심리'!$A1286,"")</f>
        <v/>
      </c>
      <c r="V1302">
        <f>IF(AND(ISNUMBER('자료_한국심리'!$D1286),ISNUMBER('자료_한국심리'!$E1286)),'자료_한국심리'!$D1286,"")</f>
        <v/>
      </c>
      <c r="W1302">
        <f>IF(AND(ISNUMBER('자료_한국심리'!$G1286),ISNUMBER('자료_한국심리'!$H1286)),'자료_한국심리'!$G1286,"")</f>
        <v/>
      </c>
      <c r="X1302">
        <f>IF(AND(ISNUMBER('자료_한국심리'!$J1286),ISNUMBER('자료_한국심리'!$K1286)),'자료_한국심리'!$J1286,"")</f>
        <v/>
      </c>
      <c r="Y1302">
        <f>IF(AND(ISNUMBER('자료_한국심리'!$M1286),ISNUMBER('자료_한국심리'!$N1286)),'자료_한국심리'!$M1286,"")</f>
        <v/>
      </c>
    </row>
    <row r="1303">
      <c r="A1303" s="10">
        <f>IF(1285&gt;$E$5,"",SMALL($U$19:$U$4018,$E$6+1285))</f>
        <v/>
      </c>
      <c r="B1303" s="29">
        <f>IF(A1303="","",INDEX('자료_한국심리'!$B$3:$B$4002,MATCH(A1303,$U$19:$U$4018,0)))</f>
        <v/>
      </c>
      <c r="C1303" s="22">
        <f>IF(A1303="","",B1303/AVERAGE(B1179:B1303)-1)</f>
        <v/>
      </c>
      <c r="D1303" s="29">
        <f>IF(A1303="","",IFERROR(INDEX('자료_한국심리'!$E$3:$E$4002,MATCH(A1303,$V$19:$V$4018,0)),D1302))</f>
        <v/>
      </c>
      <c r="E1303" s="30">
        <f>IF(A1303="","",IFERROR(INDEX('자료_한국심리'!$H$3:$H$4002,MATCH(A1303,$W$19:$W$4018,0)),E1302))</f>
        <v/>
      </c>
      <c r="F1303" s="30">
        <f>IF(A1303="","",IFERROR(INDEX('자료_한국심리'!$K$3:$K$4002,MATCH(A1303,$X$19:$X$4018,0)),F1302))</f>
        <v/>
      </c>
      <c r="G1303" s="30">
        <f>IF(AND(ISNUMBER(E1303),ISNUMBER(F1303)),ROUND(E1303-F1303,6),"")</f>
        <v/>
      </c>
      <c r="H1303" s="25">
        <f>IF(A1303="","",IFERROR(INDEX('자료_한국심리'!$N$3:$N$4002,MATCH(A1303,$Y$19:$Y$4018,0)),H1302))</f>
        <v/>
      </c>
      <c r="I1303" s="31">
        <f>IF(AND(ISNUMBER(H1303),ISNUMBER(H1283)),IF(H1283&gt;0,H1303/H1283-1,""),"")</f>
        <v/>
      </c>
      <c r="J1303">
        <f>IF(A1303="",0,IF(A1303&gt;$B$5,1,0))</f>
        <v/>
      </c>
      <c r="K1303" s="29">
        <f>IF(AND(J1303=1,ISNUMBER(D1303)),D1303,"")</f>
        <v/>
      </c>
      <c r="L1303" s="30">
        <f>IF(AND(J1303=1,ISNUMBER(G1303)),G1303,"")</f>
        <v/>
      </c>
      <c r="M1303" s="22">
        <f>IF(AND(J1303=1,ISNUMBER(C1303)),C1303,"")</f>
        <v/>
      </c>
      <c r="N1303" s="31">
        <f>IF(AND(J1303=1,ISNUMBER(I1303)),I1303,"")</f>
        <v/>
      </c>
      <c r="O1303" s="11">
        <f>IF(K1303="","",100-IF($G$13=1,50,(_xlfn.RANK.AVG(K1303,$K$19:$K$1518,1)-1)/($G$13-1)*100))</f>
        <v/>
      </c>
      <c r="P1303" s="11">
        <f>IF(L1303="","",100-IF($G$14=1,50,(_xlfn.RANK.AVG(L1303,$L$19:$L$1518,1)-1)/($G$14-1)*100))</f>
        <v/>
      </c>
      <c r="Q1303" s="11">
        <f>IF(M1303="","",IF($G$15=1,50,(_xlfn.RANK.AVG(M1303,$M$19:$M$1518,1)-1)/($G$15-1)*100))</f>
        <v/>
      </c>
      <c r="R1303" s="11">
        <f>IF(N1303="","",IF($G$16=1,50,(_xlfn.RANK.AVG(N1303,$N$19:$N$1518,1)-1)/($G$16-1)*100))</f>
        <v/>
      </c>
      <c r="S1303" s="11">
        <f>IF(COUNT(O1303:R1303)=4,ROUND(AVERAGE(O1303:R1303),6),"")</f>
        <v/>
      </c>
      <c r="U1303">
        <f>IF(AND(ISNUMBER('자료_한국심리'!$A1287),ISNUMBER('자료_한국심리'!$B1287)),'자료_한국심리'!$A1287,"")</f>
        <v/>
      </c>
      <c r="V1303">
        <f>IF(AND(ISNUMBER('자료_한국심리'!$D1287),ISNUMBER('자료_한국심리'!$E1287)),'자료_한국심리'!$D1287,"")</f>
        <v/>
      </c>
      <c r="W1303">
        <f>IF(AND(ISNUMBER('자료_한국심리'!$G1287),ISNUMBER('자료_한국심리'!$H1287)),'자료_한국심리'!$G1287,"")</f>
        <v/>
      </c>
      <c r="X1303">
        <f>IF(AND(ISNUMBER('자료_한국심리'!$J1287),ISNUMBER('자료_한국심리'!$K1287)),'자료_한국심리'!$J1287,"")</f>
        <v/>
      </c>
      <c r="Y1303">
        <f>IF(AND(ISNUMBER('자료_한국심리'!$M1287),ISNUMBER('자료_한국심리'!$N1287)),'자료_한국심리'!$M1287,"")</f>
        <v/>
      </c>
    </row>
    <row r="1304">
      <c r="A1304" s="10">
        <f>IF(1286&gt;$E$5,"",SMALL($U$19:$U$4018,$E$6+1286))</f>
        <v/>
      </c>
      <c r="B1304" s="29">
        <f>IF(A1304="","",INDEX('자료_한국심리'!$B$3:$B$4002,MATCH(A1304,$U$19:$U$4018,0)))</f>
        <v/>
      </c>
      <c r="C1304" s="22">
        <f>IF(A1304="","",B1304/AVERAGE(B1180:B1304)-1)</f>
        <v/>
      </c>
      <c r="D1304" s="29">
        <f>IF(A1304="","",IFERROR(INDEX('자료_한국심리'!$E$3:$E$4002,MATCH(A1304,$V$19:$V$4018,0)),D1303))</f>
        <v/>
      </c>
      <c r="E1304" s="30">
        <f>IF(A1304="","",IFERROR(INDEX('자료_한국심리'!$H$3:$H$4002,MATCH(A1304,$W$19:$W$4018,0)),E1303))</f>
        <v/>
      </c>
      <c r="F1304" s="30">
        <f>IF(A1304="","",IFERROR(INDEX('자료_한국심리'!$K$3:$K$4002,MATCH(A1304,$X$19:$X$4018,0)),F1303))</f>
        <v/>
      </c>
      <c r="G1304" s="30">
        <f>IF(AND(ISNUMBER(E1304),ISNUMBER(F1304)),ROUND(E1304-F1304,6),"")</f>
        <v/>
      </c>
      <c r="H1304" s="25">
        <f>IF(A1304="","",IFERROR(INDEX('자료_한국심리'!$N$3:$N$4002,MATCH(A1304,$Y$19:$Y$4018,0)),H1303))</f>
        <v/>
      </c>
      <c r="I1304" s="31">
        <f>IF(AND(ISNUMBER(H1304),ISNUMBER(H1284)),IF(H1284&gt;0,H1304/H1284-1,""),"")</f>
        <v/>
      </c>
      <c r="J1304">
        <f>IF(A1304="",0,IF(A1304&gt;$B$5,1,0))</f>
        <v/>
      </c>
      <c r="K1304" s="29">
        <f>IF(AND(J1304=1,ISNUMBER(D1304)),D1304,"")</f>
        <v/>
      </c>
      <c r="L1304" s="30">
        <f>IF(AND(J1304=1,ISNUMBER(G1304)),G1304,"")</f>
        <v/>
      </c>
      <c r="M1304" s="22">
        <f>IF(AND(J1304=1,ISNUMBER(C1304)),C1304,"")</f>
        <v/>
      </c>
      <c r="N1304" s="31">
        <f>IF(AND(J1304=1,ISNUMBER(I1304)),I1304,"")</f>
        <v/>
      </c>
      <c r="O1304" s="11">
        <f>IF(K1304="","",100-IF($G$13=1,50,(_xlfn.RANK.AVG(K1304,$K$19:$K$1518,1)-1)/($G$13-1)*100))</f>
        <v/>
      </c>
      <c r="P1304" s="11">
        <f>IF(L1304="","",100-IF($G$14=1,50,(_xlfn.RANK.AVG(L1304,$L$19:$L$1518,1)-1)/($G$14-1)*100))</f>
        <v/>
      </c>
      <c r="Q1304" s="11">
        <f>IF(M1304="","",IF($G$15=1,50,(_xlfn.RANK.AVG(M1304,$M$19:$M$1518,1)-1)/($G$15-1)*100))</f>
        <v/>
      </c>
      <c r="R1304" s="11">
        <f>IF(N1304="","",IF($G$16=1,50,(_xlfn.RANK.AVG(N1304,$N$19:$N$1518,1)-1)/($G$16-1)*100))</f>
        <v/>
      </c>
      <c r="S1304" s="11">
        <f>IF(COUNT(O1304:R1304)=4,ROUND(AVERAGE(O1304:R1304),6),"")</f>
        <v/>
      </c>
      <c r="U1304">
        <f>IF(AND(ISNUMBER('자료_한국심리'!$A1288),ISNUMBER('자료_한국심리'!$B1288)),'자료_한국심리'!$A1288,"")</f>
        <v/>
      </c>
      <c r="V1304">
        <f>IF(AND(ISNUMBER('자료_한국심리'!$D1288),ISNUMBER('자료_한국심리'!$E1288)),'자료_한국심리'!$D1288,"")</f>
        <v/>
      </c>
      <c r="W1304">
        <f>IF(AND(ISNUMBER('자료_한국심리'!$G1288),ISNUMBER('자료_한국심리'!$H1288)),'자료_한국심리'!$G1288,"")</f>
        <v/>
      </c>
      <c r="X1304">
        <f>IF(AND(ISNUMBER('자료_한국심리'!$J1288),ISNUMBER('자료_한국심리'!$K1288)),'자료_한국심리'!$J1288,"")</f>
        <v/>
      </c>
      <c r="Y1304">
        <f>IF(AND(ISNUMBER('자료_한국심리'!$M1288),ISNUMBER('자료_한국심리'!$N1288)),'자료_한국심리'!$M1288,"")</f>
        <v/>
      </c>
    </row>
    <row r="1305">
      <c r="A1305" s="10">
        <f>IF(1287&gt;$E$5,"",SMALL($U$19:$U$4018,$E$6+1287))</f>
        <v/>
      </c>
      <c r="B1305" s="29">
        <f>IF(A1305="","",INDEX('자료_한국심리'!$B$3:$B$4002,MATCH(A1305,$U$19:$U$4018,0)))</f>
        <v/>
      </c>
      <c r="C1305" s="22">
        <f>IF(A1305="","",B1305/AVERAGE(B1181:B1305)-1)</f>
        <v/>
      </c>
      <c r="D1305" s="29">
        <f>IF(A1305="","",IFERROR(INDEX('자료_한국심리'!$E$3:$E$4002,MATCH(A1305,$V$19:$V$4018,0)),D1304))</f>
        <v/>
      </c>
      <c r="E1305" s="30">
        <f>IF(A1305="","",IFERROR(INDEX('자료_한국심리'!$H$3:$H$4002,MATCH(A1305,$W$19:$W$4018,0)),E1304))</f>
        <v/>
      </c>
      <c r="F1305" s="30">
        <f>IF(A1305="","",IFERROR(INDEX('자료_한국심리'!$K$3:$K$4002,MATCH(A1305,$X$19:$X$4018,0)),F1304))</f>
        <v/>
      </c>
      <c r="G1305" s="30">
        <f>IF(AND(ISNUMBER(E1305),ISNUMBER(F1305)),ROUND(E1305-F1305,6),"")</f>
        <v/>
      </c>
      <c r="H1305" s="25">
        <f>IF(A1305="","",IFERROR(INDEX('자료_한국심리'!$N$3:$N$4002,MATCH(A1305,$Y$19:$Y$4018,0)),H1304))</f>
        <v/>
      </c>
      <c r="I1305" s="31">
        <f>IF(AND(ISNUMBER(H1305),ISNUMBER(H1285)),IF(H1285&gt;0,H1305/H1285-1,""),"")</f>
        <v/>
      </c>
      <c r="J1305">
        <f>IF(A1305="",0,IF(A1305&gt;$B$5,1,0))</f>
        <v/>
      </c>
      <c r="K1305" s="29">
        <f>IF(AND(J1305=1,ISNUMBER(D1305)),D1305,"")</f>
        <v/>
      </c>
      <c r="L1305" s="30">
        <f>IF(AND(J1305=1,ISNUMBER(G1305)),G1305,"")</f>
        <v/>
      </c>
      <c r="M1305" s="22">
        <f>IF(AND(J1305=1,ISNUMBER(C1305)),C1305,"")</f>
        <v/>
      </c>
      <c r="N1305" s="31">
        <f>IF(AND(J1305=1,ISNUMBER(I1305)),I1305,"")</f>
        <v/>
      </c>
      <c r="O1305" s="11">
        <f>IF(K1305="","",100-IF($G$13=1,50,(_xlfn.RANK.AVG(K1305,$K$19:$K$1518,1)-1)/($G$13-1)*100))</f>
        <v/>
      </c>
      <c r="P1305" s="11">
        <f>IF(L1305="","",100-IF($G$14=1,50,(_xlfn.RANK.AVG(L1305,$L$19:$L$1518,1)-1)/($G$14-1)*100))</f>
        <v/>
      </c>
      <c r="Q1305" s="11">
        <f>IF(M1305="","",IF($G$15=1,50,(_xlfn.RANK.AVG(M1305,$M$19:$M$1518,1)-1)/($G$15-1)*100))</f>
        <v/>
      </c>
      <c r="R1305" s="11">
        <f>IF(N1305="","",IF($G$16=1,50,(_xlfn.RANK.AVG(N1305,$N$19:$N$1518,1)-1)/($G$16-1)*100))</f>
        <v/>
      </c>
      <c r="S1305" s="11">
        <f>IF(COUNT(O1305:R1305)=4,ROUND(AVERAGE(O1305:R1305),6),"")</f>
        <v/>
      </c>
      <c r="U1305">
        <f>IF(AND(ISNUMBER('자료_한국심리'!$A1289),ISNUMBER('자료_한국심리'!$B1289)),'자료_한국심리'!$A1289,"")</f>
        <v/>
      </c>
      <c r="V1305">
        <f>IF(AND(ISNUMBER('자료_한국심리'!$D1289),ISNUMBER('자료_한국심리'!$E1289)),'자료_한국심리'!$D1289,"")</f>
        <v/>
      </c>
      <c r="W1305">
        <f>IF(AND(ISNUMBER('자료_한국심리'!$G1289),ISNUMBER('자료_한국심리'!$H1289)),'자료_한국심리'!$G1289,"")</f>
        <v/>
      </c>
      <c r="X1305">
        <f>IF(AND(ISNUMBER('자료_한국심리'!$J1289),ISNUMBER('자료_한국심리'!$K1289)),'자료_한국심리'!$J1289,"")</f>
        <v/>
      </c>
      <c r="Y1305">
        <f>IF(AND(ISNUMBER('자료_한국심리'!$M1289),ISNUMBER('자료_한국심리'!$N1289)),'자료_한국심리'!$M1289,"")</f>
        <v/>
      </c>
    </row>
    <row r="1306">
      <c r="A1306" s="10">
        <f>IF(1288&gt;$E$5,"",SMALL($U$19:$U$4018,$E$6+1288))</f>
        <v/>
      </c>
      <c r="B1306" s="29">
        <f>IF(A1306="","",INDEX('자료_한국심리'!$B$3:$B$4002,MATCH(A1306,$U$19:$U$4018,0)))</f>
        <v/>
      </c>
      <c r="C1306" s="22">
        <f>IF(A1306="","",B1306/AVERAGE(B1182:B1306)-1)</f>
        <v/>
      </c>
      <c r="D1306" s="29">
        <f>IF(A1306="","",IFERROR(INDEX('자료_한국심리'!$E$3:$E$4002,MATCH(A1306,$V$19:$V$4018,0)),D1305))</f>
        <v/>
      </c>
      <c r="E1306" s="30">
        <f>IF(A1306="","",IFERROR(INDEX('자료_한국심리'!$H$3:$H$4002,MATCH(A1306,$W$19:$W$4018,0)),E1305))</f>
        <v/>
      </c>
      <c r="F1306" s="30">
        <f>IF(A1306="","",IFERROR(INDEX('자료_한국심리'!$K$3:$K$4002,MATCH(A1306,$X$19:$X$4018,0)),F1305))</f>
        <v/>
      </c>
      <c r="G1306" s="30">
        <f>IF(AND(ISNUMBER(E1306),ISNUMBER(F1306)),ROUND(E1306-F1306,6),"")</f>
        <v/>
      </c>
      <c r="H1306" s="25">
        <f>IF(A1306="","",IFERROR(INDEX('자료_한국심리'!$N$3:$N$4002,MATCH(A1306,$Y$19:$Y$4018,0)),H1305))</f>
        <v/>
      </c>
      <c r="I1306" s="31">
        <f>IF(AND(ISNUMBER(H1306),ISNUMBER(H1286)),IF(H1286&gt;0,H1306/H1286-1,""),"")</f>
        <v/>
      </c>
      <c r="J1306">
        <f>IF(A1306="",0,IF(A1306&gt;$B$5,1,0))</f>
        <v/>
      </c>
      <c r="K1306" s="29">
        <f>IF(AND(J1306=1,ISNUMBER(D1306)),D1306,"")</f>
        <v/>
      </c>
      <c r="L1306" s="30">
        <f>IF(AND(J1306=1,ISNUMBER(G1306)),G1306,"")</f>
        <v/>
      </c>
      <c r="M1306" s="22">
        <f>IF(AND(J1306=1,ISNUMBER(C1306)),C1306,"")</f>
        <v/>
      </c>
      <c r="N1306" s="31">
        <f>IF(AND(J1306=1,ISNUMBER(I1306)),I1306,"")</f>
        <v/>
      </c>
      <c r="O1306" s="11">
        <f>IF(K1306="","",100-IF($G$13=1,50,(_xlfn.RANK.AVG(K1306,$K$19:$K$1518,1)-1)/($G$13-1)*100))</f>
        <v/>
      </c>
      <c r="P1306" s="11">
        <f>IF(L1306="","",100-IF($G$14=1,50,(_xlfn.RANK.AVG(L1306,$L$19:$L$1518,1)-1)/($G$14-1)*100))</f>
        <v/>
      </c>
      <c r="Q1306" s="11">
        <f>IF(M1306="","",IF($G$15=1,50,(_xlfn.RANK.AVG(M1306,$M$19:$M$1518,1)-1)/($G$15-1)*100))</f>
        <v/>
      </c>
      <c r="R1306" s="11">
        <f>IF(N1306="","",IF($G$16=1,50,(_xlfn.RANK.AVG(N1306,$N$19:$N$1518,1)-1)/($G$16-1)*100))</f>
        <v/>
      </c>
      <c r="S1306" s="11">
        <f>IF(COUNT(O1306:R1306)=4,ROUND(AVERAGE(O1306:R1306),6),"")</f>
        <v/>
      </c>
      <c r="U1306">
        <f>IF(AND(ISNUMBER('자료_한국심리'!$A1290),ISNUMBER('자료_한국심리'!$B1290)),'자료_한국심리'!$A1290,"")</f>
        <v/>
      </c>
      <c r="V1306">
        <f>IF(AND(ISNUMBER('자료_한국심리'!$D1290),ISNUMBER('자료_한국심리'!$E1290)),'자료_한국심리'!$D1290,"")</f>
        <v/>
      </c>
      <c r="W1306">
        <f>IF(AND(ISNUMBER('자료_한국심리'!$G1290),ISNUMBER('자료_한국심리'!$H1290)),'자료_한국심리'!$G1290,"")</f>
        <v/>
      </c>
      <c r="X1306">
        <f>IF(AND(ISNUMBER('자료_한국심리'!$J1290),ISNUMBER('자료_한국심리'!$K1290)),'자료_한국심리'!$J1290,"")</f>
        <v/>
      </c>
      <c r="Y1306">
        <f>IF(AND(ISNUMBER('자료_한국심리'!$M1290),ISNUMBER('자료_한국심리'!$N1290)),'자료_한국심리'!$M1290,"")</f>
        <v/>
      </c>
    </row>
    <row r="1307">
      <c r="A1307" s="10">
        <f>IF(1289&gt;$E$5,"",SMALL($U$19:$U$4018,$E$6+1289))</f>
        <v/>
      </c>
      <c r="B1307" s="29">
        <f>IF(A1307="","",INDEX('자료_한국심리'!$B$3:$B$4002,MATCH(A1307,$U$19:$U$4018,0)))</f>
        <v/>
      </c>
      <c r="C1307" s="22">
        <f>IF(A1307="","",B1307/AVERAGE(B1183:B1307)-1)</f>
        <v/>
      </c>
      <c r="D1307" s="29">
        <f>IF(A1307="","",IFERROR(INDEX('자료_한국심리'!$E$3:$E$4002,MATCH(A1307,$V$19:$V$4018,0)),D1306))</f>
        <v/>
      </c>
      <c r="E1307" s="30">
        <f>IF(A1307="","",IFERROR(INDEX('자료_한국심리'!$H$3:$H$4002,MATCH(A1307,$W$19:$W$4018,0)),E1306))</f>
        <v/>
      </c>
      <c r="F1307" s="30">
        <f>IF(A1307="","",IFERROR(INDEX('자료_한국심리'!$K$3:$K$4002,MATCH(A1307,$X$19:$X$4018,0)),F1306))</f>
        <v/>
      </c>
      <c r="G1307" s="30">
        <f>IF(AND(ISNUMBER(E1307),ISNUMBER(F1307)),ROUND(E1307-F1307,6),"")</f>
        <v/>
      </c>
      <c r="H1307" s="25">
        <f>IF(A1307="","",IFERROR(INDEX('자료_한국심리'!$N$3:$N$4002,MATCH(A1307,$Y$19:$Y$4018,0)),H1306))</f>
        <v/>
      </c>
      <c r="I1307" s="31">
        <f>IF(AND(ISNUMBER(H1307),ISNUMBER(H1287)),IF(H1287&gt;0,H1307/H1287-1,""),"")</f>
        <v/>
      </c>
      <c r="J1307">
        <f>IF(A1307="",0,IF(A1307&gt;$B$5,1,0))</f>
        <v/>
      </c>
      <c r="K1307" s="29">
        <f>IF(AND(J1307=1,ISNUMBER(D1307)),D1307,"")</f>
        <v/>
      </c>
      <c r="L1307" s="30">
        <f>IF(AND(J1307=1,ISNUMBER(G1307)),G1307,"")</f>
        <v/>
      </c>
      <c r="M1307" s="22">
        <f>IF(AND(J1307=1,ISNUMBER(C1307)),C1307,"")</f>
        <v/>
      </c>
      <c r="N1307" s="31">
        <f>IF(AND(J1307=1,ISNUMBER(I1307)),I1307,"")</f>
        <v/>
      </c>
      <c r="O1307" s="11">
        <f>IF(K1307="","",100-IF($G$13=1,50,(_xlfn.RANK.AVG(K1307,$K$19:$K$1518,1)-1)/($G$13-1)*100))</f>
        <v/>
      </c>
      <c r="P1307" s="11">
        <f>IF(L1307="","",100-IF($G$14=1,50,(_xlfn.RANK.AVG(L1307,$L$19:$L$1518,1)-1)/($G$14-1)*100))</f>
        <v/>
      </c>
      <c r="Q1307" s="11">
        <f>IF(M1307="","",IF($G$15=1,50,(_xlfn.RANK.AVG(M1307,$M$19:$M$1518,1)-1)/($G$15-1)*100))</f>
        <v/>
      </c>
      <c r="R1307" s="11">
        <f>IF(N1307="","",IF($G$16=1,50,(_xlfn.RANK.AVG(N1307,$N$19:$N$1518,1)-1)/($G$16-1)*100))</f>
        <v/>
      </c>
      <c r="S1307" s="11">
        <f>IF(COUNT(O1307:R1307)=4,ROUND(AVERAGE(O1307:R1307),6),"")</f>
        <v/>
      </c>
      <c r="U1307">
        <f>IF(AND(ISNUMBER('자료_한국심리'!$A1291),ISNUMBER('자료_한국심리'!$B1291)),'자료_한국심리'!$A1291,"")</f>
        <v/>
      </c>
      <c r="V1307">
        <f>IF(AND(ISNUMBER('자료_한국심리'!$D1291),ISNUMBER('자료_한국심리'!$E1291)),'자료_한국심리'!$D1291,"")</f>
        <v/>
      </c>
      <c r="W1307">
        <f>IF(AND(ISNUMBER('자료_한국심리'!$G1291),ISNUMBER('자료_한국심리'!$H1291)),'자료_한국심리'!$G1291,"")</f>
        <v/>
      </c>
      <c r="X1307">
        <f>IF(AND(ISNUMBER('자료_한국심리'!$J1291),ISNUMBER('자료_한국심리'!$K1291)),'자료_한국심리'!$J1291,"")</f>
        <v/>
      </c>
      <c r="Y1307">
        <f>IF(AND(ISNUMBER('자료_한국심리'!$M1291),ISNUMBER('자료_한국심리'!$N1291)),'자료_한국심리'!$M1291,"")</f>
        <v/>
      </c>
    </row>
    <row r="1308">
      <c r="A1308" s="10">
        <f>IF(1290&gt;$E$5,"",SMALL($U$19:$U$4018,$E$6+1290))</f>
        <v/>
      </c>
      <c r="B1308" s="29">
        <f>IF(A1308="","",INDEX('자료_한국심리'!$B$3:$B$4002,MATCH(A1308,$U$19:$U$4018,0)))</f>
        <v/>
      </c>
      <c r="C1308" s="22">
        <f>IF(A1308="","",B1308/AVERAGE(B1184:B1308)-1)</f>
        <v/>
      </c>
      <c r="D1308" s="29">
        <f>IF(A1308="","",IFERROR(INDEX('자료_한국심리'!$E$3:$E$4002,MATCH(A1308,$V$19:$V$4018,0)),D1307))</f>
        <v/>
      </c>
      <c r="E1308" s="30">
        <f>IF(A1308="","",IFERROR(INDEX('자료_한국심리'!$H$3:$H$4002,MATCH(A1308,$W$19:$W$4018,0)),E1307))</f>
        <v/>
      </c>
      <c r="F1308" s="30">
        <f>IF(A1308="","",IFERROR(INDEX('자료_한국심리'!$K$3:$K$4002,MATCH(A1308,$X$19:$X$4018,0)),F1307))</f>
        <v/>
      </c>
      <c r="G1308" s="30">
        <f>IF(AND(ISNUMBER(E1308),ISNUMBER(F1308)),ROUND(E1308-F1308,6),"")</f>
        <v/>
      </c>
      <c r="H1308" s="25">
        <f>IF(A1308="","",IFERROR(INDEX('자료_한국심리'!$N$3:$N$4002,MATCH(A1308,$Y$19:$Y$4018,0)),H1307))</f>
        <v/>
      </c>
      <c r="I1308" s="31">
        <f>IF(AND(ISNUMBER(H1308),ISNUMBER(H1288)),IF(H1288&gt;0,H1308/H1288-1,""),"")</f>
        <v/>
      </c>
      <c r="J1308">
        <f>IF(A1308="",0,IF(A1308&gt;$B$5,1,0))</f>
        <v/>
      </c>
      <c r="K1308" s="29">
        <f>IF(AND(J1308=1,ISNUMBER(D1308)),D1308,"")</f>
        <v/>
      </c>
      <c r="L1308" s="30">
        <f>IF(AND(J1308=1,ISNUMBER(G1308)),G1308,"")</f>
        <v/>
      </c>
      <c r="M1308" s="22">
        <f>IF(AND(J1308=1,ISNUMBER(C1308)),C1308,"")</f>
        <v/>
      </c>
      <c r="N1308" s="31">
        <f>IF(AND(J1308=1,ISNUMBER(I1308)),I1308,"")</f>
        <v/>
      </c>
      <c r="O1308" s="11">
        <f>IF(K1308="","",100-IF($G$13=1,50,(_xlfn.RANK.AVG(K1308,$K$19:$K$1518,1)-1)/($G$13-1)*100))</f>
        <v/>
      </c>
      <c r="P1308" s="11">
        <f>IF(L1308="","",100-IF($G$14=1,50,(_xlfn.RANK.AVG(L1308,$L$19:$L$1518,1)-1)/($G$14-1)*100))</f>
        <v/>
      </c>
      <c r="Q1308" s="11">
        <f>IF(M1308="","",IF($G$15=1,50,(_xlfn.RANK.AVG(M1308,$M$19:$M$1518,1)-1)/($G$15-1)*100))</f>
        <v/>
      </c>
      <c r="R1308" s="11">
        <f>IF(N1308="","",IF($G$16=1,50,(_xlfn.RANK.AVG(N1308,$N$19:$N$1518,1)-1)/($G$16-1)*100))</f>
        <v/>
      </c>
      <c r="S1308" s="11">
        <f>IF(COUNT(O1308:R1308)=4,ROUND(AVERAGE(O1308:R1308),6),"")</f>
        <v/>
      </c>
      <c r="U1308">
        <f>IF(AND(ISNUMBER('자료_한국심리'!$A1292),ISNUMBER('자료_한국심리'!$B1292)),'자료_한국심리'!$A1292,"")</f>
        <v/>
      </c>
      <c r="V1308">
        <f>IF(AND(ISNUMBER('자료_한국심리'!$D1292),ISNUMBER('자료_한국심리'!$E1292)),'자료_한국심리'!$D1292,"")</f>
        <v/>
      </c>
      <c r="W1308">
        <f>IF(AND(ISNUMBER('자료_한국심리'!$G1292),ISNUMBER('자료_한국심리'!$H1292)),'자료_한국심리'!$G1292,"")</f>
        <v/>
      </c>
      <c r="X1308">
        <f>IF(AND(ISNUMBER('자료_한국심리'!$J1292),ISNUMBER('자료_한국심리'!$K1292)),'자료_한국심리'!$J1292,"")</f>
        <v/>
      </c>
      <c r="Y1308">
        <f>IF(AND(ISNUMBER('자료_한국심리'!$M1292),ISNUMBER('자료_한국심리'!$N1292)),'자료_한국심리'!$M1292,"")</f>
        <v/>
      </c>
    </row>
    <row r="1309">
      <c r="A1309" s="10">
        <f>IF(1291&gt;$E$5,"",SMALL($U$19:$U$4018,$E$6+1291))</f>
        <v/>
      </c>
      <c r="B1309" s="29">
        <f>IF(A1309="","",INDEX('자료_한국심리'!$B$3:$B$4002,MATCH(A1309,$U$19:$U$4018,0)))</f>
        <v/>
      </c>
      <c r="C1309" s="22">
        <f>IF(A1309="","",B1309/AVERAGE(B1185:B1309)-1)</f>
        <v/>
      </c>
      <c r="D1309" s="29">
        <f>IF(A1309="","",IFERROR(INDEX('자료_한국심리'!$E$3:$E$4002,MATCH(A1309,$V$19:$V$4018,0)),D1308))</f>
        <v/>
      </c>
      <c r="E1309" s="30">
        <f>IF(A1309="","",IFERROR(INDEX('자료_한국심리'!$H$3:$H$4002,MATCH(A1309,$W$19:$W$4018,0)),E1308))</f>
        <v/>
      </c>
      <c r="F1309" s="30">
        <f>IF(A1309="","",IFERROR(INDEX('자료_한국심리'!$K$3:$K$4002,MATCH(A1309,$X$19:$X$4018,0)),F1308))</f>
        <v/>
      </c>
      <c r="G1309" s="30">
        <f>IF(AND(ISNUMBER(E1309),ISNUMBER(F1309)),ROUND(E1309-F1309,6),"")</f>
        <v/>
      </c>
      <c r="H1309" s="25">
        <f>IF(A1309="","",IFERROR(INDEX('자료_한국심리'!$N$3:$N$4002,MATCH(A1309,$Y$19:$Y$4018,0)),H1308))</f>
        <v/>
      </c>
      <c r="I1309" s="31">
        <f>IF(AND(ISNUMBER(H1309),ISNUMBER(H1289)),IF(H1289&gt;0,H1309/H1289-1,""),"")</f>
        <v/>
      </c>
      <c r="J1309">
        <f>IF(A1309="",0,IF(A1309&gt;$B$5,1,0))</f>
        <v/>
      </c>
      <c r="K1309" s="29">
        <f>IF(AND(J1309=1,ISNUMBER(D1309)),D1309,"")</f>
        <v/>
      </c>
      <c r="L1309" s="30">
        <f>IF(AND(J1309=1,ISNUMBER(G1309)),G1309,"")</f>
        <v/>
      </c>
      <c r="M1309" s="22">
        <f>IF(AND(J1309=1,ISNUMBER(C1309)),C1309,"")</f>
        <v/>
      </c>
      <c r="N1309" s="31">
        <f>IF(AND(J1309=1,ISNUMBER(I1309)),I1309,"")</f>
        <v/>
      </c>
      <c r="O1309" s="11">
        <f>IF(K1309="","",100-IF($G$13=1,50,(_xlfn.RANK.AVG(K1309,$K$19:$K$1518,1)-1)/($G$13-1)*100))</f>
        <v/>
      </c>
      <c r="P1309" s="11">
        <f>IF(L1309="","",100-IF($G$14=1,50,(_xlfn.RANK.AVG(L1309,$L$19:$L$1518,1)-1)/($G$14-1)*100))</f>
        <v/>
      </c>
      <c r="Q1309" s="11">
        <f>IF(M1309="","",IF($G$15=1,50,(_xlfn.RANK.AVG(M1309,$M$19:$M$1518,1)-1)/($G$15-1)*100))</f>
        <v/>
      </c>
      <c r="R1309" s="11">
        <f>IF(N1309="","",IF($G$16=1,50,(_xlfn.RANK.AVG(N1309,$N$19:$N$1518,1)-1)/($G$16-1)*100))</f>
        <v/>
      </c>
      <c r="S1309" s="11">
        <f>IF(COUNT(O1309:R1309)=4,ROUND(AVERAGE(O1309:R1309),6),"")</f>
        <v/>
      </c>
      <c r="U1309">
        <f>IF(AND(ISNUMBER('자료_한국심리'!$A1293),ISNUMBER('자료_한국심리'!$B1293)),'자료_한국심리'!$A1293,"")</f>
        <v/>
      </c>
      <c r="V1309">
        <f>IF(AND(ISNUMBER('자료_한국심리'!$D1293),ISNUMBER('자료_한국심리'!$E1293)),'자료_한국심리'!$D1293,"")</f>
        <v/>
      </c>
      <c r="W1309">
        <f>IF(AND(ISNUMBER('자료_한국심리'!$G1293),ISNUMBER('자료_한국심리'!$H1293)),'자료_한국심리'!$G1293,"")</f>
        <v/>
      </c>
      <c r="X1309">
        <f>IF(AND(ISNUMBER('자료_한국심리'!$J1293),ISNUMBER('자료_한국심리'!$K1293)),'자료_한국심리'!$J1293,"")</f>
        <v/>
      </c>
      <c r="Y1309">
        <f>IF(AND(ISNUMBER('자료_한국심리'!$M1293),ISNUMBER('자료_한국심리'!$N1293)),'자료_한국심리'!$M1293,"")</f>
        <v/>
      </c>
    </row>
    <row r="1310">
      <c r="A1310" s="10">
        <f>IF(1292&gt;$E$5,"",SMALL($U$19:$U$4018,$E$6+1292))</f>
        <v/>
      </c>
      <c r="B1310" s="29">
        <f>IF(A1310="","",INDEX('자료_한국심리'!$B$3:$B$4002,MATCH(A1310,$U$19:$U$4018,0)))</f>
        <v/>
      </c>
      <c r="C1310" s="22">
        <f>IF(A1310="","",B1310/AVERAGE(B1186:B1310)-1)</f>
        <v/>
      </c>
      <c r="D1310" s="29">
        <f>IF(A1310="","",IFERROR(INDEX('자료_한국심리'!$E$3:$E$4002,MATCH(A1310,$V$19:$V$4018,0)),D1309))</f>
        <v/>
      </c>
      <c r="E1310" s="30">
        <f>IF(A1310="","",IFERROR(INDEX('자료_한국심리'!$H$3:$H$4002,MATCH(A1310,$W$19:$W$4018,0)),E1309))</f>
        <v/>
      </c>
      <c r="F1310" s="30">
        <f>IF(A1310="","",IFERROR(INDEX('자료_한국심리'!$K$3:$K$4002,MATCH(A1310,$X$19:$X$4018,0)),F1309))</f>
        <v/>
      </c>
      <c r="G1310" s="30">
        <f>IF(AND(ISNUMBER(E1310),ISNUMBER(F1310)),ROUND(E1310-F1310,6),"")</f>
        <v/>
      </c>
      <c r="H1310" s="25">
        <f>IF(A1310="","",IFERROR(INDEX('자료_한국심리'!$N$3:$N$4002,MATCH(A1310,$Y$19:$Y$4018,0)),H1309))</f>
        <v/>
      </c>
      <c r="I1310" s="31">
        <f>IF(AND(ISNUMBER(H1310),ISNUMBER(H1290)),IF(H1290&gt;0,H1310/H1290-1,""),"")</f>
        <v/>
      </c>
      <c r="J1310">
        <f>IF(A1310="",0,IF(A1310&gt;$B$5,1,0))</f>
        <v/>
      </c>
      <c r="K1310" s="29">
        <f>IF(AND(J1310=1,ISNUMBER(D1310)),D1310,"")</f>
        <v/>
      </c>
      <c r="L1310" s="30">
        <f>IF(AND(J1310=1,ISNUMBER(G1310)),G1310,"")</f>
        <v/>
      </c>
      <c r="M1310" s="22">
        <f>IF(AND(J1310=1,ISNUMBER(C1310)),C1310,"")</f>
        <v/>
      </c>
      <c r="N1310" s="31">
        <f>IF(AND(J1310=1,ISNUMBER(I1310)),I1310,"")</f>
        <v/>
      </c>
      <c r="O1310" s="11">
        <f>IF(K1310="","",100-IF($G$13=1,50,(_xlfn.RANK.AVG(K1310,$K$19:$K$1518,1)-1)/($G$13-1)*100))</f>
        <v/>
      </c>
      <c r="P1310" s="11">
        <f>IF(L1310="","",100-IF($G$14=1,50,(_xlfn.RANK.AVG(L1310,$L$19:$L$1518,1)-1)/($G$14-1)*100))</f>
        <v/>
      </c>
      <c r="Q1310" s="11">
        <f>IF(M1310="","",IF($G$15=1,50,(_xlfn.RANK.AVG(M1310,$M$19:$M$1518,1)-1)/($G$15-1)*100))</f>
        <v/>
      </c>
      <c r="R1310" s="11">
        <f>IF(N1310="","",IF($G$16=1,50,(_xlfn.RANK.AVG(N1310,$N$19:$N$1518,1)-1)/($G$16-1)*100))</f>
        <v/>
      </c>
      <c r="S1310" s="11">
        <f>IF(COUNT(O1310:R1310)=4,ROUND(AVERAGE(O1310:R1310),6),"")</f>
        <v/>
      </c>
      <c r="U1310">
        <f>IF(AND(ISNUMBER('자료_한국심리'!$A1294),ISNUMBER('자료_한국심리'!$B1294)),'자료_한국심리'!$A1294,"")</f>
        <v/>
      </c>
      <c r="V1310">
        <f>IF(AND(ISNUMBER('자료_한국심리'!$D1294),ISNUMBER('자료_한국심리'!$E1294)),'자료_한국심리'!$D1294,"")</f>
        <v/>
      </c>
      <c r="W1310">
        <f>IF(AND(ISNUMBER('자료_한국심리'!$G1294),ISNUMBER('자료_한국심리'!$H1294)),'자료_한국심리'!$G1294,"")</f>
        <v/>
      </c>
      <c r="X1310">
        <f>IF(AND(ISNUMBER('자료_한국심리'!$J1294),ISNUMBER('자료_한국심리'!$K1294)),'자료_한국심리'!$J1294,"")</f>
        <v/>
      </c>
      <c r="Y1310">
        <f>IF(AND(ISNUMBER('자료_한국심리'!$M1294),ISNUMBER('자료_한국심리'!$N1294)),'자료_한국심리'!$M1294,"")</f>
        <v/>
      </c>
    </row>
    <row r="1311">
      <c r="A1311" s="10">
        <f>IF(1293&gt;$E$5,"",SMALL($U$19:$U$4018,$E$6+1293))</f>
        <v/>
      </c>
      <c r="B1311" s="29">
        <f>IF(A1311="","",INDEX('자료_한국심리'!$B$3:$B$4002,MATCH(A1311,$U$19:$U$4018,0)))</f>
        <v/>
      </c>
      <c r="C1311" s="22">
        <f>IF(A1311="","",B1311/AVERAGE(B1187:B1311)-1)</f>
        <v/>
      </c>
      <c r="D1311" s="29">
        <f>IF(A1311="","",IFERROR(INDEX('자료_한국심리'!$E$3:$E$4002,MATCH(A1311,$V$19:$V$4018,0)),D1310))</f>
        <v/>
      </c>
      <c r="E1311" s="30">
        <f>IF(A1311="","",IFERROR(INDEX('자료_한국심리'!$H$3:$H$4002,MATCH(A1311,$W$19:$W$4018,0)),E1310))</f>
        <v/>
      </c>
      <c r="F1311" s="30">
        <f>IF(A1311="","",IFERROR(INDEX('자료_한국심리'!$K$3:$K$4002,MATCH(A1311,$X$19:$X$4018,0)),F1310))</f>
        <v/>
      </c>
      <c r="G1311" s="30">
        <f>IF(AND(ISNUMBER(E1311),ISNUMBER(F1311)),ROUND(E1311-F1311,6),"")</f>
        <v/>
      </c>
      <c r="H1311" s="25">
        <f>IF(A1311="","",IFERROR(INDEX('자료_한국심리'!$N$3:$N$4002,MATCH(A1311,$Y$19:$Y$4018,0)),H1310))</f>
        <v/>
      </c>
      <c r="I1311" s="31">
        <f>IF(AND(ISNUMBER(H1311),ISNUMBER(H1291)),IF(H1291&gt;0,H1311/H1291-1,""),"")</f>
        <v/>
      </c>
      <c r="J1311">
        <f>IF(A1311="",0,IF(A1311&gt;$B$5,1,0))</f>
        <v/>
      </c>
      <c r="K1311" s="29">
        <f>IF(AND(J1311=1,ISNUMBER(D1311)),D1311,"")</f>
        <v/>
      </c>
      <c r="L1311" s="30">
        <f>IF(AND(J1311=1,ISNUMBER(G1311)),G1311,"")</f>
        <v/>
      </c>
      <c r="M1311" s="22">
        <f>IF(AND(J1311=1,ISNUMBER(C1311)),C1311,"")</f>
        <v/>
      </c>
      <c r="N1311" s="31">
        <f>IF(AND(J1311=1,ISNUMBER(I1311)),I1311,"")</f>
        <v/>
      </c>
      <c r="O1311" s="11">
        <f>IF(K1311="","",100-IF($G$13=1,50,(_xlfn.RANK.AVG(K1311,$K$19:$K$1518,1)-1)/($G$13-1)*100))</f>
        <v/>
      </c>
      <c r="P1311" s="11">
        <f>IF(L1311="","",100-IF($G$14=1,50,(_xlfn.RANK.AVG(L1311,$L$19:$L$1518,1)-1)/($G$14-1)*100))</f>
        <v/>
      </c>
      <c r="Q1311" s="11">
        <f>IF(M1311="","",IF($G$15=1,50,(_xlfn.RANK.AVG(M1311,$M$19:$M$1518,1)-1)/($G$15-1)*100))</f>
        <v/>
      </c>
      <c r="R1311" s="11">
        <f>IF(N1311="","",IF($G$16=1,50,(_xlfn.RANK.AVG(N1311,$N$19:$N$1518,1)-1)/($G$16-1)*100))</f>
        <v/>
      </c>
      <c r="S1311" s="11">
        <f>IF(COUNT(O1311:R1311)=4,ROUND(AVERAGE(O1311:R1311),6),"")</f>
        <v/>
      </c>
      <c r="U1311">
        <f>IF(AND(ISNUMBER('자료_한국심리'!$A1295),ISNUMBER('자료_한국심리'!$B1295)),'자료_한국심리'!$A1295,"")</f>
        <v/>
      </c>
      <c r="V1311">
        <f>IF(AND(ISNUMBER('자료_한국심리'!$D1295),ISNUMBER('자료_한국심리'!$E1295)),'자료_한국심리'!$D1295,"")</f>
        <v/>
      </c>
      <c r="W1311">
        <f>IF(AND(ISNUMBER('자료_한국심리'!$G1295),ISNUMBER('자료_한국심리'!$H1295)),'자료_한국심리'!$G1295,"")</f>
        <v/>
      </c>
      <c r="X1311">
        <f>IF(AND(ISNUMBER('자료_한국심리'!$J1295),ISNUMBER('자료_한국심리'!$K1295)),'자료_한국심리'!$J1295,"")</f>
        <v/>
      </c>
      <c r="Y1311">
        <f>IF(AND(ISNUMBER('자료_한국심리'!$M1295),ISNUMBER('자료_한국심리'!$N1295)),'자료_한국심리'!$M1295,"")</f>
        <v/>
      </c>
    </row>
    <row r="1312">
      <c r="A1312" s="10">
        <f>IF(1294&gt;$E$5,"",SMALL($U$19:$U$4018,$E$6+1294))</f>
        <v/>
      </c>
      <c r="B1312" s="29">
        <f>IF(A1312="","",INDEX('자료_한국심리'!$B$3:$B$4002,MATCH(A1312,$U$19:$U$4018,0)))</f>
        <v/>
      </c>
      <c r="C1312" s="22">
        <f>IF(A1312="","",B1312/AVERAGE(B1188:B1312)-1)</f>
        <v/>
      </c>
      <c r="D1312" s="29">
        <f>IF(A1312="","",IFERROR(INDEX('자료_한국심리'!$E$3:$E$4002,MATCH(A1312,$V$19:$V$4018,0)),D1311))</f>
        <v/>
      </c>
      <c r="E1312" s="30">
        <f>IF(A1312="","",IFERROR(INDEX('자료_한국심리'!$H$3:$H$4002,MATCH(A1312,$W$19:$W$4018,0)),E1311))</f>
        <v/>
      </c>
      <c r="F1312" s="30">
        <f>IF(A1312="","",IFERROR(INDEX('자료_한국심리'!$K$3:$K$4002,MATCH(A1312,$X$19:$X$4018,0)),F1311))</f>
        <v/>
      </c>
      <c r="G1312" s="30">
        <f>IF(AND(ISNUMBER(E1312),ISNUMBER(F1312)),ROUND(E1312-F1312,6),"")</f>
        <v/>
      </c>
      <c r="H1312" s="25">
        <f>IF(A1312="","",IFERROR(INDEX('자료_한국심리'!$N$3:$N$4002,MATCH(A1312,$Y$19:$Y$4018,0)),H1311))</f>
        <v/>
      </c>
      <c r="I1312" s="31">
        <f>IF(AND(ISNUMBER(H1312),ISNUMBER(H1292)),IF(H1292&gt;0,H1312/H1292-1,""),"")</f>
        <v/>
      </c>
      <c r="J1312">
        <f>IF(A1312="",0,IF(A1312&gt;$B$5,1,0))</f>
        <v/>
      </c>
      <c r="K1312" s="29">
        <f>IF(AND(J1312=1,ISNUMBER(D1312)),D1312,"")</f>
        <v/>
      </c>
      <c r="L1312" s="30">
        <f>IF(AND(J1312=1,ISNUMBER(G1312)),G1312,"")</f>
        <v/>
      </c>
      <c r="M1312" s="22">
        <f>IF(AND(J1312=1,ISNUMBER(C1312)),C1312,"")</f>
        <v/>
      </c>
      <c r="N1312" s="31">
        <f>IF(AND(J1312=1,ISNUMBER(I1312)),I1312,"")</f>
        <v/>
      </c>
      <c r="O1312" s="11">
        <f>IF(K1312="","",100-IF($G$13=1,50,(_xlfn.RANK.AVG(K1312,$K$19:$K$1518,1)-1)/($G$13-1)*100))</f>
        <v/>
      </c>
      <c r="P1312" s="11">
        <f>IF(L1312="","",100-IF($G$14=1,50,(_xlfn.RANK.AVG(L1312,$L$19:$L$1518,1)-1)/($G$14-1)*100))</f>
        <v/>
      </c>
      <c r="Q1312" s="11">
        <f>IF(M1312="","",IF($G$15=1,50,(_xlfn.RANK.AVG(M1312,$M$19:$M$1518,1)-1)/($G$15-1)*100))</f>
        <v/>
      </c>
      <c r="R1312" s="11">
        <f>IF(N1312="","",IF($G$16=1,50,(_xlfn.RANK.AVG(N1312,$N$19:$N$1518,1)-1)/($G$16-1)*100))</f>
        <v/>
      </c>
      <c r="S1312" s="11">
        <f>IF(COUNT(O1312:R1312)=4,ROUND(AVERAGE(O1312:R1312),6),"")</f>
        <v/>
      </c>
      <c r="U1312">
        <f>IF(AND(ISNUMBER('자료_한국심리'!$A1296),ISNUMBER('자료_한국심리'!$B1296)),'자료_한국심리'!$A1296,"")</f>
        <v/>
      </c>
      <c r="V1312">
        <f>IF(AND(ISNUMBER('자료_한국심리'!$D1296),ISNUMBER('자료_한국심리'!$E1296)),'자료_한국심리'!$D1296,"")</f>
        <v/>
      </c>
      <c r="W1312">
        <f>IF(AND(ISNUMBER('자료_한국심리'!$G1296),ISNUMBER('자료_한국심리'!$H1296)),'자료_한국심리'!$G1296,"")</f>
        <v/>
      </c>
      <c r="X1312">
        <f>IF(AND(ISNUMBER('자료_한국심리'!$J1296),ISNUMBER('자료_한국심리'!$K1296)),'자료_한국심리'!$J1296,"")</f>
        <v/>
      </c>
      <c r="Y1312">
        <f>IF(AND(ISNUMBER('자료_한국심리'!$M1296),ISNUMBER('자료_한국심리'!$N1296)),'자료_한국심리'!$M1296,"")</f>
        <v/>
      </c>
    </row>
    <row r="1313">
      <c r="A1313" s="10">
        <f>IF(1295&gt;$E$5,"",SMALL($U$19:$U$4018,$E$6+1295))</f>
        <v/>
      </c>
      <c r="B1313" s="29">
        <f>IF(A1313="","",INDEX('자료_한국심리'!$B$3:$B$4002,MATCH(A1313,$U$19:$U$4018,0)))</f>
        <v/>
      </c>
      <c r="C1313" s="22">
        <f>IF(A1313="","",B1313/AVERAGE(B1189:B1313)-1)</f>
        <v/>
      </c>
      <c r="D1313" s="29">
        <f>IF(A1313="","",IFERROR(INDEX('자료_한국심리'!$E$3:$E$4002,MATCH(A1313,$V$19:$V$4018,0)),D1312))</f>
        <v/>
      </c>
      <c r="E1313" s="30">
        <f>IF(A1313="","",IFERROR(INDEX('자료_한국심리'!$H$3:$H$4002,MATCH(A1313,$W$19:$W$4018,0)),E1312))</f>
        <v/>
      </c>
      <c r="F1313" s="30">
        <f>IF(A1313="","",IFERROR(INDEX('자료_한국심리'!$K$3:$K$4002,MATCH(A1313,$X$19:$X$4018,0)),F1312))</f>
        <v/>
      </c>
      <c r="G1313" s="30">
        <f>IF(AND(ISNUMBER(E1313),ISNUMBER(F1313)),ROUND(E1313-F1313,6),"")</f>
        <v/>
      </c>
      <c r="H1313" s="25">
        <f>IF(A1313="","",IFERROR(INDEX('자료_한국심리'!$N$3:$N$4002,MATCH(A1313,$Y$19:$Y$4018,0)),H1312))</f>
        <v/>
      </c>
      <c r="I1313" s="31">
        <f>IF(AND(ISNUMBER(H1313),ISNUMBER(H1293)),IF(H1293&gt;0,H1313/H1293-1,""),"")</f>
        <v/>
      </c>
      <c r="J1313">
        <f>IF(A1313="",0,IF(A1313&gt;$B$5,1,0))</f>
        <v/>
      </c>
      <c r="K1313" s="29">
        <f>IF(AND(J1313=1,ISNUMBER(D1313)),D1313,"")</f>
        <v/>
      </c>
      <c r="L1313" s="30">
        <f>IF(AND(J1313=1,ISNUMBER(G1313)),G1313,"")</f>
        <v/>
      </c>
      <c r="M1313" s="22">
        <f>IF(AND(J1313=1,ISNUMBER(C1313)),C1313,"")</f>
        <v/>
      </c>
      <c r="N1313" s="31">
        <f>IF(AND(J1313=1,ISNUMBER(I1313)),I1313,"")</f>
        <v/>
      </c>
      <c r="O1313" s="11">
        <f>IF(K1313="","",100-IF($G$13=1,50,(_xlfn.RANK.AVG(K1313,$K$19:$K$1518,1)-1)/($G$13-1)*100))</f>
        <v/>
      </c>
      <c r="P1313" s="11">
        <f>IF(L1313="","",100-IF($G$14=1,50,(_xlfn.RANK.AVG(L1313,$L$19:$L$1518,1)-1)/($G$14-1)*100))</f>
        <v/>
      </c>
      <c r="Q1313" s="11">
        <f>IF(M1313="","",IF($G$15=1,50,(_xlfn.RANK.AVG(M1313,$M$19:$M$1518,1)-1)/($G$15-1)*100))</f>
        <v/>
      </c>
      <c r="R1313" s="11">
        <f>IF(N1313="","",IF($G$16=1,50,(_xlfn.RANK.AVG(N1313,$N$19:$N$1518,1)-1)/($G$16-1)*100))</f>
        <v/>
      </c>
      <c r="S1313" s="11">
        <f>IF(COUNT(O1313:R1313)=4,ROUND(AVERAGE(O1313:R1313),6),"")</f>
        <v/>
      </c>
      <c r="U1313">
        <f>IF(AND(ISNUMBER('자료_한국심리'!$A1297),ISNUMBER('자료_한국심리'!$B1297)),'자료_한국심리'!$A1297,"")</f>
        <v/>
      </c>
      <c r="V1313">
        <f>IF(AND(ISNUMBER('자료_한국심리'!$D1297),ISNUMBER('자료_한국심리'!$E1297)),'자료_한국심리'!$D1297,"")</f>
        <v/>
      </c>
      <c r="W1313">
        <f>IF(AND(ISNUMBER('자료_한국심리'!$G1297),ISNUMBER('자료_한국심리'!$H1297)),'자료_한국심리'!$G1297,"")</f>
        <v/>
      </c>
      <c r="X1313">
        <f>IF(AND(ISNUMBER('자료_한국심리'!$J1297),ISNUMBER('자료_한국심리'!$K1297)),'자료_한국심리'!$J1297,"")</f>
        <v/>
      </c>
      <c r="Y1313">
        <f>IF(AND(ISNUMBER('자료_한국심리'!$M1297),ISNUMBER('자료_한국심리'!$N1297)),'자료_한국심리'!$M1297,"")</f>
        <v/>
      </c>
    </row>
    <row r="1314">
      <c r="A1314" s="10">
        <f>IF(1296&gt;$E$5,"",SMALL($U$19:$U$4018,$E$6+1296))</f>
        <v/>
      </c>
      <c r="B1314" s="29">
        <f>IF(A1314="","",INDEX('자료_한국심리'!$B$3:$B$4002,MATCH(A1314,$U$19:$U$4018,0)))</f>
        <v/>
      </c>
      <c r="C1314" s="22">
        <f>IF(A1314="","",B1314/AVERAGE(B1190:B1314)-1)</f>
        <v/>
      </c>
      <c r="D1314" s="29">
        <f>IF(A1314="","",IFERROR(INDEX('자료_한국심리'!$E$3:$E$4002,MATCH(A1314,$V$19:$V$4018,0)),D1313))</f>
        <v/>
      </c>
      <c r="E1314" s="30">
        <f>IF(A1314="","",IFERROR(INDEX('자료_한국심리'!$H$3:$H$4002,MATCH(A1314,$W$19:$W$4018,0)),E1313))</f>
        <v/>
      </c>
      <c r="F1314" s="30">
        <f>IF(A1314="","",IFERROR(INDEX('자료_한국심리'!$K$3:$K$4002,MATCH(A1314,$X$19:$X$4018,0)),F1313))</f>
        <v/>
      </c>
      <c r="G1314" s="30">
        <f>IF(AND(ISNUMBER(E1314),ISNUMBER(F1314)),ROUND(E1314-F1314,6),"")</f>
        <v/>
      </c>
      <c r="H1314" s="25">
        <f>IF(A1314="","",IFERROR(INDEX('자료_한국심리'!$N$3:$N$4002,MATCH(A1314,$Y$19:$Y$4018,0)),H1313))</f>
        <v/>
      </c>
      <c r="I1314" s="31">
        <f>IF(AND(ISNUMBER(H1314),ISNUMBER(H1294)),IF(H1294&gt;0,H1314/H1294-1,""),"")</f>
        <v/>
      </c>
      <c r="J1314">
        <f>IF(A1314="",0,IF(A1314&gt;$B$5,1,0))</f>
        <v/>
      </c>
      <c r="K1314" s="29">
        <f>IF(AND(J1314=1,ISNUMBER(D1314)),D1314,"")</f>
        <v/>
      </c>
      <c r="L1314" s="30">
        <f>IF(AND(J1314=1,ISNUMBER(G1314)),G1314,"")</f>
        <v/>
      </c>
      <c r="M1314" s="22">
        <f>IF(AND(J1314=1,ISNUMBER(C1314)),C1314,"")</f>
        <v/>
      </c>
      <c r="N1314" s="31">
        <f>IF(AND(J1314=1,ISNUMBER(I1314)),I1314,"")</f>
        <v/>
      </c>
      <c r="O1314" s="11">
        <f>IF(K1314="","",100-IF($G$13=1,50,(_xlfn.RANK.AVG(K1314,$K$19:$K$1518,1)-1)/($G$13-1)*100))</f>
        <v/>
      </c>
      <c r="P1314" s="11">
        <f>IF(L1314="","",100-IF($G$14=1,50,(_xlfn.RANK.AVG(L1314,$L$19:$L$1518,1)-1)/($G$14-1)*100))</f>
        <v/>
      </c>
      <c r="Q1314" s="11">
        <f>IF(M1314="","",IF($G$15=1,50,(_xlfn.RANK.AVG(M1314,$M$19:$M$1518,1)-1)/($G$15-1)*100))</f>
        <v/>
      </c>
      <c r="R1314" s="11">
        <f>IF(N1314="","",IF($G$16=1,50,(_xlfn.RANK.AVG(N1314,$N$19:$N$1518,1)-1)/($G$16-1)*100))</f>
        <v/>
      </c>
      <c r="S1314" s="11">
        <f>IF(COUNT(O1314:R1314)=4,ROUND(AVERAGE(O1314:R1314),6),"")</f>
        <v/>
      </c>
      <c r="U1314">
        <f>IF(AND(ISNUMBER('자료_한국심리'!$A1298),ISNUMBER('자료_한국심리'!$B1298)),'자료_한국심리'!$A1298,"")</f>
        <v/>
      </c>
      <c r="V1314">
        <f>IF(AND(ISNUMBER('자료_한국심리'!$D1298),ISNUMBER('자료_한국심리'!$E1298)),'자료_한국심리'!$D1298,"")</f>
        <v/>
      </c>
      <c r="W1314">
        <f>IF(AND(ISNUMBER('자료_한국심리'!$G1298),ISNUMBER('자료_한국심리'!$H1298)),'자료_한국심리'!$G1298,"")</f>
        <v/>
      </c>
      <c r="X1314">
        <f>IF(AND(ISNUMBER('자료_한국심리'!$J1298),ISNUMBER('자료_한국심리'!$K1298)),'자료_한국심리'!$J1298,"")</f>
        <v/>
      </c>
      <c r="Y1314">
        <f>IF(AND(ISNUMBER('자료_한국심리'!$M1298),ISNUMBER('자료_한국심리'!$N1298)),'자료_한국심리'!$M1298,"")</f>
        <v/>
      </c>
    </row>
    <row r="1315">
      <c r="A1315" s="10">
        <f>IF(1297&gt;$E$5,"",SMALL($U$19:$U$4018,$E$6+1297))</f>
        <v/>
      </c>
      <c r="B1315" s="29">
        <f>IF(A1315="","",INDEX('자료_한국심리'!$B$3:$B$4002,MATCH(A1315,$U$19:$U$4018,0)))</f>
        <v/>
      </c>
      <c r="C1315" s="22">
        <f>IF(A1315="","",B1315/AVERAGE(B1191:B1315)-1)</f>
        <v/>
      </c>
      <c r="D1315" s="29">
        <f>IF(A1315="","",IFERROR(INDEX('자료_한국심리'!$E$3:$E$4002,MATCH(A1315,$V$19:$V$4018,0)),D1314))</f>
        <v/>
      </c>
      <c r="E1315" s="30">
        <f>IF(A1315="","",IFERROR(INDEX('자료_한국심리'!$H$3:$H$4002,MATCH(A1315,$W$19:$W$4018,0)),E1314))</f>
        <v/>
      </c>
      <c r="F1315" s="30">
        <f>IF(A1315="","",IFERROR(INDEX('자료_한국심리'!$K$3:$K$4002,MATCH(A1315,$X$19:$X$4018,0)),F1314))</f>
        <v/>
      </c>
      <c r="G1315" s="30">
        <f>IF(AND(ISNUMBER(E1315),ISNUMBER(F1315)),ROUND(E1315-F1315,6),"")</f>
        <v/>
      </c>
      <c r="H1315" s="25">
        <f>IF(A1315="","",IFERROR(INDEX('자료_한국심리'!$N$3:$N$4002,MATCH(A1315,$Y$19:$Y$4018,0)),H1314))</f>
        <v/>
      </c>
      <c r="I1315" s="31">
        <f>IF(AND(ISNUMBER(H1315),ISNUMBER(H1295)),IF(H1295&gt;0,H1315/H1295-1,""),"")</f>
        <v/>
      </c>
      <c r="J1315">
        <f>IF(A1315="",0,IF(A1315&gt;$B$5,1,0))</f>
        <v/>
      </c>
      <c r="K1315" s="29">
        <f>IF(AND(J1315=1,ISNUMBER(D1315)),D1315,"")</f>
        <v/>
      </c>
      <c r="L1315" s="30">
        <f>IF(AND(J1315=1,ISNUMBER(G1315)),G1315,"")</f>
        <v/>
      </c>
      <c r="M1315" s="22">
        <f>IF(AND(J1315=1,ISNUMBER(C1315)),C1315,"")</f>
        <v/>
      </c>
      <c r="N1315" s="31">
        <f>IF(AND(J1315=1,ISNUMBER(I1315)),I1315,"")</f>
        <v/>
      </c>
      <c r="O1315" s="11">
        <f>IF(K1315="","",100-IF($G$13=1,50,(_xlfn.RANK.AVG(K1315,$K$19:$K$1518,1)-1)/($G$13-1)*100))</f>
        <v/>
      </c>
      <c r="P1315" s="11">
        <f>IF(L1315="","",100-IF($G$14=1,50,(_xlfn.RANK.AVG(L1315,$L$19:$L$1518,1)-1)/($G$14-1)*100))</f>
        <v/>
      </c>
      <c r="Q1315" s="11">
        <f>IF(M1315="","",IF($G$15=1,50,(_xlfn.RANK.AVG(M1315,$M$19:$M$1518,1)-1)/($G$15-1)*100))</f>
        <v/>
      </c>
      <c r="R1315" s="11">
        <f>IF(N1315="","",IF($G$16=1,50,(_xlfn.RANK.AVG(N1315,$N$19:$N$1518,1)-1)/($G$16-1)*100))</f>
        <v/>
      </c>
      <c r="S1315" s="11">
        <f>IF(COUNT(O1315:R1315)=4,ROUND(AVERAGE(O1315:R1315),6),"")</f>
        <v/>
      </c>
      <c r="U1315">
        <f>IF(AND(ISNUMBER('자료_한국심리'!$A1299),ISNUMBER('자료_한국심리'!$B1299)),'자료_한국심리'!$A1299,"")</f>
        <v/>
      </c>
      <c r="V1315">
        <f>IF(AND(ISNUMBER('자료_한국심리'!$D1299),ISNUMBER('자료_한국심리'!$E1299)),'자료_한국심리'!$D1299,"")</f>
        <v/>
      </c>
      <c r="W1315">
        <f>IF(AND(ISNUMBER('자료_한국심리'!$G1299),ISNUMBER('자료_한국심리'!$H1299)),'자료_한국심리'!$G1299,"")</f>
        <v/>
      </c>
      <c r="X1315">
        <f>IF(AND(ISNUMBER('자료_한국심리'!$J1299),ISNUMBER('자료_한국심리'!$K1299)),'자료_한국심리'!$J1299,"")</f>
        <v/>
      </c>
      <c r="Y1315">
        <f>IF(AND(ISNUMBER('자료_한국심리'!$M1299),ISNUMBER('자료_한국심리'!$N1299)),'자료_한국심리'!$M1299,"")</f>
        <v/>
      </c>
    </row>
    <row r="1316">
      <c r="A1316" s="10">
        <f>IF(1298&gt;$E$5,"",SMALL($U$19:$U$4018,$E$6+1298))</f>
        <v/>
      </c>
      <c r="B1316" s="29">
        <f>IF(A1316="","",INDEX('자료_한국심리'!$B$3:$B$4002,MATCH(A1316,$U$19:$U$4018,0)))</f>
        <v/>
      </c>
      <c r="C1316" s="22">
        <f>IF(A1316="","",B1316/AVERAGE(B1192:B1316)-1)</f>
        <v/>
      </c>
      <c r="D1316" s="29">
        <f>IF(A1316="","",IFERROR(INDEX('자료_한국심리'!$E$3:$E$4002,MATCH(A1316,$V$19:$V$4018,0)),D1315))</f>
        <v/>
      </c>
      <c r="E1316" s="30">
        <f>IF(A1316="","",IFERROR(INDEX('자료_한국심리'!$H$3:$H$4002,MATCH(A1316,$W$19:$W$4018,0)),E1315))</f>
        <v/>
      </c>
      <c r="F1316" s="30">
        <f>IF(A1316="","",IFERROR(INDEX('자료_한국심리'!$K$3:$K$4002,MATCH(A1316,$X$19:$X$4018,0)),F1315))</f>
        <v/>
      </c>
      <c r="G1316" s="30">
        <f>IF(AND(ISNUMBER(E1316),ISNUMBER(F1316)),ROUND(E1316-F1316,6),"")</f>
        <v/>
      </c>
      <c r="H1316" s="25">
        <f>IF(A1316="","",IFERROR(INDEX('자료_한국심리'!$N$3:$N$4002,MATCH(A1316,$Y$19:$Y$4018,0)),H1315))</f>
        <v/>
      </c>
      <c r="I1316" s="31">
        <f>IF(AND(ISNUMBER(H1316),ISNUMBER(H1296)),IF(H1296&gt;0,H1316/H1296-1,""),"")</f>
        <v/>
      </c>
      <c r="J1316">
        <f>IF(A1316="",0,IF(A1316&gt;$B$5,1,0))</f>
        <v/>
      </c>
      <c r="K1316" s="29">
        <f>IF(AND(J1316=1,ISNUMBER(D1316)),D1316,"")</f>
        <v/>
      </c>
      <c r="L1316" s="30">
        <f>IF(AND(J1316=1,ISNUMBER(G1316)),G1316,"")</f>
        <v/>
      </c>
      <c r="M1316" s="22">
        <f>IF(AND(J1316=1,ISNUMBER(C1316)),C1316,"")</f>
        <v/>
      </c>
      <c r="N1316" s="31">
        <f>IF(AND(J1316=1,ISNUMBER(I1316)),I1316,"")</f>
        <v/>
      </c>
      <c r="O1316" s="11">
        <f>IF(K1316="","",100-IF($G$13=1,50,(_xlfn.RANK.AVG(K1316,$K$19:$K$1518,1)-1)/($G$13-1)*100))</f>
        <v/>
      </c>
      <c r="P1316" s="11">
        <f>IF(L1316="","",100-IF($G$14=1,50,(_xlfn.RANK.AVG(L1316,$L$19:$L$1518,1)-1)/($G$14-1)*100))</f>
        <v/>
      </c>
      <c r="Q1316" s="11">
        <f>IF(M1316="","",IF($G$15=1,50,(_xlfn.RANK.AVG(M1316,$M$19:$M$1518,1)-1)/($G$15-1)*100))</f>
        <v/>
      </c>
      <c r="R1316" s="11">
        <f>IF(N1316="","",IF($G$16=1,50,(_xlfn.RANK.AVG(N1316,$N$19:$N$1518,1)-1)/($G$16-1)*100))</f>
        <v/>
      </c>
      <c r="S1316" s="11">
        <f>IF(COUNT(O1316:R1316)=4,ROUND(AVERAGE(O1316:R1316),6),"")</f>
        <v/>
      </c>
      <c r="U1316">
        <f>IF(AND(ISNUMBER('자료_한국심리'!$A1300),ISNUMBER('자료_한국심리'!$B1300)),'자료_한국심리'!$A1300,"")</f>
        <v/>
      </c>
      <c r="V1316">
        <f>IF(AND(ISNUMBER('자료_한국심리'!$D1300),ISNUMBER('자료_한국심리'!$E1300)),'자료_한국심리'!$D1300,"")</f>
        <v/>
      </c>
      <c r="W1316">
        <f>IF(AND(ISNUMBER('자료_한국심리'!$G1300),ISNUMBER('자료_한국심리'!$H1300)),'자료_한국심리'!$G1300,"")</f>
        <v/>
      </c>
      <c r="X1316">
        <f>IF(AND(ISNUMBER('자료_한국심리'!$J1300),ISNUMBER('자료_한국심리'!$K1300)),'자료_한국심리'!$J1300,"")</f>
        <v/>
      </c>
      <c r="Y1316">
        <f>IF(AND(ISNUMBER('자료_한국심리'!$M1300),ISNUMBER('자료_한국심리'!$N1300)),'자료_한국심리'!$M1300,"")</f>
        <v/>
      </c>
    </row>
    <row r="1317">
      <c r="A1317" s="10">
        <f>IF(1299&gt;$E$5,"",SMALL($U$19:$U$4018,$E$6+1299))</f>
        <v/>
      </c>
      <c r="B1317" s="29">
        <f>IF(A1317="","",INDEX('자료_한국심리'!$B$3:$B$4002,MATCH(A1317,$U$19:$U$4018,0)))</f>
        <v/>
      </c>
      <c r="C1317" s="22">
        <f>IF(A1317="","",B1317/AVERAGE(B1193:B1317)-1)</f>
        <v/>
      </c>
      <c r="D1317" s="29">
        <f>IF(A1317="","",IFERROR(INDEX('자료_한국심리'!$E$3:$E$4002,MATCH(A1317,$V$19:$V$4018,0)),D1316))</f>
        <v/>
      </c>
      <c r="E1317" s="30">
        <f>IF(A1317="","",IFERROR(INDEX('자료_한국심리'!$H$3:$H$4002,MATCH(A1317,$W$19:$W$4018,0)),E1316))</f>
        <v/>
      </c>
      <c r="F1317" s="30">
        <f>IF(A1317="","",IFERROR(INDEX('자료_한국심리'!$K$3:$K$4002,MATCH(A1317,$X$19:$X$4018,0)),F1316))</f>
        <v/>
      </c>
      <c r="G1317" s="30">
        <f>IF(AND(ISNUMBER(E1317),ISNUMBER(F1317)),ROUND(E1317-F1317,6),"")</f>
        <v/>
      </c>
      <c r="H1317" s="25">
        <f>IF(A1317="","",IFERROR(INDEX('자료_한국심리'!$N$3:$N$4002,MATCH(A1317,$Y$19:$Y$4018,0)),H1316))</f>
        <v/>
      </c>
      <c r="I1317" s="31">
        <f>IF(AND(ISNUMBER(H1317),ISNUMBER(H1297)),IF(H1297&gt;0,H1317/H1297-1,""),"")</f>
        <v/>
      </c>
      <c r="J1317">
        <f>IF(A1317="",0,IF(A1317&gt;$B$5,1,0))</f>
        <v/>
      </c>
      <c r="K1317" s="29">
        <f>IF(AND(J1317=1,ISNUMBER(D1317)),D1317,"")</f>
        <v/>
      </c>
      <c r="L1317" s="30">
        <f>IF(AND(J1317=1,ISNUMBER(G1317)),G1317,"")</f>
        <v/>
      </c>
      <c r="M1317" s="22">
        <f>IF(AND(J1317=1,ISNUMBER(C1317)),C1317,"")</f>
        <v/>
      </c>
      <c r="N1317" s="31">
        <f>IF(AND(J1317=1,ISNUMBER(I1317)),I1317,"")</f>
        <v/>
      </c>
      <c r="O1317" s="11">
        <f>IF(K1317="","",100-IF($G$13=1,50,(_xlfn.RANK.AVG(K1317,$K$19:$K$1518,1)-1)/($G$13-1)*100))</f>
        <v/>
      </c>
      <c r="P1317" s="11">
        <f>IF(L1317="","",100-IF($G$14=1,50,(_xlfn.RANK.AVG(L1317,$L$19:$L$1518,1)-1)/($G$14-1)*100))</f>
        <v/>
      </c>
      <c r="Q1317" s="11">
        <f>IF(M1317="","",IF($G$15=1,50,(_xlfn.RANK.AVG(M1317,$M$19:$M$1518,1)-1)/($G$15-1)*100))</f>
        <v/>
      </c>
      <c r="R1317" s="11">
        <f>IF(N1317="","",IF($G$16=1,50,(_xlfn.RANK.AVG(N1317,$N$19:$N$1518,1)-1)/($G$16-1)*100))</f>
        <v/>
      </c>
      <c r="S1317" s="11">
        <f>IF(COUNT(O1317:R1317)=4,ROUND(AVERAGE(O1317:R1317),6),"")</f>
        <v/>
      </c>
      <c r="U1317">
        <f>IF(AND(ISNUMBER('자료_한국심리'!$A1301),ISNUMBER('자료_한국심리'!$B1301)),'자료_한국심리'!$A1301,"")</f>
        <v/>
      </c>
      <c r="V1317">
        <f>IF(AND(ISNUMBER('자료_한국심리'!$D1301),ISNUMBER('자료_한국심리'!$E1301)),'자료_한국심리'!$D1301,"")</f>
        <v/>
      </c>
      <c r="W1317">
        <f>IF(AND(ISNUMBER('자료_한국심리'!$G1301),ISNUMBER('자료_한국심리'!$H1301)),'자료_한국심리'!$G1301,"")</f>
        <v/>
      </c>
      <c r="X1317">
        <f>IF(AND(ISNUMBER('자료_한국심리'!$J1301),ISNUMBER('자료_한국심리'!$K1301)),'자료_한국심리'!$J1301,"")</f>
        <v/>
      </c>
      <c r="Y1317">
        <f>IF(AND(ISNUMBER('자료_한국심리'!$M1301),ISNUMBER('자료_한국심리'!$N1301)),'자료_한국심리'!$M1301,"")</f>
        <v/>
      </c>
    </row>
    <row r="1318">
      <c r="A1318" s="10">
        <f>IF(1300&gt;$E$5,"",SMALL($U$19:$U$4018,$E$6+1300))</f>
        <v/>
      </c>
      <c r="B1318" s="29">
        <f>IF(A1318="","",INDEX('자료_한국심리'!$B$3:$B$4002,MATCH(A1318,$U$19:$U$4018,0)))</f>
        <v/>
      </c>
      <c r="C1318" s="22">
        <f>IF(A1318="","",B1318/AVERAGE(B1194:B1318)-1)</f>
        <v/>
      </c>
      <c r="D1318" s="29">
        <f>IF(A1318="","",IFERROR(INDEX('자료_한국심리'!$E$3:$E$4002,MATCH(A1318,$V$19:$V$4018,0)),D1317))</f>
        <v/>
      </c>
      <c r="E1318" s="30">
        <f>IF(A1318="","",IFERROR(INDEX('자료_한국심리'!$H$3:$H$4002,MATCH(A1318,$W$19:$W$4018,0)),E1317))</f>
        <v/>
      </c>
      <c r="F1318" s="30">
        <f>IF(A1318="","",IFERROR(INDEX('자료_한국심리'!$K$3:$K$4002,MATCH(A1318,$X$19:$X$4018,0)),F1317))</f>
        <v/>
      </c>
      <c r="G1318" s="30">
        <f>IF(AND(ISNUMBER(E1318),ISNUMBER(F1318)),ROUND(E1318-F1318,6),"")</f>
        <v/>
      </c>
      <c r="H1318" s="25">
        <f>IF(A1318="","",IFERROR(INDEX('자료_한국심리'!$N$3:$N$4002,MATCH(A1318,$Y$19:$Y$4018,0)),H1317))</f>
        <v/>
      </c>
      <c r="I1318" s="31">
        <f>IF(AND(ISNUMBER(H1318),ISNUMBER(H1298)),IF(H1298&gt;0,H1318/H1298-1,""),"")</f>
        <v/>
      </c>
      <c r="J1318">
        <f>IF(A1318="",0,IF(A1318&gt;$B$5,1,0))</f>
        <v/>
      </c>
      <c r="K1318" s="29">
        <f>IF(AND(J1318=1,ISNUMBER(D1318)),D1318,"")</f>
        <v/>
      </c>
      <c r="L1318" s="30">
        <f>IF(AND(J1318=1,ISNUMBER(G1318)),G1318,"")</f>
        <v/>
      </c>
      <c r="M1318" s="22">
        <f>IF(AND(J1318=1,ISNUMBER(C1318)),C1318,"")</f>
        <v/>
      </c>
      <c r="N1318" s="31">
        <f>IF(AND(J1318=1,ISNUMBER(I1318)),I1318,"")</f>
        <v/>
      </c>
      <c r="O1318" s="11">
        <f>IF(K1318="","",100-IF($G$13=1,50,(_xlfn.RANK.AVG(K1318,$K$19:$K$1518,1)-1)/($G$13-1)*100))</f>
        <v/>
      </c>
      <c r="P1318" s="11">
        <f>IF(L1318="","",100-IF($G$14=1,50,(_xlfn.RANK.AVG(L1318,$L$19:$L$1518,1)-1)/($G$14-1)*100))</f>
        <v/>
      </c>
      <c r="Q1318" s="11">
        <f>IF(M1318="","",IF($G$15=1,50,(_xlfn.RANK.AVG(M1318,$M$19:$M$1518,1)-1)/($G$15-1)*100))</f>
        <v/>
      </c>
      <c r="R1318" s="11">
        <f>IF(N1318="","",IF($G$16=1,50,(_xlfn.RANK.AVG(N1318,$N$19:$N$1518,1)-1)/($G$16-1)*100))</f>
        <v/>
      </c>
      <c r="S1318" s="11">
        <f>IF(COUNT(O1318:R1318)=4,ROUND(AVERAGE(O1318:R1318),6),"")</f>
        <v/>
      </c>
      <c r="U1318">
        <f>IF(AND(ISNUMBER('자료_한국심리'!$A1302),ISNUMBER('자료_한국심리'!$B1302)),'자료_한국심리'!$A1302,"")</f>
        <v/>
      </c>
      <c r="V1318">
        <f>IF(AND(ISNUMBER('자료_한국심리'!$D1302),ISNUMBER('자료_한국심리'!$E1302)),'자료_한국심리'!$D1302,"")</f>
        <v/>
      </c>
      <c r="W1318">
        <f>IF(AND(ISNUMBER('자료_한국심리'!$G1302),ISNUMBER('자료_한국심리'!$H1302)),'자료_한국심리'!$G1302,"")</f>
        <v/>
      </c>
      <c r="X1318">
        <f>IF(AND(ISNUMBER('자료_한국심리'!$J1302),ISNUMBER('자료_한국심리'!$K1302)),'자료_한국심리'!$J1302,"")</f>
        <v/>
      </c>
      <c r="Y1318">
        <f>IF(AND(ISNUMBER('자료_한국심리'!$M1302),ISNUMBER('자료_한국심리'!$N1302)),'자료_한국심리'!$M1302,"")</f>
        <v/>
      </c>
    </row>
    <row r="1319">
      <c r="A1319" s="10">
        <f>IF(1301&gt;$E$5,"",SMALL($U$19:$U$4018,$E$6+1301))</f>
        <v/>
      </c>
      <c r="B1319" s="29">
        <f>IF(A1319="","",INDEX('자료_한국심리'!$B$3:$B$4002,MATCH(A1319,$U$19:$U$4018,0)))</f>
        <v/>
      </c>
      <c r="C1319" s="22">
        <f>IF(A1319="","",B1319/AVERAGE(B1195:B1319)-1)</f>
        <v/>
      </c>
      <c r="D1319" s="29">
        <f>IF(A1319="","",IFERROR(INDEX('자료_한국심리'!$E$3:$E$4002,MATCH(A1319,$V$19:$V$4018,0)),D1318))</f>
        <v/>
      </c>
      <c r="E1319" s="30">
        <f>IF(A1319="","",IFERROR(INDEX('자료_한국심리'!$H$3:$H$4002,MATCH(A1319,$W$19:$W$4018,0)),E1318))</f>
        <v/>
      </c>
      <c r="F1319" s="30">
        <f>IF(A1319="","",IFERROR(INDEX('자료_한국심리'!$K$3:$K$4002,MATCH(A1319,$X$19:$X$4018,0)),F1318))</f>
        <v/>
      </c>
      <c r="G1319" s="30">
        <f>IF(AND(ISNUMBER(E1319),ISNUMBER(F1319)),ROUND(E1319-F1319,6),"")</f>
        <v/>
      </c>
      <c r="H1319" s="25">
        <f>IF(A1319="","",IFERROR(INDEX('자료_한국심리'!$N$3:$N$4002,MATCH(A1319,$Y$19:$Y$4018,0)),H1318))</f>
        <v/>
      </c>
      <c r="I1319" s="31">
        <f>IF(AND(ISNUMBER(H1319),ISNUMBER(H1299)),IF(H1299&gt;0,H1319/H1299-1,""),"")</f>
        <v/>
      </c>
      <c r="J1319">
        <f>IF(A1319="",0,IF(A1319&gt;$B$5,1,0))</f>
        <v/>
      </c>
      <c r="K1319" s="29">
        <f>IF(AND(J1319=1,ISNUMBER(D1319)),D1319,"")</f>
        <v/>
      </c>
      <c r="L1319" s="30">
        <f>IF(AND(J1319=1,ISNUMBER(G1319)),G1319,"")</f>
        <v/>
      </c>
      <c r="M1319" s="22">
        <f>IF(AND(J1319=1,ISNUMBER(C1319)),C1319,"")</f>
        <v/>
      </c>
      <c r="N1319" s="31">
        <f>IF(AND(J1319=1,ISNUMBER(I1319)),I1319,"")</f>
        <v/>
      </c>
      <c r="O1319" s="11">
        <f>IF(K1319="","",100-IF($G$13=1,50,(_xlfn.RANK.AVG(K1319,$K$19:$K$1518,1)-1)/($G$13-1)*100))</f>
        <v/>
      </c>
      <c r="P1319" s="11">
        <f>IF(L1319="","",100-IF($G$14=1,50,(_xlfn.RANK.AVG(L1319,$L$19:$L$1518,1)-1)/($G$14-1)*100))</f>
        <v/>
      </c>
      <c r="Q1319" s="11">
        <f>IF(M1319="","",IF($G$15=1,50,(_xlfn.RANK.AVG(M1319,$M$19:$M$1518,1)-1)/($G$15-1)*100))</f>
        <v/>
      </c>
      <c r="R1319" s="11">
        <f>IF(N1319="","",IF($G$16=1,50,(_xlfn.RANK.AVG(N1319,$N$19:$N$1518,1)-1)/($G$16-1)*100))</f>
        <v/>
      </c>
      <c r="S1319" s="11">
        <f>IF(COUNT(O1319:R1319)=4,ROUND(AVERAGE(O1319:R1319),6),"")</f>
        <v/>
      </c>
      <c r="U1319">
        <f>IF(AND(ISNUMBER('자료_한국심리'!$A1303),ISNUMBER('자료_한국심리'!$B1303)),'자료_한국심리'!$A1303,"")</f>
        <v/>
      </c>
      <c r="V1319">
        <f>IF(AND(ISNUMBER('자료_한국심리'!$D1303),ISNUMBER('자료_한국심리'!$E1303)),'자료_한국심리'!$D1303,"")</f>
        <v/>
      </c>
      <c r="W1319">
        <f>IF(AND(ISNUMBER('자료_한국심리'!$G1303),ISNUMBER('자료_한국심리'!$H1303)),'자료_한국심리'!$G1303,"")</f>
        <v/>
      </c>
      <c r="X1319">
        <f>IF(AND(ISNUMBER('자료_한국심리'!$J1303),ISNUMBER('자료_한국심리'!$K1303)),'자료_한국심리'!$J1303,"")</f>
        <v/>
      </c>
      <c r="Y1319">
        <f>IF(AND(ISNUMBER('자료_한국심리'!$M1303),ISNUMBER('자료_한국심리'!$N1303)),'자료_한국심리'!$M1303,"")</f>
        <v/>
      </c>
    </row>
    <row r="1320">
      <c r="A1320" s="10">
        <f>IF(1302&gt;$E$5,"",SMALL($U$19:$U$4018,$E$6+1302))</f>
        <v/>
      </c>
      <c r="B1320" s="29">
        <f>IF(A1320="","",INDEX('자료_한국심리'!$B$3:$B$4002,MATCH(A1320,$U$19:$U$4018,0)))</f>
        <v/>
      </c>
      <c r="C1320" s="22">
        <f>IF(A1320="","",B1320/AVERAGE(B1196:B1320)-1)</f>
        <v/>
      </c>
      <c r="D1320" s="29">
        <f>IF(A1320="","",IFERROR(INDEX('자료_한국심리'!$E$3:$E$4002,MATCH(A1320,$V$19:$V$4018,0)),D1319))</f>
        <v/>
      </c>
      <c r="E1320" s="30">
        <f>IF(A1320="","",IFERROR(INDEX('자료_한국심리'!$H$3:$H$4002,MATCH(A1320,$W$19:$W$4018,0)),E1319))</f>
        <v/>
      </c>
      <c r="F1320" s="30">
        <f>IF(A1320="","",IFERROR(INDEX('자료_한국심리'!$K$3:$K$4002,MATCH(A1320,$X$19:$X$4018,0)),F1319))</f>
        <v/>
      </c>
      <c r="G1320" s="30">
        <f>IF(AND(ISNUMBER(E1320),ISNUMBER(F1320)),ROUND(E1320-F1320,6),"")</f>
        <v/>
      </c>
      <c r="H1320" s="25">
        <f>IF(A1320="","",IFERROR(INDEX('자료_한국심리'!$N$3:$N$4002,MATCH(A1320,$Y$19:$Y$4018,0)),H1319))</f>
        <v/>
      </c>
      <c r="I1320" s="31">
        <f>IF(AND(ISNUMBER(H1320),ISNUMBER(H1300)),IF(H1300&gt;0,H1320/H1300-1,""),"")</f>
        <v/>
      </c>
      <c r="J1320">
        <f>IF(A1320="",0,IF(A1320&gt;$B$5,1,0))</f>
        <v/>
      </c>
      <c r="K1320" s="29">
        <f>IF(AND(J1320=1,ISNUMBER(D1320)),D1320,"")</f>
        <v/>
      </c>
      <c r="L1320" s="30">
        <f>IF(AND(J1320=1,ISNUMBER(G1320)),G1320,"")</f>
        <v/>
      </c>
      <c r="M1320" s="22">
        <f>IF(AND(J1320=1,ISNUMBER(C1320)),C1320,"")</f>
        <v/>
      </c>
      <c r="N1320" s="31">
        <f>IF(AND(J1320=1,ISNUMBER(I1320)),I1320,"")</f>
        <v/>
      </c>
      <c r="O1320" s="11">
        <f>IF(K1320="","",100-IF($G$13=1,50,(_xlfn.RANK.AVG(K1320,$K$19:$K$1518,1)-1)/($G$13-1)*100))</f>
        <v/>
      </c>
      <c r="P1320" s="11">
        <f>IF(L1320="","",100-IF($G$14=1,50,(_xlfn.RANK.AVG(L1320,$L$19:$L$1518,1)-1)/($G$14-1)*100))</f>
        <v/>
      </c>
      <c r="Q1320" s="11">
        <f>IF(M1320="","",IF($G$15=1,50,(_xlfn.RANK.AVG(M1320,$M$19:$M$1518,1)-1)/($G$15-1)*100))</f>
        <v/>
      </c>
      <c r="R1320" s="11">
        <f>IF(N1320="","",IF($G$16=1,50,(_xlfn.RANK.AVG(N1320,$N$19:$N$1518,1)-1)/($G$16-1)*100))</f>
        <v/>
      </c>
      <c r="S1320" s="11">
        <f>IF(COUNT(O1320:R1320)=4,ROUND(AVERAGE(O1320:R1320),6),"")</f>
        <v/>
      </c>
      <c r="U1320">
        <f>IF(AND(ISNUMBER('자료_한국심리'!$A1304),ISNUMBER('자료_한국심리'!$B1304)),'자료_한국심리'!$A1304,"")</f>
        <v/>
      </c>
      <c r="V1320">
        <f>IF(AND(ISNUMBER('자료_한국심리'!$D1304),ISNUMBER('자료_한국심리'!$E1304)),'자료_한국심리'!$D1304,"")</f>
        <v/>
      </c>
      <c r="W1320">
        <f>IF(AND(ISNUMBER('자료_한국심리'!$G1304),ISNUMBER('자료_한국심리'!$H1304)),'자료_한국심리'!$G1304,"")</f>
        <v/>
      </c>
      <c r="X1320">
        <f>IF(AND(ISNUMBER('자료_한국심리'!$J1304),ISNUMBER('자료_한국심리'!$K1304)),'자료_한국심리'!$J1304,"")</f>
        <v/>
      </c>
      <c r="Y1320">
        <f>IF(AND(ISNUMBER('자료_한국심리'!$M1304),ISNUMBER('자료_한국심리'!$N1304)),'자료_한국심리'!$M1304,"")</f>
        <v/>
      </c>
    </row>
    <row r="1321">
      <c r="A1321" s="10">
        <f>IF(1303&gt;$E$5,"",SMALL($U$19:$U$4018,$E$6+1303))</f>
        <v/>
      </c>
      <c r="B1321" s="29">
        <f>IF(A1321="","",INDEX('자료_한국심리'!$B$3:$B$4002,MATCH(A1321,$U$19:$U$4018,0)))</f>
        <v/>
      </c>
      <c r="C1321" s="22">
        <f>IF(A1321="","",B1321/AVERAGE(B1197:B1321)-1)</f>
        <v/>
      </c>
      <c r="D1321" s="29">
        <f>IF(A1321="","",IFERROR(INDEX('자료_한국심리'!$E$3:$E$4002,MATCH(A1321,$V$19:$V$4018,0)),D1320))</f>
        <v/>
      </c>
      <c r="E1321" s="30">
        <f>IF(A1321="","",IFERROR(INDEX('자료_한국심리'!$H$3:$H$4002,MATCH(A1321,$W$19:$W$4018,0)),E1320))</f>
        <v/>
      </c>
      <c r="F1321" s="30">
        <f>IF(A1321="","",IFERROR(INDEX('자료_한국심리'!$K$3:$K$4002,MATCH(A1321,$X$19:$X$4018,0)),F1320))</f>
        <v/>
      </c>
      <c r="G1321" s="30">
        <f>IF(AND(ISNUMBER(E1321),ISNUMBER(F1321)),ROUND(E1321-F1321,6),"")</f>
        <v/>
      </c>
      <c r="H1321" s="25">
        <f>IF(A1321="","",IFERROR(INDEX('자료_한국심리'!$N$3:$N$4002,MATCH(A1321,$Y$19:$Y$4018,0)),H1320))</f>
        <v/>
      </c>
      <c r="I1321" s="31">
        <f>IF(AND(ISNUMBER(H1321),ISNUMBER(H1301)),IF(H1301&gt;0,H1321/H1301-1,""),"")</f>
        <v/>
      </c>
      <c r="J1321">
        <f>IF(A1321="",0,IF(A1321&gt;$B$5,1,0))</f>
        <v/>
      </c>
      <c r="K1321" s="29">
        <f>IF(AND(J1321=1,ISNUMBER(D1321)),D1321,"")</f>
        <v/>
      </c>
      <c r="L1321" s="30">
        <f>IF(AND(J1321=1,ISNUMBER(G1321)),G1321,"")</f>
        <v/>
      </c>
      <c r="M1321" s="22">
        <f>IF(AND(J1321=1,ISNUMBER(C1321)),C1321,"")</f>
        <v/>
      </c>
      <c r="N1321" s="31">
        <f>IF(AND(J1321=1,ISNUMBER(I1321)),I1321,"")</f>
        <v/>
      </c>
      <c r="O1321" s="11">
        <f>IF(K1321="","",100-IF($G$13=1,50,(_xlfn.RANK.AVG(K1321,$K$19:$K$1518,1)-1)/($G$13-1)*100))</f>
        <v/>
      </c>
      <c r="P1321" s="11">
        <f>IF(L1321="","",100-IF($G$14=1,50,(_xlfn.RANK.AVG(L1321,$L$19:$L$1518,1)-1)/($G$14-1)*100))</f>
        <v/>
      </c>
      <c r="Q1321" s="11">
        <f>IF(M1321="","",IF($G$15=1,50,(_xlfn.RANK.AVG(M1321,$M$19:$M$1518,1)-1)/($G$15-1)*100))</f>
        <v/>
      </c>
      <c r="R1321" s="11">
        <f>IF(N1321="","",IF($G$16=1,50,(_xlfn.RANK.AVG(N1321,$N$19:$N$1518,1)-1)/($G$16-1)*100))</f>
        <v/>
      </c>
      <c r="S1321" s="11">
        <f>IF(COUNT(O1321:R1321)=4,ROUND(AVERAGE(O1321:R1321),6),"")</f>
        <v/>
      </c>
      <c r="U1321">
        <f>IF(AND(ISNUMBER('자료_한국심리'!$A1305),ISNUMBER('자료_한국심리'!$B1305)),'자료_한국심리'!$A1305,"")</f>
        <v/>
      </c>
      <c r="V1321">
        <f>IF(AND(ISNUMBER('자료_한국심리'!$D1305),ISNUMBER('자료_한국심리'!$E1305)),'자료_한국심리'!$D1305,"")</f>
        <v/>
      </c>
      <c r="W1321">
        <f>IF(AND(ISNUMBER('자료_한국심리'!$G1305),ISNUMBER('자료_한국심리'!$H1305)),'자료_한국심리'!$G1305,"")</f>
        <v/>
      </c>
      <c r="X1321">
        <f>IF(AND(ISNUMBER('자료_한국심리'!$J1305),ISNUMBER('자료_한국심리'!$K1305)),'자료_한국심리'!$J1305,"")</f>
        <v/>
      </c>
      <c r="Y1321">
        <f>IF(AND(ISNUMBER('자료_한국심리'!$M1305),ISNUMBER('자료_한국심리'!$N1305)),'자료_한국심리'!$M1305,"")</f>
        <v/>
      </c>
    </row>
    <row r="1322">
      <c r="A1322" s="10">
        <f>IF(1304&gt;$E$5,"",SMALL($U$19:$U$4018,$E$6+1304))</f>
        <v/>
      </c>
      <c r="B1322" s="29">
        <f>IF(A1322="","",INDEX('자료_한국심리'!$B$3:$B$4002,MATCH(A1322,$U$19:$U$4018,0)))</f>
        <v/>
      </c>
      <c r="C1322" s="22">
        <f>IF(A1322="","",B1322/AVERAGE(B1198:B1322)-1)</f>
        <v/>
      </c>
      <c r="D1322" s="29">
        <f>IF(A1322="","",IFERROR(INDEX('자료_한국심리'!$E$3:$E$4002,MATCH(A1322,$V$19:$V$4018,0)),D1321))</f>
        <v/>
      </c>
      <c r="E1322" s="30">
        <f>IF(A1322="","",IFERROR(INDEX('자료_한국심리'!$H$3:$H$4002,MATCH(A1322,$W$19:$W$4018,0)),E1321))</f>
        <v/>
      </c>
      <c r="F1322" s="30">
        <f>IF(A1322="","",IFERROR(INDEX('자료_한국심리'!$K$3:$K$4002,MATCH(A1322,$X$19:$X$4018,0)),F1321))</f>
        <v/>
      </c>
      <c r="G1322" s="30">
        <f>IF(AND(ISNUMBER(E1322),ISNUMBER(F1322)),ROUND(E1322-F1322,6),"")</f>
        <v/>
      </c>
      <c r="H1322" s="25">
        <f>IF(A1322="","",IFERROR(INDEX('자료_한국심리'!$N$3:$N$4002,MATCH(A1322,$Y$19:$Y$4018,0)),H1321))</f>
        <v/>
      </c>
      <c r="I1322" s="31">
        <f>IF(AND(ISNUMBER(H1322),ISNUMBER(H1302)),IF(H1302&gt;0,H1322/H1302-1,""),"")</f>
        <v/>
      </c>
      <c r="J1322">
        <f>IF(A1322="",0,IF(A1322&gt;$B$5,1,0))</f>
        <v/>
      </c>
      <c r="K1322" s="29">
        <f>IF(AND(J1322=1,ISNUMBER(D1322)),D1322,"")</f>
        <v/>
      </c>
      <c r="L1322" s="30">
        <f>IF(AND(J1322=1,ISNUMBER(G1322)),G1322,"")</f>
        <v/>
      </c>
      <c r="M1322" s="22">
        <f>IF(AND(J1322=1,ISNUMBER(C1322)),C1322,"")</f>
        <v/>
      </c>
      <c r="N1322" s="31">
        <f>IF(AND(J1322=1,ISNUMBER(I1322)),I1322,"")</f>
        <v/>
      </c>
      <c r="O1322" s="11">
        <f>IF(K1322="","",100-IF($G$13=1,50,(_xlfn.RANK.AVG(K1322,$K$19:$K$1518,1)-1)/($G$13-1)*100))</f>
        <v/>
      </c>
      <c r="P1322" s="11">
        <f>IF(L1322="","",100-IF($G$14=1,50,(_xlfn.RANK.AVG(L1322,$L$19:$L$1518,1)-1)/($G$14-1)*100))</f>
        <v/>
      </c>
      <c r="Q1322" s="11">
        <f>IF(M1322="","",IF($G$15=1,50,(_xlfn.RANK.AVG(M1322,$M$19:$M$1518,1)-1)/($G$15-1)*100))</f>
        <v/>
      </c>
      <c r="R1322" s="11">
        <f>IF(N1322="","",IF($G$16=1,50,(_xlfn.RANK.AVG(N1322,$N$19:$N$1518,1)-1)/($G$16-1)*100))</f>
        <v/>
      </c>
      <c r="S1322" s="11">
        <f>IF(COUNT(O1322:R1322)=4,ROUND(AVERAGE(O1322:R1322),6),"")</f>
        <v/>
      </c>
      <c r="U1322">
        <f>IF(AND(ISNUMBER('자료_한국심리'!$A1306),ISNUMBER('자료_한국심리'!$B1306)),'자료_한국심리'!$A1306,"")</f>
        <v/>
      </c>
      <c r="V1322">
        <f>IF(AND(ISNUMBER('자료_한국심리'!$D1306),ISNUMBER('자료_한국심리'!$E1306)),'자료_한국심리'!$D1306,"")</f>
        <v/>
      </c>
      <c r="W1322">
        <f>IF(AND(ISNUMBER('자료_한국심리'!$G1306),ISNUMBER('자료_한국심리'!$H1306)),'자료_한국심리'!$G1306,"")</f>
        <v/>
      </c>
      <c r="X1322">
        <f>IF(AND(ISNUMBER('자료_한국심리'!$J1306),ISNUMBER('자료_한국심리'!$K1306)),'자료_한국심리'!$J1306,"")</f>
        <v/>
      </c>
      <c r="Y1322">
        <f>IF(AND(ISNUMBER('자료_한국심리'!$M1306),ISNUMBER('자료_한국심리'!$N1306)),'자료_한국심리'!$M1306,"")</f>
        <v/>
      </c>
    </row>
    <row r="1323">
      <c r="A1323" s="10">
        <f>IF(1305&gt;$E$5,"",SMALL($U$19:$U$4018,$E$6+1305))</f>
        <v/>
      </c>
      <c r="B1323" s="29">
        <f>IF(A1323="","",INDEX('자료_한국심리'!$B$3:$B$4002,MATCH(A1323,$U$19:$U$4018,0)))</f>
        <v/>
      </c>
      <c r="C1323" s="22">
        <f>IF(A1323="","",B1323/AVERAGE(B1199:B1323)-1)</f>
        <v/>
      </c>
      <c r="D1323" s="29">
        <f>IF(A1323="","",IFERROR(INDEX('자료_한국심리'!$E$3:$E$4002,MATCH(A1323,$V$19:$V$4018,0)),D1322))</f>
        <v/>
      </c>
      <c r="E1323" s="30">
        <f>IF(A1323="","",IFERROR(INDEX('자료_한국심리'!$H$3:$H$4002,MATCH(A1323,$W$19:$W$4018,0)),E1322))</f>
        <v/>
      </c>
      <c r="F1323" s="30">
        <f>IF(A1323="","",IFERROR(INDEX('자료_한국심리'!$K$3:$K$4002,MATCH(A1323,$X$19:$X$4018,0)),F1322))</f>
        <v/>
      </c>
      <c r="G1323" s="30">
        <f>IF(AND(ISNUMBER(E1323),ISNUMBER(F1323)),ROUND(E1323-F1323,6),"")</f>
        <v/>
      </c>
      <c r="H1323" s="25">
        <f>IF(A1323="","",IFERROR(INDEX('자료_한국심리'!$N$3:$N$4002,MATCH(A1323,$Y$19:$Y$4018,0)),H1322))</f>
        <v/>
      </c>
      <c r="I1323" s="31">
        <f>IF(AND(ISNUMBER(H1323),ISNUMBER(H1303)),IF(H1303&gt;0,H1323/H1303-1,""),"")</f>
        <v/>
      </c>
      <c r="J1323">
        <f>IF(A1323="",0,IF(A1323&gt;$B$5,1,0))</f>
        <v/>
      </c>
      <c r="K1323" s="29">
        <f>IF(AND(J1323=1,ISNUMBER(D1323)),D1323,"")</f>
        <v/>
      </c>
      <c r="L1323" s="30">
        <f>IF(AND(J1323=1,ISNUMBER(G1323)),G1323,"")</f>
        <v/>
      </c>
      <c r="M1323" s="22">
        <f>IF(AND(J1323=1,ISNUMBER(C1323)),C1323,"")</f>
        <v/>
      </c>
      <c r="N1323" s="31">
        <f>IF(AND(J1323=1,ISNUMBER(I1323)),I1323,"")</f>
        <v/>
      </c>
      <c r="O1323" s="11">
        <f>IF(K1323="","",100-IF($G$13=1,50,(_xlfn.RANK.AVG(K1323,$K$19:$K$1518,1)-1)/($G$13-1)*100))</f>
        <v/>
      </c>
      <c r="P1323" s="11">
        <f>IF(L1323="","",100-IF($G$14=1,50,(_xlfn.RANK.AVG(L1323,$L$19:$L$1518,1)-1)/($G$14-1)*100))</f>
        <v/>
      </c>
      <c r="Q1323" s="11">
        <f>IF(M1323="","",IF($G$15=1,50,(_xlfn.RANK.AVG(M1323,$M$19:$M$1518,1)-1)/($G$15-1)*100))</f>
        <v/>
      </c>
      <c r="R1323" s="11">
        <f>IF(N1323="","",IF($G$16=1,50,(_xlfn.RANK.AVG(N1323,$N$19:$N$1518,1)-1)/($G$16-1)*100))</f>
        <v/>
      </c>
      <c r="S1323" s="11">
        <f>IF(COUNT(O1323:R1323)=4,ROUND(AVERAGE(O1323:R1323),6),"")</f>
        <v/>
      </c>
      <c r="U1323">
        <f>IF(AND(ISNUMBER('자료_한국심리'!$A1307),ISNUMBER('자료_한국심리'!$B1307)),'자료_한국심리'!$A1307,"")</f>
        <v/>
      </c>
      <c r="V1323">
        <f>IF(AND(ISNUMBER('자료_한국심리'!$D1307),ISNUMBER('자료_한국심리'!$E1307)),'자료_한국심리'!$D1307,"")</f>
        <v/>
      </c>
      <c r="W1323">
        <f>IF(AND(ISNUMBER('자료_한국심리'!$G1307),ISNUMBER('자료_한국심리'!$H1307)),'자료_한국심리'!$G1307,"")</f>
        <v/>
      </c>
      <c r="X1323">
        <f>IF(AND(ISNUMBER('자료_한국심리'!$J1307),ISNUMBER('자료_한국심리'!$K1307)),'자료_한국심리'!$J1307,"")</f>
        <v/>
      </c>
      <c r="Y1323">
        <f>IF(AND(ISNUMBER('자료_한국심리'!$M1307),ISNUMBER('자료_한국심리'!$N1307)),'자료_한국심리'!$M1307,"")</f>
        <v/>
      </c>
    </row>
    <row r="1324">
      <c r="A1324" s="10">
        <f>IF(1306&gt;$E$5,"",SMALL($U$19:$U$4018,$E$6+1306))</f>
        <v/>
      </c>
      <c r="B1324" s="29">
        <f>IF(A1324="","",INDEX('자료_한국심리'!$B$3:$B$4002,MATCH(A1324,$U$19:$U$4018,0)))</f>
        <v/>
      </c>
      <c r="C1324" s="22">
        <f>IF(A1324="","",B1324/AVERAGE(B1200:B1324)-1)</f>
        <v/>
      </c>
      <c r="D1324" s="29">
        <f>IF(A1324="","",IFERROR(INDEX('자료_한국심리'!$E$3:$E$4002,MATCH(A1324,$V$19:$V$4018,0)),D1323))</f>
        <v/>
      </c>
      <c r="E1324" s="30">
        <f>IF(A1324="","",IFERROR(INDEX('자료_한국심리'!$H$3:$H$4002,MATCH(A1324,$W$19:$W$4018,0)),E1323))</f>
        <v/>
      </c>
      <c r="F1324" s="30">
        <f>IF(A1324="","",IFERROR(INDEX('자료_한국심리'!$K$3:$K$4002,MATCH(A1324,$X$19:$X$4018,0)),F1323))</f>
        <v/>
      </c>
      <c r="G1324" s="30">
        <f>IF(AND(ISNUMBER(E1324),ISNUMBER(F1324)),ROUND(E1324-F1324,6),"")</f>
        <v/>
      </c>
      <c r="H1324" s="25">
        <f>IF(A1324="","",IFERROR(INDEX('자료_한국심리'!$N$3:$N$4002,MATCH(A1324,$Y$19:$Y$4018,0)),H1323))</f>
        <v/>
      </c>
      <c r="I1324" s="31">
        <f>IF(AND(ISNUMBER(H1324),ISNUMBER(H1304)),IF(H1304&gt;0,H1324/H1304-1,""),"")</f>
        <v/>
      </c>
      <c r="J1324">
        <f>IF(A1324="",0,IF(A1324&gt;$B$5,1,0))</f>
        <v/>
      </c>
      <c r="K1324" s="29">
        <f>IF(AND(J1324=1,ISNUMBER(D1324)),D1324,"")</f>
        <v/>
      </c>
      <c r="L1324" s="30">
        <f>IF(AND(J1324=1,ISNUMBER(G1324)),G1324,"")</f>
        <v/>
      </c>
      <c r="M1324" s="22">
        <f>IF(AND(J1324=1,ISNUMBER(C1324)),C1324,"")</f>
        <v/>
      </c>
      <c r="N1324" s="31">
        <f>IF(AND(J1324=1,ISNUMBER(I1324)),I1324,"")</f>
        <v/>
      </c>
      <c r="O1324" s="11">
        <f>IF(K1324="","",100-IF($G$13=1,50,(_xlfn.RANK.AVG(K1324,$K$19:$K$1518,1)-1)/($G$13-1)*100))</f>
        <v/>
      </c>
      <c r="P1324" s="11">
        <f>IF(L1324="","",100-IF($G$14=1,50,(_xlfn.RANK.AVG(L1324,$L$19:$L$1518,1)-1)/($G$14-1)*100))</f>
        <v/>
      </c>
      <c r="Q1324" s="11">
        <f>IF(M1324="","",IF($G$15=1,50,(_xlfn.RANK.AVG(M1324,$M$19:$M$1518,1)-1)/($G$15-1)*100))</f>
        <v/>
      </c>
      <c r="R1324" s="11">
        <f>IF(N1324="","",IF($G$16=1,50,(_xlfn.RANK.AVG(N1324,$N$19:$N$1518,1)-1)/($G$16-1)*100))</f>
        <v/>
      </c>
      <c r="S1324" s="11">
        <f>IF(COUNT(O1324:R1324)=4,ROUND(AVERAGE(O1324:R1324),6),"")</f>
        <v/>
      </c>
      <c r="U1324">
        <f>IF(AND(ISNUMBER('자료_한국심리'!$A1308),ISNUMBER('자료_한국심리'!$B1308)),'자료_한국심리'!$A1308,"")</f>
        <v/>
      </c>
      <c r="V1324">
        <f>IF(AND(ISNUMBER('자료_한국심리'!$D1308),ISNUMBER('자료_한국심리'!$E1308)),'자료_한국심리'!$D1308,"")</f>
        <v/>
      </c>
      <c r="W1324">
        <f>IF(AND(ISNUMBER('자료_한국심리'!$G1308),ISNUMBER('자료_한국심리'!$H1308)),'자료_한국심리'!$G1308,"")</f>
        <v/>
      </c>
      <c r="X1324">
        <f>IF(AND(ISNUMBER('자료_한국심리'!$J1308),ISNUMBER('자료_한국심리'!$K1308)),'자료_한국심리'!$J1308,"")</f>
        <v/>
      </c>
      <c r="Y1324">
        <f>IF(AND(ISNUMBER('자료_한국심리'!$M1308),ISNUMBER('자료_한국심리'!$N1308)),'자료_한국심리'!$M1308,"")</f>
        <v/>
      </c>
    </row>
    <row r="1325">
      <c r="A1325" s="10">
        <f>IF(1307&gt;$E$5,"",SMALL($U$19:$U$4018,$E$6+1307))</f>
        <v/>
      </c>
      <c r="B1325" s="29">
        <f>IF(A1325="","",INDEX('자료_한국심리'!$B$3:$B$4002,MATCH(A1325,$U$19:$U$4018,0)))</f>
        <v/>
      </c>
      <c r="C1325" s="22">
        <f>IF(A1325="","",B1325/AVERAGE(B1201:B1325)-1)</f>
        <v/>
      </c>
      <c r="D1325" s="29">
        <f>IF(A1325="","",IFERROR(INDEX('자료_한국심리'!$E$3:$E$4002,MATCH(A1325,$V$19:$V$4018,0)),D1324))</f>
        <v/>
      </c>
      <c r="E1325" s="30">
        <f>IF(A1325="","",IFERROR(INDEX('자료_한국심리'!$H$3:$H$4002,MATCH(A1325,$W$19:$W$4018,0)),E1324))</f>
        <v/>
      </c>
      <c r="F1325" s="30">
        <f>IF(A1325="","",IFERROR(INDEX('자료_한국심리'!$K$3:$K$4002,MATCH(A1325,$X$19:$X$4018,0)),F1324))</f>
        <v/>
      </c>
      <c r="G1325" s="30">
        <f>IF(AND(ISNUMBER(E1325),ISNUMBER(F1325)),ROUND(E1325-F1325,6),"")</f>
        <v/>
      </c>
      <c r="H1325" s="25">
        <f>IF(A1325="","",IFERROR(INDEX('자료_한국심리'!$N$3:$N$4002,MATCH(A1325,$Y$19:$Y$4018,0)),H1324))</f>
        <v/>
      </c>
      <c r="I1325" s="31">
        <f>IF(AND(ISNUMBER(H1325),ISNUMBER(H1305)),IF(H1305&gt;0,H1325/H1305-1,""),"")</f>
        <v/>
      </c>
      <c r="J1325">
        <f>IF(A1325="",0,IF(A1325&gt;$B$5,1,0))</f>
        <v/>
      </c>
      <c r="K1325" s="29">
        <f>IF(AND(J1325=1,ISNUMBER(D1325)),D1325,"")</f>
        <v/>
      </c>
      <c r="L1325" s="30">
        <f>IF(AND(J1325=1,ISNUMBER(G1325)),G1325,"")</f>
        <v/>
      </c>
      <c r="M1325" s="22">
        <f>IF(AND(J1325=1,ISNUMBER(C1325)),C1325,"")</f>
        <v/>
      </c>
      <c r="N1325" s="31">
        <f>IF(AND(J1325=1,ISNUMBER(I1325)),I1325,"")</f>
        <v/>
      </c>
      <c r="O1325" s="11">
        <f>IF(K1325="","",100-IF($G$13=1,50,(_xlfn.RANK.AVG(K1325,$K$19:$K$1518,1)-1)/($G$13-1)*100))</f>
        <v/>
      </c>
      <c r="P1325" s="11">
        <f>IF(L1325="","",100-IF($G$14=1,50,(_xlfn.RANK.AVG(L1325,$L$19:$L$1518,1)-1)/($G$14-1)*100))</f>
        <v/>
      </c>
      <c r="Q1325" s="11">
        <f>IF(M1325="","",IF($G$15=1,50,(_xlfn.RANK.AVG(M1325,$M$19:$M$1518,1)-1)/($G$15-1)*100))</f>
        <v/>
      </c>
      <c r="R1325" s="11">
        <f>IF(N1325="","",IF($G$16=1,50,(_xlfn.RANK.AVG(N1325,$N$19:$N$1518,1)-1)/($G$16-1)*100))</f>
        <v/>
      </c>
      <c r="S1325" s="11">
        <f>IF(COUNT(O1325:R1325)=4,ROUND(AVERAGE(O1325:R1325),6),"")</f>
        <v/>
      </c>
      <c r="U1325">
        <f>IF(AND(ISNUMBER('자료_한국심리'!$A1309),ISNUMBER('자료_한국심리'!$B1309)),'자료_한국심리'!$A1309,"")</f>
        <v/>
      </c>
      <c r="V1325">
        <f>IF(AND(ISNUMBER('자료_한국심리'!$D1309),ISNUMBER('자료_한국심리'!$E1309)),'자료_한국심리'!$D1309,"")</f>
        <v/>
      </c>
      <c r="W1325">
        <f>IF(AND(ISNUMBER('자료_한국심리'!$G1309),ISNUMBER('자료_한국심리'!$H1309)),'자료_한국심리'!$G1309,"")</f>
        <v/>
      </c>
      <c r="X1325">
        <f>IF(AND(ISNUMBER('자료_한국심리'!$J1309),ISNUMBER('자료_한국심리'!$K1309)),'자료_한국심리'!$J1309,"")</f>
        <v/>
      </c>
      <c r="Y1325">
        <f>IF(AND(ISNUMBER('자료_한국심리'!$M1309),ISNUMBER('자료_한국심리'!$N1309)),'자료_한국심리'!$M1309,"")</f>
        <v/>
      </c>
    </row>
    <row r="1326">
      <c r="A1326" s="10">
        <f>IF(1308&gt;$E$5,"",SMALL($U$19:$U$4018,$E$6+1308))</f>
        <v/>
      </c>
      <c r="B1326" s="29">
        <f>IF(A1326="","",INDEX('자료_한국심리'!$B$3:$B$4002,MATCH(A1326,$U$19:$U$4018,0)))</f>
        <v/>
      </c>
      <c r="C1326" s="22">
        <f>IF(A1326="","",B1326/AVERAGE(B1202:B1326)-1)</f>
        <v/>
      </c>
      <c r="D1326" s="29">
        <f>IF(A1326="","",IFERROR(INDEX('자료_한국심리'!$E$3:$E$4002,MATCH(A1326,$V$19:$V$4018,0)),D1325))</f>
        <v/>
      </c>
      <c r="E1326" s="30">
        <f>IF(A1326="","",IFERROR(INDEX('자료_한국심리'!$H$3:$H$4002,MATCH(A1326,$W$19:$W$4018,0)),E1325))</f>
        <v/>
      </c>
      <c r="F1326" s="30">
        <f>IF(A1326="","",IFERROR(INDEX('자료_한국심리'!$K$3:$K$4002,MATCH(A1326,$X$19:$X$4018,0)),F1325))</f>
        <v/>
      </c>
      <c r="G1326" s="30">
        <f>IF(AND(ISNUMBER(E1326),ISNUMBER(F1326)),ROUND(E1326-F1326,6),"")</f>
        <v/>
      </c>
      <c r="H1326" s="25">
        <f>IF(A1326="","",IFERROR(INDEX('자료_한국심리'!$N$3:$N$4002,MATCH(A1326,$Y$19:$Y$4018,0)),H1325))</f>
        <v/>
      </c>
      <c r="I1326" s="31">
        <f>IF(AND(ISNUMBER(H1326),ISNUMBER(H1306)),IF(H1306&gt;0,H1326/H1306-1,""),"")</f>
        <v/>
      </c>
      <c r="J1326">
        <f>IF(A1326="",0,IF(A1326&gt;$B$5,1,0))</f>
        <v/>
      </c>
      <c r="K1326" s="29">
        <f>IF(AND(J1326=1,ISNUMBER(D1326)),D1326,"")</f>
        <v/>
      </c>
      <c r="L1326" s="30">
        <f>IF(AND(J1326=1,ISNUMBER(G1326)),G1326,"")</f>
        <v/>
      </c>
      <c r="M1326" s="22">
        <f>IF(AND(J1326=1,ISNUMBER(C1326)),C1326,"")</f>
        <v/>
      </c>
      <c r="N1326" s="31">
        <f>IF(AND(J1326=1,ISNUMBER(I1326)),I1326,"")</f>
        <v/>
      </c>
      <c r="O1326" s="11">
        <f>IF(K1326="","",100-IF($G$13=1,50,(_xlfn.RANK.AVG(K1326,$K$19:$K$1518,1)-1)/($G$13-1)*100))</f>
        <v/>
      </c>
      <c r="P1326" s="11">
        <f>IF(L1326="","",100-IF($G$14=1,50,(_xlfn.RANK.AVG(L1326,$L$19:$L$1518,1)-1)/($G$14-1)*100))</f>
        <v/>
      </c>
      <c r="Q1326" s="11">
        <f>IF(M1326="","",IF($G$15=1,50,(_xlfn.RANK.AVG(M1326,$M$19:$M$1518,1)-1)/($G$15-1)*100))</f>
        <v/>
      </c>
      <c r="R1326" s="11">
        <f>IF(N1326="","",IF($G$16=1,50,(_xlfn.RANK.AVG(N1326,$N$19:$N$1518,1)-1)/($G$16-1)*100))</f>
        <v/>
      </c>
      <c r="S1326" s="11">
        <f>IF(COUNT(O1326:R1326)=4,ROUND(AVERAGE(O1326:R1326),6),"")</f>
        <v/>
      </c>
      <c r="U1326">
        <f>IF(AND(ISNUMBER('자료_한국심리'!$A1310),ISNUMBER('자료_한국심리'!$B1310)),'자료_한국심리'!$A1310,"")</f>
        <v/>
      </c>
      <c r="V1326">
        <f>IF(AND(ISNUMBER('자료_한국심리'!$D1310),ISNUMBER('자료_한국심리'!$E1310)),'자료_한국심리'!$D1310,"")</f>
        <v/>
      </c>
      <c r="W1326">
        <f>IF(AND(ISNUMBER('자료_한국심리'!$G1310),ISNUMBER('자료_한국심리'!$H1310)),'자료_한국심리'!$G1310,"")</f>
        <v/>
      </c>
      <c r="X1326">
        <f>IF(AND(ISNUMBER('자료_한국심리'!$J1310),ISNUMBER('자료_한국심리'!$K1310)),'자료_한국심리'!$J1310,"")</f>
        <v/>
      </c>
      <c r="Y1326">
        <f>IF(AND(ISNUMBER('자료_한국심리'!$M1310),ISNUMBER('자료_한국심리'!$N1310)),'자료_한국심리'!$M1310,"")</f>
        <v/>
      </c>
    </row>
    <row r="1327">
      <c r="A1327" s="10">
        <f>IF(1309&gt;$E$5,"",SMALL($U$19:$U$4018,$E$6+1309))</f>
        <v/>
      </c>
      <c r="B1327" s="29">
        <f>IF(A1327="","",INDEX('자료_한국심리'!$B$3:$B$4002,MATCH(A1327,$U$19:$U$4018,0)))</f>
        <v/>
      </c>
      <c r="C1327" s="22">
        <f>IF(A1327="","",B1327/AVERAGE(B1203:B1327)-1)</f>
        <v/>
      </c>
      <c r="D1327" s="29">
        <f>IF(A1327="","",IFERROR(INDEX('자료_한국심리'!$E$3:$E$4002,MATCH(A1327,$V$19:$V$4018,0)),D1326))</f>
        <v/>
      </c>
      <c r="E1327" s="30">
        <f>IF(A1327="","",IFERROR(INDEX('자료_한국심리'!$H$3:$H$4002,MATCH(A1327,$W$19:$W$4018,0)),E1326))</f>
        <v/>
      </c>
      <c r="F1327" s="30">
        <f>IF(A1327="","",IFERROR(INDEX('자료_한국심리'!$K$3:$K$4002,MATCH(A1327,$X$19:$X$4018,0)),F1326))</f>
        <v/>
      </c>
      <c r="G1327" s="30">
        <f>IF(AND(ISNUMBER(E1327),ISNUMBER(F1327)),ROUND(E1327-F1327,6),"")</f>
        <v/>
      </c>
      <c r="H1327" s="25">
        <f>IF(A1327="","",IFERROR(INDEX('자료_한국심리'!$N$3:$N$4002,MATCH(A1327,$Y$19:$Y$4018,0)),H1326))</f>
        <v/>
      </c>
      <c r="I1327" s="31">
        <f>IF(AND(ISNUMBER(H1327),ISNUMBER(H1307)),IF(H1307&gt;0,H1327/H1307-1,""),"")</f>
        <v/>
      </c>
      <c r="J1327">
        <f>IF(A1327="",0,IF(A1327&gt;$B$5,1,0))</f>
        <v/>
      </c>
      <c r="K1327" s="29">
        <f>IF(AND(J1327=1,ISNUMBER(D1327)),D1327,"")</f>
        <v/>
      </c>
      <c r="L1327" s="30">
        <f>IF(AND(J1327=1,ISNUMBER(G1327)),G1327,"")</f>
        <v/>
      </c>
      <c r="M1327" s="22">
        <f>IF(AND(J1327=1,ISNUMBER(C1327)),C1327,"")</f>
        <v/>
      </c>
      <c r="N1327" s="31">
        <f>IF(AND(J1327=1,ISNUMBER(I1327)),I1327,"")</f>
        <v/>
      </c>
      <c r="O1327" s="11">
        <f>IF(K1327="","",100-IF($G$13=1,50,(_xlfn.RANK.AVG(K1327,$K$19:$K$1518,1)-1)/($G$13-1)*100))</f>
        <v/>
      </c>
      <c r="P1327" s="11">
        <f>IF(L1327="","",100-IF($G$14=1,50,(_xlfn.RANK.AVG(L1327,$L$19:$L$1518,1)-1)/($G$14-1)*100))</f>
        <v/>
      </c>
      <c r="Q1327" s="11">
        <f>IF(M1327="","",IF($G$15=1,50,(_xlfn.RANK.AVG(M1327,$M$19:$M$1518,1)-1)/($G$15-1)*100))</f>
        <v/>
      </c>
      <c r="R1327" s="11">
        <f>IF(N1327="","",IF($G$16=1,50,(_xlfn.RANK.AVG(N1327,$N$19:$N$1518,1)-1)/($G$16-1)*100))</f>
        <v/>
      </c>
      <c r="S1327" s="11">
        <f>IF(COUNT(O1327:R1327)=4,ROUND(AVERAGE(O1327:R1327),6),"")</f>
        <v/>
      </c>
      <c r="U1327">
        <f>IF(AND(ISNUMBER('자료_한국심리'!$A1311),ISNUMBER('자료_한국심리'!$B1311)),'자료_한국심리'!$A1311,"")</f>
        <v/>
      </c>
      <c r="V1327">
        <f>IF(AND(ISNUMBER('자료_한국심리'!$D1311),ISNUMBER('자료_한국심리'!$E1311)),'자료_한국심리'!$D1311,"")</f>
        <v/>
      </c>
      <c r="W1327">
        <f>IF(AND(ISNUMBER('자료_한국심리'!$G1311),ISNUMBER('자료_한국심리'!$H1311)),'자료_한국심리'!$G1311,"")</f>
        <v/>
      </c>
      <c r="X1327">
        <f>IF(AND(ISNUMBER('자료_한국심리'!$J1311),ISNUMBER('자료_한국심리'!$K1311)),'자료_한국심리'!$J1311,"")</f>
        <v/>
      </c>
      <c r="Y1327">
        <f>IF(AND(ISNUMBER('자료_한국심리'!$M1311),ISNUMBER('자료_한국심리'!$N1311)),'자료_한국심리'!$M1311,"")</f>
        <v/>
      </c>
    </row>
    <row r="1328">
      <c r="A1328" s="10">
        <f>IF(1310&gt;$E$5,"",SMALL($U$19:$U$4018,$E$6+1310))</f>
        <v/>
      </c>
      <c r="B1328" s="29">
        <f>IF(A1328="","",INDEX('자료_한국심리'!$B$3:$B$4002,MATCH(A1328,$U$19:$U$4018,0)))</f>
        <v/>
      </c>
      <c r="C1328" s="22">
        <f>IF(A1328="","",B1328/AVERAGE(B1204:B1328)-1)</f>
        <v/>
      </c>
      <c r="D1328" s="29">
        <f>IF(A1328="","",IFERROR(INDEX('자료_한국심리'!$E$3:$E$4002,MATCH(A1328,$V$19:$V$4018,0)),D1327))</f>
        <v/>
      </c>
      <c r="E1328" s="30">
        <f>IF(A1328="","",IFERROR(INDEX('자료_한국심리'!$H$3:$H$4002,MATCH(A1328,$W$19:$W$4018,0)),E1327))</f>
        <v/>
      </c>
      <c r="F1328" s="30">
        <f>IF(A1328="","",IFERROR(INDEX('자료_한국심리'!$K$3:$K$4002,MATCH(A1328,$X$19:$X$4018,0)),F1327))</f>
        <v/>
      </c>
      <c r="G1328" s="30">
        <f>IF(AND(ISNUMBER(E1328),ISNUMBER(F1328)),ROUND(E1328-F1328,6),"")</f>
        <v/>
      </c>
      <c r="H1328" s="25">
        <f>IF(A1328="","",IFERROR(INDEX('자료_한국심리'!$N$3:$N$4002,MATCH(A1328,$Y$19:$Y$4018,0)),H1327))</f>
        <v/>
      </c>
      <c r="I1328" s="31">
        <f>IF(AND(ISNUMBER(H1328),ISNUMBER(H1308)),IF(H1308&gt;0,H1328/H1308-1,""),"")</f>
        <v/>
      </c>
      <c r="J1328">
        <f>IF(A1328="",0,IF(A1328&gt;$B$5,1,0))</f>
        <v/>
      </c>
      <c r="K1328" s="29">
        <f>IF(AND(J1328=1,ISNUMBER(D1328)),D1328,"")</f>
        <v/>
      </c>
      <c r="L1328" s="30">
        <f>IF(AND(J1328=1,ISNUMBER(G1328)),G1328,"")</f>
        <v/>
      </c>
      <c r="M1328" s="22">
        <f>IF(AND(J1328=1,ISNUMBER(C1328)),C1328,"")</f>
        <v/>
      </c>
      <c r="N1328" s="31">
        <f>IF(AND(J1328=1,ISNUMBER(I1328)),I1328,"")</f>
        <v/>
      </c>
      <c r="O1328" s="11">
        <f>IF(K1328="","",100-IF($G$13=1,50,(_xlfn.RANK.AVG(K1328,$K$19:$K$1518,1)-1)/($G$13-1)*100))</f>
        <v/>
      </c>
      <c r="P1328" s="11">
        <f>IF(L1328="","",100-IF($G$14=1,50,(_xlfn.RANK.AVG(L1328,$L$19:$L$1518,1)-1)/($G$14-1)*100))</f>
        <v/>
      </c>
      <c r="Q1328" s="11">
        <f>IF(M1328="","",IF($G$15=1,50,(_xlfn.RANK.AVG(M1328,$M$19:$M$1518,1)-1)/($G$15-1)*100))</f>
        <v/>
      </c>
      <c r="R1328" s="11">
        <f>IF(N1328="","",IF($G$16=1,50,(_xlfn.RANK.AVG(N1328,$N$19:$N$1518,1)-1)/($G$16-1)*100))</f>
        <v/>
      </c>
      <c r="S1328" s="11">
        <f>IF(COUNT(O1328:R1328)=4,ROUND(AVERAGE(O1328:R1328),6),"")</f>
        <v/>
      </c>
      <c r="U1328">
        <f>IF(AND(ISNUMBER('자료_한국심리'!$A1312),ISNUMBER('자료_한국심리'!$B1312)),'자료_한국심리'!$A1312,"")</f>
        <v/>
      </c>
      <c r="V1328">
        <f>IF(AND(ISNUMBER('자료_한국심리'!$D1312),ISNUMBER('자료_한국심리'!$E1312)),'자료_한국심리'!$D1312,"")</f>
        <v/>
      </c>
      <c r="W1328">
        <f>IF(AND(ISNUMBER('자료_한국심리'!$G1312),ISNUMBER('자료_한국심리'!$H1312)),'자료_한국심리'!$G1312,"")</f>
        <v/>
      </c>
      <c r="X1328">
        <f>IF(AND(ISNUMBER('자료_한국심리'!$J1312),ISNUMBER('자료_한국심리'!$K1312)),'자료_한국심리'!$J1312,"")</f>
        <v/>
      </c>
      <c r="Y1328">
        <f>IF(AND(ISNUMBER('자료_한국심리'!$M1312),ISNUMBER('자료_한국심리'!$N1312)),'자료_한국심리'!$M1312,"")</f>
        <v/>
      </c>
    </row>
    <row r="1329">
      <c r="A1329" s="10">
        <f>IF(1311&gt;$E$5,"",SMALL($U$19:$U$4018,$E$6+1311))</f>
        <v/>
      </c>
      <c r="B1329" s="29">
        <f>IF(A1329="","",INDEX('자료_한국심리'!$B$3:$B$4002,MATCH(A1329,$U$19:$U$4018,0)))</f>
        <v/>
      </c>
      <c r="C1329" s="22">
        <f>IF(A1329="","",B1329/AVERAGE(B1205:B1329)-1)</f>
        <v/>
      </c>
      <c r="D1329" s="29">
        <f>IF(A1329="","",IFERROR(INDEX('자료_한국심리'!$E$3:$E$4002,MATCH(A1329,$V$19:$V$4018,0)),D1328))</f>
        <v/>
      </c>
      <c r="E1329" s="30">
        <f>IF(A1329="","",IFERROR(INDEX('자료_한국심리'!$H$3:$H$4002,MATCH(A1329,$W$19:$W$4018,0)),E1328))</f>
        <v/>
      </c>
      <c r="F1329" s="30">
        <f>IF(A1329="","",IFERROR(INDEX('자료_한국심리'!$K$3:$K$4002,MATCH(A1329,$X$19:$X$4018,0)),F1328))</f>
        <v/>
      </c>
      <c r="G1329" s="30">
        <f>IF(AND(ISNUMBER(E1329),ISNUMBER(F1329)),ROUND(E1329-F1329,6),"")</f>
        <v/>
      </c>
      <c r="H1329" s="25">
        <f>IF(A1329="","",IFERROR(INDEX('자료_한국심리'!$N$3:$N$4002,MATCH(A1329,$Y$19:$Y$4018,0)),H1328))</f>
        <v/>
      </c>
      <c r="I1329" s="31">
        <f>IF(AND(ISNUMBER(H1329),ISNUMBER(H1309)),IF(H1309&gt;0,H1329/H1309-1,""),"")</f>
        <v/>
      </c>
      <c r="J1329">
        <f>IF(A1329="",0,IF(A1329&gt;$B$5,1,0))</f>
        <v/>
      </c>
      <c r="K1329" s="29">
        <f>IF(AND(J1329=1,ISNUMBER(D1329)),D1329,"")</f>
        <v/>
      </c>
      <c r="L1329" s="30">
        <f>IF(AND(J1329=1,ISNUMBER(G1329)),G1329,"")</f>
        <v/>
      </c>
      <c r="M1329" s="22">
        <f>IF(AND(J1329=1,ISNUMBER(C1329)),C1329,"")</f>
        <v/>
      </c>
      <c r="N1329" s="31">
        <f>IF(AND(J1329=1,ISNUMBER(I1329)),I1329,"")</f>
        <v/>
      </c>
      <c r="O1329" s="11">
        <f>IF(K1329="","",100-IF($G$13=1,50,(_xlfn.RANK.AVG(K1329,$K$19:$K$1518,1)-1)/($G$13-1)*100))</f>
        <v/>
      </c>
      <c r="P1329" s="11">
        <f>IF(L1329="","",100-IF($G$14=1,50,(_xlfn.RANK.AVG(L1329,$L$19:$L$1518,1)-1)/($G$14-1)*100))</f>
        <v/>
      </c>
      <c r="Q1329" s="11">
        <f>IF(M1329="","",IF($G$15=1,50,(_xlfn.RANK.AVG(M1329,$M$19:$M$1518,1)-1)/($G$15-1)*100))</f>
        <v/>
      </c>
      <c r="R1329" s="11">
        <f>IF(N1329="","",IF($G$16=1,50,(_xlfn.RANK.AVG(N1329,$N$19:$N$1518,1)-1)/($G$16-1)*100))</f>
        <v/>
      </c>
      <c r="S1329" s="11">
        <f>IF(COUNT(O1329:R1329)=4,ROUND(AVERAGE(O1329:R1329),6),"")</f>
        <v/>
      </c>
      <c r="U1329">
        <f>IF(AND(ISNUMBER('자료_한국심리'!$A1313),ISNUMBER('자료_한국심리'!$B1313)),'자료_한국심리'!$A1313,"")</f>
        <v/>
      </c>
      <c r="V1329">
        <f>IF(AND(ISNUMBER('자료_한국심리'!$D1313),ISNUMBER('자료_한국심리'!$E1313)),'자료_한국심리'!$D1313,"")</f>
        <v/>
      </c>
      <c r="W1329">
        <f>IF(AND(ISNUMBER('자료_한국심리'!$G1313),ISNUMBER('자료_한국심리'!$H1313)),'자료_한국심리'!$G1313,"")</f>
        <v/>
      </c>
      <c r="X1329">
        <f>IF(AND(ISNUMBER('자료_한국심리'!$J1313),ISNUMBER('자료_한국심리'!$K1313)),'자료_한국심리'!$J1313,"")</f>
        <v/>
      </c>
      <c r="Y1329">
        <f>IF(AND(ISNUMBER('자료_한국심리'!$M1313),ISNUMBER('자료_한국심리'!$N1313)),'자료_한국심리'!$M1313,"")</f>
        <v/>
      </c>
    </row>
    <row r="1330">
      <c r="A1330" s="10">
        <f>IF(1312&gt;$E$5,"",SMALL($U$19:$U$4018,$E$6+1312))</f>
        <v/>
      </c>
      <c r="B1330" s="29">
        <f>IF(A1330="","",INDEX('자료_한국심리'!$B$3:$B$4002,MATCH(A1330,$U$19:$U$4018,0)))</f>
        <v/>
      </c>
      <c r="C1330" s="22">
        <f>IF(A1330="","",B1330/AVERAGE(B1206:B1330)-1)</f>
        <v/>
      </c>
      <c r="D1330" s="29">
        <f>IF(A1330="","",IFERROR(INDEX('자료_한국심리'!$E$3:$E$4002,MATCH(A1330,$V$19:$V$4018,0)),D1329))</f>
        <v/>
      </c>
      <c r="E1330" s="30">
        <f>IF(A1330="","",IFERROR(INDEX('자료_한국심리'!$H$3:$H$4002,MATCH(A1330,$W$19:$W$4018,0)),E1329))</f>
        <v/>
      </c>
      <c r="F1330" s="30">
        <f>IF(A1330="","",IFERROR(INDEX('자료_한국심리'!$K$3:$K$4002,MATCH(A1330,$X$19:$X$4018,0)),F1329))</f>
        <v/>
      </c>
      <c r="G1330" s="30">
        <f>IF(AND(ISNUMBER(E1330),ISNUMBER(F1330)),ROUND(E1330-F1330,6),"")</f>
        <v/>
      </c>
      <c r="H1330" s="25">
        <f>IF(A1330="","",IFERROR(INDEX('자료_한국심리'!$N$3:$N$4002,MATCH(A1330,$Y$19:$Y$4018,0)),H1329))</f>
        <v/>
      </c>
      <c r="I1330" s="31">
        <f>IF(AND(ISNUMBER(H1330),ISNUMBER(H1310)),IF(H1310&gt;0,H1330/H1310-1,""),"")</f>
        <v/>
      </c>
      <c r="J1330">
        <f>IF(A1330="",0,IF(A1330&gt;$B$5,1,0))</f>
        <v/>
      </c>
      <c r="K1330" s="29">
        <f>IF(AND(J1330=1,ISNUMBER(D1330)),D1330,"")</f>
        <v/>
      </c>
      <c r="L1330" s="30">
        <f>IF(AND(J1330=1,ISNUMBER(G1330)),G1330,"")</f>
        <v/>
      </c>
      <c r="M1330" s="22">
        <f>IF(AND(J1330=1,ISNUMBER(C1330)),C1330,"")</f>
        <v/>
      </c>
      <c r="N1330" s="31">
        <f>IF(AND(J1330=1,ISNUMBER(I1330)),I1330,"")</f>
        <v/>
      </c>
      <c r="O1330" s="11">
        <f>IF(K1330="","",100-IF($G$13=1,50,(_xlfn.RANK.AVG(K1330,$K$19:$K$1518,1)-1)/($G$13-1)*100))</f>
        <v/>
      </c>
      <c r="P1330" s="11">
        <f>IF(L1330="","",100-IF($G$14=1,50,(_xlfn.RANK.AVG(L1330,$L$19:$L$1518,1)-1)/($G$14-1)*100))</f>
        <v/>
      </c>
      <c r="Q1330" s="11">
        <f>IF(M1330="","",IF($G$15=1,50,(_xlfn.RANK.AVG(M1330,$M$19:$M$1518,1)-1)/($G$15-1)*100))</f>
        <v/>
      </c>
      <c r="R1330" s="11">
        <f>IF(N1330="","",IF($G$16=1,50,(_xlfn.RANK.AVG(N1330,$N$19:$N$1518,1)-1)/($G$16-1)*100))</f>
        <v/>
      </c>
      <c r="S1330" s="11">
        <f>IF(COUNT(O1330:R1330)=4,ROUND(AVERAGE(O1330:R1330),6),"")</f>
        <v/>
      </c>
      <c r="U1330">
        <f>IF(AND(ISNUMBER('자료_한국심리'!$A1314),ISNUMBER('자료_한국심리'!$B1314)),'자료_한국심리'!$A1314,"")</f>
        <v/>
      </c>
      <c r="V1330">
        <f>IF(AND(ISNUMBER('자료_한국심리'!$D1314),ISNUMBER('자료_한국심리'!$E1314)),'자료_한국심리'!$D1314,"")</f>
        <v/>
      </c>
      <c r="W1330">
        <f>IF(AND(ISNUMBER('자료_한국심리'!$G1314),ISNUMBER('자료_한국심리'!$H1314)),'자료_한국심리'!$G1314,"")</f>
        <v/>
      </c>
      <c r="X1330">
        <f>IF(AND(ISNUMBER('자료_한국심리'!$J1314),ISNUMBER('자료_한국심리'!$K1314)),'자료_한국심리'!$J1314,"")</f>
        <v/>
      </c>
      <c r="Y1330">
        <f>IF(AND(ISNUMBER('자료_한국심리'!$M1314),ISNUMBER('자료_한국심리'!$N1314)),'자료_한국심리'!$M1314,"")</f>
        <v/>
      </c>
    </row>
    <row r="1331">
      <c r="A1331" s="10">
        <f>IF(1313&gt;$E$5,"",SMALL($U$19:$U$4018,$E$6+1313))</f>
        <v/>
      </c>
      <c r="B1331" s="29">
        <f>IF(A1331="","",INDEX('자료_한국심리'!$B$3:$B$4002,MATCH(A1331,$U$19:$U$4018,0)))</f>
        <v/>
      </c>
      <c r="C1331" s="22">
        <f>IF(A1331="","",B1331/AVERAGE(B1207:B1331)-1)</f>
        <v/>
      </c>
      <c r="D1331" s="29">
        <f>IF(A1331="","",IFERROR(INDEX('자료_한국심리'!$E$3:$E$4002,MATCH(A1331,$V$19:$V$4018,0)),D1330))</f>
        <v/>
      </c>
      <c r="E1331" s="30">
        <f>IF(A1331="","",IFERROR(INDEX('자료_한국심리'!$H$3:$H$4002,MATCH(A1331,$W$19:$W$4018,0)),E1330))</f>
        <v/>
      </c>
      <c r="F1331" s="30">
        <f>IF(A1331="","",IFERROR(INDEX('자료_한국심리'!$K$3:$K$4002,MATCH(A1331,$X$19:$X$4018,0)),F1330))</f>
        <v/>
      </c>
      <c r="G1331" s="30">
        <f>IF(AND(ISNUMBER(E1331),ISNUMBER(F1331)),ROUND(E1331-F1331,6),"")</f>
        <v/>
      </c>
      <c r="H1331" s="25">
        <f>IF(A1331="","",IFERROR(INDEX('자료_한국심리'!$N$3:$N$4002,MATCH(A1331,$Y$19:$Y$4018,0)),H1330))</f>
        <v/>
      </c>
      <c r="I1331" s="31">
        <f>IF(AND(ISNUMBER(H1331),ISNUMBER(H1311)),IF(H1311&gt;0,H1331/H1311-1,""),"")</f>
        <v/>
      </c>
      <c r="J1331">
        <f>IF(A1331="",0,IF(A1331&gt;$B$5,1,0))</f>
        <v/>
      </c>
      <c r="K1331" s="29">
        <f>IF(AND(J1331=1,ISNUMBER(D1331)),D1331,"")</f>
        <v/>
      </c>
      <c r="L1331" s="30">
        <f>IF(AND(J1331=1,ISNUMBER(G1331)),G1331,"")</f>
        <v/>
      </c>
      <c r="M1331" s="22">
        <f>IF(AND(J1331=1,ISNUMBER(C1331)),C1331,"")</f>
        <v/>
      </c>
      <c r="N1331" s="31">
        <f>IF(AND(J1331=1,ISNUMBER(I1331)),I1331,"")</f>
        <v/>
      </c>
      <c r="O1331" s="11">
        <f>IF(K1331="","",100-IF($G$13=1,50,(_xlfn.RANK.AVG(K1331,$K$19:$K$1518,1)-1)/($G$13-1)*100))</f>
        <v/>
      </c>
      <c r="P1331" s="11">
        <f>IF(L1331="","",100-IF($G$14=1,50,(_xlfn.RANK.AVG(L1331,$L$19:$L$1518,1)-1)/($G$14-1)*100))</f>
        <v/>
      </c>
      <c r="Q1331" s="11">
        <f>IF(M1331="","",IF($G$15=1,50,(_xlfn.RANK.AVG(M1331,$M$19:$M$1518,1)-1)/($G$15-1)*100))</f>
        <v/>
      </c>
      <c r="R1331" s="11">
        <f>IF(N1331="","",IF($G$16=1,50,(_xlfn.RANK.AVG(N1331,$N$19:$N$1518,1)-1)/($G$16-1)*100))</f>
        <v/>
      </c>
      <c r="S1331" s="11">
        <f>IF(COUNT(O1331:R1331)=4,ROUND(AVERAGE(O1331:R1331),6),"")</f>
        <v/>
      </c>
      <c r="U1331">
        <f>IF(AND(ISNUMBER('자료_한국심리'!$A1315),ISNUMBER('자료_한국심리'!$B1315)),'자료_한국심리'!$A1315,"")</f>
        <v/>
      </c>
      <c r="V1331">
        <f>IF(AND(ISNUMBER('자료_한국심리'!$D1315),ISNUMBER('자료_한국심리'!$E1315)),'자료_한국심리'!$D1315,"")</f>
        <v/>
      </c>
      <c r="W1331">
        <f>IF(AND(ISNUMBER('자료_한국심리'!$G1315),ISNUMBER('자료_한국심리'!$H1315)),'자료_한국심리'!$G1315,"")</f>
        <v/>
      </c>
      <c r="X1331">
        <f>IF(AND(ISNUMBER('자료_한국심리'!$J1315),ISNUMBER('자료_한국심리'!$K1315)),'자료_한국심리'!$J1315,"")</f>
        <v/>
      </c>
      <c r="Y1331">
        <f>IF(AND(ISNUMBER('자료_한국심리'!$M1315),ISNUMBER('자료_한국심리'!$N1315)),'자료_한국심리'!$M1315,"")</f>
        <v/>
      </c>
    </row>
    <row r="1332">
      <c r="A1332" s="10">
        <f>IF(1314&gt;$E$5,"",SMALL($U$19:$U$4018,$E$6+1314))</f>
        <v/>
      </c>
      <c r="B1332" s="29">
        <f>IF(A1332="","",INDEX('자료_한국심리'!$B$3:$B$4002,MATCH(A1332,$U$19:$U$4018,0)))</f>
        <v/>
      </c>
      <c r="C1332" s="22">
        <f>IF(A1332="","",B1332/AVERAGE(B1208:B1332)-1)</f>
        <v/>
      </c>
      <c r="D1332" s="29">
        <f>IF(A1332="","",IFERROR(INDEX('자료_한국심리'!$E$3:$E$4002,MATCH(A1332,$V$19:$V$4018,0)),D1331))</f>
        <v/>
      </c>
      <c r="E1332" s="30">
        <f>IF(A1332="","",IFERROR(INDEX('자료_한국심리'!$H$3:$H$4002,MATCH(A1332,$W$19:$W$4018,0)),E1331))</f>
        <v/>
      </c>
      <c r="F1332" s="30">
        <f>IF(A1332="","",IFERROR(INDEX('자료_한국심리'!$K$3:$K$4002,MATCH(A1332,$X$19:$X$4018,0)),F1331))</f>
        <v/>
      </c>
      <c r="G1332" s="30">
        <f>IF(AND(ISNUMBER(E1332),ISNUMBER(F1332)),ROUND(E1332-F1332,6),"")</f>
        <v/>
      </c>
      <c r="H1332" s="25">
        <f>IF(A1332="","",IFERROR(INDEX('자료_한국심리'!$N$3:$N$4002,MATCH(A1332,$Y$19:$Y$4018,0)),H1331))</f>
        <v/>
      </c>
      <c r="I1332" s="31">
        <f>IF(AND(ISNUMBER(H1332),ISNUMBER(H1312)),IF(H1312&gt;0,H1332/H1312-1,""),"")</f>
        <v/>
      </c>
      <c r="J1332">
        <f>IF(A1332="",0,IF(A1332&gt;$B$5,1,0))</f>
        <v/>
      </c>
      <c r="K1332" s="29">
        <f>IF(AND(J1332=1,ISNUMBER(D1332)),D1332,"")</f>
        <v/>
      </c>
      <c r="L1332" s="30">
        <f>IF(AND(J1332=1,ISNUMBER(G1332)),G1332,"")</f>
        <v/>
      </c>
      <c r="M1332" s="22">
        <f>IF(AND(J1332=1,ISNUMBER(C1332)),C1332,"")</f>
        <v/>
      </c>
      <c r="N1332" s="31">
        <f>IF(AND(J1332=1,ISNUMBER(I1332)),I1332,"")</f>
        <v/>
      </c>
      <c r="O1332" s="11">
        <f>IF(K1332="","",100-IF($G$13=1,50,(_xlfn.RANK.AVG(K1332,$K$19:$K$1518,1)-1)/($G$13-1)*100))</f>
        <v/>
      </c>
      <c r="P1332" s="11">
        <f>IF(L1332="","",100-IF($G$14=1,50,(_xlfn.RANK.AVG(L1332,$L$19:$L$1518,1)-1)/($G$14-1)*100))</f>
        <v/>
      </c>
      <c r="Q1332" s="11">
        <f>IF(M1332="","",IF($G$15=1,50,(_xlfn.RANK.AVG(M1332,$M$19:$M$1518,1)-1)/($G$15-1)*100))</f>
        <v/>
      </c>
      <c r="R1332" s="11">
        <f>IF(N1332="","",IF($G$16=1,50,(_xlfn.RANK.AVG(N1332,$N$19:$N$1518,1)-1)/($G$16-1)*100))</f>
        <v/>
      </c>
      <c r="S1332" s="11">
        <f>IF(COUNT(O1332:R1332)=4,ROUND(AVERAGE(O1332:R1332),6),"")</f>
        <v/>
      </c>
      <c r="U1332">
        <f>IF(AND(ISNUMBER('자료_한국심리'!$A1316),ISNUMBER('자료_한국심리'!$B1316)),'자료_한국심리'!$A1316,"")</f>
        <v/>
      </c>
      <c r="V1332">
        <f>IF(AND(ISNUMBER('자료_한국심리'!$D1316),ISNUMBER('자료_한국심리'!$E1316)),'자료_한국심리'!$D1316,"")</f>
        <v/>
      </c>
      <c r="W1332">
        <f>IF(AND(ISNUMBER('자료_한국심리'!$G1316),ISNUMBER('자료_한국심리'!$H1316)),'자료_한국심리'!$G1316,"")</f>
        <v/>
      </c>
      <c r="X1332">
        <f>IF(AND(ISNUMBER('자료_한국심리'!$J1316),ISNUMBER('자료_한국심리'!$K1316)),'자료_한국심리'!$J1316,"")</f>
        <v/>
      </c>
      <c r="Y1332">
        <f>IF(AND(ISNUMBER('자료_한국심리'!$M1316),ISNUMBER('자료_한국심리'!$N1316)),'자료_한국심리'!$M1316,"")</f>
        <v/>
      </c>
    </row>
    <row r="1333">
      <c r="A1333" s="10">
        <f>IF(1315&gt;$E$5,"",SMALL($U$19:$U$4018,$E$6+1315))</f>
        <v/>
      </c>
      <c r="B1333" s="29">
        <f>IF(A1333="","",INDEX('자료_한국심리'!$B$3:$B$4002,MATCH(A1333,$U$19:$U$4018,0)))</f>
        <v/>
      </c>
      <c r="C1333" s="22">
        <f>IF(A1333="","",B1333/AVERAGE(B1209:B1333)-1)</f>
        <v/>
      </c>
      <c r="D1333" s="29">
        <f>IF(A1333="","",IFERROR(INDEX('자료_한국심리'!$E$3:$E$4002,MATCH(A1333,$V$19:$V$4018,0)),D1332))</f>
        <v/>
      </c>
      <c r="E1333" s="30">
        <f>IF(A1333="","",IFERROR(INDEX('자료_한국심리'!$H$3:$H$4002,MATCH(A1333,$W$19:$W$4018,0)),E1332))</f>
        <v/>
      </c>
      <c r="F1333" s="30">
        <f>IF(A1333="","",IFERROR(INDEX('자료_한국심리'!$K$3:$K$4002,MATCH(A1333,$X$19:$X$4018,0)),F1332))</f>
        <v/>
      </c>
      <c r="G1333" s="30">
        <f>IF(AND(ISNUMBER(E1333),ISNUMBER(F1333)),ROUND(E1333-F1333,6),"")</f>
        <v/>
      </c>
      <c r="H1333" s="25">
        <f>IF(A1333="","",IFERROR(INDEX('자료_한국심리'!$N$3:$N$4002,MATCH(A1333,$Y$19:$Y$4018,0)),H1332))</f>
        <v/>
      </c>
      <c r="I1333" s="31">
        <f>IF(AND(ISNUMBER(H1333),ISNUMBER(H1313)),IF(H1313&gt;0,H1333/H1313-1,""),"")</f>
        <v/>
      </c>
      <c r="J1333">
        <f>IF(A1333="",0,IF(A1333&gt;$B$5,1,0))</f>
        <v/>
      </c>
      <c r="K1333" s="29">
        <f>IF(AND(J1333=1,ISNUMBER(D1333)),D1333,"")</f>
        <v/>
      </c>
      <c r="L1333" s="30">
        <f>IF(AND(J1333=1,ISNUMBER(G1333)),G1333,"")</f>
        <v/>
      </c>
      <c r="M1333" s="22">
        <f>IF(AND(J1333=1,ISNUMBER(C1333)),C1333,"")</f>
        <v/>
      </c>
      <c r="N1333" s="31">
        <f>IF(AND(J1333=1,ISNUMBER(I1333)),I1333,"")</f>
        <v/>
      </c>
      <c r="O1333" s="11">
        <f>IF(K1333="","",100-IF($G$13=1,50,(_xlfn.RANK.AVG(K1333,$K$19:$K$1518,1)-1)/($G$13-1)*100))</f>
        <v/>
      </c>
      <c r="P1333" s="11">
        <f>IF(L1333="","",100-IF($G$14=1,50,(_xlfn.RANK.AVG(L1333,$L$19:$L$1518,1)-1)/($G$14-1)*100))</f>
        <v/>
      </c>
      <c r="Q1333" s="11">
        <f>IF(M1333="","",IF($G$15=1,50,(_xlfn.RANK.AVG(M1333,$M$19:$M$1518,1)-1)/($G$15-1)*100))</f>
        <v/>
      </c>
      <c r="R1333" s="11">
        <f>IF(N1333="","",IF($G$16=1,50,(_xlfn.RANK.AVG(N1333,$N$19:$N$1518,1)-1)/($G$16-1)*100))</f>
        <v/>
      </c>
      <c r="S1333" s="11">
        <f>IF(COUNT(O1333:R1333)=4,ROUND(AVERAGE(O1333:R1333),6),"")</f>
        <v/>
      </c>
      <c r="U1333">
        <f>IF(AND(ISNUMBER('자료_한국심리'!$A1317),ISNUMBER('자료_한국심리'!$B1317)),'자료_한국심리'!$A1317,"")</f>
        <v/>
      </c>
      <c r="V1333">
        <f>IF(AND(ISNUMBER('자료_한국심리'!$D1317),ISNUMBER('자료_한국심리'!$E1317)),'자료_한국심리'!$D1317,"")</f>
        <v/>
      </c>
      <c r="W1333">
        <f>IF(AND(ISNUMBER('자료_한국심리'!$G1317),ISNUMBER('자료_한국심리'!$H1317)),'자료_한국심리'!$G1317,"")</f>
        <v/>
      </c>
      <c r="X1333">
        <f>IF(AND(ISNUMBER('자료_한국심리'!$J1317),ISNUMBER('자료_한국심리'!$K1317)),'자료_한국심리'!$J1317,"")</f>
        <v/>
      </c>
      <c r="Y1333">
        <f>IF(AND(ISNUMBER('자료_한국심리'!$M1317),ISNUMBER('자료_한국심리'!$N1317)),'자료_한국심리'!$M1317,"")</f>
        <v/>
      </c>
    </row>
    <row r="1334">
      <c r="A1334" s="10">
        <f>IF(1316&gt;$E$5,"",SMALL($U$19:$U$4018,$E$6+1316))</f>
        <v/>
      </c>
      <c r="B1334" s="29">
        <f>IF(A1334="","",INDEX('자료_한국심리'!$B$3:$B$4002,MATCH(A1334,$U$19:$U$4018,0)))</f>
        <v/>
      </c>
      <c r="C1334" s="22">
        <f>IF(A1334="","",B1334/AVERAGE(B1210:B1334)-1)</f>
        <v/>
      </c>
      <c r="D1334" s="29">
        <f>IF(A1334="","",IFERROR(INDEX('자료_한국심리'!$E$3:$E$4002,MATCH(A1334,$V$19:$V$4018,0)),D1333))</f>
        <v/>
      </c>
      <c r="E1334" s="30">
        <f>IF(A1334="","",IFERROR(INDEX('자료_한국심리'!$H$3:$H$4002,MATCH(A1334,$W$19:$W$4018,0)),E1333))</f>
        <v/>
      </c>
      <c r="F1334" s="30">
        <f>IF(A1334="","",IFERROR(INDEX('자료_한국심리'!$K$3:$K$4002,MATCH(A1334,$X$19:$X$4018,0)),F1333))</f>
        <v/>
      </c>
      <c r="G1334" s="30">
        <f>IF(AND(ISNUMBER(E1334),ISNUMBER(F1334)),ROUND(E1334-F1334,6),"")</f>
        <v/>
      </c>
      <c r="H1334" s="25">
        <f>IF(A1334="","",IFERROR(INDEX('자료_한국심리'!$N$3:$N$4002,MATCH(A1334,$Y$19:$Y$4018,0)),H1333))</f>
        <v/>
      </c>
      <c r="I1334" s="31">
        <f>IF(AND(ISNUMBER(H1334),ISNUMBER(H1314)),IF(H1314&gt;0,H1334/H1314-1,""),"")</f>
        <v/>
      </c>
      <c r="J1334">
        <f>IF(A1334="",0,IF(A1334&gt;$B$5,1,0))</f>
        <v/>
      </c>
      <c r="K1334" s="29">
        <f>IF(AND(J1334=1,ISNUMBER(D1334)),D1334,"")</f>
        <v/>
      </c>
      <c r="L1334" s="30">
        <f>IF(AND(J1334=1,ISNUMBER(G1334)),G1334,"")</f>
        <v/>
      </c>
      <c r="M1334" s="22">
        <f>IF(AND(J1334=1,ISNUMBER(C1334)),C1334,"")</f>
        <v/>
      </c>
      <c r="N1334" s="31">
        <f>IF(AND(J1334=1,ISNUMBER(I1334)),I1334,"")</f>
        <v/>
      </c>
      <c r="O1334" s="11">
        <f>IF(K1334="","",100-IF($G$13=1,50,(_xlfn.RANK.AVG(K1334,$K$19:$K$1518,1)-1)/($G$13-1)*100))</f>
        <v/>
      </c>
      <c r="P1334" s="11">
        <f>IF(L1334="","",100-IF($G$14=1,50,(_xlfn.RANK.AVG(L1334,$L$19:$L$1518,1)-1)/($G$14-1)*100))</f>
        <v/>
      </c>
      <c r="Q1334" s="11">
        <f>IF(M1334="","",IF($G$15=1,50,(_xlfn.RANK.AVG(M1334,$M$19:$M$1518,1)-1)/($G$15-1)*100))</f>
        <v/>
      </c>
      <c r="R1334" s="11">
        <f>IF(N1334="","",IF($G$16=1,50,(_xlfn.RANK.AVG(N1334,$N$19:$N$1518,1)-1)/($G$16-1)*100))</f>
        <v/>
      </c>
      <c r="S1334" s="11">
        <f>IF(COUNT(O1334:R1334)=4,ROUND(AVERAGE(O1334:R1334),6),"")</f>
        <v/>
      </c>
      <c r="U1334">
        <f>IF(AND(ISNUMBER('자료_한국심리'!$A1318),ISNUMBER('자료_한국심리'!$B1318)),'자료_한국심리'!$A1318,"")</f>
        <v/>
      </c>
      <c r="V1334">
        <f>IF(AND(ISNUMBER('자료_한국심리'!$D1318),ISNUMBER('자료_한국심리'!$E1318)),'자료_한국심리'!$D1318,"")</f>
        <v/>
      </c>
      <c r="W1334">
        <f>IF(AND(ISNUMBER('자료_한국심리'!$G1318),ISNUMBER('자료_한국심리'!$H1318)),'자료_한국심리'!$G1318,"")</f>
        <v/>
      </c>
      <c r="X1334">
        <f>IF(AND(ISNUMBER('자료_한국심리'!$J1318),ISNUMBER('자료_한국심리'!$K1318)),'자료_한국심리'!$J1318,"")</f>
        <v/>
      </c>
      <c r="Y1334">
        <f>IF(AND(ISNUMBER('자료_한국심리'!$M1318),ISNUMBER('자료_한국심리'!$N1318)),'자료_한국심리'!$M1318,"")</f>
        <v/>
      </c>
    </row>
    <row r="1335">
      <c r="A1335" s="10">
        <f>IF(1317&gt;$E$5,"",SMALL($U$19:$U$4018,$E$6+1317))</f>
        <v/>
      </c>
      <c r="B1335" s="29">
        <f>IF(A1335="","",INDEX('자료_한국심리'!$B$3:$B$4002,MATCH(A1335,$U$19:$U$4018,0)))</f>
        <v/>
      </c>
      <c r="C1335" s="22">
        <f>IF(A1335="","",B1335/AVERAGE(B1211:B1335)-1)</f>
        <v/>
      </c>
      <c r="D1335" s="29">
        <f>IF(A1335="","",IFERROR(INDEX('자료_한국심리'!$E$3:$E$4002,MATCH(A1335,$V$19:$V$4018,0)),D1334))</f>
        <v/>
      </c>
      <c r="E1335" s="30">
        <f>IF(A1335="","",IFERROR(INDEX('자료_한국심리'!$H$3:$H$4002,MATCH(A1335,$W$19:$W$4018,0)),E1334))</f>
        <v/>
      </c>
      <c r="F1335" s="30">
        <f>IF(A1335="","",IFERROR(INDEX('자료_한국심리'!$K$3:$K$4002,MATCH(A1335,$X$19:$X$4018,0)),F1334))</f>
        <v/>
      </c>
      <c r="G1335" s="30">
        <f>IF(AND(ISNUMBER(E1335),ISNUMBER(F1335)),ROUND(E1335-F1335,6),"")</f>
        <v/>
      </c>
      <c r="H1335" s="25">
        <f>IF(A1335="","",IFERROR(INDEX('자료_한국심리'!$N$3:$N$4002,MATCH(A1335,$Y$19:$Y$4018,0)),H1334))</f>
        <v/>
      </c>
      <c r="I1335" s="31">
        <f>IF(AND(ISNUMBER(H1335),ISNUMBER(H1315)),IF(H1315&gt;0,H1335/H1315-1,""),"")</f>
        <v/>
      </c>
      <c r="J1335">
        <f>IF(A1335="",0,IF(A1335&gt;$B$5,1,0))</f>
        <v/>
      </c>
      <c r="K1335" s="29">
        <f>IF(AND(J1335=1,ISNUMBER(D1335)),D1335,"")</f>
        <v/>
      </c>
      <c r="L1335" s="30">
        <f>IF(AND(J1335=1,ISNUMBER(G1335)),G1335,"")</f>
        <v/>
      </c>
      <c r="M1335" s="22">
        <f>IF(AND(J1335=1,ISNUMBER(C1335)),C1335,"")</f>
        <v/>
      </c>
      <c r="N1335" s="31">
        <f>IF(AND(J1335=1,ISNUMBER(I1335)),I1335,"")</f>
        <v/>
      </c>
      <c r="O1335" s="11">
        <f>IF(K1335="","",100-IF($G$13=1,50,(_xlfn.RANK.AVG(K1335,$K$19:$K$1518,1)-1)/($G$13-1)*100))</f>
        <v/>
      </c>
      <c r="P1335" s="11">
        <f>IF(L1335="","",100-IF($G$14=1,50,(_xlfn.RANK.AVG(L1335,$L$19:$L$1518,1)-1)/($G$14-1)*100))</f>
        <v/>
      </c>
      <c r="Q1335" s="11">
        <f>IF(M1335="","",IF($G$15=1,50,(_xlfn.RANK.AVG(M1335,$M$19:$M$1518,1)-1)/($G$15-1)*100))</f>
        <v/>
      </c>
      <c r="R1335" s="11">
        <f>IF(N1335="","",IF($G$16=1,50,(_xlfn.RANK.AVG(N1335,$N$19:$N$1518,1)-1)/($G$16-1)*100))</f>
        <v/>
      </c>
      <c r="S1335" s="11">
        <f>IF(COUNT(O1335:R1335)=4,ROUND(AVERAGE(O1335:R1335),6),"")</f>
        <v/>
      </c>
      <c r="U1335">
        <f>IF(AND(ISNUMBER('자료_한국심리'!$A1319),ISNUMBER('자료_한국심리'!$B1319)),'자료_한국심리'!$A1319,"")</f>
        <v/>
      </c>
      <c r="V1335">
        <f>IF(AND(ISNUMBER('자료_한국심리'!$D1319),ISNUMBER('자료_한국심리'!$E1319)),'자료_한국심리'!$D1319,"")</f>
        <v/>
      </c>
      <c r="W1335">
        <f>IF(AND(ISNUMBER('자료_한국심리'!$G1319),ISNUMBER('자료_한국심리'!$H1319)),'자료_한국심리'!$G1319,"")</f>
        <v/>
      </c>
      <c r="X1335">
        <f>IF(AND(ISNUMBER('자료_한국심리'!$J1319),ISNUMBER('자료_한국심리'!$K1319)),'자료_한국심리'!$J1319,"")</f>
        <v/>
      </c>
      <c r="Y1335">
        <f>IF(AND(ISNUMBER('자료_한국심리'!$M1319),ISNUMBER('자료_한국심리'!$N1319)),'자료_한국심리'!$M1319,"")</f>
        <v/>
      </c>
    </row>
    <row r="1336">
      <c r="A1336" s="10">
        <f>IF(1318&gt;$E$5,"",SMALL($U$19:$U$4018,$E$6+1318))</f>
        <v/>
      </c>
      <c r="B1336" s="29">
        <f>IF(A1336="","",INDEX('자료_한국심리'!$B$3:$B$4002,MATCH(A1336,$U$19:$U$4018,0)))</f>
        <v/>
      </c>
      <c r="C1336" s="22">
        <f>IF(A1336="","",B1336/AVERAGE(B1212:B1336)-1)</f>
        <v/>
      </c>
      <c r="D1336" s="29">
        <f>IF(A1336="","",IFERROR(INDEX('자료_한국심리'!$E$3:$E$4002,MATCH(A1336,$V$19:$V$4018,0)),D1335))</f>
        <v/>
      </c>
      <c r="E1336" s="30">
        <f>IF(A1336="","",IFERROR(INDEX('자료_한국심리'!$H$3:$H$4002,MATCH(A1336,$W$19:$W$4018,0)),E1335))</f>
        <v/>
      </c>
      <c r="F1336" s="30">
        <f>IF(A1336="","",IFERROR(INDEX('자료_한국심리'!$K$3:$K$4002,MATCH(A1336,$X$19:$X$4018,0)),F1335))</f>
        <v/>
      </c>
      <c r="G1336" s="30">
        <f>IF(AND(ISNUMBER(E1336),ISNUMBER(F1336)),ROUND(E1336-F1336,6),"")</f>
        <v/>
      </c>
      <c r="H1336" s="25">
        <f>IF(A1336="","",IFERROR(INDEX('자료_한국심리'!$N$3:$N$4002,MATCH(A1336,$Y$19:$Y$4018,0)),H1335))</f>
        <v/>
      </c>
      <c r="I1336" s="31">
        <f>IF(AND(ISNUMBER(H1336),ISNUMBER(H1316)),IF(H1316&gt;0,H1336/H1316-1,""),"")</f>
        <v/>
      </c>
      <c r="J1336">
        <f>IF(A1336="",0,IF(A1336&gt;$B$5,1,0))</f>
        <v/>
      </c>
      <c r="K1336" s="29">
        <f>IF(AND(J1336=1,ISNUMBER(D1336)),D1336,"")</f>
        <v/>
      </c>
      <c r="L1336" s="30">
        <f>IF(AND(J1336=1,ISNUMBER(G1336)),G1336,"")</f>
        <v/>
      </c>
      <c r="M1336" s="22">
        <f>IF(AND(J1336=1,ISNUMBER(C1336)),C1336,"")</f>
        <v/>
      </c>
      <c r="N1336" s="31">
        <f>IF(AND(J1336=1,ISNUMBER(I1336)),I1336,"")</f>
        <v/>
      </c>
      <c r="O1336" s="11">
        <f>IF(K1336="","",100-IF($G$13=1,50,(_xlfn.RANK.AVG(K1336,$K$19:$K$1518,1)-1)/($G$13-1)*100))</f>
        <v/>
      </c>
      <c r="P1336" s="11">
        <f>IF(L1336="","",100-IF($G$14=1,50,(_xlfn.RANK.AVG(L1336,$L$19:$L$1518,1)-1)/($G$14-1)*100))</f>
        <v/>
      </c>
      <c r="Q1336" s="11">
        <f>IF(M1336="","",IF($G$15=1,50,(_xlfn.RANK.AVG(M1336,$M$19:$M$1518,1)-1)/($G$15-1)*100))</f>
        <v/>
      </c>
      <c r="R1336" s="11">
        <f>IF(N1336="","",IF($G$16=1,50,(_xlfn.RANK.AVG(N1336,$N$19:$N$1518,1)-1)/($G$16-1)*100))</f>
        <v/>
      </c>
      <c r="S1336" s="11">
        <f>IF(COUNT(O1336:R1336)=4,ROUND(AVERAGE(O1336:R1336),6),"")</f>
        <v/>
      </c>
      <c r="U1336">
        <f>IF(AND(ISNUMBER('자료_한국심리'!$A1320),ISNUMBER('자료_한국심리'!$B1320)),'자료_한국심리'!$A1320,"")</f>
        <v/>
      </c>
      <c r="V1336">
        <f>IF(AND(ISNUMBER('자료_한국심리'!$D1320),ISNUMBER('자료_한국심리'!$E1320)),'자료_한국심리'!$D1320,"")</f>
        <v/>
      </c>
      <c r="W1336">
        <f>IF(AND(ISNUMBER('자료_한국심리'!$G1320),ISNUMBER('자료_한국심리'!$H1320)),'자료_한국심리'!$G1320,"")</f>
        <v/>
      </c>
      <c r="X1336">
        <f>IF(AND(ISNUMBER('자료_한국심리'!$J1320),ISNUMBER('자료_한국심리'!$K1320)),'자료_한국심리'!$J1320,"")</f>
        <v/>
      </c>
      <c r="Y1336">
        <f>IF(AND(ISNUMBER('자료_한국심리'!$M1320),ISNUMBER('자료_한국심리'!$N1320)),'자료_한국심리'!$M1320,"")</f>
        <v/>
      </c>
    </row>
    <row r="1337">
      <c r="A1337" s="10">
        <f>IF(1319&gt;$E$5,"",SMALL($U$19:$U$4018,$E$6+1319))</f>
        <v/>
      </c>
      <c r="B1337" s="29">
        <f>IF(A1337="","",INDEX('자료_한국심리'!$B$3:$B$4002,MATCH(A1337,$U$19:$U$4018,0)))</f>
        <v/>
      </c>
      <c r="C1337" s="22">
        <f>IF(A1337="","",B1337/AVERAGE(B1213:B1337)-1)</f>
        <v/>
      </c>
      <c r="D1337" s="29">
        <f>IF(A1337="","",IFERROR(INDEX('자료_한국심리'!$E$3:$E$4002,MATCH(A1337,$V$19:$V$4018,0)),D1336))</f>
        <v/>
      </c>
      <c r="E1337" s="30">
        <f>IF(A1337="","",IFERROR(INDEX('자료_한국심리'!$H$3:$H$4002,MATCH(A1337,$W$19:$W$4018,0)),E1336))</f>
        <v/>
      </c>
      <c r="F1337" s="30">
        <f>IF(A1337="","",IFERROR(INDEX('자료_한국심리'!$K$3:$K$4002,MATCH(A1337,$X$19:$X$4018,0)),F1336))</f>
        <v/>
      </c>
      <c r="G1337" s="30">
        <f>IF(AND(ISNUMBER(E1337),ISNUMBER(F1337)),ROUND(E1337-F1337,6),"")</f>
        <v/>
      </c>
      <c r="H1337" s="25">
        <f>IF(A1337="","",IFERROR(INDEX('자료_한국심리'!$N$3:$N$4002,MATCH(A1337,$Y$19:$Y$4018,0)),H1336))</f>
        <v/>
      </c>
      <c r="I1337" s="31">
        <f>IF(AND(ISNUMBER(H1337),ISNUMBER(H1317)),IF(H1317&gt;0,H1337/H1317-1,""),"")</f>
        <v/>
      </c>
      <c r="J1337">
        <f>IF(A1337="",0,IF(A1337&gt;$B$5,1,0))</f>
        <v/>
      </c>
      <c r="K1337" s="29">
        <f>IF(AND(J1337=1,ISNUMBER(D1337)),D1337,"")</f>
        <v/>
      </c>
      <c r="L1337" s="30">
        <f>IF(AND(J1337=1,ISNUMBER(G1337)),G1337,"")</f>
        <v/>
      </c>
      <c r="M1337" s="22">
        <f>IF(AND(J1337=1,ISNUMBER(C1337)),C1337,"")</f>
        <v/>
      </c>
      <c r="N1337" s="31">
        <f>IF(AND(J1337=1,ISNUMBER(I1337)),I1337,"")</f>
        <v/>
      </c>
      <c r="O1337" s="11">
        <f>IF(K1337="","",100-IF($G$13=1,50,(_xlfn.RANK.AVG(K1337,$K$19:$K$1518,1)-1)/($G$13-1)*100))</f>
        <v/>
      </c>
      <c r="P1337" s="11">
        <f>IF(L1337="","",100-IF($G$14=1,50,(_xlfn.RANK.AVG(L1337,$L$19:$L$1518,1)-1)/($G$14-1)*100))</f>
        <v/>
      </c>
      <c r="Q1337" s="11">
        <f>IF(M1337="","",IF($G$15=1,50,(_xlfn.RANK.AVG(M1337,$M$19:$M$1518,1)-1)/($G$15-1)*100))</f>
        <v/>
      </c>
      <c r="R1337" s="11">
        <f>IF(N1337="","",IF($G$16=1,50,(_xlfn.RANK.AVG(N1337,$N$19:$N$1518,1)-1)/($G$16-1)*100))</f>
        <v/>
      </c>
      <c r="S1337" s="11">
        <f>IF(COUNT(O1337:R1337)=4,ROUND(AVERAGE(O1337:R1337),6),"")</f>
        <v/>
      </c>
      <c r="U1337">
        <f>IF(AND(ISNUMBER('자료_한국심리'!$A1321),ISNUMBER('자료_한국심리'!$B1321)),'자료_한국심리'!$A1321,"")</f>
        <v/>
      </c>
      <c r="V1337">
        <f>IF(AND(ISNUMBER('자료_한국심리'!$D1321),ISNUMBER('자료_한국심리'!$E1321)),'자료_한국심리'!$D1321,"")</f>
        <v/>
      </c>
      <c r="W1337">
        <f>IF(AND(ISNUMBER('자료_한국심리'!$G1321),ISNUMBER('자료_한국심리'!$H1321)),'자료_한국심리'!$G1321,"")</f>
        <v/>
      </c>
      <c r="X1337">
        <f>IF(AND(ISNUMBER('자료_한국심리'!$J1321),ISNUMBER('자료_한국심리'!$K1321)),'자료_한국심리'!$J1321,"")</f>
        <v/>
      </c>
      <c r="Y1337">
        <f>IF(AND(ISNUMBER('자료_한국심리'!$M1321),ISNUMBER('자료_한국심리'!$N1321)),'자료_한국심리'!$M1321,"")</f>
        <v/>
      </c>
    </row>
    <row r="1338">
      <c r="A1338" s="10">
        <f>IF(1320&gt;$E$5,"",SMALL($U$19:$U$4018,$E$6+1320))</f>
        <v/>
      </c>
      <c r="B1338" s="29">
        <f>IF(A1338="","",INDEX('자료_한국심리'!$B$3:$B$4002,MATCH(A1338,$U$19:$U$4018,0)))</f>
        <v/>
      </c>
      <c r="C1338" s="22">
        <f>IF(A1338="","",B1338/AVERAGE(B1214:B1338)-1)</f>
        <v/>
      </c>
      <c r="D1338" s="29">
        <f>IF(A1338="","",IFERROR(INDEX('자료_한국심리'!$E$3:$E$4002,MATCH(A1338,$V$19:$V$4018,0)),D1337))</f>
        <v/>
      </c>
      <c r="E1338" s="30">
        <f>IF(A1338="","",IFERROR(INDEX('자료_한국심리'!$H$3:$H$4002,MATCH(A1338,$W$19:$W$4018,0)),E1337))</f>
        <v/>
      </c>
      <c r="F1338" s="30">
        <f>IF(A1338="","",IFERROR(INDEX('자료_한국심리'!$K$3:$K$4002,MATCH(A1338,$X$19:$X$4018,0)),F1337))</f>
        <v/>
      </c>
      <c r="G1338" s="30">
        <f>IF(AND(ISNUMBER(E1338),ISNUMBER(F1338)),ROUND(E1338-F1338,6),"")</f>
        <v/>
      </c>
      <c r="H1338" s="25">
        <f>IF(A1338="","",IFERROR(INDEX('자료_한국심리'!$N$3:$N$4002,MATCH(A1338,$Y$19:$Y$4018,0)),H1337))</f>
        <v/>
      </c>
      <c r="I1338" s="31">
        <f>IF(AND(ISNUMBER(H1338),ISNUMBER(H1318)),IF(H1318&gt;0,H1338/H1318-1,""),"")</f>
        <v/>
      </c>
      <c r="J1338">
        <f>IF(A1338="",0,IF(A1338&gt;$B$5,1,0))</f>
        <v/>
      </c>
      <c r="K1338" s="29">
        <f>IF(AND(J1338=1,ISNUMBER(D1338)),D1338,"")</f>
        <v/>
      </c>
      <c r="L1338" s="30">
        <f>IF(AND(J1338=1,ISNUMBER(G1338)),G1338,"")</f>
        <v/>
      </c>
      <c r="M1338" s="22">
        <f>IF(AND(J1338=1,ISNUMBER(C1338)),C1338,"")</f>
        <v/>
      </c>
      <c r="N1338" s="31">
        <f>IF(AND(J1338=1,ISNUMBER(I1338)),I1338,"")</f>
        <v/>
      </c>
      <c r="O1338" s="11">
        <f>IF(K1338="","",100-IF($G$13=1,50,(_xlfn.RANK.AVG(K1338,$K$19:$K$1518,1)-1)/($G$13-1)*100))</f>
        <v/>
      </c>
      <c r="P1338" s="11">
        <f>IF(L1338="","",100-IF($G$14=1,50,(_xlfn.RANK.AVG(L1338,$L$19:$L$1518,1)-1)/($G$14-1)*100))</f>
        <v/>
      </c>
      <c r="Q1338" s="11">
        <f>IF(M1338="","",IF($G$15=1,50,(_xlfn.RANK.AVG(M1338,$M$19:$M$1518,1)-1)/($G$15-1)*100))</f>
        <v/>
      </c>
      <c r="R1338" s="11">
        <f>IF(N1338="","",IF($G$16=1,50,(_xlfn.RANK.AVG(N1338,$N$19:$N$1518,1)-1)/($G$16-1)*100))</f>
        <v/>
      </c>
      <c r="S1338" s="11">
        <f>IF(COUNT(O1338:R1338)=4,ROUND(AVERAGE(O1338:R1338),6),"")</f>
        <v/>
      </c>
      <c r="U1338">
        <f>IF(AND(ISNUMBER('자료_한국심리'!$A1322),ISNUMBER('자료_한국심리'!$B1322)),'자료_한국심리'!$A1322,"")</f>
        <v/>
      </c>
      <c r="V1338">
        <f>IF(AND(ISNUMBER('자료_한국심리'!$D1322),ISNUMBER('자료_한국심리'!$E1322)),'자료_한국심리'!$D1322,"")</f>
        <v/>
      </c>
      <c r="W1338">
        <f>IF(AND(ISNUMBER('자료_한국심리'!$G1322),ISNUMBER('자료_한국심리'!$H1322)),'자료_한국심리'!$G1322,"")</f>
        <v/>
      </c>
      <c r="X1338">
        <f>IF(AND(ISNUMBER('자료_한국심리'!$J1322),ISNUMBER('자료_한국심리'!$K1322)),'자료_한국심리'!$J1322,"")</f>
        <v/>
      </c>
      <c r="Y1338">
        <f>IF(AND(ISNUMBER('자료_한국심리'!$M1322),ISNUMBER('자료_한국심리'!$N1322)),'자료_한국심리'!$M1322,"")</f>
        <v/>
      </c>
    </row>
    <row r="1339">
      <c r="A1339" s="10">
        <f>IF(1321&gt;$E$5,"",SMALL($U$19:$U$4018,$E$6+1321))</f>
        <v/>
      </c>
      <c r="B1339" s="29">
        <f>IF(A1339="","",INDEX('자료_한국심리'!$B$3:$B$4002,MATCH(A1339,$U$19:$U$4018,0)))</f>
        <v/>
      </c>
      <c r="C1339" s="22">
        <f>IF(A1339="","",B1339/AVERAGE(B1215:B1339)-1)</f>
        <v/>
      </c>
      <c r="D1339" s="29">
        <f>IF(A1339="","",IFERROR(INDEX('자료_한국심리'!$E$3:$E$4002,MATCH(A1339,$V$19:$V$4018,0)),D1338))</f>
        <v/>
      </c>
      <c r="E1339" s="30">
        <f>IF(A1339="","",IFERROR(INDEX('자료_한국심리'!$H$3:$H$4002,MATCH(A1339,$W$19:$W$4018,0)),E1338))</f>
        <v/>
      </c>
      <c r="F1339" s="30">
        <f>IF(A1339="","",IFERROR(INDEX('자료_한국심리'!$K$3:$K$4002,MATCH(A1339,$X$19:$X$4018,0)),F1338))</f>
        <v/>
      </c>
      <c r="G1339" s="30">
        <f>IF(AND(ISNUMBER(E1339),ISNUMBER(F1339)),ROUND(E1339-F1339,6),"")</f>
        <v/>
      </c>
      <c r="H1339" s="25">
        <f>IF(A1339="","",IFERROR(INDEX('자료_한국심리'!$N$3:$N$4002,MATCH(A1339,$Y$19:$Y$4018,0)),H1338))</f>
        <v/>
      </c>
      <c r="I1339" s="31">
        <f>IF(AND(ISNUMBER(H1339),ISNUMBER(H1319)),IF(H1319&gt;0,H1339/H1319-1,""),"")</f>
        <v/>
      </c>
      <c r="J1339">
        <f>IF(A1339="",0,IF(A1339&gt;$B$5,1,0))</f>
        <v/>
      </c>
      <c r="K1339" s="29">
        <f>IF(AND(J1339=1,ISNUMBER(D1339)),D1339,"")</f>
        <v/>
      </c>
      <c r="L1339" s="30">
        <f>IF(AND(J1339=1,ISNUMBER(G1339)),G1339,"")</f>
        <v/>
      </c>
      <c r="M1339" s="22">
        <f>IF(AND(J1339=1,ISNUMBER(C1339)),C1339,"")</f>
        <v/>
      </c>
      <c r="N1339" s="31">
        <f>IF(AND(J1339=1,ISNUMBER(I1339)),I1339,"")</f>
        <v/>
      </c>
      <c r="O1339" s="11">
        <f>IF(K1339="","",100-IF($G$13=1,50,(_xlfn.RANK.AVG(K1339,$K$19:$K$1518,1)-1)/($G$13-1)*100))</f>
        <v/>
      </c>
      <c r="P1339" s="11">
        <f>IF(L1339="","",100-IF($G$14=1,50,(_xlfn.RANK.AVG(L1339,$L$19:$L$1518,1)-1)/($G$14-1)*100))</f>
        <v/>
      </c>
      <c r="Q1339" s="11">
        <f>IF(M1339="","",IF($G$15=1,50,(_xlfn.RANK.AVG(M1339,$M$19:$M$1518,1)-1)/($G$15-1)*100))</f>
        <v/>
      </c>
      <c r="R1339" s="11">
        <f>IF(N1339="","",IF($G$16=1,50,(_xlfn.RANK.AVG(N1339,$N$19:$N$1518,1)-1)/($G$16-1)*100))</f>
        <v/>
      </c>
      <c r="S1339" s="11">
        <f>IF(COUNT(O1339:R1339)=4,ROUND(AVERAGE(O1339:R1339),6),"")</f>
        <v/>
      </c>
      <c r="U1339">
        <f>IF(AND(ISNUMBER('자료_한국심리'!$A1323),ISNUMBER('자료_한국심리'!$B1323)),'자료_한국심리'!$A1323,"")</f>
        <v/>
      </c>
      <c r="V1339">
        <f>IF(AND(ISNUMBER('자료_한국심리'!$D1323),ISNUMBER('자료_한국심리'!$E1323)),'자료_한국심리'!$D1323,"")</f>
        <v/>
      </c>
      <c r="W1339">
        <f>IF(AND(ISNUMBER('자료_한국심리'!$G1323),ISNUMBER('자료_한국심리'!$H1323)),'자료_한국심리'!$G1323,"")</f>
        <v/>
      </c>
      <c r="X1339">
        <f>IF(AND(ISNUMBER('자료_한국심리'!$J1323),ISNUMBER('자료_한국심리'!$K1323)),'자료_한국심리'!$J1323,"")</f>
        <v/>
      </c>
      <c r="Y1339">
        <f>IF(AND(ISNUMBER('자료_한국심리'!$M1323),ISNUMBER('자료_한국심리'!$N1323)),'자료_한국심리'!$M1323,"")</f>
        <v/>
      </c>
    </row>
    <row r="1340">
      <c r="A1340" s="10">
        <f>IF(1322&gt;$E$5,"",SMALL($U$19:$U$4018,$E$6+1322))</f>
        <v/>
      </c>
      <c r="B1340" s="29">
        <f>IF(A1340="","",INDEX('자료_한국심리'!$B$3:$B$4002,MATCH(A1340,$U$19:$U$4018,0)))</f>
        <v/>
      </c>
      <c r="C1340" s="22">
        <f>IF(A1340="","",B1340/AVERAGE(B1216:B1340)-1)</f>
        <v/>
      </c>
      <c r="D1340" s="29">
        <f>IF(A1340="","",IFERROR(INDEX('자료_한국심리'!$E$3:$E$4002,MATCH(A1340,$V$19:$V$4018,0)),D1339))</f>
        <v/>
      </c>
      <c r="E1340" s="30">
        <f>IF(A1340="","",IFERROR(INDEX('자료_한국심리'!$H$3:$H$4002,MATCH(A1340,$W$19:$W$4018,0)),E1339))</f>
        <v/>
      </c>
      <c r="F1340" s="30">
        <f>IF(A1340="","",IFERROR(INDEX('자료_한국심리'!$K$3:$K$4002,MATCH(A1340,$X$19:$X$4018,0)),F1339))</f>
        <v/>
      </c>
      <c r="G1340" s="30">
        <f>IF(AND(ISNUMBER(E1340),ISNUMBER(F1340)),ROUND(E1340-F1340,6),"")</f>
        <v/>
      </c>
      <c r="H1340" s="25">
        <f>IF(A1340="","",IFERROR(INDEX('자료_한국심리'!$N$3:$N$4002,MATCH(A1340,$Y$19:$Y$4018,0)),H1339))</f>
        <v/>
      </c>
      <c r="I1340" s="31">
        <f>IF(AND(ISNUMBER(H1340),ISNUMBER(H1320)),IF(H1320&gt;0,H1340/H1320-1,""),"")</f>
        <v/>
      </c>
      <c r="J1340">
        <f>IF(A1340="",0,IF(A1340&gt;$B$5,1,0))</f>
        <v/>
      </c>
      <c r="K1340" s="29">
        <f>IF(AND(J1340=1,ISNUMBER(D1340)),D1340,"")</f>
        <v/>
      </c>
      <c r="L1340" s="30">
        <f>IF(AND(J1340=1,ISNUMBER(G1340)),G1340,"")</f>
        <v/>
      </c>
      <c r="M1340" s="22">
        <f>IF(AND(J1340=1,ISNUMBER(C1340)),C1340,"")</f>
        <v/>
      </c>
      <c r="N1340" s="31">
        <f>IF(AND(J1340=1,ISNUMBER(I1340)),I1340,"")</f>
        <v/>
      </c>
      <c r="O1340" s="11">
        <f>IF(K1340="","",100-IF($G$13=1,50,(_xlfn.RANK.AVG(K1340,$K$19:$K$1518,1)-1)/($G$13-1)*100))</f>
        <v/>
      </c>
      <c r="P1340" s="11">
        <f>IF(L1340="","",100-IF($G$14=1,50,(_xlfn.RANK.AVG(L1340,$L$19:$L$1518,1)-1)/($G$14-1)*100))</f>
        <v/>
      </c>
      <c r="Q1340" s="11">
        <f>IF(M1340="","",IF($G$15=1,50,(_xlfn.RANK.AVG(M1340,$M$19:$M$1518,1)-1)/($G$15-1)*100))</f>
        <v/>
      </c>
      <c r="R1340" s="11">
        <f>IF(N1340="","",IF($G$16=1,50,(_xlfn.RANK.AVG(N1340,$N$19:$N$1518,1)-1)/($G$16-1)*100))</f>
        <v/>
      </c>
      <c r="S1340" s="11">
        <f>IF(COUNT(O1340:R1340)=4,ROUND(AVERAGE(O1340:R1340),6),"")</f>
        <v/>
      </c>
      <c r="U1340">
        <f>IF(AND(ISNUMBER('자료_한국심리'!$A1324),ISNUMBER('자료_한국심리'!$B1324)),'자료_한국심리'!$A1324,"")</f>
        <v/>
      </c>
      <c r="V1340">
        <f>IF(AND(ISNUMBER('자료_한국심리'!$D1324),ISNUMBER('자료_한국심리'!$E1324)),'자료_한국심리'!$D1324,"")</f>
        <v/>
      </c>
      <c r="W1340">
        <f>IF(AND(ISNUMBER('자료_한국심리'!$G1324),ISNUMBER('자료_한국심리'!$H1324)),'자료_한국심리'!$G1324,"")</f>
        <v/>
      </c>
      <c r="X1340">
        <f>IF(AND(ISNUMBER('자료_한국심리'!$J1324),ISNUMBER('자료_한국심리'!$K1324)),'자료_한국심리'!$J1324,"")</f>
        <v/>
      </c>
      <c r="Y1340">
        <f>IF(AND(ISNUMBER('자료_한국심리'!$M1324),ISNUMBER('자료_한국심리'!$N1324)),'자료_한국심리'!$M1324,"")</f>
        <v/>
      </c>
    </row>
    <row r="1341">
      <c r="A1341" s="10">
        <f>IF(1323&gt;$E$5,"",SMALL($U$19:$U$4018,$E$6+1323))</f>
        <v/>
      </c>
      <c r="B1341" s="29">
        <f>IF(A1341="","",INDEX('자료_한국심리'!$B$3:$B$4002,MATCH(A1341,$U$19:$U$4018,0)))</f>
        <v/>
      </c>
      <c r="C1341" s="22">
        <f>IF(A1341="","",B1341/AVERAGE(B1217:B1341)-1)</f>
        <v/>
      </c>
      <c r="D1341" s="29">
        <f>IF(A1341="","",IFERROR(INDEX('자료_한국심리'!$E$3:$E$4002,MATCH(A1341,$V$19:$V$4018,0)),D1340))</f>
        <v/>
      </c>
      <c r="E1341" s="30">
        <f>IF(A1341="","",IFERROR(INDEX('자료_한국심리'!$H$3:$H$4002,MATCH(A1341,$W$19:$W$4018,0)),E1340))</f>
        <v/>
      </c>
      <c r="F1341" s="30">
        <f>IF(A1341="","",IFERROR(INDEX('자료_한국심리'!$K$3:$K$4002,MATCH(A1341,$X$19:$X$4018,0)),F1340))</f>
        <v/>
      </c>
      <c r="G1341" s="30">
        <f>IF(AND(ISNUMBER(E1341),ISNUMBER(F1341)),ROUND(E1341-F1341,6),"")</f>
        <v/>
      </c>
      <c r="H1341" s="25">
        <f>IF(A1341="","",IFERROR(INDEX('자료_한국심리'!$N$3:$N$4002,MATCH(A1341,$Y$19:$Y$4018,0)),H1340))</f>
        <v/>
      </c>
      <c r="I1341" s="31">
        <f>IF(AND(ISNUMBER(H1341),ISNUMBER(H1321)),IF(H1321&gt;0,H1341/H1321-1,""),"")</f>
        <v/>
      </c>
      <c r="J1341">
        <f>IF(A1341="",0,IF(A1341&gt;$B$5,1,0))</f>
        <v/>
      </c>
      <c r="K1341" s="29">
        <f>IF(AND(J1341=1,ISNUMBER(D1341)),D1341,"")</f>
        <v/>
      </c>
      <c r="L1341" s="30">
        <f>IF(AND(J1341=1,ISNUMBER(G1341)),G1341,"")</f>
        <v/>
      </c>
      <c r="M1341" s="22">
        <f>IF(AND(J1341=1,ISNUMBER(C1341)),C1341,"")</f>
        <v/>
      </c>
      <c r="N1341" s="31">
        <f>IF(AND(J1341=1,ISNUMBER(I1341)),I1341,"")</f>
        <v/>
      </c>
      <c r="O1341" s="11">
        <f>IF(K1341="","",100-IF($G$13=1,50,(_xlfn.RANK.AVG(K1341,$K$19:$K$1518,1)-1)/($G$13-1)*100))</f>
        <v/>
      </c>
      <c r="P1341" s="11">
        <f>IF(L1341="","",100-IF($G$14=1,50,(_xlfn.RANK.AVG(L1341,$L$19:$L$1518,1)-1)/($G$14-1)*100))</f>
        <v/>
      </c>
      <c r="Q1341" s="11">
        <f>IF(M1341="","",IF($G$15=1,50,(_xlfn.RANK.AVG(M1341,$M$19:$M$1518,1)-1)/($G$15-1)*100))</f>
        <v/>
      </c>
      <c r="R1341" s="11">
        <f>IF(N1341="","",IF($G$16=1,50,(_xlfn.RANK.AVG(N1341,$N$19:$N$1518,1)-1)/($G$16-1)*100))</f>
        <v/>
      </c>
      <c r="S1341" s="11">
        <f>IF(COUNT(O1341:R1341)=4,ROUND(AVERAGE(O1341:R1341),6),"")</f>
        <v/>
      </c>
      <c r="U1341">
        <f>IF(AND(ISNUMBER('자료_한국심리'!$A1325),ISNUMBER('자료_한국심리'!$B1325)),'자료_한국심리'!$A1325,"")</f>
        <v/>
      </c>
      <c r="V1341">
        <f>IF(AND(ISNUMBER('자료_한국심리'!$D1325),ISNUMBER('자료_한국심리'!$E1325)),'자료_한국심리'!$D1325,"")</f>
        <v/>
      </c>
      <c r="W1341">
        <f>IF(AND(ISNUMBER('자료_한국심리'!$G1325),ISNUMBER('자료_한국심리'!$H1325)),'자료_한국심리'!$G1325,"")</f>
        <v/>
      </c>
      <c r="X1341">
        <f>IF(AND(ISNUMBER('자료_한국심리'!$J1325),ISNUMBER('자료_한국심리'!$K1325)),'자료_한국심리'!$J1325,"")</f>
        <v/>
      </c>
      <c r="Y1341">
        <f>IF(AND(ISNUMBER('자료_한국심리'!$M1325),ISNUMBER('자료_한국심리'!$N1325)),'자료_한국심리'!$M1325,"")</f>
        <v/>
      </c>
    </row>
    <row r="1342">
      <c r="A1342" s="10">
        <f>IF(1324&gt;$E$5,"",SMALL($U$19:$U$4018,$E$6+1324))</f>
        <v/>
      </c>
      <c r="B1342" s="29">
        <f>IF(A1342="","",INDEX('자료_한국심리'!$B$3:$B$4002,MATCH(A1342,$U$19:$U$4018,0)))</f>
        <v/>
      </c>
      <c r="C1342" s="22">
        <f>IF(A1342="","",B1342/AVERAGE(B1218:B1342)-1)</f>
        <v/>
      </c>
      <c r="D1342" s="29">
        <f>IF(A1342="","",IFERROR(INDEX('자료_한국심리'!$E$3:$E$4002,MATCH(A1342,$V$19:$V$4018,0)),D1341))</f>
        <v/>
      </c>
      <c r="E1342" s="30">
        <f>IF(A1342="","",IFERROR(INDEX('자료_한국심리'!$H$3:$H$4002,MATCH(A1342,$W$19:$W$4018,0)),E1341))</f>
        <v/>
      </c>
      <c r="F1342" s="30">
        <f>IF(A1342="","",IFERROR(INDEX('자료_한국심리'!$K$3:$K$4002,MATCH(A1342,$X$19:$X$4018,0)),F1341))</f>
        <v/>
      </c>
      <c r="G1342" s="30">
        <f>IF(AND(ISNUMBER(E1342),ISNUMBER(F1342)),ROUND(E1342-F1342,6),"")</f>
        <v/>
      </c>
      <c r="H1342" s="25">
        <f>IF(A1342="","",IFERROR(INDEX('자료_한국심리'!$N$3:$N$4002,MATCH(A1342,$Y$19:$Y$4018,0)),H1341))</f>
        <v/>
      </c>
      <c r="I1342" s="31">
        <f>IF(AND(ISNUMBER(H1342),ISNUMBER(H1322)),IF(H1322&gt;0,H1342/H1322-1,""),"")</f>
        <v/>
      </c>
      <c r="J1342">
        <f>IF(A1342="",0,IF(A1342&gt;$B$5,1,0))</f>
        <v/>
      </c>
      <c r="K1342" s="29">
        <f>IF(AND(J1342=1,ISNUMBER(D1342)),D1342,"")</f>
        <v/>
      </c>
      <c r="L1342" s="30">
        <f>IF(AND(J1342=1,ISNUMBER(G1342)),G1342,"")</f>
        <v/>
      </c>
      <c r="M1342" s="22">
        <f>IF(AND(J1342=1,ISNUMBER(C1342)),C1342,"")</f>
        <v/>
      </c>
      <c r="N1342" s="31">
        <f>IF(AND(J1342=1,ISNUMBER(I1342)),I1342,"")</f>
        <v/>
      </c>
      <c r="O1342" s="11">
        <f>IF(K1342="","",100-IF($G$13=1,50,(_xlfn.RANK.AVG(K1342,$K$19:$K$1518,1)-1)/($G$13-1)*100))</f>
        <v/>
      </c>
      <c r="P1342" s="11">
        <f>IF(L1342="","",100-IF($G$14=1,50,(_xlfn.RANK.AVG(L1342,$L$19:$L$1518,1)-1)/($G$14-1)*100))</f>
        <v/>
      </c>
      <c r="Q1342" s="11">
        <f>IF(M1342="","",IF($G$15=1,50,(_xlfn.RANK.AVG(M1342,$M$19:$M$1518,1)-1)/($G$15-1)*100))</f>
        <v/>
      </c>
      <c r="R1342" s="11">
        <f>IF(N1342="","",IF($G$16=1,50,(_xlfn.RANK.AVG(N1342,$N$19:$N$1518,1)-1)/($G$16-1)*100))</f>
        <v/>
      </c>
      <c r="S1342" s="11">
        <f>IF(COUNT(O1342:R1342)=4,ROUND(AVERAGE(O1342:R1342),6),"")</f>
        <v/>
      </c>
      <c r="U1342">
        <f>IF(AND(ISNUMBER('자료_한국심리'!$A1326),ISNUMBER('자료_한국심리'!$B1326)),'자료_한국심리'!$A1326,"")</f>
        <v/>
      </c>
      <c r="V1342">
        <f>IF(AND(ISNUMBER('자료_한국심리'!$D1326),ISNUMBER('자료_한국심리'!$E1326)),'자료_한국심리'!$D1326,"")</f>
        <v/>
      </c>
      <c r="W1342">
        <f>IF(AND(ISNUMBER('자료_한국심리'!$G1326),ISNUMBER('자료_한국심리'!$H1326)),'자료_한국심리'!$G1326,"")</f>
        <v/>
      </c>
      <c r="X1342">
        <f>IF(AND(ISNUMBER('자료_한국심리'!$J1326),ISNUMBER('자료_한국심리'!$K1326)),'자료_한국심리'!$J1326,"")</f>
        <v/>
      </c>
      <c r="Y1342">
        <f>IF(AND(ISNUMBER('자료_한국심리'!$M1326),ISNUMBER('자료_한국심리'!$N1326)),'자료_한국심리'!$M1326,"")</f>
        <v/>
      </c>
    </row>
    <row r="1343">
      <c r="A1343" s="10">
        <f>IF(1325&gt;$E$5,"",SMALL($U$19:$U$4018,$E$6+1325))</f>
        <v/>
      </c>
      <c r="B1343" s="29">
        <f>IF(A1343="","",INDEX('자료_한국심리'!$B$3:$B$4002,MATCH(A1343,$U$19:$U$4018,0)))</f>
        <v/>
      </c>
      <c r="C1343" s="22">
        <f>IF(A1343="","",B1343/AVERAGE(B1219:B1343)-1)</f>
        <v/>
      </c>
      <c r="D1343" s="29">
        <f>IF(A1343="","",IFERROR(INDEX('자료_한국심리'!$E$3:$E$4002,MATCH(A1343,$V$19:$V$4018,0)),D1342))</f>
        <v/>
      </c>
      <c r="E1343" s="30">
        <f>IF(A1343="","",IFERROR(INDEX('자료_한국심리'!$H$3:$H$4002,MATCH(A1343,$W$19:$W$4018,0)),E1342))</f>
        <v/>
      </c>
      <c r="F1343" s="30">
        <f>IF(A1343="","",IFERROR(INDEX('자료_한국심리'!$K$3:$K$4002,MATCH(A1343,$X$19:$X$4018,0)),F1342))</f>
        <v/>
      </c>
      <c r="G1343" s="30">
        <f>IF(AND(ISNUMBER(E1343),ISNUMBER(F1343)),ROUND(E1343-F1343,6),"")</f>
        <v/>
      </c>
      <c r="H1343" s="25">
        <f>IF(A1343="","",IFERROR(INDEX('자료_한국심리'!$N$3:$N$4002,MATCH(A1343,$Y$19:$Y$4018,0)),H1342))</f>
        <v/>
      </c>
      <c r="I1343" s="31">
        <f>IF(AND(ISNUMBER(H1343),ISNUMBER(H1323)),IF(H1323&gt;0,H1343/H1323-1,""),"")</f>
        <v/>
      </c>
      <c r="J1343">
        <f>IF(A1343="",0,IF(A1343&gt;$B$5,1,0))</f>
        <v/>
      </c>
      <c r="K1343" s="29">
        <f>IF(AND(J1343=1,ISNUMBER(D1343)),D1343,"")</f>
        <v/>
      </c>
      <c r="L1343" s="30">
        <f>IF(AND(J1343=1,ISNUMBER(G1343)),G1343,"")</f>
        <v/>
      </c>
      <c r="M1343" s="22">
        <f>IF(AND(J1343=1,ISNUMBER(C1343)),C1343,"")</f>
        <v/>
      </c>
      <c r="N1343" s="31">
        <f>IF(AND(J1343=1,ISNUMBER(I1343)),I1343,"")</f>
        <v/>
      </c>
      <c r="O1343" s="11">
        <f>IF(K1343="","",100-IF($G$13=1,50,(_xlfn.RANK.AVG(K1343,$K$19:$K$1518,1)-1)/($G$13-1)*100))</f>
        <v/>
      </c>
      <c r="P1343" s="11">
        <f>IF(L1343="","",100-IF($G$14=1,50,(_xlfn.RANK.AVG(L1343,$L$19:$L$1518,1)-1)/($G$14-1)*100))</f>
        <v/>
      </c>
      <c r="Q1343" s="11">
        <f>IF(M1343="","",IF($G$15=1,50,(_xlfn.RANK.AVG(M1343,$M$19:$M$1518,1)-1)/($G$15-1)*100))</f>
        <v/>
      </c>
      <c r="R1343" s="11">
        <f>IF(N1343="","",IF($G$16=1,50,(_xlfn.RANK.AVG(N1343,$N$19:$N$1518,1)-1)/($G$16-1)*100))</f>
        <v/>
      </c>
      <c r="S1343" s="11">
        <f>IF(COUNT(O1343:R1343)=4,ROUND(AVERAGE(O1343:R1343),6),"")</f>
        <v/>
      </c>
      <c r="U1343">
        <f>IF(AND(ISNUMBER('자료_한국심리'!$A1327),ISNUMBER('자료_한국심리'!$B1327)),'자료_한국심리'!$A1327,"")</f>
        <v/>
      </c>
      <c r="V1343">
        <f>IF(AND(ISNUMBER('자료_한국심리'!$D1327),ISNUMBER('자료_한국심리'!$E1327)),'자료_한국심리'!$D1327,"")</f>
        <v/>
      </c>
      <c r="W1343">
        <f>IF(AND(ISNUMBER('자료_한국심리'!$G1327),ISNUMBER('자료_한국심리'!$H1327)),'자료_한국심리'!$G1327,"")</f>
        <v/>
      </c>
      <c r="X1343">
        <f>IF(AND(ISNUMBER('자료_한국심리'!$J1327),ISNUMBER('자료_한국심리'!$K1327)),'자료_한국심리'!$J1327,"")</f>
        <v/>
      </c>
      <c r="Y1343">
        <f>IF(AND(ISNUMBER('자료_한국심리'!$M1327),ISNUMBER('자료_한국심리'!$N1327)),'자료_한국심리'!$M1327,"")</f>
        <v/>
      </c>
    </row>
    <row r="1344">
      <c r="A1344" s="10">
        <f>IF(1326&gt;$E$5,"",SMALL($U$19:$U$4018,$E$6+1326))</f>
        <v/>
      </c>
      <c r="B1344" s="29">
        <f>IF(A1344="","",INDEX('자료_한국심리'!$B$3:$B$4002,MATCH(A1344,$U$19:$U$4018,0)))</f>
        <v/>
      </c>
      <c r="C1344" s="22">
        <f>IF(A1344="","",B1344/AVERAGE(B1220:B1344)-1)</f>
        <v/>
      </c>
      <c r="D1344" s="29">
        <f>IF(A1344="","",IFERROR(INDEX('자료_한국심리'!$E$3:$E$4002,MATCH(A1344,$V$19:$V$4018,0)),D1343))</f>
        <v/>
      </c>
      <c r="E1344" s="30">
        <f>IF(A1344="","",IFERROR(INDEX('자료_한국심리'!$H$3:$H$4002,MATCH(A1344,$W$19:$W$4018,0)),E1343))</f>
        <v/>
      </c>
      <c r="F1344" s="30">
        <f>IF(A1344="","",IFERROR(INDEX('자료_한국심리'!$K$3:$K$4002,MATCH(A1344,$X$19:$X$4018,0)),F1343))</f>
        <v/>
      </c>
      <c r="G1344" s="30">
        <f>IF(AND(ISNUMBER(E1344),ISNUMBER(F1344)),ROUND(E1344-F1344,6),"")</f>
        <v/>
      </c>
      <c r="H1344" s="25">
        <f>IF(A1344="","",IFERROR(INDEX('자료_한국심리'!$N$3:$N$4002,MATCH(A1344,$Y$19:$Y$4018,0)),H1343))</f>
        <v/>
      </c>
      <c r="I1344" s="31">
        <f>IF(AND(ISNUMBER(H1344),ISNUMBER(H1324)),IF(H1324&gt;0,H1344/H1324-1,""),"")</f>
        <v/>
      </c>
      <c r="J1344">
        <f>IF(A1344="",0,IF(A1344&gt;$B$5,1,0))</f>
        <v/>
      </c>
      <c r="K1344" s="29">
        <f>IF(AND(J1344=1,ISNUMBER(D1344)),D1344,"")</f>
        <v/>
      </c>
      <c r="L1344" s="30">
        <f>IF(AND(J1344=1,ISNUMBER(G1344)),G1344,"")</f>
        <v/>
      </c>
      <c r="M1344" s="22">
        <f>IF(AND(J1344=1,ISNUMBER(C1344)),C1344,"")</f>
        <v/>
      </c>
      <c r="N1344" s="31">
        <f>IF(AND(J1344=1,ISNUMBER(I1344)),I1344,"")</f>
        <v/>
      </c>
      <c r="O1344" s="11">
        <f>IF(K1344="","",100-IF($G$13=1,50,(_xlfn.RANK.AVG(K1344,$K$19:$K$1518,1)-1)/($G$13-1)*100))</f>
        <v/>
      </c>
      <c r="P1344" s="11">
        <f>IF(L1344="","",100-IF($G$14=1,50,(_xlfn.RANK.AVG(L1344,$L$19:$L$1518,1)-1)/($G$14-1)*100))</f>
        <v/>
      </c>
      <c r="Q1344" s="11">
        <f>IF(M1344="","",IF($G$15=1,50,(_xlfn.RANK.AVG(M1344,$M$19:$M$1518,1)-1)/($G$15-1)*100))</f>
        <v/>
      </c>
      <c r="R1344" s="11">
        <f>IF(N1344="","",IF($G$16=1,50,(_xlfn.RANK.AVG(N1344,$N$19:$N$1518,1)-1)/($G$16-1)*100))</f>
        <v/>
      </c>
      <c r="S1344" s="11">
        <f>IF(COUNT(O1344:R1344)=4,ROUND(AVERAGE(O1344:R1344),6),"")</f>
        <v/>
      </c>
      <c r="U1344">
        <f>IF(AND(ISNUMBER('자료_한국심리'!$A1328),ISNUMBER('자료_한국심리'!$B1328)),'자료_한국심리'!$A1328,"")</f>
        <v/>
      </c>
      <c r="V1344">
        <f>IF(AND(ISNUMBER('자료_한국심리'!$D1328),ISNUMBER('자료_한국심리'!$E1328)),'자료_한국심리'!$D1328,"")</f>
        <v/>
      </c>
      <c r="W1344">
        <f>IF(AND(ISNUMBER('자료_한국심리'!$G1328),ISNUMBER('자료_한국심리'!$H1328)),'자료_한국심리'!$G1328,"")</f>
        <v/>
      </c>
      <c r="X1344">
        <f>IF(AND(ISNUMBER('자료_한국심리'!$J1328),ISNUMBER('자료_한국심리'!$K1328)),'자료_한국심리'!$J1328,"")</f>
        <v/>
      </c>
      <c r="Y1344">
        <f>IF(AND(ISNUMBER('자료_한국심리'!$M1328),ISNUMBER('자료_한국심리'!$N1328)),'자료_한국심리'!$M1328,"")</f>
        <v/>
      </c>
    </row>
    <row r="1345">
      <c r="A1345" s="10">
        <f>IF(1327&gt;$E$5,"",SMALL($U$19:$U$4018,$E$6+1327))</f>
        <v/>
      </c>
      <c r="B1345" s="29">
        <f>IF(A1345="","",INDEX('자료_한국심리'!$B$3:$B$4002,MATCH(A1345,$U$19:$U$4018,0)))</f>
        <v/>
      </c>
      <c r="C1345" s="22">
        <f>IF(A1345="","",B1345/AVERAGE(B1221:B1345)-1)</f>
        <v/>
      </c>
      <c r="D1345" s="29">
        <f>IF(A1345="","",IFERROR(INDEX('자료_한국심리'!$E$3:$E$4002,MATCH(A1345,$V$19:$V$4018,0)),D1344))</f>
        <v/>
      </c>
      <c r="E1345" s="30">
        <f>IF(A1345="","",IFERROR(INDEX('자료_한국심리'!$H$3:$H$4002,MATCH(A1345,$W$19:$W$4018,0)),E1344))</f>
        <v/>
      </c>
      <c r="F1345" s="30">
        <f>IF(A1345="","",IFERROR(INDEX('자료_한국심리'!$K$3:$K$4002,MATCH(A1345,$X$19:$X$4018,0)),F1344))</f>
        <v/>
      </c>
      <c r="G1345" s="30">
        <f>IF(AND(ISNUMBER(E1345),ISNUMBER(F1345)),ROUND(E1345-F1345,6),"")</f>
        <v/>
      </c>
      <c r="H1345" s="25">
        <f>IF(A1345="","",IFERROR(INDEX('자료_한국심리'!$N$3:$N$4002,MATCH(A1345,$Y$19:$Y$4018,0)),H1344))</f>
        <v/>
      </c>
      <c r="I1345" s="31">
        <f>IF(AND(ISNUMBER(H1345),ISNUMBER(H1325)),IF(H1325&gt;0,H1345/H1325-1,""),"")</f>
        <v/>
      </c>
      <c r="J1345">
        <f>IF(A1345="",0,IF(A1345&gt;$B$5,1,0))</f>
        <v/>
      </c>
      <c r="K1345" s="29">
        <f>IF(AND(J1345=1,ISNUMBER(D1345)),D1345,"")</f>
        <v/>
      </c>
      <c r="L1345" s="30">
        <f>IF(AND(J1345=1,ISNUMBER(G1345)),G1345,"")</f>
        <v/>
      </c>
      <c r="M1345" s="22">
        <f>IF(AND(J1345=1,ISNUMBER(C1345)),C1345,"")</f>
        <v/>
      </c>
      <c r="N1345" s="31">
        <f>IF(AND(J1345=1,ISNUMBER(I1345)),I1345,"")</f>
        <v/>
      </c>
      <c r="O1345" s="11">
        <f>IF(K1345="","",100-IF($G$13=1,50,(_xlfn.RANK.AVG(K1345,$K$19:$K$1518,1)-1)/($G$13-1)*100))</f>
        <v/>
      </c>
      <c r="P1345" s="11">
        <f>IF(L1345="","",100-IF($G$14=1,50,(_xlfn.RANK.AVG(L1345,$L$19:$L$1518,1)-1)/($G$14-1)*100))</f>
        <v/>
      </c>
      <c r="Q1345" s="11">
        <f>IF(M1345="","",IF($G$15=1,50,(_xlfn.RANK.AVG(M1345,$M$19:$M$1518,1)-1)/($G$15-1)*100))</f>
        <v/>
      </c>
      <c r="R1345" s="11">
        <f>IF(N1345="","",IF($G$16=1,50,(_xlfn.RANK.AVG(N1345,$N$19:$N$1518,1)-1)/($G$16-1)*100))</f>
        <v/>
      </c>
      <c r="S1345" s="11">
        <f>IF(COUNT(O1345:R1345)=4,ROUND(AVERAGE(O1345:R1345),6),"")</f>
        <v/>
      </c>
      <c r="U1345">
        <f>IF(AND(ISNUMBER('자료_한국심리'!$A1329),ISNUMBER('자료_한국심리'!$B1329)),'자료_한국심리'!$A1329,"")</f>
        <v/>
      </c>
      <c r="V1345">
        <f>IF(AND(ISNUMBER('자료_한국심리'!$D1329),ISNUMBER('자료_한국심리'!$E1329)),'자료_한국심리'!$D1329,"")</f>
        <v/>
      </c>
      <c r="W1345">
        <f>IF(AND(ISNUMBER('자료_한국심리'!$G1329),ISNUMBER('자료_한국심리'!$H1329)),'자료_한국심리'!$G1329,"")</f>
        <v/>
      </c>
      <c r="X1345">
        <f>IF(AND(ISNUMBER('자료_한국심리'!$J1329),ISNUMBER('자료_한국심리'!$K1329)),'자료_한국심리'!$J1329,"")</f>
        <v/>
      </c>
      <c r="Y1345">
        <f>IF(AND(ISNUMBER('자료_한국심리'!$M1329),ISNUMBER('자료_한국심리'!$N1329)),'자료_한국심리'!$M1329,"")</f>
        <v/>
      </c>
    </row>
    <row r="1346">
      <c r="A1346" s="10">
        <f>IF(1328&gt;$E$5,"",SMALL($U$19:$U$4018,$E$6+1328))</f>
        <v/>
      </c>
      <c r="B1346" s="29">
        <f>IF(A1346="","",INDEX('자료_한국심리'!$B$3:$B$4002,MATCH(A1346,$U$19:$U$4018,0)))</f>
        <v/>
      </c>
      <c r="C1346" s="22">
        <f>IF(A1346="","",B1346/AVERAGE(B1222:B1346)-1)</f>
        <v/>
      </c>
      <c r="D1346" s="29">
        <f>IF(A1346="","",IFERROR(INDEX('자료_한국심리'!$E$3:$E$4002,MATCH(A1346,$V$19:$V$4018,0)),D1345))</f>
        <v/>
      </c>
      <c r="E1346" s="30">
        <f>IF(A1346="","",IFERROR(INDEX('자료_한국심리'!$H$3:$H$4002,MATCH(A1346,$W$19:$W$4018,0)),E1345))</f>
        <v/>
      </c>
      <c r="F1346" s="30">
        <f>IF(A1346="","",IFERROR(INDEX('자료_한국심리'!$K$3:$K$4002,MATCH(A1346,$X$19:$X$4018,0)),F1345))</f>
        <v/>
      </c>
      <c r="G1346" s="30">
        <f>IF(AND(ISNUMBER(E1346),ISNUMBER(F1346)),ROUND(E1346-F1346,6),"")</f>
        <v/>
      </c>
      <c r="H1346" s="25">
        <f>IF(A1346="","",IFERROR(INDEX('자료_한국심리'!$N$3:$N$4002,MATCH(A1346,$Y$19:$Y$4018,0)),H1345))</f>
        <v/>
      </c>
      <c r="I1346" s="31">
        <f>IF(AND(ISNUMBER(H1346),ISNUMBER(H1326)),IF(H1326&gt;0,H1346/H1326-1,""),"")</f>
        <v/>
      </c>
      <c r="J1346">
        <f>IF(A1346="",0,IF(A1346&gt;$B$5,1,0))</f>
        <v/>
      </c>
      <c r="K1346" s="29">
        <f>IF(AND(J1346=1,ISNUMBER(D1346)),D1346,"")</f>
        <v/>
      </c>
      <c r="L1346" s="30">
        <f>IF(AND(J1346=1,ISNUMBER(G1346)),G1346,"")</f>
        <v/>
      </c>
      <c r="M1346" s="22">
        <f>IF(AND(J1346=1,ISNUMBER(C1346)),C1346,"")</f>
        <v/>
      </c>
      <c r="N1346" s="31">
        <f>IF(AND(J1346=1,ISNUMBER(I1346)),I1346,"")</f>
        <v/>
      </c>
      <c r="O1346" s="11">
        <f>IF(K1346="","",100-IF($G$13=1,50,(_xlfn.RANK.AVG(K1346,$K$19:$K$1518,1)-1)/($G$13-1)*100))</f>
        <v/>
      </c>
      <c r="P1346" s="11">
        <f>IF(L1346="","",100-IF($G$14=1,50,(_xlfn.RANK.AVG(L1346,$L$19:$L$1518,1)-1)/($G$14-1)*100))</f>
        <v/>
      </c>
      <c r="Q1346" s="11">
        <f>IF(M1346="","",IF($G$15=1,50,(_xlfn.RANK.AVG(M1346,$M$19:$M$1518,1)-1)/($G$15-1)*100))</f>
        <v/>
      </c>
      <c r="R1346" s="11">
        <f>IF(N1346="","",IF($G$16=1,50,(_xlfn.RANK.AVG(N1346,$N$19:$N$1518,1)-1)/($G$16-1)*100))</f>
        <v/>
      </c>
      <c r="S1346" s="11">
        <f>IF(COUNT(O1346:R1346)=4,ROUND(AVERAGE(O1346:R1346),6),"")</f>
        <v/>
      </c>
      <c r="U1346">
        <f>IF(AND(ISNUMBER('자료_한국심리'!$A1330),ISNUMBER('자료_한국심리'!$B1330)),'자료_한국심리'!$A1330,"")</f>
        <v/>
      </c>
      <c r="V1346">
        <f>IF(AND(ISNUMBER('자료_한국심리'!$D1330),ISNUMBER('자료_한국심리'!$E1330)),'자료_한국심리'!$D1330,"")</f>
        <v/>
      </c>
      <c r="W1346">
        <f>IF(AND(ISNUMBER('자료_한국심리'!$G1330),ISNUMBER('자료_한국심리'!$H1330)),'자료_한국심리'!$G1330,"")</f>
        <v/>
      </c>
      <c r="X1346">
        <f>IF(AND(ISNUMBER('자료_한국심리'!$J1330),ISNUMBER('자료_한국심리'!$K1330)),'자료_한국심리'!$J1330,"")</f>
        <v/>
      </c>
      <c r="Y1346">
        <f>IF(AND(ISNUMBER('자료_한국심리'!$M1330),ISNUMBER('자료_한국심리'!$N1330)),'자료_한국심리'!$M1330,"")</f>
        <v/>
      </c>
    </row>
    <row r="1347">
      <c r="A1347" s="10">
        <f>IF(1329&gt;$E$5,"",SMALL($U$19:$U$4018,$E$6+1329))</f>
        <v/>
      </c>
      <c r="B1347" s="29">
        <f>IF(A1347="","",INDEX('자료_한국심리'!$B$3:$B$4002,MATCH(A1347,$U$19:$U$4018,0)))</f>
        <v/>
      </c>
      <c r="C1347" s="22">
        <f>IF(A1347="","",B1347/AVERAGE(B1223:B1347)-1)</f>
        <v/>
      </c>
      <c r="D1347" s="29">
        <f>IF(A1347="","",IFERROR(INDEX('자료_한국심리'!$E$3:$E$4002,MATCH(A1347,$V$19:$V$4018,0)),D1346))</f>
        <v/>
      </c>
      <c r="E1347" s="30">
        <f>IF(A1347="","",IFERROR(INDEX('자료_한국심리'!$H$3:$H$4002,MATCH(A1347,$W$19:$W$4018,0)),E1346))</f>
        <v/>
      </c>
      <c r="F1347" s="30">
        <f>IF(A1347="","",IFERROR(INDEX('자료_한국심리'!$K$3:$K$4002,MATCH(A1347,$X$19:$X$4018,0)),F1346))</f>
        <v/>
      </c>
      <c r="G1347" s="30">
        <f>IF(AND(ISNUMBER(E1347),ISNUMBER(F1347)),ROUND(E1347-F1347,6),"")</f>
        <v/>
      </c>
      <c r="H1347" s="25">
        <f>IF(A1347="","",IFERROR(INDEX('자료_한국심리'!$N$3:$N$4002,MATCH(A1347,$Y$19:$Y$4018,0)),H1346))</f>
        <v/>
      </c>
      <c r="I1347" s="31">
        <f>IF(AND(ISNUMBER(H1347),ISNUMBER(H1327)),IF(H1327&gt;0,H1347/H1327-1,""),"")</f>
        <v/>
      </c>
      <c r="J1347">
        <f>IF(A1347="",0,IF(A1347&gt;$B$5,1,0))</f>
        <v/>
      </c>
      <c r="K1347" s="29">
        <f>IF(AND(J1347=1,ISNUMBER(D1347)),D1347,"")</f>
        <v/>
      </c>
      <c r="L1347" s="30">
        <f>IF(AND(J1347=1,ISNUMBER(G1347)),G1347,"")</f>
        <v/>
      </c>
      <c r="M1347" s="22">
        <f>IF(AND(J1347=1,ISNUMBER(C1347)),C1347,"")</f>
        <v/>
      </c>
      <c r="N1347" s="31">
        <f>IF(AND(J1347=1,ISNUMBER(I1347)),I1347,"")</f>
        <v/>
      </c>
      <c r="O1347" s="11">
        <f>IF(K1347="","",100-IF($G$13=1,50,(_xlfn.RANK.AVG(K1347,$K$19:$K$1518,1)-1)/($G$13-1)*100))</f>
        <v/>
      </c>
      <c r="P1347" s="11">
        <f>IF(L1347="","",100-IF($G$14=1,50,(_xlfn.RANK.AVG(L1347,$L$19:$L$1518,1)-1)/($G$14-1)*100))</f>
        <v/>
      </c>
      <c r="Q1347" s="11">
        <f>IF(M1347="","",IF($G$15=1,50,(_xlfn.RANK.AVG(M1347,$M$19:$M$1518,1)-1)/($G$15-1)*100))</f>
        <v/>
      </c>
      <c r="R1347" s="11">
        <f>IF(N1347="","",IF($G$16=1,50,(_xlfn.RANK.AVG(N1347,$N$19:$N$1518,1)-1)/($G$16-1)*100))</f>
        <v/>
      </c>
      <c r="S1347" s="11">
        <f>IF(COUNT(O1347:R1347)=4,ROUND(AVERAGE(O1347:R1347),6),"")</f>
        <v/>
      </c>
      <c r="U1347">
        <f>IF(AND(ISNUMBER('자료_한국심리'!$A1331),ISNUMBER('자료_한국심리'!$B1331)),'자료_한국심리'!$A1331,"")</f>
        <v/>
      </c>
      <c r="V1347">
        <f>IF(AND(ISNUMBER('자료_한국심리'!$D1331),ISNUMBER('자료_한국심리'!$E1331)),'자료_한국심리'!$D1331,"")</f>
        <v/>
      </c>
      <c r="W1347">
        <f>IF(AND(ISNUMBER('자료_한국심리'!$G1331),ISNUMBER('자료_한국심리'!$H1331)),'자료_한국심리'!$G1331,"")</f>
        <v/>
      </c>
      <c r="X1347">
        <f>IF(AND(ISNUMBER('자료_한국심리'!$J1331),ISNUMBER('자료_한국심리'!$K1331)),'자료_한국심리'!$J1331,"")</f>
        <v/>
      </c>
      <c r="Y1347">
        <f>IF(AND(ISNUMBER('자료_한국심리'!$M1331),ISNUMBER('자료_한국심리'!$N1331)),'자료_한국심리'!$M1331,"")</f>
        <v/>
      </c>
    </row>
    <row r="1348">
      <c r="A1348" s="10">
        <f>IF(1330&gt;$E$5,"",SMALL($U$19:$U$4018,$E$6+1330))</f>
        <v/>
      </c>
      <c r="B1348" s="29">
        <f>IF(A1348="","",INDEX('자료_한국심리'!$B$3:$B$4002,MATCH(A1348,$U$19:$U$4018,0)))</f>
        <v/>
      </c>
      <c r="C1348" s="22">
        <f>IF(A1348="","",B1348/AVERAGE(B1224:B1348)-1)</f>
        <v/>
      </c>
      <c r="D1348" s="29">
        <f>IF(A1348="","",IFERROR(INDEX('자료_한국심리'!$E$3:$E$4002,MATCH(A1348,$V$19:$V$4018,0)),D1347))</f>
        <v/>
      </c>
      <c r="E1348" s="30">
        <f>IF(A1348="","",IFERROR(INDEX('자료_한국심리'!$H$3:$H$4002,MATCH(A1348,$W$19:$W$4018,0)),E1347))</f>
        <v/>
      </c>
      <c r="F1348" s="30">
        <f>IF(A1348="","",IFERROR(INDEX('자료_한국심리'!$K$3:$K$4002,MATCH(A1348,$X$19:$X$4018,0)),F1347))</f>
        <v/>
      </c>
      <c r="G1348" s="30">
        <f>IF(AND(ISNUMBER(E1348),ISNUMBER(F1348)),ROUND(E1348-F1348,6),"")</f>
        <v/>
      </c>
      <c r="H1348" s="25">
        <f>IF(A1348="","",IFERROR(INDEX('자료_한국심리'!$N$3:$N$4002,MATCH(A1348,$Y$19:$Y$4018,0)),H1347))</f>
        <v/>
      </c>
      <c r="I1348" s="31">
        <f>IF(AND(ISNUMBER(H1348),ISNUMBER(H1328)),IF(H1328&gt;0,H1348/H1328-1,""),"")</f>
        <v/>
      </c>
      <c r="J1348">
        <f>IF(A1348="",0,IF(A1348&gt;$B$5,1,0))</f>
        <v/>
      </c>
      <c r="K1348" s="29">
        <f>IF(AND(J1348=1,ISNUMBER(D1348)),D1348,"")</f>
        <v/>
      </c>
      <c r="L1348" s="30">
        <f>IF(AND(J1348=1,ISNUMBER(G1348)),G1348,"")</f>
        <v/>
      </c>
      <c r="M1348" s="22">
        <f>IF(AND(J1348=1,ISNUMBER(C1348)),C1348,"")</f>
        <v/>
      </c>
      <c r="N1348" s="31">
        <f>IF(AND(J1348=1,ISNUMBER(I1348)),I1348,"")</f>
        <v/>
      </c>
      <c r="O1348" s="11">
        <f>IF(K1348="","",100-IF($G$13=1,50,(_xlfn.RANK.AVG(K1348,$K$19:$K$1518,1)-1)/($G$13-1)*100))</f>
        <v/>
      </c>
      <c r="P1348" s="11">
        <f>IF(L1348="","",100-IF($G$14=1,50,(_xlfn.RANK.AVG(L1348,$L$19:$L$1518,1)-1)/($G$14-1)*100))</f>
        <v/>
      </c>
      <c r="Q1348" s="11">
        <f>IF(M1348="","",IF($G$15=1,50,(_xlfn.RANK.AVG(M1348,$M$19:$M$1518,1)-1)/($G$15-1)*100))</f>
        <v/>
      </c>
      <c r="R1348" s="11">
        <f>IF(N1348="","",IF($G$16=1,50,(_xlfn.RANK.AVG(N1348,$N$19:$N$1518,1)-1)/($G$16-1)*100))</f>
        <v/>
      </c>
      <c r="S1348" s="11">
        <f>IF(COUNT(O1348:R1348)=4,ROUND(AVERAGE(O1348:R1348),6),"")</f>
        <v/>
      </c>
      <c r="U1348">
        <f>IF(AND(ISNUMBER('자료_한국심리'!$A1332),ISNUMBER('자료_한국심리'!$B1332)),'자료_한국심리'!$A1332,"")</f>
        <v/>
      </c>
      <c r="V1348">
        <f>IF(AND(ISNUMBER('자료_한국심리'!$D1332),ISNUMBER('자료_한국심리'!$E1332)),'자료_한국심리'!$D1332,"")</f>
        <v/>
      </c>
      <c r="W1348">
        <f>IF(AND(ISNUMBER('자료_한국심리'!$G1332),ISNUMBER('자료_한국심리'!$H1332)),'자료_한국심리'!$G1332,"")</f>
        <v/>
      </c>
      <c r="X1348">
        <f>IF(AND(ISNUMBER('자료_한국심리'!$J1332),ISNUMBER('자료_한국심리'!$K1332)),'자료_한국심리'!$J1332,"")</f>
        <v/>
      </c>
      <c r="Y1348">
        <f>IF(AND(ISNUMBER('자료_한국심리'!$M1332),ISNUMBER('자료_한국심리'!$N1332)),'자료_한국심리'!$M1332,"")</f>
        <v/>
      </c>
    </row>
    <row r="1349">
      <c r="A1349" s="10">
        <f>IF(1331&gt;$E$5,"",SMALL($U$19:$U$4018,$E$6+1331))</f>
        <v/>
      </c>
      <c r="B1349" s="29">
        <f>IF(A1349="","",INDEX('자료_한국심리'!$B$3:$B$4002,MATCH(A1349,$U$19:$U$4018,0)))</f>
        <v/>
      </c>
      <c r="C1349" s="22">
        <f>IF(A1349="","",B1349/AVERAGE(B1225:B1349)-1)</f>
        <v/>
      </c>
      <c r="D1349" s="29">
        <f>IF(A1349="","",IFERROR(INDEX('자료_한국심리'!$E$3:$E$4002,MATCH(A1349,$V$19:$V$4018,0)),D1348))</f>
        <v/>
      </c>
      <c r="E1349" s="30">
        <f>IF(A1349="","",IFERROR(INDEX('자료_한국심리'!$H$3:$H$4002,MATCH(A1349,$W$19:$W$4018,0)),E1348))</f>
        <v/>
      </c>
      <c r="F1349" s="30">
        <f>IF(A1349="","",IFERROR(INDEX('자료_한국심리'!$K$3:$K$4002,MATCH(A1349,$X$19:$X$4018,0)),F1348))</f>
        <v/>
      </c>
      <c r="G1349" s="30">
        <f>IF(AND(ISNUMBER(E1349),ISNUMBER(F1349)),ROUND(E1349-F1349,6),"")</f>
        <v/>
      </c>
      <c r="H1349" s="25">
        <f>IF(A1349="","",IFERROR(INDEX('자료_한국심리'!$N$3:$N$4002,MATCH(A1349,$Y$19:$Y$4018,0)),H1348))</f>
        <v/>
      </c>
      <c r="I1349" s="31">
        <f>IF(AND(ISNUMBER(H1349),ISNUMBER(H1329)),IF(H1329&gt;0,H1349/H1329-1,""),"")</f>
        <v/>
      </c>
      <c r="J1349">
        <f>IF(A1349="",0,IF(A1349&gt;$B$5,1,0))</f>
        <v/>
      </c>
      <c r="K1349" s="29">
        <f>IF(AND(J1349=1,ISNUMBER(D1349)),D1349,"")</f>
        <v/>
      </c>
      <c r="L1349" s="30">
        <f>IF(AND(J1349=1,ISNUMBER(G1349)),G1349,"")</f>
        <v/>
      </c>
      <c r="M1349" s="22">
        <f>IF(AND(J1349=1,ISNUMBER(C1349)),C1349,"")</f>
        <v/>
      </c>
      <c r="N1349" s="31">
        <f>IF(AND(J1349=1,ISNUMBER(I1349)),I1349,"")</f>
        <v/>
      </c>
      <c r="O1349" s="11">
        <f>IF(K1349="","",100-IF($G$13=1,50,(_xlfn.RANK.AVG(K1349,$K$19:$K$1518,1)-1)/($G$13-1)*100))</f>
        <v/>
      </c>
      <c r="P1349" s="11">
        <f>IF(L1349="","",100-IF($G$14=1,50,(_xlfn.RANK.AVG(L1349,$L$19:$L$1518,1)-1)/($G$14-1)*100))</f>
        <v/>
      </c>
      <c r="Q1349" s="11">
        <f>IF(M1349="","",IF($G$15=1,50,(_xlfn.RANK.AVG(M1349,$M$19:$M$1518,1)-1)/($G$15-1)*100))</f>
        <v/>
      </c>
      <c r="R1349" s="11">
        <f>IF(N1349="","",IF($G$16=1,50,(_xlfn.RANK.AVG(N1349,$N$19:$N$1518,1)-1)/($G$16-1)*100))</f>
        <v/>
      </c>
      <c r="S1349" s="11">
        <f>IF(COUNT(O1349:R1349)=4,ROUND(AVERAGE(O1349:R1349),6),"")</f>
        <v/>
      </c>
      <c r="U1349">
        <f>IF(AND(ISNUMBER('자료_한국심리'!$A1333),ISNUMBER('자료_한국심리'!$B1333)),'자료_한국심리'!$A1333,"")</f>
        <v/>
      </c>
      <c r="V1349">
        <f>IF(AND(ISNUMBER('자료_한국심리'!$D1333),ISNUMBER('자료_한국심리'!$E1333)),'자료_한국심리'!$D1333,"")</f>
        <v/>
      </c>
      <c r="W1349">
        <f>IF(AND(ISNUMBER('자료_한국심리'!$G1333),ISNUMBER('자료_한국심리'!$H1333)),'자료_한국심리'!$G1333,"")</f>
        <v/>
      </c>
      <c r="X1349">
        <f>IF(AND(ISNUMBER('자료_한국심리'!$J1333),ISNUMBER('자료_한국심리'!$K1333)),'자료_한국심리'!$J1333,"")</f>
        <v/>
      </c>
      <c r="Y1349">
        <f>IF(AND(ISNUMBER('자료_한국심리'!$M1333),ISNUMBER('자료_한국심리'!$N1333)),'자료_한국심리'!$M1333,"")</f>
        <v/>
      </c>
    </row>
    <row r="1350">
      <c r="A1350" s="10">
        <f>IF(1332&gt;$E$5,"",SMALL($U$19:$U$4018,$E$6+1332))</f>
        <v/>
      </c>
      <c r="B1350" s="29">
        <f>IF(A1350="","",INDEX('자료_한국심리'!$B$3:$B$4002,MATCH(A1350,$U$19:$U$4018,0)))</f>
        <v/>
      </c>
      <c r="C1350" s="22">
        <f>IF(A1350="","",B1350/AVERAGE(B1226:B1350)-1)</f>
        <v/>
      </c>
      <c r="D1350" s="29">
        <f>IF(A1350="","",IFERROR(INDEX('자료_한국심리'!$E$3:$E$4002,MATCH(A1350,$V$19:$V$4018,0)),D1349))</f>
        <v/>
      </c>
      <c r="E1350" s="30">
        <f>IF(A1350="","",IFERROR(INDEX('자료_한국심리'!$H$3:$H$4002,MATCH(A1350,$W$19:$W$4018,0)),E1349))</f>
        <v/>
      </c>
      <c r="F1350" s="30">
        <f>IF(A1350="","",IFERROR(INDEX('자료_한국심리'!$K$3:$K$4002,MATCH(A1350,$X$19:$X$4018,0)),F1349))</f>
        <v/>
      </c>
      <c r="G1350" s="30">
        <f>IF(AND(ISNUMBER(E1350),ISNUMBER(F1350)),ROUND(E1350-F1350,6),"")</f>
        <v/>
      </c>
      <c r="H1350" s="25">
        <f>IF(A1350="","",IFERROR(INDEX('자료_한국심리'!$N$3:$N$4002,MATCH(A1350,$Y$19:$Y$4018,0)),H1349))</f>
        <v/>
      </c>
      <c r="I1350" s="31">
        <f>IF(AND(ISNUMBER(H1350),ISNUMBER(H1330)),IF(H1330&gt;0,H1350/H1330-1,""),"")</f>
        <v/>
      </c>
      <c r="J1350">
        <f>IF(A1350="",0,IF(A1350&gt;$B$5,1,0))</f>
        <v/>
      </c>
      <c r="K1350" s="29">
        <f>IF(AND(J1350=1,ISNUMBER(D1350)),D1350,"")</f>
        <v/>
      </c>
      <c r="L1350" s="30">
        <f>IF(AND(J1350=1,ISNUMBER(G1350)),G1350,"")</f>
        <v/>
      </c>
      <c r="M1350" s="22">
        <f>IF(AND(J1350=1,ISNUMBER(C1350)),C1350,"")</f>
        <v/>
      </c>
      <c r="N1350" s="31">
        <f>IF(AND(J1350=1,ISNUMBER(I1350)),I1350,"")</f>
        <v/>
      </c>
      <c r="O1350" s="11">
        <f>IF(K1350="","",100-IF($G$13=1,50,(_xlfn.RANK.AVG(K1350,$K$19:$K$1518,1)-1)/($G$13-1)*100))</f>
        <v/>
      </c>
      <c r="P1350" s="11">
        <f>IF(L1350="","",100-IF($G$14=1,50,(_xlfn.RANK.AVG(L1350,$L$19:$L$1518,1)-1)/($G$14-1)*100))</f>
        <v/>
      </c>
      <c r="Q1350" s="11">
        <f>IF(M1350="","",IF($G$15=1,50,(_xlfn.RANK.AVG(M1350,$M$19:$M$1518,1)-1)/($G$15-1)*100))</f>
        <v/>
      </c>
      <c r="R1350" s="11">
        <f>IF(N1350="","",IF($G$16=1,50,(_xlfn.RANK.AVG(N1350,$N$19:$N$1518,1)-1)/($G$16-1)*100))</f>
        <v/>
      </c>
      <c r="S1350" s="11">
        <f>IF(COUNT(O1350:R1350)=4,ROUND(AVERAGE(O1350:R1350),6),"")</f>
        <v/>
      </c>
      <c r="U1350">
        <f>IF(AND(ISNUMBER('자료_한국심리'!$A1334),ISNUMBER('자료_한국심리'!$B1334)),'자료_한국심리'!$A1334,"")</f>
        <v/>
      </c>
      <c r="V1350">
        <f>IF(AND(ISNUMBER('자료_한국심리'!$D1334),ISNUMBER('자료_한국심리'!$E1334)),'자료_한국심리'!$D1334,"")</f>
        <v/>
      </c>
      <c r="W1350">
        <f>IF(AND(ISNUMBER('자료_한국심리'!$G1334),ISNUMBER('자료_한국심리'!$H1334)),'자료_한국심리'!$G1334,"")</f>
        <v/>
      </c>
      <c r="X1350">
        <f>IF(AND(ISNUMBER('자료_한국심리'!$J1334),ISNUMBER('자료_한국심리'!$K1334)),'자료_한국심리'!$J1334,"")</f>
        <v/>
      </c>
      <c r="Y1350">
        <f>IF(AND(ISNUMBER('자료_한국심리'!$M1334),ISNUMBER('자료_한국심리'!$N1334)),'자료_한국심리'!$M1334,"")</f>
        <v/>
      </c>
    </row>
    <row r="1351">
      <c r="A1351" s="10">
        <f>IF(1333&gt;$E$5,"",SMALL($U$19:$U$4018,$E$6+1333))</f>
        <v/>
      </c>
      <c r="B1351" s="29">
        <f>IF(A1351="","",INDEX('자료_한국심리'!$B$3:$B$4002,MATCH(A1351,$U$19:$U$4018,0)))</f>
        <v/>
      </c>
      <c r="C1351" s="22">
        <f>IF(A1351="","",B1351/AVERAGE(B1227:B1351)-1)</f>
        <v/>
      </c>
      <c r="D1351" s="29">
        <f>IF(A1351="","",IFERROR(INDEX('자료_한국심리'!$E$3:$E$4002,MATCH(A1351,$V$19:$V$4018,0)),D1350))</f>
        <v/>
      </c>
      <c r="E1351" s="30">
        <f>IF(A1351="","",IFERROR(INDEX('자료_한국심리'!$H$3:$H$4002,MATCH(A1351,$W$19:$W$4018,0)),E1350))</f>
        <v/>
      </c>
      <c r="F1351" s="30">
        <f>IF(A1351="","",IFERROR(INDEX('자료_한국심리'!$K$3:$K$4002,MATCH(A1351,$X$19:$X$4018,0)),F1350))</f>
        <v/>
      </c>
      <c r="G1351" s="30">
        <f>IF(AND(ISNUMBER(E1351),ISNUMBER(F1351)),ROUND(E1351-F1351,6),"")</f>
        <v/>
      </c>
      <c r="H1351" s="25">
        <f>IF(A1351="","",IFERROR(INDEX('자료_한국심리'!$N$3:$N$4002,MATCH(A1351,$Y$19:$Y$4018,0)),H1350))</f>
        <v/>
      </c>
      <c r="I1351" s="31">
        <f>IF(AND(ISNUMBER(H1351),ISNUMBER(H1331)),IF(H1331&gt;0,H1351/H1331-1,""),"")</f>
        <v/>
      </c>
      <c r="J1351">
        <f>IF(A1351="",0,IF(A1351&gt;$B$5,1,0))</f>
        <v/>
      </c>
      <c r="K1351" s="29">
        <f>IF(AND(J1351=1,ISNUMBER(D1351)),D1351,"")</f>
        <v/>
      </c>
      <c r="L1351" s="30">
        <f>IF(AND(J1351=1,ISNUMBER(G1351)),G1351,"")</f>
        <v/>
      </c>
      <c r="M1351" s="22">
        <f>IF(AND(J1351=1,ISNUMBER(C1351)),C1351,"")</f>
        <v/>
      </c>
      <c r="N1351" s="31">
        <f>IF(AND(J1351=1,ISNUMBER(I1351)),I1351,"")</f>
        <v/>
      </c>
      <c r="O1351" s="11">
        <f>IF(K1351="","",100-IF($G$13=1,50,(_xlfn.RANK.AVG(K1351,$K$19:$K$1518,1)-1)/($G$13-1)*100))</f>
        <v/>
      </c>
      <c r="P1351" s="11">
        <f>IF(L1351="","",100-IF($G$14=1,50,(_xlfn.RANK.AVG(L1351,$L$19:$L$1518,1)-1)/($G$14-1)*100))</f>
        <v/>
      </c>
      <c r="Q1351" s="11">
        <f>IF(M1351="","",IF($G$15=1,50,(_xlfn.RANK.AVG(M1351,$M$19:$M$1518,1)-1)/($G$15-1)*100))</f>
        <v/>
      </c>
      <c r="R1351" s="11">
        <f>IF(N1351="","",IF($G$16=1,50,(_xlfn.RANK.AVG(N1351,$N$19:$N$1518,1)-1)/($G$16-1)*100))</f>
        <v/>
      </c>
      <c r="S1351" s="11">
        <f>IF(COUNT(O1351:R1351)=4,ROUND(AVERAGE(O1351:R1351),6),"")</f>
        <v/>
      </c>
      <c r="U1351">
        <f>IF(AND(ISNUMBER('자료_한국심리'!$A1335),ISNUMBER('자료_한국심리'!$B1335)),'자료_한국심리'!$A1335,"")</f>
        <v/>
      </c>
      <c r="V1351">
        <f>IF(AND(ISNUMBER('자료_한국심리'!$D1335),ISNUMBER('자료_한국심리'!$E1335)),'자료_한국심리'!$D1335,"")</f>
        <v/>
      </c>
      <c r="W1351">
        <f>IF(AND(ISNUMBER('자료_한국심리'!$G1335),ISNUMBER('자료_한국심리'!$H1335)),'자료_한국심리'!$G1335,"")</f>
        <v/>
      </c>
      <c r="X1351">
        <f>IF(AND(ISNUMBER('자료_한국심리'!$J1335),ISNUMBER('자료_한국심리'!$K1335)),'자료_한국심리'!$J1335,"")</f>
        <v/>
      </c>
      <c r="Y1351">
        <f>IF(AND(ISNUMBER('자료_한국심리'!$M1335),ISNUMBER('자료_한국심리'!$N1335)),'자료_한국심리'!$M1335,"")</f>
        <v/>
      </c>
    </row>
    <row r="1352">
      <c r="A1352" s="10">
        <f>IF(1334&gt;$E$5,"",SMALL($U$19:$U$4018,$E$6+1334))</f>
        <v/>
      </c>
      <c r="B1352" s="29">
        <f>IF(A1352="","",INDEX('자료_한국심리'!$B$3:$B$4002,MATCH(A1352,$U$19:$U$4018,0)))</f>
        <v/>
      </c>
      <c r="C1352" s="22">
        <f>IF(A1352="","",B1352/AVERAGE(B1228:B1352)-1)</f>
        <v/>
      </c>
      <c r="D1352" s="29">
        <f>IF(A1352="","",IFERROR(INDEX('자료_한국심리'!$E$3:$E$4002,MATCH(A1352,$V$19:$V$4018,0)),D1351))</f>
        <v/>
      </c>
      <c r="E1352" s="30">
        <f>IF(A1352="","",IFERROR(INDEX('자료_한국심리'!$H$3:$H$4002,MATCH(A1352,$W$19:$W$4018,0)),E1351))</f>
        <v/>
      </c>
      <c r="F1352" s="30">
        <f>IF(A1352="","",IFERROR(INDEX('자료_한국심리'!$K$3:$K$4002,MATCH(A1352,$X$19:$X$4018,0)),F1351))</f>
        <v/>
      </c>
      <c r="G1352" s="30">
        <f>IF(AND(ISNUMBER(E1352),ISNUMBER(F1352)),ROUND(E1352-F1352,6),"")</f>
        <v/>
      </c>
      <c r="H1352" s="25">
        <f>IF(A1352="","",IFERROR(INDEX('자료_한국심리'!$N$3:$N$4002,MATCH(A1352,$Y$19:$Y$4018,0)),H1351))</f>
        <v/>
      </c>
      <c r="I1352" s="31">
        <f>IF(AND(ISNUMBER(H1352),ISNUMBER(H1332)),IF(H1332&gt;0,H1352/H1332-1,""),"")</f>
        <v/>
      </c>
      <c r="J1352">
        <f>IF(A1352="",0,IF(A1352&gt;$B$5,1,0))</f>
        <v/>
      </c>
      <c r="K1352" s="29">
        <f>IF(AND(J1352=1,ISNUMBER(D1352)),D1352,"")</f>
        <v/>
      </c>
      <c r="L1352" s="30">
        <f>IF(AND(J1352=1,ISNUMBER(G1352)),G1352,"")</f>
        <v/>
      </c>
      <c r="M1352" s="22">
        <f>IF(AND(J1352=1,ISNUMBER(C1352)),C1352,"")</f>
        <v/>
      </c>
      <c r="N1352" s="31">
        <f>IF(AND(J1352=1,ISNUMBER(I1352)),I1352,"")</f>
        <v/>
      </c>
      <c r="O1352" s="11">
        <f>IF(K1352="","",100-IF($G$13=1,50,(_xlfn.RANK.AVG(K1352,$K$19:$K$1518,1)-1)/($G$13-1)*100))</f>
        <v/>
      </c>
      <c r="P1352" s="11">
        <f>IF(L1352="","",100-IF($G$14=1,50,(_xlfn.RANK.AVG(L1352,$L$19:$L$1518,1)-1)/($G$14-1)*100))</f>
        <v/>
      </c>
      <c r="Q1352" s="11">
        <f>IF(M1352="","",IF($G$15=1,50,(_xlfn.RANK.AVG(M1352,$M$19:$M$1518,1)-1)/($G$15-1)*100))</f>
        <v/>
      </c>
      <c r="R1352" s="11">
        <f>IF(N1352="","",IF($G$16=1,50,(_xlfn.RANK.AVG(N1352,$N$19:$N$1518,1)-1)/($G$16-1)*100))</f>
        <v/>
      </c>
      <c r="S1352" s="11">
        <f>IF(COUNT(O1352:R1352)=4,ROUND(AVERAGE(O1352:R1352),6),"")</f>
        <v/>
      </c>
      <c r="U1352">
        <f>IF(AND(ISNUMBER('자료_한국심리'!$A1336),ISNUMBER('자료_한국심리'!$B1336)),'자료_한국심리'!$A1336,"")</f>
        <v/>
      </c>
      <c r="V1352">
        <f>IF(AND(ISNUMBER('자료_한국심리'!$D1336),ISNUMBER('자료_한국심리'!$E1336)),'자료_한국심리'!$D1336,"")</f>
        <v/>
      </c>
      <c r="W1352">
        <f>IF(AND(ISNUMBER('자료_한국심리'!$G1336),ISNUMBER('자료_한국심리'!$H1336)),'자료_한국심리'!$G1336,"")</f>
        <v/>
      </c>
      <c r="X1352">
        <f>IF(AND(ISNUMBER('자료_한국심리'!$J1336),ISNUMBER('자료_한국심리'!$K1336)),'자료_한국심리'!$J1336,"")</f>
        <v/>
      </c>
      <c r="Y1352">
        <f>IF(AND(ISNUMBER('자료_한국심리'!$M1336),ISNUMBER('자료_한국심리'!$N1336)),'자료_한국심리'!$M1336,"")</f>
        <v/>
      </c>
    </row>
    <row r="1353">
      <c r="A1353" s="10">
        <f>IF(1335&gt;$E$5,"",SMALL($U$19:$U$4018,$E$6+1335))</f>
        <v/>
      </c>
      <c r="B1353" s="29">
        <f>IF(A1353="","",INDEX('자료_한국심리'!$B$3:$B$4002,MATCH(A1353,$U$19:$U$4018,0)))</f>
        <v/>
      </c>
      <c r="C1353" s="22">
        <f>IF(A1353="","",B1353/AVERAGE(B1229:B1353)-1)</f>
        <v/>
      </c>
      <c r="D1353" s="29">
        <f>IF(A1353="","",IFERROR(INDEX('자료_한국심리'!$E$3:$E$4002,MATCH(A1353,$V$19:$V$4018,0)),D1352))</f>
        <v/>
      </c>
      <c r="E1353" s="30">
        <f>IF(A1353="","",IFERROR(INDEX('자료_한국심리'!$H$3:$H$4002,MATCH(A1353,$W$19:$W$4018,0)),E1352))</f>
        <v/>
      </c>
      <c r="F1353" s="30">
        <f>IF(A1353="","",IFERROR(INDEX('자료_한국심리'!$K$3:$K$4002,MATCH(A1353,$X$19:$X$4018,0)),F1352))</f>
        <v/>
      </c>
      <c r="G1353" s="30">
        <f>IF(AND(ISNUMBER(E1353),ISNUMBER(F1353)),ROUND(E1353-F1353,6),"")</f>
        <v/>
      </c>
      <c r="H1353" s="25">
        <f>IF(A1353="","",IFERROR(INDEX('자료_한국심리'!$N$3:$N$4002,MATCH(A1353,$Y$19:$Y$4018,0)),H1352))</f>
        <v/>
      </c>
      <c r="I1353" s="31">
        <f>IF(AND(ISNUMBER(H1353),ISNUMBER(H1333)),IF(H1333&gt;0,H1353/H1333-1,""),"")</f>
        <v/>
      </c>
      <c r="J1353">
        <f>IF(A1353="",0,IF(A1353&gt;$B$5,1,0))</f>
        <v/>
      </c>
      <c r="K1353" s="29">
        <f>IF(AND(J1353=1,ISNUMBER(D1353)),D1353,"")</f>
        <v/>
      </c>
      <c r="L1353" s="30">
        <f>IF(AND(J1353=1,ISNUMBER(G1353)),G1353,"")</f>
        <v/>
      </c>
      <c r="M1353" s="22">
        <f>IF(AND(J1353=1,ISNUMBER(C1353)),C1353,"")</f>
        <v/>
      </c>
      <c r="N1353" s="31">
        <f>IF(AND(J1353=1,ISNUMBER(I1353)),I1353,"")</f>
        <v/>
      </c>
      <c r="O1353" s="11">
        <f>IF(K1353="","",100-IF($G$13=1,50,(_xlfn.RANK.AVG(K1353,$K$19:$K$1518,1)-1)/($G$13-1)*100))</f>
        <v/>
      </c>
      <c r="P1353" s="11">
        <f>IF(L1353="","",100-IF($G$14=1,50,(_xlfn.RANK.AVG(L1353,$L$19:$L$1518,1)-1)/($G$14-1)*100))</f>
        <v/>
      </c>
      <c r="Q1353" s="11">
        <f>IF(M1353="","",IF($G$15=1,50,(_xlfn.RANK.AVG(M1353,$M$19:$M$1518,1)-1)/($G$15-1)*100))</f>
        <v/>
      </c>
      <c r="R1353" s="11">
        <f>IF(N1353="","",IF($G$16=1,50,(_xlfn.RANK.AVG(N1353,$N$19:$N$1518,1)-1)/($G$16-1)*100))</f>
        <v/>
      </c>
      <c r="S1353" s="11">
        <f>IF(COUNT(O1353:R1353)=4,ROUND(AVERAGE(O1353:R1353),6),"")</f>
        <v/>
      </c>
      <c r="U1353">
        <f>IF(AND(ISNUMBER('자료_한국심리'!$A1337),ISNUMBER('자료_한국심리'!$B1337)),'자료_한국심리'!$A1337,"")</f>
        <v/>
      </c>
      <c r="V1353">
        <f>IF(AND(ISNUMBER('자료_한국심리'!$D1337),ISNUMBER('자료_한국심리'!$E1337)),'자료_한국심리'!$D1337,"")</f>
        <v/>
      </c>
      <c r="W1353">
        <f>IF(AND(ISNUMBER('자료_한국심리'!$G1337),ISNUMBER('자료_한국심리'!$H1337)),'자료_한국심리'!$G1337,"")</f>
        <v/>
      </c>
      <c r="X1353">
        <f>IF(AND(ISNUMBER('자료_한국심리'!$J1337),ISNUMBER('자료_한국심리'!$K1337)),'자료_한국심리'!$J1337,"")</f>
        <v/>
      </c>
      <c r="Y1353">
        <f>IF(AND(ISNUMBER('자료_한국심리'!$M1337),ISNUMBER('자료_한국심리'!$N1337)),'자료_한국심리'!$M1337,"")</f>
        <v/>
      </c>
    </row>
    <row r="1354">
      <c r="A1354" s="10">
        <f>IF(1336&gt;$E$5,"",SMALL($U$19:$U$4018,$E$6+1336))</f>
        <v/>
      </c>
      <c r="B1354" s="29">
        <f>IF(A1354="","",INDEX('자료_한국심리'!$B$3:$B$4002,MATCH(A1354,$U$19:$U$4018,0)))</f>
        <v/>
      </c>
      <c r="C1354" s="22">
        <f>IF(A1354="","",B1354/AVERAGE(B1230:B1354)-1)</f>
        <v/>
      </c>
      <c r="D1354" s="29">
        <f>IF(A1354="","",IFERROR(INDEX('자료_한국심리'!$E$3:$E$4002,MATCH(A1354,$V$19:$V$4018,0)),D1353))</f>
        <v/>
      </c>
      <c r="E1354" s="30">
        <f>IF(A1354="","",IFERROR(INDEX('자료_한국심리'!$H$3:$H$4002,MATCH(A1354,$W$19:$W$4018,0)),E1353))</f>
        <v/>
      </c>
      <c r="F1354" s="30">
        <f>IF(A1354="","",IFERROR(INDEX('자료_한국심리'!$K$3:$K$4002,MATCH(A1354,$X$19:$X$4018,0)),F1353))</f>
        <v/>
      </c>
      <c r="G1354" s="30">
        <f>IF(AND(ISNUMBER(E1354),ISNUMBER(F1354)),ROUND(E1354-F1354,6),"")</f>
        <v/>
      </c>
      <c r="H1354" s="25">
        <f>IF(A1354="","",IFERROR(INDEX('자료_한국심리'!$N$3:$N$4002,MATCH(A1354,$Y$19:$Y$4018,0)),H1353))</f>
        <v/>
      </c>
      <c r="I1354" s="31">
        <f>IF(AND(ISNUMBER(H1354),ISNUMBER(H1334)),IF(H1334&gt;0,H1354/H1334-1,""),"")</f>
        <v/>
      </c>
      <c r="J1354">
        <f>IF(A1354="",0,IF(A1354&gt;$B$5,1,0))</f>
        <v/>
      </c>
      <c r="K1354" s="29">
        <f>IF(AND(J1354=1,ISNUMBER(D1354)),D1354,"")</f>
        <v/>
      </c>
      <c r="L1354" s="30">
        <f>IF(AND(J1354=1,ISNUMBER(G1354)),G1354,"")</f>
        <v/>
      </c>
      <c r="M1354" s="22">
        <f>IF(AND(J1354=1,ISNUMBER(C1354)),C1354,"")</f>
        <v/>
      </c>
      <c r="N1354" s="31">
        <f>IF(AND(J1354=1,ISNUMBER(I1354)),I1354,"")</f>
        <v/>
      </c>
      <c r="O1354" s="11">
        <f>IF(K1354="","",100-IF($G$13=1,50,(_xlfn.RANK.AVG(K1354,$K$19:$K$1518,1)-1)/($G$13-1)*100))</f>
        <v/>
      </c>
      <c r="P1354" s="11">
        <f>IF(L1354="","",100-IF($G$14=1,50,(_xlfn.RANK.AVG(L1354,$L$19:$L$1518,1)-1)/($G$14-1)*100))</f>
        <v/>
      </c>
      <c r="Q1354" s="11">
        <f>IF(M1354="","",IF($G$15=1,50,(_xlfn.RANK.AVG(M1354,$M$19:$M$1518,1)-1)/($G$15-1)*100))</f>
        <v/>
      </c>
      <c r="R1354" s="11">
        <f>IF(N1354="","",IF($G$16=1,50,(_xlfn.RANK.AVG(N1354,$N$19:$N$1518,1)-1)/($G$16-1)*100))</f>
        <v/>
      </c>
      <c r="S1354" s="11">
        <f>IF(COUNT(O1354:R1354)=4,ROUND(AVERAGE(O1354:R1354),6),"")</f>
        <v/>
      </c>
      <c r="U1354">
        <f>IF(AND(ISNUMBER('자료_한국심리'!$A1338),ISNUMBER('자료_한국심리'!$B1338)),'자료_한국심리'!$A1338,"")</f>
        <v/>
      </c>
      <c r="V1354">
        <f>IF(AND(ISNUMBER('자료_한국심리'!$D1338),ISNUMBER('자료_한국심리'!$E1338)),'자료_한국심리'!$D1338,"")</f>
        <v/>
      </c>
      <c r="W1354">
        <f>IF(AND(ISNUMBER('자료_한국심리'!$G1338),ISNUMBER('자료_한국심리'!$H1338)),'자료_한국심리'!$G1338,"")</f>
        <v/>
      </c>
      <c r="X1354">
        <f>IF(AND(ISNUMBER('자료_한국심리'!$J1338),ISNUMBER('자료_한국심리'!$K1338)),'자료_한국심리'!$J1338,"")</f>
        <v/>
      </c>
      <c r="Y1354">
        <f>IF(AND(ISNUMBER('자료_한국심리'!$M1338),ISNUMBER('자료_한국심리'!$N1338)),'자료_한국심리'!$M1338,"")</f>
        <v/>
      </c>
    </row>
    <row r="1355">
      <c r="A1355" s="10">
        <f>IF(1337&gt;$E$5,"",SMALL($U$19:$U$4018,$E$6+1337))</f>
        <v/>
      </c>
      <c r="B1355" s="29">
        <f>IF(A1355="","",INDEX('자료_한국심리'!$B$3:$B$4002,MATCH(A1355,$U$19:$U$4018,0)))</f>
        <v/>
      </c>
      <c r="C1355" s="22">
        <f>IF(A1355="","",B1355/AVERAGE(B1231:B1355)-1)</f>
        <v/>
      </c>
      <c r="D1355" s="29">
        <f>IF(A1355="","",IFERROR(INDEX('자료_한국심리'!$E$3:$E$4002,MATCH(A1355,$V$19:$V$4018,0)),D1354))</f>
        <v/>
      </c>
      <c r="E1355" s="30">
        <f>IF(A1355="","",IFERROR(INDEX('자료_한국심리'!$H$3:$H$4002,MATCH(A1355,$W$19:$W$4018,0)),E1354))</f>
        <v/>
      </c>
      <c r="F1355" s="30">
        <f>IF(A1355="","",IFERROR(INDEX('자료_한국심리'!$K$3:$K$4002,MATCH(A1355,$X$19:$X$4018,0)),F1354))</f>
        <v/>
      </c>
      <c r="G1355" s="30">
        <f>IF(AND(ISNUMBER(E1355),ISNUMBER(F1355)),ROUND(E1355-F1355,6),"")</f>
        <v/>
      </c>
      <c r="H1355" s="25">
        <f>IF(A1355="","",IFERROR(INDEX('자료_한국심리'!$N$3:$N$4002,MATCH(A1355,$Y$19:$Y$4018,0)),H1354))</f>
        <v/>
      </c>
      <c r="I1355" s="31">
        <f>IF(AND(ISNUMBER(H1355),ISNUMBER(H1335)),IF(H1335&gt;0,H1355/H1335-1,""),"")</f>
        <v/>
      </c>
      <c r="J1355">
        <f>IF(A1355="",0,IF(A1355&gt;$B$5,1,0))</f>
        <v/>
      </c>
      <c r="K1355" s="29">
        <f>IF(AND(J1355=1,ISNUMBER(D1355)),D1355,"")</f>
        <v/>
      </c>
      <c r="L1355" s="30">
        <f>IF(AND(J1355=1,ISNUMBER(G1355)),G1355,"")</f>
        <v/>
      </c>
      <c r="M1355" s="22">
        <f>IF(AND(J1355=1,ISNUMBER(C1355)),C1355,"")</f>
        <v/>
      </c>
      <c r="N1355" s="31">
        <f>IF(AND(J1355=1,ISNUMBER(I1355)),I1355,"")</f>
        <v/>
      </c>
      <c r="O1355" s="11">
        <f>IF(K1355="","",100-IF($G$13=1,50,(_xlfn.RANK.AVG(K1355,$K$19:$K$1518,1)-1)/($G$13-1)*100))</f>
        <v/>
      </c>
      <c r="P1355" s="11">
        <f>IF(L1355="","",100-IF($G$14=1,50,(_xlfn.RANK.AVG(L1355,$L$19:$L$1518,1)-1)/($G$14-1)*100))</f>
        <v/>
      </c>
      <c r="Q1355" s="11">
        <f>IF(M1355="","",IF($G$15=1,50,(_xlfn.RANK.AVG(M1355,$M$19:$M$1518,1)-1)/($G$15-1)*100))</f>
        <v/>
      </c>
      <c r="R1355" s="11">
        <f>IF(N1355="","",IF($G$16=1,50,(_xlfn.RANK.AVG(N1355,$N$19:$N$1518,1)-1)/($G$16-1)*100))</f>
        <v/>
      </c>
      <c r="S1355" s="11">
        <f>IF(COUNT(O1355:R1355)=4,ROUND(AVERAGE(O1355:R1355),6),"")</f>
        <v/>
      </c>
      <c r="U1355">
        <f>IF(AND(ISNUMBER('자료_한국심리'!$A1339),ISNUMBER('자료_한국심리'!$B1339)),'자료_한국심리'!$A1339,"")</f>
        <v/>
      </c>
      <c r="V1355">
        <f>IF(AND(ISNUMBER('자료_한국심리'!$D1339),ISNUMBER('자료_한국심리'!$E1339)),'자료_한국심리'!$D1339,"")</f>
        <v/>
      </c>
      <c r="W1355">
        <f>IF(AND(ISNUMBER('자료_한국심리'!$G1339),ISNUMBER('자료_한국심리'!$H1339)),'자료_한국심리'!$G1339,"")</f>
        <v/>
      </c>
      <c r="X1355">
        <f>IF(AND(ISNUMBER('자료_한국심리'!$J1339),ISNUMBER('자료_한국심리'!$K1339)),'자료_한국심리'!$J1339,"")</f>
        <v/>
      </c>
      <c r="Y1355">
        <f>IF(AND(ISNUMBER('자료_한국심리'!$M1339),ISNUMBER('자료_한국심리'!$N1339)),'자료_한국심리'!$M1339,"")</f>
        <v/>
      </c>
    </row>
    <row r="1356">
      <c r="A1356" s="10">
        <f>IF(1338&gt;$E$5,"",SMALL($U$19:$U$4018,$E$6+1338))</f>
        <v/>
      </c>
      <c r="B1356" s="29">
        <f>IF(A1356="","",INDEX('자료_한국심리'!$B$3:$B$4002,MATCH(A1356,$U$19:$U$4018,0)))</f>
        <v/>
      </c>
      <c r="C1356" s="22">
        <f>IF(A1356="","",B1356/AVERAGE(B1232:B1356)-1)</f>
        <v/>
      </c>
      <c r="D1356" s="29">
        <f>IF(A1356="","",IFERROR(INDEX('자료_한국심리'!$E$3:$E$4002,MATCH(A1356,$V$19:$V$4018,0)),D1355))</f>
        <v/>
      </c>
      <c r="E1356" s="30">
        <f>IF(A1356="","",IFERROR(INDEX('자료_한국심리'!$H$3:$H$4002,MATCH(A1356,$W$19:$W$4018,0)),E1355))</f>
        <v/>
      </c>
      <c r="F1356" s="30">
        <f>IF(A1356="","",IFERROR(INDEX('자료_한국심리'!$K$3:$K$4002,MATCH(A1356,$X$19:$X$4018,0)),F1355))</f>
        <v/>
      </c>
      <c r="G1356" s="30">
        <f>IF(AND(ISNUMBER(E1356),ISNUMBER(F1356)),ROUND(E1356-F1356,6),"")</f>
        <v/>
      </c>
      <c r="H1356" s="25">
        <f>IF(A1356="","",IFERROR(INDEX('자료_한국심리'!$N$3:$N$4002,MATCH(A1356,$Y$19:$Y$4018,0)),H1355))</f>
        <v/>
      </c>
      <c r="I1356" s="31">
        <f>IF(AND(ISNUMBER(H1356),ISNUMBER(H1336)),IF(H1336&gt;0,H1356/H1336-1,""),"")</f>
        <v/>
      </c>
      <c r="J1356">
        <f>IF(A1356="",0,IF(A1356&gt;$B$5,1,0))</f>
        <v/>
      </c>
      <c r="K1356" s="29">
        <f>IF(AND(J1356=1,ISNUMBER(D1356)),D1356,"")</f>
        <v/>
      </c>
      <c r="L1356" s="30">
        <f>IF(AND(J1356=1,ISNUMBER(G1356)),G1356,"")</f>
        <v/>
      </c>
      <c r="M1356" s="22">
        <f>IF(AND(J1356=1,ISNUMBER(C1356)),C1356,"")</f>
        <v/>
      </c>
      <c r="N1356" s="31">
        <f>IF(AND(J1356=1,ISNUMBER(I1356)),I1356,"")</f>
        <v/>
      </c>
      <c r="O1356" s="11">
        <f>IF(K1356="","",100-IF($G$13=1,50,(_xlfn.RANK.AVG(K1356,$K$19:$K$1518,1)-1)/($G$13-1)*100))</f>
        <v/>
      </c>
      <c r="P1356" s="11">
        <f>IF(L1356="","",100-IF($G$14=1,50,(_xlfn.RANK.AVG(L1356,$L$19:$L$1518,1)-1)/($G$14-1)*100))</f>
        <v/>
      </c>
      <c r="Q1356" s="11">
        <f>IF(M1356="","",IF($G$15=1,50,(_xlfn.RANK.AVG(M1356,$M$19:$M$1518,1)-1)/($G$15-1)*100))</f>
        <v/>
      </c>
      <c r="R1356" s="11">
        <f>IF(N1356="","",IF($G$16=1,50,(_xlfn.RANK.AVG(N1356,$N$19:$N$1518,1)-1)/($G$16-1)*100))</f>
        <v/>
      </c>
      <c r="S1356" s="11">
        <f>IF(COUNT(O1356:R1356)=4,ROUND(AVERAGE(O1356:R1356),6),"")</f>
        <v/>
      </c>
      <c r="U1356">
        <f>IF(AND(ISNUMBER('자료_한국심리'!$A1340),ISNUMBER('자료_한국심리'!$B1340)),'자료_한국심리'!$A1340,"")</f>
        <v/>
      </c>
      <c r="V1356">
        <f>IF(AND(ISNUMBER('자료_한국심리'!$D1340),ISNUMBER('자료_한국심리'!$E1340)),'자료_한국심리'!$D1340,"")</f>
        <v/>
      </c>
      <c r="W1356">
        <f>IF(AND(ISNUMBER('자료_한국심리'!$G1340),ISNUMBER('자료_한국심리'!$H1340)),'자료_한국심리'!$G1340,"")</f>
        <v/>
      </c>
      <c r="X1356">
        <f>IF(AND(ISNUMBER('자료_한국심리'!$J1340),ISNUMBER('자료_한국심리'!$K1340)),'자료_한국심리'!$J1340,"")</f>
        <v/>
      </c>
      <c r="Y1356">
        <f>IF(AND(ISNUMBER('자료_한국심리'!$M1340),ISNUMBER('자료_한국심리'!$N1340)),'자료_한국심리'!$M1340,"")</f>
        <v/>
      </c>
    </row>
    <row r="1357">
      <c r="A1357" s="10">
        <f>IF(1339&gt;$E$5,"",SMALL($U$19:$U$4018,$E$6+1339))</f>
        <v/>
      </c>
      <c r="B1357" s="29">
        <f>IF(A1357="","",INDEX('자료_한국심리'!$B$3:$B$4002,MATCH(A1357,$U$19:$U$4018,0)))</f>
        <v/>
      </c>
      <c r="C1357" s="22">
        <f>IF(A1357="","",B1357/AVERAGE(B1233:B1357)-1)</f>
        <v/>
      </c>
      <c r="D1357" s="29">
        <f>IF(A1357="","",IFERROR(INDEX('자료_한국심리'!$E$3:$E$4002,MATCH(A1357,$V$19:$V$4018,0)),D1356))</f>
        <v/>
      </c>
      <c r="E1357" s="30">
        <f>IF(A1357="","",IFERROR(INDEX('자료_한국심리'!$H$3:$H$4002,MATCH(A1357,$W$19:$W$4018,0)),E1356))</f>
        <v/>
      </c>
      <c r="F1357" s="30">
        <f>IF(A1357="","",IFERROR(INDEX('자료_한국심리'!$K$3:$K$4002,MATCH(A1357,$X$19:$X$4018,0)),F1356))</f>
        <v/>
      </c>
      <c r="G1357" s="30">
        <f>IF(AND(ISNUMBER(E1357),ISNUMBER(F1357)),ROUND(E1357-F1357,6),"")</f>
        <v/>
      </c>
      <c r="H1357" s="25">
        <f>IF(A1357="","",IFERROR(INDEX('자료_한국심리'!$N$3:$N$4002,MATCH(A1357,$Y$19:$Y$4018,0)),H1356))</f>
        <v/>
      </c>
      <c r="I1357" s="31">
        <f>IF(AND(ISNUMBER(H1357),ISNUMBER(H1337)),IF(H1337&gt;0,H1357/H1337-1,""),"")</f>
        <v/>
      </c>
      <c r="J1357">
        <f>IF(A1357="",0,IF(A1357&gt;$B$5,1,0))</f>
        <v/>
      </c>
      <c r="K1357" s="29">
        <f>IF(AND(J1357=1,ISNUMBER(D1357)),D1357,"")</f>
        <v/>
      </c>
      <c r="L1357" s="30">
        <f>IF(AND(J1357=1,ISNUMBER(G1357)),G1357,"")</f>
        <v/>
      </c>
      <c r="M1357" s="22">
        <f>IF(AND(J1357=1,ISNUMBER(C1357)),C1357,"")</f>
        <v/>
      </c>
      <c r="N1357" s="31">
        <f>IF(AND(J1357=1,ISNUMBER(I1357)),I1357,"")</f>
        <v/>
      </c>
      <c r="O1357" s="11">
        <f>IF(K1357="","",100-IF($G$13=1,50,(_xlfn.RANK.AVG(K1357,$K$19:$K$1518,1)-1)/($G$13-1)*100))</f>
        <v/>
      </c>
      <c r="P1357" s="11">
        <f>IF(L1357="","",100-IF($G$14=1,50,(_xlfn.RANK.AVG(L1357,$L$19:$L$1518,1)-1)/($G$14-1)*100))</f>
        <v/>
      </c>
      <c r="Q1357" s="11">
        <f>IF(M1357="","",IF($G$15=1,50,(_xlfn.RANK.AVG(M1357,$M$19:$M$1518,1)-1)/($G$15-1)*100))</f>
        <v/>
      </c>
      <c r="R1357" s="11">
        <f>IF(N1357="","",IF($G$16=1,50,(_xlfn.RANK.AVG(N1357,$N$19:$N$1518,1)-1)/($G$16-1)*100))</f>
        <v/>
      </c>
      <c r="S1357" s="11">
        <f>IF(COUNT(O1357:R1357)=4,ROUND(AVERAGE(O1357:R1357),6),"")</f>
        <v/>
      </c>
      <c r="U1357">
        <f>IF(AND(ISNUMBER('자료_한국심리'!$A1341),ISNUMBER('자료_한국심리'!$B1341)),'자료_한국심리'!$A1341,"")</f>
        <v/>
      </c>
      <c r="V1357">
        <f>IF(AND(ISNUMBER('자료_한국심리'!$D1341),ISNUMBER('자료_한국심리'!$E1341)),'자료_한국심리'!$D1341,"")</f>
        <v/>
      </c>
      <c r="W1357">
        <f>IF(AND(ISNUMBER('자료_한국심리'!$G1341),ISNUMBER('자료_한국심리'!$H1341)),'자료_한국심리'!$G1341,"")</f>
        <v/>
      </c>
      <c r="X1357">
        <f>IF(AND(ISNUMBER('자료_한국심리'!$J1341),ISNUMBER('자료_한국심리'!$K1341)),'자료_한국심리'!$J1341,"")</f>
        <v/>
      </c>
      <c r="Y1357">
        <f>IF(AND(ISNUMBER('자료_한국심리'!$M1341),ISNUMBER('자료_한국심리'!$N1341)),'자료_한국심리'!$M1341,"")</f>
        <v/>
      </c>
    </row>
    <row r="1358">
      <c r="A1358" s="10">
        <f>IF(1340&gt;$E$5,"",SMALL($U$19:$U$4018,$E$6+1340))</f>
        <v/>
      </c>
      <c r="B1358" s="29">
        <f>IF(A1358="","",INDEX('자료_한국심리'!$B$3:$B$4002,MATCH(A1358,$U$19:$U$4018,0)))</f>
        <v/>
      </c>
      <c r="C1358" s="22">
        <f>IF(A1358="","",B1358/AVERAGE(B1234:B1358)-1)</f>
        <v/>
      </c>
      <c r="D1358" s="29">
        <f>IF(A1358="","",IFERROR(INDEX('자료_한국심리'!$E$3:$E$4002,MATCH(A1358,$V$19:$V$4018,0)),D1357))</f>
        <v/>
      </c>
      <c r="E1358" s="30">
        <f>IF(A1358="","",IFERROR(INDEX('자료_한국심리'!$H$3:$H$4002,MATCH(A1358,$W$19:$W$4018,0)),E1357))</f>
        <v/>
      </c>
      <c r="F1358" s="30">
        <f>IF(A1358="","",IFERROR(INDEX('자료_한국심리'!$K$3:$K$4002,MATCH(A1358,$X$19:$X$4018,0)),F1357))</f>
        <v/>
      </c>
      <c r="G1358" s="30">
        <f>IF(AND(ISNUMBER(E1358),ISNUMBER(F1358)),ROUND(E1358-F1358,6),"")</f>
        <v/>
      </c>
      <c r="H1358" s="25">
        <f>IF(A1358="","",IFERROR(INDEX('자료_한국심리'!$N$3:$N$4002,MATCH(A1358,$Y$19:$Y$4018,0)),H1357))</f>
        <v/>
      </c>
      <c r="I1358" s="31">
        <f>IF(AND(ISNUMBER(H1358),ISNUMBER(H1338)),IF(H1338&gt;0,H1358/H1338-1,""),"")</f>
        <v/>
      </c>
      <c r="J1358">
        <f>IF(A1358="",0,IF(A1358&gt;$B$5,1,0))</f>
        <v/>
      </c>
      <c r="K1358" s="29">
        <f>IF(AND(J1358=1,ISNUMBER(D1358)),D1358,"")</f>
        <v/>
      </c>
      <c r="L1358" s="30">
        <f>IF(AND(J1358=1,ISNUMBER(G1358)),G1358,"")</f>
        <v/>
      </c>
      <c r="M1358" s="22">
        <f>IF(AND(J1358=1,ISNUMBER(C1358)),C1358,"")</f>
        <v/>
      </c>
      <c r="N1358" s="31">
        <f>IF(AND(J1358=1,ISNUMBER(I1358)),I1358,"")</f>
        <v/>
      </c>
      <c r="O1358" s="11">
        <f>IF(K1358="","",100-IF($G$13=1,50,(_xlfn.RANK.AVG(K1358,$K$19:$K$1518,1)-1)/($G$13-1)*100))</f>
        <v/>
      </c>
      <c r="P1358" s="11">
        <f>IF(L1358="","",100-IF($G$14=1,50,(_xlfn.RANK.AVG(L1358,$L$19:$L$1518,1)-1)/($G$14-1)*100))</f>
        <v/>
      </c>
      <c r="Q1358" s="11">
        <f>IF(M1358="","",IF($G$15=1,50,(_xlfn.RANK.AVG(M1358,$M$19:$M$1518,1)-1)/($G$15-1)*100))</f>
        <v/>
      </c>
      <c r="R1358" s="11">
        <f>IF(N1358="","",IF($G$16=1,50,(_xlfn.RANK.AVG(N1358,$N$19:$N$1518,1)-1)/($G$16-1)*100))</f>
        <v/>
      </c>
      <c r="S1358" s="11">
        <f>IF(COUNT(O1358:R1358)=4,ROUND(AVERAGE(O1358:R1358),6),"")</f>
        <v/>
      </c>
      <c r="U1358">
        <f>IF(AND(ISNUMBER('자료_한국심리'!$A1342),ISNUMBER('자료_한국심리'!$B1342)),'자료_한국심리'!$A1342,"")</f>
        <v/>
      </c>
      <c r="V1358">
        <f>IF(AND(ISNUMBER('자료_한국심리'!$D1342),ISNUMBER('자료_한국심리'!$E1342)),'자료_한국심리'!$D1342,"")</f>
        <v/>
      </c>
      <c r="W1358">
        <f>IF(AND(ISNUMBER('자료_한국심리'!$G1342),ISNUMBER('자료_한국심리'!$H1342)),'자료_한국심리'!$G1342,"")</f>
        <v/>
      </c>
      <c r="X1358">
        <f>IF(AND(ISNUMBER('자료_한국심리'!$J1342),ISNUMBER('자료_한국심리'!$K1342)),'자료_한국심리'!$J1342,"")</f>
        <v/>
      </c>
      <c r="Y1358">
        <f>IF(AND(ISNUMBER('자료_한국심리'!$M1342),ISNUMBER('자료_한국심리'!$N1342)),'자료_한국심리'!$M1342,"")</f>
        <v/>
      </c>
    </row>
    <row r="1359">
      <c r="A1359" s="10">
        <f>IF(1341&gt;$E$5,"",SMALL($U$19:$U$4018,$E$6+1341))</f>
        <v/>
      </c>
      <c r="B1359" s="29">
        <f>IF(A1359="","",INDEX('자료_한국심리'!$B$3:$B$4002,MATCH(A1359,$U$19:$U$4018,0)))</f>
        <v/>
      </c>
      <c r="C1359" s="22">
        <f>IF(A1359="","",B1359/AVERAGE(B1235:B1359)-1)</f>
        <v/>
      </c>
      <c r="D1359" s="29">
        <f>IF(A1359="","",IFERROR(INDEX('자료_한국심리'!$E$3:$E$4002,MATCH(A1359,$V$19:$V$4018,0)),D1358))</f>
        <v/>
      </c>
      <c r="E1359" s="30">
        <f>IF(A1359="","",IFERROR(INDEX('자료_한국심리'!$H$3:$H$4002,MATCH(A1359,$W$19:$W$4018,0)),E1358))</f>
        <v/>
      </c>
      <c r="F1359" s="30">
        <f>IF(A1359="","",IFERROR(INDEX('자료_한국심리'!$K$3:$K$4002,MATCH(A1359,$X$19:$X$4018,0)),F1358))</f>
        <v/>
      </c>
      <c r="G1359" s="30">
        <f>IF(AND(ISNUMBER(E1359),ISNUMBER(F1359)),ROUND(E1359-F1359,6),"")</f>
        <v/>
      </c>
      <c r="H1359" s="25">
        <f>IF(A1359="","",IFERROR(INDEX('자료_한국심리'!$N$3:$N$4002,MATCH(A1359,$Y$19:$Y$4018,0)),H1358))</f>
        <v/>
      </c>
      <c r="I1359" s="31">
        <f>IF(AND(ISNUMBER(H1359),ISNUMBER(H1339)),IF(H1339&gt;0,H1359/H1339-1,""),"")</f>
        <v/>
      </c>
      <c r="J1359">
        <f>IF(A1359="",0,IF(A1359&gt;$B$5,1,0))</f>
        <v/>
      </c>
      <c r="K1359" s="29">
        <f>IF(AND(J1359=1,ISNUMBER(D1359)),D1359,"")</f>
        <v/>
      </c>
      <c r="L1359" s="30">
        <f>IF(AND(J1359=1,ISNUMBER(G1359)),G1359,"")</f>
        <v/>
      </c>
      <c r="M1359" s="22">
        <f>IF(AND(J1359=1,ISNUMBER(C1359)),C1359,"")</f>
        <v/>
      </c>
      <c r="N1359" s="31">
        <f>IF(AND(J1359=1,ISNUMBER(I1359)),I1359,"")</f>
        <v/>
      </c>
      <c r="O1359" s="11">
        <f>IF(K1359="","",100-IF($G$13=1,50,(_xlfn.RANK.AVG(K1359,$K$19:$K$1518,1)-1)/($G$13-1)*100))</f>
        <v/>
      </c>
      <c r="P1359" s="11">
        <f>IF(L1359="","",100-IF($G$14=1,50,(_xlfn.RANK.AVG(L1359,$L$19:$L$1518,1)-1)/($G$14-1)*100))</f>
        <v/>
      </c>
      <c r="Q1359" s="11">
        <f>IF(M1359="","",IF($G$15=1,50,(_xlfn.RANK.AVG(M1359,$M$19:$M$1518,1)-1)/($G$15-1)*100))</f>
        <v/>
      </c>
      <c r="R1359" s="11">
        <f>IF(N1359="","",IF($G$16=1,50,(_xlfn.RANK.AVG(N1359,$N$19:$N$1518,1)-1)/($G$16-1)*100))</f>
        <v/>
      </c>
      <c r="S1359" s="11">
        <f>IF(COUNT(O1359:R1359)=4,ROUND(AVERAGE(O1359:R1359),6),"")</f>
        <v/>
      </c>
      <c r="U1359">
        <f>IF(AND(ISNUMBER('자료_한국심리'!$A1343),ISNUMBER('자료_한국심리'!$B1343)),'자료_한국심리'!$A1343,"")</f>
        <v/>
      </c>
      <c r="V1359">
        <f>IF(AND(ISNUMBER('자료_한국심리'!$D1343),ISNUMBER('자료_한국심리'!$E1343)),'자료_한국심리'!$D1343,"")</f>
        <v/>
      </c>
      <c r="W1359">
        <f>IF(AND(ISNUMBER('자료_한국심리'!$G1343),ISNUMBER('자료_한국심리'!$H1343)),'자료_한국심리'!$G1343,"")</f>
        <v/>
      </c>
      <c r="X1359">
        <f>IF(AND(ISNUMBER('자료_한국심리'!$J1343),ISNUMBER('자료_한국심리'!$K1343)),'자료_한국심리'!$J1343,"")</f>
        <v/>
      </c>
      <c r="Y1359">
        <f>IF(AND(ISNUMBER('자료_한국심리'!$M1343),ISNUMBER('자료_한국심리'!$N1343)),'자료_한국심리'!$M1343,"")</f>
        <v/>
      </c>
    </row>
    <row r="1360">
      <c r="A1360" s="10">
        <f>IF(1342&gt;$E$5,"",SMALL($U$19:$U$4018,$E$6+1342))</f>
        <v/>
      </c>
      <c r="B1360" s="29">
        <f>IF(A1360="","",INDEX('자료_한국심리'!$B$3:$B$4002,MATCH(A1360,$U$19:$U$4018,0)))</f>
        <v/>
      </c>
      <c r="C1360" s="22">
        <f>IF(A1360="","",B1360/AVERAGE(B1236:B1360)-1)</f>
        <v/>
      </c>
      <c r="D1360" s="29">
        <f>IF(A1360="","",IFERROR(INDEX('자료_한국심리'!$E$3:$E$4002,MATCH(A1360,$V$19:$V$4018,0)),D1359))</f>
        <v/>
      </c>
      <c r="E1360" s="30">
        <f>IF(A1360="","",IFERROR(INDEX('자료_한국심리'!$H$3:$H$4002,MATCH(A1360,$W$19:$W$4018,0)),E1359))</f>
        <v/>
      </c>
      <c r="F1360" s="30">
        <f>IF(A1360="","",IFERROR(INDEX('자료_한국심리'!$K$3:$K$4002,MATCH(A1360,$X$19:$X$4018,0)),F1359))</f>
        <v/>
      </c>
      <c r="G1360" s="30">
        <f>IF(AND(ISNUMBER(E1360),ISNUMBER(F1360)),ROUND(E1360-F1360,6),"")</f>
        <v/>
      </c>
      <c r="H1360" s="25">
        <f>IF(A1360="","",IFERROR(INDEX('자료_한국심리'!$N$3:$N$4002,MATCH(A1360,$Y$19:$Y$4018,0)),H1359))</f>
        <v/>
      </c>
      <c r="I1360" s="31">
        <f>IF(AND(ISNUMBER(H1360),ISNUMBER(H1340)),IF(H1340&gt;0,H1360/H1340-1,""),"")</f>
        <v/>
      </c>
      <c r="J1360">
        <f>IF(A1360="",0,IF(A1360&gt;$B$5,1,0))</f>
        <v/>
      </c>
      <c r="K1360" s="29">
        <f>IF(AND(J1360=1,ISNUMBER(D1360)),D1360,"")</f>
        <v/>
      </c>
      <c r="L1360" s="30">
        <f>IF(AND(J1360=1,ISNUMBER(G1360)),G1360,"")</f>
        <v/>
      </c>
      <c r="M1360" s="22">
        <f>IF(AND(J1360=1,ISNUMBER(C1360)),C1360,"")</f>
        <v/>
      </c>
      <c r="N1360" s="31">
        <f>IF(AND(J1360=1,ISNUMBER(I1360)),I1360,"")</f>
        <v/>
      </c>
      <c r="O1360" s="11">
        <f>IF(K1360="","",100-IF($G$13=1,50,(_xlfn.RANK.AVG(K1360,$K$19:$K$1518,1)-1)/($G$13-1)*100))</f>
        <v/>
      </c>
      <c r="P1360" s="11">
        <f>IF(L1360="","",100-IF($G$14=1,50,(_xlfn.RANK.AVG(L1360,$L$19:$L$1518,1)-1)/($G$14-1)*100))</f>
        <v/>
      </c>
      <c r="Q1360" s="11">
        <f>IF(M1360="","",IF($G$15=1,50,(_xlfn.RANK.AVG(M1360,$M$19:$M$1518,1)-1)/($G$15-1)*100))</f>
        <v/>
      </c>
      <c r="R1360" s="11">
        <f>IF(N1360="","",IF($G$16=1,50,(_xlfn.RANK.AVG(N1360,$N$19:$N$1518,1)-1)/($G$16-1)*100))</f>
        <v/>
      </c>
      <c r="S1360" s="11">
        <f>IF(COUNT(O1360:R1360)=4,ROUND(AVERAGE(O1360:R1360),6),"")</f>
        <v/>
      </c>
      <c r="U1360">
        <f>IF(AND(ISNUMBER('자료_한국심리'!$A1344),ISNUMBER('자료_한국심리'!$B1344)),'자료_한국심리'!$A1344,"")</f>
        <v/>
      </c>
      <c r="V1360">
        <f>IF(AND(ISNUMBER('자료_한국심리'!$D1344),ISNUMBER('자료_한국심리'!$E1344)),'자료_한국심리'!$D1344,"")</f>
        <v/>
      </c>
      <c r="W1360">
        <f>IF(AND(ISNUMBER('자료_한국심리'!$G1344),ISNUMBER('자료_한국심리'!$H1344)),'자료_한국심리'!$G1344,"")</f>
        <v/>
      </c>
      <c r="X1360">
        <f>IF(AND(ISNUMBER('자료_한국심리'!$J1344),ISNUMBER('자료_한국심리'!$K1344)),'자료_한국심리'!$J1344,"")</f>
        <v/>
      </c>
      <c r="Y1360">
        <f>IF(AND(ISNUMBER('자료_한국심리'!$M1344),ISNUMBER('자료_한국심리'!$N1344)),'자료_한국심리'!$M1344,"")</f>
        <v/>
      </c>
    </row>
    <row r="1361">
      <c r="A1361" s="10">
        <f>IF(1343&gt;$E$5,"",SMALL($U$19:$U$4018,$E$6+1343))</f>
        <v/>
      </c>
      <c r="B1361" s="29">
        <f>IF(A1361="","",INDEX('자료_한국심리'!$B$3:$B$4002,MATCH(A1361,$U$19:$U$4018,0)))</f>
        <v/>
      </c>
      <c r="C1361" s="22">
        <f>IF(A1361="","",B1361/AVERAGE(B1237:B1361)-1)</f>
        <v/>
      </c>
      <c r="D1361" s="29">
        <f>IF(A1361="","",IFERROR(INDEX('자료_한국심리'!$E$3:$E$4002,MATCH(A1361,$V$19:$V$4018,0)),D1360))</f>
        <v/>
      </c>
      <c r="E1361" s="30">
        <f>IF(A1361="","",IFERROR(INDEX('자료_한국심리'!$H$3:$H$4002,MATCH(A1361,$W$19:$W$4018,0)),E1360))</f>
        <v/>
      </c>
      <c r="F1361" s="30">
        <f>IF(A1361="","",IFERROR(INDEX('자료_한국심리'!$K$3:$K$4002,MATCH(A1361,$X$19:$X$4018,0)),F1360))</f>
        <v/>
      </c>
      <c r="G1361" s="30">
        <f>IF(AND(ISNUMBER(E1361),ISNUMBER(F1361)),ROUND(E1361-F1361,6),"")</f>
        <v/>
      </c>
      <c r="H1361" s="25">
        <f>IF(A1361="","",IFERROR(INDEX('자료_한국심리'!$N$3:$N$4002,MATCH(A1361,$Y$19:$Y$4018,0)),H1360))</f>
        <v/>
      </c>
      <c r="I1361" s="31">
        <f>IF(AND(ISNUMBER(H1361),ISNUMBER(H1341)),IF(H1341&gt;0,H1361/H1341-1,""),"")</f>
        <v/>
      </c>
      <c r="J1361">
        <f>IF(A1361="",0,IF(A1361&gt;$B$5,1,0))</f>
        <v/>
      </c>
      <c r="K1361" s="29">
        <f>IF(AND(J1361=1,ISNUMBER(D1361)),D1361,"")</f>
        <v/>
      </c>
      <c r="L1361" s="30">
        <f>IF(AND(J1361=1,ISNUMBER(G1361)),G1361,"")</f>
        <v/>
      </c>
      <c r="M1361" s="22">
        <f>IF(AND(J1361=1,ISNUMBER(C1361)),C1361,"")</f>
        <v/>
      </c>
      <c r="N1361" s="31">
        <f>IF(AND(J1361=1,ISNUMBER(I1361)),I1361,"")</f>
        <v/>
      </c>
      <c r="O1361" s="11">
        <f>IF(K1361="","",100-IF($G$13=1,50,(_xlfn.RANK.AVG(K1361,$K$19:$K$1518,1)-1)/($G$13-1)*100))</f>
        <v/>
      </c>
      <c r="P1361" s="11">
        <f>IF(L1361="","",100-IF($G$14=1,50,(_xlfn.RANK.AVG(L1361,$L$19:$L$1518,1)-1)/($G$14-1)*100))</f>
        <v/>
      </c>
      <c r="Q1361" s="11">
        <f>IF(M1361="","",IF($G$15=1,50,(_xlfn.RANK.AVG(M1361,$M$19:$M$1518,1)-1)/($G$15-1)*100))</f>
        <v/>
      </c>
      <c r="R1361" s="11">
        <f>IF(N1361="","",IF($G$16=1,50,(_xlfn.RANK.AVG(N1361,$N$19:$N$1518,1)-1)/($G$16-1)*100))</f>
        <v/>
      </c>
      <c r="S1361" s="11">
        <f>IF(COUNT(O1361:R1361)=4,ROUND(AVERAGE(O1361:R1361),6),"")</f>
        <v/>
      </c>
      <c r="U1361">
        <f>IF(AND(ISNUMBER('자료_한국심리'!$A1345),ISNUMBER('자료_한국심리'!$B1345)),'자료_한국심리'!$A1345,"")</f>
        <v/>
      </c>
      <c r="V1361">
        <f>IF(AND(ISNUMBER('자료_한국심리'!$D1345),ISNUMBER('자료_한국심리'!$E1345)),'자료_한국심리'!$D1345,"")</f>
        <v/>
      </c>
      <c r="W1361">
        <f>IF(AND(ISNUMBER('자료_한국심리'!$G1345),ISNUMBER('자료_한국심리'!$H1345)),'자료_한국심리'!$G1345,"")</f>
        <v/>
      </c>
      <c r="X1361">
        <f>IF(AND(ISNUMBER('자료_한국심리'!$J1345),ISNUMBER('자료_한국심리'!$K1345)),'자료_한국심리'!$J1345,"")</f>
        <v/>
      </c>
      <c r="Y1361">
        <f>IF(AND(ISNUMBER('자료_한국심리'!$M1345),ISNUMBER('자료_한국심리'!$N1345)),'자료_한국심리'!$M1345,"")</f>
        <v/>
      </c>
    </row>
    <row r="1362">
      <c r="A1362" s="10">
        <f>IF(1344&gt;$E$5,"",SMALL($U$19:$U$4018,$E$6+1344))</f>
        <v/>
      </c>
      <c r="B1362" s="29">
        <f>IF(A1362="","",INDEX('자료_한국심리'!$B$3:$B$4002,MATCH(A1362,$U$19:$U$4018,0)))</f>
        <v/>
      </c>
      <c r="C1362" s="22">
        <f>IF(A1362="","",B1362/AVERAGE(B1238:B1362)-1)</f>
        <v/>
      </c>
      <c r="D1362" s="29">
        <f>IF(A1362="","",IFERROR(INDEX('자료_한국심리'!$E$3:$E$4002,MATCH(A1362,$V$19:$V$4018,0)),D1361))</f>
        <v/>
      </c>
      <c r="E1362" s="30">
        <f>IF(A1362="","",IFERROR(INDEX('자료_한국심리'!$H$3:$H$4002,MATCH(A1362,$W$19:$W$4018,0)),E1361))</f>
        <v/>
      </c>
      <c r="F1362" s="30">
        <f>IF(A1362="","",IFERROR(INDEX('자료_한국심리'!$K$3:$K$4002,MATCH(A1362,$X$19:$X$4018,0)),F1361))</f>
        <v/>
      </c>
      <c r="G1362" s="30">
        <f>IF(AND(ISNUMBER(E1362),ISNUMBER(F1362)),ROUND(E1362-F1362,6),"")</f>
        <v/>
      </c>
      <c r="H1362" s="25">
        <f>IF(A1362="","",IFERROR(INDEX('자료_한국심리'!$N$3:$N$4002,MATCH(A1362,$Y$19:$Y$4018,0)),H1361))</f>
        <v/>
      </c>
      <c r="I1362" s="31">
        <f>IF(AND(ISNUMBER(H1362),ISNUMBER(H1342)),IF(H1342&gt;0,H1362/H1342-1,""),"")</f>
        <v/>
      </c>
      <c r="J1362">
        <f>IF(A1362="",0,IF(A1362&gt;$B$5,1,0))</f>
        <v/>
      </c>
      <c r="K1362" s="29">
        <f>IF(AND(J1362=1,ISNUMBER(D1362)),D1362,"")</f>
        <v/>
      </c>
      <c r="L1362" s="30">
        <f>IF(AND(J1362=1,ISNUMBER(G1362)),G1362,"")</f>
        <v/>
      </c>
      <c r="M1362" s="22">
        <f>IF(AND(J1362=1,ISNUMBER(C1362)),C1362,"")</f>
        <v/>
      </c>
      <c r="N1362" s="31">
        <f>IF(AND(J1362=1,ISNUMBER(I1362)),I1362,"")</f>
        <v/>
      </c>
      <c r="O1362" s="11">
        <f>IF(K1362="","",100-IF($G$13=1,50,(_xlfn.RANK.AVG(K1362,$K$19:$K$1518,1)-1)/($G$13-1)*100))</f>
        <v/>
      </c>
      <c r="P1362" s="11">
        <f>IF(L1362="","",100-IF($G$14=1,50,(_xlfn.RANK.AVG(L1362,$L$19:$L$1518,1)-1)/($G$14-1)*100))</f>
        <v/>
      </c>
      <c r="Q1362" s="11">
        <f>IF(M1362="","",IF($G$15=1,50,(_xlfn.RANK.AVG(M1362,$M$19:$M$1518,1)-1)/($G$15-1)*100))</f>
        <v/>
      </c>
      <c r="R1362" s="11">
        <f>IF(N1362="","",IF($G$16=1,50,(_xlfn.RANK.AVG(N1362,$N$19:$N$1518,1)-1)/($G$16-1)*100))</f>
        <v/>
      </c>
      <c r="S1362" s="11">
        <f>IF(COUNT(O1362:R1362)=4,ROUND(AVERAGE(O1362:R1362),6),"")</f>
        <v/>
      </c>
      <c r="U1362">
        <f>IF(AND(ISNUMBER('자료_한국심리'!$A1346),ISNUMBER('자료_한국심리'!$B1346)),'자료_한국심리'!$A1346,"")</f>
        <v/>
      </c>
      <c r="V1362">
        <f>IF(AND(ISNUMBER('자료_한국심리'!$D1346),ISNUMBER('자료_한국심리'!$E1346)),'자료_한국심리'!$D1346,"")</f>
        <v/>
      </c>
      <c r="W1362">
        <f>IF(AND(ISNUMBER('자료_한국심리'!$G1346),ISNUMBER('자료_한국심리'!$H1346)),'자료_한국심리'!$G1346,"")</f>
        <v/>
      </c>
      <c r="X1362">
        <f>IF(AND(ISNUMBER('자료_한국심리'!$J1346),ISNUMBER('자료_한국심리'!$K1346)),'자료_한국심리'!$J1346,"")</f>
        <v/>
      </c>
      <c r="Y1362">
        <f>IF(AND(ISNUMBER('자료_한국심리'!$M1346),ISNUMBER('자료_한국심리'!$N1346)),'자료_한국심리'!$M1346,"")</f>
        <v/>
      </c>
    </row>
    <row r="1363">
      <c r="A1363" s="10">
        <f>IF(1345&gt;$E$5,"",SMALL($U$19:$U$4018,$E$6+1345))</f>
        <v/>
      </c>
      <c r="B1363" s="29">
        <f>IF(A1363="","",INDEX('자료_한국심리'!$B$3:$B$4002,MATCH(A1363,$U$19:$U$4018,0)))</f>
        <v/>
      </c>
      <c r="C1363" s="22">
        <f>IF(A1363="","",B1363/AVERAGE(B1239:B1363)-1)</f>
        <v/>
      </c>
      <c r="D1363" s="29">
        <f>IF(A1363="","",IFERROR(INDEX('자료_한국심리'!$E$3:$E$4002,MATCH(A1363,$V$19:$V$4018,0)),D1362))</f>
        <v/>
      </c>
      <c r="E1363" s="30">
        <f>IF(A1363="","",IFERROR(INDEX('자료_한국심리'!$H$3:$H$4002,MATCH(A1363,$W$19:$W$4018,0)),E1362))</f>
        <v/>
      </c>
      <c r="F1363" s="30">
        <f>IF(A1363="","",IFERROR(INDEX('자료_한국심리'!$K$3:$K$4002,MATCH(A1363,$X$19:$X$4018,0)),F1362))</f>
        <v/>
      </c>
      <c r="G1363" s="30">
        <f>IF(AND(ISNUMBER(E1363),ISNUMBER(F1363)),ROUND(E1363-F1363,6),"")</f>
        <v/>
      </c>
      <c r="H1363" s="25">
        <f>IF(A1363="","",IFERROR(INDEX('자료_한국심리'!$N$3:$N$4002,MATCH(A1363,$Y$19:$Y$4018,0)),H1362))</f>
        <v/>
      </c>
      <c r="I1363" s="31">
        <f>IF(AND(ISNUMBER(H1363),ISNUMBER(H1343)),IF(H1343&gt;0,H1363/H1343-1,""),"")</f>
        <v/>
      </c>
      <c r="J1363">
        <f>IF(A1363="",0,IF(A1363&gt;$B$5,1,0))</f>
        <v/>
      </c>
      <c r="K1363" s="29">
        <f>IF(AND(J1363=1,ISNUMBER(D1363)),D1363,"")</f>
        <v/>
      </c>
      <c r="L1363" s="30">
        <f>IF(AND(J1363=1,ISNUMBER(G1363)),G1363,"")</f>
        <v/>
      </c>
      <c r="M1363" s="22">
        <f>IF(AND(J1363=1,ISNUMBER(C1363)),C1363,"")</f>
        <v/>
      </c>
      <c r="N1363" s="31">
        <f>IF(AND(J1363=1,ISNUMBER(I1363)),I1363,"")</f>
        <v/>
      </c>
      <c r="O1363" s="11">
        <f>IF(K1363="","",100-IF($G$13=1,50,(_xlfn.RANK.AVG(K1363,$K$19:$K$1518,1)-1)/($G$13-1)*100))</f>
        <v/>
      </c>
      <c r="P1363" s="11">
        <f>IF(L1363="","",100-IF($G$14=1,50,(_xlfn.RANK.AVG(L1363,$L$19:$L$1518,1)-1)/($G$14-1)*100))</f>
        <v/>
      </c>
      <c r="Q1363" s="11">
        <f>IF(M1363="","",IF($G$15=1,50,(_xlfn.RANK.AVG(M1363,$M$19:$M$1518,1)-1)/($G$15-1)*100))</f>
        <v/>
      </c>
      <c r="R1363" s="11">
        <f>IF(N1363="","",IF($G$16=1,50,(_xlfn.RANK.AVG(N1363,$N$19:$N$1518,1)-1)/($G$16-1)*100))</f>
        <v/>
      </c>
      <c r="S1363" s="11">
        <f>IF(COUNT(O1363:R1363)=4,ROUND(AVERAGE(O1363:R1363),6),"")</f>
        <v/>
      </c>
      <c r="U1363">
        <f>IF(AND(ISNUMBER('자료_한국심리'!$A1347),ISNUMBER('자료_한국심리'!$B1347)),'자료_한국심리'!$A1347,"")</f>
        <v/>
      </c>
      <c r="V1363">
        <f>IF(AND(ISNUMBER('자료_한국심리'!$D1347),ISNUMBER('자료_한국심리'!$E1347)),'자료_한국심리'!$D1347,"")</f>
        <v/>
      </c>
      <c r="W1363">
        <f>IF(AND(ISNUMBER('자료_한국심리'!$G1347),ISNUMBER('자료_한국심리'!$H1347)),'자료_한국심리'!$G1347,"")</f>
        <v/>
      </c>
      <c r="X1363">
        <f>IF(AND(ISNUMBER('자료_한국심리'!$J1347),ISNUMBER('자료_한국심리'!$K1347)),'자료_한국심리'!$J1347,"")</f>
        <v/>
      </c>
      <c r="Y1363">
        <f>IF(AND(ISNUMBER('자료_한국심리'!$M1347),ISNUMBER('자료_한국심리'!$N1347)),'자료_한국심리'!$M1347,"")</f>
        <v/>
      </c>
    </row>
    <row r="1364">
      <c r="A1364" s="10">
        <f>IF(1346&gt;$E$5,"",SMALL($U$19:$U$4018,$E$6+1346))</f>
        <v/>
      </c>
      <c r="B1364" s="29">
        <f>IF(A1364="","",INDEX('자료_한국심리'!$B$3:$B$4002,MATCH(A1364,$U$19:$U$4018,0)))</f>
        <v/>
      </c>
      <c r="C1364" s="22">
        <f>IF(A1364="","",B1364/AVERAGE(B1240:B1364)-1)</f>
        <v/>
      </c>
      <c r="D1364" s="29">
        <f>IF(A1364="","",IFERROR(INDEX('자료_한국심리'!$E$3:$E$4002,MATCH(A1364,$V$19:$V$4018,0)),D1363))</f>
        <v/>
      </c>
      <c r="E1364" s="30">
        <f>IF(A1364="","",IFERROR(INDEX('자료_한국심리'!$H$3:$H$4002,MATCH(A1364,$W$19:$W$4018,0)),E1363))</f>
        <v/>
      </c>
      <c r="F1364" s="30">
        <f>IF(A1364="","",IFERROR(INDEX('자료_한국심리'!$K$3:$K$4002,MATCH(A1364,$X$19:$X$4018,0)),F1363))</f>
        <v/>
      </c>
      <c r="G1364" s="30">
        <f>IF(AND(ISNUMBER(E1364),ISNUMBER(F1364)),ROUND(E1364-F1364,6),"")</f>
        <v/>
      </c>
      <c r="H1364" s="25">
        <f>IF(A1364="","",IFERROR(INDEX('자료_한국심리'!$N$3:$N$4002,MATCH(A1364,$Y$19:$Y$4018,0)),H1363))</f>
        <v/>
      </c>
      <c r="I1364" s="31">
        <f>IF(AND(ISNUMBER(H1364),ISNUMBER(H1344)),IF(H1344&gt;0,H1364/H1344-1,""),"")</f>
        <v/>
      </c>
      <c r="J1364">
        <f>IF(A1364="",0,IF(A1364&gt;$B$5,1,0))</f>
        <v/>
      </c>
      <c r="K1364" s="29">
        <f>IF(AND(J1364=1,ISNUMBER(D1364)),D1364,"")</f>
        <v/>
      </c>
      <c r="L1364" s="30">
        <f>IF(AND(J1364=1,ISNUMBER(G1364)),G1364,"")</f>
        <v/>
      </c>
      <c r="M1364" s="22">
        <f>IF(AND(J1364=1,ISNUMBER(C1364)),C1364,"")</f>
        <v/>
      </c>
      <c r="N1364" s="31">
        <f>IF(AND(J1364=1,ISNUMBER(I1364)),I1364,"")</f>
        <v/>
      </c>
      <c r="O1364" s="11">
        <f>IF(K1364="","",100-IF($G$13=1,50,(_xlfn.RANK.AVG(K1364,$K$19:$K$1518,1)-1)/($G$13-1)*100))</f>
        <v/>
      </c>
      <c r="P1364" s="11">
        <f>IF(L1364="","",100-IF($G$14=1,50,(_xlfn.RANK.AVG(L1364,$L$19:$L$1518,1)-1)/($G$14-1)*100))</f>
        <v/>
      </c>
      <c r="Q1364" s="11">
        <f>IF(M1364="","",IF($G$15=1,50,(_xlfn.RANK.AVG(M1364,$M$19:$M$1518,1)-1)/($G$15-1)*100))</f>
        <v/>
      </c>
      <c r="R1364" s="11">
        <f>IF(N1364="","",IF($G$16=1,50,(_xlfn.RANK.AVG(N1364,$N$19:$N$1518,1)-1)/($G$16-1)*100))</f>
        <v/>
      </c>
      <c r="S1364" s="11">
        <f>IF(COUNT(O1364:R1364)=4,ROUND(AVERAGE(O1364:R1364),6),"")</f>
        <v/>
      </c>
      <c r="U1364">
        <f>IF(AND(ISNUMBER('자료_한국심리'!$A1348),ISNUMBER('자료_한국심리'!$B1348)),'자료_한국심리'!$A1348,"")</f>
        <v/>
      </c>
      <c r="V1364">
        <f>IF(AND(ISNUMBER('자료_한국심리'!$D1348),ISNUMBER('자료_한국심리'!$E1348)),'자료_한국심리'!$D1348,"")</f>
        <v/>
      </c>
      <c r="W1364">
        <f>IF(AND(ISNUMBER('자료_한국심리'!$G1348),ISNUMBER('자료_한국심리'!$H1348)),'자료_한국심리'!$G1348,"")</f>
        <v/>
      </c>
      <c r="X1364">
        <f>IF(AND(ISNUMBER('자료_한국심리'!$J1348),ISNUMBER('자료_한국심리'!$K1348)),'자료_한국심리'!$J1348,"")</f>
        <v/>
      </c>
      <c r="Y1364">
        <f>IF(AND(ISNUMBER('자료_한국심리'!$M1348),ISNUMBER('자료_한국심리'!$N1348)),'자료_한국심리'!$M1348,"")</f>
        <v/>
      </c>
    </row>
    <row r="1365">
      <c r="A1365" s="10">
        <f>IF(1347&gt;$E$5,"",SMALL($U$19:$U$4018,$E$6+1347))</f>
        <v/>
      </c>
      <c r="B1365" s="29">
        <f>IF(A1365="","",INDEX('자료_한국심리'!$B$3:$B$4002,MATCH(A1365,$U$19:$U$4018,0)))</f>
        <v/>
      </c>
      <c r="C1365" s="22">
        <f>IF(A1365="","",B1365/AVERAGE(B1241:B1365)-1)</f>
        <v/>
      </c>
      <c r="D1365" s="29">
        <f>IF(A1365="","",IFERROR(INDEX('자료_한국심리'!$E$3:$E$4002,MATCH(A1365,$V$19:$V$4018,0)),D1364))</f>
        <v/>
      </c>
      <c r="E1365" s="30">
        <f>IF(A1365="","",IFERROR(INDEX('자료_한국심리'!$H$3:$H$4002,MATCH(A1365,$W$19:$W$4018,0)),E1364))</f>
        <v/>
      </c>
      <c r="F1365" s="30">
        <f>IF(A1365="","",IFERROR(INDEX('자료_한국심리'!$K$3:$K$4002,MATCH(A1365,$X$19:$X$4018,0)),F1364))</f>
        <v/>
      </c>
      <c r="G1365" s="30">
        <f>IF(AND(ISNUMBER(E1365),ISNUMBER(F1365)),ROUND(E1365-F1365,6),"")</f>
        <v/>
      </c>
      <c r="H1365" s="25">
        <f>IF(A1365="","",IFERROR(INDEX('자료_한국심리'!$N$3:$N$4002,MATCH(A1365,$Y$19:$Y$4018,0)),H1364))</f>
        <v/>
      </c>
      <c r="I1365" s="31">
        <f>IF(AND(ISNUMBER(H1365),ISNUMBER(H1345)),IF(H1345&gt;0,H1365/H1345-1,""),"")</f>
        <v/>
      </c>
      <c r="J1365">
        <f>IF(A1365="",0,IF(A1365&gt;$B$5,1,0))</f>
        <v/>
      </c>
      <c r="K1365" s="29">
        <f>IF(AND(J1365=1,ISNUMBER(D1365)),D1365,"")</f>
        <v/>
      </c>
      <c r="L1365" s="30">
        <f>IF(AND(J1365=1,ISNUMBER(G1365)),G1365,"")</f>
        <v/>
      </c>
      <c r="M1365" s="22">
        <f>IF(AND(J1365=1,ISNUMBER(C1365)),C1365,"")</f>
        <v/>
      </c>
      <c r="N1365" s="31">
        <f>IF(AND(J1365=1,ISNUMBER(I1365)),I1365,"")</f>
        <v/>
      </c>
      <c r="O1365" s="11">
        <f>IF(K1365="","",100-IF($G$13=1,50,(_xlfn.RANK.AVG(K1365,$K$19:$K$1518,1)-1)/($G$13-1)*100))</f>
        <v/>
      </c>
      <c r="P1365" s="11">
        <f>IF(L1365="","",100-IF($G$14=1,50,(_xlfn.RANK.AVG(L1365,$L$19:$L$1518,1)-1)/($G$14-1)*100))</f>
        <v/>
      </c>
      <c r="Q1365" s="11">
        <f>IF(M1365="","",IF($G$15=1,50,(_xlfn.RANK.AVG(M1365,$M$19:$M$1518,1)-1)/($G$15-1)*100))</f>
        <v/>
      </c>
      <c r="R1365" s="11">
        <f>IF(N1365="","",IF($G$16=1,50,(_xlfn.RANK.AVG(N1365,$N$19:$N$1518,1)-1)/($G$16-1)*100))</f>
        <v/>
      </c>
      <c r="S1365" s="11">
        <f>IF(COUNT(O1365:R1365)=4,ROUND(AVERAGE(O1365:R1365),6),"")</f>
        <v/>
      </c>
      <c r="U1365">
        <f>IF(AND(ISNUMBER('자료_한국심리'!$A1349),ISNUMBER('자료_한국심리'!$B1349)),'자료_한국심리'!$A1349,"")</f>
        <v/>
      </c>
      <c r="V1365">
        <f>IF(AND(ISNUMBER('자료_한국심리'!$D1349),ISNUMBER('자료_한국심리'!$E1349)),'자료_한국심리'!$D1349,"")</f>
        <v/>
      </c>
      <c r="W1365">
        <f>IF(AND(ISNUMBER('자료_한국심리'!$G1349),ISNUMBER('자료_한국심리'!$H1349)),'자료_한국심리'!$G1349,"")</f>
        <v/>
      </c>
      <c r="X1365">
        <f>IF(AND(ISNUMBER('자료_한국심리'!$J1349),ISNUMBER('자료_한국심리'!$K1349)),'자료_한국심리'!$J1349,"")</f>
        <v/>
      </c>
      <c r="Y1365">
        <f>IF(AND(ISNUMBER('자료_한국심리'!$M1349),ISNUMBER('자료_한국심리'!$N1349)),'자료_한국심리'!$M1349,"")</f>
        <v/>
      </c>
    </row>
    <row r="1366">
      <c r="A1366" s="10">
        <f>IF(1348&gt;$E$5,"",SMALL($U$19:$U$4018,$E$6+1348))</f>
        <v/>
      </c>
      <c r="B1366" s="29">
        <f>IF(A1366="","",INDEX('자료_한국심리'!$B$3:$B$4002,MATCH(A1366,$U$19:$U$4018,0)))</f>
        <v/>
      </c>
      <c r="C1366" s="22">
        <f>IF(A1366="","",B1366/AVERAGE(B1242:B1366)-1)</f>
        <v/>
      </c>
      <c r="D1366" s="29">
        <f>IF(A1366="","",IFERROR(INDEX('자료_한국심리'!$E$3:$E$4002,MATCH(A1366,$V$19:$V$4018,0)),D1365))</f>
        <v/>
      </c>
      <c r="E1366" s="30">
        <f>IF(A1366="","",IFERROR(INDEX('자료_한국심리'!$H$3:$H$4002,MATCH(A1366,$W$19:$W$4018,0)),E1365))</f>
        <v/>
      </c>
      <c r="F1366" s="30">
        <f>IF(A1366="","",IFERROR(INDEX('자료_한국심리'!$K$3:$K$4002,MATCH(A1366,$X$19:$X$4018,0)),F1365))</f>
        <v/>
      </c>
      <c r="G1366" s="30">
        <f>IF(AND(ISNUMBER(E1366),ISNUMBER(F1366)),ROUND(E1366-F1366,6),"")</f>
        <v/>
      </c>
      <c r="H1366" s="25">
        <f>IF(A1366="","",IFERROR(INDEX('자료_한국심리'!$N$3:$N$4002,MATCH(A1366,$Y$19:$Y$4018,0)),H1365))</f>
        <v/>
      </c>
      <c r="I1366" s="31">
        <f>IF(AND(ISNUMBER(H1366),ISNUMBER(H1346)),IF(H1346&gt;0,H1366/H1346-1,""),"")</f>
        <v/>
      </c>
      <c r="J1366">
        <f>IF(A1366="",0,IF(A1366&gt;$B$5,1,0))</f>
        <v/>
      </c>
      <c r="K1366" s="29">
        <f>IF(AND(J1366=1,ISNUMBER(D1366)),D1366,"")</f>
        <v/>
      </c>
      <c r="L1366" s="30">
        <f>IF(AND(J1366=1,ISNUMBER(G1366)),G1366,"")</f>
        <v/>
      </c>
      <c r="M1366" s="22">
        <f>IF(AND(J1366=1,ISNUMBER(C1366)),C1366,"")</f>
        <v/>
      </c>
      <c r="N1366" s="31">
        <f>IF(AND(J1366=1,ISNUMBER(I1366)),I1366,"")</f>
        <v/>
      </c>
      <c r="O1366" s="11">
        <f>IF(K1366="","",100-IF($G$13=1,50,(_xlfn.RANK.AVG(K1366,$K$19:$K$1518,1)-1)/($G$13-1)*100))</f>
        <v/>
      </c>
      <c r="P1366" s="11">
        <f>IF(L1366="","",100-IF($G$14=1,50,(_xlfn.RANK.AVG(L1366,$L$19:$L$1518,1)-1)/($G$14-1)*100))</f>
        <v/>
      </c>
      <c r="Q1366" s="11">
        <f>IF(M1366="","",IF($G$15=1,50,(_xlfn.RANK.AVG(M1366,$M$19:$M$1518,1)-1)/($G$15-1)*100))</f>
        <v/>
      </c>
      <c r="R1366" s="11">
        <f>IF(N1366="","",IF($G$16=1,50,(_xlfn.RANK.AVG(N1366,$N$19:$N$1518,1)-1)/($G$16-1)*100))</f>
        <v/>
      </c>
      <c r="S1366" s="11">
        <f>IF(COUNT(O1366:R1366)=4,ROUND(AVERAGE(O1366:R1366),6),"")</f>
        <v/>
      </c>
      <c r="U1366">
        <f>IF(AND(ISNUMBER('자료_한국심리'!$A1350),ISNUMBER('자료_한국심리'!$B1350)),'자료_한국심리'!$A1350,"")</f>
        <v/>
      </c>
      <c r="V1366">
        <f>IF(AND(ISNUMBER('자료_한국심리'!$D1350),ISNUMBER('자료_한국심리'!$E1350)),'자료_한국심리'!$D1350,"")</f>
        <v/>
      </c>
      <c r="W1366">
        <f>IF(AND(ISNUMBER('자료_한국심리'!$G1350),ISNUMBER('자료_한국심리'!$H1350)),'자료_한국심리'!$G1350,"")</f>
        <v/>
      </c>
      <c r="X1366">
        <f>IF(AND(ISNUMBER('자료_한국심리'!$J1350),ISNUMBER('자료_한국심리'!$K1350)),'자료_한국심리'!$J1350,"")</f>
        <v/>
      </c>
      <c r="Y1366">
        <f>IF(AND(ISNUMBER('자료_한국심리'!$M1350),ISNUMBER('자료_한국심리'!$N1350)),'자료_한국심리'!$M1350,"")</f>
        <v/>
      </c>
    </row>
    <row r="1367">
      <c r="A1367" s="10">
        <f>IF(1349&gt;$E$5,"",SMALL($U$19:$U$4018,$E$6+1349))</f>
        <v/>
      </c>
      <c r="B1367" s="29">
        <f>IF(A1367="","",INDEX('자료_한국심리'!$B$3:$B$4002,MATCH(A1367,$U$19:$U$4018,0)))</f>
        <v/>
      </c>
      <c r="C1367" s="22">
        <f>IF(A1367="","",B1367/AVERAGE(B1243:B1367)-1)</f>
        <v/>
      </c>
      <c r="D1367" s="29">
        <f>IF(A1367="","",IFERROR(INDEX('자료_한국심리'!$E$3:$E$4002,MATCH(A1367,$V$19:$V$4018,0)),D1366))</f>
        <v/>
      </c>
      <c r="E1367" s="30">
        <f>IF(A1367="","",IFERROR(INDEX('자료_한국심리'!$H$3:$H$4002,MATCH(A1367,$W$19:$W$4018,0)),E1366))</f>
        <v/>
      </c>
      <c r="F1367" s="30">
        <f>IF(A1367="","",IFERROR(INDEX('자료_한국심리'!$K$3:$K$4002,MATCH(A1367,$X$19:$X$4018,0)),F1366))</f>
        <v/>
      </c>
      <c r="G1367" s="30">
        <f>IF(AND(ISNUMBER(E1367),ISNUMBER(F1367)),ROUND(E1367-F1367,6),"")</f>
        <v/>
      </c>
      <c r="H1367" s="25">
        <f>IF(A1367="","",IFERROR(INDEX('자료_한국심리'!$N$3:$N$4002,MATCH(A1367,$Y$19:$Y$4018,0)),H1366))</f>
        <v/>
      </c>
      <c r="I1367" s="31">
        <f>IF(AND(ISNUMBER(H1367),ISNUMBER(H1347)),IF(H1347&gt;0,H1367/H1347-1,""),"")</f>
        <v/>
      </c>
      <c r="J1367">
        <f>IF(A1367="",0,IF(A1367&gt;$B$5,1,0))</f>
        <v/>
      </c>
      <c r="K1367" s="29">
        <f>IF(AND(J1367=1,ISNUMBER(D1367)),D1367,"")</f>
        <v/>
      </c>
      <c r="L1367" s="30">
        <f>IF(AND(J1367=1,ISNUMBER(G1367)),G1367,"")</f>
        <v/>
      </c>
      <c r="M1367" s="22">
        <f>IF(AND(J1367=1,ISNUMBER(C1367)),C1367,"")</f>
        <v/>
      </c>
      <c r="N1367" s="31">
        <f>IF(AND(J1367=1,ISNUMBER(I1367)),I1367,"")</f>
        <v/>
      </c>
      <c r="O1367" s="11">
        <f>IF(K1367="","",100-IF($G$13=1,50,(_xlfn.RANK.AVG(K1367,$K$19:$K$1518,1)-1)/($G$13-1)*100))</f>
        <v/>
      </c>
      <c r="P1367" s="11">
        <f>IF(L1367="","",100-IF($G$14=1,50,(_xlfn.RANK.AVG(L1367,$L$19:$L$1518,1)-1)/($G$14-1)*100))</f>
        <v/>
      </c>
      <c r="Q1367" s="11">
        <f>IF(M1367="","",IF($G$15=1,50,(_xlfn.RANK.AVG(M1367,$M$19:$M$1518,1)-1)/($G$15-1)*100))</f>
        <v/>
      </c>
      <c r="R1367" s="11">
        <f>IF(N1367="","",IF($G$16=1,50,(_xlfn.RANK.AVG(N1367,$N$19:$N$1518,1)-1)/($G$16-1)*100))</f>
        <v/>
      </c>
      <c r="S1367" s="11">
        <f>IF(COUNT(O1367:R1367)=4,ROUND(AVERAGE(O1367:R1367),6),"")</f>
        <v/>
      </c>
      <c r="U1367">
        <f>IF(AND(ISNUMBER('자료_한국심리'!$A1351),ISNUMBER('자료_한국심리'!$B1351)),'자료_한국심리'!$A1351,"")</f>
        <v/>
      </c>
      <c r="V1367">
        <f>IF(AND(ISNUMBER('자료_한국심리'!$D1351),ISNUMBER('자료_한국심리'!$E1351)),'자료_한국심리'!$D1351,"")</f>
        <v/>
      </c>
      <c r="W1367">
        <f>IF(AND(ISNUMBER('자료_한국심리'!$G1351),ISNUMBER('자료_한국심리'!$H1351)),'자료_한국심리'!$G1351,"")</f>
        <v/>
      </c>
      <c r="X1367">
        <f>IF(AND(ISNUMBER('자료_한국심리'!$J1351),ISNUMBER('자료_한국심리'!$K1351)),'자료_한국심리'!$J1351,"")</f>
        <v/>
      </c>
      <c r="Y1367">
        <f>IF(AND(ISNUMBER('자료_한국심리'!$M1351),ISNUMBER('자료_한국심리'!$N1351)),'자료_한국심리'!$M1351,"")</f>
        <v/>
      </c>
    </row>
    <row r="1368">
      <c r="A1368" s="10">
        <f>IF(1350&gt;$E$5,"",SMALL($U$19:$U$4018,$E$6+1350))</f>
        <v/>
      </c>
      <c r="B1368" s="29">
        <f>IF(A1368="","",INDEX('자료_한국심리'!$B$3:$B$4002,MATCH(A1368,$U$19:$U$4018,0)))</f>
        <v/>
      </c>
      <c r="C1368" s="22">
        <f>IF(A1368="","",B1368/AVERAGE(B1244:B1368)-1)</f>
        <v/>
      </c>
      <c r="D1368" s="29">
        <f>IF(A1368="","",IFERROR(INDEX('자료_한국심리'!$E$3:$E$4002,MATCH(A1368,$V$19:$V$4018,0)),D1367))</f>
        <v/>
      </c>
      <c r="E1368" s="30">
        <f>IF(A1368="","",IFERROR(INDEX('자료_한국심리'!$H$3:$H$4002,MATCH(A1368,$W$19:$W$4018,0)),E1367))</f>
        <v/>
      </c>
      <c r="F1368" s="30">
        <f>IF(A1368="","",IFERROR(INDEX('자료_한국심리'!$K$3:$K$4002,MATCH(A1368,$X$19:$X$4018,0)),F1367))</f>
        <v/>
      </c>
      <c r="G1368" s="30">
        <f>IF(AND(ISNUMBER(E1368),ISNUMBER(F1368)),ROUND(E1368-F1368,6),"")</f>
        <v/>
      </c>
      <c r="H1368" s="25">
        <f>IF(A1368="","",IFERROR(INDEX('자료_한국심리'!$N$3:$N$4002,MATCH(A1368,$Y$19:$Y$4018,0)),H1367))</f>
        <v/>
      </c>
      <c r="I1368" s="31">
        <f>IF(AND(ISNUMBER(H1368),ISNUMBER(H1348)),IF(H1348&gt;0,H1368/H1348-1,""),"")</f>
        <v/>
      </c>
      <c r="J1368">
        <f>IF(A1368="",0,IF(A1368&gt;$B$5,1,0))</f>
        <v/>
      </c>
      <c r="K1368" s="29">
        <f>IF(AND(J1368=1,ISNUMBER(D1368)),D1368,"")</f>
        <v/>
      </c>
      <c r="L1368" s="30">
        <f>IF(AND(J1368=1,ISNUMBER(G1368)),G1368,"")</f>
        <v/>
      </c>
      <c r="M1368" s="22">
        <f>IF(AND(J1368=1,ISNUMBER(C1368)),C1368,"")</f>
        <v/>
      </c>
      <c r="N1368" s="31">
        <f>IF(AND(J1368=1,ISNUMBER(I1368)),I1368,"")</f>
        <v/>
      </c>
      <c r="O1368" s="11">
        <f>IF(K1368="","",100-IF($G$13=1,50,(_xlfn.RANK.AVG(K1368,$K$19:$K$1518,1)-1)/($G$13-1)*100))</f>
        <v/>
      </c>
      <c r="P1368" s="11">
        <f>IF(L1368="","",100-IF($G$14=1,50,(_xlfn.RANK.AVG(L1368,$L$19:$L$1518,1)-1)/($G$14-1)*100))</f>
        <v/>
      </c>
      <c r="Q1368" s="11">
        <f>IF(M1368="","",IF($G$15=1,50,(_xlfn.RANK.AVG(M1368,$M$19:$M$1518,1)-1)/($G$15-1)*100))</f>
        <v/>
      </c>
      <c r="R1368" s="11">
        <f>IF(N1368="","",IF($G$16=1,50,(_xlfn.RANK.AVG(N1368,$N$19:$N$1518,1)-1)/($G$16-1)*100))</f>
        <v/>
      </c>
      <c r="S1368" s="11">
        <f>IF(COUNT(O1368:R1368)=4,ROUND(AVERAGE(O1368:R1368),6),"")</f>
        <v/>
      </c>
      <c r="U1368">
        <f>IF(AND(ISNUMBER('자료_한국심리'!$A1352),ISNUMBER('자료_한국심리'!$B1352)),'자료_한국심리'!$A1352,"")</f>
        <v/>
      </c>
      <c r="V1368">
        <f>IF(AND(ISNUMBER('자료_한국심리'!$D1352),ISNUMBER('자료_한국심리'!$E1352)),'자료_한국심리'!$D1352,"")</f>
        <v/>
      </c>
      <c r="W1368">
        <f>IF(AND(ISNUMBER('자료_한국심리'!$G1352),ISNUMBER('자료_한국심리'!$H1352)),'자료_한국심리'!$G1352,"")</f>
        <v/>
      </c>
      <c r="X1368">
        <f>IF(AND(ISNUMBER('자료_한국심리'!$J1352),ISNUMBER('자료_한국심리'!$K1352)),'자료_한국심리'!$J1352,"")</f>
        <v/>
      </c>
      <c r="Y1368">
        <f>IF(AND(ISNUMBER('자료_한국심리'!$M1352),ISNUMBER('자료_한국심리'!$N1352)),'자료_한국심리'!$M1352,"")</f>
        <v/>
      </c>
    </row>
    <row r="1369">
      <c r="A1369" s="10">
        <f>IF(1351&gt;$E$5,"",SMALL($U$19:$U$4018,$E$6+1351))</f>
        <v/>
      </c>
      <c r="B1369" s="29">
        <f>IF(A1369="","",INDEX('자료_한국심리'!$B$3:$B$4002,MATCH(A1369,$U$19:$U$4018,0)))</f>
        <v/>
      </c>
      <c r="C1369" s="22">
        <f>IF(A1369="","",B1369/AVERAGE(B1245:B1369)-1)</f>
        <v/>
      </c>
      <c r="D1369" s="29">
        <f>IF(A1369="","",IFERROR(INDEX('자료_한국심리'!$E$3:$E$4002,MATCH(A1369,$V$19:$V$4018,0)),D1368))</f>
        <v/>
      </c>
      <c r="E1369" s="30">
        <f>IF(A1369="","",IFERROR(INDEX('자료_한국심리'!$H$3:$H$4002,MATCH(A1369,$W$19:$W$4018,0)),E1368))</f>
        <v/>
      </c>
      <c r="F1369" s="30">
        <f>IF(A1369="","",IFERROR(INDEX('자료_한국심리'!$K$3:$K$4002,MATCH(A1369,$X$19:$X$4018,0)),F1368))</f>
        <v/>
      </c>
      <c r="G1369" s="30">
        <f>IF(AND(ISNUMBER(E1369),ISNUMBER(F1369)),ROUND(E1369-F1369,6),"")</f>
        <v/>
      </c>
      <c r="H1369" s="25">
        <f>IF(A1369="","",IFERROR(INDEX('자료_한국심리'!$N$3:$N$4002,MATCH(A1369,$Y$19:$Y$4018,0)),H1368))</f>
        <v/>
      </c>
      <c r="I1369" s="31">
        <f>IF(AND(ISNUMBER(H1369),ISNUMBER(H1349)),IF(H1349&gt;0,H1369/H1349-1,""),"")</f>
        <v/>
      </c>
      <c r="J1369">
        <f>IF(A1369="",0,IF(A1369&gt;$B$5,1,0))</f>
        <v/>
      </c>
      <c r="K1369" s="29">
        <f>IF(AND(J1369=1,ISNUMBER(D1369)),D1369,"")</f>
        <v/>
      </c>
      <c r="L1369" s="30">
        <f>IF(AND(J1369=1,ISNUMBER(G1369)),G1369,"")</f>
        <v/>
      </c>
      <c r="M1369" s="22">
        <f>IF(AND(J1369=1,ISNUMBER(C1369)),C1369,"")</f>
        <v/>
      </c>
      <c r="N1369" s="31">
        <f>IF(AND(J1369=1,ISNUMBER(I1369)),I1369,"")</f>
        <v/>
      </c>
      <c r="O1369" s="11">
        <f>IF(K1369="","",100-IF($G$13=1,50,(_xlfn.RANK.AVG(K1369,$K$19:$K$1518,1)-1)/($G$13-1)*100))</f>
        <v/>
      </c>
      <c r="P1369" s="11">
        <f>IF(L1369="","",100-IF($G$14=1,50,(_xlfn.RANK.AVG(L1369,$L$19:$L$1518,1)-1)/($G$14-1)*100))</f>
        <v/>
      </c>
      <c r="Q1369" s="11">
        <f>IF(M1369="","",IF($G$15=1,50,(_xlfn.RANK.AVG(M1369,$M$19:$M$1518,1)-1)/($G$15-1)*100))</f>
        <v/>
      </c>
      <c r="R1369" s="11">
        <f>IF(N1369="","",IF($G$16=1,50,(_xlfn.RANK.AVG(N1369,$N$19:$N$1518,1)-1)/($G$16-1)*100))</f>
        <v/>
      </c>
      <c r="S1369" s="11">
        <f>IF(COUNT(O1369:R1369)=4,ROUND(AVERAGE(O1369:R1369),6),"")</f>
        <v/>
      </c>
      <c r="U1369">
        <f>IF(AND(ISNUMBER('자료_한국심리'!$A1353),ISNUMBER('자료_한국심리'!$B1353)),'자료_한국심리'!$A1353,"")</f>
        <v/>
      </c>
      <c r="V1369">
        <f>IF(AND(ISNUMBER('자료_한국심리'!$D1353),ISNUMBER('자료_한국심리'!$E1353)),'자료_한국심리'!$D1353,"")</f>
        <v/>
      </c>
      <c r="W1369">
        <f>IF(AND(ISNUMBER('자료_한국심리'!$G1353),ISNUMBER('자료_한국심리'!$H1353)),'자료_한국심리'!$G1353,"")</f>
        <v/>
      </c>
      <c r="X1369">
        <f>IF(AND(ISNUMBER('자료_한국심리'!$J1353),ISNUMBER('자료_한국심리'!$K1353)),'자료_한국심리'!$J1353,"")</f>
        <v/>
      </c>
      <c r="Y1369">
        <f>IF(AND(ISNUMBER('자료_한국심리'!$M1353),ISNUMBER('자료_한국심리'!$N1353)),'자료_한국심리'!$M1353,"")</f>
        <v/>
      </c>
    </row>
    <row r="1370">
      <c r="A1370" s="10">
        <f>IF(1352&gt;$E$5,"",SMALL($U$19:$U$4018,$E$6+1352))</f>
        <v/>
      </c>
      <c r="B1370" s="29">
        <f>IF(A1370="","",INDEX('자료_한국심리'!$B$3:$B$4002,MATCH(A1370,$U$19:$U$4018,0)))</f>
        <v/>
      </c>
      <c r="C1370" s="22">
        <f>IF(A1370="","",B1370/AVERAGE(B1246:B1370)-1)</f>
        <v/>
      </c>
      <c r="D1370" s="29">
        <f>IF(A1370="","",IFERROR(INDEX('자료_한국심리'!$E$3:$E$4002,MATCH(A1370,$V$19:$V$4018,0)),D1369))</f>
        <v/>
      </c>
      <c r="E1370" s="30">
        <f>IF(A1370="","",IFERROR(INDEX('자료_한국심리'!$H$3:$H$4002,MATCH(A1370,$W$19:$W$4018,0)),E1369))</f>
        <v/>
      </c>
      <c r="F1370" s="30">
        <f>IF(A1370="","",IFERROR(INDEX('자료_한국심리'!$K$3:$K$4002,MATCH(A1370,$X$19:$X$4018,0)),F1369))</f>
        <v/>
      </c>
      <c r="G1370" s="30">
        <f>IF(AND(ISNUMBER(E1370),ISNUMBER(F1370)),ROUND(E1370-F1370,6),"")</f>
        <v/>
      </c>
      <c r="H1370" s="25">
        <f>IF(A1370="","",IFERROR(INDEX('자료_한국심리'!$N$3:$N$4002,MATCH(A1370,$Y$19:$Y$4018,0)),H1369))</f>
        <v/>
      </c>
      <c r="I1370" s="31">
        <f>IF(AND(ISNUMBER(H1370),ISNUMBER(H1350)),IF(H1350&gt;0,H1370/H1350-1,""),"")</f>
        <v/>
      </c>
      <c r="J1370">
        <f>IF(A1370="",0,IF(A1370&gt;$B$5,1,0))</f>
        <v/>
      </c>
      <c r="K1370" s="29">
        <f>IF(AND(J1370=1,ISNUMBER(D1370)),D1370,"")</f>
        <v/>
      </c>
      <c r="L1370" s="30">
        <f>IF(AND(J1370=1,ISNUMBER(G1370)),G1370,"")</f>
        <v/>
      </c>
      <c r="M1370" s="22">
        <f>IF(AND(J1370=1,ISNUMBER(C1370)),C1370,"")</f>
        <v/>
      </c>
      <c r="N1370" s="31">
        <f>IF(AND(J1370=1,ISNUMBER(I1370)),I1370,"")</f>
        <v/>
      </c>
      <c r="O1370" s="11">
        <f>IF(K1370="","",100-IF($G$13=1,50,(_xlfn.RANK.AVG(K1370,$K$19:$K$1518,1)-1)/($G$13-1)*100))</f>
        <v/>
      </c>
      <c r="P1370" s="11">
        <f>IF(L1370="","",100-IF($G$14=1,50,(_xlfn.RANK.AVG(L1370,$L$19:$L$1518,1)-1)/($G$14-1)*100))</f>
        <v/>
      </c>
      <c r="Q1370" s="11">
        <f>IF(M1370="","",IF($G$15=1,50,(_xlfn.RANK.AVG(M1370,$M$19:$M$1518,1)-1)/($G$15-1)*100))</f>
        <v/>
      </c>
      <c r="R1370" s="11">
        <f>IF(N1370="","",IF($G$16=1,50,(_xlfn.RANK.AVG(N1370,$N$19:$N$1518,1)-1)/($G$16-1)*100))</f>
        <v/>
      </c>
      <c r="S1370" s="11">
        <f>IF(COUNT(O1370:R1370)=4,ROUND(AVERAGE(O1370:R1370),6),"")</f>
        <v/>
      </c>
      <c r="U1370">
        <f>IF(AND(ISNUMBER('자료_한국심리'!$A1354),ISNUMBER('자료_한국심리'!$B1354)),'자료_한국심리'!$A1354,"")</f>
        <v/>
      </c>
      <c r="V1370">
        <f>IF(AND(ISNUMBER('자료_한국심리'!$D1354),ISNUMBER('자료_한국심리'!$E1354)),'자료_한국심리'!$D1354,"")</f>
        <v/>
      </c>
      <c r="W1370">
        <f>IF(AND(ISNUMBER('자료_한국심리'!$G1354),ISNUMBER('자료_한국심리'!$H1354)),'자료_한국심리'!$G1354,"")</f>
        <v/>
      </c>
      <c r="X1370">
        <f>IF(AND(ISNUMBER('자료_한국심리'!$J1354),ISNUMBER('자료_한국심리'!$K1354)),'자료_한국심리'!$J1354,"")</f>
        <v/>
      </c>
      <c r="Y1370">
        <f>IF(AND(ISNUMBER('자료_한국심리'!$M1354),ISNUMBER('자료_한국심리'!$N1354)),'자료_한국심리'!$M1354,"")</f>
        <v/>
      </c>
    </row>
    <row r="1371">
      <c r="A1371" s="10">
        <f>IF(1353&gt;$E$5,"",SMALL($U$19:$U$4018,$E$6+1353))</f>
        <v/>
      </c>
      <c r="B1371" s="29">
        <f>IF(A1371="","",INDEX('자료_한국심리'!$B$3:$B$4002,MATCH(A1371,$U$19:$U$4018,0)))</f>
        <v/>
      </c>
      <c r="C1371" s="22">
        <f>IF(A1371="","",B1371/AVERAGE(B1247:B1371)-1)</f>
        <v/>
      </c>
      <c r="D1371" s="29">
        <f>IF(A1371="","",IFERROR(INDEX('자료_한국심리'!$E$3:$E$4002,MATCH(A1371,$V$19:$V$4018,0)),D1370))</f>
        <v/>
      </c>
      <c r="E1371" s="30">
        <f>IF(A1371="","",IFERROR(INDEX('자료_한국심리'!$H$3:$H$4002,MATCH(A1371,$W$19:$W$4018,0)),E1370))</f>
        <v/>
      </c>
      <c r="F1371" s="30">
        <f>IF(A1371="","",IFERROR(INDEX('자료_한국심리'!$K$3:$K$4002,MATCH(A1371,$X$19:$X$4018,0)),F1370))</f>
        <v/>
      </c>
      <c r="G1371" s="30">
        <f>IF(AND(ISNUMBER(E1371),ISNUMBER(F1371)),ROUND(E1371-F1371,6),"")</f>
        <v/>
      </c>
      <c r="H1371" s="25">
        <f>IF(A1371="","",IFERROR(INDEX('자료_한국심리'!$N$3:$N$4002,MATCH(A1371,$Y$19:$Y$4018,0)),H1370))</f>
        <v/>
      </c>
      <c r="I1371" s="31">
        <f>IF(AND(ISNUMBER(H1371),ISNUMBER(H1351)),IF(H1351&gt;0,H1371/H1351-1,""),"")</f>
        <v/>
      </c>
      <c r="J1371">
        <f>IF(A1371="",0,IF(A1371&gt;$B$5,1,0))</f>
        <v/>
      </c>
      <c r="K1371" s="29">
        <f>IF(AND(J1371=1,ISNUMBER(D1371)),D1371,"")</f>
        <v/>
      </c>
      <c r="L1371" s="30">
        <f>IF(AND(J1371=1,ISNUMBER(G1371)),G1371,"")</f>
        <v/>
      </c>
      <c r="M1371" s="22">
        <f>IF(AND(J1371=1,ISNUMBER(C1371)),C1371,"")</f>
        <v/>
      </c>
      <c r="N1371" s="31">
        <f>IF(AND(J1371=1,ISNUMBER(I1371)),I1371,"")</f>
        <v/>
      </c>
      <c r="O1371" s="11">
        <f>IF(K1371="","",100-IF($G$13=1,50,(_xlfn.RANK.AVG(K1371,$K$19:$K$1518,1)-1)/($G$13-1)*100))</f>
        <v/>
      </c>
      <c r="P1371" s="11">
        <f>IF(L1371="","",100-IF($G$14=1,50,(_xlfn.RANK.AVG(L1371,$L$19:$L$1518,1)-1)/($G$14-1)*100))</f>
        <v/>
      </c>
      <c r="Q1371" s="11">
        <f>IF(M1371="","",IF($G$15=1,50,(_xlfn.RANK.AVG(M1371,$M$19:$M$1518,1)-1)/($G$15-1)*100))</f>
        <v/>
      </c>
      <c r="R1371" s="11">
        <f>IF(N1371="","",IF($G$16=1,50,(_xlfn.RANK.AVG(N1371,$N$19:$N$1518,1)-1)/($G$16-1)*100))</f>
        <v/>
      </c>
      <c r="S1371" s="11">
        <f>IF(COUNT(O1371:R1371)=4,ROUND(AVERAGE(O1371:R1371),6),"")</f>
        <v/>
      </c>
      <c r="U1371">
        <f>IF(AND(ISNUMBER('자료_한국심리'!$A1355),ISNUMBER('자료_한국심리'!$B1355)),'자료_한국심리'!$A1355,"")</f>
        <v/>
      </c>
      <c r="V1371">
        <f>IF(AND(ISNUMBER('자료_한국심리'!$D1355),ISNUMBER('자료_한국심리'!$E1355)),'자료_한국심리'!$D1355,"")</f>
        <v/>
      </c>
      <c r="W1371">
        <f>IF(AND(ISNUMBER('자료_한국심리'!$G1355),ISNUMBER('자료_한국심리'!$H1355)),'자료_한국심리'!$G1355,"")</f>
        <v/>
      </c>
      <c r="X1371">
        <f>IF(AND(ISNUMBER('자료_한국심리'!$J1355),ISNUMBER('자료_한국심리'!$K1355)),'자료_한국심리'!$J1355,"")</f>
        <v/>
      </c>
      <c r="Y1371">
        <f>IF(AND(ISNUMBER('자료_한국심리'!$M1355),ISNUMBER('자료_한국심리'!$N1355)),'자료_한국심리'!$M1355,"")</f>
        <v/>
      </c>
    </row>
    <row r="1372">
      <c r="A1372" s="10">
        <f>IF(1354&gt;$E$5,"",SMALL($U$19:$U$4018,$E$6+1354))</f>
        <v/>
      </c>
      <c r="B1372" s="29">
        <f>IF(A1372="","",INDEX('자료_한국심리'!$B$3:$B$4002,MATCH(A1372,$U$19:$U$4018,0)))</f>
        <v/>
      </c>
      <c r="C1372" s="22">
        <f>IF(A1372="","",B1372/AVERAGE(B1248:B1372)-1)</f>
        <v/>
      </c>
      <c r="D1372" s="29">
        <f>IF(A1372="","",IFERROR(INDEX('자료_한국심리'!$E$3:$E$4002,MATCH(A1372,$V$19:$V$4018,0)),D1371))</f>
        <v/>
      </c>
      <c r="E1372" s="30">
        <f>IF(A1372="","",IFERROR(INDEX('자료_한국심리'!$H$3:$H$4002,MATCH(A1372,$W$19:$W$4018,0)),E1371))</f>
        <v/>
      </c>
      <c r="F1372" s="30">
        <f>IF(A1372="","",IFERROR(INDEX('자료_한국심리'!$K$3:$K$4002,MATCH(A1372,$X$19:$X$4018,0)),F1371))</f>
        <v/>
      </c>
      <c r="G1372" s="30">
        <f>IF(AND(ISNUMBER(E1372),ISNUMBER(F1372)),ROUND(E1372-F1372,6),"")</f>
        <v/>
      </c>
      <c r="H1372" s="25">
        <f>IF(A1372="","",IFERROR(INDEX('자료_한국심리'!$N$3:$N$4002,MATCH(A1372,$Y$19:$Y$4018,0)),H1371))</f>
        <v/>
      </c>
      <c r="I1372" s="31">
        <f>IF(AND(ISNUMBER(H1372),ISNUMBER(H1352)),IF(H1352&gt;0,H1372/H1352-1,""),"")</f>
        <v/>
      </c>
      <c r="J1372">
        <f>IF(A1372="",0,IF(A1372&gt;$B$5,1,0))</f>
        <v/>
      </c>
      <c r="K1372" s="29">
        <f>IF(AND(J1372=1,ISNUMBER(D1372)),D1372,"")</f>
        <v/>
      </c>
      <c r="L1372" s="30">
        <f>IF(AND(J1372=1,ISNUMBER(G1372)),G1372,"")</f>
        <v/>
      </c>
      <c r="M1372" s="22">
        <f>IF(AND(J1372=1,ISNUMBER(C1372)),C1372,"")</f>
        <v/>
      </c>
      <c r="N1372" s="31">
        <f>IF(AND(J1372=1,ISNUMBER(I1372)),I1372,"")</f>
        <v/>
      </c>
      <c r="O1372" s="11">
        <f>IF(K1372="","",100-IF($G$13=1,50,(_xlfn.RANK.AVG(K1372,$K$19:$K$1518,1)-1)/($G$13-1)*100))</f>
        <v/>
      </c>
      <c r="P1372" s="11">
        <f>IF(L1372="","",100-IF($G$14=1,50,(_xlfn.RANK.AVG(L1372,$L$19:$L$1518,1)-1)/($G$14-1)*100))</f>
        <v/>
      </c>
      <c r="Q1372" s="11">
        <f>IF(M1372="","",IF($G$15=1,50,(_xlfn.RANK.AVG(M1372,$M$19:$M$1518,1)-1)/($G$15-1)*100))</f>
        <v/>
      </c>
      <c r="R1372" s="11">
        <f>IF(N1372="","",IF($G$16=1,50,(_xlfn.RANK.AVG(N1372,$N$19:$N$1518,1)-1)/($G$16-1)*100))</f>
        <v/>
      </c>
      <c r="S1372" s="11">
        <f>IF(COUNT(O1372:R1372)=4,ROUND(AVERAGE(O1372:R1372),6),"")</f>
        <v/>
      </c>
      <c r="U1372">
        <f>IF(AND(ISNUMBER('자료_한국심리'!$A1356),ISNUMBER('자료_한국심리'!$B1356)),'자료_한국심리'!$A1356,"")</f>
        <v/>
      </c>
      <c r="V1372">
        <f>IF(AND(ISNUMBER('자료_한국심리'!$D1356),ISNUMBER('자료_한국심리'!$E1356)),'자료_한국심리'!$D1356,"")</f>
        <v/>
      </c>
      <c r="W1372">
        <f>IF(AND(ISNUMBER('자료_한국심리'!$G1356),ISNUMBER('자료_한국심리'!$H1356)),'자료_한국심리'!$G1356,"")</f>
        <v/>
      </c>
      <c r="X1372">
        <f>IF(AND(ISNUMBER('자료_한국심리'!$J1356),ISNUMBER('자료_한국심리'!$K1356)),'자료_한국심리'!$J1356,"")</f>
        <v/>
      </c>
      <c r="Y1372">
        <f>IF(AND(ISNUMBER('자료_한국심리'!$M1356),ISNUMBER('자료_한국심리'!$N1356)),'자료_한국심리'!$M1356,"")</f>
        <v/>
      </c>
    </row>
    <row r="1373">
      <c r="A1373" s="10">
        <f>IF(1355&gt;$E$5,"",SMALL($U$19:$U$4018,$E$6+1355))</f>
        <v/>
      </c>
      <c r="B1373" s="29">
        <f>IF(A1373="","",INDEX('자료_한국심리'!$B$3:$B$4002,MATCH(A1373,$U$19:$U$4018,0)))</f>
        <v/>
      </c>
      <c r="C1373" s="22">
        <f>IF(A1373="","",B1373/AVERAGE(B1249:B1373)-1)</f>
        <v/>
      </c>
      <c r="D1373" s="29">
        <f>IF(A1373="","",IFERROR(INDEX('자료_한국심리'!$E$3:$E$4002,MATCH(A1373,$V$19:$V$4018,0)),D1372))</f>
        <v/>
      </c>
      <c r="E1373" s="30">
        <f>IF(A1373="","",IFERROR(INDEX('자료_한국심리'!$H$3:$H$4002,MATCH(A1373,$W$19:$W$4018,0)),E1372))</f>
        <v/>
      </c>
      <c r="F1373" s="30">
        <f>IF(A1373="","",IFERROR(INDEX('자료_한국심리'!$K$3:$K$4002,MATCH(A1373,$X$19:$X$4018,0)),F1372))</f>
        <v/>
      </c>
      <c r="G1373" s="30">
        <f>IF(AND(ISNUMBER(E1373),ISNUMBER(F1373)),ROUND(E1373-F1373,6),"")</f>
        <v/>
      </c>
      <c r="H1373" s="25">
        <f>IF(A1373="","",IFERROR(INDEX('자료_한국심리'!$N$3:$N$4002,MATCH(A1373,$Y$19:$Y$4018,0)),H1372))</f>
        <v/>
      </c>
      <c r="I1373" s="31">
        <f>IF(AND(ISNUMBER(H1373),ISNUMBER(H1353)),IF(H1353&gt;0,H1373/H1353-1,""),"")</f>
        <v/>
      </c>
      <c r="J1373">
        <f>IF(A1373="",0,IF(A1373&gt;$B$5,1,0))</f>
        <v/>
      </c>
      <c r="K1373" s="29">
        <f>IF(AND(J1373=1,ISNUMBER(D1373)),D1373,"")</f>
        <v/>
      </c>
      <c r="L1373" s="30">
        <f>IF(AND(J1373=1,ISNUMBER(G1373)),G1373,"")</f>
        <v/>
      </c>
      <c r="M1373" s="22">
        <f>IF(AND(J1373=1,ISNUMBER(C1373)),C1373,"")</f>
        <v/>
      </c>
      <c r="N1373" s="31">
        <f>IF(AND(J1373=1,ISNUMBER(I1373)),I1373,"")</f>
        <v/>
      </c>
      <c r="O1373" s="11">
        <f>IF(K1373="","",100-IF($G$13=1,50,(_xlfn.RANK.AVG(K1373,$K$19:$K$1518,1)-1)/($G$13-1)*100))</f>
        <v/>
      </c>
      <c r="P1373" s="11">
        <f>IF(L1373="","",100-IF($G$14=1,50,(_xlfn.RANK.AVG(L1373,$L$19:$L$1518,1)-1)/($G$14-1)*100))</f>
        <v/>
      </c>
      <c r="Q1373" s="11">
        <f>IF(M1373="","",IF($G$15=1,50,(_xlfn.RANK.AVG(M1373,$M$19:$M$1518,1)-1)/($G$15-1)*100))</f>
        <v/>
      </c>
      <c r="R1373" s="11">
        <f>IF(N1373="","",IF($G$16=1,50,(_xlfn.RANK.AVG(N1373,$N$19:$N$1518,1)-1)/($G$16-1)*100))</f>
        <v/>
      </c>
      <c r="S1373" s="11">
        <f>IF(COUNT(O1373:R1373)=4,ROUND(AVERAGE(O1373:R1373),6),"")</f>
        <v/>
      </c>
      <c r="U1373">
        <f>IF(AND(ISNUMBER('자료_한국심리'!$A1357),ISNUMBER('자료_한국심리'!$B1357)),'자료_한국심리'!$A1357,"")</f>
        <v/>
      </c>
      <c r="V1373">
        <f>IF(AND(ISNUMBER('자료_한국심리'!$D1357),ISNUMBER('자료_한국심리'!$E1357)),'자료_한국심리'!$D1357,"")</f>
        <v/>
      </c>
      <c r="W1373">
        <f>IF(AND(ISNUMBER('자료_한국심리'!$G1357),ISNUMBER('자료_한국심리'!$H1357)),'자료_한국심리'!$G1357,"")</f>
        <v/>
      </c>
      <c r="X1373">
        <f>IF(AND(ISNUMBER('자료_한국심리'!$J1357),ISNUMBER('자료_한국심리'!$K1357)),'자료_한국심리'!$J1357,"")</f>
        <v/>
      </c>
      <c r="Y1373">
        <f>IF(AND(ISNUMBER('자료_한국심리'!$M1357),ISNUMBER('자료_한국심리'!$N1357)),'자료_한국심리'!$M1357,"")</f>
        <v/>
      </c>
    </row>
    <row r="1374">
      <c r="A1374" s="10">
        <f>IF(1356&gt;$E$5,"",SMALL($U$19:$U$4018,$E$6+1356))</f>
        <v/>
      </c>
      <c r="B1374" s="29">
        <f>IF(A1374="","",INDEX('자료_한국심리'!$B$3:$B$4002,MATCH(A1374,$U$19:$U$4018,0)))</f>
        <v/>
      </c>
      <c r="C1374" s="22">
        <f>IF(A1374="","",B1374/AVERAGE(B1250:B1374)-1)</f>
        <v/>
      </c>
      <c r="D1374" s="29">
        <f>IF(A1374="","",IFERROR(INDEX('자료_한국심리'!$E$3:$E$4002,MATCH(A1374,$V$19:$V$4018,0)),D1373))</f>
        <v/>
      </c>
      <c r="E1374" s="30">
        <f>IF(A1374="","",IFERROR(INDEX('자료_한국심리'!$H$3:$H$4002,MATCH(A1374,$W$19:$W$4018,0)),E1373))</f>
        <v/>
      </c>
      <c r="F1374" s="30">
        <f>IF(A1374="","",IFERROR(INDEX('자료_한국심리'!$K$3:$K$4002,MATCH(A1374,$X$19:$X$4018,0)),F1373))</f>
        <v/>
      </c>
      <c r="G1374" s="30">
        <f>IF(AND(ISNUMBER(E1374),ISNUMBER(F1374)),ROUND(E1374-F1374,6),"")</f>
        <v/>
      </c>
      <c r="H1374" s="25">
        <f>IF(A1374="","",IFERROR(INDEX('자료_한국심리'!$N$3:$N$4002,MATCH(A1374,$Y$19:$Y$4018,0)),H1373))</f>
        <v/>
      </c>
      <c r="I1374" s="31">
        <f>IF(AND(ISNUMBER(H1374),ISNUMBER(H1354)),IF(H1354&gt;0,H1374/H1354-1,""),"")</f>
        <v/>
      </c>
      <c r="J1374">
        <f>IF(A1374="",0,IF(A1374&gt;$B$5,1,0))</f>
        <v/>
      </c>
      <c r="K1374" s="29">
        <f>IF(AND(J1374=1,ISNUMBER(D1374)),D1374,"")</f>
        <v/>
      </c>
      <c r="L1374" s="30">
        <f>IF(AND(J1374=1,ISNUMBER(G1374)),G1374,"")</f>
        <v/>
      </c>
      <c r="M1374" s="22">
        <f>IF(AND(J1374=1,ISNUMBER(C1374)),C1374,"")</f>
        <v/>
      </c>
      <c r="N1374" s="31">
        <f>IF(AND(J1374=1,ISNUMBER(I1374)),I1374,"")</f>
        <v/>
      </c>
      <c r="O1374" s="11">
        <f>IF(K1374="","",100-IF($G$13=1,50,(_xlfn.RANK.AVG(K1374,$K$19:$K$1518,1)-1)/($G$13-1)*100))</f>
        <v/>
      </c>
      <c r="P1374" s="11">
        <f>IF(L1374="","",100-IF($G$14=1,50,(_xlfn.RANK.AVG(L1374,$L$19:$L$1518,1)-1)/($G$14-1)*100))</f>
        <v/>
      </c>
      <c r="Q1374" s="11">
        <f>IF(M1374="","",IF($G$15=1,50,(_xlfn.RANK.AVG(M1374,$M$19:$M$1518,1)-1)/($G$15-1)*100))</f>
        <v/>
      </c>
      <c r="R1374" s="11">
        <f>IF(N1374="","",IF($G$16=1,50,(_xlfn.RANK.AVG(N1374,$N$19:$N$1518,1)-1)/($G$16-1)*100))</f>
        <v/>
      </c>
      <c r="S1374" s="11">
        <f>IF(COUNT(O1374:R1374)=4,ROUND(AVERAGE(O1374:R1374),6),"")</f>
        <v/>
      </c>
      <c r="U1374">
        <f>IF(AND(ISNUMBER('자료_한국심리'!$A1358),ISNUMBER('자료_한국심리'!$B1358)),'자료_한국심리'!$A1358,"")</f>
        <v/>
      </c>
      <c r="V1374">
        <f>IF(AND(ISNUMBER('자료_한국심리'!$D1358),ISNUMBER('자료_한국심리'!$E1358)),'자료_한국심리'!$D1358,"")</f>
        <v/>
      </c>
      <c r="W1374">
        <f>IF(AND(ISNUMBER('자료_한국심리'!$G1358),ISNUMBER('자료_한국심리'!$H1358)),'자료_한국심리'!$G1358,"")</f>
        <v/>
      </c>
      <c r="X1374">
        <f>IF(AND(ISNUMBER('자료_한국심리'!$J1358),ISNUMBER('자료_한국심리'!$K1358)),'자료_한국심리'!$J1358,"")</f>
        <v/>
      </c>
      <c r="Y1374">
        <f>IF(AND(ISNUMBER('자료_한국심리'!$M1358),ISNUMBER('자료_한국심리'!$N1358)),'자료_한국심리'!$M1358,"")</f>
        <v/>
      </c>
    </row>
    <row r="1375">
      <c r="A1375" s="10">
        <f>IF(1357&gt;$E$5,"",SMALL($U$19:$U$4018,$E$6+1357))</f>
        <v/>
      </c>
      <c r="B1375" s="29">
        <f>IF(A1375="","",INDEX('자료_한국심리'!$B$3:$B$4002,MATCH(A1375,$U$19:$U$4018,0)))</f>
        <v/>
      </c>
      <c r="C1375" s="22">
        <f>IF(A1375="","",B1375/AVERAGE(B1251:B1375)-1)</f>
        <v/>
      </c>
      <c r="D1375" s="29">
        <f>IF(A1375="","",IFERROR(INDEX('자료_한국심리'!$E$3:$E$4002,MATCH(A1375,$V$19:$V$4018,0)),D1374))</f>
        <v/>
      </c>
      <c r="E1375" s="30">
        <f>IF(A1375="","",IFERROR(INDEX('자료_한국심리'!$H$3:$H$4002,MATCH(A1375,$W$19:$W$4018,0)),E1374))</f>
        <v/>
      </c>
      <c r="F1375" s="30">
        <f>IF(A1375="","",IFERROR(INDEX('자료_한국심리'!$K$3:$K$4002,MATCH(A1375,$X$19:$X$4018,0)),F1374))</f>
        <v/>
      </c>
      <c r="G1375" s="30">
        <f>IF(AND(ISNUMBER(E1375),ISNUMBER(F1375)),ROUND(E1375-F1375,6),"")</f>
        <v/>
      </c>
      <c r="H1375" s="25">
        <f>IF(A1375="","",IFERROR(INDEX('자료_한국심리'!$N$3:$N$4002,MATCH(A1375,$Y$19:$Y$4018,0)),H1374))</f>
        <v/>
      </c>
      <c r="I1375" s="31">
        <f>IF(AND(ISNUMBER(H1375),ISNUMBER(H1355)),IF(H1355&gt;0,H1375/H1355-1,""),"")</f>
        <v/>
      </c>
      <c r="J1375">
        <f>IF(A1375="",0,IF(A1375&gt;$B$5,1,0))</f>
        <v/>
      </c>
      <c r="K1375" s="29">
        <f>IF(AND(J1375=1,ISNUMBER(D1375)),D1375,"")</f>
        <v/>
      </c>
      <c r="L1375" s="30">
        <f>IF(AND(J1375=1,ISNUMBER(G1375)),G1375,"")</f>
        <v/>
      </c>
      <c r="M1375" s="22">
        <f>IF(AND(J1375=1,ISNUMBER(C1375)),C1375,"")</f>
        <v/>
      </c>
      <c r="N1375" s="31">
        <f>IF(AND(J1375=1,ISNUMBER(I1375)),I1375,"")</f>
        <v/>
      </c>
      <c r="O1375" s="11">
        <f>IF(K1375="","",100-IF($G$13=1,50,(_xlfn.RANK.AVG(K1375,$K$19:$K$1518,1)-1)/($G$13-1)*100))</f>
        <v/>
      </c>
      <c r="P1375" s="11">
        <f>IF(L1375="","",100-IF($G$14=1,50,(_xlfn.RANK.AVG(L1375,$L$19:$L$1518,1)-1)/($G$14-1)*100))</f>
        <v/>
      </c>
      <c r="Q1375" s="11">
        <f>IF(M1375="","",IF($G$15=1,50,(_xlfn.RANK.AVG(M1375,$M$19:$M$1518,1)-1)/($G$15-1)*100))</f>
        <v/>
      </c>
      <c r="R1375" s="11">
        <f>IF(N1375="","",IF($G$16=1,50,(_xlfn.RANK.AVG(N1375,$N$19:$N$1518,1)-1)/($G$16-1)*100))</f>
        <v/>
      </c>
      <c r="S1375" s="11">
        <f>IF(COUNT(O1375:R1375)=4,ROUND(AVERAGE(O1375:R1375),6),"")</f>
        <v/>
      </c>
      <c r="U1375">
        <f>IF(AND(ISNUMBER('자료_한국심리'!$A1359),ISNUMBER('자료_한국심리'!$B1359)),'자료_한국심리'!$A1359,"")</f>
        <v/>
      </c>
      <c r="V1375">
        <f>IF(AND(ISNUMBER('자료_한국심리'!$D1359),ISNUMBER('자료_한국심리'!$E1359)),'자료_한국심리'!$D1359,"")</f>
        <v/>
      </c>
      <c r="W1375">
        <f>IF(AND(ISNUMBER('자료_한국심리'!$G1359),ISNUMBER('자료_한국심리'!$H1359)),'자료_한국심리'!$G1359,"")</f>
        <v/>
      </c>
      <c r="X1375">
        <f>IF(AND(ISNUMBER('자료_한국심리'!$J1359),ISNUMBER('자료_한국심리'!$K1359)),'자료_한국심리'!$J1359,"")</f>
        <v/>
      </c>
      <c r="Y1375">
        <f>IF(AND(ISNUMBER('자료_한국심리'!$M1359),ISNUMBER('자료_한국심리'!$N1359)),'자료_한국심리'!$M1359,"")</f>
        <v/>
      </c>
    </row>
    <row r="1376">
      <c r="A1376" s="10">
        <f>IF(1358&gt;$E$5,"",SMALL($U$19:$U$4018,$E$6+1358))</f>
        <v/>
      </c>
      <c r="B1376" s="29">
        <f>IF(A1376="","",INDEX('자료_한국심리'!$B$3:$B$4002,MATCH(A1376,$U$19:$U$4018,0)))</f>
        <v/>
      </c>
      <c r="C1376" s="22">
        <f>IF(A1376="","",B1376/AVERAGE(B1252:B1376)-1)</f>
        <v/>
      </c>
      <c r="D1376" s="29">
        <f>IF(A1376="","",IFERROR(INDEX('자료_한국심리'!$E$3:$E$4002,MATCH(A1376,$V$19:$V$4018,0)),D1375))</f>
        <v/>
      </c>
      <c r="E1376" s="30">
        <f>IF(A1376="","",IFERROR(INDEX('자료_한국심리'!$H$3:$H$4002,MATCH(A1376,$W$19:$W$4018,0)),E1375))</f>
        <v/>
      </c>
      <c r="F1376" s="30">
        <f>IF(A1376="","",IFERROR(INDEX('자료_한국심리'!$K$3:$K$4002,MATCH(A1376,$X$19:$X$4018,0)),F1375))</f>
        <v/>
      </c>
      <c r="G1376" s="30">
        <f>IF(AND(ISNUMBER(E1376),ISNUMBER(F1376)),ROUND(E1376-F1376,6),"")</f>
        <v/>
      </c>
      <c r="H1376" s="25">
        <f>IF(A1376="","",IFERROR(INDEX('자료_한국심리'!$N$3:$N$4002,MATCH(A1376,$Y$19:$Y$4018,0)),H1375))</f>
        <v/>
      </c>
      <c r="I1376" s="31">
        <f>IF(AND(ISNUMBER(H1376),ISNUMBER(H1356)),IF(H1356&gt;0,H1376/H1356-1,""),"")</f>
        <v/>
      </c>
      <c r="J1376">
        <f>IF(A1376="",0,IF(A1376&gt;$B$5,1,0))</f>
        <v/>
      </c>
      <c r="K1376" s="29">
        <f>IF(AND(J1376=1,ISNUMBER(D1376)),D1376,"")</f>
        <v/>
      </c>
      <c r="L1376" s="30">
        <f>IF(AND(J1376=1,ISNUMBER(G1376)),G1376,"")</f>
        <v/>
      </c>
      <c r="M1376" s="22">
        <f>IF(AND(J1376=1,ISNUMBER(C1376)),C1376,"")</f>
        <v/>
      </c>
      <c r="N1376" s="31">
        <f>IF(AND(J1376=1,ISNUMBER(I1376)),I1376,"")</f>
        <v/>
      </c>
      <c r="O1376" s="11">
        <f>IF(K1376="","",100-IF($G$13=1,50,(_xlfn.RANK.AVG(K1376,$K$19:$K$1518,1)-1)/($G$13-1)*100))</f>
        <v/>
      </c>
      <c r="P1376" s="11">
        <f>IF(L1376="","",100-IF($G$14=1,50,(_xlfn.RANK.AVG(L1376,$L$19:$L$1518,1)-1)/($G$14-1)*100))</f>
        <v/>
      </c>
      <c r="Q1376" s="11">
        <f>IF(M1376="","",IF($G$15=1,50,(_xlfn.RANK.AVG(M1376,$M$19:$M$1518,1)-1)/($G$15-1)*100))</f>
        <v/>
      </c>
      <c r="R1376" s="11">
        <f>IF(N1376="","",IF($G$16=1,50,(_xlfn.RANK.AVG(N1376,$N$19:$N$1518,1)-1)/($G$16-1)*100))</f>
        <v/>
      </c>
      <c r="S1376" s="11">
        <f>IF(COUNT(O1376:R1376)=4,ROUND(AVERAGE(O1376:R1376),6),"")</f>
        <v/>
      </c>
      <c r="U1376">
        <f>IF(AND(ISNUMBER('자료_한국심리'!$A1360),ISNUMBER('자료_한국심리'!$B1360)),'자료_한국심리'!$A1360,"")</f>
        <v/>
      </c>
      <c r="V1376">
        <f>IF(AND(ISNUMBER('자료_한국심리'!$D1360),ISNUMBER('자료_한국심리'!$E1360)),'자료_한국심리'!$D1360,"")</f>
        <v/>
      </c>
      <c r="W1376">
        <f>IF(AND(ISNUMBER('자료_한국심리'!$G1360),ISNUMBER('자료_한국심리'!$H1360)),'자료_한국심리'!$G1360,"")</f>
        <v/>
      </c>
      <c r="X1376">
        <f>IF(AND(ISNUMBER('자료_한국심리'!$J1360),ISNUMBER('자료_한국심리'!$K1360)),'자료_한국심리'!$J1360,"")</f>
        <v/>
      </c>
      <c r="Y1376">
        <f>IF(AND(ISNUMBER('자료_한국심리'!$M1360),ISNUMBER('자료_한국심리'!$N1360)),'자료_한국심리'!$M1360,"")</f>
        <v/>
      </c>
    </row>
    <row r="1377">
      <c r="A1377" s="10">
        <f>IF(1359&gt;$E$5,"",SMALL($U$19:$U$4018,$E$6+1359))</f>
        <v/>
      </c>
      <c r="B1377" s="29">
        <f>IF(A1377="","",INDEX('자료_한국심리'!$B$3:$B$4002,MATCH(A1377,$U$19:$U$4018,0)))</f>
        <v/>
      </c>
      <c r="C1377" s="22">
        <f>IF(A1377="","",B1377/AVERAGE(B1253:B1377)-1)</f>
        <v/>
      </c>
      <c r="D1377" s="29">
        <f>IF(A1377="","",IFERROR(INDEX('자료_한국심리'!$E$3:$E$4002,MATCH(A1377,$V$19:$V$4018,0)),D1376))</f>
        <v/>
      </c>
      <c r="E1377" s="30">
        <f>IF(A1377="","",IFERROR(INDEX('자료_한국심리'!$H$3:$H$4002,MATCH(A1377,$W$19:$W$4018,0)),E1376))</f>
        <v/>
      </c>
      <c r="F1377" s="30">
        <f>IF(A1377="","",IFERROR(INDEX('자료_한국심리'!$K$3:$K$4002,MATCH(A1377,$X$19:$X$4018,0)),F1376))</f>
        <v/>
      </c>
      <c r="G1377" s="30">
        <f>IF(AND(ISNUMBER(E1377),ISNUMBER(F1377)),ROUND(E1377-F1377,6),"")</f>
        <v/>
      </c>
      <c r="H1377" s="25">
        <f>IF(A1377="","",IFERROR(INDEX('자료_한국심리'!$N$3:$N$4002,MATCH(A1377,$Y$19:$Y$4018,0)),H1376))</f>
        <v/>
      </c>
      <c r="I1377" s="31">
        <f>IF(AND(ISNUMBER(H1377),ISNUMBER(H1357)),IF(H1357&gt;0,H1377/H1357-1,""),"")</f>
        <v/>
      </c>
      <c r="J1377">
        <f>IF(A1377="",0,IF(A1377&gt;$B$5,1,0))</f>
        <v/>
      </c>
      <c r="K1377" s="29">
        <f>IF(AND(J1377=1,ISNUMBER(D1377)),D1377,"")</f>
        <v/>
      </c>
      <c r="L1377" s="30">
        <f>IF(AND(J1377=1,ISNUMBER(G1377)),G1377,"")</f>
        <v/>
      </c>
      <c r="M1377" s="22">
        <f>IF(AND(J1377=1,ISNUMBER(C1377)),C1377,"")</f>
        <v/>
      </c>
      <c r="N1377" s="31">
        <f>IF(AND(J1377=1,ISNUMBER(I1377)),I1377,"")</f>
        <v/>
      </c>
      <c r="O1377" s="11">
        <f>IF(K1377="","",100-IF($G$13=1,50,(_xlfn.RANK.AVG(K1377,$K$19:$K$1518,1)-1)/($G$13-1)*100))</f>
        <v/>
      </c>
      <c r="P1377" s="11">
        <f>IF(L1377="","",100-IF($G$14=1,50,(_xlfn.RANK.AVG(L1377,$L$19:$L$1518,1)-1)/($G$14-1)*100))</f>
        <v/>
      </c>
      <c r="Q1377" s="11">
        <f>IF(M1377="","",IF($G$15=1,50,(_xlfn.RANK.AVG(M1377,$M$19:$M$1518,1)-1)/($G$15-1)*100))</f>
        <v/>
      </c>
      <c r="R1377" s="11">
        <f>IF(N1377="","",IF($G$16=1,50,(_xlfn.RANK.AVG(N1377,$N$19:$N$1518,1)-1)/($G$16-1)*100))</f>
        <v/>
      </c>
      <c r="S1377" s="11">
        <f>IF(COUNT(O1377:R1377)=4,ROUND(AVERAGE(O1377:R1377),6),"")</f>
        <v/>
      </c>
      <c r="U1377">
        <f>IF(AND(ISNUMBER('자료_한국심리'!$A1361),ISNUMBER('자료_한국심리'!$B1361)),'자료_한국심리'!$A1361,"")</f>
        <v/>
      </c>
      <c r="V1377">
        <f>IF(AND(ISNUMBER('자료_한국심리'!$D1361),ISNUMBER('자료_한국심리'!$E1361)),'자료_한국심리'!$D1361,"")</f>
        <v/>
      </c>
      <c r="W1377">
        <f>IF(AND(ISNUMBER('자료_한국심리'!$G1361),ISNUMBER('자료_한국심리'!$H1361)),'자료_한국심리'!$G1361,"")</f>
        <v/>
      </c>
      <c r="X1377">
        <f>IF(AND(ISNUMBER('자료_한국심리'!$J1361),ISNUMBER('자료_한국심리'!$K1361)),'자료_한국심리'!$J1361,"")</f>
        <v/>
      </c>
      <c r="Y1377">
        <f>IF(AND(ISNUMBER('자료_한국심리'!$M1361),ISNUMBER('자료_한국심리'!$N1361)),'자료_한국심리'!$M1361,"")</f>
        <v/>
      </c>
    </row>
    <row r="1378">
      <c r="A1378" s="10">
        <f>IF(1360&gt;$E$5,"",SMALL($U$19:$U$4018,$E$6+1360))</f>
        <v/>
      </c>
      <c r="B1378" s="29">
        <f>IF(A1378="","",INDEX('자료_한국심리'!$B$3:$B$4002,MATCH(A1378,$U$19:$U$4018,0)))</f>
        <v/>
      </c>
      <c r="C1378" s="22">
        <f>IF(A1378="","",B1378/AVERAGE(B1254:B1378)-1)</f>
        <v/>
      </c>
      <c r="D1378" s="29">
        <f>IF(A1378="","",IFERROR(INDEX('자료_한국심리'!$E$3:$E$4002,MATCH(A1378,$V$19:$V$4018,0)),D1377))</f>
        <v/>
      </c>
      <c r="E1378" s="30">
        <f>IF(A1378="","",IFERROR(INDEX('자료_한국심리'!$H$3:$H$4002,MATCH(A1378,$W$19:$W$4018,0)),E1377))</f>
        <v/>
      </c>
      <c r="F1378" s="30">
        <f>IF(A1378="","",IFERROR(INDEX('자료_한국심리'!$K$3:$K$4002,MATCH(A1378,$X$19:$X$4018,0)),F1377))</f>
        <v/>
      </c>
      <c r="G1378" s="30">
        <f>IF(AND(ISNUMBER(E1378),ISNUMBER(F1378)),ROUND(E1378-F1378,6),"")</f>
        <v/>
      </c>
      <c r="H1378" s="25">
        <f>IF(A1378="","",IFERROR(INDEX('자료_한국심리'!$N$3:$N$4002,MATCH(A1378,$Y$19:$Y$4018,0)),H1377))</f>
        <v/>
      </c>
      <c r="I1378" s="31">
        <f>IF(AND(ISNUMBER(H1378),ISNUMBER(H1358)),IF(H1358&gt;0,H1378/H1358-1,""),"")</f>
        <v/>
      </c>
      <c r="J1378">
        <f>IF(A1378="",0,IF(A1378&gt;$B$5,1,0))</f>
        <v/>
      </c>
      <c r="K1378" s="29">
        <f>IF(AND(J1378=1,ISNUMBER(D1378)),D1378,"")</f>
        <v/>
      </c>
      <c r="L1378" s="30">
        <f>IF(AND(J1378=1,ISNUMBER(G1378)),G1378,"")</f>
        <v/>
      </c>
      <c r="M1378" s="22">
        <f>IF(AND(J1378=1,ISNUMBER(C1378)),C1378,"")</f>
        <v/>
      </c>
      <c r="N1378" s="31">
        <f>IF(AND(J1378=1,ISNUMBER(I1378)),I1378,"")</f>
        <v/>
      </c>
      <c r="O1378" s="11">
        <f>IF(K1378="","",100-IF($G$13=1,50,(_xlfn.RANK.AVG(K1378,$K$19:$K$1518,1)-1)/($G$13-1)*100))</f>
        <v/>
      </c>
      <c r="P1378" s="11">
        <f>IF(L1378="","",100-IF($G$14=1,50,(_xlfn.RANK.AVG(L1378,$L$19:$L$1518,1)-1)/($G$14-1)*100))</f>
        <v/>
      </c>
      <c r="Q1378" s="11">
        <f>IF(M1378="","",IF($G$15=1,50,(_xlfn.RANK.AVG(M1378,$M$19:$M$1518,1)-1)/($G$15-1)*100))</f>
        <v/>
      </c>
      <c r="R1378" s="11">
        <f>IF(N1378="","",IF($G$16=1,50,(_xlfn.RANK.AVG(N1378,$N$19:$N$1518,1)-1)/($G$16-1)*100))</f>
        <v/>
      </c>
      <c r="S1378" s="11">
        <f>IF(COUNT(O1378:R1378)=4,ROUND(AVERAGE(O1378:R1378),6),"")</f>
        <v/>
      </c>
      <c r="U1378">
        <f>IF(AND(ISNUMBER('자료_한국심리'!$A1362),ISNUMBER('자료_한국심리'!$B1362)),'자료_한국심리'!$A1362,"")</f>
        <v/>
      </c>
      <c r="V1378">
        <f>IF(AND(ISNUMBER('자료_한국심리'!$D1362),ISNUMBER('자료_한국심리'!$E1362)),'자료_한국심리'!$D1362,"")</f>
        <v/>
      </c>
      <c r="W1378">
        <f>IF(AND(ISNUMBER('자료_한국심리'!$G1362),ISNUMBER('자료_한국심리'!$H1362)),'자료_한국심리'!$G1362,"")</f>
        <v/>
      </c>
      <c r="X1378">
        <f>IF(AND(ISNUMBER('자료_한국심리'!$J1362),ISNUMBER('자료_한국심리'!$K1362)),'자료_한국심리'!$J1362,"")</f>
        <v/>
      </c>
      <c r="Y1378">
        <f>IF(AND(ISNUMBER('자료_한국심리'!$M1362),ISNUMBER('자료_한국심리'!$N1362)),'자료_한국심리'!$M1362,"")</f>
        <v/>
      </c>
    </row>
    <row r="1379">
      <c r="A1379" s="10">
        <f>IF(1361&gt;$E$5,"",SMALL($U$19:$U$4018,$E$6+1361))</f>
        <v/>
      </c>
      <c r="B1379" s="29">
        <f>IF(A1379="","",INDEX('자료_한국심리'!$B$3:$B$4002,MATCH(A1379,$U$19:$U$4018,0)))</f>
        <v/>
      </c>
      <c r="C1379" s="22">
        <f>IF(A1379="","",B1379/AVERAGE(B1255:B1379)-1)</f>
        <v/>
      </c>
      <c r="D1379" s="29">
        <f>IF(A1379="","",IFERROR(INDEX('자료_한국심리'!$E$3:$E$4002,MATCH(A1379,$V$19:$V$4018,0)),D1378))</f>
        <v/>
      </c>
      <c r="E1379" s="30">
        <f>IF(A1379="","",IFERROR(INDEX('자료_한국심리'!$H$3:$H$4002,MATCH(A1379,$W$19:$W$4018,0)),E1378))</f>
        <v/>
      </c>
      <c r="F1379" s="30">
        <f>IF(A1379="","",IFERROR(INDEX('자료_한국심리'!$K$3:$K$4002,MATCH(A1379,$X$19:$X$4018,0)),F1378))</f>
        <v/>
      </c>
      <c r="G1379" s="30">
        <f>IF(AND(ISNUMBER(E1379),ISNUMBER(F1379)),ROUND(E1379-F1379,6),"")</f>
        <v/>
      </c>
      <c r="H1379" s="25">
        <f>IF(A1379="","",IFERROR(INDEX('자료_한국심리'!$N$3:$N$4002,MATCH(A1379,$Y$19:$Y$4018,0)),H1378))</f>
        <v/>
      </c>
      <c r="I1379" s="31">
        <f>IF(AND(ISNUMBER(H1379),ISNUMBER(H1359)),IF(H1359&gt;0,H1379/H1359-1,""),"")</f>
        <v/>
      </c>
      <c r="J1379">
        <f>IF(A1379="",0,IF(A1379&gt;$B$5,1,0))</f>
        <v/>
      </c>
      <c r="K1379" s="29">
        <f>IF(AND(J1379=1,ISNUMBER(D1379)),D1379,"")</f>
        <v/>
      </c>
      <c r="L1379" s="30">
        <f>IF(AND(J1379=1,ISNUMBER(G1379)),G1379,"")</f>
        <v/>
      </c>
      <c r="M1379" s="22">
        <f>IF(AND(J1379=1,ISNUMBER(C1379)),C1379,"")</f>
        <v/>
      </c>
      <c r="N1379" s="31">
        <f>IF(AND(J1379=1,ISNUMBER(I1379)),I1379,"")</f>
        <v/>
      </c>
      <c r="O1379" s="11">
        <f>IF(K1379="","",100-IF($G$13=1,50,(_xlfn.RANK.AVG(K1379,$K$19:$K$1518,1)-1)/($G$13-1)*100))</f>
        <v/>
      </c>
      <c r="P1379" s="11">
        <f>IF(L1379="","",100-IF($G$14=1,50,(_xlfn.RANK.AVG(L1379,$L$19:$L$1518,1)-1)/($G$14-1)*100))</f>
        <v/>
      </c>
      <c r="Q1379" s="11">
        <f>IF(M1379="","",IF($G$15=1,50,(_xlfn.RANK.AVG(M1379,$M$19:$M$1518,1)-1)/($G$15-1)*100))</f>
        <v/>
      </c>
      <c r="R1379" s="11">
        <f>IF(N1379="","",IF($G$16=1,50,(_xlfn.RANK.AVG(N1379,$N$19:$N$1518,1)-1)/($G$16-1)*100))</f>
        <v/>
      </c>
      <c r="S1379" s="11">
        <f>IF(COUNT(O1379:R1379)=4,ROUND(AVERAGE(O1379:R1379),6),"")</f>
        <v/>
      </c>
      <c r="U1379">
        <f>IF(AND(ISNUMBER('자료_한국심리'!$A1363),ISNUMBER('자료_한국심리'!$B1363)),'자료_한국심리'!$A1363,"")</f>
        <v/>
      </c>
      <c r="V1379">
        <f>IF(AND(ISNUMBER('자료_한국심리'!$D1363),ISNUMBER('자료_한국심리'!$E1363)),'자료_한국심리'!$D1363,"")</f>
        <v/>
      </c>
      <c r="W1379">
        <f>IF(AND(ISNUMBER('자료_한국심리'!$G1363),ISNUMBER('자료_한국심리'!$H1363)),'자료_한국심리'!$G1363,"")</f>
        <v/>
      </c>
      <c r="X1379">
        <f>IF(AND(ISNUMBER('자료_한국심리'!$J1363),ISNUMBER('자료_한국심리'!$K1363)),'자료_한국심리'!$J1363,"")</f>
        <v/>
      </c>
      <c r="Y1379">
        <f>IF(AND(ISNUMBER('자료_한국심리'!$M1363),ISNUMBER('자료_한국심리'!$N1363)),'자료_한국심리'!$M1363,"")</f>
        <v/>
      </c>
    </row>
    <row r="1380">
      <c r="A1380" s="10">
        <f>IF(1362&gt;$E$5,"",SMALL($U$19:$U$4018,$E$6+1362))</f>
        <v/>
      </c>
      <c r="B1380" s="29">
        <f>IF(A1380="","",INDEX('자료_한국심리'!$B$3:$B$4002,MATCH(A1380,$U$19:$U$4018,0)))</f>
        <v/>
      </c>
      <c r="C1380" s="22">
        <f>IF(A1380="","",B1380/AVERAGE(B1256:B1380)-1)</f>
        <v/>
      </c>
      <c r="D1380" s="29">
        <f>IF(A1380="","",IFERROR(INDEX('자료_한국심리'!$E$3:$E$4002,MATCH(A1380,$V$19:$V$4018,0)),D1379))</f>
        <v/>
      </c>
      <c r="E1380" s="30">
        <f>IF(A1380="","",IFERROR(INDEX('자료_한국심리'!$H$3:$H$4002,MATCH(A1380,$W$19:$W$4018,0)),E1379))</f>
        <v/>
      </c>
      <c r="F1380" s="30">
        <f>IF(A1380="","",IFERROR(INDEX('자료_한국심리'!$K$3:$K$4002,MATCH(A1380,$X$19:$X$4018,0)),F1379))</f>
        <v/>
      </c>
      <c r="G1380" s="30">
        <f>IF(AND(ISNUMBER(E1380),ISNUMBER(F1380)),ROUND(E1380-F1380,6),"")</f>
        <v/>
      </c>
      <c r="H1380" s="25">
        <f>IF(A1380="","",IFERROR(INDEX('자료_한국심리'!$N$3:$N$4002,MATCH(A1380,$Y$19:$Y$4018,0)),H1379))</f>
        <v/>
      </c>
      <c r="I1380" s="31">
        <f>IF(AND(ISNUMBER(H1380),ISNUMBER(H1360)),IF(H1360&gt;0,H1380/H1360-1,""),"")</f>
        <v/>
      </c>
      <c r="J1380">
        <f>IF(A1380="",0,IF(A1380&gt;$B$5,1,0))</f>
        <v/>
      </c>
      <c r="K1380" s="29">
        <f>IF(AND(J1380=1,ISNUMBER(D1380)),D1380,"")</f>
        <v/>
      </c>
      <c r="L1380" s="30">
        <f>IF(AND(J1380=1,ISNUMBER(G1380)),G1380,"")</f>
        <v/>
      </c>
      <c r="M1380" s="22">
        <f>IF(AND(J1380=1,ISNUMBER(C1380)),C1380,"")</f>
        <v/>
      </c>
      <c r="N1380" s="31">
        <f>IF(AND(J1380=1,ISNUMBER(I1380)),I1380,"")</f>
        <v/>
      </c>
      <c r="O1380" s="11">
        <f>IF(K1380="","",100-IF($G$13=1,50,(_xlfn.RANK.AVG(K1380,$K$19:$K$1518,1)-1)/($G$13-1)*100))</f>
        <v/>
      </c>
      <c r="P1380" s="11">
        <f>IF(L1380="","",100-IF($G$14=1,50,(_xlfn.RANK.AVG(L1380,$L$19:$L$1518,1)-1)/($G$14-1)*100))</f>
        <v/>
      </c>
      <c r="Q1380" s="11">
        <f>IF(M1380="","",IF($G$15=1,50,(_xlfn.RANK.AVG(M1380,$M$19:$M$1518,1)-1)/($G$15-1)*100))</f>
        <v/>
      </c>
      <c r="R1380" s="11">
        <f>IF(N1380="","",IF($G$16=1,50,(_xlfn.RANK.AVG(N1380,$N$19:$N$1518,1)-1)/($G$16-1)*100))</f>
        <v/>
      </c>
      <c r="S1380" s="11">
        <f>IF(COUNT(O1380:R1380)=4,ROUND(AVERAGE(O1380:R1380),6),"")</f>
        <v/>
      </c>
      <c r="U1380">
        <f>IF(AND(ISNUMBER('자료_한국심리'!$A1364),ISNUMBER('자료_한국심리'!$B1364)),'자료_한국심리'!$A1364,"")</f>
        <v/>
      </c>
      <c r="V1380">
        <f>IF(AND(ISNUMBER('자료_한국심리'!$D1364),ISNUMBER('자료_한국심리'!$E1364)),'자료_한국심리'!$D1364,"")</f>
        <v/>
      </c>
      <c r="W1380">
        <f>IF(AND(ISNUMBER('자료_한국심리'!$G1364),ISNUMBER('자료_한국심리'!$H1364)),'자료_한국심리'!$G1364,"")</f>
        <v/>
      </c>
      <c r="X1380">
        <f>IF(AND(ISNUMBER('자료_한국심리'!$J1364),ISNUMBER('자료_한국심리'!$K1364)),'자료_한국심리'!$J1364,"")</f>
        <v/>
      </c>
      <c r="Y1380">
        <f>IF(AND(ISNUMBER('자료_한국심리'!$M1364),ISNUMBER('자료_한국심리'!$N1364)),'자료_한국심리'!$M1364,"")</f>
        <v/>
      </c>
    </row>
    <row r="1381">
      <c r="A1381" s="10">
        <f>IF(1363&gt;$E$5,"",SMALL($U$19:$U$4018,$E$6+1363))</f>
        <v/>
      </c>
      <c r="B1381" s="29">
        <f>IF(A1381="","",INDEX('자료_한국심리'!$B$3:$B$4002,MATCH(A1381,$U$19:$U$4018,0)))</f>
        <v/>
      </c>
      <c r="C1381" s="22">
        <f>IF(A1381="","",B1381/AVERAGE(B1257:B1381)-1)</f>
        <v/>
      </c>
      <c r="D1381" s="29">
        <f>IF(A1381="","",IFERROR(INDEX('자료_한국심리'!$E$3:$E$4002,MATCH(A1381,$V$19:$V$4018,0)),D1380))</f>
        <v/>
      </c>
      <c r="E1381" s="30">
        <f>IF(A1381="","",IFERROR(INDEX('자료_한국심리'!$H$3:$H$4002,MATCH(A1381,$W$19:$W$4018,0)),E1380))</f>
        <v/>
      </c>
      <c r="F1381" s="30">
        <f>IF(A1381="","",IFERROR(INDEX('자료_한국심리'!$K$3:$K$4002,MATCH(A1381,$X$19:$X$4018,0)),F1380))</f>
        <v/>
      </c>
      <c r="G1381" s="30">
        <f>IF(AND(ISNUMBER(E1381),ISNUMBER(F1381)),ROUND(E1381-F1381,6),"")</f>
        <v/>
      </c>
      <c r="H1381" s="25">
        <f>IF(A1381="","",IFERROR(INDEX('자료_한국심리'!$N$3:$N$4002,MATCH(A1381,$Y$19:$Y$4018,0)),H1380))</f>
        <v/>
      </c>
      <c r="I1381" s="31">
        <f>IF(AND(ISNUMBER(H1381),ISNUMBER(H1361)),IF(H1361&gt;0,H1381/H1361-1,""),"")</f>
        <v/>
      </c>
      <c r="J1381">
        <f>IF(A1381="",0,IF(A1381&gt;$B$5,1,0))</f>
        <v/>
      </c>
      <c r="K1381" s="29">
        <f>IF(AND(J1381=1,ISNUMBER(D1381)),D1381,"")</f>
        <v/>
      </c>
      <c r="L1381" s="30">
        <f>IF(AND(J1381=1,ISNUMBER(G1381)),G1381,"")</f>
        <v/>
      </c>
      <c r="M1381" s="22">
        <f>IF(AND(J1381=1,ISNUMBER(C1381)),C1381,"")</f>
        <v/>
      </c>
      <c r="N1381" s="31">
        <f>IF(AND(J1381=1,ISNUMBER(I1381)),I1381,"")</f>
        <v/>
      </c>
      <c r="O1381" s="11">
        <f>IF(K1381="","",100-IF($G$13=1,50,(_xlfn.RANK.AVG(K1381,$K$19:$K$1518,1)-1)/($G$13-1)*100))</f>
        <v/>
      </c>
      <c r="P1381" s="11">
        <f>IF(L1381="","",100-IF($G$14=1,50,(_xlfn.RANK.AVG(L1381,$L$19:$L$1518,1)-1)/($G$14-1)*100))</f>
        <v/>
      </c>
      <c r="Q1381" s="11">
        <f>IF(M1381="","",IF($G$15=1,50,(_xlfn.RANK.AVG(M1381,$M$19:$M$1518,1)-1)/($G$15-1)*100))</f>
        <v/>
      </c>
      <c r="R1381" s="11">
        <f>IF(N1381="","",IF($G$16=1,50,(_xlfn.RANK.AVG(N1381,$N$19:$N$1518,1)-1)/($G$16-1)*100))</f>
        <v/>
      </c>
      <c r="S1381" s="11">
        <f>IF(COUNT(O1381:R1381)=4,ROUND(AVERAGE(O1381:R1381),6),"")</f>
        <v/>
      </c>
      <c r="U1381">
        <f>IF(AND(ISNUMBER('자료_한국심리'!$A1365),ISNUMBER('자료_한국심리'!$B1365)),'자료_한국심리'!$A1365,"")</f>
        <v/>
      </c>
      <c r="V1381">
        <f>IF(AND(ISNUMBER('자료_한국심리'!$D1365),ISNUMBER('자료_한국심리'!$E1365)),'자료_한국심리'!$D1365,"")</f>
        <v/>
      </c>
      <c r="W1381">
        <f>IF(AND(ISNUMBER('자료_한국심리'!$G1365),ISNUMBER('자료_한국심리'!$H1365)),'자료_한국심리'!$G1365,"")</f>
        <v/>
      </c>
      <c r="X1381">
        <f>IF(AND(ISNUMBER('자료_한국심리'!$J1365),ISNUMBER('자료_한국심리'!$K1365)),'자료_한국심리'!$J1365,"")</f>
        <v/>
      </c>
      <c r="Y1381">
        <f>IF(AND(ISNUMBER('자료_한국심리'!$M1365),ISNUMBER('자료_한국심리'!$N1365)),'자료_한국심리'!$M1365,"")</f>
        <v/>
      </c>
    </row>
    <row r="1382">
      <c r="A1382" s="10">
        <f>IF(1364&gt;$E$5,"",SMALL($U$19:$U$4018,$E$6+1364))</f>
        <v/>
      </c>
      <c r="B1382" s="29">
        <f>IF(A1382="","",INDEX('자료_한국심리'!$B$3:$B$4002,MATCH(A1382,$U$19:$U$4018,0)))</f>
        <v/>
      </c>
      <c r="C1382" s="22">
        <f>IF(A1382="","",B1382/AVERAGE(B1258:B1382)-1)</f>
        <v/>
      </c>
      <c r="D1382" s="29">
        <f>IF(A1382="","",IFERROR(INDEX('자료_한국심리'!$E$3:$E$4002,MATCH(A1382,$V$19:$V$4018,0)),D1381))</f>
        <v/>
      </c>
      <c r="E1382" s="30">
        <f>IF(A1382="","",IFERROR(INDEX('자료_한국심리'!$H$3:$H$4002,MATCH(A1382,$W$19:$W$4018,0)),E1381))</f>
        <v/>
      </c>
      <c r="F1382" s="30">
        <f>IF(A1382="","",IFERROR(INDEX('자료_한국심리'!$K$3:$K$4002,MATCH(A1382,$X$19:$X$4018,0)),F1381))</f>
        <v/>
      </c>
      <c r="G1382" s="30">
        <f>IF(AND(ISNUMBER(E1382),ISNUMBER(F1382)),ROUND(E1382-F1382,6),"")</f>
        <v/>
      </c>
      <c r="H1382" s="25">
        <f>IF(A1382="","",IFERROR(INDEX('자료_한국심리'!$N$3:$N$4002,MATCH(A1382,$Y$19:$Y$4018,0)),H1381))</f>
        <v/>
      </c>
      <c r="I1382" s="31">
        <f>IF(AND(ISNUMBER(H1382),ISNUMBER(H1362)),IF(H1362&gt;0,H1382/H1362-1,""),"")</f>
        <v/>
      </c>
      <c r="J1382">
        <f>IF(A1382="",0,IF(A1382&gt;$B$5,1,0))</f>
        <v/>
      </c>
      <c r="K1382" s="29">
        <f>IF(AND(J1382=1,ISNUMBER(D1382)),D1382,"")</f>
        <v/>
      </c>
      <c r="L1382" s="30">
        <f>IF(AND(J1382=1,ISNUMBER(G1382)),G1382,"")</f>
        <v/>
      </c>
      <c r="M1382" s="22">
        <f>IF(AND(J1382=1,ISNUMBER(C1382)),C1382,"")</f>
        <v/>
      </c>
      <c r="N1382" s="31">
        <f>IF(AND(J1382=1,ISNUMBER(I1382)),I1382,"")</f>
        <v/>
      </c>
      <c r="O1382" s="11">
        <f>IF(K1382="","",100-IF($G$13=1,50,(_xlfn.RANK.AVG(K1382,$K$19:$K$1518,1)-1)/($G$13-1)*100))</f>
        <v/>
      </c>
      <c r="P1382" s="11">
        <f>IF(L1382="","",100-IF($G$14=1,50,(_xlfn.RANK.AVG(L1382,$L$19:$L$1518,1)-1)/($G$14-1)*100))</f>
        <v/>
      </c>
      <c r="Q1382" s="11">
        <f>IF(M1382="","",IF($G$15=1,50,(_xlfn.RANK.AVG(M1382,$M$19:$M$1518,1)-1)/($G$15-1)*100))</f>
        <v/>
      </c>
      <c r="R1382" s="11">
        <f>IF(N1382="","",IF($G$16=1,50,(_xlfn.RANK.AVG(N1382,$N$19:$N$1518,1)-1)/($G$16-1)*100))</f>
        <v/>
      </c>
      <c r="S1382" s="11">
        <f>IF(COUNT(O1382:R1382)=4,ROUND(AVERAGE(O1382:R1382),6),"")</f>
        <v/>
      </c>
      <c r="U1382">
        <f>IF(AND(ISNUMBER('자료_한국심리'!$A1366),ISNUMBER('자료_한국심리'!$B1366)),'자료_한국심리'!$A1366,"")</f>
        <v/>
      </c>
      <c r="V1382">
        <f>IF(AND(ISNUMBER('자료_한국심리'!$D1366),ISNUMBER('자료_한국심리'!$E1366)),'자료_한국심리'!$D1366,"")</f>
        <v/>
      </c>
      <c r="W1382">
        <f>IF(AND(ISNUMBER('자료_한국심리'!$G1366),ISNUMBER('자료_한국심리'!$H1366)),'자료_한국심리'!$G1366,"")</f>
        <v/>
      </c>
      <c r="X1382">
        <f>IF(AND(ISNUMBER('자료_한국심리'!$J1366),ISNUMBER('자료_한국심리'!$K1366)),'자료_한국심리'!$J1366,"")</f>
        <v/>
      </c>
      <c r="Y1382">
        <f>IF(AND(ISNUMBER('자료_한국심리'!$M1366),ISNUMBER('자료_한국심리'!$N1366)),'자료_한국심리'!$M1366,"")</f>
        <v/>
      </c>
    </row>
    <row r="1383">
      <c r="A1383" s="10">
        <f>IF(1365&gt;$E$5,"",SMALL($U$19:$U$4018,$E$6+1365))</f>
        <v/>
      </c>
      <c r="B1383" s="29">
        <f>IF(A1383="","",INDEX('자료_한국심리'!$B$3:$B$4002,MATCH(A1383,$U$19:$U$4018,0)))</f>
        <v/>
      </c>
      <c r="C1383" s="22">
        <f>IF(A1383="","",B1383/AVERAGE(B1259:B1383)-1)</f>
        <v/>
      </c>
      <c r="D1383" s="29">
        <f>IF(A1383="","",IFERROR(INDEX('자료_한국심리'!$E$3:$E$4002,MATCH(A1383,$V$19:$V$4018,0)),D1382))</f>
        <v/>
      </c>
      <c r="E1383" s="30">
        <f>IF(A1383="","",IFERROR(INDEX('자료_한국심리'!$H$3:$H$4002,MATCH(A1383,$W$19:$W$4018,0)),E1382))</f>
        <v/>
      </c>
      <c r="F1383" s="30">
        <f>IF(A1383="","",IFERROR(INDEX('자료_한국심리'!$K$3:$K$4002,MATCH(A1383,$X$19:$X$4018,0)),F1382))</f>
        <v/>
      </c>
      <c r="G1383" s="30">
        <f>IF(AND(ISNUMBER(E1383),ISNUMBER(F1383)),ROUND(E1383-F1383,6),"")</f>
        <v/>
      </c>
      <c r="H1383" s="25">
        <f>IF(A1383="","",IFERROR(INDEX('자료_한국심리'!$N$3:$N$4002,MATCH(A1383,$Y$19:$Y$4018,0)),H1382))</f>
        <v/>
      </c>
      <c r="I1383" s="31">
        <f>IF(AND(ISNUMBER(H1383),ISNUMBER(H1363)),IF(H1363&gt;0,H1383/H1363-1,""),"")</f>
        <v/>
      </c>
      <c r="J1383">
        <f>IF(A1383="",0,IF(A1383&gt;$B$5,1,0))</f>
        <v/>
      </c>
      <c r="K1383" s="29">
        <f>IF(AND(J1383=1,ISNUMBER(D1383)),D1383,"")</f>
        <v/>
      </c>
      <c r="L1383" s="30">
        <f>IF(AND(J1383=1,ISNUMBER(G1383)),G1383,"")</f>
        <v/>
      </c>
      <c r="M1383" s="22">
        <f>IF(AND(J1383=1,ISNUMBER(C1383)),C1383,"")</f>
        <v/>
      </c>
      <c r="N1383" s="31">
        <f>IF(AND(J1383=1,ISNUMBER(I1383)),I1383,"")</f>
        <v/>
      </c>
      <c r="O1383" s="11">
        <f>IF(K1383="","",100-IF($G$13=1,50,(_xlfn.RANK.AVG(K1383,$K$19:$K$1518,1)-1)/($G$13-1)*100))</f>
        <v/>
      </c>
      <c r="P1383" s="11">
        <f>IF(L1383="","",100-IF($G$14=1,50,(_xlfn.RANK.AVG(L1383,$L$19:$L$1518,1)-1)/($G$14-1)*100))</f>
        <v/>
      </c>
      <c r="Q1383" s="11">
        <f>IF(M1383="","",IF($G$15=1,50,(_xlfn.RANK.AVG(M1383,$M$19:$M$1518,1)-1)/($G$15-1)*100))</f>
        <v/>
      </c>
      <c r="R1383" s="11">
        <f>IF(N1383="","",IF($G$16=1,50,(_xlfn.RANK.AVG(N1383,$N$19:$N$1518,1)-1)/($G$16-1)*100))</f>
        <v/>
      </c>
      <c r="S1383" s="11">
        <f>IF(COUNT(O1383:R1383)=4,ROUND(AVERAGE(O1383:R1383),6),"")</f>
        <v/>
      </c>
      <c r="U1383">
        <f>IF(AND(ISNUMBER('자료_한국심리'!$A1367),ISNUMBER('자료_한국심리'!$B1367)),'자료_한국심리'!$A1367,"")</f>
        <v/>
      </c>
      <c r="V1383">
        <f>IF(AND(ISNUMBER('자료_한국심리'!$D1367),ISNUMBER('자료_한국심리'!$E1367)),'자료_한국심리'!$D1367,"")</f>
        <v/>
      </c>
      <c r="W1383">
        <f>IF(AND(ISNUMBER('자료_한국심리'!$G1367),ISNUMBER('자료_한국심리'!$H1367)),'자료_한국심리'!$G1367,"")</f>
        <v/>
      </c>
      <c r="X1383">
        <f>IF(AND(ISNUMBER('자료_한국심리'!$J1367),ISNUMBER('자료_한국심리'!$K1367)),'자료_한국심리'!$J1367,"")</f>
        <v/>
      </c>
      <c r="Y1383">
        <f>IF(AND(ISNUMBER('자료_한국심리'!$M1367),ISNUMBER('자료_한국심리'!$N1367)),'자료_한국심리'!$M1367,"")</f>
        <v/>
      </c>
    </row>
    <row r="1384">
      <c r="A1384" s="10">
        <f>IF(1366&gt;$E$5,"",SMALL($U$19:$U$4018,$E$6+1366))</f>
        <v/>
      </c>
      <c r="B1384" s="29">
        <f>IF(A1384="","",INDEX('자료_한국심리'!$B$3:$B$4002,MATCH(A1384,$U$19:$U$4018,0)))</f>
        <v/>
      </c>
      <c r="C1384" s="22">
        <f>IF(A1384="","",B1384/AVERAGE(B1260:B1384)-1)</f>
        <v/>
      </c>
      <c r="D1384" s="29">
        <f>IF(A1384="","",IFERROR(INDEX('자료_한국심리'!$E$3:$E$4002,MATCH(A1384,$V$19:$V$4018,0)),D1383))</f>
        <v/>
      </c>
      <c r="E1384" s="30">
        <f>IF(A1384="","",IFERROR(INDEX('자료_한국심리'!$H$3:$H$4002,MATCH(A1384,$W$19:$W$4018,0)),E1383))</f>
        <v/>
      </c>
      <c r="F1384" s="30">
        <f>IF(A1384="","",IFERROR(INDEX('자료_한국심리'!$K$3:$K$4002,MATCH(A1384,$X$19:$X$4018,0)),F1383))</f>
        <v/>
      </c>
      <c r="G1384" s="30">
        <f>IF(AND(ISNUMBER(E1384),ISNUMBER(F1384)),ROUND(E1384-F1384,6),"")</f>
        <v/>
      </c>
      <c r="H1384" s="25">
        <f>IF(A1384="","",IFERROR(INDEX('자료_한국심리'!$N$3:$N$4002,MATCH(A1384,$Y$19:$Y$4018,0)),H1383))</f>
        <v/>
      </c>
      <c r="I1384" s="31">
        <f>IF(AND(ISNUMBER(H1384),ISNUMBER(H1364)),IF(H1364&gt;0,H1384/H1364-1,""),"")</f>
        <v/>
      </c>
      <c r="J1384">
        <f>IF(A1384="",0,IF(A1384&gt;$B$5,1,0))</f>
        <v/>
      </c>
      <c r="K1384" s="29">
        <f>IF(AND(J1384=1,ISNUMBER(D1384)),D1384,"")</f>
        <v/>
      </c>
      <c r="L1384" s="30">
        <f>IF(AND(J1384=1,ISNUMBER(G1384)),G1384,"")</f>
        <v/>
      </c>
      <c r="M1384" s="22">
        <f>IF(AND(J1384=1,ISNUMBER(C1384)),C1384,"")</f>
        <v/>
      </c>
      <c r="N1384" s="31">
        <f>IF(AND(J1384=1,ISNUMBER(I1384)),I1384,"")</f>
        <v/>
      </c>
      <c r="O1384" s="11">
        <f>IF(K1384="","",100-IF($G$13=1,50,(_xlfn.RANK.AVG(K1384,$K$19:$K$1518,1)-1)/($G$13-1)*100))</f>
        <v/>
      </c>
      <c r="P1384" s="11">
        <f>IF(L1384="","",100-IF($G$14=1,50,(_xlfn.RANK.AVG(L1384,$L$19:$L$1518,1)-1)/($G$14-1)*100))</f>
        <v/>
      </c>
      <c r="Q1384" s="11">
        <f>IF(M1384="","",IF($G$15=1,50,(_xlfn.RANK.AVG(M1384,$M$19:$M$1518,1)-1)/($G$15-1)*100))</f>
        <v/>
      </c>
      <c r="R1384" s="11">
        <f>IF(N1384="","",IF($G$16=1,50,(_xlfn.RANK.AVG(N1384,$N$19:$N$1518,1)-1)/($G$16-1)*100))</f>
        <v/>
      </c>
      <c r="S1384" s="11">
        <f>IF(COUNT(O1384:R1384)=4,ROUND(AVERAGE(O1384:R1384),6),"")</f>
        <v/>
      </c>
      <c r="U1384">
        <f>IF(AND(ISNUMBER('자료_한국심리'!$A1368),ISNUMBER('자료_한국심리'!$B1368)),'자료_한국심리'!$A1368,"")</f>
        <v/>
      </c>
      <c r="V1384">
        <f>IF(AND(ISNUMBER('자료_한국심리'!$D1368),ISNUMBER('자료_한국심리'!$E1368)),'자료_한국심리'!$D1368,"")</f>
        <v/>
      </c>
      <c r="W1384">
        <f>IF(AND(ISNUMBER('자료_한국심리'!$G1368),ISNUMBER('자료_한국심리'!$H1368)),'자료_한국심리'!$G1368,"")</f>
        <v/>
      </c>
      <c r="X1384">
        <f>IF(AND(ISNUMBER('자료_한국심리'!$J1368),ISNUMBER('자료_한국심리'!$K1368)),'자료_한국심리'!$J1368,"")</f>
        <v/>
      </c>
      <c r="Y1384">
        <f>IF(AND(ISNUMBER('자료_한국심리'!$M1368),ISNUMBER('자료_한국심리'!$N1368)),'자료_한국심리'!$M1368,"")</f>
        <v/>
      </c>
    </row>
    <row r="1385">
      <c r="A1385" s="10">
        <f>IF(1367&gt;$E$5,"",SMALL($U$19:$U$4018,$E$6+1367))</f>
        <v/>
      </c>
      <c r="B1385" s="29">
        <f>IF(A1385="","",INDEX('자료_한국심리'!$B$3:$B$4002,MATCH(A1385,$U$19:$U$4018,0)))</f>
        <v/>
      </c>
      <c r="C1385" s="22">
        <f>IF(A1385="","",B1385/AVERAGE(B1261:B1385)-1)</f>
        <v/>
      </c>
      <c r="D1385" s="29">
        <f>IF(A1385="","",IFERROR(INDEX('자료_한국심리'!$E$3:$E$4002,MATCH(A1385,$V$19:$V$4018,0)),D1384))</f>
        <v/>
      </c>
      <c r="E1385" s="30">
        <f>IF(A1385="","",IFERROR(INDEX('자료_한국심리'!$H$3:$H$4002,MATCH(A1385,$W$19:$W$4018,0)),E1384))</f>
        <v/>
      </c>
      <c r="F1385" s="30">
        <f>IF(A1385="","",IFERROR(INDEX('자료_한국심리'!$K$3:$K$4002,MATCH(A1385,$X$19:$X$4018,0)),F1384))</f>
        <v/>
      </c>
      <c r="G1385" s="30">
        <f>IF(AND(ISNUMBER(E1385),ISNUMBER(F1385)),ROUND(E1385-F1385,6),"")</f>
        <v/>
      </c>
      <c r="H1385" s="25">
        <f>IF(A1385="","",IFERROR(INDEX('자료_한국심리'!$N$3:$N$4002,MATCH(A1385,$Y$19:$Y$4018,0)),H1384))</f>
        <v/>
      </c>
      <c r="I1385" s="31">
        <f>IF(AND(ISNUMBER(H1385),ISNUMBER(H1365)),IF(H1365&gt;0,H1385/H1365-1,""),"")</f>
        <v/>
      </c>
      <c r="J1385">
        <f>IF(A1385="",0,IF(A1385&gt;$B$5,1,0))</f>
        <v/>
      </c>
      <c r="K1385" s="29">
        <f>IF(AND(J1385=1,ISNUMBER(D1385)),D1385,"")</f>
        <v/>
      </c>
      <c r="L1385" s="30">
        <f>IF(AND(J1385=1,ISNUMBER(G1385)),G1385,"")</f>
        <v/>
      </c>
      <c r="M1385" s="22">
        <f>IF(AND(J1385=1,ISNUMBER(C1385)),C1385,"")</f>
        <v/>
      </c>
      <c r="N1385" s="31">
        <f>IF(AND(J1385=1,ISNUMBER(I1385)),I1385,"")</f>
        <v/>
      </c>
      <c r="O1385" s="11">
        <f>IF(K1385="","",100-IF($G$13=1,50,(_xlfn.RANK.AVG(K1385,$K$19:$K$1518,1)-1)/($G$13-1)*100))</f>
        <v/>
      </c>
      <c r="P1385" s="11">
        <f>IF(L1385="","",100-IF($G$14=1,50,(_xlfn.RANK.AVG(L1385,$L$19:$L$1518,1)-1)/($G$14-1)*100))</f>
        <v/>
      </c>
      <c r="Q1385" s="11">
        <f>IF(M1385="","",IF($G$15=1,50,(_xlfn.RANK.AVG(M1385,$M$19:$M$1518,1)-1)/($G$15-1)*100))</f>
        <v/>
      </c>
      <c r="R1385" s="11">
        <f>IF(N1385="","",IF($G$16=1,50,(_xlfn.RANK.AVG(N1385,$N$19:$N$1518,1)-1)/($G$16-1)*100))</f>
        <v/>
      </c>
      <c r="S1385" s="11">
        <f>IF(COUNT(O1385:R1385)=4,ROUND(AVERAGE(O1385:R1385),6),"")</f>
        <v/>
      </c>
      <c r="U1385">
        <f>IF(AND(ISNUMBER('자료_한국심리'!$A1369),ISNUMBER('자료_한국심리'!$B1369)),'자료_한국심리'!$A1369,"")</f>
        <v/>
      </c>
      <c r="V1385">
        <f>IF(AND(ISNUMBER('자료_한국심리'!$D1369),ISNUMBER('자료_한국심리'!$E1369)),'자료_한국심리'!$D1369,"")</f>
        <v/>
      </c>
      <c r="W1385">
        <f>IF(AND(ISNUMBER('자료_한국심리'!$G1369),ISNUMBER('자료_한국심리'!$H1369)),'자료_한국심리'!$G1369,"")</f>
        <v/>
      </c>
      <c r="X1385">
        <f>IF(AND(ISNUMBER('자료_한국심리'!$J1369),ISNUMBER('자료_한국심리'!$K1369)),'자료_한국심리'!$J1369,"")</f>
        <v/>
      </c>
      <c r="Y1385">
        <f>IF(AND(ISNUMBER('자료_한국심리'!$M1369),ISNUMBER('자료_한국심리'!$N1369)),'자료_한국심리'!$M1369,"")</f>
        <v/>
      </c>
    </row>
    <row r="1386">
      <c r="A1386" s="10">
        <f>IF(1368&gt;$E$5,"",SMALL($U$19:$U$4018,$E$6+1368))</f>
        <v/>
      </c>
      <c r="B1386" s="29">
        <f>IF(A1386="","",INDEX('자료_한국심리'!$B$3:$B$4002,MATCH(A1386,$U$19:$U$4018,0)))</f>
        <v/>
      </c>
      <c r="C1386" s="22">
        <f>IF(A1386="","",B1386/AVERAGE(B1262:B1386)-1)</f>
        <v/>
      </c>
      <c r="D1386" s="29">
        <f>IF(A1386="","",IFERROR(INDEX('자료_한국심리'!$E$3:$E$4002,MATCH(A1386,$V$19:$V$4018,0)),D1385))</f>
        <v/>
      </c>
      <c r="E1386" s="30">
        <f>IF(A1386="","",IFERROR(INDEX('자료_한국심리'!$H$3:$H$4002,MATCH(A1386,$W$19:$W$4018,0)),E1385))</f>
        <v/>
      </c>
      <c r="F1386" s="30">
        <f>IF(A1386="","",IFERROR(INDEX('자료_한국심리'!$K$3:$K$4002,MATCH(A1386,$X$19:$X$4018,0)),F1385))</f>
        <v/>
      </c>
      <c r="G1386" s="30">
        <f>IF(AND(ISNUMBER(E1386),ISNUMBER(F1386)),ROUND(E1386-F1386,6),"")</f>
        <v/>
      </c>
      <c r="H1386" s="25">
        <f>IF(A1386="","",IFERROR(INDEX('자료_한국심리'!$N$3:$N$4002,MATCH(A1386,$Y$19:$Y$4018,0)),H1385))</f>
        <v/>
      </c>
      <c r="I1386" s="31">
        <f>IF(AND(ISNUMBER(H1386),ISNUMBER(H1366)),IF(H1366&gt;0,H1386/H1366-1,""),"")</f>
        <v/>
      </c>
      <c r="J1386">
        <f>IF(A1386="",0,IF(A1386&gt;$B$5,1,0))</f>
        <v/>
      </c>
      <c r="K1386" s="29">
        <f>IF(AND(J1386=1,ISNUMBER(D1386)),D1386,"")</f>
        <v/>
      </c>
      <c r="L1386" s="30">
        <f>IF(AND(J1386=1,ISNUMBER(G1386)),G1386,"")</f>
        <v/>
      </c>
      <c r="M1386" s="22">
        <f>IF(AND(J1386=1,ISNUMBER(C1386)),C1386,"")</f>
        <v/>
      </c>
      <c r="N1386" s="31">
        <f>IF(AND(J1386=1,ISNUMBER(I1386)),I1386,"")</f>
        <v/>
      </c>
      <c r="O1386" s="11">
        <f>IF(K1386="","",100-IF($G$13=1,50,(_xlfn.RANK.AVG(K1386,$K$19:$K$1518,1)-1)/($G$13-1)*100))</f>
        <v/>
      </c>
      <c r="P1386" s="11">
        <f>IF(L1386="","",100-IF($G$14=1,50,(_xlfn.RANK.AVG(L1386,$L$19:$L$1518,1)-1)/($G$14-1)*100))</f>
        <v/>
      </c>
      <c r="Q1386" s="11">
        <f>IF(M1386="","",IF($G$15=1,50,(_xlfn.RANK.AVG(M1386,$M$19:$M$1518,1)-1)/($G$15-1)*100))</f>
        <v/>
      </c>
      <c r="R1386" s="11">
        <f>IF(N1386="","",IF($G$16=1,50,(_xlfn.RANK.AVG(N1386,$N$19:$N$1518,1)-1)/($G$16-1)*100))</f>
        <v/>
      </c>
      <c r="S1386" s="11">
        <f>IF(COUNT(O1386:R1386)=4,ROUND(AVERAGE(O1386:R1386),6),"")</f>
        <v/>
      </c>
      <c r="U1386">
        <f>IF(AND(ISNUMBER('자료_한국심리'!$A1370),ISNUMBER('자료_한국심리'!$B1370)),'자료_한국심리'!$A1370,"")</f>
        <v/>
      </c>
      <c r="V1386">
        <f>IF(AND(ISNUMBER('자료_한국심리'!$D1370),ISNUMBER('자료_한국심리'!$E1370)),'자료_한국심리'!$D1370,"")</f>
        <v/>
      </c>
      <c r="W1386">
        <f>IF(AND(ISNUMBER('자료_한국심리'!$G1370),ISNUMBER('자료_한국심리'!$H1370)),'자료_한국심리'!$G1370,"")</f>
        <v/>
      </c>
      <c r="X1386">
        <f>IF(AND(ISNUMBER('자료_한국심리'!$J1370),ISNUMBER('자료_한국심리'!$K1370)),'자료_한국심리'!$J1370,"")</f>
        <v/>
      </c>
      <c r="Y1386">
        <f>IF(AND(ISNUMBER('자료_한국심리'!$M1370),ISNUMBER('자료_한국심리'!$N1370)),'자료_한국심리'!$M1370,"")</f>
        <v/>
      </c>
    </row>
    <row r="1387">
      <c r="A1387" s="10">
        <f>IF(1369&gt;$E$5,"",SMALL($U$19:$U$4018,$E$6+1369))</f>
        <v/>
      </c>
      <c r="B1387" s="29">
        <f>IF(A1387="","",INDEX('자료_한국심리'!$B$3:$B$4002,MATCH(A1387,$U$19:$U$4018,0)))</f>
        <v/>
      </c>
      <c r="C1387" s="22">
        <f>IF(A1387="","",B1387/AVERAGE(B1263:B1387)-1)</f>
        <v/>
      </c>
      <c r="D1387" s="29">
        <f>IF(A1387="","",IFERROR(INDEX('자료_한국심리'!$E$3:$E$4002,MATCH(A1387,$V$19:$V$4018,0)),D1386))</f>
        <v/>
      </c>
      <c r="E1387" s="30">
        <f>IF(A1387="","",IFERROR(INDEX('자료_한국심리'!$H$3:$H$4002,MATCH(A1387,$W$19:$W$4018,0)),E1386))</f>
        <v/>
      </c>
      <c r="F1387" s="30">
        <f>IF(A1387="","",IFERROR(INDEX('자료_한국심리'!$K$3:$K$4002,MATCH(A1387,$X$19:$X$4018,0)),F1386))</f>
        <v/>
      </c>
      <c r="G1387" s="30">
        <f>IF(AND(ISNUMBER(E1387),ISNUMBER(F1387)),ROUND(E1387-F1387,6),"")</f>
        <v/>
      </c>
      <c r="H1387" s="25">
        <f>IF(A1387="","",IFERROR(INDEX('자료_한국심리'!$N$3:$N$4002,MATCH(A1387,$Y$19:$Y$4018,0)),H1386))</f>
        <v/>
      </c>
      <c r="I1387" s="31">
        <f>IF(AND(ISNUMBER(H1387),ISNUMBER(H1367)),IF(H1367&gt;0,H1387/H1367-1,""),"")</f>
        <v/>
      </c>
      <c r="J1387">
        <f>IF(A1387="",0,IF(A1387&gt;$B$5,1,0))</f>
        <v/>
      </c>
      <c r="K1387" s="29">
        <f>IF(AND(J1387=1,ISNUMBER(D1387)),D1387,"")</f>
        <v/>
      </c>
      <c r="L1387" s="30">
        <f>IF(AND(J1387=1,ISNUMBER(G1387)),G1387,"")</f>
        <v/>
      </c>
      <c r="M1387" s="22">
        <f>IF(AND(J1387=1,ISNUMBER(C1387)),C1387,"")</f>
        <v/>
      </c>
      <c r="N1387" s="31">
        <f>IF(AND(J1387=1,ISNUMBER(I1387)),I1387,"")</f>
        <v/>
      </c>
      <c r="O1387" s="11">
        <f>IF(K1387="","",100-IF($G$13=1,50,(_xlfn.RANK.AVG(K1387,$K$19:$K$1518,1)-1)/($G$13-1)*100))</f>
        <v/>
      </c>
      <c r="P1387" s="11">
        <f>IF(L1387="","",100-IF($G$14=1,50,(_xlfn.RANK.AVG(L1387,$L$19:$L$1518,1)-1)/($G$14-1)*100))</f>
        <v/>
      </c>
      <c r="Q1387" s="11">
        <f>IF(M1387="","",IF($G$15=1,50,(_xlfn.RANK.AVG(M1387,$M$19:$M$1518,1)-1)/($G$15-1)*100))</f>
        <v/>
      </c>
      <c r="R1387" s="11">
        <f>IF(N1387="","",IF($G$16=1,50,(_xlfn.RANK.AVG(N1387,$N$19:$N$1518,1)-1)/($G$16-1)*100))</f>
        <v/>
      </c>
      <c r="S1387" s="11">
        <f>IF(COUNT(O1387:R1387)=4,ROUND(AVERAGE(O1387:R1387),6),"")</f>
        <v/>
      </c>
      <c r="U1387">
        <f>IF(AND(ISNUMBER('자료_한국심리'!$A1371),ISNUMBER('자료_한국심리'!$B1371)),'자료_한국심리'!$A1371,"")</f>
        <v/>
      </c>
      <c r="V1387">
        <f>IF(AND(ISNUMBER('자료_한국심리'!$D1371),ISNUMBER('자료_한국심리'!$E1371)),'자료_한국심리'!$D1371,"")</f>
        <v/>
      </c>
      <c r="W1387">
        <f>IF(AND(ISNUMBER('자료_한국심리'!$G1371),ISNUMBER('자료_한국심리'!$H1371)),'자료_한국심리'!$G1371,"")</f>
        <v/>
      </c>
      <c r="X1387">
        <f>IF(AND(ISNUMBER('자료_한국심리'!$J1371),ISNUMBER('자료_한국심리'!$K1371)),'자료_한국심리'!$J1371,"")</f>
        <v/>
      </c>
      <c r="Y1387">
        <f>IF(AND(ISNUMBER('자료_한국심리'!$M1371),ISNUMBER('자료_한국심리'!$N1371)),'자료_한국심리'!$M1371,"")</f>
        <v/>
      </c>
    </row>
    <row r="1388">
      <c r="A1388" s="10">
        <f>IF(1370&gt;$E$5,"",SMALL($U$19:$U$4018,$E$6+1370))</f>
        <v/>
      </c>
      <c r="B1388" s="29">
        <f>IF(A1388="","",INDEX('자료_한국심리'!$B$3:$B$4002,MATCH(A1388,$U$19:$U$4018,0)))</f>
        <v/>
      </c>
      <c r="C1388" s="22">
        <f>IF(A1388="","",B1388/AVERAGE(B1264:B1388)-1)</f>
        <v/>
      </c>
      <c r="D1388" s="29">
        <f>IF(A1388="","",IFERROR(INDEX('자료_한국심리'!$E$3:$E$4002,MATCH(A1388,$V$19:$V$4018,0)),D1387))</f>
        <v/>
      </c>
      <c r="E1388" s="30">
        <f>IF(A1388="","",IFERROR(INDEX('자료_한국심리'!$H$3:$H$4002,MATCH(A1388,$W$19:$W$4018,0)),E1387))</f>
        <v/>
      </c>
      <c r="F1388" s="30">
        <f>IF(A1388="","",IFERROR(INDEX('자료_한국심리'!$K$3:$K$4002,MATCH(A1388,$X$19:$X$4018,0)),F1387))</f>
        <v/>
      </c>
      <c r="G1388" s="30">
        <f>IF(AND(ISNUMBER(E1388),ISNUMBER(F1388)),ROUND(E1388-F1388,6),"")</f>
        <v/>
      </c>
      <c r="H1388" s="25">
        <f>IF(A1388="","",IFERROR(INDEX('자료_한국심리'!$N$3:$N$4002,MATCH(A1388,$Y$19:$Y$4018,0)),H1387))</f>
        <v/>
      </c>
      <c r="I1388" s="31">
        <f>IF(AND(ISNUMBER(H1388),ISNUMBER(H1368)),IF(H1368&gt;0,H1388/H1368-1,""),"")</f>
        <v/>
      </c>
      <c r="J1388">
        <f>IF(A1388="",0,IF(A1388&gt;$B$5,1,0))</f>
        <v/>
      </c>
      <c r="K1388" s="29">
        <f>IF(AND(J1388=1,ISNUMBER(D1388)),D1388,"")</f>
        <v/>
      </c>
      <c r="L1388" s="30">
        <f>IF(AND(J1388=1,ISNUMBER(G1388)),G1388,"")</f>
        <v/>
      </c>
      <c r="M1388" s="22">
        <f>IF(AND(J1388=1,ISNUMBER(C1388)),C1388,"")</f>
        <v/>
      </c>
      <c r="N1388" s="31">
        <f>IF(AND(J1388=1,ISNUMBER(I1388)),I1388,"")</f>
        <v/>
      </c>
      <c r="O1388" s="11">
        <f>IF(K1388="","",100-IF($G$13=1,50,(_xlfn.RANK.AVG(K1388,$K$19:$K$1518,1)-1)/($G$13-1)*100))</f>
        <v/>
      </c>
      <c r="P1388" s="11">
        <f>IF(L1388="","",100-IF($G$14=1,50,(_xlfn.RANK.AVG(L1388,$L$19:$L$1518,1)-1)/($G$14-1)*100))</f>
        <v/>
      </c>
      <c r="Q1388" s="11">
        <f>IF(M1388="","",IF($G$15=1,50,(_xlfn.RANK.AVG(M1388,$M$19:$M$1518,1)-1)/($G$15-1)*100))</f>
        <v/>
      </c>
      <c r="R1388" s="11">
        <f>IF(N1388="","",IF($G$16=1,50,(_xlfn.RANK.AVG(N1388,$N$19:$N$1518,1)-1)/($G$16-1)*100))</f>
        <v/>
      </c>
      <c r="S1388" s="11">
        <f>IF(COUNT(O1388:R1388)=4,ROUND(AVERAGE(O1388:R1388),6),"")</f>
        <v/>
      </c>
      <c r="U1388">
        <f>IF(AND(ISNUMBER('자료_한국심리'!$A1372),ISNUMBER('자료_한국심리'!$B1372)),'자료_한국심리'!$A1372,"")</f>
        <v/>
      </c>
      <c r="V1388">
        <f>IF(AND(ISNUMBER('자료_한국심리'!$D1372),ISNUMBER('자료_한국심리'!$E1372)),'자료_한국심리'!$D1372,"")</f>
        <v/>
      </c>
      <c r="W1388">
        <f>IF(AND(ISNUMBER('자료_한국심리'!$G1372),ISNUMBER('자료_한국심리'!$H1372)),'자료_한국심리'!$G1372,"")</f>
        <v/>
      </c>
      <c r="X1388">
        <f>IF(AND(ISNUMBER('자료_한국심리'!$J1372),ISNUMBER('자료_한국심리'!$K1372)),'자료_한국심리'!$J1372,"")</f>
        <v/>
      </c>
      <c r="Y1388">
        <f>IF(AND(ISNUMBER('자료_한국심리'!$M1372),ISNUMBER('자료_한국심리'!$N1372)),'자료_한국심리'!$M1372,"")</f>
        <v/>
      </c>
    </row>
    <row r="1389">
      <c r="A1389" s="10">
        <f>IF(1371&gt;$E$5,"",SMALL($U$19:$U$4018,$E$6+1371))</f>
        <v/>
      </c>
      <c r="B1389" s="29">
        <f>IF(A1389="","",INDEX('자료_한국심리'!$B$3:$B$4002,MATCH(A1389,$U$19:$U$4018,0)))</f>
        <v/>
      </c>
      <c r="C1389" s="22">
        <f>IF(A1389="","",B1389/AVERAGE(B1265:B1389)-1)</f>
        <v/>
      </c>
      <c r="D1389" s="29">
        <f>IF(A1389="","",IFERROR(INDEX('자료_한국심리'!$E$3:$E$4002,MATCH(A1389,$V$19:$V$4018,0)),D1388))</f>
        <v/>
      </c>
      <c r="E1389" s="30">
        <f>IF(A1389="","",IFERROR(INDEX('자료_한국심리'!$H$3:$H$4002,MATCH(A1389,$W$19:$W$4018,0)),E1388))</f>
        <v/>
      </c>
      <c r="F1389" s="30">
        <f>IF(A1389="","",IFERROR(INDEX('자료_한국심리'!$K$3:$K$4002,MATCH(A1389,$X$19:$X$4018,0)),F1388))</f>
        <v/>
      </c>
      <c r="G1389" s="30">
        <f>IF(AND(ISNUMBER(E1389),ISNUMBER(F1389)),ROUND(E1389-F1389,6),"")</f>
        <v/>
      </c>
      <c r="H1389" s="25">
        <f>IF(A1389="","",IFERROR(INDEX('자료_한국심리'!$N$3:$N$4002,MATCH(A1389,$Y$19:$Y$4018,0)),H1388))</f>
        <v/>
      </c>
      <c r="I1389" s="31">
        <f>IF(AND(ISNUMBER(H1389),ISNUMBER(H1369)),IF(H1369&gt;0,H1389/H1369-1,""),"")</f>
        <v/>
      </c>
      <c r="J1389">
        <f>IF(A1389="",0,IF(A1389&gt;$B$5,1,0))</f>
        <v/>
      </c>
      <c r="K1389" s="29">
        <f>IF(AND(J1389=1,ISNUMBER(D1389)),D1389,"")</f>
        <v/>
      </c>
      <c r="L1389" s="30">
        <f>IF(AND(J1389=1,ISNUMBER(G1389)),G1389,"")</f>
        <v/>
      </c>
      <c r="M1389" s="22">
        <f>IF(AND(J1389=1,ISNUMBER(C1389)),C1389,"")</f>
        <v/>
      </c>
      <c r="N1389" s="31">
        <f>IF(AND(J1389=1,ISNUMBER(I1389)),I1389,"")</f>
        <v/>
      </c>
      <c r="O1389" s="11">
        <f>IF(K1389="","",100-IF($G$13=1,50,(_xlfn.RANK.AVG(K1389,$K$19:$K$1518,1)-1)/($G$13-1)*100))</f>
        <v/>
      </c>
      <c r="P1389" s="11">
        <f>IF(L1389="","",100-IF($G$14=1,50,(_xlfn.RANK.AVG(L1389,$L$19:$L$1518,1)-1)/($G$14-1)*100))</f>
        <v/>
      </c>
      <c r="Q1389" s="11">
        <f>IF(M1389="","",IF($G$15=1,50,(_xlfn.RANK.AVG(M1389,$M$19:$M$1518,1)-1)/($G$15-1)*100))</f>
        <v/>
      </c>
      <c r="R1389" s="11">
        <f>IF(N1389="","",IF($G$16=1,50,(_xlfn.RANK.AVG(N1389,$N$19:$N$1518,1)-1)/($G$16-1)*100))</f>
        <v/>
      </c>
      <c r="S1389" s="11">
        <f>IF(COUNT(O1389:R1389)=4,ROUND(AVERAGE(O1389:R1389),6),"")</f>
        <v/>
      </c>
      <c r="U1389">
        <f>IF(AND(ISNUMBER('자료_한국심리'!$A1373),ISNUMBER('자료_한국심리'!$B1373)),'자료_한국심리'!$A1373,"")</f>
        <v/>
      </c>
      <c r="V1389">
        <f>IF(AND(ISNUMBER('자료_한국심리'!$D1373),ISNUMBER('자료_한국심리'!$E1373)),'자료_한국심리'!$D1373,"")</f>
        <v/>
      </c>
      <c r="W1389">
        <f>IF(AND(ISNUMBER('자료_한국심리'!$G1373),ISNUMBER('자료_한국심리'!$H1373)),'자료_한국심리'!$G1373,"")</f>
        <v/>
      </c>
      <c r="X1389">
        <f>IF(AND(ISNUMBER('자료_한국심리'!$J1373),ISNUMBER('자료_한국심리'!$K1373)),'자료_한국심리'!$J1373,"")</f>
        <v/>
      </c>
      <c r="Y1389">
        <f>IF(AND(ISNUMBER('자료_한국심리'!$M1373),ISNUMBER('자료_한국심리'!$N1373)),'자료_한국심리'!$M1373,"")</f>
        <v/>
      </c>
    </row>
    <row r="1390">
      <c r="A1390" s="10">
        <f>IF(1372&gt;$E$5,"",SMALL($U$19:$U$4018,$E$6+1372))</f>
        <v/>
      </c>
      <c r="B1390" s="29">
        <f>IF(A1390="","",INDEX('자료_한국심리'!$B$3:$B$4002,MATCH(A1390,$U$19:$U$4018,0)))</f>
        <v/>
      </c>
      <c r="C1390" s="22">
        <f>IF(A1390="","",B1390/AVERAGE(B1266:B1390)-1)</f>
        <v/>
      </c>
      <c r="D1390" s="29">
        <f>IF(A1390="","",IFERROR(INDEX('자료_한국심리'!$E$3:$E$4002,MATCH(A1390,$V$19:$V$4018,0)),D1389))</f>
        <v/>
      </c>
      <c r="E1390" s="30">
        <f>IF(A1390="","",IFERROR(INDEX('자료_한국심리'!$H$3:$H$4002,MATCH(A1390,$W$19:$W$4018,0)),E1389))</f>
        <v/>
      </c>
      <c r="F1390" s="30">
        <f>IF(A1390="","",IFERROR(INDEX('자료_한국심리'!$K$3:$K$4002,MATCH(A1390,$X$19:$X$4018,0)),F1389))</f>
        <v/>
      </c>
      <c r="G1390" s="30">
        <f>IF(AND(ISNUMBER(E1390),ISNUMBER(F1390)),ROUND(E1390-F1390,6),"")</f>
        <v/>
      </c>
      <c r="H1390" s="25">
        <f>IF(A1390="","",IFERROR(INDEX('자료_한국심리'!$N$3:$N$4002,MATCH(A1390,$Y$19:$Y$4018,0)),H1389))</f>
        <v/>
      </c>
      <c r="I1390" s="31">
        <f>IF(AND(ISNUMBER(H1390),ISNUMBER(H1370)),IF(H1370&gt;0,H1390/H1370-1,""),"")</f>
        <v/>
      </c>
      <c r="J1390">
        <f>IF(A1390="",0,IF(A1390&gt;$B$5,1,0))</f>
        <v/>
      </c>
      <c r="K1390" s="29">
        <f>IF(AND(J1390=1,ISNUMBER(D1390)),D1390,"")</f>
        <v/>
      </c>
      <c r="L1390" s="30">
        <f>IF(AND(J1390=1,ISNUMBER(G1390)),G1390,"")</f>
        <v/>
      </c>
      <c r="M1390" s="22">
        <f>IF(AND(J1390=1,ISNUMBER(C1390)),C1390,"")</f>
        <v/>
      </c>
      <c r="N1390" s="31">
        <f>IF(AND(J1390=1,ISNUMBER(I1390)),I1390,"")</f>
        <v/>
      </c>
      <c r="O1390" s="11">
        <f>IF(K1390="","",100-IF($G$13=1,50,(_xlfn.RANK.AVG(K1390,$K$19:$K$1518,1)-1)/($G$13-1)*100))</f>
        <v/>
      </c>
      <c r="P1390" s="11">
        <f>IF(L1390="","",100-IF($G$14=1,50,(_xlfn.RANK.AVG(L1390,$L$19:$L$1518,1)-1)/($G$14-1)*100))</f>
        <v/>
      </c>
      <c r="Q1390" s="11">
        <f>IF(M1390="","",IF($G$15=1,50,(_xlfn.RANK.AVG(M1390,$M$19:$M$1518,1)-1)/($G$15-1)*100))</f>
        <v/>
      </c>
      <c r="R1390" s="11">
        <f>IF(N1390="","",IF($G$16=1,50,(_xlfn.RANK.AVG(N1390,$N$19:$N$1518,1)-1)/($G$16-1)*100))</f>
        <v/>
      </c>
      <c r="S1390" s="11">
        <f>IF(COUNT(O1390:R1390)=4,ROUND(AVERAGE(O1390:R1390),6),"")</f>
        <v/>
      </c>
      <c r="U1390">
        <f>IF(AND(ISNUMBER('자료_한국심리'!$A1374),ISNUMBER('자료_한국심리'!$B1374)),'자료_한국심리'!$A1374,"")</f>
        <v/>
      </c>
      <c r="V1390">
        <f>IF(AND(ISNUMBER('자료_한국심리'!$D1374),ISNUMBER('자료_한국심리'!$E1374)),'자료_한국심리'!$D1374,"")</f>
        <v/>
      </c>
      <c r="W1390">
        <f>IF(AND(ISNUMBER('자료_한국심리'!$G1374),ISNUMBER('자료_한국심리'!$H1374)),'자료_한국심리'!$G1374,"")</f>
        <v/>
      </c>
      <c r="X1390">
        <f>IF(AND(ISNUMBER('자료_한국심리'!$J1374),ISNUMBER('자료_한국심리'!$K1374)),'자료_한국심리'!$J1374,"")</f>
        <v/>
      </c>
      <c r="Y1390">
        <f>IF(AND(ISNUMBER('자료_한국심리'!$M1374),ISNUMBER('자료_한국심리'!$N1374)),'자료_한국심리'!$M1374,"")</f>
        <v/>
      </c>
    </row>
    <row r="1391">
      <c r="A1391" s="10">
        <f>IF(1373&gt;$E$5,"",SMALL($U$19:$U$4018,$E$6+1373))</f>
        <v/>
      </c>
      <c r="B1391" s="29">
        <f>IF(A1391="","",INDEX('자료_한국심리'!$B$3:$B$4002,MATCH(A1391,$U$19:$U$4018,0)))</f>
        <v/>
      </c>
      <c r="C1391" s="22">
        <f>IF(A1391="","",B1391/AVERAGE(B1267:B1391)-1)</f>
        <v/>
      </c>
      <c r="D1391" s="29">
        <f>IF(A1391="","",IFERROR(INDEX('자료_한국심리'!$E$3:$E$4002,MATCH(A1391,$V$19:$V$4018,0)),D1390))</f>
        <v/>
      </c>
      <c r="E1391" s="30">
        <f>IF(A1391="","",IFERROR(INDEX('자료_한국심리'!$H$3:$H$4002,MATCH(A1391,$W$19:$W$4018,0)),E1390))</f>
        <v/>
      </c>
      <c r="F1391" s="30">
        <f>IF(A1391="","",IFERROR(INDEX('자료_한국심리'!$K$3:$K$4002,MATCH(A1391,$X$19:$X$4018,0)),F1390))</f>
        <v/>
      </c>
      <c r="G1391" s="30">
        <f>IF(AND(ISNUMBER(E1391),ISNUMBER(F1391)),ROUND(E1391-F1391,6),"")</f>
        <v/>
      </c>
      <c r="H1391" s="25">
        <f>IF(A1391="","",IFERROR(INDEX('자료_한국심리'!$N$3:$N$4002,MATCH(A1391,$Y$19:$Y$4018,0)),H1390))</f>
        <v/>
      </c>
      <c r="I1391" s="31">
        <f>IF(AND(ISNUMBER(H1391),ISNUMBER(H1371)),IF(H1371&gt;0,H1391/H1371-1,""),"")</f>
        <v/>
      </c>
      <c r="J1391">
        <f>IF(A1391="",0,IF(A1391&gt;$B$5,1,0))</f>
        <v/>
      </c>
      <c r="K1391" s="29">
        <f>IF(AND(J1391=1,ISNUMBER(D1391)),D1391,"")</f>
        <v/>
      </c>
      <c r="L1391" s="30">
        <f>IF(AND(J1391=1,ISNUMBER(G1391)),G1391,"")</f>
        <v/>
      </c>
      <c r="M1391" s="22">
        <f>IF(AND(J1391=1,ISNUMBER(C1391)),C1391,"")</f>
        <v/>
      </c>
      <c r="N1391" s="31">
        <f>IF(AND(J1391=1,ISNUMBER(I1391)),I1391,"")</f>
        <v/>
      </c>
      <c r="O1391" s="11">
        <f>IF(K1391="","",100-IF($G$13=1,50,(_xlfn.RANK.AVG(K1391,$K$19:$K$1518,1)-1)/($G$13-1)*100))</f>
        <v/>
      </c>
      <c r="P1391" s="11">
        <f>IF(L1391="","",100-IF($G$14=1,50,(_xlfn.RANK.AVG(L1391,$L$19:$L$1518,1)-1)/($G$14-1)*100))</f>
        <v/>
      </c>
      <c r="Q1391" s="11">
        <f>IF(M1391="","",IF($G$15=1,50,(_xlfn.RANK.AVG(M1391,$M$19:$M$1518,1)-1)/($G$15-1)*100))</f>
        <v/>
      </c>
      <c r="R1391" s="11">
        <f>IF(N1391="","",IF($G$16=1,50,(_xlfn.RANK.AVG(N1391,$N$19:$N$1518,1)-1)/($G$16-1)*100))</f>
        <v/>
      </c>
      <c r="S1391" s="11">
        <f>IF(COUNT(O1391:R1391)=4,ROUND(AVERAGE(O1391:R1391),6),"")</f>
        <v/>
      </c>
      <c r="U1391">
        <f>IF(AND(ISNUMBER('자료_한국심리'!$A1375),ISNUMBER('자료_한국심리'!$B1375)),'자료_한국심리'!$A1375,"")</f>
        <v/>
      </c>
      <c r="V1391">
        <f>IF(AND(ISNUMBER('자료_한국심리'!$D1375),ISNUMBER('자료_한국심리'!$E1375)),'자료_한국심리'!$D1375,"")</f>
        <v/>
      </c>
      <c r="W1391">
        <f>IF(AND(ISNUMBER('자료_한국심리'!$G1375),ISNUMBER('자료_한국심리'!$H1375)),'자료_한국심리'!$G1375,"")</f>
        <v/>
      </c>
      <c r="X1391">
        <f>IF(AND(ISNUMBER('자료_한국심리'!$J1375),ISNUMBER('자료_한국심리'!$K1375)),'자료_한국심리'!$J1375,"")</f>
        <v/>
      </c>
      <c r="Y1391">
        <f>IF(AND(ISNUMBER('자료_한국심리'!$M1375),ISNUMBER('자료_한국심리'!$N1375)),'자료_한국심리'!$M1375,"")</f>
        <v/>
      </c>
    </row>
    <row r="1392">
      <c r="A1392" s="10">
        <f>IF(1374&gt;$E$5,"",SMALL($U$19:$U$4018,$E$6+1374))</f>
        <v/>
      </c>
      <c r="B1392" s="29">
        <f>IF(A1392="","",INDEX('자료_한국심리'!$B$3:$B$4002,MATCH(A1392,$U$19:$U$4018,0)))</f>
        <v/>
      </c>
      <c r="C1392" s="22">
        <f>IF(A1392="","",B1392/AVERAGE(B1268:B1392)-1)</f>
        <v/>
      </c>
      <c r="D1392" s="29">
        <f>IF(A1392="","",IFERROR(INDEX('자료_한국심리'!$E$3:$E$4002,MATCH(A1392,$V$19:$V$4018,0)),D1391))</f>
        <v/>
      </c>
      <c r="E1392" s="30">
        <f>IF(A1392="","",IFERROR(INDEX('자료_한국심리'!$H$3:$H$4002,MATCH(A1392,$W$19:$W$4018,0)),E1391))</f>
        <v/>
      </c>
      <c r="F1392" s="30">
        <f>IF(A1392="","",IFERROR(INDEX('자료_한국심리'!$K$3:$K$4002,MATCH(A1392,$X$19:$X$4018,0)),F1391))</f>
        <v/>
      </c>
      <c r="G1392" s="30">
        <f>IF(AND(ISNUMBER(E1392),ISNUMBER(F1392)),ROUND(E1392-F1392,6),"")</f>
        <v/>
      </c>
      <c r="H1392" s="25">
        <f>IF(A1392="","",IFERROR(INDEX('자료_한국심리'!$N$3:$N$4002,MATCH(A1392,$Y$19:$Y$4018,0)),H1391))</f>
        <v/>
      </c>
      <c r="I1392" s="31">
        <f>IF(AND(ISNUMBER(H1392),ISNUMBER(H1372)),IF(H1372&gt;0,H1392/H1372-1,""),"")</f>
        <v/>
      </c>
      <c r="J1392">
        <f>IF(A1392="",0,IF(A1392&gt;$B$5,1,0))</f>
        <v/>
      </c>
      <c r="K1392" s="29">
        <f>IF(AND(J1392=1,ISNUMBER(D1392)),D1392,"")</f>
        <v/>
      </c>
      <c r="L1392" s="30">
        <f>IF(AND(J1392=1,ISNUMBER(G1392)),G1392,"")</f>
        <v/>
      </c>
      <c r="M1392" s="22">
        <f>IF(AND(J1392=1,ISNUMBER(C1392)),C1392,"")</f>
        <v/>
      </c>
      <c r="N1392" s="31">
        <f>IF(AND(J1392=1,ISNUMBER(I1392)),I1392,"")</f>
        <v/>
      </c>
      <c r="O1392" s="11">
        <f>IF(K1392="","",100-IF($G$13=1,50,(_xlfn.RANK.AVG(K1392,$K$19:$K$1518,1)-1)/($G$13-1)*100))</f>
        <v/>
      </c>
      <c r="P1392" s="11">
        <f>IF(L1392="","",100-IF($G$14=1,50,(_xlfn.RANK.AVG(L1392,$L$19:$L$1518,1)-1)/($G$14-1)*100))</f>
        <v/>
      </c>
      <c r="Q1392" s="11">
        <f>IF(M1392="","",IF($G$15=1,50,(_xlfn.RANK.AVG(M1392,$M$19:$M$1518,1)-1)/($G$15-1)*100))</f>
        <v/>
      </c>
      <c r="R1392" s="11">
        <f>IF(N1392="","",IF($G$16=1,50,(_xlfn.RANK.AVG(N1392,$N$19:$N$1518,1)-1)/($G$16-1)*100))</f>
        <v/>
      </c>
      <c r="S1392" s="11">
        <f>IF(COUNT(O1392:R1392)=4,ROUND(AVERAGE(O1392:R1392),6),"")</f>
        <v/>
      </c>
      <c r="U1392">
        <f>IF(AND(ISNUMBER('자료_한국심리'!$A1376),ISNUMBER('자료_한국심리'!$B1376)),'자료_한국심리'!$A1376,"")</f>
        <v/>
      </c>
      <c r="V1392">
        <f>IF(AND(ISNUMBER('자료_한국심리'!$D1376),ISNUMBER('자료_한국심리'!$E1376)),'자료_한국심리'!$D1376,"")</f>
        <v/>
      </c>
      <c r="W1392">
        <f>IF(AND(ISNUMBER('자료_한국심리'!$G1376),ISNUMBER('자료_한국심리'!$H1376)),'자료_한국심리'!$G1376,"")</f>
        <v/>
      </c>
      <c r="X1392">
        <f>IF(AND(ISNUMBER('자료_한국심리'!$J1376),ISNUMBER('자료_한국심리'!$K1376)),'자료_한국심리'!$J1376,"")</f>
        <v/>
      </c>
      <c r="Y1392">
        <f>IF(AND(ISNUMBER('자료_한국심리'!$M1376),ISNUMBER('자료_한국심리'!$N1376)),'자료_한국심리'!$M1376,"")</f>
        <v/>
      </c>
    </row>
    <row r="1393">
      <c r="A1393" s="10">
        <f>IF(1375&gt;$E$5,"",SMALL($U$19:$U$4018,$E$6+1375))</f>
        <v/>
      </c>
      <c r="B1393" s="29">
        <f>IF(A1393="","",INDEX('자료_한국심리'!$B$3:$B$4002,MATCH(A1393,$U$19:$U$4018,0)))</f>
        <v/>
      </c>
      <c r="C1393" s="22">
        <f>IF(A1393="","",B1393/AVERAGE(B1269:B1393)-1)</f>
        <v/>
      </c>
      <c r="D1393" s="29">
        <f>IF(A1393="","",IFERROR(INDEX('자료_한국심리'!$E$3:$E$4002,MATCH(A1393,$V$19:$V$4018,0)),D1392))</f>
        <v/>
      </c>
      <c r="E1393" s="30">
        <f>IF(A1393="","",IFERROR(INDEX('자료_한국심리'!$H$3:$H$4002,MATCH(A1393,$W$19:$W$4018,0)),E1392))</f>
        <v/>
      </c>
      <c r="F1393" s="30">
        <f>IF(A1393="","",IFERROR(INDEX('자료_한국심리'!$K$3:$K$4002,MATCH(A1393,$X$19:$X$4018,0)),F1392))</f>
        <v/>
      </c>
      <c r="G1393" s="30">
        <f>IF(AND(ISNUMBER(E1393),ISNUMBER(F1393)),ROUND(E1393-F1393,6),"")</f>
        <v/>
      </c>
      <c r="H1393" s="25">
        <f>IF(A1393="","",IFERROR(INDEX('자료_한국심리'!$N$3:$N$4002,MATCH(A1393,$Y$19:$Y$4018,0)),H1392))</f>
        <v/>
      </c>
      <c r="I1393" s="31">
        <f>IF(AND(ISNUMBER(H1393),ISNUMBER(H1373)),IF(H1373&gt;0,H1393/H1373-1,""),"")</f>
        <v/>
      </c>
      <c r="J1393">
        <f>IF(A1393="",0,IF(A1393&gt;$B$5,1,0))</f>
        <v/>
      </c>
      <c r="K1393" s="29">
        <f>IF(AND(J1393=1,ISNUMBER(D1393)),D1393,"")</f>
        <v/>
      </c>
      <c r="L1393" s="30">
        <f>IF(AND(J1393=1,ISNUMBER(G1393)),G1393,"")</f>
        <v/>
      </c>
      <c r="M1393" s="22">
        <f>IF(AND(J1393=1,ISNUMBER(C1393)),C1393,"")</f>
        <v/>
      </c>
      <c r="N1393" s="31">
        <f>IF(AND(J1393=1,ISNUMBER(I1393)),I1393,"")</f>
        <v/>
      </c>
      <c r="O1393" s="11">
        <f>IF(K1393="","",100-IF($G$13=1,50,(_xlfn.RANK.AVG(K1393,$K$19:$K$1518,1)-1)/($G$13-1)*100))</f>
        <v/>
      </c>
      <c r="P1393" s="11">
        <f>IF(L1393="","",100-IF($G$14=1,50,(_xlfn.RANK.AVG(L1393,$L$19:$L$1518,1)-1)/($G$14-1)*100))</f>
        <v/>
      </c>
      <c r="Q1393" s="11">
        <f>IF(M1393="","",IF($G$15=1,50,(_xlfn.RANK.AVG(M1393,$M$19:$M$1518,1)-1)/($G$15-1)*100))</f>
        <v/>
      </c>
      <c r="R1393" s="11">
        <f>IF(N1393="","",IF($G$16=1,50,(_xlfn.RANK.AVG(N1393,$N$19:$N$1518,1)-1)/($G$16-1)*100))</f>
        <v/>
      </c>
      <c r="S1393" s="11">
        <f>IF(COUNT(O1393:R1393)=4,ROUND(AVERAGE(O1393:R1393),6),"")</f>
        <v/>
      </c>
      <c r="U1393">
        <f>IF(AND(ISNUMBER('자료_한국심리'!$A1377),ISNUMBER('자료_한국심리'!$B1377)),'자료_한국심리'!$A1377,"")</f>
        <v/>
      </c>
      <c r="V1393">
        <f>IF(AND(ISNUMBER('자료_한국심리'!$D1377),ISNUMBER('자료_한국심리'!$E1377)),'자료_한국심리'!$D1377,"")</f>
        <v/>
      </c>
      <c r="W1393">
        <f>IF(AND(ISNUMBER('자료_한국심리'!$G1377),ISNUMBER('자료_한국심리'!$H1377)),'자료_한국심리'!$G1377,"")</f>
        <v/>
      </c>
      <c r="X1393">
        <f>IF(AND(ISNUMBER('자료_한국심리'!$J1377),ISNUMBER('자료_한국심리'!$K1377)),'자료_한국심리'!$J1377,"")</f>
        <v/>
      </c>
      <c r="Y1393">
        <f>IF(AND(ISNUMBER('자료_한국심리'!$M1377),ISNUMBER('자료_한국심리'!$N1377)),'자료_한국심리'!$M1377,"")</f>
        <v/>
      </c>
    </row>
    <row r="1394">
      <c r="A1394" s="10">
        <f>IF(1376&gt;$E$5,"",SMALL($U$19:$U$4018,$E$6+1376))</f>
        <v/>
      </c>
      <c r="B1394" s="29">
        <f>IF(A1394="","",INDEX('자료_한국심리'!$B$3:$B$4002,MATCH(A1394,$U$19:$U$4018,0)))</f>
        <v/>
      </c>
      <c r="C1394" s="22">
        <f>IF(A1394="","",B1394/AVERAGE(B1270:B1394)-1)</f>
        <v/>
      </c>
      <c r="D1394" s="29">
        <f>IF(A1394="","",IFERROR(INDEX('자료_한국심리'!$E$3:$E$4002,MATCH(A1394,$V$19:$V$4018,0)),D1393))</f>
        <v/>
      </c>
      <c r="E1394" s="30">
        <f>IF(A1394="","",IFERROR(INDEX('자료_한국심리'!$H$3:$H$4002,MATCH(A1394,$W$19:$W$4018,0)),E1393))</f>
        <v/>
      </c>
      <c r="F1394" s="30">
        <f>IF(A1394="","",IFERROR(INDEX('자료_한국심리'!$K$3:$K$4002,MATCH(A1394,$X$19:$X$4018,0)),F1393))</f>
        <v/>
      </c>
      <c r="G1394" s="30">
        <f>IF(AND(ISNUMBER(E1394),ISNUMBER(F1394)),ROUND(E1394-F1394,6),"")</f>
        <v/>
      </c>
      <c r="H1394" s="25">
        <f>IF(A1394="","",IFERROR(INDEX('자료_한국심리'!$N$3:$N$4002,MATCH(A1394,$Y$19:$Y$4018,0)),H1393))</f>
        <v/>
      </c>
      <c r="I1394" s="31">
        <f>IF(AND(ISNUMBER(H1394),ISNUMBER(H1374)),IF(H1374&gt;0,H1394/H1374-1,""),"")</f>
        <v/>
      </c>
      <c r="J1394">
        <f>IF(A1394="",0,IF(A1394&gt;$B$5,1,0))</f>
        <v/>
      </c>
      <c r="K1394" s="29">
        <f>IF(AND(J1394=1,ISNUMBER(D1394)),D1394,"")</f>
        <v/>
      </c>
      <c r="L1394" s="30">
        <f>IF(AND(J1394=1,ISNUMBER(G1394)),G1394,"")</f>
        <v/>
      </c>
      <c r="M1394" s="22">
        <f>IF(AND(J1394=1,ISNUMBER(C1394)),C1394,"")</f>
        <v/>
      </c>
      <c r="N1394" s="31">
        <f>IF(AND(J1394=1,ISNUMBER(I1394)),I1394,"")</f>
        <v/>
      </c>
      <c r="O1394" s="11">
        <f>IF(K1394="","",100-IF($G$13=1,50,(_xlfn.RANK.AVG(K1394,$K$19:$K$1518,1)-1)/($G$13-1)*100))</f>
        <v/>
      </c>
      <c r="P1394" s="11">
        <f>IF(L1394="","",100-IF($G$14=1,50,(_xlfn.RANK.AVG(L1394,$L$19:$L$1518,1)-1)/($G$14-1)*100))</f>
        <v/>
      </c>
      <c r="Q1394" s="11">
        <f>IF(M1394="","",IF($G$15=1,50,(_xlfn.RANK.AVG(M1394,$M$19:$M$1518,1)-1)/($G$15-1)*100))</f>
        <v/>
      </c>
      <c r="R1394" s="11">
        <f>IF(N1394="","",IF($G$16=1,50,(_xlfn.RANK.AVG(N1394,$N$19:$N$1518,1)-1)/($G$16-1)*100))</f>
        <v/>
      </c>
      <c r="S1394" s="11">
        <f>IF(COUNT(O1394:R1394)=4,ROUND(AVERAGE(O1394:R1394),6),"")</f>
        <v/>
      </c>
      <c r="U1394">
        <f>IF(AND(ISNUMBER('자료_한국심리'!$A1378),ISNUMBER('자료_한국심리'!$B1378)),'자료_한국심리'!$A1378,"")</f>
        <v/>
      </c>
      <c r="V1394">
        <f>IF(AND(ISNUMBER('자료_한국심리'!$D1378),ISNUMBER('자료_한국심리'!$E1378)),'자료_한국심리'!$D1378,"")</f>
        <v/>
      </c>
      <c r="W1394">
        <f>IF(AND(ISNUMBER('자료_한국심리'!$G1378),ISNUMBER('자료_한국심리'!$H1378)),'자료_한국심리'!$G1378,"")</f>
        <v/>
      </c>
      <c r="X1394">
        <f>IF(AND(ISNUMBER('자료_한국심리'!$J1378),ISNUMBER('자료_한국심리'!$K1378)),'자료_한국심리'!$J1378,"")</f>
        <v/>
      </c>
      <c r="Y1394">
        <f>IF(AND(ISNUMBER('자료_한국심리'!$M1378),ISNUMBER('자료_한국심리'!$N1378)),'자료_한국심리'!$M1378,"")</f>
        <v/>
      </c>
    </row>
    <row r="1395">
      <c r="A1395" s="10">
        <f>IF(1377&gt;$E$5,"",SMALL($U$19:$U$4018,$E$6+1377))</f>
        <v/>
      </c>
      <c r="B1395" s="29">
        <f>IF(A1395="","",INDEX('자료_한국심리'!$B$3:$B$4002,MATCH(A1395,$U$19:$U$4018,0)))</f>
        <v/>
      </c>
      <c r="C1395" s="22">
        <f>IF(A1395="","",B1395/AVERAGE(B1271:B1395)-1)</f>
        <v/>
      </c>
      <c r="D1395" s="29">
        <f>IF(A1395="","",IFERROR(INDEX('자료_한국심리'!$E$3:$E$4002,MATCH(A1395,$V$19:$V$4018,0)),D1394))</f>
        <v/>
      </c>
      <c r="E1395" s="30">
        <f>IF(A1395="","",IFERROR(INDEX('자료_한국심리'!$H$3:$H$4002,MATCH(A1395,$W$19:$W$4018,0)),E1394))</f>
        <v/>
      </c>
      <c r="F1395" s="30">
        <f>IF(A1395="","",IFERROR(INDEX('자료_한국심리'!$K$3:$K$4002,MATCH(A1395,$X$19:$X$4018,0)),F1394))</f>
        <v/>
      </c>
      <c r="G1395" s="30">
        <f>IF(AND(ISNUMBER(E1395),ISNUMBER(F1395)),ROUND(E1395-F1395,6),"")</f>
        <v/>
      </c>
      <c r="H1395" s="25">
        <f>IF(A1395="","",IFERROR(INDEX('자료_한국심리'!$N$3:$N$4002,MATCH(A1395,$Y$19:$Y$4018,0)),H1394))</f>
        <v/>
      </c>
      <c r="I1395" s="31">
        <f>IF(AND(ISNUMBER(H1395),ISNUMBER(H1375)),IF(H1375&gt;0,H1395/H1375-1,""),"")</f>
        <v/>
      </c>
      <c r="J1395">
        <f>IF(A1395="",0,IF(A1395&gt;$B$5,1,0))</f>
        <v/>
      </c>
      <c r="K1395" s="29">
        <f>IF(AND(J1395=1,ISNUMBER(D1395)),D1395,"")</f>
        <v/>
      </c>
      <c r="L1395" s="30">
        <f>IF(AND(J1395=1,ISNUMBER(G1395)),G1395,"")</f>
        <v/>
      </c>
      <c r="M1395" s="22">
        <f>IF(AND(J1395=1,ISNUMBER(C1395)),C1395,"")</f>
        <v/>
      </c>
      <c r="N1395" s="31">
        <f>IF(AND(J1395=1,ISNUMBER(I1395)),I1395,"")</f>
        <v/>
      </c>
      <c r="O1395" s="11">
        <f>IF(K1395="","",100-IF($G$13=1,50,(_xlfn.RANK.AVG(K1395,$K$19:$K$1518,1)-1)/($G$13-1)*100))</f>
        <v/>
      </c>
      <c r="P1395" s="11">
        <f>IF(L1395="","",100-IF($G$14=1,50,(_xlfn.RANK.AVG(L1395,$L$19:$L$1518,1)-1)/($G$14-1)*100))</f>
        <v/>
      </c>
      <c r="Q1395" s="11">
        <f>IF(M1395="","",IF($G$15=1,50,(_xlfn.RANK.AVG(M1395,$M$19:$M$1518,1)-1)/($G$15-1)*100))</f>
        <v/>
      </c>
      <c r="R1395" s="11">
        <f>IF(N1395="","",IF($G$16=1,50,(_xlfn.RANK.AVG(N1395,$N$19:$N$1518,1)-1)/($G$16-1)*100))</f>
        <v/>
      </c>
      <c r="S1395" s="11">
        <f>IF(COUNT(O1395:R1395)=4,ROUND(AVERAGE(O1395:R1395),6),"")</f>
        <v/>
      </c>
      <c r="U1395">
        <f>IF(AND(ISNUMBER('자료_한국심리'!$A1379),ISNUMBER('자료_한국심리'!$B1379)),'자료_한국심리'!$A1379,"")</f>
        <v/>
      </c>
      <c r="V1395">
        <f>IF(AND(ISNUMBER('자료_한국심리'!$D1379),ISNUMBER('자료_한국심리'!$E1379)),'자료_한국심리'!$D1379,"")</f>
        <v/>
      </c>
      <c r="W1395">
        <f>IF(AND(ISNUMBER('자료_한국심리'!$G1379),ISNUMBER('자료_한국심리'!$H1379)),'자료_한국심리'!$G1379,"")</f>
        <v/>
      </c>
      <c r="X1395">
        <f>IF(AND(ISNUMBER('자료_한국심리'!$J1379),ISNUMBER('자료_한국심리'!$K1379)),'자료_한국심리'!$J1379,"")</f>
        <v/>
      </c>
      <c r="Y1395">
        <f>IF(AND(ISNUMBER('자료_한국심리'!$M1379),ISNUMBER('자료_한국심리'!$N1379)),'자료_한국심리'!$M1379,"")</f>
        <v/>
      </c>
    </row>
    <row r="1396">
      <c r="A1396" s="10">
        <f>IF(1378&gt;$E$5,"",SMALL($U$19:$U$4018,$E$6+1378))</f>
        <v/>
      </c>
      <c r="B1396" s="29">
        <f>IF(A1396="","",INDEX('자료_한국심리'!$B$3:$B$4002,MATCH(A1396,$U$19:$U$4018,0)))</f>
        <v/>
      </c>
      <c r="C1396" s="22">
        <f>IF(A1396="","",B1396/AVERAGE(B1272:B1396)-1)</f>
        <v/>
      </c>
      <c r="D1396" s="29">
        <f>IF(A1396="","",IFERROR(INDEX('자료_한국심리'!$E$3:$E$4002,MATCH(A1396,$V$19:$V$4018,0)),D1395))</f>
        <v/>
      </c>
      <c r="E1396" s="30">
        <f>IF(A1396="","",IFERROR(INDEX('자료_한국심리'!$H$3:$H$4002,MATCH(A1396,$W$19:$W$4018,0)),E1395))</f>
        <v/>
      </c>
      <c r="F1396" s="30">
        <f>IF(A1396="","",IFERROR(INDEX('자료_한국심리'!$K$3:$K$4002,MATCH(A1396,$X$19:$X$4018,0)),F1395))</f>
        <v/>
      </c>
      <c r="G1396" s="30">
        <f>IF(AND(ISNUMBER(E1396),ISNUMBER(F1396)),ROUND(E1396-F1396,6),"")</f>
        <v/>
      </c>
      <c r="H1396" s="25">
        <f>IF(A1396="","",IFERROR(INDEX('자료_한국심리'!$N$3:$N$4002,MATCH(A1396,$Y$19:$Y$4018,0)),H1395))</f>
        <v/>
      </c>
      <c r="I1396" s="31">
        <f>IF(AND(ISNUMBER(H1396),ISNUMBER(H1376)),IF(H1376&gt;0,H1396/H1376-1,""),"")</f>
        <v/>
      </c>
      <c r="J1396">
        <f>IF(A1396="",0,IF(A1396&gt;$B$5,1,0))</f>
        <v/>
      </c>
      <c r="K1396" s="29">
        <f>IF(AND(J1396=1,ISNUMBER(D1396)),D1396,"")</f>
        <v/>
      </c>
      <c r="L1396" s="30">
        <f>IF(AND(J1396=1,ISNUMBER(G1396)),G1396,"")</f>
        <v/>
      </c>
      <c r="M1396" s="22">
        <f>IF(AND(J1396=1,ISNUMBER(C1396)),C1396,"")</f>
        <v/>
      </c>
      <c r="N1396" s="31">
        <f>IF(AND(J1396=1,ISNUMBER(I1396)),I1396,"")</f>
        <v/>
      </c>
      <c r="O1396" s="11">
        <f>IF(K1396="","",100-IF($G$13=1,50,(_xlfn.RANK.AVG(K1396,$K$19:$K$1518,1)-1)/($G$13-1)*100))</f>
        <v/>
      </c>
      <c r="P1396" s="11">
        <f>IF(L1396="","",100-IF($G$14=1,50,(_xlfn.RANK.AVG(L1396,$L$19:$L$1518,1)-1)/($G$14-1)*100))</f>
        <v/>
      </c>
      <c r="Q1396" s="11">
        <f>IF(M1396="","",IF($G$15=1,50,(_xlfn.RANK.AVG(M1396,$M$19:$M$1518,1)-1)/($G$15-1)*100))</f>
        <v/>
      </c>
      <c r="R1396" s="11">
        <f>IF(N1396="","",IF($G$16=1,50,(_xlfn.RANK.AVG(N1396,$N$19:$N$1518,1)-1)/($G$16-1)*100))</f>
        <v/>
      </c>
      <c r="S1396" s="11">
        <f>IF(COUNT(O1396:R1396)=4,ROUND(AVERAGE(O1396:R1396),6),"")</f>
        <v/>
      </c>
      <c r="U1396">
        <f>IF(AND(ISNUMBER('자료_한국심리'!$A1380),ISNUMBER('자료_한국심리'!$B1380)),'자료_한국심리'!$A1380,"")</f>
        <v/>
      </c>
      <c r="V1396">
        <f>IF(AND(ISNUMBER('자료_한국심리'!$D1380),ISNUMBER('자료_한국심리'!$E1380)),'자료_한국심리'!$D1380,"")</f>
        <v/>
      </c>
      <c r="W1396">
        <f>IF(AND(ISNUMBER('자료_한국심리'!$G1380),ISNUMBER('자료_한국심리'!$H1380)),'자료_한국심리'!$G1380,"")</f>
        <v/>
      </c>
      <c r="X1396">
        <f>IF(AND(ISNUMBER('자료_한국심리'!$J1380),ISNUMBER('자료_한국심리'!$K1380)),'자료_한국심리'!$J1380,"")</f>
        <v/>
      </c>
      <c r="Y1396">
        <f>IF(AND(ISNUMBER('자료_한국심리'!$M1380),ISNUMBER('자료_한국심리'!$N1380)),'자료_한국심리'!$M1380,"")</f>
        <v/>
      </c>
    </row>
    <row r="1397">
      <c r="A1397" s="10">
        <f>IF(1379&gt;$E$5,"",SMALL($U$19:$U$4018,$E$6+1379))</f>
        <v/>
      </c>
      <c r="B1397" s="29">
        <f>IF(A1397="","",INDEX('자료_한국심리'!$B$3:$B$4002,MATCH(A1397,$U$19:$U$4018,0)))</f>
        <v/>
      </c>
      <c r="C1397" s="22">
        <f>IF(A1397="","",B1397/AVERAGE(B1273:B1397)-1)</f>
        <v/>
      </c>
      <c r="D1397" s="29">
        <f>IF(A1397="","",IFERROR(INDEX('자료_한국심리'!$E$3:$E$4002,MATCH(A1397,$V$19:$V$4018,0)),D1396))</f>
        <v/>
      </c>
      <c r="E1397" s="30">
        <f>IF(A1397="","",IFERROR(INDEX('자료_한국심리'!$H$3:$H$4002,MATCH(A1397,$W$19:$W$4018,0)),E1396))</f>
        <v/>
      </c>
      <c r="F1397" s="30">
        <f>IF(A1397="","",IFERROR(INDEX('자료_한국심리'!$K$3:$K$4002,MATCH(A1397,$X$19:$X$4018,0)),F1396))</f>
        <v/>
      </c>
      <c r="G1397" s="30">
        <f>IF(AND(ISNUMBER(E1397),ISNUMBER(F1397)),ROUND(E1397-F1397,6),"")</f>
        <v/>
      </c>
      <c r="H1397" s="25">
        <f>IF(A1397="","",IFERROR(INDEX('자료_한국심리'!$N$3:$N$4002,MATCH(A1397,$Y$19:$Y$4018,0)),H1396))</f>
        <v/>
      </c>
      <c r="I1397" s="31">
        <f>IF(AND(ISNUMBER(H1397),ISNUMBER(H1377)),IF(H1377&gt;0,H1397/H1377-1,""),"")</f>
        <v/>
      </c>
      <c r="J1397">
        <f>IF(A1397="",0,IF(A1397&gt;$B$5,1,0))</f>
        <v/>
      </c>
      <c r="K1397" s="29">
        <f>IF(AND(J1397=1,ISNUMBER(D1397)),D1397,"")</f>
        <v/>
      </c>
      <c r="L1397" s="30">
        <f>IF(AND(J1397=1,ISNUMBER(G1397)),G1397,"")</f>
        <v/>
      </c>
      <c r="M1397" s="22">
        <f>IF(AND(J1397=1,ISNUMBER(C1397)),C1397,"")</f>
        <v/>
      </c>
      <c r="N1397" s="31">
        <f>IF(AND(J1397=1,ISNUMBER(I1397)),I1397,"")</f>
        <v/>
      </c>
      <c r="O1397" s="11">
        <f>IF(K1397="","",100-IF($G$13=1,50,(_xlfn.RANK.AVG(K1397,$K$19:$K$1518,1)-1)/($G$13-1)*100))</f>
        <v/>
      </c>
      <c r="P1397" s="11">
        <f>IF(L1397="","",100-IF($G$14=1,50,(_xlfn.RANK.AVG(L1397,$L$19:$L$1518,1)-1)/($G$14-1)*100))</f>
        <v/>
      </c>
      <c r="Q1397" s="11">
        <f>IF(M1397="","",IF($G$15=1,50,(_xlfn.RANK.AVG(M1397,$M$19:$M$1518,1)-1)/($G$15-1)*100))</f>
        <v/>
      </c>
      <c r="R1397" s="11">
        <f>IF(N1397="","",IF($G$16=1,50,(_xlfn.RANK.AVG(N1397,$N$19:$N$1518,1)-1)/($G$16-1)*100))</f>
        <v/>
      </c>
      <c r="S1397" s="11">
        <f>IF(COUNT(O1397:R1397)=4,ROUND(AVERAGE(O1397:R1397),6),"")</f>
        <v/>
      </c>
      <c r="U1397">
        <f>IF(AND(ISNUMBER('자료_한국심리'!$A1381),ISNUMBER('자료_한국심리'!$B1381)),'자료_한국심리'!$A1381,"")</f>
        <v/>
      </c>
      <c r="V1397">
        <f>IF(AND(ISNUMBER('자료_한국심리'!$D1381),ISNUMBER('자료_한국심리'!$E1381)),'자료_한국심리'!$D1381,"")</f>
        <v/>
      </c>
      <c r="W1397">
        <f>IF(AND(ISNUMBER('자료_한국심리'!$G1381),ISNUMBER('자료_한국심리'!$H1381)),'자료_한국심리'!$G1381,"")</f>
        <v/>
      </c>
      <c r="X1397">
        <f>IF(AND(ISNUMBER('자료_한국심리'!$J1381),ISNUMBER('자료_한국심리'!$K1381)),'자료_한국심리'!$J1381,"")</f>
        <v/>
      </c>
      <c r="Y1397">
        <f>IF(AND(ISNUMBER('자료_한국심리'!$M1381),ISNUMBER('자료_한국심리'!$N1381)),'자료_한국심리'!$M1381,"")</f>
        <v/>
      </c>
    </row>
    <row r="1398">
      <c r="A1398" s="10">
        <f>IF(1380&gt;$E$5,"",SMALL($U$19:$U$4018,$E$6+1380))</f>
        <v/>
      </c>
      <c r="B1398" s="29">
        <f>IF(A1398="","",INDEX('자료_한국심리'!$B$3:$B$4002,MATCH(A1398,$U$19:$U$4018,0)))</f>
        <v/>
      </c>
      <c r="C1398" s="22">
        <f>IF(A1398="","",B1398/AVERAGE(B1274:B1398)-1)</f>
        <v/>
      </c>
      <c r="D1398" s="29">
        <f>IF(A1398="","",IFERROR(INDEX('자료_한국심리'!$E$3:$E$4002,MATCH(A1398,$V$19:$V$4018,0)),D1397))</f>
        <v/>
      </c>
      <c r="E1398" s="30">
        <f>IF(A1398="","",IFERROR(INDEX('자료_한국심리'!$H$3:$H$4002,MATCH(A1398,$W$19:$W$4018,0)),E1397))</f>
        <v/>
      </c>
      <c r="F1398" s="30">
        <f>IF(A1398="","",IFERROR(INDEX('자료_한국심리'!$K$3:$K$4002,MATCH(A1398,$X$19:$X$4018,0)),F1397))</f>
        <v/>
      </c>
      <c r="G1398" s="30">
        <f>IF(AND(ISNUMBER(E1398),ISNUMBER(F1398)),ROUND(E1398-F1398,6),"")</f>
        <v/>
      </c>
      <c r="H1398" s="25">
        <f>IF(A1398="","",IFERROR(INDEX('자료_한국심리'!$N$3:$N$4002,MATCH(A1398,$Y$19:$Y$4018,0)),H1397))</f>
        <v/>
      </c>
      <c r="I1398" s="31">
        <f>IF(AND(ISNUMBER(H1398),ISNUMBER(H1378)),IF(H1378&gt;0,H1398/H1378-1,""),"")</f>
        <v/>
      </c>
      <c r="J1398">
        <f>IF(A1398="",0,IF(A1398&gt;$B$5,1,0))</f>
        <v/>
      </c>
      <c r="K1398" s="29">
        <f>IF(AND(J1398=1,ISNUMBER(D1398)),D1398,"")</f>
        <v/>
      </c>
      <c r="L1398" s="30">
        <f>IF(AND(J1398=1,ISNUMBER(G1398)),G1398,"")</f>
        <v/>
      </c>
      <c r="M1398" s="22">
        <f>IF(AND(J1398=1,ISNUMBER(C1398)),C1398,"")</f>
        <v/>
      </c>
      <c r="N1398" s="31">
        <f>IF(AND(J1398=1,ISNUMBER(I1398)),I1398,"")</f>
        <v/>
      </c>
      <c r="O1398" s="11">
        <f>IF(K1398="","",100-IF($G$13=1,50,(_xlfn.RANK.AVG(K1398,$K$19:$K$1518,1)-1)/($G$13-1)*100))</f>
        <v/>
      </c>
      <c r="P1398" s="11">
        <f>IF(L1398="","",100-IF($G$14=1,50,(_xlfn.RANK.AVG(L1398,$L$19:$L$1518,1)-1)/($G$14-1)*100))</f>
        <v/>
      </c>
      <c r="Q1398" s="11">
        <f>IF(M1398="","",IF($G$15=1,50,(_xlfn.RANK.AVG(M1398,$M$19:$M$1518,1)-1)/($G$15-1)*100))</f>
        <v/>
      </c>
      <c r="R1398" s="11">
        <f>IF(N1398="","",IF($G$16=1,50,(_xlfn.RANK.AVG(N1398,$N$19:$N$1518,1)-1)/($G$16-1)*100))</f>
        <v/>
      </c>
      <c r="S1398" s="11">
        <f>IF(COUNT(O1398:R1398)=4,ROUND(AVERAGE(O1398:R1398),6),"")</f>
        <v/>
      </c>
      <c r="U1398">
        <f>IF(AND(ISNUMBER('자료_한국심리'!$A1382),ISNUMBER('자료_한국심리'!$B1382)),'자료_한국심리'!$A1382,"")</f>
        <v/>
      </c>
      <c r="V1398">
        <f>IF(AND(ISNUMBER('자료_한국심리'!$D1382),ISNUMBER('자료_한국심리'!$E1382)),'자료_한국심리'!$D1382,"")</f>
        <v/>
      </c>
      <c r="W1398">
        <f>IF(AND(ISNUMBER('자료_한국심리'!$G1382),ISNUMBER('자료_한국심리'!$H1382)),'자료_한국심리'!$G1382,"")</f>
        <v/>
      </c>
      <c r="X1398">
        <f>IF(AND(ISNUMBER('자료_한국심리'!$J1382),ISNUMBER('자료_한국심리'!$K1382)),'자료_한국심리'!$J1382,"")</f>
        <v/>
      </c>
      <c r="Y1398">
        <f>IF(AND(ISNUMBER('자료_한국심리'!$M1382),ISNUMBER('자료_한국심리'!$N1382)),'자료_한국심리'!$M1382,"")</f>
        <v/>
      </c>
    </row>
    <row r="1399">
      <c r="A1399" s="10">
        <f>IF(1381&gt;$E$5,"",SMALL($U$19:$U$4018,$E$6+1381))</f>
        <v/>
      </c>
      <c r="B1399" s="29">
        <f>IF(A1399="","",INDEX('자료_한국심리'!$B$3:$B$4002,MATCH(A1399,$U$19:$U$4018,0)))</f>
        <v/>
      </c>
      <c r="C1399" s="22">
        <f>IF(A1399="","",B1399/AVERAGE(B1275:B1399)-1)</f>
        <v/>
      </c>
      <c r="D1399" s="29">
        <f>IF(A1399="","",IFERROR(INDEX('자료_한국심리'!$E$3:$E$4002,MATCH(A1399,$V$19:$V$4018,0)),D1398))</f>
        <v/>
      </c>
      <c r="E1399" s="30">
        <f>IF(A1399="","",IFERROR(INDEX('자료_한국심리'!$H$3:$H$4002,MATCH(A1399,$W$19:$W$4018,0)),E1398))</f>
        <v/>
      </c>
      <c r="F1399" s="30">
        <f>IF(A1399="","",IFERROR(INDEX('자료_한국심리'!$K$3:$K$4002,MATCH(A1399,$X$19:$X$4018,0)),F1398))</f>
        <v/>
      </c>
      <c r="G1399" s="30">
        <f>IF(AND(ISNUMBER(E1399),ISNUMBER(F1399)),ROUND(E1399-F1399,6),"")</f>
        <v/>
      </c>
      <c r="H1399" s="25">
        <f>IF(A1399="","",IFERROR(INDEX('자료_한국심리'!$N$3:$N$4002,MATCH(A1399,$Y$19:$Y$4018,0)),H1398))</f>
        <v/>
      </c>
      <c r="I1399" s="31">
        <f>IF(AND(ISNUMBER(H1399),ISNUMBER(H1379)),IF(H1379&gt;0,H1399/H1379-1,""),"")</f>
        <v/>
      </c>
      <c r="J1399">
        <f>IF(A1399="",0,IF(A1399&gt;$B$5,1,0))</f>
        <v/>
      </c>
      <c r="K1399" s="29">
        <f>IF(AND(J1399=1,ISNUMBER(D1399)),D1399,"")</f>
        <v/>
      </c>
      <c r="L1399" s="30">
        <f>IF(AND(J1399=1,ISNUMBER(G1399)),G1399,"")</f>
        <v/>
      </c>
      <c r="M1399" s="22">
        <f>IF(AND(J1399=1,ISNUMBER(C1399)),C1399,"")</f>
        <v/>
      </c>
      <c r="N1399" s="31">
        <f>IF(AND(J1399=1,ISNUMBER(I1399)),I1399,"")</f>
        <v/>
      </c>
      <c r="O1399" s="11">
        <f>IF(K1399="","",100-IF($G$13=1,50,(_xlfn.RANK.AVG(K1399,$K$19:$K$1518,1)-1)/($G$13-1)*100))</f>
        <v/>
      </c>
      <c r="P1399" s="11">
        <f>IF(L1399="","",100-IF($G$14=1,50,(_xlfn.RANK.AVG(L1399,$L$19:$L$1518,1)-1)/($G$14-1)*100))</f>
        <v/>
      </c>
      <c r="Q1399" s="11">
        <f>IF(M1399="","",IF($G$15=1,50,(_xlfn.RANK.AVG(M1399,$M$19:$M$1518,1)-1)/($G$15-1)*100))</f>
        <v/>
      </c>
      <c r="R1399" s="11">
        <f>IF(N1399="","",IF($G$16=1,50,(_xlfn.RANK.AVG(N1399,$N$19:$N$1518,1)-1)/($G$16-1)*100))</f>
        <v/>
      </c>
      <c r="S1399" s="11">
        <f>IF(COUNT(O1399:R1399)=4,ROUND(AVERAGE(O1399:R1399),6),"")</f>
        <v/>
      </c>
      <c r="U1399">
        <f>IF(AND(ISNUMBER('자료_한국심리'!$A1383),ISNUMBER('자료_한국심리'!$B1383)),'자료_한국심리'!$A1383,"")</f>
        <v/>
      </c>
      <c r="V1399">
        <f>IF(AND(ISNUMBER('자료_한국심리'!$D1383),ISNUMBER('자료_한국심리'!$E1383)),'자료_한국심리'!$D1383,"")</f>
        <v/>
      </c>
      <c r="W1399">
        <f>IF(AND(ISNUMBER('자료_한국심리'!$G1383),ISNUMBER('자료_한국심리'!$H1383)),'자료_한국심리'!$G1383,"")</f>
        <v/>
      </c>
      <c r="X1399">
        <f>IF(AND(ISNUMBER('자료_한국심리'!$J1383),ISNUMBER('자료_한국심리'!$K1383)),'자료_한국심리'!$J1383,"")</f>
        <v/>
      </c>
      <c r="Y1399">
        <f>IF(AND(ISNUMBER('자료_한국심리'!$M1383),ISNUMBER('자료_한국심리'!$N1383)),'자료_한국심리'!$M1383,"")</f>
        <v/>
      </c>
    </row>
    <row r="1400">
      <c r="A1400" s="10">
        <f>IF(1382&gt;$E$5,"",SMALL($U$19:$U$4018,$E$6+1382))</f>
        <v/>
      </c>
      <c r="B1400" s="29">
        <f>IF(A1400="","",INDEX('자료_한국심리'!$B$3:$B$4002,MATCH(A1400,$U$19:$U$4018,0)))</f>
        <v/>
      </c>
      <c r="C1400" s="22">
        <f>IF(A1400="","",B1400/AVERAGE(B1276:B1400)-1)</f>
        <v/>
      </c>
      <c r="D1400" s="29">
        <f>IF(A1400="","",IFERROR(INDEX('자료_한국심리'!$E$3:$E$4002,MATCH(A1400,$V$19:$V$4018,0)),D1399))</f>
        <v/>
      </c>
      <c r="E1400" s="30">
        <f>IF(A1400="","",IFERROR(INDEX('자료_한국심리'!$H$3:$H$4002,MATCH(A1400,$W$19:$W$4018,0)),E1399))</f>
        <v/>
      </c>
      <c r="F1400" s="30">
        <f>IF(A1400="","",IFERROR(INDEX('자료_한국심리'!$K$3:$K$4002,MATCH(A1400,$X$19:$X$4018,0)),F1399))</f>
        <v/>
      </c>
      <c r="G1400" s="30">
        <f>IF(AND(ISNUMBER(E1400),ISNUMBER(F1400)),ROUND(E1400-F1400,6),"")</f>
        <v/>
      </c>
      <c r="H1400" s="25">
        <f>IF(A1400="","",IFERROR(INDEX('자료_한국심리'!$N$3:$N$4002,MATCH(A1400,$Y$19:$Y$4018,0)),H1399))</f>
        <v/>
      </c>
      <c r="I1400" s="31">
        <f>IF(AND(ISNUMBER(H1400),ISNUMBER(H1380)),IF(H1380&gt;0,H1400/H1380-1,""),"")</f>
        <v/>
      </c>
      <c r="J1400">
        <f>IF(A1400="",0,IF(A1400&gt;$B$5,1,0))</f>
        <v/>
      </c>
      <c r="K1400" s="29">
        <f>IF(AND(J1400=1,ISNUMBER(D1400)),D1400,"")</f>
        <v/>
      </c>
      <c r="L1400" s="30">
        <f>IF(AND(J1400=1,ISNUMBER(G1400)),G1400,"")</f>
        <v/>
      </c>
      <c r="M1400" s="22">
        <f>IF(AND(J1400=1,ISNUMBER(C1400)),C1400,"")</f>
        <v/>
      </c>
      <c r="N1400" s="31">
        <f>IF(AND(J1400=1,ISNUMBER(I1400)),I1400,"")</f>
        <v/>
      </c>
      <c r="O1400" s="11">
        <f>IF(K1400="","",100-IF($G$13=1,50,(_xlfn.RANK.AVG(K1400,$K$19:$K$1518,1)-1)/($G$13-1)*100))</f>
        <v/>
      </c>
      <c r="P1400" s="11">
        <f>IF(L1400="","",100-IF($G$14=1,50,(_xlfn.RANK.AVG(L1400,$L$19:$L$1518,1)-1)/($G$14-1)*100))</f>
        <v/>
      </c>
      <c r="Q1400" s="11">
        <f>IF(M1400="","",IF($G$15=1,50,(_xlfn.RANK.AVG(M1400,$M$19:$M$1518,1)-1)/($G$15-1)*100))</f>
        <v/>
      </c>
      <c r="R1400" s="11">
        <f>IF(N1400="","",IF($G$16=1,50,(_xlfn.RANK.AVG(N1400,$N$19:$N$1518,1)-1)/($G$16-1)*100))</f>
        <v/>
      </c>
      <c r="S1400" s="11">
        <f>IF(COUNT(O1400:R1400)=4,ROUND(AVERAGE(O1400:R1400),6),"")</f>
        <v/>
      </c>
      <c r="U1400">
        <f>IF(AND(ISNUMBER('자료_한국심리'!$A1384),ISNUMBER('자료_한국심리'!$B1384)),'자료_한국심리'!$A1384,"")</f>
        <v/>
      </c>
      <c r="V1400">
        <f>IF(AND(ISNUMBER('자료_한국심리'!$D1384),ISNUMBER('자료_한국심리'!$E1384)),'자료_한국심리'!$D1384,"")</f>
        <v/>
      </c>
      <c r="W1400">
        <f>IF(AND(ISNUMBER('자료_한국심리'!$G1384),ISNUMBER('자료_한국심리'!$H1384)),'자료_한국심리'!$G1384,"")</f>
        <v/>
      </c>
      <c r="X1400">
        <f>IF(AND(ISNUMBER('자료_한국심리'!$J1384),ISNUMBER('자료_한국심리'!$K1384)),'자료_한국심리'!$J1384,"")</f>
        <v/>
      </c>
      <c r="Y1400">
        <f>IF(AND(ISNUMBER('자료_한국심리'!$M1384),ISNUMBER('자료_한국심리'!$N1384)),'자료_한국심리'!$M1384,"")</f>
        <v/>
      </c>
    </row>
    <row r="1401">
      <c r="A1401" s="10">
        <f>IF(1383&gt;$E$5,"",SMALL($U$19:$U$4018,$E$6+1383))</f>
        <v/>
      </c>
      <c r="B1401" s="29">
        <f>IF(A1401="","",INDEX('자료_한국심리'!$B$3:$B$4002,MATCH(A1401,$U$19:$U$4018,0)))</f>
        <v/>
      </c>
      <c r="C1401" s="22">
        <f>IF(A1401="","",B1401/AVERAGE(B1277:B1401)-1)</f>
        <v/>
      </c>
      <c r="D1401" s="29">
        <f>IF(A1401="","",IFERROR(INDEX('자료_한국심리'!$E$3:$E$4002,MATCH(A1401,$V$19:$V$4018,0)),D1400))</f>
        <v/>
      </c>
      <c r="E1401" s="30">
        <f>IF(A1401="","",IFERROR(INDEX('자료_한국심리'!$H$3:$H$4002,MATCH(A1401,$W$19:$W$4018,0)),E1400))</f>
        <v/>
      </c>
      <c r="F1401" s="30">
        <f>IF(A1401="","",IFERROR(INDEX('자료_한국심리'!$K$3:$K$4002,MATCH(A1401,$X$19:$X$4018,0)),F1400))</f>
        <v/>
      </c>
      <c r="G1401" s="30">
        <f>IF(AND(ISNUMBER(E1401),ISNUMBER(F1401)),ROUND(E1401-F1401,6),"")</f>
        <v/>
      </c>
      <c r="H1401" s="25">
        <f>IF(A1401="","",IFERROR(INDEX('자료_한국심리'!$N$3:$N$4002,MATCH(A1401,$Y$19:$Y$4018,0)),H1400))</f>
        <v/>
      </c>
      <c r="I1401" s="31">
        <f>IF(AND(ISNUMBER(H1401),ISNUMBER(H1381)),IF(H1381&gt;0,H1401/H1381-1,""),"")</f>
        <v/>
      </c>
      <c r="J1401">
        <f>IF(A1401="",0,IF(A1401&gt;$B$5,1,0))</f>
        <v/>
      </c>
      <c r="K1401" s="29">
        <f>IF(AND(J1401=1,ISNUMBER(D1401)),D1401,"")</f>
        <v/>
      </c>
      <c r="L1401" s="30">
        <f>IF(AND(J1401=1,ISNUMBER(G1401)),G1401,"")</f>
        <v/>
      </c>
      <c r="M1401" s="22">
        <f>IF(AND(J1401=1,ISNUMBER(C1401)),C1401,"")</f>
        <v/>
      </c>
      <c r="N1401" s="31">
        <f>IF(AND(J1401=1,ISNUMBER(I1401)),I1401,"")</f>
        <v/>
      </c>
      <c r="O1401" s="11">
        <f>IF(K1401="","",100-IF($G$13=1,50,(_xlfn.RANK.AVG(K1401,$K$19:$K$1518,1)-1)/($G$13-1)*100))</f>
        <v/>
      </c>
      <c r="P1401" s="11">
        <f>IF(L1401="","",100-IF($G$14=1,50,(_xlfn.RANK.AVG(L1401,$L$19:$L$1518,1)-1)/($G$14-1)*100))</f>
        <v/>
      </c>
      <c r="Q1401" s="11">
        <f>IF(M1401="","",IF($G$15=1,50,(_xlfn.RANK.AVG(M1401,$M$19:$M$1518,1)-1)/($G$15-1)*100))</f>
        <v/>
      </c>
      <c r="R1401" s="11">
        <f>IF(N1401="","",IF($G$16=1,50,(_xlfn.RANK.AVG(N1401,$N$19:$N$1518,1)-1)/($G$16-1)*100))</f>
        <v/>
      </c>
      <c r="S1401" s="11">
        <f>IF(COUNT(O1401:R1401)=4,ROUND(AVERAGE(O1401:R1401),6),"")</f>
        <v/>
      </c>
      <c r="U1401">
        <f>IF(AND(ISNUMBER('자료_한국심리'!$A1385),ISNUMBER('자료_한국심리'!$B1385)),'자료_한국심리'!$A1385,"")</f>
        <v/>
      </c>
      <c r="V1401">
        <f>IF(AND(ISNUMBER('자료_한국심리'!$D1385),ISNUMBER('자료_한국심리'!$E1385)),'자료_한국심리'!$D1385,"")</f>
        <v/>
      </c>
      <c r="W1401">
        <f>IF(AND(ISNUMBER('자료_한국심리'!$G1385),ISNUMBER('자료_한국심리'!$H1385)),'자료_한국심리'!$G1385,"")</f>
        <v/>
      </c>
      <c r="X1401">
        <f>IF(AND(ISNUMBER('자료_한국심리'!$J1385),ISNUMBER('자료_한국심리'!$K1385)),'자료_한국심리'!$J1385,"")</f>
        <v/>
      </c>
      <c r="Y1401">
        <f>IF(AND(ISNUMBER('자료_한국심리'!$M1385),ISNUMBER('자료_한국심리'!$N1385)),'자료_한국심리'!$M1385,"")</f>
        <v/>
      </c>
    </row>
    <row r="1402">
      <c r="A1402" s="10">
        <f>IF(1384&gt;$E$5,"",SMALL($U$19:$U$4018,$E$6+1384))</f>
        <v/>
      </c>
      <c r="B1402" s="29">
        <f>IF(A1402="","",INDEX('자료_한국심리'!$B$3:$B$4002,MATCH(A1402,$U$19:$U$4018,0)))</f>
        <v/>
      </c>
      <c r="C1402" s="22">
        <f>IF(A1402="","",B1402/AVERAGE(B1278:B1402)-1)</f>
        <v/>
      </c>
      <c r="D1402" s="29">
        <f>IF(A1402="","",IFERROR(INDEX('자료_한국심리'!$E$3:$E$4002,MATCH(A1402,$V$19:$V$4018,0)),D1401))</f>
        <v/>
      </c>
      <c r="E1402" s="30">
        <f>IF(A1402="","",IFERROR(INDEX('자료_한국심리'!$H$3:$H$4002,MATCH(A1402,$W$19:$W$4018,0)),E1401))</f>
        <v/>
      </c>
      <c r="F1402" s="30">
        <f>IF(A1402="","",IFERROR(INDEX('자료_한국심리'!$K$3:$K$4002,MATCH(A1402,$X$19:$X$4018,0)),F1401))</f>
        <v/>
      </c>
      <c r="G1402" s="30">
        <f>IF(AND(ISNUMBER(E1402),ISNUMBER(F1402)),ROUND(E1402-F1402,6),"")</f>
        <v/>
      </c>
      <c r="H1402" s="25">
        <f>IF(A1402="","",IFERROR(INDEX('자료_한국심리'!$N$3:$N$4002,MATCH(A1402,$Y$19:$Y$4018,0)),H1401))</f>
        <v/>
      </c>
      <c r="I1402" s="31">
        <f>IF(AND(ISNUMBER(H1402),ISNUMBER(H1382)),IF(H1382&gt;0,H1402/H1382-1,""),"")</f>
        <v/>
      </c>
      <c r="J1402">
        <f>IF(A1402="",0,IF(A1402&gt;$B$5,1,0))</f>
        <v/>
      </c>
      <c r="K1402" s="29">
        <f>IF(AND(J1402=1,ISNUMBER(D1402)),D1402,"")</f>
        <v/>
      </c>
      <c r="L1402" s="30">
        <f>IF(AND(J1402=1,ISNUMBER(G1402)),G1402,"")</f>
        <v/>
      </c>
      <c r="M1402" s="22">
        <f>IF(AND(J1402=1,ISNUMBER(C1402)),C1402,"")</f>
        <v/>
      </c>
      <c r="N1402" s="31">
        <f>IF(AND(J1402=1,ISNUMBER(I1402)),I1402,"")</f>
        <v/>
      </c>
      <c r="O1402" s="11">
        <f>IF(K1402="","",100-IF($G$13=1,50,(_xlfn.RANK.AVG(K1402,$K$19:$K$1518,1)-1)/($G$13-1)*100))</f>
        <v/>
      </c>
      <c r="P1402" s="11">
        <f>IF(L1402="","",100-IF($G$14=1,50,(_xlfn.RANK.AVG(L1402,$L$19:$L$1518,1)-1)/($G$14-1)*100))</f>
        <v/>
      </c>
      <c r="Q1402" s="11">
        <f>IF(M1402="","",IF($G$15=1,50,(_xlfn.RANK.AVG(M1402,$M$19:$M$1518,1)-1)/($G$15-1)*100))</f>
        <v/>
      </c>
      <c r="R1402" s="11">
        <f>IF(N1402="","",IF($G$16=1,50,(_xlfn.RANK.AVG(N1402,$N$19:$N$1518,1)-1)/($G$16-1)*100))</f>
        <v/>
      </c>
      <c r="S1402" s="11">
        <f>IF(COUNT(O1402:R1402)=4,ROUND(AVERAGE(O1402:R1402),6),"")</f>
        <v/>
      </c>
      <c r="U1402">
        <f>IF(AND(ISNUMBER('자료_한국심리'!$A1386),ISNUMBER('자료_한국심리'!$B1386)),'자료_한국심리'!$A1386,"")</f>
        <v/>
      </c>
      <c r="V1402">
        <f>IF(AND(ISNUMBER('자료_한국심리'!$D1386),ISNUMBER('자료_한국심리'!$E1386)),'자료_한국심리'!$D1386,"")</f>
        <v/>
      </c>
      <c r="W1402">
        <f>IF(AND(ISNUMBER('자료_한국심리'!$G1386),ISNUMBER('자료_한국심리'!$H1386)),'자료_한국심리'!$G1386,"")</f>
        <v/>
      </c>
      <c r="X1402">
        <f>IF(AND(ISNUMBER('자료_한국심리'!$J1386),ISNUMBER('자료_한국심리'!$K1386)),'자료_한국심리'!$J1386,"")</f>
        <v/>
      </c>
      <c r="Y1402">
        <f>IF(AND(ISNUMBER('자료_한국심리'!$M1386),ISNUMBER('자료_한국심리'!$N1386)),'자료_한국심리'!$M1386,"")</f>
        <v/>
      </c>
    </row>
    <row r="1403">
      <c r="A1403" s="10">
        <f>IF(1385&gt;$E$5,"",SMALL($U$19:$U$4018,$E$6+1385))</f>
        <v/>
      </c>
      <c r="B1403" s="29">
        <f>IF(A1403="","",INDEX('자료_한국심리'!$B$3:$B$4002,MATCH(A1403,$U$19:$U$4018,0)))</f>
        <v/>
      </c>
      <c r="C1403" s="22">
        <f>IF(A1403="","",B1403/AVERAGE(B1279:B1403)-1)</f>
        <v/>
      </c>
      <c r="D1403" s="29">
        <f>IF(A1403="","",IFERROR(INDEX('자료_한국심리'!$E$3:$E$4002,MATCH(A1403,$V$19:$V$4018,0)),D1402))</f>
        <v/>
      </c>
      <c r="E1403" s="30">
        <f>IF(A1403="","",IFERROR(INDEX('자료_한국심리'!$H$3:$H$4002,MATCH(A1403,$W$19:$W$4018,0)),E1402))</f>
        <v/>
      </c>
      <c r="F1403" s="30">
        <f>IF(A1403="","",IFERROR(INDEX('자료_한국심리'!$K$3:$K$4002,MATCH(A1403,$X$19:$X$4018,0)),F1402))</f>
        <v/>
      </c>
      <c r="G1403" s="30">
        <f>IF(AND(ISNUMBER(E1403),ISNUMBER(F1403)),ROUND(E1403-F1403,6),"")</f>
        <v/>
      </c>
      <c r="H1403" s="25">
        <f>IF(A1403="","",IFERROR(INDEX('자료_한국심리'!$N$3:$N$4002,MATCH(A1403,$Y$19:$Y$4018,0)),H1402))</f>
        <v/>
      </c>
      <c r="I1403" s="31">
        <f>IF(AND(ISNUMBER(H1403),ISNUMBER(H1383)),IF(H1383&gt;0,H1403/H1383-1,""),"")</f>
        <v/>
      </c>
      <c r="J1403">
        <f>IF(A1403="",0,IF(A1403&gt;$B$5,1,0))</f>
        <v/>
      </c>
      <c r="K1403" s="29">
        <f>IF(AND(J1403=1,ISNUMBER(D1403)),D1403,"")</f>
        <v/>
      </c>
      <c r="L1403" s="30">
        <f>IF(AND(J1403=1,ISNUMBER(G1403)),G1403,"")</f>
        <v/>
      </c>
      <c r="M1403" s="22">
        <f>IF(AND(J1403=1,ISNUMBER(C1403)),C1403,"")</f>
        <v/>
      </c>
      <c r="N1403" s="31">
        <f>IF(AND(J1403=1,ISNUMBER(I1403)),I1403,"")</f>
        <v/>
      </c>
      <c r="O1403" s="11">
        <f>IF(K1403="","",100-IF($G$13=1,50,(_xlfn.RANK.AVG(K1403,$K$19:$K$1518,1)-1)/($G$13-1)*100))</f>
        <v/>
      </c>
      <c r="P1403" s="11">
        <f>IF(L1403="","",100-IF($G$14=1,50,(_xlfn.RANK.AVG(L1403,$L$19:$L$1518,1)-1)/($G$14-1)*100))</f>
        <v/>
      </c>
      <c r="Q1403" s="11">
        <f>IF(M1403="","",IF($G$15=1,50,(_xlfn.RANK.AVG(M1403,$M$19:$M$1518,1)-1)/($G$15-1)*100))</f>
        <v/>
      </c>
      <c r="R1403" s="11">
        <f>IF(N1403="","",IF($G$16=1,50,(_xlfn.RANK.AVG(N1403,$N$19:$N$1518,1)-1)/($G$16-1)*100))</f>
        <v/>
      </c>
      <c r="S1403" s="11">
        <f>IF(COUNT(O1403:R1403)=4,ROUND(AVERAGE(O1403:R1403),6),"")</f>
        <v/>
      </c>
      <c r="U1403">
        <f>IF(AND(ISNUMBER('자료_한국심리'!$A1387),ISNUMBER('자료_한국심리'!$B1387)),'자료_한국심리'!$A1387,"")</f>
        <v/>
      </c>
      <c r="V1403">
        <f>IF(AND(ISNUMBER('자료_한국심리'!$D1387),ISNUMBER('자료_한국심리'!$E1387)),'자료_한국심리'!$D1387,"")</f>
        <v/>
      </c>
      <c r="W1403">
        <f>IF(AND(ISNUMBER('자료_한국심리'!$G1387),ISNUMBER('자료_한국심리'!$H1387)),'자료_한국심리'!$G1387,"")</f>
        <v/>
      </c>
      <c r="X1403">
        <f>IF(AND(ISNUMBER('자료_한국심리'!$J1387),ISNUMBER('자료_한국심리'!$K1387)),'자료_한국심리'!$J1387,"")</f>
        <v/>
      </c>
      <c r="Y1403">
        <f>IF(AND(ISNUMBER('자료_한국심리'!$M1387),ISNUMBER('자료_한국심리'!$N1387)),'자료_한국심리'!$M1387,"")</f>
        <v/>
      </c>
    </row>
    <row r="1404">
      <c r="A1404" s="10">
        <f>IF(1386&gt;$E$5,"",SMALL($U$19:$U$4018,$E$6+1386))</f>
        <v/>
      </c>
      <c r="B1404" s="29">
        <f>IF(A1404="","",INDEX('자료_한국심리'!$B$3:$B$4002,MATCH(A1404,$U$19:$U$4018,0)))</f>
        <v/>
      </c>
      <c r="C1404" s="22">
        <f>IF(A1404="","",B1404/AVERAGE(B1280:B1404)-1)</f>
        <v/>
      </c>
      <c r="D1404" s="29">
        <f>IF(A1404="","",IFERROR(INDEX('자료_한국심리'!$E$3:$E$4002,MATCH(A1404,$V$19:$V$4018,0)),D1403))</f>
        <v/>
      </c>
      <c r="E1404" s="30">
        <f>IF(A1404="","",IFERROR(INDEX('자료_한국심리'!$H$3:$H$4002,MATCH(A1404,$W$19:$W$4018,0)),E1403))</f>
        <v/>
      </c>
      <c r="F1404" s="30">
        <f>IF(A1404="","",IFERROR(INDEX('자료_한국심리'!$K$3:$K$4002,MATCH(A1404,$X$19:$X$4018,0)),F1403))</f>
        <v/>
      </c>
      <c r="G1404" s="30">
        <f>IF(AND(ISNUMBER(E1404),ISNUMBER(F1404)),ROUND(E1404-F1404,6),"")</f>
        <v/>
      </c>
      <c r="H1404" s="25">
        <f>IF(A1404="","",IFERROR(INDEX('자료_한국심리'!$N$3:$N$4002,MATCH(A1404,$Y$19:$Y$4018,0)),H1403))</f>
        <v/>
      </c>
      <c r="I1404" s="31">
        <f>IF(AND(ISNUMBER(H1404),ISNUMBER(H1384)),IF(H1384&gt;0,H1404/H1384-1,""),"")</f>
        <v/>
      </c>
      <c r="J1404">
        <f>IF(A1404="",0,IF(A1404&gt;$B$5,1,0))</f>
        <v/>
      </c>
      <c r="K1404" s="29">
        <f>IF(AND(J1404=1,ISNUMBER(D1404)),D1404,"")</f>
        <v/>
      </c>
      <c r="L1404" s="30">
        <f>IF(AND(J1404=1,ISNUMBER(G1404)),G1404,"")</f>
        <v/>
      </c>
      <c r="M1404" s="22">
        <f>IF(AND(J1404=1,ISNUMBER(C1404)),C1404,"")</f>
        <v/>
      </c>
      <c r="N1404" s="31">
        <f>IF(AND(J1404=1,ISNUMBER(I1404)),I1404,"")</f>
        <v/>
      </c>
      <c r="O1404" s="11">
        <f>IF(K1404="","",100-IF($G$13=1,50,(_xlfn.RANK.AVG(K1404,$K$19:$K$1518,1)-1)/($G$13-1)*100))</f>
        <v/>
      </c>
      <c r="P1404" s="11">
        <f>IF(L1404="","",100-IF($G$14=1,50,(_xlfn.RANK.AVG(L1404,$L$19:$L$1518,1)-1)/($G$14-1)*100))</f>
        <v/>
      </c>
      <c r="Q1404" s="11">
        <f>IF(M1404="","",IF($G$15=1,50,(_xlfn.RANK.AVG(M1404,$M$19:$M$1518,1)-1)/($G$15-1)*100))</f>
        <v/>
      </c>
      <c r="R1404" s="11">
        <f>IF(N1404="","",IF($G$16=1,50,(_xlfn.RANK.AVG(N1404,$N$19:$N$1518,1)-1)/($G$16-1)*100))</f>
        <v/>
      </c>
      <c r="S1404" s="11">
        <f>IF(COUNT(O1404:R1404)=4,ROUND(AVERAGE(O1404:R1404),6),"")</f>
        <v/>
      </c>
      <c r="U1404">
        <f>IF(AND(ISNUMBER('자료_한국심리'!$A1388),ISNUMBER('자료_한국심리'!$B1388)),'자료_한국심리'!$A1388,"")</f>
        <v/>
      </c>
      <c r="V1404">
        <f>IF(AND(ISNUMBER('자료_한국심리'!$D1388),ISNUMBER('자료_한국심리'!$E1388)),'자료_한국심리'!$D1388,"")</f>
        <v/>
      </c>
      <c r="W1404">
        <f>IF(AND(ISNUMBER('자료_한국심리'!$G1388),ISNUMBER('자료_한국심리'!$H1388)),'자료_한국심리'!$G1388,"")</f>
        <v/>
      </c>
      <c r="X1404">
        <f>IF(AND(ISNUMBER('자료_한국심리'!$J1388),ISNUMBER('자료_한국심리'!$K1388)),'자료_한국심리'!$J1388,"")</f>
        <v/>
      </c>
      <c r="Y1404">
        <f>IF(AND(ISNUMBER('자료_한국심리'!$M1388),ISNUMBER('자료_한국심리'!$N1388)),'자료_한국심리'!$M1388,"")</f>
        <v/>
      </c>
    </row>
    <row r="1405">
      <c r="A1405" s="10">
        <f>IF(1387&gt;$E$5,"",SMALL($U$19:$U$4018,$E$6+1387))</f>
        <v/>
      </c>
      <c r="B1405" s="29">
        <f>IF(A1405="","",INDEX('자료_한국심리'!$B$3:$B$4002,MATCH(A1405,$U$19:$U$4018,0)))</f>
        <v/>
      </c>
      <c r="C1405" s="22">
        <f>IF(A1405="","",B1405/AVERAGE(B1281:B1405)-1)</f>
        <v/>
      </c>
      <c r="D1405" s="29">
        <f>IF(A1405="","",IFERROR(INDEX('자료_한국심리'!$E$3:$E$4002,MATCH(A1405,$V$19:$V$4018,0)),D1404))</f>
        <v/>
      </c>
      <c r="E1405" s="30">
        <f>IF(A1405="","",IFERROR(INDEX('자료_한국심리'!$H$3:$H$4002,MATCH(A1405,$W$19:$W$4018,0)),E1404))</f>
        <v/>
      </c>
      <c r="F1405" s="30">
        <f>IF(A1405="","",IFERROR(INDEX('자료_한국심리'!$K$3:$K$4002,MATCH(A1405,$X$19:$X$4018,0)),F1404))</f>
        <v/>
      </c>
      <c r="G1405" s="30">
        <f>IF(AND(ISNUMBER(E1405),ISNUMBER(F1405)),ROUND(E1405-F1405,6),"")</f>
        <v/>
      </c>
      <c r="H1405" s="25">
        <f>IF(A1405="","",IFERROR(INDEX('자료_한국심리'!$N$3:$N$4002,MATCH(A1405,$Y$19:$Y$4018,0)),H1404))</f>
        <v/>
      </c>
      <c r="I1405" s="31">
        <f>IF(AND(ISNUMBER(H1405),ISNUMBER(H1385)),IF(H1385&gt;0,H1405/H1385-1,""),"")</f>
        <v/>
      </c>
      <c r="J1405">
        <f>IF(A1405="",0,IF(A1405&gt;$B$5,1,0))</f>
        <v/>
      </c>
      <c r="K1405" s="29">
        <f>IF(AND(J1405=1,ISNUMBER(D1405)),D1405,"")</f>
        <v/>
      </c>
      <c r="L1405" s="30">
        <f>IF(AND(J1405=1,ISNUMBER(G1405)),G1405,"")</f>
        <v/>
      </c>
      <c r="M1405" s="22">
        <f>IF(AND(J1405=1,ISNUMBER(C1405)),C1405,"")</f>
        <v/>
      </c>
      <c r="N1405" s="31">
        <f>IF(AND(J1405=1,ISNUMBER(I1405)),I1405,"")</f>
        <v/>
      </c>
      <c r="O1405" s="11">
        <f>IF(K1405="","",100-IF($G$13=1,50,(_xlfn.RANK.AVG(K1405,$K$19:$K$1518,1)-1)/($G$13-1)*100))</f>
        <v/>
      </c>
      <c r="P1405" s="11">
        <f>IF(L1405="","",100-IF($G$14=1,50,(_xlfn.RANK.AVG(L1405,$L$19:$L$1518,1)-1)/($G$14-1)*100))</f>
        <v/>
      </c>
      <c r="Q1405" s="11">
        <f>IF(M1405="","",IF($G$15=1,50,(_xlfn.RANK.AVG(M1405,$M$19:$M$1518,1)-1)/($G$15-1)*100))</f>
        <v/>
      </c>
      <c r="R1405" s="11">
        <f>IF(N1405="","",IF($G$16=1,50,(_xlfn.RANK.AVG(N1405,$N$19:$N$1518,1)-1)/($G$16-1)*100))</f>
        <v/>
      </c>
      <c r="S1405" s="11">
        <f>IF(COUNT(O1405:R1405)=4,ROUND(AVERAGE(O1405:R1405),6),"")</f>
        <v/>
      </c>
      <c r="U1405">
        <f>IF(AND(ISNUMBER('자료_한국심리'!$A1389),ISNUMBER('자료_한국심리'!$B1389)),'자료_한국심리'!$A1389,"")</f>
        <v/>
      </c>
      <c r="V1405">
        <f>IF(AND(ISNUMBER('자료_한국심리'!$D1389),ISNUMBER('자료_한국심리'!$E1389)),'자료_한국심리'!$D1389,"")</f>
        <v/>
      </c>
      <c r="W1405">
        <f>IF(AND(ISNUMBER('자료_한국심리'!$G1389),ISNUMBER('자료_한국심리'!$H1389)),'자료_한국심리'!$G1389,"")</f>
        <v/>
      </c>
      <c r="X1405">
        <f>IF(AND(ISNUMBER('자료_한국심리'!$J1389),ISNUMBER('자료_한국심리'!$K1389)),'자료_한국심리'!$J1389,"")</f>
        <v/>
      </c>
      <c r="Y1405">
        <f>IF(AND(ISNUMBER('자료_한국심리'!$M1389),ISNUMBER('자료_한국심리'!$N1389)),'자료_한국심리'!$M1389,"")</f>
        <v/>
      </c>
    </row>
    <row r="1406">
      <c r="A1406" s="10">
        <f>IF(1388&gt;$E$5,"",SMALL($U$19:$U$4018,$E$6+1388))</f>
        <v/>
      </c>
      <c r="B1406" s="29">
        <f>IF(A1406="","",INDEX('자료_한국심리'!$B$3:$B$4002,MATCH(A1406,$U$19:$U$4018,0)))</f>
        <v/>
      </c>
      <c r="C1406" s="22">
        <f>IF(A1406="","",B1406/AVERAGE(B1282:B1406)-1)</f>
        <v/>
      </c>
      <c r="D1406" s="29">
        <f>IF(A1406="","",IFERROR(INDEX('자료_한국심리'!$E$3:$E$4002,MATCH(A1406,$V$19:$V$4018,0)),D1405))</f>
        <v/>
      </c>
      <c r="E1406" s="30">
        <f>IF(A1406="","",IFERROR(INDEX('자료_한국심리'!$H$3:$H$4002,MATCH(A1406,$W$19:$W$4018,0)),E1405))</f>
        <v/>
      </c>
      <c r="F1406" s="30">
        <f>IF(A1406="","",IFERROR(INDEX('자료_한국심리'!$K$3:$K$4002,MATCH(A1406,$X$19:$X$4018,0)),F1405))</f>
        <v/>
      </c>
      <c r="G1406" s="30">
        <f>IF(AND(ISNUMBER(E1406),ISNUMBER(F1406)),ROUND(E1406-F1406,6),"")</f>
        <v/>
      </c>
      <c r="H1406" s="25">
        <f>IF(A1406="","",IFERROR(INDEX('자료_한국심리'!$N$3:$N$4002,MATCH(A1406,$Y$19:$Y$4018,0)),H1405))</f>
        <v/>
      </c>
      <c r="I1406" s="31">
        <f>IF(AND(ISNUMBER(H1406),ISNUMBER(H1386)),IF(H1386&gt;0,H1406/H1386-1,""),"")</f>
        <v/>
      </c>
      <c r="J1406">
        <f>IF(A1406="",0,IF(A1406&gt;$B$5,1,0))</f>
        <v/>
      </c>
      <c r="K1406" s="29">
        <f>IF(AND(J1406=1,ISNUMBER(D1406)),D1406,"")</f>
        <v/>
      </c>
      <c r="L1406" s="30">
        <f>IF(AND(J1406=1,ISNUMBER(G1406)),G1406,"")</f>
        <v/>
      </c>
      <c r="M1406" s="22">
        <f>IF(AND(J1406=1,ISNUMBER(C1406)),C1406,"")</f>
        <v/>
      </c>
      <c r="N1406" s="31">
        <f>IF(AND(J1406=1,ISNUMBER(I1406)),I1406,"")</f>
        <v/>
      </c>
      <c r="O1406" s="11">
        <f>IF(K1406="","",100-IF($G$13=1,50,(_xlfn.RANK.AVG(K1406,$K$19:$K$1518,1)-1)/($G$13-1)*100))</f>
        <v/>
      </c>
      <c r="P1406" s="11">
        <f>IF(L1406="","",100-IF($G$14=1,50,(_xlfn.RANK.AVG(L1406,$L$19:$L$1518,1)-1)/($G$14-1)*100))</f>
        <v/>
      </c>
      <c r="Q1406" s="11">
        <f>IF(M1406="","",IF($G$15=1,50,(_xlfn.RANK.AVG(M1406,$M$19:$M$1518,1)-1)/($G$15-1)*100))</f>
        <v/>
      </c>
      <c r="R1406" s="11">
        <f>IF(N1406="","",IF($G$16=1,50,(_xlfn.RANK.AVG(N1406,$N$19:$N$1518,1)-1)/($G$16-1)*100))</f>
        <v/>
      </c>
      <c r="S1406" s="11">
        <f>IF(COUNT(O1406:R1406)=4,ROUND(AVERAGE(O1406:R1406),6),"")</f>
        <v/>
      </c>
      <c r="U1406">
        <f>IF(AND(ISNUMBER('자료_한국심리'!$A1390),ISNUMBER('자료_한국심리'!$B1390)),'자료_한국심리'!$A1390,"")</f>
        <v/>
      </c>
      <c r="V1406">
        <f>IF(AND(ISNUMBER('자료_한국심리'!$D1390),ISNUMBER('자료_한국심리'!$E1390)),'자료_한국심리'!$D1390,"")</f>
        <v/>
      </c>
      <c r="W1406">
        <f>IF(AND(ISNUMBER('자료_한국심리'!$G1390),ISNUMBER('자료_한국심리'!$H1390)),'자료_한국심리'!$G1390,"")</f>
        <v/>
      </c>
      <c r="X1406">
        <f>IF(AND(ISNUMBER('자료_한국심리'!$J1390),ISNUMBER('자료_한국심리'!$K1390)),'자료_한국심리'!$J1390,"")</f>
        <v/>
      </c>
      <c r="Y1406">
        <f>IF(AND(ISNUMBER('자료_한국심리'!$M1390),ISNUMBER('자료_한국심리'!$N1390)),'자료_한국심리'!$M1390,"")</f>
        <v/>
      </c>
    </row>
    <row r="1407">
      <c r="A1407" s="10">
        <f>IF(1389&gt;$E$5,"",SMALL($U$19:$U$4018,$E$6+1389))</f>
        <v/>
      </c>
      <c r="B1407" s="29">
        <f>IF(A1407="","",INDEX('자료_한국심리'!$B$3:$B$4002,MATCH(A1407,$U$19:$U$4018,0)))</f>
        <v/>
      </c>
      <c r="C1407" s="22">
        <f>IF(A1407="","",B1407/AVERAGE(B1283:B1407)-1)</f>
        <v/>
      </c>
      <c r="D1407" s="29">
        <f>IF(A1407="","",IFERROR(INDEX('자료_한국심리'!$E$3:$E$4002,MATCH(A1407,$V$19:$V$4018,0)),D1406))</f>
        <v/>
      </c>
      <c r="E1407" s="30">
        <f>IF(A1407="","",IFERROR(INDEX('자료_한국심리'!$H$3:$H$4002,MATCH(A1407,$W$19:$W$4018,0)),E1406))</f>
        <v/>
      </c>
      <c r="F1407" s="30">
        <f>IF(A1407="","",IFERROR(INDEX('자료_한국심리'!$K$3:$K$4002,MATCH(A1407,$X$19:$X$4018,0)),F1406))</f>
        <v/>
      </c>
      <c r="G1407" s="30">
        <f>IF(AND(ISNUMBER(E1407),ISNUMBER(F1407)),ROUND(E1407-F1407,6),"")</f>
        <v/>
      </c>
      <c r="H1407" s="25">
        <f>IF(A1407="","",IFERROR(INDEX('자료_한국심리'!$N$3:$N$4002,MATCH(A1407,$Y$19:$Y$4018,0)),H1406))</f>
        <v/>
      </c>
      <c r="I1407" s="31">
        <f>IF(AND(ISNUMBER(H1407),ISNUMBER(H1387)),IF(H1387&gt;0,H1407/H1387-1,""),"")</f>
        <v/>
      </c>
      <c r="J1407">
        <f>IF(A1407="",0,IF(A1407&gt;$B$5,1,0))</f>
        <v/>
      </c>
      <c r="K1407" s="29">
        <f>IF(AND(J1407=1,ISNUMBER(D1407)),D1407,"")</f>
        <v/>
      </c>
      <c r="L1407" s="30">
        <f>IF(AND(J1407=1,ISNUMBER(G1407)),G1407,"")</f>
        <v/>
      </c>
      <c r="M1407" s="22">
        <f>IF(AND(J1407=1,ISNUMBER(C1407)),C1407,"")</f>
        <v/>
      </c>
      <c r="N1407" s="31">
        <f>IF(AND(J1407=1,ISNUMBER(I1407)),I1407,"")</f>
        <v/>
      </c>
      <c r="O1407" s="11">
        <f>IF(K1407="","",100-IF($G$13=1,50,(_xlfn.RANK.AVG(K1407,$K$19:$K$1518,1)-1)/($G$13-1)*100))</f>
        <v/>
      </c>
      <c r="P1407" s="11">
        <f>IF(L1407="","",100-IF($G$14=1,50,(_xlfn.RANK.AVG(L1407,$L$19:$L$1518,1)-1)/($G$14-1)*100))</f>
        <v/>
      </c>
      <c r="Q1407" s="11">
        <f>IF(M1407="","",IF($G$15=1,50,(_xlfn.RANK.AVG(M1407,$M$19:$M$1518,1)-1)/($G$15-1)*100))</f>
        <v/>
      </c>
      <c r="R1407" s="11">
        <f>IF(N1407="","",IF($G$16=1,50,(_xlfn.RANK.AVG(N1407,$N$19:$N$1518,1)-1)/($G$16-1)*100))</f>
        <v/>
      </c>
      <c r="S1407" s="11">
        <f>IF(COUNT(O1407:R1407)=4,ROUND(AVERAGE(O1407:R1407),6),"")</f>
        <v/>
      </c>
      <c r="U1407">
        <f>IF(AND(ISNUMBER('자료_한국심리'!$A1391),ISNUMBER('자료_한국심리'!$B1391)),'자료_한국심리'!$A1391,"")</f>
        <v/>
      </c>
      <c r="V1407">
        <f>IF(AND(ISNUMBER('자료_한국심리'!$D1391),ISNUMBER('자료_한국심리'!$E1391)),'자료_한국심리'!$D1391,"")</f>
        <v/>
      </c>
      <c r="W1407">
        <f>IF(AND(ISNUMBER('자료_한국심리'!$G1391),ISNUMBER('자료_한국심리'!$H1391)),'자료_한국심리'!$G1391,"")</f>
        <v/>
      </c>
      <c r="X1407">
        <f>IF(AND(ISNUMBER('자료_한국심리'!$J1391),ISNUMBER('자료_한국심리'!$K1391)),'자료_한국심리'!$J1391,"")</f>
        <v/>
      </c>
      <c r="Y1407">
        <f>IF(AND(ISNUMBER('자료_한국심리'!$M1391),ISNUMBER('자료_한국심리'!$N1391)),'자료_한국심리'!$M1391,"")</f>
        <v/>
      </c>
    </row>
    <row r="1408">
      <c r="A1408" s="10">
        <f>IF(1390&gt;$E$5,"",SMALL($U$19:$U$4018,$E$6+1390))</f>
        <v/>
      </c>
      <c r="B1408" s="29">
        <f>IF(A1408="","",INDEX('자료_한국심리'!$B$3:$B$4002,MATCH(A1408,$U$19:$U$4018,0)))</f>
        <v/>
      </c>
      <c r="C1408" s="22">
        <f>IF(A1408="","",B1408/AVERAGE(B1284:B1408)-1)</f>
        <v/>
      </c>
      <c r="D1408" s="29">
        <f>IF(A1408="","",IFERROR(INDEX('자료_한국심리'!$E$3:$E$4002,MATCH(A1408,$V$19:$V$4018,0)),D1407))</f>
        <v/>
      </c>
      <c r="E1408" s="30">
        <f>IF(A1408="","",IFERROR(INDEX('자료_한국심리'!$H$3:$H$4002,MATCH(A1408,$W$19:$W$4018,0)),E1407))</f>
        <v/>
      </c>
      <c r="F1408" s="30">
        <f>IF(A1408="","",IFERROR(INDEX('자료_한국심리'!$K$3:$K$4002,MATCH(A1408,$X$19:$X$4018,0)),F1407))</f>
        <v/>
      </c>
      <c r="G1408" s="30">
        <f>IF(AND(ISNUMBER(E1408),ISNUMBER(F1408)),ROUND(E1408-F1408,6),"")</f>
        <v/>
      </c>
      <c r="H1408" s="25">
        <f>IF(A1408="","",IFERROR(INDEX('자료_한국심리'!$N$3:$N$4002,MATCH(A1408,$Y$19:$Y$4018,0)),H1407))</f>
        <v/>
      </c>
      <c r="I1408" s="31">
        <f>IF(AND(ISNUMBER(H1408),ISNUMBER(H1388)),IF(H1388&gt;0,H1408/H1388-1,""),"")</f>
        <v/>
      </c>
      <c r="J1408">
        <f>IF(A1408="",0,IF(A1408&gt;$B$5,1,0))</f>
        <v/>
      </c>
      <c r="K1408" s="29">
        <f>IF(AND(J1408=1,ISNUMBER(D1408)),D1408,"")</f>
        <v/>
      </c>
      <c r="L1408" s="30">
        <f>IF(AND(J1408=1,ISNUMBER(G1408)),G1408,"")</f>
        <v/>
      </c>
      <c r="M1408" s="22">
        <f>IF(AND(J1408=1,ISNUMBER(C1408)),C1408,"")</f>
        <v/>
      </c>
      <c r="N1408" s="31">
        <f>IF(AND(J1408=1,ISNUMBER(I1408)),I1408,"")</f>
        <v/>
      </c>
      <c r="O1408" s="11">
        <f>IF(K1408="","",100-IF($G$13=1,50,(_xlfn.RANK.AVG(K1408,$K$19:$K$1518,1)-1)/($G$13-1)*100))</f>
        <v/>
      </c>
      <c r="P1408" s="11">
        <f>IF(L1408="","",100-IF($G$14=1,50,(_xlfn.RANK.AVG(L1408,$L$19:$L$1518,1)-1)/($G$14-1)*100))</f>
        <v/>
      </c>
      <c r="Q1408" s="11">
        <f>IF(M1408="","",IF($G$15=1,50,(_xlfn.RANK.AVG(M1408,$M$19:$M$1518,1)-1)/($G$15-1)*100))</f>
        <v/>
      </c>
      <c r="R1408" s="11">
        <f>IF(N1408="","",IF($G$16=1,50,(_xlfn.RANK.AVG(N1408,$N$19:$N$1518,1)-1)/($G$16-1)*100))</f>
        <v/>
      </c>
      <c r="S1408" s="11">
        <f>IF(COUNT(O1408:R1408)=4,ROUND(AVERAGE(O1408:R1408),6),"")</f>
        <v/>
      </c>
      <c r="U1408">
        <f>IF(AND(ISNUMBER('자료_한국심리'!$A1392),ISNUMBER('자료_한국심리'!$B1392)),'자료_한국심리'!$A1392,"")</f>
        <v/>
      </c>
      <c r="V1408">
        <f>IF(AND(ISNUMBER('자료_한국심리'!$D1392),ISNUMBER('자료_한국심리'!$E1392)),'자료_한국심리'!$D1392,"")</f>
        <v/>
      </c>
      <c r="W1408">
        <f>IF(AND(ISNUMBER('자료_한국심리'!$G1392),ISNUMBER('자료_한국심리'!$H1392)),'자료_한국심리'!$G1392,"")</f>
        <v/>
      </c>
      <c r="X1408">
        <f>IF(AND(ISNUMBER('자료_한국심리'!$J1392),ISNUMBER('자료_한국심리'!$K1392)),'자료_한국심리'!$J1392,"")</f>
        <v/>
      </c>
      <c r="Y1408">
        <f>IF(AND(ISNUMBER('자료_한국심리'!$M1392),ISNUMBER('자료_한국심리'!$N1392)),'자료_한국심리'!$M1392,"")</f>
        <v/>
      </c>
    </row>
    <row r="1409">
      <c r="A1409" s="10">
        <f>IF(1391&gt;$E$5,"",SMALL($U$19:$U$4018,$E$6+1391))</f>
        <v/>
      </c>
      <c r="B1409" s="29">
        <f>IF(A1409="","",INDEX('자료_한국심리'!$B$3:$B$4002,MATCH(A1409,$U$19:$U$4018,0)))</f>
        <v/>
      </c>
      <c r="C1409" s="22">
        <f>IF(A1409="","",B1409/AVERAGE(B1285:B1409)-1)</f>
        <v/>
      </c>
      <c r="D1409" s="29">
        <f>IF(A1409="","",IFERROR(INDEX('자료_한국심리'!$E$3:$E$4002,MATCH(A1409,$V$19:$V$4018,0)),D1408))</f>
        <v/>
      </c>
      <c r="E1409" s="30">
        <f>IF(A1409="","",IFERROR(INDEX('자료_한국심리'!$H$3:$H$4002,MATCH(A1409,$W$19:$W$4018,0)),E1408))</f>
        <v/>
      </c>
      <c r="F1409" s="30">
        <f>IF(A1409="","",IFERROR(INDEX('자료_한국심리'!$K$3:$K$4002,MATCH(A1409,$X$19:$X$4018,0)),F1408))</f>
        <v/>
      </c>
      <c r="G1409" s="30">
        <f>IF(AND(ISNUMBER(E1409),ISNUMBER(F1409)),ROUND(E1409-F1409,6),"")</f>
        <v/>
      </c>
      <c r="H1409" s="25">
        <f>IF(A1409="","",IFERROR(INDEX('자료_한국심리'!$N$3:$N$4002,MATCH(A1409,$Y$19:$Y$4018,0)),H1408))</f>
        <v/>
      </c>
      <c r="I1409" s="31">
        <f>IF(AND(ISNUMBER(H1409),ISNUMBER(H1389)),IF(H1389&gt;0,H1409/H1389-1,""),"")</f>
        <v/>
      </c>
      <c r="J1409">
        <f>IF(A1409="",0,IF(A1409&gt;$B$5,1,0))</f>
        <v/>
      </c>
      <c r="K1409" s="29">
        <f>IF(AND(J1409=1,ISNUMBER(D1409)),D1409,"")</f>
        <v/>
      </c>
      <c r="L1409" s="30">
        <f>IF(AND(J1409=1,ISNUMBER(G1409)),G1409,"")</f>
        <v/>
      </c>
      <c r="M1409" s="22">
        <f>IF(AND(J1409=1,ISNUMBER(C1409)),C1409,"")</f>
        <v/>
      </c>
      <c r="N1409" s="31">
        <f>IF(AND(J1409=1,ISNUMBER(I1409)),I1409,"")</f>
        <v/>
      </c>
      <c r="O1409" s="11">
        <f>IF(K1409="","",100-IF($G$13=1,50,(_xlfn.RANK.AVG(K1409,$K$19:$K$1518,1)-1)/($G$13-1)*100))</f>
        <v/>
      </c>
      <c r="P1409" s="11">
        <f>IF(L1409="","",100-IF($G$14=1,50,(_xlfn.RANK.AVG(L1409,$L$19:$L$1518,1)-1)/($G$14-1)*100))</f>
        <v/>
      </c>
      <c r="Q1409" s="11">
        <f>IF(M1409="","",IF($G$15=1,50,(_xlfn.RANK.AVG(M1409,$M$19:$M$1518,1)-1)/($G$15-1)*100))</f>
        <v/>
      </c>
      <c r="R1409" s="11">
        <f>IF(N1409="","",IF($G$16=1,50,(_xlfn.RANK.AVG(N1409,$N$19:$N$1518,1)-1)/($G$16-1)*100))</f>
        <v/>
      </c>
      <c r="S1409" s="11">
        <f>IF(COUNT(O1409:R1409)=4,ROUND(AVERAGE(O1409:R1409),6),"")</f>
        <v/>
      </c>
      <c r="U1409">
        <f>IF(AND(ISNUMBER('자료_한국심리'!$A1393),ISNUMBER('자료_한국심리'!$B1393)),'자료_한국심리'!$A1393,"")</f>
        <v/>
      </c>
      <c r="V1409">
        <f>IF(AND(ISNUMBER('자료_한국심리'!$D1393),ISNUMBER('자료_한국심리'!$E1393)),'자료_한국심리'!$D1393,"")</f>
        <v/>
      </c>
      <c r="W1409">
        <f>IF(AND(ISNUMBER('자료_한국심리'!$G1393),ISNUMBER('자료_한국심리'!$H1393)),'자료_한국심리'!$G1393,"")</f>
        <v/>
      </c>
      <c r="X1409">
        <f>IF(AND(ISNUMBER('자료_한국심리'!$J1393),ISNUMBER('자료_한국심리'!$K1393)),'자료_한국심리'!$J1393,"")</f>
        <v/>
      </c>
      <c r="Y1409">
        <f>IF(AND(ISNUMBER('자료_한국심리'!$M1393),ISNUMBER('자료_한국심리'!$N1393)),'자료_한국심리'!$M1393,"")</f>
        <v/>
      </c>
    </row>
    <row r="1410">
      <c r="A1410" s="10">
        <f>IF(1392&gt;$E$5,"",SMALL($U$19:$U$4018,$E$6+1392))</f>
        <v/>
      </c>
      <c r="B1410" s="29">
        <f>IF(A1410="","",INDEX('자료_한국심리'!$B$3:$B$4002,MATCH(A1410,$U$19:$U$4018,0)))</f>
        <v/>
      </c>
      <c r="C1410" s="22">
        <f>IF(A1410="","",B1410/AVERAGE(B1286:B1410)-1)</f>
        <v/>
      </c>
      <c r="D1410" s="29">
        <f>IF(A1410="","",IFERROR(INDEX('자료_한국심리'!$E$3:$E$4002,MATCH(A1410,$V$19:$V$4018,0)),D1409))</f>
        <v/>
      </c>
      <c r="E1410" s="30">
        <f>IF(A1410="","",IFERROR(INDEX('자료_한국심리'!$H$3:$H$4002,MATCH(A1410,$W$19:$W$4018,0)),E1409))</f>
        <v/>
      </c>
      <c r="F1410" s="30">
        <f>IF(A1410="","",IFERROR(INDEX('자료_한국심리'!$K$3:$K$4002,MATCH(A1410,$X$19:$X$4018,0)),F1409))</f>
        <v/>
      </c>
      <c r="G1410" s="30">
        <f>IF(AND(ISNUMBER(E1410),ISNUMBER(F1410)),ROUND(E1410-F1410,6),"")</f>
        <v/>
      </c>
      <c r="H1410" s="25">
        <f>IF(A1410="","",IFERROR(INDEX('자료_한국심리'!$N$3:$N$4002,MATCH(A1410,$Y$19:$Y$4018,0)),H1409))</f>
        <v/>
      </c>
      <c r="I1410" s="31">
        <f>IF(AND(ISNUMBER(H1410),ISNUMBER(H1390)),IF(H1390&gt;0,H1410/H1390-1,""),"")</f>
        <v/>
      </c>
      <c r="J1410">
        <f>IF(A1410="",0,IF(A1410&gt;$B$5,1,0))</f>
        <v/>
      </c>
      <c r="K1410" s="29">
        <f>IF(AND(J1410=1,ISNUMBER(D1410)),D1410,"")</f>
        <v/>
      </c>
      <c r="L1410" s="30">
        <f>IF(AND(J1410=1,ISNUMBER(G1410)),G1410,"")</f>
        <v/>
      </c>
      <c r="M1410" s="22">
        <f>IF(AND(J1410=1,ISNUMBER(C1410)),C1410,"")</f>
        <v/>
      </c>
      <c r="N1410" s="31">
        <f>IF(AND(J1410=1,ISNUMBER(I1410)),I1410,"")</f>
        <v/>
      </c>
      <c r="O1410" s="11">
        <f>IF(K1410="","",100-IF($G$13=1,50,(_xlfn.RANK.AVG(K1410,$K$19:$K$1518,1)-1)/($G$13-1)*100))</f>
        <v/>
      </c>
      <c r="P1410" s="11">
        <f>IF(L1410="","",100-IF($G$14=1,50,(_xlfn.RANK.AVG(L1410,$L$19:$L$1518,1)-1)/($G$14-1)*100))</f>
        <v/>
      </c>
      <c r="Q1410" s="11">
        <f>IF(M1410="","",IF($G$15=1,50,(_xlfn.RANK.AVG(M1410,$M$19:$M$1518,1)-1)/($G$15-1)*100))</f>
        <v/>
      </c>
      <c r="R1410" s="11">
        <f>IF(N1410="","",IF($G$16=1,50,(_xlfn.RANK.AVG(N1410,$N$19:$N$1518,1)-1)/($G$16-1)*100))</f>
        <v/>
      </c>
      <c r="S1410" s="11">
        <f>IF(COUNT(O1410:R1410)=4,ROUND(AVERAGE(O1410:R1410),6),"")</f>
        <v/>
      </c>
      <c r="U1410">
        <f>IF(AND(ISNUMBER('자료_한국심리'!$A1394),ISNUMBER('자료_한국심리'!$B1394)),'자료_한국심리'!$A1394,"")</f>
        <v/>
      </c>
      <c r="V1410">
        <f>IF(AND(ISNUMBER('자료_한국심리'!$D1394),ISNUMBER('자료_한국심리'!$E1394)),'자료_한국심리'!$D1394,"")</f>
        <v/>
      </c>
      <c r="W1410">
        <f>IF(AND(ISNUMBER('자료_한국심리'!$G1394),ISNUMBER('자료_한국심리'!$H1394)),'자료_한국심리'!$G1394,"")</f>
        <v/>
      </c>
      <c r="X1410">
        <f>IF(AND(ISNUMBER('자료_한국심리'!$J1394),ISNUMBER('자료_한국심리'!$K1394)),'자료_한국심리'!$J1394,"")</f>
        <v/>
      </c>
      <c r="Y1410">
        <f>IF(AND(ISNUMBER('자료_한국심리'!$M1394),ISNUMBER('자료_한국심리'!$N1394)),'자료_한국심리'!$M1394,"")</f>
        <v/>
      </c>
    </row>
    <row r="1411">
      <c r="A1411" s="10">
        <f>IF(1393&gt;$E$5,"",SMALL($U$19:$U$4018,$E$6+1393))</f>
        <v/>
      </c>
      <c r="B1411" s="29">
        <f>IF(A1411="","",INDEX('자료_한국심리'!$B$3:$B$4002,MATCH(A1411,$U$19:$U$4018,0)))</f>
        <v/>
      </c>
      <c r="C1411" s="22">
        <f>IF(A1411="","",B1411/AVERAGE(B1287:B1411)-1)</f>
        <v/>
      </c>
      <c r="D1411" s="29">
        <f>IF(A1411="","",IFERROR(INDEX('자료_한국심리'!$E$3:$E$4002,MATCH(A1411,$V$19:$V$4018,0)),D1410))</f>
        <v/>
      </c>
      <c r="E1411" s="30">
        <f>IF(A1411="","",IFERROR(INDEX('자료_한국심리'!$H$3:$H$4002,MATCH(A1411,$W$19:$W$4018,0)),E1410))</f>
        <v/>
      </c>
      <c r="F1411" s="30">
        <f>IF(A1411="","",IFERROR(INDEX('자료_한국심리'!$K$3:$K$4002,MATCH(A1411,$X$19:$X$4018,0)),F1410))</f>
        <v/>
      </c>
      <c r="G1411" s="30">
        <f>IF(AND(ISNUMBER(E1411),ISNUMBER(F1411)),ROUND(E1411-F1411,6),"")</f>
        <v/>
      </c>
      <c r="H1411" s="25">
        <f>IF(A1411="","",IFERROR(INDEX('자료_한국심리'!$N$3:$N$4002,MATCH(A1411,$Y$19:$Y$4018,0)),H1410))</f>
        <v/>
      </c>
      <c r="I1411" s="31">
        <f>IF(AND(ISNUMBER(H1411),ISNUMBER(H1391)),IF(H1391&gt;0,H1411/H1391-1,""),"")</f>
        <v/>
      </c>
      <c r="J1411">
        <f>IF(A1411="",0,IF(A1411&gt;$B$5,1,0))</f>
        <v/>
      </c>
      <c r="K1411" s="29">
        <f>IF(AND(J1411=1,ISNUMBER(D1411)),D1411,"")</f>
        <v/>
      </c>
      <c r="L1411" s="30">
        <f>IF(AND(J1411=1,ISNUMBER(G1411)),G1411,"")</f>
        <v/>
      </c>
      <c r="M1411" s="22">
        <f>IF(AND(J1411=1,ISNUMBER(C1411)),C1411,"")</f>
        <v/>
      </c>
      <c r="N1411" s="31">
        <f>IF(AND(J1411=1,ISNUMBER(I1411)),I1411,"")</f>
        <v/>
      </c>
      <c r="O1411" s="11">
        <f>IF(K1411="","",100-IF($G$13=1,50,(_xlfn.RANK.AVG(K1411,$K$19:$K$1518,1)-1)/($G$13-1)*100))</f>
        <v/>
      </c>
      <c r="P1411" s="11">
        <f>IF(L1411="","",100-IF($G$14=1,50,(_xlfn.RANK.AVG(L1411,$L$19:$L$1518,1)-1)/($G$14-1)*100))</f>
        <v/>
      </c>
      <c r="Q1411" s="11">
        <f>IF(M1411="","",IF($G$15=1,50,(_xlfn.RANK.AVG(M1411,$M$19:$M$1518,1)-1)/($G$15-1)*100))</f>
        <v/>
      </c>
      <c r="R1411" s="11">
        <f>IF(N1411="","",IF($G$16=1,50,(_xlfn.RANK.AVG(N1411,$N$19:$N$1518,1)-1)/($G$16-1)*100))</f>
        <v/>
      </c>
      <c r="S1411" s="11">
        <f>IF(COUNT(O1411:R1411)=4,ROUND(AVERAGE(O1411:R1411),6),"")</f>
        <v/>
      </c>
      <c r="U1411">
        <f>IF(AND(ISNUMBER('자료_한국심리'!$A1395),ISNUMBER('자료_한국심리'!$B1395)),'자료_한국심리'!$A1395,"")</f>
        <v/>
      </c>
      <c r="V1411">
        <f>IF(AND(ISNUMBER('자료_한국심리'!$D1395),ISNUMBER('자료_한국심리'!$E1395)),'자료_한국심리'!$D1395,"")</f>
        <v/>
      </c>
      <c r="W1411">
        <f>IF(AND(ISNUMBER('자료_한국심리'!$G1395),ISNUMBER('자료_한국심리'!$H1395)),'자료_한국심리'!$G1395,"")</f>
        <v/>
      </c>
      <c r="X1411">
        <f>IF(AND(ISNUMBER('자료_한국심리'!$J1395),ISNUMBER('자료_한국심리'!$K1395)),'자료_한국심리'!$J1395,"")</f>
        <v/>
      </c>
      <c r="Y1411">
        <f>IF(AND(ISNUMBER('자료_한국심리'!$M1395),ISNUMBER('자료_한국심리'!$N1395)),'자료_한국심리'!$M1395,"")</f>
        <v/>
      </c>
    </row>
    <row r="1412">
      <c r="A1412" s="10">
        <f>IF(1394&gt;$E$5,"",SMALL($U$19:$U$4018,$E$6+1394))</f>
        <v/>
      </c>
      <c r="B1412" s="29">
        <f>IF(A1412="","",INDEX('자료_한국심리'!$B$3:$B$4002,MATCH(A1412,$U$19:$U$4018,0)))</f>
        <v/>
      </c>
      <c r="C1412" s="22">
        <f>IF(A1412="","",B1412/AVERAGE(B1288:B1412)-1)</f>
        <v/>
      </c>
      <c r="D1412" s="29">
        <f>IF(A1412="","",IFERROR(INDEX('자료_한국심리'!$E$3:$E$4002,MATCH(A1412,$V$19:$V$4018,0)),D1411))</f>
        <v/>
      </c>
      <c r="E1412" s="30">
        <f>IF(A1412="","",IFERROR(INDEX('자료_한국심리'!$H$3:$H$4002,MATCH(A1412,$W$19:$W$4018,0)),E1411))</f>
        <v/>
      </c>
      <c r="F1412" s="30">
        <f>IF(A1412="","",IFERROR(INDEX('자료_한국심리'!$K$3:$K$4002,MATCH(A1412,$X$19:$X$4018,0)),F1411))</f>
        <v/>
      </c>
      <c r="G1412" s="30">
        <f>IF(AND(ISNUMBER(E1412),ISNUMBER(F1412)),ROUND(E1412-F1412,6),"")</f>
        <v/>
      </c>
      <c r="H1412" s="25">
        <f>IF(A1412="","",IFERROR(INDEX('자료_한국심리'!$N$3:$N$4002,MATCH(A1412,$Y$19:$Y$4018,0)),H1411))</f>
        <v/>
      </c>
      <c r="I1412" s="31">
        <f>IF(AND(ISNUMBER(H1412),ISNUMBER(H1392)),IF(H1392&gt;0,H1412/H1392-1,""),"")</f>
        <v/>
      </c>
      <c r="J1412">
        <f>IF(A1412="",0,IF(A1412&gt;$B$5,1,0))</f>
        <v/>
      </c>
      <c r="K1412" s="29">
        <f>IF(AND(J1412=1,ISNUMBER(D1412)),D1412,"")</f>
        <v/>
      </c>
      <c r="L1412" s="30">
        <f>IF(AND(J1412=1,ISNUMBER(G1412)),G1412,"")</f>
        <v/>
      </c>
      <c r="M1412" s="22">
        <f>IF(AND(J1412=1,ISNUMBER(C1412)),C1412,"")</f>
        <v/>
      </c>
      <c r="N1412" s="31">
        <f>IF(AND(J1412=1,ISNUMBER(I1412)),I1412,"")</f>
        <v/>
      </c>
      <c r="O1412" s="11">
        <f>IF(K1412="","",100-IF($G$13=1,50,(_xlfn.RANK.AVG(K1412,$K$19:$K$1518,1)-1)/($G$13-1)*100))</f>
        <v/>
      </c>
      <c r="P1412" s="11">
        <f>IF(L1412="","",100-IF($G$14=1,50,(_xlfn.RANK.AVG(L1412,$L$19:$L$1518,1)-1)/($G$14-1)*100))</f>
        <v/>
      </c>
      <c r="Q1412" s="11">
        <f>IF(M1412="","",IF($G$15=1,50,(_xlfn.RANK.AVG(M1412,$M$19:$M$1518,1)-1)/($G$15-1)*100))</f>
        <v/>
      </c>
      <c r="R1412" s="11">
        <f>IF(N1412="","",IF($G$16=1,50,(_xlfn.RANK.AVG(N1412,$N$19:$N$1518,1)-1)/($G$16-1)*100))</f>
        <v/>
      </c>
      <c r="S1412" s="11">
        <f>IF(COUNT(O1412:R1412)=4,ROUND(AVERAGE(O1412:R1412),6),"")</f>
        <v/>
      </c>
      <c r="U1412">
        <f>IF(AND(ISNUMBER('자료_한국심리'!$A1396),ISNUMBER('자료_한국심리'!$B1396)),'자료_한국심리'!$A1396,"")</f>
        <v/>
      </c>
      <c r="V1412">
        <f>IF(AND(ISNUMBER('자료_한국심리'!$D1396),ISNUMBER('자료_한국심리'!$E1396)),'자료_한국심리'!$D1396,"")</f>
        <v/>
      </c>
      <c r="W1412">
        <f>IF(AND(ISNUMBER('자료_한국심리'!$G1396),ISNUMBER('자료_한국심리'!$H1396)),'자료_한국심리'!$G1396,"")</f>
        <v/>
      </c>
      <c r="X1412">
        <f>IF(AND(ISNUMBER('자료_한국심리'!$J1396),ISNUMBER('자료_한국심리'!$K1396)),'자료_한국심리'!$J1396,"")</f>
        <v/>
      </c>
      <c r="Y1412">
        <f>IF(AND(ISNUMBER('자료_한국심리'!$M1396),ISNUMBER('자료_한국심리'!$N1396)),'자료_한국심리'!$M1396,"")</f>
        <v/>
      </c>
    </row>
    <row r="1413">
      <c r="A1413" s="10">
        <f>IF(1395&gt;$E$5,"",SMALL($U$19:$U$4018,$E$6+1395))</f>
        <v/>
      </c>
      <c r="B1413" s="29">
        <f>IF(A1413="","",INDEX('자료_한국심리'!$B$3:$B$4002,MATCH(A1413,$U$19:$U$4018,0)))</f>
        <v/>
      </c>
      <c r="C1413" s="22">
        <f>IF(A1413="","",B1413/AVERAGE(B1289:B1413)-1)</f>
        <v/>
      </c>
      <c r="D1413" s="29">
        <f>IF(A1413="","",IFERROR(INDEX('자료_한국심리'!$E$3:$E$4002,MATCH(A1413,$V$19:$V$4018,0)),D1412))</f>
        <v/>
      </c>
      <c r="E1413" s="30">
        <f>IF(A1413="","",IFERROR(INDEX('자료_한국심리'!$H$3:$H$4002,MATCH(A1413,$W$19:$W$4018,0)),E1412))</f>
        <v/>
      </c>
      <c r="F1413" s="30">
        <f>IF(A1413="","",IFERROR(INDEX('자료_한국심리'!$K$3:$K$4002,MATCH(A1413,$X$19:$X$4018,0)),F1412))</f>
        <v/>
      </c>
      <c r="G1413" s="30">
        <f>IF(AND(ISNUMBER(E1413),ISNUMBER(F1413)),ROUND(E1413-F1413,6),"")</f>
        <v/>
      </c>
      <c r="H1413" s="25">
        <f>IF(A1413="","",IFERROR(INDEX('자료_한국심리'!$N$3:$N$4002,MATCH(A1413,$Y$19:$Y$4018,0)),H1412))</f>
        <v/>
      </c>
      <c r="I1413" s="31">
        <f>IF(AND(ISNUMBER(H1413),ISNUMBER(H1393)),IF(H1393&gt;0,H1413/H1393-1,""),"")</f>
        <v/>
      </c>
      <c r="J1413">
        <f>IF(A1413="",0,IF(A1413&gt;$B$5,1,0))</f>
        <v/>
      </c>
      <c r="K1413" s="29">
        <f>IF(AND(J1413=1,ISNUMBER(D1413)),D1413,"")</f>
        <v/>
      </c>
      <c r="L1413" s="30">
        <f>IF(AND(J1413=1,ISNUMBER(G1413)),G1413,"")</f>
        <v/>
      </c>
      <c r="M1413" s="22">
        <f>IF(AND(J1413=1,ISNUMBER(C1413)),C1413,"")</f>
        <v/>
      </c>
      <c r="N1413" s="31">
        <f>IF(AND(J1413=1,ISNUMBER(I1413)),I1413,"")</f>
        <v/>
      </c>
      <c r="O1413" s="11">
        <f>IF(K1413="","",100-IF($G$13=1,50,(_xlfn.RANK.AVG(K1413,$K$19:$K$1518,1)-1)/($G$13-1)*100))</f>
        <v/>
      </c>
      <c r="P1413" s="11">
        <f>IF(L1413="","",100-IF($G$14=1,50,(_xlfn.RANK.AVG(L1413,$L$19:$L$1518,1)-1)/($G$14-1)*100))</f>
        <v/>
      </c>
      <c r="Q1413" s="11">
        <f>IF(M1413="","",IF($G$15=1,50,(_xlfn.RANK.AVG(M1413,$M$19:$M$1518,1)-1)/($G$15-1)*100))</f>
        <v/>
      </c>
      <c r="R1413" s="11">
        <f>IF(N1413="","",IF($G$16=1,50,(_xlfn.RANK.AVG(N1413,$N$19:$N$1518,1)-1)/($G$16-1)*100))</f>
        <v/>
      </c>
      <c r="S1413" s="11">
        <f>IF(COUNT(O1413:R1413)=4,ROUND(AVERAGE(O1413:R1413),6),"")</f>
        <v/>
      </c>
      <c r="U1413">
        <f>IF(AND(ISNUMBER('자료_한국심리'!$A1397),ISNUMBER('자료_한국심리'!$B1397)),'자료_한국심리'!$A1397,"")</f>
        <v/>
      </c>
      <c r="V1413">
        <f>IF(AND(ISNUMBER('자료_한국심리'!$D1397),ISNUMBER('자료_한국심리'!$E1397)),'자료_한국심리'!$D1397,"")</f>
        <v/>
      </c>
      <c r="W1413">
        <f>IF(AND(ISNUMBER('자료_한국심리'!$G1397),ISNUMBER('자료_한국심리'!$H1397)),'자료_한국심리'!$G1397,"")</f>
        <v/>
      </c>
      <c r="X1413">
        <f>IF(AND(ISNUMBER('자료_한국심리'!$J1397),ISNUMBER('자료_한국심리'!$K1397)),'자료_한국심리'!$J1397,"")</f>
        <v/>
      </c>
      <c r="Y1413">
        <f>IF(AND(ISNUMBER('자료_한국심리'!$M1397),ISNUMBER('자료_한국심리'!$N1397)),'자료_한국심리'!$M1397,"")</f>
        <v/>
      </c>
    </row>
    <row r="1414">
      <c r="A1414" s="10">
        <f>IF(1396&gt;$E$5,"",SMALL($U$19:$U$4018,$E$6+1396))</f>
        <v/>
      </c>
      <c r="B1414" s="29">
        <f>IF(A1414="","",INDEX('자료_한국심리'!$B$3:$B$4002,MATCH(A1414,$U$19:$U$4018,0)))</f>
        <v/>
      </c>
      <c r="C1414" s="22">
        <f>IF(A1414="","",B1414/AVERAGE(B1290:B1414)-1)</f>
        <v/>
      </c>
      <c r="D1414" s="29">
        <f>IF(A1414="","",IFERROR(INDEX('자료_한국심리'!$E$3:$E$4002,MATCH(A1414,$V$19:$V$4018,0)),D1413))</f>
        <v/>
      </c>
      <c r="E1414" s="30">
        <f>IF(A1414="","",IFERROR(INDEX('자료_한국심리'!$H$3:$H$4002,MATCH(A1414,$W$19:$W$4018,0)),E1413))</f>
        <v/>
      </c>
      <c r="F1414" s="30">
        <f>IF(A1414="","",IFERROR(INDEX('자료_한국심리'!$K$3:$K$4002,MATCH(A1414,$X$19:$X$4018,0)),F1413))</f>
        <v/>
      </c>
      <c r="G1414" s="30">
        <f>IF(AND(ISNUMBER(E1414),ISNUMBER(F1414)),ROUND(E1414-F1414,6),"")</f>
        <v/>
      </c>
      <c r="H1414" s="25">
        <f>IF(A1414="","",IFERROR(INDEX('자료_한국심리'!$N$3:$N$4002,MATCH(A1414,$Y$19:$Y$4018,0)),H1413))</f>
        <v/>
      </c>
      <c r="I1414" s="31">
        <f>IF(AND(ISNUMBER(H1414),ISNUMBER(H1394)),IF(H1394&gt;0,H1414/H1394-1,""),"")</f>
        <v/>
      </c>
      <c r="J1414">
        <f>IF(A1414="",0,IF(A1414&gt;$B$5,1,0))</f>
        <v/>
      </c>
      <c r="K1414" s="29">
        <f>IF(AND(J1414=1,ISNUMBER(D1414)),D1414,"")</f>
        <v/>
      </c>
      <c r="L1414" s="30">
        <f>IF(AND(J1414=1,ISNUMBER(G1414)),G1414,"")</f>
        <v/>
      </c>
      <c r="M1414" s="22">
        <f>IF(AND(J1414=1,ISNUMBER(C1414)),C1414,"")</f>
        <v/>
      </c>
      <c r="N1414" s="31">
        <f>IF(AND(J1414=1,ISNUMBER(I1414)),I1414,"")</f>
        <v/>
      </c>
      <c r="O1414" s="11">
        <f>IF(K1414="","",100-IF($G$13=1,50,(_xlfn.RANK.AVG(K1414,$K$19:$K$1518,1)-1)/($G$13-1)*100))</f>
        <v/>
      </c>
      <c r="P1414" s="11">
        <f>IF(L1414="","",100-IF($G$14=1,50,(_xlfn.RANK.AVG(L1414,$L$19:$L$1518,1)-1)/($G$14-1)*100))</f>
        <v/>
      </c>
      <c r="Q1414" s="11">
        <f>IF(M1414="","",IF($G$15=1,50,(_xlfn.RANK.AVG(M1414,$M$19:$M$1518,1)-1)/($G$15-1)*100))</f>
        <v/>
      </c>
      <c r="R1414" s="11">
        <f>IF(N1414="","",IF($G$16=1,50,(_xlfn.RANK.AVG(N1414,$N$19:$N$1518,1)-1)/($G$16-1)*100))</f>
        <v/>
      </c>
      <c r="S1414" s="11">
        <f>IF(COUNT(O1414:R1414)=4,ROUND(AVERAGE(O1414:R1414),6),"")</f>
        <v/>
      </c>
      <c r="U1414">
        <f>IF(AND(ISNUMBER('자료_한국심리'!$A1398),ISNUMBER('자료_한국심리'!$B1398)),'자료_한국심리'!$A1398,"")</f>
        <v/>
      </c>
      <c r="V1414">
        <f>IF(AND(ISNUMBER('자료_한국심리'!$D1398),ISNUMBER('자료_한국심리'!$E1398)),'자료_한국심리'!$D1398,"")</f>
        <v/>
      </c>
      <c r="W1414">
        <f>IF(AND(ISNUMBER('자료_한국심리'!$G1398),ISNUMBER('자료_한국심리'!$H1398)),'자료_한국심리'!$G1398,"")</f>
        <v/>
      </c>
      <c r="X1414">
        <f>IF(AND(ISNUMBER('자료_한국심리'!$J1398),ISNUMBER('자료_한국심리'!$K1398)),'자료_한국심리'!$J1398,"")</f>
        <v/>
      </c>
      <c r="Y1414">
        <f>IF(AND(ISNUMBER('자료_한국심리'!$M1398),ISNUMBER('자료_한국심리'!$N1398)),'자료_한국심리'!$M1398,"")</f>
        <v/>
      </c>
    </row>
    <row r="1415">
      <c r="A1415" s="10">
        <f>IF(1397&gt;$E$5,"",SMALL($U$19:$U$4018,$E$6+1397))</f>
        <v/>
      </c>
      <c r="B1415" s="29">
        <f>IF(A1415="","",INDEX('자료_한국심리'!$B$3:$B$4002,MATCH(A1415,$U$19:$U$4018,0)))</f>
        <v/>
      </c>
      <c r="C1415" s="22">
        <f>IF(A1415="","",B1415/AVERAGE(B1291:B1415)-1)</f>
        <v/>
      </c>
      <c r="D1415" s="29">
        <f>IF(A1415="","",IFERROR(INDEX('자료_한국심리'!$E$3:$E$4002,MATCH(A1415,$V$19:$V$4018,0)),D1414))</f>
        <v/>
      </c>
      <c r="E1415" s="30">
        <f>IF(A1415="","",IFERROR(INDEX('자료_한국심리'!$H$3:$H$4002,MATCH(A1415,$W$19:$W$4018,0)),E1414))</f>
        <v/>
      </c>
      <c r="F1415" s="30">
        <f>IF(A1415="","",IFERROR(INDEX('자료_한국심리'!$K$3:$K$4002,MATCH(A1415,$X$19:$X$4018,0)),F1414))</f>
        <v/>
      </c>
      <c r="G1415" s="30">
        <f>IF(AND(ISNUMBER(E1415),ISNUMBER(F1415)),ROUND(E1415-F1415,6),"")</f>
        <v/>
      </c>
      <c r="H1415" s="25">
        <f>IF(A1415="","",IFERROR(INDEX('자료_한국심리'!$N$3:$N$4002,MATCH(A1415,$Y$19:$Y$4018,0)),H1414))</f>
        <v/>
      </c>
      <c r="I1415" s="31">
        <f>IF(AND(ISNUMBER(H1415),ISNUMBER(H1395)),IF(H1395&gt;0,H1415/H1395-1,""),"")</f>
        <v/>
      </c>
      <c r="J1415">
        <f>IF(A1415="",0,IF(A1415&gt;$B$5,1,0))</f>
        <v/>
      </c>
      <c r="K1415" s="29">
        <f>IF(AND(J1415=1,ISNUMBER(D1415)),D1415,"")</f>
        <v/>
      </c>
      <c r="L1415" s="30">
        <f>IF(AND(J1415=1,ISNUMBER(G1415)),G1415,"")</f>
        <v/>
      </c>
      <c r="M1415" s="22">
        <f>IF(AND(J1415=1,ISNUMBER(C1415)),C1415,"")</f>
        <v/>
      </c>
      <c r="N1415" s="31">
        <f>IF(AND(J1415=1,ISNUMBER(I1415)),I1415,"")</f>
        <v/>
      </c>
      <c r="O1415" s="11">
        <f>IF(K1415="","",100-IF($G$13=1,50,(_xlfn.RANK.AVG(K1415,$K$19:$K$1518,1)-1)/($G$13-1)*100))</f>
        <v/>
      </c>
      <c r="P1415" s="11">
        <f>IF(L1415="","",100-IF($G$14=1,50,(_xlfn.RANK.AVG(L1415,$L$19:$L$1518,1)-1)/($G$14-1)*100))</f>
        <v/>
      </c>
      <c r="Q1415" s="11">
        <f>IF(M1415="","",IF($G$15=1,50,(_xlfn.RANK.AVG(M1415,$M$19:$M$1518,1)-1)/($G$15-1)*100))</f>
        <v/>
      </c>
      <c r="R1415" s="11">
        <f>IF(N1415="","",IF($G$16=1,50,(_xlfn.RANK.AVG(N1415,$N$19:$N$1518,1)-1)/($G$16-1)*100))</f>
        <v/>
      </c>
      <c r="S1415" s="11">
        <f>IF(COUNT(O1415:R1415)=4,ROUND(AVERAGE(O1415:R1415),6),"")</f>
        <v/>
      </c>
      <c r="U1415">
        <f>IF(AND(ISNUMBER('자료_한국심리'!$A1399),ISNUMBER('자료_한국심리'!$B1399)),'자료_한국심리'!$A1399,"")</f>
        <v/>
      </c>
      <c r="V1415">
        <f>IF(AND(ISNUMBER('자료_한국심리'!$D1399),ISNUMBER('자료_한국심리'!$E1399)),'자료_한국심리'!$D1399,"")</f>
        <v/>
      </c>
      <c r="W1415">
        <f>IF(AND(ISNUMBER('자료_한국심리'!$G1399),ISNUMBER('자료_한국심리'!$H1399)),'자료_한국심리'!$G1399,"")</f>
        <v/>
      </c>
      <c r="X1415">
        <f>IF(AND(ISNUMBER('자료_한국심리'!$J1399),ISNUMBER('자료_한국심리'!$K1399)),'자료_한국심리'!$J1399,"")</f>
        <v/>
      </c>
      <c r="Y1415">
        <f>IF(AND(ISNUMBER('자료_한국심리'!$M1399),ISNUMBER('자료_한국심리'!$N1399)),'자료_한국심리'!$M1399,"")</f>
        <v/>
      </c>
    </row>
    <row r="1416">
      <c r="A1416" s="10">
        <f>IF(1398&gt;$E$5,"",SMALL($U$19:$U$4018,$E$6+1398))</f>
        <v/>
      </c>
      <c r="B1416" s="29">
        <f>IF(A1416="","",INDEX('자료_한국심리'!$B$3:$B$4002,MATCH(A1416,$U$19:$U$4018,0)))</f>
        <v/>
      </c>
      <c r="C1416" s="22">
        <f>IF(A1416="","",B1416/AVERAGE(B1292:B1416)-1)</f>
        <v/>
      </c>
      <c r="D1416" s="29">
        <f>IF(A1416="","",IFERROR(INDEX('자료_한국심리'!$E$3:$E$4002,MATCH(A1416,$V$19:$V$4018,0)),D1415))</f>
        <v/>
      </c>
      <c r="E1416" s="30">
        <f>IF(A1416="","",IFERROR(INDEX('자료_한국심리'!$H$3:$H$4002,MATCH(A1416,$W$19:$W$4018,0)),E1415))</f>
        <v/>
      </c>
      <c r="F1416" s="30">
        <f>IF(A1416="","",IFERROR(INDEX('자료_한국심리'!$K$3:$K$4002,MATCH(A1416,$X$19:$X$4018,0)),F1415))</f>
        <v/>
      </c>
      <c r="G1416" s="30">
        <f>IF(AND(ISNUMBER(E1416),ISNUMBER(F1416)),ROUND(E1416-F1416,6),"")</f>
        <v/>
      </c>
      <c r="H1416" s="25">
        <f>IF(A1416="","",IFERROR(INDEX('자료_한국심리'!$N$3:$N$4002,MATCH(A1416,$Y$19:$Y$4018,0)),H1415))</f>
        <v/>
      </c>
      <c r="I1416" s="31">
        <f>IF(AND(ISNUMBER(H1416),ISNUMBER(H1396)),IF(H1396&gt;0,H1416/H1396-1,""),"")</f>
        <v/>
      </c>
      <c r="J1416">
        <f>IF(A1416="",0,IF(A1416&gt;$B$5,1,0))</f>
        <v/>
      </c>
      <c r="K1416" s="29">
        <f>IF(AND(J1416=1,ISNUMBER(D1416)),D1416,"")</f>
        <v/>
      </c>
      <c r="L1416" s="30">
        <f>IF(AND(J1416=1,ISNUMBER(G1416)),G1416,"")</f>
        <v/>
      </c>
      <c r="M1416" s="22">
        <f>IF(AND(J1416=1,ISNUMBER(C1416)),C1416,"")</f>
        <v/>
      </c>
      <c r="N1416" s="31">
        <f>IF(AND(J1416=1,ISNUMBER(I1416)),I1416,"")</f>
        <v/>
      </c>
      <c r="O1416" s="11">
        <f>IF(K1416="","",100-IF($G$13=1,50,(_xlfn.RANK.AVG(K1416,$K$19:$K$1518,1)-1)/($G$13-1)*100))</f>
        <v/>
      </c>
      <c r="P1416" s="11">
        <f>IF(L1416="","",100-IF($G$14=1,50,(_xlfn.RANK.AVG(L1416,$L$19:$L$1518,1)-1)/($G$14-1)*100))</f>
        <v/>
      </c>
      <c r="Q1416" s="11">
        <f>IF(M1416="","",IF($G$15=1,50,(_xlfn.RANK.AVG(M1416,$M$19:$M$1518,1)-1)/($G$15-1)*100))</f>
        <v/>
      </c>
      <c r="R1416" s="11">
        <f>IF(N1416="","",IF($G$16=1,50,(_xlfn.RANK.AVG(N1416,$N$19:$N$1518,1)-1)/($G$16-1)*100))</f>
        <v/>
      </c>
      <c r="S1416" s="11">
        <f>IF(COUNT(O1416:R1416)=4,ROUND(AVERAGE(O1416:R1416),6),"")</f>
        <v/>
      </c>
      <c r="U1416">
        <f>IF(AND(ISNUMBER('자료_한국심리'!$A1400),ISNUMBER('자료_한국심리'!$B1400)),'자료_한국심리'!$A1400,"")</f>
        <v/>
      </c>
      <c r="V1416">
        <f>IF(AND(ISNUMBER('자료_한국심리'!$D1400),ISNUMBER('자료_한국심리'!$E1400)),'자료_한국심리'!$D1400,"")</f>
        <v/>
      </c>
      <c r="W1416">
        <f>IF(AND(ISNUMBER('자료_한국심리'!$G1400),ISNUMBER('자료_한국심리'!$H1400)),'자료_한국심리'!$G1400,"")</f>
        <v/>
      </c>
      <c r="X1416">
        <f>IF(AND(ISNUMBER('자료_한국심리'!$J1400),ISNUMBER('자료_한국심리'!$K1400)),'자료_한국심리'!$J1400,"")</f>
        <v/>
      </c>
      <c r="Y1416">
        <f>IF(AND(ISNUMBER('자료_한국심리'!$M1400),ISNUMBER('자료_한국심리'!$N1400)),'자료_한국심리'!$M1400,"")</f>
        <v/>
      </c>
    </row>
    <row r="1417">
      <c r="A1417" s="10">
        <f>IF(1399&gt;$E$5,"",SMALL($U$19:$U$4018,$E$6+1399))</f>
        <v/>
      </c>
      <c r="B1417" s="29">
        <f>IF(A1417="","",INDEX('자료_한국심리'!$B$3:$B$4002,MATCH(A1417,$U$19:$U$4018,0)))</f>
        <v/>
      </c>
      <c r="C1417" s="22">
        <f>IF(A1417="","",B1417/AVERAGE(B1293:B1417)-1)</f>
        <v/>
      </c>
      <c r="D1417" s="29">
        <f>IF(A1417="","",IFERROR(INDEX('자료_한국심리'!$E$3:$E$4002,MATCH(A1417,$V$19:$V$4018,0)),D1416))</f>
        <v/>
      </c>
      <c r="E1417" s="30">
        <f>IF(A1417="","",IFERROR(INDEX('자료_한국심리'!$H$3:$H$4002,MATCH(A1417,$W$19:$W$4018,0)),E1416))</f>
        <v/>
      </c>
      <c r="F1417" s="30">
        <f>IF(A1417="","",IFERROR(INDEX('자료_한국심리'!$K$3:$K$4002,MATCH(A1417,$X$19:$X$4018,0)),F1416))</f>
        <v/>
      </c>
      <c r="G1417" s="30">
        <f>IF(AND(ISNUMBER(E1417),ISNUMBER(F1417)),ROUND(E1417-F1417,6),"")</f>
        <v/>
      </c>
      <c r="H1417" s="25">
        <f>IF(A1417="","",IFERROR(INDEX('자료_한국심리'!$N$3:$N$4002,MATCH(A1417,$Y$19:$Y$4018,0)),H1416))</f>
        <v/>
      </c>
      <c r="I1417" s="31">
        <f>IF(AND(ISNUMBER(H1417),ISNUMBER(H1397)),IF(H1397&gt;0,H1417/H1397-1,""),"")</f>
        <v/>
      </c>
      <c r="J1417">
        <f>IF(A1417="",0,IF(A1417&gt;$B$5,1,0))</f>
        <v/>
      </c>
      <c r="K1417" s="29">
        <f>IF(AND(J1417=1,ISNUMBER(D1417)),D1417,"")</f>
        <v/>
      </c>
      <c r="L1417" s="30">
        <f>IF(AND(J1417=1,ISNUMBER(G1417)),G1417,"")</f>
        <v/>
      </c>
      <c r="M1417" s="22">
        <f>IF(AND(J1417=1,ISNUMBER(C1417)),C1417,"")</f>
        <v/>
      </c>
      <c r="N1417" s="31">
        <f>IF(AND(J1417=1,ISNUMBER(I1417)),I1417,"")</f>
        <v/>
      </c>
      <c r="O1417" s="11">
        <f>IF(K1417="","",100-IF($G$13=1,50,(_xlfn.RANK.AVG(K1417,$K$19:$K$1518,1)-1)/($G$13-1)*100))</f>
        <v/>
      </c>
      <c r="P1417" s="11">
        <f>IF(L1417="","",100-IF($G$14=1,50,(_xlfn.RANK.AVG(L1417,$L$19:$L$1518,1)-1)/($G$14-1)*100))</f>
        <v/>
      </c>
      <c r="Q1417" s="11">
        <f>IF(M1417="","",IF($G$15=1,50,(_xlfn.RANK.AVG(M1417,$M$19:$M$1518,1)-1)/($G$15-1)*100))</f>
        <v/>
      </c>
      <c r="R1417" s="11">
        <f>IF(N1417="","",IF($G$16=1,50,(_xlfn.RANK.AVG(N1417,$N$19:$N$1518,1)-1)/($G$16-1)*100))</f>
        <v/>
      </c>
      <c r="S1417" s="11">
        <f>IF(COUNT(O1417:R1417)=4,ROUND(AVERAGE(O1417:R1417),6),"")</f>
        <v/>
      </c>
      <c r="U1417">
        <f>IF(AND(ISNUMBER('자료_한국심리'!$A1401),ISNUMBER('자료_한국심리'!$B1401)),'자료_한국심리'!$A1401,"")</f>
        <v/>
      </c>
      <c r="V1417">
        <f>IF(AND(ISNUMBER('자료_한국심리'!$D1401),ISNUMBER('자료_한국심리'!$E1401)),'자료_한국심리'!$D1401,"")</f>
        <v/>
      </c>
      <c r="W1417">
        <f>IF(AND(ISNUMBER('자료_한국심리'!$G1401),ISNUMBER('자료_한국심리'!$H1401)),'자료_한국심리'!$G1401,"")</f>
        <v/>
      </c>
      <c r="X1417">
        <f>IF(AND(ISNUMBER('자료_한국심리'!$J1401),ISNUMBER('자료_한국심리'!$K1401)),'자료_한국심리'!$J1401,"")</f>
        <v/>
      </c>
      <c r="Y1417">
        <f>IF(AND(ISNUMBER('자료_한국심리'!$M1401),ISNUMBER('자료_한국심리'!$N1401)),'자료_한국심리'!$M1401,"")</f>
        <v/>
      </c>
    </row>
    <row r="1418">
      <c r="A1418" s="10">
        <f>IF(1400&gt;$E$5,"",SMALL($U$19:$U$4018,$E$6+1400))</f>
        <v/>
      </c>
      <c r="B1418" s="29">
        <f>IF(A1418="","",INDEX('자료_한국심리'!$B$3:$B$4002,MATCH(A1418,$U$19:$U$4018,0)))</f>
        <v/>
      </c>
      <c r="C1418" s="22">
        <f>IF(A1418="","",B1418/AVERAGE(B1294:B1418)-1)</f>
        <v/>
      </c>
      <c r="D1418" s="29">
        <f>IF(A1418="","",IFERROR(INDEX('자료_한국심리'!$E$3:$E$4002,MATCH(A1418,$V$19:$V$4018,0)),D1417))</f>
        <v/>
      </c>
      <c r="E1418" s="30">
        <f>IF(A1418="","",IFERROR(INDEX('자료_한국심리'!$H$3:$H$4002,MATCH(A1418,$W$19:$W$4018,0)),E1417))</f>
        <v/>
      </c>
      <c r="F1418" s="30">
        <f>IF(A1418="","",IFERROR(INDEX('자료_한국심리'!$K$3:$K$4002,MATCH(A1418,$X$19:$X$4018,0)),F1417))</f>
        <v/>
      </c>
      <c r="G1418" s="30">
        <f>IF(AND(ISNUMBER(E1418),ISNUMBER(F1418)),ROUND(E1418-F1418,6),"")</f>
        <v/>
      </c>
      <c r="H1418" s="25">
        <f>IF(A1418="","",IFERROR(INDEX('자료_한국심리'!$N$3:$N$4002,MATCH(A1418,$Y$19:$Y$4018,0)),H1417))</f>
        <v/>
      </c>
      <c r="I1418" s="31">
        <f>IF(AND(ISNUMBER(H1418),ISNUMBER(H1398)),IF(H1398&gt;0,H1418/H1398-1,""),"")</f>
        <v/>
      </c>
      <c r="J1418">
        <f>IF(A1418="",0,IF(A1418&gt;$B$5,1,0))</f>
        <v/>
      </c>
      <c r="K1418" s="29">
        <f>IF(AND(J1418=1,ISNUMBER(D1418)),D1418,"")</f>
        <v/>
      </c>
      <c r="L1418" s="30">
        <f>IF(AND(J1418=1,ISNUMBER(G1418)),G1418,"")</f>
        <v/>
      </c>
      <c r="M1418" s="22">
        <f>IF(AND(J1418=1,ISNUMBER(C1418)),C1418,"")</f>
        <v/>
      </c>
      <c r="N1418" s="31">
        <f>IF(AND(J1418=1,ISNUMBER(I1418)),I1418,"")</f>
        <v/>
      </c>
      <c r="O1418" s="11">
        <f>IF(K1418="","",100-IF($G$13=1,50,(_xlfn.RANK.AVG(K1418,$K$19:$K$1518,1)-1)/($G$13-1)*100))</f>
        <v/>
      </c>
      <c r="P1418" s="11">
        <f>IF(L1418="","",100-IF($G$14=1,50,(_xlfn.RANK.AVG(L1418,$L$19:$L$1518,1)-1)/($G$14-1)*100))</f>
        <v/>
      </c>
      <c r="Q1418" s="11">
        <f>IF(M1418="","",IF($G$15=1,50,(_xlfn.RANK.AVG(M1418,$M$19:$M$1518,1)-1)/($G$15-1)*100))</f>
        <v/>
      </c>
      <c r="R1418" s="11">
        <f>IF(N1418="","",IF($G$16=1,50,(_xlfn.RANK.AVG(N1418,$N$19:$N$1518,1)-1)/($G$16-1)*100))</f>
        <v/>
      </c>
      <c r="S1418" s="11">
        <f>IF(COUNT(O1418:R1418)=4,ROUND(AVERAGE(O1418:R1418),6),"")</f>
        <v/>
      </c>
      <c r="U1418">
        <f>IF(AND(ISNUMBER('자료_한국심리'!$A1402),ISNUMBER('자료_한국심리'!$B1402)),'자료_한국심리'!$A1402,"")</f>
        <v/>
      </c>
      <c r="V1418">
        <f>IF(AND(ISNUMBER('자료_한국심리'!$D1402),ISNUMBER('자료_한국심리'!$E1402)),'자료_한국심리'!$D1402,"")</f>
        <v/>
      </c>
      <c r="W1418">
        <f>IF(AND(ISNUMBER('자료_한국심리'!$G1402),ISNUMBER('자료_한국심리'!$H1402)),'자료_한국심리'!$G1402,"")</f>
        <v/>
      </c>
      <c r="X1418">
        <f>IF(AND(ISNUMBER('자료_한국심리'!$J1402),ISNUMBER('자료_한국심리'!$K1402)),'자료_한국심리'!$J1402,"")</f>
        <v/>
      </c>
      <c r="Y1418">
        <f>IF(AND(ISNUMBER('자료_한국심리'!$M1402),ISNUMBER('자료_한국심리'!$N1402)),'자료_한국심리'!$M1402,"")</f>
        <v/>
      </c>
    </row>
    <row r="1419">
      <c r="A1419" s="10">
        <f>IF(1401&gt;$E$5,"",SMALL($U$19:$U$4018,$E$6+1401))</f>
        <v/>
      </c>
      <c r="B1419" s="29">
        <f>IF(A1419="","",INDEX('자료_한국심리'!$B$3:$B$4002,MATCH(A1419,$U$19:$U$4018,0)))</f>
        <v/>
      </c>
      <c r="C1419" s="22">
        <f>IF(A1419="","",B1419/AVERAGE(B1295:B1419)-1)</f>
        <v/>
      </c>
      <c r="D1419" s="29">
        <f>IF(A1419="","",IFERROR(INDEX('자료_한국심리'!$E$3:$E$4002,MATCH(A1419,$V$19:$V$4018,0)),D1418))</f>
        <v/>
      </c>
      <c r="E1419" s="30">
        <f>IF(A1419="","",IFERROR(INDEX('자료_한국심리'!$H$3:$H$4002,MATCH(A1419,$W$19:$W$4018,0)),E1418))</f>
        <v/>
      </c>
      <c r="F1419" s="30">
        <f>IF(A1419="","",IFERROR(INDEX('자료_한국심리'!$K$3:$K$4002,MATCH(A1419,$X$19:$X$4018,0)),F1418))</f>
        <v/>
      </c>
      <c r="G1419" s="30">
        <f>IF(AND(ISNUMBER(E1419),ISNUMBER(F1419)),ROUND(E1419-F1419,6),"")</f>
        <v/>
      </c>
      <c r="H1419" s="25">
        <f>IF(A1419="","",IFERROR(INDEX('자료_한국심리'!$N$3:$N$4002,MATCH(A1419,$Y$19:$Y$4018,0)),H1418))</f>
        <v/>
      </c>
      <c r="I1419" s="31">
        <f>IF(AND(ISNUMBER(H1419),ISNUMBER(H1399)),IF(H1399&gt;0,H1419/H1399-1,""),"")</f>
        <v/>
      </c>
      <c r="J1419">
        <f>IF(A1419="",0,IF(A1419&gt;$B$5,1,0))</f>
        <v/>
      </c>
      <c r="K1419" s="29">
        <f>IF(AND(J1419=1,ISNUMBER(D1419)),D1419,"")</f>
        <v/>
      </c>
      <c r="L1419" s="30">
        <f>IF(AND(J1419=1,ISNUMBER(G1419)),G1419,"")</f>
        <v/>
      </c>
      <c r="M1419" s="22">
        <f>IF(AND(J1419=1,ISNUMBER(C1419)),C1419,"")</f>
        <v/>
      </c>
      <c r="N1419" s="31">
        <f>IF(AND(J1419=1,ISNUMBER(I1419)),I1419,"")</f>
        <v/>
      </c>
      <c r="O1419" s="11">
        <f>IF(K1419="","",100-IF($G$13=1,50,(_xlfn.RANK.AVG(K1419,$K$19:$K$1518,1)-1)/($G$13-1)*100))</f>
        <v/>
      </c>
      <c r="P1419" s="11">
        <f>IF(L1419="","",100-IF($G$14=1,50,(_xlfn.RANK.AVG(L1419,$L$19:$L$1518,1)-1)/($G$14-1)*100))</f>
        <v/>
      </c>
      <c r="Q1419" s="11">
        <f>IF(M1419="","",IF($G$15=1,50,(_xlfn.RANK.AVG(M1419,$M$19:$M$1518,1)-1)/($G$15-1)*100))</f>
        <v/>
      </c>
      <c r="R1419" s="11">
        <f>IF(N1419="","",IF($G$16=1,50,(_xlfn.RANK.AVG(N1419,$N$19:$N$1518,1)-1)/($G$16-1)*100))</f>
        <v/>
      </c>
      <c r="S1419" s="11">
        <f>IF(COUNT(O1419:R1419)=4,ROUND(AVERAGE(O1419:R1419),6),"")</f>
        <v/>
      </c>
      <c r="U1419">
        <f>IF(AND(ISNUMBER('자료_한국심리'!$A1403),ISNUMBER('자료_한국심리'!$B1403)),'자료_한국심리'!$A1403,"")</f>
        <v/>
      </c>
      <c r="V1419">
        <f>IF(AND(ISNUMBER('자료_한국심리'!$D1403),ISNUMBER('자료_한국심리'!$E1403)),'자료_한국심리'!$D1403,"")</f>
        <v/>
      </c>
      <c r="W1419">
        <f>IF(AND(ISNUMBER('자료_한국심리'!$G1403),ISNUMBER('자료_한국심리'!$H1403)),'자료_한국심리'!$G1403,"")</f>
        <v/>
      </c>
      <c r="X1419">
        <f>IF(AND(ISNUMBER('자료_한국심리'!$J1403),ISNUMBER('자료_한국심리'!$K1403)),'자료_한국심리'!$J1403,"")</f>
        <v/>
      </c>
      <c r="Y1419">
        <f>IF(AND(ISNUMBER('자료_한국심리'!$M1403),ISNUMBER('자료_한국심리'!$N1403)),'자료_한국심리'!$M1403,"")</f>
        <v/>
      </c>
    </row>
    <row r="1420">
      <c r="A1420" s="10">
        <f>IF(1402&gt;$E$5,"",SMALL($U$19:$U$4018,$E$6+1402))</f>
        <v/>
      </c>
      <c r="B1420" s="29">
        <f>IF(A1420="","",INDEX('자료_한국심리'!$B$3:$B$4002,MATCH(A1420,$U$19:$U$4018,0)))</f>
        <v/>
      </c>
      <c r="C1420" s="22">
        <f>IF(A1420="","",B1420/AVERAGE(B1296:B1420)-1)</f>
        <v/>
      </c>
      <c r="D1420" s="29">
        <f>IF(A1420="","",IFERROR(INDEX('자료_한국심리'!$E$3:$E$4002,MATCH(A1420,$V$19:$V$4018,0)),D1419))</f>
        <v/>
      </c>
      <c r="E1420" s="30">
        <f>IF(A1420="","",IFERROR(INDEX('자료_한국심리'!$H$3:$H$4002,MATCH(A1420,$W$19:$W$4018,0)),E1419))</f>
        <v/>
      </c>
      <c r="F1420" s="30">
        <f>IF(A1420="","",IFERROR(INDEX('자료_한국심리'!$K$3:$K$4002,MATCH(A1420,$X$19:$X$4018,0)),F1419))</f>
        <v/>
      </c>
      <c r="G1420" s="30">
        <f>IF(AND(ISNUMBER(E1420),ISNUMBER(F1420)),ROUND(E1420-F1420,6),"")</f>
        <v/>
      </c>
      <c r="H1420" s="25">
        <f>IF(A1420="","",IFERROR(INDEX('자료_한국심리'!$N$3:$N$4002,MATCH(A1420,$Y$19:$Y$4018,0)),H1419))</f>
        <v/>
      </c>
      <c r="I1420" s="31">
        <f>IF(AND(ISNUMBER(H1420),ISNUMBER(H1400)),IF(H1400&gt;0,H1420/H1400-1,""),"")</f>
        <v/>
      </c>
      <c r="J1420">
        <f>IF(A1420="",0,IF(A1420&gt;$B$5,1,0))</f>
        <v/>
      </c>
      <c r="K1420" s="29">
        <f>IF(AND(J1420=1,ISNUMBER(D1420)),D1420,"")</f>
        <v/>
      </c>
      <c r="L1420" s="30">
        <f>IF(AND(J1420=1,ISNUMBER(G1420)),G1420,"")</f>
        <v/>
      </c>
      <c r="M1420" s="22">
        <f>IF(AND(J1420=1,ISNUMBER(C1420)),C1420,"")</f>
        <v/>
      </c>
      <c r="N1420" s="31">
        <f>IF(AND(J1420=1,ISNUMBER(I1420)),I1420,"")</f>
        <v/>
      </c>
      <c r="O1420" s="11">
        <f>IF(K1420="","",100-IF($G$13=1,50,(_xlfn.RANK.AVG(K1420,$K$19:$K$1518,1)-1)/($G$13-1)*100))</f>
        <v/>
      </c>
      <c r="P1420" s="11">
        <f>IF(L1420="","",100-IF($G$14=1,50,(_xlfn.RANK.AVG(L1420,$L$19:$L$1518,1)-1)/($G$14-1)*100))</f>
        <v/>
      </c>
      <c r="Q1420" s="11">
        <f>IF(M1420="","",IF($G$15=1,50,(_xlfn.RANK.AVG(M1420,$M$19:$M$1518,1)-1)/($G$15-1)*100))</f>
        <v/>
      </c>
      <c r="R1420" s="11">
        <f>IF(N1420="","",IF($G$16=1,50,(_xlfn.RANK.AVG(N1420,$N$19:$N$1518,1)-1)/($G$16-1)*100))</f>
        <v/>
      </c>
      <c r="S1420" s="11">
        <f>IF(COUNT(O1420:R1420)=4,ROUND(AVERAGE(O1420:R1420),6),"")</f>
        <v/>
      </c>
      <c r="U1420">
        <f>IF(AND(ISNUMBER('자료_한국심리'!$A1404),ISNUMBER('자료_한국심리'!$B1404)),'자료_한국심리'!$A1404,"")</f>
        <v/>
      </c>
      <c r="V1420">
        <f>IF(AND(ISNUMBER('자료_한국심리'!$D1404),ISNUMBER('자료_한국심리'!$E1404)),'자료_한국심리'!$D1404,"")</f>
        <v/>
      </c>
      <c r="W1420">
        <f>IF(AND(ISNUMBER('자료_한국심리'!$G1404),ISNUMBER('자료_한국심리'!$H1404)),'자료_한국심리'!$G1404,"")</f>
        <v/>
      </c>
      <c r="X1420">
        <f>IF(AND(ISNUMBER('자료_한국심리'!$J1404),ISNUMBER('자료_한국심리'!$K1404)),'자료_한국심리'!$J1404,"")</f>
        <v/>
      </c>
      <c r="Y1420">
        <f>IF(AND(ISNUMBER('자료_한국심리'!$M1404),ISNUMBER('자료_한국심리'!$N1404)),'자료_한국심리'!$M1404,"")</f>
        <v/>
      </c>
    </row>
    <row r="1421">
      <c r="A1421" s="10">
        <f>IF(1403&gt;$E$5,"",SMALL($U$19:$U$4018,$E$6+1403))</f>
        <v/>
      </c>
      <c r="B1421" s="29">
        <f>IF(A1421="","",INDEX('자료_한국심리'!$B$3:$B$4002,MATCH(A1421,$U$19:$U$4018,0)))</f>
        <v/>
      </c>
      <c r="C1421" s="22">
        <f>IF(A1421="","",B1421/AVERAGE(B1297:B1421)-1)</f>
        <v/>
      </c>
      <c r="D1421" s="29">
        <f>IF(A1421="","",IFERROR(INDEX('자료_한국심리'!$E$3:$E$4002,MATCH(A1421,$V$19:$V$4018,0)),D1420))</f>
        <v/>
      </c>
      <c r="E1421" s="30">
        <f>IF(A1421="","",IFERROR(INDEX('자료_한국심리'!$H$3:$H$4002,MATCH(A1421,$W$19:$W$4018,0)),E1420))</f>
        <v/>
      </c>
      <c r="F1421" s="30">
        <f>IF(A1421="","",IFERROR(INDEX('자료_한국심리'!$K$3:$K$4002,MATCH(A1421,$X$19:$X$4018,0)),F1420))</f>
        <v/>
      </c>
      <c r="G1421" s="30">
        <f>IF(AND(ISNUMBER(E1421),ISNUMBER(F1421)),ROUND(E1421-F1421,6),"")</f>
        <v/>
      </c>
      <c r="H1421" s="25">
        <f>IF(A1421="","",IFERROR(INDEX('자료_한국심리'!$N$3:$N$4002,MATCH(A1421,$Y$19:$Y$4018,0)),H1420))</f>
        <v/>
      </c>
      <c r="I1421" s="31">
        <f>IF(AND(ISNUMBER(H1421),ISNUMBER(H1401)),IF(H1401&gt;0,H1421/H1401-1,""),"")</f>
        <v/>
      </c>
      <c r="J1421">
        <f>IF(A1421="",0,IF(A1421&gt;$B$5,1,0))</f>
        <v/>
      </c>
      <c r="K1421" s="29">
        <f>IF(AND(J1421=1,ISNUMBER(D1421)),D1421,"")</f>
        <v/>
      </c>
      <c r="L1421" s="30">
        <f>IF(AND(J1421=1,ISNUMBER(G1421)),G1421,"")</f>
        <v/>
      </c>
      <c r="M1421" s="22">
        <f>IF(AND(J1421=1,ISNUMBER(C1421)),C1421,"")</f>
        <v/>
      </c>
      <c r="N1421" s="31">
        <f>IF(AND(J1421=1,ISNUMBER(I1421)),I1421,"")</f>
        <v/>
      </c>
      <c r="O1421" s="11">
        <f>IF(K1421="","",100-IF($G$13=1,50,(_xlfn.RANK.AVG(K1421,$K$19:$K$1518,1)-1)/($G$13-1)*100))</f>
        <v/>
      </c>
      <c r="P1421" s="11">
        <f>IF(L1421="","",100-IF($G$14=1,50,(_xlfn.RANK.AVG(L1421,$L$19:$L$1518,1)-1)/($G$14-1)*100))</f>
        <v/>
      </c>
      <c r="Q1421" s="11">
        <f>IF(M1421="","",IF($G$15=1,50,(_xlfn.RANK.AVG(M1421,$M$19:$M$1518,1)-1)/($G$15-1)*100))</f>
        <v/>
      </c>
      <c r="R1421" s="11">
        <f>IF(N1421="","",IF($G$16=1,50,(_xlfn.RANK.AVG(N1421,$N$19:$N$1518,1)-1)/($G$16-1)*100))</f>
        <v/>
      </c>
      <c r="S1421" s="11">
        <f>IF(COUNT(O1421:R1421)=4,ROUND(AVERAGE(O1421:R1421),6),"")</f>
        <v/>
      </c>
      <c r="U1421">
        <f>IF(AND(ISNUMBER('자료_한국심리'!$A1405),ISNUMBER('자료_한국심리'!$B1405)),'자료_한국심리'!$A1405,"")</f>
        <v/>
      </c>
      <c r="V1421">
        <f>IF(AND(ISNUMBER('자료_한국심리'!$D1405),ISNUMBER('자료_한국심리'!$E1405)),'자료_한국심리'!$D1405,"")</f>
        <v/>
      </c>
      <c r="W1421">
        <f>IF(AND(ISNUMBER('자료_한국심리'!$G1405),ISNUMBER('자료_한국심리'!$H1405)),'자료_한국심리'!$G1405,"")</f>
        <v/>
      </c>
      <c r="X1421">
        <f>IF(AND(ISNUMBER('자료_한국심리'!$J1405),ISNUMBER('자료_한국심리'!$K1405)),'자료_한국심리'!$J1405,"")</f>
        <v/>
      </c>
      <c r="Y1421">
        <f>IF(AND(ISNUMBER('자료_한국심리'!$M1405),ISNUMBER('자료_한국심리'!$N1405)),'자료_한국심리'!$M1405,"")</f>
        <v/>
      </c>
    </row>
    <row r="1422">
      <c r="A1422" s="10">
        <f>IF(1404&gt;$E$5,"",SMALL($U$19:$U$4018,$E$6+1404))</f>
        <v/>
      </c>
      <c r="B1422" s="29">
        <f>IF(A1422="","",INDEX('자료_한국심리'!$B$3:$B$4002,MATCH(A1422,$U$19:$U$4018,0)))</f>
        <v/>
      </c>
      <c r="C1422" s="22">
        <f>IF(A1422="","",B1422/AVERAGE(B1298:B1422)-1)</f>
        <v/>
      </c>
      <c r="D1422" s="29">
        <f>IF(A1422="","",IFERROR(INDEX('자료_한국심리'!$E$3:$E$4002,MATCH(A1422,$V$19:$V$4018,0)),D1421))</f>
        <v/>
      </c>
      <c r="E1422" s="30">
        <f>IF(A1422="","",IFERROR(INDEX('자료_한국심리'!$H$3:$H$4002,MATCH(A1422,$W$19:$W$4018,0)),E1421))</f>
        <v/>
      </c>
      <c r="F1422" s="30">
        <f>IF(A1422="","",IFERROR(INDEX('자료_한국심리'!$K$3:$K$4002,MATCH(A1422,$X$19:$X$4018,0)),F1421))</f>
        <v/>
      </c>
      <c r="G1422" s="30">
        <f>IF(AND(ISNUMBER(E1422),ISNUMBER(F1422)),ROUND(E1422-F1422,6),"")</f>
        <v/>
      </c>
      <c r="H1422" s="25">
        <f>IF(A1422="","",IFERROR(INDEX('자료_한국심리'!$N$3:$N$4002,MATCH(A1422,$Y$19:$Y$4018,0)),H1421))</f>
        <v/>
      </c>
      <c r="I1422" s="31">
        <f>IF(AND(ISNUMBER(H1422),ISNUMBER(H1402)),IF(H1402&gt;0,H1422/H1402-1,""),"")</f>
        <v/>
      </c>
      <c r="J1422">
        <f>IF(A1422="",0,IF(A1422&gt;$B$5,1,0))</f>
        <v/>
      </c>
      <c r="K1422" s="29">
        <f>IF(AND(J1422=1,ISNUMBER(D1422)),D1422,"")</f>
        <v/>
      </c>
      <c r="L1422" s="30">
        <f>IF(AND(J1422=1,ISNUMBER(G1422)),G1422,"")</f>
        <v/>
      </c>
      <c r="M1422" s="22">
        <f>IF(AND(J1422=1,ISNUMBER(C1422)),C1422,"")</f>
        <v/>
      </c>
      <c r="N1422" s="31">
        <f>IF(AND(J1422=1,ISNUMBER(I1422)),I1422,"")</f>
        <v/>
      </c>
      <c r="O1422" s="11">
        <f>IF(K1422="","",100-IF($G$13=1,50,(_xlfn.RANK.AVG(K1422,$K$19:$K$1518,1)-1)/($G$13-1)*100))</f>
        <v/>
      </c>
      <c r="P1422" s="11">
        <f>IF(L1422="","",100-IF($G$14=1,50,(_xlfn.RANK.AVG(L1422,$L$19:$L$1518,1)-1)/($G$14-1)*100))</f>
        <v/>
      </c>
      <c r="Q1422" s="11">
        <f>IF(M1422="","",IF($G$15=1,50,(_xlfn.RANK.AVG(M1422,$M$19:$M$1518,1)-1)/($G$15-1)*100))</f>
        <v/>
      </c>
      <c r="R1422" s="11">
        <f>IF(N1422="","",IF($G$16=1,50,(_xlfn.RANK.AVG(N1422,$N$19:$N$1518,1)-1)/($G$16-1)*100))</f>
        <v/>
      </c>
      <c r="S1422" s="11">
        <f>IF(COUNT(O1422:R1422)=4,ROUND(AVERAGE(O1422:R1422),6),"")</f>
        <v/>
      </c>
      <c r="U1422">
        <f>IF(AND(ISNUMBER('자료_한국심리'!$A1406),ISNUMBER('자료_한국심리'!$B1406)),'자료_한국심리'!$A1406,"")</f>
        <v/>
      </c>
      <c r="V1422">
        <f>IF(AND(ISNUMBER('자료_한국심리'!$D1406),ISNUMBER('자료_한국심리'!$E1406)),'자료_한국심리'!$D1406,"")</f>
        <v/>
      </c>
      <c r="W1422">
        <f>IF(AND(ISNUMBER('자료_한국심리'!$G1406),ISNUMBER('자료_한국심리'!$H1406)),'자료_한국심리'!$G1406,"")</f>
        <v/>
      </c>
      <c r="X1422">
        <f>IF(AND(ISNUMBER('자료_한국심리'!$J1406),ISNUMBER('자료_한국심리'!$K1406)),'자료_한국심리'!$J1406,"")</f>
        <v/>
      </c>
      <c r="Y1422">
        <f>IF(AND(ISNUMBER('자료_한국심리'!$M1406),ISNUMBER('자료_한국심리'!$N1406)),'자료_한국심리'!$M1406,"")</f>
        <v/>
      </c>
    </row>
    <row r="1423">
      <c r="A1423" s="10">
        <f>IF(1405&gt;$E$5,"",SMALL($U$19:$U$4018,$E$6+1405))</f>
        <v/>
      </c>
      <c r="B1423" s="29">
        <f>IF(A1423="","",INDEX('자료_한국심리'!$B$3:$B$4002,MATCH(A1423,$U$19:$U$4018,0)))</f>
        <v/>
      </c>
      <c r="C1423" s="22">
        <f>IF(A1423="","",B1423/AVERAGE(B1299:B1423)-1)</f>
        <v/>
      </c>
      <c r="D1423" s="29">
        <f>IF(A1423="","",IFERROR(INDEX('자료_한국심리'!$E$3:$E$4002,MATCH(A1423,$V$19:$V$4018,0)),D1422))</f>
        <v/>
      </c>
      <c r="E1423" s="30">
        <f>IF(A1423="","",IFERROR(INDEX('자료_한국심리'!$H$3:$H$4002,MATCH(A1423,$W$19:$W$4018,0)),E1422))</f>
        <v/>
      </c>
      <c r="F1423" s="30">
        <f>IF(A1423="","",IFERROR(INDEX('자료_한국심리'!$K$3:$K$4002,MATCH(A1423,$X$19:$X$4018,0)),F1422))</f>
        <v/>
      </c>
      <c r="G1423" s="30">
        <f>IF(AND(ISNUMBER(E1423),ISNUMBER(F1423)),ROUND(E1423-F1423,6),"")</f>
        <v/>
      </c>
      <c r="H1423" s="25">
        <f>IF(A1423="","",IFERROR(INDEX('자료_한국심리'!$N$3:$N$4002,MATCH(A1423,$Y$19:$Y$4018,0)),H1422))</f>
        <v/>
      </c>
      <c r="I1423" s="31">
        <f>IF(AND(ISNUMBER(H1423),ISNUMBER(H1403)),IF(H1403&gt;0,H1423/H1403-1,""),"")</f>
        <v/>
      </c>
      <c r="J1423">
        <f>IF(A1423="",0,IF(A1423&gt;$B$5,1,0))</f>
        <v/>
      </c>
      <c r="K1423" s="29">
        <f>IF(AND(J1423=1,ISNUMBER(D1423)),D1423,"")</f>
        <v/>
      </c>
      <c r="L1423" s="30">
        <f>IF(AND(J1423=1,ISNUMBER(G1423)),G1423,"")</f>
        <v/>
      </c>
      <c r="M1423" s="22">
        <f>IF(AND(J1423=1,ISNUMBER(C1423)),C1423,"")</f>
        <v/>
      </c>
      <c r="N1423" s="31">
        <f>IF(AND(J1423=1,ISNUMBER(I1423)),I1423,"")</f>
        <v/>
      </c>
      <c r="O1423" s="11">
        <f>IF(K1423="","",100-IF($G$13=1,50,(_xlfn.RANK.AVG(K1423,$K$19:$K$1518,1)-1)/($G$13-1)*100))</f>
        <v/>
      </c>
      <c r="P1423" s="11">
        <f>IF(L1423="","",100-IF($G$14=1,50,(_xlfn.RANK.AVG(L1423,$L$19:$L$1518,1)-1)/($G$14-1)*100))</f>
        <v/>
      </c>
      <c r="Q1423" s="11">
        <f>IF(M1423="","",IF($G$15=1,50,(_xlfn.RANK.AVG(M1423,$M$19:$M$1518,1)-1)/($G$15-1)*100))</f>
        <v/>
      </c>
      <c r="R1423" s="11">
        <f>IF(N1423="","",IF($G$16=1,50,(_xlfn.RANK.AVG(N1423,$N$19:$N$1518,1)-1)/($G$16-1)*100))</f>
        <v/>
      </c>
      <c r="S1423" s="11">
        <f>IF(COUNT(O1423:R1423)=4,ROUND(AVERAGE(O1423:R1423),6),"")</f>
        <v/>
      </c>
      <c r="U1423">
        <f>IF(AND(ISNUMBER('자료_한국심리'!$A1407),ISNUMBER('자료_한국심리'!$B1407)),'자료_한국심리'!$A1407,"")</f>
        <v/>
      </c>
      <c r="V1423">
        <f>IF(AND(ISNUMBER('자료_한국심리'!$D1407),ISNUMBER('자료_한국심리'!$E1407)),'자료_한국심리'!$D1407,"")</f>
        <v/>
      </c>
      <c r="W1423">
        <f>IF(AND(ISNUMBER('자료_한국심리'!$G1407),ISNUMBER('자료_한국심리'!$H1407)),'자료_한국심리'!$G1407,"")</f>
        <v/>
      </c>
      <c r="X1423">
        <f>IF(AND(ISNUMBER('자료_한국심리'!$J1407),ISNUMBER('자료_한국심리'!$K1407)),'자료_한국심리'!$J1407,"")</f>
        <v/>
      </c>
      <c r="Y1423">
        <f>IF(AND(ISNUMBER('자료_한국심리'!$M1407),ISNUMBER('자료_한국심리'!$N1407)),'자료_한국심리'!$M1407,"")</f>
        <v/>
      </c>
    </row>
    <row r="1424">
      <c r="A1424" s="10">
        <f>IF(1406&gt;$E$5,"",SMALL($U$19:$U$4018,$E$6+1406))</f>
        <v/>
      </c>
      <c r="B1424" s="29">
        <f>IF(A1424="","",INDEX('자료_한국심리'!$B$3:$B$4002,MATCH(A1424,$U$19:$U$4018,0)))</f>
        <v/>
      </c>
      <c r="C1424" s="22">
        <f>IF(A1424="","",B1424/AVERAGE(B1300:B1424)-1)</f>
        <v/>
      </c>
      <c r="D1424" s="29">
        <f>IF(A1424="","",IFERROR(INDEX('자료_한국심리'!$E$3:$E$4002,MATCH(A1424,$V$19:$V$4018,0)),D1423))</f>
        <v/>
      </c>
      <c r="E1424" s="30">
        <f>IF(A1424="","",IFERROR(INDEX('자료_한국심리'!$H$3:$H$4002,MATCH(A1424,$W$19:$W$4018,0)),E1423))</f>
        <v/>
      </c>
      <c r="F1424" s="30">
        <f>IF(A1424="","",IFERROR(INDEX('자료_한국심리'!$K$3:$K$4002,MATCH(A1424,$X$19:$X$4018,0)),F1423))</f>
        <v/>
      </c>
      <c r="G1424" s="30">
        <f>IF(AND(ISNUMBER(E1424),ISNUMBER(F1424)),ROUND(E1424-F1424,6),"")</f>
        <v/>
      </c>
      <c r="H1424" s="25">
        <f>IF(A1424="","",IFERROR(INDEX('자료_한국심리'!$N$3:$N$4002,MATCH(A1424,$Y$19:$Y$4018,0)),H1423))</f>
        <v/>
      </c>
      <c r="I1424" s="31">
        <f>IF(AND(ISNUMBER(H1424),ISNUMBER(H1404)),IF(H1404&gt;0,H1424/H1404-1,""),"")</f>
        <v/>
      </c>
      <c r="J1424">
        <f>IF(A1424="",0,IF(A1424&gt;$B$5,1,0))</f>
        <v/>
      </c>
      <c r="K1424" s="29">
        <f>IF(AND(J1424=1,ISNUMBER(D1424)),D1424,"")</f>
        <v/>
      </c>
      <c r="L1424" s="30">
        <f>IF(AND(J1424=1,ISNUMBER(G1424)),G1424,"")</f>
        <v/>
      </c>
      <c r="M1424" s="22">
        <f>IF(AND(J1424=1,ISNUMBER(C1424)),C1424,"")</f>
        <v/>
      </c>
      <c r="N1424" s="31">
        <f>IF(AND(J1424=1,ISNUMBER(I1424)),I1424,"")</f>
        <v/>
      </c>
      <c r="O1424" s="11">
        <f>IF(K1424="","",100-IF($G$13=1,50,(_xlfn.RANK.AVG(K1424,$K$19:$K$1518,1)-1)/($G$13-1)*100))</f>
        <v/>
      </c>
      <c r="P1424" s="11">
        <f>IF(L1424="","",100-IF($G$14=1,50,(_xlfn.RANK.AVG(L1424,$L$19:$L$1518,1)-1)/($G$14-1)*100))</f>
        <v/>
      </c>
      <c r="Q1424" s="11">
        <f>IF(M1424="","",IF($G$15=1,50,(_xlfn.RANK.AVG(M1424,$M$19:$M$1518,1)-1)/($G$15-1)*100))</f>
        <v/>
      </c>
      <c r="R1424" s="11">
        <f>IF(N1424="","",IF($G$16=1,50,(_xlfn.RANK.AVG(N1424,$N$19:$N$1518,1)-1)/($G$16-1)*100))</f>
        <v/>
      </c>
      <c r="S1424" s="11">
        <f>IF(COUNT(O1424:R1424)=4,ROUND(AVERAGE(O1424:R1424),6),"")</f>
        <v/>
      </c>
      <c r="U1424">
        <f>IF(AND(ISNUMBER('자료_한국심리'!$A1408),ISNUMBER('자료_한국심리'!$B1408)),'자료_한국심리'!$A1408,"")</f>
        <v/>
      </c>
      <c r="V1424">
        <f>IF(AND(ISNUMBER('자료_한국심리'!$D1408),ISNUMBER('자료_한국심리'!$E1408)),'자료_한국심리'!$D1408,"")</f>
        <v/>
      </c>
      <c r="W1424">
        <f>IF(AND(ISNUMBER('자료_한국심리'!$G1408),ISNUMBER('자료_한국심리'!$H1408)),'자료_한국심리'!$G1408,"")</f>
        <v/>
      </c>
      <c r="X1424">
        <f>IF(AND(ISNUMBER('자료_한국심리'!$J1408),ISNUMBER('자료_한국심리'!$K1408)),'자료_한국심리'!$J1408,"")</f>
        <v/>
      </c>
      <c r="Y1424">
        <f>IF(AND(ISNUMBER('자료_한국심리'!$M1408),ISNUMBER('자료_한국심리'!$N1408)),'자료_한국심리'!$M1408,"")</f>
        <v/>
      </c>
    </row>
    <row r="1425">
      <c r="A1425" s="10">
        <f>IF(1407&gt;$E$5,"",SMALL($U$19:$U$4018,$E$6+1407))</f>
        <v/>
      </c>
      <c r="B1425" s="29">
        <f>IF(A1425="","",INDEX('자료_한국심리'!$B$3:$B$4002,MATCH(A1425,$U$19:$U$4018,0)))</f>
        <v/>
      </c>
      <c r="C1425" s="22">
        <f>IF(A1425="","",B1425/AVERAGE(B1301:B1425)-1)</f>
        <v/>
      </c>
      <c r="D1425" s="29">
        <f>IF(A1425="","",IFERROR(INDEX('자료_한국심리'!$E$3:$E$4002,MATCH(A1425,$V$19:$V$4018,0)),D1424))</f>
        <v/>
      </c>
      <c r="E1425" s="30">
        <f>IF(A1425="","",IFERROR(INDEX('자료_한국심리'!$H$3:$H$4002,MATCH(A1425,$W$19:$W$4018,0)),E1424))</f>
        <v/>
      </c>
      <c r="F1425" s="30">
        <f>IF(A1425="","",IFERROR(INDEX('자료_한국심리'!$K$3:$K$4002,MATCH(A1425,$X$19:$X$4018,0)),F1424))</f>
        <v/>
      </c>
      <c r="G1425" s="30">
        <f>IF(AND(ISNUMBER(E1425),ISNUMBER(F1425)),ROUND(E1425-F1425,6),"")</f>
        <v/>
      </c>
      <c r="H1425" s="25">
        <f>IF(A1425="","",IFERROR(INDEX('자료_한국심리'!$N$3:$N$4002,MATCH(A1425,$Y$19:$Y$4018,0)),H1424))</f>
        <v/>
      </c>
      <c r="I1425" s="31">
        <f>IF(AND(ISNUMBER(H1425),ISNUMBER(H1405)),IF(H1405&gt;0,H1425/H1405-1,""),"")</f>
        <v/>
      </c>
      <c r="J1425">
        <f>IF(A1425="",0,IF(A1425&gt;$B$5,1,0))</f>
        <v/>
      </c>
      <c r="K1425" s="29">
        <f>IF(AND(J1425=1,ISNUMBER(D1425)),D1425,"")</f>
        <v/>
      </c>
      <c r="L1425" s="30">
        <f>IF(AND(J1425=1,ISNUMBER(G1425)),G1425,"")</f>
        <v/>
      </c>
      <c r="M1425" s="22">
        <f>IF(AND(J1425=1,ISNUMBER(C1425)),C1425,"")</f>
        <v/>
      </c>
      <c r="N1425" s="31">
        <f>IF(AND(J1425=1,ISNUMBER(I1425)),I1425,"")</f>
        <v/>
      </c>
      <c r="O1425" s="11">
        <f>IF(K1425="","",100-IF($G$13=1,50,(_xlfn.RANK.AVG(K1425,$K$19:$K$1518,1)-1)/($G$13-1)*100))</f>
        <v/>
      </c>
      <c r="P1425" s="11">
        <f>IF(L1425="","",100-IF($G$14=1,50,(_xlfn.RANK.AVG(L1425,$L$19:$L$1518,1)-1)/($G$14-1)*100))</f>
        <v/>
      </c>
      <c r="Q1425" s="11">
        <f>IF(M1425="","",IF($G$15=1,50,(_xlfn.RANK.AVG(M1425,$M$19:$M$1518,1)-1)/($G$15-1)*100))</f>
        <v/>
      </c>
      <c r="R1425" s="11">
        <f>IF(N1425="","",IF($G$16=1,50,(_xlfn.RANK.AVG(N1425,$N$19:$N$1518,1)-1)/($G$16-1)*100))</f>
        <v/>
      </c>
      <c r="S1425" s="11">
        <f>IF(COUNT(O1425:R1425)=4,ROUND(AVERAGE(O1425:R1425),6),"")</f>
        <v/>
      </c>
      <c r="U1425">
        <f>IF(AND(ISNUMBER('자료_한국심리'!$A1409),ISNUMBER('자료_한국심리'!$B1409)),'자료_한국심리'!$A1409,"")</f>
        <v/>
      </c>
      <c r="V1425">
        <f>IF(AND(ISNUMBER('자료_한국심리'!$D1409),ISNUMBER('자료_한국심리'!$E1409)),'자료_한국심리'!$D1409,"")</f>
        <v/>
      </c>
      <c r="W1425">
        <f>IF(AND(ISNUMBER('자료_한국심리'!$G1409),ISNUMBER('자료_한국심리'!$H1409)),'자료_한국심리'!$G1409,"")</f>
        <v/>
      </c>
      <c r="X1425">
        <f>IF(AND(ISNUMBER('자료_한국심리'!$J1409),ISNUMBER('자료_한국심리'!$K1409)),'자료_한국심리'!$J1409,"")</f>
        <v/>
      </c>
      <c r="Y1425">
        <f>IF(AND(ISNUMBER('자료_한국심리'!$M1409),ISNUMBER('자료_한국심리'!$N1409)),'자료_한국심리'!$M1409,"")</f>
        <v/>
      </c>
    </row>
    <row r="1426">
      <c r="A1426" s="10">
        <f>IF(1408&gt;$E$5,"",SMALL($U$19:$U$4018,$E$6+1408))</f>
        <v/>
      </c>
      <c r="B1426" s="29">
        <f>IF(A1426="","",INDEX('자료_한국심리'!$B$3:$B$4002,MATCH(A1426,$U$19:$U$4018,0)))</f>
        <v/>
      </c>
      <c r="C1426" s="22">
        <f>IF(A1426="","",B1426/AVERAGE(B1302:B1426)-1)</f>
        <v/>
      </c>
      <c r="D1426" s="29">
        <f>IF(A1426="","",IFERROR(INDEX('자료_한국심리'!$E$3:$E$4002,MATCH(A1426,$V$19:$V$4018,0)),D1425))</f>
        <v/>
      </c>
      <c r="E1426" s="30">
        <f>IF(A1426="","",IFERROR(INDEX('자료_한국심리'!$H$3:$H$4002,MATCH(A1426,$W$19:$W$4018,0)),E1425))</f>
        <v/>
      </c>
      <c r="F1426" s="30">
        <f>IF(A1426="","",IFERROR(INDEX('자료_한국심리'!$K$3:$K$4002,MATCH(A1426,$X$19:$X$4018,0)),F1425))</f>
        <v/>
      </c>
      <c r="G1426" s="30">
        <f>IF(AND(ISNUMBER(E1426),ISNUMBER(F1426)),ROUND(E1426-F1426,6),"")</f>
        <v/>
      </c>
      <c r="H1426" s="25">
        <f>IF(A1426="","",IFERROR(INDEX('자료_한국심리'!$N$3:$N$4002,MATCH(A1426,$Y$19:$Y$4018,0)),H1425))</f>
        <v/>
      </c>
      <c r="I1426" s="31">
        <f>IF(AND(ISNUMBER(H1426),ISNUMBER(H1406)),IF(H1406&gt;0,H1426/H1406-1,""),"")</f>
        <v/>
      </c>
      <c r="J1426">
        <f>IF(A1426="",0,IF(A1426&gt;$B$5,1,0))</f>
        <v/>
      </c>
      <c r="K1426" s="29">
        <f>IF(AND(J1426=1,ISNUMBER(D1426)),D1426,"")</f>
        <v/>
      </c>
      <c r="L1426" s="30">
        <f>IF(AND(J1426=1,ISNUMBER(G1426)),G1426,"")</f>
        <v/>
      </c>
      <c r="M1426" s="22">
        <f>IF(AND(J1426=1,ISNUMBER(C1426)),C1426,"")</f>
        <v/>
      </c>
      <c r="N1426" s="31">
        <f>IF(AND(J1426=1,ISNUMBER(I1426)),I1426,"")</f>
        <v/>
      </c>
      <c r="O1426" s="11">
        <f>IF(K1426="","",100-IF($G$13=1,50,(_xlfn.RANK.AVG(K1426,$K$19:$K$1518,1)-1)/($G$13-1)*100))</f>
        <v/>
      </c>
      <c r="P1426" s="11">
        <f>IF(L1426="","",100-IF($G$14=1,50,(_xlfn.RANK.AVG(L1426,$L$19:$L$1518,1)-1)/($G$14-1)*100))</f>
        <v/>
      </c>
      <c r="Q1426" s="11">
        <f>IF(M1426="","",IF($G$15=1,50,(_xlfn.RANK.AVG(M1426,$M$19:$M$1518,1)-1)/($G$15-1)*100))</f>
        <v/>
      </c>
      <c r="R1426" s="11">
        <f>IF(N1426="","",IF($G$16=1,50,(_xlfn.RANK.AVG(N1426,$N$19:$N$1518,1)-1)/($G$16-1)*100))</f>
        <v/>
      </c>
      <c r="S1426" s="11">
        <f>IF(COUNT(O1426:R1426)=4,ROUND(AVERAGE(O1426:R1426),6),"")</f>
        <v/>
      </c>
      <c r="U1426">
        <f>IF(AND(ISNUMBER('자료_한국심리'!$A1410),ISNUMBER('자료_한국심리'!$B1410)),'자료_한국심리'!$A1410,"")</f>
        <v/>
      </c>
      <c r="V1426">
        <f>IF(AND(ISNUMBER('자료_한국심리'!$D1410),ISNUMBER('자료_한국심리'!$E1410)),'자료_한국심리'!$D1410,"")</f>
        <v/>
      </c>
      <c r="W1426">
        <f>IF(AND(ISNUMBER('자료_한국심리'!$G1410),ISNUMBER('자료_한국심리'!$H1410)),'자료_한국심리'!$G1410,"")</f>
        <v/>
      </c>
      <c r="X1426">
        <f>IF(AND(ISNUMBER('자료_한국심리'!$J1410),ISNUMBER('자료_한국심리'!$K1410)),'자료_한국심리'!$J1410,"")</f>
        <v/>
      </c>
      <c r="Y1426">
        <f>IF(AND(ISNUMBER('자료_한국심리'!$M1410),ISNUMBER('자료_한국심리'!$N1410)),'자료_한국심리'!$M1410,"")</f>
        <v/>
      </c>
    </row>
    <row r="1427">
      <c r="A1427" s="10">
        <f>IF(1409&gt;$E$5,"",SMALL($U$19:$U$4018,$E$6+1409))</f>
        <v/>
      </c>
      <c r="B1427" s="29">
        <f>IF(A1427="","",INDEX('자료_한국심리'!$B$3:$B$4002,MATCH(A1427,$U$19:$U$4018,0)))</f>
        <v/>
      </c>
      <c r="C1427" s="22">
        <f>IF(A1427="","",B1427/AVERAGE(B1303:B1427)-1)</f>
        <v/>
      </c>
      <c r="D1427" s="29">
        <f>IF(A1427="","",IFERROR(INDEX('자료_한국심리'!$E$3:$E$4002,MATCH(A1427,$V$19:$V$4018,0)),D1426))</f>
        <v/>
      </c>
      <c r="E1427" s="30">
        <f>IF(A1427="","",IFERROR(INDEX('자료_한국심리'!$H$3:$H$4002,MATCH(A1427,$W$19:$W$4018,0)),E1426))</f>
        <v/>
      </c>
      <c r="F1427" s="30">
        <f>IF(A1427="","",IFERROR(INDEX('자료_한국심리'!$K$3:$K$4002,MATCH(A1427,$X$19:$X$4018,0)),F1426))</f>
        <v/>
      </c>
      <c r="G1427" s="30">
        <f>IF(AND(ISNUMBER(E1427),ISNUMBER(F1427)),ROUND(E1427-F1427,6),"")</f>
        <v/>
      </c>
      <c r="H1427" s="25">
        <f>IF(A1427="","",IFERROR(INDEX('자료_한국심리'!$N$3:$N$4002,MATCH(A1427,$Y$19:$Y$4018,0)),H1426))</f>
        <v/>
      </c>
      <c r="I1427" s="31">
        <f>IF(AND(ISNUMBER(H1427),ISNUMBER(H1407)),IF(H1407&gt;0,H1427/H1407-1,""),"")</f>
        <v/>
      </c>
      <c r="J1427">
        <f>IF(A1427="",0,IF(A1427&gt;$B$5,1,0))</f>
        <v/>
      </c>
      <c r="K1427" s="29">
        <f>IF(AND(J1427=1,ISNUMBER(D1427)),D1427,"")</f>
        <v/>
      </c>
      <c r="L1427" s="30">
        <f>IF(AND(J1427=1,ISNUMBER(G1427)),G1427,"")</f>
        <v/>
      </c>
      <c r="M1427" s="22">
        <f>IF(AND(J1427=1,ISNUMBER(C1427)),C1427,"")</f>
        <v/>
      </c>
      <c r="N1427" s="31">
        <f>IF(AND(J1427=1,ISNUMBER(I1427)),I1427,"")</f>
        <v/>
      </c>
      <c r="O1427" s="11">
        <f>IF(K1427="","",100-IF($G$13=1,50,(_xlfn.RANK.AVG(K1427,$K$19:$K$1518,1)-1)/($G$13-1)*100))</f>
        <v/>
      </c>
      <c r="P1427" s="11">
        <f>IF(L1427="","",100-IF($G$14=1,50,(_xlfn.RANK.AVG(L1427,$L$19:$L$1518,1)-1)/($G$14-1)*100))</f>
        <v/>
      </c>
      <c r="Q1427" s="11">
        <f>IF(M1427="","",IF($G$15=1,50,(_xlfn.RANK.AVG(M1427,$M$19:$M$1518,1)-1)/($G$15-1)*100))</f>
        <v/>
      </c>
      <c r="R1427" s="11">
        <f>IF(N1427="","",IF($G$16=1,50,(_xlfn.RANK.AVG(N1427,$N$19:$N$1518,1)-1)/($G$16-1)*100))</f>
        <v/>
      </c>
      <c r="S1427" s="11">
        <f>IF(COUNT(O1427:R1427)=4,ROUND(AVERAGE(O1427:R1427),6),"")</f>
        <v/>
      </c>
      <c r="U1427">
        <f>IF(AND(ISNUMBER('자료_한국심리'!$A1411),ISNUMBER('자료_한국심리'!$B1411)),'자료_한국심리'!$A1411,"")</f>
        <v/>
      </c>
      <c r="V1427">
        <f>IF(AND(ISNUMBER('자료_한국심리'!$D1411),ISNUMBER('자료_한국심리'!$E1411)),'자료_한국심리'!$D1411,"")</f>
        <v/>
      </c>
      <c r="W1427">
        <f>IF(AND(ISNUMBER('자료_한국심리'!$G1411),ISNUMBER('자료_한국심리'!$H1411)),'자료_한국심리'!$G1411,"")</f>
        <v/>
      </c>
      <c r="X1427">
        <f>IF(AND(ISNUMBER('자료_한국심리'!$J1411),ISNUMBER('자료_한국심리'!$K1411)),'자료_한국심리'!$J1411,"")</f>
        <v/>
      </c>
      <c r="Y1427">
        <f>IF(AND(ISNUMBER('자료_한국심리'!$M1411),ISNUMBER('자료_한국심리'!$N1411)),'자료_한국심리'!$M1411,"")</f>
        <v/>
      </c>
    </row>
    <row r="1428">
      <c r="A1428" s="10">
        <f>IF(1410&gt;$E$5,"",SMALL($U$19:$U$4018,$E$6+1410))</f>
        <v/>
      </c>
      <c r="B1428" s="29">
        <f>IF(A1428="","",INDEX('자료_한국심리'!$B$3:$B$4002,MATCH(A1428,$U$19:$U$4018,0)))</f>
        <v/>
      </c>
      <c r="C1428" s="22">
        <f>IF(A1428="","",B1428/AVERAGE(B1304:B1428)-1)</f>
        <v/>
      </c>
      <c r="D1428" s="29">
        <f>IF(A1428="","",IFERROR(INDEX('자료_한국심리'!$E$3:$E$4002,MATCH(A1428,$V$19:$V$4018,0)),D1427))</f>
        <v/>
      </c>
      <c r="E1428" s="30">
        <f>IF(A1428="","",IFERROR(INDEX('자료_한국심리'!$H$3:$H$4002,MATCH(A1428,$W$19:$W$4018,0)),E1427))</f>
        <v/>
      </c>
      <c r="F1428" s="30">
        <f>IF(A1428="","",IFERROR(INDEX('자료_한국심리'!$K$3:$K$4002,MATCH(A1428,$X$19:$X$4018,0)),F1427))</f>
        <v/>
      </c>
      <c r="G1428" s="30">
        <f>IF(AND(ISNUMBER(E1428),ISNUMBER(F1428)),ROUND(E1428-F1428,6),"")</f>
        <v/>
      </c>
      <c r="H1428" s="25">
        <f>IF(A1428="","",IFERROR(INDEX('자료_한국심리'!$N$3:$N$4002,MATCH(A1428,$Y$19:$Y$4018,0)),H1427))</f>
        <v/>
      </c>
      <c r="I1428" s="31">
        <f>IF(AND(ISNUMBER(H1428),ISNUMBER(H1408)),IF(H1408&gt;0,H1428/H1408-1,""),"")</f>
        <v/>
      </c>
      <c r="J1428">
        <f>IF(A1428="",0,IF(A1428&gt;$B$5,1,0))</f>
        <v/>
      </c>
      <c r="K1428" s="29">
        <f>IF(AND(J1428=1,ISNUMBER(D1428)),D1428,"")</f>
        <v/>
      </c>
      <c r="L1428" s="30">
        <f>IF(AND(J1428=1,ISNUMBER(G1428)),G1428,"")</f>
        <v/>
      </c>
      <c r="M1428" s="22">
        <f>IF(AND(J1428=1,ISNUMBER(C1428)),C1428,"")</f>
        <v/>
      </c>
      <c r="N1428" s="31">
        <f>IF(AND(J1428=1,ISNUMBER(I1428)),I1428,"")</f>
        <v/>
      </c>
      <c r="O1428" s="11">
        <f>IF(K1428="","",100-IF($G$13=1,50,(_xlfn.RANK.AVG(K1428,$K$19:$K$1518,1)-1)/($G$13-1)*100))</f>
        <v/>
      </c>
      <c r="P1428" s="11">
        <f>IF(L1428="","",100-IF($G$14=1,50,(_xlfn.RANK.AVG(L1428,$L$19:$L$1518,1)-1)/($G$14-1)*100))</f>
        <v/>
      </c>
      <c r="Q1428" s="11">
        <f>IF(M1428="","",IF($G$15=1,50,(_xlfn.RANK.AVG(M1428,$M$19:$M$1518,1)-1)/($G$15-1)*100))</f>
        <v/>
      </c>
      <c r="R1428" s="11">
        <f>IF(N1428="","",IF($G$16=1,50,(_xlfn.RANK.AVG(N1428,$N$19:$N$1518,1)-1)/($G$16-1)*100))</f>
        <v/>
      </c>
      <c r="S1428" s="11">
        <f>IF(COUNT(O1428:R1428)=4,ROUND(AVERAGE(O1428:R1428),6),"")</f>
        <v/>
      </c>
      <c r="U1428">
        <f>IF(AND(ISNUMBER('자료_한국심리'!$A1412),ISNUMBER('자료_한국심리'!$B1412)),'자료_한국심리'!$A1412,"")</f>
        <v/>
      </c>
      <c r="V1428">
        <f>IF(AND(ISNUMBER('자료_한국심리'!$D1412),ISNUMBER('자료_한국심리'!$E1412)),'자료_한국심리'!$D1412,"")</f>
        <v/>
      </c>
      <c r="W1428">
        <f>IF(AND(ISNUMBER('자료_한국심리'!$G1412),ISNUMBER('자료_한국심리'!$H1412)),'자료_한국심리'!$G1412,"")</f>
        <v/>
      </c>
      <c r="X1428">
        <f>IF(AND(ISNUMBER('자료_한국심리'!$J1412),ISNUMBER('자료_한국심리'!$K1412)),'자료_한국심리'!$J1412,"")</f>
        <v/>
      </c>
      <c r="Y1428">
        <f>IF(AND(ISNUMBER('자료_한국심리'!$M1412),ISNUMBER('자료_한국심리'!$N1412)),'자료_한국심리'!$M1412,"")</f>
        <v/>
      </c>
    </row>
    <row r="1429">
      <c r="A1429" s="10">
        <f>IF(1411&gt;$E$5,"",SMALL($U$19:$U$4018,$E$6+1411))</f>
        <v/>
      </c>
      <c r="B1429" s="29">
        <f>IF(A1429="","",INDEX('자료_한국심리'!$B$3:$B$4002,MATCH(A1429,$U$19:$U$4018,0)))</f>
        <v/>
      </c>
      <c r="C1429" s="22">
        <f>IF(A1429="","",B1429/AVERAGE(B1305:B1429)-1)</f>
        <v/>
      </c>
      <c r="D1429" s="29">
        <f>IF(A1429="","",IFERROR(INDEX('자료_한국심리'!$E$3:$E$4002,MATCH(A1429,$V$19:$V$4018,0)),D1428))</f>
        <v/>
      </c>
      <c r="E1429" s="30">
        <f>IF(A1429="","",IFERROR(INDEX('자료_한국심리'!$H$3:$H$4002,MATCH(A1429,$W$19:$W$4018,0)),E1428))</f>
        <v/>
      </c>
      <c r="F1429" s="30">
        <f>IF(A1429="","",IFERROR(INDEX('자료_한국심리'!$K$3:$K$4002,MATCH(A1429,$X$19:$X$4018,0)),F1428))</f>
        <v/>
      </c>
      <c r="G1429" s="30">
        <f>IF(AND(ISNUMBER(E1429),ISNUMBER(F1429)),ROUND(E1429-F1429,6),"")</f>
        <v/>
      </c>
      <c r="H1429" s="25">
        <f>IF(A1429="","",IFERROR(INDEX('자료_한국심리'!$N$3:$N$4002,MATCH(A1429,$Y$19:$Y$4018,0)),H1428))</f>
        <v/>
      </c>
      <c r="I1429" s="31">
        <f>IF(AND(ISNUMBER(H1429),ISNUMBER(H1409)),IF(H1409&gt;0,H1429/H1409-1,""),"")</f>
        <v/>
      </c>
      <c r="J1429">
        <f>IF(A1429="",0,IF(A1429&gt;$B$5,1,0))</f>
        <v/>
      </c>
      <c r="K1429" s="29">
        <f>IF(AND(J1429=1,ISNUMBER(D1429)),D1429,"")</f>
        <v/>
      </c>
      <c r="L1429" s="30">
        <f>IF(AND(J1429=1,ISNUMBER(G1429)),G1429,"")</f>
        <v/>
      </c>
      <c r="M1429" s="22">
        <f>IF(AND(J1429=1,ISNUMBER(C1429)),C1429,"")</f>
        <v/>
      </c>
      <c r="N1429" s="31">
        <f>IF(AND(J1429=1,ISNUMBER(I1429)),I1429,"")</f>
        <v/>
      </c>
      <c r="O1429" s="11">
        <f>IF(K1429="","",100-IF($G$13=1,50,(_xlfn.RANK.AVG(K1429,$K$19:$K$1518,1)-1)/($G$13-1)*100))</f>
        <v/>
      </c>
      <c r="P1429" s="11">
        <f>IF(L1429="","",100-IF($G$14=1,50,(_xlfn.RANK.AVG(L1429,$L$19:$L$1518,1)-1)/($G$14-1)*100))</f>
        <v/>
      </c>
      <c r="Q1429" s="11">
        <f>IF(M1429="","",IF($G$15=1,50,(_xlfn.RANK.AVG(M1429,$M$19:$M$1518,1)-1)/($G$15-1)*100))</f>
        <v/>
      </c>
      <c r="R1429" s="11">
        <f>IF(N1429="","",IF($G$16=1,50,(_xlfn.RANK.AVG(N1429,$N$19:$N$1518,1)-1)/($G$16-1)*100))</f>
        <v/>
      </c>
      <c r="S1429" s="11">
        <f>IF(COUNT(O1429:R1429)=4,ROUND(AVERAGE(O1429:R1429),6),"")</f>
        <v/>
      </c>
      <c r="U1429">
        <f>IF(AND(ISNUMBER('자료_한국심리'!$A1413),ISNUMBER('자료_한국심리'!$B1413)),'자료_한국심리'!$A1413,"")</f>
        <v/>
      </c>
      <c r="V1429">
        <f>IF(AND(ISNUMBER('자료_한국심리'!$D1413),ISNUMBER('자료_한국심리'!$E1413)),'자료_한국심리'!$D1413,"")</f>
        <v/>
      </c>
      <c r="W1429">
        <f>IF(AND(ISNUMBER('자료_한국심리'!$G1413),ISNUMBER('자료_한국심리'!$H1413)),'자료_한국심리'!$G1413,"")</f>
        <v/>
      </c>
      <c r="X1429">
        <f>IF(AND(ISNUMBER('자료_한국심리'!$J1413),ISNUMBER('자료_한국심리'!$K1413)),'자료_한국심리'!$J1413,"")</f>
        <v/>
      </c>
      <c r="Y1429">
        <f>IF(AND(ISNUMBER('자료_한국심리'!$M1413),ISNUMBER('자료_한국심리'!$N1413)),'자료_한국심리'!$M1413,"")</f>
        <v/>
      </c>
    </row>
    <row r="1430">
      <c r="A1430" s="10">
        <f>IF(1412&gt;$E$5,"",SMALL($U$19:$U$4018,$E$6+1412))</f>
        <v/>
      </c>
      <c r="B1430" s="29">
        <f>IF(A1430="","",INDEX('자료_한국심리'!$B$3:$B$4002,MATCH(A1430,$U$19:$U$4018,0)))</f>
        <v/>
      </c>
      <c r="C1430" s="22">
        <f>IF(A1430="","",B1430/AVERAGE(B1306:B1430)-1)</f>
        <v/>
      </c>
      <c r="D1430" s="29">
        <f>IF(A1430="","",IFERROR(INDEX('자료_한국심리'!$E$3:$E$4002,MATCH(A1430,$V$19:$V$4018,0)),D1429))</f>
        <v/>
      </c>
      <c r="E1430" s="30">
        <f>IF(A1430="","",IFERROR(INDEX('자료_한국심리'!$H$3:$H$4002,MATCH(A1430,$W$19:$W$4018,0)),E1429))</f>
        <v/>
      </c>
      <c r="F1430" s="30">
        <f>IF(A1430="","",IFERROR(INDEX('자료_한국심리'!$K$3:$K$4002,MATCH(A1430,$X$19:$X$4018,0)),F1429))</f>
        <v/>
      </c>
      <c r="G1430" s="30">
        <f>IF(AND(ISNUMBER(E1430),ISNUMBER(F1430)),ROUND(E1430-F1430,6),"")</f>
        <v/>
      </c>
      <c r="H1430" s="25">
        <f>IF(A1430="","",IFERROR(INDEX('자료_한국심리'!$N$3:$N$4002,MATCH(A1430,$Y$19:$Y$4018,0)),H1429))</f>
        <v/>
      </c>
      <c r="I1430" s="31">
        <f>IF(AND(ISNUMBER(H1430),ISNUMBER(H1410)),IF(H1410&gt;0,H1430/H1410-1,""),"")</f>
        <v/>
      </c>
      <c r="J1430">
        <f>IF(A1430="",0,IF(A1430&gt;$B$5,1,0))</f>
        <v/>
      </c>
      <c r="K1430" s="29">
        <f>IF(AND(J1430=1,ISNUMBER(D1430)),D1430,"")</f>
        <v/>
      </c>
      <c r="L1430" s="30">
        <f>IF(AND(J1430=1,ISNUMBER(G1430)),G1430,"")</f>
        <v/>
      </c>
      <c r="M1430" s="22">
        <f>IF(AND(J1430=1,ISNUMBER(C1430)),C1430,"")</f>
        <v/>
      </c>
      <c r="N1430" s="31">
        <f>IF(AND(J1430=1,ISNUMBER(I1430)),I1430,"")</f>
        <v/>
      </c>
      <c r="O1430" s="11">
        <f>IF(K1430="","",100-IF($G$13=1,50,(_xlfn.RANK.AVG(K1430,$K$19:$K$1518,1)-1)/($G$13-1)*100))</f>
        <v/>
      </c>
      <c r="P1430" s="11">
        <f>IF(L1430="","",100-IF($G$14=1,50,(_xlfn.RANK.AVG(L1430,$L$19:$L$1518,1)-1)/($G$14-1)*100))</f>
        <v/>
      </c>
      <c r="Q1430" s="11">
        <f>IF(M1430="","",IF($G$15=1,50,(_xlfn.RANK.AVG(M1430,$M$19:$M$1518,1)-1)/($G$15-1)*100))</f>
        <v/>
      </c>
      <c r="R1430" s="11">
        <f>IF(N1430="","",IF($G$16=1,50,(_xlfn.RANK.AVG(N1430,$N$19:$N$1518,1)-1)/($G$16-1)*100))</f>
        <v/>
      </c>
      <c r="S1430" s="11">
        <f>IF(COUNT(O1430:R1430)=4,ROUND(AVERAGE(O1430:R1430),6),"")</f>
        <v/>
      </c>
      <c r="U1430">
        <f>IF(AND(ISNUMBER('자료_한국심리'!$A1414),ISNUMBER('자료_한국심리'!$B1414)),'자료_한국심리'!$A1414,"")</f>
        <v/>
      </c>
      <c r="V1430">
        <f>IF(AND(ISNUMBER('자료_한국심리'!$D1414),ISNUMBER('자료_한국심리'!$E1414)),'자료_한국심리'!$D1414,"")</f>
        <v/>
      </c>
      <c r="W1430">
        <f>IF(AND(ISNUMBER('자료_한국심리'!$G1414),ISNUMBER('자료_한국심리'!$H1414)),'자료_한국심리'!$G1414,"")</f>
        <v/>
      </c>
      <c r="X1430">
        <f>IF(AND(ISNUMBER('자료_한국심리'!$J1414),ISNUMBER('자료_한국심리'!$K1414)),'자료_한국심리'!$J1414,"")</f>
        <v/>
      </c>
      <c r="Y1430">
        <f>IF(AND(ISNUMBER('자료_한국심리'!$M1414),ISNUMBER('자료_한국심리'!$N1414)),'자료_한국심리'!$M1414,"")</f>
        <v/>
      </c>
    </row>
    <row r="1431">
      <c r="A1431" s="10">
        <f>IF(1413&gt;$E$5,"",SMALL($U$19:$U$4018,$E$6+1413))</f>
        <v/>
      </c>
      <c r="B1431" s="29">
        <f>IF(A1431="","",INDEX('자료_한국심리'!$B$3:$B$4002,MATCH(A1431,$U$19:$U$4018,0)))</f>
        <v/>
      </c>
      <c r="C1431" s="22">
        <f>IF(A1431="","",B1431/AVERAGE(B1307:B1431)-1)</f>
        <v/>
      </c>
      <c r="D1431" s="29">
        <f>IF(A1431="","",IFERROR(INDEX('자료_한국심리'!$E$3:$E$4002,MATCH(A1431,$V$19:$V$4018,0)),D1430))</f>
        <v/>
      </c>
      <c r="E1431" s="30">
        <f>IF(A1431="","",IFERROR(INDEX('자료_한국심리'!$H$3:$H$4002,MATCH(A1431,$W$19:$W$4018,0)),E1430))</f>
        <v/>
      </c>
      <c r="F1431" s="30">
        <f>IF(A1431="","",IFERROR(INDEX('자료_한국심리'!$K$3:$K$4002,MATCH(A1431,$X$19:$X$4018,0)),F1430))</f>
        <v/>
      </c>
      <c r="G1431" s="30">
        <f>IF(AND(ISNUMBER(E1431),ISNUMBER(F1431)),ROUND(E1431-F1431,6),"")</f>
        <v/>
      </c>
      <c r="H1431" s="25">
        <f>IF(A1431="","",IFERROR(INDEX('자료_한국심리'!$N$3:$N$4002,MATCH(A1431,$Y$19:$Y$4018,0)),H1430))</f>
        <v/>
      </c>
      <c r="I1431" s="31">
        <f>IF(AND(ISNUMBER(H1431),ISNUMBER(H1411)),IF(H1411&gt;0,H1431/H1411-1,""),"")</f>
        <v/>
      </c>
      <c r="J1431">
        <f>IF(A1431="",0,IF(A1431&gt;$B$5,1,0))</f>
        <v/>
      </c>
      <c r="K1431" s="29">
        <f>IF(AND(J1431=1,ISNUMBER(D1431)),D1431,"")</f>
        <v/>
      </c>
      <c r="L1431" s="30">
        <f>IF(AND(J1431=1,ISNUMBER(G1431)),G1431,"")</f>
        <v/>
      </c>
      <c r="M1431" s="22">
        <f>IF(AND(J1431=1,ISNUMBER(C1431)),C1431,"")</f>
        <v/>
      </c>
      <c r="N1431" s="31">
        <f>IF(AND(J1431=1,ISNUMBER(I1431)),I1431,"")</f>
        <v/>
      </c>
      <c r="O1431" s="11">
        <f>IF(K1431="","",100-IF($G$13=1,50,(_xlfn.RANK.AVG(K1431,$K$19:$K$1518,1)-1)/($G$13-1)*100))</f>
        <v/>
      </c>
      <c r="P1431" s="11">
        <f>IF(L1431="","",100-IF($G$14=1,50,(_xlfn.RANK.AVG(L1431,$L$19:$L$1518,1)-1)/($G$14-1)*100))</f>
        <v/>
      </c>
      <c r="Q1431" s="11">
        <f>IF(M1431="","",IF($G$15=1,50,(_xlfn.RANK.AVG(M1431,$M$19:$M$1518,1)-1)/($G$15-1)*100))</f>
        <v/>
      </c>
      <c r="R1431" s="11">
        <f>IF(N1431="","",IF($G$16=1,50,(_xlfn.RANK.AVG(N1431,$N$19:$N$1518,1)-1)/($G$16-1)*100))</f>
        <v/>
      </c>
      <c r="S1431" s="11">
        <f>IF(COUNT(O1431:R1431)=4,ROUND(AVERAGE(O1431:R1431),6),"")</f>
        <v/>
      </c>
      <c r="U1431">
        <f>IF(AND(ISNUMBER('자료_한국심리'!$A1415),ISNUMBER('자료_한국심리'!$B1415)),'자료_한국심리'!$A1415,"")</f>
        <v/>
      </c>
      <c r="V1431">
        <f>IF(AND(ISNUMBER('자료_한국심리'!$D1415),ISNUMBER('자료_한국심리'!$E1415)),'자료_한국심리'!$D1415,"")</f>
        <v/>
      </c>
      <c r="W1431">
        <f>IF(AND(ISNUMBER('자료_한국심리'!$G1415),ISNUMBER('자료_한국심리'!$H1415)),'자료_한국심리'!$G1415,"")</f>
        <v/>
      </c>
      <c r="X1431">
        <f>IF(AND(ISNUMBER('자료_한국심리'!$J1415),ISNUMBER('자료_한국심리'!$K1415)),'자료_한국심리'!$J1415,"")</f>
        <v/>
      </c>
      <c r="Y1431">
        <f>IF(AND(ISNUMBER('자료_한국심리'!$M1415),ISNUMBER('자료_한국심리'!$N1415)),'자료_한국심리'!$M1415,"")</f>
        <v/>
      </c>
    </row>
    <row r="1432">
      <c r="A1432" s="10">
        <f>IF(1414&gt;$E$5,"",SMALL($U$19:$U$4018,$E$6+1414))</f>
        <v/>
      </c>
      <c r="B1432" s="29">
        <f>IF(A1432="","",INDEX('자료_한국심리'!$B$3:$B$4002,MATCH(A1432,$U$19:$U$4018,0)))</f>
        <v/>
      </c>
      <c r="C1432" s="22">
        <f>IF(A1432="","",B1432/AVERAGE(B1308:B1432)-1)</f>
        <v/>
      </c>
      <c r="D1432" s="29">
        <f>IF(A1432="","",IFERROR(INDEX('자료_한국심리'!$E$3:$E$4002,MATCH(A1432,$V$19:$V$4018,0)),D1431))</f>
        <v/>
      </c>
      <c r="E1432" s="30">
        <f>IF(A1432="","",IFERROR(INDEX('자료_한국심리'!$H$3:$H$4002,MATCH(A1432,$W$19:$W$4018,0)),E1431))</f>
        <v/>
      </c>
      <c r="F1432" s="30">
        <f>IF(A1432="","",IFERROR(INDEX('자료_한국심리'!$K$3:$K$4002,MATCH(A1432,$X$19:$X$4018,0)),F1431))</f>
        <v/>
      </c>
      <c r="G1432" s="30">
        <f>IF(AND(ISNUMBER(E1432),ISNUMBER(F1432)),ROUND(E1432-F1432,6),"")</f>
        <v/>
      </c>
      <c r="H1432" s="25">
        <f>IF(A1432="","",IFERROR(INDEX('자료_한국심리'!$N$3:$N$4002,MATCH(A1432,$Y$19:$Y$4018,0)),H1431))</f>
        <v/>
      </c>
      <c r="I1432" s="31">
        <f>IF(AND(ISNUMBER(H1432),ISNUMBER(H1412)),IF(H1412&gt;0,H1432/H1412-1,""),"")</f>
        <v/>
      </c>
      <c r="J1432">
        <f>IF(A1432="",0,IF(A1432&gt;$B$5,1,0))</f>
        <v/>
      </c>
      <c r="K1432" s="29">
        <f>IF(AND(J1432=1,ISNUMBER(D1432)),D1432,"")</f>
        <v/>
      </c>
      <c r="L1432" s="30">
        <f>IF(AND(J1432=1,ISNUMBER(G1432)),G1432,"")</f>
        <v/>
      </c>
      <c r="M1432" s="22">
        <f>IF(AND(J1432=1,ISNUMBER(C1432)),C1432,"")</f>
        <v/>
      </c>
      <c r="N1432" s="31">
        <f>IF(AND(J1432=1,ISNUMBER(I1432)),I1432,"")</f>
        <v/>
      </c>
      <c r="O1432" s="11">
        <f>IF(K1432="","",100-IF($G$13=1,50,(_xlfn.RANK.AVG(K1432,$K$19:$K$1518,1)-1)/($G$13-1)*100))</f>
        <v/>
      </c>
      <c r="P1432" s="11">
        <f>IF(L1432="","",100-IF($G$14=1,50,(_xlfn.RANK.AVG(L1432,$L$19:$L$1518,1)-1)/($G$14-1)*100))</f>
        <v/>
      </c>
      <c r="Q1432" s="11">
        <f>IF(M1432="","",IF($G$15=1,50,(_xlfn.RANK.AVG(M1432,$M$19:$M$1518,1)-1)/($G$15-1)*100))</f>
        <v/>
      </c>
      <c r="R1432" s="11">
        <f>IF(N1432="","",IF($G$16=1,50,(_xlfn.RANK.AVG(N1432,$N$19:$N$1518,1)-1)/($G$16-1)*100))</f>
        <v/>
      </c>
      <c r="S1432" s="11">
        <f>IF(COUNT(O1432:R1432)=4,ROUND(AVERAGE(O1432:R1432),6),"")</f>
        <v/>
      </c>
      <c r="U1432">
        <f>IF(AND(ISNUMBER('자료_한국심리'!$A1416),ISNUMBER('자료_한국심리'!$B1416)),'자료_한국심리'!$A1416,"")</f>
        <v/>
      </c>
      <c r="V1432">
        <f>IF(AND(ISNUMBER('자료_한국심리'!$D1416),ISNUMBER('자료_한국심리'!$E1416)),'자료_한국심리'!$D1416,"")</f>
        <v/>
      </c>
      <c r="W1432">
        <f>IF(AND(ISNUMBER('자료_한국심리'!$G1416),ISNUMBER('자료_한국심리'!$H1416)),'자료_한국심리'!$G1416,"")</f>
        <v/>
      </c>
      <c r="X1432">
        <f>IF(AND(ISNUMBER('자료_한국심리'!$J1416),ISNUMBER('자료_한국심리'!$K1416)),'자료_한국심리'!$J1416,"")</f>
        <v/>
      </c>
      <c r="Y1432">
        <f>IF(AND(ISNUMBER('자료_한국심리'!$M1416),ISNUMBER('자료_한국심리'!$N1416)),'자료_한국심리'!$M1416,"")</f>
        <v/>
      </c>
    </row>
    <row r="1433">
      <c r="A1433" s="10">
        <f>IF(1415&gt;$E$5,"",SMALL($U$19:$U$4018,$E$6+1415))</f>
        <v/>
      </c>
      <c r="B1433" s="29">
        <f>IF(A1433="","",INDEX('자료_한국심리'!$B$3:$B$4002,MATCH(A1433,$U$19:$U$4018,0)))</f>
        <v/>
      </c>
      <c r="C1433" s="22">
        <f>IF(A1433="","",B1433/AVERAGE(B1309:B1433)-1)</f>
        <v/>
      </c>
      <c r="D1433" s="29">
        <f>IF(A1433="","",IFERROR(INDEX('자료_한국심리'!$E$3:$E$4002,MATCH(A1433,$V$19:$V$4018,0)),D1432))</f>
        <v/>
      </c>
      <c r="E1433" s="30">
        <f>IF(A1433="","",IFERROR(INDEX('자료_한국심리'!$H$3:$H$4002,MATCH(A1433,$W$19:$W$4018,0)),E1432))</f>
        <v/>
      </c>
      <c r="F1433" s="30">
        <f>IF(A1433="","",IFERROR(INDEX('자료_한국심리'!$K$3:$K$4002,MATCH(A1433,$X$19:$X$4018,0)),F1432))</f>
        <v/>
      </c>
      <c r="G1433" s="30">
        <f>IF(AND(ISNUMBER(E1433),ISNUMBER(F1433)),ROUND(E1433-F1433,6),"")</f>
        <v/>
      </c>
      <c r="H1433" s="25">
        <f>IF(A1433="","",IFERROR(INDEX('자료_한국심리'!$N$3:$N$4002,MATCH(A1433,$Y$19:$Y$4018,0)),H1432))</f>
        <v/>
      </c>
      <c r="I1433" s="31">
        <f>IF(AND(ISNUMBER(H1433),ISNUMBER(H1413)),IF(H1413&gt;0,H1433/H1413-1,""),"")</f>
        <v/>
      </c>
      <c r="J1433">
        <f>IF(A1433="",0,IF(A1433&gt;$B$5,1,0))</f>
        <v/>
      </c>
      <c r="K1433" s="29">
        <f>IF(AND(J1433=1,ISNUMBER(D1433)),D1433,"")</f>
        <v/>
      </c>
      <c r="L1433" s="30">
        <f>IF(AND(J1433=1,ISNUMBER(G1433)),G1433,"")</f>
        <v/>
      </c>
      <c r="M1433" s="22">
        <f>IF(AND(J1433=1,ISNUMBER(C1433)),C1433,"")</f>
        <v/>
      </c>
      <c r="N1433" s="31">
        <f>IF(AND(J1433=1,ISNUMBER(I1433)),I1433,"")</f>
        <v/>
      </c>
      <c r="O1433" s="11">
        <f>IF(K1433="","",100-IF($G$13=1,50,(_xlfn.RANK.AVG(K1433,$K$19:$K$1518,1)-1)/($G$13-1)*100))</f>
        <v/>
      </c>
      <c r="P1433" s="11">
        <f>IF(L1433="","",100-IF($G$14=1,50,(_xlfn.RANK.AVG(L1433,$L$19:$L$1518,1)-1)/($G$14-1)*100))</f>
        <v/>
      </c>
      <c r="Q1433" s="11">
        <f>IF(M1433="","",IF($G$15=1,50,(_xlfn.RANK.AVG(M1433,$M$19:$M$1518,1)-1)/($G$15-1)*100))</f>
        <v/>
      </c>
      <c r="R1433" s="11">
        <f>IF(N1433="","",IF($G$16=1,50,(_xlfn.RANK.AVG(N1433,$N$19:$N$1518,1)-1)/($G$16-1)*100))</f>
        <v/>
      </c>
      <c r="S1433" s="11">
        <f>IF(COUNT(O1433:R1433)=4,ROUND(AVERAGE(O1433:R1433),6),"")</f>
        <v/>
      </c>
      <c r="U1433">
        <f>IF(AND(ISNUMBER('자료_한국심리'!$A1417),ISNUMBER('자료_한국심리'!$B1417)),'자료_한국심리'!$A1417,"")</f>
        <v/>
      </c>
      <c r="V1433">
        <f>IF(AND(ISNUMBER('자료_한국심리'!$D1417),ISNUMBER('자료_한국심리'!$E1417)),'자료_한국심리'!$D1417,"")</f>
        <v/>
      </c>
      <c r="W1433">
        <f>IF(AND(ISNUMBER('자료_한국심리'!$G1417),ISNUMBER('자료_한국심리'!$H1417)),'자료_한국심리'!$G1417,"")</f>
        <v/>
      </c>
      <c r="X1433">
        <f>IF(AND(ISNUMBER('자료_한국심리'!$J1417),ISNUMBER('자료_한국심리'!$K1417)),'자료_한국심리'!$J1417,"")</f>
        <v/>
      </c>
      <c r="Y1433">
        <f>IF(AND(ISNUMBER('자료_한국심리'!$M1417),ISNUMBER('자료_한국심리'!$N1417)),'자료_한국심리'!$M1417,"")</f>
        <v/>
      </c>
    </row>
    <row r="1434">
      <c r="A1434" s="10">
        <f>IF(1416&gt;$E$5,"",SMALL($U$19:$U$4018,$E$6+1416))</f>
        <v/>
      </c>
      <c r="B1434" s="29">
        <f>IF(A1434="","",INDEX('자료_한국심리'!$B$3:$B$4002,MATCH(A1434,$U$19:$U$4018,0)))</f>
        <v/>
      </c>
      <c r="C1434" s="22">
        <f>IF(A1434="","",B1434/AVERAGE(B1310:B1434)-1)</f>
        <v/>
      </c>
      <c r="D1434" s="29">
        <f>IF(A1434="","",IFERROR(INDEX('자료_한국심리'!$E$3:$E$4002,MATCH(A1434,$V$19:$V$4018,0)),D1433))</f>
        <v/>
      </c>
      <c r="E1434" s="30">
        <f>IF(A1434="","",IFERROR(INDEX('자료_한국심리'!$H$3:$H$4002,MATCH(A1434,$W$19:$W$4018,0)),E1433))</f>
        <v/>
      </c>
      <c r="F1434" s="30">
        <f>IF(A1434="","",IFERROR(INDEX('자료_한국심리'!$K$3:$K$4002,MATCH(A1434,$X$19:$X$4018,0)),F1433))</f>
        <v/>
      </c>
      <c r="G1434" s="30">
        <f>IF(AND(ISNUMBER(E1434),ISNUMBER(F1434)),ROUND(E1434-F1434,6),"")</f>
        <v/>
      </c>
      <c r="H1434" s="25">
        <f>IF(A1434="","",IFERROR(INDEX('자료_한국심리'!$N$3:$N$4002,MATCH(A1434,$Y$19:$Y$4018,0)),H1433))</f>
        <v/>
      </c>
      <c r="I1434" s="31">
        <f>IF(AND(ISNUMBER(H1434),ISNUMBER(H1414)),IF(H1414&gt;0,H1434/H1414-1,""),"")</f>
        <v/>
      </c>
      <c r="J1434">
        <f>IF(A1434="",0,IF(A1434&gt;$B$5,1,0))</f>
        <v/>
      </c>
      <c r="K1434" s="29">
        <f>IF(AND(J1434=1,ISNUMBER(D1434)),D1434,"")</f>
        <v/>
      </c>
      <c r="L1434" s="30">
        <f>IF(AND(J1434=1,ISNUMBER(G1434)),G1434,"")</f>
        <v/>
      </c>
      <c r="M1434" s="22">
        <f>IF(AND(J1434=1,ISNUMBER(C1434)),C1434,"")</f>
        <v/>
      </c>
      <c r="N1434" s="31">
        <f>IF(AND(J1434=1,ISNUMBER(I1434)),I1434,"")</f>
        <v/>
      </c>
      <c r="O1434" s="11">
        <f>IF(K1434="","",100-IF($G$13=1,50,(_xlfn.RANK.AVG(K1434,$K$19:$K$1518,1)-1)/($G$13-1)*100))</f>
        <v/>
      </c>
      <c r="P1434" s="11">
        <f>IF(L1434="","",100-IF($G$14=1,50,(_xlfn.RANK.AVG(L1434,$L$19:$L$1518,1)-1)/($G$14-1)*100))</f>
        <v/>
      </c>
      <c r="Q1434" s="11">
        <f>IF(M1434="","",IF($G$15=1,50,(_xlfn.RANK.AVG(M1434,$M$19:$M$1518,1)-1)/($G$15-1)*100))</f>
        <v/>
      </c>
      <c r="R1434" s="11">
        <f>IF(N1434="","",IF($G$16=1,50,(_xlfn.RANK.AVG(N1434,$N$19:$N$1518,1)-1)/($G$16-1)*100))</f>
        <v/>
      </c>
      <c r="S1434" s="11">
        <f>IF(COUNT(O1434:R1434)=4,ROUND(AVERAGE(O1434:R1434),6),"")</f>
        <v/>
      </c>
      <c r="U1434">
        <f>IF(AND(ISNUMBER('자료_한국심리'!$A1418),ISNUMBER('자료_한국심리'!$B1418)),'자료_한국심리'!$A1418,"")</f>
        <v/>
      </c>
      <c r="V1434">
        <f>IF(AND(ISNUMBER('자료_한국심리'!$D1418),ISNUMBER('자료_한국심리'!$E1418)),'자료_한국심리'!$D1418,"")</f>
        <v/>
      </c>
      <c r="W1434">
        <f>IF(AND(ISNUMBER('자료_한국심리'!$G1418),ISNUMBER('자료_한국심리'!$H1418)),'자료_한국심리'!$G1418,"")</f>
        <v/>
      </c>
      <c r="X1434">
        <f>IF(AND(ISNUMBER('자료_한국심리'!$J1418),ISNUMBER('자료_한국심리'!$K1418)),'자료_한국심리'!$J1418,"")</f>
        <v/>
      </c>
      <c r="Y1434">
        <f>IF(AND(ISNUMBER('자료_한국심리'!$M1418),ISNUMBER('자료_한국심리'!$N1418)),'자료_한국심리'!$M1418,"")</f>
        <v/>
      </c>
    </row>
    <row r="1435">
      <c r="A1435" s="10">
        <f>IF(1417&gt;$E$5,"",SMALL($U$19:$U$4018,$E$6+1417))</f>
        <v/>
      </c>
      <c r="B1435" s="29">
        <f>IF(A1435="","",INDEX('자료_한국심리'!$B$3:$B$4002,MATCH(A1435,$U$19:$U$4018,0)))</f>
        <v/>
      </c>
      <c r="C1435" s="22">
        <f>IF(A1435="","",B1435/AVERAGE(B1311:B1435)-1)</f>
        <v/>
      </c>
      <c r="D1435" s="29">
        <f>IF(A1435="","",IFERROR(INDEX('자료_한국심리'!$E$3:$E$4002,MATCH(A1435,$V$19:$V$4018,0)),D1434))</f>
        <v/>
      </c>
      <c r="E1435" s="30">
        <f>IF(A1435="","",IFERROR(INDEX('자료_한국심리'!$H$3:$H$4002,MATCH(A1435,$W$19:$W$4018,0)),E1434))</f>
        <v/>
      </c>
      <c r="F1435" s="30">
        <f>IF(A1435="","",IFERROR(INDEX('자료_한국심리'!$K$3:$K$4002,MATCH(A1435,$X$19:$X$4018,0)),F1434))</f>
        <v/>
      </c>
      <c r="G1435" s="30">
        <f>IF(AND(ISNUMBER(E1435),ISNUMBER(F1435)),ROUND(E1435-F1435,6),"")</f>
        <v/>
      </c>
      <c r="H1435" s="25">
        <f>IF(A1435="","",IFERROR(INDEX('자료_한국심리'!$N$3:$N$4002,MATCH(A1435,$Y$19:$Y$4018,0)),H1434))</f>
        <v/>
      </c>
      <c r="I1435" s="31">
        <f>IF(AND(ISNUMBER(H1435),ISNUMBER(H1415)),IF(H1415&gt;0,H1435/H1415-1,""),"")</f>
        <v/>
      </c>
      <c r="J1435">
        <f>IF(A1435="",0,IF(A1435&gt;$B$5,1,0))</f>
        <v/>
      </c>
      <c r="K1435" s="29">
        <f>IF(AND(J1435=1,ISNUMBER(D1435)),D1435,"")</f>
        <v/>
      </c>
      <c r="L1435" s="30">
        <f>IF(AND(J1435=1,ISNUMBER(G1435)),G1435,"")</f>
        <v/>
      </c>
      <c r="M1435" s="22">
        <f>IF(AND(J1435=1,ISNUMBER(C1435)),C1435,"")</f>
        <v/>
      </c>
      <c r="N1435" s="31">
        <f>IF(AND(J1435=1,ISNUMBER(I1435)),I1435,"")</f>
        <v/>
      </c>
      <c r="O1435" s="11">
        <f>IF(K1435="","",100-IF($G$13=1,50,(_xlfn.RANK.AVG(K1435,$K$19:$K$1518,1)-1)/($G$13-1)*100))</f>
        <v/>
      </c>
      <c r="P1435" s="11">
        <f>IF(L1435="","",100-IF($G$14=1,50,(_xlfn.RANK.AVG(L1435,$L$19:$L$1518,1)-1)/($G$14-1)*100))</f>
        <v/>
      </c>
      <c r="Q1435" s="11">
        <f>IF(M1435="","",IF($G$15=1,50,(_xlfn.RANK.AVG(M1435,$M$19:$M$1518,1)-1)/($G$15-1)*100))</f>
        <v/>
      </c>
      <c r="R1435" s="11">
        <f>IF(N1435="","",IF($G$16=1,50,(_xlfn.RANK.AVG(N1435,$N$19:$N$1518,1)-1)/($G$16-1)*100))</f>
        <v/>
      </c>
      <c r="S1435" s="11">
        <f>IF(COUNT(O1435:R1435)=4,ROUND(AVERAGE(O1435:R1435),6),"")</f>
        <v/>
      </c>
      <c r="U1435">
        <f>IF(AND(ISNUMBER('자료_한국심리'!$A1419),ISNUMBER('자료_한국심리'!$B1419)),'자료_한국심리'!$A1419,"")</f>
        <v/>
      </c>
      <c r="V1435">
        <f>IF(AND(ISNUMBER('자료_한국심리'!$D1419),ISNUMBER('자료_한국심리'!$E1419)),'자료_한국심리'!$D1419,"")</f>
        <v/>
      </c>
      <c r="W1435">
        <f>IF(AND(ISNUMBER('자료_한국심리'!$G1419),ISNUMBER('자료_한국심리'!$H1419)),'자료_한국심리'!$G1419,"")</f>
        <v/>
      </c>
      <c r="X1435">
        <f>IF(AND(ISNUMBER('자료_한국심리'!$J1419),ISNUMBER('자료_한국심리'!$K1419)),'자료_한국심리'!$J1419,"")</f>
        <v/>
      </c>
      <c r="Y1435">
        <f>IF(AND(ISNUMBER('자료_한국심리'!$M1419),ISNUMBER('자료_한국심리'!$N1419)),'자료_한국심리'!$M1419,"")</f>
        <v/>
      </c>
    </row>
    <row r="1436">
      <c r="A1436" s="10">
        <f>IF(1418&gt;$E$5,"",SMALL($U$19:$U$4018,$E$6+1418))</f>
        <v/>
      </c>
      <c r="B1436" s="29">
        <f>IF(A1436="","",INDEX('자료_한국심리'!$B$3:$B$4002,MATCH(A1436,$U$19:$U$4018,0)))</f>
        <v/>
      </c>
      <c r="C1436" s="22">
        <f>IF(A1436="","",B1436/AVERAGE(B1312:B1436)-1)</f>
        <v/>
      </c>
      <c r="D1436" s="29">
        <f>IF(A1436="","",IFERROR(INDEX('자료_한국심리'!$E$3:$E$4002,MATCH(A1436,$V$19:$V$4018,0)),D1435))</f>
        <v/>
      </c>
      <c r="E1436" s="30">
        <f>IF(A1436="","",IFERROR(INDEX('자료_한국심리'!$H$3:$H$4002,MATCH(A1436,$W$19:$W$4018,0)),E1435))</f>
        <v/>
      </c>
      <c r="F1436" s="30">
        <f>IF(A1436="","",IFERROR(INDEX('자료_한국심리'!$K$3:$K$4002,MATCH(A1436,$X$19:$X$4018,0)),F1435))</f>
        <v/>
      </c>
      <c r="G1436" s="30">
        <f>IF(AND(ISNUMBER(E1436),ISNUMBER(F1436)),ROUND(E1436-F1436,6),"")</f>
        <v/>
      </c>
      <c r="H1436" s="25">
        <f>IF(A1436="","",IFERROR(INDEX('자료_한국심리'!$N$3:$N$4002,MATCH(A1436,$Y$19:$Y$4018,0)),H1435))</f>
        <v/>
      </c>
      <c r="I1436" s="31">
        <f>IF(AND(ISNUMBER(H1436),ISNUMBER(H1416)),IF(H1416&gt;0,H1436/H1416-1,""),"")</f>
        <v/>
      </c>
      <c r="J1436">
        <f>IF(A1436="",0,IF(A1436&gt;$B$5,1,0))</f>
        <v/>
      </c>
      <c r="K1436" s="29">
        <f>IF(AND(J1436=1,ISNUMBER(D1436)),D1436,"")</f>
        <v/>
      </c>
      <c r="L1436" s="30">
        <f>IF(AND(J1436=1,ISNUMBER(G1436)),G1436,"")</f>
        <v/>
      </c>
      <c r="M1436" s="22">
        <f>IF(AND(J1436=1,ISNUMBER(C1436)),C1436,"")</f>
        <v/>
      </c>
      <c r="N1436" s="31">
        <f>IF(AND(J1436=1,ISNUMBER(I1436)),I1436,"")</f>
        <v/>
      </c>
      <c r="O1436" s="11">
        <f>IF(K1436="","",100-IF($G$13=1,50,(_xlfn.RANK.AVG(K1436,$K$19:$K$1518,1)-1)/($G$13-1)*100))</f>
        <v/>
      </c>
      <c r="P1436" s="11">
        <f>IF(L1436="","",100-IF($G$14=1,50,(_xlfn.RANK.AVG(L1436,$L$19:$L$1518,1)-1)/($G$14-1)*100))</f>
        <v/>
      </c>
      <c r="Q1436" s="11">
        <f>IF(M1436="","",IF($G$15=1,50,(_xlfn.RANK.AVG(M1436,$M$19:$M$1518,1)-1)/($G$15-1)*100))</f>
        <v/>
      </c>
      <c r="R1436" s="11">
        <f>IF(N1436="","",IF($G$16=1,50,(_xlfn.RANK.AVG(N1436,$N$19:$N$1518,1)-1)/($G$16-1)*100))</f>
        <v/>
      </c>
      <c r="S1436" s="11">
        <f>IF(COUNT(O1436:R1436)=4,ROUND(AVERAGE(O1436:R1436),6),"")</f>
        <v/>
      </c>
      <c r="U1436">
        <f>IF(AND(ISNUMBER('자료_한국심리'!$A1420),ISNUMBER('자료_한국심리'!$B1420)),'자료_한국심리'!$A1420,"")</f>
        <v/>
      </c>
      <c r="V1436">
        <f>IF(AND(ISNUMBER('자료_한국심리'!$D1420),ISNUMBER('자료_한국심리'!$E1420)),'자료_한국심리'!$D1420,"")</f>
        <v/>
      </c>
      <c r="W1436">
        <f>IF(AND(ISNUMBER('자료_한국심리'!$G1420),ISNUMBER('자료_한국심리'!$H1420)),'자료_한국심리'!$G1420,"")</f>
        <v/>
      </c>
      <c r="X1436">
        <f>IF(AND(ISNUMBER('자료_한국심리'!$J1420),ISNUMBER('자료_한국심리'!$K1420)),'자료_한국심리'!$J1420,"")</f>
        <v/>
      </c>
      <c r="Y1436">
        <f>IF(AND(ISNUMBER('자료_한국심리'!$M1420),ISNUMBER('자료_한국심리'!$N1420)),'자료_한국심리'!$M1420,"")</f>
        <v/>
      </c>
    </row>
    <row r="1437">
      <c r="A1437" s="10">
        <f>IF(1419&gt;$E$5,"",SMALL($U$19:$U$4018,$E$6+1419))</f>
        <v/>
      </c>
      <c r="B1437" s="29">
        <f>IF(A1437="","",INDEX('자료_한국심리'!$B$3:$B$4002,MATCH(A1437,$U$19:$U$4018,0)))</f>
        <v/>
      </c>
      <c r="C1437" s="22">
        <f>IF(A1437="","",B1437/AVERAGE(B1313:B1437)-1)</f>
        <v/>
      </c>
      <c r="D1437" s="29">
        <f>IF(A1437="","",IFERROR(INDEX('자료_한국심리'!$E$3:$E$4002,MATCH(A1437,$V$19:$V$4018,0)),D1436))</f>
        <v/>
      </c>
      <c r="E1437" s="30">
        <f>IF(A1437="","",IFERROR(INDEX('자료_한국심리'!$H$3:$H$4002,MATCH(A1437,$W$19:$W$4018,0)),E1436))</f>
        <v/>
      </c>
      <c r="F1437" s="30">
        <f>IF(A1437="","",IFERROR(INDEX('자료_한국심리'!$K$3:$K$4002,MATCH(A1437,$X$19:$X$4018,0)),F1436))</f>
        <v/>
      </c>
      <c r="G1437" s="30">
        <f>IF(AND(ISNUMBER(E1437),ISNUMBER(F1437)),ROUND(E1437-F1437,6),"")</f>
        <v/>
      </c>
      <c r="H1437" s="25">
        <f>IF(A1437="","",IFERROR(INDEX('자료_한국심리'!$N$3:$N$4002,MATCH(A1437,$Y$19:$Y$4018,0)),H1436))</f>
        <v/>
      </c>
      <c r="I1437" s="31">
        <f>IF(AND(ISNUMBER(H1437),ISNUMBER(H1417)),IF(H1417&gt;0,H1437/H1417-1,""),"")</f>
        <v/>
      </c>
      <c r="J1437">
        <f>IF(A1437="",0,IF(A1437&gt;$B$5,1,0))</f>
        <v/>
      </c>
      <c r="K1437" s="29">
        <f>IF(AND(J1437=1,ISNUMBER(D1437)),D1437,"")</f>
        <v/>
      </c>
      <c r="L1437" s="30">
        <f>IF(AND(J1437=1,ISNUMBER(G1437)),G1437,"")</f>
        <v/>
      </c>
      <c r="M1437" s="22">
        <f>IF(AND(J1437=1,ISNUMBER(C1437)),C1437,"")</f>
        <v/>
      </c>
      <c r="N1437" s="31">
        <f>IF(AND(J1437=1,ISNUMBER(I1437)),I1437,"")</f>
        <v/>
      </c>
      <c r="O1437" s="11">
        <f>IF(K1437="","",100-IF($G$13=1,50,(_xlfn.RANK.AVG(K1437,$K$19:$K$1518,1)-1)/($G$13-1)*100))</f>
        <v/>
      </c>
      <c r="P1437" s="11">
        <f>IF(L1437="","",100-IF($G$14=1,50,(_xlfn.RANK.AVG(L1437,$L$19:$L$1518,1)-1)/($G$14-1)*100))</f>
        <v/>
      </c>
      <c r="Q1437" s="11">
        <f>IF(M1437="","",IF($G$15=1,50,(_xlfn.RANK.AVG(M1437,$M$19:$M$1518,1)-1)/($G$15-1)*100))</f>
        <v/>
      </c>
      <c r="R1437" s="11">
        <f>IF(N1437="","",IF($G$16=1,50,(_xlfn.RANK.AVG(N1437,$N$19:$N$1518,1)-1)/($G$16-1)*100))</f>
        <v/>
      </c>
      <c r="S1437" s="11">
        <f>IF(COUNT(O1437:R1437)=4,ROUND(AVERAGE(O1437:R1437),6),"")</f>
        <v/>
      </c>
      <c r="U1437">
        <f>IF(AND(ISNUMBER('자료_한국심리'!$A1421),ISNUMBER('자료_한국심리'!$B1421)),'자료_한국심리'!$A1421,"")</f>
        <v/>
      </c>
      <c r="V1437">
        <f>IF(AND(ISNUMBER('자료_한국심리'!$D1421),ISNUMBER('자료_한국심리'!$E1421)),'자료_한국심리'!$D1421,"")</f>
        <v/>
      </c>
      <c r="W1437">
        <f>IF(AND(ISNUMBER('자료_한국심리'!$G1421),ISNUMBER('자료_한국심리'!$H1421)),'자료_한국심리'!$G1421,"")</f>
        <v/>
      </c>
      <c r="X1437">
        <f>IF(AND(ISNUMBER('자료_한국심리'!$J1421),ISNUMBER('자료_한국심리'!$K1421)),'자료_한국심리'!$J1421,"")</f>
        <v/>
      </c>
      <c r="Y1437">
        <f>IF(AND(ISNUMBER('자료_한국심리'!$M1421),ISNUMBER('자료_한국심리'!$N1421)),'자료_한국심리'!$M1421,"")</f>
        <v/>
      </c>
    </row>
    <row r="1438">
      <c r="A1438" s="10">
        <f>IF(1420&gt;$E$5,"",SMALL($U$19:$U$4018,$E$6+1420))</f>
        <v/>
      </c>
      <c r="B1438" s="29">
        <f>IF(A1438="","",INDEX('자료_한국심리'!$B$3:$B$4002,MATCH(A1438,$U$19:$U$4018,0)))</f>
        <v/>
      </c>
      <c r="C1438" s="22">
        <f>IF(A1438="","",B1438/AVERAGE(B1314:B1438)-1)</f>
        <v/>
      </c>
      <c r="D1438" s="29">
        <f>IF(A1438="","",IFERROR(INDEX('자료_한국심리'!$E$3:$E$4002,MATCH(A1438,$V$19:$V$4018,0)),D1437))</f>
        <v/>
      </c>
      <c r="E1438" s="30">
        <f>IF(A1438="","",IFERROR(INDEX('자료_한국심리'!$H$3:$H$4002,MATCH(A1438,$W$19:$W$4018,0)),E1437))</f>
        <v/>
      </c>
      <c r="F1438" s="30">
        <f>IF(A1438="","",IFERROR(INDEX('자료_한국심리'!$K$3:$K$4002,MATCH(A1438,$X$19:$X$4018,0)),F1437))</f>
        <v/>
      </c>
      <c r="G1438" s="30">
        <f>IF(AND(ISNUMBER(E1438),ISNUMBER(F1438)),ROUND(E1438-F1438,6),"")</f>
        <v/>
      </c>
      <c r="H1438" s="25">
        <f>IF(A1438="","",IFERROR(INDEX('자료_한국심리'!$N$3:$N$4002,MATCH(A1438,$Y$19:$Y$4018,0)),H1437))</f>
        <v/>
      </c>
      <c r="I1438" s="31">
        <f>IF(AND(ISNUMBER(H1438),ISNUMBER(H1418)),IF(H1418&gt;0,H1438/H1418-1,""),"")</f>
        <v/>
      </c>
      <c r="J1438">
        <f>IF(A1438="",0,IF(A1438&gt;$B$5,1,0))</f>
        <v/>
      </c>
      <c r="K1438" s="29">
        <f>IF(AND(J1438=1,ISNUMBER(D1438)),D1438,"")</f>
        <v/>
      </c>
      <c r="L1438" s="30">
        <f>IF(AND(J1438=1,ISNUMBER(G1438)),G1438,"")</f>
        <v/>
      </c>
      <c r="M1438" s="22">
        <f>IF(AND(J1438=1,ISNUMBER(C1438)),C1438,"")</f>
        <v/>
      </c>
      <c r="N1438" s="31">
        <f>IF(AND(J1438=1,ISNUMBER(I1438)),I1438,"")</f>
        <v/>
      </c>
      <c r="O1438" s="11">
        <f>IF(K1438="","",100-IF($G$13=1,50,(_xlfn.RANK.AVG(K1438,$K$19:$K$1518,1)-1)/($G$13-1)*100))</f>
        <v/>
      </c>
      <c r="P1438" s="11">
        <f>IF(L1438="","",100-IF($G$14=1,50,(_xlfn.RANK.AVG(L1438,$L$19:$L$1518,1)-1)/($G$14-1)*100))</f>
        <v/>
      </c>
      <c r="Q1438" s="11">
        <f>IF(M1438="","",IF($G$15=1,50,(_xlfn.RANK.AVG(M1438,$M$19:$M$1518,1)-1)/($G$15-1)*100))</f>
        <v/>
      </c>
      <c r="R1438" s="11">
        <f>IF(N1438="","",IF($G$16=1,50,(_xlfn.RANK.AVG(N1438,$N$19:$N$1518,1)-1)/($G$16-1)*100))</f>
        <v/>
      </c>
      <c r="S1438" s="11">
        <f>IF(COUNT(O1438:R1438)=4,ROUND(AVERAGE(O1438:R1438),6),"")</f>
        <v/>
      </c>
      <c r="U1438">
        <f>IF(AND(ISNUMBER('자료_한국심리'!$A1422),ISNUMBER('자료_한국심리'!$B1422)),'자료_한국심리'!$A1422,"")</f>
        <v/>
      </c>
      <c r="V1438">
        <f>IF(AND(ISNUMBER('자료_한국심리'!$D1422),ISNUMBER('자료_한국심리'!$E1422)),'자료_한국심리'!$D1422,"")</f>
        <v/>
      </c>
      <c r="W1438">
        <f>IF(AND(ISNUMBER('자료_한국심리'!$G1422),ISNUMBER('자료_한국심리'!$H1422)),'자료_한국심리'!$G1422,"")</f>
        <v/>
      </c>
      <c r="X1438">
        <f>IF(AND(ISNUMBER('자료_한국심리'!$J1422),ISNUMBER('자료_한국심리'!$K1422)),'자료_한국심리'!$J1422,"")</f>
        <v/>
      </c>
      <c r="Y1438">
        <f>IF(AND(ISNUMBER('자료_한국심리'!$M1422),ISNUMBER('자료_한국심리'!$N1422)),'자료_한국심리'!$M1422,"")</f>
        <v/>
      </c>
    </row>
    <row r="1439">
      <c r="A1439" s="10">
        <f>IF(1421&gt;$E$5,"",SMALL($U$19:$U$4018,$E$6+1421))</f>
        <v/>
      </c>
      <c r="B1439" s="29">
        <f>IF(A1439="","",INDEX('자료_한국심리'!$B$3:$B$4002,MATCH(A1439,$U$19:$U$4018,0)))</f>
        <v/>
      </c>
      <c r="C1439" s="22">
        <f>IF(A1439="","",B1439/AVERAGE(B1315:B1439)-1)</f>
        <v/>
      </c>
      <c r="D1439" s="29">
        <f>IF(A1439="","",IFERROR(INDEX('자료_한국심리'!$E$3:$E$4002,MATCH(A1439,$V$19:$V$4018,0)),D1438))</f>
        <v/>
      </c>
      <c r="E1439" s="30">
        <f>IF(A1439="","",IFERROR(INDEX('자료_한국심리'!$H$3:$H$4002,MATCH(A1439,$W$19:$W$4018,0)),E1438))</f>
        <v/>
      </c>
      <c r="F1439" s="30">
        <f>IF(A1439="","",IFERROR(INDEX('자료_한국심리'!$K$3:$K$4002,MATCH(A1439,$X$19:$X$4018,0)),F1438))</f>
        <v/>
      </c>
      <c r="G1439" s="30">
        <f>IF(AND(ISNUMBER(E1439),ISNUMBER(F1439)),ROUND(E1439-F1439,6),"")</f>
        <v/>
      </c>
      <c r="H1439" s="25">
        <f>IF(A1439="","",IFERROR(INDEX('자료_한국심리'!$N$3:$N$4002,MATCH(A1439,$Y$19:$Y$4018,0)),H1438))</f>
        <v/>
      </c>
      <c r="I1439" s="31">
        <f>IF(AND(ISNUMBER(H1439),ISNUMBER(H1419)),IF(H1419&gt;0,H1439/H1419-1,""),"")</f>
        <v/>
      </c>
      <c r="J1439">
        <f>IF(A1439="",0,IF(A1439&gt;$B$5,1,0))</f>
        <v/>
      </c>
      <c r="K1439" s="29">
        <f>IF(AND(J1439=1,ISNUMBER(D1439)),D1439,"")</f>
        <v/>
      </c>
      <c r="L1439" s="30">
        <f>IF(AND(J1439=1,ISNUMBER(G1439)),G1439,"")</f>
        <v/>
      </c>
      <c r="M1439" s="22">
        <f>IF(AND(J1439=1,ISNUMBER(C1439)),C1439,"")</f>
        <v/>
      </c>
      <c r="N1439" s="31">
        <f>IF(AND(J1439=1,ISNUMBER(I1439)),I1439,"")</f>
        <v/>
      </c>
      <c r="O1439" s="11">
        <f>IF(K1439="","",100-IF($G$13=1,50,(_xlfn.RANK.AVG(K1439,$K$19:$K$1518,1)-1)/($G$13-1)*100))</f>
        <v/>
      </c>
      <c r="P1439" s="11">
        <f>IF(L1439="","",100-IF($G$14=1,50,(_xlfn.RANK.AVG(L1439,$L$19:$L$1518,1)-1)/($G$14-1)*100))</f>
        <v/>
      </c>
      <c r="Q1439" s="11">
        <f>IF(M1439="","",IF($G$15=1,50,(_xlfn.RANK.AVG(M1439,$M$19:$M$1518,1)-1)/($G$15-1)*100))</f>
        <v/>
      </c>
      <c r="R1439" s="11">
        <f>IF(N1439="","",IF($G$16=1,50,(_xlfn.RANK.AVG(N1439,$N$19:$N$1518,1)-1)/($G$16-1)*100))</f>
        <v/>
      </c>
      <c r="S1439" s="11">
        <f>IF(COUNT(O1439:R1439)=4,ROUND(AVERAGE(O1439:R1439),6),"")</f>
        <v/>
      </c>
      <c r="U1439">
        <f>IF(AND(ISNUMBER('자료_한국심리'!$A1423),ISNUMBER('자료_한국심리'!$B1423)),'자료_한국심리'!$A1423,"")</f>
        <v/>
      </c>
      <c r="V1439">
        <f>IF(AND(ISNUMBER('자료_한국심리'!$D1423),ISNUMBER('자료_한국심리'!$E1423)),'자료_한국심리'!$D1423,"")</f>
        <v/>
      </c>
      <c r="W1439">
        <f>IF(AND(ISNUMBER('자료_한국심리'!$G1423),ISNUMBER('자료_한국심리'!$H1423)),'자료_한국심리'!$G1423,"")</f>
        <v/>
      </c>
      <c r="X1439">
        <f>IF(AND(ISNUMBER('자료_한국심리'!$J1423),ISNUMBER('자료_한국심리'!$K1423)),'자료_한국심리'!$J1423,"")</f>
        <v/>
      </c>
      <c r="Y1439">
        <f>IF(AND(ISNUMBER('자료_한국심리'!$M1423),ISNUMBER('자료_한국심리'!$N1423)),'자료_한국심리'!$M1423,"")</f>
        <v/>
      </c>
    </row>
    <row r="1440">
      <c r="A1440" s="10">
        <f>IF(1422&gt;$E$5,"",SMALL($U$19:$U$4018,$E$6+1422))</f>
        <v/>
      </c>
      <c r="B1440" s="29">
        <f>IF(A1440="","",INDEX('자료_한국심리'!$B$3:$B$4002,MATCH(A1440,$U$19:$U$4018,0)))</f>
        <v/>
      </c>
      <c r="C1440" s="22">
        <f>IF(A1440="","",B1440/AVERAGE(B1316:B1440)-1)</f>
        <v/>
      </c>
      <c r="D1440" s="29">
        <f>IF(A1440="","",IFERROR(INDEX('자료_한국심리'!$E$3:$E$4002,MATCH(A1440,$V$19:$V$4018,0)),D1439))</f>
        <v/>
      </c>
      <c r="E1440" s="30">
        <f>IF(A1440="","",IFERROR(INDEX('자료_한국심리'!$H$3:$H$4002,MATCH(A1440,$W$19:$W$4018,0)),E1439))</f>
        <v/>
      </c>
      <c r="F1440" s="30">
        <f>IF(A1440="","",IFERROR(INDEX('자료_한국심리'!$K$3:$K$4002,MATCH(A1440,$X$19:$X$4018,0)),F1439))</f>
        <v/>
      </c>
      <c r="G1440" s="30">
        <f>IF(AND(ISNUMBER(E1440),ISNUMBER(F1440)),ROUND(E1440-F1440,6),"")</f>
        <v/>
      </c>
      <c r="H1440" s="25">
        <f>IF(A1440="","",IFERROR(INDEX('자료_한국심리'!$N$3:$N$4002,MATCH(A1440,$Y$19:$Y$4018,0)),H1439))</f>
        <v/>
      </c>
      <c r="I1440" s="31">
        <f>IF(AND(ISNUMBER(H1440),ISNUMBER(H1420)),IF(H1420&gt;0,H1440/H1420-1,""),"")</f>
        <v/>
      </c>
      <c r="J1440">
        <f>IF(A1440="",0,IF(A1440&gt;$B$5,1,0))</f>
        <v/>
      </c>
      <c r="K1440" s="29">
        <f>IF(AND(J1440=1,ISNUMBER(D1440)),D1440,"")</f>
        <v/>
      </c>
      <c r="L1440" s="30">
        <f>IF(AND(J1440=1,ISNUMBER(G1440)),G1440,"")</f>
        <v/>
      </c>
      <c r="M1440" s="22">
        <f>IF(AND(J1440=1,ISNUMBER(C1440)),C1440,"")</f>
        <v/>
      </c>
      <c r="N1440" s="31">
        <f>IF(AND(J1440=1,ISNUMBER(I1440)),I1440,"")</f>
        <v/>
      </c>
      <c r="O1440" s="11">
        <f>IF(K1440="","",100-IF($G$13=1,50,(_xlfn.RANK.AVG(K1440,$K$19:$K$1518,1)-1)/($G$13-1)*100))</f>
        <v/>
      </c>
      <c r="P1440" s="11">
        <f>IF(L1440="","",100-IF($G$14=1,50,(_xlfn.RANK.AVG(L1440,$L$19:$L$1518,1)-1)/($G$14-1)*100))</f>
        <v/>
      </c>
      <c r="Q1440" s="11">
        <f>IF(M1440="","",IF($G$15=1,50,(_xlfn.RANK.AVG(M1440,$M$19:$M$1518,1)-1)/($G$15-1)*100))</f>
        <v/>
      </c>
      <c r="R1440" s="11">
        <f>IF(N1440="","",IF($G$16=1,50,(_xlfn.RANK.AVG(N1440,$N$19:$N$1518,1)-1)/($G$16-1)*100))</f>
        <v/>
      </c>
      <c r="S1440" s="11">
        <f>IF(COUNT(O1440:R1440)=4,ROUND(AVERAGE(O1440:R1440),6),"")</f>
        <v/>
      </c>
      <c r="U1440">
        <f>IF(AND(ISNUMBER('자료_한국심리'!$A1424),ISNUMBER('자료_한국심리'!$B1424)),'자료_한국심리'!$A1424,"")</f>
        <v/>
      </c>
      <c r="V1440">
        <f>IF(AND(ISNUMBER('자료_한국심리'!$D1424),ISNUMBER('자료_한국심리'!$E1424)),'자료_한국심리'!$D1424,"")</f>
        <v/>
      </c>
      <c r="W1440">
        <f>IF(AND(ISNUMBER('자료_한국심리'!$G1424),ISNUMBER('자료_한국심리'!$H1424)),'자료_한국심리'!$G1424,"")</f>
        <v/>
      </c>
      <c r="X1440">
        <f>IF(AND(ISNUMBER('자료_한국심리'!$J1424),ISNUMBER('자료_한국심리'!$K1424)),'자료_한국심리'!$J1424,"")</f>
        <v/>
      </c>
      <c r="Y1440">
        <f>IF(AND(ISNUMBER('자료_한국심리'!$M1424),ISNUMBER('자료_한국심리'!$N1424)),'자료_한국심리'!$M1424,"")</f>
        <v/>
      </c>
    </row>
    <row r="1441">
      <c r="A1441" s="10">
        <f>IF(1423&gt;$E$5,"",SMALL($U$19:$U$4018,$E$6+1423))</f>
        <v/>
      </c>
      <c r="B1441" s="29">
        <f>IF(A1441="","",INDEX('자료_한국심리'!$B$3:$B$4002,MATCH(A1441,$U$19:$U$4018,0)))</f>
        <v/>
      </c>
      <c r="C1441" s="22">
        <f>IF(A1441="","",B1441/AVERAGE(B1317:B1441)-1)</f>
        <v/>
      </c>
      <c r="D1441" s="29">
        <f>IF(A1441="","",IFERROR(INDEX('자료_한국심리'!$E$3:$E$4002,MATCH(A1441,$V$19:$V$4018,0)),D1440))</f>
        <v/>
      </c>
      <c r="E1441" s="30">
        <f>IF(A1441="","",IFERROR(INDEX('자료_한국심리'!$H$3:$H$4002,MATCH(A1441,$W$19:$W$4018,0)),E1440))</f>
        <v/>
      </c>
      <c r="F1441" s="30">
        <f>IF(A1441="","",IFERROR(INDEX('자료_한국심리'!$K$3:$K$4002,MATCH(A1441,$X$19:$X$4018,0)),F1440))</f>
        <v/>
      </c>
      <c r="G1441" s="30">
        <f>IF(AND(ISNUMBER(E1441),ISNUMBER(F1441)),ROUND(E1441-F1441,6),"")</f>
        <v/>
      </c>
      <c r="H1441" s="25">
        <f>IF(A1441="","",IFERROR(INDEX('자료_한국심리'!$N$3:$N$4002,MATCH(A1441,$Y$19:$Y$4018,0)),H1440))</f>
        <v/>
      </c>
      <c r="I1441" s="31">
        <f>IF(AND(ISNUMBER(H1441),ISNUMBER(H1421)),IF(H1421&gt;0,H1441/H1421-1,""),"")</f>
        <v/>
      </c>
      <c r="J1441">
        <f>IF(A1441="",0,IF(A1441&gt;$B$5,1,0))</f>
        <v/>
      </c>
      <c r="K1441" s="29">
        <f>IF(AND(J1441=1,ISNUMBER(D1441)),D1441,"")</f>
        <v/>
      </c>
      <c r="L1441" s="30">
        <f>IF(AND(J1441=1,ISNUMBER(G1441)),G1441,"")</f>
        <v/>
      </c>
      <c r="M1441" s="22">
        <f>IF(AND(J1441=1,ISNUMBER(C1441)),C1441,"")</f>
        <v/>
      </c>
      <c r="N1441" s="31">
        <f>IF(AND(J1441=1,ISNUMBER(I1441)),I1441,"")</f>
        <v/>
      </c>
      <c r="O1441" s="11">
        <f>IF(K1441="","",100-IF($G$13=1,50,(_xlfn.RANK.AVG(K1441,$K$19:$K$1518,1)-1)/($G$13-1)*100))</f>
        <v/>
      </c>
      <c r="P1441" s="11">
        <f>IF(L1441="","",100-IF($G$14=1,50,(_xlfn.RANK.AVG(L1441,$L$19:$L$1518,1)-1)/($G$14-1)*100))</f>
        <v/>
      </c>
      <c r="Q1441" s="11">
        <f>IF(M1441="","",IF($G$15=1,50,(_xlfn.RANK.AVG(M1441,$M$19:$M$1518,1)-1)/($G$15-1)*100))</f>
        <v/>
      </c>
      <c r="R1441" s="11">
        <f>IF(N1441="","",IF($G$16=1,50,(_xlfn.RANK.AVG(N1441,$N$19:$N$1518,1)-1)/($G$16-1)*100))</f>
        <v/>
      </c>
      <c r="S1441" s="11">
        <f>IF(COUNT(O1441:R1441)=4,ROUND(AVERAGE(O1441:R1441),6),"")</f>
        <v/>
      </c>
      <c r="U1441">
        <f>IF(AND(ISNUMBER('자료_한국심리'!$A1425),ISNUMBER('자료_한국심리'!$B1425)),'자료_한국심리'!$A1425,"")</f>
        <v/>
      </c>
      <c r="V1441">
        <f>IF(AND(ISNUMBER('자료_한국심리'!$D1425),ISNUMBER('자료_한국심리'!$E1425)),'자료_한국심리'!$D1425,"")</f>
        <v/>
      </c>
      <c r="W1441">
        <f>IF(AND(ISNUMBER('자료_한국심리'!$G1425),ISNUMBER('자료_한국심리'!$H1425)),'자료_한국심리'!$G1425,"")</f>
        <v/>
      </c>
      <c r="X1441">
        <f>IF(AND(ISNUMBER('자료_한국심리'!$J1425),ISNUMBER('자료_한국심리'!$K1425)),'자료_한국심리'!$J1425,"")</f>
        <v/>
      </c>
      <c r="Y1441">
        <f>IF(AND(ISNUMBER('자료_한국심리'!$M1425),ISNUMBER('자료_한국심리'!$N1425)),'자료_한국심리'!$M1425,"")</f>
        <v/>
      </c>
    </row>
    <row r="1442">
      <c r="A1442" s="10">
        <f>IF(1424&gt;$E$5,"",SMALL($U$19:$U$4018,$E$6+1424))</f>
        <v/>
      </c>
      <c r="B1442" s="29">
        <f>IF(A1442="","",INDEX('자료_한국심리'!$B$3:$B$4002,MATCH(A1442,$U$19:$U$4018,0)))</f>
        <v/>
      </c>
      <c r="C1442" s="22">
        <f>IF(A1442="","",B1442/AVERAGE(B1318:B1442)-1)</f>
        <v/>
      </c>
      <c r="D1442" s="29">
        <f>IF(A1442="","",IFERROR(INDEX('자료_한국심리'!$E$3:$E$4002,MATCH(A1442,$V$19:$V$4018,0)),D1441))</f>
        <v/>
      </c>
      <c r="E1442" s="30">
        <f>IF(A1442="","",IFERROR(INDEX('자료_한국심리'!$H$3:$H$4002,MATCH(A1442,$W$19:$W$4018,0)),E1441))</f>
        <v/>
      </c>
      <c r="F1442" s="30">
        <f>IF(A1442="","",IFERROR(INDEX('자료_한국심리'!$K$3:$K$4002,MATCH(A1442,$X$19:$X$4018,0)),F1441))</f>
        <v/>
      </c>
      <c r="G1442" s="30">
        <f>IF(AND(ISNUMBER(E1442),ISNUMBER(F1442)),ROUND(E1442-F1442,6),"")</f>
        <v/>
      </c>
      <c r="H1442" s="25">
        <f>IF(A1442="","",IFERROR(INDEX('자료_한국심리'!$N$3:$N$4002,MATCH(A1442,$Y$19:$Y$4018,0)),H1441))</f>
        <v/>
      </c>
      <c r="I1442" s="31">
        <f>IF(AND(ISNUMBER(H1442),ISNUMBER(H1422)),IF(H1422&gt;0,H1442/H1422-1,""),"")</f>
        <v/>
      </c>
      <c r="J1442">
        <f>IF(A1442="",0,IF(A1442&gt;$B$5,1,0))</f>
        <v/>
      </c>
      <c r="K1442" s="29">
        <f>IF(AND(J1442=1,ISNUMBER(D1442)),D1442,"")</f>
        <v/>
      </c>
      <c r="L1442" s="30">
        <f>IF(AND(J1442=1,ISNUMBER(G1442)),G1442,"")</f>
        <v/>
      </c>
      <c r="M1442" s="22">
        <f>IF(AND(J1442=1,ISNUMBER(C1442)),C1442,"")</f>
        <v/>
      </c>
      <c r="N1442" s="31">
        <f>IF(AND(J1442=1,ISNUMBER(I1442)),I1442,"")</f>
        <v/>
      </c>
      <c r="O1442" s="11">
        <f>IF(K1442="","",100-IF($G$13=1,50,(_xlfn.RANK.AVG(K1442,$K$19:$K$1518,1)-1)/($G$13-1)*100))</f>
        <v/>
      </c>
      <c r="P1442" s="11">
        <f>IF(L1442="","",100-IF($G$14=1,50,(_xlfn.RANK.AVG(L1442,$L$19:$L$1518,1)-1)/($G$14-1)*100))</f>
        <v/>
      </c>
      <c r="Q1442" s="11">
        <f>IF(M1442="","",IF($G$15=1,50,(_xlfn.RANK.AVG(M1442,$M$19:$M$1518,1)-1)/($G$15-1)*100))</f>
        <v/>
      </c>
      <c r="R1442" s="11">
        <f>IF(N1442="","",IF($G$16=1,50,(_xlfn.RANK.AVG(N1442,$N$19:$N$1518,1)-1)/($G$16-1)*100))</f>
        <v/>
      </c>
      <c r="S1442" s="11">
        <f>IF(COUNT(O1442:R1442)=4,ROUND(AVERAGE(O1442:R1442),6),"")</f>
        <v/>
      </c>
      <c r="U1442">
        <f>IF(AND(ISNUMBER('자료_한국심리'!$A1426),ISNUMBER('자료_한국심리'!$B1426)),'자료_한국심리'!$A1426,"")</f>
        <v/>
      </c>
      <c r="V1442">
        <f>IF(AND(ISNUMBER('자료_한국심리'!$D1426),ISNUMBER('자료_한국심리'!$E1426)),'자료_한국심리'!$D1426,"")</f>
        <v/>
      </c>
      <c r="W1442">
        <f>IF(AND(ISNUMBER('자료_한국심리'!$G1426),ISNUMBER('자료_한국심리'!$H1426)),'자료_한국심리'!$G1426,"")</f>
        <v/>
      </c>
      <c r="X1442">
        <f>IF(AND(ISNUMBER('자료_한국심리'!$J1426),ISNUMBER('자료_한국심리'!$K1426)),'자료_한국심리'!$J1426,"")</f>
        <v/>
      </c>
      <c r="Y1442">
        <f>IF(AND(ISNUMBER('자료_한국심리'!$M1426),ISNUMBER('자료_한국심리'!$N1426)),'자료_한국심리'!$M1426,"")</f>
        <v/>
      </c>
    </row>
    <row r="1443">
      <c r="A1443" s="10">
        <f>IF(1425&gt;$E$5,"",SMALL($U$19:$U$4018,$E$6+1425))</f>
        <v/>
      </c>
      <c r="B1443" s="29">
        <f>IF(A1443="","",INDEX('자료_한국심리'!$B$3:$B$4002,MATCH(A1443,$U$19:$U$4018,0)))</f>
        <v/>
      </c>
      <c r="C1443" s="22">
        <f>IF(A1443="","",B1443/AVERAGE(B1319:B1443)-1)</f>
        <v/>
      </c>
      <c r="D1443" s="29">
        <f>IF(A1443="","",IFERROR(INDEX('자료_한국심리'!$E$3:$E$4002,MATCH(A1443,$V$19:$V$4018,0)),D1442))</f>
        <v/>
      </c>
      <c r="E1443" s="30">
        <f>IF(A1443="","",IFERROR(INDEX('자료_한국심리'!$H$3:$H$4002,MATCH(A1443,$W$19:$W$4018,0)),E1442))</f>
        <v/>
      </c>
      <c r="F1443" s="30">
        <f>IF(A1443="","",IFERROR(INDEX('자료_한국심리'!$K$3:$K$4002,MATCH(A1443,$X$19:$X$4018,0)),F1442))</f>
        <v/>
      </c>
      <c r="G1443" s="30">
        <f>IF(AND(ISNUMBER(E1443),ISNUMBER(F1443)),ROUND(E1443-F1443,6),"")</f>
        <v/>
      </c>
      <c r="H1443" s="25">
        <f>IF(A1443="","",IFERROR(INDEX('자료_한국심리'!$N$3:$N$4002,MATCH(A1443,$Y$19:$Y$4018,0)),H1442))</f>
        <v/>
      </c>
      <c r="I1443" s="31">
        <f>IF(AND(ISNUMBER(H1443),ISNUMBER(H1423)),IF(H1423&gt;0,H1443/H1423-1,""),"")</f>
        <v/>
      </c>
      <c r="J1443">
        <f>IF(A1443="",0,IF(A1443&gt;$B$5,1,0))</f>
        <v/>
      </c>
      <c r="K1443" s="29">
        <f>IF(AND(J1443=1,ISNUMBER(D1443)),D1443,"")</f>
        <v/>
      </c>
      <c r="L1443" s="30">
        <f>IF(AND(J1443=1,ISNUMBER(G1443)),G1443,"")</f>
        <v/>
      </c>
      <c r="M1443" s="22">
        <f>IF(AND(J1443=1,ISNUMBER(C1443)),C1443,"")</f>
        <v/>
      </c>
      <c r="N1443" s="31">
        <f>IF(AND(J1443=1,ISNUMBER(I1443)),I1443,"")</f>
        <v/>
      </c>
      <c r="O1443" s="11">
        <f>IF(K1443="","",100-IF($G$13=1,50,(_xlfn.RANK.AVG(K1443,$K$19:$K$1518,1)-1)/($G$13-1)*100))</f>
        <v/>
      </c>
      <c r="P1443" s="11">
        <f>IF(L1443="","",100-IF($G$14=1,50,(_xlfn.RANK.AVG(L1443,$L$19:$L$1518,1)-1)/($G$14-1)*100))</f>
        <v/>
      </c>
      <c r="Q1443" s="11">
        <f>IF(M1443="","",IF($G$15=1,50,(_xlfn.RANK.AVG(M1443,$M$19:$M$1518,1)-1)/($G$15-1)*100))</f>
        <v/>
      </c>
      <c r="R1443" s="11">
        <f>IF(N1443="","",IF($G$16=1,50,(_xlfn.RANK.AVG(N1443,$N$19:$N$1518,1)-1)/($G$16-1)*100))</f>
        <v/>
      </c>
      <c r="S1443" s="11">
        <f>IF(COUNT(O1443:R1443)=4,ROUND(AVERAGE(O1443:R1443),6),"")</f>
        <v/>
      </c>
      <c r="U1443">
        <f>IF(AND(ISNUMBER('자료_한국심리'!$A1427),ISNUMBER('자료_한국심리'!$B1427)),'자료_한국심리'!$A1427,"")</f>
        <v/>
      </c>
      <c r="V1443">
        <f>IF(AND(ISNUMBER('자료_한국심리'!$D1427),ISNUMBER('자료_한국심리'!$E1427)),'자료_한국심리'!$D1427,"")</f>
        <v/>
      </c>
      <c r="W1443">
        <f>IF(AND(ISNUMBER('자료_한국심리'!$G1427),ISNUMBER('자료_한국심리'!$H1427)),'자료_한국심리'!$G1427,"")</f>
        <v/>
      </c>
      <c r="X1443">
        <f>IF(AND(ISNUMBER('자료_한국심리'!$J1427),ISNUMBER('자료_한국심리'!$K1427)),'자료_한국심리'!$J1427,"")</f>
        <v/>
      </c>
      <c r="Y1443">
        <f>IF(AND(ISNUMBER('자료_한국심리'!$M1427),ISNUMBER('자료_한국심리'!$N1427)),'자료_한국심리'!$M1427,"")</f>
        <v/>
      </c>
    </row>
    <row r="1444">
      <c r="A1444" s="10">
        <f>IF(1426&gt;$E$5,"",SMALL($U$19:$U$4018,$E$6+1426))</f>
        <v/>
      </c>
      <c r="B1444" s="29">
        <f>IF(A1444="","",INDEX('자료_한국심리'!$B$3:$B$4002,MATCH(A1444,$U$19:$U$4018,0)))</f>
        <v/>
      </c>
      <c r="C1444" s="22">
        <f>IF(A1444="","",B1444/AVERAGE(B1320:B1444)-1)</f>
        <v/>
      </c>
      <c r="D1444" s="29">
        <f>IF(A1444="","",IFERROR(INDEX('자료_한국심리'!$E$3:$E$4002,MATCH(A1444,$V$19:$V$4018,0)),D1443))</f>
        <v/>
      </c>
      <c r="E1444" s="30">
        <f>IF(A1444="","",IFERROR(INDEX('자료_한국심리'!$H$3:$H$4002,MATCH(A1444,$W$19:$W$4018,0)),E1443))</f>
        <v/>
      </c>
      <c r="F1444" s="30">
        <f>IF(A1444="","",IFERROR(INDEX('자료_한국심리'!$K$3:$K$4002,MATCH(A1444,$X$19:$X$4018,0)),F1443))</f>
        <v/>
      </c>
      <c r="G1444" s="30">
        <f>IF(AND(ISNUMBER(E1444),ISNUMBER(F1444)),ROUND(E1444-F1444,6),"")</f>
        <v/>
      </c>
      <c r="H1444" s="25">
        <f>IF(A1444="","",IFERROR(INDEX('자료_한국심리'!$N$3:$N$4002,MATCH(A1444,$Y$19:$Y$4018,0)),H1443))</f>
        <v/>
      </c>
      <c r="I1444" s="31">
        <f>IF(AND(ISNUMBER(H1444),ISNUMBER(H1424)),IF(H1424&gt;0,H1444/H1424-1,""),"")</f>
        <v/>
      </c>
      <c r="J1444">
        <f>IF(A1444="",0,IF(A1444&gt;$B$5,1,0))</f>
        <v/>
      </c>
      <c r="K1444" s="29">
        <f>IF(AND(J1444=1,ISNUMBER(D1444)),D1444,"")</f>
        <v/>
      </c>
      <c r="L1444" s="30">
        <f>IF(AND(J1444=1,ISNUMBER(G1444)),G1444,"")</f>
        <v/>
      </c>
      <c r="M1444" s="22">
        <f>IF(AND(J1444=1,ISNUMBER(C1444)),C1444,"")</f>
        <v/>
      </c>
      <c r="N1444" s="31">
        <f>IF(AND(J1444=1,ISNUMBER(I1444)),I1444,"")</f>
        <v/>
      </c>
      <c r="O1444" s="11">
        <f>IF(K1444="","",100-IF($G$13=1,50,(_xlfn.RANK.AVG(K1444,$K$19:$K$1518,1)-1)/($G$13-1)*100))</f>
        <v/>
      </c>
      <c r="P1444" s="11">
        <f>IF(L1444="","",100-IF($G$14=1,50,(_xlfn.RANK.AVG(L1444,$L$19:$L$1518,1)-1)/($G$14-1)*100))</f>
        <v/>
      </c>
      <c r="Q1444" s="11">
        <f>IF(M1444="","",IF($G$15=1,50,(_xlfn.RANK.AVG(M1444,$M$19:$M$1518,1)-1)/($G$15-1)*100))</f>
        <v/>
      </c>
      <c r="R1444" s="11">
        <f>IF(N1444="","",IF($G$16=1,50,(_xlfn.RANK.AVG(N1444,$N$19:$N$1518,1)-1)/($G$16-1)*100))</f>
        <v/>
      </c>
      <c r="S1444" s="11">
        <f>IF(COUNT(O1444:R1444)=4,ROUND(AVERAGE(O1444:R1444),6),"")</f>
        <v/>
      </c>
      <c r="U1444">
        <f>IF(AND(ISNUMBER('자료_한국심리'!$A1428),ISNUMBER('자료_한국심리'!$B1428)),'자료_한국심리'!$A1428,"")</f>
        <v/>
      </c>
      <c r="V1444">
        <f>IF(AND(ISNUMBER('자료_한국심리'!$D1428),ISNUMBER('자료_한국심리'!$E1428)),'자료_한국심리'!$D1428,"")</f>
        <v/>
      </c>
      <c r="W1444">
        <f>IF(AND(ISNUMBER('자료_한국심리'!$G1428),ISNUMBER('자료_한국심리'!$H1428)),'자료_한국심리'!$G1428,"")</f>
        <v/>
      </c>
      <c r="X1444">
        <f>IF(AND(ISNUMBER('자료_한국심리'!$J1428),ISNUMBER('자료_한국심리'!$K1428)),'자료_한국심리'!$J1428,"")</f>
        <v/>
      </c>
      <c r="Y1444">
        <f>IF(AND(ISNUMBER('자료_한국심리'!$M1428),ISNUMBER('자료_한국심리'!$N1428)),'자료_한국심리'!$M1428,"")</f>
        <v/>
      </c>
    </row>
    <row r="1445">
      <c r="A1445" s="10">
        <f>IF(1427&gt;$E$5,"",SMALL($U$19:$U$4018,$E$6+1427))</f>
        <v/>
      </c>
      <c r="B1445" s="29">
        <f>IF(A1445="","",INDEX('자료_한국심리'!$B$3:$B$4002,MATCH(A1445,$U$19:$U$4018,0)))</f>
        <v/>
      </c>
      <c r="C1445" s="22">
        <f>IF(A1445="","",B1445/AVERAGE(B1321:B1445)-1)</f>
        <v/>
      </c>
      <c r="D1445" s="29">
        <f>IF(A1445="","",IFERROR(INDEX('자료_한국심리'!$E$3:$E$4002,MATCH(A1445,$V$19:$V$4018,0)),D1444))</f>
        <v/>
      </c>
      <c r="E1445" s="30">
        <f>IF(A1445="","",IFERROR(INDEX('자료_한국심리'!$H$3:$H$4002,MATCH(A1445,$W$19:$W$4018,0)),E1444))</f>
        <v/>
      </c>
      <c r="F1445" s="30">
        <f>IF(A1445="","",IFERROR(INDEX('자료_한국심리'!$K$3:$K$4002,MATCH(A1445,$X$19:$X$4018,0)),F1444))</f>
        <v/>
      </c>
      <c r="G1445" s="30">
        <f>IF(AND(ISNUMBER(E1445),ISNUMBER(F1445)),ROUND(E1445-F1445,6),"")</f>
        <v/>
      </c>
      <c r="H1445" s="25">
        <f>IF(A1445="","",IFERROR(INDEX('자료_한국심리'!$N$3:$N$4002,MATCH(A1445,$Y$19:$Y$4018,0)),H1444))</f>
        <v/>
      </c>
      <c r="I1445" s="31">
        <f>IF(AND(ISNUMBER(H1445),ISNUMBER(H1425)),IF(H1425&gt;0,H1445/H1425-1,""),"")</f>
        <v/>
      </c>
      <c r="J1445">
        <f>IF(A1445="",0,IF(A1445&gt;$B$5,1,0))</f>
        <v/>
      </c>
      <c r="K1445" s="29">
        <f>IF(AND(J1445=1,ISNUMBER(D1445)),D1445,"")</f>
        <v/>
      </c>
      <c r="L1445" s="30">
        <f>IF(AND(J1445=1,ISNUMBER(G1445)),G1445,"")</f>
        <v/>
      </c>
      <c r="M1445" s="22">
        <f>IF(AND(J1445=1,ISNUMBER(C1445)),C1445,"")</f>
        <v/>
      </c>
      <c r="N1445" s="31">
        <f>IF(AND(J1445=1,ISNUMBER(I1445)),I1445,"")</f>
        <v/>
      </c>
      <c r="O1445" s="11">
        <f>IF(K1445="","",100-IF($G$13=1,50,(_xlfn.RANK.AVG(K1445,$K$19:$K$1518,1)-1)/($G$13-1)*100))</f>
        <v/>
      </c>
      <c r="P1445" s="11">
        <f>IF(L1445="","",100-IF($G$14=1,50,(_xlfn.RANK.AVG(L1445,$L$19:$L$1518,1)-1)/($G$14-1)*100))</f>
        <v/>
      </c>
      <c r="Q1445" s="11">
        <f>IF(M1445="","",IF($G$15=1,50,(_xlfn.RANK.AVG(M1445,$M$19:$M$1518,1)-1)/($G$15-1)*100))</f>
        <v/>
      </c>
      <c r="R1445" s="11">
        <f>IF(N1445="","",IF($G$16=1,50,(_xlfn.RANK.AVG(N1445,$N$19:$N$1518,1)-1)/($G$16-1)*100))</f>
        <v/>
      </c>
      <c r="S1445" s="11">
        <f>IF(COUNT(O1445:R1445)=4,ROUND(AVERAGE(O1445:R1445),6),"")</f>
        <v/>
      </c>
      <c r="U1445">
        <f>IF(AND(ISNUMBER('자료_한국심리'!$A1429),ISNUMBER('자료_한국심리'!$B1429)),'자료_한국심리'!$A1429,"")</f>
        <v/>
      </c>
      <c r="V1445">
        <f>IF(AND(ISNUMBER('자료_한국심리'!$D1429),ISNUMBER('자료_한국심리'!$E1429)),'자료_한국심리'!$D1429,"")</f>
        <v/>
      </c>
      <c r="W1445">
        <f>IF(AND(ISNUMBER('자료_한국심리'!$G1429),ISNUMBER('자료_한국심리'!$H1429)),'자료_한국심리'!$G1429,"")</f>
        <v/>
      </c>
      <c r="X1445">
        <f>IF(AND(ISNUMBER('자료_한국심리'!$J1429),ISNUMBER('자료_한국심리'!$K1429)),'자료_한국심리'!$J1429,"")</f>
        <v/>
      </c>
      <c r="Y1445">
        <f>IF(AND(ISNUMBER('자료_한국심리'!$M1429),ISNUMBER('자료_한국심리'!$N1429)),'자료_한국심리'!$M1429,"")</f>
        <v/>
      </c>
    </row>
    <row r="1446">
      <c r="A1446" s="10">
        <f>IF(1428&gt;$E$5,"",SMALL($U$19:$U$4018,$E$6+1428))</f>
        <v/>
      </c>
      <c r="B1446" s="29">
        <f>IF(A1446="","",INDEX('자료_한국심리'!$B$3:$B$4002,MATCH(A1446,$U$19:$U$4018,0)))</f>
        <v/>
      </c>
      <c r="C1446" s="22">
        <f>IF(A1446="","",B1446/AVERAGE(B1322:B1446)-1)</f>
        <v/>
      </c>
      <c r="D1446" s="29">
        <f>IF(A1446="","",IFERROR(INDEX('자료_한국심리'!$E$3:$E$4002,MATCH(A1446,$V$19:$V$4018,0)),D1445))</f>
        <v/>
      </c>
      <c r="E1446" s="30">
        <f>IF(A1446="","",IFERROR(INDEX('자료_한국심리'!$H$3:$H$4002,MATCH(A1446,$W$19:$W$4018,0)),E1445))</f>
        <v/>
      </c>
      <c r="F1446" s="30">
        <f>IF(A1446="","",IFERROR(INDEX('자료_한국심리'!$K$3:$K$4002,MATCH(A1446,$X$19:$X$4018,0)),F1445))</f>
        <v/>
      </c>
      <c r="G1446" s="30">
        <f>IF(AND(ISNUMBER(E1446),ISNUMBER(F1446)),ROUND(E1446-F1446,6),"")</f>
        <v/>
      </c>
      <c r="H1446" s="25">
        <f>IF(A1446="","",IFERROR(INDEX('자료_한국심리'!$N$3:$N$4002,MATCH(A1446,$Y$19:$Y$4018,0)),H1445))</f>
        <v/>
      </c>
      <c r="I1446" s="31">
        <f>IF(AND(ISNUMBER(H1446),ISNUMBER(H1426)),IF(H1426&gt;0,H1446/H1426-1,""),"")</f>
        <v/>
      </c>
      <c r="J1446">
        <f>IF(A1446="",0,IF(A1446&gt;$B$5,1,0))</f>
        <v/>
      </c>
      <c r="K1446" s="29">
        <f>IF(AND(J1446=1,ISNUMBER(D1446)),D1446,"")</f>
        <v/>
      </c>
      <c r="L1446" s="30">
        <f>IF(AND(J1446=1,ISNUMBER(G1446)),G1446,"")</f>
        <v/>
      </c>
      <c r="M1446" s="22">
        <f>IF(AND(J1446=1,ISNUMBER(C1446)),C1446,"")</f>
        <v/>
      </c>
      <c r="N1446" s="31">
        <f>IF(AND(J1446=1,ISNUMBER(I1446)),I1446,"")</f>
        <v/>
      </c>
      <c r="O1446" s="11">
        <f>IF(K1446="","",100-IF($G$13=1,50,(_xlfn.RANK.AVG(K1446,$K$19:$K$1518,1)-1)/($G$13-1)*100))</f>
        <v/>
      </c>
      <c r="P1446" s="11">
        <f>IF(L1446="","",100-IF($G$14=1,50,(_xlfn.RANK.AVG(L1446,$L$19:$L$1518,1)-1)/($G$14-1)*100))</f>
        <v/>
      </c>
      <c r="Q1446" s="11">
        <f>IF(M1446="","",IF($G$15=1,50,(_xlfn.RANK.AVG(M1446,$M$19:$M$1518,1)-1)/($G$15-1)*100))</f>
        <v/>
      </c>
      <c r="R1446" s="11">
        <f>IF(N1446="","",IF($G$16=1,50,(_xlfn.RANK.AVG(N1446,$N$19:$N$1518,1)-1)/($G$16-1)*100))</f>
        <v/>
      </c>
      <c r="S1446" s="11">
        <f>IF(COUNT(O1446:R1446)=4,ROUND(AVERAGE(O1446:R1446),6),"")</f>
        <v/>
      </c>
      <c r="U1446">
        <f>IF(AND(ISNUMBER('자료_한국심리'!$A1430),ISNUMBER('자료_한국심리'!$B1430)),'자료_한국심리'!$A1430,"")</f>
        <v/>
      </c>
      <c r="V1446">
        <f>IF(AND(ISNUMBER('자료_한국심리'!$D1430),ISNUMBER('자료_한국심리'!$E1430)),'자료_한국심리'!$D1430,"")</f>
        <v/>
      </c>
      <c r="W1446">
        <f>IF(AND(ISNUMBER('자료_한국심리'!$G1430),ISNUMBER('자료_한국심리'!$H1430)),'자료_한국심리'!$G1430,"")</f>
        <v/>
      </c>
      <c r="X1446">
        <f>IF(AND(ISNUMBER('자료_한국심리'!$J1430),ISNUMBER('자료_한국심리'!$K1430)),'자료_한국심리'!$J1430,"")</f>
        <v/>
      </c>
      <c r="Y1446">
        <f>IF(AND(ISNUMBER('자료_한국심리'!$M1430),ISNUMBER('자료_한국심리'!$N1430)),'자료_한국심리'!$M1430,"")</f>
        <v/>
      </c>
    </row>
    <row r="1447">
      <c r="A1447" s="10">
        <f>IF(1429&gt;$E$5,"",SMALL($U$19:$U$4018,$E$6+1429))</f>
        <v/>
      </c>
      <c r="B1447" s="29">
        <f>IF(A1447="","",INDEX('자료_한국심리'!$B$3:$B$4002,MATCH(A1447,$U$19:$U$4018,0)))</f>
        <v/>
      </c>
      <c r="C1447" s="22">
        <f>IF(A1447="","",B1447/AVERAGE(B1323:B1447)-1)</f>
        <v/>
      </c>
      <c r="D1447" s="29">
        <f>IF(A1447="","",IFERROR(INDEX('자료_한국심리'!$E$3:$E$4002,MATCH(A1447,$V$19:$V$4018,0)),D1446))</f>
        <v/>
      </c>
      <c r="E1447" s="30">
        <f>IF(A1447="","",IFERROR(INDEX('자료_한국심리'!$H$3:$H$4002,MATCH(A1447,$W$19:$W$4018,0)),E1446))</f>
        <v/>
      </c>
      <c r="F1447" s="30">
        <f>IF(A1447="","",IFERROR(INDEX('자료_한국심리'!$K$3:$K$4002,MATCH(A1447,$X$19:$X$4018,0)),F1446))</f>
        <v/>
      </c>
      <c r="G1447" s="30">
        <f>IF(AND(ISNUMBER(E1447),ISNUMBER(F1447)),ROUND(E1447-F1447,6),"")</f>
        <v/>
      </c>
      <c r="H1447" s="25">
        <f>IF(A1447="","",IFERROR(INDEX('자료_한국심리'!$N$3:$N$4002,MATCH(A1447,$Y$19:$Y$4018,0)),H1446))</f>
        <v/>
      </c>
      <c r="I1447" s="31">
        <f>IF(AND(ISNUMBER(H1447),ISNUMBER(H1427)),IF(H1427&gt;0,H1447/H1427-1,""),"")</f>
        <v/>
      </c>
      <c r="J1447">
        <f>IF(A1447="",0,IF(A1447&gt;$B$5,1,0))</f>
        <v/>
      </c>
      <c r="K1447" s="29">
        <f>IF(AND(J1447=1,ISNUMBER(D1447)),D1447,"")</f>
        <v/>
      </c>
      <c r="L1447" s="30">
        <f>IF(AND(J1447=1,ISNUMBER(G1447)),G1447,"")</f>
        <v/>
      </c>
      <c r="M1447" s="22">
        <f>IF(AND(J1447=1,ISNUMBER(C1447)),C1447,"")</f>
        <v/>
      </c>
      <c r="N1447" s="31">
        <f>IF(AND(J1447=1,ISNUMBER(I1447)),I1447,"")</f>
        <v/>
      </c>
      <c r="O1447" s="11">
        <f>IF(K1447="","",100-IF($G$13=1,50,(_xlfn.RANK.AVG(K1447,$K$19:$K$1518,1)-1)/($G$13-1)*100))</f>
        <v/>
      </c>
      <c r="P1447" s="11">
        <f>IF(L1447="","",100-IF($G$14=1,50,(_xlfn.RANK.AVG(L1447,$L$19:$L$1518,1)-1)/($G$14-1)*100))</f>
        <v/>
      </c>
      <c r="Q1447" s="11">
        <f>IF(M1447="","",IF($G$15=1,50,(_xlfn.RANK.AVG(M1447,$M$19:$M$1518,1)-1)/($G$15-1)*100))</f>
        <v/>
      </c>
      <c r="R1447" s="11">
        <f>IF(N1447="","",IF($G$16=1,50,(_xlfn.RANK.AVG(N1447,$N$19:$N$1518,1)-1)/($G$16-1)*100))</f>
        <v/>
      </c>
      <c r="S1447" s="11">
        <f>IF(COUNT(O1447:R1447)=4,ROUND(AVERAGE(O1447:R1447),6),"")</f>
        <v/>
      </c>
      <c r="U1447">
        <f>IF(AND(ISNUMBER('자료_한국심리'!$A1431),ISNUMBER('자료_한국심리'!$B1431)),'자료_한국심리'!$A1431,"")</f>
        <v/>
      </c>
      <c r="V1447">
        <f>IF(AND(ISNUMBER('자료_한국심리'!$D1431),ISNUMBER('자료_한국심리'!$E1431)),'자료_한국심리'!$D1431,"")</f>
        <v/>
      </c>
      <c r="W1447">
        <f>IF(AND(ISNUMBER('자료_한국심리'!$G1431),ISNUMBER('자료_한국심리'!$H1431)),'자료_한국심리'!$G1431,"")</f>
        <v/>
      </c>
      <c r="X1447">
        <f>IF(AND(ISNUMBER('자료_한국심리'!$J1431),ISNUMBER('자료_한국심리'!$K1431)),'자료_한국심리'!$J1431,"")</f>
        <v/>
      </c>
      <c r="Y1447">
        <f>IF(AND(ISNUMBER('자료_한국심리'!$M1431),ISNUMBER('자료_한국심리'!$N1431)),'자료_한국심리'!$M1431,"")</f>
        <v/>
      </c>
    </row>
    <row r="1448">
      <c r="A1448" s="10">
        <f>IF(1430&gt;$E$5,"",SMALL($U$19:$U$4018,$E$6+1430))</f>
        <v/>
      </c>
      <c r="B1448" s="29">
        <f>IF(A1448="","",INDEX('자료_한국심리'!$B$3:$B$4002,MATCH(A1448,$U$19:$U$4018,0)))</f>
        <v/>
      </c>
      <c r="C1448" s="22">
        <f>IF(A1448="","",B1448/AVERAGE(B1324:B1448)-1)</f>
        <v/>
      </c>
      <c r="D1448" s="29">
        <f>IF(A1448="","",IFERROR(INDEX('자료_한국심리'!$E$3:$E$4002,MATCH(A1448,$V$19:$V$4018,0)),D1447))</f>
        <v/>
      </c>
      <c r="E1448" s="30">
        <f>IF(A1448="","",IFERROR(INDEX('자료_한국심리'!$H$3:$H$4002,MATCH(A1448,$W$19:$W$4018,0)),E1447))</f>
        <v/>
      </c>
      <c r="F1448" s="30">
        <f>IF(A1448="","",IFERROR(INDEX('자료_한국심리'!$K$3:$K$4002,MATCH(A1448,$X$19:$X$4018,0)),F1447))</f>
        <v/>
      </c>
      <c r="G1448" s="30">
        <f>IF(AND(ISNUMBER(E1448),ISNUMBER(F1448)),ROUND(E1448-F1448,6),"")</f>
        <v/>
      </c>
      <c r="H1448" s="25">
        <f>IF(A1448="","",IFERROR(INDEX('자료_한국심리'!$N$3:$N$4002,MATCH(A1448,$Y$19:$Y$4018,0)),H1447))</f>
        <v/>
      </c>
      <c r="I1448" s="31">
        <f>IF(AND(ISNUMBER(H1448),ISNUMBER(H1428)),IF(H1428&gt;0,H1448/H1428-1,""),"")</f>
        <v/>
      </c>
      <c r="J1448">
        <f>IF(A1448="",0,IF(A1448&gt;$B$5,1,0))</f>
        <v/>
      </c>
      <c r="K1448" s="29">
        <f>IF(AND(J1448=1,ISNUMBER(D1448)),D1448,"")</f>
        <v/>
      </c>
      <c r="L1448" s="30">
        <f>IF(AND(J1448=1,ISNUMBER(G1448)),G1448,"")</f>
        <v/>
      </c>
      <c r="M1448" s="22">
        <f>IF(AND(J1448=1,ISNUMBER(C1448)),C1448,"")</f>
        <v/>
      </c>
      <c r="N1448" s="31">
        <f>IF(AND(J1448=1,ISNUMBER(I1448)),I1448,"")</f>
        <v/>
      </c>
      <c r="O1448" s="11">
        <f>IF(K1448="","",100-IF($G$13=1,50,(_xlfn.RANK.AVG(K1448,$K$19:$K$1518,1)-1)/($G$13-1)*100))</f>
        <v/>
      </c>
      <c r="P1448" s="11">
        <f>IF(L1448="","",100-IF($G$14=1,50,(_xlfn.RANK.AVG(L1448,$L$19:$L$1518,1)-1)/($G$14-1)*100))</f>
        <v/>
      </c>
      <c r="Q1448" s="11">
        <f>IF(M1448="","",IF($G$15=1,50,(_xlfn.RANK.AVG(M1448,$M$19:$M$1518,1)-1)/($G$15-1)*100))</f>
        <v/>
      </c>
      <c r="R1448" s="11">
        <f>IF(N1448="","",IF($G$16=1,50,(_xlfn.RANK.AVG(N1448,$N$19:$N$1518,1)-1)/($G$16-1)*100))</f>
        <v/>
      </c>
      <c r="S1448" s="11">
        <f>IF(COUNT(O1448:R1448)=4,ROUND(AVERAGE(O1448:R1448),6),"")</f>
        <v/>
      </c>
      <c r="U1448">
        <f>IF(AND(ISNUMBER('자료_한국심리'!$A1432),ISNUMBER('자료_한국심리'!$B1432)),'자료_한국심리'!$A1432,"")</f>
        <v/>
      </c>
      <c r="V1448">
        <f>IF(AND(ISNUMBER('자료_한국심리'!$D1432),ISNUMBER('자료_한국심리'!$E1432)),'자료_한국심리'!$D1432,"")</f>
        <v/>
      </c>
      <c r="W1448">
        <f>IF(AND(ISNUMBER('자료_한국심리'!$G1432),ISNUMBER('자료_한국심리'!$H1432)),'자료_한국심리'!$G1432,"")</f>
        <v/>
      </c>
      <c r="X1448">
        <f>IF(AND(ISNUMBER('자료_한국심리'!$J1432),ISNUMBER('자료_한국심리'!$K1432)),'자료_한국심리'!$J1432,"")</f>
        <v/>
      </c>
      <c r="Y1448">
        <f>IF(AND(ISNUMBER('자료_한국심리'!$M1432),ISNUMBER('자료_한국심리'!$N1432)),'자료_한국심리'!$M1432,"")</f>
        <v/>
      </c>
    </row>
    <row r="1449">
      <c r="A1449" s="10">
        <f>IF(1431&gt;$E$5,"",SMALL($U$19:$U$4018,$E$6+1431))</f>
        <v/>
      </c>
      <c r="B1449" s="29">
        <f>IF(A1449="","",INDEX('자료_한국심리'!$B$3:$B$4002,MATCH(A1449,$U$19:$U$4018,0)))</f>
        <v/>
      </c>
      <c r="C1449" s="22">
        <f>IF(A1449="","",B1449/AVERAGE(B1325:B1449)-1)</f>
        <v/>
      </c>
      <c r="D1449" s="29">
        <f>IF(A1449="","",IFERROR(INDEX('자료_한국심리'!$E$3:$E$4002,MATCH(A1449,$V$19:$V$4018,0)),D1448))</f>
        <v/>
      </c>
      <c r="E1449" s="30">
        <f>IF(A1449="","",IFERROR(INDEX('자료_한국심리'!$H$3:$H$4002,MATCH(A1449,$W$19:$W$4018,0)),E1448))</f>
        <v/>
      </c>
      <c r="F1449" s="30">
        <f>IF(A1449="","",IFERROR(INDEX('자료_한국심리'!$K$3:$K$4002,MATCH(A1449,$X$19:$X$4018,0)),F1448))</f>
        <v/>
      </c>
      <c r="G1449" s="30">
        <f>IF(AND(ISNUMBER(E1449),ISNUMBER(F1449)),ROUND(E1449-F1449,6),"")</f>
        <v/>
      </c>
      <c r="H1449" s="25">
        <f>IF(A1449="","",IFERROR(INDEX('자료_한국심리'!$N$3:$N$4002,MATCH(A1449,$Y$19:$Y$4018,0)),H1448))</f>
        <v/>
      </c>
      <c r="I1449" s="31">
        <f>IF(AND(ISNUMBER(H1449),ISNUMBER(H1429)),IF(H1429&gt;0,H1449/H1429-1,""),"")</f>
        <v/>
      </c>
      <c r="J1449">
        <f>IF(A1449="",0,IF(A1449&gt;$B$5,1,0))</f>
        <v/>
      </c>
      <c r="K1449" s="29">
        <f>IF(AND(J1449=1,ISNUMBER(D1449)),D1449,"")</f>
        <v/>
      </c>
      <c r="L1449" s="30">
        <f>IF(AND(J1449=1,ISNUMBER(G1449)),G1449,"")</f>
        <v/>
      </c>
      <c r="M1449" s="22">
        <f>IF(AND(J1449=1,ISNUMBER(C1449)),C1449,"")</f>
        <v/>
      </c>
      <c r="N1449" s="31">
        <f>IF(AND(J1449=1,ISNUMBER(I1449)),I1449,"")</f>
        <v/>
      </c>
      <c r="O1449" s="11">
        <f>IF(K1449="","",100-IF($G$13=1,50,(_xlfn.RANK.AVG(K1449,$K$19:$K$1518,1)-1)/($G$13-1)*100))</f>
        <v/>
      </c>
      <c r="P1449" s="11">
        <f>IF(L1449="","",100-IF($G$14=1,50,(_xlfn.RANK.AVG(L1449,$L$19:$L$1518,1)-1)/($G$14-1)*100))</f>
        <v/>
      </c>
      <c r="Q1449" s="11">
        <f>IF(M1449="","",IF($G$15=1,50,(_xlfn.RANK.AVG(M1449,$M$19:$M$1518,1)-1)/($G$15-1)*100))</f>
        <v/>
      </c>
      <c r="R1449" s="11">
        <f>IF(N1449="","",IF($G$16=1,50,(_xlfn.RANK.AVG(N1449,$N$19:$N$1518,1)-1)/($G$16-1)*100))</f>
        <v/>
      </c>
      <c r="S1449" s="11">
        <f>IF(COUNT(O1449:R1449)=4,ROUND(AVERAGE(O1449:R1449),6),"")</f>
        <v/>
      </c>
      <c r="U1449">
        <f>IF(AND(ISNUMBER('자료_한국심리'!$A1433),ISNUMBER('자료_한국심리'!$B1433)),'자료_한국심리'!$A1433,"")</f>
        <v/>
      </c>
      <c r="V1449">
        <f>IF(AND(ISNUMBER('자료_한국심리'!$D1433),ISNUMBER('자료_한국심리'!$E1433)),'자료_한국심리'!$D1433,"")</f>
        <v/>
      </c>
      <c r="W1449">
        <f>IF(AND(ISNUMBER('자료_한국심리'!$G1433),ISNUMBER('자료_한국심리'!$H1433)),'자료_한국심리'!$G1433,"")</f>
        <v/>
      </c>
      <c r="X1449">
        <f>IF(AND(ISNUMBER('자료_한국심리'!$J1433),ISNUMBER('자료_한국심리'!$K1433)),'자료_한국심리'!$J1433,"")</f>
        <v/>
      </c>
      <c r="Y1449">
        <f>IF(AND(ISNUMBER('자료_한국심리'!$M1433),ISNUMBER('자료_한국심리'!$N1433)),'자료_한국심리'!$M1433,"")</f>
        <v/>
      </c>
    </row>
    <row r="1450">
      <c r="A1450" s="10">
        <f>IF(1432&gt;$E$5,"",SMALL($U$19:$U$4018,$E$6+1432))</f>
        <v/>
      </c>
      <c r="B1450" s="29">
        <f>IF(A1450="","",INDEX('자료_한국심리'!$B$3:$B$4002,MATCH(A1450,$U$19:$U$4018,0)))</f>
        <v/>
      </c>
      <c r="C1450" s="22">
        <f>IF(A1450="","",B1450/AVERAGE(B1326:B1450)-1)</f>
        <v/>
      </c>
      <c r="D1450" s="29">
        <f>IF(A1450="","",IFERROR(INDEX('자료_한국심리'!$E$3:$E$4002,MATCH(A1450,$V$19:$V$4018,0)),D1449))</f>
        <v/>
      </c>
      <c r="E1450" s="30">
        <f>IF(A1450="","",IFERROR(INDEX('자료_한국심리'!$H$3:$H$4002,MATCH(A1450,$W$19:$W$4018,0)),E1449))</f>
        <v/>
      </c>
      <c r="F1450" s="30">
        <f>IF(A1450="","",IFERROR(INDEX('자료_한국심리'!$K$3:$K$4002,MATCH(A1450,$X$19:$X$4018,0)),F1449))</f>
        <v/>
      </c>
      <c r="G1450" s="30">
        <f>IF(AND(ISNUMBER(E1450),ISNUMBER(F1450)),ROUND(E1450-F1450,6),"")</f>
        <v/>
      </c>
      <c r="H1450" s="25">
        <f>IF(A1450="","",IFERROR(INDEX('자료_한국심리'!$N$3:$N$4002,MATCH(A1450,$Y$19:$Y$4018,0)),H1449))</f>
        <v/>
      </c>
      <c r="I1450" s="31">
        <f>IF(AND(ISNUMBER(H1450),ISNUMBER(H1430)),IF(H1430&gt;0,H1450/H1430-1,""),"")</f>
        <v/>
      </c>
      <c r="J1450">
        <f>IF(A1450="",0,IF(A1450&gt;$B$5,1,0))</f>
        <v/>
      </c>
      <c r="K1450" s="29">
        <f>IF(AND(J1450=1,ISNUMBER(D1450)),D1450,"")</f>
        <v/>
      </c>
      <c r="L1450" s="30">
        <f>IF(AND(J1450=1,ISNUMBER(G1450)),G1450,"")</f>
        <v/>
      </c>
      <c r="M1450" s="22">
        <f>IF(AND(J1450=1,ISNUMBER(C1450)),C1450,"")</f>
        <v/>
      </c>
      <c r="N1450" s="31">
        <f>IF(AND(J1450=1,ISNUMBER(I1450)),I1450,"")</f>
        <v/>
      </c>
      <c r="O1450" s="11">
        <f>IF(K1450="","",100-IF($G$13=1,50,(_xlfn.RANK.AVG(K1450,$K$19:$K$1518,1)-1)/($G$13-1)*100))</f>
        <v/>
      </c>
      <c r="P1450" s="11">
        <f>IF(L1450="","",100-IF($G$14=1,50,(_xlfn.RANK.AVG(L1450,$L$19:$L$1518,1)-1)/($G$14-1)*100))</f>
        <v/>
      </c>
      <c r="Q1450" s="11">
        <f>IF(M1450="","",IF($G$15=1,50,(_xlfn.RANK.AVG(M1450,$M$19:$M$1518,1)-1)/($G$15-1)*100))</f>
        <v/>
      </c>
      <c r="R1450" s="11">
        <f>IF(N1450="","",IF($G$16=1,50,(_xlfn.RANK.AVG(N1450,$N$19:$N$1518,1)-1)/($G$16-1)*100))</f>
        <v/>
      </c>
      <c r="S1450" s="11">
        <f>IF(COUNT(O1450:R1450)=4,ROUND(AVERAGE(O1450:R1450),6),"")</f>
        <v/>
      </c>
      <c r="U1450">
        <f>IF(AND(ISNUMBER('자료_한국심리'!$A1434),ISNUMBER('자료_한국심리'!$B1434)),'자료_한국심리'!$A1434,"")</f>
        <v/>
      </c>
      <c r="V1450">
        <f>IF(AND(ISNUMBER('자료_한국심리'!$D1434),ISNUMBER('자료_한국심리'!$E1434)),'자료_한국심리'!$D1434,"")</f>
        <v/>
      </c>
      <c r="W1450">
        <f>IF(AND(ISNUMBER('자료_한국심리'!$G1434),ISNUMBER('자료_한국심리'!$H1434)),'자료_한국심리'!$G1434,"")</f>
        <v/>
      </c>
      <c r="X1450">
        <f>IF(AND(ISNUMBER('자료_한국심리'!$J1434),ISNUMBER('자료_한국심리'!$K1434)),'자료_한국심리'!$J1434,"")</f>
        <v/>
      </c>
      <c r="Y1450">
        <f>IF(AND(ISNUMBER('자료_한국심리'!$M1434),ISNUMBER('자료_한국심리'!$N1434)),'자료_한국심리'!$M1434,"")</f>
        <v/>
      </c>
    </row>
    <row r="1451">
      <c r="A1451" s="10">
        <f>IF(1433&gt;$E$5,"",SMALL($U$19:$U$4018,$E$6+1433))</f>
        <v/>
      </c>
      <c r="B1451" s="29">
        <f>IF(A1451="","",INDEX('자료_한국심리'!$B$3:$B$4002,MATCH(A1451,$U$19:$U$4018,0)))</f>
        <v/>
      </c>
      <c r="C1451" s="22">
        <f>IF(A1451="","",B1451/AVERAGE(B1327:B1451)-1)</f>
        <v/>
      </c>
      <c r="D1451" s="29">
        <f>IF(A1451="","",IFERROR(INDEX('자료_한국심리'!$E$3:$E$4002,MATCH(A1451,$V$19:$V$4018,0)),D1450))</f>
        <v/>
      </c>
      <c r="E1451" s="30">
        <f>IF(A1451="","",IFERROR(INDEX('자료_한국심리'!$H$3:$H$4002,MATCH(A1451,$W$19:$W$4018,0)),E1450))</f>
        <v/>
      </c>
      <c r="F1451" s="30">
        <f>IF(A1451="","",IFERROR(INDEX('자료_한국심리'!$K$3:$K$4002,MATCH(A1451,$X$19:$X$4018,0)),F1450))</f>
        <v/>
      </c>
      <c r="G1451" s="30">
        <f>IF(AND(ISNUMBER(E1451),ISNUMBER(F1451)),ROUND(E1451-F1451,6),"")</f>
        <v/>
      </c>
      <c r="H1451" s="25">
        <f>IF(A1451="","",IFERROR(INDEX('자료_한국심리'!$N$3:$N$4002,MATCH(A1451,$Y$19:$Y$4018,0)),H1450))</f>
        <v/>
      </c>
      <c r="I1451" s="31">
        <f>IF(AND(ISNUMBER(H1451),ISNUMBER(H1431)),IF(H1431&gt;0,H1451/H1431-1,""),"")</f>
        <v/>
      </c>
      <c r="J1451">
        <f>IF(A1451="",0,IF(A1451&gt;$B$5,1,0))</f>
        <v/>
      </c>
      <c r="K1451" s="29">
        <f>IF(AND(J1451=1,ISNUMBER(D1451)),D1451,"")</f>
        <v/>
      </c>
      <c r="L1451" s="30">
        <f>IF(AND(J1451=1,ISNUMBER(G1451)),G1451,"")</f>
        <v/>
      </c>
      <c r="M1451" s="22">
        <f>IF(AND(J1451=1,ISNUMBER(C1451)),C1451,"")</f>
        <v/>
      </c>
      <c r="N1451" s="31">
        <f>IF(AND(J1451=1,ISNUMBER(I1451)),I1451,"")</f>
        <v/>
      </c>
      <c r="O1451" s="11">
        <f>IF(K1451="","",100-IF($G$13=1,50,(_xlfn.RANK.AVG(K1451,$K$19:$K$1518,1)-1)/($G$13-1)*100))</f>
        <v/>
      </c>
      <c r="P1451" s="11">
        <f>IF(L1451="","",100-IF($G$14=1,50,(_xlfn.RANK.AVG(L1451,$L$19:$L$1518,1)-1)/($G$14-1)*100))</f>
        <v/>
      </c>
      <c r="Q1451" s="11">
        <f>IF(M1451="","",IF($G$15=1,50,(_xlfn.RANK.AVG(M1451,$M$19:$M$1518,1)-1)/($G$15-1)*100))</f>
        <v/>
      </c>
      <c r="R1451" s="11">
        <f>IF(N1451="","",IF($G$16=1,50,(_xlfn.RANK.AVG(N1451,$N$19:$N$1518,1)-1)/($G$16-1)*100))</f>
        <v/>
      </c>
      <c r="S1451" s="11">
        <f>IF(COUNT(O1451:R1451)=4,ROUND(AVERAGE(O1451:R1451),6),"")</f>
        <v/>
      </c>
      <c r="U1451">
        <f>IF(AND(ISNUMBER('자료_한국심리'!$A1435),ISNUMBER('자료_한국심리'!$B1435)),'자료_한국심리'!$A1435,"")</f>
        <v/>
      </c>
      <c r="V1451">
        <f>IF(AND(ISNUMBER('자료_한국심리'!$D1435),ISNUMBER('자료_한국심리'!$E1435)),'자료_한국심리'!$D1435,"")</f>
        <v/>
      </c>
      <c r="W1451">
        <f>IF(AND(ISNUMBER('자료_한국심리'!$G1435),ISNUMBER('자료_한국심리'!$H1435)),'자료_한국심리'!$G1435,"")</f>
        <v/>
      </c>
      <c r="X1451">
        <f>IF(AND(ISNUMBER('자료_한국심리'!$J1435),ISNUMBER('자료_한국심리'!$K1435)),'자료_한국심리'!$J1435,"")</f>
        <v/>
      </c>
      <c r="Y1451">
        <f>IF(AND(ISNUMBER('자료_한국심리'!$M1435),ISNUMBER('자료_한국심리'!$N1435)),'자료_한국심리'!$M1435,"")</f>
        <v/>
      </c>
    </row>
    <row r="1452">
      <c r="A1452" s="10">
        <f>IF(1434&gt;$E$5,"",SMALL($U$19:$U$4018,$E$6+1434))</f>
        <v/>
      </c>
      <c r="B1452" s="29">
        <f>IF(A1452="","",INDEX('자료_한국심리'!$B$3:$B$4002,MATCH(A1452,$U$19:$U$4018,0)))</f>
        <v/>
      </c>
      <c r="C1452" s="22">
        <f>IF(A1452="","",B1452/AVERAGE(B1328:B1452)-1)</f>
        <v/>
      </c>
      <c r="D1452" s="29">
        <f>IF(A1452="","",IFERROR(INDEX('자료_한국심리'!$E$3:$E$4002,MATCH(A1452,$V$19:$V$4018,0)),D1451))</f>
        <v/>
      </c>
      <c r="E1452" s="30">
        <f>IF(A1452="","",IFERROR(INDEX('자료_한국심리'!$H$3:$H$4002,MATCH(A1452,$W$19:$W$4018,0)),E1451))</f>
        <v/>
      </c>
      <c r="F1452" s="30">
        <f>IF(A1452="","",IFERROR(INDEX('자료_한국심리'!$K$3:$K$4002,MATCH(A1452,$X$19:$X$4018,0)),F1451))</f>
        <v/>
      </c>
      <c r="G1452" s="30">
        <f>IF(AND(ISNUMBER(E1452),ISNUMBER(F1452)),ROUND(E1452-F1452,6),"")</f>
        <v/>
      </c>
      <c r="H1452" s="25">
        <f>IF(A1452="","",IFERROR(INDEX('자료_한국심리'!$N$3:$N$4002,MATCH(A1452,$Y$19:$Y$4018,0)),H1451))</f>
        <v/>
      </c>
      <c r="I1452" s="31">
        <f>IF(AND(ISNUMBER(H1452),ISNUMBER(H1432)),IF(H1432&gt;0,H1452/H1432-1,""),"")</f>
        <v/>
      </c>
      <c r="J1452">
        <f>IF(A1452="",0,IF(A1452&gt;$B$5,1,0))</f>
        <v/>
      </c>
      <c r="K1452" s="29">
        <f>IF(AND(J1452=1,ISNUMBER(D1452)),D1452,"")</f>
        <v/>
      </c>
      <c r="L1452" s="30">
        <f>IF(AND(J1452=1,ISNUMBER(G1452)),G1452,"")</f>
        <v/>
      </c>
      <c r="M1452" s="22">
        <f>IF(AND(J1452=1,ISNUMBER(C1452)),C1452,"")</f>
        <v/>
      </c>
      <c r="N1452" s="31">
        <f>IF(AND(J1452=1,ISNUMBER(I1452)),I1452,"")</f>
        <v/>
      </c>
      <c r="O1452" s="11">
        <f>IF(K1452="","",100-IF($G$13=1,50,(_xlfn.RANK.AVG(K1452,$K$19:$K$1518,1)-1)/($G$13-1)*100))</f>
        <v/>
      </c>
      <c r="P1452" s="11">
        <f>IF(L1452="","",100-IF($G$14=1,50,(_xlfn.RANK.AVG(L1452,$L$19:$L$1518,1)-1)/($G$14-1)*100))</f>
        <v/>
      </c>
      <c r="Q1452" s="11">
        <f>IF(M1452="","",IF($G$15=1,50,(_xlfn.RANK.AVG(M1452,$M$19:$M$1518,1)-1)/($G$15-1)*100))</f>
        <v/>
      </c>
      <c r="R1452" s="11">
        <f>IF(N1452="","",IF($G$16=1,50,(_xlfn.RANK.AVG(N1452,$N$19:$N$1518,1)-1)/($G$16-1)*100))</f>
        <v/>
      </c>
      <c r="S1452" s="11">
        <f>IF(COUNT(O1452:R1452)=4,ROUND(AVERAGE(O1452:R1452),6),"")</f>
        <v/>
      </c>
      <c r="U1452">
        <f>IF(AND(ISNUMBER('자료_한국심리'!$A1436),ISNUMBER('자료_한국심리'!$B1436)),'자료_한국심리'!$A1436,"")</f>
        <v/>
      </c>
      <c r="V1452">
        <f>IF(AND(ISNUMBER('자료_한국심리'!$D1436),ISNUMBER('자료_한국심리'!$E1436)),'자료_한국심리'!$D1436,"")</f>
        <v/>
      </c>
      <c r="W1452">
        <f>IF(AND(ISNUMBER('자료_한국심리'!$G1436),ISNUMBER('자료_한국심리'!$H1436)),'자료_한국심리'!$G1436,"")</f>
        <v/>
      </c>
      <c r="X1452">
        <f>IF(AND(ISNUMBER('자료_한국심리'!$J1436),ISNUMBER('자료_한국심리'!$K1436)),'자료_한국심리'!$J1436,"")</f>
        <v/>
      </c>
      <c r="Y1452">
        <f>IF(AND(ISNUMBER('자료_한국심리'!$M1436),ISNUMBER('자료_한국심리'!$N1436)),'자료_한국심리'!$M1436,"")</f>
        <v/>
      </c>
    </row>
    <row r="1453">
      <c r="A1453" s="10">
        <f>IF(1435&gt;$E$5,"",SMALL($U$19:$U$4018,$E$6+1435))</f>
        <v/>
      </c>
      <c r="B1453" s="29">
        <f>IF(A1453="","",INDEX('자료_한국심리'!$B$3:$B$4002,MATCH(A1453,$U$19:$U$4018,0)))</f>
        <v/>
      </c>
      <c r="C1453" s="22">
        <f>IF(A1453="","",B1453/AVERAGE(B1329:B1453)-1)</f>
        <v/>
      </c>
      <c r="D1453" s="29">
        <f>IF(A1453="","",IFERROR(INDEX('자료_한국심리'!$E$3:$E$4002,MATCH(A1453,$V$19:$V$4018,0)),D1452))</f>
        <v/>
      </c>
      <c r="E1453" s="30">
        <f>IF(A1453="","",IFERROR(INDEX('자료_한국심리'!$H$3:$H$4002,MATCH(A1453,$W$19:$W$4018,0)),E1452))</f>
        <v/>
      </c>
      <c r="F1453" s="30">
        <f>IF(A1453="","",IFERROR(INDEX('자료_한국심리'!$K$3:$K$4002,MATCH(A1453,$X$19:$X$4018,0)),F1452))</f>
        <v/>
      </c>
      <c r="G1453" s="30">
        <f>IF(AND(ISNUMBER(E1453),ISNUMBER(F1453)),ROUND(E1453-F1453,6),"")</f>
        <v/>
      </c>
      <c r="H1453" s="25">
        <f>IF(A1453="","",IFERROR(INDEX('자료_한국심리'!$N$3:$N$4002,MATCH(A1453,$Y$19:$Y$4018,0)),H1452))</f>
        <v/>
      </c>
      <c r="I1453" s="31">
        <f>IF(AND(ISNUMBER(H1453),ISNUMBER(H1433)),IF(H1433&gt;0,H1453/H1433-1,""),"")</f>
        <v/>
      </c>
      <c r="J1453">
        <f>IF(A1453="",0,IF(A1453&gt;$B$5,1,0))</f>
        <v/>
      </c>
      <c r="K1453" s="29">
        <f>IF(AND(J1453=1,ISNUMBER(D1453)),D1453,"")</f>
        <v/>
      </c>
      <c r="L1453" s="30">
        <f>IF(AND(J1453=1,ISNUMBER(G1453)),G1453,"")</f>
        <v/>
      </c>
      <c r="M1453" s="22">
        <f>IF(AND(J1453=1,ISNUMBER(C1453)),C1453,"")</f>
        <v/>
      </c>
      <c r="N1453" s="31">
        <f>IF(AND(J1453=1,ISNUMBER(I1453)),I1453,"")</f>
        <v/>
      </c>
      <c r="O1453" s="11">
        <f>IF(K1453="","",100-IF($G$13=1,50,(_xlfn.RANK.AVG(K1453,$K$19:$K$1518,1)-1)/($G$13-1)*100))</f>
        <v/>
      </c>
      <c r="P1453" s="11">
        <f>IF(L1453="","",100-IF($G$14=1,50,(_xlfn.RANK.AVG(L1453,$L$19:$L$1518,1)-1)/($G$14-1)*100))</f>
        <v/>
      </c>
      <c r="Q1453" s="11">
        <f>IF(M1453="","",IF($G$15=1,50,(_xlfn.RANK.AVG(M1453,$M$19:$M$1518,1)-1)/($G$15-1)*100))</f>
        <v/>
      </c>
      <c r="R1453" s="11">
        <f>IF(N1453="","",IF($G$16=1,50,(_xlfn.RANK.AVG(N1453,$N$19:$N$1518,1)-1)/($G$16-1)*100))</f>
        <v/>
      </c>
      <c r="S1453" s="11">
        <f>IF(COUNT(O1453:R1453)=4,ROUND(AVERAGE(O1453:R1453),6),"")</f>
        <v/>
      </c>
      <c r="U1453">
        <f>IF(AND(ISNUMBER('자료_한국심리'!$A1437),ISNUMBER('자료_한국심리'!$B1437)),'자료_한국심리'!$A1437,"")</f>
        <v/>
      </c>
      <c r="V1453">
        <f>IF(AND(ISNUMBER('자료_한국심리'!$D1437),ISNUMBER('자료_한국심리'!$E1437)),'자료_한국심리'!$D1437,"")</f>
        <v/>
      </c>
      <c r="W1453">
        <f>IF(AND(ISNUMBER('자료_한국심리'!$G1437),ISNUMBER('자료_한국심리'!$H1437)),'자료_한국심리'!$G1437,"")</f>
        <v/>
      </c>
      <c r="X1453">
        <f>IF(AND(ISNUMBER('자료_한국심리'!$J1437),ISNUMBER('자료_한국심리'!$K1437)),'자료_한국심리'!$J1437,"")</f>
        <v/>
      </c>
      <c r="Y1453">
        <f>IF(AND(ISNUMBER('자료_한국심리'!$M1437),ISNUMBER('자료_한국심리'!$N1437)),'자료_한국심리'!$M1437,"")</f>
        <v/>
      </c>
    </row>
    <row r="1454">
      <c r="A1454" s="10">
        <f>IF(1436&gt;$E$5,"",SMALL($U$19:$U$4018,$E$6+1436))</f>
        <v/>
      </c>
      <c r="B1454" s="29">
        <f>IF(A1454="","",INDEX('자료_한국심리'!$B$3:$B$4002,MATCH(A1454,$U$19:$U$4018,0)))</f>
        <v/>
      </c>
      <c r="C1454" s="22">
        <f>IF(A1454="","",B1454/AVERAGE(B1330:B1454)-1)</f>
        <v/>
      </c>
      <c r="D1454" s="29">
        <f>IF(A1454="","",IFERROR(INDEX('자료_한국심리'!$E$3:$E$4002,MATCH(A1454,$V$19:$V$4018,0)),D1453))</f>
        <v/>
      </c>
      <c r="E1454" s="30">
        <f>IF(A1454="","",IFERROR(INDEX('자료_한국심리'!$H$3:$H$4002,MATCH(A1454,$W$19:$W$4018,0)),E1453))</f>
        <v/>
      </c>
      <c r="F1454" s="30">
        <f>IF(A1454="","",IFERROR(INDEX('자료_한국심리'!$K$3:$K$4002,MATCH(A1454,$X$19:$X$4018,0)),F1453))</f>
        <v/>
      </c>
      <c r="G1454" s="30">
        <f>IF(AND(ISNUMBER(E1454),ISNUMBER(F1454)),ROUND(E1454-F1454,6),"")</f>
        <v/>
      </c>
      <c r="H1454" s="25">
        <f>IF(A1454="","",IFERROR(INDEX('자료_한국심리'!$N$3:$N$4002,MATCH(A1454,$Y$19:$Y$4018,0)),H1453))</f>
        <v/>
      </c>
      <c r="I1454" s="31">
        <f>IF(AND(ISNUMBER(H1454),ISNUMBER(H1434)),IF(H1434&gt;0,H1454/H1434-1,""),"")</f>
        <v/>
      </c>
      <c r="J1454">
        <f>IF(A1454="",0,IF(A1454&gt;$B$5,1,0))</f>
        <v/>
      </c>
      <c r="K1454" s="29">
        <f>IF(AND(J1454=1,ISNUMBER(D1454)),D1454,"")</f>
        <v/>
      </c>
      <c r="L1454" s="30">
        <f>IF(AND(J1454=1,ISNUMBER(G1454)),G1454,"")</f>
        <v/>
      </c>
      <c r="M1454" s="22">
        <f>IF(AND(J1454=1,ISNUMBER(C1454)),C1454,"")</f>
        <v/>
      </c>
      <c r="N1454" s="31">
        <f>IF(AND(J1454=1,ISNUMBER(I1454)),I1454,"")</f>
        <v/>
      </c>
      <c r="O1454" s="11">
        <f>IF(K1454="","",100-IF($G$13=1,50,(_xlfn.RANK.AVG(K1454,$K$19:$K$1518,1)-1)/($G$13-1)*100))</f>
        <v/>
      </c>
      <c r="P1454" s="11">
        <f>IF(L1454="","",100-IF($G$14=1,50,(_xlfn.RANK.AVG(L1454,$L$19:$L$1518,1)-1)/($G$14-1)*100))</f>
        <v/>
      </c>
      <c r="Q1454" s="11">
        <f>IF(M1454="","",IF($G$15=1,50,(_xlfn.RANK.AVG(M1454,$M$19:$M$1518,1)-1)/($G$15-1)*100))</f>
        <v/>
      </c>
      <c r="R1454" s="11">
        <f>IF(N1454="","",IF($G$16=1,50,(_xlfn.RANK.AVG(N1454,$N$19:$N$1518,1)-1)/($G$16-1)*100))</f>
        <v/>
      </c>
      <c r="S1454" s="11">
        <f>IF(COUNT(O1454:R1454)=4,ROUND(AVERAGE(O1454:R1454),6),"")</f>
        <v/>
      </c>
      <c r="U1454">
        <f>IF(AND(ISNUMBER('자료_한국심리'!$A1438),ISNUMBER('자료_한국심리'!$B1438)),'자료_한국심리'!$A1438,"")</f>
        <v/>
      </c>
      <c r="V1454">
        <f>IF(AND(ISNUMBER('자료_한국심리'!$D1438),ISNUMBER('자료_한국심리'!$E1438)),'자료_한국심리'!$D1438,"")</f>
        <v/>
      </c>
      <c r="W1454">
        <f>IF(AND(ISNUMBER('자료_한국심리'!$G1438),ISNUMBER('자료_한국심리'!$H1438)),'자료_한국심리'!$G1438,"")</f>
        <v/>
      </c>
      <c r="X1454">
        <f>IF(AND(ISNUMBER('자료_한국심리'!$J1438),ISNUMBER('자료_한국심리'!$K1438)),'자료_한국심리'!$J1438,"")</f>
        <v/>
      </c>
      <c r="Y1454">
        <f>IF(AND(ISNUMBER('자료_한국심리'!$M1438),ISNUMBER('자료_한국심리'!$N1438)),'자료_한국심리'!$M1438,"")</f>
        <v/>
      </c>
    </row>
    <row r="1455">
      <c r="A1455" s="10">
        <f>IF(1437&gt;$E$5,"",SMALL($U$19:$U$4018,$E$6+1437))</f>
        <v/>
      </c>
      <c r="B1455" s="29">
        <f>IF(A1455="","",INDEX('자료_한국심리'!$B$3:$B$4002,MATCH(A1455,$U$19:$U$4018,0)))</f>
        <v/>
      </c>
      <c r="C1455" s="22">
        <f>IF(A1455="","",B1455/AVERAGE(B1331:B1455)-1)</f>
        <v/>
      </c>
      <c r="D1455" s="29">
        <f>IF(A1455="","",IFERROR(INDEX('자료_한국심리'!$E$3:$E$4002,MATCH(A1455,$V$19:$V$4018,0)),D1454))</f>
        <v/>
      </c>
      <c r="E1455" s="30">
        <f>IF(A1455="","",IFERROR(INDEX('자료_한국심리'!$H$3:$H$4002,MATCH(A1455,$W$19:$W$4018,0)),E1454))</f>
        <v/>
      </c>
      <c r="F1455" s="30">
        <f>IF(A1455="","",IFERROR(INDEX('자료_한국심리'!$K$3:$K$4002,MATCH(A1455,$X$19:$X$4018,0)),F1454))</f>
        <v/>
      </c>
      <c r="G1455" s="30">
        <f>IF(AND(ISNUMBER(E1455),ISNUMBER(F1455)),ROUND(E1455-F1455,6),"")</f>
        <v/>
      </c>
      <c r="H1455" s="25">
        <f>IF(A1455="","",IFERROR(INDEX('자료_한국심리'!$N$3:$N$4002,MATCH(A1455,$Y$19:$Y$4018,0)),H1454))</f>
        <v/>
      </c>
      <c r="I1455" s="31">
        <f>IF(AND(ISNUMBER(H1455),ISNUMBER(H1435)),IF(H1435&gt;0,H1455/H1435-1,""),"")</f>
        <v/>
      </c>
      <c r="J1455">
        <f>IF(A1455="",0,IF(A1455&gt;$B$5,1,0))</f>
        <v/>
      </c>
      <c r="K1455" s="29">
        <f>IF(AND(J1455=1,ISNUMBER(D1455)),D1455,"")</f>
        <v/>
      </c>
      <c r="L1455" s="30">
        <f>IF(AND(J1455=1,ISNUMBER(G1455)),G1455,"")</f>
        <v/>
      </c>
      <c r="M1455" s="22">
        <f>IF(AND(J1455=1,ISNUMBER(C1455)),C1455,"")</f>
        <v/>
      </c>
      <c r="N1455" s="31">
        <f>IF(AND(J1455=1,ISNUMBER(I1455)),I1455,"")</f>
        <v/>
      </c>
      <c r="O1455" s="11">
        <f>IF(K1455="","",100-IF($G$13=1,50,(_xlfn.RANK.AVG(K1455,$K$19:$K$1518,1)-1)/($G$13-1)*100))</f>
        <v/>
      </c>
      <c r="P1455" s="11">
        <f>IF(L1455="","",100-IF($G$14=1,50,(_xlfn.RANK.AVG(L1455,$L$19:$L$1518,1)-1)/($G$14-1)*100))</f>
        <v/>
      </c>
      <c r="Q1455" s="11">
        <f>IF(M1455="","",IF($G$15=1,50,(_xlfn.RANK.AVG(M1455,$M$19:$M$1518,1)-1)/($G$15-1)*100))</f>
        <v/>
      </c>
      <c r="R1455" s="11">
        <f>IF(N1455="","",IF($G$16=1,50,(_xlfn.RANK.AVG(N1455,$N$19:$N$1518,1)-1)/($G$16-1)*100))</f>
        <v/>
      </c>
      <c r="S1455" s="11">
        <f>IF(COUNT(O1455:R1455)=4,ROUND(AVERAGE(O1455:R1455),6),"")</f>
        <v/>
      </c>
      <c r="U1455">
        <f>IF(AND(ISNUMBER('자료_한국심리'!$A1439),ISNUMBER('자료_한국심리'!$B1439)),'자료_한국심리'!$A1439,"")</f>
        <v/>
      </c>
      <c r="V1455">
        <f>IF(AND(ISNUMBER('자료_한국심리'!$D1439),ISNUMBER('자료_한국심리'!$E1439)),'자료_한국심리'!$D1439,"")</f>
        <v/>
      </c>
      <c r="W1455">
        <f>IF(AND(ISNUMBER('자료_한국심리'!$G1439),ISNUMBER('자료_한국심리'!$H1439)),'자료_한국심리'!$G1439,"")</f>
        <v/>
      </c>
      <c r="X1455">
        <f>IF(AND(ISNUMBER('자료_한국심리'!$J1439),ISNUMBER('자료_한국심리'!$K1439)),'자료_한국심리'!$J1439,"")</f>
        <v/>
      </c>
      <c r="Y1455">
        <f>IF(AND(ISNUMBER('자료_한국심리'!$M1439),ISNUMBER('자료_한국심리'!$N1439)),'자료_한국심리'!$M1439,"")</f>
        <v/>
      </c>
    </row>
    <row r="1456">
      <c r="A1456" s="10">
        <f>IF(1438&gt;$E$5,"",SMALL($U$19:$U$4018,$E$6+1438))</f>
        <v/>
      </c>
      <c r="B1456" s="29">
        <f>IF(A1456="","",INDEX('자료_한국심리'!$B$3:$B$4002,MATCH(A1456,$U$19:$U$4018,0)))</f>
        <v/>
      </c>
      <c r="C1456" s="22">
        <f>IF(A1456="","",B1456/AVERAGE(B1332:B1456)-1)</f>
        <v/>
      </c>
      <c r="D1456" s="29">
        <f>IF(A1456="","",IFERROR(INDEX('자료_한국심리'!$E$3:$E$4002,MATCH(A1456,$V$19:$V$4018,0)),D1455))</f>
        <v/>
      </c>
      <c r="E1456" s="30">
        <f>IF(A1456="","",IFERROR(INDEX('자료_한국심리'!$H$3:$H$4002,MATCH(A1456,$W$19:$W$4018,0)),E1455))</f>
        <v/>
      </c>
      <c r="F1456" s="30">
        <f>IF(A1456="","",IFERROR(INDEX('자료_한국심리'!$K$3:$K$4002,MATCH(A1456,$X$19:$X$4018,0)),F1455))</f>
        <v/>
      </c>
      <c r="G1456" s="30">
        <f>IF(AND(ISNUMBER(E1456),ISNUMBER(F1456)),ROUND(E1456-F1456,6),"")</f>
        <v/>
      </c>
      <c r="H1456" s="25">
        <f>IF(A1456="","",IFERROR(INDEX('자료_한국심리'!$N$3:$N$4002,MATCH(A1456,$Y$19:$Y$4018,0)),H1455))</f>
        <v/>
      </c>
      <c r="I1456" s="31">
        <f>IF(AND(ISNUMBER(H1456),ISNUMBER(H1436)),IF(H1436&gt;0,H1456/H1436-1,""),"")</f>
        <v/>
      </c>
      <c r="J1456">
        <f>IF(A1456="",0,IF(A1456&gt;$B$5,1,0))</f>
        <v/>
      </c>
      <c r="K1456" s="29">
        <f>IF(AND(J1456=1,ISNUMBER(D1456)),D1456,"")</f>
        <v/>
      </c>
      <c r="L1456" s="30">
        <f>IF(AND(J1456=1,ISNUMBER(G1456)),G1456,"")</f>
        <v/>
      </c>
      <c r="M1456" s="22">
        <f>IF(AND(J1456=1,ISNUMBER(C1456)),C1456,"")</f>
        <v/>
      </c>
      <c r="N1456" s="31">
        <f>IF(AND(J1456=1,ISNUMBER(I1456)),I1456,"")</f>
        <v/>
      </c>
      <c r="O1456" s="11">
        <f>IF(K1456="","",100-IF($G$13=1,50,(_xlfn.RANK.AVG(K1456,$K$19:$K$1518,1)-1)/($G$13-1)*100))</f>
        <v/>
      </c>
      <c r="P1456" s="11">
        <f>IF(L1456="","",100-IF($G$14=1,50,(_xlfn.RANK.AVG(L1456,$L$19:$L$1518,1)-1)/($G$14-1)*100))</f>
        <v/>
      </c>
      <c r="Q1456" s="11">
        <f>IF(M1456="","",IF($G$15=1,50,(_xlfn.RANK.AVG(M1456,$M$19:$M$1518,1)-1)/($G$15-1)*100))</f>
        <v/>
      </c>
      <c r="R1456" s="11">
        <f>IF(N1456="","",IF($G$16=1,50,(_xlfn.RANK.AVG(N1456,$N$19:$N$1518,1)-1)/($G$16-1)*100))</f>
        <v/>
      </c>
      <c r="S1456" s="11">
        <f>IF(COUNT(O1456:R1456)=4,ROUND(AVERAGE(O1456:R1456),6),"")</f>
        <v/>
      </c>
      <c r="U1456">
        <f>IF(AND(ISNUMBER('자료_한국심리'!$A1440),ISNUMBER('자료_한국심리'!$B1440)),'자료_한국심리'!$A1440,"")</f>
        <v/>
      </c>
      <c r="V1456">
        <f>IF(AND(ISNUMBER('자료_한국심리'!$D1440),ISNUMBER('자료_한국심리'!$E1440)),'자료_한국심리'!$D1440,"")</f>
        <v/>
      </c>
      <c r="W1456">
        <f>IF(AND(ISNUMBER('자료_한국심리'!$G1440),ISNUMBER('자료_한국심리'!$H1440)),'자료_한국심리'!$G1440,"")</f>
        <v/>
      </c>
      <c r="X1456">
        <f>IF(AND(ISNUMBER('자료_한국심리'!$J1440),ISNUMBER('자료_한국심리'!$K1440)),'자료_한국심리'!$J1440,"")</f>
        <v/>
      </c>
      <c r="Y1456">
        <f>IF(AND(ISNUMBER('자료_한국심리'!$M1440),ISNUMBER('자료_한국심리'!$N1440)),'자료_한국심리'!$M1440,"")</f>
        <v/>
      </c>
    </row>
    <row r="1457">
      <c r="A1457" s="10">
        <f>IF(1439&gt;$E$5,"",SMALL($U$19:$U$4018,$E$6+1439))</f>
        <v/>
      </c>
      <c r="B1457" s="29">
        <f>IF(A1457="","",INDEX('자료_한국심리'!$B$3:$B$4002,MATCH(A1457,$U$19:$U$4018,0)))</f>
        <v/>
      </c>
      <c r="C1457" s="22">
        <f>IF(A1457="","",B1457/AVERAGE(B1333:B1457)-1)</f>
        <v/>
      </c>
      <c r="D1457" s="29">
        <f>IF(A1457="","",IFERROR(INDEX('자료_한국심리'!$E$3:$E$4002,MATCH(A1457,$V$19:$V$4018,0)),D1456))</f>
        <v/>
      </c>
      <c r="E1457" s="30">
        <f>IF(A1457="","",IFERROR(INDEX('자료_한국심리'!$H$3:$H$4002,MATCH(A1457,$W$19:$W$4018,0)),E1456))</f>
        <v/>
      </c>
      <c r="F1457" s="30">
        <f>IF(A1457="","",IFERROR(INDEX('자료_한국심리'!$K$3:$K$4002,MATCH(A1457,$X$19:$X$4018,0)),F1456))</f>
        <v/>
      </c>
      <c r="G1457" s="30">
        <f>IF(AND(ISNUMBER(E1457),ISNUMBER(F1457)),ROUND(E1457-F1457,6),"")</f>
        <v/>
      </c>
      <c r="H1457" s="25">
        <f>IF(A1457="","",IFERROR(INDEX('자료_한국심리'!$N$3:$N$4002,MATCH(A1457,$Y$19:$Y$4018,0)),H1456))</f>
        <v/>
      </c>
      <c r="I1457" s="31">
        <f>IF(AND(ISNUMBER(H1457),ISNUMBER(H1437)),IF(H1437&gt;0,H1457/H1437-1,""),"")</f>
        <v/>
      </c>
      <c r="J1457">
        <f>IF(A1457="",0,IF(A1457&gt;$B$5,1,0))</f>
        <v/>
      </c>
      <c r="K1457" s="29">
        <f>IF(AND(J1457=1,ISNUMBER(D1457)),D1457,"")</f>
        <v/>
      </c>
      <c r="L1457" s="30">
        <f>IF(AND(J1457=1,ISNUMBER(G1457)),G1457,"")</f>
        <v/>
      </c>
      <c r="M1457" s="22">
        <f>IF(AND(J1457=1,ISNUMBER(C1457)),C1457,"")</f>
        <v/>
      </c>
      <c r="N1457" s="31">
        <f>IF(AND(J1457=1,ISNUMBER(I1457)),I1457,"")</f>
        <v/>
      </c>
      <c r="O1457" s="11">
        <f>IF(K1457="","",100-IF($G$13=1,50,(_xlfn.RANK.AVG(K1457,$K$19:$K$1518,1)-1)/($G$13-1)*100))</f>
        <v/>
      </c>
      <c r="P1457" s="11">
        <f>IF(L1457="","",100-IF($G$14=1,50,(_xlfn.RANK.AVG(L1457,$L$19:$L$1518,1)-1)/($G$14-1)*100))</f>
        <v/>
      </c>
      <c r="Q1457" s="11">
        <f>IF(M1457="","",IF($G$15=1,50,(_xlfn.RANK.AVG(M1457,$M$19:$M$1518,1)-1)/($G$15-1)*100))</f>
        <v/>
      </c>
      <c r="R1457" s="11">
        <f>IF(N1457="","",IF($G$16=1,50,(_xlfn.RANK.AVG(N1457,$N$19:$N$1518,1)-1)/($G$16-1)*100))</f>
        <v/>
      </c>
      <c r="S1457" s="11">
        <f>IF(COUNT(O1457:R1457)=4,ROUND(AVERAGE(O1457:R1457),6),"")</f>
        <v/>
      </c>
      <c r="U1457">
        <f>IF(AND(ISNUMBER('자료_한국심리'!$A1441),ISNUMBER('자료_한국심리'!$B1441)),'자료_한국심리'!$A1441,"")</f>
        <v/>
      </c>
      <c r="V1457">
        <f>IF(AND(ISNUMBER('자료_한국심리'!$D1441),ISNUMBER('자료_한국심리'!$E1441)),'자료_한국심리'!$D1441,"")</f>
        <v/>
      </c>
      <c r="W1457">
        <f>IF(AND(ISNUMBER('자료_한국심리'!$G1441),ISNUMBER('자료_한국심리'!$H1441)),'자료_한국심리'!$G1441,"")</f>
        <v/>
      </c>
      <c r="X1457">
        <f>IF(AND(ISNUMBER('자료_한국심리'!$J1441),ISNUMBER('자료_한국심리'!$K1441)),'자료_한국심리'!$J1441,"")</f>
        <v/>
      </c>
      <c r="Y1457">
        <f>IF(AND(ISNUMBER('자료_한국심리'!$M1441),ISNUMBER('자료_한국심리'!$N1441)),'자료_한국심리'!$M1441,"")</f>
        <v/>
      </c>
    </row>
    <row r="1458">
      <c r="A1458" s="10">
        <f>IF(1440&gt;$E$5,"",SMALL($U$19:$U$4018,$E$6+1440))</f>
        <v/>
      </c>
      <c r="B1458" s="29">
        <f>IF(A1458="","",INDEX('자료_한국심리'!$B$3:$B$4002,MATCH(A1458,$U$19:$U$4018,0)))</f>
        <v/>
      </c>
      <c r="C1458" s="22">
        <f>IF(A1458="","",B1458/AVERAGE(B1334:B1458)-1)</f>
        <v/>
      </c>
      <c r="D1458" s="29">
        <f>IF(A1458="","",IFERROR(INDEX('자료_한국심리'!$E$3:$E$4002,MATCH(A1458,$V$19:$V$4018,0)),D1457))</f>
        <v/>
      </c>
      <c r="E1458" s="30">
        <f>IF(A1458="","",IFERROR(INDEX('자료_한국심리'!$H$3:$H$4002,MATCH(A1458,$W$19:$W$4018,0)),E1457))</f>
        <v/>
      </c>
      <c r="F1458" s="30">
        <f>IF(A1458="","",IFERROR(INDEX('자료_한국심리'!$K$3:$K$4002,MATCH(A1458,$X$19:$X$4018,0)),F1457))</f>
        <v/>
      </c>
      <c r="G1458" s="30">
        <f>IF(AND(ISNUMBER(E1458),ISNUMBER(F1458)),ROUND(E1458-F1458,6),"")</f>
        <v/>
      </c>
      <c r="H1458" s="25">
        <f>IF(A1458="","",IFERROR(INDEX('자료_한국심리'!$N$3:$N$4002,MATCH(A1458,$Y$19:$Y$4018,0)),H1457))</f>
        <v/>
      </c>
      <c r="I1458" s="31">
        <f>IF(AND(ISNUMBER(H1458),ISNUMBER(H1438)),IF(H1438&gt;0,H1458/H1438-1,""),"")</f>
        <v/>
      </c>
      <c r="J1458">
        <f>IF(A1458="",0,IF(A1458&gt;$B$5,1,0))</f>
        <v/>
      </c>
      <c r="K1458" s="29">
        <f>IF(AND(J1458=1,ISNUMBER(D1458)),D1458,"")</f>
        <v/>
      </c>
      <c r="L1458" s="30">
        <f>IF(AND(J1458=1,ISNUMBER(G1458)),G1458,"")</f>
        <v/>
      </c>
      <c r="M1458" s="22">
        <f>IF(AND(J1458=1,ISNUMBER(C1458)),C1458,"")</f>
        <v/>
      </c>
      <c r="N1458" s="31">
        <f>IF(AND(J1458=1,ISNUMBER(I1458)),I1458,"")</f>
        <v/>
      </c>
      <c r="O1458" s="11">
        <f>IF(K1458="","",100-IF($G$13=1,50,(_xlfn.RANK.AVG(K1458,$K$19:$K$1518,1)-1)/($G$13-1)*100))</f>
        <v/>
      </c>
      <c r="P1458" s="11">
        <f>IF(L1458="","",100-IF($G$14=1,50,(_xlfn.RANK.AVG(L1458,$L$19:$L$1518,1)-1)/($G$14-1)*100))</f>
        <v/>
      </c>
      <c r="Q1458" s="11">
        <f>IF(M1458="","",IF($G$15=1,50,(_xlfn.RANK.AVG(M1458,$M$19:$M$1518,1)-1)/($G$15-1)*100))</f>
        <v/>
      </c>
      <c r="R1458" s="11">
        <f>IF(N1458="","",IF($G$16=1,50,(_xlfn.RANK.AVG(N1458,$N$19:$N$1518,1)-1)/($G$16-1)*100))</f>
        <v/>
      </c>
      <c r="S1458" s="11">
        <f>IF(COUNT(O1458:R1458)=4,ROUND(AVERAGE(O1458:R1458),6),"")</f>
        <v/>
      </c>
      <c r="U1458">
        <f>IF(AND(ISNUMBER('자료_한국심리'!$A1442),ISNUMBER('자료_한국심리'!$B1442)),'자료_한국심리'!$A1442,"")</f>
        <v/>
      </c>
      <c r="V1458">
        <f>IF(AND(ISNUMBER('자료_한국심리'!$D1442),ISNUMBER('자료_한국심리'!$E1442)),'자료_한국심리'!$D1442,"")</f>
        <v/>
      </c>
      <c r="W1458">
        <f>IF(AND(ISNUMBER('자료_한국심리'!$G1442),ISNUMBER('자료_한국심리'!$H1442)),'자료_한국심리'!$G1442,"")</f>
        <v/>
      </c>
      <c r="X1458">
        <f>IF(AND(ISNUMBER('자료_한국심리'!$J1442),ISNUMBER('자료_한국심리'!$K1442)),'자료_한국심리'!$J1442,"")</f>
        <v/>
      </c>
      <c r="Y1458">
        <f>IF(AND(ISNUMBER('자료_한국심리'!$M1442),ISNUMBER('자료_한국심리'!$N1442)),'자료_한국심리'!$M1442,"")</f>
        <v/>
      </c>
    </row>
    <row r="1459">
      <c r="A1459" s="10">
        <f>IF(1441&gt;$E$5,"",SMALL($U$19:$U$4018,$E$6+1441))</f>
        <v/>
      </c>
      <c r="B1459" s="29">
        <f>IF(A1459="","",INDEX('자료_한국심리'!$B$3:$B$4002,MATCH(A1459,$U$19:$U$4018,0)))</f>
        <v/>
      </c>
      <c r="C1459" s="22">
        <f>IF(A1459="","",B1459/AVERAGE(B1335:B1459)-1)</f>
        <v/>
      </c>
      <c r="D1459" s="29">
        <f>IF(A1459="","",IFERROR(INDEX('자료_한국심리'!$E$3:$E$4002,MATCH(A1459,$V$19:$V$4018,0)),D1458))</f>
        <v/>
      </c>
      <c r="E1459" s="30">
        <f>IF(A1459="","",IFERROR(INDEX('자료_한국심리'!$H$3:$H$4002,MATCH(A1459,$W$19:$W$4018,0)),E1458))</f>
        <v/>
      </c>
      <c r="F1459" s="30">
        <f>IF(A1459="","",IFERROR(INDEX('자료_한국심리'!$K$3:$K$4002,MATCH(A1459,$X$19:$X$4018,0)),F1458))</f>
        <v/>
      </c>
      <c r="G1459" s="30">
        <f>IF(AND(ISNUMBER(E1459),ISNUMBER(F1459)),ROUND(E1459-F1459,6),"")</f>
        <v/>
      </c>
      <c r="H1459" s="25">
        <f>IF(A1459="","",IFERROR(INDEX('자료_한국심리'!$N$3:$N$4002,MATCH(A1459,$Y$19:$Y$4018,0)),H1458))</f>
        <v/>
      </c>
      <c r="I1459" s="31">
        <f>IF(AND(ISNUMBER(H1459),ISNUMBER(H1439)),IF(H1439&gt;0,H1459/H1439-1,""),"")</f>
        <v/>
      </c>
      <c r="J1459">
        <f>IF(A1459="",0,IF(A1459&gt;$B$5,1,0))</f>
        <v/>
      </c>
      <c r="K1459" s="29">
        <f>IF(AND(J1459=1,ISNUMBER(D1459)),D1459,"")</f>
        <v/>
      </c>
      <c r="L1459" s="30">
        <f>IF(AND(J1459=1,ISNUMBER(G1459)),G1459,"")</f>
        <v/>
      </c>
      <c r="M1459" s="22">
        <f>IF(AND(J1459=1,ISNUMBER(C1459)),C1459,"")</f>
        <v/>
      </c>
      <c r="N1459" s="31">
        <f>IF(AND(J1459=1,ISNUMBER(I1459)),I1459,"")</f>
        <v/>
      </c>
      <c r="O1459" s="11">
        <f>IF(K1459="","",100-IF($G$13=1,50,(_xlfn.RANK.AVG(K1459,$K$19:$K$1518,1)-1)/($G$13-1)*100))</f>
        <v/>
      </c>
      <c r="P1459" s="11">
        <f>IF(L1459="","",100-IF($G$14=1,50,(_xlfn.RANK.AVG(L1459,$L$19:$L$1518,1)-1)/($G$14-1)*100))</f>
        <v/>
      </c>
      <c r="Q1459" s="11">
        <f>IF(M1459="","",IF($G$15=1,50,(_xlfn.RANK.AVG(M1459,$M$19:$M$1518,1)-1)/($G$15-1)*100))</f>
        <v/>
      </c>
      <c r="R1459" s="11">
        <f>IF(N1459="","",IF($G$16=1,50,(_xlfn.RANK.AVG(N1459,$N$19:$N$1518,1)-1)/($G$16-1)*100))</f>
        <v/>
      </c>
      <c r="S1459" s="11">
        <f>IF(COUNT(O1459:R1459)=4,ROUND(AVERAGE(O1459:R1459),6),"")</f>
        <v/>
      </c>
      <c r="U1459">
        <f>IF(AND(ISNUMBER('자료_한국심리'!$A1443),ISNUMBER('자료_한국심리'!$B1443)),'자료_한국심리'!$A1443,"")</f>
        <v/>
      </c>
      <c r="V1459">
        <f>IF(AND(ISNUMBER('자료_한국심리'!$D1443),ISNUMBER('자료_한국심리'!$E1443)),'자료_한국심리'!$D1443,"")</f>
        <v/>
      </c>
      <c r="W1459">
        <f>IF(AND(ISNUMBER('자료_한국심리'!$G1443),ISNUMBER('자료_한국심리'!$H1443)),'자료_한국심리'!$G1443,"")</f>
        <v/>
      </c>
      <c r="X1459">
        <f>IF(AND(ISNUMBER('자료_한국심리'!$J1443),ISNUMBER('자료_한국심리'!$K1443)),'자료_한국심리'!$J1443,"")</f>
        <v/>
      </c>
      <c r="Y1459">
        <f>IF(AND(ISNUMBER('자료_한국심리'!$M1443),ISNUMBER('자료_한국심리'!$N1443)),'자료_한국심리'!$M1443,"")</f>
        <v/>
      </c>
    </row>
    <row r="1460">
      <c r="A1460" s="10">
        <f>IF(1442&gt;$E$5,"",SMALL($U$19:$U$4018,$E$6+1442))</f>
        <v/>
      </c>
      <c r="B1460" s="29">
        <f>IF(A1460="","",INDEX('자료_한국심리'!$B$3:$B$4002,MATCH(A1460,$U$19:$U$4018,0)))</f>
        <v/>
      </c>
      <c r="C1460" s="22">
        <f>IF(A1460="","",B1460/AVERAGE(B1336:B1460)-1)</f>
        <v/>
      </c>
      <c r="D1460" s="29">
        <f>IF(A1460="","",IFERROR(INDEX('자료_한국심리'!$E$3:$E$4002,MATCH(A1460,$V$19:$V$4018,0)),D1459))</f>
        <v/>
      </c>
      <c r="E1460" s="30">
        <f>IF(A1460="","",IFERROR(INDEX('자료_한국심리'!$H$3:$H$4002,MATCH(A1460,$W$19:$W$4018,0)),E1459))</f>
        <v/>
      </c>
      <c r="F1460" s="30">
        <f>IF(A1460="","",IFERROR(INDEX('자료_한국심리'!$K$3:$K$4002,MATCH(A1460,$X$19:$X$4018,0)),F1459))</f>
        <v/>
      </c>
      <c r="G1460" s="30">
        <f>IF(AND(ISNUMBER(E1460),ISNUMBER(F1460)),ROUND(E1460-F1460,6),"")</f>
        <v/>
      </c>
      <c r="H1460" s="25">
        <f>IF(A1460="","",IFERROR(INDEX('자료_한국심리'!$N$3:$N$4002,MATCH(A1460,$Y$19:$Y$4018,0)),H1459))</f>
        <v/>
      </c>
      <c r="I1460" s="31">
        <f>IF(AND(ISNUMBER(H1460),ISNUMBER(H1440)),IF(H1440&gt;0,H1460/H1440-1,""),"")</f>
        <v/>
      </c>
      <c r="J1460">
        <f>IF(A1460="",0,IF(A1460&gt;$B$5,1,0))</f>
        <v/>
      </c>
      <c r="K1460" s="29">
        <f>IF(AND(J1460=1,ISNUMBER(D1460)),D1460,"")</f>
        <v/>
      </c>
      <c r="L1460" s="30">
        <f>IF(AND(J1460=1,ISNUMBER(G1460)),G1460,"")</f>
        <v/>
      </c>
      <c r="M1460" s="22">
        <f>IF(AND(J1460=1,ISNUMBER(C1460)),C1460,"")</f>
        <v/>
      </c>
      <c r="N1460" s="31">
        <f>IF(AND(J1460=1,ISNUMBER(I1460)),I1460,"")</f>
        <v/>
      </c>
      <c r="O1460" s="11">
        <f>IF(K1460="","",100-IF($G$13=1,50,(_xlfn.RANK.AVG(K1460,$K$19:$K$1518,1)-1)/($G$13-1)*100))</f>
        <v/>
      </c>
      <c r="P1460" s="11">
        <f>IF(L1460="","",100-IF($G$14=1,50,(_xlfn.RANK.AVG(L1460,$L$19:$L$1518,1)-1)/($G$14-1)*100))</f>
        <v/>
      </c>
      <c r="Q1460" s="11">
        <f>IF(M1460="","",IF($G$15=1,50,(_xlfn.RANK.AVG(M1460,$M$19:$M$1518,1)-1)/($G$15-1)*100))</f>
        <v/>
      </c>
      <c r="R1460" s="11">
        <f>IF(N1460="","",IF($G$16=1,50,(_xlfn.RANK.AVG(N1460,$N$19:$N$1518,1)-1)/($G$16-1)*100))</f>
        <v/>
      </c>
      <c r="S1460" s="11">
        <f>IF(COUNT(O1460:R1460)=4,ROUND(AVERAGE(O1460:R1460),6),"")</f>
        <v/>
      </c>
      <c r="U1460">
        <f>IF(AND(ISNUMBER('자료_한국심리'!$A1444),ISNUMBER('자료_한국심리'!$B1444)),'자료_한국심리'!$A1444,"")</f>
        <v/>
      </c>
      <c r="V1460">
        <f>IF(AND(ISNUMBER('자료_한국심리'!$D1444),ISNUMBER('자료_한국심리'!$E1444)),'자료_한국심리'!$D1444,"")</f>
        <v/>
      </c>
      <c r="W1460">
        <f>IF(AND(ISNUMBER('자료_한국심리'!$G1444),ISNUMBER('자료_한국심리'!$H1444)),'자료_한국심리'!$G1444,"")</f>
        <v/>
      </c>
      <c r="X1460">
        <f>IF(AND(ISNUMBER('자료_한국심리'!$J1444),ISNUMBER('자료_한국심리'!$K1444)),'자료_한국심리'!$J1444,"")</f>
        <v/>
      </c>
      <c r="Y1460">
        <f>IF(AND(ISNUMBER('자료_한국심리'!$M1444),ISNUMBER('자료_한국심리'!$N1444)),'자료_한국심리'!$M1444,"")</f>
        <v/>
      </c>
    </row>
    <row r="1461">
      <c r="A1461" s="10">
        <f>IF(1443&gt;$E$5,"",SMALL($U$19:$U$4018,$E$6+1443))</f>
        <v/>
      </c>
      <c r="B1461" s="29">
        <f>IF(A1461="","",INDEX('자료_한국심리'!$B$3:$B$4002,MATCH(A1461,$U$19:$U$4018,0)))</f>
        <v/>
      </c>
      <c r="C1461" s="22">
        <f>IF(A1461="","",B1461/AVERAGE(B1337:B1461)-1)</f>
        <v/>
      </c>
      <c r="D1461" s="29">
        <f>IF(A1461="","",IFERROR(INDEX('자료_한국심리'!$E$3:$E$4002,MATCH(A1461,$V$19:$V$4018,0)),D1460))</f>
        <v/>
      </c>
      <c r="E1461" s="30">
        <f>IF(A1461="","",IFERROR(INDEX('자료_한국심리'!$H$3:$H$4002,MATCH(A1461,$W$19:$W$4018,0)),E1460))</f>
        <v/>
      </c>
      <c r="F1461" s="30">
        <f>IF(A1461="","",IFERROR(INDEX('자료_한국심리'!$K$3:$K$4002,MATCH(A1461,$X$19:$X$4018,0)),F1460))</f>
        <v/>
      </c>
      <c r="G1461" s="30">
        <f>IF(AND(ISNUMBER(E1461),ISNUMBER(F1461)),ROUND(E1461-F1461,6),"")</f>
        <v/>
      </c>
      <c r="H1461" s="25">
        <f>IF(A1461="","",IFERROR(INDEX('자료_한국심리'!$N$3:$N$4002,MATCH(A1461,$Y$19:$Y$4018,0)),H1460))</f>
        <v/>
      </c>
      <c r="I1461" s="31">
        <f>IF(AND(ISNUMBER(H1461),ISNUMBER(H1441)),IF(H1441&gt;0,H1461/H1441-1,""),"")</f>
        <v/>
      </c>
      <c r="J1461">
        <f>IF(A1461="",0,IF(A1461&gt;$B$5,1,0))</f>
        <v/>
      </c>
      <c r="K1461" s="29">
        <f>IF(AND(J1461=1,ISNUMBER(D1461)),D1461,"")</f>
        <v/>
      </c>
      <c r="L1461" s="30">
        <f>IF(AND(J1461=1,ISNUMBER(G1461)),G1461,"")</f>
        <v/>
      </c>
      <c r="M1461" s="22">
        <f>IF(AND(J1461=1,ISNUMBER(C1461)),C1461,"")</f>
        <v/>
      </c>
      <c r="N1461" s="31">
        <f>IF(AND(J1461=1,ISNUMBER(I1461)),I1461,"")</f>
        <v/>
      </c>
      <c r="O1461" s="11">
        <f>IF(K1461="","",100-IF($G$13=1,50,(_xlfn.RANK.AVG(K1461,$K$19:$K$1518,1)-1)/($G$13-1)*100))</f>
        <v/>
      </c>
      <c r="P1461" s="11">
        <f>IF(L1461="","",100-IF($G$14=1,50,(_xlfn.RANK.AVG(L1461,$L$19:$L$1518,1)-1)/($G$14-1)*100))</f>
        <v/>
      </c>
      <c r="Q1461" s="11">
        <f>IF(M1461="","",IF($G$15=1,50,(_xlfn.RANK.AVG(M1461,$M$19:$M$1518,1)-1)/($G$15-1)*100))</f>
        <v/>
      </c>
      <c r="R1461" s="11">
        <f>IF(N1461="","",IF($G$16=1,50,(_xlfn.RANK.AVG(N1461,$N$19:$N$1518,1)-1)/($G$16-1)*100))</f>
        <v/>
      </c>
      <c r="S1461" s="11">
        <f>IF(COUNT(O1461:R1461)=4,ROUND(AVERAGE(O1461:R1461),6),"")</f>
        <v/>
      </c>
      <c r="U1461">
        <f>IF(AND(ISNUMBER('자료_한국심리'!$A1445),ISNUMBER('자료_한국심리'!$B1445)),'자료_한국심리'!$A1445,"")</f>
        <v/>
      </c>
      <c r="V1461">
        <f>IF(AND(ISNUMBER('자료_한국심리'!$D1445),ISNUMBER('자료_한국심리'!$E1445)),'자료_한국심리'!$D1445,"")</f>
        <v/>
      </c>
      <c r="W1461">
        <f>IF(AND(ISNUMBER('자료_한국심리'!$G1445),ISNUMBER('자료_한국심리'!$H1445)),'자료_한국심리'!$G1445,"")</f>
        <v/>
      </c>
      <c r="X1461">
        <f>IF(AND(ISNUMBER('자료_한국심리'!$J1445),ISNUMBER('자료_한국심리'!$K1445)),'자료_한국심리'!$J1445,"")</f>
        <v/>
      </c>
      <c r="Y1461">
        <f>IF(AND(ISNUMBER('자료_한국심리'!$M1445),ISNUMBER('자료_한국심리'!$N1445)),'자료_한국심리'!$M1445,"")</f>
        <v/>
      </c>
    </row>
    <row r="1462">
      <c r="A1462" s="10">
        <f>IF(1444&gt;$E$5,"",SMALL($U$19:$U$4018,$E$6+1444))</f>
        <v/>
      </c>
      <c r="B1462" s="29">
        <f>IF(A1462="","",INDEX('자료_한국심리'!$B$3:$B$4002,MATCH(A1462,$U$19:$U$4018,0)))</f>
        <v/>
      </c>
      <c r="C1462" s="22">
        <f>IF(A1462="","",B1462/AVERAGE(B1338:B1462)-1)</f>
        <v/>
      </c>
      <c r="D1462" s="29">
        <f>IF(A1462="","",IFERROR(INDEX('자료_한국심리'!$E$3:$E$4002,MATCH(A1462,$V$19:$V$4018,0)),D1461))</f>
        <v/>
      </c>
      <c r="E1462" s="30">
        <f>IF(A1462="","",IFERROR(INDEX('자료_한국심리'!$H$3:$H$4002,MATCH(A1462,$W$19:$W$4018,0)),E1461))</f>
        <v/>
      </c>
      <c r="F1462" s="30">
        <f>IF(A1462="","",IFERROR(INDEX('자료_한국심리'!$K$3:$K$4002,MATCH(A1462,$X$19:$X$4018,0)),F1461))</f>
        <v/>
      </c>
      <c r="G1462" s="30">
        <f>IF(AND(ISNUMBER(E1462),ISNUMBER(F1462)),ROUND(E1462-F1462,6),"")</f>
        <v/>
      </c>
      <c r="H1462" s="25">
        <f>IF(A1462="","",IFERROR(INDEX('자료_한국심리'!$N$3:$N$4002,MATCH(A1462,$Y$19:$Y$4018,0)),H1461))</f>
        <v/>
      </c>
      <c r="I1462" s="31">
        <f>IF(AND(ISNUMBER(H1462),ISNUMBER(H1442)),IF(H1442&gt;0,H1462/H1442-1,""),"")</f>
        <v/>
      </c>
      <c r="J1462">
        <f>IF(A1462="",0,IF(A1462&gt;$B$5,1,0))</f>
        <v/>
      </c>
      <c r="K1462" s="29">
        <f>IF(AND(J1462=1,ISNUMBER(D1462)),D1462,"")</f>
        <v/>
      </c>
      <c r="L1462" s="30">
        <f>IF(AND(J1462=1,ISNUMBER(G1462)),G1462,"")</f>
        <v/>
      </c>
      <c r="M1462" s="22">
        <f>IF(AND(J1462=1,ISNUMBER(C1462)),C1462,"")</f>
        <v/>
      </c>
      <c r="N1462" s="31">
        <f>IF(AND(J1462=1,ISNUMBER(I1462)),I1462,"")</f>
        <v/>
      </c>
      <c r="O1462" s="11">
        <f>IF(K1462="","",100-IF($G$13=1,50,(_xlfn.RANK.AVG(K1462,$K$19:$K$1518,1)-1)/($G$13-1)*100))</f>
        <v/>
      </c>
      <c r="P1462" s="11">
        <f>IF(L1462="","",100-IF($G$14=1,50,(_xlfn.RANK.AVG(L1462,$L$19:$L$1518,1)-1)/($G$14-1)*100))</f>
        <v/>
      </c>
      <c r="Q1462" s="11">
        <f>IF(M1462="","",IF($G$15=1,50,(_xlfn.RANK.AVG(M1462,$M$19:$M$1518,1)-1)/($G$15-1)*100))</f>
        <v/>
      </c>
      <c r="R1462" s="11">
        <f>IF(N1462="","",IF($G$16=1,50,(_xlfn.RANK.AVG(N1462,$N$19:$N$1518,1)-1)/($G$16-1)*100))</f>
        <v/>
      </c>
      <c r="S1462" s="11">
        <f>IF(COUNT(O1462:R1462)=4,ROUND(AVERAGE(O1462:R1462),6),"")</f>
        <v/>
      </c>
      <c r="U1462">
        <f>IF(AND(ISNUMBER('자료_한국심리'!$A1446),ISNUMBER('자료_한국심리'!$B1446)),'자료_한국심리'!$A1446,"")</f>
        <v/>
      </c>
      <c r="V1462">
        <f>IF(AND(ISNUMBER('자료_한국심리'!$D1446),ISNUMBER('자료_한국심리'!$E1446)),'자료_한국심리'!$D1446,"")</f>
        <v/>
      </c>
      <c r="W1462">
        <f>IF(AND(ISNUMBER('자료_한국심리'!$G1446),ISNUMBER('자료_한국심리'!$H1446)),'자료_한국심리'!$G1446,"")</f>
        <v/>
      </c>
      <c r="X1462">
        <f>IF(AND(ISNUMBER('자료_한국심리'!$J1446),ISNUMBER('자료_한국심리'!$K1446)),'자료_한국심리'!$J1446,"")</f>
        <v/>
      </c>
      <c r="Y1462">
        <f>IF(AND(ISNUMBER('자료_한국심리'!$M1446),ISNUMBER('자료_한국심리'!$N1446)),'자료_한국심리'!$M1446,"")</f>
        <v/>
      </c>
    </row>
    <row r="1463">
      <c r="A1463" s="10">
        <f>IF(1445&gt;$E$5,"",SMALL($U$19:$U$4018,$E$6+1445))</f>
        <v/>
      </c>
      <c r="B1463" s="29">
        <f>IF(A1463="","",INDEX('자료_한국심리'!$B$3:$B$4002,MATCH(A1463,$U$19:$U$4018,0)))</f>
        <v/>
      </c>
      <c r="C1463" s="22">
        <f>IF(A1463="","",B1463/AVERAGE(B1339:B1463)-1)</f>
        <v/>
      </c>
      <c r="D1463" s="29">
        <f>IF(A1463="","",IFERROR(INDEX('자료_한국심리'!$E$3:$E$4002,MATCH(A1463,$V$19:$V$4018,0)),D1462))</f>
        <v/>
      </c>
      <c r="E1463" s="30">
        <f>IF(A1463="","",IFERROR(INDEX('자료_한국심리'!$H$3:$H$4002,MATCH(A1463,$W$19:$W$4018,0)),E1462))</f>
        <v/>
      </c>
      <c r="F1463" s="30">
        <f>IF(A1463="","",IFERROR(INDEX('자료_한국심리'!$K$3:$K$4002,MATCH(A1463,$X$19:$X$4018,0)),F1462))</f>
        <v/>
      </c>
      <c r="G1463" s="30">
        <f>IF(AND(ISNUMBER(E1463),ISNUMBER(F1463)),ROUND(E1463-F1463,6),"")</f>
        <v/>
      </c>
      <c r="H1463" s="25">
        <f>IF(A1463="","",IFERROR(INDEX('자료_한국심리'!$N$3:$N$4002,MATCH(A1463,$Y$19:$Y$4018,0)),H1462))</f>
        <v/>
      </c>
      <c r="I1463" s="31">
        <f>IF(AND(ISNUMBER(H1463),ISNUMBER(H1443)),IF(H1443&gt;0,H1463/H1443-1,""),"")</f>
        <v/>
      </c>
      <c r="J1463">
        <f>IF(A1463="",0,IF(A1463&gt;$B$5,1,0))</f>
        <v/>
      </c>
      <c r="K1463" s="29">
        <f>IF(AND(J1463=1,ISNUMBER(D1463)),D1463,"")</f>
        <v/>
      </c>
      <c r="L1463" s="30">
        <f>IF(AND(J1463=1,ISNUMBER(G1463)),G1463,"")</f>
        <v/>
      </c>
      <c r="M1463" s="22">
        <f>IF(AND(J1463=1,ISNUMBER(C1463)),C1463,"")</f>
        <v/>
      </c>
      <c r="N1463" s="31">
        <f>IF(AND(J1463=1,ISNUMBER(I1463)),I1463,"")</f>
        <v/>
      </c>
      <c r="O1463" s="11">
        <f>IF(K1463="","",100-IF($G$13=1,50,(_xlfn.RANK.AVG(K1463,$K$19:$K$1518,1)-1)/($G$13-1)*100))</f>
        <v/>
      </c>
      <c r="P1463" s="11">
        <f>IF(L1463="","",100-IF($G$14=1,50,(_xlfn.RANK.AVG(L1463,$L$19:$L$1518,1)-1)/($G$14-1)*100))</f>
        <v/>
      </c>
      <c r="Q1463" s="11">
        <f>IF(M1463="","",IF($G$15=1,50,(_xlfn.RANK.AVG(M1463,$M$19:$M$1518,1)-1)/($G$15-1)*100))</f>
        <v/>
      </c>
      <c r="R1463" s="11">
        <f>IF(N1463="","",IF($G$16=1,50,(_xlfn.RANK.AVG(N1463,$N$19:$N$1518,1)-1)/($G$16-1)*100))</f>
        <v/>
      </c>
      <c r="S1463" s="11">
        <f>IF(COUNT(O1463:R1463)=4,ROUND(AVERAGE(O1463:R1463),6),"")</f>
        <v/>
      </c>
      <c r="U1463">
        <f>IF(AND(ISNUMBER('자료_한국심리'!$A1447),ISNUMBER('자료_한국심리'!$B1447)),'자료_한국심리'!$A1447,"")</f>
        <v/>
      </c>
      <c r="V1463">
        <f>IF(AND(ISNUMBER('자료_한국심리'!$D1447),ISNUMBER('자료_한국심리'!$E1447)),'자료_한국심리'!$D1447,"")</f>
        <v/>
      </c>
      <c r="W1463">
        <f>IF(AND(ISNUMBER('자료_한국심리'!$G1447),ISNUMBER('자료_한국심리'!$H1447)),'자료_한국심리'!$G1447,"")</f>
        <v/>
      </c>
      <c r="X1463">
        <f>IF(AND(ISNUMBER('자료_한국심리'!$J1447),ISNUMBER('자료_한국심리'!$K1447)),'자료_한국심리'!$J1447,"")</f>
        <v/>
      </c>
      <c r="Y1463">
        <f>IF(AND(ISNUMBER('자료_한국심리'!$M1447),ISNUMBER('자료_한국심리'!$N1447)),'자료_한국심리'!$M1447,"")</f>
        <v/>
      </c>
    </row>
    <row r="1464">
      <c r="A1464" s="10">
        <f>IF(1446&gt;$E$5,"",SMALL($U$19:$U$4018,$E$6+1446))</f>
        <v/>
      </c>
      <c r="B1464" s="29">
        <f>IF(A1464="","",INDEX('자료_한국심리'!$B$3:$B$4002,MATCH(A1464,$U$19:$U$4018,0)))</f>
        <v/>
      </c>
      <c r="C1464" s="22">
        <f>IF(A1464="","",B1464/AVERAGE(B1340:B1464)-1)</f>
        <v/>
      </c>
      <c r="D1464" s="29">
        <f>IF(A1464="","",IFERROR(INDEX('자료_한국심리'!$E$3:$E$4002,MATCH(A1464,$V$19:$V$4018,0)),D1463))</f>
        <v/>
      </c>
      <c r="E1464" s="30">
        <f>IF(A1464="","",IFERROR(INDEX('자료_한국심리'!$H$3:$H$4002,MATCH(A1464,$W$19:$W$4018,0)),E1463))</f>
        <v/>
      </c>
      <c r="F1464" s="30">
        <f>IF(A1464="","",IFERROR(INDEX('자료_한국심리'!$K$3:$K$4002,MATCH(A1464,$X$19:$X$4018,0)),F1463))</f>
        <v/>
      </c>
      <c r="G1464" s="30">
        <f>IF(AND(ISNUMBER(E1464),ISNUMBER(F1464)),ROUND(E1464-F1464,6),"")</f>
        <v/>
      </c>
      <c r="H1464" s="25">
        <f>IF(A1464="","",IFERROR(INDEX('자료_한국심리'!$N$3:$N$4002,MATCH(A1464,$Y$19:$Y$4018,0)),H1463))</f>
        <v/>
      </c>
      <c r="I1464" s="31">
        <f>IF(AND(ISNUMBER(H1464),ISNUMBER(H1444)),IF(H1444&gt;0,H1464/H1444-1,""),"")</f>
        <v/>
      </c>
      <c r="J1464">
        <f>IF(A1464="",0,IF(A1464&gt;$B$5,1,0))</f>
        <v/>
      </c>
      <c r="K1464" s="29">
        <f>IF(AND(J1464=1,ISNUMBER(D1464)),D1464,"")</f>
        <v/>
      </c>
      <c r="L1464" s="30">
        <f>IF(AND(J1464=1,ISNUMBER(G1464)),G1464,"")</f>
        <v/>
      </c>
      <c r="M1464" s="22">
        <f>IF(AND(J1464=1,ISNUMBER(C1464)),C1464,"")</f>
        <v/>
      </c>
      <c r="N1464" s="31">
        <f>IF(AND(J1464=1,ISNUMBER(I1464)),I1464,"")</f>
        <v/>
      </c>
      <c r="O1464" s="11">
        <f>IF(K1464="","",100-IF($G$13=1,50,(_xlfn.RANK.AVG(K1464,$K$19:$K$1518,1)-1)/($G$13-1)*100))</f>
        <v/>
      </c>
      <c r="P1464" s="11">
        <f>IF(L1464="","",100-IF($G$14=1,50,(_xlfn.RANK.AVG(L1464,$L$19:$L$1518,1)-1)/($G$14-1)*100))</f>
        <v/>
      </c>
      <c r="Q1464" s="11">
        <f>IF(M1464="","",IF($G$15=1,50,(_xlfn.RANK.AVG(M1464,$M$19:$M$1518,1)-1)/($G$15-1)*100))</f>
        <v/>
      </c>
      <c r="R1464" s="11">
        <f>IF(N1464="","",IF($G$16=1,50,(_xlfn.RANK.AVG(N1464,$N$19:$N$1518,1)-1)/($G$16-1)*100))</f>
        <v/>
      </c>
      <c r="S1464" s="11">
        <f>IF(COUNT(O1464:R1464)=4,ROUND(AVERAGE(O1464:R1464),6),"")</f>
        <v/>
      </c>
      <c r="U1464">
        <f>IF(AND(ISNUMBER('자료_한국심리'!$A1448),ISNUMBER('자료_한국심리'!$B1448)),'자료_한국심리'!$A1448,"")</f>
        <v/>
      </c>
      <c r="V1464">
        <f>IF(AND(ISNUMBER('자료_한국심리'!$D1448),ISNUMBER('자료_한국심리'!$E1448)),'자료_한국심리'!$D1448,"")</f>
        <v/>
      </c>
      <c r="W1464">
        <f>IF(AND(ISNUMBER('자료_한국심리'!$G1448),ISNUMBER('자료_한국심리'!$H1448)),'자료_한국심리'!$G1448,"")</f>
        <v/>
      </c>
      <c r="X1464">
        <f>IF(AND(ISNUMBER('자료_한국심리'!$J1448),ISNUMBER('자료_한국심리'!$K1448)),'자료_한국심리'!$J1448,"")</f>
        <v/>
      </c>
      <c r="Y1464">
        <f>IF(AND(ISNUMBER('자료_한국심리'!$M1448),ISNUMBER('자료_한국심리'!$N1448)),'자료_한국심리'!$M1448,"")</f>
        <v/>
      </c>
    </row>
    <row r="1465">
      <c r="A1465" s="10">
        <f>IF(1447&gt;$E$5,"",SMALL($U$19:$U$4018,$E$6+1447))</f>
        <v/>
      </c>
      <c r="B1465" s="29">
        <f>IF(A1465="","",INDEX('자료_한국심리'!$B$3:$B$4002,MATCH(A1465,$U$19:$U$4018,0)))</f>
        <v/>
      </c>
      <c r="C1465" s="22">
        <f>IF(A1465="","",B1465/AVERAGE(B1341:B1465)-1)</f>
        <v/>
      </c>
      <c r="D1465" s="29">
        <f>IF(A1465="","",IFERROR(INDEX('자료_한국심리'!$E$3:$E$4002,MATCH(A1465,$V$19:$V$4018,0)),D1464))</f>
        <v/>
      </c>
      <c r="E1465" s="30">
        <f>IF(A1465="","",IFERROR(INDEX('자료_한국심리'!$H$3:$H$4002,MATCH(A1465,$W$19:$W$4018,0)),E1464))</f>
        <v/>
      </c>
      <c r="F1465" s="30">
        <f>IF(A1465="","",IFERROR(INDEX('자료_한국심리'!$K$3:$K$4002,MATCH(A1465,$X$19:$X$4018,0)),F1464))</f>
        <v/>
      </c>
      <c r="G1465" s="30">
        <f>IF(AND(ISNUMBER(E1465),ISNUMBER(F1465)),ROUND(E1465-F1465,6),"")</f>
        <v/>
      </c>
      <c r="H1465" s="25">
        <f>IF(A1465="","",IFERROR(INDEX('자료_한국심리'!$N$3:$N$4002,MATCH(A1465,$Y$19:$Y$4018,0)),H1464))</f>
        <v/>
      </c>
      <c r="I1465" s="31">
        <f>IF(AND(ISNUMBER(H1465),ISNUMBER(H1445)),IF(H1445&gt;0,H1465/H1445-1,""),"")</f>
        <v/>
      </c>
      <c r="J1465">
        <f>IF(A1465="",0,IF(A1465&gt;$B$5,1,0))</f>
        <v/>
      </c>
      <c r="K1465" s="29">
        <f>IF(AND(J1465=1,ISNUMBER(D1465)),D1465,"")</f>
        <v/>
      </c>
      <c r="L1465" s="30">
        <f>IF(AND(J1465=1,ISNUMBER(G1465)),G1465,"")</f>
        <v/>
      </c>
      <c r="M1465" s="22">
        <f>IF(AND(J1465=1,ISNUMBER(C1465)),C1465,"")</f>
        <v/>
      </c>
      <c r="N1465" s="31">
        <f>IF(AND(J1465=1,ISNUMBER(I1465)),I1465,"")</f>
        <v/>
      </c>
      <c r="O1465" s="11">
        <f>IF(K1465="","",100-IF($G$13=1,50,(_xlfn.RANK.AVG(K1465,$K$19:$K$1518,1)-1)/($G$13-1)*100))</f>
        <v/>
      </c>
      <c r="P1465" s="11">
        <f>IF(L1465="","",100-IF($G$14=1,50,(_xlfn.RANK.AVG(L1465,$L$19:$L$1518,1)-1)/($G$14-1)*100))</f>
        <v/>
      </c>
      <c r="Q1465" s="11">
        <f>IF(M1465="","",IF($G$15=1,50,(_xlfn.RANK.AVG(M1465,$M$19:$M$1518,1)-1)/($G$15-1)*100))</f>
        <v/>
      </c>
      <c r="R1465" s="11">
        <f>IF(N1465="","",IF($G$16=1,50,(_xlfn.RANK.AVG(N1465,$N$19:$N$1518,1)-1)/($G$16-1)*100))</f>
        <v/>
      </c>
      <c r="S1465" s="11">
        <f>IF(COUNT(O1465:R1465)=4,ROUND(AVERAGE(O1465:R1465),6),"")</f>
        <v/>
      </c>
      <c r="U1465">
        <f>IF(AND(ISNUMBER('자료_한국심리'!$A1449),ISNUMBER('자료_한국심리'!$B1449)),'자료_한국심리'!$A1449,"")</f>
        <v/>
      </c>
      <c r="V1465">
        <f>IF(AND(ISNUMBER('자료_한국심리'!$D1449),ISNUMBER('자료_한국심리'!$E1449)),'자료_한국심리'!$D1449,"")</f>
        <v/>
      </c>
      <c r="W1465">
        <f>IF(AND(ISNUMBER('자료_한국심리'!$G1449),ISNUMBER('자료_한국심리'!$H1449)),'자료_한국심리'!$G1449,"")</f>
        <v/>
      </c>
      <c r="X1465">
        <f>IF(AND(ISNUMBER('자료_한국심리'!$J1449),ISNUMBER('자료_한국심리'!$K1449)),'자료_한국심리'!$J1449,"")</f>
        <v/>
      </c>
      <c r="Y1465">
        <f>IF(AND(ISNUMBER('자료_한국심리'!$M1449),ISNUMBER('자료_한국심리'!$N1449)),'자료_한국심리'!$M1449,"")</f>
        <v/>
      </c>
    </row>
    <row r="1466">
      <c r="A1466" s="10">
        <f>IF(1448&gt;$E$5,"",SMALL($U$19:$U$4018,$E$6+1448))</f>
        <v/>
      </c>
      <c r="B1466" s="29">
        <f>IF(A1466="","",INDEX('자료_한국심리'!$B$3:$B$4002,MATCH(A1466,$U$19:$U$4018,0)))</f>
        <v/>
      </c>
      <c r="C1466" s="22">
        <f>IF(A1466="","",B1466/AVERAGE(B1342:B1466)-1)</f>
        <v/>
      </c>
      <c r="D1466" s="29">
        <f>IF(A1466="","",IFERROR(INDEX('자료_한국심리'!$E$3:$E$4002,MATCH(A1466,$V$19:$V$4018,0)),D1465))</f>
        <v/>
      </c>
      <c r="E1466" s="30">
        <f>IF(A1466="","",IFERROR(INDEX('자료_한국심리'!$H$3:$H$4002,MATCH(A1466,$W$19:$W$4018,0)),E1465))</f>
        <v/>
      </c>
      <c r="F1466" s="30">
        <f>IF(A1466="","",IFERROR(INDEX('자료_한국심리'!$K$3:$K$4002,MATCH(A1466,$X$19:$X$4018,0)),F1465))</f>
        <v/>
      </c>
      <c r="G1466" s="30">
        <f>IF(AND(ISNUMBER(E1466),ISNUMBER(F1466)),ROUND(E1466-F1466,6),"")</f>
        <v/>
      </c>
      <c r="H1466" s="25">
        <f>IF(A1466="","",IFERROR(INDEX('자료_한국심리'!$N$3:$N$4002,MATCH(A1466,$Y$19:$Y$4018,0)),H1465))</f>
        <v/>
      </c>
      <c r="I1466" s="31">
        <f>IF(AND(ISNUMBER(H1466),ISNUMBER(H1446)),IF(H1446&gt;0,H1466/H1446-1,""),"")</f>
        <v/>
      </c>
      <c r="J1466">
        <f>IF(A1466="",0,IF(A1466&gt;$B$5,1,0))</f>
        <v/>
      </c>
      <c r="K1466" s="29">
        <f>IF(AND(J1466=1,ISNUMBER(D1466)),D1466,"")</f>
        <v/>
      </c>
      <c r="L1466" s="30">
        <f>IF(AND(J1466=1,ISNUMBER(G1466)),G1466,"")</f>
        <v/>
      </c>
      <c r="M1466" s="22">
        <f>IF(AND(J1466=1,ISNUMBER(C1466)),C1466,"")</f>
        <v/>
      </c>
      <c r="N1466" s="31">
        <f>IF(AND(J1466=1,ISNUMBER(I1466)),I1466,"")</f>
        <v/>
      </c>
      <c r="O1466" s="11">
        <f>IF(K1466="","",100-IF($G$13=1,50,(_xlfn.RANK.AVG(K1466,$K$19:$K$1518,1)-1)/($G$13-1)*100))</f>
        <v/>
      </c>
      <c r="P1466" s="11">
        <f>IF(L1466="","",100-IF($G$14=1,50,(_xlfn.RANK.AVG(L1466,$L$19:$L$1518,1)-1)/($G$14-1)*100))</f>
        <v/>
      </c>
      <c r="Q1466" s="11">
        <f>IF(M1466="","",IF($G$15=1,50,(_xlfn.RANK.AVG(M1466,$M$19:$M$1518,1)-1)/($G$15-1)*100))</f>
        <v/>
      </c>
      <c r="R1466" s="11">
        <f>IF(N1466="","",IF($G$16=1,50,(_xlfn.RANK.AVG(N1466,$N$19:$N$1518,1)-1)/($G$16-1)*100))</f>
        <v/>
      </c>
      <c r="S1466" s="11">
        <f>IF(COUNT(O1466:R1466)=4,ROUND(AVERAGE(O1466:R1466),6),"")</f>
        <v/>
      </c>
      <c r="U1466">
        <f>IF(AND(ISNUMBER('자료_한국심리'!$A1450),ISNUMBER('자료_한국심리'!$B1450)),'자료_한국심리'!$A1450,"")</f>
        <v/>
      </c>
      <c r="V1466">
        <f>IF(AND(ISNUMBER('자료_한국심리'!$D1450),ISNUMBER('자료_한국심리'!$E1450)),'자료_한국심리'!$D1450,"")</f>
        <v/>
      </c>
      <c r="W1466">
        <f>IF(AND(ISNUMBER('자료_한국심리'!$G1450),ISNUMBER('자료_한국심리'!$H1450)),'자료_한국심리'!$G1450,"")</f>
        <v/>
      </c>
      <c r="X1466">
        <f>IF(AND(ISNUMBER('자료_한국심리'!$J1450),ISNUMBER('자료_한국심리'!$K1450)),'자료_한국심리'!$J1450,"")</f>
        <v/>
      </c>
      <c r="Y1466">
        <f>IF(AND(ISNUMBER('자료_한국심리'!$M1450),ISNUMBER('자료_한국심리'!$N1450)),'자료_한국심리'!$M1450,"")</f>
        <v/>
      </c>
    </row>
    <row r="1467">
      <c r="A1467" s="10">
        <f>IF(1449&gt;$E$5,"",SMALL($U$19:$U$4018,$E$6+1449))</f>
        <v/>
      </c>
      <c r="B1467" s="29">
        <f>IF(A1467="","",INDEX('자료_한국심리'!$B$3:$B$4002,MATCH(A1467,$U$19:$U$4018,0)))</f>
        <v/>
      </c>
      <c r="C1467" s="22">
        <f>IF(A1467="","",B1467/AVERAGE(B1343:B1467)-1)</f>
        <v/>
      </c>
      <c r="D1467" s="29">
        <f>IF(A1467="","",IFERROR(INDEX('자료_한국심리'!$E$3:$E$4002,MATCH(A1467,$V$19:$V$4018,0)),D1466))</f>
        <v/>
      </c>
      <c r="E1467" s="30">
        <f>IF(A1467="","",IFERROR(INDEX('자료_한국심리'!$H$3:$H$4002,MATCH(A1467,$W$19:$W$4018,0)),E1466))</f>
        <v/>
      </c>
      <c r="F1467" s="30">
        <f>IF(A1467="","",IFERROR(INDEX('자료_한국심리'!$K$3:$K$4002,MATCH(A1467,$X$19:$X$4018,0)),F1466))</f>
        <v/>
      </c>
      <c r="G1467" s="30">
        <f>IF(AND(ISNUMBER(E1467),ISNUMBER(F1467)),ROUND(E1467-F1467,6),"")</f>
        <v/>
      </c>
      <c r="H1467" s="25">
        <f>IF(A1467="","",IFERROR(INDEX('자료_한국심리'!$N$3:$N$4002,MATCH(A1467,$Y$19:$Y$4018,0)),H1466))</f>
        <v/>
      </c>
      <c r="I1467" s="31">
        <f>IF(AND(ISNUMBER(H1467),ISNUMBER(H1447)),IF(H1447&gt;0,H1467/H1447-1,""),"")</f>
        <v/>
      </c>
      <c r="J1467">
        <f>IF(A1467="",0,IF(A1467&gt;$B$5,1,0))</f>
        <v/>
      </c>
      <c r="K1467" s="29">
        <f>IF(AND(J1467=1,ISNUMBER(D1467)),D1467,"")</f>
        <v/>
      </c>
      <c r="L1467" s="30">
        <f>IF(AND(J1467=1,ISNUMBER(G1467)),G1467,"")</f>
        <v/>
      </c>
      <c r="M1467" s="22">
        <f>IF(AND(J1467=1,ISNUMBER(C1467)),C1467,"")</f>
        <v/>
      </c>
      <c r="N1467" s="31">
        <f>IF(AND(J1467=1,ISNUMBER(I1467)),I1467,"")</f>
        <v/>
      </c>
      <c r="O1467" s="11">
        <f>IF(K1467="","",100-IF($G$13=1,50,(_xlfn.RANK.AVG(K1467,$K$19:$K$1518,1)-1)/($G$13-1)*100))</f>
        <v/>
      </c>
      <c r="P1467" s="11">
        <f>IF(L1467="","",100-IF($G$14=1,50,(_xlfn.RANK.AVG(L1467,$L$19:$L$1518,1)-1)/($G$14-1)*100))</f>
        <v/>
      </c>
      <c r="Q1467" s="11">
        <f>IF(M1467="","",IF($G$15=1,50,(_xlfn.RANK.AVG(M1467,$M$19:$M$1518,1)-1)/($G$15-1)*100))</f>
        <v/>
      </c>
      <c r="R1467" s="11">
        <f>IF(N1467="","",IF($G$16=1,50,(_xlfn.RANK.AVG(N1467,$N$19:$N$1518,1)-1)/($G$16-1)*100))</f>
        <v/>
      </c>
      <c r="S1467" s="11">
        <f>IF(COUNT(O1467:R1467)=4,ROUND(AVERAGE(O1467:R1467),6),"")</f>
        <v/>
      </c>
      <c r="U1467">
        <f>IF(AND(ISNUMBER('자료_한국심리'!$A1451),ISNUMBER('자료_한국심리'!$B1451)),'자료_한국심리'!$A1451,"")</f>
        <v/>
      </c>
      <c r="V1467">
        <f>IF(AND(ISNUMBER('자료_한국심리'!$D1451),ISNUMBER('자료_한국심리'!$E1451)),'자료_한국심리'!$D1451,"")</f>
        <v/>
      </c>
      <c r="W1467">
        <f>IF(AND(ISNUMBER('자료_한국심리'!$G1451),ISNUMBER('자료_한국심리'!$H1451)),'자료_한국심리'!$G1451,"")</f>
        <v/>
      </c>
      <c r="X1467">
        <f>IF(AND(ISNUMBER('자료_한국심리'!$J1451),ISNUMBER('자료_한국심리'!$K1451)),'자료_한국심리'!$J1451,"")</f>
        <v/>
      </c>
      <c r="Y1467">
        <f>IF(AND(ISNUMBER('자료_한국심리'!$M1451),ISNUMBER('자료_한국심리'!$N1451)),'자료_한국심리'!$M1451,"")</f>
        <v/>
      </c>
    </row>
    <row r="1468">
      <c r="A1468" s="10">
        <f>IF(1450&gt;$E$5,"",SMALL($U$19:$U$4018,$E$6+1450))</f>
        <v/>
      </c>
      <c r="B1468" s="29">
        <f>IF(A1468="","",INDEX('자료_한국심리'!$B$3:$B$4002,MATCH(A1468,$U$19:$U$4018,0)))</f>
        <v/>
      </c>
      <c r="C1468" s="22">
        <f>IF(A1468="","",B1468/AVERAGE(B1344:B1468)-1)</f>
        <v/>
      </c>
      <c r="D1468" s="29">
        <f>IF(A1468="","",IFERROR(INDEX('자료_한국심리'!$E$3:$E$4002,MATCH(A1468,$V$19:$V$4018,0)),D1467))</f>
        <v/>
      </c>
      <c r="E1468" s="30">
        <f>IF(A1468="","",IFERROR(INDEX('자료_한국심리'!$H$3:$H$4002,MATCH(A1468,$W$19:$W$4018,0)),E1467))</f>
        <v/>
      </c>
      <c r="F1468" s="30">
        <f>IF(A1468="","",IFERROR(INDEX('자료_한국심리'!$K$3:$K$4002,MATCH(A1468,$X$19:$X$4018,0)),F1467))</f>
        <v/>
      </c>
      <c r="G1468" s="30">
        <f>IF(AND(ISNUMBER(E1468),ISNUMBER(F1468)),ROUND(E1468-F1468,6),"")</f>
        <v/>
      </c>
      <c r="H1468" s="25">
        <f>IF(A1468="","",IFERROR(INDEX('자료_한국심리'!$N$3:$N$4002,MATCH(A1468,$Y$19:$Y$4018,0)),H1467))</f>
        <v/>
      </c>
      <c r="I1468" s="31">
        <f>IF(AND(ISNUMBER(H1468),ISNUMBER(H1448)),IF(H1448&gt;0,H1468/H1448-1,""),"")</f>
        <v/>
      </c>
      <c r="J1468">
        <f>IF(A1468="",0,IF(A1468&gt;$B$5,1,0))</f>
        <v/>
      </c>
      <c r="K1468" s="29">
        <f>IF(AND(J1468=1,ISNUMBER(D1468)),D1468,"")</f>
        <v/>
      </c>
      <c r="L1468" s="30">
        <f>IF(AND(J1468=1,ISNUMBER(G1468)),G1468,"")</f>
        <v/>
      </c>
      <c r="M1468" s="22">
        <f>IF(AND(J1468=1,ISNUMBER(C1468)),C1468,"")</f>
        <v/>
      </c>
      <c r="N1468" s="31">
        <f>IF(AND(J1468=1,ISNUMBER(I1468)),I1468,"")</f>
        <v/>
      </c>
      <c r="O1468" s="11">
        <f>IF(K1468="","",100-IF($G$13=1,50,(_xlfn.RANK.AVG(K1468,$K$19:$K$1518,1)-1)/($G$13-1)*100))</f>
        <v/>
      </c>
      <c r="P1468" s="11">
        <f>IF(L1468="","",100-IF($G$14=1,50,(_xlfn.RANK.AVG(L1468,$L$19:$L$1518,1)-1)/($G$14-1)*100))</f>
        <v/>
      </c>
      <c r="Q1468" s="11">
        <f>IF(M1468="","",IF($G$15=1,50,(_xlfn.RANK.AVG(M1468,$M$19:$M$1518,1)-1)/($G$15-1)*100))</f>
        <v/>
      </c>
      <c r="R1468" s="11">
        <f>IF(N1468="","",IF($G$16=1,50,(_xlfn.RANK.AVG(N1468,$N$19:$N$1518,1)-1)/($G$16-1)*100))</f>
        <v/>
      </c>
      <c r="S1468" s="11">
        <f>IF(COUNT(O1468:R1468)=4,ROUND(AVERAGE(O1468:R1468),6),"")</f>
        <v/>
      </c>
      <c r="U1468">
        <f>IF(AND(ISNUMBER('자료_한국심리'!$A1452),ISNUMBER('자료_한국심리'!$B1452)),'자료_한국심리'!$A1452,"")</f>
        <v/>
      </c>
      <c r="V1468">
        <f>IF(AND(ISNUMBER('자료_한국심리'!$D1452),ISNUMBER('자료_한국심리'!$E1452)),'자료_한국심리'!$D1452,"")</f>
        <v/>
      </c>
      <c r="W1468">
        <f>IF(AND(ISNUMBER('자료_한국심리'!$G1452),ISNUMBER('자료_한국심리'!$H1452)),'자료_한국심리'!$G1452,"")</f>
        <v/>
      </c>
      <c r="X1468">
        <f>IF(AND(ISNUMBER('자료_한국심리'!$J1452),ISNUMBER('자료_한국심리'!$K1452)),'자료_한국심리'!$J1452,"")</f>
        <v/>
      </c>
      <c r="Y1468">
        <f>IF(AND(ISNUMBER('자료_한국심리'!$M1452),ISNUMBER('자료_한국심리'!$N1452)),'자료_한국심리'!$M1452,"")</f>
        <v/>
      </c>
    </row>
    <row r="1469">
      <c r="A1469" s="10">
        <f>IF(1451&gt;$E$5,"",SMALL($U$19:$U$4018,$E$6+1451))</f>
        <v/>
      </c>
      <c r="B1469" s="29">
        <f>IF(A1469="","",INDEX('자료_한국심리'!$B$3:$B$4002,MATCH(A1469,$U$19:$U$4018,0)))</f>
        <v/>
      </c>
      <c r="C1469" s="22">
        <f>IF(A1469="","",B1469/AVERAGE(B1345:B1469)-1)</f>
        <v/>
      </c>
      <c r="D1469" s="29">
        <f>IF(A1469="","",IFERROR(INDEX('자료_한국심리'!$E$3:$E$4002,MATCH(A1469,$V$19:$V$4018,0)),D1468))</f>
        <v/>
      </c>
      <c r="E1469" s="30">
        <f>IF(A1469="","",IFERROR(INDEX('자료_한국심리'!$H$3:$H$4002,MATCH(A1469,$W$19:$W$4018,0)),E1468))</f>
        <v/>
      </c>
      <c r="F1469" s="30">
        <f>IF(A1469="","",IFERROR(INDEX('자료_한국심리'!$K$3:$K$4002,MATCH(A1469,$X$19:$X$4018,0)),F1468))</f>
        <v/>
      </c>
      <c r="G1469" s="30">
        <f>IF(AND(ISNUMBER(E1469),ISNUMBER(F1469)),ROUND(E1469-F1469,6),"")</f>
        <v/>
      </c>
      <c r="H1469" s="25">
        <f>IF(A1469="","",IFERROR(INDEX('자료_한국심리'!$N$3:$N$4002,MATCH(A1469,$Y$19:$Y$4018,0)),H1468))</f>
        <v/>
      </c>
      <c r="I1469" s="31">
        <f>IF(AND(ISNUMBER(H1469),ISNUMBER(H1449)),IF(H1449&gt;0,H1469/H1449-1,""),"")</f>
        <v/>
      </c>
      <c r="J1469">
        <f>IF(A1469="",0,IF(A1469&gt;$B$5,1,0))</f>
        <v/>
      </c>
      <c r="K1469" s="29">
        <f>IF(AND(J1469=1,ISNUMBER(D1469)),D1469,"")</f>
        <v/>
      </c>
      <c r="L1469" s="30">
        <f>IF(AND(J1469=1,ISNUMBER(G1469)),G1469,"")</f>
        <v/>
      </c>
      <c r="M1469" s="22">
        <f>IF(AND(J1469=1,ISNUMBER(C1469)),C1469,"")</f>
        <v/>
      </c>
      <c r="N1469" s="31">
        <f>IF(AND(J1469=1,ISNUMBER(I1469)),I1469,"")</f>
        <v/>
      </c>
      <c r="O1469" s="11">
        <f>IF(K1469="","",100-IF($G$13=1,50,(_xlfn.RANK.AVG(K1469,$K$19:$K$1518,1)-1)/($G$13-1)*100))</f>
        <v/>
      </c>
      <c r="P1469" s="11">
        <f>IF(L1469="","",100-IF($G$14=1,50,(_xlfn.RANK.AVG(L1469,$L$19:$L$1518,1)-1)/($G$14-1)*100))</f>
        <v/>
      </c>
      <c r="Q1469" s="11">
        <f>IF(M1469="","",IF($G$15=1,50,(_xlfn.RANK.AVG(M1469,$M$19:$M$1518,1)-1)/($G$15-1)*100))</f>
        <v/>
      </c>
      <c r="R1469" s="11">
        <f>IF(N1469="","",IF($G$16=1,50,(_xlfn.RANK.AVG(N1469,$N$19:$N$1518,1)-1)/($G$16-1)*100))</f>
        <v/>
      </c>
      <c r="S1469" s="11">
        <f>IF(COUNT(O1469:R1469)=4,ROUND(AVERAGE(O1469:R1469),6),"")</f>
        <v/>
      </c>
      <c r="U1469">
        <f>IF(AND(ISNUMBER('자료_한국심리'!$A1453),ISNUMBER('자료_한국심리'!$B1453)),'자료_한국심리'!$A1453,"")</f>
        <v/>
      </c>
      <c r="V1469">
        <f>IF(AND(ISNUMBER('자료_한국심리'!$D1453),ISNUMBER('자료_한국심리'!$E1453)),'자료_한국심리'!$D1453,"")</f>
        <v/>
      </c>
      <c r="W1469">
        <f>IF(AND(ISNUMBER('자료_한국심리'!$G1453),ISNUMBER('자료_한국심리'!$H1453)),'자료_한국심리'!$G1453,"")</f>
        <v/>
      </c>
      <c r="X1469">
        <f>IF(AND(ISNUMBER('자료_한국심리'!$J1453),ISNUMBER('자료_한국심리'!$K1453)),'자료_한국심리'!$J1453,"")</f>
        <v/>
      </c>
      <c r="Y1469">
        <f>IF(AND(ISNUMBER('자료_한국심리'!$M1453),ISNUMBER('자료_한국심리'!$N1453)),'자료_한국심리'!$M1453,"")</f>
        <v/>
      </c>
    </row>
    <row r="1470">
      <c r="A1470" s="10">
        <f>IF(1452&gt;$E$5,"",SMALL($U$19:$U$4018,$E$6+1452))</f>
        <v/>
      </c>
      <c r="B1470" s="29">
        <f>IF(A1470="","",INDEX('자료_한국심리'!$B$3:$B$4002,MATCH(A1470,$U$19:$U$4018,0)))</f>
        <v/>
      </c>
      <c r="C1470" s="22">
        <f>IF(A1470="","",B1470/AVERAGE(B1346:B1470)-1)</f>
        <v/>
      </c>
      <c r="D1470" s="29">
        <f>IF(A1470="","",IFERROR(INDEX('자료_한국심리'!$E$3:$E$4002,MATCH(A1470,$V$19:$V$4018,0)),D1469))</f>
        <v/>
      </c>
      <c r="E1470" s="30">
        <f>IF(A1470="","",IFERROR(INDEX('자료_한국심리'!$H$3:$H$4002,MATCH(A1470,$W$19:$W$4018,0)),E1469))</f>
        <v/>
      </c>
      <c r="F1470" s="30">
        <f>IF(A1470="","",IFERROR(INDEX('자료_한국심리'!$K$3:$K$4002,MATCH(A1470,$X$19:$X$4018,0)),F1469))</f>
        <v/>
      </c>
      <c r="G1470" s="30">
        <f>IF(AND(ISNUMBER(E1470),ISNUMBER(F1470)),ROUND(E1470-F1470,6),"")</f>
        <v/>
      </c>
      <c r="H1470" s="25">
        <f>IF(A1470="","",IFERROR(INDEX('자료_한국심리'!$N$3:$N$4002,MATCH(A1470,$Y$19:$Y$4018,0)),H1469))</f>
        <v/>
      </c>
      <c r="I1470" s="31">
        <f>IF(AND(ISNUMBER(H1470),ISNUMBER(H1450)),IF(H1450&gt;0,H1470/H1450-1,""),"")</f>
        <v/>
      </c>
      <c r="J1470">
        <f>IF(A1470="",0,IF(A1470&gt;$B$5,1,0))</f>
        <v/>
      </c>
      <c r="K1470" s="29">
        <f>IF(AND(J1470=1,ISNUMBER(D1470)),D1470,"")</f>
        <v/>
      </c>
      <c r="L1470" s="30">
        <f>IF(AND(J1470=1,ISNUMBER(G1470)),G1470,"")</f>
        <v/>
      </c>
      <c r="M1470" s="22">
        <f>IF(AND(J1470=1,ISNUMBER(C1470)),C1470,"")</f>
        <v/>
      </c>
      <c r="N1470" s="31">
        <f>IF(AND(J1470=1,ISNUMBER(I1470)),I1470,"")</f>
        <v/>
      </c>
      <c r="O1470" s="11">
        <f>IF(K1470="","",100-IF($G$13=1,50,(_xlfn.RANK.AVG(K1470,$K$19:$K$1518,1)-1)/($G$13-1)*100))</f>
        <v/>
      </c>
      <c r="P1470" s="11">
        <f>IF(L1470="","",100-IF($G$14=1,50,(_xlfn.RANK.AVG(L1470,$L$19:$L$1518,1)-1)/($G$14-1)*100))</f>
        <v/>
      </c>
      <c r="Q1470" s="11">
        <f>IF(M1470="","",IF($G$15=1,50,(_xlfn.RANK.AVG(M1470,$M$19:$M$1518,1)-1)/($G$15-1)*100))</f>
        <v/>
      </c>
      <c r="R1470" s="11">
        <f>IF(N1470="","",IF($G$16=1,50,(_xlfn.RANK.AVG(N1470,$N$19:$N$1518,1)-1)/($G$16-1)*100))</f>
        <v/>
      </c>
      <c r="S1470" s="11">
        <f>IF(COUNT(O1470:R1470)=4,ROUND(AVERAGE(O1470:R1470),6),"")</f>
        <v/>
      </c>
      <c r="U1470">
        <f>IF(AND(ISNUMBER('자료_한국심리'!$A1454),ISNUMBER('자료_한국심리'!$B1454)),'자료_한국심리'!$A1454,"")</f>
        <v/>
      </c>
      <c r="V1470">
        <f>IF(AND(ISNUMBER('자료_한국심리'!$D1454),ISNUMBER('자료_한국심리'!$E1454)),'자료_한국심리'!$D1454,"")</f>
        <v/>
      </c>
      <c r="W1470">
        <f>IF(AND(ISNUMBER('자료_한국심리'!$G1454),ISNUMBER('자료_한국심리'!$H1454)),'자료_한국심리'!$G1454,"")</f>
        <v/>
      </c>
      <c r="X1470">
        <f>IF(AND(ISNUMBER('자료_한국심리'!$J1454),ISNUMBER('자료_한국심리'!$K1454)),'자료_한국심리'!$J1454,"")</f>
        <v/>
      </c>
      <c r="Y1470">
        <f>IF(AND(ISNUMBER('자료_한국심리'!$M1454),ISNUMBER('자료_한국심리'!$N1454)),'자료_한국심리'!$M1454,"")</f>
        <v/>
      </c>
    </row>
    <row r="1471">
      <c r="A1471" s="10">
        <f>IF(1453&gt;$E$5,"",SMALL($U$19:$U$4018,$E$6+1453))</f>
        <v/>
      </c>
      <c r="B1471" s="29">
        <f>IF(A1471="","",INDEX('자료_한국심리'!$B$3:$B$4002,MATCH(A1471,$U$19:$U$4018,0)))</f>
        <v/>
      </c>
      <c r="C1471" s="22">
        <f>IF(A1471="","",B1471/AVERAGE(B1347:B1471)-1)</f>
        <v/>
      </c>
      <c r="D1471" s="29">
        <f>IF(A1471="","",IFERROR(INDEX('자료_한국심리'!$E$3:$E$4002,MATCH(A1471,$V$19:$V$4018,0)),D1470))</f>
        <v/>
      </c>
      <c r="E1471" s="30">
        <f>IF(A1471="","",IFERROR(INDEX('자료_한국심리'!$H$3:$H$4002,MATCH(A1471,$W$19:$W$4018,0)),E1470))</f>
        <v/>
      </c>
      <c r="F1471" s="30">
        <f>IF(A1471="","",IFERROR(INDEX('자료_한국심리'!$K$3:$K$4002,MATCH(A1471,$X$19:$X$4018,0)),F1470))</f>
        <v/>
      </c>
      <c r="G1471" s="30">
        <f>IF(AND(ISNUMBER(E1471),ISNUMBER(F1471)),ROUND(E1471-F1471,6),"")</f>
        <v/>
      </c>
      <c r="H1471" s="25">
        <f>IF(A1471="","",IFERROR(INDEX('자료_한국심리'!$N$3:$N$4002,MATCH(A1471,$Y$19:$Y$4018,0)),H1470))</f>
        <v/>
      </c>
      <c r="I1471" s="31">
        <f>IF(AND(ISNUMBER(H1471),ISNUMBER(H1451)),IF(H1451&gt;0,H1471/H1451-1,""),"")</f>
        <v/>
      </c>
      <c r="J1471">
        <f>IF(A1471="",0,IF(A1471&gt;$B$5,1,0))</f>
        <v/>
      </c>
      <c r="K1471" s="29">
        <f>IF(AND(J1471=1,ISNUMBER(D1471)),D1471,"")</f>
        <v/>
      </c>
      <c r="L1471" s="30">
        <f>IF(AND(J1471=1,ISNUMBER(G1471)),G1471,"")</f>
        <v/>
      </c>
      <c r="M1471" s="22">
        <f>IF(AND(J1471=1,ISNUMBER(C1471)),C1471,"")</f>
        <v/>
      </c>
      <c r="N1471" s="31">
        <f>IF(AND(J1471=1,ISNUMBER(I1471)),I1471,"")</f>
        <v/>
      </c>
      <c r="O1471" s="11">
        <f>IF(K1471="","",100-IF($G$13=1,50,(_xlfn.RANK.AVG(K1471,$K$19:$K$1518,1)-1)/($G$13-1)*100))</f>
        <v/>
      </c>
      <c r="P1471" s="11">
        <f>IF(L1471="","",100-IF($G$14=1,50,(_xlfn.RANK.AVG(L1471,$L$19:$L$1518,1)-1)/($G$14-1)*100))</f>
        <v/>
      </c>
      <c r="Q1471" s="11">
        <f>IF(M1471="","",IF($G$15=1,50,(_xlfn.RANK.AVG(M1471,$M$19:$M$1518,1)-1)/($G$15-1)*100))</f>
        <v/>
      </c>
      <c r="R1471" s="11">
        <f>IF(N1471="","",IF($G$16=1,50,(_xlfn.RANK.AVG(N1471,$N$19:$N$1518,1)-1)/($G$16-1)*100))</f>
        <v/>
      </c>
      <c r="S1471" s="11">
        <f>IF(COUNT(O1471:R1471)=4,ROUND(AVERAGE(O1471:R1471),6),"")</f>
        <v/>
      </c>
      <c r="U1471">
        <f>IF(AND(ISNUMBER('자료_한국심리'!$A1455),ISNUMBER('자료_한국심리'!$B1455)),'자료_한국심리'!$A1455,"")</f>
        <v/>
      </c>
      <c r="V1471">
        <f>IF(AND(ISNUMBER('자료_한국심리'!$D1455),ISNUMBER('자료_한국심리'!$E1455)),'자료_한국심리'!$D1455,"")</f>
        <v/>
      </c>
      <c r="W1471">
        <f>IF(AND(ISNUMBER('자료_한국심리'!$G1455),ISNUMBER('자료_한국심리'!$H1455)),'자료_한국심리'!$G1455,"")</f>
        <v/>
      </c>
      <c r="X1471">
        <f>IF(AND(ISNUMBER('자료_한국심리'!$J1455),ISNUMBER('자료_한국심리'!$K1455)),'자료_한국심리'!$J1455,"")</f>
        <v/>
      </c>
      <c r="Y1471">
        <f>IF(AND(ISNUMBER('자료_한국심리'!$M1455),ISNUMBER('자료_한국심리'!$N1455)),'자료_한국심리'!$M1455,"")</f>
        <v/>
      </c>
    </row>
    <row r="1472">
      <c r="A1472" s="10">
        <f>IF(1454&gt;$E$5,"",SMALL($U$19:$U$4018,$E$6+1454))</f>
        <v/>
      </c>
      <c r="B1472" s="29">
        <f>IF(A1472="","",INDEX('자료_한국심리'!$B$3:$B$4002,MATCH(A1472,$U$19:$U$4018,0)))</f>
        <v/>
      </c>
      <c r="C1472" s="22">
        <f>IF(A1472="","",B1472/AVERAGE(B1348:B1472)-1)</f>
        <v/>
      </c>
      <c r="D1472" s="29">
        <f>IF(A1472="","",IFERROR(INDEX('자료_한국심리'!$E$3:$E$4002,MATCH(A1472,$V$19:$V$4018,0)),D1471))</f>
        <v/>
      </c>
      <c r="E1472" s="30">
        <f>IF(A1472="","",IFERROR(INDEX('자료_한국심리'!$H$3:$H$4002,MATCH(A1472,$W$19:$W$4018,0)),E1471))</f>
        <v/>
      </c>
      <c r="F1472" s="30">
        <f>IF(A1472="","",IFERROR(INDEX('자료_한국심리'!$K$3:$K$4002,MATCH(A1472,$X$19:$X$4018,0)),F1471))</f>
        <v/>
      </c>
      <c r="G1472" s="30">
        <f>IF(AND(ISNUMBER(E1472),ISNUMBER(F1472)),ROUND(E1472-F1472,6),"")</f>
        <v/>
      </c>
      <c r="H1472" s="25">
        <f>IF(A1472="","",IFERROR(INDEX('자료_한국심리'!$N$3:$N$4002,MATCH(A1472,$Y$19:$Y$4018,0)),H1471))</f>
        <v/>
      </c>
      <c r="I1472" s="31">
        <f>IF(AND(ISNUMBER(H1472),ISNUMBER(H1452)),IF(H1452&gt;0,H1472/H1452-1,""),"")</f>
        <v/>
      </c>
      <c r="J1472">
        <f>IF(A1472="",0,IF(A1472&gt;$B$5,1,0))</f>
        <v/>
      </c>
      <c r="K1472" s="29">
        <f>IF(AND(J1472=1,ISNUMBER(D1472)),D1472,"")</f>
        <v/>
      </c>
      <c r="L1472" s="30">
        <f>IF(AND(J1472=1,ISNUMBER(G1472)),G1472,"")</f>
        <v/>
      </c>
      <c r="M1472" s="22">
        <f>IF(AND(J1472=1,ISNUMBER(C1472)),C1472,"")</f>
        <v/>
      </c>
      <c r="N1472" s="31">
        <f>IF(AND(J1472=1,ISNUMBER(I1472)),I1472,"")</f>
        <v/>
      </c>
      <c r="O1472" s="11">
        <f>IF(K1472="","",100-IF($G$13=1,50,(_xlfn.RANK.AVG(K1472,$K$19:$K$1518,1)-1)/($G$13-1)*100))</f>
        <v/>
      </c>
      <c r="P1472" s="11">
        <f>IF(L1472="","",100-IF($G$14=1,50,(_xlfn.RANK.AVG(L1472,$L$19:$L$1518,1)-1)/($G$14-1)*100))</f>
        <v/>
      </c>
      <c r="Q1472" s="11">
        <f>IF(M1472="","",IF($G$15=1,50,(_xlfn.RANK.AVG(M1472,$M$19:$M$1518,1)-1)/($G$15-1)*100))</f>
        <v/>
      </c>
      <c r="R1472" s="11">
        <f>IF(N1472="","",IF($G$16=1,50,(_xlfn.RANK.AVG(N1472,$N$19:$N$1518,1)-1)/($G$16-1)*100))</f>
        <v/>
      </c>
      <c r="S1472" s="11">
        <f>IF(COUNT(O1472:R1472)=4,ROUND(AVERAGE(O1472:R1472),6),"")</f>
        <v/>
      </c>
      <c r="U1472">
        <f>IF(AND(ISNUMBER('자료_한국심리'!$A1456),ISNUMBER('자료_한국심리'!$B1456)),'자료_한국심리'!$A1456,"")</f>
        <v/>
      </c>
      <c r="V1472">
        <f>IF(AND(ISNUMBER('자료_한국심리'!$D1456),ISNUMBER('자료_한국심리'!$E1456)),'자료_한국심리'!$D1456,"")</f>
        <v/>
      </c>
      <c r="W1472">
        <f>IF(AND(ISNUMBER('자료_한국심리'!$G1456),ISNUMBER('자료_한국심리'!$H1456)),'자료_한국심리'!$G1456,"")</f>
        <v/>
      </c>
      <c r="X1472">
        <f>IF(AND(ISNUMBER('자료_한국심리'!$J1456),ISNUMBER('자료_한국심리'!$K1456)),'자료_한국심리'!$J1456,"")</f>
        <v/>
      </c>
      <c r="Y1472">
        <f>IF(AND(ISNUMBER('자료_한국심리'!$M1456),ISNUMBER('자료_한국심리'!$N1456)),'자료_한국심리'!$M1456,"")</f>
        <v/>
      </c>
    </row>
    <row r="1473">
      <c r="A1473" s="10">
        <f>IF(1455&gt;$E$5,"",SMALL($U$19:$U$4018,$E$6+1455))</f>
        <v/>
      </c>
      <c r="B1473" s="29">
        <f>IF(A1473="","",INDEX('자료_한국심리'!$B$3:$B$4002,MATCH(A1473,$U$19:$U$4018,0)))</f>
        <v/>
      </c>
      <c r="C1473" s="22">
        <f>IF(A1473="","",B1473/AVERAGE(B1349:B1473)-1)</f>
        <v/>
      </c>
      <c r="D1473" s="29">
        <f>IF(A1473="","",IFERROR(INDEX('자료_한국심리'!$E$3:$E$4002,MATCH(A1473,$V$19:$V$4018,0)),D1472))</f>
        <v/>
      </c>
      <c r="E1473" s="30">
        <f>IF(A1473="","",IFERROR(INDEX('자료_한국심리'!$H$3:$H$4002,MATCH(A1473,$W$19:$W$4018,0)),E1472))</f>
        <v/>
      </c>
      <c r="F1473" s="30">
        <f>IF(A1473="","",IFERROR(INDEX('자료_한국심리'!$K$3:$K$4002,MATCH(A1473,$X$19:$X$4018,0)),F1472))</f>
        <v/>
      </c>
      <c r="G1473" s="30">
        <f>IF(AND(ISNUMBER(E1473),ISNUMBER(F1473)),ROUND(E1473-F1473,6),"")</f>
        <v/>
      </c>
      <c r="H1473" s="25">
        <f>IF(A1473="","",IFERROR(INDEX('자료_한국심리'!$N$3:$N$4002,MATCH(A1473,$Y$19:$Y$4018,0)),H1472))</f>
        <v/>
      </c>
      <c r="I1473" s="31">
        <f>IF(AND(ISNUMBER(H1473),ISNUMBER(H1453)),IF(H1453&gt;0,H1473/H1453-1,""),"")</f>
        <v/>
      </c>
      <c r="J1473">
        <f>IF(A1473="",0,IF(A1473&gt;$B$5,1,0))</f>
        <v/>
      </c>
      <c r="K1473" s="29">
        <f>IF(AND(J1473=1,ISNUMBER(D1473)),D1473,"")</f>
        <v/>
      </c>
      <c r="L1473" s="30">
        <f>IF(AND(J1473=1,ISNUMBER(G1473)),G1473,"")</f>
        <v/>
      </c>
      <c r="M1473" s="22">
        <f>IF(AND(J1473=1,ISNUMBER(C1473)),C1473,"")</f>
        <v/>
      </c>
      <c r="N1473" s="31">
        <f>IF(AND(J1473=1,ISNUMBER(I1473)),I1473,"")</f>
        <v/>
      </c>
      <c r="O1473" s="11">
        <f>IF(K1473="","",100-IF($G$13=1,50,(_xlfn.RANK.AVG(K1473,$K$19:$K$1518,1)-1)/($G$13-1)*100))</f>
        <v/>
      </c>
      <c r="P1473" s="11">
        <f>IF(L1473="","",100-IF($G$14=1,50,(_xlfn.RANK.AVG(L1473,$L$19:$L$1518,1)-1)/($G$14-1)*100))</f>
        <v/>
      </c>
      <c r="Q1473" s="11">
        <f>IF(M1473="","",IF($G$15=1,50,(_xlfn.RANK.AVG(M1473,$M$19:$M$1518,1)-1)/($G$15-1)*100))</f>
        <v/>
      </c>
      <c r="R1473" s="11">
        <f>IF(N1473="","",IF($G$16=1,50,(_xlfn.RANK.AVG(N1473,$N$19:$N$1518,1)-1)/($G$16-1)*100))</f>
        <v/>
      </c>
      <c r="S1473" s="11">
        <f>IF(COUNT(O1473:R1473)=4,ROUND(AVERAGE(O1473:R1473),6),"")</f>
        <v/>
      </c>
      <c r="U1473">
        <f>IF(AND(ISNUMBER('자료_한국심리'!$A1457),ISNUMBER('자료_한국심리'!$B1457)),'자료_한국심리'!$A1457,"")</f>
        <v/>
      </c>
      <c r="V1473">
        <f>IF(AND(ISNUMBER('자료_한국심리'!$D1457),ISNUMBER('자료_한국심리'!$E1457)),'자료_한국심리'!$D1457,"")</f>
        <v/>
      </c>
      <c r="W1473">
        <f>IF(AND(ISNUMBER('자료_한국심리'!$G1457),ISNUMBER('자료_한국심리'!$H1457)),'자료_한국심리'!$G1457,"")</f>
        <v/>
      </c>
      <c r="X1473">
        <f>IF(AND(ISNUMBER('자료_한국심리'!$J1457),ISNUMBER('자료_한국심리'!$K1457)),'자료_한국심리'!$J1457,"")</f>
        <v/>
      </c>
      <c r="Y1473">
        <f>IF(AND(ISNUMBER('자료_한국심리'!$M1457),ISNUMBER('자료_한국심리'!$N1457)),'자료_한국심리'!$M1457,"")</f>
        <v/>
      </c>
    </row>
    <row r="1474">
      <c r="A1474" s="10">
        <f>IF(1456&gt;$E$5,"",SMALL($U$19:$U$4018,$E$6+1456))</f>
        <v/>
      </c>
      <c r="B1474" s="29">
        <f>IF(A1474="","",INDEX('자료_한국심리'!$B$3:$B$4002,MATCH(A1474,$U$19:$U$4018,0)))</f>
        <v/>
      </c>
      <c r="C1474" s="22">
        <f>IF(A1474="","",B1474/AVERAGE(B1350:B1474)-1)</f>
        <v/>
      </c>
      <c r="D1474" s="29">
        <f>IF(A1474="","",IFERROR(INDEX('자료_한국심리'!$E$3:$E$4002,MATCH(A1474,$V$19:$V$4018,0)),D1473))</f>
        <v/>
      </c>
      <c r="E1474" s="30">
        <f>IF(A1474="","",IFERROR(INDEX('자료_한국심리'!$H$3:$H$4002,MATCH(A1474,$W$19:$W$4018,0)),E1473))</f>
        <v/>
      </c>
      <c r="F1474" s="30">
        <f>IF(A1474="","",IFERROR(INDEX('자료_한국심리'!$K$3:$K$4002,MATCH(A1474,$X$19:$X$4018,0)),F1473))</f>
        <v/>
      </c>
      <c r="G1474" s="30">
        <f>IF(AND(ISNUMBER(E1474),ISNUMBER(F1474)),ROUND(E1474-F1474,6),"")</f>
        <v/>
      </c>
      <c r="H1474" s="25">
        <f>IF(A1474="","",IFERROR(INDEX('자료_한국심리'!$N$3:$N$4002,MATCH(A1474,$Y$19:$Y$4018,0)),H1473))</f>
        <v/>
      </c>
      <c r="I1474" s="31">
        <f>IF(AND(ISNUMBER(H1474),ISNUMBER(H1454)),IF(H1454&gt;0,H1474/H1454-1,""),"")</f>
        <v/>
      </c>
      <c r="J1474">
        <f>IF(A1474="",0,IF(A1474&gt;$B$5,1,0))</f>
        <v/>
      </c>
      <c r="K1474" s="29">
        <f>IF(AND(J1474=1,ISNUMBER(D1474)),D1474,"")</f>
        <v/>
      </c>
      <c r="L1474" s="30">
        <f>IF(AND(J1474=1,ISNUMBER(G1474)),G1474,"")</f>
        <v/>
      </c>
      <c r="M1474" s="22">
        <f>IF(AND(J1474=1,ISNUMBER(C1474)),C1474,"")</f>
        <v/>
      </c>
      <c r="N1474" s="31">
        <f>IF(AND(J1474=1,ISNUMBER(I1474)),I1474,"")</f>
        <v/>
      </c>
      <c r="O1474" s="11">
        <f>IF(K1474="","",100-IF($G$13=1,50,(_xlfn.RANK.AVG(K1474,$K$19:$K$1518,1)-1)/($G$13-1)*100))</f>
        <v/>
      </c>
      <c r="P1474" s="11">
        <f>IF(L1474="","",100-IF($G$14=1,50,(_xlfn.RANK.AVG(L1474,$L$19:$L$1518,1)-1)/($G$14-1)*100))</f>
        <v/>
      </c>
      <c r="Q1474" s="11">
        <f>IF(M1474="","",IF($G$15=1,50,(_xlfn.RANK.AVG(M1474,$M$19:$M$1518,1)-1)/($G$15-1)*100))</f>
        <v/>
      </c>
      <c r="R1474" s="11">
        <f>IF(N1474="","",IF($G$16=1,50,(_xlfn.RANK.AVG(N1474,$N$19:$N$1518,1)-1)/($G$16-1)*100))</f>
        <v/>
      </c>
      <c r="S1474" s="11">
        <f>IF(COUNT(O1474:R1474)=4,ROUND(AVERAGE(O1474:R1474),6),"")</f>
        <v/>
      </c>
      <c r="U1474">
        <f>IF(AND(ISNUMBER('자료_한국심리'!$A1458),ISNUMBER('자료_한국심리'!$B1458)),'자료_한국심리'!$A1458,"")</f>
        <v/>
      </c>
      <c r="V1474">
        <f>IF(AND(ISNUMBER('자료_한국심리'!$D1458),ISNUMBER('자료_한국심리'!$E1458)),'자료_한국심리'!$D1458,"")</f>
        <v/>
      </c>
      <c r="W1474">
        <f>IF(AND(ISNUMBER('자료_한국심리'!$G1458),ISNUMBER('자료_한국심리'!$H1458)),'자료_한국심리'!$G1458,"")</f>
        <v/>
      </c>
      <c r="X1474">
        <f>IF(AND(ISNUMBER('자료_한국심리'!$J1458),ISNUMBER('자료_한국심리'!$K1458)),'자료_한국심리'!$J1458,"")</f>
        <v/>
      </c>
      <c r="Y1474">
        <f>IF(AND(ISNUMBER('자료_한국심리'!$M1458),ISNUMBER('자료_한국심리'!$N1458)),'자료_한국심리'!$M1458,"")</f>
        <v/>
      </c>
    </row>
    <row r="1475">
      <c r="A1475" s="10">
        <f>IF(1457&gt;$E$5,"",SMALL($U$19:$U$4018,$E$6+1457))</f>
        <v/>
      </c>
      <c r="B1475" s="29">
        <f>IF(A1475="","",INDEX('자료_한국심리'!$B$3:$B$4002,MATCH(A1475,$U$19:$U$4018,0)))</f>
        <v/>
      </c>
      <c r="C1475" s="22">
        <f>IF(A1475="","",B1475/AVERAGE(B1351:B1475)-1)</f>
        <v/>
      </c>
      <c r="D1475" s="29">
        <f>IF(A1475="","",IFERROR(INDEX('자료_한국심리'!$E$3:$E$4002,MATCH(A1475,$V$19:$V$4018,0)),D1474))</f>
        <v/>
      </c>
      <c r="E1475" s="30">
        <f>IF(A1475="","",IFERROR(INDEX('자료_한국심리'!$H$3:$H$4002,MATCH(A1475,$W$19:$W$4018,0)),E1474))</f>
        <v/>
      </c>
      <c r="F1475" s="30">
        <f>IF(A1475="","",IFERROR(INDEX('자료_한국심리'!$K$3:$K$4002,MATCH(A1475,$X$19:$X$4018,0)),F1474))</f>
        <v/>
      </c>
      <c r="G1475" s="30">
        <f>IF(AND(ISNUMBER(E1475),ISNUMBER(F1475)),ROUND(E1475-F1475,6),"")</f>
        <v/>
      </c>
      <c r="H1475" s="25">
        <f>IF(A1475="","",IFERROR(INDEX('자료_한국심리'!$N$3:$N$4002,MATCH(A1475,$Y$19:$Y$4018,0)),H1474))</f>
        <v/>
      </c>
      <c r="I1475" s="31">
        <f>IF(AND(ISNUMBER(H1475),ISNUMBER(H1455)),IF(H1455&gt;0,H1475/H1455-1,""),"")</f>
        <v/>
      </c>
      <c r="J1475">
        <f>IF(A1475="",0,IF(A1475&gt;$B$5,1,0))</f>
        <v/>
      </c>
      <c r="K1475" s="29">
        <f>IF(AND(J1475=1,ISNUMBER(D1475)),D1475,"")</f>
        <v/>
      </c>
      <c r="L1475" s="30">
        <f>IF(AND(J1475=1,ISNUMBER(G1475)),G1475,"")</f>
        <v/>
      </c>
      <c r="M1475" s="22">
        <f>IF(AND(J1475=1,ISNUMBER(C1475)),C1475,"")</f>
        <v/>
      </c>
      <c r="N1475" s="31">
        <f>IF(AND(J1475=1,ISNUMBER(I1475)),I1475,"")</f>
        <v/>
      </c>
      <c r="O1475" s="11">
        <f>IF(K1475="","",100-IF($G$13=1,50,(_xlfn.RANK.AVG(K1475,$K$19:$K$1518,1)-1)/($G$13-1)*100))</f>
        <v/>
      </c>
      <c r="P1475" s="11">
        <f>IF(L1475="","",100-IF($G$14=1,50,(_xlfn.RANK.AVG(L1475,$L$19:$L$1518,1)-1)/($G$14-1)*100))</f>
        <v/>
      </c>
      <c r="Q1475" s="11">
        <f>IF(M1475="","",IF($G$15=1,50,(_xlfn.RANK.AVG(M1475,$M$19:$M$1518,1)-1)/($G$15-1)*100))</f>
        <v/>
      </c>
      <c r="R1475" s="11">
        <f>IF(N1475="","",IF($G$16=1,50,(_xlfn.RANK.AVG(N1475,$N$19:$N$1518,1)-1)/($G$16-1)*100))</f>
        <v/>
      </c>
      <c r="S1475" s="11">
        <f>IF(COUNT(O1475:R1475)=4,ROUND(AVERAGE(O1475:R1475),6),"")</f>
        <v/>
      </c>
      <c r="U1475">
        <f>IF(AND(ISNUMBER('자료_한국심리'!$A1459),ISNUMBER('자료_한국심리'!$B1459)),'자료_한국심리'!$A1459,"")</f>
        <v/>
      </c>
      <c r="V1475">
        <f>IF(AND(ISNUMBER('자료_한국심리'!$D1459),ISNUMBER('자료_한국심리'!$E1459)),'자료_한국심리'!$D1459,"")</f>
        <v/>
      </c>
      <c r="W1475">
        <f>IF(AND(ISNUMBER('자료_한국심리'!$G1459),ISNUMBER('자료_한국심리'!$H1459)),'자료_한국심리'!$G1459,"")</f>
        <v/>
      </c>
      <c r="X1475">
        <f>IF(AND(ISNUMBER('자료_한국심리'!$J1459),ISNUMBER('자료_한국심리'!$K1459)),'자료_한국심리'!$J1459,"")</f>
        <v/>
      </c>
      <c r="Y1475">
        <f>IF(AND(ISNUMBER('자료_한국심리'!$M1459),ISNUMBER('자료_한국심리'!$N1459)),'자료_한국심리'!$M1459,"")</f>
        <v/>
      </c>
    </row>
    <row r="1476">
      <c r="A1476" s="10">
        <f>IF(1458&gt;$E$5,"",SMALL($U$19:$U$4018,$E$6+1458))</f>
        <v/>
      </c>
      <c r="B1476" s="29">
        <f>IF(A1476="","",INDEX('자료_한국심리'!$B$3:$B$4002,MATCH(A1476,$U$19:$U$4018,0)))</f>
        <v/>
      </c>
      <c r="C1476" s="22">
        <f>IF(A1476="","",B1476/AVERAGE(B1352:B1476)-1)</f>
        <v/>
      </c>
      <c r="D1476" s="29">
        <f>IF(A1476="","",IFERROR(INDEX('자료_한국심리'!$E$3:$E$4002,MATCH(A1476,$V$19:$V$4018,0)),D1475))</f>
        <v/>
      </c>
      <c r="E1476" s="30">
        <f>IF(A1476="","",IFERROR(INDEX('자료_한국심리'!$H$3:$H$4002,MATCH(A1476,$W$19:$W$4018,0)),E1475))</f>
        <v/>
      </c>
      <c r="F1476" s="30">
        <f>IF(A1476="","",IFERROR(INDEX('자료_한국심리'!$K$3:$K$4002,MATCH(A1476,$X$19:$X$4018,0)),F1475))</f>
        <v/>
      </c>
      <c r="G1476" s="30">
        <f>IF(AND(ISNUMBER(E1476),ISNUMBER(F1476)),ROUND(E1476-F1476,6),"")</f>
        <v/>
      </c>
      <c r="H1476" s="25">
        <f>IF(A1476="","",IFERROR(INDEX('자료_한국심리'!$N$3:$N$4002,MATCH(A1476,$Y$19:$Y$4018,0)),H1475))</f>
        <v/>
      </c>
      <c r="I1476" s="31">
        <f>IF(AND(ISNUMBER(H1476),ISNUMBER(H1456)),IF(H1456&gt;0,H1476/H1456-1,""),"")</f>
        <v/>
      </c>
      <c r="J1476">
        <f>IF(A1476="",0,IF(A1476&gt;$B$5,1,0))</f>
        <v/>
      </c>
      <c r="K1476" s="29">
        <f>IF(AND(J1476=1,ISNUMBER(D1476)),D1476,"")</f>
        <v/>
      </c>
      <c r="L1476" s="30">
        <f>IF(AND(J1476=1,ISNUMBER(G1476)),G1476,"")</f>
        <v/>
      </c>
      <c r="M1476" s="22">
        <f>IF(AND(J1476=1,ISNUMBER(C1476)),C1476,"")</f>
        <v/>
      </c>
      <c r="N1476" s="31">
        <f>IF(AND(J1476=1,ISNUMBER(I1476)),I1476,"")</f>
        <v/>
      </c>
      <c r="O1476" s="11">
        <f>IF(K1476="","",100-IF($G$13=1,50,(_xlfn.RANK.AVG(K1476,$K$19:$K$1518,1)-1)/($G$13-1)*100))</f>
        <v/>
      </c>
      <c r="P1476" s="11">
        <f>IF(L1476="","",100-IF($G$14=1,50,(_xlfn.RANK.AVG(L1476,$L$19:$L$1518,1)-1)/($G$14-1)*100))</f>
        <v/>
      </c>
      <c r="Q1476" s="11">
        <f>IF(M1476="","",IF($G$15=1,50,(_xlfn.RANK.AVG(M1476,$M$19:$M$1518,1)-1)/($G$15-1)*100))</f>
        <v/>
      </c>
      <c r="R1476" s="11">
        <f>IF(N1476="","",IF($G$16=1,50,(_xlfn.RANK.AVG(N1476,$N$19:$N$1518,1)-1)/($G$16-1)*100))</f>
        <v/>
      </c>
      <c r="S1476" s="11">
        <f>IF(COUNT(O1476:R1476)=4,ROUND(AVERAGE(O1476:R1476),6),"")</f>
        <v/>
      </c>
      <c r="U1476">
        <f>IF(AND(ISNUMBER('자료_한국심리'!$A1460),ISNUMBER('자료_한국심리'!$B1460)),'자료_한국심리'!$A1460,"")</f>
        <v/>
      </c>
      <c r="V1476">
        <f>IF(AND(ISNUMBER('자료_한국심리'!$D1460),ISNUMBER('자료_한국심리'!$E1460)),'자료_한국심리'!$D1460,"")</f>
        <v/>
      </c>
      <c r="W1476">
        <f>IF(AND(ISNUMBER('자료_한국심리'!$G1460),ISNUMBER('자료_한국심리'!$H1460)),'자료_한국심리'!$G1460,"")</f>
        <v/>
      </c>
      <c r="X1476">
        <f>IF(AND(ISNUMBER('자료_한국심리'!$J1460),ISNUMBER('자료_한국심리'!$K1460)),'자료_한국심리'!$J1460,"")</f>
        <v/>
      </c>
      <c r="Y1476">
        <f>IF(AND(ISNUMBER('자료_한국심리'!$M1460),ISNUMBER('자료_한국심리'!$N1460)),'자료_한국심리'!$M1460,"")</f>
        <v/>
      </c>
    </row>
    <row r="1477">
      <c r="A1477" s="10">
        <f>IF(1459&gt;$E$5,"",SMALL($U$19:$U$4018,$E$6+1459))</f>
        <v/>
      </c>
      <c r="B1477" s="29">
        <f>IF(A1477="","",INDEX('자료_한국심리'!$B$3:$B$4002,MATCH(A1477,$U$19:$U$4018,0)))</f>
        <v/>
      </c>
      <c r="C1477" s="22">
        <f>IF(A1477="","",B1477/AVERAGE(B1353:B1477)-1)</f>
        <v/>
      </c>
      <c r="D1477" s="29">
        <f>IF(A1477="","",IFERROR(INDEX('자료_한국심리'!$E$3:$E$4002,MATCH(A1477,$V$19:$V$4018,0)),D1476))</f>
        <v/>
      </c>
      <c r="E1477" s="30">
        <f>IF(A1477="","",IFERROR(INDEX('자료_한국심리'!$H$3:$H$4002,MATCH(A1477,$W$19:$W$4018,0)),E1476))</f>
        <v/>
      </c>
      <c r="F1477" s="30">
        <f>IF(A1477="","",IFERROR(INDEX('자료_한국심리'!$K$3:$K$4002,MATCH(A1477,$X$19:$X$4018,0)),F1476))</f>
        <v/>
      </c>
      <c r="G1477" s="30">
        <f>IF(AND(ISNUMBER(E1477),ISNUMBER(F1477)),ROUND(E1477-F1477,6),"")</f>
        <v/>
      </c>
      <c r="H1477" s="25">
        <f>IF(A1477="","",IFERROR(INDEX('자료_한국심리'!$N$3:$N$4002,MATCH(A1477,$Y$19:$Y$4018,0)),H1476))</f>
        <v/>
      </c>
      <c r="I1477" s="31">
        <f>IF(AND(ISNUMBER(H1477),ISNUMBER(H1457)),IF(H1457&gt;0,H1477/H1457-1,""),"")</f>
        <v/>
      </c>
      <c r="J1477">
        <f>IF(A1477="",0,IF(A1477&gt;$B$5,1,0))</f>
        <v/>
      </c>
      <c r="K1477" s="29">
        <f>IF(AND(J1477=1,ISNUMBER(D1477)),D1477,"")</f>
        <v/>
      </c>
      <c r="L1477" s="30">
        <f>IF(AND(J1477=1,ISNUMBER(G1477)),G1477,"")</f>
        <v/>
      </c>
      <c r="M1477" s="22">
        <f>IF(AND(J1477=1,ISNUMBER(C1477)),C1477,"")</f>
        <v/>
      </c>
      <c r="N1477" s="31">
        <f>IF(AND(J1477=1,ISNUMBER(I1477)),I1477,"")</f>
        <v/>
      </c>
      <c r="O1477" s="11">
        <f>IF(K1477="","",100-IF($G$13=1,50,(_xlfn.RANK.AVG(K1477,$K$19:$K$1518,1)-1)/($G$13-1)*100))</f>
        <v/>
      </c>
      <c r="P1477" s="11">
        <f>IF(L1477="","",100-IF($G$14=1,50,(_xlfn.RANK.AVG(L1477,$L$19:$L$1518,1)-1)/($G$14-1)*100))</f>
        <v/>
      </c>
      <c r="Q1477" s="11">
        <f>IF(M1477="","",IF($G$15=1,50,(_xlfn.RANK.AVG(M1477,$M$19:$M$1518,1)-1)/($G$15-1)*100))</f>
        <v/>
      </c>
      <c r="R1477" s="11">
        <f>IF(N1477="","",IF($G$16=1,50,(_xlfn.RANK.AVG(N1477,$N$19:$N$1518,1)-1)/($G$16-1)*100))</f>
        <v/>
      </c>
      <c r="S1477" s="11">
        <f>IF(COUNT(O1477:R1477)=4,ROUND(AVERAGE(O1477:R1477),6),"")</f>
        <v/>
      </c>
      <c r="U1477">
        <f>IF(AND(ISNUMBER('자료_한국심리'!$A1461),ISNUMBER('자료_한국심리'!$B1461)),'자료_한국심리'!$A1461,"")</f>
        <v/>
      </c>
      <c r="V1477">
        <f>IF(AND(ISNUMBER('자료_한국심리'!$D1461),ISNUMBER('자료_한국심리'!$E1461)),'자료_한국심리'!$D1461,"")</f>
        <v/>
      </c>
      <c r="W1477">
        <f>IF(AND(ISNUMBER('자료_한국심리'!$G1461),ISNUMBER('자료_한국심리'!$H1461)),'자료_한국심리'!$G1461,"")</f>
        <v/>
      </c>
      <c r="X1477">
        <f>IF(AND(ISNUMBER('자료_한국심리'!$J1461),ISNUMBER('자료_한국심리'!$K1461)),'자료_한국심리'!$J1461,"")</f>
        <v/>
      </c>
      <c r="Y1477">
        <f>IF(AND(ISNUMBER('자료_한국심리'!$M1461),ISNUMBER('자료_한국심리'!$N1461)),'자료_한국심리'!$M1461,"")</f>
        <v/>
      </c>
    </row>
    <row r="1478">
      <c r="A1478" s="10">
        <f>IF(1460&gt;$E$5,"",SMALL($U$19:$U$4018,$E$6+1460))</f>
        <v/>
      </c>
      <c r="B1478" s="29">
        <f>IF(A1478="","",INDEX('자료_한국심리'!$B$3:$B$4002,MATCH(A1478,$U$19:$U$4018,0)))</f>
        <v/>
      </c>
      <c r="C1478" s="22">
        <f>IF(A1478="","",B1478/AVERAGE(B1354:B1478)-1)</f>
        <v/>
      </c>
      <c r="D1478" s="29">
        <f>IF(A1478="","",IFERROR(INDEX('자료_한국심리'!$E$3:$E$4002,MATCH(A1478,$V$19:$V$4018,0)),D1477))</f>
        <v/>
      </c>
      <c r="E1478" s="30">
        <f>IF(A1478="","",IFERROR(INDEX('자료_한국심리'!$H$3:$H$4002,MATCH(A1478,$W$19:$W$4018,0)),E1477))</f>
        <v/>
      </c>
      <c r="F1478" s="30">
        <f>IF(A1478="","",IFERROR(INDEX('자료_한국심리'!$K$3:$K$4002,MATCH(A1478,$X$19:$X$4018,0)),F1477))</f>
        <v/>
      </c>
      <c r="G1478" s="30">
        <f>IF(AND(ISNUMBER(E1478),ISNUMBER(F1478)),ROUND(E1478-F1478,6),"")</f>
        <v/>
      </c>
      <c r="H1478" s="25">
        <f>IF(A1478="","",IFERROR(INDEX('자료_한국심리'!$N$3:$N$4002,MATCH(A1478,$Y$19:$Y$4018,0)),H1477))</f>
        <v/>
      </c>
      <c r="I1478" s="31">
        <f>IF(AND(ISNUMBER(H1478),ISNUMBER(H1458)),IF(H1458&gt;0,H1478/H1458-1,""),"")</f>
        <v/>
      </c>
      <c r="J1478">
        <f>IF(A1478="",0,IF(A1478&gt;$B$5,1,0))</f>
        <v/>
      </c>
      <c r="K1478" s="29">
        <f>IF(AND(J1478=1,ISNUMBER(D1478)),D1478,"")</f>
        <v/>
      </c>
      <c r="L1478" s="30">
        <f>IF(AND(J1478=1,ISNUMBER(G1478)),G1478,"")</f>
        <v/>
      </c>
      <c r="M1478" s="22">
        <f>IF(AND(J1478=1,ISNUMBER(C1478)),C1478,"")</f>
        <v/>
      </c>
      <c r="N1478" s="31">
        <f>IF(AND(J1478=1,ISNUMBER(I1478)),I1478,"")</f>
        <v/>
      </c>
      <c r="O1478" s="11">
        <f>IF(K1478="","",100-IF($G$13=1,50,(_xlfn.RANK.AVG(K1478,$K$19:$K$1518,1)-1)/($G$13-1)*100))</f>
        <v/>
      </c>
      <c r="P1478" s="11">
        <f>IF(L1478="","",100-IF($G$14=1,50,(_xlfn.RANK.AVG(L1478,$L$19:$L$1518,1)-1)/($G$14-1)*100))</f>
        <v/>
      </c>
      <c r="Q1478" s="11">
        <f>IF(M1478="","",IF($G$15=1,50,(_xlfn.RANK.AVG(M1478,$M$19:$M$1518,1)-1)/($G$15-1)*100))</f>
        <v/>
      </c>
      <c r="R1478" s="11">
        <f>IF(N1478="","",IF($G$16=1,50,(_xlfn.RANK.AVG(N1478,$N$19:$N$1518,1)-1)/($G$16-1)*100))</f>
        <v/>
      </c>
      <c r="S1478" s="11">
        <f>IF(COUNT(O1478:R1478)=4,ROUND(AVERAGE(O1478:R1478),6),"")</f>
        <v/>
      </c>
      <c r="U1478">
        <f>IF(AND(ISNUMBER('자료_한국심리'!$A1462),ISNUMBER('자료_한국심리'!$B1462)),'자료_한국심리'!$A1462,"")</f>
        <v/>
      </c>
      <c r="V1478">
        <f>IF(AND(ISNUMBER('자료_한국심리'!$D1462),ISNUMBER('자료_한국심리'!$E1462)),'자료_한국심리'!$D1462,"")</f>
        <v/>
      </c>
      <c r="W1478">
        <f>IF(AND(ISNUMBER('자료_한국심리'!$G1462),ISNUMBER('자료_한국심리'!$H1462)),'자료_한국심리'!$G1462,"")</f>
        <v/>
      </c>
      <c r="X1478">
        <f>IF(AND(ISNUMBER('자료_한국심리'!$J1462),ISNUMBER('자료_한국심리'!$K1462)),'자료_한국심리'!$J1462,"")</f>
        <v/>
      </c>
      <c r="Y1478">
        <f>IF(AND(ISNUMBER('자료_한국심리'!$M1462),ISNUMBER('자료_한국심리'!$N1462)),'자료_한국심리'!$M1462,"")</f>
        <v/>
      </c>
    </row>
    <row r="1479">
      <c r="A1479" s="10">
        <f>IF(1461&gt;$E$5,"",SMALL($U$19:$U$4018,$E$6+1461))</f>
        <v/>
      </c>
      <c r="B1479" s="29">
        <f>IF(A1479="","",INDEX('자료_한국심리'!$B$3:$B$4002,MATCH(A1479,$U$19:$U$4018,0)))</f>
        <v/>
      </c>
      <c r="C1479" s="22">
        <f>IF(A1479="","",B1479/AVERAGE(B1355:B1479)-1)</f>
        <v/>
      </c>
      <c r="D1479" s="29">
        <f>IF(A1479="","",IFERROR(INDEX('자료_한국심리'!$E$3:$E$4002,MATCH(A1479,$V$19:$V$4018,0)),D1478))</f>
        <v/>
      </c>
      <c r="E1479" s="30">
        <f>IF(A1479="","",IFERROR(INDEX('자료_한국심리'!$H$3:$H$4002,MATCH(A1479,$W$19:$W$4018,0)),E1478))</f>
        <v/>
      </c>
      <c r="F1479" s="30">
        <f>IF(A1479="","",IFERROR(INDEX('자료_한국심리'!$K$3:$K$4002,MATCH(A1479,$X$19:$X$4018,0)),F1478))</f>
        <v/>
      </c>
      <c r="G1479" s="30">
        <f>IF(AND(ISNUMBER(E1479),ISNUMBER(F1479)),ROUND(E1479-F1479,6),"")</f>
        <v/>
      </c>
      <c r="H1479" s="25">
        <f>IF(A1479="","",IFERROR(INDEX('자료_한국심리'!$N$3:$N$4002,MATCH(A1479,$Y$19:$Y$4018,0)),H1478))</f>
        <v/>
      </c>
      <c r="I1479" s="31">
        <f>IF(AND(ISNUMBER(H1479),ISNUMBER(H1459)),IF(H1459&gt;0,H1479/H1459-1,""),"")</f>
        <v/>
      </c>
      <c r="J1479">
        <f>IF(A1479="",0,IF(A1479&gt;$B$5,1,0))</f>
        <v/>
      </c>
      <c r="K1479" s="29">
        <f>IF(AND(J1479=1,ISNUMBER(D1479)),D1479,"")</f>
        <v/>
      </c>
      <c r="L1479" s="30">
        <f>IF(AND(J1479=1,ISNUMBER(G1479)),G1479,"")</f>
        <v/>
      </c>
      <c r="M1479" s="22">
        <f>IF(AND(J1479=1,ISNUMBER(C1479)),C1479,"")</f>
        <v/>
      </c>
      <c r="N1479" s="31">
        <f>IF(AND(J1479=1,ISNUMBER(I1479)),I1479,"")</f>
        <v/>
      </c>
      <c r="O1479" s="11">
        <f>IF(K1479="","",100-IF($G$13=1,50,(_xlfn.RANK.AVG(K1479,$K$19:$K$1518,1)-1)/($G$13-1)*100))</f>
        <v/>
      </c>
      <c r="P1479" s="11">
        <f>IF(L1479="","",100-IF($G$14=1,50,(_xlfn.RANK.AVG(L1479,$L$19:$L$1518,1)-1)/($G$14-1)*100))</f>
        <v/>
      </c>
      <c r="Q1479" s="11">
        <f>IF(M1479="","",IF($G$15=1,50,(_xlfn.RANK.AVG(M1479,$M$19:$M$1518,1)-1)/($G$15-1)*100))</f>
        <v/>
      </c>
      <c r="R1479" s="11">
        <f>IF(N1479="","",IF($G$16=1,50,(_xlfn.RANK.AVG(N1479,$N$19:$N$1518,1)-1)/($G$16-1)*100))</f>
        <v/>
      </c>
      <c r="S1479" s="11">
        <f>IF(COUNT(O1479:R1479)=4,ROUND(AVERAGE(O1479:R1479),6),"")</f>
        <v/>
      </c>
      <c r="U1479">
        <f>IF(AND(ISNUMBER('자료_한국심리'!$A1463),ISNUMBER('자료_한국심리'!$B1463)),'자료_한국심리'!$A1463,"")</f>
        <v/>
      </c>
      <c r="V1479">
        <f>IF(AND(ISNUMBER('자료_한국심리'!$D1463),ISNUMBER('자료_한국심리'!$E1463)),'자료_한국심리'!$D1463,"")</f>
        <v/>
      </c>
      <c r="W1479">
        <f>IF(AND(ISNUMBER('자료_한국심리'!$G1463),ISNUMBER('자료_한국심리'!$H1463)),'자료_한국심리'!$G1463,"")</f>
        <v/>
      </c>
      <c r="X1479">
        <f>IF(AND(ISNUMBER('자료_한국심리'!$J1463),ISNUMBER('자료_한국심리'!$K1463)),'자료_한국심리'!$J1463,"")</f>
        <v/>
      </c>
      <c r="Y1479">
        <f>IF(AND(ISNUMBER('자료_한국심리'!$M1463),ISNUMBER('자료_한국심리'!$N1463)),'자료_한국심리'!$M1463,"")</f>
        <v/>
      </c>
    </row>
    <row r="1480">
      <c r="A1480" s="10">
        <f>IF(1462&gt;$E$5,"",SMALL($U$19:$U$4018,$E$6+1462))</f>
        <v/>
      </c>
      <c r="B1480" s="29">
        <f>IF(A1480="","",INDEX('자료_한국심리'!$B$3:$B$4002,MATCH(A1480,$U$19:$U$4018,0)))</f>
        <v/>
      </c>
      <c r="C1480" s="22">
        <f>IF(A1480="","",B1480/AVERAGE(B1356:B1480)-1)</f>
        <v/>
      </c>
      <c r="D1480" s="29">
        <f>IF(A1480="","",IFERROR(INDEX('자료_한국심리'!$E$3:$E$4002,MATCH(A1480,$V$19:$V$4018,0)),D1479))</f>
        <v/>
      </c>
      <c r="E1480" s="30">
        <f>IF(A1480="","",IFERROR(INDEX('자료_한국심리'!$H$3:$H$4002,MATCH(A1480,$W$19:$W$4018,0)),E1479))</f>
        <v/>
      </c>
      <c r="F1480" s="30">
        <f>IF(A1480="","",IFERROR(INDEX('자료_한국심리'!$K$3:$K$4002,MATCH(A1480,$X$19:$X$4018,0)),F1479))</f>
        <v/>
      </c>
      <c r="G1480" s="30">
        <f>IF(AND(ISNUMBER(E1480),ISNUMBER(F1480)),ROUND(E1480-F1480,6),"")</f>
        <v/>
      </c>
      <c r="H1480" s="25">
        <f>IF(A1480="","",IFERROR(INDEX('자료_한국심리'!$N$3:$N$4002,MATCH(A1480,$Y$19:$Y$4018,0)),H1479))</f>
        <v/>
      </c>
      <c r="I1480" s="31">
        <f>IF(AND(ISNUMBER(H1480),ISNUMBER(H1460)),IF(H1460&gt;0,H1480/H1460-1,""),"")</f>
        <v/>
      </c>
      <c r="J1480">
        <f>IF(A1480="",0,IF(A1480&gt;$B$5,1,0))</f>
        <v/>
      </c>
      <c r="K1480" s="29">
        <f>IF(AND(J1480=1,ISNUMBER(D1480)),D1480,"")</f>
        <v/>
      </c>
      <c r="L1480" s="30">
        <f>IF(AND(J1480=1,ISNUMBER(G1480)),G1480,"")</f>
        <v/>
      </c>
      <c r="M1480" s="22">
        <f>IF(AND(J1480=1,ISNUMBER(C1480)),C1480,"")</f>
        <v/>
      </c>
      <c r="N1480" s="31">
        <f>IF(AND(J1480=1,ISNUMBER(I1480)),I1480,"")</f>
        <v/>
      </c>
      <c r="O1480" s="11">
        <f>IF(K1480="","",100-IF($G$13=1,50,(_xlfn.RANK.AVG(K1480,$K$19:$K$1518,1)-1)/($G$13-1)*100))</f>
        <v/>
      </c>
      <c r="P1480" s="11">
        <f>IF(L1480="","",100-IF($G$14=1,50,(_xlfn.RANK.AVG(L1480,$L$19:$L$1518,1)-1)/($G$14-1)*100))</f>
        <v/>
      </c>
      <c r="Q1480" s="11">
        <f>IF(M1480="","",IF($G$15=1,50,(_xlfn.RANK.AVG(M1480,$M$19:$M$1518,1)-1)/($G$15-1)*100))</f>
        <v/>
      </c>
      <c r="R1480" s="11">
        <f>IF(N1480="","",IF($G$16=1,50,(_xlfn.RANK.AVG(N1480,$N$19:$N$1518,1)-1)/($G$16-1)*100))</f>
        <v/>
      </c>
      <c r="S1480" s="11">
        <f>IF(COUNT(O1480:R1480)=4,ROUND(AVERAGE(O1480:R1480),6),"")</f>
        <v/>
      </c>
      <c r="U1480">
        <f>IF(AND(ISNUMBER('자료_한국심리'!$A1464),ISNUMBER('자료_한국심리'!$B1464)),'자료_한국심리'!$A1464,"")</f>
        <v/>
      </c>
      <c r="V1480">
        <f>IF(AND(ISNUMBER('자료_한국심리'!$D1464),ISNUMBER('자료_한국심리'!$E1464)),'자료_한국심리'!$D1464,"")</f>
        <v/>
      </c>
      <c r="W1480">
        <f>IF(AND(ISNUMBER('자료_한국심리'!$G1464),ISNUMBER('자료_한국심리'!$H1464)),'자료_한국심리'!$G1464,"")</f>
        <v/>
      </c>
      <c r="X1480">
        <f>IF(AND(ISNUMBER('자료_한국심리'!$J1464),ISNUMBER('자료_한국심리'!$K1464)),'자료_한국심리'!$J1464,"")</f>
        <v/>
      </c>
      <c r="Y1480">
        <f>IF(AND(ISNUMBER('자료_한국심리'!$M1464),ISNUMBER('자료_한국심리'!$N1464)),'자료_한국심리'!$M1464,"")</f>
        <v/>
      </c>
    </row>
    <row r="1481">
      <c r="A1481" s="10">
        <f>IF(1463&gt;$E$5,"",SMALL($U$19:$U$4018,$E$6+1463))</f>
        <v/>
      </c>
      <c r="B1481" s="29">
        <f>IF(A1481="","",INDEX('자료_한국심리'!$B$3:$B$4002,MATCH(A1481,$U$19:$U$4018,0)))</f>
        <v/>
      </c>
      <c r="C1481" s="22">
        <f>IF(A1481="","",B1481/AVERAGE(B1357:B1481)-1)</f>
        <v/>
      </c>
      <c r="D1481" s="29">
        <f>IF(A1481="","",IFERROR(INDEX('자료_한국심리'!$E$3:$E$4002,MATCH(A1481,$V$19:$V$4018,0)),D1480))</f>
        <v/>
      </c>
      <c r="E1481" s="30">
        <f>IF(A1481="","",IFERROR(INDEX('자료_한국심리'!$H$3:$H$4002,MATCH(A1481,$W$19:$W$4018,0)),E1480))</f>
        <v/>
      </c>
      <c r="F1481" s="30">
        <f>IF(A1481="","",IFERROR(INDEX('자료_한국심리'!$K$3:$K$4002,MATCH(A1481,$X$19:$X$4018,0)),F1480))</f>
        <v/>
      </c>
      <c r="G1481" s="30">
        <f>IF(AND(ISNUMBER(E1481),ISNUMBER(F1481)),ROUND(E1481-F1481,6),"")</f>
        <v/>
      </c>
      <c r="H1481" s="25">
        <f>IF(A1481="","",IFERROR(INDEX('자료_한국심리'!$N$3:$N$4002,MATCH(A1481,$Y$19:$Y$4018,0)),H1480))</f>
        <v/>
      </c>
      <c r="I1481" s="31">
        <f>IF(AND(ISNUMBER(H1481),ISNUMBER(H1461)),IF(H1461&gt;0,H1481/H1461-1,""),"")</f>
        <v/>
      </c>
      <c r="J1481">
        <f>IF(A1481="",0,IF(A1481&gt;$B$5,1,0))</f>
        <v/>
      </c>
      <c r="K1481" s="29">
        <f>IF(AND(J1481=1,ISNUMBER(D1481)),D1481,"")</f>
        <v/>
      </c>
      <c r="L1481" s="30">
        <f>IF(AND(J1481=1,ISNUMBER(G1481)),G1481,"")</f>
        <v/>
      </c>
      <c r="M1481" s="22">
        <f>IF(AND(J1481=1,ISNUMBER(C1481)),C1481,"")</f>
        <v/>
      </c>
      <c r="N1481" s="31">
        <f>IF(AND(J1481=1,ISNUMBER(I1481)),I1481,"")</f>
        <v/>
      </c>
      <c r="O1481" s="11">
        <f>IF(K1481="","",100-IF($G$13=1,50,(_xlfn.RANK.AVG(K1481,$K$19:$K$1518,1)-1)/($G$13-1)*100))</f>
        <v/>
      </c>
      <c r="P1481" s="11">
        <f>IF(L1481="","",100-IF($G$14=1,50,(_xlfn.RANK.AVG(L1481,$L$19:$L$1518,1)-1)/($G$14-1)*100))</f>
        <v/>
      </c>
      <c r="Q1481" s="11">
        <f>IF(M1481="","",IF($G$15=1,50,(_xlfn.RANK.AVG(M1481,$M$19:$M$1518,1)-1)/($G$15-1)*100))</f>
        <v/>
      </c>
      <c r="R1481" s="11">
        <f>IF(N1481="","",IF($G$16=1,50,(_xlfn.RANK.AVG(N1481,$N$19:$N$1518,1)-1)/($G$16-1)*100))</f>
        <v/>
      </c>
      <c r="S1481" s="11">
        <f>IF(COUNT(O1481:R1481)=4,ROUND(AVERAGE(O1481:R1481),6),"")</f>
        <v/>
      </c>
      <c r="U1481">
        <f>IF(AND(ISNUMBER('자료_한국심리'!$A1465),ISNUMBER('자료_한국심리'!$B1465)),'자료_한국심리'!$A1465,"")</f>
        <v/>
      </c>
      <c r="V1481">
        <f>IF(AND(ISNUMBER('자료_한국심리'!$D1465),ISNUMBER('자료_한국심리'!$E1465)),'자료_한국심리'!$D1465,"")</f>
        <v/>
      </c>
      <c r="W1481">
        <f>IF(AND(ISNUMBER('자료_한국심리'!$G1465),ISNUMBER('자료_한국심리'!$H1465)),'자료_한국심리'!$G1465,"")</f>
        <v/>
      </c>
      <c r="X1481">
        <f>IF(AND(ISNUMBER('자료_한국심리'!$J1465),ISNUMBER('자료_한국심리'!$K1465)),'자료_한국심리'!$J1465,"")</f>
        <v/>
      </c>
      <c r="Y1481">
        <f>IF(AND(ISNUMBER('자료_한국심리'!$M1465),ISNUMBER('자료_한국심리'!$N1465)),'자료_한국심리'!$M1465,"")</f>
        <v/>
      </c>
    </row>
    <row r="1482">
      <c r="A1482" s="10">
        <f>IF(1464&gt;$E$5,"",SMALL($U$19:$U$4018,$E$6+1464))</f>
        <v/>
      </c>
      <c r="B1482" s="29">
        <f>IF(A1482="","",INDEX('자료_한국심리'!$B$3:$B$4002,MATCH(A1482,$U$19:$U$4018,0)))</f>
        <v/>
      </c>
      <c r="C1482" s="22">
        <f>IF(A1482="","",B1482/AVERAGE(B1358:B1482)-1)</f>
        <v/>
      </c>
      <c r="D1482" s="29">
        <f>IF(A1482="","",IFERROR(INDEX('자료_한국심리'!$E$3:$E$4002,MATCH(A1482,$V$19:$V$4018,0)),D1481))</f>
        <v/>
      </c>
      <c r="E1482" s="30">
        <f>IF(A1482="","",IFERROR(INDEX('자료_한국심리'!$H$3:$H$4002,MATCH(A1482,$W$19:$W$4018,0)),E1481))</f>
        <v/>
      </c>
      <c r="F1482" s="30">
        <f>IF(A1482="","",IFERROR(INDEX('자료_한국심리'!$K$3:$K$4002,MATCH(A1482,$X$19:$X$4018,0)),F1481))</f>
        <v/>
      </c>
      <c r="G1482" s="30">
        <f>IF(AND(ISNUMBER(E1482),ISNUMBER(F1482)),ROUND(E1482-F1482,6),"")</f>
        <v/>
      </c>
      <c r="H1482" s="25">
        <f>IF(A1482="","",IFERROR(INDEX('자료_한국심리'!$N$3:$N$4002,MATCH(A1482,$Y$19:$Y$4018,0)),H1481))</f>
        <v/>
      </c>
      <c r="I1482" s="31">
        <f>IF(AND(ISNUMBER(H1482),ISNUMBER(H1462)),IF(H1462&gt;0,H1482/H1462-1,""),"")</f>
        <v/>
      </c>
      <c r="J1482">
        <f>IF(A1482="",0,IF(A1482&gt;$B$5,1,0))</f>
        <v/>
      </c>
      <c r="K1482" s="29">
        <f>IF(AND(J1482=1,ISNUMBER(D1482)),D1482,"")</f>
        <v/>
      </c>
      <c r="L1482" s="30">
        <f>IF(AND(J1482=1,ISNUMBER(G1482)),G1482,"")</f>
        <v/>
      </c>
      <c r="M1482" s="22">
        <f>IF(AND(J1482=1,ISNUMBER(C1482)),C1482,"")</f>
        <v/>
      </c>
      <c r="N1482" s="31">
        <f>IF(AND(J1482=1,ISNUMBER(I1482)),I1482,"")</f>
        <v/>
      </c>
      <c r="O1482" s="11">
        <f>IF(K1482="","",100-IF($G$13=1,50,(_xlfn.RANK.AVG(K1482,$K$19:$K$1518,1)-1)/($G$13-1)*100))</f>
        <v/>
      </c>
      <c r="P1482" s="11">
        <f>IF(L1482="","",100-IF($G$14=1,50,(_xlfn.RANK.AVG(L1482,$L$19:$L$1518,1)-1)/($G$14-1)*100))</f>
        <v/>
      </c>
      <c r="Q1482" s="11">
        <f>IF(M1482="","",IF($G$15=1,50,(_xlfn.RANK.AVG(M1482,$M$19:$M$1518,1)-1)/($G$15-1)*100))</f>
        <v/>
      </c>
      <c r="R1482" s="11">
        <f>IF(N1482="","",IF($G$16=1,50,(_xlfn.RANK.AVG(N1482,$N$19:$N$1518,1)-1)/($G$16-1)*100))</f>
        <v/>
      </c>
      <c r="S1482" s="11">
        <f>IF(COUNT(O1482:R1482)=4,ROUND(AVERAGE(O1482:R1482),6),"")</f>
        <v/>
      </c>
      <c r="U1482">
        <f>IF(AND(ISNUMBER('자료_한국심리'!$A1466),ISNUMBER('자료_한국심리'!$B1466)),'자료_한국심리'!$A1466,"")</f>
        <v/>
      </c>
      <c r="V1482">
        <f>IF(AND(ISNUMBER('자료_한국심리'!$D1466),ISNUMBER('자료_한국심리'!$E1466)),'자료_한국심리'!$D1466,"")</f>
        <v/>
      </c>
      <c r="W1482">
        <f>IF(AND(ISNUMBER('자료_한국심리'!$G1466),ISNUMBER('자료_한국심리'!$H1466)),'자료_한국심리'!$G1466,"")</f>
        <v/>
      </c>
      <c r="X1482">
        <f>IF(AND(ISNUMBER('자료_한국심리'!$J1466),ISNUMBER('자료_한국심리'!$K1466)),'자료_한국심리'!$J1466,"")</f>
        <v/>
      </c>
      <c r="Y1482">
        <f>IF(AND(ISNUMBER('자료_한국심리'!$M1466),ISNUMBER('자료_한국심리'!$N1466)),'자료_한국심리'!$M1466,"")</f>
        <v/>
      </c>
    </row>
    <row r="1483">
      <c r="A1483" s="10">
        <f>IF(1465&gt;$E$5,"",SMALL($U$19:$U$4018,$E$6+1465))</f>
        <v/>
      </c>
      <c r="B1483" s="29">
        <f>IF(A1483="","",INDEX('자료_한국심리'!$B$3:$B$4002,MATCH(A1483,$U$19:$U$4018,0)))</f>
        <v/>
      </c>
      <c r="C1483" s="22">
        <f>IF(A1483="","",B1483/AVERAGE(B1359:B1483)-1)</f>
        <v/>
      </c>
      <c r="D1483" s="29">
        <f>IF(A1483="","",IFERROR(INDEX('자료_한국심리'!$E$3:$E$4002,MATCH(A1483,$V$19:$V$4018,0)),D1482))</f>
        <v/>
      </c>
      <c r="E1483" s="30">
        <f>IF(A1483="","",IFERROR(INDEX('자료_한국심리'!$H$3:$H$4002,MATCH(A1483,$W$19:$W$4018,0)),E1482))</f>
        <v/>
      </c>
      <c r="F1483" s="30">
        <f>IF(A1483="","",IFERROR(INDEX('자료_한국심리'!$K$3:$K$4002,MATCH(A1483,$X$19:$X$4018,0)),F1482))</f>
        <v/>
      </c>
      <c r="G1483" s="30">
        <f>IF(AND(ISNUMBER(E1483),ISNUMBER(F1483)),ROUND(E1483-F1483,6),"")</f>
        <v/>
      </c>
      <c r="H1483" s="25">
        <f>IF(A1483="","",IFERROR(INDEX('자료_한국심리'!$N$3:$N$4002,MATCH(A1483,$Y$19:$Y$4018,0)),H1482))</f>
        <v/>
      </c>
      <c r="I1483" s="31">
        <f>IF(AND(ISNUMBER(H1483),ISNUMBER(H1463)),IF(H1463&gt;0,H1483/H1463-1,""),"")</f>
        <v/>
      </c>
      <c r="J1483">
        <f>IF(A1483="",0,IF(A1483&gt;$B$5,1,0))</f>
        <v/>
      </c>
      <c r="K1483" s="29">
        <f>IF(AND(J1483=1,ISNUMBER(D1483)),D1483,"")</f>
        <v/>
      </c>
      <c r="L1483" s="30">
        <f>IF(AND(J1483=1,ISNUMBER(G1483)),G1483,"")</f>
        <v/>
      </c>
      <c r="M1483" s="22">
        <f>IF(AND(J1483=1,ISNUMBER(C1483)),C1483,"")</f>
        <v/>
      </c>
      <c r="N1483" s="31">
        <f>IF(AND(J1483=1,ISNUMBER(I1483)),I1483,"")</f>
        <v/>
      </c>
      <c r="O1483" s="11">
        <f>IF(K1483="","",100-IF($G$13=1,50,(_xlfn.RANK.AVG(K1483,$K$19:$K$1518,1)-1)/($G$13-1)*100))</f>
        <v/>
      </c>
      <c r="P1483" s="11">
        <f>IF(L1483="","",100-IF($G$14=1,50,(_xlfn.RANK.AVG(L1483,$L$19:$L$1518,1)-1)/($G$14-1)*100))</f>
        <v/>
      </c>
      <c r="Q1483" s="11">
        <f>IF(M1483="","",IF($G$15=1,50,(_xlfn.RANK.AVG(M1483,$M$19:$M$1518,1)-1)/($G$15-1)*100))</f>
        <v/>
      </c>
      <c r="R1483" s="11">
        <f>IF(N1483="","",IF($G$16=1,50,(_xlfn.RANK.AVG(N1483,$N$19:$N$1518,1)-1)/($G$16-1)*100))</f>
        <v/>
      </c>
      <c r="S1483" s="11">
        <f>IF(COUNT(O1483:R1483)=4,ROUND(AVERAGE(O1483:R1483),6),"")</f>
        <v/>
      </c>
      <c r="U1483">
        <f>IF(AND(ISNUMBER('자료_한국심리'!$A1467),ISNUMBER('자료_한국심리'!$B1467)),'자료_한국심리'!$A1467,"")</f>
        <v/>
      </c>
      <c r="V1483">
        <f>IF(AND(ISNUMBER('자료_한국심리'!$D1467),ISNUMBER('자료_한국심리'!$E1467)),'자료_한국심리'!$D1467,"")</f>
        <v/>
      </c>
      <c r="W1483">
        <f>IF(AND(ISNUMBER('자료_한국심리'!$G1467),ISNUMBER('자료_한국심리'!$H1467)),'자료_한국심리'!$G1467,"")</f>
        <v/>
      </c>
      <c r="X1483">
        <f>IF(AND(ISNUMBER('자료_한국심리'!$J1467),ISNUMBER('자료_한국심리'!$K1467)),'자료_한국심리'!$J1467,"")</f>
        <v/>
      </c>
      <c r="Y1483">
        <f>IF(AND(ISNUMBER('자료_한국심리'!$M1467),ISNUMBER('자료_한국심리'!$N1467)),'자료_한국심리'!$M1467,"")</f>
        <v/>
      </c>
    </row>
    <row r="1484">
      <c r="A1484" s="10">
        <f>IF(1466&gt;$E$5,"",SMALL($U$19:$U$4018,$E$6+1466))</f>
        <v/>
      </c>
      <c r="B1484" s="29">
        <f>IF(A1484="","",INDEX('자료_한국심리'!$B$3:$B$4002,MATCH(A1484,$U$19:$U$4018,0)))</f>
        <v/>
      </c>
      <c r="C1484" s="22">
        <f>IF(A1484="","",B1484/AVERAGE(B1360:B1484)-1)</f>
        <v/>
      </c>
      <c r="D1484" s="29">
        <f>IF(A1484="","",IFERROR(INDEX('자료_한국심리'!$E$3:$E$4002,MATCH(A1484,$V$19:$V$4018,0)),D1483))</f>
        <v/>
      </c>
      <c r="E1484" s="30">
        <f>IF(A1484="","",IFERROR(INDEX('자료_한국심리'!$H$3:$H$4002,MATCH(A1484,$W$19:$W$4018,0)),E1483))</f>
        <v/>
      </c>
      <c r="F1484" s="30">
        <f>IF(A1484="","",IFERROR(INDEX('자료_한국심리'!$K$3:$K$4002,MATCH(A1484,$X$19:$X$4018,0)),F1483))</f>
        <v/>
      </c>
      <c r="G1484" s="30">
        <f>IF(AND(ISNUMBER(E1484),ISNUMBER(F1484)),ROUND(E1484-F1484,6),"")</f>
        <v/>
      </c>
      <c r="H1484" s="25">
        <f>IF(A1484="","",IFERROR(INDEX('자료_한국심리'!$N$3:$N$4002,MATCH(A1484,$Y$19:$Y$4018,0)),H1483))</f>
        <v/>
      </c>
      <c r="I1484" s="31">
        <f>IF(AND(ISNUMBER(H1484),ISNUMBER(H1464)),IF(H1464&gt;0,H1484/H1464-1,""),"")</f>
        <v/>
      </c>
      <c r="J1484">
        <f>IF(A1484="",0,IF(A1484&gt;$B$5,1,0))</f>
        <v/>
      </c>
      <c r="K1484" s="29">
        <f>IF(AND(J1484=1,ISNUMBER(D1484)),D1484,"")</f>
        <v/>
      </c>
      <c r="L1484" s="30">
        <f>IF(AND(J1484=1,ISNUMBER(G1484)),G1484,"")</f>
        <v/>
      </c>
      <c r="M1484" s="22">
        <f>IF(AND(J1484=1,ISNUMBER(C1484)),C1484,"")</f>
        <v/>
      </c>
      <c r="N1484" s="31">
        <f>IF(AND(J1484=1,ISNUMBER(I1484)),I1484,"")</f>
        <v/>
      </c>
      <c r="O1484" s="11">
        <f>IF(K1484="","",100-IF($G$13=1,50,(_xlfn.RANK.AVG(K1484,$K$19:$K$1518,1)-1)/($G$13-1)*100))</f>
        <v/>
      </c>
      <c r="P1484" s="11">
        <f>IF(L1484="","",100-IF($G$14=1,50,(_xlfn.RANK.AVG(L1484,$L$19:$L$1518,1)-1)/($G$14-1)*100))</f>
        <v/>
      </c>
      <c r="Q1484" s="11">
        <f>IF(M1484="","",IF($G$15=1,50,(_xlfn.RANK.AVG(M1484,$M$19:$M$1518,1)-1)/($G$15-1)*100))</f>
        <v/>
      </c>
      <c r="R1484" s="11">
        <f>IF(N1484="","",IF($G$16=1,50,(_xlfn.RANK.AVG(N1484,$N$19:$N$1518,1)-1)/($G$16-1)*100))</f>
        <v/>
      </c>
      <c r="S1484" s="11">
        <f>IF(COUNT(O1484:R1484)=4,ROUND(AVERAGE(O1484:R1484),6),"")</f>
        <v/>
      </c>
      <c r="U1484">
        <f>IF(AND(ISNUMBER('자료_한국심리'!$A1468),ISNUMBER('자료_한국심리'!$B1468)),'자료_한국심리'!$A1468,"")</f>
        <v/>
      </c>
      <c r="V1484">
        <f>IF(AND(ISNUMBER('자료_한국심리'!$D1468),ISNUMBER('자료_한국심리'!$E1468)),'자료_한국심리'!$D1468,"")</f>
        <v/>
      </c>
      <c r="W1484">
        <f>IF(AND(ISNUMBER('자료_한국심리'!$G1468),ISNUMBER('자료_한국심리'!$H1468)),'자료_한국심리'!$G1468,"")</f>
        <v/>
      </c>
      <c r="X1484">
        <f>IF(AND(ISNUMBER('자료_한국심리'!$J1468),ISNUMBER('자료_한국심리'!$K1468)),'자료_한국심리'!$J1468,"")</f>
        <v/>
      </c>
      <c r="Y1484">
        <f>IF(AND(ISNUMBER('자료_한국심리'!$M1468),ISNUMBER('자료_한국심리'!$N1468)),'자료_한국심리'!$M1468,"")</f>
        <v/>
      </c>
    </row>
    <row r="1485">
      <c r="A1485" s="10">
        <f>IF(1467&gt;$E$5,"",SMALL($U$19:$U$4018,$E$6+1467))</f>
        <v/>
      </c>
      <c r="B1485" s="29">
        <f>IF(A1485="","",INDEX('자료_한국심리'!$B$3:$B$4002,MATCH(A1485,$U$19:$U$4018,0)))</f>
        <v/>
      </c>
      <c r="C1485" s="22">
        <f>IF(A1485="","",B1485/AVERAGE(B1361:B1485)-1)</f>
        <v/>
      </c>
      <c r="D1485" s="29">
        <f>IF(A1485="","",IFERROR(INDEX('자료_한국심리'!$E$3:$E$4002,MATCH(A1485,$V$19:$V$4018,0)),D1484))</f>
        <v/>
      </c>
      <c r="E1485" s="30">
        <f>IF(A1485="","",IFERROR(INDEX('자료_한국심리'!$H$3:$H$4002,MATCH(A1485,$W$19:$W$4018,0)),E1484))</f>
        <v/>
      </c>
      <c r="F1485" s="30">
        <f>IF(A1485="","",IFERROR(INDEX('자료_한국심리'!$K$3:$K$4002,MATCH(A1485,$X$19:$X$4018,0)),F1484))</f>
        <v/>
      </c>
      <c r="G1485" s="30">
        <f>IF(AND(ISNUMBER(E1485),ISNUMBER(F1485)),ROUND(E1485-F1485,6),"")</f>
        <v/>
      </c>
      <c r="H1485" s="25">
        <f>IF(A1485="","",IFERROR(INDEX('자료_한국심리'!$N$3:$N$4002,MATCH(A1485,$Y$19:$Y$4018,0)),H1484))</f>
        <v/>
      </c>
      <c r="I1485" s="31">
        <f>IF(AND(ISNUMBER(H1485),ISNUMBER(H1465)),IF(H1465&gt;0,H1485/H1465-1,""),"")</f>
        <v/>
      </c>
      <c r="J1485">
        <f>IF(A1485="",0,IF(A1485&gt;$B$5,1,0))</f>
        <v/>
      </c>
      <c r="K1485" s="29">
        <f>IF(AND(J1485=1,ISNUMBER(D1485)),D1485,"")</f>
        <v/>
      </c>
      <c r="L1485" s="30">
        <f>IF(AND(J1485=1,ISNUMBER(G1485)),G1485,"")</f>
        <v/>
      </c>
      <c r="M1485" s="22">
        <f>IF(AND(J1485=1,ISNUMBER(C1485)),C1485,"")</f>
        <v/>
      </c>
      <c r="N1485" s="31">
        <f>IF(AND(J1485=1,ISNUMBER(I1485)),I1485,"")</f>
        <v/>
      </c>
      <c r="O1485" s="11">
        <f>IF(K1485="","",100-IF($G$13=1,50,(_xlfn.RANK.AVG(K1485,$K$19:$K$1518,1)-1)/($G$13-1)*100))</f>
        <v/>
      </c>
      <c r="P1485" s="11">
        <f>IF(L1485="","",100-IF($G$14=1,50,(_xlfn.RANK.AVG(L1485,$L$19:$L$1518,1)-1)/($G$14-1)*100))</f>
        <v/>
      </c>
      <c r="Q1485" s="11">
        <f>IF(M1485="","",IF($G$15=1,50,(_xlfn.RANK.AVG(M1485,$M$19:$M$1518,1)-1)/($G$15-1)*100))</f>
        <v/>
      </c>
      <c r="R1485" s="11">
        <f>IF(N1485="","",IF($G$16=1,50,(_xlfn.RANK.AVG(N1485,$N$19:$N$1518,1)-1)/($G$16-1)*100))</f>
        <v/>
      </c>
      <c r="S1485" s="11">
        <f>IF(COUNT(O1485:R1485)=4,ROUND(AVERAGE(O1485:R1485),6),"")</f>
        <v/>
      </c>
      <c r="U1485">
        <f>IF(AND(ISNUMBER('자료_한국심리'!$A1469),ISNUMBER('자료_한국심리'!$B1469)),'자료_한국심리'!$A1469,"")</f>
        <v/>
      </c>
      <c r="V1485">
        <f>IF(AND(ISNUMBER('자료_한국심리'!$D1469),ISNUMBER('자료_한국심리'!$E1469)),'자료_한국심리'!$D1469,"")</f>
        <v/>
      </c>
      <c r="W1485">
        <f>IF(AND(ISNUMBER('자료_한국심리'!$G1469),ISNUMBER('자료_한국심리'!$H1469)),'자료_한국심리'!$G1469,"")</f>
        <v/>
      </c>
      <c r="X1485">
        <f>IF(AND(ISNUMBER('자료_한국심리'!$J1469),ISNUMBER('자료_한국심리'!$K1469)),'자료_한국심리'!$J1469,"")</f>
        <v/>
      </c>
      <c r="Y1485">
        <f>IF(AND(ISNUMBER('자료_한국심리'!$M1469),ISNUMBER('자료_한국심리'!$N1469)),'자료_한국심리'!$M1469,"")</f>
        <v/>
      </c>
    </row>
    <row r="1486">
      <c r="A1486" s="10">
        <f>IF(1468&gt;$E$5,"",SMALL($U$19:$U$4018,$E$6+1468))</f>
        <v/>
      </c>
      <c r="B1486" s="29">
        <f>IF(A1486="","",INDEX('자료_한국심리'!$B$3:$B$4002,MATCH(A1486,$U$19:$U$4018,0)))</f>
        <v/>
      </c>
      <c r="C1486" s="22">
        <f>IF(A1486="","",B1486/AVERAGE(B1362:B1486)-1)</f>
        <v/>
      </c>
      <c r="D1486" s="29">
        <f>IF(A1486="","",IFERROR(INDEX('자료_한국심리'!$E$3:$E$4002,MATCH(A1486,$V$19:$V$4018,0)),D1485))</f>
        <v/>
      </c>
      <c r="E1486" s="30">
        <f>IF(A1486="","",IFERROR(INDEX('자료_한국심리'!$H$3:$H$4002,MATCH(A1486,$W$19:$W$4018,0)),E1485))</f>
        <v/>
      </c>
      <c r="F1486" s="30">
        <f>IF(A1486="","",IFERROR(INDEX('자료_한국심리'!$K$3:$K$4002,MATCH(A1486,$X$19:$X$4018,0)),F1485))</f>
        <v/>
      </c>
      <c r="G1486" s="30">
        <f>IF(AND(ISNUMBER(E1486),ISNUMBER(F1486)),ROUND(E1486-F1486,6),"")</f>
        <v/>
      </c>
      <c r="H1486" s="25">
        <f>IF(A1486="","",IFERROR(INDEX('자료_한국심리'!$N$3:$N$4002,MATCH(A1486,$Y$19:$Y$4018,0)),H1485))</f>
        <v/>
      </c>
      <c r="I1486" s="31">
        <f>IF(AND(ISNUMBER(H1486),ISNUMBER(H1466)),IF(H1466&gt;0,H1486/H1466-1,""),"")</f>
        <v/>
      </c>
      <c r="J1486">
        <f>IF(A1486="",0,IF(A1486&gt;$B$5,1,0))</f>
        <v/>
      </c>
      <c r="K1486" s="29">
        <f>IF(AND(J1486=1,ISNUMBER(D1486)),D1486,"")</f>
        <v/>
      </c>
      <c r="L1486" s="30">
        <f>IF(AND(J1486=1,ISNUMBER(G1486)),G1486,"")</f>
        <v/>
      </c>
      <c r="M1486" s="22">
        <f>IF(AND(J1486=1,ISNUMBER(C1486)),C1486,"")</f>
        <v/>
      </c>
      <c r="N1486" s="31">
        <f>IF(AND(J1486=1,ISNUMBER(I1486)),I1486,"")</f>
        <v/>
      </c>
      <c r="O1486" s="11">
        <f>IF(K1486="","",100-IF($G$13=1,50,(_xlfn.RANK.AVG(K1486,$K$19:$K$1518,1)-1)/($G$13-1)*100))</f>
        <v/>
      </c>
      <c r="P1486" s="11">
        <f>IF(L1486="","",100-IF($G$14=1,50,(_xlfn.RANK.AVG(L1486,$L$19:$L$1518,1)-1)/($G$14-1)*100))</f>
        <v/>
      </c>
      <c r="Q1486" s="11">
        <f>IF(M1486="","",IF($G$15=1,50,(_xlfn.RANK.AVG(M1486,$M$19:$M$1518,1)-1)/($G$15-1)*100))</f>
        <v/>
      </c>
      <c r="R1486" s="11">
        <f>IF(N1486="","",IF($G$16=1,50,(_xlfn.RANK.AVG(N1486,$N$19:$N$1518,1)-1)/($G$16-1)*100))</f>
        <v/>
      </c>
      <c r="S1486" s="11">
        <f>IF(COUNT(O1486:R1486)=4,ROUND(AVERAGE(O1486:R1486),6),"")</f>
        <v/>
      </c>
      <c r="U1486">
        <f>IF(AND(ISNUMBER('자료_한국심리'!$A1470),ISNUMBER('자료_한국심리'!$B1470)),'자료_한국심리'!$A1470,"")</f>
        <v/>
      </c>
      <c r="V1486">
        <f>IF(AND(ISNUMBER('자료_한국심리'!$D1470),ISNUMBER('자료_한국심리'!$E1470)),'자료_한국심리'!$D1470,"")</f>
        <v/>
      </c>
      <c r="W1486">
        <f>IF(AND(ISNUMBER('자료_한국심리'!$G1470),ISNUMBER('자료_한국심리'!$H1470)),'자료_한국심리'!$G1470,"")</f>
        <v/>
      </c>
      <c r="X1486">
        <f>IF(AND(ISNUMBER('자료_한국심리'!$J1470),ISNUMBER('자료_한국심리'!$K1470)),'자료_한국심리'!$J1470,"")</f>
        <v/>
      </c>
      <c r="Y1486">
        <f>IF(AND(ISNUMBER('자료_한국심리'!$M1470),ISNUMBER('자료_한국심리'!$N1470)),'자료_한국심리'!$M1470,"")</f>
        <v/>
      </c>
    </row>
    <row r="1487">
      <c r="A1487" s="10">
        <f>IF(1469&gt;$E$5,"",SMALL($U$19:$U$4018,$E$6+1469))</f>
        <v/>
      </c>
      <c r="B1487" s="29">
        <f>IF(A1487="","",INDEX('자료_한국심리'!$B$3:$B$4002,MATCH(A1487,$U$19:$U$4018,0)))</f>
        <v/>
      </c>
      <c r="C1487" s="22">
        <f>IF(A1487="","",B1487/AVERAGE(B1363:B1487)-1)</f>
        <v/>
      </c>
      <c r="D1487" s="29">
        <f>IF(A1487="","",IFERROR(INDEX('자료_한국심리'!$E$3:$E$4002,MATCH(A1487,$V$19:$V$4018,0)),D1486))</f>
        <v/>
      </c>
      <c r="E1487" s="30">
        <f>IF(A1487="","",IFERROR(INDEX('자료_한국심리'!$H$3:$H$4002,MATCH(A1487,$W$19:$W$4018,0)),E1486))</f>
        <v/>
      </c>
      <c r="F1487" s="30">
        <f>IF(A1487="","",IFERROR(INDEX('자료_한국심리'!$K$3:$K$4002,MATCH(A1487,$X$19:$X$4018,0)),F1486))</f>
        <v/>
      </c>
      <c r="G1487" s="30">
        <f>IF(AND(ISNUMBER(E1487),ISNUMBER(F1487)),ROUND(E1487-F1487,6),"")</f>
        <v/>
      </c>
      <c r="H1487" s="25">
        <f>IF(A1487="","",IFERROR(INDEX('자료_한국심리'!$N$3:$N$4002,MATCH(A1487,$Y$19:$Y$4018,0)),H1486))</f>
        <v/>
      </c>
      <c r="I1487" s="31">
        <f>IF(AND(ISNUMBER(H1487),ISNUMBER(H1467)),IF(H1467&gt;0,H1487/H1467-1,""),"")</f>
        <v/>
      </c>
      <c r="J1487">
        <f>IF(A1487="",0,IF(A1487&gt;$B$5,1,0))</f>
        <v/>
      </c>
      <c r="K1487" s="29">
        <f>IF(AND(J1487=1,ISNUMBER(D1487)),D1487,"")</f>
        <v/>
      </c>
      <c r="L1487" s="30">
        <f>IF(AND(J1487=1,ISNUMBER(G1487)),G1487,"")</f>
        <v/>
      </c>
      <c r="M1487" s="22">
        <f>IF(AND(J1487=1,ISNUMBER(C1487)),C1487,"")</f>
        <v/>
      </c>
      <c r="N1487" s="31">
        <f>IF(AND(J1487=1,ISNUMBER(I1487)),I1487,"")</f>
        <v/>
      </c>
      <c r="O1487" s="11">
        <f>IF(K1487="","",100-IF($G$13=1,50,(_xlfn.RANK.AVG(K1487,$K$19:$K$1518,1)-1)/($G$13-1)*100))</f>
        <v/>
      </c>
      <c r="P1487" s="11">
        <f>IF(L1487="","",100-IF($G$14=1,50,(_xlfn.RANK.AVG(L1487,$L$19:$L$1518,1)-1)/($G$14-1)*100))</f>
        <v/>
      </c>
      <c r="Q1487" s="11">
        <f>IF(M1487="","",IF($G$15=1,50,(_xlfn.RANK.AVG(M1487,$M$19:$M$1518,1)-1)/($G$15-1)*100))</f>
        <v/>
      </c>
      <c r="R1487" s="11">
        <f>IF(N1487="","",IF($G$16=1,50,(_xlfn.RANK.AVG(N1487,$N$19:$N$1518,1)-1)/($G$16-1)*100))</f>
        <v/>
      </c>
      <c r="S1487" s="11">
        <f>IF(COUNT(O1487:R1487)=4,ROUND(AVERAGE(O1487:R1487),6),"")</f>
        <v/>
      </c>
      <c r="U1487">
        <f>IF(AND(ISNUMBER('자료_한국심리'!$A1471),ISNUMBER('자료_한국심리'!$B1471)),'자료_한국심리'!$A1471,"")</f>
        <v/>
      </c>
      <c r="V1487">
        <f>IF(AND(ISNUMBER('자료_한국심리'!$D1471),ISNUMBER('자료_한국심리'!$E1471)),'자료_한국심리'!$D1471,"")</f>
        <v/>
      </c>
      <c r="W1487">
        <f>IF(AND(ISNUMBER('자료_한국심리'!$G1471),ISNUMBER('자료_한국심리'!$H1471)),'자료_한국심리'!$G1471,"")</f>
        <v/>
      </c>
      <c r="X1487">
        <f>IF(AND(ISNUMBER('자료_한국심리'!$J1471),ISNUMBER('자료_한국심리'!$K1471)),'자료_한국심리'!$J1471,"")</f>
        <v/>
      </c>
      <c r="Y1487">
        <f>IF(AND(ISNUMBER('자료_한국심리'!$M1471),ISNUMBER('자료_한국심리'!$N1471)),'자료_한국심리'!$M1471,"")</f>
        <v/>
      </c>
    </row>
    <row r="1488">
      <c r="A1488" s="10">
        <f>IF(1470&gt;$E$5,"",SMALL($U$19:$U$4018,$E$6+1470))</f>
        <v/>
      </c>
      <c r="B1488" s="29">
        <f>IF(A1488="","",INDEX('자료_한국심리'!$B$3:$B$4002,MATCH(A1488,$U$19:$U$4018,0)))</f>
        <v/>
      </c>
      <c r="C1488" s="22">
        <f>IF(A1488="","",B1488/AVERAGE(B1364:B1488)-1)</f>
        <v/>
      </c>
      <c r="D1488" s="29">
        <f>IF(A1488="","",IFERROR(INDEX('자료_한국심리'!$E$3:$E$4002,MATCH(A1488,$V$19:$V$4018,0)),D1487))</f>
        <v/>
      </c>
      <c r="E1488" s="30">
        <f>IF(A1488="","",IFERROR(INDEX('자료_한국심리'!$H$3:$H$4002,MATCH(A1488,$W$19:$W$4018,0)),E1487))</f>
        <v/>
      </c>
      <c r="F1488" s="30">
        <f>IF(A1488="","",IFERROR(INDEX('자료_한국심리'!$K$3:$K$4002,MATCH(A1488,$X$19:$X$4018,0)),F1487))</f>
        <v/>
      </c>
      <c r="G1488" s="30">
        <f>IF(AND(ISNUMBER(E1488),ISNUMBER(F1488)),ROUND(E1488-F1488,6),"")</f>
        <v/>
      </c>
      <c r="H1488" s="25">
        <f>IF(A1488="","",IFERROR(INDEX('자료_한국심리'!$N$3:$N$4002,MATCH(A1488,$Y$19:$Y$4018,0)),H1487))</f>
        <v/>
      </c>
      <c r="I1488" s="31">
        <f>IF(AND(ISNUMBER(H1488),ISNUMBER(H1468)),IF(H1468&gt;0,H1488/H1468-1,""),"")</f>
        <v/>
      </c>
      <c r="J1488">
        <f>IF(A1488="",0,IF(A1488&gt;$B$5,1,0))</f>
        <v/>
      </c>
      <c r="K1488" s="29">
        <f>IF(AND(J1488=1,ISNUMBER(D1488)),D1488,"")</f>
        <v/>
      </c>
      <c r="L1488" s="30">
        <f>IF(AND(J1488=1,ISNUMBER(G1488)),G1488,"")</f>
        <v/>
      </c>
      <c r="M1488" s="22">
        <f>IF(AND(J1488=1,ISNUMBER(C1488)),C1488,"")</f>
        <v/>
      </c>
      <c r="N1488" s="31">
        <f>IF(AND(J1488=1,ISNUMBER(I1488)),I1488,"")</f>
        <v/>
      </c>
      <c r="O1488" s="11">
        <f>IF(K1488="","",100-IF($G$13=1,50,(_xlfn.RANK.AVG(K1488,$K$19:$K$1518,1)-1)/($G$13-1)*100))</f>
        <v/>
      </c>
      <c r="P1488" s="11">
        <f>IF(L1488="","",100-IF($G$14=1,50,(_xlfn.RANK.AVG(L1488,$L$19:$L$1518,1)-1)/($G$14-1)*100))</f>
        <v/>
      </c>
      <c r="Q1488" s="11">
        <f>IF(M1488="","",IF($G$15=1,50,(_xlfn.RANK.AVG(M1488,$M$19:$M$1518,1)-1)/($G$15-1)*100))</f>
        <v/>
      </c>
      <c r="R1488" s="11">
        <f>IF(N1488="","",IF($G$16=1,50,(_xlfn.RANK.AVG(N1488,$N$19:$N$1518,1)-1)/($G$16-1)*100))</f>
        <v/>
      </c>
      <c r="S1488" s="11">
        <f>IF(COUNT(O1488:R1488)=4,ROUND(AVERAGE(O1488:R1488),6),"")</f>
        <v/>
      </c>
      <c r="U1488">
        <f>IF(AND(ISNUMBER('자료_한국심리'!$A1472),ISNUMBER('자료_한국심리'!$B1472)),'자료_한국심리'!$A1472,"")</f>
        <v/>
      </c>
      <c r="V1488">
        <f>IF(AND(ISNUMBER('자료_한국심리'!$D1472),ISNUMBER('자료_한국심리'!$E1472)),'자료_한국심리'!$D1472,"")</f>
        <v/>
      </c>
      <c r="W1488">
        <f>IF(AND(ISNUMBER('자료_한국심리'!$G1472),ISNUMBER('자료_한국심리'!$H1472)),'자료_한국심리'!$G1472,"")</f>
        <v/>
      </c>
      <c r="X1488">
        <f>IF(AND(ISNUMBER('자료_한국심리'!$J1472),ISNUMBER('자료_한국심리'!$K1472)),'자료_한국심리'!$J1472,"")</f>
        <v/>
      </c>
      <c r="Y1488">
        <f>IF(AND(ISNUMBER('자료_한국심리'!$M1472),ISNUMBER('자료_한국심리'!$N1472)),'자료_한국심리'!$M1472,"")</f>
        <v/>
      </c>
    </row>
    <row r="1489">
      <c r="A1489" s="10">
        <f>IF(1471&gt;$E$5,"",SMALL($U$19:$U$4018,$E$6+1471))</f>
        <v/>
      </c>
      <c r="B1489" s="29">
        <f>IF(A1489="","",INDEX('자료_한국심리'!$B$3:$B$4002,MATCH(A1489,$U$19:$U$4018,0)))</f>
        <v/>
      </c>
      <c r="C1489" s="22">
        <f>IF(A1489="","",B1489/AVERAGE(B1365:B1489)-1)</f>
        <v/>
      </c>
      <c r="D1489" s="29">
        <f>IF(A1489="","",IFERROR(INDEX('자료_한국심리'!$E$3:$E$4002,MATCH(A1489,$V$19:$V$4018,0)),D1488))</f>
        <v/>
      </c>
      <c r="E1489" s="30">
        <f>IF(A1489="","",IFERROR(INDEX('자료_한국심리'!$H$3:$H$4002,MATCH(A1489,$W$19:$W$4018,0)),E1488))</f>
        <v/>
      </c>
      <c r="F1489" s="30">
        <f>IF(A1489="","",IFERROR(INDEX('자료_한국심리'!$K$3:$K$4002,MATCH(A1489,$X$19:$X$4018,0)),F1488))</f>
        <v/>
      </c>
      <c r="G1489" s="30">
        <f>IF(AND(ISNUMBER(E1489),ISNUMBER(F1489)),ROUND(E1489-F1489,6),"")</f>
        <v/>
      </c>
      <c r="H1489" s="25">
        <f>IF(A1489="","",IFERROR(INDEX('자료_한국심리'!$N$3:$N$4002,MATCH(A1489,$Y$19:$Y$4018,0)),H1488))</f>
        <v/>
      </c>
      <c r="I1489" s="31">
        <f>IF(AND(ISNUMBER(H1489),ISNUMBER(H1469)),IF(H1469&gt;0,H1489/H1469-1,""),"")</f>
        <v/>
      </c>
      <c r="J1489">
        <f>IF(A1489="",0,IF(A1489&gt;$B$5,1,0))</f>
        <v/>
      </c>
      <c r="K1489" s="29">
        <f>IF(AND(J1489=1,ISNUMBER(D1489)),D1489,"")</f>
        <v/>
      </c>
      <c r="L1489" s="30">
        <f>IF(AND(J1489=1,ISNUMBER(G1489)),G1489,"")</f>
        <v/>
      </c>
      <c r="M1489" s="22">
        <f>IF(AND(J1489=1,ISNUMBER(C1489)),C1489,"")</f>
        <v/>
      </c>
      <c r="N1489" s="31">
        <f>IF(AND(J1489=1,ISNUMBER(I1489)),I1489,"")</f>
        <v/>
      </c>
      <c r="O1489" s="11">
        <f>IF(K1489="","",100-IF($G$13=1,50,(_xlfn.RANK.AVG(K1489,$K$19:$K$1518,1)-1)/($G$13-1)*100))</f>
        <v/>
      </c>
      <c r="P1489" s="11">
        <f>IF(L1489="","",100-IF($G$14=1,50,(_xlfn.RANK.AVG(L1489,$L$19:$L$1518,1)-1)/($G$14-1)*100))</f>
        <v/>
      </c>
      <c r="Q1489" s="11">
        <f>IF(M1489="","",IF($G$15=1,50,(_xlfn.RANK.AVG(M1489,$M$19:$M$1518,1)-1)/($G$15-1)*100))</f>
        <v/>
      </c>
      <c r="R1489" s="11">
        <f>IF(N1489="","",IF($G$16=1,50,(_xlfn.RANK.AVG(N1489,$N$19:$N$1518,1)-1)/($G$16-1)*100))</f>
        <v/>
      </c>
      <c r="S1489" s="11">
        <f>IF(COUNT(O1489:R1489)=4,ROUND(AVERAGE(O1489:R1489),6),"")</f>
        <v/>
      </c>
      <c r="U1489">
        <f>IF(AND(ISNUMBER('자료_한국심리'!$A1473),ISNUMBER('자료_한국심리'!$B1473)),'자료_한국심리'!$A1473,"")</f>
        <v/>
      </c>
      <c r="V1489">
        <f>IF(AND(ISNUMBER('자료_한국심리'!$D1473),ISNUMBER('자료_한국심리'!$E1473)),'자료_한국심리'!$D1473,"")</f>
        <v/>
      </c>
      <c r="W1489">
        <f>IF(AND(ISNUMBER('자료_한국심리'!$G1473),ISNUMBER('자료_한국심리'!$H1473)),'자료_한국심리'!$G1473,"")</f>
        <v/>
      </c>
      <c r="X1489">
        <f>IF(AND(ISNUMBER('자료_한국심리'!$J1473),ISNUMBER('자료_한국심리'!$K1473)),'자료_한국심리'!$J1473,"")</f>
        <v/>
      </c>
      <c r="Y1489">
        <f>IF(AND(ISNUMBER('자료_한국심리'!$M1473),ISNUMBER('자료_한국심리'!$N1473)),'자료_한국심리'!$M1473,"")</f>
        <v/>
      </c>
    </row>
    <row r="1490">
      <c r="A1490" s="10">
        <f>IF(1472&gt;$E$5,"",SMALL($U$19:$U$4018,$E$6+1472))</f>
        <v/>
      </c>
      <c r="B1490" s="29">
        <f>IF(A1490="","",INDEX('자료_한국심리'!$B$3:$B$4002,MATCH(A1490,$U$19:$U$4018,0)))</f>
        <v/>
      </c>
      <c r="C1490" s="22">
        <f>IF(A1490="","",B1490/AVERAGE(B1366:B1490)-1)</f>
        <v/>
      </c>
      <c r="D1490" s="29">
        <f>IF(A1490="","",IFERROR(INDEX('자료_한국심리'!$E$3:$E$4002,MATCH(A1490,$V$19:$V$4018,0)),D1489))</f>
        <v/>
      </c>
      <c r="E1490" s="30">
        <f>IF(A1490="","",IFERROR(INDEX('자료_한국심리'!$H$3:$H$4002,MATCH(A1490,$W$19:$W$4018,0)),E1489))</f>
        <v/>
      </c>
      <c r="F1490" s="30">
        <f>IF(A1490="","",IFERROR(INDEX('자료_한국심리'!$K$3:$K$4002,MATCH(A1490,$X$19:$X$4018,0)),F1489))</f>
        <v/>
      </c>
      <c r="G1490" s="30">
        <f>IF(AND(ISNUMBER(E1490),ISNUMBER(F1490)),ROUND(E1490-F1490,6),"")</f>
        <v/>
      </c>
      <c r="H1490" s="25">
        <f>IF(A1490="","",IFERROR(INDEX('자료_한국심리'!$N$3:$N$4002,MATCH(A1490,$Y$19:$Y$4018,0)),H1489))</f>
        <v/>
      </c>
      <c r="I1490" s="31">
        <f>IF(AND(ISNUMBER(H1490),ISNUMBER(H1470)),IF(H1470&gt;0,H1490/H1470-1,""),"")</f>
        <v/>
      </c>
      <c r="J1490">
        <f>IF(A1490="",0,IF(A1490&gt;$B$5,1,0))</f>
        <v/>
      </c>
      <c r="K1490" s="29">
        <f>IF(AND(J1490=1,ISNUMBER(D1490)),D1490,"")</f>
        <v/>
      </c>
      <c r="L1490" s="30">
        <f>IF(AND(J1490=1,ISNUMBER(G1490)),G1490,"")</f>
        <v/>
      </c>
      <c r="M1490" s="22">
        <f>IF(AND(J1490=1,ISNUMBER(C1490)),C1490,"")</f>
        <v/>
      </c>
      <c r="N1490" s="31">
        <f>IF(AND(J1490=1,ISNUMBER(I1490)),I1490,"")</f>
        <v/>
      </c>
      <c r="O1490" s="11">
        <f>IF(K1490="","",100-IF($G$13=1,50,(_xlfn.RANK.AVG(K1490,$K$19:$K$1518,1)-1)/($G$13-1)*100))</f>
        <v/>
      </c>
      <c r="P1490" s="11">
        <f>IF(L1490="","",100-IF($G$14=1,50,(_xlfn.RANK.AVG(L1490,$L$19:$L$1518,1)-1)/($G$14-1)*100))</f>
        <v/>
      </c>
      <c r="Q1490" s="11">
        <f>IF(M1490="","",IF($G$15=1,50,(_xlfn.RANK.AVG(M1490,$M$19:$M$1518,1)-1)/($G$15-1)*100))</f>
        <v/>
      </c>
      <c r="R1490" s="11">
        <f>IF(N1490="","",IF($G$16=1,50,(_xlfn.RANK.AVG(N1490,$N$19:$N$1518,1)-1)/($G$16-1)*100))</f>
        <v/>
      </c>
      <c r="S1490" s="11">
        <f>IF(COUNT(O1490:R1490)=4,ROUND(AVERAGE(O1490:R1490),6),"")</f>
        <v/>
      </c>
      <c r="U1490">
        <f>IF(AND(ISNUMBER('자료_한국심리'!$A1474),ISNUMBER('자료_한국심리'!$B1474)),'자료_한국심리'!$A1474,"")</f>
        <v/>
      </c>
      <c r="V1490">
        <f>IF(AND(ISNUMBER('자료_한국심리'!$D1474),ISNUMBER('자료_한국심리'!$E1474)),'자료_한국심리'!$D1474,"")</f>
        <v/>
      </c>
      <c r="W1490">
        <f>IF(AND(ISNUMBER('자료_한국심리'!$G1474),ISNUMBER('자료_한국심리'!$H1474)),'자료_한국심리'!$G1474,"")</f>
        <v/>
      </c>
      <c r="X1490">
        <f>IF(AND(ISNUMBER('자료_한국심리'!$J1474),ISNUMBER('자료_한국심리'!$K1474)),'자료_한국심리'!$J1474,"")</f>
        <v/>
      </c>
      <c r="Y1490">
        <f>IF(AND(ISNUMBER('자료_한국심리'!$M1474),ISNUMBER('자료_한국심리'!$N1474)),'자료_한국심리'!$M1474,"")</f>
        <v/>
      </c>
    </row>
    <row r="1491">
      <c r="A1491" s="10">
        <f>IF(1473&gt;$E$5,"",SMALL($U$19:$U$4018,$E$6+1473))</f>
        <v/>
      </c>
      <c r="B1491" s="29">
        <f>IF(A1491="","",INDEX('자료_한국심리'!$B$3:$B$4002,MATCH(A1491,$U$19:$U$4018,0)))</f>
        <v/>
      </c>
      <c r="C1491" s="22">
        <f>IF(A1491="","",B1491/AVERAGE(B1367:B1491)-1)</f>
        <v/>
      </c>
      <c r="D1491" s="29">
        <f>IF(A1491="","",IFERROR(INDEX('자료_한국심리'!$E$3:$E$4002,MATCH(A1491,$V$19:$V$4018,0)),D1490))</f>
        <v/>
      </c>
      <c r="E1491" s="30">
        <f>IF(A1491="","",IFERROR(INDEX('자료_한국심리'!$H$3:$H$4002,MATCH(A1491,$W$19:$W$4018,0)),E1490))</f>
        <v/>
      </c>
      <c r="F1491" s="30">
        <f>IF(A1491="","",IFERROR(INDEX('자료_한국심리'!$K$3:$K$4002,MATCH(A1491,$X$19:$X$4018,0)),F1490))</f>
        <v/>
      </c>
      <c r="G1491" s="30">
        <f>IF(AND(ISNUMBER(E1491),ISNUMBER(F1491)),ROUND(E1491-F1491,6),"")</f>
        <v/>
      </c>
      <c r="H1491" s="25">
        <f>IF(A1491="","",IFERROR(INDEX('자료_한국심리'!$N$3:$N$4002,MATCH(A1491,$Y$19:$Y$4018,0)),H1490))</f>
        <v/>
      </c>
      <c r="I1491" s="31">
        <f>IF(AND(ISNUMBER(H1491),ISNUMBER(H1471)),IF(H1471&gt;0,H1491/H1471-1,""),"")</f>
        <v/>
      </c>
      <c r="J1491">
        <f>IF(A1491="",0,IF(A1491&gt;$B$5,1,0))</f>
        <v/>
      </c>
      <c r="K1491" s="29">
        <f>IF(AND(J1491=1,ISNUMBER(D1491)),D1491,"")</f>
        <v/>
      </c>
      <c r="L1491" s="30">
        <f>IF(AND(J1491=1,ISNUMBER(G1491)),G1491,"")</f>
        <v/>
      </c>
      <c r="M1491" s="22">
        <f>IF(AND(J1491=1,ISNUMBER(C1491)),C1491,"")</f>
        <v/>
      </c>
      <c r="N1491" s="31">
        <f>IF(AND(J1491=1,ISNUMBER(I1491)),I1491,"")</f>
        <v/>
      </c>
      <c r="O1491" s="11">
        <f>IF(K1491="","",100-IF($G$13=1,50,(_xlfn.RANK.AVG(K1491,$K$19:$K$1518,1)-1)/($G$13-1)*100))</f>
        <v/>
      </c>
      <c r="P1491" s="11">
        <f>IF(L1491="","",100-IF($G$14=1,50,(_xlfn.RANK.AVG(L1491,$L$19:$L$1518,1)-1)/($G$14-1)*100))</f>
        <v/>
      </c>
      <c r="Q1491" s="11">
        <f>IF(M1491="","",IF($G$15=1,50,(_xlfn.RANK.AVG(M1491,$M$19:$M$1518,1)-1)/($G$15-1)*100))</f>
        <v/>
      </c>
      <c r="R1491" s="11">
        <f>IF(N1491="","",IF($G$16=1,50,(_xlfn.RANK.AVG(N1491,$N$19:$N$1518,1)-1)/($G$16-1)*100))</f>
        <v/>
      </c>
      <c r="S1491" s="11">
        <f>IF(COUNT(O1491:R1491)=4,ROUND(AVERAGE(O1491:R1491),6),"")</f>
        <v/>
      </c>
      <c r="U1491">
        <f>IF(AND(ISNUMBER('자료_한국심리'!$A1475),ISNUMBER('자료_한국심리'!$B1475)),'자료_한국심리'!$A1475,"")</f>
        <v/>
      </c>
      <c r="V1491">
        <f>IF(AND(ISNUMBER('자료_한국심리'!$D1475),ISNUMBER('자료_한국심리'!$E1475)),'자료_한국심리'!$D1475,"")</f>
        <v/>
      </c>
      <c r="W1491">
        <f>IF(AND(ISNUMBER('자료_한국심리'!$G1475),ISNUMBER('자료_한국심리'!$H1475)),'자료_한국심리'!$G1475,"")</f>
        <v/>
      </c>
      <c r="X1491">
        <f>IF(AND(ISNUMBER('자료_한국심리'!$J1475),ISNUMBER('자료_한국심리'!$K1475)),'자료_한국심리'!$J1475,"")</f>
        <v/>
      </c>
      <c r="Y1491">
        <f>IF(AND(ISNUMBER('자료_한국심리'!$M1475),ISNUMBER('자료_한국심리'!$N1475)),'자료_한국심리'!$M1475,"")</f>
        <v/>
      </c>
    </row>
    <row r="1492">
      <c r="A1492" s="10">
        <f>IF(1474&gt;$E$5,"",SMALL($U$19:$U$4018,$E$6+1474))</f>
        <v/>
      </c>
      <c r="B1492" s="29">
        <f>IF(A1492="","",INDEX('자료_한국심리'!$B$3:$B$4002,MATCH(A1492,$U$19:$U$4018,0)))</f>
        <v/>
      </c>
      <c r="C1492" s="22">
        <f>IF(A1492="","",B1492/AVERAGE(B1368:B1492)-1)</f>
        <v/>
      </c>
      <c r="D1492" s="29">
        <f>IF(A1492="","",IFERROR(INDEX('자료_한국심리'!$E$3:$E$4002,MATCH(A1492,$V$19:$V$4018,0)),D1491))</f>
        <v/>
      </c>
      <c r="E1492" s="30">
        <f>IF(A1492="","",IFERROR(INDEX('자료_한국심리'!$H$3:$H$4002,MATCH(A1492,$W$19:$W$4018,0)),E1491))</f>
        <v/>
      </c>
      <c r="F1492" s="30">
        <f>IF(A1492="","",IFERROR(INDEX('자료_한국심리'!$K$3:$K$4002,MATCH(A1492,$X$19:$X$4018,0)),F1491))</f>
        <v/>
      </c>
      <c r="G1492" s="30">
        <f>IF(AND(ISNUMBER(E1492),ISNUMBER(F1492)),ROUND(E1492-F1492,6),"")</f>
        <v/>
      </c>
      <c r="H1492" s="25">
        <f>IF(A1492="","",IFERROR(INDEX('자료_한국심리'!$N$3:$N$4002,MATCH(A1492,$Y$19:$Y$4018,0)),H1491))</f>
        <v/>
      </c>
      <c r="I1492" s="31">
        <f>IF(AND(ISNUMBER(H1492),ISNUMBER(H1472)),IF(H1472&gt;0,H1492/H1472-1,""),"")</f>
        <v/>
      </c>
      <c r="J1492">
        <f>IF(A1492="",0,IF(A1492&gt;$B$5,1,0))</f>
        <v/>
      </c>
      <c r="K1492" s="29">
        <f>IF(AND(J1492=1,ISNUMBER(D1492)),D1492,"")</f>
        <v/>
      </c>
      <c r="L1492" s="30">
        <f>IF(AND(J1492=1,ISNUMBER(G1492)),G1492,"")</f>
        <v/>
      </c>
      <c r="M1492" s="22">
        <f>IF(AND(J1492=1,ISNUMBER(C1492)),C1492,"")</f>
        <v/>
      </c>
      <c r="N1492" s="31">
        <f>IF(AND(J1492=1,ISNUMBER(I1492)),I1492,"")</f>
        <v/>
      </c>
      <c r="O1492" s="11">
        <f>IF(K1492="","",100-IF($G$13=1,50,(_xlfn.RANK.AVG(K1492,$K$19:$K$1518,1)-1)/($G$13-1)*100))</f>
        <v/>
      </c>
      <c r="P1492" s="11">
        <f>IF(L1492="","",100-IF($G$14=1,50,(_xlfn.RANK.AVG(L1492,$L$19:$L$1518,1)-1)/($G$14-1)*100))</f>
        <v/>
      </c>
      <c r="Q1492" s="11">
        <f>IF(M1492="","",IF($G$15=1,50,(_xlfn.RANK.AVG(M1492,$M$19:$M$1518,1)-1)/($G$15-1)*100))</f>
        <v/>
      </c>
      <c r="R1492" s="11">
        <f>IF(N1492="","",IF($G$16=1,50,(_xlfn.RANK.AVG(N1492,$N$19:$N$1518,1)-1)/($G$16-1)*100))</f>
        <v/>
      </c>
      <c r="S1492" s="11">
        <f>IF(COUNT(O1492:R1492)=4,ROUND(AVERAGE(O1492:R1492),6),"")</f>
        <v/>
      </c>
      <c r="U1492">
        <f>IF(AND(ISNUMBER('자료_한국심리'!$A1476),ISNUMBER('자료_한국심리'!$B1476)),'자료_한국심리'!$A1476,"")</f>
        <v/>
      </c>
      <c r="V1492">
        <f>IF(AND(ISNUMBER('자료_한국심리'!$D1476),ISNUMBER('자료_한국심리'!$E1476)),'자료_한국심리'!$D1476,"")</f>
        <v/>
      </c>
      <c r="W1492">
        <f>IF(AND(ISNUMBER('자료_한국심리'!$G1476),ISNUMBER('자료_한국심리'!$H1476)),'자료_한국심리'!$G1476,"")</f>
        <v/>
      </c>
      <c r="X1492">
        <f>IF(AND(ISNUMBER('자료_한국심리'!$J1476),ISNUMBER('자료_한국심리'!$K1476)),'자료_한국심리'!$J1476,"")</f>
        <v/>
      </c>
      <c r="Y1492">
        <f>IF(AND(ISNUMBER('자료_한국심리'!$M1476),ISNUMBER('자료_한국심리'!$N1476)),'자료_한국심리'!$M1476,"")</f>
        <v/>
      </c>
    </row>
    <row r="1493">
      <c r="A1493" s="10">
        <f>IF(1475&gt;$E$5,"",SMALL($U$19:$U$4018,$E$6+1475))</f>
        <v/>
      </c>
      <c r="B1493" s="29">
        <f>IF(A1493="","",INDEX('자료_한국심리'!$B$3:$B$4002,MATCH(A1493,$U$19:$U$4018,0)))</f>
        <v/>
      </c>
      <c r="C1493" s="22">
        <f>IF(A1493="","",B1493/AVERAGE(B1369:B1493)-1)</f>
        <v/>
      </c>
      <c r="D1493" s="29">
        <f>IF(A1493="","",IFERROR(INDEX('자료_한국심리'!$E$3:$E$4002,MATCH(A1493,$V$19:$V$4018,0)),D1492))</f>
        <v/>
      </c>
      <c r="E1493" s="30">
        <f>IF(A1493="","",IFERROR(INDEX('자료_한국심리'!$H$3:$H$4002,MATCH(A1493,$W$19:$W$4018,0)),E1492))</f>
        <v/>
      </c>
      <c r="F1493" s="30">
        <f>IF(A1493="","",IFERROR(INDEX('자료_한국심리'!$K$3:$K$4002,MATCH(A1493,$X$19:$X$4018,0)),F1492))</f>
        <v/>
      </c>
      <c r="G1493" s="30">
        <f>IF(AND(ISNUMBER(E1493),ISNUMBER(F1493)),ROUND(E1493-F1493,6),"")</f>
        <v/>
      </c>
      <c r="H1493" s="25">
        <f>IF(A1493="","",IFERROR(INDEX('자료_한국심리'!$N$3:$N$4002,MATCH(A1493,$Y$19:$Y$4018,0)),H1492))</f>
        <v/>
      </c>
      <c r="I1493" s="31">
        <f>IF(AND(ISNUMBER(H1493),ISNUMBER(H1473)),IF(H1473&gt;0,H1493/H1473-1,""),"")</f>
        <v/>
      </c>
      <c r="J1493">
        <f>IF(A1493="",0,IF(A1493&gt;$B$5,1,0))</f>
        <v/>
      </c>
      <c r="K1493" s="29">
        <f>IF(AND(J1493=1,ISNUMBER(D1493)),D1493,"")</f>
        <v/>
      </c>
      <c r="L1493" s="30">
        <f>IF(AND(J1493=1,ISNUMBER(G1493)),G1493,"")</f>
        <v/>
      </c>
      <c r="M1493" s="22">
        <f>IF(AND(J1493=1,ISNUMBER(C1493)),C1493,"")</f>
        <v/>
      </c>
      <c r="N1493" s="31">
        <f>IF(AND(J1493=1,ISNUMBER(I1493)),I1493,"")</f>
        <v/>
      </c>
      <c r="O1493" s="11">
        <f>IF(K1493="","",100-IF($G$13=1,50,(_xlfn.RANK.AVG(K1493,$K$19:$K$1518,1)-1)/($G$13-1)*100))</f>
        <v/>
      </c>
      <c r="P1493" s="11">
        <f>IF(L1493="","",100-IF($G$14=1,50,(_xlfn.RANK.AVG(L1493,$L$19:$L$1518,1)-1)/($G$14-1)*100))</f>
        <v/>
      </c>
      <c r="Q1493" s="11">
        <f>IF(M1493="","",IF($G$15=1,50,(_xlfn.RANK.AVG(M1493,$M$19:$M$1518,1)-1)/($G$15-1)*100))</f>
        <v/>
      </c>
      <c r="R1493" s="11">
        <f>IF(N1493="","",IF($G$16=1,50,(_xlfn.RANK.AVG(N1493,$N$19:$N$1518,1)-1)/($G$16-1)*100))</f>
        <v/>
      </c>
      <c r="S1493" s="11">
        <f>IF(COUNT(O1493:R1493)=4,ROUND(AVERAGE(O1493:R1493),6),"")</f>
        <v/>
      </c>
      <c r="U1493">
        <f>IF(AND(ISNUMBER('자료_한국심리'!$A1477),ISNUMBER('자료_한국심리'!$B1477)),'자료_한국심리'!$A1477,"")</f>
        <v/>
      </c>
      <c r="V1493">
        <f>IF(AND(ISNUMBER('자료_한국심리'!$D1477),ISNUMBER('자료_한국심리'!$E1477)),'자료_한국심리'!$D1477,"")</f>
        <v/>
      </c>
      <c r="W1493">
        <f>IF(AND(ISNUMBER('자료_한국심리'!$G1477),ISNUMBER('자료_한국심리'!$H1477)),'자료_한국심리'!$G1477,"")</f>
        <v/>
      </c>
      <c r="X1493">
        <f>IF(AND(ISNUMBER('자료_한국심리'!$J1477),ISNUMBER('자료_한국심리'!$K1477)),'자료_한국심리'!$J1477,"")</f>
        <v/>
      </c>
      <c r="Y1493">
        <f>IF(AND(ISNUMBER('자료_한국심리'!$M1477),ISNUMBER('자료_한국심리'!$N1477)),'자료_한국심리'!$M1477,"")</f>
        <v/>
      </c>
    </row>
    <row r="1494">
      <c r="A1494" s="10">
        <f>IF(1476&gt;$E$5,"",SMALL($U$19:$U$4018,$E$6+1476))</f>
        <v/>
      </c>
      <c r="B1494" s="29">
        <f>IF(A1494="","",INDEX('자료_한국심리'!$B$3:$B$4002,MATCH(A1494,$U$19:$U$4018,0)))</f>
        <v/>
      </c>
      <c r="C1494" s="22">
        <f>IF(A1494="","",B1494/AVERAGE(B1370:B1494)-1)</f>
        <v/>
      </c>
      <c r="D1494" s="29">
        <f>IF(A1494="","",IFERROR(INDEX('자료_한국심리'!$E$3:$E$4002,MATCH(A1494,$V$19:$V$4018,0)),D1493))</f>
        <v/>
      </c>
      <c r="E1494" s="30">
        <f>IF(A1494="","",IFERROR(INDEX('자료_한국심리'!$H$3:$H$4002,MATCH(A1494,$W$19:$W$4018,0)),E1493))</f>
        <v/>
      </c>
      <c r="F1494" s="30">
        <f>IF(A1494="","",IFERROR(INDEX('자료_한국심리'!$K$3:$K$4002,MATCH(A1494,$X$19:$X$4018,0)),F1493))</f>
        <v/>
      </c>
      <c r="G1494" s="30">
        <f>IF(AND(ISNUMBER(E1494),ISNUMBER(F1494)),ROUND(E1494-F1494,6),"")</f>
        <v/>
      </c>
      <c r="H1494" s="25">
        <f>IF(A1494="","",IFERROR(INDEX('자료_한국심리'!$N$3:$N$4002,MATCH(A1494,$Y$19:$Y$4018,0)),H1493))</f>
        <v/>
      </c>
      <c r="I1494" s="31">
        <f>IF(AND(ISNUMBER(H1494),ISNUMBER(H1474)),IF(H1474&gt;0,H1494/H1474-1,""),"")</f>
        <v/>
      </c>
      <c r="J1494">
        <f>IF(A1494="",0,IF(A1494&gt;$B$5,1,0))</f>
        <v/>
      </c>
      <c r="K1494" s="29">
        <f>IF(AND(J1494=1,ISNUMBER(D1494)),D1494,"")</f>
        <v/>
      </c>
      <c r="L1494" s="30">
        <f>IF(AND(J1494=1,ISNUMBER(G1494)),G1494,"")</f>
        <v/>
      </c>
      <c r="M1494" s="22">
        <f>IF(AND(J1494=1,ISNUMBER(C1494)),C1494,"")</f>
        <v/>
      </c>
      <c r="N1494" s="31">
        <f>IF(AND(J1494=1,ISNUMBER(I1494)),I1494,"")</f>
        <v/>
      </c>
      <c r="O1494" s="11">
        <f>IF(K1494="","",100-IF($G$13=1,50,(_xlfn.RANK.AVG(K1494,$K$19:$K$1518,1)-1)/($G$13-1)*100))</f>
        <v/>
      </c>
      <c r="P1494" s="11">
        <f>IF(L1494="","",100-IF($G$14=1,50,(_xlfn.RANK.AVG(L1494,$L$19:$L$1518,1)-1)/($G$14-1)*100))</f>
        <v/>
      </c>
      <c r="Q1494" s="11">
        <f>IF(M1494="","",IF($G$15=1,50,(_xlfn.RANK.AVG(M1494,$M$19:$M$1518,1)-1)/($G$15-1)*100))</f>
        <v/>
      </c>
      <c r="R1494" s="11">
        <f>IF(N1494="","",IF($G$16=1,50,(_xlfn.RANK.AVG(N1494,$N$19:$N$1518,1)-1)/($G$16-1)*100))</f>
        <v/>
      </c>
      <c r="S1494" s="11">
        <f>IF(COUNT(O1494:R1494)=4,ROUND(AVERAGE(O1494:R1494),6),"")</f>
        <v/>
      </c>
      <c r="U1494">
        <f>IF(AND(ISNUMBER('자료_한국심리'!$A1478),ISNUMBER('자료_한국심리'!$B1478)),'자료_한국심리'!$A1478,"")</f>
        <v/>
      </c>
      <c r="V1494">
        <f>IF(AND(ISNUMBER('자료_한국심리'!$D1478),ISNUMBER('자료_한국심리'!$E1478)),'자료_한국심리'!$D1478,"")</f>
        <v/>
      </c>
      <c r="W1494">
        <f>IF(AND(ISNUMBER('자료_한국심리'!$G1478),ISNUMBER('자료_한국심리'!$H1478)),'자료_한국심리'!$G1478,"")</f>
        <v/>
      </c>
      <c r="X1494">
        <f>IF(AND(ISNUMBER('자료_한국심리'!$J1478),ISNUMBER('자료_한국심리'!$K1478)),'자료_한국심리'!$J1478,"")</f>
        <v/>
      </c>
      <c r="Y1494">
        <f>IF(AND(ISNUMBER('자료_한국심리'!$M1478),ISNUMBER('자료_한국심리'!$N1478)),'자료_한국심리'!$M1478,"")</f>
        <v/>
      </c>
    </row>
    <row r="1495">
      <c r="A1495" s="10">
        <f>IF(1477&gt;$E$5,"",SMALL($U$19:$U$4018,$E$6+1477))</f>
        <v/>
      </c>
      <c r="B1495" s="29">
        <f>IF(A1495="","",INDEX('자료_한국심리'!$B$3:$B$4002,MATCH(A1495,$U$19:$U$4018,0)))</f>
        <v/>
      </c>
      <c r="C1495" s="22">
        <f>IF(A1495="","",B1495/AVERAGE(B1371:B1495)-1)</f>
        <v/>
      </c>
      <c r="D1495" s="29">
        <f>IF(A1495="","",IFERROR(INDEX('자료_한국심리'!$E$3:$E$4002,MATCH(A1495,$V$19:$V$4018,0)),D1494))</f>
        <v/>
      </c>
      <c r="E1495" s="30">
        <f>IF(A1495="","",IFERROR(INDEX('자료_한국심리'!$H$3:$H$4002,MATCH(A1495,$W$19:$W$4018,0)),E1494))</f>
        <v/>
      </c>
      <c r="F1495" s="30">
        <f>IF(A1495="","",IFERROR(INDEX('자료_한국심리'!$K$3:$K$4002,MATCH(A1495,$X$19:$X$4018,0)),F1494))</f>
        <v/>
      </c>
      <c r="G1495" s="30">
        <f>IF(AND(ISNUMBER(E1495),ISNUMBER(F1495)),ROUND(E1495-F1495,6),"")</f>
        <v/>
      </c>
      <c r="H1495" s="25">
        <f>IF(A1495="","",IFERROR(INDEX('자료_한국심리'!$N$3:$N$4002,MATCH(A1495,$Y$19:$Y$4018,0)),H1494))</f>
        <v/>
      </c>
      <c r="I1495" s="31">
        <f>IF(AND(ISNUMBER(H1495),ISNUMBER(H1475)),IF(H1475&gt;0,H1495/H1475-1,""),"")</f>
        <v/>
      </c>
      <c r="J1495">
        <f>IF(A1495="",0,IF(A1495&gt;$B$5,1,0))</f>
        <v/>
      </c>
      <c r="K1495" s="29">
        <f>IF(AND(J1495=1,ISNUMBER(D1495)),D1495,"")</f>
        <v/>
      </c>
      <c r="L1495" s="30">
        <f>IF(AND(J1495=1,ISNUMBER(G1495)),G1495,"")</f>
        <v/>
      </c>
      <c r="M1495" s="22">
        <f>IF(AND(J1495=1,ISNUMBER(C1495)),C1495,"")</f>
        <v/>
      </c>
      <c r="N1495" s="31">
        <f>IF(AND(J1495=1,ISNUMBER(I1495)),I1495,"")</f>
        <v/>
      </c>
      <c r="O1495" s="11">
        <f>IF(K1495="","",100-IF($G$13=1,50,(_xlfn.RANK.AVG(K1495,$K$19:$K$1518,1)-1)/($G$13-1)*100))</f>
        <v/>
      </c>
      <c r="P1495" s="11">
        <f>IF(L1495="","",100-IF($G$14=1,50,(_xlfn.RANK.AVG(L1495,$L$19:$L$1518,1)-1)/($G$14-1)*100))</f>
        <v/>
      </c>
      <c r="Q1495" s="11">
        <f>IF(M1495="","",IF($G$15=1,50,(_xlfn.RANK.AVG(M1495,$M$19:$M$1518,1)-1)/($G$15-1)*100))</f>
        <v/>
      </c>
      <c r="R1495" s="11">
        <f>IF(N1495="","",IF($G$16=1,50,(_xlfn.RANK.AVG(N1495,$N$19:$N$1518,1)-1)/($G$16-1)*100))</f>
        <v/>
      </c>
      <c r="S1495" s="11">
        <f>IF(COUNT(O1495:R1495)=4,ROUND(AVERAGE(O1495:R1495),6),"")</f>
        <v/>
      </c>
      <c r="U1495">
        <f>IF(AND(ISNUMBER('자료_한국심리'!$A1479),ISNUMBER('자료_한국심리'!$B1479)),'자료_한국심리'!$A1479,"")</f>
        <v/>
      </c>
      <c r="V1495">
        <f>IF(AND(ISNUMBER('자료_한국심리'!$D1479),ISNUMBER('자료_한국심리'!$E1479)),'자료_한국심리'!$D1479,"")</f>
        <v/>
      </c>
      <c r="W1495">
        <f>IF(AND(ISNUMBER('자료_한국심리'!$G1479),ISNUMBER('자료_한국심리'!$H1479)),'자료_한국심리'!$G1479,"")</f>
        <v/>
      </c>
      <c r="X1495">
        <f>IF(AND(ISNUMBER('자료_한국심리'!$J1479),ISNUMBER('자료_한국심리'!$K1479)),'자료_한국심리'!$J1479,"")</f>
        <v/>
      </c>
      <c r="Y1495">
        <f>IF(AND(ISNUMBER('자료_한국심리'!$M1479),ISNUMBER('자료_한국심리'!$N1479)),'자료_한국심리'!$M1479,"")</f>
        <v/>
      </c>
    </row>
    <row r="1496">
      <c r="A1496" s="10">
        <f>IF(1478&gt;$E$5,"",SMALL($U$19:$U$4018,$E$6+1478))</f>
        <v/>
      </c>
      <c r="B1496" s="29">
        <f>IF(A1496="","",INDEX('자료_한국심리'!$B$3:$B$4002,MATCH(A1496,$U$19:$U$4018,0)))</f>
        <v/>
      </c>
      <c r="C1496" s="22">
        <f>IF(A1496="","",B1496/AVERAGE(B1372:B1496)-1)</f>
        <v/>
      </c>
      <c r="D1496" s="29">
        <f>IF(A1496="","",IFERROR(INDEX('자료_한국심리'!$E$3:$E$4002,MATCH(A1496,$V$19:$V$4018,0)),D1495))</f>
        <v/>
      </c>
      <c r="E1496" s="30">
        <f>IF(A1496="","",IFERROR(INDEX('자료_한국심리'!$H$3:$H$4002,MATCH(A1496,$W$19:$W$4018,0)),E1495))</f>
        <v/>
      </c>
      <c r="F1496" s="30">
        <f>IF(A1496="","",IFERROR(INDEX('자료_한국심리'!$K$3:$K$4002,MATCH(A1496,$X$19:$X$4018,0)),F1495))</f>
        <v/>
      </c>
      <c r="G1496" s="30">
        <f>IF(AND(ISNUMBER(E1496),ISNUMBER(F1496)),ROUND(E1496-F1496,6),"")</f>
        <v/>
      </c>
      <c r="H1496" s="25">
        <f>IF(A1496="","",IFERROR(INDEX('자료_한국심리'!$N$3:$N$4002,MATCH(A1496,$Y$19:$Y$4018,0)),H1495))</f>
        <v/>
      </c>
      <c r="I1496" s="31">
        <f>IF(AND(ISNUMBER(H1496),ISNUMBER(H1476)),IF(H1476&gt;0,H1496/H1476-1,""),"")</f>
        <v/>
      </c>
      <c r="J1496">
        <f>IF(A1496="",0,IF(A1496&gt;$B$5,1,0))</f>
        <v/>
      </c>
      <c r="K1496" s="29">
        <f>IF(AND(J1496=1,ISNUMBER(D1496)),D1496,"")</f>
        <v/>
      </c>
      <c r="L1496" s="30">
        <f>IF(AND(J1496=1,ISNUMBER(G1496)),G1496,"")</f>
        <v/>
      </c>
      <c r="M1496" s="22">
        <f>IF(AND(J1496=1,ISNUMBER(C1496)),C1496,"")</f>
        <v/>
      </c>
      <c r="N1496" s="31">
        <f>IF(AND(J1496=1,ISNUMBER(I1496)),I1496,"")</f>
        <v/>
      </c>
      <c r="O1496" s="11">
        <f>IF(K1496="","",100-IF($G$13=1,50,(_xlfn.RANK.AVG(K1496,$K$19:$K$1518,1)-1)/($G$13-1)*100))</f>
        <v/>
      </c>
      <c r="P1496" s="11">
        <f>IF(L1496="","",100-IF($G$14=1,50,(_xlfn.RANK.AVG(L1496,$L$19:$L$1518,1)-1)/($G$14-1)*100))</f>
        <v/>
      </c>
      <c r="Q1496" s="11">
        <f>IF(M1496="","",IF($G$15=1,50,(_xlfn.RANK.AVG(M1496,$M$19:$M$1518,1)-1)/($G$15-1)*100))</f>
        <v/>
      </c>
      <c r="R1496" s="11">
        <f>IF(N1496="","",IF($G$16=1,50,(_xlfn.RANK.AVG(N1496,$N$19:$N$1518,1)-1)/($G$16-1)*100))</f>
        <v/>
      </c>
      <c r="S1496" s="11">
        <f>IF(COUNT(O1496:R1496)=4,ROUND(AVERAGE(O1496:R1496),6),"")</f>
        <v/>
      </c>
      <c r="U1496">
        <f>IF(AND(ISNUMBER('자료_한국심리'!$A1480),ISNUMBER('자료_한국심리'!$B1480)),'자료_한국심리'!$A1480,"")</f>
        <v/>
      </c>
      <c r="V1496">
        <f>IF(AND(ISNUMBER('자료_한국심리'!$D1480),ISNUMBER('자료_한국심리'!$E1480)),'자료_한국심리'!$D1480,"")</f>
        <v/>
      </c>
      <c r="W1496">
        <f>IF(AND(ISNUMBER('자료_한국심리'!$G1480),ISNUMBER('자료_한국심리'!$H1480)),'자료_한국심리'!$G1480,"")</f>
        <v/>
      </c>
      <c r="X1496">
        <f>IF(AND(ISNUMBER('자료_한국심리'!$J1480),ISNUMBER('자료_한국심리'!$K1480)),'자료_한국심리'!$J1480,"")</f>
        <v/>
      </c>
      <c r="Y1496">
        <f>IF(AND(ISNUMBER('자료_한국심리'!$M1480),ISNUMBER('자료_한국심리'!$N1480)),'자료_한국심리'!$M1480,"")</f>
        <v/>
      </c>
    </row>
    <row r="1497">
      <c r="A1497" s="10">
        <f>IF(1479&gt;$E$5,"",SMALL($U$19:$U$4018,$E$6+1479))</f>
        <v/>
      </c>
      <c r="B1497" s="29">
        <f>IF(A1497="","",INDEX('자료_한국심리'!$B$3:$B$4002,MATCH(A1497,$U$19:$U$4018,0)))</f>
        <v/>
      </c>
      <c r="C1497" s="22">
        <f>IF(A1497="","",B1497/AVERAGE(B1373:B1497)-1)</f>
        <v/>
      </c>
      <c r="D1497" s="29">
        <f>IF(A1497="","",IFERROR(INDEX('자료_한국심리'!$E$3:$E$4002,MATCH(A1497,$V$19:$V$4018,0)),D1496))</f>
        <v/>
      </c>
      <c r="E1497" s="30">
        <f>IF(A1497="","",IFERROR(INDEX('자료_한국심리'!$H$3:$H$4002,MATCH(A1497,$W$19:$W$4018,0)),E1496))</f>
        <v/>
      </c>
      <c r="F1497" s="30">
        <f>IF(A1497="","",IFERROR(INDEX('자료_한국심리'!$K$3:$K$4002,MATCH(A1497,$X$19:$X$4018,0)),F1496))</f>
        <v/>
      </c>
      <c r="G1497" s="30">
        <f>IF(AND(ISNUMBER(E1497),ISNUMBER(F1497)),ROUND(E1497-F1497,6),"")</f>
        <v/>
      </c>
      <c r="H1497" s="25">
        <f>IF(A1497="","",IFERROR(INDEX('자료_한국심리'!$N$3:$N$4002,MATCH(A1497,$Y$19:$Y$4018,0)),H1496))</f>
        <v/>
      </c>
      <c r="I1497" s="31">
        <f>IF(AND(ISNUMBER(H1497),ISNUMBER(H1477)),IF(H1477&gt;0,H1497/H1477-1,""),"")</f>
        <v/>
      </c>
      <c r="J1497">
        <f>IF(A1497="",0,IF(A1497&gt;$B$5,1,0))</f>
        <v/>
      </c>
      <c r="K1497" s="29">
        <f>IF(AND(J1497=1,ISNUMBER(D1497)),D1497,"")</f>
        <v/>
      </c>
      <c r="L1497" s="30">
        <f>IF(AND(J1497=1,ISNUMBER(G1497)),G1497,"")</f>
        <v/>
      </c>
      <c r="M1497" s="22">
        <f>IF(AND(J1497=1,ISNUMBER(C1497)),C1497,"")</f>
        <v/>
      </c>
      <c r="N1497" s="31">
        <f>IF(AND(J1497=1,ISNUMBER(I1497)),I1497,"")</f>
        <v/>
      </c>
      <c r="O1497" s="11">
        <f>IF(K1497="","",100-IF($G$13=1,50,(_xlfn.RANK.AVG(K1497,$K$19:$K$1518,1)-1)/($G$13-1)*100))</f>
        <v/>
      </c>
      <c r="P1497" s="11">
        <f>IF(L1497="","",100-IF($G$14=1,50,(_xlfn.RANK.AVG(L1497,$L$19:$L$1518,1)-1)/($G$14-1)*100))</f>
        <v/>
      </c>
      <c r="Q1497" s="11">
        <f>IF(M1497="","",IF($G$15=1,50,(_xlfn.RANK.AVG(M1497,$M$19:$M$1518,1)-1)/($G$15-1)*100))</f>
        <v/>
      </c>
      <c r="R1497" s="11">
        <f>IF(N1497="","",IF($G$16=1,50,(_xlfn.RANK.AVG(N1497,$N$19:$N$1518,1)-1)/($G$16-1)*100))</f>
        <v/>
      </c>
      <c r="S1497" s="11">
        <f>IF(COUNT(O1497:R1497)=4,ROUND(AVERAGE(O1497:R1497),6),"")</f>
        <v/>
      </c>
      <c r="U1497">
        <f>IF(AND(ISNUMBER('자료_한국심리'!$A1481),ISNUMBER('자료_한국심리'!$B1481)),'자료_한국심리'!$A1481,"")</f>
        <v/>
      </c>
      <c r="V1497">
        <f>IF(AND(ISNUMBER('자료_한국심리'!$D1481),ISNUMBER('자료_한국심리'!$E1481)),'자료_한국심리'!$D1481,"")</f>
        <v/>
      </c>
      <c r="W1497">
        <f>IF(AND(ISNUMBER('자료_한국심리'!$G1481),ISNUMBER('자료_한국심리'!$H1481)),'자료_한국심리'!$G1481,"")</f>
        <v/>
      </c>
      <c r="X1497">
        <f>IF(AND(ISNUMBER('자료_한국심리'!$J1481),ISNUMBER('자료_한국심리'!$K1481)),'자료_한국심리'!$J1481,"")</f>
        <v/>
      </c>
      <c r="Y1497">
        <f>IF(AND(ISNUMBER('자료_한국심리'!$M1481),ISNUMBER('자료_한국심리'!$N1481)),'자료_한국심리'!$M1481,"")</f>
        <v/>
      </c>
    </row>
    <row r="1498">
      <c r="A1498" s="10">
        <f>IF(1480&gt;$E$5,"",SMALL($U$19:$U$4018,$E$6+1480))</f>
        <v/>
      </c>
      <c r="B1498" s="29">
        <f>IF(A1498="","",INDEX('자료_한국심리'!$B$3:$B$4002,MATCH(A1498,$U$19:$U$4018,0)))</f>
        <v/>
      </c>
      <c r="C1498" s="22">
        <f>IF(A1498="","",B1498/AVERAGE(B1374:B1498)-1)</f>
        <v/>
      </c>
      <c r="D1498" s="29">
        <f>IF(A1498="","",IFERROR(INDEX('자료_한국심리'!$E$3:$E$4002,MATCH(A1498,$V$19:$V$4018,0)),D1497))</f>
        <v/>
      </c>
      <c r="E1498" s="30">
        <f>IF(A1498="","",IFERROR(INDEX('자료_한국심리'!$H$3:$H$4002,MATCH(A1498,$W$19:$W$4018,0)),E1497))</f>
        <v/>
      </c>
      <c r="F1498" s="30">
        <f>IF(A1498="","",IFERROR(INDEX('자료_한국심리'!$K$3:$K$4002,MATCH(A1498,$X$19:$X$4018,0)),F1497))</f>
        <v/>
      </c>
      <c r="G1498" s="30">
        <f>IF(AND(ISNUMBER(E1498),ISNUMBER(F1498)),ROUND(E1498-F1498,6),"")</f>
        <v/>
      </c>
      <c r="H1498" s="25">
        <f>IF(A1498="","",IFERROR(INDEX('자료_한국심리'!$N$3:$N$4002,MATCH(A1498,$Y$19:$Y$4018,0)),H1497))</f>
        <v/>
      </c>
      <c r="I1498" s="31">
        <f>IF(AND(ISNUMBER(H1498),ISNUMBER(H1478)),IF(H1478&gt;0,H1498/H1478-1,""),"")</f>
        <v/>
      </c>
      <c r="J1498">
        <f>IF(A1498="",0,IF(A1498&gt;$B$5,1,0))</f>
        <v/>
      </c>
      <c r="K1498" s="29">
        <f>IF(AND(J1498=1,ISNUMBER(D1498)),D1498,"")</f>
        <v/>
      </c>
      <c r="L1498" s="30">
        <f>IF(AND(J1498=1,ISNUMBER(G1498)),G1498,"")</f>
        <v/>
      </c>
      <c r="M1498" s="22">
        <f>IF(AND(J1498=1,ISNUMBER(C1498)),C1498,"")</f>
        <v/>
      </c>
      <c r="N1498" s="31">
        <f>IF(AND(J1498=1,ISNUMBER(I1498)),I1498,"")</f>
        <v/>
      </c>
      <c r="O1498" s="11">
        <f>IF(K1498="","",100-IF($G$13=1,50,(_xlfn.RANK.AVG(K1498,$K$19:$K$1518,1)-1)/($G$13-1)*100))</f>
        <v/>
      </c>
      <c r="P1498" s="11">
        <f>IF(L1498="","",100-IF($G$14=1,50,(_xlfn.RANK.AVG(L1498,$L$19:$L$1518,1)-1)/($G$14-1)*100))</f>
        <v/>
      </c>
      <c r="Q1498" s="11">
        <f>IF(M1498="","",IF($G$15=1,50,(_xlfn.RANK.AVG(M1498,$M$19:$M$1518,1)-1)/($G$15-1)*100))</f>
        <v/>
      </c>
      <c r="R1498" s="11">
        <f>IF(N1498="","",IF($G$16=1,50,(_xlfn.RANK.AVG(N1498,$N$19:$N$1518,1)-1)/($G$16-1)*100))</f>
        <v/>
      </c>
      <c r="S1498" s="11">
        <f>IF(COUNT(O1498:R1498)=4,ROUND(AVERAGE(O1498:R1498),6),"")</f>
        <v/>
      </c>
      <c r="U1498">
        <f>IF(AND(ISNUMBER('자료_한국심리'!$A1482),ISNUMBER('자료_한국심리'!$B1482)),'자료_한국심리'!$A1482,"")</f>
        <v/>
      </c>
      <c r="V1498">
        <f>IF(AND(ISNUMBER('자료_한국심리'!$D1482),ISNUMBER('자료_한국심리'!$E1482)),'자료_한국심리'!$D1482,"")</f>
        <v/>
      </c>
      <c r="W1498">
        <f>IF(AND(ISNUMBER('자료_한국심리'!$G1482),ISNUMBER('자료_한국심리'!$H1482)),'자료_한국심리'!$G1482,"")</f>
        <v/>
      </c>
      <c r="X1498">
        <f>IF(AND(ISNUMBER('자료_한국심리'!$J1482),ISNUMBER('자료_한국심리'!$K1482)),'자료_한국심리'!$J1482,"")</f>
        <v/>
      </c>
      <c r="Y1498">
        <f>IF(AND(ISNUMBER('자료_한국심리'!$M1482),ISNUMBER('자료_한국심리'!$N1482)),'자료_한국심리'!$M1482,"")</f>
        <v/>
      </c>
    </row>
    <row r="1499">
      <c r="A1499" s="10">
        <f>IF(1481&gt;$E$5,"",SMALL($U$19:$U$4018,$E$6+1481))</f>
        <v/>
      </c>
      <c r="B1499" s="29">
        <f>IF(A1499="","",INDEX('자료_한국심리'!$B$3:$B$4002,MATCH(A1499,$U$19:$U$4018,0)))</f>
        <v/>
      </c>
      <c r="C1499" s="22">
        <f>IF(A1499="","",B1499/AVERAGE(B1375:B1499)-1)</f>
        <v/>
      </c>
      <c r="D1499" s="29">
        <f>IF(A1499="","",IFERROR(INDEX('자료_한국심리'!$E$3:$E$4002,MATCH(A1499,$V$19:$V$4018,0)),D1498))</f>
        <v/>
      </c>
      <c r="E1499" s="30">
        <f>IF(A1499="","",IFERROR(INDEX('자료_한국심리'!$H$3:$H$4002,MATCH(A1499,$W$19:$W$4018,0)),E1498))</f>
        <v/>
      </c>
      <c r="F1499" s="30">
        <f>IF(A1499="","",IFERROR(INDEX('자료_한국심리'!$K$3:$K$4002,MATCH(A1499,$X$19:$X$4018,0)),F1498))</f>
        <v/>
      </c>
      <c r="G1499" s="30">
        <f>IF(AND(ISNUMBER(E1499),ISNUMBER(F1499)),ROUND(E1499-F1499,6),"")</f>
        <v/>
      </c>
      <c r="H1499" s="25">
        <f>IF(A1499="","",IFERROR(INDEX('자료_한국심리'!$N$3:$N$4002,MATCH(A1499,$Y$19:$Y$4018,0)),H1498))</f>
        <v/>
      </c>
      <c r="I1499" s="31">
        <f>IF(AND(ISNUMBER(H1499),ISNUMBER(H1479)),IF(H1479&gt;0,H1499/H1479-1,""),"")</f>
        <v/>
      </c>
      <c r="J1499">
        <f>IF(A1499="",0,IF(A1499&gt;$B$5,1,0))</f>
        <v/>
      </c>
      <c r="K1499" s="29">
        <f>IF(AND(J1499=1,ISNUMBER(D1499)),D1499,"")</f>
        <v/>
      </c>
      <c r="L1499" s="30">
        <f>IF(AND(J1499=1,ISNUMBER(G1499)),G1499,"")</f>
        <v/>
      </c>
      <c r="M1499" s="22">
        <f>IF(AND(J1499=1,ISNUMBER(C1499)),C1499,"")</f>
        <v/>
      </c>
      <c r="N1499" s="31">
        <f>IF(AND(J1499=1,ISNUMBER(I1499)),I1499,"")</f>
        <v/>
      </c>
      <c r="O1499" s="11">
        <f>IF(K1499="","",100-IF($G$13=1,50,(_xlfn.RANK.AVG(K1499,$K$19:$K$1518,1)-1)/($G$13-1)*100))</f>
        <v/>
      </c>
      <c r="P1499" s="11">
        <f>IF(L1499="","",100-IF($G$14=1,50,(_xlfn.RANK.AVG(L1499,$L$19:$L$1518,1)-1)/($G$14-1)*100))</f>
        <v/>
      </c>
      <c r="Q1499" s="11">
        <f>IF(M1499="","",IF($G$15=1,50,(_xlfn.RANK.AVG(M1499,$M$19:$M$1518,1)-1)/($G$15-1)*100))</f>
        <v/>
      </c>
      <c r="R1499" s="11">
        <f>IF(N1499="","",IF($G$16=1,50,(_xlfn.RANK.AVG(N1499,$N$19:$N$1518,1)-1)/($G$16-1)*100))</f>
        <v/>
      </c>
      <c r="S1499" s="11">
        <f>IF(COUNT(O1499:R1499)=4,ROUND(AVERAGE(O1499:R1499),6),"")</f>
        <v/>
      </c>
      <c r="U1499">
        <f>IF(AND(ISNUMBER('자료_한국심리'!$A1483),ISNUMBER('자료_한국심리'!$B1483)),'자료_한국심리'!$A1483,"")</f>
        <v/>
      </c>
      <c r="V1499">
        <f>IF(AND(ISNUMBER('자료_한국심리'!$D1483),ISNUMBER('자료_한국심리'!$E1483)),'자료_한국심리'!$D1483,"")</f>
        <v/>
      </c>
      <c r="W1499">
        <f>IF(AND(ISNUMBER('자료_한국심리'!$G1483),ISNUMBER('자료_한국심리'!$H1483)),'자료_한국심리'!$G1483,"")</f>
        <v/>
      </c>
      <c r="X1499">
        <f>IF(AND(ISNUMBER('자료_한국심리'!$J1483),ISNUMBER('자료_한국심리'!$K1483)),'자료_한국심리'!$J1483,"")</f>
        <v/>
      </c>
      <c r="Y1499">
        <f>IF(AND(ISNUMBER('자료_한국심리'!$M1483),ISNUMBER('자료_한국심리'!$N1483)),'자료_한국심리'!$M1483,"")</f>
        <v/>
      </c>
    </row>
    <row r="1500">
      <c r="A1500" s="10">
        <f>IF(1482&gt;$E$5,"",SMALL($U$19:$U$4018,$E$6+1482))</f>
        <v/>
      </c>
      <c r="B1500" s="29">
        <f>IF(A1500="","",INDEX('자료_한국심리'!$B$3:$B$4002,MATCH(A1500,$U$19:$U$4018,0)))</f>
        <v/>
      </c>
      <c r="C1500" s="22">
        <f>IF(A1500="","",B1500/AVERAGE(B1376:B1500)-1)</f>
        <v/>
      </c>
      <c r="D1500" s="29">
        <f>IF(A1500="","",IFERROR(INDEX('자료_한국심리'!$E$3:$E$4002,MATCH(A1500,$V$19:$V$4018,0)),D1499))</f>
        <v/>
      </c>
      <c r="E1500" s="30">
        <f>IF(A1500="","",IFERROR(INDEX('자료_한국심리'!$H$3:$H$4002,MATCH(A1500,$W$19:$W$4018,0)),E1499))</f>
        <v/>
      </c>
      <c r="F1500" s="30">
        <f>IF(A1500="","",IFERROR(INDEX('자료_한국심리'!$K$3:$K$4002,MATCH(A1500,$X$19:$X$4018,0)),F1499))</f>
        <v/>
      </c>
      <c r="G1500" s="30">
        <f>IF(AND(ISNUMBER(E1500),ISNUMBER(F1500)),ROUND(E1500-F1500,6),"")</f>
        <v/>
      </c>
      <c r="H1500" s="25">
        <f>IF(A1500="","",IFERROR(INDEX('자료_한국심리'!$N$3:$N$4002,MATCH(A1500,$Y$19:$Y$4018,0)),H1499))</f>
        <v/>
      </c>
      <c r="I1500" s="31">
        <f>IF(AND(ISNUMBER(H1500),ISNUMBER(H1480)),IF(H1480&gt;0,H1500/H1480-1,""),"")</f>
        <v/>
      </c>
      <c r="J1500">
        <f>IF(A1500="",0,IF(A1500&gt;$B$5,1,0))</f>
        <v/>
      </c>
      <c r="K1500" s="29">
        <f>IF(AND(J1500=1,ISNUMBER(D1500)),D1500,"")</f>
        <v/>
      </c>
      <c r="L1500" s="30">
        <f>IF(AND(J1500=1,ISNUMBER(G1500)),G1500,"")</f>
        <v/>
      </c>
      <c r="M1500" s="22">
        <f>IF(AND(J1500=1,ISNUMBER(C1500)),C1500,"")</f>
        <v/>
      </c>
      <c r="N1500" s="31">
        <f>IF(AND(J1500=1,ISNUMBER(I1500)),I1500,"")</f>
        <v/>
      </c>
      <c r="O1500" s="11">
        <f>IF(K1500="","",100-IF($G$13=1,50,(_xlfn.RANK.AVG(K1500,$K$19:$K$1518,1)-1)/($G$13-1)*100))</f>
        <v/>
      </c>
      <c r="P1500" s="11">
        <f>IF(L1500="","",100-IF($G$14=1,50,(_xlfn.RANK.AVG(L1500,$L$19:$L$1518,1)-1)/($G$14-1)*100))</f>
        <v/>
      </c>
      <c r="Q1500" s="11">
        <f>IF(M1500="","",IF($G$15=1,50,(_xlfn.RANK.AVG(M1500,$M$19:$M$1518,1)-1)/($G$15-1)*100))</f>
        <v/>
      </c>
      <c r="R1500" s="11">
        <f>IF(N1500="","",IF($G$16=1,50,(_xlfn.RANK.AVG(N1500,$N$19:$N$1518,1)-1)/($G$16-1)*100))</f>
        <v/>
      </c>
      <c r="S1500" s="11">
        <f>IF(COUNT(O1500:R1500)=4,ROUND(AVERAGE(O1500:R1500),6),"")</f>
        <v/>
      </c>
      <c r="U1500">
        <f>IF(AND(ISNUMBER('자료_한국심리'!$A1484),ISNUMBER('자료_한국심리'!$B1484)),'자료_한국심리'!$A1484,"")</f>
        <v/>
      </c>
      <c r="V1500">
        <f>IF(AND(ISNUMBER('자료_한국심리'!$D1484),ISNUMBER('자료_한국심리'!$E1484)),'자료_한국심리'!$D1484,"")</f>
        <v/>
      </c>
      <c r="W1500">
        <f>IF(AND(ISNUMBER('자료_한국심리'!$G1484),ISNUMBER('자료_한국심리'!$H1484)),'자료_한국심리'!$G1484,"")</f>
        <v/>
      </c>
      <c r="X1500">
        <f>IF(AND(ISNUMBER('자료_한국심리'!$J1484),ISNUMBER('자료_한국심리'!$K1484)),'자료_한국심리'!$J1484,"")</f>
        <v/>
      </c>
      <c r="Y1500">
        <f>IF(AND(ISNUMBER('자료_한국심리'!$M1484),ISNUMBER('자료_한국심리'!$N1484)),'자료_한국심리'!$M1484,"")</f>
        <v/>
      </c>
    </row>
    <row r="1501">
      <c r="A1501" s="10">
        <f>IF(1483&gt;$E$5,"",SMALL($U$19:$U$4018,$E$6+1483))</f>
        <v/>
      </c>
      <c r="B1501" s="29">
        <f>IF(A1501="","",INDEX('자료_한국심리'!$B$3:$B$4002,MATCH(A1501,$U$19:$U$4018,0)))</f>
        <v/>
      </c>
      <c r="C1501" s="22">
        <f>IF(A1501="","",B1501/AVERAGE(B1377:B1501)-1)</f>
        <v/>
      </c>
      <c r="D1501" s="29">
        <f>IF(A1501="","",IFERROR(INDEX('자료_한국심리'!$E$3:$E$4002,MATCH(A1501,$V$19:$V$4018,0)),D1500))</f>
        <v/>
      </c>
      <c r="E1501" s="30">
        <f>IF(A1501="","",IFERROR(INDEX('자료_한국심리'!$H$3:$H$4002,MATCH(A1501,$W$19:$W$4018,0)),E1500))</f>
        <v/>
      </c>
      <c r="F1501" s="30">
        <f>IF(A1501="","",IFERROR(INDEX('자료_한국심리'!$K$3:$K$4002,MATCH(A1501,$X$19:$X$4018,0)),F1500))</f>
        <v/>
      </c>
      <c r="G1501" s="30">
        <f>IF(AND(ISNUMBER(E1501),ISNUMBER(F1501)),ROUND(E1501-F1501,6),"")</f>
        <v/>
      </c>
      <c r="H1501" s="25">
        <f>IF(A1501="","",IFERROR(INDEX('자료_한국심리'!$N$3:$N$4002,MATCH(A1501,$Y$19:$Y$4018,0)),H1500))</f>
        <v/>
      </c>
      <c r="I1501" s="31">
        <f>IF(AND(ISNUMBER(H1501),ISNUMBER(H1481)),IF(H1481&gt;0,H1501/H1481-1,""),"")</f>
        <v/>
      </c>
      <c r="J1501">
        <f>IF(A1501="",0,IF(A1501&gt;$B$5,1,0))</f>
        <v/>
      </c>
      <c r="K1501" s="29">
        <f>IF(AND(J1501=1,ISNUMBER(D1501)),D1501,"")</f>
        <v/>
      </c>
      <c r="L1501" s="30">
        <f>IF(AND(J1501=1,ISNUMBER(G1501)),G1501,"")</f>
        <v/>
      </c>
      <c r="M1501" s="22">
        <f>IF(AND(J1501=1,ISNUMBER(C1501)),C1501,"")</f>
        <v/>
      </c>
      <c r="N1501" s="31">
        <f>IF(AND(J1501=1,ISNUMBER(I1501)),I1501,"")</f>
        <v/>
      </c>
      <c r="O1501" s="11">
        <f>IF(K1501="","",100-IF($G$13=1,50,(_xlfn.RANK.AVG(K1501,$K$19:$K$1518,1)-1)/($G$13-1)*100))</f>
        <v/>
      </c>
      <c r="P1501" s="11">
        <f>IF(L1501="","",100-IF($G$14=1,50,(_xlfn.RANK.AVG(L1501,$L$19:$L$1518,1)-1)/($G$14-1)*100))</f>
        <v/>
      </c>
      <c r="Q1501" s="11">
        <f>IF(M1501="","",IF($G$15=1,50,(_xlfn.RANK.AVG(M1501,$M$19:$M$1518,1)-1)/($G$15-1)*100))</f>
        <v/>
      </c>
      <c r="R1501" s="11">
        <f>IF(N1501="","",IF($G$16=1,50,(_xlfn.RANK.AVG(N1501,$N$19:$N$1518,1)-1)/($G$16-1)*100))</f>
        <v/>
      </c>
      <c r="S1501" s="11">
        <f>IF(COUNT(O1501:R1501)=4,ROUND(AVERAGE(O1501:R1501),6),"")</f>
        <v/>
      </c>
      <c r="U1501">
        <f>IF(AND(ISNUMBER('자료_한국심리'!$A1485),ISNUMBER('자료_한국심리'!$B1485)),'자료_한국심리'!$A1485,"")</f>
        <v/>
      </c>
      <c r="V1501">
        <f>IF(AND(ISNUMBER('자료_한국심리'!$D1485),ISNUMBER('자료_한국심리'!$E1485)),'자료_한국심리'!$D1485,"")</f>
        <v/>
      </c>
      <c r="W1501">
        <f>IF(AND(ISNUMBER('자료_한국심리'!$G1485),ISNUMBER('자료_한국심리'!$H1485)),'자료_한국심리'!$G1485,"")</f>
        <v/>
      </c>
      <c r="X1501">
        <f>IF(AND(ISNUMBER('자료_한국심리'!$J1485),ISNUMBER('자료_한국심리'!$K1485)),'자료_한국심리'!$J1485,"")</f>
        <v/>
      </c>
      <c r="Y1501">
        <f>IF(AND(ISNUMBER('자료_한국심리'!$M1485),ISNUMBER('자료_한국심리'!$N1485)),'자료_한국심리'!$M1485,"")</f>
        <v/>
      </c>
    </row>
    <row r="1502">
      <c r="A1502" s="10">
        <f>IF(1484&gt;$E$5,"",SMALL($U$19:$U$4018,$E$6+1484))</f>
        <v/>
      </c>
      <c r="B1502" s="29">
        <f>IF(A1502="","",INDEX('자료_한국심리'!$B$3:$B$4002,MATCH(A1502,$U$19:$U$4018,0)))</f>
        <v/>
      </c>
      <c r="C1502" s="22">
        <f>IF(A1502="","",B1502/AVERAGE(B1378:B1502)-1)</f>
        <v/>
      </c>
      <c r="D1502" s="29">
        <f>IF(A1502="","",IFERROR(INDEX('자료_한국심리'!$E$3:$E$4002,MATCH(A1502,$V$19:$V$4018,0)),D1501))</f>
        <v/>
      </c>
      <c r="E1502" s="30">
        <f>IF(A1502="","",IFERROR(INDEX('자료_한국심리'!$H$3:$H$4002,MATCH(A1502,$W$19:$W$4018,0)),E1501))</f>
        <v/>
      </c>
      <c r="F1502" s="30">
        <f>IF(A1502="","",IFERROR(INDEX('자료_한국심리'!$K$3:$K$4002,MATCH(A1502,$X$19:$X$4018,0)),F1501))</f>
        <v/>
      </c>
      <c r="G1502" s="30">
        <f>IF(AND(ISNUMBER(E1502),ISNUMBER(F1502)),ROUND(E1502-F1502,6),"")</f>
        <v/>
      </c>
      <c r="H1502" s="25">
        <f>IF(A1502="","",IFERROR(INDEX('자료_한국심리'!$N$3:$N$4002,MATCH(A1502,$Y$19:$Y$4018,0)),H1501))</f>
        <v/>
      </c>
      <c r="I1502" s="31">
        <f>IF(AND(ISNUMBER(H1502),ISNUMBER(H1482)),IF(H1482&gt;0,H1502/H1482-1,""),"")</f>
        <v/>
      </c>
      <c r="J1502">
        <f>IF(A1502="",0,IF(A1502&gt;$B$5,1,0))</f>
        <v/>
      </c>
      <c r="K1502" s="29">
        <f>IF(AND(J1502=1,ISNUMBER(D1502)),D1502,"")</f>
        <v/>
      </c>
      <c r="L1502" s="30">
        <f>IF(AND(J1502=1,ISNUMBER(G1502)),G1502,"")</f>
        <v/>
      </c>
      <c r="M1502" s="22">
        <f>IF(AND(J1502=1,ISNUMBER(C1502)),C1502,"")</f>
        <v/>
      </c>
      <c r="N1502" s="31">
        <f>IF(AND(J1502=1,ISNUMBER(I1502)),I1502,"")</f>
        <v/>
      </c>
      <c r="O1502" s="11">
        <f>IF(K1502="","",100-IF($G$13=1,50,(_xlfn.RANK.AVG(K1502,$K$19:$K$1518,1)-1)/($G$13-1)*100))</f>
        <v/>
      </c>
      <c r="P1502" s="11">
        <f>IF(L1502="","",100-IF($G$14=1,50,(_xlfn.RANK.AVG(L1502,$L$19:$L$1518,1)-1)/($G$14-1)*100))</f>
        <v/>
      </c>
      <c r="Q1502" s="11">
        <f>IF(M1502="","",IF($G$15=1,50,(_xlfn.RANK.AVG(M1502,$M$19:$M$1518,1)-1)/($G$15-1)*100))</f>
        <v/>
      </c>
      <c r="R1502" s="11">
        <f>IF(N1502="","",IF($G$16=1,50,(_xlfn.RANK.AVG(N1502,$N$19:$N$1518,1)-1)/($G$16-1)*100))</f>
        <v/>
      </c>
      <c r="S1502" s="11">
        <f>IF(COUNT(O1502:R1502)=4,ROUND(AVERAGE(O1502:R1502),6),"")</f>
        <v/>
      </c>
      <c r="U1502">
        <f>IF(AND(ISNUMBER('자료_한국심리'!$A1486),ISNUMBER('자료_한국심리'!$B1486)),'자료_한국심리'!$A1486,"")</f>
        <v/>
      </c>
      <c r="V1502">
        <f>IF(AND(ISNUMBER('자료_한국심리'!$D1486),ISNUMBER('자료_한국심리'!$E1486)),'자료_한국심리'!$D1486,"")</f>
        <v/>
      </c>
      <c r="W1502">
        <f>IF(AND(ISNUMBER('자료_한국심리'!$G1486),ISNUMBER('자료_한국심리'!$H1486)),'자료_한국심리'!$G1486,"")</f>
        <v/>
      </c>
      <c r="X1502">
        <f>IF(AND(ISNUMBER('자료_한국심리'!$J1486),ISNUMBER('자료_한국심리'!$K1486)),'자료_한국심리'!$J1486,"")</f>
        <v/>
      </c>
      <c r="Y1502">
        <f>IF(AND(ISNUMBER('자료_한국심리'!$M1486),ISNUMBER('자료_한국심리'!$N1486)),'자료_한국심리'!$M1486,"")</f>
        <v/>
      </c>
    </row>
    <row r="1503">
      <c r="A1503" s="10">
        <f>IF(1485&gt;$E$5,"",SMALL($U$19:$U$4018,$E$6+1485))</f>
        <v/>
      </c>
      <c r="B1503" s="29">
        <f>IF(A1503="","",INDEX('자료_한국심리'!$B$3:$B$4002,MATCH(A1503,$U$19:$U$4018,0)))</f>
        <v/>
      </c>
      <c r="C1503" s="22">
        <f>IF(A1503="","",B1503/AVERAGE(B1379:B1503)-1)</f>
        <v/>
      </c>
      <c r="D1503" s="29">
        <f>IF(A1503="","",IFERROR(INDEX('자료_한국심리'!$E$3:$E$4002,MATCH(A1503,$V$19:$V$4018,0)),D1502))</f>
        <v/>
      </c>
      <c r="E1503" s="30">
        <f>IF(A1503="","",IFERROR(INDEX('자료_한국심리'!$H$3:$H$4002,MATCH(A1503,$W$19:$W$4018,0)),E1502))</f>
        <v/>
      </c>
      <c r="F1503" s="30">
        <f>IF(A1503="","",IFERROR(INDEX('자료_한국심리'!$K$3:$K$4002,MATCH(A1503,$X$19:$X$4018,0)),F1502))</f>
        <v/>
      </c>
      <c r="G1503" s="30">
        <f>IF(AND(ISNUMBER(E1503),ISNUMBER(F1503)),ROUND(E1503-F1503,6),"")</f>
        <v/>
      </c>
      <c r="H1503" s="25">
        <f>IF(A1503="","",IFERROR(INDEX('자료_한국심리'!$N$3:$N$4002,MATCH(A1503,$Y$19:$Y$4018,0)),H1502))</f>
        <v/>
      </c>
      <c r="I1503" s="31">
        <f>IF(AND(ISNUMBER(H1503),ISNUMBER(H1483)),IF(H1483&gt;0,H1503/H1483-1,""),"")</f>
        <v/>
      </c>
      <c r="J1503">
        <f>IF(A1503="",0,IF(A1503&gt;$B$5,1,0))</f>
        <v/>
      </c>
      <c r="K1503" s="29">
        <f>IF(AND(J1503=1,ISNUMBER(D1503)),D1503,"")</f>
        <v/>
      </c>
      <c r="L1503" s="30">
        <f>IF(AND(J1503=1,ISNUMBER(G1503)),G1503,"")</f>
        <v/>
      </c>
      <c r="M1503" s="22">
        <f>IF(AND(J1503=1,ISNUMBER(C1503)),C1503,"")</f>
        <v/>
      </c>
      <c r="N1503" s="31">
        <f>IF(AND(J1503=1,ISNUMBER(I1503)),I1503,"")</f>
        <v/>
      </c>
      <c r="O1503" s="11">
        <f>IF(K1503="","",100-IF($G$13=1,50,(_xlfn.RANK.AVG(K1503,$K$19:$K$1518,1)-1)/($G$13-1)*100))</f>
        <v/>
      </c>
      <c r="P1503" s="11">
        <f>IF(L1503="","",100-IF($G$14=1,50,(_xlfn.RANK.AVG(L1503,$L$19:$L$1518,1)-1)/($G$14-1)*100))</f>
        <v/>
      </c>
      <c r="Q1503" s="11">
        <f>IF(M1503="","",IF($G$15=1,50,(_xlfn.RANK.AVG(M1503,$M$19:$M$1518,1)-1)/($G$15-1)*100))</f>
        <v/>
      </c>
      <c r="R1503" s="11">
        <f>IF(N1503="","",IF($G$16=1,50,(_xlfn.RANK.AVG(N1503,$N$19:$N$1518,1)-1)/($G$16-1)*100))</f>
        <v/>
      </c>
      <c r="S1503" s="11">
        <f>IF(COUNT(O1503:R1503)=4,ROUND(AVERAGE(O1503:R1503),6),"")</f>
        <v/>
      </c>
      <c r="U1503">
        <f>IF(AND(ISNUMBER('자료_한국심리'!$A1487),ISNUMBER('자료_한국심리'!$B1487)),'자료_한국심리'!$A1487,"")</f>
        <v/>
      </c>
      <c r="V1503">
        <f>IF(AND(ISNUMBER('자료_한국심리'!$D1487),ISNUMBER('자료_한국심리'!$E1487)),'자료_한국심리'!$D1487,"")</f>
        <v/>
      </c>
      <c r="W1503">
        <f>IF(AND(ISNUMBER('자료_한국심리'!$G1487),ISNUMBER('자료_한국심리'!$H1487)),'자료_한국심리'!$G1487,"")</f>
        <v/>
      </c>
      <c r="X1503">
        <f>IF(AND(ISNUMBER('자료_한국심리'!$J1487),ISNUMBER('자료_한국심리'!$K1487)),'자료_한국심리'!$J1487,"")</f>
        <v/>
      </c>
      <c r="Y1503">
        <f>IF(AND(ISNUMBER('자료_한국심리'!$M1487),ISNUMBER('자료_한국심리'!$N1487)),'자료_한국심리'!$M1487,"")</f>
        <v/>
      </c>
    </row>
    <row r="1504">
      <c r="A1504" s="10">
        <f>IF(1486&gt;$E$5,"",SMALL($U$19:$U$4018,$E$6+1486))</f>
        <v/>
      </c>
      <c r="B1504" s="29">
        <f>IF(A1504="","",INDEX('자료_한국심리'!$B$3:$B$4002,MATCH(A1504,$U$19:$U$4018,0)))</f>
        <v/>
      </c>
      <c r="C1504" s="22">
        <f>IF(A1504="","",B1504/AVERAGE(B1380:B1504)-1)</f>
        <v/>
      </c>
      <c r="D1504" s="29">
        <f>IF(A1504="","",IFERROR(INDEX('자료_한국심리'!$E$3:$E$4002,MATCH(A1504,$V$19:$V$4018,0)),D1503))</f>
        <v/>
      </c>
      <c r="E1504" s="30">
        <f>IF(A1504="","",IFERROR(INDEX('자료_한국심리'!$H$3:$H$4002,MATCH(A1504,$W$19:$W$4018,0)),E1503))</f>
        <v/>
      </c>
      <c r="F1504" s="30">
        <f>IF(A1504="","",IFERROR(INDEX('자료_한국심리'!$K$3:$K$4002,MATCH(A1504,$X$19:$X$4018,0)),F1503))</f>
        <v/>
      </c>
      <c r="G1504" s="30">
        <f>IF(AND(ISNUMBER(E1504),ISNUMBER(F1504)),ROUND(E1504-F1504,6),"")</f>
        <v/>
      </c>
      <c r="H1504" s="25">
        <f>IF(A1504="","",IFERROR(INDEX('자료_한국심리'!$N$3:$N$4002,MATCH(A1504,$Y$19:$Y$4018,0)),H1503))</f>
        <v/>
      </c>
      <c r="I1504" s="31">
        <f>IF(AND(ISNUMBER(H1504),ISNUMBER(H1484)),IF(H1484&gt;0,H1504/H1484-1,""),"")</f>
        <v/>
      </c>
      <c r="J1504">
        <f>IF(A1504="",0,IF(A1504&gt;$B$5,1,0))</f>
        <v/>
      </c>
      <c r="K1504" s="29">
        <f>IF(AND(J1504=1,ISNUMBER(D1504)),D1504,"")</f>
        <v/>
      </c>
      <c r="L1504" s="30">
        <f>IF(AND(J1504=1,ISNUMBER(G1504)),G1504,"")</f>
        <v/>
      </c>
      <c r="M1504" s="22">
        <f>IF(AND(J1504=1,ISNUMBER(C1504)),C1504,"")</f>
        <v/>
      </c>
      <c r="N1504" s="31">
        <f>IF(AND(J1504=1,ISNUMBER(I1504)),I1504,"")</f>
        <v/>
      </c>
      <c r="O1504" s="11">
        <f>IF(K1504="","",100-IF($G$13=1,50,(_xlfn.RANK.AVG(K1504,$K$19:$K$1518,1)-1)/($G$13-1)*100))</f>
        <v/>
      </c>
      <c r="P1504" s="11">
        <f>IF(L1504="","",100-IF($G$14=1,50,(_xlfn.RANK.AVG(L1504,$L$19:$L$1518,1)-1)/($G$14-1)*100))</f>
        <v/>
      </c>
      <c r="Q1504" s="11">
        <f>IF(M1504="","",IF($G$15=1,50,(_xlfn.RANK.AVG(M1504,$M$19:$M$1518,1)-1)/($G$15-1)*100))</f>
        <v/>
      </c>
      <c r="R1504" s="11">
        <f>IF(N1504="","",IF($G$16=1,50,(_xlfn.RANK.AVG(N1504,$N$19:$N$1518,1)-1)/($G$16-1)*100))</f>
        <v/>
      </c>
      <c r="S1504" s="11">
        <f>IF(COUNT(O1504:R1504)=4,ROUND(AVERAGE(O1504:R1504),6),"")</f>
        <v/>
      </c>
      <c r="U1504">
        <f>IF(AND(ISNUMBER('자료_한국심리'!$A1488),ISNUMBER('자료_한국심리'!$B1488)),'자료_한국심리'!$A1488,"")</f>
        <v/>
      </c>
      <c r="V1504">
        <f>IF(AND(ISNUMBER('자료_한국심리'!$D1488),ISNUMBER('자료_한국심리'!$E1488)),'자료_한국심리'!$D1488,"")</f>
        <v/>
      </c>
      <c r="W1504">
        <f>IF(AND(ISNUMBER('자료_한국심리'!$G1488),ISNUMBER('자료_한국심리'!$H1488)),'자료_한국심리'!$G1488,"")</f>
        <v/>
      </c>
      <c r="X1504">
        <f>IF(AND(ISNUMBER('자료_한국심리'!$J1488),ISNUMBER('자료_한국심리'!$K1488)),'자료_한국심리'!$J1488,"")</f>
        <v/>
      </c>
      <c r="Y1504">
        <f>IF(AND(ISNUMBER('자료_한국심리'!$M1488),ISNUMBER('자료_한국심리'!$N1488)),'자료_한국심리'!$M1488,"")</f>
        <v/>
      </c>
    </row>
    <row r="1505">
      <c r="A1505" s="10">
        <f>IF(1487&gt;$E$5,"",SMALL($U$19:$U$4018,$E$6+1487))</f>
        <v/>
      </c>
      <c r="B1505" s="29">
        <f>IF(A1505="","",INDEX('자료_한국심리'!$B$3:$B$4002,MATCH(A1505,$U$19:$U$4018,0)))</f>
        <v/>
      </c>
      <c r="C1505" s="22">
        <f>IF(A1505="","",B1505/AVERAGE(B1381:B1505)-1)</f>
        <v/>
      </c>
      <c r="D1505" s="29">
        <f>IF(A1505="","",IFERROR(INDEX('자료_한국심리'!$E$3:$E$4002,MATCH(A1505,$V$19:$V$4018,0)),D1504))</f>
        <v/>
      </c>
      <c r="E1505" s="30">
        <f>IF(A1505="","",IFERROR(INDEX('자료_한국심리'!$H$3:$H$4002,MATCH(A1505,$W$19:$W$4018,0)),E1504))</f>
        <v/>
      </c>
      <c r="F1505" s="30">
        <f>IF(A1505="","",IFERROR(INDEX('자료_한국심리'!$K$3:$K$4002,MATCH(A1505,$X$19:$X$4018,0)),F1504))</f>
        <v/>
      </c>
      <c r="G1505" s="30">
        <f>IF(AND(ISNUMBER(E1505),ISNUMBER(F1505)),ROUND(E1505-F1505,6),"")</f>
        <v/>
      </c>
      <c r="H1505" s="25">
        <f>IF(A1505="","",IFERROR(INDEX('자료_한국심리'!$N$3:$N$4002,MATCH(A1505,$Y$19:$Y$4018,0)),H1504))</f>
        <v/>
      </c>
      <c r="I1505" s="31">
        <f>IF(AND(ISNUMBER(H1505),ISNUMBER(H1485)),IF(H1485&gt;0,H1505/H1485-1,""),"")</f>
        <v/>
      </c>
      <c r="J1505">
        <f>IF(A1505="",0,IF(A1505&gt;$B$5,1,0))</f>
        <v/>
      </c>
      <c r="K1505" s="29">
        <f>IF(AND(J1505=1,ISNUMBER(D1505)),D1505,"")</f>
        <v/>
      </c>
      <c r="L1505" s="30">
        <f>IF(AND(J1505=1,ISNUMBER(G1505)),G1505,"")</f>
        <v/>
      </c>
      <c r="M1505" s="22">
        <f>IF(AND(J1505=1,ISNUMBER(C1505)),C1505,"")</f>
        <v/>
      </c>
      <c r="N1505" s="31">
        <f>IF(AND(J1505=1,ISNUMBER(I1505)),I1505,"")</f>
        <v/>
      </c>
      <c r="O1505" s="11">
        <f>IF(K1505="","",100-IF($G$13=1,50,(_xlfn.RANK.AVG(K1505,$K$19:$K$1518,1)-1)/($G$13-1)*100))</f>
        <v/>
      </c>
      <c r="P1505" s="11">
        <f>IF(L1505="","",100-IF($G$14=1,50,(_xlfn.RANK.AVG(L1505,$L$19:$L$1518,1)-1)/($G$14-1)*100))</f>
        <v/>
      </c>
      <c r="Q1505" s="11">
        <f>IF(M1505="","",IF($G$15=1,50,(_xlfn.RANK.AVG(M1505,$M$19:$M$1518,1)-1)/($G$15-1)*100))</f>
        <v/>
      </c>
      <c r="R1505" s="11">
        <f>IF(N1505="","",IF($G$16=1,50,(_xlfn.RANK.AVG(N1505,$N$19:$N$1518,1)-1)/($G$16-1)*100))</f>
        <v/>
      </c>
      <c r="S1505" s="11">
        <f>IF(COUNT(O1505:R1505)=4,ROUND(AVERAGE(O1505:R1505),6),"")</f>
        <v/>
      </c>
      <c r="U1505">
        <f>IF(AND(ISNUMBER('자료_한국심리'!$A1489),ISNUMBER('자료_한국심리'!$B1489)),'자료_한국심리'!$A1489,"")</f>
        <v/>
      </c>
      <c r="V1505">
        <f>IF(AND(ISNUMBER('자료_한국심리'!$D1489),ISNUMBER('자료_한국심리'!$E1489)),'자료_한국심리'!$D1489,"")</f>
        <v/>
      </c>
      <c r="W1505">
        <f>IF(AND(ISNUMBER('자료_한국심리'!$G1489),ISNUMBER('자료_한국심리'!$H1489)),'자료_한국심리'!$G1489,"")</f>
        <v/>
      </c>
      <c r="X1505">
        <f>IF(AND(ISNUMBER('자료_한국심리'!$J1489),ISNUMBER('자료_한국심리'!$K1489)),'자료_한국심리'!$J1489,"")</f>
        <v/>
      </c>
      <c r="Y1505">
        <f>IF(AND(ISNUMBER('자료_한국심리'!$M1489),ISNUMBER('자료_한국심리'!$N1489)),'자료_한국심리'!$M1489,"")</f>
        <v/>
      </c>
    </row>
    <row r="1506">
      <c r="A1506" s="10">
        <f>IF(1488&gt;$E$5,"",SMALL($U$19:$U$4018,$E$6+1488))</f>
        <v/>
      </c>
      <c r="B1506" s="29">
        <f>IF(A1506="","",INDEX('자료_한국심리'!$B$3:$B$4002,MATCH(A1506,$U$19:$U$4018,0)))</f>
        <v/>
      </c>
      <c r="C1506" s="22">
        <f>IF(A1506="","",B1506/AVERAGE(B1382:B1506)-1)</f>
        <v/>
      </c>
      <c r="D1506" s="29">
        <f>IF(A1506="","",IFERROR(INDEX('자료_한국심리'!$E$3:$E$4002,MATCH(A1506,$V$19:$V$4018,0)),D1505))</f>
        <v/>
      </c>
      <c r="E1506" s="30">
        <f>IF(A1506="","",IFERROR(INDEX('자료_한국심리'!$H$3:$H$4002,MATCH(A1506,$W$19:$W$4018,0)),E1505))</f>
        <v/>
      </c>
      <c r="F1506" s="30">
        <f>IF(A1506="","",IFERROR(INDEX('자료_한국심리'!$K$3:$K$4002,MATCH(A1506,$X$19:$X$4018,0)),F1505))</f>
        <v/>
      </c>
      <c r="G1506" s="30">
        <f>IF(AND(ISNUMBER(E1506),ISNUMBER(F1506)),ROUND(E1506-F1506,6),"")</f>
        <v/>
      </c>
      <c r="H1506" s="25">
        <f>IF(A1506="","",IFERROR(INDEX('자료_한국심리'!$N$3:$N$4002,MATCH(A1506,$Y$19:$Y$4018,0)),H1505))</f>
        <v/>
      </c>
      <c r="I1506" s="31">
        <f>IF(AND(ISNUMBER(H1506),ISNUMBER(H1486)),IF(H1486&gt;0,H1506/H1486-1,""),"")</f>
        <v/>
      </c>
      <c r="J1506">
        <f>IF(A1506="",0,IF(A1506&gt;$B$5,1,0))</f>
        <v/>
      </c>
      <c r="K1506" s="29">
        <f>IF(AND(J1506=1,ISNUMBER(D1506)),D1506,"")</f>
        <v/>
      </c>
      <c r="L1506" s="30">
        <f>IF(AND(J1506=1,ISNUMBER(G1506)),G1506,"")</f>
        <v/>
      </c>
      <c r="M1506" s="22">
        <f>IF(AND(J1506=1,ISNUMBER(C1506)),C1506,"")</f>
        <v/>
      </c>
      <c r="N1506" s="31">
        <f>IF(AND(J1506=1,ISNUMBER(I1506)),I1506,"")</f>
        <v/>
      </c>
      <c r="O1506" s="11">
        <f>IF(K1506="","",100-IF($G$13=1,50,(_xlfn.RANK.AVG(K1506,$K$19:$K$1518,1)-1)/($G$13-1)*100))</f>
        <v/>
      </c>
      <c r="P1506" s="11">
        <f>IF(L1506="","",100-IF($G$14=1,50,(_xlfn.RANK.AVG(L1506,$L$19:$L$1518,1)-1)/($G$14-1)*100))</f>
        <v/>
      </c>
      <c r="Q1506" s="11">
        <f>IF(M1506="","",IF($G$15=1,50,(_xlfn.RANK.AVG(M1506,$M$19:$M$1518,1)-1)/($G$15-1)*100))</f>
        <v/>
      </c>
      <c r="R1506" s="11">
        <f>IF(N1506="","",IF($G$16=1,50,(_xlfn.RANK.AVG(N1506,$N$19:$N$1518,1)-1)/($G$16-1)*100))</f>
        <v/>
      </c>
      <c r="S1506" s="11">
        <f>IF(COUNT(O1506:R1506)=4,ROUND(AVERAGE(O1506:R1506),6),"")</f>
        <v/>
      </c>
      <c r="U1506">
        <f>IF(AND(ISNUMBER('자료_한국심리'!$A1490),ISNUMBER('자료_한국심리'!$B1490)),'자료_한국심리'!$A1490,"")</f>
        <v/>
      </c>
      <c r="V1506">
        <f>IF(AND(ISNUMBER('자료_한국심리'!$D1490),ISNUMBER('자료_한국심리'!$E1490)),'자료_한국심리'!$D1490,"")</f>
        <v/>
      </c>
      <c r="W1506">
        <f>IF(AND(ISNUMBER('자료_한국심리'!$G1490),ISNUMBER('자료_한국심리'!$H1490)),'자료_한국심리'!$G1490,"")</f>
        <v/>
      </c>
      <c r="X1506">
        <f>IF(AND(ISNUMBER('자료_한국심리'!$J1490),ISNUMBER('자료_한국심리'!$K1490)),'자료_한국심리'!$J1490,"")</f>
        <v/>
      </c>
      <c r="Y1506">
        <f>IF(AND(ISNUMBER('자료_한국심리'!$M1490),ISNUMBER('자료_한국심리'!$N1490)),'자료_한국심리'!$M1490,"")</f>
        <v/>
      </c>
    </row>
    <row r="1507">
      <c r="A1507" s="10">
        <f>IF(1489&gt;$E$5,"",SMALL($U$19:$U$4018,$E$6+1489))</f>
        <v/>
      </c>
      <c r="B1507" s="29">
        <f>IF(A1507="","",INDEX('자료_한국심리'!$B$3:$B$4002,MATCH(A1507,$U$19:$U$4018,0)))</f>
        <v/>
      </c>
      <c r="C1507" s="22">
        <f>IF(A1507="","",B1507/AVERAGE(B1383:B1507)-1)</f>
        <v/>
      </c>
      <c r="D1507" s="29">
        <f>IF(A1507="","",IFERROR(INDEX('자료_한국심리'!$E$3:$E$4002,MATCH(A1507,$V$19:$V$4018,0)),D1506))</f>
        <v/>
      </c>
      <c r="E1507" s="30">
        <f>IF(A1507="","",IFERROR(INDEX('자료_한국심리'!$H$3:$H$4002,MATCH(A1507,$W$19:$W$4018,0)),E1506))</f>
        <v/>
      </c>
      <c r="F1507" s="30">
        <f>IF(A1507="","",IFERROR(INDEX('자료_한국심리'!$K$3:$K$4002,MATCH(A1507,$X$19:$X$4018,0)),F1506))</f>
        <v/>
      </c>
      <c r="G1507" s="30">
        <f>IF(AND(ISNUMBER(E1507),ISNUMBER(F1507)),ROUND(E1507-F1507,6),"")</f>
        <v/>
      </c>
      <c r="H1507" s="25">
        <f>IF(A1507="","",IFERROR(INDEX('자료_한국심리'!$N$3:$N$4002,MATCH(A1507,$Y$19:$Y$4018,0)),H1506))</f>
        <v/>
      </c>
      <c r="I1507" s="31">
        <f>IF(AND(ISNUMBER(H1507),ISNUMBER(H1487)),IF(H1487&gt;0,H1507/H1487-1,""),"")</f>
        <v/>
      </c>
      <c r="J1507">
        <f>IF(A1507="",0,IF(A1507&gt;$B$5,1,0))</f>
        <v/>
      </c>
      <c r="K1507" s="29">
        <f>IF(AND(J1507=1,ISNUMBER(D1507)),D1507,"")</f>
        <v/>
      </c>
      <c r="L1507" s="30">
        <f>IF(AND(J1507=1,ISNUMBER(G1507)),G1507,"")</f>
        <v/>
      </c>
      <c r="M1507" s="22">
        <f>IF(AND(J1507=1,ISNUMBER(C1507)),C1507,"")</f>
        <v/>
      </c>
      <c r="N1507" s="31">
        <f>IF(AND(J1507=1,ISNUMBER(I1507)),I1507,"")</f>
        <v/>
      </c>
      <c r="O1507" s="11">
        <f>IF(K1507="","",100-IF($G$13=1,50,(_xlfn.RANK.AVG(K1507,$K$19:$K$1518,1)-1)/($G$13-1)*100))</f>
        <v/>
      </c>
      <c r="P1507" s="11">
        <f>IF(L1507="","",100-IF($G$14=1,50,(_xlfn.RANK.AVG(L1507,$L$19:$L$1518,1)-1)/($G$14-1)*100))</f>
        <v/>
      </c>
      <c r="Q1507" s="11">
        <f>IF(M1507="","",IF($G$15=1,50,(_xlfn.RANK.AVG(M1507,$M$19:$M$1518,1)-1)/($G$15-1)*100))</f>
        <v/>
      </c>
      <c r="R1507" s="11">
        <f>IF(N1507="","",IF($G$16=1,50,(_xlfn.RANK.AVG(N1507,$N$19:$N$1518,1)-1)/($G$16-1)*100))</f>
        <v/>
      </c>
      <c r="S1507" s="11">
        <f>IF(COUNT(O1507:R1507)=4,ROUND(AVERAGE(O1507:R1507),6),"")</f>
        <v/>
      </c>
      <c r="U1507">
        <f>IF(AND(ISNUMBER('자료_한국심리'!$A1491),ISNUMBER('자료_한국심리'!$B1491)),'자료_한국심리'!$A1491,"")</f>
        <v/>
      </c>
      <c r="V1507">
        <f>IF(AND(ISNUMBER('자료_한국심리'!$D1491),ISNUMBER('자료_한국심리'!$E1491)),'자료_한국심리'!$D1491,"")</f>
        <v/>
      </c>
      <c r="W1507">
        <f>IF(AND(ISNUMBER('자료_한국심리'!$G1491),ISNUMBER('자료_한국심리'!$H1491)),'자료_한국심리'!$G1491,"")</f>
        <v/>
      </c>
      <c r="X1507">
        <f>IF(AND(ISNUMBER('자료_한국심리'!$J1491),ISNUMBER('자료_한국심리'!$K1491)),'자료_한국심리'!$J1491,"")</f>
        <v/>
      </c>
      <c r="Y1507">
        <f>IF(AND(ISNUMBER('자료_한국심리'!$M1491),ISNUMBER('자료_한국심리'!$N1491)),'자료_한국심리'!$M1491,"")</f>
        <v/>
      </c>
    </row>
    <row r="1508">
      <c r="A1508" s="10">
        <f>IF(1490&gt;$E$5,"",SMALL($U$19:$U$4018,$E$6+1490))</f>
        <v/>
      </c>
      <c r="B1508" s="29">
        <f>IF(A1508="","",INDEX('자료_한국심리'!$B$3:$B$4002,MATCH(A1508,$U$19:$U$4018,0)))</f>
        <v/>
      </c>
      <c r="C1508" s="22">
        <f>IF(A1508="","",B1508/AVERAGE(B1384:B1508)-1)</f>
        <v/>
      </c>
      <c r="D1508" s="29">
        <f>IF(A1508="","",IFERROR(INDEX('자료_한국심리'!$E$3:$E$4002,MATCH(A1508,$V$19:$V$4018,0)),D1507))</f>
        <v/>
      </c>
      <c r="E1508" s="30">
        <f>IF(A1508="","",IFERROR(INDEX('자료_한국심리'!$H$3:$H$4002,MATCH(A1508,$W$19:$W$4018,0)),E1507))</f>
        <v/>
      </c>
      <c r="F1508" s="30">
        <f>IF(A1508="","",IFERROR(INDEX('자료_한국심리'!$K$3:$K$4002,MATCH(A1508,$X$19:$X$4018,0)),F1507))</f>
        <v/>
      </c>
      <c r="G1508" s="30">
        <f>IF(AND(ISNUMBER(E1508),ISNUMBER(F1508)),ROUND(E1508-F1508,6),"")</f>
        <v/>
      </c>
      <c r="H1508" s="25">
        <f>IF(A1508="","",IFERROR(INDEX('자료_한국심리'!$N$3:$N$4002,MATCH(A1508,$Y$19:$Y$4018,0)),H1507))</f>
        <v/>
      </c>
      <c r="I1508" s="31">
        <f>IF(AND(ISNUMBER(H1508),ISNUMBER(H1488)),IF(H1488&gt;0,H1508/H1488-1,""),"")</f>
        <v/>
      </c>
      <c r="J1508">
        <f>IF(A1508="",0,IF(A1508&gt;$B$5,1,0))</f>
        <v/>
      </c>
      <c r="K1508" s="29">
        <f>IF(AND(J1508=1,ISNUMBER(D1508)),D1508,"")</f>
        <v/>
      </c>
      <c r="L1508" s="30">
        <f>IF(AND(J1508=1,ISNUMBER(G1508)),G1508,"")</f>
        <v/>
      </c>
      <c r="M1508" s="22">
        <f>IF(AND(J1508=1,ISNUMBER(C1508)),C1508,"")</f>
        <v/>
      </c>
      <c r="N1508" s="31">
        <f>IF(AND(J1508=1,ISNUMBER(I1508)),I1508,"")</f>
        <v/>
      </c>
      <c r="O1508" s="11">
        <f>IF(K1508="","",100-IF($G$13=1,50,(_xlfn.RANK.AVG(K1508,$K$19:$K$1518,1)-1)/($G$13-1)*100))</f>
        <v/>
      </c>
      <c r="P1508" s="11">
        <f>IF(L1508="","",100-IF($G$14=1,50,(_xlfn.RANK.AVG(L1508,$L$19:$L$1518,1)-1)/($G$14-1)*100))</f>
        <v/>
      </c>
      <c r="Q1508" s="11">
        <f>IF(M1508="","",IF($G$15=1,50,(_xlfn.RANK.AVG(M1508,$M$19:$M$1518,1)-1)/($G$15-1)*100))</f>
        <v/>
      </c>
      <c r="R1508" s="11">
        <f>IF(N1508="","",IF($G$16=1,50,(_xlfn.RANK.AVG(N1508,$N$19:$N$1518,1)-1)/($G$16-1)*100))</f>
        <v/>
      </c>
      <c r="S1508" s="11">
        <f>IF(COUNT(O1508:R1508)=4,ROUND(AVERAGE(O1508:R1508),6),"")</f>
        <v/>
      </c>
      <c r="U1508">
        <f>IF(AND(ISNUMBER('자료_한국심리'!$A1492),ISNUMBER('자료_한국심리'!$B1492)),'자료_한국심리'!$A1492,"")</f>
        <v/>
      </c>
      <c r="V1508">
        <f>IF(AND(ISNUMBER('자료_한국심리'!$D1492),ISNUMBER('자료_한국심리'!$E1492)),'자료_한국심리'!$D1492,"")</f>
        <v/>
      </c>
      <c r="W1508">
        <f>IF(AND(ISNUMBER('자료_한국심리'!$G1492),ISNUMBER('자료_한국심리'!$H1492)),'자료_한국심리'!$G1492,"")</f>
        <v/>
      </c>
      <c r="X1508">
        <f>IF(AND(ISNUMBER('자료_한국심리'!$J1492),ISNUMBER('자료_한국심리'!$K1492)),'자료_한국심리'!$J1492,"")</f>
        <v/>
      </c>
      <c r="Y1508">
        <f>IF(AND(ISNUMBER('자료_한국심리'!$M1492),ISNUMBER('자료_한국심리'!$N1492)),'자료_한국심리'!$M1492,"")</f>
        <v/>
      </c>
    </row>
    <row r="1509">
      <c r="A1509" s="10">
        <f>IF(1491&gt;$E$5,"",SMALL($U$19:$U$4018,$E$6+1491))</f>
        <v/>
      </c>
      <c r="B1509" s="29">
        <f>IF(A1509="","",INDEX('자료_한국심리'!$B$3:$B$4002,MATCH(A1509,$U$19:$U$4018,0)))</f>
        <v/>
      </c>
      <c r="C1509" s="22">
        <f>IF(A1509="","",B1509/AVERAGE(B1385:B1509)-1)</f>
        <v/>
      </c>
      <c r="D1509" s="29">
        <f>IF(A1509="","",IFERROR(INDEX('자료_한국심리'!$E$3:$E$4002,MATCH(A1509,$V$19:$V$4018,0)),D1508))</f>
        <v/>
      </c>
      <c r="E1509" s="30">
        <f>IF(A1509="","",IFERROR(INDEX('자료_한국심리'!$H$3:$H$4002,MATCH(A1509,$W$19:$W$4018,0)),E1508))</f>
        <v/>
      </c>
      <c r="F1509" s="30">
        <f>IF(A1509="","",IFERROR(INDEX('자료_한국심리'!$K$3:$K$4002,MATCH(A1509,$X$19:$X$4018,0)),F1508))</f>
        <v/>
      </c>
      <c r="G1509" s="30">
        <f>IF(AND(ISNUMBER(E1509),ISNUMBER(F1509)),ROUND(E1509-F1509,6),"")</f>
        <v/>
      </c>
      <c r="H1509" s="25">
        <f>IF(A1509="","",IFERROR(INDEX('자료_한국심리'!$N$3:$N$4002,MATCH(A1509,$Y$19:$Y$4018,0)),H1508))</f>
        <v/>
      </c>
      <c r="I1509" s="31">
        <f>IF(AND(ISNUMBER(H1509),ISNUMBER(H1489)),IF(H1489&gt;0,H1509/H1489-1,""),"")</f>
        <v/>
      </c>
      <c r="J1509">
        <f>IF(A1509="",0,IF(A1509&gt;$B$5,1,0))</f>
        <v/>
      </c>
      <c r="K1509" s="29">
        <f>IF(AND(J1509=1,ISNUMBER(D1509)),D1509,"")</f>
        <v/>
      </c>
      <c r="L1509" s="30">
        <f>IF(AND(J1509=1,ISNUMBER(G1509)),G1509,"")</f>
        <v/>
      </c>
      <c r="M1509" s="22">
        <f>IF(AND(J1509=1,ISNUMBER(C1509)),C1509,"")</f>
        <v/>
      </c>
      <c r="N1509" s="31">
        <f>IF(AND(J1509=1,ISNUMBER(I1509)),I1509,"")</f>
        <v/>
      </c>
      <c r="O1509" s="11">
        <f>IF(K1509="","",100-IF($G$13=1,50,(_xlfn.RANK.AVG(K1509,$K$19:$K$1518,1)-1)/($G$13-1)*100))</f>
        <v/>
      </c>
      <c r="P1509" s="11">
        <f>IF(L1509="","",100-IF($G$14=1,50,(_xlfn.RANK.AVG(L1509,$L$19:$L$1518,1)-1)/($G$14-1)*100))</f>
        <v/>
      </c>
      <c r="Q1509" s="11">
        <f>IF(M1509="","",IF($G$15=1,50,(_xlfn.RANK.AVG(M1509,$M$19:$M$1518,1)-1)/($G$15-1)*100))</f>
        <v/>
      </c>
      <c r="R1509" s="11">
        <f>IF(N1509="","",IF($G$16=1,50,(_xlfn.RANK.AVG(N1509,$N$19:$N$1518,1)-1)/($G$16-1)*100))</f>
        <v/>
      </c>
      <c r="S1509" s="11">
        <f>IF(COUNT(O1509:R1509)=4,ROUND(AVERAGE(O1509:R1509),6),"")</f>
        <v/>
      </c>
      <c r="U1509">
        <f>IF(AND(ISNUMBER('자료_한국심리'!$A1493),ISNUMBER('자료_한국심리'!$B1493)),'자료_한국심리'!$A1493,"")</f>
        <v/>
      </c>
      <c r="V1509">
        <f>IF(AND(ISNUMBER('자료_한국심리'!$D1493),ISNUMBER('자료_한국심리'!$E1493)),'자료_한국심리'!$D1493,"")</f>
        <v/>
      </c>
      <c r="W1509">
        <f>IF(AND(ISNUMBER('자료_한국심리'!$G1493),ISNUMBER('자료_한국심리'!$H1493)),'자료_한국심리'!$G1493,"")</f>
        <v/>
      </c>
      <c r="X1509">
        <f>IF(AND(ISNUMBER('자료_한국심리'!$J1493),ISNUMBER('자료_한국심리'!$K1493)),'자료_한국심리'!$J1493,"")</f>
        <v/>
      </c>
      <c r="Y1509">
        <f>IF(AND(ISNUMBER('자료_한국심리'!$M1493),ISNUMBER('자료_한국심리'!$N1493)),'자료_한국심리'!$M1493,"")</f>
        <v/>
      </c>
    </row>
    <row r="1510">
      <c r="A1510" s="10">
        <f>IF(1492&gt;$E$5,"",SMALL($U$19:$U$4018,$E$6+1492))</f>
        <v/>
      </c>
      <c r="B1510" s="29">
        <f>IF(A1510="","",INDEX('자료_한국심리'!$B$3:$B$4002,MATCH(A1510,$U$19:$U$4018,0)))</f>
        <v/>
      </c>
      <c r="C1510" s="22">
        <f>IF(A1510="","",B1510/AVERAGE(B1386:B1510)-1)</f>
        <v/>
      </c>
      <c r="D1510" s="29">
        <f>IF(A1510="","",IFERROR(INDEX('자료_한국심리'!$E$3:$E$4002,MATCH(A1510,$V$19:$V$4018,0)),D1509))</f>
        <v/>
      </c>
      <c r="E1510" s="30">
        <f>IF(A1510="","",IFERROR(INDEX('자료_한국심리'!$H$3:$H$4002,MATCH(A1510,$W$19:$W$4018,0)),E1509))</f>
        <v/>
      </c>
      <c r="F1510" s="30">
        <f>IF(A1510="","",IFERROR(INDEX('자료_한국심리'!$K$3:$K$4002,MATCH(A1510,$X$19:$X$4018,0)),F1509))</f>
        <v/>
      </c>
      <c r="G1510" s="30">
        <f>IF(AND(ISNUMBER(E1510),ISNUMBER(F1510)),ROUND(E1510-F1510,6),"")</f>
        <v/>
      </c>
      <c r="H1510" s="25">
        <f>IF(A1510="","",IFERROR(INDEX('자료_한국심리'!$N$3:$N$4002,MATCH(A1510,$Y$19:$Y$4018,0)),H1509))</f>
        <v/>
      </c>
      <c r="I1510" s="31">
        <f>IF(AND(ISNUMBER(H1510),ISNUMBER(H1490)),IF(H1490&gt;0,H1510/H1490-1,""),"")</f>
        <v/>
      </c>
      <c r="J1510">
        <f>IF(A1510="",0,IF(A1510&gt;$B$5,1,0))</f>
        <v/>
      </c>
      <c r="K1510" s="29">
        <f>IF(AND(J1510=1,ISNUMBER(D1510)),D1510,"")</f>
        <v/>
      </c>
      <c r="L1510" s="30">
        <f>IF(AND(J1510=1,ISNUMBER(G1510)),G1510,"")</f>
        <v/>
      </c>
      <c r="M1510" s="22">
        <f>IF(AND(J1510=1,ISNUMBER(C1510)),C1510,"")</f>
        <v/>
      </c>
      <c r="N1510" s="31">
        <f>IF(AND(J1510=1,ISNUMBER(I1510)),I1510,"")</f>
        <v/>
      </c>
      <c r="O1510" s="11">
        <f>IF(K1510="","",100-IF($G$13=1,50,(_xlfn.RANK.AVG(K1510,$K$19:$K$1518,1)-1)/($G$13-1)*100))</f>
        <v/>
      </c>
      <c r="P1510" s="11">
        <f>IF(L1510="","",100-IF($G$14=1,50,(_xlfn.RANK.AVG(L1510,$L$19:$L$1518,1)-1)/($G$14-1)*100))</f>
        <v/>
      </c>
      <c r="Q1510" s="11">
        <f>IF(M1510="","",IF($G$15=1,50,(_xlfn.RANK.AVG(M1510,$M$19:$M$1518,1)-1)/($G$15-1)*100))</f>
        <v/>
      </c>
      <c r="R1510" s="11">
        <f>IF(N1510="","",IF($G$16=1,50,(_xlfn.RANK.AVG(N1510,$N$19:$N$1518,1)-1)/($G$16-1)*100))</f>
        <v/>
      </c>
      <c r="S1510" s="11">
        <f>IF(COUNT(O1510:R1510)=4,ROUND(AVERAGE(O1510:R1510),6),"")</f>
        <v/>
      </c>
      <c r="U1510">
        <f>IF(AND(ISNUMBER('자료_한국심리'!$A1494),ISNUMBER('자료_한국심리'!$B1494)),'자료_한국심리'!$A1494,"")</f>
        <v/>
      </c>
      <c r="V1510">
        <f>IF(AND(ISNUMBER('자료_한국심리'!$D1494),ISNUMBER('자료_한국심리'!$E1494)),'자료_한국심리'!$D1494,"")</f>
        <v/>
      </c>
      <c r="W1510">
        <f>IF(AND(ISNUMBER('자료_한국심리'!$G1494),ISNUMBER('자료_한국심리'!$H1494)),'자료_한국심리'!$G1494,"")</f>
        <v/>
      </c>
      <c r="X1510">
        <f>IF(AND(ISNUMBER('자료_한국심리'!$J1494),ISNUMBER('자료_한국심리'!$K1494)),'자료_한국심리'!$J1494,"")</f>
        <v/>
      </c>
      <c r="Y1510">
        <f>IF(AND(ISNUMBER('자료_한국심리'!$M1494),ISNUMBER('자료_한국심리'!$N1494)),'자료_한국심리'!$M1494,"")</f>
        <v/>
      </c>
    </row>
    <row r="1511">
      <c r="A1511" s="10">
        <f>IF(1493&gt;$E$5,"",SMALL($U$19:$U$4018,$E$6+1493))</f>
        <v/>
      </c>
      <c r="B1511" s="29">
        <f>IF(A1511="","",INDEX('자료_한국심리'!$B$3:$B$4002,MATCH(A1511,$U$19:$U$4018,0)))</f>
        <v/>
      </c>
      <c r="C1511" s="22">
        <f>IF(A1511="","",B1511/AVERAGE(B1387:B1511)-1)</f>
        <v/>
      </c>
      <c r="D1511" s="29">
        <f>IF(A1511="","",IFERROR(INDEX('자료_한국심리'!$E$3:$E$4002,MATCH(A1511,$V$19:$V$4018,0)),D1510))</f>
        <v/>
      </c>
      <c r="E1511" s="30">
        <f>IF(A1511="","",IFERROR(INDEX('자료_한국심리'!$H$3:$H$4002,MATCH(A1511,$W$19:$W$4018,0)),E1510))</f>
        <v/>
      </c>
      <c r="F1511" s="30">
        <f>IF(A1511="","",IFERROR(INDEX('자료_한국심리'!$K$3:$K$4002,MATCH(A1511,$X$19:$X$4018,0)),F1510))</f>
        <v/>
      </c>
      <c r="G1511" s="30">
        <f>IF(AND(ISNUMBER(E1511),ISNUMBER(F1511)),ROUND(E1511-F1511,6),"")</f>
        <v/>
      </c>
      <c r="H1511" s="25">
        <f>IF(A1511="","",IFERROR(INDEX('자료_한국심리'!$N$3:$N$4002,MATCH(A1511,$Y$19:$Y$4018,0)),H1510))</f>
        <v/>
      </c>
      <c r="I1511" s="31">
        <f>IF(AND(ISNUMBER(H1511),ISNUMBER(H1491)),IF(H1491&gt;0,H1511/H1491-1,""),"")</f>
        <v/>
      </c>
      <c r="J1511">
        <f>IF(A1511="",0,IF(A1511&gt;$B$5,1,0))</f>
        <v/>
      </c>
      <c r="K1511" s="29">
        <f>IF(AND(J1511=1,ISNUMBER(D1511)),D1511,"")</f>
        <v/>
      </c>
      <c r="L1511" s="30">
        <f>IF(AND(J1511=1,ISNUMBER(G1511)),G1511,"")</f>
        <v/>
      </c>
      <c r="M1511" s="22">
        <f>IF(AND(J1511=1,ISNUMBER(C1511)),C1511,"")</f>
        <v/>
      </c>
      <c r="N1511" s="31">
        <f>IF(AND(J1511=1,ISNUMBER(I1511)),I1511,"")</f>
        <v/>
      </c>
      <c r="O1511" s="11">
        <f>IF(K1511="","",100-IF($G$13=1,50,(_xlfn.RANK.AVG(K1511,$K$19:$K$1518,1)-1)/($G$13-1)*100))</f>
        <v/>
      </c>
      <c r="P1511" s="11">
        <f>IF(L1511="","",100-IF($G$14=1,50,(_xlfn.RANK.AVG(L1511,$L$19:$L$1518,1)-1)/($G$14-1)*100))</f>
        <v/>
      </c>
      <c r="Q1511" s="11">
        <f>IF(M1511="","",IF($G$15=1,50,(_xlfn.RANK.AVG(M1511,$M$19:$M$1518,1)-1)/($G$15-1)*100))</f>
        <v/>
      </c>
      <c r="R1511" s="11">
        <f>IF(N1511="","",IF($G$16=1,50,(_xlfn.RANK.AVG(N1511,$N$19:$N$1518,1)-1)/($G$16-1)*100))</f>
        <v/>
      </c>
      <c r="S1511" s="11">
        <f>IF(COUNT(O1511:R1511)=4,ROUND(AVERAGE(O1511:R1511),6),"")</f>
        <v/>
      </c>
      <c r="U1511">
        <f>IF(AND(ISNUMBER('자료_한국심리'!$A1495),ISNUMBER('자료_한국심리'!$B1495)),'자료_한국심리'!$A1495,"")</f>
        <v/>
      </c>
      <c r="V1511">
        <f>IF(AND(ISNUMBER('자료_한국심리'!$D1495),ISNUMBER('자료_한국심리'!$E1495)),'자료_한국심리'!$D1495,"")</f>
        <v/>
      </c>
      <c r="W1511">
        <f>IF(AND(ISNUMBER('자료_한국심리'!$G1495),ISNUMBER('자료_한국심리'!$H1495)),'자료_한국심리'!$G1495,"")</f>
        <v/>
      </c>
      <c r="X1511">
        <f>IF(AND(ISNUMBER('자료_한국심리'!$J1495),ISNUMBER('자료_한국심리'!$K1495)),'자료_한국심리'!$J1495,"")</f>
        <v/>
      </c>
      <c r="Y1511">
        <f>IF(AND(ISNUMBER('자료_한국심리'!$M1495),ISNUMBER('자료_한국심리'!$N1495)),'자료_한국심리'!$M1495,"")</f>
        <v/>
      </c>
    </row>
    <row r="1512">
      <c r="A1512" s="10">
        <f>IF(1494&gt;$E$5,"",SMALL($U$19:$U$4018,$E$6+1494))</f>
        <v/>
      </c>
      <c r="B1512" s="29">
        <f>IF(A1512="","",INDEX('자료_한국심리'!$B$3:$B$4002,MATCH(A1512,$U$19:$U$4018,0)))</f>
        <v/>
      </c>
      <c r="C1512" s="22">
        <f>IF(A1512="","",B1512/AVERAGE(B1388:B1512)-1)</f>
        <v/>
      </c>
      <c r="D1512" s="29">
        <f>IF(A1512="","",IFERROR(INDEX('자료_한국심리'!$E$3:$E$4002,MATCH(A1512,$V$19:$V$4018,0)),D1511))</f>
        <v/>
      </c>
      <c r="E1512" s="30">
        <f>IF(A1512="","",IFERROR(INDEX('자료_한국심리'!$H$3:$H$4002,MATCH(A1512,$W$19:$W$4018,0)),E1511))</f>
        <v/>
      </c>
      <c r="F1512" s="30">
        <f>IF(A1512="","",IFERROR(INDEX('자료_한국심리'!$K$3:$K$4002,MATCH(A1512,$X$19:$X$4018,0)),F1511))</f>
        <v/>
      </c>
      <c r="G1512" s="30">
        <f>IF(AND(ISNUMBER(E1512),ISNUMBER(F1512)),ROUND(E1512-F1512,6),"")</f>
        <v/>
      </c>
      <c r="H1512" s="25">
        <f>IF(A1512="","",IFERROR(INDEX('자료_한국심리'!$N$3:$N$4002,MATCH(A1512,$Y$19:$Y$4018,0)),H1511))</f>
        <v/>
      </c>
      <c r="I1512" s="31">
        <f>IF(AND(ISNUMBER(H1512),ISNUMBER(H1492)),IF(H1492&gt;0,H1512/H1492-1,""),"")</f>
        <v/>
      </c>
      <c r="J1512">
        <f>IF(A1512="",0,IF(A1512&gt;$B$5,1,0))</f>
        <v/>
      </c>
      <c r="K1512" s="29">
        <f>IF(AND(J1512=1,ISNUMBER(D1512)),D1512,"")</f>
        <v/>
      </c>
      <c r="L1512" s="30">
        <f>IF(AND(J1512=1,ISNUMBER(G1512)),G1512,"")</f>
        <v/>
      </c>
      <c r="M1512" s="22">
        <f>IF(AND(J1512=1,ISNUMBER(C1512)),C1512,"")</f>
        <v/>
      </c>
      <c r="N1512" s="31">
        <f>IF(AND(J1512=1,ISNUMBER(I1512)),I1512,"")</f>
        <v/>
      </c>
      <c r="O1512" s="11">
        <f>IF(K1512="","",100-IF($G$13=1,50,(_xlfn.RANK.AVG(K1512,$K$19:$K$1518,1)-1)/($G$13-1)*100))</f>
        <v/>
      </c>
      <c r="P1512" s="11">
        <f>IF(L1512="","",100-IF($G$14=1,50,(_xlfn.RANK.AVG(L1512,$L$19:$L$1518,1)-1)/($G$14-1)*100))</f>
        <v/>
      </c>
      <c r="Q1512" s="11">
        <f>IF(M1512="","",IF($G$15=1,50,(_xlfn.RANK.AVG(M1512,$M$19:$M$1518,1)-1)/($G$15-1)*100))</f>
        <v/>
      </c>
      <c r="R1512" s="11">
        <f>IF(N1512="","",IF($G$16=1,50,(_xlfn.RANK.AVG(N1512,$N$19:$N$1518,1)-1)/($G$16-1)*100))</f>
        <v/>
      </c>
      <c r="S1512" s="11">
        <f>IF(COUNT(O1512:R1512)=4,ROUND(AVERAGE(O1512:R1512),6),"")</f>
        <v/>
      </c>
      <c r="U1512">
        <f>IF(AND(ISNUMBER('자료_한국심리'!$A1496),ISNUMBER('자료_한국심리'!$B1496)),'자료_한국심리'!$A1496,"")</f>
        <v/>
      </c>
      <c r="V1512">
        <f>IF(AND(ISNUMBER('자료_한국심리'!$D1496),ISNUMBER('자료_한국심리'!$E1496)),'자료_한국심리'!$D1496,"")</f>
        <v/>
      </c>
      <c r="W1512">
        <f>IF(AND(ISNUMBER('자료_한국심리'!$G1496),ISNUMBER('자료_한국심리'!$H1496)),'자료_한국심리'!$G1496,"")</f>
        <v/>
      </c>
      <c r="X1512">
        <f>IF(AND(ISNUMBER('자료_한국심리'!$J1496),ISNUMBER('자료_한국심리'!$K1496)),'자료_한국심리'!$J1496,"")</f>
        <v/>
      </c>
      <c r="Y1512">
        <f>IF(AND(ISNUMBER('자료_한국심리'!$M1496),ISNUMBER('자료_한국심리'!$N1496)),'자료_한국심리'!$M1496,"")</f>
        <v/>
      </c>
    </row>
    <row r="1513">
      <c r="A1513" s="10">
        <f>IF(1495&gt;$E$5,"",SMALL($U$19:$U$4018,$E$6+1495))</f>
        <v/>
      </c>
      <c r="B1513" s="29">
        <f>IF(A1513="","",INDEX('자료_한국심리'!$B$3:$B$4002,MATCH(A1513,$U$19:$U$4018,0)))</f>
        <v/>
      </c>
      <c r="C1513" s="22">
        <f>IF(A1513="","",B1513/AVERAGE(B1389:B1513)-1)</f>
        <v/>
      </c>
      <c r="D1513" s="29">
        <f>IF(A1513="","",IFERROR(INDEX('자료_한국심리'!$E$3:$E$4002,MATCH(A1513,$V$19:$V$4018,0)),D1512))</f>
        <v/>
      </c>
      <c r="E1513" s="30">
        <f>IF(A1513="","",IFERROR(INDEX('자료_한국심리'!$H$3:$H$4002,MATCH(A1513,$W$19:$W$4018,0)),E1512))</f>
        <v/>
      </c>
      <c r="F1513" s="30">
        <f>IF(A1513="","",IFERROR(INDEX('자료_한국심리'!$K$3:$K$4002,MATCH(A1513,$X$19:$X$4018,0)),F1512))</f>
        <v/>
      </c>
      <c r="G1513" s="30">
        <f>IF(AND(ISNUMBER(E1513),ISNUMBER(F1513)),ROUND(E1513-F1513,6),"")</f>
        <v/>
      </c>
      <c r="H1513" s="25">
        <f>IF(A1513="","",IFERROR(INDEX('자료_한국심리'!$N$3:$N$4002,MATCH(A1513,$Y$19:$Y$4018,0)),H1512))</f>
        <v/>
      </c>
      <c r="I1513" s="31">
        <f>IF(AND(ISNUMBER(H1513),ISNUMBER(H1493)),IF(H1493&gt;0,H1513/H1493-1,""),"")</f>
        <v/>
      </c>
      <c r="J1513">
        <f>IF(A1513="",0,IF(A1513&gt;$B$5,1,0))</f>
        <v/>
      </c>
      <c r="K1513" s="29">
        <f>IF(AND(J1513=1,ISNUMBER(D1513)),D1513,"")</f>
        <v/>
      </c>
      <c r="L1513" s="30">
        <f>IF(AND(J1513=1,ISNUMBER(G1513)),G1513,"")</f>
        <v/>
      </c>
      <c r="M1513" s="22">
        <f>IF(AND(J1513=1,ISNUMBER(C1513)),C1513,"")</f>
        <v/>
      </c>
      <c r="N1513" s="31">
        <f>IF(AND(J1513=1,ISNUMBER(I1513)),I1513,"")</f>
        <v/>
      </c>
      <c r="O1513" s="11">
        <f>IF(K1513="","",100-IF($G$13=1,50,(_xlfn.RANK.AVG(K1513,$K$19:$K$1518,1)-1)/($G$13-1)*100))</f>
        <v/>
      </c>
      <c r="P1513" s="11">
        <f>IF(L1513="","",100-IF($G$14=1,50,(_xlfn.RANK.AVG(L1513,$L$19:$L$1518,1)-1)/($G$14-1)*100))</f>
        <v/>
      </c>
      <c r="Q1513" s="11">
        <f>IF(M1513="","",IF($G$15=1,50,(_xlfn.RANK.AVG(M1513,$M$19:$M$1518,1)-1)/($G$15-1)*100))</f>
        <v/>
      </c>
      <c r="R1513" s="11">
        <f>IF(N1513="","",IF($G$16=1,50,(_xlfn.RANK.AVG(N1513,$N$19:$N$1518,1)-1)/($G$16-1)*100))</f>
        <v/>
      </c>
      <c r="S1513" s="11">
        <f>IF(COUNT(O1513:R1513)=4,ROUND(AVERAGE(O1513:R1513),6),"")</f>
        <v/>
      </c>
      <c r="U1513">
        <f>IF(AND(ISNUMBER('자료_한국심리'!$A1497),ISNUMBER('자료_한국심리'!$B1497)),'자료_한국심리'!$A1497,"")</f>
        <v/>
      </c>
      <c r="V1513">
        <f>IF(AND(ISNUMBER('자료_한국심리'!$D1497),ISNUMBER('자료_한국심리'!$E1497)),'자료_한국심리'!$D1497,"")</f>
        <v/>
      </c>
      <c r="W1513">
        <f>IF(AND(ISNUMBER('자료_한국심리'!$G1497),ISNUMBER('자료_한국심리'!$H1497)),'자료_한국심리'!$G1497,"")</f>
        <v/>
      </c>
      <c r="X1513">
        <f>IF(AND(ISNUMBER('자료_한국심리'!$J1497),ISNUMBER('자료_한국심리'!$K1497)),'자료_한국심리'!$J1497,"")</f>
        <v/>
      </c>
      <c r="Y1513">
        <f>IF(AND(ISNUMBER('자료_한국심리'!$M1497),ISNUMBER('자료_한국심리'!$N1497)),'자료_한국심리'!$M1497,"")</f>
        <v/>
      </c>
    </row>
    <row r="1514">
      <c r="A1514" s="10">
        <f>IF(1496&gt;$E$5,"",SMALL($U$19:$U$4018,$E$6+1496))</f>
        <v/>
      </c>
      <c r="B1514" s="29">
        <f>IF(A1514="","",INDEX('자료_한국심리'!$B$3:$B$4002,MATCH(A1514,$U$19:$U$4018,0)))</f>
        <v/>
      </c>
      <c r="C1514" s="22">
        <f>IF(A1514="","",B1514/AVERAGE(B1390:B1514)-1)</f>
        <v/>
      </c>
      <c r="D1514" s="29">
        <f>IF(A1514="","",IFERROR(INDEX('자료_한국심리'!$E$3:$E$4002,MATCH(A1514,$V$19:$V$4018,0)),D1513))</f>
        <v/>
      </c>
      <c r="E1514" s="30">
        <f>IF(A1514="","",IFERROR(INDEX('자료_한국심리'!$H$3:$H$4002,MATCH(A1514,$W$19:$W$4018,0)),E1513))</f>
        <v/>
      </c>
      <c r="F1514" s="30">
        <f>IF(A1514="","",IFERROR(INDEX('자료_한국심리'!$K$3:$K$4002,MATCH(A1514,$X$19:$X$4018,0)),F1513))</f>
        <v/>
      </c>
      <c r="G1514" s="30">
        <f>IF(AND(ISNUMBER(E1514),ISNUMBER(F1514)),ROUND(E1514-F1514,6),"")</f>
        <v/>
      </c>
      <c r="H1514" s="25">
        <f>IF(A1514="","",IFERROR(INDEX('자료_한국심리'!$N$3:$N$4002,MATCH(A1514,$Y$19:$Y$4018,0)),H1513))</f>
        <v/>
      </c>
      <c r="I1514" s="31">
        <f>IF(AND(ISNUMBER(H1514),ISNUMBER(H1494)),IF(H1494&gt;0,H1514/H1494-1,""),"")</f>
        <v/>
      </c>
      <c r="J1514">
        <f>IF(A1514="",0,IF(A1514&gt;$B$5,1,0))</f>
        <v/>
      </c>
      <c r="K1514" s="29">
        <f>IF(AND(J1514=1,ISNUMBER(D1514)),D1514,"")</f>
        <v/>
      </c>
      <c r="L1514" s="30">
        <f>IF(AND(J1514=1,ISNUMBER(G1514)),G1514,"")</f>
        <v/>
      </c>
      <c r="M1514" s="22">
        <f>IF(AND(J1514=1,ISNUMBER(C1514)),C1514,"")</f>
        <v/>
      </c>
      <c r="N1514" s="31">
        <f>IF(AND(J1514=1,ISNUMBER(I1514)),I1514,"")</f>
        <v/>
      </c>
      <c r="O1514" s="11">
        <f>IF(K1514="","",100-IF($G$13=1,50,(_xlfn.RANK.AVG(K1514,$K$19:$K$1518,1)-1)/($G$13-1)*100))</f>
        <v/>
      </c>
      <c r="P1514" s="11">
        <f>IF(L1514="","",100-IF($G$14=1,50,(_xlfn.RANK.AVG(L1514,$L$19:$L$1518,1)-1)/($G$14-1)*100))</f>
        <v/>
      </c>
      <c r="Q1514" s="11">
        <f>IF(M1514="","",IF($G$15=1,50,(_xlfn.RANK.AVG(M1514,$M$19:$M$1518,1)-1)/($G$15-1)*100))</f>
        <v/>
      </c>
      <c r="R1514" s="11">
        <f>IF(N1514="","",IF($G$16=1,50,(_xlfn.RANK.AVG(N1514,$N$19:$N$1518,1)-1)/($G$16-1)*100))</f>
        <v/>
      </c>
      <c r="S1514" s="11">
        <f>IF(COUNT(O1514:R1514)=4,ROUND(AVERAGE(O1514:R1514),6),"")</f>
        <v/>
      </c>
      <c r="U1514">
        <f>IF(AND(ISNUMBER('자료_한국심리'!$A1498),ISNUMBER('자료_한국심리'!$B1498)),'자료_한국심리'!$A1498,"")</f>
        <v/>
      </c>
      <c r="V1514">
        <f>IF(AND(ISNUMBER('자료_한국심리'!$D1498),ISNUMBER('자료_한국심리'!$E1498)),'자료_한국심리'!$D1498,"")</f>
        <v/>
      </c>
      <c r="W1514">
        <f>IF(AND(ISNUMBER('자료_한국심리'!$G1498),ISNUMBER('자료_한국심리'!$H1498)),'자료_한국심리'!$G1498,"")</f>
        <v/>
      </c>
      <c r="X1514">
        <f>IF(AND(ISNUMBER('자료_한국심리'!$J1498),ISNUMBER('자료_한국심리'!$K1498)),'자료_한국심리'!$J1498,"")</f>
        <v/>
      </c>
      <c r="Y1514">
        <f>IF(AND(ISNUMBER('자료_한국심리'!$M1498),ISNUMBER('자료_한국심리'!$N1498)),'자료_한국심리'!$M1498,"")</f>
        <v/>
      </c>
    </row>
    <row r="1515">
      <c r="A1515" s="10">
        <f>IF(1497&gt;$E$5,"",SMALL($U$19:$U$4018,$E$6+1497))</f>
        <v/>
      </c>
      <c r="B1515" s="29">
        <f>IF(A1515="","",INDEX('자료_한국심리'!$B$3:$B$4002,MATCH(A1515,$U$19:$U$4018,0)))</f>
        <v/>
      </c>
      <c r="C1515" s="22">
        <f>IF(A1515="","",B1515/AVERAGE(B1391:B1515)-1)</f>
        <v/>
      </c>
      <c r="D1515" s="29">
        <f>IF(A1515="","",IFERROR(INDEX('자료_한국심리'!$E$3:$E$4002,MATCH(A1515,$V$19:$V$4018,0)),D1514))</f>
        <v/>
      </c>
      <c r="E1515" s="30">
        <f>IF(A1515="","",IFERROR(INDEX('자료_한국심리'!$H$3:$H$4002,MATCH(A1515,$W$19:$W$4018,0)),E1514))</f>
        <v/>
      </c>
      <c r="F1515" s="30">
        <f>IF(A1515="","",IFERROR(INDEX('자료_한국심리'!$K$3:$K$4002,MATCH(A1515,$X$19:$X$4018,0)),F1514))</f>
        <v/>
      </c>
      <c r="G1515" s="30">
        <f>IF(AND(ISNUMBER(E1515),ISNUMBER(F1515)),ROUND(E1515-F1515,6),"")</f>
        <v/>
      </c>
      <c r="H1515" s="25">
        <f>IF(A1515="","",IFERROR(INDEX('자료_한국심리'!$N$3:$N$4002,MATCH(A1515,$Y$19:$Y$4018,0)),H1514))</f>
        <v/>
      </c>
      <c r="I1515" s="31">
        <f>IF(AND(ISNUMBER(H1515),ISNUMBER(H1495)),IF(H1495&gt;0,H1515/H1495-1,""),"")</f>
        <v/>
      </c>
      <c r="J1515">
        <f>IF(A1515="",0,IF(A1515&gt;$B$5,1,0))</f>
        <v/>
      </c>
      <c r="K1515" s="29">
        <f>IF(AND(J1515=1,ISNUMBER(D1515)),D1515,"")</f>
        <v/>
      </c>
      <c r="L1515" s="30">
        <f>IF(AND(J1515=1,ISNUMBER(G1515)),G1515,"")</f>
        <v/>
      </c>
      <c r="M1515" s="22">
        <f>IF(AND(J1515=1,ISNUMBER(C1515)),C1515,"")</f>
        <v/>
      </c>
      <c r="N1515" s="31">
        <f>IF(AND(J1515=1,ISNUMBER(I1515)),I1515,"")</f>
        <v/>
      </c>
      <c r="O1515" s="11">
        <f>IF(K1515="","",100-IF($G$13=1,50,(_xlfn.RANK.AVG(K1515,$K$19:$K$1518,1)-1)/($G$13-1)*100))</f>
        <v/>
      </c>
      <c r="P1515" s="11">
        <f>IF(L1515="","",100-IF($G$14=1,50,(_xlfn.RANK.AVG(L1515,$L$19:$L$1518,1)-1)/($G$14-1)*100))</f>
        <v/>
      </c>
      <c r="Q1515" s="11">
        <f>IF(M1515="","",IF($G$15=1,50,(_xlfn.RANK.AVG(M1515,$M$19:$M$1518,1)-1)/($G$15-1)*100))</f>
        <v/>
      </c>
      <c r="R1515" s="11">
        <f>IF(N1515="","",IF($G$16=1,50,(_xlfn.RANK.AVG(N1515,$N$19:$N$1518,1)-1)/($G$16-1)*100))</f>
        <v/>
      </c>
      <c r="S1515" s="11">
        <f>IF(COUNT(O1515:R1515)=4,ROUND(AVERAGE(O1515:R1515),6),"")</f>
        <v/>
      </c>
      <c r="U1515">
        <f>IF(AND(ISNUMBER('자료_한국심리'!$A1499),ISNUMBER('자료_한국심리'!$B1499)),'자료_한국심리'!$A1499,"")</f>
        <v/>
      </c>
      <c r="V1515">
        <f>IF(AND(ISNUMBER('자료_한국심리'!$D1499),ISNUMBER('자료_한국심리'!$E1499)),'자료_한국심리'!$D1499,"")</f>
        <v/>
      </c>
      <c r="W1515">
        <f>IF(AND(ISNUMBER('자료_한국심리'!$G1499),ISNUMBER('자료_한국심리'!$H1499)),'자료_한국심리'!$G1499,"")</f>
        <v/>
      </c>
      <c r="X1515">
        <f>IF(AND(ISNUMBER('자료_한국심리'!$J1499),ISNUMBER('자료_한국심리'!$K1499)),'자료_한국심리'!$J1499,"")</f>
        <v/>
      </c>
      <c r="Y1515">
        <f>IF(AND(ISNUMBER('자료_한국심리'!$M1499),ISNUMBER('자료_한국심리'!$N1499)),'자료_한국심리'!$M1499,"")</f>
        <v/>
      </c>
    </row>
    <row r="1516">
      <c r="A1516" s="10">
        <f>IF(1498&gt;$E$5,"",SMALL($U$19:$U$4018,$E$6+1498))</f>
        <v/>
      </c>
      <c r="B1516" s="29">
        <f>IF(A1516="","",INDEX('자료_한국심리'!$B$3:$B$4002,MATCH(A1516,$U$19:$U$4018,0)))</f>
        <v/>
      </c>
      <c r="C1516" s="22">
        <f>IF(A1516="","",B1516/AVERAGE(B1392:B1516)-1)</f>
        <v/>
      </c>
      <c r="D1516" s="29">
        <f>IF(A1516="","",IFERROR(INDEX('자료_한국심리'!$E$3:$E$4002,MATCH(A1516,$V$19:$V$4018,0)),D1515))</f>
        <v/>
      </c>
      <c r="E1516" s="30">
        <f>IF(A1516="","",IFERROR(INDEX('자료_한국심리'!$H$3:$H$4002,MATCH(A1516,$W$19:$W$4018,0)),E1515))</f>
        <v/>
      </c>
      <c r="F1516" s="30">
        <f>IF(A1516="","",IFERROR(INDEX('자료_한국심리'!$K$3:$K$4002,MATCH(A1516,$X$19:$X$4018,0)),F1515))</f>
        <v/>
      </c>
      <c r="G1516" s="30">
        <f>IF(AND(ISNUMBER(E1516),ISNUMBER(F1516)),ROUND(E1516-F1516,6),"")</f>
        <v/>
      </c>
      <c r="H1516" s="25">
        <f>IF(A1516="","",IFERROR(INDEX('자료_한국심리'!$N$3:$N$4002,MATCH(A1516,$Y$19:$Y$4018,0)),H1515))</f>
        <v/>
      </c>
      <c r="I1516" s="31">
        <f>IF(AND(ISNUMBER(H1516),ISNUMBER(H1496)),IF(H1496&gt;0,H1516/H1496-1,""),"")</f>
        <v/>
      </c>
      <c r="J1516">
        <f>IF(A1516="",0,IF(A1516&gt;$B$5,1,0))</f>
        <v/>
      </c>
      <c r="K1516" s="29">
        <f>IF(AND(J1516=1,ISNUMBER(D1516)),D1516,"")</f>
        <v/>
      </c>
      <c r="L1516" s="30">
        <f>IF(AND(J1516=1,ISNUMBER(G1516)),G1516,"")</f>
        <v/>
      </c>
      <c r="M1516" s="22">
        <f>IF(AND(J1516=1,ISNUMBER(C1516)),C1516,"")</f>
        <v/>
      </c>
      <c r="N1516" s="31">
        <f>IF(AND(J1516=1,ISNUMBER(I1516)),I1516,"")</f>
        <v/>
      </c>
      <c r="O1516" s="11">
        <f>IF(K1516="","",100-IF($G$13=1,50,(_xlfn.RANK.AVG(K1516,$K$19:$K$1518,1)-1)/($G$13-1)*100))</f>
        <v/>
      </c>
      <c r="P1516" s="11">
        <f>IF(L1516="","",100-IF($G$14=1,50,(_xlfn.RANK.AVG(L1516,$L$19:$L$1518,1)-1)/($G$14-1)*100))</f>
        <v/>
      </c>
      <c r="Q1516" s="11">
        <f>IF(M1516="","",IF($G$15=1,50,(_xlfn.RANK.AVG(M1516,$M$19:$M$1518,1)-1)/($G$15-1)*100))</f>
        <v/>
      </c>
      <c r="R1516" s="11">
        <f>IF(N1516="","",IF($G$16=1,50,(_xlfn.RANK.AVG(N1516,$N$19:$N$1518,1)-1)/($G$16-1)*100))</f>
        <v/>
      </c>
      <c r="S1516" s="11">
        <f>IF(COUNT(O1516:R1516)=4,ROUND(AVERAGE(O1516:R1516),6),"")</f>
        <v/>
      </c>
      <c r="U1516">
        <f>IF(AND(ISNUMBER('자료_한국심리'!$A1500),ISNUMBER('자료_한국심리'!$B1500)),'자료_한국심리'!$A1500,"")</f>
        <v/>
      </c>
      <c r="V1516">
        <f>IF(AND(ISNUMBER('자료_한국심리'!$D1500),ISNUMBER('자료_한국심리'!$E1500)),'자료_한국심리'!$D1500,"")</f>
        <v/>
      </c>
      <c r="W1516">
        <f>IF(AND(ISNUMBER('자료_한국심리'!$G1500),ISNUMBER('자료_한국심리'!$H1500)),'자료_한국심리'!$G1500,"")</f>
        <v/>
      </c>
      <c r="X1516">
        <f>IF(AND(ISNUMBER('자료_한국심리'!$J1500),ISNUMBER('자료_한국심리'!$K1500)),'자료_한국심리'!$J1500,"")</f>
        <v/>
      </c>
      <c r="Y1516">
        <f>IF(AND(ISNUMBER('자료_한국심리'!$M1500),ISNUMBER('자료_한국심리'!$N1500)),'자료_한국심리'!$M1500,"")</f>
        <v/>
      </c>
    </row>
    <row r="1517">
      <c r="A1517" s="10">
        <f>IF(1499&gt;$E$5,"",SMALL($U$19:$U$4018,$E$6+1499))</f>
        <v/>
      </c>
      <c r="B1517" s="29">
        <f>IF(A1517="","",INDEX('자료_한국심리'!$B$3:$B$4002,MATCH(A1517,$U$19:$U$4018,0)))</f>
        <v/>
      </c>
      <c r="C1517" s="22">
        <f>IF(A1517="","",B1517/AVERAGE(B1393:B1517)-1)</f>
        <v/>
      </c>
      <c r="D1517" s="29">
        <f>IF(A1517="","",IFERROR(INDEX('자료_한국심리'!$E$3:$E$4002,MATCH(A1517,$V$19:$V$4018,0)),D1516))</f>
        <v/>
      </c>
      <c r="E1517" s="30">
        <f>IF(A1517="","",IFERROR(INDEX('자료_한국심리'!$H$3:$H$4002,MATCH(A1517,$W$19:$W$4018,0)),E1516))</f>
        <v/>
      </c>
      <c r="F1517" s="30">
        <f>IF(A1517="","",IFERROR(INDEX('자료_한국심리'!$K$3:$K$4002,MATCH(A1517,$X$19:$X$4018,0)),F1516))</f>
        <v/>
      </c>
      <c r="G1517" s="30">
        <f>IF(AND(ISNUMBER(E1517),ISNUMBER(F1517)),ROUND(E1517-F1517,6),"")</f>
        <v/>
      </c>
      <c r="H1517" s="25">
        <f>IF(A1517="","",IFERROR(INDEX('자료_한국심리'!$N$3:$N$4002,MATCH(A1517,$Y$19:$Y$4018,0)),H1516))</f>
        <v/>
      </c>
      <c r="I1517" s="31">
        <f>IF(AND(ISNUMBER(H1517),ISNUMBER(H1497)),IF(H1497&gt;0,H1517/H1497-1,""),"")</f>
        <v/>
      </c>
      <c r="J1517">
        <f>IF(A1517="",0,IF(A1517&gt;$B$5,1,0))</f>
        <v/>
      </c>
      <c r="K1517" s="29">
        <f>IF(AND(J1517=1,ISNUMBER(D1517)),D1517,"")</f>
        <v/>
      </c>
      <c r="L1517" s="30">
        <f>IF(AND(J1517=1,ISNUMBER(G1517)),G1517,"")</f>
        <v/>
      </c>
      <c r="M1517" s="22">
        <f>IF(AND(J1517=1,ISNUMBER(C1517)),C1517,"")</f>
        <v/>
      </c>
      <c r="N1517" s="31">
        <f>IF(AND(J1517=1,ISNUMBER(I1517)),I1517,"")</f>
        <v/>
      </c>
      <c r="O1517" s="11">
        <f>IF(K1517="","",100-IF($G$13=1,50,(_xlfn.RANK.AVG(K1517,$K$19:$K$1518,1)-1)/($G$13-1)*100))</f>
        <v/>
      </c>
      <c r="P1517" s="11">
        <f>IF(L1517="","",100-IF($G$14=1,50,(_xlfn.RANK.AVG(L1517,$L$19:$L$1518,1)-1)/($G$14-1)*100))</f>
        <v/>
      </c>
      <c r="Q1517" s="11">
        <f>IF(M1517="","",IF($G$15=1,50,(_xlfn.RANK.AVG(M1517,$M$19:$M$1518,1)-1)/($G$15-1)*100))</f>
        <v/>
      </c>
      <c r="R1517" s="11">
        <f>IF(N1517="","",IF($G$16=1,50,(_xlfn.RANK.AVG(N1517,$N$19:$N$1518,1)-1)/($G$16-1)*100))</f>
        <v/>
      </c>
      <c r="S1517" s="11">
        <f>IF(COUNT(O1517:R1517)=4,ROUND(AVERAGE(O1517:R1517),6),"")</f>
        <v/>
      </c>
      <c r="U1517">
        <f>IF(AND(ISNUMBER('자료_한국심리'!$A1501),ISNUMBER('자료_한국심리'!$B1501)),'자료_한국심리'!$A1501,"")</f>
        <v/>
      </c>
      <c r="V1517">
        <f>IF(AND(ISNUMBER('자료_한국심리'!$D1501),ISNUMBER('자료_한국심리'!$E1501)),'자료_한국심리'!$D1501,"")</f>
        <v/>
      </c>
      <c r="W1517">
        <f>IF(AND(ISNUMBER('자료_한국심리'!$G1501),ISNUMBER('자료_한국심리'!$H1501)),'자료_한국심리'!$G1501,"")</f>
        <v/>
      </c>
      <c r="X1517">
        <f>IF(AND(ISNUMBER('자료_한국심리'!$J1501),ISNUMBER('자료_한국심리'!$K1501)),'자료_한국심리'!$J1501,"")</f>
        <v/>
      </c>
      <c r="Y1517">
        <f>IF(AND(ISNUMBER('자료_한국심리'!$M1501),ISNUMBER('자료_한국심리'!$N1501)),'자료_한국심리'!$M1501,"")</f>
        <v/>
      </c>
    </row>
    <row r="1518">
      <c r="A1518" s="10">
        <f>IF(1500&gt;$E$5,"",SMALL($U$19:$U$4018,$E$6+1500))</f>
        <v/>
      </c>
      <c r="B1518" s="29">
        <f>IF(A1518="","",INDEX('자료_한국심리'!$B$3:$B$4002,MATCH(A1518,$U$19:$U$4018,0)))</f>
        <v/>
      </c>
      <c r="C1518" s="22">
        <f>IF(A1518="","",B1518/AVERAGE(B1394:B1518)-1)</f>
        <v/>
      </c>
      <c r="D1518" s="29">
        <f>IF(A1518="","",IFERROR(INDEX('자료_한국심리'!$E$3:$E$4002,MATCH(A1518,$V$19:$V$4018,0)),D1517))</f>
        <v/>
      </c>
      <c r="E1518" s="30">
        <f>IF(A1518="","",IFERROR(INDEX('자료_한국심리'!$H$3:$H$4002,MATCH(A1518,$W$19:$W$4018,0)),E1517))</f>
        <v/>
      </c>
      <c r="F1518" s="30">
        <f>IF(A1518="","",IFERROR(INDEX('자료_한국심리'!$K$3:$K$4002,MATCH(A1518,$X$19:$X$4018,0)),F1517))</f>
        <v/>
      </c>
      <c r="G1518" s="30">
        <f>IF(AND(ISNUMBER(E1518),ISNUMBER(F1518)),ROUND(E1518-F1518,6),"")</f>
        <v/>
      </c>
      <c r="H1518" s="25">
        <f>IF(A1518="","",IFERROR(INDEX('자료_한국심리'!$N$3:$N$4002,MATCH(A1518,$Y$19:$Y$4018,0)),H1517))</f>
        <v/>
      </c>
      <c r="I1518" s="31">
        <f>IF(AND(ISNUMBER(H1518),ISNUMBER(H1498)),IF(H1498&gt;0,H1518/H1498-1,""),"")</f>
        <v/>
      </c>
      <c r="J1518">
        <f>IF(A1518="",0,IF(A1518&gt;$B$5,1,0))</f>
        <v/>
      </c>
      <c r="K1518" s="29">
        <f>IF(AND(J1518=1,ISNUMBER(D1518)),D1518,"")</f>
        <v/>
      </c>
      <c r="L1518" s="30">
        <f>IF(AND(J1518=1,ISNUMBER(G1518)),G1518,"")</f>
        <v/>
      </c>
      <c r="M1518" s="22">
        <f>IF(AND(J1518=1,ISNUMBER(C1518)),C1518,"")</f>
        <v/>
      </c>
      <c r="N1518" s="31">
        <f>IF(AND(J1518=1,ISNUMBER(I1518)),I1518,"")</f>
        <v/>
      </c>
      <c r="O1518" s="11">
        <f>IF(K1518="","",100-IF($G$13=1,50,(_xlfn.RANK.AVG(K1518,$K$19:$K$1518,1)-1)/($G$13-1)*100))</f>
        <v/>
      </c>
      <c r="P1518" s="11">
        <f>IF(L1518="","",100-IF($G$14=1,50,(_xlfn.RANK.AVG(L1518,$L$19:$L$1518,1)-1)/($G$14-1)*100))</f>
        <v/>
      </c>
      <c r="Q1518" s="11">
        <f>IF(M1518="","",IF($G$15=1,50,(_xlfn.RANK.AVG(M1518,$M$19:$M$1518,1)-1)/($G$15-1)*100))</f>
        <v/>
      </c>
      <c r="R1518" s="11">
        <f>IF(N1518="","",IF($G$16=1,50,(_xlfn.RANK.AVG(N1518,$N$19:$N$1518,1)-1)/($G$16-1)*100))</f>
        <v/>
      </c>
      <c r="S1518" s="11">
        <f>IF(COUNT(O1518:R1518)=4,ROUND(AVERAGE(O1518:R1518),6),"")</f>
        <v/>
      </c>
      <c r="U1518">
        <f>IF(AND(ISNUMBER('자료_한국심리'!$A1502),ISNUMBER('자료_한국심리'!$B1502)),'자료_한국심리'!$A1502,"")</f>
        <v/>
      </c>
      <c r="V1518">
        <f>IF(AND(ISNUMBER('자료_한국심리'!$D1502),ISNUMBER('자료_한국심리'!$E1502)),'자료_한국심리'!$D1502,"")</f>
        <v/>
      </c>
      <c r="W1518">
        <f>IF(AND(ISNUMBER('자료_한국심리'!$G1502),ISNUMBER('자료_한국심리'!$H1502)),'자료_한국심리'!$G1502,"")</f>
        <v/>
      </c>
      <c r="X1518">
        <f>IF(AND(ISNUMBER('자료_한국심리'!$J1502),ISNUMBER('자료_한국심리'!$K1502)),'자료_한국심리'!$J1502,"")</f>
        <v/>
      </c>
      <c r="Y1518">
        <f>IF(AND(ISNUMBER('자료_한국심리'!$M1502),ISNUMBER('자료_한국심리'!$N1502)),'자료_한국심리'!$M1502,"")</f>
        <v/>
      </c>
    </row>
    <row r="1519">
      <c r="U1519">
        <f>IF(AND(ISNUMBER('자료_한국심리'!$A1503),ISNUMBER('자료_한국심리'!$B1503)),'자료_한국심리'!$A1503,"")</f>
        <v/>
      </c>
      <c r="V1519">
        <f>IF(AND(ISNUMBER('자료_한국심리'!$D1503),ISNUMBER('자료_한국심리'!$E1503)),'자료_한국심리'!$D1503,"")</f>
        <v/>
      </c>
      <c r="W1519">
        <f>IF(AND(ISNUMBER('자료_한국심리'!$G1503),ISNUMBER('자료_한국심리'!$H1503)),'자료_한국심리'!$G1503,"")</f>
        <v/>
      </c>
      <c r="X1519">
        <f>IF(AND(ISNUMBER('자료_한국심리'!$J1503),ISNUMBER('자료_한국심리'!$K1503)),'자료_한국심리'!$J1503,"")</f>
        <v/>
      </c>
      <c r="Y1519">
        <f>IF(AND(ISNUMBER('자료_한국심리'!$M1503),ISNUMBER('자료_한국심리'!$N1503)),'자료_한국심리'!$M1503,"")</f>
        <v/>
      </c>
    </row>
    <row r="1520">
      <c r="U1520">
        <f>IF(AND(ISNUMBER('자료_한국심리'!$A1504),ISNUMBER('자료_한국심리'!$B1504)),'자료_한국심리'!$A1504,"")</f>
        <v/>
      </c>
      <c r="V1520">
        <f>IF(AND(ISNUMBER('자료_한국심리'!$D1504),ISNUMBER('자료_한국심리'!$E1504)),'자료_한국심리'!$D1504,"")</f>
        <v/>
      </c>
      <c r="W1520">
        <f>IF(AND(ISNUMBER('자료_한국심리'!$G1504),ISNUMBER('자료_한국심리'!$H1504)),'자료_한국심리'!$G1504,"")</f>
        <v/>
      </c>
      <c r="X1520">
        <f>IF(AND(ISNUMBER('자료_한국심리'!$J1504),ISNUMBER('자료_한국심리'!$K1504)),'자료_한국심리'!$J1504,"")</f>
        <v/>
      </c>
      <c r="Y1520">
        <f>IF(AND(ISNUMBER('자료_한국심리'!$M1504),ISNUMBER('자료_한국심리'!$N1504)),'자료_한국심리'!$M1504,"")</f>
        <v/>
      </c>
    </row>
    <row r="1521">
      <c r="U1521">
        <f>IF(AND(ISNUMBER('자료_한국심리'!$A1505),ISNUMBER('자료_한국심리'!$B1505)),'자료_한국심리'!$A1505,"")</f>
        <v/>
      </c>
      <c r="V1521">
        <f>IF(AND(ISNUMBER('자료_한국심리'!$D1505),ISNUMBER('자료_한국심리'!$E1505)),'자료_한국심리'!$D1505,"")</f>
        <v/>
      </c>
      <c r="W1521">
        <f>IF(AND(ISNUMBER('자료_한국심리'!$G1505),ISNUMBER('자료_한국심리'!$H1505)),'자료_한국심리'!$G1505,"")</f>
        <v/>
      </c>
      <c r="X1521">
        <f>IF(AND(ISNUMBER('자료_한국심리'!$J1505),ISNUMBER('자료_한국심리'!$K1505)),'자료_한국심리'!$J1505,"")</f>
        <v/>
      </c>
      <c r="Y1521">
        <f>IF(AND(ISNUMBER('자료_한국심리'!$M1505),ISNUMBER('자료_한국심리'!$N1505)),'자료_한국심리'!$M1505,"")</f>
        <v/>
      </c>
    </row>
    <row r="1522">
      <c r="U1522">
        <f>IF(AND(ISNUMBER('자료_한국심리'!$A1506),ISNUMBER('자료_한국심리'!$B1506)),'자료_한국심리'!$A1506,"")</f>
        <v/>
      </c>
      <c r="V1522">
        <f>IF(AND(ISNUMBER('자료_한국심리'!$D1506),ISNUMBER('자료_한국심리'!$E1506)),'자료_한국심리'!$D1506,"")</f>
        <v/>
      </c>
      <c r="W1522">
        <f>IF(AND(ISNUMBER('자료_한국심리'!$G1506),ISNUMBER('자료_한국심리'!$H1506)),'자료_한국심리'!$G1506,"")</f>
        <v/>
      </c>
      <c r="X1522">
        <f>IF(AND(ISNUMBER('자료_한국심리'!$J1506),ISNUMBER('자료_한국심리'!$K1506)),'자료_한국심리'!$J1506,"")</f>
        <v/>
      </c>
      <c r="Y1522">
        <f>IF(AND(ISNUMBER('자료_한국심리'!$M1506),ISNUMBER('자료_한국심리'!$N1506)),'자료_한국심리'!$M1506,"")</f>
        <v/>
      </c>
    </row>
    <row r="1523">
      <c r="U1523">
        <f>IF(AND(ISNUMBER('자료_한국심리'!$A1507),ISNUMBER('자료_한국심리'!$B1507)),'자료_한국심리'!$A1507,"")</f>
        <v/>
      </c>
      <c r="V1523">
        <f>IF(AND(ISNUMBER('자료_한국심리'!$D1507),ISNUMBER('자료_한국심리'!$E1507)),'자료_한국심리'!$D1507,"")</f>
        <v/>
      </c>
      <c r="W1523">
        <f>IF(AND(ISNUMBER('자료_한국심리'!$G1507),ISNUMBER('자료_한국심리'!$H1507)),'자료_한국심리'!$G1507,"")</f>
        <v/>
      </c>
      <c r="X1523">
        <f>IF(AND(ISNUMBER('자료_한국심리'!$J1507),ISNUMBER('자료_한국심리'!$K1507)),'자료_한국심리'!$J1507,"")</f>
        <v/>
      </c>
      <c r="Y1523">
        <f>IF(AND(ISNUMBER('자료_한국심리'!$M1507),ISNUMBER('자료_한국심리'!$N1507)),'자료_한국심리'!$M1507,"")</f>
        <v/>
      </c>
    </row>
    <row r="1524">
      <c r="U1524">
        <f>IF(AND(ISNUMBER('자료_한국심리'!$A1508),ISNUMBER('자료_한국심리'!$B1508)),'자료_한국심리'!$A1508,"")</f>
        <v/>
      </c>
      <c r="V1524">
        <f>IF(AND(ISNUMBER('자료_한국심리'!$D1508),ISNUMBER('자료_한국심리'!$E1508)),'자료_한국심리'!$D1508,"")</f>
        <v/>
      </c>
      <c r="W1524">
        <f>IF(AND(ISNUMBER('자료_한국심리'!$G1508),ISNUMBER('자료_한국심리'!$H1508)),'자료_한국심리'!$G1508,"")</f>
        <v/>
      </c>
      <c r="X1524">
        <f>IF(AND(ISNUMBER('자료_한국심리'!$J1508),ISNUMBER('자료_한국심리'!$K1508)),'자료_한국심리'!$J1508,"")</f>
        <v/>
      </c>
      <c r="Y1524">
        <f>IF(AND(ISNUMBER('자료_한국심리'!$M1508),ISNUMBER('자료_한국심리'!$N1508)),'자료_한국심리'!$M1508,"")</f>
        <v/>
      </c>
    </row>
    <row r="1525">
      <c r="U1525">
        <f>IF(AND(ISNUMBER('자료_한국심리'!$A1509),ISNUMBER('자료_한국심리'!$B1509)),'자료_한국심리'!$A1509,"")</f>
        <v/>
      </c>
      <c r="V1525">
        <f>IF(AND(ISNUMBER('자료_한국심리'!$D1509),ISNUMBER('자료_한국심리'!$E1509)),'자료_한국심리'!$D1509,"")</f>
        <v/>
      </c>
      <c r="W1525">
        <f>IF(AND(ISNUMBER('자료_한국심리'!$G1509),ISNUMBER('자료_한국심리'!$H1509)),'자료_한국심리'!$G1509,"")</f>
        <v/>
      </c>
      <c r="X1525">
        <f>IF(AND(ISNUMBER('자료_한국심리'!$J1509),ISNUMBER('자료_한국심리'!$K1509)),'자료_한국심리'!$J1509,"")</f>
        <v/>
      </c>
      <c r="Y1525">
        <f>IF(AND(ISNUMBER('자료_한국심리'!$M1509),ISNUMBER('자료_한국심리'!$N1509)),'자료_한국심리'!$M1509,"")</f>
        <v/>
      </c>
    </row>
    <row r="1526">
      <c r="U1526">
        <f>IF(AND(ISNUMBER('자료_한국심리'!$A1510),ISNUMBER('자료_한국심리'!$B1510)),'자료_한국심리'!$A1510,"")</f>
        <v/>
      </c>
      <c r="V1526">
        <f>IF(AND(ISNUMBER('자료_한국심리'!$D1510),ISNUMBER('자료_한국심리'!$E1510)),'자료_한국심리'!$D1510,"")</f>
        <v/>
      </c>
      <c r="W1526">
        <f>IF(AND(ISNUMBER('자료_한국심리'!$G1510),ISNUMBER('자료_한국심리'!$H1510)),'자료_한국심리'!$G1510,"")</f>
        <v/>
      </c>
      <c r="X1526">
        <f>IF(AND(ISNUMBER('자료_한국심리'!$J1510),ISNUMBER('자료_한국심리'!$K1510)),'자료_한국심리'!$J1510,"")</f>
        <v/>
      </c>
      <c r="Y1526">
        <f>IF(AND(ISNUMBER('자료_한국심리'!$M1510),ISNUMBER('자료_한국심리'!$N1510)),'자료_한국심리'!$M1510,"")</f>
        <v/>
      </c>
    </row>
    <row r="1527">
      <c r="U1527">
        <f>IF(AND(ISNUMBER('자료_한국심리'!$A1511),ISNUMBER('자료_한국심리'!$B1511)),'자료_한국심리'!$A1511,"")</f>
        <v/>
      </c>
      <c r="V1527">
        <f>IF(AND(ISNUMBER('자료_한국심리'!$D1511),ISNUMBER('자료_한국심리'!$E1511)),'자료_한국심리'!$D1511,"")</f>
        <v/>
      </c>
      <c r="W1527">
        <f>IF(AND(ISNUMBER('자료_한국심리'!$G1511),ISNUMBER('자료_한국심리'!$H1511)),'자료_한국심리'!$G1511,"")</f>
        <v/>
      </c>
      <c r="X1527">
        <f>IF(AND(ISNUMBER('자료_한국심리'!$J1511),ISNUMBER('자료_한국심리'!$K1511)),'자료_한국심리'!$J1511,"")</f>
        <v/>
      </c>
      <c r="Y1527">
        <f>IF(AND(ISNUMBER('자료_한국심리'!$M1511),ISNUMBER('자료_한국심리'!$N1511)),'자료_한국심리'!$M1511,"")</f>
        <v/>
      </c>
    </row>
    <row r="1528">
      <c r="U1528">
        <f>IF(AND(ISNUMBER('자료_한국심리'!$A1512),ISNUMBER('자료_한국심리'!$B1512)),'자료_한국심리'!$A1512,"")</f>
        <v/>
      </c>
      <c r="V1528">
        <f>IF(AND(ISNUMBER('자료_한국심리'!$D1512),ISNUMBER('자료_한국심리'!$E1512)),'자료_한국심리'!$D1512,"")</f>
        <v/>
      </c>
      <c r="W1528">
        <f>IF(AND(ISNUMBER('자료_한국심리'!$G1512),ISNUMBER('자료_한국심리'!$H1512)),'자료_한국심리'!$G1512,"")</f>
        <v/>
      </c>
      <c r="X1528">
        <f>IF(AND(ISNUMBER('자료_한국심리'!$J1512),ISNUMBER('자료_한국심리'!$K1512)),'자료_한국심리'!$J1512,"")</f>
        <v/>
      </c>
      <c r="Y1528">
        <f>IF(AND(ISNUMBER('자료_한국심리'!$M1512),ISNUMBER('자료_한국심리'!$N1512)),'자료_한국심리'!$M1512,"")</f>
        <v/>
      </c>
    </row>
    <row r="1529">
      <c r="U1529">
        <f>IF(AND(ISNUMBER('자료_한국심리'!$A1513),ISNUMBER('자료_한국심리'!$B1513)),'자료_한국심리'!$A1513,"")</f>
        <v/>
      </c>
      <c r="V1529">
        <f>IF(AND(ISNUMBER('자료_한국심리'!$D1513),ISNUMBER('자료_한국심리'!$E1513)),'자료_한국심리'!$D1513,"")</f>
        <v/>
      </c>
      <c r="W1529">
        <f>IF(AND(ISNUMBER('자료_한국심리'!$G1513),ISNUMBER('자료_한국심리'!$H1513)),'자료_한국심리'!$G1513,"")</f>
        <v/>
      </c>
      <c r="X1529">
        <f>IF(AND(ISNUMBER('자료_한국심리'!$J1513),ISNUMBER('자료_한국심리'!$K1513)),'자료_한국심리'!$J1513,"")</f>
        <v/>
      </c>
      <c r="Y1529">
        <f>IF(AND(ISNUMBER('자료_한국심리'!$M1513),ISNUMBER('자료_한국심리'!$N1513)),'자료_한국심리'!$M1513,"")</f>
        <v/>
      </c>
    </row>
    <row r="1530">
      <c r="U1530">
        <f>IF(AND(ISNUMBER('자료_한국심리'!$A1514),ISNUMBER('자료_한국심리'!$B1514)),'자료_한국심리'!$A1514,"")</f>
        <v/>
      </c>
      <c r="V1530">
        <f>IF(AND(ISNUMBER('자료_한국심리'!$D1514),ISNUMBER('자료_한국심리'!$E1514)),'자료_한국심리'!$D1514,"")</f>
        <v/>
      </c>
      <c r="W1530">
        <f>IF(AND(ISNUMBER('자료_한국심리'!$G1514),ISNUMBER('자료_한국심리'!$H1514)),'자료_한국심리'!$G1514,"")</f>
        <v/>
      </c>
      <c r="X1530">
        <f>IF(AND(ISNUMBER('자료_한국심리'!$J1514),ISNUMBER('자료_한국심리'!$K1514)),'자료_한국심리'!$J1514,"")</f>
        <v/>
      </c>
      <c r="Y1530">
        <f>IF(AND(ISNUMBER('자료_한국심리'!$M1514),ISNUMBER('자료_한국심리'!$N1514)),'자료_한국심리'!$M1514,"")</f>
        <v/>
      </c>
    </row>
    <row r="1531">
      <c r="U1531">
        <f>IF(AND(ISNUMBER('자료_한국심리'!$A1515),ISNUMBER('자료_한국심리'!$B1515)),'자료_한국심리'!$A1515,"")</f>
        <v/>
      </c>
      <c r="V1531">
        <f>IF(AND(ISNUMBER('자료_한국심리'!$D1515),ISNUMBER('자료_한국심리'!$E1515)),'자료_한국심리'!$D1515,"")</f>
        <v/>
      </c>
      <c r="W1531">
        <f>IF(AND(ISNUMBER('자료_한국심리'!$G1515),ISNUMBER('자료_한국심리'!$H1515)),'자료_한국심리'!$G1515,"")</f>
        <v/>
      </c>
      <c r="X1531">
        <f>IF(AND(ISNUMBER('자료_한국심리'!$J1515),ISNUMBER('자료_한국심리'!$K1515)),'자료_한국심리'!$J1515,"")</f>
        <v/>
      </c>
      <c r="Y1531">
        <f>IF(AND(ISNUMBER('자료_한국심리'!$M1515),ISNUMBER('자료_한국심리'!$N1515)),'자료_한국심리'!$M1515,"")</f>
        <v/>
      </c>
    </row>
    <row r="1532">
      <c r="U1532">
        <f>IF(AND(ISNUMBER('자료_한국심리'!$A1516),ISNUMBER('자료_한국심리'!$B1516)),'자료_한국심리'!$A1516,"")</f>
        <v/>
      </c>
      <c r="V1532">
        <f>IF(AND(ISNUMBER('자료_한국심리'!$D1516),ISNUMBER('자료_한국심리'!$E1516)),'자료_한국심리'!$D1516,"")</f>
        <v/>
      </c>
      <c r="W1532">
        <f>IF(AND(ISNUMBER('자료_한국심리'!$G1516),ISNUMBER('자료_한국심리'!$H1516)),'자료_한국심리'!$G1516,"")</f>
        <v/>
      </c>
      <c r="X1532">
        <f>IF(AND(ISNUMBER('자료_한국심리'!$J1516),ISNUMBER('자료_한국심리'!$K1516)),'자료_한국심리'!$J1516,"")</f>
        <v/>
      </c>
      <c r="Y1532">
        <f>IF(AND(ISNUMBER('자료_한국심리'!$M1516),ISNUMBER('자료_한국심리'!$N1516)),'자료_한국심리'!$M1516,"")</f>
        <v/>
      </c>
    </row>
    <row r="1533">
      <c r="U1533">
        <f>IF(AND(ISNUMBER('자료_한국심리'!$A1517),ISNUMBER('자료_한국심리'!$B1517)),'자료_한국심리'!$A1517,"")</f>
        <v/>
      </c>
      <c r="V1533">
        <f>IF(AND(ISNUMBER('자료_한국심리'!$D1517),ISNUMBER('자료_한국심리'!$E1517)),'자료_한국심리'!$D1517,"")</f>
        <v/>
      </c>
      <c r="W1533">
        <f>IF(AND(ISNUMBER('자료_한국심리'!$G1517),ISNUMBER('자료_한국심리'!$H1517)),'자료_한국심리'!$G1517,"")</f>
        <v/>
      </c>
      <c r="X1533">
        <f>IF(AND(ISNUMBER('자료_한국심리'!$J1517),ISNUMBER('자료_한국심리'!$K1517)),'자료_한국심리'!$J1517,"")</f>
        <v/>
      </c>
      <c r="Y1533">
        <f>IF(AND(ISNUMBER('자료_한국심리'!$M1517),ISNUMBER('자료_한국심리'!$N1517)),'자료_한국심리'!$M1517,"")</f>
        <v/>
      </c>
    </row>
    <row r="1534">
      <c r="U1534">
        <f>IF(AND(ISNUMBER('자료_한국심리'!$A1518),ISNUMBER('자료_한국심리'!$B1518)),'자료_한국심리'!$A1518,"")</f>
        <v/>
      </c>
      <c r="V1534">
        <f>IF(AND(ISNUMBER('자료_한국심리'!$D1518),ISNUMBER('자료_한국심리'!$E1518)),'자료_한국심리'!$D1518,"")</f>
        <v/>
      </c>
      <c r="W1534">
        <f>IF(AND(ISNUMBER('자료_한국심리'!$G1518),ISNUMBER('자료_한국심리'!$H1518)),'자료_한국심리'!$G1518,"")</f>
        <v/>
      </c>
      <c r="X1534">
        <f>IF(AND(ISNUMBER('자료_한국심리'!$J1518),ISNUMBER('자료_한국심리'!$K1518)),'자료_한국심리'!$J1518,"")</f>
        <v/>
      </c>
      <c r="Y1534">
        <f>IF(AND(ISNUMBER('자료_한국심리'!$M1518),ISNUMBER('자료_한국심리'!$N1518)),'자료_한국심리'!$M1518,"")</f>
        <v/>
      </c>
    </row>
    <row r="1535">
      <c r="U1535">
        <f>IF(AND(ISNUMBER('자료_한국심리'!$A1519),ISNUMBER('자료_한국심리'!$B1519)),'자료_한국심리'!$A1519,"")</f>
        <v/>
      </c>
      <c r="V1535">
        <f>IF(AND(ISNUMBER('자료_한국심리'!$D1519),ISNUMBER('자료_한국심리'!$E1519)),'자료_한국심리'!$D1519,"")</f>
        <v/>
      </c>
      <c r="W1535">
        <f>IF(AND(ISNUMBER('자료_한국심리'!$G1519),ISNUMBER('자료_한국심리'!$H1519)),'자료_한국심리'!$G1519,"")</f>
        <v/>
      </c>
      <c r="X1535">
        <f>IF(AND(ISNUMBER('자료_한국심리'!$J1519),ISNUMBER('자료_한국심리'!$K1519)),'자료_한국심리'!$J1519,"")</f>
        <v/>
      </c>
      <c r="Y1535">
        <f>IF(AND(ISNUMBER('자료_한국심리'!$M1519),ISNUMBER('자료_한국심리'!$N1519)),'자료_한국심리'!$M1519,"")</f>
        <v/>
      </c>
    </row>
    <row r="1536">
      <c r="U1536">
        <f>IF(AND(ISNUMBER('자료_한국심리'!$A1520),ISNUMBER('자료_한국심리'!$B1520)),'자료_한국심리'!$A1520,"")</f>
        <v/>
      </c>
      <c r="V1536">
        <f>IF(AND(ISNUMBER('자료_한국심리'!$D1520),ISNUMBER('자료_한국심리'!$E1520)),'자료_한국심리'!$D1520,"")</f>
        <v/>
      </c>
      <c r="W1536">
        <f>IF(AND(ISNUMBER('자료_한국심리'!$G1520),ISNUMBER('자료_한국심리'!$H1520)),'자료_한국심리'!$G1520,"")</f>
        <v/>
      </c>
      <c r="X1536">
        <f>IF(AND(ISNUMBER('자료_한국심리'!$J1520),ISNUMBER('자료_한국심리'!$K1520)),'자료_한국심리'!$J1520,"")</f>
        <v/>
      </c>
      <c r="Y1536">
        <f>IF(AND(ISNUMBER('자료_한국심리'!$M1520),ISNUMBER('자료_한국심리'!$N1520)),'자료_한국심리'!$M1520,"")</f>
        <v/>
      </c>
    </row>
    <row r="1537">
      <c r="U1537">
        <f>IF(AND(ISNUMBER('자료_한국심리'!$A1521),ISNUMBER('자료_한국심리'!$B1521)),'자료_한국심리'!$A1521,"")</f>
        <v/>
      </c>
      <c r="V1537">
        <f>IF(AND(ISNUMBER('자료_한국심리'!$D1521),ISNUMBER('자료_한국심리'!$E1521)),'자료_한국심리'!$D1521,"")</f>
        <v/>
      </c>
      <c r="W1537">
        <f>IF(AND(ISNUMBER('자료_한국심리'!$G1521),ISNUMBER('자료_한국심리'!$H1521)),'자료_한국심리'!$G1521,"")</f>
        <v/>
      </c>
      <c r="X1537">
        <f>IF(AND(ISNUMBER('자료_한국심리'!$J1521),ISNUMBER('자료_한국심리'!$K1521)),'자료_한국심리'!$J1521,"")</f>
        <v/>
      </c>
      <c r="Y1537">
        <f>IF(AND(ISNUMBER('자료_한국심리'!$M1521),ISNUMBER('자료_한국심리'!$N1521)),'자료_한국심리'!$M1521,"")</f>
        <v/>
      </c>
    </row>
    <row r="1538">
      <c r="U1538">
        <f>IF(AND(ISNUMBER('자료_한국심리'!$A1522),ISNUMBER('자료_한국심리'!$B1522)),'자료_한국심리'!$A1522,"")</f>
        <v/>
      </c>
      <c r="V1538">
        <f>IF(AND(ISNUMBER('자료_한국심리'!$D1522),ISNUMBER('자료_한국심리'!$E1522)),'자료_한국심리'!$D1522,"")</f>
        <v/>
      </c>
      <c r="W1538">
        <f>IF(AND(ISNUMBER('자료_한국심리'!$G1522),ISNUMBER('자료_한국심리'!$H1522)),'자료_한국심리'!$G1522,"")</f>
        <v/>
      </c>
      <c r="X1538">
        <f>IF(AND(ISNUMBER('자료_한국심리'!$J1522),ISNUMBER('자료_한국심리'!$K1522)),'자료_한국심리'!$J1522,"")</f>
        <v/>
      </c>
      <c r="Y1538">
        <f>IF(AND(ISNUMBER('자료_한국심리'!$M1522),ISNUMBER('자료_한국심리'!$N1522)),'자료_한국심리'!$M1522,"")</f>
        <v/>
      </c>
    </row>
    <row r="1539">
      <c r="U1539">
        <f>IF(AND(ISNUMBER('자료_한국심리'!$A1523),ISNUMBER('자료_한국심리'!$B1523)),'자료_한국심리'!$A1523,"")</f>
        <v/>
      </c>
      <c r="V1539">
        <f>IF(AND(ISNUMBER('자료_한국심리'!$D1523),ISNUMBER('자료_한국심리'!$E1523)),'자료_한국심리'!$D1523,"")</f>
        <v/>
      </c>
      <c r="W1539">
        <f>IF(AND(ISNUMBER('자료_한국심리'!$G1523),ISNUMBER('자료_한국심리'!$H1523)),'자료_한국심리'!$G1523,"")</f>
        <v/>
      </c>
      <c r="X1539">
        <f>IF(AND(ISNUMBER('자료_한국심리'!$J1523),ISNUMBER('자료_한국심리'!$K1523)),'자료_한국심리'!$J1523,"")</f>
        <v/>
      </c>
      <c r="Y1539">
        <f>IF(AND(ISNUMBER('자료_한국심리'!$M1523),ISNUMBER('자료_한국심리'!$N1523)),'자료_한국심리'!$M1523,"")</f>
        <v/>
      </c>
    </row>
    <row r="1540">
      <c r="U1540">
        <f>IF(AND(ISNUMBER('자료_한국심리'!$A1524),ISNUMBER('자료_한국심리'!$B1524)),'자료_한국심리'!$A1524,"")</f>
        <v/>
      </c>
      <c r="V1540">
        <f>IF(AND(ISNUMBER('자료_한국심리'!$D1524),ISNUMBER('자료_한국심리'!$E1524)),'자료_한국심리'!$D1524,"")</f>
        <v/>
      </c>
      <c r="W1540">
        <f>IF(AND(ISNUMBER('자료_한국심리'!$G1524),ISNUMBER('자료_한국심리'!$H1524)),'자료_한국심리'!$G1524,"")</f>
        <v/>
      </c>
      <c r="X1540">
        <f>IF(AND(ISNUMBER('자료_한국심리'!$J1524),ISNUMBER('자료_한국심리'!$K1524)),'자료_한국심리'!$J1524,"")</f>
        <v/>
      </c>
      <c r="Y1540">
        <f>IF(AND(ISNUMBER('자료_한국심리'!$M1524),ISNUMBER('자료_한국심리'!$N1524)),'자료_한국심리'!$M1524,"")</f>
        <v/>
      </c>
    </row>
    <row r="1541">
      <c r="U1541">
        <f>IF(AND(ISNUMBER('자료_한국심리'!$A1525),ISNUMBER('자료_한국심리'!$B1525)),'자료_한국심리'!$A1525,"")</f>
        <v/>
      </c>
      <c r="V1541">
        <f>IF(AND(ISNUMBER('자료_한국심리'!$D1525),ISNUMBER('자료_한국심리'!$E1525)),'자료_한국심리'!$D1525,"")</f>
        <v/>
      </c>
      <c r="W1541">
        <f>IF(AND(ISNUMBER('자료_한국심리'!$G1525),ISNUMBER('자료_한국심리'!$H1525)),'자료_한국심리'!$G1525,"")</f>
        <v/>
      </c>
      <c r="X1541">
        <f>IF(AND(ISNUMBER('자료_한국심리'!$J1525),ISNUMBER('자료_한국심리'!$K1525)),'자료_한국심리'!$J1525,"")</f>
        <v/>
      </c>
      <c r="Y1541">
        <f>IF(AND(ISNUMBER('자료_한국심리'!$M1525),ISNUMBER('자료_한국심리'!$N1525)),'자료_한국심리'!$M1525,"")</f>
        <v/>
      </c>
    </row>
    <row r="1542">
      <c r="U1542">
        <f>IF(AND(ISNUMBER('자료_한국심리'!$A1526),ISNUMBER('자료_한국심리'!$B1526)),'자료_한국심리'!$A1526,"")</f>
        <v/>
      </c>
      <c r="V1542">
        <f>IF(AND(ISNUMBER('자료_한국심리'!$D1526),ISNUMBER('자료_한국심리'!$E1526)),'자료_한국심리'!$D1526,"")</f>
        <v/>
      </c>
      <c r="W1542">
        <f>IF(AND(ISNUMBER('자료_한국심리'!$G1526),ISNUMBER('자료_한국심리'!$H1526)),'자료_한국심리'!$G1526,"")</f>
        <v/>
      </c>
      <c r="X1542">
        <f>IF(AND(ISNUMBER('자료_한국심리'!$J1526),ISNUMBER('자료_한국심리'!$K1526)),'자료_한국심리'!$J1526,"")</f>
        <v/>
      </c>
      <c r="Y1542">
        <f>IF(AND(ISNUMBER('자료_한국심리'!$M1526),ISNUMBER('자료_한국심리'!$N1526)),'자료_한국심리'!$M1526,"")</f>
        <v/>
      </c>
    </row>
    <row r="1543">
      <c r="U1543">
        <f>IF(AND(ISNUMBER('자료_한국심리'!$A1527),ISNUMBER('자료_한국심리'!$B1527)),'자료_한국심리'!$A1527,"")</f>
        <v/>
      </c>
      <c r="V1543">
        <f>IF(AND(ISNUMBER('자료_한국심리'!$D1527),ISNUMBER('자료_한국심리'!$E1527)),'자료_한국심리'!$D1527,"")</f>
        <v/>
      </c>
      <c r="W1543">
        <f>IF(AND(ISNUMBER('자료_한국심리'!$G1527),ISNUMBER('자료_한국심리'!$H1527)),'자료_한국심리'!$G1527,"")</f>
        <v/>
      </c>
      <c r="X1543">
        <f>IF(AND(ISNUMBER('자료_한국심리'!$J1527),ISNUMBER('자료_한국심리'!$K1527)),'자료_한국심리'!$J1527,"")</f>
        <v/>
      </c>
      <c r="Y1543">
        <f>IF(AND(ISNUMBER('자료_한국심리'!$M1527),ISNUMBER('자료_한국심리'!$N1527)),'자료_한국심리'!$M1527,"")</f>
        <v/>
      </c>
    </row>
    <row r="1544">
      <c r="U1544">
        <f>IF(AND(ISNUMBER('자료_한국심리'!$A1528),ISNUMBER('자료_한국심리'!$B1528)),'자료_한국심리'!$A1528,"")</f>
        <v/>
      </c>
      <c r="V1544">
        <f>IF(AND(ISNUMBER('자료_한국심리'!$D1528),ISNUMBER('자료_한국심리'!$E1528)),'자료_한국심리'!$D1528,"")</f>
        <v/>
      </c>
      <c r="W1544">
        <f>IF(AND(ISNUMBER('자료_한국심리'!$G1528),ISNUMBER('자료_한국심리'!$H1528)),'자료_한국심리'!$G1528,"")</f>
        <v/>
      </c>
      <c r="X1544">
        <f>IF(AND(ISNUMBER('자료_한국심리'!$J1528),ISNUMBER('자료_한국심리'!$K1528)),'자료_한국심리'!$J1528,"")</f>
        <v/>
      </c>
      <c r="Y1544">
        <f>IF(AND(ISNUMBER('자료_한국심리'!$M1528),ISNUMBER('자료_한국심리'!$N1528)),'자료_한국심리'!$M1528,"")</f>
        <v/>
      </c>
    </row>
    <row r="1545">
      <c r="U1545">
        <f>IF(AND(ISNUMBER('자료_한국심리'!$A1529),ISNUMBER('자료_한국심리'!$B1529)),'자료_한국심리'!$A1529,"")</f>
        <v/>
      </c>
      <c r="V1545">
        <f>IF(AND(ISNUMBER('자료_한국심리'!$D1529),ISNUMBER('자료_한국심리'!$E1529)),'자료_한국심리'!$D1529,"")</f>
        <v/>
      </c>
      <c r="W1545">
        <f>IF(AND(ISNUMBER('자료_한국심리'!$G1529),ISNUMBER('자료_한국심리'!$H1529)),'자료_한국심리'!$G1529,"")</f>
        <v/>
      </c>
      <c r="X1545">
        <f>IF(AND(ISNUMBER('자료_한국심리'!$J1529),ISNUMBER('자료_한국심리'!$K1529)),'자료_한국심리'!$J1529,"")</f>
        <v/>
      </c>
      <c r="Y1545">
        <f>IF(AND(ISNUMBER('자료_한국심리'!$M1529),ISNUMBER('자료_한국심리'!$N1529)),'자료_한국심리'!$M1529,"")</f>
        <v/>
      </c>
    </row>
    <row r="1546">
      <c r="U1546">
        <f>IF(AND(ISNUMBER('자료_한국심리'!$A1530),ISNUMBER('자료_한국심리'!$B1530)),'자료_한국심리'!$A1530,"")</f>
        <v/>
      </c>
      <c r="V1546">
        <f>IF(AND(ISNUMBER('자료_한국심리'!$D1530),ISNUMBER('자료_한국심리'!$E1530)),'자료_한국심리'!$D1530,"")</f>
        <v/>
      </c>
      <c r="W1546">
        <f>IF(AND(ISNUMBER('자료_한국심리'!$G1530),ISNUMBER('자료_한국심리'!$H1530)),'자료_한국심리'!$G1530,"")</f>
        <v/>
      </c>
      <c r="X1546">
        <f>IF(AND(ISNUMBER('자료_한국심리'!$J1530),ISNUMBER('자료_한국심리'!$K1530)),'자료_한국심리'!$J1530,"")</f>
        <v/>
      </c>
      <c r="Y1546">
        <f>IF(AND(ISNUMBER('자료_한국심리'!$M1530),ISNUMBER('자료_한국심리'!$N1530)),'자료_한국심리'!$M1530,"")</f>
        <v/>
      </c>
    </row>
    <row r="1547">
      <c r="U1547">
        <f>IF(AND(ISNUMBER('자료_한국심리'!$A1531),ISNUMBER('자료_한국심리'!$B1531)),'자료_한국심리'!$A1531,"")</f>
        <v/>
      </c>
      <c r="V1547">
        <f>IF(AND(ISNUMBER('자료_한국심리'!$D1531),ISNUMBER('자료_한국심리'!$E1531)),'자료_한국심리'!$D1531,"")</f>
        <v/>
      </c>
      <c r="W1547">
        <f>IF(AND(ISNUMBER('자료_한국심리'!$G1531),ISNUMBER('자료_한국심리'!$H1531)),'자료_한국심리'!$G1531,"")</f>
        <v/>
      </c>
      <c r="X1547">
        <f>IF(AND(ISNUMBER('자료_한국심리'!$J1531),ISNUMBER('자료_한국심리'!$K1531)),'자료_한국심리'!$J1531,"")</f>
        <v/>
      </c>
      <c r="Y1547">
        <f>IF(AND(ISNUMBER('자료_한국심리'!$M1531),ISNUMBER('자료_한국심리'!$N1531)),'자료_한국심리'!$M1531,"")</f>
        <v/>
      </c>
    </row>
    <row r="1548">
      <c r="U1548">
        <f>IF(AND(ISNUMBER('자료_한국심리'!$A1532),ISNUMBER('자료_한국심리'!$B1532)),'자료_한국심리'!$A1532,"")</f>
        <v/>
      </c>
      <c r="V1548">
        <f>IF(AND(ISNUMBER('자료_한국심리'!$D1532),ISNUMBER('자료_한국심리'!$E1532)),'자료_한국심리'!$D1532,"")</f>
        <v/>
      </c>
      <c r="W1548">
        <f>IF(AND(ISNUMBER('자료_한국심리'!$G1532),ISNUMBER('자료_한국심리'!$H1532)),'자료_한국심리'!$G1532,"")</f>
        <v/>
      </c>
      <c r="X1548">
        <f>IF(AND(ISNUMBER('자료_한국심리'!$J1532),ISNUMBER('자료_한국심리'!$K1532)),'자료_한국심리'!$J1532,"")</f>
        <v/>
      </c>
      <c r="Y1548">
        <f>IF(AND(ISNUMBER('자료_한국심리'!$M1532),ISNUMBER('자료_한국심리'!$N1532)),'자료_한국심리'!$M1532,"")</f>
        <v/>
      </c>
    </row>
    <row r="1549">
      <c r="U1549">
        <f>IF(AND(ISNUMBER('자료_한국심리'!$A1533),ISNUMBER('자료_한국심리'!$B1533)),'자료_한국심리'!$A1533,"")</f>
        <v/>
      </c>
      <c r="V1549">
        <f>IF(AND(ISNUMBER('자료_한국심리'!$D1533),ISNUMBER('자료_한국심리'!$E1533)),'자료_한국심리'!$D1533,"")</f>
        <v/>
      </c>
      <c r="W1549">
        <f>IF(AND(ISNUMBER('자료_한국심리'!$G1533),ISNUMBER('자료_한국심리'!$H1533)),'자료_한국심리'!$G1533,"")</f>
        <v/>
      </c>
      <c r="X1549">
        <f>IF(AND(ISNUMBER('자료_한국심리'!$J1533),ISNUMBER('자료_한국심리'!$K1533)),'자료_한국심리'!$J1533,"")</f>
        <v/>
      </c>
      <c r="Y1549">
        <f>IF(AND(ISNUMBER('자료_한국심리'!$M1533),ISNUMBER('자료_한국심리'!$N1533)),'자료_한국심리'!$M1533,"")</f>
        <v/>
      </c>
    </row>
    <row r="1550">
      <c r="U1550">
        <f>IF(AND(ISNUMBER('자료_한국심리'!$A1534),ISNUMBER('자료_한국심리'!$B1534)),'자료_한국심리'!$A1534,"")</f>
        <v/>
      </c>
      <c r="V1550">
        <f>IF(AND(ISNUMBER('자료_한국심리'!$D1534),ISNUMBER('자료_한국심리'!$E1534)),'자료_한국심리'!$D1534,"")</f>
        <v/>
      </c>
      <c r="W1550">
        <f>IF(AND(ISNUMBER('자료_한국심리'!$G1534),ISNUMBER('자료_한국심리'!$H1534)),'자료_한국심리'!$G1534,"")</f>
        <v/>
      </c>
      <c r="X1550">
        <f>IF(AND(ISNUMBER('자료_한국심리'!$J1534),ISNUMBER('자료_한국심리'!$K1534)),'자료_한국심리'!$J1534,"")</f>
        <v/>
      </c>
      <c r="Y1550">
        <f>IF(AND(ISNUMBER('자료_한국심리'!$M1534),ISNUMBER('자료_한국심리'!$N1534)),'자료_한국심리'!$M1534,"")</f>
        <v/>
      </c>
    </row>
    <row r="1551">
      <c r="U1551">
        <f>IF(AND(ISNUMBER('자료_한국심리'!$A1535),ISNUMBER('자료_한국심리'!$B1535)),'자료_한국심리'!$A1535,"")</f>
        <v/>
      </c>
      <c r="V1551">
        <f>IF(AND(ISNUMBER('자료_한국심리'!$D1535),ISNUMBER('자료_한국심리'!$E1535)),'자료_한국심리'!$D1535,"")</f>
        <v/>
      </c>
      <c r="W1551">
        <f>IF(AND(ISNUMBER('자료_한국심리'!$G1535),ISNUMBER('자료_한국심리'!$H1535)),'자료_한국심리'!$G1535,"")</f>
        <v/>
      </c>
      <c r="X1551">
        <f>IF(AND(ISNUMBER('자료_한국심리'!$J1535),ISNUMBER('자료_한국심리'!$K1535)),'자료_한국심리'!$J1535,"")</f>
        <v/>
      </c>
      <c r="Y1551">
        <f>IF(AND(ISNUMBER('자료_한국심리'!$M1535),ISNUMBER('자료_한국심리'!$N1535)),'자료_한국심리'!$M1535,"")</f>
        <v/>
      </c>
    </row>
    <row r="1552">
      <c r="U1552">
        <f>IF(AND(ISNUMBER('자료_한국심리'!$A1536),ISNUMBER('자료_한국심리'!$B1536)),'자료_한국심리'!$A1536,"")</f>
        <v/>
      </c>
      <c r="V1552">
        <f>IF(AND(ISNUMBER('자료_한국심리'!$D1536),ISNUMBER('자료_한국심리'!$E1536)),'자료_한국심리'!$D1536,"")</f>
        <v/>
      </c>
      <c r="W1552">
        <f>IF(AND(ISNUMBER('자료_한국심리'!$G1536),ISNUMBER('자료_한국심리'!$H1536)),'자료_한국심리'!$G1536,"")</f>
        <v/>
      </c>
      <c r="X1552">
        <f>IF(AND(ISNUMBER('자료_한국심리'!$J1536),ISNUMBER('자료_한국심리'!$K1536)),'자료_한국심리'!$J1536,"")</f>
        <v/>
      </c>
      <c r="Y1552">
        <f>IF(AND(ISNUMBER('자료_한국심리'!$M1536),ISNUMBER('자료_한국심리'!$N1536)),'자료_한국심리'!$M1536,"")</f>
        <v/>
      </c>
    </row>
    <row r="1553">
      <c r="U1553">
        <f>IF(AND(ISNUMBER('자료_한국심리'!$A1537),ISNUMBER('자료_한국심리'!$B1537)),'자료_한국심리'!$A1537,"")</f>
        <v/>
      </c>
      <c r="V1553">
        <f>IF(AND(ISNUMBER('자료_한국심리'!$D1537),ISNUMBER('자료_한국심리'!$E1537)),'자료_한국심리'!$D1537,"")</f>
        <v/>
      </c>
      <c r="W1553">
        <f>IF(AND(ISNUMBER('자료_한국심리'!$G1537),ISNUMBER('자료_한국심리'!$H1537)),'자료_한국심리'!$G1537,"")</f>
        <v/>
      </c>
      <c r="X1553">
        <f>IF(AND(ISNUMBER('자료_한국심리'!$J1537),ISNUMBER('자료_한국심리'!$K1537)),'자료_한국심리'!$J1537,"")</f>
        <v/>
      </c>
      <c r="Y1553">
        <f>IF(AND(ISNUMBER('자료_한국심리'!$M1537),ISNUMBER('자료_한국심리'!$N1537)),'자료_한국심리'!$M1537,"")</f>
        <v/>
      </c>
    </row>
    <row r="1554">
      <c r="U1554">
        <f>IF(AND(ISNUMBER('자료_한국심리'!$A1538),ISNUMBER('자료_한국심리'!$B1538)),'자료_한국심리'!$A1538,"")</f>
        <v/>
      </c>
      <c r="V1554">
        <f>IF(AND(ISNUMBER('자료_한국심리'!$D1538),ISNUMBER('자료_한국심리'!$E1538)),'자료_한국심리'!$D1538,"")</f>
        <v/>
      </c>
      <c r="W1554">
        <f>IF(AND(ISNUMBER('자료_한국심리'!$G1538),ISNUMBER('자료_한국심리'!$H1538)),'자료_한국심리'!$G1538,"")</f>
        <v/>
      </c>
      <c r="X1554">
        <f>IF(AND(ISNUMBER('자료_한국심리'!$J1538),ISNUMBER('자료_한국심리'!$K1538)),'자료_한국심리'!$J1538,"")</f>
        <v/>
      </c>
      <c r="Y1554">
        <f>IF(AND(ISNUMBER('자료_한국심리'!$M1538),ISNUMBER('자료_한국심리'!$N1538)),'자료_한국심리'!$M1538,"")</f>
        <v/>
      </c>
    </row>
    <row r="1555">
      <c r="U1555">
        <f>IF(AND(ISNUMBER('자료_한국심리'!$A1539),ISNUMBER('자료_한국심리'!$B1539)),'자료_한국심리'!$A1539,"")</f>
        <v/>
      </c>
      <c r="V1555">
        <f>IF(AND(ISNUMBER('자료_한국심리'!$D1539),ISNUMBER('자료_한국심리'!$E1539)),'자료_한국심리'!$D1539,"")</f>
        <v/>
      </c>
      <c r="W1555">
        <f>IF(AND(ISNUMBER('자료_한국심리'!$G1539),ISNUMBER('자료_한국심리'!$H1539)),'자료_한국심리'!$G1539,"")</f>
        <v/>
      </c>
      <c r="X1555">
        <f>IF(AND(ISNUMBER('자료_한국심리'!$J1539),ISNUMBER('자료_한국심리'!$K1539)),'자료_한국심리'!$J1539,"")</f>
        <v/>
      </c>
      <c r="Y1555">
        <f>IF(AND(ISNUMBER('자료_한국심리'!$M1539),ISNUMBER('자료_한국심리'!$N1539)),'자료_한국심리'!$M1539,"")</f>
        <v/>
      </c>
    </row>
    <row r="1556">
      <c r="U1556">
        <f>IF(AND(ISNUMBER('자료_한국심리'!$A1540),ISNUMBER('자료_한국심리'!$B1540)),'자료_한국심리'!$A1540,"")</f>
        <v/>
      </c>
      <c r="V1556">
        <f>IF(AND(ISNUMBER('자료_한국심리'!$D1540),ISNUMBER('자료_한국심리'!$E1540)),'자료_한국심리'!$D1540,"")</f>
        <v/>
      </c>
      <c r="W1556">
        <f>IF(AND(ISNUMBER('자료_한국심리'!$G1540),ISNUMBER('자료_한국심리'!$H1540)),'자료_한국심리'!$G1540,"")</f>
        <v/>
      </c>
      <c r="X1556">
        <f>IF(AND(ISNUMBER('자료_한국심리'!$J1540),ISNUMBER('자료_한국심리'!$K1540)),'자료_한국심리'!$J1540,"")</f>
        <v/>
      </c>
      <c r="Y1556">
        <f>IF(AND(ISNUMBER('자료_한국심리'!$M1540),ISNUMBER('자료_한국심리'!$N1540)),'자료_한국심리'!$M1540,"")</f>
        <v/>
      </c>
    </row>
    <row r="1557">
      <c r="U1557">
        <f>IF(AND(ISNUMBER('자료_한국심리'!$A1541),ISNUMBER('자료_한국심리'!$B1541)),'자료_한국심리'!$A1541,"")</f>
        <v/>
      </c>
      <c r="V1557">
        <f>IF(AND(ISNUMBER('자료_한국심리'!$D1541),ISNUMBER('자료_한국심리'!$E1541)),'자료_한국심리'!$D1541,"")</f>
        <v/>
      </c>
      <c r="W1557">
        <f>IF(AND(ISNUMBER('자료_한국심리'!$G1541),ISNUMBER('자료_한국심리'!$H1541)),'자료_한국심리'!$G1541,"")</f>
        <v/>
      </c>
      <c r="X1557">
        <f>IF(AND(ISNUMBER('자료_한국심리'!$J1541),ISNUMBER('자료_한국심리'!$K1541)),'자료_한국심리'!$J1541,"")</f>
        <v/>
      </c>
      <c r="Y1557">
        <f>IF(AND(ISNUMBER('자료_한국심리'!$M1541),ISNUMBER('자료_한국심리'!$N1541)),'자료_한국심리'!$M1541,"")</f>
        <v/>
      </c>
    </row>
    <row r="1558">
      <c r="U1558">
        <f>IF(AND(ISNUMBER('자료_한국심리'!$A1542),ISNUMBER('자료_한국심리'!$B1542)),'자료_한국심리'!$A1542,"")</f>
        <v/>
      </c>
      <c r="V1558">
        <f>IF(AND(ISNUMBER('자료_한국심리'!$D1542),ISNUMBER('자료_한국심리'!$E1542)),'자료_한국심리'!$D1542,"")</f>
        <v/>
      </c>
      <c r="W1558">
        <f>IF(AND(ISNUMBER('자료_한국심리'!$G1542),ISNUMBER('자료_한국심리'!$H1542)),'자료_한국심리'!$G1542,"")</f>
        <v/>
      </c>
      <c r="X1558">
        <f>IF(AND(ISNUMBER('자료_한국심리'!$J1542),ISNUMBER('자료_한국심리'!$K1542)),'자료_한국심리'!$J1542,"")</f>
        <v/>
      </c>
      <c r="Y1558">
        <f>IF(AND(ISNUMBER('자료_한국심리'!$M1542),ISNUMBER('자료_한국심리'!$N1542)),'자료_한국심리'!$M1542,"")</f>
        <v/>
      </c>
    </row>
    <row r="1559">
      <c r="U1559">
        <f>IF(AND(ISNUMBER('자료_한국심리'!$A1543),ISNUMBER('자료_한국심리'!$B1543)),'자료_한국심리'!$A1543,"")</f>
        <v/>
      </c>
      <c r="V1559">
        <f>IF(AND(ISNUMBER('자료_한국심리'!$D1543),ISNUMBER('자료_한국심리'!$E1543)),'자료_한국심리'!$D1543,"")</f>
        <v/>
      </c>
      <c r="W1559">
        <f>IF(AND(ISNUMBER('자료_한국심리'!$G1543),ISNUMBER('자료_한국심리'!$H1543)),'자료_한국심리'!$G1543,"")</f>
        <v/>
      </c>
      <c r="X1559">
        <f>IF(AND(ISNUMBER('자료_한국심리'!$J1543),ISNUMBER('자료_한국심리'!$K1543)),'자료_한국심리'!$J1543,"")</f>
        <v/>
      </c>
      <c r="Y1559">
        <f>IF(AND(ISNUMBER('자료_한국심리'!$M1543),ISNUMBER('자료_한국심리'!$N1543)),'자료_한국심리'!$M1543,"")</f>
        <v/>
      </c>
    </row>
    <row r="1560">
      <c r="U1560">
        <f>IF(AND(ISNUMBER('자료_한국심리'!$A1544),ISNUMBER('자료_한국심리'!$B1544)),'자료_한국심리'!$A1544,"")</f>
        <v/>
      </c>
      <c r="V1560">
        <f>IF(AND(ISNUMBER('자료_한국심리'!$D1544),ISNUMBER('자료_한국심리'!$E1544)),'자료_한국심리'!$D1544,"")</f>
        <v/>
      </c>
      <c r="W1560">
        <f>IF(AND(ISNUMBER('자료_한국심리'!$G1544),ISNUMBER('자료_한국심리'!$H1544)),'자료_한국심리'!$G1544,"")</f>
        <v/>
      </c>
      <c r="X1560">
        <f>IF(AND(ISNUMBER('자료_한국심리'!$J1544),ISNUMBER('자료_한국심리'!$K1544)),'자료_한국심리'!$J1544,"")</f>
        <v/>
      </c>
      <c r="Y1560">
        <f>IF(AND(ISNUMBER('자료_한국심리'!$M1544),ISNUMBER('자료_한국심리'!$N1544)),'자료_한국심리'!$M1544,"")</f>
        <v/>
      </c>
    </row>
    <row r="1561">
      <c r="U1561">
        <f>IF(AND(ISNUMBER('자료_한국심리'!$A1545),ISNUMBER('자료_한국심리'!$B1545)),'자료_한국심리'!$A1545,"")</f>
        <v/>
      </c>
      <c r="V1561">
        <f>IF(AND(ISNUMBER('자료_한국심리'!$D1545),ISNUMBER('자료_한국심리'!$E1545)),'자료_한국심리'!$D1545,"")</f>
        <v/>
      </c>
      <c r="W1561">
        <f>IF(AND(ISNUMBER('자료_한국심리'!$G1545),ISNUMBER('자료_한국심리'!$H1545)),'자료_한국심리'!$G1545,"")</f>
        <v/>
      </c>
      <c r="X1561">
        <f>IF(AND(ISNUMBER('자료_한국심리'!$J1545),ISNUMBER('자료_한국심리'!$K1545)),'자료_한국심리'!$J1545,"")</f>
        <v/>
      </c>
      <c r="Y1561">
        <f>IF(AND(ISNUMBER('자료_한국심리'!$M1545),ISNUMBER('자료_한국심리'!$N1545)),'자료_한국심리'!$M1545,"")</f>
        <v/>
      </c>
    </row>
    <row r="1562">
      <c r="U1562">
        <f>IF(AND(ISNUMBER('자료_한국심리'!$A1546),ISNUMBER('자료_한국심리'!$B1546)),'자료_한국심리'!$A1546,"")</f>
        <v/>
      </c>
      <c r="V1562">
        <f>IF(AND(ISNUMBER('자료_한국심리'!$D1546),ISNUMBER('자료_한국심리'!$E1546)),'자료_한국심리'!$D1546,"")</f>
        <v/>
      </c>
      <c r="W1562">
        <f>IF(AND(ISNUMBER('자료_한국심리'!$G1546),ISNUMBER('자료_한국심리'!$H1546)),'자료_한국심리'!$G1546,"")</f>
        <v/>
      </c>
      <c r="X1562">
        <f>IF(AND(ISNUMBER('자료_한국심리'!$J1546),ISNUMBER('자료_한국심리'!$K1546)),'자료_한국심리'!$J1546,"")</f>
        <v/>
      </c>
      <c r="Y1562">
        <f>IF(AND(ISNUMBER('자료_한국심리'!$M1546),ISNUMBER('자료_한국심리'!$N1546)),'자료_한국심리'!$M1546,"")</f>
        <v/>
      </c>
    </row>
    <row r="1563">
      <c r="U1563">
        <f>IF(AND(ISNUMBER('자료_한국심리'!$A1547),ISNUMBER('자료_한국심리'!$B1547)),'자료_한국심리'!$A1547,"")</f>
        <v/>
      </c>
      <c r="V1563">
        <f>IF(AND(ISNUMBER('자료_한국심리'!$D1547),ISNUMBER('자료_한국심리'!$E1547)),'자료_한국심리'!$D1547,"")</f>
        <v/>
      </c>
      <c r="W1563">
        <f>IF(AND(ISNUMBER('자료_한국심리'!$G1547),ISNUMBER('자료_한국심리'!$H1547)),'자료_한국심리'!$G1547,"")</f>
        <v/>
      </c>
      <c r="X1563">
        <f>IF(AND(ISNUMBER('자료_한국심리'!$J1547),ISNUMBER('자료_한국심리'!$K1547)),'자료_한국심리'!$J1547,"")</f>
        <v/>
      </c>
      <c r="Y1563">
        <f>IF(AND(ISNUMBER('자료_한국심리'!$M1547),ISNUMBER('자료_한국심리'!$N1547)),'자료_한국심리'!$M1547,"")</f>
        <v/>
      </c>
    </row>
    <row r="1564">
      <c r="U1564">
        <f>IF(AND(ISNUMBER('자료_한국심리'!$A1548),ISNUMBER('자료_한국심리'!$B1548)),'자료_한국심리'!$A1548,"")</f>
        <v/>
      </c>
      <c r="V1564">
        <f>IF(AND(ISNUMBER('자료_한국심리'!$D1548),ISNUMBER('자료_한국심리'!$E1548)),'자료_한국심리'!$D1548,"")</f>
        <v/>
      </c>
      <c r="W1564">
        <f>IF(AND(ISNUMBER('자료_한국심리'!$G1548),ISNUMBER('자료_한국심리'!$H1548)),'자료_한국심리'!$G1548,"")</f>
        <v/>
      </c>
      <c r="X1564">
        <f>IF(AND(ISNUMBER('자료_한국심리'!$J1548),ISNUMBER('자료_한국심리'!$K1548)),'자료_한국심리'!$J1548,"")</f>
        <v/>
      </c>
      <c r="Y1564">
        <f>IF(AND(ISNUMBER('자료_한국심리'!$M1548),ISNUMBER('자료_한국심리'!$N1548)),'자료_한국심리'!$M1548,"")</f>
        <v/>
      </c>
    </row>
    <row r="1565">
      <c r="U1565">
        <f>IF(AND(ISNUMBER('자료_한국심리'!$A1549),ISNUMBER('자료_한국심리'!$B1549)),'자료_한국심리'!$A1549,"")</f>
        <v/>
      </c>
      <c r="V1565">
        <f>IF(AND(ISNUMBER('자료_한국심리'!$D1549),ISNUMBER('자료_한국심리'!$E1549)),'자료_한국심리'!$D1549,"")</f>
        <v/>
      </c>
      <c r="W1565">
        <f>IF(AND(ISNUMBER('자료_한국심리'!$G1549),ISNUMBER('자료_한국심리'!$H1549)),'자료_한국심리'!$G1549,"")</f>
        <v/>
      </c>
      <c r="X1565">
        <f>IF(AND(ISNUMBER('자료_한국심리'!$J1549),ISNUMBER('자료_한국심리'!$K1549)),'자료_한국심리'!$J1549,"")</f>
        <v/>
      </c>
      <c r="Y1565">
        <f>IF(AND(ISNUMBER('자료_한국심리'!$M1549),ISNUMBER('자료_한국심리'!$N1549)),'자료_한국심리'!$M1549,"")</f>
        <v/>
      </c>
    </row>
    <row r="1566">
      <c r="U1566">
        <f>IF(AND(ISNUMBER('자료_한국심리'!$A1550),ISNUMBER('자료_한국심리'!$B1550)),'자료_한국심리'!$A1550,"")</f>
        <v/>
      </c>
      <c r="V1566">
        <f>IF(AND(ISNUMBER('자료_한국심리'!$D1550),ISNUMBER('자료_한국심리'!$E1550)),'자료_한국심리'!$D1550,"")</f>
        <v/>
      </c>
      <c r="W1566">
        <f>IF(AND(ISNUMBER('자료_한국심리'!$G1550),ISNUMBER('자료_한국심리'!$H1550)),'자료_한국심리'!$G1550,"")</f>
        <v/>
      </c>
      <c r="X1566">
        <f>IF(AND(ISNUMBER('자료_한국심리'!$J1550),ISNUMBER('자료_한국심리'!$K1550)),'자료_한국심리'!$J1550,"")</f>
        <v/>
      </c>
      <c r="Y1566">
        <f>IF(AND(ISNUMBER('자료_한국심리'!$M1550),ISNUMBER('자료_한국심리'!$N1550)),'자료_한국심리'!$M1550,"")</f>
        <v/>
      </c>
    </row>
    <row r="1567">
      <c r="U1567">
        <f>IF(AND(ISNUMBER('자료_한국심리'!$A1551),ISNUMBER('자료_한국심리'!$B1551)),'자료_한국심리'!$A1551,"")</f>
        <v/>
      </c>
      <c r="V1567">
        <f>IF(AND(ISNUMBER('자료_한국심리'!$D1551),ISNUMBER('자료_한국심리'!$E1551)),'자료_한국심리'!$D1551,"")</f>
        <v/>
      </c>
      <c r="W1567">
        <f>IF(AND(ISNUMBER('자료_한국심리'!$G1551),ISNUMBER('자료_한국심리'!$H1551)),'자료_한국심리'!$G1551,"")</f>
        <v/>
      </c>
      <c r="X1567">
        <f>IF(AND(ISNUMBER('자료_한국심리'!$J1551),ISNUMBER('자료_한국심리'!$K1551)),'자료_한국심리'!$J1551,"")</f>
        <v/>
      </c>
      <c r="Y1567">
        <f>IF(AND(ISNUMBER('자료_한국심리'!$M1551),ISNUMBER('자료_한국심리'!$N1551)),'자료_한국심리'!$M1551,"")</f>
        <v/>
      </c>
    </row>
    <row r="1568">
      <c r="U1568">
        <f>IF(AND(ISNUMBER('자료_한국심리'!$A1552),ISNUMBER('자료_한국심리'!$B1552)),'자료_한국심리'!$A1552,"")</f>
        <v/>
      </c>
      <c r="V1568">
        <f>IF(AND(ISNUMBER('자료_한국심리'!$D1552),ISNUMBER('자료_한국심리'!$E1552)),'자료_한국심리'!$D1552,"")</f>
        <v/>
      </c>
      <c r="W1568">
        <f>IF(AND(ISNUMBER('자료_한국심리'!$G1552),ISNUMBER('자료_한국심리'!$H1552)),'자료_한국심리'!$G1552,"")</f>
        <v/>
      </c>
      <c r="X1568">
        <f>IF(AND(ISNUMBER('자료_한국심리'!$J1552),ISNUMBER('자료_한국심리'!$K1552)),'자료_한국심리'!$J1552,"")</f>
        <v/>
      </c>
      <c r="Y1568">
        <f>IF(AND(ISNUMBER('자료_한국심리'!$M1552),ISNUMBER('자료_한국심리'!$N1552)),'자료_한국심리'!$M1552,"")</f>
        <v/>
      </c>
    </row>
    <row r="1569">
      <c r="U1569">
        <f>IF(AND(ISNUMBER('자료_한국심리'!$A1553),ISNUMBER('자료_한국심리'!$B1553)),'자료_한국심리'!$A1553,"")</f>
        <v/>
      </c>
      <c r="V1569">
        <f>IF(AND(ISNUMBER('자료_한국심리'!$D1553),ISNUMBER('자료_한국심리'!$E1553)),'자료_한국심리'!$D1553,"")</f>
        <v/>
      </c>
      <c r="W1569">
        <f>IF(AND(ISNUMBER('자료_한국심리'!$G1553),ISNUMBER('자료_한국심리'!$H1553)),'자료_한국심리'!$G1553,"")</f>
        <v/>
      </c>
      <c r="X1569">
        <f>IF(AND(ISNUMBER('자료_한국심리'!$J1553),ISNUMBER('자료_한국심리'!$K1553)),'자료_한국심리'!$J1553,"")</f>
        <v/>
      </c>
      <c r="Y1569">
        <f>IF(AND(ISNUMBER('자료_한국심리'!$M1553),ISNUMBER('자료_한국심리'!$N1553)),'자료_한국심리'!$M1553,"")</f>
        <v/>
      </c>
    </row>
    <row r="1570">
      <c r="U1570">
        <f>IF(AND(ISNUMBER('자료_한국심리'!$A1554),ISNUMBER('자료_한국심리'!$B1554)),'자료_한국심리'!$A1554,"")</f>
        <v/>
      </c>
      <c r="V1570">
        <f>IF(AND(ISNUMBER('자료_한국심리'!$D1554),ISNUMBER('자료_한국심리'!$E1554)),'자료_한국심리'!$D1554,"")</f>
        <v/>
      </c>
      <c r="W1570">
        <f>IF(AND(ISNUMBER('자료_한국심리'!$G1554),ISNUMBER('자료_한국심리'!$H1554)),'자료_한국심리'!$G1554,"")</f>
        <v/>
      </c>
      <c r="X1570">
        <f>IF(AND(ISNUMBER('자료_한국심리'!$J1554),ISNUMBER('자료_한국심리'!$K1554)),'자료_한국심리'!$J1554,"")</f>
        <v/>
      </c>
      <c r="Y1570">
        <f>IF(AND(ISNUMBER('자료_한국심리'!$M1554),ISNUMBER('자료_한국심리'!$N1554)),'자료_한국심리'!$M1554,"")</f>
        <v/>
      </c>
    </row>
    <row r="1571">
      <c r="U1571">
        <f>IF(AND(ISNUMBER('자료_한국심리'!$A1555),ISNUMBER('자료_한국심리'!$B1555)),'자료_한국심리'!$A1555,"")</f>
        <v/>
      </c>
      <c r="V1571">
        <f>IF(AND(ISNUMBER('자료_한국심리'!$D1555),ISNUMBER('자료_한국심리'!$E1555)),'자료_한국심리'!$D1555,"")</f>
        <v/>
      </c>
      <c r="W1571">
        <f>IF(AND(ISNUMBER('자료_한국심리'!$G1555),ISNUMBER('자료_한국심리'!$H1555)),'자료_한국심리'!$G1555,"")</f>
        <v/>
      </c>
      <c r="X1571">
        <f>IF(AND(ISNUMBER('자료_한국심리'!$J1555),ISNUMBER('자료_한국심리'!$K1555)),'자료_한국심리'!$J1555,"")</f>
        <v/>
      </c>
      <c r="Y1571">
        <f>IF(AND(ISNUMBER('자료_한국심리'!$M1555),ISNUMBER('자료_한국심리'!$N1555)),'자료_한국심리'!$M1555,"")</f>
        <v/>
      </c>
    </row>
    <row r="1572">
      <c r="U1572">
        <f>IF(AND(ISNUMBER('자료_한국심리'!$A1556),ISNUMBER('자료_한국심리'!$B1556)),'자료_한국심리'!$A1556,"")</f>
        <v/>
      </c>
      <c r="V1572">
        <f>IF(AND(ISNUMBER('자료_한국심리'!$D1556),ISNUMBER('자료_한국심리'!$E1556)),'자료_한국심리'!$D1556,"")</f>
        <v/>
      </c>
      <c r="W1572">
        <f>IF(AND(ISNUMBER('자료_한국심리'!$G1556),ISNUMBER('자료_한국심리'!$H1556)),'자료_한국심리'!$G1556,"")</f>
        <v/>
      </c>
      <c r="X1572">
        <f>IF(AND(ISNUMBER('자료_한국심리'!$J1556),ISNUMBER('자료_한국심리'!$K1556)),'자료_한국심리'!$J1556,"")</f>
        <v/>
      </c>
      <c r="Y1572">
        <f>IF(AND(ISNUMBER('자료_한국심리'!$M1556),ISNUMBER('자료_한국심리'!$N1556)),'자료_한국심리'!$M1556,"")</f>
        <v/>
      </c>
    </row>
    <row r="1573">
      <c r="U1573">
        <f>IF(AND(ISNUMBER('자료_한국심리'!$A1557),ISNUMBER('자료_한국심리'!$B1557)),'자료_한국심리'!$A1557,"")</f>
        <v/>
      </c>
      <c r="V1573">
        <f>IF(AND(ISNUMBER('자료_한국심리'!$D1557),ISNUMBER('자료_한국심리'!$E1557)),'자료_한국심리'!$D1557,"")</f>
        <v/>
      </c>
      <c r="W1573">
        <f>IF(AND(ISNUMBER('자료_한국심리'!$G1557),ISNUMBER('자료_한국심리'!$H1557)),'자료_한국심리'!$G1557,"")</f>
        <v/>
      </c>
      <c r="X1573">
        <f>IF(AND(ISNUMBER('자료_한국심리'!$J1557),ISNUMBER('자료_한국심리'!$K1557)),'자료_한국심리'!$J1557,"")</f>
        <v/>
      </c>
      <c r="Y1573">
        <f>IF(AND(ISNUMBER('자료_한국심리'!$M1557),ISNUMBER('자료_한국심리'!$N1557)),'자료_한국심리'!$M1557,"")</f>
        <v/>
      </c>
    </row>
    <row r="1574">
      <c r="U1574">
        <f>IF(AND(ISNUMBER('자료_한국심리'!$A1558),ISNUMBER('자료_한국심리'!$B1558)),'자료_한국심리'!$A1558,"")</f>
        <v/>
      </c>
      <c r="V1574">
        <f>IF(AND(ISNUMBER('자료_한국심리'!$D1558),ISNUMBER('자료_한국심리'!$E1558)),'자료_한국심리'!$D1558,"")</f>
        <v/>
      </c>
      <c r="W1574">
        <f>IF(AND(ISNUMBER('자료_한국심리'!$G1558),ISNUMBER('자료_한국심리'!$H1558)),'자료_한국심리'!$G1558,"")</f>
        <v/>
      </c>
      <c r="X1574">
        <f>IF(AND(ISNUMBER('자료_한국심리'!$J1558),ISNUMBER('자료_한국심리'!$K1558)),'자료_한국심리'!$J1558,"")</f>
        <v/>
      </c>
      <c r="Y1574">
        <f>IF(AND(ISNUMBER('자료_한국심리'!$M1558),ISNUMBER('자료_한국심리'!$N1558)),'자료_한국심리'!$M1558,"")</f>
        <v/>
      </c>
    </row>
    <row r="1575">
      <c r="U1575">
        <f>IF(AND(ISNUMBER('자료_한국심리'!$A1559),ISNUMBER('자료_한국심리'!$B1559)),'자료_한국심리'!$A1559,"")</f>
        <v/>
      </c>
      <c r="V1575">
        <f>IF(AND(ISNUMBER('자료_한국심리'!$D1559),ISNUMBER('자료_한국심리'!$E1559)),'자료_한국심리'!$D1559,"")</f>
        <v/>
      </c>
      <c r="W1575">
        <f>IF(AND(ISNUMBER('자료_한국심리'!$G1559),ISNUMBER('자료_한국심리'!$H1559)),'자료_한국심리'!$G1559,"")</f>
        <v/>
      </c>
      <c r="X1575">
        <f>IF(AND(ISNUMBER('자료_한국심리'!$J1559),ISNUMBER('자료_한국심리'!$K1559)),'자료_한국심리'!$J1559,"")</f>
        <v/>
      </c>
      <c r="Y1575">
        <f>IF(AND(ISNUMBER('자료_한국심리'!$M1559),ISNUMBER('자료_한국심리'!$N1559)),'자료_한국심리'!$M1559,"")</f>
        <v/>
      </c>
    </row>
    <row r="1576">
      <c r="U1576">
        <f>IF(AND(ISNUMBER('자료_한국심리'!$A1560),ISNUMBER('자료_한국심리'!$B1560)),'자료_한국심리'!$A1560,"")</f>
        <v/>
      </c>
      <c r="V1576">
        <f>IF(AND(ISNUMBER('자료_한국심리'!$D1560),ISNUMBER('자료_한국심리'!$E1560)),'자료_한국심리'!$D1560,"")</f>
        <v/>
      </c>
      <c r="W1576">
        <f>IF(AND(ISNUMBER('자료_한국심리'!$G1560),ISNUMBER('자료_한국심리'!$H1560)),'자료_한국심리'!$G1560,"")</f>
        <v/>
      </c>
      <c r="X1576">
        <f>IF(AND(ISNUMBER('자료_한국심리'!$J1560),ISNUMBER('자료_한국심리'!$K1560)),'자료_한국심리'!$J1560,"")</f>
        <v/>
      </c>
      <c r="Y1576">
        <f>IF(AND(ISNUMBER('자료_한국심리'!$M1560),ISNUMBER('자료_한국심리'!$N1560)),'자료_한국심리'!$M1560,"")</f>
        <v/>
      </c>
    </row>
    <row r="1577">
      <c r="U1577">
        <f>IF(AND(ISNUMBER('자료_한국심리'!$A1561),ISNUMBER('자료_한국심리'!$B1561)),'자료_한국심리'!$A1561,"")</f>
        <v/>
      </c>
      <c r="V1577">
        <f>IF(AND(ISNUMBER('자료_한국심리'!$D1561),ISNUMBER('자료_한국심리'!$E1561)),'자료_한국심리'!$D1561,"")</f>
        <v/>
      </c>
      <c r="W1577">
        <f>IF(AND(ISNUMBER('자료_한국심리'!$G1561),ISNUMBER('자료_한국심리'!$H1561)),'자료_한국심리'!$G1561,"")</f>
        <v/>
      </c>
      <c r="X1577">
        <f>IF(AND(ISNUMBER('자료_한국심리'!$J1561),ISNUMBER('자료_한국심리'!$K1561)),'자료_한국심리'!$J1561,"")</f>
        <v/>
      </c>
      <c r="Y1577">
        <f>IF(AND(ISNUMBER('자료_한국심리'!$M1561),ISNUMBER('자료_한국심리'!$N1561)),'자료_한국심리'!$M1561,"")</f>
        <v/>
      </c>
    </row>
    <row r="1578">
      <c r="U1578">
        <f>IF(AND(ISNUMBER('자료_한국심리'!$A1562),ISNUMBER('자료_한국심리'!$B1562)),'자료_한국심리'!$A1562,"")</f>
        <v/>
      </c>
      <c r="V1578">
        <f>IF(AND(ISNUMBER('자료_한국심리'!$D1562),ISNUMBER('자료_한국심리'!$E1562)),'자료_한국심리'!$D1562,"")</f>
        <v/>
      </c>
      <c r="W1578">
        <f>IF(AND(ISNUMBER('자료_한국심리'!$G1562),ISNUMBER('자료_한국심리'!$H1562)),'자료_한국심리'!$G1562,"")</f>
        <v/>
      </c>
      <c r="X1578">
        <f>IF(AND(ISNUMBER('자료_한국심리'!$J1562),ISNUMBER('자료_한국심리'!$K1562)),'자료_한국심리'!$J1562,"")</f>
        <v/>
      </c>
      <c r="Y1578">
        <f>IF(AND(ISNUMBER('자료_한국심리'!$M1562),ISNUMBER('자료_한국심리'!$N1562)),'자료_한국심리'!$M1562,"")</f>
        <v/>
      </c>
    </row>
    <row r="1579">
      <c r="U1579">
        <f>IF(AND(ISNUMBER('자료_한국심리'!$A1563),ISNUMBER('자료_한국심리'!$B1563)),'자료_한국심리'!$A1563,"")</f>
        <v/>
      </c>
      <c r="V1579">
        <f>IF(AND(ISNUMBER('자료_한국심리'!$D1563),ISNUMBER('자료_한국심리'!$E1563)),'자료_한국심리'!$D1563,"")</f>
        <v/>
      </c>
      <c r="W1579">
        <f>IF(AND(ISNUMBER('자료_한국심리'!$G1563),ISNUMBER('자료_한국심리'!$H1563)),'자료_한국심리'!$G1563,"")</f>
        <v/>
      </c>
      <c r="X1579">
        <f>IF(AND(ISNUMBER('자료_한국심리'!$J1563),ISNUMBER('자료_한국심리'!$K1563)),'자료_한국심리'!$J1563,"")</f>
        <v/>
      </c>
      <c r="Y1579">
        <f>IF(AND(ISNUMBER('자료_한국심리'!$M1563),ISNUMBER('자료_한국심리'!$N1563)),'자료_한국심리'!$M1563,"")</f>
        <v/>
      </c>
    </row>
    <row r="1580">
      <c r="U1580">
        <f>IF(AND(ISNUMBER('자료_한국심리'!$A1564),ISNUMBER('자료_한국심리'!$B1564)),'자료_한국심리'!$A1564,"")</f>
        <v/>
      </c>
      <c r="V1580">
        <f>IF(AND(ISNUMBER('자료_한국심리'!$D1564),ISNUMBER('자료_한국심리'!$E1564)),'자료_한국심리'!$D1564,"")</f>
        <v/>
      </c>
      <c r="W1580">
        <f>IF(AND(ISNUMBER('자료_한국심리'!$G1564),ISNUMBER('자료_한국심리'!$H1564)),'자료_한국심리'!$G1564,"")</f>
        <v/>
      </c>
      <c r="X1580">
        <f>IF(AND(ISNUMBER('자료_한국심리'!$J1564),ISNUMBER('자료_한국심리'!$K1564)),'자료_한국심리'!$J1564,"")</f>
        <v/>
      </c>
      <c r="Y1580">
        <f>IF(AND(ISNUMBER('자료_한국심리'!$M1564),ISNUMBER('자료_한국심리'!$N1564)),'자료_한국심리'!$M1564,"")</f>
        <v/>
      </c>
    </row>
    <row r="1581">
      <c r="U1581">
        <f>IF(AND(ISNUMBER('자료_한국심리'!$A1565),ISNUMBER('자료_한국심리'!$B1565)),'자료_한국심리'!$A1565,"")</f>
        <v/>
      </c>
      <c r="V1581">
        <f>IF(AND(ISNUMBER('자료_한국심리'!$D1565),ISNUMBER('자료_한국심리'!$E1565)),'자료_한국심리'!$D1565,"")</f>
        <v/>
      </c>
      <c r="W1581">
        <f>IF(AND(ISNUMBER('자료_한국심리'!$G1565),ISNUMBER('자료_한국심리'!$H1565)),'자료_한국심리'!$G1565,"")</f>
        <v/>
      </c>
      <c r="X1581">
        <f>IF(AND(ISNUMBER('자료_한국심리'!$J1565),ISNUMBER('자료_한국심리'!$K1565)),'자료_한국심리'!$J1565,"")</f>
        <v/>
      </c>
      <c r="Y1581">
        <f>IF(AND(ISNUMBER('자료_한국심리'!$M1565),ISNUMBER('자료_한국심리'!$N1565)),'자료_한국심리'!$M1565,"")</f>
        <v/>
      </c>
    </row>
    <row r="1582">
      <c r="U1582">
        <f>IF(AND(ISNUMBER('자료_한국심리'!$A1566),ISNUMBER('자료_한국심리'!$B1566)),'자료_한국심리'!$A1566,"")</f>
        <v/>
      </c>
      <c r="V1582">
        <f>IF(AND(ISNUMBER('자료_한국심리'!$D1566),ISNUMBER('자료_한국심리'!$E1566)),'자료_한국심리'!$D1566,"")</f>
        <v/>
      </c>
      <c r="W1582">
        <f>IF(AND(ISNUMBER('자료_한국심리'!$G1566),ISNUMBER('자료_한국심리'!$H1566)),'자료_한국심리'!$G1566,"")</f>
        <v/>
      </c>
      <c r="X1582">
        <f>IF(AND(ISNUMBER('자료_한국심리'!$J1566),ISNUMBER('자료_한국심리'!$K1566)),'자료_한국심리'!$J1566,"")</f>
        <v/>
      </c>
      <c r="Y1582">
        <f>IF(AND(ISNUMBER('자료_한국심리'!$M1566),ISNUMBER('자료_한국심리'!$N1566)),'자료_한국심리'!$M1566,"")</f>
        <v/>
      </c>
    </row>
    <row r="1583">
      <c r="U1583">
        <f>IF(AND(ISNUMBER('자료_한국심리'!$A1567),ISNUMBER('자료_한국심리'!$B1567)),'자료_한국심리'!$A1567,"")</f>
        <v/>
      </c>
      <c r="V1583">
        <f>IF(AND(ISNUMBER('자료_한국심리'!$D1567),ISNUMBER('자료_한국심리'!$E1567)),'자료_한국심리'!$D1567,"")</f>
        <v/>
      </c>
      <c r="W1583">
        <f>IF(AND(ISNUMBER('자료_한국심리'!$G1567),ISNUMBER('자료_한국심리'!$H1567)),'자료_한국심리'!$G1567,"")</f>
        <v/>
      </c>
      <c r="X1583">
        <f>IF(AND(ISNUMBER('자료_한국심리'!$J1567),ISNUMBER('자료_한국심리'!$K1567)),'자료_한국심리'!$J1567,"")</f>
        <v/>
      </c>
      <c r="Y1583">
        <f>IF(AND(ISNUMBER('자료_한국심리'!$M1567),ISNUMBER('자료_한국심리'!$N1567)),'자료_한국심리'!$M1567,"")</f>
        <v/>
      </c>
    </row>
    <row r="1584">
      <c r="U1584">
        <f>IF(AND(ISNUMBER('자료_한국심리'!$A1568),ISNUMBER('자료_한국심리'!$B1568)),'자료_한국심리'!$A1568,"")</f>
        <v/>
      </c>
      <c r="V1584">
        <f>IF(AND(ISNUMBER('자료_한국심리'!$D1568),ISNUMBER('자료_한국심리'!$E1568)),'자료_한국심리'!$D1568,"")</f>
        <v/>
      </c>
      <c r="W1584">
        <f>IF(AND(ISNUMBER('자료_한국심리'!$G1568),ISNUMBER('자료_한국심리'!$H1568)),'자료_한국심리'!$G1568,"")</f>
        <v/>
      </c>
      <c r="X1584">
        <f>IF(AND(ISNUMBER('자료_한국심리'!$J1568),ISNUMBER('자료_한국심리'!$K1568)),'자료_한국심리'!$J1568,"")</f>
        <v/>
      </c>
      <c r="Y1584">
        <f>IF(AND(ISNUMBER('자료_한국심리'!$M1568),ISNUMBER('자료_한국심리'!$N1568)),'자료_한국심리'!$M1568,"")</f>
        <v/>
      </c>
    </row>
    <row r="1585">
      <c r="U1585">
        <f>IF(AND(ISNUMBER('자료_한국심리'!$A1569),ISNUMBER('자료_한국심리'!$B1569)),'자료_한국심리'!$A1569,"")</f>
        <v/>
      </c>
      <c r="V1585">
        <f>IF(AND(ISNUMBER('자료_한국심리'!$D1569),ISNUMBER('자료_한국심리'!$E1569)),'자료_한국심리'!$D1569,"")</f>
        <v/>
      </c>
      <c r="W1585">
        <f>IF(AND(ISNUMBER('자료_한국심리'!$G1569),ISNUMBER('자료_한국심리'!$H1569)),'자료_한국심리'!$G1569,"")</f>
        <v/>
      </c>
      <c r="X1585">
        <f>IF(AND(ISNUMBER('자료_한국심리'!$J1569),ISNUMBER('자료_한국심리'!$K1569)),'자료_한국심리'!$J1569,"")</f>
        <v/>
      </c>
      <c r="Y1585">
        <f>IF(AND(ISNUMBER('자료_한국심리'!$M1569),ISNUMBER('자료_한국심리'!$N1569)),'자료_한국심리'!$M1569,"")</f>
        <v/>
      </c>
    </row>
    <row r="1586">
      <c r="U1586">
        <f>IF(AND(ISNUMBER('자료_한국심리'!$A1570),ISNUMBER('자료_한국심리'!$B1570)),'자료_한국심리'!$A1570,"")</f>
        <v/>
      </c>
      <c r="V1586">
        <f>IF(AND(ISNUMBER('자료_한국심리'!$D1570),ISNUMBER('자료_한국심리'!$E1570)),'자료_한국심리'!$D1570,"")</f>
        <v/>
      </c>
      <c r="W1586">
        <f>IF(AND(ISNUMBER('자료_한국심리'!$G1570),ISNUMBER('자료_한국심리'!$H1570)),'자료_한국심리'!$G1570,"")</f>
        <v/>
      </c>
      <c r="X1586">
        <f>IF(AND(ISNUMBER('자료_한국심리'!$J1570),ISNUMBER('자료_한국심리'!$K1570)),'자료_한국심리'!$J1570,"")</f>
        <v/>
      </c>
      <c r="Y1586">
        <f>IF(AND(ISNUMBER('자료_한국심리'!$M1570),ISNUMBER('자료_한국심리'!$N1570)),'자료_한국심리'!$M1570,"")</f>
        <v/>
      </c>
    </row>
    <row r="1587">
      <c r="U1587">
        <f>IF(AND(ISNUMBER('자료_한국심리'!$A1571),ISNUMBER('자료_한국심리'!$B1571)),'자료_한국심리'!$A1571,"")</f>
        <v/>
      </c>
      <c r="V1587">
        <f>IF(AND(ISNUMBER('자료_한국심리'!$D1571),ISNUMBER('자료_한국심리'!$E1571)),'자료_한국심리'!$D1571,"")</f>
        <v/>
      </c>
      <c r="W1587">
        <f>IF(AND(ISNUMBER('자료_한국심리'!$G1571),ISNUMBER('자료_한국심리'!$H1571)),'자료_한국심리'!$G1571,"")</f>
        <v/>
      </c>
      <c r="X1587">
        <f>IF(AND(ISNUMBER('자료_한국심리'!$J1571),ISNUMBER('자료_한국심리'!$K1571)),'자료_한국심리'!$J1571,"")</f>
        <v/>
      </c>
      <c r="Y1587">
        <f>IF(AND(ISNUMBER('자료_한국심리'!$M1571),ISNUMBER('자료_한국심리'!$N1571)),'자료_한국심리'!$M1571,"")</f>
        <v/>
      </c>
    </row>
    <row r="1588">
      <c r="U1588">
        <f>IF(AND(ISNUMBER('자료_한국심리'!$A1572),ISNUMBER('자료_한국심리'!$B1572)),'자료_한국심리'!$A1572,"")</f>
        <v/>
      </c>
      <c r="V1588">
        <f>IF(AND(ISNUMBER('자료_한국심리'!$D1572),ISNUMBER('자료_한국심리'!$E1572)),'자료_한국심리'!$D1572,"")</f>
        <v/>
      </c>
      <c r="W1588">
        <f>IF(AND(ISNUMBER('자료_한국심리'!$G1572),ISNUMBER('자료_한국심리'!$H1572)),'자료_한국심리'!$G1572,"")</f>
        <v/>
      </c>
      <c r="X1588">
        <f>IF(AND(ISNUMBER('자료_한국심리'!$J1572),ISNUMBER('자료_한국심리'!$K1572)),'자료_한국심리'!$J1572,"")</f>
        <v/>
      </c>
      <c r="Y1588">
        <f>IF(AND(ISNUMBER('자료_한국심리'!$M1572),ISNUMBER('자료_한국심리'!$N1572)),'자료_한국심리'!$M1572,"")</f>
        <v/>
      </c>
    </row>
    <row r="1589">
      <c r="U1589">
        <f>IF(AND(ISNUMBER('자료_한국심리'!$A1573),ISNUMBER('자료_한국심리'!$B1573)),'자료_한국심리'!$A1573,"")</f>
        <v/>
      </c>
      <c r="V1589">
        <f>IF(AND(ISNUMBER('자료_한국심리'!$D1573),ISNUMBER('자료_한국심리'!$E1573)),'자료_한국심리'!$D1573,"")</f>
        <v/>
      </c>
      <c r="W1589">
        <f>IF(AND(ISNUMBER('자료_한국심리'!$G1573),ISNUMBER('자료_한국심리'!$H1573)),'자료_한국심리'!$G1573,"")</f>
        <v/>
      </c>
      <c r="X1589">
        <f>IF(AND(ISNUMBER('자료_한국심리'!$J1573),ISNUMBER('자료_한국심리'!$K1573)),'자료_한국심리'!$J1573,"")</f>
        <v/>
      </c>
      <c r="Y1589">
        <f>IF(AND(ISNUMBER('자료_한국심리'!$M1573),ISNUMBER('자료_한국심리'!$N1573)),'자료_한국심리'!$M1573,"")</f>
        <v/>
      </c>
    </row>
    <row r="1590">
      <c r="U1590">
        <f>IF(AND(ISNUMBER('자료_한국심리'!$A1574),ISNUMBER('자료_한국심리'!$B1574)),'자료_한국심리'!$A1574,"")</f>
        <v/>
      </c>
      <c r="V1590">
        <f>IF(AND(ISNUMBER('자료_한국심리'!$D1574),ISNUMBER('자료_한국심리'!$E1574)),'자료_한국심리'!$D1574,"")</f>
        <v/>
      </c>
      <c r="W1590">
        <f>IF(AND(ISNUMBER('자료_한국심리'!$G1574),ISNUMBER('자료_한국심리'!$H1574)),'자료_한국심리'!$G1574,"")</f>
        <v/>
      </c>
      <c r="X1590">
        <f>IF(AND(ISNUMBER('자료_한국심리'!$J1574),ISNUMBER('자료_한국심리'!$K1574)),'자료_한국심리'!$J1574,"")</f>
        <v/>
      </c>
      <c r="Y1590">
        <f>IF(AND(ISNUMBER('자료_한국심리'!$M1574),ISNUMBER('자료_한국심리'!$N1574)),'자료_한국심리'!$M1574,"")</f>
        <v/>
      </c>
    </row>
    <row r="1591">
      <c r="U1591">
        <f>IF(AND(ISNUMBER('자료_한국심리'!$A1575),ISNUMBER('자료_한국심리'!$B1575)),'자료_한국심리'!$A1575,"")</f>
        <v/>
      </c>
      <c r="V1591">
        <f>IF(AND(ISNUMBER('자료_한국심리'!$D1575),ISNUMBER('자료_한국심리'!$E1575)),'자료_한국심리'!$D1575,"")</f>
        <v/>
      </c>
      <c r="W1591">
        <f>IF(AND(ISNUMBER('자료_한국심리'!$G1575),ISNUMBER('자료_한국심리'!$H1575)),'자료_한국심리'!$G1575,"")</f>
        <v/>
      </c>
      <c r="X1591">
        <f>IF(AND(ISNUMBER('자료_한국심리'!$J1575),ISNUMBER('자료_한국심리'!$K1575)),'자료_한국심리'!$J1575,"")</f>
        <v/>
      </c>
      <c r="Y1591">
        <f>IF(AND(ISNUMBER('자료_한국심리'!$M1575),ISNUMBER('자료_한국심리'!$N1575)),'자료_한국심리'!$M1575,"")</f>
        <v/>
      </c>
    </row>
    <row r="1592">
      <c r="U1592">
        <f>IF(AND(ISNUMBER('자료_한국심리'!$A1576),ISNUMBER('자료_한국심리'!$B1576)),'자료_한국심리'!$A1576,"")</f>
        <v/>
      </c>
      <c r="V1592">
        <f>IF(AND(ISNUMBER('자료_한국심리'!$D1576),ISNUMBER('자료_한국심리'!$E1576)),'자료_한국심리'!$D1576,"")</f>
        <v/>
      </c>
      <c r="W1592">
        <f>IF(AND(ISNUMBER('자료_한국심리'!$G1576),ISNUMBER('자료_한국심리'!$H1576)),'자료_한국심리'!$G1576,"")</f>
        <v/>
      </c>
      <c r="X1592">
        <f>IF(AND(ISNUMBER('자료_한국심리'!$J1576),ISNUMBER('자료_한국심리'!$K1576)),'자료_한국심리'!$J1576,"")</f>
        <v/>
      </c>
      <c r="Y1592">
        <f>IF(AND(ISNUMBER('자료_한국심리'!$M1576),ISNUMBER('자료_한국심리'!$N1576)),'자료_한국심리'!$M1576,"")</f>
        <v/>
      </c>
    </row>
    <row r="1593">
      <c r="U1593">
        <f>IF(AND(ISNUMBER('자료_한국심리'!$A1577),ISNUMBER('자료_한국심리'!$B1577)),'자료_한국심리'!$A1577,"")</f>
        <v/>
      </c>
      <c r="V1593">
        <f>IF(AND(ISNUMBER('자료_한국심리'!$D1577),ISNUMBER('자료_한국심리'!$E1577)),'자료_한국심리'!$D1577,"")</f>
        <v/>
      </c>
      <c r="W1593">
        <f>IF(AND(ISNUMBER('자료_한국심리'!$G1577),ISNUMBER('자료_한국심리'!$H1577)),'자료_한국심리'!$G1577,"")</f>
        <v/>
      </c>
      <c r="X1593">
        <f>IF(AND(ISNUMBER('자료_한국심리'!$J1577),ISNUMBER('자료_한국심리'!$K1577)),'자료_한국심리'!$J1577,"")</f>
        <v/>
      </c>
      <c r="Y1593">
        <f>IF(AND(ISNUMBER('자료_한국심리'!$M1577),ISNUMBER('자료_한국심리'!$N1577)),'자료_한국심리'!$M1577,"")</f>
        <v/>
      </c>
    </row>
    <row r="1594">
      <c r="U1594">
        <f>IF(AND(ISNUMBER('자료_한국심리'!$A1578),ISNUMBER('자료_한국심리'!$B1578)),'자료_한국심리'!$A1578,"")</f>
        <v/>
      </c>
      <c r="V1594">
        <f>IF(AND(ISNUMBER('자료_한국심리'!$D1578),ISNUMBER('자료_한국심리'!$E1578)),'자료_한국심리'!$D1578,"")</f>
        <v/>
      </c>
      <c r="W1594">
        <f>IF(AND(ISNUMBER('자료_한국심리'!$G1578),ISNUMBER('자료_한국심리'!$H1578)),'자료_한국심리'!$G1578,"")</f>
        <v/>
      </c>
      <c r="X1594">
        <f>IF(AND(ISNUMBER('자료_한국심리'!$J1578),ISNUMBER('자료_한국심리'!$K1578)),'자료_한국심리'!$J1578,"")</f>
        <v/>
      </c>
      <c r="Y1594">
        <f>IF(AND(ISNUMBER('자료_한국심리'!$M1578),ISNUMBER('자료_한국심리'!$N1578)),'자료_한국심리'!$M1578,"")</f>
        <v/>
      </c>
    </row>
    <row r="1595">
      <c r="U1595">
        <f>IF(AND(ISNUMBER('자료_한국심리'!$A1579),ISNUMBER('자료_한국심리'!$B1579)),'자료_한국심리'!$A1579,"")</f>
        <v/>
      </c>
      <c r="V1595">
        <f>IF(AND(ISNUMBER('자료_한국심리'!$D1579),ISNUMBER('자료_한국심리'!$E1579)),'자료_한국심리'!$D1579,"")</f>
        <v/>
      </c>
      <c r="W1595">
        <f>IF(AND(ISNUMBER('자료_한국심리'!$G1579),ISNUMBER('자료_한국심리'!$H1579)),'자료_한국심리'!$G1579,"")</f>
        <v/>
      </c>
      <c r="X1595">
        <f>IF(AND(ISNUMBER('자료_한국심리'!$J1579),ISNUMBER('자료_한국심리'!$K1579)),'자료_한국심리'!$J1579,"")</f>
        <v/>
      </c>
      <c r="Y1595">
        <f>IF(AND(ISNUMBER('자료_한국심리'!$M1579),ISNUMBER('자료_한국심리'!$N1579)),'자료_한국심리'!$M1579,"")</f>
        <v/>
      </c>
    </row>
    <row r="1596">
      <c r="U1596">
        <f>IF(AND(ISNUMBER('자료_한국심리'!$A1580),ISNUMBER('자료_한국심리'!$B1580)),'자료_한국심리'!$A1580,"")</f>
        <v/>
      </c>
      <c r="V1596">
        <f>IF(AND(ISNUMBER('자료_한국심리'!$D1580),ISNUMBER('자료_한국심리'!$E1580)),'자료_한국심리'!$D1580,"")</f>
        <v/>
      </c>
      <c r="W1596">
        <f>IF(AND(ISNUMBER('자료_한국심리'!$G1580),ISNUMBER('자료_한국심리'!$H1580)),'자료_한국심리'!$G1580,"")</f>
        <v/>
      </c>
      <c r="X1596">
        <f>IF(AND(ISNUMBER('자료_한국심리'!$J1580),ISNUMBER('자료_한국심리'!$K1580)),'자료_한국심리'!$J1580,"")</f>
        <v/>
      </c>
      <c r="Y1596">
        <f>IF(AND(ISNUMBER('자료_한국심리'!$M1580),ISNUMBER('자료_한국심리'!$N1580)),'자료_한국심리'!$M1580,"")</f>
        <v/>
      </c>
    </row>
    <row r="1597">
      <c r="U1597">
        <f>IF(AND(ISNUMBER('자료_한국심리'!$A1581),ISNUMBER('자료_한국심리'!$B1581)),'자료_한국심리'!$A1581,"")</f>
        <v/>
      </c>
      <c r="V1597">
        <f>IF(AND(ISNUMBER('자료_한국심리'!$D1581),ISNUMBER('자료_한국심리'!$E1581)),'자료_한국심리'!$D1581,"")</f>
        <v/>
      </c>
      <c r="W1597">
        <f>IF(AND(ISNUMBER('자료_한국심리'!$G1581),ISNUMBER('자료_한국심리'!$H1581)),'자료_한국심리'!$G1581,"")</f>
        <v/>
      </c>
      <c r="X1597">
        <f>IF(AND(ISNUMBER('자료_한국심리'!$J1581),ISNUMBER('자료_한국심리'!$K1581)),'자료_한국심리'!$J1581,"")</f>
        <v/>
      </c>
      <c r="Y1597">
        <f>IF(AND(ISNUMBER('자료_한국심리'!$M1581),ISNUMBER('자료_한국심리'!$N1581)),'자료_한국심리'!$M1581,"")</f>
        <v/>
      </c>
    </row>
    <row r="1598">
      <c r="U1598">
        <f>IF(AND(ISNUMBER('자료_한국심리'!$A1582),ISNUMBER('자료_한국심리'!$B1582)),'자료_한국심리'!$A1582,"")</f>
        <v/>
      </c>
      <c r="V1598">
        <f>IF(AND(ISNUMBER('자료_한국심리'!$D1582),ISNUMBER('자료_한국심리'!$E1582)),'자료_한국심리'!$D1582,"")</f>
        <v/>
      </c>
      <c r="W1598">
        <f>IF(AND(ISNUMBER('자료_한국심리'!$G1582),ISNUMBER('자료_한국심리'!$H1582)),'자료_한국심리'!$G1582,"")</f>
        <v/>
      </c>
      <c r="X1598">
        <f>IF(AND(ISNUMBER('자료_한국심리'!$J1582),ISNUMBER('자료_한국심리'!$K1582)),'자료_한국심리'!$J1582,"")</f>
        <v/>
      </c>
      <c r="Y1598">
        <f>IF(AND(ISNUMBER('자료_한국심리'!$M1582),ISNUMBER('자료_한국심리'!$N1582)),'자료_한국심리'!$M1582,"")</f>
        <v/>
      </c>
    </row>
    <row r="1599">
      <c r="U1599">
        <f>IF(AND(ISNUMBER('자료_한국심리'!$A1583),ISNUMBER('자료_한국심리'!$B1583)),'자료_한국심리'!$A1583,"")</f>
        <v/>
      </c>
      <c r="V1599">
        <f>IF(AND(ISNUMBER('자료_한국심리'!$D1583),ISNUMBER('자료_한국심리'!$E1583)),'자료_한국심리'!$D1583,"")</f>
        <v/>
      </c>
      <c r="W1599">
        <f>IF(AND(ISNUMBER('자료_한국심리'!$G1583),ISNUMBER('자료_한국심리'!$H1583)),'자료_한국심리'!$G1583,"")</f>
        <v/>
      </c>
      <c r="X1599">
        <f>IF(AND(ISNUMBER('자료_한국심리'!$J1583),ISNUMBER('자료_한국심리'!$K1583)),'자료_한국심리'!$J1583,"")</f>
        <v/>
      </c>
      <c r="Y1599">
        <f>IF(AND(ISNUMBER('자료_한국심리'!$M1583),ISNUMBER('자료_한국심리'!$N1583)),'자료_한국심리'!$M1583,"")</f>
        <v/>
      </c>
    </row>
    <row r="1600">
      <c r="U1600">
        <f>IF(AND(ISNUMBER('자료_한국심리'!$A1584),ISNUMBER('자료_한국심리'!$B1584)),'자료_한국심리'!$A1584,"")</f>
        <v/>
      </c>
      <c r="V1600">
        <f>IF(AND(ISNUMBER('자료_한국심리'!$D1584),ISNUMBER('자료_한국심리'!$E1584)),'자료_한국심리'!$D1584,"")</f>
        <v/>
      </c>
      <c r="W1600">
        <f>IF(AND(ISNUMBER('자료_한국심리'!$G1584),ISNUMBER('자료_한국심리'!$H1584)),'자료_한국심리'!$G1584,"")</f>
        <v/>
      </c>
      <c r="X1600">
        <f>IF(AND(ISNUMBER('자료_한국심리'!$J1584),ISNUMBER('자료_한국심리'!$K1584)),'자료_한국심리'!$J1584,"")</f>
        <v/>
      </c>
      <c r="Y1600">
        <f>IF(AND(ISNUMBER('자료_한국심리'!$M1584),ISNUMBER('자료_한국심리'!$N1584)),'자료_한국심리'!$M1584,"")</f>
        <v/>
      </c>
    </row>
    <row r="1601">
      <c r="U1601">
        <f>IF(AND(ISNUMBER('자료_한국심리'!$A1585),ISNUMBER('자료_한국심리'!$B1585)),'자료_한국심리'!$A1585,"")</f>
        <v/>
      </c>
      <c r="V1601">
        <f>IF(AND(ISNUMBER('자료_한국심리'!$D1585),ISNUMBER('자료_한국심리'!$E1585)),'자료_한국심리'!$D1585,"")</f>
        <v/>
      </c>
      <c r="W1601">
        <f>IF(AND(ISNUMBER('자료_한국심리'!$G1585),ISNUMBER('자료_한국심리'!$H1585)),'자료_한국심리'!$G1585,"")</f>
        <v/>
      </c>
      <c r="X1601">
        <f>IF(AND(ISNUMBER('자료_한국심리'!$J1585),ISNUMBER('자료_한국심리'!$K1585)),'자료_한국심리'!$J1585,"")</f>
        <v/>
      </c>
      <c r="Y1601">
        <f>IF(AND(ISNUMBER('자료_한국심리'!$M1585),ISNUMBER('자료_한국심리'!$N1585)),'자료_한국심리'!$M1585,"")</f>
        <v/>
      </c>
    </row>
    <row r="1602">
      <c r="U1602">
        <f>IF(AND(ISNUMBER('자료_한국심리'!$A1586),ISNUMBER('자료_한국심리'!$B1586)),'자료_한국심리'!$A1586,"")</f>
        <v/>
      </c>
      <c r="V1602">
        <f>IF(AND(ISNUMBER('자료_한국심리'!$D1586),ISNUMBER('자료_한국심리'!$E1586)),'자료_한국심리'!$D1586,"")</f>
        <v/>
      </c>
      <c r="W1602">
        <f>IF(AND(ISNUMBER('자료_한국심리'!$G1586),ISNUMBER('자료_한국심리'!$H1586)),'자료_한국심리'!$G1586,"")</f>
        <v/>
      </c>
      <c r="X1602">
        <f>IF(AND(ISNUMBER('자료_한국심리'!$J1586),ISNUMBER('자료_한국심리'!$K1586)),'자료_한국심리'!$J1586,"")</f>
        <v/>
      </c>
      <c r="Y1602">
        <f>IF(AND(ISNUMBER('자료_한국심리'!$M1586),ISNUMBER('자료_한국심리'!$N1586)),'자료_한국심리'!$M1586,"")</f>
        <v/>
      </c>
    </row>
    <row r="1603">
      <c r="U1603">
        <f>IF(AND(ISNUMBER('자료_한국심리'!$A1587),ISNUMBER('자료_한국심리'!$B1587)),'자료_한국심리'!$A1587,"")</f>
        <v/>
      </c>
      <c r="V1603">
        <f>IF(AND(ISNUMBER('자료_한국심리'!$D1587),ISNUMBER('자료_한국심리'!$E1587)),'자료_한국심리'!$D1587,"")</f>
        <v/>
      </c>
      <c r="W1603">
        <f>IF(AND(ISNUMBER('자료_한국심리'!$G1587),ISNUMBER('자료_한국심리'!$H1587)),'자료_한국심리'!$G1587,"")</f>
        <v/>
      </c>
      <c r="X1603">
        <f>IF(AND(ISNUMBER('자료_한국심리'!$J1587),ISNUMBER('자료_한국심리'!$K1587)),'자료_한국심리'!$J1587,"")</f>
        <v/>
      </c>
      <c r="Y1603">
        <f>IF(AND(ISNUMBER('자료_한국심리'!$M1587),ISNUMBER('자료_한국심리'!$N1587)),'자료_한국심리'!$M1587,"")</f>
        <v/>
      </c>
    </row>
    <row r="1604">
      <c r="U1604">
        <f>IF(AND(ISNUMBER('자료_한국심리'!$A1588),ISNUMBER('자료_한국심리'!$B1588)),'자료_한국심리'!$A1588,"")</f>
        <v/>
      </c>
      <c r="V1604">
        <f>IF(AND(ISNUMBER('자료_한국심리'!$D1588),ISNUMBER('자료_한국심리'!$E1588)),'자료_한국심리'!$D1588,"")</f>
        <v/>
      </c>
      <c r="W1604">
        <f>IF(AND(ISNUMBER('자료_한국심리'!$G1588),ISNUMBER('자료_한국심리'!$H1588)),'자료_한국심리'!$G1588,"")</f>
        <v/>
      </c>
      <c r="X1604">
        <f>IF(AND(ISNUMBER('자료_한국심리'!$J1588),ISNUMBER('자료_한국심리'!$K1588)),'자료_한국심리'!$J1588,"")</f>
        <v/>
      </c>
      <c r="Y1604">
        <f>IF(AND(ISNUMBER('자료_한국심리'!$M1588),ISNUMBER('자료_한국심리'!$N1588)),'자료_한국심리'!$M1588,"")</f>
        <v/>
      </c>
    </row>
    <row r="1605">
      <c r="U1605">
        <f>IF(AND(ISNUMBER('자료_한국심리'!$A1589),ISNUMBER('자료_한국심리'!$B1589)),'자료_한국심리'!$A1589,"")</f>
        <v/>
      </c>
      <c r="V1605">
        <f>IF(AND(ISNUMBER('자료_한국심리'!$D1589),ISNUMBER('자료_한국심리'!$E1589)),'자료_한국심리'!$D1589,"")</f>
        <v/>
      </c>
      <c r="W1605">
        <f>IF(AND(ISNUMBER('자료_한국심리'!$G1589),ISNUMBER('자료_한국심리'!$H1589)),'자료_한국심리'!$G1589,"")</f>
        <v/>
      </c>
      <c r="X1605">
        <f>IF(AND(ISNUMBER('자료_한국심리'!$J1589),ISNUMBER('자료_한국심리'!$K1589)),'자료_한국심리'!$J1589,"")</f>
        <v/>
      </c>
      <c r="Y1605">
        <f>IF(AND(ISNUMBER('자료_한국심리'!$M1589),ISNUMBER('자료_한국심리'!$N1589)),'자료_한국심리'!$M1589,"")</f>
        <v/>
      </c>
    </row>
    <row r="1606">
      <c r="U1606">
        <f>IF(AND(ISNUMBER('자료_한국심리'!$A1590),ISNUMBER('자료_한국심리'!$B1590)),'자료_한국심리'!$A1590,"")</f>
        <v/>
      </c>
      <c r="V1606">
        <f>IF(AND(ISNUMBER('자료_한국심리'!$D1590),ISNUMBER('자료_한국심리'!$E1590)),'자료_한국심리'!$D1590,"")</f>
        <v/>
      </c>
      <c r="W1606">
        <f>IF(AND(ISNUMBER('자료_한국심리'!$G1590),ISNUMBER('자료_한국심리'!$H1590)),'자료_한국심리'!$G1590,"")</f>
        <v/>
      </c>
      <c r="X1606">
        <f>IF(AND(ISNUMBER('자료_한국심리'!$J1590),ISNUMBER('자료_한국심리'!$K1590)),'자료_한국심리'!$J1590,"")</f>
        <v/>
      </c>
      <c r="Y1606">
        <f>IF(AND(ISNUMBER('자료_한국심리'!$M1590),ISNUMBER('자료_한국심리'!$N1590)),'자료_한국심리'!$M1590,"")</f>
        <v/>
      </c>
    </row>
    <row r="1607">
      <c r="U1607">
        <f>IF(AND(ISNUMBER('자료_한국심리'!$A1591),ISNUMBER('자료_한국심리'!$B1591)),'자료_한국심리'!$A1591,"")</f>
        <v/>
      </c>
      <c r="V1607">
        <f>IF(AND(ISNUMBER('자료_한국심리'!$D1591),ISNUMBER('자료_한국심리'!$E1591)),'자료_한국심리'!$D1591,"")</f>
        <v/>
      </c>
      <c r="W1607">
        <f>IF(AND(ISNUMBER('자료_한국심리'!$G1591),ISNUMBER('자료_한국심리'!$H1591)),'자료_한국심리'!$G1591,"")</f>
        <v/>
      </c>
      <c r="X1607">
        <f>IF(AND(ISNUMBER('자료_한국심리'!$J1591),ISNUMBER('자료_한국심리'!$K1591)),'자료_한국심리'!$J1591,"")</f>
        <v/>
      </c>
      <c r="Y1607">
        <f>IF(AND(ISNUMBER('자료_한국심리'!$M1591),ISNUMBER('자료_한국심리'!$N1591)),'자료_한국심리'!$M1591,"")</f>
        <v/>
      </c>
    </row>
    <row r="1608">
      <c r="U1608">
        <f>IF(AND(ISNUMBER('자료_한국심리'!$A1592),ISNUMBER('자료_한국심리'!$B1592)),'자료_한국심리'!$A1592,"")</f>
        <v/>
      </c>
      <c r="V1608">
        <f>IF(AND(ISNUMBER('자료_한국심리'!$D1592),ISNUMBER('자료_한국심리'!$E1592)),'자료_한국심리'!$D1592,"")</f>
        <v/>
      </c>
      <c r="W1608">
        <f>IF(AND(ISNUMBER('자료_한국심리'!$G1592),ISNUMBER('자료_한국심리'!$H1592)),'자료_한국심리'!$G1592,"")</f>
        <v/>
      </c>
      <c r="X1608">
        <f>IF(AND(ISNUMBER('자료_한국심리'!$J1592),ISNUMBER('자료_한국심리'!$K1592)),'자료_한국심리'!$J1592,"")</f>
        <v/>
      </c>
      <c r="Y1608">
        <f>IF(AND(ISNUMBER('자료_한국심리'!$M1592),ISNUMBER('자료_한국심리'!$N1592)),'자료_한국심리'!$M1592,"")</f>
        <v/>
      </c>
    </row>
    <row r="1609">
      <c r="U1609">
        <f>IF(AND(ISNUMBER('자료_한국심리'!$A1593),ISNUMBER('자료_한국심리'!$B1593)),'자료_한국심리'!$A1593,"")</f>
        <v/>
      </c>
      <c r="V1609">
        <f>IF(AND(ISNUMBER('자료_한국심리'!$D1593),ISNUMBER('자료_한국심리'!$E1593)),'자료_한국심리'!$D1593,"")</f>
        <v/>
      </c>
      <c r="W1609">
        <f>IF(AND(ISNUMBER('자료_한국심리'!$G1593),ISNUMBER('자료_한국심리'!$H1593)),'자료_한국심리'!$G1593,"")</f>
        <v/>
      </c>
      <c r="X1609">
        <f>IF(AND(ISNUMBER('자료_한국심리'!$J1593),ISNUMBER('자료_한국심리'!$K1593)),'자료_한국심리'!$J1593,"")</f>
        <v/>
      </c>
      <c r="Y1609">
        <f>IF(AND(ISNUMBER('자료_한국심리'!$M1593),ISNUMBER('자료_한국심리'!$N1593)),'자료_한국심리'!$M1593,"")</f>
        <v/>
      </c>
    </row>
    <row r="1610">
      <c r="U1610">
        <f>IF(AND(ISNUMBER('자료_한국심리'!$A1594),ISNUMBER('자료_한국심리'!$B1594)),'자료_한국심리'!$A1594,"")</f>
        <v/>
      </c>
      <c r="V1610">
        <f>IF(AND(ISNUMBER('자료_한국심리'!$D1594),ISNUMBER('자료_한국심리'!$E1594)),'자료_한국심리'!$D1594,"")</f>
        <v/>
      </c>
      <c r="W1610">
        <f>IF(AND(ISNUMBER('자료_한국심리'!$G1594),ISNUMBER('자료_한국심리'!$H1594)),'자료_한국심리'!$G1594,"")</f>
        <v/>
      </c>
      <c r="X1610">
        <f>IF(AND(ISNUMBER('자료_한국심리'!$J1594),ISNUMBER('자료_한국심리'!$K1594)),'자료_한국심리'!$J1594,"")</f>
        <v/>
      </c>
      <c r="Y1610">
        <f>IF(AND(ISNUMBER('자료_한국심리'!$M1594),ISNUMBER('자료_한국심리'!$N1594)),'자료_한국심리'!$M1594,"")</f>
        <v/>
      </c>
    </row>
    <row r="1611">
      <c r="U1611">
        <f>IF(AND(ISNUMBER('자료_한국심리'!$A1595),ISNUMBER('자료_한국심리'!$B1595)),'자료_한국심리'!$A1595,"")</f>
        <v/>
      </c>
      <c r="V1611">
        <f>IF(AND(ISNUMBER('자료_한국심리'!$D1595),ISNUMBER('자료_한국심리'!$E1595)),'자료_한국심리'!$D1595,"")</f>
        <v/>
      </c>
      <c r="W1611">
        <f>IF(AND(ISNUMBER('자료_한국심리'!$G1595),ISNUMBER('자료_한국심리'!$H1595)),'자료_한국심리'!$G1595,"")</f>
        <v/>
      </c>
      <c r="X1611">
        <f>IF(AND(ISNUMBER('자료_한국심리'!$J1595),ISNUMBER('자료_한국심리'!$K1595)),'자료_한국심리'!$J1595,"")</f>
        <v/>
      </c>
      <c r="Y1611">
        <f>IF(AND(ISNUMBER('자료_한국심리'!$M1595),ISNUMBER('자료_한국심리'!$N1595)),'자료_한국심리'!$M1595,"")</f>
        <v/>
      </c>
    </row>
    <row r="1612">
      <c r="U1612">
        <f>IF(AND(ISNUMBER('자료_한국심리'!$A1596),ISNUMBER('자료_한국심리'!$B1596)),'자료_한국심리'!$A1596,"")</f>
        <v/>
      </c>
      <c r="V1612">
        <f>IF(AND(ISNUMBER('자료_한국심리'!$D1596),ISNUMBER('자료_한국심리'!$E1596)),'자료_한국심리'!$D1596,"")</f>
        <v/>
      </c>
      <c r="W1612">
        <f>IF(AND(ISNUMBER('자료_한국심리'!$G1596),ISNUMBER('자료_한국심리'!$H1596)),'자료_한국심리'!$G1596,"")</f>
        <v/>
      </c>
      <c r="X1612">
        <f>IF(AND(ISNUMBER('자료_한국심리'!$J1596),ISNUMBER('자료_한국심리'!$K1596)),'자료_한국심리'!$J1596,"")</f>
        <v/>
      </c>
      <c r="Y1612">
        <f>IF(AND(ISNUMBER('자료_한국심리'!$M1596),ISNUMBER('자료_한국심리'!$N1596)),'자료_한국심리'!$M1596,"")</f>
        <v/>
      </c>
    </row>
    <row r="1613">
      <c r="U1613">
        <f>IF(AND(ISNUMBER('자료_한국심리'!$A1597),ISNUMBER('자료_한국심리'!$B1597)),'자료_한국심리'!$A1597,"")</f>
        <v/>
      </c>
      <c r="V1613">
        <f>IF(AND(ISNUMBER('자료_한국심리'!$D1597),ISNUMBER('자료_한국심리'!$E1597)),'자료_한국심리'!$D1597,"")</f>
        <v/>
      </c>
      <c r="W1613">
        <f>IF(AND(ISNUMBER('자료_한국심리'!$G1597),ISNUMBER('자료_한국심리'!$H1597)),'자료_한국심리'!$G1597,"")</f>
        <v/>
      </c>
      <c r="X1613">
        <f>IF(AND(ISNUMBER('자료_한국심리'!$J1597),ISNUMBER('자료_한국심리'!$K1597)),'자료_한국심리'!$J1597,"")</f>
        <v/>
      </c>
      <c r="Y1613">
        <f>IF(AND(ISNUMBER('자료_한국심리'!$M1597),ISNUMBER('자료_한국심리'!$N1597)),'자료_한국심리'!$M1597,"")</f>
        <v/>
      </c>
    </row>
    <row r="1614">
      <c r="U1614">
        <f>IF(AND(ISNUMBER('자료_한국심리'!$A1598),ISNUMBER('자료_한국심리'!$B1598)),'자료_한국심리'!$A1598,"")</f>
        <v/>
      </c>
      <c r="V1614">
        <f>IF(AND(ISNUMBER('자료_한국심리'!$D1598),ISNUMBER('자료_한국심리'!$E1598)),'자료_한국심리'!$D1598,"")</f>
        <v/>
      </c>
      <c r="W1614">
        <f>IF(AND(ISNUMBER('자료_한국심리'!$G1598),ISNUMBER('자료_한국심리'!$H1598)),'자료_한국심리'!$G1598,"")</f>
        <v/>
      </c>
      <c r="X1614">
        <f>IF(AND(ISNUMBER('자료_한국심리'!$J1598),ISNUMBER('자료_한국심리'!$K1598)),'자료_한국심리'!$J1598,"")</f>
        <v/>
      </c>
      <c r="Y1614">
        <f>IF(AND(ISNUMBER('자료_한국심리'!$M1598),ISNUMBER('자료_한국심리'!$N1598)),'자료_한국심리'!$M1598,"")</f>
        <v/>
      </c>
    </row>
    <row r="1615">
      <c r="U1615">
        <f>IF(AND(ISNUMBER('자료_한국심리'!$A1599),ISNUMBER('자료_한국심리'!$B1599)),'자료_한국심리'!$A1599,"")</f>
        <v/>
      </c>
      <c r="V1615">
        <f>IF(AND(ISNUMBER('자료_한국심리'!$D1599),ISNUMBER('자료_한국심리'!$E1599)),'자료_한국심리'!$D1599,"")</f>
        <v/>
      </c>
      <c r="W1615">
        <f>IF(AND(ISNUMBER('자료_한국심리'!$G1599),ISNUMBER('자료_한국심리'!$H1599)),'자료_한국심리'!$G1599,"")</f>
        <v/>
      </c>
      <c r="X1615">
        <f>IF(AND(ISNUMBER('자료_한국심리'!$J1599),ISNUMBER('자료_한국심리'!$K1599)),'자료_한국심리'!$J1599,"")</f>
        <v/>
      </c>
      <c r="Y1615">
        <f>IF(AND(ISNUMBER('자료_한국심리'!$M1599),ISNUMBER('자료_한국심리'!$N1599)),'자료_한국심리'!$M1599,"")</f>
        <v/>
      </c>
    </row>
    <row r="1616">
      <c r="U1616">
        <f>IF(AND(ISNUMBER('자료_한국심리'!$A1600),ISNUMBER('자료_한국심리'!$B1600)),'자료_한국심리'!$A1600,"")</f>
        <v/>
      </c>
      <c r="V1616">
        <f>IF(AND(ISNUMBER('자료_한국심리'!$D1600),ISNUMBER('자료_한국심리'!$E1600)),'자료_한국심리'!$D1600,"")</f>
        <v/>
      </c>
      <c r="W1616">
        <f>IF(AND(ISNUMBER('자료_한국심리'!$G1600),ISNUMBER('자료_한국심리'!$H1600)),'자료_한국심리'!$G1600,"")</f>
        <v/>
      </c>
      <c r="X1616">
        <f>IF(AND(ISNUMBER('자료_한국심리'!$J1600),ISNUMBER('자료_한국심리'!$K1600)),'자료_한국심리'!$J1600,"")</f>
        <v/>
      </c>
      <c r="Y1616">
        <f>IF(AND(ISNUMBER('자료_한국심리'!$M1600),ISNUMBER('자료_한국심리'!$N1600)),'자료_한국심리'!$M1600,"")</f>
        <v/>
      </c>
    </row>
    <row r="1617">
      <c r="U1617">
        <f>IF(AND(ISNUMBER('자료_한국심리'!$A1601),ISNUMBER('자료_한국심리'!$B1601)),'자료_한국심리'!$A1601,"")</f>
        <v/>
      </c>
      <c r="V1617">
        <f>IF(AND(ISNUMBER('자료_한국심리'!$D1601),ISNUMBER('자료_한국심리'!$E1601)),'자료_한국심리'!$D1601,"")</f>
        <v/>
      </c>
      <c r="W1617">
        <f>IF(AND(ISNUMBER('자료_한국심리'!$G1601),ISNUMBER('자료_한국심리'!$H1601)),'자료_한국심리'!$G1601,"")</f>
        <v/>
      </c>
      <c r="X1617">
        <f>IF(AND(ISNUMBER('자료_한국심리'!$J1601),ISNUMBER('자료_한국심리'!$K1601)),'자료_한국심리'!$J1601,"")</f>
        <v/>
      </c>
      <c r="Y1617">
        <f>IF(AND(ISNUMBER('자료_한국심리'!$M1601),ISNUMBER('자료_한국심리'!$N1601)),'자료_한국심리'!$M1601,"")</f>
        <v/>
      </c>
    </row>
    <row r="1618">
      <c r="U1618">
        <f>IF(AND(ISNUMBER('자료_한국심리'!$A1602),ISNUMBER('자료_한국심리'!$B1602)),'자료_한국심리'!$A1602,"")</f>
        <v/>
      </c>
      <c r="V1618">
        <f>IF(AND(ISNUMBER('자료_한국심리'!$D1602),ISNUMBER('자료_한국심리'!$E1602)),'자료_한국심리'!$D1602,"")</f>
        <v/>
      </c>
      <c r="W1618">
        <f>IF(AND(ISNUMBER('자료_한국심리'!$G1602),ISNUMBER('자료_한국심리'!$H1602)),'자료_한국심리'!$G1602,"")</f>
        <v/>
      </c>
      <c r="X1618">
        <f>IF(AND(ISNUMBER('자료_한국심리'!$J1602),ISNUMBER('자료_한국심리'!$K1602)),'자료_한국심리'!$J1602,"")</f>
        <v/>
      </c>
      <c r="Y1618">
        <f>IF(AND(ISNUMBER('자료_한국심리'!$M1602),ISNUMBER('자료_한국심리'!$N1602)),'자료_한국심리'!$M1602,"")</f>
        <v/>
      </c>
    </row>
    <row r="1619">
      <c r="U1619">
        <f>IF(AND(ISNUMBER('자료_한국심리'!$A1603),ISNUMBER('자료_한국심리'!$B1603)),'자료_한국심리'!$A1603,"")</f>
        <v/>
      </c>
      <c r="V1619">
        <f>IF(AND(ISNUMBER('자료_한국심리'!$D1603),ISNUMBER('자료_한국심리'!$E1603)),'자료_한국심리'!$D1603,"")</f>
        <v/>
      </c>
      <c r="W1619">
        <f>IF(AND(ISNUMBER('자료_한국심리'!$G1603),ISNUMBER('자료_한국심리'!$H1603)),'자료_한국심리'!$G1603,"")</f>
        <v/>
      </c>
      <c r="X1619">
        <f>IF(AND(ISNUMBER('자료_한국심리'!$J1603),ISNUMBER('자료_한국심리'!$K1603)),'자료_한국심리'!$J1603,"")</f>
        <v/>
      </c>
      <c r="Y1619">
        <f>IF(AND(ISNUMBER('자료_한국심리'!$M1603),ISNUMBER('자료_한국심리'!$N1603)),'자료_한국심리'!$M1603,"")</f>
        <v/>
      </c>
    </row>
    <row r="1620">
      <c r="U1620">
        <f>IF(AND(ISNUMBER('자료_한국심리'!$A1604),ISNUMBER('자료_한국심리'!$B1604)),'자료_한국심리'!$A1604,"")</f>
        <v/>
      </c>
      <c r="V1620">
        <f>IF(AND(ISNUMBER('자료_한국심리'!$D1604),ISNUMBER('자료_한국심리'!$E1604)),'자료_한국심리'!$D1604,"")</f>
        <v/>
      </c>
      <c r="W1620">
        <f>IF(AND(ISNUMBER('자료_한국심리'!$G1604),ISNUMBER('자료_한국심리'!$H1604)),'자료_한국심리'!$G1604,"")</f>
        <v/>
      </c>
      <c r="X1620">
        <f>IF(AND(ISNUMBER('자료_한국심리'!$J1604),ISNUMBER('자료_한국심리'!$K1604)),'자료_한국심리'!$J1604,"")</f>
        <v/>
      </c>
      <c r="Y1620">
        <f>IF(AND(ISNUMBER('자료_한국심리'!$M1604),ISNUMBER('자료_한국심리'!$N1604)),'자료_한국심리'!$M1604,"")</f>
        <v/>
      </c>
    </row>
    <row r="1621">
      <c r="U1621">
        <f>IF(AND(ISNUMBER('자료_한국심리'!$A1605),ISNUMBER('자료_한국심리'!$B1605)),'자료_한국심리'!$A1605,"")</f>
        <v/>
      </c>
      <c r="V1621">
        <f>IF(AND(ISNUMBER('자료_한국심리'!$D1605),ISNUMBER('자료_한국심리'!$E1605)),'자료_한국심리'!$D1605,"")</f>
        <v/>
      </c>
      <c r="W1621">
        <f>IF(AND(ISNUMBER('자료_한국심리'!$G1605),ISNUMBER('자료_한국심리'!$H1605)),'자료_한국심리'!$G1605,"")</f>
        <v/>
      </c>
      <c r="X1621">
        <f>IF(AND(ISNUMBER('자료_한국심리'!$J1605),ISNUMBER('자료_한국심리'!$K1605)),'자료_한국심리'!$J1605,"")</f>
        <v/>
      </c>
      <c r="Y1621">
        <f>IF(AND(ISNUMBER('자료_한국심리'!$M1605),ISNUMBER('자료_한국심리'!$N1605)),'자료_한국심리'!$M1605,"")</f>
        <v/>
      </c>
    </row>
    <row r="1622">
      <c r="U1622">
        <f>IF(AND(ISNUMBER('자료_한국심리'!$A1606),ISNUMBER('자료_한국심리'!$B1606)),'자료_한국심리'!$A1606,"")</f>
        <v/>
      </c>
      <c r="V1622">
        <f>IF(AND(ISNUMBER('자료_한국심리'!$D1606),ISNUMBER('자료_한국심리'!$E1606)),'자료_한국심리'!$D1606,"")</f>
        <v/>
      </c>
      <c r="W1622">
        <f>IF(AND(ISNUMBER('자료_한국심리'!$G1606),ISNUMBER('자료_한국심리'!$H1606)),'자료_한국심리'!$G1606,"")</f>
        <v/>
      </c>
      <c r="X1622">
        <f>IF(AND(ISNUMBER('자료_한국심리'!$J1606),ISNUMBER('자료_한국심리'!$K1606)),'자료_한국심리'!$J1606,"")</f>
        <v/>
      </c>
      <c r="Y1622">
        <f>IF(AND(ISNUMBER('자료_한국심리'!$M1606),ISNUMBER('자료_한국심리'!$N1606)),'자료_한국심리'!$M1606,"")</f>
        <v/>
      </c>
    </row>
    <row r="1623">
      <c r="U1623">
        <f>IF(AND(ISNUMBER('자료_한국심리'!$A1607),ISNUMBER('자료_한국심리'!$B1607)),'자료_한국심리'!$A1607,"")</f>
        <v/>
      </c>
      <c r="V1623">
        <f>IF(AND(ISNUMBER('자료_한국심리'!$D1607),ISNUMBER('자료_한국심리'!$E1607)),'자료_한국심리'!$D1607,"")</f>
        <v/>
      </c>
      <c r="W1623">
        <f>IF(AND(ISNUMBER('자료_한국심리'!$G1607),ISNUMBER('자료_한국심리'!$H1607)),'자료_한국심리'!$G1607,"")</f>
        <v/>
      </c>
      <c r="X1623">
        <f>IF(AND(ISNUMBER('자료_한국심리'!$J1607),ISNUMBER('자료_한국심리'!$K1607)),'자료_한국심리'!$J1607,"")</f>
        <v/>
      </c>
      <c r="Y1623">
        <f>IF(AND(ISNUMBER('자료_한국심리'!$M1607),ISNUMBER('자료_한국심리'!$N1607)),'자료_한국심리'!$M1607,"")</f>
        <v/>
      </c>
    </row>
    <row r="1624">
      <c r="U1624">
        <f>IF(AND(ISNUMBER('자료_한국심리'!$A1608),ISNUMBER('자료_한국심리'!$B1608)),'자료_한국심리'!$A1608,"")</f>
        <v/>
      </c>
      <c r="V1624">
        <f>IF(AND(ISNUMBER('자료_한국심리'!$D1608),ISNUMBER('자료_한국심리'!$E1608)),'자료_한국심리'!$D1608,"")</f>
        <v/>
      </c>
      <c r="W1624">
        <f>IF(AND(ISNUMBER('자료_한국심리'!$G1608),ISNUMBER('자료_한국심리'!$H1608)),'자료_한국심리'!$G1608,"")</f>
        <v/>
      </c>
      <c r="X1624">
        <f>IF(AND(ISNUMBER('자료_한국심리'!$J1608),ISNUMBER('자료_한국심리'!$K1608)),'자료_한국심리'!$J1608,"")</f>
        <v/>
      </c>
      <c r="Y1624">
        <f>IF(AND(ISNUMBER('자료_한국심리'!$M1608),ISNUMBER('자료_한국심리'!$N1608)),'자료_한국심리'!$M1608,"")</f>
        <v/>
      </c>
    </row>
    <row r="1625">
      <c r="U1625">
        <f>IF(AND(ISNUMBER('자료_한국심리'!$A1609),ISNUMBER('자료_한국심리'!$B1609)),'자료_한국심리'!$A1609,"")</f>
        <v/>
      </c>
      <c r="V1625">
        <f>IF(AND(ISNUMBER('자료_한국심리'!$D1609),ISNUMBER('자료_한국심리'!$E1609)),'자료_한국심리'!$D1609,"")</f>
        <v/>
      </c>
      <c r="W1625">
        <f>IF(AND(ISNUMBER('자료_한국심리'!$G1609),ISNUMBER('자료_한국심리'!$H1609)),'자료_한국심리'!$G1609,"")</f>
        <v/>
      </c>
      <c r="X1625">
        <f>IF(AND(ISNUMBER('자료_한국심리'!$J1609),ISNUMBER('자료_한국심리'!$K1609)),'자료_한국심리'!$J1609,"")</f>
        <v/>
      </c>
      <c r="Y1625">
        <f>IF(AND(ISNUMBER('자료_한국심리'!$M1609),ISNUMBER('자료_한국심리'!$N1609)),'자료_한국심리'!$M1609,"")</f>
        <v/>
      </c>
    </row>
    <row r="1626">
      <c r="U1626">
        <f>IF(AND(ISNUMBER('자료_한국심리'!$A1610),ISNUMBER('자료_한국심리'!$B1610)),'자료_한국심리'!$A1610,"")</f>
        <v/>
      </c>
      <c r="V1626">
        <f>IF(AND(ISNUMBER('자료_한국심리'!$D1610),ISNUMBER('자료_한국심리'!$E1610)),'자료_한국심리'!$D1610,"")</f>
        <v/>
      </c>
      <c r="W1626">
        <f>IF(AND(ISNUMBER('자료_한국심리'!$G1610),ISNUMBER('자료_한국심리'!$H1610)),'자료_한국심리'!$G1610,"")</f>
        <v/>
      </c>
      <c r="X1626">
        <f>IF(AND(ISNUMBER('자료_한국심리'!$J1610),ISNUMBER('자료_한국심리'!$K1610)),'자료_한국심리'!$J1610,"")</f>
        <v/>
      </c>
      <c r="Y1626">
        <f>IF(AND(ISNUMBER('자료_한국심리'!$M1610),ISNUMBER('자료_한국심리'!$N1610)),'자료_한국심리'!$M1610,"")</f>
        <v/>
      </c>
    </row>
    <row r="1627">
      <c r="U1627">
        <f>IF(AND(ISNUMBER('자료_한국심리'!$A1611),ISNUMBER('자료_한국심리'!$B1611)),'자료_한국심리'!$A1611,"")</f>
        <v/>
      </c>
      <c r="V1627">
        <f>IF(AND(ISNUMBER('자료_한국심리'!$D1611),ISNUMBER('자료_한국심리'!$E1611)),'자료_한국심리'!$D1611,"")</f>
        <v/>
      </c>
      <c r="W1627">
        <f>IF(AND(ISNUMBER('자료_한국심리'!$G1611),ISNUMBER('자료_한국심리'!$H1611)),'자료_한국심리'!$G1611,"")</f>
        <v/>
      </c>
      <c r="X1627">
        <f>IF(AND(ISNUMBER('자료_한국심리'!$J1611),ISNUMBER('자료_한국심리'!$K1611)),'자료_한국심리'!$J1611,"")</f>
        <v/>
      </c>
      <c r="Y1627">
        <f>IF(AND(ISNUMBER('자료_한국심리'!$M1611),ISNUMBER('자료_한국심리'!$N1611)),'자료_한국심리'!$M1611,"")</f>
        <v/>
      </c>
    </row>
    <row r="1628">
      <c r="U1628">
        <f>IF(AND(ISNUMBER('자료_한국심리'!$A1612),ISNUMBER('자료_한국심리'!$B1612)),'자료_한국심리'!$A1612,"")</f>
        <v/>
      </c>
      <c r="V1628">
        <f>IF(AND(ISNUMBER('자료_한국심리'!$D1612),ISNUMBER('자료_한국심리'!$E1612)),'자료_한국심리'!$D1612,"")</f>
        <v/>
      </c>
      <c r="W1628">
        <f>IF(AND(ISNUMBER('자료_한국심리'!$G1612),ISNUMBER('자료_한국심리'!$H1612)),'자료_한국심리'!$G1612,"")</f>
        <v/>
      </c>
      <c r="X1628">
        <f>IF(AND(ISNUMBER('자료_한국심리'!$J1612),ISNUMBER('자료_한국심리'!$K1612)),'자료_한국심리'!$J1612,"")</f>
        <v/>
      </c>
      <c r="Y1628">
        <f>IF(AND(ISNUMBER('자료_한국심리'!$M1612),ISNUMBER('자료_한국심리'!$N1612)),'자료_한국심리'!$M1612,"")</f>
        <v/>
      </c>
    </row>
    <row r="1629">
      <c r="U1629">
        <f>IF(AND(ISNUMBER('자료_한국심리'!$A1613),ISNUMBER('자료_한국심리'!$B1613)),'자료_한국심리'!$A1613,"")</f>
        <v/>
      </c>
      <c r="V1629">
        <f>IF(AND(ISNUMBER('자료_한국심리'!$D1613),ISNUMBER('자료_한국심리'!$E1613)),'자료_한국심리'!$D1613,"")</f>
        <v/>
      </c>
      <c r="W1629">
        <f>IF(AND(ISNUMBER('자료_한국심리'!$G1613),ISNUMBER('자료_한국심리'!$H1613)),'자료_한국심리'!$G1613,"")</f>
        <v/>
      </c>
      <c r="X1629">
        <f>IF(AND(ISNUMBER('자료_한국심리'!$J1613),ISNUMBER('자료_한국심리'!$K1613)),'자료_한국심리'!$J1613,"")</f>
        <v/>
      </c>
      <c r="Y1629">
        <f>IF(AND(ISNUMBER('자료_한국심리'!$M1613),ISNUMBER('자료_한국심리'!$N1613)),'자료_한국심리'!$M1613,"")</f>
        <v/>
      </c>
    </row>
    <row r="1630">
      <c r="U1630">
        <f>IF(AND(ISNUMBER('자료_한국심리'!$A1614),ISNUMBER('자료_한국심리'!$B1614)),'자료_한국심리'!$A1614,"")</f>
        <v/>
      </c>
      <c r="V1630">
        <f>IF(AND(ISNUMBER('자료_한국심리'!$D1614),ISNUMBER('자료_한국심리'!$E1614)),'자료_한국심리'!$D1614,"")</f>
        <v/>
      </c>
      <c r="W1630">
        <f>IF(AND(ISNUMBER('자료_한국심리'!$G1614),ISNUMBER('자료_한국심리'!$H1614)),'자료_한국심리'!$G1614,"")</f>
        <v/>
      </c>
      <c r="X1630">
        <f>IF(AND(ISNUMBER('자료_한국심리'!$J1614),ISNUMBER('자료_한국심리'!$K1614)),'자료_한국심리'!$J1614,"")</f>
        <v/>
      </c>
      <c r="Y1630">
        <f>IF(AND(ISNUMBER('자료_한국심리'!$M1614),ISNUMBER('자료_한국심리'!$N1614)),'자료_한국심리'!$M1614,"")</f>
        <v/>
      </c>
    </row>
    <row r="1631">
      <c r="U1631">
        <f>IF(AND(ISNUMBER('자료_한국심리'!$A1615),ISNUMBER('자료_한국심리'!$B1615)),'자료_한국심리'!$A1615,"")</f>
        <v/>
      </c>
      <c r="V1631">
        <f>IF(AND(ISNUMBER('자료_한국심리'!$D1615),ISNUMBER('자료_한국심리'!$E1615)),'자료_한국심리'!$D1615,"")</f>
        <v/>
      </c>
      <c r="W1631">
        <f>IF(AND(ISNUMBER('자료_한국심리'!$G1615),ISNUMBER('자료_한국심리'!$H1615)),'자료_한국심리'!$G1615,"")</f>
        <v/>
      </c>
      <c r="X1631">
        <f>IF(AND(ISNUMBER('자료_한국심리'!$J1615),ISNUMBER('자료_한국심리'!$K1615)),'자료_한국심리'!$J1615,"")</f>
        <v/>
      </c>
      <c r="Y1631">
        <f>IF(AND(ISNUMBER('자료_한국심리'!$M1615),ISNUMBER('자료_한국심리'!$N1615)),'자료_한국심리'!$M1615,"")</f>
        <v/>
      </c>
    </row>
    <row r="1632">
      <c r="U1632">
        <f>IF(AND(ISNUMBER('자료_한국심리'!$A1616),ISNUMBER('자료_한국심리'!$B1616)),'자료_한국심리'!$A1616,"")</f>
        <v/>
      </c>
      <c r="V1632">
        <f>IF(AND(ISNUMBER('자료_한국심리'!$D1616),ISNUMBER('자료_한국심리'!$E1616)),'자료_한국심리'!$D1616,"")</f>
        <v/>
      </c>
      <c r="W1632">
        <f>IF(AND(ISNUMBER('자료_한국심리'!$G1616),ISNUMBER('자료_한국심리'!$H1616)),'자료_한국심리'!$G1616,"")</f>
        <v/>
      </c>
      <c r="X1632">
        <f>IF(AND(ISNUMBER('자료_한국심리'!$J1616),ISNUMBER('자료_한국심리'!$K1616)),'자료_한국심리'!$J1616,"")</f>
        <v/>
      </c>
      <c r="Y1632">
        <f>IF(AND(ISNUMBER('자료_한국심리'!$M1616),ISNUMBER('자료_한국심리'!$N1616)),'자료_한국심리'!$M1616,"")</f>
        <v/>
      </c>
    </row>
    <row r="1633">
      <c r="U1633">
        <f>IF(AND(ISNUMBER('자료_한국심리'!$A1617),ISNUMBER('자료_한국심리'!$B1617)),'자료_한국심리'!$A1617,"")</f>
        <v/>
      </c>
      <c r="V1633">
        <f>IF(AND(ISNUMBER('자료_한국심리'!$D1617),ISNUMBER('자료_한국심리'!$E1617)),'자료_한국심리'!$D1617,"")</f>
        <v/>
      </c>
      <c r="W1633">
        <f>IF(AND(ISNUMBER('자료_한국심리'!$G1617),ISNUMBER('자료_한국심리'!$H1617)),'자료_한국심리'!$G1617,"")</f>
        <v/>
      </c>
      <c r="X1633">
        <f>IF(AND(ISNUMBER('자료_한국심리'!$J1617),ISNUMBER('자료_한국심리'!$K1617)),'자료_한국심리'!$J1617,"")</f>
        <v/>
      </c>
      <c r="Y1633">
        <f>IF(AND(ISNUMBER('자료_한국심리'!$M1617),ISNUMBER('자료_한국심리'!$N1617)),'자료_한국심리'!$M1617,"")</f>
        <v/>
      </c>
    </row>
    <row r="1634">
      <c r="U1634">
        <f>IF(AND(ISNUMBER('자료_한국심리'!$A1618),ISNUMBER('자료_한국심리'!$B1618)),'자료_한국심리'!$A1618,"")</f>
        <v/>
      </c>
      <c r="V1634">
        <f>IF(AND(ISNUMBER('자료_한국심리'!$D1618),ISNUMBER('자료_한국심리'!$E1618)),'자료_한국심리'!$D1618,"")</f>
        <v/>
      </c>
      <c r="W1634">
        <f>IF(AND(ISNUMBER('자료_한국심리'!$G1618),ISNUMBER('자료_한국심리'!$H1618)),'자료_한국심리'!$G1618,"")</f>
        <v/>
      </c>
      <c r="X1634">
        <f>IF(AND(ISNUMBER('자료_한국심리'!$J1618),ISNUMBER('자료_한국심리'!$K1618)),'자료_한국심리'!$J1618,"")</f>
        <v/>
      </c>
      <c r="Y1634">
        <f>IF(AND(ISNUMBER('자료_한국심리'!$M1618),ISNUMBER('자료_한국심리'!$N1618)),'자료_한국심리'!$M1618,"")</f>
        <v/>
      </c>
    </row>
    <row r="1635">
      <c r="U1635">
        <f>IF(AND(ISNUMBER('자료_한국심리'!$A1619),ISNUMBER('자료_한국심리'!$B1619)),'자료_한국심리'!$A1619,"")</f>
        <v/>
      </c>
      <c r="V1635">
        <f>IF(AND(ISNUMBER('자료_한국심리'!$D1619),ISNUMBER('자료_한국심리'!$E1619)),'자료_한국심리'!$D1619,"")</f>
        <v/>
      </c>
      <c r="W1635">
        <f>IF(AND(ISNUMBER('자료_한국심리'!$G1619),ISNUMBER('자료_한국심리'!$H1619)),'자료_한국심리'!$G1619,"")</f>
        <v/>
      </c>
      <c r="X1635">
        <f>IF(AND(ISNUMBER('자료_한국심리'!$J1619),ISNUMBER('자료_한국심리'!$K1619)),'자료_한국심리'!$J1619,"")</f>
        <v/>
      </c>
      <c r="Y1635">
        <f>IF(AND(ISNUMBER('자료_한국심리'!$M1619),ISNUMBER('자료_한국심리'!$N1619)),'자료_한국심리'!$M1619,"")</f>
        <v/>
      </c>
    </row>
    <row r="1636">
      <c r="U1636">
        <f>IF(AND(ISNUMBER('자료_한국심리'!$A1620),ISNUMBER('자료_한국심리'!$B1620)),'자료_한국심리'!$A1620,"")</f>
        <v/>
      </c>
      <c r="V1636">
        <f>IF(AND(ISNUMBER('자료_한국심리'!$D1620),ISNUMBER('자료_한국심리'!$E1620)),'자료_한국심리'!$D1620,"")</f>
        <v/>
      </c>
      <c r="W1636">
        <f>IF(AND(ISNUMBER('자료_한국심리'!$G1620),ISNUMBER('자료_한국심리'!$H1620)),'자료_한국심리'!$G1620,"")</f>
        <v/>
      </c>
      <c r="X1636">
        <f>IF(AND(ISNUMBER('자료_한국심리'!$J1620),ISNUMBER('자료_한국심리'!$K1620)),'자료_한국심리'!$J1620,"")</f>
        <v/>
      </c>
      <c r="Y1636">
        <f>IF(AND(ISNUMBER('자료_한국심리'!$M1620),ISNUMBER('자료_한국심리'!$N1620)),'자료_한국심리'!$M1620,"")</f>
        <v/>
      </c>
    </row>
    <row r="1637">
      <c r="U1637">
        <f>IF(AND(ISNUMBER('자료_한국심리'!$A1621),ISNUMBER('자료_한국심리'!$B1621)),'자료_한국심리'!$A1621,"")</f>
        <v/>
      </c>
      <c r="V1637">
        <f>IF(AND(ISNUMBER('자료_한국심리'!$D1621),ISNUMBER('자료_한국심리'!$E1621)),'자료_한국심리'!$D1621,"")</f>
        <v/>
      </c>
      <c r="W1637">
        <f>IF(AND(ISNUMBER('자료_한국심리'!$G1621),ISNUMBER('자료_한국심리'!$H1621)),'자료_한국심리'!$G1621,"")</f>
        <v/>
      </c>
      <c r="X1637">
        <f>IF(AND(ISNUMBER('자료_한국심리'!$J1621),ISNUMBER('자료_한국심리'!$K1621)),'자료_한국심리'!$J1621,"")</f>
        <v/>
      </c>
      <c r="Y1637">
        <f>IF(AND(ISNUMBER('자료_한국심리'!$M1621),ISNUMBER('자료_한국심리'!$N1621)),'자료_한국심리'!$M1621,"")</f>
        <v/>
      </c>
    </row>
    <row r="1638">
      <c r="U1638">
        <f>IF(AND(ISNUMBER('자료_한국심리'!$A1622),ISNUMBER('자료_한국심리'!$B1622)),'자료_한국심리'!$A1622,"")</f>
        <v/>
      </c>
      <c r="V1638">
        <f>IF(AND(ISNUMBER('자료_한국심리'!$D1622),ISNUMBER('자료_한국심리'!$E1622)),'자료_한국심리'!$D1622,"")</f>
        <v/>
      </c>
      <c r="W1638">
        <f>IF(AND(ISNUMBER('자료_한국심리'!$G1622),ISNUMBER('자료_한국심리'!$H1622)),'자료_한국심리'!$G1622,"")</f>
        <v/>
      </c>
      <c r="X1638">
        <f>IF(AND(ISNUMBER('자료_한국심리'!$J1622),ISNUMBER('자료_한국심리'!$K1622)),'자료_한국심리'!$J1622,"")</f>
        <v/>
      </c>
      <c r="Y1638">
        <f>IF(AND(ISNUMBER('자료_한국심리'!$M1622),ISNUMBER('자료_한국심리'!$N1622)),'자료_한국심리'!$M1622,"")</f>
        <v/>
      </c>
    </row>
    <row r="1639">
      <c r="U1639">
        <f>IF(AND(ISNUMBER('자료_한국심리'!$A1623),ISNUMBER('자료_한국심리'!$B1623)),'자료_한국심리'!$A1623,"")</f>
        <v/>
      </c>
      <c r="V1639">
        <f>IF(AND(ISNUMBER('자료_한국심리'!$D1623),ISNUMBER('자료_한국심리'!$E1623)),'자료_한국심리'!$D1623,"")</f>
        <v/>
      </c>
      <c r="W1639">
        <f>IF(AND(ISNUMBER('자료_한국심리'!$G1623),ISNUMBER('자료_한국심리'!$H1623)),'자료_한국심리'!$G1623,"")</f>
        <v/>
      </c>
      <c r="X1639">
        <f>IF(AND(ISNUMBER('자료_한국심리'!$J1623),ISNUMBER('자료_한국심리'!$K1623)),'자료_한국심리'!$J1623,"")</f>
        <v/>
      </c>
      <c r="Y1639">
        <f>IF(AND(ISNUMBER('자료_한국심리'!$M1623),ISNUMBER('자료_한국심리'!$N1623)),'자료_한국심리'!$M1623,"")</f>
        <v/>
      </c>
    </row>
    <row r="1640">
      <c r="U1640">
        <f>IF(AND(ISNUMBER('자료_한국심리'!$A1624),ISNUMBER('자료_한국심리'!$B1624)),'자료_한국심리'!$A1624,"")</f>
        <v/>
      </c>
      <c r="V1640">
        <f>IF(AND(ISNUMBER('자료_한국심리'!$D1624),ISNUMBER('자료_한국심리'!$E1624)),'자료_한국심리'!$D1624,"")</f>
        <v/>
      </c>
      <c r="W1640">
        <f>IF(AND(ISNUMBER('자료_한국심리'!$G1624),ISNUMBER('자료_한국심리'!$H1624)),'자료_한국심리'!$G1624,"")</f>
        <v/>
      </c>
      <c r="X1640">
        <f>IF(AND(ISNUMBER('자료_한국심리'!$J1624),ISNUMBER('자료_한국심리'!$K1624)),'자료_한국심리'!$J1624,"")</f>
        <v/>
      </c>
      <c r="Y1640">
        <f>IF(AND(ISNUMBER('자료_한국심리'!$M1624),ISNUMBER('자료_한국심리'!$N1624)),'자료_한국심리'!$M1624,"")</f>
        <v/>
      </c>
    </row>
    <row r="1641">
      <c r="U1641">
        <f>IF(AND(ISNUMBER('자료_한국심리'!$A1625),ISNUMBER('자료_한국심리'!$B1625)),'자료_한국심리'!$A1625,"")</f>
        <v/>
      </c>
      <c r="V1641">
        <f>IF(AND(ISNUMBER('자료_한국심리'!$D1625),ISNUMBER('자료_한국심리'!$E1625)),'자료_한국심리'!$D1625,"")</f>
        <v/>
      </c>
      <c r="W1641">
        <f>IF(AND(ISNUMBER('자료_한국심리'!$G1625),ISNUMBER('자료_한국심리'!$H1625)),'자료_한국심리'!$G1625,"")</f>
        <v/>
      </c>
      <c r="X1641">
        <f>IF(AND(ISNUMBER('자료_한국심리'!$J1625),ISNUMBER('자료_한국심리'!$K1625)),'자료_한국심리'!$J1625,"")</f>
        <v/>
      </c>
      <c r="Y1641">
        <f>IF(AND(ISNUMBER('자료_한국심리'!$M1625),ISNUMBER('자료_한국심리'!$N1625)),'자료_한국심리'!$M1625,"")</f>
        <v/>
      </c>
    </row>
    <row r="1642">
      <c r="U1642">
        <f>IF(AND(ISNUMBER('자료_한국심리'!$A1626),ISNUMBER('자료_한국심리'!$B1626)),'자료_한국심리'!$A1626,"")</f>
        <v/>
      </c>
      <c r="V1642">
        <f>IF(AND(ISNUMBER('자료_한국심리'!$D1626),ISNUMBER('자료_한국심리'!$E1626)),'자료_한국심리'!$D1626,"")</f>
        <v/>
      </c>
      <c r="W1642">
        <f>IF(AND(ISNUMBER('자료_한국심리'!$G1626),ISNUMBER('자료_한국심리'!$H1626)),'자료_한국심리'!$G1626,"")</f>
        <v/>
      </c>
      <c r="X1642">
        <f>IF(AND(ISNUMBER('자료_한국심리'!$J1626),ISNUMBER('자료_한국심리'!$K1626)),'자료_한국심리'!$J1626,"")</f>
        <v/>
      </c>
      <c r="Y1642">
        <f>IF(AND(ISNUMBER('자료_한국심리'!$M1626),ISNUMBER('자료_한국심리'!$N1626)),'자료_한국심리'!$M1626,"")</f>
        <v/>
      </c>
    </row>
    <row r="1643">
      <c r="U1643">
        <f>IF(AND(ISNUMBER('자료_한국심리'!$A1627),ISNUMBER('자료_한국심리'!$B1627)),'자료_한국심리'!$A1627,"")</f>
        <v/>
      </c>
      <c r="V1643">
        <f>IF(AND(ISNUMBER('자료_한국심리'!$D1627),ISNUMBER('자료_한국심리'!$E1627)),'자료_한국심리'!$D1627,"")</f>
        <v/>
      </c>
      <c r="W1643">
        <f>IF(AND(ISNUMBER('자료_한국심리'!$G1627),ISNUMBER('자료_한국심리'!$H1627)),'자료_한국심리'!$G1627,"")</f>
        <v/>
      </c>
      <c r="X1643">
        <f>IF(AND(ISNUMBER('자료_한국심리'!$J1627),ISNUMBER('자료_한국심리'!$K1627)),'자료_한국심리'!$J1627,"")</f>
        <v/>
      </c>
      <c r="Y1643">
        <f>IF(AND(ISNUMBER('자료_한국심리'!$M1627),ISNUMBER('자료_한국심리'!$N1627)),'자료_한국심리'!$M1627,"")</f>
        <v/>
      </c>
    </row>
    <row r="1644">
      <c r="U1644">
        <f>IF(AND(ISNUMBER('자료_한국심리'!$A1628),ISNUMBER('자료_한국심리'!$B1628)),'자료_한국심리'!$A1628,"")</f>
        <v/>
      </c>
      <c r="V1644">
        <f>IF(AND(ISNUMBER('자료_한국심리'!$D1628),ISNUMBER('자료_한국심리'!$E1628)),'자료_한국심리'!$D1628,"")</f>
        <v/>
      </c>
      <c r="W1644">
        <f>IF(AND(ISNUMBER('자료_한국심리'!$G1628),ISNUMBER('자료_한국심리'!$H1628)),'자료_한국심리'!$G1628,"")</f>
        <v/>
      </c>
      <c r="X1644">
        <f>IF(AND(ISNUMBER('자료_한국심리'!$J1628),ISNUMBER('자료_한국심리'!$K1628)),'자료_한국심리'!$J1628,"")</f>
        <v/>
      </c>
      <c r="Y1644">
        <f>IF(AND(ISNUMBER('자료_한국심리'!$M1628),ISNUMBER('자료_한국심리'!$N1628)),'자료_한국심리'!$M1628,"")</f>
        <v/>
      </c>
    </row>
    <row r="1645">
      <c r="U1645">
        <f>IF(AND(ISNUMBER('자료_한국심리'!$A1629),ISNUMBER('자료_한국심리'!$B1629)),'자료_한국심리'!$A1629,"")</f>
        <v/>
      </c>
      <c r="V1645">
        <f>IF(AND(ISNUMBER('자료_한국심리'!$D1629),ISNUMBER('자료_한국심리'!$E1629)),'자료_한국심리'!$D1629,"")</f>
        <v/>
      </c>
      <c r="W1645">
        <f>IF(AND(ISNUMBER('자료_한국심리'!$G1629),ISNUMBER('자료_한국심리'!$H1629)),'자료_한국심리'!$G1629,"")</f>
        <v/>
      </c>
      <c r="X1645">
        <f>IF(AND(ISNUMBER('자료_한국심리'!$J1629),ISNUMBER('자료_한국심리'!$K1629)),'자료_한국심리'!$J1629,"")</f>
        <v/>
      </c>
      <c r="Y1645">
        <f>IF(AND(ISNUMBER('자료_한국심리'!$M1629),ISNUMBER('자료_한국심리'!$N1629)),'자료_한국심리'!$M1629,"")</f>
        <v/>
      </c>
    </row>
    <row r="1646">
      <c r="U1646">
        <f>IF(AND(ISNUMBER('자료_한국심리'!$A1630),ISNUMBER('자료_한국심리'!$B1630)),'자료_한국심리'!$A1630,"")</f>
        <v/>
      </c>
      <c r="V1646">
        <f>IF(AND(ISNUMBER('자료_한국심리'!$D1630),ISNUMBER('자료_한국심리'!$E1630)),'자료_한국심리'!$D1630,"")</f>
        <v/>
      </c>
      <c r="W1646">
        <f>IF(AND(ISNUMBER('자료_한국심리'!$G1630),ISNUMBER('자료_한국심리'!$H1630)),'자료_한국심리'!$G1630,"")</f>
        <v/>
      </c>
      <c r="X1646">
        <f>IF(AND(ISNUMBER('자료_한국심리'!$J1630),ISNUMBER('자료_한국심리'!$K1630)),'자료_한국심리'!$J1630,"")</f>
        <v/>
      </c>
      <c r="Y1646">
        <f>IF(AND(ISNUMBER('자료_한국심리'!$M1630),ISNUMBER('자료_한국심리'!$N1630)),'자료_한국심리'!$M1630,"")</f>
        <v/>
      </c>
    </row>
    <row r="1647">
      <c r="U1647">
        <f>IF(AND(ISNUMBER('자료_한국심리'!$A1631),ISNUMBER('자료_한국심리'!$B1631)),'자료_한국심리'!$A1631,"")</f>
        <v/>
      </c>
      <c r="V1647">
        <f>IF(AND(ISNUMBER('자료_한국심리'!$D1631),ISNUMBER('자료_한국심리'!$E1631)),'자료_한국심리'!$D1631,"")</f>
        <v/>
      </c>
      <c r="W1647">
        <f>IF(AND(ISNUMBER('자료_한국심리'!$G1631),ISNUMBER('자료_한국심리'!$H1631)),'자료_한국심리'!$G1631,"")</f>
        <v/>
      </c>
      <c r="X1647">
        <f>IF(AND(ISNUMBER('자료_한국심리'!$J1631),ISNUMBER('자료_한국심리'!$K1631)),'자료_한국심리'!$J1631,"")</f>
        <v/>
      </c>
      <c r="Y1647">
        <f>IF(AND(ISNUMBER('자료_한국심리'!$M1631),ISNUMBER('자료_한국심리'!$N1631)),'자료_한국심리'!$M1631,"")</f>
        <v/>
      </c>
    </row>
    <row r="1648">
      <c r="U1648">
        <f>IF(AND(ISNUMBER('자료_한국심리'!$A1632),ISNUMBER('자료_한국심리'!$B1632)),'자료_한국심리'!$A1632,"")</f>
        <v/>
      </c>
      <c r="V1648">
        <f>IF(AND(ISNUMBER('자료_한국심리'!$D1632),ISNUMBER('자료_한국심리'!$E1632)),'자료_한국심리'!$D1632,"")</f>
        <v/>
      </c>
      <c r="W1648">
        <f>IF(AND(ISNUMBER('자료_한국심리'!$G1632),ISNUMBER('자료_한국심리'!$H1632)),'자료_한국심리'!$G1632,"")</f>
        <v/>
      </c>
      <c r="X1648">
        <f>IF(AND(ISNUMBER('자료_한국심리'!$J1632),ISNUMBER('자료_한국심리'!$K1632)),'자료_한국심리'!$J1632,"")</f>
        <v/>
      </c>
      <c r="Y1648">
        <f>IF(AND(ISNUMBER('자료_한국심리'!$M1632),ISNUMBER('자료_한국심리'!$N1632)),'자료_한국심리'!$M1632,"")</f>
        <v/>
      </c>
    </row>
    <row r="1649">
      <c r="U1649">
        <f>IF(AND(ISNUMBER('자료_한국심리'!$A1633),ISNUMBER('자료_한국심리'!$B1633)),'자료_한국심리'!$A1633,"")</f>
        <v/>
      </c>
      <c r="V1649">
        <f>IF(AND(ISNUMBER('자료_한국심리'!$D1633),ISNUMBER('자료_한국심리'!$E1633)),'자료_한국심리'!$D1633,"")</f>
        <v/>
      </c>
      <c r="W1649">
        <f>IF(AND(ISNUMBER('자료_한국심리'!$G1633),ISNUMBER('자료_한국심리'!$H1633)),'자료_한국심리'!$G1633,"")</f>
        <v/>
      </c>
      <c r="X1649">
        <f>IF(AND(ISNUMBER('자료_한국심리'!$J1633),ISNUMBER('자료_한국심리'!$K1633)),'자료_한국심리'!$J1633,"")</f>
        <v/>
      </c>
      <c r="Y1649">
        <f>IF(AND(ISNUMBER('자료_한국심리'!$M1633),ISNUMBER('자료_한국심리'!$N1633)),'자료_한국심리'!$M1633,"")</f>
        <v/>
      </c>
    </row>
    <row r="1650">
      <c r="U1650">
        <f>IF(AND(ISNUMBER('자료_한국심리'!$A1634),ISNUMBER('자료_한국심리'!$B1634)),'자료_한국심리'!$A1634,"")</f>
        <v/>
      </c>
      <c r="V1650">
        <f>IF(AND(ISNUMBER('자료_한국심리'!$D1634),ISNUMBER('자료_한국심리'!$E1634)),'자료_한국심리'!$D1634,"")</f>
        <v/>
      </c>
      <c r="W1650">
        <f>IF(AND(ISNUMBER('자료_한국심리'!$G1634),ISNUMBER('자료_한국심리'!$H1634)),'자료_한국심리'!$G1634,"")</f>
        <v/>
      </c>
      <c r="X1650">
        <f>IF(AND(ISNUMBER('자료_한국심리'!$J1634),ISNUMBER('자료_한국심리'!$K1634)),'자료_한국심리'!$J1634,"")</f>
        <v/>
      </c>
      <c r="Y1650">
        <f>IF(AND(ISNUMBER('자료_한국심리'!$M1634),ISNUMBER('자료_한국심리'!$N1634)),'자료_한국심리'!$M1634,"")</f>
        <v/>
      </c>
    </row>
    <row r="1651">
      <c r="U1651">
        <f>IF(AND(ISNUMBER('자료_한국심리'!$A1635),ISNUMBER('자료_한국심리'!$B1635)),'자료_한국심리'!$A1635,"")</f>
        <v/>
      </c>
      <c r="V1651">
        <f>IF(AND(ISNUMBER('자료_한국심리'!$D1635),ISNUMBER('자료_한국심리'!$E1635)),'자료_한국심리'!$D1635,"")</f>
        <v/>
      </c>
      <c r="W1651">
        <f>IF(AND(ISNUMBER('자료_한국심리'!$G1635),ISNUMBER('자료_한국심리'!$H1635)),'자료_한국심리'!$G1635,"")</f>
        <v/>
      </c>
      <c r="X1651">
        <f>IF(AND(ISNUMBER('자료_한국심리'!$J1635),ISNUMBER('자료_한국심리'!$K1635)),'자료_한국심리'!$J1635,"")</f>
        <v/>
      </c>
      <c r="Y1651">
        <f>IF(AND(ISNUMBER('자료_한국심리'!$M1635),ISNUMBER('자료_한국심리'!$N1635)),'자료_한국심리'!$M1635,"")</f>
        <v/>
      </c>
    </row>
    <row r="1652">
      <c r="U1652">
        <f>IF(AND(ISNUMBER('자료_한국심리'!$A1636),ISNUMBER('자료_한국심리'!$B1636)),'자료_한국심리'!$A1636,"")</f>
        <v/>
      </c>
      <c r="V1652">
        <f>IF(AND(ISNUMBER('자료_한국심리'!$D1636),ISNUMBER('자료_한국심리'!$E1636)),'자료_한국심리'!$D1636,"")</f>
        <v/>
      </c>
      <c r="W1652">
        <f>IF(AND(ISNUMBER('자료_한국심리'!$G1636),ISNUMBER('자료_한국심리'!$H1636)),'자료_한국심리'!$G1636,"")</f>
        <v/>
      </c>
      <c r="X1652">
        <f>IF(AND(ISNUMBER('자료_한국심리'!$J1636),ISNUMBER('자료_한국심리'!$K1636)),'자료_한국심리'!$J1636,"")</f>
        <v/>
      </c>
      <c r="Y1652">
        <f>IF(AND(ISNUMBER('자료_한국심리'!$M1636),ISNUMBER('자료_한국심리'!$N1636)),'자료_한국심리'!$M1636,"")</f>
        <v/>
      </c>
    </row>
    <row r="1653">
      <c r="U1653">
        <f>IF(AND(ISNUMBER('자료_한국심리'!$A1637),ISNUMBER('자료_한국심리'!$B1637)),'자료_한국심리'!$A1637,"")</f>
        <v/>
      </c>
      <c r="V1653">
        <f>IF(AND(ISNUMBER('자료_한국심리'!$D1637),ISNUMBER('자료_한국심리'!$E1637)),'자료_한국심리'!$D1637,"")</f>
        <v/>
      </c>
      <c r="W1653">
        <f>IF(AND(ISNUMBER('자료_한국심리'!$G1637),ISNUMBER('자료_한국심리'!$H1637)),'자료_한국심리'!$G1637,"")</f>
        <v/>
      </c>
      <c r="X1653">
        <f>IF(AND(ISNUMBER('자료_한국심리'!$J1637),ISNUMBER('자료_한국심리'!$K1637)),'자료_한국심리'!$J1637,"")</f>
        <v/>
      </c>
      <c r="Y1653">
        <f>IF(AND(ISNUMBER('자료_한국심리'!$M1637),ISNUMBER('자료_한국심리'!$N1637)),'자료_한국심리'!$M1637,"")</f>
        <v/>
      </c>
    </row>
    <row r="1654">
      <c r="U1654">
        <f>IF(AND(ISNUMBER('자료_한국심리'!$A1638),ISNUMBER('자료_한국심리'!$B1638)),'자료_한국심리'!$A1638,"")</f>
        <v/>
      </c>
      <c r="V1654">
        <f>IF(AND(ISNUMBER('자료_한국심리'!$D1638),ISNUMBER('자료_한국심리'!$E1638)),'자료_한국심리'!$D1638,"")</f>
        <v/>
      </c>
      <c r="W1654">
        <f>IF(AND(ISNUMBER('자료_한국심리'!$G1638),ISNUMBER('자료_한국심리'!$H1638)),'자료_한국심리'!$G1638,"")</f>
        <v/>
      </c>
      <c r="X1654">
        <f>IF(AND(ISNUMBER('자료_한국심리'!$J1638),ISNUMBER('자료_한국심리'!$K1638)),'자료_한국심리'!$J1638,"")</f>
        <v/>
      </c>
      <c r="Y1654">
        <f>IF(AND(ISNUMBER('자료_한국심리'!$M1638),ISNUMBER('자료_한국심리'!$N1638)),'자료_한국심리'!$M1638,"")</f>
        <v/>
      </c>
    </row>
    <row r="1655">
      <c r="U1655">
        <f>IF(AND(ISNUMBER('자료_한국심리'!$A1639),ISNUMBER('자료_한국심리'!$B1639)),'자료_한국심리'!$A1639,"")</f>
        <v/>
      </c>
      <c r="V1655">
        <f>IF(AND(ISNUMBER('자료_한국심리'!$D1639),ISNUMBER('자료_한국심리'!$E1639)),'자료_한국심리'!$D1639,"")</f>
        <v/>
      </c>
      <c r="W1655">
        <f>IF(AND(ISNUMBER('자료_한국심리'!$G1639),ISNUMBER('자료_한국심리'!$H1639)),'자료_한국심리'!$G1639,"")</f>
        <v/>
      </c>
      <c r="X1655">
        <f>IF(AND(ISNUMBER('자료_한국심리'!$J1639),ISNUMBER('자료_한국심리'!$K1639)),'자료_한국심리'!$J1639,"")</f>
        <v/>
      </c>
      <c r="Y1655">
        <f>IF(AND(ISNUMBER('자료_한국심리'!$M1639),ISNUMBER('자료_한국심리'!$N1639)),'자료_한국심리'!$M1639,"")</f>
        <v/>
      </c>
    </row>
    <row r="1656">
      <c r="U1656">
        <f>IF(AND(ISNUMBER('자료_한국심리'!$A1640),ISNUMBER('자료_한국심리'!$B1640)),'자료_한국심리'!$A1640,"")</f>
        <v/>
      </c>
      <c r="V1656">
        <f>IF(AND(ISNUMBER('자료_한국심리'!$D1640),ISNUMBER('자료_한국심리'!$E1640)),'자료_한국심리'!$D1640,"")</f>
        <v/>
      </c>
      <c r="W1656">
        <f>IF(AND(ISNUMBER('자료_한국심리'!$G1640),ISNUMBER('자료_한국심리'!$H1640)),'자료_한국심리'!$G1640,"")</f>
        <v/>
      </c>
      <c r="X1656">
        <f>IF(AND(ISNUMBER('자료_한국심리'!$J1640),ISNUMBER('자료_한국심리'!$K1640)),'자료_한국심리'!$J1640,"")</f>
        <v/>
      </c>
      <c r="Y1656">
        <f>IF(AND(ISNUMBER('자료_한국심리'!$M1640),ISNUMBER('자료_한국심리'!$N1640)),'자료_한국심리'!$M1640,"")</f>
        <v/>
      </c>
    </row>
    <row r="1657">
      <c r="U1657">
        <f>IF(AND(ISNUMBER('자료_한국심리'!$A1641),ISNUMBER('자료_한국심리'!$B1641)),'자료_한국심리'!$A1641,"")</f>
        <v/>
      </c>
      <c r="V1657">
        <f>IF(AND(ISNUMBER('자료_한국심리'!$D1641),ISNUMBER('자료_한국심리'!$E1641)),'자료_한국심리'!$D1641,"")</f>
        <v/>
      </c>
      <c r="W1657">
        <f>IF(AND(ISNUMBER('자료_한국심리'!$G1641),ISNUMBER('자료_한국심리'!$H1641)),'자료_한국심리'!$G1641,"")</f>
        <v/>
      </c>
      <c r="X1657">
        <f>IF(AND(ISNUMBER('자료_한국심리'!$J1641),ISNUMBER('자료_한국심리'!$K1641)),'자료_한국심리'!$J1641,"")</f>
        <v/>
      </c>
      <c r="Y1657">
        <f>IF(AND(ISNUMBER('자료_한국심리'!$M1641),ISNUMBER('자료_한국심리'!$N1641)),'자료_한국심리'!$M1641,"")</f>
        <v/>
      </c>
    </row>
    <row r="1658">
      <c r="U1658">
        <f>IF(AND(ISNUMBER('자료_한국심리'!$A1642),ISNUMBER('자료_한국심리'!$B1642)),'자료_한국심리'!$A1642,"")</f>
        <v/>
      </c>
      <c r="V1658">
        <f>IF(AND(ISNUMBER('자료_한국심리'!$D1642),ISNUMBER('자료_한국심리'!$E1642)),'자료_한국심리'!$D1642,"")</f>
        <v/>
      </c>
      <c r="W1658">
        <f>IF(AND(ISNUMBER('자료_한국심리'!$G1642),ISNUMBER('자료_한국심리'!$H1642)),'자료_한국심리'!$G1642,"")</f>
        <v/>
      </c>
      <c r="X1658">
        <f>IF(AND(ISNUMBER('자료_한국심리'!$J1642),ISNUMBER('자료_한국심리'!$K1642)),'자료_한국심리'!$J1642,"")</f>
        <v/>
      </c>
      <c r="Y1658">
        <f>IF(AND(ISNUMBER('자료_한국심리'!$M1642),ISNUMBER('자료_한국심리'!$N1642)),'자료_한국심리'!$M1642,"")</f>
        <v/>
      </c>
    </row>
    <row r="1659">
      <c r="U1659">
        <f>IF(AND(ISNUMBER('자료_한국심리'!$A1643),ISNUMBER('자료_한국심리'!$B1643)),'자료_한국심리'!$A1643,"")</f>
        <v/>
      </c>
      <c r="V1659">
        <f>IF(AND(ISNUMBER('자료_한국심리'!$D1643),ISNUMBER('자료_한국심리'!$E1643)),'자료_한국심리'!$D1643,"")</f>
        <v/>
      </c>
      <c r="W1659">
        <f>IF(AND(ISNUMBER('자료_한국심리'!$G1643),ISNUMBER('자료_한국심리'!$H1643)),'자료_한국심리'!$G1643,"")</f>
        <v/>
      </c>
      <c r="X1659">
        <f>IF(AND(ISNUMBER('자료_한국심리'!$J1643),ISNUMBER('자료_한국심리'!$K1643)),'자료_한국심리'!$J1643,"")</f>
        <v/>
      </c>
      <c r="Y1659">
        <f>IF(AND(ISNUMBER('자료_한국심리'!$M1643),ISNUMBER('자료_한국심리'!$N1643)),'자료_한국심리'!$M1643,"")</f>
        <v/>
      </c>
    </row>
    <row r="1660">
      <c r="U1660">
        <f>IF(AND(ISNUMBER('자료_한국심리'!$A1644),ISNUMBER('자료_한국심리'!$B1644)),'자료_한국심리'!$A1644,"")</f>
        <v/>
      </c>
      <c r="V1660">
        <f>IF(AND(ISNUMBER('자료_한국심리'!$D1644),ISNUMBER('자료_한국심리'!$E1644)),'자료_한국심리'!$D1644,"")</f>
        <v/>
      </c>
      <c r="W1660">
        <f>IF(AND(ISNUMBER('자료_한국심리'!$G1644),ISNUMBER('자료_한국심리'!$H1644)),'자료_한국심리'!$G1644,"")</f>
        <v/>
      </c>
      <c r="X1660">
        <f>IF(AND(ISNUMBER('자료_한국심리'!$J1644),ISNUMBER('자료_한국심리'!$K1644)),'자료_한국심리'!$J1644,"")</f>
        <v/>
      </c>
      <c r="Y1660">
        <f>IF(AND(ISNUMBER('자료_한국심리'!$M1644),ISNUMBER('자료_한국심리'!$N1644)),'자료_한국심리'!$M1644,"")</f>
        <v/>
      </c>
    </row>
    <row r="1661">
      <c r="U1661">
        <f>IF(AND(ISNUMBER('자료_한국심리'!$A1645),ISNUMBER('자료_한국심리'!$B1645)),'자료_한국심리'!$A1645,"")</f>
        <v/>
      </c>
      <c r="V1661">
        <f>IF(AND(ISNUMBER('자료_한국심리'!$D1645),ISNUMBER('자료_한국심리'!$E1645)),'자료_한국심리'!$D1645,"")</f>
        <v/>
      </c>
      <c r="W1661">
        <f>IF(AND(ISNUMBER('자료_한국심리'!$G1645),ISNUMBER('자료_한국심리'!$H1645)),'자료_한국심리'!$G1645,"")</f>
        <v/>
      </c>
      <c r="X1661">
        <f>IF(AND(ISNUMBER('자료_한국심리'!$J1645),ISNUMBER('자료_한국심리'!$K1645)),'자료_한국심리'!$J1645,"")</f>
        <v/>
      </c>
      <c r="Y1661">
        <f>IF(AND(ISNUMBER('자료_한국심리'!$M1645),ISNUMBER('자료_한국심리'!$N1645)),'자료_한국심리'!$M1645,"")</f>
        <v/>
      </c>
    </row>
    <row r="1662">
      <c r="U1662">
        <f>IF(AND(ISNUMBER('자료_한국심리'!$A1646),ISNUMBER('자료_한국심리'!$B1646)),'자료_한국심리'!$A1646,"")</f>
        <v/>
      </c>
      <c r="V1662">
        <f>IF(AND(ISNUMBER('자료_한국심리'!$D1646),ISNUMBER('자료_한국심리'!$E1646)),'자료_한국심리'!$D1646,"")</f>
        <v/>
      </c>
      <c r="W1662">
        <f>IF(AND(ISNUMBER('자료_한국심리'!$G1646),ISNUMBER('자료_한국심리'!$H1646)),'자료_한국심리'!$G1646,"")</f>
        <v/>
      </c>
      <c r="X1662">
        <f>IF(AND(ISNUMBER('자료_한국심리'!$J1646),ISNUMBER('자료_한국심리'!$K1646)),'자료_한국심리'!$J1646,"")</f>
        <v/>
      </c>
      <c r="Y1662">
        <f>IF(AND(ISNUMBER('자료_한국심리'!$M1646),ISNUMBER('자료_한국심리'!$N1646)),'자료_한국심리'!$M1646,"")</f>
        <v/>
      </c>
    </row>
    <row r="1663">
      <c r="U1663">
        <f>IF(AND(ISNUMBER('자료_한국심리'!$A1647),ISNUMBER('자료_한국심리'!$B1647)),'자료_한국심리'!$A1647,"")</f>
        <v/>
      </c>
      <c r="V1663">
        <f>IF(AND(ISNUMBER('자료_한국심리'!$D1647),ISNUMBER('자료_한국심리'!$E1647)),'자료_한국심리'!$D1647,"")</f>
        <v/>
      </c>
      <c r="W1663">
        <f>IF(AND(ISNUMBER('자료_한국심리'!$G1647),ISNUMBER('자료_한국심리'!$H1647)),'자료_한국심리'!$G1647,"")</f>
        <v/>
      </c>
      <c r="X1663">
        <f>IF(AND(ISNUMBER('자료_한국심리'!$J1647),ISNUMBER('자료_한국심리'!$K1647)),'자료_한국심리'!$J1647,"")</f>
        <v/>
      </c>
      <c r="Y1663">
        <f>IF(AND(ISNUMBER('자료_한국심리'!$M1647),ISNUMBER('자료_한국심리'!$N1647)),'자료_한국심리'!$M1647,"")</f>
        <v/>
      </c>
    </row>
    <row r="1664">
      <c r="U1664">
        <f>IF(AND(ISNUMBER('자료_한국심리'!$A1648),ISNUMBER('자료_한국심리'!$B1648)),'자료_한국심리'!$A1648,"")</f>
        <v/>
      </c>
      <c r="V1664">
        <f>IF(AND(ISNUMBER('자료_한국심리'!$D1648),ISNUMBER('자료_한국심리'!$E1648)),'자료_한국심리'!$D1648,"")</f>
        <v/>
      </c>
      <c r="W1664">
        <f>IF(AND(ISNUMBER('자료_한국심리'!$G1648),ISNUMBER('자료_한국심리'!$H1648)),'자료_한국심리'!$G1648,"")</f>
        <v/>
      </c>
      <c r="X1664">
        <f>IF(AND(ISNUMBER('자료_한국심리'!$J1648),ISNUMBER('자료_한국심리'!$K1648)),'자료_한국심리'!$J1648,"")</f>
        <v/>
      </c>
      <c r="Y1664">
        <f>IF(AND(ISNUMBER('자료_한국심리'!$M1648),ISNUMBER('자료_한국심리'!$N1648)),'자료_한국심리'!$M1648,"")</f>
        <v/>
      </c>
    </row>
    <row r="1665">
      <c r="U1665">
        <f>IF(AND(ISNUMBER('자료_한국심리'!$A1649),ISNUMBER('자료_한국심리'!$B1649)),'자료_한국심리'!$A1649,"")</f>
        <v/>
      </c>
      <c r="V1665">
        <f>IF(AND(ISNUMBER('자료_한국심리'!$D1649),ISNUMBER('자료_한국심리'!$E1649)),'자료_한국심리'!$D1649,"")</f>
        <v/>
      </c>
      <c r="W1665">
        <f>IF(AND(ISNUMBER('자료_한국심리'!$G1649),ISNUMBER('자료_한국심리'!$H1649)),'자료_한국심리'!$G1649,"")</f>
        <v/>
      </c>
      <c r="X1665">
        <f>IF(AND(ISNUMBER('자료_한국심리'!$J1649),ISNUMBER('자료_한국심리'!$K1649)),'자료_한국심리'!$J1649,"")</f>
        <v/>
      </c>
      <c r="Y1665">
        <f>IF(AND(ISNUMBER('자료_한국심리'!$M1649),ISNUMBER('자료_한국심리'!$N1649)),'자료_한국심리'!$M1649,"")</f>
        <v/>
      </c>
    </row>
    <row r="1666">
      <c r="U1666">
        <f>IF(AND(ISNUMBER('자료_한국심리'!$A1650),ISNUMBER('자료_한국심리'!$B1650)),'자료_한국심리'!$A1650,"")</f>
        <v/>
      </c>
      <c r="V1666">
        <f>IF(AND(ISNUMBER('자료_한국심리'!$D1650),ISNUMBER('자료_한국심리'!$E1650)),'자료_한국심리'!$D1650,"")</f>
        <v/>
      </c>
      <c r="W1666">
        <f>IF(AND(ISNUMBER('자료_한국심리'!$G1650),ISNUMBER('자료_한국심리'!$H1650)),'자료_한국심리'!$G1650,"")</f>
        <v/>
      </c>
      <c r="X1666">
        <f>IF(AND(ISNUMBER('자료_한국심리'!$J1650),ISNUMBER('자료_한국심리'!$K1650)),'자료_한국심리'!$J1650,"")</f>
        <v/>
      </c>
      <c r="Y1666">
        <f>IF(AND(ISNUMBER('자료_한국심리'!$M1650),ISNUMBER('자료_한국심리'!$N1650)),'자료_한국심리'!$M1650,"")</f>
        <v/>
      </c>
    </row>
    <row r="1667">
      <c r="U1667">
        <f>IF(AND(ISNUMBER('자료_한국심리'!$A1651),ISNUMBER('자료_한국심리'!$B1651)),'자료_한국심리'!$A1651,"")</f>
        <v/>
      </c>
      <c r="V1667">
        <f>IF(AND(ISNUMBER('자료_한국심리'!$D1651),ISNUMBER('자료_한국심리'!$E1651)),'자료_한국심리'!$D1651,"")</f>
        <v/>
      </c>
      <c r="W1667">
        <f>IF(AND(ISNUMBER('자료_한국심리'!$G1651),ISNUMBER('자료_한국심리'!$H1651)),'자료_한국심리'!$G1651,"")</f>
        <v/>
      </c>
      <c r="X1667">
        <f>IF(AND(ISNUMBER('자료_한국심리'!$J1651),ISNUMBER('자료_한국심리'!$K1651)),'자료_한국심리'!$J1651,"")</f>
        <v/>
      </c>
      <c r="Y1667">
        <f>IF(AND(ISNUMBER('자료_한국심리'!$M1651),ISNUMBER('자료_한국심리'!$N1651)),'자료_한국심리'!$M1651,"")</f>
        <v/>
      </c>
    </row>
    <row r="1668">
      <c r="U1668">
        <f>IF(AND(ISNUMBER('자료_한국심리'!$A1652),ISNUMBER('자료_한국심리'!$B1652)),'자료_한국심리'!$A1652,"")</f>
        <v/>
      </c>
      <c r="V1668">
        <f>IF(AND(ISNUMBER('자료_한국심리'!$D1652),ISNUMBER('자료_한국심리'!$E1652)),'자료_한국심리'!$D1652,"")</f>
        <v/>
      </c>
      <c r="W1668">
        <f>IF(AND(ISNUMBER('자료_한국심리'!$G1652),ISNUMBER('자료_한국심리'!$H1652)),'자료_한국심리'!$G1652,"")</f>
        <v/>
      </c>
      <c r="X1668">
        <f>IF(AND(ISNUMBER('자료_한국심리'!$J1652),ISNUMBER('자료_한국심리'!$K1652)),'자료_한국심리'!$J1652,"")</f>
        <v/>
      </c>
      <c r="Y1668">
        <f>IF(AND(ISNUMBER('자료_한국심리'!$M1652),ISNUMBER('자료_한국심리'!$N1652)),'자료_한국심리'!$M1652,"")</f>
        <v/>
      </c>
    </row>
    <row r="1669">
      <c r="U1669">
        <f>IF(AND(ISNUMBER('자료_한국심리'!$A1653),ISNUMBER('자료_한국심리'!$B1653)),'자료_한국심리'!$A1653,"")</f>
        <v/>
      </c>
      <c r="V1669">
        <f>IF(AND(ISNUMBER('자료_한국심리'!$D1653),ISNUMBER('자료_한국심리'!$E1653)),'자료_한국심리'!$D1653,"")</f>
        <v/>
      </c>
      <c r="W1669">
        <f>IF(AND(ISNUMBER('자료_한국심리'!$G1653),ISNUMBER('자료_한국심리'!$H1653)),'자료_한국심리'!$G1653,"")</f>
        <v/>
      </c>
      <c r="X1669">
        <f>IF(AND(ISNUMBER('자료_한국심리'!$J1653),ISNUMBER('자료_한국심리'!$K1653)),'자료_한국심리'!$J1653,"")</f>
        <v/>
      </c>
      <c r="Y1669">
        <f>IF(AND(ISNUMBER('자료_한국심리'!$M1653),ISNUMBER('자료_한국심리'!$N1653)),'자료_한국심리'!$M1653,"")</f>
        <v/>
      </c>
    </row>
    <row r="1670">
      <c r="U1670">
        <f>IF(AND(ISNUMBER('자료_한국심리'!$A1654),ISNUMBER('자료_한국심리'!$B1654)),'자료_한국심리'!$A1654,"")</f>
        <v/>
      </c>
      <c r="V1670">
        <f>IF(AND(ISNUMBER('자료_한국심리'!$D1654),ISNUMBER('자료_한국심리'!$E1654)),'자료_한국심리'!$D1654,"")</f>
        <v/>
      </c>
      <c r="W1670">
        <f>IF(AND(ISNUMBER('자료_한국심리'!$G1654),ISNUMBER('자료_한국심리'!$H1654)),'자료_한국심리'!$G1654,"")</f>
        <v/>
      </c>
      <c r="X1670">
        <f>IF(AND(ISNUMBER('자료_한국심리'!$J1654),ISNUMBER('자료_한국심리'!$K1654)),'자료_한국심리'!$J1654,"")</f>
        <v/>
      </c>
      <c r="Y1670">
        <f>IF(AND(ISNUMBER('자료_한국심리'!$M1654),ISNUMBER('자료_한국심리'!$N1654)),'자료_한국심리'!$M1654,"")</f>
        <v/>
      </c>
    </row>
    <row r="1671">
      <c r="U1671">
        <f>IF(AND(ISNUMBER('자료_한국심리'!$A1655),ISNUMBER('자료_한국심리'!$B1655)),'자료_한국심리'!$A1655,"")</f>
        <v/>
      </c>
      <c r="V1671">
        <f>IF(AND(ISNUMBER('자료_한국심리'!$D1655),ISNUMBER('자료_한국심리'!$E1655)),'자료_한국심리'!$D1655,"")</f>
        <v/>
      </c>
      <c r="W1671">
        <f>IF(AND(ISNUMBER('자료_한국심리'!$G1655),ISNUMBER('자료_한국심리'!$H1655)),'자료_한국심리'!$G1655,"")</f>
        <v/>
      </c>
      <c r="X1671">
        <f>IF(AND(ISNUMBER('자료_한국심리'!$J1655),ISNUMBER('자료_한국심리'!$K1655)),'자료_한국심리'!$J1655,"")</f>
        <v/>
      </c>
      <c r="Y1671">
        <f>IF(AND(ISNUMBER('자료_한국심리'!$M1655),ISNUMBER('자료_한국심리'!$N1655)),'자료_한국심리'!$M1655,"")</f>
        <v/>
      </c>
    </row>
    <row r="1672">
      <c r="U1672">
        <f>IF(AND(ISNUMBER('자료_한국심리'!$A1656),ISNUMBER('자료_한국심리'!$B1656)),'자료_한국심리'!$A1656,"")</f>
        <v/>
      </c>
      <c r="V1672">
        <f>IF(AND(ISNUMBER('자료_한국심리'!$D1656),ISNUMBER('자료_한국심리'!$E1656)),'자료_한국심리'!$D1656,"")</f>
        <v/>
      </c>
      <c r="W1672">
        <f>IF(AND(ISNUMBER('자료_한국심리'!$G1656),ISNUMBER('자료_한국심리'!$H1656)),'자료_한국심리'!$G1656,"")</f>
        <v/>
      </c>
      <c r="X1672">
        <f>IF(AND(ISNUMBER('자료_한국심리'!$J1656),ISNUMBER('자료_한국심리'!$K1656)),'자료_한국심리'!$J1656,"")</f>
        <v/>
      </c>
      <c r="Y1672">
        <f>IF(AND(ISNUMBER('자료_한국심리'!$M1656),ISNUMBER('자료_한국심리'!$N1656)),'자료_한국심리'!$M1656,"")</f>
        <v/>
      </c>
    </row>
    <row r="1673">
      <c r="U1673">
        <f>IF(AND(ISNUMBER('자료_한국심리'!$A1657),ISNUMBER('자료_한국심리'!$B1657)),'자료_한국심리'!$A1657,"")</f>
        <v/>
      </c>
      <c r="V1673">
        <f>IF(AND(ISNUMBER('자료_한국심리'!$D1657),ISNUMBER('자료_한국심리'!$E1657)),'자료_한국심리'!$D1657,"")</f>
        <v/>
      </c>
      <c r="W1673">
        <f>IF(AND(ISNUMBER('자료_한국심리'!$G1657),ISNUMBER('자료_한국심리'!$H1657)),'자료_한국심리'!$G1657,"")</f>
        <v/>
      </c>
      <c r="X1673">
        <f>IF(AND(ISNUMBER('자료_한국심리'!$J1657),ISNUMBER('자료_한국심리'!$K1657)),'자료_한국심리'!$J1657,"")</f>
        <v/>
      </c>
      <c r="Y1673">
        <f>IF(AND(ISNUMBER('자료_한국심리'!$M1657),ISNUMBER('자료_한국심리'!$N1657)),'자료_한국심리'!$M1657,"")</f>
        <v/>
      </c>
    </row>
    <row r="1674">
      <c r="U1674">
        <f>IF(AND(ISNUMBER('자료_한국심리'!$A1658),ISNUMBER('자료_한국심리'!$B1658)),'자료_한국심리'!$A1658,"")</f>
        <v/>
      </c>
      <c r="V1674">
        <f>IF(AND(ISNUMBER('자료_한국심리'!$D1658),ISNUMBER('자료_한국심리'!$E1658)),'자료_한국심리'!$D1658,"")</f>
        <v/>
      </c>
      <c r="W1674">
        <f>IF(AND(ISNUMBER('자료_한국심리'!$G1658),ISNUMBER('자료_한국심리'!$H1658)),'자료_한국심리'!$G1658,"")</f>
        <v/>
      </c>
      <c r="X1674">
        <f>IF(AND(ISNUMBER('자료_한국심리'!$J1658),ISNUMBER('자료_한국심리'!$K1658)),'자료_한국심리'!$J1658,"")</f>
        <v/>
      </c>
      <c r="Y1674">
        <f>IF(AND(ISNUMBER('자료_한국심리'!$M1658),ISNUMBER('자료_한국심리'!$N1658)),'자료_한국심리'!$M1658,"")</f>
        <v/>
      </c>
    </row>
    <row r="1675">
      <c r="U1675">
        <f>IF(AND(ISNUMBER('자료_한국심리'!$A1659),ISNUMBER('자료_한국심리'!$B1659)),'자료_한국심리'!$A1659,"")</f>
        <v/>
      </c>
      <c r="V1675">
        <f>IF(AND(ISNUMBER('자료_한국심리'!$D1659),ISNUMBER('자료_한국심리'!$E1659)),'자료_한국심리'!$D1659,"")</f>
        <v/>
      </c>
      <c r="W1675">
        <f>IF(AND(ISNUMBER('자료_한국심리'!$G1659),ISNUMBER('자료_한국심리'!$H1659)),'자료_한국심리'!$G1659,"")</f>
        <v/>
      </c>
      <c r="X1675">
        <f>IF(AND(ISNUMBER('자료_한국심리'!$J1659),ISNUMBER('자료_한국심리'!$K1659)),'자료_한국심리'!$J1659,"")</f>
        <v/>
      </c>
      <c r="Y1675">
        <f>IF(AND(ISNUMBER('자료_한국심리'!$M1659),ISNUMBER('자료_한국심리'!$N1659)),'자료_한국심리'!$M1659,"")</f>
        <v/>
      </c>
    </row>
    <row r="1676">
      <c r="U1676">
        <f>IF(AND(ISNUMBER('자료_한국심리'!$A1660),ISNUMBER('자료_한국심리'!$B1660)),'자료_한국심리'!$A1660,"")</f>
        <v/>
      </c>
      <c r="V1676">
        <f>IF(AND(ISNUMBER('자료_한국심리'!$D1660),ISNUMBER('자료_한국심리'!$E1660)),'자료_한국심리'!$D1660,"")</f>
        <v/>
      </c>
      <c r="W1676">
        <f>IF(AND(ISNUMBER('자료_한국심리'!$G1660),ISNUMBER('자료_한국심리'!$H1660)),'자료_한국심리'!$G1660,"")</f>
        <v/>
      </c>
      <c r="X1676">
        <f>IF(AND(ISNUMBER('자료_한국심리'!$J1660),ISNUMBER('자료_한국심리'!$K1660)),'자료_한국심리'!$J1660,"")</f>
        <v/>
      </c>
      <c r="Y1676">
        <f>IF(AND(ISNUMBER('자료_한국심리'!$M1660),ISNUMBER('자료_한국심리'!$N1660)),'자료_한국심리'!$M1660,"")</f>
        <v/>
      </c>
    </row>
    <row r="1677">
      <c r="U1677">
        <f>IF(AND(ISNUMBER('자료_한국심리'!$A1661),ISNUMBER('자료_한국심리'!$B1661)),'자료_한국심리'!$A1661,"")</f>
        <v/>
      </c>
      <c r="V1677">
        <f>IF(AND(ISNUMBER('자료_한국심리'!$D1661),ISNUMBER('자료_한국심리'!$E1661)),'자료_한국심리'!$D1661,"")</f>
        <v/>
      </c>
      <c r="W1677">
        <f>IF(AND(ISNUMBER('자료_한국심리'!$G1661),ISNUMBER('자료_한국심리'!$H1661)),'자료_한국심리'!$G1661,"")</f>
        <v/>
      </c>
      <c r="X1677">
        <f>IF(AND(ISNUMBER('자료_한국심리'!$J1661),ISNUMBER('자료_한국심리'!$K1661)),'자료_한국심리'!$J1661,"")</f>
        <v/>
      </c>
      <c r="Y1677">
        <f>IF(AND(ISNUMBER('자료_한국심리'!$M1661),ISNUMBER('자료_한국심리'!$N1661)),'자료_한국심리'!$M1661,"")</f>
        <v/>
      </c>
    </row>
    <row r="1678">
      <c r="U1678">
        <f>IF(AND(ISNUMBER('자료_한국심리'!$A1662),ISNUMBER('자료_한국심리'!$B1662)),'자료_한국심리'!$A1662,"")</f>
        <v/>
      </c>
      <c r="V1678">
        <f>IF(AND(ISNUMBER('자료_한국심리'!$D1662),ISNUMBER('자료_한국심리'!$E1662)),'자료_한국심리'!$D1662,"")</f>
        <v/>
      </c>
      <c r="W1678">
        <f>IF(AND(ISNUMBER('자료_한국심리'!$G1662),ISNUMBER('자료_한국심리'!$H1662)),'자료_한국심리'!$G1662,"")</f>
        <v/>
      </c>
      <c r="X1678">
        <f>IF(AND(ISNUMBER('자료_한국심리'!$J1662),ISNUMBER('자료_한국심리'!$K1662)),'자료_한국심리'!$J1662,"")</f>
        <v/>
      </c>
      <c r="Y1678">
        <f>IF(AND(ISNUMBER('자료_한국심리'!$M1662),ISNUMBER('자료_한국심리'!$N1662)),'자료_한국심리'!$M1662,"")</f>
        <v/>
      </c>
    </row>
    <row r="1679">
      <c r="U1679">
        <f>IF(AND(ISNUMBER('자료_한국심리'!$A1663),ISNUMBER('자료_한국심리'!$B1663)),'자료_한국심리'!$A1663,"")</f>
        <v/>
      </c>
      <c r="V1679">
        <f>IF(AND(ISNUMBER('자료_한국심리'!$D1663),ISNUMBER('자료_한국심리'!$E1663)),'자료_한국심리'!$D1663,"")</f>
        <v/>
      </c>
      <c r="W1679">
        <f>IF(AND(ISNUMBER('자료_한국심리'!$G1663),ISNUMBER('자료_한국심리'!$H1663)),'자료_한국심리'!$G1663,"")</f>
        <v/>
      </c>
      <c r="X1679">
        <f>IF(AND(ISNUMBER('자료_한국심리'!$J1663),ISNUMBER('자료_한국심리'!$K1663)),'자료_한국심리'!$J1663,"")</f>
        <v/>
      </c>
      <c r="Y1679">
        <f>IF(AND(ISNUMBER('자료_한국심리'!$M1663),ISNUMBER('자료_한국심리'!$N1663)),'자료_한국심리'!$M1663,"")</f>
        <v/>
      </c>
    </row>
    <row r="1680">
      <c r="U1680">
        <f>IF(AND(ISNUMBER('자료_한국심리'!$A1664),ISNUMBER('자료_한국심리'!$B1664)),'자료_한국심리'!$A1664,"")</f>
        <v/>
      </c>
      <c r="V1680">
        <f>IF(AND(ISNUMBER('자료_한국심리'!$D1664),ISNUMBER('자료_한국심리'!$E1664)),'자료_한국심리'!$D1664,"")</f>
        <v/>
      </c>
      <c r="W1680">
        <f>IF(AND(ISNUMBER('자료_한국심리'!$G1664),ISNUMBER('자료_한국심리'!$H1664)),'자료_한국심리'!$G1664,"")</f>
        <v/>
      </c>
      <c r="X1680">
        <f>IF(AND(ISNUMBER('자료_한국심리'!$J1664),ISNUMBER('자료_한국심리'!$K1664)),'자료_한국심리'!$J1664,"")</f>
        <v/>
      </c>
      <c r="Y1680">
        <f>IF(AND(ISNUMBER('자료_한국심리'!$M1664),ISNUMBER('자료_한국심리'!$N1664)),'자료_한국심리'!$M1664,"")</f>
        <v/>
      </c>
    </row>
    <row r="1681">
      <c r="U1681">
        <f>IF(AND(ISNUMBER('자료_한국심리'!$A1665),ISNUMBER('자료_한국심리'!$B1665)),'자료_한국심리'!$A1665,"")</f>
        <v/>
      </c>
      <c r="V1681">
        <f>IF(AND(ISNUMBER('자료_한국심리'!$D1665),ISNUMBER('자료_한국심리'!$E1665)),'자료_한국심리'!$D1665,"")</f>
        <v/>
      </c>
      <c r="W1681">
        <f>IF(AND(ISNUMBER('자료_한국심리'!$G1665),ISNUMBER('자료_한국심리'!$H1665)),'자료_한국심리'!$G1665,"")</f>
        <v/>
      </c>
      <c r="X1681">
        <f>IF(AND(ISNUMBER('자료_한국심리'!$J1665),ISNUMBER('자료_한국심리'!$K1665)),'자료_한국심리'!$J1665,"")</f>
        <v/>
      </c>
      <c r="Y1681">
        <f>IF(AND(ISNUMBER('자료_한국심리'!$M1665),ISNUMBER('자료_한국심리'!$N1665)),'자료_한국심리'!$M1665,"")</f>
        <v/>
      </c>
    </row>
    <row r="1682">
      <c r="U1682">
        <f>IF(AND(ISNUMBER('자료_한국심리'!$A1666),ISNUMBER('자료_한국심리'!$B1666)),'자료_한국심리'!$A1666,"")</f>
        <v/>
      </c>
      <c r="V1682">
        <f>IF(AND(ISNUMBER('자료_한국심리'!$D1666),ISNUMBER('자료_한국심리'!$E1666)),'자료_한국심리'!$D1666,"")</f>
        <v/>
      </c>
      <c r="W1682">
        <f>IF(AND(ISNUMBER('자료_한국심리'!$G1666),ISNUMBER('자료_한국심리'!$H1666)),'자료_한국심리'!$G1666,"")</f>
        <v/>
      </c>
      <c r="X1682">
        <f>IF(AND(ISNUMBER('자료_한국심리'!$J1666),ISNUMBER('자료_한국심리'!$K1666)),'자료_한국심리'!$J1666,"")</f>
        <v/>
      </c>
      <c r="Y1682">
        <f>IF(AND(ISNUMBER('자료_한국심리'!$M1666),ISNUMBER('자료_한국심리'!$N1666)),'자료_한국심리'!$M1666,"")</f>
        <v/>
      </c>
    </row>
    <row r="1683">
      <c r="U1683">
        <f>IF(AND(ISNUMBER('자료_한국심리'!$A1667),ISNUMBER('자료_한국심리'!$B1667)),'자료_한국심리'!$A1667,"")</f>
        <v/>
      </c>
      <c r="V1683">
        <f>IF(AND(ISNUMBER('자료_한국심리'!$D1667),ISNUMBER('자료_한국심리'!$E1667)),'자료_한국심리'!$D1667,"")</f>
        <v/>
      </c>
      <c r="W1683">
        <f>IF(AND(ISNUMBER('자료_한국심리'!$G1667),ISNUMBER('자료_한국심리'!$H1667)),'자료_한국심리'!$G1667,"")</f>
        <v/>
      </c>
      <c r="X1683">
        <f>IF(AND(ISNUMBER('자료_한국심리'!$J1667),ISNUMBER('자료_한국심리'!$K1667)),'자료_한국심리'!$J1667,"")</f>
        <v/>
      </c>
      <c r="Y1683">
        <f>IF(AND(ISNUMBER('자료_한국심리'!$M1667),ISNUMBER('자료_한국심리'!$N1667)),'자료_한국심리'!$M1667,"")</f>
        <v/>
      </c>
    </row>
    <row r="1684">
      <c r="U1684">
        <f>IF(AND(ISNUMBER('자료_한국심리'!$A1668),ISNUMBER('자료_한국심리'!$B1668)),'자료_한국심리'!$A1668,"")</f>
        <v/>
      </c>
      <c r="V1684">
        <f>IF(AND(ISNUMBER('자료_한국심리'!$D1668),ISNUMBER('자료_한국심리'!$E1668)),'자료_한국심리'!$D1668,"")</f>
        <v/>
      </c>
      <c r="W1684">
        <f>IF(AND(ISNUMBER('자료_한국심리'!$G1668),ISNUMBER('자료_한국심리'!$H1668)),'자료_한국심리'!$G1668,"")</f>
        <v/>
      </c>
      <c r="X1684">
        <f>IF(AND(ISNUMBER('자료_한국심리'!$J1668),ISNUMBER('자료_한국심리'!$K1668)),'자료_한국심리'!$J1668,"")</f>
        <v/>
      </c>
      <c r="Y1684">
        <f>IF(AND(ISNUMBER('자료_한국심리'!$M1668),ISNUMBER('자료_한국심리'!$N1668)),'자료_한국심리'!$M1668,"")</f>
        <v/>
      </c>
    </row>
    <row r="1685">
      <c r="U1685">
        <f>IF(AND(ISNUMBER('자료_한국심리'!$A1669),ISNUMBER('자료_한국심리'!$B1669)),'자료_한국심리'!$A1669,"")</f>
        <v/>
      </c>
      <c r="V1685">
        <f>IF(AND(ISNUMBER('자료_한국심리'!$D1669),ISNUMBER('자료_한국심리'!$E1669)),'자료_한국심리'!$D1669,"")</f>
        <v/>
      </c>
      <c r="W1685">
        <f>IF(AND(ISNUMBER('자료_한국심리'!$G1669),ISNUMBER('자료_한국심리'!$H1669)),'자료_한국심리'!$G1669,"")</f>
        <v/>
      </c>
      <c r="X1685">
        <f>IF(AND(ISNUMBER('자료_한국심리'!$J1669),ISNUMBER('자료_한국심리'!$K1669)),'자료_한국심리'!$J1669,"")</f>
        <v/>
      </c>
      <c r="Y1685">
        <f>IF(AND(ISNUMBER('자료_한국심리'!$M1669),ISNUMBER('자료_한국심리'!$N1669)),'자료_한국심리'!$M1669,"")</f>
        <v/>
      </c>
    </row>
    <row r="1686">
      <c r="U1686">
        <f>IF(AND(ISNUMBER('자료_한국심리'!$A1670),ISNUMBER('자료_한국심리'!$B1670)),'자료_한국심리'!$A1670,"")</f>
        <v/>
      </c>
      <c r="V1686">
        <f>IF(AND(ISNUMBER('자료_한국심리'!$D1670),ISNUMBER('자료_한국심리'!$E1670)),'자료_한국심리'!$D1670,"")</f>
        <v/>
      </c>
      <c r="W1686">
        <f>IF(AND(ISNUMBER('자료_한국심리'!$G1670),ISNUMBER('자료_한국심리'!$H1670)),'자료_한국심리'!$G1670,"")</f>
        <v/>
      </c>
      <c r="X1686">
        <f>IF(AND(ISNUMBER('자료_한국심리'!$J1670),ISNUMBER('자료_한국심리'!$K1670)),'자료_한국심리'!$J1670,"")</f>
        <v/>
      </c>
      <c r="Y1686">
        <f>IF(AND(ISNUMBER('자료_한국심리'!$M1670),ISNUMBER('자료_한국심리'!$N1670)),'자료_한국심리'!$M1670,"")</f>
        <v/>
      </c>
    </row>
    <row r="1687">
      <c r="U1687">
        <f>IF(AND(ISNUMBER('자료_한국심리'!$A1671),ISNUMBER('자료_한국심리'!$B1671)),'자료_한국심리'!$A1671,"")</f>
        <v/>
      </c>
      <c r="V1687">
        <f>IF(AND(ISNUMBER('자료_한국심리'!$D1671),ISNUMBER('자료_한국심리'!$E1671)),'자료_한국심리'!$D1671,"")</f>
        <v/>
      </c>
      <c r="W1687">
        <f>IF(AND(ISNUMBER('자료_한국심리'!$G1671),ISNUMBER('자료_한국심리'!$H1671)),'자료_한국심리'!$G1671,"")</f>
        <v/>
      </c>
      <c r="X1687">
        <f>IF(AND(ISNUMBER('자료_한국심리'!$J1671),ISNUMBER('자료_한국심리'!$K1671)),'자료_한국심리'!$J1671,"")</f>
        <v/>
      </c>
      <c r="Y1687">
        <f>IF(AND(ISNUMBER('자료_한국심리'!$M1671),ISNUMBER('자료_한국심리'!$N1671)),'자료_한국심리'!$M1671,"")</f>
        <v/>
      </c>
    </row>
    <row r="1688">
      <c r="U1688">
        <f>IF(AND(ISNUMBER('자료_한국심리'!$A1672),ISNUMBER('자료_한국심리'!$B1672)),'자료_한국심리'!$A1672,"")</f>
        <v/>
      </c>
      <c r="V1688">
        <f>IF(AND(ISNUMBER('자료_한국심리'!$D1672),ISNUMBER('자료_한국심리'!$E1672)),'자료_한국심리'!$D1672,"")</f>
        <v/>
      </c>
      <c r="W1688">
        <f>IF(AND(ISNUMBER('자료_한국심리'!$G1672),ISNUMBER('자료_한국심리'!$H1672)),'자료_한국심리'!$G1672,"")</f>
        <v/>
      </c>
      <c r="X1688">
        <f>IF(AND(ISNUMBER('자료_한국심리'!$J1672),ISNUMBER('자료_한국심리'!$K1672)),'자료_한국심리'!$J1672,"")</f>
        <v/>
      </c>
      <c r="Y1688">
        <f>IF(AND(ISNUMBER('자료_한국심리'!$M1672),ISNUMBER('자료_한국심리'!$N1672)),'자료_한국심리'!$M1672,"")</f>
        <v/>
      </c>
    </row>
    <row r="1689">
      <c r="U1689">
        <f>IF(AND(ISNUMBER('자료_한국심리'!$A1673),ISNUMBER('자료_한국심리'!$B1673)),'자료_한국심리'!$A1673,"")</f>
        <v/>
      </c>
      <c r="V1689">
        <f>IF(AND(ISNUMBER('자료_한국심리'!$D1673),ISNUMBER('자료_한국심리'!$E1673)),'자료_한국심리'!$D1673,"")</f>
        <v/>
      </c>
      <c r="W1689">
        <f>IF(AND(ISNUMBER('자료_한국심리'!$G1673),ISNUMBER('자료_한국심리'!$H1673)),'자료_한국심리'!$G1673,"")</f>
        <v/>
      </c>
      <c r="X1689">
        <f>IF(AND(ISNUMBER('자료_한국심리'!$J1673),ISNUMBER('자료_한국심리'!$K1673)),'자료_한국심리'!$J1673,"")</f>
        <v/>
      </c>
      <c r="Y1689">
        <f>IF(AND(ISNUMBER('자료_한국심리'!$M1673),ISNUMBER('자료_한국심리'!$N1673)),'자료_한국심리'!$M1673,"")</f>
        <v/>
      </c>
    </row>
    <row r="1690">
      <c r="U1690">
        <f>IF(AND(ISNUMBER('자료_한국심리'!$A1674),ISNUMBER('자료_한국심리'!$B1674)),'자료_한국심리'!$A1674,"")</f>
        <v/>
      </c>
      <c r="V1690">
        <f>IF(AND(ISNUMBER('자료_한국심리'!$D1674),ISNUMBER('자료_한국심리'!$E1674)),'자료_한국심리'!$D1674,"")</f>
        <v/>
      </c>
      <c r="W1690">
        <f>IF(AND(ISNUMBER('자료_한국심리'!$G1674),ISNUMBER('자료_한국심리'!$H1674)),'자료_한국심리'!$G1674,"")</f>
        <v/>
      </c>
      <c r="X1690">
        <f>IF(AND(ISNUMBER('자료_한국심리'!$J1674),ISNUMBER('자료_한국심리'!$K1674)),'자료_한국심리'!$J1674,"")</f>
        <v/>
      </c>
      <c r="Y1690">
        <f>IF(AND(ISNUMBER('자료_한국심리'!$M1674),ISNUMBER('자료_한국심리'!$N1674)),'자료_한국심리'!$M1674,"")</f>
        <v/>
      </c>
    </row>
    <row r="1691">
      <c r="U1691">
        <f>IF(AND(ISNUMBER('자료_한국심리'!$A1675),ISNUMBER('자료_한국심리'!$B1675)),'자료_한국심리'!$A1675,"")</f>
        <v/>
      </c>
      <c r="V1691">
        <f>IF(AND(ISNUMBER('자료_한국심리'!$D1675),ISNUMBER('자료_한국심리'!$E1675)),'자료_한국심리'!$D1675,"")</f>
        <v/>
      </c>
      <c r="W1691">
        <f>IF(AND(ISNUMBER('자료_한국심리'!$G1675),ISNUMBER('자료_한국심리'!$H1675)),'자료_한국심리'!$G1675,"")</f>
        <v/>
      </c>
      <c r="X1691">
        <f>IF(AND(ISNUMBER('자료_한국심리'!$J1675),ISNUMBER('자료_한국심리'!$K1675)),'자료_한국심리'!$J1675,"")</f>
        <v/>
      </c>
      <c r="Y1691">
        <f>IF(AND(ISNUMBER('자료_한국심리'!$M1675),ISNUMBER('자료_한국심리'!$N1675)),'자료_한국심리'!$M1675,"")</f>
        <v/>
      </c>
    </row>
    <row r="1692">
      <c r="U1692">
        <f>IF(AND(ISNUMBER('자료_한국심리'!$A1676),ISNUMBER('자료_한국심리'!$B1676)),'자료_한국심리'!$A1676,"")</f>
        <v/>
      </c>
      <c r="V1692">
        <f>IF(AND(ISNUMBER('자료_한국심리'!$D1676),ISNUMBER('자료_한국심리'!$E1676)),'자료_한국심리'!$D1676,"")</f>
        <v/>
      </c>
      <c r="W1692">
        <f>IF(AND(ISNUMBER('자료_한국심리'!$G1676),ISNUMBER('자료_한국심리'!$H1676)),'자료_한국심리'!$G1676,"")</f>
        <v/>
      </c>
      <c r="X1692">
        <f>IF(AND(ISNUMBER('자료_한국심리'!$J1676),ISNUMBER('자료_한국심리'!$K1676)),'자료_한국심리'!$J1676,"")</f>
        <v/>
      </c>
      <c r="Y1692">
        <f>IF(AND(ISNUMBER('자료_한국심리'!$M1676),ISNUMBER('자료_한국심리'!$N1676)),'자료_한국심리'!$M1676,"")</f>
        <v/>
      </c>
    </row>
    <row r="1693">
      <c r="U1693">
        <f>IF(AND(ISNUMBER('자료_한국심리'!$A1677),ISNUMBER('자료_한국심리'!$B1677)),'자료_한국심리'!$A1677,"")</f>
        <v/>
      </c>
      <c r="V1693">
        <f>IF(AND(ISNUMBER('자료_한국심리'!$D1677),ISNUMBER('자료_한국심리'!$E1677)),'자료_한국심리'!$D1677,"")</f>
        <v/>
      </c>
      <c r="W1693">
        <f>IF(AND(ISNUMBER('자료_한국심리'!$G1677),ISNUMBER('자료_한국심리'!$H1677)),'자료_한국심리'!$G1677,"")</f>
        <v/>
      </c>
      <c r="X1693">
        <f>IF(AND(ISNUMBER('자료_한국심리'!$J1677),ISNUMBER('자료_한국심리'!$K1677)),'자료_한국심리'!$J1677,"")</f>
        <v/>
      </c>
      <c r="Y1693">
        <f>IF(AND(ISNUMBER('자료_한국심리'!$M1677),ISNUMBER('자료_한국심리'!$N1677)),'자료_한국심리'!$M1677,"")</f>
        <v/>
      </c>
    </row>
    <row r="1694">
      <c r="U1694">
        <f>IF(AND(ISNUMBER('자료_한국심리'!$A1678),ISNUMBER('자료_한국심리'!$B1678)),'자료_한국심리'!$A1678,"")</f>
        <v/>
      </c>
      <c r="V1694">
        <f>IF(AND(ISNUMBER('자료_한국심리'!$D1678),ISNUMBER('자료_한국심리'!$E1678)),'자료_한국심리'!$D1678,"")</f>
        <v/>
      </c>
      <c r="W1694">
        <f>IF(AND(ISNUMBER('자료_한국심리'!$G1678),ISNUMBER('자료_한국심리'!$H1678)),'자료_한국심리'!$G1678,"")</f>
        <v/>
      </c>
      <c r="X1694">
        <f>IF(AND(ISNUMBER('자료_한국심리'!$J1678),ISNUMBER('자료_한국심리'!$K1678)),'자료_한국심리'!$J1678,"")</f>
        <v/>
      </c>
      <c r="Y1694">
        <f>IF(AND(ISNUMBER('자료_한국심리'!$M1678),ISNUMBER('자료_한국심리'!$N1678)),'자료_한국심리'!$M1678,"")</f>
        <v/>
      </c>
    </row>
    <row r="1695">
      <c r="U1695">
        <f>IF(AND(ISNUMBER('자료_한국심리'!$A1679),ISNUMBER('자료_한국심리'!$B1679)),'자료_한국심리'!$A1679,"")</f>
        <v/>
      </c>
      <c r="V1695">
        <f>IF(AND(ISNUMBER('자료_한국심리'!$D1679),ISNUMBER('자료_한국심리'!$E1679)),'자료_한국심리'!$D1679,"")</f>
        <v/>
      </c>
      <c r="W1695">
        <f>IF(AND(ISNUMBER('자료_한국심리'!$G1679),ISNUMBER('자료_한국심리'!$H1679)),'자료_한국심리'!$G1679,"")</f>
        <v/>
      </c>
      <c r="X1695">
        <f>IF(AND(ISNUMBER('자료_한국심리'!$J1679),ISNUMBER('자료_한국심리'!$K1679)),'자료_한국심리'!$J1679,"")</f>
        <v/>
      </c>
      <c r="Y1695">
        <f>IF(AND(ISNUMBER('자료_한국심리'!$M1679),ISNUMBER('자료_한국심리'!$N1679)),'자료_한국심리'!$M1679,"")</f>
        <v/>
      </c>
    </row>
    <row r="1696">
      <c r="U1696">
        <f>IF(AND(ISNUMBER('자료_한국심리'!$A1680),ISNUMBER('자료_한국심리'!$B1680)),'자료_한국심리'!$A1680,"")</f>
        <v/>
      </c>
      <c r="V1696">
        <f>IF(AND(ISNUMBER('자료_한국심리'!$D1680),ISNUMBER('자료_한국심리'!$E1680)),'자료_한국심리'!$D1680,"")</f>
        <v/>
      </c>
      <c r="W1696">
        <f>IF(AND(ISNUMBER('자료_한국심리'!$G1680),ISNUMBER('자료_한국심리'!$H1680)),'자료_한국심리'!$G1680,"")</f>
        <v/>
      </c>
      <c r="X1696">
        <f>IF(AND(ISNUMBER('자료_한국심리'!$J1680),ISNUMBER('자료_한국심리'!$K1680)),'자료_한국심리'!$J1680,"")</f>
        <v/>
      </c>
      <c r="Y1696">
        <f>IF(AND(ISNUMBER('자료_한국심리'!$M1680),ISNUMBER('자료_한국심리'!$N1680)),'자료_한국심리'!$M1680,"")</f>
        <v/>
      </c>
    </row>
    <row r="1697">
      <c r="U1697">
        <f>IF(AND(ISNUMBER('자료_한국심리'!$A1681),ISNUMBER('자료_한국심리'!$B1681)),'자료_한국심리'!$A1681,"")</f>
        <v/>
      </c>
      <c r="V1697">
        <f>IF(AND(ISNUMBER('자료_한국심리'!$D1681),ISNUMBER('자료_한국심리'!$E1681)),'자료_한국심리'!$D1681,"")</f>
        <v/>
      </c>
      <c r="W1697">
        <f>IF(AND(ISNUMBER('자료_한국심리'!$G1681),ISNUMBER('자료_한국심리'!$H1681)),'자료_한국심리'!$G1681,"")</f>
        <v/>
      </c>
      <c r="X1697">
        <f>IF(AND(ISNUMBER('자료_한국심리'!$J1681),ISNUMBER('자료_한국심리'!$K1681)),'자료_한국심리'!$J1681,"")</f>
        <v/>
      </c>
      <c r="Y1697">
        <f>IF(AND(ISNUMBER('자료_한국심리'!$M1681),ISNUMBER('자료_한국심리'!$N1681)),'자료_한국심리'!$M1681,"")</f>
        <v/>
      </c>
    </row>
    <row r="1698">
      <c r="U1698">
        <f>IF(AND(ISNUMBER('자료_한국심리'!$A1682),ISNUMBER('자료_한국심리'!$B1682)),'자료_한국심리'!$A1682,"")</f>
        <v/>
      </c>
      <c r="V1698">
        <f>IF(AND(ISNUMBER('자료_한국심리'!$D1682),ISNUMBER('자료_한국심리'!$E1682)),'자료_한국심리'!$D1682,"")</f>
        <v/>
      </c>
      <c r="W1698">
        <f>IF(AND(ISNUMBER('자료_한국심리'!$G1682),ISNUMBER('자료_한국심리'!$H1682)),'자료_한국심리'!$G1682,"")</f>
        <v/>
      </c>
      <c r="X1698">
        <f>IF(AND(ISNUMBER('자료_한국심리'!$J1682),ISNUMBER('자료_한국심리'!$K1682)),'자료_한국심리'!$J1682,"")</f>
        <v/>
      </c>
      <c r="Y1698">
        <f>IF(AND(ISNUMBER('자료_한국심리'!$M1682),ISNUMBER('자료_한국심리'!$N1682)),'자료_한국심리'!$M1682,"")</f>
        <v/>
      </c>
    </row>
    <row r="1699">
      <c r="U1699">
        <f>IF(AND(ISNUMBER('자료_한국심리'!$A1683),ISNUMBER('자료_한국심리'!$B1683)),'자료_한국심리'!$A1683,"")</f>
        <v/>
      </c>
      <c r="V1699">
        <f>IF(AND(ISNUMBER('자료_한국심리'!$D1683),ISNUMBER('자료_한국심리'!$E1683)),'자료_한국심리'!$D1683,"")</f>
        <v/>
      </c>
      <c r="W1699">
        <f>IF(AND(ISNUMBER('자료_한국심리'!$G1683),ISNUMBER('자료_한국심리'!$H1683)),'자료_한국심리'!$G1683,"")</f>
        <v/>
      </c>
      <c r="X1699">
        <f>IF(AND(ISNUMBER('자료_한국심리'!$J1683),ISNUMBER('자료_한국심리'!$K1683)),'자료_한국심리'!$J1683,"")</f>
        <v/>
      </c>
      <c r="Y1699">
        <f>IF(AND(ISNUMBER('자료_한국심리'!$M1683),ISNUMBER('자료_한국심리'!$N1683)),'자료_한국심리'!$M1683,"")</f>
        <v/>
      </c>
    </row>
    <row r="1700">
      <c r="U1700">
        <f>IF(AND(ISNUMBER('자료_한국심리'!$A1684),ISNUMBER('자료_한국심리'!$B1684)),'자료_한국심리'!$A1684,"")</f>
        <v/>
      </c>
      <c r="V1700">
        <f>IF(AND(ISNUMBER('자료_한국심리'!$D1684),ISNUMBER('자료_한국심리'!$E1684)),'자료_한국심리'!$D1684,"")</f>
        <v/>
      </c>
      <c r="W1700">
        <f>IF(AND(ISNUMBER('자료_한국심리'!$G1684),ISNUMBER('자료_한국심리'!$H1684)),'자료_한국심리'!$G1684,"")</f>
        <v/>
      </c>
      <c r="X1700">
        <f>IF(AND(ISNUMBER('자료_한국심리'!$J1684),ISNUMBER('자료_한국심리'!$K1684)),'자료_한국심리'!$J1684,"")</f>
        <v/>
      </c>
      <c r="Y1700">
        <f>IF(AND(ISNUMBER('자료_한국심리'!$M1684),ISNUMBER('자료_한국심리'!$N1684)),'자료_한국심리'!$M1684,"")</f>
        <v/>
      </c>
    </row>
    <row r="1701">
      <c r="U1701">
        <f>IF(AND(ISNUMBER('자료_한국심리'!$A1685),ISNUMBER('자료_한국심리'!$B1685)),'자료_한국심리'!$A1685,"")</f>
        <v/>
      </c>
      <c r="V1701">
        <f>IF(AND(ISNUMBER('자료_한국심리'!$D1685),ISNUMBER('자료_한국심리'!$E1685)),'자료_한국심리'!$D1685,"")</f>
        <v/>
      </c>
      <c r="W1701">
        <f>IF(AND(ISNUMBER('자료_한국심리'!$G1685),ISNUMBER('자료_한국심리'!$H1685)),'자료_한국심리'!$G1685,"")</f>
        <v/>
      </c>
      <c r="X1701">
        <f>IF(AND(ISNUMBER('자료_한국심리'!$J1685),ISNUMBER('자료_한국심리'!$K1685)),'자료_한국심리'!$J1685,"")</f>
        <v/>
      </c>
      <c r="Y1701">
        <f>IF(AND(ISNUMBER('자료_한국심리'!$M1685),ISNUMBER('자료_한국심리'!$N1685)),'자료_한국심리'!$M1685,"")</f>
        <v/>
      </c>
    </row>
    <row r="1702">
      <c r="U1702">
        <f>IF(AND(ISNUMBER('자료_한국심리'!$A1686),ISNUMBER('자료_한국심리'!$B1686)),'자료_한국심리'!$A1686,"")</f>
        <v/>
      </c>
      <c r="V1702">
        <f>IF(AND(ISNUMBER('자료_한국심리'!$D1686),ISNUMBER('자료_한국심리'!$E1686)),'자료_한국심리'!$D1686,"")</f>
        <v/>
      </c>
      <c r="W1702">
        <f>IF(AND(ISNUMBER('자료_한국심리'!$G1686),ISNUMBER('자료_한국심리'!$H1686)),'자료_한국심리'!$G1686,"")</f>
        <v/>
      </c>
      <c r="X1702">
        <f>IF(AND(ISNUMBER('자료_한국심리'!$J1686),ISNUMBER('자료_한국심리'!$K1686)),'자료_한국심리'!$J1686,"")</f>
        <v/>
      </c>
      <c r="Y1702">
        <f>IF(AND(ISNUMBER('자료_한국심리'!$M1686),ISNUMBER('자료_한국심리'!$N1686)),'자료_한국심리'!$M1686,"")</f>
        <v/>
      </c>
    </row>
    <row r="1703">
      <c r="U1703">
        <f>IF(AND(ISNUMBER('자료_한국심리'!$A1687),ISNUMBER('자료_한국심리'!$B1687)),'자료_한국심리'!$A1687,"")</f>
        <v/>
      </c>
      <c r="V1703">
        <f>IF(AND(ISNUMBER('자료_한국심리'!$D1687),ISNUMBER('자료_한국심리'!$E1687)),'자료_한국심리'!$D1687,"")</f>
        <v/>
      </c>
      <c r="W1703">
        <f>IF(AND(ISNUMBER('자료_한국심리'!$G1687),ISNUMBER('자료_한국심리'!$H1687)),'자료_한국심리'!$G1687,"")</f>
        <v/>
      </c>
      <c r="X1703">
        <f>IF(AND(ISNUMBER('자료_한국심리'!$J1687),ISNUMBER('자료_한국심리'!$K1687)),'자료_한국심리'!$J1687,"")</f>
        <v/>
      </c>
      <c r="Y1703">
        <f>IF(AND(ISNUMBER('자료_한국심리'!$M1687),ISNUMBER('자료_한국심리'!$N1687)),'자료_한국심리'!$M1687,"")</f>
        <v/>
      </c>
    </row>
    <row r="1704">
      <c r="U1704">
        <f>IF(AND(ISNUMBER('자료_한국심리'!$A1688),ISNUMBER('자료_한국심리'!$B1688)),'자료_한국심리'!$A1688,"")</f>
        <v/>
      </c>
      <c r="V1704">
        <f>IF(AND(ISNUMBER('자료_한국심리'!$D1688),ISNUMBER('자료_한국심리'!$E1688)),'자료_한국심리'!$D1688,"")</f>
        <v/>
      </c>
      <c r="W1704">
        <f>IF(AND(ISNUMBER('자료_한국심리'!$G1688),ISNUMBER('자료_한국심리'!$H1688)),'자료_한국심리'!$G1688,"")</f>
        <v/>
      </c>
      <c r="X1704">
        <f>IF(AND(ISNUMBER('자료_한국심리'!$J1688),ISNUMBER('자료_한국심리'!$K1688)),'자료_한국심리'!$J1688,"")</f>
        <v/>
      </c>
      <c r="Y1704">
        <f>IF(AND(ISNUMBER('자료_한국심리'!$M1688),ISNUMBER('자료_한국심리'!$N1688)),'자료_한국심리'!$M1688,"")</f>
        <v/>
      </c>
    </row>
    <row r="1705">
      <c r="U1705">
        <f>IF(AND(ISNUMBER('자료_한국심리'!$A1689),ISNUMBER('자료_한국심리'!$B1689)),'자료_한국심리'!$A1689,"")</f>
        <v/>
      </c>
      <c r="V1705">
        <f>IF(AND(ISNUMBER('자료_한국심리'!$D1689),ISNUMBER('자료_한국심리'!$E1689)),'자료_한국심리'!$D1689,"")</f>
        <v/>
      </c>
      <c r="W1705">
        <f>IF(AND(ISNUMBER('자료_한국심리'!$G1689),ISNUMBER('자료_한국심리'!$H1689)),'자료_한국심리'!$G1689,"")</f>
        <v/>
      </c>
      <c r="X1705">
        <f>IF(AND(ISNUMBER('자료_한국심리'!$J1689),ISNUMBER('자료_한국심리'!$K1689)),'자료_한국심리'!$J1689,"")</f>
        <v/>
      </c>
      <c r="Y1705">
        <f>IF(AND(ISNUMBER('자료_한국심리'!$M1689),ISNUMBER('자료_한국심리'!$N1689)),'자료_한국심리'!$M1689,"")</f>
        <v/>
      </c>
    </row>
    <row r="1706">
      <c r="U1706">
        <f>IF(AND(ISNUMBER('자료_한국심리'!$A1690),ISNUMBER('자료_한국심리'!$B1690)),'자료_한국심리'!$A1690,"")</f>
        <v/>
      </c>
      <c r="V1706">
        <f>IF(AND(ISNUMBER('자료_한국심리'!$D1690),ISNUMBER('자료_한국심리'!$E1690)),'자료_한국심리'!$D1690,"")</f>
        <v/>
      </c>
      <c r="W1706">
        <f>IF(AND(ISNUMBER('자료_한국심리'!$G1690),ISNUMBER('자료_한국심리'!$H1690)),'자료_한국심리'!$G1690,"")</f>
        <v/>
      </c>
      <c r="X1706">
        <f>IF(AND(ISNUMBER('자료_한국심리'!$J1690),ISNUMBER('자료_한국심리'!$K1690)),'자료_한국심리'!$J1690,"")</f>
        <v/>
      </c>
      <c r="Y1706">
        <f>IF(AND(ISNUMBER('자료_한국심리'!$M1690),ISNUMBER('자료_한국심리'!$N1690)),'자료_한국심리'!$M1690,"")</f>
        <v/>
      </c>
    </row>
    <row r="1707">
      <c r="U1707">
        <f>IF(AND(ISNUMBER('자료_한국심리'!$A1691),ISNUMBER('자료_한국심리'!$B1691)),'자료_한국심리'!$A1691,"")</f>
        <v/>
      </c>
      <c r="V1707">
        <f>IF(AND(ISNUMBER('자료_한국심리'!$D1691),ISNUMBER('자료_한국심리'!$E1691)),'자료_한국심리'!$D1691,"")</f>
        <v/>
      </c>
      <c r="W1707">
        <f>IF(AND(ISNUMBER('자료_한국심리'!$G1691),ISNUMBER('자료_한국심리'!$H1691)),'자료_한국심리'!$G1691,"")</f>
        <v/>
      </c>
      <c r="X1707">
        <f>IF(AND(ISNUMBER('자료_한국심리'!$J1691),ISNUMBER('자료_한국심리'!$K1691)),'자료_한국심리'!$J1691,"")</f>
        <v/>
      </c>
      <c r="Y1707">
        <f>IF(AND(ISNUMBER('자료_한국심리'!$M1691),ISNUMBER('자료_한국심리'!$N1691)),'자료_한국심리'!$M1691,"")</f>
        <v/>
      </c>
    </row>
    <row r="1708">
      <c r="U1708">
        <f>IF(AND(ISNUMBER('자료_한국심리'!$A1692),ISNUMBER('자료_한국심리'!$B1692)),'자료_한국심리'!$A1692,"")</f>
        <v/>
      </c>
      <c r="V1708">
        <f>IF(AND(ISNUMBER('자료_한국심리'!$D1692),ISNUMBER('자료_한국심리'!$E1692)),'자료_한국심리'!$D1692,"")</f>
        <v/>
      </c>
      <c r="W1708">
        <f>IF(AND(ISNUMBER('자료_한국심리'!$G1692),ISNUMBER('자료_한국심리'!$H1692)),'자료_한국심리'!$G1692,"")</f>
        <v/>
      </c>
      <c r="X1708">
        <f>IF(AND(ISNUMBER('자료_한국심리'!$J1692),ISNUMBER('자료_한국심리'!$K1692)),'자료_한국심리'!$J1692,"")</f>
        <v/>
      </c>
      <c r="Y1708">
        <f>IF(AND(ISNUMBER('자료_한국심리'!$M1692),ISNUMBER('자료_한국심리'!$N1692)),'자료_한국심리'!$M1692,"")</f>
        <v/>
      </c>
    </row>
    <row r="1709">
      <c r="U1709">
        <f>IF(AND(ISNUMBER('자료_한국심리'!$A1693),ISNUMBER('자료_한국심리'!$B1693)),'자료_한국심리'!$A1693,"")</f>
        <v/>
      </c>
      <c r="V1709">
        <f>IF(AND(ISNUMBER('자료_한국심리'!$D1693),ISNUMBER('자료_한국심리'!$E1693)),'자료_한국심리'!$D1693,"")</f>
        <v/>
      </c>
      <c r="W1709">
        <f>IF(AND(ISNUMBER('자료_한국심리'!$G1693),ISNUMBER('자료_한국심리'!$H1693)),'자료_한국심리'!$G1693,"")</f>
        <v/>
      </c>
      <c r="X1709">
        <f>IF(AND(ISNUMBER('자료_한국심리'!$J1693),ISNUMBER('자료_한국심리'!$K1693)),'자료_한국심리'!$J1693,"")</f>
        <v/>
      </c>
      <c r="Y1709">
        <f>IF(AND(ISNUMBER('자료_한국심리'!$M1693),ISNUMBER('자료_한국심리'!$N1693)),'자료_한국심리'!$M1693,"")</f>
        <v/>
      </c>
    </row>
    <row r="1710">
      <c r="U1710">
        <f>IF(AND(ISNUMBER('자료_한국심리'!$A1694),ISNUMBER('자료_한국심리'!$B1694)),'자료_한국심리'!$A1694,"")</f>
        <v/>
      </c>
      <c r="V1710">
        <f>IF(AND(ISNUMBER('자료_한국심리'!$D1694),ISNUMBER('자료_한국심리'!$E1694)),'자료_한국심리'!$D1694,"")</f>
        <v/>
      </c>
      <c r="W1710">
        <f>IF(AND(ISNUMBER('자료_한국심리'!$G1694),ISNUMBER('자료_한국심리'!$H1694)),'자료_한국심리'!$G1694,"")</f>
        <v/>
      </c>
      <c r="X1710">
        <f>IF(AND(ISNUMBER('자료_한국심리'!$J1694),ISNUMBER('자료_한국심리'!$K1694)),'자료_한국심리'!$J1694,"")</f>
        <v/>
      </c>
      <c r="Y1710">
        <f>IF(AND(ISNUMBER('자료_한국심리'!$M1694),ISNUMBER('자료_한국심리'!$N1694)),'자료_한국심리'!$M1694,"")</f>
        <v/>
      </c>
    </row>
    <row r="1711">
      <c r="U1711">
        <f>IF(AND(ISNUMBER('자료_한국심리'!$A1695),ISNUMBER('자료_한국심리'!$B1695)),'자료_한국심리'!$A1695,"")</f>
        <v/>
      </c>
      <c r="V1711">
        <f>IF(AND(ISNUMBER('자료_한국심리'!$D1695),ISNUMBER('자료_한국심리'!$E1695)),'자료_한국심리'!$D1695,"")</f>
        <v/>
      </c>
      <c r="W1711">
        <f>IF(AND(ISNUMBER('자료_한국심리'!$G1695),ISNUMBER('자료_한국심리'!$H1695)),'자료_한국심리'!$G1695,"")</f>
        <v/>
      </c>
      <c r="X1711">
        <f>IF(AND(ISNUMBER('자료_한국심리'!$J1695),ISNUMBER('자료_한국심리'!$K1695)),'자료_한국심리'!$J1695,"")</f>
        <v/>
      </c>
      <c r="Y1711">
        <f>IF(AND(ISNUMBER('자료_한국심리'!$M1695),ISNUMBER('자료_한국심리'!$N1695)),'자료_한국심리'!$M1695,"")</f>
        <v/>
      </c>
    </row>
    <row r="1712">
      <c r="U1712">
        <f>IF(AND(ISNUMBER('자료_한국심리'!$A1696),ISNUMBER('자료_한국심리'!$B1696)),'자료_한국심리'!$A1696,"")</f>
        <v/>
      </c>
      <c r="V1712">
        <f>IF(AND(ISNUMBER('자료_한국심리'!$D1696),ISNUMBER('자료_한국심리'!$E1696)),'자료_한국심리'!$D1696,"")</f>
        <v/>
      </c>
      <c r="W1712">
        <f>IF(AND(ISNUMBER('자료_한국심리'!$G1696),ISNUMBER('자료_한국심리'!$H1696)),'자료_한국심리'!$G1696,"")</f>
        <v/>
      </c>
      <c r="X1712">
        <f>IF(AND(ISNUMBER('자료_한국심리'!$J1696),ISNUMBER('자료_한국심리'!$K1696)),'자료_한국심리'!$J1696,"")</f>
        <v/>
      </c>
      <c r="Y1712">
        <f>IF(AND(ISNUMBER('자료_한국심리'!$M1696),ISNUMBER('자료_한국심리'!$N1696)),'자료_한국심리'!$M1696,"")</f>
        <v/>
      </c>
    </row>
    <row r="1713">
      <c r="U1713">
        <f>IF(AND(ISNUMBER('자료_한국심리'!$A1697),ISNUMBER('자료_한국심리'!$B1697)),'자료_한국심리'!$A1697,"")</f>
        <v/>
      </c>
      <c r="V1713">
        <f>IF(AND(ISNUMBER('자료_한국심리'!$D1697),ISNUMBER('자료_한국심리'!$E1697)),'자료_한국심리'!$D1697,"")</f>
        <v/>
      </c>
      <c r="W1713">
        <f>IF(AND(ISNUMBER('자료_한국심리'!$G1697),ISNUMBER('자료_한국심리'!$H1697)),'자료_한국심리'!$G1697,"")</f>
        <v/>
      </c>
      <c r="X1713">
        <f>IF(AND(ISNUMBER('자료_한국심리'!$J1697),ISNUMBER('자료_한국심리'!$K1697)),'자료_한국심리'!$J1697,"")</f>
        <v/>
      </c>
      <c r="Y1713">
        <f>IF(AND(ISNUMBER('자료_한국심리'!$M1697),ISNUMBER('자료_한국심리'!$N1697)),'자료_한국심리'!$M1697,"")</f>
        <v/>
      </c>
    </row>
    <row r="1714">
      <c r="U1714">
        <f>IF(AND(ISNUMBER('자료_한국심리'!$A1698),ISNUMBER('자료_한국심리'!$B1698)),'자료_한국심리'!$A1698,"")</f>
        <v/>
      </c>
      <c r="V1714">
        <f>IF(AND(ISNUMBER('자료_한국심리'!$D1698),ISNUMBER('자료_한국심리'!$E1698)),'자료_한국심리'!$D1698,"")</f>
        <v/>
      </c>
      <c r="W1714">
        <f>IF(AND(ISNUMBER('자료_한국심리'!$G1698),ISNUMBER('자료_한국심리'!$H1698)),'자료_한국심리'!$G1698,"")</f>
        <v/>
      </c>
      <c r="X1714">
        <f>IF(AND(ISNUMBER('자료_한국심리'!$J1698),ISNUMBER('자료_한국심리'!$K1698)),'자료_한국심리'!$J1698,"")</f>
        <v/>
      </c>
      <c r="Y1714">
        <f>IF(AND(ISNUMBER('자료_한국심리'!$M1698),ISNUMBER('자료_한국심리'!$N1698)),'자료_한국심리'!$M1698,"")</f>
        <v/>
      </c>
    </row>
    <row r="1715">
      <c r="U1715">
        <f>IF(AND(ISNUMBER('자료_한국심리'!$A1699),ISNUMBER('자료_한국심리'!$B1699)),'자료_한국심리'!$A1699,"")</f>
        <v/>
      </c>
      <c r="V1715">
        <f>IF(AND(ISNUMBER('자료_한국심리'!$D1699),ISNUMBER('자료_한국심리'!$E1699)),'자료_한국심리'!$D1699,"")</f>
        <v/>
      </c>
      <c r="W1715">
        <f>IF(AND(ISNUMBER('자료_한국심리'!$G1699),ISNUMBER('자료_한국심리'!$H1699)),'자료_한국심리'!$G1699,"")</f>
        <v/>
      </c>
      <c r="X1715">
        <f>IF(AND(ISNUMBER('자료_한국심리'!$J1699),ISNUMBER('자료_한국심리'!$K1699)),'자료_한국심리'!$J1699,"")</f>
        <v/>
      </c>
      <c r="Y1715">
        <f>IF(AND(ISNUMBER('자료_한국심리'!$M1699),ISNUMBER('자료_한국심리'!$N1699)),'자료_한국심리'!$M1699,"")</f>
        <v/>
      </c>
    </row>
    <row r="1716">
      <c r="U1716">
        <f>IF(AND(ISNUMBER('자료_한국심리'!$A1700),ISNUMBER('자료_한국심리'!$B1700)),'자료_한국심리'!$A1700,"")</f>
        <v/>
      </c>
      <c r="V1716">
        <f>IF(AND(ISNUMBER('자료_한국심리'!$D1700),ISNUMBER('자료_한국심리'!$E1700)),'자료_한국심리'!$D1700,"")</f>
        <v/>
      </c>
      <c r="W1716">
        <f>IF(AND(ISNUMBER('자료_한국심리'!$G1700),ISNUMBER('자료_한국심리'!$H1700)),'자료_한국심리'!$G1700,"")</f>
        <v/>
      </c>
      <c r="X1716">
        <f>IF(AND(ISNUMBER('자료_한국심리'!$J1700),ISNUMBER('자료_한국심리'!$K1700)),'자료_한국심리'!$J1700,"")</f>
        <v/>
      </c>
      <c r="Y1716">
        <f>IF(AND(ISNUMBER('자료_한국심리'!$M1700),ISNUMBER('자료_한국심리'!$N1700)),'자료_한국심리'!$M1700,"")</f>
        <v/>
      </c>
    </row>
    <row r="1717">
      <c r="U1717">
        <f>IF(AND(ISNUMBER('자료_한국심리'!$A1701),ISNUMBER('자료_한국심리'!$B1701)),'자료_한국심리'!$A1701,"")</f>
        <v/>
      </c>
      <c r="V1717">
        <f>IF(AND(ISNUMBER('자료_한국심리'!$D1701),ISNUMBER('자료_한국심리'!$E1701)),'자료_한국심리'!$D1701,"")</f>
        <v/>
      </c>
      <c r="W1717">
        <f>IF(AND(ISNUMBER('자료_한국심리'!$G1701),ISNUMBER('자료_한국심리'!$H1701)),'자료_한국심리'!$G1701,"")</f>
        <v/>
      </c>
      <c r="X1717">
        <f>IF(AND(ISNUMBER('자료_한국심리'!$J1701),ISNUMBER('자료_한국심리'!$K1701)),'자료_한국심리'!$J1701,"")</f>
        <v/>
      </c>
      <c r="Y1717">
        <f>IF(AND(ISNUMBER('자료_한국심리'!$M1701),ISNUMBER('자료_한국심리'!$N1701)),'자료_한국심리'!$M1701,"")</f>
        <v/>
      </c>
    </row>
    <row r="1718">
      <c r="U1718">
        <f>IF(AND(ISNUMBER('자료_한국심리'!$A1702),ISNUMBER('자료_한국심리'!$B1702)),'자료_한국심리'!$A1702,"")</f>
        <v/>
      </c>
      <c r="V1718">
        <f>IF(AND(ISNUMBER('자료_한국심리'!$D1702),ISNUMBER('자료_한국심리'!$E1702)),'자료_한국심리'!$D1702,"")</f>
        <v/>
      </c>
      <c r="W1718">
        <f>IF(AND(ISNUMBER('자료_한국심리'!$G1702),ISNUMBER('자료_한국심리'!$H1702)),'자료_한국심리'!$G1702,"")</f>
        <v/>
      </c>
      <c r="X1718">
        <f>IF(AND(ISNUMBER('자료_한국심리'!$J1702),ISNUMBER('자료_한국심리'!$K1702)),'자료_한국심리'!$J1702,"")</f>
        <v/>
      </c>
      <c r="Y1718">
        <f>IF(AND(ISNUMBER('자료_한국심리'!$M1702),ISNUMBER('자료_한국심리'!$N1702)),'자료_한국심리'!$M1702,"")</f>
        <v/>
      </c>
    </row>
    <row r="1719">
      <c r="U1719">
        <f>IF(AND(ISNUMBER('자료_한국심리'!$A1703),ISNUMBER('자료_한국심리'!$B1703)),'자료_한국심리'!$A1703,"")</f>
        <v/>
      </c>
      <c r="V1719">
        <f>IF(AND(ISNUMBER('자료_한국심리'!$D1703),ISNUMBER('자료_한국심리'!$E1703)),'자료_한국심리'!$D1703,"")</f>
        <v/>
      </c>
      <c r="W1719">
        <f>IF(AND(ISNUMBER('자료_한국심리'!$G1703),ISNUMBER('자료_한국심리'!$H1703)),'자료_한국심리'!$G1703,"")</f>
        <v/>
      </c>
      <c r="X1719">
        <f>IF(AND(ISNUMBER('자료_한국심리'!$J1703),ISNUMBER('자료_한국심리'!$K1703)),'자료_한국심리'!$J1703,"")</f>
        <v/>
      </c>
      <c r="Y1719">
        <f>IF(AND(ISNUMBER('자료_한국심리'!$M1703),ISNUMBER('자료_한국심리'!$N1703)),'자료_한국심리'!$M1703,"")</f>
        <v/>
      </c>
    </row>
    <row r="1720">
      <c r="U1720">
        <f>IF(AND(ISNUMBER('자료_한국심리'!$A1704),ISNUMBER('자료_한국심리'!$B1704)),'자료_한국심리'!$A1704,"")</f>
        <v/>
      </c>
      <c r="V1720">
        <f>IF(AND(ISNUMBER('자료_한국심리'!$D1704),ISNUMBER('자료_한국심리'!$E1704)),'자료_한국심리'!$D1704,"")</f>
        <v/>
      </c>
      <c r="W1720">
        <f>IF(AND(ISNUMBER('자료_한국심리'!$G1704),ISNUMBER('자료_한국심리'!$H1704)),'자료_한국심리'!$G1704,"")</f>
        <v/>
      </c>
      <c r="X1720">
        <f>IF(AND(ISNUMBER('자료_한국심리'!$J1704),ISNUMBER('자료_한국심리'!$K1704)),'자료_한국심리'!$J1704,"")</f>
        <v/>
      </c>
      <c r="Y1720">
        <f>IF(AND(ISNUMBER('자료_한국심리'!$M1704),ISNUMBER('자료_한국심리'!$N1704)),'자료_한국심리'!$M1704,"")</f>
        <v/>
      </c>
    </row>
    <row r="1721">
      <c r="U1721">
        <f>IF(AND(ISNUMBER('자료_한국심리'!$A1705),ISNUMBER('자료_한국심리'!$B1705)),'자료_한국심리'!$A1705,"")</f>
        <v/>
      </c>
      <c r="V1721">
        <f>IF(AND(ISNUMBER('자료_한국심리'!$D1705),ISNUMBER('자료_한국심리'!$E1705)),'자료_한국심리'!$D1705,"")</f>
        <v/>
      </c>
      <c r="W1721">
        <f>IF(AND(ISNUMBER('자료_한국심리'!$G1705),ISNUMBER('자료_한국심리'!$H1705)),'자료_한국심리'!$G1705,"")</f>
        <v/>
      </c>
      <c r="X1721">
        <f>IF(AND(ISNUMBER('자료_한국심리'!$J1705),ISNUMBER('자료_한국심리'!$K1705)),'자료_한국심리'!$J1705,"")</f>
        <v/>
      </c>
      <c r="Y1721">
        <f>IF(AND(ISNUMBER('자료_한국심리'!$M1705),ISNUMBER('자료_한국심리'!$N1705)),'자료_한국심리'!$M1705,"")</f>
        <v/>
      </c>
    </row>
    <row r="1722">
      <c r="U1722">
        <f>IF(AND(ISNUMBER('자료_한국심리'!$A1706),ISNUMBER('자료_한국심리'!$B1706)),'자료_한국심리'!$A1706,"")</f>
        <v/>
      </c>
      <c r="V1722">
        <f>IF(AND(ISNUMBER('자료_한국심리'!$D1706),ISNUMBER('자료_한국심리'!$E1706)),'자료_한국심리'!$D1706,"")</f>
        <v/>
      </c>
      <c r="W1722">
        <f>IF(AND(ISNUMBER('자료_한국심리'!$G1706),ISNUMBER('자료_한국심리'!$H1706)),'자료_한국심리'!$G1706,"")</f>
        <v/>
      </c>
      <c r="X1722">
        <f>IF(AND(ISNUMBER('자료_한국심리'!$J1706),ISNUMBER('자료_한국심리'!$K1706)),'자료_한국심리'!$J1706,"")</f>
        <v/>
      </c>
      <c r="Y1722">
        <f>IF(AND(ISNUMBER('자료_한국심리'!$M1706),ISNUMBER('자료_한국심리'!$N1706)),'자료_한국심리'!$M1706,"")</f>
        <v/>
      </c>
    </row>
    <row r="1723">
      <c r="U1723">
        <f>IF(AND(ISNUMBER('자료_한국심리'!$A1707),ISNUMBER('자료_한국심리'!$B1707)),'자료_한국심리'!$A1707,"")</f>
        <v/>
      </c>
      <c r="V1723">
        <f>IF(AND(ISNUMBER('자료_한국심리'!$D1707),ISNUMBER('자료_한국심리'!$E1707)),'자료_한국심리'!$D1707,"")</f>
        <v/>
      </c>
      <c r="W1723">
        <f>IF(AND(ISNUMBER('자료_한국심리'!$G1707),ISNUMBER('자료_한국심리'!$H1707)),'자료_한국심리'!$G1707,"")</f>
        <v/>
      </c>
      <c r="X1723">
        <f>IF(AND(ISNUMBER('자료_한국심리'!$J1707),ISNUMBER('자료_한국심리'!$K1707)),'자료_한국심리'!$J1707,"")</f>
        <v/>
      </c>
      <c r="Y1723">
        <f>IF(AND(ISNUMBER('자료_한국심리'!$M1707),ISNUMBER('자료_한국심리'!$N1707)),'자료_한국심리'!$M1707,"")</f>
        <v/>
      </c>
    </row>
    <row r="1724">
      <c r="U1724">
        <f>IF(AND(ISNUMBER('자료_한국심리'!$A1708),ISNUMBER('자료_한국심리'!$B1708)),'자료_한국심리'!$A1708,"")</f>
        <v/>
      </c>
      <c r="V1724">
        <f>IF(AND(ISNUMBER('자료_한국심리'!$D1708),ISNUMBER('자료_한국심리'!$E1708)),'자료_한국심리'!$D1708,"")</f>
        <v/>
      </c>
      <c r="W1724">
        <f>IF(AND(ISNUMBER('자료_한국심리'!$G1708),ISNUMBER('자료_한국심리'!$H1708)),'자료_한국심리'!$G1708,"")</f>
        <v/>
      </c>
      <c r="X1724">
        <f>IF(AND(ISNUMBER('자료_한국심리'!$J1708),ISNUMBER('자료_한국심리'!$K1708)),'자료_한국심리'!$J1708,"")</f>
        <v/>
      </c>
      <c r="Y1724">
        <f>IF(AND(ISNUMBER('자료_한국심리'!$M1708),ISNUMBER('자료_한국심리'!$N1708)),'자료_한국심리'!$M1708,"")</f>
        <v/>
      </c>
    </row>
    <row r="1725">
      <c r="U1725">
        <f>IF(AND(ISNUMBER('자료_한국심리'!$A1709),ISNUMBER('자료_한국심리'!$B1709)),'자료_한국심리'!$A1709,"")</f>
        <v/>
      </c>
      <c r="V1725">
        <f>IF(AND(ISNUMBER('자료_한국심리'!$D1709),ISNUMBER('자료_한국심리'!$E1709)),'자료_한국심리'!$D1709,"")</f>
        <v/>
      </c>
      <c r="W1725">
        <f>IF(AND(ISNUMBER('자료_한국심리'!$G1709),ISNUMBER('자료_한국심리'!$H1709)),'자료_한국심리'!$G1709,"")</f>
        <v/>
      </c>
      <c r="X1725">
        <f>IF(AND(ISNUMBER('자료_한국심리'!$J1709),ISNUMBER('자료_한국심리'!$K1709)),'자료_한국심리'!$J1709,"")</f>
        <v/>
      </c>
      <c r="Y1725">
        <f>IF(AND(ISNUMBER('자료_한국심리'!$M1709),ISNUMBER('자료_한국심리'!$N1709)),'자료_한국심리'!$M1709,"")</f>
        <v/>
      </c>
    </row>
    <row r="1726">
      <c r="U1726">
        <f>IF(AND(ISNUMBER('자료_한국심리'!$A1710),ISNUMBER('자료_한국심리'!$B1710)),'자료_한국심리'!$A1710,"")</f>
        <v/>
      </c>
      <c r="V1726">
        <f>IF(AND(ISNUMBER('자료_한국심리'!$D1710),ISNUMBER('자료_한국심리'!$E1710)),'자료_한국심리'!$D1710,"")</f>
        <v/>
      </c>
      <c r="W1726">
        <f>IF(AND(ISNUMBER('자료_한국심리'!$G1710),ISNUMBER('자료_한국심리'!$H1710)),'자료_한국심리'!$G1710,"")</f>
        <v/>
      </c>
      <c r="X1726">
        <f>IF(AND(ISNUMBER('자료_한국심리'!$J1710),ISNUMBER('자료_한국심리'!$K1710)),'자료_한국심리'!$J1710,"")</f>
        <v/>
      </c>
      <c r="Y1726">
        <f>IF(AND(ISNUMBER('자료_한국심리'!$M1710),ISNUMBER('자료_한국심리'!$N1710)),'자료_한국심리'!$M1710,"")</f>
        <v/>
      </c>
    </row>
    <row r="1727">
      <c r="U1727">
        <f>IF(AND(ISNUMBER('자료_한국심리'!$A1711),ISNUMBER('자료_한국심리'!$B1711)),'자료_한국심리'!$A1711,"")</f>
        <v/>
      </c>
      <c r="V1727">
        <f>IF(AND(ISNUMBER('자료_한국심리'!$D1711),ISNUMBER('자료_한국심리'!$E1711)),'자료_한국심리'!$D1711,"")</f>
        <v/>
      </c>
      <c r="W1727">
        <f>IF(AND(ISNUMBER('자료_한국심리'!$G1711),ISNUMBER('자료_한국심리'!$H1711)),'자료_한국심리'!$G1711,"")</f>
        <v/>
      </c>
      <c r="X1727">
        <f>IF(AND(ISNUMBER('자료_한국심리'!$J1711),ISNUMBER('자료_한국심리'!$K1711)),'자료_한국심리'!$J1711,"")</f>
        <v/>
      </c>
      <c r="Y1727">
        <f>IF(AND(ISNUMBER('자료_한국심리'!$M1711),ISNUMBER('자료_한국심리'!$N1711)),'자료_한국심리'!$M1711,"")</f>
        <v/>
      </c>
    </row>
    <row r="1728">
      <c r="U1728">
        <f>IF(AND(ISNUMBER('자료_한국심리'!$A1712),ISNUMBER('자료_한국심리'!$B1712)),'자료_한국심리'!$A1712,"")</f>
        <v/>
      </c>
      <c r="V1728">
        <f>IF(AND(ISNUMBER('자료_한국심리'!$D1712),ISNUMBER('자료_한국심리'!$E1712)),'자료_한국심리'!$D1712,"")</f>
        <v/>
      </c>
      <c r="W1728">
        <f>IF(AND(ISNUMBER('자료_한국심리'!$G1712),ISNUMBER('자료_한국심리'!$H1712)),'자료_한국심리'!$G1712,"")</f>
        <v/>
      </c>
      <c r="X1728">
        <f>IF(AND(ISNUMBER('자료_한국심리'!$J1712),ISNUMBER('자료_한국심리'!$K1712)),'자료_한국심리'!$J1712,"")</f>
        <v/>
      </c>
      <c r="Y1728">
        <f>IF(AND(ISNUMBER('자료_한국심리'!$M1712),ISNUMBER('자료_한국심리'!$N1712)),'자료_한국심리'!$M1712,"")</f>
        <v/>
      </c>
    </row>
    <row r="1729">
      <c r="U1729">
        <f>IF(AND(ISNUMBER('자료_한국심리'!$A1713),ISNUMBER('자료_한국심리'!$B1713)),'자료_한국심리'!$A1713,"")</f>
        <v/>
      </c>
      <c r="V1729">
        <f>IF(AND(ISNUMBER('자료_한국심리'!$D1713),ISNUMBER('자료_한국심리'!$E1713)),'자료_한국심리'!$D1713,"")</f>
        <v/>
      </c>
      <c r="W1729">
        <f>IF(AND(ISNUMBER('자료_한국심리'!$G1713),ISNUMBER('자료_한국심리'!$H1713)),'자료_한국심리'!$G1713,"")</f>
        <v/>
      </c>
      <c r="X1729">
        <f>IF(AND(ISNUMBER('자료_한국심리'!$J1713),ISNUMBER('자료_한국심리'!$K1713)),'자료_한국심리'!$J1713,"")</f>
        <v/>
      </c>
      <c r="Y1729">
        <f>IF(AND(ISNUMBER('자료_한국심리'!$M1713),ISNUMBER('자료_한국심리'!$N1713)),'자료_한국심리'!$M1713,"")</f>
        <v/>
      </c>
    </row>
    <row r="1730">
      <c r="U1730">
        <f>IF(AND(ISNUMBER('자료_한국심리'!$A1714),ISNUMBER('자료_한국심리'!$B1714)),'자료_한국심리'!$A1714,"")</f>
        <v/>
      </c>
      <c r="V1730">
        <f>IF(AND(ISNUMBER('자료_한국심리'!$D1714),ISNUMBER('자료_한국심리'!$E1714)),'자료_한국심리'!$D1714,"")</f>
        <v/>
      </c>
      <c r="W1730">
        <f>IF(AND(ISNUMBER('자료_한국심리'!$G1714),ISNUMBER('자료_한국심리'!$H1714)),'자료_한국심리'!$G1714,"")</f>
        <v/>
      </c>
      <c r="X1730">
        <f>IF(AND(ISNUMBER('자료_한국심리'!$J1714),ISNUMBER('자료_한국심리'!$K1714)),'자료_한국심리'!$J1714,"")</f>
        <v/>
      </c>
      <c r="Y1730">
        <f>IF(AND(ISNUMBER('자료_한국심리'!$M1714),ISNUMBER('자료_한국심리'!$N1714)),'자료_한국심리'!$M1714,"")</f>
        <v/>
      </c>
    </row>
    <row r="1731">
      <c r="U1731">
        <f>IF(AND(ISNUMBER('자료_한국심리'!$A1715),ISNUMBER('자료_한국심리'!$B1715)),'자료_한국심리'!$A1715,"")</f>
        <v/>
      </c>
      <c r="V1731">
        <f>IF(AND(ISNUMBER('자료_한국심리'!$D1715),ISNUMBER('자료_한국심리'!$E1715)),'자료_한국심리'!$D1715,"")</f>
        <v/>
      </c>
      <c r="W1731">
        <f>IF(AND(ISNUMBER('자료_한국심리'!$G1715),ISNUMBER('자료_한국심리'!$H1715)),'자료_한국심리'!$G1715,"")</f>
        <v/>
      </c>
      <c r="X1731">
        <f>IF(AND(ISNUMBER('자료_한국심리'!$J1715),ISNUMBER('자료_한국심리'!$K1715)),'자료_한국심리'!$J1715,"")</f>
        <v/>
      </c>
      <c r="Y1731">
        <f>IF(AND(ISNUMBER('자료_한국심리'!$M1715),ISNUMBER('자료_한국심리'!$N1715)),'자료_한국심리'!$M1715,"")</f>
        <v/>
      </c>
    </row>
    <row r="1732">
      <c r="U1732">
        <f>IF(AND(ISNUMBER('자료_한국심리'!$A1716),ISNUMBER('자료_한국심리'!$B1716)),'자료_한국심리'!$A1716,"")</f>
        <v/>
      </c>
      <c r="V1732">
        <f>IF(AND(ISNUMBER('자료_한국심리'!$D1716),ISNUMBER('자료_한국심리'!$E1716)),'자료_한국심리'!$D1716,"")</f>
        <v/>
      </c>
      <c r="W1732">
        <f>IF(AND(ISNUMBER('자료_한국심리'!$G1716),ISNUMBER('자료_한국심리'!$H1716)),'자료_한국심리'!$G1716,"")</f>
        <v/>
      </c>
      <c r="X1732">
        <f>IF(AND(ISNUMBER('자료_한국심리'!$J1716),ISNUMBER('자료_한국심리'!$K1716)),'자료_한국심리'!$J1716,"")</f>
        <v/>
      </c>
      <c r="Y1732">
        <f>IF(AND(ISNUMBER('자료_한국심리'!$M1716),ISNUMBER('자료_한국심리'!$N1716)),'자료_한국심리'!$M1716,"")</f>
        <v/>
      </c>
    </row>
    <row r="1733">
      <c r="U1733">
        <f>IF(AND(ISNUMBER('자료_한국심리'!$A1717),ISNUMBER('자료_한국심리'!$B1717)),'자료_한국심리'!$A1717,"")</f>
        <v/>
      </c>
      <c r="V1733">
        <f>IF(AND(ISNUMBER('자료_한국심리'!$D1717),ISNUMBER('자료_한국심리'!$E1717)),'자료_한국심리'!$D1717,"")</f>
        <v/>
      </c>
      <c r="W1733">
        <f>IF(AND(ISNUMBER('자료_한국심리'!$G1717),ISNUMBER('자료_한국심리'!$H1717)),'자료_한국심리'!$G1717,"")</f>
        <v/>
      </c>
      <c r="X1733">
        <f>IF(AND(ISNUMBER('자료_한국심리'!$J1717),ISNUMBER('자료_한국심리'!$K1717)),'자료_한국심리'!$J1717,"")</f>
        <v/>
      </c>
      <c r="Y1733">
        <f>IF(AND(ISNUMBER('자료_한국심리'!$M1717),ISNUMBER('자료_한국심리'!$N1717)),'자료_한국심리'!$M1717,"")</f>
        <v/>
      </c>
    </row>
    <row r="1734">
      <c r="U1734">
        <f>IF(AND(ISNUMBER('자료_한국심리'!$A1718),ISNUMBER('자료_한국심리'!$B1718)),'자료_한국심리'!$A1718,"")</f>
        <v/>
      </c>
      <c r="V1734">
        <f>IF(AND(ISNUMBER('자료_한국심리'!$D1718),ISNUMBER('자료_한국심리'!$E1718)),'자료_한국심리'!$D1718,"")</f>
        <v/>
      </c>
      <c r="W1734">
        <f>IF(AND(ISNUMBER('자료_한국심리'!$G1718),ISNUMBER('자료_한국심리'!$H1718)),'자료_한국심리'!$G1718,"")</f>
        <v/>
      </c>
      <c r="X1734">
        <f>IF(AND(ISNUMBER('자료_한국심리'!$J1718),ISNUMBER('자료_한국심리'!$K1718)),'자료_한국심리'!$J1718,"")</f>
        <v/>
      </c>
      <c r="Y1734">
        <f>IF(AND(ISNUMBER('자료_한국심리'!$M1718),ISNUMBER('자료_한국심리'!$N1718)),'자료_한국심리'!$M1718,"")</f>
        <v/>
      </c>
    </row>
    <row r="1735">
      <c r="U1735">
        <f>IF(AND(ISNUMBER('자료_한국심리'!$A1719),ISNUMBER('자료_한국심리'!$B1719)),'자료_한국심리'!$A1719,"")</f>
        <v/>
      </c>
      <c r="V1735">
        <f>IF(AND(ISNUMBER('자료_한국심리'!$D1719),ISNUMBER('자료_한국심리'!$E1719)),'자료_한국심리'!$D1719,"")</f>
        <v/>
      </c>
      <c r="W1735">
        <f>IF(AND(ISNUMBER('자료_한국심리'!$G1719),ISNUMBER('자료_한국심리'!$H1719)),'자료_한국심리'!$G1719,"")</f>
        <v/>
      </c>
      <c r="X1735">
        <f>IF(AND(ISNUMBER('자료_한국심리'!$J1719),ISNUMBER('자료_한국심리'!$K1719)),'자료_한국심리'!$J1719,"")</f>
        <v/>
      </c>
      <c r="Y1735">
        <f>IF(AND(ISNUMBER('자료_한국심리'!$M1719),ISNUMBER('자료_한국심리'!$N1719)),'자료_한국심리'!$M1719,"")</f>
        <v/>
      </c>
    </row>
    <row r="1736">
      <c r="U1736">
        <f>IF(AND(ISNUMBER('자료_한국심리'!$A1720),ISNUMBER('자료_한국심리'!$B1720)),'자료_한국심리'!$A1720,"")</f>
        <v/>
      </c>
      <c r="V1736">
        <f>IF(AND(ISNUMBER('자료_한국심리'!$D1720),ISNUMBER('자료_한국심리'!$E1720)),'자료_한국심리'!$D1720,"")</f>
        <v/>
      </c>
      <c r="W1736">
        <f>IF(AND(ISNUMBER('자료_한국심리'!$G1720),ISNUMBER('자료_한국심리'!$H1720)),'자료_한국심리'!$G1720,"")</f>
        <v/>
      </c>
      <c r="X1736">
        <f>IF(AND(ISNUMBER('자료_한국심리'!$J1720),ISNUMBER('자료_한국심리'!$K1720)),'자료_한국심리'!$J1720,"")</f>
        <v/>
      </c>
      <c r="Y1736">
        <f>IF(AND(ISNUMBER('자료_한국심리'!$M1720),ISNUMBER('자료_한국심리'!$N1720)),'자료_한국심리'!$M1720,"")</f>
        <v/>
      </c>
    </row>
    <row r="1737">
      <c r="U1737">
        <f>IF(AND(ISNUMBER('자료_한국심리'!$A1721),ISNUMBER('자료_한국심리'!$B1721)),'자료_한국심리'!$A1721,"")</f>
        <v/>
      </c>
      <c r="V1737">
        <f>IF(AND(ISNUMBER('자료_한국심리'!$D1721),ISNUMBER('자료_한국심리'!$E1721)),'자료_한국심리'!$D1721,"")</f>
        <v/>
      </c>
      <c r="W1737">
        <f>IF(AND(ISNUMBER('자료_한국심리'!$G1721),ISNUMBER('자료_한국심리'!$H1721)),'자료_한국심리'!$G1721,"")</f>
        <v/>
      </c>
      <c r="X1737">
        <f>IF(AND(ISNUMBER('자료_한국심리'!$J1721),ISNUMBER('자료_한국심리'!$K1721)),'자료_한국심리'!$J1721,"")</f>
        <v/>
      </c>
      <c r="Y1737">
        <f>IF(AND(ISNUMBER('자료_한국심리'!$M1721),ISNUMBER('자료_한국심리'!$N1721)),'자료_한국심리'!$M1721,"")</f>
        <v/>
      </c>
    </row>
    <row r="1738">
      <c r="U1738">
        <f>IF(AND(ISNUMBER('자료_한국심리'!$A1722),ISNUMBER('자료_한국심리'!$B1722)),'자료_한국심리'!$A1722,"")</f>
        <v/>
      </c>
      <c r="V1738">
        <f>IF(AND(ISNUMBER('자료_한국심리'!$D1722),ISNUMBER('자료_한국심리'!$E1722)),'자료_한국심리'!$D1722,"")</f>
        <v/>
      </c>
      <c r="W1738">
        <f>IF(AND(ISNUMBER('자료_한국심리'!$G1722),ISNUMBER('자료_한국심리'!$H1722)),'자료_한국심리'!$G1722,"")</f>
        <v/>
      </c>
      <c r="X1738">
        <f>IF(AND(ISNUMBER('자료_한국심리'!$J1722),ISNUMBER('자료_한국심리'!$K1722)),'자료_한국심리'!$J1722,"")</f>
        <v/>
      </c>
      <c r="Y1738">
        <f>IF(AND(ISNUMBER('자료_한국심리'!$M1722),ISNUMBER('자료_한국심리'!$N1722)),'자료_한국심리'!$M1722,"")</f>
        <v/>
      </c>
    </row>
    <row r="1739">
      <c r="U1739">
        <f>IF(AND(ISNUMBER('자료_한국심리'!$A1723),ISNUMBER('자료_한국심리'!$B1723)),'자료_한국심리'!$A1723,"")</f>
        <v/>
      </c>
      <c r="V1739">
        <f>IF(AND(ISNUMBER('자료_한국심리'!$D1723),ISNUMBER('자료_한국심리'!$E1723)),'자료_한국심리'!$D1723,"")</f>
        <v/>
      </c>
      <c r="W1739">
        <f>IF(AND(ISNUMBER('자료_한국심리'!$G1723),ISNUMBER('자료_한국심리'!$H1723)),'자료_한국심리'!$G1723,"")</f>
        <v/>
      </c>
      <c r="X1739">
        <f>IF(AND(ISNUMBER('자료_한국심리'!$J1723),ISNUMBER('자료_한국심리'!$K1723)),'자료_한국심리'!$J1723,"")</f>
        <v/>
      </c>
      <c r="Y1739">
        <f>IF(AND(ISNUMBER('자료_한국심리'!$M1723),ISNUMBER('자료_한국심리'!$N1723)),'자료_한국심리'!$M1723,"")</f>
        <v/>
      </c>
    </row>
    <row r="1740">
      <c r="U1740">
        <f>IF(AND(ISNUMBER('자료_한국심리'!$A1724),ISNUMBER('자료_한국심리'!$B1724)),'자료_한국심리'!$A1724,"")</f>
        <v/>
      </c>
      <c r="V1740">
        <f>IF(AND(ISNUMBER('자료_한국심리'!$D1724),ISNUMBER('자료_한국심리'!$E1724)),'자료_한국심리'!$D1724,"")</f>
        <v/>
      </c>
      <c r="W1740">
        <f>IF(AND(ISNUMBER('자료_한국심리'!$G1724),ISNUMBER('자료_한국심리'!$H1724)),'자료_한국심리'!$G1724,"")</f>
        <v/>
      </c>
      <c r="X1740">
        <f>IF(AND(ISNUMBER('자료_한국심리'!$J1724),ISNUMBER('자료_한국심리'!$K1724)),'자료_한국심리'!$J1724,"")</f>
        <v/>
      </c>
      <c r="Y1740">
        <f>IF(AND(ISNUMBER('자료_한국심리'!$M1724),ISNUMBER('자료_한국심리'!$N1724)),'자료_한국심리'!$M1724,"")</f>
        <v/>
      </c>
    </row>
    <row r="1741">
      <c r="U1741">
        <f>IF(AND(ISNUMBER('자료_한국심리'!$A1725),ISNUMBER('자료_한국심리'!$B1725)),'자료_한국심리'!$A1725,"")</f>
        <v/>
      </c>
      <c r="V1741">
        <f>IF(AND(ISNUMBER('자료_한국심리'!$D1725),ISNUMBER('자료_한국심리'!$E1725)),'자료_한국심리'!$D1725,"")</f>
        <v/>
      </c>
      <c r="W1741">
        <f>IF(AND(ISNUMBER('자료_한국심리'!$G1725),ISNUMBER('자료_한국심리'!$H1725)),'자료_한국심리'!$G1725,"")</f>
        <v/>
      </c>
      <c r="X1741">
        <f>IF(AND(ISNUMBER('자료_한국심리'!$J1725),ISNUMBER('자료_한국심리'!$K1725)),'자료_한국심리'!$J1725,"")</f>
        <v/>
      </c>
      <c r="Y1741">
        <f>IF(AND(ISNUMBER('자료_한국심리'!$M1725),ISNUMBER('자료_한국심리'!$N1725)),'자료_한국심리'!$M1725,"")</f>
        <v/>
      </c>
    </row>
    <row r="1742">
      <c r="U1742">
        <f>IF(AND(ISNUMBER('자료_한국심리'!$A1726),ISNUMBER('자료_한국심리'!$B1726)),'자료_한국심리'!$A1726,"")</f>
        <v/>
      </c>
      <c r="V1742">
        <f>IF(AND(ISNUMBER('자료_한국심리'!$D1726),ISNUMBER('자료_한국심리'!$E1726)),'자료_한국심리'!$D1726,"")</f>
        <v/>
      </c>
      <c r="W1742">
        <f>IF(AND(ISNUMBER('자료_한국심리'!$G1726),ISNUMBER('자료_한국심리'!$H1726)),'자료_한국심리'!$G1726,"")</f>
        <v/>
      </c>
      <c r="X1742">
        <f>IF(AND(ISNUMBER('자료_한국심리'!$J1726),ISNUMBER('자료_한국심리'!$K1726)),'자료_한국심리'!$J1726,"")</f>
        <v/>
      </c>
      <c r="Y1742">
        <f>IF(AND(ISNUMBER('자료_한국심리'!$M1726),ISNUMBER('자료_한국심리'!$N1726)),'자료_한국심리'!$M1726,"")</f>
        <v/>
      </c>
    </row>
    <row r="1743">
      <c r="U1743">
        <f>IF(AND(ISNUMBER('자료_한국심리'!$A1727),ISNUMBER('자료_한국심리'!$B1727)),'자료_한국심리'!$A1727,"")</f>
        <v/>
      </c>
      <c r="V1743">
        <f>IF(AND(ISNUMBER('자료_한국심리'!$D1727),ISNUMBER('자료_한국심리'!$E1727)),'자료_한국심리'!$D1727,"")</f>
        <v/>
      </c>
      <c r="W1743">
        <f>IF(AND(ISNUMBER('자료_한국심리'!$G1727),ISNUMBER('자료_한국심리'!$H1727)),'자료_한국심리'!$G1727,"")</f>
        <v/>
      </c>
      <c r="X1743">
        <f>IF(AND(ISNUMBER('자료_한국심리'!$J1727),ISNUMBER('자료_한국심리'!$K1727)),'자료_한국심리'!$J1727,"")</f>
        <v/>
      </c>
      <c r="Y1743">
        <f>IF(AND(ISNUMBER('자료_한국심리'!$M1727),ISNUMBER('자료_한국심리'!$N1727)),'자료_한국심리'!$M1727,"")</f>
        <v/>
      </c>
    </row>
    <row r="1744">
      <c r="U1744">
        <f>IF(AND(ISNUMBER('자료_한국심리'!$A1728),ISNUMBER('자료_한국심리'!$B1728)),'자료_한국심리'!$A1728,"")</f>
        <v/>
      </c>
      <c r="V1744">
        <f>IF(AND(ISNUMBER('자료_한국심리'!$D1728),ISNUMBER('자료_한국심리'!$E1728)),'자료_한국심리'!$D1728,"")</f>
        <v/>
      </c>
      <c r="W1744">
        <f>IF(AND(ISNUMBER('자료_한국심리'!$G1728),ISNUMBER('자료_한국심리'!$H1728)),'자료_한국심리'!$G1728,"")</f>
        <v/>
      </c>
      <c r="X1744">
        <f>IF(AND(ISNUMBER('자료_한국심리'!$J1728),ISNUMBER('자료_한국심리'!$K1728)),'자료_한국심리'!$J1728,"")</f>
        <v/>
      </c>
      <c r="Y1744">
        <f>IF(AND(ISNUMBER('자료_한국심리'!$M1728),ISNUMBER('자료_한국심리'!$N1728)),'자료_한국심리'!$M1728,"")</f>
        <v/>
      </c>
    </row>
    <row r="1745">
      <c r="U1745">
        <f>IF(AND(ISNUMBER('자료_한국심리'!$A1729),ISNUMBER('자료_한국심리'!$B1729)),'자료_한국심리'!$A1729,"")</f>
        <v/>
      </c>
      <c r="V1745">
        <f>IF(AND(ISNUMBER('자료_한국심리'!$D1729),ISNUMBER('자료_한국심리'!$E1729)),'자료_한국심리'!$D1729,"")</f>
        <v/>
      </c>
      <c r="W1745">
        <f>IF(AND(ISNUMBER('자료_한국심리'!$G1729),ISNUMBER('자료_한국심리'!$H1729)),'자료_한국심리'!$G1729,"")</f>
        <v/>
      </c>
      <c r="X1745">
        <f>IF(AND(ISNUMBER('자료_한국심리'!$J1729),ISNUMBER('자료_한국심리'!$K1729)),'자료_한국심리'!$J1729,"")</f>
        <v/>
      </c>
      <c r="Y1745">
        <f>IF(AND(ISNUMBER('자료_한국심리'!$M1729),ISNUMBER('자료_한국심리'!$N1729)),'자료_한국심리'!$M1729,"")</f>
        <v/>
      </c>
    </row>
    <row r="1746">
      <c r="U1746">
        <f>IF(AND(ISNUMBER('자료_한국심리'!$A1730),ISNUMBER('자료_한국심리'!$B1730)),'자료_한국심리'!$A1730,"")</f>
        <v/>
      </c>
      <c r="V1746">
        <f>IF(AND(ISNUMBER('자료_한국심리'!$D1730),ISNUMBER('자료_한국심리'!$E1730)),'자료_한국심리'!$D1730,"")</f>
        <v/>
      </c>
      <c r="W1746">
        <f>IF(AND(ISNUMBER('자료_한국심리'!$G1730),ISNUMBER('자료_한국심리'!$H1730)),'자료_한국심리'!$G1730,"")</f>
        <v/>
      </c>
      <c r="X1746">
        <f>IF(AND(ISNUMBER('자료_한국심리'!$J1730),ISNUMBER('자료_한국심리'!$K1730)),'자료_한국심리'!$J1730,"")</f>
        <v/>
      </c>
      <c r="Y1746">
        <f>IF(AND(ISNUMBER('자료_한국심리'!$M1730),ISNUMBER('자료_한국심리'!$N1730)),'자료_한국심리'!$M1730,"")</f>
        <v/>
      </c>
    </row>
    <row r="1747">
      <c r="U1747">
        <f>IF(AND(ISNUMBER('자료_한국심리'!$A1731),ISNUMBER('자료_한국심리'!$B1731)),'자료_한국심리'!$A1731,"")</f>
        <v/>
      </c>
      <c r="V1747">
        <f>IF(AND(ISNUMBER('자료_한국심리'!$D1731),ISNUMBER('자료_한국심리'!$E1731)),'자료_한국심리'!$D1731,"")</f>
        <v/>
      </c>
      <c r="W1747">
        <f>IF(AND(ISNUMBER('자료_한국심리'!$G1731),ISNUMBER('자료_한국심리'!$H1731)),'자료_한국심리'!$G1731,"")</f>
        <v/>
      </c>
      <c r="X1747">
        <f>IF(AND(ISNUMBER('자료_한국심리'!$J1731),ISNUMBER('자료_한국심리'!$K1731)),'자료_한국심리'!$J1731,"")</f>
        <v/>
      </c>
      <c r="Y1747">
        <f>IF(AND(ISNUMBER('자료_한국심리'!$M1731),ISNUMBER('자료_한국심리'!$N1731)),'자료_한국심리'!$M1731,"")</f>
        <v/>
      </c>
    </row>
    <row r="1748">
      <c r="U1748">
        <f>IF(AND(ISNUMBER('자료_한국심리'!$A1732),ISNUMBER('자료_한국심리'!$B1732)),'자료_한국심리'!$A1732,"")</f>
        <v/>
      </c>
      <c r="V1748">
        <f>IF(AND(ISNUMBER('자료_한국심리'!$D1732),ISNUMBER('자료_한국심리'!$E1732)),'자료_한국심리'!$D1732,"")</f>
        <v/>
      </c>
      <c r="W1748">
        <f>IF(AND(ISNUMBER('자료_한국심리'!$G1732),ISNUMBER('자료_한국심리'!$H1732)),'자료_한국심리'!$G1732,"")</f>
        <v/>
      </c>
      <c r="X1748">
        <f>IF(AND(ISNUMBER('자료_한국심리'!$J1732),ISNUMBER('자료_한국심리'!$K1732)),'자료_한국심리'!$J1732,"")</f>
        <v/>
      </c>
      <c r="Y1748">
        <f>IF(AND(ISNUMBER('자료_한국심리'!$M1732),ISNUMBER('자료_한국심리'!$N1732)),'자료_한국심리'!$M1732,"")</f>
        <v/>
      </c>
    </row>
    <row r="1749">
      <c r="U1749">
        <f>IF(AND(ISNUMBER('자료_한국심리'!$A1733),ISNUMBER('자료_한국심리'!$B1733)),'자료_한국심리'!$A1733,"")</f>
        <v/>
      </c>
      <c r="V1749">
        <f>IF(AND(ISNUMBER('자료_한국심리'!$D1733),ISNUMBER('자료_한국심리'!$E1733)),'자료_한국심리'!$D1733,"")</f>
        <v/>
      </c>
      <c r="W1749">
        <f>IF(AND(ISNUMBER('자료_한국심리'!$G1733),ISNUMBER('자료_한국심리'!$H1733)),'자료_한국심리'!$G1733,"")</f>
        <v/>
      </c>
      <c r="X1749">
        <f>IF(AND(ISNUMBER('자료_한국심리'!$J1733),ISNUMBER('자료_한국심리'!$K1733)),'자료_한국심리'!$J1733,"")</f>
        <v/>
      </c>
      <c r="Y1749">
        <f>IF(AND(ISNUMBER('자료_한국심리'!$M1733),ISNUMBER('자료_한국심리'!$N1733)),'자료_한국심리'!$M1733,"")</f>
        <v/>
      </c>
    </row>
    <row r="1750">
      <c r="U1750">
        <f>IF(AND(ISNUMBER('자료_한국심리'!$A1734),ISNUMBER('자료_한국심리'!$B1734)),'자료_한국심리'!$A1734,"")</f>
        <v/>
      </c>
      <c r="V1750">
        <f>IF(AND(ISNUMBER('자료_한국심리'!$D1734),ISNUMBER('자료_한국심리'!$E1734)),'자료_한국심리'!$D1734,"")</f>
        <v/>
      </c>
      <c r="W1750">
        <f>IF(AND(ISNUMBER('자료_한국심리'!$G1734),ISNUMBER('자료_한국심리'!$H1734)),'자료_한국심리'!$G1734,"")</f>
        <v/>
      </c>
      <c r="X1750">
        <f>IF(AND(ISNUMBER('자료_한국심리'!$J1734),ISNUMBER('자료_한국심리'!$K1734)),'자료_한국심리'!$J1734,"")</f>
        <v/>
      </c>
      <c r="Y1750">
        <f>IF(AND(ISNUMBER('자료_한국심리'!$M1734),ISNUMBER('자료_한국심리'!$N1734)),'자료_한국심리'!$M1734,"")</f>
        <v/>
      </c>
    </row>
    <row r="1751">
      <c r="U1751">
        <f>IF(AND(ISNUMBER('자료_한국심리'!$A1735),ISNUMBER('자료_한국심리'!$B1735)),'자료_한국심리'!$A1735,"")</f>
        <v/>
      </c>
      <c r="V1751">
        <f>IF(AND(ISNUMBER('자료_한국심리'!$D1735),ISNUMBER('자료_한국심리'!$E1735)),'자료_한국심리'!$D1735,"")</f>
        <v/>
      </c>
      <c r="W1751">
        <f>IF(AND(ISNUMBER('자료_한국심리'!$G1735),ISNUMBER('자료_한국심리'!$H1735)),'자료_한국심리'!$G1735,"")</f>
        <v/>
      </c>
      <c r="X1751">
        <f>IF(AND(ISNUMBER('자료_한국심리'!$J1735),ISNUMBER('자료_한국심리'!$K1735)),'자료_한국심리'!$J1735,"")</f>
        <v/>
      </c>
      <c r="Y1751">
        <f>IF(AND(ISNUMBER('자료_한국심리'!$M1735),ISNUMBER('자료_한국심리'!$N1735)),'자료_한국심리'!$M1735,"")</f>
        <v/>
      </c>
    </row>
    <row r="1752">
      <c r="U1752">
        <f>IF(AND(ISNUMBER('자료_한국심리'!$A1736),ISNUMBER('자료_한국심리'!$B1736)),'자료_한국심리'!$A1736,"")</f>
        <v/>
      </c>
      <c r="V1752">
        <f>IF(AND(ISNUMBER('자료_한국심리'!$D1736),ISNUMBER('자료_한국심리'!$E1736)),'자료_한국심리'!$D1736,"")</f>
        <v/>
      </c>
      <c r="W1752">
        <f>IF(AND(ISNUMBER('자료_한국심리'!$G1736),ISNUMBER('자료_한국심리'!$H1736)),'자료_한국심리'!$G1736,"")</f>
        <v/>
      </c>
      <c r="X1752">
        <f>IF(AND(ISNUMBER('자료_한국심리'!$J1736),ISNUMBER('자료_한국심리'!$K1736)),'자료_한국심리'!$J1736,"")</f>
        <v/>
      </c>
      <c r="Y1752">
        <f>IF(AND(ISNUMBER('자료_한국심리'!$M1736),ISNUMBER('자료_한국심리'!$N1736)),'자료_한국심리'!$M1736,"")</f>
        <v/>
      </c>
    </row>
    <row r="1753">
      <c r="U1753">
        <f>IF(AND(ISNUMBER('자료_한국심리'!$A1737),ISNUMBER('자료_한국심리'!$B1737)),'자료_한국심리'!$A1737,"")</f>
        <v/>
      </c>
      <c r="V1753">
        <f>IF(AND(ISNUMBER('자료_한국심리'!$D1737),ISNUMBER('자료_한국심리'!$E1737)),'자료_한국심리'!$D1737,"")</f>
        <v/>
      </c>
      <c r="W1753">
        <f>IF(AND(ISNUMBER('자료_한국심리'!$G1737),ISNUMBER('자료_한국심리'!$H1737)),'자료_한국심리'!$G1737,"")</f>
        <v/>
      </c>
      <c r="X1753">
        <f>IF(AND(ISNUMBER('자료_한국심리'!$J1737),ISNUMBER('자료_한국심리'!$K1737)),'자료_한국심리'!$J1737,"")</f>
        <v/>
      </c>
      <c r="Y1753">
        <f>IF(AND(ISNUMBER('자료_한국심리'!$M1737),ISNUMBER('자료_한국심리'!$N1737)),'자료_한국심리'!$M1737,"")</f>
        <v/>
      </c>
    </row>
    <row r="1754">
      <c r="U1754">
        <f>IF(AND(ISNUMBER('자료_한국심리'!$A1738),ISNUMBER('자료_한국심리'!$B1738)),'자료_한국심리'!$A1738,"")</f>
        <v/>
      </c>
      <c r="V1754">
        <f>IF(AND(ISNUMBER('자료_한국심리'!$D1738),ISNUMBER('자료_한국심리'!$E1738)),'자료_한국심리'!$D1738,"")</f>
        <v/>
      </c>
      <c r="W1754">
        <f>IF(AND(ISNUMBER('자료_한국심리'!$G1738),ISNUMBER('자료_한국심리'!$H1738)),'자료_한국심리'!$G1738,"")</f>
        <v/>
      </c>
      <c r="X1754">
        <f>IF(AND(ISNUMBER('자료_한국심리'!$J1738),ISNUMBER('자료_한국심리'!$K1738)),'자료_한국심리'!$J1738,"")</f>
        <v/>
      </c>
      <c r="Y1754">
        <f>IF(AND(ISNUMBER('자료_한국심리'!$M1738),ISNUMBER('자료_한국심리'!$N1738)),'자료_한국심리'!$M1738,"")</f>
        <v/>
      </c>
    </row>
    <row r="1755">
      <c r="U1755">
        <f>IF(AND(ISNUMBER('자료_한국심리'!$A1739),ISNUMBER('자료_한국심리'!$B1739)),'자료_한국심리'!$A1739,"")</f>
        <v/>
      </c>
      <c r="V1755">
        <f>IF(AND(ISNUMBER('자료_한국심리'!$D1739),ISNUMBER('자료_한국심리'!$E1739)),'자료_한국심리'!$D1739,"")</f>
        <v/>
      </c>
      <c r="W1755">
        <f>IF(AND(ISNUMBER('자료_한국심리'!$G1739),ISNUMBER('자료_한국심리'!$H1739)),'자료_한국심리'!$G1739,"")</f>
        <v/>
      </c>
      <c r="X1755">
        <f>IF(AND(ISNUMBER('자료_한국심리'!$J1739),ISNUMBER('자료_한국심리'!$K1739)),'자료_한국심리'!$J1739,"")</f>
        <v/>
      </c>
      <c r="Y1755">
        <f>IF(AND(ISNUMBER('자료_한국심리'!$M1739),ISNUMBER('자료_한국심리'!$N1739)),'자료_한국심리'!$M1739,"")</f>
        <v/>
      </c>
    </row>
    <row r="1756">
      <c r="U1756">
        <f>IF(AND(ISNUMBER('자료_한국심리'!$A1740),ISNUMBER('자료_한국심리'!$B1740)),'자료_한국심리'!$A1740,"")</f>
        <v/>
      </c>
      <c r="V1756">
        <f>IF(AND(ISNUMBER('자료_한국심리'!$D1740),ISNUMBER('자료_한국심리'!$E1740)),'자료_한국심리'!$D1740,"")</f>
        <v/>
      </c>
      <c r="W1756">
        <f>IF(AND(ISNUMBER('자료_한국심리'!$G1740),ISNUMBER('자료_한국심리'!$H1740)),'자료_한국심리'!$G1740,"")</f>
        <v/>
      </c>
      <c r="X1756">
        <f>IF(AND(ISNUMBER('자료_한국심리'!$J1740),ISNUMBER('자료_한국심리'!$K1740)),'자료_한국심리'!$J1740,"")</f>
        <v/>
      </c>
      <c r="Y1756">
        <f>IF(AND(ISNUMBER('자료_한국심리'!$M1740),ISNUMBER('자료_한국심리'!$N1740)),'자료_한국심리'!$M1740,"")</f>
        <v/>
      </c>
    </row>
    <row r="1757">
      <c r="U1757">
        <f>IF(AND(ISNUMBER('자료_한국심리'!$A1741),ISNUMBER('자료_한국심리'!$B1741)),'자료_한국심리'!$A1741,"")</f>
        <v/>
      </c>
      <c r="V1757">
        <f>IF(AND(ISNUMBER('자료_한국심리'!$D1741),ISNUMBER('자료_한국심리'!$E1741)),'자료_한국심리'!$D1741,"")</f>
        <v/>
      </c>
      <c r="W1757">
        <f>IF(AND(ISNUMBER('자료_한국심리'!$G1741),ISNUMBER('자료_한국심리'!$H1741)),'자료_한국심리'!$G1741,"")</f>
        <v/>
      </c>
      <c r="X1757">
        <f>IF(AND(ISNUMBER('자료_한국심리'!$J1741),ISNUMBER('자료_한국심리'!$K1741)),'자료_한국심리'!$J1741,"")</f>
        <v/>
      </c>
      <c r="Y1757">
        <f>IF(AND(ISNUMBER('자료_한국심리'!$M1741),ISNUMBER('자료_한국심리'!$N1741)),'자료_한국심리'!$M1741,"")</f>
        <v/>
      </c>
    </row>
    <row r="1758">
      <c r="U1758">
        <f>IF(AND(ISNUMBER('자료_한국심리'!$A1742),ISNUMBER('자료_한국심리'!$B1742)),'자료_한국심리'!$A1742,"")</f>
        <v/>
      </c>
      <c r="V1758">
        <f>IF(AND(ISNUMBER('자료_한국심리'!$D1742),ISNUMBER('자료_한국심리'!$E1742)),'자료_한국심리'!$D1742,"")</f>
        <v/>
      </c>
      <c r="W1758">
        <f>IF(AND(ISNUMBER('자료_한국심리'!$G1742),ISNUMBER('자료_한국심리'!$H1742)),'자료_한국심리'!$G1742,"")</f>
        <v/>
      </c>
      <c r="X1758">
        <f>IF(AND(ISNUMBER('자료_한국심리'!$J1742),ISNUMBER('자료_한국심리'!$K1742)),'자료_한국심리'!$J1742,"")</f>
        <v/>
      </c>
      <c r="Y1758">
        <f>IF(AND(ISNUMBER('자료_한국심리'!$M1742),ISNUMBER('자료_한국심리'!$N1742)),'자료_한국심리'!$M1742,"")</f>
        <v/>
      </c>
    </row>
    <row r="1759">
      <c r="U1759">
        <f>IF(AND(ISNUMBER('자료_한국심리'!$A1743),ISNUMBER('자료_한국심리'!$B1743)),'자료_한국심리'!$A1743,"")</f>
        <v/>
      </c>
      <c r="V1759">
        <f>IF(AND(ISNUMBER('자료_한국심리'!$D1743),ISNUMBER('자료_한국심리'!$E1743)),'자료_한국심리'!$D1743,"")</f>
        <v/>
      </c>
      <c r="W1759">
        <f>IF(AND(ISNUMBER('자료_한국심리'!$G1743),ISNUMBER('자료_한국심리'!$H1743)),'자료_한국심리'!$G1743,"")</f>
        <v/>
      </c>
      <c r="X1759">
        <f>IF(AND(ISNUMBER('자료_한국심리'!$J1743),ISNUMBER('자료_한국심리'!$K1743)),'자료_한국심리'!$J1743,"")</f>
        <v/>
      </c>
      <c r="Y1759">
        <f>IF(AND(ISNUMBER('자료_한국심리'!$M1743),ISNUMBER('자료_한국심리'!$N1743)),'자료_한국심리'!$M1743,"")</f>
        <v/>
      </c>
    </row>
    <row r="1760">
      <c r="U1760">
        <f>IF(AND(ISNUMBER('자료_한국심리'!$A1744),ISNUMBER('자료_한국심리'!$B1744)),'자료_한국심리'!$A1744,"")</f>
        <v/>
      </c>
      <c r="V1760">
        <f>IF(AND(ISNUMBER('자료_한국심리'!$D1744),ISNUMBER('자료_한국심리'!$E1744)),'자료_한국심리'!$D1744,"")</f>
        <v/>
      </c>
      <c r="W1760">
        <f>IF(AND(ISNUMBER('자료_한국심리'!$G1744),ISNUMBER('자료_한국심리'!$H1744)),'자료_한국심리'!$G1744,"")</f>
        <v/>
      </c>
      <c r="X1760">
        <f>IF(AND(ISNUMBER('자료_한국심리'!$J1744),ISNUMBER('자료_한국심리'!$K1744)),'자료_한국심리'!$J1744,"")</f>
        <v/>
      </c>
      <c r="Y1760">
        <f>IF(AND(ISNUMBER('자료_한국심리'!$M1744),ISNUMBER('자료_한국심리'!$N1744)),'자료_한국심리'!$M1744,"")</f>
        <v/>
      </c>
    </row>
    <row r="1761">
      <c r="U1761">
        <f>IF(AND(ISNUMBER('자료_한국심리'!$A1745),ISNUMBER('자료_한국심리'!$B1745)),'자료_한국심리'!$A1745,"")</f>
        <v/>
      </c>
      <c r="V1761">
        <f>IF(AND(ISNUMBER('자료_한국심리'!$D1745),ISNUMBER('자료_한국심리'!$E1745)),'자료_한국심리'!$D1745,"")</f>
        <v/>
      </c>
      <c r="W1761">
        <f>IF(AND(ISNUMBER('자료_한국심리'!$G1745),ISNUMBER('자료_한국심리'!$H1745)),'자료_한국심리'!$G1745,"")</f>
        <v/>
      </c>
      <c r="X1761">
        <f>IF(AND(ISNUMBER('자료_한국심리'!$J1745),ISNUMBER('자료_한국심리'!$K1745)),'자료_한국심리'!$J1745,"")</f>
        <v/>
      </c>
      <c r="Y1761">
        <f>IF(AND(ISNUMBER('자료_한국심리'!$M1745),ISNUMBER('자료_한국심리'!$N1745)),'자료_한국심리'!$M1745,"")</f>
        <v/>
      </c>
    </row>
    <row r="1762">
      <c r="U1762">
        <f>IF(AND(ISNUMBER('자료_한국심리'!$A1746),ISNUMBER('자료_한국심리'!$B1746)),'자료_한국심리'!$A1746,"")</f>
        <v/>
      </c>
      <c r="V1762">
        <f>IF(AND(ISNUMBER('자료_한국심리'!$D1746),ISNUMBER('자료_한국심리'!$E1746)),'자료_한국심리'!$D1746,"")</f>
        <v/>
      </c>
      <c r="W1762">
        <f>IF(AND(ISNUMBER('자료_한국심리'!$G1746),ISNUMBER('자료_한국심리'!$H1746)),'자료_한국심리'!$G1746,"")</f>
        <v/>
      </c>
      <c r="X1762">
        <f>IF(AND(ISNUMBER('자료_한국심리'!$J1746),ISNUMBER('자료_한국심리'!$K1746)),'자료_한국심리'!$J1746,"")</f>
        <v/>
      </c>
      <c r="Y1762">
        <f>IF(AND(ISNUMBER('자료_한국심리'!$M1746),ISNUMBER('자료_한국심리'!$N1746)),'자료_한국심리'!$M1746,"")</f>
        <v/>
      </c>
    </row>
    <row r="1763">
      <c r="U1763">
        <f>IF(AND(ISNUMBER('자료_한국심리'!$A1747),ISNUMBER('자료_한국심리'!$B1747)),'자료_한국심리'!$A1747,"")</f>
        <v/>
      </c>
      <c r="V1763">
        <f>IF(AND(ISNUMBER('자료_한국심리'!$D1747),ISNUMBER('자료_한국심리'!$E1747)),'자료_한국심리'!$D1747,"")</f>
        <v/>
      </c>
      <c r="W1763">
        <f>IF(AND(ISNUMBER('자료_한국심리'!$G1747),ISNUMBER('자료_한국심리'!$H1747)),'자료_한국심리'!$G1747,"")</f>
        <v/>
      </c>
      <c r="X1763">
        <f>IF(AND(ISNUMBER('자료_한국심리'!$J1747),ISNUMBER('자료_한국심리'!$K1747)),'자료_한국심리'!$J1747,"")</f>
        <v/>
      </c>
      <c r="Y1763">
        <f>IF(AND(ISNUMBER('자료_한국심리'!$M1747),ISNUMBER('자료_한국심리'!$N1747)),'자료_한국심리'!$M1747,"")</f>
        <v/>
      </c>
    </row>
    <row r="1764">
      <c r="U1764">
        <f>IF(AND(ISNUMBER('자료_한국심리'!$A1748),ISNUMBER('자료_한국심리'!$B1748)),'자료_한국심리'!$A1748,"")</f>
        <v/>
      </c>
      <c r="V1764">
        <f>IF(AND(ISNUMBER('자료_한국심리'!$D1748),ISNUMBER('자료_한국심리'!$E1748)),'자료_한국심리'!$D1748,"")</f>
        <v/>
      </c>
      <c r="W1764">
        <f>IF(AND(ISNUMBER('자료_한국심리'!$G1748),ISNUMBER('자료_한국심리'!$H1748)),'자료_한국심리'!$G1748,"")</f>
        <v/>
      </c>
      <c r="X1764">
        <f>IF(AND(ISNUMBER('자료_한국심리'!$J1748),ISNUMBER('자료_한국심리'!$K1748)),'자료_한국심리'!$J1748,"")</f>
        <v/>
      </c>
      <c r="Y1764">
        <f>IF(AND(ISNUMBER('자료_한국심리'!$M1748),ISNUMBER('자료_한국심리'!$N1748)),'자료_한국심리'!$M1748,"")</f>
        <v/>
      </c>
    </row>
    <row r="1765">
      <c r="U1765">
        <f>IF(AND(ISNUMBER('자료_한국심리'!$A1749),ISNUMBER('자료_한국심리'!$B1749)),'자료_한국심리'!$A1749,"")</f>
        <v/>
      </c>
      <c r="V1765">
        <f>IF(AND(ISNUMBER('자료_한국심리'!$D1749),ISNUMBER('자료_한국심리'!$E1749)),'자료_한국심리'!$D1749,"")</f>
        <v/>
      </c>
      <c r="W1765">
        <f>IF(AND(ISNUMBER('자료_한국심리'!$G1749),ISNUMBER('자료_한국심리'!$H1749)),'자료_한국심리'!$G1749,"")</f>
        <v/>
      </c>
      <c r="X1765">
        <f>IF(AND(ISNUMBER('자료_한국심리'!$J1749),ISNUMBER('자료_한국심리'!$K1749)),'자료_한국심리'!$J1749,"")</f>
        <v/>
      </c>
      <c r="Y1765">
        <f>IF(AND(ISNUMBER('자료_한국심리'!$M1749),ISNUMBER('자료_한국심리'!$N1749)),'자료_한국심리'!$M1749,"")</f>
        <v/>
      </c>
    </row>
    <row r="1766">
      <c r="U1766">
        <f>IF(AND(ISNUMBER('자료_한국심리'!$A1750),ISNUMBER('자료_한국심리'!$B1750)),'자료_한국심리'!$A1750,"")</f>
        <v/>
      </c>
      <c r="V1766">
        <f>IF(AND(ISNUMBER('자료_한국심리'!$D1750),ISNUMBER('자료_한국심리'!$E1750)),'자료_한국심리'!$D1750,"")</f>
        <v/>
      </c>
      <c r="W1766">
        <f>IF(AND(ISNUMBER('자료_한국심리'!$G1750),ISNUMBER('자료_한국심리'!$H1750)),'자료_한국심리'!$G1750,"")</f>
        <v/>
      </c>
      <c r="X1766">
        <f>IF(AND(ISNUMBER('자료_한국심리'!$J1750),ISNUMBER('자료_한국심리'!$K1750)),'자료_한국심리'!$J1750,"")</f>
        <v/>
      </c>
      <c r="Y1766">
        <f>IF(AND(ISNUMBER('자료_한국심리'!$M1750),ISNUMBER('자료_한국심리'!$N1750)),'자료_한국심리'!$M1750,"")</f>
        <v/>
      </c>
    </row>
    <row r="1767">
      <c r="U1767">
        <f>IF(AND(ISNUMBER('자료_한국심리'!$A1751),ISNUMBER('자료_한국심리'!$B1751)),'자료_한국심리'!$A1751,"")</f>
        <v/>
      </c>
      <c r="V1767">
        <f>IF(AND(ISNUMBER('자료_한국심리'!$D1751),ISNUMBER('자료_한국심리'!$E1751)),'자료_한국심리'!$D1751,"")</f>
        <v/>
      </c>
      <c r="W1767">
        <f>IF(AND(ISNUMBER('자료_한국심리'!$G1751),ISNUMBER('자료_한국심리'!$H1751)),'자료_한국심리'!$G1751,"")</f>
        <v/>
      </c>
      <c r="X1767">
        <f>IF(AND(ISNUMBER('자료_한국심리'!$J1751),ISNUMBER('자료_한국심리'!$K1751)),'자료_한국심리'!$J1751,"")</f>
        <v/>
      </c>
      <c r="Y1767">
        <f>IF(AND(ISNUMBER('자료_한국심리'!$M1751),ISNUMBER('자료_한국심리'!$N1751)),'자료_한국심리'!$M1751,"")</f>
        <v/>
      </c>
    </row>
    <row r="1768">
      <c r="U1768">
        <f>IF(AND(ISNUMBER('자료_한국심리'!$A1752),ISNUMBER('자료_한국심리'!$B1752)),'자료_한국심리'!$A1752,"")</f>
        <v/>
      </c>
      <c r="V1768">
        <f>IF(AND(ISNUMBER('자료_한국심리'!$D1752),ISNUMBER('자료_한국심리'!$E1752)),'자료_한국심리'!$D1752,"")</f>
        <v/>
      </c>
      <c r="W1768">
        <f>IF(AND(ISNUMBER('자료_한국심리'!$G1752),ISNUMBER('자료_한국심리'!$H1752)),'자료_한국심리'!$G1752,"")</f>
        <v/>
      </c>
      <c r="X1768">
        <f>IF(AND(ISNUMBER('자료_한국심리'!$J1752),ISNUMBER('자료_한국심리'!$K1752)),'자료_한국심리'!$J1752,"")</f>
        <v/>
      </c>
      <c r="Y1768">
        <f>IF(AND(ISNUMBER('자료_한국심리'!$M1752),ISNUMBER('자료_한국심리'!$N1752)),'자료_한국심리'!$M1752,"")</f>
        <v/>
      </c>
    </row>
    <row r="1769">
      <c r="U1769">
        <f>IF(AND(ISNUMBER('자료_한국심리'!$A1753),ISNUMBER('자료_한국심리'!$B1753)),'자료_한국심리'!$A1753,"")</f>
        <v/>
      </c>
      <c r="V1769">
        <f>IF(AND(ISNUMBER('자료_한국심리'!$D1753),ISNUMBER('자료_한국심리'!$E1753)),'자료_한국심리'!$D1753,"")</f>
        <v/>
      </c>
      <c r="W1769">
        <f>IF(AND(ISNUMBER('자료_한국심리'!$G1753),ISNUMBER('자료_한국심리'!$H1753)),'자료_한국심리'!$G1753,"")</f>
        <v/>
      </c>
      <c r="X1769">
        <f>IF(AND(ISNUMBER('자료_한국심리'!$J1753),ISNUMBER('자료_한국심리'!$K1753)),'자료_한국심리'!$J1753,"")</f>
        <v/>
      </c>
      <c r="Y1769">
        <f>IF(AND(ISNUMBER('자료_한국심리'!$M1753),ISNUMBER('자료_한국심리'!$N1753)),'자료_한국심리'!$M1753,"")</f>
        <v/>
      </c>
    </row>
    <row r="1770">
      <c r="U1770">
        <f>IF(AND(ISNUMBER('자료_한국심리'!$A1754),ISNUMBER('자료_한국심리'!$B1754)),'자료_한국심리'!$A1754,"")</f>
        <v/>
      </c>
      <c r="V1770">
        <f>IF(AND(ISNUMBER('자료_한국심리'!$D1754),ISNUMBER('자료_한국심리'!$E1754)),'자료_한국심리'!$D1754,"")</f>
        <v/>
      </c>
      <c r="W1770">
        <f>IF(AND(ISNUMBER('자료_한국심리'!$G1754),ISNUMBER('자료_한국심리'!$H1754)),'자료_한국심리'!$G1754,"")</f>
        <v/>
      </c>
      <c r="X1770">
        <f>IF(AND(ISNUMBER('자료_한국심리'!$J1754),ISNUMBER('자료_한국심리'!$K1754)),'자료_한국심리'!$J1754,"")</f>
        <v/>
      </c>
      <c r="Y1770">
        <f>IF(AND(ISNUMBER('자료_한국심리'!$M1754),ISNUMBER('자료_한국심리'!$N1754)),'자료_한국심리'!$M1754,"")</f>
        <v/>
      </c>
    </row>
    <row r="1771">
      <c r="U1771">
        <f>IF(AND(ISNUMBER('자료_한국심리'!$A1755),ISNUMBER('자료_한국심리'!$B1755)),'자료_한국심리'!$A1755,"")</f>
        <v/>
      </c>
      <c r="V1771">
        <f>IF(AND(ISNUMBER('자료_한국심리'!$D1755),ISNUMBER('자료_한국심리'!$E1755)),'자료_한국심리'!$D1755,"")</f>
        <v/>
      </c>
      <c r="W1771">
        <f>IF(AND(ISNUMBER('자료_한국심리'!$G1755),ISNUMBER('자료_한국심리'!$H1755)),'자료_한국심리'!$G1755,"")</f>
        <v/>
      </c>
      <c r="X1771">
        <f>IF(AND(ISNUMBER('자료_한국심리'!$J1755),ISNUMBER('자료_한국심리'!$K1755)),'자료_한국심리'!$J1755,"")</f>
        <v/>
      </c>
      <c r="Y1771">
        <f>IF(AND(ISNUMBER('자료_한국심리'!$M1755),ISNUMBER('자료_한국심리'!$N1755)),'자료_한국심리'!$M1755,"")</f>
        <v/>
      </c>
    </row>
    <row r="1772">
      <c r="U1772">
        <f>IF(AND(ISNUMBER('자료_한국심리'!$A1756),ISNUMBER('자료_한국심리'!$B1756)),'자료_한국심리'!$A1756,"")</f>
        <v/>
      </c>
      <c r="V1772">
        <f>IF(AND(ISNUMBER('자료_한국심리'!$D1756),ISNUMBER('자료_한국심리'!$E1756)),'자료_한국심리'!$D1756,"")</f>
        <v/>
      </c>
      <c r="W1772">
        <f>IF(AND(ISNUMBER('자료_한국심리'!$G1756),ISNUMBER('자료_한국심리'!$H1756)),'자료_한국심리'!$G1756,"")</f>
        <v/>
      </c>
      <c r="X1772">
        <f>IF(AND(ISNUMBER('자료_한국심리'!$J1756),ISNUMBER('자료_한국심리'!$K1756)),'자료_한국심리'!$J1756,"")</f>
        <v/>
      </c>
      <c r="Y1772">
        <f>IF(AND(ISNUMBER('자료_한국심리'!$M1756),ISNUMBER('자료_한국심리'!$N1756)),'자료_한국심리'!$M1756,"")</f>
        <v/>
      </c>
    </row>
    <row r="1773">
      <c r="U1773">
        <f>IF(AND(ISNUMBER('자료_한국심리'!$A1757),ISNUMBER('자료_한국심리'!$B1757)),'자료_한국심리'!$A1757,"")</f>
        <v/>
      </c>
      <c r="V1773">
        <f>IF(AND(ISNUMBER('자료_한국심리'!$D1757),ISNUMBER('자료_한국심리'!$E1757)),'자료_한국심리'!$D1757,"")</f>
        <v/>
      </c>
      <c r="W1773">
        <f>IF(AND(ISNUMBER('자료_한국심리'!$G1757),ISNUMBER('자료_한국심리'!$H1757)),'자료_한국심리'!$G1757,"")</f>
        <v/>
      </c>
      <c r="X1773">
        <f>IF(AND(ISNUMBER('자료_한국심리'!$J1757),ISNUMBER('자료_한국심리'!$K1757)),'자료_한국심리'!$J1757,"")</f>
        <v/>
      </c>
      <c r="Y1773">
        <f>IF(AND(ISNUMBER('자료_한국심리'!$M1757),ISNUMBER('자료_한국심리'!$N1757)),'자료_한국심리'!$M1757,"")</f>
        <v/>
      </c>
    </row>
    <row r="1774">
      <c r="U1774">
        <f>IF(AND(ISNUMBER('자료_한국심리'!$A1758),ISNUMBER('자료_한국심리'!$B1758)),'자료_한국심리'!$A1758,"")</f>
        <v/>
      </c>
      <c r="V1774">
        <f>IF(AND(ISNUMBER('자료_한국심리'!$D1758),ISNUMBER('자료_한국심리'!$E1758)),'자료_한국심리'!$D1758,"")</f>
        <v/>
      </c>
      <c r="W1774">
        <f>IF(AND(ISNUMBER('자료_한국심리'!$G1758),ISNUMBER('자료_한국심리'!$H1758)),'자료_한국심리'!$G1758,"")</f>
        <v/>
      </c>
      <c r="X1774">
        <f>IF(AND(ISNUMBER('자료_한국심리'!$J1758),ISNUMBER('자료_한국심리'!$K1758)),'자료_한국심리'!$J1758,"")</f>
        <v/>
      </c>
      <c r="Y1774">
        <f>IF(AND(ISNUMBER('자료_한국심리'!$M1758),ISNUMBER('자료_한국심리'!$N1758)),'자료_한국심리'!$M1758,"")</f>
        <v/>
      </c>
    </row>
    <row r="1775">
      <c r="U1775">
        <f>IF(AND(ISNUMBER('자료_한국심리'!$A1759),ISNUMBER('자료_한국심리'!$B1759)),'자료_한국심리'!$A1759,"")</f>
        <v/>
      </c>
      <c r="V1775">
        <f>IF(AND(ISNUMBER('자료_한국심리'!$D1759),ISNUMBER('자료_한국심리'!$E1759)),'자료_한국심리'!$D1759,"")</f>
        <v/>
      </c>
      <c r="W1775">
        <f>IF(AND(ISNUMBER('자료_한국심리'!$G1759),ISNUMBER('자료_한국심리'!$H1759)),'자료_한국심리'!$G1759,"")</f>
        <v/>
      </c>
      <c r="X1775">
        <f>IF(AND(ISNUMBER('자료_한국심리'!$J1759),ISNUMBER('자료_한국심리'!$K1759)),'자료_한국심리'!$J1759,"")</f>
        <v/>
      </c>
      <c r="Y1775">
        <f>IF(AND(ISNUMBER('자료_한국심리'!$M1759),ISNUMBER('자료_한국심리'!$N1759)),'자료_한국심리'!$M1759,"")</f>
        <v/>
      </c>
    </row>
    <row r="1776">
      <c r="U1776">
        <f>IF(AND(ISNUMBER('자료_한국심리'!$A1760),ISNUMBER('자료_한국심리'!$B1760)),'자료_한국심리'!$A1760,"")</f>
        <v/>
      </c>
      <c r="V1776">
        <f>IF(AND(ISNUMBER('자료_한국심리'!$D1760),ISNUMBER('자료_한국심리'!$E1760)),'자료_한국심리'!$D1760,"")</f>
        <v/>
      </c>
      <c r="W1776">
        <f>IF(AND(ISNUMBER('자료_한국심리'!$G1760),ISNUMBER('자료_한국심리'!$H1760)),'자료_한국심리'!$G1760,"")</f>
        <v/>
      </c>
      <c r="X1776">
        <f>IF(AND(ISNUMBER('자료_한국심리'!$J1760),ISNUMBER('자료_한국심리'!$K1760)),'자료_한국심리'!$J1760,"")</f>
        <v/>
      </c>
      <c r="Y1776">
        <f>IF(AND(ISNUMBER('자료_한국심리'!$M1760),ISNUMBER('자료_한국심리'!$N1760)),'자료_한국심리'!$M1760,"")</f>
        <v/>
      </c>
    </row>
    <row r="1777">
      <c r="U1777">
        <f>IF(AND(ISNUMBER('자료_한국심리'!$A1761),ISNUMBER('자료_한국심리'!$B1761)),'자료_한국심리'!$A1761,"")</f>
        <v/>
      </c>
      <c r="V1777">
        <f>IF(AND(ISNUMBER('자료_한국심리'!$D1761),ISNUMBER('자료_한국심리'!$E1761)),'자료_한국심리'!$D1761,"")</f>
        <v/>
      </c>
      <c r="W1777">
        <f>IF(AND(ISNUMBER('자료_한국심리'!$G1761),ISNUMBER('자료_한국심리'!$H1761)),'자료_한국심리'!$G1761,"")</f>
        <v/>
      </c>
      <c r="X1777">
        <f>IF(AND(ISNUMBER('자료_한국심리'!$J1761),ISNUMBER('자료_한국심리'!$K1761)),'자료_한국심리'!$J1761,"")</f>
        <v/>
      </c>
      <c r="Y1777">
        <f>IF(AND(ISNUMBER('자료_한국심리'!$M1761),ISNUMBER('자료_한국심리'!$N1761)),'자료_한국심리'!$M1761,"")</f>
        <v/>
      </c>
    </row>
    <row r="1778">
      <c r="U1778">
        <f>IF(AND(ISNUMBER('자료_한국심리'!$A1762),ISNUMBER('자료_한국심리'!$B1762)),'자료_한국심리'!$A1762,"")</f>
        <v/>
      </c>
      <c r="V1778">
        <f>IF(AND(ISNUMBER('자료_한국심리'!$D1762),ISNUMBER('자료_한국심리'!$E1762)),'자료_한국심리'!$D1762,"")</f>
        <v/>
      </c>
      <c r="W1778">
        <f>IF(AND(ISNUMBER('자료_한국심리'!$G1762),ISNUMBER('자료_한국심리'!$H1762)),'자료_한국심리'!$G1762,"")</f>
        <v/>
      </c>
      <c r="X1778">
        <f>IF(AND(ISNUMBER('자료_한국심리'!$J1762),ISNUMBER('자료_한국심리'!$K1762)),'자료_한국심리'!$J1762,"")</f>
        <v/>
      </c>
      <c r="Y1778">
        <f>IF(AND(ISNUMBER('자료_한국심리'!$M1762),ISNUMBER('자료_한국심리'!$N1762)),'자료_한국심리'!$M1762,"")</f>
        <v/>
      </c>
    </row>
    <row r="1779">
      <c r="U1779">
        <f>IF(AND(ISNUMBER('자료_한국심리'!$A1763),ISNUMBER('자료_한국심리'!$B1763)),'자료_한국심리'!$A1763,"")</f>
        <v/>
      </c>
      <c r="V1779">
        <f>IF(AND(ISNUMBER('자료_한국심리'!$D1763),ISNUMBER('자료_한국심리'!$E1763)),'자료_한국심리'!$D1763,"")</f>
        <v/>
      </c>
      <c r="W1779">
        <f>IF(AND(ISNUMBER('자료_한국심리'!$G1763),ISNUMBER('자료_한국심리'!$H1763)),'자료_한국심리'!$G1763,"")</f>
        <v/>
      </c>
      <c r="X1779">
        <f>IF(AND(ISNUMBER('자료_한국심리'!$J1763),ISNUMBER('자료_한국심리'!$K1763)),'자료_한국심리'!$J1763,"")</f>
        <v/>
      </c>
      <c r="Y1779">
        <f>IF(AND(ISNUMBER('자료_한국심리'!$M1763),ISNUMBER('자료_한국심리'!$N1763)),'자료_한국심리'!$M1763,"")</f>
        <v/>
      </c>
    </row>
    <row r="1780">
      <c r="U1780">
        <f>IF(AND(ISNUMBER('자료_한국심리'!$A1764),ISNUMBER('자료_한국심리'!$B1764)),'자료_한국심리'!$A1764,"")</f>
        <v/>
      </c>
      <c r="V1780">
        <f>IF(AND(ISNUMBER('자료_한국심리'!$D1764),ISNUMBER('자료_한국심리'!$E1764)),'자료_한국심리'!$D1764,"")</f>
        <v/>
      </c>
      <c r="W1780">
        <f>IF(AND(ISNUMBER('자료_한국심리'!$G1764),ISNUMBER('자료_한국심리'!$H1764)),'자료_한국심리'!$G1764,"")</f>
        <v/>
      </c>
      <c r="X1780">
        <f>IF(AND(ISNUMBER('자료_한국심리'!$J1764),ISNUMBER('자료_한국심리'!$K1764)),'자료_한국심리'!$J1764,"")</f>
        <v/>
      </c>
      <c r="Y1780">
        <f>IF(AND(ISNUMBER('자료_한국심리'!$M1764),ISNUMBER('자료_한국심리'!$N1764)),'자료_한국심리'!$M1764,"")</f>
        <v/>
      </c>
    </row>
    <row r="1781">
      <c r="U1781">
        <f>IF(AND(ISNUMBER('자료_한국심리'!$A1765),ISNUMBER('자료_한국심리'!$B1765)),'자료_한국심리'!$A1765,"")</f>
        <v/>
      </c>
      <c r="V1781">
        <f>IF(AND(ISNUMBER('자료_한국심리'!$D1765),ISNUMBER('자료_한국심리'!$E1765)),'자료_한국심리'!$D1765,"")</f>
        <v/>
      </c>
      <c r="W1781">
        <f>IF(AND(ISNUMBER('자료_한국심리'!$G1765),ISNUMBER('자료_한국심리'!$H1765)),'자료_한국심리'!$G1765,"")</f>
        <v/>
      </c>
      <c r="X1781">
        <f>IF(AND(ISNUMBER('자료_한국심리'!$J1765),ISNUMBER('자료_한국심리'!$K1765)),'자료_한국심리'!$J1765,"")</f>
        <v/>
      </c>
      <c r="Y1781">
        <f>IF(AND(ISNUMBER('자료_한국심리'!$M1765),ISNUMBER('자료_한국심리'!$N1765)),'자료_한국심리'!$M1765,"")</f>
        <v/>
      </c>
    </row>
    <row r="1782">
      <c r="U1782">
        <f>IF(AND(ISNUMBER('자료_한국심리'!$A1766),ISNUMBER('자료_한국심리'!$B1766)),'자료_한국심리'!$A1766,"")</f>
        <v/>
      </c>
      <c r="V1782">
        <f>IF(AND(ISNUMBER('자료_한국심리'!$D1766),ISNUMBER('자료_한국심리'!$E1766)),'자료_한국심리'!$D1766,"")</f>
        <v/>
      </c>
      <c r="W1782">
        <f>IF(AND(ISNUMBER('자료_한국심리'!$G1766),ISNUMBER('자료_한국심리'!$H1766)),'자료_한국심리'!$G1766,"")</f>
        <v/>
      </c>
      <c r="X1782">
        <f>IF(AND(ISNUMBER('자료_한국심리'!$J1766),ISNUMBER('자료_한국심리'!$K1766)),'자료_한국심리'!$J1766,"")</f>
        <v/>
      </c>
      <c r="Y1782">
        <f>IF(AND(ISNUMBER('자료_한국심리'!$M1766),ISNUMBER('자료_한국심리'!$N1766)),'자료_한국심리'!$M1766,"")</f>
        <v/>
      </c>
    </row>
    <row r="1783">
      <c r="U1783">
        <f>IF(AND(ISNUMBER('자료_한국심리'!$A1767),ISNUMBER('자료_한국심리'!$B1767)),'자료_한국심리'!$A1767,"")</f>
        <v/>
      </c>
      <c r="V1783">
        <f>IF(AND(ISNUMBER('자료_한국심리'!$D1767),ISNUMBER('자료_한국심리'!$E1767)),'자료_한국심리'!$D1767,"")</f>
        <v/>
      </c>
      <c r="W1783">
        <f>IF(AND(ISNUMBER('자료_한국심리'!$G1767),ISNUMBER('자료_한국심리'!$H1767)),'자료_한국심리'!$G1767,"")</f>
        <v/>
      </c>
      <c r="X1783">
        <f>IF(AND(ISNUMBER('자료_한국심리'!$J1767),ISNUMBER('자료_한국심리'!$K1767)),'자료_한국심리'!$J1767,"")</f>
        <v/>
      </c>
      <c r="Y1783">
        <f>IF(AND(ISNUMBER('자료_한국심리'!$M1767),ISNUMBER('자료_한국심리'!$N1767)),'자료_한국심리'!$M1767,"")</f>
        <v/>
      </c>
    </row>
    <row r="1784">
      <c r="U1784">
        <f>IF(AND(ISNUMBER('자료_한국심리'!$A1768),ISNUMBER('자료_한국심리'!$B1768)),'자료_한국심리'!$A1768,"")</f>
        <v/>
      </c>
      <c r="V1784">
        <f>IF(AND(ISNUMBER('자료_한국심리'!$D1768),ISNUMBER('자료_한국심리'!$E1768)),'자료_한국심리'!$D1768,"")</f>
        <v/>
      </c>
      <c r="W1784">
        <f>IF(AND(ISNUMBER('자료_한국심리'!$G1768),ISNUMBER('자료_한국심리'!$H1768)),'자료_한국심리'!$G1768,"")</f>
        <v/>
      </c>
      <c r="X1784">
        <f>IF(AND(ISNUMBER('자료_한국심리'!$J1768),ISNUMBER('자료_한국심리'!$K1768)),'자료_한국심리'!$J1768,"")</f>
        <v/>
      </c>
      <c r="Y1784">
        <f>IF(AND(ISNUMBER('자료_한국심리'!$M1768),ISNUMBER('자료_한국심리'!$N1768)),'자료_한국심리'!$M1768,"")</f>
        <v/>
      </c>
    </row>
    <row r="1785">
      <c r="U1785">
        <f>IF(AND(ISNUMBER('자료_한국심리'!$A1769),ISNUMBER('자료_한국심리'!$B1769)),'자료_한국심리'!$A1769,"")</f>
        <v/>
      </c>
      <c r="V1785">
        <f>IF(AND(ISNUMBER('자료_한국심리'!$D1769),ISNUMBER('자료_한국심리'!$E1769)),'자료_한국심리'!$D1769,"")</f>
        <v/>
      </c>
      <c r="W1785">
        <f>IF(AND(ISNUMBER('자료_한국심리'!$G1769),ISNUMBER('자료_한국심리'!$H1769)),'자료_한국심리'!$G1769,"")</f>
        <v/>
      </c>
      <c r="X1785">
        <f>IF(AND(ISNUMBER('자료_한국심리'!$J1769),ISNUMBER('자료_한국심리'!$K1769)),'자료_한국심리'!$J1769,"")</f>
        <v/>
      </c>
      <c r="Y1785">
        <f>IF(AND(ISNUMBER('자료_한국심리'!$M1769),ISNUMBER('자료_한국심리'!$N1769)),'자료_한국심리'!$M1769,"")</f>
        <v/>
      </c>
    </row>
    <row r="1786">
      <c r="U1786">
        <f>IF(AND(ISNUMBER('자료_한국심리'!$A1770),ISNUMBER('자료_한국심리'!$B1770)),'자료_한국심리'!$A1770,"")</f>
        <v/>
      </c>
      <c r="V1786">
        <f>IF(AND(ISNUMBER('자료_한국심리'!$D1770),ISNUMBER('자료_한국심리'!$E1770)),'자료_한국심리'!$D1770,"")</f>
        <v/>
      </c>
      <c r="W1786">
        <f>IF(AND(ISNUMBER('자료_한국심리'!$G1770),ISNUMBER('자료_한국심리'!$H1770)),'자료_한국심리'!$G1770,"")</f>
        <v/>
      </c>
      <c r="X1786">
        <f>IF(AND(ISNUMBER('자료_한국심리'!$J1770),ISNUMBER('자료_한국심리'!$K1770)),'자료_한국심리'!$J1770,"")</f>
        <v/>
      </c>
      <c r="Y1786">
        <f>IF(AND(ISNUMBER('자료_한국심리'!$M1770),ISNUMBER('자료_한국심리'!$N1770)),'자료_한국심리'!$M1770,"")</f>
        <v/>
      </c>
    </row>
    <row r="1787">
      <c r="U1787">
        <f>IF(AND(ISNUMBER('자료_한국심리'!$A1771),ISNUMBER('자료_한국심리'!$B1771)),'자료_한국심리'!$A1771,"")</f>
        <v/>
      </c>
      <c r="V1787">
        <f>IF(AND(ISNUMBER('자료_한국심리'!$D1771),ISNUMBER('자료_한국심리'!$E1771)),'자료_한국심리'!$D1771,"")</f>
        <v/>
      </c>
      <c r="W1787">
        <f>IF(AND(ISNUMBER('자료_한국심리'!$G1771),ISNUMBER('자료_한국심리'!$H1771)),'자료_한국심리'!$G1771,"")</f>
        <v/>
      </c>
      <c r="X1787">
        <f>IF(AND(ISNUMBER('자료_한국심리'!$J1771),ISNUMBER('자료_한국심리'!$K1771)),'자료_한국심리'!$J1771,"")</f>
        <v/>
      </c>
      <c r="Y1787">
        <f>IF(AND(ISNUMBER('자료_한국심리'!$M1771),ISNUMBER('자료_한국심리'!$N1771)),'자료_한국심리'!$M1771,"")</f>
        <v/>
      </c>
    </row>
    <row r="1788">
      <c r="U1788">
        <f>IF(AND(ISNUMBER('자료_한국심리'!$A1772),ISNUMBER('자료_한국심리'!$B1772)),'자료_한국심리'!$A1772,"")</f>
        <v/>
      </c>
      <c r="V1788">
        <f>IF(AND(ISNUMBER('자료_한국심리'!$D1772),ISNUMBER('자료_한국심리'!$E1772)),'자료_한국심리'!$D1772,"")</f>
        <v/>
      </c>
      <c r="W1788">
        <f>IF(AND(ISNUMBER('자료_한국심리'!$G1772),ISNUMBER('자료_한국심리'!$H1772)),'자료_한국심리'!$G1772,"")</f>
        <v/>
      </c>
      <c r="X1788">
        <f>IF(AND(ISNUMBER('자료_한국심리'!$J1772),ISNUMBER('자료_한국심리'!$K1772)),'자료_한국심리'!$J1772,"")</f>
        <v/>
      </c>
      <c r="Y1788">
        <f>IF(AND(ISNUMBER('자료_한국심리'!$M1772),ISNUMBER('자료_한국심리'!$N1772)),'자료_한국심리'!$M1772,"")</f>
        <v/>
      </c>
    </row>
    <row r="1789">
      <c r="U1789">
        <f>IF(AND(ISNUMBER('자료_한국심리'!$A1773),ISNUMBER('자료_한국심리'!$B1773)),'자료_한국심리'!$A1773,"")</f>
        <v/>
      </c>
      <c r="V1789">
        <f>IF(AND(ISNUMBER('자료_한국심리'!$D1773),ISNUMBER('자료_한국심리'!$E1773)),'자료_한국심리'!$D1773,"")</f>
        <v/>
      </c>
      <c r="W1789">
        <f>IF(AND(ISNUMBER('자료_한국심리'!$G1773),ISNUMBER('자료_한국심리'!$H1773)),'자료_한국심리'!$G1773,"")</f>
        <v/>
      </c>
      <c r="X1789">
        <f>IF(AND(ISNUMBER('자료_한국심리'!$J1773),ISNUMBER('자료_한국심리'!$K1773)),'자료_한국심리'!$J1773,"")</f>
        <v/>
      </c>
      <c r="Y1789">
        <f>IF(AND(ISNUMBER('자료_한국심리'!$M1773),ISNUMBER('자료_한국심리'!$N1773)),'자료_한국심리'!$M1773,"")</f>
        <v/>
      </c>
    </row>
    <row r="1790">
      <c r="U1790">
        <f>IF(AND(ISNUMBER('자료_한국심리'!$A1774),ISNUMBER('자료_한국심리'!$B1774)),'자료_한국심리'!$A1774,"")</f>
        <v/>
      </c>
      <c r="V1790">
        <f>IF(AND(ISNUMBER('자료_한국심리'!$D1774),ISNUMBER('자료_한국심리'!$E1774)),'자료_한국심리'!$D1774,"")</f>
        <v/>
      </c>
      <c r="W1790">
        <f>IF(AND(ISNUMBER('자료_한국심리'!$G1774),ISNUMBER('자료_한국심리'!$H1774)),'자료_한국심리'!$G1774,"")</f>
        <v/>
      </c>
      <c r="X1790">
        <f>IF(AND(ISNUMBER('자료_한국심리'!$J1774),ISNUMBER('자료_한국심리'!$K1774)),'자료_한국심리'!$J1774,"")</f>
        <v/>
      </c>
      <c r="Y1790">
        <f>IF(AND(ISNUMBER('자료_한국심리'!$M1774),ISNUMBER('자료_한국심리'!$N1774)),'자료_한국심리'!$M1774,"")</f>
        <v/>
      </c>
    </row>
    <row r="1791">
      <c r="U1791">
        <f>IF(AND(ISNUMBER('자료_한국심리'!$A1775),ISNUMBER('자료_한국심리'!$B1775)),'자료_한국심리'!$A1775,"")</f>
        <v/>
      </c>
      <c r="V1791">
        <f>IF(AND(ISNUMBER('자료_한국심리'!$D1775),ISNUMBER('자료_한국심리'!$E1775)),'자료_한국심리'!$D1775,"")</f>
        <v/>
      </c>
      <c r="W1791">
        <f>IF(AND(ISNUMBER('자료_한국심리'!$G1775),ISNUMBER('자료_한국심리'!$H1775)),'자료_한국심리'!$G1775,"")</f>
        <v/>
      </c>
      <c r="X1791">
        <f>IF(AND(ISNUMBER('자료_한국심리'!$J1775),ISNUMBER('자료_한국심리'!$K1775)),'자료_한국심리'!$J1775,"")</f>
        <v/>
      </c>
      <c r="Y1791">
        <f>IF(AND(ISNUMBER('자료_한국심리'!$M1775),ISNUMBER('자료_한국심리'!$N1775)),'자료_한국심리'!$M1775,"")</f>
        <v/>
      </c>
    </row>
    <row r="1792">
      <c r="U1792">
        <f>IF(AND(ISNUMBER('자료_한국심리'!$A1776),ISNUMBER('자료_한국심리'!$B1776)),'자료_한국심리'!$A1776,"")</f>
        <v/>
      </c>
      <c r="V1792">
        <f>IF(AND(ISNUMBER('자료_한국심리'!$D1776),ISNUMBER('자료_한국심리'!$E1776)),'자료_한국심리'!$D1776,"")</f>
        <v/>
      </c>
      <c r="W1792">
        <f>IF(AND(ISNUMBER('자료_한국심리'!$G1776),ISNUMBER('자료_한국심리'!$H1776)),'자료_한국심리'!$G1776,"")</f>
        <v/>
      </c>
      <c r="X1792">
        <f>IF(AND(ISNUMBER('자료_한국심리'!$J1776),ISNUMBER('자료_한국심리'!$K1776)),'자료_한국심리'!$J1776,"")</f>
        <v/>
      </c>
      <c r="Y1792">
        <f>IF(AND(ISNUMBER('자료_한국심리'!$M1776),ISNUMBER('자료_한국심리'!$N1776)),'자료_한국심리'!$M1776,"")</f>
        <v/>
      </c>
    </row>
    <row r="1793">
      <c r="U1793">
        <f>IF(AND(ISNUMBER('자료_한국심리'!$A1777),ISNUMBER('자료_한국심리'!$B1777)),'자료_한국심리'!$A1777,"")</f>
        <v/>
      </c>
      <c r="V1793">
        <f>IF(AND(ISNUMBER('자료_한국심리'!$D1777),ISNUMBER('자료_한국심리'!$E1777)),'자료_한국심리'!$D1777,"")</f>
        <v/>
      </c>
      <c r="W1793">
        <f>IF(AND(ISNUMBER('자료_한국심리'!$G1777),ISNUMBER('자료_한국심리'!$H1777)),'자료_한국심리'!$G1777,"")</f>
        <v/>
      </c>
      <c r="X1793">
        <f>IF(AND(ISNUMBER('자료_한국심리'!$J1777),ISNUMBER('자료_한국심리'!$K1777)),'자료_한국심리'!$J1777,"")</f>
        <v/>
      </c>
      <c r="Y1793">
        <f>IF(AND(ISNUMBER('자료_한국심리'!$M1777),ISNUMBER('자료_한국심리'!$N1777)),'자료_한국심리'!$M1777,"")</f>
        <v/>
      </c>
    </row>
    <row r="1794">
      <c r="U1794">
        <f>IF(AND(ISNUMBER('자료_한국심리'!$A1778),ISNUMBER('자료_한국심리'!$B1778)),'자료_한국심리'!$A1778,"")</f>
        <v/>
      </c>
      <c r="V1794">
        <f>IF(AND(ISNUMBER('자료_한국심리'!$D1778),ISNUMBER('자료_한국심리'!$E1778)),'자료_한국심리'!$D1778,"")</f>
        <v/>
      </c>
      <c r="W1794">
        <f>IF(AND(ISNUMBER('자료_한국심리'!$G1778),ISNUMBER('자료_한국심리'!$H1778)),'자료_한국심리'!$G1778,"")</f>
        <v/>
      </c>
      <c r="X1794">
        <f>IF(AND(ISNUMBER('자료_한국심리'!$J1778),ISNUMBER('자료_한국심리'!$K1778)),'자료_한국심리'!$J1778,"")</f>
        <v/>
      </c>
      <c r="Y1794">
        <f>IF(AND(ISNUMBER('자료_한국심리'!$M1778),ISNUMBER('자료_한국심리'!$N1778)),'자료_한국심리'!$M1778,"")</f>
        <v/>
      </c>
    </row>
    <row r="1795">
      <c r="U1795">
        <f>IF(AND(ISNUMBER('자료_한국심리'!$A1779),ISNUMBER('자료_한국심리'!$B1779)),'자료_한국심리'!$A1779,"")</f>
        <v/>
      </c>
      <c r="V1795">
        <f>IF(AND(ISNUMBER('자료_한국심리'!$D1779),ISNUMBER('자료_한국심리'!$E1779)),'자료_한국심리'!$D1779,"")</f>
        <v/>
      </c>
      <c r="W1795">
        <f>IF(AND(ISNUMBER('자료_한국심리'!$G1779),ISNUMBER('자료_한국심리'!$H1779)),'자료_한국심리'!$G1779,"")</f>
        <v/>
      </c>
      <c r="X1795">
        <f>IF(AND(ISNUMBER('자료_한국심리'!$J1779),ISNUMBER('자료_한국심리'!$K1779)),'자료_한국심리'!$J1779,"")</f>
        <v/>
      </c>
      <c r="Y1795">
        <f>IF(AND(ISNUMBER('자료_한국심리'!$M1779),ISNUMBER('자료_한국심리'!$N1779)),'자료_한국심리'!$M1779,"")</f>
        <v/>
      </c>
    </row>
    <row r="1796">
      <c r="U1796">
        <f>IF(AND(ISNUMBER('자료_한국심리'!$A1780),ISNUMBER('자료_한국심리'!$B1780)),'자료_한국심리'!$A1780,"")</f>
        <v/>
      </c>
      <c r="V1796">
        <f>IF(AND(ISNUMBER('자료_한국심리'!$D1780),ISNUMBER('자료_한국심리'!$E1780)),'자료_한국심리'!$D1780,"")</f>
        <v/>
      </c>
      <c r="W1796">
        <f>IF(AND(ISNUMBER('자료_한국심리'!$G1780),ISNUMBER('자료_한국심리'!$H1780)),'자료_한국심리'!$G1780,"")</f>
        <v/>
      </c>
      <c r="X1796">
        <f>IF(AND(ISNUMBER('자료_한국심리'!$J1780),ISNUMBER('자료_한국심리'!$K1780)),'자료_한국심리'!$J1780,"")</f>
        <v/>
      </c>
      <c r="Y1796">
        <f>IF(AND(ISNUMBER('자료_한국심리'!$M1780),ISNUMBER('자료_한국심리'!$N1780)),'자료_한국심리'!$M1780,"")</f>
        <v/>
      </c>
    </row>
    <row r="1797">
      <c r="U1797">
        <f>IF(AND(ISNUMBER('자료_한국심리'!$A1781),ISNUMBER('자료_한국심리'!$B1781)),'자료_한국심리'!$A1781,"")</f>
        <v/>
      </c>
      <c r="V1797">
        <f>IF(AND(ISNUMBER('자료_한국심리'!$D1781),ISNUMBER('자료_한국심리'!$E1781)),'자료_한국심리'!$D1781,"")</f>
        <v/>
      </c>
      <c r="W1797">
        <f>IF(AND(ISNUMBER('자료_한국심리'!$G1781),ISNUMBER('자료_한국심리'!$H1781)),'자료_한국심리'!$G1781,"")</f>
        <v/>
      </c>
      <c r="X1797">
        <f>IF(AND(ISNUMBER('자료_한국심리'!$J1781),ISNUMBER('자료_한국심리'!$K1781)),'자료_한국심리'!$J1781,"")</f>
        <v/>
      </c>
      <c r="Y1797">
        <f>IF(AND(ISNUMBER('자료_한국심리'!$M1781),ISNUMBER('자료_한국심리'!$N1781)),'자료_한국심리'!$M1781,"")</f>
        <v/>
      </c>
    </row>
    <row r="1798">
      <c r="U1798">
        <f>IF(AND(ISNUMBER('자료_한국심리'!$A1782),ISNUMBER('자료_한국심리'!$B1782)),'자료_한국심리'!$A1782,"")</f>
        <v/>
      </c>
      <c r="V1798">
        <f>IF(AND(ISNUMBER('자료_한국심리'!$D1782),ISNUMBER('자료_한국심리'!$E1782)),'자료_한국심리'!$D1782,"")</f>
        <v/>
      </c>
      <c r="W1798">
        <f>IF(AND(ISNUMBER('자료_한국심리'!$G1782),ISNUMBER('자료_한국심리'!$H1782)),'자료_한국심리'!$G1782,"")</f>
        <v/>
      </c>
      <c r="X1798">
        <f>IF(AND(ISNUMBER('자료_한국심리'!$J1782),ISNUMBER('자료_한국심리'!$K1782)),'자료_한국심리'!$J1782,"")</f>
        <v/>
      </c>
      <c r="Y1798">
        <f>IF(AND(ISNUMBER('자료_한국심리'!$M1782),ISNUMBER('자료_한국심리'!$N1782)),'자료_한국심리'!$M1782,"")</f>
        <v/>
      </c>
    </row>
    <row r="1799">
      <c r="U1799">
        <f>IF(AND(ISNUMBER('자료_한국심리'!$A1783),ISNUMBER('자료_한국심리'!$B1783)),'자료_한국심리'!$A1783,"")</f>
        <v/>
      </c>
      <c r="V1799">
        <f>IF(AND(ISNUMBER('자료_한국심리'!$D1783),ISNUMBER('자료_한국심리'!$E1783)),'자료_한국심리'!$D1783,"")</f>
        <v/>
      </c>
      <c r="W1799">
        <f>IF(AND(ISNUMBER('자료_한국심리'!$G1783),ISNUMBER('자료_한국심리'!$H1783)),'자료_한국심리'!$G1783,"")</f>
        <v/>
      </c>
      <c r="X1799">
        <f>IF(AND(ISNUMBER('자료_한국심리'!$J1783),ISNUMBER('자료_한국심리'!$K1783)),'자료_한국심리'!$J1783,"")</f>
        <v/>
      </c>
      <c r="Y1799">
        <f>IF(AND(ISNUMBER('자료_한국심리'!$M1783),ISNUMBER('자료_한국심리'!$N1783)),'자료_한국심리'!$M1783,"")</f>
        <v/>
      </c>
    </row>
    <row r="1800">
      <c r="U1800">
        <f>IF(AND(ISNUMBER('자료_한국심리'!$A1784),ISNUMBER('자료_한국심리'!$B1784)),'자료_한국심리'!$A1784,"")</f>
        <v/>
      </c>
      <c r="V1800">
        <f>IF(AND(ISNUMBER('자료_한국심리'!$D1784),ISNUMBER('자료_한국심리'!$E1784)),'자료_한국심리'!$D1784,"")</f>
        <v/>
      </c>
      <c r="W1800">
        <f>IF(AND(ISNUMBER('자료_한국심리'!$G1784),ISNUMBER('자료_한국심리'!$H1784)),'자료_한국심리'!$G1784,"")</f>
        <v/>
      </c>
      <c r="X1800">
        <f>IF(AND(ISNUMBER('자료_한국심리'!$J1784),ISNUMBER('자료_한국심리'!$K1784)),'자료_한국심리'!$J1784,"")</f>
        <v/>
      </c>
      <c r="Y1800">
        <f>IF(AND(ISNUMBER('자료_한국심리'!$M1784),ISNUMBER('자료_한국심리'!$N1784)),'자료_한국심리'!$M1784,"")</f>
        <v/>
      </c>
    </row>
    <row r="1801">
      <c r="U1801">
        <f>IF(AND(ISNUMBER('자료_한국심리'!$A1785),ISNUMBER('자료_한국심리'!$B1785)),'자료_한국심리'!$A1785,"")</f>
        <v/>
      </c>
      <c r="V1801">
        <f>IF(AND(ISNUMBER('자료_한국심리'!$D1785),ISNUMBER('자료_한국심리'!$E1785)),'자료_한국심리'!$D1785,"")</f>
        <v/>
      </c>
      <c r="W1801">
        <f>IF(AND(ISNUMBER('자료_한국심리'!$G1785),ISNUMBER('자료_한국심리'!$H1785)),'자료_한국심리'!$G1785,"")</f>
        <v/>
      </c>
      <c r="X1801">
        <f>IF(AND(ISNUMBER('자료_한국심리'!$J1785),ISNUMBER('자료_한국심리'!$K1785)),'자료_한국심리'!$J1785,"")</f>
        <v/>
      </c>
      <c r="Y1801">
        <f>IF(AND(ISNUMBER('자료_한국심리'!$M1785),ISNUMBER('자료_한국심리'!$N1785)),'자료_한국심리'!$M1785,"")</f>
        <v/>
      </c>
    </row>
    <row r="1802">
      <c r="U1802">
        <f>IF(AND(ISNUMBER('자료_한국심리'!$A1786),ISNUMBER('자료_한국심리'!$B1786)),'자료_한국심리'!$A1786,"")</f>
        <v/>
      </c>
      <c r="V1802">
        <f>IF(AND(ISNUMBER('자료_한국심리'!$D1786),ISNUMBER('자료_한국심리'!$E1786)),'자료_한국심리'!$D1786,"")</f>
        <v/>
      </c>
      <c r="W1802">
        <f>IF(AND(ISNUMBER('자료_한국심리'!$G1786),ISNUMBER('자료_한국심리'!$H1786)),'자료_한국심리'!$G1786,"")</f>
        <v/>
      </c>
      <c r="X1802">
        <f>IF(AND(ISNUMBER('자료_한국심리'!$J1786),ISNUMBER('자료_한국심리'!$K1786)),'자료_한국심리'!$J1786,"")</f>
        <v/>
      </c>
      <c r="Y1802">
        <f>IF(AND(ISNUMBER('자료_한국심리'!$M1786),ISNUMBER('자료_한국심리'!$N1786)),'자료_한국심리'!$M1786,"")</f>
        <v/>
      </c>
    </row>
    <row r="1803">
      <c r="U1803">
        <f>IF(AND(ISNUMBER('자료_한국심리'!$A1787),ISNUMBER('자료_한국심리'!$B1787)),'자료_한국심리'!$A1787,"")</f>
        <v/>
      </c>
      <c r="V1803">
        <f>IF(AND(ISNUMBER('자료_한국심리'!$D1787),ISNUMBER('자료_한국심리'!$E1787)),'자료_한국심리'!$D1787,"")</f>
        <v/>
      </c>
      <c r="W1803">
        <f>IF(AND(ISNUMBER('자료_한국심리'!$G1787),ISNUMBER('자료_한국심리'!$H1787)),'자료_한국심리'!$G1787,"")</f>
        <v/>
      </c>
      <c r="X1803">
        <f>IF(AND(ISNUMBER('자료_한국심리'!$J1787),ISNUMBER('자료_한국심리'!$K1787)),'자료_한국심리'!$J1787,"")</f>
        <v/>
      </c>
      <c r="Y1803">
        <f>IF(AND(ISNUMBER('자료_한국심리'!$M1787),ISNUMBER('자료_한국심리'!$N1787)),'자료_한국심리'!$M1787,"")</f>
        <v/>
      </c>
    </row>
    <row r="1804">
      <c r="U1804">
        <f>IF(AND(ISNUMBER('자료_한국심리'!$A1788),ISNUMBER('자료_한국심리'!$B1788)),'자료_한국심리'!$A1788,"")</f>
        <v/>
      </c>
      <c r="V1804">
        <f>IF(AND(ISNUMBER('자료_한국심리'!$D1788),ISNUMBER('자료_한국심리'!$E1788)),'자료_한국심리'!$D1788,"")</f>
        <v/>
      </c>
      <c r="W1804">
        <f>IF(AND(ISNUMBER('자료_한국심리'!$G1788),ISNUMBER('자료_한국심리'!$H1788)),'자료_한국심리'!$G1788,"")</f>
        <v/>
      </c>
      <c r="X1804">
        <f>IF(AND(ISNUMBER('자료_한국심리'!$J1788),ISNUMBER('자료_한국심리'!$K1788)),'자료_한국심리'!$J1788,"")</f>
        <v/>
      </c>
      <c r="Y1804">
        <f>IF(AND(ISNUMBER('자료_한국심리'!$M1788),ISNUMBER('자료_한국심리'!$N1788)),'자료_한국심리'!$M1788,"")</f>
        <v/>
      </c>
    </row>
    <row r="1805">
      <c r="U1805">
        <f>IF(AND(ISNUMBER('자료_한국심리'!$A1789),ISNUMBER('자료_한국심리'!$B1789)),'자료_한국심리'!$A1789,"")</f>
        <v/>
      </c>
      <c r="V1805">
        <f>IF(AND(ISNUMBER('자료_한국심리'!$D1789),ISNUMBER('자료_한국심리'!$E1789)),'자료_한국심리'!$D1789,"")</f>
        <v/>
      </c>
      <c r="W1805">
        <f>IF(AND(ISNUMBER('자료_한국심리'!$G1789),ISNUMBER('자료_한국심리'!$H1789)),'자료_한국심리'!$G1789,"")</f>
        <v/>
      </c>
      <c r="X1805">
        <f>IF(AND(ISNUMBER('자료_한국심리'!$J1789),ISNUMBER('자료_한국심리'!$K1789)),'자료_한국심리'!$J1789,"")</f>
        <v/>
      </c>
      <c r="Y1805">
        <f>IF(AND(ISNUMBER('자료_한국심리'!$M1789),ISNUMBER('자료_한국심리'!$N1789)),'자료_한국심리'!$M1789,"")</f>
        <v/>
      </c>
    </row>
    <row r="1806">
      <c r="U1806">
        <f>IF(AND(ISNUMBER('자료_한국심리'!$A1790),ISNUMBER('자료_한국심리'!$B1790)),'자료_한국심리'!$A1790,"")</f>
        <v/>
      </c>
      <c r="V1806">
        <f>IF(AND(ISNUMBER('자료_한국심리'!$D1790),ISNUMBER('자료_한국심리'!$E1790)),'자료_한국심리'!$D1790,"")</f>
        <v/>
      </c>
      <c r="W1806">
        <f>IF(AND(ISNUMBER('자료_한국심리'!$G1790),ISNUMBER('자료_한국심리'!$H1790)),'자료_한국심리'!$G1790,"")</f>
        <v/>
      </c>
      <c r="X1806">
        <f>IF(AND(ISNUMBER('자료_한국심리'!$J1790),ISNUMBER('자료_한국심리'!$K1790)),'자료_한국심리'!$J1790,"")</f>
        <v/>
      </c>
      <c r="Y1806">
        <f>IF(AND(ISNUMBER('자료_한국심리'!$M1790),ISNUMBER('자료_한국심리'!$N1790)),'자료_한국심리'!$M1790,"")</f>
        <v/>
      </c>
    </row>
    <row r="1807">
      <c r="U1807">
        <f>IF(AND(ISNUMBER('자료_한국심리'!$A1791),ISNUMBER('자료_한국심리'!$B1791)),'자료_한국심리'!$A1791,"")</f>
        <v/>
      </c>
      <c r="V1807">
        <f>IF(AND(ISNUMBER('자료_한국심리'!$D1791),ISNUMBER('자료_한국심리'!$E1791)),'자료_한국심리'!$D1791,"")</f>
        <v/>
      </c>
      <c r="W1807">
        <f>IF(AND(ISNUMBER('자료_한국심리'!$G1791),ISNUMBER('자료_한국심리'!$H1791)),'자료_한국심리'!$G1791,"")</f>
        <v/>
      </c>
      <c r="X1807">
        <f>IF(AND(ISNUMBER('자료_한국심리'!$J1791),ISNUMBER('자료_한국심리'!$K1791)),'자료_한국심리'!$J1791,"")</f>
        <v/>
      </c>
      <c r="Y1807">
        <f>IF(AND(ISNUMBER('자료_한국심리'!$M1791),ISNUMBER('자료_한국심리'!$N1791)),'자료_한국심리'!$M1791,"")</f>
        <v/>
      </c>
    </row>
    <row r="1808">
      <c r="U1808">
        <f>IF(AND(ISNUMBER('자료_한국심리'!$A1792),ISNUMBER('자료_한국심리'!$B1792)),'자료_한국심리'!$A1792,"")</f>
        <v/>
      </c>
      <c r="V1808">
        <f>IF(AND(ISNUMBER('자료_한국심리'!$D1792),ISNUMBER('자료_한국심리'!$E1792)),'자료_한국심리'!$D1792,"")</f>
        <v/>
      </c>
      <c r="W1808">
        <f>IF(AND(ISNUMBER('자료_한국심리'!$G1792),ISNUMBER('자료_한국심리'!$H1792)),'자료_한국심리'!$G1792,"")</f>
        <v/>
      </c>
      <c r="X1808">
        <f>IF(AND(ISNUMBER('자료_한국심리'!$J1792),ISNUMBER('자료_한국심리'!$K1792)),'자료_한국심리'!$J1792,"")</f>
        <v/>
      </c>
      <c r="Y1808">
        <f>IF(AND(ISNUMBER('자료_한국심리'!$M1792),ISNUMBER('자료_한국심리'!$N1792)),'자료_한국심리'!$M1792,"")</f>
        <v/>
      </c>
    </row>
    <row r="1809">
      <c r="U1809">
        <f>IF(AND(ISNUMBER('자료_한국심리'!$A1793),ISNUMBER('자료_한국심리'!$B1793)),'자료_한국심리'!$A1793,"")</f>
        <v/>
      </c>
      <c r="V1809">
        <f>IF(AND(ISNUMBER('자료_한국심리'!$D1793),ISNUMBER('자료_한국심리'!$E1793)),'자료_한국심리'!$D1793,"")</f>
        <v/>
      </c>
      <c r="W1809">
        <f>IF(AND(ISNUMBER('자료_한국심리'!$G1793),ISNUMBER('자료_한국심리'!$H1793)),'자료_한국심리'!$G1793,"")</f>
        <v/>
      </c>
      <c r="X1809">
        <f>IF(AND(ISNUMBER('자료_한국심리'!$J1793),ISNUMBER('자료_한국심리'!$K1793)),'자료_한국심리'!$J1793,"")</f>
        <v/>
      </c>
      <c r="Y1809">
        <f>IF(AND(ISNUMBER('자료_한국심리'!$M1793),ISNUMBER('자료_한국심리'!$N1793)),'자료_한국심리'!$M1793,"")</f>
        <v/>
      </c>
    </row>
    <row r="1810">
      <c r="U1810">
        <f>IF(AND(ISNUMBER('자료_한국심리'!$A1794),ISNUMBER('자료_한국심리'!$B1794)),'자료_한국심리'!$A1794,"")</f>
        <v/>
      </c>
      <c r="V1810">
        <f>IF(AND(ISNUMBER('자료_한국심리'!$D1794),ISNUMBER('자료_한국심리'!$E1794)),'자료_한국심리'!$D1794,"")</f>
        <v/>
      </c>
      <c r="W1810">
        <f>IF(AND(ISNUMBER('자료_한국심리'!$G1794),ISNUMBER('자료_한국심리'!$H1794)),'자료_한국심리'!$G1794,"")</f>
        <v/>
      </c>
      <c r="X1810">
        <f>IF(AND(ISNUMBER('자료_한국심리'!$J1794),ISNUMBER('자료_한국심리'!$K1794)),'자료_한국심리'!$J1794,"")</f>
        <v/>
      </c>
      <c r="Y1810">
        <f>IF(AND(ISNUMBER('자료_한국심리'!$M1794),ISNUMBER('자료_한국심리'!$N1794)),'자료_한국심리'!$M1794,"")</f>
        <v/>
      </c>
    </row>
    <row r="1811">
      <c r="U1811">
        <f>IF(AND(ISNUMBER('자료_한국심리'!$A1795),ISNUMBER('자료_한국심리'!$B1795)),'자료_한국심리'!$A1795,"")</f>
        <v/>
      </c>
      <c r="V1811">
        <f>IF(AND(ISNUMBER('자료_한국심리'!$D1795),ISNUMBER('자료_한국심리'!$E1795)),'자료_한국심리'!$D1795,"")</f>
        <v/>
      </c>
      <c r="W1811">
        <f>IF(AND(ISNUMBER('자료_한국심리'!$G1795),ISNUMBER('자료_한국심리'!$H1795)),'자료_한국심리'!$G1795,"")</f>
        <v/>
      </c>
      <c r="X1811">
        <f>IF(AND(ISNUMBER('자료_한국심리'!$J1795),ISNUMBER('자료_한국심리'!$K1795)),'자료_한국심리'!$J1795,"")</f>
        <v/>
      </c>
      <c r="Y1811">
        <f>IF(AND(ISNUMBER('자료_한국심리'!$M1795),ISNUMBER('자료_한국심리'!$N1795)),'자료_한국심리'!$M1795,"")</f>
        <v/>
      </c>
    </row>
    <row r="1812">
      <c r="U1812">
        <f>IF(AND(ISNUMBER('자료_한국심리'!$A1796),ISNUMBER('자료_한국심리'!$B1796)),'자료_한국심리'!$A1796,"")</f>
        <v/>
      </c>
      <c r="V1812">
        <f>IF(AND(ISNUMBER('자료_한국심리'!$D1796),ISNUMBER('자료_한국심리'!$E1796)),'자료_한국심리'!$D1796,"")</f>
        <v/>
      </c>
      <c r="W1812">
        <f>IF(AND(ISNUMBER('자료_한국심리'!$G1796),ISNUMBER('자료_한국심리'!$H1796)),'자료_한국심리'!$G1796,"")</f>
        <v/>
      </c>
      <c r="X1812">
        <f>IF(AND(ISNUMBER('자료_한국심리'!$J1796),ISNUMBER('자료_한국심리'!$K1796)),'자료_한국심리'!$J1796,"")</f>
        <v/>
      </c>
      <c r="Y1812">
        <f>IF(AND(ISNUMBER('자료_한국심리'!$M1796),ISNUMBER('자료_한국심리'!$N1796)),'자료_한국심리'!$M1796,"")</f>
        <v/>
      </c>
    </row>
    <row r="1813">
      <c r="U1813">
        <f>IF(AND(ISNUMBER('자료_한국심리'!$A1797),ISNUMBER('자료_한국심리'!$B1797)),'자료_한국심리'!$A1797,"")</f>
        <v/>
      </c>
      <c r="V1813">
        <f>IF(AND(ISNUMBER('자료_한국심리'!$D1797),ISNUMBER('자료_한국심리'!$E1797)),'자료_한국심리'!$D1797,"")</f>
        <v/>
      </c>
      <c r="W1813">
        <f>IF(AND(ISNUMBER('자료_한국심리'!$G1797),ISNUMBER('자료_한국심리'!$H1797)),'자료_한국심리'!$G1797,"")</f>
        <v/>
      </c>
      <c r="X1813">
        <f>IF(AND(ISNUMBER('자료_한국심리'!$J1797),ISNUMBER('자료_한국심리'!$K1797)),'자료_한국심리'!$J1797,"")</f>
        <v/>
      </c>
      <c r="Y1813">
        <f>IF(AND(ISNUMBER('자료_한국심리'!$M1797),ISNUMBER('자료_한국심리'!$N1797)),'자료_한국심리'!$M1797,"")</f>
        <v/>
      </c>
    </row>
    <row r="1814">
      <c r="U1814">
        <f>IF(AND(ISNUMBER('자료_한국심리'!$A1798),ISNUMBER('자료_한국심리'!$B1798)),'자료_한국심리'!$A1798,"")</f>
        <v/>
      </c>
      <c r="V1814">
        <f>IF(AND(ISNUMBER('자료_한국심리'!$D1798),ISNUMBER('자료_한국심리'!$E1798)),'자료_한국심리'!$D1798,"")</f>
        <v/>
      </c>
      <c r="W1814">
        <f>IF(AND(ISNUMBER('자료_한국심리'!$G1798),ISNUMBER('자료_한국심리'!$H1798)),'자료_한국심리'!$G1798,"")</f>
        <v/>
      </c>
      <c r="X1814">
        <f>IF(AND(ISNUMBER('자료_한국심리'!$J1798),ISNUMBER('자료_한국심리'!$K1798)),'자료_한국심리'!$J1798,"")</f>
        <v/>
      </c>
      <c r="Y1814">
        <f>IF(AND(ISNUMBER('자료_한국심리'!$M1798),ISNUMBER('자료_한국심리'!$N1798)),'자료_한국심리'!$M1798,"")</f>
        <v/>
      </c>
    </row>
    <row r="1815">
      <c r="U1815">
        <f>IF(AND(ISNUMBER('자료_한국심리'!$A1799),ISNUMBER('자료_한국심리'!$B1799)),'자료_한국심리'!$A1799,"")</f>
        <v/>
      </c>
      <c r="V1815">
        <f>IF(AND(ISNUMBER('자료_한국심리'!$D1799),ISNUMBER('자료_한국심리'!$E1799)),'자료_한국심리'!$D1799,"")</f>
        <v/>
      </c>
      <c r="W1815">
        <f>IF(AND(ISNUMBER('자료_한국심리'!$G1799),ISNUMBER('자료_한국심리'!$H1799)),'자료_한국심리'!$G1799,"")</f>
        <v/>
      </c>
      <c r="X1815">
        <f>IF(AND(ISNUMBER('자료_한국심리'!$J1799),ISNUMBER('자료_한국심리'!$K1799)),'자료_한국심리'!$J1799,"")</f>
        <v/>
      </c>
      <c r="Y1815">
        <f>IF(AND(ISNUMBER('자료_한국심리'!$M1799),ISNUMBER('자료_한국심리'!$N1799)),'자료_한국심리'!$M1799,"")</f>
        <v/>
      </c>
    </row>
    <row r="1816">
      <c r="U1816">
        <f>IF(AND(ISNUMBER('자료_한국심리'!$A1800),ISNUMBER('자료_한국심리'!$B1800)),'자료_한국심리'!$A1800,"")</f>
        <v/>
      </c>
      <c r="V1816">
        <f>IF(AND(ISNUMBER('자료_한국심리'!$D1800),ISNUMBER('자료_한국심리'!$E1800)),'자료_한국심리'!$D1800,"")</f>
        <v/>
      </c>
      <c r="W1816">
        <f>IF(AND(ISNUMBER('자료_한국심리'!$G1800),ISNUMBER('자료_한국심리'!$H1800)),'자료_한국심리'!$G1800,"")</f>
        <v/>
      </c>
      <c r="X1816">
        <f>IF(AND(ISNUMBER('자료_한국심리'!$J1800),ISNUMBER('자료_한국심리'!$K1800)),'자료_한국심리'!$J1800,"")</f>
        <v/>
      </c>
      <c r="Y1816">
        <f>IF(AND(ISNUMBER('자료_한국심리'!$M1800),ISNUMBER('자료_한국심리'!$N1800)),'자료_한국심리'!$M1800,"")</f>
        <v/>
      </c>
    </row>
    <row r="1817">
      <c r="U1817">
        <f>IF(AND(ISNUMBER('자료_한국심리'!$A1801),ISNUMBER('자료_한국심리'!$B1801)),'자료_한국심리'!$A1801,"")</f>
        <v/>
      </c>
      <c r="V1817">
        <f>IF(AND(ISNUMBER('자료_한국심리'!$D1801),ISNUMBER('자료_한국심리'!$E1801)),'자료_한국심리'!$D1801,"")</f>
        <v/>
      </c>
      <c r="W1817">
        <f>IF(AND(ISNUMBER('자료_한국심리'!$G1801),ISNUMBER('자료_한국심리'!$H1801)),'자료_한국심리'!$G1801,"")</f>
        <v/>
      </c>
      <c r="X1817">
        <f>IF(AND(ISNUMBER('자료_한국심리'!$J1801),ISNUMBER('자료_한국심리'!$K1801)),'자료_한국심리'!$J1801,"")</f>
        <v/>
      </c>
      <c r="Y1817">
        <f>IF(AND(ISNUMBER('자료_한국심리'!$M1801),ISNUMBER('자료_한국심리'!$N1801)),'자료_한국심리'!$M1801,"")</f>
        <v/>
      </c>
    </row>
    <row r="1818">
      <c r="U1818">
        <f>IF(AND(ISNUMBER('자료_한국심리'!$A1802),ISNUMBER('자료_한국심리'!$B1802)),'자료_한국심리'!$A1802,"")</f>
        <v/>
      </c>
      <c r="V1818">
        <f>IF(AND(ISNUMBER('자료_한국심리'!$D1802),ISNUMBER('자료_한국심리'!$E1802)),'자료_한국심리'!$D1802,"")</f>
        <v/>
      </c>
      <c r="W1818">
        <f>IF(AND(ISNUMBER('자료_한국심리'!$G1802),ISNUMBER('자료_한국심리'!$H1802)),'자료_한국심리'!$G1802,"")</f>
        <v/>
      </c>
      <c r="X1818">
        <f>IF(AND(ISNUMBER('자료_한국심리'!$J1802),ISNUMBER('자료_한국심리'!$K1802)),'자료_한국심리'!$J1802,"")</f>
        <v/>
      </c>
      <c r="Y1818">
        <f>IF(AND(ISNUMBER('자료_한국심리'!$M1802),ISNUMBER('자료_한국심리'!$N1802)),'자료_한국심리'!$M1802,"")</f>
        <v/>
      </c>
    </row>
    <row r="1819">
      <c r="U1819">
        <f>IF(AND(ISNUMBER('자료_한국심리'!$A1803),ISNUMBER('자료_한국심리'!$B1803)),'자료_한국심리'!$A1803,"")</f>
        <v/>
      </c>
      <c r="V1819">
        <f>IF(AND(ISNUMBER('자료_한국심리'!$D1803),ISNUMBER('자료_한국심리'!$E1803)),'자료_한국심리'!$D1803,"")</f>
        <v/>
      </c>
      <c r="W1819">
        <f>IF(AND(ISNUMBER('자료_한국심리'!$G1803),ISNUMBER('자료_한국심리'!$H1803)),'자료_한국심리'!$G1803,"")</f>
        <v/>
      </c>
      <c r="X1819">
        <f>IF(AND(ISNUMBER('자료_한국심리'!$J1803),ISNUMBER('자료_한국심리'!$K1803)),'자료_한국심리'!$J1803,"")</f>
        <v/>
      </c>
      <c r="Y1819">
        <f>IF(AND(ISNUMBER('자료_한국심리'!$M1803),ISNUMBER('자료_한국심리'!$N1803)),'자료_한국심리'!$M1803,"")</f>
        <v/>
      </c>
    </row>
    <row r="1820">
      <c r="U1820">
        <f>IF(AND(ISNUMBER('자료_한국심리'!$A1804),ISNUMBER('자료_한국심리'!$B1804)),'자료_한국심리'!$A1804,"")</f>
        <v/>
      </c>
      <c r="V1820">
        <f>IF(AND(ISNUMBER('자료_한국심리'!$D1804),ISNUMBER('자료_한국심리'!$E1804)),'자료_한국심리'!$D1804,"")</f>
        <v/>
      </c>
      <c r="W1820">
        <f>IF(AND(ISNUMBER('자료_한국심리'!$G1804),ISNUMBER('자료_한국심리'!$H1804)),'자료_한국심리'!$G1804,"")</f>
        <v/>
      </c>
      <c r="X1820">
        <f>IF(AND(ISNUMBER('자료_한국심리'!$J1804),ISNUMBER('자료_한국심리'!$K1804)),'자료_한국심리'!$J1804,"")</f>
        <v/>
      </c>
      <c r="Y1820">
        <f>IF(AND(ISNUMBER('자료_한국심리'!$M1804),ISNUMBER('자료_한국심리'!$N1804)),'자료_한국심리'!$M1804,"")</f>
        <v/>
      </c>
    </row>
    <row r="1821">
      <c r="U1821">
        <f>IF(AND(ISNUMBER('자료_한국심리'!$A1805),ISNUMBER('자료_한국심리'!$B1805)),'자료_한국심리'!$A1805,"")</f>
        <v/>
      </c>
      <c r="V1821">
        <f>IF(AND(ISNUMBER('자료_한국심리'!$D1805),ISNUMBER('자료_한국심리'!$E1805)),'자료_한국심리'!$D1805,"")</f>
        <v/>
      </c>
      <c r="W1821">
        <f>IF(AND(ISNUMBER('자료_한국심리'!$G1805),ISNUMBER('자료_한국심리'!$H1805)),'자료_한국심리'!$G1805,"")</f>
        <v/>
      </c>
      <c r="X1821">
        <f>IF(AND(ISNUMBER('자료_한국심리'!$J1805),ISNUMBER('자료_한국심리'!$K1805)),'자료_한국심리'!$J1805,"")</f>
        <v/>
      </c>
      <c r="Y1821">
        <f>IF(AND(ISNUMBER('자료_한국심리'!$M1805),ISNUMBER('자료_한국심리'!$N1805)),'자료_한국심리'!$M1805,"")</f>
        <v/>
      </c>
    </row>
    <row r="1822">
      <c r="U1822">
        <f>IF(AND(ISNUMBER('자료_한국심리'!$A1806),ISNUMBER('자료_한국심리'!$B1806)),'자료_한국심리'!$A1806,"")</f>
        <v/>
      </c>
      <c r="V1822">
        <f>IF(AND(ISNUMBER('자료_한국심리'!$D1806),ISNUMBER('자료_한국심리'!$E1806)),'자료_한국심리'!$D1806,"")</f>
        <v/>
      </c>
      <c r="W1822">
        <f>IF(AND(ISNUMBER('자료_한국심리'!$G1806),ISNUMBER('자료_한국심리'!$H1806)),'자료_한국심리'!$G1806,"")</f>
        <v/>
      </c>
      <c r="X1822">
        <f>IF(AND(ISNUMBER('자료_한국심리'!$J1806),ISNUMBER('자료_한국심리'!$K1806)),'자료_한국심리'!$J1806,"")</f>
        <v/>
      </c>
      <c r="Y1822">
        <f>IF(AND(ISNUMBER('자료_한국심리'!$M1806),ISNUMBER('자료_한국심리'!$N1806)),'자료_한국심리'!$M1806,"")</f>
        <v/>
      </c>
    </row>
    <row r="1823">
      <c r="U1823">
        <f>IF(AND(ISNUMBER('자료_한국심리'!$A1807),ISNUMBER('자료_한국심리'!$B1807)),'자료_한국심리'!$A1807,"")</f>
        <v/>
      </c>
      <c r="V1823">
        <f>IF(AND(ISNUMBER('자료_한국심리'!$D1807),ISNUMBER('자료_한국심리'!$E1807)),'자료_한국심리'!$D1807,"")</f>
        <v/>
      </c>
      <c r="W1823">
        <f>IF(AND(ISNUMBER('자료_한국심리'!$G1807),ISNUMBER('자료_한국심리'!$H1807)),'자료_한국심리'!$G1807,"")</f>
        <v/>
      </c>
      <c r="X1823">
        <f>IF(AND(ISNUMBER('자료_한국심리'!$J1807),ISNUMBER('자료_한국심리'!$K1807)),'자료_한국심리'!$J1807,"")</f>
        <v/>
      </c>
      <c r="Y1823">
        <f>IF(AND(ISNUMBER('자료_한국심리'!$M1807),ISNUMBER('자료_한국심리'!$N1807)),'자료_한국심리'!$M1807,"")</f>
        <v/>
      </c>
    </row>
    <row r="1824">
      <c r="U1824">
        <f>IF(AND(ISNUMBER('자료_한국심리'!$A1808),ISNUMBER('자료_한국심리'!$B1808)),'자료_한국심리'!$A1808,"")</f>
        <v/>
      </c>
      <c r="V1824">
        <f>IF(AND(ISNUMBER('자료_한국심리'!$D1808),ISNUMBER('자료_한국심리'!$E1808)),'자료_한국심리'!$D1808,"")</f>
        <v/>
      </c>
      <c r="W1824">
        <f>IF(AND(ISNUMBER('자료_한국심리'!$G1808),ISNUMBER('자료_한국심리'!$H1808)),'자료_한국심리'!$G1808,"")</f>
        <v/>
      </c>
      <c r="X1824">
        <f>IF(AND(ISNUMBER('자료_한국심리'!$J1808),ISNUMBER('자료_한국심리'!$K1808)),'자료_한국심리'!$J1808,"")</f>
        <v/>
      </c>
      <c r="Y1824">
        <f>IF(AND(ISNUMBER('자료_한국심리'!$M1808),ISNUMBER('자료_한국심리'!$N1808)),'자료_한국심리'!$M1808,"")</f>
        <v/>
      </c>
    </row>
    <row r="1825">
      <c r="U1825">
        <f>IF(AND(ISNUMBER('자료_한국심리'!$A1809),ISNUMBER('자료_한국심리'!$B1809)),'자료_한국심리'!$A1809,"")</f>
        <v/>
      </c>
      <c r="V1825">
        <f>IF(AND(ISNUMBER('자료_한국심리'!$D1809),ISNUMBER('자료_한국심리'!$E1809)),'자료_한국심리'!$D1809,"")</f>
        <v/>
      </c>
      <c r="W1825">
        <f>IF(AND(ISNUMBER('자료_한국심리'!$G1809),ISNUMBER('자료_한국심리'!$H1809)),'자료_한국심리'!$G1809,"")</f>
        <v/>
      </c>
      <c r="X1825">
        <f>IF(AND(ISNUMBER('자료_한국심리'!$J1809),ISNUMBER('자료_한국심리'!$K1809)),'자료_한국심리'!$J1809,"")</f>
        <v/>
      </c>
      <c r="Y1825">
        <f>IF(AND(ISNUMBER('자료_한국심리'!$M1809),ISNUMBER('자료_한국심리'!$N1809)),'자료_한국심리'!$M1809,"")</f>
        <v/>
      </c>
    </row>
    <row r="1826">
      <c r="U1826">
        <f>IF(AND(ISNUMBER('자료_한국심리'!$A1810),ISNUMBER('자료_한국심리'!$B1810)),'자료_한국심리'!$A1810,"")</f>
        <v/>
      </c>
      <c r="V1826">
        <f>IF(AND(ISNUMBER('자료_한국심리'!$D1810),ISNUMBER('자료_한국심리'!$E1810)),'자료_한국심리'!$D1810,"")</f>
        <v/>
      </c>
      <c r="W1826">
        <f>IF(AND(ISNUMBER('자료_한국심리'!$G1810),ISNUMBER('자료_한국심리'!$H1810)),'자료_한국심리'!$G1810,"")</f>
        <v/>
      </c>
      <c r="X1826">
        <f>IF(AND(ISNUMBER('자료_한국심리'!$J1810),ISNUMBER('자료_한국심리'!$K1810)),'자료_한국심리'!$J1810,"")</f>
        <v/>
      </c>
      <c r="Y1826">
        <f>IF(AND(ISNUMBER('자료_한국심리'!$M1810),ISNUMBER('자료_한국심리'!$N1810)),'자료_한국심리'!$M1810,"")</f>
        <v/>
      </c>
    </row>
    <row r="1827">
      <c r="U1827">
        <f>IF(AND(ISNUMBER('자료_한국심리'!$A1811),ISNUMBER('자료_한국심리'!$B1811)),'자료_한국심리'!$A1811,"")</f>
        <v/>
      </c>
      <c r="V1827">
        <f>IF(AND(ISNUMBER('자료_한국심리'!$D1811),ISNUMBER('자료_한국심리'!$E1811)),'자료_한국심리'!$D1811,"")</f>
        <v/>
      </c>
      <c r="W1827">
        <f>IF(AND(ISNUMBER('자료_한국심리'!$G1811),ISNUMBER('자료_한국심리'!$H1811)),'자료_한국심리'!$G1811,"")</f>
        <v/>
      </c>
      <c r="X1827">
        <f>IF(AND(ISNUMBER('자료_한국심리'!$J1811),ISNUMBER('자료_한국심리'!$K1811)),'자료_한국심리'!$J1811,"")</f>
        <v/>
      </c>
      <c r="Y1827">
        <f>IF(AND(ISNUMBER('자료_한국심리'!$M1811),ISNUMBER('자료_한국심리'!$N1811)),'자료_한국심리'!$M1811,"")</f>
        <v/>
      </c>
    </row>
    <row r="1828">
      <c r="U1828">
        <f>IF(AND(ISNUMBER('자료_한국심리'!$A1812),ISNUMBER('자료_한국심리'!$B1812)),'자료_한국심리'!$A1812,"")</f>
        <v/>
      </c>
      <c r="V1828">
        <f>IF(AND(ISNUMBER('자료_한국심리'!$D1812),ISNUMBER('자료_한국심리'!$E1812)),'자료_한국심리'!$D1812,"")</f>
        <v/>
      </c>
      <c r="W1828">
        <f>IF(AND(ISNUMBER('자료_한국심리'!$G1812),ISNUMBER('자료_한국심리'!$H1812)),'자료_한국심리'!$G1812,"")</f>
        <v/>
      </c>
      <c r="X1828">
        <f>IF(AND(ISNUMBER('자료_한국심리'!$J1812),ISNUMBER('자료_한국심리'!$K1812)),'자료_한국심리'!$J1812,"")</f>
        <v/>
      </c>
      <c r="Y1828">
        <f>IF(AND(ISNUMBER('자료_한국심리'!$M1812),ISNUMBER('자료_한국심리'!$N1812)),'자료_한국심리'!$M1812,"")</f>
        <v/>
      </c>
    </row>
    <row r="1829">
      <c r="U1829">
        <f>IF(AND(ISNUMBER('자료_한국심리'!$A1813),ISNUMBER('자료_한국심리'!$B1813)),'자료_한국심리'!$A1813,"")</f>
        <v/>
      </c>
      <c r="V1829">
        <f>IF(AND(ISNUMBER('자료_한국심리'!$D1813),ISNUMBER('자료_한국심리'!$E1813)),'자료_한국심리'!$D1813,"")</f>
        <v/>
      </c>
      <c r="W1829">
        <f>IF(AND(ISNUMBER('자료_한국심리'!$G1813),ISNUMBER('자료_한국심리'!$H1813)),'자료_한국심리'!$G1813,"")</f>
        <v/>
      </c>
      <c r="X1829">
        <f>IF(AND(ISNUMBER('자료_한국심리'!$J1813),ISNUMBER('자료_한국심리'!$K1813)),'자료_한국심리'!$J1813,"")</f>
        <v/>
      </c>
      <c r="Y1829">
        <f>IF(AND(ISNUMBER('자료_한국심리'!$M1813),ISNUMBER('자료_한국심리'!$N1813)),'자료_한국심리'!$M1813,"")</f>
        <v/>
      </c>
    </row>
    <row r="1830">
      <c r="U1830">
        <f>IF(AND(ISNUMBER('자료_한국심리'!$A1814),ISNUMBER('자료_한국심리'!$B1814)),'자료_한국심리'!$A1814,"")</f>
        <v/>
      </c>
      <c r="V1830">
        <f>IF(AND(ISNUMBER('자료_한국심리'!$D1814),ISNUMBER('자료_한국심리'!$E1814)),'자료_한국심리'!$D1814,"")</f>
        <v/>
      </c>
      <c r="W1830">
        <f>IF(AND(ISNUMBER('자료_한국심리'!$G1814),ISNUMBER('자료_한국심리'!$H1814)),'자료_한국심리'!$G1814,"")</f>
        <v/>
      </c>
      <c r="X1830">
        <f>IF(AND(ISNUMBER('자료_한국심리'!$J1814),ISNUMBER('자료_한국심리'!$K1814)),'자료_한국심리'!$J1814,"")</f>
        <v/>
      </c>
      <c r="Y1830">
        <f>IF(AND(ISNUMBER('자료_한국심리'!$M1814),ISNUMBER('자료_한국심리'!$N1814)),'자료_한국심리'!$M1814,"")</f>
        <v/>
      </c>
    </row>
    <row r="1831">
      <c r="U1831">
        <f>IF(AND(ISNUMBER('자료_한국심리'!$A1815),ISNUMBER('자료_한국심리'!$B1815)),'자료_한국심리'!$A1815,"")</f>
        <v/>
      </c>
      <c r="V1831">
        <f>IF(AND(ISNUMBER('자료_한국심리'!$D1815),ISNUMBER('자료_한국심리'!$E1815)),'자료_한국심리'!$D1815,"")</f>
        <v/>
      </c>
      <c r="W1831">
        <f>IF(AND(ISNUMBER('자료_한국심리'!$G1815),ISNUMBER('자료_한국심리'!$H1815)),'자료_한국심리'!$G1815,"")</f>
        <v/>
      </c>
      <c r="X1831">
        <f>IF(AND(ISNUMBER('자료_한국심리'!$J1815),ISNUMBER('자료_한국심리'!$K1815)),'자료_한국심리'!$J1815,"")</f>
        <v/>
      </c>
      <c r="Y1831">
        <f>IF(AND(ISNUMBER('자료_한국심리'!$M1815),ISNUMBER('자료_한국심리'!$N1815)),'자료_한국심리'!$M1815,"")</f>
        <v/>
      </c>
    </row>
    <row r="1832">
      <c r="U1832">
        <f>IF(AND(ISNUMBER('자료_한국심리'!$A1816),ISNUMBER('자료_한국심리'!$B1816)),'자료_한국심리'!$A1816,"")</f>
        <v/>
      </c>
      <c r="V1832">
        <f>IF(AND(ISNUMBER('자료_한국심리'!$D1816),ISNUMBER('자료_한국심리'!$E1816)),'자료_한국심리'!$D1816,"")</f>
        <v/>
      </c>
      <c r="W1832">
        <f>IF(AND(ISNUMBER('자료_한국심리'!$G1816),ISNUMBER('자료_한국심리'!$H1816)),'자료_한국심리'!$G1816,"")</f>
        <v/>
      </c>
      <c r="X1832">
        <f>IF(AND(ISNUMBER('자료_한국심리'!$J1816),ISNUMBER('자료_한국심리'!$K1816)),'자료_한국심리'!$J1816,"")</f>
        <v/>
      </c>
      <c r="Y1832">
        <f>IF(AND(ISNUMBER('자료_한국심리'!$M1816),ISNUMBER('자료_한국심리'!$N1816)),'자료_한국심리'!$M1816,"")</f>
        <v/>
      </c>
    </row>
    <row r="1833">
      <c r="U1833">
        <f>IF(AND(ISNUMBER('자료_한국심리'!$A1817),ISNUMBER('자료_한국심리'!$B1817)),'자료_한국심리'!$A1817,"")</f>
        <v/>
      </c>
      <c r="V1833">
        <f>IF(AND(ISNUMBER('자료_한국심리'!$D1817),ISNUMBER('자료_한국심리'!$E1817)),'자료_한국심리'!$D1817,"")</f>
        <v/>
      </c>
      <c r="W1833">
        <f>IF(AND(ISNUMBER('자료_한국심리'!$G1817),ISNUMBER('자료_한국심리'!$H1817)),'자료_한국심리'!$G1817,"")</f>
        <v/>
      </c>
      <c r="X1833">
        <f>IF(AND(ISNUMBER('자료_한국심리'!$J1817),ISNUMBER('자료_한국심리'!$K1817)),'자료_한국심리'!$J1817,"")</f>
        <v/>
      </c>
      <c r="Y1833">
        <f>IF(AND(ISNUMBER('자료_한국심리'!$M1817),ISNUMBER('자료_한국심리'!$N1817)),'자료_한국심리'!$M1817,"")</f>
        <v/>
      </c>
    </row>
    <row r="1834">
      <c r="U1834">
        <f>IF(AND(ISNUMBER('자료_한국심리'!$A1818),ISNUMBER('자료_한국심리'!$B1818)),'자료_한국심리'!$A1818,"")</f>
        <v/>
      </c>
      <c r="V1834">
        <f>IF(AND(ISNUMBER('자료_한국심리'!$D1818),ISNUMBER('자료_한국심리'!$E1818)),'자료_한국심리'!$D1818,"")</f>
        <v/>
      </c>
      <c r="W1834">
        <f>IF(AND(ISNUMBER('자료_한국심리'!$G1818),ISNUMBER('자료_한국심리'!$H1818)),'자료_한국심리'!$G1818,"")</f>
        <v/>
      </c>
      <c r="X1834">
        <f>IF(AND(ISNUMBER('자료_한국심리'!$J1818),ISNUMBER('자료_한국심리'!$K1818)),'자료_한국심리'!$J1818,"")</f>
        <v/>
      </c>
      <c r="Y1834">
        <f>IF(AND(ISNUMBER('자료_한국심리'!$M1818),ISNUMBER('자료_한국심리'!$N1818)),'자료_한국심리'!$M1818,"")</f>
        <v/>
      </c>
    </row>
    <row r="1835">
      <c r="U1835">
        <f>IF(AND(ISNUMBER('자료_한국심리'!$A1819),ISNUMBER('자료_한국심리'!$B1819)),'자료_한국심리'!$A1819,"")</f>
        <v/>
      </c>
      <c r="V1835">
        <f>IF(AND(ISNUMBER('자료_한국심리'!$D1819),ISNUMBER('자료_한국심리'!$E1819)),'자료_한국심리'!$D1819,"")</f>
        <v/>
      </c>
      <c r="W1835">
        <f>IF(AND(ISNUMBER('자료_한국심리'!$G1819),ISNUMBER('자료_한국심리'!$H1819)),'자료_한국심리'!$G1819,"")</f>
        <v/>
      </c>
      <c r="X1835">
        <f>IF(AND(ISNUMBER('자료_한국심리'!$J1819),ISNUMBER('자료_한국심리'!$K1819)),'자료_한국심리'!$J1819,"")</f>
        <v/>
      </c>
      <c r="Y1835">
        <f>IF(AND(ISNUMBER('자료_한국심리'!$M1819),ISNUMBER('자료_한국심리'!$N1819)),'자료_한국심리'!$M1819,"")</f>
        <v/>
      </c>
    </row>
    <row r="1836">
      <c r="U1836">
        <f>IF(AND(ISNUMBER('자료_한국심리'!$A1820),ISNUMBER('자료_한국심리'!$B1820)),'자료_한국심리'!$A1820,"")</f>
        <v/>
      </c>
      <c r="V1836">
        <f>IF(AND(ISNUMBER('자료_한국심리'!$D1820),ISNUMBER('자료_한국심리'!$E1820)),'자료_한국심리'!$D1820,"")</f>
        <v/>
      </c>
      <c r="W1836">
        <f>IF(AND(ISNUMBER('자료_한국심리'!$G1820),ISNUMBER('자료_한국심리'!$H1820)),'자료_한국심리'!$G1820,"")</f>
        <v/>
      </c>
      <c r="X1836">
        <f>IF(AND(ISNUMBER('자료_한국심리'!$J1820),ISNUMBER('자료_한국심리'!$K1820)),'자료_한국심리'!$J1820,"")</f>
        <v/>
      </c>
      <c r="Y1836">
        <f>IF(AND(ISNUMBER('자료_한국심리'!$M1820),ISNUMBER('자료_한국심리'!$N1820)),'자료_한국심리'!$M1820,"")</f>
        <v/>
      </c>
    </row>
    <row r="1837">
      <c r="U1837">
        <f>IF(AND(ISNUMBER('자료_한국심리'!$A1821),ISNUMBER('자료_한국심리'!$B1821)),'자료_한국심리'!$A1821,"")</f>
        <v/>
      </c>
      <c r="V1837">
        <f>IF(AND(ISNUMBER('자료_한국심리'!$D1821),ISNUMBER('자료_한국심리'!$E1821)),'자료_한국심리'!$D1821,"")</f>
        <v/>
      </c>
      <c r="W1837">
        <f>IF(AND(ISNUMBER('자료_한국심리'!$G1821),ISNUMBER('자료_한국심리'!$H1821)),'자료_한국심리'!$G1821,"")</f>
        <v/>
      </c>
      <c r="X1837">
        <f>IF(AND(ISNUMBER('자료_한국심리'!$J1821),ISNUMBER('자료_한국심리'!$K1821)),'자료_한국심리'!$J1821,"")</f>
        <v/>
      </c>
      <c r="Y1837">
        <f>IF(AND(ISNUMBER('자료_한국심리'!$M1821),ISNUMBER('자료_한국심리'!$N1821)),'자료_한국심리'!$M1821,"")</f>
        <v/>
      </c>
    </row>
    <row r="1838">
      <c r="U1838">
        <f>IF(AND(ISNUMBER('자료_한국심리'!$A1822),ISNUMBER('자료_한국심리'!$B1822)),'자료_한국심리'!$A1822,"")</f>
        <v/>
      </c>
      <c r="V1838">
        <f>IF(AND(ISNUMBER('자료_한국심리'!$D1822),ISNUMBER('자료_한국심리'!$E1822)),'자료_한국심리'!$D1822,"")</f>
        <v/>
      </c>
      <c r="W1838">
        <f>IF(AND(ISNUMBER('자료_한국심리'!$G1822),ISNUMBER('자료_한국심리'!$H1822)),'자료_한국심리'!$G1822,"")</f>
        <v/>
      </c>
      <c r="X1838">
        <f>IF(AND(ISNUMBER('자료_한국심리'!$J1822),ISNUMBER('자료_한국심리'!$K1822)),'자료_한국심리'!$J1822,"")</f>
        <v/>
      </c>
      <c r="Y1838">
        <f>IF(AND(ISNUMBER('자료_한국심리'!$M1822),ISNUMBER('자료_한국심리'!$N1822)),'자료_한국심리'!$M1822,"")</f>
        <v/>
      </c>
    </row>
    <row r="1839">
      <c r="U1839">
        <f>IF(AND(ISNUMBER('자료_한국심리'!$A1823),ISNUMBER('자료_한국심리'!$B1823)),'자료_한국심리'!$A1823,"")</f>
        <v/>
      </c>
      <c r="V1839">
        <f>IF(AND(ISNUMBER('자료_한국심리'!$D1823),ISNUMBER('자료_한국심리'!$E1823)),'자료_한국심리'!$D1823,"")</f>
        <v/>
      </c>
      <c r="W1839">
        <f>IF(AND(ISNUMBER('자료_한국심리'!$G1823),ISNUMBER('자료_한국심리'!$H1823)),'자료_한국심리'!$G1823,"")</f>
        <v/>
      </c>
      <c r="X1839">
        <f>IF(AND(ISNUMBER('자료_한국심리'!$J1823),ISNUMBER('자료_한국심리'!$K1823)),'자료_한국심리'!$J1823,"")</f>
        <v/>
      </c>
      <c r="Y1839">
        <f>IF(AND(ISNUMBER('자료_한국심리'!$M1823),ISNUMBER('자료_한국심리'!$N1823)),'자료_한국심리'!$M1823,"")</f>
        <v/>
      </c>
    </row>
    <row r="1840">
      <c r="U1840">
        <f>IF(AND(ISNUMBER('자료_한국심리'!$A1824),ISNUMBER('자료_한국심리'!$B1824)),'자료_한국심리'!$A1824,"")</f>
        <v/>
      </c>
      <c r="V1840">
        <f>IF(AND(ISNUMBER('자료_한국심리'!$D1824),ISNUMBER('자료_한국심리'!$E1824)),'자료_한국심리'!$D1824,"")</f>
        <v/>
      </c>
      <c r="W1840">
        <f>IF(AND(ISNUMBER('자료_한국심리'!$G1824),ISNUMBER('자료_한국심리'!$H1824)),'자료_한국심리'!$G1824,"")</f>
        <v/>
      </c>
      <c r="X1840">
        <f>IF(AND(ISNUMBER('자료_한국심리'!$J1824),ISNUMBER('자료_한국심리'!$K1824)),'자료_한국심리'!$J1824,"")</f>
        <v/>
      </c>
      <c r="Y1840">
        <f>IF(AND(ISNUMBER('자료_한국심리'!$M1824),ISNUMBER('자료_한국심리'!$N1824)),'자료_한국심리'!$M1824,"")</f>
        <v/>
      </c>
    </row>
    <row r="1841">
      <c r="U1841">
        <f>IF(AND(ISNUMBER('자료_한국심리'!$A1825),ISNUMBER('자료_한국심리'!$B1825)),'자료_한국심리'!$A1825,"")</f>
        <v/>
      </c>
      <c r="V1841">
        <f>IF(AND(ISNUMBER('자료_한국심리'!$D1825),ISNUMBER('자료_한국심리'!$E1825)),'자료_한국심리'!$D1825,"")</f>
        <v/>
      </c>
      <c r="W1841">
        <f>IF(AND(ISNUMBER('자료_한국심리'!$G1825),ISNUMBER('자료_한국심리'!$H1825)),'자료_한국심리'!$G1825,"")</f>
        <v/>
      </c>
      <c r="X1841">
        <f>IF(AND(ISNUMBER('자료_한국심리'!$J1825),ISNUMBER('자료_한국심리'!$K1825)),'자료_한국심리'!$J1825,"")</f>
        <v/>
      </c>
      <c r="Y1841">
        <f>IF(AND(ISNUMBER('자료_한국심리'!$M1825),ISNUMBER('자료_한국심리'!$N1825)),'자료_한국심리'!$M1825,"")</f>
        <v/>
      </c>
    </row>
    <row r="1842">
      <c r="U1842">
        <f>IF(AND(ISNUMBER('자료_한국심리'!$A1826),ISNUMBER('자료_한국심리'!$B1826)),'자료_한국심리'!$A1826,"")</f>
        <v/>
      </c>
      <c r="V1842">
        <f>IF(AND(ISNUMBER('자료_한국심리'!$D1826),ISNUMBER('자료_한국심리'!$E1826)),'자료_한국심리'!$D1826,"")</f>
        <v/>
      </c>
      <c r="W1842">
        <f>IF(AND(ISNUMBER('자료_한국심리'!$G1826),ISNUMBER('자료_한국심리'!$H1826)),'자료_한국심리'!$G1826,"")</f>
        <v/>
      </c>
      <c r="X1842">
        <f>IF(AND(ISNUMBER('자료_한국심리'!$J1826),ISNUMBER('자료_한국심리'!$K1826)),'자료_한국심리'!$J1826,"")</f>
        <v/>
      </c>
      <c r="Y1842">
        <f>IF(AND(ISNUMBER('자료_한국심리'!$M1826),ISNUMBER('자료_한국심리'!$N1826)),'자료_한국심리'!$M1826,"")</f>
        <v/>
      </c>
    </row>
    <row r="1843">
      <c r="U1843">
        <f>IF(AND(ISNUMBER('자료_한국심리'!$A1827),ISNUMBER('자료_한국심리'!$B1827)),'자료_한국심리'!$A1827,"")</f>
        <v/>
      </c>
      <c r="V1843">
        <f>IF(AND(ISNUMBER('자료_한국심리'!$D1827),ISNUMBER('자료_한국심리'!$E1827)),'자료_한국심리'!$D1827,"")</f>
        <v/>
      </c>
      <c r="W1843">
        <f>IF(AND(ISNUMBER('자료_한국심리'!$G1827),ISNUMBER('자료_한국심리'!$H1827)),'자료_한국심리'!$G1827,"")</f>
        <v/>
      </c>
      <c r="X1843">
        <f>IF(AND(ISNUMBER('자료_한국심리'!$J1827),ISNUMBER('자료_한국심리'!$K1827)),'자료_한국심리'!$J1827,"")</f>
        <v/>
      </c>
      <c r="Y1843">
        <f>IF(AND(ISNUMBER('자료_한국심리'!$M1827),ISNUMBER('자료_한국심리'!$N1827)),'자료_한국심리'!$M1827,"")</f>
        <v/>
      </c>
    </row>
    <row r="1844">
      <c r="U1844">
        <f>IF(AND(ISNUMBER('자료_한국심리'!$A1828),ISNUMBER('자료_한국심리'!$B1828)),'자료_한국심리'!$A1828,"")</f>
        <v/>
      </c>
      <c r="V1844">
        <f>IF(AND(ISNUMBER('자료_한국심리'!$D1828),ISNUMBER('자료_한국심리'!$E1828)),'자료_한국심리'!$D1828,"")</f>
        <v/>
      </c>
      <c r="W1844">
        <f>IF(AND(ISNUMBER('자료_한국심리'!$G1828),ISNUMBER('자료_한국심리'!$H1828)),'자료_한국심리'!$G1828,"")</f>
        <v/>
      </c>
      <c r="X1844">
        <f>IF(AND(ISNUMBER('자료_한국심리'!$J1828),ISNUMBER('자료_한국심리'!$K1828)),'자료_한국심리'!$J1828,"")</f>
        <v/>
      </c>
      <c r="Y1844">
        <f>IF(AND(ISNUMBER('자료_한국심리'!$M1828),ISNUMBER('자료_한국심리'!$N1828)),'자료_한국심리'!$M1828,"")</f>
        <v/>
      </c>
    </row>
    <row r="1845">
      <c r="U1845">
        <f>IF(AND(ISNUMBER('자료_한국심리'!$A1829),ISNUMBER('자료_한국심리'!$B1829)),'자료_한국심리'!$A1829,"")</f>
        <v/>
      </c>
      <c r="V1845">
        <f>IF(AND(ISNUMBER('자료_한국심리'!$D1829),ISNUMBER('자료_한국심리'!$E1829)),'자료_한국심리'!$D1829,"")</f>
        <v/>
      </c>
      <c r="W1845">
        <f>IF(AND(ISNUMBER('자료_한국심리'!$G1829),ISNUMBER('자료_한국심리'!$H1829)),'자료_한국심리'!$G1829,"")</f>
        <v/>
      </c>
      <c r="X1845">
        <f>IF(AND(ISNUMBER('자료_한국심리'!$J1829),ISNUMBER('자료_한국심리'!$K1829)),'자료_한국심리'!$J1829,"")</f>
        <v/>
      </c>
      <c r="Y1845">
        <f>IF(AND(ISNUMBER('자료_한국심리'!$M1829),ISNUMBER('자료_한국심리'!$N1829)),'자료_한국심리'!$M1829,"")</f>
        <v/>
      </c>
    </row>
    <row r="1846">
      <c r="U1846">
        <f>IF(AND(ISNUMBER('자료_한국심리'!$A1830),ISNUMBER('자료_한국심리'!$B1830)),'자료_한국심리'!$A1830,"")</f>
        <v/>
      </c>
      <c r="V1846">
        <f>IF(AND(ISNUMBER('자료_한국심리'!$D1830),ISNUMBER('자료_한국심리'!$E1830)),'자료_한국심리'!$D1830,"")</f>
        <v/>
      </c>
      <c r="W1846">
        <f>IF(AND(ISNUMBER('자료_한국심리'!$G1830),ISNUMBER('자료_한국심리'!$H1830)),'자료_한국심리'!$G1830,"")</f>
        <v/>
      </c>
      <c r="X1846">
        <f>IF(AND(ISNUMBER('자료_한국심리'!$J1830),ISNUMBER('자료_한국심리'!$K1830)),'자료_한국심리'!$J1830,"")</f>
        <v/>
      </c>
      <c r="Y1846">
        <f>IF(AND(ISNUMBER('자료_한국심리'!$M1830),ISNUMBER('자료_한국심리'!$N1830)),'자료_한국심리'!$M1830,"")</f>
        <v/>
      </c>
    </row>
    <row r="1847">
      <c r="U1847">
        <f>IF(AND(ISNUMBER('자료_한국심리'!$A1831),ISNUMBER('자료_한국심리'!$B1831)),'자료_한국심리'!$A1831,"")</f>
        <v/>
      </c>
      <c r="V1847">
        <f>IF(AND(ISNUMBER('자료_한국심리'!$D1831),ISNUMBER('자료_한국심리'!$E1831)),'자료_한국심리'!$D1831,"")</f>
        <v/>
      </c>
      <c r="W1847">
        <f>IF(AND(ISNUMBER('자료_한국심리'!$G1831),ISNUMBER('자료_한국심리'!$H1831)),'자료_한국심리'!$G1831,"")</f>
        <v/>
      </c>
      <c r="X1847">
        <f>IF(AND(ISNUMBER('자료_한국심리'!$J1831),ISNUMBER('자료_한국심리'!$K1831)),'자료_한국심리'!$J1831,"")</f>
        <v/>
      </c>
      <c r="Y1847">
        <f>IF(AND(ISNUMBER('자료_한국심리'!$M1831),ISNUMBER('자료_한국심리'!$N1831)),'자료_한국심리'!$M1831,"")</f>
        <v/>
      </c>
    </row>
    <row r="1848">
      <c r="U1848">
        <f>IF(AND(ISNUMBER('자료_한국심리'!$A1832),ISNUMBER('자료_한국심리'!$B1832)),'자료_한국심리'!$A1832,"")</f>
        <v/>
      </c>
      <c r="V1848">
        <f>IF(AND(ISNUMBER('자료_한국심리'!$D1832),ISNUMBER('자료_한국심리'!$E1832)),'자료_한국심리'!$D1832,"")</f>
        <v/>
      </c>
      <c r="W1848">
        <f>IF(AND(ISNUMBER('자료_한국심리'!$G1832),ISNUMBER('자료_한국심리'!$H1832)),'자료_한국심리'!$G1832,"")</f>
        <v/>
      </c>
      <c r="X1848">
        <f>IF(AND(ISNUMBER('자료_한국심리'!$J1832),ISNUMBER('자료_한국심리'!$K1832)),'자료_한국심리'!$J1832,"")</f>
        <v/>
      </c>
      <c r="Y1848">
        <f>IF(AND(ISNUMBER('자료_한국심리'!$M1832),ISNUMBER('자료_한국심리'!$N1832)),'자료_한국심리'!$M1832,"")</f>
        <v/>
      </c>
    </row>
    <row r="1849">
      <c r="U1849">
        <f>IF(AND(ISNUMBER('자료_한국심리'!$A1833),ISNUMBER('자료_한국심리'!$B1833)),'자료_한국심리'!$A1833,"")</f>
        <v/>
      </c>
      <c r="V1849">
        <f>IF(AND(ISNUMBER('자료_한국심리'!$D1833),ISNUMBER('자료_한국심리'!$E1833)),'자료_한국심리'!$D1833,"")</f>
        <v/>
      </c>
      <c r="W1849">
        <f>IF(AND(ISNUMBER('자료_한국심리'!$G1833),ISNUMBER('자료_한국심리'!$H1833)),'자료_한국심리'!$G1833,"")</f>
        <v/>
      </c>
      <c r="X1849">
        <f>IF(AND(ISNUMBER('자료_한국심리'!$J1833),ISNUMBER('자료_한국심리'!$K1833)),'자료_한국심리'!$J1833,"")</f>
        <v/>
      </c>
      <c r="Y1849">
        <f>IF(AND(ISNUMBER('자료_한국심리'!$M1833),ISNUMBER('자료_한국심리'!$N1833)),'자료_한국심리'!$M1833,"")</f>
        <v/>
      </c>
    </row>
    <row r="1850">
      <c r="U1850">
        <f>IF(AND(ISNUMBER('자료_한국심리'!$A1834),ISNUMBER('자료_한국심리'!$B1834)),'자료_한국심리'!$A1834,"")</f>
        <v/>
      </c>
      <c r="V1850">
        <f>IF(AND(ISNUMBER('자료_한국심리'!$D1834),ISNUMBER('자료_한국심리'!$E1834)),'자료_한국심리'!$D1834,"")</f>
        <v/>
      </c>
      <c r="W1850">
        <f>IF(AND(ISNUMBER('자료_한국심리'!$G1834),ISNUMBER('자료_한국심리'!$H1834)),'자료_한국심리'!$G1834,"")</f>
        <v/>
      </c>
      <c r="X1850">
        <f>IF(AND(ISNUMBER('자료_한국심리'!$J1834),ISNUMBER('자료_한국심리'!$K1834)),'자료_한국심리'!$J1834,"")</f>
        <v/>
      </c>
      <c r="Y1850">
        <f>IF(AND(ISNUMBER('자료_한국심리'!$M1834),ISNUMBER('자료_한국심리'!$N1834)),'자료_한국심리'!$M1834,"")</f>
        <v/>
      </c>
    </row>
    <row r="1851">
      <c r="U1851">
        <f>IF(AND(ISNUMBER('자료_한국심리'!$A1835),ISNUMBER('자료_한국심리'!$B1835)),'자료_한국심리'!$A1835,"")</f>
        <v/>
      </c>
      <c r="V1851">
        <f>IF(AND(ISNUMBER('자료_한국심리'!$D1835),ISNUMBER('자료_한국심리'!$E1835)),'자료_한국심리'!$D1835,"")</f>
        <v/>
      </c>
      <c r="W1851">
        <f>IF(AND(ISNUMBER('자료_한국심리'!$G1835),ISNUMBER('자료_한국심리'!$H1835)),'자료_한국심리'!$G1835,"")</f>
        <v/>
      </c>
      <c r="X1851">
        <f>IF(AND(ISNUMBER('자료_한국심리'!$J1835),ISNUMBER('자료_한국심리'!$K1835)),'자료_한국심리'!$J1835,"")</f>
        <v/>
      </c>
      <c r="Y1851">
        <f>IF(AND(ISNUMBER('자료_한국심리'!$M1835),ISNUMBER('자료_한국심리'!$N1835)),'자료_한국심리'!$M1835,"")</f>
        <v/>
      </c>
    </row>
    <row r="1852">
      <c r="U1852">
        <f>IF(AND(ISNUMBER('자료_한국심리'!$A1836),ISNUMBER('자료_한국심리'!$B1836)),'자료_한국심리'!$A1836,"")</f>
        <v/>
      </c>
      <c r="V1852">
        <f>IF(AND(ISNUMBER('자료_한국심리'!$D1836),ISNUMBER('자료_한국심리'!$E1836)),'자료_한국심리'!$D1836,"")</f>
        <v/>
      </c>
      <c r="W1852">
        <f>IF(AND(ISNUMBER('자료_한국심리'!$G1836),ISNUMBER('자료_한국심리'!$H1836)),'자료_한국심리'!$G1836,"")</f>
        <v/>
      </c>
      <c r="X1852">
        <f>IF(AND(ISNUMBER('자료_한국심리'!$J1836),ISNUMBER('자료_한국심리'!$K1836)),'자료_한국심리'!$J1836,"")</f>
        <v/>
      </c>
      <c r="Y1852">
        <f>IF(AND(ISNUMBER('자료_한국심리'!$M1836),ISNUMBER('자료_한국심리'!$N1836)),'자료_한국심리'!$M1836,"")</f>
        <v/>
      </c>
    </row>
    <row r="1853">
      <c r="U1853">
        <f>IF(AND(ISNUMBER('자료_한국심리'!$A1837),ISNUMBER('자료_한국심리'!$B1837)),'자료_한국심리'!$A1837,"")</f>
        <v/>
      </c>
      <c r="V1853">
        <f>IF(AND(ISNUMBER('자료_한국심리'!$D1837),ISNUMBER('자료_한국심리'!$E1837)),'자료_한국심리'!$D1837,"")</f>
        <v/>
      </c>
      <c r="W1853">
        <f>IF(AND(ISNUMBER('자료_한국심리'!$G1837),ISNUMBER('자료_한국심리'!$H1837)),'자료_한국심리'!$G1837,"")</f>
        <v/>
      </c>
      <c r="X1853">
        <f>IF(AND(ISNUMBER('자료_한국심리'!$J1837),ISNUMBER('자료_한국심리'!$K1837)),'자료_한국심리'!$J1837,"")</f>
        <v/>
      </c>
      <c r="Y1853">
        <f>IF(AND(ISNUMBER('자료_한국심리'!$M1837),ISNUMBER('자료_한국심리'!$N1837)),'자료_한국심리'!$M1837,"")</f>
        <v/>
      </c>
    </row>
    <row r="1854">
      <c r="U1854">
        <f>IF(AND(ISNUMBER('자료_한국심리'!$A1838),ISNUMBER('자료_한국심리'!$B1838)),'자료_한국심리'!$A1838,"")</f>
        <v/>
      </c>
      <c r="V1854">
        <f>IF(AND(ISNUMBER('자료_한국심리'!$D1838),ISNUMBER('자료_한국심리'!$E1838)),'자료_한국심리'!$D1838,"")</f>
        <v/>
      </c>
      <c r="W1854">
        <f>IF(AND(ISNUMBER('자료_한국심리'!$G1838),ISNUMBER('자료_한국심리'!$H1838)),'자료_한국심리'!$G1838,"")</f>
        <v/>
      </c>
      <c r="X1854">
        <f>IF(AND(ISNUMBER('자료_한국심리'!$J1838),ISNUMBER('자료_한국심리'!$K1838)),'자료_한국심리'!$J1838,"")</f>
        <v/>
      </c>
      <c r="Y1854">
        <f>IF(AND(ISNUMBER('자료_한국심리'!$M1838),ISNUMBER('자료_한국심리'!$N1838)),'자료_한국심리'!$M1838,"")</f>
        <v/>
      </c>
    </row>
    <row r="1855">
      <c r="U1855">
        <f>IF(AND(ISNUMBER('자료_한국심리'!$A1839),ISNUMBER('자료_한국심리'!$B1839)),'자료_한국심리'!$A1839,"")</f>
        <v/>
      </c>
      <c r="V1855">
        <f>IF(AND(ISNUMBER('자료_한국심리'!$D1839),ISNUMBER('자료_한국심리'!$E1839)),'자료_한국심리'!$D1839,"")</f>
        <v/>
      </c>
      <c r="W1855">
        <f>IF(AND(ISNUMBER('자료_한국심리'!$G1839),ISNUMBER('자료_한국심리'!$H1839)),'자료_한국심리'!$G1839,"")</f>
        <v/>
      </c>
      <c r="X1855">
        <f>IF(AND(ISNUMBER('자료_한국심리'!$J1839),ISNUMBER('자료_한국심리'!$K1839)),'자료_한국심리'!$J1839,"")</f>
        <v/>
      </c>
      <c r="Y1855">
        <f>IF(AND(ISNUMBER('자료_한국심리'!$M1839),ISNUMBER('자료_한국심리'!$N1839)),'자료_한국심리'!$M1839,"")</f>
        <v/>
      </c>
    </row>
    <row r="1856">
      <c r="U1856">
        <f>IF(AND(ISNUMBER('자료_한국심리'!$A1840),ISNUMBER('자료_한국심리'!$B1840)),'자료_한국심리'!$A1840,"")</f>
        <v/>
      </c>
      <c r="V1856">
        <f>IF(AND(ISNUMBER('자료_한국심리'!$D1840),ISNUMBER('자료_한국심리'!$E1840)),'자료_한국심리'!$D1840,"")</f>
        <v/>
      </c>
      <c r="W1856">
        <f>IF(AND(ISNUMBER('자료_한국심리'!$G1840),ISNUMBER('자료_한국심리'!$H1840)),'자료_한국심리'!$G1840,"")</f>
        <v/>
      </c>
      <c r="X1856">
        <f>IF(AND(ISNUMBER('자료_한국심리'!$J1840),ISNUMBER('자료_한국심리'!$K1840)),'자료_한국심리'!$J1840,"")</f>
        <v/>
      </c>
      <c r="Y1856">
        <f>IF(AND(ISNUMBER('자료_한국심리'!$M1840),ISNUMBER('자료_한국심리'!$N1840)),'자료_한국심리'!$M1840,"")</f>
        <v/>
      </c>
    </row>
    <row r="1857">
      <c r="U1857">
        <f>IF(AND(ISNUMBER('자료_한국심리'!$A1841),ISNUMBER('자료_한국심리'!$B1841)),'자료_한국심리'!$A1841,"")</f>
        <v/>
      </c>
      <c r="V1857">
        <f>IF(AND(ISNUMBER('자료_한국심리'!$D1841),ISNUMBER('자료_한국심리'!$E1841)),'자료_한국심리'!$D1841,"")</f>
        <v/>
      </c>
      <c r="W1857">
        <f>IF(AND(ISNUMBER('자료_한국심리'!$G1841),ISNUMBER('자료_한국심리'!$H1841)),'자료_한국심리'!$G1841,"")</f>
        <v/>
      </c>
      <c r="X1857">
        <f>IF(AND(ISNUMBER('자료_한국심리'!$J1841),ISNUMBER('자료_한국심리'!$K1841)),'자료_한국심리'!$J1841,"")</f>
        <v/>
      </c>
      <c r="Y1857">
        <f>IF(AND(ISNUMBER('자료_한국심리'!$M1841),ISNUMBER('자료_한국심리'!$N1841)),'자료_한국심리'!$M1841,"")</f>
        <v/>
      </c>
    </row>
    <row r="1858">
      <c r="U1858">
        <f>IF(AND(ISNUMBER('자료_한국심리'!$A1842),ISNUMBER('자료_한국심리'!$B1842)),'자료_한국심리'!$A1842,"")</f>
        <v/>
      </c>
      <c r="V1858">
        <f>IF(AND(ISNUMBER('자료_한국심리'!$D1842),ISNUMBER('자료_한국심리'!$E1842)),'자료_한국심리'!$D1842,"")</f>
        <v/>
      </c>
      <c r="W1858">
        <f>IF(AND(ISNUMBER('자료_한국심리'!$G1842),ISNUMBER('자료_한국심리'!$H1842)),'자료_한국심리'!$G1842,"")</f>
        <v/>
      </c>
      <c r="X1858">
        <f>IF(AND(ISNUMBER('자료_한국심리'!$J1842),ISNUMBER('자료_한국심리'!$K1842)),'자료_한국심리'!$J1842,"")</f>
        <v/>
      </c>
      <c r="Y1858">
        <f>IF(AND(ISNUMBER('자료_한국심리'!$M1842),ISNUMBER('자료_한국심리'!$N1842)),'자료_한국심리'!$M1842,"")</f>
        <v/>
      </c>
    </row>
    <row r="1859">
      <c r="U1859">
        <f>IF(AND(ISNUMBER('자료_한국심리'!$A1843),ISNUMBER('자료_한국심리'!$B1843)),'자료_한국심리'!$A1843,"")</f>
        <v/>
      </c>
      <c r="V1859">
        <f>IF(AND(ISNUMBER('자료_한국심리'!$D1843),ISNUMBER('자료_한국심리'!$E1843)),'자료_한국심리'!$D1843,"")</f>
        <v/>
      </c>
      <c r="W1859">
        <f>IF(AND(ISNUMBER('자료_한국심리'!$G1843),ISNUMBER('자료_한국심리'!$H1843)),'자료_한국심리'!$G1843,"")</f>
        <v/>
      </c>
      <c r="X1859">
        <f>IF(AND(ISNUMBER('자료_한국심리'!$J1843),ISNUMBER('자료_한국심리'!$K1843)),'자료_한국심리'!$J1843,"")</f>
        <v/>
      </c>
      <c r="Y1859">
        <f>IF(AND(ISNUMBER('자료_한국심리'!$M1843),ISNUMBER('자료_한국심리'!$N1843)),'자료_한국심리'!$M1843,"")</f>
        <v/>
      </c>
    </row>
    <row r="1860">
      <c r="U1860">
        <f>IF(AND(ISNUMBER('자료_한국심리'!$A1844),ISNUMBER('자료_한국심리'!$B1844)),'자료_한국심리'!$A1844,"")</f>
        <v/>
      </c>
      <c r="V1860">
        <f>IF(AND(ISNUMBER('자료_한국심리'!$D1844),ISNUMBER('자료_한국심리'!$E1844)),'자료_한국심리'!$D1844,"")</f>
        <v/>
      </c>
      <c r="W1860">
        <f>IF(AND(ISNUMBER('자료_한국심리'!$G1844),ISNUMBER('자료_한국심리'!$H1844)),'자료_한국심리'!$G1844,"")</f>
        <v/>
      </c>
      <c r="X1860">
        <f>IF(AND(ISNUMBER('자료_한국심리'!$J1844),ISNUMBER('자료_한국심리'!$K1844)),'자료_한국심리'!$J1844,"")</f>
        <v/>
      </c>
      <c r="Y1860">
        <f>IF(AND(ISNUMBER('자료_한국심리'!$M1844),ISNUMBER('자료_한국심리'!$N1844)),'자료_한국심리'!$M1844,"")</f>
        <v/>
      </c>
    </row>
    <row r="1861">
      <c r="U1861">
        <f>IF(AND(ISNUMBER('자료_한국심리'!$A1845),ISNUMBER('자료_한국심리'!$B1845)),'자료_한국심리'!$A1845,"")</f>
        <v/>
      </c>
      <c r="V1861">
        <f>IF(AND(ISNUMBER('자료_한국심리'!$D1845),ISNUMBER('자료_한국심리'!$E1845)),'자료_한국심리'!$D1845,"")</f>
        <v/>
      </c>
      <c r="W1861">
        <f>IF(AND(ISNUMBER('자료_한국심리'!$G1845),ISNUMBER('자료_한국심리'!$H1845)),'자료_한국심리'!$G1845,"")</f>
        <v/>
      </c>
      <c r="X1861">
        <f>IF(AND(ISNUMBER('자료_한국심리'!$J1845),ISNUMBER('자료_한국심리'!$K1845)),'자료_한국심리'!$J1845,"")</f>
        <v/>
      </c>
      <c r="Y1861">
        <f>IF(AND(ISNUMBER('자료_한국심리'!$M1845),ISNUMBER('자료_한국심리'!$N1845)),'자료_한국심리'!$M1845,"")</f>
        <v/>
      </c>
    </row>
    <row r="1862">
      <c r="U1862">
        <f>IF(AND(ISNUMBER('자료_한국심리'!$A1846),ISNUMBER('자료_한국심리'!$B1846)),'자료_한국심리'!$A1846,"")</f>
        <v/>
      </c>
      <c r="V1862">
        <f>IF(AND(ISNUMBER('자료_한국심리'!$D1846),ISNUMBER('자료_한국심리'!$E1846)),'자료_한국심리'!$D1846,"")</f>
        <v/>
      </c>
      <c r="W1862">
        <f>IF(AND(ISNUMBER('자료_한국심리'!$G1846),ISNUMBER('자료_한국심리'!$H1846)),'자료_한국심리'!$G1846,"")</f>
        <v/>
      </c>
      <c r="X1862">
        <f>IF(AND(ISNUMBER('자료_한국심리'!$J1846),ISNUMBER('자료_한국심리'!$K1846)),'자료_한국심리'!$J1846,"")</f>
        <v/>
      </c>
      <c r="Y1862">
        <f>IF(AND(ISNUMBER('자료_한국심리'!$M1846),ISNUMBER('자료_한국심리'!$N1846)),'자료_한국심리'!$M1846,"")</f>
        <v/>
      </c>
    </row>
    <row r="1863">
      <c r="U1863">
        <f>IF(AND(ISNUMBER('자료_한국심리'!$A1847),ISNUMBER('자료_한국심리'!$B1847)),'자료_한국심리'!$A1847,"")</f>
        <v/>
      </c>
      <c r="V1863">
        <f>IF(AND(ISNUMBER('자료_한국심리'!$D1847),ISNUMBER('자료_한국심리'!$E1847)),'자료_한국심리'!$D1847,"")</f>
        <v/>
      </c>
      <c r="W1863">
        <f>IF(AND(ISNUMBER('자료_한국심리'!$G1847),ISNUMBER('자료_한국심리'!$H1847)),'자료_한국심리'!$G1847,"")</f>
        <v/>
      </c>
      <c r="X1863">
        <f>IF(AND(ISNUMBER('자료_한국심리'!$J1847),ISNUMBER('자료_한국심리'!$K1847)),'자료_한국심리'!$J1847,"")</f>
        <v/>
      </c>
      <c r="Y1863">
        <f>IF(AND(ISNUMBER('자료_한국심리'!$M1847),ISNUMBER('자료_한국심리'!$N1847)),'자료_한국심리'!$M1847,"")</f>
        <v/>
      </c>
    </row>
    <row r="1864">
      <c r="U1864">
        <f>IF(AND(ISNUMBER('자료_한국심리'!$A1848),ISNUMBER('자료_한국심리'!$B1848)),'자료_한국심리'!$A1848,"")</f>
        <v/>
      </c>
      <c r="V1864">
        <f>IF(AND(ISNUMBER('자료_한국심리'!$D1848),ISNUMBER('자료_한국심리'!$E1848)),'자료_한국심리'!$D1848,"")</f>
        <v/>
      </c>
      <c r="W1864">
        <f>IF(AND(ISNUMBER('자료_한국심리'!$G1848),ISNUMBER('자료_한국심리'!$H1848)),'자료_한국심리'!$G1848,"")</f>
        <v/>
      </c>
      <c r="X1864">
        <f>IF(AND(ISNUMBER('자료_한국심리'!$J1848),ISNUMBER('자료_한국심리'!$K1848)),'자료_한국심리'!$J1848,"")</f>
        <v/>
      </c>
      <c r="Y1864">
        <f>IF(AND(ISNUMBER('자료_한국심리'!$M1848),ISNUMBER('자료_한국심리'!$N1848)),'자료_한국심리'!$M1848,"")</f>
        <v/>
      </c>
    </row>
    <row r="1865">
      <c r="U1865">
        <f>IF(AND(ISNUMBER('자료_한국심리'!$A1849),ISNUMBER('자료_한국심리'!$B1849)),'자료_한국심리'!$A1849,"")</f>
        <v/>
      </c>
      <c r="V1865">
        <f>IF(AND(ISNUMBER('자료_한국심리'!$D1849),ISNUMBER('자료_한국심리'!$E1849)),'자료_한국심리'!$D1849,"")</f>
        <v/>
      </c>
      <c r="W1865">
        <f>IF(AND(ISNUMBER('자료_한국심리'!$G1849),ISNUMBER('자료_한국심리'!$H1849)),'자료_한국심리'!$G1849,"")</f>
        <v/>
      </c>
      <c r="X1865">
        <f>IF(AND(ISNUMBER('자료_한국심리'!$J1849),ISNUMBER('자료_한국심리'!$K1849)),'자료_한국심리'!$J1849,"")</f>
        <v/>
      </c>
      <c r="Y1865">
        <f>IF(AND(ISNUMBER('자료_한국심리'!$M1849),ISNUMBER('자료_한국심리'!$N1849)),'자료_한국심리'!$M1849,"")</f>
        <v/>
      </c>
    </row>
    <row r="1866">
      <c r="U1866">
        <f>IF(AND(ISNUMBER('자료_한국심리'!$A1850),ISNUMBER('자료_한국심리'!$B1850)),'자료_한국심리'!$A1850,"")</f>
        <v/>
      </c>
      <c r="V1866">
        <f>IF(AND(ISNUMBER('자료_한국심리'!$D1850),ISNUMBER('자료_한국심리'!$E1850)),'자료_한국심리'!$D1850,"")</f>
        <v/>
      </c>
      <c r="W1866">
        <f>IF(AND(ISNUMBER('자료_한국심리'!$G1850),ISNUMBER('자료_한국심리'!$H1850)),'자료_한국심리'!$G1850,"")</f>
        <v/>
      </c>
      <c r="X1866">
        <f>IF(AND(ISNUMBER('자료_한국심리'!$J1850),ISNUMBER('자료_한국심리'!$K1850)),'자료_한국심리'!$J1850,"")</f>
        <v/>
      </c>
      <c r="Y1866">
        <f>IF(AND(ISNUMBER('자료_한국심리'!$M1850),ISNUMBER('자료_한국심리'!$N1850)),'자료_한국심리'!$M1850,"")</f>
        <v/>
      </c>
    </row>
    <row r="1867">
      <c r="U1867">
        <f>IF(AND(ISNUMBER('자료_한국심리'!$A1851),ISNUMBER('자료_한국심리'!$B1851)),'자료_한국심리'!$A1851,"")</f>
        <v/>
      </c>
      <c r="V1867">
        <f>IF(AND(ISNUMBER('자료_한국심리'!$D1851),ISNUMBER('자료_한국심리'!$E1851)),'자료_한국심리'!$D1851,"")</f>
        <v/>
      </c>
      <c r="W1867">
        <f>IF(AND(ISNUMBER('자료_한국심리'!$G1851),ISNUMBER('자료_한국심리'!$H1851)),'자료_한국심리'!$G1851,"")</f>
        <v/>
      </c>
      <c r="X1867">
        <f>IF(AND(ISNUMBER('자료_한국심리'!$J1851),ISNUMBER('자료_한국심리'!$K1851)),'자료_한국심리'!$J1851,"")</f>
        <v/>
      </c>
      <c r="Y1867">
        <f>IF(AND(ISNUMBER('자료_한국심리'!$M1851),ISNUMBER('자료_한국심리'!$N1851)),'자료_한국심리'!$M1851,"")</f>
        <v/>
      </c>
    </row>
    <row r="1868">
      <c r="U1868">
        <f>IF(AND(ISNUMBER('자료_한국심리'!$A1852),ISNUMBER('자료_한국심리'!$B1852)),'자료_한국심리'!$A1852,"")</f>
        <v/>
      </c>
      <c r="V1868">
        <f>IF(AND(ISNUMBER('자료_한국심리'!$D1852),ISNUMBER('자료_한국심리'!$E1852)),'자료_한국심리'!$D1852,"")</f>
        <v/>
      </c>
      <c r="W1868">
        <f>IF(AND(ISNUMBER('자료_한국심리'!$G1852),ISNUMBER('자료_한국심리'!$H1852)),'자료_한국심리'!$G1852,"")</f>
        <v/>
      </c>
      <c r="X1868">
        <f>IF(AND(ISNUMBER('자료_한국심리'!$J1852),ISNUMBER('자료_한국심리'!$K1852)),'자료_한국심리'!$J1852,"")</f>
        <v/>
      </c>
      <c r="Y1868">
        <f>IF(AND(ISNUMBER('자료_한국심리'!$M1852),ISNUMBER('자료_한국심리'!$N1852)),'자료_한국심리'!$M1852,"")</f>
        <v/>
      </c>
    </row>
    <row r="1869">
      <c r="U1869">
        <f>IF(AND(ISNUMBER('자료_한국심리'!$A1853),ISNUMBER('자료_한국심리'!$B1853)),'자료_한국심리'!$A1853,"")</f>
        <v/>
      </c>
      <c r="V1869">
        <f>IF(AND(ISNUMBER('자료_한국심리'!$D1853),ISNUMBER('자료_한국심리'!$E1853)),'자료_한국심리'!$D1853,"")</f>
        <v/>
      </c>
      <c r="W1869">
        <f>IF(AND(ISNUMBER('자료_한국심리'!$G1853),ISNUMBER('자료_한국심리'!$H1853)),'자료_한국심리'!$G1853,"")</f>
        <v/>
      </c>
      <c r="X1869">
        <f>IF(AND(ISNUMBER('자료_한국심리'!$J1853),ISNUMBER('자료_한국심리'!$K1853)),'자료_한국심리'!$J1853,"")</f>
        <v/>
      </c>
      <c r="Y1869">
        <f>IF(AND(ISNUMBER('자료_한국심리'!$M1853),ISNUMBER('자료_한국심리'!$N1853)),'자료_한국심리'!$M1853,"")</f>
        <v/>
      </c>
    </row>
    <row r="1870">
      <c r="U1870">
        <f>IF(AND(ISNUMBER('자료_한국심리'!$A1854),ISNUMBER('자료_한국심리'!$B1854)),'자료_한국심리'!$A1854,"")</f>
        <v/>
      </c>
      <c r="V1870">
        <f>IF(AND(ISNUMBER('자료_한국심리'!$D1854),ISNUMBER('자료_한국심리'!$E1854)),'자료_한국심리'!$D1854,"")</f>
        <v/>
      </c>
      <c r="W1870">
        <f>IF(AND(ISNUMBER('자료_한국심리'!$G1854),ISNUMBER('자료_한국심리'!$H1854)),'자료_한국심리'!$G1854,"")</f>
        <v/>
      </c>
      <c r="X1870">
        <f>IF(AND(ISNUMBER('자료_한국심리'!$J1854),ISNUMBER('자료_한국심리'!$K1854)),'자료_한국심리'!$J1854,"")</f>
        <v/>
      </c>
      <c r="Y1870">
        <f>IF(AND(ISNUMBER('자료_한국심리'!$M1854),ISNUMBER('자료_한국심리'!$N1854)),'자료_한국심리'!$M1854,"")</f>
        <v/>
      </c>
    </row>
    <row r="1871">
      <c r="U1871">
        <f>IF(AND(ISNUMBER('자료_한국심리'!$A1855),ISNUMBER('자료_한국심리'!$B1855)),'자료_한국심리'!$A1855,"")</f>
        <v/>
      </c>
      <c r="V1871">
        <f>IF(AND(ISNUMBER('자료_한국심리'!$D1855),ISNUMBER('자료_한국심리'!$E1855)),'자료_한국심리'!$D1855,"")</f>
        <v/>
      </c>
      <c r="W1871">
        <f>IF(AND(ISNUMBER('자료_한국심리'!$G1855),ISNUMBER('자료_한국심리'!$H1855)),'자료_한국심리'!$G1855,"")</f>
        <v/>
      </c>
      <c r="X1871">
        <f>IF(AND(ISNUMBER('자료_한국심리'!$J1855),ISNUMBER('자료_한국심리'!$K1855)),'자료_한국심리'!$J1855,"")</f>
        <v/>
      </c>
      <c r="Y1871">
        <f>IF(AND(ISNUMBER('자료_한국심리'!$M1855),ISNUMBER('자료_한국심리'!$N1855)),'자료_한국심리'!$M1855,"")</f>
        <v/>
      </c>
    </row>
    <row r="1872">
      <c r="U1872">
        <f>IF(AND(ISNUMBER('자료_한국심리'!$A1856),ISNUMBER('자료_한국심리'!$B1856)),'자료_한국심리'!$A1856,"")</f>
        <v/>
      </c>
      <c r="V1872">
        <f>IF(AND(ISNUMBER('자료_한국심리'!$D1856),ISNUMBER('자료_한국심리'!$E1856)),'자료_한국심리'!$D1856,"")</f>
        <v/>
      </c>
      <c r="W1872">
        <f>IF(AND(ISNUMBER('자료_한국심리'!$G1856),ISNUMBER('자료_한국심리'!$H1856)),'자료_한국심리'!$G1856,"")</f>
        <v/>
      </c>
      <c r="X1872">
        <f>IF(AND(ISNUMBER('자료_한국심리'!$J1856),ISNUMBER('자료_한국심리'!$K1856)),'자료_한국심리'!$J1856,"")</f>
        <v/>
      </c>
      <c r="Y1872">
        <f>IF(AND(ISNUMBER('자료_한국심리'!$M1856),ISNUMBER('자료_한국심리'!$N1856)),'자료_한국심리'!$M1856,"")</f>
        <v/>
      </c>
    </row>
    <row r="1873">
      <c r="U1873">
        <f>IF(AND(ISNUMBER('자료_한국심리'!$A1857),ISNUMBER('자료_한국심리'!$B1857)),'자료_한국심리'!$A1857,"")</f>
        <v/>
      </c>
      <c r="V1873">
        <f>IF(AND(ISNUMBER('자료_한국심리'!$D1857),ISNUMBER('자료_한국심리'!$E1857)),'자료_한국심리'!$D1857,"")</f>
        <v/>
      </c>
      <c r="W1873">
        <f>IF(AND(ISNUMBER('자료_한국심리'!$G1857),ISNUMBER('자료_한국심리'!$H1857)),'자료_한국심리'!$G1857,"")</f>
        <v/>
      </c>
      <c r="X1873">
        <f>IF(AND(ISNUMBER('자료_한국심리'!$J1857),ISNUMBER('자료_한국심리'!$K1857)),'자료_한국심리'!$J1857,"")</f>
        <v/>
      </c>
      <c r="Y1873">
        <f>IF(AND(ISNUMBER('자료_한국심리'!$M1857),ISNUMBER('자료_한국심리'!$N1857)),'자료_한국심리'!$M1857,"")</f>
        <v/>
      </c>
    </row>
    <row r="1874">
      <c r="U1874">
        <f>IF(AND(ISNUMBER('자료_한국심리'!$A1858),ISNUMBER('자료_한국심리'!$B1858)),'자료_한국심리'!$A1858,"")</f>
        <v/>
      </c>
      <c r="V1874">
        <f>IF(AND(ISNUMBER('자료_한국심리'!$D1858),ISNUMBER('자료_한국심리'!$E1858)),'자료_한국심리'!$D1858,"")</f>
        <v/>
      </c>
      <c r="W1874">
        <f>IF(AND(ISNUMBER('자료_한국심리'!$G1858),ISNUMBER('자료_한국심리'!$H1858)),'자료_한국심리'!$G1858,"")</f>
        <v/>
      </c>
      <c r="X1874">
        <f>IF(AND(ISNUMBER('자료_한국심리'!$J1858),ISNUMBER('자료_한국심리'!$K1858)),'자료_한국심리'!$J1858,"")</f>
        <v/>
      </c>
      <c r="Y1874">
        <f>IF(AND(ISNUMBER('자료_한국심리'!$M1858),ISNUMBER('자료_한국심리'!$N1858)),'자료_한국심리'!$M1858,"")</f>
        <v/>
      </c>
    </row>
    <row r="1875">
      <c r="U1875">
        <f>IF(AND(ISNUMBER('자료_한국심리'!$A1859),ISNUMBER('자료_한국심리'!$B1859)),'자료_한국심리'!$A1859,"")</f>
        <v/>
      </c>
      <c r="V1875">
        <f>IF(AND(ISNUMBER('자료_한국심리'!$D1859),ISNUMBER('자료_한국심리'!$E1859)),'자료_한국심리'!$D1859,"")</f>
        <v/>
      </c>
      <c r="W1875">
        <f>IF(AND(ISNUMBER('자료_한국심리'!$G1859),ISNUMBER('자료_한국심리'!$H1859)),'자료_한국심리'!$G1859,"")</f>
        <v/>
      </c>
      <c r="X1875">
        <f>IF(AND(ISNUMBER('자료_한국심리'!$J1859),ISNUMBER('자료_한국심리'!$K1859)),'자료_한국심리'!$J1859,"")</f>
        <v/>
      </c>
      <c r="Y1875">
        <f>IF(AND(ISNUMBER('자료_한국심리'!$M1859),ISNUMBER('자료_한국심리'!$N1859)),'자료_한국심리'!$M1859,"")</f>
        <v/>
      </c>
    </row>
    <row r="1876">
      <c r="U1876">
        <f>IF(AND(ISNUMBER('자료_한국심리'!$A1860),ISNUMBER('자료_한국심리'!$B1860)),'자료_한국심리'!$A1860,"")</f>
        <v/>
      </c>
      <c r="V1876">
        <f>IF(AND(ISNUMBER('자료_한국심리'!$D1860),ISNUMBER('자료_한국심리'!$E1860)),'자료_한국심리'!$D1860,"")</f>
        <v/>
      </c>
      <c r="W1876">
        <f>IF(AND(ISNUMBER('자료_한국심리'!$G1860),ISNUMBER('자료_한국심리'!$H1860)),'자료_한국심리'!$G1860,"")</f>
        <v/>
      </c>
      <c r="X1876">
        <f>IF(AND(ISNUMBER('자료_한국심리'!$J1860),ISNUMBER('자료_한국심리'!$K1860)),'자료_한국심리'!$J1860,"")</f>
        <v/>
      </c>
      <c r="Y1876">
        <f>IF(AND(ISNUMBER('자료_한국심리'!$M1860),ISNUMBER('자료_한국심리'!$N1860)),'자료_한국심리'!$M1860,"")</f>
        <v/>
      </c>
    </row>
    <row r="1877">
      <c r="U1877">
        <f>IF(AND(ISNUMBER('자료_한국심리'!$A1861),ISNUMBER('자료_한국심리'!$B1861)),'자료_한국심리'!$A1861,"")</f>
        <v/>
      </c>
      <c r="V1877">
        <f>IF(AND(ISNUMBER('자료_한국심리'!$D1861),ISNUMBER('자료_한국심리'!$E1861)),'자료_한국심리'!$D1861,"")</f>
        <v/>
      </c>
      <c r="W1877">
        <f>IF(AND(ISNUMBER('자료_한국심리'!$G1861),ISNUMBER('자료_한국심리'!$H1861)),'자료_한국심리'!$G1861,"")</f>
        <v/>
      </c>
      <c r="X1877">
        <f>IF(AND(ISNUMBER('자료_한국심리'!$J1861),ISNUMBER('자료_한국심리'!$K1861)),'자료_한국심리'!$J1861,"")</f>
        <v/>
      </c>
      <c r="Y1877">
        <f>IF(AND(ISNUMBER('자료_한국심리'!$M1861),ISNUMBER('자료_한국심리'!$N1861)),'자료_한국심리'!$M1861,"")</f>
        <v/>
      </c>
    </row>
    <row r="1878">
      <c r="U1878">
        <f>IF(AND(ISNUMBER('자료_한국심리'!$A1862),ISNUMBER('자료_한국심리'!$B1862)),'자료_한국심리'!$A1862,"")</f>
        <v/>
      </c>
      <c r="V1878">
        <f>IF(AND(ISNUMBER('자료_한국심리'!$D1862),ISNUMBER('자료_한국심리'!$E1862)),'자료_한국심리'!$D1862,"")</f>
        <v/>
      </c>
      <c r="W1878">
        <f>IF(AND(ISNUMBER('자료_한국심리'!$G1862),ISNUMBER('자료_한국심리'!$H1862)),'자료_한국심리'!$G1862,"")</f>
        <v/>
      </c>
      <c r="X1878">
        <f>IF(AND(ISNUMBER('자료_한국심리'!$J1862),ISNUMBER('자료_한국심리'!$K1862)),'자료_한국심리'!$J1862,"")</f>
        <v/>
      </c>
      <c r="Y1878">
        <f>IF(AND(ISNUMBER('자료_한국심리'!$M1862),ISNUMBER('자료_한국심리'!$N1862)),'자료_한국심리'!$M1862,"")</f>
        <v/>
      </c>
    </row>
    <row r="1879">
      <c r="U1879">
        <f>IF(AND(ISNUMBER('자료_한국심리'!$A1863),ISNUMBER('자료_한국심리'!$B1863)),'자료_한국심리'!$A1863,"")</f>
        <v/>
      </c>
      <c r="V1879">
        <f>IF(AND(ISNUMBER('자료_한국심리'!$D1863),ISNUMBER('자료_한국심리'!$E1863)),'자료_한국심리'!$D1863,"")</f>
        <v/>
      </c>
      <c r="W1879">
        <f>IF(AND(ISNUMBER('자료_한국심리'!$G1863),ISNUMBER('자료_한국심리'!$H1863)),'자료_한국심리'!$G1863,"")</f>
        <v/>
      </c>
      <c r="X1879">
        <f>IF(AND(ISNUMBER('자료_한국심리'!$J1863),ISNUMBER('자료_한국심리'!$K1863)),'자료_한국심리'!$J1863,"")</f>
        <v/>
      </c>
      <c r="Y1879">
        <f>IF(AND(ISNUMBER('자료_한국심리'!$M1863),ISNUMBER('자료_한국심리'!$N1863)),'자료_한국심리'!$M1863,"")</f>
        <v/>
      </c>
    </row>
    <row r="1880">
      <c r="U1880">
        <f>IF(AND(ISNUMBER('자료_한국심리'!$A1864),ISNUMBER('자료_한국심리'!$B1864)),'자료_한국심리'!$A1864,"")</f>
        <v/>
      </c>
      <c r="V1880">
        <f>IF(AND(ISNUMBER('자료_한국심리'!$D1864),ISNUMBER('자료_한국심리'!$E1864)),'자료_한국심리'!$D1864,"")</f>
        <v/>
      </c>
      <c r="W1880">
        <f>IF(AND(ISNUMBER('자료_한국심리'!$G1864),ISNUMBER('자료_한국심리'!$H1864)),'자료_한국심리'!$G1864,"")</f>
        <v/>
      </c>
      <c r="X1880">
        <f>IF(AND(ISNUMBER('자료_한국심리'!$J1864),ISNUMBER('자료_한국심리'!$K1864)),'자료_한국심리'!$J1864,"")</f>
        <v/>
      </c>
      <c r="Y1880">
        <f>IF(AND(ISNUMBER('자료_한국심리'!$M1864),ISNUMBER('자료_한국심리'!$N1864)),'자료_한국심리'!$M1864,"")</f>
        <v/>
      </c>
    </row>
    <row r="1881">
      <c r="U1881">
        <f>IF(AND(ISNUMBER('자료_한국심리'!$A1865),ISNUMBER('자료_한국심리'!$B1865)),'자료_한국심리'!$A1865,"")</f>
        <v/>
      </c>
      <c r="V1881">
        <f>IF(AND(ISNUMBER('자료_한국심리'!$D1865),ISNUMBER('자료_한국심리'!$E1865)),'자료_한국심리'!$D1865,"")</f>
        <v/>
      </c>
      <c r="W1881">
        <f>IF(AND(ISNUMBER('자료_한국심리'!$G1865),ISNUMBER('자료_한국심리'!$H1865)),'자료_한국심리'!$G1865,"")</f>
        <v/>
      </c>
      <c r="X1881">
        <f>IF(AND(ISNUMBER('자료_한국심리'!$J1865),ISNUMBER('자료_한국심리'!$K1865)),'자료_한국심리'!$J1865,"")</f>
        <v/>
      </c>
      <c r="Y1881">
        <f>IF(AND(ISNUMBER('자료_한국심리'!$M1865),ISNUMBER('자료_한국심리'!$N1865)),'자료_한국심리'!$M1865,"")</f>
        <v/>
      </c>
    </row>
    <row r="1882">
      <c r="U1882">
        <f>IF(AND(ISNUMBER('자료_한국심리'!$A1866),ISNUMBER('자료_한국심리'!$B1866)),'자료_한국심리'!$A1866,"")</f>
        <v/>
      </c>
      <c r="V1882">
        <f>IF(AND(ISNUMBER('자료_한국심리'!$D1866),ISNUMBER('자료_한국심리'!$E1866)),'자료_한국심리'!$D1866,"")</f>
        <v/>
      </c>
      <c r="W1882">
        <f>IF(AND(ISNUMBER('자료_한국심리'!$G1866),ISNUMBER('자료_한국심리'!$H1866)),'자료_한국심리'!$G1866,"")</f>
        <v/>
      </c>
      <c r="X1882">
        <f>IF(AND(ISNUMBER('자료_한국심리'!$J1866),ISNUMBER('자료_한국심리'!$K1866)),'자료_한국심리'!$J1866,"")</f>
        <v/>
      </c>
      <c r="Y1882">
        <f>IF(AND(ISNUMBER('자료_한국심리'!$M1866),ISNUMBER('자료_한국심리'!$N1866)),'자료_한국심리'!$M1866,"")</f>
        <v/>
      </c>
    </row>
    <row r="1883">
      <c r="U1883">
        <f>IF(AND(ISNUMBER('자료_한국심리'!$A1867),ISNUMBER('자료_한국심리'!$B1867)),'자료_한국심리'!$A1867,"")</f>
        <v/>
      </c>
      <c r="V1883">
        <f>IF(AND(ISNUMBER('자료_한국심리'!$D1867),ISNUMBER('자료_한국심리'!$E1867)),'자료_한국심리'!$D1867,"")</f>
        <v/>
      </c>
      <c r="W1883">
        <f>IF(AND(ISNUMBER('자료_한국심리'!$G1867),ISNUMBER('자료_한국심리'!$H1867)),'자료_한국심리'!$G1867,"")</f>
        <v/>
      </c>
      <c r="X1883">
        <f>IF(AND(ISNUMBER('자료_한국심리'!$J1867),ISNUMBER('자료_한국심리'!$K1867)),'자료_한국심리'!$J1867,"")</f>
        <v/>
      </c>
      <c r="Y1883">
        <f>IF(AND(ISNUMBER('자료_한국심리'!$M1867),ISNUMBER('자료_한국심리'!$N1867)),'자료_한국심리'!$M1867,"")</f>
        <v/>
      </c>
    </row>
    <row r="1884">
      <c r="U1884">
        <f>IF(AND(ISNUMBER('자료_한국심리'!$A1868),ISNUMBER('자료_한국심리'!$B1868)),'자료_한국심리'!$A1868,"")</f>
        <v/>
      </c>
      <c r="V1884">
        <f>IF(AND(ISNUMBER('자료_한국심리'!$D1868),ISNUMBER('자료_한국심리'!$E1868)),'자료_한국심리'!$D1868,"")</f>
        <v/>
      </c>
      <c r="W1884">
        <f>IF(AND(ISNUMBER('자료_한국심리'!$G1868),ISNUMBER('자료_한국심리'!$H1868)),'자료_한국심리'!$G1868,"")</f>
        <v/>
      </c>
      <c r="X1884">
        <f>IF(AND(ISNUMBER('자료_한국심리'!$J1868),ISNUMBER('자료_한국심리'!$K1868)),'자료_한국심리'!$J1868,"")</f>
        <v/>
      </c>
      <c r="Y1884">
        <f>IF(AND(ISNUMBER('자료_한국심리'!$M1868),ISNUMBER('자료_한국심리'!$N1868)),'자료_한국심리'!$M1868,"")</f>
        <v/>
      </c>
    </row>
    <row r="1885">
      <c r="U1885">
        <f>IF(AND(ISNUMBER('자료_한국심리'!$A1869),ISNUMBER('자료_한국심리'!$B1869)),'자료_한국심리'!$A1869,"")</f>
        <v/>
      </c>
      <c r="V1885">
        <f>IF(AND(ISNUMBER('자료_한국심리'!$D1869),ISNUMBER('자료_한국심리'!$E1869)),'자료_한국심리'!$D1869,"")</f>
        <v/>
      </c>
      <c r="W1885">
        <f>IF(AND(ISNUMBER('자료_한국심리'!$G1869),ISNUMBER('자료_한국심리'!$H1869)),'자료_한국심리'!$G1869,"")</f>
        <v/>
      </c>
      <c r="X1885">
        <f>IF(AND(ISNUMBER('자료_한국심리'!$J1869),ISNUMBER('자료_한국심리'!$K1869)),'자료_한국심리'!$J1869,"")</f>
        <v/>
      </c>
      <c r="Y1885">
        <f>IF(AND(ISNUMBER('자료_한국심리'!$M1869),ISNUMBER('자료_한국심리'!$N1869)),'자료_한국심리'!$M1869,"")</f>
        <v/>
      </c>
    </row>
    <row r="1886">
      <c r="U1886">
        <f>IF(AND(ISNUMBER('자료_한국심리'!$A1870),ISNUMBER('자료_한국심리'!$B1870)),'자료_한국심리'!$A1870,"")</f>
        <v/>
      </c>
      <c r="V1886">
        <f>IF(AND(ISNUMBER('자료_한국심리'!$D1870),ISNUMBER('자료_한국심리'!$E1870)),'자료_한국심리'!$D1870,"")</f>
        <v/>
      </c>
      <c r="W1886">
        <f>IF(AND(ISNUMBER('자료_한국심리'!$G1870),ISNUMBER('자료_한국심리'!$H1870)),'자료_한국심리'!$G1870,"")</f>
        <v/>
      </c>
      <c r="X1886">
        <f>IF(AND(ISNUMBER('자료_한국심리'!$J1870),ISNUMBER('자료_한국심리'!$K1870)),'자료_한국심리'!$J1870,"")</f>
        <v/>
      </c>
      <c r="Y1886">
        <f>IF(AND(ISNUMBER('자료_한국심리'!$M1870),ISNUMBER('자료_한국심리'!$N1870)),'자료_한국심리'!$M1870,"")</f>
        <v/>
      </c>
    </row>
    <row r="1887">
      <c r="U1887">
        <f>IF(AND(ISNUMBER('자료_한국심리'!$A1871),ISNUMBER('자료_한국심리'!$B1871)),'자료_한국심리'!$A1871,"")</f>
        <v/>
      </c>
      <c r="V1887">
        <f>IF(AND(ISNUMBER('자료_한국심리'!$D1871),ISNUMBER('자료_한국심리'!$E1871)),'자료_한국심리'!$D1871,"")</f>
        <v/>
      </c>
      <c r="W1887">
        <f>IF(AND(ISNUMBER('자료_한국심리'!$G1871),ISNUMBER('자료_한국심리'!$H1871)),'자료_한국심리'!$G1871,"")</f>
        <v/>
      </c>
      <c r="X1887">
        <f>IF(AND(ISNUMBER('자료_한국심리'!$J1871),ISNUMBER('자료_한국심리'!$K1871)),'자료_한국심리'!$J1871,"")</f>
        <v/>
      </c>
      <c r="Y1887">
        <f>IF(AND(ISNUMBER('자료_한국심리'!$M1871),ISNUMBER('자료_한국심리'!$N1871)),'자료_한국심리'!$M1871,"")</f>
        <v/>
      </c>
    </row>
    <row r="1888">
      <c r="U1888">
        <f>IF(AND(ISNUMBER('자료_한국심리'!$A1872),ISNUMBER('자료_한국심리'!$B1872)),'자료_한국심리'!$A1872,"")</f>
        <v/>
      </c>
      <c r="V1888">
        <f>IF(AND(ISNUMBER('자료_한국심리'!$D1872),ISNUMBER('자료_한국심리'!$E1872)),'자료_한국심리'!$D1872,"")</f>
        <v/>
      </c>
      <c r="W1888">
        <f>IF(AND(ISNUMBER('자료_한국심리'!$G1872),ISNUMBER('자료_한국심리'!$H1872)),'자료_한국심리'!$G1872,"")</f>
        <v/>
      </c>
      <c r="X1888">
        <f>IF(AND(ISNUMBER('자료_한국심리'!$J1872),ISNUMBER('자료_한국심리'!$K1872)),'자료_한국심리'!$J1872,"")</f>
        <v/>
      </c>
      <c r="Y1888">
        <f>IF(AND(ISNUMBER('자료_한국심리'!$M1872),ISNUMBER('자료_한국심리'!$N1872)),'자료_한국심리'!$M1872,"")</f>
        <v/>
      </c>
    </row>
    <row r="1889">
      <c r="U1889">
        <f>IF(AND(ISNUMBER('자료_한국심리'!$A1873),ISNUMBER('자료_한국심리'!$B1873)),'자료_한국심리'!$A1873,"")</f>
        <v/>
      </c>
      <c r="V1889">
        <f>IF(AND(ISNUMBER('자료_한국심리'!$D1873),ISNUMBER('자료_한국심리'!$E1873)),'자료_한국심리'!$D1873,"")</f>
        <v/>
      </c>
      <c r="W1889">
        <f>IF(AND(ISNUMBER('자료_한국심리'!$G1873),ISNUMBER('자료_한국심리'!$H1873)),'자료_한국심리'!$G1873,"")</f>
        <v/>
      </c>
      <c r="X1889">
        <f>IF(AND(ISNUMBER('자료_한국심리'!$J1873),ISNUMBER('자료_한국심리'!$K1873)),'자료_한국심리'!$J1873,"")</f>
        <v/>
      </c>
      <c r="Y1889">
        <f>IF(AND(ISNUMBER('자료_한국심리'!$M1873),ISNUMBER('자료_한국심리'!$N1873)),'자료_한국심리'!$M1873,"")</f>
        <v/>
      </c>
    </row>
    <row r="1890">
      <c r="U1890">
        <f>IF(AND(ISNUMBER('자료_한국심리'!$A1874),ISNUMBER('자료_한국심리'!$B1874)),'자료_한국심리'!$A1874,"")</f>
        <v/>
      </c>
      <c r="V1890">
        <f>IF(AND(ISNUMBER('자료_한국심리'!$D1874),ISNUMBER('자료_한국심리'!$E1874)),'자료_한국심리'!$D1874,"")</f>
        <v/>
      </c>
      <c r="W1890">
        <f>IF(AND(ISNUMBER('자료_한국심리'!$G1874),ISNUMBER('자료_한국심리'!$H1874)),'자료_한국심리'!$G1874,"")</f>
        <v/>
      </c>
      <c r="X1890">
        <f>IF(AND(ISNUMBER('자료_한국심리'!$J1874),ISNUMBER('자료_한국심리'!$K1874)),'자료_한국심리'!$J1874,"")</f>
        <v/>
      </c>
      <c r="Y1890">
        <f>IF(AND(ISNUMBER('자료_한국심리'!$M1874),ISNUMBER('자료_한국심리'!$N1874)),'자료_한국심리'!$M1874,"")</f>
        <v/>
      </c>
    </row>
    <row r="1891">
      <c r="U1891">
        <f>IF(AND(ISNUMBER('자료_한국심리'!$A1875),ISNUMBER('자료_한국심리'!$B1875)),'자료_한국심리'!$A1875,"")</f>
        <v/>
      </c>
      <c r="V1891">
        <f>IF(AND(ISNUMBER('자료_한국심리'!$D1875),ISNUMBER('자료_한국심리'!$E1875)),'자료_한국심리'!$D1875,"")</f>
        <v/>
      </c>
      <c r="W1891">
        <f>IF(AND(ISNUMBER('자료_한국심리'!$G1875),ISNUMBER('자료_한국심리'!$H1875)),'자료_한국심리'!$G1875,"")</f>
        <v/>
      </c>
      <c r="X1891">
        <f>IF(AND(ISNUMBER('자료_한국심리'!$J1875),ISNUMBER('자료_한국심리'!$K1875)),'자료_한국심리'!$J1875,"")</f>
        <v/>
      </c>
      <c r="Y1891">
        <f>IF(AND(ISNUMBER('자료_한국심리'!$M1875),ISNUMBER('자료_한국심리'!$N1875)),'자료_한국심리'!$M1875,"")</f>
        <v/>
      </c>
    </row>
    <row r="1892">
      <c r="U1892">
        <f>IF(AND(ISNUMBER('자료_한국심리'!$A1876),ISNUMBER('자료_한국심리'!$B1876)),'자료_한국심리'!$A1876,"")</f>
        <v/>
      </c>
      <c r="V1892">
        <f>IF(AND(ISNUMBER('자료_한국심리'!$D1876),ISNUMBER('자료_한국심리'!$E1876)),'자료_한국심리'!$D1876,"")</f>
        <v/>
      </c>
      <c r="W1892">
        <f>IF(AND(ISNUMBER('자료_한국심리'!$G1876),ISNUMBER('자료_한국심리'!$H1876)),'자료_한국심리'!$G1876,"")</f>
        <v/>
      </c>
      <c r="X1892">
        <f>IF(AND(ISNUMBER('자료_한국심리'!$J1876),ISNUMBER('자료_한국심리'!$K1876)),'자료_한국심리'!$J1876,"")</f>
        <v/>
      </c>
      <c r="Y1892">
        <f>IF(AND(ISNUMBER('자료_한국심리'!$M1876),ISNUMBER('자료_한국심리'!$N1876)),'자료_한국심리'!$M1876,"")</f>
        <v/>
      </c>
    </row>
    <row r="1893">
      <c r="U1893">
        <f>IF(AND(ISNUMBER('자료_한국심리'!$A1877),ISNUMBER('자료_한국심리'!$B1877)),'자료_한국심리'!$A1877,"")</f>
        <v/>
      </c>
      <c r="V1893">
        <f>IF(AND(ISNUMBER('자료_한국심리'!$D1877),ISNUMBER('자료_한국심리'!$E1877)),'자료_한국심리'!$D1877,"")</f>
        <v/>
      </c>
      <c r="W1893">
        <f>IF(AND(ISNUMBER('자료_한국심리'!$G1877),ISNUMBER('자료_한국심리'!$H1877)),'자료_한국심리'!$G1877,"")</f>
        <v/>
      </c>
      <c r="X1893">
        <f>IF(AND(ISNUMBER('자료_한국심리'!$J1877),ISNUMBER('자료_한국심리'!$K1877)),'자료_한국심리'!$J1877,"")</f>
        <v/>
      </c>
      <c r="Y1893">
        <f>IF(AND(ISNUMBER('자료_한국심리'!$M1877),ISNUMBER('자료_한국심리'!$N1877)),'자료_한국심리'!$M1877,"")</f>
        <v/>
      </c>
    </row>
    <row r="1894">
      <c r="U1894">
        <f>IF(AND(ISNUMBER('자료_한국심리'!$A1878),ISNUMBER('자료_한국심리'!$B1878)),'자료_한국심리'!$A1878,"")</f>
        <v/>
      </c>
      <c r="V1894">
        <f>IF(AND(ISNUMBER('자료_한국심리'!$D1878),ISNUMBER('자료_한국심리'!$E1878)),'자료_한국심리'!$D1878,"")</f>
        <v/>
      </c>
      <c r="W1894">
        <f>IF(AND(ISNUMBER('자료_한국심리'!$G1878),ISNUMBER('자료_한국심리'!$H1878)),'자료_한국심리'!$G1878,"")</f>
        <v/>
      </c>
      <c r="X1894">
        <f>IF(AND(ISNUMBER('자료_한국심리'!$J1878),ISNUMBER('자료_한국심리'!$K1878)),'자료_한국심리'!$J1878,"")</f>
        <v/>
      </c>
      <c r="Y1894">
        <f>IF(AND(ISNUMBER('자료_한국심리'!$M1878),ISNUMBER('자료_한국심리'!$N1878)),'자료_한국심리'!$M1878,"")</f>
        <v/>
      </c>
    </row>
    <row r="1895">
      <c r="U1895">
        <f>IF(AND(ISNUMBER('자료_한국심리'!$A1879),ISNUMBER('자료_한국심리'!$B1879)),'자료_한국심리'!$A1879,"")</f>
        <v/>
      </c>
      <c r="V1895">
        <f>IF(AND(ISNUMBER('자료_한국심리'!$D1879),ISNUMBER('자료_한국심리'!$E1879)),'자료_한국심리'!$D1879,"")</f>
        <v/>
      </c>
      <c r="W1895">
        <f>IF(AND(ISNUMBER('자료_한국심리'!$G1879),ISNUMBER('자료_한국심리'!$H1879)),'자료_한국심리'!$G1879,"")</f>
        <v/>
      </c>
      <c r="X1895">
        <f>IF(AND(ISNUMBER('자료_한국심리'!$J1879),ISNUMBER('자료_한국심리'!$K1879)),'자료_한국심리'!$J1879,"")</f>
        <v/>
      </c>
      <c r="Y1895">
        <f>IF(AND(ISNUMBER('자료_한국심리'!$M1879),ISNUMBER('자료_한국심리'!$N1879)),'자료_한국심리'!$M1879,"")</f>
        <v/>
      </c>
    </row>
    <row r="1896">
      <c r="U1896">
        <f>IF(AND(ISNUMBER('자료_한국심리'!$A1880),ISNUMBER('자료_한국심리'!$B1880)),'자료_한국심리'!$A1880,"")</f>
        <v/>
      </c>
      <c r="V1896">
        <f>IF(AND(ISNUMBER('자료_한국심리'!$D1880),ISNUMBER('자료_한국심리'!$E1880)),'자료_한국심리'!$D1880,"")</f>
        <v/>
      </c>
      <c r="W1896">
        <f>IF(AND(ISNUMBER('자료_한국심리'!$G1880),ISNUMBER('자료_한국심리'!$H1880)),'자료_한국심리'!$G1880,"")</f>
        <v/>
      </c>
      <c r="X1896">
        <f>IF(AND(ISNUMBER('자료_한국심리'!$J1880),ISNUMBER('자료_한국심리'!$K1880)),'자료_한국심리'!$J1880,"")</f>
        <v/>
      </c>
      <c r="Y1896">
        <f>IF(AND(ISNUMBER('자료_한국심리'!$M1880),ISNUMBER('자료_한국심리'!$N1880)),'자료_한국심리'!$M1880,"")</f>
        <v/>
      </c>
    </row>
    <row r="1897">
      <c r="U1897">
        <f>IF(AND(ISNUMBER('자료_한국심리'!$A1881),ISNUMBER('자료_한국심리'!$B1881)),'자료_한국심리'!$A1881,"")</f>
        <v/>
      </c>
      <c r="V1897">
        <f>IF(AND(ISNUMBER('자료_한국심리'!$D1881),ISNUMBER('자료_한국심리'!$E1881)),'자료_한국심리'!$D1881,"")</f>
        <v/>
      </c>
      <c r="W1897">
        <f>IF(AND(ISNUMBER('자료_한국심리'!$G1881),ISNUMBER('자료_한국심리'!$H1881)),'자료_한국심리'!$G1881,"")</f>
        <v/>
      </c>
      <c r="X1897">
        <f>IF(AND(ISNUMBER('자료_한국심리'!$J1881),ISNUMBER('자료_한국심리'!$K1881)),'자료_한국심리'!$J1881,"")</f>
        <v/>
      </c>
      <c r="Y1897">
        <f>IF(AND(ISNUMBER('자료_한국심리'!$M1881),ISNUMBER('자료_한국심리'!$N1881)),'자료_한국심리'!$M1881,"")</f>
        <v/>
      </c>
    </row>
    <row r="1898">
      <c r="U1898">
        <f>IF(AND(ISNUMBER('자료_한국심리'!$A1882),ISNUMBER('자료_한국심리'!$B1882)),'자료_한국심리'!$A1882,"")</f>
        <v/>
      </c>
      <c r="V1898">
        <f>IF(AND(ISNUMBER('자료_한국심리'!$D1882),ISNUMBER('자료_한국심리'!$E1882)),'자료_한국심리'!$D1882,"")</f>
        <v/>
      </c>
      <c r="W1898">
        <f>IF(AND(ISNUMBER('자료_한국심리'!$G1882),ISNUMBER('자료_한국심리'!$H1882)),'자료_한국심리'!$G1882,"")</f>
        <v/>
      </c>
      <c r="X1898">
        <f>IF(AND(ISNUMBER('자료_한국심리'!$J1882),ISNUMBER('자료_한국심리'!$K1882)),'자료_한국심리'!$J1882,"")</f>
        <v/>
      </c>
      <c r="Y1898">
        <f>IF(AND(ISNUMBER('자료_한국심리'!$M1882),ISNUMBER('자료_한국심리'!$N1882)),'자료_한국심리'!$M1882,"")</f>
        <v/>
      </c>
    </row>
    <row r="1899">
      <c r="U1899">
        <f>IF(AND(ISNUMBER('자료_한국심리'!$A1883),ISNUMBER('자료_한국심리'!$B1883)),'자료_한국심리'!$A1883,"")</f>
        <v/>
      </c>
      <c r="V1899">
        <f>IF(AND(ISNUMBER('자료_한국심리'!$D1883),ISNUMBER('자료_한국심리'!$E1883)),'자료_한국심리'!$D1883,"")</f>
        <v/>
      </c>
      <c r="W1899">
        <f>IF(AND(ISNUMBER('자료_한국심리'!$G1883),ISNUMBER('자료_한국심리'!$H1883)),'자료_한국심리'!$G1883,"")</f>
        <v/>
      </c>
      <c r="X1899">
        <f>IF(AND(ISNUMBER('자료_한국심리'!$J1883),ISNUMBER('자료_한국심리'!$K1883)),'자료_한국심리'!$J1883,"")</f>
        <v/>
      </c>
      <c r="Y1899">
        <f>IF(AND(ISNUMBER('자료_한국심리'!$M1883),ISNUMBER('자료_한국심리'!$N1883)),'자료_한국심리'!$M1883,"")</f>
        <v/>
      </c>
    </row>
    <row r="1900">
      <c r="U1900">
        <f>IF(AND(ISNUMBER('자료_한국심리'!$A1884),ISNUMBER('자료_한국심리'!$B1884)),'자료_한국심리'!$A1884,"")</f>
        <v/>
      </c>
      <c r="V1900">
        <f>IF(AND(ISNUMBER('자료_한국심리'!$D1884),ISNUMBER('자료_한국심리'!$E1884)),'자료_한국심리'!$D1884,"")</f>
        <v/>
      </c>
      <c r="W1900">
        <f>IF(AND(ISNUMBER('자료_한국심리'!$G1884),ISNUMBER('자료_한국심리'!$H1884)),'자료_한국심리'!$G1884,"")</f>
        <v/>
      </c>
      <c r="X1900">
        <f>IF(AND(ISNUMBER('자료_한국심리'!$J1884),ISNUMBER('자료_한국심리'!$K1884)),'자료_한국심리'!$J1884,"")</f>
        <v/>
      </c>
      <c r="Y1900">
        <f>IF(AND(ISNUMBER('자료_한국심리'!$M1884),ISNUMBER('자료_한국심리'!$N1884)),'자료_한국심리'!$M1884,"")</f>
        <v/>
      </c>
    </row>
    <row r="1901">
      <c r="U1901">
        <f>IF(AND(ISNUMBER('자료_한국심리'!$A1885),ISNUMBER('자료_한국심리'!$B1885)),'자료_한국심리'!$A1885,"")</f>
        <v/>
      </c>
      <c r="V1901">
        <f>IF(AND(ISNUMBER('자료_한국심리'!$D1885),ISNUMBER('자료_한국심리'!$E1885)),'자료_한국심리'!$D1885,"")</f>
        <v/>
      </c>
      <c r="W1901">
        <f>IF(AND(ISNUMBER('자료_한국심리'!$G1885),ISNUMBER('자료_한국심리'!$H1885)),'자료_한국심리'!$G1885,"")</f>
        <v/>
      </c>
      <c r="X1901">
        <f>IF(AND(ISNUMBER('자료_한국심리'!$J1885),ISNUMBER('자료_한국심리'!$K1885)),'자료_한국심리'!$J1885,"")</f>
        <v/>
      </c>
      <c r="Y1901">
        <f>IF(AND(ISNUMBER('자료_한국심리'!$M1885),ISNUMBER('자료_한국심리'!$N1885)),'자료_한국심리'!$M1885,"")</f>
        <v/>
      </c>
    </row>
    <row r="1902">
      <c r="U1902">
        <f>IF(AND(ISNUMBER('자료_한국심리'!$A1886),ISNUMBER('자료_한국심리'!$B1886)),'자료_한국심리'!$A1886,"")</f>
        <v/>
      </c>
      <c r="V1902">
        <f>IF(AND(ISNUMBER('자료_한국심리'!$D1886),ISNUMBER('자료_한국심리'!$E1886)),'자료_한국심리'!$D1886,"")</f>
        <v/>
      </c>
      <c r="W1902">
        <f>IF(AND(ISNUMBER('자료_한국심리'!$G1886),ISNUMBER('자료_한국심리'!$H1886)),'자료_한국심리'!$G1886,"")</f>
        <v/>
      </c>
      <c r="X1902">
        <f>IF(AND(ISNUMBER('자료_한국심리'!$J1886),ISNUMBER('자료_한국심리'!$K1886)),'자료_한국심리'!$J1886,"")</f>
        <v/>
      </c>
      <c r="Y1902">
        <f>IF(AND(ISNUMBER('자료_한국심리'!$M1886),ISNUMBER('자료_한국심리'!$N1886)),'자료_한국심리'!$M1886,"")</f>
        <v/>
      </c>
    </row>
    <row r="1903">
      <c r="U1903">
        <f>IF(AND(ISNUMBER('자료_한국심리'!$A1887),ISNUMBER('자료_한국심리'!$B1887)),'자료_한국심리'!$A1887,"")</f>
        <v/>
      </c>
      <c r="V1903">
        <f>IF(AND(ISNUMBER('자료_한국심리'!$D1887),ISNUMBER('자료_한국심리'!$E1887)),'자료_한국심리'!$D1887,"")</f>
        <v/>
      </c>
      <c r="W1903">
        <f>IF(AND(ISNUMBER('자료_한국심리'!$G1887),ISNUMBER('자료_한국심리'!$H1887)),'자료_한국심리'!$G1887,"")</f>
        <v/>
      </c>
      <c r="X1903">
        <f>IF(AND(ISNUMBER('자료_한국심리'!$J1887),ISNUMBER('자료_한국심리'!$K1887)),'자료_한국심리'!$J1887,"")</f>
        <v/>
      </c>
      <c r="Y1903">
        <f>IF(AND(ISNUMBER('자료_한국심리'!$M1887),ISNUMBER('자료_한국심리'!$N1887)),'자료_한국심리'!$M1887,"")</f>
        <v/>
      </c>
    </row>
    <row r="1904">
      <c r="U1904">
        <f>IF(AND(ISNUMBER('자료_한국심리'!$A1888),ISNUMBER('자료_한국심리'!$B1888)),'자료_한국심리'!$A1888,"")</f>
        <v/>
      </c>
      <c r="V1904">
        <f>IF(AND(ISNUMBER('자료_한국심리'!$D1888),ISNUMBER('자료_한국심리'!$E1888)),'자료_한국심리'!$D1888,"")</f>
        <v/>
      </c>
      <c r="W1904">
        <f>IF(AND(ISNUMBER('자료_한국심리'!$G1888),ISNUMBER('자료_한국심리'!$H1888)),'자료_한국심리'!$G1888,"")</f>
        <v/>
      </c>
      <c r="X1904">
        <f>IF(AND(ISNUMBER('자료_한국심리'!$J1888),ISNUMBER('자료_한국심리'!$K1888)),'자료_한국심리'!$J1888,"")</f>
        <v/>
      </c>
      <c r="Y1904">
        <f>IF(AND(ISNUMBER('자료_한국심리'!$M1888),ISNUMBER('자료_한국심리'!$N1888)),'자료_한국심리'!$M1888,"")</f>
        <v/>
      </c>
    </row>
    <row r="1905">
      <c r="U1905">
        <f>IF(AND(ISNUMBER('자료_한국심리'!$A1889),ISNUMBER('자료_한국심리'!$B1889)),'자료_한국심리'!$A1889,"")</f>
        <v/>
      </c>
      <c r="V1905">
        <f>IF(AND(ISNUMBER('자료_한국심리'!$D1889),ISNUMBER('자료_한국심리'!$E1889)),'자료_한국심리'!$D1889,"")</f>
        <v/>
      </c>
      <c r="W1905">
        <f>IF(AND(ISNUMBER('자료_한국심리'!$G1889),ISNUMBER('자료_한국심리'!$H1889)),'자료_한국심리'!$G1889,"")</f>
        <v/>
      </c>
      <c r="X1905">
        <f>IF(AND(ISNUMBER('자료_한국심리'!$J1889),ISNUMBER('자료_한국심리'!$K1889)),'자료_한국심리'!$J1889,"")</f>
        <v/>
      </c>
      <c r="Y1905">
        <f>IF(AND(ISNUMBER('자료_한국심리'!$M1889),ISNUMBER('자료_한국심리'!$N1889)),'자료_한국심리'!$M1889,"")</f>
        <v/>
      </c>
    </row>
    <row r="1906">
      <c r="U1906">
        <f>IF(AND(ISNUMBER('자료_한국심리'!$A1890),ISNUMBER('자료_한국심리'!$B1890)),'자료_한국심리'!$A1890,"")</f>
        <v/>
      </c>
      <c r="V1906">
        <f>IF(AND(ISNUMBER('자료_한국심리'!$D1890),ISNUMBER('자료_한국심리'!$E1890)),'자료_한국심리'!$D1890,"")</f>
        <v/>
      </c>
      <c r="W1906">
        <f>IF(AND(ISNUMBER('자료_한국심리'!$G1890),ISNUMBER('자료_한국심리'!$H1890)),'자료_한국심리'!$G1890,"")</f>
        <v/>
      </c>
      <c r="X1906">
        <f>IF(AND(ISNUMBER('자료_한국심리'!$J1890),ISNUMBER('자료_한국심리'!$K1890)),'자료_한국심리'!$J1890,"")</f>
        <v/>
      </c>
      <c r="Y1906">
        <f>IF(AND(ISNUMBER('자료_한국심리'!$M1890),ISNUMBER('자료_한국심리'!$N1890)),'자료_한국심리'!$M1890,"")</f>
        <v/>
      </c>
    </row>
    <row r="1907">
      <c r="U1907">
        <f>IF(AND(ISNUMBER('자료_한국심리'!$A1891),ISNUMBER('자료_한국심리'!$B1891)),'자료_한국심리'!$A1891,"")</f>
        <v/>
      </c>
      <c r="V1907">
        <f>IF(AND(ISNUMBER('자료_한국심리'!$D1891),ISNUMBER('자료_한국심리'!$E1891)),'자료_한국심리'!$D1891,"")</f>
        <v/>
      </c>
      <c r="W1907">
        <f>IF(AND(ISNUMBER('자료_한국심리'!$G1891),ISNUMBER('자료_한국심리'!$H1891)),'자료_한국심리'!$G1891,"")</f>
        <v/>
      </c>
      <c r="X1907">
        <f>IF(AND(ISNUMBER('자료_한국심리'!$J1891),ISNUMBER('자료_한국심리'!$K1891)),'자료_한국심리'!$J1891,"")</f>
        <v/>
      </c>
      <c r="Y1907">
        <f>IF(AND(ISNUMBER('자료_한국심리'!$M1891),ISNUMBER('자료_한국심리'!$N1891)),'자료_한국심리'!$M1891,"")</f>
        <v/>
      </c>
    </row>
    <row r="1908">
      <c r="U1908">
        <f>IF(AND(ISNUMBER('자료_한국심리'!$A1892),ISNUMBER('자료_한국심리'!$B1892)),'자료_한국심리'!$A1892,"")</f>
        <v/>
      </c>
      <c r="V1908">
        <f>IF(AND(ISNUMBER('자료_한국심리'!$D1892),ISNUMBER('자료_한국심리'!$E1892)),'자료_한국심리'!$D1892,"")</f>
        <v/>
      </c>
      <c r="W1908">
        <f>IF(AND(ISNUMBER('자료_한국심리'!$G1892),ISNUMBER('자료_한국심리'!$H1892)),'자료_한국심리'!$G1892,"")</f>
        <v/>
      </c>
      <c r="X1908">
        <f>IF(AND(ISNUMBER('자료_한국심리'!$J1892),ISNUMBER('자료_한국심리'!$K1892)),'자료_한국심리'!$J1892,"")</f>
        <v/>
      </c>
      <c r="Y1908">
        <f>IF(AND(ISNUMBER('자료_한국심리'!$M1892),ISNUMBER('자료_한국심리'!$N1892)),'자료_한국심리'!$M1892,"")</f>
        <v/>
      </c>
    </row>
    <row r="1909">
      <c r="U1909">
        <f>IF(AND(ISNUMBER('자료_한국심리'!$A1893),ISNUMBER('자료_한국심리'!$B1893)),'자료_한국심리'!$A1893,"")</f>
        <v/>
      </c>
      <c r="V1909">
        <f>IF(AND(ISNUMBER('자료_한국심리'!$D1893),ISNUMBER('자료_한국심리'!$E1893)),'자료_한국심리'!$D1893,"")</f>
        <v/>
      </c>
      <c r="W1909">
        <f>IF(AND(ISNUMBER('자료_한국심리'!$G1893),ISNUMBER('자료_한국심리'!$H1893)),'자료_한국심리'!$G1893,"")</f>
        <v/>
      </c>
      <c r="X1909">
        <f>IF(AND(ISNUMBER('자료_한국심리'!$J1893),ISNUMBER('자료_한국심리'!$K1893)),'자료_한국심리'!$J1893,"")</f>
        <v/>
      </c>
      <c r="Y1909">
        <f>IF(AND(ISNUMBER('자료_한국심리'!$M1893),ISNUMBER('자료_한국심리'!$N1893)),'자료_한국심리'!$M1893,"")</f>
        <v/>
      </c>
    </row>
    <row r="1910">
      <c r="U1910">
        <f>IF(AND(ISNUMBER('자료_한국심리'!$A1894),ISNUMBER('자료_한국심리'!$B1894)),'자료_한국심리'!$A1894,"")</f>
        <v/>
      </c>
      <c r="V1910">
        <f>IF(AND(ISNUMBER('자료_한국심리'!$D1894),ISNUMBER('자료_한국심리'!$E1894)),'자료_한국심리'!$D1894,"")</f>
        <v/>
      </c>
      <c r="W1910">
        <f>IF(AND(ISNUMBER('자료_한국심리'!$G1894),ISNUMBER('자료_한국심리'!$H1894)),'자료_한국심리'!$G1894,"")</f>
        <v/>
      </c>
      <c r="X1910">
        <f>IF(AND(ISNUMBER('자료_한국심리'!$J1894),ISNUMBER('자료_한국심리'!$K1894)),'자료_한국심리'!$J1894,"")</f>
        <v/>
      </c>
      <c r="Y1910">
        <f>IF(AND(ISNUMBER('자료_한국심리'!$M1894),ISNUMBER('자료_한국심리'!$N1894)),'자료_한국심리'!$M1894,"")</f>
        <v/>
      </c>
    </row>
    <row r="1911">
      <c r="U1911">
        <f>IF(AND(ISNUMBER('자료_한국심리'!$A1895),ISNUMBER('자료_한국심리'!$B1895)),'자료_한국심리'!$A1895,"")</f>
        <v/>
      </c>
      <c r="V1911">
        <f>IF(AND(ISNUMBER('자료_한국심리'!$D1895),ISNUMBER('자료_한국심리'!$E1895)),'자료_한국심리'!$D1895,"")</f>
        <v/>
      </c>
      <c r="W1911">
        <f>IF(AND(ISNUMBER('자료_한국심리'!$G1895),ISNUMBER('자료_한국심리'!$H1895)),'자료_한국심리'!$G1895,"")</f>
        <v/>
      </c>
      <c r="X1911">
        <f>IF(AND(ISNUMBER('자료_한국심리'!$J1895),ISNUMBER('자료_한국심리'!$K1895)),'자료_한국심리'!$J1895,"")</f>
        <v/>
      </c>
      <c r="Y1911">
        <f>IF(AND(ISNUMBER('자료_한국심리'!$M1895),ISNUMBER('자료_한국심리'!$N1895)),'자료_한국심리'!$M1895,"")</f>
        <v/>
      </c>
    </row>
    <row r="1912">
      <c r="U1912">
        <f>IF(AND(ISNUMBER('자료_한국심리'!$A1896),ISNUMBER('자료_한국심리'!$B1896)),'자료_한국심리'!$A1896,"")</f>
        <v/>
      </c>
      <c r="V1912">
        <f>IF(AND(ISNUMBER('자료_한국심리'!$D1896),ISNUMBER('자료_한국심리'!$E1896)),'자료_한국심리'!$D1896,"")</f>
        <v/>
      </c>
      <c r="W1912">
        <f>IF(AND(ISNUMBER('자료_한국심리'!$G1896),ISNUMBER('자료_한국심리'!$H1896)),'자료_한국심리'!$G1896,"")</f>
        <v/>
      </c>
      <c r="X1912">
        <f>IF(AND(ISNUMBER('자료_한국심리'!$J1896),ISNUMBER('자료_한국심리'!$K1896)),'자료_한국심리'!$J1896,"")</f>
        <v/>
      </c>
      <c r="Y1912">
        <f>IF(AND(ISNUMBER('자료_한국심리'!$M1896),ISNUMBER('자료_한국심리'!$N1896)),'자료_한국심리'!$M1896,"")</f>
        <v/>
      </c>
    </row>
    <row r="1913">
      <c r="U1913">
        <f>IF(AND(ISNUMBER('자료_한국심리'!$A1897),ISNUMBER('자료_한국심리'!$B1897)),'자료_한국심리'!$A1897,"")</f>
        <v/>
      </c>
      <c r="V1913">
        <f>IF(AND(ISNUMBER('자료_한국심리'!$D1897),ISNUMBER('자료_한국심리'!$E1897)),'자료_한국심리'!$D1897,"")</f>
        <v/>
      </c>
      <c r="W1913">
        <f>IF(AND(ISNUMBER('자료_한국심리'!$G1897),ISNUMBER('자료_한국심리'!$H1897)),'자료_한국심리'!$G1897,"")</f>
        <v/>
      </c>
      <c r="X1913">
        <f>IF(AND(ISNUMBER('자료_한국심리'!$J1897),ISNUMBER('자료_한국심리'!$K1897)),'자료_한국심리'!$J1897,"")</f>
        <v/>
      </c>
      <c r="Y1913">
        <f>IF(AND(ISNUMBER('자료_한국심리'!$M1897),ISNUMBER('자료_한국심리'!$N1897)),'자료_한국심리'!$M1897,"")</f>
        <v/>
      </c>
    </row>
    <row r="1914">
      <c r="U1914">
        <f>IF(AND(ISNUMBER('자료_한국심리'!$A1898),ISNUMBER('자료_한국심리'!$B1898)),'자료_한국심리'!$A1898,"")</f>
        <v/>
      </c>
      <c r="V1914">
        <f>IF(AND(ISNUMBER('자료_한국심리'!$D1898),ISNUMBER('자료_한국심리'!$E1898)),'자료_한국심리'!$D1898,"")</f>
        <v/>
      </c>
      <c r="W1914">
        <f>IF(AND(ISNUMBER('자료_한국심리'!$G1898),ISNUMBER('자료_한국심리'!$H1898)),'자료_한국심리'!$G1898,"")</f>
        <v/>
      </c>
      <c r="X1914">
        <f>IF(AND(ISNUMBER('자료_한국심리'!$J1898),ISNUMBER('자료_한국심리'!$K1898)),'자료_한국심리'!$J1898,"")</f>
        <v/>
      </c>
      <c r="Y1914">
        <f>IF(AND(ISNUMBER('자료_한국심리'!$M1898),ISNUMBER('자료_한국심리'!$N1898)),'자료_한국심리'!$M1898,"")</f>
        <v/>
      </c>
    </row>
    <row r="1915">
      <c r="U1915">
        <f>IF(AND(ISNUMBER('자료_한국심리'!$A1899),ISNUMBER('자료_한국심리'!$B1899)),'자료_한국심리'!$A1899,"")</f>
        <v/>
      </c>
      <c r="V1915">
        <f>IF(AND(ISNUMBER('자료_한국심리'!$D1899),ISNUMBER('자료_한국심리'!$E1899)),'자료_한국심리'!$D1899,"")</f>
        <v/>
      </c>
      <c r="W1915">
        <f>IF(AND(ISNUMBER('자료_한국심리'!$G1899),ISNUMBER('자료_한국심리'!$H1899)),'자료_한국심리'!$G1899,"")</f>
        <v/>
      </c>
      <c r="X1915">
        <f>IF(AND(ISNUMBER('자료_한국심리'!$J1899),ISNUMBER('자료_한국심리'!$K1899)),'자료_한국심리'!$J1899,"")</f>
        <v/>
      </c>
      <c r="Y1915">
        <f>IF(AND(ISNUMBER('자료_한국심리'!$M1899),ISNUMBER('자료_한국심리'!$N1899)),'자료_한국심리'!$M1899,"")</f>
        <v/>
      </c>
    </row>
    <row r="1916">
      <c r="U1916">
        <f>IF(AND(ISNUMBER('자료_한국심리'!$A1900),ISNUMBER('자료_한국심리'!$B1900)),'자료_한국심리'!$A1900,"")</f>
        <v/>
      </c>
      <c r="V1916">
        <f>IF(AND(ISNUMBER('자료_한국심리'!$D1900),ISNUMBER('자료_한국심리'!$E1900)),'자료_한국심리'!$D1900,"")</f>
        <v/>
      </c>
      <c r="W1916">
        <f>IF(AND(ISNUMBER('자료_한국심리'!$G1900),ISNUMBER('자료_한국심리'!$H1900)),'자료_한국심리'!$G1900,"")</f>
        <v/>
      </c>
      <c r="X1916">
        <f>IF(AND(ISNUMBER('자료_한국심리'!$J1900),ISNUMBER('자료_한국심리'!$K1900)),'자료_한국심리'!$J1900,"")</f>
        <v/>
      </c>
      <c r="Y1916">
        <f>IF(AND(ISNUMBER('자료_한국심리'!$M1900),ISNUMBER('자료_한국심리'!$N1900)),'자료_한국심리'!$M1900,"")</f>
        <v/>
      </c>
    </row>
    <row r="1917">
      <c r="U1917">
        <f>IF(AND(ISNUMBER('자료_한국심리'!$A1901),ISNUMBER('자료_한국심리'!$B1901)),'자료_한국심리'!$A1901,"")</f>
        <v/>
      </c>
      <c r="V1917">
        <f>IF(AND(ISNUMBER('자료_한국심리'!$D1901),ISNUMBER('자료_한국심리'!$E1901)),'자료_한국심리'!$D1901,"")</f>
        <v/>
      </c>
      <c r="W1917">
        <f>IF(AND(ISNUMBER('자료_한국심리'!$G1901),ISNUMBER('자료_한국심리'!$H1901)),'자료_한국심리'!$G1901,"")</f>
        <v/>
      </c>
      <c r="X1917">
        <f>IF(AND(ISNUMBER('자료_한국심리'!$J1901),ISNUMBER('자료_한국심리'!$K1901)),'자료_한국심리'!$J1901,"")</f>
        <v/>
      </c>
      <c r="Y1917">
        <f>IF(AND(ISNUMBER('자료_한국심리'!$M1901),ISNUMBER('자료_한국심리'!$N1901)),'자료_한국심리'!$M1901,"")</f>
        <v/>
      </c>
    </row>
    <row r="1918">
      <c r="U1918">
        <f>IF(AND(ISNUMBER('자료_한국심리'!$A1902),ISNUMBER('자료_한국심리'!$B1902)),'자료_한국심리'!$A1902,"")</f>
        <v/>
      </c>
      <c r="V1918">
        <f>IF(AND(ISNUMBER('자료_한국심리'!$D1902),ISNUMBER('자료_한국심리'!$E1902)),'자료_한국심리'!$D1902,"")</f>
        <v/>
      </c>
      <c r="W1918">
        <f>IF(AND(ISNUMBER('자료_한국심리'!$G1902),ISNUMBER('자료_한국심리'!$H1902)),'자료_한국심리'!$G1902,"")</f>
        <v/>
      </c>
      <c r="X1918">
        <f>IF(AND(ISNUMBER('자료_한국심리'!$J1902),ISNUMBER('자료_한국심리'!$K1902)),'자료_한국심리'!$J1902,"")</f>
        <v/>
      </c>
      <c r="Y1918">
        <f>IF(AND(ISNUMBER('자료_한국심리'!$M1902),ISNUMBER('자료_한국심리'!$N1902)),'자료_한국심리'!$M1902,"")</f>
        <v/>
      </c>
    </row>
    <row r="1919">
      <c r="U1919">
        <f>IF(AND(ISNUMBER('자료_한국심리'!$A1903),ISNUMBER('자료_한국심리'!$B1903)),'자료_한국심리'!$A1903,"")</f>
        <v/>
      </c>
      <c r="V1919">
        <f>IF(AND(ISNUMBER('자료_한국심리'!$D1903),ISNUMBER('자료_한국심리'!$E1903)),'자료_한국심리'!$D1903,"")</f>
        <v/>
      </c>
      <c r="W1919">
        <f>IF(AND(ISNUMBER('자료_한국심리'!$G1903),ISNUMBER('자료_한국심리'!$H1903)),'자료_한국심리'!$G1903,"")</f>
        <v/>
      </c>
      <c r="X1919">
        <f>IF(AND(ISNUMBER('자료_한국심리'!$J1903),ISNUMBER('자료_한국심리'!$K1903)),'자료_한국심리'!$J1903,"")</f>
        <v/>
      </c>
      <c r="Y1919">
        <f>IF(AND(ISNUMBER('자료_한국심리'!$M1903),ISNUMBER('자료_한국심리'!$N1903)),'자료_한국심리'!$M1903,"")</f>
        <v/>
      </c>
    </row>
    <row r="1920">
      <c r="U1920">
        <f>IF(AND(ISNUMBER('자료_한국심리'!$A1904),ISNUMBER('자료_한국심리'!$B1904)),'자료_한국심리'!$A1904,"")</f>
        <v/>
      </c>
      <c r="V1920">
        <f>IF(AND(ISNUMBER('자료_한국심리'!$D1904),ISNUMBER('자료_한국심리'!$E1904)),'자료_한국심리'!$D1904,"")</f>
        <v/>
      </c>
      <c r="W1920">
        <f>IF(AND(ISNUMBER('자료_한국심리'!$G1904),ISNUMBER('자료_한국심리'!$H1904)),'자료_한국심리'!$G1904,"")</f>
        <v/>
      </c>
      <c r="X1920">
        <f>IF(AND(ISNUMBER('자료_한국심리'!$J1904),ISNUMBER('자료_한국심리'!$K1904)),'자료_한국심리'!$J1904,"")</f>
        <v/>
      </c>
      <c r="Y1920">
        <f>IF(AND(ISNUMBER('자료_한국심리'!$M1904),ISNUMBER('자료_한국심리'!$N1904)),'자료_한국심리'!$M1904,"")</f>
        <v/>
      </c>
    </row>
    <row r="1921">
      <c r="U1921">
        <f>IF(AND(ISNUMBER('자료_한국심리'!$A1905),ISNUMBER('자료_한국심리'!$B1905)),'자료_한국심리'!$A1905,"")</f>
        <v/>
      </c>
      <c r="V1921">
        <f>IF(AND(ISNUMBER('자료_한국심리'!$D1905),ISNUMBER('자료_한국심리'!$E1905)),'자료_한국심리'!$D1905,"")</f>
        <v/>
      </c>
      <c r="W1921">
        <f>IF(AND(ISNUMBER('자료_한국심리'!$G1905),ISNUMBER('자료_한국심리'!$H1905)),'자료_한국심리'!$G1905,"")</f>
        <v/>
      </c>
      <c r="X1921">
        <f>IF(AND(ISNUMBER('자료_한국심리'!$J1905),ISNUMBER('자료_한국심리'!$K1905)),'자료_한국심리'!$J1905,"")</f>
        <v/>
      </c>
      <c r="Y1921">
        <f>IF(AND(ISNUMBER('자료_한국심리'!$M1905),ISNUMBER('자료_한국심리'!$N1905)),'자료_한국심리'!$M1905,"")</f>
        <v/>
      </c>
    </row>
    <row r="1922">
      <c r="U1922">
        <f>IF(AND(ISNUMBER('자료_한국심리'!$A1906),ISNUMBER('자료_한국심리'!$B1906)),'자료_한국심리'!$A1906,"")</f>
        <v/>
      </c>
      <c r="V1922">
        <f>IF(AND(ISNUMBER('자료_한국심리'!$D1906),ISNUMBER('자료_한국심리'!$E1906)),'자료_한국심리'!$D1906,"")</f>
        <v/>
      </c>
      <c r="W1922">
        <f>IF(AND(ISNUMBER('자료_한국심리'!$G1906),ISNUMBER('자료_한국심리'!$H1906)),'자료_한국심리'!$G1906,"")</f>
        <v/>
      </c>
      <c r="X1922">
        <f>IF(AND(ISNUMBER('자료_한국심리'!$J1906),ISNUMBER('자료_한국심리'!$K1906)),'자료_한국심리'!$J1906,"")</f>
        <v/>
      </c>
      <c r="Y1922">
        <f>IF(AND(ISNUMBER('자료_한국심리'!$M1906),ISNUMBER('자료_한국심리'!$N1906)),'자료_한국심리'!$M1906,"")</f>
        <v/>
      </c>
    </row>
    <row r="1923">
      <c r="U1923">
        <f>IF(AND(ISNUMBER('자료_한국심리'!$A1907),ISNUMBER('자료_한국심리'!$B1907)),'자료_한국심리'!$A1907,"")</f>
        <v/>
      </c>
      <c r="V1923">
        <f>IF(AND(ISNUMBER('자료_한국심리'!$D1907),ISNUMBER('자료_한국심리'!$E1907)),'자료_한국심리'!$D1907,"")</f>
        <v/>
      </c>
      <c r="W1923">
        <f>IF(AND(ISNUMBER('자료_한국심리'!$G1907),ISNUMBER('자료_한국심리'!$H1907)),'자료_한국심리'!$G1907,"")</f>
        <v/>
      </c>
      <c r="X1923">
        <f>IF(AND(ISNUMBER('자료_한국심리'!$J1907),ISNUMBER('자료_한국심리'!$K1907)),'자료_한국심리'!$J1907,"")</f>
        <v/>
      </c>
      <c r="Y1923">
        <f>IF(AND(ISNUMBER('자료_한국심리'!$M1907),ISNUMBER('자료_한국심리'!$N1907)),'자료_한국심리'!$M1907,"")</f>
        <v/>
      </c>
    </row>
    <row r="1924">
      <c r="U1924">
        <f>IF(AND(ISNUMBER('자료_한국심리'!$A1908),ISNUMBER('자료_한국심리'!$B1908)),'자료_한국심리'!$A1908,"")</f>
        <v/>
      </c>
      <c r="V1924">
        <f>IF(AND(ISNUMBER('자료_한국심리'!$D1908),ISNUMBER('자료_한국심리'!$E1908)),'자료_한국심리'!$D1908,"")</f>
        <v/>
      </c>
      <c r="W1924">
        <f>IF(AND(ISNUMBER('자료_한국심리'!$G1908),ISNUMBER('자료_한국심리'!$H1908)),'자료_한국심리'!$G1908,"")</f>
        <v/>
      </c>
      <c r="X1924">
        <f>IF(AND(ISNUMBER('자료_한국심리'!$J1908),ISNUMBER('자료_한국심리'!$K1908)),'자료_한국심리'!$J1908,"")</f>
        <v/>
      </c>
      <c r="Y1924">
        <f>IF(AND(ISNUMBER('자료_한국심리'!$M1908),ISNUMBER('자료_한국심리'!$N1908)),'자료_한국심리'!$M1908,"")</f>
        <v/>
      </c>
    </row>
    <row r="1925">
      <c r="U1925">
        <f>IF(AND(ISNUMBER('자료_한국심리'!$A1909),ISNUMBER('자료_한국심리'!$B1909)),'자료_한국심리'!$A1909,"")</f>
        <v/>
      </c>
      <c r="V1925">
        <f>IF(AND(ISNUMBER('자료_한국심리'!$D1909),ISNUMBER('자료_한국심리'!$E1909)),'자료_한국심리'!$D1909,"")</f>
        <v/>
      </c>
      <c r="W1925">
        <f>IF(AND(ISNUMBER('자료_한국심리'!$G1909),ISNUMBER('자료_한국심리'!$H1909)),'자료_한국심리'!$G1909,"")</f>
        <v/>
      </c>
      <c r="X1925">
        <f>IF(AND(ISNUMBER('자료_한국심리'!$J1909),ISNUMBER('자료_한국심리'!$K1909)),'자료_한국심리'!$J1909,"")</f>
        <v/>
      </c>
      <c r="Y1925">
        <f>IF(AND(ISNUMBER('자료_한국심리'!$M1909),ISNUMBER('자료_한국심리'!$N1909)),'자료_한국심리'!$M1909,"")</f>
        <v/>
      </c>
    </row>
    <row r="1926">
      <c r="U1926">
        <f>IF(AND(ISNUMBER('자료_한국심리'!$A1910),ISNUMBER('자료_한국심리'!$B1910)),'자료_한국심리'!$A1910,"")</f>
        <v/>
      </c>
      <c r="V1926">
        <f>IF(AND(ISNUMBER('자료_한국심리'!$D1910),ISNUMBER('자료_한국심리'!$E1910)),'자료_한국심리'!$D1910,"")</f>
        <v/>
      </c>
      <c r="W1926">
        <f>IF(AND(ISNUMBER('자료_한국심리'!$G1910),ISNUMBER('자료_한국심리'!$H1910)),'자료_한국심리'!$G1910,"")</f>
        <v/>
      </c>
      <c r="X1926">
        <f>IF(AND(ISNUMBER('자료_한국심리'!$J1910),ISNUMBER('자료_한국심리'!$K1910)),'자료_한국심리'!$J1910,"")</f>
        <v/>
      </c>
      <c r="Y1926">
        <f>IF(AND(ISNUMBER('자료_한국심리'!$M1910),ISNUMBER('자료_한국심리'!$N1910)),'자료_한국심리'!$M1910,"")</f>
        <v/>
      </c>
    </row>
    <row r="1927">
      <c r="U1927">
        <f>IF(AND(ISNUMBER('자료_한국심리'!$A1911),ISNUMBER('자료_한국심리'!$B1911)),'자료_한국심리'!$A1911,"")</f>
        <v/>
      </c>
      <c r="V1927">
        <f>IF(AND(ISNUMBER('자료_한국심리'!$D1911),ISNUMBER('자료_한국심리'!$E1911)),'자료_한국심리'!$D1911,"")</f>
        <v/>
      </c>
      <c r="W1927">
        <f>IF(AND(ISNUMBER('자료_한국심리'!$G1911),ISNUMBER('자료_한국심리'!$H1911)),'자료_한국심리'!$G1911,"")</f>
        <v/>
      </c>
      <c r="X1927">
        <f>IF(AND(ISNUMBER('자료_한국심리'!$J1911),ISNUMBER('자료_한국심리'!$K1911)),'자료_한국심리'!$J1911,"")</f>
        <v/>
      </c>
      <c r="Y1927">
        <f>IF(AND(ISNUMBER('자료_한국심리'!$M1911),ISNUMBER('자료_한국심리'!$N1911)),'자료_한국심리'!$M1911,"")</f>
        <v/>
      </c>
    </row>
    <row r="1928">
      <c r="U1928">
        <f>IF(AND(ISNUMBER('자료_한국심리'!$A1912),ISNUMBER('자료_한국심리'!$B1912)),'자료_한국심리'!$A1912,"")</f>
        <v/>
      </c>
      <c r="V1928">
        <f>IF(AND(ISNUMBER('자료_한국심리'!$D1912),ISNUMBER('자료_한국심리'!$E1912)),'자료_한국심리'!$D1912,"")</f>
        <v/>
      </c>
      <c r="W1928">
        <f>IF(AND(ISNUMBER('자료_한국심리'!$G1912),ISNUMBER('자료_한국심리'!$H1912)),'자료_한국심리'!$G1912,"")</f>
        <v/>
      </c>
      <c r="X1928">
        <f>IF(AND(ISNUMBER('자료_한국심리'!$J1912),ISNUMBER('자료_한국심리'!$K1912)),'자료_한국심리'!$J1912,"")</f>
        <v/>
      </c>
      <c r="Y1928">
        <f>IF(AND(ISNUMBER('자료_한국심리'!$M1912),ISNUMBER('자료_한국심리'!$N1912)),'자료_한국심리'!$M1912,"")</f>
        <v/>
      </c>
    </row>
    <row r="1929">
      <c r="U1929">
        <f>IF(AND(ISNUMBER('자료_한국심리'!$A1913),ISNUMBER('자료_한국심리'!$B1913)),'자료_한국심리'!$A1913,"")</f>
        <v/>
      </c>
      <c r="V1929">
        <f>IF(AND(ISNUMBER('자료_한국심리'!$D1913),ISNUMBER('자료_한국심리'!$E1913)),'자료_한국심리'!$D1913,"")</f>
        <v/>
      </c>
      <c r="W1929">
        <f>IF(AND(ISNUMBER('자료_한국심리'!$G1913),ISNUMBER('자료_한국심리'!$H1913)),'자료_한국심리'!$G1913,"")</f>
        <v/>
      </c>
      <c r="X1929">
        <f>IF(AND(ISNUMBER('자료_한국심리'!$J1913),ISNUMBER('자료_한국심리'!$K1913)),'자료_한국심리'!$J1913,"")</f>
        <v/>
      </c>
      <c r="Y1929">
        <f>IF(AND(ISNUMBER('자료_한국심리'!$M1913),ISNUMBER('자료_한국심리'!$N1913)),'자료_한국심리'!$M1913,"")</f>
        <v/>
      </c>
    </row>
    <row r="1930">
      <c r="U1930">
        <f>IF(AND(ISNUMBER('자료_한국심리'!$A1914),ISNUMBER('자료_한국심리'!$B1914)),'자료_한국심리'!$A1914,"")</f>
        <v/>
      </c>
      <c r="V1930">
        <f>IF(AND(ISNUMBER('자료_한국심리'!$D1914),ISNUMBER('자료_한국심리'!$E1914)),'자료_한국심리'!$D1914,"")</f>
        <v/>
      </c>
      <c r="W1930">
        <f>IF(AND(ISNUMBER('자료_한국심리'!$G1914),ISNUMBER('자료_한국심리'!$H1914)),'자료_한국심리'!$G1914,"")</f>
        <v/>
      </c>
      <c r="X1930">
        <f>IF(AND(ISNUMBER('자료_한국심리'!$J1914),ISNUMBER('자료_한국심리'!$K1914)),'자료_한국심리'!$J1914,"")</f>
        <v/>
      </c>
      <c r="Y1930">
        <f>IF(AND(ISNUMBER('자료_한국심리'!$M1914),ISNUMBER('자료_한국심리'!$N1914)),'자료_한국심리'!$M1914,"")</f>
        <v/>
      </c>
    </row>
    <row r="1931">
      <c r="U1931">
        <f>IF(AND(ISNUMBER('자료_한국심리'!$A1915),ISNUMBER('자료_한국심리'!$B1915)),'자료_한국심리'!$A1915,"")</f>
        <v/>
      </c>
      <c r="V1931">
        <f>IF(AND(ISNUMBER('자료_한국심리'!$D1915),ISNUMBER('자료_한국심리'!$E1915)),'자료_한국심리'!$D1915,"")</f>
        <v/>
      </c>
      <c r="W1931">
        <f>IF(AND(ISNUMBER('자료_한국심리'!$G1915),ISNUMBER('자료_한국심리'!$H1915)),'자료_한국심리'!$G1915,"")</f>
        <v/>
      </c>
      <c r="X1931">
        <f>IF(AND(ISNUMBER('자료_한국심리'!$J1915),ISNUMBER('자료_한국심리'!$K1915)),'자료_한국심리'!$J1915,"")</f>
        <v/>
      </c>
      <c r="Y1931">
        <f>IF(AND(ISNUMBER('자료_한국심리'!$M1915),ISNUMBER('자료_한국심리'!$N1915)),'자료_한국심리'!$M1915,"")</f>
        <v/>
      </c>
    </row>
    <row r="1932">
      <c r="U1932">
        <f>IF(AND(ISNUMBER('자료_한국심리'!$A1916),ISNUMBER('자료_한국심리'!$B1916)),'자료_한국심리'!$A1916,"")</f>
        <v/>
      </c>
      <c r="V1932">
        <f>IF(AND(ISNUMBER('자료_한국심리'!$D1916),ISNUMBER('자료_한국심리'!$E1916)),'자료_한국심리'!$D1916,"")</f>
        <v/>
      </c>
      <c r="W1932">
        <f>IF(AND(ISNUMBER('자료_한국심리'!$G1916),ISNUMBER('자료_한국심리'!$H1916)),'자료_한국심리'!$G1916,"")</f>
        <v/>
      </c>
      <c r="X1932">
        <f>IF(AND(ISNUMBER('자료_한국심리'!$J1916),ISNUMBER('자료_한국심리'!$K1916)),'자료_한국심리'!$J1916,"")</f>
        <v/>
      </c>
      <c r="Y1932">
        <f>IF(AND(ISNUMBER('자료_한국심리'!$M1916),ISNUMBER('자료_한국심리'!$N1916)),'자료_한국심리'!$M1916,"")</f>
        <v/>
      </c>
    </row>
    <row r="1933">
      <c r="U1933">
        <f>IF(AND(ISNUMBER('자료_한국심리'!$A1917),ISNUMBER('자료_한국심리'!$B1917)),'자료_한국심리'!$A1917,"")</f>
        <v/>
      </c>
      <c r="V1933">
        <f>IF(AND(ISNUMBER('자료_한국심리'!$D1917),ISNUMBER('자료_한국심리'!$E1917)),'자료_한국심리'!$D1917,"")</f>
        <v/>
      </c>
      <c r="W1933">
        <f>IF(AND(ISNUMBER('자료_한국심리'!$G1917),ISNUMBER('자료_한국심리'!$H1917)),'자료_한국심리'!$G1917,"")</f>
        <v/>
      </c>
      <c r="X1933">
        <f>IF(AND(ISNUMBER('자료_한국심리'!$J1917),ISNUMBER('자료_한국심리'!$K1917)),'자료_한국심리'!$J1917,"")</f>
        <v/>
      </c>
      <c r="Y1933">
        <f>IF(AND(ISNUMBER('자료_한국심리'!$M1917),ISNUMBER('자료_한국심리'!$N1917)),'자료_한국심리'!$M1917,"")</f>
        <v/>
      </c>
    </row>
    <row r="1934">
      <c r="U1934">
        <f>IF(AND(ISNUMBER('자료_한국심리'!$A1918),ISNUMBER('자료_한국심리'!$B1918)),'자료_한국심리'!$A1918,"")</f>
        <v/>
      </c>
      <c r="V1934">
        <f>IF(AND(ISNUMBER('자료_한국심리'!$D1918),ISNUMBER('자료_한국심리'!$E1918)),'자료_한국심리'!$D1918,"")</f>
        <v/>
      </c>
      <c r="W1934">
        <f>IF(AND(ISNUMBER('자료_한국심리'!$G1918),ISNUMBER('자료_한국심리'!$H1918)),'자료_한국심리'!$G1918,"")</f>
        <v/>
      </c>
      <c r="X1934">
        <f>IF(AND(ISNUMBER('자료_한국심리'!$J1918),ISNUMBER('자료_한국심리'!$K1918)),'자료_한국심리'!$J1918,"")</f>
        <v/>
      </c>
      <c r="Y1934">
        <f>IF(AND(ISNUMBER('자료_한국심리'!$M1918),ISNUMBER('자료_한국심리'!$N1918)),'자료_한국심리'!$M1918,"")</f>
        <v/>
      </c>
    </row>
    <row r="1935">
      <c r="U1935">
        <f>IF(AND(ISNUMBER('자료_한국심리'!$A1919),ISNUMBER('자료_한국심리'!$B1919)),'자료_한국심리'!$A1919,"")</f>
        <v/>
      </c>
      <c r="V1935">
        <f>IF(AND(ISNUMBER('자료_한국심리'!$D1919),ISNUMBER('자료_한국심리'!$E1919)),'자료_한국심리'!$D1919,"")</f>
        <v/>
      </c>
      <c r="W1935">
        <f>IF(AND(ISNUMBER('자료_한국심리'!$G1919),ISNUMBER('자료_한국심리'!$H1919)),'자료_한국심리'!$G1919,"")</f>
        <v/>
      </c>
      <c r="X1935">
        <f>IF(AND(ISNUMBER('자료_한국심리'!$J1919),ISNUMBER('자료_한국심리'!$K1919)),'자료_한국심리'!$J1919,"")</f>
        <v/>
      </c>
      <c r="Y1935">
        <f>IF(AND(ISNUMBER('자료_한국심리'!$M1919),ISNUMBER('자료_한국심리'!$N1919)),'자료_한국심리'!$M1919,"")</f>
        <v/>
      </c>
    </row>
    <row r="1936">
      <c r="U1936">
        <f>IF(AND(ISNUMBER('자료_한국심리'!$A1920),ISNUMBER('자료_한국심리'!$B1920)),'자료_한국심리'!$A1920,"")</f>
        <v/>
      </c>
      <c r="V1936">
        <f>IF(AND(ISNUMBER('자료_한국심리'!$D1920),ISNUMBER('자료_한국심리'!$E1920)),'자료_한국심리'!$D1920,"")</f>
        <v/>
      </c>
      <c r="W1936">
        <f>IF(AND(ISNUMBER('자료_한국심리'!$G1920),ISNUMBER('자료_한국심리'!$H1920)),'자료_한국심리'!$G1920,"")</f>
        <v/>
      </c>
      <c r="X1936">
        <f>IF(AND(ISNUMBER('자료_한국심리'!$J1920),ISNUMBER('자료_한국심리'!$K1920)),'자료_한국심리'!$J1920,"")</f>
        <v/>
      </c>
      <c r="Y1936">
        <f>IF(AND(ISNUMBER('자료_한국심리'!$M1920),ISNUMBER('자료_한국심리'!$N1920)),'자료_한국심리'!$M1920,"")</f>
        <v/>
      </c>
    </row>
    <row r="1937">
      <c r="U1937">
        <f>IF(AND(ISNUMBER('자료_한국심리'!$A1921),ISNUMBER('자료_한국심리'!$B1921)),'자료_한국심리'!$A1921,"")</f>
        <v/>
      </c>
      <c r="V1937">
        <f>IF(AND(ISNUMBER('자료_한국심리'!$D1921),ISNUMBER('자료_한국심리'!$E1921)),'자료_한국심리'!$D1921,"")</f>
        <v/>
      </c>
      <c r="W1937">
        <f>IF(AND(ISNUMBER('자료_한국심리'!$G1921),ISNUMBER('자료_한국심리'!$H1921)),'자료_한국심리'!$G1921,"")</f>
        <v/>
      </c>
      <c r="X1937">
        <f>IF(AND(ISNUMBER('자료_한국심리'!$J1921),ISNUMBER('자료_한국심리'!$K1921)),'자료_한국심리'!$J1921,"")</f>
        <v/>
      </c>
      <c r="Y1937">
        <f>IF(AND(ISNUMBER('자료_한국심리'!$M1921),ISNUMBER('자료_한국심리'!$N1921)),'자료_한국심리'!$M1921,"")</f>
        <v/>
      </c>
    </row>
    <row r="1938">
      <c r="U1938">
        <f>IF(AND(ISNUMBER('자료_한국심리'!$A1922),ISNUMBER('자료_한국심리'!$B1922)),'자료_한국심리'!$A1922,"")</f>
        <v/>
      </c>
      <c r="V1938">
        <f>IF(AND(ISNUMBER('자료_한국심리'!$D1922),ISNUMBER('자료_한국심리'!$E1922)),'자료_한국심리'!$D1922,"")</f>
        <v/>
      </c>
      <c r="W1938">
        <f>IF(AND(ISNUMBER('자료_한국심리'!$G1922),ISNUMBER('자료_한국심리'!$H1922)),'자료_한국심리'!$G1922,"")</f>
        <v/>
      </c>
      <c r="X1938">
        <f>IF(AND(ISNUMBER('자료_한국심리'!$J1922),ISNUMBER('자료_한국심리'!$K1922)),'자료_한국심리'!$J1922,"")</f>
        <v/>
      </c>
      <c r="Y1938">
        <f>IF(AND(ISNUMBER('자료_한국심리'!$M1922),ISNUMBER('자료_한국심리'!$N1922)),'자료_한국심리'!$M1922,"")</f>
        <v/>
      </c>
    </row>
    <row r="1939">
      <c r="U1939">
        <f>IF(AND(ISNUMBER('자료_한국심리'!$A1923),ISNUMBER('자료_한국심리'!$B1923)),'자료_한국심리'!$A1923,"")</f>
        <v/>
      </c>
      <c r="V1939">
        <f>IF(AND(ISNUMBER('자료_한국심리'!$D1923),ISNUMBER('자료_한국심리'!$E1923)),'자료_한국심리'!$D1923,"")</f>
        <v/>
      </c>
      <c r="W1939">
        <f>IF(AND(ISNUMBER('자료_한국심리'!$G1923),ISNUMBER('자료_한국심리'!$H1923)),'자료_한국심리'!$G1923,"")</f>
        <v/>
      </c>
      <c r="X1939">
        <f>IF(AND(ISNUMBER('자료_한국심리'!$J1923),ISNUMBER('자료_한국심리'!$K1923)),'자료_한국심리'!$J1923,"")</f>
        <v/>
      </c>
      <c r="Y1939">
        <f>IF(AND(ISNUMBER('자료_한국심리'!$M1923),ISNUMBER('자료_한국심리'!$N1923)),'자료_한국심리'!$M1923,"")</f>
        <v/>
      </c>
    </row>
    <row r="1940">
      <c r="U1940">
        <f>IF(AND(ISNUMBER('자료_한국심리'!$A1924),ISNUMBER('자료_한국심리'!$B1924)),'자료_한국심리'!$A1924,"")</f>
        <v/>
      </c>
      <c r="V1940">
        <f>IF(AND(ISNUMBER('자료_한국심리'!$D1924),ISNUMBER('자료_한국심리'!$E1924)),'자료_한국심리'!$D1924,"")</f>
        <v/>
      </c>
      <c r="W1940">
        <f>IF(AND(ISNUMBER('자료_한국심리'!$G1924),ISNUMBER('자료_한국심리'!$H1924)),'자료_한국심리'!$G1924,"")</f>
        <v/>
      </c>
      <c r="X1940">
        <f>IF(AND(ISNUMBER('자료_한국심리'!$J1924),ISNUMBER('자료_한국심리'!$K1924)),'자료_한국심리'!$J1924,"")</f>
        <v/>
      </c>
      <c r="Y1940">
        <f>IF(AND(ISNUMBER('자료_한국심리'!$M1924),ISNUMBER('자료_한국심리'!$N1924)),'자료_한국심리'!$M1924,"")</f>
        <v/>
      </c>
    </row>
    <row r="1941">
      <c r="U1941">
        <f>IF(AND(ISNUMBER('자료_한국심리'!$A1925),ISNUMBER('자료_한국심리'!$B1925)),'자료_한국심리'!$A1925,"")</f>
        <v/>
      </c>
      <c r="V1941">
        <f>IF(AND(ISNUMBER('자료_한국심리'!$D1925),ISNUMBER('자료_한국심리'!$E1925)),'자료_한국심리'!$D1925,"")</f>
        <v/>
      </c>
      <c r="W1941">
        <f>IF(AND(ISNUMBER('자료_한국심리'!$G1925),ISNUMBER('자료_한국심리'!$H1925)),'자료_한국심리'!$G1925,"")</f>
        <v/>
      </c>
      <c r="X1941">
        <f>IF(AND(ISNUMBER('자료_한국심리'!$J1925),ISNUMBER('자료_한국심리'!$K1925)),'자료_한국심리'!$J1925,"")</f>
        <v/>
      </c>
      <c r="Y1941">
        <f>IF(AND(ISNUMBER('자료_한국심리'!$M1925),ISNUMBER('자료_한국심리'!$N1925)),'자료_한국심리'!$M1925,"")</f>
        <v/>
      </c>
    </row>
    <row r="1942">
      <c r="U1942">
        <f>IF(AND(ISNUMBER('자료_한국심리'!$A1926),ISNUMBER('자료_한국심리'!$B1926)),'자료_한국심리'!$A1926,"")</f>
        <v/>
      </c>
      <c r="V1942">
        <f>IF(AND(ISNUMBER('자료_한국심리'!$D1926),ISNUMBER('자료_한국심리'!$E1926)),'자료_한국심리'!$D1926,"")</f>
        <v/>
      </c>
      <c r="W1942">
        <f>IF(AND(ISNUMBER('자료_한국심리'!$G1926),ISNUMBER('자료_한국심리'!$H1926)),'자료_한국심리'!$G1926,"")</f>
        <v/>
      </c>
      <c r="X1942">
        <f>IF(AND(ISNUMBER('자료_한국심리'!$J1926),ISNUMBER('자료_한국심리'!$K1926)),'자료_한국심리'!$J1926,"")</f>
        <v/>
      </c>
      <c r="Y1942">
        <f>IF(AND(ISNUMBER('자료_한국심리'!$M1926),ISNUMBER('자료_한국심리'!$N1926)),'자료_한국심리'!$M1926,"")</f>
        <v/>
      </c>
    </row>
    <row r="1943">
      <c r="U1943">
        <f>IF(AND(ISNUMBER('자료_한국심리'!$A1927),ISNUMBER('자료_한국심리'!$B1927)),'자료_한국심리'!$A1927,"")</f>
        <v/>
      </c>
      <c r="V1943">
        <f>IF(AND(ISNUMBER('자료_한국심리'!$D1927),ISNUMBER('자료_한국심리'!$E1927)),'자료_한국심리'!$D1927,"")</f>
        <v/>
      </c>
      <c r="W1943">
        <f>IF(AND(ISNUMBER('자료_한국심리'!$G1927),ISNUMBER('자료_한국심리'!$H1927)),'자료_한국심리'!$G1927,"")</f>
        <v/>
      </c>
      <c r="X1943">
        <f>IF(AND(ISNUMBER('자료_한국심리'!$J1927),ISNUMBER('자료_한국심리'!$K1927)),'자료_한국심리'!$J1927,"")</f>
        <v/>
      </c>
      <c r="Y1943">
        <f>IF(AND(ISNUMBER('자료_한국심리'!$M1927),ISNUMBER('자료_한국심리'!$N1927)),'자료_한국심리'!$M1927,"")</f>
        <v/>
      </c>
    </row>
    <row r="1944">
      <c r="U1944">
        <f>IF(AND(ISNUMBER('자료_한국심리'!$A1928),ISNUMBER('자료_한국심리'!$B1928)),'자료_한국심리'!$A1928,"")</f>
        <v/>
      </c>
      <c r="V1944">
        <f>IF(AND(ISNUMBER('자료_한국심리'!$D1928),ISNUMBER('자료_한국심리'!$E1928)),'자료_한국심리'!$D1928,"")</f>
        <v/>
      </c>
      <c r="W1944">
        <f>IF(AND(ISNUMBER('자료_한국심리'!$G1928),ISNUMBER('자료_한국심리'!$H1928)),'자료_한국심리'!$G1928,"")</f>
        <v/>
      </c>
      <c r="X1944">
        <f>IF(AND(ISNUMBER('자료_한국심리'!$J1928),ISNUMBER('자료_한국심리'!$K1928)),'자료_한국심리'!$J1928,"")</f>
        <v/>
      </c>
      <c r="Y1944">
        <f>IF(AND(ISNUMBER('자료_한국심리'!$M1928),ISNUMBER('자료_한국심리'!$N1928)),'자료_한국심리'!$M1928,"")</f>
        <v/>
      </c>
    </row>
    <row r="1945">
      <c r="U1945">
        <f>IF(AND(ISNUMBER('자료_한국심리'!$A1929),ISNUMBER('자료_한국심리'!$B1929)),'자료_한국심리'!$A1929,"")</f>
        <v/>
      </c>
      <c r="V1945">
        <f>IF(AND(ISNUMBER('자료_한국심리'!$D1929),ISNUMBER('자료_한국심리'!$E1929)),'자료_한국심리'!$D1929,"")</f>
        <v/>
      </c>
      <c r="W1945">
        <f>IF(AND(ISNUMBER('자료_한국심리'!$G1929),ISNUMBER('자료_한국심리'!$H1929)),'자료_한국심리'!$G1929,"")</f>
        <v/>
      </c>
      <c r="X1945">
        <f>IF(AND(ISNUMBER('자료_한국심리'!$J1929),ISNUMBER('자료_한국심리'!$K1929)),'자료_한국심리'!$J1929,"")</f>
        <v/>
      </c>
      <c r="Y1945">
        <f>IF(AND(ISNUMBER('자료_한국심리'!$M1929),ISNUMBER('자료_한국심리'!$N1929)),'자료_한국심리'!$M1929,"")</f>
        <v/>
      </c>
    </row>
    <row r="1946">
      <c r="U1946">
        <f>IF(AND(ISNUMBER('자료_한국심리'!$A1930),ISNUMBER('자료_한국심리'!$B1930)),'자료_한국심리'!$A1930,"")</f>
        <v/>
      </c>
      <c r="V1946">
        <f>IF(AND(ISNUMBER('자료_한국심리'!$D1930),ISNUMBER('자료_한국심리'!$E1930)),'자료_한국심리'!$D1930,"")</f>
        <v/>
      </c>
      <c r="W1946">
        <f>IF(AND(ISNUMBER('자료_한국심리'!$G1930),ISNUMBER('자료_한국심리'!$H1930)),'자료_한국심리'!$G1930,"")</f>
        <v/>
      </c>
      <c r="X1946">
        <f>IF(AND(ISNUMBER('자료_한국심리'!$J1930),ISNUMBER('자료_한국심리'!$K1930)),'자료_한국심리'!$J1930,"")</f>
        <v/>
      </c>
      <c r="Y1946">
        <f>IF(AND(ISNUMBER('자료_한국심리'!$M1930),ISNUMBER('자료_한국심리'!$N1930)),'자료_한국심리'!$M1930,"")</f>
        <v/>
      </c>
    </row>
    <row r="1947">
      <c r="U1947">
        <f>IF(AND(ISNUMBER('자료_한국심리'!$A1931),ISNUMBER('자료_한국심리'!$B1931)),'자료_한국심리'!$A1931,"")</f>
        <v/>
      </c>
      <c r="V1947">
        <f>IF(AND(ISNUMBER('자료_한국심리'!$D1931),ISNUMBER('자료_한국심리'!$E1931)),'자료_한국심리'!$D1931,"")</f>
        <v/>
      </c>
      <c r="W1947">
        <f>IF(AND(ISNUMBER('자료_한국심리'!$G1931),ISNUMBER('자료_한국심리'!$H1931)),'자료_한국심리'!$G1931,"")</f>
        <v/>
      </c>
      <c r="X1947">
        <f>IF(AND(ISNUMBER('자료_한국심리'!$J1931),ISNUMBER('자료_한국심리'!$K1931)),'자료_한국심리'!$J1931,"")</f>
        <v/>
      </c>
      <c r="Y1947">
        <f>IF(AND(ISNUMBER('자료_한국심리'!$M1931),ISNUMBER('자료_한국심리'!$N1931)),'자료_한국심리'!$M1931,"")</f>
        <v/>
      </c>
    </row>
    <row r="1948">
      <c r="U1948">
        <f>IF(AND(ISNUMBER('자료_한국심리'!$A1932),ISNUMBER('자료_한국심리'!$B1932)),'자료_한국심리'!$A1932,"")</f>
        <v/>
      </c>
      <c r="V1948">
        <f>IF(AND(ISNUMBER('자료_한국심리'!$D1932),ISNUMBER('자료_한국심리'!$E1932)),'자료_한국심리'!$D1932,"")</f>
        <v/>
      </c>
      <c r="W1948">
        <f>IF(AND(ISNUMBER('자료_한국심리'!$G1932),ISNUMBER('자료_한국심리'!$H1932)),'자료_한국심리'!$G1932,"")</f>
        <v/>
      </c>
      <c r="X1948">
        <f>IF(AND(ISNUMBER('자료_한국심리'!$J1932),ISNUMBER('자료_한국심리'!$K1932)),'자료_한국심리'!$J1932,"")</f>
        <v/>
      </c>
      <c r="Y1948">
        <f>IF(AND(ISNUMBER('자료_한국심리'!$M1932),ISNUMBER('자료_한국심리'!$N1932)),'자료_한국심리'!$M1932,"")</f>
        <v/>
      </c>
    </row>
    <row r="1949">
      <c r="U1949">
        <f>IF(AND(ISNUMBER('자료_한국심리'!$A1933),ISNUMBER('자료_한국심리'!$B1933)),'자료_한국심리'!$A1933,"")</f>
        <v/>
      </c>
      <c r="V1949">
        <f>IF(AND(ISNUMBER('자료_한국심리'!$D1933),ISNUMBER('자료_한국심리'!$E1933)),'자료_한국심리'!$D1933,"")</f>
        <v/>
      </c>
      <c r="W1949">
        <f>IF(AND(ISNUMBER('자료_한국심리'!$G1933),ISNUMBER('자료_한국심리'!$H1933)),'자료_한국심리'!$G1933,"")</f>
        <v/>
      </c>
      <c r="X1949">
        <f>IF(AND(ISNUMBER('자료_한국심리'!$J1933),ISNUMBER('자료_한국심리'!$K1933)),'자료_한국심리'!$J1933,"")</f>
        <v/>
      </c>
      <c r="Y1949">
        <f>IF(AND(ISNUMBER('자료_한국심리'!$M1933),ISNUMBER('자료_한국심리'!$N1933)),'자료_한국심리'!$M1933,"")</f>
        <v/>
      </c>
    </row>
    <row r="1950">
      <c r="U1950">
        <f>IF(AND(ISNUMBER('자료_한국심리'!$A1934),ISNUMBER('자료_한국심리'!$B1934)),'자료_한국심리'!$A1934,"")</f>
        <v/>
      </c>
      <c r="V1950">
        <f>IF(AND(ISNUMBER('자료_한국심리'!$D1934),ISNUMBER('자료_한국심리'!$E1934)),'자료_한국심리'!$D1934,"")</f>
        <v/>
      </c>
      <c r="W1950">
        <f>IF(AND(ISNUMBER('자료_한국심리'!$G1934),ISNUMBER('자료_한국심리'!$H1934)),'자료_한국심리'!$G1934,"")</f>
        <v/>
      </c>
      <c r="X1950">
        <f>IF(AND(ISNUMBER('자료_한국심리'!$J1934),ISNUMBER('자료_한국심리'!$K1934)),'자료_한국심리'!$J1934,"")</f>
        <v/>
      </c>
      <c r="Y1950">
        <f>IF(AND(ISNUMBER('자료_한국심리'!$M1934),ISNUMBER('자료_한국심리'!$N1934)),'자료_한국심리'!$M1934,"")</f>
        <v/>
      </c>
    </row>
    <row r="1951">
      <c r="U1951">
        <f>IF(AND(ISNUMBER('자료_한국심리'!$A1935),ISNUMBER('자료_한국심리'!$B1935)),'자료_한국심리'!$A1935,"")</f>
        <v/>
      </c>
      <c r="V1951">
        <f>IF(AND(ISNUMBER('자료_한국심리'!$D1935),ISNUMBER('자료_한국심리'!$E1935)),'자료_한국심리'!$D1935,"")</f>
        <v/>
      </c>
      <c r="W1951">
        <f>IF(AND(ISNUMBER('자료_한국심리'!$G1935),ISNUMBER('자료_한국심리'!$H1935)),'자료_한국심리'!$G1935,"")</f>
        <v/>
      </c>
      <c r="X1951">
        <f>IF(AND(ISNUMBER('자료_한국심리'!$J1935),ISNUMBER('자료_한국심리'!$K1935)),'자료_한국심리'!$J1935,"")</f>
        <v/>
      </c>
      <c r="Y1951">
        <f>IF(AND(ISNUMBER('자료_한국심리'!$M1935),ISNUMBER('자료_한국심리'!$N1935)),'자료_한국심리'!$M1935,"")</f>
        <v/>
      </c>
    </row>
    <row r="1952">
      <c r="U1952">
        <f>IF(AND(ISNUMBER('자료_한국심리'!$A1936),ISNUMBER('자료_한국심리'!$B1936)),'자료_한국심리'!$A1936,"")</f>
        <v/>
      </c>
      <c r="V1952">
        <f>IF(AND(ISNUMBER('자료_한국심리'!$D1936),ISNUMBER('자료_한국심리'!$E1936)),'자료_한국심리'!$D1936,"")</f>
        <v/>
      </c>
      <c r="W1952">
        <f>IF(AND(ISNUMBER('자료_한국심리'!$G1936),ISNUMBER('자료_한국심리'!$H1936)),'자료_한국심리'!$G1936,"")</f>
        <v/>
      </c>
      <c r="X1952">
        <f>IF(AND(ISNUMBER('자료_한국심리'!$J1936),ISNUMBER('자료_한국심리'!$K1936)),'자료_한국심리'!$J1936,"")</f>
        <v/>
      </c>
      <c r="Y1952">
        <f>IF(AND(ISNUMBER('자료_한국심리'!$M1936),ISNUMBER('자료_한국심리'!$N1936)),'자료_한국심리'!$M1936,"")</f>
        <v/>
      </c>
    </row>
    <row r="1953">
      <c r="U1953">
        <f>IF(AND(ISNUMBER('자료_한국심리'!$A1937),ISNUMBER('자료_한국심리'!$B1937)),'자료_한국심리'!$A1937,"")</f>
        <v/>
      </c>
      <c r="V1953">
        <f>IF(AND(ISNUMBER('자료_한국심리'!$D1937),ISNUMBER('자료_한국심리'!$E1937)),'자료_한국심리'!$D1937,"")</f>
        <v/>
      </c>
      <c r="W1953">
        <f>IF(AND(ISNUMBER('자료_한국심리'!$G1937),ISNUMBER('자료_한국심리'!$H1937)),'자료_한국심리'!$G1937,"")</f>
        <v/>
      </c>
      <c r="X1953">
        <f>IF(AND(ISNUMBER('자료_한국심리'!$J1937),ISNUMBER('자료_한국심리'!$K1937)),'자료_한국심리'!$J1937,"")</f>
        <v/>
      </c>
      <c r="Y1953">
        <f>IF(AND(ISNUMBER('자료_한국심리'!$M1937),ISNUMBER('자료_한국심리'!$N1937)),'자료_한국심리'!$M1937,"")</f>
        <v/>
      </c>
    </row>
    <row r="1954">
      <c r="U1954">
        <f>IF(AND(ISNUMBER('자료_한국심리'!$A1938),ISNUMBER('자료_한국심리'!$B1938)),'자료_한국심리'!$A1938,"")</f>
        <v/>
      </c>
      <c r="V1954">
        <f>IF(AND(ISNUMBER('자료_한국심리'!$D1938),ISNUMBER('자료_한국심리'!$E1938)),'자료_한국심리'!$D1938,"")</f>
        <v/>
      </c>
      <c r="W1954">
        <f>IF(AND(ISNUMBER('자료_한국심리'!$G1938),ISNUMBER('자료_한국심리'!$H1938)),'자료_한국심리'!$G1938,"")</f>
        <v/>
      </c>
      <c r="X1954">
        <f>IF(AND(ISNUMBER('자료_한국심리'!$J1938),ISNUMBER('자료_한국심리'!$K1938)),'자료_한국심리'!$J1938,"")</f>
        <v/>
      </c>
      <c r="Y1954">
        <f>IF(AND(ISNUMBER('자료_한국심리'!$M1938),ISNUMBER('자료_한국심리'!$N1938)),'자료_한국심리'!$M1938,"")</f>
        <v/>
      </c>
    </row>
    <row r="1955">
      <c r="U1955">
        <f>IF(AND(ISNUMBER('자료_한국심리'!$A1939),ISNUMBER('자료_한국심리'!$B1939)),'자료_한국심리'!$A1939,"")</f>
        <v/>
      </c>
      <c r="V1955">
        <f>IF(AND(ISNUMBER('자료_한국심리'!$D1939),ISNUMBER('자료_한국심리'!$E1939)),'자료_한국심리'!$D1939,"")</f>
        <v/>
      </c>
      <c r="W1955">
        <f>IF(AND(ISNUMBER('자료_한국심리'!$G1939),ISNUMBER('자료_한국심리'!$H1939)),'자료_한국심리'!$G1939,"")</f>
        <v/>
      </c>
      <c r="X1955">
        <f>IF(AND(ISNUMBER('자료_한국심리'!$J1939),ISNUMBER('자료_한국심리'!$K1939)),'자료_한국심리'!$J1939,"")</f>
        <v/>
      </c>
      <c r="Y1955">
        <f>IF(AND(ISNUMBER('자료_한국심리'!$M1939),ISNUMBER('자료_한국심리'!$N1939)),'자료_한국심리'!$M1939,"")</f>
        <v/>
      </c>
    </row>
    <row r="1956">
      <c r="U1956">
        <f>IF(AND(ISNUMBER('자료_한국심리'!$A1940),ISNUMBER('자료_한국심리'!$B1940)),'자료_한국심리'!$A1940,"")</f>
        <v/>
      </c>
      <c r="V1956">
        <f>IF(AND(ISNUMBER('자료_한국심리'!$D1940),ISNUMBER('자료_한국심리'!$E1940)),'자료_한국심리'!$D1940,"")</f>
        <v/>
      </c>
      <c r="W1956">
        <f>IF(AND(ISNUMBER('자료_한국심리'!$G1940),ISNUMBER('자료_한국심리'!$H1940)),'자료_한국심리'!$G1940,"")</f>
        <v/>
      </c>
      <c r="X1956">
        <f>IF(AND(ISNUMBER('자료_한국심리'!$J1940),ISNUMBER('자료_한국심리'!$K1940)),'자료_한국심리'!$J1940,"")</f>
        <v/>
      </c>
      <c r="Y1956">
        <f>IF(AND(ISNUMBER('자료_한국심리'!$M1940),ISNUMBER('자료_한국심리'!$N1940)),'자료_한국심리'!$M1940,"")</f>
        <v/>
      </c>
    </row>
    <row r="1957">
      <c r="U1957">
        <f>IF(AND(ISNUMBER('자료_한국심리'!$A1941),ISNUMBER('자료_한국심리'!$B1941)),'자료_한국심리'!$A1941,"")</f>
        <v/>
      </c>
      <c r="V1957">
        <f>IF(AND(ISNUMBER('자료_한국심리'!$D1941),ISNUMBER('자료_한국심리'!$E1941)),'자료_한국심리'!$D1941,"")</f>
        <v/>
      </c>
      <c r="W1957">
        <f>IF(AND(ISNUMBER('자료_한국심리'!$G1941),ISNUMBER('자료_한국심리'!$H1941)),'자료_한국심리'!$G1941,"")</f>
        <v/>
      </c>
      <c r="X1957">
        <f>IF(AND(ISNUMBER('자료_한국심리'!$J1941),ISNUMBER('자료_한국심리'!$K1941)),'자료_한국심리'!$J1941,"")</f>
        <v/>
      </c>
      <c r="Y1957">
        <f>IF(AND(ISNUMBER('자료_한국심리'!$M1941),ISNUMBER('자료_한국심리'!$N1941)),'자료_한국심리'!$M1941,"")</f>
        <v/>
      </c>
    </row>
    <row r="1958">
      <c r="U1958">
        <f>IF(AND(ISNUMBER('자료_한국심리'!$A1942),ISNUMBER('자료_한국심리'!$B1942)),'자료_한국심리'!$A1942,"")</f>
        <v/>
      </c>
      <c r="V1958">
        <f>IF(AND(ISNUMBER('자료_한국심리'!$D1942),ISNUMBER('자료_한국심리'!$E1942)),'자료_한국심리'!$D1942,"")</f>
        <v/>
      </c>
      <c r="W1958">
        <f>IF(AND(ISNUMBER('자료_한국심리'!$G1942),ISNUMBER('자료_한국심리'!$H1942)),'자료_한국심리'!$G1942,"")</f>
        <v/>
      </c>
      <c r="X1958">
        <f>IF(AND(ISNUMBER('자료_한국심리'!$J1942),ISNUMBER('자료_한국심리'!$K1942)),'자료_한국심리'!$J1942,"")</f>
        <v/>
      </c>
      <c r="Y1958">
        <f>IF(AND(ISNUMBER('자료_한국심리'!$M1942),ISNUMBER('자료_한국심리'!$N1942)),'자료_한국심리'!$M1942,"")</f>
        <v/>
      </c>
    </row>
    <row r="1959">
      <c r="U1959">
        <f>IF(AND(ISNUMBER('자료_한국심리'!$A1943),ISNUMBER('자료_한국심리'!$B1943)),'자료_한국심리'!$A1943,"")</f>
        <v/>
      </c>
      <c r="V1959">
        <f>IF(AND(ISNUMBER('자료_한국심리'!$D1943),ISNUMBER('자료_한국심리'!$E1943)),'자료_한국심리'!$D1943,"")</f>
        <v/>
      </c>
      <c r="W1959">
        <f>IF(AND(ISNUMBER('자료_한국심리'!$G1943),ISNUMBER('자료_한국심리'!$H1943)),'자료_한국심리'!$G1943,"")</f>
        <v/>
      </c>
      <c r="X1959">
        <f>IF(AND(ISNUMBER('자료_한국심리'!$J1943),ISNUMBER('자료_한국심리'!$K1943)),'자료_한국심리'!$J1943,"")</f>
        <v/>
      </c>
      <c r="Y1959">
        <f>IF(AND(ISNUMBER('자료_한국심리'!$M1943),ISNUMBER('자료_한국심리'!$N1943)),'자료_한국심리'!$M1943,"")</f>
        <v/>
      </c>
    </row>
    <row r="1960">
      <c r="U1960">
        <f>IF(AND(ISNUMBER('자료_한국심리'!$A1944),ISNUMBER('자료_한국심리'!$B1944)),'자료_한국심리'!$A1944,"")</f>
        <v/>
      </c>
      <c r="V1960">
        <f>IF(AND(ISNUMBER('자료_한국심리'!$D1944),ISNUMBER('자료_한국심리'!$E1944)),'자료_한국심리'!$D1944,"")</f>
        <v/>
      </c>
      <c r="W1960">
        <f>IF(AND(ISNUMBER('자료_한국심리'!$G1944),ISNUMBER('자료_한국심리'!$H1944)),'자료_한국심리'!$G1944,"")</f>
        <v/>
      </c>
      <c r="X1960">
        <f>IF(AND(ISNUMBER('자료_한국심리'!$J1944),ISNUMBER('자료_한국심리'!$K1944)),'자료_한국심리'!$J1944,"")</f>
        <v/>
      </c>
      <c r="Y1960">
        <f>IF(AND(ISNUMBER('자료_한국심리'!$M1944),ISNUMBER('자료_한국심리'!$N1944)),'자료_한국심리'!$M1944,"")</f>
        <v/>
      </c>
    </row>
    <row r="1961">
      <c r="U1961">
        <f>IF(AND(ISNUMBER('자료_한국심리'!$A1945),ISNUMBER('자료_한국심리'!$B1945)),'자료_한국심리'!$A1945,"")</f>
        <v/>
      </c>
      <c r="V1961">
        <f>IF(AND(ISNUMBER('자료_한국심리'!$D1945),ISNUMBER('자료_한국심리'!$E1945)),'자료_한국심리'!$D1945,"")</f>
        <v/>
      </c>
      <c r="W1961">
        <f>IF(AND(ISNUMBER('자료_한국심리'!$G1945),ISNUMBER('자료_한국심리'!$H1945)),'자료_한국심리'!$G1945,"")</f>
        <v/>
      </c>
      <c r="X1961">
        <f>IF(AND(ISNUMBER('자료_한국심리'!$J1945),ISNUMBER('자료_한국심리'!$K1945)),'자료_한국심리'!$J1945,"")</f>
        <v/>
      </c>
      <c r="Y1961">
        <f>IF(AND(ISNUMBER('자료_한국심리'!$M1945),ISNUMBER('자료_한국심리'!$N1945)),'자료_한국심리'!$M1945,"")</f>
        <v/>
      </c>
    </row>
    <row r="1962">
      <c r="U1962">
        <f>IF(AND(ISNUMBER('자료_한국심리'!$A1946),ISNUMBER('자료_한국심리'!$B1946)),'자료_한국심리'!$A1946,"")</f>
        <v/>
      </c>
      <c r="V1962">
        <f>IF(AND(ISNUMBER('자료_한국심리'!$D1946),ISNUMBER('자료_한국심리'!$E1946)),'자료_한국심리'!$D1946,"")</f>
        <v/>
      </c>
      <c r="W1962">
        <f>IF(AND(ISNUMBER('자료_한국심리'!$G1946),ISNUMBER('자료_한국심리'!$H1946)),'자료_한국심리'!$G1946,"")</f>
        <v/>
      </c>
      <c r="X1962">
        <f>IF(AND(ISNUMBER('자료_한국심리'!$J1946),ISNUMBER('자료_한국심리'!$K1946)),'자료_한국심리'!$J1946,"")</f>
        <v/>
      </c>
      <c r="Y1962">
        <f>IF(AND(ISNUMBER('자료_한국심리'!$M1946),ISNUMBER('자료_한국심리'!$N1946)),'자료_한국심리'!$M1946,"")</f>
        <v/>
      </c>
    </row>
    <row r="1963">
      <c r="U1963">
        <f>IF(AND(ISNUMBER('자료_한국심리'!$A1947),ISNUMBER('자료_한국심리'!$B1947)),'자료_한국심리'!$A1947,"")</f>
        <v/>
      </c>
      <c r="V1963">
        <f>IF(AND(ISNUMBER('자료_한국심리'!$D1947),ISNUMBER('자료_한국심리'!$E1947)),'자료_한국심리'!$D1947,"")</f>
        <v/>
      </c>
      <c r="W1963">
        <f>IF(AND(ISNUMBER('자료_한국심리'!$G1947),ISNUMBER('자료_한국심리'!$H1947)),'자료_한국심리'!$G1947,"")</f>
        <v/>
      </c>
      <c r="X1963">
        <f>IF(AND(ISNUMBER('자료_한국심리'!$J1947),ISNUMBER('자료_한국심리'!$K1947)),'자료_한국심리'!$J1947,"")</f>
        <v/>
      </c>
      <c r="Y1963">
        <f>IF(AND(ISNUMBER('자료_한국심리'!$M1947),ISNUMBER('자료_한국심리'!$N1947)),'자료_한국심리'!$M1947,"")</f>
        <v/>
      </c>
    </row>
    <row r="1964">
      <c r="U1964">
        <f>IF(AND(ISNUMBER('자료_한국심리'!$A1948),ISNUMBER('자료_한국심리'!$B1948)),'자료_한국심리'!$A1948,"")</f>
        <v/>
      </c>
      <c r="V1964">
        <f>IF(AND(ISNUMBER('자료_한국심리'!$D1948),ISNUMBER('자료_한국심리'!$E1948)),'자료_한국심리'!$D1948,"")</f>
        <v/>
      </c>
      <c r="W1964">
        <f>IF(AND(ISNUMBER('자료_한국심리'!$G1948),ISNUMBER('자료_한국심리'!$H1948)),'자료_한국심리'!$G1948,"")</f>
        <v/>
      </c>
      <c r="X1964">
        <f>IF(AND(ISNUMBER('자료_한국심리'!$J1948),ISNUMBER('자료_한국심리'!$K1948)),'자료_한국심리'!$J1948,"")</f>
        <v/>
      </c>
      <c r="Y1964">
        <f>IF(AND(ISNUMBER('자료_한국심리'!$M1948),ISNUMBER('자료_한국심리'!$N1948)),'자료_한국심리'!$M1948,"")</f>
        <v/>
      </c>
    </row>
    <row r="1965">
      <c r="U1965">
        <f>IF(AND(ISNUMBER('자료_한국심리'!$A1949),ISNUMBER('자료_한국심리'!$B1949)),'자료_한국심리'!$A1949,"")</f>
        <v/>
      </c>
      <c r="V1965">
        <f>IF(AND(ISNUMBER('자료_한국심리'!$D1949),ISNUMBER('자료_한국심리'!$E1949)),'자료_한국심리'!$D1949,"")</f>
        <v/>
      </c>
      <c r="W1965">
        <f>IF(AND(ISNUMBER('자료_한국심리'!$G1949),ISNUMBER('자료_한국심리'!$H1949)),'자료_한국심리'!$G1949,"")</f>
        <v/>
      </c>
      <c r="X1965">
        <f>IF(AND(ISNUMBER('자료_한국심리'!$J1949),ISNUMBER('자료_한국심리'!$K1949)),'자료_한국심리'!$J1949,"")</f>
        <v/>
      </c>
      <c r="Y1965">
        <f>IF(AND(ISNUMBER('자료_한국심리'!$M1949),ISNUMBER('자료_한국심리'!$N1949)),'자료_한국심리'!$M1949,"")</f>
        <v/>
      </c>
    </row>
    <row r="1966">
      <c r="U1966">
        <f>IF(AND(ISNUMBER('자료_한국심리'!$A1950),ISNUMBER('자료_한국심리'!$B1950)),'자료_한국심리'!$A1950,"")</f>
        <v/>
      </c>
      <c r="V1966">
        <f>IF(AND(ISNUMBER('자료_한국심리'!$D1950),ISNUMBER('자료_한국심리'!$E1950)),'자료_한국심리'!$D1950,"")</f>
        <v/>
      </c>
      <c r="W1966">
        <f>IF(AND(ISNUMBER('자료_한국심리'!$G1950),ISNUMBER('자료_한국심리'!$H1950)),'자료_한국심리'!$G1950,"")</f>
        <v/>
      </c>
      <c r="X1966">
        <f>IF(AND(ISNUMBER('자료_한국심리'!$J1950),ISNUMBER('자료_한국심리'!$K1950)),'자료_한국심리'!$J1950,"")</f>
        <v/>
      </c>
      <c r="Y1966">
        <f>IF(AND(ISNUMBER('자료_한국심리'!$M1950),ISNUMBER('자료_한국심리'!$N1950)),'자료_한국심리'!$M1950,"")</f>
        <v/>
      </c>
    </row>
    <row r="1967">
      <c r="U1967">
        <f>IF(AND(ISNUMBER('자료_한국심리'!$A1951),ISNUMBER('자료_한국심리'!$B1951)),'자료_한국심리'!$A1951,"")</f>
        <v/>
      </c>
      <c r="V1967">
        <f>IF(AND(ISNUMBER('자료_한국심리'!$D1951),ISNUMBER('자료_한국심리'!$E1951)),'자료_한국심리'!$D1951,"")</f>
        <v/>
      </c>
      <c r="W1967">
        <f>IF(AND(ISNUMBER('자료_한국심리'!$G1951),ISNUMBER('자료_한국심리'!$H1951)),'자료_한국심리'!$G1951,"")</f>
        <v/>
      </c>
      <c r="X1967">
        <f>IF(AND(ISNUMBER('자료_한국심리'!$J1951),ISNUMBER('자료_한국심리'!$K1951)),'자료_한국심리'!$J1951,"")</f>
        <v/>
      </c>
      <c r="Y1967">
        <f>IF(AND(ISNUMBER('자료_한국심리'!$M1951),ISNUMBER('자료_한국심리'!$N1951)),'자료_한국심리'!$M1951,"")</f>
        <v/>
      </c>
    </row>
    <row r="1968">
      <c r="U1968">
        <f>IF(AND(ISNUMBER('자료_한국심리'!$A1952),ISNUMBER('자료_한국심리'!$B1952)),'자료_한국심리'!$A1952,"")</f>
        <v/>
      </c>
      <c r="V1968">
        <f>IF(AND(ISNUMBER('자료_한국심리'!$D1952),ISNUMBER('자료_한국심리'!$E1952)),'자료_한국심리'!$D1952,"")</f>
        <v/>
      </c>
      <c r="W1968">
        <f>IF(AND(ISNUMBER('자료_한국심리'!$G1952),ISNUMBER('자료_한국심리'!$H1952)),'자료_한국심리'!$G1952,"")</f>
        <v/>
      </c>
      <c r="X1968">
        <f>IF(AND(ISNUMBER('자료_한국심리'!$J1952),ISNUMBER('자료_한국심리'!$K1952)),'자료_한국심리'!$J1952,"")</f>
        <v/>
      </c>
      <c r="Y1968">
        <f>IF(AND(ISNUMBER('자료_한국심리'!$M1952),ISNUMBER('자료_한국심리'!$N1952)),'자료_한국심리'!$M1952,"")</f>
        <v/>
      </c>
    </row>
    <row r="1969">
      <c r="U1969">
        <f>IF(AND(ISNUMBER('자료_한국심리'!$A1953),ISNUMBER('자료_한국심리'!$B1953)),'자료_한국심리'!$A1953,"")</f>
        <v/>
      </c>
      <c r="V1969">
        <f>IF(AND(ISNUMBER('자료_한국심리'!$D1953),ISNUMBER('자료_한국심리'!$E1953)),'자료_한국심리'!$D1953,"")</f>
        <v/>
      </c>
      <c r="W1969">
        <f>IF(AND(ISNUMBER('자료_한국심리'!$G1953),ISNUMBER('자료_한국심리'!$H1953)),'자료_한국심리'!$G1953,"")</f>
        <v/>
      </c>
      <c r="X1969">
        <f>IF(AND(ISNUMBER('자료_한국심리'!$J1953),ISNUMBER('자료_한국심리'!$K1953)),'자료_한국심리'!$J1953,"")</f>
        <v/>
      </c>
      <c r="Y1969">
        <f>IF(AND(ISNUMBER('자료_한국심리'!$M1953),ISNUMBER('자료_한국심리'!$N1953)),'자료_한국심리'!$M1953,"")</f>
        <v/>
      </c>
    </row>
    <row r="1970">
      <c r="U1970">
        <f>IF(AND(ISNUMBER('자료_한국심리'!$A1954),ISNUMBER('자료_한국심리'!$B1954)),'자료_한국심리'!$A1954,"")</f>
        <v/>
      </c>
      <c r="V1970">
        <f>IF(AND(ISNUMBER('자료_한국심리'!$D1954),ISNUMBER('자료_한국심리'!$E1954)),'자료_한국심리'!$D1954,"")</f>
        <v/>
      </c>
      <c r="W1970">
        <f>IF(AND(ISNUMBER('자료_한국심리'!$G1954),ISNUMBER('자료_한국심리'!$H1954)),'자료_한국심리'!$G1954,"")</f>
        <v/>
      </c>
      <c r="X1970">
        <f>IF(AND(ISNUMBER('자료_한국심리'!$J1954),ISNUMBER('자료_한국심리'!$K1954)),'자료_한국심리'!$J1954,"")</f>
        <v/>
      </c>
      <c r="Y1970">
        <f>IF(AND(ISNUMBER('자료_한국심리'!$M1954),ISNUMBER('자료_한국심리'!$N1954)),'자료_한국심리'!$M1954,"")</f>
        <v/>
      </c>
    </row>
    <row r="1971">
      <c r="U1971">
        <f>IF(AND(ISNUMBER('자료_한국심리'!$A1955),ISNUMBER('자료_한국심리'!$B1955)),'자료_한국심리'!$A1955,"")</f>
        <v/>
      </c>
      <c r="V1971">
        <f>IF(AND(ISNUMBER('자료_한국심리'!$D1955),ISNUMBER('자료_한국심리'!$E1955)),'자료_한국심리'!$D1955,"")</f>
        <v/>
      </c>
      <c r="W1971">
        <f>IF(AND(ISNUMBER('자료_한국심리'!$G1955),ISNUMBER('자료_한국심리'!$H1955)),'자료_한국심리'!$G1955,"")</f>
        <v/>
      </c>
      <c r="X1971">
        <f>IF(AND(ISNUMBER('자료_한국심리'!$J1955),ISNUMBER('자료_한국심리'!$K1955)),'자료_한국심리'!$J1955,"")</f>
        <v/>
      </c>
      <c r="Y1971">
        <f>IF(AND(ISNUMBER('자료_한국심리'!$M1955),ISNUMBER('자료_한국심리'!$N1955)),'자료_한국심리'!$M1955,"")</f>
        <v/>
      </c>
    </row>
    <row r="1972">
      <c r="U1972">
        <f>IF(AND(ISNUMBER('자료_한국심리'!$A1956),ISNUMBER('자료_한국심리'!$B1956)),'자료_한국심리'!$A1956,"")</f>
        <v/>
      </c>
      <c r="V1972">
        <f>IF(AND(ISNUMBER('자료_한국심리'!$D1956),ISNUMBER('자료_한국심리'!$E1956)),'자료_한국심리'!$D1956,"")</f>
        <v/>
      </c>
      <c r="W1972">
        <f>IF(AND(ISNUMBER('자료_한국심리'!$G1956),ISNUMBER('자료_한국심리'!$H1956)),'자료_한국심리'!$G1956,"")</f>
        <v/>
      </c>
      <c r="X1972">
        <f>IF(AND(ISNUMBER('자료_한국심리'!$J1956),ISNUMBER('자료_한국심리'!$K1956)),'자료_한국심리'!$J1956,"")</f>
        <v/>
      </c>
      <c r="Y1972">
        <f>IF(AND(ISNUMBER('자료_한국심리'!$M1956),ISNUMBER('자료_한국심리'!$N1956)),'자료_한국심리'!$M1956,"")</f>
        <v/>
      </c>
    </row>
    <row r="1973">
      <c r="U1973">
        <f>IF(AND(ISNUMBER('자료_한국심리'!$A1957),ISNUMBER('자료_한국심리'!$B1957)),'자료_한국심리'!$A1957,"")</f>
        <v/>
      </c>
      <c r="V1973">
        <f>IF(AND(ISNUMBER('자료_한국심리'!$D1957),ISNUMBER('자료_한국심리'!$E1957)),'자료_한국심리'!$D1957,"")</f>
        <v/>
      </c>
      <c r="W1973">
        <f>IF(AND(ISNUMBER('자료_한국심리'!$G1957),ISNUMBER('자료_한국심리'!$H1957)),'자료_한국심리'!$G1957,"")</f>
        <v/>
      </c>
      <c r="X1973">
        <f>IF(AND(ISNUMBER('자료_한국심리'!$J1957),ISNUMBER('자료_한국심리'!$K1957)),'자료_한국심리'!$J1957,"")</f>
        <v/>
      </c>
      <c r="Y1973">
        <f>IF(AND(ISNUMBER('자료_한국심리'!$M1957),ISNUMBER('자료_한국심리'!$N1957)),'자료_한국심리'!$M1957,"")</f>
        <v/>
      </c>
    </row>
    <row r="1974">
      <c r="U1974">
        <f>IF(AND(ISNUMBER('자료_한국심리'!$A1958),ISNUMBER('자료_한국심리'!$B1958)),'자료_한국심리'!$A1958,"")</f>
        <v/>
      </c>
      <c r="V1974">
        <f>IF(AND(ISNUMBER('자료_한국심리'!$D1958),ISNUMBER('자료_한국심리'!$E1958)),'자료_한국심리'!$D1958,"")</f>
        <v/>
      </c>
      <c r="W1974">
        <f>IF(AND(ISNUMBER('자료_한국심리'!$G1958),ISNUMBER('자료_한국심리'!$H1958)),'자료_한국심리'!$G1958,"")</f>
        <v/>
      </c>
      <c r="X1974">
        <f>IF(AND(ISNUMBER('자료_한국심리'!$J1958),ISNUMBER('자료_한국심리'!$K1958)),'자료_한국심리'!$J1958,"")</f>
        <v/>
      </c>
      <c r="Y1974">
        <f>IF(AND(ISNUMBER('자료_한국심리'!$M1958),ISNUMBER('자료_한국심리'!$N1958)),'자료_한국심리'!$M1958,"")</f>
        <v/>
      </c>
    </row>
    <row r="1975">
      <c r="U1975">
        <f>IF(AND(ISNUMBER('자료_한국심리'!$A1959),ISNUMBER('자료_한국심리'!$B1959)),'자료_한국심리'!$A1959,"")</f>
        <v/>
      </c>
      <c r="V1975">
        <f>IF(AND(ISNUMBER('자료_한국심리'!$D1959),ISNUMBER('자료_한국심리'!$E1959)),'자료_한국심리'!$D1959,"")</f>
        <v/>
      </c>
      <c r="W1975">
        <f>IF(AND(ISNUMBER('자료_한국심리'!$G1959),ISNUMBER('자료_한국심리'!$H1959)),'자료_한국심리'!$G1959,"")</f>
        <v/>
      </c>
      <c r="X1975">
        <f>IF(AND(ISNUMBER('자료_한국심리'!$J1959),ISNUMBER('자료_한국심리'!$K1959)),'자료_한국심리'!$J1959,"")</f>
        <v/>
      </c>
      <c r="Y1975">
        <f>IF(AND(ISNUMBER('자료_한국심리'!$M1959),ISNUMBER('자료_한국심리'!$N1959)),'자료_한국심리'!$M1959,"")</f>
        <v/>
      </c>
    </row>
    <row r="1976">
      <c r="U1976">
        <f>IF(AND(ISNUMBER('자료_한국심리'!$A1960),ISNUMBER('자료_한국심리'!$B1960)),'자료_한국심리'!$A1960,"")</f>
        <v/>
      </c>
      <c r="V1976">
        <f>IF(AND(ISNUMBER('자료_한국심리'!$D1960),ISNUMBER('자료_한국심리'!$E1960)),'자료_한국심리'!$D1960,"")</f>
        <v/>
      </c>
      <c r="W1976">
        <f>IF(AND(ISNUMBER('자료_한국심리'!$G1960),ISNUMBER('자료_한국심리'!$H1960)),'자료_한국심리'!$G1960,"")</f>
        <v/>
      </c>
      <c r="X1976">
        <f>IF(AND(ISNUMBER('자료_한국심리'!$J1960),ISNUMBER('자료_한국심리'!$K1960)),'자료_한국심리'!$J1960,"")</f>
        <v/>
      </c>
      <c r="Y1976">
        <f>IF(AND(ISNUMBER('자료_한국심리'!$M1960),ISNUMBER('자료_한국심리'!$N1960)),'자료_한국심리'!$M1960,"")</f>
        <v/>
      </c>
    </row>
    <row r="1977">
      <c r="U1977">
        <f>IF(AND(ISNUMBER('자료_한국심리'!$A1961),ISNUMBER('자료_한국심리'!$B1961)),'자료_한국심리'!$A1961,"")</f>
        <v/>
      </c>
      <c r="V1977">
        <f>IF(AND(ISNUMBER('자료_한국심리'!$D1961),ISNUMBER('자료_한국심리'!$E1961)),'자료_한국심리'!$D1961,"")</f>
        <v/>
      </c>
      <c r="W1977">
        <f>IF(AND(ISNUMBER('자료_한국심리'!$G1961),ISNUMBER('자료_한국심리'!$H1961)),'자료_한국심리'!$G1961,"")</f>
        <v/>
      </c>
      <c r="X1977">
        <f>IF(AND(ISNUMBER('자료_한국심리'!$J1961),ISNUMBER('자료_한국심리'!$K1961)),'자료_한국심리'!$J1961,"")</f>
        <v/>
      </c>
      <c r="Y1977">
        <f>IF(AND(ISNUMBER('자료_한국심리'!$M1961),ISNUMBER('자료_한국심리'!$N1961)),'자료_한국심리'!$M1961,"")</f>
        <v/>
      </c>
    </row>
    <row r="1978">
      <c r="U1978">
        <f>IF(AND(ISNUMBER('자료_한국심리'!$A1962),ISNUMBER('자료_한국심리'!$B1962)),'자료_한국심리'!$A1962,"")</f>
        <v/>
      </c>
      <c r="V1978">
        <f>IF(AND(ISNUMBER('자료_한국심리'!$D1962),ISNUMBER('자료_한국심리'!$E1962)),'자료_한국심리'!$D1962,"")</f>
        <v/>
      </c>
      <c r="W1978">
        <f>IF(AND(ISNUMBER('자료_한국심리'!$G1962),ISNUMBER('자료_한국심리'!$H1962)),'자료_한국심리'!$G1962,"")</f>
        <v/>
      </c>
      <c r="X1978">
        <f>IF(AND(ISNUMBER('자료_한국심리'!$J1962),ISNUMBER('자료_한국심리'!$K1962)),'자료_한국심리'!$J1962,"")</f>
        <v/>
      </c>
      <c r="Y1978">
        <f>IF(AND(ISNUMBER('자료_한국심리'!$M1962),ISNUMBER('자료_한국심리'!$N1962)),'자료_한국심리'!$M1962,"")</f>
        <v/>
      </c>
    </row>
    <row r="1979">
      <c r="U1979">
        <f>IF(AND(ISNUMBER('자료_한국심리'!$A1963),ISNUMBER('자료_한국심리'!$B1963)),'자료_한국심리'!$A1963,"")</f>
        <v/>
      </c>
      <c r="V1979">
        <f>IF(AND(ISNUMBER('자료_한국심리'!$D1963),ISNUMBER('자료_한국심리'!$E1963)),'자료_한국심리'!$D1963,"")</f>
        <v/>
      </c>
      <c r="W1979">
        <f>IF(AND(ISNUMBER('자료_한국심리'!$G1963),ISNUMBER('자료_한국심리'!$H1963)),'자료_한국심리'!$G1963,"")</f>
        <v/>
      </c>
      <c r="X1979">
        <f>IF(AND(ISNUMBER('자료_한국심리'!$J1963),ISNUMBER('자료_한국심리'!$K1963)),'자료_한국심리'!$J1963,"")</f>
        <v/>
      </c>
      <c r="Y1979">
        <f>IF(AND(ISNUMBER('자료_한국심리'!$M1963),ISNUMBER('자료_한국심리'!$N1963)),'자료_한국심리'!$M1963,"")</f>
        <v/>
      </c>
    </row>
    <row r="1980">
      <c r="U1980">
        <f>IF(AND(ISNUMBER('자료_한국심리'!$A1964),ISNUMBER('자료_한국심리'!$B1964)),'자료_한국심리'!$A1964,"")</f>
        <v/>
      </c>
      <c r="V1980">
        <f>IF(AND(ISNUMBER('자료_한국심리'!$D1964),ISNUMBER('자료_한국심리'!$E1964)),'자료_한국심리'!$D1964,"")</f>
        <v/>
      </c>
      <c r="W1980">
        <f>IF(AND(ISNUMBER('자료_한국심리'!$G1964),ISNUMBER('자료_한국심리'!$H1964)),'자료_한국심리'!$G1964,"")</f>
        <v/>
      </c>
      <c r="X1980">
        <f>IF(AND(ISNUMBER('자료_한국심리'!$J1964),ISNUMBER('자료_한국심리'!$K1964)),'자료_한국심리'!$J1964,"")</f>
        <v/>
      </c>
      <c r="Y1980">
        <f>IF(AND(ISNUMBER('자료_한국심리'!$M1964),ISNUMBER('자료_한국심리'!$N1964)),'자료_한국심리'!$M1964,"")</f>
        <v/>
      </c>
    </row>
    <row r="1981">
      <c r="U1981">
        <f>IF(AND(ISNUMBER('자료_한국심리'!$A1965),ISNUMBER('자료_한국심리'!$B1965)),'자료_한국심리'!$A1965,"")</f>
        <v/>
      </c>
      <c r="V1981">
        <f>IF(AND(ISNUMBER('자료_한국심리'!$D1965),ISNUMBER('자료_한국심리'!$E1965)),'자료_한국심리'!$D1965,"")</f>
        <v/>
      </c>
      <c r="W1981">
        <f>IF(AND(ISNUMBER('자료_한국심리'!$G1965),ISNUMBER('자료_한국심리'!$H1965)),'자료_한국심리'!$G1965,"")</f>
        <v/>
      </c>
      <c r="X1981">
        <f>IF(AND(ISNUMBER('자료_한국심리'!$J1965),ISNUMBER('자료_한국심리'!$K1965)),'자료_한국심리'!$J1965,"")</f>
        <v/>
      </c>
      <c r="Y1981">
        <f>IF(AND(ISNUMBER('자료_한국심리'!$M1965),ISNUMBER('자료_한국심리'!$N1965)),'자료_한국심리'!$M1965,"")</f>
        <v/>
      </c>
    </row>
    <row r="1982">
      <c r="U1982">
        <f>IF(AND(ISNUMBER('자료_한국심리'!$A1966),ISNUMBER('자료_한국심리'!$B1966)),'자료_한국심리'!$A1966,"")</f>
        <v/>
      </c>
      <c r="V1982">
        <f>IF(AND(ISNUMBER('자료_한국심리'!$D1966),ISNUMBER('자료_한국심리'!$E1966)),'자료_한국심리'!$D1966,"")</f>
        <v/>
      </c>
      <c r="W1982">
        <f>IF(AND(ISNUMBER('자료_한국심리'!$G1966),ISNUMBER('자료_한국심리'!$H1966)),'자료_한국심리'!$G1966,"")</f>
        <v/>
      </c>
      <c r="X1982">
        <f>IF(AND(ISNUMBER('자료_한국심리'!$J1966),ISNUMBER('자료_한국심리'!$K1966)),'자료_한국심리'!$J1966,"")</f>
        <v/>
      </c>
      <c r="Y1982">
        <f>IF(AND(ISNUMBER('자료_한국심리'!$M1966),ISNUMBER('자료_한국심리'!$N1966)),'자료_한국심리'!$M1966,"")</f>
        <v/>
      </c>
    </row>
    <row r="1983">
      <c r="U1983">
        <f>IF(AND(ISNUMBER('자료_한국심리'!$A1967),ISNUMBER('자료_한국심리'!$B1967)),'자료_한국심리'!$A1967,"")</f>
        <v/>
      </c>
      <c r="V1983">
        <f>IF(AND(ISNUMBER('자료_한국심리'!$D1967),ISNUMBER('자료_한국심리'!$E1967)),'자료_한국심리'!$D1967,"")</f>
        <v/>
      </c>
      <c r="W1983">
        <f>IF(AND(ISNUMBER('자료_한국심리'!$G1967),ISNUMBER('자료_한국심리'!$H1967)),'자료_한국심리'!$G1967,"")</f>
        <v/>
      </c>
      <c r="X1983">
        <f>IF(AND(ISNUMBER('자료_한국심리'!$J1967),ISNUMBER('자료_한국심리'!$K1967)),'자료_한국심리'!$J1967,"")</f>
        <v/>
      </c>
      <c r="Y1983">
        <f>IF(AND(ISNUMBER('자료_한국심리'!$M1967),ISNUMBER('자료_한국심리'!$N1967)),'자료_한국심리'!$M1967,"")</f>
        <v/>
      </c>
    </row>
    <row r="1984">
      <c r="U1984">
        <f>IF(AND(ISNUMBER('자료_한국심리'!$A1968),ISNUMBER('자료_한국심리'!$B1968)),'자료_한국심리'!$A1968,"")</f>
        <v/>
      </c>
      <c r="V1984">
        <f>IF(AND(ISNUMBER('자료_한국심리'!$D1968),ISNUMBER('자료_한국심리'!$E1968)),'자료_한국심리'!$D1968,"")</f>
        <v/>
      </c>
      <c r="W1984">
        <f>IF(AND(ISNUMBER('자료_한국심리'!$G1968),ISNUMBER('자료_한국심리'!$H1968)),'자료_한국심리'!$G1968,"")</f>
        <v/>
      </c>
      <c r="X1984">
        <f>IF(AND(ISNUMBER('자료_한국심리'!$J1968),ISNUMBER('자료_한국심리'!$K1968)),'자료_한국심리'!$J1968,"")</f>
        <v/>
      </c>
      <c r="Y1984">
        <f>IF(AND(ISNUMBER('자료_한국심리'!$M1968),ISNUMBER('자료_한국심리'!$N1968)),'자료_한국심리'!$M1968,"")</f>
        <v/>
      </c>
    </row>
    <row r="1985">
      <c r="U1985">
        <f>IF(AND(ISNUMBER('자료_한국심리'!$A1969),ISNUMBER('자료_한국심리'!$B1969)),'자료_한국심리'!$A1969,"")</f>
        <v/>
      </c>
      <c r="V1985">
        <f>IF(AND(ISNUMBER('자료_한국심리'!$D1969),ISNUMBER('자료_한국심리'!$E1969)),'자료_한국심리'!$D1969,"")</f>
        <v/>
      </c>
      <c r="W1985">
        <f>IF(AND(ISNUMBER('자료_한국심리'!$G1969),ISNUMBER('자료_한국심리'!$H1969)),'자료_한국심리'!$G1969,"")</f>
        <v/>
      </c>
      <c r="X1985">
        <f>IF(AND(ISNUMBER('자료_한국심리'!$J1969),ISNUMBER('자료_한국심리'!$K1969)),'자료_한국심리'!$J1969,"")</f>
        <v/>
      </c>
      <c r="Y1985">
        <f>IF(AND(ISNUMBER('자료_한국심리'!$M1969),ISNUMBER('자료_한국심리'!$N1969)),'자료_한국심리'!$M1969,"")</f>
        <v/>
      </c>
    </row>
    <row r="1986">
      <c r="U1986">
        <f>IF(AND(ISNUMBER('자료_한국심리'!$A1970),ISNUMBER('자료_한국심리'!$B1970)),'자료_한국심리'!$A1970,"")</f>
        <v/>
      </c>
      <c r="V1986">
        <f>IF(AND(ISNUMBER('자료_한국심리'!$D1970),ISNUMBER('자료_한국심리'!$E1970)),'자료_한국심리'!$D1970,"")</f>
        <v/>
      </c>
      <c r="W1986">
        <f>IF(AND(ISNUMBER('자료_한국심리'!$G1970),ISNUMBER('자료_한국심리'!$H1970)),'자료_한국심리'!$G1970,"")</f>
        <v/>
      </c>
      <c r="X1986">
        <f>IF(AND(ISNUMBER('자료_한국심리'!$J1970),ISNUMBER('자료_한국심리'!$K1970)),'자료_한국심리'!$J1970,"")</f>
        <v/>
      </c>
      <c r="Y1986">
        <f>IF(AND(ISNUMBER('자료_한국심리'!$M1970),ISNUMBER('자료_한국심리'!$N1970)),'자료_한국심리'!$M1970,"")</f>
        <v/>
      </c>
    </row>
    <row r="1987">
      <c r="U1987">
        <f>IF(AND(ISNUMBER('자료_한국심리'!$A1971),ISNUMBER('자료_한국심리'!$B1971)),'자료_한국심리'!$A1971,"")</f>
        <v/>
      </c>
      <c r="V1987">
        <f>IF(AND(ISNUMBER('자료_한국심리'!$D1971),ISNUMBER('자료_한국심리'!$E1971)),'자료_한국심리'!$D1971,"")</f>
        <v/>
      </c>
      <c r="W1987">
        <f>IF(AND(ISNUMBER('자료_한국심리'!$G1971),ISNUMBER('자료_한국심리'!$H1971)),'자료_한국심리'!$G1971,"")</f>
        <v/>
      </c>
      <c r="X1987">
        <f>IF(AND(ISNUMBER('자료_한국심리'!$J1971),ISNUMBER('자료_한국심리'!$K1971)),'자료_한국심리'!$J1971,"")</f>
        <v/>
      </c>
      <c r="Y1987">
        <f>IF(AND(ISNUMBER('자료_한국심리'!$M1971),ISNUMBER('자료_한국심리'!$N1971)),'자료_한국심리'!$M1971,"")</f>
        <v/>
      </c>
    </row>
    <row r="1988">
      <c r="U1988">
        <f>IF(AND(ISNUMBER('자료_한국심리'!$A1972),ISNUMBER('자료_한국심리'!$B1972)),'자료_한국심리'!$A1972,"")</f>
        <v/>
      </c>
      <c r="V1988">
        <f>IF(AND(ISNUMBER('자료_한국심리'!$D1972),ISNUMBER('자료_한국심리'!$E1972)),'자료_한국심리'!$D1972,"")</f>
        <v/>
      </c>
      <c r="W1988">
        <f>IF(AND(ISNUMBER('자료_한국심리'!$G1972),ISNUMBER('자료_한국심리'!$H1972)),'자료_한국심리'!$G1972,"")</f>
        <v/>
      </c>
      <c r="X1988">
        <f>IF(AND(ISNUMBER('자료_한국심리'!$J1972),ISNUMBER('자료_한국심리'!$K1972)),'자료_한국심리'!$J1972,"")</f>
        <v/>
      </c>
      <c r="Y1988">
        <f>IF(AND(ISNUMBER('자료_한국심리'!$M1972),ISNUMBER('자료_한국심리'!$N1972)),'자료_한국심리'!$M1972,"")</f>
        <v/>
      </c>
    </row>
    <row r="1989">
      <c r="U1989">
        <f>IF(AND(ISNUMBER('자료_한국심리'!$A1973),ISNUMBER('자료_한국심리'!$B1973)),'자료_한국심리'!$A1973,"")</f>
        <v/>
      </c>
      <c r="V1989">
        <f>IF(AND(ISNUMBER('자료_한국심리'!$D1973),ISNUMBER('자료_한국심리'!$E1973)),'자료_한국심리'!$D1973,"")</f>
        <v/>
      </c>
      <c r="W1989">
        <f>IF(AND(ISNUMBER('자료_한국심리'!$G1973),ISNUMBER('자료_한국심리'!$H1973)),'자료_한국심리'!$G1973,"")</f>
        <v/>
      </c>
      <c r="X1989">
        <f>IF(AND(ISNUMBER('자료_한국심리'!$J1973),ISNUMBER('자료_한국심리'!$K1973)),'자료_한국심리'!$J1973,"")</f>
        <v/>
      </c>
      <c r="Y1989">
        <f>IF(AND(ISNUMBER('자료_한국심리'!$M1973),ISNUMBER('자료_한국심리'!$N1973)),'자료_한국심리'!$M1973,"")</f>
        <v/>
      </c>
    </row>
    <row r="1990">
      <c r="U1990">
        <f>IF(AND(ISNUMBER('자료_한국심리'!$A1974),ISNUMBER('자료_한국심리'!$B1974)),'자료_한국심리'!$A1974,"")</f>
        <v/>
      </c>
      <c r="V1990">
        <f>IF(AND(ISNUMBER('자료_한국심리'!$D1974),ISNUMBER('자료_한국심리'!$E1974)),'자료_한국심리'!$D1974,"")</f>
        <v/>
      </c>
      <c r="W1990">
        <f>IF(AND(ISNUMBER('자료_한국심리'!$G1974),ISNUMBER('자료_한국심리'!$H1974)),'자료_한국심리'!$G1974,"")</f>
        <v/>
      </c>
      <c r="X1990">
        <f>IF(AND(ISNUMBER('자료_한국심리'!$J1974),ISNUMBER('자료_한국심리'!$K1974)),'자료_한국심리'!$J1974,"")</f>
        <v/>
      </c>
      <c r="Y1990">
        <f>IF(AND(ISNUMBER('자료_한국심리'!$M1974),ISNUMBER('자료_한국심리'!$N1974)),'자료_한국심리'!$M1974,"")</f>
        <v/>
      </c>
    </row>
    <row r="1991">
      <c r="U1991">
        <f>IF(AND(ISNUMBER('자료_한국심리'!$A1975),ISNUMBER('자료_한국심리'!$B1975)),'자료_한국심리'!$A1975,"")</f>
        <v/>
      </c>
      <c r="V1991">
        <f>IF(AND(ISNUMBER('자료_한국심리'!$D1975),ISNUMBER('자료_한국심리'!$E1975)),'자료_한국심리'!$D1975,"")</f>
        <v/>
      </c>
      <c r="W1991">
        <f>IF(AND(ISNUMBER('자료_한국심리'!$G1975),ISNUMBER('자료_한국심리'!$H1975)),'자료_한국심리'!$G1975,"")</f>
        <v/>
      </c>
      <c r="X1991">
        <f>IF(AND(ISNUMBER('자료_한국심리'!$J1975),ISNUMBER('자료_한국심리'!$K1975)),'자료_한국심리'!$J1975,"")</f>
        <v/>
      </c>
      <c r="Y1991">
        <f>IF(AND(ISNUMBER('자료_한국심리'!$M1975),ISNUMBER('자료_한국심리'!$N1975)),'자료_한국심리'!$M1975,"")</f>
        <v/>
      </c>
    </row>
    <row r="1992">
      <c r="U1992">
        <f>IF(AND(ISNUMBER('자료_한국심리'!$A1976),ISNUMBER('자료_한국심리'!$B1976)),'자료_한국심리'!$A1976,"")</f>
        <v/>
      </c>
      <c r="V1992">
        <f>IF(AND(ISNUMBER('자료_한국심리'!$D1976),ISNUMBER('자료_한국심리'!$E1976)),'자료_한국심리'!$D1976,"")</f>
        <v/>
      </c>
      <c r="W1992">
        <f>IF(AND(ISNUMBER('자료_한국심리'!$G1976),ISNUMBER('자료_한국심리'!$H1976)),'자료_한국심리'!$G1976,"")</f>
        <v/>
      </c>
      <c r="X1992">
        <f>IF(AND(ISNUMBER('자료_한국심리'!$J1976),ISNUMBER('자료_한국심리'!$K1976)),'자료_한국심리'!$J1976,"")</f>
        <v/>
      </c>
      <c r="Y1992">
        <f>IF(AND(ISNUMBER('자료_한국심리'!$M1976),ISNUMBER('자료_한국심리'!$N1976)),'자료_한국심리'!$M1976,"")</f>
        <v/>
      </c>
    </row>
    <row r="1993">
      <c r="U1993">
        <f>IF(AND(ISNUMBER('자료_한국심리'!$A1977),ISNUMBER('자료_한국심리'!$B1977)),'자료_한국심리'!$A1977,"")</f>
        <v/>
      </c>
      <c r="V1993">
        <f>IF(AND(ISNUMBER('자료_한국심리'!$D1977),ISNUMBER('자료_한국심리'!$E1977)),'자료_한국심리'!$D1977,"")</f>
        <v/>
      </c>
      <c r="W1993">
        <f>IF(AND(ISNUMBER('자료_한국심리'!$G1977),ISNUMBER('자료_한국심리'!$H1977)),'자료_한국심리'!$G1977,"")</f>
        <v/>
      </c>
      <c r="X1993">
        <f>IF(AND(ISNUMBER('자료_한국심리'!$J1977),ISNUMBER('자료_한국심리'!$K1977)),'자료_한국심리'!$J1977,"")</f>
        <v/>
      </c>
      <c r="Y1993">
        <f>IF(AND(ISNUMBER('자료_한국심리'!$M1977),ISNUMBER('자료_한국심리'!$N1977)),'자료_한국심리'!$M1977,"")</f>
        <v/>
      </c>
    </row>
    <row r="1994">
      <c r="U1994">
        <f>IF(AND(ISNUMBER('자료_한국심리'!$A1978),ISNUMBER('자료_한국심리'!$B1978)),'자료_한국심리'!$A1978,"")</f>
        <v/>
      </c>
      <c r="V1994">
        <f>IF(AND(ISNUMBER('자료_한국심리'!$D1978),ISNUMBER('자료_한국심리'!$E1978)),'자료_한국심리'!$D1978,"")</f>
        <v/>
      </c>
      <c r="W1994">
        <f>IF(AND(ISNUMBER('자료_한국심리'!$G1978),ISNUMBER('자료_한국심리'!$H1978)),'자료_한국심리'!$G1978,"")</f>
        <v/>
      </c>
      <c r="X1994">
        <f>IF(AND(ISNUMBER('자료_한국심리'!$J1978),ISNUMBER('자료_한국심리'!$K1978)),'자료_한국심리'!$J1978,"")</f>
        <v/>
      </c>
      <c r="Y1994">
        <f>IF(AND(ISNUMBER('자료_한국심리'!$M1978),ISNUMBER('자료_한국심리'!$N1978)),'자료_한국심리'!$M1978,"")</f>
        <v/>
      </c>
    </row>
    <row r="1995">
      <c r="U1995">
        <f>IF(AND(ISNUMBER('자료_한국심리'!$A1979),ISNUMBER('자료_한국심리'!$B1979)),'자료_한국심리'!$A1979,"")</f>
        <v/>
      </c>
      <c r="V1995">
        <f>IF(AND(ISNUMBER('자료_한국심리'!$D1979),ISNUMBER('자료_한국심리'!$E1979)),'자료_한국심리'!$D1979,"")</f>
        <v/>
      </c>
      <c r="W1995">
        <f>IF(AND(ISNUMBER('자료_한국심리'!$G1979),ISNUMBER('자료_한국심리'!$H1979)),'자료_한국심리'!$G1979,"")</f>
        <v/>
      </c>
      <c r="X1995">
        <f>IF(AND(ISNUMBER('자료_한국심리'!$J1979),ISNUMBER('자료_한국심리'!$K1979)),'자료_한국심리'!$J1979,"")</f>
        <v/>
      </c>
      <c r="Y1995">
        <f>IF(AND(ISNUMBER('자료_한국심리'!$M1979),ISNUMBER('자료_한국심리'!$N1979)),'자료_한국심리'!$M1979,"")</f>
        <v/>
      </c>
    </row>
    <row r="1996">
      <c r="U1996">
        <f>IF(AND(ISNUMBER('자료_한국심리'!$A1980),ISNUMBER('자료_한국심리'!$B1980)),'자료_한국심리'!$A1980,"")</f>
        <v/>
      </c>
      <c r="V1996">
        <f>IF(AND(ISNUMBER('자료_한국심리'!$D1980),ISNUMBER('자료_한국심리'!$E1980)),'자료_한국심리'!$D1980,"")</f>
        <v/>
      </c>
      <c r="W1996">
        <f>IF(AND(ISNUMBER('자료_한국심리'!$G1980),ISNUMBER('자료_한국심리'!$H1980)),'자료_한국심리'!$G1980,"")</f>
        <v/>
      </c>
      <c r="X1996">
        <f>IF(AND(ISNUMBER('자료_한국심리'!$J1980),ISNUMBER('자료_한국심리'!$K1980)),'자료_한국심리'!$J1980,"")</f>
        <v/>
      </c>
      <c r="Y1996">
        <f>IF(AND(ISNUMBER('자료_한국심리'!$M1980),ISNUMBER('자료_한국심리'!$N1980)),'자료_한국심리'!$M1980,"")</f>
        <v/>
      </c>
    </row>
    <row r="1997">
      <c r="U1997">
        <f>IF(AND(ISNUMBER('자료_한국심리'!$A1981),ISNUMBER('자료_한국심리'!$B1981)),'자료_한국심리'!$A1981,"")</f>
        <v/>
      </c>
      <c r="V1997">
        <f>IF(AND(ISNUMBER('자료_한국심리'!$D1981),ISNUMBER('자료_한국심리'!$E1981)),'자료_한국심리'!$D1981,"")</f>
        <v/>
      </c>
      <c r="W1997">
        <f>IF(AND(ISNUMBER('자료_한국심리'!$G1981),ISNUMBER('자료_한국심리'!$H1981)),'자료_한국심리'!$G1981,"")</f>
        <v/>
      </c>
      <c r="X1997">
        <f>IF(AND(ISNUMBER('자료_한국심리'!$J1981),ISNUMBER('자료_한국심리'!$K1981)),'자료_한국심리'!$J1981,"")</f>
        <v/>
      </c>
      <c r="Y1997">
        <f>IF(AND(ISNUMBER('자료_한국심리'!$M1981),ISNUMBER('자료_한국심리'!$N1981)),'자료_한국심리'!$M1981,"")</f>
        <v/>
      </c>
    </row>
    <row r="1998">
      <c r="U1998">
        <f>IF(AND(ISNUMBER('자료_한국심리'!$A1982),ISNUMBER('자료_한국심리'!$B1982)),'자료_한국심리'!$A1982,"")</f>
        <v/>
      </c>
      <c r="V1998">
        <f>IF(AND(ISNUMBER('자료_한국심리'!$D1982),ISNUMBER('자료_한국심리'!$E1982)),'자료_한국심리'!$D1982,"")</f>
        <v/>
      </c>
      <c r="W1998">
        <f>IF(AND(ISNUMBER('자료_한국심리'!$G1982),ISNUMBER('자료_한국심리'!$H1982)),'자료_한국심리'!$G1982,"")</f>
        <v/>
      </c>
      <c r="X1998">
        <f>IF(AND(ISNUMBER('자료_한국심리'!$J1982),ISNUMBER('자료_한국심리'!$K1982)),'자료_한국심리'!$J1982,"")</f>
        <v/>
      </c>
      <c r="Y1998">
        <f>IF(AND(ISNUMBER('자료_한국심리'!$M1982),ISNUMBER('자료_한국심리'!$N1982)),'자료_한국심리'!$M1982,"")</f>
        <v/>
      </c>
    </row>
    <row r="1999">
      <c r="U1999">
        <f>IF(AND(ISNUMBER('자료_한국심리'!$A1983),ISNUMBER('자료_한국심리'!$B1983)),'자료_한국심리'!$A1983,"")</f>
        <v/>
      </c>
      <c r="V1999">
        <f>IF(AND(ISNUMBER('자료_한국심리'!$D1983),ISNUMBER('자료_한국심리'!$E1983)),'자료_한국심리'!$D1983,"")</f>
        <v/>
      </c>
      <c r="W1999">
        <f>IF(AND(ISNUMBER('자료_한국심리'!$G1983),ISNUMBER('자료_한국심리'!$H1983)),'자료_한국심리'!$G1983,"")</f>
        <v/>
      </c>
      <c r="X1999">
        <f>IF(AND(ISNUMBER('자료_한국심리'!$J1983),ISNUMBER('자료_한국심리'!$K1983)),'자료_한국심리'!$J1983,"")</f>
        <v/>
      </c>
      <c r="Y1999">
        <f>IF(AND(ISNUMBER('자료_한국심리'!$M1983),ISNUMBER('자료_한국심리'!$N1983)),'자료_한국심리'!$M1983,"")</f>
        <v/>
      </c>
    </row>
    <row r="2000">
      <c r="U2000">
        <f>IF(AND(ISNUMBER('자료_한국심리'!$A1984),ISNUMBER('자료_한국심리'!$B1984)),'자료_한국심리'!$A1984,"")</f>
        <v/>
      </c>
      <c r="V2000">
        <f>IF(AND(ISNUMBER('자료_한국심리'!$D1984),ISNUMBER('자료_한국심리'!$E1984)),'자료_한국심리'!$D1984,"")</f>
        <v/>
      </c>
      <c r="W2000">
        <f>IF(AND(ISNUMBER('자료_한국심리'!$G1984),ISNUMBER('자료_한국심리'!$H1984)),'자료_한국심리'!$G1984,"")</f>
        <v/>
      </c>
      <c r="X2000">
        <f>IF(AND(ISNUMBER('자료_한국심리'!$J1984),ISNUMBER('자료_한국심리'!$K1984)),'자료_한국심리'!$J1984,"")</f>
        <v/>
      </c>
      <c r="Y2000">
        <f>IF(AND(ISNUMBER('자료_한국심리'!$M1984),ISNUMBER('자료_한국심리'!$N1984)),'자료_한국심리'!$M1984,"")</f>
        <v/>
      </c>
    </row>
    <row r="2001">
      <c r="U2001">
        <f>IF(AND(ISNUMBER('자료_한국심리'!$A1985),ISNUMBER('자료_한국심리'!$B1985)),'자료_한국심리'!$A1985,"")</f>
        <v/>
      </c>
      <c r="V2001">
        <f>IF(AND(ISNUMBER('자료_한국심리'!$D1985),ISNUMBER('자료_한국심리'!$E1985)),'자료_한국심리'!$D1985,"")</f>
        <v/>
      </c>
      <c r="W2001">
        <f>IF(AND(ISNUMBER('자료_한국심리'!$G1985),ISNUMBER('자료_한국심리'!$H1985)),'자료_한국심리'!$G1985,"")</f>
        <v/>
      </c>
      <c r="X2001">
        <f>IF(AND(ISNUMBER('자료_한국심리'!$J1985),ISNUMBER('자료_한국심리'!$K1985)),'자료_한국심리'!$J1985,"")</f>
        <v/>
      </c>
      <c r="Y2001">
        <f>IF(AND(ISNUMBER('자료_한국심리'!$M1985),ISNUMBER('자료_한국심리'!$N1985)),'자료_한국심리'!$M1985,"")</f>
        <v/>
      </c>
    </row>
    <row r="2002">
      <c r="U2002">
        <f>IF(AND(ISNUMBER('자료_한국심리'!$A1986),ISNUMBER('자료_한국심리'!$B1986)),'자료_한국심리'!$A1986,"")</f>
        <v/>
      </c>
      <c r="V2002">
        <f>IF(AND(ISNUMBER('자료_한국심리'!$D1986),ISNUMBER('자료_한국심리'!$E1986)),'자료_한국심리'!$D1986,"")</f>
        <v/>
      </c>
      <c r="W2002">
        <f>IF(AND(ISNUMBER('자료_한국심리'!$G1986),ISNUMBER('자료_한국심리'!$H1986)),'자료_한국심리'!$G1986,"")</f>
        <v/>
      </c>
      <c r="X2002">
        <f>IF(AND(ISNUMBER('자료_한국심리'!$J1986),ISNUMBER('자료_한국심리'!$K1986)),'자료_한국심리'!$J1986,"")</f>
        <v/>
      </c>
      <c r="Y2002">
        <f>IF(AND(ISNUMBER('자료_한국심리'!$M1986),ISNUMBER('자료_한국심리'!$N1986)),'자료_한국심리'!$M1986,"")</f>
        <v/>
      </c>
    </row>
    <row r="2003">
      <c r="U2003">
        <f>IF(AND(ISNUMBER('자료_한국심리'!$A1987),ISNUMBER('자료_한국심리'!$B1987)),'자료_한국심리'!$A1987,"")</f>
        <v/>
      </c>
      <c r="V2003">
        <f>IF(AND(ISNUMBER('자료_한국심리'!$D1987),ISNUMBER('자료_한국심리'!$E1987)),'자료_한국심리'!$D1987,"")</f>
        <v/>
      </c>
      <c r="W2003">
        <f>IF(AND(ISNUMBER('자료_한국심리'!$G1987),ISNUMBER('자료_한국심리'!$H1987)),'자료_한국심리'!$G1987,"")</f>
        <v/>
      </c>
      <c r="X2003">
        <f>IF(AND(ISNUMBER('자료_한국심리'!$J1987),ISNUMBER('자료_한국심리'!$K1987)),'자료_한국심리'!$J1987,"")</f>
        <v/>
      </c>
      <c r="Y2003">
        <f>IF(AND(ISNUMBER('자료_한국심리'!$M1987),ISNUMBER('자료_한국심리'!$N1987)),'자료_한국심리'!$M1987,"")</f>
        <v/>
      </c>
    </row>
    <row r="2004">
      <c r="U2004">
        <f>IF(AND(ISNUMBER('자료_한국심리'!$A1988),ISNUMBER('자료_한국심리'!$B1988)),'자료_한국심리'!$A1988,"")</f>
        <v/>
      </c>
      <c r="V2004">
        <f>IF(AND(ISNUMBER('자료_한국심리'!$D1988),ISNUMBER('자료_한국심리'!$E1988)),'자료_한국심리'!$D1988,"")</f>
        <v/>
      </c>
      <c r="W2004">
        <f>IF(AND(ISNUMBER('자료_한국심리'!$G1988),ISNUMBER('자료_한국심리'!$H1988)),'자료_한국심리'!$G1988,"")</f>
        <v/>
      </c>
      <c r="X2004">
        <f>IF(AND(ISNUMBER('자료_한국심리'!$J1988),ISNUMBER('자료_한국심리'!$K1988)),'자료_한국심리'!$J1988,"")</f>
        <v/>
      </c>
      <c r="Y2004">
        <f>IF(AND(ISNUMBER('자료_한국심리'!$M1988),ISNUMBER('자료_한국심리'!$N1988)),'자료_한국심리'!$M1988,"")</f>
        <v/>
      </c>
    </row>
    <row r="2005">
      <c r="U2005">
        <f>IF(AND(ISNUMBER('자료_한국심리'!$A1989),ISNUMBER('자료_한국심리'!$B1989)),'자료_한국심리'!$A1989,"")</f>
        <v/>
      </c>
      <c r="V2005">
        <f>IF(AND(ISNUMBER('자료_한국심리'!$D1989),ISNUMBER('자료_한국심리'!$E1989)),'자료_한국심리'!$D1989,"")</f>
        <v/>
      </c>
      <c r="W2005">
        <f>IF(AND(ISNUMBER('자료_한국심리'!$G1989),ISNUMBER('자료_한국심리'!$H1989)),'자료_한국심리'!$G1989,"")</f>
        <v/>
      </c>
      <c r="X2005">
        <f>IF(AND(ISNUMBER('자료_한국심리'!$J1989),ISNUMBER('자료_한국심리'!$K1989)),'자료_한국심리'!$J1989,"")</f>
        <v/>
      </c>
      <c r="Y2005">
        <f>IF(AND(ISNUMBER('자료_한국심리'!$M1989),ISNUMBER('자료_한국심리'!$N1989)),'자료_한국심리'!$M1989,"")</f>
        <v/>
      </c>
    </row>
    <row r="2006">
      <c r="U2006">
        <f>IF(AND(ISNUMBER('자료_한국심리'!$A1990),ISNUMBER('자료_한국심리'!$B1990)),'자료_한국심리'!$A1990,"")</f>
        <v/>
      </c>
      <c r="V2006">
        <f>IF(AND(ISNUMBER('자료_한국심리'!$D1990),ISNUMBER('자료_한국심리'!$E1990)),'자료_한국심리'!$D1990,"")</f>
        <v/>
      </c>
      <c r="W2006">
        <f>IF(AND(ISNUMBER('자료_한국심리'!$G1990),ISNUMBER('자료_한국심리'!$H1990)),'자료_한국심리'!$G1990,"")</f>
        <v/>
      </c>
      <c r="X2006">
        <f>IF(AND(ISNUMBER('자료_한국심리'!$J1990),ISNUMBER('자료_한국심리'!$K1990)),'자료_한국심리'!$J1990,"")</f>
        <v/>
      </c>
      <c r="Y2006">
        <f>IF(AND(ISNUMBER('자료_한국심리'!$M1990),ISNUMBER('자료_한국심리'!$N1990)),'자료_한국심리'!$M1990,"")</f>
        <v/>
      </c>
    </row>
    <row r="2007">
      <c r="U2007">
        <f>IF(AND(ISNUMBER('자료_한국심리'!$A1991),ISNUMBER('자료_한국심리'!$B1991)),'자료_한국심리'!$A1991,"")</f>
        <v/>
      </c>
      <c r="V2007">
        <f>IF(AND(ISNUMBER('자료_한국심리'!$D1991),ISNUMBER('자료_한국심리'!$E1991)),'자료_한국심리'!$D1991,"")</f>
        <v/>
      </c>
      <c r="W2007">
        <f>IF(AND(ISNUMBER('자료_한국심리'!$G1991),ISNUMBER('자료_한국심리'!$H1991)),'자료_한국심리'!$G1991,"")</f>
        <v/>
      </c>
      <c r="X2007">
        <f>IF(AND(ISNUMBER('자료_한국심리'!$J1991),ISNUMBER('자료_한국심리'!$K1991)),'자료_한국심리'!$J1991,"")</f>
        <v/>
      </c>
      <c r="Y2007">
        <f>IF(AND(ISNUMBER('자료_한국심리'!$M1991),ISNUMBER('자료_한국심리'!$N1991)),'자료_한국심리'!$M1991,"")</f>
        <v/>
      </c>
    </row>
    <row r="2008">
      <c r="U2008">
        <f>IF(AND(ISNUMBER('자료_한국심리'!$A1992),ISNUMBER('자료_한국심리'!$B1992)),'자료_한국심리'!$A1992,"")</f>
        <v/>
      </c>
      <c r="V2008">
        <f>IF(AND(ISNUMBER('자료_한국심리'!$D1992),ISNUMBER('자료_한국심리'!$E1992)),'자료_한국심리'!$D1992,"")</f>
        <v/>
      </c>
      <c r="W2008">
        <f>IF(AND(ISNUMBER('자료_한국심리'!$G1992),ISNUMBER('자료_한국심리'!$H1992)),'자료_한국심리'!$G1992,"")</f>
        <v/>
      </c>
      <c r="X2008">
        <f>IF(AND(ISNUMBER('자료_한국심리'!$J1992),ISNUMBER('자료_한국심리'!$K1992)),'자료_한국심리'!$J1992,"")</f>
        <v/>
      </c>
      <c r="Y2008">
        <f>IF(AND(ISNUMBER('자료_한국심리'!$M1992),ISNUMBER('자료_한국심리'!$N1992)),'자료_한국심리'!$M1992,"")</f>
        <v/>
      </c>
    </row>
    <row r="2009">
      <c r="U2009">
        <f>IF(AND(ISNUMBER('자료_한국심리'!$A1993),ISNUMBER('자료_한국심리'!$B1993)),'자료_한국심리'!$A1993,"")</f>
        <v/>
      </c>
      <c r="V2009">
        <f>IF(AND(ISNUMBER('자료_한국심리'!$D1993),ISNUMBER('자료_한국심리'!$E1993)),'자료_한국심리'!$D1993,"")</f>
        <v/>
      </c>
      <c r="W2009">
        <f>IF(AND(ISNUMBER('자료_한국심리'!$G1993),ISNUMBER('자료_한국심리'!$H1993)),'자료_한국심리'!$G1993,"")</f>
        <v/>
      </c>
      <c r="X2009">
        <f>IF(AND(ISNUMBER('자료_한국심리'!$J1993),ISNUMBER('자료_한국심리'!$K1993)),'자료_한국심리'!$J1993,"")</f>
        <v/>
      </c>
      <c r="Y2009">
        <f>IF(AND(ISNUMBER('자료_한국심리'!$M1993),ISNUMBER('자료_한국심리'!$N1993)),'자료_한국심리'!$M1993,"")</f>
        <v/>
      </c>
    </row>
    <row r="2010">
      <c r="U2010">
        <f>IF(AND(ISNUMBER('자료_한국심리'!$A1994),ISNUMBER('자료_한국심리'!$B1994)),'자료_한국심리'!$A1994,"")</f>
        <v/>
      </c>
      <c r="V2010">
        <f>IF(AND(ISNUMBER('자료_한국심리'!$D1994),ISNUMBER('자료_한국심리'!$E1994)),'자료_한국심리'!$D1994,"")</f>
        <v/>
      </c>
      <c r="W2010">
        <f>IF(AND(ISNUMBER('자료_한국심리'!$G1994),ISNUMBER('자료_한국심리'!$H1994)),'자료_한국심리'!$G1994,"")</f>
        <v/>
      </c>
      <c r="X2010">
        <f>IF(AND(ISNUMBER('자료_한국심리'!$J1994),ISNUMBER('자료_한국심리'!$K1994)),'자료_한국심리'!$J1994,"")</f>
        <v/>
      </c>
      <c r="Y2010">
        <f>IF(AND(ISNUMBER('자료_한국심리'!$M1994),ISNUMBER('자료_한국심리'!$N1994)),'자료_한국심리'!$M1994,"")</f>
        <v/>
      </c>
    </row>
    <row r="2011">
      <c r="U2011">
        <f>IF(AND(ISNUMBER('자료_한국심리'!$A1995),ISNUMBER('자료_한국심리'!$B1995)),'자료_한국심리'!$A1995,"")</f>
        <v/>
      </c>
      <c r="V2011">
        <f>IF(AND(ISNUMBER('자료_한국심리'!$D1995),ISNUMBER('자료_한국심리'!$E1995)),'자료_한국심리'!$D1995,"")</f>
        <v/>
      </c>
      <c r="W2011">
        <f>IF(AND(ISNUMBER('자료_한국심리'!$G1995),ISNUMBER('자료_한국심리'!$H1995)),'자료_한국심리'!$G1995,"")</f>
        <v/>
      </c>
      <c r="X2011">
        <f>IF(AND(ISNUMBER('자료_한국심리'!$J1995),ISNUMBER('자료_한국심리'!$K1995)),'자료_한국심리'!$J1995,"")</f>
        <v/>
      </c>
      <c r="Y2011">
        <f>IF(AND(ISNUMBER('자료_한국심리'!$M1995),ISNUMBER('자료_한국심리'!$N1995)),'자료_한국심리'!$M1995,"")</f>
        <v/>
      </c>
    </row>
    <row r="2012">
      <c r="U2012">
        <f>IF(AND(ISNUMBER('자료_한국심리'!$A1996),ISNUMBER('자료_한국심리'!$B1996)),'자료_한국심리'!$A1996,"")</f>
        <v/>
      </c>
      <c r="V2012">
        <f>IF(AND(ISNUMBER('자료_한국심리'!$D1996),ISNUMBER('자료_한국심리'!$E1996)),'자료_한국심리'!$D1996,"")</f>
        <v/>
      </c>
      <c r="W2012">
        <f>IF(AND(ISNUMBER('자료_한국심리'!$G1996),ISNUMBER('자료_한국심리'!$H1996)),'자료_한국심리'!$G1996,"")</f>
        <v/>
      </c>
      <c r="X2012">
        <f>IF(AND(ISNUMBER('자료_한국심리'!$J1996),ISNUMBER('자료_한국심리'!$K1996)),'자료_한국심리'!$J1996,"")</f>
        <v/>
      </c>
      <c r="Y2012">
        <f>IF(AND(ISNUMBER('자료_한국심리'!$M1996),ISNUMBER('자료_한국심리'!$N1996)),'자료_한국심리'!$M1996,"")</f>
        <v/>
      </c>
    </row>
    <row r="2013">
      <c r="U2013">
        <f>IF(AND(ISNUMBER('자료_한국심리'!$A1997),ISNUMBER('자료_한국심리'!$B1997)),'자료_한국심리'!$A1997,"")</f>
        <v/>
      </c>
      <c r="V2013">
        <f>IF(AND(ISNUMBER('자료_한국심리'!$D1997),ISNUMBER('자료_한국심리'!$E1997)),'자료_한국심리'!$D1997,"")</f>
        <v/>
      </c>
      <c r="W2013">
        <f>IF(AND(ISNUMBER('자료_한국심리'!$G1997),ISNUMBER('자료_한국심리'!$H1997)),'자료_한국심리'!$G1997,"")</f>
        <v/>
      </c>
      <c r="X2013">
        <f>IF(AND(ISNUMBER('자료_한국심리'!$J1997),ISNUMBER('자료_한국심리'!$K1997)),'자료_한국심리'!$J1997,"")</f>
        <v/>
      </c>
      <c r="Y2013">
        <f>IF(AND(ISNUMBER('자료_한국심리'!$M1997),ISNUMBER('자료_한국심리'!$N1997)),'자료_한국심리'!$M1997,"")</f>
        <v/>
      </c>
    </row>
    <row r="2014">
      <c r="U2014">
        <f>IF(AND(ISNUMBER('자료_한국심리'!$A1998),ISNUMBER('자료_한국심리'!$B1998)),'자료_한국심리'!$A1998,"")</f>
        <v/>
      </c>
      <c r="V2014">
        <f>IF(AND(ISNUMBER('자료_한국심리'!$D1998),ISNUMBER('자료_한국심리'!$E1998)),'자료_한국심리'!$D1998,"")</f>
        <v/>
      </c>
      <c r="W2014">
        <f>IF(AND(ISNUMBER('자료_한국심리'!$G1998),ISNUMBER('자료_한국심리'!$H1998)),'자료_한국심리'!$G1998,"")</f>
        <v/>
      </c>
      <c r="X2014">
        <f>IF(AND(ISNUMBER('자료_한국심리'!$J1998),ISNUMBER('자료_한국심리'!$K1998)),'자료_한국심리'!$J1998,"")</f>
        <v/>
      </c>
      <c r="Y2014">
        <f>IF(AND(ISNUMBER('자료_한국심리'!$M1998),ISNUMBER('자료_한국심리'!$N1998)),'자료_한국심리'!$M1998,"")</f>
        <v/>
      </c>
    </row>
    <row r="2015">
      <c r="U2015">
        <f>IF(AND(ISNUMBER('자료_한국심리'!$A1999),ISNUMBER('자료_한국심리'!$B1999)),'자료_한국심리'!$A1999,"")</f>
        <v/>
      </c>
      <c r="V2015">
        <f>IF(AND(ISNUMBER('자료_한국심리'!$D1999),ISNUMBER('자료_한국심리'!$E1999)),'자료_한국심리'!$D1999,"")</f>
        <v/>
      </c>
      <c r="W2015">
        <f>IF(AND(ISNUMBER('자료_한국심리'!$G1999),ISNUMBER('자료_한국심리'!$H1999)),'자료_한국심리'!$G1999,"")</f>
        <v/>
      </c>
      <c r="X2015">
        <f>IF(AND(ISNUMBER('자료_한국심리'!$J1999),ISNUMBER('자료_한국심리'!$K1999)),'자료_한국심리'!$J1999,"")</f>
        <v/>
      </c>
      <c r="Y2015">
        <f>IF(AND(ISNUMBER('자료_한국심리'!$M1999),ISNUMBER('자료_한국심리'!$N1999)),'자료_한국심리'!$M1999,"")</f>
        <v/>
      </c>
    </row>
    <row r="2016">
      <c r="U2016">
        <f>IF(AND(ISNUMBER('자료_한국심리'!$A2000),ISNUMBER('자료_한국심리'!$B2000)),'자료_한국심리'!$A2000,"")</f>
        <v/>
      </c>
      <c r="V2016">
        <f>IF(AND(ISNUMBER('자료_한국심리'!$D2000),ISNUMBER('자료_한국심리'!$E2000)),'자료_한국심리'!$D2000,"")</f>
        <v/>
      </c>
      <c r="W2016">
        <f>IF(AND(ISNUMBER('자료_한국심리'!$G2000),ISNUMBER('자료_한국심리'!$H2000)),'자료_한국심리'!$G2000,"")</f>
        <v/>
      </c>
      <c r="X2016">
        <f>IF(AND(ISNUMBER('자료_한국심리'!$J2000),ISNUMBER('자료_한국심리'!$K2000)),'자료_한국심리'!$J2000,"")</f>
        <v/>
      </c>
      <c r="Y2016">
        <f>IF(AND(ISNUMBER('자료_한국심리'!$M2000),ISNUMBER('자료_한국심리'!$N2000)),'자료_한국심리'!$M2000,"")</f>
        <v/>
      </c>
    </row>
    <row r="2017">
      <c r="U2017">
        <f>IF(AND(ISNUMBER('자료_한국심리'!$A2001),ISNUMBER('자료_한국심리'!$B2001)),'자료_한국심리'!$A2001,"")</f>
        <v/>
      </c>
      <c r="V2017">
        <f>IF(AND(ISNUMBER('자료_한국심리'!$D2001),ISNUMBER('자료_한국심리'!$E2001)),'자료_한국심리'!$D2001,"")</f>
        <v/>
      </c>
      <c r="W2017">
        <f>IF(AND(ISNUMBER('자료_한국심리'!$G2001),ISNUMBER('자료_한국심리'!$H2001)),'자료_한국심리'!$G2001,"")</f>
        <v/>
      </c>
      <c r="X2017">
        <f>IF(AND(ISNUMBER('자료_한국심리'!$J2001),ISNUMBER('자료_한국심리'!$K2001)),'자료_한국심리'!$J2001,"")</f>
        <v/>
      </c>
      <c r="Y2017">
        <f>IF(AND(ISNUMBER('자료_한국심리'!$M2001),ISNUMBER('자료_한국심리'!$N2001)),'자료_한국심리'!$M2001,"")</f>
        <v/>
      </c>
    </row>
    <row r="2018">
      <c r="U2018">
        <f>IF(AND(ISNUMBER('자료_한국심리'!$A2002),ISNUMBER('자료_한국심리'!$B2002)),'자료_한국심리'!$A2002,"")</f>
        <v/>
      </c>
      <c r="V2018">
        <f>IF(AND(ISNUMBER('자료_한국심리'!$D2002),ISNUMBER('자료_한국심리'!$E2002)),'자료_한국심리'!$D2002,"")</f>
        <v/>
      </c>
      <c r="W2018">
        <f>IF(AND(ISNUMBER('자료_한국심리'!$G2002),ISNUMBER('자료_한국심리'!$H2002)),'자료_한국심리'!$G2002,"")</f>
        <v/>
      </c>
      <c r="X2018">
        <f>IF(AND(ISNUMBER('자료_한국심리'!$J2002),ISNUMBER('자료_한국심리'!$K2002)),'자료_한국심리'!$J2002,"")</f>
        <v/>
      </c>
      <c r="Y2018">
        <f>IF(AND(ISNUMBER('자료_한국심리'!$M2002),ISNUMBER('자료_한국심리'!$N2002)),'자료_한국심리'!$M2002,"")</f>
        <v/>
      </c>
    </row>
    <row r="2019">
      <c r="U2019">
        <f>IF(AND(ISNUMBER('자료_한국심리'!$A2003),ISNUMBER('자료_한국심리'!$B2003)),'자료_한국심리'!$A2003,"")</f>
        <v/>
      </c>
      <c r="V2019">
        <f>IF(AND(ISNUMBER('자료_한국심리'!$D2003),ISNUMBER('자료_한국심리'!$E2003)),'자료_한국심리'!$D2003,"")</f>
        <v/>
      </c>
      <c r="W2019">
        <f>IF(AND(ISNUMBER('자료_한국심리'!$G2003),ISNUMBER('자료_한국심리'!$H2003)),'자료_한국심리'!$G2003,"")</f>
        <v/>
      </c>
      <c r="X2019">
        <f>IF(AND(ISNUMBER('자료_한국심리'!$J2003),ISNUMBER('자료_한국심리'!$K2003)),'자료_한국심리'!$J2003,"")</f>
        <v/>
      </c>
      <c r="Y2019">
        <f>IF(AND(ISNUMBER('자료_한국심리'!$M2003),ISNUMBER('자료_한국심리'!$N2003)),'자료_한국심리'!$M2003,"")</f>
        <v/>
      </c>
    </row>
    <row r="2020">
      <c r="U2020">
        <f>IF(AND(ISNUMBER('자료_한국심리'!$A2004),ISNUMBER('자료_한국심리'!$B2004)),'자료_한국심리'!$A2004,"")</f>
        <v/>
      </c>
      <c r="V2020">
        <f>IF(AND(ISNUMBER('자료_한국심리'!$D2004),ISNUMBER('자료_한국심리'!$E2004)),'자료_한국심리'!$D2004,"")</f>
        <v/>
      </c>
      <c r="W2020">
        <f>IF(AND(ISNUMBER('자료_한국심리'!$G2004),ISNUMBER('자료_한국심리'!$H2004)),'자료_한국심리'!$G2004,"")</f>
        <v/>
      </c>
      <c r="X2020">
        <f>IF(AND(ISNUMBER('자료_한국심리'!$J2004),ISNUMBER('자료_한국심리'!$K2004)),'자료_한국심리'!$J2004,"")</f>
        <v/>
      </c>
      <c r="Y2020">
        <f>IF(AND(ISNUMBER('자료_한국심리'!$M2004),ISNUMBER('자료_한국심리'!$N2004)),'자료_한국심리'!$M2004,"")</f>
        <v/>
      </c>
    </row>
    <row r="2021">
      <c r="U2021">
        <f>IF(AND(ISNUMBER('자료_한국심리'!$A2005),ISNUMBER('자료_한국심리'!$B2005)),'자료_한국심리'!$A2005,"")</f>
        <v/>
      </c>
      <c r="V2021">
        <f>IF(AND(ISNUMBER('자료_한국심리'!$D2005),ISNUMBER('자료_한국심리'!$E2005)),'자료_한국심리'!$D2005,"")</f>
        <v/>
      </c>
      <c r="W2021">
        <f>IF(AND(ISNUMBER('자료_한국심리'!$G2005),ISNUMBER('자료_한국심리'!$H2005)),'자료_한국심리'!$G2005,"")</f>
        <v/>
      </c>
      <c r="X2021">
        <f>IF(AND(ISNUMBER('자료_한국심리'!$J2005),ISNUMBER('자료_한국심리'!$K2005)),'자료_한국심리'!$J2005,"")</f>
        <v/>
      </c>
      <c r="Y2021">
        <f>IF(AND(ISNUMBER('자료_한국심리'!$M2005),ISNUMBER('자료_한국심리'!$N2005)),'자료_한국심리'!$M2005,"")</f>
        <v/>
      </c>
    </row>
    <row r="2022">
      <c r="U2022">
        <f>IF(AND(ISNUMBER('자료_한국심리'!$A2006),ISNUMBER('자료_한국심리'!$B2006)),'자료_한국심리'!$A2006,"")</f>
        <v/>
      </c>
      <c r="V2022">
        <f>IF(AND(ISNUMBER('자료_한국심리'!$D2006),ISNUMBER('자료_한국심리'!$E2006)),'자료_한국심리'!$D2006,"")</f>
        <v/>
      </c>
      <c r="W2022">
        <f>IF(AND(ISNUMBER('자료_한국심리'!$G2006),ISNUMBER('자료_한국심리'!$H2006)),'자료_한국심리'!$G2006,"")</f>
        <v/>
      </c>
      <c r="X2022">
        <f>IF(AND(ISNUMBER('자료_한국심리'!$J2006),ISNUMBER('자료_한국심리'!$K2006)),'자료_한국심리'!$J2006,"")</f>
        <v/>
      </c>
      <c r="Y2022">
        <f>IF(AND(ISNUMBER('자료_한국심리'!$M2006),ISNUMBER('자료_한국심리'!$N2006)),'자료_한국심리'!$M2006,"")</f>
        <v/>
      </c>
    </row>
    <row r="2023">
      <c r="U2023">
        <f>IF(AND(ISNUMBER('자료_한국심리'!$A2007),ISNUMBER('자료_한국심리'!$B2007)),'자료_한국심리'!$A2007,"")</f>
        <v/>
      </c>
      <c r="V2023">
        <f>IF(AND(ISNUMBER('자료_한국심리'!$D2007),ISNUMBER('자료_한국심리'!$E2007)),'자료_한국심리'!$D2007,"")</f>
        <v/>
      </c>
      <c r="W2023">
        <f>IF(AND(ISNUMBER('자료_한국심리'!$G2007),ISNUMBER('자료_한국심리'!$H2007)),'자료_한국심리'!$G2007,"")</f>
        <v/>
      </c>
      <c r="X2023">
        <f>IF(AND(ISNUMBER('자료_한국심리'!$J2007),ISNUMBER('자료_한국심리'!$K2007)),'자료_한국심리'!$J2007,"")</f>
        <v/>
      </c>
      <c r="Y2023">
        <f>IF(AND(ISNUMBER('자료_한국심리'!$M2007),ISNUMBER('자료_한국심리'!$N2007)),'자료_한국심리'!$M2007,"")</f>
        <v/>
      </c>
    </row>
    <row r="2024">
      <c r="U2024">
        <f>IF(AND(ISNUMBER('자료_한국심리'!$A2008),ISNUMBER('자료_한국심리'!$B2008)),'자료_한국심리'!$A2008,"")</f>
        <v/>
      </c>
      <c r="V2024">
        <f>IF(AND(ISNUMBER('자료_한국심리'!$D2008),ISNUMBER('자료_한국심리'!$E2008)),'자료_한국심리'!$D2008,"")</f>
        <v/>
      </c>
      <c r="W2024">
        <f>IF(AND(ISNUMBER('자료_한국심리'!$G2008),ISNUMBER('자료_한국심리'!$H2008)),'자료_한국심리'!$G2008,"")</f>
        <v/>
      </c>
      <c r="X2024">
        <f>IF(AND(ISNUMBER('자료_한국심리'!$J2008),ISNUMBER('자료_한국심리'!$K2008)),'자료_한국심리'!$J2008,"")</f>
        <v/>
      </c>
      <c r="Y2024">
        <f>IF(AND(ISNUMBER('자료_한국심리'!$M2008),ISNUMBER('자료_한국심리'!$N2008)),'자료_한국심리'!$M2008,"")</f>
        <v/>
      </c>
    </row>
    <row r="2025">
      <c r="U2025">
        <f>IF(AND(ISNUMBER('자료_한국심리'!$A2009),ISNUMBER('자료_한국심리'!$B2009)),'자료_한국심리'!$A2009,"")</f>
        <v/>
      </c>
      <c r="V2025">
        <f>IF(AND(ISNUMBER('자료_한국심리'!$D2009),ISNUMBER('자료_한국심리'!$E2009)),'자료_한국심리'!$D2009,"")</f>
        <v/>
      </c>
      <c r="W2025">
        <f>IF(AND(ISNUMBER('자료_한국심리'!$G2009),ISNUMBER('자료_한국심리'!$H2009)),'자료_한국심리'!$G2009,"")</f>
        <v/>
      </c>
      <c r="X2025">
        <f>IF(AND(ISNUMBER('자료_한국심리'!$J2009),ISNUMBER('자료_한국심리'!$K2009)),'자료_한국심리'!$J2009,"")</f>
        <v/>
      </c>
      <c r="Y2025">
        <f>IF(AND(ISNUMBER('자료_한국심리'!$M2009),ISNUMBER('자료_한국심리'!$N2009)),'자료_한국심리'!$M2009,"")</f>
        <v/>
      </c>
    </row>
    <row r="2026">
      <c r="U2026">
        <f>IF(AND(ISNUMBER('자료_한국심리'!$A2010),ISNUMBER('자료_한국심리'!$B2010)),'자료_한국심리'!$A2010,"")</f>
        <v/>
      </c>
      <c r="V2026">
        <f>IF(AND(ISNUMBER('자료_한국심리'!$D2010),ISNUMBER('자료_한국심리'!$E2010)),'자료_한국심리'!$D2010,"")</f>
        <v/>
      </c>
      <c r="W2026">
        <f>IF(AND(ISNUMBER('자료_한국심리'!$G2010),ISNUMBER('자료_한국심리'!$H2010)),'자료_한국심리'!$G2010,"")</f>
        <v/>
      </c>
      <c r="X2026">
        <f>IF(AND(ISNUMBER('자료_한국심리'!$J2010),ISNUMBER('자료_한국심리'!$K2010)),'자료_한국심리'!$J2010,"")</f>
        <v/>
      </c>
      <c r="Y2026">
        <f>IF(AND(ISNUMBER('자료_한국심리'!$M2010),ISNUMBER('자료_한국심리'!$N2010)),'자료_한국심리'!$M2010,"")</f>
        <v/>
      </c>
    </row>
    <row r="2027">
      <c r="U2027">
        <f>IF(AND(ISNUMBER('자료_한국심리'!$A2011),ISNUMBER('자료_한국심리'!$B2011)),'자료_한국심리'!$A2011,"")</f>
        <v/>
      </c>
      <c r="V2027">
        <f>IF(AND(ISNUMBER('자료_한국심리'!$D2011),ISNUMBER('자료_한국심리'!$E2011)),'자료_한국심리'!$D2011,"")</f>
        <v/>
      </c>
      <c r="W2027">
        <f>IF(AND(ISNUMBER('자료_한국심리'!$G2011),ISNUMBER('자료_한국심리'!$H2011)),'자료_한국심리'!$G2011,"")</f>
        <v/>
      </c>
      <c r="X2027">
        <f>IF(AND(ISNUMBER('자료_한국심리'!$J2011),ISNUMBER('자료_한국심리'!$K2011)),'자료_한국심리'!$J2011,"")</f>
        <v/>
      </c>
      <c r="Y2027">
        <f>IF(AND(ISNUMBER('자료_한국심리'!$M2011),ISNUMBER('자료_한국심리'!$N2011)),'자료_한국심리'!$M2011,"")</f>
        <v/>
      </c>
    </row>
    <row r="2028">
      <c r="U2028">
        <f>IF(AND(ISNUMBER('자료_한국심리'!$A2012),ISNUMBER('자료_한국심리'!$B2012)),'자료_한국심리'!$A2012,"")</f>
        <v/>
      </c>
      <c r="V2028">
        <f>IF(AND(ISNUMBER('자료_한국심리'!$D2012),ISNUMBER('자료_한국심리'!$E2012)),'자료_한국심리'!$D2012,"")</f>
        <v/>
      </c>
      <c r="W2028">
        <f>IF(AND(ISNUMBER('자료_한국심리'!$G2012),ISNUMBER('자료_한국심리'!$H2012)),'자료_한국심리'!$G2012,"")</f>
        <v/>
      </c>
      <c r="X2028">
        <f>IF(AND(ISNUMBER('자료_한국심리'!$J2012),ISNUMBER('자료_한국심리'!$K2012)),'자료_한국심리'!$J2012,"")</f>
        <v/>
      </c>
      <c r="Y2028">
        <f>IF(AND(ISNUMBER('자료_한국심리'!$M2012),ISNUMBER('자료_한국심리'!$N2012)),'자료_한국심리'!$M2012,"")</f>
        <v/>
      </c>
    </row>
    <row r="2029">
      <c r="U2029">
        <f>IF(AND(ISNUMBER('자료_한국심리'!$A2013),ISNUMBER('자료_한국심리'!$B2013)),'자료_한국심리'!$A2013,"")</f>
        <v/>
      </c>
      <c r="V2029">
        <f>IF(AND(ISNUMBER('자료_한국심리'!$D2013),ISNUMBER('자료_한국심리'!$E2013)),'자료_한국심리'!$D2013,"")</f>
        <v/>
      </c>
      <c r="W2029">
        <f>IF(AND(ISNUMBER('자료_한국심리'!$G2013),ISNUMBER('자료_한국심리'!$H2013)),'자료_한국심리'!$G2013,"")</f>
        <v/>
      </c>
      <c r="X2029">
        <f>IF(AND(ISNUMBER('자료_한국심리'!$J2013),ISNUMBER('자료_한국심리'!$K2013)),'자료_한국심리'!$J2013,"")</f>
        <v/>
      </c>
      <c r="Y2029">
        <f>IF(AND(ISNUMBER('자료_한국심리'!$M2013),ISNUMBER('자료_한국심리'!$N2013)),'자료_한국심리'!$M2013,"")</f>
        <v/>
      </c>
    </row>
    <row r="2030">
      <c r="U2030">
        <f>IF(AND(ISNUMBER('자료_한국심리'!$A2014),ISNUMBER('자료_한국심리'!$B2014)),'자료_한국심리'!$A2014,"")</f>
        <v/>
      </c>
      <c r="V2030">
        <f>IF(AND(ISNUMBER('자료_한국심리'!$D2014),ISNUMBER('자료_한국심리'!$E2014)),'자료_한국심리'!$D2014,"")</f>
        <v/>
      </c>
      <c r="W2030">
        <f>IF(AND(ISNUMBER('자료_한국심리'!$G2014),ISNUMBER('자료_한국심리'!$H2014)),'자료_한국심리'!$G2014,"")</f>
        <v/>
      </c>
      <c r="X2030">
        <f>IF(AND(ISNUMBER('자료_한국심리'!$J2014),ISNUMBER('자료_한국심리'!$K2014)),'자료_한국심리'!$J2014,"")</f>
        <v/>
      </c>
      <c r="Y2030">
        <f>IF(AND(ISNUMBER('자료_한국심리'!$M2014),ISNUMBER('자료_한국심리'!$N2014)),'자료_한국심리'!$M2014,"")</f>
        <v/>
      </c>
    </row>
    <row r="2031">
      <c r="U2031">
        <f>IF(AND(ISNUMBER('자료_한국심리'!$A2015),ISNUMBER('자료_한국심리'!$B2015)),'자료_한국심리'!$A2015,"")</f>
        <v/>
      </c>
      <c r="V2031">
        <f>IF(AND(ISNUMBER('자료_한국심리'!$D2015),ISNUMBER('자료_한국심리'!$E2015)),'자료_한국심리'!$D2015,"")</f>
        <v/>
      </c>
      <c r="W2031">
        <f>IF(AND(ISNUMBER('자료_한국심리'!$G2015),ISNUMBER('자료_한국심리'!$H2015)),'자료_한국심리'!$G2015,"")</f>
        <v/>
      </c>
      <c r="X2031">
        <f>IF(AND(ISNUMBER('자료_한국심리'!$J2015),ISNUMBER('자료_한국심리'!$K2015)),'자료_한국심리'!$J2015,"")</f>
        <v/>
      </c>
      <c r="Y2031">
        <f>IF(AND(ISNUMBER('자료_한국심리'!$M2015),ISNUMBER('자료_한국심리'!$N2015)),'자료_한국심리'!$M2015,"")</f>
        <v/>
      </c>
    </row>
    <row r="2032">
      <c r="U2032">
        <f>IF(AND(ISNUMBER('자료_한국심리'!$A2016),ISNUMBER('자료_한국심리'!$B2016)),'자료_한국심리'!$A2016,"")</f>
        <v/>
      </c>
      <c r="V2032">
        <f>IF(AND(ISNUMBER('자료_한국심리'!$D2016),ISNUMBER('자료_한국심리'!$E2016)),'자료_한국심리'!$D2016,"")</f>
        <v/>
      </c>
      <c r="W2032">
        <f>IF(AND(ISNUMBER('자료_한국심리'!$G2016),ISNUMBER('자료_한국심리'!$H2016)),'자료_한국심리'!$G2016,"")</f>
        <v/>
      </c>
      <c r="X2032">
        <f>IF(AND(ISNUMBER('자료_한국심리'!$J2016),ISNUMBER('자료_한국심리'!$K2016)),'자료_한국심리'!$J2016,"")</f>
        <v/>
      </c>
      <c r="Y2032">
        <f>IF(AND(ISNUMBER('자료_한국심리'!$M2016),ISNUMBER('자료_한국심리'!$N2016)),'자료_한국심리'!$M2016,"")</f>
        <v/>
      </c>
    </row>
    <row r="2033">
      <c r="U2033">
        <f>IF(AND(ISNUMBER('자료_한국심리'!$A2017),ISNUMBER('자료_한국심리'!$B2017)),'자료_한국심리'!$A2017,"")</f>
        <v/>
      </c>
      <c r="V2033">
        <f>IF(AND(ISNUMBER('자료_한국심리'!$D2017),ISNUMBER('자료_한국심리'!$E2017)),'자료_한국심리'!$D2017,"")</f>
        <v/>
      </c>
      <c r="W2033">
        <f>IF(AND(ISNUMBER('자료_한국심리'!$G2017),ISNUMBER('자료_한국심리'!$H2017)),'자료_한국심리'!$G2017,"")</f>
        <v/>
      </c>
      <c r="X2033">
        <f>IF(AND(ISNUMBER('자료_한국심리'!$J2017),ISNUMBER('자료_한국심리'!$K2017)),'자료_한국심리'!$J2017,"")</f>
        <v/>
      </c>
      <c r="Y2033">
        <f>IF(AND(ISNUMBER('자료_한국심리'!$M2017),ISNUMBER('자료_한국심리'!$N2017)),'자료_한국심리'!$M2017,"")</f>
        <v/>
      </c>
    </row>
    <row r="2034">
      <c r="U2034">
        <f>IF(AND(ISNUMBER('자료_한국심리'!$A2018),ISNUMBER('자료_한국심리'!$B2018)),'자료_한국심리'!$A2018,"")</f>
        <v/>
      </c>
      <c r="V2034">
        <f>IF(AND(ISNUMBER('자료_한국심리'!$D2018),ISNUMBER('자료_한국심리'!$E2018)),'자료_한국심리'!$D2018,"")</f>
        <v/>
      </c>
      <c r="W2034">
        <f>IF(AND(ISNUMBER('자료_한국심리'!$G2018),ISNUMBER('자료_한국심리'!$H2018)),'자료_한국심리'!$G2018,"")</f>
        <v/>
      </c>
      <c r="X2034">
        <f>IF(AND(ISNUMBER('자료_한국심리'!$J2018),ISNUMBER('자료_한국심리'!$K2018)),'자료_한국심리'!$J2018,"")</f>
        <v/>
      </c>
      <c r="Y2034">
        <f>IF(AND(ISNUMBER('자료_한국심리'!$M2018),ISNUMBER('자료_한국심리'!$N2018)),'자료_한국심리'!$M2018,"")</f>
        <v/>
      </c>
    </row>
    <row r="2035">
      <c r="U2035">
        <f>IF(AND(ISNUMBER('자료_한국심리'!$A2019),ISNUMBER('자료_한국심리'!$B2019)),'자료_한국심리'!$A2019,"")</f>
        <v/>
      </c>
      <c r="V2035">
        <f>IF(AND(ISNUMBER('자료_한국심리'!$D2019),ISNUMBER('자료_한국심리'!$E2019)),'자료_한국심리'!$D2019,"")</f>
        <v/>
      </c>
      <c r="W2035">
        <f>IF(AND(ISNUMBER('자료_한국심리'!$G2019),ISNUMBER('자료_한국심리'!$H2019)),'자료_한국심리'!$G2019,"")</f>
        <v/>
      </c>
      <c r="X2035">
        <f>IF(AND(ISNUMBER('자료_한국심리'!$J2019),ISNUMBER('자료_한국심리'!$K2019)),'자료_한국심리'!$J2019,"")</f>
        <v/>
      </c>
      <c r="Y2035">
        <f>IF(AND(ISNUMBER('자료_한국심리'!$M2019),ISNUMBER('자료_한국심리'!$N2019)),'자료_한국심리'!$M2019,"")</f>
        <v/>
      </c>
    </row>
    <row r="2036">
      <c r="U2036">
        <f>IF(AND(ISNUMBER('자료_한국심리'!$A2020),ISNUMBER('자료_한국심리'!$B2020)),'자료_한국심리'!$A2020,"")</f>
        <v/>
      </c>
      <c r="V2036">
        <f>IF(AND(ISNUMBER('자료_한국심리'!$D2020),ISNUMBER('자료_한국심리'!$E2020)),'자료_한국심리'!$D2020,"")</f>
        <v/>
      </c>
      <c r="W2036">
        <f>IF(AND(ISNUMBER('자료_한국심리'!$G2020),ISNUMBER('자료_한국심리'!$H2020)),'자료_한국심리'!$G2020,"")</f>
        <v/>
      </c>
      <c r="X2036">
        <f>IF(AND(ISNUMBER('자료_한국심리'!$J2020),ISNUMBER('자료_한국심리'!$K2020)),'자료_한국심리'!$J2020,"")</f>
        <v/>
      </c>
      <c r="Y2036">
        <f>IF(AND(ISNUMBER('자료_한국심리'!$M2020),ISNUMBER('자료_한국심리'!$N2020)),'자료_한국심리'!$M2020,"")</f>
        <v/>
      </c>
    </row>
    <row r="2037">
      <c r="U2037">
        <f>IF(AND(ISNUMBER('자료_한국심리'!$A2021),ISNUMBER('자료_한국심리'!$B2021)),'자료_한국심리'!$A2021,"")</f>
        <v/>
      </c>
      <c r="V2037">
        <f>IF(AND(ISNUMBER('자료_한국심리'!$D2021),ISNUMBER('자료_한국심리'!$E2021)),'자료_한국심리'!$D2021,"")</f>
        <v/>
      </c>
      <c r="W2037">
        <f>IF(AND(ISNUMBER('자료_한국심리'!$G2021),ISNUMBER('자료_한국심리'!$H2021)),'자료_한국심리'!$G2021,"")</f>
        <v/>
      </c>
      <c r="X2037">
        <f>IF(AND(ISNUMBER('자료_한국심리'!$J2021),ISNUMBER('자료_한국심리'!$K2021)),'자료_한국심리'!$J2021,"")</f>
        <v/>
      </c>
      <c r="Y2037">
        <f>IF(AND(ISNUMBER('자료_한국심리'!$M2021),ISNUMBER('자료_한국심리'!$N2021)),'자료_한국심리'!$M2021,"")</f>
        <v/>
      </c>
    </row>
    <row r="2038">
      <c r="U2038">
        <f>IF(AND(ISNUMBER('자료_한국심리'!$A2022),ISNUMBER('자료_한국심리'!$B2022)),'자료_한국심리'!$A2022,"")</f>
        <v/>
      </c>
      <c r="V2038">
        <f>IF(AND(ISNUMBER('자료_한국심리'!$D2022),ISNUMBER('자료_한국심리'!$E2022)),'자료_한국심리'!$D2022,"")</f>
        <v/>
      </c>
      <c r="W2038">
        <f>IF(AND(ISNUMBER('자료_한국심리'!$G2022),ISNUMBER('자료_한국심리'!$H2022)),'자료_한국심리'!$G2022,"")</f>
        <v/>
      </c>
      <c r="X2038">
        <f>IF(AND(ISNUMBER('자료_한국심리'!$J2022),ISNUMBER('자료_한국심리'!$K2022)),'자료_한국심리'!$J2022,"")</f>
        <v/>
      </c>
      <c r="Y2038">
        <f>IF(AND(ISNUMBER('자료_한국심리'!$M2022),ISNUMBER('자료_한국심리'!$N2022)),'자료_한국심리'!$M2022,"")</f>
        <v/>
      </c>
    </row>
    <row r="2039">
      <c r="U2039">
        <f>IF(AND(ISNUMBER('자료_한국심리'!$A2023),ISNUMBER('자료_한국심리'!$B2023)),'자료_한국심리'!$A2023,"")</f>
        <v/>
      </c>
      <c r="V2039">
        <f>IF(AND(ISNUMBER('자료_한국심리'!$D2023),ISNUMBER('자료_한국심리'!$E2023)),'자료_한국심리'!$D2023,"")</f>
        <v/>
      </c>
      <c r="W2039">
        <f>IF(AND(ISNUMBER('자료_한국심리'!$G2023),ISNUMBER('자료_한국심리'!$H2023)),'자료_한국심리'!$G2023,"")</f>
        <v/>
      </c>
      <c r="X2039">
        <f>IF(AND(ISNUMBER('자료_한국심리'!$J2023),ISNUMBER('자료_한국심리'!$K2023)),'자료_한국심리'!$J2023,"")</f>
        <v/>
      </c>
      <c r="Y2039">
        <f>IF(AND(ISNUMBER('자료_한국심리'!$M2023),ISNUMBER('자료_한국심리'!$N2023)),'자료_한국심리'!$M2023,"")</f>
        <v/>
      </c>
    </row>
    <row r="2040">
      <c r="U2040">
        <f>IF(AND(ISNUMBER('자료_한국심리'!$A2024),ISNUMBER('자료_한국심리'!$B2024)),'자료_한국심리'!$A2024,"")</f>
        <v/>
      </c>
      <c r="V2040">
        <f>IF(AND(ISNUMBER('자료_한국심리'!$D2024),ISNUMBER('자료_한국심리'!$E2024)),'자료_한국심리'!$D2024,"")</f>
        <v/>
      </c>
      <c r="W2040">
        <f>IF(AND(ISNUMBER('자료_한국심리'!$G2024),ISNUMBER('자료_한국심리'!$H2024)),'자료_한국심리'!$G2024,"")</f>
        <v/>
      </c>
      <c r="X2040">
        <f>IF(AND(ISNUMBER('자료_한국심리'!$J2024),ISNUMBER('자료_한국심리'!$K2024)),'자료_한국심리'!$J2024,"")</f>
        <v/>
      </c>
      <c r="Y2040">
        <f>IF(AND(ISNUMBER('자료_한국심리'!$M2024),ISNUMBER('자료_한국심리'!$N2024)),'자료_한국심리'!$M2024,"")</f>
        <v/>
      </c>
    </row>
    <row r="2041">
      <c r="U2041">
        <f>IF(AND(ISNUMBER('자료_한국심리'!$A2025),ISNUMBER('자료_한국심리'!$B2025)),'자료_한국심리'!$A2025,"")</f>
        <v/>
      </c>
      <c r="V2041">
        <f>IF(AND(ISNUMBER('자료_한국심리'!$D2025),ISNUMBER('자료_한국심리'!$E2025)),'자료_한국심리'!$D2025,"")</f>
        <v/>
      </c>
      <c r="W2041">
        <f>IF(AND(ISNUMBER('자료_한국심리'!$G2025),ISNUMBER('자료_한국심리'!$H2025)),'자료_한국심리'!$G2025,"")</f>
        <v/>
      </c>
      <c r="X2041">
        <f>IF(AND(ISNUMBER('자료_한국심리'!$J2025),ISNUMBER('자료_한국심리'!$K2025)),'자료_한국심리'!$J2025,"")</f>
        <v/>
      </c>
      <c r="Y2041">
        <f>IF(AND(ISNUMBER('자료_한국심리'!$M2025),ISNUMBER('자료_한국심리'!$N2025)),'자료_한국심리'!$M2025,"")</f>
        <v/>
      </c>
    </row>
    <row r="2042">
      <c r="U2042">
        <f>IF(AND(ISNUMBER('자료_한국심리'!$A2026),ISNUMBER('자료_한국심리'!$B2026)),'자료_한국심리'!$A2026,"")</f>
        <v/>
      </c>
      <c r="V2042">
        <f>IF(AND(ISNUMBER('자료_한국심리'!$D2026),ISNUMBER('자료_한국심리'!$E2026)),'자료_한국심리'!$D2026,"")</f>
        <v/>
      </c>
      <c r="W2042">
        <f>IF(AND(ISNUMBER('자료_한국심리'!$G2026),ISNUMBER('자료_한국심리'!$H2026)),'자료_한국심리'!$G2026,"")</f>
        <v/>
      </c>
      <c r="X2042">
        <f>IF(AND(ISNUMBER('자료_한국심리'!$J2026),ISNUMBER('자료_한국심리'!$K2026)),'자료_한국심리'!$J2026,"")</f>
        <v/>
      </c>
      <c r="Y2042">
        <f>IF(AND(ISNUMBER('자료_한국심리'!$M2026),ISNUMBER('자료_한국심리'!$N2026)),'자료_한국심리'!$M2026,"")</f>
        <v/>
      </c>
    </row>
    <row r="2043">
      <c r="U2043">
        <f>IF(AND(ISNUMBER('자료_한국심리'!$A2027),ISNUMBER('자료_한국심리'!$B2027)),'자료_한국심리'!$A2027,"")</f>
        <v/>
      </c>
      <c r="V2043">
        <f>IF(AND(ISNUMBER('자료_한국심리'!$D2027),ISNUMBER('자료_한국심리'!$E2027)),'자료_한국심리'!$D2027,"")</f>
        <v/>
      </c>
      <c r="W2043">
        <f>IF(AND(ISNUMBER('자료_한국심리'!$G2027),ISNUMBER('자료_한국심리'!$H2027)),'자료_한국심리'!$G2027,"")</f>
        <v/>
      </c>
      <c r="X2043">
        <f>IF(AND(ISNUMBER('자료_한국심리'!$J2027),ISNUMBER('자료_한국심리'!$K2027)),'자료_한국심리'!$J2027,"")</f>
        <v/>
      </c>
      <c r="Y2043">
        <f>IF(AND(ISNUMBER('자료_한국심리'!$M2027),ISNUMBER('자료_한국심리'!$N2027)),'자료_한국심리'!$M2027,"")</f>
        <v/>
      </c>
    </row>
    <row r="2044">
      <c r="U2044">
        <f>IF(AND(ISNUMBER('자료_한국심리'!$A2028),ISNUMBER('자료_한국심리'!$B2028)),'자료_한국심리'!$A2028,"")</f>
        <v/>
      </c>
      <c r="V2044">
        <f>IF(AND(ISNUMBER('자료_한국심리'!$D2028),ISNUMBER('자료_한국심리'!$E2028)),'자료_한국심리'!$D2028,"")</f>
        <v/>
      </c>
      <c r="W2044">
        <f>IF(AND(ISNUMBER('자료_한국심리'!$G2028),ISNUMBER('자료_한국심리'!$H2028)),'자료_한국심리'!$G2028,"")</f>
        <v/>
      </c>
      <c r="X2044">
        <f>IF(AND(ISNUMBER('자료_한국심리'!$J2028),ISNUMBER('자료_한국심리'!$K2028)),'자료_한국심리'!$J2028,"")</f>
        <v/>
      </c>
      <c r="Y2044">
        <f>IF(AND(ISNUMBER('자료_한국심리'!$M2028),ISNUMBER('자료_한국심리'!$N2028)),'자료_한국심리'!$M2028,"")</f>
        <v/>
      </c>
    </row>
    <row r="2045">
      <c r="U2045">
        <f>IF(AND(ISNUMBER('자료_한국심리'!$A2029),ISNUMBER('자료_한국심리'!$B2029)),'자료_한국심리'!$A2029,"")</f>
        <v/>
      </c>
      <c r="V2045">
        <f>IF(AND(ISNUMBER('자료_한국심리'!$D2029),ISNUMBER('자료_한국심리'!$E2029)),'자료_한국심리'!$D2029,"")</f>
        <v/>
      </c>
      <c r="W2045">
        <f>IF(AND(ISNUMBER('자료_한국심리'!$G2029),ISNUMBER('자료_한국심리'!$H2029)),'자료_한국심리'!$G2029,"")</f>
        <v/>
      </c>
      <c r="X2045">
        <f>IF(AND(ISNUMBER('자료_한국심리'!$J2029),ISNUMBER('자료_한국심리'!$K2029)),'자료_한국심리'!$J2029,"")</f>
        <v/>
      </c>
      <c r="Y2045">
        <f>IF(AND(ISNUMBER('자료_한국심리'!$M2029),ISNUMBER('자료_한국심리'!$N2029)),'자료_한국심리'!$M2029,"")</f>
        <v/>
      </c>
    </row>
    <row r="2046">
      <c r="U2046">
        <f>IF(AND(ISNUMBER('자료_한국심리'!$A2030),ISNUMBER('자료_한국심리'!$B2030)),'자료_한국심리'!$A2030,"")</f>
        <v/>
      </c>
      <c r="V2046">
        <f>IF(AND(ISNUMBER('자료_한국심리'!$D2030),ISNUMBER('자료_한국심리'!$E2030)),'자료_한국심리'!$D2030,"")</f>
        <v/>
      </c>
      <c r="W2046">
        <f>IF(AND(ISNUMBER('자료_한국심리'!$G2030),ISNUMBER('자료_한국심리'!$H2030)),'자료_한국심리'!$G2030,"")</f>
        <v/>
      </c>
      <c r="X2046">
        <f>IF(AND(ISNUMBER('자료_한국심리'!$J2030),ISNUMBER('자료_한국심리'!$K2030)),'자료_한국심리'!$J2030,"")</f>
        <v/>
      </c>
      <c r="Y2046">
        <f>IF(AND(ISNUMBER('자료_한국심리'!$M2030),ISNUMBER('자료_한국심리'!$N2030)),'자료_한국심리'!$M2030,"")</f>
        <v/>
      </c>
    </row>
    <row r="2047">
      <c r="U2047">
        <f>IF(AND(ISNUMBER('자료_한국심리'!$A2031),ISNUMBER('자료_한국심리'!$B2031)),'자료_한국심리'!$A2031,"")</f>
        <v/>
      </c>
      <c r="V2047">
        <f>IF(AND(ISNUMBER('자료_한국심리'!$D2031),ISNUMBER('자료_한국심리'!$E2031)),'자료_한국심리'!$D2031,"")</f>
        <v/>
      </c>
      <c r="W2047">
        <f>IF(AND(ISNUMBER('자료_한국심리'!$G2031),ISNUMBER('자료_한국심리'!$H2031)),'자료_한국심리'!$G2031,"")</f>
        <v/>
      </c>
      <c r="X2047">
        <f>IF(AND(ISNUMBER('자료_한국심리'!$J2031),ISNUMBER('자료_한국심리'!$K2031)),'자료_한국심리'!$J2031,"")</f>
        <v/>
      </c>
      <c r="Y2047">
        <f>IF(AND(ISNUMBER('자료_한국심리'!$M2031),ISNUMBER('자료_한국심리'!$N2031)),'자료_한국심리'!$M2031,"")</f>
        <v/>
      </c>
    </row>
    <row r="2048">
      <c r="U2048">
        <f>IF(AND(ISNUMBER('자료_한국심리'!$A2032),ISNUMBER('자료_한국심리'!$B2032)),'자료_한국심리'!$A2032,"")</f>
        <v/>
      </c>
      <c r="V2048">
        <f>IF(AND(ISNUMBER('자료_한국심리'!$D2032),ISNUMBER('자료_한국심리'!$E2032)),'자료_한국심리'!$D2032,"")</f>
        <v/>
      </c>
      <c r="W2048">
        <f>IF(AND(ISNUMBER('자료_한국심리'!$G2032),ISNUMBER('자료_한국심리'!$H2032)),'자료_한국심리'!$G2032,"")</f>
        <v/>
      </c>
      <c r="X2048">
        <f>IF(AND(ISNUMBER('자료_한국심리'!$J2032),ISNUMBER('자료_한국심리'!$K2032)),'자료_한국심리'!$J2032,"")</f>
        <v/>
      </c>
      <c r="Y2048">
        <f>IF(AND(ISNUMBER('자료_한국심리'!$M2032),ISNUMBER('자료_한국심리'!$N2032)),'자료_한국심리'!$M2032,"")</f>
        <v/>
      </c>
    </row>
    <row r="2049">
      <c r="U2049">
        <f>IF(AND(ISNUMBER('자료_한국심리'!$A2033),ISNUMBER('자료_한국심리'!$B2033)),'자료_한국심리'!$A2033,"")</f>
        <v/>
      </c>
      <c r="V2049">
        <f>IF(AND(ISNUMBER('자료_한국심리'!$D2033),ISNUMBER('자료_한국심리'!$E2033)),'자료_한국심리'!$D2033,"")</f>
        <v/>
      </c>
      <c r="W2049">
        <f>IF(AND(ISNUMBER('자료_한국심리'!$G2033),ISNUMBER('자료_한국심리'!$H2033)),'자료_한국심리'!$G2033,"")</f>
        <v/>
      </c>
      <c r="X2049">
        <f>IF(AND(ISNUMBER('자료_한국심리'!$J2033),ISNUMBER('자료_한국심리'!$K2033)),'자료_한국심리'!$J2033,"")</f>
        <v/>
      </c>
      <c r="Y2049">
        <f>IF(AND(ISNUMBER('자료_한국심리'!$M2033),ISNUMBER('자료_한국심리'!$N2033)),'자료_한국심리'!$M2033,"")</f>
        <v/>
      </c>
    </row>
    <row r="2050">
      <c r="U2050">
        <f>IF(AND(ISNUMBER('자료_한국심리'!$A2034),ISNUMBER('자료_한국심리'!$B2034)),'자료_한국심리'!$A2034,"")</f>
        <v/>
      </c>
      <c r="V2050">
        <f>IF(AND(ISNUMBER('자료_한국심리'!$D2034),ISNUMBER('자료_한국심리'!$E2034)),'자료_한국심리'!$D2034,"")</f>
        <v/>
      </c>
      <c r="W2050">
        <f>IF(AND(ISNUMBER('자료_한국심리'!$G2034),ISNUMBER('자료_한국심리'!$H2034)),'자료_한국심리'!$G2034,"")</f>
        <v/>
      </c>
      <c r="X2050">
        <f>IF(AND(ISNUMBER('자료_한국심리'!$J2034),ISNUMBER('자료_한국심리'!$K2034)),'자료_한국심리'!$J2034,"")</f>
        <v/>
      </c>
      <c r="Y2050">
        <f>IF(AND(ISNUMBER('자료_한국심리'!$M2034),ISNUMBER('자료_한국심리'!$N2034)),'자료_한국심리'!$M2034,"")</f>
        <v/>
      </c>
    </row>
    <row r="2051">
      <c r="U2051">
        <f>IF(AND(ISNUMBER('자료_한국심리'!$A2035),ISNUMBER('자료_한국심리'!$B2035)),'자료_한국심리'!$A2035,"")</f>
        <v/>
      </c>
      <c r="V2051">
        <f>IF(AND(ISNUMBER('자료_한국심리'!$D2035),ISNUMBER('자료_한국심리'!$E2035)),'자료_한국심리'!$D2035,"")</f>
        <v/>
      </c>
      <c r="W2051">
        <f>IF(AND(ISNUMBER('자료_한국심리'!$G2035),ISNUMBER('자료_한국심리'!$H2035)),'자료_한국심리'!$G2035,"")</f>
        <v/>
      </c>
      <c r="X2051">
        <f>IF(AND(ISNUMBER('자료_한국심리'!$J2035),ISNUMBER('자료_한국심리'!$K2035)),'자료_한국심리'!$J2035,"")</f>
        <v/>
      </c>
      <c r="Y2051">
        <f>IF(AND(ISNUMBER('자료_한국심리'!$M2035),ISNUMBER('자료_한국심리'!$N2035)),'자료_한국심리'!$M2035,"")</f>
        <v/>
      </c>
    </row>
    <row r="2052">
      <c r="U2052">
        <f>IF(AND(ISNUMBER('자료_한국심리'!$A2036),ISNUMBER('자료_한국심리'!$B2036)),'자료_한국심리'!$A2036,"")</f>
        <v/>
      </c>
      <c r="V2052">
        <f>IF(AND(ISNUMBER('자료_한국심리'!$D2036),ISNUMBER('자료_한국심리'!$E2036)),'자료_한국심리'!$D2036,"")</f>
        <v/>
      </c>
      <c r="W2052">
        <f>IF(AND(ISNUMBER('자료_한국심리'!$G2036),ISNUMBER('자료_한국심리'!$H2036)),'자료_한국심리'!$G2036,"")</f>
        <v/>
      </c>
      <c r="X2052">
        <f>IF(AND(ISNUMBER('자료_한국심리'!$J2036),ISNUMBER('자료_한국심리'!$K2036)),'자료_한국심리'!$J2036,"")</f>
        <v/>
      </c>
      <c r="Y2052">
        <f>IF(AND(ISNUMBER('자료_한국심리'!$M2036),ISNUMBER('자료_한국심리'!$N2036)),'자료_한국심리'!$M2036,"")</f>
        <v/>
      </c>
    </row>
    <row r="2053">
      <c r="U2053">
        <f>IF(AND(ISNUMBER('자료_한국심리'!$A2037),ISNUMBER('자료_한국심리'!$B2037)),'자료_한국심리'!$A2037,"")</f>
        <v/>
      </c>
      <c r="V2053">
        <f>IF(AND(ISNUMBER('자료_한국심리'!$D2037),ISNUMBER('자료_한국심리'!$E2037)),'자료_한국심리'!$D2037,"")</f>
        <v/>
      </c>
      <c r="W2053">
        <f>IF(AND(ISNUMBER('자료_한국심리'!$G2037),ISNUMBER('자료_한국심리'!$H2037)),'자료_한국심리'!$G2037,"")</f>
        <v/>
      </c>
      <c r="X2053">
        <f>IF(AND(ISNUMBER('자료_한국심리'!$J2037),ISNUMBER('자료_한국심리'!$K2037)),'자료_한국심리'!$J2037,"")</f>
        <v/>
      </c>
      <c r="Y2053">
        <f>IF(AND(ISNUMBER('자료_한국심리'!$M2037),ISNUMBER('자료_한국심리'!$N2037)),'자료_한국심리'!$M2037,"")</f>
        <v/>
      </c>
    </row>
    <row r="2054">
      <c r="U2054">
        <f>IF(AND(ISNUMBER('자료_한국심리'!$A2038),ISNUMBER('자료_한국심리'!$B2038)),'자료_한국심리'!$A2038,"")</f>
        <v/>
      </c>
      <c r="V2054">
        <f>IF(AND(ISNUMBER('자료_한국심리'!$D2038),ISNUMBER('자료_한국심리'!$E2038)),'자료_한국심리'!$D2038,"")</f>
        <v/>
      </c>
      <c r="W2054">
        <f>IF(AND(ISNUMBER('자료_한국심리'!$G2038),ISNUMBER('자료_한국심리'!$H2038)),'자료_한국심리'!$G2038,"")</f>
        <v/>
      </c>
      <c r="X2054">
        <f>IF(AND(ISNUMBER('자료_한국심리'!$J2038),ISNUMBER('자료_한국심리'!$K2038)),'자료_한국심리'!$J2038,"")</f>
        <v/>
      </c>
      <c r="Y2054">
        <f>IF(AND(ISNUMBER('자료_한국심리'!$M2038),ISNUMBER('자료_한국심리'!$N2038)),'자료_한국심리'!$M2038,"")</f>
        <v/>
      </c>
    </row>
    <row r="2055">
      <c r="U2055">
        <f>IF(AND(ISNUMBER('자료_한국심리'!$A2039),ISNUMBER('자료_한국심리'!$B2039)),'자료_한국심리'!$A2039,"")</f>
        <v/>
      </c>
      <c r="V2055">
        <f>IF(AND(ISNUMBER('자료_한국심리'!$D2039),ISNUMBER('자료_한국심리'!$E2039)),'자료_한국심리'!$D2039,"")</f>
        <v/>
      </c>
      <c r="W2055">
        <f>IF(AND(ISNUMBER('자료_한국심리'!$G2039),ISNUMBER('자료_한국심리'!$H2039)),'자료_한국심리'!$G2039,"")</f>
        <v/>
      </c>
      <c r="X2055">
        <f>IF(AND(ISNUMBER('자료_한국심리'!$J2039),ISNUMBER('자료_한국심리'!$K2039)),'자료_한국심리'!$J2039,"")</f>
        <v/>
      </c>
      <c r="Y2055">
        <f>IF(AND(ISNUMBER('자료_한국심리'!$M2039),ISNUMBER('자료_한국심리'!$N2039)),'자료_한국심리'!$M2039,"")</f>
        <v/>
      </c>
    </row>
    <row r="2056">
      <c r="U2056">
        <f>IF(AND(ISNUMBER('자료_한국심리'!$A2040),ISNUMBER('자료_한국심리'!$B2040)),'자료_한국심리'!$A2040,"")</f>
        <v/>
      </c>
      <c r="V2056">
        <f>IF(AND(ISNUMBER('자료_한국심리'!$D2040),ISNUMBER('자료_한국심리'!$E2040)),'자료_한국심리'!$D2040,"")</f>
        <v/>
      </c>
      <c r="W2056">
        <f>IF(AND(ISNUMBER('자료_한국심리'!$G2040),ISNUMBER('자료_한국심리'!$H2040)),'자료_한국심리'!$G2040,"")</f>
        <v/>
      </c>
      <c r="X2056">
        <f>IF(AND(ISNUMBER('자료_한국심리'!$J2040),ISNUMBER('자료_한국심리'!$K2040)),'자료_한국심리'!$J2040,"")</f>
        <v/>
      </c>
      <c r="Y2056">
        <f>IF(AND(ISNUMBER('자료_한국심리'!$M2040),ISNUMBER('자료_한국심리'!$N2040)),'자료_한국심리'!$M2040,"")</f>
        <v/>
      </c>
    </row>
    <row r="2057">
      <c r="U2057">
        <f>IF(AND(ISNUMBER('자료_한국심리'!$A2041),ISNUMBER('자료_한국심리'!$B2041)),'자료_한국심리'!$A2041,"")</f>
        <v/>
      </c>
      <c r="V2057">
        <f>IF(AND(ISNUMBER('자료_한국심리'!$D2041),ISNUMBER('자료_한국심리'!$E2041)),'자료_한국심리'!$D2041,"")</f>
        <v/>
      </c>
      <c r="W2057">
        <f>IF(AND(ISNUMBER('자료_한국심리'!$G2041),ISNUMBER('자료_한국심리'!$H2041)),'자료_한국심리'!$G2041,"")</f>
        <v/>
      </c>
      <c r="X2057">
        <f>IF(AND(ISNUMBER('자료_한국심리'!$J2041),ISNUMBER('자료_한국심리'!$K2041)),'자료_한국심리'!$J2041,"")</f>
        <v/>
      </c>
      <c r="Y2057">
        <f>IF(AND(ISNUMBER('자료_한국심리'!$M2041),ISNUMBER('자료_한국심리'!$N2041)),'자료_한국심리'!$M2041,"")</f>
        <v/>
      </c>
    </row>
    <row r="2058">
      <c r="U2058">
        <f>IF(AND(ISNUMBER('자료_한국심리'!$A2042),ISNUMBER('자료_한국심리'!$B2042)),'자료_한국심리'!$A2042,"")</f>
        <v/>
      </c>
      <c r="V2058">
        <f>IF(AND(ISNUMBER('자료_한국심리'!$D2042),ISNUMBER('자료_한국심리'!$E2042)),'자료_한국심리'!$D2042,"")</f>
        <v/>
      </c>
      <c r="W2058">
        <f>IF(AND(ISNUMBER('자료_한국심리'!$G2042),ISNUMBER('자료_한국심리'!$H2042)),'자료_한국심리'!$G2042,"")</f>
        <v/>
      </c>
      <c r="X2058">
        <f>IF(AND(ISNUMBER('자료_한국심리'!$J2042),ISNUMBER('자료_한국심리'!$K2042)),'자료_한국심리'!$J2042,"")</f>
        <v/>
      </c>
      <c r="Y2058">
        <f>IF(AND(ISNUMBER('자료_한국심리'!$M2042),ISNUMBER('자료_한국심리'!$N2042)),'자료_한국심리'!$M2042,"")</f>
        <v/>
      </c>
    </row>
    <row r="2059">
      <c r="U2059">
        <f>IF(AND(ISNUMBER('자료_한국심리'!$A2043),ISNUMBER('자료_한국심리'!$B2043)),'자료_한국심리'!$A2043,"")</f>
        <v/>
      </c>
      <c r="V2059">
        <f>IF(AND(ISNUMBER('자료_한국심리'!$D2043),ISNUMBER('자료_한국심리'!$E2043)),'자료_한국심리'!$D2043,"")</f>
        <v/>
      </c>
      <c r="W2059">
        <f>IF(AND(ISNUMBER('자료_한국심리'!$G2043),ISNUMBER('자료_한국심리'!$H2043)),'자료_한국심리'!$G2043,"")</f>
        <v/>
      </c>
      <c r="X2059">
        <f>IF(AND(ISNUMBER('자료_한국심리'!$J2043),ISNUMBER('자료_한국심리'!$K2043)),'자료_한국심리'!$J2043,"")</f>
        <v/>
      </c>
      <c r="Y2059">
        <f>IF(AND(ISNUMBER('자료_한국심리'!$M2043),ISNUMBER('자료_한국심리'!$N2043)),'자료_한국심리'!$M2043,"")</f>
        <v/>
      </c>
    </row>
    <row r="2060">
      <c r="U2060">
        <f>IF(AND(ISNUMBER('자료_한국심리'!$A2044),ISNUMBER('자료_한국심리'!$B2044)),'자료_한국심리'!$A2044,"")</f>
        <v/>
      </c>
      <c r="V2060">
        <f>IF(AND(ISNUMBER('자료_한국심리'!$D2044),ISNUMBER('자료_한국심리'!$E2044)),'자료_한국심리'!$D2044,"")</f>
        <v/>
      </c>
      <c r="W2060">
        <f>IF(AND(ISNUMBER('자료_한국심리'!$G2044),ISNUMBER('자료_한국심리'!$H2044)),'자료_한국심리'!$G2044,"")</f>
        <v/>
      </c>
      <c r="X2060">
        <f>IF(AND(ISNUMBER('자료_한국심리'!$J2044),ISNUMBER('자료_한국심리'!$K2044)),'자료_한국심리'!$J2044,"")</f>
        <v/>
      </c>
      <c r="Y2060">
        <f>IF(AND(ISNUMBER('자료_한국심리'!$M2044),ISNUMBER('자료_한국심리'!$N2044)),'자료_한국심리'!$M2044,"")</f>
        <v/>
      </c>
    </row>
    <row r="2061">
      <c r="U2061">
        <f>IF(AND(ISNUMBER('자료_한국심리'!$A2045),ISNUMBER('자료_한국심리'!$B2045)),'자료_한국심리'!$A2045,"")</f>
        <v/>
      </c>
      <c r="V2061">
        <f>IF(AND(ISNUMBER('자료_한국심리'!$D2045),ISNUMBER('자료_한국심리'!$E2045)),'자료_한국심리'!$D2045,"")</f>
        <v/>
      </c>
      <c r="W2061">
        <f>IF(AND(ISNUMBER('자료_한국심리'!$G2045),ISNUMBER('자료_한국심리'!$H2045)),'자료_한국심리'!$G2045,"")</f>
        <v/>
      </c>
      <c r="X2061">
        <f>IF(AND(ISNUMBER('자료_한국심리'!$J2045),ISNUMBER('자료_한국심리'!$K2045)),'자료_한국심리'!$J2045,"")</f>
        <v/>
      </c>
      <c r="Y2061">
        <f>IF(AND(ISNUMBER('자료_한국심리'!$M2045),ISNUMBER('자료_한국심리'!$N2045)),'자료_한국심리'!$M2045,"")</f>
        <v/>
      </c>
    </row>
    <row r="2062">
      <c r="U2062">
        <f>IF(AND(ISNUMBER('자료_한국심리'!$A2046),ISNUMBER('자료_한국심리'!$B2046)),'자료_한국심리'!$A2046,"")</f>
        <v/>
      </c>
      <c r="V2062">
        <f>IF(AND(ISNUMBER('자료_한국심리'!$D2046),ISNUMBER('자료_한국심리'!$E2046)),'자료_한국심리'!$D2046,"")</f>
        <v/>
      </c>
      <c r="W2062">
        <f>IF(AND(ISNUMBER('자료_한국심리'!$G2046),ISNUMBER('자료_한국심리'!$H2046)),'자료_한국심리'!$G2046,"")</f>
        <v/>
      </c>
      <c r="X2062">
        <f>IF(AND(ISNUMBER('자료_한국심리'!$J2046),ISNUMBER('자료_한국심리'!$K2046)),'자료_한국심리'!$J2046,"")</f>
        <v/>
      </c>
      <c r="Y2062">
        <f>IF(AND(ISNUMBER('자료_한국심리'!$M2046),ISNUMBER('자료_한국심리'!$N2046)),'자료_한국심리'!$M2046,"")</f>
        <v/>
      </c>
    </row>
    <row r="2063">
      <c r="U2063">
        <f>IF(AND(ISNUMBER('자료_한국심리'!$A2047),ISNUMBER('자료_한국심리'!$B2047)),'자료_한국심리'!$A2047,"")</f>
        <v/>
      </c>
      <c r="V2063">
        <f>IF(AND(ISNUMBER('자료_한국심리'!$D2047),ISNUMBER('자료_한국심리'!$E2047)),'자료_한국심리'!$D2047,"")</f>
        <v/>
      </c>
      <c r="W2063">
        <f>IF(AND(ISNUMBER('자료_한국심리'!$G2047),ISNUMBER('자료_한국심리'!$H2047)),'자료_한국심리'!$G2047,"")</f>
        <v/>
      </c>
      <c r="X2063">
        <f>IF(AND(ISNUMBER('자료_한국심리'!$J2047),ISNUMBER('자료_한국심리'!$K2047)),'자료_한국심리'!$J2047,"")</f>
        <v/>
      </c>
      <c r="Y2063">
        <f>IF(AND(ISNUMBER('자료_한국심리'!$M2047),ISNUMBER('자료_한국심리'!$N2047)),'자료_한국심리'!$M2047,"")</f>
        <v/>
      </c>
    </row>
    <row r="2064">
      <c r="U2064">
        <f>IF(AND(ISNUMBER('자료_한국심리'!$A2048),ISNUMBER('자료_한국심리'!$B2048)),'자료_한국심리'!$A2048,"")</f>
        <v/>
      </c>
      <c r="V2064">
        <f>IF(AND(ISNUMBER('자료_한국심리'!$D2048),ISNUMBER('자료_한국심리'!$E2048)),'자료_한국심리'!$D2048,"")</f>
        <v/>
      </c>
      <c r="W2064">
        <f>IF(AND(ISNUMBER('자료_한국심리'!$G2048),ISNUMBER('자료_한국심리'!$H2048)),'자료_한국심리'!$G2048,"")</f>
        <v/>
      </c>
      <c r="X2064">
        <f>IF(AND(ISNUMBER('자료_한국심리'!$J2048),ISNUMBER('자료_한국심리'!$K2048)),'자료_한국심리'!$J2048,"")</f>
        <v/>
      </c>
      <c r="Y2064">
        <f>IF(AND(ISNUMBER('자료_한국심리'!$M2048),ISNUMBER('자료_한국심리'!$N2048)),'자료_한국심리'!$M2048,"")</f>
        <v/>
      </c>
    </row>
    <row r="2065">
      <c r="U2065">
        <f>IF(AND(ISNUMBER('자료_한국심리'!$A2049),ISNUMBER('자료_한국심리'!$B2049)),'자료_한국심리'!$A2049,"")</f>
        <v/>
      </c>
      <c r="V2065">
        <f>IF(AND(ISNUMBER('자료_한국심리'!$D2049),ISNUMBER('자료_한국심리'!$E2049)),'자료_한국심리'!$D2049,"")</f>
        <v/>
      </c>
      <c r="W2065">
        <f>IF(AND(ISNUMBER('자료_한국심리'!$G2049),ISNUMBER('자료_한국심리'!$H2049)),'자료_한국심리'!$G2049,"")</f>
        <v/>
      </c>
      <c r="X2065">
        <f>IF(AND(ISNUMBER('자료_한국심리'!$J2049),ISNUMBER('자료_한국심리'!$K2049)),'자료_한국심리'!$J2049,"")</f>
        <v/>
      </c>
      <c r="Y2065">
        <f>IF(AND(ISNUMBER('자료_한국심리'!$M2049),ISNUMBER('자료_한국심리'!$N2049)),'자료_한국심리'!$M2049,"")</f>
        <v/>
      </c>
    </row>
    <row r="2066">
      <c r="U2066">
        <f>IF(AND(ISNUMBER('자료_한국심리'!$A2050),ISNUMBER('자료_한국심리'!$B2050)),'자료_한국심리'!$A2050,"")</f>
        <v/>
      </c>
      <c r="V2066">
        <f>IF(AND(ISNUMBER('자료_한국심리'!$D2050),ISNUMBER('자료_한국심리'!$E2050)),'자료_한국심리'!$D2050,"")</f>
        <v/>
      </c>
      <c r="W2066">
        <f>IF(AND(ISNUMBER('자료_한국심리'!$G2050),ISNUMBER('자료_한국심리'!$H2050)),'자료_한국심리'!$G2050,"")</f>
        <v/>
      </c>
      <c r="X2066">
        <f>IF(AND(ISNUMBER('자료_한국심리'!$J2050),ISNUMBER('자료_한국심리'!$K2050)),'자료_한국심리'!$J2050,"")</f>
        <v/>
      </c>
      <c r="Y2066">
        <f>IF(AND(ISNUMBER('자료_한국심리'!$M2050),ISNUMBER('자료_한국심리'!$N2050)),'자료_한국심리'!$M2050,"")</f>
        <v/>
      </c>
    </row>
    <row r="2067">
      <c r="U2067">
        <f>IF(AND(ISNUMBER('자료_한국심리'!$A2051),ISNUMBER('자료_한국심리'!$B2051)),'자료_한국심리'!$A2051,"")</f>
        <v/>
      </c>
      <c r="V2067">
        <f>IF(AND(ISNUMBER('자료_한국심리'!$D2051),ISNUMBER('자료_한국심리'!$E2051)),'자료_한국심리'!$D2051,"")</f>
        <v/>
      </c>
      <c r="W2067">
        <f>IF(AND(ISNUMBER('자료_한국심리'!$G2051),ISNUMBER('자료_한국심리'!$H2051)),'자료_한국심리'!$G2051,"")</f>
        <v/>
      </c>
      <c r="X2067">
        <f>IF(AND(ISNUMBER('자료_한국심리'!$J2051),ISNUMBER('자료_한국심리'!$K2051)),'자료_한국심리'!$J2051,"")</f>
        <v/>
      </c>
      <c r="Y2067">
        <f>IF(AND(ISNUMBER('자료_한국심리'!$M2051),ISNUMBER('자료_한국심리'!$N2051)),'자료_한국심리'!$M2051,"")</f>
        <v/>
      </c>
    </row>
    <row r="2068">
      <c r="U2068">
        <f>IF(AND(ISNUMBER('자료_한국심리'!$A2052),ISNUMBER('자료_한국심리'!$B2052)),'자료_한국심리'!$A2052,"")</f>
        <v/>
      </c>
      <c r="V2068">
        <f>IF(AND(ISNUMBER('자료_한국심리'!$D2052),ISNUMBER('자료_한국심리'!$E2052)),'자료_한국심리'!$D2052,"")</f>
        <v/>
      </c>
      <c r="W2068">
        <f>IF(AND(ISNUMBER('자료_한국심리'!$G2052),ISNUMBER('자료_한국심리'!$H2052)),'자료_한국심리'!$G2052,"")</f>
        <v/>
      </c>
      <c r="X2068">
        <f>IF(AND(ISNUMBER('자료_한국심리'!$J2052),ISNUMBER('자료_한국심리'!$K2052)),'자료_한국심리'!$J2052,"")</f>
        <v/>
      </c>
      <c r="Y2068">
        <f>IF(AND(ISNUMBER('자료_한국심리'!$M2052),ISNUMBER('자료_한국심리'!$N2052)),'자료_한국심리'!$M2052,"")</f>
        <v/>
      </c>
    </row>
    <row r="2069">
      <c r="U2069">
        <f>IF(AND(ISNUMBER('자료_한국심리'!$A2053),ISNUMBER('자료_한국심리'!$B2053)),'자료_한국심리'!$A2053,"")</f>
        <v/>
      </c>
      <c r="V2069">
        <f>IF(AND(ISNUMBER('자료_한국심리'!$D2053),ISNUMBER('자료_한국심리'!$E2053)),'자료_한국심리'!$D2053,"")</f>
        <v/>
      </c>
      <c r="W2069">
        <f>IF(AND(ISNUMBER('자료_한국심리'!$G2053),ISNUMBER('자료_한국심리'!$H2053)),'자료_한국심리'!$G2053,"")</f>
        <v/>
      </c>
      <c r="X2069">
        <f>IF(AND(ISNUMBER('자료_한국심리'!$J2053),ISNUMBER('자료_한국심리'!$K2053)),'자료_한국심리'!$J2053,"")</f>
        <v/>
      </c>
      <c r="Y2069">
        <f>IF(AND(ISNUMBER('자료_한국심리'!$M2053),ISNUMBER('자료_한국심리'!$N2053)),'자료_한국심리'!$M2053,"")</f>
        <v/>
      </c>
    </row>
    <row r="2070">
      <c r="U2070">
        <f>IF(AND(ISNUMBER('자료_한국심리'!$A2054),ISNUMBER('자료_한국심리'!$B2054)),'자료_한국심리'!$A2054,"")</f>
        <v/>
      </c>
      <c r="V2070">
        <f>IF(AND(ISNUMBER('자료_한국심리'!$D2054),ISNUMBER('자료_한국심리'!$E2054)),'자료_한국심리'!$D2054,"")</f>
        <v/>
      </c>
      <c r="W2070">
        <f>IF(AND(ISNUMBER('자료_한국심리'!$G2054),ISNUMBER('자료_한국심리'!$H2054)),'자료_한국심리'!$G2054,"")</f>
        <v/>
      </c>
      <c r="X2070">
        <f>IF(AND(ISNUMBER('자료_한국심리'!$J2054),ISNUMBER('자료_한국심리'!$K2054)),'자료_한국심리'!$J2054,"")</f>
        <v/>
      </c>
      <c r="Y2070">
        <f>IF(AND(ISNUMBER('자료_한국심리'!$M2054),ISNUMBER('자료_한국심리'!$N2054)),'자료_한국심리'!$M2054,"")</f>
        <v/>
      </c>
    </row>
    <row r="2071">
      <c r="U2071">
        <f>IF(AND(ISNUMBER('자료_한국심리'!$A2055),ISNUMBER('자료_한국심리'!$B2055)),'자료_한국심리'!$A2055,"")</f>
        <v/>
      </c>
      <c r="V2071">
        <f>IF(AND(ISNUMBER('자료_한국심리'!$D2055),ISNUMBER('자료_한국심리'!$E2055)),'자료_한국심리'!$D2055,"")</f>
        <v/>
      </c>
      <c r="W2071">
        <f>IF(AND(ISNUMBER('자료_한국심리'!$G2055),ISNUMBER('자료_한국심리'!$H2055)),'자료_한국심리'!$G2055,"")</f>
        <v/>
      </c>
      <c r="X2071">
        <f>IF(AND(ISNUMBER('자료_한국심리'!$J2055),ISNUMBER('자료_한국심리'!$K2055)),'자료_한국심리'!$J2055,"")</f>
        <v/>
      </c>
      <c r="Y2071">
        <f>IF(AND(ISNUMBER('자료_한국심리'!$M2055),ISNUMBER('자료_한국심리'!$N2055)),'자료_한국심리'!$M2055,"")</f>
        <v/>
      </c>
    </row>
    <row r="2072">
      <c r="U2072">
        <f>IF(AND(ISNUMBER('자료_한국심리'!$A2056),ISNUMBER('자료_한국심리'!$B2056)),'자료_한국심리'!$A2056,"")</f>
        <v/>
      </c>
      <c r="V2072">
        <f>IF(AND(ISNUMBER('자료_한국심리'!$D2056),ISNUMBER('자료_한국심리'!$E2056)),'자료_한국심리'!$D2056,"")</f>
        <v/>
      </c>
      <c r="W2072">
        <f>IF(AND(ISNUMBER('자료_한국심리'!$G2056),ISNUMBER('자료_한국심리'!$H2056)),'자료_한국심리'!$G2056,"")</f>
        <v/>
      </c>
      <c r="X2072">
        <f>IF(AND(ISNUMBER('자료_한국심리'!$J2056),ISNUMBER('자료_한국심리'!$K2056)),'자료_한국심리'!$J2056,"")</f>
        <v/>
      </c>
      <c r="Y2072">
        <f>IF(AND(ISNUMBER('자료_한국심리'!$M2056),ISNUMBER('자료_한국심리'!$N2056)),'자료_한국심리'!$M2056,"")</f>
        <v/>
      </c>
    </row>
    <row r="2073">
      <c r="U2073">
        <f>IF(AND(ISNUMBER('자료_한국심리'!$A2057),ISNUMBER('자료_한국심리'!$B2057)),'자료_한국심리'!$A2057,"")</f>
        <v/>
      </c>
      <c r="V2073">
        <f>IF(AND(ISNUMBER('자료_한국심리'!$D2057),ISNUMBER('자료_한국심리'!$E2057)),'자료_한국심리'!$D2057,"")</f>
        <v/>
      </c>
      <c r="W2073">
        <f>IF(AND(ISNUMBER('자료_한국심리'!$G2057),ISNUMBER('자료_한국심리'!$H2057)),'자료_한국심리'!$G2057,"")</f>
        <v/>
      </c>
      <c r="X2073">
        <f>IF(AND(ISNUMBER('자료_한국심리'!$J2057),ISNUMBER('자료_한국심리'!$K2057)),'자료_한국심리'!$J2057,"")</f>
        <v/>
      </c>
      <c r="Y2073">
        <f>IF(AND(ISNUMBER('자료_한국심리'!$M2057),ISNUMBER('자료_한국심리'!$N2057)),'자료_한국심리'!$M2057,"")</f>
        <v/>
      </c>
    </row>
    <row r="2074">
      <c r="U2074">
        <f>IF(AND(ISNUMBER('자료_한국심리'!$A2058),ISNUMBER('자료_한국심리'!$B2058)),'자료_한국심리'!$A2058,"")</f>
        <v/>
      </c>
      <c r="V2074">
        <f>IF(AND(ISNUMBER('자료_한국심리'!$D2058),ISNUMBER('자료_한국심리'!$E2058)),'자료_한국심리'!$D2058,"")</f>
        <v/>
      </c>
      <c r="W2074">
        <f>IF(AND(ISNUMBER('자료_한국심리'!$G2058),ISNUMBER('자료_한국심리'!$H2058)),'자료_한국심리'!$G2058,"")</f>
        <v/>
      </c>
      <c r="X2074">
        <f>IF(AND(ISNUMBER('자료_한국심리'!$J2058),ISNUMBER('자료_한국심리'!$K2058)),'자료_한국심리'!$J2058,"")</f>
        <v/>
      </c>
      <c r="Y2074">
        <f>IF(AND(ISNUMBER('자료_한국심리'!$M2058),ISNUMBER('자료_한국심리'!$N2058)),'자료_한국심리'!$M2058,"")</f>
        <v/>
      </c>
    </row>
    <row r="2075">
      <c r="U2075">
        <f>IF(AND(ISNUMBER('자료_한국심리'!$A2059),ISNUMBER('자료_한국심리'!$B2059)),'자료_한국심리'!$A2059,"")</f>
        <v/>
      </c>
      <c r="V2075">
        <f>IF(AND(ISNUMBER('자료_한국심리'!$D2059),ISNUMBER('자료_한국심리'!$E2059)),'자료_한국심리'!$D2059,"")</f>
        <v/>
      </c>
      <c r="W2075">
        <f>IF(AND(ISNUMBER('자료_한국심리'!$G2059),ISNUMBER('자료_한국심리'!$H2059)),'자료_한국심리'!$G2059,"")</f>
        <v/>
      </c>
      <c r="X2075">
        <f>IF(AND(ISNUMBER('자료_한국심리'!$J2059),ISNUMBER('자료_한국심리'!$K2059)),'자료_한국심리'!$J2059,"")</f>
        <v/>
      </c>
      <c r="Y2075">
        <f>IF(AND(ISNUMBER('자료_한국심리'!$M2059),ISNUMBER('자료_한국심리'!$N2059)),'자료_한국심리'!$M2059,"")</f>
        <v/>
      </c>
    </row>
    <row r="2076">
      <c r="U2076">
        <f>IF(AND(ISNUMBER('자료_한국심리'!$A2060),ISNUMBER('자료_한국심리'!$B2060)),'자료_한국심리'!$A2060,"")</f>
        <v/>
      </c>
      <c r="V2076">
        <f>IF(AND(ISNUMBER('자료_한국심리'!$D2060),ISNUMBER('자료_한국심리'!$E2060)),'자료_한국심리'!$D2060,"")</f>
        <v/>
      </c>
      <c r="W2076">
        <f>IF(AND(ISNUMBER('자료_한국심리'!$G2060),ISNUMBER('자료_한국심리'!$H2060)),'자료_한국심리'!$G2060,"")</f>
        <v/>
      </c>
      <c r="X2076">
        <f>IF(AND(ISNUMBER('자료_한국심리'!$J2060),ISNUMBER('자료_한국심리'!$K2060)),'자료_한국심리'!$J2060,"")</f>
        <v/>
      </c>
      <c r="Y2076">
        <f>IF(AND(ISNUMBER('자료_한국심리'!$M2060),ISNUMBER('자료_한국심리'!$N2060)),'자료_한국심리'!$M2060,"")</f>
        <v/>
      </c>
    </row>
    <row r="2077">
      <c r="U2077">
        <f>IF(AND(ISNUMBER('자료_한국심리'!$A2061),ISNUMBER('자료_한국심리'!$B2061)),'자료_한국심리'!$A2061,"")</f>
        <v/>
      </c>
      <c r="V2077">
        <f>IF(AND(ISNUMBER('자료_한국심리'!$D2061),ISNUMBER('자료_한국심리'!$E2061)),'자료_한국심리'!$D2061,"")</f>
        <v/>
      </c>
      <c r="W2077">
        <f>IF(AND(ISNUMBER('자료_한국심리'!$G2061),ISNUMBER('자료_한국심리'!$H2061)),'자료_한국심리'!$G2061,"")</f>
        <v/>
      </c>
      <c r="X2077">
        <f>IF(AND(ISNUMBER('자료_한국심리'!$J2061),ISNUMBER('자료_한국심리'!$K2061)),'자료_한국심리'!$J2061,"")</f>
        <v/>
      </c>
      <c r="Y2077">
        <f>IF(AND(ISNUMBER('자료_한국심리'!$M2061),ISNUMBER('자료_한국심리'!$N2061)),'자료_한국심리'!$M2061,"")</f>
        <v/>
      </c>
    </row>
    <row r="2078">
      <c r="U2078">
        <f>IF(AND(ISNUMBER('자료_한국심리'!$A2062),ISNUMBER('자료_한국심리'!$B2062)),'자료_한국심리'!$A2062,"")</f>
        <v/>
      </c>
      <c r="V2078">
        <f>IF(AND(ISNUMBER('자료_한국심리'!$D2062),ISNUMBER('자료_한국심리'!$E2062)),'자료_한국심리'!$D2062,"")</f>
        <v/>
      </c>
      <c r="W2078">
        <f>IF(AND(ISNUMBER('자료_한국심리'!$G2062),ISNUMBER('자료_한국심리'!$H2062)),'자료_한국심리'!$G2062,"")</f>
        <v/>
      </c>
      <c r="X2078">
        <f>IF(AND(ISNUMBER('자료_한국심리'!$J2062),ISNUMBER('자료_한국심리'!$K2062)),'자료_한국심리'!$J2062,"")</f>
        <v/>
      </c>
      <c r="Y2078">
        <f>IF(AND(ISNUMBER('자료_한국심리'!$M2062),ISNUMBER('자료_한국심리'!$N2062)),'자료_한국심리'!$M2062,"")</f>
        <v/>
      </c>
    </row>
    <row r="2079">
      <c r="U2079">
        <f>IF(AND(ISNUMBER('자료_한국심리'!$A2063),ISNUMBER('자료_한국심리'!$B2063)),'자료_한국심리'!$A2063,"")</f>
        <v/>
      </c>
      <c r="V2079">
        <f>IF(AND(ISNUMBER('자료_한국심리'!$D2063),ISNUMBER('자료_한국심리'!$E2063)),'자료_한국심리'!$D2063,"")</f>
        <v/>
      </c>
      <c r="W2079">
        <f>IF(AND(ISNUMBER('자료_한국심리'!$G2063),ISNUMBER('자료_한국심리'!$H2063)),'자료_한국심리'!$G2063,"")</f>
        <v/>
      </c>
      <c r="X2079">
        <f>IF(AND(ISNUMBER('자료_한국심리'!$J2063),ISNUMBER('자료_한국심리'!$K2063)),'자료_한국심리'!$J2063,"")</f>
        <v/>
      </c>
      <c r="Y2079">
        <f>IF(AND(ISNUMBER('자료_한국심리'!$M2063),ISNUMBER('자료_한국심리'!$N2063)),'자료_한국심리'!$M2063,"")</f>
        <v/>
      </c>
    </row>
    <row r="2080">
      <c r="U2080">
        <f>IF(AND(ISNUMBER('자료_한국심리'!$A2064),ISNUMBER('자료_한국심리'!$B2064)),'자료_한국심리'!$A2064,"")</f>
        <v/>
      </c>
      <c r="V2080">
        <f>IF(AND(ISNUMBER('자료_한국심리'!$D2064),ISNUMBER('자료_한국심리'!$E2064)),'자료_한국심리'!$D2064,"")</f>
        <v/>
      </c>
      <c r="W2080">
        <f>IF(AND(ISNUMBER('자료_한국심리'!$G2064),ISNUMBER('자료_한국심리'!$H2064)),'자료_한국심리'!$G2064,"")</f>
        <v/>
      </c>
      <c r="X2080">
        <f>IF(AND(ISNUMBER('자료_한국심리'!$J2064),ISNUMBER('자료_한국심리'!$K2064)),'자료_한국심리'!$J2064,"")</f>
        <v/>
      </c>
      <c r="Y2080">
        <f>IF(AND(ISNUMBER('자료_한국심리'!$M2064),ISNUMBER('자료_한국심리'!$N2064)),'자료_한국심리'!$M2064,"")</f>
        <v/>
      </c>
    </row>
    <row r="2081">
      <c r="U2081">
        <f>IF(AND(ISNUMBER('자료_한국심리'!$A2065),ISNUMBER('자료_한국심리'!$B2065)),'자료_한국심리'!$A2065,"")</f>
        <v/>
      </c>
      <c r="V2081">
        <f>IF(AND(ISNUMBER('자료_한국심리'!$D2065),ISNUMBER('자료_한국심리'!$E2065)),'자료_한국심리'!$D2065,"")</f>
        <v/>
      </c>
      <c r="W2081">
        <f>IF(AND(ISNUMBER('자료_한국심리'!$G2065),ISNUMBER('자료_한국심리'!$H2065)),'자료_한국심리'!$G2065,"")</f>
        <v/>
      </c>
      <c r="X2081">
        <f>IF(AND(ISNUMBER('자료_한국심리'!$J2065),ISNUMBER('자료_한국심리'!$K2065)),'자료_한국심리'!$J2065,"")</f>
        <v/>
      </c>
      <c r="Y2081">
        <f>IF(AND(ISNUMBER('자료_한국심리'!$M2065),ISNUMBER('자료_한국심리'!$N2065)),'자료_한국심리'!$M2065,"")</f>
        <v/>
      </c>
    </row>
    <row r="2082">
      <c r="U2082">
        <f>IF(AND(ISNUMBER('자료_한국심리'!$A2066),ISNUMBER('자료_한국심리'!$B2066)),'자료_한국심리'!$A2066,"")</f>
        <v/>
      </c>
      <c r="V2082">
        <f>IF(AND(ISNUMBER('자료_한국심리'!$D2066),ISNUMBER('자료_한국심리'!$E2066)),'자료_한국심리'!$D2066,"")</f>
        <v/>
      </c>
      <c r="W2082">
        <f>IF(AND(ISNUMBER('자료_한국심리'!$G2066),ISNUMBER('자료_한국심리'!$H2066)),'자료_한국심리'!$G2066,"")</f>
        <v/>
      </c>
      <c r="X2082">
        <f>IF(AND(ISNUMBER('자료_한국심리'!$J2066),ISNUMBER('자료_한국심리'!$K2066)),'자료_한국심리'!$J2066,"")</f>
        <v/>
      </c>
      <c r="Y2082">
        <f>IF(AND(ISNUMBER('자료_한국심리'!$M2066),ISNUMBER('자료_한국심리'!$N2066)),'자료_한국심리'!$M2066,"")</f>
        <v/>
      </c>
    </row>
    <row r="2083">
      <c r="U2083">
        <f>IF(AND(ISNUMBER('자료_한국심리'!$A2067),ISNUMBER('자료_한국심리'!$B2067)),'자료_한국심리'!$A2067,"")</f>
        <v/>
      </c>
      <c r="V2083">
        <f>IF(AND(ISNUMBER('자료_한국심리'!$D2067),ISNUMBER('자료_한국심리'!$E2067)),'자료_한국심리'!$D2067,"")</f>
        <v/>
      </c>
      <c r="W2083">
        <f>IF(AND(ISNUMBER('자료_한국심리'!$G2067),ISNUMBER('자료_한국심리'!$H2067)),'자료_한국심리'!$G2067,"")</f>
        <v/>
      </c>
      <c r="X2083">
        <f>IF(AND(ISNUMBER('자료_한국심리'!$J2067),ISNUMBER('자료_한국심리'!$K2067)),'자료_한국심리'!$J2067,"")</f>
        <v/>
      </c>
      <c r="Y2083">
        <f>IF(AND(ISNUMBER('자료_한국심리'!$M2067),ISNUMBER('자료_한국심리'!$N2067)),'자료_한국심리'!$M2067,"")</f>
        <v/>
      </c>
    </row>
    <row r="2084">
      <c r="U2084">
        <f>IF(AND(ISNUMBER('자료_한국심리'!$A2068),ISNUMBER('자료_한국심리'!$B2068)),'자료_한국심리'!$A2068,"")</f>
        <v/>
      </c>
      <c r="V2084">
        <f>IF(AND(ISNUMBER('자료_한국심리'!$D2068),ISNUMBER('자료_한국심리'!$E2068)),'자료_한국심리'!$D2068,"")</f>
        <v/>
      </c>
      <c r="W2084">
        <f>IF(AND(ISNUMBER('자료_한국심리'!$G2068),ISNUMBER('자료_한국심리'!$H2068)),'자료_한국심리'!$G2068,"")</f>
        <v/>
      </c>
      <c r="X2084">
        <f>IF(AND(ISNUMBER('자료_한국심리'!$J2068),ISNUMBER('자료_한국심리'!$K2068)),'자료_한국심리'!$J2068,"")</f>
        <v/>
      </c>
      <c r="Y2084">
        <f>IF(AND(ISNUMBER('자료_한국심리'!$M2068),ISNUMBER('자료_한국심리'!$N2068)),'자료_한국심리'!$M2068,"")</f>
        <v/>
      </c>
    </row>
    <row r="2085">
      <c r="U2085">
        <f>IF(AND(ISNUMBER('자료_한국심리'!$A2069),ISNUMBER('자료_한국심리'!$B2069)),'자료_한국심리'!$A2069,"")</f>
        <v/>
      </c>
      <c r="V2085">
        <f>IF(AND(ISNUMBER('자료_한국심리'!$D2069),ISNUMBER('자료_한국심리'!$E2069)),'자료_한국심리'!$D2069,"")</f>
        <v/>
      </c>
      <c r="W2085">
        <f>IF(AND(ISNUMBER('자료_한국심리'!$G2069),ISNUMBER('자료_한국심리'!$H2069)),'자료_한국심리'!$G2069,"")</f>
        <v/>
      </c>
      <c r="X2085">
        <f>IF(AND(ISNUMBER('자료_한국심리'!$J2069),ISNUMBER('자료_한국심리'!$K2069)),'자료_한국심리'!$J2069,"")</f>
        <v/>
      </c>
      <c r="Y2085">
        <f>IF(AND(ISNUMBER('자료_한국심리'!$M2069),ISNUMBER('자료_한국심리'!$N2069)),'자료_한국심리'!$M2069,"")</f>
        <v/>
      </c>
    </row>
    <row r="2086">
      <c r="U2086">
        <f>IF(AND(ISNUMBER('자료_한국심리'!$A2070),ISNUMBER('자료_한국심리'!$B2070)),'자료_한국심리'!$A2070,"")</f>
        <v/>
      </c>
      <c r="V2086">
        <f>IF(AND(ISNUMBER('자료_한국심리'!$D2070),ISNUMBER('자료_한국심리'!$E2070)),'자료_한국심리'!$D2070,"")</f>
        <v/>
      </c>
      <c r="W2086">
        <f>IF(AND(ISNUMBER('자료_한국심리'!$G2070),ISNUMBER('자료_한국심리'!$H2070)),'자료_한국심리'!$G2070,"")</f>
        <v/>
      </c>
      <c r="X2086">
        <f>IF(AND(ISNUMBER('자료_한국심리'!$J2070),ISNUMBER('자료_한국심리'!$K2070)),'자료_한국심리'!$J2070,"")</f>
        <v/>
      </c>
      <c r="Y2086">
        <f>IF(AND(ISNUMBER('자료_한국심리'!$M2070),ISNUMBER('자료_한국심리'!$N2070)),'자료_한국심리'!$M2070,"")</f>
        <v/>
      </c>
    </row>
    <row r="2087">
      <c r="U2087">
        <f>IF(AND(ISNUMBER('자료_한국심리'!$A2071),ISNUMBER('자료_한국심리'!$B2071)),'자료_한국심리'!$A2071,"")</f>
        <v/>
      </c>
      <c r="V2087">
        <f>IF(AND(ISNUMBER('자료_한국심리'!$D2071),ISNUMBER('자료_한국심리'!$E2071)),'자료_한국심리'!$D2071,"")</f>
        <v/>
      </c>
      <c r="W2087">
        <f>IF(AND(ISNUMBER('자료_한국심리'!$G2071),ISNUMBER('자료_한국심리'!$H2071)),'자료_한국심리'!$G2071,"")</f>
        <v/>
      </c>
      <c r="X2087">
        <f>IF(AND(ISNUMBER('자료_한국심리'!$J2071),ISNUMBER('자료_한국심리'!$K2071)),'자료_한국심리'!$J2071,"")</f>
        <v/>
      </c>
      <c r="Y2087">
        <f>IF(AND(ISNUMBER('자료_한국심리'!$M2071),ISNUMBER('자료_한국심리'!$N2071)),'자료_한국심리'!$M2071,"")</f>
        <v/>
      </c>
    </row>
    <row r="2088">
      <c r="U2088">
        <f>IF(AND(ISNUMBER('자료_한국심리'!$A2072),ISNUMBER('자료_한국심리'!$B2072)),'자료_한국심리'!$A2072,"")</f>
        <v/>
      </c>
      <c r="V2088">
        <f>IF(AND(ISNUMBER('자료_한국심리'!$D2072),ISNUMBER('자료_한국심리'!$E2072)),'자료_한국심리'!$D2072,"")</f>
        <v/>
      </c>
      <c r="W2088">
        <f>IF(AND(ISNUMBER('자료_한국심리'!$G2072),ISNUMBER('자료_한국심리'!$H2072)),'자료_한국심리'!$G2072,"")</f>
        <v/>
      </c>
      <c r="X2088">
        <f>IF(AND(ISNUMBER('자료_한국심리'!$J2072),ISNUMBER('자료_한국심리'!$K2072)),'자료_한국심리'!$J2072,"")</f>
        <v/>
      </c>
      <c r="Y2088">
        <f>IF(AND(ISNUMBER('자료_한국심리'!$M2072),ISNUMBER('자료_한국심리'!$N2072)),'자료_한국심리'!$M2072,"")</f>
        <v/>
      </c>
    </row>
    <row r="2089">
      <c r="U2089">
        <f>IF(AND(ISNUMBER('자료_한국심리'!$A2073),ISNUMBER('자료_한국심리'!$B2073)),'자료_한국심리'!$A2073,"")</f>
        <v/>
      </c>
      <c r="V2089">
        <f>IF(AND(ISNUMBER('자료_한국심리'!$D2073),ISNUMBER('자료_한국심리'!$E2073)),'자료_한국심리'!$D2073,"")</f>
        <v/>
      </c>
      <c r="W2089">
        <f>IF(AND(ISNUMBER('자료_한국심리'!$G2073),ISNUMBER('자료_한국심리'!$H2073)),'자료_한국심리'!$G2073,"")</f>
        <v/>
      </c>
      <c r="X2089">
        <f>IF(AND(ISNUMBER('자료_한국심리'!$J2073),ISNUMBER('자료_한국심리'!$K2073)),'자료_한국심리'!$J2073,"")</f>
        <v/>
      </c>
      <c r="Y2089">
        <f>IF(AND(ISNUMBER('자료_한국심리'!$M2073),ISNUMBER('자료_한국심리'!$N2073)),'자료_한국심리'!$M2073,"")</f>
        <v/>
      </c>
    </row>
    <row r="2090">
      <c r="U2090">
        <f>IF(AND(ISNUMBER('자료_한국심리'!$A2074),ISNUMBER('자료_한국심리'!$B2074)),'자료_한국심리'!$A2074,"")</f>
        <v/>
      </c>
      <c r="V2090">
        <f>IF(AND(ISNUMBER('자료_한국심리'!$D2074),ISNUMBER('자료_한국심리'!$E2074)),'자료_한국심리'!$D2074,"")</f>
        <v/>
      </c>
      <c r="W2090">
        <f>IF(AND(ISNUMBER('자료_한국심리'!$G2074),ISNUMBER('자료_한국심리'!$H2074)),'자료_한국심리'!$G2074,"")</f>
        <v/>
      </c>
      <c r="X2090">
        <f>IF(AND(ISNUMBER('자료_한국심리'!$J2074),ISNUMBER('자료_한국심리'!$K2074)),'자료_한국심리'!$J2074,"")</f>
        <v/>
      </c>
      <c r="Y2090">
        <f>IF(AND(ISNUMBER('자료_한국심리'!$M2074),ISNUMBER('자료_한국심리'!$N2074)),'자료_한국심리'!$M2074,"")</f>
        <v/>
      </c>
    </row>
    <row r="2091">
      <c r="U2091">
        <f>IF(AND(ISNUMBER('자료_한국심리'!$A2075),ISNUMBER('자료_한국심리'!$B2075)),'자료_한국심리'!$A2075,"")</f>
        <v/>
      </c>
      <c r="V2091">
        <f>IF(AND(ISNUMBER('자료_한국심리'!$D2075),ISNUMBER('자료_한국심리'!$E2075)),'자료_한국심리'!$D2075,"")</f>
        <v/>
      </c>
      <c r="W2091">
        <f>IF(AND(ISNUMBER('자료_한국심리'!$G2075),ISNUMBER('자료_한국심리'!$H2075)),'자료_한국심리'!$G2075,"")</f>
        <v/>
      </c>
      <c r="X2091">
        <f>IF(AND(ISNUMBER('자료_한국심리'!$J2075),ISNUMBER('자료_한국심리'!$K2075)),'자료_한국심리'!$J2075,"")</f>
        <v/>
      </c>
      <c r="Y2091">
        <f>IF(AND(ISNUMBER('자료_한국심리'!$M2075),ISNUMBER('자료_한국심리'!$N2075)),'자료_한국심리'!$M2075,"")</f>
        <v/>
      </c>
    </row>
    <row r="2092">
      <c r="U2092">
        <f>IF(AND(ISNUMBER('자료_한국심리'!$A2076),ISNUMBER('자료_한국심리'!$B2076)),'자료_한국심리'!$A2076,"")</f>
        <v/>
      </c>
      <c r="V2092">
        <f>IF(AND(ISNUMBER('자료_한국심리'!$D2076),ISNUMBER('자료_한국심리'!$E2076)),'자료_한국심리'!$D2076,"")</f>
        <v/>
      </c>
      <c r="W2092">
        <f>IF(AND(ISNUMBER('자료_한국심리'!$G2076),ISNUMBER('자료_한국심리'!$H2076)),'자료_한국심리'!$G2076,"")</f>
        <v/>
      </c>
      <c r="X2092">
        <f>IF(AND(ISNUMBER('자료_한국심리'!$J2076),ISNUMBER('자료_한국심리'!$K2076)),'자료_한국심리'!$J2076,"")</f>
        <v/>
      </c>
      <c r="Y2092">
        <f>IF(AND(ISNUMBER('자료_한국심리'!$M2076),ISNUMBER('자료_한국심리'!$N2076)),'자료_한국심리'!$M2076,"")</f>
        <v/>
      </c>
    </row>
    <row r="2093">
      <c r="U2093">
        <f>IF(AND(ISNUMBER('자료_한국심리'!$A2077),ISNUMBER('자료_한국심리'!$B2077)),'자료_한국심리'!$A2077,"")</f>
        <v/>
      </c>
      <c r="V2093">
        <f>IF(AND(ISNUMBER('자료_한국심리'!$D2077),ISNUMBER('자료_한국심리'!$E2077)),'자료_한국심리'!$D2077,"")</f>
        <v/>
      </c>
      <c r="W2093">
        <f>IF(AND(ISNUMBER('자료_한국심리'!$G2077),ISNUMBER('자료_한국심리'!$H2077)),'자료_한국심리'!$G2077,"")</f>
        <v/>
      </c>
      <c r="X2093">
        <f>IF(AND(ISNUMBER('자료_한국심리'!$J2077),ISNUMBER('자료_한국심리'!$K2077)),'자료_한국심리'!$J2077,"")</f>
        <v/>
      </c>
      <c r="Y2093">
        <f>IF(AND(ISNUMBER('자료_한국심리'!$M2077),ISNUMBER('자료_한국심리'!$N2077)),'자료_한국심리'!$M2077,"")</f>
        <v/>
      </c>
    </row>
    <row r="2094">
      <c r="U2094">
        <f>IF(AND(ISNUMBER('자료_한국심리'!$A2078),ISNUMBER('자료_한국심리'!$B2078)),'자료_한국심리'!$A2078,"")</f>
        <v/>
      </c>
      <c r="V2094">
        <f>IF(AND(ISNUMBER('자료_한국심리'!$D2078),ISNUMBER('자료_한국심리'!$E2078)),'자료_한국심리'!$D2078,"")</f>
        <v/>
      </c>
      <c r="W2094">
        <f>IF(AND(ISNUMBER('자료_한국심리'!$G2078),ISNUMBER('자료_한국심리'!$H2078)),'자료_한국심리'!$G2078,"")</f>
        <v/>
      </c>
      <c r="X2094">
        <f>IF(AND(ISNUMBER('자료_한국심리'!$J2078),ISNUMBER('자료_한국심리'!$K2078)),'자료_한국심리'!$J2078,"")</f>
        <v/>
      </c>
      <c r="Y2094">
        <f>IF(AND(ISNUMBER('자료_한국심리'!$M2078),ISNUMBER('자료_한국심리'!$N2078)),'자료_한국심리'!$M2078,"")</f>
        <v/>
      </c>
    </row>
    <row r="2095">
      <c r="U2095">
        <f>IF(AND(ISNUMBER('자료_한국심리'!$A2079),ISNUMBER('자료_한국심리'!$B2079)),'자료_한국심리'!$A2079,"")</f>
        <v/>
      </c>
      <c r="V2095">
        <f>IF(AND(ISNUMBER('자료_한국심리'!$D2079),ISNUMBER('자료_한국심리'!$E2079)),'자료_한국심리'!$D2079,"")</f>
        <v/>
      </c>
      <c r="W2095">
        <f>IF(AND(ISNUMBER('자료_한국심리'!$G2079),ISNUMBER('자료_한국심리'!$H2079)),'자료_한국심리'!$G2079,"")</f>
        <v/>
      </c>
      <c r="X2095">
        <f>IF(AND(ISNUMBER('자료_한국심리'!$J2079),ISNUMBER('자료_한국심리'!$K2079)),'자료_한국심리'!$J2079,"")</f>
        <v/>
      </c>
      <c r="Y2095">
        <f>IF(AND(ISNUMBER('자료_한국심리'!$M2079),ISNUMBER('자료_한국심리'!$N2079)),'자료_한국심리'!$M2079,"")</f>
        <v/>
      </c>
    </row>
    <row r="2096">
      <c r="U2096">
        <f>IF(AND(ISNUMBER('자료_한국심리'!$A2080),ISNUMBER('자료_한국심리'!$B2080)),'자료_한국심리'!$A2080,"")</f>
        <v/>
      </c>
      <c r="V2096">
        <f>IF(AND(ISNUMBER('자료_한국심리'!$D2080),ISNUMBER('자료_한국심리'!$E2080)),'자료_한국심리'!$D2080,"")</f>
        <v/>
      </c>
      <c r="W2096">
        <f>IF(AND(ISNUMBER('자료_한국심리'!$G2080),ISNUMBER('자료_한국심리'!$H2080)),'자료_한국심리'!$G2080,"")</f>
        <v/>
      </c>
      <c r="X2096">
        <f>IF(AND(ISNUMBER('자료_한국심리'!$J2080),ISNUMBER('자료_한국심리'!$K2080)),'자료_한국심리'!$J2080,"")</f>
        <v/>
      </c>
      <c r="Y2096">
        <f>IF(AND(ISNUMBER('자료_한국심리'!$M2080),ISNUMBER('자료_한국심리'!$N2080)),'자료_한국심리'!$M2080,"")</f>
        <v/>
      </c>
    </row>
    <row r="2097">
      <c r="U2097">
        <f>IF(AND(ISNUMBER('자료_한국심리'!$A2081),ISNUMBER('자료_한국심리'!$B2081)),'자료_한국심리'!$A2081,"")</f>
        <v/>
      </c>
      <c r="V2097">
        <f>IF(AND(ISNUMBER('자료_한국심리'!$D2081),ISNUMBER('자료_한국심리'!$E2081)),'자료_한국심리'!$D2081,"")</f>
        <v/>
      </c>
      <c r="W2097">
        <f>IF(AND(ISNUMBER('자료_한국심리'!$G2081),ISNUMBER('자료_한국심리'!$H2081)),'자료_한국심리'!$G2081,"")</f>
        <v/>
      </c>
      <c r="X2097">
        <f>IF(AND(ISNUMBER('자료_한국심리'!$J2081),ISNUMBER('자료_한국심리'!$K2081)),'자료_한국심리'!$J2081,"")</f>
        <v/>
      </c>
      <c r="Y2097">
        <f>IF(AND(ISNUMBER('자료_한국심리'!$M2081),ISNUMBER('자료_한국심리'!$N2081)),'자료_한국심리'!$M2081,"")</f>
        <v/>
      </c>
    </row>
    <row r="2098">
      <c r="U2098">
        <f>IF(AND(ISNUMBER('자료_한국심리'!$A2082),ISNUMBER('자료_한국심리'!$B2082)),'자료_한국심리'!$A2082,"")</f>
        <v/>
      </c>
      <c r="V2098">
        <f>IF(AND(ISNUMBER('자료_한국심리'!$D2082),ISNUMBER('자료_한국심리'!$E2082)),'자료_한국심리'!$D2082,"")</f>
        <v/>
      </c>
      <c r="W2098">
        <f>IF(AND(ISNUMBER('자료_한국심리'!$G2082),ISNUMBER('자료_한국심리'!$H2082)),'자료_한국심리'!$G2082,"")</f>
        <v/>
      </c>
      <c r="X2098">
        <f>IF(AND(ISNUMBER('자료_한국심리'!$J2082),ISNUMBER('자료_한국심리'!$K2082)),'자료_한국심리'!$J2082,"")</f>
        <v/>
      </c>
      <c r="Y2098">
        <f>IF(AND(ISNUMBER('자료_한국심리'!$M2082),ISNUMBER('자료_한국심리'!$N2082)),'자료_한국심리'!$M2082,"")</f>
        <v/>
      </c>
    </row>
    <row r="2099">
      <c r="U2099">
        <f>IF(AND(ISNUMBER('자료_한국심리'!$A2083),ISNUMBER('자료_한국심리'!$B2083)),'자료_한국심리'!$A2083,"")</f>
        <v/>
      </c>
      <c r="V2099">
        <f>IF(AND(ISNUMBER('자료_한국심리'!$D2083),ISNUMBER('자료_한국심리'!$E2083)),'자료_한국심리'!$D2083,"")</f>
        <v/>
      </c>
      <c r="W2099">
        <f>IF(AND(ISNUMBER('자료_한국심리'!$G2083),ISNUMBER('자료_한국심리'!$H2083)),'자료_한국심리'!$G2083,"")</f>
        <v/>
      </c>
      <c r="X2099">
        <f>IF(AND(ISNUMBER('자료_한국심리'!$J2083),ISNUMBER('자료_한국심리'!$K2083)),'자료_한국심리'!$J2083,"")</f>
        <v/>
      </c>
      <c r="Y2099">
        <f>IF(AND(ISNUMBER('자료_한국심리'!$M2083),ISNUMBER('자료_한국심리'!$N2083)),'자료_한국심리'!$M2083,"")</f>
        <v/>
      </c>
    </row>
    <row r="2100">
      <c r="U2100">
        <f>IF(AND(ISNUMBER('자료_한국심리'!$A2084),ISNUMBER('자료_한국심리'!$B2084)),'자료_한국심리'!$A2084,"")</f>
        <v/>
      </c>
      <c r="V2100">
        <f>IF(AND(ISNUMBER('자료_한국심리'!$D2084),ISNUMBER('자료_한국심리'!$E2084)),'자료_한국심리'!$D2084,"")</f>
        <v/>
      </c>
      <c r="W2100">
        <f>IF(AND(ISNUMBER('자료_한국심리'!$G2084),ISNUMBER('자료_한국심리'!$H2084)),'자료_한국심리'!$G2084,"")</f>
        <v/>
      </c>
      <c r="X2100">
        <f>IF(AND(ISNUMBER('자료_한국심리'!$J2084),ISNUMBER('자료_한국심리'!$K2084)),'자료_한국심리'!$J2084,"")</f>
        <v/>
      </c>
      <c r="Y2100">
        <f>IF(AND(ISNUMBER('자료_한국심리'!$M2084),ISNUMBER('자료_한국심리'!$N2084)),'자료_한국심리'!$M2084,"")</f>
        <v/>
      </c>
    </row>
    <row r="2101">
      <c r="U2101">
        <f>IF(AND(ISNUMBER('자료_한국심리'!$A2085),ISNUMBER('자료_한국심리'!$B2085)),'자료_한국심리'!$A2085,"")</f>
        <v/>
      </c>
      <c r="V2101">
        <f>IF(AND(ISNUMBER('자료_한국심리'!$D2085),ISNUMBER('자료_한국심리'!$E2085)),'자료_한국심리'!$D2085,"")</f>
        <v/>
      </c>
      <c r="W2101">
        <f>IF(AND(ISNUMBER('자료_한국심리'!$G2085),ISNUMBER('자료_한국심리'!$H2085)),'자료_한국심리'!$G2085,"")</f>
        <v/>
      </c>
      <c r="X2101">
        <f>IF(AND(ISNUMBER('자료_한국심리'!$J2085),ISNUMBER('자료_한국심리'!$K2085)),'자료_한국심리'!$J2085,"")</f>
        <v/>
      </c>
      <c r="Y2101">
        <f>IF(AND(ISNUMBER('자료_한국심리'!$M2085),ISNUMBER('자료_한국심리'!$N2085)),'자료_한국심리'!$M2085,"")</f>
        <v/>
      </c>
    </row>
    <row r="2102">
      <c r="U2102">
        <f>IF(AND(ISNUMBER('자료_한국심리'!$A2086),ISNUMBER('자료_한국심리'!$B2086)),'자료_한국심리'!$A2086,"")</f>
        <v/>
      </c>
      <c r="V2102">
        <f>IF(AND(ISNUMBER('자료_한국심리'!$D2086),ISNUMBER('자료_한국심리'!$E2086)),'자료_한국심리'!$D2086,"")</f>
        <v/>
      </c>
      <c r="W2102">
        <f>IF(AND(ISNUMBER('자료_한국심리'!$G2086),ISNUMBER('자료_한국심리'!$H2086)),'자료_한국심리'!$G2086,"")</f>
        <v/>
      </c>
      <c r="X2102">
        <f>IF(AND(ISNUMBER('자료_한국심리'!$J2086),ISNUMBER('자료_한국심리'!$K2086)),'자료_한국심리'!$J2086,"")</f>
        <v/>
      </c>
      <c r="Y2102">
        <f>IF(AND(ISNUMBER('자료_한국심리'!$M2086),ISNUMBER('자료_한국심리'!$N2086)),'자료_한국심리'!$M2086,"")</f>
        <v/>
      </c>
    </row>
    <row r="2103">
      <c r="U2103">
        <f>IF(AND(ISNUMBER('자료_한국심리'!$A2087),ISNUMBER('자료_한국심리'!$B2087)),'자료_한국심리'!$A2087,"")</f>
        <v/>
      </c>
      <c r="V2103">
        <f>IF(AND(ISNUMBER('자료_한국심리'!$D2087),ISNUMBER('자료_한국심리'!$E2087)),'자료_한국심리'!$D2087,"")</f>
        <v/>
      </c>
      <c r="W2103">
        <f>IF(AND(ISNUMBER('자료_한국심리'!$G2087),ISNUMBER('자료_한국심리'!$H2087)),'자료_한국심리'!$G2087,"")</f>
        <v/>
      </c>
      <c r="X2103">
        <f>IF(AND(ISNUMBER('자료_한국심리'!$J2087),ISNUMBER('자료_한국심리'!$K2087)),'자료_한국심리'!$J2087,"")</f>
        <v/>
      </c>
      <c r="Y2103">
        <f>IF(AND(ISNUMBER('자료_한국심리'!$M2087),ISNUMBER('자료_한국심리'!$N2087)),'자료_한국심리'!$M2087,"")</f>
        <v/>
      </c>
    </row>
    <row r="2104">
      <c r="U2104">
        <f>IF(AND(ISNUMBER('자료_한국심리'!$A2088),ISNUMBER('자료_한국심리'!$B2088)),'자료_한국심리'!$A2088,"")</f>
        <v/>
      </c>
      <c r="V2104">
        <f>IF(AND(ISNUMBER('자료_한국심리'!$D2088),ISNUMBER('자료_한국심리'!$E2088)),'자료_한국심리'!$D2088,"")</f>
        <v/>
      </c>
      <c r="W2104">
        <f>IF(AND(ISNUMBER('자료_한국심리'!$G2088),ISNUMBER('자료_한국심리'!$H2088)),'자료_한국심리'!$G2088,"")</f>
        <v/>
      </c>
      <c r="X2104">
        <f>IF(AND(ISNUMBER('자료_한국심리'!$J2088),ISNUMBER('자료_한국심리'!$K2088)),'자료_한국심리'!$J2088,"")</f>
        <v/>
      </c>
      <c r="Y2104">
        <f>IF(AND(ISNUMBER('자료_한국심리'!$M2088),ISNUMBER('자료_한국심리'!$N2088)),'자료_한국심리'!$M2088,"")</f>
        <v/>
      </c>
    </row>
    <row r="2105">
      <c r="U2105">
        <f>IF(AND(ISNUMBER('자료_한국심리'!$A2089),ISNUMBER('자료_한국심리'!$B2089)),'자료_한국심리'!$A2089,"")</f>
        <v/>
      </c>
      <c r="V2105">
        <f>IF(AND(ISNUMBER('자료_한국심리'!$D2089),ISNUMBER('자료_한국심리'!$E2089)),'자료_한국심리'!$D2089,"")</f>
        <v/>
      </c>
      <c r="W2105">
        <f>IF(AND(ISNUMBER('자료_한국심리'!$G2089),ISNUMBER('자료_한국심리'!$H2089)),'자료_한국심리'!$G2089,"")</f>
        <v/>
      </c>
      <c r="X2105">
        <f>IF(AND(ISNUMBER('자료_한국심리'!$J2089),ISNUMBER('자료_한국심리'!$K2089)),'자료_한국심리'!$J2089,"")</f>
        <v/>
      </c>
      <c r="Y2105">
        <f>IF(AND(ISNUMBER('자료_한국심리'!$M2089),ISNUMBER('자료_한국심리'!$N2089)),'자료_한국심리'!$M2089,"")</f>
        <v/>
      </c>
    </row>
    <row r="2106">
      <c r="U2106">
        <f>IF(AND(ISNUMBER('자료_한국심리'!$A2090),ISNUMBER('자료_한국심리'!$B2090)),'자료_한국심리'!$A2090,"")</f>
        <v/>
      </c>
      <c r="V2106">
        <f>IF(AND(ISNUMBER('자료_한국심리'!$D2090),ISNUMBER('자료_한국심리'!$E2090)),'자료_한국심리'!$D2090,"")</f>
        <v/>
      </c>
      <c r="W2106">
        <f>IF(AND(ISNUMBER('자료_한국심리'!$G2090),ISNUMBER('자료_한국심리'!$H2090)),'자료_한국심리'!$G2090,"")</f>
        <v/>
      </c>
      <c r="X2106">
        <f>IF(AND(ISNUMBER('자료_한국심리'!$J2090),ISNUMBER('자료_한국심리'!$K2090)),'자료_한국심리'!$J2090,"")</f>
        <v/>
      </c>
      <c r="Y2106">
        <f>IF(AND(ISNUMBER('자료_한국심리'!$M2090),ISNUMBER('자료_한국심리'!$N2090)),'자료_한국심리'!$M2090,"")</f>
        <v/>
      </c>
    </row>
    <row r="2107">
      <c r="U2107">
        <f>IF(AND(ISNUMBER('자료_한국심리'!$A2091),ISNUMBER('자료_한국심리'!$B2091)),'자료_한국심리'!$A2091,"")</f>
        <v/>
      </c>
      <c r="V2107">
        <f>IF(AND(ISNUMBER('자료_한국심리'!$D2091),ISNUMBER('자료_한국심리'!$E2091)),'자료_한국심리'!$D2091,"")</f>
        <v/>
      </c>
      <c r="W2107">
        <f>IF(AND(ISNUMBER('자료_한국심리'!$G2091),ISNUMBER('자료_한국심리'!$H2091)),'자료_한국심리'!$G2091,"")</f>
        <v/>
      </c>
      <c r="X2107">
        <f>IF(AND(ISNUMBER('자료_한국심리'!$J2091),ISNUMBER('자료_한국심리'!$K2091)),'자료_한국심리'!$J2091,"")</f>
        <v/>
      </c>
      <c r="Y2107">
        <f>IF(AND(ISNUMBER('자료_한국심리'!$M2091),ISNUMBER('자료_한국심리'!$N2091)),'자료_한국심리'!$M2091,"")</f>
        <v/>
      </c>
    </row>
    <row r="2108">
      <c r="U2108">
        <f>IF(AND(ISNUMBER('자료_한국심리'!$A2092),ISNUMBER('자료_한국심리'!$B2092)),'자료_한국심리'!$A2092,"")</f>
        <v/>
      </c>
      <c r="V2108">
        <f>IF(AND(ISNUMBER('자료_한국심리'!$D2092),ISNUMBER('자료_한국심리'!$E2092)),'자료_한국심리'!$D2092,"")</f>
        <v/>
      </c>
      <c r="W2108">
        <f>IF(AND(ISNUMBER('자료_한국심리'!$G2092),ISNUMBER('자료_한국심리'!$H2092)),'자료_한국심리'!$G2092,"")</f>
        <v/>
      </c>
      <c r="X2108">
        <f>IF(AND(ISNUMBER('자료_한국심리'!$J2092),ISNUMBER('자료_한국심리'!$K2092)),'자료_한국심리'!$J2092,"")</f>
        <v/>
      </c>
      <c r="Y2108">
        <f>IF(AND(ISNUMBER('자료_한국심리'!$M2092),ISNUMBER('자료_한국심리'!$N2092)),'자료_한국심리'!$M2092,"")</f>
        <v/>
      </c>
    </row>
    <row r="2109">
      <c r="U2109">
        <f>IF(AND(ISNUMBER('자료_한국심리'!$A2093),ISNUMBER('자료_한국심리'!$B2093)),'자료_한국심리'!$A2093,"")</f>
        <v/>
      </c>
      <c r="V2109">
        <f>IF(AND(ISNUMBER('자료_한국심리'!$D2093),ISNUMBER('자료_한국심리'!$E2093)),'자료_한국심리'!$D2093,"")</f>
        <v/>
      </c>
      <c r="W2109">
        <f>IF(AND(ISNUMBER('자료_한국심리'!$G2093),ISNUMBER('자료_한국심리'!$H2093)),'자료_한국심리'!$G2093,"")</f>
        <v/>
      </c>
      <c r="X2109">
        <f>IF(AND(ISNUMBER('자료_한국심리'!$J2093),ISNUMBER('자료_한국심리'!$K2093)),'자료_한국심리'!$J2093,"")</f>
        <v/>
      </c>
      <c r="Y2109">
        <f>IF(AND(ISNUMBER('자료_한국심리'!$M2093),ISNUMBER('자료_한국심리'!$N2093)),'자료_한국심리'!$M2093,"")</f>
        <v/>
      </c>
    </row>
    <row r="2110">
      <c r="U2110">
        <f>IF(AND(ISNUMBER('자료_한국심리'!$A2094),ISNUMBER('자료_한국심리'!$B2094)),'자료_한국심리'!$A2094,"")</f>
        <v/>
      </c>
      <c r="V2110">
        <f>IF(AND(ISNUMBER('자료_한국심리'!$D2094),ISNUMBER('자료_한국심리'!$E2094)),'자료_한국심리'!$D2094,"")</f>
        <v/>
      </c>
      <c r="W2110">
        <f>IF(AND(ISNUMBER('자료_한국심리'!$G2094),ISNUMBER('자료_한국심리'!$H2094)),'자료_한국심리'!$G2094,"")</f>
        <v/>
      </c>
      <c r="X2110">
        <f>IF(AND(ISNUMBER('자료_한국심리'!$J2094),ISNUMBER('자료_한국심리'!$K2094)),'자료_한국심리'!$J2094,"")</f>
        <v/>
      </c>
      <c r="Y2110">
        <f>IF(AND(ISNUMBER('자료_한국심리'!$M2094),ISNUMBER('자료_한국심리'!$N2094)),'자료_한국심리'!$M2094,"")</f>
        <v/>
      </c>
    </row>
    <row r="2111">
      <c r="U2111">
        <f>IF(AND(ISNUMBER('자료_한국심리'!$A2095),ISNUMBER('자료_한국심리'!$B2095)),'자료_한국심리'!$A2095,"")</f>
        <v/>
      </c>
      <c r="V2111">
        <f>IF(AND(ISNUMBER('자료_한국심리'!$D2095),ISNUMBER('자료_한국심리'!$E2095)),'자료_한국심리'!$D2095,"")</f>
        <v/>
      </c>
      <c r="W2111">
        <f>IF(AND(ISNUMBER('자료_한국심리'!$G2095),ISNUMBER('자료_한국심리'!$H2095)),'자료_한국심리'!$G2095,"")</f>
        <v/>
      </c>
      <c r="X2111">
        <f>IF(AND(ISNUMBER('자료_한국심리'!$J2095),ISNUMBER('자료_한국심리'!$K2095)),'자료_한국심리'!$J2095,"")</f>
        <v/>
      </c>
      <c r="Y2111">
        <f>IF(AND(ISNUMBER('자료_한국심리'!$M2095),ISNUMBER('자료_한국심리'!$N2095)),'자료_한국심리'!$M2095,"")</f>
        <v/>
      </c>
    </row>
    <row r="2112">
      <c r="U2112">
        <f>IF(AND(ISNUMBER('자료_한국심리'!$A2096),ISNUMBER('자료_한국심리'!$B2096)),'자료_한국심리'!$A2096,"")</f>
        <v/>
      </c>
      <c r="V2112">
        <f>IF(AND(ISNUMBER('자료_한국심리'!$D2096),ISNUMBER('자료_한국심리'!$E2096)),'자료_한국심리'!$D2096,"")</f>
        <v/>
      </c>
      <c r="W2112">
        <f>IF(AND(ISNUMBER('자료_한국심리'!$G2096),ISNUMBER('자료_한국심리'!$H2096)),'자료_한국심리'!$G2096,"")</f>
        <v/>
      </c>
      <c r="X2112">
        <f>IF(AND(ISNUMBER('자료_한국심리'!$J2096),ISNUMBER('자료_한국심리'!$K2096)),'자료_한국심리'!$J2096,"")</f>
        <v/>
      </c>
      <c r="Y2112">
        <f>IF(AND(ISNUMBER('자료_한국심리'!$M2096),ISNUMBER('자료_한국심리'!$N2096)),'자료_한국심리'!$M2096,"")</f>
        <v/>
      </c>
    </row>
    <row r="2113">
      <c r="U2113">
        <f>IF(AND(ISNUMBER('자료_한국심리'!$A2097),ISNUMBER('자료_한국심리'!$B2097)),'자료_한국심리'!$A2097,"")</f>
        <v/>
      </c>
      <c r="V2113">
        <f>IF(AND(ISNUMBER('자료_한국심리'!$D2097),ISNUMBER('자료_한국심리'!$E2097)),'자료_한국심리'!$D2097,"")</f>
        <v/>
      </c>
      <c r="W2113">
        <f>IF(AND(ISNUMBER('자료_한국심리'!$G2097),ISNUMBER('자료_한국심리'!$H2097)),'자료_한국심리'!$G2097,"")</f>
        <v/>
      </c>
      <c r="X2113">
        <f>IF(AND(ISNUMBER('자료_한국심리'!$J2097),ISNUMBER('자료_한국심리'!$K2097)),'자료_한국심리'!$J2097,"")</f>
        <v/>
      </c>
      <c r="Y2113">
        <f>IF(AND(ISNUMBER('자료_한국심리'!$M2097),ISNUMBER('자료_한국심리'!$N2097)),'자료_한국심리'!$M2097,"")</f>
        <v/>
      </c>
    </row>
    <row r="2114">
      <c r="U2114">
        <f>IF(AND(ISNUMBER('자료_한국심리'!$A2098),ISNUMBER('자료_한국심리'!$B2098)),'자료_한국심리'!$A2098,"")</f>
        <v/>
      </c>
      <c r="V2114">
        <f>IF(AND(ISNUMBER('자료_한국심리'!$D2098),ISNUMBER('자료_한국심리'!$E2098)),'자료_한국심리'!$D2098,"")</f>
        <v/>
      </c>
      <c r="W2114">
        <f>IF(AND(ISNUMBER('자료_한국심리'!$G2098),ISNUMBER('자료_한국심리'!$H2098)),'자료_한국심리'!$G2098,"")</f>
        <v/>
      </c>
      <c r="X2114">
        <f>IF(AND(ISNUMBER('자료_한국심리'!$J2098),ISNUMBER('자료_한국심리'!$K2098)),'자료_한국심리'!$J2098,"")</f>
        <v/>
      </c>
      <c r="Y2114">
        <f>IF(AND(ISNUMBER('자료_한국심리'!$M2098),ISNUMBER('자료_한국심리'!$N2098)),'자료_한국심리'!$M2098,"")</f>
        <v/>
      </c>
    </row>
    <row r="2115">
      <c r="U2115">
        <f>IF(AND(ISNUMBER('자료_한국심리'!$A2099),ISNUMBER('자료_한국심리'!$B2099)),'자료_한국심리'!$A2099,"")</f>
        <v/>
      </c>
      <c r="V2115">
        <f>IF(AND(ISNUMBER('자료_한국심리'!$D2099),ISNUMBER('자료_한국심리'!$E2099)),'자료_한국심리'!$D2099,"")</f>
        <v/>
      </c>
      <c r="W2115">
        <f>IF(AND(ISNUMBER('자료_한국심리'!$G2099),ISNUMBER('자료_한국심리'!$H2099)),'자료_한국심리'!$G2099,"")</f>
        <v/>
      </c>
      <c r="X2115">
        <f>IF(AND(ISNUMBER('자료_한국심리'!$J2099),ISNUMBER('자료_한국심리'!$K2099)),'자료_한국심리'!$J2099,"")</f>
        <v/>
      </c>
      <c r="Y2115">
        <f>IF(AND(ISNUMBER('자료_한국심리'!$M2099),ISNUMBER('자료_한국심리'!$N2099)),'자료_한국심리'!$M2099,"")</f>
        <v/>
      </c>
    </row>
    <row r="2116">
      <c r="U2116">
        <f>IF(AND(ISNUMBER('자료_한국심리'!$A2100),ISNUMBER('자료_한국심리'!$B2100)),'자료_한국심리'!$A2100,"")</f>
        <v/>
      </c>
      <c r="V2116">
        <f>IF(AND(ISNUMBER('자료_한국심리'!$D2100),ISNUMBER('자료_한국심리'!$E2100)),'자료_한국심리'!$D2100,"")</f>
        <v/>
      </c>
      <c r="W2116">
        <f>IF(AND(ISNUMBER('자료_한국심리'!$G2100),ISNUMBER('자료_한국심리'!$H2100)),'자료_한국심리'!$G2100,"")</f>
        <v/>
      </c>
      <c r="X2116">
        <f>IF(AND(ISNUMBER('자료_한국심리'!$J2100),ISNUMBER('자료_한국심리'!$K2100)),'자료_한국심리'!$J2100,"")</f>
        <v/>
      </c>
      <c r="Y2116">
        <f>IF(AND(ISNUMBER('자료_한국심리'!$M2100),ISNUMBER('자료_한국심리'!$N2100)),'자료_한국심리'!$M2100,"")</f>
        <v/>
      </c>
    </row>
    <row r="2117">
      <c r="U2117">
        <f>IF(AND(ISNUMBER('자료_한국심리'!$A2101),ISNUMBER('자료_한국심리'!$B2101)),'자료_한국심리'!$A2101,"")</f>
        <v/>
      </c>
      <c r="V2117">
        <f>IF(AND(ISNUMBER('자료_한국심리'!$D2101),ISNUMBER('자료_한국심리'!$E2101)),'자료_한국심리'!$D2101,"")</f>
        <v/>
      </c>
      <c r="W2117">
        <f>IF(AND(ISNUMBER('자료_한국심리'!$G2101),ISNUMBER('자료_한국심리'!$H2101)),'자료_한국심리'!$G2101,"")</f>
        <v/>
      </c>
      <c r="X2117">
        <f>IF(AND(ISNUMBER('자료_한국심리'!$J2101),ISNUMBER('자료_한국심리'!$K2101)),'자료_한국심리'!$J2101,"")</f>
        <v/>
      </c>
      <c r="Y2117">
        <f>IF(AND(ISNUMBER('자료_한국심리'!$M2101),ISNUMBER('자료_한국심리'!$N2101)),'자료_한국심리'!$M2101,"")</f>
        <v/>
      </c>
    </row>
    <row r="2118">
      <c r="U2118">
        <f>IF(AND(ISNUMBER('자료_한국심리'!$A2102),ISNUMBER('자료_한국심리'!$B2102)),'자료_한국심리'!$A2102,"")</f>
        <v/>
      </c>
      <c r="V2118">
        <f>IF(AND(ISNUMBER('자료_한국심리'!$D2102),ISNUMBER('자료_한국심리'!$E2102)),'자료_한국심리'!$D2102,"")</f>
        <v/>
      </c>
      <c r="W2118">
        <f>IF(AND(ISNUMBER('자료_한국심리'!$G2102),ISNUMBER('자료_한국심리'!$H2102)),'자료_한국심리'!$G2102,"")</f>
        <v/>
      </c>
      <c r="X2118">
        <f>IF(AND(ISNUMBER('자료_한국심리'!$J2102),ISNUMBER('자료_한국심리'!$K2102)),'자료_한국심리'!$J2102,"")</f>
        <v/>
      </c>
      <c r="Y2118">
        <f>IF(AND(ISNUMBER('자료_한국심리'!$M2102),ISNUMBER('자료_한국심리'!$N2102)),'자료_한국심리'!$M2102,"")</f>
        <v/>
      </c>
    </row>
    <row r="2119">
      <c r="U2119">
        <f>IF(AND(ISNUMBER('자료_한국심리'!$A2103),ISNUMBER('자료_한국심리'!$B2103)),'자료_한국심리'!$A2103,"")</f>
        <v/>
      </c>
      <c r="V2119">
        <f>IF(AND(ISNUMBER('자료_한국심리'!$D2103),ISNUMBER('자료_한국심리'!$E2103)),'자료_한국심리'!$D2103,"")</f>
        <v/>
      </c>
      <c r="W2119">
        <f>IF(AND(ISNUMBER('자료_한국심리'!$G2103),ISNUMBER('자료_한국심리'!$H2103)),'자료_한국심리'!$G2103,"")</f>
        <v/>
      </c>
      <c r="X2119">
        <f>IF(AND(ISNUMBER('자료_한국심리'!$J2103),ISNUMBER('자료_한국심리'!$K2103)),'자료_한국심리'!$J2103,"")</f>
        <v/>
      </c>
      <c r="Y2119">
        <f>IF(AND(ISNUMBER('자료_한국심리'!$M2103),ISNUMBER('자료_한국심리'!$N2103)),'자료_한국심리'!$M2103,"")</f>
        <v/>
      </c>
    </row>
    <row r="2120">
      <c r="U2120">
        <f>IF(AND(ISNUMBER('자료_한국심리'!$A2104),ISNUMBER('자료_한국심리'!$B2104)),'자료_한국심리'!$A2104,"")</f>
        <v/>
      </c>
      <c r="V2120">
        <f>IF(AND(ISNUMBER('자료_한국심리'!$D2104),ISNUMBER('자료_한국심리'!$E2104)),'자료_한국심리'!$D2104,"")</f>
        <v/>
      </c>
      <c r="W2120">
        <f>IF(AND(ISNUMBER('자료_한국심리'!$G2104),ISNUMBER('자료_한국심리'!$H2104)),'자료_한국심리'!$G2104,"")</f>
        <v/>
      </c>
      <c r="X2120">
        <f>IF(AND(ISNUMBER('자료_한국심리'!$J2104),ISNUMBER('자료_한국심리'!$K2104)),'자료_한국심리'!$J2104,"")</f>
        <v/>
      </c>
      <c r="Y2120">
        <f>IF(AND(ISNUMBER('자료_한국심리'!$M2104),ISNUMBER('자료_한국심리'!$N2104)),'자료_한국심리'!$M2104,"")</f>
        <v/>
      </c>
    </row>
    <row r="2121">
      <c r="U2121">
        <f>IF(AND(ISNUMBER('자료_한국심리'!$A2105),ISNUMBER('자료_한국심리'!$B2105)),'자료_한국심리'!$A2105,"")</f>
        <v/>
      </c>
      <c r="V2121">
        <f>IF(AND(ISNUMBER('자료_한국심리'!$D2105),ISNUMBER('자료_한국심리'!$E2105)),'자료_한국심리'!$D2105,"")</f>
        <v/>
      </c>
      <c r="W2121">
        <f>IF(AND(ISNUMBER('자료_한국심리'!$G2105),ISNUMBER('자료_한국심리'!$H2105)),'자료_한국심리'!$G2105,"")</f>
        <v/>
      </c>
      <c r="X2121">
        <f>IF(AND(ISNUMBER('자료_한국심리'!$J2105),ISNUMBER('자료_한국심리'!$K2105)),'자료_한국심리'!$J2105,"")</f>
        <v/>
      </c>
      <c r="Y2121">
        <f>IF(AND(ISNUMBER('자료_한국심리'!$M2105),ISNUMBER('자료_한국심리'!$N2105)),'자료_한국심리'!$M2105,"")</f>
        <v/>
      </c>
    </row>
    <row r="2122">
      <c r="U2122">
        <f>IF(AND(ISNUMBER('자료_한국심리'!$A2106),ISNUMBER('자료_한국심리'!$B2106)),'자료_한국심리'!$A2106,"")</f>
        <v/>
      </c>
      <c r="V2122">
        <f>IF(AND(ISNUMBER('자료_한국심리'!$D2106),ISNUMBER('자료_한국심리'!$E2106)),'자료_한국심리'!$D2106,"")</f>
        <v/>
      </c>
      <c r="W2122">
        <f>IF(AND(ISNUMBER('자료_한국심리'!$G2106),ISNUMBER('자료_한국심리'!$H2106)),'자료_한국심리'!$G2106,"")</f>
        <v/>
      </c>
      <c r="X2122">
        <f>IF(AND(ISNUMBER('자료_한국심리'!$J2106),ISNUMBER('자료_한국심리'!$K2106)),'자료_한국심리'!$J2106,"")</f>
        <v/>
      </c>
      <c r="Y2122">
        <f>IF(AND(ISNUMBER('자료_한국심리'!$M2106),ISNUMBER('자료_한국심리'!$N2106)),'자료_한국심리'!$M2106,"")</f>
        <v/>
      </c>
    </row>
    <row r="2123">
      <c r="U2123">
        <f>IF(AND(ISNUMBER('자료_한국심리'!$A2107),ISNUMBER('자료_한국심리'!$B2107)),'자료_한국심리'!$A2107,"")</f>
        <v/>
      </c>
      <c r="V2123">
        <f>IF(AND(ISNUMBER('자료_한국심리'!$D2107),ISNUMBER('자료_한국심리'!$E2107)),'자료_한국심리'!$D2107,"")</f>
        <v/>
      </c>
      <c r="W2123">
        <f>IF(AND(ISNUMBER('자료_한국심리'!$G2107),ISNUMBER('자료_한국심리'!$H2107)),'자료_한국심리'!$G2107,"")</f>
        <v/>
      </c>
      <c r="X2123">
        <f>IF(AND(ISNUMBER('자료_한국심리'!$J2107),ISNUMBER('자료_한국심리'!$K2107)),'자료_한국심리'!$J2107,"")</f>
        <v/>
      </c>
      <c r="Y2123">
        <f>IF(AND(ISNUMBER('자료_한국심리'!$M2107),ISNUMBER('자료_한국심리'!$N2107)),'자료_한국심리'!$M2107,"")</f>
        <v/>
      </c>
    </row>
    <row r="2124">
      <c r="U2124">
        <f>IF(AND(ISNUMBER('자료_한국심리'!$A2108),ISNUMBER('자료_한국심리'!$B2108)),'자료_한국심리'!$A2108,"")</f>
        <v/>
      </c>
      <c r="V2124">
        <f>IF(AND(ISNUMBER('자료_한국심리'!$D2108),ISNUMBER('자료_한국심리'!$E2108)),'자료_한국심리'!$D2108,"")</f>
        <v/>
      </c>
      <c r="W2124">
        <f>IF(AND(ISNUMBER('자료_한국심리'!$G2108),ISNUMBER('자료_한국심리'!$H2108)),'자료_한국심리'!$G2108,"")</f>
        <v/>
      </c>
      <c r="X2124">
        <f>IF(AND(ISNUMBER('자료_한국심리'!$J2108),ISNUMBER('자료_한국심리'!$K2108)),'자료_한국심리'!$J2108,"")</f>
        <v/>
      </c>
      <c r="Y2124">
        <f>IF(AND(ISNUMBER('자료_한국심리'!$M2108),ISNUMBER('자료_한국심리'!$N2108)),'자료_한국심리'!$M2108,"")</f>
        <v/>
      </c>
    </row>
    <row r="2125">
      <c r="U2125">
        <f>IF(AND(ISNUMBER('자료_한국심리'!$A2109),ISNUMBER('자료_한국심리'!$B2109)),'자료_한국심리'!$A2109,"")</f>
        <v/>
      </c>
      <c r="V2125">
        <f>IF(AND(ISNUMBER('자료_한국심리'!$D2109),ISNUMBER('자료_한국심리'!$E2109)),'자료_한국심리'!$D2109,"")</f>
        <v/>
      </c>
      <c r="W2125">
        <f>IF(AND(ISNUMBER('자료_한국심리'!$G2109),ISNUMBER('자료_한국심리'!$H2109)),'자료_한국심리'!$G2109,"")</f>
        <v/>
      </c>
      <c r="X2125">
        <f>IF(AND(ISNUMBER('자료_한국심리'!$J2109),ISNUMBER('자료_한국심리'!$K2109)),'자료_한국심리'!$J2109,"")</f>
        <v/>
      </c>
      <c r="Y2125">
        <f>IF(AND(ISNUMBER('자료_한국심리'!$M2109),ISNUMBER('자료_한국심리'!$N2109)),'자료_한국심리'!$M2109,"")</f>
        <v/>
      </c>
    </row>
    <row r="2126">
      <c r="U2126">
        <f>IF(AND(ISNUMBER('자료_한국심리'!$A2110),ISNUMBER('자료_한국심리'!$B2110)),'자료_한국심리'!$A2110,"")</f>
        <v/>
      </c>
      <c r="V2126">
        <f>IF(AND(ISNUMBER('자료_한국심리'!$D2110),ISNUMBER('자료_한국심리'!$E2110)),'자료_한국심리'!$D2110,"")</f>
        <v/>
      </c>
      <c r="W2126">
        <f>IF(AND(ISNUMBER('자료_한국심리'!$G2110),ISNUMBER('자료_한국심리'!$H2110)),'자료_한국심리'!$G2110,"")</f>
        <v/>
      </c>
      <c r="X2126">
        <f>IF(AND(ISNUMBER('자료_한국심리'!$J2110),ISNUMBER('자료_한국심리'!$K2110)),'자료_한국심리'!$J2110,"")</f>
        <v/>
      </c>
      <c r="Y2126">
        <f>IF(AND(ISNUMBER('자료_한국심리'!$M2110),ISNUMBER('자료_한국심리'!$N2110)),'자료_한국심리'!$M2110,"")</f>
        <v/>
      </c>
    </row>
    <row r="2127">
      <c r="U2127">
        <f>IF(AND(ISNUMBER('자료_한국심리'!$A2111),ISNUMBER('자료_한국심리'!$B2111)),'자료_한국심리'!$A2111,"")</f>
        <v/>
      </c>
      <c r="V2127">
        <f>IF(AND(ISNUMBER('자료_한국심리'!$D2111),ISNUMBER('자료_한국심리'!$E2111)),'자료_한국심리'!$D2111,"")</f>
        <v/>
      </c>
      <c r="W2127">
        <f>IF(AND(ISNUMBER('자료_한국심리'!$G2111),ISNUMBER('자료_한국심리'!$H2111)),'자료_한국심리'!$G2111,"")</f>
        <v/>
      </c>
      <c r="X2127">
        <f>IF(AND(ISNUMBER('자료_한국심리'!$J2111),ISNUMBER('자료_한국심리'!$K2111)),'자료_한국심리'!$J2111,"")</f>
        <v/>
      </c>
      <c r="Y2127">
        <f>IF(AND(ISNUMBER('자료_한국심리'!$M2111),ISNUMBER('자료_한국심리'!$N2111)),'자료_한국심리'!$M2111,"")</f>
        <v/>
      </c>
    </row>
    <row r="2128">
      <c r="U2128">
        <f>IF(AND(ISNUMBER('자료_한국심리'!$A2112),ISNUMBER('자료_한국심리'!$B2112)),'자료_한국심리'!$A2112,"")</f>
        <v/>
      </c>
      <c r="V2128">
        <f>IF(AND(ISNUMBER('자료_한국심리'!$D2112),ISNUMBER('자료_한국심리'!$E2112)),'자료_한국심리'!$D2112,"")</f>
        <v/>
      </c>
      <c r="W2128">
        <f>IF(AND(ISNUMBER('자료_한국심리'!$G2112),ISNUMBER('자료_한국심리'!$H2112)),'자료_한국심리'!$G2112,"")</f>
        <v/>
      </c>
      <c r="X2128">
        <f>IF(AND(ISNUMBER('자료_한국심리'!$J2112),ISNUMBER('자료_한국심리'!$K2112)),'자료_한국심리'!$J2112,"")</f>
        <v/>
      </c>
      <c r="Y2128">
        <f>IF(AND(ISNUMBER('자료_한국심리'!$M2112),ISNUMBER('자료_한국심리'!$N2112)),'자료_한국심리'!$M2112,"")</f>
        <v/>
      </c>
    </row>
    <row r="2129">
      <c r="U2129">
        <f>IF(AND(ISNUMBER('자료_한국심리'!$A2113),ISNUMBER('자료_한국심리'!$B2113)),'자료_한국심리'!$A2113,"")</f>
        <v/>
      </c>
      <c r="V2129">
        <f>IF(AND(ISNUMBER('자료_한국심리'!$D2113),ISNUMBER('자료_한국심리'!$E2113)),'자료_한국심리'!$D2113,"")</f>
        <v/>
      </c>
      <c r="W2129">
        <f>IF(AND(ISNUMBER('자료_한국심리'!$G2113),ISNUMBER('자료_한국심리'!$H2113)),'자료_한국심리'!$G2113,"")</f>
        <v/>
      </c>
      <c r="X2129">
        <f>IF(AND(ISNUMBER('자료_한국심리'!$J2113),ISNUMBER('자료_한국심리'!$K2113)),'자료_한국심리'!$J2113,"")</f>
        <v/>
      </c>
      <c r="Y2129">
        <f>IF(AND(ISNUMBER('자료_한국심리'!$M2113),ISNUMBER('자료_한국심리'!$N2113)),'자료_한국심리'!$M2113,"")</f>
        <v/>
      </c>
    </row>
    <row r="2130">
      <c r="U2130">
        <f>IF(AND(ISNUMBER('자료_한국심리'!$A2114),ISNUMBER('자료_한국심리'!$B2114)),'자료_한국심리'!$A2114,"")</f>
        <v/>
      </c>
      <c r="V2130">
        <f>IF(AND(ISNUMBER('자료_한국심리'!$D2114),ISNUMBER('자료_한국심리'!$E2114)),'자료_한국심리'!$D2114,"")</f>
        <v/>
      </c>
      <c r="W2130">
        <f>IF(AND(ISNUMBER('자료_한국심리'!$G2114),ISNUMBER('자료_한국심리'!$H2114)),'자료_한국심리'!$G2114,"")</f>
        <v/>
      </c>
      <c r="X2130">
        <f>IF(AND(ISNUMBER('자료_한국심리'!$J2114),ISNUMBER('자료_한국심리'!$K2114)),'자료_한국심리'!$J2114,"")</f>
        <v/>
      </c>
      <c r="Y2130">
        <f>IF(AND(ISNUMBER('자료_한국심리'!$M2114),ISNUMBER('자료_한국심리'!$N2114)),'자료_한국심리'!$M2114,"")</f>
        <v/>
      </c>
    </row>
    <row r="2131">
      <c r="U2131">
        <f>IF(AND(ISNUMBER('자료_한국심리'!$A2115),ISNUMBER('자료_한국심리'!$B2115)),'자료_한국심리'!$A2115,"")</f>
        <v/>
      </c>
      <c r="V2131">
        <f>IF(AND(ISNUMBER('자료_한국심리'!$D2115),ISNUMBER('자료_한국심리'!$E2115)),'자료_한국심리'!$D2115,"")</f>
        <v/>
      </c>
      <c r="W2131">
        <f>IF(AND(ISNUMBER('자료_한국심리'!$G2115),ISNUMBER('자료_한국심리'!$H2115)),'자료_한국심리'!$G2115,"")</f>
        <v/>
      </c>
      <c r="X2131">
        <f>IF(AND(ISNUMBER('자료_한국심리'!$J2115),ISNUMBER('자료_한국심리'!$K2115)),'자료_한국심리'!$J2115,"")</f>
        <v/>
      </c>
      <c r="Y2131">
        <f>IF(AND(ISNUMBER('자료_한국심리'!$M2115),ISNUMBER('자료_한국심리'!$N2115)),'자료_한국심리'!$M2115,"")</f>
        <v/>
      </c>
    </row>
    <row r="2132">
      <c r="U2132">
        <f>IF(AND(ISNUMBER('자료_한국심리'!$A2116),ISNUMBER('자료_한국심리'!$B2116)),'자료_한국심리'!$A2116,"")</f>
        <v/>
      </c>
      <c r="V2132">
        <f>IF(AND(ISNUMBER('자료_한국심리'!$D2116),ISNUMBER('자료_한국심리'!$E2116)),'자료_한국심리'!$D2116,"")</f>
        <v/>
      </c>
      <c r="W2132">
        <f>IF(AND(ISNUMBER('자료_한국심리'!$G2116),ISNUMBER('자료_한국심리'!$H2116)),'자료_한국심리'!$G2116,"")</f>
        <v/>
      </c>
      <c r="X2132">
        <f>IF(AND(ISNUMBER('자료_한국심리'!$J2116),ISNUMBER('자료_한국심리'!$K2116)),'자료_한국심리'!$J2116,"")</f>
        <v/>
      </c>
      <c r="Y2132">
        <f>IF(AND(ISNUMBER('자료_한국심리'!$M2116),ISNUMBER('자료_한국심리'!$N2116)),'자료_한국심리'!$M2116,"")</f>
        <v/>
      </c>
    </row>
    <row r="2133">
      <c r="U2133">
        <f>IF(AND(ISNUMBER('자료_한국심리'!$A2117),ISNUMBER('자료_한국심리'!$B2117)),'자료_한국심리'!$A2117,"")</f>
        <v/>
      </c>
      <c r="V2133">
        <f>IF(AND(ISNUMBER('자료_한국심리'!$D2117),ISNUMBER('자료_한국심리'!$E2117)),'자료_한국심리'!$D2117,"")</f>
        <v/>
      </c>
      <c r="W2133">
        <f>IF(AND(ISNUMBER('자료_한국심리'!$G2117),ISNUMBER('자료_한국심리'!$H2117)),'자료_한국심리'!$G2117,"")</f>
        <v/>
      </c>
      <c r="X2133">
        <f>IF(AND(ISNUMBER('자료_한국심리'!$J2117),ISNUMBER('자료_한국심리'!$K2117)),'자료_한국심리'!$J2117,"")</f>
        <v/>
      </c>
      <c r="Y2133">
        <f>IF(AND(ISNUMBER('자료_한국심리'!$M2117),ISNUMBER('자료_한국심리'!$N2117)),'자료_한국심리'!$M2117,"")</f>
        <v/>
      </c>
    </row>
    <row r="2134">
      <c r="U2134">
        <f>IF(AND(ISNUMBER('자료_한국심리'!$A2118),ISNUMBER('자료_한국심리'!$B2118)),'자료_한국심리'!$A2118,"")</f>
        <v/>
      </c>
      <c r="V2134">
        <f>IF(AND(ISNUMBER('자료_한국심리'!$D2118),ISNUMBER('자료_한국심리'!$E2118)),'자료_한국심리'!$D2118,"")</f>
        <v/>
      </c>
      <c r="W2134">
        <f>IF(AND(ISNUMBER('자료_한국심리'!$G2118),ISNUMBER('자료_한국심리'!$H2118)),'자료_한국심리'!$G2118,"")</f>
        <v/>
      </c>
      <c r="X2134">
        <f>IF(AND(ISNUMBER('자료_한국심리'!$J2118),ISNUMBER('자료_한국심리'!$K2118)),'자료_한국심리'!$J2118,"")</f>
        <v/>
      </c>
      <c r="Y2134">
        <f>IF(AND(ISNUMBER('자료_한국심리'!$M2118),ISNUMBER('자료_한국심리'!$N2118)),'자료_한국심리'!$M2118,"")</f>
        <v/>
      </c>
    </row>
    <row r="2135">
      <c r="U2135">
        <f>IF(AND(ISNUMBER('자료_한국심리'!$A2119),ISNUMBER('자료_한국심리'!$B2119)),'자료_한국심리'!$A2119,"")</f>
        <v/>
      </c>
      <c r="V2135">
        <f>IF(AND(ISNUMBER('자료_한국심리'!$D2119),ISNUMBER('자료_한국심리'!$E2119)),'자료_한국심리'!$D2119,"")</f>
        <v/>
      </c>
      <c r="W2135">
        <f>IF(AND(ISNUMBER('자료_한국심리'!$G2119),ISNUMBER('자료_한국심리'!$H2119)),'자료_한국심리'!$G2119,"")</f>
        <v/>
      </c>
      <c r="X2135">
        <f>IF(AND(ISNUMBER('자료_한국심리'!$J2119),ISNUMBER('자료_한국심리'!$K2119)),'자료_한국심리'!$J2119,"")</f>
        <v/>
      </c>
      <c r="Y2135">
        <f>IF(AND(ISNUMBER('자료_한국심리'!$M2119),ISNUMBER('자료_한국심리'!$N2119)),'자료_한국심리'!$M2119,"")</f>
        <v/>
      </c>
    </row>
    <row r="2136">
      <c r="U2136">
        <f>IF(AND(ISNUMBER('자료_한국심리'!$A2120),ISNUMBER('자료_한국심리'!$B2120)),'자료_한국심리'!$A2120,"")</f>
        <v/>
      </c>
      <c r="V2136">
        <f>IF(AND(ISNUMBER('자료_한국심리'!$D2120),ISNUMBER('자료_한국심리'!$E2120)),'자료_한국심리'!$D2120,"")</f>
        <v/>
      </c>
      <c r="W2136">
        <f>IF(AND(ISNUMBER('자료_한국심리'!$G2120),ISNUMBER('자료_한국심리'!$H2120)),'자료_한국심리'!$G2120,"")</f>
        <v/>
      </c>
      <c r="X2136">
        <f>IF(AND(ISNUMBER('자료_한국심리'!$J2120),ISNUMBER('자료_한국심리'!$K2120)),'자료_한국심리'!$J2120,"")</f>
        <v/>
      </c>
      <c r="Y2136">
        <f>IF(AND(ISNUMBER('자료_한국심리'!$M2120),ISNUMBER('자료_한국심리'!$N2120)),'자료_한국심리'!$M2120,"")</f>
        <v/>
      </c>
    </row>
    <row r="2137">
      <c r="U2137">
        <f>IF(AND(ISNUMBER('자료_한국심리'!$A2121),ISNUMBER('자료_한국심리'!$B2121)),'자료_한국심리'!$A2121,"")</f>
        <v/>
      </c>
      <c r="V2137">
        <f>IF(AND(ISNUMBER('자료_한국심리'!$D2121),ISNUMBER('자료_한국심리'!$E2121)),'자료_한국심리'!$D2121,"")</f>
        <v/>
      </c>
      <c r="W2137">
        <f>IF(AND(ISNUMBER('자료_한국심리'!$G2121),ISNUMBER('자료_한국심리'!$H2121)),'자료_한국심리'!$G2121,"")</f>
        <v/>
      </c>
      <c r="X2137">
        <f>IF(AND(ISNUMBER('자료_한국심리'!$J2121),ISNUMBER('자료_한국심리'!$K2121)),'자료_한국심리'!$J2121,"")</f>
        <v/>
      </c>
      <c r="Y2137">
        <f>IF(AND(ISNUMBER('자료_한국심리'!$M2121),ISNUMBER('자료_한국심리'!$N2121)),'자료_한국심리'!$M2121,"")</f>
        <v/>
      </c>
    </row>
    <row r="2138">
      <c r="U2138">
        <f>IF(AND(ISNUMBER('자료_한국심리'!$A2122),ISNUMBER('자료_한국심리'!$B2122)),'자료_한국심리'!$A2122,"")</f>
        <v/>
      </c>
      <c r="V2138">
        <f>IF(AND(ISNUMBER('자료_한국심리'!$D2122),ISNUMBER('자료_한국심리'!$E2122)),'자료_한국심리'!$D2122,"")</f>
        <v/>
      </c>
      <c r="W2138">
        <f>IF(AND(ISNUMBER('자료_한국심리'!$G2122),ISNUMBER('자료_한국심리'!$H2122)),'자료_한국심리'!$G2122,"")</f>
        <v/>
      </c>
      <c r="X2138">
        <f>IF(AND(ISNUMBER('자료_한국심리'!$J2122),ISNUMBER('자료_한국심리'!$K2122)),'자료_한국심리'!$J2122,"")</f>
        <v/>
      </c>
      <c r="Y2138">
        <f>IF(AND(ISNUMBER('자료_한국심리'!$M2122),ISNUMBER('자료_한국심리'!$N2122)),'자료_한국심리'!$M2122,"")</f>
        <v/>
      </c>
    </row>
    <row r="2139">
      <c r="U2139">
        <f>IF(AND(ISNUMBER('자료_한국심리'!$A2123),ISNUMBER('자료_한국심리'!$B2123)),'자료_한국심리'!$A2123,"")</f>
        <v/>
      </c>
      <c r="V2139">
        <f>IF(AND(ISNUMBER('자료_한국심리'!$D2123),ISNUMBER('자료_한국심리'!$E2123)),'자료_한국심리'!$D2123,"")</f>
        <v/>
      </c>
      <c r="W2139">
        <f>IF(AND(ISNUMBER('자료_한국심리'!$G2123),ISNUMBER('자료_한국심리'!$H2123)),'자료_한국심리'!$G2123,"")</f>
        <v/>
      </c>
      <c r="X2139">
        <f>IF(AND(ISNUMBER('자료_한국심리'!$J2123),ISNUMBER('자료_한국심리'!$K2123)),'자료_한국심리'!$J2123,"")</f>
        <v/>
      </c>
      <c r="Y2139">
        <f>IF(AND(ISNUMBER('자료_한국심리'!$M2123),ISNUMBER('자료_한국심리'!$N2123)),'자료_한국심리'!$M2123,"")</f>
        <v/>
      </c>
    </row>
    <row r="2140">
      <c r="U2140">
        <f>IF(AND(ISNUMBER('자료_한국심리'!$A2124),ISNUMBER('자료_한국심리'!$B2124)),'자료_한국심리'!$A2124,"")</f>
        <v/>
      </c>
      <c r="V2140">
        <f>IF(AND(ISNUMBER('자료_한국심리'!$D2124),ISNUMBER('자료_한국심리'!$E2124)),'자료_한국심리'!$D2124,"")</f>
        <v/>
      </c>
      <c r="W2140">
        <f>IF(AND(ISNUMBER('자료_한국심리'!$G2124),ISNUMBER('자료_한국심리'!$H2124)),'자료_한국심리'!$G2124,"")</f>
        <v/>
      </c>
      <c r="X2140">
        <f>IF(AND(ISNUMBER('자료_한국심리'!$J2124),ISNUMBER('자료_한국심리'!$K2124)),'자료_한국심리'!$J2124,"")</f>
        <v/>
      </c>
      <c r="Y2140">
        <f>IF(AND(ISNUMBER('자료_한국심리'!$M2124),ISNUMBER('자료_한국심리'!$N2124)),'자료_한국심리'!$M2124,"")</f>
        <v/>
      </c>
    </row>
    <row r="2141">
      <c r="U2141">
        <f>IF(AND(ISNUMBER('자료_한국심리'!$A2125),ISNUMBER('자료_한국심리'!$B2125)),'자료_한국심리'!$A2125,"")</f>
        <v/>
      </c>
      <c r="V2141">
        <f>IF(AND(ISNUMBER('자료_한국심리'!$D2125),ISNUMBER('자료_한국심리'!$E2125)),'자료_한국심리'!$D2125,"")</f>
        <v/>
      </c>
      <c r="W2141">
        <f>IF(AND(ISNUMBER('자료_한국심리'!$G2125),ISNUMBER('자료_한국심리'!$H2125)),'자료_한국심리'!$G2125,"")</f>
        <v/>
      </c>
      <c r="X2141">
        <f>IF(AND(ISNUMBER('자료_한국심리'!$J2125),ISNUMBER('자료_한국심리'!$K2125)),'자료_한국심리'!$J2125,"")</f>
        <v/>
      </c>
      <c r="Y2141">
        <f>IF(AND(ISNUMBER('자료_한국심리'!$M2125),ISNUMBER('자료_한국심리'!$N2125)),'자료_한국심리'!$M2125,"")</f>
        <v/>
      </c>
    </row>
    <row r="2142">
      <c r="U2142">
        <f>IF(AND(ISNUMBER('자료_한국심리'!$A2126),ISNUMBER('자료_한국심리'!$B2126)),'자료_한국심리'!$A2126,"")</f>
        <v/>
      </c>
      <c r="V2142">
        <f>IF(AND(ISNUMBER('자료_한국심리'!$D2126),ISNUMBER('자료_한국심리'!$E2126)),'자료_한국심리'!$D2126,"")</f>
        <v/>
      </c>
      <c r="W2142">
        <f>IF(AND(ISNUMBER('자료_한국심리'!$G2126),ISNUMBER('자료_한국심리'!$H2126)),'자료_한국심리'!$G2126,"")</f>
        <v/>
      </c>
      <c r="X2142">
        <f>IF(AND(ISNUMBER('자료_한국심리'!$J2126),ISNUMBER('자료_한국심리'!$K2126)),'자료_한국심리'!$J2126,"")</f>
        <v/>
      </c>
      <c r="Y2142">
        <f>IF(AND(ISNUMBER('자료_한국심리'!$M2126),ISNUMBER('자료_한국심리'!$N2126)),'자료_한국심리'!$M2126,"")</f>
        <v/>
      </c>
    </row>
    <row r="2143">
      <c r="U2143">
        <f>IF(AND(ISNUMBER('자료_한국심리'!$A2127),ISNUMBER('자료_한국심리'!$B2127)),'자료_한국심리'!$A2127,"")</f>
        <v/>
      </c>
      <c r="V2143">
        <f>IF(AND(ISNUMBER('자료_한국심리'!$D2127),ISNUMBER('자료_한국심리'!$E2127)),'자료_한국심리'!$D2127,"")</f>
        <v/>
      </c>
      <c r="W2143">
        <f>IF(AND(ISNUMBER('자료_한국심리'!$G2127),ISNUMBER('자료_한국심리'!$H2127)),'자료_한국심리'!$G2127,"")</f>
        <v/>
      </c>
      <c r="X2143">
        <f>IF(AND(ISNUMBER('자료_한국심리'!$J2127),ISNUMBER('자료_한국심리'!$K2127)),'자료_한국심리'!$J2127,"")</f>
        <v/>
      </c>
      <c r="Y2143">
        <f>IF(AND(ISNUMBER('자료_한국심리'!$M2127),ISNUMBER('자료_한국심리'!$N2127)),'자료_한국심리'!$M2127,"")</f>
        <v/>
      </c>
    </row>
    <row r="2144">
      <c r="U2144">
        <f>IF(AND(ISNUMBER('자료_한국심리'!$A2128),ISNUMBER('자료_한국심리'!$B2128)),'자료_한국심리'!$A2128,"")</f>
        <v/>
      </c>
      <c r="V2144">
        <f>IF(AND(ISNUMBER('자료_한국심리'!$D2128),ISNUMBER('자료_한국심리'!$E2128)),'자료_한국심리'!$D2128,"")</f>
        <v/>
      </c>
      <c r="W2144">
        <f>IF(AND(ISNUMBER('자료_한국심리'!$G2128),ISNUMBER('자료_한국심리'!$H2128)),'자료_한국심리'!$G2128,"")</f>
        <v/>
      </c>
      <c r="X2144">
        <f>IF(AND(ISNUMBER('자료_한국심리'!$J2128),ISNUMBER('자료_한국심리'!$K2128)),'자료_한국심리'!$J2128,"")</f>
        <v/>
      </c>
      <c r="Y2144">
        <f>IF(AND(ISNUMBER('자료_한국심리'!$M2128),ISNUMBER('자료_한국심리'!$N2128)),'자료_한국심리'!$M2128,"")</f>
        <v/>
      </c>
    </row>
    <row r="2145">
      <c r="U2145">
        <f>IF(AND(ISNUMBER('자료_한국심리'!$A2129),ISNUMBER('자료_한국심리'!$B2129)),'자료_한국심리'!$A2129,"")</f>
        <v/>
      </c>
      <c r="V2145">
        <f>IF(AND(ISNUMBER('자료_한국심리'!$D2129),ISNUMBER('자료_한국심리'!$E2129)),'자료_한국심리'!$D2129,"")</f>
        <v/>
      </c>
      <c r="W2145">
        <f>IF(AND(ISNUMBER('자료_한국심리'!$G2129),ISNUMBER('자료_한국심리'!$H2129)),'자료_한국심리'!$G2129,"")</f>
        <v/>
      </c>
      <c r="X2145">
        <f>IF(AND(ISNUMBER('자료_한국심리'!$J2129),ISNUMBER('자료_한국심리'!$K2129)),'자료_한국심리'!$J2129,"")</f>
        <v/>
      </c>
      <c r="Y2145">
        <f>IF(AND(ISNUMBER('자료_한국심리'!$M2129),ISNUMBER('자료_한국심리'!$N2129)),'자료_한국심리'!$M2129,"")</f>
        <v/>
      </c>
    </row>
    <row r="2146">
      <c r="U2146">
        <f>IF(AND(ISNUMBER('자료_한국심리'!$A2130),ISNUMBER('자료_한국심리'!$B2130)),'자료_한국심리'!$A2130,"")</f>
        <v/>
      </c>
      <c r="V2146">
        <f>IF(AND(ISNUMBER('자료_한국심리'!$D2130),ISNUMBER('자료_한국심리'!$E2130)),'자료_한국심리'!$D2130,"")</f>
        <v/>
      </c>
      <c r="W2146">
        <f>IF(AND(ISNUMBER('자료_한국심리'!$G2130),ISNUMBER('자료_한국심리'!$H2130)),'자료_한국심리'!$G2130,"")</f>
        <v/>
      </c>
      <c r="X2146">
        <f>IF(AND(ISNUMBER('자료_한국심리'!$J2130),ISNUMBER('자료_한국심리'!$K2130)),'자료_한국심리'!$J2130,"")</f>
        <v/>
      </c>
      <c r="Y2146">
        <f>IF(AND(ISNUMBER('자료_한국심리'!$M2130),ISNUMBER('자료_한국심리'!$N2130)),'자료_한국심리'!$M2130,"")</f>
        <v/>
      </c>
    </row>
    <row r="2147">
      <c r="U2147">
        <f>IF(AND(ISNUMBER('자료_한국심리'!$A2131),ISNUMBER('자료_한국심리'!$B2131)),'자료_한국심리'!$A2131,"")</f>
        <v/>
      </c>
      <c r="V2147">
        <f>IF(AND(ISNUMBER('자료_한국심리'!$D2131),ISNUMBER('자료_한국심리'!$E2131)),'자료_한국심리'!$D2131,"")</f>
        <v/>
      </c>
      <c r="W2147">
        <f>IF(AND(ISNUMBER('자료_한국심리'!$G2131),ISNUMBER('자료_한국심리'!$H2131)),'자료_한국심리'!$G2131,"")</f>
        <v/>
      </c>
      <c r="X2147">
        <f>IF(AND(ISNUMBER('자료_한국심리'!$J2131),ISNUMBER('자료_한국심리'!$K2131)),'자료_한국심리'!$J2131,"")</f>
        <v/>
      </c>
      <c r="Y2147">
        <f>IF(AND(ISNUMBER('자료_한국심리'!$M2131),ISNUMBER('자료_한국심리'!$N2131)),'자료_한국심리'!$M2131,"")</f>
        <v/>
      </c>
    </row>
    <row r="2148">
      <c r="U2148">
        <f>IF(AND(ISNUMBER('자료_한국심리'!$A2132),ISNUMBER('자료_한국심리'!$B2132)),'자료_한국심리'!$A2132,"")</f>
        <v/>
      </c>
      <c r="V2148">
        <f>IF(AND(ISNUMBER('자료_한국심리'!$D2132),ISNUMBER('자료_한국심리'!$E2132)),'자료_한국심리'!$D2132,"")</f>
        <v/>
      </c>
      <c r="W2148">
        <f>IF(AND(ISNUMBER('자료_한국심리'!$G2132),ISNUMBER('자료_한국심리'!$H2132)),'자료_한국심리'!$G2132,"")</f>
        <v/>
      </c>
      <c r="X2148">
        <f>IF(AND(ISNUMBER('자료_한국심리'!$J2132),ISNUMBER('자료_한국심리'!$K2132)),'자료_한국심리'!$J2132,"")</f>
        <v/>
      </c>
      <c r="Y2148">
        <f>IF(AND(ISNUMBER('자료_한국심리'!$M2132),ISNUMBER('자료_한국심리'!$N2132)),'자료_한국심리'!$M2132,"")</f>
        <v/>
      </c>
    </row>
    <row r="2149">
      <c r="U2149">
        <f>IF(AND(ISNUMBER('자료_한국심리'!$A2133),ISNUMBER('자료_한국심리'!$B2133)),'자료_한국심리'!$A2133,"")</f>
        <v/>
      </c>
      <c r="V2149">
        <f>IF(AND(ISNUMBER('자료_한국심리'!$D2133),ISNUMBER('자료_한국심리'!$E2133)),'자료_한국심리'!$D2133,"")</f>
        <v/>
      </c>
      <c r="W2149">
        <f>IF(AND(ISNUMBER('자료_한국심리'!$G2133),ISNUMBER('자료_한국심리'!$H2133)),'자료_한국심리'!$G2133,"")</f>
        <v/>
      </c>
      <c r="X2149">
        <f>IF(AND(ISNUMBER('자료_한국심리'!$J2133),ISNUMBER('자료_한국심리'!$K2133)),'자료_한국심리'!$J2133,"")</f>
        <v/>
      </c>
      <c r="Y2149">
        <f>IF(AND(ISNUMBER('자료_한국심리'!$M2133),ISNUMBER('자료_한국심리'!$N2133)),'자료_한국심리'!$M2133,"")</f>
        <v/>
      </c>
    </row>
    <row r="2150">
      <c r="U2150">
        <f>IF(AND(ISNUMBER('자료_한국심리'!$A2134),ISNUMBER('자료_한국심리'!$B2134)),'자료_한국심리'!$A2134,"")</f>
        <v/>
      </c>
      <c r="V2150">
        <f>IF(AND(ISNUMBER('자료_한국심리'!$D2134),ISNUMBER('자료_한국심리'!$E2134)),'자료_한국심리'!$D2134,"")</f>
        <v/>
      </c>
      <c r="W2150">
        <f>IF(AND(ISNUMBER('자료_한국심리'!$G2134),ISNUMBER('자료_한국심리'!$H2134)),'자료_한국심리'!$G2134,"")</f>
        <v/>
      </c>
      <c r="X2150">
        <f>IF(AND(ISNUMBER('자료_한국심리'!$J2134),ISNUMBER('자료_한국심리'!$K2134)),'자료_한국심리'!$J2134,"")</f>
        <v/>
      </c>
      <c r="Y2150">
        <f>IF(AND(ISNUMBER('자료_한국심리'!$M2134),ISNUMBER('자료_한국심리'!$N2134)),'자료_한국심리'!$M2134,"")</f>
        <v/>
      </c>
    </row>
    <row r="2151">
      <c r="U2151">
        <f>IF(AND(ISNUMBER('자료_한국심리'!$A2135),ISNUMBER('자료_한국심리'!$B2135)),'자료_한국심리'!$A2135,"")</f>
        <v/>
      </c>
      <c r="V2151">
        <f>IF(AND(ISNUMBER('자료_한국심리'!$D2135),ISNUMBER('자료_한국심리'!$E2135)),'자료_한국심리'!$D2135,"")</f>
        <v/>
      </c>
      <c r="W2151">
        <f>IF(AND(ISNUMBER('자료_한국심리'!$G2135),ISNUMBER('자료_한국심리'!$H2135)),'자료_한국심리'!$G2135,"")</f>
        <v/>
      </c>
      <c r="X2151">
        <f>IF(AND(ISNUMBER('자료_한국심리'!$J2135),ISNUMBER('자료_한국심리'!$K2135)),'자료_한국심리'!$J2135,"")</f>
        <v/>
      </c>
      <c r="Y2151">
        <f>IF(AND(ISNUMBER('자료_한국심리'!$M2135),ISNUMBER('자료_한국심리'!$N2135)),'자료_한국심리'!$M2135,"")</f>
        <v/>
      </c>
    </row>
    <row r="2152">
      <c r="U2152">
        <f>IF(AND(ISNUMBER('자료_한국심리'!$A2136),ISNUMBER('자료_한국심리'!$B2136)),'자료_한국심리'!$A2136,"")</f>
        <v/>
      </c>
      <c r="V2152">
        <f>IF(AND(ISNUMBER('자료_한국심리'!$D2136),ISNUMBER('자료_한국심리'!$E2136)),'자료_한국심리'!$D2136,"")</f>
        <v/>
      </c>
      <c r="W2152">
        <f>IF(AND(ISNUMBER('자료_한국심리'!$G2136),ISNUMBER('자료_한국심리'!$H2136)),'자료_한국심리'!$G2136,"")</f>
        <v/>
      </c>
      <c r="X2152">
        <f>IF(AND(ISNUMBER('자료_한국심리'!$J2136),ISNUMBER('자료_한국심리'!$K2136)),'자료_한국심리'!$J2136,"")</f>
        <v/>
      </c>
      <c r="Y2152">
        <f>IF(AND(ISNUMBER('자료_한국심리'!$M2136),ISNUMBER('자료_한국심리'!$N2136)),'자료_한국심리'!$M2136,"")</f>
        <v/>
      </c>
    </row>
    <row r="2153">
      <c r="U2153">
        <f>IF(AND(ISNUMBER('자료_한국심리'!$A2137),ISNUMBER('자료_한국심리'!$B2137)),'자료_한국심리'!$A2137,"")</f>
        <v/>
      </c>
      <c r="V2153">
        <f>IF(AND(ISNUMBER('자료_한국심리'!$D2137),ISNUMBER('자료_한국심리'!$E2137)),'자료_한국심리'!$D2137,"")</f>
        <v/>
      </c>
      <c r="W2153">
        <f>IF(AND(ISNUMBER('자료_한국심리'!$G2137),ISNUMBER('자료_한국심리'!$H2137)),'자료_한국심리'!$G2137,"")</f>
        <v/>
      </c>
      <c r="X2153">
        <f>IF(AND(ISNUMBER('자료_한국심리'!$J2137),ISNUMBER('자료_한국심리'!$K2137)),'자료_한국심리'!$J2137,"")</f>
        <v/>
      </c>
      <c r="Y2153">
        <f>IF(AND(ISNUMBER('자료_한국심리'!$M2137),ISNUMBER('자료_한국심리'!$N2137)),'자료_한국심리'!$M2137,"")</f>
        <v/>
      </c>
    </row>
    <row r="2154">
      <c r="U2154">
        <f>IF(AND(ISNUMBER('자료_한국심리'!$A2138),ISNUMBER('자료_한국심리'!$B2138)),'자료_한국심리'!$A2138,"")</f>
        <v/>
      </c>
      <c r="V2154">
        <f>IF(AND(ISNUMBER('자료_한국심리'!$D2138),ISNUMBER('자료_한국심리'!$E2138)),'자료_한국심리'!$D2138,"")</f>
        <v/>
      </c>
      <c r="W2154">
        <f>IF(AND(ISNUMBER('자료_한국심리'!$G2138),ISNUMBER('자료_한국심리'!$H2138)),'자료_한국심리'!$G2138,"")</f>
        <v/>
      </c>
      <c r="X2154">
        <f>IF(AND(ISNUMBER('자료_한국심리'!$J2138),ISNUMBER('자료_한국심리'!$K2138)),'자료_한국심리'!$J2138,"")</f>
        <v/>
      </c>
      <c r="Y2154">
        <f>IF(AND(ISNUMBER('자료_한국심리'!$M2138),ISNUMBER('자료_한국심리'!$N2138)),'자료_한국심리'!$M2138,"")</f>
        <v/>
      </c>
    </row>
    <row r="2155">
      <c r="U2155">
        <f>IF(AND(ISNUMBER('자료_한국심리'!$A2139),ISNUMBER('자료_한국심리'!$B2139)),'자료_한국심리'!$A2139,"")</f>
        <v/>
      </c>
      <c r="V2155">
        <f>IF(AND(ISNUMBER('자료_한국심리'!$D2139),ISNUMBER('자료_한국심리'!$E2139)),'자료_한국심리'!$D2139,"")</f>
        <v/>
      </c>
      <c r="W2155">
        <f>IF(AND(ISNUMBER('자료_한국심리'!$G2139),ISNUMBER('자료_한국심리'!$H2139)),'자료_한국심리'!$G2139,"")</f>
        <v/>
      </c>
      <c r="X2155">
        <f>IF(AND(ISNUMBER('자료_한국심리'!$J2139),ISNUMBER('자료_한국심리'!$K2139)),'자료_한국심리'!$J2139,"")</f>
        <v/>
      </c>
      <c r="Y2155">
        <f>IF(AND(ISNUMBER('자료_한국심리'!$M2139),ISNUMBER('자료_한국심리'!$N2139)),'자료_한국심리'!$M2139,"")</f>
        <v/>
      </c>
    </row>
    <row r="2156">
      <c r="U2156">
        <f>IF(AND(ISNUMBER('자료_한국심리'!$A2140),ISNUMBER('자료_한국심리'!$B2140)),'자료_한국심리'!$A2140,"")</f>
        <v/>
      </c>
      <c r="V2156">
        <f>IF(AND(ISNUMBER('자료_한국심리'!$D2140),ISNUMBER('자료_한국심리'!$E2140)),'자료_한국심리'!$D2140,"")</f>
        <v/>
      </c>
      <c r="W2156">
        <f>IF(AND(ISNUMBER('자료_한국심리'!$G2140),ISNUMBER('자료_한국심리'!$H2140)),'자료_한국심리'!$G2140,"")</f>
        <v/>
      </c>
      <c r="X2156">
        <f>IF(AND(ISNUMBER('자료_한국심리'!$J2140),ISNUMBER('자료_한국심리'!$K2140)),'자료_한국심리'!$J2140,"")</f>
        <v/>
      </c>
      <c r="Y2156">
        <f>IF(AND(ISNUMBER('자료_한국심리'!$M2140),ISNUMBER('자료_한국심리'!$N2140)),'자료_한국심리'!$M2140,"")</f>
        <v/>
      </c>
    </row>
    <row r="2157">
      <c r="U2157">
        <f>IF(AND(ISNUMBER('자료_한국심리'!$A2141),ISNUMBER('자료_한국심리'!$B2141)),'자료_한국심리'!$A2141,"")</f>
        <v/>
      </c>
      <c r="V2157">
        <f>IF(AND(ISNUMBER('자료_한국심리'!$D2141),ISNUMBER('자료_한국심리'!$E2141)),'자료_한국심리'!$D2141,"")</f>
        <v/>
      </c>
      <c r="W2157">
        <f>IF(AND(ISNUMBER('자료_한국심리'!$G2141),ISNUMBER('자료_한국심리'!$H2141)),'자료_한국심리'!$G2141,"")</f>
        <v/>
      </c>
      <c r="X2157">
        <f>IF(AND(ISNUMBER('자료_한국심리'!$J2141),ISNUMBER('자료_한국심리'!$K2141)),'자료_한국심리'!$J2141,"")</f>
        <v/>
      </c>
      <c r="Y2157">
        <f>IF(AND(ISNUMBER('자료_한국심리'!$M2141),ISNUMBER('자료_한국심리'!$N2141)),'자료_한국심리'!$M2141,"")</f>
        <v/>
      </c>
    </row>
    <row r="2158">
      <c r="U2158">
        <f>IF(AND(ISNUMBER('자료_한국심리'!$A2142),ISNUMBER('자료_한국심리'!$B2142)),'자료_한국심리'!$A2142,"")</f>
        <v/>
      </c>
      <c r="V2158">
        <f>IF(AND(ISNUMBER('자료_한국심리'!$D2142),ISNUMBER('자료_한국심리'!$E2142)),'자료_한국심리'!$D2142,"")</f>
        <v/>
      </c>
      <c r="W2158">
        <f>IF(AND(ISNUMBER('자료_한국심리'!$G2142),ISNUMBER('자료_한국심리'!$H2142)),'자료_한국심리'!$G2142,"")</f>
        <v/>
      </c>
      <c r="X2158">
        <f>IF(AND(ISNUMBER('자료_한국심리'!$J2142),ISNUMBER('자료_한국심리'!$K2142)),'자료_한국심리'!$J2142,"")</f>
        <v/>
      </c>
      <c r="Y2158">
        <f>IF(AND(ISNUMBER('자료_한국심리'!$M2142),ISNUMBER('자료_한국심리'!$N2142)),'자료_한국심리'!$M2142,"")</f>
        <v/>
      </c>
    </row>
    <row r="2159">
      <c r="U2159">
        <f>IF(AND(ISNUMBER('자료_한국심리'!$A2143),ISNUMBER('자료_한국심리'!$B2143)),'자료_한국심리'!$A2143,"")</f>
        <v/>
      </c>
      <c r="V2159">
        <f>IF(AND(ISNUMBER('자료_한국심리'!$D2143),ISNUMBER('자료_한국심리'!$E2143)),'자료_한국심리'!$D2143,"")</f>
        <v/>
      </c>
      <c r="W2159">
        <f>IF(AND(ISNUMBER('자료_한국심리'!$G2143),ISNUMBER('자료_한국심리'!$H2143)),'자료_한국심리'!$G2143,"")</f>
        <v/>
      </c>
      <c r="X2159">
        <f>IF(AND(ISNUMBER('자료_한국심리'!$J2143),ISNUMBER('자료_한국심리'!$K2143)),'자료_한국심리'!$J2143,"")</f>
        <v/>
      </c>
      <c r="Y2159">
        <f>IF(AND(ISNUMBER('자료_한국심리'!$M2143),ISNUMBER('자료_한국심리'!$N2143)),'자료_한국심리'!$M2143,"")</f>
        <v/>
      </c>
    </row>
    <row r="2160">
      <c r="U2160">
        <f>IF(AND(ISNUMBER('자료_한국심리'!$A2144),ISNUMBER('자료_한국심리'!$B2144)),'자료_한국심리'!$A2144,"")</f>
        <v/>
      </c>
      <c r="V2160">
        <f>IF(AND(ISNUMBER('자료_한국심리'!$D2144),ISNUMBER('자료_한국심리'!$E2144)),'자료_한국심리'!$D2144,"")</f>
        <v/>
      </c>
      <c r="W2160">
        <f>IF(AND(ISNUMBER('자료_한국심리'!$G2144),ISNUMBER('자료_한국심리'!$H2144)),'자료_한국심리'!$G2144,"")</f>
        <v/>
      </c>
      <c r="X2160">
        <f>IF(AND(ISNUMBER('자료_한국심리'!$J2144),ISNUMBER('자료_한국심리'!$K2144)),'자료_한국심리'!$J2144,"")</f>
        <v/>
      </c>
      <c r="Y2160">
        <f>IF(AND(ISNUMBER('자료_한국심리'!$M2144),ISNUMBER('자료_한국심리'!$N2144)),'자료_한국심리'!$M2144,"")</f>
        <v/>
      </c>
    </row>
    <row r="2161">
      <c r="U2161">
        <f>IF(AND(ISNUMBER('자료_한국심리'!$A2145),ISNUMBER('자료_한국심리'!$B2145)),'자료_한국심리'!$A2145,"")</f>
        <v/>
      </c>
      <c r="V2161">
        <f>IF(AND(ISNUMBER('자료_한국심리'!$D2145),ISNUMBER('자료_한국심리'!$E2145)),'자료_한국심리'!$D2145,"")</f>
        <v/>
      </c>
      <c r="W2161">
        <f>IF(AND(ISNUMBER('자료_한국심리'!$G2145),ISNUMBER('자료_한국심리'!$H2145)),'자료_한국심리'!$G2145,"")</f>
        <v/>
      </c>
      <c r="X2161">
        <f>IF(AND(ISNUMBER('자료_한국심리'!$J2145),ISNUMBER('자료_한국심리'!$K2145)),'자료_한국심리'!$J2145,"")</f>
        <v/>
      </c>
      <c r="Y2161">
        <f>IF(AND(ISNUMBER('자료_한국심리'!$M2145),ISNUMBER('자료_한국심리'!$N2145)),'자료_한국심리'!$M2145,"")</f>
        <v/>
      </c>
    </row>
    <row r="2162">
      <c r="U2162">
        <f>IF(AND(ISNUMBER('자료_한국심리'!$A2146),ISNUMBER('자료_한국심리'!$B2146)),'자료_한국심리'!$A2146,"")</f>
        <v/>
      </c>
      <c r="V2162">
        <f>IF(AND(ISNUMBER('자료_한국심리'!$D2146),ISNUMBER('자료_한국심리'!$E2146)),'자료_한국심리'!$D2146,"")</f>
        <v/>
      </c>
      <c r="W2162">
        <f>IF(AND(ISNUMBER('자료_한국심리'!$G2146),ISNUMBER('자료_한국심리'!$H2146)),'자료_한국심리'!$G2146,"")</f>
        <v/>
      </c>
      <c r="X2162">
        <f>IF(AND(ISNUMBER('자료_한국심리'!$J2146),ISNUMBER('자료_한국심리'!$K2146)),'자료_한국심리'!$J2146,"")</f>
        <v/>
      </c>
      <c r="Y2162">
        <f>IF(AND(ISNUMBER('자료_한국심리'!$M2146),ISNUMBER('자료_한국심리'!$N2146)),'자료_한국심리'!$M2146,"")</f>
        <v/>
      </c>
    </row>
    <row r="2163">
      <c r="U2163">
        <f>IF(AND(ISNUMBER('자료_한국심리'!$A2147),ISNUMBER('자료_한국심리'!$B2147)),'자료_한국심리'!$A2147,"")</f>
        <v/>
      </c>
      <c r="V2163">
        <f>IF(AND(ISNUMBER('자료_한국심리'!$D2147),ISNUMBER('자료_한국심리'!$E2147)),'자료_한국심리'!$D2147,"")</f>
        <v/>
      </c>
      <c r="W2163">
        <f>IF(AND(ISNUMBER('자료_한국심리'!$G2147),ISNUMBER('자료_한국심리'!$H2147)),'자료_한국심리'!$G2147,"")</f>
        <v/>
      </c>
      <c r="X2163">
        <f>IF(AND(ISNUMBER('자료_한국심리'!$J2147),ISNUMBER('자료_한국심리'!$K2147)),'자료_한국심리'!$J2147,"")</f>
        <v/>
      </c>
      <c r="Y2163">
        <f>IF(AND(ISNUMBER('자료_한국심리'!$M2147),ISNUMBER('자료_한국심리'!$N2147)),'자료_한국심리'!$M2147,"")</f>
        <v/>
      </c>
    </row>
    <row r="2164">
      <c r="U2164">
        <f>IF(AND(ISNUMBER('자료_한국심리'!$A2148),ISNUMBER('자료_한국심리'!$B2148)),'자료_한국심리'!$A2148,"")</f>
        <v/>
      </c>
      <c r="V2164">
        <f>IF(AND(ISNUMBER('자료_한국심리'!$D2148),ISNUMBER('자료_한국심리'!$E2148)),'자료_한국심리'!$D2148,"")</f>
        <v/>
      </c>
      <c r="W2164">
        <f>IF(AND(ISNUMBER('자료_한국심리'!$G2148),ISNUMBER('자료_한국심리'!$H2148)),'자료_한국심리'!$G2148,"")</f>
        <v/>
      </c>
      <c r="X2164">
        <f>IF(AND(ISNUMBER('자료_한국심리'!$J2148),ISNUMBER('자료_한국심리'!$K2148)),'자료_한국심리'!$J2148,"")</f>
        <v/>
      </c>
      <c r="Y2164">
        <f>IF(AND(ISNUMBER('자료_한국심리'!$M2148),ISNUMBER('자료_한국심리'!$N2148)),'자료_한국심리'!$M2148,"")</f>
        <v/>
      </c>
    </row>
    <row r="2165">
      <c r="U2165">
        <f>IF(AND(ISNUMBER('자료_한국심리'!$A2149),ISNUMBER('자료_한국심리'!$B2149)),'자료_한국심리'!$A2149,"")</f>
        <v/>
      </c>
      <c r="V2165">
        <f>IF(AND(ISNUMBER('자료_한국심리'!$D2149),ISNUMBER('자료_한국심리'!$E2149)),'자료_한국심리'!$D2149,"")</f>
        <v/>
      </c>
      <c r="W2165">
        <f>IF(AND(ISNUMBER('자료_한국심리'!$G2149),ISNUMBER('자료_한국심리'!$H2149)),'자료_한국심리'!$G2149,"")</f>
        <v/>
      </c>
      <c r="X2165">
        <f>IF(AND(ISNUMBER('자료_한국심리'!$J2149),ISNUMBER('자료_한국심리'!$K2149)),'자료_한국심리'!$J2149,"")</f>
        <v/>
      </c>
      <c r="Y2165">
        <f>IF(AND(ISNUMBER('자료_한국심리'!$M2149),ISNUMBER('자료_한국심리'!$N2149)),'자료_한국심리'!$M2149,"")</f>
        <v/>
      </c>
    </row>
    <row r="2166">
      <c r="U2166">
        <f>IF(AND(ISNUMBER('자료_한국심리'!$A2150),ISNUMBER('자료_한국심리'!$B2150)),'자료_한국심리'!$A2150,"")</f>
        <v/>
      </c>
      <c r="V2166">
        <f>IF(AND(ISNUMBER('자료_한국심리'!$D2150),ISNUMBER('자료_한국심리'!$E2150)),'자료_한국심리'!$D2150,"")</f>
        <v/>
      </c>
      <c r="W2166">
        <f>IF(AND(ISNUMBER('자료_한국심리'!$G2150),ISNUMBER('자료_한국심리'!$H2150)),'자료_한국심리'!$G2150,"")</f>
        <v/>
      </c>
      <c r="X2166">
        <f>IF(AND(ISNUMBER('자료_한국심리'!$J2150),ISNUMBER('자료_한국심리'!$K2150)),'자료_한국심리'!$J2150,"")</f>
        <v/>
      </c>
      <c r="Y2166">
        <f>IF(AND(ISNUMBER('자료_한국심리'!$M2150),ISNUMBER('자료_한국심리'!$N2150)),'자료_한국심리'!$M2150,"")</f>
        <v/>
      </c>
    </row>
    <row r="2167">
      <c r="U2167">
        <f>IF(AND(ISNUMBER('자료_한국심리'!$A2151),ISNUMBER('자료_한국심리'!$B2151)),'자료_한국심리'!$A2151,"")</f>
        <v/>
      </c>
      <c r="V2167">
        <f>IF(AND(ISNUMBER('자료_한국심리'!$D2151),ISNUMBER('자료_한국심리'!$E2151)),'자료_한국심리'!$D2151,"")</f>
        <v/>
      </c>
      <c r="W2167">
        <f>IF(AND(ISNUMBER('자료_한국심리'!$G2151),ISNUMBER('자료_한국심리'!$H2151)),'자료_한국심리'!$G2151,"")</f>
        <v/>
      </c>
      <c r="X2167">
        <f>IF(AND(ISNUMBER('자료_한국심리'!$J2151),ISNUMBER('자료_한국심리'!$K2151)),'자료_한국심리'!$J2151,"")</f>
        <v/>
      </c>
      <c r="Y2167">
        <f>IF(AND(ISNUMBER('자료_한국심리'!$M2151),ISNUMBER('자료_한국심리'!$N2151)),'자료_한국심리'!$M2151,"")</f>
        <v/>
      </c>
    </row>
    <row r="2168">
      <c r="U2168">
        <f>IF(AND(ISNUMBER('자료_한국심리'!$A2152),ISNUMBER('자료_한국심리'!$B2152)),'자료_한국심리'!$A2152,"")</f>
        <v/>
      </c>
      <c r="V2168">
        <f>IF(AND(ISNUMBER('자료_한국심리'!$D2152),ISNUMBER('자료_한국심리'!$E2152)),'자료_한국심리'!$D2152,"")</f>
        <v/>
      </c>
      <c r="W2168">
        <f>IF(AND(ISNUMBER('자료_한국심리'!$G2152),ISNUMBER('자료_한국심리'!$H2152)),'자료_한국심리'!$G2152,"")</f>
        <v/>
      </c>
      <c r="X2168">
        <f>IF(AND(ISNUMBER('자료_한국심리'!$J2152),ISNUMBER('자료_한국심리'!$K2152)),'자료_한국심리'!$J2152,"")</f>
        <v/>
      </c>
      <c r="Y2168">
        <f>IF(AND(ISNUMBER('자료_한국심리'!$M2152),ISNUMBER('자료_한국심리'!$N2152)),'자료_한국심리'!$M2152,"")</f>
        <v/>
      </c>
    </row>
    <row r="2169">
      <c r="U2169">
        <f>IF(AND(ISNUMBER('자료_한국심리'!$A2153),ISNUMBER('자료_한국심리'!$B2153)),'자료_한국심리'!$A2153,"")</f>
        <v/>
      </c>
      <c r="V2169">
        <f>IF(AND(ISNUMBER('자료_한국심리'!$D2153),ISNUMBER('자료_한국심리'!$E2153)),'자료_한국심리'!$D2153,"")</f>
        <v/>
      </c>
      <c r="W2169">
        <f>IF(AND(ISNUMBER('자료_한국심리'!$G2153),ISNUMBER('자료_한국심리'!$H2153)),'자료_한국심리'!$G2153,"")</f>
        <v/>
      </c>
      <c r="X2169">
        <f>IF(AND(ISNUMBER('자료_한국심리'!$J2153),ISNUMBER('자료_한국심리'!$K2153)),'자료_한국심리'!$J2153,"")</f>
        <v/>
      </c>
      <c r="Y2169">
        <f>IF(AND(ISNUMBER('자료_한국심리'!$M2153),ISNUMBER('자료_한국심리'!$N2153)),'자료_한국심리'!$M2153,"")</f>
        <v/>
      </c>
    </row>
    <row r="2170">
      <c r="U2170">
        <f>IF(AND(ISNUMBER('자료_한국심리'!$A2154),ISNUMBER('자료_한국심리'!$B2154)),'자료_한국심리'!$A2154,"")</f>
        <v/>
      </c>
      <c r="V2170">
        <f>IF(AND(ISNUMBER('자료_한국심리'!$D2154),ISNUMBER('자료_한국심리'!$E2154)),'자료_한국심리'!$D2154,"")</f>
        <v/>
      </c>
      <c r="W2170">
        <f>IF(AND(ISNUMBER('자료_한국심리'!$G2154),ISNUMBER('자료_한국심리'!$H2154)),'자료_한국심리'!$G2154,"")</f>
        <v/>
      </c>
      <c r="X2170">
        <f>IF(AND(ISNUMBER('자료_한국심리'!$J2154),ISNUMBER('자료_한국심리'!$K2154)),'자료_한국심리'!$J2154,"")</f>
        <v/>
      </c>
      <c r="Y2170">
        <f>IF(AND(ISNUMBER('자료_한국심리'!$M2154),ISNUMBER('자료_한국심리'!$N2154)),'자료_한국심리'!$M2154,"")</f>
        <v/>
      </c>
    </row>
    <row r="2171">
      <c r="U2171">
        <f>IF(AND(ISNUMBER('자료_한국심리'!$A2155),ISNUMBER('자료_한국심리'!$B2155)),'자료_한국심리'!$A2155,"")</f>
        <v/>
      </c>
      <c r="V2171">
        <f>IF(AND(ISNUMBER('자료_한국심리'!$D2155),ISNUMBER('자료_한국심리'!$E2155)),'자료_한국심리'!$D2155,"")</f>
        <v/>
      </c>
      <c r="W2171">
        <f>IF(AND(ISNUMBER('자료_한국심리'!$G2155),ISNUMBER('자료_한국심리'!$H2155)),'자료_한국심리'!$G2155,"")</f>
        <v/>
      </c>
      <c r="X2171">
        <f>IF(AND(ISNUMBER('자료_한국심리'!$J2155),ISNUMBER('자료_한국심리'!$K2155)),'자료_한국심리'!$J2155,"")</f>
        <v/>
      </c>
      <c r="Y2171">
        <f>IF(AND(ISNUMBER('자료_한국심리'!$M2155),ISNUMBER('자료_한국심리'!$N2155)),'자료_한국심리'!$M2155,"")</f>
        <v/>
      </c>
    </row>
    <row r="2172">
      <c r="U2172">
        <f>IF(AND(ISNUMBER('자료_한국심리'!$A2156),ISNUMBER('자료_한국심리'!$B2156)),'자료_한국심리'!$A2156,"")</f>
        <v/>
      </c>
      <c r="V2172">
        <f>IF(AND(ISNUMBER('자료_한국심리'!$D2156),ISNUMBER('자료_한국심리'!$E2156)),'자료_한국심리'!$D2156,"")</f>
        <v/>
      </c>
      <c r="W2172">
        <f>IF(AND(ISNUMBER('자료_한국심리'!$G2156),ISNUMBER('자료_한국심리'!$H2156)),'자료_한국심리'!$G2156,"")</f>
        <v/>
      </c>
      <c r="X2172">
        <f>IF(AND(ISNUMBER('자료_한국심리'!$J2156),ISNUMBER('자료_한국심리'!$K2156)),'자료_한국심리'!$J2156,"")</f>
        <v/>
      </c>
      <c r="Y2172">
        <f>IF(AND(ISNUMBER('자료_한국심리'!$M2156),ISNUMBER('자료_한국심리'!$N2156)),'자료_한국심리'!$M2156,"")</f>
        <v/>
      </c>
    </row>
    <row r="2173">
      <c r="U2173">
        <f>IF(AND(ISNUMBER('자료_한국심리'!$A2157),ISNUMBER('자료_한국심리'!$B2157)),'자료_한국심리'!$A2157,"")</f>
        <v/>
      </c>
      <c r="V2173">
        <f>IF(AND(ISNUMBER('자료_한국심리'!$D2157),ISNUMBER('자료_한국심리'!$E2157)),'자료_한국심리'!$D2157,"")</f>
        <v/>
      </c>
      <c r="W2173">
        <f>IF(AND(ISNUMBER('자료_한국심리'!$G2157),ISNUMBER('자료_한국심리'!$H2157)),'자료_한국심리'!$G2157,"")</f>
        <v/>
      </c>
      <c r="X2173">
        <f>IF(AND(ISNUMBER('자료_한국심리'!$J2157),ISNUMBER('자료_한국심리'!$K2157)),'자료_한국심리'!$J2157,"")</f>
        <v/>
      </c>
      <c r="Y2173">
        <f>IF(AND(ISNUMBER('자료_한국심리'!$M2157),ISNUMBER('자료_한국심리'!$N2157)),'자료_한국심리'!$M2157,"")</f>
        <v/>
      </c>
    </row>
    <row r="2174">
      <c r="U2174">
        <f>IF(AND(ISNUMBER('자료_한국심리'!$A2158),ISNUMBER('자료_한국심리'!$B2158)),'자료_한국심리'!$A2158,"")</f>
        <v/>
      </c>
      <c r="V2174">
        <f>IF(AND(ISNUMBER('자료_한국심리'!$D2158),ISNUMBER('자료_한국심리'!$E2158)),'자료_한국심리'!$D2158,"")</f>
        <v/>
      </c>
      <c r="W2174">
        <f>IF(AND(ISNUMBER('자료_한국심리'!$G2158),ISNUMBER('자료_한국심리'!$H2158)),'자료_한국심리'!$G2158,"")</f>
        <v/>
      </c>
      <c r="X2174">
        <f>IF(AND(ISNUMBER('자료_한국심리'!$J2158),ISNUMBER('자료_한국심리'!$K2158)),'자료_한국심리'!$J2158,"")</f>
        <v/>
      </c>
      <c r="Y2174">
        <f>IF(AND(ISNUMBER('자료_한국심리'!$M2158),ISNUMBER('자료_한국심리'!$N2158)),'자료_한국심리'!$M2158,"")</f>
        <v/>
      </c>
    </row>
    <row r="2175">
      <c r="U2175">
        <f>IF(AND(ISNUMBER('자료_한국심리'!$A2159),ISNUMBER('자료_한국심리'!$B2159)),'자료_한국심리'!$A2159,"")</f>
        <v/>
      </c>
      <c r="V2175">
        <f>IF(AND(ISNUMBER('자료_한국심리'!$D2159),ISNUMBER('자료_한국심리'!$E2159)),'자료_한국심리'!$D2159,"")</f>
        <v/>
      </c>
      <c r="W2175">
        <f>IF(AND(ISNUMBER('자료_한국심리'!$G2159),ISNUMBER('자료_한국심리'!$H2159)),'자료_한국심리'!$G2159,"")</f>
        <v/>
      </c>
      <c r="X2175">
        <f>IF(AND(ISNUMBER('자료_한국심리'!$J2159),ISNUMBER('자료_한국심리'!$K2159)),'자료_한국심리'!$J2159,"")</f>
        <v/>
      </c>
      <c r="Y2175">
        <f>IF(AND(ISNUMBER('자료_한국심리'!$M2159),ISNUMBER('자료_한국심리'!$N2159)),'자료_한국심리'!$M2159,"")</f>
        <v/>
      </c>
    </row>
    <row r="2176">
      <c r="U2176">
        <f>IF(AND(ISNUMBER('자료_한국심리'!$A2160),ISNUMBER('자료_한국심리'!$B2160)),'자료_한국심리'!$A2160,"")</f>
        <v/>
      </c>
      <c r="V2176">
        <f>IF(AND(ISNUMBER('자료_한국심리'!$D2160),ISNUMBER('자료_한국심리'!$E2160)),'자료_한국심리'!$D2160,"")</f>
        <v/>
      </c>
      <c r="W2176">
        <f>IF(AND(ISNUMBER('자료_한국심리'!$G2160),ISNUMBER('자료_한국심리'!$H2160)),'자료_한국심리'!$G2160,"")</f>
        <v/>
      </c>
      <c r="X2176">
        <f>IF(AND(ISNUMBER('자료_한국심리'!$J2160),ISNUMBER('자료_한국심리'!$K2160)),'자료_한국심리'!$J2160,"")</f>
        <v/>
      </c>
      <c r="Y2176">
        <f>IF(AND(ISNUMBER('자료_한국심리'!$M2160),ISNUMBER('자료_한국심리'!$N2160)),'자료_한국심리'!$M2160,"")</f>
        <v/>
      </c>
    </row>
    <row r="2177">
      <c r="U2177">
        <f>IF(AND(ISNUMBER('자료_한국심리'!$A2161),ISNUMBER('자료_한국심리'!$B2161)),'자료_한국심리'!$A2161,"")</f>
        <v/>
      </c>
      <c r="V2177">
        <f>IF(AND(ISNUMBER('자료_한국심리'!$D2161),ISNUMBER('자료_한국심리'!$E2161)),'자료_한국심리'!$D2161,"")</f>
        <v/>
      </c>
      <c r="W2177">
        <f>IF(AND(ISNUMBER('자료_한국심리'!$G2161),ISNUMBER('자료_한국심리'!$H2161)),'자료_한국심리'!$G2161,"")</f>
        <v/>
      </c>
      <c r="X2177">
        <f>IF(AND(ISNUMBER('자료_한국심리'!$J2161),ISNUMBER('자료_한국심리'!$K2161)),'자료_한국심리'!$J2161,"")</f>
        <v/>
      </c>
      <c r="Y2177">
        <f>IF(AND(ISNUMBER('자료_한국심리'!$M2161),ISNUMBER('자료_한국심리'!$N2161)),'자료_한국심리'!$M2161,"")</f>
        <v/>
      </c>
    </row>
    <row r="2178">
      <c r="U2178">
        <f>IF(AND(ISNUMBER('자료_한국심리'!$A2162),ISNUMBER('자료_한국심리'!$B2162)),'자료_한국심리'!$A2162,"")</f>
        <v/>
      </c>
      <c r="V2178">
        <f>IF(AND(ISNUMBER('자료_한국심리'!$D2162),ISNUMBER('자료_한국심리'!$E2162)),'자료_한국심리'!$D2162,"")</f>
        <v/>
      </c>
      <c r="W2178">
        <f>IF(AND(ISNUMBER('자료_한국심리'!$G2162),ISNUMBER('자료_한국심리'!$H2162)),'자료_한국심리'!$G2162,"")</f>
        <v/>
      </c>
      <c r="X2178">
        <f>IF(AND(ISNUMBER('자료_한국심리'!$J2162),ISNUMBER('자료_한국심리'!$K2162)),'자료_한국심리'!$J2162,"")</f>
        <v/>
      </c>
      <c r="Y2178">
        <f>IF(AND(ISNUMBER('자료_한국심리'!$M2162),ISNUMBER('자료_한국심리'!$N2162)),'자료_한국심리'!$M2162,"")</f>
        <v/>
      </c>
    </row>
    <row r="2179">
      <c r="U2179">
        <f>IF(AND(ISNUMBER('자료_한국심리'!$A2163),ISNUMBER('자료_한국심리'!$B2163)),'자료_한국심리'!$A2163,"")</f>
        <v/>
      </c>
      <c r="V2179">
        <f>IF(AND(ISNUMBER('자료_한국심리'!$D2163),ISNUMBER('자료_한국심리'!$E2163)),'자료_한국심리'!$D2163,"")</f>
        <v/>
      </c>
      <c r="W2179">
        <f>IF(AND(ISNUMBER('자료_한국심리'!$G2163),ISNUMBER('자료_한국심리'!$H2163)),'자료_한국심리'!$G2163,"")</f>
        <v/>
      </c>
      <c r="X2179">
        <f>IF(AND(ISNUMBER('자료_한국심리'!$J2163),ISNUMBER('자료_한국심리'!$K2163)),'자료_한국심리'!$J2163,"")</f>
        <v/>
      </c>
      <c r="Y2179">
        <f>IF(AND(ISNUMBER('자료_한국심리'!$M2163),ISNUMBER('자료_한국심리'!$N2163)),'자료_한국심리'!$M2163,"")</f>
        <v/>
      </c>
    </row>
    <row r="2180">
      <c r="U2180">
        <f>IF(AND(ISNUMBER('자료_한국심리'!$A2164),ISNUMBER('자료_한국심리'!$B2164)),'자료_한국심리'!$A2164,"")</f>
        <v/>
      </c>
      <c r="V2180">
        <f>IF(AND(ISNUMBER('자료_한국심리'!$D2164),ISNUMBER('자료_한국심리'!$E2164)),'자료_한국심리'!$D2164,"")</f>
        <v/>
      </c>
      <c r="W2180">
        <f>IF(AND(ISNUMBER('자료_한국심리'!$G2164),ISNUMBER('자료_한국심리'!$H2164)),'자료_한국심리'!$G2164,"")</f>
        <v/>
      </c>
      <c r="X2180">
        <f>IF(AND(ISNUMBER('자료_한국심리'!$J2164),ISNUMBER('자료_한국심리'!$K2164)),'자료_한국심리'!$J2164,"")</f>
        <v/>
      </c>
      <c r="Y2180">
        <f>IF(AND(ISNUMBER('자료_한국심리'!$M2164),ISNUMBER('자료_한국심리'!$N2164)),'자료_한국심리'!$M2164,"")</f>
        <v/>
      </c>
    </row>
    <row r="2181">
      <c r="U2181">
        <f>IF(AND(ISNUMBER('자료_한국심리'!$A2165),ISNUMBER('자료_한국심리'!$B2165)),'자료_한국심리'!$A2165,"")</f>
        <v/>
      </c>
      <c r="V2181">
        <f>IF(AND(ISNUMBER('자료_한국심리'!$D2165),ISNUMBER('자료_한국심리'!$E2165)),'자료_한국심리'!$D2165,"")</f>
        <v/>
      </c>
      <c r="W2181">
        <f>IF(AND(ISNUMBER('자료_한국심리'!$G2165),ISNUMBER('자료_한국심리'!$H2165)),'자료_한국심리'!$G2165,"")</f>
        <v/>
      </c>
      <c r="X2181">
        <f>IF(AND(ISNUMBER('자료_한국심리'!$J2165),ISNUMBER('자료_한국심리'!$K2165)),'자료_한국심리'!$J2165,"")</f>
        <v/>
      </c>
      <c r="Y2181">
        <f>IF(AND(ISNUMBER('자료_한국심리'!$M2165),ISNUMBER('자료_한국심리'!$N2165)),'자료_한국심리'!$M2165,"")</f>
        <v/>
      </c>
    </row>
    <row r="2182">
      <c r="U2182">
        <f>IF(AND(ISNUMBER('자료_한국심리'!$A2166),ISNUMBER('자료_한국심리'!$B2166)),'자료_한국심리'!$A2166,"")</f>
        <v/>
      </c>
      <c r="V2182">
        <f>IF(AND(ISNUMBER('자료_한국심리'!$D2166),ISNUMBER('자료_한국심리'!$E2166)),'자료_한국심리'!$D2166,"")</f>
        <v/>
      </c>
      <c r="W2182">
        <f>IF(AND(ISNUMBER('자료_한국심리'!$G2166),ISNUMBER('자료_한국심리'!$H2166)),'자료_한국심리'!$G2166,"")</f>
        <v/>
      </c>
      <c r="X2182">
        <f>IF(AND(ISNUMBER('자료_한국심리'!$J2166),ISNUMBER('자료_한국심리'!$K2166)),'자료_한국심리'!$J2166,"")</f>
        <v/>
      </c>
      <c r="Y2182">
        <f>IF(AND(ISNUMBER('자료_한국심리'!$M2166),ISNUMBER('자료_한국심리'!$N2166)),'자료_한국심리'!$M2166,"")</f>
        <v/>
      </c>
    </row>
    <row r="2183">
      <c r="U2183">
        <f>IF(AND(ISNUMBER('자료_한국심리'!$A2167),ISNUMBER('자료_한국심리'!$B2167)),'자료_한국심리'!$A2167,"")</f>
        <v/>
      </c>
      <c r="V2183">
        <f>IF(AND(ISNUMBER('자료_한국심리'!$D2167),ISNUMBER('자료_한국심리'!$E2167)),'자료_한국심리'!$D2167,"")</f>
        <v/>
      </c>
      <c r="W2183">
        <f>IF(AND(ISNUMBER('자료_한국심리'!$G2167),ISNUMBER('자료_한국심리'!$H2167)),'자료_한국심리'!$G2167,"")</f>
        <v/>
      </c>
      <c r="X2183">
        <f>IF(AND(ISNUMBER('자료_한국심리'!$J2167),ISNUMBER('자료_한국심리'!$K2167)),'자료_한국심리'!$J2167,"")</f>
        <v/>
      </c>
      <c r="Y2183">
        <f>IF(AND(ISNUMBER('자료_한국심리'!$M2167),ISNUMBER('자료_한국심리'!$N2167)),'자료_한국심리'!$M2167,"")</f>
        <v/>
      </c>
    </row>
    <row r="2184">
      <c r="U2184">
        <f>IF(AND(ISNUMBER('자료_한국심리'!$A2168),ISNUMBER('자료_한국심리'!$B2168)),'자료_한국심리'!$A2168,"")</f>
        <v/>
      </c>
      <c r="V2184">
        <f>IF(AND(ISNUMBER('자료_한국심리'!$D2168),ISNUMBER('자료_한국심리'!$E2168)),'자료_한국심리'!$D2168,"")</f>
        <v/>
      </c>
      <c r="W2184">
        <f>IF(AND(ISNUMBER('자료_한국심리'!$G2168),ISNUMBER('자료_한국심리'!$H2168)),'자료_한국심리'!$G2168,"")</f>
        <v/>
      </c>
      <c r="X2184">
        <f>IF(AND(ISNUMBER('자료_한국심리'!$J2168),ISNUMBER('자료_한국심리'!$K2168)),'자료_한국심리'!$J2168,"")</f>
        <v/>
      </c>
      <c r="Y2184">
        <f>IF(AND(ISNUMBER('자료_한국심리'!$M2168),ISNUMBER('자료_한국심리'!$N2168)),'자료_한국심리'!$M2168,"")</f>
        <v/>
      </c>
    </row>
    <row r="2185">
      <c r="U2185">
        <f>IF(AND(ISNUMBER('자료_한국심리'!$A2169),ISNUMBER('자료_한국심리'!$B2169)),'자료_한국심리'!$A2169,"")</f>
        <v/>
      </c>
      <c r="V2185">
        <f>IF(AND(ISNUMBER('자료_한국심리'!$D2169),ISNUMBER('자료_한국심리'!$E2169)),'자료_한국심리'!$D2169,"")</f>
        <v/>
      </c>
      <c r="W2185">
        <f>IF(AND(ISNUMBER('자료_한국심리'!$G2169),ISNUMBER('자료_한국심리'!$H2169)),'자료_한국심리'!$G2169,"")</f>
        <v/>
      </c>
      <c r="X2185">
        <f>IF(AND(ISNUMBER('자료_한국심리'!$J2169),ISNUMBER('자료_한국심리'!$K2169)),'자료_한국심리'!$J2169,"")</f>
        <v/>
      </c>
      <c r="Y2185">
        <f>IF(AND(ISNUMBER('자료_한국심리'!$M2169),ISNUMBER('자료_한국심리'!$N2169)),'자료_한국심리'!$M2169,"")</f>
        <v/>
      </c>
    </row>
    <row r="2186">
      <c r="U2186">
        <f>IF(AND(ISNUMBER('자료_한국심리'!$A2170),ISNUMBER('자료_한국심리'!$B2170)),'자료_한국심리'!$A2170,"")</f>
        <v/>
      </c>
      <c r="V2186">
        <f>IF(AND(ISNUMBER('자료_한국심리'!$D2170),ISNUMBER('자료_한국심리'!$E2170)),'자료_한국심리'!$D2170,"")</f>
        <v/>
      </c>
      <c r="W2186">
        <f>IF(AND(ISNUMBER('자료_한국심리'!$G2170),ISNUMBER('자료_한국심리'!$H2170)),'자료_한국심리'!$G2170,"")</f>
        <v/>
      </c>
      <c r="X2186">
        <f>IF(AND(ISNUMBER('자료_한국심리'!$J2170),ISNUMBER('자료_한국심리'!$K2170)),'자료_한국심리'!$J2170,"")</f>
        <v/>
      </c>
      <c r="Y2186">
        <f>IF(AND(ISNUMBER('자료_한국심리'!$M2170),ISNUMBER('자료_한국심리'!$N2170)),'자료_한국심리'!$M2170,"")</f>
        <v/>
      </c>
    </row>
    <row r="2187">
      <c r="U2187">
        <f>IF(AND(ISNUMBER('자료_한국심리'!$A2171),ISNUMBER('자료_한국심리'!$B2171)),'자료_한국심리'!$A2171,"")</f>
        <v/>
      </c>
      <c r="V2187">
        <f>IF(AND(ISNUMBER('자료_한국심리'!$D2171),ISNUMBER('자료_한국심리'!$E2171)),'자료_한국심리'!$D2171,"")</f>
        <v/>
      </c>
      <c r="W2187">
        <f>IF(AND(ISNUMBER('자료_한국심리'!$G2171),ISNUMBER('자료_한국심리'!$H2171)),'자료_한국심리'!$G2171,"")</f>
        <v/>
      </c>
      <c r="X2187">
        <f>IF(AND(ISNUMBER('자료_한국심리'!$J2171),ISNUMBER('자료_한국심리'!$K2171)),'자료_한국심리'!$J2171,"")</f>
        <v/>
      </c>
      <c r="Y2187">
        <f>IF(AND(ISNUMBER('자료_한국심리'!$M2171),ISNUMBER('자료_한국심리'!$N2171)),'자료_한국심리'!$M2171,"")</f>
        <v/>
      </c>
    </row>
    <row r="2188">
      <c r="U2188">
        <f>IF(AND(ISNUMBER('자료_한국심리'!$A2172),ISNUMBER('자료_한국심리'!$B2172)),'자료_한국심리'!$A2172,"")</f>
        <v/>
      </c>
      <c r="V2188">
        <f>IF(AND(ISNUMBER('자료_한국심리'!$D2172),ISNUMBER('자료_한국심리'!$E2172)),'자료_한국심리'!$D2172,"")</f>
        <v/>
      </c>
      <c r="W2188">
        <f>IF(AND(ISNUMBER('자료_한국심리'!$G2172),ISNUMBER('자료_한국심리'!$H2172)),'자료_한국심리'!$G2172,"")</f>
        <v/>
      </c>
      <c r="X2188">
        <f>IF(AND(ISNUMBER('자료_한국심리'!$J2172),ISNUMBER('자료_한국심리'!$K2172)),'자료_한국심리'!$J2172,"")</f>
        <v/>
      </c>
      <c r="Y2188">
        <f>IF(AND(ISNUMBER('자료_한국심리'!$M2172),ISNUMBER('자료_한국심리'!$N2172)),'자료_한국심리'!$M2172,"")</f>
        <v/>
      </c>
    </row>
    <row r="2189">
      <c r="U2189">
        <f>IF(AND(ISNUMBER('자료_한국심리'!$A2173),ISNUMBER('자료_한국심리'!$B2173)),'자료_한국심리'!$A2173,"")</f>
        <v/>
      </c>
      <c r="V2189">
        <f>IF(AND(ISNUMBER('자료_한국심리'!$D2173),ISNUMBER('자료_한국심리'!$E2173)),'자료_한국심리'!$D2173,"")</f>
        <v/>
      </c>
      <c r="W2189">
        <f>IF(AND(ISNUMBER('자료_한국심리'!$G2173),ISNUMBER('자료_한국심리'!$H2173)),'자료_한국심리'!$G2173,"")</f>
        <v/>
      </c>
      <c r="X2189">
        <f>IF(AND(ISNUMBER('자료_한국심리'!$J2173),ISNUMBER('자료_한국심리'!$K2173)),'자료_한국심리'!$J2173,"")</f>
        <v/>
      </c>
      <c r="Y2189">
        <f>IF(AND(ISNUMBER('자료_한국심리'!$M2173),ISNUMBER('자료_한국심리'!$N2173)),'자료_한국심리'!$M2173,"")</f>
        <v/>
      </c>
    </row>
    <row r="2190">
      <c r="U2190">
        <f>IF(AND(ISNUMBER('자료_한국심리'!$A2174),ISNUMBER('자료_한국심리'!$B2174)),'자료_한국심리'!$A2174,"")</f>
        <v/>
      </c>
      <c r="V2190">
        <f>IF(AND(ISNUMBER('자료_한국심리'!$D2174),ISNUMBER('자료_한국심리'!$E2174)),'자료_한국심리'!$D2174,"")</f>
        <v/>
      </c>
      <c r="W2190">
        <f>IF(AND(ISNUMBER('자료_한국심리'!$G2174),ISNUMBER('자료_한국심리'!$H2174)),'자료_한국심리'!$G2174,"")</f>
        <v/>
      </c>
      <c r="X2190">
        <f>IF(AND(ISNUMBER('자료_한국심리'!$J2174),ISNUMBER('자료_한국심리'!$K2174)),'자료_한국심리'!$J2174,"")</f>
        <v/>
      </c>
      <c r="Y2190">
        <f>IF(AND(ISNUMBER('자료_한국심리'!$M2174),ISNUMBER('자료_한국심리'!$N2174)),'자료_한국심리'!$M2174,"")</f>
        <v/>
      </c>
    </row>
    <row r="2191">
      <c r="U2191">
        <f>IF(AND(ISNUMBER('자료_한국심리'!$A2175),ISNUMBER('자료_한국심리'!$B2175)),'자료_한국심리'!$A2175,"")</f>
        <v/>
      </c>
      <c r="V2191">
        <f>IF(AND(ISNUMBER('자료_한국심리'!$D2175),ISNUMBER('자료_한국심리'!$E2175)),'자료_한국심리'!$D2175,"")</f>
        <v/>
      </c>
      <c r="W2191">
        <f>IF(AND(ISNUMBER('자료_한국심리'!$G2175),ISNUMBER('자료_한국심리'!$H2175)),'자료_한국심리'!$G2175,"")</f>
        <v/>
      </c>
      <c r="X2191">
        <f>IF(AND(ISNUMBER('자료_한국심리'!$J2175),ISNUMBER('자료_한국심리'!$K2175)),'자료_한국심리'!$J2175,"")</f>
        <v/>
      </c>
      <c r="Y2191">
        <f>IF(AND(ISNUMBER('자료_한국심리'!$M2175),ISNUMBER('자료_한국심리'!$N2175)),'자료_한국심리'!$M2175,"")</f>
        <v/>
      </c>
    </row>
    <row r="2192">
      <c r="U2192">
        <f>IF(AND(ISNUMBER('자료_한국심리'!$A2176),ISNUMBER('자료_한국심리'!$B2176)),'자료_한국심리'!$A2176,"")</f>
        <v/>
      </c>
      <c r="V2192">
        <f>IF(AND(ISNUMBER('자료_한국심리'!$D2176),ISNUMBER('자료_한국심리'!$E2176)),'자료_한국심리'!$D2176,"")</f>
        <v/>
      </c>
      <c r="W2192">
        <f>IF(AND(ISNUMBER('자료_한국심리'!$G2176),ISNUMBER('자료_한국심리'!$H2176)),'자료_한국심리'!$G2176,"")</f>
        <v/>
      </c>
      <c r="X2192">
        <f>IF(AND(ISNUMBER('자료_한국심리'!$J2176),ISNUMBER('자료_한국심리'!$K2176)),'자료_한국심리'!$J2176,"")</f>
        <v/>
      </c>
      <c r="Y2192">
        <f>IF(AND(ISNUMBER('자료_한국심리'!$M2176),ISNUMBER('자료_한국심리'!$N2176)),'자료_한국심리'!$M2176,"")</f>
        <v/>
      </c>
    </row>
    <row r="2193">
      <c r="U2193">
        <f>IF(AND(ISNUMBER('자료_한국심리'!$A2177),ISNUMBER('자료_한국심리'!$B2177)),'자료_한국심리'!$A2177,"")</f>
        <v/>
      </c>
      <c r="V2193">
        <f>IF(AND(ISNUMBER('자료_한국심리'!$D2177),ISNUMBER('자료_한국심리'!$E2177)),'자료_한국심리'!$D2177,"")</f>
        <v/>
      </c>
      <c r="W2193">
        <f>IF(AND(ISNUMBER('자료_한국심리'!$G2177),ISNUMBER('자료_한국심리'!$H2177)),'자료_한국심리'!$G2177,"")</f>
        <v/>
      </c>
      <c r="X2193">
        <f>IF(AND(ISNUMBER('자료_한국심리'!$J2177),ISNUMBER('자료_한국심리'!$K2177)),'자료_한국심리'!$J2177,"")</f>
        <v/>
      </c>
      <c r="Y2193">
        <f>IF(AND(ISNUMBER('자료_한국심리'!$M2177),ISNUMBER('자료_한국심리'!$N2177)),'자료_한국심리'!$M2177,"")</f>
        <v/>
      </c>
    </row>
    <row r="2194">
      <c r="U2194">
        <f>IF(AND(ISNUMBER('자료_한국심리'!$A2178),ISNUMBER('자료_한국심리'!$B2178)),'자료_한국심리'!$A2178,"")</f>
        <v/>
      </c>
      <c r="V2194">
        <f>IF(AND(ISNUMBER('자료_한국심리'!$D2178),ISNUMBER('자료_한국심리'!$E2178)),'자료_한국심리'!$D2178,"")</f>
        <v/>
      </c>
      <c r="W2194">
        <f>IF(AND(ISNUMBER('자료_한국심리'!$G2178),ISNUMBER('자료_한국심리'!$H2178)),'자료_한국심리'!$G2178,"")</f>
        <v/>
      </c>
      <c r="X2194">
        <f>IF(AND(ISNUMBER('자료_한국심리'!$J2178),ISNUMBER('자료_한국심리'!$K2178)),'자료_한국심리'!$J2178,"")</f>
        <v/>
      </c>
      <c r="Y2194">
        <f>IF(AND(ISNUMBER('자료_한국심리'!$M2178),ISNUMBER('자료_한국심리'!$N2178)),'자료_한국심리'!$M2178,"")</f>
        <v/>
      </c>
    </row>
    <row r="2195">
      <c r="U2195">
        <f>IF(AND(ISNUMBER('자료_한국심리'!$A2179),ISNUMBER('자료_한국심리'!$B2179)),'자료_한국심리'!$A2179,"")</f>
        <v/>
      </c>
      <c r="V2195">
        <f>IF(AND(ISNUMBER('자료_한국심리'!$D2179),ISNUMBER('자료_한국심리'!$E2179)),'자료_한국심리'!$D2179,"")</f>
        <v/>
      </c>
      <c r="W2195">
        <f>IF(AND(ISNUMBER('자료_한국심리'!$G2179),ISNUMBER('자료_한국심리'!$H2179)),'자료_한국심리'!$G2179,"")</f>
        <v/>
      </c>
      <c r="X2195">
        <f>IF(AND(ISNUMBER('자료_한국심리'!$J2179),ISNUMBER('자료_한국심리'!$K2179)),'자료_한국심리'!$J2179,"")</f>
        <v/>
      </c>
      <c r="Y2195">
        <f>IF(AND(ISNUMBER('자료_한국심리'!$M2179),ISNUMBER('자료_한국심리'!$N2179)),'자료_한국심리'!$M2179,"")</f>
        <v/>
      </c>
    </row>
    <row r="2196">
      <c r="U2196">
        <f>IF(AND(ISNUMBER('자료_한국심리'!$A2180),ISNUMBER('자료_한국심리'!$B2180)),'자료_한국심리'!$A2180,"")</f>
        <v/>
      </c>
      <c r="V2196">
        <f>IF(AND(ISNUMBER('자료_한국심리'!$D2180),ISNUMBER('자료_한국심리'!$E2180)),'자료_한국심리'!$D2180,"")</f>
        <v/>
      </c>
      <c r="W2196">
        <f>IF(AND(ISNUMBER('자료_한국심리'!$G2180),ISNUMBER('자료_한국심리'!$H2180)),'자료_한국심리'!$G2180,"")</f>
        <v/>
      </c>
      <c r="X2196">
        <f>IF(AND(ISNUMBER('자료_한국심리'!$J2180),ISNUMBER('자료_한국심리'!$K2180)),'자료_한국심리'!$J2180,"")</f>
        <v/>
      </c>
      <c r="Y2196">
        <f>IF(AND(ISNUMBER('자료_한국심리'!$M2180),ISNUMBER('자료_한국심리'!$N2180)),'자료_한국심리'!$M2180,"")</f>
        <v/>
      </c>
    </row>
    <row r="2197">
      <c r="U2197">
        <f>IF(AND(ISNUMBER('자료_한국심리'!$A2181),ISNUMBER('자료_한국심리'!$B2181)),'자료_한국심리'!$A2181,"")</f>
        <v/>
      </c>
      <c r="V2197">
        <f>IF(AND(ISNUMBER('자료_한국심리'!$D2181),ISNUMBER('자료_한국심리'!$E2181)),'자료_한국심리'!$D2181,"")</f>
        <v/>
      </c>
      <c r="W2197">
        <f>IF(AND(ISNUMBER('자료_한국심리'!$G2181),ISNUMBER('자료_한국심리'!$H2181)),'자료_한국심리'!$G2181,"")</f>
        <v/>
      </c>
      <c r="X2197">
        <f>IF(AND(ISNUMBER('자료_한국심리'!$J2181),ISNUMBER('자료_한국심리'!$K2181)),'자료_한국심리'!$J2181,"")</f>
        <v/>
      </c>
      <c r="Y2197">
        <f>IF(AND(ISNUMBER('자료_한국심리'!$M2181),ISNUMBER('자료_한국심리'!$N2181)),'자료_한국심리'!$M2181,"")</f>
        <v/>
      </c>
    </row>
    <row r="2198">
      <c r="U2198">
        <f>IF(AND(ISNUMBER('자료_한국심리'!$A2182),ISNUMBER('자료_한국심리'!$B2182)),'자료_한국심리'!$A2182,"")</f>
        <v/>
      </c>
      <c r="V2198">
        <f>IF(AND(ISNUMBER('자료_한국심리'!$D2182),ISNUMBER('자료_한국심리'!$E2182)),'자료_한국심리'!$D2182,"")</f>
        <v/>
      </c>
      <c r="W2198">
        <f>IF(AND(ISNUMBER('자료_한국심리'!$G2182),ISNUMBER('자료_한국심리'!$H2182)),'자료_한국심리'!$G2182,"")</f>
        <v/>
      </c>
      <c r="X2198">
        <f>IF(AND(ISNUMBER('자료_한국심리'!$J2182),ISNUMBER('자료_한국심리'!$K2182)),'자료_한국심리'!$J2182,"")</f>
        <v/>
      </c>
      <c r="Y2198">
        <f>IF(AND(ISNUMBER('자료_한국심리'!$M2182),ISNUMBER('자료_한국심리'!$N2182)),'자료_한국심리'!$M2182,"")</f>
        <v/>
      </c>
    </row>
    <row r="2199">
      <c r="U2199">
        <f>IF(AND(ISNUMBER('자료_한국심리'!$A2183),ISNUMBER('자료_한국심리'!$B2183)),'자료_한국심리'!$A2183,"")</f>
        <v/>
      </c>
      <c r="V2199">
        <f>IF(AND(ISNUMBER('자료_한국심리'!$D2183),ISNUMBER('자료_한국심리'!$E2183)),'자료_한국심리'!$D2183,"")</f>
        <v/>
      </c>
      <c r="W2199">
        <f>IF(AND(ISNUMBER('자료_한국심리'!$G2183),ISNUMBER('자료_한국심리'!$H2183)),'자료_한국심리'!$G2183,"")</f>
        <v/>
      </c>
      <c r="X2199">
        <f>IF(AND(ISNUMBER('자료_한국심리'!$J2183),ISNUMBER('자료_한국심리'!$K2183)),'자료_한국심리'!$J2183,"")</f>
        <v/>
      </c>
      <c r="Y2199">
        <f>IF(AND(ISNUMBER('자료_한국심리'!$M2183),ISNUMBER('자료_한국심리'!$N2183)),'자료_한국심리'!$M2183,"")</f>
        <v/>
      </c>
    </row>
    <row r="2200">
      <c r="U2200">
        <f>IF(AND(ISNUMBER('자료_한국심리'!$A2184),ISNUMBER('자료_한국심리'!$B2184)),'자료_한국심리'!$A2184,"")</f>
        <v/>
      </c>
      <c r="V2200">
        <f>IF(AND(ISNUMBER('자료_한국심리'!$D2184),ISNUMBER('자료_한국심리'!$E2184)),'자료_한국심리'!$D2184,"")</f>
        <v/>
      </c>
      <c r="W2200">
        <f>IF(AND(ISNUMBER('자료_한국심리'!$G2184),ISNUMBER('자료_한국심리'!$H2184)),'자료_한국심리'!$G2184,"")</f>
        <v/>
      </c>
      <c r="X2200">
        <f>IF(AND(ISNUMBER('자료_한국심리'!$J2184),ISNUMBER('자료_한국심리'!$K2184)),'자료_한국심리'!$J2184,"")</f>
        <v/>
      </c>
      <c r="Y2200">
        <f>IF(AND(ISNUMBER('자료_한국심리'!$M2184),ISNUMBER('자료_한국심리'!$N2184)),'자료_한국심리'!$M2184,"")</f>
        <v/>
      </c>
    </row>
    <row r="2201">
      <c r="U2201">
        <f>IF(AND(ISNUMBER('자료_한국심리'!$A2185),ISNUMBER('자료_한국심리'!$B2185)),'자료_한국심리'!$A2185,"")</f>
        <v/>
      </c>
      <c r="V2201">
        <f>IF(AND(ISNUMBER('자료_한국심리'!$D2185),ISNUMBER('자료_한국심리'!$E2185)),'자료_한국심리'!$D2185,"")</f>
        <v/>
      </c>
      <c r="W2201">
        <f>IF(AND(ISNUMBER('자료_한국심리'!$G2185),ISNUMBER('자료_한국심리'!$H2185)),'자료_한국심리'!$G2185,"")</f>
        <v/>
      </c>
      <c r="X2201">
        <f>IF(AND(ISNUMBER('자료_한국심리'!$J2185),ISNUMBER('자료_한국심리'!$K2185)),'자료_한국심리'!$J2185,"")</f>
        <v/>
      </c>
      <c r="Y2201">
        <f>IF(AND(ISNUMBER('자료_한국심리'!$M2185),ISNUMBER('자료_한국심리'!$N2185)),'자료_한국심리'!$M2185,"")</f>
        <v/>
      </c>
    </row>
    <row r="2202">
      <c r="U2202">
        <f>IF(AND(ISNUMBER('자료_한국심리'!$A2186),ISNUMBER('자료_한국심리'!$B2186)),'자료_한국심리'!$A2186,"")</f>
        <v/>
      </c>
      <c r="V2202">
        <f>IF(AND(ISNUMBER('자료_한국심리'!$D2186),ISNUMBER('자료_한국심리'!$E2186)),'자료_한국심리'!$D2186,"")</f>
        <v/>
      </c>
      <c r="W2202">
        <f>IF(AND(ISNUMBER('자료_한국심리'!$G2186),ISNUMBER('자료_한국심리'!$H2186)),'자료_한국심리'!$G2186,"")</f>
        <v/>
      </c>
      <c r="X2202">
        <f>IF(AND(ISNUMBER('자료_한국심리'!$J2186),ISNUMBER('자료_한국심리'!$K2186)),'자료_한국심리'!$J2186,"")</f>
        <v/>
      </c>
      <c r="Y2202">
        <f>IF(AND(ISNUMBER('자료_한국심리'!$M2186),ISNUMBER('자료_한국심리'!$N2186)),'자료_한국심리'!$M2186,"")</f>
        <v/>
      </c>
    </row>
    <row r="2203">
      <c r="U2203">
        <f>IF(AND(ISNUMBER('자료_한국심리'!$A2187),ISNUMBER('자료_한국심리'!$B2187)),'자료_한국심리'!$A2187,"")</f>
        <v/>
      </c>
      <c r="V2203">
        <f>IF(AND(ISNUMBER('자료_한국심리'!$D2187),ISNUMBER('자료_한국심리'!$E2187)),'자료_한국심리'!$D2187,"")</f>
        <v/>
      </c>
      <c r="W2203">
        <f>IF(AND(ISNUMBER('자료_한국심리'!$G2187),ISNUMBER('자료_한국심리'!$H2187)),'자료_한국심리'!$G2187,"")</f>
        <v/>
      </c>
      <c r="X2203">
        <f>IF(AND(ISNUMBER('자료_한국심리'!$J2187),ISNUMBER('자료_한국심리'!$K2187)),'자료_한국심리'!$J2187,"")</f>
        <v/>
      </c>
      <c r="Y2203">
        <f>IF(AND(ISNUMBER('자료_한국심리'!$M2187),ISNUMBER('자료_한국심리'!$N2187)),'자료_한국심리'!$M2187,"")</f>
        <v/>
      </c>
    </row>
    <row r="2204">
      <c r="U2204">
        <f>IF(AND(ISNUMBER('자료_한국심리'!$A2188),ISNUMBER('자료_한국심리'!$B2188)),'자료_한국심리'!$A2188,"")</f>
        <v/>
      </c>
      <c r="V2204">
        <f>IF(AND(ISNUMBER('자료_한국심리'!$D2188),ISNUMBER('자료_한국심리'!$E2188)),'자료_한국심리'!$D2188,"")</f>
        <v/>
      </c>
      <c r="W2204">
        <f>IF(AND(ISNUMBER('자료_한국심리'!$G2188),ISNUMBER('자료_한국심리'!$H2188)),'자료_한국심리'!$G2188,"")</f>
        <v/>
      </c>
      <c r="X2204">
        <f>IF(AND(ISNUMBER('자료_한국심리'!$J2188),ISNUMBER('자료_한국심리'!$K2188)),'자료_한국심리'!$J2188,"")</f>
        <v/>
      </c>
      <c r="Y2204">
        <f>IF(AND(ISNUMBER('자료_한국심리'!$M2188),ISNUMBER('자료_한국심리'!$N2188)),'자료_한국심리'!$M2188,"")</f>
        <v/>
      </c>
    </row>
    <row r="2205">
      <c r="U2205">
        <f>IF(AND(ISNUMBER('자료_한국심리'!$A2189),ISNUMBER('자료_한국심리'!$B2189)),'자료_한국심리'!$A2189,"")</f>
        <v/>
      </c>
      <c r="V2205">
        <f>IF(AND(ISNUMBER('자료_한국심리'!$D2189),ISNUMBER('자료_한국심리'!$E2189)),'자료_한국심리'!$D2189,"")</f>
        <v/>
      </c>
      <c r="W2205">
        <f>IF(AND(ISNUMBER('자료_한국심리'!$G2189),ISNUMBER('자료_한국심리'!$H2189)),'자료_한국심리'!$G2189,"")</f>
        <v/>
      </c>
      <c r="X2205">
        <f>IF(AND(ISNUMBER('자료_한국심리'!$J2189),ISNUMBER('자료_한국심리'!$K2189)),'자료_한국심리'!$J2189,"")</f>
        <v/>
      </c>
      <c r="Y2205">
        <f>IF(AND(ISNUMBER('자료_한국심리'!$M2189),ISNUMBER('자료_한국심리'!$N2189)),'자료_한국심리'!$M2189,"")</f>
        <v/>
      </c>
    </row>
    <row r="2206">
      <c r="U2206">
        <f>IF(AND(ISNUMBER('자료_한국심리'!$A2190),ISNUMBER('자료_한국심리'!$B2190)),'자료_한국심리'!$A2190,"")</f>
        <v/>
      </c>
      <c r="V2206">
        <f>IF(AND(ISNUMBER('자료_한국심리'!$D2190),ISNUMBER('자료_한국심리'!$E2190)),'자료_한국심리'!$D2190,"")</f>
        <v/>
      </c>
      <c r="W2206">
        <f>IF(AND(ISNUMBER('자료_한국심리'!$G2190),ISNUMBER('자료_한국심리'!$H2190)),'자료_한국심리'!$G2190,"")</f>
        <v/>
      </c>
      <c r="X2206">
        <f>IF(AND(ISNUMBER('자료_한국심리'!$J2190),ISNUMBER('자료_한국심리'!$K2190)),'자료_한국심리'!$J2190,"")</f>
        <v/>
      </c>
      <c r="Y2206">
        <f>IF(AND(ISNUMBER('자료_한국심리'!$M2190),ISNUMBER('자료_한국심리'!$N2190)),'자료_한국심리'!$M2190,"")</f>
        <v/>
      </c>
    </row>
    <row r="2207">
      <c r="U2207">
        <f>IF(AND(ISNUMBER('자료_한국심리'!$A2191),ISNUMBER('자료_한국심리'!$B2191)),'자료_한국심리'!$A2191,"")</f>
        <v/>
      </c>
      <c r="V2207">
        <f>IF(AND(ISNUMBER('자료_한국심리'!$D2191),ISNUMBER('자료_한국심리'!$E2191)),'자료_한국심리'!$D2191,"")</f>
        <v/>
      </c>
      <c r="W2207">
        <f>IF(AND(ISNUMBER('자료_한국심리'!$G2191),ISNUMBER('자료_한국심리'!$H2191)),'자료_한국심리'!$G2191,"")</f>
        <v/>
      </c>
      <c r="X2207">
        <f>IF(AND(ISNUMBER('자료_한국심리'!$J2191),ISNUMBER('자료_한국심리'!$K2191)),'자료_한국심리'!$J2191,"")</f>
        <v/>
      </c>
      <c r="Y2207">
        <f>IF(AND(ISNUMBER('자료_한국심리'!$M2191),ISNUMBER('자료_한국심리'!$N2191)),'자료_한국심리'!$M2191,"")</f>
        <v/>
      </c>
    </row>
    <row r="2208">
      <c r="U2208">
        <f>IF(AND(ISNUMBER('자료_한국심리'!$A2192),ISNUMBER('자료_한국심리'!$B2192)),'자료_한국심리'!$A2192,"")</f>
        <v/>
      </c>
      <c r="V2208">
        <f>IF(AND(ISNUMBER('자료_한국심리'!$D2192),ISNUMBER('자료_한국심리'!$E2192)),'자료_한국심리'!$D2192,"")</f>
        <v/>
      </c>
      <c r="W2208">
        <f>IF(AND(ISNUMBER('자료_한국심리'!$G2192),ISNUMBER('자료_한국심리'!$H2192)),'자료_한국심리'!$G2192,"")</f>
        <v/>
      </c>
      <c r="X2208">
        <f>IF(AND(ISNUMBER('자료_한국심리'!$J2192),ISNUMBER('자료_한국심리'!$K2192)),'자료_한국심리'!$J2192,"")</f>
        <v/>
      </c>
      <c r="Y2208">
        <f>IF(AND(ISNUMBER('자료_한국심리'!$M2192),ISNUMBER('자료_한국심리'!$N2192)),'자료_한국심리'!$M2192,"")</f>
        <v/>
      </c>
    </row>
    <row r="2209">
      <c r="U2209">
        <f>IF(AND(ISNUMBER('자료_한국심리'!$A2193),ISNUMBER('자료_한국심리'!$B2193)),'자료_한국심리'!$A2193,"")</f>
        <v/>
      </c>
      <c r="V2209">
        <f>IF(AND(ISNUMBER('자료_한국심리'!$D2193),ISNUMBER('자료_한국심리'!$E2193)),'자료_한국심리'!$D2193,"")</f>
        <v/>
      </c>
      <c r="W2209">
        <f>IF(AND(ISNUMBER('자료_한국심리'!$G2193),ISNUMBER('자료_한국심리'!$H2193)),'자료_한국심리'!$G2193,"")</f>
        <v/>
      </c>
      <c r="X2209">
        <f>IF(AND(ISNUMBER('자료_한국심리'!$J2193),ISNUMBER('자료_한국심리'!$K2193)),'자료_한국심리'!$J2193,"")</f>
        <v/>
      </c>
      <c r="Y2209">
        <f>IF(AND(ISNUMBER('자료_한국심리'!$M2193),ISNUMBER('자료_한국심리'!$N2193)),'자료_한국심리'!$M2193,"")</f>
        <v/>
      </c>
    </row>
    <row r="2210">
      <c r="U2210">
        <f>IF(AND(ISNUMBER('자료_한국심리'!$A2194),ISNUMBER('자료_한국심리'!$B2194)),'자료_한국심리'!$A2194,"")</f>
        <v/>
      </c>
      <c r="V2210">
        <f>IF(AND(ISNUMBER('자료_한국심리'!$D2194),ISNUMBER('자료_한국심리'!$E2194)),'자료_한국심리'!$D2194,"")</f>
        <v/>
      </c>
      <c r="W2210">
        <f>IF(AND(ISNUMBER('자료_한국심리'!$G2194),ISNUMBER('자료_한국심리'!$H2194)),'자료_한국심리'!$G2194,"")</f>
        <v/>
      </c>
      <c r="X2210">
        <f>IF(AND(ISNUMBER('자료_한국심리'!$J2194),ISNUMBER('자료_한국심리'!$K2194)),'자료_한국심리'!$J2194,"")</f>
        <v/>
      </c>
      <c r="Y2210">
        <f>IF(AND(ISNUMBER('자료_한국심리'!$M2194),ISNUMBER('자료_한국심리'!$N2194)),'자료_한국심리'!$M2194,"")</f>
        <v/>
      </c>
    </row>
    <row r="2211">
      <c r="U2211">
        <f>IF(AND(ISNUMBER('자료_한국심리'!$A2195),ISNUMBER('자료_한국심리'!$B2195)),'자료_한국심리'!$A2195,"")</f>
        <v/>
      </c>
      <c r="V2211">
        <f>IF(AND(ISNUMBER('자료_한국심리'!$D2195),ISNUMBER('자료_한국심리'!$E2195)),'자료_한국심리'!$D2195,"")</f>
        <v/>
      </c>
      <c r="W2211">
        <f>IF(AND(ISNUMBER('자료_한국심리'!$G2195),ISNUMBER('자료_한국심리'!$H2195)),'자료_한국심리'!$G2195,"")</f>
        <v/>
      </c>
      <c r="X2211">
        <f>IF(AND(ISNUMBER('자료_한국심리'!$J2195),ISNUMBER('자료_한국심리'!$K2195)),'자료_한국심리'!$J2195,"")</f>
        <v/>
      </c>
      <c r="Y2211">
        <f>IF(AND(ISNUMBER('자료_한국심리'!$M2195),ISNUMBER('자료_한국심리'!$N2195)),'자료_한국심리'!$M2195,"")</f>
        <v/>
      </c>
    </row>
    <row r="2212">
      <c r="U2212">
        <f>IF(AND(ISNUMBER('자료_한국심리'!$A2196),ISNUMBER('자료_한국심리'!$B2196)),'자료_한국심리'!$A2196,"")</f>
        <v/>
      </c>
      <c r="V2212">
        <f>IF(AND(ISNUMBER('자료_한국심리'!$D2196),ISNUMBER('자료_한국심리'!$E2196)),'자료_한국심리'!$D2196,"")</f>
        <v/>
      </c>
      <c r="W2212">
        <f>IF(AND(ISNUMBER('자료_한국심리'!$G2196),ISNUMBER('자료_한국심리'!$H2196)),'자료_한국심리'!$G2196,"")</f>
        <v/>
      </c>
      <c r="X2212">
        <f>IF(AND(ISNUMBER('자료_한국심리'!$J2196),ISNUMBER('자료_한국심리'!$K2196)),'자료_한국심리'!$J2196,"")</f>
        <v/>
      </c>
      <c r="Y2212">
        <f>IF(AND(ISNUMBER('자료_한국심리'!$M2196),ISNUMBER('자료_한국심리'!$N2196)),'자료_한국심리'!$M2196,"")</f>
        <v/>
      </c>
    </row>
    <row r="2213">
      <c r="U2213">
        <f>IF(AND(ISNUMBER('자료_한국심리'!$A2197),ISNUMBER('자료_한국심리'!$B2197)),'자료_한국심리'!$A2197,"")</f>
        <v/>
      </c>
      <c r="V2213">
        <f>IF(AND(ISNUMBER('자료_한국심리'!$D2197),ISNUMBER('자료_한국심리'!$E2197)),'자료_한국심리'!$D2197,"")</f>
        <v/>
      </c>
      <c r="W2213">
        <f>IF(AND(ISNUMBER('자료_한국심리'!$G2197),ISNUMBER('자료_한국심리'!$H2197)),'자료_한국심리'!$G2197,"")</f>
        <v/>
      </c>
      <c r="X2213">
        <f>IF(AND(ISNUMBER('자료_한국심리'!$J2197),ISNUMBER('자료_한국심리'!$K2197)),'자료_한국심리'!$J2197,"")</f>
        <v/>
      </c>
      <c r="Y2213">
        <f>IF(AND(ISNUMBER('자료_한국심리'!$M2197),ISNUMBER('자료_한국심리'!$N2197)),'자료_한국심리'!$M2197,"")</f>
        <v/>
      </c>
    </row>
    <row r="2214">
      <c r="U2214">
        <f>IF(AND(ISNUMBER('자료_한국심리'!$A2198),ISNUMBER('자료_한국심리'!$B2198)),'자료_한국심리'!$A2198,"")</f>
        <v/>
      </c>
      <c r="V2214">
        <f>IF(AND(ISNUMBER('자료_한국심리'!$D2198),ISNUMBER('자료_한국심리'!$E2198)),'자료_한국심리'!$D2198,"")</f>
        <v/>
      </c>
      <c r="W2214">
        <f>IF(AND(ISNUMBER('자료_한국심리'!$G2198),ISNUMBER('자료_한국심리'!$H2198)),'자료_한국심리'!$G2198,"")</f>
        <v/>
      </c>
      <c r="X2214">
        <f>IF(AND(ISNUMBER('자료_한국심리'!$J2198),ISNUMBER('자료_한국심리'!$K2198)),'자료_한국심리'!$J2198,"")</f>
        <v/>
      </c>
      <c r="Y2214">
        <f>IF(AND(ISNUMBER('자료_한국심리'!$M2198),ISNUMBER('자료_한국심리'!$N2198)),'자료_한국심리'!$M2198,"")</f>
        <v/>
      </c>
    </row>
    <row r="2215">
      <c r="U2215">
        <f>IF(AND(ISNUMBER('자료_한국심리'!$A2199),ISNUMBER('자료_한국심리'!$B2199)),'자료_한국심리'!$A2199,"")</f>
        <v/>
      </c>
      <c r="V2215">
        <f>IF(AND(ISNUMBER('자료_한국심리'!$D2199),ISNUMBER('자료_한국심리'!$E2199)),'자료_한국심리'!$D2199,"")</f>
        <v/>
      </c>
      <c r="W2215">
        <f>IF(AND(ISNUMBER('자료_한국심리'!$G2199),ISNUMBER('자료_한국심리'!$H2199)),'자료_한국심리'!$G2199,"")</f>
        <v/>
      </c>
      <c r="X2215">
        <f>IF(AND(ISNUMBER('자료_한국심리'!$J2199),ISNUMBER('자료_한국심리'!$K2199)),'자료_한국심리'!$J2199,"")</f>
        <v/>
      </c>
      <c r="Y2215">
        <f>IF(AND(ISNUMBER('자료_한국심리'!$M2199),ISNUMBER('자료_한국심리'!$N2199)),'자료_한국심리'!$M2199,"")</f>
        <v/>
      </c>
    </row>
    <row r="2216">
      <c r="U2216">
        <f>IF(AND(ISNUMBER('자료_한국심리'!$A2200),ISNUMBER('자료_한국심리'!$B2200)),'자료_한국심리'!$A2200,"")</f>
        <v/>
      </c>
      <c r="V2216">
        <f>IF(AND(ISNUMBER('자료_한국심리'!$D2200),ISNUMBER('자료_한국심리'!$E2200)),'자료_한국심리'!$D2200,"")</f>
        <v/>
      </c>
      <c r="W2216">
        <f>IF(AND(ISNUMBER('자료_한국심리'!$G2200),ISNUMBER('자료_한국심리'!$H2200)),'자료_한국심리'!$G2200,"")</f>
        <v/>
      </c>
      <c r="X2216">
        <f>IF(AND(ISNUMBER('자료_한국심리'!$J2200),ISNUMBER('자료_한국심리'!$K2200)),'자료_한국심리'!$J2200,"")</f>
        <v/>
      </c>
      <c r="Y2216">
        <f>IF(AND(ISNUMBER('자료_한국심리'!$M2200),ISNUMBER('자료_한국심리'!$N2200)),'자료_한국심리'!$M2200,"")</f>
        <v/>
      </c>
    </row>
    <row r="2217">
      <c r="U2217">
        <f>IF(AND(ISNUMBER('자료_한국심리'!$A2201),ISNUMBER('자료_한국심리'!$B2201)),'자료_한국심리'!$A2201,"")</f>
        <v/>
      </c>
      <c r="V2217">
        <f>IF(AND(ISNUMBER('자료_한국심리'!$D2201),ISNUMBER('자료_한국심리'!$E2201)),'자료_한국심리'!$D2201,"")</f>
        <v/>
      </c>
      <c r="W2217">
        <f>IF(AND(ISNUMBER('자료_한국심리'!$G2201),ISNUMBER('자료_한국심리'!$H2201)),'자료_한국심리'!$G2201,"")</f>
        <v/>
      </c>
      <c r="X2217">
        <f>IF(AND(ISNUMBER('자료_한국심리'!$J2201),ISNUMBER('자료_한국심리'!$K2201)),'자료_한국심리'!$J2201,"")</f>
        <v/>
      </c>
      <c r="Y2217">
        <f>IF(AND(ISNUMBER('자료_한국심리'!$M2201),ISNUMBER('자료_한국심리'!$N2201)),'자료_한국심리'!$M2201,"")</f>
        <v/>
      </c>
    </row>
    <row r="2218">
      <c r="U2218">
        <f>IF(AND(ISNUMBER('자료_한국심리'!$A2202),ISNUMBER('자료_한국심리'!$B2202)),'자료_한국심리'!$A2202,"")</f>
        <v/>
      </c>
      <c r="V2218">
        <f>IF(AND(ISNUMBER('자료_한국심리'!$D2202),ISNUMBER('자료_한국심리'!$E2202)),'자료_한국심리'!$D2202,"")</f>
        <v/>
      </c>
      <c r="W2218">
        <f>IF(AND(ISNUMBER('자료_한국심리'!$G2202),ISNUMBER('자료_한국심리'!$H2202)),'자료_한국심리'!$G2202,"")</f>
        <v/>
      </c>
      <c r="X2218">
        <f>IF(AND(ISNUMBER('자료_한국심리'!$J2202),ISNUMBER('자료_한국심리'!$K2202)),'자료_한국심리'!$J2202,"")</f>
        <v/>
      </c>
      <c r="Y2218">
        <f>IF(AND(ISNUMBER('자료_한국심리'!$M2202),ISNUMBER('자료_한국심리'!$N2202)),'자료_한국심리'!$M2202,"")</f>
        <v/>
      </c>
    </row>
    <row r="2219">
      <c r="U2219">
        <f>IF(AND(ISNUMBER('자료_한국심리'!$A2203),ISNUMBER('자료_한국심리'!$B2203)),'자료_한국심리'!$A2203,"")</f>
        <v/>
      </c>
      <c r="V2219">
        <f>IF(AND(ISNUMBER('자료_한국심리'!$D2203),ISNUMBER('자료_한국심리'!$E2203)),'자료_한국심리'!$D2203,"")</f>
        <v/>
      </c>
      <c r="W2219">
        <f>IF(AND(ISNUMBER('자료_한국심리'!$G2203),ISNUMBER('자료_한국심리'!$H2203)),'자료_한국심리'!$G2203,"")</f>
        <v/>
      </c>
      <c r="X2219">
        <f>IF(AND(ISNUMBER('자료_한국심리'!$J2203),ISNUMBER('자료_한국심리'!$K2203)),'자료_한국심리'!$J2203,"")</f>
        <v/>
      </c>
      <c r="Y2219">
        <f>IF(AND(ISNUMBER('자료_한국심리'!$M2203),ISNUMBER('자료_한국심리'!$N2203)),'자료_한국심리'!$M2203,"")</f>
        <v/>
      </c>
    </row>
    <row r="2220">
      <c r="U2220">
        <f>IF(AND(ISNUMBER('자료_한국심리'!$A2204),ISNUMBER('자료_한국심리'!$B2204)),'자료_한국심리'!$A2204,"")</f>
        <v/>
      </c>
      <c r="V2220">
        <f>IF(AND(ISNUMBER('자료_한국심리'!$D2204),ISNUMBER('자료_한국심리'!$E2204)),'자료_한국심리'!$D2204,"")</f>
        <v/>
      </c>
      <c r="W2220">
        <f>IF(AND(ISNUMBER('자료_한국심리'!$G2204),ISNUMBER('자료_한국심리'!$H2204)),'자료_한국심리'!$G2204,"")</f>
        <v/>
      </c>
      <c r="X2220">
        <f>IF(AND(ISNUMBER('자료_한국심리'!$J2204),ISNUMBER('자료_한국심리'!$K2204)),'자료_한국심리'!$J2204,"")</f>
        <v/>
      </c>
      <c r="Y2220">
        <f>IF(AND(ISNUMBER('자료_한국심리'!$M2204),ISNUMBER('자료_한국심리'!$N2204)),'자료_한국심리'!$M2204,"")</f>
        <v/>
      </c>
    </row>
    <row r="2221">
      <c r="U2221">
        <f>IF(AND(ISNUMBER('자료_한국심리'!$A2205),ISNUMBER('자료_한국심리'!$B2205)),'자료_한국심리'!$A2205,"")</f>
        <v/>
      </c>
      <c r="V2221">
        <f>IF(AND(ISNUMBER('자료_한국심리'!$D2205),ISNUMBER('자료_한국심리'!$E2205)),'자료_한국심리'!$D2205,"")</f>
        <v/>
      </c>
      <c r="W2221">
        <f>IF(AND(ISNUMBER('자료_한국심리'!$G2205),ISNUMBER('자료_한국심리'!$H2205)),'자료_한국심리'!$G2205,"")</f>
        <v/>
      </c>
      <c r="X2221">
        <f>IF(AND(ISNUMBER('자료_한국심리'!$J2205),ISNUMBER('자료_한국심리'!$K2205)),'자료_한국심리'!$J2205,"")</f>
        <v/>
      </c>
      <c r="Y2221">
        <f>IF(AND(ISNUMBER('자료_한국심리'!$M2205),ISNUMBER('자료_한국심리'!$N2205)),'자료_한국심리'!$M2205,"")</f>
        <v/>
      </c>
    </row>
    <row r="2222">
      <c r="U2222">
        <f>IF(AND(ISNUMBER('자료_한국심리'!$A2206),ISNUMBER('자료_한국심리'!$B2206)),'자료_한국심리'!$A2206,"")</f>
        <v/>
      </c>
      <c r="V2222">
        <f>IF(AND(ISNUMBER('자료_한국심리'!$D2206),ISNUMBER('자료_한국심리'!$E2206)),'자료_한국심리'!$D2206,"")</f>
        <v/>
      </c>
      <c r="W2222">
        <f>IF(AND(ISNUMBER('자료_한국심리'!$G2206),ISNUMBER('자료_한국심리'!$H2206)),'자료_한국심리'!$G2206,"")</f>
        <v/>
      </c>
      <c r="X2222">
        <f>IF(AND(ISNUMBER('자료_한국심리'!$J2206),ISNUMBER('자료_한국심리'!$K2206)),'자료_한국심리'!$J2206,"")</f>
        <v/>
      </c>
      <c r="Y2222">
        <f>IF(AND(ISNUMBER('자료_한국심리'!$M2206),ISNUMBER('자료_한국심리'!$N2206)),'자료_한국심리'!$M2206,"")</f>
        <v/>
      </c>
    </row>
    <row r="2223">
      <c r="U2223">
        <f>IF(AND(ISNUMBER('자료_한국심리'!$A2207),ISNUMBER('자료_한국심리'!$B2207)),'자료_한국심리'!$A2207,"")</f>
        <v/>
      </c>
      <c r="V2223">
        <f>IF(AND(ISNUMBER('자료_한국심리'!$D2207),ISNUMBER('자료_한국심리'!$E2207)),'자료_한국심리'!$D2207,"")</f>
        <v/>
      </c>
      <c r="W2223">
        <f>IF(AND(ISNUMBER('자료_한국심리'!$G2207),ISNUMBER('자료_한국심리'!$H2207)),'자료_한국심리'!$G2207,"")</f>
        <v/>
      </c>
      <c r="X2223">
        <f>IF(AND(ISNUMBER('자료_한국심리'!$J2207),ISNUMBER('자료_한국심리'!$K2207)),'자료_한국심리'!$J2207,"")</f>
        <v/>
      </c>
      <c r="Y2223">
        <f>IF(AND(ISNUMBER('자료_한국심리'!$M2207),ISNUMBER('자료_한국심리'!$N2207)),'자료_한국심리'!$M2207,"")</f>
        <v/>
      </c>
    </row>
    <row r="2224">
      <c r="U2224">
        <f>IF(AND(ISNUMBER('자료_한국심리'!$A2208),ISNUMBER('자료_한국심리'!$B2208)),'자료_한국심리'!$A2208,"")</f>
        <v/>
      </c>
      <c r="V2224">
        <f>IF(AND(ISNUMBER('자료_한국심리'!$D2208),ISNUMBER('자료_한국심리'!$E2208)),'자료_한국심리'!$D2208,"")</f>
        <v/>
      </c>
      <c r="W2224">
        <f>IF(AND(ISNUMBER('자료_한국심리'!$G2208),ISNUMBER('자료_한국심리'!$H2208)),'자료_한국심리'!$G2208,"")</f>
        <v/>
      </c>
      <c r="X2224">
        <f>IF(AND(ISNUMBER('자료_한국심리'!$J2208),ISNUMBER('자료_한국심리'!$K2208)),'자료_한국심리'!$J2208,"")</f>
        <v/>
      </c>
      <c r="Y2224">
        <f>IF(AND(ISNUMBER('자료_한국심리'!$M2208),ISNUMBER('자료_한국심리'!$N2208)),'자료_한국심리'!$M2208,"")</f>
        <v/>
      </c>
    </row>
    <row r="2225">
      <c r="U2225">
        <f>IF(AND(ISNUMBER('자료_한국심리'!$A2209),ISNUMBER('자료_한국심리'!$B2209)),'자료_한국심리'!$A2209,"")</f>
        <v/>
      </c>
      <c r="V2225">
        <f>IF(AND(ISNUMBER('자료_한국심리'!$D2209),ISNUMBER('자료_한국심리'!$E2209)),'자료_한국심리'!$D2209,"")</f>
        <v/>
      </c>
      <c r="W2225">
        <f>IF(AND(ISNUMBER('자료_한국심리'!$G2209),ISNUMBER('자료_한국심리'!$H2209)),'자료_한국심리'!$G2209,"")</f>
        <v/>
      </c>
      <c r="X2225">
        <f>IF(AND(ISNUMBER('자료_한국심리'!$J2209),ISNUMBER('자료_한국심리'!$K2209)),'자료_한국심리'!$J2209,"")</f>
        <v/>
      </c>
      <c r="Y2225">
        <f>IF(AND(ISNUMBER('자료_한국심리'!$M2209),ISNUMBER('자료_한국심리'!$N2209)),'자료_한국심리'!$M2209,"")</f>
        <v/>
      </c>
    </row>
    <row r="2226">
      <c r="U2226">
        <f>IF(AND(ISNUMBER('자료_한국심리'!$A2210),ISNUMBER('자료_한국심리'!$B2210)),'자료_한국심리'!$A2210,"")</f>
        <v/>
      </c>
      <c r="V2226">
        <f>IF(AND(ISNUMBER('자료_한국심리'!$D2210),ISNUMBER('자료_한국심리'!$E2210)),'자료_한국심리'!$D2210,"")</f>
        <v/>
      </c>
      <c r="W2226">
        <f>IF(AND(ISNUMBER('자료_한국심리'!$G2210),ISNUMBER('자료_한국심리'!$H2210)),'자료_한국심리'!$G2210,"")</f>
        <v/>
      </c>
      <c r="X2226">
        <f>IF(AND(ISNUMBER('자료_한국심리'!$J2210),ISNUMBER('자료_한국심리'!$K2210)),'자료_한국심리'!$J2210,"")</f>
        <v/>
      </c>
      <c r="Y2226">
        <f>IF(AND(ISNUMBER('자료_한국심리'!$M2210),ISNUMBER('자료_한국심리'!$N2210)),'자료_한국심리'!$M2210,"")</f>
        <v/>
      </c>
    </row>
    <row r="2227">
      <c r="U2227">
        <f>IF(AND(ISNUMBER('자료_한국심리'!$A2211),ISNUMBER('자료_한국심리'!$B2211)),'자료_한국심리'!$A2211,"")</f>
        <v/>
      </c>
      <c r="V2227">
        <f>IF(AND(ISNUMBER('자료_한국심리'!$D2211),ISNUMBER('자료_한국심리'!$E2211)),'자료_한국심리'!$D2211,"")</f>
        <v/>
      </c>
      <c r="W2227">
        <f>IF(AND(ISNUMBER('자료_한국심리'!$G2211),ISNUMBER('자료_한국심리'!$H2211)),'자료_한국심리'!$G2211,"")</f>
        <v/>
      </c>
      <c r="X2227">
        <f>IF(AND(ISNUMBER('자료_한국심리'!$J2211),ISNUMBER('자료_한국심리'!$K2211)),'자료_한국심리'!$J2211,"")</f>
        <v/>
      </c>
      <c r="Y2227">
        <f>IF(AND(ISNUMBER('자료_한국심리'!$M2211),ISNUMBER('자료_한국심리'!$N2211)),'자료_한국심리'!$M2211,"")</f>
        <v/>
      </c>
    </row>
    <row r="2228">
      <c r="U2228">
        <f>IF(AND(ISNUMBER('자료_한국심리'!$A2212),ISNUMBER('자료_한국심리'!$B2212)),'자료_한국심리'!$A2212,"")</f>
        <v/>
      </c>
      <c r="V2228">
        <f>IF(AND(ISNUMBER('자료_한국심리'!$D2212),ISNUMBER('자료_한국심리'!$E2212)),'자료_한국심리'!$D2212,"")</f>
        <v/>
      </c>
      <c r="W2228">
        <f>IF(AND(ISNUMBER('자료_한국심리'!$G2212),ISNUMBER('자료_한국심리'!$H2212)),'자료_한국심리'!$G2212,"")</f>
        <v/>
      </c>
      <c r="X2228">
        <f>IF(AND(ISNUMBER('자료_한국심리'!$J2212),ISNUMBER('자료_한국심리'!$K2212)),'자료_한국심리'!$J2212,"")</f>
        <v/>
      </c>
      <c r="Y2228">
        <f>IF(AND(ISNUMBER('자료_한국심리'!$M2212),ISNUMBER('자료_한국심리'!$N2212)),'자료_한국심리'!$M2212,"")</f>
        <v/>
      </c>
    </row>
    <row r="2229">
      <c r="U2229">
        <f>IF(AND(ISNUMBER('자료_한국심리'!$A2213),ISNUMBER('자료_한국심리'!$B2213)),'자료_한국심리'!$A2213,"")</f>
        <v/>
      </c>
      <c r="V2229">
        <f>IF(AND(ISNUMBER('자료_한국심리'!$D2213),ISNUMBER('자료_한국심리'!$E2213)),'자료_한국심리'!$D2213,"")</f>
        <v/>
      </c>
      <c r="W2229">
        <f>IF(AND(ISNUMBER('자료_한국심리'!$G2213),ISNUMBER('자료_한국심리'!$H2213)),'자료_한국심리'!$G2213,"")</f>
        <v/>
      </c>
      <c r="X2229">
        <f>IF(AND(ISNUMBER('자료_한국심리'!$J2213),ISNUMBER('자료_한국심리'!$K2213)),'자료_한국심리'!$J2213,"")</f>
        <v/>
      </c>
      <c r="Y2229">
        <f>IF(AND(ISNUMBER('자료_한국심리'!$M2213),ISNUMBER('자료_한국심리'!$N2213)),'자료_한국심리'!$M2213,"")</f>
        <v/>
      </c>
    </row>
    <row r="2230">
      <c r="U2230">
        <f>IF(AND(ISNUMBER('자료_한국심리'!$A2214),ISNUMBER('자료_한국심리'!$B2214)),'자료_한국심리'!$A2214,"")</f>
        <v/>
      </c>
      <c r="V2230">
        <f>IF(AND(ISNUMBER('자료_한국심리'!$D2214),ISNUMBER('자료_한국심리'!$E2214)),'자료_한국심리'!$D2214,"")</f>
        <v/>
      </c>
      <c r="W2230">
        <f>IF(AND(ISNUMBER('자료_한국심리'!$G2214),ISNUMBER('자료_한국심리'!$H2214)),'자료_한국심리'!$G2214,"")</f>
        <v/>
      </c>
      <c r="X2230">
        <f>IF(AND(ISNUMBER('자료_한국심리'!$J2214),ISNUMBER('자료_한국심리'!$K2214)),'자료_한국심리'!$J2214,"")</f>
        <v/>
      </c>
      <c r="Y2230">
        <f>IF(AND(ISNUMBER('자료_한국심리'!$M2214),ISNUMBER('자료_한국심리'!$N2214)),'자료_한국심리'!$M2214,"")</f>
        <v/>
      </c>
    </row>
    <row r="2231">
      <c r="U2231">
        <f>IF(AND(ISNUMBER('자료_한국심리'!$A2215),ISNUMBER('자료_한국심리'!$B2215)),'자료_한국심리'!$A2215,"")</f>
        <v/>
      </c>
      <c r="V2231">
        <f>IF(AND(ISNUMBER('자료_한국심리'!$D2215),ISNUMBER('자료_한국심리'!$E2215)),'자료_한국심리'!$D2215,"")</f>
        <v/>
      </c>
      <c r="W2231">
        <f>IF(AND(ISNUMBER('자료_한국심리'!$G2215),ISNUMBER('자료_한국심리'!$H2215)),'자료_한국심리'!$G2215,"")</f>
        <v/>
      </c>
      <c r="X2231">
        <f>IF(AND(ISNUMBER('자료_한국심리'!$J2215),ISNUMBER('자료_한국심리'!$K2215)),'자료_한국심리'!$J2215,"")</f>
        <v/>
      </c>
      <c r="Y2231">
        <f>IF(AND(ISNUMBER('자료_한국심리'!$M2215),ISNUMBER('자료_한국심리'!$N2215)),'자료_한국심리'!$M2215,"")</f>
        <v/>
      </c>
    </row>
    <row r="2232">
      <c r="U2232">
        <f>IF(AND(ISNUMBER('자료_한국심리'!$A2216),ISNUMBER('자료_한국심리'!$B2216)),'자료_한국심리'!$A2216,"")</f>
        <v/>
      </c>
      <c r="V2232">
        <f>IF(AND(ISNUMBER('자료_한국심리'!$D2216),ISNUMBER('자료_한국심리'!$E2216)),'자료_한국심리'!$D2216,"")</f>
        <v/>
      </c>
      <c r="W2232">
        <f>IF(AND(ISNUMBER('자료_한국심리'!$G2216),ISNUMBER('자료_한국심리'!$H2216)),'자료_한국심리'!$G2216,"")</f>
        <v/>
      </c>
      <c r="X2232">
        <f>IF(AND(ISNUMBER('자료_한국심리'!$J2216),ISNUMBER('자료_한국심리'!$K2216)),'자료_한국심리'!$J2216,"")</f>
        <v/>
      </c>
      <c r="Y2232">
        <f>IF(AND(ISNUMBER('자료_한국심리'!$M2216),ISNUMBER('자료_한국심리'!$N2216)),'자료_한국심리'!$M2216,"")</f>
        <v/>
      </c>
    </row>
    <row r="2233">
      <c r="U2233">
        <f>IF(AND(ISNUMBER('자료_한국심리'!$A2217),ISNUMBER('자료_한국심리'!$B2217)),'자료_한국심리'!$A2217,"")</f>
        <v/>
      </c>
      <c r="V2233">
        <f>IF(AND(ISNUMBER('자료_한국심리'!$D2217),ISNUMBER('자료_한국심리'!$E2217)),'자료_한국심리'!$D2217,"")</f>
        <v/>
      </c>
      <c r="W2233">
        <f>IF(AND(ISNUMBER('자료_한국심리'!$G2217),ISNUMBER('자료_한국심리'!$H2217)),'자료_한국심리'!$G2217,"")</f>
        <v/>
      </c>
      <c r="X2233">
        <f>IF(AND(ISNUMBER('자료_한국심리'!$J2217),ISNUMBER('자료_한국심리'!$K2217)),'자료_한국심리'!$J2217,"")</f>
        <v/>
      </c>
      <c r="Y2233">
        <f>IF(AND(ISNUMBER('자료_한국심리'!$M2217),ISNUMBER('자료_한국심리'!$N2217)),'자료_한국심리'!$M2217,"")</f>
        <v/>
      </c>
    </row>
    <row r="2234">
      <c r="U2234">
        <f>IF(AND(ISNUMBER('자료_한국심리'!$A2218),ISNUMBER('자료_한국심리'!$B2218)),'자료_한국심리'!$A2218,"")</f>
        <v/>
      </c>
      <c r="V2234">
        <f>IF(AND(ISNUMBER('자료_한국심리'!$D2218),ISNUMBER('자료_한국심리'!$E2218)),'자료_한국심리'!$D2218,"")</f>
        <v/>
      </c>
      <c r="W2234">
        <f>IF(AND(ISNUMBER('자료_한국심리'!$G2218),ISNUMBER('자료_한국심리'!$H2218)),'자료_한국심리'!$G2218,"")</f>
        <v/>
      </c>
      <c r="X2234">
        <f>IF(AND(ISNUMBER('자료_한국심리'!$J2218),ISNUMBER('자료_한국심리'!$K2218)),'자료_한국심리'!$J2218,"")</f>
        <v/>
      </c>
      <c r="Y2234">
        <f>IF(AND(ISNUMBER('자료_한국심리'!$M2218),ISNUMBER('자료_한국심리'!$N2218)),'자료_한국심리'!$M2218,"")</f>
        <v/>
      </c>
    </row>
    <row r="2235">
      <c r="U2235">
        <f>IF(AND(ISNUMBER('자료_한국심리'!$A2219),ISNUMBER('자료_한국심리'!$B2219)),'자료_한국심리'!$A2219,"")</f>
        <v/>
      </c>
      <c r="V2235">
        <f>IF(AND(ISNUMBER('자료_한국심리'!$D2219),ISNUMBER('자료_한국심리'!$E2219)),'자료_한국심리'!$D2219,"")</f>
        <v/>
      </c>
      <c r="W2235">
        <f>IF(AND(ISNUMBER('자료_한국심리'!$G2219),ISNUMBER('자료_한국심리'!$H2219)),'자료_한국심리'!$G2219,"")</f>
        <v/>
      </c>
      <c r="X2235">
        <f>IF(AND(ISNUMBER('자료_한국심리'!$J2219),ISNUMBER('자료_한국심리'!$K2219)),'자료_한국심리'!$J2219,"")</f>
        <v/>
      </c>
      <c r="Y2235">
        <f>IF(AND(ISNUMBER('자료_한국심리'!$M2219),ISNUMBER('자료_한국심리'!$N2219)),'자료_한국심리'!$M2219,"")</f>
        <v/>
      </c>
    </row>
    <row r="2236">
      <c r="U2236">
        <f>IF(AND(ISNUMBER('자료_한국심리'!$A2220),ISNUMBER('자료_한국심리'!$B2220)),'자료_한국심리'!$A2220,"")</f>
        <v/>
      </c>
      <c r="V2236">
        <f>IF(AND(ISNUMBER('자료_한국심리'!$D2220),ISNUMBER('자료_한국심리'!$E2220)),'자료_한국심리'!$D2220,"")</f>
        <v/>
      </c>
      <c r="W2236">
        <f>IF(AND(ISNUMBER('자료_한국심리'!$G2220),ISNUMBER('자료_한국심리'!$H2220)),'자료_한국심리'!$G2220,"")</f>
        <v/>
      </c>
      <c r="X2236">
        <f>IF(AND(ISNUMBER('자료_한국심리'!$J2220),ISNUMBER('자료_한국심리'!$K2220)),'자료_한국심리'!$J2220,"")</f>
        <v/>
      </c>
      <c r="Y2236">
        <f>IF(AND(ISNUMBER('자료_한국심리'!$M2220),ISNUMBER('자료_한국심리'!$N2220)),'자료_한국심리'!$M2220,"")</f>
        <v/>
      </c>
    </row>
    <row r="2237">
      <c r="U2237">
        <f>IF(AND(ISNUMBER('자료_한국심리'!$A2221),ISNUMBER('자료_한국심리'!$B2221)),'자료_한국심리'!$A2221,"")</f>
        <v/>
      </c>
      <c r="V2237">
        <f>IF(AND(ISNUMBER('자료_한국심리'!$D2221),ISNUMBER('자료_한국심리'!$E2221)),'자료_한국심리'!$D2221,"")</f>
        <v/>
      </c>
      <c r="W2237">
        <f>IF(AND(ISNUMBER('자료_한국심리'!$G2221),ISNUMBER('자료_한국심리'!$H2221)),'자료_한국심리'!$G2221,"")</f>
        <v/>
      </c>
      <c r="X2237">
        <f>IF(AND(ISNUMBER('자료_한국심리'!$J2221),ISNUMBER('자료_한국심리'!$K2221)),'자료_한국심리'!$J2221,"")</f>
        <v/>
      </c>
      <c r="Y2237">
        <f>IF(AND(ISNUMBER('자료_한국심리'!$M2221),ISNUMBER('자료_한국심리'!$N2221)),'자료_한국심리'!$M2221,"")</f>
        <v/>
      </c>
    </row>
    <row r="2238">
      <c r="U2238">
        <f>IF(AND(ISNUMBER('자료_한국심리'!$A2222),ISNUMBER('자료_한국심리'!$B2222)),'자료_한국심리'!$A2222,"")</f>
        <v/>
      </c>
      <c r="V2238">
        <f>IF(AND(ISNUMBER('자료_한국심리'!$D2222),ISNUMBER('자료_한국심리'!$E2222)),'자료_한국심리'!$D2222,"")</f>
        <v/>
      </c>
      <c r="W2238">
        <f>IF(AND(ISNUMBER('자료_한국심리'!$G2222),ISNUMBER('자료_한국심리'!$H2222)),'자료_한국심리'!$G2222,"")</f>
        <v/>
      </c>
      <c r="X2238">
        <f>IF(AND(ISNUMBER('자료_한국심리'!$J2222),ISNUMBER('자료_한국심리'!$K2222)),'자료_한국심리'!$J2222,"")</f>
        <v/>
      </c>
      <c r="Y2238">
        <f>IF(AND(ISNUMBER('자료_한국심리'!$M2222),ISNUMBER('자료_한국심리'!$N2222)),'자료_한국심리'!$M2222,"")</f>
        <v/>
      </c>
    </row>
    <row r="2239">
      <c r="U2239">
        <f>IF(AND(ISNUMBER('자료_한국심리'!$A2223),ISNUMBER('자료_한국심리'!$B2223)),'자료_한국심리'!$A2223,"")</f>
        <v/>
      </c>
      <c r="V2239">
        <f>IF(AND(ISNUMBER('자료_한국심리'!$D2223),ISNUMBER('자료_한국심리'!$E2223)),'자료_한국심리'!$D2223,"")</f>
        <v/>
      </c>
      <c r="W2239">
        <f>IF(AND(ISNUMBER('자료_한국심리'!$G2223),ISNUMBER('자료_한국심리'!$H2223)),'자료_한국심리'!$G2223,"")</f>
        <v/>
      </c>
      <c r="X2239">
        <f>IF(AND(ISNUMBER('자료_한국심리'!$J2223),ISNUMBER('자료_한국심리'!$K2223)),'자료_한국심리'!$J2223,"")</f>
        <v/>
      </c>
      <c r="Y2239">
        <f>IF(AND(ISNUMBER('자료_한국심리'!$M2223),ISNUMBER('자료_한국심리'!$N2223)),'자료_한국심리'!$M2223,"")</f>
        <v/>
      </c>
    </row>
    <row r="2240">
      <c r="U2240">
        <f>IF(AND(ISNUMBER('자료_한국심리'!$A2224),ISNUMBER('자료_한국심리'!$B2224)),'자료_한국심리'!$A2224,"")</f>
        <v/>
      </c>
      <c r="V2240">
        <f>IF(AND(ISNUMBER('자료_한국심리'!$D2224),ISNUMBER('자료_한국심리'!$E2224)),'자료_한국심리'!$D2224,"")</f>
        <v/>
      </c>
      <c r="W2240">
        <f>IF(AND(ISNUMBER('자료_한국심리'!$G2224),ISNUMBER('자료_한국심리'!$H2224)),'자료_한국심리'!$G2224,"")</f>
        <v/>
      </c>
      <c r="X2240">
        <f>IF(AND(ISNUMBER('자료_한국심리'!$J2224),ISNUMBER('자료_한국심리'!$K2224)),'자료_한국심리'!$J2224,"")</f>
        <v/>
      </c>
      <c r="Y2240">
        <f>IF(AND(ISNUMBER('자료_한국심리'!$M2224),ISNUMBER('자료_한국심리'!$N2224)),'자료_한국심리'!$M2224,"")</f>
        <v/>
      </c>
    </row>
    <row r="2241">
      <c r="U2241">
        <f>IF(AND(ISNUMBER('자료_한국심리'!$A2225),ISNUMBER('자료_한국심리'!$B2225)),'자료_한국심리'!$A2225,"")</f>
        <v/>
      </c>
      <c r="V2241">
        <f>IF(AND(ISNUMBER('자료_한국심리'!$D2225),ISNUMBER('자료_한국심리'!$E2225)),'자료_한국심리'!$D2225,"")</f>
        <v/>
      </c>
      <c r="W2241">
        <f>IF(AND(ISNUMBER('자료_한국심리'!$G2225),ISNUMBER('자료_한국심리'!$H2225)),'자료_한국심리'!$G2225,"")</f>
        <v/>
      </c>
      <c r="X2241">
        <f>IF(AND(ISNUMBER('자료_한국심리'!$J2225),ISNUMBER('자료_한국심리'!$K2225)),'자료_한국심리'!$J2225,"")</f>
        <v/>
      </c>
      <c r="Y2241">
        <f>IF(AND(ISNUMBER('자료_한국심리'!$M2225),ISNUMBER('자료_한국심리'!$N2225)),'자료_한국심리'!$M2225,"")</f>
        <v/>
      </c>
    </row>
    <row r="2242">
      <c r="U2242">
        <f>IF(AND(ISNUMBER('자료_한국심리'!$A2226),ISNUMBER('자료_한국심리'!$B2226)),'자료_한국심리'!$A2226,"")</f>
        <v/>
      </c>
      <c r="V2242">
        <f>IF(AND(ISNUMBER('자료_한국심리'!$D2226),ISNUMBER('자료_한국심리'!$E2226)),'자료_한국심리'!$D2226,"")</f>
        <v/>
      </c>
      <c r="W2242">
        <f>IF(AND(ISNUMBER('자료_한국심리'!$G2226),ISNUMBER('자료_한국심리'!$H2226)),'자료_한국심리'!$G2226,"")</f>
        <v/>
      </c>
      <c r="X2242">
        <f>IF(AND(ISNUMBER('자료_한국심리'!$J2226),ISNUMBER('자료_한국심리'!$K2226)),'자료_한국심리'!$J2226,"")</f>
        <v/>
      </c>
      <c r="Y2242">
        <f>IF(AND(ISNUMBER('자료_한국심리'!$M2226),ISNUMBER('자료_한국심리'!$N2226)),'자료_한국심리'!$M2226,"")</f>
        <v/>
      </c>
    </row>
    <row r="2243">
      <c r="U2243">
        <f>IF(AND(ISNUMBER('자료_한국심리'!$A2227),ISNUMBER('자료_한국심리'!$B2227)),'자료_한국심리'!$A2227,"")</f>
        <v/>
      </c>
      <c r="V2243">
        <f>IF(AND(ISNUMBER('자료_한국심리'!$D2227),ISNUMBER('자료_한국심리'!$E2227)),'자료_한국심리'!$D2227,"")</f>
        <v/>
      </c>
      <c r="W2243">
        <f>IF(AND(ISNUMBER('자료_한국심리'!$G2227),ISNUMBER('자료_한국심리'!$H2227)),'자료_한국심리'!$G2227,"")</f>
        <v/>
      </c>
      <c r="X2243">
        <f>IF(AND(ISNUMBER('자료_한국심리'!$J2227),ISNUMBER('자료_한국심리'!$K2227)),'자료_한국심리'!$J2227,"")</f>
        <v/>
      </c>
      <c r="Y2243">
        <f>IF(AND(ISNUMBER('자료_한국심리'!$M2227),ISNUMBER('자료_한국심리'!$N2227)),'자료_한국심리'!$M2227,"")</f>
        <v/>
      </c>
    </row>
    <row r="2244">
      <c r="U2244">
        <f>IF(AND(ISNUMBER('자료_한국심리'!$A2228),ISNUMBER('자료_한국심리'!$B2228)),'자료_한국심리'!$A2228,"")</f>
        <v/>
      </c>
      <c r="V2244">
        <f>IF(AND(ISNUMBER('자료_한국심리'!$D2228),ISNUMBER('자료_한국심리'!$E2228)),'자료_한국심리'!$D2228,"")</f>
        <v/>
      </c>
      <c r="W2244">
        <f>IF(AND(ISNUMBER('자료_한국심리'!$G2228),ISNUMBER('자료_한국심리'!$H2228)),'자료_한국심리'!$G2228,"")</f>
        <v/>
      </c>
      <c r="X2244">
        <f>IF(AND(ISNUMBER('자료_한국심리'!$J2228),ISNUMBER('자료_한국심리'!$K2228)),'자료_한국심리'!$J2228,"")</f>
        <v/>
      </c>
      <c r="Y2244">
        <f>IF(AND(ISNUMBER('자료_한국심리'!$M2228),ISNUMBER('자료_한국심리'!$N2228)),'자료_한국심리'!$M2228,"")</f>
        <v/>
      </c>
    </row>
    <row r="2245">
      <c r="U2245">
        <f>IF(AND(ISNUMBER('자료_한국심리'!$A2229),ISNUMBER('자료_한국심리'!$B2229)),'자료_한국심리'!$A2229,"")</f>
        <v/>
      </c>
      <c r="V2245">
        <f>IF(AND(ISNUMBER('자료_한국심리'!$D2229),ISNUMBER('자료_한국심리'!$E2229)),'자료_한국심리'!$D2229,"")</f>
        <v/>
      </c>
      <c r="W2245">
        <f>IF(AND(ISNUMBER('자료_한국심리'!$G2229),ISNUMBER('자료_한국심리'!$H2229)),'자료_한국심리'!$G2229,"")</f>
        <v/>
      </c>
      <c r="X2245">
        <f>IF(AND(ISNUMBER('자료_한국심리'!$J2229),ISNUMBER('자료_한국심리'!$K2229)),'자료_한국심리'!$J2229,"")</f>
        <v/>
      </c>
      <c r="Y2245">
        <f>IF(AND(ISNUMBER('자료_한국심리'!$M2229),ISNUMBER('자료_한국심리'!$N2229)),'자료_한국심리'!$M2229,"")</f>
        <v/>
      </c>
    </row>
    <row r="2246">
      <c r="U2246">
        <f>IF(AND(ISNUMBER('자료_한국심리'!$A2230),ISNUMBER('자료_한국심리'!$B2230)),'자료_한국심리'!$A2230,"")</f>
        <v/>
      </c>
      <c r="V2246">
        <f>IF(AND(ISNUMBER('자료_한국심리'!$D2230),ISNUMBER('자료_한국심리'!$E2230)),'자료_한국심리'!$D2230,"")</f>
        <v/>
      </c>
      <c r="W2246">
        <f>IF(AND(ISNUMBER('자료_한국심리'!$G2230),ISNUMBER('자료_한국심리'!$H2230)),'자료_한국심리'!$G2230,"")</f>
        <v/>
      </c>
      <c r="X2246">
        <f>IF(AND(ISNUMBER('자료_한국심리'!$J2230),ISNUMBER('자료_한국심리'!$K2230)),'자료_한국심리'!$J2230,"")</f>
        <v/>
      </c>
      <c r="Y2246">
        <f>IF(AND(ISNUMBER('자료_한국심리'!$M2230),ISNUMBER('자료_한국심리'!$N2230)),'자료_한국심리'!$M2230,"")</f>
        <v/>
      </c>
    </row>
    <row r="2247">
      <c r="U2247">
        <f>IF(AND(ISNUMBER('자료_한국심리'!$A2231),ISNUMBER('자료_한국심리'!$B2231)),'자료_한국심리'!$A2231,"")</f>
        <v/>
      </c>
      <c r="V2247">
        <f>IF(AND(ISNUMBER('자료_한국심리'!$D2231),ISNUMBER('자료_한국심리'!$E2231)),'자료_한국심리'!$D2231,"")</f>
        <v/>
      </c>
      <c r="W2247">
        <f>IF(AND(ISNUMBER('자료_한국심리'!$G2231),ISNUMBER('자료_한국심리'!$H2231)),'자료_한국심리'!$G2231,"")</f>
        <v/>
      </c>
      <c r="X2247">
        <f>IF(AND(ISNUMBER('자료_한국심리'!$J2231),ISNUMBER('자료_한국심리'!$K2231)),'자료_한국심리'!$J2231,"")</f>
        <v/>
      </c>
      <c r="Y2247">
        <f>IF(AND(ISNUMBER('자료_한국심리'!$M2231),ISNUMBER('자료_한국심리'!$N2231)),'자료_한국심리'!$M2231,"")</f>
        <v/>
      </c>
    </row>
    <row r="2248">
      <c r="U2248">
        <f>IF(AND(ISNUMBER('자료_한국심리'!$A2232),ISNUMBER('자료_한국심리'!$B2232)),'자료_한국심리'!$A2232,"")</f>
        <v/>
      </c>
      <c r="V2248">
        <f>IF(AND(ISNUMBER('자료_한국심리'!$D2232),ISNUMBER('자료_한국심리'!$E2232)),'자료_한국심리'!$D2232,"")</f>
        <v/>
      </c>
      <c r="W2248">
        <f>IF(AND(ISNUMBER('자료_한국심리'!$G2232),ISNUMBER('자료_한국심리'!$H2232)),'자료_한국심리'!$G2232,"")</f>
        <v/>
      </c>
      <c r="X2248">
        <f>IF(AND(ISNUMBER('자료_한국심리'!$J2232),ISNUMBER('자료_한국심리'!$K2232)),'자료_한국심리'!$J2232,"")</f>
        <v/>
      </c>
      <c r="Y2248">
        <f>IF(AND(ISNUMBER('자료_한국심리'!$M2232),ISNUMBER('자료_한국심리'!$N2232)),'자료_한국심리'!$M2232,"")</f>
        <v/>
      </c>
    </row>
    <row r="2249">
      <c r="U2249">
        <f>IF(AND(ISNUMBER('자료_한국심리'!$A2233),ISNUMBER('자료_한국심리'!$B2233)),'자료_한국심리'!$A2233,"")</f>
        <v/>
      </c>
      <c r="V2249">
        <f>IF(AND(ISNUMBER('자료_한국심리'!$D2233),ISNUMBER('자료_한국심리'!$E2233)),'자료_한국심리'!$D2233,"")</f>
        <v/>
      </c>
      <c r="W2249">
        <f>IF(AND(ISNUMBER('자료_한국심리'!$G2233),ISNUMBER('자료_한국심리'!$H2233)),'자료_한국심리'!$G2233,"")</f>
        <v/>
      </c>
      <c r="X2249">
        <f>IF(AND(ISNUMBER('자료_한국심리'!$J2233),ISNUMBER('자료_한국심리'!$K2233)),'자료_한국심리'!$J2233,"")</f>
        <v/>
      </c>
      <c r="Y2249">
        <f>IF(AND(ISNUMBER('자료_한국심리'!$M2233),ISNUMBER('자료_한국심리'!$N2233)),'자료_한국심리'!$M2233,"")</f>
        <v/>
      </c>
    </row>
    <row r="2250">
      <c r="U2250">
        <f>IF(AND(ISNUMBER('자료_한국심리'!$A2234),ISNUMBER('자료_한국심리'!$B2234)),'자료_한국심리'!$A2234,"")</f>
        <v/>
      </c>
      <c r="V2250">
        <f>IF(AND(ISNUMBER('자료_한국심리'!$D2234),ISNUMBER('자료_한국심리'!$E2234)),'자료_한국심리'!$D2234,"")</f>
        <v/>
      </c>
      <c r="W2250">
        <f>IF(AND(ISNUMBER('자료_한국심리'!$G2234),ISNUMBER('자료_한국심리'!$H2234)),'자료_한국심리'!$G2234,"")</f>
        <v/>
      </c>
      <c r="X2250">
        <f>IF(AND(ISNUMBER('자료_한국심리'!$J2234),ISNUMBER('자료_한국심리'!$K2234)),'자료_한국심리'!$J2234,"")</f>
        <v/>
      </c>
      <c r="Y2250">
        <f>IF(AND(ISNUMBER('자료_한국심리'!$M2234),ISNUMBER('자료_한국심리'!$N2234)),'자료_한국심리'!$M2234,"")</f>
        <v/>
      </c>
    </row>
    <row r="2251">
      <c r="U2251">
        <f>IF(AND(ISNUMBER('자료_한국심리'!$A2235),ISNUMBER('자료_한국심리'!$B2235)),'자료_한국심리'!$A2235,"")</f>
        <v/>
      </c>
      <c r="V2251">
        <f>IF(AND(ISNUMBER('자료_한국심리'!$D2235),ISNUMBER('자료_한국심리'!$E2235)),'자료_한국심리'!$D2235,"")</f>
        <v/>
      </c>
      <c r="W2251">
        <f>IF(AND(ISNUMBER('자료_한국심리'!$G2235),ISNUMBER('자료_한국심리'!$H2235)),'자료_한국심리'!$G2235,"")</f>
        <v/>
      </c>
      <c r="X2251">
        <f>IF(AND(ISNUMBER('자료_한국심리'!$J2235),ISNUMBER('자료_한국심리'!$K2235)),'자료_한국심리'!$J2235,"")</f>
        <v/>
      </c>
      <c r="Y2251">
        <f>IF(AND(ISNUMBER('자료_한국심리'!$M2235),ISNUMBER('자료_한국심리'!$N2235)),'자료_한국심리'!$M2235,"")</f>
        <v/>
      </c>
    </row>
    <row r="2252">
      <c r="U2252">
        <f>IF(AND(ISNUMBER('자료_한국심리'!$A2236),ISNUMBER('자료_한국심리'!$B2236)),'자료_한국심리'!$A2236,"")</f>
        <v/>
      </c>
      <c r="V2252">
        <f>IF(AND(ISNUMBER('자료_한국심리'!$D2236),ISNUMBER('자료_한국심리'!$E2236)),'자료_한국심리'!$D2236,"")</f>
        <v/>
      </c>
      <c r="W2252">
        <f>IF(AND(ISNUMBER('자료_한국심리'!$G2236),ISNUMBER('자료_한국심리'!$H2236)),'자료_한국심리'!$G2236,"")</f>
        <v/>
      </c>
      <c r="X2252">
        <f>IF(AND(ISNUMBER('자료_한국심리'!$J2236),ISNUMBER('자료_한국심리'!$K2236)),'자료_한국심리'!$J2236,"")</f>
        <v/>
      </c>
      <c r="Y2252">
        <f>IF(AND(ISNUMBER('자료_한국심리'!$M2236),ISNUMBER('자료_한국심리'!$N2236)),'자료_한국심리'!$M2236,"")</f>
        <v/>
      </c>
    </row>
    <row r="2253">
      <c r="U2253">
        <f>IF(AND(ISNUMBER('자료_한국심리'!$A2237),ISNUMBER('자료_한국심리'!$B2237)),'자료_한국심리'!$A2237,"")</f>
        <v/>
      </c>
      <c r="V2253">
        <f>IF(AND(ISNUMBER('자료_한국심리'!$D2237),ISNUMBER('자료_한국심리'!$E2237)),'자료_한국심리'!$D2237,"")</f>
        <v/>
      </c>
      <c r="W2253">
        <f>IF(AND(ISNUMBER('자료_한국심리'!$G2237),ISNUMBER('자료_한국심리'!$H2237)),'자료_한국심리'!$G2237,"")</f>
        <v/>
      </c>
      <c r="X2253">
        <f>IF(AND(ISNUMBER('자료_한국심리'!$J2237),ISNUMBER('자료_한국심리'!$K2237)),'자료_한국심리'!$J2237,"")</f>
        <v/>
      </c>
      <c r="Y2253">
        <f>IF(AND(ISNUMBER('자료_한국심리'!$M2237),ISNUMBER('자료_한국심리'!$N2237)),'자료_한국심리'!$M2237,"")</f>
        <v/>
      </c>
    </row>
    <row r="2254">
      <c r="U2254">
        <f>IF(AND(ISNUMBER('자료_한국심리'!$A2238),ISNUMBER('자료_한국심리'!$B2238)),'자료_한국심리'!$A2238,"")</f>
        <v/>
      </c>
      <c r="V2254">
        <f>IF(AND(ISNUMBER('자료_한국심리'!$D2238),ISNUMBER('자료_한국심리'!$E2238)),'자료_한국심리'!$D2238,"")</f>
        <v/>
      </c>
      <c r="W2254">
        <f>IF(AND(ISNUMBER('자료_한국심리'!$G2238),ISNUMBER('자료_한국심리'!$H2238)),'자료_한국심리'!$G2238,"")</f>
        <v/>
      </c>
      <c r="X2254">
        <f>IF(AND(ISNUMBER('자료_한국심리'!$J2238),ISNUMBER('자료_한국심리'!$K2238)),'자료_한국심리'!$J2238,"")</f>
        <v/>
      </c>
      <c r="Y2254">
        <f>IF(AND(ISNUMBER('자료_한국심리'!$M2238),ISNUMBER('자료_한국심리'!$N2238)),'자료_한국심리'!$M2238,"")</f>
        <v/>
      </c>
    </row>
    <row r="2255">
      <c r="U2255">
        <f>IF(AND(ISNUMBER('자료_한국심리'!$A2239),ISNUMBER('자료_한국심리'!$B2239)),'자료_한국심리'!$A2239,"")</f>
        <v/>
      </c>
      <c r="V2255">
        <f>IF(AND(ISNUMBER('자료_한국심리'!$D2239),ISNUMBER('자료_한국심리'!$E2239)),'자료_한국심리'!$D2239,"")</f>
        <v/>
      </c>
      <c r="W2255">
        <f>IF(AND(ISNUMBER('자료_한국심리'!$G2239),ISNUMBER('자료_한국심리'!$H2239)),'자료_한국심리'!$G2239,"")</f>
        <v/>
      </c>
      <c r="X2255">
        <f>IF(AND(ISNUMBER('자료_한국심리'!$J2239),ISNUMBER('자료_한국심리'!$K2239)),'자료_한국심리'!$J2239,"")</f>
        <v/>
      </c>
      <c r="Y2255">
        <f>IF(AND(ISNUMBER('자료_한국심리'!$M2239),ISNUMBER('자료_한국심리'!$N2239)),'자료_한국심리'!$M2239,"")</f>
        <v/>
      </c>
    </row>
    <row r="2256">
      <c r="U2256">
        <f>IF(AND(ISNUMBER('자료_한국심리'!$A2240),ISNUMBER('자료_한국심리'!$B2240)),'자료_한국심리'!$A2240,"")</f>
        <v/>
      </c>
      <c r="V2256">
        <f>IF(AND(ISNUMBER('자료_한국심리'!$D2240),ISNUMBER('자료_한국심리'!$E2240)),'자료_한국심리'!$D2240,"")</f>
        <v/>
      </c>
      <c r="W2256">
        <f>IF(AND(ISNUMBER('자료_한국심리'!$G2240),ISNUMBER('자료_한국심리'!$H2240)),'자료_한국심리'!$G2240,"")</f>
        <v/>
      </c>
      <c r="X2256">
        <f>IF(AND(ISNUMBER('자료_한국심리'!$J2240),ISNUMBER('자료_한국심리'!$K2240)),'자료_한국심리'!$J2240,"")</f>
        <v/>
      </c>
      <c r="Y2256">
        <f>IF(AND(ISNUMBER('자료_한국심리'!$M2240),ISNUMBER('자료_한국심리'!$N2240)),'자료_한국심리'!$M2240,"")</f>
        <v/>
      </c>
    </row>
    <row r="2257">
      <c r="U2257">
        <f>IF(AND(ISNUMBER('자료_한국심리'!$A2241),ISNUMBER('자료_한국심리'!$B2241)),'자료_한국심리'!$A2241,"")</f>
        <v/>
      </c>
      <c r="V2257">
        <f>IF(AND(ISNUMBER('자료_한국심리'!$D2241),ISNUMBER('자료_한국심리'!$E2241)),'자료_한국심리'!$D2241,"")</f>
        <v/>
      </c>
      <c r="W2257">
        <f>IF(AND(ISNUMBER('자료_한국심리'!$G2241),ISNUMBER('자료_한국심리'!$H2241)),'자료_한국심리'!$G2241,"")</f>
        <v/>
      </c>
      <c r="X2257">
        <f>IF(AND(ISNUMBER('자료_한국심리'!$J2241),ISNUMBER('자료_한국심리'!$K2241)),'자료_한국심리'!$J2241,"")</f>
        <v/>
      </c>
      <c r="Y2257">
        <f>IF(AND(ISNUMBER('자료_한국심리'!$M2241),ISNUMBER('자료_한국심리'!$N2241)),'자료_한국심리'!$M2241,"")</f>
        <v/>
      </c>
    </row>
    <row r="2258">
      <c r="U2258">
        <f>IF(AND(ISNUMBER('자료_한국심리'!$A2242),ISNUMBER('자료_한국심리'!$B2242)),'자료_한국심리'!$A2242,"")</f>
        <v/>
      </c>
      <c r="V2258">
        <f>IF(AND(ISNUMBER('자료_한국심리'!$D2242),ISNUMBER('자료_한국심리'!$E2242)),'자료_한국심리'!$D2242,"")</f>
        <v/>
      </c>
      <c r="W2258">
        <f>IF(AND(ISNUMBER('자료_한국심리'!$G2242),ISNUMBER('자료_한국심리'!$H2242)),'자료_한국심리'!$G2242,"")</f>
        <v/>
      </c>
      <c r="X2258">
        <f>IF(AND(ISNUMBER('자료_한국심리'!$J2242),ISNUMBER('자료_한국심리'!$K2242)),'자료_한국심리'!$J2242,"")</f>
        <v/>
      </c>
      <c r="Y2258">
        <f>IF(AND(ISNUMBER('자료_한국심리'!$M2242),ISNUMBER('자료_한국심리'!$N2242)),'자료_한국심리'!$M2242,"")</f>
        <v/>
      </c>
    </row>
    <row r="2259">
      <c r="U2259">
        <f>IF(AND(ISNUMBER('자료_한국심리'!$A2243),ISNUMBER('자료_한국심리'!$B2243)),'자료_한국심리'!$A2243,"")</f>
        <v/>
      </c>
      <c r="V2259">
        <f>IF(AND(ISNUMBER('자료_한국심리'!$D2243),ISNUMBER('자료_한국심리'!$E2243)),'자료_한국심리'!$D2243,"")</f>
        <v/>
      </c>
      <c r="W2259">
        <f>IF(AND(ISNUMBER('자료_한국심리'!$G2243),ISNUMBER('자료_한국심리'!$H2243)),'자료_한국심리'!$G2243,"")</f>
        <v/>
      </c>
      <c r="X2259">
        <f>IF(AND(ISNUMBER('자료_한국심리'!$J2243),ISNUMBER('자료_한국심리'!$K2243)),'자료_한국심리'!$J2243,"")</f>
        <v/>
      </c>
      <c r="Y2259">
        <f>IF(AND(ISNUMBER('자료_한국심리'!$M2243),ISNUMBER('자료_한국심리'!$N2243)),'자료_한국심리'!$M2243,"")</f>
        <v/>
      </c>
    </row>
    <row r="2260">
      <c r="U2260">
        <f>IF(AND(ISNUMBER('자료_한국심리'!$A2244),ISNUMBER('자료_한국심리'!$B2244)),'자료_한국심리'!$A2244,"")</f>
        <v/>
      </c>
      <c r="V2260">
        <f>IF(AND(ISNUMBER('자료_한국심리'!$D2244),ISNUMBER('자료_한국심리'!$E2244)),'자료_한국심리'!$D2244,"")</f>
        <v/>
      </c>
      <c r="W2260">
        <f>IF(AND(ISNUMBER('자료_한국심리'!$G2244),ISNUMBER('자료_한국심리'!$H2244)),'자료_한국심리'!$G2244,"")</f>
        <v/>
      </c>
      <c r="X2260">
        <f>IF(AND(ISNUMBER('자료_한국심리'!$J2244),ISNUMBER('자료_한국심리'!$K2244)),'자료_한국심리'!$J2244,"")</f>
        <v/>
      </c>
      <c r="Y2260">
        <f>IF(AND(ISNUMBER('자료_한국심리'!$M2244),ISNUMBER('자료_한국심리'!$N2244)),'자료_한국심리'!$M2244,"")</f>
        <v/>
      </c>
    </row>
    <row r="2261">
      <c r="U2261">
        <f>IF(AND(ISNUMBER('자료_한국심리'!$A2245),ISNUMBER('자료_한국심리'!$B2245)),'자료_한국심리'!$A2245,"")</f>
        <v/>
      </c>
      <c r="V2261">
        <f>IF(AND(ISNUMBER('자료_한국심리'!$D2245),ISNUMBER('자료_한국심리'!$E2245)),'자료_한국심리'!$D2245,"")</f>
        <v/>
      </c>
      <c r="W2261">
        <f>IF(AND(ISNUMBER('자료_한국심리'!$G2245),ISNUMBER('자료_한국심리'!$H2245)),'자료_한국심리'!$G2245,"")</f>
        <v/>
      </c>
      <c r="X2261">
        <f>IF(AND(ISNUMBER('자료_한국심리'!$J2245),ISNUMBER('자료_한국심리'!$K2245)),'자료_한국심리'!$J2245,"")</f>
        <v/>
      </c>
      <c r="Y2261">
        <f>IF(AND(ISNUMBER('자료_한국심리'!$M2245),ISNUMBER('자료_한국심리'!$N2245)),'자료_한국심리'!$M2245,"")</f>
        <v/>
      </c>
    </row>
    <row r="2262">
      <c r="U2262">
        <f>IF(AND(ISNUMBER('자료_한국심리'!$A2246),ISNUMBER('자료_한국심리'!$B2246)),'자료_한국심리'!$A2246,"")</f>
        <v/>
      </c>
      <c r="V2262">
        <f>IF(AND(ISNUMBER('자료_한국심리'!$D2246),ISNUMBER('자료_한국심리'!$E2246)),'자료_한국심리'!$D2246,"")</f>
        <v/>
      </c>
      <c r="W2262">
        <f>IF(AND(ISNUMBER('자료_한국심리'!$G2246),ISNUMBER('자료_한국심리'!$H2246)),'자료_한국심리'!$G2246,"")</f>
        <v/>
      </c>
      <c r="X2262">
        <f>IF(AND(ISNUMBER('자료_한국심리'!$J2246),ISNUMBER('자료_한국심리'!$K2246)),'자료_한국심리'!$J2246,"")</f>
        <v/>
      </c>
      <c r="Y2262">
        <f>IF(AND(ISNUMBER('자료_한국심리'!$M2246),ISNUMBER('자료_한국심리'!$N2246)),'자료_한국심리'!$M2246,"")</f>
        <v/>
      </c>
    </row>
    <row r="2263">
      <c r="U2263">
        <f>IF(AND(ISNUMBER('자료_한국심리'!$A2247),ISNUMBER('자료_한국심리'!$B2247)),'자료_한국심리'!$A2247,"")</f>
        <v/>
      </c>
      <c r="V2263">
        <f>IF(AND(ISNUMBER('자료_한국심리'!$D2247),ISNUMBER('자료_한국심리'!$E2247)),'자료_한국심리'!$D2247,"")</f>
        <v/>
      </c>
      <c r="W2263">
        <f>IF(AND(ISNUMBER('자료_한국심리'!$G2247),ISNUMBER('자료_한국심리'!$H2247)),'자료_한국심리'!$G2247,"")</f>
        <v/>
      </c>
      <c r="X2263">
        <f>IF(AND(ISNUMBER('자료_한국심리'!$J2247),ISNUMBER('자료_한국심리'!$K2247)),'자료_한국심리'!$J2247,"")</f>
        <v/>
      </c>
      <c r="Y2263">
        <f>IF(AND(ISNUMBER('자료_한국심리'!$M2247),ISNUMBER('자료_한국심리'!$N2247)),'자료_한국심리'!$M2247,"")</f>
        <v/>
      </c>
    </row>
    <row r="2264">
      <c r="U2264">
        <f>IF(AND(ISNUMBER('자료_한국심리'!$A2248),ISNUMBER('자료_한국심리'!$B2248)),'자료_한국심리'!$A2248,"")</f>
        <v/>
      </c>
      <c r="V2264">
        <f>IF(AND(ISNUMBER('자료_한국심리'!$D2248),ISNUMBER('자료_한국심리'!$E2248)),'자료_한국심리'!$D2248,"")</f>
        <v/>
      </c>
      <c r="W2264">
        <f>IF(AND(ISNUMBER('자료_한국심리'!$G2248),ISNUMBER('자료_한국심리'!$H2248)),'자료_한국심리'!$G2248,"")</f>
        <v/>
      </c>
      <c r="X2264">
        <f>IF(AND(ISNUMBER('자료_한국심리'!$J2248),ISNUMBER('자료_한국심리'!$K2248)),'자료_한국심리'!$J2248,"")</f>
        <v/>
      </c>
      <c r="Y2264">
        <f>IF(AND(ISNUMBER('자료_한국심리'!$M2248),ISNUMBER('자료_한국심리'!$N2248)),'자료_한국심리'!$M2248,"")</f>
        <v/>
      </c>
    </row>
    <row r="2265">
      <c r="U2265">
        <f>IF(AND(ISNUMBER('자료_한국심리'!$A2249),ISNUMBER('자료_한국심리'!$B2249)),'자료_한국심리'!$A2249,"")</f>
        <v/>
      </c>
      <c r="V2265">
        <f>IF(AND(ISNUMBER('자료_한국심리'!$D2249),ISNUMBER('자료_한국심리'!$E2249)),'자료_한국심리'!$D2249,"")</f>
        <v/>
      </c>
      <c r="W2265">
        <f>IF(AND(ISNUMBER('자료_한국심리'!$G2249),ISNUMBER('자료_한국심리'!$H2249)),'자료_한국심리'!$G2249,"")</f>
        <v/>
      </c>
      <c r="X2265">
        <f>IF(AND(ISNUMBER('자료_한국심리'!$J2249),ISNUMBER('자료_한국심리'!$K2249)),'자료_한국심리'!$J2249,"")</f>
        <v/>
      </c>
      <c r="Y2265">
        <f>IF(AND(ISNUMBER('자료_한국심리'!$M2249),ISNUMBER('자료_한국심리'!$N2249)),'자료_한국심리'!$M2249,"")</f>
        <v/>
      </c>
    </row>
    <row r="2266">
      <c r="U2266">
        <f>IF(AND(ISNUMBER('자료_한국심리'!$A2250),ISNUMBER('자료_한국심리'!$B2250)),'자료_한국심리'!$A2250,"")</f>
        <v/>
      </c>
      <c r="V2266">
        <f>IF(AND(ISNUMBER('자료_한국심리'!$D2250),ISNUMBER('자료_한국심리'!$E2250)),'자료_한국심리'!$D2250,"")</f>
        <v/>
      </c>
      <c r="W2266">
        <f>IF(AND(ISNUMBER('자료_한국심리'!$G2250),ISNUMBER('자료_한국심리'!$H2250)),'자료_한국심리'!$G2250,"")</f>
        <v/>
      </c>
      <c r="X2266">
        <f>IF(AND(ISNUMBER('자료_한국심리'!$J2250),ISNUMBER('자료_한국심리'!$K2250)),'자료_한국심리'!$J2250,"")</f>
        <v/>
      </c>
      <c r="Y2266">
        <f>IF(AND(ISNUMBER('자료_한국심리'!$M2250),ISNUMBER('자료_한국심리'!$N2250)),'자료_한국심리'!$M2250,"")</f>
        <v/>
      </c>
    </row>
    <row r="2267">
      <c r="U2267">
        <f>IF(AND(ISNUMBER('자료_한국심리'!$A2251),ISNUMBER('자료_한국심리'!$B2251)),'자료_한국심리'!$A2251,"")</f>
        <v/>
      </c>
      <c r="V2267">
        <f>IF(AND(ISNUMBER('자료_한국심리'!$D2251),ISNUMBER('자료_한국심리'!$E2251)),'자료_한국심리'!$D2251,"")</f>
        <v/>
      </c>
      <c r="W2267">
        <f>IF(AND(ISNUMBER('자료_한국심리'!$G2251),ISNUMBER('자료_한국심리'!$H2251)),'자료_한국심리'!$G2251,"")</f>
        <v/>
      </c>
      <c r="X2267">
        <f>IF(AND(ISNUMBER('자료_한국심리'!$J2251),ISNUMBER('자료_한국심리'!$K2251)),'자료_한국심리'!$J2251,"")</f>
        <v/>
      </c>
      <c r="Y2267">
        <f>IF(AND(ISNUMBER('자료_한국심리'!$M2251),ISNUMBER('자료_한국심리'!$N2251)),'자료_한국심리'!$M2251,"")</f>
        <v/>
      </c>
    </row>
    <row r="2268">
      <c r="U2268">
        <f>IF(AND(ISNUMBER('자료_한국심리'!$A2252),ISNUMBER('자료_한국심리'!$B2252)),'자료_한국심리'!$A2252,"")</f>
        <v/>
      </c>
      <c r="V2268">
        <f>IF(AND(ISNUMBER('자료_한국심리'!$D2252),ISNUMBER('자료_한국심리'!$E2252)),'자료_한국심리'!$D2252,"")</f>
        <v/>
      </c>
      <c r="W2268">
        <f>IF(AND(ISNUMBER('자료_한국심리'!$G2252),ISNUMBER('자료_한국심리'!$H2252)),'자료_한국심리'!$G2252,"")</f>
        <v/>
      </c>
      <c r="X2268">
        <f>IF(AND(ISNUMBER('자료_한국심리'!$J2252),ISNUMBER('자료_한국심리'!$K2252)),'자료_한국심리'!$J2252,"")</f>
        <v/>
      </c>
      <c r="Y2268">
        <f>IF(AND(ISNUMBER('자료_한국심리'!$M2252),ISNUMBER('자료_한국심리'!$N2252)),'자료_한국심리'!$M2252,"")</f>
        <v/>
      </c>
    </row>
    <row r="2269">
      <c r="U2269">
        <f>IF(AND(ISNUMBER('자료_한국심리'!$A2253),ISNUMBER('자료_한국심리'!$B2253)),'자료_한국심리'!$A2253,"")</f>
        <v/>
      </c>
      <c r="V2269">
        <f>IF(AND(ISNUMBER('자료_한국심리'!$D2253),ISNUMBER('자료_한국심리'!$E2253)),'자료_한국심리'!$D2253,"")</f>
        <v/>
      </c>
      <c r="W2269">
        <f>IF(AND(ISNUMBER('자료_한국심리'!$G2253),ISNUMBER('자료_한국심리'!$H2253)),'자료_한국심리'!$G2253,"")</f>
        <v/>
      </c>
      <c r="X2269">
        <f>IF(AND(ISNUMBER('자료_한국심리'!$J2253),ISNUMBER('자료_한국심리'!$K2253)),'자료_한국심리'!$J2253,"")</f>
        <v/>
      </c>
      <c r="Y2269">
        <f>IF(AND(ISNUMBER('자료_한국심리'!$M2253),ISNUMBER('자료_한국심리'!$N2253)),'자료_한국심리'!$M2253,"")</f>
        <v/>
      </c>
    </row>
    <row r="2270">
      <c r="U2270">
        <f>IF(AND(ISNUMBER('자료_한국심리'!$A2254),ISNUMBER('자료_한국심리'!$B2254)),'자료_한국심리'!$A2254,"")</f>
        <v/>
      </c>
      <c r="V2270">
        <f>IF(AND(ISNUMBER('자료_한국심리'!$D2254),ISNUMBER('자료_한국심리'!$E2254)),'자료_한국심리'!$D2254,"")</f>
        <v/>
      </c>
      <c r="W2270">
        <f>IF(AND(ISNUMBER('자료_한국심리'!$G2254),ISNUMBER('자료_한국심리'!$H2254)),'자료_한국심리'!$G2254,"")</f>
        <v/>
      </c>
      <c r="X2270">
        <f>IF(AND(ISNUMBER('자료_한국심리'!$J2254),ISNUMBER('자료_한국심리'!$K2254)),'자료_한국심리'!$J2254,"")</f>
        <v/>
      </c>
      <c r="Y2270">
        <f>IF(AND(ISNUMBER('자료_한국심리'!$M2254),ISNUMBER('자료_한국심리'!$N2254)),'자료_한국심리'!$M2254,"")</f>
        <v/>
      </c>
    </row>
    <row r="2271">
      <c r="U2271">
        <f>IF(AND(ISNUMBER('자료_한국심리'!$A2255),ISNUMBER('자료_한국심리'!$B2255)),'자료_한국심리'!$A2255,"")</f>
        <v/>
      </c>
      <c r="V2271">
        <f>IF(AND(ISNUMBER('자료_한국심리'!$D2255),ISNUMBER('자료_한국심리'!$E2255)),'자료_한국심리'!$D2255,"")</f>
        <v/>
      </c>
      <c r="W2271">
        <f>IF(AND(ISNUMBER('자료_한국심리'!$G2255),ISNUMBER('자료_한국심리'!$H2255)),'자료_한국심리'!$G2255,"")</f>
        <v/>
      </c>
      <c r="X2271">
        <f>IF(AND(ISNUMBER('자료_한국심리'!$J2255),ISNUMBER('자료_한국심리'!$K2255)),'자료_한국심리'!$J2255,"")</f>
        <v/>
      </c>
      <c r="Y2271">
        <f>IF(AND(ISNUMBER('자료_한국심리'!$M2255),ISNUMBER('자료_한국심리'!$N2255)),'자료_한국심리'!$M2255,"")</f>
        <v/>
      </c>
    </row>
    <row r="2272">
      <c r="U2272">
        <f>IF(AND(ISNUMBER('자료_한국심리'!$A2256),ISNUMBER('자료_한국심리'!$B2256)),'자료_한국심리'!$A2256,"")</f>
        <v/>
      </c>
      <c r="V2272">
        <f>IF(AND(ISNUMBER('자료_한국심리'!$D2256),ISNUMBER('자료_한국심리'!$E2256)),'자료_한국심리'!$D2256,"")</f>
        <v/>
      </c>
      <c r="W2272">
        <f>IF(AND(ISNUMBER('자료_한국심리'!$G2256),ISNUMBER('자료_한국심리'!$H2256)),'자료_한국심리'!$G2256,"")</f>
        <v/>
      </c>
      <c r="X2272">
        <f>IF(AND(ISNUMBER('자료_한국심리'!$J2256),ISNUMBER('자료_한국심리'!$K2256)),'자료_한국심리'!$J2256,"")</f>
        <v/>
      </c>
      <c r="Y2272">
        <f>IF(AND(ISNUMBER('자료_한국심리'!$M2256),ISNUMBER('자료_한국심리'!$N2256)),'자료_한국심리'!$M2256,"")</f>
        <v/>
      </c>
    </row>
    <row r="2273">
      <c r="U2273">
        <f>IF(AND(ISNUMBER('자료_한국심리'!$A2257),ISNUMBER('자료_한국심리'!$B2257)),'자료_한국심리'!$A2257,"")</f>
        <v/>
      </c>
      <c r="V2273">
        <f>IF(AND(ISNUMBER('자료_한국심리'!$D2257),ISNUMBER('자료_한국심리'!$E2257)),'자료_한국심리'!$D2257,"")</f>
        <v/>
      </c>
      <c r="W2273">
        <f>IF(AND(ISNUMBER('자료_한국심리'!$G2257),ISNUMBER('자료_한국심리'!$H2257)),'자료_한국심리'!$G2257,"")</f>
        <v/>
      </c>
      <c r="X2273">
        <f>IF(AND(ISNUMBER('자료_한국심리'!$J2257),ISNUMBER('자료_한국심리'!$K2257)),'자료_한국심리'!$J2257,"")</f>
        <v/>
      </c>
      <c r="Y2273">
        <f>IF(AND(ISNUMBER('자료_한국심리'!$M2257),ISNUMBER('자료_한국심리'!$N2257)),'자료_한국심리'!$M2257,"")</f>
        <v/>
      </c>
    </row>
    <row r="2274">
      <c r="U2274">
        <f>IF(AND(ISNUMBER('자료_한국심리'!$A2258),ISNUMBER('자료_한국심리'!$B2258)),'자료_한국심리'!$A2258,"")</f>
        <v/>
      </c>
      <c r="V2274">
        <f>IF(AND(ISNUMBER('자료_한국심리'!$D2258),ISNUMBER('자료_한국심리'!$E2258)),'자료_한국심리'!$D2258,"")</f>
        <v/>
      </c>
      <c r="W2274">
        <f>IF(AND(ISNUMBER('자료_한국심리'!$G2258),ISNUMBER('자료_한국심리'!$H2258)),'자료_한국심리'!$G2258,"")</f>
        <v/>
      </c>
      <c r="X2274">
        <f>IF(AND(ISNUMBER('자료_한국심리'!$J2258),ISNUMBER('자료_한국심리'!$K2258)),'자료_한국심리'!$J2258,"")</f>
        <v/>
      </c>
      <c r="Y2274">
        <f>IF(AND(ISNUMBER('자료_한국심리'!$M2258),ISNUMBER('자료_한국심리'!$N2258)),'자료_한국심리'!$M2258,"")</f>
        <v/>
      </c>
    </row>
    <row r="2275">
      <c r="U2275">
        <f>IF(AND(ISNUMBER('자료_한국심리'!$A2259),ISNUMBER('자료_한국심리'!$B2259)),'자료_한국심리'!$A2259,"")</f>
        <v/>
      </c>
      <c r="V2275">
        <f>IF(AND(ISNUMBER('자료_한국심리'!$D2259),ISNUMBER('자료_한국심리'!$E2259)),'자료_한국심리'!$D2259,"")</f>
        <v/>
      </c>
      <c r="W2275">
        <f>IF(AND(ISNUMBER('자료_한국심리'!$G2259),ISNUMBER('자료_한국심리'!$H2259)),'자료_한국심리'!$G2259,"")</f>
        <v/>
      </c>
      <c r="X2275">
        <f>IF(AND(ISNUMBER('자료_한국심리'!$J2259),ISNUMBER('자료_한국심리'!$K2259)),'자료_한국심리'!$J2259,"")</f>
        <v/>
      </c>
      <c r="Y2275">
        <f>IF(AND(ISNUMBER('자료_한국심리'!$M2259),ISNUMBER('자료_한국심리'!$N2259)),'자료_한국심리'!$M2259,"")</f>
        <v/>
      </c>
    </row>
    <row r="2276">
      <c r="U2276">
        <f>IF(AND(ISNUMBER('자료_한국심리'!$A2260),ISNUMBER('자료_한국심리'!$B2260)),'자료_한국심리'!$A2260,"")</f>
        <v/>
      </c>
      <c r="V2276">
        <f>IF(AND(ISNUMBER('자료_한국심리'!$D2260),ISNUMBER('자료_한국심리'!$E2260)),'자료_한국심리'!$D2260,"")</f>
        <v/>
      </c>
      <c r="W2276">
        <f>IF(AND(ISNUMBER('자료_한국심리'!$G2260),ISNUMBER('자료_한국심리'!$H2260)),'자료_한국심리'!$G2260,"")</f>
        <v/>
      </c>
      <c r="X2276">
        <f>IF(AND(ISNUMBER('자료_한국심리'!$J2260),ISNUMBER('자료_한국심리'!$K2260)),'자료_한국심리'!$J2260,"")</f>
        <v/>
      </c>
      <c r="Y2276">
        <f>IF(AND(ISNUMBER('자료_한국심리'!$M2260),ISNUMBER('자료_한국심리'!$N2260)),'자료_한국심리'!$M2260,"")</f>
        <v/>
      </c>
    </row>
    <row r="2277">
      <c r="U2277">
        <f>IF(AND(ISNUMBER('자료_한국심리'!$A2261),ISNUMBER('자료_한국심리'!$B2261)),'자료_한국심리'!$A2261,"")</f>
        <v/>
      </c>
      <c r="V2277">
        <f>IF(AND(ISNUMBER('자료_한국심리'!$D2261),ISNUMBER('자료_한국심리'!$E2261)),'자료_한국심리'!$D2261,"")</f>
        <v/>
      </c>
      <c r="W2277">
        <f>IF(AND(ISNUMBER('자료_한국심리'!$G2261),ISNUMBER('자료_한국심리'!$H2261)),'자료_한국심리'!$G2261,"")</f>
        <v/>
      </c>
      <c r="X2277">
        <f>IF(AND(ISNUMBER('자료_한국심리'!$J2261),ISNUMBER('자료_한국심리'!$K2261)),'자료_한국심리'!$J2261,"")</f>
        <v/>
      </c>
      <c r="Y2277">
        <f>IF(AND(ISNUMBER('자료_한국심리'!$M2261),ISNUMBER('자료_한국심리'!$N2261)),'자료_한국심리'!$M2261,"")</f>
        <v/>
      </c>
    </row>
    <row r="2278">
      <c r="U2278">
        <f>IF(AND(ISNUMBER('자료_한국심리'!$A2262),ISNUMBER('자료_한국심리'!$B2262)),'자료_한국심리'!$A2262,"")</f>
        <v/>
      </c>
      <c r="V2278">
        <f>IF(AND(ISNUMBER('자료_한국심리'!$D2262),ISNUMBER('자료_한국심리'!$E2262)),'자료_한국심리'!$D2262,"")</f>
        <v/>
      </c>
      <c r="W2278">
        <f>IF(AND(ISNUMBER('자료_한국심리'!$G2262),ISNUMBER('자료_한국심리'!$H2262)),'자료_한국심리'!$G2262,"")</f>
        <v/>
      </c>
      <c r="X2278">
        <f>IF(AND(ISNUMBER('자료_한국심리'!$J2262),ISNUMBER('자료_한국심리'!$K2262)),'자료_한국심리'!$J2262,"")</f>
        <v/>
      </c>
      <c r="Y2278">
        <f>IF(AND(ISNUMBER('자료_한국심리'!$M2262),ISNUMBER('자료_한국심리'!$N2262)),'자료_한국심리'!$M2262,"")</f>
        <v/>
      </c>
    </row>
    <row r="2279">
      <c r="U2279">
        <f>IF(AND(ISNUMBER('자료_한국심리'!$A2263),ISNUMBER('자료_한국심리'!$B2263)),'자료_한국심리'!$A2263,"")</f>
        <v/>
      </c>
      <c r="V2279">
        <f>IF(AND(ISNUMBER('자료_한국심리'!$D2263),ISNUMBER('자료_한국심리'!$E2263)),'자료_한국심리'!$D2263,"")</f>
        <v/>
      </c>
      <c r="W2279">
        <f>IF(AND(ISNUMBER('자료_한국심리'!$G2263),ISNUMBER('자료_한국심리'!$H2263)),'자료_한국심리'!$G2263,"")</f>
        <v/>
      </c>
      <c r="X2279">
        <f>IF(AND(ISNUMBER('자료_한국심리'!$J2263),ISNUMBER('자료_한국심리'!$K2263)),'자료_한국심리'!$J2263,"")</f>
        <v/>
      </c>
      <c r="Y2279">
        <f>IF(AND(ISNUMBER('자료_한국심리'!$M2263),ISNUMBER('자료_한국심리'!$N2263)),'자료_한국심리'!$M2263,"")</f>
        <v/>
      </c>
    </row>
    <row r="2280">
      <c r="U2280">
        <f>IF(AND(ISNUMBER('자료_한국심리'!$A2264),ISNUMBER('자료_한국심리'!$B2264)),'자료_한국심리'!$A2264,"")</f>
        <v/>
      </c>
      <c r="V2280">
        <f>IF(AND(ISNUMBER('자료_한국심리'!$D2264),ISNUMBER('자료_한국심리'!$E2264)),'자료_한국심리'!$D2264,"")</f>
        <v/>
      </c>
      <c r="W2280">
        <f>IF(AND(ISNUMBER('자료_한국심리'!$G2264),ISNUMBER('자료_한국심리'!$H2264)),'자료_한국심리'!$G2264,"")</f>
        <v/>
      </c>
      <c r="X2280">
        <f>IF(AND(ISNUMBER('자료_한국심리'!$J2264),ISNUMBER('자료_한국심리'!$K2264)),'자료_한국심리'!$J2264,"")</f>
        <v/>
      </c>
      <c r="Y2280">
        <f>IF(AND(ISNUMBER('자료_한국심리'!$M2264),ISNUMBER('자료_한국심리'!$N2264)),'자료_한국심리'!$M2264,"")</f>
        <v/>
      </c>
    </row>
    <row r="2281">
      <c r="U2281">
        <f>IF(AND(ISNUMBER('자료_한국심리'!$A2265),ISNUMBER('자료_한국심리'!$B2265)),'자료_한국심리'!$A2265,"")</f>
        <v/>
      </c>
      <c r="V2281">
        <f>IF(AND(ISNUMBER('자료_한국심리'!$D2265),ISNUMBER('자료_한국심리'!$E2265)),'자료_한국심리'!$D2265,"")</f>
        <v/>
      </c>
      <c r="W2281">
        <f>IF(AND(ISNUMBER('자료_한국심리'!$G2265),ISNUMBER('자료_한국심리'!$H2265)),'자료_한국심리'!$G2265,"")</f>
        <v/>
      </c>
      <c r="X2281">
        <f>IF(AND(ISNUMBER('자료_한국심리'!$J2265),ISNUMBER('자료_한국심리'!$K2265)),'자료_한국심리'!$J2265,"")</f>
        <v/>
      </c>
      <c r="Y2281">
        <f>IF(AND(ISNUMBER('자료_한국심리'!$M2265),ISNUMBER('자료_한국심리'!$N2265)),'자료_한국심리'!$M2265,"")</f>
        <v/>
      </c>
    </row>
    <row r="2282">
      <c r="U2282">
        <f>IF(AND(ISNUMBER('자료_한국심리'!$A2266),ISNUMBER('자료_한국심리'!$B2266)),'자료_한국심리'!$A2266,"")</f>
        <v/>
      </c>
      <c r="V2282">
        <f>IF(AND(ISNUMBER('자료_한국심리'!$D2266),ISNUMBER('자료_한국심리'!$E2266)),'자료_한국심리'!$D2266,"")</f>
        <v/>
      </c>
      <c r="W2282">
        <f>IF(AND(ISNUMBER('자료_한국심리'!$G2266),ISNUMBER('자료_한국심리'!$H2266)),'자료_한국심리'!$G2266,"")</f>
        <v/>
      </c>
      <c r="X2282">
        <f>IF(AND(ISNUMBER('자료_한국심리'!$J2266),ISNUMBER('자료_한국심리'!$K2266)),'자료_한국심리'!$J2266,"")</f>
        <v/>
      </c>
      <c r="Y2282">
        <f>IF(AND(ISNUMBER('자료_한국심리'!$M2266),ISNUMBER('자료_한국심리'!$N2266)),'자료_한국심리'!$M2266,"")</f>
        <v/>
      </c>
    </row>
    <row r="2283">
      <c r="U2283">
        <f>IF(AND(ISNUMBER('자료_한국심리'!$A2267),ISNUMBER('자료_한국심리'!$B2267)),'자료_한국심리'!$A2267,"")</f>
        <v/>
      </c>
      <c r="V2283">
        <f>IF(AND(ISNUMBER('자료_한국심리'!$D2267),ISNUMBER('자료_한국심리'!$E2267)),'자료_한국심리'!$D2267,"")</f>
        <v/>
      </c>
      <c r="W2283">
        <f>IF(AND(ISNUMBER('자료_한국심리'!$G2267),ISNUMBER('자료_한국심리'!$H2267)),'자료_한국심리'!$G2267,"")</f>
        <v/>
      </c>
      <c r="X2283">
        <f>IF(AND(ISNUMBER('자료_한국심리'!$J2267),ISNUMBER('자료_한국심리'!$K2267)),'자료_한국심리'!$J2267,"")</f>
        <v/>
      </c>
      <c r="Y2283">
        <f>IF(AND(ISNUMBER('자료_한국심리'!$M2267),ISNUMBER('자료_한국심리'!$N2267)),'자료_한국심리'!$M2267,"")</f>
        <v/>
      </c>
    </row>
    <row r="2284">
      <c r="U2284">
        <f>IF(AND(ISNUMBER('자료_한국심리'!$A2268),ISNUMBER('자료_한국심리'!$B2268)),'자료_한국심리'!$A2268,"")</f>
        <v/>
      </c>
      <c r="V2284">
        <f>IF(AND(ISNUMBER('자료_한국심리'!$D2268),ISNUMBER('자료_한국심리'!$E2268)),'자료_한국심리'!$D2268,"")</f>
        <v/>
      </c>
      <c r="W2284">
        <f>IF(AND(ISNUMBER('자료_한국심리'!$G2268),ISNUMBER('자료_한국심리'!$H2268)),'자료_한국심리'!$G2268,"")</f>
        <v/>
      </c>
      <c r="X2284">
        <f>IF(AND(ISNUMBER('자료_한국심리'!$J2268),ISNUMBER('자료_한국심리'!$K2268)),'자료_한국심리'!$J2268,"")</f>
        <v/>
      </c>
      <c r="Y2284">
        <f>IF(AND(ISNUMBER('자료_한국심리'!$M2268),ISNUMBER('자료_한국심리'!$N2268)),'자료_한국심리'!$M2268,"")</f>
        <v/>
      </c>
    </row>
    <row r="2285">
      <c r="U2285">
        <f>IF(AND(ISNUMBER('자료_한국심리'!$A2269),ISNUMBER('자료_한국심리'!$B2269)),'자료_한국심리'!$A2269,"")</f>
        <v/>
      </c>
      <c r="V2285">
        <f>IF(AND(ISNUMBER('자료_한국심리'!$D2269),ISNUMBER('자료_한국심리'!$E2269)),'자료_한국심리'!$D2269,"")</f>
        <v/>
      </c>
      <c r="W2285">
        <f>IF(AND(ISNUMBER('자료_한국심리'!$G2269),ISNUMBER('자료_한국심리'!$H2269)),'자료_한국심리'!$G2269,"")</f>
        <v/>
      </c>
      <c r="X2285">
        <f>IF(AND(ISNUMBER('자료_한국심리'!$J2269),ISNUMBER('자료_한국심리'!$K2269)),'자료_한국심리'!$J2269,"")</f>
        <v/>
      </c>
      <c r="Y2285">
        <f>IF(AND(ISNUMBER('자료_한국심리'!$M2269),ISNUMBER('자료_한국심리'!$N2269)),'자료_한국심리'!$M2269,"")</f>
        <v/>
      </c>
    </row>
    <row r="2286">
      <c r="U2286">
        <f>IF(AND(ISNUMBER('자료_한국심리'!$A2270),ISNUMBER('자료_한국심리'!$B2270)),'자료_한국심리'!$A2270,"")</f>
        <v/>
      </c>
      <c r="V2286">
        <f>IF(AND(ISNUMBER('자료_한국심리'!$D2270),ISNUMBER('자료_한국심리'!$E2270)),'자료_한국심리'!$D2270,"")</f>
        <v/>
      </c>
      <c r="W2286">
        <f>IF(AND(ISNUMBER('자료_한국심리'!$G2270),ISNUMBER('자료_한국심리'!$H2270)),'자료_한국심리'!$G2270,"")</f>
        <v/>
      </c>
      <c r="X2286">
        <f>IF(AND(ISNUMBER('자료_한국심리'!$J2270),ISNUMBER('자료_한국심리'!$K2270)),'자료_한국심리'!$J2270,"")</f>
        <v/>
      </c>
      <c r="Y2286">
        <f>IF(AND(ISNUMBER('자료_한국심리'!$M2270),ISNUMBER('자료_한국심리'!$N2270)),'자료_한국심리'!$M2270,"")</f>
        <v/>
      </c>
    </row>
    <row r="2287">
      <c r="U2287">
        <f>IF(AND(ISNUMBER('자료_한국심리'!$A2271),ISNUMBER('자료_한국심리'!$B2271)),'자료_한국심리'!$A2271,"")</f>
        <v/>
      </c>
      <c r="V2287">
        <f>IF(AND(ISNUMBER('자료_한국심리'!$D2271),ISNUMBER('자료_한국심리'!$E2271)),'자료_한국심리'!$D2271,"")</f>
        <v/>
      </c>
      <c r="W2287">
        <f>IF(AND(ISNUMBER('자료_한국심리'!$G2271),ISNUMBER('자료_한국심리'!$H2271)),'자료_한국심리'!$G2271,"")</f>
        <v/>
      </c>
      <c r="X2287">
        <f>IF(AND(ISNUMBER('자료_한국심리'!$J2271),ISNUMBER('자료_한국심리'!$K2271)),'자료_한국심리'!$J2271,"")</f>
        <v/>
      </c>
      <c r="Y2287">
        <f>IF(AND(ISNUMBER('자료_한국심리'!$M2271),ISNUMBER('자료_한국심리'!$N2271)),'자료_한국심리'!$M2271,"")</f>
        <v/>
      </c>
    </row>
    <row r="2288">
      <c r="U2288">
        <f>IF(AND(ISNUMBER('자료_한국심리'!$A2272),ISNUMBER('자료_한국심리'!$B2272)),'자료_한국심리'!$A2272,"")</f>
        <v/>
      </c>
      <c r="V2288">
        <f>IF(AND(ISNUMBER('자료_한국심리'!$D2272),ISNUMBER('자료_한국심리'!$E2272)),'자료_한국심리'!$D2272,"")</f>
        <v/>
      </c>
      <c r="W2288">
        <f>IF(AND(ISNUMBER('자료_한국심리'!$G2272),ISNUMBER('자료_한국심리'!$H2272)),'자료_한국심리'!$G2272,"")</f>
        <v/>
      </c>
      <c r="X2288">
        <f>IF(AND(ISNUMBER('자료_한국심리'!$J2272),ISNUMBER('자료_한국심리'!$K2272)),'자료_한국심리'!$J2272,"")</f>
        <v/>
      </c>
      <c r="Y2288">
        <f>IF(AND(ISNUMBER('자료_한국심리'!$M2272),ISNUMBER('자료_한국심리'!$N2272)),'자료_한국심리'!$M2272,"")</f>
        <v/>
      </c>
    </row>
    <row r="2289">
      <c r="U2289">
        <f>IF(AND(ISNUMBER('자료_한국심리'!$A2273),ISNUMBER('자료_한국심리'!$B2273)),'자료_한국심리'!$A2273,"")</f>
        <v/>
      </c>
      <c r="V2289">
        <f>IF(AND(ISNUMBER('자료_한국심리'!$D2273),ISNUMBER('자료_한국심리'!$E2273)),'자료_한국심리'!$D2273,"")</f>
        <v/>
      </c>
      <c r="W2289">
        <f>IF(AND(ISNUMBER('자료_한국심리'!$G2273),ISNUMBER('자료_한국심리'!$H2273)),'자료_한국심리'!$G2273,"")</f>
        <v/>
      </c>
      <c r="X2289">
        <f>IF(AND(ISNUMBER('자료_한국심리'!$J2273),ISNUMBER('자료_한국심리'!$K2273)),'자료_한국심리'!$J2273,"")</f>
        <v/>
      </c>
      <c r="Y2289">
        <f>IF(AND(ISNUMBER('자료_한국심리'!$M2273),ISNUMBER('자료_한국심리'!$N2273)),'자료_한국심리'!$M2273,"")</f>
        <v/>
      </c>
    </row>
    <row r="2290">
      <c r="U2290">
        <f>IF(AND(ISNUMBER('자료_한국심리'!$A2274),ISNUMBER('자료_한국심리'!$B2274)),'자료_한국심리'!$A2274,"")</f>
        <v/>
      </c>
      <c r="V2290">
        <f>IF(AND(ISNUMBER('자료_한국심리'!$D2274),ISNUMBER('자료_한국심리'!$E2274)),'자료_한국심리'!$D2274,"")</f>
        <v/>
      </c>
      <c r="W2290">
        <f>IF(AND(ISNUMBER('자료_한국심리'!$G2274),ISNUMBER('자료_한국심리'!$H2274)),'자료_한국심리'!$G2274,"")</f>
        <v/>
      </c>
      <c r="X2290">
        <f>IF(AND(ISNUMBER('자료_한국심리'!$J2274),ISNUMBER('자료_한국심리'!$K2274)),'자료_한국심리'!$J2274,"")</f>
        <v/>
      </c>
      <c r="Y2290">
        <f>IF(AND(ISNUMBER('자료_한국심리'!$M2274),ISNUMBER('자료_한국심리'!$N2274)),'자료_한국심리'!$M2274,"")</f>
        <v/>
      </c>
    </row>
    <row r="2291">
      <c r="U2291">
        <f>IF(AND(ISNUMBER('자료_한국심리'!$A2275),ISNUMBER('자료_한국심리'!$B2275)),'자료_한국심리'!$A2275,"")</f>
        <v/>
      </c>
      <c r="V2291">
        <f>IF(AND(ISNUMBER('자료_한국심리'!$D2275),ISNUMBER('자료_한국심리'!$E2275)),'자료_한국심리'!$D2275,"")</f>
        <v/>
      </c>
      <c r="W2291">
        <f>IF(AND(ISNUMBER('자료_한국심리'!$G2275),ISNUMBER('자료_한국심리'!$H2275)),'자료_한국심리'!$G2275,"")</f>
        <v/>
      </c>
      <c r="X2291">
        <f>IF(AND(ISNUMBER('자료_한국심리'!$J2275),ISNUMBER('자료_한국심리'!$K2275)),'자료_한국심리'!$J2275,"")</f>
        <v/>
      </c>
      <c r="Y2291">
        <f>IF(AND(ISNUMBER('자료_한국심리'!$M2275),ISNUMBER('자료_한국심리'!$N2275)),'자료_한국심리'!$M2275,"")</f>
        <v/>
      </c>
    </row>
    <row r="2292">
      <c r="U2292">
        <f>IF(AND(ISNUMBER('자료_한국심리'!$A2276),ISNUMBER('자료_한국심리'!$B2276)),'자료_한국심리'!$A2276,"")</f>
        <v/>
      </c>
      <c r="V2292">
        <f>IF(AND(ISNUMBER('자료_한국심리'!$D2276),ISNUMBER('자료_한국심리'!$E2276)),'자료_한국심리'!$D2276,"")</f>
        <v/>
      </c>
      <c r="W2292">
        <f>IF(AND(ISNUMBER('자료_한국심리'!$G2276),ISNUMBER('자료_한국심리'!$H2276)),'자료_한국심리'!$G2276,"")</f>
        <v/>
      </c>
      <c r="X2292">
        <f>IF(AND(ISNUMBER('자료_한국심리'!$J2276),ISNUMBER('자료_한국심리'!$K2276)),'자료_한국심리'!$J2276,"")</f>
        <v/>
      </c>
      <c r="Y2292">
        <f>IF(AND(ISNUMBER('자료_한국심리'!$M2276),ISNUMBER('자료_한국심리'!$N2276)),'자료_한국심리'!$M2276,"")</f>
        <v/>
      </c>
    </row>
    <row r="2293">
      <c r="U2293">
        <f>IF(AND(ISNUMBER('자료_한국심리'!$A2277),ISNUMBER('자료_한국심리'!$B2277)),'자료_한국심리'!$A2277,"")</f>
        <v/>
      </c>
      <c r="V2293">
        <f>IF(AND(ISNUMBER('자료_한국심리'!$D2277),ISNUMBER('자료_한국심리'!$E2277)),'자료_한국심리'!$D2277,"")</f>
        <v/>
      </c>
      <c r="W2293">
        <f>IF(AND(ISNUMBER('자료_한국심리'!$G2277),ISNUMBER('자료_한국심리'!$H2277)),'자료_한국심리'!$G2277,"")</f>
        <v/>
      </c>
      <c r="X2293">
        <f>IF(AND(ISNUMBER('자료_한국심리'!$J2277),ISNUMBER('자료_한국심리'!$K2277)),'자료_한국심리'!$J2277,"")</f>
        <v/>
      </c>
      <c r="Y2293">
        <f>IF(AND(ISNUMBER('자료_한국심리'!$M2277),ISNUMBER('자료_한국심리'!$N2277)),'자료_한국심리'!$M2277,"")</f>
        <v/>
      </c>
    </row>
    <row r="2294">
      <c r="U2294">
        <f>IF(AND(ISNUMBER('자료_한국심리'!$A2278),ISNUMBER('자료_한국심리'!$B2278)),'자료_한국심리'!$A2278,"")</f>
        <v/>
      </c>
      <c r="V2294">
        <f>IF(AND(ISNUMBER('자료_한국심리'!$D2278),ISNUMBER('자료_한국심리'!$E2278)),'자료_한국심리'!$D2278,"")</f>
        <v/>
      </c>
      <c r="W2294">
        <f>IF(AND(ISNUMBER('자료_한국심리'!$G2278),ISNUMBER('자료_한국심리'!$H2278)),'자료_한국심리'!$G2278,"")</f>
        <v/>
      </c>
      <c r="X2294">
        <f>IF(AND(ISNUMBER('자료_한국심리'!$J2278),ISNUMBER('자료_한국심리'!$K2278)),'자료_한국심리'!$J2278,"")</f>
        <v/>
      </c>
      <c r="Y2294">
        <f>IF(AND(ISNUMBER('자료_한국심리'!$M2278),ISNUMBER('자료_한국심리'!$N2278)),'자료_한국심리'!$M2278,"")</f>
        <v/>
      </c>
    </row>
    <row r="2295">
      <c r="U2295">
        <f>IF(AND(ISNUMBER('자료_한국심리'!$A2279),ISNUMBER('자료_한국심리'!$B2279)),'자료_한국심리'!$A2279,"")</f>
        <v/>
      </c>
      <c r="V2295">
        <f>IF(AND(ISNUMBER('자료_한국심리'!$D2279),ISNUMBER('자료_한국심리'!$E2279)),'자료_한국심리'!$D2279,"")</f>
        <v/>
      </c>
      <c r="W2295">
        <f>IF(AND(ISNUMBER('자료_한국심리'!$G2279),ISNUMBER('자료_한국심리'!$H2279)),'자료_한국심리'!$G2279,"")</f>
        <v/>
      </c>
      <c r="X2295">
        <f>IF(AND(ISNUMBER('자료_한국심리'!$J2279),ISNUMBER('자료_한국심리'!$K2279)),'자료_한국심리'!$J2279,"")</f>
        <v/>
      </c>
      <c r="Y2295">
        <f>IF(AND(ISNUMBER('자료_한국심리'!$M2279),ISNUMBER('자료_한국심리'!$N2279)),'자료_한국심리'!$M2279,"")</f>
        <v/>
      </c>
    </row>
    <row r="2296">
      <c r="U2296">
        <f>IF(AND(ISNUMBER('자료_한국심리'!$A2280),ISNUMBER('자료_한국심리'!$B2280)),'자료_한국심리'!$A2280,"")</f>
        <v/>
      </c>
      <c r="V2296">
        <f>IF(AND(ISNUMBER('자료_한국심리'!$D2280),ISNUMBER('자료_한국심리'!$E2280)),'자료_한국심리'!$D2280,"")</f>
        <v/>
      </c>
      <c r="W2296">
        <f>IF(AND(ISNUMBER('자료_한국심리'!$G2280),ISNUMBER('자료_한국심리'!$H2280)),'자료_한국심리'!$G2280,"")</f>
        <v/>
      </c>
      <c r="X2296">
        <f>IF(AND(ISNUMBER('자료_한국심리'!$J2280),ISNUMBER('자료_한국심리'!$K2280)),'자료_한국심리'!$J2280,"")</f>
        <v/>
      </c>
      <c r="Y2296">
        <f>IF(AND(ISNUMBER('자료_한국심리'!$M2280),ISNUMBER('자료_한국심리'!$N2280)),'자료_한국심리'!$M2280,"")</f>
        <v/>
      </c>
    </row>
    <row r="2297">
      <c r="U2297">
        <f>IF(AND(ISNUMBER('자료_한국심리'!$A2281),ISNUMBER('자료_한국심리'!$B2281)),'자료_한국심리'!$A2281,"")</f>
        <v/>
      </c>
      <c r="V2297">
        <f>IF(AND(ISNUMBER('자료_한국심리'!$D2281),ISNUMBER('자료_한국심리'!$E2281)),'자료_한국심리'!$D2281,"")</f>
        <v/>
      </c>
      <c r="W2297">
        <f>IF(AND(ISNUMBER('자료_한국심리'!$G2281),ISNUMBER('자료_한국심리'!$H2281)),'자료_한국심리'!$G2281,"")</f>
        <v/>
      </c>
      <c r="X2297">
        <f>IF(AND(ISNUMBER('자료_한국심리'!$J2281),ISNUMBER('자료_한국심리'!$K2281)),'자료_한국심리'!$J2281,"")</f>
        <v/>
      </c>
      <c r="Y2297">
        <f>IF(AND(ISNUMBER('자료_한국심리'!$M2281),ISNUMBER('자료_한국심리'!$N2281)),'자료_한국심리'!$M2281,"")</f>
        <v/>
      </c>
    </row>
    <row r="2298">
      <c r="U2298">
        <f>IF(AND(ISNUMBER('자료_한국심리'!$A2282),ISNUMBER('자료_한국심리'!$B2282)),'자료_한국심리'!$A2282,"")</f>
        <v/>
      </c>
      <c r="V2298">
        <f>IF(AND(ISNUMBER('자료_한국심리'!$D2282),ISNUMBER('자료_한국심리'!$E2282)),'자료_한국심리'!$D2282,"")</f>
        <v/>
      </c>
      <c r="W2298">
        <f>IF(AND(ISNUMBER('자료_한국심리'!$G2282),ISNUMBER('자료_한국심리'!$H2282)),'자료_한국심리'!$G2282,"")</f>
        <v/>
      </c>
      <c r="X2298">
        <f>IF(AND(ISNUMBER('자료_한국심리'!$J2282),ISNUMBER('자료_한국심리'!$K2282)),'자료_한국심리'!$J2282,"")</f>
        <v/>
      </c>
      <c r="Y2298">
        <f>IF(AND(ISNUMBER('자료_한국심리'!$M2282),ISNUMBER('자료_한국심리'!$N2282)),'자료_한국심리'!$M2282,"")</f>
        <v/>
      </c>
    </row>
    <row r="2299">
      <c r="U2299">
        <f>IF(AND(ISNUMBER('자료_한국심리'!$A2283),ISNUMBER('자료_한국심리'!$B2283)),'자료_한국심리'!$A2283,"")</f>
        <v/>
      </c>
      <c r="V2299">
        <f>IF(AND(ISNUMBER('자료_한국심리'!$D2283),ISNUMBER('자료_한국심리'!$E2283)),'자료_한국심리'!$D2283,"")</f>
        <v/>
      </c>
      <c r="W2299">
        <f>IF(AND(ISNUMBER('자료_한국심리'!$G2283),ISNUMBER('자료_한국심리'!$H2283)),'자료_한국심리'!$G2283,"")</f>
        <v/>
      </c>
      <c r="X2299">
        <f>IF(AND(ISNUMBER('자료_한국심리'!$J2283),ISNUMBER('자료_한국심리'!$K2283)),'자료_한국심리'!$J2283,"")</f>
        <v/>
      </c>
      <c r="Y2299">
        <f>IF(AND(ISNUMBER('자료_한국심리'!$M2283),ISNUMBER('자료_한국심리'!$N2283)),'자료_한국심리'!$M2283,"")</f>
        <v/>
      </c>
    </row>
    <row r="2300">
      <c r="U2300">
        <f>IF(AND(ISNUMBER('자료_한국심리'!$A2284),ISNUMBER('자료_한국심리'!$B2284)),'자료_한국심리'!$A2284,"")</f>
        <v/>
      </c>
      <c r="V2300">
        <f>IF(AND(ISNUMBER('자료_한국심리'!$D2284),ISNUMBER('자료_한국심리'!$E2284)),'자료_한국심리'!$D2284,"")</f>
        <v/>
      </c>
      <c r="W2300">
        <f>IF(AND(ISNUMBER('자료_한국심리'!$G2284),ISNUMBER('자료_한국심리'!$H2284)),'자료_한국심리'!$G2284,"")</f>
        <v/>
      </c>
      <c r="X2300">
        <f>IF(AND(ISNUMBER('자료_한국심리'!$J2284),ISNUMBER('자료_한국심리'!$K2284)),'자료_한국심리'!$J2284,"")</f>
        <v/>
      </c>
      <c r="Y2300">
        <f>IF(AND(ISNUMBER('자료_한국심리'!$M2284),ISNUMBER('자료_한국심리'!$N2284)),'자료_한국심리'!$M2284,"")</f>
        <v/>
      </c>
    </row>
    <row r="2301">
      <c r="U2301">
        <f>IF(AND(ISNUMBER('자료_한국심리'!$A2285),ISNUMBER('자료_한국심리'!$B2285)),'자료_한국심리'!$A2285,"")</f>
        <v/>
      </c>
      <c r="V2301">
        <f>IF(AND(ISNUMBER('자료_한국심리'!$D2285),ISNUMBER('자료_한국심리'!$E2285)),'자료_한국심리'!$D2285,"")</f>
        <v/>
      </c>
      <c r="W2301">
        <f>IF(AND(ISNUMBER('자료_한국심리'!$G2285),ISNUMBER('자료_한국심리'!$H2285)),'자료_한국심리'!$G2285,"")</f>
        <v/>
      </c>
      <c r="X2301">
        <f>IF(AND(ISNUMBER('자료_한국심리'!$J2285),ISNUMBER('자료_한국심리'!$K2285)),'자료_한국심리'!$J2285,"")</f>
        <v/>
      </c>
      <c r="Y2301">
        <f>IF(AND(ISNUMBER('자료_한국심리'!$M2285),ISNUMBER('자료_한국심리'!$N2285)),'자료_한국심리'!$M2285,"")</f>
        <v/>
      </c>
    </row>
    <row r="2302">
      <c r="U2302">
        <f>IF(AND(ISNUMBER('자료_한국심리'!$A2286),ISNUMBER('자료_한국심리'!$B2286)),'자료_한국심리'!$A2286,"")</f>
        <v/>
      </c>
      <c r="V2302">
        <f>IF(AND(ISNUMBER('자료_한국심리'!$D2286),ISNUMBER('자료_한국심리'!$E2286)),'자료_한국심리'!$D2286,"")</f>
        <v/>
      </c>
      <c r="W2302">
        <f>IF(AND(ISNUMBER('자료_한국심리'!$G2286),ISNUMBER('자료_한국심리'!$H2286)),'자료_한국심리'!$G2286,"")</f>
        <v/>
      </c>
      <c r="X2302">
        <f>IF(AND(ISNUMBER('자료_한국심리'!$J2286),ISNUMBER('자료_한국심리'!$K2286)),'자료_한국심리'!$J2286,"")</f>
        <v/>
      </c>
      <c r="Y2302">
        <f>IF(AND(ISNUMBER('자료_한국심리'!$M2286),ISNUMBER('자료_한국심리'!$N2286)),'자료_한국심리'!$M2286,"")</f>
        <v/>
      </c>
    </row>
    <row r="2303">
      <c r="U2303">
        <f>IF(AND(ISNUMBER('자료_한국심리'!$A2287),ISNUMBER('자료_한국심리'!$B2287)),'자료_한국심리'!$A2287,"")</f>
        <v/>
      </c>
      <c r="V2303">
        <f>IF(AND(ISNUMBER('자료_한국심리'!$D2287),ISNUMBER('자료_한국심리'!$E2287)),'자료_한국심리'!$D2287,"")</f>
        <v/>
      </c>
      <c r="W2303">
        <f>IF(AND(ISNUMBER('자료_한국심리'!$G2287),ISNUMBER('자료_한국심리'!$H2287)),'자료_한국심리'!$G2287,"")</f>
        <v/>
      </c>
      <c r="X2303">
        <f>IF(AND(ISNUMBER('자료_한국심리'!$J2287),ISNUMBER('자료_한국심리'!$K2287)),'자료_한국심리'!$J2287,"")</f>
        <v/>
      </c>
      <c r="Y2303">
        <f>IF(AND(ISNUMBER('자료_한국심리'!$M2287),ISNUMBER('자료_한국심리'!$N2287)),'자료_한국심리'!$M2287,"")</f>
        <v/>
      </c>
    </row>
    <row r="2304">
      <c r="U2304">
        <f>IF(AND(ISNUMBER('자료_한국심리'!$A2288),ISNUMBER('자료_한국심리'!$B2288)),'자료_한국심리'!$A2288,"")</f>
        <v/>
      </c>
      <c r="V2304">
        <f>IF(AND(ISNUMBER('자료_한국심리'!$D2288),ISNUMBER('자료_한국심리'!$E2288)),'자료_한국심리'!$D2288,"")</f>
        <v/>
      </c>
      <c r="W2304">
        <f>IF(AND(ISNUMBER('자료_한국심리'!$G2288),ISNUMBER('자료_한국심리'!$H2288)),'자료_한국심리'!$G2288,"")</f>
        <v/>
      </c>
      <c r="X2304">
        <f>IF(AND(ISNUMBER('자료_한국심리'!$J2288),ISNUMBER('자료_한국심리'!$K2288)),'자료_한국심리'!$J2288,"")</f>
        <v/>
      </c>
      <c r="Y2304">
        <f>IF(AND(ISNUMBER('자료_한국심리'!$M2288),ISNUMBER('자료_한국심리'!$N2288)),'자료_한국심리'!$M2288,"")</f>
        <v/>
      </c>
    </row>
    <row r="2305">
      <c r="U2305">
        <f>IF(AND(ISNUMBER('자료_한국심리'!$A2289),ISNUMBER('자료_한국심리'!$B2289)),'자료_한국심리'!$A2289,"")</f>
        <v/>
      </c>
      <c r="V2305">
        <f>IF(AND(ISNUMBER('자료_한국심리'!$D2289),ISNUMBER('자료_한국심리'!$E2289)),'자료_한국심리'!$D2289,"")</f>
        <v/>
      </c>
      <c r="W2305">
        <f>IF(AND(ISNUMBER('자료_한국심리'!$G2289),ISNUMBER('자료_한국심리'!$H2289)),'자료_한국심리'!$G2289,"")</f>
        <v/>
      </c>
      <c r="X2305">
        <f>IF(AND(ISNUMBER('자료_한국심리'!$J2289),ISNUMBER('자료_한국심리'!$K2289)),'자료_한국심리'!$J2289,"")</f>
        <v/>
      </c>
      <c r="Y2305">
        <f>IF(AND(ISNUMBER('자료_한국심리'!$M2289),ISNUMBER('자료_한국심리'!$N2289)),'자료_한국심리'!$M2289,"")</f>
        <v/>
      </c>
    </row>
    <row r="2306">
      <c r="U2306">
        <f>IF(AND(ISNUMBER('자료_한국심리'!$A2290),ISNUMBER('자료_한국심리'!$B2290)),'자료_한국심리'!$A2290,"")</f>
        <v/>
      </c>
      <c r="V2306">
        <f>IF(AND(ISNUMBER('자료_한국심리'!$D2290),ISNUMBER('자료_한국심리'!$E2290)),'자료_한국심리'!$D2290,"")</f>
        <v/>
      </c>
      <c r="W2306">
        <f>IF(AND(ISNUMBER('자료_한국심리'!$G2290),ISNUMBER('자료_한국심리'!$H2290)),'자료_한국심리'!$G2290,"")</f>
        <v/>
      </c>
      <c r="X2306">
        <f>IF(AND(ISNUMBER('자료_한국심리'!$J2290),ISNUMBER('자료_한국심리'!$K2290)),'자료_한국심리'!$J2290,"")</f>
        <v/>
      </c>
      <c r="Y2306">
        <f>IF(AND(ISNUMBER('자료_한국심리'!$M2290),ISNUMBER('자료_한국심리'!$N2290)),'자료_한국심리'!$M2290,"")</f>
        <v/>
      </c>
    </row>
    <row r="2307">
      <c r="U2307">
        <f>IF(AND(ISNUMBER('자료_한국심리'!$A2291),ISNUMBER('자료_한국심리'!$B2291)),'자료_한국심리'!$A2291,"")</f>
        <v/>
      </c>
      <c r="V2307">
        <f>IF(AND(ISNUMBER('자료_한국심리'!$D2291),ISNUMBER('자료_한국심리'!$E2291)),'자료_한국심리'!$D2291,"")</f>
        <v/>
      </c>
      <c r="W2307">
        <f>IF(AND(ISNUMBER('자료_한국심리'!$G2291),ISNUMBER('자료_한국심리'!$H2291)),'자료_한국심리'!$G2291,"")</f>
        <v/>
      </c>
      <c r="X2307">
        <f>IF(AND(ISNUMBER('자료_한국심리'!$J2291),ISNUMBER('자료_한국심리'!$K2291)),'자료_한국심리'!$J2291,"")</f>
        <v/>
      </c>
      <c r="Y2307">
        <f>IF(AND(ISNUMBER('자료_한국심리'!$M2291),ISNUMBER('자료_한국심리'!$N2291)),'자료_한국심리'!$M2291,"")</f>
        <v/>
      </c>
    </row>
    <row r="2308">
      <c r="U2308">
        <f>IF(AND(ISNUMBER('자료_한국심리'!$A2292),ISNUMBER('자료_한국심리'!$B2292)),'자료_한국심리'!$A2292,"")</f>
        <v/>
      </c>
      <c r="V2308">
        <f>IF(AND(ISNUMBER('자료_한국심리'!$D2292),ISNUMBER('자료_한국심리'!$E2292)),'자료_한국심리'!$D2292,"")</f>
        <v/>
      </c>
      <c r="W2308">
        <f>IF(AND(ISNUMBER('자료_한국심리'!$G2292),ISNUMBER('자료_한국심리'!$H2292)),'자료_한국심리'!$G2292,"")</f>
        <v/>
      </c>
      <c r="X2308">
        <f>IF(AND(ISNUMBER('자료_한국심리'!$J2292),ISNUMBER('자료_한국심리'!$K2292)),'자료_한국심리'!$J2292,"")</f>
        <v/>
      </c>
      <c r="Y2308">
        <f>IF(AND(ISNUMBER('자료_한국심리'!$M2292),ISNUMBER('자료_한국심리'!$N2292)),'자료_한국심리'!$M2292,"")</f>
        <v/>
      </c>
    </row>
    <row r="2309">
      <c r="U2309">
        <f>IF(AND(ISNUMBER('자료_한국심리'!$A2293),ISNUMBER('자료_한국심리'!$B2293)),'자료_한국심리'!$A2293,"")</f>
        <v/>
      </c>
      <c r="V2309">
        <f>IF(AND(ISNUMBER('자료_한국심리'!$D2293),ISNUMBER('자료_한국심리'!$E2293)),'자료_한국심리'!$D2293,"")</f>
        <v/>
      </c>
      <c r="W2309">
        <f>IF(AND(ISNUMBER('자료_한국심리'!$G2293),ISNUMBER('자료_한국심리'!$H2293)),'자료_한국심리'!$G2293,"")</f>
        <v/>
      </c>
      <c r="X2309">
        <f>IF(AND(ISNUMBER('자료_한국심리'!$J2293),ISNUMBER('자료_한국심리'!$K2293)),'자료_한국심리'!$J2293,"")</f>
        <v/>
      </c>
      <c r="Y2309">
        <f>IF(AND(ISNUMBER('자료_한국심리'!$M2293),ISNUMBER('자료_한국심리'!$N2293)),'자료_한국심리'!$M2293,"")</f>
        <v/>
      </c>
    </row>
    <row r="2310">
      <c r="U2310">
        <f>IF(AND(ISNUMBER('자료_한국심리'!$A2294),ISNUMBER('자료_한국심리'!$B2294)),'자료_한국심리'!$A2294,"")</f>
        <v/>
      </c>
      <c r="V2310">
        <f>IF(AND(ISNUMBER('자료_한국심리'!$D2294),ISNUMBER('자료_한국심리'!$E2294)),'자료_한국심리'!$D2294,"")</f>
        <v/>
      </c>
      <c r="W2310">
        <f>IF(AND(ISNUMBER('자료_한국심리'!$G2294),ISNUMBER('자료_한국심리'!$H2294)),'자료_한국심리'!$G2294,"")</f>
        <v/>
      </c>
      <c r="X2310">
        <f>IF(AND(ISNUMBER('자료_한국심리'!$J2294),ISNUMBER('자료_한국심리'!$K2294)),'자료_한국심리'!$J2294,"")</f>
        <v/>
      </c>
      <c r="Y2310">
        <f>IF(AND(ISNUMBER('자료_한국심리'!$M2294),ISNUMBER('자료_한국심리'!$N2294)),'자료_한국심리'!$M2294,"")</f>
        <v/>
      </c>
    </row>
    <row r="2311">
      <c r="U2311">
        <f>IF(AND(ISNUMBER('자료_한국심리'!$A2295),ISNUMBER('자료_한국심리'!$B2295)),'자료_한국심리'!$A2295,"")</f>
        <v/>
      </c>
      <c r="V2311">
        <f>IF(AND(ISNUMBER('자료_한국심리'!$D2295),ISNUMBER('자료_한국심리'!$E2295)),'자료_한국심리'!$D2295,"")</f>
        <v/>
      </c>
      <c r="W2311">
        <f>IF(AND(ISNUMBER('자료_한국심리'!$G2295),ISNUMBER('자료_한국심리'!$H2295)),'자료_한국심리'!$G2295,"")</f>
        <v/>
      </c>
      <c r="X2311">
        <f>IF(AND(ISNUMBER('자료_한국심리'!$J2295),ISNUMBER('자료_한국심리'!$K2295)),'자료_한국심리'!$J2295,"")</f>
        <v/>
      </c>
      <c r="Y2311">
        <f>IF(AND(ISNUMBER('자료_한국심리'!$M2295),ISNUMBER('자료_한국심리'!$N2295)),'자료_한국심리'!$M2295,"")</f>
        <v/>
      </c>
    </row>
    <row r="2312">
      <c r="U2312">
        <f>IF(AND(ISNUMBER('자료_한국심리'!$A2296),ISNUMBER('자료_한국심리'!$B2296)),'자료_한국심리'!$A2296,"")</f>
        <v/>
      </c>
      <c r="V2312">
        <f>IF(AND(ISNUMBER('자료_한국심리'!$D2296),ISNUMBER('자료_한국심리'!$E2296)),'자료_한국심리'!$D2296,"")</f>
        <v/>
      </c>
      <c r="W2312">
        <f>IF(AND(ISNUMBER('자료_한국심리'!$G2296),ISNUMBER('자료_한국심리'!$H2296)),'자료_한국심리'!$G2296,"")</f>
        <v/>
      </c>
      <c r="X2312">
        <f>IF(AND(ISNUMBER('자료_한국심리'!$J2296),ISNUMBER('자료_한국심리'!$K2296)),'자료_한국심리'!$J2296,"")</f>
        <v/>
      </c>
      <c r="Y2312">
        <f>IF(AND(ISNUMBER('자료_한국심리'!$M2296),ISNUMBER('자료_한국심리'!$N2296)),'자료_한국심리'!$M2296,"")</f>
        <v/>
      </c>
    </row>
    <row r="2313">
      <c r="U2313">
        <f>IF(AND(ISNUMBER('자료_한국심리'!$A2297),ISNUMBER('자료_한국심리'!$B2297)),'자료_한국심리'!$A2297,"")</f>
        <v/>
      </c>
      <c r="V2313">
        <f>IF(AND(ISNUMBER('자료_한국심리'!$D2297),ISNUMBER('자료_한국심리'!$E2297)),'자료_한국심리'!$D2297,"")</f>
        <v/>
      </c>
      <c r="W2313">
        <f>IF(AND(ISNUMBER('자료_한국심리'!$G2297),ISNUMBER('자료_한국심리'!$H2297)),'자료_한국심리'!$G2297,"")</f>
        <v/>
      </c>
      <c r="X2313">
        <f>IF(AND(ISNUMBER('자료_한국심리'!$J2297),ISNUMBER('자료_한국심리'!$K2297)),'자료_한국심리'!$J2297,"")</f>
        <v/>
      </c>
      <c r="Y2313">
        <f>IF(AND(ISNUMBER('자료_한국심리'!$M2297),ISNUMBER('자료_한국심리'!$N2297)),'자료_한국심리'!$M2297,"")</f>
        <v/>
      </c>
    </row>
    <row r="2314">
      <c r="U2314">
        <f>IF(AND(ISNUMBER('자료_한국심리'!$A2298),ISNUMBER('자료_한국심리'!$B2298)),'자료_한국심리'!$A2298,"")</f>
        <v/>
      </c>
      <c r="V2314">
        <f>IF(AND(ISNUMBER('자료_한국심리'!$D2298),ISNUMBER('자료_한국심리'!$E2298)),'자료_한국심리'!$D2298,"")</f>
        <v/>
      </c>
      <c r="W2314">
        <f>IF(AND(ISNUMBER('자료_한국심리'!$G2298),ISNUMBER('자료_한국심리'!$H2298)),'자료_한국심리'!$G2298,"")</f>
        <v/>
      </c>
      <c r="X2314">
        <f>IF(AND(ISNUMBER('자료_한국심리'!$J2298),ISNUMBER('자료_한국심리'!$K2298)),'자료_한국심리'!$J2298,"")</f>
        <v/>
      </c>
      <c r="Y2314">
        <f>IF(AND(ISNUMBER('자료_한국심리'!$M2298),ISNUMBER('자료_한국심리'!$N2298)),'자료_한국심리'!$M2298,"")</f>
        <v/>
      </c>
    </row>
    <row r="2315">
      <c r="U2315">
        <f>IF(AND(ISNUMBER('자료_한국심리'!$A2299),ISNUMBER('자료_한국심리'!$B2299)),'자료_한국심리'!$A2299,"")</f>
        <v/>
      </c>
      <c r="V2315">
        <f>IF(AND(ISNUMBER('자료_한국심리'!$D2299),ISNUMBER('자료_한국심리'!$E2299)),'자료_한국심리'!$D2299,"")</f>
        <v/>
      </c>
      <c r="W2315">
        <f>IF(AND(ISNUMBER('자료_한국심리'!$G2299),ISNUMBER('자료_한국심리'!$H2299)),'자료_한국심리'!$G2299,"")</f>
        <v/>
      </c>
      <c r="X2315">
        <f>IF(AND(ISNUMBER('자료_한국심리'!$J2299),ISNUMBER('자료_한국심리'!$K2299)),'자료_한국심리'!$J2299,"")</f>
        <v/>
      </c>
      <c r="Y2315">
        <f>IF(AND(ISNUMBER('자료_한국심리'!$M2299),ISNUMBER('자료_한국심리'!$N2299)),'자료_한국심리'!$M2299,"")</f>
        <v/>
      </c>
    </row>
    <row r="2316">
      <c r="U2316">
        <f>IF(AND(ISNUMBER('자료_한국심리'!$A2300),ISNUMBER('자료_한국심리'!$B2300)),'자료_한국심리'!$A2300,"")</f>
        <v/>
      </c>
      <c r="V2316">
        <f>IF(AND(ISNUMBER('자료_한국심리'!$D2300),ISNUMBER('자료_한국심리'!$E2300)),'자료_한국심리'!$D2300,"")</f>
        <v/>
      </c>
      <c r="W2316">
        <f>IF(AND(ISNUMBER('자료_한국심리'!$G2300),ISNUMBER('자료_한국심리'!$H2300)),'자료_한국심리'!$G2300,"")</f>
        <v/>
      </c>
      <c r="X2316">
        <f>IF(AND(ISNUMBER('자료_한국심리'!$J2300),ISNUMBER('자료_한국심리'!$K2300)),'자료_한국심리'!$J2300,"")</f>
        <v/>
      </c>
      <c r="Y2316">
        <f>IF(AND(ISNUMBER('자료_한국심리'!$M2300),ISNUMBER('자료_한국심리'!$N2300)),'자료_한국심리'!$M2300,"")</f>
        <v/>
      </c>
    </row>
    <row r="2317">
      <c r="U2317">
        <f>IF(AND(ISNUMBER('자료_한국심리'!$A2301),ISNUMBER('자료_한국심리'!$B2301)),'자료_한국심리'!$A2301,"")</f>
        <v/>
      </c>
      <c r="V2317">
        <f>IF(AND(ISNUMBER('자료_한국심리'!$D2301),ISNUMBER('자료_한국심리'!$E2301)),'자료_한국심리'!$D2301,"")</f>
        <v/>
      </c>
      <c r="W2317">
        <f>IF(AND(ISNUMBER('자료_한국심리'!$G2301),ISNUMBER('자료_한국심리'!$H2301)),'자료_한국심리'!$G2301,"")</f>
        <v/>
      </c>
      <c r="X2317">
        <f>IF(AND(ISNUMBER('자료_한국심리'!$J2301),ISNUMBER('자료_한국심리'!$K2301)),'자료_한국심리'!$J2301,"")</f>
        <v/>
      </c>
      <c r="Y2317">
        <f>IF(AND(ISNUMBER('자료_한국심리'!$M2301),ISNUMBER('자료_한국심리'!$N2301)),'자료_한국심리'!$M2301,"")</f>
        <v/>
      </c>
    </row>
    <row r="2318">
      <c r="U2318">
        <f>IF(AND(ISNUMBER('자료_한국심리'!$A2302),ISNUMBER('자료_한국심리'!$B2302)),'자료_한국심리'!$A2302,"")</f>
        <v/>
      </c>
      <c r="V2318">
        <f>IF(AND(ISNUMBER('자료_한국심리'!$D2302),ISNUMBER('자료_한국심리'!$E2302)),'자료_한국심리'!$D2302,"")</f>
        <v/>
      </c>
      <c r="W2318">
        <f>IF(AND(ISNUMBER('자료_한국심리'!$G2302),ISNUMBER('자료_한국심리'!$H2302)),'자료_한국심리'!$G2302,"")</f>
        <v/>
      </c>
      <c r="X2318">
        <f>IF(AND(ISNUMBER('자료_한국심리'!$J2302),ISNUMBER('자료_한국심리'!$K2302)),'자료_한국심리'!$J2302,"")</f>
        <v/>
      </c>
      <c r="Y2318">
        <f>IF(AND(ISNUMBER('자료_한국심리'!$M2302),ISNUMBER('자료_한국심리'!$N2302)),'자료_한국심리'!$M2302,"")</f>
        <v/>
      </c>
    </row>
    <row r="2319">
      <c r="U2319">
        <f>IF(AND(ISNUMBER('자료_한국심리'!$A2303),ISNUMBER('자료_한국심리'!$B2303)),'자료_한국심리'!$A2303,"")</f>
        <v/>
      </c>
      <c r="V2319">
        <f>IF(AND(ISNUMBER('자료_한국심리'!$D2303),ISNUMBER('자료_한국심리'!$E2303)),'자료_한국심리'!$D2303,"")</f>
        <v/>
      </c>
      <c r="W2319">
        <f>IF(AND(ISNUMBER('자료_한국심리'!$G2303),ISNUMBER('자료_한국심리'!$H2303)),'자료_한국심리'!$G2303,"")</f>
        <v/>
      </c>
      <c r="X2319">
        <f>IF(AND(ISNUMBER('자료_한국심리'!$J2303),ISNUMBER('자료_한국심리'!$K2303)),'자료_한국심리'!$J2303,"")</f>
        <v/>
      </c>
      <c r="Y2319">
        <f>IF(AND(ISNUMBER('자료_한국심리'!$M2303),ISNUMBER('자료_한국심리'!$N2303)),'자료_한국심리'!$M2303,"")</f>
        <v/>
      </c>
    </row>
    <row r="2320">
      <c r="U2320">
        <f>IF(AND(ISNUMBER('자료_한국심리'!$A2304),ISNUMBER('자료_한국심리'!$B2304)),'자료_한국심리'!$A2304,"")</f>
        <v/>
      </c>
      <c r="V2320">
        <f>IF(AND(ISNUMBER('자료_한국심리'!$D2304),ISNUMBER('자료_한국심리'!$E2304)),'자료_한국심리'!$D2304,"")</f>
        <v/>
      </c>
      <c r="W2320">
        <f>IF(AND(ISNUMBER('자료_한국심리'!$G2304),ISNUMBER('자료_한국심리'!$H2304)),'자료_한국심리'!$G2304,"")</f>
        <v/>
      </c>
      <c r="X2320">
        <f>IF(AND(ISNUMBER('자료_한국심리'!$J2304),ISNUMBER('자료_한국심리'!$K2304)),'자료_한국심리'!$J2304,"")</f>
        <v/>
      </c>
      <c r="Y2320">
        <f>IF(AND(ISNUMBER('자료_한국심리'!$M2304),ISNUMBER('자료_한국심리'!$N2304)),'자료_한국심리'!$M2304,"")</f>
        <v/>
      </c>
    </row>
    <row r="2321">
      <c r="U2321">
        <f>IF(AND(ISNUMBER('자료_한국심리'!$A2305),ISNUMBER('자료_한국심리'!$B2305)),'자료_한국심리'!$A2305,"")</f>
        <v/>
      </c>
      <c r="V2321">
        <f>IF(AND(ISNUMBER('자료_한국심리'!$D2305),ISNUMBER('자료_한국심리'!$E2305)),'자료_한국심리'!$D2305,"")</f>
        <v/>
      </c>
      <c r="W2321">
        <f>IF(AND(ISNUMBER('자료_한국심리'!$G2305),ISNUMBER('자료_한국심리'!$H2305)),'자료_한국심리'!$G2305,"")</f>
        <v/>
      </c>
      <c r="X2321">
        <f>IF(AND(ISNUMBER('자료_한국심리'!$J2305),ISNUMBER('자료_한국심리'!$K2305)),'자료_한국심리'!$J2305,"")</f>
        <v/>
      </c>
      <c r="Y2321">
        <f>IF(AND(ISNUMBER('자료_한국심리'!$M2305),ISNUMBER('자료_한국심리'!$N2305)),'자료_한국심리'!$M2305,"")</f>
        <v/>
      </c>
    </row>
    <row r="2322">
      <c r="U2322">
        <f>IF(AND(ISNUMBER('자료_한국심리'!$A2306),ISNUMBER('자료_한국심리'!$B2306)),'자료_한국심리'!$A2306,"")</f>
        <v/>
      </c>
      <c r="V2322">
        <f>IF(AND(ISNUMBER('자료_한국심리'!$D2306),ISNUMBER('자료_한국심리'!$E2306)),'자료_한국심리'!$D2306,"")</f>
        <v/>
      </c>
      <c r="W2322">
        <f>IF(AND(ISNUMBER('자료_한국심리'!$G2306),ISNUMBER('자료_한국심리'!$H2306)),'자료_한국심리'!$G2306,"")</f>
        <v/>
      </c>
      <c r="X2322">
        <f>IF(AND(ISNUMBER('자료_한국심리'!$J2306),ISNUMBER('자료_한국심리'!$K2306)),'자료_한국심리'!$J2306,"")</f>
        <v/>
      </c>
      <c r="Y2322">
        <f>IF(AND(ISNUMBER('자료_한국심리'!$M2306),ISNUMBER('자료_한국심리'!$N2306)),'자료_한국심리'!$M2306,"")</f>
        <v/>
      </c>
    </row>
    <row r="2323">
      <c r="U2323">
        <f>IF(AND(ISNUMBER('자료_한국심리'!$A2307),ISNUMBER('자료_한국심리'!$B2307)),'자료_한국심리'!$A2307,"")</f>
        <v/>
      </c>
      <c r="V2323">
        <f>IF(AND(ISNUMBER('자료_한국심리'!$D2307),ISNUMBER('자료_한국심리'!$E2307)),'자료_한국심리'!$D2307,"")</f>
        <v/>
      </c>
      <c r="W2323">
        <f>IF(AND(ISNUMBER('자료_한국심리'!$G2307),ISNUMBER('자료_한국심리'!$H2307)),'자료_한국심리'!$G2307,"")</f>
        <v/>
      </c>
      <c r="X2323">
        <f>IF(AND(ISNUMBER('자료_한국심리'!$J2307),ISNUMBER('자료_한국심리'!$K2307)),'자료_한국심리'!$J2307,"")</f>
        <v/>
      </c>
      <c r="Y2323">
        <f>IF(AND(ISNUMBER('자료_한국심리'!$M2307),ISNUMBER('자료_한국심리'!$N2307)),'자료_한국심리'!$M2307,"")</f>
        <v/>
      </c>
    </row>
    <row r="2324">
      <c r="U2324">
        <f>IF(AND(ISNUMBER('자료_한국심리'!$A2308),ISNUMBER('자료_한국심리'!$B2308)),'자료_한국심리'!$A2308,"")</f>
        <v/>
      </c>
      <c r="V2324">
        <f>IF(AND(ISNUMBER('자료_한국심리'!$D2308),ISNUMBER('자료_한국심리'!$E2308)),'자료_한국심리'!$D2308,"")</f>
        <v/>
      </c>
      <c r="W2324">
        <f>IF(AND(ISNUMBER('자료_한국심리'!$G2308),ISNUMBER('자료_한국심리'!$H2308)),'자료_한국심리'!$G2308,"")</f>
        <v/>
      </c>
      <c r="X2324">
        <f>IF(AND(ISNUMBER('자료_한국심리'!$J2308),ISNUMBER('자료_한국심리'!$K2308)),'자료_한국심리'!$J2308,"")</f>
        <v/>
      </c>
      <c r="Y2324">
        <f>IF(AND(ISNUMBER('자료_한국심리'!$M2308),ISNUMBER('자료_한국심리'!$N2308)),'자료_한국심리'!$M2308,"")</f>
        <v/>
      </c>
    </row>
    <row r="2325">
      <c r="U2325">
        <f>IF(AND(ISNUMBER('자료_한국심리'!$A2309),ISNUMBER('자료_한국심리'!$B2309)),'자료_한국심리'!$A2309,"")</f>
        <v/>
      </c>
      <c r="V2325">
        <f>IF(AND(ISNUMBER('자료_한국심리'!$D2309),ISNUMBER('자료_한국심리'!$E2309)),'자료_한국심리'!$D2309,"")</f>
        <v/>
      </c>
      <c r="W2325">
        <f>IF(AND(ISNUMBER('자료_한국심리'!$G2309),ISNUMBER('자료_한국심리'!$H2309)),'자료_한국심리'!$G2309,"")</f>
        <v/>
      </c>
      <c r="X2325">
        <f>IF(AND(ISNUMBER('자료_한국심리'!$J2309),ISNUMBER('자료_한국심리'!$K2309)),'자료_한국심리'!$J2309,"")</f>
        <v/>
      </c>
      <c r="Y2325">
        <f>IF(AND(ISNUMBER('자료_한국심리'!$M2309),ISNUMBER('자료_한국심리'!$N2309)),'자료_한국심리'!$M2309,"")</f>
        <v/>
      </c>
    </row>
    <row r="2326">
      <c r="U2326">
        <f>IF(AND(ISNUMBER('자료_한국심리'!$A2310),ISNUMBER('자료_한국심리'!$B2310)),'자료_한국심리'!$A2310,"")</f>
        <v/>
      </c>
      <c r="V2326">
        <f>IF(AND(ISNUMBER('자료_한국심리'!$D2310),ISNUMBER('자료_한국심리'!$E2310)),'자료_한국심리'!$D2310,"")</f>
        <v/>
      </c>
      <c r="W2326">
        <f>IF(AND(ISNUMBER('자료_한국심리'!$G2310),ISNUMBER('자료_한국심리'!$H2310)),'자료_한국심리'!$G2310,"")</f>
        <v/>
      </c>
      <c r="X2326">
        <f>IF(AND(ISNUMBER('자료_한국심리'!$J2310),ISNUMBER('자료_한국심리'!$K2310)),'자료_한국심리'!$J2310,"")</f>
        <v/>
      </c>
      <c r="Y2326">
        <f>IF(AND(ISNUMBER('자료_한국심리'!$M2310),ISNUMBER('자료_한국심리'!$N2310)),'자료_한국심리'!$M2310,"")</f>
        <v/>
      </c>
    </row>
    <row r="2327">
      <c r="U2327">
        <f>IF(AND(ISNUMBER('자료_한국심리'!$A2311),ISNUMBER('자료_한국심리'!$B2311)),'자료_한국심리'!$A2311,"")</f>
        <v/>
      </c>
      <c r="V2327">
        <f>IF(AND(ISNUMBER('자료_한국심리'!$D2311),ISNUMBER('자료_한국심리'!$E2311)),'자료_한국심리'!$D2311,"")</f>
        <v/>
      </c>
      <c r="W2327">
        <f>IF(AND(ISNUMBER('자료_한국심리'!$G2311),ISNUMBER('자료_한국심리'!$H2311)),'자료_한국심리'!$G2311,"")</f>
        <v/>
      </c>
      <c r="X2327">
        <f>IF(AND(ISNUMBER('자료_한국심리'!$J2311),ISNUMBER('자료_한국심리'!$K2311)),'자료_한국심리'!$J2311,"")</f>
        <v/>
      </c>
      <c r="Y2327">
        <f>IF(AND(ISNUMBER('자료_한국심리'!$M2311),ISNUMBER('자료_한국심리'!$N2311)),'자료_한국심리'!$M2311,"")</f>
        <v/>
      </c>
    </row>
    <row r="2328">
      <c r="U2328">
        <f>IF(AND(ISNUMBER('자료_한국심리'!$A2312),ISNUMBER('자료_한국심리'!$B2312)),'자료_한국심리'!$A2312,"")</f>
        <v/>
      </c>
      <c r="V2328">
        <f>IF(AND(ISNUMBER('자료_한국심리'!$D2312),ISNUMBER('자료_한국심리'!$E2312)),'자료_한국심리'!$D2312,"")</f>
        <v/>
      </c>
      <c r="W2328">
        <f>IF(AND(ISNUMBER('자료_한국심리'!$G2312),ISNUMBER('자료_한국심리'!$H2312)),'자료_한국심리'!$G2312,"")</f>
        <v/>
      </c>
      <c r="X2328">
        <f>IF(AND(ISNUMBER('자료_한국심리'!$J2312),ISNUMBER('자료_한국심리'!$K2312)),'자료_한국심리'!$J2312,"")</f>
        <v/>
      </c>
      <c r="Y2328">
        <f>IF(AND(ISNUMBER('자료_한국심리'!$M2312),ISNUMBER('자료_한국심리'!$N2312)),'자료_한국심리'!$M2312,"")</f>
        <v/>
      </c>
    </row>
    <row r="2329">
      <c r="U2329">
        <f>IF(AND(ISNUMBER('자료_한국심리'!$A2313),ISNUMBER('자료_한국심리'!$B2313)),'자료_한국심리'!$A2313,"")</f>
        <v/>
      </c>
      <c r="V2329">
        <f>IF(AND(ISNUMBER('자료_한국심리'!$D2313),ISNUMBER('자료_한국심리'!$E2313)),'자료_한국심리'!$D2313,"")</f>
        <v/>
      </c>
      <c r="W2329">
        <f>IF(AND(ISNUMBER('자료_한국심리'!$G2313),ISNUMBER('자료_한국심리'!$H2313)),'자료_한국심리'!$G2313,"")</f>
        <v/>
      </c>
      <c r="X2329">
        <f>IF(AND(ISNUMBER('자료_한국심리'!$J2313),ISNUMBER('자료_한국심리'!$K2313)),'자료_한국심리'!$J2313,"")</f>
        <v/>
      </c>
      <c r="Y2329">
        <f>IF(AND(ISNUMBER('자료_한국심리'!$M2313),ISNUMBER('자료_한국심리'!$N2313)),'자료_한국심리'!$M2313,"")</f>
        <v/>
      </c>
    </row>
    <row r="2330">
      <c r="U2330">
        <f>IF(AND(ISNUMBER('자료_한국심리'!$A2314),ISNUMBER('자료_한국심리'!$B2314)),'자료_한국심리'!$A2314,"")</f>
        <v/>
      </c>
      <c r="V2330">
        <f>IF(AND(ISNUMBER('자료_한국심리'!$D2314),ISNUMBER('자료_한국심리'!$E2314)),'자료_한국심리'!$D2314,"")</f>
        <v/>
      </c>
      <c r="W2330">
        <f>IF(AND(ISNUMBER('자료_한국심리'!$G2314),ISNUMBER('자료_한국심리'!$H2314)),'자료_한국심리'!$G2314,"")</f>
        <v/>
      </c>
      <c r="X2330">
        <f>IF(AND(ISNUMBER('자료_한국심리'!$J2314),ISNUMBER('자료_한국심리'!$K2314)),'자료_한국심리'!$J2314,"")</f>
        <v/>
      </c>
      <c r="Y2330">
        <f>IF(AND(ISNUMBER('자료_한국심리'!$M2314),ISNUMBER('자료_한국심리'!$N2314)),'자료_한국심리'!$M2314,"")</f>
        <v/>
      </c>
    </row>
    <row r="2331">
      <c r="U2331">
        <f>IF(AND(ISNUMBER('자료_한국심리'!$A2315),ISNUMBER('자료_한국심리'!$B2315)),'자료_한국심리'!$A2315,"")</f>
        <v/>
      </c>
      <c r="V2331">
        <f>IF(AND(ISNUMBER('자료_한국심리'!$D2315),ISNUMBER('자료_한국심리'!$E2315)),'자료_한국심리'!$D2315,"")</f>
        <v/>
      </c>
      <c r="W2331">
        <f>IF(AND(ISNUMBER('자료_한국심리'!$G2315),ISNUMBER('자료_한국심리'!$H2315)),'자료_한국심리'!$G2315,"")</f>
        <v/>
      </c>
      <c r="X2331">
        <f>IF(AND(ISNUMBER('자료_한국심리'!$J2315),ISNUMBER('자료_한국심리'!$K2315)),'자료_한국심리'!$J2315,"")</f>
        <v/>
      </c>
      <c r="Y2331">
        <f>IF(AND(ISNUMBER('자료_한국심리'!$M2315),ISNUMBER('자료_한국심리'!$N2315)),'자료_한국심리'!$M2315,"")</f>
        <v/>
      </c>
    </row>
    <row r="2332">
      <c r="U2332">
        <f>IF(AND(ISNUMBER('자료_한국심리'!$A2316),ISNUMBER('자료_한국심리'!$B2316)),'자료_한국심리'!$A2316,"")</f>
        <v/>
      </c>
      <c r="V2332">
        <f>IF(AND(ISNUMBER('자료_한국심리'!$D2316),ISNUMBER('자료_한국심리'!$E2316)),'자료_한국심리'!$D2316,"")</f>
        <v/>
      </c>
      <c r="W2332">
        <f>IF(AND(ISNUMBER('자료_한국심리'!$G2316),ISNUMBER('자료_한국심리'!$H2316)),'자료_한국심리'!$G2316,"")</f>
        <v/>
      </c>
      <c r="X2332">
        <f>IF(AND(ISNUMBER('자료_한국심리'!$J2316),ISNUMBER('자료_한국심리'!$K2316)),'자료_한국심리'!$J2316,"")</f>
        <v/>
      </c>
      <c r="Y2332">
        <f>IF(AND(ISNUMBER('자료_한국심리'!$M2316),ISNUMBER('자료_한국심리'!$N2316)),'자료_한국심리'!$M2316,"")</f>
        <v/>
      </c>
    </row>
    <row r="2333">
      <c r="U2333">
        <f>IF(AND(ISNUMBER('자료_한국심리'!$A2317),ISNUMBER('자료_한국심리'!$B2317)),'자료_한국심리'!$A2317,"")</f>
        <v/>
      </c>
      <c r="V2333">
        <f>IF(AND(ISNUMBER('자료_한국심리'!$D2317),ISNUMBER('자료_한국심리'!$E2317)),'자료_한국심리'!$D2317,"")</f>
        <v/>
      </c>
      <c r="W2333">
        <f>IF(AND(ISNUMBER('자료_한국심리'!$G2317),ISNUMBER('자료_한국심리'!$H2317)),'자료_한국심리'!$G2317,"")</f>
        <v/>
      </c>
      <c r="X2333">
        <f>IF(AND(ISNUMBER('자료_한국심리'!$J2317),ISNUMBER('자료_한국심리'!$K2317)),'자료_한국심리'!$J2317,"")</f>
        <v/>
      </c>
      <c r="Y2333">
        <f>IF(AND(ISNUMBER('자료_한국심리'!$M2317),ISNUMBER('자료_한국심리'!$N2317)),'자료_한국심리'!$M2317,"")</f>
        <v/>
      </c>
    </row>
    <row r="2334">
      <c r="U2334">
        <f>IF(AND(ISNUMBER('자료_한국심리'!$A2318),ISNUMBER('자료_한국심리'!$B2318)),'자료_한국심리'!$A2318,"")</f>
        <v/>
      </c>
      <c r="V2334">
        <f>IF(AND(ISNUMBER('자료_한국심리'!$D2318),ISNUMBER('자료_한국심리'!$E2318)),'자료_한국심리'!$D2318,"")</f>
        <v/>
      </c>
      <c r="W2334">
        <f>IF(AND(ISNUMBER('자료_한국심리'!$G2318),ISNUMBER('자료_한국심리'!$H2318)),'자료_한국심리'!$G2318,"")</f>
        <v/>
      </c>
      <c r="X2334">
        <f>IF(AND(ISNUMBER('자료_한국심리'!$J2318),ISNUMBER('자료_한국심리'!$K2318)),'자료_한국심리'!$J2318,"")</f>
        <v/>
      </c>
      <c r="Y2334">
        <f>IF(AND(ISNUMBER('자료_한국심리'!$M2318),ISNUMBER('자료_한국심리'!$N2318)),'자료_한국심리'!$M2318,"")</f>
        <v/>
      </c>
    </row>
    <row r="2335">
      <c r="U2335">
        <f>IF(AND(ISNUMBER('자료_한국심리'!$A2319),ISNUMBER('자료_한국심리'!$B2319)),'자료_한국심리'!$A2319,"")</f>
        <v/>
      </c>
      <c r="V2335">
        <f>IF(AND(ISNUMBER('자료_한국심리'!$D2319),ISNUMBER('자료_한국심리'!$E2319)),'자료_한국심리'!$D2319,"")</f>
        <v/>
      </c>
      <c r="W2335">
        <f>IF(AND(ISNUMBER('자료_한국심리'!$G2319),ISNUMBER('자료_한국심리'!$H2319)),'자료_한국심리'!$G2319,"")</f>
        <v/>
      </c>
      <c r="X2335">
        <f>IF(AND(ISNUMBER('자료_한국심리'!$J2319),ISNUMBER('자료_한국심리'!$K2319)),'자료_한국심리'!$J2319,"")</f>
        <v/>
      </c>
      <c r="Y2335">
        <f>IF(AND(ISNUMBER('자료_한국심리'!$M2319),ISNUMBER('자료_한국심리'!$N2319)),'자료_한국심리'!$M2319,"")</f>
        <v/>
      </c>
    </row>
    <row r="2336">
      <c r="U2336">
        <f>IF(AND(ISNUMBER('자료_한국심리'!$A2320),ISNUMBER('자료_한국심리'!$B2320)),'자료_한국심리'!$A2320,"")</f>
        <v/>
      </c>
      <c r="V2336">
        <f>IF(AND(ISNUMBER('자료_한국심리'!$D2320),ISNUMBER('자료_한국심리'!$E2320)),'자료_한국심리'!$D2320,"")</f>
        <v/>
      </c>
      <c r="W2336">
        <f>IF(AND(ISNUMBER('자료_한국심리'!$G2320),ISNUMBER('자료_한국심리'!$H2320)),'자료_한국심리'!$G2320,"")</f>
        <v/>
      </c>
      <c r="X2336">
        <f>IF(AND(ISNUMBER('자료_한국심리'!$J2320),ISNUMBER('자료_한국심리'!$K2320)),'자료_한국심리'!$J2320,"")</f>
        <v/>
      </c>
      <c r="Y2336">
        <f>IF(AND(ISNUMBER('자료_한국심리'!$M2320),ISNUMBER('자료_한국심리'!$N2320)),'자료_한국심리'!$M2320,"")</f>
        <v/>
      </c>
    </row>
    <row r="2337">
      <c r="U2337">
        <f>IF(AND(ISNUMBER('자료_한국심리'!$A2321),ISNUMBER('자료_한국심리'!$B2321)),'자료_한국심리'!$A2321,"")</f>
        <v/>
      </c>
      <c r="V2337">
        <f>IF(AND(ISNUMBER('자료_한국심리'!$D2321),ISNUMBER('자료_한국심리'!$E2321)),'자료_한국심리'!$D2321,"")</f>
        <v/>
      </c>
      <c r="W2337">
        <f>IF(AND(ISNUMBER('자료_한국심리'!$G2321),ISNUMBER('자료_한국심리'!$H2321)),'자료_한국심리'!$G2321,"")</f>
        <v/>
      </c>
      <c r="X2337">
        <f>IF(AND(ISNUMBER('자료_한국심리'!$J2321),ISNUMBER('자료_한국심리'!$K2321)),'자료_한국심리'!$J2321,"")</f>
        <v/>
      </c>
      <c r="Y2337">
        <f>IF(AND(ISNUMBER('자료_한국심리'!$M2321),ISNUMBER('자료_한국심리'!$N2321)),'자료_한국심리'!$M2321,"")</f>
        <v/>
      </c>
    </row>
    <row r="2338">
      <c r="U2338">
        <f>IF(AND(ISNUMBER('자료_한국심리'!$A2322),ISNUMBER('자료_한국심리'!$B2322)),'자료_한국심리'!$A2322,"")</f>
        <v/>
      </c>
      <c r="V2338">
        <f>IF(AND(ISNUMBER('자료_한국심리'!$D2322),ISNUMBER('자료_한국심리'!$E2322)),'자료_한국심리'!$D2322,"")</f>
        <v/>
      </c>
      <c r="W2338">
        <f>IF(AND(ISNUMBER('자료_한국심리'!$G2322),ISNUMBER('자료_한국심리'!$H2322)),'자료_한국심리'!$G2322,"")</f>
        <v/>
      </c>
      <c r="X2338">
        <f>IF(AND(ISNUMBER('자료_한국심리'!$J2322),ISNUMBER('자료_한국심리'!$K2322)),'자료_한국심리'!$J2322,"")</f>
        <v/>
      </c>
      <c r="Y2338">
        <f>IF(AND(ISNUMBER('자료_한국심리'!$M2322),ISNUMBER('자료_한국심리'!$N2322)),'자료_한국심리'!$M2322,"")</f>
        <v/>
      </c>
    </row>
    <row r="2339">
      <c r="U2339">
        <f>IF(AND(ISNUMBER('자료_한국심리'!$A2323),ISNUMBER('자료_한국심리'!$B2323)),'자료_한국심리'!$A2323,"")</f>
        <v/>
      </c>
      <c r="V2339">
        <f>IF(AND(ISNUMBER('자료_한국심리'!$D2323),ISNUMBER('자료_한국심리'!$E2323)),'자료_한국심리'!$D2323,"")</f>
        <v/>
      </c>
      <c r="W2339">
        <f>IF(AND(ISNUMBER('자료_한국심리'!$G2323),ISNUMBER('자료_한국심리'!$H2323)),'자료_한국심리'!$G2323,"")</f>
        <v/>
      </c>
      <c r="X2339">
        <f>IF(AND(ISNUMBER('자료_한국심리'!$J2323),ISNUMBER('자료_한국심리'!$K2323)),'자료_한국심리'!$J2323,"")</f>
        <v/>
      </c>
      <c r="Y2339">
        <f>IF(AND(ISNUMBER('자료_한국심리'!$M2323),ISNUMBER('자료_한국심리'!$N2323)),'자료_한국심리'!$M2323,"")</f>
        <v/>
      </c>
    </row>
    <row r="2340">
      <c r="U2340">
        <f>IF(AND(ISNUMBER('자료_한국심리'!$A2324),ISNUMBER('자료_한국심리'!$B2324)),'자료_한국심리'!$A2324,"")</f>
        <v/>
      </c>
      <c r="V2340">
        <f>IF(AND(ISNUMBER('자료_한국심리'!$D2324),ISNUMBER('자료_한국심리'!$E2324)),'자료_한국심리'!$D2324,"")</f>
        <v/>
      </c>
      <c r="W2340">
        <f>IF(AND(ISNUMBER('자료_한국심리'!$G2324),ISNUMBER('자료_한국심리'!$H2324)),'자료_한국심리'!$G2324,"")</f>
        <v/>
      </c>
      <c r="X2340">
        <f>IF(AND(ISNUMBER('자료_한국심리'!$J2324),ISNUMBER('자료_한국심리'!$K2324)),'자료_한국심리'!$J2324,"")</f>
        <v/>
      </c>
      <c r="Y2340">
        <f>IF(AND(ISNUMBER('자료_한국심리'!$M2324),ISNUMBER('자료_한국심리'!$N2324)),'자료_한국심리'!$M2324,"")</f>
        <v/>
      </c>
    </row>
    <row r="2341">
      <c r="U2341">
        <f>IF(AND(ISNUMBER('자료_한국심리'!$A2325),ISNUMBER('자료_한국심리'!$B2325)),'자료_한국심리'!$A2325,"")</f>
        <v/>
      </c>
      <c r="V2341">
        <f>IF(AND(ISNUMBER('자료_한국심리'!$D2325),ISNUMBER('자료_한국심리'!$E2325)),'자료_한국심리'!$D2325,"")</f>
        <v/>
      </c>
      <c r="W2341">
        <f>IF(AND(ISNUMBER('자료_한국심리'!$G2325),ISNUMBER('자료_한국심리'!$H2325)),'자료_한국심리'!$G2325,"")</f>
        <v/>
      </c>
      <c r="X2341">
        <f>IF(AND(ISNUMBER('자료_한국심리'!$J2325),ISNUMBER('자료_한국심리'!$K2325)),'자료_한국심리'!$J2325,"")</f>
        <v/>
      </c>
      <c r="Y2341">
        <f>IF(AND(ISNUMBER('자료_한국심리'!$M2325),ISNUMBER('자료_한국심리'!$N2325)),'자료_한국심리'!$M2325,"")</f>
        <v/>
      </c>
    </row>
    <row r="2342">
      <c r="U2342">
        <f>IF(AND(ISNUMBER('자료_한국심리'!$A2326),ISNUMBER('자료_한국심리'!$B2326)),'자료_한국심리'!$A2326,"")</f>
        <v/>
      </c>
      <c r="V2342">
        <f>IF(AND(ISNUMBER('자료_한국심리'!$D2326),ISNUMBER('자료_한국심리'!$E2326)),'자료_한국심리'!$D2326,"")</f>
        <v/>
      </c>
      <c r="W2342">
        <f>IF(AND(ISNUMBER('자료_한국심리'!$G2326),ISNUMBER('자료_한국심리'!$H2326)),'자료_한국심리'!$G2326,"")</f>
        <v/>
      </c>
      <c r="X2342">
        <f>IF(AND(ISNUMBER('자료_한국심리'!$J2326),ISNUMBER('자료_한국심리'!$K2326)),'자료_한국심리'!$J2326,"")</f>
        <v/>
      </c>
      <c r="Y2342">
        <f>IF(AND(ISNUMBER('자료_한국심리'!$M2326),ISNUMBER('자료_한국심리'!$N2326)),'자료_한국심리'!$M2326,"")</f>
        <v/>
      </c>
    </row>
    <row r="2343">
      <c r="U2343">
        <f>IF(AND(ISNUMBER('자료_한국심리'!$A2327),ISNUMBER('자료_한국심리'!$B2327)),'자료_한국심리'!$A2327,"")</f>
        <v/>
      </c>
      <c r="V2343">
        <f>IF(AND(ISNUMBER('자료_한국심리'!$D2327),ISNUMBER('자료_한국심리'!$E2327)),'자료_한국심리'!$D2327,"")</f>
        <v/>
      </c>
      <c r="W2343">
        <f>IF(AND(ISNUMBER('자료_한국심리'!$G2327),ISNUMBER('자료_한국심리'!$H2327)),'자료_한국심리'!$G2327,"")</f>
        <v/>
      </c>
      <c r="X2343">
        <f>IF(AND(ISNUMBER('자료_한국심리'!$J2327),ISNUMBER('자료_한국심리'!$K2327)),'자료_한국심리'!$J2327,"")</f>
        <v/>
      </c>
      <c r="Y2343">
        <f>IF(AND(ISNUMBER('자료_한국심리'!$M2327),ISNUMBER('자료_한국심리'!$N2327)),'자료_한국심리'!$M2327,"")</f>
        <v/>
      </c>
    </row>
    <row r="2344">
      <c r="U2344">
        <f>IF(AND(ISNUMBER('자료_한국심리'!$A2328),ISNUMBER('자료_한국심리'!$B2328)),'자료_한국심리'!$A2328,"")</f>
        <v/>
      </c>
      <c r="V2344">
        <f>IF(AND(ISNUMBER('자료_한국심리'!$D2328),ISNUMBER('자료_한국심리'!$E2328)),'자료_한국심리'!$D2328,"")</f>
        <v/>
      </c>
      <c r="W2344">
        <f>IF(AND(ISNUMBER('자료_한국심리'!$G2328),ISNUMBER('자료_한국심리'!$H2328)),'자료_한국심리'!$G2328,"")</f>
        <v/>
      </c>
      <c r="X2344">
        <f>IF(AND(ISNUMBER('자료_한국심리'!$J2328),ISNUMBER('자료_한국심리'!$K2328)),'자료_한국심리'!$J2328,"")</f>
        <v/>
      </c>
      <c r="Y2344">
        <f>IF(AND(ISNUMBER('자료_한국심리'!$M2328),ISNUMBER('자료_한국심리'!$N2328)),'자료_한국심리'!$M2328,"")</f>
        <v/>
      </c>
    </row>
    <row r="2345">
      <c r="U2345">
        <f>IF(AND(ISNUMBER('자료_한국심리'!$A2329),ISNUMBER('자료_한국심리'!$B2329)),'자료_한국심리'!$A2329,"")</f>
        <v/>
      </c>
      <c r="V2345">
        <f>IF(AND(ISNUMBER('자료_한국심리'!$D2329),ISNUMBER('자료_한국심리'!$E2329)),'자료_한국심리'!$D2329,"")</f>
        <v/>
      </c>
      <c r="W2345">
        <f>IF(AND(ISNUMBER('자료_한국심리'!$G2329),ISNUMBER('자료_한국심리'!$H2329)),'자료_한국심리'!$G2329,"")</f>
        <v/>
      </c>
      <c r="X2345">
        <f>IF(AND(ISNUMBER('자료_한국심리'!$J2329),ISNUMBER('자료_한국심리'!$K2329)),'자료_한국심리'!$J2329,"")</f>
        <v/>
      </c>
      <c r="Y2345">
        <f>IF(AND(ISNUMBER('자료_한국심리'!$M2329),ISNUMBER('자료_한국심리'!$N2329)),'자료_한국심리'!$M2329,"")</f>
        <v/>
      </c>
    </row>
    <row r="2346">
      <c r="U2346">
        <f>IF(AND(ISNUMBER('자료_한국심리'!$A2330),ISNUMBER('자료_한국심리'!$B2330)),'자료_한국심리'!$A2330,"")</f>
        <v/>
      </c>
      <c r="V2346">
        <f>IF(AND(ISNUMBER('자료_한국심리'!$D2330),ISNUMBER('자료_한국심리'!$E2330)),'자료_한국심리'!$D2330,"")</f>
        <v/>
      </c>
      <c r="W2346">
        <f>IF(AND(ISNUMBER('자료_한국심리'!$G2330),ISNUMBER('자료_한국심리'!$H2330)),'자료_한국심리'!$G2330,"")</f>
        <v/>
      </c>
      <c r="X2346">
        <f>IF(AND(ISNUMBER('자료_한국심리'!$J2330),ISNUMBER('자료_한국심리'!$K2330)),'자료_한국심리'!$J2330,"")</f>
        <v/>
      </c>
      <c r="Y2346">
        <f>IF(AND(ISNUMBER('자료_한국심리'!$M2330),ISNUMBER('자료_한국심리'!$N2330)),'자료_한국심리'!$M2330,"")</f>
        <v/>
      </c>
    </row>
    <row r="2347">
      <c r="U2347">
        <f>IF(AND(ISNUMBER('자료_한국심리'!$A2331),ISNUMBER('자료_한국심리'!$B2331)),'자료_한국심리'!$A2331,"")</f>
        <v/>
      </c>
      <c r="V2347">
        <f>IF(AND(ISNUMBER('자료_한국심리'!$D2331),ISNUMBER('자료_한국심리'!$E2331)),'자료_한국심리'!$D2331,"")</f>
        <v/>
      </c>
      <c r="W2347">
        <f>IF(AND(ISNUMBER('자료_한국심리'!$G2331),ISNUMBER('자료_한국심리'!$H2331)),'자료_한국심리'!$G2331,"")</f>
        <v/>
      </c>
      <c r="X2347">
        <f>IF(AND(ISNUMBER('자료_한국심리'!$J2331),ISNUMBER('자료_한국심리'!$K2331)),'자료_한국심리'!$J2331,"")</f>
        <v/>
      </c>
      <c r="Y2347">
        <f>IF(AND(ISNUMBER('자료_한국심리'!$M2331),ISNUMBER('자료_한국심리'!$N2331)),'자료_한국심리'!$M2331,"")</f>
        <v/>
      </c>
    </row>
    <row r="2348">
      <c r="U2348">
        <f>IF(AND(ISNUMBER('자료_한국심리'!$A2332),ISNUMBER('자료_한국심리'!$B2332)),'자료_한국심리'!$A2332,"")</f>
        <v/>
      </c>
      <c r="V2348">
        <f>IF(AND(ISNUMBER('자료_한국심리'!$D2332),ISNUMBER('자료_한국심리'!$E2332)),'자료_한국심리'!$D2332,"")</f>
        <v/>
      </c>
      <c r="W2348">
        <f>IF(AND(ISNUMBER('자료_한국심리'!$G2332),ISNUMBER('자료_한국심리'!$H2332)),'자료_한국심리'!$G2332,"")</f>
        <v/>
      </c>
      <c r="X2348">
        <f>IF(AND(ISNUMBER('자료_한국심리'!$J2332),ISNUMBER('자료_한국심리'!$K2332)),'자료_한국심리'!$J2332,"")</f>
        <v/>
      </c>
      <c r="Y2348">
        <f>IF(AND(ISNUMBER('자료_한국심리'!$M2332),ISNUMBER('자료_한국심리'!$N2332)),'자료_한국심리'!$M2332,"")</f>
        <v/>
      </c>
    </row>
    <row r="2349">
      <c r="U2349">
        <f>IF(AND(ISNUMBER('자료_한국심리'!$A2333),ISNUMBER('자료_한국심리'!$B2333)),'자료_한국심리'!$A2333,"")</f>
        <v/>
      </c>
      <c r="V2349">
        <f>IF(AND(ISNUMBER('자료_한국심리'!$D2333),ISNUMBER('자료_한국심리'!$E2333)),'자료_한국심리'!$D2333,"")</f>
        <v/>
      </c>
      <c r="W2349">
        <f>IF(AND(ISNUMBER('자료_한국심리'!$G2333),ISNUMBER('자료_한국심리'!$H2333)),'자료_한국심리'!$G2333,"")</f>
        <v/>
      </c>
      <c r="X2349">
        <f>IF(AND(ISNUMBER('자료_한국심리'!$J2333),ISNUMBER('자료_한국심리'!$K2333)),'자료_한국심리'!$J2333,"")</f>
        <v/>
      </c>
      <c r="Y2349">
        <f>IF(AND(ISNUMBER('자료_한국심리'!$M2333),ISNUMBER('자료_한국심리'!$N2333)),'자료_한국심리'!$M2333,"")</f>
        <v/>
      </c>
    </row>
    <row r="2350">
      <c r="U2350">
        <f>IF(AND(ISNUMBER('자료_한국심리'!$A2334),ISNUMBER('자료_한국심리'!$B2334)),'자료_한국심리'!$A2334,"")</f>
        <v/>
      </c>
      <c r="V2350">
        <f>IF(AND(ISNUMBER('자료_한국심리'!$D2334),ISNUMBER('자료_한국심리'!$E2334)),'자료_한국심리'!$D2334,"")</f>
        <v/>
      </c>
      <c r="W2350">
        <f>IF(AND(ISNUMBER('자료_한국심리'!$G2334),ISNUMBER('자료_한국심리'!$H2334)),'자료_한국심리'!$G2334,"")</f>
        <v/>
      </c>
      <c r="X2350">
        <f>IF(AND(ISNUMBER('자료_한국심리'!$J2334),ISNUMBER('자료_한국심리'!$K2334)),'자료_한국심리'!$J2334,"")</f>
        <v/>
      </c>
      <c r="Y2350">
        <f>IF(AND(ISNUMBER('자료_한국심리'!$M2334),ISNUMBER('자료_한국심리'!$N2334)),'자료_한국심리'!$M2334,"")</f>
        <v/>
      </c>
    </row>
    <row r="2351">
      <c r="U2351">
        <f>IF(AND(ISNUMBER('자료_한국심리'!$A2335),ISNUMBER('자료_한국심리'!$B2335)),'자료_한국심리'!$A2335,"")</f>
        <v/>
      </c>
      <c r="V2351">
        <f>IF(AND(ISNUMBER('자료_한국심리'!$D2335),ISNUMBER('자료_한국심리'!$E2335)),'자료_한국심리'!$D2335,"")</f>
        <v/>
      </c>
      <c r="W2351">
        <f>IF(AND(ISNUMBER('자료_한국심리'!$G2335),ISNUMBER('자료_한국심리'!$H2335)),'자료_한국심리'!$G2335,"")</f>
        <v/>
      </c>
      <c r="X2351">
        <f>IF(AND(ISNUMBER('자료_한국심리'!$J2335),ISNUMBER('자료_한국심리'!$K2335)),'자료_한국심리'!$J2335,"")</f>
        <v/>
      </c>
      <c r="Y2351">
        <f>IF(AND(ISNUMBER('자료_한국심리'!$M2335),ISNUMBER('자료_한국심리'!$N2335)),'자료_한국심리'!$M2335,"")</f>
        <v/>
      </c>
    </row>
    <row r="2352">
      <c r="U2352">
        <f>IF(AND(ISNUMBER('자료_한국심리'!$A2336),ISNUMBER('자료_한국심리'!$B2336)),'자료_한국심리'!$A2336,"")</f>
        <v/>
      </c>
      <c r="V2352">
        <f>IF(AND(ISNUMBER('자료_한국심리'!$D2336),ISNUMBER('자료_한국심리'!$E2336)),'자료_한국심리'!$D2336,"")</f>
        <v/>
      </c>
      <c r="W2352">
        <f>IF(AND(ISNUMBER('자료_한국심리'!$G2336),ISNUMBER('자료_한국심리'!$H2336)),'자료_한국심리'!$G2336,"")</f>
        <v/>
      </c>
      <c r="X2352">
        <f>IF(AND(ISNUMBER('자료_한국심리'!$J2336),ISNUMBER('자료_한국심리'!$K2336)),'자료_한국심리'!$J2336,"")</f>
        <v/>
      </c>
      <c r="Y2352">
        <f>IF(AND(ISNUMBER('자료_한국심리'!$M2336),ISNUMBER('자료_한국심리'!$N2336)),'자료_한국심리'!$M2336,"")</f>
        <v/>
      </c>
    </row>
    <row r="2353">
      <c r="U2353">
        <f>IF(AND(ISNUMBER('자료_한국심리'!$A2337),ISNUMBER('자료_한국심리'!$B2337)),'자료_한국심리'!$A2337,"")</f>
        <v/>
      </c>
      <c r="V2353">
        <f>IF(AND(ISNUMBER('자료_한국심리'!$D2337),ISNUMBER('자료_한국심리'!$E2337)),'자료_한국심리'!$D2337,"")</f>
        <v/>
      </c>
      <c r="W2353">
        <f>IF(AND(ISNUMBER('자료_한국심리'!$G2337),ISNUMBER('자료_한국심리'!$H2337)),'자료_한국심리'!$G2337,"")</f>
        <v/>
      </c>
      <c r="X2353">
        <f>IF(AND(ISNUMBER('자료_한국심리'!$J2337),ISNUMBER('자료_한국심리'!$K2337)),'자료_한국심리'!$J2337,"")</f>
        <v/>
      </c>
      <c r="Y2353">
        <f>IF(AND(ISNUMBER('자료_한국심리'!$M2337),ISNUMBER('자료_한국심리'!$N2337)),'자료_한국심리'!$M2337,"")</f>
        <v/>
      </c>
    </row>
    <row r="2354">
      <c r="U2354">
        <f>IF(AND(ISNUMBER('자료_한국심리'!$A2338),ISNUMBER('자료_한국심리'!$B2338)),'자료_한국심리'!$A2338,"")</f>
        <v/>
      </c>
      <c r="V2354">
        <f>IF(AND(ISNUMBER('자료_한국심리'!$D2338),ISNUMBER('자료_한국심리'!$E2338)),'자료_한국심리'!$D2338,"")</f>
        <v/>
      </c>
      <c r="W2354">
        <f>IF(AND(ISNUMBER('자료_한국심리'!$G2338),ISNUMBER('자료_한국심리'!$H2338)),'자료_한국심리'!$G2338,"")</f>
        <v/>
      </c>
      <c r="X2354">
        <f>IF(AND(ISNUMBER('자료_한국심리'!$J2338),ISNUMBER('자료_한국심리'!$K2338)),'자료_한국심리'!$J2338,"")</f>
        <v/>
      </c>
      <c r="Y2354">
        <f>IF(AND(ISNUMBER('자료_한국심리'!$M2338),ISNUMBER('자료_한국심리'!$N2338)),'자료_한국심리'!$M2338,"")</f>
        <v/>
      </c>
    </row>
    <row r="2355">
      <c r="U2355">
        <f>IF(AND(ISNUMBER('자료_한국심리'!$A2339),ISNUMBER('자료_한국심리'!$B2339)),'자료_한국심리'!$A2339,"")</f>
        <v/>
      </c>
      <c r="V2355">
        <f>IF(AND(ISNUMBER('자료_한국심리'!$D2339),ISNUMBER('자료_한국심리'!$E2339)),'자료_한국심리'!$D2339,"")</f>
        <v/>
      </c>
      <c r="W2355">
        <f>IF(AND(ISNUMBER('자료_한국심리'!$G2339),ISNUMBER('자료_한국심리'!$H2339)),'자료_한국심리'!$G2339,"")</f>
        <v/>
      </c>
      <c r="X2355">
        <f>IF(AND(ISNUMBER('자료_한국심리'!$J2339),ISNUMBER('자료_한국심리'!$K2339)),'자료_한국심리'!$J2339,"")</f>
        <v/>
      </c>
      <c r="Y2355">
        <f>IF(AND(ISNUMBER('자료_한국심리'!$M2339),ISNUMBER('자료_한국심리'!$N2339)),'자료_한국심리'!$M2339,"")</f>
        <v/>
      </c>
    </row>
    <row r="2356">
      <c r="U2356">
        <f>IF(AND(ISNUMBER('자료_한국심리'!$A2340),ISNUMBER('자료_한국심리'!$B2340)),'자료_한국심리'!$A2340,"")</f>
        <v/>
      </c>
      <c r="V2356">
        <f>IF(AND(ISNUMBER('자료_한국심리'!$D2340),ISNUMBER('자료_한국심리'!$E2340)),'자료_한국심리'!$D2340,"")</f>
        <v/>
      </c>
      <c r="W2356">
        <f>IF(AND(ISNUMBER('자료_한국심리'!$G2340),ISNUMBER('자료_한국심리'!$H2340)),'자료_한국심리'!$G2340,"")</f>
        <v/>
      </c>
      <c r="X2356">
        <f>IF(AND(ISNUMBER('자료_한국심리'!$J2340),ISNUMBER('자료_한국심리'!$K2340)),'자료_한국심리'!$J2340,"")</f>
        <v/>
      </c>
      <c r="Y2356">
        <f>IF(AND(ISNUMBER('자료_한국심리'!$M2340),ISNUMBER('자료_한국심리'!$N2340)),'자료_한국심리'!$M2340,"")</f>
        <v/>
      </c>
    </row>
    <row r="2357">
      <c r="U2357">
        <f>IF(AND(ISNUMBER('자료_한국심리'!$A2341),ISNUMBER('자료_한국심리'!$B2341)),'자료_한국심리'!$A2341,"")</f>
        <v/>
      </c>
      <c r="V2357">
        <f>IF(AND(ISNUMBER('자료_한국심리'!$D2341),ISNUMBER('자료_한국심리'!$E2341)),'자료_한국심리'!$D2341,"")</f>
        <v/>
      </c>
      <c r="W2357">
        <f>IF(AND(ISNUMBER('자료_한국심리'!$G2341),ISNUMBER('자료_한국심리'!$H2341)),'자료_한국심리'!$G2341,"")</f>
        <v/>
      </c>
      <c r="X2357">
        <f>IF(AND(ISNUMBER('자료_한국심리'!$J2341),ISNUMBER('자료_한국심리'!$K2341)),'자료_한국심리'!$J2341,"")</f>
        <v/>
      </c>
      <c r="Y2357">
        <f>IF(AND(ISNUMBER('자료_한국심리'!$M2341),ISNUMBER('자료_한국심리'!$N2341)),'자료_한국심리'!$M2341,"")</f>
        <v/>
      </c>
    </row>
    <row r="2358">
      <c r="U2358">
        <f>IF(AND(ISNUMBER('자료_한국심리'!$A2342),ISNUMBER('자료_한국심리'!$B2342)),'자료_한국심리'!$A2342,"")</f>
        <v/>
      </c>
      <c r="V2358">
        <f>IF(AND(ISNUMBER('자료_한국심리'!$D2342),ISNUMBER('자료_한국심리'!$E2342)),'자료_한국심리'!$D2342,"")</f>
        <v/>
      </c>
      <c r="W2358">
        <f>IF(AND(ISNUMBER('자료_한국심리'!$G2342),ISNUMBER('자료_한국심리'!$H2342)),'자료_한국심리'!$G2342,"")</f>
        <v/>
      </c>
      <c r="X2358">
        <f>IF(AND(ISNUMBER('자료_한국심리'!$J2342),ISNUMBER('자료_한국심리'!$K2342)),'자료_한국심리'!$J2342,"")</f>
        <v/>
      </c>
      <c r="Y2358">
        <f>IF(AND(ISNUMBER('자료_한국심리'!$M2342),ISNUMBER('자료_한국심리'!$N2342)),'자료_한국심리'!$M2342,"")</f>
        <v/>
      </c>
    </row>
    <row r="2359">
      <c r="U2359">
        <f>IF(AND(ISNUMBER('자료_한국심리'!$A2343),ISNUMBER('자료_한국심리'!$B2343)),'자료_한국심리'!$A2343,"")</f>
        <v/>
      </c>
      <c r="V2359">
        <f>IF(AND(ISNUMBER('자료_한국심리'!$D2343),ISNUMBER('자료_한국심리'!$E2343)),'자료_한국심리'!$D2343,"")</f>
        <v/>
      </c>
      <c r="W2359">
        <f>IF(AND(ISNUMBER('자료_한국심리'!$G2343),ISNUMBER('자료_한국심리'!$H2343)),'자료_한국심리'!$G2343,"")</f>
        <v/>
      </c>
      <c r="X2359">
        <f>IF(AND(ISNUMBER('자료_한국심리'!$J2343),ISNUMBER('자료_한국심리'!$K2343)),'자료_한국심리'!$J2343,"")</f>
        <v/>
      </c>
      <c r="Y2359">
        <f>IF(AND(ISNUMBER('자료_한국심리'!$M2343),ISNUMBER('자료_한국심리'!$N2343)),'자료_한국심리'!$M2343,"")</f>
        <v/>
      </c>
    </row>
    <row r="2360">
      <c r="U2360">
        <f>IF(AND(ISNUMBER('자료_한국심리'!$A2344),ISNUMBER('자료_한국심리'!$B2344)),'자료_한국심리'!$A2344,"")</f>
        <v/>
      </c>
      <c r="V2360">
        <f>IF(AND(ISNUMBER('자료_한국심리'!$D2344),ISNUMBER('자료_한국심리'!$E2344)),'자료_한국심리'!$D2344,"")</f>
        <v/>
      </c>
      <c r="W2360">
        <f>IF(AND(ISNUMBER('자료_한국심리'!$G2344),ISNUMBER('자료_한국심리'!$H2344)),'자료_한국심리'!$G2344,"")</f>
        <v/>
      </c>
      <c r="X2360">
        <f>IF(AND(ISNUMBER('자료_한국심리'!$J2344),ISNUMBER('자료_한국심리'!$K2344)),'자료_한국심리'!$J2344,"")</f>
        <v/>
      </c>
      <c r="Y2360">
        <f>IF(AND(ISNUMBER('자료_한국심리'!$M2344),ISNUMBER('자료_한국심리'!$N2344)),'자료_한국심리'!$M2344,"")</f>
        <v/>
      </c>
    </row>
    <row r="2361">
      <c r="U2361">
        <f>IF(AND(ISNUMBER('자료_한국심리'!$A2345),ISNUMBER('자료_한국심리'!$B2345)),'자료_한국심리'!$A2345,"")</f>
        <v/>
      </c>
      <c r="V2361">
        <f>IF(AND(ISNUMBER('자료_한국심리'!$D2345),ISNUMBER('자료_한국심리'!$E2345)),'자료_한국심리'!$D2345,"")</f>
        <v/>
      </c>
      <c r="W2361">
        <f>IF(AND(ISNUMBER('자료_한국심리'!$G2345),ISNUMBER('자료_한국심리'!$H2345)),'자료_한국심리'!$G2345,"")</f>
        <v/>
      </c>
      <c r="X2361">
        <f>IF(AND(ISNUMBER('자료_한국심리'!$J2345),ISNUMBER('자료_한국심리'!$K2345)),'자료_한국심리'!$J2345,"")</f>
        <v/>
      </c>
      <c r="Y2361">
        <f>IF(AND(ISNUMBER('자료_한국심리'!$M2345),ISNUMBER('자료_한국심리'!$N2345)),'자료_한국심리'!$M2345,"")</f>
        <v/>
      </c>
    </row>
    <row r="2362">
      <c r="U2362">
        <f>IF(AND(ISNUMBER('자료_한국심리'!$A2346),ISNUMBER('자료_한국심리'!$B2346)),'자료_한국심리'!$A2346,"")</f>
        <v/>
      </c>
      <c r="V2362">
        <f>IF(AND(ISNUMBER('자료_한국심리'!$D2346),ISNUMBER('자료_한국심리'!$E2346)),'자료_한국심리'!$D2346,"")</f>
        <v/>
      </c>
      <c r="W2362">
        <f>IF(AND(ISNUMBER('자료_한국심리'!$G2346),ISNUMBER('자료_한국심리'!$H2346)),'자료_한국심리'!$G2346,"")</f>
        <v/>
      </c>
      <c r="X2362">
        <f>IF(AND(ISNUMBER('자료_한국심리'!$J2346),ISNUMBER('자료_한국심리'!$K2346)),'자료_한국심리'!$J2346,"")</f>
        <v/>
      </c>
      <c r="Y2362">
        <f>IF(AND(ISNUMBER('자료_한국심리'!$M2346),ISNUMBER('자료_한국심리'!$N2346)),'자료_한국심리'!$M2346,"")</f>
        <v/>
      </c>
    </row>
    <row r="2363">
      <c r="U2363">
        <f>IF(AND(ISNUMBER('자료_한국심리'!$A2347),ISNUMBER('자료_한국심리'!$B2347)),'자료_한국심리'!$A2347,"")</f>
        <v/>
      </c>
      <c r="V2363">
        <f>IF(AND(ISNUMBER('자료_한국심리'!$D2347),ISNUMBER('자료_한국심리'!$E2347)),'자료_한국심리'!$D2347,"")</f>
        <v/>
      </c>
      <c r="W2363">
        <f>IF(AND(ISNUMBER('자료_한국심리'!$G2347),ISNUMBER('자료_한국심리'!$H2347)),'자료_한국심리'!$G2347,"")</f>
        <v/>
      </c>
      <c r="X2363">
        <f>IF(AND(ISNUMBER('자료_한국심리'!$J2347),ISNUMBER('자료_한국심리'!$K2347)),'자료_한국심리'!$J2347,"")</f>
        <v/>
      </c>
      <c r="Y2363">
        <f>IF(AND(ISNUMBER('자료_한국심리'!$M2347),ISNUMBER('자료_한국심리'!$N2347)),'자료_한국심리'!$M2347,"")</f>
        <v/>
      </c>
    </row>
    <row r="2364">
      <c r="U2364">
        <f>IF(AND(ISNUMBER('자료_한국심리'!$A2348),ISNUMBER('자료_한국심리'!$B2348)),'자료_한국심리'!$A2348,"")</f>
        <v/>
      </c>
      <c r="V2364">
        <f>IF(AND(ISNUMBER('자료_한국심리'!$D2348),ISNUMBER('자료_한국심리'!$E2348)),'자료_한국심리'!$D2348,"")</f>
        <v/>
      </c>
      <c r="W2364">
        <f>IF(AND(ISNUMBER('자료_한국심리'!$G2348),ISNUMBER('자료_한국심리'!$H2348)),'자료_한국심리'!$G2348,"")</f>
        <v/>
      </c>
      <c r="X2364">
        <f>IF(AND(ISNUMBER('자료_한국심리'!$J2348),ISNUMBER('자료_한국심리'!$K2348)),'자료_한국심리'!$J2348,"")</f>
        <v/>
      </c>
      <c r="Y2364">
        <f>IF(AND(ISNUMBER('자료_한국심리'!$M2348),ISNUMBER('자료_한국심리'!$N2348)),'자료_한국심리'!$M2348,"")</f>
        <v/>
      </c>
    </row>
    <row r="2365">
      <c r="U2365">
        <f>IF(AND(ISNUMBER('자료_한국심리'!$A2349),ISNUMBER('자료_한국심리'!$B2349)),'자료_한국심리'!$A2349,"")</f>
        <v/>
      </c>
      <c r="V2365">
        <f>IF(AND(ISNUMBER('자료_한국심리'!$D2349),ISNUMBER('자료_한국심리'!$E2349)),'자료_한국심리'!$D2349,"")</f>
        <v/>
      </c>
      <c r="W2365">
        <f>IF(AND(ISNUMBER('자료_한국심리'!$G2349),ISNUMBER('자료_한국심리'!$H2349)),'자료_한국심리'!$G2349,"")</f>
        <v/>
      </c>
      <c r="X2365">
        <f>IF(AND(ISNUMBER('자료_한국심리'!$J2349),ISNUMBER('자료_한국심리'!$K2349)),'자료_한국심리'!$J2349,"")</f>
        <v/>
      </c>
      <c r="Y2365">
        <f>IF(AND(ISNUMBER('자료_한국심리'!$M2349),ISNUMBER('자료_한국심리'!$N2349)),'자료_한국심리'!$M2349,"")</f>
        <v/>
      </c>
    </row>
    <row r="2366">
      <c r="U2366">
        <f>IF(AND(ISNUMBER('자료_한국심리'!$A2350),ISNUMBER('자료_한국심리'!$B2350)),'자료_한국심리'!$A2350,"")</f>
        <v/>
      </c>
      <c r="V2366">
        <f>IF(AND(ISNUMBER('자료_한국심리'!$D2350),ISNUMBER('자료_한국심리'!$E2350)),'자료_한국심리'!$D2350,"")</f>
        <v/>
      </c>
      <c r="W2366">
        <f>IF(AND(ISNUMBER('자료_한국심리'!$G2350),ISNUMBER('자료_한국심리'!$H2350)),'자료_한국심리'!$G2350,"")</f>
        <v/>
      </c>
      <c r="X2366">
        <f>IF(AND(ISNUMBER('자료_한국심리'!$J2350),ISNUMBER('자료_한국심리'!$K2350)),'자료_한국심리'!$J2350,"")</f>
        <v/>
      </c>
      <c r="Y2366">
        <f>IF(AND(ISNUMBER('자료_한국심리'!$M2350),ISNUMBER('자료_한국심리'!$N2350)),'자료_한국심리'!$M2350,"")</f>
        <v/>
      </c>
    </row>
    <row r="2367">
      <c r="U2367">
        <f>IF(AND(ISNUMBER('자료_한국심리'!$A2351),ISNUMBER('자료_한국심리'!$B2351)),'자료_한국심리'!$A2351,"")</f>
        <v/>
      </c>
      <c r="V2367">
        <f>IF(AND(ISNUMBER('자료_한국심리'!$D2351),ISNUMBER('자료_한국심리'!$E2351)),'자료_한국심리'!$D2351,"")</f>
        <v/>
      </c>
      <c r="W2367">
        <f>IF(AND(ISNUMBER('자료_한국심리'!$G2351),ISNUMBER('자료_한국심리'!$H2351)),'자료_한국심리'!$G2351,"")</f>
        <v/>
      </c>
      <c r="X2367">
        <f>IF(AND(ISNUMBER('자료_한국심리'!$J2351),ISNUMBER('자료_한국심리'!$K2351)),'자료_한국심리'!$J2351,"")</f>
        <v/>
      </c>
      <c r="Y2367">
        <f>IF(AND(ISNUMBER('자료_한국심리'!$M2351),ISNUMBER('자료_한국심리'!$N2351)),'자료_한국심리'!$M2351,"")</f>
        <v/>
      </c>
    </row>
    <row r="2368">
      <c r="U2368">
        <f>IF(AND(ISNUMBER('자료_한국심리'!$A2352),ISNUMBER('자료_한국심리'!$B2352)),'자료_한국심리'!$A2352,"")</f>
        <v/>
      </c>
      <c r="V2368">
        <f>IF(AND(ISNUMBER('자료_한국심리'!$D2352),ISNUMBER('자료_한국심리'!$E2352)),'자료_한국심리'!$D2352,"")</f>
        <v/>
      </c>
      <c r="W2368">
        <f>IF(AND(ISNUMBER('자료_한국심리'!$G2352),ISNUMBER('자료_한국심리'!$H2352)),'자료_한국심리'!$G2352,"")</f>
        <v/>
      </c>
      <c r="X2368">
        <f>IF(AND(ISNUMBER('자료_한국심리'!$J2352),ISNUMBER('자료_한국심리'!$K2352)),'자료_한국심리'!$J2352,"")</f>
        <v/>
      </c>
      <c r="Y2368">
        <f>IF(AND(ISNUMBER('자료_한국심리'!$M2352),ISNUMBER('자료_한국심리'!$N2352)),'자료_한국심리'!$M2352,"")</f>
        <v/>
      </c>
    </row>
    <row r="2369">
      <c r="U2369">
        <f>IF(AND(ISNUMBER('자료_한국심리'!$A2353),ISNUMBER('자료_한국심리'!$B2353)),'자료_한국심리'!$A2353,"")</f>
        <v/>
      </c>
      <c r="V2369">
        <f>IF(AND(ISNUMBER('자료_한국심리'!$D2353),ISNUMBER('자료_한국심리'!$E2353)),'자료_한국심리'!$D2353,"")</f>
        <v/>
      </c>
      <c r="W2369">
        <f>IF(AND(ISNUMBER('자료_한국심리'!$G2353),ISNUMBER('자료_한국심리'!$H2353)),'자료_한국심리'!$G2353,"")</f>
        <v/>
      </c>
      <c r="X2369">
        <f>IF(AND(ISNUMBER('자료_한국심리'!$J2353),ISNUMBER('자료_한국심리'!$K2353)),'자료_한국심리'!$J2353,"")</f>
        <v/>
      </c>
      <c r="Y2369">
        <f>IF(AND(ISNUMBER('자료_한국심리'!$M2353),ISNUMBER('자료_한국심리'!$N2353)),'자료_한국심리'!$M2353,"")</f>
        <v/>
      </c>
    </row>
    <row r="2370">
      <c r="U2370">
        <f>IF(AND(ISNUMBER('자료_한국심리'!$A2354),ISNUMBER('자료_한국심리'!$B2354)),'자료_한국심리'!$A2354,"")</f>
        <v/>
      </c>
      <c r="V2370">
        <f>IF(AND(ISNUMBER('자료_한국심리'!$D2354),ISNUMBER('자료_한국심리'!$E2354)),'자료_한국심리'!$D2354,"")</f>
        <v/>
      </c>
      <c r="W2370">
        <f>IF(AND(ISNUMBER('자료_한국심리'!$G2354),ISNUMBER('자료_한국심리'!$H2354)),'자료_한국심리'!$G2354,"")</f>
        <v/>
      </c>
      <c r="X2370">
        <f>IF(AND(ISNUMBER('자료_한국심리'!$J2354),ISNUMBER('자료_한국심리'!$K2354)),'자료_한국심리'!$J2354,"")</f>
        <v/>
      </c>
      <c r="Y2370">
        <f>IF(AND(ISNUMBER('자료_한국심리'!$M2354),ISNUMBER('자료_한국심리'!$N2354)),'자료_한국심리'!$M2354,"")</f>
        <v/>
      </c>
    </row>
    <row r="2371">
      <c r="U2371">
        <f>IF(AND(ISNUMBER('자료_한국심리'!$A2355),ISNUMBER('자료_한국심리'!$B2355)),'자료_한국심리'!$A2355,"")</f>
        <v/>
      </c>
      <c r="V2371">
        <f>IF(AND(ISNUMBER('자료_한국심리'!$D2355),ISNUMBER('자료_한국심리'!$E2355)),'자료_한국심리'!$D2355,"")</f>
        <v/>
      </c>
      <c r="W2371">
        <f>IF(AND(ISNUMBER('자료_한국심리'!$G2355),ISNUMBER('자료_한국심리'!$H2355)),'자료_한국심리'!$G2355,"")</f>
        <v/>
      </c>
      <c r="X2371">
        <f>IF(AND(ISNUMBER('자료_한국심리'!$J2355),ISNUMBER('자료_한국심리'!$K2355)),'자료_한국심리'!$J2355,"")</f>
        <v/>
      </c>
      <c r="Y2371">
        <f>IF(AND(ISNUMBER('자료_한국심리'!$M2355),ISNUMBER('자료_한국심리'!$N2355)),'자료_한국심리'!$M2355,"")</f>
        <v/>
      </c>
    </row>
    <row r="2372">
      <c r="U2372">
        <f>IF(AND(ISNUMBER('자료_한국심리'!$A2356),ISNUMBER('자료_한국심리'!$B2356)),'자료_한국심리'!$A2356,"")</f>
        <v/>
      </c>
      <c r="V2372">
        <f>IF(AND(ISNUMBER('자료_한국심리'!$D2356),ISNUMBER('자료_한국심리'!$E2356)),'자료_한국심리'!$D2356,"")</f>
        <v/>
      </c>
      <c r="W2372">
        <f>IF(AND(ISNUMBER('자료_한국심리'!$G2356),ISNUMBER('자료_한국심리'!$H2356)),'자료_한국심리'!$G2356,"")</f>
        <v/>
      </c>
      <c r="X2372">
        <f>IF(AND(ISNUMBER('자료_한국심리'!$J2356),ISNUMBER('자료_한국심리'!$K2356)),'자료_한국심리'!$J2356,"")</f>
        <v/>
      </c>
      <c r="Y2372">
        <f>IF(AND(ISNUMBER('자료_한국심리'!$M2356),ISNUMBER('자료_한국심리'!$N2356)),'자료_한국심리'!$M2356,"")</f>
        <v/>
      </c>
    </row>
    <row r="2373">
      <c r="U2373">
        <f>IF(AND(ISNUMBER('자료_한국심리'!$A2357),ISNUMBER('자료_한국심리'!$B2357)),'자료_한국심리'!$A2357,"")</f>
        <v/>
      </c>
      <c r="V2373">
        <f>IF(AND(ISNUMBER('자료_한국심리'!$D2357),ISNUMBER('자료_한국심리'!$E2357)),'자료_한국심리'!$D2357,"")</f>
        <v/>
      </c>
      <c r="W2373">
        <f>IF(AND(ISNUMBER('자료_한국심리'!$G2357),ISNUMBER('자료_한국심리'!$H2357)),'자료_한국심리'!$G2357,"")</f>
        <v/>
      </c>
      <c r="X2373">
        <f>IF(AND(ISNUMBER('자료_한국심리'!$J2357),ISNUMBER('자료_한국심리'!$K2357)),'자료_한국심리'!$J2357,"")</f>
        <v/>
      </c>
      <c r="Y2373">
        <f>IF(AND(ISNUMBER('자료_한국심리'!$M2357),ISNUMBER('자료_한국심리'!$N2357)),'자료_한국심리'!$M2357,"")</f>
        <v/>
      </c>
    </row>
    <row r="2374">
      <c r="U2374">
        <f>IF(AND(ISNUMBER('자료_한국심리'!$A2358),ISNUMBER('자료_한국심리'!$B2358)),'자료_한국심리'!$A2358,"")</f>
        <v/>
      </c>
      <c r="V2374">
        <f>IF(AND(ISNUMBER('자료_한국심리'!$D2358),ISNUMBER('자료_한국심리'!$E2358)),'자료_한국심리'!$D2358,"")</f>
        <v/>
      </c>
      <c r="W2374">
        <f>IF(AND(ISNUMBER('자료_한국심리'!$G2358),ISNUMBER('자료_한국심리'!$H2358)),'자료_한국심리'!$G2358,"")</f>
        <v/>
      </c>
      <c r="X2374">
        <f>IF(AND(ISNUMBER('자료_한국심리'!$J2358),ISNUMBER('자료_한국심리'!$K2358)),'자료_한국심리'!$J2358,"")</f>
        <v/>
      </c>
      <c r="Y2374">
        <f>IF(AND(ISNUMBER('자료_한국심리'!$M2358),ISNUMBER('자료_한국심리'!$N2358)),'자료_한국심리'!$M2358,"")</f>
        <v/>
      </c>
    </row>
    <row r="2375">
      <c r="U2375">
        <f>IF(AND(ISNUMBER('자료_한국심리'!$A2359),ISNUMBER('자료_한국심리'!$B2359)),'자료_한국심리'!$A2359,"")</f>
        <v/>
      </c>
      <c r="V2375">
        <f>IF(AND(ISNUMBER('자료_한국심리'!$D2359),ISNUMBER('자료_한국심리'!$E2359)),'자료_한국심리'!$D2359,"")</f>
        <v/>
      </c>
      <c r="W2375">
        <f>IF(AND(ISNUMBER('자료_한국심리'!$G2359),ISNUMBER('자료_한국심리'!$H2359)),'자료_한국심리'!$G2359,"")</f>
        <v/>
      </c>
      <c r="X2375">
        <f>IF(AND(ISNUMBER('자료_한국심리'!$J2359),ISNUMBER('자료_한국심리'!$K2359)),'자료_한국심리'!$J2359,"")</f>
        <v/>
      </c>
      <c r="Y2375">
        <f>IF(AND(ISNUMBER('자료_한국심리'!$M2359),ISNUMBER('자료_한국심리'!$N2359)),'자료_한국심리'!$M2359,"")</f>
        <v/>
      </c>
    </row>
    <row r="2376">
      <c r="U2376">
        <f>IF(AND(ISNUMBER('자료_한국심리'!$A2360),ISNUMBER('자료_한국심리'!$B2360)),'자료_한국심리'!$A2360,"")</f>
        <v/>
      </c>
      <c r="V2376">
        <f>IF(AND(ISNUMBER('자료_한국심리'!$D2360),ISNUMBER('자료_한국심리'!$E2360)),'자료_한국심리'!$D2360,"")</f>
        <v/>
      </c>
      <c r="W2376">
        <f>IF(AND(ISNUMBER('자료_한국심리'!$G2360),ISNUMBER('자료_한국심리'!$H2360)),'자료_한국심리'!$G2360,"")</f>
        <v/>
      </c>
      <c r="X2376">
        <f>IF(AND(ISNUMBER('자료_한국심리'!$J2360),ISNUMBER('자료_한국심리'!$K2360)),'자료_한국심리'!$J2360,"")</f>
        <v/>
      </c>
      <c r="Y2376">
        <f>IF(AND(ISNUMBER('자료_한국심리'!$M2360),ISNUMBER('자료_한국심리'!$N2360)),'자료_한국심리'!$M2360,"")</f>
        <v/>
      </c>
    </row>
    <row r="2377">
      <c r="U2377">
        <f>IF(AND(ISNUMBER('자료_한국심리'!$A2361),ISNUMBER('자료_한국심리'!$B2361)),'자료_한국심리'!$A2361,"")</f>
        <v/>
      </c>
      <c r="V2377">
        <f>IF(AND(ISNUMBER('자료_한국심리'!$D2361),ISNUMBER('자료_한국심리'!$E2361)),'자료_한국심리'!$D2361,"")</f>
        <v/>
      </c>
      <c r="W2377">
        <f>IF(AND(ISNUMBER('자료_한국심리'!$G2361),ISNUMBER('자료_한국심리'!$H2361)),'자료_한국심리'!$G2361,"")</f>
        <v/>
      </c>
      <c r="X2377">
        <f>IF(AND(ISNUMBER('자료_한국심리'!$J2361),ISNUMBER('자료_한국심리'!$K2361)),'자료_한국심리'!$J2361,"")</f>
        <v/>
      </c>
      <c r="Y2377">
        <f>IF(AND(ISNUMBER('자료_한국심리'!$M2361),ISNUMBER('자료_한국심리'!$N2361)),'자료_한국심리'!$M2361,"")</f>
        <v/>
      </c>
    </row>
    <row r="2378">
      <c r="U2378">
        <f>IF(AND(ISNUMBER('자료_한국심리'!$A2362),ISNUMBER('자료_한국심리'!$B2362)),'자료_한국심리'!$A2362,"")</f>
        <v/>
      </c>
      <c r="V2378">
        <f>IF(AND(ISNUMBER('자료_한국심리'!$D2362),ISNUMBER('자료_한국심리'!$E2362)),'자료_한국심리'!$D2362,"")</f>
        <v/>
      </c>
      <c r="W2378">
        <f>IF(AND(ISNUMBER('자료_한국심리'!$G2362),ISNUMBER('자료_한국심리'!$H2362)),'자료_한국심리'!$G2362,"")</f>
        <v/>
      </c>
      <c r="X2378">
        <f>IF(AND(ISNUMBER('자료_한국심리'!$J2362),ISNUMBER('자료_한국심리'!$K2362)),'자료_한국심리'!$J2362,"")</f>
        <v/>
      </c>
      <c r="Y2378">
        <f>IF(AND(ISNUMBER('자료_한국심리'!$M2362),ISNUMBER('자료_한국심리'!$N2362)),'자료_한국심리'!$M2362,"")</f>
        <v/>
      </c>
    </row>
    <row r="2379">
      <c r="U2379">
        <f>IF(AND(ISNUMBER('자료_한국심리'!$A2363),ISNUMBER('자료_한국심리'!$B2363)),'자료_한국심리'!$A2363,"")</f>
        <v/>
      </c>
      <c r="V2379">
        <f>IF(AND(ISNUMBER('자료_한국심리'!$D2363),ISNUMBER('자료_한국심리'!$E2363)),'자료_한국심리'!$D2363,"")</f>
        <v/>
      </c>
      <c r="W2379">
        <f>IF(AND(ISNUMBER('자료_한국심리'!$G2363),ISNUMBER('자료_한국심리'!$H2363)),'자료_한국심리'!$G2363,"")</f>
        <v/>
      </c>
      <c r="X2379">
        <f>IF(AND(ISNUMBER('자료_한국심리'!$J2363),ISNUMBER('자료_한국심리'!$K2363)),'자료_한국심리'!$J2363,"")</f>
        <v/>
      </c>
      <c r="Y2379">
        <f>IF(AND(ISNUMBER('자료_한국심리'!$M2363),ISNUMBER('자료_한국심리'!$N2363)),'자료_한국심리'!$M2363,"")</f>
        <v/>
      </c>
    </row>
    <row r="2380">
      <c r="U2380">
        <f>IF(AND(ISNUMBER('자료_한국심리'!$A2364),ISNUMBER('자료_한국심리'!$B2364)),'자료_한국심리'!$A2364,"")</f>
        <v/>
      </c>
      <c r="V2380">
        <f>IF(AND(ISNUMBER('자료_한국심리'!$D2364),ISNUMBER('자료_한국심리'!$E2364)),'자료_한국심리'!$D2364,"")</f>
        <v/>
      </c>
      <c r="W2380">
        <f>IF(AND(ISNUMBER('자료_한국심리'!$G2364),ISNUMBER('자료_한국심리'!$H2364)),'자료_한국심리'!$G2364,"")</f>
        <v/>
      </c>
      <c r="X2380">
        <f>IF(AND(ISNUMBER('자료_한국심리'!$J2364),ISNUMBER('자료_한국심리'!$K2364)),'자료_한국심리'!$J2364,"")</f>
        <v/>
      </c>
      <c r="Y2380">
        <f>IF(AND(ISNUMBER('자료_한국심리'!$M2364),ISNUMBER('자료_한국심리'!$N2364)),'자료_한국심리'!$M2364,"")</f>
        <v/>
      </c>
    </row>
    <row r="2381">
      <c r="U2381">
        <f>IF(AND(ISNUMBER('자료_한국심리'!$A2365),ISNUMBER('자료_한국심리'!$B2365)),'자료_한국심리'!$A2365,"")</f>
        <v/>
      </c>
      <c r="V2381">
        <f>IF(AND(ISNUMBER('자료_한국심리'!$D2365),ISNUMBER('자료_한국심리'!$E2365)),'자료_한국심리'!$D2365,"")</f>
        <v/>
      </c>
      <c r="W2381">
        <f>IF(AND(ISNUMBER('자료_한국심리'!$G2365),ISNUMBER('자료_한국심리'!$H2365)),'자료_한국심리'!$G2365,"")</f>
        <v/>
      </c>
      <c r="X2381">
        <f>IF(AND(ISNUMBER('자료_한국심리'!$J2365),ISNUMBER('자료_한국심리'!$K2365)),'자료_한국심리'!$J2365,"")</f>
        <v/>
      </c>
      <c r="Y2381">
        <f>IF(AND(ISNUMBER('자료_한국심리'!$M2365),ISNUMBER('자료_한국심리'!$N2365)),'자료_한국심리'!$M2365,"")</f>
        <v/>
      </c>
    </row>
    <row r="2382">
      <c r="U2382">
        <f>IF(AND(ISNUMBER('자료_한국심리'!$A2366),ISNUMBER('자료_한국심리'!$B2366)),'자료_한국심리'!$A2366,"")</f>
        <v/>
      </c>
      <c r="V2382">
        <f>IF(AND(ISNUMBER('자료_한국심리'!$D2366),ISNUMBER('자료_한국심리'!$E2366)),'자료_한국심리'!$D2366,"")</f>
        <v/>
      </c>
      <c r="W2382">
        <f>IF(AND(ISNUMBER('자료_한국심리'!$G2366),ISNUMBER('자료_한국심리'!$H2366)),'자료_한국심리'!$G2366,"")</f>
        <v/>
      </c>
      <c r="X2382">
        <f>IF(AND(ISNUMBER('자료_한국심리'!$J2366),ISNUMBER('자료_한국심리'!$K2366)),'자료_한국심리'!$J2366,"")</f>
        <v/>
      </c>
      <c r="Y2382">
        <f>IF(AND(ISNUMBER('자료_한국심리'!$M2366),ISNUMBER('자료_한국심리'!$N2366)),'자료_한국심리'!$M2366,"")</f>
        <v/>
      </c>
    </row>
    <row r="2383">
      <c r="U2383">
        <f>IF(AND(ISNUMBER('자료_한국심리'!$A2367),ISNUMBER('자료_한국심리'!$B2367)),'자료_한국심리'!$A2367,"")</f>
        <v/>
      </c>
      <c r="V2383">
        <f>IF(AND(ISNUMBER('자료_한국심리'!$D2367),ISNUMBER('자료_한국심리'!$E2367)),'자료_한국심리'!$D2367,"")</f>
        <v/>
      </c>
      <c r="W2383">
        <f>IF(AND(ISNUMBER('자료_한국심리'!$G2367),ISNUMBER('자료_한국심리'!$H2367)),'자료_한국심리'!$G2367,"")</f>
        <v/>
      </c>
      <c r="X2383">
        <f>IF(AND(ISNUMBER('자료_한국심리'!$J2367),ISNUMBER('자료_한국심리'!$K2367)),'자료_한국심리'!$J2367,"")</f>
        <v/>
      </c>
      <c r="Y2383">
        <f>IF(AND(ISNUMBER('자료_한국심리'!$M2367),ISNUMBER('자료_한국심리'!$N2367)),'자료_한국심리'!$M2367,"")</f>
        <v/>
      </c>
    </row>
    <row r="2384">
      <c r="U2384">
        <f>IF(AND(ISNUMBER('자료_한국심리'!$A2368),ISNUMBER('자료_한국심리'!$B2368)),'자료_한국심리'!$A2368,"")</f>
        <v/>
      </c>
      <c r="V2384">
        <f>IF(AND(ISNUMBER('자료_한국심리'!$D2368),ISNUMBER('자료_한국심리'!$E2368)),'자료_한국심리'!$D2368,"")</f>
        <v/>
      </c>
      <c r="W2384">
        <f>IF(AND(ISNUMBER('자료_한국심리'!$G2368),ISNUMBER('자료_한국심리'!$H2368)),'자료_한국심리'!$G2368,"")</f>
        <v/>
      </c>
      <c r="X2384">
        <f>IF(AND(ISNUMBER('자료_한국심리'!$J2368),ISNUMBER('자료_한국심리'!$K2368)),'자료_한국심리'!$J2368,"")</f>
        <v/>
      </c>
      <c r="Y2384">
        <f>IF(AND(ISNUMBER('자료_한국심리'!$M2368),ISNUMBER('자료_한국심리'!$N2368)),'자료_한국심리'!$M2368,"")</f>
        <v/>
      </c>
    </row>
    <row r="2385">
      <c r="U2385">
        <f>IF(AND(ISNUMBER('자료_한국심리'!$A2369),ISNUMBER('자료_한국심리'!$B2369)),'자료_한국심리'!$A2369,"")</f>
        <v/>
      </c>
      <c r="V2385">
        <f>IF(AND(ISNUMBER('자료_한국심리'!$D2369),ISNUMBER('자료_한국심리'!$E2369)),'자료_한국심리'!$D2369,"")</f>
        <v/>
      </c>
      <c r="W2385">
        <f>IF(AND(ISNUMBER('자료_한국심리'!$G2369),ISNUMBER('자료_한국심리'!$H2369)),'자료_한국심리'!$G2369,"")</f>
        <v/>
      </c>
      <c r="X2385">
        <f>IF(AND(ISNUMBER('자료_한국심리'!$J2369),ISNUMBER('자료_한국심리'!$K2369)),'자료_한국심리'!$J2369,"")</f>
        <v/>
      </c>
      <c r="Y2385">
        <f>IF(AND(ISNUMBER('자료_한국심리'!$M2369),ISNUMBER('자료_한국심리'!$N2369)),'자료_한국심리'!$M2369,"")</f>
        <v/>
      </c>
    </row>
    <row r="2386">
      <c r="U2386">
        <f>IF(AND(ISNUMBER('자료_한국심리'!$A2370),ISNUMBER('자료_한국심리'!$B2370)),'자료_한국심리'!$A2370,"")</f>
        <v/>
      </c>
      <c r="V2386">
        <f>IF(AND(ISNUMBER('자료_한국심리'!$D2370),ISNUMBER('자료_한국심리'!$E2370)),'자료_한국심리'!$D2370,"")</f>
        <v/>
      </c>
      <c r="W2386">
        <f>IF(AND(ISNUMBER('자료_한국심리'!$G2370),ISNUMBER('자료_한국심리'!$H2370)),'자료_한국심리'!$G2370,"")</f>
        <v/>
      </c>
      <c r="X2386">
        <f>IF(AND(ISNUMBER('자료_한국심리'!$J2370),ISNUMBER('자료_한국심리'!$K2370)),'자료_한국심리'!$J2370,"")</f>
        <v/>
      </c>
      <c r="Y2386">
        <f>IF(AND(ISNUMBER('자료_한국심리'!$M2370),ISNUMBER('자료_한국심리'!$N2370)),'자료_한국심리'!$M2370,"")</f>
        <v/>
      </c>
    </row>
    <row r="2387">
      <c r="U2387">
        <f>IF(AND(ISNUMBER('자료_한국심리'!$A2371),ISNUMBER('자료_한국심리'!$B2371)),'자료_한국심리'!$A2371,"")</f>
        <v/>
      </c>
      <c r="V2387">
        <f>IF(AND(ISNUMBER('자료_한국심리'!$D2371),ISNUMBER('자료_한국심리'!$E2371)),'자료_한국심리'!$D2371,"")</f>
        <v/>
      </c>
      <c r="W2387">
        <f>IF(AND(ISNUMBER('자료_한국심리'!$G2371),ISNUMBER('자료_한국심리'!$H2371)),'자료_한국심리'!$G2371,"")</f>
        <v/>
      </c>
      <c r="X2387">
        <f>IF(AND(ISNUMBER('자료_한국심리'!$J2371),ISNUMBER('자료_한국심리'!$K2371)),'자료_한국심리'!$J2371,"")</f>
        <v/>
      </c>
      <c r="Y2387">
        <f>IF(AND(ISNUMBER('자료_한국심리'!$M2371),ISNUMBER('자료_한국심리'!$N2371)),'자료_한국심리'!$M2371,"")</f>
        <v/>
      </c>
    </row>
    <row r="2388">
      <c r="U2388">
        <f>IF(AND(ISNUMBER('자료_한국심리'!$A2372),ISNUMBER('자료_한국심리'!$B2372)),'자료_한국심리'!$A2372,"")</f>
        <v/>
      </c>
      <c r="V2388">
        <f>IF(AND(ISNUMBER('자료_한국심리'!$D2372),ISNUMBER('자료_한국심리'!$E2372)),'자료_한국심리'!$D2372,"")</f>
        <v/>
      </c>
      <c r="W2388">
        <f>IF(AND(ISNUMBER('자료_한국심리'!$G2372),ISNUMBER('자료_한국심리'!$H2372)),'자료_한국심리'!$G2372,"")</f>
        <v/>
      </c>
      <c r="X2388">
        <f>IF(AND(ISNUMBER('자료_한국심리'!$J2372),ISNUMBER('자료_한국심리'!$K2372)),'자료_한국심리'!$J2372,"")</f>
        <v/>
      </c>
      <c r="Y2388">
        <f>IF(AND(ISNUMBER('자료_한국심리'!$M2372),ISNUMBER('자료_한국심리'!$N2372)),'자료_한국심리'!$M2372,"")</f>
        <v/>
      </c>
    </row>
    <row r="2389">
      <c r="U2389">
        <f>IF(AND(ISNUMBER('자료_한국심리'!$A2373),ISNUMBER('자료_한국심리'!$B2373)),'자료_한국심리'!$A2373,"")</f>
        <v/>
      </c>
      <c r="V2389">
        <f>IF(AND(ISNUMBER('자료_한국심리'!$D2373),ISNUMBER('자료_한국심리'!$E2373)),'자료_한국심리'!$D2373,"")</f>
        <v/>
      </c>
      <c r="W2389">
        <f>IF(AND(ISNUMBER('자료_한국심리'!$G2373),ISNUMBER('자료_한국심리'!$H2373)),'자료_한국심리'!$G2373,"")</f>
        <v/>
      </c>
      <c r="X2389">
        <f>IF(AND(ISNUMBER('자료_한국심리'!$J2373),ISNUMBER('자료_한국심리'!$K2373)),'자료_한국심리'!$J2373,"")</f>
        <v/>
      </c>
      <c r="Y2389">
        <f>IF(AND(ISNUMBER('자료_한국심리'!$M2373),ISNUMBER('자료_한국심리'!$N2373)),'자료_한국심리'!$M2373,"")</f>
        <v/>
      </c>
    </row>
    <row r="2390">
      <c r="U2390">
        <f>IF(AND(ISNUMBER('자료_한국심리'!$A2374),ISNUMBER('자료_한국심리'!$B2374)),'자료_한국심리'!$A2374,"")</f>
        <v/>
      </c>
      <c r="V2390">
        <f>IF(AND(ISNUMBER('자료_한국심리'!$D2374),ISNUMBER('자료_한국심리'!$E2374)),'자료_한국심리'!$D2374,"")</f>
        <v/>
      </c>
      <c r="W2390">
        <f>IF(AND(ISNUMBER('자료_한국심리'!$G2374),ISNUMBER('자료_한국심리'!$H2374)),'자료_한국심리'!$G2374,"")</f>
        <v/>
      </c>
      <c r="X2390">
        <f>IF(AND(ISNUMBER('자료_한국심리'!$J2374),ISNUMBER('자료_한국심리'!$K2374)),'자료_한국심리'!$J2374,"")</f>
        <v/>
      </c>
      <c r="Y2390">
        <f>IF(AND(ISNUMBER('자료_한국심리'!$M2374),ISNUMBER('자료_한국심리'!$N2374)),'자료_한국심리'!$M2374,"")</f>
        <v/>
      </c>
    </row>
    <row r="2391">
      <c r="U2391">
        <f>IF(AND(ISNUMBER('자료_한국심리'!$A2375),ISNUMBER('자료_한국심리'!$B2375)),'자료_한국심리'!$A2375,"")</f>
        <v/>
      </c>
      <c r="V2391">
        <f>IF(AND(ISNUMBER('자료_한국심리'!$D2375),ISNUMBER('자료_한국심리'!$E2375)),'자료_한국심리'!$D2375,"")</f>
        <v/>
      </c>
      <c r="W2391">
        <f>IF(AND(ISNUMBER('자료_한국심리'!$G2375),ISNUMBER('자료_한국심리'!$H2375)),'자료_한국심리'!$G2375,"")</f>
        <v/>
      </c>
      <c r="X2391">
        <f>IF(AND(ISNUMBER('자료_한국심리'!$J2375),ISNUMBER('자료_한국심리'!$K2375)),'자료_한국심리'!$J2375,"")</f>
        <v/>
      </c>
      <c r="Y2391">
        <f>IF(AND(ISNUMBER('자료_한국심리'!$M2375),ISNUMBER('자료_한국심리'!$N2375)),'자료_한국심리'!$M2375,"")</f>
        <v/>
      </c>
    </row>
    <row r="2392">
      <c r="U2392">
        <f>IF(AND(ISNUMBER('자료_한국심리'!$A2376),ISNUMBER('자료_한국심리'!$B2376)),'자료_한국심리'!$A2376,"")</f>
        <v/>
      </c>
      <c r="V2392">
        <f>IF(AND(ISNUMBER('자료_한국심리'!$D2376),ISNUMBER('자료_한국심리'!$E2376)),'자료_한국심리'!$D2376,"")</f>
        <v/>
      </c>
      <c r="W2392">
        <f>IF(AND(ISNUMBER('자료_한국심리'!$G2376),ISNUMBER('자료_한국심리'!$H2376)),'자료_한국심리'!$G2376,"")</f>
        <v/>
      </c>
      <c r="X2392">
        <f>IF(AND(ISNUMBER('자료_한국심리'!$J2376),ISNUMBER('자료_한국심리'!$K2376)),'자료_한국심리'!$J2376,"")</f>
        <v/>
      </c>
      <c r="Y2392">
        <f>IF(AND(ISNUMBER('자료_한국심리'!$M2376),ISNUMBER('자료_한국심리'!$N2376)),'자료_한국심리'!$M2376,"")</f>
        <v/>
      </c>
    </row>
    <row r="2393">
      <c r="U2393">
        <f>IF(AND(ISNUMBER('자료_한국심리'!$A2377),ISNUMBER('자료_한국심리'!$B2377)),'자료_한국심리'!$A2377,"")</f>
        <v/>
      </c>
      <c r="V2393">
        <f>IF(AND(ISNUMBER('자료_한국심리'!$D2377),ISNUMBER('자료_한국심리'!$E2377)),'자료_한국심리'!$D2377,"")</f>
        <v/>
      </c>
      <c r="W2393">
        <f>IF(AND(ISNUMBER('자료_한국심리'!$G2377),ISNUMBER('자료_한국심리'!$H2377)),'자료_한국심리'!$G2377,"")</f>
        <v/>
      </c>
      <c r="X2393">
        <f>IF(AND(ISNUMBER('자료_한국심리'!$J2377),ISNUMBER('자료_한국심리'!$K2377)),'자료_한국심리'!$J2377,"")</f>
        <v/>
      </c>
      <c r="Y2393">
        <f>IF(AND(ISNUMBER('자료_한국심리'!$M2377),ISNUMBER('자료_한국심리'!$N2377)),'자료_한국심리'!$M2377,"")</f>
        <v/>
      </c>
    </row>
    <row r="2394">
      <c r="U2394">
        <f>IF(AND(ISNUMBER('자료_한국심리'!$A2378),ISNUMBER('자료_한국심리'!$B2378)),'자료_한국심리'!$A2378,"")</f>
        <v/>
      </c>
      <c r="V2394">
        <f>IF(AND(ISNUMBER('자료_한국심리'!$D2378),ISNUMBER('자료_한국심리'!$E2378)),'자료_한국심리'!$D2378,"")</f>
        <v/>
      </c>
      <c r="W2394">
        <f>IF(AND(ISNUMBER('자료_한국심리'!$G2378),ISNUMBER('자료_한국심리'!$H2378)),'자료_한국심리'!$G2378,"")</f>
        <v/>
      </c>
      <c r="X2394">
        <f>IF(AND(ISNUMBER('자료_한국심리'!$J2378),ISNUMBER('자료_한국심리'!$K2378)),'자료_한국심리'!$J2378,"")</f>
        <v/>
      </c>
      <c r="Y2394">
        <f>IF(AND(ISNUMBER('자료_한국심리'!$M2378),ISNUMBER('자료_한국심리'!$N2378)),'자료_한국심리'!$M2378,"")</f>
        <v/>
      </c>
    </row>
    <row r="2395">
      <c r="U2395">
        <f>IF(AND(ISNUMBER('자료_한국심리'!$A2379),ISNUMBER('자료_한국심리'!$B2379)),'자료_한국심리'!$A2379,"")</f>
        <v/>
      </c>
      <c r="V2395">
        <f>IF(AND(ISNUMBER('자료_한국심리'!$D2379),ISNUMBER('자료_한국심리'!$E2379)),'자료_한국심리'!$D2379,"")</f>
        <v/>
      </c>
      <c r="W2395">
        <f>IF(AND(ISNUMBER('자료_한국심리'!$G2379),ISNUMBER('자료_한국심리'!$H2379)),'자료_한국심리'!$G2379,"")</f>
        <v/>
      </c>
      <c r="X2395">
        <f>IF(AND(ISNUMBER('자료_한국심리'!$J2379),ISNUMBER('자료_한국심리'!$K2379)),'자료_한국심리'!$J2379,"")</f>
        <v/>
      </c>
      <c r="Y2395">
        <f>IF(AND(ISNUMBER('자료_한국심리'!$M2379),ISNUMBER('자료_한국심리'!$N2379)),'자료_한국심리'!$M2379,"")</f>
        <v/>
      </c>
    </row>
    <row r="2396">
      <c r="U2396">
        <f>IF(AND(ISNUMBER('자료_한국심리'!$A2380),ISNUMBER('자료_한국심리'!$B2380)),'자료_한국심리'!$A2380,"")</f>
        <v/>
      </c>
      <c r="V2396">
        <f>IF(AND(ISNUMBER('자료_한국심리'!$D2380),ISNUMBER('자료_한국심리'!$E2380)),'자료_한국심리'!$D2380,"")</f>
        <v/>
      </c>
      <c r="W2396">
        <f>IF(AND(ISNUMBER('자료_한국심리'!$G2380),ISNUMBER('자료_한국심리'!$H2380)),'자료_한국심리'!$G2380,"")</f>
        <v/>
      </c>
      <c r="X2396">
        <f>IF(AND(ISNUMBER('자료_한국심리'!$J2380),ISNUMBER('자료_한국심리'!$K2380)),'자료_한국심리'!$J2380,"")</f>
        <v/>
      </c>
      <c r="Y2396">
        <f>IF(AND(ISNUMBER('자료_한국심리'!$M2380),ISNUMBER('자료_한국심리'!$N2380)),'자료_한국심리'!$M2380,"")</f>
        <v/>
      </c>
    </row>
    <row r="2397">
      <c r="U2397">
        <f>IF(AND(ISNUMBER('자료_한국심리'!$A2381),ISNUMBER('자료_한국심리'!$B2381)),'자료_한국심리'!$A2381,"")</f>
        <v/>
      </c>
      <c r="V2397">
        <f>IF(AND(ISNUMBER('자료_한국심리'!$D2381),ISNUMBER('자료_한국심리'!$E2381)),'자료_한국심리'!$D2381,"")</f>
        <v/>
      </c>
      <c r="W2397">
        <f>IF(AND(ISNUMBER('자료_한국심리'!$G2381),ISNUMBER('자료_한국심리'!$H2381)),'자료_한국심리'!$G2381,"")</f>
        <v/>
      </c>
      <c r="X2397">
        <f>IF(AND(ISNUMBER('자료_한국심리'!$J2381),ISNUMBER('자료_한국심리'!$K2381)),'자료_한국심리'!$J2381,"")</f>
        <v/>
      </c>
      <c r="Y2397">
        <f>IF(AND(ISNUMBER('자료_한국심리'!$M2381),ISNUMBER('자료_한국심리'!$N2381)),'자료_한국심리'!$M2381,"")</f>
        <v/>
      </c>
    </row>
    <row r="2398">
      <c r="U2398">
        <f>IF(AND(ISNUMBER('자료_한국심리'!$A2382),ISNUMBER('자료_한국심리'!$B2382)),'자료_한국심리'!$A2382,"")</f>
        <v/>
      </c>
      <c r="V2398">
        <f>IF(AND(ISNUMBER('자료_한국심리'!$D2382),ISNUMBER('자료_한국심리'!$E2382)),'자료_한국심리'!$D2382,"")</f>
        <v/>
      </c>
      <c r="W2398">
        <f>IF(AND(ISNUMBER('자료_한국심리'!$G2382),ISNUMBER('자료_한국심리'!$H2382)),'자료_한국심리'!$G2382,"")</f>
        <v/>
      </c>
      <c r="X2398">
        <f>IF(AND(ISNUMBER('자료_한국심리'!$J2382),ISNUMBER('자료_한국심리'!$K2382)),'자료_한국심리'!$J2382,"")</f>
        <v/>
      </c>
      <c r="Y2398">
        <f>IF(AND(ISNUMBER('자료_한국심리'!$M2382),ISNUMBER('자료_한국심리'!$N2382)),'자료_한국심리'!$M2382,"")</f>
        <v/>
      </c>
    </row>
    <row r="2399">
      <c r="U2399">
        <f>IF(AND(ISNUMBER('자료_한국심리'!$A2383),ISNUMBER('자료_한국심리'!$B2383)),'자료_한국심리'!$A2383,"")</f>
        <v/>
      </c>
      <c r="V2399">
        <f>IF(AND(ISNUMBER('자료_한국심리'!$D2383),ISNUMBER('자료_한국심리'!$E2383)),'자료_한국심리'!$D2383,"")</f>
        <v/>
      </c>
      <c r="W2399">
        <f>IF(AND(ISNUMBER('자료_한국심리'!$G2383),ISNUMBER('자료_한국심리'!$H2383)),'자료_한국심리'!$G2383,"")</f>
        <v/>
      </c>
      <c r="X2399">
        <f>IF(AND(ISNUMBER('자료_한국심리'!$J2383),ISNUMBER('자료_한국심리'!$K2383)),'자료_한국심리'!$J2383,"")</f>
        <v/>
      </c>
      <c r="Y2399">
        <f>IF(AND(ISNUMBER('자료_한국심리'!$M2383),ISNUMBER('자료_한국심리'!$N2383)),'자료_한국심리'!$M2383,"")</f>
        <v/>
      </c>
    </row>
    <row r="2400">
      <c r="U2400">
        <f>IF(AND(ISNUMBER('자료_한국심리'!$A2384),ISNUMBER('자료_한국심리'!$B2384)),'자료_한국심리'!$A2384,"")</f>
        <v/>
      </c>
      <c r="V2400">
        <f>IF(AND(ISNUMBER('자료_한국심리'!$D2384),ISNUMBER('자료_한국심리'!$E2384)),'자료_한국심리'!$D2384,"")</f>
        <v/>
      </c>
      <c r="W2400">
        <f>IF(AND(ISNUMBER('자료_한국심리'!$G2384),ISNUMBER('자료_한국심리'!$H2384)),'자료_한국심리'!$G2384,"")</f>
        <v/>
      </c>
      <c r="X2400">
        <f>IF(AND(ISNUMBER('자료_한국심리'!$J2384),ISNUMBER('자료_한국심리'!$K2384)),'자료_한국심리'!$J2384,"")</f>
        <v/>
      </c>
      <c r="Y2400">
        <f>IF(AND(ISNUMBER('자료_한국심리'!$M2384),ISNUMBER('자료_한국심리'!$N2384)),'자료_한국심리'!$M2384,"")</f>
        <v/>
      </c>
    </row>
    <row r="2401">
      <c r="U2401">
        <f>IF(AND(ISNUMBER('자료_한국심리'!$A2385),ISNUMBER('자료_한국심리'!$B2385)),'자료_한국심리'!$A2385,"")</f>
        <v/>
      </c>
      <c r="V2401">
        <f>IF(AND(ISNUMBER('자료_한국심리'!$D2385),ISNUMBER('자료_한국심리'!$E2385)),'자료_한국심리'!$D2385,"")</f>
        <v/>
      </c>
      <c r="W2401">
        <f>IF(AND(ISNUMBER('자료_한국심리'!$G2385),ISNUMBER('자료_한국심리'!$H2385)),'자료_한국심리'!$G2385,"")</f>
        <v/>
      </c>
      <c r="X2401">
        <f>IF(AND(ISNUMBER('자료_한국심리'!$J2385),ISNUMBER('자료_한국심리'!$K2385)),'자료_한국심리'!$J2385,"")</f>
        <v/>
      </c>
      <c r="Y2401">
        <f>IF(AND(ISNUMBER('자료_한국심리'!$M2385),ISNUMBER('자료_한국심리'!$N2385)),'자료_한국심리'!$M2385,"")</f>
        <v/>
      </c>
    </row>
    <row r="2402">
      <c r="U2402">
        <f>IF(AND(ISNUMBER('자료_한국심리'!$A2386),ISNUMBER('자료_한국심리'!$B2386)),'자료_한국심리'!$A2386,"")</f>
        <v/>
      </c>
      <c r="V2402">
        <f>IF(AND(ISNUMBER('자료_한국심리'!$D2386),ISNUMBER('자료_한국심리'!$E2386)),'자료_한국심리'!$D2386,"")</f>
        <v/>
      </c>
      <c r="W2402">
        <f>IF(AND(ISNUMBER('자료_한국심리'!$G2386),ISNUMBER('자료_한국심리'!$H2386)),'자료_한국심리'!$G2386,"")</f>
        <v/>
      </c>
      <c r="X2402">
        <f>IF(AND(ISNUMBER('자료_한국심리'!$J2386),ISNUMBER('자료_한국심리'!$K2386)),'자료_한국심리'!$J2386,"")</f>
        <v/>
      </c>
      <c r="Y2402">
        <f>IF(AND(ISNUMBER('자료_한국심리'!$M2386),ISNUMBER('자료_한국심리'!$N2386)),'자료_한국심리'!$M2386,"")</f>
        <v/>
      </c>
    </row>
    <row r="2403">
      <c r="U2403">
        <f>IF(AND(ISNUMBER('자료_한국심리'!$A2387),ISNUMBER('자료_한국심리'!$B2387)),'자료_한국심리'!$A2387,"")</f>
        <v/>
      </c>
      <c r="V2403">
        <f>IF(AND(ISNUMBER('자료_한국심리'!$D2387),ISNUMBER('자료_한국심리'!$E2387)),'자료_한국심리'!$D2387,"")</f>
        <v/>
      </c>
      <c r="W2403">
        <f>IF(AND(ISNUMBER('자료_한국심리'!$G2387),ISNUMBER('자료_한국심리'!$H2387)),'자료_한국심리'!$G2387,"")</f>
        <v/>
      </c>
      <c r="X2403">
        <f>IF(AND(ISNUMBER('자료_한국심리'!$J2387),ISNUMBER('자료_한국심리'!$K2387)),'자료_한국심리'!$J2387,"")</f>
        <v/>
      </c>
      <c r="Y2403">
        <f>IF(AND(ISNUMBER('자료_한국심리'!$M2387),ISNUMBER('자료_한국심리'!$N2387)),'자료_한국심리'!$M2387,"")</f>
        <v/>
      </c>
    </row>
    <row r="2404">
      <c r="U2404">
        <f>IF(AND(ISNUMBER('자료_한국심리'!$A2388),ISNUMBER('자료_한국심리'!$B2388)),'자료_한국심리'!$A2388,"")</f>
        <v/>
      </c>
      <c r="V2404">
        <f>IF(AND(ISNUMBER('자료_한국심리'!$D2388),ISNUMBER('자료_한국심리'!$E2388)),'자료_한국심리'!$D2388,"")</f>
        <v/>
      </c>
      <c r="W2404">
        <f>IF(AND(ISNUMBER('자료_한국심리'!$G2388),ISNUMBER('자료_한국심리'!$H2388)),'자료_한국심리'!$G2388,"")</f>
        <v/>
      </c>
      <c r="X2404">
        <f>IF(AND(ISNUMBER('자료_한국심리'!$J2388),ISNUMBER('자료_한국심리'!$K2388)),'자료_한국심리'!$J2388,"")</f>
        <v/>
      </c>
      <c r="Y2404">
        <f>IF(AND(ISNUMBER('자료_한국심리'!$M2388),ISNUMBER('자료_한국심리'!$N2388)),'자료_한국심리'!$M2388,"")</f>
        <v/>
      </c>
    </row>
    <row r="2405">
      <c r="U2405">
        <f>IF(AND(ISNUMBER('자료_한국심리'!$A2389),ISNUMBER('자료_한국심리'!$B2389)),'자료_한국심리'!$A2389,"")</f>
        <v/>
      </c>
      <c r="V2405">
        <f>IF(AND(ISNUMBER('자료_한국심리'!$D2389),ISNUMBER('자료_한국심리'!$E2389)),'자료_한국심리'!$D2389,"")</f>
        <v/>
      </c>
      <c r="W2405">
        <f>IF(AND(ISNUMBER('자료_한국심리'!$G2389),ISNUMBER('자료_한국심리'!$H2389)),'자료_한국심리'!$G2389,"")</f>
        <v/>
      </c>
      <c r="X2405">
        <f>IF(AND(ISNUMBER('자료_한국심리'!$J2389),ISNUMBER('자료_한국심리'!$K2389)),'자료_한국심리'!$J2389,"")</f>
        <v/>
      </c>
      <c r="Y2405">
        <f>IF(AND(ISNUMBER('자료_한국심리'!$M2389),ISNUMBER('자료_한국심리'!$N2389)),'자료_한국심리'!$M2389,"")</f>
        <v/>
      </c>
    </row>
    <row r="2406">
      <c r="U2406">
        <f>IF(AND(ISNUMBER('자료_한국심리'!$A2390),ISNUMBER('자료_한국심리'!$B2390)),'자료_한국심리'!$A2390,"")</f>
        <v/>
      </c>
      <c r="V2406">
        <f>IF(AND(ISNUMBER('자료_한국심리'!$D2390),ISNUMBER('자료_한국심리'!$E2390)),'자료_한국심리'!$D2390,"")</f>
        <v/>
      </c>
      <c r="W2406">
        <f>IF(AND(ISNUMBER('자료_한국심리'!$G2390),ISNUMBER('자료_한국심리'!$H2390)),'자료_한국심리'!$G2390,"")</f>
        <v/>
      </c>
      <c r="X2406">
        <f>IF(AND(ISNUMBER('자료_한국심리'!$J2390),ISNUMBER('자료_한국심리'!$K2390)),'자료_한국심리'!$J2390,"")</f>
        <v/>
      </c>
      <c r="Y2406">
        <f>IF(AND(ISNUMBER('자료_한국심리'!$M2390),ISNUMBER('자료_한국심리'!$N2390)),'자료_한국심리'!$M2390,"")</f>
        <v/>
      </c>
    </row>
    <row r="2407">
      <c r="U2407">
        <f>IF(AND(ISNUMBER('자료_한국심리'!$A2391),ISNUMBER('자료_한국심리'!$B2391)),'자료_한국심리'!$A2391,"")</f>
        <v/>
      </c>
      <c r="V2407">
        <f>IF(AND(ISNUMBER('자료_한국심리'!$D2391),ISNUMBER('자료_한국심리'!$E2391)),'자료_한국심리'!$D2391,"")</f>
        <v/>
      </c>
      <c r="W2407">
        <f>IF(AND(ISNUMBER('자료_한국심리'!$G2391),ISNUMBER('자료_한국심리'!$H2391)),'자료_한국심리'!$G2391,"")</f>
        <v/>
      </c>
      <c r="X2407">
        <f>IF(AND(ISNUMBER('자료_한국심리'!$J2391),ISNUMBER('자료_한국심리'!$K2391)),'자료_한국심리'!$J2391,"")</f>
        <v/>
      </c>
      <c r="Y2407">
        <f>IF(AND(ISNUMBER('자료_한국심리'!$M2391),ISNUMBER('자료_한국심리'!$N2391)),'자료_한국심리'!$M2391,"")</f>
        <v/>
      </c>
    </row>
    <row r="2408">
      <c r="U2408">
        <f>IF(AND(ISNUMBER('자료_한국심리'!$A2392),ISNUMBER('자료_한국심리'!$B2392)),'자료_한국심리'!$A2392,"")</f>
        <v/>
      </c>
      <c r="V2408">
        <f>IF(AND(ISNUMBER('자료_한국심리'!$D2392),ISNUMBER('자료_한국심리'!$E2392)),'자료_한국심리'!$D2392,"")</f>
        <v/>
      </c>
      <c r="W2408">
        <f>IF(AND(ISNUMBER('자료_한국심리'!$G2392),ISNUMBER('자료_한국심리'!$H2392)),'자료_한국심리'!$G2392,"")</f>
        <v/>
      </c>
      <c r="X2408">
        <f>IF(AND(ISNUMBER('자료_한국심리'!$J2392),ISNUMBER('자료_한국심리'!$K2392)),'자료_한국심리'!$J2392,"")</f>
        <v/>
      </c>
      <c r="Y2408">
        <f>IF(AND(ISNUMBER('자료_한국심리'!$M2392),ISNUMBER('자료_한국심리'!$N2392)),'자료_한국심리'!$M2392,"")</f>
        <v/>
      </c>
    </row>
    <row r="2409">
      <c r="U2409">
        <f>IF(AND(ISNUMBER('자료_한국심리'!$A2393),ISNUMBER('자료_한국심리'!$B2393)),'자료_한국심리'!$A2393,"")</f>
        <v/>
      </c>
      <c r="V2409">
        <f>IF(AND(ISNUMBER('자료_한국심리'!$D2393),ISNUMBER('자료_한국심리'!$E2393)),'자료_한국심리'!$D2393,"")</f>
        <v/>
      </c>
      <c r="W2409">
        <f>IF(AND(ISNUMBER('자료_한국심리'!$G2393),ISNUMBER('자료_한국심리'!$H2393)),'자료_한국심리'!$G2393,"")</f>
        <v/>
      </c>
      <c r="X2409">
        <f>IF(AND(ISNUMBER('자료_한국심리'!$J2393),ISNUMBER('자료_한국심리'!$K2393)),'자료_한국심리'!$J2393,"")</f>
        <v/>
      </c>
      <c r="Y2409">
        <f>IF(AND(ISNUMBER('자료_한국심리'!$M2393),ISNUMBER('자료_한국심리'!$N2393)),'자료_한국심리'!$M2393,"")</f>
        <v/>
      </c>
    </row>
    <row r="2410">
      <c r="U2410">
        <f>IF(AND(ISNUMBER('자료_한국심리'!$A2394),ISNUMBER('자료_한국심리'!$B2394)),'자료_한국심리'!$A2394,"")</f>
        <v/>
      </c>
      <c r="V2410">
        <f>IF(AND(ISNUMBER('자료_한국심리'!$D2394),ISNUMBER('자료_한국심리'!$E2394)),'자료_한국심리'!$D2394,"")</f>
        <v/>
      </c>
      <c r="W2410">
        <f>IF(AND(ISNUMBER('자료_한국심리'!$G2394),ISNUMBER('자료_한국심리'!$H2394)),'자료_한국심리'!$G2394,"")</f>
        <v/>
      </c>
      <c r="X2410">
        <f>IF(AND(ISNUMBER('자료_한국심리'!$J2394),ISNUMBER('자료_한국심리'!$K2394)),'자료_한국심리'!$J2394,"")</f>
        <v/>
      </c>
      <c r="Y2410">
        <f>IF(AND(ISNUMBER('자료_한국심리'!$M2394),ISNUMBER('자료_한국심리'!$N2394)),'자료_한국심리'!$M2394,"")</f>
        <v/>
      </c>
    </row>
    <row r="2411">
      <c r="U2411">
        <f>IF(AND(ISNUMBER('자료_한국심리'!$A2395),ISNUMBER('자료_한국심리'!$B2395)),'자료_한국심리'!$A2395,"")</f>
        <v/>
      </c>
      <c r="V2411">
        <f>IF(AND(ISNUMBER('자료_한국심리'!$D2395),ISNUMBER('자료_한국심리'!$E2395)),'자료_한국심리'!$D2395,"")</f>
        <v/>
      </c>
      <c r="W2411">
        <f>IF(AND(ISNUMBER('자료_한국심리'!$G2395),ISNUMBER('자료_한국심리'!$H2395)),'자료_한국심리'!$G2395,"")</f>
        <v/>
      </c>
      <c r="X2411">
        <f>IF(AND(ISNUMBER('자료_한국심리'!$J2395),ISNUMBER('자료_한국심리'!$K2395)),'자료_한국심리'!$J2395,"")</f>
        <v/>
      </c>
      <c r="Y2411">
        <f>IF(AND(ISNUMBER('자료_한국심리'!$M2395),ISNUMBER('자료_한국심리'!$N2395)),'자료_한국심리'!$M2395,"")</f>
        <v/>
      </c>
    </row>
    <row r="2412">
      <c r="U2412">
        <f>IF(AND(ISNUMBER('자료_한국심리'!$A2396),ISNUMBER('자료_한국심리'!$B2396)),'자료_한국심리'!$A2396,"")</f>
        <v/>
      </c>
      <c r="V2412">
        <f>IF(AND(ISNUMBER('자료_한국심리'!$D2396),ISNUMBER('자료_한국심리'!$E2396)),'자료_한국심리'!$D2396,"")</f>
        <v/>
      </c>
      <c r="W2412">
        <f>IF(AND(ISNUMBER('자료_한국심리'!$G2396),ISNUMBER('자료_한국심리'!$H2396)),'자료_한국심리'!$G2396,"")</f>
        <v/>
      </c>
      <c r="X2412">
        <f>IF(AND(ISNUMBER('자료_한국심리'!$J2396),ISNUMBER('자료_한국심리'!$K2396)),'자료_한국심리'!$J2396,"")</f>
        <v/>
      </c>
      <c r="Y2412">
        <f>IF(AND(ISNUMBER('자료_한국심리'!$M2396),ISNUMBER('자료_한국심리'!$N2396)),'자료_한국심리'!$M2396,"")</f>
        <v/>
      </c>
    </row>
    <row r="2413">
      <c r="U2413">
        <f>IF(AND(ISNUMBER('자료_한국심리'!$A2397),ISNUMBER('자료_한국심리'!$B2397)),'자료_한국심리'!$A2397,"")</f>
        <v/>
      </c>
      <c r="V2413">
        <f>IF(AND(ISNUMBER('자료_한국심리'!$D2397),ISNUMBER('자료_한국심리'!$E2397)),'자료_한국심리'!$D2397,"")</f>
        <v/>
      </c>
      <c r="W2413">
        <f>IF(AND(ISNUMBER('자료_한국심리'!$G2397),ISNUMBER('자료_한국심리'!$H2397)),'자료_한국심리'!$G2397,"")</f>
        <v/>
      </c>
      <c r="X2413">
        <f>IF(AND(ISNUMBER('자료_한국심리'!$J2397),ISNUMBER('자료_한국심리'!$K2397)),'자료_한국심리'!$J2397,"")</f>
        <v/>
      </c>
      <c r="Y2413">
        <f>IF(AND(ISNUMBER('자료_한국심리'!$M2397),ISNUMBER('자료_한국심리'!$N2397)),'자료_한국심리'!$M2397,"")</f>
        <v/>
      </c>
    </row>
    <row r="2414">
      <c r="U2414">
        <f>IF(AND(ISNUMBER('자료_한국심리'!$A2398),ISNUMBER('자료_한국심리'!$B2398)),'자료_한국심리'!$A2398,"")</f>
        <v/>
      </c>
      <c r="V2414">
        <f>IF(AND(ISNUMBER('자료_한국심리'!$D2398),ISNUMBER('자료_한국심리'!$E2398)),'자료_한국심리'!$D2398,"")</f>
        <v/>
      </c>
      <c r="W2414">
        <f>IF(AND(ISNUMBER('자료_한국심리'!$G2398),ISNUMBER('자료_한국심리'!$H2398)),'자료_한국심리'!$G2398,"")</f>
        <v/>
      </c>
      <c r="X2414">
        <f>IF(AND(ISNUMBER('자료_한국심리'!$J2398),ISNUMBER('자료_한국심리'!$K2398)),'자료_한국심리'!$J2398,"")</f>
        <v/>
      </c>
      <c r="Y2414">
        <f>IF(AND(ISNUMBER('자료_한국심리'!$M2398),ISNUMBER('자료_한국심리'!$N2398)),'자료_한국심리'!$M2398,"")</f>
        <v/>
      </c>
    </row>
    <row r="2415">
      <c r="U2415">
        <f>IF(AND(ISNUMBER('자료_한국심리'!$A2399),ISNUMBER('자료_한국심리'!$B2399)),'자료_한국심리'!$A2399,"")</f>
        <v/>
      </c>
      <c r="V2415">
        <f>IF(AND(ISNUMBER('자료_한국심리'!$D2399),ISNUMBER('자료_한국심리'!$E2399)),'자료_한국심리'!$D2399,"")</f>
        <v/>
      </c>
      <c r="W2415">
        <f>IF(AND(ISNUMBER('자료_한국심리'!$G2399),ISNUMBER('자료_한국심리'!$H2399)),'자료_한국심리'!$G2399,"")</f>
        <v/>
      </c>
      <c r="X2415">
        <f>IF(AND(ISNUMBER('자료_한국심리'!$J2399),ISNUMBER('자료_한국심리'!$K2399)),'자료_한국심리'!$J2399,"")</f>
        <v/>
      </c>
      <c r="Y2415">
        <f>IF(AND(ISNUMBER('자료_한국심리'!$M2399),ISNUMBER('자료_한국심리'!$N2399)),'자료_한국심리'!$M2399,"")</f>
        <v/>
      </c>
    </row>
    <row r="2416">
      <c r="U2416">
        <f>IF(AND(ISNUMBER('자료_한국심리'!$A2400),ISNUMBER('자료_한국심리'!$B2400)),'자료_한국심리'!$A2400,"")</f>
        <v/>
      </c>
      <c r="V2416">
        <f>IF(AND(ISNUMBER('자료_한국심리'!$D2400),ISNUMBER('자료_한국심리'!$E2400)),'자료_한국심리'!$D2400,"")</f>
        <v/>
      </c>
      <c r="W2416">
        <f>IF(AND(ISNUMBER('자료_한국심리'!$G2400),ISNUMBER('자료_한국심리'!$H2400)),'자료_한국심리'!$G2400,"")</f>
        <v/>
      </c>
      <c r="X2416">
        <f>IF(AND(ISNUMBER('자료_한국심리'!$J2400),ISNUMBER('자료_한국심리'!$K2400)),'자료_한국심리'!$J2400,"")</f>
        <v/>
      </c>
      <c r="Y2416">
        <f>IF(AND(ISNUMBER('자료_한국심리'!$M2400),ISNUMBER('자료_한국심리'!$N2400)),'자료_한국심리'!$M2400,"")</f>
        <v/>
      </c>
    </row>
    <row r="2417">
      <c r="U2417">
        <f>IF(AND(ISNUMBER('자료_한국심리'!$A2401),ISNUMBER('자료_한국심리'!$B2401)),'자료_한국심리'!$A2401,"")</f>
        <v/>
      </c>
      <c r="V2417">
        <f>IF(AND(ISNUMBER('자료_한국심리'!$D2401),ISNUMBER('자료_한국심리'!$E2401)),'자료_한국심리'!$D2401,"")</f>
        <v/>
      </c>
      <c r="W2417">
        <f>IF(AND(ISNUMBER('자료_한국심리'!$G2401),ISNUMBER('자료_한국심리'!$H2401)),'자료_한국심리'!$G2401,"")</f>
        <v/>
      </c>
      <c r="X2417">
        <f>IF(AND(ISNUMBER('자료_한국심리'!$J2401),ISNUMBER('자료_한국심리'!$K2401)),'자료_한국심리'!$J2401,"")</f>
        <v/>
      </c>
      <c r="Y2417">
        <f>IF(AND(ISNUMBER('자료_한국심리'!$M2401),ISNUMBER('자료_한국심리'!$N2401)),'자료_한국심리'!$M2401,"")</f>
        <v/>
      </c>
    </row>
    <row r="2418">
      <c r="U2418">
        <f>IF(AND(ISNUMBER('자료_한국심리'!$A2402),ISNUMBER('자료_한국심리'!$B2402)),'자료_한국심리'!$A2402,"")</f>
        <v/>
      </c>
      <c r="V2418">
        <f>IF(AND(ISNUMBER('자료_한국심리'!$D2402),ISNUMBER('자료_한국심리'!$E2402)),'자료_한국심리'!$D2402,"")</f>
        <v/>
      </c>
      <c r="W2418">
        <f>IF(AND(ISNUMBER('자료_한국심리'!$G2402),ISNUMBER('자료_한국심리'!$H2402)),'자료_한국심리'!$G2402,"")</f>
        <v/>
      </c>
      <c r="X2418">
        <f>IF(AND(ISNUMBER('자료_한국심리'!$J2402),ISNUMBER('자료_한국심리'!$K2402)),'자료_한국심리'!$J2402,"")</f>
        <v/>
      </c>
      <c r="Y2418">
        <f>IF(AND(ISNUMBER('자료_한국심리'!$M2402),ISNUMBER('자료_한국심리'!$N2402)),'자료_한국심리'!$M2402,"")</f>
        <v/>
      </c>
    </row>
    <row r="2419">
      <c r="U2419">
        <f>IF(AND(ISNUMBER('자료_한국심리'!$A2403),ISNUMBER('자료_한국심리'!$B2403)),'자료_한국심리'!$A2403,"")</f>
        <v/>
      </c>
      <c r="V2419">
        <f>IF(AND(ISNUMBER('자료_한국심리'!$D2403),ISNUMBER('자료_한국심리'!$E2403)),'자료_한국심리'!$D2403,"")</f>
        <v/>
      </c>
      <c r="W2419">
        <f>IF(AND(ISNUMBER('자료_한국심리'!$G2403),ISNUMBER('자료_한국심리'!$H2403)),'자료_한국심리'!$G2403,"")</f>
        <v/>
      </c>
      <c r="X2419">
        <f>IF(AND(ISNUMBER('자료_한국심리'!$J2403),ISNUMBER('자료_한국심리'!$K2403)),'자료_한국심리'!$J2403,"")</f>
        <v/>
      </c>
      <c r="Y2419">
        <f>IF(AND(ISNUMBER('자료_한국심리'!$M2403),ISNUMBER('자료_한국심리'!$N2403)),'자료_한국심리'!$M2403,"")</f>
        <v/>
      </c>
    </row>
    <row r="2420">
      <c r="U2420">
        <f>IF(AND(ISNUMBER('자료_한국심리'!$A2404),ISNUMBER('자료_한국심리'!$B2404)),'자료_한국심리'!$A2404,"")</f>
        <v/>
      </c>
      <c r="V2420">
        <f>IF(AND(ISNUMBER('자료_한국심리'!$D2404),ISNUMBER('자료_한국심리'!$E2404)),'자료_한국심리'!$D2404,"")</f>
        <v/>
      </c>
      <c r="W2420">
        <f>IF(AND(ISNUMBER('자료_한국심리'!$G2404),ISNUMBER('자료_한국심리'!$H2404)),'자료_한국심리'!$G2404,"")</f>
        <v/>
      </c>
      <c r="X2420">
        <f>IF(AND(ISNUMBER('자료_한국심리'!$J2404),ISNUMBER('자료_한국심리'!$K2404)),'자료_한국심리'!$J2404,"")</f>
        <v/>
      </c>
      <c r="Y2420">
        <f>IF(AND(ISNUMBER('자료_한국심리'!$M2404),ISNUMBER('자료_한국심리'!$N2404)),'자료_한국심리'!$M2404,"")</f>
        <v/>
      </c>
    </row>
    <row r="2421">
      <c r="U2421">
        <f>IF(AND(ISNUMBER('자료_한국심리'!$A2405),ISNUMBER('자료_한국심리'!$B2405)),'자료_한국심리'!$A2405,"")</f>
        <v/>
      </c>
      <c r="V2421">
        <f>IF(AND(ISNUMBER('자료_한국심리'!$D2405),ISNUMBER('자료_한국심리'!$E2405)),'자료_한국심리'!$D2405,"")</f>
        <v/>
      </c>
      <c r="W2421">
        <f>IF(AND(ISNUMBER('자료_한국심리'!$G2405),ISNUMBER('자료_한국심리'!$H2405)),'자료_한국심리'!$G2405,"")</f>
        <v/>
      </c>
      <c r="X2421">
        <f>IF(AND(ISNUMBER('자료_한국심리'!$J2405),ISNUMBER('자료_한국심리'!$K2405)),'자료_한국심리'!$J2405,"")</f>
        <v/>
      </c>
      <c r="Y2421">
        <f>IF(AND(ISNUMBER('자료_한국심리'!$M2405),ISNUMBER('자료_한국심리'!$N2405)),'자료_한국심리'!$M2405,"")</f>
        <v/>
      </c>
    </row>
    <row r="2422">
      <c r="U2422">
        <f>IF(AND(ISNUMBER('자료_한국심리'!$A2406),ISNUMBER('자료_한국심리'!$B2406)),'자료_한국심리'!$A2406,"")</f>
        <v/>
      </c>
      <c r="V2422">
        <f>IF(AND(ISNUMBER('자료_한국심리'!$D2406),ISNUMBER('자료_한국심리'!$E2406)),'자료_한국심리'!$D2406,"")</f>
        <v/>
      </c>
      <c r="W2422">
        <f>IF(AND(ISNUMBER('자료_한국심리'!$G2406),ISNUMBER('자료_한국심리'!$H2406)),'자료_한국심리'!$G2406,"")</f>
        <v/>
      </c>
      <c r="X2422">
        <f>IF(AND(ISNUMBER('자료_한국심리'!$J2406),ISNUMBER('자료_한국심리'!$K2406)),'자료_한국심리'!$J2406,"")</f>
        <v/>
      </c>
      <c r="Y2422">
        <f>IF(AND(ISNUMBER('자료_한국심리'!$M2406),ISNUMBER('자료_한국심리'!$N2406)),'자료_한국심리'!$M2406,"")</f>
        <v/>
      </c>
    </row>
    <row r="2423">
      <c r="U2423">
        <f>IF(AND(ISNUMBER('자료_한국심리'!$A2407),ISNUMBER('자료_한국심리'!$B2407)),'자료_한국심리'!$A2407,"")</f>
        <v/>
      </c>
      <c r="V2423">
        <f>IF(AND(ISNUMBER('자료_한국심리'!$D2407),ISNUMBER('자료_한국심리'!$E2407)),'자료_한국심리'!$D2407,"")</f>
        <v/>
      </c>
      <c r="W2423">
        <f>IF(AND(ISNUMBER('자료_한국심리'!$G2407),ISNUMBER('자료_한국심리'!$H2407)),'자료_한국심리'!$G2407,"")</f>
        <v/>
      </c>
      <c r="X2423">
        <f>IF(AND(ISNUMBER('자료_한국심리'!$J2407),ISNUMBER('자료_한국심리'!$K2407)),'자료_한국심리'!$J2407,"")</f>
        <v/>
      </c>
      <c r="Y2423">
        <f>IF(AND(ISNUMBER('자료_한국심리'!$M2407),ISNUMBER('자료_한국심리'!$N2407)),'자료_한국심리'!$M2407,"")</f>
        <v/>
      </c>
    </row>
    <row r="2424">
      <c r="U2424">
        <f>IF(AND(ISNUMBER('자료_한국심리'!$A2408),ISNUMBER('자료_한국심리'!$B2408)),'자료_한국심리'!$A2408,"")</f>
        <v/>
      </c>
      <c r="V2424">
        <f>IF(AND(ISNUMBER('자료_한국심리'!$D2408),ISNUMBER('자료_한국심리'!$E2408)),'자료_한국심리'!$D2408,"")</f>
        <v/>
      </c>
      <c r="W2424">
        <f>IF(AND(ISNUMBER('자료_한국심리'!$G2408),ISNUMBER('자료_한국심리'!$H2408)),'자료_한국심리'!$G2408,"")</f>
        <v/>
      </c>
      <c r="X2424">
        <f>IF(AND(ISNUMBER('자료_한국심리'!$J2408),ISNUMBER('자료_한국심리'!$K2408)),'자료_한국심리'!$J2408,"")</f>
        <v/>
      </c>
      <c r="Y2424">
        <f>IF(AND(ISNUMBER('자료_한국심리'!$M2408),ISNUMBER('자료_한국심리'!$N2408)),'자료_한국심리'!$M2408,"")</f>
        <v/>
      </c>
    </row>
    <row r="2425">
      <c r="U2425">
        <f>IF(AND(ISNUMBER('자료_한국심리'!$A2409),ISNUMBER('자료_한국심리'!$B2409)),'자료_한국심리'!$A2409,"")</f>
        <v/>
      </c>
      <c r="V2425">
        <f>IF(AND(ISNUMBER('자료_한국심리'!$D2409),ISNUMBER('자료_한국심리'!$E2409)),'자료_한국심리'!$D2409,"")</f>
        <v/>
      </c>
      <c r="W2425">
        <f>IF(AND(ISNUMBER('자료_한국심리'!$G2409),ISNUMBER('자료_한국심리'!$H2409)),'자료_한국심리'!$G2409,"")</f>
        <v/>
      </c>
      <c r="X2425">
        <f>IF(AND(ISNUMBER('자료_한국심리'!$J2409),ISNUMBER('자료_한국심리'!$K2409)),'자료_한국심리'!$J2409,"")</f>
        <v/>
      </c>
      <c r="Y2425">
        <f>IF(AND(ISNUMBER('자료_한국심리'!$M2409),ISNUMBER('자료_한국심리'!$N2409)),'자료_한국심리'!$M2409,"")</f>
        <v/>
      </c>
    </row>
    <row r="2426">
      <c r="U2426">
        <f>IF(AND(ISNUMBER('자료_한국심리'!$A2410),ISNUMBER('자료_한국심리'!$B2410)),'자료_한국심리'!$A2410,"")</f>
        <v/>
      </c>
      <c r="V2426">
        <f>IF(AND(ISNUMBER('자료_한국심리'!$D2410),ISNUMBER('자료_한국심리'!$E2410)),'자료_한국심리'!$D2410,"")</f>
        <v/>
      </c>
      <c r="W2426">
        <f>IF(AND(ISNUMBER('자료_한국심리'!$G2410),ISNUMBER('자료_한국심리'!$H2410)),'자료_한국심리'!$G2410,"")</f>
        <v/>
      </c>
      <c r="X2426">
        <f>IF(AND(ISNUMBER('자료_한국심리'!$J2410),ISNUMBER('자료_한국심리'!$K2410)),'자료_한국심리'!$J2410,"")</f>
        <v/>
      </c>
      <c r="Y2426">
        <f>IF(AND(ISNUMBER('자료_한국심리'!$M2410),ISNUMBER('자료_한국심리'!$N2410)),'자료_한국심리'!$M2410,"")</f>
        <v/>
      </c>
    </row>
    <row r="2427">
      <c r="U2427">
        <f>IF(AND(ISNUMBER('자료_한국심리'!$A2411),ISNUMBER('자료_한국심리'!$B2411)),'자료_한국심리'!$A2411,"")</f>
        <v/>
      </c>
      <c r="V2427">
        <f>IF(AND(ISNUMBER('자료_한국심리'!$D2411),ISNUMBER('자료_한국심리'!$E2411)),'자료_한국심리'!$D2411,"")</f>
        <v/>
      </c>
      <c r="W2427">
        <f>IF(AND(ISNUMBER('자료_한국심리'!$G2411),ISNUMBER('자료_한국심리'!$H2411)),'자료_한국심리'!$G2411,"")</f>
        <v/>
      </c>
      <c r="X2427">
        <f>IF(AND(ISNUMBER('자료_한국심리'!$J2411),ISNUMBER('자료_한국심리'!$K2411)),'자료_한국심리'!$J2411,"")</f>
        <v/>
      </c>
      <c r="Y2427">
        <f>IF(AND(ISNUMBER('자료_한국심리'!$M2411),ISNUMBER('자료_한국심리'!$N2411)),'자료_한국심리'!$M2411,"")</f>
        <v/>
      </c>
    </row>
    <row r="2428">
      <c r="U2428">
        <f>IF(AND(ISNUMBER('자료_한국심리'!$A2412),ISNUMBER('자료_한국심리'!$B2412)),'자료_한국심리'!$A2412,"")</f>
        <v/>
      </c>
      <c r="V2428">
        <f>IF(AND(ISNUMBER('자료_한국심리'!$D2412),ISNUMBER('자료_한국심리'!$E2412)),'자료_한국심리'!$D2412,"")</f>
        <v/>
      </c>
      <c r="W2428">
        <f>IF(AND(ISNUMBER('자료_한국심리'!$G2412),ISNUMBER('자료_한국심리'!$H2412)),'자료_한국심리'!$G2412,"")</f>
        <v/>
      </c>
      <c r="X2428">
        <f>IF(AND(ISNUMBER('자료_한국심리'!$J2412),ISNUMBER('자료_한국심리'!$K2412)),'자료_한국심리'!$J2412,"")</f>
        <v/>
      </c>
      <c r="Y2428">
        <f>IF(AND(ISNUMBER('자료_한국심리'!$M2412),ISNUMBER('자료_한국심리'!$N2412)),'자료_한국심리'!$M2412,"")</f>
        <v/>
      </c>
    </row>
    <row r="2429">
      <c r="U2429">
        <f>IF(AND(ISNUMBER('자료_한국심리'!$A2413),ISNUMBER('자료_한국심리'!$B2413)),'자료_한국심리'!$A2413,"")</f>
        <v/>
      </c>
      <c r="V2429">
        <f>IF(AND(ISNUMBER('자료_한국심리'!$D2413),ISNUMBER('자료_한국심리'!$E2413)),'자료_한국심리'!$D2413,"")</f>
        <v/>
      </c>
      <c r="W2429">
        <f>IF(AND(ISNUMBER('자료_한국심리'!$G2413),ISNUMBER('자료_한국심리'!$H2413)),'자료_한국심리'!$G2413,"")</f>
        <v/>
      </c>
      <c r="X2429">
        <f>IF(AND(ISNUMBER('자료_한국심리'!$J2413),ISNUMBER('자료_한국심리'!$K2413)),'자료_한국심리'!$J2413,"")</f>
        <v/>
      </c>
      <c r="Y2429">
        <f>IF(AND(ISNUMBER('자료_한국심리'!$M2413),ISNUMBER('자료_한국심리'!$N2413)),'자료_한국심리'!$M2413,"")</f>
        <v/>
      </c>
    </row>
    <row r="2430">
      <c r="U2430">
        <f>IF(AND(ISNUMBER('자료_한국심리'!$A2414),ISNUMBER('자료_한국심리'!$B2414)),'자료_한국심리'!$A2414,"")</f>
        <v/>
      </c>
      <c r="V2430">
        <f>IF(AND(ISNUMBER('자료_한국심리'!$D2414),ISNUMBER('자료_한국심리'!$E2414)),'자료_한국심리'!$D2414,"")</f>
        <v/>
      </c>
      <c r="W2430">
        <f>IF(AND(ISNUMBER('자료_한국심리'!$G2414),ISNUMBER('자료_한국심리'!$H2414)),'자료_한국심리'!$G2414,"")</f>
        <v/>
      </c>
      <c r="X2430">
        <f>IF(AND(ISNUMBER('자료_한국심리'!$J2414),ISNUMBER('자료_한국심리'!$K2414)),'자료_한국심리'!$J2414,"")</f>
        <v/>
      </c>
      <c r="Y2430">
        <f>IF(AND(ISNUMBER('자료_한국심리'!$M2414),ISNUMBER('자료_한국심리'!$N2414)),'자료_한국심리'!$M2414,"")</f>
        <v/>
      </c>
    </row>
    <row r="2431">
      <c r="U2431">
        <f>IF(AND(ISNUMBER('자료_한국심리'!$A2415),ISNUMBER('자료_한국심리'!$B2415)),'자료_한국심리'!$A2415,"")</f>
        <v/>
      </c>
      <c r="V2431">
        <f>IF(AND(ISNUMBER('자료_한국심리'!$D2415),ISNUMBER('자료_한국심리'!$E2415)),'자료_한국심리'!$D2415,"")</f>
        <v/>
      </c>
      <c r="W2431">
        <f>IF(AND(ISNUMBER('자료_한국심리'!$G2415),ISNUMBER('자료_한국심리'!$H2415)),'자료_한국심리'!$G2415,"")</f>
        <v/>
      </c>
      <c r="X2431">
        <f>IF(AND(ISNUMBER('자료_한국심리'!$J2415),ISNUMBER('자료_한국심리'!$K2415)),'자료_한국심리'!$J2415,"")</f>
        <v/>
      </c>
      <c r="Y2431">
        <f>IF(AND(ISNUMBER('자료_한국심리'!$M2415),ISNUMBER('자료_한국심리'!$N2415)),'자료_한국심리'!$M2415,"")</f>
        <v/>
      </c>
    </row>
    <row r="2432">
      <c r="U2432">
        <f>IF(AND(ISNUMBER('자료_한국심리'!$A2416),ISNUMBER('자료_한국심리'!$B2416)),'자료_한국심리'!$A2416,"")</f>
        <v/>
      </c>
      <c r="V2432">
        <f>IF(AND(ISNUMBER('자료_한국심리'!$D2416),ISNUMBER('자료_한국심리'!$E2416)),'자료_한국심리'!$D2416,"")</f>
        <v/>
      </c>
      <c r="W2432">
        <f>IF(AND(ISNUMBER('자료_한국심리'!$G2416),ISNUMBER('자료_한국심리'!$H2416)),'자료_한국심리'!$G2416,"")</f>
        <v/>
      </c>
      <c r="X2432">
        <f>IF(AND(ISNUMBER('자료_한국심리'!$J2416),ISNUMBER('자료_한국심리'!$K2416)),'자료_한국심리'!$J2416,"")</f>
        <v/>
      </c>
      <c r="Y2432">
        <f>IF(AND(ISNUMBER('자료_한국심리'!$M2416),ISNUMBER('자료_한국심리'!$N2416)),'자료_한국심리'!$M2416,"")</f>
        <v/>
      </c>
    </row>
    <row r="2433">
      <c r="U2433">
        <f>IF(AND(ISNUMBER('자료_한국심리'!$A2417),ISNUMBER('자료_한국심리'!$B2417)),'자료_한국심리'!$A2417,"")</f>
        <v/>
      </c>
      <c r="V2433">
        <f>IF(AND(ISNUMBER('자료_한국심리'!$D2417),ISNUMBER('자료_한국심리'!$E2417)),'자료_한국심리'!$D2417,"")</f>
        <v/>
      </c>
      <c r="W2433">
        <f>IF(AND(ISNUMBER('자료_한국심리'!$G2417),ISNUMBER('자료_한국심리'!$H2417)),'자료_한국심리'!$G2417,"")</f>
        <v/>
      </c>
      <c r="X2433">
        <f>IF(AND(ISNUMBER('자료_한국심리'!$J2417),ISNUMBER('자료_한국심리'!$K2417)),'자료_한국심리'!$J2417,"")</f>
        <v/>
      </c>
      <c r="Y2433">
        <f>IF(AND(ISNUMBER('자료_한국심리'!$M2417),ISNUMBER('자료_한국심리'!$N2417)),'자료_한국심리'!$M2417,"")</f>
        <v/>
      </c>
    </row>
    <row r="2434">
      <c r="U2434">
        <f>IF(AND(ISNUMBER('자료_한국심리'!$A2418),ISNUMBER('자료_한국심리'!$B2418)),'자료_한국심리'!$A2418,"")</f>
        <v/>
      </c>
      <c r="V2434">
        <f>IF(AND(ISNUMBER('자료_한국심리'!$D2418),ISNUMBER('자료_한국심리'!$E2418)),'자료_한국심리'!$D2418,"")</f>
        <v/>
      </c>
      <c r="W2434">
        <f>IF(AND(ISNUMBER('자료_한국심리'!$G2418),ISNUMBER('자료_한국심리'!$H2418)),'자료_한국심리'!$G2418,"")</f>
        <v/>
      </c>
      <c r="X2434">
        <f>IF(AND(ISNUMBER('자료_한국심리'!$J2418),ISNUMBER('자료_한국심리'!$K2418)),'자료_한국심리'!$J2418,"")</f>
        <v/>
      </c>
      <c r="Y2434">
        <f>IF(AND(ISNUMBER('자료_한국심리'!$M2418),ISNUMBER('자료_한국심리'!$N2418)),'자료_한국심리'!$M2418,"")</f>
        <v/>
      </c>
    </row>
    <row r="2435">
      <c r="U2435">
        <f>IF(AND(ISNUMBER('자료_한국심리'!$A2419),ISNUMBER('자료_한국심리'!$B2419)),'자료_한국심리'!$A2419,"")</f>
        <v/>
      </c>
      <c r="V2435">
        <f>IF(AND(ISNUMBER('자료_한국심리'!$D2419),ISNUMBER('자료_한국심리'!$E2419)),'자료_한국심리'!$D2419,"")</f>
        <v/>
      </c>
      <c r="W2435">
        <f>IF(AND(ISNUMBER('자료_한국심리'!$G2419),ISNUMBER('자료_한국심리'!$H2419)),'자료_한국심리'!$G2419,"")</f>
        <v/>
      </c>
      <c r="X2435">
        <f>IF(AND(ISNUMBER('자료_한국심리'!$J2419),ISNUMBER('자료_한국심리'!$K2419)),'자료_한국심리'!$J2419,"")</f>
        <v/>
      </c>
      <c r="Y2435">
        <f>IF(AND(ISNUMBER('자료_한국심리'!$M2419),ISNUMBER('자료_한국심리'!$N2419)),'자료_한국심리'!$M2419,"")</f>
        <v/>
      </c>
    </row>
    <row r="2436">
      <c r="U2436">
        <f>IF(AND(ISNUMBER('자료_한국심리'!$A2420),ISNUMBER('자료_한국심리'!$B2420)),'자료_한국심리'!$A2420,"")</f>
        <v/>
      </c>
      <c r="V2436">
        <f>IF(AND(ISNUMBER('자료_한국심리'!$D2420),ISNUMBER('자료_한국심리'!$E2420)),'자료_한국심리'!$D2420,"")</f>
        <v/>
      </c>
      <c r="W2436">
        <f>IF(AND(ISNUMBER('자료_한국심리'!$G2420),ISNUMBER('자료_한국심리'!$H2420)),'자료_한국심리'!$G2420,"")</f>
        <v/>
      </c>
      <c r="X2436">
        <f>IF(AND(ISNUMBER('자료_한국심리'!$J2420),ISNUMBER('자료_한국심리'!$K2420)),'자료_한국심리'!$J2420,"")</f>
        <v/>
      </c>
      <c r="Y2436">
        <f>IF(AND(ISNUMBER('자료_한국심리'!$M2420),ISNUMBER('자료_한국심리'!$N2420)),'자료_한국심리'!$M2420,"")</f>
        <v/>
      </c>
    </row>
    <row r="2437">
      <c r="U2437">
        <f>IF(AND(ISNUMBER('자료_한국심리'!$A2421),ISNUMBER('자료_한국심리'!$B2421)),'자료_한국심리'!$A2421,"")</f>
        <v/>
      </c>
      <c r="V2437">
        <f>IF(AND(ISNUMBER('자료_한국심리'!$D2421),ISNUMBER('자료_한국심리'!$E2421)),'자료_한국심리'!$D2421,"")</f>
        <v/>
      </c>
      <c r="W2437">
        <f>IF(AND(ISNUMBER('자료_한국심리'!$G2421),ISNUMBER('자료_한국심리'!$H2421)),'자료_한국심리'!$G2421,"")</f>
        <v/>
      </c>
      <c r="X2437">
        <f>IF(AND(ISNUMBER('자료_한국심리'!$J2421),ISNUMBER('자료_한국심리'!$K2421)),'자료_한국심리'!$J2421,"")</f>
        <v/>
      </c>
      <c r="Y2437">
        <f>IF(AND(ISNUMBER('자료_한국심리'!$M2421),ISNUMBER('자료_한국심리'!$N2421)),'자료_한국심리'!$M2421,"")</f>
        <v/>
      </c>
    </row>
    <row r="2438">
      <c r="U2438">
        <f>IF(AND(ISNUMBER('자료_한국심리'!$A2422),ISNUMBER('자료_한국심리'!$B2422)),'자료_한국심리'!$A2422,"")</f>
        <v/>
      </c>
      <c r="V2438">
        <f>IF(AND(ISNUMBER('자료_한국심리'!$D2422),ISNUMBER('자료_한국심리'!$E2422)),'자료_한국심리'!$D2422,"")</f>
        <v/>
      </c>
      <c r="W2438">
        <f>IF(AND(ISNUMBER('자료_한국심리'!$G2422),ISNUMBER('자료_한국심리'!$H2422)),'자료_한국심리'!$G2422,"")</f>
        <v/>
      </c>
      <c r="X2438">
        <f>IF(AND(ISNUMBER('자료_한국심리'!$J2422),ISNUMBER('자료_한국심리'!$K2422)),'자료_한국심리'!$J2422,"")</f>
        <v/>
      </c>
      <c r="Y2438">
        <f>IF(AND(ISNUMBER('자료_한국심리'!$M2422),ISNUMBER('자료_한국심리'!$N2422)),'자료_한국심리'!$M2422,"")</f>
        <v/>
      </c>
    </row>
    <row r="2439">
      <c r="U2439">
        <f>IF(AND(ISNUMBER('자료_한국심리'!$A2423),ISNUMBER('자료_한국심리'!$B2423)),'자료_한국심리'!$A2423,"")</f>
        <v/>
      </c>
      <c r="V2439">
        <f>IF(AND(ISNUMBER('자료_한국심리'!$D2423),ISNUMBER('자료_한국심리'!$E2423)),'자료_한국심리'!$D2423,"")</f>
        <v/>
      </c>
      <c r="W2439">
        <f>IF(AND(ISNUMBER('자료_한국심리'!$G2423),ISNUMBER('자료_한국심리'!$H2423)),'자료_한국심리'!$G2423,"")</f>
        <v/>
      </c>
      <c r="X2439">
        <f>IF(AND(ISNUMBER('자료_한국심리'!$J2423),ISNUMBER('자료_한국심리'!$K2423)),'자료_한국심리'!$J2423,"")</f>
        <v/>
      </c>
      <c r="Y2439">
        <f>IF(AND(ISNUMBER('자료_한국심리'!$M2423),ISNUMBER('자료_한국심리'!$N2423)),'자료_한국심리'!$M2423,"")</f>
        <v/>
      </c>
    </row>
    <row r="2440">
      <c r="U2440">
        <f>IF(AND(ISNUMBER('자료_한국심리'!$A2424),ISNUMBER('자료_한국심리'!$B2424)),'자료_한국심리'!$A2424,"")</f>
        <v/>
      </c>
      <c r="V2440">
        <f>IF(AND(ISNUMBER('자료_한국심리'!$D2424),ISNUMBER('자료_한국심리'!$E2424)),'자료_한국심리'!$D2424,"")</f>
        <v/>
      </c>
      <c r="W2440">
        <f>IF(AND(ISNUMBER('자료_한국심리'!$G2424),ISNUMBER('자료_한국심리'!$H2424)),'자료_한국심리'!$G2424,"")</f>
        <v/>
      </c>
      <c r="X2440">
        <f>IF(AND(ISNUMBER('자료_한국심리'!$J2424),ISNUMBER('자료_한국심리'!$K2424)),'자료_한국심리'!$J2424,"")</f>
        <v/>
      </c>
      <c r="Y2440">
        <f>IF(AND(ISNUMBER('자료_한국심리'!$M2424),ISNUMBER('자료_한국심리'!$N2424)),'자료_한국심리'!$M2424,"")</f>
        <v/>
      </c>
    </row>
    <row r="2441">
      <c r="U2441">
        <f>IF(AND(ISNUMBER('자료_한국심리'!$A2425),ISNUMBER('자료_한국심리'!$B2425)),'자료_한국심리'!$A2425,"")</f>
        <v/>
      </c>
      <c r="V2441">
        <f>IF(AND(ISNUMBER('자료_한국심리'!$D2425),ISNUMBER('자료_한국심리'!$E2425)),'자료_한국심리'!$D2425,"")</f>
        <v/>
      </c>
      <c r="W2441">
        <f>IF(AND(ISNUMBER('자료_한국심리'!$G2425),ISNUMBER('자료_한국심리'!$H2425)),'자료_한국심리'!$G2425,"")</f>
        <v/>
      </c>
      <c r="X2441">
        <f>IF(AND(ISNUMBER('자료_한국심리'!$J2425),ISNUMBER('자료_한국심리'!$K2425)),'자료_한국심리'!$J2425,"")</f>
        <v/>
      </c>
      <c r="Y2441">
        <f>IF(AND(ISNUMBER('자료_한국심리'!$M2425),ISNUMBER('자료_한국심리'!$N2425)),'자료_한국심리'!$M2425,"")</f>
        <v/>
      </c>
    </row>
    <row r="2442">
      <c r="U2442">
        <f>IF(AND(ISNUMBER('자료_한국심리'!$A2426),ISNUMBER('자료_한국심리'!$B2426)),'자료_한국심리'!$A2426,"")</f>
        <v/>
      </c>
      <c r="V2442">
        <f>IF(AND(ISNUMBER('자료_한국심리'!$D2426),ISNUMBER('자료_한국심리'!$E2426)),'자료_한국심리'!$D2426,"")</f>
        <v/>
      </c>
      <c r="W2442">
        <f>IF(AND(ISNUMBER('자료_한국심리'!$G2426),ISNUMBER('자료_한국심리'!$H2426)),'자료_한국심리'!$G2426,"")</f>
        <v/>
      </c>
      <c r="X2442">
        <f>IF(AND(ISNUMBER('자료_한국심리'!$J2426),ISNUMBER('자료_한국심리'!$K2426)),'자료_한국심리'!$J2426,"")</f>
        <v/>
      </c>
      <c r="Y2442">
        <f>IF(AND(ISNUMBER('자료_한국심리'!$M2426),ISNUMBER('자료_한국심리'!$N2426)),'자료_한국심리'!$M2426,"")</f>
        <v/>
      </c>
    </row>
    <row r="2443">
      <c r="U2443">
        <f>IF(AND(ISNUMBER('자료_한국심리'!$A2427),ISNUMBER('자료_한국심리'!$B2427)),'자료_한국심리'!$A2427,"")</f>
        <v/>
      </c>
      <c r="V2443">
        <f>IF(AND(ISNUMBER('자료_한국심리'!$D2427),ISNUMBER('자료_한국심리'!$E2427)),'자료_한국심리'!$D2427,"")</f>
        <v/>
      </c>
      <c r="W2443">
        <f>IF(AND(ISNUMBER('자료_한국심리'!$G2427),ISNUMBER('자료_한국심리'!$H2427)),'자료_한국심리'!$G2427,"")</f>
        <v/>
      </c>
      <c r="X2443">
        <f>IF(AND(ISNUMBER('자료_한국심리'!$J2427),ISNUMBER('자료_한국심리'!$K2427)),'자료_한국심리'!$J2427,"")</f>
        <v/>
      </c>
      <c r="Y2443">
        <f>IF(AND(ISNUMBER('자료_한국심리'!$M2427),ISNUMBER('자료_한국심리'!$N2427)),'자료_한국심리'!$M2427,"")</f>
        <v/>
      </c>
    </row>
    <row r="2444">
      <c r="U2444">
        <f>IF(AND(ISNUMBER('자료_한국심리'!$A2428),ISNUMBER('자료_한국심리'!$B2428)),'자료_한국심리'!$A2428,"")</f>
        <v/>
      </c>
      <c r="V2444">
        <f>IF(AND(ISNUMBER('자료_한국심리'!$D2428),ISNUMBER('자료_한국심리'!$E2428)),'자료_한국심리'!$D2428,"")</f>
        <v/>
      </c>
      <c r="W2444">
        <f>IF(AND(ISNUMBER('자료_한국심리'!$G2428),ISNUMBER('자료_한국심리'!$H2428)),'자료_한국심리'!$G2428,"")</f>
        <v/>
      </c>
      <c r="X2444">
        <f>IF(AND(ISNUMBER('자료_한국심리'!$J2428),ISNUMBER('자료_한국심리'!$K2428)),'자료_한국심리'!$J2428,"")</f>
        <v/>
      </c>
      <c r="Y2444">
        <f>IF(AND(ISNUMBER('자료_한국심리'!$M2428),ISNUMBER('자료_한국심리'!$N2428)),'자료_한국심리'!$M2428,"")</f>
        <v/>
      </c>
    </row>
    <row r="2445">
      <c r="U2445">
        <f>IF(AND(ISNUMBER('자료_한국심리'!$A2429),ISNUMBER('자료_한국심리'!$B2429)),'자료_한국심리'!$A2429,"")</f>
        <v/>
      </c>
      <c r="V2445">
        <f>IF(AND(ISNUMBER('자료_한국심리'!$D2429),ISNUMBER('자료_한국심리'!$E2429)),'자료_한국심리'!$D2429,"")</f>
        <v/>
      </c>
      <c r="W2445">
        <f>IF(AND(ISNUMBER('자료_한국심리'!$G2429),ISNUMBER('자료_한국심리'!$H2429)),'자료_한국심리'!$G2429,"")</f>
        <v/>
      </c>
      <c r="X2445">
        <f>IF(AND(ISNUMBER('자료_한국심리'!$J2429),ISNUMBER('자료_한국심리'!$K2429)),'자료_한국심리'!$J2429,"")</f>
        <v/>
      </c>
      <c r="Y2445">
        <f>IF(AND(ISNUMBER('자료_한국심리'!$M2429),ISNUMBER('자료_한국심리'!$N2429)),'자료_한국심리'!$M2429,"")</f>
        <v/>
      </c>
    </row>
    <row r="2446">
      <c r="U2446">
        <f>IF(AND(ISNUMBER('자료_한국심리'!$A2430),ISNUMBER('자료_한국심리'!$B2430)),'자료_한국심리'!$A2430,"")</f>
        <v/>
      </c>
      <c r="V2446">
        <f>IF(AND(ISNUMBER('자료_한국심리'!$D2430),ISNUMBER('자료_한국심리'!$E2430)),'자료_한국심리'!$D2430,"")</f>
        <v/>
      </c>
      <c r="W2446">
        <f>IF(AND(ISNUMBER('자료_한국심리'!$G2430),ISNUMBER('자료_한국심리'!$H2430)),'자료_한국심리'!$G2430,"")</f>
        <v/>
      </c>
      <c r="X2446">
        <f>IF(AND(ISNUMBER('자료_한국심리'!$J2430),ISNUMBER('자료_한국심리'!$K2430)),'자료_한국심리'!$J2430,"")</f>
        <v/>
      </c>
      <c r="Y2446">
        <f>IF(AND(ISNUMBER('자료_한국심리'!$M2430),ISNUMBER('자료_한국심리'!$N2430)),'자료_한국심리'!$M2430,"")</f>
        <v/>
      </c>
    </row>
    <row r="2447">
      <c r="U2447">
        <f>IF(AND(ISNUMBER('자료_한국심리'!$A2431),ISNUMBER('자료_한국심리'!$B2431)),'자료_한국심리'!$A2431,"")</f>
        <v/>
      </c>
      <c r="V2447">
        <f>IF(AND(ISNUMBER('자료_한국심리'!$D2431),ISNUMBER('자료_한국심리'!$E2431)),'자료_한국심리'!$D2431,"")</f>
        <v/>
      </c>
      <c r="W2447">
        <f>IF(AND(ISNUMBER('자료_한국심리'!$G2431),ISNUMBER('자료_한국심리'!$H2431)),'자료_한국심리'!$G2431,"")</f>
        <v/>
      </c>
      <c r="X2447">
        <f>IF(AND(ISNUMBER('자료_한국심리'!$J2431),ISNUMBER('자료_한국심리'!$K2431)),'자료_한국심리'!$J2431,"")</f>
        <v/>
      </c>
      <c r="Y2447">
        <f>IF(AND(ISNUMBER('자료_한국심리'!$M2431),ISNUMBER('자료_한국심리'!$N2431)),'자료_한국심리'!$M2431,"")</f>
        <v/>
      </c>
    </row>
    <row r="2448">
      <c r="U2448">
        <f>IF(AND(ISNUMBER('자료_한국심리'!$A2432),ISNUMBER('자료_한국심리'!$B2432)),'자료_한국심리'!$A2432,"")</f>
        <v/>
      </c>
      <c r="V2448">
        <f>IF(AND(ISNUMBER('자료_한국심리'!$D2432),ISNUMBER('자료_한국심리'!$E2432)),'자료_한국심리'!$D2432,"")</f>
        <v/>
      </c>
      <c r="W2448">
        <f>IF(AND(ISNUMBER('자료_한국심리'!$G2432),ISNUMBER('자료_한국심리'!$H2432)),'자료_한국심리'!$G2432,"")</f>
        <v/>
      </c>
      <c r="X2448">
        <f>IF(AND(ISNUMBER('자료_한국심리'!$J2432),ISNUMBER('자료_한국심리'!$K2432)),'자료_한국심리'!$J2432,"")</f>
        <v/>
      </c>
      <c r="Y2448">
        <f>IF(AND(ISNUMBER('자료_한국심리'!$M2432),ISNUMBER('자료_한국심리'!$N2432)),'자료_한국심리'!$M2432,"")</f>
        <v/>
      </c>
    </row>
    <row r="2449">
      <c r="U2449">
        <f>IF(AND(ISNUMBER('자료_한국심리'!$A2433),ISNUMBER('자료_한국심리'!$B2433)),'자료_한국심리'!$A2433,"")</f>
        <v/>
      </c>
      <c r="V2449">
        <f>IF(AND(ISNUMBER('자료_한국심리'!$D2433),ISNUMBER('자료_한국심리'!$E2433)),'자료_한국심리'!$D2433,"")</f>
        <v/>
      </c>
      <c r="W2449">
        <f>IF(AND(ISNUMBER('자료_한국심리'!$G2433),ISNUMBER('자료_한국심리'!$H2433)),'자료_한국심리'!$G2433,"")</f>
        <v/>
      </c>
      <c r="X2449">
        <f>IF(AND(ISNUMBER('자료_한국심리'!$J2433),ISNUMBER('자료_한국심리'!$K2433)),'자료_한국심리'!$J2433,"")</f>
        <v/>
      </c>
      <c r="Y2449">
        <f>IF(AND(ISNUMBER('자료_한국심리'!$M2433),ISNUMBER('자료_한국심리'!$N2433)),'자료_한국심리'!$M2433,"")</f>
        <v/>
      </c>
    </row>
    <row r="2450">
      <c r="U2450">
        <f>IF(AND(ISNUMBER('자료_한국심리'!$A2434),ISNUMBER('자료_한국심리'!$B2434)),'자료_한국심리'!$A2434,"")</f>
        <v/>
      </c>
      <c r="V2450">
        <f>IF(AND(ISNUMBER('자료_한국심리'!$D2434),ISNUMBER('자료_한국심리'!$E2434)),'자료_한국심리'!$D2434,"")</f>
        <v/>
      </c>
      <c r="W2450">
        <f>IF(AND(ISNUMBER('자료_한국심리'!$G2434),ISNUMBER('자료_한국심리'!$H2434)),'자료_한국심리'!$G2434,"")</f>
        <v/>
      </c>
      <c r="X2450">
        <f>IF(AND(ISNUMBER('자료_한국심리'!$J2434),ISNUMBER('자료_한국심리'!$K2434)),'자료_한국심리'!$J2434,"")</f>
        <v/>
      </c>
      <c r="Y2450">
        <f>IF(AND(ISNUMBER('자료_한국심리'!$M2434),ISNUMBER('자료_한국심리'!$N2434)),'자료_한국심리'!$M2434,"")</f>
        <v/>
      </c>
    </row>
    <row r="2451">
      <c r="U2451">
        <f>IF(AND(ISNUMBER('자료_한국심리'!$A2435),ISNUMBER('자료_한국심리'!$B2435)),'자료_한국심리'!$A2435,"")</f>
        <v/>
      </c>
      <c r="V2451">
        <f>IF(AND(ISNUMBER('자료_한국심리'!$D2435),ISNUMBER('자료_한국심리'!$E2435)),'자료_한국심리'!$D2435,"")</f>
        <v/>
      </c>
      <c r="W2451">
        <f>IF(AND(ISNUMBER('자료_한국심리'!$G2435),ISNUMBER('자료_한국심리'!$H2435)),'자료_한국심리'!$G2435,"")</f>
        <v/>
      </c>
      <c r="X2451">
        <f>IF(AND(ISNUMBER('자료_한국심리'!$J2435),ISNUMBER('자료_한국심리'!$K2435)),'자료_한국심리'!$J2435,"")</f>
        <v/>
      </c>
      <c r="Y2451">
        <f>IF(AND(ISNUMBER('자료_한국심리'!$M2435),ISNUMBER('자료_한국심리'!$N2435)),'자료_한국심리'!$M2435,"")</f>
        <v/>
      </c>
    </row>
    <row r="2452">
      <c r="U2452">
        <f>IF(AND(ISNUMBER('자료_한국심리'!$A2436),ISNUMBER('자료_한국심리'!$B2436)),'자료_한국심리'!$A2436,"")</f>
        <v/>
      </c>
      <c r="V2452">
        <f>IF(AND(ISNUMBER('자료_한국심리'!$D2436),ISNUMBER('자료_한국심리'!$E2436)),'자료_한국심리'!$D2436,"")</f>
        <v/>
      </c>
      <c r="W2452">
        <f>IF(AND(ISNUMBER('자료_한국심리'!$G2436),ISNUMBER('자료_한국심리'!$H2436)),'자료_한국심리'!$G2436,"")</f>
        <v/>
      </c>
      <c r="X2452">
        <f>IF(AND(ISNUMBER('자료_한국심리'!$J2436),ISNUMBER('자료_한국심리'!$K2436)),'자료_한국심리'!$J2436,"")</f>
        <v/>
      </c>
      <c r="Y2452">
        <f>IF(AND(ISNUMBER('자료_한국심리'!$M2436),ISNUMBER('자료_한국심리'!$N2436)),'자료_한국심리'!$M2436,"")</f>
        <v/>
      </c>
    </row>
    <row r="2453">
      <c r="U2453">
        <f>IF(AND(ISNUMBER('자료_한국심리'!$A2437),ISNUMBER('자료_한국심리'!$B2437)),'자료_한국심리'!$A2437,"")</f>
        <v/>
      </c>
      <c r="V2453">
        <f>IF(AND(ISNUMBER('자료_한국심리'!$D2437),ISNUMBER('자료_한국심리'!$E2437)),'자료_한국심리'!$D2437,"")</f>
        <v/>
      </c>
      <c r="W2453">
        <f>IF(AND(ISNUMBER('자료_한국심리'!$G2437),ISNUMBER('자료_한국심리'!$H2437)),'자료_한국심리'!$G2437,"")</f>
        <v/>
      </c>
      <c r="X2453">
        <f>IF(AND(ISNUMBER('자료_한국심리'!$J2437),ISNUMBER('자료_한국심리'!$K2437)),'자료_한국심리'!$J2437,"")</f>
        <v/>
      </c>
      <c r="Y2453">
        <f>IF(AND(ISNUMBER('자료_한국심리'!$M2437),ISNUMBER('자료_한국심리'!$N2437)),'자료_한국심리'!$M2437,"")</f>
        <v/>
      </c>
    </row>
    <row r="2454">
      <c r="U2454">
        <f>IF(AND(ISNUMBER('자료_한국심리'!$A2438),ISNUMBER('자료_한국심리'!$B2438)),'자료_한국심리'!$A2438,"")</f>
        <v/>
      </c>
      <c r="V2454">
        <f>IF(AND(ISNUMBER('자료_한국심리'!$D2438),ISNUMBER('자료_한국심리'!$E2438)),'자료_한국심리'!$D2438,"")</f>
        <v/>
      </c>
      <c r="W2454">
        <f>IF(AND(ISNUMBER('자료_한국심리'!$G2438),ISNUMBER('자료_한국심리'!$H2438)),'자료_한국심리'!$G2438,"")</f>
        <v/>
      </c>
      <c r="X2454">
        <f>IF(AND(ISNUMBER('자료_한국심리'!$J2438),ISNUMBER('자료_한국심리'!$K2438)),'자료_한국심리'!$J2438,"")</f>
        <v/>
      </c>
      <c r="Y2454">
        <f>IF(AND(ISNUMBER('자료_한국심리'!$M2438),ISNUMBER('자료_한국심리'!$N2438)),'자료_한국심리'!$M2438,"")</f>
        <v/>
      </c>
    </row>
    <row r="2455">
      <c r="U2455">
        <f>IF(AND(ISNUMBER('자료_한국심리'!$A2439),ISNUMBER('자료_한국심리'!$B2439)),'자료_한국심리'!$A2439,"")</f>
        <v/>
      </c>
      <c r="V2455">
        <f>IF(AND(ISNUMBER('자료_한국심리'!$D2439),ISNUMBER('자료_한국심리'!$E2439)),'자료_한국심리'!$D2439,"")</f>
        <v/>
      </c>
      <c r="W2455">
        <f>IF(AND(ISNUMBER('자료_한국심리'!$G2439),ISNUMBER('자료_한국심리'!$H2439)),'자료_한국심리'!$G2439,"")</f>
        <v/>
      </c>
      <c r="X2455">
        <f>IF(AND(ISNUMBER('자료_한국심리'!$J2439),ISNUMBER('자료_한국심리'!$K2439)),'자료_한국심리'!$J2439,"")</f>
        <v/>
      </c>
      <c r="Y2455">
        <f>IF(AND(ISNUMBER('자료_한국심리'!$M2439),ISNUMBER('자료_한국심리'!$N2439)),'자료_한국심리'!$M2439,"")</f>
        <v/>
      </c>
    </row>
    <row r="2456">
      <c r="U2456">
        <f>IF(AND(ISNUMBER('자료_한국심리'!$A2440),ISNUMBER('자료_한국심리'!$B2440)),'자료_한국심리'!$A2440,"")</f>
        <v/>
      </c>
      <c r="V2456">
        <f>IF(AND(ISNUMBER('자료_한국심리'!$D2440),ISNUMBER('자료_한국심리'!$E2440)),'자료_한국심리'!$D2440,"")</f>
        <v/>
      </c>
      <c r="W2456">
        <f>IF(AND(ISNUMBER('자료_한국심리'!$G2440),ISNUMBER('자료_한국심리'!$H2440)),'자료_한국심리'!$G2440,"")</f>
        <v/>
      </c>
      <c r="X2456">
        <f>IF(AND(ISNUMBER('자료_한국심리'!$J2440),ISNUMBER('자료_한국심리'!$K2440)),'자료_한국심리'!$J2440,"")</f>
        <v/>
      </c>
      <c r="Y2456">
        <f>IF(AND(ISNUMBER('자료_한국심리'!$M2440),ISNUMBER('자료_한국심리'!$N2440)),'자료_한국심리'!$M2440,"")</f>
        <v/>
      </c>
    </row>
    <row r="2457">
      <c r="U2457">
        <f>IF(AND(ISNUMBER('자료_한국심리'!$A2441),ISNUMBER('자료_한국심리'!$B2441)),'자료_한국심리'!$A2441,"")</f>
        <v/>
      </c>
      <c r="V2457">
        <f>IF(AND(ISNUMBER('자료_한국심리'!$D2441),ISNUMBER('자료_한국심리'!$E2441)),'자료_한국심리'!$D2441,"")</f>
        <v/>
      </c>
      <c r="W2457">
        <f>IF(AND(ISNUMBER('자료_한국심리'!$G2441),ISNUMBER('자료_한국심리'!$H2441)),'자료_한국심리'!$G2441,"")</f>
        <v/>
      </c>
      <c r="X2457">
        <f>IF(AND(ISNUMBER('자료_한국심리'!$J2441),ISNUMBER('자료_한국심리'!$K2441)),'자료_한국심리'!$J2441,"")</f>
        <v/>
      </c>
      <c r="Y2457">
        <f>IF(AND(ISNUMBER('자료_한국심리'!$M2441),ISNUMBER('자료_한국심리'!$N2441)),'자료_한국심리'!$M2441,"")</f>
        <v/>
      </c>
    </row>
    <row r="2458">
      <c r="U2458">
        <f>IF(AND(ISNUMBER('자료_한국심리'!$A2442),ISNUMBER('자료_한국심리'!$B2442)),'자료_한국심리'!$A2442,"")</f>
        <v/>
      </c>
      <c r="V2458">
        <f>IF(AND(ISNUMBER('자료_한국심리'!$D2442),ISNUMBER('자료_한국심리'!$E2442)),'자료_한국심리'!$D2442,"")</f>
        <v/>
      </c>
      <c r="W2458">
        <f>IF(AND(ISNUMBER('자료_한국심리'!$G2442),ISNUMBER('자료_한국심리'!$H2442)),'자료_한국심리'!$G2442,"")</f>
        <v/>
      </c>
      <c r="X2458">
        <f>IF(AND(ISNUMBER('자료_한국심리'!$J2442),ISNUMBER('자료_한국심리'!$K2442)),'자료_한국심리'!$J2442,"")</f>
        <v/>
      </c>
      <c r="Y2458">
        <f>IF(AND(ISNUMBER('자료_한국심리'!$M2442),ISNUMBER('자료_한국심리'!$N2442)),'자료_한국심리'!$M2442,"")</f>
        <v/>
      </c>
    </row>
    <row r="2459">
      <c r="U2459">
        <f>IF(AND(ISNUMBER('자료_한국심리'!$A2443),ISNUMBER('자료_한국심리'!$B2443)),'자료_한국심리'!$A2443,"")</f>
        <v/>
      </c>
      <c r="V2459">
        <f>IF(AND(ISNUMBER('자료_한국심리'!$D2443),ISNUMBER('자료_한국심리'!$E2443)),'자료_한국심리'!$D2443,"")</f>
        <v/>
      </c>
      <c r="W2459">
        <f>IF(AND(ISNUMBER('자료_한국심리'!$G2443),ISNUMBER('자료_한국심리'!$H2443)),'자료_한국심리'!$G2443,"")</f>
        <v/>
      </c>
      <c r="X2459">
        <f>IF(AND(ISNUMBER('자료_한국심리'!$J2443),ISNUMBER('자료_한국심리'!$K2443)),'자료_한국심리'!$J2443,"")</f>
        <v/>
      </c>
      <c r="Y2459">
        <f>IF(AND(ISNUMBER('자료_한국심리'!$M2443),ISNUMBER('자료_한국심리'!$N2443)),'자료_한국심리'!$M2443,"")</f>
        <v/>
      </c>
    </row>
    <row r="2460">
      <c r="U2460">
        <f>IF(AND(ISNUMBER('자료_한국심리'!$A2444),ISNUMBER('자료_한국심리'!$B2444)),'자료_한국심리'!$A2444,"")</f>
        <v/>
      </c>
      <c r="V2460">
        <f>IF(AND(ISNUMBER('자료_한국심리'!$D2444),ISNUMBER('자료_한국심리'!$E2444)),'자료_한국심리'!$D2444,"")</f>
        <v/>
      </c>
      <c r="W2460">
        <f>IF(AND(ISNUMBER('자료_한국심리'!$G2444),ISNUMBER('자료_한국심리'!$H2444)),'자료_한국심리'!$G2444,"")</f>
        <v/>
      </c>
      <c r="X2460">
        <f>IF(AND(ISNUMBER('자료_한국심리'!$J2444),ISNUMBER('자료_한국심리'!$K2444)),'자료_한국심리'!$J2444,"")</f>
        <v/>
      </c>
      <c r="Y2460">
        <f>IF(AND(ISNUMBER('자료_한국심리'!$M2444),ISNUMBER('자료_한국심리'!$N2444)),'자료_한국심리'!$M2444,"")</f>
        <v/>
      </c>
    </row>
    <row r="2461">
      <c r="U2461">
        <f>IF(AND(ISNUMBER('자료_한국심리'!$A2445),ISNUMBER('자료_한국심리'!$B2445)),'자료_한국심리'!$A2445,"")</f>
        <v/>
      </c>
      <c r="V2461">
        <f>IF(AND(ISNUMBER('자료_한국심리'!$D2445),ISNUMBER('자료_한국심리'!$E2445)),'자료_한국심리'!$D2445,"")</f>
        <v/>
      </c>
      <c r="W2461">
        <f>IF(AND(ISNUMBER('자료_한국심리'!$G2445),ISNUMBER('자료_한국심리'!$H2445)),'자료_한국심리'!$G2445,"")</f>
        <v/>
      </c>
      <c r="X2461">
        <f>IF(AND(ISNUMBER('자료_한국심리'!$J2445),ISNUMBER('자료_한국심리'!$K2445)),'자료_한국심리'!$J2445,"")</f>
        <v/>
      </c>
      <c r="Y2461">
        <f>IF(AND(ISNUMBER('자료_한국심리'!$M2445),ISNUMBER('자료_한국심리'!$N2445)),'자료_한국심리'!$M2445,"")</f>
        <v/>
      </c>
    </row>
    <row r="2462">
      <c r="U2462">
        <f>IF(AND(ISNUMBER('자료_한국심리'!$A2446),ISNUMBER('자료_한국심리'!$B2446)),'자료_한국심리'!$A2446,"")</f>
        <v/>
      </c>
      <c r="V2462">
        <f>IF(AND(ISNUMBER('자료_한국심리'!$D2446),ISNUMBER('자료_한국심리'!$E2446)),'자료_한국심리'!$D2446,"")</f>
        <v/>
      </c>
      <c r="W2462">
        <f>IF(AND(ISNUMBER('자료_한국심리'!$G2446),ISNUMBER('자료_한국심리'!$H2446)),'자료_한국심리'!$G2446,"")</f>
        <v/>
      </c>
      <c r="X2462">
        <f>IF(AND(ISNUMBER('자료_한국심리'!$J2446),ISNUMBER('자료_한국심리'!$K2446)),'자료_한국심리'!$J2446,"")</f>
        <v/>
      </c>
      <c r="Y2462">
        <f>IF(AND(ISNUMBER('자료_한국심리'!$M2446),ISNUMBER('자료_한국심리'!$N2446)),'자료_한국심리'!$M2446,"")</f>
        <v/>
      </c>
    </row>
    <row r="2463">
      <c r="U2463">
        <f>IF(AND(ISNUMBER('자료_한국심리'!$A2447),ISNUMBER('자료_한국심리'!$B2447)),'자료_한국심리'!$A2447,"")</f>
        <v/>
      </c>
      <c r="V2463">
        <f>IF(AND(ISNUMBER('자료_한국심리'!$D2447),ISNUMBER('자료_한국심리'!$E2447)),'자료_한국심리'!$D2447,"")</f>
        <v/>
      </c>
      <c r="W2463">
        <f>IF(AND(ISNUMBER('자료_한국심리'!$G2447),ISNUMBER('자료_한국심리'!$H2447)),'자료_한국심리'!$G2447,"")</f>
        <v/>
      </c>
      <c r="X2463">
        <f>IF(AND(ISNUMBER('자료_한국심리'!$J2447),ISNUMBER('자료_한국심리'!$K2447)),'자료_한국심리'!$J2447,"")</f>
        <v/>
      </c>
      <c r="Y2463">
        <f>IF(AND(ISNUMBER('자료_한국심리'!$M2447),ISNUMBER('자료_한국심리'!$N2447)),'자료_한국심리'!$M2447,"")</f>
        <v/>
      </c>
    </row>
    <row r="2464">
      <c r="U2464">
        <f>IF(AND(ISNUMBER('자료_한국심리'!$A2448),ISNUMBER('자료_한국심리'!$B2448)),'자료_한국심리'!$A2448,"")</f>
        <v/>
      </c>
      <c r="V2464">
        <f>IF(AND(ISNUMBER('자료_한국심리'!$D2448),ISNUMBER('자료_한국심리'!$E2448)),'자료_한국심리'!$D2448,"")</f>
        <v/>
      </c>
      <c r="W2464">
        <f>IF(AND(ISNUMBER('자료_한국심리'!$G2448),ISNUMBER('자료_한국심리'!$H2448)),'자료_한국심리'!$G2448,"")</f>
        <v/>
      </c>
      <c r="X2464">
        <f>IF(AND(ISNUMBER('자료_한국심리'!$J2448),ISNUMBER('자료_한국심리'!$K2448)),'자료_한국심리'!$J2448,"")</f>
        <v/>
      </c>
      <c r="Y2464">
        <f>IF(AND(ISNUMBER('자료_한국심리'!$M2448),ISNUMBER('자료_한국심리'!$N2448)),'자료_한국심리'!$M2448,"")</f>
        <v/>
      </c>
    </row>
    <row r="2465">
      <c r="U2465">
        <f>IF(AND(ISNUMBER('자료_한국심리'!$A2449),ISNUMBER('자료_한국심리'!$B2449)),'자료_한국심리'!$A2449,"")</f>
        <v/>
      </c>
      <c r="V2465">
        <f>IF(AND(ISNUMBER('자료_한국심리'!$D2449),ISNUMBER('자료_한국심리'!$E2449)),'자료_한국심리'!$D2449,"")</f>
        <v/>
      </c>
      <c r="W2465">
        <f>IF(AND(ISNUMBER('자료_한국심리'!$G2449),ISNUMBER('자료_한국심리'!$H2449)),'자료_한국심리'!$G2449,"")</f>
        <v/>
      </c>
      <c r="X2465">
        <f>IF(AND(ISNUMBER('자료_한국심리'!$J2449),ISNUMBER('자료_한국심리'!$K2449)),'자료_한국심리'!$J2449,"")</f>
        <v/>
      </c>
      <c r="Y2465">
        <f>IF(AND(ISNUMBER('자료_한국심리'!$M2449),ISNUMBER('자료_한국심리'!$N2449)),'자료_한국심리'!$M2449,"")</f>
        <v/>
      </c>
    </row>
    <row r="2466">
      <c r="U2466">
        <f>IF(AND(ISNUMBER('자료_한국심리'!$A2450),ISNUMBER('자료_한국심리'!$B2450)),'자료_한국심리'!$A2450,"")</f>
        <v/>
      </c>
      <c r="V2466">
        <f>IF(AND(ISNUMBER('자료_한국심리'!$D2450),ISNUMBER('자료_한국심리'!$E2450)),'자료_한국심리'!$D2450,"")</f>
        <v/>
      </c>
      <c r="W2466">
        <f>IF(AND(ISNUMBER('자료_한국심리'!$G2450),ISNUMBER('자료_한국심리'!$H2450)),'자료_한국심리'!$G2450,"")</f>
        <v/>
      </c>
      <c r="X2466">
        <f>IF(AND(ISNUMBER('자료_한국심리'!$J2450),ISNUMBER('자료_한국심리'!$K2450)),'자료_한국심리'!$J2450,"")</f>
        <v/>
      </c>
      <c r="Y2466">
        <f>IF(AND(ISNUMBER('자료_한국심리'!$M2450),ISNUMBER('자료_한국심리'!$N2450)),'자료_한국심리'!$M2450,"")</f>
        <v/>
      </c>
    </row>
    <row r="2467">
      <c r="U2467">
        <f>IF(AND(ISNUMBER('자료_한국심리'!$A2451),ISNUMBER('자료_한국심리'!$B2451)),'자료_한국심리'!$A2451,"")</f>
        <v/>
      </c>
      <c r="V2467">
        <f>IF(AND(ISNUMBER('자료_한국심리'!$D2451),ISNUMBER('자료_한국심리'!$E2451)),'자료_한국심리'!$D2451,"")</f>
        <v/>
      </c>
      <c r="W2467">
        <f>IF(AND(ISNUMBER('자료_한국심리'!$G2451),ISNUMBER('자료_한국심리'!$H2451)),'자료_한국심리'!$G2451,"")</f>
        <v/>
      </c>
      <c r="X2467">
        <f>IF(AND(ISNUMBER('자료_한국심리'!$J2451),ISNUMBER('자료_한국심리'!$K2451)),'자료_한국심리'!$J2451,"")</f>
        <v/>
      </c>
      <c r="Y2467">
        <f>IF(AND(ISNUMBER('자료_한국심리'!$M2451),ISNUMBER('자료_한국심리'!$N2451)),'자료_한국심리'!$M2451,"")</f>
        <v/>
      </c>
    </row>
    <row r="2468">
      <c r="U2468">
        <f>IF(AND(ISNUMBER('자료_한국심리'!$A2452),ISNUMBER('자료_한국심리'!$B2452)),'자료_한국심리'!$A2452,"")</f>
        <v/>
      </c>
      <c r="V2468">
        <f>IF(AND(ISNUMBER('자료_한국심리'!$D2452),ISNUMBER('자료_한국심리'!$E2452)),'자료_한국심리'!$D2452,"")</f>
        <v/>
      </c>
      <c r="W2468">
        <f>IF(AND(ISNUMBER('자료_한국심리'!$G2452),ISNUMBER('자료_한국심리'!$H2452)),'자료_한국심리'!$G2452,"")</f>
        <v/>
      </c>
      <c r="X2468">
        <f>IF(AND(ISNUMBER('자료_한국심리'!$J2452),ISNUMBER('자료_한국심리'!$K2452)),'자료_한국심리'!$J2452,"")</f>
        <v/>
      </c>
      <c r="Y2468">
        <f>IF(AND(ISNUMBER('자료_한국심리'!$M2452),ISNUMBER('자료_한국심리'!$N2452)),'자료_한국심리'!$M2452,"")</f>
        <v/>
      </c>
    </row>
    <row r="2469">
      <c r="U2469">
        <f>IF(AND(ISNUMBER('자료_한국심리'!$A2453),ISNUMBER('자료_한국심리'!$B2453)),'자료_한국심리'!$A2453,"")</f>
        <v/>
      </c>
      <c r="V2469">
        <f>IF(AND(ISNUMBER('자료_한국심리'!$D2453),ISNUMBER('자료_한국심리'!$E2453)),'자료_한국심리'!$D2453,"")</f>
        <v/>
      </c>
      <c r="W2469">
        <f>IF(AND(ISNUMBER('자료_한국심리'!$G2453),ISNUMBER('자료_한국심리'!$H2453)),'자료_한국심리'!$G2453,"")</f>
        <v/>
      </c>
      <c r="X2469">
        <f>IF(AND(ISNUMBER('자료_한국심리'!$J2453),ISNUMBER('자료_한국심리'!$K2453)),'자료_한국심리'!$J2453,"")</f>
        <v/>
      </c>
      <c r="Y2469">
        <f>IF(AND(ISNUMBER('자료_한국심리'!$M2453),ISNUMBER('자료_한국심리'!$N2453)),'자료_한국심리'!$M2453,"")</f>
        <v/>
      </c>
    </row>
    <row r="2470">
      <c r="U2470">
        <f>IF(AND(ISNUMBER('자료_한국심리'!$A2454),ISNUMBER('자료_한국심리'!$B2454)),'자료_한국심리'!$A2454,"")</f>
        <v/>
      </c>
      <c r="V2470">
        <f>IF(AND(ISNUMBER('자료_한국심리'!$D2454),ISNUMBER('자료_한국심리'!$E2454)),'자료_한국심리'!$D2454,"")</f>
        <v/>
      </c>
      <c r="W2470">
        <f>IF(AND(ISNUMBER('자료_한국심리'!$G2454),ISNUMBER('자료_한국심리'!$H2454)),'자료_한국심리'!$G2454,"")</f>
        <v/>
      </c>
      <c r="X2470">
        <f>IF(AND(ISNUMBER('자료_한국심리'!$J2454),ISNUMBER('자료_한국심리'!$K2454)),'자료_한국심리'!$J2454,"")</f>
        <v/>
      </c>
      <c r="Y2470">
        <f>IF(AND(ISNUMBER('자료_한국심리'!$M2454),ISNUMBER('자료_한국심리'!$N2454)),'자료_한국심리'!$M2454,"")</f>
        <v/>
      </c>
    </row>
    <row r="2471">
      <c r="U2471">
        <f>IF(AND(ISNUMBER('자료_한국심리'!$A2455),ISNUMBER('자료_한국심리'!$B2455)),'자료_한국심리'!$A2455,"")</f>
        <v/>
      </c>
      <c r="V2471">
        <f>IF(AND(ISNUMBER('자료_한국심리'!$D2455),ISNUMBER('자료_한국심리'!$E2455)),'자료_한국심리'!$D2455,"")</f>
        <v/>
      </c>
      <c r="W2471">
        <f>IF(AND(ISNUMBER('자료_한국심리'!$G2455),ISNUMBER('자료_한국심리'!$H2455)),'자료_한국심리'!$G2455,"")</f>
        <v/>
      </c>
      <c r="X2471">
        <f>IF(AND(ISNUMBER('자료_한국심리'!$J2455),ISNUMBER('자료_한국심리'!$K2455)),'자료_한국심리'!$J2455,"")</f>
        <v/>
      </c>
      <c r="Y2471">
        <f>IF(AND(ISNUMBER('자료_한국심리'!$M2455),ISNUMBER('자료_한국심리'!$N2455)),'자료_한국심리'!$M2455,"")</f>
        <v/>
      </c>
    </row>
    <row r="2472">
      <c r="U2472">
        <f>IF(AND(ISNUMBER('자료_한국심리'!$A2456),ISNUMBER('자료_한국심리'!$B2456)),'자료_한국심리'!$A2456,"")</f>
        <v/>
      </c>
      <c r="V2472">
        <f>IF(AND(ISNUMBER('자료_한국심리'!$D2456),ISNUMBER('자료_한국심리'!$E2456)),'자료_한국심리'!$D2456,"")</f>
        <v/>
      </c>
      <c r="W2472">
        <f>IF(AND(ISNUMBER('자료_한국심리'!$G2456),ISNUMBER('자료_한국심리'!$H2456)),'자료_한국심리'!$G2456,"")</f>
        <v/>
      </c>
      <c r="X2472">
        <f>IF(AND(ISNUMBER('자료_한국심리'!$J2456),ISNUMBER('자료_한국심리'!$K2456)),'자료_한국심리'!$J2456,"")</f>
        <v/>
      </c>
      <c r="Y2472">
        <f>IF(AND(ISNUMBER('자료_한국심리'!$M2456),ISNUMBER('자료_한국심리'!$N2456)),'자료_한국심리'!$M2456,"")</f>
        <v/>
      </c>
    </row>
    <row r="2473">
      <c r="U2473">
        <f>IF(AND(ISNUMBER('자료_한국심리'!$A2457),ISNUMBER('자료_한국심리'!$B2457)),'자료_한국심리'!$A2457,"")</f>
        <v/>
      </c>
      <c r="V2473">
        <f>IF(AND(ISNUMBER('자료_한국심리'!$D2457),ISNUMBER('자료_한국심리'!$E2457)),'자료_한국심리'!$D2457,"")</f>
        <v/>
      </c>
      <c r="W2473">
        <f>IF(AND(ISNUMBER('자료_한국심리'!$G2457),ISNUMBER('자료_한국심리'!$H2457)),'자료_한국심리'!$G2457,"")</f>
        <v/>
      </c>
      <c r="X2473">
        <f>IF(AND(ISNUMBER('자료_한국심리'!$J2457),ISNUMBER('자료_한국심리'!$K2457)),'자료_한국심리'!$J2457,"")</f>
        <v/>
      </c>
      <c r="Y2473">
        <f>IF(AND(ISNUMBER('자료_한국심리'!$M2457),ISNUMBER('자료_한국심리'!$N2457)),'자료_한국심리'!$M2457,"")</f>
        <v/>
      </c>
    </row>
    <row r="2474">
      <c r="U2474">
        <f>IF(AND(ISNUMBER('자료_한국심리'!$A2458),ISNUMBER('자료_한국심리'!$B2458)),'자료_한국심리'!$A2458,"")</f>
        <v/>
      </c>
      <c r="V2474">
        <f>IF(AND(ISNUMBER('자료_한국심리'!$D2458),ISNUMBER('자료_한국심리'!$E2458)),'자료_한국심리'!$D2458,"")</f>
        <v/>
      </c>
      <c r="W2474">
        <f>IF(AND(ISNUMBER('자료_한국심리'!$G2458),ISNUMBER('자료_한국심리'!$H2458)),'자료_한국심리'!$G2458,"")</f>
        <v/>
      </c>
      <c r="X2474">
        <f>IF(AND(ISNUMBER('자료_한국심리'!$J2458),ISNUMBER('자료_한국심리'!$K2458)),'자료_한국심리'!$J2458,"")</f>
        <v/>
      </c>
      <c r="Y2474">
        <f>IF(AND(ISNUMBER('자료_한국심리'!$M2458),ISNUMBER('자료_한국심리'!$N2458)),'자료_한국심리'!$M2458,"")</f>
        <v/>
      </c>
    </row>
    <row r="2475">
      <c r="U2475">
        <f>IF(AND(ISNUMBER('자료_한국심리'!$A2459),ISNUMBER('자료_한국심리'!$B2459)),'자료_한국심리'!$A2459,"")</f>
        <v/>
      </c>
      <c r="V2475">
        <f>IF(AND(ISNUMBER('자료_한국심리'!$D2459),ISNUMBER('자료_한국심리'!$E2459)),'자료_한국심리'!$D2459,"")</f>
        <v/>
      </c>
      <c r="W2475">
        <f>IF(AND(ISNUMBER('자료_한국심리'!$G2459),ISNUMBER('자료_한국심리'!$H2459)),'자료_한국심리'!$G2459,"")</f>
        <v/>
      </c>
      <c r="X2475">
        <f>IF(AND(ISNUMBER('자료_한국심리'!$J2459),ISNUMBER('자료_한국심리'!$K2459)),'자료_한국심리'!$J2459,"")</f>
        <v/>
      </c>
      <c r="Y2475">
        <f>IF(AND(ISNUMBER('자료_한국심리'!$M2459),ISNUMBER('자료_한국심리'!$N2459)),'자료_한국심리'!$M2459,"")</f>
        <v/>
      </c>
    </row>
    <row r="2476">
      <c r="U2476">
        <f>IF(AND(ISNUMBER('자료_한국심리'!$A2460),ISNUMBER('자료_한국심리'!$B2460)),'자료_한국심리'!$A2460,"")</f>
        <v/>
      </c>
      <c r="V2476">
        <f>IF(AND(ISNUMBER('자료_한국심리'!$D2460),ISNUMBER('자료_한국심리'!$E2460)),'자료_한국심리'!$D2460,"")</f>
        <v/>
      </c>
      <c r="W2476">
        <f>IF(AND(ISNUMBER('자료_한국심리'!$G2460),ISNUMBER('자료_한국심리'!$H2460)),'자료_한국심리'!$G2460,"")</f>
        <v/>
      </c>
      <c r="X2476">
        <f>IF(AND(ISNUMBER('자료_한국심리'!$J2460),ISNUMBER('자료_한국심리'!$K2460)),'자료_한국심리'!$J2460,"")</f>
        <v/>
      </c>
      <c r="Y2476">
        <f>IF(AND(ISNUMBER('자료_한국심리'!$M2460),ISNUMBER('자료_한국심리'!$N2460)),'자료_한국심리'!$M2460,"")</f>
        <v/>
      </c>
    </row>
    <row r="2477">
      <c r="U2477">
        <f>IF(AND(ISNUMBER('자료_한국심리'!$A2461),ISNUMBER('자료_한국심리'!$B2461)),'자료_한국심리'!$A2461,"")</f>
        <v/>
      </c>
      <c r="V2477">
        <f>IF(AND(ISNUMBER('자료_한국심리'!$D2461),ISNUMBER('자료_한국심리'!$E2461)),'자료_한국심리'!$D2461,"")</f>
        <v/>
      </c>
      <c r="W2477">
        <f>IF(AND(ISNUMBER('자료_한국심리'!$G2461),ISNUMBER('자료_한국심리'!$H2461)),'자료_한국심리'!$G2461,"")</f>
        <v/>
      </c>
      <c r="X2477">
        <f>IF(AND(ISNUMBER('자료_한국심리'!$J2461),ISNUMBER('자료_한국심리'!$K2461)),'자료_한국심리'!$J2461,"")</f>
        <v/>
      </c>
      <c r="Y2477">
        <f>IF(AND(ISNUMBER('자료_한국심리'!$M2461),ISNUMBER('자료_한국심리'!$N2461)),'자료_한국심리'!$M2461,"")</f>
        <v/>
      </c>
    </row>
    <row r="2478">
      <c r="U2478">
        <f>IF(AND(ISNUMBER('자료_한국심리'!$A2462),ISNUMBER('자료_한국심리'!$B2462)),'자료_한국심리'!$A2462,"")</f>
        <v/>
      </c>
      <c r="V2478">
        <f>IF(AND(ISNUMBER('자료_한국심리'!$D2462),ISNUMBER('자료_한국심리'!$E2462)),'자료_한국심리'!$D2462,"")</f>
        <v/>
      </c>
      <c r="W2478">
        <f>IF(AND(ISNUMBER('자료_한국심리'!$G2462),ISNUMBER('자료_한국심리'!$H2462)),'자료_한국심리'!$G2462,"")</f>
        <v/>
      </c>
      <c r="X2478">
        <f>IF(AND(ISNUMBER('자료_한국심리'!$J2462),ISNUMBER('자료_한국심리'!$K2462)),'자료_한국심리'!$J2462,"")</f>
        <v/>
      </c>
      <c r="Y2478">
        <f>IF(AND(ISNUMBER('자료_한국심리'!$M2462),ISNUMBER('자료_한국심리'!$N2462)),'자료_한국심리'!$M2462,"")</f>
        <v/>
      </c>
    </row>
    <row r="2479">
      <c r="U2479">
        <f>IF(AND(ISNUMBER('자료_한국심리'!$A2463),ISNUMBER('자료_한국심리'!$B2463)),'자료_한국심리'!$A2463,"")</f>
        <v/>
      </c>
      <c r="V2479">
        <f>IF(AND(ISNUMBER('자료_한국심리'!$D2463),ISNUMBER('자료_한국심리'!$E2463)),'자료_한국심리'!$D2463,"")</f>
        <v/>
      </c>
      <c r="W2479">
        <f>IF(AND(ISNUMBER('자료_한국심리'!$G2463),ISNUMBER('자료_한국심리'!$H2463)),'자료_한국심리'!$G2463,"")</f>
        <v/>
      </c>
      <c r="X2479">
        <f>IF(AND(ISNUMBER('자료_한국심리'!$J2463),ISNUMBER('자료_한국심리'!$K2463)),'자료_한국심리'!$J2463,"")</f>
        <v/>
      </c>
      <c r="Y2479">
        <f>IF(AND(ISNUMBER('자료_한국심리'!$M2463),ISNUMBER('자료_한국심리'!$N2463)),'자료_한국심리'!$M2463,"")</f>
        <v/>
      </c>
    </row>
    <row r="2480">
      <c r="U2480">
        <f>IF(AND(ISNUMBER('자료_한국심리'!$A2464),ISNUMBER('자료_한국심리'!$B2464)),'자료_한국심리'!$A2464,"")</f>
        <v/>
      </c>
      <c r="V2480">
        <f>IF(AND(ISNUMBER('자료_한국심리'!$D2464),ISNUMBER('자료_한국심리'!$E2464)),'자료_한국심리'!$D2464,"")</f>
        <v/>
      </c>
      <c r="W2480">
        <f>IF(AND(ISNUMBER('자료_한국심리'!$G2464),ISNUMBER('자료_한국심리'!$H2464)),'자료_한국심리'!$G2464,"")</f>
        <v/>
      </c>
      <c r="X2480">
        <f>IF(AND(ISNUMBER('자료_한국심리'!$J2464),ISNUMBER('자료_한국심리'!$K2464)),'자료_한국심리'!$J2464,"")</f>
        <v/>
      </c>
      <c r="Y2480">
        <f>IF(AND(ISNUMBER('자료_한국심리'!$M2464),ISNUMBER('자료_한국심리'!$N2464)),'자료_한국심리'!$M2464,"")</f>
        <v/>
      </c>
    </row>
    <row r="2481">
      <c r="U2481">
        <f>IF(AND(ISNUMBER('자료_한국심리'!$A2465),ISNUMBER('자료_한국심리'!$B2465)),'자료_한국심리'!$A2465,"")</f>
        <v/>
      </c>
      <c r="V2481">
        <f>IF(AND(ISNUMBER('자료_한국심리'!$D2465),ISNUMBER('자료_한국심리'!$E2465)),'자료_한국심리'!$D2465,"")</f>
        <v/>
      </c>
      <c r="W2481">
        <f>IF(AND(ISNUMBER('자료_한국심리'!$G2465),ISNUMBER('자료_한국심리'!$H2465)),'자료_한국심리'!$G2465,"")</f>
        <v/>
      </c>
      <c r="X2481">
        <f>IF(AND(ISNUMBER('자료_한국심리'!$J2465),ISNUMBER('자료_한국심리'!$K2465)),'자료_한국심리'!$J2465,"")</f>
        <v/>
      </c>
      <c r="Y2481">
        <f>IF(AND(ISNUMBER('자료_한국심리'!$M2465),ISNUMBER('자료_한국심리'!$N2465)),'자료_한국심리'!$M2465,"")</f>
        <v/>
      </c>
    </row>
    <row r="2482">
      <c r="U2482">
        <f>IF(AND(ISNUMBER('자료_한국심리'!$A2466),ISNUMBER('자료_한국심리'!$B2466)),'자료_한국심리'!$A2466,"")</f>
        <v/>
      </c>
      <c r="V2482">
        <f>IF(AND(ISNUMBER('자료_한국심리'!$D2466),ISNUMBER('자료_한국심리'!$E2466)),'자료_한국심리'!$D2466,"")</f>
        <v/>
      </c>
      <c r="W2482">
        <f>IF(AND(ISNUMBER('자료_한국심리'!$G2466),ISNUMBER('자료_한국심리'!$H2466)),'자료_한국심리'!$G2466,"")</f>
        <v/>
      </c>
      <c r="X2482">
        <f>IF(AND(ISNUMBER('자료_한국심리'!$J2466),ISNUMBER('자료_한국심리'!$K2466)),'자료_한국심리'!$J2466,"")</f>
        <v/>
      </c>
      <c r="Y2482">
        <f>IF(AND(ISNUMBER('자료_한국심리'!$M2466),ISNUMBER('자료_한국심리'!$N2466)),'자료_한국심리'!$M2466,"")</f>
        <v/>
      </c>
    </row>
    <row r="2483">
      <c r="U2483">
        <f>IF(AND(ISNUMBER('자료_한국심리'!$A2467),ISNUMBER('자료_한국심리'!$B2467)),'자료_한국심리'!$A2467,"")</f>
        <v/>
      </c>
      <c r="V2483">
        <f>IF(AND(ISNUMBER('자료_한국심리'!$D2467),ISNUMBER('자료_한국심리'!$E2467)),'자료_한국심리'!$D2467,"")</f>
        <v/>
      </c>
      <c r="W2483">
        <f>IF(AND(ISNUMBER('자료_한국심리'!$G2467),ISNUMBER('자료_한국심리'!$H2467)),'자료_한국심리'!$G2467,"")</f>
        <v/>
      </c>
      <c r="X2483">
        <f>IF(AND(ISNUMBER('자료_한국심리'!$J2467),ISNUMBER('자료_한국심리'!$K2467)),'자료_한국심리'!$J2467,"")</f>
        <v/>
      </c>
      <c r="Y2483">
        <f>IF(AND(ISNUMBER('자료_한국심리'!$M2467),ISNUMBER('자료_한국심리'!$N2467)),'자료_한국심리'!$M2467,"")</f>
        <v/>
      </c>
    </row>
    <row r="2484">
      <c r="U2484">
        <f>IF(AND(ISNUMBER('자료_한국심리'!$A2468),ISNUMBER('자료_한국심리'!$B2468)),'자료_한국심리'!$A2468,"")</f>
        <v/>
      </c>
      <c r="V2484">
        <f>IF(AND(ISNUMBER('자료_한국심리'!$D2468),ISNUMBER('자료_한국심리'!$E2468)),'자료_한국심리'!$D2468,"")</f>
        <v/>
      </c>
      <c r="W2484">
        <f>IF(AND(ISNUMBER('자료_한국심리'!$G2468),ISNUMBER('자료_한국심리'!$H2468)),'자료_한국심리'!$G2468,"")</f>
        <v/>
      </c>
      <c r="X2484">
        <f>IF(AND(ISNUMBER('자료_한국심리'!$J2468),ISNUMBER('자료_한국심리'!$K2468)),'자료_한국심리'!$J2468,"")</f>
        <v/>
      </c>
      <c r="Y2484">
        <f>IF(AND(ISNUMBER('자료_한국심리'!$M2468),ISNUMBER('자료_한국심리'!$N2468)),'자료_한국심리'!$M2468,"")</f>
        <v/>
      </c>
    </row>
    <row r="2485">
      <c r="U2485">
        <f>IF(AND(ISNUMBER('자료_한국심리'!$A2469),ISNUMBER('자료_한국심리'!$B2469)),'자료_한국심리'!$A2469,"")</f>
        <v/>
      </c>
      <c r="V2485">
        <f>IF(AND(ISNUMBER('자료_한국심리'!$D2469),ISNUMBER('자료_한국심리'!$E2469)),'자료_한국심리'!$D2469,"")</f>
        <v/>
      </c>
      <c r="W2485">
        <f>IF(AND(ISNUMBER('자료_한국심리'!$G2469),ISNUMBER('자료_한국심리'!$H2469)),'자료_한국심리'!$G2469,"")</f>
        <v/>
      </c>
      <c r="X2485">
        <f>IF(AND(ISNUMBER('자료_한국심리'!$J2469),ISNUMBER('자료_한국심리'!$K2469)),'자료_한국심리'!$J2469,"")</f>
        <v/>
      </c>
      <c r="Y2485">
        <f>IF(AND(ISNUMBER('자료_한국심리'!$M2469),ISNUMBER('자료_한국심리'!$N2469)),'자료_한국심리'!$M2469,"")</f>
        <v/>
      </c>
    </row>
    <row r="2486">
      <c r="U2486">
        <f>IF(AND(ISNUMBER('자료_한국심리'!$A2470),ISNUMBER('자료_한국심리'!$B2470)),'자료_한국심리'!$A2470,"")</f>
        <v/>
      </c>
      <c r="V2486">
        <f>IF(AND(ISNUMBER('자료_한국심리'!$D2470),ISNUMBER('자료_한국심리'!$E2470)),'자료_한국심리'!$D2470,"")</f>
        <v/>
      </c>
      <c r="W2486">
        <f>IF(AND(ISNUMBER('자료_한국심리'!$G2470),ISNUMBER('자료_한국심리'!$H2470)),'자료_한국심리'!$G2470,"")</f>
        <v/>
      </c>
      <c r="X2486">
        <f>IF(AND(ISNUMBER('자료_한국심리'!$J2470),ISNUMBER('자료_한국심리'!$K2470)),'자료_한국심리'!$J2470,"")</f>
        <v/>
      </c>
      <c r="Y2486">
        <f>IF(AND(ISNUMBER('자료_한국심리'!$M2470),ISNUMBER('자료_한국심리'!$N2470)),'자료_한국심리'!$M2470,"")</f>
        <v/>
      </c>
    </row>
    <row r="2487">
      <c r="U2487">
        <f>IF(AND(ISNUMBER('자료_한국심리'!$A2471),ISNUMBER('자료_한국심리'!$B2471)),'자료_한국심리'!$A2471,"")</f>
        <v/>
      </c>
      <c r="V2487">
        <f>IF(AND(ISNUMBER('자료_한국심리'!$D2471),ISNUMBER('자료_한국심리'!$E2471)),'자료_한국심리'!$D2471,"")</f>
        <v/>
      </c>
      <c r="W2487">
        <f>IF(AND(ISNUMBER('자료_한국심리'!$G2471),ISNUMBER('자료_한국심리'!$H2471)),'자료_한국심리'!$G2471,"")</f>
        <v/>
      </c>
      <c r="X2487">
        <f>IF(AND(ISNUMBER('자료_한국심리'!$J2471),ISNUMBER('자료_한국심리'!$K2471)),'자료_한국심리'!$J2471,"")</f>
        <v/>
      </c>
      <c r="Y2487">
        <f>IF(AND(ISNUMBER('자료_한국심리'!$M2471),ISNUMBER('자료_한국심리'!$N2471)),'자료_한국심리'!$M2471,"")</f>
        <v/>
      </c>
    </row>
    <row r="2488">
      <c r="U2488">
        <f>IF(AND(ISNUMBER('자료_한국심리'!$A2472),ISNUMBER('자료_한국심리'!$B2472)),'자료_한국심리'!$A2472,"")</f>
        <v/>
      </c>
      <c r="V2488">
        <f>IF(AND(ISNUMBER('자료_한국심리'!$D2472),ISNUMBER('자료_한국심리'!$E2472)),'자료_한국심리'!$D2472,"")</f>
        <v/>
      </c>
      <c r="W2488">
        <f>IF(AND(ISNUMBER('자료_한국심리'!$G2472),ISNUMBER('자료_한국심리'!$H2472)),'자료_한국심리'!$G2472,"")</f>
        <v/>
      </c>
      <c r="X2488">
        <f>IF(AND(ISNUMBER('자료_한국심리'!$J2472),ISNUMBER('자료_한국심리'!$K2472)),'자료_한국심리'!$J2472,"")</f>
        <v/>
      </c>
      <c r="Y2488">
        <f>IF(AND(ISNUMBER('자료_한국심리'!$M2472),ISNUMBER('자료_한국심리'!$N2472)),'자료_한국심리'!$M2472,"")</f>
        <v/>
      </c>
    </row>
    <row r="2489">
      <c r="U2489">
        <f>IF(AND(ISNUMBER('자료_한국심리'!$A2473),ISNUMBER('자료_한국심리'!$B2473)),'자료_한국심리'!$A2473,"")</f>
        <v/>
      </c>
      <c r="V2489">
        <f>IF(AND(ISNUMBER('자료_한국심리'!$D2473),ISNUMBER('자료_한국심리'!$E2473)),'자료_한국심리'!$D2473,"")</f>
        <v/>
      </c>
      <c r="W2489">
        <f>IF(AND(ISNUMBER('자료_한국심리'!$G2473),ISNUMBER('자료_한국심리'!$H2473)),'자료_한국심리'!$G2473,"")</f>
        <v/>
      </c>
      <c r="X2489">
        <f>IF(AND(ISNUMBER('자료_한국심리'!$J2473),ISNUMBER('자료_한국심리'!$K2473)),'자료_한국심리'!$J2473,"")</f>
        <v/>
      </c>
      <c r="Y2489">
        <f>IF(AND(ISNUMBER('자료_한국심리'!$M2473),ISNUMBER('자료_한국심리'!$N2473)),'자료_한국심리'!$M2473,"")</f>
        <v/>
      </c>
    </row>
    <row r="2490">
      <c r="U2490">
        <f>IF(AND(ISNUMBER('자료_한국심리'!$A2474),ISNUMBER('자료_한국심리'!$B2474)),'자료_한국심리'!$A2474,"")</f>
        <v/>
      </c>
      <c r="V2490">
        <f>IF(AND(ISNUMBER('자료_한국심리'!$D2474),ISNUMBER('자료_한국심리'!$E2474)),'자료_한국심리'!$D2474,"")</f>
        <v/>
      </c>
      <c r="W2490">
        <f>IF(AND(ISNUMBER('자료_한국심리'!$G2474),ISNUMBER('자료_한국심리'!$H2474)),'자료_한국심리'!$G2474,"")</f>
        <v/>
      </c>
      <c r="X2490">
        <f>IF(AND(ISNUMBER('자료_한국심리'!$J2474),ISNUMBER('자료_한국심리'!$K2474)),'자료_한국심리'!$J2474,"")</f>
        <v/>
      </c>
      <c r="Y2490">
        <f>IF(AND(ISNUMBER('자료_한국심리'!$M2474),ISNUMBER('자료_한국심리'!$N2474)),'자료_한국심리'!$M2474,"")</f>
        <v/>
      </c>
    </row>
    <row r="2491">
      <c r="U2491">
        <f>IF(AND(ISNUMBER('자료_한국심리'!$A2475),ISNUMBER('자료_한국심리'!$B2475)),'자료_한국심리'!$A2475,"")</f>
        <v/>
      </c>
      <c r="V2491">
        <f>IF(AND(ISNUMBER('자료_한국심리'!$D2475),ISNUMBER('자료_한국심리'!$E2475)),'자료_한국심리'!$D2475,"")</f>
        <v/>
      </c>
      <c r="W2491">
        <f>IF(AND(ISNUMBER('자료_한국심리'!$G2475),ISNUMBER('자료_한국심리'!$H2475)),'자료_한국심리'!$G2475,"")</f>
        <v/>
      </c>
      <c r="X2491">
        <f>IF(AND(ISNUMBER('자료_한국심리'!$J2475),ISNUMBER('자료_한국심리'!$K2475)),'자료_한국심리'!$J2475,"")</f>
        <v/>
      </c>
      <c r="Y2491">
        <f>IF(AND(ISNUMBER('자료_한국심리'!$M2475),ISNUMBER('자료_한국심리'!$N2475)),'자료_한국심리'!$M2475,"")</f>
        <v/>
      </c>
    </row>
    <row r="2492">
      <c r="U2492">
        <f>IF(AND(ISNUMBER('자료_한국심리'!$A2476),ISNUMBER('자료_한국심리'!$B2476)),'자료_한국심리'!$A2476,"")</f>
        <v/>
      </c>
      <c r="V2492">
        <f>IF(AND(ISNUMBER('자료_한국심리'!$D2476),ISNUMBER('자료_한국심리'!$E2476)),'자료_한국심리'!$D2476,"")</f>
        <v/>
      </c>
      <c r="W2492">
        <f>IF(AND(ISNUMBER('자료_한국심리'!$G2476),ISNUMBER('자료_한국심리'!$H2476)),'자료_한국심리'!$G2476,"")</f>
        <v/>
      </c>
      <c r="X2492">
        <f>IF(AND(ISNUMBER('자료_한국심리'!$J2476),ISNUMBER('자료_한국심리'!$K2476)),'자료_한국심리'!$J2476,"")</f>
        <v/>
      </c>
      <c r="Y2492">
        <f>IF(AND(ISNUMBER('자료_한국심리'!$M2476),ISNUMBER('자료_한국심리'!$N2476)),'자료_한국심리'!$M2476,"")</f>
        <v/>
      </c>
    </row>
    <row r="2493">
      <c r="U2493">
        <f>IF(AND(ISNUMBER('자료_한국심리'!$A2477),ISNUMBER('자료_한국심리'!$B2477)),'자료_한국심리'!$A2477,"")</f>
        <v/>
      </c>
      <c r="V2493">
        <f>IF(AND(ISNUMBER('자료_한국심리'!$D2477),ISNUMBER('자료_한국심리'!$E2477)),'자료_한국심리'!$D2477,"")</f>
        <v/>
      </c>
      <c r="W2493">
        <f>IF(AND(ISNUMBER('자료_한국심리'!$G2477),ISNUMBER('자료_한국심리'!$H2477)),'자료_한국심리'!$G2477,"")</f>
        <v/>
      </c>
      <c r="X2493">
        <f>IF(AND(ISNUMBER('자료_한국심리'!$J2477),ISNUMBER('자료_한국심리'!$K2477)),'자료_한국심리'!$J2477,"")</f>
        <v/>
      </c>
      <c r="Y2493">
        <f>IF(AND(ISNUMBER('자료_한국심리'!$M2477),ISNUMBER('자료_한국심리'!$N2477)),'자료_한국심리'!$M2477,"")</f>
        <v/>
      </c>
    </row>
    <row r="2494">
      <c r="U2494">
        <f>IF(AND(ISNUMBER('자료_한국심리'!$A2478),ISNUMBER('자료_한국심리'!$B2478)),'자료_한국심리'!$A2478,"")</f>
        <v/>
      </c>
      <c r="V2494">
        <f>IF(AND(ISNUMBER('자료_한국심리'!$D2478),ISNUMBER('자료_한국심리'!$E2478)),'자료_한국심리'!$D2478,"")</f>
        <v/>
      </c>
      <c r="W2494">
        <f>IF(AND(ISNUMBER('자료_한국심리'!$G2478),ISNUMBER('자료_한국심리'!$H2478)),'자료_한국심리'!$G2478,"")</f>
        <v/>
      </c>
      <c r="X2494">
        <f>IF(AND(ISNUMBER('자료_한국심리'!$J2478),ISNUMBER('자료_한국심리'!$K2478)),'자료_한국심리'!$J2478,"")</f>
        <v/>
      </c>
      <c r="Y2494">
        <f>IF(AND(ISNUMBER('자료_한국심리'!$M2478),ISNUMBER('자료_한국심리'!$N2478)),'자료_한국심리'!$M2478,"")</f>
        <v/>
      </c>
    </row>
    <row r="2495">
      <c r="U2495">
        <f>IF(AND(ISNUMBER('자료_한국심리'!$A2479),ISNUMBER('자료_한국심리'!$B2479)),'자료_한국심리'!$A2479,"")</f>
        <v/>
      </c>
      <c r="V2495">
        <f>IF(AND(ISNUMBER('자료_한국심리'!$D2479),ISNUMBER('자료_한국심리'!$E2479)),'자료_한국심리'!$D2479,"")</f>
        <v/>
      </c>
      <c r="W2495">
        <f>IF(AND(ISNUMBER('자료_한국심리'!$G2479),ISNUMBER('자료_한국심리'!$H2479)),'자료_한국심리'!$G2479,"")</f>
        <v/>
      </c>
      <c r="X2495">
        <f>IF(AND(ISNUMBER('자료_한국심리'!$J2479),ISNUMBER('자료_한국심리'!$K2479)),'자료_한국심리'!$J2479,"")</f>
        <v/>
      </c>
      <c r="Y2495">
        <f>IF(AND(ISNUMBER('자료_한국심리'!$M2479),ISNUMBER('자료_한국심리'!$N2479)),'자료_한국심리'!$M2479,"")</f>
        <v/>
      </c>
    </row>
    <row r="2496">
      <c r="U2496">
        <f>IF(AND(ISNUMBER('자료_한국심리'!$A2480),ISNUMBER('자료_한국심리'!$B2480)),'자료_한국심리'!$A2480,"")</f>
        <v/>
      </c>
      <c r="V2496">
        <f>IF(AND(ISNUMBER('자료_한국심리'!$D2480),ISNUMBER('자료_한국심리'!$E2480)),'자료_한국심리'!$D2480,"")</f>
        <v/>
      </c>
      <c r="W2496">
        <f>IF(AND(ISNUMBER('자료_한국심리'!$G2480),ISNUMBER('자료_한국심리'!$H2480)),'자료_한국심리'!$G2480,"")</f>
        <v/>
      </c>
      <c r="X2496">
        <f>IF(AND(ISNUMBER('자료_한국심리'!$J2480),ISNUMBER('자료_한국심리'!$K2480)),'자료_한국심리'!$J2480,"")</f>
        <v/>
      </c>
      <c r="Y2496">
        <f>IF(AND(ISNUMBER('자료_한국심리'!$M2480),ISNUMBER('자료_한국심리'!$N2480)),'자료_한국심리'!$M2480,"")</f>
        <v/>
      </c>
    </row>
    <row r="2497">
      <c r="U2497">
        <f>IF(AND(ISNUMBER('자료_한국심리'!$A2481),ISNUMBER('자료_한국심리'!$B2481)),'자료_한국심리'!$A2481,"")</f>
        <v/>
      </c>
      <c r="V2497">
        <f>IF(AND(ISNUMBER('자료_한국심리'!$D2481),ISNUMBER('자료_한국심리'!$E2481)),'자료_한국심리'!$D2481,"")</f>
        <v/>
      </c>
      <c r="W2497">
        <f>IF(AND(ISNUMBER('자료_한국심리'!$G2481),ISNUMBER('자료_한국심리'!$H2481)),'자료_한국심리'!$G2481,"")</f>
        <v/>
      </c>
      <c r="X2497">
        <f>IF(AND(ISNUMBER('자료_한국심리'!$J2481),ISNUMBER('자료_한국심리'!$K2481)),'자료_한국심리'!$J2481,"")</f>
        <v/>
      </c>
      <c r="Y2497">
        <f>IF(AND(ISNUMBER('자료_한국심리'!$M2481),ISNUMBER('자료_한국심리'!$N2481)),'자료_한국심리'!$M2481,"")</f>
        <v/>
      </c>
    </row>
    <row r="2498">
      <c r="U2498">
        <f>IF(AND(ISNUMBER('자료_한국심리'!$A2482),ISNUMBER('자료_한국심리'!$B2482)),'자료_한국심리'!$A2482,"")</f>
        <v/>
      </c>
      <c r="V2498">
        <f>IF(AND(ISNUMBER('자료_한국심리'!$D2482),ISNUMBER('자료_한국심리'!$E2482)),'자료_한국심리'!$D2482,"")</f>
        <v/>
      </c>
      <c r="W2498">
        <f>IF(AND(ISNUMBER('자료_한국심리'!$G2482),ISNUMBER('자료_한국심리'!$H2482)),'자료_한국심리'!$G2482,"")</f>
        <v/>
      </c>
      <c r="X2498">
        <f>IF(AND(ISNUMBER('자료_한국심리'!$J2482),ISNUMBER('자료_한국심리'!$K2482)),'자료_한국심리'!$J2482,"")</f>
        <v/>
      </c>
      <c r="Y2498">
        <f>IF(AND(ISNUMBER('자료_한국심리'!$M2482),ISNUMBER('자료_한국심리'!$N2482)),'자료_한국심리'!$M2482,"")</f>
        <v/>
      </c>
    </row>
    <row r="2499">
      <c r="U2499">
        <f>IF(AND(ISNUMBER('자료_한국심리'!$A2483),ISNUMBER('자료_한국심리'!$B2483)),'자료_한국심리'!$A2483,"")</f>
        <v/>
      </c>
      <c r="V2499">
        <f>IF(AND(ISNUMBER('자료_한국심리'!$D2483),ISNUMBER('자료_한국심리'!$E2483)),'자료_한국심리'!$D2483,"")</f>
        <v/>
      </c>
      <c r="W2499">
        <f>IF(AND(ISNUMBER('자료_한국심리'!$G2483),ISNUMBER('자료_한국심리'!$H2483)),'자료_한국심리'!$G2483,"")</f>
        <v/>
      </c>
      <c r="X2499">
        <f>IF(AND(ISNUMBER('자료_한국심리'!$J2483),ISNUMBER('자료_한국심리'!$K2483)),'자료_한국심리'!$J2483,"")</f>
        <v/>
      </c>
      <c r="Y2499">
        <f>IF(AND(ISNUMBER('자료_한국심리'!$M2483),ISNUMBER('자료_한국심리'!$N2483)),'자료_한국심리'!$M2483,"")</f>
        <v/>
      </c>
    </row>
    <row r="2500">
      <c r="U2500">
        <f>IF(AND(ISNUMBER('자료_한국심리'!$A2484),ISNUMBER('자료_한국심리'!$B2484)),'자료_한국심리'!$A2484,"")</f>
        <v/>
      </c>
      <c r="V2500">
        <f>IF(AND(ISNUMBER('자료_한국심리'!$D2484),ISNUMBER('자료_한국심리'!$E2484)),'자료_한국심리'!$D2484,"")</f>
        <v/>
      </c>
      <c r="W2500">
        <f>IF(AND(ISNUMBER('자료_한국심리'!$G2484),ISNUMBER('자료_한국심리'!$H2484)),'자료_한국심리'!$G2484,"")</f>
        <v/>
      </c>
      <c r="X2500">
        <f>IF(AND(ISNUMBER('자료_한국심리'!$J2484),ISNUMBER('자료_한국심리'!$K2484)),'자료_한국심리'!$J2484,"")</f>
        <v/>
      </c>
      <c r="Y2500">
        <f>IF(AND(ISNUMBER('자료_한국심리'!$M2484),ISNUMBER('자료_한국심리'!$N2484)),'자료_한국심리'!$M2484,"")</f>
        <v/>
      </c>
    </row>
    <row r="2501">
      <c r="U2501">
        <f>IF(AND(ISNUMBER('자료_한국심리'!$A2485),ISNUMBER('자료_한국심리'!$B2485)),'자료_한국심리'!$A2485,"")</f>
        <v/>
      </c>
      <c r="V2501">
        <f>IF(AND(ISNUMBER('자료_한국심리'!$D2485),ISNUMBER('자료_한국심리'!$E2485)),'자료_한국심리'!$D2485,"")</f>
        <v/>
      </c>
      <c r="W2501">
        <f>IF(AND(ISNUMBER('자료_한국심리'!$G2485),ISNUMBER('자료_한국심리'!$H2485)),'자료_한국심리'!$G2485,"")</f>
        <v/>
      </c>
      <c r="X2501">
        <f>IF(AND(ISNUMBER('자료_한국심리'!$J2485),ISNUMBER('자료_한국심리'!$K2485)),'자료_한국심리'!$J2485,"")</f>
        <v/>
      </c>
      <c r="Y2501">
        <f>IF(AND(ISNUMBER('자료_한국심리'!$M2485),ISNUMBER('자료_한국심리'!$N2485)),'자료_한국심리'!$M2485,"")</f>
        <v/>
      </c>
    </row>
    <row r="2502">
      <c r="U2502">
        <f>IF(AND(ISNUMBER('자료_한국심리'!$A2486),ISNUMBER('자료_한국심리'!$B2486)),'자료_한국심리'!$A2486,"")</f>
        <v/>
      </c>
      <c r="V2502">
        <f>IF(AND(ISNUMBER('자료_한국심리'!$D2486),ISNUMBER('자료_한국심리'!$E2486)),'자료_한국심리'!$D2486,"")</f>
        <v/>
      </c>
      <c r="W2502">
        <f>IF(AND(ISNUMBER('자료_한국심리'!$G2486),ISNUMBER('자료_한국심리'!$H2486)),'자료_한국심리'!$G2486,"")</f>
        <v/>
      </c>
      <c r="X2502">
        <f>IF(AND(ISNUMBER('자료_한국심리'!$J2486),ISNUMBER('자료_한국심리'!$K2486)),'자료_한국심리'!$J2486,"")</f>
        <v/>
      </c>
      <c r="Y2502">
        <f>IF(AND(ISNUMBER('자료_한국심리'!$M2486),ISNUMBER('자료_한국심리'!$N2486)),'자료_한국심리'!$M2486,"")</f>
        <v/>
      </c>
    </row>
    <row r="2503">
      <c r="U2503">
        <f>IF(AND(ISNUMBER('자료_한국심리'!$A2487),ISNUMBER('자료_한국심리'!$B2487)),'자료_한국심리'!$A2487,"")</f>
        <v/>
      </c>
      <c r="V2503">
        <f>IF(AND(ISNUMBER('자료_한국심리'!$D2487),ISNUMBER('자료_한국심리'!$E2487)),'자료_한국심리'!$D2487,"")</f>
        <v/>
      </c>
      <c r="W2503">
        <f>IF(AND(ISNUMBER('자료_한국심리'!$G2487),ISNUMBER('자료_한국심리'!$H2487)),'자료_한국심리'!$G2487,"")</f>
        <v/>
      </c>
      <c r="X2503">
        <f>IF(AND(ISNUMBER('자료_한국심리'!$J2487),ISNUMBER('자료_한국심리'!$K2487)),'자료_한국심리'!$J2487,"")</f>
        <v/>
      </c>
      <c r="Y2503">
        <f>IF(AND(ISNUMBER('자료_한국심리'!$M2487),ISNUMBER('자료_한국심리'!$N2487)),'자료_한국심리'!$M2487,"")</f>
        <v/>
      </c>
    </row>
    <row r="2504">
      <c r="U2504">
        <f>IF(AND(ISNUMBER('자료_한국심리'!$A2488),ISNUMBER('자료_한국심리'!$B2488)),'자료_한국심리'!$A2488,"")</f>
        <v/>
      </c>
      <c r="V2504">
        <f>IF(AND(ISNUMBER('자료_한국심리'!$D2488),ISNUMBER('자료_한국심리'!$E2488)),'자료_한국심리'!$D2488,"")</f>
        <v/>
      </c>
      <c r="W2504">
        <f>IF(AND(ISNUMBER('자료_한국심리'!$G2488),ISNUMBER('자료_한국심리'!$H2488)),'자료_한국심리'!$G2488,"")</f>
        <v/>
      </c>
      <c r="X2504">
        <f>IF(AND(ISNUMBER('자료_한국심리'!$J2488),ISNUMBER('자료_한국심리'!$K2488)),'자료_한국심리'!$J2488,"")</f>
        <v/>
      </c>
      <c r="Y2504">
        <f>IF(AND(ISNUMBER('자료_한국심리'!$M2488),ISNUMBER('자료_한국심리'!$N2488)),'자료_한국심리'!$M2488,"")</f>
        <v/>
      </c>
    </row>
    <row r="2505">
      <c r="U2505">
        <f>IF(AND(ISNUMBER('자료_한국심리'!$A2489),ISNUMBER('자료_한국심리'!$B2489)),'자료_한국심리'!$A2489,"")</f>
        <v/>
      </c>
      <c r="V2505">
        <f>IF(AND(ISNUMBER('자료_한국심리'!$D2489),ISNUMBER('자료_한국심리'!$E2489)),'자료_한국심리'!$D2489,"")</f>
        <v/>
      </c>
      <c r="W2505">
        <f>IF(AND(ISNUMBER('자료_한국심리'!$G2489),ISNUMBER('자료_한국심리'!$H2489)),'자료_한국심리'!$G2489,"")</f>
        <v/>
      </c>
      <c r="X2505">
        <f>IF(AND(ISNUMBER('자료_한국심리'!$J2489),ISNUMBER('자료_한국심리'!$K2489)),'자료_한국심리'!$J2489,"")</f>
        <v/>
      </c>
      <c r="Y2505">
        <f>IF(AND(ISNUMBER('자료_한국심리'!$M2489),ISNUMBER('자료_한국심리'!$N2489)),'자료_한국심리'!$M2489,"")</f>
        <v/>
      </c>
    </row>
    <row r="2506">
      <c r="U2506">
        <f>IF(AND(ISNUMBER('자료_한국심리'!$A2490),ISNUMBER('자료_한국심리'!$B2490)),'자료_한국심리'!$A2490,"")</f>
        <v/>
      </c>
      <c r="V2506">
        <f>IF(AND(ISNUMBER('자료_한국심리'!$D2490),ISNUMBER('자료_한국심리'!$E2490)),'자료_한국심리'!$D2490,"")</f>
        <v/>
      </c>
      <c r="W2506">
        <f>IF(AND(ISNUMBER('자료_한국심리'!$G2490),ISNUMBER('자료_한국심리'!$H2490)),'자료_한국심리'!$G2490,"")</f>
        <v/>
      </c>
      <c r="X2506">
        <f>IF(AND(ISNUMBER('자료_한국심리'!$J2490),ISNUMBER('자료_한국심리'!$K2490)),'자료_한국심리'!$J2490,"")</f>
        <v/>
      </c>
      <c r="Y2506">
        <f>IF(AND(ISNUMBER('자료_한국심리'!$M2490),ISNUMBER('자료_한국심리'!$N2490)),'자료_한국심리'!$M2490,"")</f>
        <v/>
      </c>
    </row>
    <row r="2507">
      <c r="U2507">
        <f>IF(AND(ISNUMBER('자료_한국심리'!$A2491),ISNUMBER('자료_한국심리'!$B2491)),'자료_한국심리'!$A2491,"")</f>
        <v/>
      </c>
      <c r="V2507">
        <f>IF(AND(ISNUMBER('자료_한국심리'!$D2491),ISNUMBER('자료_한국심리'!$E2491)),'자료_한국심리'!$D2491,"")</f>
        <v/>
      </c>
      <c r="W2507">
        <f>IF(AND(ISNUMBER('자료_한국심리'!$G2491),ISNUMBER('자료_한국심리'!$H2491)),'자료_한국심리'!$G2491,"")</f>
        <v/>
      </c>
      <c r="X2507">
        <f>IF(AND(ISNUMBER('자료_한국심리'!$J2491),ISNUMBER('자료_한국심리'!$K2491)),'자료_한국심리'!$J2491,"")</f>
        <v/>
      </c>
      <c r="Y2507">
        <f>IF(AND(ISNUMBER('자료_한국심리'!$M2491),ISNUMBER('자료_한국심리'!$N2491)),'자료_한국심리'!$M2491,"")</f>
        <v/>
      </c>
    </row>
    <row r="2508">
      <c r="U2508">
        <f>IF(AND(ISNUMBER('자료_한국심리'!$A2492),ISNUMBER('자료_한국심리'!$B2492)),'자료_한국심리'!$A2492,"")</f>
        <v/>
      </c>
      <c r="V2508">
        <f>IF(AND(ISNUMBER('자료_한국심리'!$D2492),ISNUMBER('자료_한국심리'!$E2492)),'자료_한국심리'!$D2492,"")</f>
        <v/>
      </c>
      <c r="W2508">
        <f>IF(AND(ISNUMBER('자료_한국심리'!$G2492),ISNUMBER('자료_한국심리'!$H2492)),'자료_한국심리'!$G2492,"")</f>
        <v/>
      </c>
      <c r="X2508">
        <f>IF(AND(ISNUMBER('자료_한국심리'!$J2492),ISNUMBER('자료_한국심리'!$K2492)),'자료_한국심리'!$J2492,"")</f>
        <v/>
      </c>
      <c r="Y2508">
        <f>IF(AND(ISNUMBER('자료_한국심리'!$M2492),ISNUMBER('자료_한국심리'!$N2492)),'자료_한국심리'!$M2492,"")</f>
        <v/>
      </c>
    </row>
    <row r="2509">
      <c r="U2509">
        <f>IF(AND(ISNUMBER('자료_한국심리'!$A2493),ISNUMBER('자료_한국심리'!$B2493)),'자료_한국심리'!$A2493,"")</f>
        <v/>
      </c>
      <c r="V2509">
        <f>IF(AND(ISNUMBER('자료_한국심리'!$D2493),ISNUMBER('자료_한국심리'!$E2493)),'자료_한국심리'!$D2493,"")</f>
        <v/>
      </c>
      <c r="W2509">
        <f>IF(AND(ISNUMBER('자료_한국심리'!$G2493),ISNUMBER('자료_한국심리'!$H2493)),'자료_한국심리'!$G2493,"")</f>
        <v/>
      </c>
      <c r="X2509">
        <f>IF(AND(ISNUMBER('자료_한국심리'!$J2493),ISNUMBER('자료_한국심리'!$K2493)),'자료_한국심리'!$J2493,"")</f>
        <v/>
      </c>
      <c r="Y2509">
        <f>IF(AND(ISNUMBER('자료_한국심리'!$M2493),ISNUMBER('자료_한국심리'!$N2493)),'자료_한국심리'!$M2493,"")</f>
        <v/>
      </c>
    </row>
    <row r="2510">
      <c r="U2510">
        <f>IF(AND(ISNUMBER('자료_한국심리'!$A2494),ISNUMBER('자료_한국심리'!$B2494)),'자료_한국심리'!$A2494,"")</f>
        <v/>
      </c>
      <c r="V2510">
        <f>IF(AND(ISNUMBER('자료_한국심리'!$D2494),ISNUMBER('자료_한국심리'!$E2494)),'자료_한국심리'!$D2494,"")</f>
        <v/>
      </c>
      <c r="W2510">
        <f>IF(AND(ISNUMBER('자료_한국심리'!$G2494),ISNUMBER('자료_한국심리'!$H2494)),'자료_한국심리'!$G2494,"")</f>
        <v/>
      </c>
      <c r="X2510">
        <f>IF(AND(ISNUMBER('자료_한국심리'!$J2494),ISNUMBER('자료_한국심리'!$K2494)),'자료_한국심리'!$J2494,"")</f>
        <v/>
      </c>
      <c r="Y2510">
        <f>IF(AND(ISNUMBER('자료_한국심리'!$M2494),ISNUMBER('자료_한국심리'!$N2494)),'자료_한국심리'!$M2494,"")</f>
        <v/>
      </c>
    </row>
    <row r="2511">
      <c r="U2511">
        <f>IF(AND(ISNUMBER('자료_한국심리'!$A2495),ISNUMBER('자료_한국심리'!$B2495)),'자료_한국심리'!$A2495,"")</f>
        <v/>
      </c>
      <c r="V2511">
        <f>IF(AND(ISNUMBER('자료_한국심리'!$D2495),ISNUMBER('자료_한국심리'!$E2495)),'자료_한국심리'!$D2495,"")</f>
        <v/>
      </c>
      <c r="W2511">
        <f>IF(AND(ISNUMBER('자료_한국심리'!$G2495),ISNUMBER('자료_한국심리'!$H2495)),'자료_한국심리'!$G2495,"")</f>
        <v/>
      </c>
      <c r="X2511">
        <f>IF(AND(ISNUMBER('자료_한국심리'!$J2495),ISNUMBER('자료_한국심리'!$K2495)),'자료_한국심리'!$J2495,"")</f>
        <v/>
      </c>
      <c r="Y2511">
        <f>IF(AND(ISNUMBER('자료_한국심리'!$M2495),ISNUMBER('자료_한국심리'!$N2495)),'자료_한국심리'!$M2495,"")</f>
        <v/>
      </c>
    </row>
    <row r="2512">
      <c r="U2512">
        <f>IF(AND(ISNUMBER('자료_한국심리'!$A2496),ISNUMBER('자료_한국심리'!$B2496)),'자료_한국심리'!$A2496,"")</f>
        <v/>
      </c>
      <c r="V2512">
        <f>IF(AND(ISNUMBER('자료_한국심리'!$D2496),ISNUMBER('자료_한국심리'!$E2496)),'자료_한국심리'!$D2496,"")</f>
        <v/>
      </c>
      <c r="W2512">
        <f>IF(AND(ISNUMBER('자료_한국심리'!$G2496),ISNUMBER('자료_한국심리'!$H2496)),'자료_한국심리'!$G2496,"")</f>
        <v/>
      </c>
      <c r="X2512">
        <f>IF(AND(ISNUMBER('자료_한국심리'!$J2496),ISNUMBER('자료_한국심리'!$K2496)),'자료_한국심리'!$J2496,"")</f>
        <v/>
      </c>
      <c r="Y2512">
        <f>IF(AND(ISNUMBER('자료_한국심리'!$M2496),ISNUMBER('자료_한국심리'!$N2496)),'자료_한국심리'!$M2496,"")</f>
        <v/>
      </c>
    </row>
    <row r="2513">
      <c r="U2513">
        <f>IF(AND(ISNUMBER('자료_한국심리'!$A2497),ISNUMBER('자료_한국심리'!$B2497)),'자료_한국심리'!$A2497,"")</f>
        <v/>
      </c>
      <c r="V2513">
        <f>IF(AND(ISNUMBER('자료_한국심리'!$D2497),ISNUMBER('자료_한국심리'!$E2497)),'자료_한국심리'!$D2497,"")</f>
        <v/>
      </c>
      <c r="W2513">
        <f>IF(AND(ISNUMBER('자료_한국심리'!$G2497),ISNUMBER('자료_한국심리'!$H2497)),'자료_한국심리'!$G2497,"")</f>
        <v/>
      </c>
      <c r="X2513">
        <f>IF(AND(ISNUMBER('자료_한국심리'!$J2497),ISNUMBER('자료_한국심리'!$K2497)),'자료_한국심리'!$J2497,"")</f>
        <v/>
      </c>
      <c r="Y2513">
        <f>IF(AND(ISNUMBER('자료_한국심리'!$M2497),ISNUMBER('자료_한국심리'!$N2497)),'자료_한국심리'!$M2497,"")</f>
        <v/>
      </c>
    </row>
    <row r="2514">
      <c r="U2514">
        <f>IF(AND(ISNUMBER('자료_한국심리'!$A2498),ISNUMBER('자료_한국심리'!$B2498)),'자료_한국심리'!$A2498,"")</f>
        <v/>
      </c>
      <c r="V2514">
        <f>IF(AND(ISNUMBER('자료_한국심리'!$D2498),ISNUMBER('자료_한국심리'!$E2498)),'자료_한국심리'!$D2498,"")</f>
        <v/>
      </c>
      <c r="W2514">
        <f>IF(AND(ISNUMBER('자료_한국심리'!$G2498),ISNUMBER('자료_한국심리'!$H2498)),'자료_한국심리'!$G2498,"")</f>
        <v/>
      </c>
      <c r="X2514">
        <f>IF(AND(ISNUMBER('자료_한국심리'!$J2498),ISNUMBER('자료_한국심리'!$K2498)),'자료_한국심리'!$J2498,"")</f>
        <v/>
      </c>
      <c r="Y2514">
        <f>IF(AND(ISNUMBER('자료_한국심리'!$M2498),ISNUMBER('자료_한국심리'!$N2498)),'자료_한국심리'!$M2498,"")</f>
        <v/>
      </c>
    </row>
    <row r="2515">
      <c r="U2515">
        <f>IF(AND(ISNUMBER('자료_한국심리'!$A2499),ISNUMBER('자료_한국심리'!$B2499)),'자료_한국심리'!$A2499,"")</f>
        <v/>
      </c>
      <c r="V2515">
        <f>IF(AND(ISNUMBER('자료_한국심리'!$D2499),ISNUMBER('자료_한국심리'!$E2499)),'자료_한국심리'!$D2499,"")</f>
        <v/>
      </c>
      <c r="W2515">
        <f>IF(AND(ISNUMBER('자료_한국심리'!$G2499),ISNUMBER('자료_한국심리'!$H2499)),'자료_한국심리'!$G2499,"")</f>
        <v/>
      </c>
      <c r="X2515">
        <f>IF(AND(ISNUMBER('자료_한국심리'!$J2499),ISNUMBER('자료_한국심리'!$K2499)),'자료_한국심리'!$J2499,"")</f>
        <v/>
      </c>
      <c r="Y2515">
        <f>IF(AND(ISNUMBER('자료_한국심리'!$M2499),ISNUMBER('자료_한국심리'!$N2499)),'자료_한국심리'!$M2499,"")</f>
        <v/>
      </c>
    </row>
    <row r="2516">
      <c r="U2516">
        <f>IF(AND(ISNUMBER('자료_한국심리'!$A2500),ISNUMBER('자료_한국심리'!$B2500)),'자료_한국심리'!$A2500,"")</f>
        <v/>
      </c>
      <c r="V2516">
        <f>IF(AND(ISNUMBER('자료_한국심리'!$D2500),ISNUMBER('자료_한국심리'!$E2500)),'자료_한국심리'!$D2500,"")</f>
        <v/>
      </c>
      <c r="W2516">
        <f>IF(AND(ISNUMBER('자료_한국심리'!$G2500),ISNUMBER('자료_한국심리'!$H2500)),'자료_한국심리'!$G2500,"")</f>
        <v/>
      </c>
      <c r="X2516">
        <f>IF(AND(ISNUMBER('자료_한국심리'!$J2500),ISNUMBER('자료_한국심리'!$K2500)),'자료_한국심리'!$J2500,"")</f>
        <v/>
      </c>
      <c r="Y2516">
        <f>IF(AND(ISNUMBER('자료_한국심리'!$M2500),ISNUMBER('자료_한국심리'!$N2500)),'자료_한국심리'!$M2500,"")</f>
        <v/>
      </c>
    </row>
    <row r="2517">
      <c r="U2517">
        <f>IF(AND(ISNUMBER('자료_한국심리'!$A2501),ISNUMBER('자료_한국심리'!$B2501)),'자료_한국심리'!$A2501,"")</f>
        <v/>
      </c>
      <c r="V2517">
        <f>IF(AND(ISNUMBER('자료_한국심리'!$D2501),ISNUMBER('자료_한국심리'!$E2501)),'자료_한국심리'!$D2501,"")</f>
        <v/>
      </c>
      <c r="W2517">
        <f>IF(AND(ISNUMBER('자료_한국심리'!$G2501),ISNUMBER('자료_한국심리'!$H2501)),'자료_한국심리'!$G2501,"")</f>
        <v/>
      </c>
      <c r="X2517">
        <f>IF(AND(ISNUMBER('자료_한국심리'!$J2501),ISNUMBER('자료_한국심리'!$K2501)),'자료_한국심리'!$J2501,"")</f>
        <v/>
      </c>
      <c r="Y2517">
        <f>IF(AND(ISNUMBER('자료_한국심리'!$M2501),ISNUMBER('자료_한국심리'!$N2501)),'자료_한국심리'!$M2501,"")</f>
        <v/>
      </c>
    </row>
    <row r="2518">
      <c r="U2518">
        <f>IF(AND(ISNUMBER('자료_한국심리'!$A2502),ISNUMBER('자료_한국심리'!$B2502)),'자료_한국심리'!$A2502,"")</f>
        <v/>
      </c>
      <c r="V2518">
        <f>IF(AND(ISNUMBER('자료_한국심리'!$D2502),ISNUMBER('자료_한국심리'!$E2502)),'자료_한국심리'!$D2502,"")</f>
        <v/>
      </c>
      <c r="W2518">
        <f>IF(AND(ISNUMBER('자료_한국심리'!$G2502),ISNUMBER('자료_한국심리'!$H2502)),'자료_한국심리'!$G2502,"")</f>
        <v/>
      </c>
      <c r="X2518">
        <f>IF(AND(ISNUMBER('자료_한국심리'!$J2502),ISNUMBER('자료_한국심리'!$K2502)),'자료_한국심리'!$J2502,"")</f>
        <v/>
      </c>
      <c r="Y2518">
        <f>IF(AND(ISNUMBER('자료_한국심리'!$M2502),ISNUMBER('자료_한국심리'!$N2502)),'자료_한국심리'!$M2502,"")</f>
        <v/>
      </c>
    </row>
    <row r="2519">
      <c r="U2519">
        <f>IF(AND(ISNUMBER('자료_한국심리'!$A2503),ISNUMBER('자료_한국심리'!$B2503)),'자료_한국심리'!$A2503,"")</f>
        <v/>
      </c>
      <c r="V2519">
        <f>IF(AND(ISNUMBER('자료_한국심리'!$D2503),ISNUMBER('자료_한국심리'!$E2503)),'자료_한국심리'!$D2503,"")</f>
        <v/>
      </c>
      <c r="W2519">
        <f>IF(AND(ISNUMBER('자료_한국심리'!$G2503),ISNUMBER('자료_한국심리'!$H2503)),'자료_한국심리'!$G2503,"")</f>
        <v/>
      </c>
      <c r="X2519">
        <f>IF(AND(ISNUMBER('자료_한국심리'!$J2503),ISNUMBER('자료_한국심리'!$K2503)),'자료_한국심리'!$J2503,"")</f>
        <v/>
      </c>
      <c r="Y2519">
        <f>IF(AND(ISNUMBER('자료_한국심리'!$M2503),ISNUMBER('자료_한국심리'!$N2503)),'자료_한국심리'!$M2503,"")</f>
        <v/>
      </c>
    </row>
    <row r="2520">
      <c r="U2520">
        <f>IF(AND(ISNUMBER('자료_한국심리'!$A2504),ISNUMBER('자료_한국심리'!$B2504)),'자료_한국심리'!$A2504,"")</f>
        <v/>
      </c>
      <c r="V2520">
        <f>IF(AND(ISNUMBER('자료_한국심리'!$D2504),ISNUMBER('자료_한국심리'!$E2504)),'자료_한국심리'!$D2504,"")</f>
        <v/>
      </c>
      <c r="W2520">
        <f>IF(AND(ISNUMBER('자료_한국심리'!$G2504),ISNUMBER('자료_한국심리'!$H2504)),'자료_한국심리'!$G2504,"")</f>
        <v/>
      </c>
      <c r="X2520">
        <f>IF(AND(ISNUMBER('자료_한국심리'!$J2504),ISNUMBER('자료_한국심리'!$K2504)),'자료_한국심리'!$J2504,"")</f>
        <v/>
      </c>
      <c r="Y2520">
        <f>IF(AND(ISNUMBER('자료_한국심리'!$M2504),ISNUMBER('자료_한국심리'!$N2504)),'자료_한국심리'!$M2504,"")</f>
        <v/>
      </c>
    </row>
    <row r="2521">
      <c r="U2521">
        <f>IF(AND(ISNUMBER('자료_한국심리'!$A2505),ISNUMBER('자료_한국심리'!$B2505)),'자료_한국심리'!$A2505,"")</f>
        <v/>
      </c>
      <c r="V2521">
        <f>IF(AND(ISNUMBER('자료_한국심리'!$D2505),ISNUMBER('자료_한국심리'!$E2505)),'자료_한국심리'!$D2505,"")</f>
        <v/>
      </c>
      <c r="W2521">
        <f>IF(AND(ISNUMBER('자료_한국심리'!$G2505),ISNUMBER('자료_한국심리'!$H2505)),'자료_한국심리'!$G2505,"")</f>
        <v/>
      </c>
      <c r="X2521">
        <f>IF(AND(ISNUMBER('자료_한국심리'!$J2505),ISNUMBER('자료_한국심리'!$K2505)),'자료_한국심리'!$J2505,"")</f>
        <v/>
      </c>
      <c r="Y2521">
        <f>IF(AND(ISNUMBER('자료_한국심리'!$M2505),ISNUMBER('자료_한국심리'!$N2505)),'자료_한국심리'!$M2505,"")</f>
        <v/>
      </c>
    </row>
    <row r="2522">
      <c r="U2522">
        <f>IF(AND(ISNUMBER('자료_한국심리'!$A2506),ISNUMBER('자료_한국심리'!$B2506)),'자료_한국심리'!$A2506,"")</f>
        <v/>
      </c>
      <c r="V2522">
        <f>IF(AND(ISNUMBER('자료_한국심리'!$D2506),ISNUMBER('자료_한국심리'!$E2506)),'자료_한국심리'!$D2506,"")</f>
        <v/>
      </c>
      <c r="W2522">
        <f>IF(AND(ISNUMBER('자료_한국심리'!$G2506),ISNUMBER('자료_한국심리'!$H2506)),'자료_한국심리'!$G2506,"")</f>
        <v/>
      </c>
      <c r="X2522">
        <f>IF(AND(ISNUMBER('자료_한국심리'!$J2506),ISNUMBER('자료_한국심리'!$K2506)),'자료_한국심리'!$J2506,"")</f>
        <v/>
      </c>
      <c r="Y2522">
        <f>IF(AND(ISNUMBER('자료_한국심리'!$M2506),ISNUMBER('자료_한국심리'!$N2506)),'자료_한국심리'!$M2506,"")</f>
        <v/>
      </c>
    </row>
    <row r="2523">
      <c r="U2523">
        <f>IF(AND(ISNUMBER('자료_한국심리'!$A2507),ISNUMBER('자료_한국심리'!$B2507)),'자료_한국심리'!$A2507,"")</f>
        <v/>
      </c>
      <c r="V2523">
        <f>IF(AND(ISNUMBER('자료_한국심리'!$D2507),ISNUMBER('자료_한국심리'!$E2507)),'자료_한국심리'!$D2507,"")</f>
        <v/>
      </c>
      <c r="W2523">
        <f>IF(AND(ISNUMBER('자료_한국심리'!$G2507),ISNUMBER('자료_한국심리'!$H2507)),'자료_한국심리'!$G2507,"")</f>
        <v/>
      </c>
      <c r="X2523">
        <f>IF(AND(ISNUMBER('자료_한국심리'!$J2507),ISNUMBER('자료_한국심리'!$K2507)),'자료_한국심리'!$J2507,"")</f>
        <v/>
      </c>
      <c r="Y2523">
        <f>IF(AND(ISNUMBER('자료_한국심리'!$M2507),ISNUMBER('자료_한국심리'!$N2507)),'자료_한국심리'!$M2507,"")</f>
        <v/>
      </c>
    </row>
    <row r="2524">
      <c r="U2524">
        <f>IF(AND(ISNUMBER('자료_한국심리'!$A2508),ISNUMBER('자료_한국심리'!$B2508)),'자료_한국심리'!$A2508,"")</f>
        <v/>
      </c>
      <c r="V2524">
        <f>IF(AND(ISNUMBER('자료_한국심리'!$D2508),ISNUMBER('자료_한국심리'!$E2508)),'자료_한국심리'!$D2508,"")</f>
        <v/>
      </c>
      <c r="W2524">
        <f>IF(AND(ISNUMBER('자료_한국심리'!$G2508),ISNUMBER('자료_한국심리'!$H2508)),'자료_한국심리'!$G2508,"")</f>
        <v/>
      </c>
      <c r="X2524">
        <f>IF(AND(ISNUMBER('자료_한국심리'!$J2508),ISNUMBER('자료_한국심리'!$K2508)),'자료_한국심리'!$J2508,"")</f>
        <v/>
      </c>
      <c r="Y2524">
        <f>IF(AND(ISNUMBER('자료_한국심리'!$M2508),ISNUMBER('자료_한국심리'!$N2508)),'자료_한국심리'!$M2508,"")</f>
        <v/>
      </c>
    </row>
    <row r="2525">
      <c r="U2525">
        <f>IF(AND(ISNUMBER('자료_한국심리'!$A2509),ISNUMBER('자료_한국심리'!$B2509)),'자료_한국심리'!$A2509,"")</f>
        <v/>
      </c>
      <c r="V2525">
        <f>IF(AND(ISNUMBER('자료_한국심리'!$D2509),ISNUMBER('자료_한국심리'!$E2509)),'자료_한국심리'!$D2509,"")</f>
        <v/>
      </c>
      <c r="W2525">
        <f>IF(AND(ISNUMBER('자료_한국심리'!$G2509),ISNUMBER('자료_한국심리'!$H2509)),'자료_한국심리'!$G2509,"")</f>
        <v/>
      </c>
      <c r="X2525">
        <f>IF(AND(ISNUMBER('자료_한국심리'!$J2509),ISNUMBER('자료_한국심리'!$K2509)),'자료_한국심리'!$J2509,"")</f>
        <v/>
      </c>
      <c r="Y2525">
        <f>IF(AND(ISNUMBER('자료_한국심리'!$M2509),ISNUMBER('자료_한국심리'!$N2509)),'자료_한국심리'!$M2509,"")</f>
        <v/>
      </c>
    </row>
    <row r="2526">
      <c r="U2526">
        <f>IF(AND(ISNUMBER('자료_한국심리'!$A2510),ISNUMBER('자료_한국심리'!$B2510)),'자료_한국심리'!$A2510,"")</f>
        <v/>
      </c>
      <c r="V2526">
        <f>IF(AND(ISNUMBER('자료_한국심리'!$D2510),ISNUMBER('자료_한국심리'!$E2510)),'자료_한국심리'!$D2510,"")</f>
        <v/>
      </c>
      <c r="W2526">
        <f>IF(AND(ISNUMBER('자료_한국심리'!$G2510),ISNUMBER('자료_한국심리'!$H2510)),'자료_한국심리'!$G2510,"")</f>
        <v/>
      </c>
      <c r="X2526">
        <f>IF(AND(ISNUMBER('자료_한국심리'!$J2510),ISNUMBER('자료_한국심리'!$K2510)),'자료_한국심리'!$J2510,"")</f>
        <v/>
      </c>
      <c r="Y2526">
        <f>IF(AND(ISNUMBER('자료_한국심리'!$M2510),ISNUMBER('자료_한국심리'!$N2510)),'자료_한국심리'!$M2510,"")</f>
        <v/>
      </c>
    </row>
    <row r="2527">
      <c r="U2527">
        <f>IF(AND(ISNUMBER('자료_한국심리'!$A2511),ISNUMBER('자료_한국심리'!$B2511)),'자료_한국심리'!$A2511,"")</f>
        <v/>
      </c>
      <c r="V2527">
        <f>IF(AND(ISNUMBER('자료_한국심리'!$D2511),ISNUMBER('자료_한국심리'!$E2511)),'자료_한국심리'!$D2511,"")</f>
        <v/>
      </c>
      <c r="W2527">
        <f>IF(AND(ISNUMBER('자료_한국심리'!$G2511),ISNUMBER('자료_한국심리'!$H2511)),'자료_한국심리'!$G2511,"")</f>
        <v/>
      </c>
      <c r="X2527">
        <f>IF(AND(ISNUMBER('자료_한국심리'!$J2511),ISNUMBER('자료_한국심리'!$K2511)),'자료_한국심리'!$J2511,"")</f>
        <v/>
      </c>
      <c r="Y2527">
        <f>IF(AND(ISNUMBER('자료_한국심리'!$M2511),ISNUMBER('자료_한국심리'!$N2511)),'자료_한국심리'!$M2511,"")</f>
        <v/>
      </c>
    </row>
    <row r="2528">
      <c r="U2528">
        <f>IF(AND(ISNUMBER('자료_한국심리'!$A2512),ISNUMBER('자료_한국심리'!$B2512)),'자료_한국심리'!$A2512,"")</f>
        <v/>
      </c>
      <c r="V2528">
        <f>IF(AND(ISNUMBER('자료_한국심리'!$D2512),ISNUMBER('자료_한국심리'!$E2512)),'자료_한국심리'!$D2512,"")</f>
        <v/>
      </c>
      <c r="W2528">
        <f>IF(AND(ISNUMBER('자료_한국심리'!$G2512),ISNUMBER('자료_한국심리'!$H2512)),'자료_한국심리'!$G2512,"")</f>
        <v/>
      </c>
      <c r="X2528">
        <f>IF(AND(ISNUMBER('자료_한국심리'!$J2512),ISNUMBER('자료_한국심리'!$K2512)),'자료_한국심리'!$J2512,"")</f>
        <v/>
      </c>
      <c r="Y2528">
        <f>IF(AND(ISNUMBER('자료_한국심리'!$M2512),ISNUMBER('자료_한국심리'!$N2512)),'자료_한국심리'!$M2512,"")</f>
        <v/>
      </c>
    </row>
    <row r="2529">
      <c r="U2529">
        <f>IF(AND(ISNUMBER('자료_한국심리'!$A2513),ISNUMBER('자료_한국심리'!$B2513)),'자료_한국심리'!$A2513,"")</f>
        <v/>
      </c>
      <c r="V2529">
        <f>IF(AND(ISNUMBER('자료_한국심리'!$D2513),ISNUMBER('자료_한국심리'!$E2513)),'자료_한국심리'!$D2513,"")</f>
        <v/>
      </c>
      <c r="W2529">
        <f>IF(AND(ISNUMBER('자료_한국심리'!$G2513),ISNUMBER('자료_한국심리'!$H2513)),'자료_한국심리'!$G2513,"")</f>
        <v/>
      </c>
      <c r="X2529">
        <f>IF(AND(ISNUMBER('자료_한국심리'!$J2513),ISNUMBER('자료_한국심리'!$K2513)),'자료_한국심리'!$J2513,"")</f>
        <v/>
      </c>
      <c r="Y2529">
        <f>IF(AND(ISNUMBER('자료_한국심리'!$M2513),ISNUMBER('자료_한국심리'!$N2513)),'자료_한국심리'!$M2513,"")</f>
        <v/>
      </c>
    </row>
    <row r="2530">
      <c r="U2530">
        <f>IF(AND(ISNUMBER('자료_한국심리'!$A2514),ISNUMBER('자료_한국심리'!$B2514)),'자료_한국심리'!$A2514,"")</f>
        <v/>
      </c>
      <c r="V2530">
        <f>IF(AND(ISNUMBER('자료_한국심리'!$D2514),ISNUMBER('자료_한국심리'!$E2514)),'자료_한국심리'!$D2514,"")</f>
        <v/>
      </c>
      <c r="W2530">
        <f>IF(AND(ISNUMBER('자료_한국심리'!$G2514),ISNUMBER('자료_한국심리'!$H2514)),'자료_한국심리'!$G2514,"")</f>
        <v/>
      </c>
      <c r="X2530">
        <f>IF(AND(ISNUMBER('자료_한국심리'!$J2514),ISNUMBER('자료_한국심리'!$K2514)),'자료_한국심리'!$J2514,"")</f>
        <v/>
      </c>
      <c r="Y2530">
        <f>IF(AND(ISNUMBER('자료_한국심리'!$M2514),ISNUMBER('자료_한국심리'!$N2514)),'자료_한국심리'!$M2514,"")</f>
        <v/>
      </c>
    </row>
    <row r="2531">
      <c r="U2531">
        <f>IF(AND(ISNUMBER('자료_한국심리'!$A2515),ISNUMBER('자료_한국심리'!$B2515)),'자료_한국심리'!$A2515,"")</f>
        <v/>
      </c>
      <c r="V2531">
        <f>IF(AND(ISNUMBER('자료_한국심리'!$D2515),ISNUMBER('자료_한국심리'!$E2515)),'자료_한국심리'!$D2515,"")</f>
        <v/>
      </c>
      <c r="W2531">
        <f>IF(AND(ISNUMBER('자료_한국심리'!$G2515),ISNUMBER('자료_한국심리'!$H2515)),'자료_한국심리'!$G2515,"")</f>
        <v/>
      </c>
      <c r="X2531">
        <f>IF(AND(ISNUMBER('자료_한국심리'!$J2515),ISNUMBER('자료_한국심리'!$K2515)),'자료_한국심리'!$J2515,"")</f>
        <v/>
      </c>
      <c r="Y2531">
        <f>IF(AND(ISNUMBER('자료_한국심리'!$M2515),ISNUMBER('자료_한국심리'!$N2515)),'자료_한국심리'!$M2515,"")</f>
        <v/>
      </c>
    </row>
    <row r="2532">
      <c r="U2532">
        <f>IF(AND(ISNUMBER('자료_한국심리'!$A2516),ISNUMBER('자료_한국심리'!$B2516)),'자료_한국심리'!$A2516,"")</f>
        <v/>
      </c>
      <c r="V2532">
        <f>IF(AND(ISNUMBER('자료_한국심리'!$D2516),ISNUMBER('자료_한국심리'!$E2516)),'자료_한국심리'!$D2516,"")</f>
        <v/>
      </c>
      <c r="W2532">
        <f>IF(AND(ISNUMBER('자료_한국심리'!$G2516),ISNUMBER('자료_한국심리'!$H2516)),'자료_한국심리'!$G2516,"")</f>
        <v/>
      </c>
      <c r="X2532">
        <f>IF(AND(ISNUMBER('자료_한국심리'!$J2516),ISNUMBER('자료_한국심리'!$K2516)),'자료_한국심리'!$J2516,"")</f>
        <v/>
      </c>
      <c r="Y2532">
        <f>IF(AND(ISNUMBER('자료_한국심리'!$M2516),ISNUMBER('자료_한국심리'!$N2516)),'자료_한국심리'!$M2516,"")</f>
        <v/>
      </c>
    </row>
    <row r="2533">
      <c r="U2533">
        <f>IF(AND(ISNUMBER('자료_한국심리'!$A2517),ISNUMBER('자료_한국심리'!$B2517)),'자료_한국심리'!$A2517,"")</f>
        <v/>
      </c>
      <c r="V2533">
        <f>IF(AND(ISNUMBER('자료_한국심리'!$D2517),ISNUMBER('자료_한국심리'!$E2517)),'자료_한국심리'!$D2517,"")</f>
        <v/>
      </c>
      <c r="W2533">
        <f>IF(AND(ISNUMBER('자료_한국심리'!$G2517),ISNUMBER('자료_한국심리'!$H2517)),'자료_한국심리'!$G2517,"")</f>
        <v/>
      </c>
      <c r="X2533">
        <f>IF(AND(ISNUMBER('자료_한국심리'!$J2517),ISNUMBER('자료_한국심리'!$K2517)),'자료_한국심리'!$J2517,"")</f>
        <v/>
      </c>
      <c r="Y2533">
        <f>IF(AND(ISNUMBER('자료_한국심리'!$M2517),ISNUMBER('자료_한국심리'!$N2517)),'자료_한국심리'!$M2517,"")</f>
        <v/>
      </c>
    </row>
    <row r="2534">
      <c r="U2534">
        <f>IF(AND(ISNUMBER('자료_한국심리'!$A2518),ISNUMBER('자료_한국심리'!$B2518)),'자료_한국심리'!$A2518,"")</f>
        <v/>
      </c>
      <c r="V2534">
        <f>IF(AND(ISNUMBER('자료_한국심리'!$D2518),ISNUMBER('자료_한국심리'!$E2518)),'자료_한국심리'!$D2518,"")</f>
        <v/>
      </c>
      <c r="W2534">
        <f>IF(AND(ISNUMBER('자료_한국심리'!$G2518),ISNUMBER('자료_한국심리'!$H2518)),'자료_한국심리'!$G2518,"")</f>
        <v/>
      </c>
      <c r="X2534">
        <f>IF(AND(ISNUMBER('자료_한국심리'!$J2518),ISNUMBER('자료_한국심리'!$K2518)),'자료_한국심리'!$J2518,"")</f>
        <v/>
      </c>
      <c r="Y2534">
        <f>IF(AND(ISNUMBER('자료_한국심리'!$M2518),ISNUMBER('자료_한국심리'!$N2518)),'자료_한국심리'!$M2518,"")</f>
        <v/>
      </c>
    </row>
    <row r="2535">
      <c r="U2535">
        <f>IF(AND(ISNUMBER('자료_한국심리'!$A2519),ISNUMBER('자료_한국심리'!$B2519)),'자료_한국심리'!$A2519,"")</f>
        <v/>
      </c>
      <c r="V2535">
        <f>IF(AND(ISNUMBER('자료_한국심리'!$D2519),ISNUMBER('자료_한국심리'!$E2519)),'자료_한국심리'!$D2519,"")</f>
        <v/>
      </c>
      <c r="W2535">
        <f>IF(AND(ISNUMBER('자료_한국심리'!$G2519),ISNUMBER('자료_한국심리'!$H2519)),'자료_한국심리'!$G2519,"")</f>
        <v/>
      </c>
      <c r="X2535">
        <f>IF(AND(ISNUMBER('자료_한국심리'!$J2519),ISNUMBER('자료_한국심리'!$K2519)),'자료_한국심리'!$J2519,"")</f>
        <v/>
      </c>
      <c r="Y2535">
        <f>IF(AND(ISNUMBER('자료_한국심리'!$M2519),ISNUMBER('자료_한국심리'!$N2519)),'자료_한국심리'!$M2519,"")</f>
        <v/>
      </c>
    </row>
    <row r="2536">
      <c r="U2536">
        <f>IF(AND(ISNUMBER('자료_한국심리'!$A2520),ISNUMBER('자료_한국심리'!$B2520)),'자료_한국심리'!$A2520,"")</f>
        <v/>
      </c>
      <c r="V2536">
        <f>IF(AND(ISNUMBER('자료_한국심리'!$D2520),ISNUMBER('자료_한국심리'!$E2520)),'자료_한국심리'!$D2520,"")</f>
        <v/>
      </c>
      <c r="W2536">
        <f>IF(AND(ISNUMBER('자료_한국심리'!$G2520),ISNUMBER('자료_한국심리'!$H2520)),'자료_한국심리'!$G2520,"")</f>
        <v/>
      </c>
      <c r="X2536">
        <f>IF(AND(ISNUMBER('자료_한국심리'!$J2520),ISNUMBER('자료_한국심리'!$K2520)),'자료_한국심리'!$J2520,"")</f>
        <v/>
      </c>
      <c r="Y2536">
        <f>IF(AND(ISNUMBER('자료_한국심리'!$M2520),ISNUMBER('자료_한국심리'!$N2520)),'자료_한국심리'!$M2520,"")</f>
        <v/>
      </c>
    </row>
    <row r="2537">
      <c r="U2537">
        <f>IF(AND(ISNUMBER('자료_한국심리'!$A2521),ISNUMBER('자료_한국심리'!$B2521)),'자료_한국심리'!$A2521,"")</f>
        <v/>
      </c>
      <c r="V2537">
        <f>IF(AND(ISNUMBER('자료_한국심리'!$D2521),ISNUMBER('자료_한국심리'!$E2521)),'자료_한국심리'!$D2521,"")</f>
        <v/>
      </c>
      <c r="W2537">
        <f>IF(AND(ISNUMBER('자료_한국심리'!$G2521),ISNUMBER('자료_한국심리'!$H2521)),'자료_한국심리'!$G2521,"")</f>
        <v/>
      </c>
      <c r="X2537">
        <f>IF(AND(ISNUMBER('자료_한국심리'!$J2521),ISNUMBER('자료_한국심리'!$K2521)),'자료_한국심리'!$J2521,"")</f>
        <v/>
      </c>
      <c r="Y2537">
        <f>IF(AND(ISNUMBER('자료_한국심리'!$M2521),ISNUMBER('자료_한국심리'!$N2521)),'자료_한국심리'!$M2521,"")</f>
        <v/>
      </c>
    </row>
    <row r="2538">
      <c r="U2538">
        <f>IF(AND(ISNUMBER('자료_한국심리'!$A2522),ISNUMBER('자료_한국심리'!$B2522)),'자료_한국심리'!$A2522,"")</f>
        <v/>
      </c>
      <c r="V2538">
        <f>IF(AND(ISNUMBER('자료_한국심리'!$D2522),ISNUMBER('자료_한국심리'!$E2522)),'자료_한국심리'!$D2522,"")</f>
        <v/>
      </c>
      <c r="W2538">
        <f>IF(AND(ISNUMBER('자료_한국심리'!$G2522),ISNUMBER('자료_한국심리'!$H2522)),'자료_한국심리'!$G2522,"")</f>
        <v/>
      </c>
      <c r="X2538">
        <f>IF(AND(ISNUMBER('자료_한국심리'!$J2522),ISNUMBER('자료_한국심리'!$K2522)),'자료_한국심리'!$J2522,"")</f>
        <v/>
      </c>
      <c r="Y2538">
        <f>IF(AND(ISNUMBER('자료_한국심리'!$M2522),ISNUMBER('자료_한국심리'!$N2522)),'자료_한국심리'!$M2522,"")</f>
        <v/>
      </c>
    </row>
    <row r="2539">
      <c r="U2539">
        <f>IF(AND(ISNUMBER('자료_한국심리'!$A2523),ISNUMBER('자료_한국심리'!$B2523)),'자료_한국심리'!$A2523,"")</f>
        <v/>
      </c>
      <c r="V2539">
        <f>IF(AND(ISNUMBER('자료_한국심리'!$D2523),ISNUMBER('자료_한국심리'!$E2523)),'자료_한국심리'!$D2523,"")</f>
        <v/>
      </c>
      <c r="W2539">
        <f>IF(AND(ISNUMBER('자료_한국심리'!$G2523),ISNUMBER('자료_한국심리'!$H2523)),'자료_한국심리'!$G2523,"")</f>
        <v/>
      </c>
      <c r="X2539">
        <f>IF(AND(ISNUMBER('자료_한국심리'!$J2523),ISNUMBER('자료_한국심리'!$K2523)),'자료_한국심리'!$J2523,"")</f>
        <v/>
      </c>
      <c r="Y2539">
        <f>IF(AND(ISNUMBER('자료_한국심리'!$M2523),ISNUMBER('자료_한국심리'!$N2523)),'자료_한국심리'!$M2523,"")</f>
        <v/>
      </c>
    </row>
    <row r="2540">
      <c r="U2540">
        <f>IF(AND(ISNUMBER('자료_한국심리'!$A2524),ISNUMBER('자료_한국심리'!$B2524)),'자료_한국심리'!$A2524,"")</f>
        <v/>
      </c>
      <c r="V2540">
        <f>IF(AND(ISNUMBER('자료_한국심리'!$D2524),ISNUMBER('자료_한국심리'!$E2524)),'자료_한국심리'!$D2524,"")</f>
        <v/>
      </c>
      <c r="W2540">
        <f>IF(AND(ISNUMBER('자료_한국심리'!$G2524),ISNUMBER('자료_한국심리'!$H2524)),'자료_한국심리'!$G2524,"")</f>
        <v/>
      </c>
      <c r="X2540">
        <f>IF(AND(ISNUMBER('자료_한국심리'!$J2524),ISNUMBER('자료_한국심리'!$K2524)),'자료_한국심리'!$J2524,"")</f>
        <v/>
      </c>
      <c r="Y2540">
        <f>IF(AND(ISNUMBER('자료_한국심리'!$M2524),ISNUMBER('자료_한국심리'!$N2524)),'자료_한국심리'!$M2524,"")</f>
        <v/>
      </c>
    </row>
    <row r="2541">
      <c r="U2541">
        <f>IF(AND(ISNUMBER('자료_한국심리'!$A2525),ISNUMBER('자료_한국심리'!$B2525)),'자료_한국심리'!$A2525,"")</f>
        <v/>
      </c>
      <c r="V2541">
        <f>IF(AND(ISNUMBER('자료_한국심리'!$D2525),ISNUMBER('자료_한국심리'!$E2525)),'자료_한국심리'!$D2525,"")</f>
        <v/>
      </c>
      <c r="W2541">
        <f>IF(AND(ISNUMBER('자료_한국심리'!$G2525),ISNUMBER('자료_한국심리'!$H2525)),'자료_한국심리'!$G2525,"")</f>
        <v/>
      </c>
      <c r="X2541">
        <f>IF(AND(ISNUMBER('자료_한국심리'!$J2525),ISNUMBER('자료_한국심리'!$K2525)),'자료_한국심리'!$J2525,"")</f>
        <v/>
      </c>
      <c r="Y2541">
        <f>IF(AND(ISNUMBER('자료_한국심리'!$M2525),ISNUMBER('자료_한국심리'!$N2525)),'자료_한국심리'!$M2525,"")</f>
        <v/>
      </c>
    </row>
    <row r="2542">
      <c r="U2542">
        <f>IF(AND(ISNUMBER('자료_한국심리'!$A2526),ISNUMBER('자료_한국심리'!$B2526)),'자료_한국심리'!$A2526,"")</f>
        <v/>
      </c>
      <c r="V2542">
        <f>IF(AND(ISNUMBER('자료_한국심리'!$D2526),ISNUMBER('자료_한국심리'!$E2526)),'자료_한국심리'!$D2526,"")</f>
        <v/>
      </c>
      <c r="W2542">
        <f>IF(AND(ISNUMBER('자료_한국심리'!$G2526),ISNUMBER('자료_한국심리'!$H2526)),'자료_한국심리'!$G2526,"")</f>
        <v/>
      </c>
      <c r="X2542">
        <f>IF(AND(ISNUMBER('자료_한국심리'!$J2526),ISNUMBER('자료_한국심리'!$K2526)),'자료_한국심리'!$J2526,"")</f>
        <v/>
      </c>
      <c r="Y2542">
        <f>IF(AND(ISNUMBER('자료_한국심리'!$M2526),ISNUMBER('자료_한국심리'!$N2526)),'자료_한국심리'!$M2526,"")</f>
        <v/>
      </c>
    </row>
    <row r="2543">
      <c r="U2543">
        <f>IF(AND(ISNUMBER('자료_한국심리'!$A2527),ISNUMBER('자료_한국심리'!$B2527)),'자료_한국심리'!$A2527,"")</f>
        <v/>
      </c>
      <c r="V2543">
        <f>IF(AND(ISNUMBER('자료_한국심리'!$D2527),ISNUMBER('자료_한국심리'!$E2527)),'자료_한국심리'!$D2527,"")</f>
        <v/>
      </c>
      <c r="W2543">
        <f>IF(AND(ISNUMBER('자료_한국심리'!$G2527),ISNUMBER('자료_한국심리'!$H2527)),'자료_한국심리'!$G2527,"")</f>
        <v/>
      </c>
      <c r="X2543">
        <f>IF(AND(ISNUMBER('자료_한국심리'!$J2527),ISNUMBER('자료_한국심리'!$K2527)),'자료_한국심리'!$J2527,"")</f>
        <v/>
      </c>
      <c r="Y2543">
        <f>IF(AND(ISNUMBER('자료_한국심리'!$M2527),ISNUMBER('자료_한국심리'!$N2527)),'자료_한국심리'!$M2527,"")</f>
        <v/>
      </c>
    </row>
    <row r="2544">
      <c r="U2544">
        <f>IF(AND(ISNUMBER('자료_한국심리'!$A2528),ISNUMBER('자료_한국심리'!$B2528)),'자료_한국심리'!$A2528,"")</f>
        <v/>
      </c>
      <c r="V2544">
        <f>IF(AND(ISNUMBER('자료_한국심리'!$D2528),ISNUMBER('자료_한국심리'!$E2528)),'자료_한국심리'!$D2528,"")</f>
        <v/>
      </c>
      <c r="W2544">
        <f>IF(AND(ISNUMBER('자료_한국심리'!$G2528),ISNUMBER('자료_한국심리'!$H2528)),'자료_한국심리'!$G2528,"")</f>
        <v/>
      </c>
      <c r="X2544">
        <f>IF(AND(ISNUMBER('자료_한국심리'!$J2528),ISNUMBER('자료_한국심리'!$K2528)),'자료_한국심리'!$J2528,"")</f>
        <v/>
      </c>
      <c r="Y2544">
        <f>IF(AND(ISNUMBER('자료_한국심리'!$M2528),ISNUMBER('자료_한국심리'!$N2528)),'자료_한국심리'!$M2528,"")</f>
        <v/>
      </c>
    </row>
    <row r="2545">
      <c r="U2545">
        <f>IF(AND(ISNUMBER('자료_한국심리'!$A2529),ISNUMBER('자료_한국심리'!$B2529)),'자료_한국심리'!$A2529,"")</f>
        <v/>
      </c>
      <c r="V2545">
        <f>IF(AND(ISNUMBER('자료_한국심리'!$D2529),ISNUMBER('자료_한국심리'!$E2529)),'자료_한국심리'!$D2529,"")</f>
        <v/>
      </c>
      <c r="W2545">
        <f>IF(AND(ISNUMBER('자료_한국심리'!$G2529),ISNUMBER('자료_한국심리'!$H2529)),'자료_한국심리'!$G2529,"")</f>
        <v/>
      </c>
      <c r="X2545">
        <f>IF(AND(ISNUMBER('자료_한국심리'!$J2529),ISNUMBER('자료_한국심리'!$K2529)),'자료_한국심리'!$J2529,"")</f>
        <v/>
      </c>
      <c r="Y2545">
        <f>IF(AND(ISNUMBER('자료_한국심리'!$M2529),ISNUMBER('자료_한국심리'!$N2529)),'자료_한국심리'!$M2529,"")</f>
        <v/>
      </c>
    </row>
    <row r="2546">
      <c r="U2546">
        <f>IF(AND(ISNUMBER('자료_한국심리'!$A2530),ISNUMBER('자료_한국심리'!$B2530)),'자료_한국심리'!$A2530,"")</f>
        <v/>
      </c>
      <c r="V2546">
        <f>IF(AND(ISNUMBER('자료_한국심리'!$D2530),ISNUMBER('자료_한국심리'!$E2530)),'자료_한국심리'!$D2530,"")</f>
        <v/>
      </c>
      <c r="W2546">
        <f>IF(AND(ISNUMBER('자료_한국심리'!$G2530),ISNUMBER('자료_한국심리'!$H2530)),'자료_한국심리'!$G2530,"")</f>
        <v/>
      </c>
      <c r="X2546">
        <f>IF(AND(ISNUMBER('자료_한국심리'!$J2530),ISNUMBER('자료_한국심리'!$K2530)),'자료_한국심리'!$J2530,"")</f>
        <v/>
      </c>
      <c r="Y2546">
        <f>IF(AND(ISNUMBER('자료_한국심리'!$M2530),ISNUMBER('자료_한국심리'!$N2530)),'자료_한국심리'!$M2530,"")</f>
        <v/>
      </c>
    </row>
    <row r="2547">
      <c r="U2547">
        <f>IF(AND(ISNUMBER('자료_한국심리'!$A2531),ISNUMBER('자료_한국심리'!$B2531)),'자료_한국심리'!$A2531,"")</f>
        <v/>
      </c>
      <c r="V2547">
        <f>IF(AND(ISNUMBER('자료_한국심리'!$D2531),ISNUMBER('자료_한국심리'!$E2531)),'자료_한국심리'!$D2531,"")</f>
        <v/>
      </c>
      <c r="W2547">
        <f>IF(AND(ISNUMBER('자료_한국심리'!$G2531),ISNUMBER('자료_한국심리'!$H2531)),'자료_한국심리'!$G2531,"")</f>
        <v/>
      </c>
      <c r="X2547">
        <f>IF(AND(ISNUMBER('자료_한국심리'!$J2531),ISNUMBER('자료_한국심리'!$K2531)),'자료_한국심리'!$J2531,"")</f>
        <v/>
      </c>
      <c r="Y2547">
        <f>IF(AND(ISNUMBER('자료_한국심리'!$M2531),ISNUMBER('자료_한국심리'!$N2531)),'자료_한국심리'!$M2531,"")</f>
        <v/>
      </c>
    </row>
    <row r="2548">
      <c r="U2548">
        <f>IF(AND(ISNUMBER('자료_한국심리'!$A2532),ISNUMBER('자료_한국심리'!$B2532)),'자료_한국심리'!$A2532,"")</f>
        <v/>
      </c>
      <c r="V2548">
        <f>IF(AND(ISNUMBER('자료_한국심리'!$D2532),ISNUMBER('자료_한국심리'!$E2532)),'자료_한국심리'!$D2532,"")</f>
        <v/>
      </c>
      <c r="W2548">
        <f>IF(AND(ISNUMBER('자료_한국심리'!$G2532),ISNUMBER('자료_한국심리'!$H2532)),'자료_한국심리'!$G2532,"")</f>
        <v/>
      </c>
      <c r="X2548">
        <f>IF(AND(ISNUMBER('자료_한국심리'!$J2532),ISNUMBER('자료_한국심리'!$K2532)),'자료_한국심리'!$J2532,"")</f>
        <v/>
      </c>
      <c r="Y2548">
        <f>IF(AND(ISNUMBER('자료_한국심리'!$M2532),ISNUMBER('자료_한국심리'!$N2532)),'자료_한국심리'!$M2532,"")</f>
        <v/>
      </c>
    </row>
    <row r="2549">
      <c r="U2549">
        <f>IF(AND(ISNUMBER('자료_한국심리'!$A2533),ISNUMBER('자료_한국심리'!$B2533)),'자료_한국심리'!$A2533,"")</f>
        <v/>
      </c>
      <c r="V2549">
        <f>IF(AND(ISNUMBER('자료_한국심리'!$D2533),ISNUMBER('자료_한국심리'!$E2533)),'자료_한국심리'!$D2533,"")</f>
        <v/>
      </c>
      <c r="W2549">
        <f>IF(AND(ISNUMBER('자료_한국심리'!$G2533),ISNUMBER('자료_한국심리'!$H2533)),'자료_한국심리'!$G2533,"")</f>
        <v/>
      </c>
      <c r="X2549">
        <f>IF(AND(ISNUMBER('자료_한국심리'!$J2533),ISNUMBER('자료_한국심리'!$K2533)),'자료_한국심리'!$J2533,"")</f>
        <v/>
      </c>
      <c r="Y2549">
        <f>IF(AND(ISNUMBER('자료_한국심리'!$M2533),ISNUMBER('자료_한국심리'!$N2533)),'자료_한국심리'!$M2533,"")</f>
        <v/>
      </c>
    </row>
    <row r="2550">
      <c r="U2550">
        <f>IF(AND(ISNUMBER('자료_한국심리'!$A2534),ISNUMBER('자료_한국심리'!$B2534)),'자료_한국심리'!$A2534,"")</f>
        <v/>
      </c>
      <c r="V2550">
        <f>IF(AND(ISNUMBER('자료_한국심리'!$D2534),ISNUMBER('자료_한국심리'!$E2534)),'자료_한국심리'!$D2534,"")</f>
        <v/>
      </c>
      <c r="W2550">
        <f>IF(AND(ISNUMBER('자료_한국심리'!$G2534),ISNUMBER('자료_한국심리'!$H2534)),'자료_한국심리'!$G2534,"")</f>
        <v/>
      </c>
      <c r="X2550">
        <f>IF(AND(ISNUMBER('자료_한국심리'!$J2534),ISNUMBER('자료_한국심리'!$K2534)),'자료_한국심리'!$J2534,"")</f>
        <v/>
      </c>
      <c r="Y2550">
        <f>IF(AND(ISNUMBER('자료_한국심리'!$M2534),ISNUMBER('자료_한국심리'!$N2534)),'자료_한국심리'!$M2534,"")</f>
        <v/>
      </c>
    </row>
    <row r="2551">
      <c r="U2551">
        <f>IF(AND(ISNUMBER('자료_한국심리'!$A2535),ISNUMBER('자료_한국심리'!$B2535)),'자료_한국심리'!$A2535,"")</f>
        <v/>
      </c>
      <c r="V2551">
        <f>IF(AND(ISNUMBER('자료_한국심리'!$D2535),ISNUMBER('자료_한국심리'!$E2535)),'자료_한국심리'!$D2535,"")</f>
        <v/>
      </c>
      <c r="W2551">
        <f>IF(AND(ISNUMBER('자료_한국심리'!$G2535),ISNUMBER('자료_한국심리'!$H2535)),'자료_한국심리'!$G2535,"")</f>
        <v/>
      </c>
      <c r="X2551">
        <f>IF(AND(ISNUMBER('자료_한국심리'!$J2535),ISNUMBER('자료_한국심리'!$K2535)),'자료_한국심리'!$J2535,"")</f>
        <v/>
      </c>
      <c r="Y2551">
        <f>IF(AND(ISNUMBER('자료_한국심리'!$M2535),ISNUMBER('자료_한국심리'!$N2535)),'자료_한국심리'!$M2535,"")</f>
        <v/>
      </c>
    </row>
    <row r="2552">
      <c r="U2552">
        <f>IF(AND(ISNUMBER('자료_한국심리'!$A2536),ISNUMBER('자료_한국심리'!$B2536)),'자료_한국심리'!$A2536,"")</f>
        <v/>
      </c>
      <c r="V2552">
        <f>IF(AND(ISNUMBER('자료_한국심리'!$D2536),ISNUMBER('자료_한국심리'!$E2536)),'자료_한국심리'!$D2536,"")</f>
        <v/>
      </c>
      <c r="W2552">
        <f>IF(AND(ISNUMBER('자료_한국심리'!$G2536),ISNUMBER('자료_한국심리'!$H2536)),'자료_한국심리'!$G2536,"")</f>
        <v/>
      </c>
      <c r="X2552">
        <f>IF(AND(ISNUMBER('자료_한국심리'!$J2536),ISNUMBER('자료_한국심리'!$K2536)),'자료_한국심리'!$J2536,"")</f>
        <v/>
      </c>
      <c r="Y2552">
        <f>IF(AND(ISNUMBER('자료_한국심리'!$M2536),ISNUMBER('자료_한국심리'!$N2536)),'자료_한국심리'!$M2536,"")</f>
        <v/>
      </c>
    </row>
    <row r="2553">
      <c r="U2553">
        <f>IF(AND(ISNUMBER('자료_한국심리'!$A2537),ISNUMBER('자료_한국심리'!$B2537)),'자료_한국심리'!$A2537,"")</f>
        <v/>
      </c>
      <c r="V2553">
        <f>IF(AND(ISNUMBER('자료_한국심리'!$D2537),ISNUMBER('자료_한국심리'!$E2537)),'자료_한국심리'!$D2537,"")</f>
        <v/>
      </c>
      <c r="W2553">
        <f>IF(AND(ISNUMBER('자료_한국심리'!$G2537),ISNUMBER('자료_한국심리'!$H2537)),'자료_한국심리'!$G2537,"")</f>
        <v/>
      </c>
      <c r="X2553">
        <f>IF(AND(ISNUMBER('자료_한국심리'!$J2537),ISNUMBER('자료_한국심리'!$K2537)),'자료_한국심리'!$J2537,"")</f>
        <v/>
      </c>
      <c r="Y2553">
        <f>IF(AND(ISNUMBER('자료_한국심리'!$M2537),ISNUMBER('자료_한국심리'!$N2537)),'자료_한국심리'!$M2537,"")</f>
        <v/>
      </c>
    </row>
    <row r="2554">
      <c r="U2554">
        <f>IF(AND(ISNUMBER('자료_한국심리'!$A2538),ISNUMBER('자료_한국심리'!$B2538)),'자료_한국심리'!$A2538,"")</f>
        <v/>
      </c>
      <c r="V2554">
        <f>IF(AND(ISNUMBER('자료_한국심리'!$D2538),ISNUMBER('자료_한국심리'!$E2538)),'자료_한국심리'!$D2538,"")</f>
        <v/>
      </c>
      <c r="W2554">
        <f>IF(AND(ISNUMBER('자료_한국심리'!$G2538),ISNUMBER('자료_한국심리'!$H2538)),'자료_한국심리'!$G2538,"")</f>
        <v/>
      </c>
      <c r="X2554">
        <f>IF(AND(ISNUMBER('자료_한국심리'!$J2538),ISNUMBER('자료_한국심리'!$K2538)),'자료_한국심리'!$J2538,"")</f>
        <v/>
      </c>
      <c r="Y2554">
        <f>IF(AND(ISNUMBER('자료_한국심리'!$M2538),ISNUMBER('자료_한국심리'!$N2538)),'자료_한국심리'!$M2538,"")</f>
        <v/>
      </c>
    </row>
    <row r="2555">
      <c r="U2555">
        <f>IF(AND(ISNUMBER('자료_한국심리'!$A2539),ISNUMBER('자료_한국심리'!$B2539)),'자료_한국심리'!$A2539,"")</f>
        <v/>
      </c>
      <c r="V2555">
        <f>IF(AND(ISNUMBER('자료_한국심리'!$D2539),ISNUMBER('자료_한국심리'!$E2539)),'자료_한국심리'!$D2539,"")</f>
        <v/>
      </c>
      <c r="W2555">
        <f>IF(AND(ISNUMBER('자료_한국심리'!$G2539),ISNUMBER('자료_한국심리'!$H2539)),'자료_한국심리'!$G2539,"")</f>
        <v/>
      </c>
      <c r="X2555">
        <f>IF(AND(ISNUMBER('자료_한국심리'!$J2539),ISNUMBER('자료_한국심리'!$K2539)),'자료_한국심리'!$J2539,"")</f>
        <v/>
      </c>
      <c r="Y2555">
        <f>IF(AND(ISNUMBER('자료_한국심리'!$M2539),ISNUMBER('자료_한국심리'!$N2539)),'자료_한국심리'!$M2539,"")</f>
        <v/>
      </c>
    </row>
    <row r="2556">
      <c r="U2556">
        <f>IF(AND(ISNUMBER('자료_한국심리'!$A2540),ISNUMBER('자료_한국심리'!$B2540)),'자료_한국심리'!$A2540,"")</f>
        <v/>
      </c>
      <c r="V2556">
        <f>IF(AND(ISNUMBER('자료_한국심리'!$D2540),ISNUMBER('자료_한국심리'!$E2540)),'자료_한국심리'!$D2540,"")</f>
        <v/>
      </c>
      <c r="W2556">
        <f>IF(AND(ISNUMBER('자료_한국심리'!$G2540),ISNUMBER('자료_한국심리'!$H2540)),'자료_한국심리'!$G2540,"")</f>
        <v/>
      </c>
      <c r="X2556">
        <f>IF(AND(ISNUMBER('자료_한국심리'!$J2540),ISNUMBER('자료_한국심리'!$K2540)),'자료_한국심리'!$J2540,"")</f>
        <v/>
      </c>
      <c r="Y2556">
        <f>IF(AND(ISNUMBER('자료_한국심리'!$M2540),ISNUMBER('자료_한국심리'!$N2540)),'자료_한국심리'!$M2540,"")</f>
        <v/>
      </c>
    </row>
    <row r="2557">
      <c r="U2557">
        <f>IF(AND(ISNUMBER('자료_한국심리'!$A2541),ISNUMBER('자료_한국심리'!$B2541)),'자료_한국심리'!$A2541,"")</f>
        <v/>
      </c>
      <c r="V2557">
        <f>IF(AND(ISNUMBER('자료_한국심리'!$D2541),ISNUMBER('자료_한국심리'!$E2541)),'자료_한국심리'!$D2541,"")</f>
        <v/>
      </c>
      <c r="W2557">
        <f>IF(AND(ISNUMBER('자료_한국심리'!$G2541),ISNUMBER('자료_한국심리'!$H2541)),'자료_한국심리'!$G2541,"")</f>
        <v/>
      </c>
      <c r="X2557">
        <f>IF(AND(ISNUMBER('자료_한국심리'!$J2541),ISNUMBER('자료_한국심리'!$K2541)),'자료_한국심리'!$J2541,"")</f>
        <v/>
      </c>
      <c r="Y2557">
        <f>IF(AND(ISNUMBER('자료_한국심리'!$M2541),ISNUMBER('자료_한국심리'!$N2541)),'자료_한국심리'!$M2541,"")</f>
        <v/>
      </c>
    </row>
    <row r="2558">
      <c r="U2558">
        <f>IF(AND(ISNUMBER('자료_한국심리'!$A2542),ISNUMBER('자료_한국심리'!$B2542)),'자료_한국심리'!$A2542,"")</f>
        <v/>
      </c>
      <c r="V2558">
        <f>IF(AND(ISNUMBER('자료_한국심리'!$D2542),ISNUMBER('자료_한국심리'!$E2542)),'자료_한국심리'!$D2542,"")</f>
        <v/>
      </c>
      <c r="W2558">
        <f>IF(AND(ISNUMBER('자료_한국심리'!$G2542),ISNUMBER('자료_한국심리'!$H2542)),'자료_한국심리'!$G2542,"")</f>
        <v/>
      </c>
      <c r="X2558">
        <f>IF(AND(ISNUMBER('자료_한국심리'!$J2542),ISNUMBER('자료_한국심리'!$K2542)),'자료_한국심리'!$J2542,"")</f>
        <v/>
      </c>
      <c r="Y2558">
        <f>IF(AND(ISNUMBER('자료_한국심리'!$M2542),ISNUMBER('자료_한국심리'!$N2542)),'자료_한국심리'!$M2542,"")</f>
        <v/>
      </c>
    </row>
    <row r="2559">
      <c r="U2559">
        <f>IF(AND(ISNUMBER('자료_한국심리'!$A2543),ISNUMBER('자료_한국심리'!$B2543)),'자료_한국심리'!$A2543,"")</f>
        <v/>
      </c>
      <c r="V2559">
        <f>IF(AND(ISNUMBER('자료_한국심리'!$D2543),ISNUMBER('자료_한국심리'!$E2543)),'자료_한국심리'!$D2543,"")</f>
        <v/>
      </c>
      <c r="W2559">
        <f>IF(AND(ISNUMBER('자료_한국심리'!$G2543),ISNUMBER('자료_한국심리'!$H2543)),'자료_한국심리'!$G2543,"")</f>
        <v/>
      </c>
      <c r="X2559">
        <f>IF(AND(ISNUMBER('자료_한국심리'!$J2543),ISNUMBER('자료_한국심리'!$K2543)),'자료_한국심리'!$J2543,"")</f>
        <v/>
      </c>
      <c r="Y2559">
        <f>IF(AND(ISNUMBER('자료_한국심리'!$M2543),ISNUMBER('자료_한국심리'!$N2543)),'자료_한국심리'!$M2543,"")</f>
        <v/>
      </c>
    </row>
    <row r="2560">
      <c r="U2560">
        <f>IF(AND(ISNUMBER('자료_한국심리'!$A2544),ISNUMBER('자료_한국심리'!$B2544)),'자료_한국심리'!$A2544,"")</f>
        <v/>
      </c>
      <c r="V2560">
        <f>IF(AND(ISNUMBER('자료_한국심리'!$D2544),ISNUMBER('자료_한국심리'!$E2544)),'자료_한국심리'!$D2544,"")</f>
        <v/>
      </c>
      <c r="W2560">
        <f>IF(AND(ISNUMBER('자료_한국심리'!$G2544),ISNUMBER('자료_한국심리'!$H2544)),'자료_한국심리'!$G2544,"")</f>
        <v/>
      </c>
      <c r="X2560">
        <f>IF(AND(ISNUMBER('자료_한국심리'!$J2544),ISNUMBER('자료_한국심리'!$K2544)),'자료_한국심리'!$J2544,"")</f>
        <v/>
      </c>
      <c r="Y2560">
        <f>IF(AND(ISNUMBER('자료_한국심리'!$M2544),ISNUMBER('자료_한국심리'!$N2544)),'자료_한국심리'!$M2544,"")</f>
        <v/>
      </c>
    </row>
    <row r="2561">
      <c r="U2561">
        <f>IF(AND(ISNUMBER('자료_한국심리'!$A2545),ISNUMBER('자료_한국심리'!$B2545)),'자료_한국심리'!$A2545,"")</f>
        <v/>
      </c>
      <c r="V2561">
        <f>IF(AND(ISNUMBER('자료_한국심리'!$D2545),ISNUMBER('자료_한국심리'!$E2545)),'자료_한국심리'!$D2545,"")</f>
        <v/>
      </c>
      <c r="W2561">
        <f>IF(AND(ISNUMBER('자료_한국심리'!$G2545),ISNUMBER('자료_한국심리'!$H2545)),'자료_한국심리'!$G2545,"")</f>
        <v/>
      </c>
      <c r="X2561">
        <f>IF(AND(ISNUMBER('자료_한국심리'!$J2545),ISNUMBER('자료_한국심리'!$K2545)),'자료_한국심리'!$J2545,"")</f>
        <v/>
      </c>
      <c r="Y2561">
        <f>IF(AND(ISNUMBER('자료_한국심리'!$M2545),ISNUMBER('자료_한국심리'!$N2545)),'자료_한국심리'!$M2545,"")</f>
        <v/>
      </c>
    </row>
    <row r="2562">
      <c r="U2562">
        <f>IF(AND(ISNUMBER('자료_한국심리'!$A2546),ISNUMBER('자료_한국심리'!$B2546)),'자료_한국심리'!$A2546,"")</f>
        <v/>
      </c>
      <c r="V2562">
        <f>IF(AND(ISNUMBER('자료_한국심리'!$D2546),ISNUMBER('자료_한국심리'!$E2546)),'자료_한국심리'!$D2546,"")</f>
        <v/>
      </c>
      <c r="W2562">
        <f>IF(AND(ISNUMBER('자료_한국심리'!$G2546),ISNUMBER('자료_한국심리'!$H2546)),'자료_한국심리'!$G2546,"")</f>
        <v/>
      </c>
      <c r="X2562">
        <f>IF(AND(ISNUMBER('자료_한국심리'!$J2546),ISNUMBER('자료_한국심리'!$K2546)),'자료_한국심리'!$J2546,"")</f>
        <v/>
      </c>
      <c r="Y2562">
        <f>IF(AND(ISNUMBER('자료_한국심리'!$M2546),ISNUMBER('자료_한국심리'!$N2546)),'자료_한국심리'!$M2546,"")</f>
        <v/>
      </c>
    </row>
    <row r="2563">
      <c r="U2563">
        <f>IF(AND(ISNUMBER('자료_한국심리'!$A2547),ISNUMBER('자료_한국심리'!$B2547)),'자료_한국심리'!$A2547,"")</f>
        <v/>
      </c>
      <c r="V2563">
        <f>IF(AND(ISNUMBER('자료_한국심리'!$D2547),ISNUMBER('자료_한국심리'!$E2547)),'자료_한국심리'!$D2547,"")</f>
        <v/>
      </c>
      <c r="W2563">
        <f>IF(AND(ISNUMBER('자료_한국심리'!$G2547),ISNUMBER('자료_한국심리'!$H2547)),'자료_한국심리'!$G2547,"")</f>
        <v/>
      </c>
      <c r="X2563">
        <f>IF(AND(ISNUMBER('자료_한국심리'!$J2547),ISNUMBER('자료_한국심리'!$K2547)),'자료_한국심리'!$J2547,"")</f>
        <v/>
      </c>
      <c r="Y2563">
        <f>IF(AND(ISNUMBER('자료_한국심리'!$M2547),ISNUMBER('자료_한국심리'!$N2547)),'자료_한국심리'!$M2547,"")</f>
        <v/>
      </c>
    </row>
    <row r="2564">
      <c r="U2564">
        <f>IF(AND(ISNUMBER('자료_한국심리'!$A2548),ISNUMBER('자료_한국심리'!$B2548)),'자료_한국심리'!$A2548,"")</f>
        <v/>
      </c>
      <c r="V2564">
        <f>IF(AND(ISNUMBER('자료_한국심리'!$D2548),ISNUMBER('자료_한국심리'!$E2548)),'자료_한국심리'!$D2548,"")</f>
        <v/>
      </c>
      <c r="W2564">
        <f>IF(AND(ISNUMBER('자료_한국심리'!$G2548),ISNUMBER('자료_한국심리'!$H2548)),'자료_한국심리'!$G2548,"")</f>
        <v/>
      </c>
      <c r="X2564">
        <f>IF(AND(ISNUMBER('자료_한국심리'!$J2548),ISNUMBER('자료_한국심리'!$K2548)),'자료_한국심리'!$J2548,"")</f>
        <v/>
      </c>
      <c r="Y2564">
        <f>IF(AND(ISNUMBER('자료_한국심리'!$M2548),ISNUMBER('자료_한국심리'!$N2548)),'자료_한국심리'!$M2548,"")</f>
        <v/>
      </c>
    </row>
    <row r="2565">
      <c r="U2565">
        <f>IF(AND(ISNUMBER('자료_한국심리'!$A2549),ISNUMBER('자료_한국심리'!$B2549)),'자료_한국심리'!$A2549,"")</f>
        <v/>
      </c>
      <c r="V2565">
        <f>IF(AND(ISNUMBER('자료_한국심리'!$D2549),ISNUMBER('자료_한국심리'!$E2549)),'자료_한국심리'!$D2549,"")</f>
        <v/>
      </c>
      <c r="W2565">
        <f>IF(AND(ISNUMBER('자료_한국심리'!$G2549),ISNUMBER('자료_한국심리'!$H2549)),'자료_한국심리'!$G2549,"")</f>
        <v/>
      </c>
      <c r="X2565">
        <f>IF(AND(ISNUMBER('자료_한국심리'!$J2549),ISNUMBER('자료_한국심리'!$K2549)),'자료_한국심리'!$J2549,"")</f>
        <v/>
      </c>
      <c r="Y2565">
        <f>IF(AND(ISNUMBER('자료_한국심리'!$M2549),ISNUMBER('자료_한국심리'!$N2549)),'자료_한국심리'!$M2549,"")</f>
        <v/>
      </c>
    </row>
    <row r="2566">
      <c r="U2566">
        <f>IF(AND(ISNUMBER('자료_한국심리'!$A2550),ISNUMBER('자료_한국심리'!$B2550)),'자료_한국심리'!$A2550,"")</f>
        <v/>
      </c>
      <c r="V2566">
        <f>IF(AND(ISNUMBER('자료_한국심리'!$D2550),ISNUMBER('자료_한국심리'!$E2550)),'자료_한국심리'!$D2550,"")</f>
        <v/>
      </c>
      <c r="W2566">
        <f>IF(AND(ISNUMBER('자료_한국심리'!$G2550),ISNUMBER('자료_한국심리'!$H2550)),'자료_한국심리'!$G2550,"")</f>
        <v/>
      </c>
      <c r="X2566">
        <f>IF(AND(ISNUMBER('자료_한국심리'!$J2550),ISNUMBER('자료_한국심리'!$K2550)),'자료_한국심리'!$J2550,"")</f>
        <v/>
      </c>
      <c r="Y2566">
        <f>IF(AND(ISNUMBER('자료_한국심리'!$M2550),ISNUMBER('자료_한국심리'!$N2550)),'자료_한국심리'!$M2550,"")</f>
        <v/>
      </c>
    </row>
    <row r="2567">
      <c r="U2567">
        <f>IF(AND(ISNUMBER('자료_한국심리'!$A2551),ISNUMBER('자료_한국심리'!$B2551)),'자료_한국심리'!$A2551,"")</f>
        <v/>
      </c>
      <c r="V2567">
        <f>IF(AND(ISNUMBER('자료_한국심리'!$D2551),ISNUMBER('자료_한국심리'!$E2551)),'자료_한국심리'!$D2551,"")</f>
        <v/>
      </c>
      <c r="W2567">
        <f>IF(AND(ISNUMBER('자료_한국심리'!$G2551),ISNUMBER('자료_한국심리'!$H2551)),'자료_한국심리'!$G2551,"")</f>
        <v/>
      </c>
      <c r="X2567">
        <f>IF(AND(ISNUMBER('자료_한국심리'!$J2551),ISNUMBER('자료_한국심리'!$K2551)),'자료_한국심리'!$J2551,"")</f>
        <v/>
      </c>
      <c r="Y2567">
        <f>IF(AND(ISNUMBER('자료_한국심리'!$M2551),ISNUMBER('자료_한국심리'!$N2551)),'자료_한국심리'!$M2551,"")</f>
        <v/>
      </c>
    </row>
    <row r="2568">
      <c r="U2568">
        <f>IF(AND(ISNUMBER('자료_한국심리'!$A2552),ISNUMBER('자료_한국심리'!$B2552)),'자료_한국심리'!$A2552,"")</f>
        <v/>
      </c>
      <c r="V2568">
        <f>IF(AND(ISNUMBER('자료_한국심리'!$D2552),ISNUMBER('자료_한국심리'!$E2552)),'자료_한국심리'!$D2552,"")</f>
        <v/>
      </c>
      <c r="W2568">
        <f>IF(AND(ISNUMBER('자료_한국심리'!$G2552),ISNUMBER('자료_한국심리'!$H2552)),'자료_한국심리'!$G2552,"")</f>
        <v/>
      </c>
      <c r="X2568">
        <f>IF(AND(ISNUMBER('자료_한국심리'!$J2552),ISNUMBER('자료_한국심리'!$K2552)),'자료_한국심리'!$J2552,"")</f>
        <v/>
      </c>
      <c r="Y2568">
        <f>IF(AND(ISNUMBER('자료_한국심리'!$M2552),ISNUMBER('자료_한국심리'!$N2552)),'자료_한국심리'!$M2552,"")</f>
        <v/>
      </c>
    </row>
    <row r="2569">
      <c r="U2569">
        <f>IF(AND(ISNUMBER('자료_한국심리'!$A2553),ISNUMBER('자료_한국심리'!$B2553)),'자료_한국심리'!$A2553,"")</f>
        <v/>
      </c>
      <c r="V2569">
        <f>IF(AND(ISNUMBER('자료_한국심리'!$D2553),ISNUMBER('자료_한국심리'!$E2553)),'자료_한국심리'!$D2553,"")</f>
        <v/>
      </c>
      <c r="W2569">
        <f>IF(AND(ISNUMBER('자료_한국심리'!$G2553),ISNUMBER('자료_한국심리'!$H2553)),'자료_한국심리'!$G2553,"")</f>
        <v/>
      </c>
      <c r="X2569">
        <f>IF(AND(ISNUMBER('자료_한국심리'!$J2553),ISNUMBER('자료_한국심리'!$K2553)),'자료_한국심리'!$J2553,"")</f>
        <v/>
      </c>
      <c r="Y2569">
        <f>IF(AND(ISNUMBER('자료_한국심리'!$M2553),ISNUMBER('자료_한국심리'!$N2553)),'자료_한국심리'!$M2553,"")</f>
        <v/>
      </c>
    </row>
    <row r="2570">
      <c r="U2570">
        <f>IF(AND(ISNUMBER('자료_한국심리'!$A2554),ISNUMBER('자료_한국심리'!$B2554)),'자료_한국심리'!$A2554,"")</f>
        <v/>
      </c>
      <c r="V2570">
        <f>IF(AND(ISNUMBER('자료_한국심리'!$D2554),ISNUMBER('자료_한국심리'!$E2554)),'자료_한국심리'!$D2554,"")</f>
        <v/>
      </c>
      <c r="W2570">
        <f>IF(AND(ISNUMBER('자료_한국심리'!$G2554),ISNUMBER('자료_한국심리'!$H2554)),'자료_한국심리'!$G2554,"")</f>
        <v/>
      </c>
      <c r="X2570">
        <f>IF(AND(ISNUMBER('자료_한국심리'!$J2554),ISNUMBER('자료_한국심리'!$K2554)),'자료_한국심리'!$J2554,"")</f>
        <v/>
      </c>
      <c r="Y2570">
        <f>IF(AND(ISNUMBER('자료_한국심리'!$M2554),ISNUMBER('자료_한국심리'!$N2554)),'자료_한국심리'!$M2554,"")</f>
        <v/>
      </c>
    </row>
    <row r="2571">
      <c r="U2571">
        <f>IF(AND(ISNUMBER('자료_한국심리'!$A2555),ISNUMBER('자료_한국심리'!$B2555)),'자료_한국심리'!$A2555,"")</f>
        <v/>
      </c>
      <c r="V2571">
        <f>IF(AND(ISNUMBER('자료_한국심리'!$D2555),ISNUMBER('자료_한국심리'!$E2555)),'자료_한국심리'!$D2555,"")</f>
        <v/>
      </c>
      <c r="W2571">
        <f>IF(AND(ISNUMBER('자료_한국심리'!$G2555),ISNUMBER('자료_한국심리'!$H2555)),'자료_한국심리'!$G2555,"")</f>
        <v/>
      </c>
      <c r="X2571">
        <f>IF(AND(ISNUMBER('자료_한국심리'!$J2555),ISNUMBER('자료_한국심리'!$K2555)),'자료_한국심리'!$J2555,"")</f>
        <v/>
      </c>
      <c r="Y2571">
        <f>IF(AND(ISNUMBER('자료_한국심리'!$M2555),ISNUMBER('자료_한국심리'!$N2555)),'자료_한국심리'!$M2555,"")</f>
        <v/>
      </c>
    </row>
    <row r="2572">
      <c r="U2572">
        <f>IF(AND(ISNUMBER('자료_한국심리'!$A2556),ISNUMBER('자료_한국심리'!$B2556)),'자료_한국심리'!$A2556,"")</f>
        <v/>
      </c>
      <c r="V2572">
        <f>IF(AND(ISNUMBER('자료_한국심리'!$D2556),ISNUMBER('자료_한국심리'!$E2556)),'자료_한국심리'!$D2556,"")</f>
        <v/>
      </c>
      <c r="W2572">
        <f>IF(AND(ISNUMBER('자료_한국심리'!$G2556),ISNUMBER('자료_한국심리'!$H2556)),'자료_한국심리'!$G2556,"")</f>
        <v/>
      </c>
      <c r="X2572">
        <f>IF(AND(ISNUMBER('자료_한국심리'!$J2556),ISNUMBER('자료_한국심리'!$K2556)),'자료_한국심리'!$J2556,"")</f>
        <v/>
      </c>
      <c r="Y2572">
        <f>IF(AND(ISNUMBER('자료_한국심리'!$M2556),ISNUMBER('자료_한국심리'!$N2556)),'자료_한국심리'!$M2556,"")</f>
        <v/>
      </c>
    </row>
    <row r="2573">
      <c r="U2573">
        <f>IF(AND(ISNUMBER('자료_한국심리'!$A2557),ISNUMBER('자료_한국심리'!$B2557)),'자료_한국심리'!$A2557,"")</f>
        <v/>
      </c>
      <c r="V2573">
        <f>IF(AND(ISNUMBER('자료_한국심리'!$D2557),ISNUMBER('자료_한국심리'!$E2557)),'자료_한국심리'!$D2557,"")</f>
        <v/>
      </c>
      <c r="W2573">
        <f>IF(AND(ISNUMBER('자료_한국심리'!$G2557),ISNUMBER('자료_한국심리'!$H2557)),'자료_한국심리'!$G2557,"")</f>
        <v/>
      </c>
      <c r="X2573">
        <f>IF(AND(ISNUMBER('자료_한국심리'!$J2557),ISNUMBER('자료_한국심리'!$K2557)),'자료_한국심리'!$J2557,"")</f>
        <v/>
      </c>
      <c r="Y2573">
        <f>IF(AND(ISNUMBER('자료_한국심리'!$M2557),ISNUMBER('자료_한국심리'!$N2557)),'자료_한국심리'!$M2557,"")</f>
        <v/>
      </c>
    </row>
    <row r="2574">
      <c r="U2574">
        <f>IF(AND(ISNUMBER('자료_한국심리'!$A2558),ISNUMBER('자료_한국심리'!$B2558)),'자료_한국심리'!$A2558,"")</f>
        <v/>
      </c>
      <c r="V2574">
        <f>IF(AND(ISNUMBER('자료_한국심리'!$D2558),ISNUMBER('자료_한국심리'!$E2558)),'자료_한국심리'!$D2558,"")</f>
        <v/>
      </c>
      <c r="W2574">
        <f>IF(AND(ISNUMBER('자료_한국심리'!$G2558),ISNUMBER('자료_한국심리'!$H2558)),'자료_한국심리'!$G2558,"")</f>
        <v/>
      </c>
      <c r="X2574">
        <f>IF(AND(ISNUMBER('자료_한국심리'!$J2558),ISNUMBER('자료_한국심리'!$K2558)),'자료_한국심리'!$J2558,"")</f>
        <v/>
      </c>
      <c r="Y2574">
        <f>IF(AND(ISNUMBER('자료_한국심리'!$M2558),ISNUMBER('자료_한국심리'!$N2558)),'자료_한국심리'!$M2558,"")</f>
        <v/>
      </c>
    </row>
    <row r="2575">
      <c r="U2575">
        <f>IF(AND(ISNUMBER('자료_한국심리'!$A2559),ISNUMBER('자료_한국심리'!$B2559)),'자료_한국심리'!$A2559,"")</f>
        <v/>
      </c>
      <c r="V2575">
        <f>IF(AND(ISNUMBER('자료_한국심리'!$D2559),ISNUMBER('자료_한국심리'!$E2559)),'자료_한국심리'!$D2559,"")</f>
        <v/>
      </c>
      <c r="W2575">
        <f>IF(AND(ISNUMBER('자료_한국심리'!$G2559),ISNUMBER('자료_한국심리'!$H2559)),'자료_한국심리'!$G2559,"")</f>
        <v/>
      </c>
      <c r="X2575">
        <f>IF(AND(ISNUMBER('자료_한국심리'!$J2559),ISNUMBER('자료_한국심리'!$K2559)),'자료_한국심리'!$J2559,"")</f>
        <v/>
      </c>
      <c r="Y2575">
        <f>IF(AND(ISNUMBER('자료_한국심리'!$M2559),ISNUMBER('자료_한국심리'!$N2559)),'자료_한국심리'!$M2559,"")</f>
        <v/>
      </c>
    </row>
    <row r="2576">
      <c r="U2576">
        <f>IF(AND(ISNUMBER('자료_한국심리'!$A2560),ISNUMBER('자료_한국심리'!$B2560)),'자료_한국심리'!$A2560,"")</f>
        <v/>
      </c>
      <c r="V2576">
        <f>IF(AND(ISNUMBER('자료_한국심리'!$D2560),ISNUMBER('자료_한국심리'!$E2560)),'자료_한국심리'!$D2560,"")</f>
        <v/>
      </c>
      <c r="W2576">
        <f>IF(AND(ISNUMBER('자료_한국심리'!$G2560),ISNUMBER('자료_한국심리'!$H2560)),'자료_한국심리'!$G2560,"")</f>
        <v/>
      </c>
      <c r="X2576">
        <f>IF(AND(ISNUMBER('자료_한국심리'!$J2560),ISNUMBER('자료_한국심리'!$K2560)),'자료_한국심리'!$J2560,"")</f>
        <v/>
      </c>
      <c r="Y2576">
        <f>IF(AND(ISNUMBER('자료_한국심리'!$M2560),ISNUMBER('자료_한국심리'!$N2560)),'자료_한국심리'!$M2560,"")</f>
        <v/>
      </c>
    </row>
    <row r="2577">
      <c r="U2577">
        <f>IF(AND(ISNUMBER('자료_한국심리'!$A2561),ISNUMBER('자료_한국심리'!$B2561)),'자료_한국심리'!$A2561,"")</f>
        <v/>
      </c>
      <c r="V2577">
        <f>IF(AND(ISNUMBER('자료_한국심리'!$D2561),ISNUMBER('자료_한국심리'!$E2561)),'자료_한국심리'!$D2561,"")</f>
        <v/>
      </c>
      <c r="W2577">
        <f>IF(AND(ISNUMBER('자료_한국심리'!$G2561),ISNUMBER('자료_한국심리'!$H2561)),'자료_한국심리'!$G2561,"")</f>
        <v/>
      </c>
      <c r="X2577">
        <f>IF(AND(ISNUMBER('자료_한국심리'!$J2561),ISNUMBER('자료_한국심리'!$K2561)),'자료_한국심리'!$J2561,"")</f>
        <v/>
      </c>
      <c r="Y2577">
        <f>IF(AND(ISNUMBER('자료_한국심리'!$M2561),ISNUMBER('자료_한국심리'!$N2561)),'자료_한국심리'!$M2561,"")</f>
        <v/>
      </c>
    </row>
    <row r="2578">
      <c r="U2578">
        <f>IF(AND(ISNUMBER('자료_한국심리'!$A2562),ISNUMBER('자료_한국심리'!$B2562)),'자료_한국심리'!$A2562,"")</f>
        <v/>
      </c>
      <c r="V2578">
        <f>IF(AND(ISNUMBER('자료_한국심리'!$D2562),ISNUMBER('자료_한국심리'!$E2562)),'자료_한국심리'!$D2562,"")</f>
        <v/>
      </c>
      <c r="W2578">
        <f>IF(AND(ISNUMBER('자료_한국심리'!$G2562),ISNUMBER('자료_한국심리'!$H2562)),'자료_한국심리'!$G2562,"")</f>
        <v/>
      </c>
      <c r="X2578">
        <f>IF(AND(ISNUMBER('자료_한국심리'!$J2562),ISNUMBER('자료_한국심리'!$K2562)),'자료_한국심리'!$J2562,"")</f>
        <v/>
      </c>
      <c r="Y2578">
        <f>IF(AND(ISNUMBER('자료_한국심리'!$M2562),ISNUMBER('자료_한국심리'!$N2562)),'자료_한국심리'!$M2562,"")</f>
        <v/>
      </c>
    </row>
    <row r="2579">
      <c r="U2579">
        <f>IF(AND(ISNUMBER('자료_한국심리'!$A2563),ISNUMBER('자료_한국심리'!$B2563)),'자료_한국심리'!$A2563,"")</f>
        <v/>
      </c>
      <c r="V2579">
        <f>IF(AND(ISNUMBER('자료_한국심리'!$D2563),ISNUMBER('자료_한국심리'!$E2563)),'자료_한국심리'!$D2563,"")</f>
        <v/>
      </c>
      <c r="W2579">
        <f>IF(AND(ISNUMBER('자료_한국심리'!$G2563),ISNUMBER('자료_한국심리'!$H2563)),'자료_한국심리'!$G2563,"")</f>
        <v/>
      </c>
      <c r="X2579">
        <f>IF(AND(ISNUMBER('자료_한국심리'!$J2563),ISNUMBER('자료_한국심리'!$K2563)),'자료_한국심리'!$J2563,"")</f>
        <v/>
      </c>
      <c r="Y2579">
        <f>IF(AND(ISNUMBER('자료_한국심리'!$M2563),ISNUMBER('자료_한국심리'!$N2563)),'자료_한국심리'!$M2563,"")</f>
        <v/>
      </c>
    </row>
    <row r="2580">
      <c r="U2580">
        <f>IF(AND(ISNUMBER('자료_한국심리'!$A2564),ISNUMBER('자료_한국심리'!$B2564)),'자료_한국심리'!$A2564,"")</f>
        <v/>
      </c>
      <c r="V2580">
        <f>IF(AND(ISNUMBER('자료_한국심리'!$D2564),ISNUMBER('자료_한국심리'!$E2564)),'자료_한국심리'!$D2564,"")</f>
        <v/>
      </c>
      <c r="W2580">
        <f>IF(AND(ISNUMBER('자료_한국심리'!$G2564),ISNUMBER('자료_한국심리'!$H2564)),'자료_한국심리'!$G2564,"")</f>
        <v/>
      </c>
      <c r="X2580">
        <f>IF(AND(ISNUMBER('자료_한국심리'!$J2564),ISNUMBER('자료_한국심리'!$K2564)),'자료_한국심리'!$J2564,"")</f>
        <v/>
      </c>
      <c r="Y2580">
        <f>IF(AND(ISNUMBER('자료_한국심리'!$M2564),ISNUMBER('자료_한국심리'!$N2564)),'자료_한국심리'!$M2564,"")</f>
        <v/>
      </c>
    </row>
    <row r="2581">
      <c r="U2581">
        <f>IF(AND(ISNUMBER('자료_한국심리'!$A2565),ISNUMBER('자료_한국심리'!$B2565)),'자료_한국심리'!$A2565,"")</f>
        <v/>
      </c>
      <c r="V2581">
        <f>IF(AND(ISNUMBER('자료_한국심리'!$D2565),ISNUMBER('자료_한국심리'!$E2565)),'자료_한국심리'!$D2565,"")</f>
        <v/>
      </c>
      <c r="W2581">
        <f>IF(AND(ISNUMBER('자료_한국심리'!$G2565),ISNUMBER('자료_한국심리'!$H2565)),'자료_한국심리'!$G2565,"")</f>
        <v/>
      </c>
      <c r="X2581">
        <f>IF(AND(ISNUMBER('자료_한국심리'!$J2565),ISNUMBER('자료_한국심리'!$K2565)),'자료_한국심리'!$J2565,"")</f>
        <v/>
      </c>
      <c r="Y2581">
        <f>IF(AND(ISNUMBER('자료_한국심리'!$M2565),ISNUMBER('자료_한국심리'!$N2565)),'자료_한국심리'!$M2565,"")</f>
        <v/>
      </c>
    </row>
    <row r="2582">
      <c r="U2582">
        <f>IF(AND(ISNUMBER('자료_한국심리'!$A2566),ISNUMBER('자료_한국심리'!$B2566)),'자료_한국심리'!$A2566,"")</f>
        <v/>
      </c>
      <c r="V2582">
        <f>IF(AND(ISNUMBER('자료_한국심리'!$D2566),ISNUMBER('자료_한국심리'!$E2566)),'자료_한국심리'!$D2566,"")</f>
        <v/>
      </c>
      <c r="W2582">
        <f>IF(AND(ISNUMBER('자료_한국심리'!$G2566),ISNUMBER('자료_한국심리'!$H2566)),'자료_한국심리'!$G2566,"")</f>
        <v/>
      </c>
      <c r="X2582">
        <f>IF(AND(ISNUMBER('자료_한국심리'!$J2566),ISNUMBER('자료_한국심리'!$K2566)),'자료_한국심리'!$J2566,"")</f>
        <v/>
      </c>
      <c r="Y2582">
        <f>IF(AND(ISNUMBER('자료_한국심리'!$M2566),ISNUMBER('자료_한국심리'!$N2566)),'자료_한국심리'!$M2566,"")</f>
        <v/>
      </c>
    </row>
    <row r="2583">
      <c r="U2583">
        <f>IF(AND(ISNUMBER('자료_한국심리'!$A2567),ISNUMBER('자료_한국심리'!$B2567)),'자료_한국심리'!$A2567,"")</f>
        <v/>
      </c>
      <c r="V2583">
        <f>IF(AND(ISNUMBER('자료_한국심리'!$D2567),ISNUMBER('자료_한국심리'!$E2567)),'자료_한국심리'!$D2567,"")</f>
        <v/>
      </c>
      <c r="W2583">
        <f>IF(AND(ISNUMBER('자료_한국심리'!$G2567),ISNUMBER('자료_한국심리'!$H2567)),'자료_한국심리'!$G2567,"")</f>
        <v/>
      </c>
      <c r="X2583">
        <f>IF(AND(ISNUMBER('자료_한국심리'!$J2567),ISNUMBER('자료_한국심리'!$K2567)),'자료_한국심리'!$J2567,"")</f>
        <v/>
      </c>
      <c r="Y2583">
        <f>IF(AND(ISNUMBER('자료_한국심리'!$M2567),ISNUMBER('자료_한국심리'!$N2567)),'자료_한국심리'!$M2567,"")</f>
        <v/>
      </c>
    </row>
    <row r="2584">
      <c r="U2584">
        <f>IF(AND(ISNUMBER('자료_한국심리'!$A2568),ISNUMBER('자료_한국심리'!$B2568)),'자료_한국심리'!$A2568,"")</f>
        <v/>
      </c>
      <c r="V2584">
        <f>IF(AND(ISNUMBER('자료_한국심리'!$D2568),ISNUMBER('자료_한국심리'!$E2568)),'자료_한국심리'!$D2568,"")</f>
        <v/>
      </c>
      <c r="W2584">
        <f>IF(AND(ISNUMBER('자료_한국심리'!$G2568),ISNUMBER('자료_한국심리'!$H2568)),'자료_한국심리'!$G2568,"")</f>
        <v/>
      </c>
      <c r="X2584">
        <f>IF(AND(ISNUMBER('자료_한국심리'!$J2568),ISNUMBER('자료_한국심리'!$K2568)),'자료_한국심리'!$J2568,"")</f>
        <v/>
      </c>
      <c r="Y2584">
        <f>IF(AND(ISNUMBER('자료_한국심리'!$M2568),ISNUMBER('자료_한국심리'!$N2568)),'자료_한국심리'!$M2568,"")</f>
        <v/>
      </c>
    </row>
    <row r="2585">
      <c r="U2585">
        <f>IF(AND(ISNUMBER('자료_한국심리'!$A2569),ISNUMBER('자료_한국심리'!$B2569)),'자료_한국심리'!$A2569,"")</f>
        <v/>
      </c>
      <c r="V2585">
        <f>IF(AND(ISNUMBER('자료_한국심리'!$D2569),ISNUMBER('자료_한국심리'!$E2569)),'자료_한국심리'!$D2569,"")</f>
        <v/>
      </c>
      <c r="W2585">
        <f>IF(AND(ISNUMBER('자료_한국심리'!$G2569),ISNUMBER('자료_한국심리'!$H2569)),'자료_한국심리'!$G2569,"")</f>
        <v/>
      </c>
      <c r="X2585">
        <f>IF(AND(ISNUMBER('자료_한국심리'!$J2569),ISNUMBER('자료_한국심리'!$K2569)),'자료_한국심리'!$J2569,"")</f>
        <v/>
      </c>
      <c r="Y2585">
        <f>IF(AND(ISNUMBER('자료_한국심리'!$M2569),ISNUMBER('자료_한국심리'!$N2569)),'자료_한국심리'!$M2569,"")</f>
        <v/>
      </c>
    </row>
    <row r="2586">
      <c r="U2586">
        <f>IF(AND(ISNUMBER('자료_한국심리'!$A2570),ISNUMBER('자료_한국심리'!$B2570)),'자료_한국심리'!$A2570,"")</f>
        <v/>
      </c>
      <c r="V2586">
        <f>IF(AND(ISNUMBER('자료_한국심리'!$D2570),ISNUMBER('자료_한국심리'!$E2570)),'자료_한국심리'!$D2570,"")</f>
        <v/>
      </c>
      <c r="W2586">
        <f>IF(AND(ISNUMBER('자료_한국심리'!$G2570),ISNUMBER('자료_한국심리'!$H2570)),'자료_한국심리'!$G2570,"")</f>
        <v/>
      </c>
      <c r="X2586">
        <f>IF(AND(ISNUMBER('자료_한국심리'!$J2570),ISNUMBER('자료_한국심리'!$K2570)),'자료_한국심리'!$J2570,"")</f>
        <v/>
      </c>
      <c r="Y2586">
        <f>IF(AND(ISNUMBER('자료_한국심리'!$M2570),ISNUMBER('자료_한국심리'!$N2570)),'자료_한국심리'!$M2570,"")</f>
        <v/>
      </c>
    </row>
    <row r="2587">
      <c r="U2587">
        <f>IF(AND(ISNUMBER('자료_한국심리'!$A2571),ISNUMBER('자료_한국심리'!$B2571)),'자료_한국심리'!$A2571,"")</f>
        <v/>
      </c>
      <c r="V2587">
        <f>IF(AND(ISNUMBER('자료_한국심리'!$D2571),ISNUMBER('자료_한국심리'!$E2571)),'자료_한국심리'!$D2571,"")</f>
        <v/>
      </c>
      <c r="W2587">
        <f>IF(AND(ISNUMBER('자료_한국심리'!$G2571),ISNUMBER('자료_한국심리'!$H2571)),'자료_한국심리'!$G2571,"")</f>
        <v/>
      </c>
      <c r="X2587">
        <f>IF(AND(ISNUMBER('자료_한국심리'!$J2571),ISNUMBER('자료_한국심리'!$K2571)),'자료_한국심리'!$J2571,"")</f>
        <v/>
      </c>
      <c r="Y2587">
        <f>IF(AND(ISNUMBER('자료_한국심리'!$M2571),ISNUMBER('자료_한국심리'!$N2571)),'자료_한국심리'!$M2571,"")</f>
        <v/>
      </c>
    </row>
    <row r="2588">
      <c r="U2588">
        <f>IF(AND(ISNUMBER('자료_한국심리'!$A2572),ISNUMBER('자료_한국심리'!$B2572)),'자료_한국심리'!$A2572,"")</f>
        <v/>
      </c>
      <c r="V2588">
        <f>IF(AND(ISNUMBER('자료_한국심리'!$D2572),ISNUMBER('자료_한국심리'!$E2572)),'자료_한국심리'!$D2572,"")</f>
        <v/>
      </c>
      <c r="W2588">
        <f>IF(AND(ISNUMBER('자료_한국심리'!$G2572),ISNUMBER('자료_한국심리'!$H2572)),'자료_한국심리'!$G2572,"")</f>
        <v/>
      </c>
      <c r="X2588">
        <f>IF(AND(ISNUMBER('자료_한국심리'!$J2572),ISNUMBER('자료_한국심리'!$K2572)),'자료_한국심리'!$J2572,"")</f>
        <v/>
      </c>
      <c r="Y2588">
        <f>IF(AND(ISNUMBER('자료_한국심리'!$M2572),ISNUMBER('자료_한국심리'!$N2572)),'자료_한국심리'!$M2572,"")</f>
        <v/>
      </c>
    </row>
    <row r="2589">
      <c r="U2589">
        <f>IF(AND(ISNUMBER('자료_한국심리'!$A2573),ISNUMBER('자료_한국심리'!$B2573)),'자료_한국심리'!$A2573,"")</f>
        <v/>
      </c>
      <c r="V2589">
        <f>IF(AND(ISNUMBER('자료_한국심리'!$D2573),ISNUMBER('자료_한국심리'!$E2573)),'자료_한국심리'!$D2573,"")</f>
        <v/>
      </c>
      <c r="W2589">
        <f>IF(AND(ISNUMBER('자료_한국심리'!$G2573),ISNUMBER('자료_한국심리'!$H2573)),'자료_한국심리'!$G2573,"")</f>
        <v/>
      </c>
      <c r="X2589">
        <f>IF(AND(ISNUMBER('자료_한국심리'!$J2573),ISNUMBER('자료_한국심리'!$K2573)),'자료_한국심리'!$J2573,"")</f>
        <v/>
      </c>
      <c r="Y2589">
        <f>IF(AND(ISNUMBER('자료_한국심리'!$M2573),ISNUMBER('자료_한국심리'!$N2573)),'자료_한국심리'!$M2573,"")</f>
        <v/>
      </c>
    </row>
    <row r="2590">
      <c r="U2590">
        <f>IF(AND(ISNUMBER('자료_한국심리'!$A2574),ISNUMBER('자료_한국심리'!$B2574)),'자료_한국심리'!$A2574,"")</f>
        <v/>
      </c>
      <c r="V2590">
        <f>IF(AND(ISNUMBER('자료_한국심리'!$D2574),ISNUMBER('자료_한국심리'!$E2574)),'자료_한국심리'!$D2574,"")</f>
        <v/>
      </c>
      <c r="W2590">
        <f>IF(AND(ISNUMBER('자료_한국심리'!$G2574),ISNUMBER('자료_한국심리'!$H2574)),'자료_한국심리'!$G2574,"")</f>
        <v/>
      </c>
      <c r="X2590">
        <f>IF(AND(ISNUMBER('자료_한국심리'!$J2574),ISNUMBER('자료_한국심리'!$K2574)),'자료_한국심리'!$J2574,"")</f>
        <v/>
      </c>
      <c r="Y2590">
        <f>IF(AND(ISNUMBER('자료_한국심리'!$M2574),ISNUMBER('자료_한국심리'!$N2574)),'자료_한국심리'!$M2574,"")</f>
        <v/>
      </c>
    </row>
    <row r="2591">
      <c r="U2591">
        <f>IF(AND(ISNUMBER('자료_한국심리'!$A2575),ISNUMBER('자료_한국심리'!$B2575)),'자료_한국심리'!$A2575,"")</f>
        <v/>
      </c>
      <c r="V2591">
        <f>IF(AND(ISNUMBER('자료_한국심리'!$D2575),ISNUMBER('자료_한국심리'!$E2575)),'자료_한국심리'!$D2575,"")</f>
        <v/>
      </c>
      <c r="W2591">
        <f>IF(AND(ISNUMBER('자료_한국심리'!$G2575),ISNUMBER('자료_한국심리'!$H2575)),'자료_한국심리'!$G2575,"")</f>
        <v/>
      </c>
      <c r="X2591">
        <f>IF(AND(ISNUMBER('자료_한국심리'!$J2575),ISNUMBER('자료_한국심리'!$K2575)),'자료_한국심리'!$J2575,"")</f>
        <v/>
      </c>
      <c r="Y2591">
        <f>IF(AND(ISNUMBER('자료_한국심리'!$M2575),ISNUMBER('자료_한국심리'!$N2575)),'자료_한국심리'!$M2575,"")</f>
        <v/>
      </c>
    </row>
    <row r="2592">
      <c r="U2592">
        <f>IF(AND(ISNUMBER('자료_한국심리'!$A2576),ISNUMBER('자료_한국심리'!$B2576)),'자료_한국심리'!$A2576,"")</f>
        <v/>
      </c>
      <c r="V2592">
        <f>IF(AND(ISNUMBER('자료_한국심리'!$D2576),ISNUMBER('자료_한국심리'!$E2576)),'자료_한국심리'!$D2576,"")</f>
        <v/>
      </c>
      <c r="W2592">
        <f>IF(AND(ISNUMBER('자료_한국심리'!$G2576),ISNUMBER('자료_한국심리'!$H2576)),'자료_한국심리'!$G2576,"")</f>
        <v/>
      </c>
      <c r="X2592">
        <f>IF(AND(ISNUMBER('자료_한국심리'!$J2576),ISNUMBER('자료_한국심리'!$K2576)),'자료_한국심리'!$J2576,"")</f>
        <v/>
      </c>
      <c r="Y2592">
        <f>IF(AND(ISNUMBER('자료_한국심리'!$M2576),ISNUMBER('자료_한국심리'!$N2576)),'자료_한국심리'!$M2576,"")</f>
        <v/>
      </c>
    </row>
    <row r="2593">
      <c r="U2593">
        <f>IF(AND(ISNUMBER('자료_한국심리'!$A2577),ISNUMBER('자료_한국심리'!$B2577)),'자료_한국심리'!$A2577,"")</f>
        <v/>
      </c>
      <c r="V2593">
        <f>IF(AND(ISNUMBER('자료_한국심리'!$D2577),ISNUMBER('자료_한국심리'!$E2577)),'자료_한국심리'!$D2577,"")</f>
        <v/>
      </c>
      <c r="W2593">
        <f>IF(AND(ISNUMBER('자료_한국심리'!$G2577),ISNUMBER('자료_한국심리'!$H2577)),'자료_한국심리'!$G2577,"")</f>
        <v/>
      </c>
      <c r="X2593">
        <f>IF(AND(ISNUMBER('자료_한국심리'!$J2577),ISNUMBER('자료_한국심리'!$K2577)),'자료_한국심리'!$J2577,"")</f>
        <v/>
      </c>
      <c r="Y2593">
        <f>IF(AND(ISNUMBER('자료_한국심리'!$M2577),ISNUMBER('자료_한국심리'!$N2577)),'자료_한국심리'!$M2577,"")</f>
        <v/>
      </c>
    </row>
    <row r="2594">
      <c r="U2594">
        <f>IF(AND(ISNUMBER('자료_한국심리'!$A2578),ISNUMBER('자료_한국심리'!$B2578)),'자료_한국심리'!$A2578,"")</f>
        <v/>
      </c>
      <c r="V2594">
        <f>IF(AND(ISNUMBER('자료_한국심리'!$D2578),ISNUMBER('자료_한국심리'!$E2578)),'자료_한국심리'!$D2578,"")</f>
        <v/>
      </c>
      <c r="W2594">
        <f>IF(AND(ISNUMBER('자료_한국심리'!$G2578),ISNUMBER('자료_한국심리'!$H2578)),'자료_한국심리'!$G2578,"")</f>
        <v/>
      </c>
      <c r="X2594">
        <f>IF(AND(ISNUMBER('자료_한국심리'!$J2578),ISNUMBER('자료_한국심리'!$K2578)),'자료_한국심리'!$J2578,"")</f>
        <v/>
      </c>
      <c r="Y2594">
        <f>IF(AND(ISNUMBER('자료_한국심리'!$M2578),ISNUMBER('자료_한국심리'!$N2578)),'자료_한국심리'!$M2578,"")</f>
        <v/>
      </c>
    </row>
    <row r="2595">
      <c r="U2595">
        <f>IF(AND(ISNUMBER('자료_한국심리'!$A2579),ISNUMBER('자료_한국심리'!$B2579)),'자료_한국심리'!$A2579,"")</f>
        <v/>
      </c>
      <c r="V2595">
        <f>IF(AND(ISNUMBER('자료_한국심리'!$D2579),ISNUMBER('자료_한국심리'!$E2579)),'자료_한국심리'!$D2579,"")</f>
        <v/>
      </c>
      <c r="W2595">
        <f>IF(AND(ISNUMBER('자료_한국심리'!$G2579),ISNUMBER('자료_한국심리'!$H2579)),'자료_한국심리'!$G2579,"")</f>
        <v/>
      </c>
      <c r="X2595">
        <f>IF(AND(ISNUMBER('자료_한국심리'!$J2579),ISNUMBER('자료_한국심리'!$K2579)),'자료_한국심리'!$J2579,"")</f>
        <v/>
      </c>
      <c r="Y2595">
        <f>IF(AND(ISNUMBER('자료_한국심리'!$M2579),ISNUMBER('자료_한국심리'!$N2579)),'자료_한국심리'!$M2579,"")</f>
        <v/>
      </c>
    </row>
    <row r="2596">
      <c r="U2596">
        <f>IF(AND(ISNUMBER('자료_한국심리'!$A2580),ISNUMBER('자료_한국심리'!$B2580)),'자료_한국심리'!$A2580,"")</f>
        <v/>
      </c>
      <c r="V2596">
        <f>IF(AND(ISNUMBER('자료_한국심리'!$D2580),ISNUMBER('자료_한국심리'!$E2580)),'자료_한국심리'!$D2580,"")</f>
        <v/>
      </c>
      <c r="W2596">
        <f>IF(AND(ISNUMBER('자료_한국심리'!$G2580),ISNUMBER('자료_한국심리'!$H2580)),'자료_한국심리'!$G2580,"")</f>
        <v/>
      </c>
      <c r="X2596">
        <f>IF(AND(ISNUMBER('자료_한국심리'!$J2580),ISNUMBER('자료_한국심리'!$K2580)),'자료_한국심리'!$J2580,"")</f>
        <v/>
      </c>
      <c r="Y2596">
        <f>IF(AND(ISNUMBER('자료_한국심리'!$M2580),ISNUMBER('자료_한국심리'!$N2580)),'자료_한국심리'!$M2580,"")</f>
        <v/>
      </c>
    </row>
    <row r="2597">
      <c r="U2597">
        <f>IF(AND(ISNUMBER('자료_한국심리'!$A2581),ISNUMBER('자료_한국심리'!$B2581)),'자료_한국심리'!$A2581,"")</f>
        <v/>
      </c>
      <c r="V2597">
        <f>IF(AND(ISNUMBER('자료_한국심리'!$D2581),ISNUMBER('자료_한국심리'!$E2581)),'자료_한국심리'!$D2581,"")</f>
        <v/>
      </c>
      <c r="W2597">
        <f>IF(AND(ISNUMBER('자료_한국심리'!$G2581),ISNUMBER('자료_한국심리'!$H2581)),'자료_한국심리'!$G2581,"")</f>
        <v/>
      </c>
      <c r="X2597">
        <f>IF(AND(ISNUMBER('자료_한국심리'!$J2581),ISNUMBER('자료_한국심리'!$K2581)),'자료_한국심리'!$J2581,"")</f>
        <v/>
      </c>
      <c r="Y2597">
        <f>IF(AND(ISNUMBER('자료_한국심리'!$M2581),ISNUMBER('자료_한국심리'!$N2581)),'자료_한국심리'!$M2581,"")</f>
        <v/>
      </c>
    </row>
    <row r="2598">
      <c r="U2598">
        <f>IF(AND(ISNUMBER('자료_한국심리'!$A2582),ISNUMBER('자료_한국심리'!$B2582)),'자료_한국심리'!$A2582,"")</f>
        <v/>
      </c>
      <c r="V2598">
        <f>IF(AND(ISNUMBER('자료_한국심리'!$D2582),ISNUMBER('자료_한국심리'!$E2582)),'자료_한국심리'!$D2582,"")</f>
        <v/>
      </c>
      <c r="W2598">
        <f>IF(AND(ISNUMBER('자료_한국심리'!$G2582),ISNUMBER('자료_한국심리'!$H2582)),'자료_한국심리'!$G2582,"")</f>
        <v/>
      </c>
      <c r="X2598">
        <f>IF(AND(ISNUMBER('자료_한국심리'!$J2582),ISNUMBER('자료_한국심리'!$K2582)),'자료_한국심리'!$J2582,"")</f>
        <v/>
      </c>
      <c r="Y2598">
        <f>IF(AND(ISNUMBER('자료_한국심리'!$M2582),ISNUMBER('자료_한국심리'!$N2582)),'자료_한국심리'!$M2582,"")</f>
        <v/>
      </c>
    </row>
    <row r="2599">
      <c r="U2599">
        <f>IF(AND(ISNUMBER('자료_한국심리'!$A2583),ISNUMBER('자료_한국심리'!$B2583)),'자료_한국심리'!$A2583,"")</f>
        <v/>
      </c>
      <c r="V2599">
        <f>IF(AND(ISNUMBER('자료_한국심리'!$D2583),ISNUMBER('자료_한국심리'!$E2583)),'자료_한국심리'!$D2583,"")</f>
        <v/>
      </c>
      <c r="W2599">
        <f>IF(AND(ISNUMBER('자료_한국심리'!$G2583),ISNUMBER('자료_한국심리'!$H2583)),'자료_한국심리'!$G2583,"")</f>
        <v/>
      </c>
      <c r="X2599">
        <f>IF(AND(ISNUMBER('자료_한국심리'!$J2583),ISNUMBER('자료_한국심리'!$K2583)),'자료_한국심리'!$J2583,"")</f>
        <v/>
      </c>
      <c r="Y2599">
        <f>IF(AND(ISNUMBER('자료_한국심리'!$M2583),ISNUMBER('자료_한국심리'!$N2583)),'자료_한국심리'!$M2583,"")</f>
        <v/>
      </c>
    </row>
    <row r="2600">
      <c r="U2600">
        <f>IF(AND(ISNUMBER('자료_한국심리'!$A2584),ISNUMBER('자료_한국심리'!$B2584)),'자료_한국심리'!$A2584,"")</f>
        <v/>
      </c>
      <c r="V2600">
        <f>IF(AND(ISNUMBER('자료_한국심리'!$D2584),ISNUMBER('자료_한국심리'!$E2584)),'자료_한국심리'!$D2584,"")</f>
        <v/>
      </c>
      <c r="W2600">
        <f>IF(AND(ISNUMBER('자료_한국심리'!$G2584),ISNUMBER('자료_한국심리'!$H2584)),'자료_한국심리'!$G2584,"")</f>
        <v/>
      </c>
      <c r="X2600">
        <f>IF(AND(ISNUMBER('자료_한국심리'!$J2584),ISNUMBER('자료_한국심리'!$K2584)),'자료_한국심리'!$J2584,"")</f>
        <v/>
      </c>
      <c r="Y2600">
        <f>IF(AND(ISNUMBER('자료_한국심리'!$M2584),ISNUMBER('자료_한국심리'!$N2584)),'자료_한국심리'!$M2584,"")</f>
        <v/>
      </c>
    </row>
    <row r="2601">
      <c r="U2601">
        <f>IF(AND(ISNUMBER('자료_한국심리'!$A2585),ISNUMBER('자료_한국심리'!$B2585)),'자료_한국심리'!$A2585,"")</f>
        <v/>
      </c>
      <c r="V2601">
        <f>IF(AND(ISNUMBER('자료_한국심리'!$D2585),ISNUMBER('자료_한국심리'!$E2585)),'자료_한국심리'!$D2585,"")</f>
        <v/>
      </c>
      <c r="W2601">
        <f>IF(AND(ISNUMBER('자료_한국심리'!$G2585),ISNUMBER('자료_한국심리'!$H2585)),'자료_한국심리'!$G2585,"")</f>
        <v/>
      </c>
      <c r="X2601">
        <f>IF(AND(ISNUMBER('자료_한국심리'!$J2585),ISNUMBER('자료_한국심리'!$K2585)),'자료_한국심리'!$J2585,"")</f>
        <v/>
      </c>
      <c r="Y2601">
        <f>IF(AND(ISNUMBER('자료_한국심리'!$M2585),ISNUMBER('자료_한국심리'!$N2585)),'자료_한국심리'!$M2585,"")</f>
        <v/>
      </c>
    </row>
    <row r="2602">
      <c r="U2602">
        <f>IF(AND(ISNUMBER('자료_한국심리'!$A2586),ISNUMBER('자료_한국심리'!$B2586)),'자료_한국심리'!$A2586,"")</f>
        <v/>
      </c>
      <c r="V2602">
        <f>IF(AND(ISNUMBER('자료_한국심리'!$D2586),ISNUMBER('자료_한국심리'!$E2586)),'자료_한국심리'!$D2586,"")</f>
        <v/>
      </c>
      <c r="W2602">
        <f>IF(AND(ISNUMBER('자료_한국심리'!$G2586),ISNUMBER('자료_한국심리'!$H2586)),'자료_한국심리'!$G2586,"")</f>
        <v/>
      </c>
      <c r="X2602">
        <f>IF(AND(ISNUMBER('자료_한국심리'!$J2586),ISNUMBER('자료_한국심리'!$K2586)),'자료_한국심리'!$J2586,"")</f>
        <v/>
      </c>
      <c r="Y2602">
        <f>IF(AND(ISNUMBER('자료_한국심리'!$M2586),ISNUMBER('자료_한국심리'!$N2586)),'자료_한국심리'!$M2586,"")</f>
        <v/>
      </c>
    </row>
    <row r="2603">
      <c r="U2603">
        <f>IF(AND(ISNUMBER('자료_한국심리'!$A2587),ISNUMBER('자료_한국심리'!$B2587)),'자료_한국심리'!$A2587,"")</f>
        <v/>
      </c>
      <c r="V2603">
        <f>IF(AND(ISNUMBER('자료_한국심리'!$D2587),ISNUMBER('자료_한국심리'!$E2587)),'자료_한국심리'!$D2587,"")</f>
        <v/>
      </c>
      <c r="W2603">
        <f>IF(AND(ISNUMBER('자료_한국심리'!$G2587),ISNUMBER('자료_한국심리'!$H2587)),'자료_한국심리'!$G2587,"")</f>
        <v/>
      </c>
      <c r="X2603">
        <f>IF(AND(ISNUMBER('자료_한국심리'!$J2587),ISNUMBER('자료_한국심리'!$K2587)),'자료_한국심리'!$J2587,"")</f>
        <v/>
      </c>
      <c r="Y2603">
        <f>IF(AND(ISNUMBER('자료_한국심리'!$M2587),ISNUMBER('자료_한국심리'!$N2587)),'자료_한국심리'!$M2587,"")</f>
        <v/>
      </c>
    </row>
    <row r="2604">
      <c r="U2604">
        <f>IF(AND(ISNUMBER('자료_한국심리'!$A2588),ISNUMBER('자료_한국심리'!$B2588)),'자료_한국심리'!$A2588,"")</f>
        <v/>
      </c>
      <c r="V2604">
        <f>IF(AND(ISNUMBER('자료_한국심리'!$D2588),ISNUMBER('자료_한국심리'!$E2588)),'자료_한국심리'!$D2588,"")</f>
        <v/>
      </c>
      <c r="W2604">
        <f>IF(AND(ISNUMBER('자료_한국심리'!$G2588),ISNUMBER('자료_한국심리'!$H2588)),'자료_한국심리'!$G2588,"")</f>
        <v/>
      </c>
      <c r="X2604">
        <f>IF(AND(ISNUMBER('자료_한국심리'!$J2588),ISNUMBER('자료_한국심리'!$K2588)),'자료_한국심리'!$J2588,"")</f>
        <v/>
      </c>
      <c r="Y2604">
        <f>IF(AND(ISNUMBER('자료_한국심리'!$M2588),ISNUMBER('자료_한국심리'!$N2588)),'자료_한국심리'!$M2588,"")</f>
        <v/>
      </c>
    </row>
    <row r="2605">
      <c r="U2605">
        <f>IF(AND(ISNUMBER('자료_한국심리'!$A2589),ISNUMBER('자료_한국심리'!$B2589)),'자료_한국심리'!$A2589,"")</f>
        <v/>
      </c>
      <c r="V2605">
        <f>IF(AND(ISNUMBER('자료_한국심리'!$D2589),ISNUMBER('자료_한국심리'!$E2589)),'자료_한국심리'!$D2589,"")</f>
        <v/>
      </c>
      <c r="W2605">
        <f>IF(AND(ISNUMBER('자료_한국심리'!$G2589),ISNUMBER('자료_한국심리'!$H2589)),'자료_한국심리'!$G2589,"")</f>
        <v/>
      </c>
      <c r="X2605">
        <f>IF(AND(ISNUMBER('자료_한국심리'!$J2589),ISNUMBER('자료_한국심리'!$K2589)),'자료_한국심리'!$J2589,"")</f>
        <v/>
      </c>
      <c r="Y2605">
        <f>IF(AND(ISNUMBER('자료_한국심리'!$M2589),ISNUMBER('자료_한국심리'!$N2589)),'자료_한국심리'!$M2589,"")</f>
        <v/>
      </c>
    </row>
    <row r="2606">
      <c r="U2606">
        <f>IF(AND(ISNUMBER('자료_한국심리'!$A2590),ISNUMBER('자료_한국심리'!$B2590)),'자료_한국심리'!$A2590,"")</f>
        <v/>
      </c>
      <c r="V2606">
        <f>IF(AND(ISNUMBER('자료_한국심리'!$D2590),ISNUMBER('자료_한국심리'!$E2590)),'자료_한국심리'!$D2590,"")</f>
        <v/>
      </c>
      <c r="W2606">
        <f>IF(AND(ISNUMBER('자료_한국심리'!$G2590),ISNUMBER('자료_한국심리'!$H2590)),'자료_한국심리'!$G2590,"")</f>
        <v/>
      </c>
      <c r="X2606">
        <f>IF(AND(ISNUMBER('자료_한국심리'!$J2590),ISNUMBER('자료_한국심리'!$K2590)),'자료_한국심리'!$J2590,"")</f>
        <v/>
      </c>
      <c r="Y2606">
        <f>IF(AND(ISNUMBER('자료_한국심리'!$M2590),ISNUMBER('자료_한국심리'!$N2590)),'자료_한국심리'!$M2590,"")</f>
        <v/>
      </c>
    </row>
    <row r="2607">
      <c r="U2607">
        <f>IF(AND(ISNUMBER('자료_한국심리'!$A2591),ISNUMBER('자료_한국심리'!$B2591)),'자료_한국심리'!$A2591,"")</f>
        <v/>
      </c>
      <c r="V2607">
        <f>IF(AND(ISNUMBER('자료_한국심리'!$D2591),ISNUMBER('자료_한국심리'!$E2591)),'자료_한국심리'!$D2591,"")</f>
        <v/>
      </c>
      <c r="W2607">
        <f>IF(AND(ISNUMBER('자료_한국심리'!$G2591),ISNUMBER('자료_한국심리'!$H2591)),'자료_한국심리'!$G2591,"")</f>
        <v/>
      </c>
      <c r="X2607">
        <f>IF(AND(ISNUMBER('자료_한국심리'!$J2591),ISNUMBER('자료_한국심리'!$K2591)),'자료_한국심리'!$J2591,"")</f>
        <v/>
      </c>
      <c r="Y2607">
        <f>IF(AND(ISNUMBER('자료_한국심리'!$M2591),ISNUMBER('자료_한국심리'!$N2591)),'자료_한국심리'!$M2591,"")</f>
        <v/>
      </c>
    </row>
    <row r="2608">
      <c r="U2608">
        <f>IF(AND(ISNUMBER('자료_한국심리'!$A2592),ISNUMBER('자료_한국심리'!$B2592)),'자료_한국심리'!$A2592,"")</f>
        <v/>
      </c>
      <c r="V2608">
        <f>IF(AND(ISNUMBER('자료_한국심리'!$D2592),ISNUMBER('자료_한국심리'!$E2592)),'자료_한국심리'!$D2592,"")</f>
        <v/>
      </c>
      <c r="W2608">
        <f>IF(AND(ISNUMBER('자료_한국심리'!$G2592),ISNUMBER('자료_한국심리'!$H2592)),'자료_한국심리'!$G2592,"")</f>
        <v/>
      </c>
      <c r="X2608">
        <f>IF(AND(ISNUMBER('자료_한국심리'!$J2592),ISNUMBER('자료_한국심리'!$K2592)),'자료_한국심리'!$J2592,"")</f>
        <v/>
      </c>
      <c r="Y2608">
        <f>IF(AND(ISNUMBER('자료_한국심리'!$M2592),ISNUMBER('자료_한국심리'!$N2592)),'자료_한국심리'!$M2592,"")</f>
        <v/>
      </c>
    </row>
    <row r="2609">
      <c r="U2609">
        <f>IF(AND(ISNUMBER('자료_한국심리'!$A2593),ISNUMBER('자료_한국심리'!$B2593)),'자료_한국심리'!$A2593,"")</f>
        <v/>
      </c>
      <c r="V2609">
        <f>IF(AND(ISNUMBER('자료_한국심리'!$D2593),ISNUMBER('자료_한국심리'!$E2593)),'자료_한국심리'!$D2593,"")</f>
        <v/>
      </c>
      <c r="W2609">
        <f>IF(AND(ISNUMBER('자료_한국심리'!$G2593),ISNUMBER('자료_한국심리'!$H2593)),'자료_한국심리'!$G2593,"")</f>
        <v/>
      </c>
      <c r="X2609">
        <f>IF(AND(ISNUMBER('자료_한국심리'!$J2593),ISNUMBER('자료_한국심리'!$K2593)),'자료_한국심리'!$J2593,"")</f>
        <v/>
      </c>
      <c r="Y2609">
        <f>IF(AND(ISNUMBER('자료_한국심리'!$M2593),ISNUMBER('자료_한국심리'!$N2593)),'자료_한국심리'!$M2593,"")</f>
        <v/>
      </c>
    </row>
    <row r="2610">
      <c r="U2610">
        <f>IF(AND(ISNUMBER('자료_한국심리'!$A2594),ISNUMBER('자료_한국심리'!$B2594)),'자료_한국심리'!$A2594,"")</f>
        <v/>
      </c>
      <c r="V2610">
        <f>IF(AND(ISNUMBER('자료_한국심리'!$D2594),ISNUMBER('자료_한국심리'!$E2594)),'자료_한국심리'!$D2594,"")</f>
        <v/>
      </c>
      <c r="W2610">
        <f>IF(AND(ISNUMBER('자료_한국심리'!$G2594),ISNUMBER('자료_한국심리'!$H2594)),'자료_한국심리'!$G2594,"")</f>
        <v/>
      </c>
      <c r="X2610">
        <f>IF(AND(ISNUMBER('자료_한국심리'!$J2594),ISNUMBER('자료_한국심리'!$K2594)),'자료_한국심리'!$J2594,"")</f>
        <v/>
      </c>
      <c r="Y2610">
        <f>IF(AND(ISNUMBER('자료_한국심리'!$M2594),ISNUMBER('자료_한국심리'!$N2594)),'자료_한국심리'!$M2594,"")</f>
        <v/>
      </c>
    </row>
    <row r="2611">
      <c r="U2611">
        <f>IF(AND(ISNUMBER('자료_한국심리'!$A2595),ISNUMBER('자료_한국심리'!$B2595)),'자료_한국심리'!$A2595,"")</f>
        <v/>
      </c>
      <c r="V2611">
        <f>IF(AND(ISNUMBER('자료_한국심리'!$D2595),ISNUMBER('자료_한국심리'!$E2595)),'자료_한국심리'!$D2595,"")</f>
        <v/>
      </c>
      <c r="W2611">
        <f>IF(AND(ISNUMBER('자료_한국심리'!$G2595),ISNUMBER('자료_한국심리'!$H2595)),'자료_한국심리'!$G2595,"")</f>
        <v/>
      </c>
      <c r="X2611">
        <f>IF(AND(ISNUMBER('자료_한국심리'!$J2595),ISNUMBER('자료_한국심리'!$K2595)),'자료_한국심리'!$J2595,"")</f>
        <v/>
      </c>
      <c r="Y2611">
        <f>IF(AND(ISNUMBER('자료_한국심리'!$M2595),ISNUMBER('자료_한국심리'!$N2595)),'자료_한국심리'!$M2595,"")</f>
        <v/>
      </c>
    </row>
    <row r="2612">
      <c r="U2612">
        <f>IF(AND(ISNUMBER('자료_한국심리'!$A2596),ISNUMBER('자료_한국심리'!$B2596)),'자료_한국심리'!$A2596,"")</f>
        <v/>
      </c>
      <c r="V2612">
        <f>IF(AND(ISNUMBER('자료_한국심리'!$D2596),ISNUMBER('자료_한국심리'!$E2596)),'자료_한국심리'!$D2596,"")</f>
        <v/>
      </c>
      <c r="W2612">
        <f>IF(AND(ISNUMBER('자료_한국심리'!$G2596),ISNUMBER('자료_한국심리'!$H2596)),'자료_한국심리'!$G2596,"")</f>
        <v/>
      </c>
      <c r="X2612">
        <f>IF(AND(ISNUMBER('자료_한국심리'!$J2596),ISNUMBER('자료_한국심리'!$K2596)),'자료_한국심리'!$J2596,"")</f>
        <v/>
      </c>
      <c r="Y2612">
        <f>IF(AND(ISNUMBER('자료_한국심리'!$M2596),ISNUMBER('자료_한국심리'!$N2596)),'자료_한국심리'!$M2596,"")</f>
        <v/>
      </c>
    </row>
    <row r="2613">
      <c r="U2613">
        <f>IF(AND(ISNUMBER('자료_한국심리'!$A2597),ISNUMBER('자료_한국심리'!$B2597)),'자료_한국심리'!$A2597,"")</f>
        <v/>
      </c>
      <c r="V2613">
        <f>IF(AND(ISNUMBER('자료_한국심리'!$D2597),ISNUMBER('자료_한국심리'!$E2597)),'자료_한국심리'!$D2597,"")</f>
        <v/>
      </c>
      <c r="W2613">
        <f>IF(AND(ISNUMBER('자료_한국심리'!$G2597),ISNUMBER('자료_한국심리'!$H2597)),'자료_한국심리'!$G2597,"")</f>
        <v/>
      </c>
      <c r="X2613">
        <f>IF(AND(ISNUMBER('자료_한국심리'!$J2597),ISNUMBER('자료_한국심리'!$K2597)),'자료_한국심리'!$J2597,"")</f>
        <v/>
      </c>
      <c r="Y2613">
        <f>IF(AND(ISNUMBER('자료_한국심리'!$M2597),ISNUMBER('자료_한국심리'!$N2597)),'자료_한국심리'!$M2597,"")</f>
        <v/>
      </c>
    </row>
    <row r="2614">
      <c r="U2614">
        <f>IF(AND(ISNUMBER('자료_한국심리'!$A2598),ISNUMBER('자료_한국심리'!$B2598)),'자료_한국심리'!$A2598,"")</f>
        <v/>
      </c>
      <c r="V2614">
        <f>IF(AND(ISNUMBER('자료_한국심리'!$D2598),ISNUMBER('자료_한국심리'!$E2598)),'자료_한국심리'!$D2598,"")</f>
        <v/>
      </c>
      <c r="W2614">
        <f>IF(AND(ISNUMBER('자료_한국심리'!$G2598),ISNUMBER('자료_한국심리'!$H2598)),'자료_한국심리'!$G2598,"")</f>
        <v/>
      </c>
      <c r="X2614">
        <f>IF(AND(ISNUMBER('자료_한국심리'!$J2598),ISNUMBER('자료_한국심리'!$K2598)),'자료_한국심리'!$J2598,"")</f>
        <v/>
      </c>
      <c r="Y2614">
        <f>IF(AND(ISNUMBER('자료_한국심리'!$M2598),ISNUMBER('자료_한국심리'!$N2598)),'자료_한국심리'!$M2598,"")</f>
        <v/>
      </c>
    </row>
    <row r="2615">
      <c r="U2615">
        <f>IF(AND(ISNUMBER('자료_한국심리'!$A2599),ISNUMBER('자료_한국심리'!$B2599)),'자료_한국심리'!$A2599,"")</f>
        <v/>
      </c>
      <c r="V2615">
        <f>IF(AND(ISNUMBER('자료_한국심리'!$D2599),ISNUMBER('자료_한국심리'!$E2599)),'자료_한국심리'!$D2599,"")</f>
        <v/>
      </c>
      <c r="W2615">
        <f>IF(AND(ISNUMBER('자료_한국심리'!$G2599),ISNUMBER('자료_한국심리'!$H2599)),'자료_한국심리'!$G2599,"")</f>
        <v/>
      </c>
      <c r="X2615">
        <f>IF(AND(ISNUMBER('자료_한국심리'!$J2599),ISNUMBER('자료_한국심리'!$K2599)),'자료_한국심리'!$J2599,"")</f>
        <v/>
      </c>
      <c r="Y2615">
        <f>IF(AND(ISNUMBER('자료_한국심리'!$M2599),ISNUMBER('자료_한국심리'!$N2599)),'자료_한국심리'!$M2599,"")</f>
        <v/>
      </c>
    </row>
    <row r="2616">
      <c r="U2616">
        <f>IF(AND(ISNUMBER('자료_한국심리'!$A2600),ISNUMBER('자료_한국심리'!$B2600)),'자료_한국심리'!$A2600,"")</f>
        <v/>
      </c>
      <c r="V2616">
        <f>IF(AND(ISNUMBER('자료_한국심리'!$D2600),ISNUMBER('자료_한국심리'!$E2600)),'자료_한국심리'!$D2600,"")</f>
        <v/>
      </c>
      <c r="W2616">
        <f>IF(AND(ISNUMBER('자료_한국심리'!$G2600),ISNUMBER('자료_한국심리'!$H2600)),'자료_한국심리'!$G2600,"")</f>
        <v/>
      </c>
      <c r="X2616">
        <f>IF(AND(ISNUMBER('자료_한국심리'!$J2600),ISNUMBER('자료_한국심리'!$K2600)),'자료_한국심리'!$J2600,"")</f>
        <v/>
      </c>
      <c r="Y2616">
        <f>IF(AND(ISNUMBER('자료_한국심리'!$M2600),ISNUMBER('자료_한국심리'!$N2600)),'자료_한국심리'!$M2600,"")</f>
        <v/>
      </c>
    </row>
    <row r="2617">
      <c r="U2617">
        <f>IF(AND(ISNUMBER('자료_한국심리'!$A2601),ISNUMBER('자료_한국심리'!$B2601)),'자료_한국심리'!$A2601,"")</f>
        <v/>
      </c>
      <c r="V2617">
        <f>IF(AND(ISNUMBER('자료_한국심리'!$D2601),ISNUMBER('자료_한국심리'!$E2601)),'자료_한국심리'!$D2601,"")</f>
        <v/>
      </c>
      <c r="W2617">
        <f>IF(AND(ISNUMBER('자료_한국심리'!$G2601),ISNUMBER('자료_한국심리'!$H2601)),'자료_한국심리'!$G2601,"")</f>
        <v/>
      </c>
      <c r="X2617">
        <f>IF(AND(ISNUMBER('자료_한국심리'!$J2601),ISNUMBER('자료_한국심리'!$K2601)),'자료_한국심리'!$J2601,"")</f>
        <v/>
      </c>
      <c r="Y2617">
        <f>IF(AND(ISNUMBER('자료_한국심리'!$M2601),ISNUMBER('자료_한국심리'!$N2601)),'자료_한국심리'!$M2601,"")</f>
        <v/>
      </c>
    </row>
    <row r="2618">
      <c r="U2618">
        <f>IF(AND(ISNUMBER('자료_한국심리'!$A2602),ISNUMBER('자료_한국심리'!$B2602)),'자료_한국심리'!$A2602,"")</f>
        <v/>
      </c>
      <c r="V2618">
        <f>IF(AND(ISNUMBER('자료_한국심리'!$D2602),ISNUMBER('자료_한국심리'!$E2602)),'자료_한국심리'!$D2602,"")</f>
        <v/>
      </c>
      <c r="W2618">
        <f>IF(AND(ISNUMBER('자료_한국심리'!$G2602),ISNUMBER('자료_한국심리'!$H2602)),'자료_한국심리'!$G2602,"")</f>
        <v/>
      </c>
      <c r="X2618">
        <f>IF(AND(ISNUMBER('자료_한국심리'!$J2602),ISNUMBER('자료_한국심리'!$K2602)),'자료_한국심리'!$J2602,"")</f>
        <v/>
      </c>
      <c r="Y2618">
        <f>IF(AND(ISNUMBER('자료_한국심리'!$M2602),ISNUMBER('자료_한국심리'!$N2602)),'자료_한국심리'!$M2602,"")</f>
        <v/>
      </c>
    </row>
    <row r="2619">
      <c r="U2619">
        <f>IF(AND(ISNUMBER('자료_한국심리'!$A2603),ISNUMBER('자료_한국심리'!$B2603)),'자료_한국심리'!$A2603,"")</f>
        <v/>
      </c>
      <c r="V2619">
        <f>IF(AND(ISNUMBER('자료_한국심리'!$D2603),ISNUMBER('자료_한국심리'!$E2603)),'자료_한국심리'!$D2603,"")</f>
        <v/>
      </c>
      <c r="W2619">
        <f>IF(AND(ISNUMBER('자료_한국심리'!$G2603),ISNUMBER('자료_한국심리'!$H2603)),'자료_한국심리'!$G2603,"")</f>
        <v/>
      </c>
      <c r="X2619">
        <f>IF(AND(ISNUMBER('자료_한국심리'!$J2603),ISNUMBER('자료_한국심리'!$K2603)),'자료_한국심리'!$J2603,"")</f>
        <v/>
      </c>
      <c r="Y2619">
        <f>IF(AND(ISNUMBER('자료_한국심리'!$M2603),ISNUMBER('자료_한국심리'!$N2603)),'자료_한국심리'!$M2603,"")</f>
        <v/>
      </c>
    </row>
    <row r="2620">
      <c r="U2620">
        <f>IF(AND(ISNUMBER('자료_한국심리'!$A2604),ISNUMBER('자료_한국심리'!$B2604)),'자료_한국심리'!$A2604,"")</f>
        <v/>
      </c>
      <c r="V2620">
        <f>IF(AND(ISNUMBER('자료_한국심리'!$D2604),ISNUMBER('자료_한국심리'!$E2604)),'자료_한국심리'!$D2604,"")</f>
        <v/>
      </c>
      <c r="W2620">
        <f>IF(AND(ISNUMBER('자료_한국심리'!$G2604),ISNUMBER('자료_한국심리'!$H2604)),'자료_한국심리'!$G2604,"")</f>
        <v/>
      </c>
      <c r="X2620">
        <f>IF(AND(ISNUMBER('자료_한국심리'!$J2604),ISNUMBER('자료_한국심리'!$K2604)),'자료_한국심리'!$J2604,"")</f>
        <v/>
      </c>
      <c r="Y2620">
        <f>IF(AND(ISNUMBER('자료_한국심리'!$M2604),ISNUMBER('자료_한국심리'!$N2604)),'자료_한국심리'!$M2604,"")</f>
        <v/>
      </c>
    </row>
    <row r="2621">
      <c r="U2621">
        <f>IF(AND(ISNUMBER('자료_한국심리'!$A2605),ISNUMBER('자료_한국심리'!$B2605)),'자료_한국심리'!$A2605,"")</f>
        <v/>
      </c>
      <c r="V2621">
        <f>IF(AND(ISNUMBER('자료_한국심리'!$D2605),ISNUMBER('자료_한국심리'!$E2605)),'자료_한국심리'!$D2605,"")</f>
        <v/>
      </c>
      <c r="W2621">
        <f>IF(AND(ISNUMBER('자료_한국심리'!$G2605),ISNUMBER('자료_한국심리'!$H2605)),'자료_한국심리'!$G2605,"")</f>
        <v/>
      </c>
      <c r="X2621">
        <f>IF(AND(ISNUMBER('자료_한국심리'!$J2605),ISNUMBER('자료_한국심리'!$K2605)),'자료_한국심리'!$J2605,"")</f>
        <v/>
      </c>
      <c r="Y2621">
        <f>IF(AND(ISNUMBER('자료_한국심리'!$M2605),ISNUMBER('자료_한국심리'!$N2605)),'자료_한국심리'!$M2605,"")</f>
        <v/>
      </c>
    </row>
    <row r="2622">
      <c r="U2622">
        <f>IF(AND(ISNUMBER('자료_한국심리'!$A2606),ISNUMBER('자료_한국심리'!$B2606)),'자료_한국심리'!$A2606,"")</f>
        <v/>
      </c>
      <c r="V2622">
        <f>IF(AND(ISNUMBER('자료_한국심리'!$D2606),ISNUMBER('자료_한국심리'!$E2606)),'자료_한국심리'!$D2606,"")</f>
        <v/>
      </c>
      <c r="W2622">
        <f>IF(AND(ISNUMBER('자료_한국심리'!$G2606),ISNUMBER('자료_한국심리'!$H2606)),'자료_한국심리'!$G2606,"")</f>
        <v/>
      </c>
      <c r="X2622">
        <f>IF(AND(ISNUMBER('자료_한국심리'!$J2606),ISNUMBER('자료_한국심리'!$K2606)),'자료_한국심리'!$J2606,"")</f>
        <v/>
      </c>
      <c r="Y2622">
        <f>IF(AND(ISNUMBER('자료_한국심리'!$M2606),ISNUMBER('자료_한국심리'!$N2606)),'자료_한국심리'!$M2606,"")</f>
        <v/>
      </c>
    </row>
    <row r="2623">
      <c r="U2623">
        <f>IF(AND(ISNUMBER('자료_한국심리'!$A2607),ISNUMBER('자료_한국심리'!$B2607)),'자료_한국심리'!$A2607,"")</f>
        <v/>
      </c>
      <c r="V2623">
        <f>IF(AND(ISNUMBER('자료_한국심리'!$D2607),ISNUMBER('자료_한국심리'!$E2607)),'자료_한국심리'!$D2607,"")</f>
        <v/>
      </c>
      <c r="W2623">
        <f>IF(AND(ISNUMBER('자료_한국심리'!$G2607),ISNUMBER('자료_한국심리'!$H2607)),'자료_한국심리'!$G2607,"")</f>
        <v/>
      </c>
      <c r="X2623">
        <f>IF(AND(ISNUMBER('자료_한국심리'!$J2607),ISNUMBER('자료_한국심리'!$K2607)),'자료_한국심리'!$J2607,"")</f>
        <v/>
      </c>
      <c r="Y2623">
        <f>IF(AND(ISNUMBER('자료_한국심리'!$M2607),ISNUMBER('자료_한국심리'!$N2607)),'자료_한국심리'!$M2607,"")</f>
        <v/>
      </c>
    </row>
    <row r="2624">
      <c r="U2624">
        <f>IF(AND(ISNUMBER('자료_한국심리'!$A2608),ISNUMBER('자료_한국심리'!$B2608)),'자료_한국심리'!$A2608,"")</f>
        <v/>
      </c>
      <c r="V2624">
        <f>IF(AND(ISNUMBER('자료_한국심리'!$D2608),ISNUMBER('자료_한국심리'!$E2608)),'자료_한국심리'!$D2608,"")</f>
        <v/>
      </c>
      <c r="W2624">
        <f>IF(AND(ISNUMBER('자료_한국심리'!$G2608),ISNUMBER('자료_한국심리'!$H2608)),'자료_한국심리'!$G2608,"")</f>
        <v/>
      </c>
      <c r="X2624">
        <f>IF(AND(ISNUMBER('자료_한국심리'!$J2608),ISNUMBER('자료_한국심리'!$K2608)),'자료_한국심리'!$J2608,"")</f>
        <v/>
      </c>
      <c r="Y2624">
        <f>IF(AND(ISNUMBER('자료_한국심리'!$M2608),ISNUMBER('자료_한국심리'!$N2608)),'자료_한국심리'!$M2608,"")</f>
        <v/>
      </c>
    </row>
    <row r="2625">
      <c r="U2625">
        <f>IF(AND(ISNUMBER('자료_한국심리'!$A2609),ISNUMBER('자료_한국심리'!$B2609)),'자료_한국심리'!$A2609,"")</f>
        <v/>
      </c>
      <c r="V2625">
        <f>IF(AND(ISNUMBER('자료_한국심리'!$D2609),ISNUMBER('자료_한국심리'!$E2609)),'자료_한국심리'!$D2609,"")</f>
        <v/>
      </c>
      <c r="W2625">
        <f>IF(AND(ISNUMBER('자료_한국심리'!$G2609),ISNUMBER('자료_한국심리'!$H2609)),'자료_한국심리'!$G2609,"")</f>
        <v/>
      </c>
      <c r="X2625">
        <f>IF(AND(ISNUMBER('자료_한국심리'!$J2609),ISNUMBER('자료_한국심리'!$K2609)),'자료_한국심리'!$J2609,"")</f>
        <v/>
      </c>
      <c r="Y2625">
        <f>IF(AND(ISNUMBER('자료_한국심리'!$M2609),ISNUMBER('자료_한국심리'!$N2609)),'자료_한국심리'!$M2609,"")</f>
        <v/>
      </c>
    </row>
    <row r="2626">
      <c r="U2626">
        <f>IF(AND(ISNUMBER('자료_한국심리'!$A2610),ISNUMBER('자료_한국심리'!$B2610)),'자료_한국심리'!$A2610,"")</f>
        <v/>
      </c>
      <c r="V2626">
        <f>IF(AND(ISNUMBER('자료_한국심리'!$D2610),ISNUMBER('자료_한국심리'!$E2610)),'자료_한국심리'!$D2610,"")</f>
        <v/>
      </c>
      <c r="W2626">
        <f>IF(AND(ISNUMBER('자료_한국심리'!$G2610),ISNUMBER('자료_한국심리'!$H2610)),'자료_한국심리'!$G2610,"")</f>
        <v/>
      </c>
      <c r="X2626">
        <f>IF(AND(ISNUMBER('자료_한국심리'!$J2610),ISNUMBER('자료_한국심리'!$K2610)),'자료_한국심리'!$J2610,"")</f>
        <v/>
      </c>
      <c r="Y2626">
        <f>IF(AND(ISNUMBER('자료_한국심리'!$M2610),ISNUMBER('자료_한국심리'!$N2610)),'자료_한국심리'!$M2610,"")</f>
        <v/>
      </c>
    </row>
    <row r="2627">
      <c r="U2627">
        <f>IF(AND(ISNUMBER('자료_한국심리'!$A2611),ISNUMBER('자료_한국심리'!$B2611)),'자료_한국심리'!$A2611,"")</f>
        <v/>
      </c>
      <c r="V2627">
        <f>IF(AND(ISNUMBER('자료_한국심리'!$D2611),ISNUMBER('자료_한국심리'!$E2611)),'자료_한국심리'!$D2611,"")</f>
        <v/>
      </c>
      <c r="W2627">
        <f>IF(AND(ISNUMBER('자료_한국심리'!$G2611),ISNUMBER('자료_한국심리'!$H2611)),'자료_한국심리'!$G2611,"")</f>
        <v/>
      </c>
      <c r="X2627">
        <f>IF(AND(ISNUMBER('자료_한국심리'!$J2611),ISNUMBER('자료_한국심리'!$K2611)),'자료_한국심리'!$J2611,"")</f>
        <v/>
      </c>
      <c r="Y2627">
        <f>IF(AND(ISNUMBER('자료_한국심리'!$M2611),ISNUMBER('자료_한국심리'!$N2611)),'자료_한국심리'!$M2611,"")</f>
        <v/>
      </c>
    </row>
    <row r="2628">
      <c r="U2628">
        <f>IF(AND(ISNUMBER('자료_한국심리'!$A2612),ISNUMBER('자료_한국심리'!$B2612)),'자료_한국심리'!$A2612,"")</f>
        <v/>
      </c>
      <c r="V2628">
        <f>IF(AND(ISNUMBER('자료_한국심리'!$D2612),ISNUMBER('자료_한국심리'!$E2612)),'자료_한국심리'!$D2612,"")</f>
        <v/>
      </c>
      <c r="W2628">
        <f>IF(AND(ISNUMBER('자료_한국심리'!$G2612),ISNUMBER('자료_한국심리'!$H2612)),'자료_한국심리'!$G2612,"")</f>
        <v/>
      </c>
      <c r="X2628">
        <f>IF(AND(ISNUMBER('자료_한국심리'!$J2612),ISNUMBER('자료_한국심리'!$K2612)),'자료_한국심리'!$J2612,"")</f>
        <v/>
      </c>
      <c r="Y2628">
        <f>IF(AND(ISNUMBER('자료_한국심리'!$M2612),ISNUMBER('자료_한국심리'!$N2612)),'자료_한국심리'!$M2612,"")</f>
        <v/>
      </c>
    </row>
    <row r="2629">
      <c r="U2629">
        <f>IF(AND(ISNUMBER('자료_한국심리'!$A2613),ISNUMBER('자료_한국심리'!$B2613)),'자료_한국심리'!$A2613,"")</f>
        <v/>
      </c>
      <c r="V2629">
        <f>IF(AND(ISNUMBER('자료_한국심리'!$D2613),ISNUMBER('자료_한국심리'!$E2613)),'자료_한국심리'!$D2613,"")</f>
        <v/>
      </c>
      <c r="W2629">
        <f>IF(AND(ISNUMBER('자료_한국심리'!$G2613),ISNUMBER('자료_한국심리'!$H2613)),'자료_한국심리'!$G2613,"")</f>
        <v/>
      </c>
      <c r="X2629">
        <f>IF(AND(ISNUMBER('자료_한국심리'!$J2613),ISNUMBER('자료_한국심리'!$K2613)),'자료_한국심리'!$J2613,"")</f>
        <v/>
      </c>
      <c r="Y2629">
        <f>IF(AND(ISNUMBER('자료_한국심리'!$M2613),ISNUMBER('자료_한국심리'!$N2613)),'자료_한국심리'!$M2613,"")</f>
        <v/>
      </c>
    </row>
    <row r="2630">
      <c r="U2630">
        <f>IF(AND(ISNUMBER('자료_한국심리'!$A2614),ISNUMBER('자료_한국심리'!$B2614)),'자료_한국심리'!$A2614,"")</f>
        <v/>
      </c>
      <c r="V2630">
        <f>IF(AND(ISNUMBER('자료_한국심리'!$D2614),ISNUMBER('자료_한국심리'!$E2614)),'자료_한국심리'!$D2614,"")</f>
        <v/>
      </c>
      <c r="W2630">
        <f>IF(AND(ISNUMBER('자료_한국심리'!$G2614),ISNUMBER('자료_한국심리'!$H2614)),'자료_한국심리'!$G2614,"")</f>
        <v/>
      </c>
      <c r="X2630">
        <f>IF(AND(ISNUMBER('자료_한국심리'!$J2614),ISNUMBER('자료_한국심리'!$K2614)),'자료_한국심리'!$J2614,"")</f>
        <v/>
      </c>
      <c r="Y2630">
        <f>IF(AND(ISNUMBER('자료_한국심리'!$M2614),ISNUMBER('자료_한국심리'!$N2614)),'자료_한국심리'!$M2614,"")</f>
        <v/>
      </c>
    </row>
    <row r="2631">
      <c r="U2631">
        <f>IF(AND(ISNUMBER('자료_한국심리'!$A2615),ISNUMBER('자료_한국심리'!$B2615)),'자료_한국심리'!$A2615,"")</f>
        <v/>
      </c>
      <c r="V2631">
        <f>IF(AND(ISNUMBER('자료_한국심리'!$D2615),ISNUMBER('자료_한국심리'!$E2615)),'자료_한국심리'!$D2615,"")</f>
        <v/>
      </c>
      <c r="W2631">
        <f>IF(AND(ISNUMBER('자료_한국심리'!$G2615),ISNUMBER('자료_한국심리'!$H2615)),'자료_한국심리'!$G2615,"")</f>
        <v/>
      </c>
      <c r="X2631">
        <f>IF(AND(ISNUMBER('자료_한국심리'!$J2615),ISNUMBER('자료_한국심리'!$K2615)),'자료_한국심리'!$J2615,"")</f>
        <v/>
      </c>
      <c r="Y2631">
        <f>IF(AND(ISNUMBER('자료_한국심리'!$M2615),ISNUMBER('자료_한국심리'!$N2615)),'자료_한국심리'!$M2615,"")</f>
        <v/>
      </c>
    </row>
    <row r="2632">
      <c r="U2632">
        <f>IF(AND(ISNUMBER('자료_한국심리'!$A2616),ISNUMBER('자료_한국심리'!$B2616)),'자료_한국심리'!$A2616,"")</f>
        <v/>
      </c>
      <c r="V2632">
        <f>IF(AND(ISNUMBER('자료_한국심리'!$D2616),ISNUMBER('자료_한국심리'!$E2616)),'자료_한국심리'!$D2616,"")</f>
        <v/>
      </c>
      <c r="W2632">
        <f>IF(AND(ISNUMBER('자료_한국심리'!$G2616),ISNUMBER('자료_한국심리'!$H2616)),'자료_한국심리'!$G2616,"")</f>
        <v/>
      </c>
      <c r="X2632">
        <f>IF(AND(ISNUMBER('자료_한국심리'!$J2616),ISNUMBER('자료_한국심리'!$K2616)),'자료_한국심리'!$J2616,"")</f>
        <v/>
      </c>
      <c r="Y2632">
        <f>IF(AND(ISNUMBER('자료_한국심리'!$M2616),ISNUMBER('자료_한국심리'!$N2616)),'자료_한국심리'!$M2616,"")</f>
        <v/>
      </c>
    </row>
    <row r="2633">
      <c r="U2633">
        <f>IF(AND(ISNUMBER('자료_한국심리'!$A2617),ISNUMBER('자료_한국심리'!$B2617)),'자료_한국심리'!$A2617,"")</f>
        <v/>
      </c>
      <c r="V2633">
        <f>IF(AND(ISNUMBER('자료_한국심리'!$D2617),ISNUMBER('자료_한국심리'!$E2617)),'자료_한국심리'!$D2617,"")</f>
        <v/>
      </c>
      <c r="W2633">
        <f>IF(AND(ISNUMBER('자료_한국심리'!$G2617),ISNUMBER('자료_한국심리'!$H2617)),'자료_한국심리'!$G2617,"")</f>
        <v/>
      </c>
      <c r="X2633">
        <f>IF(AND(ISNUMBER('자료_한국심리'!$J2617),ISNUMBER('자료_한국심리'!$K2617)),'자료_한국심리'!$J2617,"")</f>
        <v/>
      </c>
      <c r="Y2633">
        <f>IF(AND(ISNUMBER('자료_한국심리'!$M2617),ISNUMBER('자료_한국심리'!$N2617)),'자료_한국심리'!$M2617,"")</f>
        <v/>
      </c>
    </row>
    <row r="2634">
      <c r="U2634">
        <f>IF(AND(ISNUMBER('자료_한국심리'!$A2618),ISNUMBER('자료_한국심리'!$B2618)),'자료_한국심리'!$A2618,"")</f>
        <v/>
      </c>
      <c r="V2634">
        <f>IF(AND(ISNUMBER('자료_한국심리'!$D2618),ISNUMBER('자료_한국심리'!$E2618)),'자료_한국심리'!$D2618,"")</f>
        <v/>
      </c>
      <c r="W2634">
        <f>IF(AND(ISNUMBER('자료_한국심리'!$G2618),ISNUMBER('자료_한국심리'!$H2618)),'자료_한국심리'!$G2618,"")</f>
        <v/>
      </c>
      <c r="X2634">
        <f>IF(AND(ISNUMBER('자료_한국심리'!$J2618),ISNUMBER('자료_한국심리'!$K2618)),'자료_한국심리'!$J2618,"")</f>
        <v/>
      </c>
      <c r="Y2634">
        <f>IF(AND(ISNUMBER('자료_한국심리'!$M2618),ISNUMBER('자료_한국심리'!$N2618)),'자료_한국심리'!$M2618,"")</f>
        <v/>
      </c>
    </row>
    <row r="2635">
      <c r="U2635">
        <f>IF(AND(ISNUMBER('자료_한국심리'!$A2619),ISNUMBER('자료_한국심리'!$B2619)),'자료_한국심리'!$A2619,"")</f>
        <v/>
      </c>
      <c r="V2635">
        <f>IF(AND(ISNUMBER('자료_한국심리'!$D2619),ISNUMBER('자료_한국심리'!$E2619)),'자료_한국심리'!$D2619,"")</f>
        <v/>
      </c>
      <c r="W2635">
        <f>IF(AND(ISNUMBER('자료_한국심리'!$G2619),ISNUMBER('자료_한국심리'!$H2619)),'자료_한국심리'!$G2619,"")</f>
        <v/>
      </c>
      <c r="X2635">
        <f>IF(AND(ISNUMBER('자료_한국심리'!$J2619),ISNUMBER('자료_한국심리'!$K2619)),'자료_한국심리'!$J2619,"")</f>
        <v/>
      </c>
      <c r="Y2635">
        <f>IF(AND(ISNUMBER('자료_한국심리'!$M2619),ISNUMBER('자료_한국심리'!$N2619)),'자료_한국심리'!$M2619,"")</f>
        <v/>
      </c>
    </row>
    <row r="2636">
      <c r="U2636">
        <f>IF(AND(ISNUMBER('자료_한국심리'!$A2620),ISNUMBER('자료_한국심리'!$B2620)),'자료_한국심리'!$A2620,"")</f>
        <v/>
      </c>
      <c r="V2636">
        <f>IF(AND(ISNUMBER('자료_한국심리'!$D2620),ISNUMBER('자료_한국심리'!$E2620)),'자료_한국심리'!$D2620,"")</f>
        <v/>
      </c>
      <c r="W2636">
        <f>IF(AND(ISNUMBER('자료_한국심리'!$G2620),ISNUMBER('자료_한국심리'!$H2620)),'자료_한국심리'!$G2620,"")</f>
        <v/>
      </c>
      <c r="X2636">
        <f>IF(AND(ISNUMBER('자료_한국심리'!$J2620),ISNUMBER('자료_한국심리'!$K2620)),'자료_한국심리'!$J2620,"")</f>
        <v/>
      </c>
      <c r="Y2636">
        <f>IF(AND(ISNUMBER('자료_한국심리'!$M2620),ISNUMBER('자료_한국심리'!$N2620)),'자료_한국심리'!$M2620,"")</f>
        <v/>
      </c>
    </row>
    <row r="2637">
      <c r="U2637">
        <f>IF(AND(ISNUMBER('자료_한국심리'!$A2621),ISNUMBER('자료_한국심리'!$B2621)),'자료_한국심리'!$A2621,"")</f>
        <v/>
      </c>
      <c r="V2637">
        <f>IF(AND(ISNUMBER('자료_한국심리'!$D2621),ISNUMBER('자료_한국심리'!$E2621)),'자료_한국심리'!$D2621,"")</f>
        <v/>
      </c>
      <c r="W2637">
        <f>IF(AND(ISNUMBER('자료_한국심리'!$G2621),ISNUMBER('자료_한국심리'!$H2621)),'자료_한국심리'!$G2621,"")</f>
        <v/>
      </c>
      <c r="X2637">
        <f>IF(AND(ISNUMBER('자료_한국심리'!$J2621),ISNUMBER('자료_한국심리'!$K2621)),'자료_한국심리'!$J2621,"")</f>
        <v/>
      </c>
      <c r="Y2637">
        <f>IF(AND(ISNUMBER('자료_한국심리'!$M2621),ISNUMBER('자료_한국심리'!$N2621)),'자료_한국심리'!$M2621,"")</f>
        <v/>
      </c>
    </row>
    <row r="2638">
      <c r="U2638">
        <f>IF(AND(ISNUMBER('자료_한국심리'!$A2622),ISNUMBER('자료_한국심리'!$B2622)),'자료_한국심리'!$A2622,"")</f>
        <v/>
      </c>
      <c r="V2638">
        <f>IF(AND(ISNUMBER('자료_한국심리'!$D2622),ISNUMBER('자료_한국심리'!$E2622)),'자료_한국심리'!$D2622,"")</f>
        <v/>
      </c>
      <c r="W2638">
        <f>IF(AND(ISNUMBER('자료_한국심리'!$G2622),ISNUMBER('자료_한국심리'!$H2622)),'자료_한국심리'!$G2622,"")</f>
        <v/>
      </c>
      <c r="X2638">
        <f>IF(AND(ISNUMBER('자료_한국심리'!$J2622),ISNUMBER('자료_한국심리'!$K2622)),'자료_한국심리'!$J2622,"")</f>
        <v/>
      </c>
      <c r="Y2638">
        <f>IF(AND(ISNUMBER('자료_한국심리'!$M2622),ISNUMBER('자료_한국심리'!$N2622)),'자료_한국심리'!$M2622,"")</f>
        <v/>
      </c>
    </row>
    <row r="2639">
      <c r="U2639">
        <f>IF(AND(ISNUMBER('자료_한국심리'!$A2623),ISNUMBER('자료_한국심리'!$B2623)),'자료_한국심리'!$A2623,"")</f>
        <v/>
      </c>
      <c r="V2639">
        <f>IF(AND(ISNUMBER('자료_한국심리'!$D2623),ISNUMBER('자료_한국심리'!$E2623)),'자료_한국심리'!$D2623,"")</f>
        <v/>
      </c>
      <c r="W2639">
        <f>IF(AND(ISNUMBER('자료_한국심리'!$G2623),ISNUMBER('자료_한국심리'!$H2623)),'자료_한국심리'!$G2623,"")</f>
        <v/>
      </c>
      <c r="X2639">
        <f>IF(AND(ISNUMBER('자료_한국심리'!$J2623),ISNUMBER('자료_한국심리'!$K2623)),'자료_한국심리'!$J2623,"")</f>
        <v/>
      </c>
      <c r="Y2639">
        <f>IF(AND(ISNUMBER('자료_한국심리'!$M2623),ISNUMBER('자료_한국심리'!$N2623)),'자료_한국심리'!$M2623,"")</f>
        <v/>
      </c>
    </row>
    <row r="2640">
      <c r="U2640">
        <f>IF(AND(ISNUMBER('자료_한국심리'!$A2624),ISNUMBER('자료_한국심리'!$B2624)),'자료_한국심리'!$A2624,"")</f>
        <v/>
      </c>
      <c r="V2640">
        <f>IF(AND(ISNUMBER('자료_한국심리'!$D2624),ISNUMBER('자료_한국심리'!$E2624)),'자료_한국심리'!$D2624,"")</f>
        <v/>
      </c>
      <c r="W2640">
        <f>IF(AND(ISNUMBER('자료_한국심리'!$G2624),ISNUMBER('자료_한국심리'!$H2624)),'자료_한국심리'!$G2624,"")</f>
        <v/>
      </c>
      <c r="X2640">
        <f>IF(AND(ISNUMBER('자료_한국심리'!$J2624),ISNUMBER('자료_한국심리'!$K2624)),'자료_한국심리'!$J2624,"")</f>
        <v/>
      </c>
      <c r="Y2640">
        <f>IF(AND(ISNUMBER('자료_한국심리'!$M2624),ISNUMBER('자료_한국심리'!$N2624)),'자료_한국심리'!$M2624,"")</f>
        <v/>
      </c>
    </row>
    <row r="2641">
      <c r="U2641">
        <f>IF(AND(ISNUMBER('자료_한국심리'!$A2625),ISNUMBER('자료_한국심리'!$B2625)),'자료_한국심리'!$A2625,"")</f>
        <v/>
      </c>
      <c r="V2641">
        <f>IF(AND(ISNUMBER('자료_한국심리'!$D2625),ISNUMBER('자료_한국심리'!$E2625)),'자료_한국심리'!$D2625,"")</f>
        <v/>
      </c>
      <c r="W2641">
        <f>IF(AND(ISNUMBER('자료_한국심리'!$G2625),ISNUMBER('자료_한국심리'!$H2625)),'자료_한국심리'!$G2625,"")</f>
        <v/>
      </c>
      <c r="X2641">
        <f>IF(AND(ISNUMBER('자료_한국심리'!$J2625),ISNUMBER('자료_한국심리'!$K2625)),'자료_한국심리'!$J2625,"")</f>
        <v/>
      </c>
      <c r="Y2641">
        <f>IF(AND(ISNUMBER('자료_한국심리'!$M2625),ISNUMBER('자료_한국심리'!$N2625)),'자료_한국심리'!$M2625,"")</f>
        <v/>
      </c>
    </row>
    <row r="2642">
      <c r="U2642">
        <f>IF(AND(ISNUMBER('자료_한국심리'!$A2626),ISNUMBER('자료_한국심리'!$B2626)),'자료_한국심리'!$A2626,"")</f>
        <v/>
      </c>
      <c r="V2642">
        <f>IF(AND(ISNUMBER('자료_한국심리'!$D2626),ISNUMBER('자료_한국심리'!$E2626)),'자료_한국심리'!$D2626,"")</f>
        <v/>
      </c>
      <c r="W2642">
        <f>IF(AND(ISNUMBER('자료_한국심리'!$G2626),ISNUMBER('자료_한국심리'!$H2626)),'자료_한국심리'!$G2626,"")</f>
        <v/>
      </c>
      <c r="X2642">
        <f>IF(AND(ISNUMBER('자료_한국심리'!$J2626),ISNUMBER('자료_한국심리'!$K2626)),'자료_한국심리'!$J2626,"")</f>
        <v/>
      </c>
      <c r="Y2642">
        <f>IF(AND(ISNUMBER('자료_한국심리'!$M2626),ISNUMBER('자료_한국심리'!$N2626)),'자료_한국심리'!$M2626,"")</f>
        <v/>
      </c>
    </row>
    <row r="2643">
      <c r="U2643">
        <f>IF(AND(ISNUMBER('자료_한국심리'!$A2627),ISNUMBER('자료_한국심리'!$B2627)),'자료_한국심리'!$A2627,"")</f>
        <v/>
      </c>
      <c r="V2643">
        <f>IF(AND(ISNUMBER('자료_한국심리'!$D2627),ISNUMBER('자료_한국심리'!$E2627)),'자료_한국심리'!$D2627,"")</f>
        <v/>
      </c>
      <c r="W2643">
        <f>IF(AND(ISNUMBER('자료_한국심리'!$G2627),ISNUMBER('자료_한국심리'!$H2627)),'자료_한국심리'!$G2627,"")</f>
        <v/>
      </c>
      <c r="X2643">
        <f>IF(AND(ISNUMBER('자료_한국심리'!$J2627),ISNUMBER('자료_한국심리'!$K2627)),'자료_한국심리'!$J2627,"")</f>
        <v/>
      </c>
      <c r="Y2643">
        <f>IF(AND(ISNUMBER('자료_한국심리'!$M2627),ISNUMBER('자료_한국심리'!$N2627)),'자료_한국심리'!$M2627,"")</f>
        <v/>
      </c>
    </row>
    <row r="2644">
      <c r="U2644">
        <f>IF(AND(ISNUMBER('자료_한국심리'!$A2628),ISNUMBER('자료_한국심리'!$B2628)),'자료_한국심리'!$A2628,"")</f>
        <v/>
      </c>
      <c r="V2644">
        <f>IF(AND(ISNUMBER('자료_한국심리'!$D2628),ISNUMBER('자료_한국심리'!$E2628)),'자료_한국심리'!$D2628,"")</f>
        <v/>
      </c>
      <c r="W2644">
        <f>IF(AND(ISNUMBER('자료_한국심리'!$G2628),ISNUMBER('자료_한국심리'!$H2628)),'자료_한국심리'!$G2628,"")</f>
        <v/>
      </c>
      <c r="X2644">
        <f>IF(AND(ISNUMBER('자료_한국심리'!$J2628),ISNUMBER('자료_한국심리'!$K2628)),'자료_한국심리'!$J2628,"")</f>
        <v/>
      </c>
      <c r="Y2644">
        <f>IF(AND(ISNUMBER('자료_한국심리'!$M2628),ISNUMBER('자료_한국심리'!$N2628)),'자료_한국심리'!$M2628,"")</f>
        <v/>
      </c>
    </row>
    <row r="2645">
      <c r="U2645">
        <f>IF(AND(ISNUMBER('자료_한국심리'!$A2629),ISNUMBER('자료_한국심리'!$B2629)),'자료_한국심리'!$A2629,"")</f>
        <v/>
      </c>
      <c r="V2645">
        <f>IF(AND(ISNUMBER('자료_한국심리'!$D2629),ISNUMBER('자료_한국심리'!$E2629)),'자료_한국심리'!$D2629,"")</f>
        <v/>
      </c>
      <c r="W2645">
        <f>IF(AND(ISNUMBER('자료_한국심리'!$G2629),ISNUMBER('자료_한국심리'!$H2629)),'자료_한국심리'!$G2629,"")</f>
        <v/>
      </c>
      <c r="X2645">
        <f>IF(AND(ISNUMBER('자료_한국심리'!$J2629),ISNUMBER('자료_한국심리'!$K2629)),'자료_한국심리'!$J2629,"")</f>
        <v/>
      </c>
      <c r="Y2645">
        <f>IF(AND(ISNUMBER('자료_한국심리'!$M2629),ISNUMBER('자료_한국심리'!$N2629)),'자료_한국심리'!$M2629,"")</f>
        <v/>
      </c>
    </row>
    <row r="2646">
      <c r="U2646">
        <f>IF(AND(ISNUMBER('자료_한국심리'!$A2630),ISNUMBER('자료_한국심리'!$B2630)),'자료_한국심리'!$A2630,"")</f>
        <v/>
      </c>
      <c r="V2646">
        <f>IF(AND(ISNUMBER('자료_한국심리'!$D2630),ISNUMBER('자료_한국심리'!$E2630)),'자료_한국심리'!$D2630,"")</f>
        <v/>
      </c>
      <c r="W2646">
        <f>IF(AND(ISNUMBER('자료_한국심리'!$G2630),ISNUMBER('자료_한국심리'!$H2630)),'자료_한국심리'!$G2630,"")</f>
        <v/>
      </c>
      <c r="X2646">
        <f>IF(AND(ISNUMBER('자료_한국심리'!$J2630),ISNUMBER('자료_한국심리'!$K2630)),'자료_한국심리'!$J2630,"")</f>
        <v/>
      </c>
      <c r="Y2646">
        <f>IF(AND(ISNUMBER('자료_한국심리'!$M2630),ISNUMBER('자료_한국심리'!$N2630)),'자료_한국심리'!$M2630,"")</f>
        <v/>
      </c>
    </row>
    <row r="2647">
      <c r="U2647">
        <f>IF(AND(ISNUMBER('자료_한국심리'!$A2631),ISNUMBER('자료_한국심리'!$B2631)),'자료_한국심리'!$A2631,"")</f>
        <v/>
      </c>
      <c r="V2647">
        <f>IF(AND(ISNUMBER('자료_한국심리'!$D2631),ISNUMBER('자료_한국심리'!$E2631)),'자료_한국심리'!$D2631,"")</f>
        <v/>
      </c>
      <c r="W2647">
        <f>IF(AND(ISNUMBER('자료_한국심리'!$G2631),ISNUMBER('자료_한국심리'!$H2631)),'자료_한국심리'!$G2631,"")</f>
        <v/>
      </c>
      <c r="X2647">
        <f>IF(AND(ISNUMBER('자료_한국심리'!$J2631),ISNUMBER('자료_한국심리'!$K2631)),'자료_한국심리'!$J2631,"")</f>
        <v/>
      </c>
      <c r="Y2647">
        <f>IF(AND(ISNUMBER('자료_한국심리'!$M2631),ISNUMBER('자료_한국심리'!$N2631)),'자료_한국심리'!$M2631,"")</f>
        <v/>
      </c>
    </row>
    <row r="2648">
      <c r="U2648">
        <f>IF(AND(ISNUMBER('자료_한국심리'!$A2632),ISNUMBER('자료_한국심리'!$B2632)),'자료_한국심리'!$A2632,"")</f>
        <v/>
      </c>
      <c r="V2648">
        <f>IF(AND(ISNUMBER('자료_한국심리'!$D2632),ISNUMBER('자료_한국심리'!$E2632)),'자료_한국심리'!$D2632,"")</f>
        <v/>
      </c>
      <c r="W2648">
        <f>IF(AND(ISNUMBER('자료_한국심리'!$G2632),ISNUMBER('자료_한국심리'!$H2632)),'자료_한국심리'!$G2632,"")</f>
        <v/>
      </c>
      <c r="X2648">
        <f>IF(AND(ISNUMBER('자료_한국심리'!$J2632),ISNUMBER('자료_한국심리'!$K2632)),'자료_한국심리'!$J2632,"")</f>
        <v/>
      </c>
      <c r="Y2648">
        <f>IF(AND(ISNUMBER('자료_한국심리'!$M2632),ISNUMBER('자료_한국심리'!$N2632)),'자료_한국심리'!$M2632,"")</f>
        <v/>
      </c>
    </row>
    <row r="2649">
      <c r="U2649">
        <f>IF(AND(ISNUMBER('자료_한국심리'!$A2633),ISNUMBER('자료_한국심리'!$B2633)),'자료_한국심리'!$A2633,"")</f>
        <v/>
      </c>
      <c r="V2649">
        <f>IF(AND(ISNUMBER('자료_한국심리'!$D2633),ISNUMBER('자료_한국심리'!$E2633)),'자료_한국심리'!$D2633,"")</f>
        <v/>
      </c>
      <c r="W2649">
        <f>IF(AND(ISNUMBER('자료_한국심리'!$G2633),ISNUMBER('자료_한국심리'!$H2633)),'자료_한국심리'!$G2633,"")</f>
        <v/>
      </c>
      <c r="X2649">
        <f>IF(AND(ISNUMBER('자료_한국심리'!$J2633),ISNUMBER('자료_한국심리'!$K2633)),'자료_한국심리'!$J2633,"")</f>
        <v/>
      </c>
      <c r="Y2649">
        <f>IF(AND(ISNUMBER('자료_한국심리'!$M2633),ISNUMBER('자료_한국심리'!$N2633)),'자료_한국심리'!$M2633,"")</f>
        <v/>
      </c>
    </row>
    <row r="2650">
      <c r="U2650">
        <f>IF(AND(ISNUMBER('자료_한국심리'!$A2634),ISNUMBER('자료_한국심리'!$B2634)),'자료_한국심리'!$A2634,"")</f>
        <v/>
      </c>
      <c r="V2650">
        <f>IF(AND(ISNUMBER('자료_한국심리'!$D2634),ISNUMBER('자료_한국심리'!$E2634)),'자료_한국심리'!$D2634,"")</f>
        <v/>
      </c>
      <c r="W2650">
        <f>IF(AND(ISNUMBER('자료_한국심리'!$G2634),ISNUMBER('자료_한국심리'!$H2634)),'자료_한국심리'!$G2634,"")</f>
        <v/>
      </c>
      <c r="X2650">
        <f>IF(AND(ISNUMBER('자료_한국심리'!$J2634),ISNUMBER('자료_한국심리'!$K2634)),'자료_한국심리'!$J2634,"")</f>
        <v/>
      </c>
      <c r="Y2650">
        <f>IF(AND(ISNUMBER('자료_한국심리'!$M2634),ISNUMBER('자료_한국심리'!$N2634)),'자료_한국심리'!$M2634,"")</f>
        <v/>
      </c>
    </row>
    <row r="2651">
      <c r="U2651">
        <f>IF(AND(ISNUMBER('자료_한국심리'!$A2635),ISNUMBER('자료_한국심리'!$B2635)),'자료_한국심리'!$A2635,"")</f>
        <v/>
      </c>
      <c r="V2651">
        <f>IF(AND(ISNUMBER('자료_한국심리'!$D2635),ISNUMBER('자료_한국심리'!$E2635)),'자료_한국심리'!$D2635,"")</f>
        <v/>
      </c>
      <c r="W2651">
        <f>IF(AND(ISNUMBER('자료_한국심리'!$G2635),ISNUMBER('자료_한국심리'!$H2635)),'자료_한국심리'!$G2635,"")</f>
        <v/>
      </c>
      <c r="X2651">
        <f>IF(AND(ISNUMBER('자료_한국심리'!$J2635),ISNUMBER('자료_한국심리'!$K2635)),'자료_한국심리'!$J2635,"")</f>
        <v/>
      </c>
      <c r="Y2651">
        <f>IF(AND(ISNUMBER('자료_한국심리'!$M2635),ISNUMBER('자료_한국심리'!$N2635)),'자료_한국심리'!$M2635,"")</f>
        <v/>
      </c>
    </row>
    <row r="2652">
      <c r="U2652">
        <f>IF(AND(ISNUMBER('자료_한국심리'!$A2636),ISNUMBER('자료_한국심리'!$B2636)),'자료_한국심리'!$A2636,"")</f>
        <v/>
      </c>
      <c r="V2652">
        <f>IF(AND(ISNUMBER('자료_한국심리'!$D2636),ISNUMBER('자료_한국심리'!$E2636)),'자료_한국심리'!$D2636,"")</f>
        <v/>
      </c>
      <c r="W2652">
        <f>IF(AND(ISNUMBER('자료_한국심리'!$G2636),ISNUMBER('자료_한국심리'!$H2636)),'자료_한국심리'!$G2636,"")</f>
        <v/>
      </c>
      <c r="X2652">
        <f>IF(AND(ISNUMBER('자료_한국심리'!$J2636),ISNUMBER('자료_한국심리'!$K2636)),'자료_한국심리'!$J2636,"")</f>
        <v/>
      </c>
      <c r="Y2652">
        <f>IF(AND(ISNUMBER('자료_한국심리'!$M2636),ISNUMBER('자료_한국심리'!$N2636)),'자료_한국심리'!$M2636,"")</f>
        <v/>
      </c>
    </row>
    <row r="2653">
      <c r="U2653">
        <f>IF(AND(ISNUMBER('자료_한국심리'!$A2637),ISNUMBER('자료_한국심리'!$B2637)),'자료_한국심리'!$A2637,"")</f>
        <v/>
      </c>
      <c r="V2653">
        <f>IF(AND(ISNUMBER('자료_한국심리'!$D2637),ISNUMBER('자료_한국심리'!$E2637)),'자료_한국심리'!$D2637,"")</f>
        <v/>
      </c>
      <c r="W2653">
        <f>IF(AND(ISNUMBER('자료_한국심리'!$G2637),ISNUMBER('자료_한국심리'!$H2637)),'자료_한국심리'!$G2637,"")</f>
        <v/>
      </c>
      <c r="X2653">
        <f>IF(AND(ISNUMBER('자료_한국심리'!$J2637),ISNUMBER('자료_한국심리'!$K2637)),'자료_한국심리'!$J2637,"")</f>
        <v/>
      </c>
      <c r="Y2653">
        <f>IF(AND(ISNUMBER('자료_한국심리'!$M2637),ISNUMBER('자료_한국심리'!$N2637)),'자료_한국심리'!$M2637,"")</f>
        <v/>
      </c>
    </row>
    <row r="2654">
      <c r="U2654">
        <f>IF(AND(ISNUMBER('자료_한국심리'!$A2638),ISNUMBER('자료_한국심리'!$B2638)),'자료_한국심리'!$A2638,"")</f>
        <v/>
      </c>
      <c r="V2654">
        <f>IF(AND(ISNUMBER('자료_한국심리'!$D2638),ISNUMBER('자료_한국심리'!$E2638)),'자료_한국심리'!$D2638,"")</f>
        <v/>
      </c>
      <c r="W2654">
        <f>IF(AND(ISNUMBER('자료_한국심리'!$G2638),ISNUMBER('자료_한국심리'!$H2638)),'자료_한국심리'!$G2638,"")</f>
        <v/>
      </c>
      <c r="X2654">
        <f>IF(AND(ISNUMBER('자료_한국심리'!$J2638),ISNUMBER('자료_한국심리'!$K2638)),'자료_한국심리'!$J2638,"")</f>
        <v/>
      </c>
      <c r="Y2654">
        <f>IF(AND(ISNUMBER('자료_한국심리'!$M2638),ISNUMBER('자료_한국심리'!$N2638)),'자료_한국심리'!$M2638,"")</f>
        <v/>
      </c>
    </row>
    <row r="2655">
      <c r="U2655">
        <f>IF(AND(ISNUMBER('자료_한국심리'!$A2639),ISNUMBER('자료_한국심리'!$B2639)),'자료_한국심리'!$A2639,"")</f>
        <v/>
      </c>
      <c r="V2655">
        <f>IF(AND(ISNUMBER('자료_한국심리'!$D2639),ISNUMBER('자료_한국심리'!$E2639)),'자료_한국심리'!$D2639,"")</f>
        <v/>
      </c>
      <c r="W2655">
        <f>IF(AND(ISNUMBER('자료_한국심리'!$G2639),ISNUMBER('자료_한국심리'!$H2639)),'자료_한국심리'!$G2639,"")</f>
        <v/>
      </c>
      <c r="X2655">
        <f>IF(AND(ISNUMBER('자료_한국심리'!$J2639),ISNUMBER('자료_한국심리'!$K2639)),'자료_한국심리'!$J2639,"")</f>
        <v/>
      </c>
      <c r="Y2655">
        <f>IF(AND(ISNUMBER('자료_한국심리'!$M2639),ISNUMBER('자료_한국심리'!$N2639)),'자료_한국심리'!$M2639,"")</f>
        <v/>
      </c>
    </row>
    <row r="2656">
      <c r="U2656">
        <f>IF(AND(ISNUMBER('자료_한국심리'!$A2640),ISNUMBER('자료_한국심리'!$B2640)),'자료_한국심리'!$A2640,"")</f>
        <v/>
      </c>
      <c r="V2656">
        <f>IF(AND(ISNUMBER('자료_한국심리'!$D2640),ISNUMBER('자료_한국심리'!$E2640)),'자료_한국심리'!$D2640,"")</f>
        <v/>
      </c>
      <c r="W2656">
        <f>IF(AND(ISNUMBER('자료_한국심리'!$G2640),ISNUMBER('자료_한국심리'!$H2640)),'자료_한국심리'!$G2640,"")</f>
        <v/>
      </c>
      <c r="X2656">
        <f>IF(AND(ISNUMBER('자료_한국심리'!$J2640),ISNUMBER('자료_한국심리'!$K2640)),'자료_한국심리'!$J2640,"")</f>
        <v/>
      </c>
      <c r="Y2656">
        <f>IF(AND(ISNUMBER('자료_한국심리'!$M2640),ISNUMBER('자료_한국심리'!$N2640)),'자료_한국심리'!$M2640,"")</f>
        <v/>
      </c>
    </row>
    <row r="2657">
      <c r="U2657">
        <f>IF(AND(ISNUMBER('자료_한국심리'!$A2641),ISNUMBER('자료_한국심리'!$B2641)),'자료_한국심리'!$A2641,"")</f>
        <v/>
      </c>
      <c r="V2657">
        <f>IF(AND(ISNUMBER('자료_한국심리'!$D2641),ISNUMBER('자료_한국심리'!$E2641)),'자료_한국심리'!$D2641,"")</f>
        <v/>
      </c>
      <c r="W2657">
        <f>IF(AND(ISNUMBER('자료_한국심리'!$G2641),ISNUMBER('자료_한국심리'!$H2641)),'자료_한국심리'!$G2641,"")</f>
        <v/>
      </c>
      <c r="X2657">
        <f>IF(AND(ISNUMBER('자료_한국심리'!$J2641),ISNUMBER('자료_한국심리'!$K2641)),'자료_한국심리'!$J2641,"")</f>
        <v/>
      </c>
      <c r="Y2657">
        <f>IF(AND(ISNUMBER('자료_한국심리'!$M2641),ISNUMBER('자료_한국심리'!$N2641)),'자료_한국심리'!$M2641,"")</f>
        <v/>
      </c>
    </row>
    <row r="2658">
      <c r="U2658">
        <f>IF(AND(ISNUMBER('자료_한국심리'!$A2642),ISNUMBER('자료_한국심리'!$B2642)),'자료_한국심리'!$A2642,"")</f>
        <v/>
      </c>
      <c r="V2658">
        <f>IF(AND(ISNUMBER('자료_한국심리'!$D2642),ISNUMBER('자료_한국심리'!$E2642)),'자료_한국심리'!$D2642,"")</f>
        <v/>
      </c>
      <c r="W2658">
        <f>IF(AND(ISNUMBER('자료_한국심리'!$G2642),ISNUMBER('자료_한국심리'!$H2642)),'자료_한국심리'!$G2642,"")</f>
        <v/>
      </c>
      <c r="X2658">
        <f>IF(AND(ISNUMBER('자료_한국심리'!$J2642),ISNUMBER('자료_한국심리'!$K2642)),'자료_한국심리'!$J2642,"")</f>
        <v/>
      </c>
      <c r="Y2658">
        <f>IF(AND(ISNUMBER('자료_한국심리'!$M2642),ISNUMBER('자료_한국심리'!$N2642)),'자료_한국심리'!$M2642,"")</f>
        <v/>
      </c>
    </row>
    <row r="2659">
      <c r="U2659">
        <f>IF(AND(ISNUMBER('자료_한국심리'!$A2643),ISNUMBER('자료_한국심리'!$B2643)),'자료_한국심리'!$A2643,"")</f>
        <v/>
      </c>
      <c r="V2659">
        <f>IF(AND(ISNUMBER('자료_한국심리'!$D2643),ISNUMBER('자료_한국심리'!$E2643)),'자료_한국심리'!$D2643,"")</f>
        <v/>
      </c>
      <c r="W2659">
        <f>IF(AND(ISNUMBER('자료_한국심리'!$G2643),ISNUMBER('자료_한국심리'!$H2643)),'자료_한국심리'!$G2643,"")</f>
        <v/>
      </c>
      <c r="X2659">
        <f>IF(AND(ISNUMBER('자료_한국심리'!$J2643),ISNUMBER('자료_한국심리'!$K2643)),'자료_한국심리'!$J2643,"")</f>
        <v/>
      </c>
      <c r="Y2659">
        <f>IF(AND(ISNUMBER('자료_한국심리'!$M2643),ISNUMBER('자료_한국심리'!$N2643)),'자료_한국심리'!$M2643,"")</f>
        <v/>
      </c>
    </row>
    <row r="2660">
      <c r="U2660">
        <f>IF(AND(ISNUMBER('자료_한국심리'!$A2644),ISNUMBER('자료_한국심리'!$B2644)),'자료_한국심리'!$A2644,"")</f>
        <v/>
      </c>
      <c r="V2660">
        <f>IF(AND(ISNUMBER('자료_한국심리'!$D2644),ISNUMBER('자료_한국심리'!$E2644)),'자료_한국심리'!$D2644,"")</f>
        <v/>
      </c>
      <c r="W2660">
        <f>IF(AND(ISNUMBER('자료_한국심리'!$G2644),ISNUMBER('자료_한국심리'!$H2644)),'자료_한국심리'!$G2644,"")</f>
        <v/>
      </c>
      <c r="X2660">
        <f>IF(AND(ISNUMBER('자료_한국심리'!$J2644),ISNUMBER('자료_한국심리'!$K2644)),'자료_한국심리'!$J2644,"")</f>
        <v/>
      </c>
      <c r="Y2660">
        <f>IF(AND(ISNUMBER('자료_한국심리'!$M2644),ISNUMBER('자료_한국심리'!$N2644)),'자료_한국심리'!$M2644,"")</f>
        <v/>
      </c>
    </row>
    <row r="2661">
      <c r="U2661">
        <f>IF(AND(ISNUMBER('자료_한국심리'!$A2645),ISNUMBER('자료_한국심리'!$B2645)),'자료_한국심리'!$A2645,"")</f>
        <v/>
      </c>
      <c r="V2661">
        <f>IF(AND(ISNUMBER('자료_한국심리'!$D2645),ISNUMBER('자료_한국심리'!$E2645)),'자료_한국심리'!$D2645,"")</f>
        <v/>
      </c>
      <c r="W2661">
        <f>IF(AND(ISNUMBER('자료_한국심리'!$G2645),ISNUMBER('자료_한국심리'!$H2645)),'자료_한국심리'!$G2645,"")</f>
        <v/>
      </c>
      <c r="X2661">
        <f>IF(AND(ISNUMBER('자료_한국심리'!$J2645),ISNUMBER('자료_한국심리'!$K2645)),'자료_한국심리'!$J2645,"")</f>
        <v/>
      </c>
      <c r="Y2661">
        <f>IF(AND(ISNUMBER('자료_한국심리'!$M2645),ISNUMBER('자료_한국심리'!$N2645)),'자료_한국심리'!$M2645,"")</f>
        <v/>
      </c>
    </row>
    <row r="2662">
      <c r="U2662">
        <f>IF(AND(ISNUMBER('자료_한국심리'!$A2646),ISNUMBER('자료_한국심리'!$B2646)),'자료_한국심리'!$A2646,"")</f>
        <v/>
      </c>
      <c r="V2662">
        <f>IF(AND(ISNUMBER('자료_한국심리'!$D2646),ISNUMBER('자료_한국심리'!$E2646)),'자료_한국심리'!$D2646,"")</f>
        <v/>
      </c>
      <c r="W2662">
        <f>IF(AND(ISNUMBER('자료_한국심리'!$G2646),ISNUMBER('자료_한국심리'!$H2646)),'자료_한국심리'!$G2646,"")</f>
        <v/>
      </c>
      <c r="X2662">
        <f>IF(AND(ISNUMBER('자료_한국심리'!$J2646),ISNUMBER('자료_한국심리'!$K2646)),'자료_한국심리'!$J2646,"")</f>
        <v/>
      </c>
      <c r="Y2662">
        <f>IF(AND(ISNUMBER('자료_한국심리'!$M2646),ISNUMBER('자료_한국심리'!$N2646)),'자료_한국심리'!$M2646,"")</f>
        <v/>
      </c>
    </row>
    <row r="2663">
      <c r="U2663">
        <f>IF(AND(ISNUMBER('자료_한국심리'!$A2647),ISNUMBER('자료_한국심리'!$B2647)),'자료_한국심리'!$A2647,"")</f>
        <v/>
      </c>
      <c r="V2663">
        <f>IF(AND(ISNUMBER('자료_한국심리'!$D2647),ISNUMBER('자료_한국심리'!$E2647)),'자료_한국심리'!$D2647,"")</f>
        <v/>
      </c>
      <c r="W2663">
        <f>IF(AND(ISNUMBER('자료_한국심리'!$G2647),ISNUMBER('자료_한국심리'!$H2647)),'자료_한국심리'!$G2647,"")</f>
        <v/>
      </c>
      <c r="X2663">
        <f>IF(AND(ISNUMBER('자료_한국심리'!$J2647),ISNUMBER('자료_한국심리'!$K2647)),'자료_한국심리'!$J2647,"")</f>
        <v/>
      </c>
      <c r="Y2663">
        <f>IF(AND(ISNUMBER('자료_한국심리'!$M2647),ISNUMBER('자료_한국심리'!$N2647)),'자료_한국심리'!$M2647,"")</f>
        <v/>
      </c>
    </row>
    <row r="2664">
      <c r="U2664">
        <f>IF(AND(ISNUMBER('자료_한국심리'!$A2648),ISNUMBER('자료_한국심리'!$B2648)),'자료_한국심리'!$A2648,"")</f>
        <v/>
      </c>
      <c r="V2664">
        <f>IF(AND(ISNUMBER('자료_한국심리'!$D2648),ISNUMBER('자료_한국심리'!$E2648)),'자료_한국심리'!$D2648,"")</f>
        <v/>
      </c>
      <c r="W2664">
        <f>IF(AND(ISNUMBER('자료_한국심리'!$G2648),ISNUMBER('자료_한국심리'!$H2648)),'자료_한국심리'!$G2648,"")</f>
        <v/>
      </c>
      <c r="X2664">
        <f>IF(AND(ISNUMBER('자료_한국심리'!$J2648),ISNUMBER('자료_한국심리'!$K2648)),'자료_한국심리'!$J2648,"")</f>
        <v/>
      </c>
      <c r="Y2664">
        <f>IF(AND(ISNUMBER('자료_한국심리'!$M2648),ISNUMBER('자료_한국심리'!$N2648)),'자료_한국심리'!$M2648,"")</f>
        <v/>
      </c>
    </row>
    <row r="2665">
      <c r="U2665">
        <f>IF(AND(ISNUMBER('자료_한국심리'!$A2649),ISNUMBER('자료_한국심리'!$B2649)),'자료_한국심리'!$A2649,"")</f>
        <v/>
      </c>
      <c r="V2665">
        <f>IF(AND(ISNUMBER('자료_한국심리'!$D2649),ISNUMBER('자료_한국심리'!$E2649)),'자료_한국심리'!$D2649,"")</f>
        <v/>
      </c>
      <c r="W2665">
        <f>IF(AND(ISNUMBER('자료_한국심리'!$G2649),ISNUMBER('자료_한국심리'!$H2649)),'자료_한국심리'!$G2649,"")</f>
        <v/>
      </c>
      <c r="X2665">
        <f>IF(AND(ISNUMBER('자료_한국심리'!$J2649),ISNUMBER('자료_한국심리'!$K2649)),'자료_한국심리'!$J2649,"")</f>
        <v/>
      </c>
      <c r="Y2665">
        <f>IF(AND(ISNUMBER('자료_한국심리'!$M2649),ISNUMBER('자료_한국심리'!$N2649)),'자료_한국심리'!$M2649,"")</f>
        <v/>
      </c>
    </row>
    <row r="2666">
      <c r="U2666">
        <f>IF(AND(ISNUMBER('자료_한국심리'!$A2650),ISNUMBER('자료_한국심리'!$B2650)),'자료_한국심리'!$A2650,"")</f>
        <v/>
      </c>
      <c r="V2666">
        <f>IF(AND(ISNUMBER('자료_한국심리'!$D2650),ISNUMBER('자료_한국심리'!$E2650)),'자료_한국심리'!$D2650,"")</f>
        <v/>
      </c>
      <c r="W2666">
        <f>IF(AND(ISNUMBER('자료_한국심리'!$G2650),ISNUMBER('자료_한국심리'!$H2650)),'자료_한국심리'!$G2650,"")</f>
        <v/>
      </c>
      <c r="X2666">
        <f>IF(AND(ISNUMBER('자료_한국심리'!$J2650),ISNUMBER('자료_한국심리'!$K2650)),'자료_한국심리'!$J2650,"")</f>
        <v/>
      </c>
      <c r="Y2666">
        <f>IF(AND(ISNUMBER('자료_한국심리'!$M2650),ISNUMBER('자료_한국심리'!$N2650)),'자료_한국심리'!$M2650,"")</f>
        <v/>
      </c>
    </row>
    <row r="2667">
      <c r="U2667">
        <f>IF(AND(ISNUMBER('자료_한국심리'!$A2651),ISNUMBER('자료_한국심리'!$B2651)),'자료_한국심리'!$A2651,"")</f>
        <v/>
      </c>
      <c r="V2667">
        <f>IF(AND(ISNUMBER('자료_한국심리'!$D2651),ISNUMBER('자료_한국심리'!$E2651)),'자료_한국심리'!$D2651,"")</f>
        <v/>
      </c>
      <c r="W2667">
        <f>IF(AND(ISNUMBER('자료_한국심리'!$G2651),ISNUMBER('자료_한국심리'!$H2651)),'자료_한국심리'!$G2651,"")</f>
        <v/>
      </c>
      <c r="X2667">
        <f>IF(AND(ISNUMBER('자료_한국심리'!$J2651),ISNUMBER('자료_한국심리'!$K2651)),'자료_한국심리'!$J2651,"")</f>
        <v/>
      </c>
      <c r="Y2667">
        <f>IF(AND(ISNUMBER('자료_한국심리'!$M2651),ISNUMBER('자료_한국심리'!$N2651)),'자료_한국심리'!$M2651,"")</f>
        <v/>
      </c>
    </row>
    <row r="2668">
      <c r="U2668">
        <f>IF(AND(ISNUMBER('자료_한국심리'!$A2652),ISNUMBER('자료_한국심리'!$B2652)),'자료_한국심리'!$A2652,"")</f>
        <v/>
      </c>
      <c r="V2668">
        <f>IF(AND(ISNUMBER('자료_한국심리'!$D2652),ISNUMBER('자료_한국심리'!$E2652)),'자료_한국심리'!$D2652,"")</f>
        <v/>
      </c>
      <c r="W2668">
        <f>IF(AND(ISNUMBER('자료_한국심리'!$G2652),ISNUMBER('자료_한국심리'!$H2652)),'자료_한국심리'!$G2652,"")</f>
        <v/>
      </c>
      <c r="X2668">
        <f>IF(AND(ISNUMBER('자료_한국심리'!$J2652),ISNUMBER('자료_한국심리'!$K2652)),'자료_한국심리'!$J2652,"")</f>
        <v/>
      </c>
      <c r="Y2668">
        <f>IF(AND(ISNUMBER('자료_한국심리'!$M2652),ISNUMBER('자료_한국심리'!$N2652)),'자료_한국심리'!$M2652,"")</f>
        <v/>
      </c>
    </row>
    <row r="2669">
      <c r="U2669">
        <f>IF(AND(ISNUMBER('자료_한국심리'!$A2653),ISNUMBER('자료_한국심리'!$B2653)),'자료_한국심리'!$A2653,"")</f>
        <v/>
      </c>
      <c r="V2669">
        <f>IF(AND(ISNUMBER('자료_한국심리'!$D2653),ISNUMBER('자료_한국심리'!$E2653)),'자료_한국심리'!$D2653,"")</f>
        <v/>
      </c>
      <c r="W2669">
        <f>IF(AND(ISNUMBER('자료_한국심리'!$G2653),ISNUMBER('자료_한국심리'!$H2653)),'자료_한국심리'!$G2653,"")</f>
        <v/>
      </c>
      <c r="X2669">
        <f>IF(AND(ISNUMBER('자료_한국심리'!$J2653),ISNUMBER('자료_한국심리'!$K2653)),'자료_한국심리'!$J2653,"")</f>
        <v/>
      </c>
      <c r="Y2669">
        <f>IF(AND(ISNUMBER('자료_한국심리'!$M2653),ISNUMBER('자료_한국심리'!$N2653)),'자료_한국심리'!$M2653,"")</f>
        <v/>
      </c>
    </row>
    <row r="2670">
      <c r="U2670">
        <f>IF(AND(ISNUMBER('자료_한국심리'!$A2654),ISNUMBER('자료_한국심리'!$B2654)),'자료_한국심리'!$A2654,"")</f>
        <v/>
      </c>
      <c r="V2670">
        <f>IF(AND(ISNUMBER('자료_한국심리'!$D2654),ISNUMBER('자료_한국심리'!$E2654)),'자료_한국심리'!$D2654,"")</f>
        <v/>
      </c>
      <c r="W2670">
        <f>IF(AND(ISNUMBER('자료_한국심리'!$G2654),ISNUMBER('자료_한국심리'!$H2654)),'자료_한국심리'!$G2654,"")</f>
        <v/>
      </c>
      <c r="X2670">
        <f>IF(AND(ISNUMBER('자료_한국심리'!$J2654),ISNUMBER('자료_한국심리'!$K2654)),'자료_한국심리'!$J2654,"")</f>
        <v/>
      </c>
      <c r="Y2670">
        <f>IF(AND(ISNUMBER('자료_한국심리'!$M2654),ISNUMBER('자료_한국심리'!$N2654)),'자료_한국심리'!$M2654,"")</f>
        <v/>
      </c>
    </row>
    <row r="2671">
      <c r="U2671">
        <f>IF(AND(ISNUMBER('자료_한국심리'!$A2655),ISNUMBER('자료_한국심리'!$B2655)),'자료_한국심리'!$A2655,"")</f>
        <v/>
      </c>
      <c r="V2671">
        <f>IF(AND(ISNUMBER('자료_한국심리'!$D2655),ISNUMBER('자료_한국심리'!$E2655)),'자료_한국심리'!$D2655,"")</f>
        <v/>
      </c>
      <c r="W2671">
        <f>IF(AND(ISNUMBER('자료_한국심리'!$G2655),ISNUMBER('자료_한국심리'!$H2655)),'자료_한국심리'!$G2655,"")</f>
        <v/>
      </c>
      <c r="X2671">
        <f>IF(AND(ISNUMBER('자료_한국심리'!$J2655),ISNUMBER('자료_한국심리'!$K2655)),'자료_한국심리'!$J2655,"")</f>
        <v/>
      </c>
      <c r="Y2671">
        <f>IF(AND(ISNUMBER('자료_한국심리'!$M2655),ISNUMBER('자료_한국심리'!$N2655)),'자료_한국심리'!$M2655,"")</f>
        <v/>
      </c>
    </row>
    <row r="2672">
      <c r="U2672">
        <f>IF(AND(ISNUMBER('자료_한국심리'!$A2656),ISNUMBER('자료_한국심리'!$B2656)),'자료_한국심리'!$A2656,"")</f>
        <v/>
      </c>
      <c r="V2672">
        <f>IF(AND(ISNUMBER('자료_한국심리'!$D2656),ISNUMBER('자료_한국심리'!$E2656)),'자료_한국심리'!$D2656,"")</f>
        <v/>
      </c>
      <c r="W2672">
        <f>IF(AND(ISNUMBER('자료_한국심리'!$G2656),ISNUMBER('자료_한국심리'!$H2656)),'자료_한국심리'!$G2656,"")</f>
        <v/>
      </c>
      <c r="X2672">
        <f>IF(AND(ISNUMBER('자료_한국심리'!$J2656),ISNUMBER('자료_한국심리'!$K2656)),'자료_한국심리'!$J2656,"")</f>
        <v/>
      </c>
      <c r="Y2672">
        <f>IF(AND(ISNUMBER('자료_한국심리'!$M2656),ISNUMBER('자료_한국심리'!$N2656)),'자료_한국심리'!$M2656,"")</f>
        <v/>
      </c>
    </row>
    <row r="2673">
      <c r="U2673">
        <f>IF(AND(ISNUMBER('자료_한국심리'!$A2657),ISNUMBER('자료_한국심리'!$B2657)),'자료_한국심리'!$A2657,"")</f>
        <v/>
      </c>
      <c r="V2673">
        <f>IF(AND(ISNUMBER('자료_한국심리'!$D2657),ISNUMBER('자료_한국심리'!$E2657)),'자료_한국심리'!$D2657,"")</f>
        <v/>
      </c>
      <c r="W2673">
        <f>IF(AND(ISNUMBER('자료_한국심리'!$G2657),ISNUMBER('자료_한국심리'!$H2657)),'자료_한국심리'!$G2657,"")</f>
        <v/>
      </c>
      <c r="X2673">
        <f>IF(AND(ISNUMBER('자료_한국심리'!$J2657),ISNUMBER('자료_한국심리'!$K2657)),'자료_한국심리'!$J2657,"")</f>
        <v/>
      </c>
      <c r="Y2673">
        <f>IF(AND(ISNUMBER('자료_한국심리'!$M2657),ISNUMBER('자료_한국심리'!$N2657)),'자료_한국심리'!$M2657,"")</f>
        <v/>
      </c>
    </row>
    <row r="2674">
      <c r="U2674">
        <f>IF(AND(ISNUMBER('자료_한국심리'!$A2658),ISNUMBER('자료_한국심리'!$B2658)),'자료_한국심리'!$A2658,"")</f>
        <v/>
      </c>
      <c r="V2674">
        <f>IF(AND(ISNUMBER('자료_한국심리'!$D2658),ISNUMBER('자료_한국심리'!$E2658)),'자료_한국심리'!$D2658,"")</f>
        <v/>
      </c>
      <c r="W2674">
        <f>IF(AND(ISNUMBER('자료_한국심리'!$G2658),ISNUMBER('자료_한국심리'!$H2658)),'자료_한국심리'!$G2658,"")</f>
        <v/>
      </c>
      <c r="X2674">
        <f>IF(AND(ISNUMBER('자료_한국심리'!$J2658),ISNUMBER('자료_한국심리'!$K2658)),'자료_한국심리'!$J2658,"")</f>
        <v/>
      </c>
      <c r="Y2674">
        <f>IF(AND(ISNUMBER('자료_한국심리'!$M2658),ISNUMBER('자료_한국심리'!$N2658)),'자료_한국심리'!$M2658,"")</f>
        <v/>
      </c>
    </row>
    <row r="2675">
      <c r="U2675">
        <f>IF(AND(ISNUMBER('자료_한국심리'!$A2659),ISNUMBER('자료_한국심리'!$B2659)),'자료_한국심리'!$A2659,"")</f>
        <v/>
      </c>
      <c r="V2675">
        <f>IF(AND(ISNUMBER('자료_한국심리'!$D2659),ISNUMBER('자료_한국심리'!$E2659)),'자료_한국심리'!$D2659,"")</f>
        <v/>
      </c>
      <c r="W2675">
        <f>IF(AND(ISNUMBER('자료_한국심리'!$G2659),ISNUMBER('자료_한국심리'!$H2659)),'자료_한국심리'!$G2659,"")</f>
        <v/>
      </c>
      <c r="X2675">
        <f>IF(AND(ISNUMBER('자료_한국심리'!$J2659),ISNUMBER('자료_한국심리'!$K2659)),'자료_한국심리'!$J2659,"")</f>
        <v/>
      </c>
      <c r="Y2675">
        <f>IF(AND(ISNUMBER('자료_한국심리'!$M2659),ISNUMBER('자료_한국심리'!$N2659)),'자료_한국심리'!$M2659,"")</f>
        <v/>
      </c>
    </row>
    <row r="2676">
      <c r="U2676">
        <f>IF(AND(ISNUMBER('자료_한국심리'!$A2660),ISNUMBER('자료_한국심리'!$B2660)),'자료_한국심리'!$A2660,"")</f>
        <v/>
      </c>
      <c r="V2676">
        <f>IF(AND(ISNUMBER('자료_한국심리'!$D2660),ISNUMBER('자료_한국심리'!$E2660)),'자료_한국심리'!$D2660,"")</f>
        <v/>
      </c>
      <c r="W2676">
        <f>IF(AND(ISNUMBER('자료_한국심리'!$G2660),ISNUMBER('자료_한국심리'!$H2660)),'자료_한국심리'!$G2660,"")</f>
        <v/>
      </c>
      <c r="X2676">
        <f>IF(AND(ISNUMBER('자료_한국심리'!$J2660),ISNUMBER('자료_한국심리'!$K2660)),'자료_한국심리'!$J2660,"")</f>
        <v/>
      </c>
      <c r="Y2676">
        <f>IF(AND(ISNUMBER('자료_한국심리'!$M2660),ISNUMBER('자료_한국심리'!$N2660)),'자료_한국심리'!$M2660,"")</f>
        <v/>
      </c>
    </row>
    <row r="2677">
      <c r="U2677">
        <f>IF(AND(ISNUMBER('자료_한국심리'!$A2661),ISNUMBER('자료_한국심리'!$B2661)),'자료_한국심리'!$A2661,"")</f>
        <v/>
      </c>
      <c r="V2677">
        <f>IF(AND(ISNUMBER('자료_한국심리'!$D2661),ISNUMBER('자료_한국심리'!$E2661)),'자료_한국심리'!$D2661,"")</f>
        <v/>
      </c>
      <c r="W2677">
        <f>IF(AND(ISNUMBER('자료_한국심리'!$G2661),ISNUMBER('자료_한국심리'!$H2661)),'자료_한국심리'!$G2661,"")</f>
        <v/>
      </c>
      <c r="X2677">
        <f>IF(AND(ISNUMBER('자료_한국심리'!$J2661),ISNUMBER('자료_한국심리'!$K2661)),'자료_한국심리'!$J2661,"")</f>
        <v/>
      </c>
      <c r="Y2677">
        <f>IF(AND(ISNUMBER('자료_한국심리'!$M2661),ISNUMBER('자료_한국심리'!$N2661)),'자료_한국심리'!$M2661,"")</f>
        <v/>
      </c>
    </row>
    <row r="2678">
      <c r="U2678">
        <f>IF(AND(ISNUMBER('자료_한국심리'!$A2662),ISNUMBER('자료_한국심리'!$B2662)),'자료_한국심리'!$A2662,"")</f>
        <v/>
      </c>
      <c r="V2678">
        <f>IF(AND(ISNUMBER('자료_한국심리'!$D2662),ISNUMBER('자료_한국심리'!$E2662)),'자료_한국심리'!$D2662,"")</f>
        <v/>
      </c>
      <c r="W2678">
        <f>IF(AND(ISNUMBER('자료_한국심리'!$G2662),ISNUMBER('자료_한국심리'!$H2662)),'자료_한국심리'!$G2662,"")</f>
        <v/>
      </c>
      <c r="X2678">
        <f>IF(AND(ISNUMBER('자료_한국심리'!$J2662),ISNUMBER('자료_한국심리'!$K2662)),'자료_한국심리'!$J2662,"")</f>
        <v/>
      </c>
      <c r="Y2678">
        <f>IF(AND(ISNUMBER('자료_한국심리'!$M2662),ISNUMBER('자료_한국심리'!$N2662)),'자료_한국심리'!$M2662,"")</f>
        <v/>
      </c>
    </row>
    <row r="2679">
      <c r="U2679">
        <f>IF(AND(ISNUMBER('자료_한국심리'!$A2663),ISNUMBER('자료_한국심리'!$B2663)),'자료_한국심리'!$A2663,"")</f>
        <v/>
      </c>
      <c r="V2679">
        <f>IF(AND(ISNUMBER('자료_한국심리'!$D2663),ISNUMBER('자료_한국심리'!$E2663)),'자료_한국심리'!$D2663,"")</f>
        <v/>
      </c>
      <c r="W2679">
        <f>IF(AND(ISNUMBER('자료_한국심리'!$G2663),ISNUMBER('자료_한국심리'!$H2663)),'자료_한국심리'!$G2663,"")</f>
        <v/>
      </c>
      <c r="X2679">
        <f>IF(AND(ISNUMBER('자료_한국심리'!$J2663),ISNUMBER('자료_한국심리'!$K2663)),'자료_한국심리'!$J2663,"")</f>
        <v/>
      </c>
      <c r="Y2679">
        <f>IF(AND(ISNUMBER('자료_한국심리'!$M2663),ISNUMBER('자료_한국심리'!$N2663)),'자료_한국심리'!$M2663,"")</f>
        <v/>
      </c>
    </row>
    <row r="2680">
      <c r="U2680">
        <f>IF(AND(ISNUMBER('자료_한국심리'!$A2664),ISNUMBER('자료_한국심리'!$B2664)),'자료_한국심리'!$A2664,"")</f>
        <v/>
      </c>
      <c r="V2680">
        <f>IF(AND(ISNUMBER('자료_한국심리'!$D2664),ISNUMBER('자료_한국심리'!$E2664)),'자료_한국심리'!$D2664,"")</f>
        <v/>
      </c>
      <c r="W2680">
        <f>IF(AND(ISNUMBER('자료_한국심리'!$G2664),ISNUMBER('자료_한국심리'!$H2664)),'자료_한국심리'!$G2664,"")</f>
        <v/>
      </c>
      <c r="X2680">
        <f>IF(AND(ISNUMBER('자료_한국심리'!$J2664),ISNUMBER('자료_한국심리'!$K2664)),'자료_한국심리'!$J2664,"")</f>
        <v/>
      </c>
      <c r="Y2680">
        <f>IF(AND(ISNUMBER('자료_한국심리'!$M2664),ISNUMBER('자료_한국심리'!$N2664)),'자료_한국심리'!$M2664,"")</f>
        <v/>
      </c>
    </row>
    <row r="2681">
      <c r="U2681">
        <f>IF(AND(ISNUMBER('자료_한국심리'!$A2665),ISNUMBER('자료_한국심리'!$B2665)),'자료_한국심리'!$A2665,"")</f>
        <v/>
      </c>
      <c r="V2681">
        <f>IF(AND(ISNUMBER('자료_한국심리'!$D2665),ISNUMBER('자료_한국심리'!$E2665)),'자료_한국심리'!$D2665,"")</f>
        <v/>
      </c>
      <c r="W2681">
        <f>IF(AND(ISNUMBER('자료_한국심리'!$G2665),ISNUMBER('자료_한국심리'!$H2665)),'자료_한국심리'!$G2665,"")</f>
        <v/>
      </c>
      <c r="X2681">
        <f>IF(AND(ISNUMBER('자료_한국심리'!$J2665),ISNUMBER('자료_한국심리'!$K2665)),'자료_한국심리'!$J2665,"")</f>
        <v/>
      </c>
      <c r="Y2681">
        <f>IF(AND(ISNUMBER('자료_한국심리'!$M2665),ISNUMBER('자료_한국심리'!$N2665)),'자료_한국심리'!$M2665,"")</f>
        <v/>
      </c>
    </row>
    <row r="2682">
      <c r="U2682">
        <f>IF(AND(ISNUMBER('자료_한국심리'!$A2666),ISNUMBER('자료_한국심리'!$B2666)),'자료_한국심리'!$A2666,"")</f>
        <v/>
      </c>
      <c r="V2682">
        <f>IF(AND(ISNUMBER('자료_한국심리'!$D2666),ISNUMBER('자료_한국심리'!$E2666)),'자료_한국심리'!$D2666,"")</f>
        <v/>
      </c>
      <c r="W2682">
        <f>IF(AND(ISNUMBER('자료_한국심리'!$G2666),ISNUMBER('자료_한국심리'!$H2666)),'자료_한국심리'!$G2666,"")</f>
        <v/>
      </c>
      <c r="X2682">
        <f>IF(AND(ISNUMBER('자료_한국심리'!$J2666),ISNUMBER('자료_한국심리'!$K2666)),'자료_한국심리'!$J2666,"")</f>
        <v/>
      </c>
      <c r="Y2682">
        <f>IF(AND(ISNUMBER('자료_한국심리'!$M2666),ISNUMBER('자료_한국심리'!$N2666)),'자료_한국심리'!$M2666,"")</f>
        <v/>
      </c>
    </row>
    <row r="2683">
      <c r="U2683">
        <f>IF(AND(ISNUMBER('자료_한국심리'!$A2667),ISNUMBER('자료_한국심리'!$B2667)),'자료_한국심리'!$A2667,"")</f>
        <v/>
      </c>
      <c r="V2683">
        <f>IF(AND(ISNUMBER('자료_한국심리'!$D2667),ISNUMBER('자료_한국심리'!$E2667)),'자료_한국심리'!$D2667,"")</f>
        <v/>
      </c>
      <c r="W2683">
        <f>IF(AND(ISNUMBER('자료_한국심리'!$G2667),ISNUMBER('자료_한국심리'!$H2667)),'자료_한국심리'!$G2667,"")</f>
        <v/>
      </c>
      <c r="X2683">
        <f>IF(AND(ISNUMBER('자료_한국심리'!$J2667),ISNUMBER('자료_한국심리'!$K2667)),'자료_한국심리'!$J2667,"")</f>
        <v/>
      </c>
      <c r="Y2683">
        <f>IF(AND(ISNUMBER('자료_한국심리'!$M2667),ISNUMBER('자료_한국심리'!$N2667)),'자료_한국심리'!$M2667,"")</f>
        <v/>
      </c>
    </row>
    <row r="2684">
      <c r="U2684">
        <f>IF(AND(ISNUMBER('자료_한국심리'!$A2668),ISNUMBER('자료_한국심리'!$B2668)),'자료_한국심리'!$A2668,"")</f>
        <v/>
      </c>
      <c r="V2684">
        <f>IF(AND(ISNUMBER('자료_한국심리'!$D2668),ISNUMBER('자료_한국심리'!$E2668)),'자료_한국심리'!$D2668,"")</f>
        <v/>
      </c>
      <c r="W2684">
        <f>IF(AND(ISNUMBER('자료_한국심리'!$G2668),ISNUMBER('자료_한국심리'!$H2668)),'자료_한국심리'!$G2668,"")</f>
        <v/>
      </c>
      <c r="X2684">
        <f>IF(AND(ISNUMBER('자료_한국심리'!$J2668),ISNUMBER('자료_한국심리'!$K2668)),'자료_한국심리'!$J2668,"")</f>
        <v/>
      </c>
      <c r="Y2684">
        <f>IF(AND(ISNUMBER('자료_한국심리'!$M2668),ISNUMBER('자료_한국심리'!$N2668)),'자료_한국심리'!$M2668,"")</f>
        <v/>
      </c>
    </row>
    <row r="2685">
      <c r="U2685">
        <f>IF(AND(ISNUMBER('자료_한국심리'!$A2669),ISNUMBER('자료_한국심리'!$B2669)),'자료_한국심리'!$A2669,"")</f>
        <v/>
      </c>
      <c r="V2685">
        <f>IF(AND(ISNUMBER('자료_한국심리'!$D2669),ISNUMBER('자료_한국심리'!$E2669)),'자료_한국심리'!$D2669,"")</f>
        <v/>
      </c>
      <c r="W2685">
        <f>IF(AND(ISNUMBER('자료_한국심리'!$G2669),ISNUMBER('자료_한국심리'!$H2669)),'자료_한국심리'!$G2669,"")</f>
        <v/>
      </c>
      <c r="X2685">
        <f>IF(AND(ISNUMBER('자료_한국심리'!$J2669),ISNUMBER('자료_한국심리'!$K2669)),'자료_한국심리'!$J2669,"")</f>
        <v/>
      </c>
      <c r="Y2685">
        <f>IF(AND(ISNUMBER('자료_한국심리'!$M2669),ISNUMBER('자료_한국심리'!$N2669)),'자료_한국심리'!$M2669,"")</f>
        <v/>
      </c>
    </row>
    <row r="2686">
      <c r="U2686">
        <f>IF(AND(ISNUMBER('자료_한국심리'!$A2670),ISNUMBER('자료_한국심리'!$B2670)),'자료_한국심리'!$A2670,"")</f>
        <v/>
      </c>
      <c r="V2686">
        <f>IF(AND(ISNUMBER('자료_한국심리'!$D2670),ISNUMBER('자료_한국심리'!$E2670)),'자료_한국심리'!$D2670,"")</f>
        <v/>
      </c>
      <c r="W2686">
        <f>IF(AND(ISNUMBER('자료_한국심리'!$G2670),ISNUMBER('자료_한국심리'!$H2670)),'자료_한국심리'!$G2670,"")</f>
        <v/>
      </c>
      <c r="X2686">
        <f>IF(AND(ISNUMBER('자료_한국심리'!$J2670),ISNUMBER('자료_한국심리'!$K2670)),'자료_한국심리'!$J2670,"")</f>
        <v/>
      </c>
      <c r="Y2686">
        <f>IF(AND(ISNUMBER('자료_한국심리'!$M2670),ISNUMBER('자료_한국심리'!$N2670)),'자료_한국심리'!$M2670,"")</f>
        <v/>
      </c>
    </row>
    <row r="2687">
      <c r="U2687">
        <f>IF(AND(ISNUMBER('자료_한국심리'!$A2671),ISNUMBER('자료_한국심리'!$B2671)),'자료_한국심리'!$A2671,"")</f>
        <v/>
      </c>
      <c r="V2687">
        <f>IF(AND(ISNUMBER('자료_한국심리'!$D2671),ISNUMBER('자료_한국심리'!$E2671)),'자료_한국심리'!$D2671,"")</f>
        <v/>
      </c>
      <c r="W2687">
        <f>IF(AND(ISNUMBER('자료_한국심리'!$G2671),ISNUMBER('자료_한국심리'!$H2671)),'자료_한국심리'!$G2671,"")</f>
        <v/>
      </c>
      <c r="X2687">
        <f>IF(AND(ISNUMBER('자료_한국심리'!$J2671),ISNUMBER('자료_한국심리'!$K2671)),'자료_한국심리'!$J2671,"")</f>
        <v/>
      </c>
      <c r="Y2687">
        <f>IF(AND(ISNUMBER('자료_한국심리'!$M2671),ISNUMBER('자료_한국심리'!$N2671)),'자료_한국심리'!$M2671,"")</f>
        <v/>
      </c>
    </row>
    <row r="2688">
      <c r="U2688">
        <f>IF(AND(ISNUMBER('자료_한국심리'!$A2672),ISNUMBER('자료_한국심리'!$B2672)),'자료_한국심리'!$A2672,"")</f>
        <v/>
      </c>
      <c r="V2688">
        <f>IF(AND(ISNUMBER('자료_한국심리'!$D2672),ISNUMBER('자료_한국심리'!$E2672)),'자료_한국심리'!$D2672,"")</f>
        <v/>
      </c>
      <c r="W2688">
        <f>IF(AND(ISNUMBER('자료_한국심리'!$G2672),ISNUMBER('자료_한국심리'!$H2672)),'자료_한국심리'!$G2672,"")</f>
        <v/>
      </c>
      <c r="X2688">
        <f>IF(AND(ISNUMBER('자료_한국심리'!$J2672),ISNUMBER('자료_한국심리'!$K2672)),'자료_한국심리'!$J2672,"")</f>
        <v/>
      </c>
      <c r="Y2688">
        <f>IF(AND(ISNUMBER('자료_한국심리'!$M2672),ISNUMBER('자료_한국심리'!$N2672)),'자료_한국심리'!$M2672,"")</f>
        <v/>
      </c>
    </row>
    <row r="2689">
      <c r="U2689">
        <f>IF(AND(ISNUMBER('자료_한국심리'!$A2673),ISNUMBER('자료_한국심리'!$B2673)),'자료_한국심리'!$A2673,"")</f>
        <v/>
      </c>
      <c r="V2689">
        <f>IF(AND(ISNUMBER('자료_한국심리'!$D2673),ISNUMBER('자료_한국심리'!$E2673)),'자료_한국심리'!$D2673,"")</f>
        <v/>
      </c>
      <c r="W2689">
        <f>IF(AND(ISNUMBER('자료_한국심리'!$G2673),ISNUMBER('자료_한국심리'!$H2673)),'자료_한국심리'!$G2673,"")</f>
        <v/>
      </c>
      <c r="X2689">
        <f>IF(AND(ISNUMBER('자료_한국심리'!$J2673),ISNUMBER('자료_한국심리'!$K2673)),'자료_한국심리'!$J2673,"")</f>
        <v/>
      </c>
      <c r="Y2689">
        <f>IF(AND(ISNUMBER('자료_한국심리'!$M2673),ISNUMBER('자료_한국심리'!$N2673)),'자료_한국심리'!$M2673,"")</f>
        <v/>
      </c>
    </row>
    <row r="2690">
      <c r="U2690">
        <f>IF(AND(ISNUMBER('자료_한국심리'!$A2674),ISNUMBER('자료_한국심리'!$B2674)),'자료_한국심리'!$A2674,"")</f>
        <v/>
      </c>
      <c r="V2690">
        <f>IF(AND(ISNUMBER('자료_한국심리'!$D2674),ISNUMBER('자료_한국심리'!$E2674)),'자료_한국심리'!$D2674,"")</f>
        <v/>
      </c>
      <c r="W2690">
        <f>IF(AND(ISNUMBER('자료_한국심리'!$G2674),ISNUMBER('자료_한국심리'!$H2674)),'자료_한국심리'!$G2674,"")</f>
        <v/>
      </c>
      <c r="X2690">
        <f>IF(AND(ISNUMBER('자료_한국심리'!$J2674),ISNUMBER('자료_한국심리'!$K2674)),'자료_한국심리'!$J2674,"")</f>
        <v/>
      </c>
      <c r="Y2690">
        <f>IF(AND(ISNUMBER('자료_한국심리'!$M2674),ISNUMBER('자료_한국심리'!$N2674)),'자료_한국심리'!$M2674,"")</f>
        <v/>
      </c>
    </row>
    <row r="2691">
      <c r="U2691">
        <f>IF(AND(ISNUMBER('자료_한국심리'!$A2675),ISNUMBER('자료_한국심리'!$B2675)),'자료_한국심리'!$A2675,"")</f>
        <v/>
      </c>
      <c r="V2691">
        <f>IF(AND(ISNUMBER('자료_한국심리'!$D2675),ISNUMBER('자료_한국심리'!$E2675)),'자료_한국심리'!$D2675,"")</f>
        <v/>
      </c>
      <c r="W2691">
        <f>IF(AND(ISNUMBER('자료_한국심리'!$G2675),ISNUMBER('자료_한국심리'!$H2675)),'자료_한국심리'!$G2675,"")</f>
        <v/>
      </c>
      <c r="X2691">
        <f>IF(AND(ISNUMBER('자료_한국심리'!$J2675),ISNUMBER('자료_한국심리'!$K2675)),'자료_한국심리'!$J2675,"")</f>
        <v/>
      </c>
      <c r="Y2691">
        <f>IF(AND(ISNUMBER('자료_한국심리'!$M2675),ISNUMBER('자료_한국심리'!$N2675)),'자료_한국심리'!$M2675,"")</f>
        <v/>
      </c>
    </row>
    <row r="2692">
      <c r="U2692">
        <f>IF(AND(ISNUMBER('자료_한국심리'!$A2676),ISNUMBER('자료_한국심리'!$B2676)),'자료_한국심리'!$A2676,"")</f>
        <v/>
      </c>
      <c r="V2692">
        <f>IF(AND(ISNUMBER('자료_한국심리'!$D2676),ISNUMBER('자료_한국심리'!$E2676)),'자료_한국심리'!$D2676,"")</f>
        <v/>
      </c>
      <c r="W2692">
        <f>IF(AND(ISNUMBER('자료_한국심리'!$G2676),ISNUMBER('자료_한국심리'!$H2676)),'자료_한국심리'!$G2676,"")</f>
        <v/>
      </c>
      <c r="X2692">
        <f>IF(AND(ISNUMBER('자료_한국심리'!$J2676),ISNUMBER('자료_한국심리'!$K2676)),'자료_한국심리'!$J2676,"")</f>
        <v/>
      </c>
      <c r="Y2692">
        <f>IF(AND(ISNUMBER('자료_한국심리'!$M2676),ISNUMBER('자료_한국심리'!$N2676)),'자료_한국심리'!$M2676,"")</f>
        <v/>
      </c>
    </row>
    <row r="2693">
      <c r="U2693">
        <f>IF(AND(ISNUMBER('자료_한국심리'!$A2677),ISNUMBER('자료_한국심리'!$B2677)),'자료_한국심리'!$A2677,"")</f>
        <v/>
      </c>
      <c r="V2693">
        <f>IF(AND(ISNUMBER('자료_한국심리'!$D2677),ISNUMBER('자료_한국심리'!$E2677)),'자료_한국심리'!$D2677,"")</f>
        <v/>
      </c>
      <c r="W2693">
        <f>IF(AND(ISNUMBER('자료_한국심리'!$G2677),ISNUMBER('자료_한국심리'!$H2677)),'자료_한국심리'!$G2677,"")</f>
        <v/>
      </c>
      <c r="X2693">
        <f>IF(AND(ISNUMBER('자료_한국심리'!$J2677),ISNUMBER('자료_한국심리'!$K2677)),'자료_한국심리'!$J2677,"")</f>
        <v/>
      </c>
      <c r="Y2693">
        <f>IF(AND(ISNUMBER('자료_한국심리'!$M2677),ISNUMBER('자료_한국심리'!$N2677)),'자료_한국심리'!$M2677,"")</f>
        <v/>
      </c>
    </row>
    <row r="2694">
      <c r="U2694">
        <f>IF(AND(ISNUMBER('자료_한국심리'!$A2678),ISNUMBER('자료_한국심리'!$B2678)),'자료_한국심리'!$A2678,"")</f>
        <v/>
      </c>
      <c r="V2694">
        <f>IF(AND(ISNUMBER('자료_한국심리'!$D2678),ISNUMBER('자료_한국심리'!$E2678)),'자료_한국심리'!$D2678,"")</f>
        <v/>
      </c>
      <c r="W2694">
        <f>IF(AND(ISNUMBER('자료_한국심리'!$G2678),ISNUMBER('자료_한국심리'!$H2678)),'자료_한국심리'!$G2678,"")</f>
        <v/>
      </c>
      <c r="X2694">
        <f>IF(AND(ISNUMBER('자료_한국심리'!$J2678),ISNUMBER('자료_한국심리'!$K2678)),'자료_한국심리'!$J2678,"")</f>
        <v/>
      </c>
      <c r="Y2694">
        <f>IF(AND(ISNUMBER('자료_한국심리'!$M2678),ISNUMBER('자료_한국심리'!$N2678)),'자료_한국심리'!$M2678,"")</f>
        <v/>
      </c>
    </row>
    <row r="2695">
      <c r="U2695">
        <f>IF(AND(ISNUMBER('자료_한국심리'!$A2679),ISNUMBER('자료_한국심리'!$B2679)),'자료_한국심리'!$A2679,"")</f>
        <v/>
      </c>
      <c r="V2695">
        <f>IF(AND(ISNUMBER('자료_한국심리'!$D2679),ISNUMBER('자료_한국심리'!$E2679)),'자료_한국심리'!$D2679,"")</f>
        <v/>
      </c>
      <c r="W2695">
        <f>IF(AND(ISNUMBER('자료_한국심리'!$G2679),ISNUMBER('자료_한국심리'!$H2679)),'자료_한국심리'!$G2679,"")</f>
        <v/>
      </c>
      <c r="X2695">
        <f>IF(AND(ISNUMBER('자료_한국심리'!$J2679),ISNUMBER('자료_한국심리'!$K2679)),'자료_한국심리'!$J2679,"")</f>
        <v/>
      </c>
      <c r="Y2695">
        <f>IF(AND(ISNUMBER('자료_한국심리'!$M2679),ISNUMBER('자료_한국심리'!$N2679)),'자료_한국심리'!$M2679,"")</f>
        <v/>
      </c>
    </row>
    <row r="2696">
      <c r="U2696">
        <f>IF(AND(ISNUMBER('자료_한국심리'!$A2680),ISNUMBER('자료_한국심리'!$B2680)),'자료_한국심리'!$A2680,"")</f>
        <v/>
      </c>
      <c r="V2696">
        <f>IF(AND(ISNUMBER('자료_한국심리'!$D2680),ISNUMBER('자료_한국심리'!$E2680)),'자료_한국심리'!$D2680,"")</f>
        <v/>
      </c>
      <c r="W2696">
        <f>IF(AND(ISNUMBER('자료_한국심리'!$G2680),ISNUMBER('자료_한국심리'!$H2680)),'자료_한국심리'!$G2680,"")</f>
        <v/>
      </c>
      <c r="X2696">
        <f>IF(AND(ISNUMBER('자료_한국심리'!$J2680),ISNUMBER('자료_한국심리'!$K2680)),'자료_한국심리'!$J2680,"")</f>
        <v/>
      </c>
      <c r="Y2696">
        <f>IF(AND(ISNUMBER('자료_한국심리'!$M2680),ISNUMBER('자료_한국심리'!$N2680)),'자료_한국심리'!$M2680,"")</f>
        <v/>
      </c>
    </row>
    <row r="2697">
      <c r="U2697">
        <f>IF(AND(ISNUMBER('자료_한국심리'!$A2681),ISNUMBER('자료_한국심리'!$B2681)),'자료_한국심리'!$A2681,"")</f>
        <v/>
      </c>
      <c r="V2697">
        <f>IF(AND(ISNUMBER('자료_한국심리'!$D2681),ISNUMBER('자료_한국심리'!$E2681)),'자료_한국심리'!$D2681,"")</f>
        <v/>
      </c>
      <c r="W2697">
        <f>IF(AND(ISNUMBER('자료_한국심리'!$G2681),ISNUMBER('자료_한국심리'!$H2681)),'자료_한국심리'!$G2681,"")</f>
        <v/>
      </c>
      <c r="X2697">
        <f>IF(AND(ISNUMBER('자료_한국심리'!$J2681),ISNUMBER('자료_한국심리'!$K2681)),'자료_한국심리'!$J2681,"")</f>
        <v/>
      </c>
      <c r="Y2697">
        <f>IF(AND(ISNUMBER('자료_한국심리'!$M2681),ISNUMBER('자료_한국심리'!$N2681)),'자료_한국심리'!$M2681,"")</f>
        <v/>
      </c>
    </row>
    <row r="2698">
      <c r="U2698">
        <f>IF(AND(ISNUMBER('자료_한국심리'!$A2682),ISNUMBER('자료_한국심리'!$B2682)),'자료_한국심리'!$A2682,"")</f>
        <v/>
      </c>
      <c r="V2698">
        <f>IF(AND(ISNUMBER('자료_한국심리'!$D2682),ISNUMBER('자료_한국심리'!$E2682)),'자료_한국심리'!$D2682,"")</f>
        <v/>
      </c>
      <c r="W2698">
        <f>IF(AND(ISNUMBER('자료_한국심리'!$G2682),ISNUMBER('자료_한국심리'!$H2682)),'자료_한국심리'!$G2682,"")</f>
        <v/>
      </c>
      <c r="X2698">
        <f>IF(AND(ISNUMBER('자료_한국심리'!$J2682),ISNUMBER('자료_한국심리'!$K2682)),'자료_한국심리'!$J2682,"")</f>
        <v/>
      </c>
      <c r="Y2698">
        <f>IF(AND(ISNUMBER('자료_한국심리'!$M2682),ISNUMBER('자료_한국심리'!$N2682)),'자료_한국심리'!$M2682,"")</f>
        <v/>
      </c>
    </row>
    <row r="2699">
      <c r="U2699">
        <f>IF(AND(ISNUMBER('자료_한국심리'!$A2683),ISNUMBER('자료_한국심리'!$B2683)),'자료_한국심리'!$A2683,"")</f>
        <v/>
      </c>
      <c r="V2699">
        <f>IF(AND(ISNUMBER('자료_한국심리'!$D2683),ISNUMBER('자료_한국심리'!$E2683)),'자료_한국심리'!$D2683,"")</f>
        <v/>
      </c>
      <c r="W2699">
        <f>IF(AND(ISNUMBER('자료_한국심리'!$G2683),ISNUMBER('자료_한국심리'!$H2683)),'자료_한국심리'!$G2683,"")</f>
        <v/>
      </c>
      <c r="X2699">
        <f>IF(AND(ISNUMBER('자료_한국심리'!$J2683),ISNUMBER('자료_한국심리'!$K2683)),'자료_한국심리'!$J2683,"")</f>
        <v/>
      </c>
      <c r="Y2699">
        <f>IF(AND(ISNUMBER('자료_한국심리'!$M2683),ISNUMBER('자료_한국심리'!$N2683)),'자료_한국심리'!$M2683,"")</f>
        <v/>
      </c>
    </row>
    <row r="2700">
      <c r="U2700">
        <f>IF(AND(ISNUMBER('자료_한국심리'!$A2684),ISNUMBER('자료_한국심리'!$B2684)),'자료_한국심리'!$A2684,"")</f>
        <v/>
      </c>
      <c r="V2700">
        <f>IF(AND(ISNUMBER('자료_한국심리'!$D2684),ISNUMBER('자료_한국심리'!$E2684)),'자료_한국심리'!$D2684,"")</f>
        <v/>
      </c>
      <c r="W2700">
        <f>IF(AND(ISNUMBER('자료_한국심리'!$G2684),ISNUMBER('자료_한국심리'!$H2684)),'자료_한국심리'!$G2684,"")</f>
        <v/>
      </c>
      <c r="X2700">
        <f>IF(AND(ISNUMBER('자료_한국심리'!$J2684),ISNUMBER('자료_한국심리'!$K2684)),'자료_한국심리'!$J2684,"")</f>
        <v/>
      </c>
      <c r="Y2700">
        <f>IF(AND(ISNUMBER('자료_한국심리'!$M2684),ISNUMBER('자료_한국심리'!$N2684)),'자료_한국심리'!$M2684,"")</f>
        <v/>
      </c>
    </row>
    <row r="2701">
      <c r="U2701">
        <f>IF(AND(ISNUMBER('자료_한국심리'!$A2685),ISNUMBER('자료_한국심리'!$B2685)),'자료_한국심리'!$A2685,"")</f>
        <v/>
      </c>
      <c r="V2701">
        <f>IF(AND(ISNUMBER('자료_한국심리'!$D2685),ISNUMBER('자료_한국심리'!$E2685)),'자료_한국심리'!$D2685,"")</f>
        <v/>
      </c>
      <c r="W2701">
        <f>IF(AND(ISNUMBER('자료_한국심리'!$G2685),ISNUMBER('자료_한국심리'!$H2685)),'자료_한국심리'!$G2685,"")</f>
        <v/>
      </c>
      <c r="X2701">
        <f>IF(AND(ISNUMBER('자료_한국심리'!$J2685),ISNUMBER('자료_한국심리'!$K2685)),'자료_한국심리'!$J2685,"")</f>
        <v/>
      </c>
      <c r="Y2701">
        <f>IF(AND(ISNUMBER('자료_한국심리'!$M2685),ISNUMBER('자료_한국심리'!$N2685)),'자료_한국심리'!$M2685,"")</f>
        <v/>
      </c>
    </row>
    <row r="2702">
      <c r="U2702">
        <f>IF(AND(ISNUMBER('자료_한국심리'!$A2686),ISNUMBER('자료_한국심리'!$B2686)),'자료_한국심리'!$A2686,"")</f>
        <v/>
      </c>
      <c r="V2702">
        <f>IF(AND(ISNUMBER('자료_한국심리'!$D2686),ISNUMBER('자료_한국심리'!$E2686)),'자료_한국심리'!$D2686,"")</f>
        <v/>
      </c>
      <c r="W2702">
        <f>IF(AND(ISNUMBER('자료_한국심리'!$G2686),ISNUMBER('자료_한국심리'!$H2686)),'자료_한국심리'!$G2686,"")</f>
        <v/>
      </c>
      <c r="X2702">
        <f>IF(AND(ISNUMBER('자료_한국심리'!$J2686),ISNUMBER('자료_한국심리'!$K2686)),'자료_한국심리'!$J2686,"")</f>
        <v/>
      </c>
      <c r="Y2702">
        <f>IF(AND(ISNUMBER('자료_한국심리'!$M2686),ISNUMBER('자료_한국심리'!$N2686)),'자료_한국심리'!$M2686,"")</f>
        <v/>
      </c>
    </row>
    <row r="2703">
      <c r="U2703">
        <f>IF(AND(ISNUMBER('자료_한국심리'!$A2687),ISNUMBER('자료_한국심리'!$B2687)),'자료_한국심리'!$A2687,"")</f>
        <v/>
      </c>
      <c r="V2703">
        <f>IF(AND(ISNUMBER('자료_한국심리'!$D2687),ISNUMBER('자료_한국심리'!$E2687)),'자료_한국심리'!$D2687,"")</f>
        <v/>
      </c>
      <c r="W2703">
        <f>IF(AND(ISNUMBER('자료_한국심리'!$G2687),ISNUMBER('자료_한국심리'!$H2687)),'자료_한국심리'!$G2687,"")</f>
        <v/>
      </c>
      <c r="X2703">
        <f>IF(AND(ISNUMBER('자료_한국심리'!$J2687),ISNUMBER('자료_한국심리'!$K2687)),'자료_한국심리'!$J2687,"")</f>
        <v/>
      </c>
      <c r="Y2703">
        <f>IF(AND(ISNUMBER('자료_한국심리'!$M2687),ISNUMBER('자료_한국심리'!$N2687)),'자료_한국심리'!$M2687,"")</f>
        <v/>
      </c>
    </row>
    <row r="2704">
      <c r="U2704">
        <f>IF(AND(ISNUMBER('자료_한국심리'!$A2688),ISNUMBER('자료_한국심리'!$B2688)),'자료_한국심리'!$A2688,"")</f>
        <v/>
      </c>
      <c r="V2704">
        <f>IF(AND(ISNUMBER('자료_한국심리'!$D2688),ISNUMBER('자료_한국심리'!$E2688)),'자료_한국심리'!$D2688,"")</f>
        <v/>
      </c>
      <c r="W2704">
        <f>IF(AND(ISNUMBER('자료_한국심리'!$G2688),ISNUMBER('자료_한국심리'!$H2688)),'자료_한국심리'!$G2688,"")</f>
        <v/>
      </c>
      <c r="X2704">
        <f>IF(AND(ISNUMBER('자료_한국심리'!$J2688),ISNUMBER('자료_한국심리'!$K2688)),'자료_한국심리'!$J2688,"")</f>
        <v/>
      </c>
      <c r="Y2704">
        <f>IF(AND(ISNUMBER('자료_한국심리'!$M2688),ISNUMBER('자료_한국심리'!$N2688)),'자료_한국심리'!$M2688,"")</f>
        <v/>
      </c>
    </row>
    <row r="2705">
      <c r="U2705">
        <f>IF(AND(ISNUMBER('자료_한국심리'!$A2689),ISNUMBER('자료_한국심리'!$B2689)),'자료_한국심리'!$A2689,"")</f>
        <v/>
      </c>
      <c r="V2705">
        <f>IF(AND(ISNUMBER('자료_한국심리'!$D2689),ISNUMBER('자료_한국심리'!$E2689)),'자료_한국심리'!$D2689,"")</f>
        <v/>
      </c>
      <c r="W2705">
        <f>IF(AND(ISNUMBER('자료_한국심리'!$G2689),ISNUMBER('자료_한국심리'!$H2689)),'자료_한국심리'!$G2689,"")</f>
        <v/>
      </c>
      <c r="X2705">
        <f>IF(AND(ISNUMBER('자료_한국심리'!$J2689),ISNUMBER('자료_한국심리'!$K2689)),'자료_한국심리'!$J2689,"")</f>
        <v/>
      </c>
      <c r="Y2705">
        <f>IF(AND(ISNUMBER('자료_한국심리'!$M2689),ISNUMBER('자료_한국심리'!$N2689)),'자료_한국심리'!$M2689,"")</f>
        <v/>
      </c>
    </row>
    <row r="2706">
      <c r="U2706">
        <f>IF(AND(ISNUMBER('자료_한국심리'!$A2690),ISNUMBER('자료_한국심리'!$B2690)),'자료_한국심리'!$A2690,"")</f>
        <v/>
      </c>
      <c r="V2706">
        <f>IF(AND(ISNUMBER('자료_한국심리'!$D2690),ISNUMBER('자료_한국심리'!$E2690)),'자료_한국심리'!$D2690,"")</f>
        <v/>
      </c>
      <c r="W2706">
        <f>IF(AND(ISNUMBER('자료_한국심리'!$G2690),ISNUMBER('자료_한국심리'!$H2690)),'자료_한국심리'!$G2690,"")</f>
        <v/>
      </c>
      <c r="X2706">
        <f>IF(AND(ISNUMBER('자료_한국심리'!$J2690),ISNUMBER('자료_한국심리'!$K2690)),'자료_한국심리'!$J2690,"")</f>
        <v/>
      </c>
      <c r="Y2706">
        <f>IF(AND(ISNUMBER('자료_한국심리'!$M2690),ISNUMBER('자료_한국심리'!$N2690)),'자료_한국심리'!$M2690,"")</f>
        <v/>
      </c>
    </row>
    <row r="2707">
      <c r="U2707">
        <f>IF(AND(ISNUMBER('자료_한국심리'!$A2691),ISNUMBER('자료_한국심리'!$B2691)),'자료_한국심리'!$A2691,"")</f>
        <v/>
      </c>
      <c r="V2707">
        <f>IF(AND(ISNUMBER('자료_한국심리'!$D2691),ISNUMBER('자료_한국심리'!$E2691)),'자료_한국심리'!$D2691,"")</f>
        <v/>
      </c>
      <c r="W2707">
        <f>IF(AND(ISNUMBER('자료_한국심리'!$G2691),ISNUMBER('자료_한국심리'!$H2691)),'자료_한국심리'!$G2691,"")</f>
        <v/>
      </c>
      <c r="X2707">
        <f>IF(AND(ISNUMBER('자료_한국심리'!$J2691),ISNUMBER('자료_한국심리'!$K2691)),'자료_한국심리'!$J2691,"")</f>
        <v/>
      </c>
      <c r="Y2707">
        <f>IF(AND(ISNUMBER('자료_한국심리'!$M2691),ISNUMBER('자료_한국심리'!$N2691)),'자료_한국심리'!$M2691,"")</f>
        <v/>
      </c>
    </row>
    <row r="2708">
      <c r="U2708">
        <f>IF(AND(ISNUMBER('자료_한국심리'!$A2692),ISNUMBER('자료_한국심리'!$B2692)),'자료_한국심리'!$A2692,"")</f>
        <v/>
      </c>
      <c r="V2708">
        <f>IF(AND(ISNUMBER('자료_한국심리'!$D2692),ISNUMBER('자료_한국심리'!$E2692)),'자료_한국심리'!$D2692,"")</f>
        <v/>
      </c>
      <c r="W2708">
        <f>IF(AND(ISNUMBER('자료_한국심리'!$G2692),ISNUMBER('자료_한국심리'!$H2692)),'자료_한국심리'!$G2692,"")</f>
        <v/>
      </c>
      <c r="X2708">
        <f>IF(AND(ISNUMBER('자료_한국심리'!$J2692),ISNUMBER('자료_한국심리'!$K2692)),'자료_한국심리'!$J2692,"")</f>
        <v/>
      </c>
      <c r="Y2708">
        <f>IF(AND(ISNUMBER('자료_한국심리'!$M2692),ISNUMBER('자료_한국심리'!$N2692)),'자료_한국심리'!$M2692,"")</f>
        <v/>
      </c>
    </row>
    <row r="2709">
      <c r="U2709">
        <f>IF(AND(ISNUMBER('자료_한국심리'!$A2693),ISNUMBER('자료_한국심리'!$B2693)),'자료_한국심리'!$A2693,"")</f>
        <v/>
      </c>
      <c r="V2709">
        <f>IF(AND(ISNUMBER('자료_한국심리'!$D2693),ISNUMBER('자료_한국심리'!$E2693)),'자료_한국심리'!$D2693,"")</f>
        <v/>
      </c>
      <c r="W2709">
        <f>IF(AND(ISNUMBER('자료_한국심리'!$G2693),ISNUMBER('자료_한국심리'!$H2693)),'자료_한국심리'!$G2693,"")</f>
        <v/>
      </c>
      <c r="X2709">
        <f>IF(AND(ISNUMBER('자료_한국심리'!$J2693),ISNUMBER('자료_한국심리'!$K2693)),'자료_한국심리'!$J2693,"")</f>
        <v/>
      </c>
      <c r="Y2709">
        <f>IF(AND(ISNUMBER('자료_한국심리'!$M2693),ISNUMBER('자료_한국심리'!$N2693)),'자료_한국심리'!$M2693,"")</f>
        <v/>
      </c>
    </row>
    <row r="2710">
      <c r="U2710">
        <f>IF(AND(ISNUMBER('자료_한국심리'!$A2694),ISNUMBER('자료_한국심리'!$B2694)),'자료_한국심리'!$A2694,"")</f>
        <v/>
      </c>
      <c r="V2710">
        <f>IF(AND(ISNUMBER('자료_한국심리'!$D2694),ISNUMBER('자료_한국심리'!$E2694)),'자료_한국심리'!$D2694,"")</f>
        <v/>
      </c>
      <c r="W2710">
        <f>IF(AND(ISNUMBER('자료_한국심리'!$G2694),ISNUMBER('자료_한국심리'!$H2694)),'자료_한국심리'!$G2694,"")</f>
        <v/>
      </c>
      <c r="X2710">
        <f>IF(AND(ISNUMBER('자료_한국심리'!$J2694),ISNUMBER('자료_한국심리'!$K2694)),'자료_한국심리'!$J2694,"")</f>
        <v/>
      </c>
      <c r="Y2710">
        <f>IF(AND(ISNUMBER('자료_한국심리'!$M2694),ISNUMBER('자료_한국심리'!$N2694)),'자료_한국심리'!$M2694,"")</f>
        <v/>
      </c>
    </row>
    <row r="2711">
      <c r="U2711">
        <f>IF(AND(ISNUMBER('자료_한국심리'!$A2695),ISNUMBER('자료_한국심리'!$B2695)),'자료_한국심리'!$A2695,"")</f>
        <v/>
      </c>
      <c r="V2711">
        <f>IF(AND(ISNUMBER('자료_한국심리'!$D2695),ISNUMBER('자료_한국심리'!$E2695)),'자료_한국심리'!$D2695,"")</f>
        <v/>
      </c>
      <c r="W2711">
        <f>IF(AND(ISNUMBER('자료_한국심리'!$G2695),ISNUMBER('자료_한국심리'!$H2695)),'자료_한국심리'!$G2695,"")</f>
        <v/>
      </c>
      <c r="X2711">
        <f>IF(AND(ISNUMBER('자료_한국심리'!$J2695),ISNUMBER('자료_한국심리'!$K2695)),'자료_한국심리'!$J2695,"")</f>
        <v/>
      </c>
      <c r="Y2711">
        <f>IF(AND(ISNUMBER('자료_한국심리'!$M2695),ISNUMBER('자료_한국심리'!$N2695)),'자료_한국심리'!$M2695,"")</f>
        <v/>
      </c>
    </row>
    <row r="2712">
      <c r="U2712">
        <f>IF(AND(ISNUMBER('자료_한국심리'!$A2696),ISNUMBER('자료_한국심리'!$B2696)),'자료_한국심리'!$A2696,"")</f>
        <v/>
      </c>
      <c r="V2712">
        <f>IF(AND(ISNUMBER('자료_한국심리'!$D2696),ISNUMBER('자료_한국심리'!$E2696)),'자료_한국심리'!$D2696,"")</f>
        <v/>
      </c>
      <c r="W2712">
        <f>IF(AND(ISNUMBER('자료_한국심리'!$G2696),ISNUMBER('자료_한국심리'!$H2696)),'자료_한국심리'!$G2696,"")</f>
        <v/>
      </c>
      <c r="X2712">
        <f>IF(AND(ISNUMBER('자료_한국심리'!$J2696),ISNUMBER('자료_한국심리'!$K2696)),'자료_한국심리'!$J2696,"")</f>
        <v/>
      </c>
      <c r="Y2712">
        <f>IF(AND(ISNUMBER('자료_한국심리'!$M2696),ISNUMBER('자료_한국심리'!$N2696)),'자료_한국심리'!$M2696,"")</f>
        <v/>
      </c>
    </row>
    <row r="2713">
      <c r="U2713">
        <f>IF(AND(ISNUMBER('자료_한국심리'!$A2697),ISNUMBER('자료_한국심리'!$B2697)),'자료_한국심리'!$A2697,"")</f>
        <v/>
      </c>
      <c r="V2713">
        <f>IF(AND(ISNUMBER('자료_한국심리'!$D2697),ISNUMBER('자료_한국심리'!$E2697)),'자료_한국심리'!$D2697,"")</f>
        <v/>
      </c>
      <c r="W2713">
        <f>IF(AND(ISNUMBER('자료_한국심리'!$G2697),ISNUMBER('자료_한국심리'!$H2697)),'자료_한국심리'!$G2697,"")</f>
        <v/>
      </c>
      <c r="X2713">
        <f>IF(AND(ISNUMBER('자료_한국심리'!$J2697),ISNUMBER('자료_한국심리'!$K2697)),'자료_한국심리'!$J2697,"")</f>
        <v/>
      </c>
      <c r="Y2713">
        <f>IF(AND(ISNUMBER('자료_한국심리'!$M2697),ISNUMBER('자료_한국심리'!$N2697)),'자료_한국심리'!$M2697,"")</f>
        <v/>
      </c>
    </row>
    <row r="2714">
      <c r="U2714">
        <f>IF(AND(ISNUMBER('자료_한국심리'!$A2698),ISNUMBER('자료_한국심리'!$B2698)),'자료_한국심리'!$A2698,"")</f>
        <v/>
      </c>
      <c r="V2714">
        <f>IF(AND(ISNUMBER('자료_한국심리'!$D2698),ISNUMBER('자료_한국심리'!$E2698)),'자료_한국심리'!$D2698,"")</f>
        <v/>
      </c>
      <c r="W2714">
        <f>IF(AND(ISNUMBER('자료_한국심리'!$G2698),ISNUMBER('자료_한국심리'!$H2698)),'자료_한국심리'!$G2698,"")</f>
        <v/>
      </c>
      <c r="X2714">
        <f>IF(AND(ISNUMBER('자료_한국심리'!$J2698),ISNUMBER('자료_한국심리'!$K2698)),'자료_한국심리'!$J2698,"")</f>
        <v/>
      </c>
      <c r="Y2714">
        <f>IF(AND(ISNUMBER('자료_한국심리'!$M2698),ISNUMBER('자료_한국심리'!$N2698)),'자료_한국심리'!$M2698,"")</f>
        <v/>
      </c>
    </row>
    <row r="2715">
      <c r="U2715">
        <f>IF(AND(ISNUMBER('자료_한국심리'!$A2699),ISNUMBER('자료_한국심리'!$B2699)),'자료_한국심리'!$A2699,"")</f>
        <v/>
      </c>
      <c r="V2715">
        <f>IF(AND(ISNUMBER('자료_한국심리'!$D2699),ISNUMBER('자료_한국심리'!$E2699)),'자료_한국심리'!$D2699,"")</f>
        <v/>
      </c>
      <c r="W2715">
        <f>IF(AND(ISNUMBER('자료_한국심리'!$G2699),ISNUMBER('자료_한국심리'!$H2699)),'자료_한국심리'!$G2699,"")</f>
        <v/>
      </c>
      <c r="X2715">
        <f>IF(AND(ISNUMBER('자료_한국심리'!$J2699),ISNUMBER('자료_한국심리'!$K2699)),'자료_한국심리'!$J2699,"")</f>
        <v/>
      </c>
      <c r="Y2715">
        <f>IF(AND(ISNUMBER('자료_한국심리'!$M2699),ISNUMBER('자료_한국심리'!$N2699)),'자료_한국심리'!$M2699,"")</f>
        <v/>
      </c>
    </row>
    <row r="2716">
      <c r="U2716">
        <f>IF(AND(ISNUMBER('자료_한국심리'!$A2700),ISNUMBER('자료_한국심리'!$B2700)),'자료_한국심리'!$A2700,"")</f>
        <v/>
      </c>
      <c r="V2716">
        <f>IF(AND(ISNUMBER('자료_한국심리'!$D2700),ISNUMBER('자료_한국심리'!$E2700)),'자료_한국심리'!$D2700,"")</f>
        <v/>
      </c>
      <c r="W2716">
        <f>IF(AND(ISNUMBER('자료_한국심리'!$G2700),ISNUMBER('자료_한국심리'!$H2700)),'자료_한국심리'!$G2700,"")</f>
        <v/>
      </c>
      <c r="X2716">
        <f>IF(AND(ISNUMBER('자료_한국심리'!$J2700),ISNUMBER('자료_한국심리'!$K2700)),'자료_한국심리'!$J2700,"")</f>
        <v/>
      </c>
      <c r="Y2716">
        <f>IF(AND(ISNUMBER('자료_한국심리'!$M2700),ISNUMBER('자료_한국심리'!$N2700)),'자료_한국심리'!$M2700,"")</f>
        <v/>
      </c>
    </row>
    <row r="2717">
      <c r="U2717">
        <f>IF(AND(ISNUMBER('자료_한국심리'!$A2701),ISNUMBER('자료_한국심리'!$B2701)),'자료_한국심리'!$A2701,"")</f>
        <v/>
      </c>
      <c r="V2717">
        <f>IF(AND(ISNUMBER('자료_한국심리'!$D2701),ISNUMBER('자료_한국심리'!$E2701)),'자료_한국심리'!$D2701,"")</f>
        <v/>
      </c>
      <c r="W2717">
        <f>IF(AND(ISNUMBER('자료_한국심리'!$G2701),ISNUMBER('자료_한국심리'!$H2701)),'자료_한국심리'!$G2701,"")</f>
        <v/>
      </c>
      <c r="X2717">
        <f>IF(AND(ISNUMBER('자료_한국심리'!$J2701),ISNUMBER('자료_한국심리'!$K2701)),'자료_한국심리'!$J2701,"")</f>
        <v/>
      </c>
      <c r="Y2717">
        <f>IF(AND(ISNUMBER('자료_한국심리'!$M2701),ISNUMBER('자료_한국심리'!$N2701)),'자료_한국심리'!$M2701,"")</f>
        <v/>
      </c>
    </row>
    <row r="2718">
      <c r="U2718">
        <f>IF(AND(ISNUMBER('자료_한국심리'!$A2702),ISNUMBER('자료_한국심리'!$B2702)),'자료_한국심리'!$A2702,"")</f>
        <v/>
      </c>
      <c r="V2718">
        <f>IF(AND(ISNUMBER('자료_한국심리'!$D2702),ISNUMBER('자료_한국심리'!$E2702)),'자료_한국심리'!$D2702,"")</f>
        <v/>
      </c>
      <c r="W2718">
        <f>IF(AND(ISNUMBER('자료_한국심리'!$G2702),ISNUMBER('자료_한국심리'!$H2702)),'자료_한국심리'!$G2702,"")</f>
        <v/>
      </c>
      <c r="X2718">
        <f>IF(AND(ISNUMBER('자료_한국심리'!$J2702),ISNUMBER('자료_한국심리'!$K2702)),'자료_한국심리'!$J2702,"")</f>
        <v/>
      </c>
      <c r="Y2718">
        <f>IF(AND(ISNUMBER('자료_한국심리'!$M2702),ISNUMBER('자료_한국심리'!$N2702)),'자료_한국심리'!$M2702,"")</f>
        <v/>
      </c>
    </row>
    <row r="2719">
      <c r="U2719">
        <f>IF(AND(ISNUMBER('자료_한국심리'!$A2703),ISNUMBER('자료_한국심리'!$B2703)),'자료_한국심리'!$A2703,"")</f>
        <v/>
      </c>
      <c r="V2719">
        <f>IF(AND(ISNUMBER('자료_한국심리'!$D2703),ISNUMBER('자료_한국심리'!$E2703)),'자료_한국심리'!$D2703,"")</f>
        <v/>
      </c>
      <c r="W2719">
        <f>IF(AND(ISNUMBER('자료_한국심리'!$G2703),ISNUMBER('자료_한국심리'!$H2703)),'자료_한국심리'!$G2703,"")</f>
        <v/>
      </c>
      <c r="X2719">
        <f>IF(AND(ISNUMBER('자료_한국심리'!$J2703),ISNUMBER('자료_한국심리'!$K2703)),'자료_한국심리'!$J2703,"")</f>
        <v/>
      </c>
      <c r="Y2719">
        <f>IF(AND(ISNUMBER('자료_한국심리'!$M2703),ISNUMBER('자료_한국심리'!$N2703)),'자료_한국심리'!$M2703,"")</f>
        <v/>
      </c>
    </row>
    <row r="2720">
      <c r="U2720">
        <f>IF(AND(ISNUMBER('자료_한국심리'!$A2704),ISNUMBER('자료_한국심리'!$B2704)),'자료_한국심리'!$A2704,"")</f>
        <v/>
      </c>
      <c r="V2720">
        <f>IF(AND(ISNUMBER('자료_한국심리'!$D2704),ISNUMBER('자료_한국심리'!$E2704)),'자료_한국심리'!$D2704,"")</f>
        <v/>
      </c>
      <c r="W2720">
        <f>IF(AND(ISNUMBER('자료_한국심리'!$G2704),ISNUMBER('자료_한국심리'!$H2704)),'자료_한국심리'!$G2704,"")</f>
        <v/>
      </c>
      <c r="X2720">
        <f>IF(AND(ISNUMBER('자료_한국심리'!$J2704),ISNUMBER('자료_한국심리'!$K2704)),'자료_한국심리'!$J2704,"")</f>
        <v/>
      </c>
      <c r="Y2720">
        <f>IF(AND(ISNUMBER('자료_한국심리'!$M2704),ISNUMBER('자료_한국심리'!$N2704)),'자료_한국심리'!$M2704,"")</f>
        <v/>
      </c>
    </row>
    <row r="2721">
      <c r="U2721">
        <f>IF(AND(ISNUMBER('자료_한국심리'!$A2705),ISNUMBER('자료_한국심리'!$B2705)),'자료_한국심리'!$A2705,"")</f>
        <v/>
      </c>
      <c r="V2721">
        <f>IF(AND(ISNUMBER('자료_한국심리'!$D2705),ISNUMBER('자료_한국심리'!$E2705)),'자료_한국심리'!$D2705,"")</f>
        <v/>
      </c>
      <c r="W2721">
        <f>IF(AND(ISNUMBER('자료_한국심리'!$G2705),ISNUMBER('자료_한국심리'!$H2705)),'자료_한국심리'!$G2705,"")</f>
        <v/>
      </c>
      <c r="X2721">
        <f>IF(AND(ISNUMBER('자료_한국심리'!$J2705),ISNUMBER('자료_한국심리'!$K2705)),'자료_한국심리'!$J2705,"")</f>
        <v/>
      </c>
      <c r="Y2721">
        <f>IF(AND(ISNUMBER('자료_한국심리'!$M2705),ISNUMBER('자료_한국심리'!$N2705)),'자료_한국심리'!$M2705,"")</f>
        <v/>
      </c>
    </row>
    <row r="2722">
      <c r="U2722">
        <f>IF(AND(ISNUMBER('자료_한국심리'!$A2706),ISNUMBER('자료_한국심리'!$B2706)),'자료_한국심리'!$A2706,"")</f>
        <v/>
      </c>
      <c r="V2722">
        <f>IF(AND(ISNUMBER('자료_한국심리'!$D2706),ISNUMBER('자료_한국심리'!$E2706)),'자료_한국심리'!$D2706,"")</f>
        <v/>
      </c>
      <c r="W2722">
        <f>IF(AND(ISNUMBER('자료_한국심리'!$G2706),ISNUMBER('자료_한국심리'!$H2706)),'자료_한국심리'!$G2706,"")</f>
        <v/>
      </c>
      <c r="X2722">
        <f>IF(AND(ISNUMBER('자료_한국심리'!$J2706),ISNUMBER('자료_한국심리'!$K2706)),'자료_한국심리'!$J2706,"")</f>
        <v/>
      </c>
      <c r="Y2722">
        <f>IF(AND(ISNUMBER('자료_한국심리'!$M2706),ISNUMBER('자료_한국심리'!$N2706)),'자료_한국심리'!$M2706,"")</f>
        <v/>
      </c>
    </row>
    <row r="2723">
      <c r="U2723">
        <f>IF(AND(ISNUMBER('자료_한국심리'!$A2707),ISNUMBER('자료_한국심리'!$B2707)),'자료_한국심리'!$A2707,"")</f>
        <v/>
      </c>
      <c r="V2723">
        <f>IF(AND(ISNUMBER('자료_한국심리'!$D2707),ISNUMBER('자료_한국심리'!$E2707)),'자료_한국심리'!$D2707,"")</f>
        <v/>
      </c>
      <c r="W2723">
        <f>IF(AND(ISNUMBER('자료_한국심리'!$G2707),ISNUMBER('자료_한국심리'!$H2707)),'자료_한국심리'!$G2707,"")</f>
        <v/>
      </c>
      <c r="X2723">
        <f>IF(AND(ISNUMBER('자료_한국심리'!$J2707),ISNUMBER('자료_한국심리'!$K2707)),'자료_한국심리'!$J2707,"")</f>
        <v/>
      </c>
      <c r="Y2723">
        <f>IF(AND(ISNUMBER('자료_한국심리'!$M2707),ISNUMBER('자료_한국심리'!$N2707)),'자료_한국심리'!$M2707,"")</f>
        <v/>
      </c>
    </row>
    <row r="2724">
      <c r="U2724">
        <f>IF(AND(ISNUMBER('자료_한국심리'!$A2708),ISNUMBER('자료_한국심리'!$B2708)),'자료_한국심리'!$A2708,"")</f>
        <v/>
      </c>
      <c r="V2724">
        <f>IF(AND(ISNUMBER('자료_한국심리'!$D2708),ISNUMBER('자료_한국심리'!$E2708)),'자료_한국심리'!$D2708,"")</f>
        <v/>
      </c>
      <c r="W2724">
        <f>IF(AND(ISNUMBER('자료_한국심리'!$G2708),ISNUMBER('자료_한국심리'!$H2708)),'자료_한국심리'!$G2708,"")</f>
        <v/>
      </c>
      <c r="X2724">
        <f>IF(AND(ISNUMBER('자료_한국심리'!$J2708),ISNUMBER('자료_한국심리'!$K2708)),'자료_한국심리'!$J2708,"")</f>
        <v/>
      </c>
      <c r="Y2724">
        <f>IF(AND(ISNUMBER('자료_한국심리'!$M2708),ISNUMBER('자료_한국심리'!$N2708)),'자료_한국심리'!$M2708,"")</f>
        <v/>
      </c>
    </row>
    <row r="2725">
      <c r="U2725">
        <f>IF(AND(ISNUMBER('자료_한국심리'!$A2709),ISNUMBER('자료_한국심리'!$B2709)),'자료_한국심리'!$A2709,"")</f>
        <v/>
      </c>
      <c r="V2725">
        <f>IF(AND(ISNUMBER('자료_한국심리'!$D2709),ISNUMBER('자료_한국심리'!$E2709)),'자료_한국심리'!$D2709,"")</f>
        <v/>
      </c>
      <c r="W2725">
        <f>IF(AND(ISNUMBER('자료_한국심리'!$G2709),ISNUMBER('자료_한국심리'!$H2709)),'자료_한국심리'!$G2709,"")</f>
        <v/>
      </c>
      <c r="X2725">
        <f>IF(AND(ISNUMBER('자료_한국심리'!$J2709),ISNUMBER('자료_한국심리'!$K2709)),'자료_한국심리'!$J2709,"")</f>
        <v/>
      </c>
      <c r="Y2725">
        <f>IF(AND(ISNUMBER('자료_한국심리'!$M2709),ISNUMBER('자료_한국심리'!$N2709)),'자료_한국심리'!$M2709,"")</f>
        <v/>
      </c>
    </row>
    <row r="2726">
      <c r="U2726">
        <f>IF(AND(ISNUMBER('자료_한국심리'!$A2710),ISNUMBER('자료_한국심리'!$B2710)),'자료_한국심리'!$A2710,"")</f>
        <v/>
      </c>
      <c r="V2726">
        <f>IF(AND(ISNUMBER('자료_한국심리'!$D2710),ISNUMBER('자료_한국심리'!$E2710)),'자료_한국심리'!$D2710,"")</f>
        <v/>
      </c>
      <c r="W2726">
        <f>IF(AND(ISNUMBER('자료_한국심리'!$G2710),ISNUMBER('자료_한국심리'!$H2710)),'자료_한국심리'!$G2710,"")</f>
        <v/>
      </c>
      <c r="X2726">
        <f>IF(AND(ISNUMBER('자료_한국심리'!$J2710),ISNUMBER('자료_한국심리'!$K2710)),'자료_한국심리'!$J2710,"")</f>
        <v/>
      </c>
      <c r="Y2726">
        <f>IF(AND(ISNUMBER('자료_한국심리'!$M2710),ISNUMBER('자료_한국심리'!$N2710)),'자료_한국심리'!$M2710,"")</f>
        <v/>
      </c>
    </row>
    <row r="2727">
      <c r="U2727">
        <f>IF(AND(ISNUMBER('자료_한국심리'!$A2711),ISNUMBER('자료_한국심리'!$B2711)),'자료_한국심리'!$A2711,"")</f>
        <v/>
      </c>
      <c r="V2727">
        <f>IF(AND(ISNUMBER('자료_한국심리'!$D2711),ISNUMBER('자료_한국심리'!$E2711)),'자료_한국심리'!$D2711,"")</f>
        <v/>
      </c>
      <c r="W2727">
        <f>IF(AND(ISNUMBER('자료_한국심리'!$G2711),ISNUMBER('자료_한국심리'!$H2711)),'자료_한국심리'!$G2711,"")</f>
        <v/>
      </c>
      <c r="X2727">
        <f>IF(AND(ISNUMBER('자료_한국심리'!$J2711),ISNUMBER('자료_한국심리'!$K2711)),'자료_한국심리'!$J2711,"")</f>
        <v/>
      </c>
      <c r="Y2727">
        <f>IF(AND(ISNUMBER('자료_한국심리'!$M2711),ISNUMBER('자료_한국심리'!$N2711)),'자료_한국심리'!$M2711,"")</f>
        <v/>
      </c>
    </row>
    <row r="2728">
      <c r="U2728">
        <f>IF(AND(ISNUMBER('자료_한국심리'!$A2712),ISNUMBER('자료_한국심리'!$B2712)),'자료_한국심리'!$A2712,"")</f>
        <v/>
      </c>
      <c r="V2728">
        <f>IF(AND(ISNUMBER('자료_한국심리'!$D2712),ISNUMBER('자료_한국심리'!$E2712)),'자료_한국심리'!$D2712,"")</f>
        <v/>
      </c>
      <c r="W2728">
        <f>IF(AND(ISNUMBER('자료_한국심리'!$G2712),ISNUMBER('자료_한국심리'!$H2712)),'자료_한국심리'!$G2712,"")</f>
        <v/>
      </c>
      <c r="X2728">
        <f>IF(AND(ISNUMBER('자료_한국심리'!$J2712),ISNUMBER('자료_한국심리'!$K2712)),'자료_한국심리'!$J2712,"")</f>
        <v/>
      </c>
      <c r="Y2728">
        <f>IF(AND(ISNUMBER('자료_한국심리'!$M2712),ISNUMBER('자료_한국심리'!$N2712)),'자료_한국심리'!$M2712,"")</f>
        <v/>
      </c>
    </row>
    <row r="2729">
      <c r="U2729">
        <f>IF(AND(ISNUMBER('자료_한국심리'!$A2713),ISNUMBER('자료_한국심리'!$B2713)),'자료_한국심리'!$A2713,"")</f>
        <v/>
      </c>
      <c r="V2729">
        <f>IF(AND(ISNUMBER('자료_한국심리'!$D2713),ISNUMBER('자료_한국심리'!$E2713)),'자료_한국심리'!$D2713,"")</f>
        <v/>
      </c>
      <c r="W2729">
        <f>IF(AND(ISNUMBER('자료_한국심리'!$G2713),ISNUMBER('자료_한국심리'!$H2713)),'자료_한국심리'!$G2713,"")</f>
        <v/>
      </c>
      <c r="X2729">
        <f>IF(AND(ISNUMBER('자료_한국심리'!$J2713),ISNUMBER('자료_한국심리'!$K2713)),'자료_한국심리'!$J2713,"")</f>
        <v/>
      </c>
      <c r="Y2729">
        <f>IF(AND(ISNUMBER('자료_한국심리'!$M2713),ISNUMBER('자료_한국심리'!$N2713)),'자료_한국심리'!$M2713,"")</f>
        <v/>
      </c>
    </row>
    <row r="2730">
      <c r="U2730">
        <f>IF(AND(ISNUMBER('자료_한국심리'!$A2714),ISNUMBER('자료_한국심리'!$B2714)),'자료_한국심리'!$A2714,"")</f>
        <v/>
      </c>
      <c r="V2730">
        <f>IF(AND(ISNUMBER('자료_한국심리'!$D2714),ISNUMBER('자료_한국심리'!$E2714)),'자료_한국심리'!$D2714,"")</f>
        <v/>
      </c>
      <c r="W2730">
        <f>IF(AND(ISNUMBER('자료_한국심리'!$G2714),ISNUMBER('자료_한국심리'!$H2714)),'자료_한국심리'!$G2714,"")</f>
        <v/>
      </c>
      <c r="X2730">
        <f>IF(AND(ISNUMBER('자료_한국심리'!$J2714),ISNUMBER('자료_한국심리'!$K2714)),'자료_한국심리'!$J2714,"")</f>
        <v/>
      </c>
      <c r="Y2730">
        <f>IF(AND(ISNUMBER('자료_한국심리'!$M2714),ISNUMBER('자료_한국심리'!$N2714)),'자료_한국심리'!$M2714,"")</f>
        <v/>
      </c>
    </row>
    <row r="2731">
      <c r="U2731">
        <f>IF(AND(ISNUMBER('자료_한국심리'!$A2715),ISNUMBER('자료_한국심리'!$B2715)),'자료_한국심리'!$A2715,"")</f>
        <v/>
      </c>
      <c r="V2731">
        <f>IF(AND(ISNUMBER('자료_한국심리'!$D2715),ISNUMBER('자료_한국심리'!$E2715)),'자료_한국심리'!$D2715,"")</f>
        <v/>
      </c>
      <c r="W2731">
        <f>IF(AND(ISNUMBER('자료_한국심리'!$G2715),ISNUMBER('자료_한국심리'!$H2715)),'자료_한국심리'!$G2715,"")</f>
        <v/>
      </c>
      <c r="X2731">
        <f>IF(AND(ISNUMBER('자료_한국심리'!$J2715),ISNUMBER('자료_한국심리'!$K2715)),'자료_한국심리'!$J2715,"")</f>
        <v/>
      </c>
      <c r="Y2731">
        <f>IF(AND(ISNUMBER('자료_한국심리'!$M2715),ISNUMBER('자료_한국심리'!$N2715)),'자료_한국심리'!$M2715,"")</f>
        <v/>
      </c>
    </row>
    <row r="2732">
      <c r="U2732">
        <f>IF(AND(ISNUMBER('자료_한국심리'!$A2716),ISNUMBER('자료_한국심리'!$B2716)),'자료_한국심리'!$A2716,"")</f>
        <v/>
      </c>
      <c r="V2732">
        <f>IF(AND(ISNUMBER('자료_한국심리'!$D2716),ISNUMBER('자료_한국심리'!$E2716)),'자료_한국심리'!$D2716,"")</f>
        <v/>
      </c>
      <c r="W2732">
        <f>IF(AND(ISNUMBER('자료_한국심리'!$G2716),ISNUMBER('자료_한국심리'!$H2716)),'자료_한국심리'!$G2716,"")</f>
        <v/>
      </c>
      <c r="X2732">
        <f>IF(AND(ISNUMBER('자료_한국심리'!$J2716),ISNUMBER('자료_한국심리'!$K2716)),'자료_한국심리'!$J2716,"")</f>
        <v/>
      </c>
      <c r="Y2732">
        <f>IF(AND(ISNUMBER('자료_한국심리'!$M2716),ISNUMBER('자료_한국심리'!$N2716)),'자료_한국심리'!$M2716,"")</f>
        <v/>
      </c>
    </row>
    <row r="2733">
      <c r="U2733">
        <f>IF(AND(ISNUMBER('자료_한국심리'!$A2717),ISNUMBER('자료_한국심리'!$B2717)),'자료_한국심리'!$A2717,"")</f>
        <v/>
      </c>
      <c r="V2733">
        <f>IF(AND(ISNUMBER('자료_한국심리'!$D2717),ISNUMBER('자료_한국심리'!$E2717)),'자료_한국심리'!$D2717,"")</f>
        <v/>
      </c>
      <c r="W2733">
        <f>IF(AND(ISNUMBER('자료_한국심리'!$G2717),ISNUMBER('자료_한국심리'!$H2717)),'자료_한국심리'!$G2717,"")</f>
        <v/>
      </c>
      <c r="X2733">
        <f>IF(AND(ISNUMBER('자료_한국심리'!$J2717),ISNUMBER('자료_한국심리'!$K2717)),'자료_한국심리'!$J2717,"")</f>
        <v/>
      </c>
      <c r="Y2733">
        <f>IF(AND(ISNUMBER('자료_한국심리'!$M2717),ISNUMBER('자료_한국심리'!$N2717)),'자료_한국심리'!$M2717,"")</f>
        <v/>
      </c>
    </row>
    <row r="2734">
      <c r="U2734">
        <f>IF(AND(ISNUMBER('자료_한국심리'!$A2718),ISNUMBER('자료_한국심리'!$B2718)),'자료_한국심리'!$A2718,"")</f>
        <v/>
      </c>
      <c r="V2734">
        <f>IF(AND(ISNUMBER('자료_한국심리'!$D2718),ISNUMBER('자료_한국심리'!$E2718)),'자료_한국심리'!$D2718,"")</f>
        <v/>
      </c>
      <c r="W2734">
        <f>IF(AND(ISNUMBER('자료_한국심리'!$G2718),ISNUMBER('자료_한국심리'!$H2718)),'자료_한국심리'!$G2718,"")</f>
        <v/>
      </c>
      <c r="X2734">
        <f>IF(AND(ISNUMBER('자료_한국심리'!$J2718),ISNUMBER('자료_한국심리'!$K2718)),'자료_한국심리'!$J2718,"")</f>
        <v/>
      </c>
      <c r="Y2734">
        <f>IF(AND(ISNUMBER('자료_한국심리'!$M2718),ISNUMBER('자료_한국심리'!$N2718)),'자료_한국심리'!$M2718,"")</f>
        <v/>
      </c>
    </row>
    <row r="2735">
      <c r="U2735">
        <f>IF(AND(ISNUMBER('자료_한국심리'!$A2719),ISNUMBER('자료_한국심리'!$B2719)),'자료_한국심리'!$A2719,"")</f>
        <v/>
      </c>
      <c r="V2735">
        <f>IF(AND(ISNUMBER('자료_한국심리'!$D2719),ISNUMBER('자료_한국심리'!$E2719)),'자료_한국심리'!$D2719,"")</f>
        <v/>
      </c>
      <c r="W2735">
        <f>IF(AND(ISNUMBER('자료_한국심리'!$G2719),ISNUMBER('자료_한국심리'!$H2719)),'자료_한국심리'!$G2719,"")</f>
        <v/>
      </c>
      <c r="X2735">
        <f>IF(AND(ISNUMBER('자료_한국심리'!$J2719),ISNUMBER('자료_한국심리'!$K2719)),'자료_한국심리'!$J2719,"")</f>
        <v/>
      </c>
      <c r="Y2735">
        <f>IF(AND(ISNUMBER('자료_한국심리'!$M2719),ISNUMBER('자료_한국심리'!$N2719)),'자료_한국심리'!$M2719,"")</f>
        <v/>
      </c>
    </row>
    <row r="2736">
      <c r="U2736">
        <f>IF(AND(ISNUMBER('자료_한국심리'!$A2720),ISNUMBER('자료_한국심리'!$B2720)),'자료_한국심리'!$A2720,"")</f>
        <v/>
      </c>
      <c r="V2736">
        <f>IF(AND(ISNUMBER('자료_한국심리'!$D2720),ISNUMBER('자료_한국심리'!$E2720)),'자료_한국심리'!$D2720,"")</f>
        <v/>
      </c>
      <c r="W2736">
        <f>IF(AND(ISNUMBER('자료_한국심리'!$G2720),ISNUMBER('자료_한국심리'!$H2720)),'자료_한국심리'!$G2720,"")</f>
        <v/>
      </c>
      <c r="X2736">
        <f>IF(AND(ISNUMBER('자료_한국심리'!$J2720),ISNUMBER('자료_한국심리'!$K2720)),'자료_한국심리'!$J2720,"")</f>
        <v/>
      </c>
      <c r="Y2736">
        <f>IF(AND(ISNUMBER('자료_한국심리'!$M2720),ISNUMBER('자료_한국심리'!$N2720)),'자료_한국심리'!$M2720,"")</f>
        <v/>
      </c>
    </row>
    <row r="2737">
      <c r="U2737">
        <f>IF(AND(ISNUMBER('자료_한국심리'!$A2721),ISNUMBER('자료_한국심리'!$B2721)),'자료_한국심리'!$A2721,"")</f>
        <v/>
      </c>
      <c r="V2737">
        <f>IF(AND(ISNUMBER('자료_한국심리'!$D2721),ISNUMBER('자료_한국심리'!$E2721)),'자료_한국심리'!$D2721,"")</f>
        <v/>
      </c>
      <c r="W2737">
        <f>IF(AND(ISNUMBER('자료_한국심리'!$G2721),ISNUMBER('자료_한국심리'!$H2721)),'자료_한국심리'!$G2721,"")</f>
        <v/>
      </c>
      <c r="X2737">
        <f>IF(AND(ISNUMBER('자료_한국심리'!$J2721),ISNUMBER('자료_한국심리'!$K2721)),'자료_한국심리'!$J2721,"")</f>
        <v/>
      </c>
      <c r="Y2737">
        <f>IF(AND(ISNUMBER('자료_한국심리'!$M2721),ISNUMBER('자료_한국심리'!$N2721)),'자료_한국심리'!$M2721,"")</f>
        <v/>
      </c>
    </row>
    <row r="2738">
      <c r="U2738">
        <f>IF(AND(ISNUMBER('자료_한국심리'!$A2722),ISNUMBER('자료_한국심리'!$B2722)),'자료_한국심리'!$A2722,"")</f>
        <v/>
      </c>
      <c r="V2738">
        <f>IF(AND(ISNUMBER('자료_한국심리'!$D2722),ISNUMBER('자료_한국심리'!$E2722)),'자료_한국심리'!$D2722,"")</f>
        <v/>
      </c>
      <c r="W2738">
        <f>IF(AND(ISNUMBER('자료_한국심리'!$G2722),ISNUMBER('자료_한국심리'!$H2722)),'자료_한국심리'!$G2722,"")</f>
        <v/>
      </c>
      <c r="X2738">
        <f>IF(AND(ISNUMBER('자료_한국심리'!$J2722),ISNUMBER('자료_한국심리'!$K2722)),'자료_한국심리'!$J2722,"")</f>
        <v/>
      </c>
      <c r="Y2738">
        <f>IF(AND(ISNUMBER('자료_한국심리'!$M2722),ISNUMBER('자료_한국심리'!$N2722)),'자료_한국심리'!$M2722,"")</f>
        <v/>
      </c>
    </row>
    <row r="2739">
      <c r="U2739">
        <f>IF(AND(ISNUMBER('자료_한국심리'!$A2723),ISNUMBER('자료_한국심리'!$B2723)),'자료_한국심리'!$A2723,"")</f>
        <v/>
      </c>
      <c r="V2739">
        <f>IF(AND(ISNUMBER('자료_한국심리'!$D2723),ISNUMBER('자료_한국심리'!$E2723)),'자료_한국심리'!$D2723,"")</f>
        <v/>
      </c>
      <c r="W2739">
        <f>IF(AND(ISNUMBER('자료_한국심리'!$G2723),ISNUMBER('자료_한국심리'!$H2723)),'자료_한국심리'!$G2723,"")</f>
        <v/>
      </c>
      <c r="X2739">
        <f>IF(AND(ISNUMBER('자료_한국심리'!$J2723),ISNUMBER('자료_한국심리'!$K2723)),'자료_한국심리'!$J2723,"")</f>
        <v/>
      </c>
      <c r="Y2739">
        <f>IF(AND(ISNUMBER('자료_한국심리'!$M2723),ISNUMBER('자료_한국심리'!$N2723)),'자료_한국심리'!$M2723,"")</f>
        <v/>
      </c>
    </row>
    <row r="2740">
      <c r="U2740">
        <f>IF(AND(ISNUMBER('자료_한국심리'!$A2724),ISNUMBER('자료_한국심리'!$B2724)),'자료_한국심리'!$A2724,"")</f>
        <v/>
      </c>
      <c r="V2740">
        <f>IF(AND(ISNUMBER('자료_한국심리'!$D2724),ISNUMBER('자료_한국심리'!$E2724)),'자료_한국심리'!$D2724,"")</f>
        <v/>
      </c>
      <c r="W2740">
        <f>IF(AND(ISNUMBER('자료_한국심리'!$G2724),ISNUMBER('자료_한국심리'!$H2724)),'자료_한국심리'!$G2724,"")</f>
        <v/>
      </c>
      <c r="X2740">
        <f>IF(AND(ISNUMBER('자료_한국심리'!$J2724),ISNUMBER('자료_한국심리'!$K2724)),'자료_한국심리'!$J2724,"")</f>
        <v/>
      </c>
      <c r="Y2740">
        <f>IF(AND(ISNUMBER('자료_한국심리'!$M2724),ISNUMBER('자료_한국심리'!$N2724)),'자료_한국심리'!$M2724,"")</f>
        <v/>
      </c>
    </row>
    <row r="2741">
      <c r="U2741">
        <f>IF(AND(ISNUMBER('자료_한국심리'!$A2725),ISNUMBER('자료_한국심리'!$B2725)),'자료_한국심리'!$A2725,"")</f>
        <v/>
      </c>
      <c r="V2741">
        <f>IF(AND(ISNUMBER('자료_한국심리'!$D2725),ISNUMBER('자료_한국심리'!$E2725)),'자료_한국심리'!$D2725,"")</f>
        <v/>
      </c>
      <c r="W2741">
        <f>IF(AND(ISNUMBER('자료_한국심리'!$G2725),ISNUMBER('자료_한국심리'!$H2725)),'자료_한국심리'!$G2725,"")</f>
        <v/>
      </c>
      <c r="X2741">
        <f>IF(AND(ISNUMBER('자료_한국심리'!$J2725),ISNUMBER('자료_한국심리'!$K2725)),'자료_한국심리'!$J2725,"")</f>
        <v/>
      </c>
      <c r="Y2741">
        <f>IF(AND(ISNUMBER('자료_한국심리'!$M2725),ISNUMBER('자료_한국심리'!$N2725)),'자료_한국심리'!$M2725,"")</f>
        <v/>
      </c>
    </row>
    <row r="2742">
      <c r="U2742">
        <f>IF(AND(ISNUMBER('자료_한국심리'!$A2726),ISNUMBER('자료_한국심리'!$B2726)),'자료_한국심리'!$A2726,"")</f>
        <v/>
      </c>
      <c r="V2742">
        <f>IF(AND(ISNUMBER('자료_한국심리'!$D2726),ISNUMBER('자료_한국심리'!$E2726)),'자료_한국심리'!$D2726,"")</f>
        <v/>
      </c>
      <c r="W2742">
        <f>IF(AND(ISNUMBER('자료_한국심리'!$G2726),ISNUMBER('자료_한국심리'!$H2726)),'자료_한국심리'!$G2726,"")</f>
        <v/>
      </c>
      <c r="X2742">
        <f>IF(AND(ISNUMBER('자료_한국심리'!$J2726),ISNUMBER('자료_한국심리'!$K2726)),'자료_한국심리'!$J2726,"")</f>
        <v/>
      </c>
      <c r="Y2742">
        <f>IF(AND(ISNUMBER('자료_한국심리'!$M2726),ISNUMBER('자료_한국심리'!$N2726)),'자료_한국심리'!$M2726,"")</f>
        <v/>
      </c>
    </row>
    <row r="2743">
      <c r="U2743">
        <f>IF(AND(ISNUMBER('자료_한국심리'!$A2727),ISNUMBER('자료_한국심리'!$B2727)),'자료_한국심리'!$A2727,"")</f>
        <v/>
      </c>
      <c r="V2743">
        <f>IF(AND(ISNUMBER('자료_한국심리'!$D2727),ISNUMBER('자료_한국심리'!$E2727)),'자료_한국심리'!$D2727,"")</f>
        <v/>
      </c>
      <c r="W2743">
        <f>IF(AND(ISNUMBER('자료_한국심리'!$G2727),ISNUMBER('자료_한국심리'!$H2727)),'자료_한국심리'!$G2727,"")</f>
        <v/>
      </c>
      <c r="X2743">
        <f>IF(AND(ISNUMBER('자료_한국심리'!$J2727),ISNUMBER('자료_한국심리'!$K2727)),'자료_한국심리'!$J2727,"")</f>
        <v/>
      </c>
      <c r="Y2743">
        <f>IF(AND(ISNUMBER('자료_한국심리'!$M2727),ISNUMBER('자료_한국심리'!$N2727)),'자료_한국심리'!$M2727,"")</f>
        <v/>
      </c>
    </row>
    <row r="2744">
      <c r="U2744">
        <f>IF(AND(ISNUMBER('자료_한국심리'!$A2728),ISNUMBER('자료_한국심리'!$B2728)),'자료_한국심리'!$A2728,"")</f>
        <v/>
      </c>
      <c r="V2744">
        <f>IF(AND(ISNUMBER('자료_한국심리'!$D2728),ISNUMBER('자료_한국심리'!$E2728)),'자료_한국심리'!$D2728,"")</f>
        <v/>
      </c>
      <c r="W2744">
        <f>IF(AND(ISNUMBER('자료_한국심리'!$G2728),ISNUMBER('자료_한국심리'!$H2728)),'자료_한국심리'!$G2728,"")</f>
        <v/>
      </c>
      <c r="X2744">
        <f>IF(AND(ISNUMBER('자료_한국심리'!$J2728),ISNUMBER('자료_한국심리'!$K2728)),'자료_한국심리'!$J2728,"")</f>
        <v/>
      </c>
      <c r="Y2744">
        <f>IF(AND(ISNUMBER('자료_한국심리'!$M2728),ISNUMBER('자료_한국심리'!$N2728)),'자료_한국심리'!$M2728,"")</f>
        <v/>
      </c>
    </row>
    <row r="2745">
      <c r="U2745">
        <f>IF(AND(ISNUMBER('자료_한국심리'!$A2729),ISNUMBER('자료_한국심리'!$B2729)),'자료_한국심리'!$A2729,"")</f>
        <v/>
      </c>
      <c r="V2745">
        <f>IF(AND(ISNUMBER('자료_한국심리'!$D2729),ISNUMBER('자료_한국심리'!$E2729)),'자료_한국심리'!$D2729,"")</f>
        <v/>
      </c>
      <c r="W2745">
        <f>IF(AND(ISNUMBER('자료_한국심리'!$G2729),ISNUMBER('자료_한국심리'!$H2729)),'자료_한국심리'!$G2729,"")</f>
        <v/>
      </c>
      <c r="X2745">
        <f>IF(AND(ISNUMBER('자료_한국심리'!$J2729),ISNUMBER('자료_한국심리'!$K2729)),'자료_한국심리'!$J2729,"")</f>
        <v/>
      </c>
      <c r="Y2745">
        <f>IF(AND(ISNUMBER('자료_한국심리'!$M2729),ISNUMBER('자료_한국심리'!$N2729)),'자료_한국심리'!$M2729,"")</f>
        <v/>
      </c>
    </row>
    <row r="2746">
      <c r="U2746">
        <f>IF(AND(ISNUMBER('자료_한국심리'!$A2730),ISNUMBER('자료_한국심리'!$B2730)),'자료_한국심리'!$A2730,"")</f>
        <v/>
      </c>
      <c r="V2746">
        <f>IF(AND(ISNUMBER('자료_한국심리'!$D2730),ISNUMBER('자료_한국심리'!$E2730)),'자료_한국심리'!$D2730,"")</f>
        <v/>
      </c>
      <c r="W2746">
        <f>IF(AND(ISNUMBER('자료_한국심리'!$G2730),ISNUMBER('자료_한국심리'!$H2730)),'자료_한국심리'!$G2730,"")</f>
        <v/>
      </c>
      <c r="X2746">
        <f>IF(AND(ISNUMBER('자료_한국심리'!$J2730),ISNUMBER('자료_한국심리'!$K2730)),'자료_한국심리'!$J2730,"")</f>
        <v/>
      </c>
      <c r="Y2746">
        <f>IF(AND(ISNUMBER('자료_한국심리'!$M2730),ISNUMBER('자료_한국심리'!$N2730)),'자료_한국심리'!$M2730,"")</f>
        <v/>
      </c>
    </row>
    <row r="2747">
      <c r="U2747">
        <f>IF(AND(ISNUMBER('자료_한국심리'!$A2731),ISNUMBER('자료_한국심리'!$B2731)),'자료_한국심리'!$A2731,"")</f>
        <v/>
      </c>
      <c r="V2747">
        <f>IF(AND(ISNUMBER('자료_한국심리'!$D2731),ISNUMBER('자료_한국심리'!$E2731)),'자료_한국심리'!$D2731,"")</f>
        <v/>
      </c>
      <c r="W2747">
        <f>IF(AND(ISNUMBER('자료_한국심리'!$G2731),ISNUMBER('자료_한국심리'!$H2731)),'자료_한국심리'!$G2731,"")</f>
        <v/>
      </c>
      <c r="X2747">
        <f>IF(AND(ISNUMBER('자료_한국심리'!$J2731),ISNUMBER('자료_한국심리'!$K2731)),'자료_한국심리'!$J2731,"")</f>
        <v/>
      </c>
      <c r="Y2747">
        <f>IF(AND(ISNUMBER('자료_한국심리'!$M2731),ISNUMBER('자료_한국심리'!$N2731)),'자료_한국심리'!$M2731,"")</f>
        <v/>
      </c>
    </row>
    <row r="2748">
      <c r="U2748">
        <f>IF(AND(ISNUMBER('자료_한국심리'!$A2732),ISNUMBER('자료_한국심리'!$B2732)),'자료_한국심리'!$A2732,"")</f>
        <v/>
      </c>
      <c r="V2748">
        <f>IF(AND(ISNUMBER('자료_한국심리'!$D2732),ISNUMBER('자료_한국심리'!$E2732)),'자료_한국심리'!$D2732,"")</f>
        <v/>
      </c>
      <c r="W2748">
        <f>IF(AND(ISNUMBER('자료_한국심리'!$G2732),ISNUMBER('자료_한국심리'!$H2732)),'자료_한국심리'!$G2732,"")</f>
        <v/>
      </c>
      <c r="X2748">
        <f>IF(AND(ISNUMBER('자료_한국심리'!$J2732),ISNUMBER('자료_한국심리'!$K2732)),'자료_한국심리'!$J2732,"")</f>
        <v/>
      </c>
      <c r="Y2748">
        <f>IF(AND(ISNUMBER('자료_한국심리'!$M2732),ISNUMBER('자료_한국심리'!$N2732)),'자료_한국심리'!$M2732,"")</f>
        <v/>
      </c>
    </row>
    <row r="2749">
      <c r="U2749">
        <f>IF(AND(ISNUMBER('자료_한국심리'!$A2733),ISNUMBER('자료_한국심리'!$B2733)),'자료_한국심리'!$A2733,"")</f>
        <v/>
      </c>
      <c r="V2749">
        <f>IF(AND(ISNUMBER('자료_한국심리'!$D2733),ISNUMBER('자료_한국심리'!$E2733)),'자료_한국심리'!$D2733,"")</f>
        <v/>
      </c>
      <c r="W2749">
        <f>IF(AND(ISNUMBER('자료_한국심리'!$G2733),ISNUMBER('자료_한국심리'!$H2733)),'자료_한국심리'!$G2733,"")</f>
        <v/>
      </c>
      <c r="X2749">
        <f>IF(AND(ISNUMBER('자료_한국심리'!$J2733),ISNUMBER('자료_한국심리'!$K2733)),'자료_한국심리'!$J2733,"")</f>
        <v/>
      </c>
      <c r="Y2749">
        <f>IF(AND(ISNUMBER('자료_한국심리'!$M2733),ISNUMBER('자료_한국심리'!$N2733)),'자료_한국심리'!$M2733,"")</f>
        <v/>
      </c>
    </row>
    <row r="2750">
      <c r="U2750">
        <f>IF(AND(ISNUMBER('자료_한국심리'!$A2734),ISNUMBER('자료_한국심리'!$B2734)),'자료_한국심리'!$A2734,"")</f>
        <v/>
      </c>
      <c r="V2750">
        <f>IF(AND(ISNUMBER('자료_한국심리'!$D2734),ISNUMBER('자료_한국심리'!$E2734)),'자료_한국심리'!$D2734,"")</f>
        <v/>
      </c>
      <c r="W2750">
        <f>IF(AND(ISNUMBER('자료_한국심리'!$G2734),ISNUMBER('자료_한국심리'!$H2734)),'자료_한국심리'!$G2734,"")</f>
        <v/>
      </c>
      <c r="X2750">
        <f>IF(AND(ISNUMBER('자료_한국심리'!$J2734),ISNUMBER('자료_한국심리'!$K2734)),'자료_한국심리'!$J2734,"")</f>
        <v/>
      </c>
      <c r="Y2750">
        <f>IF(AND(ISNUMBER('자료_한국심리'!$M2734),ISNUMBER('자료_한국심리'!$N2734)),'자료_한국심리'!$M2734,"")</f>
        <v/>
      </c>
    </row>
    <row r="2751">
      <c r="U2751">
        <f>IF(AND(ISNUMBER('자료_한국심리'!$A2735),ISNUMBER('자료_한국심리'!$B2735)),'자료_한국심리'!$A2735,"")</f>
        <v/>
      </c>
      <c r="V2751">
        <f>IF(AND(ISNUMBER('자료_한국심리'!$D2735),ISNUMBER('자료_한국심리'!$E2735)),'자료_한국심리'!$D2735,"")</f>
        <v/>
      </c>
      <c r="W2751">
        <f>IF(AND(ISNUMBER('자료_한국심리'!$G2735),ISNUMBER('자료_한국심리'!$H2735)),'자료_한국심리'!$G2735,"")</f>
        <v/>
      </c>
      <c r="X2751">
        <f>IF(AND(ISNUMBER('자료_한국심리'!$J2735),ISNUMBER('자료_한국심리'!$K2735)),'자료_한국심리'!$J2735,"")</f>
        <v/>
      </c>
      <c r="Y2751">
        <f>IF(AND(ISNUMBER('자료_한국심리'!$M2735),ISNUMBER('자료_한국심리'!$N2735)),'자료_한국심리'!$M2735,"")</f>
        <v/>
      </c>
    </row>
    <row r="2752">
      <c r="U2752">
        <f>IF(AND(ISNUMBER('자료_한국심리'!$A2736),ISNUMBER('자료_한국심리'!$B2736)),'자료_한국심리'!$A2736,"")</f>
        <v/>
      </c>
      <c r="V2752">
        <f>IF(AND(ISNUMBER('자료_한국심리'!$D2736),ISNUMBER('자료_한국심리'!$E2736)),'자료_한국심리'!$D2736,"")</f>
        <v/>
      </c>
      <c r="W2752">
        <f>IF(AND(ISNUMBER('자료_한국심리'!$G2736),ISNUMBER('자료_한국심리'!$H2736)),'자료_한국심리'!$G2736,"")</f>
        <v/>
      </c>
      <c r="X2752">
        <f>IF(AND(ISNUMBER('자료_한국심리'!$J2736),ISNUMBER('자료_한국심리'!$K2736)),'자료_한국심리'!$J2736,"")</f>
        <v/>
      </c>
      <c r="Y2752">
        <f>IF(AND(ISNUMBER('자료_한국심리'!$M2736),ISNUMBER('자료_한국심리'!$N2736)),'자료_한국심리'!$M2736,"")</f>
        <v/>
      </c>
    </row>
    <row r="2753">
      <c r="U2753">
        <f>IF(AND(ISNUMBER('자료_한국심리'!$A2737),ISNUMBER('자료_한국심리'!$B2737)),'자료_한국심리'!$A2737,"")</f>
        <v/>
      </c>
      <c r="V2753">
        <f>IF(AND(ISNUMBER('자료_한국심리'!$D2737),ISNUMBER('자료_한국심리'!$E2737)),'자료_한국심리'!$D2737,"")</f>
        <v/>
      </c>
      <c r="W2753">
        <f>IF(AND(ISNUMBER('자료_한국심리'!$G2737),ISNUMBER('자료_한국심리'!$H2737)),'자료_한국심리'!$G2737,"")</f>
        <v/>
      </c>
      <c r="X2753">
        <f>IF(AND(ISNUMBER('자료_한국심리'!$J2737),ISNUMBER('자료_한국심리'!$K2737)),'자료_한국심리'!$J2737,"")</f>
        <v/>
      </c>
      <c r="Y2753">
        <f>IF(AND(ISNUMBER('자료_한국심리'!$M2737),ISNUMBER('자료_한국심리'!$N2737)),'자료_한국심리'!$M2737,"")</f>
        <v/>
      </c>
    </row>
    <row r="2754">
      <c r="U2754">
        <f>IF(AND(ISNUMBER('자료_한국심리'!$A2738),ISNUMBER('자료_한국심리'!$B2738)),'자료_한국심리'!$A2738,"")</f>
        <v/>
      </c>
      <c r="V2754">
        <f>IF(AND(ISNUMBER('자료_한국심리'!$D2738),ISNUMBER('자료_한국심리'!$E2738)),'자료_한국심리'!$D2738,"")</f>
        <v/>
      </c>
      <c r="W2754">
        <f>IF(AND(ISNUMBER('자료_한국심리'!$G2738),ISNUMBER('자료_한국심리'!$H2738)),'자료_한국심리'!$G2738,"")</f>
        <v/>
      </c>
      <c r="X2754">
        <f>IF(AND(ISNUMBER('자료_한국심리'!$J2738),ISNUMBER('자료_한국심리'!$K2738)),'자료_한국심리'!$J2738,"")</f>
        <v/>
      </c>
      <c r="Y2754">
        <f>IF(AND(ISNUMBER('자료_한국심리'!$M2738),ISNUMBER('자료_한국심리'!$N2738)),'자료_한국심리'!$M2738,"")</f>
        <v/>
      </c>
    </row>
    <row r="2755">
      <c r="U2755">
        <f>IF(AND(ISNUMBER('자료_한국심리'!$A2739),ISNUMBER('자료_한국심리'!$B2739)),'자료_한국심리'!$A2739,"")</f>
        <v/>
      </c>
      <c r="V2755">
        <f>IF(AND(ISNUMBER('자료_한국심리'!$D2739),ISNUMBER('자료_한국심리'!$E2739)),'자료_한국심리'!$D2739,"")</f>
        <v/>
      </c>
      <c r="W2755">
        <f>IF(AND(ISNUMBER('자료_한국심리'!$G2739),ISNUMBER('자료_한국심리'!$H2739)),'자료_한국심리'!$G2739,"")</f>
        <v/>
      </c>
      <c r="X2755">
        <f>IF(AND(ISNUMBER('자료_한국심리'!$J2739),ISNUMBER('자료_한국심리'!$K2739)),'자료_한국심리'!$J2739,"")</f>
        <v/>
      </c>
      <c r="Y2755">
        <f>IF(AND(ISNUMBER('자료_한국심리'!$M2739),ISNUMBER('자료_한국심리'!$N2739)),'자료_한국심리'!$M2739,"")</f>
        <v/>
      </c>
    </row>
    <row r="2756">
      <c r="U2756">
        <f>IF(AND(ISNUMBER('자료_한국심리'!$A2740),ISNUMBER('자료_한국심리'!$B2740)),'자료_한국심리'!$A2740,"")</f>
        <v/>
      </c>
      <c r="V2756">
        <f>IF(AND(ISNUMBER('자료_한국심리'!$D2740),ISNUMBER('자료_한국심리'!$E2740)),'자료_한국심리'!$D2740,"")</f>
        <v/>
      </c>
      <c r="W2756">
        <f>IF(AND(ISNUMBER('자료_한국심리'!$G2740),ISNUMBER('자료_한국심리'!$H2740)),'자료_한국심리'!$G2740,"")</f>
        <v/>
      </c>
      <c r="X2756">
        <f>IF(AND(ISNUMBER('자료_한국심리'!$J2740),ISNUMBER('자료_한국심리'!$K2740)),'자료_한국심리'!$J2740,"")</f>
        <v/>
      </c>
      <c r="Y2756">
        <f>IF(AND(ISNUMBER('자료_한국심리'!$M2740),ISNUMBER('자료_한국심리'!$N2740)),'자료_한국심리'!$M2740,"")</f>
        <v/>
      </c>
    </row>
    <row r="2757">
      <c r="U2757">
        <f>IF(AND(ISNUMBER('자료_한국심리'!$A2741),ISNUMBER('자료_한국심리'!$B2741)),'자료_한국심리'!$A2741,"")</f>
        <v/>
      </c>
      <c r="V2757">
        <f>IF(AND(ISNUMBER('자료_한국심리'!$D2741),ISNUMBER('자료_한국심리'!$E2741)),'자료_한국심리'!$D2741,"")</f>
        <v/>
      </c>
      <c r="W2757">
        <f>IF(AND(ISNUMBER('자료_한국심리'!$G2741),ISNUMBER('자료_한국심리'!$H2741)),'자료_한국심리'!$G2741,"")</f>
        <v/>
      </c>
      <c r="X2757">
        <f>IF(AND(ISNUMBER('자료_한국심리'!$J2741),ISNUMBER('자료_한국심리'!$K2741)),'자료_한국심리'!$J2741,"")</f>
        <v/>
      </c>
      <c r="Y2757">
        <f>IF(AND(ISNUMBER('자료_한국심리'!$M2741),ISNUMBER('자료_한국심리'!$N2741)),'자료_한국심리'!$M2741,"")</f>
        <v/>
      </c>
    </row>
    <row r="2758">
      <c r="U2758">
        <f>IF(AND(ISNUMBER('자료_한국심리'!$A2742),ISNUMBER('자료_한국심리'!$B2742)),'자료_한국심리'!$A2742,"")</f>
        <v/>
      </c>
      <c r="V2758">
        <f>IF(AND(ISNUMBER('자료_한국심리'!$D2742),ISNUMBER('자료_한국심리'!$E2742)),'자료_한국심리'!$D2742,"")</f>
        <v/>
      </c>
      <c r="W2758">
        <f>IF(AND(ISNUMBER('자료_한국심리'!$G2742),ISNUMBER('자료_한국심리'!$H2742)),'자료_한국심리'!$G2742,"")</f>
        <v/>
      </c>
      <c r="X2758">
        <f>IF(AND(ISNUMBER('자료_한국심리'!$J2742),ISNUMBER('자료_한국심리'!$K2742)),'자료_한국심리'!$J2742,"")</f>
        <v/>
      </c>
      <c r="Y2758">
        <f>IF(AND(ISNUMBER('자료_한국심리'!$M2742),ISNUMBER('자료_한국심리'!$N2742)),'자료_한국심리'!$M2742,"")</f>
        <v/>
      </c>
    </row>
    <row r="2759">
      <c r="U2759">
        <f>IF(AND(ISNUMBER('자료_한국심리'!$A2743),ISNUMBER('자료_한국심리'!$B2743)),'자료_한국심리'!$A2743,"")</f>
        <v/>
      </c>
      <c r="V2759">
        <f>IF(AND(ISNUMBER('자료_한국심리'!$D2743),ISNUMBER('자료_한국심리'!$E2743)),'자료_한국심리'!$D2743,"")</f>
        <v/>
      </c>
      <c r="W2759">
        <f>IF(AND(ISNUMBER('자료_한국심리'!$G2743),ISNUMBER('자료_한국심리'!$H2743)),'자료_한국심리'!$G2743,"")</f>
        <v/>
      </c>
      <c r="X2759">
        <f>IF(AND(ISNUMBER('자료_한국심리'!$J2743),ISNUMBER('자료_한국심리'!$K2743)),'자료_한국심리'!$J2743,"")</f>
        <v/>
      </c>
      <c r="Y2759">
        <f>IF(AND(ISNUMBER('자료_한국심리'!$M2743),ISNUMBER('자료_한국심리'!$N2743)),'자료_한국심리'!$M2743,"")</f>
        <v/>
      </c>
    </row>
    <row r="2760">
      <c r="U2760">
        <f>IF(AND(ISNUMBER('자료_한국심리'!$A2744),ISNUMBER('자료_한국심리'!$B2744)),'자료_한국심리'!$A2744,"")</f>
        <v/>
      </c>
      <c r="V2760">
        <f>IF(AND(ISNUMBER('자료_한국심리'!$D2744),ISNUMBER('자료_한국심리'!$E2744)),'자료_한국심리'!$D2744,"")</f>
        <v/>
      </c>
      <c r="W2760">
        <f>IF(AND(ISNUMBER('자료_한국심리'!$G2744),ISNUMBER('자료_한국심리'!$H2744)),'자료_한국심리'!$G2744,"")</f>
        <v/>
      </c>
      <c r="X2760">
        <f>IF(AND(ISNUMBER('자료_한국심리'!$J2744),ISNUMBER('자료_한국심리'!$K2744)),'자료_한국심리'!$J2744,"")</f>
        <v/>
      </c>
      <c r="Y2760">
        <f>IF(AND(ISNUMBER('자료_한국심리'!$M2744),ISNUMBER('자료_한국심리'!$N2744)),'자료_한국심리'!$M2744,"")</f>
        <v/>
      </c>
    </row>
    <row r="2761">
      <c r="U2761">
        <f>IF(AND(ISNUMBER('자료_한국심리'!$A2745),ISNUMBER('자료_한국심리'!$B2745)),'자료_한국심리'!$A2745,"")</f>
        <v/>
      </c>
      <c r="V2761">
        <f>IF(AND(ISNUMBER('자료_한국심리'!$D2745),ISNUMBER('자료_한국심리'!$E2745)),'자료_한국심리'!$D2745,"")</f>
        <v/>
      </c>
      <c r="W2761">
        <f>IF(AND(ISNUMBER('자료_한국심리'!$G2745),ISNUMBER('자료_한국심리'!$H2745)),'자료_한국심리'!$G2745,"")</f>
        <v/>
      </c>
      <c r="X2761">
        <f>IF(AND(ISNUMBER('자료_한국심리'!$J2745),ISNUMBER('자료_한국심리'!$K2745)),'자료_한국심리'!$J2745,"")</f>
        <v/>
      </c>
      <c r="Y2761">
        <f>IF(AND(ISNUMBER('자료_한국심리'!$M2745),ISNUMBER('자료_한국심리'!$N2745)),'자료_한국심리'!$M2745,"")</f>
        <v/>
      </c>
    </row>
    <row r="2762">
      <c r="U2762">
        <f>IF(AND(ISNUMBER('자료_한국심리'!$A2746),ISNUMBER('자료_한국심리'!$B2746)),'자료_한국심리'!$A2746,"")</f>
        <v/>
      </c>
      <c r="V2762">
        <f>IF(AND(ISNUMBER('자료_한국심리'!$D2746),ISNUMBER('자료_한국심리'!$E2746)),'자료_한국심리'!$D2746,"")</f>
        <v/>
      </c>
      <c r="W2762">
        <f>IF(AND(ISNUMBER('자료_한국심리'!$G2746),ISNUMBER('자료_한국심리'!$H2746)),'자료_한국심리'!$G2746,"")</f>
        <v/>
      </c>
      <c r="X2762">
        <f>IF(AND(ISNUMBER('자료_한국심리'!$J2746),ISNUMBER('자료_한국심리'!$K2746)),'자료_한국심리'!$J2746,"")</f>
        <v/>
      </c>
      <c r="Y2762">
        <f>IF(AND(ISNUMBER('자료_한국심리'!$M2746),ISNUMBER('자료_한국심리'!$N2746)),'자료_한국심리'!$M2746,"")</f>
        <v/>
      </c>
    </row>
    <row r="2763">
      <c r="U2763">
        <f>IF(AND(ISNUMBER('자료_한국심리'!$A2747),ISNUMBER('자료_한국심리'!$B2747)),'자료_한국심리'!$A2747,"")</f>
        <v/>
      </c>
      <c r="V2763">
        <f>IF(AND(ISNUMBER('자료_한국심리'!$D2747),ISNUMBER('자료_한국심리'!$E2747)),'자료_한국심리'!$D2747,"")</f>
        <v/>
      </c>
      <c r="W2763">
        <f>IF(AND(ISNUMBER('자료_한국심리'!$G2747),ISNUMBER('자료_한국심리'!$H2747)),'자료_한국심리'!$G2747,"")</f>
        <v/>
      </c>
      <c r="X2763">
        <f>IF(AND(ISNUMBER('자료_한국심리'!$J2747),ISNUMBER('자료_한국심리'!$K2747)),'자료_한국심리'!$J2747,"")</f>
        <v/>
      </c>
      <c r="Y2763">
        <f>IF(AND(ISNUMBER('자료_한국심리'!$M2747),ISNUMBER('자료_한국심리'!$N2747)),'자료_한국심리'!$M2747,"")</f>
        <v/>
      </c>
    </row>
    <row r="2764">
      <c r="U2764">
        <f>IF(AND(ISNUMBER('자료_한국심리'!$A2748),ISNUMBER('자료_한국심리'!$B2748)),'자료_한국심리'!$A2748,"")</f>
        <v/>
      </c>
      <c r="V2764">
        <f>IF(AND(ISNUMBER('자료_한국심리'!$D2748),ISNUMBER('자료_한국심리'!$E2748)),'자료_한국심리'!$D2748,"")</f>
        <v/>
      </c>
      <c r="W2764">
        <f>IF(AND(ISNUMBER('자료_한국심리'!$G2748),ISNUMBER('자료_한국심리'!$H2748)),'자료_한국심리'!$G2748,"")</f>
        <v/>
      </c>
      <c r="X2764">
        <f>IF(AND(ISNUMBER('자료_한국심리'!$J2748),ISNUMBER('자료_한국심리'!$K2748)),'자료_한국심리'!$J2748,"")</f>
        <v/>
      </c>
      <c r="Y2764">
        <f>IF(AND(ISNUMBER('자료_한국심리'!$M2748),ISNUMBER('자료_한국심리'!$N2748)),'자료_한국심리'!$M2748,"")</f>
        <v/>
      </c>
    </row>
    <row r="2765">
      <c r="U2765">
        <f>IF(AND(ISNUMBER('자료_한국심리'!$A2749),ISNUMBER('자료_한국심리'!$B2749)),'자료_한국심리'!$A2749,"")</f>
        <v/>
      </c>
      <c r="V2765">
        <f>IF(AND(ISNUMBER('자료_한국심리'!$D2749),ISNUMBER('자료_한국심리'!$E2749)),'자료_한국심리'!$D2749,"")</f>
        <v/>
      </c>
      <c r="W2765">
        <f>IF(AND(ISNUMBER('자료_한국심리'!$G2749),ISNUMBER('자료_한국심리'!$H2749)),'자료_한국심리'!$G2749,"")</f>
        <v/>
      </c>
      <c r="X2765">
        <f>IF(AND(ISNUMBER('자료_한국심리'!$J2749),ISNUMBER('자료_한국심리'!$K2749)),'자료_한국심리'!$J2749,"")</f>
        <v/>
      </c>
      <c r="Y2765">
        <f>IF(AND(ISNUMBER('자료_한국심리'!$M2749),ISNUMBER('자료_한국심리'!$N2749)),'자료_한국심리'!$M2749,"")</f>
        <v/>
      </c>
    </row>
    <row r="2766">
      <c r="U2766">
        <f>IF(AND(ISNUMBER('자료_한국심리'!$A2750),ISNUMBER('자료_한국심리'!$B2750)),'자료_한국심리'!$A2750,"")</f>
        <v/>
      </c>
      <c r="V2766">
        <f>IF(AND(ISNUMBER('자료_한국심리'!$D2750),ISNUMBER('자료_한국심리'!$E2750)),'자료_한국심리'!$D2750,"")</f>
        <v/>
      </c>
      <c r="W2766">
        <f>IF(AND(ISNUMBER('자료_한국심리'!$G2750),ISNUMBER('자료_한국심리'!$H2750)),'자료_한국심리'!$G2750,"")</f>
        <v/>
      </c>
      <c r="X2766">
        <f>IF(AND(ISNUMBER('자료_한국심리'!$J2750),ISNUMBER('자료_한국심리'!$K2750)),'자료_한국심리'!$J2750,"")</f>
        <v/>
      </c>
      <c r="Y2766">
        <f>IF(AND(ISNUMBER('자료_한국심리'!$M2750),ISNUMBER('자료_한국심리'!$N2750)),'자료_한국심리'!$M2750,"")</f>
        <v/>
      </c>
    </row>
    <row r="2767">
      <c r="U2767">
        <f>IF(AND(ISNUMBER('자료_한국심리'!$A2751),ISNUMBER('자료_한국심리'!$B2751)),'자료_한국심리'!$A2751,"")</f>
        <v/>
      </c>
      <c r="V2767">
        <f>IF(AND(ISNUMBER('자료_한국심리'!$D2751),ISNUMBER('자료_한국심리'!$E2751)),'자료_한국심리'!$D2751,"")</f>
        <v/>
      </c>
      <c r="W2767">
        <f>IF(AND(ISNUMBER('자료_한국심리'!$G2751),ISNUMBER('자료_한국심리'!$H2751)),'자료_한국심리'!$G2751,"")</f>
        <v/>
      </c>
      <c r="X2767">
        <f>IF(AND(ISNUMBER('자료_한국심리'!$J2751),ISNUMBER('자료_한국심리'!$K2751)),'자료_한국심리'!$J2751,"")</f>
        <v/>
      </c>
      <c r="Y2767">
        <f>IF(AND(ISNUMBER('자료_한국심리'!$M2751),ISNUMBER('자료_한국심리'!$N2751)),'자료_한국심리'!$M2751,"")</f>
        <v/>
      </c>
    </row>
    <row r="2768">
      <c r="U2768">
        <f>IF(AND(ISNUMBER('자료_한국심리'!$A2752),ISNUMBER('자료_한국심리'!$B2752)),'자료_한국심리'!$A2752,"")</f>
        <v/>
      </c>
      <c r="V2768">
        <f>IF(AND(ISNUMBER('자료_한국심리'!$D2752),ISNUMBER('자료_한국심리'!$E2752)),'자료_한국심리'!$D2752,"")</f>
        <v/>
      </c>
      <c r="W2768">
        <f>IF(AND(ISNUMBER('자료_한국심리'!$G2752),ISNUMBER('자료_한국심리'!$H2752)),'자료_한국심리'!$G2752,"")</f>
        <v/>
      </c>
      <c r="X2768">
        <f>IF(AND(ISNUMBER('자료_한국심리'!$J2752),ISNUMBER('자료_한국심리'!$K2752)),'자료_한국심리'!$J2752,"")</f>
        <v/>
      </c>
      <c r="Y2768">
        <f>IF(AND(ISNUMBER('자료_한국심리'!$M2752),ISNUMBER('자료_한국심리'!$N2752)),'자료_한국심리'!$M2752,"")</f>
        <v/>
      </c>
    </row>
    <row r="2769">
      <c r="U2769">
        <f>IF(AND(ISNUMBER('자료_한국심리'!$A2753),ISNUMBER('자료_한국심리'!$B2753)),'자료_한국심리'!$A2753,"")</f>
        <v/>
      </c>
      <c r="V2769">
        <f>IF(AND(ISNUMBER('자료_한국심리'!$D2753),ISNUMBER('자료_한국심리'!$E2753)),'자료_한국심리'!$D2753,"")</f>
        <v/>
      </c>
      <c r="W2769">
        <f>IF(AND(ISNUMBER('자료_한국심리'!$G2753),ISNUMBER('자료_한국심리'!$H2753)),'자료_한국심리'!$G2753,"")</f>
        <v/>
      </c>
      <c r="X2769">
        <f>IF(AND(ISNUMBER('자료_한국심리'!$J2753),ISNUMBER('자료_한국심리'!$K2753)),'자료_한국심리'!$J2753,"")</f>
        <v/>
      </c>
      <c r="Y2769">
        <f>IF(AND(ISNUMBER('자료_한국심리'!$M2753),ISNUMBER('자료_한국심리'!$N2753)),'자료_한국심리'!$M2753,"")</f>
        <v/>
      </c>
    </row>
    <row r="2770">
      <c r="U2770">
        <f>IF(AND(ISNUMBER('자료_한국심리'!$A2754),ISNUMBER('자료_한국심리'!$B2754)),'자료_한국심리'!$A2754,"")</f>
        <v/>
      </c>
      <c r="V2770">
        <f>IF(AND(ISNUMBER('자료_한국심리'!$D2754),ISNUMBER('자료_한국심리'!$E2754)),'자료_한국심리'!$D2754,"")</f>
        <v/>
      </c>
      <c r="W2770">
        <f>IF(AND(ISNUMBER('자료_한국심리'!$G2754),ISNUMBER('자료_한국심리'!$H2754)),'자료_한국심리'!$G2754,"")</f>
        <v/>
      </c>
      <c r="X2770">
        <f>IF(AND(ISNUMBER('자료_한국심리'!$J2754),ISNUMBER('자료_한국심리'!$K2754)),'자료_한국심리'!$J2754,"")</f>
        <v/>
      </c>
      <c r="Y2770">
        <f>IF(AND(ISNUMBER('자료_한국심리'!$M2754),ISNUMBER('자료_한국심리'!$N2754)),'자료_한국심리'!$M2754,"")</f>
        <v/>
      </c>
    </row>
    <row r="2771">
      <c r="U2771">
        <f>IF(AND(ISNUMBER('자료_한국심리'!$A2755),ISNUMBER('자료_한국심리'!$B2755)),'자료_한국심리'!$A2755,"")</f>
        <v/>
      </c>
      <c r="V2771">
        <f>IF(AND(ISNUMBER('자료_한국심리'!$D2755),ISNUMBER('자료_한국심리'!$E2755)),'자료_한국심리'!$D2755,"")</f>
        <v/>
      </c>
      <c r="W2771">
        <f>IF(AND(ISNUMBER('자료_한국심리'!$G2755),ISNUMBER('자료_한국심리'!$H2755)),'자료_한국심리'!$G2755,"")</f>
        <v/>
      </c>
      <c r="X2771">
        <f>IF(AND(ISNUMBER('자료_한국심리'!$J2755),ISNUMBER('자료_한국심리'!$K2755)),'자료_한국심리'!$J2755,"")</f>
        <v/>
      </c>
      <c r="Y2771">
        <f>IF(AND(ISNUMBER('자료_한국심리'!$M2755),ISNUMBER('자료_한국심리'!$N2755)),'자료_한국심리'!$M2755,"")</f>
        <v/>
      </c>
    </row>
    <row r="2772">
      <c r="U2772">
        <f>IF(AND(ISNUMBER('자료_한국심리'!$A2756),ISNUMBER('자료_한국심리'!$B2756)),'자료_한국심리'!$A2756,"")</f>
        <v/>
      </c>
      <c r="V2772">
        <f>IF(AND(ISNUMBER('자료_한국심리'!$D2756),ISNUMBER('자료_한국심리'!$E2756)),'자료_한국심리'!$D2756,"")</f>
        <v/>
      </c>
      <c r="W2772">
        <f>IF(AND(ISNUMBER('자료_한국심리'!$G2756),ISNUMBER('자료_한국심리'!$H2756)),'자료_한국심리'!$G2756,"")</f>
        <v/>
      </c>
      <c r="X2772">
        <f>IF(AND(ISNUMBER('자료_한국심리'!$J2756),ISNUMBER('자료_한국심리'!$K2756)),'자료_한국심리'!$J2756,"")</f>
        <v/>
      </c>
      <c r="Y2772">
        <f>IF(AND(ISNUMBER('자료_한국심리'!$M2756),ISNUMBER('자료_한국심리'!$N2756)),'자료_한국심리'!$M2756,"")</f>
        <v/>
      </c>
    </row>
    <row r="2773">
      <c r="U2773">
        <f>IF(AND(ISNUMBER('자료_한국심리'!$A2757),ISNUMBER('자료_한국심리'!$B2757)),'자료_한국심리'!$A2757,"")</f>
        <v/>
      </c>
      <c r="V2773">
        <f>IF(AND(ISNUMBER('자료_한국심리'!$D2757),ISNUMBER('자료_한국심리'!$E2757)),'자료_한국심리'!$D2757,"")</f>
        <v/>
      </c>
      <c r="W2773">
        <f>IF(AND(ISNUMBER('자료_한국심리'!$G2757),ISNUMBER('자료_한국심리'!$H2757)),'자료_한국심리'!$G2757,"")</f>
        <v/>
      </c>
      <c r="X2773">
        <f>IF(AND(ISNUMBER('자료_한국심리'!$J2757),ISNUMBER('자료_한국심리'!$K2757)),'자료_한국심리'!$J2757,"")</f>
        <v/>
      </c>
      <c r="Y2773">
        <f>IF(AND(ISNUMBER('자료_한국심리'!$M2757),ISNUMBER('자료_한국심리'!$N2757)),'자료_한국심리'!$M2757,"")</f>
        <v/>
      </c>
    </row>
    <row r="2774">
      <c r="U2774">
        <f>IF(AND(ISNUMBER('자료_한국심리'!$A2758),ISNUMBER('자료_한국심리'!$B2758)),'자료_한국심리'!$A2758,"")</f>
        <v/>
      </c>
      <c r="V2774">
        <f>IF(AND(ISNUMBER('자료_한국심리'!$D2758),ISNUMBER('자료_한국심리'!$E2758)),'자료_한국심리'!$D2758,"")</f>
        <v/>
      </c>
      <c r="W2774">
        <f>IF(AND(ISNUMBER('자료_한국심리'!$G2758),ISNUMBER('자료_한국심리'!$H2758)),'자료_한국심리'!$G2758,"")</f>
        <v/>
      </c>
      <c r="X2774">
        <f>IF(AND(ISNUMBER('자료_한국심리'!$J2758),ISNUMBER('자료_한국심리'!$K2758)),'자료_한국심리'!$J2758,"")</f>
        <v/>
      </c>
      <c r="Y2774">
        <f>IF(AND(ISNUMBER('자료_한국심리'!$M2758),ISNUMBER('자료_한국심리'!$N2758)),'자료_한국심리'!$M2758,"")</f>
        <v/>
      </c>
    </row>
    <row r="2775">
      <c r="U2775">
        <f>IF(AND(ISNUMBER('자료_한국심리'!$A2759),ISNUMBER('자료_한국심리'!$B2759)),'자료_한국심리'!$A2759,"")</f>
        <v/>
      </c>
      <c r="V2775">
        <f>IF(AND(ISNUMBER('자료_한국심리'!$D2759),ISNUMBER('자료_한국심리'!$E2759)),'자료_한국심리'!$D2759,"")</f>
        <v/>
      </c>
      <c r="W2775">
        <f>IF(AND(ISNUMBER('자료_한국심리'!$G2759),ISNUMBER('자료_한국심리'!$H2759)),'자료_한국심리'!$G2759,"")</f>
        <v/>
      </c>
      <c r="X2775">
        <f>IF(AND(ISNUMBER('자료_한국심리'!$J2759),ISNUMBER('자료_한국심리'!$K2759)),'자료_한국심리'!$J2759,"")</f>
        <v/>
      </c>
      <c r="Y2775">
        <f>IF(AND(ISNUMBER('자료_한국심리'!$M2759),ISNUMBER('자료_한국심리'!$N2759)),'자료_한국심리'!$M2759,"")</f>
        <v/>
      </c>
    </row>
    <row r="2776">
      <c r="U2776">
        <f>IF(AND(ISNUMBER('자료_한국심리'!$A2760),ISNUMBER('자료_한국심리'!$B2760)),'자료_한국심리'!$A2760,"")</f>
        <v/>
      </c>
      <c r="V2776">
        <f>IF(AND(ISNUMBER('자료_한국심리'!$D2760),ISNUMBER('자료_한국심리'!$E2760)),'자료_한국심리'!$D2760,"")</f>
        <v/>
      </c>
      <c r="W2776">
        <f>IF(AND(ISNUMBER('자료_한국심리'!$G2760),ISNUMBER('자료_한국심리'!$H2760)),'자료_한국심리'!$G2760,"")</f>
        <v/>
      </c>
      <c r="X2776">
        <f>IF(AND(ISNUMBER('자료_한국심리'!$J2760),ISNUMBER('자료_한국심리'!$K2760)),'자료_한국심리'!$J2760,"")</f>
        <v/>
      </c>
      <c r="Y2776">
        <f>IF(AND(ISNUMBER('자료_한국심리'!$M2760),ISNUMBER('자료_한국심리'!$N2760)),'자료_한국심리'!$M2760,"")</f>
        <v/>
      </c>
    </row>
    <row r="2777">
      <c r="U2777">
        <f>IF(AND(ISNUMBER('자료_한국심리'!$A2761),ISNUMBER('자료_한국심리'!$B2761)),'자료_한국심리'!$A2761,"")</f>
        <v/>
      </c>
      <c r="V2777">
        <f>IF(AND(ISNUMBER('자료_한국심리'!$D2761),ISNUMBER('자료_한국심리'!$E2761)),'자료_한국심리'!$D2761,"")</f>
        <v/>
      </c>
      <c r="W2777">
        <f>IF(AND(ISNUMBER('자료_한국심리'!$G2761),ISNUMBER('자료_한국심리'!$H2761)),'자료_한국심리'!$G2761,"")</f>
        <v/>
      </c>
      <c r="X2777">
        <f>IF(AND(ISNUMBER('자료_한국심리'!$J2761),ISNUMBER('자료_한국심리'!$K2761)),'자료_한국심리'!$J2761,"")</f>
        <v/>
      </c>
      <c r="Y2777">
        <f>IF(AND(ISNUMBER('자료_한국심리'!$M2761),ISNUMBER('자료_한국심리'!$N2761)),'자료_한국심리'!$M2761,"")</f>
        <v/>
      </c>
    </row>
    <row r="2778">
      <c r="U2778">
        <f>IF(AND(ISNUMBER('자료_한국심리'!$A2762),ISNUMBER('자료_한국심리'!$B2762)),'자료_한국심리'!$A2762,"")</f>
        <v/>
      </c>
      <c r="V2778">
        <f>IF(AND(ISNUMBER('자료_한국심리'!$D2762),ISNUMBER('자료_한국심리'!$E2762)),'자료_한국심리'!$D2762,"")</f>
        <v/>
      </c>
      <c r="W2778">
        <f>IF(AND(ISNUMBER('자료_한국심리'!$G2762),ISNUMBER('자료_한국심리'!$H2762)),'자료_한국심리'!$G2762,"")</f>
        <v/>
      </c>
      <c r="X2778">
        <f>IF(AND(ISNUMBER('자료_한국심리'!$J2762),ISNUMBER('자료_한국심리'!$K2762)),'자료_한국심리'!$J2762,"")</f>
        <v/>
      </c>
      <c r="Y2778">
        <f>IF(AND(ISNUMBER('자료_한국심리'!$M2762),ISNUMBER('자료_한국심리'!$N2762)),'자료_한국심리'!$M2762,"")</f>
        <v/>
      </c>
    </row>
    <row r="2779">
      <c r="U2779">
        <f>IF(AND(ISNUMBER('자료_한국심리'!$A2763),ISNUMBER('자료_한국심리'!$B2763)),'자료_한국심리'!$A2763,"")</f>
        <v/>
      </c>
      <c r="V2779">
        <f>IF(AND(ISNUMBER('자료_한국심리'!$D2763),ISNUMBER('자료_한국심리'!$E2763)),'자료_한국심리'!$D2763,"")</f>
        <v/>
      </c>
      <c r="W2779">
        <f>IF(AND(ISNUMBER('자료_한국심리'!$G2763),ISNUMBER('자료_한국심리'!$H2763)),'자료_한국심리'!$G2763,"")</f>
        <v/>
      </c>
      <c r="X2779">
        <f>IF(AND(ISNUMBER('자료_한국심리'!$J2763),ISNUMBER('자료_한국심리'!$K2763)),'자료_한국심리'!$J2763,"")</f>
        <v/>
      </c>
      <c r="Y2779">
        <f>IF(AND(ISNUMBER('자료_한국심리'!$M2763),ISNUMBER('자료_한국심리'!$N2763)),'자료_한국심리'!$M2763,"")</f>
        <v/>
      </c>
    </row>
    <row r="2780">
      <c r="U2780">
        <f>IF(AND(ISNUMBER('자료_한국심리'!$A2764),ISNUMBER('자료_한국심리'!$B2764)),'자료_한국심리'!$A2764,"")</f>
        <v/>
      </c>
      <c r="V2780">
        <f>IF(AND(ISNUMBER('자료_한국심리'!$D2764),ISNUMBER('자료_한국심리'!$E2764)),'자료_한국심리'!$D2764,"")</f>
        <v/>
      </c>
      <c r="W2780">
        <f>IF(AND(ISNUMBER('자료_한국심리'!$G2764),ISNUMBER('자료_한국심리'!$H2764)),'자료_한국심리'!$G2764,"")</f>
        <v/>
      </c>
      <c r="X2780">
        <f>IF(AND(ISNUMBER('자료_한국심리'!$J2764),ISNUMBER('자료_한국심리'!$K2764)),'자료_한국심리'!$J2764,"")</f>
        <v/>
      </c>
      <c r="Y2780">
        <f>IF(AND(ISNUMBER('자료_한국심리'!$M2764),ISNUMBER('자료_한국심리'!$N2764)),'자료_한국심리'!$M2764,"")</f>
        <v/>
      </c>
    </row>
    <row r="2781">
      <c r="U2781">
        <f>IF(AND(ISNUMBER('자료_한국심리'!$A2765),ISNUMBER('자료_한국심리'!$B2765)),'자료_한국심리'!$A2765,"")</f>
        <v/>
      </c>
      <c r="V2781">
        <f>IF(AND(ISNUMBER('자료_한국심리'!$D2765),ISNUMBER('자료_한국심리'!$E2765)),'자료_한국심리'!$D2765,"")</f>
        <v/>
      </c>
      <c r="W2781">
        <f>IF(AND(ISNUMBER('자료_한국심리'!$G2765),ISNUMBER('자료_한국심리'!$H2765)),'자료_한국심리'!$G2765,"")</f>
        <v/>
      </c>
      <c r="X2781">
        <f>IF(AND(ISNUMBER('자료_한국심리'!$J2765),ISNUMBER('자료_한국심리'!$K2765)),'자료_한국심리'!$J2765,"")</f>
        <v/>
      </c>
      <c r="Y2781">
        <f>IF(AND(ISNUMBER('자료_한국심리'!$M2765),ISNUMBER('자료_한국심리'!$N2765)),'자료_한국심리'!$M2765,"")</f>
        <v/>
      </c>
    </row>
    <row r="2782">
      <c r="U2782">
        <f>IF(AND(ISNUMBER('자료_한국심리'!$A2766),ISNUMBER('자료_한국심리'!$B2766)),'자료_한국심리'!$A2766,"")</f>
        <v/>
      </c>
      <c r="V2782">
        <f>IF(AND(ISNUMBER('자료_한국심리'!$D2766),ISNUMBER('자료_한국심리'!$E2766)),'자료_한국심리'!$D2766,"")</f>
        <v/>
      </c>
      <c r="W2782">
        <f>IF(AND(ISNUMBER('자료_한국심리'!$G2766),ISNUMBER('자료_한국심리'!$H2766)),'자료_한국심리'!$G2766,"")</f>
        <v/>
      </c>
      <c r="X2782">
        <f>IF(AND(ISNUMBER('자료_한국심리'!$J2766),ISNUMBER('자료_한국심리'!$K2766)),'자료_한국심리'!$J2766,"")</f>
        <v/>
      </c>
      <c r="Y2782">
        <f>IF(AND(ISNUMBER('자료_한국심리'!$M2766),ISNUMBER('자료_한국심리'!$N2766)),'자료_한국심리'!$M2766,"")</f>
        <v/>
      </c>
    </row>
    <row r="2783">
      <c r="U2783">
        <f>IF(AND(ISNUMBER('자료_한국심리'!$A2767),ISNUMBER('자료_한국심리'!$B2767)),'자료_한국심리'!$A2767,"")</f>
        <v/>
      </c>
      <c r="V2783">
        <f>IF(AND(ISNUMBER('자료_한국심리'!$D2767),ISNUMBER('자료_한국심리'!$E2767)),'자료_한국심리'!$D2767,"")</f>
        <v/>
      </c>
      <c r="W2783">
        <f>IF(AND(ISNUMBER('자료_한국심리'!$G2767),ISNUMBER('자료_한국심리'!$H2767)),'자료_한국심리'!$G2767,"")</f>
        <v/>
      </c>
      <c r="X2783">
        <f>IF(AND(ISNUMBER('자료_한국심리'!$J2767),ISNUMBER('자료_한국심리'!$K2767)),'자료_한국심리'!$J2767,"")</f>
        <v/>
      </c>
      <c r="Y2783">
        <f>IF(AND(ISNUMBER('자료_한국심리'!$M2767),ISNUMBER('자료_한국심리'!$N2767)),'자료_한국심리'!$M2767,"")</f>
        <v/>
      </c>
    </row>
    <row r="2784">
      <c r="U2784">
        <f>IF(AND(ISNUMBER('자료_한국심리'!$A2768),ISNUMBER('자료_한국심리'!$B2768)),'자료_한국심리'!$A2768,"")</f>
        <v/>
      </c>
      <c r="V2784">
        <f>IF(AND(ISNUMBER('자료_한국심리'!$D2768),ISNUMBER('자료_한국심리'!$E2768)),'자료_한국심리'!$D2768,"")</f>
        <v/>
      </c>
      <c r="W2784">
        <f>IF(AND(ISNUMBER('자료_한국심리'!$G2768),ISNUMBER('자료_한국심리'!$H2768)),'자료_한국심리'!$G2768,"")</f>
        <v/>
      </c>
      <c r="X2784">
        <f>IF(AND(ISNUMBER('자료_한국심리'!$J2768),ISNUMBER('자료_한국심리'!$K2768)),'자료_한국심리'!$J2768,"")</f>
        <v/>
      </c>
      <c r="Y2784">
        <f>IF(AND(ISNUMBER('자료_한국심리'!$M2768),ISNUMBER('자료_한국심리'!$N2768)),'자료_한국심리'!$M2768,"")</f>
        <v/>
      </c>
    </row>
    <row r="2785">
      <c r="U2785">
        <f>IF(AND(ISNUMBER('자료_한국심리'!$A2769),ISNUMBER('자료_한국심리'!$B2769)),'자료_한국심리'!$A2769,"")</f>
        <v/>
      </c>
      <c r="V2785">
        <f>IF(AND(ISNUMBER('자료_한국심리'!$D2769),ISNUMBER('자료_한국심리'!$E2769)),'자료_한국심리'!$D2769,"")</f>
        <v/>
      </c>
      <c r="W2785">
        <f>IF(AND(ISNUMBER('자료_한국심리'!$G2769),ISNUMBER('자료_한국심리'!$H2769)),'자료_한국심리'!$G2769,"")</f>
        <v/>
      </c>
      <c r="X2785">
        <f>IF(AND(ISNUMBER('자료_한국심리'!$J2769),ISNUMBER('자료_한국심리'!$K2769)),'자료_한국심리'!$J2769,"")</f>
        <v/>
      </c>
      <c r="Y2785">
        <f>IF(AND(ISNUMBER('자료_한국심리'!$M2769),ISNUMBER('자료_한국심리'!$N2769)),'자료_한국심리'!$M2769,"")</f>
        <v/>
      </c>
    </row>
    <row r="2786">
      <c r="U2786">
        <f>IF(AND(ISNUMBER('자료_한국심리'!$A2770),ISNUMBER('자료_한국심리'!$B2770)),'자료_한국심리'!$A2770,"")</f>
        <v/>
      </c>
      <c r="V2786">
        <f>IF(AND(ISNUMBER('자료_한국심리'!$D2770),ISNUMBER('자료_한국심리'!$E2770)),'자료_한국심리'!$D2770,"")</f>
        <v/>
      </c>
      <c r="W2786">
        <f>IF(AND(ISNUMBER('자료_한국심리'!$G2770),ISNUMBER('자료_한국심리'!$H2770)),'자료_한국심리'!$G2770,"")</f>
        <v/>
      </c>
      <c r="X2786">
        <f>IF(AND(ISNUMBER('자료_한국심리'!$J2770),ISNUMBER('자료_한국심리'!$K2770)),'자료_한국심리'!$J2770,"")</f>
        <v/>
      </c>
      <c r="Y2786">
        <f>IF(AND(ISNUMBER('자료_한국심리'!$M2770),ISNUMBER('자료_한국심리'!$N2770)),'자료_한국심리'!$M2770,"")</f>
        <v/>
      </c>
    </row>
    <row r="2787">
      <c r="U2787">
        <f>IF(AND(ISNUMBER('자료_한국심리'!$A2771),ISNUMBER('자료_한국심리'!$B2771)),'자료_한국심리'!$A2771,"")</f>
        <v/>
      </c>
      <c r="V2787">
        <f>IF(AND(ISNUMBER('자료_한국심리'!$D2771),ISNUMBER('자료_한국심리'!$E2771)),'자료_한국심리'!$D2771,"")</f>
        <v/>
      </c>
      <c r="W2787">
        <f>IF(AND(ISNUMBER('자료_한국심리'!$G2771),ISNUMBER('자료_한국심리'!$H2771)),'자료_한국심리'!$G2771,"")</f>
        <v/>
      </c>
      <c r="X2787">
        <f>IF(AND(ISNUMBER('자료_한국심리'!$J2771),ISNUMBER('자료_한국심리'!$K2771)),'자료_한국심리'!$J2771,"")</f>
        <v/>
      </c>
      <c r="Y2787">
        <f>IF(AND(ISNUMBER('자료_한국심리'!$M2771),ISNUMBER('자료_한국심리'!$N2771)),'자료_한국심리'!$M2771,"")</f>
        <v/>
      </c>
    </row>
    <row r="2788">
      <c r="U2788">
        <f>IF(AND(ISNUMBER('자료_한국심리'!$A2772),ISNUMBER('자료_한국심리'!$B2772)),'자료_한국심리'!$A2772,"")</f>
        <v/>
      </c>
      <c r="V2788">
        <f>IF(AND(ISNUMBER('자료_한국심리'!$D2772),ISNUMBER('자료_한국심리'!$E2772)),'자료_한국심리'!$D2772,"")</f>
        <v/>
      </c>
      <c r="W2788">
        <f>IF(AND(ISNUMBER('자료_한국심리'!$G2772),ISNUMBER('자료_한국심리'!$H2772)),'자료_한국심리'!$G2772,"")</f>
        <v/>
      </c>
      <c r="X2788">
        <f>IF(AND(ISNUMBER('자료_한국심리'!$J2772),ISNUMBER('자료_한국심리'!$K2772)),'자료_한국심리'!$J2772,"")</f>
        <v/>
      </c>
      <c r="Y2788">
        <f>IF(AND(ISNUMBER('자료_한국심리'!$M2772),ISNUMBER('자료_한국심리'!$N2772)),'자료_한국심리'!$M2772,"")</f>
        <v/>
      </c>
    </row>
    <row r="2789">
      <c r="U2789">
        <f>IF(AND(ISNUMBER('자료_한국심리'!$A2773),ISNUMBER('자료_한국심리'!$B2773)),'자료_한국심리'!$A2773,"")</f>
        <v/>
      </c>
      <c r="V2789">
        <f>IF(AND(ISNUMBER('자료_한국심리'!$D2773),ISNUMBER('자료_한국심리'!$E2773)),'자료_한국심리'!$D2773,"")</f>
        <v/>
      </c>
      <c r="W2789">
        <f>IF(AND(ISNUMBER('자료_한국심리'!$G2773),ISNUMBER('자료_한국심리'!$H2773)),'자료_한국심리'!$G2773,"")</f>
        <v/>
      </c>
      <c r="X2789">
        <f>IF(AND(ISNUMBER('자료_한국심리'!$J2773),ISNUMBER('자료_한국심리'!$K2773)),'자료_한국심리'!$J2773,"")</f>
        <v/>
      </c>
      <c r="Y2789">
        <f>IF(AND(ISNUMBER('자료_한국심리'!$M2773),ISNUMBER('자료_한국심리'!$N2773)),'자료_한국심리'!$M2773,"")</f>
        <v/>
      </c>
    </row>
    <row r="2790">
      <c r="U2790">
        <f>IF(AND(ISNUMBER('자료_한국심리'!$A2774),ISNUMBER('자료_한국심리'!$B2774)),'자료_한국심리'!$A2774,"")</f>
        <v/>
      </c>
      <c r="V2790">
        <f>IF(AND(ISNUMBER('자료_한국심리'!$D2774),ISNUMBER('자료_한국심리'!$E2774)),'자료_한국심리'!$D2774,"")</f>
        <v/>
      </c>
      <c r="W2790">
        <f>IF(AND(ISNUMBER('자료_한국심리'!$G2774),ISNUMBER('자료_한국심리'!$H2774)),'자료_한국심리'!$G2774,"")</f>
        <v/>
      </c>
      <c r="X2790">
        <f>IF(AND(ISNUMBER('자료_한국심리'!$J2774),ISNUMBER('자료_한국심리'!$K2774)),'자료_한국심리'!$J2774,"")</f>
        <v/>
      </c>
      <c r="Y2790">
        <f>IF(AND(ISNUMBER('자료_한국심리'!$M2774),ISNUMBER('자료_한국심리'!$N2774)),'자료_한국심리'!$M2774,"")</f>
        <v/>
      </c>
    </row>
    <row r="2791">
      <c r="U2791">
        <f>IF(AND(ISNUMBER('자료_한국심리'!$A2775),ISNUMBER('자료_한국심리'!$B2775)),'자료_한국심리'!$A2775,"")</f>
        <v/>
      </c>
      <c r="V2791">
        <f>IF(AND(ISNUMBER('자료_한국심리'!$D2775),ISNUMBER('자료_한국심리'!$E2775)),'자료_한국심리'!$D2775,"")</f>
        <v/>
      </c>
      <c r="W2791">
        <f>IF(AND(ISNUMBER('자료_한국심리'!$G2775),ISNUMBER('자료_한국심리'!$H2775)),'자료_한국심리'!$G2775,"")</f>
        <v/>
      </c>
      <c r="X2791">
        <f>IF(AND(ISNUMBER('자료_한국심리'!$J2775),ISNUMBER('자료_한국심리'!$K2775)),'자료_한국심리'!$J2775,"")</f>
        <v/>
      </c>
      <c r="Y2791">
        <f>IF(AND(ISNUMBER('자료_한국심리'!$M2775),ISNUMBER('자료_한국심리'!$N2775)),'자료_한국심리'!$M2775,"")</f>
        <v/>
      </c>
    </row>
    <row r="2792">
      <c r="U2792">
        <f>IF(AND(ISNUMBER('자료_한국심리'!$A2776),ISNUMBER('자료_한국심리'!$B2776)),'자료_한국심리'!$A2776,"")</f>
        <v/>
      </c>
      <c r="V2792">
        <f>IF(AND(ISNUMBER('자료_한국심리'!$D2776),ISNUMBER('자료_한국심리'!$E2776)),'자료_한국심리'!$D2776,"")</f>
        <v/>
      </c>
      <c r="W2792">
        <f>IF(AND(ISNUMBER('자료_한국심리'!$G2776),ISNUMBER('자료_한국심리'!$H2776)),'자료_한국심리'!$G2776,"")</f>
        <v/>
      </c>
      <c r="X2792">
        <f>IF(AND(ISNUMBER('자료_한국심리'!$J2776),ISNUMBER('자료_한국심리'!$K2776)),'자료_한국심리'!$J2776,"")</f>
        <v/>
      </c>
      <c r="Y2792">
        <f>IF(AND(ISNUMBER('자료_한국심리'!$M2776),ISNUMBER('자료_한국심리'!$N2776)),'자료_한국심리'!$M2776,"")</f>
        <v/>
      </c>
    </row>
    <row r="2793">
      <c r="U2793">
        <f>IF(AND(ISNUMBER('자료_한국심리'!$A2777),ISNUMBER('자료_한국심리'!$B2777)),'자료_한국심리'!$A2777,"")</f>
        <v/>
      </c>
      <c r="V2793">
        <f>IF(AND(ISNUMBER('자료_한국심리'!$D2777),ISNUMBER('자료_한국심리'!$E2777)),'자료_한국심리'!$D2777,"")</f>
        <v/>
      </c>
      <c r="W2793">
        <f>IF(AND(ISNUMBER('자료_한국심리'!$G2777),ISNUMBER('자료_한국심리'!$H2777)),'자료_한국심리'!$G2777,"")</f>
        <v/>
      </c>
      <c r="X2793">
        <f>IF(AND(ISNUMBER('자료_한국심리'!$J2777),ISNUMBER('자료_한국심리'!$K2777)),'자료_한국심리'!$J2777,"")</f>
        <v/>
      </c>
      <c r="Y2793">
        <f>IF(AND(ISNUMBER('자료_한국심리'!$M2777),ISNUMBER('자료_한국심리'!$N2777)),'자료_한국심리'!$M2777,"")</f>
        <v/>
      </c>
    </row>
    <row r="2794">
      <c r="U2794">
        <f>IF(AND(ISNUMBER('자료_한국심리'!$A2778),ISNUMBER('자료_한국심리'!$B2778)),'자료_한국심리'!$A2778,"")</f>
        <v/>
      </c>
      <c r="V2794">
        <f>IF(AND(ISNUMBER('자료_한국심리'!$D2778),ISNUMBER('자료_한국심리'!$E2778)),'자료_한국심리'!$D2778,"")</f>
        <v/>
      </c>
      <c r="W2794">
        <f>IF(AND(ISNUMBER('자료_한국심리'!$G2778),ISNUMBER('자료_한국심리'!$H2778)),'자료_한국심리'!$G2778,"")</f>
        <v/>
      </c>
      <c r="X2794">
        <f>IF(AND(ISNUMBER('자료_한국심리'!$J2778),ISNUMBER('자료_한국심리'!$K2778)),'자료_한국심리'!$J2778,"")</f>
        <v/>
      </c>
      <c r="Y2794">
        <f>IF(AND(ISNUMBER('자료_한국심리'!$M2778),ISNUMBER('자료_한국심리'!$N2778)),'자료_한국심리'!$M2778,"")</f>
        <v/>
      </c>
    </row>
    <row r="2795">
      <c r="U2795">
        <f>IF(AND(ISNUMBER('자료_한국심리'!$A2779),ISNUMBER('자료_한국심리'!$B2779)),'자료_한국심리'!$A2779,"")</f>
        <v/>
      </c>
      <c r="V2795">
        <f>IF(AND(ISNUMBER('자료_한국심리'!$D2779),ISNUMBER('자료_한국심리'!$E2779)),'자료_한국심리'!$D2779,"")</f>
        <v/>
      </c>
      <c r="W2795">
        <f>IF(AND(ISNUMBER('자료_한국심리'!$G2779),ISNUMBER('자료_한국심리'!$H2779)),'자료_한국심리'!$G2779,"")</f>
        <v/>
      </c>
      <c r="X2795">
        <f>IF(AND(ISNUMBER('자료_한국심리'!$J2779),ISNUMBER('자료_한국심리'!$K2779)),'자료_한국심리'!$J2779,"")</f>
        <v/>
      </c>
      <c r="Y2795">
        <f>IF(AND(ISNUMBER('자료_한국심리'!$M2779),ISNUMBER('자료_한국심리'!$N2779)),'자료_한국심리'!$M2779,"")</f>
        <v/>
      </c>
    </row>
    <row r="2796">
      <c r="U2796">
        <f>IF(AND(ISNUMBER('자료_한국심리'!$A2780),ISNUMBER('자료_한국심리'!$B2780)),'자료_한국심리'!$A2780,"")</f>
        <v/>
      </c>
      <c r="V2796">
        <f>IF(AND(ISNUMBER('자료_한국심리'!$D2780),ISNUMBER('자료_한국심리'!$E2780)),'자료_한국심리'!$D2780,"")</f>
        <v/>
      </c>
      <c r="W2796">
        <f>IF(AND(ISNUMBER('자료_한국심리'!$G2780),ISNUMBER('자료_한국심리'!$H2780)),'자료_한국심리'!$G2780,"")</f>
        <v/>
      </c>
      <c r="X2796">
        <f>IF(AND(ISNUMBER('자료_한국심리'!$J2780),ISNUMBER('자료_한국심리'!$K2780)),'자료_한국심리'!$J2780,"")</f>
        <v/>
      </c>
      <c r="Y2796">
        <f>IF(AND(ISNUMBER('자료_한국심리'!$M2780),ISNUMBER('자료_한국심리'!$N2780)),'자료_한국심리'!$M2780,"")</f>
        <v/>
      </c>
    </row>
    <row r="2797">
      <c r="U2797">
        <f>IF(AND(ISNUMBER('자료_한국심리'!$A2781),ISNUMBER('자료_한국심리'!$B2781)),'자료_한국심리'!$A2781,"")</f>
        <v/>
      </c>
      <c r="V2797">
        <f>IF(AND(ISNUMBER('자료_한국심리'!$D2781),ISNUMBER('자료_한국심리'!$E2781)),'자료_한국심리'!$D2781,"")</f>
        <v/>
      </c>
      <c r="W2797">
        <f>IF(AND(ISNUMBER('자료_한국심리'!$G2781),ISNUMBER('자료_한국심리'!$H2781)),'자료_한국심리'!$G2781,"")</f>
        <v/>
      </c>
      <c r="X2797">
        <f>IF(AND(ISNUMBER('자료_한국심리'!$J2781),ISNUMBER('자료_한국심리'!$K2781)),'자료_한국심리'!$J2781,"")</f>
        <v/>
      </c>
      <c r="Y2797">
        <f>IF(AND(ISNUMBER('자료_한국심리'!$M2781),ISNUMBER('자료_한국심리'!$N2781)),'자료_한국심리'!$M2781,"")</f>
        <v/>
      </c>
    </row>
    <row r="2798">
      <c r="U2798">
        <f>IF(AND(ISNUMBER('자료_한국심리'!$A2782),ISNUMBER('자료_한국심리'!$B2782)),'자료_한국심리'!$A2782,"")</f>
        <v/>
      </c>
      <c r="V2798">
        <f>IF(AND(ISNUMBER('자료_한국심리'!$D2782),ISNUMBER('자료_한국심리'!$E2782)),'자료_한국심리'!$D2782,"")</f>
        <v/>
      </c>
      <c r="W2798">
        <f>IF(AND(ISNUMBER('자료_한국심리'!$G2782),ISNUMBER('자료_한국심리'!$H2782)),'자료_한국심리'!$G2782,"")</f>
        <v/>
      </c>
      <c r="X2798">
        <f>IF(AND(ISNUMBER('자료_한국심리'!$J2782),ISNUMBER('자료_한국심리'!$K2782)),'자료_한국심리'!$J2782,"")</f>
        <v/>
      </c>
      <c r="Y2798">
        <f>IF(AND(ISNUMBER('자료_한국심리'!$M2782),ISNUMBER('자료_한국심리'!$N2782)),'자료_한국심리'!$M2782,"")</f>
        <v/>
      </c>
    </row>
    <row r="2799">
      <c r="U2799">
        <f>IF(AND(ISNUMBER('자료_한국심리'!$A2783),ISNUMBER('자료_한국심리'!$B2783)),'자료_한국심리'!$A2783,"")</f>
        <v/>
      </c>
      <c r="V2799">
        <f>IF(AND(ISNUMBER('자료_한국심리'!$D2783),ISNUMBER('자료_한국심리'!$E2783)),'자료_한국심리'!$D2783,"")</f>
        <v/>
      </c>
      <c r="W2799">
        <f>IF(AND(ISNUMBER('자료_한국심리'!$G2783),ISNUMBER('자료_한국심리'!$H2783)),'자료_한국심리'!$G2783,"")</f>
        <v/>
      </c>
      <c r="X2799">
        <f>IF(AND(ISNUMBER('자료_한국심리'!$J2783),ISNUMBER('자료_한국심리'!$K2783)),'자료_한국심리'!$J2783,"")</f>
        <v/>
      </c>
      <c r="Y2799">
        <f>IF(AND(ISNUMBER('자료_한국심리'!$M2783),ISNUMBER('자료_한국심리'!$N2783)),'자료_한국심리'!$M2783,"")</f>
        <v/>
      </c>
    </row>
    <row r="2800">
      <c r="U2800">
        <f>IF(AND(ISNUMBER('자료_한국심리'!$A2784),ISNUMBER('자료_한국심리'!$B2784)),'자료_한국심리'!$A2784,"")</f>
        <v/>
      </c>
      <c r="V2800">
        <f>IF(AND(ISNUMBER('자료_한국심리'!$D2784),ISNUMBER('자료_한국심리'!$E2784)),'자료_한국심리'!$D2784,"")</f>
        <v/>
      </c>
      <c r="W2800">
        <f>IF(AND(ISNUMBER('자료_한국심리'!$G2784),ISNUMBER('자료_한국심리'!$H2784)),'자료_한국심리'!$G2784,"")</f>
        <v/>
      </c>
      <c r="X2800">
        <f>IF(AND(ISNUMBER('자료_한국심리'!$J2784),ISNUMBER('자료_한국심리'!$K2784)),'자료_한국심리'!$J2784,"")</f>
        <v/>
      </c>
      <c r="Y2800">
        <f>IF(AND(ISNUMBER('자료_한국심리'!$M2784),ISNUMBER('자료_한국심리'!$N2784)),'자료_한국심리'!$M2784,"")</f>
        <v/>
      </c>
    </row>
    <row r="2801">
      <c r="U2801">
        <f>IF(AND(ISNUMBER('자료_한국심리'!$A2785),ISNUMBER('자료_한국심리'!$B2785)),'자료_한국심리'!$A2785,"")</f>
        <v/>
      </c>
      <c r="V2801">
        <f>IF(AND(ISNUMBER('자료_한국심리'!$D2785),ISNUMBER('자료_한국심리'!$E2785)),'자료_한국심리'!$D2785,"")</f>
        <v/>
      </c>
      <c r="W2801">
        <f>IF(AND(ISNUMBER('자료_한국심리'!$G2785),ISNUMBER('자료_한국심리'!$H2785)),'자료_한국심리'!$G2785,"")</f>
        <v/>
      </c>
      <c r="X2801">
        <f>IF(AND(ISNUMBER('자료_한국심리'!$J2785),ISNUMBER('자료_한국심리'!$K2785)),'자료_한국심리'!$J2785,"")</f>
        <v/>
      </c>
      <c r="Y2801">
        <f>IF(AND(ISNUMBER('자료_한국심리'!$M2785),ISNUMBER('자료_한국심리'!$N2785)),'자료_한국심리'!$M2785,"")</f>
        <v/>
      </c>
    </row>
    <row r="2802">
      <c r="U2802">
        <f>IF(AND(ISNUMBER('자료_한국심리'!$A2786),ISNUMBER('자료_한국심리'!$B2786)),'자료_한국심리'!$A2786,"")</f>
        <v/>
      </c>
      <c r="V2802">
        <f>IF(AND(ISNUMBER('자료_한국심리'!$D2786),ISNUMBER('자료_한국심리'!$E2786)),'자료_한국심리'!$D2786,"")</f>
        <v/>
      </c>
      <c r="W2802">
        <f>IF(AND(ISNUMBER('자료_한국심리'!$G2786),ISNUMBER('자료_한국심리'!$H2786)),'자료_한국심리'!$G2786,"")</f>
        <v/>
      </c>
      <c r="X2802">
        <f>IF(AND(ISNUMBER('자료_한국심리'!$J2786),ISNUMBER('자료_한국심리'!$K2786)),'자료_한국심리'!$J2786,"")</f>
        <v/>
      </c>
      <c r="Y2802">
        <f>IF(AND(ISNUMBER('자료_한국심리'!$M2786),ISNUMBER('자료_한국심리'!$N2786)),'자료_한국심리'!$M2786,"")</f>
        <v/>
      </c>
    </row>
    <row r="2803">
      <c r="U2803">
        <f>IF(AND(ISNUMBER('자료_한국심리'!$A2787),ISNUMBER('자료_한국심리'!$B2787)),'자료_한국심리'!$A2787,"")</f>
        <v/>
      </c>
      <c r="V2803">
        <f>IF(AND(ISNUMBER('자료_한국심리'!$D2787),ISNUMBER('자료_한국심리'!$E2787)),'자료_한국심리'!$D2787,"")</f>
        <v/>
      </c>
      <c r="W2803">
        <f>IF(AND(ISNUMBER('자료_한국심리'!$G2787),ISNUMBER('자료_한국심리'!$H2787)),'자료_한국심리'!$G2787,"")</f>
        <v/>
      </c>
      <c r="X2803">
        <f>IF(AND(ISNUMBER('자료_한국심리'!$J2787),ISNUMBER('자료_한국심리'!$K2787)),'자료_한국심리'!$J2787,"")</f>
        <v/>
      </c>
      <c r="Y2803">
        <f>IF(AND(ISNUMBER('자료_한국심리'!$M2787),ISNUMBER('자료_한국심리'!$N2787)),'자료_한국심리'!$M2787,"")</f>
        <v/>
      </c>
    </row>
    <row r="2804">
      <c r="U2804">
        <f>IF(AND(ISNUMBER('자료_한국심리'!$A2788),ISNUMBER('자료_한국심리'!$B2788)),'자료_한국심리'!$A2788,"")</f>
        <v/>
      </c>
      <c r="V2804">
        <f>IF(AND(ISNUMBER('자료_한국심리'!$D2788),ISNUMBER('자료_한국심리'!$E2788)),'자료_한국심리'!$D2788,"")</f>
        <v/>
      </c>
      <c r="W2804">
        <f>IF(AND(ISNUMBER('자료_한국심리'!$G2788),ISNUMBER('자료_한국심리'!$H2788)),'자료_한국심리'!$G2788,"")</f>
        <v/>
      </c>
      <c r="X2804">
        <f>IF(AND(ISNUMBER('자료_한국심리'!$J2788),ISNUMBER('자료_한국심리'!$K2788)),'자료_한국심리'!$J2788,"")</f>
        <v/>
      </c>
      <c r="Y2804">
        <f>IF(AND(ISNUMBER('자료_한국심리'!$M2788),ISNUMBER('자료_한국심리'!$N2788)),'자료_한국심리'!$M2788,"")</f>
        <v/>
      </c>
    </row>
    <row r="2805">
      <c r="U2805">
        <f>IF(AND(ISNUMBER('자료_한국심리'!$A2789),ISNUMBER('자료_한국심리'!$B2789)),'자료_한국심리'!$A2789,"")</f>
        <v/>
      </c>
      <c r="V2805">
        <f>IF(AND(ISNUMBER('자료_한국심리'!$D2789),ISNUMBER('자료_한국심리'!$E2789)),'자료_한국심리'!$D2789,"")</f>
        <v/>
      </c>
      <c r="W2805">
        <f>IF(AND(ISNUMBER('자료_한국심리'!$G2789),ISNUMBER('자료_한국심리'!$H2789)),'자료_한국심리'!$G2789,"")</f>
        <v/>
      </c>
      <c r="X2805">
        <f>IF(AND(ISNUMBER('자료_한국심리'!$J2789),ISNUMBER('자료_한국심리'!$K2789)),'자료_한국심리'!$J2789,"")</f>
        <v/>
      </c>
      <c r="Y2805">
        <f>IF(AND(ISNUMBER('자료_한국심리'!$M2789),ISNUMBER('자료_한국심리'!$N2789)),'자료_한국심리'!$M2789,"")</f>
        <v/>
      </c>
    </row>
    <row r="2806">
      <c r="U2806">
        <f>IF(AND(ISNUMBER('자료_한국심리'!$A2790),ISNUMBER('자료_한국심리'!$B2790)),'자료_한국심리'!$A2790,"")</f>
        <v/>
      </c>
      <c r="V2806">
        <f>IF(AND(ISNUMBER('자료_한국심리'!$D2790),ISNUMBER('자료_한국심리'!$E2790)),'자료_한국심리'!$D2790,"")</f>
        <v/>
      </c>
      <c r="W2806">
        <f>IF(AND(ISNUMBER('자료_한국심리'!$G2790),ISNUMBER('자료_한국심리'!$H2790)),'자료_한국심리'!$G2790,"")</f>
        <v/>
      </c>
      <c r="X2806">
        <f>IF(AND(ISNUMBER('자료_한국심리'!$J2790),ISNUMBER('자료_한국심리'!$K2790)),'자료_한국심리'!$J2790,"")</f>
        <v/>
      </c>
      <c r="Y2806">
        <f>IF(AND(ISNUMBER('자료_한국심리'!$M2790),ISNUMBER('자료_한국심리'!$N2790)),'자료_한국심리'!$M2790,"")</f>
        <v/>
      </c>
    </row>
    <row r="2807">
      <c r="U2807">
        <f>IF(AND(ISNUMBER('자료_한국심리'!$A2791),ISNUMBER('자료_한국심리'!$B2791)),'자료_한국심리'!$A2791,"")</f>
        <v/>
      </c>
      <c r="V2807">
        <f>IF(AND(ISNUMBER('자료_한국심리'!$D2791),ISNUMBER('자료_한국심리'!$E2791)),'자료_한국심리'!$D2791,"")</f>
        <v/>
      </c>
      <c r="W2807">
        <f>IF(AND(ISNUMBER('자료_한국심리'!$G2791),ISNUMBER('자료_한국심리'!$H2791)),'자료_한국심리'!$G2791,"")</f>
        <v/>
      </c>
      <c r="X2807">
        <f>IF(AND(ISNUMBER('자료_한국심리'!$J2791),ISNUMBER('자료_한국심리'!$K2791)),'자료_한국심리'!$J2791,"")</f>
        <v/>
      </c>
      <c r="Y2807">
        <f>IF(AND(ISNUMBER('자료_한국심리'!$M2791),ISNUMBER('자료_한국심리'!$N2791)),'자료_한국심리'!$M2791,"")</f>
        <v/>
      </c>
    </row>
    <row r="2808">
      <c r="U2808">
        <f>IF(AND(ISNUMBER('자료_한국심리'!$A2792),ISNUMBER('자료_한국심리'!$B2792)),'자료_한국심리'!$A2792,"")</f>
        <v/>
      </c>
      <c r="V2808">
        <f>IF(AND(ISNUMBER('자료_한국심리'!$D2792),ISNUMBER('자료_한국심리'!$E2792)),'자료_한국심리'!$D2792,"")</f>
        <v/>
      </c>
      <c r="W2808">
        <f>IF(AND(ISNUMBER('자료_한국심리'!$G2792),ISNUMBER('자료_한국심리'!$H2792)),'자료_한국심리'!$G2792,"")</f>
        <v/>
      </c>
      <c r="X2808">
        <f>IF(AND(ISNUMBER('자료_한국심리'!$J2792),ISNUMBER('자료_한국심리'!$K2792)),'자료_한국심리'!$J2792,"")</f>
        <v/>
      </c>
      <c r="Y2808">
        <f>IF(AND(ISNUMBER('자료_한국심리'!$M2792),ISNUMBER('자료_한국심리'!$N2792)),'자료_한국심리'!$M2792,"")</f>
        <v/>
      </c>
    </row>
    <row r="2809">
      <c r="U2809">
        <f>IF(AND(ISNUMBER('자료_한국심리'!$A2793),ISNUMBER('자료_한국심리'!$B2793)),'자료_한국심리'!$A2793,"")</f>
        <v/>
      </c>
      <c r="V2809">
        <f>IF(AND(ISNUMBER('자료_한국심리'!$D2793),ISNUMBER('자료_한국심리'!$E2793)),'자료_한국심리'!$D2793,"")</f>
        <v/>
      </c>
      <c r="W2809">
        <f>IF(AND(ISNUMBER('자료_한국심리'!$G2793),ISNUMBER('자료_한국심리'!$H2793)),'자료_한국심리'!$G2793,"")</f>
        <v/>
      </c>
      <c r="X2809">
        <f>IF(AND(ISNUMBER('자료_한국심리'!$J2793),ISNUMBER('자료_한국심리'!$K2793)),'자료_한국심리'!$J2793,"")</f>
        <v/>
      </c>
      <c r="Y2809">
        <f>IF(AND(ISNUMBER('자료_한국심리'!$M2793),ISNUMBER('자료_한국심리'!$N2793)),'자료_한국심리'!$M2793,"")</f>
        <v/>
      </c>
    </row>
    <row r="2810">
      <c r="U2810">
        <f>IF(AND(ISNUMBER('자료_한국심리'!$A2794),ISNUMBER('자료_한국심리'!$B2794)),'자료_한국심리'!$A2794,"")</f>
        <v/>
      </c>
      <c r="V2810">
        <f>IF(AND(ISNUMBER('자료_한국심리'!$D2794),ISNUMBER('자료_한국심리'!$E2794)),'자료_한국심리'!$D2794,"")</f>
        <v/>
      </c>
      <c r="W2810">
        <f>IF(AND(ISNUMBER('자료_한국심리'!$G2794),ISNUMBER('자료_한국심리'!$H2794)),'자료_한국심리'!$G2794,"")</f>
        <v/>
      </c>
      <c r="X2810">
        <f>IF(AND(ISNUMBER('자료_한국심리'!$J2794),ISNUMBER('자료_한국심리'!$K2794)),'자료_한국심리'!$J2794,"")</f>
        <v/>
      </c>
      <c r="Y2810">
        <f>IF(AND(ISNUMBER('자료_한국심리'!$M2794),ISNUMBER('자료_한국심리'!$N2794)),'자료_한국심리'!$M2794,"")</f>
        <v/>
      </c>
    </row>
    <row r="2811">
      <c r="U2811">
        <f>IF(AND(ISNUMBER('자료_한국심리'!$A2795),ISNUMBER('자료_한국심리'!$B2795)),'자료_한국심리'!$A2795,"")</f>
        <v/>
      </c>
      <c r="V2811">
        <f>IF(AND(ISNUMBER('자료_한국심리'!$D2795),ISNUMBER('자료_한국심리'!$E2795)),'자료_한국심리'!$D2795,"")</f>
        <v/>
      </c>
      <c r="W2811">
        <f>IF(AND(ISNUMBER('자료_한국심리'!$G2795),ISNUMBER('자료_한국심리'!$H2795)),'자료_한국심리'!$G2795,"")</f>
        <v/>
      </c>
      <c r="X2811">
        <f>IF(AND(ISNUMBER('자료_한국심리'!$J2795),ISNUMBER('자료_한국심리'!$K2795)),'자료_한국심리'!$J2795,"")</f>
        <v/>
      </c>
      <c r="Y2811">
        <f>IF(AND(ISNUMBER('자료_한국심리'!$M2795),ISNUMBER('자료_한국심리'!$N2795)),'자료_한국심리'!$M2795,"")</f>
        <v/>
      </c>
    </row>
    <row r="2812">
      <c r="U2812">
        <f>IF(AND(ISNUMBER('자료_한국심리'!$A2796),ISNUMBER('자료_한국심리'!$B2796)),'자료_한국심리'!$A2796,"")</f>
        <v/>
      </c>
      <c r="V2812">
        <f>IF(AND(ISNUMBER('자료_한국심리'!$D2796),ISNUMBER('자료_한국심리'!$E2796)),'자료_한국심리'!$D2796,"")</f>
        <v/>
      </c>
      <c r="W2812">
        <f>IF(AND(ISNUMBER('자료_한국심리'!$G2796),ISNUMBER('자료_한국심리'!$H2796)),'자료_한국심리'!$G2796,"")</f>
        <v/>
      </c>
      <c r="X2812">
        <f>IF(AND(ISNUMBER('자료_한국심리'!$J2796),ISNUMBER('자료_한국심리'!$K2796)),'자료_한국심리'!$J2796,"")</f>
        <v/>
      </c>
      <c r="Y2812">
        <f>IF(AND(ISNUMBER('자료_한국심리'!$M2796),ISNUMBER('자료_한국심리'!$N2796)),'자료_한국심리'!$M2796,"")</f>
        <v/>
      </c>
    </row>
    <row r="2813">
      <c r="U2813">
        <f>IF(AND(ISNUMBER('자료_한국심리'!$A2797),ISNUMBER('자료_한국심리'!$B2797)),'자료_한국심리'!$A2797,"")</f>
        <v/>
      </c>
      <c r="V2813">
        <f>IF(AND(ISNUMBER('자료_한국심리'!$D2797),ISNUMBER('자료_한국심리'!$E2797)),'자료_한국심리'!$D2797,"")</f>
        <v/>
      </c>
      <c r="W2813">
        <f>IF(AND(ISNUMBER('자료_한국심리'!$G2797),ISNUMBER('자료_한국심리'!$H2797)),'자료_한국심리'!$G2797,"")</f>
        <v/>
      </c>
      <c r="X2813">
        <f>IF(AND(ISNUMBER('자료_한국심리'!$J2797),ISNUMBER('자료_한국심리'!$K2797)),'자료_한국심리'!$J2797,"")</f>
        <v/>
      </c>
      <c r="Y2813">
        <f>IF(AND(ISNUMBER('자료_한국심리'!$M2797),ISNUMBER('자료_한국심리'!$N2797)),'자료_한국심리'!$M2797,"")</f>
        <v/>
      </c>
    </row>
    <row r="2814">
      <c r="U2814">
        <f>IF(AND(ISNUMBER('자료_한국심리'!$A2798),ISNUMBER('자료_한국심리'!$B2798)),'자료_한국심리'!$A2798,"")</f>
        <v/>
      </c>
      <c r="V2814">
        <f>IF(AND(ISNUMBER('자료_한국심리'!$D2798),ISNUMBER('자료_한국심리'!$E2798)),'자료_한국심리'!$D2798,"")</f>
        <v/>
      </c>
      <c r="W2814">
        <f>IF(AND(ISNUMBER('자료_한국심리'!$G2798),ISNUMBER('자료_한국심리'!$H2798)),'자료_한국심리'!$G2798,"")</f>
        <v/>
      </c>
      <c r="X2814">
        <f>IF(AND(ISNUMBER('자료_한국심리'!$J2798),ISNUMBER('자료_한국심리'!$K2798)),'자료_한국심리'!$J2798,"")</f>
        <v/>
      </c>
      <c r="Y2814">
        <f>IF(AND(ISNUMBER('자료_한국심리'!$M2798),ISNUMBER('자료_한국심리'!$N2798)),'자료_한국심리'!$M2798,"")</f>
        <v/>
      </c>
    </row>
    <row r="2815">
      <c r="U2815">
        <f>IF(AND(ISNUMBER('자료_한국심리'!$A2799),ISNUMBER('자료_한국심리'!$B2799)),'자료_한국심리'!$A2799,"")</f>
        <v/>
      </c>
      <c r="V2815">
        <f>IF(AND(ISNUMBER('자료_한국심리'!$D2799),ISNUMBER('자료_한국심리'!$E2799)),'자료_한국심리'!$D2799,"")</f>
        <v/>
      </c>
      <c r="W2815">
        <f>IF(AND(ISNUMBER('자료_한국심리'!$G2799),ISNUMBER('자료_한국심리'!$H2799)),'자료_한국심리'!$G2799,"")</f>
        <v/>
      </c>
      <c r="X2815">
        <f>IF(AND(ISNUMBER('자료_한국심리'!$J2799),ISNUMBER('자료_한국심리'!$K2799)),'자료_한국심리'!$J2799,"")</f>
        <v/>
      </c>
      <c r="Y2815">
        <f>IF(AND(ISNUMBER('자료_한국심리'!$M2799),ISNUMBER('자료_한국심리'!$N2799)),'자료_한국심리'!$M2799,"")</f>
        <v/>
      </c>
    </row>
    <row r="2816">
      <c r="U2816">
        <f>IF(AND(ISNUMBER('자료_한국심리'!$A2800),ISNUMBER('자료_한국심리'!$B2800)),'자료_한국심리'!$A2800,"")</f>
        <v/>
      </c>
      <c r="V2816">
        <f>IF(AND(ISNUMBER('자료_한국심리'!$D2800),ISNUMBER('자료_한국심리'!$E2800)),'자료_한국심리'!$D2800,"")</f>
        <v/>
      </c>
      <c r="W2816">
        <f>IF(AND(ISNUMBER('자료_한국심리'!$G2800),ISNUMBER('자료_한국심리'!$H2800)),'자료_한국심리'!$G2800,"")</f>
        <v/>
      </c>
      <c r="X2816">
        <f>IF(AND(ISNUMBER('자료_한국심리'!$J2800),ISNUMBER('자료_한국심리'!$K2800)),'자료_한국심리'!$J2800,"")</f>
        <v/>
      </c>
      <c r="Y2816">
        <f>IF(AND(ISNUMBER('자료_한국심리'!$M2800),ISNUMBER('자료_한국심리'!$N2800)),'자료_한국심리'!$M2800,"")</f>
        <v/>
      </c>
    </row>
    <row r="2817">
      <c r="U2817">
        <f>IF(AND(ISNUMBER('자료_한국심리'!$A2801),ISNUMBER('자료_한국심리'!$B2801)),'자료_한국심리'!$A2801,"")</f>
        <v/>
      </c>
      <c r="V2817">
        <f>IF(AND(ISNUMBER('자료_한국심리'!$D2801),ISNUMBER('자료_한국심리'!$E2801)),'자료_한국심리'!$D2801,"")</f>
        <v/>
      </c>
      <c r="W2817">
        <f>IF(AND(ISNUMBER('자료_한국심리'!$G2801),ISNUMBER('자료_한국심리'!$H2801)),'자료_한국심리'!$G2801,"")</f>
        <v/>
      </c>
      <c r="X2817">
        <f>IF(AND(ISNUMBER('자료_한국심리'!$J2801),ISNUMBER('자료_한국심리'!$K2801)),'자료_한국심리'!$J2801,"")</f>
        <v/>
      </c>
      <c r="Y2817">
        <f>IF(AND(ISNUMBER('자료_한국심리'!$M2801),ISNUMBER('자료_한국심리'!$N2801)),'자료_한국심리'!$M2801,"")</f>
        <v/>
      </c>
    </row>
    <row r="2818">
      <c r="U2818">
        <f>IF(AND(ISNUMBER('자료_한국심리'!$A2802),ISNUMBER('자료_한국심리'!$B2802)),'자료_한국심리'!$A2802,"")</f>
        <v/>
      </c>
      <c r="V2818">
        <f>IF(AND(ISNUMBER('자료_한국심리'!$D2802),ISNUMBER('자료_한국심리'!$E2802)),'자료_한국심리'!$D2802,"")</f>
        <v/>
      </c>
      <c r="W2818">
        <f>IF(AND(ISNUMBER('자료_한국심리'!$G2802),ISNUMBER('자료_한국심리'!$H2802)),'자료_한국심리'!$G2802,"")</f>
        <v/>
      </c>
      <c r="X2818">
        <f>IF(AND(ISNUMBER('자료_한국심리'!$J2802),ISNUMBER('자료_한국심리'!$K2802)),'자료_한국심리'!$J2802,"")</f>
        <v/>
      </c>
      <c r="Y2818">
        <f>IF(AND(ISNUMBER('자료_한국심리'!$M2802),ISNUMBER('자료_한국심리'!$N2802)),'자료_한국심리'!$M2802,"")</f>
        <v/>
      </c>
    </row>
    <row r="2819">
      <c r="U2819">
        <f>IF(AND(ISNUMBER('자료_한국심리'!$A2803),ISNUMBER('자료_한국심리'!$B2803)),'자료_한국심리'!$A2803,"")</f>
        <v/>
      </c>
      <c r="V2819">
        <f>IF(AND(ISNUMBER('자료_한국심리'!$D2803),ISNUMBER('자료_한국심리'!$E2803)),'자료_한국심리'!$D2803,"")</f>
        <v/>
      </c>
      <c r="W2819">
        <f>IF(AND(ISNUMBER('자료_한국심리'!$G2803),ISNUMBER('자료_한국심리'!$H2803)),'자료_한국심리'!$G2803,"")</f>
        <v/>
      </c>
      <c r="X2819">
        <f>IF(AND(ISNUMBER('자료_한국심리'!$J2803),ISNUMBER('자료_한국심리'!$K2803)),'자료_한국심리'!$J2803,"")</f>
        <v/>
      </c>
      <c r="Y2819">
        <f>IF(AND(ISNUMBER('자료_한국심리'!$M2803),ISNUMBER('자료_한국심리'!$N2803)),'자료_한국심리'!$M2803,"")</f>
        <v/>
      </c>
    </row>
    <row r="2820">
      <c r="U2820">
        <f>IF(AND(ISNUMBER('자료_한국심리'!$A2804),ISNUMBER('자료_한국심리'!$B2804)),'자료_한국심리'!$A2804,"")</f>
        <v/>
      </c>
      <c r="V2820">
        <f>IF(AND(ISNUMBER('자료_한국심리'!$D2804),ISNUMBER('자료_한국심리'!$E2804)),'자료_한국심리'!$D2804,"")</f>
        <v/>
      </c>
      <c r="W2820">
        <f>IF(AND(ISNUMBER('자료_한국심리'!$G2804),ISNUMBER('자료_한국심리'!$H2804)),'자료_한국심리'!$G2804,"")</f>
        <v/>
      </c>
      <c r="X2820">
        <f>IF(AND(ISNUMBER('자료_한국심리'!$J2804),ISNUMBER('자료_한국심리'!$K2804)),'자료_한국심리'!$J2804,"")</f>
        <v/>
      </c>
      <c r="Y2820">
        <f>IF(AND(ISNUMBER('자료_한국심리'!$M2804),ISNUMBER('자료_한국심리'!$N2804)),'자료_한국심리'!$M2804,"")</f>
        <v/>
      </c>
    </row>
    <row r="2821">
      <c r="U2821">
        <f>IF(AND(ISNUMBER('자료_한국심리'!$A2805),ISNUMBER('자료_한국심리'!$B2805)),'자료_한국심리'!$A2805,"")</f>
        <v/>
      </c>
      <c r="V2821">
        <f>IF(AND(ISNUMBER('자료_한국심리'!$D2805),ISNUMBER('자료_한국심리'!$E2805)),'자료_한국심리'!$D2805,"")</f>
        <v/>
      </c>
      <c r="W2821">
        <f>IF(AND(ISNUMBER('자료_한국심리'!$G2805),ISNUMBER('자료_한국심리'!$H2805)),'자료_한국심리'!$G2805,"")</f>
        <v/>
      </c>
      <c r="X2821">
        <f>IF(AND(ISNUMBER('자료_한국심리'!$J2805),ISNUMBER('자료_한국심리'!$K2805)),'자료_한국심리'!$J2805,"")</f>
        <v/>
      </c>
      <c r="Y2821">
        <f>IF(AND(ISNUMBER('자료_한국심리'!$M2805),ISNUMBER('자료_한국심리'!$N2805)),'자료_한국심리'!$M2805,"")</f>
        <v/>
      </c>
    </row>
    <row r="2822">
      <c r="U2822">
        <f>IF(AND(ISNUMBER('자료_한국심리'!$A2806),ISNUMBER('자료_한국심리'!$B2806)),'자료_한국심리'!$A2806,"")</f>
        <v/>
      </c>
      <c r="V2822">
        <f>IF(AND(ISNUMBER('자료_한국심리'!$D2806),ISNUMBER('자료_한국심리'!$E2806)),'자료_한국심리'!$D2806,"")</f>
        <v/>
      </c>
      <c r="W2822">
        <f>IF(AND(ISNUMBER('자료_한국심리'!$G2806),ISNUMBER('자료_한국심리'!$H2806)),'자료_한국심리'!$G2806,"")</f>
        <v/>
      </c>
      <c r="X2822">
        <f>IF(AND(ISNUMBER('자료_한국심리'!$J2806),ISNUMBER('자료_한국심리'!$K2806)),'자료_한국심리'!$J2806,"")</f>
        <v/>
      </c>
      <c r="Y2822">
        <f>IF(AND(ISNUMBER('자료_한국심리'!$M2806),ISNUMBER('자료_한국심리'!$N2806)),'자료_한국심리'!$M2806,"")</f>
        <v/>
      </c>
    </row>
    <row r="2823">
      <c r="U2823">
        <f>IF(AND(ISNUMBER('자료_한국심리'!$A2807),ISNUMBER('자료_한국심리'!$B2807)),'자료_한국심리'!$A2807,"")</f>
        <v/>
      </c>
      <c r="V2823">
        <f>IF(AND(ISNUMBER('자료_한국심리'!$D2807),ISNUMBER('자료_한국심리'!$E2807)),'자료_한국심리'!$D2807,"")</f>
        <v/>
      </c>
      <c r="W2823">
        <f>IF(AND(ISNUMBER('자료_한국심리'!$G2807),ISNUMBER('자료_한국심리'!$H2807)),'자료_한국심리'!$G2807,"")</f>
        <v/>
      </c>
      <c r="X2823">
        <f>IF(AND(ISNUMBER('자료_한국심리'!$J2807),ISNUMBER('자료_한국심리'!$K2807)),'자료_한국심리'!$J2807,"")</f>
        <v/>
      </c>
      <c r="Y2823">
        <f>IF(AND(ISNUMBER('자료_한국심리'!$M2807),ISNUMBER('자료_한국심리'!$N2807)),'자료_한국심리'!$M2807,"")</f>
        <v/>
      </c>
    </row>
    <row r="2824">
      <c r="U2824">
        <f>IF(AND(ISNUMBER('자료_한국심리'!$A2808),ISNUMBER('자료_한국심리'!$B2808)),'자료_한국심리'!$A2808,"")</f>
        <v/>
      </c>
      <c r="V2824">
        <f>IF(AND(ISNUMBER('자료_한국심리'!$D2808),ISNUMBER('자료_한국심리'!$E2808)),'자료_한국심리'!$D2808,"")</f>
        <v/>
      </c>
      <c r="W2824">
        <f>IF(AND(ISNUMBER('자료_한국심리'!$G2808),ISNUMBER('자료_한국심리'!$H2808)),'자료_한국심리'!$G2808,"")</f>
        <v/>
      </c>
      <c r="X2824">
        <f>IF(AND(ISNUMBER('자료_한국심리'!$J2808),ISNUMBER('자료_한국심리'!$K2808)),'자료_한국심리'!$J2808,"")</f>
        <v/>
      </c>
      <c r="Y2824">
        <f>IF(AND(ISNUMBER('자료_한국심리'!$M2808),ISNUMBER('자료_한국심리'!$N2808)),'자료_한국심리'!$M2808,"")</f>
        <v/>
      </c>
    </row>
    <row r="2825">
      <c r="U2825">
        <f>IF(AND(ISNUMBER('자료_한국심리'!$A2809),ISNUMBER('자료_한국심리'!$B2809)),'자료_한국심리'!$A2809,"")</f>
        <v/>
      </c>
      <c r="V2825">
        <f>IF(AND(ISNUMBER('자료_한국심리'!$D2809),ISNUMBER('자료_한국심리'!$E2809)),'자료_한국심리'!$D2809,"")</f>
        <v/>
      </c>
      <c r="W2825">
        <f>IF(AND(ISNUMBER('자료_한국심리'!$G2809),ISNUMBER('자료_한국심리'!$H2809)),'자료_한국심리'!$G2809,"")</f>
        <v/>
      </c>
      <c r="X2825">
        <f>IF(AND(ISNUMBER('자료_한국심리'!$J2809),ISNUMBER('자료_한국심리'!$K2809)),'자료_한국심리'!$J2809,"")</f>
        <v/>
      </c>
      <c r="Y2825">
        <f>IF(AND(ISNUMBER('자료_한국심리'!$M2809),ISNUMBER('자료_한국심리'!$N2809)),'자료_한국심리'!$M2809,"")</f>
        <v/>
      </c>
    </row>
    <row r="2826">
      <c r="U2826">
        <f>IF(AND(ISNUMBER('자료_한국심리'!$A2810),ISNUMBER('자료_한국심리'!$B2810)),'자료_한국심리'!$A2810,"")</f>
        <v/>
      </c>
      <c r="V2826">
        <f>IF(AND(ISNUMBER('자료_한국심리'!$D2810),ISNUMBER('자료_한국심리'!$E2810)),'자료_한국심리'!$D2810,"")</f>
        <v/>
      </c>
      <c r="W2826">
        <f>IF(AND(ISNUMBER('자료_한국심리'!$G2810),ISNUMBER('자료_한국심리'!$H2810)),'자료_한국심리'!$G2810,"")</f>
        <v/>
      </c>
      <c r="X2826">
        <f>IF(AND(ISNUMBER('자료_한국심리'!$J2810),ISNUMBER('자료_한국심리'!$K2810)),'자료_한국심리'!$J2810,"")</f>
        <v/>
      </c>
      <c r="Y2826">
        <f>IF(AND(ISNUMBER('자료_한국심리'!$M2810),ISNUMBER('자료_한국심리'!$N2810)),'자료_한국심리'!$M2810,"")</f>
        <v/>
      </c>
    </row>
    <row r="2827">
      <c r="U2827">
        <f>IF(AND(ISNUMBER('자료_한국심리'!$A2811),ISNUMBER('자료_한국심리'!$B2811)),'자료_한국심리'!$A2811,"")</f>
        <v/>
      </c>
      <c r="V2827">
        <f>IF(AND(ISNUMBER('자료_한국심리'!$D2811),ISNUMBER('자료_한국심리'!$E2811)),'자료_한국심리'!$D2811,"")</f>
        <v/>
      </c>
      <c r="W2827">
        <f>IF(AND(ISNUMBER('자료_한국심리'!$G2811),ISNUMBER('자료_한국심리'!$H2811)),'자료_한국심리'!$G2811,"")</f>
        <v/>
      </c>
      <c r="X2827">
        <f>IF(AND(ISNUMBER('자료_한국심리'!$J2811),ISNUMBER('자료_한국심리'!$K2811)),'자료_한국심리'!$J2811,"")</f>
        <v/>
      </c>
      <c r="Y2827">
        <f>IF(AND(ISNUMBER('자료_한국심리'!$M2811),ISNUMBER('자료_한국심리'!$N2811)),'자료_한국심리'!$M2811,"")</f>
        <v/>
      </c>
    </row>
    <row r="2828">
      <c r="U2828">
        <f>IF(AND(ISNUMBER('자료_한국심리'!$A2812),ISNUMBER('자료_한국심리'!$B2812)),'자료_한국심리'!$A2812,"")</f>
        <v/>
      </c>
      <c r="V2828">
        <f>IF(AND(ISNUMBER('자료_한국심리'!$D2812),ISNUMBER('자료_한국심리'!$E2812)),'자료_한국심리'!$D2812,"")</f>
        <v/>
      </c>
      <c r="W2828">
        <f>IF(AND(ISNUMBER('자료_한국심리'!$G2812),ISNUMBER('자료_한국심리'!$H2812)),'자료_한국심리'!$G2812,"")</f>
        <v/>
      </c>
      <c r="X2828">
        <f>IF(AND(ISNUMBER('자료_한국심리'!$J2812),ISNUMBER('자료_한국심리'!$K2812)),'자료_한국심리'!$J2812,"")</f>
        <v/>
      </c>
      <c r="Y2828">
        <f>IF(AND(ISNUMBER('자료_한국심리'!$M2812),ISNUMBER('자료_한국심리'!$N2812)),'자료_한국심리'!$M2812,"")</f>
        <v/>
      </c>
    </row>
    <row r="2829">
      <c r="U2829">
        <f>IF(AND(ISNUMBER('자료_한국심리'!$A2813),ISNUMBER('자료_한국심리'!$B2813)),'자료_한국심리'!$A2813,"")</f>
        <v/>
      </c>
      <c r="V2829">
        <f>IF(AND(ISNUMBER('자료_한국심리'!$D2813),ISNUMBER('자료_한국심리'!$E2813)),'자료_한국심리'!$D2813,"")</f>
        <v/>
      </c>
      <c r="W2829">
        <f>IF(AND(ISNUMBER('자료_한국심리'!$G2813),ISNUMBER('자료_한국심리'!$H2813)),'자료_한국심리'!$G2813,"")</f>
        <v/>
      </c>
      <c r="X2829">
        <f>IF(AND(ISNUMBER('자료_한국심리'!$J2813),ISNUMBER('자료_한국심리'!$K2813)),'자료_한국심리'!$J2813,"")</f>
        <v/>
      </c>
      <c r="Y2829">
        <f>IF(AND(ISNUMBER('자료_한국심리'!$M2813),ISNUMBER('자료_한국심리'!$N2813)),'자료_한국심리'!$M2813,"")</f>
        <v/>
      </c>
    </row>
    <row r="2830">
      <c r="U2830">
        <f>IF(AND(ISNUMBER('자료_한국심리'!$A2814),ISNUMBER('자료_한국심리'!$B2814)),'자료_한국심리'!$A2814,"")</f>
        <v/>
      </c>
      <c r="V2830">
        <f>IF(AND(ISNUMBER('자료_한국심리'!$D2814),ISNUMBER('자료_한국심리'!$E2814)),'자료_한국심리'!$D2814,"")</f>
        <v/>
      </c>
      <c r="W2830">
        <f>IF(AND(ISNUMBER('자료_한국심리'!$G2814),ISNUMBER('자료_한국심리'!$H2814)),'자료_한국심리'!$G2814,"")</f>
        <v/>
      </c>
      <c r="X2830">
        <f>IF(AND(ISNUMBER('자료_한국심리'!$J2814),ISNUMBER('자료_한국심리'!$K2814)),'자료_한국심리'!$J2814,"")</f>
        <v/>
      </c>
      <c r="Y2830">
        <f>IF(AND(ISNUMBER('자료_한국심리'!$M2814),ISNUMBER('자료_한국심리'!$N2814)),'자료_한국심리'!$M2814,"")</f>
        <v/>
      </c>
    </row>
    <row r="2831">
      <c r="U2831">
        <f>IF(AND(ISNUMBER('자료_한국심리'!$A2815),ISNUMBER('자료_한국심리'!$B2815)),'자료_한국심리'!$A2815,"")</f>
        <v/>
      </c>
      <c r="V2831">
        <f>IF(AND(ISNUMBER('자료_한국심리'!$D2815),ISNUMBER('자료_한국심리'!$E2815)),'자료_한국심리'!$D2815,"")</f>
        <v/>
      </c>
      <c r="W2831">
        <f>IF(AND(ISNUMBER('자료_한국심리'!$G2815),ISNUMBER('자료_한국심리'!$H2815)),'자료_한국심리'!$G2815,"")</f>
        <v/>
      </c>
      <c r="X2831">
        <f>IF(AND(ISNUMBER('자료_한국심리'!$J2815),ISNUMBER('자료_한국심리'!$K2815)),'자료_한국심리'!$J2815,"")</f>
        <v/>
      </c>
      <c r="Y2831">
        <f>IF(AND(ISNUMBER('자료_한국심리'!$M2815),ISNUMBER('자료_한국심리'!$N2815)),'자료_한국심리'!$M2815,"")</f>
        <v/>
      </c>
    </row>
    <row r="2832">
      <c r="U2832">
        <f>IF(AND(ISNUMBER('자료_한국심리'!$A2816),ISNUMBER('자료_한국심리'!$B2816)),'자료_한국심리'!$A2816,"")</f>
        <v/>
      </c>
      <c r="V2832">
        <f>IF(AND(ISNUMBER('자료_한국심리'!$D2816),ISNUMBER('자료_한국심리'!$E2816)),'자료_한국심리'!$D2816,"")</f>
        <v/>
      </c>
      <c r="W2832">
        <f>IF(AND(ISNUMBER('자료_한국심리'!$G2816),ISNUMBER('자료_한국심리'!$H2816)),'자료_한국심리'!$G2816,"")</f>
        <v/>
      </c>
      <c r="X2832">
        <f>IF(AND(ISNUMBER('자료_한국심리'!$J2816),ISNUMBER('자료_한국심리'!$K2816)),'자료_한국심리'!$J2816,"")</f>
        <v/>
      </c>
      <c r="Y2832">
        <f>IF(AND(ISNUMBER('자료_한국심리'!$M2816),ISNUMBER('자료_한국심리'!$N2816)),'자료_한국심리'!$M2816,"")</f>
        <v/>
      </c>
    </row>
    <row r="2833">
      <c r="U2833">
        <f>IF(AND(ISNUMBER('자료_한국심리'!$A2817),ISNUMBER('자료_한국심리'!$B2817)),'자료_한국심리'!$A2817,"")</f>
        <v/>
      </c>
      <c r="V2833">
        <f>IF(AND(ISNUMBER('자료_한국심리'!$D2817),ISNUMBER('자료_한국심리'!$E2817)),'자료_한국심리'!$D2817,"")</f>
        <v/>
      </c>
      <c r="W2833">
        <f>IF(AND(ISNUMBER('자료_한국심리'!$G2817),ISNUMBER('자료_한국심리'!$H2817)),'자료_한국심리'!$G2817,"")</f>
        <v/>
      </c>
      <c r="X2833">
        <f>IF(AND(ISNUMBER('자료_한국심리'!$J2817),ISNUMBER('자료_한국심리'!$K2817)),'자료_한국심리'!$J2817,"")</f>
        <v/>
      </c>
      <c r="Y2833">
        <f>IF(AND(ISNUMBER('자료_한국심리'!$M2817),ISNUMBER('자료_한국심리'!$N2817)),'자료_한국심리'!$M2817,"")</f>
        <v/>
      </c>
    </row>
    <row r="2834">
      <c r="U2834">
        <f>IF(AND(ISNUMBER('자료_한국심리'!$A2818),ISNUMBER('자료_한국심리'!$B2818)),'자료_한국심리'!$A2818,"")</f>
        <v/>
      </c>
      <c r="V2834">
        <f>IF(AND(ISNUMBER('자료_한국심리'!$D2818),ISNUMBER('자료_한국심리'!$E2818)),'자료_한국심리'!$D2818,"")</f>
        <v/>
      </c>
      <c r="W2834">
        <f>IF(AND(ISNUMBER('자료_한국심리'!$G2818),ISNUMBER('자료_한국심리'!$H2818)),'자료_한국심리'!$G2818,"")</f>
        <v/>
      </c>
      <c r="X2834">
        <f>IF(AND(ISNUMBER('자료_한국심리'!$J2818),ISNUMBER('자료_한국심리'!$K2818)),'자료_한국심리'!$J2818,"")</f>
        <v/>
      </c>
      <c r="Y2834">
        <f>IF(AND(ISNUMBER('자료_한국심리'!$M2818),ISNUMBER('자료_한국심리'!$N2818)),'자료_한국심리'!$M2818,"")</f>
        <v/>
      </c>
    </row>
    <row r="2835">
      <c r="U2835">
        <f>IF(AND(ISNUMBER('자료_한국심리'!$A2819),ISNUMBER('자료_한국심리'!$B2819)),'자료_한국심리'!$A2819,"")</f>
        <v/>
      </c>
      <c r="V2835">
        <f>IF(AND(ISNUMBER('자료_한국심리'!$D2819),ISNUMBER('자료_한국심리'!$E2819)),'자료_한국심리'!$D2819,"")</f>
        <v/>
      </c>
      <c r="W2835">
        <f>IF(AND(ISNUMBER('자료_한국심리'!$G2819),ISNUMBER('자료_한국심리'!$H2819)),'자료_한국심리'!$G2819,"")</f>
        <v/>
      </c>
      <c r="X2835">
        <f>IF(AND(ISNUMBER('자료_한국심리'!$J2819),ISNUMBER('자료_한국심리'!$K2819)),'자료_한국심리'!$J2819,"")</f>
        <v/>
      </c>
      <c r="Y2835">
        <f>IF(AND(ISNUMBER('자료_한국심리'!$M2819),ISNUMBER('자료_한국심리'!$N2819)),'자료_한국심리'!$M2819,"")</f>
        <v/>
      </c>
    </row>
    <row r="2836">
      <c r="U2836">
        <f>IF(AND(ISNUMBER('자료_한국심리'!$A2820),ISNUMBER('자료_한국심리'!$B2820)),'자료_한국심리'!$A2820,"")</f>
        <v/>
      </c>
      <c r="V2836">
        <f>IF(AND(ISNUMBER('자료_한국심리'!$D2820),ISNUMBER('자료_한국심리'!$E2820)),'자료_한국심리'!$D2820,"")</f>
        <v/>
      </c>
      <c r="W2836">
        <f>IF(AND(ISNUMBER('자료_한국심리'!$G2820),ISNUMBER('자료_한국심리'!$H2820)),'자료_한국심리'!$G2820,"")</f>
        <v/>
      </c>
      <c r="X2836">
        <f>IF(AND(ISNUMBER('자료_한국심리'!$J2820),ISNUMBER('자료_한국심리'!$K2820)),'자료_한국심리'!$J2820,"")</f>
        <v/>
      </c>
      <c r="Y2836">
        <f>IF(AND(ISNUMBER('자료_한국심리'!$M2820),ISNUMBER('자료_한국심리'!$N2820)),'자료_한국심리'!$M2820,"")</f>
        <v/>
      </c>
    </row>
    <row r="2837">
      <c r="U2837">
        <f>IF(AND(ISNUMBER('자료_한국심리'!$A2821),ISNUMBER('자료_한국심리'!$B2821)),'자료_한국심리'!$A2821,"")</f>
        <v/>
      </c>
      <c r="V2837">
        <f>IF(AND(ISNUMBER('자료_한국심리'!$D2821),ISNUMBER('자료_한국심리'!$E2821)),'자료_한국심리'!$D2821,"")</f>
        <v/>
      </c>
      <c r="W2837">
        <f>IF(AND(ISNUMBER('자료_한국심리'!$G2821),ISNUMBER('자료_한국심리'!$H2821)),'자료_한국심리'!$G2821,"")</f>
        <v/>
      </c>
      <c r="X2837">
        <f>IF(AND(ISNUMBER('자료_한국심리'!$J2821),ISNUMBER('자료_한국심리'!$K2821)),'자료_한국심리'!$J2821,"")</f>
        <v/>
      </c>
      <c r="Y2837">
        <f>IF(AND(ISNUMBER('자료_한국심리'!$M2821),ISNUMBER('자료_한국심리'!$N2821)),'자료_한국심리'!$M2821,"")</f>
        <v/>
      </c>
    </row>
    <row r="2838">
      <c r="U2838">
        <f>IF(AND(ISNUMBER('자료_한국심리'!$A2822),ISNUMBER('자료_한국심리'!$B2822)),'자료_한국심리'!$A2822,"")</f>
        <v/>
      </c>
      <c r="V2838">
        <f>IF(AND(ISNUMBER('자료_한국심리'!$D2822),ISNUMBER('자료_한국심리'!$E2822)),'자료_한국심리'!$D2822,"")</f>
        <v/>
      </c>
      <c r="W2838">
        <f>IF(AND(ISNUMBER('자료_한국심리'!$G2822),ISNUMBER('자료_한국심리'!$H2822)),'자료_한국심리'!$G2822,"")</f>
        <v/>
      </c>
      <c r="X2838">
        <f>IF(AND(ISNUMBER('자료_한국심리'!$J2822),ISNUMBER('자료_한국심리'!$K2822)),'자료_한국심리'!$J2822,"")</f>
        <v/>
      </c>
      <c r="Y2838">
        <f>IF(AND(ISNUMBER('자료_한국심리'!$M2822),ISNUMBER('자료_한국심리'!$N2822)),'자료_한국심리'!$M2822,"")</f>
        <v/>
      </c>
    </row>
    <row r="2839">
      <c r="U2839">
        <f>IF(AND(ISNUMBER('자료_한국심리'!$A2823),ISNUMBER('자료_한국심리'!$B2823)),'자료_한국심리'!$A2823,"")</f>
        <v/>
      </c>
      <c r="V2839">
        <f>IF(AND(ISNUMBER('자료_한국심리'!$D2823),ISNUMBER('자료_한국심리'!$E2823)),'자료_한국심리'!$D2823,"")</f>
        <v/>
      </c>
      <c r="W2839">
        <f>IF(AND(ISNUMBER('자료_한국심리'!$G2823),ISNUMBER('자료_한국심리'!$H2823)),'자료_한국심리'!$G2823,"")</f>
        <v/>
      </c>
      <c r="X2839">
        <f>IF(AND(ISNUMBER('자료_한국심리'!$J2823),ISNUMBER('자료_한국심리'!$K2823)),'자료_한국심리'!$J2823,"")</f>
        <v/>
      </c>
      <c r="Y2839">
        <f>IF(AND(ISNUMBER('자료_한국심리'!$M2823),ISNUMBER('자료_한국심리'!$N2823)),'자료_한국심리'!$M2823,"")</f>
        <v/>
      </c>
    </row>
    <row r="2840">
      <c r="U2840">
        <f>IF(AND(ISNUMBER('자료_한국심리'!$A2824),ISNUMBER('자료_한국심리'!$B2824)),'자료_한국심리'!$A2824,"")</f>
        <v/>
      </c>
      <c r="V2840">
        <f>IF(AND(ISNUMBER('자료_한국심리'!$D2824),ISNUMBER('자료_한국심리'!$E2824)),'자료_한국심리'!$D2824,"")</f>
        <v/>
      </c>
      <c r="W2840">
        <f>IF(AND(ISNUMBER('자료_한국심리'!$G2824),ISNUMBER('자료_한국심리'!$H2824)),'자료_한국심리'!$G2824,"")</f>
        <v/>
      </c>
      <c r="X2840">
        <f>IF(AND(ISNUMBER('자료_한국심리'!$J2824),ISNUMBER('자료_한국심리'!$K2824)),'자료_한국심리'!$J2824,"")</f>
        <v/>
      </c>
      <c r="Y2840">
        <f>IF(AND(ISNUMBER('자료_한국심리'!$M2824),ISNUMBER('자료_한국심리'!$N2824)),'자료_한국심리'!$M2824,"")</f>
        <v/>
      </c>
    </row>
    <row r="2841">
      <c r="U2841">
        <f>IF(AND(ISNUMBER('자료_한국심리'!$A2825),ISNUMBER('자료_한국심리'!$B2825)),'자료_한국심리'!$A2825,"")</f>
        <v/>
      </c>
      <c r="V2841">
        <f>IF(AND(ISNUMBER('자료_한국심리'!$D2825),ISNUMBER('자료_한국심리'!$E2825)),'자료_한국심리'!$D2825,"")</f>
        <v/>
      </c>
      <c r="W2841">
        <f>IF(AND(ISNUMBER('자료_한국심리'!$G2825),ISNUMBER('자료_한국심리'!$H2825)),'자료_한국심리'!$G2825,"")</f>
        <v/>
      </c>
      <c r="X2841">
        <f>IF(AND(ISNUMBER('자료_한국심리'!$J2825),ISNUMBER('자료_한국심리'!$K2825)),'자료_한국심리'!$J2825,"")</f>
        <v/>
      </c>
      <c r="Y2841">
        <f>IF(AND(ISNUMBER('자료_한국심리'!$M2825),ISNUMBER('자료_한국심리'!$N2825)),'자료_한국심리'!$M2825,"")</f>
        <v/>
      </c>
    </row>
    <row r="2842">
      <c r="U2842">
        <f>IF(AND(ISNUMBER('자료_한국심리'!$A2826),ISNUMBER('자료_한국심리'!$B2826)),'자료_한국심리'!$A2826,"")</f>
        <v/>
      </c>
      <c r="V2842">
        <f>IF(AND(ISNUMBER('자료_한국심리'!$D2826),ISNUMBER('자료_한국심리'!$E2826)),'자료_한국심리'!$D2826,"")</f>
        <v/>
      </c>
      <c r="W2842">
        <f>IF(AND(ISNUMBER('자료_한국심리'!$G2826),ISNUMBER('자료_한국심리'!$H2826)),'자료_한국심리'!$G2826,"")</f>
        <v/>
      </c>
      <c r="X2842">
        <f>IF(AND(ISNUMBER('자료_한국심리'!$J2826),ISNUMBER('자료_한국심리'!$K2826)),'자료_한국심리'!$J2826,"")</f>
        <v/>
      </c>
      <c r="Y2842">
        <f>IF(AND(ISNUMBER('자료_한국심리'!$M2826),ISNUMBER('자료_한국심리'!$N2826)),'자료_한국심리'!$M2826,"")</f>
        <v/>
      </c>
    </row>
    <row r="2843">
      <c r="U2843">
        <f>IF(AND(ISNUMBER('자료_한국심리'!$A2827),ISNUMBER('자료_한국심리'!$B2827)),'자료_한국심리'!$A2827,"")</f>
        <v/>
      </c>
      <c r="V2843">
        <f>IF(AND(ISNUMBER('자료_한국심리'!$D2827),ISNUMBER('자료_한국심리'!$E2827)),'자료_한국심리'!$D2827,"")</f>
        <v/>
      </c>
      <c r="W2843">
        <f>IF(AND(ISNUMBER('자료_한국심리'!$G2827),ISNUMBER('자료_한국심리'!$H2827)),'자료_한국심리'!$G2827,"")</f>
        <v/>
      </c>
      <c r="X2843">
        <f>IF(AND(ISNUMBER('자료_한국심리'!$J2827),ISNUMBER('자료_한국심리'!$K2827)),'자료_한국심리'!$J2827,"")</f>
        <v/>
      </c>
      <c r="Y2843">
        <f>IF(AND(ISNUMBER('자료_한국심리'!$M2827),ISNUMBER('자료_한국심리'!$N2827)),'자료_한국심리'!$M2827,"")</f>
        <v/>
      </c>
    </row>
    <row r="2844">
      <c r="U2844">
        <f>IF(AND(ISNUMBER('자료_한국심리'!$A2828),ISNUMBER('자료_한국심리'!$B2828)),'자료_한국심리'!$A2828,"")</f>
        <v/>
      </c>
      <c r="V2844">
        <f>IF(AND(ISNUMBER('자료_한국심리'!$D2828),ISNUMBER('자료_한국심리'!$E2828)),'자료_한국심리'!$D2828,"")</f>
        <v/>
      </c>
      <c r="W2844">
        <f>IF(AND(ISNUMBER('자료_한국심리'!$G2828),ISNUMBER('자료_한국심리'!$H2828)),'자료_한국심리'!$G2828,"")</f>
        <v/>
      </c>
      <c r="X2844">
        <f>IF(AND(ISNUMBER('자료_한국심리'!$J2828),ISNUMBER('자료_한국심리'!$K2828)),'자료_한국심리'!$J2828,"")</f>
        <v/>
      </c>
      <c r="Y2844">
        <f>IF(AND(ISNUMBER('자료_한국심리'!$M2828),ISNUMBER('자료_한국심리'!$N2828)),'자료_한국심리'!$M2828,"")</f>
        <v/>
      </c>
    </row>
    <row r="2845">
      <c r="U2845">
        <f>IF(AND(ISNUMBER('자료_한국심리'!$A2829),ISNUMBER('자료_한국심리'!$B2829)),'자료_한국심리'!$A2829,"")</f>
        <v/>
      </c>
      <c r="V2845">
        <f>IF(AND(ISNUMBER('자료_한국심리'!$D2829),ISNUMBER('자료_한국심리'!$E2829)),'자료_한국심리'!$D2829,"")</f>
        <v/>
      </c>
      <c r="W2845">
        <f>IF(AND(ISNUMBER('자료_한국심리'!$G2829),ISNUMBER('자료_한국심리'!$H2829)),'자료_한국심리'!$G2829,"")</f>
        <v/>
      </c>
      <c r="X2845">
        <f>IF(AND(ISNUMBER('자료_한국심리'!$J2829),ISNUMBER('자료_한국심리'!$K2829)),'자료_한국심리'!$J2829,"")</f>
        <v/>
      </c>
      <c r="Y2845">
        <f>IF(AND(ISNUMBER('자료_한국심리'!$M2829),ISNUMBER('자료_한국심리'!$N2829)),'자료_한국심리'!$M2829,"")</f>
        <v/>
      </c>
    </row>
    <row r="2846">
      <c r="U2846">
        <f>IF(AND(ISNUMBER('자료_한국심리'!$A2830),ISNUMBER('자료_한국심리'!$B2830)),'자료_한국심리'!$A2830,"")</f>
        <v/>
      </c>
      <c r="V2846">
        <f>IF(AND(ISNUMBER('자료_한국심리'!$D2830),ISNUMBER('자료_한국심리'!$E2830)),'자료_한국심리'!$D2830,"")</f>
        <v/>
      </c>
      <c r="W2846">
        <f>IF(AND(ISNUMBER('자료_한국심리'!$G2830),ISNUMBER('자료_한국심리'!$H2830)),'자료_한국심리'!$G2830,"")</f>
        <v/>
      </c>
      <c r="X2846">
        <f>IF(AND(ISNUMBER('자료_한국심리'!$J2830),ISNUMBER('자료_한국심리'!$K2830)),'자료_한국심리'!$J2830,"")</f>
        <v/>
      </c>
      <c r="Y2846">
        <f>IF(AND(ISNUMBER('자료_한국심리'!$M2830),ISNUMBER('자료_한국심리'!$N2830)),'자료_한국심리'!$M2830,"")</f>
        <v/>
      </c>
    </row>
    <row r="2847">
      <c r="U2847">
        <f>IF(AND(ISNUMBER('자료_한국심리'!$A2831),ISNUMBER('자료_한국심리'!$B2831)),'자료_한국심리'!$A2831,"")</f>
        <v/>
      </c>
      <c r="V2847">
        <f>IF(AND(ISNUMBER('자료_한국심리'!$D2831),ISNUMBER('자료_한국심리'!$E2831)),'자료_한국심리'!$D2831,"")</f>
        <v/>
      </c>
      <c r="W2847">
        <f>IF(AND(ISNUMBER('자료_한국심리'!$G2831),ISNUMBER('자료_한국심리'!$H2831)),'자료_한국심리'!$G2831,"")</f>
        <v/>
      </c>
      <c r="X2847">
        <f>IF(AND(ISNUMBER('자료_한국심리'!$J2831),ISNUMBER('자료_한국심리'!$K2831)),'자료_한국심리'!$J2831,"")</f>
        <v/>
      </c>
      <c r="Y2847">
        <f>IF(AND(ISNUMBER('자료_한국심리'!$M2831),ISNUMBER('자료_한국심리'!$N2831)),'자료_한국심리'!$M2831,"")</f>
        <v/>
      </c>
    </row>
    <row r="2848">
      <c r="U2848">
        <f>IF(AND(ISNUMBER('자료_한국심리'!$A2832),ISNUMBER('자료_한국심리'!$B2832)),'자료_한국심리'!$A2832,"")</f>
        <v/>
      </c>
      <c r="V2848">
        <f>IF(AND(ISNUMBER('자료_한국심리'!$D2832),ISNUMBER('자료_한국심리'!$E2832)),'자료_한국심리'!$D2832,"")</f>
        <v/>
      </c>
      <c r="W2848">
        <f>IF(AND(ISNUMBER('자료_한국심리'!$G2832),ISNUMBER('자료_한국심리'!$H2832)),'자료_한국심리'!$G2832,"")</f>
        <v/>
      </c>
      <c r="X2848">
        <f>IF(AND(ISNUMBER('자료_한국심리'!$J2832),ISNUMBER('자료_한국심리'!$K2832)),'자료_한국심리'!$J2832,"")</f>
        <v/>
      </c>
      <c r="Y2848">
        <f>IF(AND(ISNUMBER('자료_한국심리'!$M2832),ISNUMBER('자료_한국심리'!$N2832)),'자료_한국심리'!$M2832,"")</f>
        <v/>
      </c>
    </row>
    <row r="2849">
      <c r="U2849">
        <f>IF(AND(ISNUMBER('자료_한국심리'!$A2833),ISNUMBER('자료_한국심리'!$B2833)),'자료_한국심리'!$A2833,"")</f>
        <v/>
      </c>
      <c r="V2849">
        <f>IF(AND(ISNUMBER('자료_한국심리'!$D2833),ISNUMBER('자료_한국심리'!$E2833)),'자료_한국심리'!$D2833,"")</f>
        <v/>
      </c>
      <c r="W2849">
        <f>IF(AND(ISNUMBER('자료_한국심리'!$G2833),ISNUMBER('자료_한국심리'!$H2833)),'자료_한국심리'!$G2833,"")</f>
        <v/>
      </c>
      <c r="X2849">
        <f>IF(AND(ISNUMBER('자료_한국심리'!$J2833),ISNUMBER('자료_한국심리'!$K2833)),'자료_한국심리'!$J2833,"")</f>
        <v/>
      </c>
      <c r="Y2849">
        <f>IF(AND(ISNUMBER('자료_한국심리'!$M2833),ISNUMBER('자료_한국심리'!$N2833)),'자료_한국심리'!$M2833,"")</f>
        <v/>
      </c>
    </row>
    <row r="2850">
      <c r="U2850">
        <f>IF(AND(ISNUMBER('자료_한국심리'!$A2834),ISNUMBER('자료_한국심리'!$B2834)),'자료_한국심리'!$A2834,"")</f>
        <v/>
      </c>
      <c r="V2850">
        <f>IF(AND(ISNUMBER('자료_한국심리'!$D2834),ISNUMBER('자료_한국심리'!$E2834)),'자료_한국심리'!$D2834,"")</f>
        <v/>
      </c>
      <c r="W2850">
        <f>IF(AND(ISNUMBER('자료_한국심리'!$G2834),ISNUMBER('자료_한국심리'!$H2834)),'자료_한국심리'!$G2834,"")</f>
        <v/>
      </c>
      <c r="X2850">
        <f>IF(AND(ISNUMBER('자료_한국심리'!$J2834),ISNUMBER('자료_한국심리'!$K2834)),'자료_한국심리'!$J2834,"")</f>
        <v/>
      </c>
      <c r="Y2850">
        <f>IF(AND(ISNUMBER('자료_한국심리'!$M2834),ISNUMBER('자료_한국심리'!$N2834)),'자료_한국심리'!$M2834,"")</f>
        <v/>
      </c>
    </row>
    <row r="2851">
      <c r="U2851">
        <f>IF(AND(ISNUMBER('자료_한국심리'!$A2835),ISNUMBER('자료_한국심리'!$B2835)),'자료_한국심리'!$A2835,"")</f>
        <v/>
      </c>
      <c r="V2851">
        <f>IF(AND(ISNUMBER('자료_한국심리'!$D2835),ISNUMBER('자료_한국심리'!$E2835)),'자료_한국심리'!$D2835,"")</f>
        <v/>
      </c>
      <c r="W2851">
        <f>IF(AND(ISNUMBER('자료_한국심리'!$G2835),ISNUMBER('자료_한국심리'!$H2835)),'자료_한국심리'!$G2835,"")</f>
        <v/>
      </c>
      <c r="X2851">
        <f>IF(AND(ISNUMBER('자료_한국심리'!$J2835),ISNUMBER('자료_한국심리'!$K2835)),'자료_한국심리'!$J2835,"")</f>
        <v/>
      </c>
      <c r="Y2851">
        <f>IF(AND(ISNUMBER('자료_한국심리'!$M2835),ISNUMBER('자료_한국심리'!$N2835)),'자료_한국심리'!$M2835,"")</f>
        <v/>
      </c>
    </row>
    <row r="2852">
      <c r="U2852">
        <f>IF(AND(ISNUMBER('자료_한국심리'!$A2836),ISNUMBER('자료_한국심리'!$B2836)),'자료_한국심리'!$A2836,"")</f>
        <v/>
      </c>
      <c r="V2852">
        <f>IF(AND(ISNUMBER('자료_한국심리'!$D2836),ISNUMBER('자료_한국심리'!$E2836)),'자료_한국심리'!$D2836,"")</f>
        <v/>
      </c>
      <c r="W2852">
        <f>IF(AND(ISNUMBER('자료_한국심리'!$G2836),ISNUMBER('자료_한국심리'!$H2836)),'자료_한국심리'!$G2836,"")</f>
        <v/>
      </c>
      <c r="X2852">
        <f>IF(AND(ISNUMBER('자료_한국심리'!$J2836),ISNUMBER('자료_한국심리'!$K2836)),'자료_한국심리'!$J2836,"")</f>
        <v/>
      </c>
      <c r="Y2852">
        <f>IF(AND(ISNUMBER('자료_한국심리'!$M2836),ISNUMBER('자료_한국심리'!$N2836)),'자료_한국심리'!$M2836,"")</f>
        <v/>
      </c>
    </row>
    <row r="2853">
      <c r="U2853">
        <f>IF(AND(ISNUMBER('자료_한국심리'!$A2837),ISNUMBER('자료_한국심리'!$B2837)),'자료_한국심리'!$A2837,"")</f>
        <v/>
      </c>
      <c r="V2853">
        <f>IF(AND(ISNUMBER('자료_한국심리'!$D2837),ISNUMBER('자료_한국심리'!$E2837)),'자료_한국심리'!$D2837,"")</f>
        <v/>
      </c>
      <c r="W2853">
        <f>IF(AND(ISNUMBER('자료_한국심리'!$G2837),ISNUMBER('자료_한국심리'!$H2837)),'자료_한국심리'!$G2837,"")</f>
        <v/>
      </c>
      <c r="X2853">
        <f>IF(AND(ISNUMBER('자료_한국심리'!$J2837),ISNUMBER('자료_한국심리'!$K2837)),'자료_한국심리'!$J2837,"")</f>
        <v/>
      </c>
      <c r="Y2853">
        <f>IF(AND(ISNUMBER('자료_한국심리'!$M2837),ISNUMBER('자료_한국심리'!$N2837)),'자료_한국심리'!$M2837,"")</f>
        <v/>
      </c>
    </row>
    <row r="2854">
      <c r="U2854">
        <f>IF(AND(ISNUMBER('자료_한국심리'!$A2838),ISNUMBER('자료_한국심리'!$B2838)),'자료_한국심리'!$A2838,"")</f>
        <v/>
      </c>
      <c r="V2854">
        <f>IF(AND(ISNUMBER('자료_한국심리'!$D2838),ISNUMBER('자료_한국심리'!$E2838)),'자료_한국심리'!$D2838,"")</f>
        <v/>
      </c>
      <c r="W2854">
        <f>IF(AND(ISNUMBER('자료_한국심리'!$G2838),ISNUMBER('자료_한국심리'!$H2838)),'자료_한국심리'!$G2838,"")</f>
        <v/>
      </c>
      <c r="X2854">
        <f>IF(AND(ISNUMBER('자료_한국심리'!$J2838),ISNUMBER('자료_한국심리'!$K2838)),'자료_한국심리'!$J2838,"")</f>
        <v/>
      </c>
      <c r="Y2854">
        <f>IF(AND(ISNUMBER('자료_한국심리'!$M2838),ISNUMBER('자료_한국심리'!$N2838)),'자료_한국심리'!$M2838,"")</f>
        <v/>
      </c>
    </row>
    <row r="2855">
      <c r="U2855">
        <f>IF(AND(ISNUMBER('자료_한국심리'!$A2839),ISNUMBER('자료_한국심리'!$B2839)),'자료_한국심리'!$A2839,"")</f>
        <v/>
      </c>
      <c r="V2855">
        <f>IF(AND(ISNUMBER('자료_한국심리'!$D2839),ISNUMBER('자료_한국심리'!$E2839)),'자료_한국심리'!$D2839,"")</f>
        <v/>
      </c>
      <c r="W2855">
        <f>IF(AND(ISNUMBER('자료_한국심리'!$G2839),ISNUMBER('자료_한국심리'!$H2839)),'자료_한국심리'!$G2839,"")</f>
        <v/>
      </c>
      <c r="X2855">
        <f>IF(AND(ISNUMBER('자료_한국심리'!$J2839),ISNUMBER('자료_한국심리'!$K2839)),'자료_한국심리'!$J2839,"")</f>
        <v/>
      </c>
      <c r="Y2855">
        <f>IF(AND(ISNUMBER('자료_한국심리'!$M2839),ISNUMBER('자료_한국심리'!$N2839)),'자료_한국심리'!$M2839,"")</f>
        <v/>
      </c>
    </row>
    <row r="2856">
      <c r="U2856">
        <f>IF(AND(ISNUMBER('자료_한국심리'!$A2840),ISNUMBER('자료_한국심리'!$B2840)),'자료_한국심리'!$A2840,"")</f>
        <v/>
      </c>
      <c r="V2856">
        <f>IF(AND(ISNUMBER('자료_한국심리'!$D2840),ISNUMBER('자료_한국심리'!$E2840)),'자료_한국심리'!$D2840,"")</f>
        <v/>
      </c>
      <c r="W2856">
        <f>IF(AND(ISNUMBER('자료_한국심리'!$G2840),ISNUMBER('자료_한국심리'!$H2840)),'자료_한국심리'!$G2840,"")</f>
        <v/>
      </c>
      <c r="X2856">
        <f>IF(AND(ISNUMBER('자료_한국심리'!$J2840),ISNUMBER('자료_한국심리'!$K2840)),'자료_한국심리'!$J2840,"")</f>
        <v/>
      </c>
      <c r="Y2856">
        <f>IF(AND(ISNUMBER('자료_한국심리'!$M2840),ISNUMBER('자료_한국심리'!$N2840)),'자료_한국심리'!$M2840,"")</f>
        <v/>
      </c>
    </row>
    <row r="2857">
      <c r="U2857">
        <f>IF(AND(ISNUMBER('자료_한국심리'!$A2841),ISNUMBER('자료_한국심리'!$B2841)),'자료_한국심리'!$A2841,"")</f>
        <v/>
      </c>
      <c r="V2857">
        <f>IF(AND(ISNUMBER('자료_한국심리'!$D2841),ISNUMBER('자료_한국심리'!$E2841)),'자료_한국심리'!$D2841,"")</f>
        <v/>
      </c>
      <c r="W2857">
        <f>IF(AND(ISNUMBER('자료_한국심리'!$G2841),ISNUMBER('자료_한국심리'!$H2841)),'자료_한국심리'!$G2841,"")</f>
        <v/>
      </c>
      <c r="X2857">
        <f>IF(AND(ISNUMBER('자료_한국심리'!$J2841),ISNUMBER('자료_한국심리'!$K2841)),'자료_한국심리'!$J2841,"")</f>
        <v/>
      </c>
      <c r="Y2857">
        <f>IF(AND(ISNUMBER('자료_한국심리'!$M2841),ISNUMBER('자료_한국심리'!$N2841)),'자료_한국심리'!$M2841,"")</f>
        <v/>
      </c>
    </row>
    <row r="2858">
      <c r="U2858">
        <f>IF(AND(ISNUMBER('자료_한국심리'!$A2842),ISNUMBER('자료_한국심리'!$B2842)),'자료_한국심리'!$A2842,"")</f>
        <v/>
      </c>
      <c r="V2858">
        <f>IF(AND(ISNUMBER('자료_한국심리'!$D2842),ISNUMBER('자료_한국심리'!$E2842)),'자료_한국심리'!$D2842,"")</f>
        <v/>
      </c>
      <c r="W2858">
        <f>IF(AND(ISNUMBER('자료_한국심리'!$G2842),ISNUMBER('자료_한국심리'!$H2842)),'자료_한국심리'!$G2842,"")</f>
        <v/>
      </c>
      <c r="X2858">
        <f>IF(AND(ISNUMBER('자료_한국심리'!$J2842),ISNUMBER('자료_한국심리'!$K2842)),'자료_한국심리'!$J2842,"")</f>
        <v/>
      </c>
      <c r="Y2858">
        <f>IF(AND(ISNUMBER('자료_한국심리'!$M2842),ISNUMBER('자료_한국심리'!$N2842)),'자료_한국심리'!$M2842,"")</f>
        <v/>
      </c>
    </row>
    <row r="2859">
      <c r="U2859">
        <f>IF(AND(ISNUMBER('자료_한국심리'!$A2843),ISNUMBER('자료_한국심리'!$B2843)),'자료_한국심리'!$A2843,"")</f>
        <v/>
      </c>
      <c r="V2859">
        <f>IF(AND(ISNUMBER('자료_한국심리'!$D2843),ISNUMBER('자료_한국심리'!$E2843)),'자료_한국심리'!$D2843,"")</f>
        <v/>
      </c>
      <c r="W2859">
        <f>IF(AND(ISNUMBER('자료_한국심리'!$G2843),ISNUMBER('자료_한국심리'!$H2843)),'자료_한국심리'!$G2843,"")</f>
        <v/>
      </c>
      <c r="X2859">
        <f>IF(AND(ISNUMBER('자료_한국심리'!$J2843),ISNUMBER('자료_한국심리'!$K2843)),'자료_한국심리'!$J2843,"")</f>
        <v/>
      </c>
      <c r="Y2859">
        <f>IF(AND(ISNUMBER('자료_한국심리'!$M2843),ISNUMBER('자료_한국심리'!$N2843)),'자료_한국심리'!$M2843,"")</f>
        <v/>
      </c>
    </row>
    <row r="2860">
      <c r="U2860">
        <f>IF(AND(ISNUMBER('자료_한국심리'!$A2844),ISNUMBER('자료_한국심리'!$B2844)),'자료_한국심리'!$A2844,"")</f>
        <v/>
      </c>
      <c r="V2860">
        <f>IF(AND(ISNUMBER('자료_한국심리'!$D2844),ISNUMBER('자료_한국심리'!$E2844)),'자료_한국심리'!$D2844,"")</f>
        <v/>
      </c>
      <c r="W2860">
        <f>IF(AND(ISNUMBER('자료_한국심리'!$G2844),ISNUMBER('자료_한국심리'!$H2844)),'자료_한국심리'!$G2844,"")</f>
        <v/>
      </c>
      <c r="X2860">
        <f>IF(AND(ISNUMBER('자료_한국심리'!$J2844),ISNUMBER('자료_한국심리'!$K2844)),'자료_한국심리'!$J2844,"")</f>
        <v/>
      </c>
      <c r="Y2860">
        <f>IF(AND(ISNUMBER('자료_한국심리'!$M2844),ISNUMBER('자료_한국심리'!$N2844)),'자료_한국심리'!$M2844,"")</f>
        <v/>
      </c>
    </row>
    <row r="2861">
      <c r="U2861">
        <f>IF(AND(ISNUMBER('자료_한국심리'!$A2845),ISNUMBER('자료_한국심리'!$B2845)),'자료_한국심리'!$A2845,"")</f>
        <v/>
      </c>
      <c r="V2861">
        <f>IF(AND(ISNUMBER('자료_한국심리'!$D2845),ISNUMBER('자료_한국심리'!$E2845)),'자료_한국심리'!$D2845,"")</f>
        <v/>
      </c>
      <c r="W2861">
        <f>IF(AND(ISNUMBER('자료_한국심리'!$G2845),ISNUMBER('자료_한국심리'!$H2845)),'자료_한국심리'!$G2845,"")</f>
        <v/>
      </c>
      <c r="X2861">
        <f>IF(AND(ISNUMBER('자료_한국심리'!$J2845),ISNUMBER('자료_한국심리'!$K2845)),'자료_한국심리'!$J2845,"")</f>
        <v/>
      </c>
      <c r="Y2861">
        <f>IF(AND(ISNUMBER('자료_한국심리'!$M2845),ISNUMBER('자료_한국심리'!$N2845)),'자료_한국심리'!$M2845,"")</f>
        <v/>
      </c>
    </row>
    <row r="2862">
      <c r="U2862">
        <f>IF(AND(ISNUMBER('자료_한국심리'!$A2846),ISNUMBER('자료_한국심리'!$B2846)),'자료_한국심리'!$A2846,"")</f>
        <v/>
      </c>
      <c r="V2862">
        <f>IF(AND(ISNUMBER('자료_한국심리'!$D2846),ISNUMBER('자료_한국심리'!$E2846)),'자료_한국심리'!$D2846,"")</f>
        <v/>
      </c>
      <c r="W2862">
        <f>IF(AND(ISNUMBER('자료_한국심리'!$G2846),ISNUMBER('자료_한국심리'!$H2846)),'자료_한국심리'!$G2846,"")</f>
        <v/>
      </c>
      <c r="X2862">
        <f>IF(AND(ISNUMBER('자료_한국심리'!$J2846),ISNUMBER('자료_한국심리'!$K2846)),'자료_한국심리'!$J2846,"")</f>
        <v/>
      </c>
      <c r="Y2862">
        <f>IF(AND(ISNUMBER('자료_한국심리'!$M2846),ISNUMBER('자료_한국심리'!$N2846)),'자료_한국심리'!$M2846,"")</f>
        <v/>
      </c>
    </row>
    <row r="2863">
      <c r="U2863">
        <f>IF(AND(ISNUMBER('자료_한국심리'!$A2847),ISNUMBER('자료_한국심리'!$B2847)),'자료_한국심리'!$A2847,"")</f>
        <v/>
      </c>
      <c r="V2863">
        <f>IF(AND(ISNUMBER('자료_한국심리'!$D2847),ISNUMBER('자료_한국심리'!$E2847)),'자료_한국심리'!$D2847,"")</f>
        <v/>
      </c>
      <c r="W2863">
        <f>IF(AND(ISNUMBER('자료_한국심리'!$G2847),ISNUMBER('자료_한국심리'!$H2847)),'자료_한국심리'!$G2847,"")</f>
        <v/>
      </c>
      <c r="X2863">
        <f>IF(AND(ISNUMBER('자료_한국심리'!$J2847),ISNUMBER('자료_한국심리'!$K2847)),'자료_한국심리'!$J2847,"")</f>
        <v/>
      </c>
      <c r="Y2863">
        <f>IF(AND(ISNUMBER('자료_한국심리'!$M2847),ISNUMBER('자료_한국심리'!$N2847)),'자료_한국심리'!$M2847,"")</f>
        <v/>
      </c>
    </row>
    <row r="2864">
      <c r="U2864">
        <f>IF(AND(ISNUMBER('자료_한국심리'!$A2848),ISNUMBER('자료_한국심리'!$B2848)),'자료_한국심리'!$A2848,"")</f>
        <v/>
      </c>
      <c r="V2864">
        <f>IF(AND(ISNUMBER('자료_한국심리'!$D2848),ISNUMBER('자료_한국심리'!$E2848)),'자료_한국심리'!$D2848,"")</f>
        <v/>
      </c>
      <c r="W2864">
        <f>IF(AND(ISNUMBER('자료_한국심리'!$G2848),ISNUMBER('자료_한국심리'!$H2848)),'자료_한국심리'!$G2848,"")</f>
        <v/>
      </c>
      <c r="X2864">
        <f>IF(AND(ISNUMBER('자료_한국심리'!$J2848),ISNUMBER('자료_한국심리'!$K2848)),'자료_한국심리'!$J2848,"")</f>
        <v/>
      </c>
      <c r="Y2864">
        <f>IF(AND(ISNUMBER('자료_한국심리'!$M2848),ISNUMBER('자료_한국심리'!$N2848)),'자료_한국심리'!$M2848,"")</f>
        <v/>
      </c>
    </row>
    <row r="2865">
      <c r="U2865">
        <f>IF(AND(ISNUMBER('자료_한국심리'!$A2849),ISNUMBER('자료_한국심리'!$B2849)),'자료_한국심리'!$A2849,"")</f>
        <v/>
      </c>
      <c r="V2865">
        <f>IF(AND(ISNUMBER('자료_한국심리'!$D2849),ISNUMBER('자료_한국심리'!$E2849)),'자료_한국심리'!$D2849,"")</f>
        <v/>
      </c>
      <c r="W2865">
        <f>IF(AND(ISNUMBER('자료_한국심리'!$G2849),ISNUMBER('자료_한국심리'!$H2849)),'자료_한국심리'!$G2849,"")</f>
        <v/>
      </c>
      <c r="X2865">
        <f>IF(AND(ISNUMBER('자료_한국심리'!$J2849),ISNUMBER('자료_한국심리'!$K2849)),'자료_한국심리'!$J2849,"")</f>
        <v/>
      </c>
      <c r="Y2865">
        <f>IF(AND(ISNUMBER('자료_한국심리'!$M2849),ISNUMBER('자료_한국심리'!$N2849)),'자료_한국심리'!$M2849,"")</f>
        <v/>
      </c>
    </row>
    <row r="2866">
      <c r="U2866">
        <f>IF(AND(ISNUMBER('자료_한국심리'!$A2850),ISNUMBER('자료_한국심리'!$B2850)),'자료_한국심리'!$A2850,"")</f>
        <v/>
      </c>
      <c r="V2866">
        <f>IF(AND(ISNUMBER('자료_한국심리'!$D2850),ISNUMBER('자료_한국심리'!$E2850)),'자료_한국심리'!$D2850,"")</f>
        <v/>
      </c>
      <c r="W2866">
        <f>IF(AND(ISNUMBER('자료_한국심리'!$G2850),ISNUMBER('자료_한국심리'!$H2850)),'자료_한국심리'!$G2850,"")</f>
        <v/>
      </c>
      <c r="X2866">
        <f>IF(AND(ISNUMBER('자료_한국심리'!$J2850),ISNUMBER('자료_한국심리'!$K2850)),'자료_한국심리'!$J2850,"")</f>
        <v/>
      </c>
      <c r="Y2866">
        <f>IF(AND(ISNUMBER('자료_한국심리'!$M2850),ISNUMBER('자료_한국심리'!$N2850)),'자료_한국심리'!$M2850,"")</f>
        <v/>
      </c>
    </row>
    <row r="2867">
      <c r="U2867">
        <f>IF(AND(ISNUMBER('자료_한국심리'!$A2851),ISNUMBER('자료_한국심리'!$B2851)),'자료_한국심리'!$A2851,"")</f>
        <v/>
      </c>
      <c r="V2867">
        <f>IF(AND(ISNUMBER('자료_한국심리'!$D2851),ISNUMBER('자료_한국심리'!$E2851)),'자료_한국심리'!$D2851,"")</f>
        <v/>
      </c>
      <c r="W2867">
        <f>IF(AND(ISNUMBER('자료_한국심리'!$G2851),ISNUMBER('자료_한국심리'!$H2851)),'자료_한국심리'!$G2851,"")</f>
        <v/>
      </c>
      <c r="X2867">
        <f>IF(AND(ISNUMBER('자료_한국심리'!$J2851),ISNUMBER('자료_한국심리'!$K2851)),'자료_한국심리'!$J2851,"")</f>
        <v/>
      </c>
      <c r="Y2867">
        <f>IF(AND(ISNUMBER('자료_한국심리'!$M2851),ISNUMBER('자료_한국심리'!$N2851)),'자료_한국심리'!$M2851,"")</f>
        <v/>
      </c>
    </row>
    <row r="2868">
      <c r="U2868">
        <f>IF(AND(ISNUMBER('자료_한국심리'!$A2852),ISNUMBER('자료_한국심리'!$B2852)),'자료_한국심리'!$A2852,"")</f>
        <v/>
      </c>
      <c r="V2868">
        <f>IF(AND(ISNUMBER('자료_한국심리'!$D2852),ISNUMBER('자료_한국심리'!$E2852)),'자료_한국심리'!$D2852,"")</f>
        <v/>
      </c>
      <c r="W2868">
        <f>IF(AND(ISNUMBER('자료_한국심리'!$G2852),ISNUMBER('자료_한국심리'!$H2852)),'자료_한국심리'!$G2852,"")</f>
        <v/>
      </c>
      <c r="X2868">
        <f>IF(AND(ISNUMBER('자료_한국심리'!$J2852),ISNUMBER('자료_한국심리'!$K2852)),'자료_한국심리'!$J2852,"")</f>
        <v/>
      </c>
      <c r="Y2868">
        <f>IF(AND(ISNUMBER('자료_한국심리'!$M2852),ISNUMBER('자료_한국심리'!$N2852)),'자료_한국심리'!$M2852,"")</f>
        <v/>
      </c>
    </row>
    <row r="2869">
      <c r="U2869">
        <f>IF(AND(ISNUMBER('자료_한국심리'!$A2853),ISNUMBER('자료_한국심리'!$B2853)),'자료_한국심리'!$A2853,"")</f>
        <v/>
      </c>
      <c r="V2869">
        <f>IF(AND(ISNUMBER('자료_한국심리'!$D2853),ISNUMBER('자료_한국심리'!$E2853)),'자료_한국심리'!$D2853,"")</f>
        <v/>
      </c>
      <c r="W2869">
        <f>IF(AND(ISNUMBER('자료_한국심리'!$G2853),ISNUMBER('자료_한국심리'!$H2853)),'자료_한국심리'!$G2853,"")</f>
        <v/>
      </c>
      <c r="X2869">
        <f>IF(AND(ISNUMBER('자료_한국심리'!$J2853),ISNUMBER('자료_한국심리'!$K2853)),'자료_한국심리'!$J2853,"")</f>
        <v/>
      </c>
      <c r="Y2869">
        <f>IF(AND(ISNUMBER('자료_한국심리'!$M2853),ISNUMBER('자료_한국심리'!$N2853)),'자료_한국심리'!$M2853,"")</f>
        <v/>
      </c>
    </row>
    <row r="2870">
      <c r="U2870">
        <f>IF(AND(ISNUMBER('자료_한국심리'!$A2854),ISNUMBER('자료_한국심리'!$B2854)),'자료_한국심리'!$A2854,"")</f>
        <v/>
      </c>
      <c r="V2870">
        <f>IF(AND(ISNUMBER('자료_한국심리'!$D2854),ISNUMBER('자료_한국심리'!$E2854)),'자료_한국심리'!$D2854,"")</f>
        <v/>
      </c>
      <c r="W2870">
        <f>IF(AND(ISNUMBER('자료_한국심리'!$G2854),ISNUMBER('자료_한국심리'!$H2854)),'자료_한국심리'!$G2854,"")</f>
        <v/>
      </c>
      <c r="X2870">
        <f>IF(AND(ISNUMBER('자료_한국심리'!$J2854),ISNUMBER('자료_한국심리'!$K2854)),'자료_한국심리'!$J2854,"")</f>
        <v/>
      </c>
      <c r="Y2870">
        <f>IF(AND(ISNUMBER('자료_한국심리'!$M2854),ISNUMBER('자료_한국심리'!$N2854)),'자료_한국심리'!$M2854,"")</f>
        <v/>
      </c>
    </row>
    <row r="2871">
      <c r="U2871">
        <f>IF(AND(ISNUMBER('자료_한국심리'!$A2855),ISNUMBER('자료_한국심리'!$B2855)),'자료_한국심리'!$A2855,"")</f>
        <v/>
      </c>
      <c r="V2871">
        <f>IF(AND(ISNUMBER('자료_한국심리'!$D2855),ISNUMBER('자료_한국심리'!$E2855)),'자료_한국심리'!$D2855,"")</f>
        <v/>
      </c>
      <c r="W2871">
        <f>IF(AND(ISNUMBER('자료_한국심리'!$G2855),ISNUMBER('자료_한국심리'!$H2855)),'자료_한국심리'!$G2855,"")</f>
        <v/>
      </c>
      <c r="X2871">
        <f>IF(AND(ISNUMBER('자료_한국심리'!$J2855),ISNUMBER('자료_한국심리'!$K2855)),'자료_한국심리'!$J2855,"")</f>
        <v/>
      </c>
      <c r="Y2871">
        <f>IF(AND(ISNUMBER('자료_한국심리'!$M2855),ISNUMBER('자료_한국심리'!$N2855)),'자료_한국심리'!$M2855,"")</f>
        <v/>
      </c>
    </row>
    <row r="2872">
      <c r="U2872">
        <f>IF(AND(ISNUMBER('자료_한국심리'!$A2856),ISNUMBER('자료_한국심리'!$B2856)),'자료_한국심리'!$A2856,"")</f>
        <v/>
      </c>
      <c r="V2872">
        <f>IF(AND(ISNUMBER('자료_한국심리'!$D2856),ISNUMBER('자료_한국심리'!$E2856)),'자료_한국심리'!$D2856,"")</f>
        <v/>
      </c>
      <c r="W2872">
        <f>IF(AND(ISNUMBER('자료_한국심리'!$G2856),ISNUMBER('자료_한국심리'!$H2856)),'자료_한국심리'!$G2856,"")</f>
        <v/>
      </c>
      <c r="X2872">
        <f>IF(AND(ISNUMBER('자료_한국심리'!$J2856),ISNUMBER('자료_한국심리'!$K2856)),'자료_한국심리'!$J2856,"")</f>
        <v/>
      </c>
      <c r="Y2872">
        <f>IF(AND(ISNUMBER('자료_한국심리'!$M2856),ISNUMBER('자료_한국심리'!$N2856)),'자료_한국심리'!$M2856,"")</f>
        <v/>
      </c>
    </row>
    <row r="2873">
      <c r="U2873">
        <f>IF(AND(ISNUMBER('자료_한국심리'!$A2857),ISNUMBER('자료_한국심리'!$B2857)),'자료_한국심리'!$A2857,"")</f>
        <v/>
      </c>
      <c r="V2873">
        <f>IF(AND(ISNUMBER('자료_한국심리'!$D2857),ISNUMBER('자료_한국심리'!$E2857)),'자료_한국심리'!$D2857,"")</f>
        <v/>
      </c>
      <c r="W2873">
        <f>IF(AND(ISNUMBER('자료_한국심리'!$G2857),ISNUMBER('자료_한국심리'!$H2857)),'자료_한국심리'!$G2857,"")</f>
        <v/>
      </c>
      <c r="X2873">
        <f>IF(AND(ISNUMBER('자료_한국심리'!$J2857),ISNUMBER('자료_한국심리'!$K2857)),'자료_한국심리'!$J2857,"")</f>
        <v/>
      </c>
      <c r="Y2873">
        <f>IF(AND(ISNUMBER('자료_한국심리'!$M2857),ISNUMBER('자료_한국심리'!$N2857)),'자료_한국심리'!$M2857,"")</f>
        <v/>
      </c>
    </row>
    <row r="2874">
      <c r="U2874">
        <f>IF(AND(ISNUMBER('자료_한국심리'!$A2858),ISNUMBER('자료_한국심리'!$B2858)),'자료_한국심리'!$A2858,"")</f>
        <v/>
      </c>
      <c r="V2874">
        <f>IF(AND(ISNUMBER('자료_한국심리'!$D2858),ISNUMBER('자료_한국심리'!$E2858)),'자료_한국심리'!$D2858,"")</f>
        <v/>
      </c>
      <c r="W2874">
        <f>IF(AND(ISNUMBER('자료_한국심리'!$G2858),ISNUMBER('자료_한국심리'!$H2858)),'자료_한국심리'!$G2858,"")</f>
        <v/>
      </c>
      <c r="X2874">
        <f>IF(AND(ISNUMBER('자료_한국심리'!$J2858),ISNUMBER('자료_한국심리'!$K2858)),'자료_한국심리'!$J2858,"")</f>
        <v/>
      </c>
      <c r="Y2874">
        <f>IF(AND(ISNUMBER('자료_한국심리'!$M2858),ISNUMBER('자료_한국심리'!$N2858)),'자료_한국심리'!$M2858,"")</f>
        <v/>
      </c>
    </row>
    <row r="2875">
      <c r="U2875">
        <f>IF(AND(ISNUMBER('자료_한국심리'!$A2859),ISNUMBER('자료_한국심리'!$B2859)),'자료_한국심리'!$A2859,"")</f>
        <v/>
      </c>
      <c r="V2875">
        <f>IF(AND(ISNUMBER('자료_한국심리'!$D2859),ISNUMBER('자료_한국심리'!$E2859)),'자료_한국심리'!$D2859,"")</f>
        <v/>
      </c>
      <c r="W2875">
        <f>IF(AND(ISNUMBER('자료_한국심리'!$G2859),ISNUMBER('자료_한국심리'!$H2859)),'자료_한국심리'!$G2859,"")</f>
        <v/>
      </c>
      <c r="X2875">
        <f>IF(AND(ISNUMBER('자료_한국심리'!$J2859),ISNUMBER('자료_한국심리'!$K2859)),'자료_한국심리'!$J2859,"")</f>
        <v/>
      </c>
      <c r="Y2875">
        <f>IF(AND(ISNUMBER('자료_한국심리'!$M2859),ISNUMBER('자료_한국심리'!$N2859)),'자료_한국심리'!$M2859,"")</f>
        <v/>
      </c>
    </row>
    <row r="2876">
      <c r="U2876">
        <f>IF(AND(ISNUMBER('자료_한국심리'!$A2860),ISNUMBER('자료_한국심리'!$B2860)),'자료_한국심리'!$A2860,"")</f>
        <v/>
      </c>
      <c r="V2876">
        <f>IF(AND(ISNUMBER('자료_한국심리'!$D2860),ISNUMBER('자료_한국심리'!$E2860)),'자료_한국심리'!$D2860,"")</f>
        <v/>
      </c>
      <c r="W2876">
        <f>IF(AND(ISNUMBER('자료_한국심리'!$G2860),ISNUMBER('자료_한국심리'!$H2860)),'자료_한국심리'!$G2860,"")</f>
        <v/>
      </c>
      <c r="X2876">
        <f>IF(AND(ISNUMBER('자료_한국심리'!$J2860),ISNUMBER('자료_한국심리'!$K2860)),'자료_한국심리'!$J2860,"")</f>
        <v/>
      </c>
      <c r="Y2876">
        <f>IF(AND(ISNUMBER('자료_한국심리'!$M2860),ISNUMBER('자료_한국심리'!$N2860)),'자료_한국심리'!$M2860,"")</f>
        <v/>
      </c>
    </row>
    <row r="2877">
      <c r="U2877">
        <f>IF(AND(ISNUMBER('자료_한국심리'!$A2861),ISNUMBER('자료_한국심리'!$B2861)),'자료_한국심리'!$A2861,"")</f>
        <v/>
      </c>
      <c r="V2877">
        <f>IF(AND(ISNUMBER('자료_한국심리'!$D2861),ISNUMBER('자료_한국심리'!$E2861)),'자료_한국심리'!$D2861,"")</f>
        <v/>
      </c>
      <c r="W2877">
        <f>IF(AND(ISNUMBER('자료_한국심리'!$G2861),ISNUMBER('자료_한국심리'!$H2861)),'자료_한국심리'!$G2861,"")</f>
        <v/>
      </c>
      <c r="X2877">
        <f>IF(AND(ISNUMBER('자료_한국심리'!$J2861),ISNUMBER('자료_한국심리'!$K2861)),'자료_한국심리'!$J2861,"")</f>
        <v/>
      </c>
      <c r="Y2877">
        <f>IF(AND(ISNUMBER('자료_한국심리'!$M2861),ISNUMBER('자료_한국심리'!$N2861)),'자료_한국심리'!$M2861,"")</f>
        <v/>
      </c>
    </row>
    <row r="2878">
      <c r="U2878">
        <f>IF(AND(ISNUMBER('자료_한국심리'!$A2862),ISNUMBER('자료_한국심리'!$B2862)),'자료_한국심리'!$A2862,"")</f>
        <v/>
      </c>
      <c r="V2878">
        <f>IF(AND(ISNUMBER('자료_한국심리'!$D2862),ISNUMBER('자료_한국심리'!$E2862)),'자료_한국심리'!$D2862,"")</f>
        <v/>
      </c>
      <c r="W2878">
        <f>IF(AND(ISNUMBER('자료_한국심리'!$G2862),ISNUMBER('자료_한국심리'!$H2862)),'자료_한국심리'!$G2862,"")</f>
        <v/>
      </c>
      <c r="X2878">
        <f>IF(AND(ISNUMBER('자료_한국심리'!$J2862),ISNUMBER('자료_한국심리'!$K2862)),'자료_한국심리'!$J2862,"")</f>
        <v/>
      </c>
      <c r="Y2878">
        <f>IF(AND(ISNUMBER('자료_한국심리'!$M2862),ISNUMBER('자료_한국심리'!$N2862)),'자료_한국심리'!$M2862,"")</f>
        <v/>
      </c>
    </row>
    <row r="2879">
      <c r="U2879">
        <f>IF(AND(ISNUMBER('자료_한국심리'!$A2863),ISNUMBER('자료_한국심리'!$B2863)),'자료_한국심리'!$A2863,"")</f>
        <v/>
      </c>
      <c r="V2879">
        <f>IF(AND(ISNUMBER('자료_한국심리'!$D2863),ISNUMBER('자료_한국심리'!$E2863)),'자료_한국심리'!$D2863,"")</f>
        <v/>
      </c>
      <c r="W2879">
        <f>IF(AND(ISNUMBER('자료_한국심리'!$G2863),ISNUMBER('자료_한국심리'!$H2863)),'자료_한국심리'!$G2863,"")</f>
        <v/>
      </c>
      <c r="X2879">
        <f>IF(AND(ISNUMBER('자료_한국심리'!$J2863),ISNUMBER('자료_한국심리'!$K2863)),'자료_한국심리'!$J2863,"")</f>
        <v/>
      </c>
      <c r="Y2879">
        <f>IF(AND(ISNUMBER('자료_한국심리'!$M2863),ISNUMBER('자료_한국심리'!$N2863)),'자료_한국심리'!$M2863,"")</f>
        <v/>
      </c>
    </row>
    <row r="2880">
      <c r="U2880">
        <f>IF(AND(ISNUMBER('자료_한국심리'!$A2864),ISNUMBER('자료_한국심리'!$B2864)),'자료_한국심리'!$A2864,"")</f>
        <v/>
      </c>
      <c r="V2880">
        <f>IF(AND(ISNUMBER('자료_한국심리'!$D2864),ISNUMBER('자료_한국심리'!$E2864)),'자료_한국심리'!$D2864,"")</f>
        <v/>
      </c>
      <c r="W2880">
        <f>IF(AND(ISNUMBER('자료_한국심리'!$G2864),ISNUMBER('자료_한국심리'!$H2864)),'자료_한국심리'!$G2864,"")</f>
        <v/>
      </c>
      <c r="X2880">
        <f>IF(AND(ISNUMBER('자료_한국심리'!$J2864),ISNUMBER('자료_한국심리'!$K2864)),'자료_한국심리'!$J2864,"")</f>
        <v/>
      </c>
      <c r="Y2880">
        <f>IF(AND(ISNUMBER('자료_한국심리'!$M2864),ISNUMBER('자료_한국심리'!$N2864)),'자료_한국심리'!$M2864,"")</f>
        <v/>
      </c>
    </row>
    <row r="2881">
      <c r="U2881">
        <f>IF(AND(ISNUMBER('자료_한국심리'!$A2865),ISNUMBER('자료_한국심리'!$B2865)),'자료_한국심리'!$A2865,"")</f>
        <v/>
      </c>
      <c r="V2881">
        <f>IF(AND(ISNUMBER('자료_한국심리'!$D2865),ISNUMBER('자료_한국심리'!$E2865)),'자료_한국심리'!$D2865,"")</f>
        <v/>
      </c>
      <c r="W2881">
        <f>IF(AND(ISNUMBER('자료_한국심리'!$G2865),ISNUMBER('자료_한국심리'!$H2865)),'자료_한국심리'!$G2865,"")</f>
        <v/>
      </c>
      <c r="X2881">
        <f>IF(AND(ISNUMBER('자료_한국심리'!$J2865),ISNUMBER('자료_한국심리'!$K2865)),'자료_한국심리'!$J2865,"")</f>
        <v/>
      </c>
      <c r="Y2881">
        <f>IF(AND(ISNUMBER('자료_한국심리'!$M2865),ISNUMBER('자료_한국심리'!$N2865)),'자료_한국심리'!$M2865,"")</f>
        <v/>
      </c>
    </row>
    <row r="2882">
      <c r="U2882">
        <f>IF(AND(ISNUMBER('자료_한국심리'!$A2866),ISNUMBER('자료_한국심리'!$B2866)),'자료_한국심리'!$A2866,"")</f>
        <v/>
      </c>
      <c r="V2882">
        <f>IF(AND(ISNUMBER('자료_한국심리'!$D2866),ISNUMBER('자료_한국심리'!$E2866)),'자료_한국심리'!$D2866,"")</f>
        <v/>
      </c>
      <c r="W2882">
        <f>IF(AND(ISNUMBER('자료_한국심리'!$G2866),ISNUMBER('자료_한국심리'!$H2866)),'자료_한국심리'!$G2866,"")</f>
        <v/>
      </c>
      <c r="X2882">
        <f>IF(AND(ISNUMBER('자료_한국심리'!$J2866),ISNUMBER('자료_한국심리'!$K2866)),'자료_한국심리'!$J2866,"")</f>
        <v/>
      </c>
      <c r="Y2882">
        <f>IF(AND(ISNUMBER('자료_한국심리'!$M2866),ISNUMBER('자료_한국심리'!$N2866)),'자료_한국심리'!$M2866,"")</f>
        <v/>
      </c>
    </row>
    <row r="2883">
      <c r="U2883">
        <f>IF(AND(ISNUMBER('자료_한국심리'!$A2867),ISNUMBER('자료_한국심리'!$B2867)),'자료_한국심리'!$A2867,"")</f>
        <v/>
      </c>
      <c r="V2883">
        <f>IF(AND(ISNUMBER('자료_한국심리'!$D2867),ISNUMBER('자료_한국심리'!$E2867)),'자료_한국심리'!$D2867,"")</f>
        <v/>
      </c>
      <c r="W2883">
        <f>IF(AND(ISNUMBER('자료_한국심리'!$G2867),ISNUMBER('자료_한국심리'!$H2867)),'자료_한국심리'!$G2867,"")</f>
        <v/>
      </c>
      <c r="X2883">
        <f>IF(AND(ISNUMBER('자료_한국심리'!$J2867),ISNUMBER('자료_한국심리'!$K2867)),'자료_한국심리'!$J2867,"")</f>
        <v/>
      </c>
      <c r="Y2883">
        <f>IF(AND(ISNUMBER('자료_한국심리'!$M2867),ISNUMBER('자료_한국심리'!$N2867)),'자료_한국심리'!$M2867,"")</f>
        <v/>
      </c>
    </row>
    <row r="2884">
      <c r="U2884">
        <f>IF(AND(ISNUMBER('자료_한국심리'!$A2868),ISNUMBER('자료_한국심리'!$B2868)),'자료_한국심리'!$A2868,"")</f>
        <v/>
      </c>
      <c r="V2884">
        <f>IF(AND(ISNUMBER('자료_한국심리'!$D2868),ISNUMBER('자료_한국심리'!$E2868)),'자료_한국심리'!$D2868,"")</f>
        <v/>
      </c>
      <c r="W2884">
        <f>IF(AND(ISNUMBER('자료_한국심리'!$G2868),ISNUMBER('자료_한국심리'!$H2868)),'자료_한국심리'!$G2868,"")</f>
        <v/>
      </c>
      <c r="X2884">
        <f>IF(AND(ISNUMBER('자료_한국심리'!$J2868),ISNUMBER('자료_한국심리'!$K2868)),'자료_한국심리'!$J2868,"")</f>
        <v/>
      </c>
      <c r="Y2884">
        <f>IF(AND(ISNUMBER('자료_한국심리'!$M2868),ISNUMBER('자료_한국심리'!$N2868)),'자료_한국심리'!$M2868,"")</f>
        <v/>
      </c>
    </row>
    <row r="2885">
      <c r="U2885">
        <f>IF(AND(ISNUMBER('자료_한국심리'!$A2869),ISNUMBER('자료_한국심리'!$B2869)),'자료_한국심리'!$A2869,"")</f>
        <v/>
      </c>
      <c r="V2885">
        <f>IF(AND(ISNUMBER('자료_한국심리'!$D2869),ISNUMBER('자료_한국심리'!$E2869)),'자료_한국심리'!$D2869,"")</f>
        <v/>
      </c>
      <c r="W2885">
        <f>IF(AND(ISNUMBER('자료_한국심리'!$G2869),ISNUMBER('자료_한국심리'!$H2869)),'자료_한국심리'!$G2869,"")</f>
        <v/>
      </c>
      <c r="X2885">
        <f>IF(AND(ISNUMBER('자료_한국심리'!$J2869),ISNUMBER('자료_한국심리'!$K2869)),'자료_한국심리'!$J2869,"")</f>
        <v/>
      </c>
      <c r="Y2885">
        <f>IF(AND(ISNUMBER('자료_한국심리'!$M2869),ISNUMBER('자료_한국심리'!$N2869)),'자료_한국심리'!$M2869,"")</f>
        <v/>
      </c>
    </row>
    <row r="2886">
      <c r="U2886">
        <f>IF(AND(ISNUMBER('자료_한국심리'!$A2870),ISNUMBER('자료_한국심리'!$B2870)),'자료_한국심리'!$A2870,"")</f>
        <v/>
      </c>
      <c r="V2886">
        <f>IF(AND(ISNUMBER('자료_한국심리'!$D2870),ISNUMBER('자료_한국심리'!$E2870)),'자료_한국심리'!$D2870,"")</f>
        <v/>
      </c>
      <c r="W2886">
        <f>IF(AND(ISNUMBER('자료_한국심리'!$G2870),ISNUMBER('자료_한국심리'!$H2870)),'자료_한국심리'!$G2870,"")</f>
        <v/>
      </c>
      <c r="X2886">
        <f>IF(AND(ISNUMBER('자료_한국심리'!$J2870),ISNUMBER('자료_한국심리'!$K2870)),'자료_한국심리'!$J2870,"")</f>
        <v/>
      </c>
      <c r="Y2886">
        <f>IF(AND(ISNUMBER('자료_한국심리'!$M2870),ISNUMBER('자료_한국심리'!$N2870)),'자료_한국심리'!$M2870,"")</f>
        <v/>
      </c>
    </row>
    <row r="2887">
      <c r="U2887">
        <f>IF(AND(ISNUMBER('자료_한국심리'!$A2871),ISNUMBER('자료_한국심리'!$B2871)),'자료_한국심리'!$A2871,"")</f>
        <v/>
      </c>
      <c r="V2887">
        <f>IF(AND(ISNUMBER('자료_한국심리'!$D2871),ISNUMBER('자료_한국심리'!$E2871)),'자료_한국심리'!$D2871,"")</f>
        <v/>
      </c>
      <c r="W2887">
        <f>IF(AND(ISNUMBER('자료_한국심리'!$G2871),ISNUMBER('자료_한국심리'!$H2871)),'자료_한국심리'!$G2871,"")</f>
        <v/>
      </c>
      <c r="X2887">
        <f>IF(AND(ISNUMBER('자료_한국심리'!$J2871),ISNUMBER('자료_한국심리'!$K2871)),'자료_한국심리'!$J2871,"")</f>
        <v/>
      </c>
      <c r="Y2887">
        <f>IF(AND(ISNUMBER('자료_한국심리'!$M2871),ISNUMBER('자료_한국심리'!$N2871)),'자료_한국심리'!$M2871,"")</f>
        <v/>
      </c>
    </row>
    <row r="2888">
      <c r="U2888">
        <f>IF(AND(ISNUMBER('자료_한국심리'!$A2872),ISNUMBER('자료_한국심리'!$B2872)),'자료_한국심리'!$A2872,"")</f>
        <v/>
      </c>
      <c r="V2888">
        <f>IF(AND(ISNUMBER('자료_한국심리'!$D2872),ISNUMBER('자료_한국심리'!$E2872)),'자료_한국심리'!$D2872,"")</f>
        <v/>
      </c>
      <c r="W2888">
        <f>IF(AND(ISNUMBER('자료_한국심리'!$G2872),ISNUMBER('자료_한국심리'!$H2872)),'자료_한국심리'!$G2872,"")</f>
        <v/>
      </c>
      <c r="X2888">
        <f>IF(AND(ISNUMBER('자료_한국심리'!$J2872),ISNUMBER('자료_한국심리'!$K2872)),'자료_한국심리'!$J2872,"")</f>
        <v/>
      </c>
      <c r="Y2888">
        <f>IF(AND(ISNUMBER('자료_한국심리'!$M2872),ISNUMBER('자료_한국심리'!$N2872)),'자료_한국심리'!$M2872,"")</f>
        <v/>
      </c>
    </row>
    <row r="2889">
      <c r="U2889">
        <f>IF(AND(ISNUMBER('자료_한국심리'!$A2873),ISNUMBER('자료_한국심리'!$B2873)),'자료_한국심리'!$A2873,"")</f>
        <v/>
      </c>
      <c r="V2889">
        <f>IF(AND(ISNUMBER('자료_한국심리'!$D2873),ISNUMBER('자료_한국심리'!$E2873)),'자료_한국심리'!$D2873,"")</f>
        <v/>
      </c>
      <c r="W2889">
        <f>IF(AND(ISNUMBER('자료_한국심리'!$G2873),ISNUMBER('자료_한국심리'!$H2873)),'자료_한국심리'!$G2873,"")</f>
        <v/>
      </c>
      <c r="X2889">
        <f>IF(AND(ISNUMBER('자료_한국심리'!$J2873),ISNUMBER('자료_한국심리'!$K2873)),'자료_한국심리'!$J2873,"")</f>
        <v/>
      </c>
      <c r="Y2889">
        <f>IF(AND(ISNUMBER('자료_한국심리'!$M2873),ISNUMBER('자료_한국심리'!$N2873)),'자료_한국심리'!$M2873,"")</f>
        <v/>
      </c>
    </row>
    <row r="2890">
      <c r="U2890">
        <f>IF(AND(ISNUMBER('자료_한국심리'!$A2874),ISNUMBER('자료_한국심리'!$B2874)),'자료_한국심리'!$A2874,"")</f>
        <v/>
      </c>
      <c r="V2890">
        <f>IF(AND(ISNUMBER('자료_한국심리'!$D2874),ISNUMBER('자료_한국심리'!$E2874)),'자료_한국심리'!$D2874,"")</f>
        <v/>
      </c>
      <c r="W2890">
        <f>IF(AND(ISNUMBER('자료_한국심리'!$G2874),ISNUMBER('자료_한국심리'!$H2874)),'자료_한국심리'!$G2874,"")</f>
        <v/>
      </c>
      <c r="X2890">
        <f>IF(AND(ISNUMBER('자료_한국심리'!$J2874),ISNUMBER('자료_한국심리'!$K2874)),'자료_한국심리'!$J2874,"")</f>
        <v/>
      </c>
      <c r="Y2890">
        <f>IF(AND(ISNUMBER('자료_한국심리'!$M2874),ISNUMBER('자료_한국심리'!$N2874)),'자료_한국심리'!$M2874,"")</f>
        <v/>
      </c>
    </row>
    <row r="2891">
      <c r="U2891">
        <f>IF(AND(ISNUMBER('자료_한국심리'!$A2875),ISNUMBER('자료_한국심리'!$B2875)),'자료_한국심리'!$A2875,"")</f>
        <v/>
      </c>
      <c r="V2891">
        <f>IF(AND(ISNUMBER('자료_한국심리'!$D2875),ISNUMBER('자료_한국심리'!$E2875)),'자료_한국심리'!$D2875,"")</f>
        <v/>
      </c>
      <c r="W2891">
        <f>IF(AND(ISNUMBER('자료_한국심리'!$G2875),ISNUMBER('자료_한국심리'!$H2875)),'자료_한국심리'!$G2875,"")</f>
        <v/>
      </c>
      <c r="X2891">
        <f>IF(AND(ISNUMBER('자료_한국심리'!$J2875),ISNUMBER('자료_한국심리'!$K2875)),'자료_한국심리'!$J2875,"")</f>
        <v/>
      </c>
      <c r="Y2891">
        <f>IF(AND(ISNUMBER('자료_한국심리'!$M2875),ISNUMBER('자료_한국심리'!$N2875)),'자료_한국심리'!$M2875,"")</f>
        <v/>
      </c>
    </row>
    <row r="2892">
      <c r="U2892">
        <f>IF(AND(ISNUMBER('자료_한국심리'!$A2876),ISNUMBER('자료_한국심리'!$B2876)),'자료_한국심리'!$A2876,"")</f>
        <v/>
      </c>
      <c r="V2892">
        <f>IF(AND(ISNUMBER('자료_한국심리'!$D2876),ISNUMBER('자료_한국심리'!$E2876)),'자료_한국심리'!$D2876,"")</f>
        <v/>
      </c>
      <c r="W2892">
        <f>IF(AND(ISNUMBER('자료_한국심리'!$G2876),ISNUMBER('자료_한국심리'!$H2876)),'자료_한국심리'!$G2876,"")</f>
        <v/>
      </c>
      <c r="X2892">
        <f>IF(AND(ISNUMBER('자료_한국심리'!$J2876),ISNUMBER('자료_한국심리'!$K2876)),'자료_한국심리'!$J2876,"")</f>
        <v/>
      </c>
      <c r="Y2892">
        <f>IF(AND(ISNUMBER('자료_한국심리'!$M2876),ISNUMBER('자료_한국심리'!$N2876)),'자료_한국심리'!$M2876,"")</f>
        <v/>
      </c>
    </row>
    <row r="2893">
      <c r="U2893">
        <f>IF(AND(ISNUMBER('자료_한국심리'!$A2877),ISNUMBER('자료_한국심리'!$B2877)),'자료_한국심리'!$A2877,"")</f>
        <v/>
      </c>
      <c r="V2893">
        <f>IF(AND(ISNUMBER('자료_한국심리'!$D2877),ISNUMBER('자료_한국심리'!$E2877)),'자료_한국심리'!$D2877,"")</f>
        <v/>
      </c>
      <c r="W2893">
        <f>IF(AND(ISNUMBER('자료_한국심리'!$G2877),ISNUMBER('자료_한국심리'!$H2877)),'자료_한국심리'!$G2877,"")</f>
        <v/>
      </c>
      <c r="X2893">
        <f>IF(AND(ISNUMBER('자료_한국심리'!$J2877),ISNUMBER('자료_한국심리'!$K2877)),'자료_한국심리'!$J2877,"")</f>
        <v/>
      </c>
      <c r="Y2893">
        <f>IF(AND(ISNUMBER('자료_한국심리'!$M2877),ISNUMBER('자료_한국심리'!$N2877)),'자료_한국심리'!$M2877,"")</f>
        <v/>
      </c>
    </row>
    <row r="2894">
      <c r="U2894">
        <f>IF(AND(ISNUMBER('자료_한국심리'!$A2878),ISNUMBER('자료_한국심리'!$B2878)),'자료_한국심리'!$A2878,"")</f>
        <v/>
      </c>
      <c r="V2894">
        <f>IF(AND(ISNUMBER('자료_한국심리'!$D2878),ISNUMBER('자료_한국심리'!$E2878)),'자료_한국심리'!$D2878,"")</f>
        <v/>
      </c>
      <c r="W2894">
        <f>IF(AND(ISNUMBER('자료_한국심리'!$G2878),ISNUMBER('자료_한국심리'!$H2878)),'자료_한국심리'!$G2878,"")</f>
        <v/>
      </c>
      <c r="X2894">
        <f>IF(AND(ISNUMBER('자료_한국심리'!$J2878),ISNUMBER('자료_한국심리'!$K2878)),'자료_한국심리'!$J2878,"")</f>
        <v/>
      </c>
      <c r="Y2894">
        <f>IF(AND(ISNUMBER('자료_한국심리'!$M2878),ISNUMBER('자료_한국심리'!$N2878)),'자료_한국심리'!$M2878,"")</f>
        <v/>
      </c>
    </row>
    <row r="2895">
      <c r="U2895">
        <f>IF(AND(ISNUMBER('자료_한국심리'!$A2879),ISNUMBER('자료_한국심리'!$B2879)),'자료_한국심리'!$A2879,"")</f>
        <v/>
      </c>
      <c r="V2895">
        <f>IF(AND(ISNUMBER('자료_한국심리'!$D2879),ISNUMBER('자료_한국심리'!$E2879)),'자료_한국심리'!$D2879,"")</f>
        <v/>
      </c>
      <c r="W2895">
        <f>IF(AND(ISNUMBER('자료_한국심리'!$G2879),ISNUMBER('자료_한국심리'!$H2879)),'자료_한국심리'!$G2879,"")</f>
        <v/>
      </c>
      <c r="X2895">
        <f>IF(AND(ISNUMBER('자료_한국심리'!$J2879),ISNUMBER('자료_한국심리'!$K2879)),'자료_한국심리'!$J2879,"")</f>
        <v/>
      </c>
      <c r="Y2895">
        <f>IF(AND(ISNUMBER('자료_한국심리'!$M2879),ISNUMBER('자료_한국심리'!$N2879)),'자료_한국심리'!$M2879,"")</f>
        <v/>
      </c>
    </row>
    <row r="2896">
      <c r="U2896">
        <f>IF(AND(ISNUMBER('자료_한국심리'!$A2880),ISNUMBER('자료_한국심리'!$B2880)),'자료_한국심리'!$A2880,"")</f>
        <v/>
      </c>
      <c r="V2896">
        <f>IF(AND(ISNUMBER('자료_한국심리'!$D2880),ISNUMBER('자료_한국심리'!$E2880)),'자료_한국심리'!$D2880,"")</f>
        <v/>
      </c>
      <c r="W2896">
        <f>IF(AND(ISNUMBER('자료_한국심리'!$G2880),ISNUMBER('자료_한국심리'!$H2880)),'자료_한국심리'!$G2880,"")</f>
        <v/>
      </c>
      <c r="X2896">
        <f>IF(AND(ISNUMBER('자료_한국심리'!$J2880),ISNUMBER('자료_한국심리'!$K2880)),'자료_한국심리'!$J2880,"")</f>
        <v/>
      </c>
      <c r="Y2896">
        <f>IF(AND(ISNUMBER('자료_한국심리'!$M2880),ISNUMBER('자료_한국심리'!$N2880)),'자료_한국심리'!$M2880,"")</f>
        <v/>
      </c>
    </row>
    <row r="2897">
      <c r="U2897">
        <f>IF(AND(ISNUMBER('자료_한국심리'!$A2881),ISNUMBER('자료_한국심리'!$B2881)),'자료_한국심리'!$A2881,"")</f>
        <v/>
      </c>
      <c r="V2897">
        <f>IF(AND(ISNUMBER('자료_한국심리'!$D2881),ISNUMBER('자료_한국심리'!$E2881)),'자료_한국심리'!$D2881,"")</f>
        <v/>
      </c>
      <c r="W2897">
        <f>IF(AND(ISNUMBER('자료_한국심리'!$G2881),ISNUMBER('자료_한국심리'!$H2881)),'자료_한국심리'!$G2881,"")</f>
        <v/>
      </c>
      <c r="X2897">
        <f>IF(AND(ISNUMBER('자료_한국심리'!$J2881),ISNUMBER('자료_한국심리'!$K2881)),'자료_한국심리'!$J2881,"")</f>
        <v/>
      </c>
      <c r="Y2897">
        <f>IF(AND(ISNUMBER('자료_한국심리'!$M2881),ISNUMBER('자료_한국심리'!$N2881)),'자료_한국심리'!$M2881,"")</f>
        <v/>
      </c>
    </row>
    <row r="2898">
      <c r="U2898">
        <f>IF(AND(ISNUMBER('자료_한국심리'!$A2882),ISNUMBER('자료_한국심리'!$B2882)),'자료_한국심리'!$A2882,"")</f>
        <v/>
      </c>
      <c r="V2898">
        <f>IF(AND(ISNUMBER('자료_한국심리'!$D2882),ISNUMBER('자료_한국심리'!$E2882)),'자료_한국심리'!$D2882,"")</f>
        <v/>
      </c>
      <c r="W2898">
        <f>IF(AND(ISNUMBER('자료_한국심리'!$G2882),ISNUMBER('자료_한국심리'!$H2882)),'자료_한국심리'!$G2882,"")</f>
        <v/>
      </c>
      <c r="X2898">
        <f>IF(AND(ISNUMBER('자료_한국심리'!$J2882),ISNUMBER('자료_한국심리'!$K2882)),'자료_한국심리'!$J2882,"")</f>
        <v/>
      </c>
      <c r="Y2898">
        <f>IF(AND(ISNUMBER('자료_한국심리'!$M2882),ISNUMBER('자료_한국심리'!$N2882)),'자료_한국심리'!$M2882,"")</f>
        <v/>
      </c>
    </row>
    <row r="2899">
      <c r="U2899">
        <f>IF(AND(ISNUMBER('자료_한국심리'!$A2883),ISNUMBER('자료_한국심리'!$B2883)),'자료_한국심리'!$A2883,"")</f>
        <v/>
      </c>
      <c r="V2899">
        <f>IF(AND(ISNUMBER('자료_한국심리'!$D2883),ISNUMBER('자료_한국심리'!$E2883)),'자료_한국심리'!$D2883,"")</f>
        <v/>
      </c>
      <c r="W2899">
        <f>IF(AND(ISNUMBER('자료_한국심리'!$G2883),ISNUMBER('자료_한국심리'!$H2883)),'자료_한국심리'!$G2883,"")</f>
        <v/>
      </c>
      <c r="X2899">
        <f>IF(AND(ISNUMBER('자료_한국심리'!$J2883),ISNUMBER('자료_한국심리'!$K2883)),'자료_한국심리'!$J2883,"")</f>
        <v/>
      </c>
      <c r="Y2899">
        <f>IF(AND(ISNUMBER('자료_한국심리'!$M2883),ISNUMBER('자료_한국심리'!$N2883)),'자료_한국심리'!$M2883,"")</f>
        <v/>
      </c>
    </row>
    <row r="2900">
      <c r="U2900">
        <f>IF(AND(ISNUMBER('자료_한국심리'!$A2884),ISNUMBER('자료_한국심리'!$B2884)),'자료_한국심리'!$A2884,"")</f>
        <v/>
      </c>
      <c r="V2900">
        <f>IF(AND(ISNUMBER('자료_한국심리'!$D2884),ISNUMBER('자료_한국심리'!$E2884)),'자료_한국심리'!$D2884,"")</f>
        <v/>
      </c>
      <c r="W2900">
        <f>IF(AND(ISNUMBER('자료_한국심리'!$G2884),ISNUMBER('자료_한국심리'!$H2884)),'자료_한국심리'!$G2884,"")</f>
        <v/>
      </c>
      <c r="X2900">
        <f>IF(AND(ISNUMBER('자료_한국심리'!$J2884),ISNUMBER('자료_한국심리'!$K2884)),'자료_한국심리'!$J2884,"")</f>
        <v/>
      </c>
      <c r="Y2900">
        <f>IF(AND(ISNUMBER('자료_한국심리'!$M2884),ISNUMBER('자료_한국심리'!$N2884)),'자료_한국심리'!$M2884,"")</f>
        <v/>
      </c>
    </row>
    <row r="2901">
      <c r="U2901">
        <f>IF(AND(ISNUMBER('자료_한국심리'!$A2885),ISNUMBER('자료_한국심리'!$B2885)),'자료_한국심리'!$A2885,"")</f>
        <v/>
      </c>
      <c r="V2901">
        <f>IF(AND(ISNUMBER('자료_한국심리'!$D2885),ISNUMBER('자료_한국심리'!$E2885)),'자료_한국심리'!$D2885,"")</f>
        <v/>
      </c>
      <c r="W2901">
        <f>IF(AND(ISNUMBER('자료_한국심리'!$G2885),ISNUMBER('자료_한국심리'!$H2885)),'자료_한국심리'!$G2885,"")</f>
        <v/>
      </c>
      <c r="X2901">
        <f>IF(AND(ISNUMBER('자료_한국심리'!$J2885),ISNUMBER('자료_한국심리'!$K2885)),'자료_한국심리'!$J2885,"")</f>
        <v/>
      </c>
      <c r="Y2901">
        <f>IF(AND(ISNUMBER('자료_한국심리'!$M2885),ISNUMBER('자료_한국심리'!$N2885)),'자료_한국심리'!$M2885,"")</f>
        <v/>
      </c>
    </row>
    <row r="2902">
      <c r="U2902">
        <f>IF(AND(ISNUMBER('자료_한국심리'!$A2886),ISNUMBER('자료_한국심리'!$B2886)),'자료_한국심리'!$A2886,"")</f>
        <v/>
      </c>
      <c r="V2902">
        <f>IF(AND(ISNUMBER('자료_한국심리'!$D2886),ISNUMBER('자료_한국심리'!$E2886)),'자료_한국심리'!$D2886,"")</f>
        <v/>
      </c>
      <c r="W2902">
        <f>IF(AND(ISNUMBER('자료_한국심리'!$G2886),ISNUMBER('자료_한국심리'!$H2886)),'자료_한국심리'!$G2886,"")</f>
        <v/>
      </c>
      <c r="X2902">
        <f>IF(AND(ISNUMBER('자료_한국심리'!$J2886),ISNUMBER('자료_한국심리'!$K2886)),'자료_한국심리'!$J2886,"")</f>
        <v/>
      </c>
      <c r="Y2902">
        <f>IF(AND(ISNUMBER('자료_한국심리'!$M2886),ISNUMBER('자료_한국심리'!$N2886)),'자료_한국심리'!$M2886,"")</f>
        <v/>
      </c>
    </row>
    <row r="2903">
      <c r="U2903">
        <f>IF(AND(ISNUMBER('자료_한국심리'!$A2887),ISNUMBER('자료_한국심리'!$B2887)),'자료_한국심리'!$A2887,"")</f>
        <v/>
      </c>
      <c r="V2903">
        <f>IF(AND(ISNUMBER('자료_한국심리'!$D2887),ISNUMBER('자료_한국심리'!$E2887)),'자료_한국심리'!$D2887,"")</f>
        <v/>
      </c>
      <c r="W2903">
        <f>IF(AND(ISNUMBER('자료_한국심리'!$G2887),ISNUMBER('자료_한국심리'!$H2887)),'자료_한국심리'!$G2887,"")</f>
        <v/>
      </c>
      <c r="X2903">
        <f>IF(AND(ISNUMBER('자료_한국심리'!$J2887),ISNUMBER('자료_한국심리'!$K2887)),'자료_한국심리'!$J2887,"")</f>
        <v/>
      </c>
      <c r="Y2903">
        <f>IF(AND(ISNUMBER('자료_한국심리'!$M2887),ISNUMBER('자료_한국심리'!$N2887)),'자료_한국심리'!$M2887,"")</f>
        <v/>
      </c>
    </row>
    <row r="2904">
      <c r="U2904">
        <f>IF(AND(ISNUMBER('자료_한국심리'!$A2888),ISNUMBER('자료_한국심리'!$B2888)),'자료_한국심리'!$A2888,"")</f>
        <v/>
      </c>
      <c r="V2904">
        <f>IF(AND(ISNUMBER('자료_한국심리'!$D2888),ISNUMBER('자료_한국심리'!$E2888)),'자료_한국심리'!$D2888,"")</f>
        <v/>
      </c>
      <c r="W2904">
        <f>IF(AND(ISNUMBER('자료_한국심리'!$G2888),ISNUMBER('자료_한국심리'!$H2888)),'자료_한국심리'!$G2888,"")</f>
        <v/>
      </c>
      <c r="X2904">
        <f>IF(AND(ISNUMBER('자료_한국심리'!$J2888),ISNUMBER('자료_한국심리'!$K2888)),'자료_한국심리'!$J2888,"")</f>
        <v/>
      </c>
      <c r="Y2904">
        <f>IF(AND(ISNUMBER('자료_한국심리'!$M2888),ISNUMBER('자료_한국심리'!$N2888)),'자료_한국심리'!$M2888,"")</f>
        <v/>
      </c>
    </row>
    <row r="2905">
      <c r="U2905">
        <f>IF(AND(ISNUMBER('자료_한국심리'!$A2889),ISNUMBER('자료_한국심리'!$B2889)),'자료_한국심리'!$A2889,"")</f>
        <v/>
      </c>
      <c r="V2905">
        <f>IF(AND(ISNUMBER('자료_한국심리'!$D2889),ISNUMBER('자료_한국심리'!$E2889)),'자료_한국심리'!$D2889,"")</f>
        <v/>
      </c>
      <c r="W2905">
        <f>IF(AND(ISNUMBER('자료_한국심리'!$G2889),ISNUMBER('자료_한국심리'!$H2889)),'자료_한국심리'!$G2889,"")</f>
        <v/>
      </c>
      <c r="X2905">
        <f>IF(AND(ISNUMBER('자료_한국심리'!$J2889),ISNUMBER('자료_한국심리'!$K2889)),'자료_한국심리'!$J2889,"")</f>
        <v/>
      </c>
      <c r="Y2905">
        <f>IF(AND(ISNUMBER('자료_한국심리'!$M2889),ISNUMBER('자료_한국심리'!$N2889)),'자료_한국심리'!$M2889,"")</f>
        <v/>
      </c>
    </row>
    <row r="2906">
      <c r="U2906">
        <f>IF(AND(ISNUMBER('자료_한국심리'!$A2890),ISNUMBER('자료_한국심리'!$B2890)),'자료_한국심리'!$A2890,"")</f>
        <v/>
      </c>
      <c r="V2906">
        <f>IF(AND(ISNUMBER('자료_한국심리'!$D2890),ISNUMBER('자료_한국심리'!$E2890)),'자료_한국심리'!$D2890,"")</f>
        <v/>
      </c>
      <c r="W2906">
        <f>IF(AND(ISNUMBER('자료_한국심리'!$G2890),ISNUMBER('자료_한국심리'!$H2890)),'자료_한국심리'!$G2890,"")</f>
        <v/>
      </c>
      <c r="X2906">
        <f>IF(AND(ISNUMBER('자료_한국심리'!$J2890),ISNUMBER('자료_한국심리'!$K2890)),'자료_한국심리'!$J2890,"")</f>
        <v/>
      </c>
      <c r="Y2906">
        <f>IF(AND(ISNUMBER('자료_한국심리'!$M2890),ISNUMBER('자료_한국심리'!$N2890)),'자료_한국심리'!$M2890,"")</f>
        <v/>
      </c>
    </row>
    <row r="2907">
      <c r="U2907">
        <f>IF(AND(ISNUMBER('자료_한국심리'!$A2891),ISNUMBER('자료_한국심리'!$B2891)),'자료_한국심리'!$A2891,"")</f>
        <v/>
      </c>
      <c r="V2907">
        <f>IF(AND(ISNUMBER('자료_한국심리'!$D2891),ISNUMBER('자료_한국심리'!$E2891)),'자료_한국심리'!$D2891,"")</f>
        <v/>
      </c>
      <c r="W2907">
        <f>IF(AND(ISNUMBER('자료_한국심리'!$G2891),ISNUMBER('자료_한국심리'!$H2891)),'자료_한국심리'!$G2891,"")</f>
        <v/>
      </c>
      <c r="X2907">
        <f>IF(AND(ISNUMBER('자료_한국심리'!$J2891),ISNUMBER('자료_한국심리'!$K2891)),'자료_한국심리'!$J2891,"")</f>
        <v/>
      </c>
      <c r="Y2907">
        <f>IF(AND(ISNUMBER('자료_한국심리'!$M2891),ISNUMBER('자료_한국심리'!$N2891)),'자료_한국심리'!$M2891,"")</f>
        <v/>
      </c>
    </row>
    <row r="2908">
      <c r="U2908">
        <f>IF(AND(ISNUMBER('자료_한국심리'!$A2892),ISNUMBER('자료_한국심리'!$B2892)),'자료_한국심리'!$A2892,"")</f>
        <v/>
      </c>
      <c r="V2908">
        <f>IF(AND(ISNUMBER('자료_한국심리'!$D2892),ISNUMBER('자료_한국심리'!$E2892)),'자료_한국심리'!$D2892,"")</f>
        <v/>
      </c>
      <c r="W2908">
        <f>IF(AND(ISNUMBER('자료_한국심리'!$G2892),ISNUMBER('자료_한국심리'!$H2892)),'자료_한국심리'!$G2892,"")</f>
        <v/>
      </c>
      <c r="X2908">
        <f>IF(AND(ISNUMBER('자료_한국심리'!$J2892),ISNUMBER('자료_한국심리'!$K2892)),'자료_한국심리'!$J2892,"")</f>
        <v/>
      </c>
      <c r="Y2908">
        <f>IF(AND(ISNUMBER('자료_한국심리'!$M2892),ISNUMBER('자료_한국심리'!$N2892)),'자료_한국심리'!$M2892,"")</f>
        <v/>
      </c>
    </row>
    <row r="2909">
      <c r="U2909">
        <f>IF(AND(ISNUMBER('자료_한국심리'!$A2893),ISNUMBER('자료_한국심리'!$B2893)),'자료_한국심리'!$A2893,"")</f>
        <v/>
      </c>
      <c r="V2909">
        <f>IF(AND(ISNUMBER('자료_한국심리'!$D2893),ISNUMBER('자료_한국심리'!$E2893)),'자료_한국심리'!$D2893,"")</f>
        <v/>
      </c>
      <c r="W2909">
        <f>IF(AND(ISNUMBER('자료_한국심리'!$G2893),ISNUMBER('자료_한국심리'!$H2893)),'자료_한국심리'!$G2893,"")</f>
        <v/>
      </c>
      <c r="X2909">
        <f>IF(AND(ISNUMBER('자료_한국심리'!$J2893),ISNUMBER('자료_한국심리'!$K2893)),'자료_한국심리'!$J2893,"")</f>
        <v/>
      </c>
      <c r="Y2909">
        <f>IF(AND(ISNUMBER('자료_한국심리'!$M2893),ISNUMBER('자료_한국심리'!$N2893)),'자료_한국심리'!$M2893,"")</f>
        <v/>
      </c>
    </row>
    <row r="2910">
      <c r="U2910">
        <f>IF(AND(ISNUMBER('자료_한국심리'!$A2894),ISNUMBER('자료_한국심리'!$B2894)),'자료_한국심리'!$A2894,"")</f>
        <v/>
      </c>
      <c r="V2910">
        <f>IF(AND(ISNUMBER('자료_한국심리'!$D2894),ISNUMBER('자료_한국심리'!$E2894)),'자료_한국심리'!$D2894,"")</f>
        <v/>
      </c>
      <c r="W2910">
        <f>IF(AND(ISNUMBER('자료_한국심리'!$G2894),ISNUMBER('자료_한국심리'!$H2894)),'자료_한국심리'!$G2894,"")</f>
        <v/>
      </c>
      <c r="X2910">
        <f>IF(AND(ISNUMBER('자료_한국심리'!$J2894),ISNUMBER('자료_한국심리'!$K2894)),'자료_한국심리'!$J2894,"")</f>
        <v/>
      </c>
      <c r="Y2910">
        <f>IF(AND(ISNUMBER('자료_한국심리'!$M2894),ISNUMBER('자료_한국심리'!$N2894)),'자료_한국심리'!$M2894,"")</f>
        <v/>
      </c>
    </row>
    <row r="2911">
      <c r="U2911">
        <f>IF(AND(ISNUMBER('자료_한국심리'!$A2895),ISNUMBER('자료_한국심리'!$B2895)),'자료_한국심리'!$A2895,"")</f>
        <v/>
      </c>
      <c r="V2911">
        <f>IF(AND(ISNUMBER('자료_한국심리'!$D2895),ISNUMBER('자료_한국심리'!$E2895)),'자료_한국심리'!$D2895,"")</f>
        <v/>
      </c>
      <c r="W2911">
        <f>IF(AND(ISNUMBER('자료_한국심리'!$G2895),ISNUMBER('자료_한국심리'!$H2895)),'자료_한국심리'!$G2895,"")</f>
        <v/>
      </c>
      <c r="X2911">
        <f>IF(AND(ISNUMBER('자료_한국심리'!$J2895),ISNUMBER('자료_한국심리'!$K2895)),'자료_한국심리'!$J2895,"")</f>
        <v/>
      </c>
      <c r="Y2911">
        <f>IF(AND(ISNUMBER('자료_한국심리'!$M2895),ISNUMBER('자료_한국심리'!$N2895)),'자료_한국심리'!$M2895,"")</f>
        <v/>
      </c>
    </row>
    <row r="2912">
      <c r="U2912">
        <f>IF(AND(ISNUMBER('자료_한국심리'!$A2896),ISNUMBER('자료_한국심리'!$B2896)),'자료_한국심리'!$A2896,"")</f>
        <v/>
      </c>
      <c r="V2912">
        <f>IF(AND(ISNUMBER('자료_한국심리'!$D2896),ISNUMBER('자료_한국심리'!$E2896)),'자료_한국심리'!$D2896,"")</f>
        <v/>
      </c>
      <c r="W2912">
        <f>IF(AND(ISNUMBER('자료_한국심리'!$G2896),ISNUMBER('자료_한국심리'!$H2896)),'자료_한국심리'!$G2896,"")</f>
        <v/>
      </c>
      <c r="X2912">
        <f>IF(AND(ISNUMBER('자료_한국심리'!$J2896),ISNUMBER('자료_한국심리'!$K2896)),'자료_한국심리'!$J2896,"")</f>
        <v/>
      </c>
      <c r="Y2912">
        <f>IF(AND(ISNUMBER('자료_한국심리'!$M2896),ISNUMBER('자료_한국심리'!$N2896)),'자료_한국심리'!$M2896,"")</f>
        <v/>
      </c>
    </row>
    <row r="2913">
      <c r="U2913">
        <f>IF(AND(ISNUMBER('자료_한국심리'!$A2897),ISNUMBER('자료_한국심리'!$B2897)),'자료_한국심리'!$A2897,"")</f>
        <v/>
      </c>
      <c r="V2913">
        <f>IF(AND(ISNUMBER('자료_한국심리'!$D2897),ISNUMBER('자료_한국심리'!$E2897)),'자료_한국심리'!$D2897,"")</f>
        <v/>
      </c>
      <c r="W2913">
        <f>IF(AND(ISNUMBER('자료_한국심리'!$G2897),ISNUMBER('자료_한국심리'!$H2897)),'자료_한국심리'!$G2897,"")</f>
        <v/>
      </c>
      <c r="X2913">
        <f>IF(AND(ISNUMBER('자료_한국심리'!$J2897),ISNUMBER('자료_한국심리'!$K2897)),'자료_한국심리'!$J2897,"")</f>
        <v/>
      </c>
      <c r="Y2913">
        <f>IF(AND(ISNUMBER('자료_한국심리'!$M2897),ISNUMBER('자료_한국심리'!$N2897)),'자료_한국심리'!$M2897,"")</f>
        <v/>
      </c>
    </row>
    <row r="2914">
      <c r="U2914">
        <f>IF(AND(ISNUMBER('자료_한국심리'!$A2898),ISNUMBER('자료_한국심리'!$B2898)),'자료_한국심리'!$A2898,"")</f>
        <v/>
      </c>
      <c r="V2914">
        <f>IF(AND(ISNUMBER('자료_한국심리'!$D2898),ISNUMBER('자료_한국심리'!$E2898)),'자료_한국심리'!$D2898,"")</f>
        <v/>
      </c>
      <c r="W2914">
        <f>IF(AND(ISNUMBER('자료_한국심리'!$G2898),ISNUMBER('자료_한국심리'!$H2898)),'자료_한국심리'!$G2898,"")</f>
        <v/>
      </c>
      <c r="X2914">
        <f>IF(AND(ISNUMBER('자료_한국심리'!$J2898),ISNUMBER('자료_한국심리'!$K2898)),'자료_한국심리'!$J2898,"")</f>
        <v/>
      </c>
      <c r="Y2914">
        <f>IF(AND(ISNUMBER('자료_한국심리'!$M2898),ISNUMBER('자료_한국심리'!$N2898)),'자료_한국심리'!$M2898,"")</f>
        <v/>
      </c>
    </row>
    <row r="2915">
      <c r="U2915">
        <f>IF(AND(ISNUMBER('자료_한국심리'!$A2899),ISNUMBER('자료_한국심리'!$B2899)),'자료_한국심리'!$A2899,"")</f>
        <v/>
      </c>
      <c r="V2915">
        <f>IF(AND(ISNUMBER('자료_한국심리'!$D2899),ISNUMBER('자료_한국심리'!$E2899)),'자료_한국심리'!$D2899,"")</f>
        <v/>
      </c>
      <c r="W2915">
        <f>IF(AND(ISNUMBER('자료_한국심리'!$G2899),ISNUMBER('자료_한국심리'!$H2899)),'자료_한국심리'!$G2899,"")</f>
        <v/>
      </c>
      <c r="X2915">
        <f>IF(AND(ISNUMBER('자료_한국심리'!$J2899),ISNUMBER('자료_한국심리'!$K2899)),'자료_한국심리'!$J2899,"")</f>
        <v/>
      </c>
      <c r="Y2915">
        <f>IF(AND(ISNUMBER('자료_한국심리'!$M2899),ISNUMBER('자료_한국심리'!$N2899)),'자료_한국심리'!$M2899,"")</f>
        <v/>
      </c>
    </row>
    <row r="2916">
      <c r="U2916">
        <f>IF(AND(ISNUMBER('자료_한국심리'!$A2900),ISNUMBER('자료_한국심리'!$B2900)),'자료_한국심리'!$A2900,"")</f>
        <v/>
      </c>
      <c r="V2916">
        <f>IF(AND(ISNUMBER('자료_한국심리'!$D2900),ISNUMBER('자료_한국심리'!$E2900)),'자료_한국심리'!$D2900,"")</f>
        <v/>
      </c>
      <c r="W2916">
        <f>IF(AND(ISNUMBER('자료_한국심리'!$G2900),ISNUMBER('자료_한국심리'!$H2900)),'자료_한국심리'!$G2900,"")</f>
        <v/>
      </c>
      <c r="X2916">
        <f>IF(AND(ISNUMBER('자료_한국심리'!$J2900),ISNUMBER('자료_한국심리'!$K2900)),'자료_한국심리'!$J2900,"")</f>
        <v/>
      </c>
      <c r="Y2916">
        <f>IF(AND(ISNUMBER('자료_한국심리'!$M2900),ISNUMBER('자료_한국심리'!$N2900)),'자료_한국심리'!$M2900,"")</f>
        <v/>
      </c>
    </row>
    <row r="2917">
      <c r="U2917">
        <f>IF(AND(ISNUMBER('자료_한국심리'!$A2901),ISNUMBER('자료_한국심리'!$B2901)),'자료_한국심리'!$A2901,"")</f>
        <v/>
      </c>
      <c r="V2917">
        <f>IF(AND(ISNUMBER('자료_한국심리'!$D2901),ISNUMBER('자료_한국심리'!$E2901)),'자료_한국심리'!$D2901,"")</f>
        <v/>
      </c>
      <c r="W2917">
        <f>IF(AND(ISNUMBER('자료_한국심리'!$G2901),ISNUMBER('자료_한국심리'!$H2901)),'자료_한국심리'!$G2901,"")</f>
        <v/>
      </c>
      <c r="X2917">
        <f>IF(AND(ISNUMBER('자료_한국심리'!$J2901),ISNUMBER('자료_한국심리'!$K2901)),'자료_한국심리'!$J2901,"")</f>
        <v/>
      </c>
      <c r="Y2917">
        <f>IF(AND(ISNUMBER('자료_한국심리'!$M2901),ISNUMBER('자료_한국심리'!$N2901)),'자료_한국심리'!$M2901,"")</f>
        <v/>
      </c>
    </row>
    <row r="2918">
      <c r="U2918">
        <f>IF(AND(ISNUMBER('자료_한국심리'!$A2902),ISNUMBER('자료_한국심리'!$B2902)),'자료_한국심리'!$A2902,"")</f>
        <v/>
      </c>
      <c r="V2918">
        <f>IF(AND(ISNUMBER('자료_한국심리'!$D2902),ISNUMBER('자료_한국심리'!$E2902)),'자료_한국심리'!$D2902,"")</f>
        <v/>
      </c>
      <c r="W2918">
        <f>IF(AND(ISNUMBER('자료_한국심리'!$G2902),ISNUMBER('자료_한국심리'!$H2902)),'자료_한국심리'!$G2902,"")</f>
        <v/>
      </c>
      <c r="X2918">
        <f>IF(AND(ISNUMBER('자료_한국심리'!$J2902),ISNUMBER('자료_한국심리'!$K2902)),'자료_한국심리'!$J2902,"")</f>
        <v/>
      </c>
      <c r="Y2918">
        <f>IF(AND(ISNUMBER('자료_한국심리'!$M2902),ISNUMBER('자료_한국심리'!$N2902)),'자료_한국심리'!$M2902,"")</f>
        <v/>
      </c>
    </row>
    <row r="2919">
      <c r="U2919">
        <f>IF(AND(ISNUMBER('자료_한국심리'!$A2903),ISNUMBER('자료_한국심리'!$B2903)),'자료_한국심리'!$A2903,"")</f>
        <v/>
      </c>
      <c r="V2919">
        <f>IF(AND(ISNUMBER('자료_한국심리'!$D2903),ISNUMBER('자료_한국심리'!$E2903)),'자료_한국심리'!$D2903,"")</f>
        <v/>
      </c>
      <c r="W2919">
        <f>IF(AND(ISNUMBER('자료_한국심리'!$G2903),ISNUMBER('자료_한국심리'!$H2903)),'자료_한국심리'!$G2903,"")</f>
        <v/>
      </c>
      <c r="X2919">
        <f>IF(AND(ISNUMBER('자료_한국심리'!$J2903),ISNUMBER('자료_한국심리'!$K2903)),'자료_한국심리'!$J2903,"")</f>
        <v/>
      </c>
      <c r="Y2919">
        <f>IF(AND(ISNUMBER('자료_한국심리'!$M2903),ISNUMBER('자료_한국심리'!$N2903)),'자료_한국심리'!$M2903,"")</f>
        <v/>
      </c>
    </row>
    <row r="2920">
      <c r="U2920">
        <f>IF(AND(ISNUMBER('자료_한국심리'!$A2904),ISNUMBER('자료_한국심리'!$B2904)),'자료_한국심리'!$A2904,"")</f>
        <v/>
      </c>
      <c r="V2920">
        <f>IF(AND(ISNUMBER('자료_한국심리'!$D2904),ISNUMBER('자료_한국심리'!$E2904)),'자료_한국심리'!$D2904,"")</f>
        <v/>
      </c>
      <c r="W2920">
        <f>IF(AND(ISNUMBER('자료_한국심리'!$G2904),ISNUMBER('자료_한국심리'!$H2904)),'자료_한국심리'!$G2904,"")</f>
        <v/>
      </c>
      <c r="X2920">
        <f>IF(AND(ISNUMBER('자료_한국심리'!$J2904),ISNUMBER('자료_한국심리'!$K2904)),'자료_한국심리'!$J2904,"")</f>
        <v/>
      </c>
      <c r="Y2920">
        <f>IF(AND(ISNUMBER('자료_한국심리'!$M2904),ISNUMBER('자료_한국심리'!$N2904)),'자료_한국심리'!$M2904,"")</f>
        <v/>
      </c>
    </row>
    <row r="2921">
      <c r="U2921">
        <f>IF(AND(ISNUMBER('자료_한국심리'!$A2905),ISNUMBER('자료_한국심리'!$B2905)),'자료_한국심리'!$A2905,"")</f>
        <v/>
      </c>
      <c r="V2921">
        <f>IF(AND(ISNUMBER('자료_한국심리'!$D2905),ISNUMBER('자료_한국심리'!$E2905)),'자료_한국심리'!$D2905,"")</f>
        <v/>
      </c>
      <c r="W2921">
        <f>IF(AND(ISNUMBER('자료_한국심리'!$G2905),ISNUMBER('자료_한국심리'!$H2905)),'자료_한국심리'!$G2905,"")</f>
        <v/>
      </c>
      <c r="X2921">
        <f>IF(AND(ISNUMBER('자료_한국심리'!$J2905),ISNUMBER('자료_한국심리'!$K2905)),'자료_한국심리'!$J2905,"")</f>
        <v/>
      </c>
      <c r="Y2921">
        <f>IF(AND(ISNUMBER('자료_한국심리'!$M2905),ISNUMBER('자료_한국심리'!$N2905)),'자료_한국심리'!$M2905,"")</f>
        <v/>
      </c>
    </row>
    <row r="2922">
      <c r="U2922">
        <f>IF(AND(ISNUMBER('자료_한국심리'!$A2906),ISNUMBER('자료_한국심리'!$B2906)),'자료_한국심리'!$A2906,"")</f>
        <v/>
      </c>
      <c r="V2922">
        <f>IF(AND(ISNUMBER('자료_한국심리'!$D2906),ISNUMBER('자료_한국심리'!$E2906)),'자료_한국심리'!$D2906,"")</f>
        <v/>
      </c>
      <c r="W2922">
        <f>IF(AND(ISNUMBER('자료_한국심리'!$G2906),ISNUMBER('자료_한국심리'!$H2906)),'자료_한국심리'!$G2906,"")</f>
        <v/>
      </c>
      <c r="X2922">
        <f>IF(AND(ISNUMBER('자료_한국심리'!$J2906),ISNUMBER('자료_한국심리'!$K2906)),'자료_한국심리'!$J2906,"")</f>
        <v/>
      </c>
      <c r="Y2922">
        <f>IF(AND(ISNUMBER('자료_한국심리'!$M2906),ISNUMBER('자료_한국심리'!$N2906)),'자료_한국심리'!$M2906,"")</f>
        <v/>
      </c>
    </row>
    <row r="2923">
      <c r="U2923">
        <f>IF(AND(ISNUMBER('자료_한국심리'!$A2907),ISNUMBER('자료_한국심리'!$B2907)),'자료_한국심리'!$A2907,"")</f>
        <v/>
      </c>
      <c r="V2923">
        <f>IF(AND(ISNUMBER('자료_한국심리'!$D2907),ISNUMBER('자료_한국심리'!$E2907)),'자료_한국심리'!$D2907,"")</f>
        <v/>
      </c>
      <c r="W2923">
        <f>IF(AND(ISNUMBER('자료_한국심리'!$G2907),ISNUMBER('자료_한국심리'!$H2907)),'자료_한국심리'!$G2907,"")</f>
        <v/>
      </c>
      <c r="X2923">
        <f>IF(AND(ISNUMBER('자료_한국심리'!$J2907),ISNUMBER('자료_한국심리'!$K2907)),'자료_한국심리'!$J2907,"")</f>
        <v/>
      </c>
      <c r="Y2923">
        <f>IF(AND(ISNUMBER('자료_한국심리'!$M2907),ISNUMBER('자료_한국심리'!$N2907)),'자료_한국심리'!$M2907,"")</f>
        <v/>
      </c>
    </row>
    <row r="2924">
      <c r="U2924">
        <f>IF(AND(ISNUMBER('자료_한국심리'!$A2908),ISNUMBER('자료_한국심리'!$B2908)),'자료_한국심리'!$A2908,"")</f>
        <v/>
      </c>
      <c r="V2924">
        <f>IF(AND(ISNUMBER('자료_한국심리'!$D2908),ISNUMBER('자료_한국심리'!$E2908)),'자료_한국심리'!$D2908,"")</f>
        <v/>
      </c>
      <c r="W2924">
        <f>IF(AND(ISNUMBER('자료_한국심리'!$G2908),ISNUMBER('자료_한국심리'!$H2908)),'자료_한국심리'!$G2908,"")</f>
        <v/>
      </c>
      <c r="X2924">
        <f>IF(AND(ISNUMBER('자료_한국심리'!$J2908),ISNUMBER('자료_한국심리'!$K2908)),'자료_한국심리'!$J2908,"")</f>
        <v/>
      </c>
      <c r="Y2924">
        <f>IF(AND(ISNUMBER('자료_한국심리'!$M2908),ISNUMBER('자료_한국심리'!$N2908)),'자료_한국심리'!$M2908,"")</f>
        <v/>
      </c>
    </row>
    <row r="2925">
      <c r="U2925">
        <f>IF(AND(ISNUMBER('자료_한국심리'!$A2909),ISNUMBER('자료_한국심리'!$B2909)),'자료_한국심리'!$A2909,"")</f>
        <v/>
      </c>
      <c r="V2925">
        <f>IF(AND(ISNUMBER('자료_한국심리'!$D2909),ISNUMBER('자료_한국심리'!$E2909)),'자료_한국심리'!$D2909,"")</f>
        <v/>
      </c>
      <c r="W2925">
        <f>IF(AND(ISNUMBER('자료_한국심리'!$G2909),ISNUMBER('자료_한국심리'!$H2909)),'자료_한국심리'!$G2909,"")</f>
        <v/>
      </c>
      <c r="X2925">
        <f>IF(AND(ISNUMBER('자료_한국심리'!$J2909),ISNUMBER('자료_한국심리'!$K2909)),'자료_한국심리'!$J2909,"")</f>
        <v/>
      </c>
      <c r="Y2925">
        <f>IF(AND(ISNUMBER('자료_한국심리'!$M2909),ISNUMBER('자료_한국심리'!$N2909)),'자료_한국심리'!$M2909,"")</f>
        <v/>
      </c>
    </row>
    <row r="2926">
      <c r="U2926">
        <f>IF(AND(ISNUMBER('자료_한국심리'!$A2910),ISNUMBER('자료_한국심리'!$B2910)),'자료_한국심리'!$A2910,"")</f>
        <v/>
      </c>
      <c r="V2926">
        <f>IF(AND(ISNUMBER('자료_한국심리'!$D2910),ISNUMBER('자료_한국심리'!$E2910)),'자료_한국심리'!$D2910,"")</f>
        <v/>
      </c>
      <c r="W2926">
        <f>IF(AND(ISNUMBER('자료_한국심리'!$G2910),ISNUMBER('자료_한국심리'!$H2910)),'자료_한국심리'!$G2910,"")</f>
        <v/>
      </c>
      <c r="X2926">
        <f>IF(AND(ISNUMBER('자료_한국심리'!$J2910),ISNUMBER('자료_한국심리'!$K2910)),'자료_한국심리'!$J2910,"")</f>
        <v/>
      </c>
      <c r="Y2926">
        <f>IF(AND(ISNUMBER('자료_한국심리'!$M2910),ISNUMBER('자료_한국심리'!$N2910)),'자료_한국심리'!$M2910,"")</f>
        <v/>
      </c>
    </row>
    <row r="2927">
      <c r="U2927">
        <f>IF(AND(ISNUMBER('자료_한국심리'!$A2911),ISNUMBER('자료_한국심리'!$B2911)),'자료_한국심리'!$A2911,"")</f>
        <v/>
      </c>
      <c r="V2927">
        <f>IF(AND(ISNUMBER('자료_한국심리'!$D2911),ISNUMBER('자료_한국심리'!$E2911)),'자료_한국심리'!$D2911,"")</f>
        <v/>
      </c>
      <c r="W2927">
        <f>IF(AND(ISNUMBER('자료_한국심리'!$G2911),ISNUMBER('자료_한국심리'!$H2911)),'자료_한국심리'!$G2911,"")</f>
        <v/>
      </c>
      <c r="X2927">
        <f>IF(AND(ISNUMBER('자료_한국심리'!$J2911),ISNUMBER('자료_한국심리'!$K2911)),'자료_한국심리'!$J2911,"")</f>
        <v/>
      </c>
      <c r="Y2927">
        <f>IF(AND(ISNUMBER('자료_한국심리'!$M2911),ISNUMBER('자료_한국심리'!$N2911)),'자료_한국심리'!$M2911,"")</f>
        <v/>
      </c>
    </row>
    <row r="2928">
      <c r="U2928">
        <f>IF(AND(ISNUMBER('자료_한국심리'!$A2912),ISNUMBER('자료_한국심리'!$B2912)),'자료_한국심리'!$A2912,"")</f>
        <v/>
      </c>
      <c r="V2928">
        <f>IF(AND(ISNUMBER('자료_한국심리'!$D2912),ISNUMBER('자료_한국심리'!$E2912)),'자료_한국심리'!$D2912,"")</f>
        <v/>
      </c>
      <c r="W2928">
        <f>IF(AND(ISNUMBER('자료_한국심리'!$G2912),ISNUMBER('자료_한국심리'!$H2912)),'자료_한국심리'!$G2912,"")</f>
        <v/>
      </c>
      <c r="X2928">
        <f>IF(AND(ISNUMBER('자료_한국심리'!$J2912),ISNUMBER('자료_한국심리'!$K2912)),'자료_한국심리'!$J2912,"")</f>
        <v/>
      </c>
      <c r="Y2928">
        <f>IF(AND(ISNUMBER('자료_한국심리'!$M2912),ISNUMBER('자료_한국심리'!$N2912)),'자료_한국심리'!$M2912,"")</f>
        <v/>
      </c>
    </row>
    <row r="2929">
      <c r="U2929">
        <f>IF(AND(ISNUMBER('자료_한국심리'!$A2913),ISNUMBER('자료_한국심리'!$B2913)),'자료_한국심리'!$A2913,"")</f>
        <v/>
      </c>
      <c r="V2929">
        <f>IF(AND(ISNUMBER('자료_한국심리'!$D2913),ISNUMBER('자료_한국심리'!$E2913)),'자료_한국심리'!$D2913,"")</f>
        <v/>
      </c>
      <c r="W2929">
        <f>IF(AND(ISNUMBER('자료_한국심리'!$G2913),ISNUMBER('자료_한국심리'!$H2913)),'자료_한국심리'!$G2913,"")</f>
        <v/>
      </c>
      <c r="X2929">
        <f>IF(AND(ISNUMBER('자료_한국심리'!$J2913),ISNUMBER('자료_한국심리'!$K2913)),'자료_한국심리'!$J2913,"")</f>
        <v/>
      </c>
      <c r="Y2929">
        <f>IF(AND(ISNUMBER('자료_한국심리'!$M2913),ISNUMBER('자료_한국심리'!$N2913)),'자료_한국심리'!$M2913,"")</f>
        <v/>
      </c>
    </row>
    <row r="2930">
      <c r="U2930">
        <f>IF(AND(ISNUMBER('자료_한국심리'!$A2914),ISNUMBER('자료_한국심리'!$B2914)),'자료_한국심리'!$A2914,"")</f>
        <v/>
      </c>
      <c r="V2930">
        <f>IF(AND(ISNUMBER('자료_한국심리'!$D2914),ISNUMBER('자료_한국심리'!$E2914)),'자료_한국심리'!$D2914,"")</f>
        <v/>
      </c>
      <c r="W2930">
        <f>IF(AND(ISNUMBER('자료_한국심리'!$G2914),ISNUMBER('자료_한국심리'!$H2914)),'자료_한국심리'!$G2914,"")</f>
        <v/>
      </c>
      <c r="X2930">
        <f>IF(AND(ISNUMBER('자료_한국심리'!$J2914),ISNUMBER('자료_한국심리'!$K2914)),'자료_한국심리'!$J2914,"")</f>
        <v/>
      </c>
      <c r="Y2930">
        <f>IF(AND(ISNUMBER('자료_한국심리'!$M2914),ISNUMBER('자료_한국심리'!$N2914)),'자료_한국심리'!$M2914,"")</f>
        <v/>
      </c>
    </row>
    <row r="2931">
      <c r="U2931">
        <f>IF(AND(ISNUMBER('자료_한국심리'!$A2915),ISNUMBER('자료_한국심리'!$B2915)),'자료_한국심리'!$A2915,"")</f>
        <v/>
      </c>
      <c r="V2931">
        <f>IF(AND(ISNUMBER('자료_한국심리'!$D2915),ISNUMBER('자료_한국심리'!$E2915)),'자료_한국심리'!$D2915,"")</f>
        <v/>
      </c>
      <c r="W2931">
        <f>IF(AND(ISNUMBER('자료_한국심리'!$G2915),ISNUMBER('자료_한국심리'!$H2915)),'자료_한국심리'!$G2915,"")</f>
        <v/>
      </c>
      <c r="X2931">
        <f>IF(AND(ISNUMBER('자료_한국심리'!$J2915),ISNUMBER('자료_한국심리'!$K2915)),'자료_한국심리'!$J2915,"")</f>
        <v/>
      </c>
      <c r="Y2931">
        <f>IF(AND(ISNUMBER('자료_한국심리'!$M2915),ISNUMBER('자료_한국심리'!$N2915)),'자료_한국심리'!$M2915,"")</f>
        <v/>
      </c>
    </row>
    <row r="2932">
      <c r="U2932">
        <f>IF(AND(ISNUMBER('자료_한국심리'!$A2916),ISNUMBER('자료_한국심리'!$B2916)),'자료_한국심리'!$A2916,"")</f>
        <v/>
      </c>
      <c r="V2932">
        <f>IF(AND(ISNUMBER('자료_한국심리'!$D2916),ISNUMBER('자료_한국심리'!$E2916)),'자료_한국심리'!$D2916,"")</f>
        <v/>
      </c>
      <c r="W2932">
        <f>IF(AND(ISNUMBER('자료_한국심리'!$G2916),ISNUMBER('자료_한국심리'!$H2916)),'자료_한국심리'!$G2916,"")</f>
        <v/>
      </c>
      <c r="X2932">
        <f>IF(AND(ISNUMBER('자료_한국심리'!$J2916),ISNUMBER('자료_한국심리'!$K2916)),'자료_한국심리'!$J2916,"")</f>
        <v/>
      </c>
      <c r="Y2932">
        <f>IF(AND(ISNUMBER('자료_한국심리'!$M2916),ISNUMBER('자료_한국심리'!$N2916)),'자료_한국심리'!$M2916,"")</f>
        <v/>
      </c>
    </row>
    <row r="2933">
      <c r="U2933">
        <f>IF(AND(ISNUMBER('자료_한국심리'!$A2917),ISNUMBER('자료_한국심리'!$B2917)),'자료_한국심리'!$A2917,"")</f>
        <v/>
      </c>
      <c r="V2933">
        <f>IF(AND(ISNUMBER('자료_한국심리'!$D2917),ISNUMBER('자료_한국심리'!$E2917)),'자료_한국심리'!$D2917,"")</f>
        <v/>
      </c>
      <c r="W2933">
        <f>IF(AND(ISNUMBER('자료_한국심리'!$G2917),ISNUMBER('자료_한국심리'!$H2917)),'자료_한국심리'!$G2917,"")</f>
        <v/>
      </c>
      <c r="X2933">
        <f>IF(AND(ISNUMBER('자료_한국심리'!$J2917),ISNUMBER('자료_한국심리'!$K2917)),'자료_한국심리'!$J2917,"")</f>
        <v/>
      </c>
      <c r="Y2933">
        <f>IF(AND(ISNUMBER('자료_한국심리'!$M2917),ISNUMBER('자료_한국심리'!$N2917)),'자료_한국심리'!$M2917,"")</f>
        <v/>
      </c>
    </row>
    <row r="2934">
      <c r="U2934">
        <f>IF(AND(ISNUMBER('자료_한국심리'!$A2918),ISNUMBER('자료_한국심리'!$B2918)),'자료_한국심리'!$A2918,"")</f>
        <v/>
      </c>
      <c r="V2934">
        <f>IF(AND(ISNUMBER('자료_한국심리'!$D2918),ISNUMBER('자료_한국심리'!$E2918)),'자료_한국심리'!$D2918,"")</f>
        <v/>
      </c>
      <c r="W2934">
        <f>IF(AND(ISNUMBER('자료_한국심리'!$G2918),ISNUMBER('자료_한국심리'!$H2918)),'자료_한국심리'!$G2918,"")</f>
        <v/>
      </c>
      <c r="X2934">
        <f>IF(AND(ISNUMBER('자료_한국심리'!$J2918),ISNUMBER('자료_한국심리'!$K2918)),'자료_한국심리'!$J2918,"")</f>
        <v/>
      </c>
      <c r="Y2934">
        <f>IF(AND(ISNUMBER('자료_한국심리'!$M2918),ISNUMBER('자료_한국심리'!$N2918)),'자료_한국심리'!$M2918,"")</f>
        <v/>
      </c>
    </row>
    <row r="2935">
      <c r="U2935">
        <f>IF(AND(ISNUMBER('자료_한국심리'!$A2919),ISNUMBER('자료_한국심리'!$B2919)),'자료_한국심리'!$A2919,"")</f>
        <v/>
      </c>
      <c r="V2935">
        <f>IF(AND(ISNUMBER('자료_한국심리'!$D2919),ISNUMBER('자료_한국심리'!$E2919)),'자료_한국심리'!$D2919,"")</f>
        <v/>
      </c>
      <c r="W2935">
        <f>IF(AND(ISNUMBER('자료_한국심리'!$G2919),ISNUMBER('자료_한국심리'!$H2919)),'자료_한국심리'!$G2919,"")</f>
        <v/>
      </c>
      <c r="X2935">
        <f>IF(AND(ISNUMBER('자료_한국심리'!$J2919),ISNUMBER('자료_한국심리'!$K2919)),'자료_한국심리'!$J2919,"")</f>
        <v/>
      </c>
      <c r="Y2935">
        <f>IF(AND(ISNUMBER('자료_한국심리'!$M2919),ISNUMBER('자료_한국심리'!$N2919)),'자료_한국심리'!$M2919,"")</f>
        <v/>
      </c>
    </row>
    <row r="2936">
      <c r="U2936">
        <f>IF(AND(ISNUMBER('자료_한국심리'!$A2920),ISNUMBER('자료_한국심리'!$B2920)),'자료_한국심리'!$A2920,"")</f>
        <v/>
      </c>
      <c r="V2936">
        <f>IF(AND(ISNUMBER('자료_한국심리'!$D2920),ISNUMBER('자료_한국심리'!$E2920)),'자료_한국심리'!$D2920,"")</f>
        <v/>
      </c>
      <c r="W2936">
        <f>IF(AND(ISNUMBER('자료_한국심리'!$G2920),ISNUMBER('자료_한국심리'!$H2920)),'자료_한국심리'!$G2920,"")</f>
        <v/>
      </c>
      <c r="X2936">
        <f>IF(AND(ISNUMBER('자료_한국심리'!$J2920),ISNUMBER('자료_한국심리'!$K2920)),'자료_한국심리'!$J2920,"")</f>
        <v/>
      </c>
      <c r="Y2936">
        <f>IF(AND(ISNUMBER('자료_한국심리'!$M2920),ISNUMBER('자료_한국심리'!$N2920)),'자료_한국심리'!$M2920,"")</f>
        <v/>
      </c>
    </row>
    <row r="2937">
      <c r="U2937">
        <f>IF(AND(ISNUMBER('자료_한국심리'!$A2921),ISNUMBER('자료_한국심리'!$B2921)),'자료_한국심리'!$A2921,"")</f>
        <v/>
      </c>
      <c r="V2937">
        <f>IF(AND(ISNUMBER('자료_한국심리'!$D2921),ISNUMBER('자료_한국심리'!$E2921)),'자료_한국심리'!$D2921,"")</f>
        <v/>
      </c>
      <c r="W2937">
        <f>IF(AND(ISNUMBER('자료_한국심리'!$G2921),ISNUMBER('자료_한국심리'!$H2921)),'자료_한국심리'!$G2921,"")</f>
        <v/>
      </c>
      <c r="X2937">
        <f>IF(AND(ISNUMBER('자료_한국심리'!$J2921),ISNUMBER('자료_한국심리'!$K2921)),'자료_한국심리'!$J2921,"")</f>
        <v/>
      </c>
      <c r="Y2937">
        <f>IF(AND(ISNUMBER('자료_한국심리'!$M2921),ISNUMBER('자료_한국심리'!$N2921)),'자료_한국심리'!$M2921,"")</f>
        <v/>
      </c>
    </row>
    <row r="2938">
      <c r="U2938">
        <f>IF(AND(ISNUMBER('자료_한국심리'!$A2922),ISNUMBER('자료_한국심리'!$B2922)),'자료_한국심리'!$A2922,"")</f>
        <v/>
      </c>
      <c r="V2938">
        <f>IF(AND(ISNUMBER('자료_한국심리'!$D2922),ISNUMBER('자료_한국심리'!$E2922)),'자료_한국심리'!$D2922,"")</f>
        <v/>
      </c>
      <c r="W2938">
        <f>IF(AND(ISNUMBER('자료_한국심리'!$G2922),ISNUMBER('자료_한국심리'!$H2922)),'자료_한국심리'!$G2922,"")</f>
        <v/>
      </c>
      <c r="X2938">
        <f>IF(AND(ISNUMBER('자료_한국심리'!$J2922),ISNUMBER('자료_한국심리'!$K2922)),'자료_한국심리'!$J2922,"")</f>
        <v/>
      </c>
      <c r="Y2938">
        <f>IF(AND(ISNUMBER('자료_한국심리'!$M2922),ISNUMBER('자료_한국심리'!$N2922)),'자료_한국심리'!$M2922,"")</f>
        <v/>
      </c>
    </row>
    <row r="2939">
      <c r="U2939">
        <f>IF(AND(ISNUMBER('자료_한국심리'!$A2923),ISNUMBER('자료_한국심리'!$B2923)),'자료_한국심리'!$A2923,"")</f>
        <v/>
      </c>
      <c r="V2939">
        <f>IF(AND(ISNUMBER('자료_한국심리'!$D2923),ISNUMBER('자료_한국심리'!$E2923)),'자료_한국심리'!$D2923,"")</f>
        <v/>
      </c>
      <c r="W2939">
        <f>IF(AND(ISNUMBER('자료_한국심리'!$G2923),ISNUMBER('자료_한국심리'!$H2923)),'자료_한국심리'!$G2923,"")</f>
        <v/>
      </c>
      <c r="X2939">
        <f>IF(AND(ISNUMBER('자료_한국심리'!$J2923),ISNUMBER('자료_한국심리'!$K2923)),'자료_한국심리'!$J2923,"")</f>
        <v/>
      </c>
      <c r="Y2939">
        <f>IF(AND(ISNUMBER('자료_한국심리'!$M2923),ISNUMBER('자료_한국심리'!$N2923)),'자료_한국심리'!$M2923,"")</f>
        <v/>
      </c>
    </row>
    <row r="2940">
      <c r="U2940">
        <f>IF(AND(ISNUMBER('자료_한국심리'!$A2924),ISNUMBER('자료_한국심리'!$B2924)),'자료_한국심리'!$A2924,"")</f>
        <v/>
      </c>
      <c r="V2940">
        <f>IF(AND(ISNUMBER('자료_한국심리'!$D2924),ISNUMBER('자료_한국심리'!$E2924)),'자료_한국심리'!$D2924,"")</f>
        <v/>
      </c>
      <c r="W2940">
        <f>IF(AND(ISNUMBER('자료_한국심리'!$G2924),ISNUMBER('자료_한국심리'!$H2924)),'자료_한국심리'!$G2924,"")</f>
        <v/>
      </c>
      <c r="X2940">
        <f>IF(AND(ISNUMBER('자료_한국심리'!$J2924),ISNUMBER('자료_한국심리'!$K2924)),'자료_한국심리'!$J2924,"")</f>
        <v/>
      </c>
      <c r="Y2940">
        <f>IF(AND(ISNUMBER('자료_한국심리'!$M2924),ISNUMBER('자료_한국심리'!$N2924)),'자료_한국심리'!$M2924,"")</f>
        <v/>
      </c>
    </row>
    <row r="2941">
      <c r="U2941">
        <f>IF(AND(ISNUMBER('자료_한국심리'!$A2925),ISNUMBER('자료_한국심리'!$B2925)),'자료_한국심리'!$A2925,"")</f>
        <v/>
      </c>
      <c r="V2941">
        <f>IF(AND(ISNUMBER('자료_한국심리'!$D2925),ISNUMBER('자료_한국심리'!$E2925)),'자료_한국심리'!$D2925,"")</f>
        <v/>
      </c>
      <c r="W2941">
        <f>IF(AND(ISNUMBER('자료_한국심리'!$G2925),ISNUMBER('자료_한국심리'!$H2925)),'자료_한국심리'!$G2925,"")</f>
        <v/>
      </c>
      <c r="X2941">
        <f>IF(AND(ISNUMBER('자료_한국심리'!$J2925),ISNUMBER('자료_한국심리'!$K2925)),'자료_한국심리'!$J2925,"")</f>
        <v/>
      </c>
      <c r="Y2941">
        <f>IF(AND(ISNUMBER('자료_한국심리'!$M2925),ISNUMBER('자료_한국심리'!$N2925)),'자료_한국심리'!$M2925,"")</f>
        <v/>
      </c>
    </row>
    <row r="2942">
      <c r="U2942">
        <f>IF(AND(ISNUMBER('자료_한국심리'!$A2926),ISNUMBER('자료_한국심리'!$B2926)),'자료_한국심리'!$A2926,"")</f>
        <v/>
      </c>
      <c r="V2942">
        <f>IF(AND(ISNUMBER('자료_한국심리'!$D2926),ISNUMBER('자료_한국심리'!$E2926)),'자료_한국심리'!$D2926,"")</f>
        <v/>
      </c>
      <c r="W2942">
        <f>IF(AND(ISNUMBER('자료_한국심리'!$G2926),ISNUMBER('자료_한국심리'!$H2926)),'자료_한국심리'!$G2926,"")</f>
        <v/>
      </c>
      <c r="X2942">
        <f>IF(AND(ISNUMBER('자료_한국심리'!$J2926),ISNUMBER('자료_한국심리'!$K2926)),'자료_한국심리'!$J2926,"")</f>
        <v/>
      </c>
      <c r="Y2942">
        <f>IF(AND(ISNUMBER('자료_한국심리'!$M2926),ISNUMBER('자료_한국심리'!$N2926)),'자료_한국심리'!$M2926,"")</f>
        <v/>
      </c>
    </row>
    <row r="2943">
      <c r="U2943">
        <f>IF(AND(ISNUMBER('자료_한국심리'!$A2927),ISNUMBER('자료_한국심리'!$B2927)),'자료_한국심리'!$A2927,"")</f>
        <v/>
      </c>
      <c r="V2943">
        <f>IF(AND(ISNUMBER('자료_한국심리'!$D2927),ISNUMBER('자료_한국심리'!$E2927)),'자료_한국심리'!$D2927,"")</f>
        <v/>
      </c>
      <c r="W2943">
        <f>IF(AND(ISNUMBER('자료_한국심리'!$G2927),ISNUMBER('자료_한국심리'!$H2927)),'자료_한국심리'!$G2927,"")</f>
        <v/>
      </c>
      <c r="X2943">
        <f>IF(AND(ISNUMBER('자료_한국심리'!$J2927),ISNUMBER('자료_한국심리'!$K2927)),'자료_한국심리'!$J2927,"")</f>
        <v/>
      </c>
      <c r="Y2943">
        <f>IF(AND(ISNUMBER('자료_한국심리'!$M2927),ISNUMBER('자료_한국심리'!$N2927)),'자료_한국심리'!$M2927,"")</f>
        <v/>
      </c>
    </row>
    <row r="2944">
      <c r="U2944">
        <f>IF(AND(ISNUMBER('자료_한국심리'!$A2928),ISNUMBER('자료_한국심리'!$B2928)),'자료_한국심리'!$A2928,"")</f>
        <v/>
      </c>
      <c r="V2944">
        <f>IF(AND(ISNUMBER('자료_한국심리'!$D2928),ISNUMBER('자료_한국심리'!$E2928)),'자료_한국심리'!$D2928,"")</f>
        <v/>
      </c>
      <c r="W2944">
        <f>IF(AND(ISNUMBER('자료_한국심리'!$G2928),ISNUMBER('자료_한국심리'!$H2928)),'자료_한국심리'!$G2928,"")</f>
        <v/>
      </c>
      <c r="X2944">
        <f>IF(AND(ISNUMBER('자료_한국심리'!$J2928),ISNUMBER('자료_한국심리'!$K2928)),'자료_한국심리'!$J2928,"")</f>
        <v/>
      </c>
      <c r="Y2944">
        <f>IF(AND(ISNUMBER('자료_한국심리'!$M2928),ISNUMBER('자료_한국심리'!$N2928)),'자료_한국심리'!$M2928,"")</f>
        <v/>
      </c>
    </row>
    <row r="2945">
      <c r="U2945">
        <f>IF(AND(ISNUMBER('자료_한국심리'!$A2929),ISNUMBER('자료_한국심리'!$B2929)),'자료_한국심리'!$A2929,"")</f>
        <v/>
      </c>
      <c r="V2945">
        <f>IF(AND(ISNUMBER('자료_한국심리'!$D2929),ISNUMBER('자료_한국심리'!$E2929)),'자료_한국심리'!$D2929,"")</f>
        <v/>
      </c>
      <c r="W2945">
        <f>IF(AND(ISNUMBER('자료_한국심리'!$G2929),ISNUMBER('자료_한국심리'!$H2929)),'자료_한국심리'!$G2929,"")</f>
        <v/>
      </c>
      <c r="X2945">
        <f>IF(AND(ISNUMBER('자료_한국심리'!$J2929),ISNUMBER('자료_한국심리'!$K2929)),'자료_한국심리'!$J2929,"")</f>
        <v/>
      </c>
      <c r="Y2945">
        <f>IF(AND(ISNUMBER('자료_한국심리'!$M2929),ISNUMBER('자료_한국심리'!$N2929)),'자료_한국심리'!$M2929,"")</f>
        <v/>
      </c>
    </row>
    <row r="2946">
      <c r="U2946">
        <f>IF(AND(ISNUMBER('자료_한국심리'!$A2930),ISNUMBER('자료_한국심리'!$B2930)),'자료_한국심리'!$A2930,"")</f>
        <v/>
      </c>
      <c r="V2946">
        <f>IF(AND(ISNUMBER('자료_한국심리'!$D2930),ISNUMBER('자료_한국심리'!$E2930)),'자료_한국심리'!$D2930,"")</f>
        <v/>
      </c>
      <c r="W2946">
        <f>IF(AND(ISNUMBER('자료_한국심리'!$G2930),ISNUMBER('자료_한국심리'!$H2930)),'자료_한국심리'!$G2930,"")</f>
        <v/>
      </c>
      <c r="X2946">
        <f>IF(AND(ISNUMBER('자료_한국심리'!$J2930),ISNUMBER('자료_한국심리'!$K2930)),'자료_한국심리'!$J2930,"")</f>
        <v/>
      </c>
      <c r="Y2946">
        <f>IF(AND(ISNUMBER('자료_한국심리'!$M2930),ISNUMBER('자료_한국심리'!$N2930)),'자료_한국심리'!$M2930,"")</f>
        <v/>
      </c>
    </row>
    <row r="2947">
      <c r="U2947">
        <f>IF(AND(ISNUMBER('자료_한국심리'!$A2931),ISNUMBER('자료_한국심리'!$B2931)),'자료_한국심리'!$A2931,"")</f>
        <v/>
      </c>
      <c r="V2947">
        <f>IF(AND(ISNUMBER('자료_한국심리'!$D2931),ISNUMBER('자료_한국심리'!$E2931)),'자료_한국심리'!$D2931,"")</f>
        <v/>
      </c>
      <c r="W2947">
        <f>IF(AND(ISNUMBER('자료_한국심리'!$G2931),ISNUMBER('자료_한국심리'!$H2931)),'자료_한국심리'!$G2931,"")</f>
        <v/>
      </c>
      <c r="X2947">
        <f>IF(AND(ISNUMBER('자료_한국심리'!$J2931),ISNUMBER('자료_한국심리'!$K2931)),'자료_한국심리'!$J2931,"")</f>
        <v/>
      </c>
      <c r="Y2947">
        <f>IF(AND(ISNUMBER('자료_한국심리'!$M2931),ISNUMBER('자료_한국심리'!$N2931)),'자료_한국심리'!$M2931,"")</f>
        <v/>
      </c>
    </row>
    <row r="2948">
      <c r="U2948">
        <f>IF(AND(ISNUMBER('자료_한국심리'!$A2932),ISNUMBER('자료_한국심리'!$B2932)),'자료_한국심리'!$A2932,"")</f>
        <v/>
      </c>
      <c r="V2948">
        <f>IF(AND(ISNUMBER('자료_한국심리'!$D2932),ISNUMBER('자료_한국심리'!$E2932)),'자료_한국심리'!$D2932,"")</f>
        <v/>
      </c>
      <c r="W2948">
        <f>IF(AND(ISNUMBER('자료_한국심리'!$G2932),ISNUMBER('자료_한국심리'!$H2932)),'자료_한국심리'!$G2932,"")</f>
        <v/>
      </c>
      <c r="X2948">
        <f>IF(AND(ISNUMBER('자료_한국심리'!$J2932),ISNUMBER('자료_한국심리'!$K2932)),'자료_한국심리'!$J2932,"")</f>
        <v/>
      </c>
      <c r="Y2948">
        <f>IF(AND(ISNUMBER('자료_한국심리'!$M2932),ISNUMBER('자료_한국심리'!$N2932)),'자료_한국심리'!$M2932,"")</f>
        <v/>
      </c>
    </row>
    <row r="2949">
      <c r="U2949">
        <f>IF(AND(ISNUMBER('자료_한국심리'!$A2933),ISNUMBER('자료_한국심리'!$B2933)),'자료_한국심리'!$A2933,"")</f>
        <v/>
      </c>
      <c r="V2949">
        <f>IF(AND(ISNUMBER('자료_한국심리'!$D2933),ISNUMBER('자료_한국심리'!$E2933)),'자료_한국심리'!$D2933,"")</f>
        <v/>
      </c>
      <c r="W2949">
        <f>IF(AND(ISNUMBER('자료_한국심리'!$G2933),ISNUMBER('자료_한국심리'!$H2933)),'자료_한국심리'!$G2933,"")</f>
        <v/>
      </c>
      <c r="X2949">
        <f>IF(AND(ISNUMBER('자료_한국심리'!$J2933),ISNUMBER('자료_한국심리'!$K2933)),'자료_한국심리'!$J2933,"")</f>
        <v/>
      </c>
      <c r="Y2949">
        <f>IF(AND(ISNUMBER('자료_한국심리'!$M2933),ISNUMBER('자료_한국심리'!$N2933)),'자료_한국심리'!$M2933,"")</f>
        <v/>
      </c>
    </row>
    <row r="2950">
      <c r="U2950">
        <f>IF(AND(ISNUMBER('자료_한국심리'!$A2934),ISNUMBER('자료_한국심리'!$B2934)),'자료_한국심리'!$A2934,"")</f>
        <v/>
      </c>
      <c r="V2950">
        <f>IF(AND(ISNUMBER('자료_한국심리'!$D2934),ISNUMBER('자료_한국심리'!$E2934)),'자료_한국심리'!$D2934,"")</f>
        <v/>
      </c>
      <c r="W2950">
        <f>IF(AND(ISNUMBER('자료_한국심리'!$G2934),ISNUMBER('자료_한국심리'!$H2934)),'자료_한국심리'!$G2934,"")</f>
        <v/>
      </c>
      <c r="X2950">
        <f>IF(AND(ISNUMBER('자료_한국심리'!$J2934),ISNUMBER('자료_한국심리'!$K2934)),'자료_한국심리'!$J2934,"")</f>
        <v/>
      </c>
      <c r="Y2950">
        <f>IF(AND(ISNUMBER('자료_한국심리'!$M2934),ISNUMBER('자료_한국심리'!$N2934)),'자료_한국심리'!$M2934,"")</f>
        <v/>
      </c>
    </row>
    <row r="2951">
      <c r="U2951">
        <f>IF(AND(ISNUMBER('자료_한국심리'!$A2935),ISNUMBER('자료_한국심리'!$B2935)),'자료_한국심리'!$A2935,"")</f>
        <v/>
      </c>
      <c r="V2951">
        <f>IF(AND(ISNUMBER('자료_한국심리'!$D2935),ISNUMBER('자료_한국심리'!$E2935)),'자료_한국심리'!$D2935,"")</f>
        <v/>
      </c>
      <c r="W2951">
        <f>IF(AND(ISNUMBER('자료_한국심리'!$G2935),ISNUMBER('자료_한국심리'!$H2935)),'자료_한국심리'!$G2935,"")</f>
        <v/>
      </c>
      <c r="X2951">
        <f>IF(AND(ISNUMBER('자료_한국심리'!$J2935),ISNUMBER('자료_한국심리'!$K2935)),'자료_한국심리'!$J2935,"")</f>
        <v/>
      </c>
      <c r="Y2951">
        <f>IF(AND(ISNUMBER('자료_한국심리'!$M2935),ISNUMBER('자료_한국심리'!$N2935)),'자료_한국심리'!$M2935,"")</f>
        <v/>
      </c>
    </row>
    <row r="2952">
      <c r="U2952">
        <f>IF(AND(ISNUMBER('자료_한국심리'!$A2936),ISNUMBER('자료_한국심리'!$B2936)),'자료_한국심리'!$A2936,"")</f>
        <v/>
      </c>
      <c r="V2952">
        <f>IF(AND(ISNUMBER('자료_한국심리'!$D2936),ISNUMBER('자료_한국심리'!$E2936)),'자료_한국심리'!$D2936,"")</f>
        <v/>
      </c>
      <c r="W2952">
        <f>IF(AND(ISNUMBER('자료_한국심리'!$G2936),ISNUMBER('자료_한국심리'!$H2936)),'자료_한국심리'!$G2936,"")</f>
        <v/>
      </c>
      <c r="X2952">
        <f>IF(AND(ISNUMBER('자료_한국심리'!$J2936),ISNUMBER('자료_한국심리'!$K2936)),'자료_한국심리'!$J2936,"")</f>
        <v/>
      </c>
      <c r="Y2952">
        <f>IF(AND(ISNUMBER('자료_한국심리'!$M2936),ISNUMBER('자료_한국심리'!$N2936)),'자료_한국심리'!$M2936,"")</f>
        <v/>
      </c>
    </row>
    <row r="2953">
      <c r="U2953">
        <f>IF(AND(ISNUMBER('자료_한국심리'!$A2937),ISNUMBER('자료_한국심리'!$B2937)),'자료_한국심리'!$A2937,"")</f>
        <v/>
      </c>
      <c r="V2953">
        <f>IF(AND(ISNUMBER('자료_한국심리'!$D2937),ISNUMBER('자료_한국심리'!$E2937)),'자료_한국심리'!$D2937,"")</f>
        <v/>
      </c>
      <c r="W2953">
        <f>IF(AND(ISNUMBER('자료_한국심리'!$G2937),ISNUMBER('자료_한국심리'!$H2937)),'자료_한국심리'!$G2937,"")</f>
        <v/>
      </c>
      <c r="X2953">
        <f>IF(AND(ISNUMBER('자료_한국심리'!$J2937),ISNUMBER('자료_한국심리'!$K2937)),'자료_한국심리'!$J2937,"")</f>
        <v/>
      </c>
      <c r="Y2953">
        <f>IF(AND(ISNUMBER('자료_한국심리'!$M2937),ISNUMBER('자료_한국심리'!$N2937)),'자료_한국심리'!$M2937,"")</f>
        <v/>
      </c>
    </row>
    <row r="2954">
      <c r="U2954">
        <f>IF(AND(ISNUMBER('자료_한국심리'!$A2938),ISNUMBER('자료_한국심리'!$B2938)),'자료_한국심리'!$A2938,"")</f>
        <v/>
      </c>
      <c r="V2954">
        <f>IF(AND(ISNUMBER('자료_한국심리'!$D2938),ISNUMBER('자료_한국심리'!$E2938)),'자료_한국심리'!$D2938,"")</f>
        <v/>
      </c>
      <c r="W2954">
        <f>IF(AND(ISNUMBER('자료_한국심리'!$G2938),ISNUMBER('자료_한국심리'!$H2938)),'자료_한국심리'!$G2938,"")</f>
        <v/>
      </c>
      <c r="X2954">
        <f>IF(AND(ISNUMBER('자료_한국심리'!$J2938),ISNUMBER('자료_한국심리'!$K2938)),'자료_한국심리'!$J2938,"")</f>
        <v/>
      </c>
      <c r="Y2954">
        <f>IF(AND(ISNUMBER('자료_한국심리'!$M2938),ISNUMBER('자료_한국심리'!$N2938)),'자료_한국심리'!$M2938,"")</f>
        <v/>
      </c>
    </row>
    <row r="2955">
      <c r="U2955">
        <f>IF(AND(ISNUMBER('자료_한국심리'!$A2939),ISNUMBER('자료_한국심리'!$B2939)),'자료_한국심리'!$A2939,"")</f>
        <v/>
      </c>
      <c r="V2955">
        <f>IF(AND(ISNUMBER('자료_한국심리'!$D2939),ISNUMBER('자료_한국심리'!$E2939)),'자료_한국심리'!$D2939,"")</f>
        <v/>
      </c>
      <c r="W2955">
        <f>IF(AND(ISNUMBER('자료_한국심리'!$G2939),ISNUMBER('자료_한국심리'!$H2939)),'자료_한국심리'!$G2939,"")</f>
        <v/>
      </c>
      <c r="X2955">
        <f>IF(AND(ISNUMBER('자료_한국심리'!$J2939),ISNUMBER('자료_한국심리'!$K2939)),'자료_한국심리'!$J2939,"")</f>
        <v/>
      </c>
      <c r="Y2955">
        <f>IF(AND(ISNUMBER('자료_한국심리'!$M2939),ISNUMBER('자료_한국심리'!$N2939)),'자료_한국심리'!$M2939,"")</f>
        <v/>
      </c>
    </row>
    <row r="2956">
      <c r="U2956">
        <f>IF(AND(ISNUMBER('자료_한국심리'!$A2940),ISNUMBER('자료_한국심리'!$B2940)),'자료_한국심리'!$A2940,"")</f>
        <v/>
      </c>
      <c r="V2956">
        <f>IF(AND(ISNUMBER('자료_한국심리'!$D2940),ISNUMBER('자료_한국심리'!$E2940)),'자료_한국심리'!$D2940,"")</f>
        <v/>
      </c>
      <c r="W2956">
        <f>IF(AND(ISNUMBER('자료_한국심리'!$G2940),ISNUMBER('자료_한국심리'!$H2940)),'자료_한국심리'!$G2940,"")</f>
        <v/>
      </c>
      <c r="X2956">
        <f>IF(AND(ISNUMBER('자료_한국심리'!$J2940),ISNUMBER('자료_한국심리'!$K2940)),'자료_한국심리'!$J2940,"")</f>
        <v/>
      </c>
      <c r="Y2956">
        <f>IF(AND(ISNUMBER('자료_한국심리'!$M2940),ISNUMBER('자료_한국심리'!$N2940)),'자료_한국심리'!$M2940,"")</f>
        <v/>
      </c>
    </row>
    <row r="2957">
      <c r="U2957">
        <f>IF(AND(ISNUMBER('자료_한국심리'!$A2941),ISNUMBER('자료_한국심리'!$B2941)),'자료_한국심리'!$A2941,"")</f>
        <v/>
      </c>
      <c r="V2957">
        <f>IF(AND(ISNUMBER('자료_한국심리'!$D2941),ISNUMBER('자료_한국심리'!$E2941)),'자료_한국심리'!$D2941,"")</f>
        <v/>
      </c>
      <c r="W2957">
        <f>IF(AND(ISNUMBER('자료_한국심리'!$G2941),ISNUMBER('자료_한국심리'!$H2941)),'자료_한국심리'!$G2941,"")</f>
        <v/>
      </c>
      <c r="X2957">
        <f>IF(AND(ISNUMBER('자료_한국심리'!$J2941),ISNUMBER('자료_한국심리'!$K2941)),'자료_한국심리'!$J2941,"")</f>
        <v/>
      </c>
      <c r="Y2957">
        <f>IF(AND(ISNUMBER('자료_한국심리'!$M2941),ISNUMBER('자료_한국심리'!$N2941)),'자료_한국심리'!$M2941,"")</f>
        <v/>
      </c>
    </row>
    <row r="2958">
      <c r="U2958">
        <f>IF(AND(ISNUMBER('자료_한국심리'!$A2942),ISNUMBER('자료_한국심리'!$B2942)),'자료_한국심리'!$A2942,"")</f>
        <v/>
      </c>
      <c r="V2958">
        <f>IF(AND(ISNUMBER('자료_한국심리'!$D2942),ISNUMBER('자료_한국심리'!$E2942)),'자료_한국심리'!$D2942,"")</f>
        <v/>
      </c>
      <c r="W2958">
        <f>IF(AND(ISNUMBER('자료_한국심리'!$G2942),ISNUMBER('자료_한국심리'!$H2942)),'자료_한국심리'!$G2942,"")</f>
        <v/>
      </c>
      <c r="X2958">
        <f>IF(AND(ISNUMBER('자료_한국심리'!$J2942),ISNUMBER('자료_한국심리'!$K2942)),'자료_한국심리'!$J2942,"")</f>
        <v/>
      </c>
      <c r="Y2958">
        <f>IF(AND(ISNUMBER('자료_한국심리'!$M2942),ISNUMBER('자료_한국심리'!$N2942)),'자료_한국심리'!$M2942,"")</f>
        <v/>
      </c>
    </row>
    <row r="2959">
      <c r="U2959">
        <f>IF(AND(ISNUMBER('자료_한국심리'!$A2943),ISNUMBER('자료_한국심리'!$B2943)),'자료_한국심리'!$A2943,"")</f>
        <v/>
      </c>
      <c r="V2959">
        <f>IF(AND(ISNUMBER('자료_한국심리'!$D2943),ISNUMBER('자료_한국심리'!$E2943)),'자료_한국심리'!$D2943,"")</f>
        <v/>
      </c>
      <c r="W2959">
        <f>IF(AND(ISNUMBER('자료_한국심리'!$G2943),ISNUMBER('자료_한국심리'!$H2943)),'자료_한국심리'!$G2943,"")</f>
        <v/>
      </c>
      <c r="X2959">
        <f>IF(AND(ISNUMBER('자료_한국심리'!$J2943),ISNUMBER('자료_한국심리'!$K2943)),'자료_한국심리'!$J2943,"")</f>
        <v/>
      </c>
      <c r="Y2959">
        <f>IF(AND(ISNUMBER('자료_한국심리'!$M2943),ISNUMBER('자료_한국심리'!$N2943)),'자료_한국심리'!$M2943,"")</f>
        <v/>
      </c>
    </row>
    <row r="2960">
      <c r="U2960">
        <f>IF(AND(ISNUMBER('자료_한국심리'!$A2944),ISNUMBER('자료_한국심리'!$B2944)),'자료_한국심리'!$A2944,"")</f>
        <v/>
      </c>
      <c r="V2960">
        <f>IF(AND(ISNUMBER('자료_한국심리'!$D2944),ISNUMBER('자료_한국심리'!$E2944)),'자료_한국심리'!$D2944,"")</f>
        <v/>
      </c>
      <c r="W2960">
        <f>IF(AND(ISNUMBER('자료_한국심리'!$G2944),ISNUMBER('자료_한국심리'!$H2944)),'자료_한국심리'!$G2944,"")</f>
        <v/>
      </c>
      <c r="X2960">
        <f>IF(AND(ISNUMBER('자료_한국심리'!$J2944),ISNUMBER('자료_한국심리'!$K2944)),'자료_한국심리'!$J2944,"")</f>
        <v/>
      </c>
      <c r="Y2960">
        <f>IF(AND(ISNUMBER('자료_한국심리'!$M2944),ISNUMBER('자료_한국심리'!$N2944)),'자료_한국심리'!$M2944,"")</f>
        <v/>
      </c>
    </row>
    <row r="2961">
      <c r="U2961">
        <f>IF(AND(ISNUMBER('자료_한국심리'!$A2945),ISNUMBER('자료_한국심리'!$B2945)),'자료_한국심리'!$A2945,"")</f>
        <v/>
      </c>
      <c r="V2961">
        <f>IF(AND(ISNUMBER('자료_한국심리'!$D2945),ISNUMBER('자료_한국심리'!$E2945)),'자료_한국심리'!$D2945,"")</f>
        <v/>
      </c>
      <c r="W2961">
        <f>IF(AND(ISNUMBER('자료_한국심리'!$G2945),ISNUMBER('자료_한국심리'!$H2945)),'자료_한국심리'!$G2945,"")</f>
        <v/>
      </c>
      <c r="X2961">
        <f>IF(AND(ISNUMBER('자료_한국심리'!$J2945),ISNUMBER('자료_한국심리'!$K2945)),'자료_한국심리'!$J2945,"")</f>
        <v/>
      </c>
      <c r="Y2961">
        <f>IF(AND(ISNUMBER('자료_한국심리'!$M2945),ISNUMBER('자료_한국심리'!$N2945)),'자료_한국심리'!$M2945,"")</f>
        <v/>
      </c>
    </row>
    <row r="2962">
      <c r="U2962">
        <f>IF(AND(ISNUMBER('자료_한국심리'!$A2946),ISNUMBER('자료_한국심리'!$B2946)),'자료_한국심리'!$A2946,"")</f>
        <v/>
      </c>
      <c r="V2962">
        <f>IF(AND(ISNUMBER('자료_한국심리'!$D2946),ISNUMBER('자료_한국심리'!$E2946)),'자료_한국심리'!$D2946,"")</f>
        <v/>
      </c>
      <c r="W2962">
        <f>IF(AND(ISNUMBER('자료_한국심리'!$G2946),ISNUMBER('자료_한국심리'!$H2946)),'자료_한국심리'!$G2946,"")</f>
        <v/>
      </c>
      <c r="X2962">
        <f>IF(AND(ISNUMBER('자료_한국심리'!$J2946),ISNUMBER('자료_한국심리'!$K2946)),'자료_한국심리'!$J2946,"")</f>
        <v/>
      </c>
      <c r="Y2962">
        <f>IF(AND(ISNUMBER('자료_한국심리'!$M2946),ISNUMBER('자료_한국심리'!$N2946)),'자료_한국심리'!$M2946,"")</f>
        <v/>
      </c>
    </row>
    <row r="2963">
      <c r="U2963">
        <f>IF(AND(ISNUMBER('자료_한국심리'!$A2947),ISNUMBER('자료_한국심리'!$B2947)),'자료_한국심리'!$A2947,"")</f>
        <v/>
      </c>
      <c r="V2963">
        <f>IF(AND(ISNUMBER('자료_한국심리'!$D2947),ISNUMBER('자료_한국심리'!$E2947)),'자료_한국심리'!$D2947,"")</f>
        <v/>
      </c>
      <c r="W2963">
        <f>IF(AND(ISNUMBER('자료_한국심리'!$G2947),ISNUMBER('자료_한국심리'!$H2947)),'자료_한국심리'!$G2947,"")</f>
        <v/>
      </c>
      <c r="X2963">
        <f>IF(AND(ISNUMBER('자료_한국심리'!$J2947),ISNUMBER('자료_한국심리'!$K2947)),'자료_한국심리'!$J2947,"")</f>
        <v/>
      </c>
      <c r="Y2963">
        <f>IF(AND(ISNUMBER('자료_한국심리'!$M2947),ISNUMBER('자료_한국심리'!$N2947)),'자료_한국심리'!$M2947,"")</f>
        <v/>
      </c>
    </row>
    <row r="2964">
      <c r="U2964">
        <f>IF(AND(ISNUMBER('자료_한국심리'!$A2948),ISNUMBER('자료_한국심리'!$B2948)),'자료_한국심리'!$A2948,"")</f>
        <v/>
      </c>
      <c r="V2964">
        <f>IF(AND(ISNUMBER('자료_한국심리'!$D2948),ISNUMBER('자료_한국심리'!$E2948)),'자료_한국심리'!$D2948,"")</f>
        <v/>
      </c>
      <c r="W2964">
        <f>IF(AND(ISNUMBER('자료_한국심리'!$G2948),ISNUMBER('자료_한국심리'!$H2948)),'자료_한국심리'!$G2948,"")</f>
        <v/>
      </c>
      <c r="X2964">
        <f>IF(AND(ISNUMBER('자료_한국심리'!$J2948),ISNUMBER('자료_한국심리'!$K2948)),'자료_한국심리'!$J2948,"")</f>
        <v/>
      </c>
      <c r="Y2964">
        <f>IF(AND(ISNUMBER('자료_한국심리'!$M2948),ISNUMBER('자료_한국심리'!$N2948)),'자료_한국심리'!$M2948,"")</f>
        <v/>
      </c>
    </row>
    <row r="2965">
      <c r="U2965">
        <f>IF(AND(ISNUMBER('자료_한국심리'!$A2949),ISNUMBER('자료_한국심리'!$B2949)),'자료_한국심리'!$A2949,"")</f>
        <v/>
      </c>
      <c r="V2965">
        <f>IF(AND(ISNUMBER('자료_한국심리'!$D2949),ISNUMBER('자료_한국심리'!$E2949)),'자료_한국심리'!$D2949,"")</f>
        <v/>
      </c>
      <c r="W2965">
        <f>IF(AND(ISNUMBER('자료_한국심리'!$G2949),ISNUMBER('자료_한국심리'!$H2949)),'자료_한국심리'!$G2949,"")</f>
        <v/>
      </c>
      <c r="X2965">
        <f>IF(AND(ISNUMBER('자료_한국심리'!$J2949),ISNUMBER('자료_한국심리'!$K2949)),'자료_한국심리'!$J2949,"")</f>
        <v/>
      </c>
      <c r="Y2965">
        <f>IF(AND(ISNUMBER('자료_한국심리'!$M2949),ISNUMBER('자료_한국심리'!$N2949)),'자료_한국심리'!$M2949,"")</f>
        <v/>
      </c>
    </row>
    <row r="2966">
      <c r="U2966">
        <f>IF(AND(ISNUMBER('자료_한국심리'!$A2950),ISNUMBER('자료_한국심리'!$B2950)),'자료_한국심리'!$A2950,"")</f>
        <v/>
      </c>
      <c r="V2966">
        <f>IF(AND(ISNUMBER('자료_한국심리'!$D2950),ISNUMBER('자료_한국심리'!$E2950)),'자료_한국심리'!$D2950,"")</f>
        <v/>
      </c>
      <c r="W2966">
        <f>IF(AND(ISNUMBER('자료_한국심리'!$G2950),ISNUMBER('자료_한국심리'!$H2950)),'자료_한국심리'!$G2950,"")</f>
        <v/>
      </c>
      <c r="X2966">
        <f>IF(AND(ISNUMBER('자료_한국심리'!$J2950),ISNUMBER('자료_한국심리'!$K2950)),'자료_한국심리'!$J2950,"")</f>
        <v/>
      </c>
      <c r="Y2966">
        <f>IF(AND(ISNUMBER('자료_한국심리'!$M2950),ISNUMBER('자료_한국심리'!$N2950)),'자료_한국심리'!$M2950,"")</f>
        <v/>
      </c>
    </row>
    <row r="2967">
      <c r="U2967">
        <f>IF(AND(ISNUMBER('자료_한국심리'!$A2951),ISNUMBER('자료_한국심리'!$B2951)),'자료_한국심리'!$A2951,"")</f>
        <v/>
      </c>
      <c r="V2967">
        <f>IF(AND(ISNUMBER('자료_한국심리'!$D2951),ISNUMBER('자료_한국심리'!$E2951)),'자료_한국심리'!$D2951,"")</f>
        <v/>
      </c>
      <c r="W2967">
        <f>IF(AND(ISNUMBER('자료_한국심리'!$G2951),ISNUMBER('자료_한국심리'!$H2951)),'자료_한국심리'!$G2951,"")</f>
        <v/>
      </c>
      <c r="X2967">
        <f>IF(AND(ISNUMBER('자료_한국심리'!$J2951),ISNUMBER('자료_한국심리'!$K2951)),'자료_한국심리'!$J2951,"")</f>
        <v/>
      </c>
      <c r="Y2967">
        <f>IF(AND(ISNUMBER('자료_한국심리'!$M2951),ISNUMBER('자료_한국심리'!$N2951)),'자료_한국심리'!$M2951,"")</f>
        <v/>
      </c>
    </row>
    <row r="2968">
      <c r="U2968">
        <f>IF(AND(ISNUMBER('자료_한국심리'!$A2952),ISNUMBER('자료_한국심리'!$B2952)),'자료_한국심리'!$A2952,"")</f>
        <v/>
      </c>
      <c r="V2968">
        <f>IF(AND(ISNUMBER('자료_한국심리'!$D2952),ISNUMBER('자료_한국심리'!$E2952)),'자료_한국심리'!$D2952,"")</f>
        <v/>
      </c>
      <c r="W2968">
        <f>IF(AND(ISNUMBER('자료_한국심리'!$G2952),ISNUMBER('자료_한국심리'!$H2952)),'자료_한국심리'!$G2952,"")</f>
        <v/>
      </c>
      <c r="X2968">
        <f>IF(AND(ISNUMBER('자료_한국심리'!$J2952),ISNUMBER('자료_한국심리'!$K2952)),'자료_한국심리'!$J2952,"")</f>
        <v/>
      </c>
      <c r="Y2968">
        <f>IF(AND(ISNUMBER('자료_한국심리'!$M2952),ISNUMBER('자료_한국심리'!$N2952)),'자료_한국심리'!$M2952,"")</f>
        <v/>
      </c>
    </row>
    <row r="2969">
      <c r="U2969">
        <f>IF(AND(ISNUMBER('자료_한국심리'!$A2953),ISNUMBER('자료_한국심리'!$B2953)),'자료_한국심리'!$A2953,"")</f>
        <v/>
      </c>
      <c r="V2969">
        <f>IF(AND(ISNUMBER('자료_한국심리'!$D2953),ISNUMBER('자료_한국심리'!$E2953)),'자료_한국심리'!$D2953,"")</f>
        <v/>
      </c>
      <c r="W2969">
        <f>IF(AND(ISNUMBER('자료_한국심리'!$G2953),ISNUMBER('자료_한국심리'!$H2953)),'자료_한국심리'!$G2953,"")</f>
        <v/>
      </c>
      <c r="X2969">
        <f>IF(AND(ISNUMBER('자료_한국심리'!$J2953),ISNUMBER('자료_한국심리'!$K2953)),'자료_한국심리'!$J2953,"")</f>
        <v/>
      </c>
      <c r="Y2969">
        <f>IF(AND(ISNUMBER('자료_한국심리'!$M2953),ISNUMBER('자료_한국심리'!$N2953)),'자료_한국심리'!$M2953,"")</f>
        <v/>
      </c>
    </row>
    <row r="2970">
      <c r="U2970">
        <f>IF(AND(ISNUMBER('자료_한국심리'!$A2954),ISNUMBER('자료_한국심리'!$B2954)),'자료_한국심리'!$A2954,"")</f>
        <v/>
      </c>
      <c r="V2970">
        <f>IF(AND(ISNUMBER('자료_한국심리'!$D2954),ISNUMBER('자료_한국심리'!$E2954)),'자료_한국심리'!$D2954,"")</f>
        <v/>
      </c>
      <c r="W2970">
        <f>IF(AND(ISNUMBER('자료_한국심리'!$G2954),ISNUMBER('자료_한국심리'!$H2954)),'자료_한국심리'!$G2954,"")</f>
        <v/>
      </c>
      <c r="X2970">
        <f>IF(AND(ISNUMBER('자료_한국심리'!$J2954),ISNUMBER('자료_한국심리'!$K2954)),'자료_한국심리'!$J2954,"")</f>
        <v/>
      </c>
      <c r="Y2970">
        <f>IF(AND(ISNUMBER('자료_한국심리'!$M2954),ISNUMBER('자료_한국심리'!$N2954)),'자료_한국심리'!$M2954,"")</f>
        <v/>
      </c>
    </row>
    <row r="2971">
      <c r="U2971">
        <f>IF(AND(ISNUMBER('자료_한국심리'!$A2955),ISNUMBER('자료_한국심리'!$B2955)),'자료_한국심리'!$A2955,"")</f>
        <v/>
      </c>
      <c r="V2971">
        <f>IF(AND(ISNUMBER('자료_한국심리'!$D2955),ISNUMBER('자료_한국심리'!$E2955)),'자료_한국심리'!$D2955,"")</f>
        <v/>
      </c>
      <c r="W2971">
        <f>IF(AND(ISNUMBER('자료_한국심리'!$G2955),ISNUMBER('자료_한국심리'!$H2955)),'자료_한국심리'!$G2955,"")</f>
        <v/>
      </c>
      <c r="X2971">
        <f>IF(AND(ISNUMBER('자료_한국심리'!$J2955),ISNUMBER('자료_한국심리'!$K2955)),'자료_한국심리'!$J2955,"")</f>
        <v/>
      </c>
      <c r="Y2971">
        <f>IF(AND(ISNUMBER('자료_한국심리'!$M2955),ISNUMBER('자료_한국심리'!$N2955)),'자료_한국심리'!$M2955,"")</f>
        <v/>
      </c>
    </row>
    <row r="2972">
      <c r="U2972">
        <f>IF(AND(ISNUMBER('자료_한국심리'!$A2956),ISNUMBER('자료_한국심리'!$B2956)),'자료_한국심리'!$A2956,"")</f>
        <v/>
      </c>
      <c r="V2972">
        <f>IF(AND(ISNUMBER('자료_한국심리'!$D2956),ISNUMBER('자료_한국심리'!$E2956)),'자료_한국심리'!$D2956,"")</f>
        <v/>
      </c>
      <c r="W2972">
        <f>IF(AND(ISNUMBER('자료_한국심리'!$G2956),ISNUMBER('자료_한국심리'!$H2956)),'자료_한국심리'!$G2956,"")</f>
        <v/>
      </c>
      <c r="X2972">
        <f>IF(AND(ISNUMBER('자료_한국심리'!$J2956),ISNUMBER('자료_한국심리'!$K2956)),'자료_한국심리'!$J2956,"")</f>
        <v/>
      </c>
      <c r="Y2972">
        <f>IF(AND(ISNUMBER('자료_한국심리'!$M2956),ISNUMBER('자료_한국심리'!$N2956)),'자료_한국심리'!$M2956,"")</f>
        <v/>
      </c>
    </row>
    <row r="2973">
      <c r="U2973">
        <f>IF(AND(ISNUMBER('자료_한국심리'!$A2957),ISNUMBER('자료_한국심리'!$B2957)),'자료_한국심리'!$A2957,"")</f>
        <v/>
      </c>
      <c r="V2973">
        <f>IF(AND(ISNUMBER('자료_한국심리'!$D2957),ISNUMBER('자료_한국심리'!$E2957)),'자료_한국심리'!$D2957,"")</f>
        <v/>
      </c>
      <c r="W2973">
        <f>IF(AND(ISNUMBER('자료_한국심리'!$G2957),ISNUMBER('자료_한국심리'!$H2957)),'자료_한국심리'!$G2957,"")</f>
        <v/>
      </c>
      <c r="X2973">
        <f>IF(AND(ISNUMBER('자료_한국심리'!$J2957),ISNUMBER('자료_한국심리'!$K2957)),'자료_한국심리'!$J2957,"")</f>
        <v/>
      </c>
      <c r="Y2973">
        <f>IF(AND(ISNUMBER('자료_한국심리'!$M2957),ISNUMBER('자료_한국심리'!$N2957)),'자료_한국심리'!$M2957,"")</f>
        <v/>
      </c>
    </row>
    <row r="2974">
      <c r="U2974">
        <f>IF(AND(ISNUMBER('자료_한국심리'!$A2958),ISNUMBER('자료_한국심리'!$B2958)),'자료_한국심리'!$A2958,"")</f>
        <v/>
      </c>
      <c r="V2974">
        <f>IF(AND(ISNUMBER('자료_한국심리'!$D2958),ISNUMBER('자료_한국심리'!$E2958)),'자료_한국심리'!$D2958,"")</f>
        <v/>
      </c>
      <c r="W2974">
        <f>IF(AND(ISNUMBER('자료_한국심리'!$G2958),ISNUMBER('자료_한국심리'!$H2958)),'자료_한국심리'!$G2958,"")</f>
        <v/>
      </c>
      <c r="X2974">
        <f>IF(AND(ISNUMBER('자료_한국심리'!$J2958),ISNUMBER('자료_한국심리'!$K2958)),'자료_한국심리'!$J2958,"")</f>
        <v/>
      </c>
      <c r="Y2974">
        <f>IF(AND(ISNUMBER('자료_한국심리'!$M2958),ISNUMBER('자료_한국심리'!$N2958)),'자료_한국심리'!$M2958,"")</f>
        <v/>
      </c>
    </row>
    <row r="2975">
      <c r="U2975">
        <f>IF(AND(ISNUMBER('자료_한국심리'!$A2959),ISNUMBER('자료_한국심리'!$B2959)),'자료_한국심리'!$A2959,"")</f>
        <v/>
      </c>
      <c r="V2975">
        <f>IF(AND(ISNUMBER('자료_한국심리'!$D2959),ISNUMBER('자료_한국심리'!$E2959)),'자료_한국심리'!$D2959,"")</f>
        <v/>
      </c>
      <c r="W2975">
        <f>IF(AND(ISNUMBER('자료_한국심리'!$G2959),ISNUMBER('자료_한국심리'!$H2959)),'자료_한국심리'!$G2959,"")</f>
        <v/>
      </c>
      <c r="X2975">
        <f>IF(AND(ISNUMBER('자료_한국심리'!$J2959),ISNUMBER('자료_한국심리'!$K2959)),'자료_한국심리'!$J2959,"")</f>
        <v/>
      </c>
      <c r="Y2975">
        <f>IF(AND(ISNUMBER('자료_한국심리'!$M2959),ISNUMBER('자료_한국심리'!$N2959)),'자료_한국심리'!$M2959,"")</f>
        <v/>
      </c>
    </row>
    <row r="2976">
      <c r="U2976">
        <f>IF(AND(ISNUMBER('자료_한국심리'!$A2960),ISNUMBER('자료_한국심리'!$B2960)),'자료_한국심리'!$A2960,"")</f>
        <v/>
      </c>
      <c r="V2976">
        <f>IF(AND(ISNUMBER('자료_한국심리'!$D2960),ISNUMBER('자료_한국심리'!$E2960)),'자료_한국심리'!$D2960,"")</f>
        <v/>
      </c>
      <c r="W2976">
        <f>IF(AND(ISNUMBER('자료_한국심리'!$G2960),ISNUMBER('자료_한국심리'!$H2960)),'자료_한국심리'!$G2960,"")</f>
        <v/>
      </c>
      <c r="X2976">
        <f>IF(AND(ISNUMBER('자료_한국심리'!$J2960),ISNUMBER('자료_한국심리'!$K2960)),'자료_한국심리'!$J2960,"")</f>
        <v/>
      </c>
      <c r="Y2976">
        <f>IF(AND(ISNUMBER('자료_한국심리'!$M2960),ISNUMBER('자료_한국심리'!$N2960)),'자료_한국심리'!$M2960,"")</f>
        <v/>
      </c>
    </row>
    <row r="2977">
      <c r="U2977">
        <f>IF(AND(ISNUMBER('자료_한국심리'!$A2961),ISNUMBER('자료_한국심리'!$B2961)),'자료_한국심리'!$A2961,"")</f>
        <v/>
      </c>
      <c r="V2977">
        <f>IF(AND(ISNUMBER('자료_한국심리'!$D2961),ISNUMBER('자료_한국심리'!$E2961)),'자료_한국심리'!$D2961,"")</f>
        <v/>
      </c>
      <c r="W2977">
        <f>IF(AND(ISNUMBER('자료_한국심리'!$G2961),ISNUMBER('자료_한국심리'!$H2961)),'자료_한국심리'!$G2961,"")</f>
        <v/>
      </c>
      <c r="X2977">
        <f>IF(AND(ISNUMBER('자료_한국심리'!$J2961),ISNUMBER('자료_한국심리'!$K2961)),'자료_한국심리'!$J2961,"")</f>
        <v/>
      </c>
      <c r="Y2977">
        <f>IF(AND(ISNUMBER('자료_한국심리'!$M2961),ISNUMBER('자료_한국심리'!$N2961)),'자료_한국심리'!$M2961,"")</f>
        <v/>
      </c>
    </row>
    <row r="2978">
      <c r="U2978">
        <f>IF(AND(ISNUMBER('자료_한국심리'!$A2962),ISNUMBER('자료_한국심리'!$B2962)),'자료_한국심리'!$A2962,"")</f>
        <v/>
      </c>
      <c r="V2978">
        <f>IF(AND(ISNUMBER('자료_한국심리'!$D2962),ISNUMBER('자료_한국심리'!$E2962)),'자료_한국심리'!$D2962,"")</f>
        <v/>
      </c>
      <c r="W2978">
        <f>IF(AND(ISNUMBER('자료_한국심리'!$G2962),ISNUMBER('자료_한국심리'!$H2962)),'자료_한국심리'!$G2962,"")</f>
        <v/>
      </c>
      <c r="X2978">
        <f>IF(AND(ISNUMBER('자료_한국심리'!$J2962),ISNUMBER('자료_한국심리'!$K2962)),'자료_한국심리'!$J2962,"")</f>
        <v/>
      </c>
      <c r="Y2978">
        <f>IF(AND(ISNUMBER('자료_한국심리'!$M2962),ISNUMBER('자료_한국심리'!$N2962)),'자료_한국심리'!$M2962,"")</f>
        <v/>
      </c>
    </row>
    <row r="2979">
      <c r="U2979">
        <f>IF(AND(ISNUMBER('자료_한국심리'!$A2963),ISNUMBER('자료_한국심리'!$B2963)),'자료_한국심리'!$A2963,"")</f>
        <v/>
      </c>
      <c r="V2979">
        <f>IF(AND(ISNUMBER('자료_한국심리'!$D2963),ISNUMBER('자료_한국심리'!$E2963)),'자료_한국심리'!$D2963,"")</f>
        <v/>
      </c>
      <c r="W2979">
        <f>IF(AND(ISNUMBER('자료_한국심리'!$G2963),ISNUMBER('자료_한국심리'!$H2963)),'자료_한국심리'!$G2963,"")</f>
        <v/>
      </c>
      <c r="X2979">
        <f>IF(AND(ISNUMBER('자료_한국심리'!$J2963),ISNUMBER('자료_한국심리'!$K2963)),'자료_한국심리'!$J2963,"")</f>
        <v/>
      </c>
      <c r="Y2979">
        <f>IF(AND(ISNUMBER('자료_한국심리'!$M2963),ISNUMBER('자료_한국심리'!$N2963)),'자료_한국심리'!$M2963,"")</f>
        <v/>
      </c>
    </row>
    <row r="2980">
      <c r="U2980">
        <f>IF(AND(ISNUMBER('자료_한국심리'!$A2964),ISNUMBER('자료_한국심리'!$B2964)),'자료_한국심리'!$A2964,"")</f>
        <v/>
      </c>
      <c r="V2980">
        <f>IF(AND(ISNUMBER('자료_한국심리'!$D2964),ISNUMBER('자료_한국심리'!$E2964)),'자료_한국심리'!$D2964,"")</f>
        <v/>
      </c>
      <c r="W2980">
        <f>IF(AND(ISNUMBER('자료_한국심리'!$G2964),ISNUMBER('자료_한국심리'!$H2964)),'자료_한국심리'!$G2964,"")</f>
        <v/>
      </c>
      <c r="X2980">
        <f>IF(AND(ISNUMBER('자료_한국심리'!$J2964),ISNUMBER('자료_한국심리'!$K2964)),'자료_한국심리'!$J2964,"")</f>
        <v/>
      </c>
      <c r="Y2980">
        <f>IF(AND(ISNUMBER('자료_한국심리'!$M2964),ISNUMBER('자료_한국심리'!$N2964)),'자료_한국심리'!$M2964,"")</f>
        <v/>
      </c>
    </row>
    <row r="2981">
      <c r="U2981">
        <f>IF(AND(ISNUMBER('자료_한국심리'!$A2965),ISNUMBER('자료_한국심리'!$B2965)),'자료_한국심리'!$A2965,"")</f>
        <v/>
      </c>
      <c r="V2981">
        <f>IF(AND(ISNUMBER('자료_한국심리'!$D2965),ISNUMBER('자료_한국심리'!$E2965)),'자료_한국심리'!$D2965,"")</f>
        <v/>
      </c>
      <c r="W2981">
        <f>IF(AND(ISNUMBER('자료_한국심리'!$G2965),ISNUMBER('자료_한국심리'!$H2965)),'자료_한국심리'!$G2965,"")</f>
        <v/>
      </c>
      <c r="X2981">
        <f>IF(AND(ISNUMBER('자료_한국심리'!$J2965),ISNUMBER('자료_한국심리'!$K2965)),'자료_한국심리'!$J2965,"")</f>
        <v/>
      </c>
      <c r="Y2981">
        <f>IF(AND(ISNUMBER('자료_한국심리'!$M2965),ISNUMBER('자료_한국심리'!$N2965)),'자료_한국심리'!$M2965,"")</f>
        <v/>
      </c>
    </row>
    <row r="2982">
      <c r="U2982">
        <f>IF(AND(ISNUMBER('자료_한국심리'!$A2966),ISNUMBER('자료_한국심리'!$B2966)),'자료_한국심리'!$A2966,"")</f>
        <v/>
      </c>
      <c r="V2982">
        <f>IF(AND(ISNUMBER('자료_한국심리'!$D2966),ISNUMBER('자료_한국심리'!$E2966)),'자료_한국심리'!$D2966,"")</f>
        <v/>
      </c>
      <c r="W2982">
        <f>IF(AND(ISNUMBER('자료_한국심리'!$G2966),ISNUMBER('자료_한국심리'!$H2966)),'자료_한국심리'!$G2966,"")</f>
        <v/>
      </c>
      <c r="X2982">
        <f>IF(AND(ISNUMBER('자료_한국심리'!$J2966),ISNUMBER('자료_한국심리'!$K2966)),'자료_한국심리'!$J2966,"")</f>
        <v/>
      </c>
      <c r="Y2982">
        <f>IF(AND(ISNUMBER('자료_한국심리'!$M2966),ISNUMBER('자료_한국심리'!$N2966)),'자료_한국심리'!$M2966,"")</f>
        <v/>
      </c>
    </row>
    <row r="2983">
      <c r="U2983">
        <f>IF(AND(ISNUMBER('자료_한국심리'!$A2967),ISNUMBER('자료_한국심리'!$B2967)),'자료_한국심리'!$A2967,"")</f>
        <v/>
      </c>
      <c r="V2983">
        <f>IF(AND(ISNUMBER('자료_한국심리'!$D2967),ISNUMBER('자료_한국심리'!$E2967)),'자료_한국심리'!$D2967,"")</f>
        <v/>
      </c>
      <c r="W2983">
        <f>IF(AND(ISNUMBER('자료_한국심리'!$G2967),ISNUMBER('자료_한국심리'!$H2967)),'자료_한국심리'!$G2967,"")</f>
        <v/>
      </c>
      <c r="X2983">
        <f>IF(AND(ISNUMBER('자료_한국심리'!$J2967),ISNUMBER('자료_한국심리'!$K2967)),'자료_한국심리'!$J2967,"")</f>
        <v/>
      </c>
      <c r="Y2983">
        <f>IF(AND(ISNUMBER('자료_한국심리'!$M2967),ISNUMBER('자료_한국심리'!$N2967)),'자료_한국심리'!$M2967,"")</f>
        <v/>
      </c>
    </row>
    <row r="2984">
      <c r="U2984">
        <f>IF(AND(ISNUMBER('자료_한국심리'!$A2968),ISNUMBER('자료_한국심리'!$B2968)),'자료_한국심리'!$A2968,"")</f>
        <v/>
      </c>
      <c r="V2984">
        <f>IF(AND(ISNUMBER('자료_한국심리'!$D2968),ISNUMBER('자료_한국심리'!$E2968)),'자료_한국심리'!$D2968,"")</f>
        <v/>
      </c>
      <c r="W2984">
        <f>IF(AND(ISNUMBER('자료_한국심리'!$G2968),ISNUMBER('자료_한국심리'!$H2968)),'자료_한국심리'!$G2968,"")</f>
        <v/>
      </c>
      <c r="X2984">
        <f>IF(AND(ISNUMBER('자료_한국심리'!$J2968),ISNUMBER('자료_한국심리'!$K2968)),'자료_한국심리'!$J2968,"")</f>
        <v/>
      </c>
      <c r="Y2984">
        <f>IF(AND(ISNUMBER('자료_한국심리'!$M2968),ISNUMBER('자료_한국심리'!$N2968)),'자료_한국심리'!$M2968,"")</f>
        <v/>
      </c>
    </row>
    <row r="2985">
      <c r="U2985">
        <f>IF(AND(ISNUMBER('자료_한국심리'!$A2969),ISNUMBER('자료_한국심리'!$B2969)),'자료_한국심리'!$A2969,"")</f>
        <v/>
      </c>
      <c r="V2985">
        <f>IF(AND(ISNUMBER('자료_한국심리'!$D2969),ISNUMBER('자료_한국심리'!$E2969)),'자료_한국심리'!$D2969,"")</f>
        <v/>
      </c>
      <c r="W2985">
        <f>IF(AND(ISNUMBER('자료_한국심리'!$G2969),ISNUMBER('자료_한국심리'!$H2969)),'자료_한국심리'!$G2969,"")</f>
        <v/>
      </c>
      <c r="X2985">
        <f>IF(AND(ISNUMBER('자료_한국심리'!$J2969),ISNUMBER('자료_한국심리'!$K2969)),'자료_한국심리'!$J2969,"")</f>
        <v/>
      </c>
      <c r="Y2985">
        <f>IF(AND(ISNUMBER('자료_한국심리'!$M2969),ISNUMBER('자료_한국심리'!$N2969)),'자료_한국심리'!$M2969,"")</f>
        <v/>
      </c>
    </row>
    <row r="2986">
      <c r="U2986">
        <f>IF(AND(ISNUMBER('자료_한국심리'!$A2970),ISNUMBER('자료_한국심리'!$B2970)),'자료_한국심리'!$A2970,"")</f>
        <v/>
      </c>
      <c r="V2986">
        <f>IF(AND(ISNUMBER('자료_한국심리'!$D2970),ISNUMBER('자료_한국심리'!$E2970)),'자료_한국심리'!$D2970,"")</f>
        <v/>
      </c>
      <c r="W2986">
        <f>IF(AND(ISNUMBER('자료_한국심리'!$G2970),ISNUMBER('자료_한국심리'!$H2970)),'자료_한국심리'!$G2970,"")</f>
        <v/>
      </c>
      <c r="X2986">
        <f>IF(AND(ISNUMBER('자료_한국심리'!$J2970),ISNUMBER('자료_한국심리'!$K2970)),'자료_한국심리'!$J2970,"")</f>
        <v/>
      </c>
      <c r="Y2986">
        <f>IF(AND(ISNUMBER('자료_한국심리'!$M2970),ISNUMBER('자료_한국심리'!$N2970)),'자료_한국심리'!$M2970,"")</f>
        <v/>
      </c>
    </row>
    <row r="2987">
      <c r="U2987">
        <f>IF(AND(ISNUMBER('자료_한국심리'!$A2971),ISNUMBER('자료_한국심리'!$B2971)),'자료_한국심리'!$A2971,"")</f>
        <v/>
      </c>
      <c r="V2987">
        <f>IF(AND(ISNUMBER('자료_한국심리'!$D2971),ISNUMBER('자료_한국심리'!$E2971)),'자료_한국심리'!$D2971,"")</f>
        <v/>
      </c>
      <c r="W2987">
        <f>IF(AND(ISNUMBER('자료_한국심리'!$G2971),ISNUMBER('자료_한국심리'!$H2971)),'자료_한국심리'!$G2971,"")</f>
        <v/>
      </c>
      <c r="X2987">
        <f>IF(AND(ISNUMBER('자료_한국심리'!$J2971),ISNUMBER('자료_한국심리'!$K2971)),'자료_한국심리'!$J2971,"")</f>
        <v/>
      </c>
      <c r="Y2987">
        <f>IF(AND(ISNUMBER('자료_한국심리'!$M2971),ISNUMBER('자료_한국심리'!$N2971)),'자료_한국심리'!$M2971,"")</f>
        <v/>
      </c>
    </row>
    <row r="2988">
      <c r="U2988">
        <f>IF(AND(ISNUMBER('자료_한국심리'!$A2972),ISNUMBER('자료_한국심리'!$B2972)),'자료_한국심리'!$A2972,"")</f>
        <v/>
      </c>
      <c r="V2988">
        <f>IF(AND(ISNUMBER('자료_한국심리'!$D2972),ISNUMBER('자료_한국심리'!$E2972)),'자료_한국심리'!$D2972,"")</f>
        <v/>
      </c>
      <c r="W2988">
        <f>IF(AND(ISNUMBER('자료_한국심리'!$G2972),ISNUMBER('자료_한국심리'!$H2972)),'자료_한국심리'!$G2972,"")</f>
        <v/>
      </c>
      <c r="X2988">
        <f>IF(AND(ISNUMBER('자료_한국심리'!$J2972),ISNUMBER('자료_한국심리'!$K2972)),'자료_한국심리'!$J2972,"")</f>
        <v/>
      </c>
      <c r="Y2988">
        <f>IF(AND(ISNUMBER('자료_한국심리'!$M2972),ISNUMBER('자료_한국심리'!$N2972)),'자료_한국심리'!$M2972,"")</f>
        <v/>
      </c>
    </row>
    <row r="2989">
      <c r="U2989">
        <f>IF(AND(ISNUMBER('자료_한국심리'!$A2973),ISNUMBER('자료_한국심리'!$B2973)),'자료_한국심리'!$A2973,"")</f>
        <v/>
      </c>
      <c r="V2989">
        <f>IF(AND(ISNUMBER('자료_한국심리'!$D2973),ISNUMBER('자료_한국심리'!$E2973)),'자료_한국심리'!$D2973,"")</f>
        <v/>
      </c>
      <c r="W2989">
        <f>IF(AND(ISNUMBER('자료_한국심리'!$G2973),ISNUMBER('자료_한국심리'!$H2973)),'자료_한국심리'!$G2973,"")</f>
        <v/>
      </c>
      <c r="X2989">
        <f>IF(AND(ISNUMBER('자료_한국심리'!$J2973),ISNUMBER('자료_한국심리'!$K2973)),'자료_한국심리'!$J2973,"")</f>
        <v/>
      </c>
      <c r="Y2989">
        <f>IF(AND(ISNUMBER('자료_한국심리'!$M2973),ISNUMBER('자료_한국심리'!$N2973)),'자료_한국심리'!$M2973,"")</f>
        <v/>
      </c>
    </row>
    <row r="2990">
      <c r="U2990">
        <f>IF(AND(ISNUMBER('자료_한국심리'!$A2974),ISNUMBER('자료_한국심리'!$B2974)),'자료_한국심리'!$A2974,"")</f>
        <v/>
      </c>
      <c r="V2990">
        <f>IF(AND(ISNUMBER('자료_한국심리'!$D2974),ISNUMBER('자료_한국심리'!$E2974)),'자료_한국심리'!$D2974,"")</f>
        <v/>
      </c>
      <c r="W2990">
        <f>IF(AND(ISNUMBER('자료_한국심리'!$G2974),ISNUMBER('자료_한국심리'!$H2974)),'자료_한국심리'!$G2974,"")</f>
        <v/>
      </c>
      <c r="X2990">
        <f>IF(AND(ISNUMBER('자료_한국심리'!$J2974),ISNUMBER('자료_한국심리'!$K2974)),'자료_한국심리'!$J2974,"")</f>
        <v/>
      </c>
      <c r="Y2990">
        <f>IF(AND(ISNUMBER('자료_한국심리'!$M2974),ISNUMBER('자료_한국심리'!$N2974)),'자료_한국심리'!$M2974,"")</f>
        <v/>
      </c>
    </row>
    <row r="2991">
      <c r="U2991">
        <f>IF(AND(ISNUMBER('자료_한국심리'!$A2975),ISNUMBER('자료_한국심리'!$B2975)),'자료_한국심리'!$A2975,"")</f>
        <v/>
      </c>
      <c r="V2991">
        <f>IF(AND(ISNUMBER('자료_한국심리'!$D2975),ISNUMBER('자료_한국심리'!$E2975)),'자료_한국심리'!$D2975,"")</f>
        <v/>
      </c>
      <c r="W2991">
        <f>IF(AND(ISNUMBER('자료_한국심리'!$G2975),ISNUMBER('자료_한국심리'!$H2975)),'자료_한국심리'!$G2975,"")</f>
        <v/>
      </c>
      <c r="X2991">
        <f>IF(AND(ISNUMBER('자료_한국심리'!$J2975),ISNUMBER('자료_한국심리'!$K2975)),'자료_한국심리'!$J2975,"")</f>
        <v/>
      </c>
      <c r="Y2991">
        <f>IF(AND(ISNUMBER('자료_한국심리'!$M2975),ISNUMBER('자료_한국심리'!$N2975)),'자료_한국심리'!$M2975,"")</f>
        <v/>
      </c>
    </row>
    <row r="2992">
      <c r="U2992">
        <f>IF(AND(ISNUMBER('자료_한국심리'!$A2976),ISNUMBER('자료_한국심리'!$B2976)),'자료_한국심리'!$A2976,"")</f>
        <v/>
      </c>
      <c r="V2992">
        <f>IF(AND(ISNUMBER('자료_한국심리'!$D2976),ISNUMBER('자료_한국심리'!$E2976)),'자료_한국심리'!$D2976,"")</f>
        <v/>
      </c>
      <c r="W2992">
        <f>IF(AND(ISNUMBER('자료_한국심리'!$G2976),ISNUMBER('자료_한국심리'!$H2976)),'자료_한국심리'!$G2976,"")</f>
        <v/>
      </c>
      <c r="X2992">
        <f>IF(AND(ISNUMBER('자료_한국심리'!$J2976),ISNUMBER('자료_한국심리'!$K2976)),'자료_한국심리'!$J2976,"")</f>
        <v/>
      </c>
      <c r="Y2992">
        <f>IF(AND(ISNUMBER('자료_한국심리'!$M2976),ISNUMBER('자료_한국심리'!$N2976)),'자료_한국심리'!$M2976,"")</f>
        <v/>
      </c>
    </row>
    <row r="2993">
      <c r="U2993">
        <f>IF(AND(ISNUMBER('자료_한국심리'!$A2977),ISNUMBER('자료_한국심리'!$B2977)),'자료_한국심리'!$A2977,"")</f>
        <v/>
      </c>
      <c r="V2993">
        <f>IF(AND(ISNUMBER('자료_한국심리'!$D2977),ISNUMBER('자료_한국심리'!$E2977)),'자료_한국심리'!$D2977,"")</f>
        <v/>
      </c>
      <c r="W2993">
        <f>IF(AND(ISNUMBER('자료_한국심리'!$G2977),ISNUMBER('자료_한국심리'!$H2977)),'자료_한국심리'!$G2977,"")</f>
        <v/>
      </c>
      <c r="X2993">
        <f>IF(AND(ISNUMBER('자료_한국심리'!$J2977),ISNUMBER('자료_한국심리'!$K2977)),'자료_한국심리'!$J2977,"")</f>
        <v/>
      </c>
      <c r="Y2993">
        <f>IF(AND(ISNUMBER('자료_한국심리'!$M2977),ISNUMBER('자료_한국심리'!$N2977)),'자료_한국심리'!$M2977,"")</f>
        <v/>
      </c>
    </row>
    <row r="2994">
      <c r="U2994">
        <f>IF(AND(ISNUMBER('자료_한국심리'!$A2978),ISNUMBER('자료_한국심리'!$B2978)),'자료_한국심리'!$A2978,"")</f>
        <v/>
      </c>
      <c r="V2994">
        <f>IF(AND(ISNUMBER('자료_한국심리'!$D2978),ISNUMBER('자료_한국심리'!$E2978)),'자료_한국심리'!$D2978,"")</f>
        <v/>
      </c>
      <c r="W2994">
        <f>IF(AND(ISNUMBER('자료_한국심리'!$G2978),ISNUMBER('자료_한국심리'!$H2978)),'자료_한국심리'!$G2978,"")</f>
        <v/>
      </c>
      <c r="X2994">
        <f>IF(AND(ISNUMBER('자료_한국심리'!$J2978),ISNUMBER('자료_한국심리'!$K2978)),'자료_한국심리'!$J2978,"")</f>
        <v/>
      </c>
      <c r="Y2994">
        <f>IF(AND(ISNUMBER('자료_한국심리'!$M2978),ISNUMBER('자료_한국심리'!$N2978)),'자료_한국심리'!$M2978,"")</f>
        <v/>
      </c>
    </row>
    <row r="2995">
      <c r="U2995">
        <f>IF(AND(ISNUMBER('자료_한국심리'!$A2979),ISNUMBER('자료_한국심리'!$B2979)),'자료_한국심리'!$A2979,"")</f>
        <v/>
      </c>
      <c r="V2995">
        <f>IF(AND(ISNUMBER('자료_한국심리'!$D2979),ISNUMBER('자료_한국심리'!$E2979)),'자료_한국심리'!$D2979,"")</f>
        <v/>
      </c>
      <c r="W2995">
        <f>IF(AND(ISNUMBER('자료_한국심리'!$G2979),ISNUMBER('자료_한국심리'!$H2979)),'자료_한국심리'!$G2979,"")</f>
        <v/>
      </c>
      <c r="X2995">
        <f>IF(AND(ISNUMBER('자료_한국심리'!$J2979),ISNUMBER('자료_한국심리'!$K2979)),'자료_한국심리'!$J2979,"")</f>
        <v/>
      </c>
      <c r="Y2995">
        <f>IF(AND(ISNUMBER('자료_한국심리'!$M2979),ISNUMBER('자료_한국심리'!$N2979)),'자료_한국심리'!$M2979,"")</f>
        <v/>
      </c>
    </row>
    <row r="2996">
      <c r="U2996">
        <f>IF(AND(ISNUMBER('자료_한국심리'!$A2980),ISNUMBER('자료_한국심리'!$B2980)),'자료_한국심리'!$A2980,"")</f>
        <v/>
      </c>
      <c r="V2996">
        <f>IF(AND(ISNUMBER('자료_한국심리'!$D2980),ISNUMBER('자료_한국심리'!$E2980)),'자료_한국심리'!$D2980,"")</f>
        <v/>
      </c>
      <c r="W2996">
        <f>IF(AND(ISNUMBER('자료_한국심리'!$G2980),ISNUMBER('자료_한국심리'!$H2980)),'자료_한국심리'!$G2980,"")</f>
        <v/>
      </c>
      <c r="X2996">
        <f>IF(AND(ISNUMBER('자료_한국심리'!$J2980),ISNUMBER('자료_한국심리'!$K2980)),'자료_한국심리'!$J2980,"")</f>
        <v/>
      </c>
      <c r="Y2996">
        <f>IF(AND(ISNUMBER('자료_한국심리'!$M2980),ISNUMBER('자료_한국심리'!$N2980)),'자료_한국심리'!$M2980,"")</f>
        <v/>
      </c>
    </row>
    <row r="2997">
      <c r="U2997">
        <f>IF(AND(ISNUMBER('자료_한국심리'!$A2981),ISNUMBER('자료_한국심리'!$B2981)),'자료_한국심리'!$A2981,"")</f>
        <v/>
      </c>
      <c r="V2997">
        <f>IF(AND(ISNUMBER('자료_한국심리'!$D2981),ISNUMBER('자료_한국심리'!$E2981)),'자료_한국심리'!$D2981,"")</f>
        <v/>
      </c>
      <c r="W2997">
        <f>IF(AND(ISNUMBER('자료_한국심리'!$G2981),ISNUMBER('자료_한국심리'!$H2981)),'자료_한국심리'!$G2981,"")</f>
        <v/>
      </c>
      <c r="X2997">
        <f>IF(AND(ISNUMBER('자료_한국심리'!$J2981),ISNUMBER('자료_한국심리'!$K2981)),'자료_한국심리'!$J2981,"")</f>
        <v/>
      </c>
      <c r="Y2997">
        <f>IF(AND(ISNUMBER('자료_한국심리'!$M2981),ISNUMBER('자료_한국심리'!$N2981)),'자료_한국심리'!$M2981,"")</f>
        <v/>
      </c>
    </row>
    <row r="2998">
      <c r="U2998">
        <f>IF(AND(ISNUMBER('자료_한국심리'!$A2982),ISNUMBER('자료_한국심리'!$B2982)),'자료_한국심리'!$A2982,"")</f>
        <v/>
      </c>
      <c r="V2998">
        <f>IF(AND(ISNUMBER('자료_한국심리'!$D2982),ISNUMBER('자료_한국심리'!$E2982)),'자료_한국심리'!$D2982,"")</f>
        <v/>
      </c>
      <c r="W2998">
        <f>IF(AND(ISNUMBER('자료_한국심리'!$G2982),ISNUMBER('자료_한국심리'!$H2982)),'자료_한국심리'!$G2982,"")</f>
        <v/>
      </c>
      <c r="X2998">
        <f>IF(AND(ISNUMBER('자료_한국심리'!$J2982),ISNUMBER('자료_한국심리'!$K2982)),'자료_한국심리'!$J2982,"")</f>
        <v/>
      </c>
      <c r="Y2998">
        <f>IF(AND(ISNUMBER('자료_한국심리'!$M2982),ISNUMBER('자료_한국심리'!$N2982)),'자료_한국심리'!$M2982,"")</f>
        <v/>
      </c>
    </row>
    <row r="2999">
      <c r="U2999">
        <f>IF(AND(ISNUMBER('자료_한국심리'!$A2983),ISNUMBER('자료_한국심리'!$B2983)),'자료_한국심리'!$A2983,"")</f>
        <v/>
      </c>
      <c r="V2999">
        <f>IF(AND(ISNUMBER('자료_한국심리'!$D2983),ISNUMBER('자료_한국심리'!$E2983)),'자료_한국심리'!$D2983,"")</f>
        <v/>
      </c>
      <c r="W2999">
        <f>IF(AND(ISNUMBER('자료_한국심리'!$G2983),ISNUMBER('자료_한국심리'!$H2983)),'자료_한국심리'!$G2983,"")</f>
        <v/>
      </c>
      <c r="X2999">
        <f>IF(AND(ISNUMBER('자료_한국심리'!$J2983),ISNUMBER('자료_한국심리'!$K2983)),'자료_한국심리'!$J2983,"")</f>
        <v/>
      </c>
      <c r="Y2999">
        <f>IF(AND(ISNUMBER('자료_한국심리'!$M2983),ISNUMBER('자료_한국심리'!$N2983)),'자료_한국심리'!$M2983,"")</f>
        <v/>
      </c>
    </row>
    <row r="3000">
      <c r="U3000">
        <f>IF(AND(ISNUMBER('자료_한국심리'!$A2984),ISNUMBER('자료_한국심리'!$B2984)),'자료_한국심리'!$A2984,"")</f>
        <v/>
      </c>
      <c r="V3000">
        <f>IF(AND(ISNUMBER('자료_한국심리'!$D2984),ISNUMBER('자료_한국심리'!$E2984)),'자료_한국심리'!$D2984,"")</f>
        <v/>
      </c>
      <c r="W3000">
        <f>IF(AND(ISNUMBER('자료_한국심리'!$G2984),ISNUMBER('자료_한국심리'!$H2984)),'자료_한국심리'!$G2984,"")</f>
        <v/>
      </c>
      <c r="X3000">
        <f>IF(AND(ISNUMBER('자료_한국심리'!$J2984),ISNUMBER('자료_한국심리'!$K2984)),'자료_한국심리'!$J2984,"")</f>
        <v/>
      </c>
      <c r="Y3000">
        <f>IF(AND(ISNUMBER('자료_한국심리'!$M2984),ISNUMBER('자료_한국심리'!$N2984)),'자료_한국심리'!$M2984,"")</f>
        <v/>
      </c>
    </row>
    <row r="3001">
      <c r="U3001">
        <f>IF(AND(ISNUMBER('자료_한국심리'!$A2985),ISNUMBER('자료_한국심리'!$B2985)),'자료_한국심리'!$A2985,"")</f>
        <v/>
      </c>
      <c r="V3001">
        <f>IF(AND(ISNUMBER('자료_한국심리'!$D2985),ISNUMBER('자료_한국심리'!$E2985)),'자료_한국심리'!$D2985,"")</f>
        <v/>
      </c>
      <c r="W3001">
        <f>IF(AND(ISNUMBER('자료_한국심리'!$G2985),ISNUMBER('자료_한국심리'!$H2985)),'자료_한국심리'!$G2985,"")</f>
        <v/>
      </c>
      <c r="X3001">
        <f>IF(AND(ISNUMBER('자료_한국심리'!$J2985),ISNUMBER('자료_한국심리'!$K2985)),'자료_한국심리'!$J2985,"")</f>
        <v/>
      </c>
      <c r="Y3001">
        <f>IF(AND(ISNUMBER('자료_한국심리'!$M2985),ISNUMBER('자료_한국심리'!$N2985)),'자료_한국심리'!$M2985,"")</f>
        <v/>
      </c>
    </row>
    <row r="3002">
      <c r="U3002">
        <f>IF(AND(ISNUMBER('자료_한국심리'!$A2986),ISNUMBER('자료_한국심리'!$B2986)),'자료_한국심리'!$A2986,"")</f>
        <v/>
      </c>
      <c r="V3002">
        <f>IF(AND(ISNUMBER('자료_한국심리'!$D2986),ISNUMBER('자료_한국심리'!$E2986)),'자료_한국심리'!$D2986,"")</f>
        <v/>
      </c>
      <c r="W3002">
        <f>IF(AND(ISNUMBER('자료_한국심리'!$G2986),ISNUMBER('자료_한국심리'!$H2986)),'자료_한국심리'!$G2986,"")</f>
        <v/>
      </c>
      <c r="X3002">
        <f>IF(AND(ISNUMBER('자료_한국심리'!$J2986),ISNUMBER('자료_한국심리'!$K2986)),'자료_한국심리'!$J2986,"")</f>
        <v/>
      </c>
      <c r="Y3002">
        <f>IF(AND(ISNUMBER('자료_한국심리'!$M2986),ISNUMBER('자료_한국심리'!$N2986)),'자료_한국심리'!$M2986,"")</f>
        <v/>
      </c>
    </row>
    <row r="3003">
      <c r="U3003">
        <f>IF(AND(ISNUMBER('자료_한국심리'!$A2987),ISNUMBER('자료_한국심리'!$B2987)),'자료_한국심리'!$A2987,"")</f>
        <v/>
      </c>
      <c r="V3003">
        <f>IF(AND(ISNUMBER('자료_한국심리'!$D2987),ISNUMBER('자료_한국심리'!$E2987)),'자료_한국심리'!$D2987,"")</f>
        <v/>
      </c>
      <c r="W3003">
        <f>IF(AND(ISNUMBER('자료_한국심리'!$G2987),ISNUMBER('자료_한국심리'!$H2987)),'자료_한국심리'!$G2987,"")</f>
        <v/>
      </c>
      <c r="X3003">
        <f>IF(AND(ISNUMBER('자료_한국심리'!$J2987),ISNUMBER('자료_한국심리'!$K2987)),'자료_한국심리'!$J2987,"")</f>
        <v/>
      </c>
      <c r="Y3003">
        <f>IF(AND(ISNUMBER('자료_한국심리'!$M2987),ISNUMBER('자료_한국심리'!$N2987)),'자료_한국심리'!$M2987,"")</f>
        <v/>
      </c>
    </row>
    <row r="3004">
      <c r="U3004">
        <f>IF(AND(ISNUMBER('자료_한국심리'!$A2988),ISNUMBER('자료_한국심리'!$B2988)),'자료_한국심리'!$A2988,"")</f>
        <v/>
      </c>
      <c r="V3004">
        <f>IF(AND(ISNUMBER('자료_한국심리'!$D2988),ISNUMBER('자료_한국심리'!$E2988)),'자료_한국심리'!$D2988,"")</f>
        <v/>
      </c>
      <c r="W3004">
        <f>IF(AND(ISNUMBER('자료_한국심리'!$G2988),ISNUMBER('자료_한국심리'!$H2988)),'자료_한국심리'!$G2988,"")</f>
        <v/>
      </c>
      <c r="X3004">
        <f>IF(AND(ISNUMBER('자료_한국심리'!$J2988),ISNUMBER('자료_한국심리'!$K2988)),'자료_한국심리'!$J2988,"")</f>
        <v/>
      </c>
      <c r="Y3004">
        <f>IF(AND(ISNUMBER('자료_한국심리'!$M2988),ISNUMBER('자료_한국심리'!$N2988)),'자료_한국심리'!$M2988,"")</f>
        <v/>
      </c>
    </row>
    <row r="3005">
      <c r="U3005">
        <f>IF(AND(ISNUMBER('자료_한국심리'!$A2989),ISNUMBER('자료_한국심리'!$B2989)),'자료_한국심리'!$A2989,"")</f>
        <v/>
      </c>
      <c r="V3005">
        <f>IF(AND(ISNUMBER('자료_한국심리'!$D2989),ISNUMBER('자료_한국심리'!$E2989)),'자료_한국심리'!$D2989,"")</f>
        <v/>
      </c>
      <c r="W3005">
        <f>IF(AND(ISNUMBER('자료_한국심리'!$G2989),ISNUMBER('자료_한국심리'!$H2989)),'자료_한국심리'!$G2989,"")</f>
        <v/>
      </c>
      <c r="X3005">
        <f>IF(AND(ISNUMBER('자료_한국심리'!$J2989),ISNUMBER('자료_한국심리'!$K2989)),'자료_한국심리'!$J2989,"")</f>
        <v/>
      </c>
      <c r="Y3005">
        <f>IF(AND(ISNUMBER('자료_한국심리'!$M2989),ISNUMBER('자료_한국심리'!$N2989)),'자료_한국심리'!$M2989,"")</f>
        <v/>
      </c>
    </row>
    <row r="3006">
      <c r="U3006">
        <f>IF(AND(ISNUMBER('자료_한국심리'!$A2990),ISNUMBER('자료_한국심리'!$B2990)),'자료_한국심리'!$A2990,"")</f>
        <v/>
      </c>
      <c r="V3006">
        <f>IF(AND(ISNUMBER('자료_한국심리'!$D2990),ISNUMBER('자료_한국심리'!$E2990)),'자료_한국심리'!$D2990,"")</f>
        <v/>
      </c>
      <c r="W3006">
        <f>IF(AND(ISNUMBER('자료_한국심리'!$G2990),ISNUMBER('자료_한국심리'!$H2990)),'자료_한국심리'!$G2990,"")</f>
        <v/>
      </c>
      <c r="X3006">
        <f>IF(AND(ISNUMBER('자료_한국심리'!$J2990),ISNUMBER('자료_한국심리'!$K2990)),'자료_한국심리'!$J2990,"")</f>
        <v/>
      </c>
      <c r="Y3006">
        <f>IF(AND(ISNUMBER('자료_한국심리'!$M2990),ISNUMBER('자료_한국심리'!$N2990)),'자료_한국심리'!$M2990,"")</f>
        <v/>
      </c>
    </row>
    <row r="3007">
      <c r="U3007">
        <f>IF(AND(ISNUMBER('자료_한국심리'!$A2991),ISNUMBER('자료_한국심리'!$B2991)),'자료_한국심리'!$A2991,"")</f>
        <v/>
      </c>
      <c r="V3007">
        <f>IF(AND(ISNUMBER('자료_한국심리'!$D2991),ISNUMBER('자료_한국심리'!$E2991)),'자료_한국심리'!$D2991,"")</f>
        <v/>
      </c>
      <c r="W3007">
        <f>IF(AND(ISNUMBER('자료_한국심리'!$G2991),ISNUMBER('자료_한국심리'!$H2991)),'자료_한국심리'!$G2991,"")</f>
        <v/>
      </c>
      <c r="X3007">
        <f>IF(AND(ISNUMBER('자료_한국심리'!$J2991),ISNUMBER('자료_한국심리'!$K2991)),'자료_한국심리'!$J2991,"")</f>
        <v/>
      </c>
      <c r="Y3007">
        <f>IF(AND(ISNUMBER('자료_한국심리'!$M2991),ISNUMBER('자료_한국심리'!$N2991)),'자료_한국심리'!$M2991,"")</f>
        <v/>
      </c>
    </row>
    <row r="3008">
      <c r="U3008">
        <f>IF(AND(ISNUMBER('자료_한국심리'!$A2992),ISNUMBER('자료_한국심리'!$B2992)),'자료_한국심리'!$A2992,"")</f>
        <v/>
      </c>
      <c r="V3008">
        <f>IF(AND(ISNUMBER('자료_한국심리'!$D2992),ISNUMBER('자료_한국심리'!$E2992)),'자료_한국심리'!$D2992,"")</f>
        <v/>
      </c>
      <c r="W3008">
        <f>IF(AND(ISNUMBER('자료_한국심리'!$G2992),ISNUMBER('자료_한국심리'!$H2992)),'자료_한국심리'!$G2992,"")</f>
        <v/>
      </c>
      <c r="X3008">
        <f>IF(AND(ISNUMBER('자료_한국심리'!$J2992),ISNUMBER('자료_한국심리'!$K2992)),'자료_한국심리'!$J2992,"")</f>
        <v/>
      </c>
      <c r="Y3008">
        <f>IF(AND(ISNUMBER('자료_한국심리'!$M2992),ISNUMBER('자료_한국심리'!$N2992)),'자료_한국심리'!$M2992,"")</f>
        <v/>
      </c>
    </row>
    <row r="3009">
      <c r="U3009">
        <f>IF(AND(ISNUMBER('자료_한국심리'!$A2993),ISNUMBER('자료_한국심리'!$B2993)),'자료_한국심리'!$A2993,"")</f>
        <v/>
      </c>
      <c r="V3009">
        <f>IF(AND(ISNUMBER('자료_한국심리'!$D2993),ISNUMBER('자료_한국심리'!$E2993)),'자료_한국심리'!$D2993,"")</f>
        <v/>
      </c>
      <c r="W3009">
        <f>IF(AND(ISNUMBER('자료_한국심리'!$G2993),ISNUMBER('자료_한국심리'!$H2993)),'자료_한국심리'!$G2993,"")</f>
        <v/>
      </c>
      <c r="X3009">
        <f>IF(AND(ISNUMBER('자료_한국심리'!$J2993),ISNUMBER('자료_한국심리'!$K2993)),'자료_한국심리'!$J2993,"")</f>
        <v/>
      </c>
      <c r="Y3009">
        <f>IF(AND(ISNUMBER('자료_한국심리'!$M2993),ISNUMBER('자료_한국심리'!$N2993)),'자료_한국심리'!$M2993,"")</f>
        <v/>
      </c>
    </row>
    <row r="3010">
      <c r="U3010">
        <f>IF(AND(ISNUMBER('자료_한국심리'!$A2994),ISNUMBER('자료_한국심리'!$B2994)),'자료_한국심리'!$A2994,"")</f>
        <v/>
      </c>
      <c r="V3010">
        <f>IF(AND(ISNUMBER('자료_한국심리'!$D2994),ISNUMBER('자료_한국심리'!$E2994)),'자료_한국심리'!$D2994,"")</f>
        <v/>
      </c>
      <c r="W3010">
        <f>IF(AND(ISNUMBER('자료_한국심리'!$G2994),ISNUMBER('자료_한국심리'!$H2994)),'자료_한국심리'!$G2994,"")</f>
        <v/>
      </c>
      <c r="X3010">
        <f>IF(AND(ISNUMBER('자료_한국심리'!$J2994),ISNUMBER('자료_한국심리'!$K2994)),'자료_한국심리'!$J2994,"")</f>
        <v/>
      </c>
      <c r="Y3010">
        <f>IF(AND(ISNUMBER('자료_한국심리'!$M2994),ISNUMBER('자료_한국심리'!$N2994)),'자료_한국심리'!$M2994,"")</f>
        <v/>
      </c>
    </row>
    <row r="3011">
      <c r="U3011">
        <f>IF(AND(ISNUMBER('자료_한국심리'!$A2995),ISNUMBER('자료_한국심리'!$B2995)),'자료_한국심리'!$A2995,"")</f>
        <v/>
      </c>
      <c r="V3011">
        <f>IF(AND(ISNUMBER('자료_한국심리'!$D2995),ISNUMBER('자료_한국심리'!$E2995)),'자료_한국심리'!$D2995,"")</f>
        <v/>
      </c>
      <c r="W3011">
        <f>IF(AND(ISNUMBER('자료_한국심리'!$G2995),ISNUMBER('자료_한국심리'!$H2995)),'자료_한국심리'!$G2995,"")</f>
        <v/>
      </c>
      <c r="X3011">
        <f>IF(AND(ISNUMBER('자료_한국심리'!$J2995),ISNUMBER('자료_한국심리'!$K2995)),'자료_한국심리'!$J2995,"")</f>
        <v/>
      </c>
      <c r="Y3011">
        <f>IF(AND(ISNUMBER('자료_한국심리'!$M2995),ISNUMBER('자료_한국심리'!$N2995)),'자료_한국심리'!$M2995,"")</f>
        <v/>
      </c>
    </row>
    <row r="3012">
      <c r="U3012">
        <f>IF(AND(ISNUMBER('자료_한국심리'!$A2996),ISNUMBER('자료_한국심리'!$B2996)),'자료_한국심리'!$A2996,"")</f>
        <v/>
      </c>
      <c r="V3012">
        <f>IF(AND(ISNUMBER('자료_한국심리'!$D2996),ISNUMBER('자료_한국심리'!$E2996)),'자료_한국심리'!$D2996,"")</f>
        <v/>
      </c>
      <c r="W3012">
        <f>IF(AND(ISNUMBER('자료_한국심리'!$G2996),ISNUMBER('자료_한국심리'!$H2996)),'자료_한국심리'!$G2996,"")</f>
        <v/>
      </c>
      <c r="X3012">
        <f>IF(AND(ISNUMBER('자료_한국심리'!$J2996),ISNUMBER('자료_한국심리'!$K2996)),'자료_한국심리'!$J2996,"")</f>
        <v/>
      </c>
      <c r="Y3012">
        <f>IF(AND(ISNUMBER('자료_한국심리'!$M2996),ISNUMBER('자료_한국심리'!$N2996)),'자료_한국심리'!$M2996,"")</f>
        <v/>
      </c>
    </row>
    <row r="3013">
      <c r="U3013">
        <f>IF(AND(ISNUMBER('자료_한국심리'!$A2997),ISNUMBER('자료_한국심리'!$B2997)),'자료_한국심리'!$A2997,"")</f>
        <v/>
      </c>
      <c r="V3013">
        <f>IF(AND(ISNUMBER('자료_한국심리'!$D2997),ISNUMBER('자료_한국심리'!$E2997)),'자료_한국심리'!$D2997,"")</f>
        <v/>
      </c>
      <c r="W3013">
        <f>IF(AND(ISNUMBER('자료_한국심리'!$G2997),ISNUMBER('자료_한국심리'!$H2997)),'자료_한국심리'!$G2997,"")</f>
        <v/>
      </c>
      <c r="X3013">
        <f>IF(AND(ISNUMBER('자료_한국심리'!$J2997),ISNUMBER('자료_한국심리'!$K2997)),'자료_한국심리'!$J2997,"")</f>
        <v/>
      </c>
      <c r="Y3013">
        <f>IF(AND(ISNUMBER('자료_한국심리'!$M2997),ISNUMBER('자료_한국심리'!$N2997)),'자료_한국심리'!$M2997,"")</f>
        <v/>
      </c>
    </row>
    <row r="3014">
      <c r="U3014">
        <f>IF(AND(ISNUMBER('자료_한국심리'!$A2998),ISNUMBER('자료_한국심리'!$B2998)),'자료_한국심리'!$A2998,"")</f>
        <v/>
      </c>
      <c r="V3014">
        <f>IF(AND(ISNUMBER('자료_한국심리'!$D2998),ISNUMBER('자료_한국심리'!$E2998)),'자료_한국심리'!$D2998,"")</f>
        <v/>
      </c>
      <c r="W3014">
        <f>IF(AND(ISNUMBER('자료_한국심리'!$G2998),ISNUMBER('자료_한국심리'!$H2998)),'자료_한국심리'!$G2998,"")</f>
        <v/>
      </c>
      <c r="X3014">
        <f>IF(AND(ISNUMBER('자료_한국심리'!$J2998),ISNUMBER('자료_한국심리'!$K2998)),'자료_한국심리'!$J2998,"")</f>
        <v/>
      </c>
      <c r="Y3014">
        <f>IF(AND(ISNUMBER('자료_한국심리'!$M2998),ISNUMBER('자료_한국심리'!$N2998)),'자료_한국심리'!$M2998,"")</f>
        <v/>
      </c>
    </row>
    <row r="3015">
      <c r="U3015">
        <f>IF(AND(ISNUMBER('자료_한국심리'!$A2999),ISNUMBER('자료_한국심리'!$B2999)),'자료_한국심리'!$A2999,"")</f>
        <v/>
      </c>
      <c r="V3015">
        <f>IF(AND(ISNUMBER('자료_한국심리'!$D2999),ISNUMBER('자료_한국심리'!$E2999)),'자료_한국심리'!$D2999,"")</f>
        <v/>
      </c>
      <c r="W3015">
        <f>IF(AND(ISNUMBER('자료_한국심리'!$G2999),ISNUMBER('자료_한국심리'!$H2999)),'자료_한국심리'!$G2999,"")</f>
        <v/>
      </c>
      <c r="X3015">
        <f>IF(AND(ISNUMBER('자료_한국심리'!$J2999),ISNUMBER('자료_한국심리'!$K2999)),'자료_한국심리'!$J2999,"")</f>
        <v/>
      </c>
      <c r="Y3015">
        <f>IF(AND(ISNUMBER('자료_한국심리'!$M2999),ISNUMBER('자료_한국심리'!$N2999)),'자료_한국심리'!$M2999,"")</f>
        <v/>
      </c>
    </row>
    <row r="3016">
      <c r="U3016">
        <f>IF(AND(ISNUMBER('자료_한국심리'!$A3000),ISNUMBER('자료_한국심리'!$B3000)),'자료_한국심리'!$A3000,"")</f>
        <v/>
      </c>
      <c r="V3016">
        <f>IF(AND(ISNUMBER('자료_한국심리'!$D3000),ISNUMBER('자료_한국심리'!$E3000)),'자료_한국심리'!$D3000,"")</f>
        <v/>
      </c>
      <c r="W3016">
        <f>IF(AND(ISNUMBER('자료_한국심리'!$G3000),ISNUMBER('자료_한국심리'!$H3000)),'자료_한국심리'!$G3000,"")</f>
        <v/>
      </c>
      <c r="X3016">
        <f>IF(AND(ISNUMBER('자료_한국심리'!$J3000),ISNUMBER('자료_한국심리'!$K3000)),'자료_한국심리'!$J3000,"")</f>
        <v/>
      </c>
      <c r="Y3016">
        <f>IF(AND(ISNUMBER('자료_한국심리'!$M3000),ISNUMBER('자료_한국심리'!$N3000)),'자료_한국심리'!$M3000,"")</f>
        <v/>
      </c>
    </row>
    <row r="3017">
      <c r="U3017">
        <f>IF(AND(ISNUMBER('자료_한국심리'!$A3001),ISNUMBER('자료_한국심리'!$B3001)),'자료_한국심리'!$A3001,"")</f>
        <v/>
      </c>
      <c r="V3017">
        <f>IF(AND(ISNUMBER('자료_한국심리'!$D3001),ISNUMBER('자료_한국심리'!$E3001)),'자료_한국심리'!$D3001,"")</f>
        <v/>
      </c>
      <c r="W3017">
        <f>IF(AND(ISNUMBER('자료_한국심리'!$G3001),ISNUMBER('자료_한국심리'!$H3001)),'자료_한국심리'!$G3001,"")</f>
        <v/>
      </c>
      <c r="X3017">
        <f>IF(AND(ISNUMBER('자료_한국심리'!$J3001),ISNUMBER('자료_한국심리'!$K3001)),'자료_한국심리'!$J3001,"")</f>
        <v/>
      </c>
      <c r="Y3017">
        <f>IF(AND(ISNUMBER('자료_한국심리'!$M3001),ISNUMBER('자료_한국심리'!$N3001)),'자료_한국심리'!$M3001,"")</f>
        <v/>
      </c>
    </row>
    <row r="3018">
      <c r="U3018">
        <f>IF(AND(ISNUMBER('자료_한국심리'!$A3002),ISNUMBER('자료_한국심리'!$B3002)),'자료_한국심리'!$A3002,"")</f>
        <v/>
      </c>
      <c r="V3018">
        <f>IF(AND(ISNUMBER('자료_한국심리'!$D3002),ISNUMBER('자료_한국심리'!$E3002)),'자료_한국심리'!$D3002,"")</f>
        <v/>
      </c>
      <c r="W3018">
        <f>IF(AND(ISNUMBER('자료_한국심리'!$G3002),ISNUMBER('자료_한국심리'!$H3002)),'자료_한국심리'!$G3002,"")</f>
        <v/>
      </c>
      <c r="X3018">
        <f>IF(AND(ISNUMBER('자료_한국심리'!$J3002),ISNUMBER('자료_한국심리'!$K3002)),'자료_한국심리'!$J3002,"")</f>
        <v/>
      </c>
      <c r="Y3018">
        <f>IF(AND(ISNUMBER('자료_한국심리'!$M3002),ISNUMBER('자료_한국심리'!$N3002)),'자료_한국심리'!$M3002,"")</f>
        <v/>
      </c>
    </row>
    <row r="3019">
      <c r="U3019">
        <f>IF(AND(ISNUMBER('자료_한국심리'!$A3003),ISNUMBER('자료_한국심리'!$B3003)),'자료_한국심리'!$A3003,"")</f>
        <v/>
      </c>
      <c r="V3019">
        <f>IF(AND(ISNUMBER('자료_한국심리'!$D3003),ISNUMBER('자료_한국심리'!$E3003)),'자료_한국심리'!$D3003,"")</f>
        <v/>
      </c>
      <c r="W3019">
        <f>IF(AND(ISNUMBER('자료_한국심리'!$G3003),ISNUMBER('자료_한국심리'!$H3003)),'자료_한국심리'!$G3003,"")</f>
        <v/>
      </c>
      <c r="X3019">
        <f>IF(AND(ISNUMBER('자료_한국심리'!$J3003),ISNUMBER('자료_한국심리'!$K3003)),'자료_한국심리'!$J3003,"")</f>
        <v/>
      </c>
      <c r="Y3019">
        <f>IF(AND(ISNUMBER('자료_한국심리'!$M3003),ISNUMBER('자료_한국심리'!$N3003)),'자료_한국심리'!$M3003,"")</f>
        <v/>
      </c>
    </row>
    <row r="3020">
      <c r="U3020">
        <f>IF(AND(ISNUMBER('자료_한국심리'!$A3004),ISNUMBER('자료_한국심리'!$B3004)),'자료_한국심리'!$A3004,"")</f>
        <v/>
      </c>
      <c r="V3020">
        <f>IF(AND(ISNUMBER('자료_한국심리'!$D3004),ISNUMBER('자료_한국심리'!$E3004)),'자료_한국심리'!$D3004,"")</f>
        <v/>
      </c>
      <c r="W3020">
        <f>IF(AND(ISNUMBER('자료_한국심리'!$G3004),ISNUMBER('자료_한국심리'!$H3004)),'자료_한국심리'!$G3004,"")</f>
        <v/>
      </c>
      <c r="X3020">
        <f>IF(AND(ISNUMBER('자료_한국심리'!$J3004),ISNUMBER('자료_한국심리'!$K3004)),'자료_한국심리'!$J3004,"")</f>
        <v/>
      </c>
      <c r="Y3020">
        <f>IF(AND(ISNUMBER('자료_한국심리'!$M3004),ISNUMBER('자료_한국심리'!$N3004)),'자료_한국심리'!$M3004,"")</f>
        <v/>
      </c>
    </row>
    <row r="3021">
      <c r="U3021">
        <f>IF(AND(ISNUMBER('자료_한국심리'!$A3005),ISNUMBER('자료_한국심리'!$B3005)),'자료_한국심리'!$A3005,"")</f>
        <v/>
      </c>
      <c r="V3021">
        <f>IF(AND(ISNUMBER('자료_한국심리'!$D3005),ISNUMBER('자료_한국심리'!$E3005)),'자료_한국심리'!$D3005,"")</f>
        <v/>
      </c>
      <c r="W3021">
        <f>IF(AND(ISNUMBER('자료_한국심리'!$G3005),ISNUMBER('자료_한국심리'!$H3005)),'자료_한국심리'!$G3005,"")</f>
        <v/>
      </c>
      <c r="X3021">
        <f>IF(AND(ISNUMBER('자료_한국심리'!$J3005),ISNUMBER('자료_한국심리'!$K3005)),'자료_한국심리'!$J3005,"")</f>
        <v/>
      </c>
      <c r="Y3021">
        <f>IF(AND(ISNUMBER('자료_한국심리'!$M3005),ISNUMBER('자료_한국심리'!$N3005)),'자료_한국심리'!$M3005,"")</f>
        <v/>
      </c>
    </row>
    <row r="3022">
      <c r="U3022">
        <f>IF(AND(ISNUMBER('자료_한국심리'!$A3006),ISNUMBER('자료_한국심리'!$B3006)),'자료_한국심리'!$A3006,"")</f>
        <v/>
      </c>
      <c r="V3022">
        <f>IF(AND(ISNUMBER('자료_한국심리'!$D3006),ISNUMBER('자료_한국심리'!$E3006)),'자료_한국심리'!$D3006,"")</f>
        <v/>
      </c>
      <c r="W3022">
        <f>IF(AND(ISNUMBER('자료_한국심리'!$G3006),ISNUMBER('자료_한국심리'!$H3006)),'자료_한국심리'!$G3006,"")</f>
        <v/>
      </c>
      <c r="X3022">
        <f>IF(AND(ISNUMBER('자료_한국심리'!$J3006),ISNUMBER('자료_한국심리'!$K3006)),'자료_한국심리'!$J3006,"")</f>
        <v/>
      </c>
      <c r="Y3022">
        <f>IF(AND(ISNUMBER('자료_한국심리'!$M3006),ISNUMBER('자료_한국심리'!$N3006)),'자료_한국심리'!$M3006,"")</f>
        <v/>
      </c>
    </row>
    <row r="3023">
      <c r="U3023">
        <f>IF(AND(ISNUMBER('자료_한국심리'!$A3007),ISNUMBER('자료_한국심리'!$B3007)),'자료_한국심리'!$A3007,"")</f>
        <v/>
      </c>
      <c r="V3023">
        <f>IF(AND(ISNUMBER('자료_한국심리'!$D3007),ISNUMBER('자료_한국심리'!$E3007)),'자료_한국심리'!$D3007,"")</f>
        <v/>
      </c>
      <c r="W3023">
        <f>IF(AND(ISNUMBER('자료_한국심리'!$G3007),ISNUMBER('자료_한국심리'!$H3007)),'자료_한국심리'!$G3007,"")</f>
        <v/>
      </c>
      <c r="X3023">
        <f>IF(AND(ISNUMBER('자료_한국심리'!$J3007),ISNUMBER('자료_한국심리'!$K3007)),'자료_한국심리'!$J3007,"")</f>
        <v/>
      </c>
      <c r="Y3023">
        <f>IF(AND(ISNUMBER('자료_한국심리'!$M3007),ISNUMBER('자료_한국심리'!$N3007)),'자료_한국심리'!$M3007,"")</f>
        <v/>
      </c>
    </row>
    <row r="3024">
      <c r="U3024">
        <f>IF(AND(ISNUMBER('자료_한국심리'!$A3008),ISNUMBER('자료_한국심리'!$B3008)),'자료_한국심리'!$A3008,"")</f>
        <v/>
      </c>
      <c r="V3024">
        <f>IF(AND(ISNUMBER('자료_한국심리'!$D3008),ISNUMBER('자료_한국심리'!$E3008)),'자료_한국심리'!$D3008,"")</f>
        <v/>
      </c>
      <c r="W3024">
        <f>IF(AND(ISNUMBER('자료_한국심리'!$G3008),ISNUMBER('자료_한국심리'!$H3008)),'자료_한국심리'!$G3008,"")</f>
        <v/>
      </c>
      <c r="X3024">
        <f>IF(AND(ISNUMBER('자료_한국심리'!$J3008),ISNUMBER('자료_한국심리'!$K3008)),'자료_한국심리'!$J3008,"")</f>
        <v/>
      </c>
      <c r="Y3024">
        <f>IF(AND(ISNUMBER('자료_한국심리'!$M3008),ISNUMBER('자료_한국심리'!$N3008)),'자료_한국심리'!$M3008,"")</f>
        <v/>
      </c>
    </row>
    <row r="3025">
      <c r="U3025">
        <f>IF(AND(ISNUMBER('자료_한국심리'!$A3009),ISNUMBER('자료_한국심리'!$B3009)),'자료_한국심리'!$A3009,"")</f>
        <v/>
      </c>
      <c r="V3025">
        <f>IF(AND(ISNUMBER('자료_한국심리'!$D3009),ISNUMBER('자료_한국심리'!$E3009)),'자료_한국심리'!$D3009,"")</f>
        <v/>
      </c>
      <c r="W3025">
        <f>IF(AND(ISNUMBER('자료_한국심리'!$G3009),ISNUMBER('자료_한국심리'!$H3009)),'자료_한국심리'!$G3009,"")</f>
        <v/>
      </c>
      <c r="X3025">
        <f>IF(AND(ISNUMBER('자료_한국심리'!$J3009),ISNUMBER('자료_한국심리'!$K3009)),'자료_한국심리'!$J3009,"")</f>
        <v/>
      </c>
      <c r="Y3025">
        <f>IF(AND(ISNUMBER('자료_한국심리'!$M3009),ISNUMBER('자료_한국심리'!$N3009)),'자료_한국심리'!$M3009,"")</f>
        <v/>
      </c>
    </row>
    <row r="3026">
      <c r="U3026">
        <f>IF(AND(ISNUMBER('자료_한국심리'!$A3010),ISNUMBER('자료_한국심리'!$B3010)),'자료_한국심리'!$A3010,"")</f>
        <v/>
      </c>
      <c r="V3026">
        <f>IF(AND(ISNUMBER('자료_한국심리'!$D3010),ISNUMBER('자료_한국심리'!$E3010)),'자료_한국심리'!$D3010,"")</f>
        <v/>
      </c>
      <c r="W3026">
        <f>IF(AND(ISNUMBER('자료_한국심리'!$G3010),ISNUMBER('자료_한국심리'!$H3010)),'자료_한국심리'!$G3010,"")</f>
        <v/>
      </c>
      <c r="X3026">
        <f>IF(AND(ISNUMBER('자료_한국심리'!$J3010),ISNUMBER('자료_한국심리'!$K3010)),'자료_한국심리'!$J3010,"")</f>
        <v/>
      </c>
      <c r="Y3026">
        <f>IF(AND(ISNUMBER('자료_한국심리'!$M3010),ISNUMBER('자료_한국심리'!$N3010)),'자료_한국심리'!$M3010,"")</f>
        <v/>
      </c>
    </row>
    <row r="3027">
      <c r="U3027">
        <f>IF(AND(ISNUMBER('자료_한국심리'!$A3011),ISNUMBER('자료_한국심리'!$B3011)),'자료_한국심리'!$A3011,"")</f>
        <v/>
      </c>
      <c r="V3027">
        <f>IF(AND(ISNUMBER('자료_한국심리'!$D3011),ISNUMBER('자료_한국심리'!$E3011)),'자료_한국심리'!$D3011,"")</f>
        <v/>
      </c>
      <c r="W3027">
        <f>IF(AND(ISNUMBER('자료_한국심리'!$G3011),ISNUMBER('자료_한국심리'!$H3011)),'자료_한국심리'!$G3011,"")</f>
        <v/>
      </c>
      <c r="X3027">
        <f>IF(AND(ISNUMBER('자료_한국심리'!$J3011),ISNUMBER('자료_한국심리'!$K3011)),'자료_한국심리'!$J3011,"")</f>
        <v/>
      </c>
      <c r="Y3027">
        <f>IF(AND(ISNUMBER('자료_한국심리'!$M3011),ISNUMBER('자료_한국심리'!$N3011)),'자료_한국심리'!$M3011,"")</f>
        <v/>
      </c>
    </row>
    <row r="3028">
      <c r="U3028">
        <f>IF(AND(ISNUMBER('자료_한국심리'!$A3012),ISNUMBER('자료_한국심리'!$B3012)),'자료_한국심리'!$A3012,"")</f>
        <v/>
      </c>
      <c r="V3028">
        <f>IF(AND(ISNUMBER('자료_한국심리'!$D3012),ISNUMBER('자료_한국심리'!$E3012)),'자료_한국심리'!$D3012,"")</f>
        <v/>
      </c>
      <c r="W3028">
        <f>IF(AND(ISNUMBER('자료_한국심리'!$G3012),ISNUMBER('자료_한국심리'!$H3012)),'자료_한국심리'!$G3012,"")</f>
        <v/>
      </c>
      <c r="X3028">
        <f>IF(AND(ISNUMBER('자료_한국심리'!$J3012),ISNUMBER('자료_한국심리'!$K3012)),'자료_한국심리'!$J3012,"")</f>
        <v/>
      </c>
      <c r="Y3028">
        <f>IF(AND(ISNUMBER('자료_한국심리'!$M3012),ISNUMBER('자료_한국심리'!$N3012)),'자료_한국심리'!$M3012,"")</f>
        <v/>
      </c>
    </row>
    <row r="3029">
      <c r="U3029">
        <f>IF(AND(ISNUMBER('자료_한국심리'!$A3013),ISNUMBER('자료_한국심리'!$B3013)),'자료_한국심리'!$A3013,"")</f>
        <v/>
      </c>
      <c r="V3029">
        <f>IF(AND(ISNUMBER('자료_한국심리'!$D3013),ISNUMBER('자료_한국심리'!$E3013)),'자료_한국심리'!$D3013,"")</f>
        <v/>
      </c>
      <c r="W3029">
        <f>IF(AND(ISNUMBER('자료_한국심리'!$G3013),ISNUMBER('자료_한국심리'!$H3013)),'자료_한국심리'!$G3013,"")</f>
        <v/>
      </c>
      <c r="X3029">
        <f>IF(AND(ISNUMBER('자료_한국심리'!$J3013),ISNUMBER('자료_한국심리'!$K3013)),'자료_한국심리'!$J3013,"")</f>
        <v/>
      </c>
      <c r="Y3029">
        <f>IF(AND(ISNUMBER('자료_한국심리'!$M3013),ISNUMBER('자료_한국심리'!$N3013)),'자료_한국심리'!$M3013,"")</f>
        <v/>
      </c>
    </row>
    <row r="3030">
      <c r="U3030">
        <f>IF(AND(ISNUMBER('자료_한국심리'!$A3014),ISNUMBER('자료_한국심리'!$B3014)),'자료_한국심리'!$A3014,"")</f>
        <v/>
      </c>
      <c r="V3030">
        <f>IF(AND(ISNUMBER('자료_한국심리'!$D3014),ISNUMBER('자료_한국심리'!$E3014)),'자료_한국심리'!$D3014,"")</f>
        <v/>
      </c>
      <c r="W3030">
        <f>IF(AND(ISNUMBER('자료_한국심리'!$G3014),ISNUMBER('자료_한국심리'!$H3014)),'자료_한국심리'!$G3014,"")</f>
        <v/>
      </c>
      <c r="X3030">
        <f>IF(AND(ISNUMBER('자료_한국심리'!$J3014),ISNUMBER('자료_한국심리'!$K3014)),'자료_한국심리'!$J3014,"")</f>
        <v/>
      </c>
      <c r="Y3030">
        <f>IF(AND(ISNUMBER('자료_한국심리'!$M3014),ISNUMBER('자료_한국심리'!$N3014)),'자료_한국심리'!$M3014,"")</f>
        <v/>
      </c>
    </row>
    <row r="3031">
      <c r="U3031">
        <f>IF(AND(ISNUMBER('자료_한국심리'!$A3015),ISNUMBER('자료_한국심리'!$B3015)),'자료_한국심리'!$A3015,"")</f>
        <v/>
      </c>
      <c r="V3031">
        <f>IF(AND(ISNUMBER('자료_한국심리'!$D3015),ISNUMBER('자료_한국심리'!$E3015)),'자료_한국심리'!$D3015,"")</f>
        <v/>
      </c>
      <c r="W3031">
        <f>IF(AND(ISNUMBER('자료_한국심리'!$G3015),ISNUMBER('자료_한국심리'!$H3015)),'자료_한국심리'!$G3015,"")</f>
        <v/>
      </c>
      <c r="X3031">
        <f>IF(AND(ISNUMBER('자료_한국심리'!$J3015),ISNUMBER('자료_한국심리'!$K3015)),'자료_한국심리'!$J3015,"")</f>
        <v/>
      </c>
      <c r="Y3031">
        <f>IF(AND(ISNUMBER('자료_한국심리'!$M3015),ISNUMBER('자료_한국심리'!$N3015)),'자료_한국심리'!$M3015,"")</f>
        <v/>
      </c>
    </row>
    <row r="3032">
      <c r="U3032">
        <f>IF(AND(ISNUMBER('자료_한국심리'!$A3016),ISNUMBER('자료_한국심리'!$B3016)),'자료_한국심리'!$A3016,"")</f>
        <v/>
      </c>
      <c r="V3032">
        <f>IF(AND(ISNUMBER('자료_한국심리'!$D3016),ISNUMBER('자료_한국심리'!$E3016)),'자료_한국심리'!$D3016,"")</f>
        <v/>
      </c>
      <c r="W3032">
        <f>IF(AND(ISNUMBER('자료_한국심리'!$G3016),ISNUMBER('자료_한국심리'!$H3016)),'자료_한국심리'!$G3016,"")</f>
        <v/>
      </c>
      <c r="X3032">
        <f>IF(AND(ISNUMBER('자료_한국심리'!$J3016),ISNUMBER('자료_한국심리'!$K3016)),'자료_한국심리'!$J3016,"")</f>
        <v/>
      </c>
      <c r="Y3032">
        <f>IF(AND(ISNUMBER('자료_한국심리'!$M3016),ISNUMBER('자료_한국심리'!$N3016)),'자료_한국심리'!$M3016,"")</f>
        <v/>
      </c>
    </row>
    <row r="3033">
      <c r="U3033">
        <f>IF(AND(ISNUMBER('자료_한국심리'!$A3017),ISNUMBER('자료_한국심리'!$B3017)),'자료_한국심리'!$A3017,"")</f>
        <v/>
      </c>
      <c r="V3033">
        <f>IF(AND(ISNUMBER('자료_한국심리'!$D3017),ISNUMBER('자료_한국심리'!$E3017)),'자료_한국심리'!$D3017,"")</f>
        <v/>
      </c>
      <c r="W3033">
        <f>IF(AND(ISNUMBER('자료_한국심리'!$G3017),ISNUMBER('자료_한국심리'!$H3017)),'자료_한국심리'!$G3017,"")</f>
        <v/>
      </c>
      <c r="X3033">
        <f>IF(AND(ISNUMBER('자료_한국심리'!$J3017),ISNUMBER('자료_한국심리'!$K3017)),'자료_한국심리'!$J3017,"")</f>
        <v/>
      </c>
      <c r="Y3033">
        <f>IF(AND(ISNUMBER('자료_한국심리'!$M3017),ISNUMBER('자료_한국심리'!$N3017)),'자료_한국심리'!$M3017,"")</f>
        <v/>
      </c>
    </row>
    <row r="3034">
      <c r="U3034">
        <f>IF(AND(ISNUMBER('자료_한국심리'!$A3018),ISNUMBER('자료_한국심리'!$B3018)),'자료_한국심리'!$A3018,"")</f>
        <v/>
      </c>
      <c r="V3034">
        <f>IF(AND(ISNUMBER('자료_한국심리'!$D3018),ISNUMBER('자료_한국심리'!$E3018)),'자료_한국심리'!$D3018,"")</f>
        <v/>
      </c>
      <c r="W3034">
        <f>IF(AND(ISNUMBER('자료_한국심리'!$G3018),ISNUMBER('자료_한국심리'!$H3018)),'자료_한국심리'!$G3018,"")</f>
        <v/>
      </c>
      <c r="X3034">
        <f>IF(AND(ISNUMBER('자료_한국심리'!$J3018),ISNUMBER('자료_한국심리'!$K3018)),'자료_한국심리'!$J3018,"")</f>
        <v/>
      </c>
      <c r="Y3034">
        <f>IF(AND(ISNUMBER('자료_한국심리'!$M3018),ISNUMBER('자료_한국심리'!$N3018)),'자료_한국심리'!$M3018,"")</f>
        <v/>
      </c>
    </row>
    <row r="3035">
      <c r="U3035">
        <f>IF(AND(ISNUMBER('자료_한국심리'!$A3019),ISNUMBER('자료_한국심리'!$B3019)),'자료_한국심리'!$A3019,"")</f>
        <v/>
      </c>
      <c r="V3035">
        <f>IF(AND(ISNUMBER('자료_한국심리'!$D3019),ISNUMBER('자료_한국심리'!$E3019)),'자료_한국심리'!$D3019,"")</f>
        <v/>
      </c>
      <c r="W3035">
        <f>IF(AND(ISNUMBER('자료_한국심리'!$G3019),ISNUMBER('자료_한국심리'!$H3019)),'자료_한국심리'!$G3019,"")</f>
        <v/>
      </c>
      <c r="X3035">
        <f>IF(AND(ISNUMBER('자료_한국심리'!$J3019),ISNUMBER('자료_한국심리'!$K3019)),'자료_한국심리'!$J3019,"")</f>
        <v/>
      </c>
      <c r="Y3035">
        <f>IF(AND(ISNUMBER('자료_한국심리'!$M3019),ISNUMBER('자료_한국심리'!$N3019)),'자료_한국심리'!$M3019,"")</f>
        <v/>
      </c>
    </row>
    <row r="3036">
      <c r="U3036">
        <f>IF(AND(ISNUMBER('자료_한국심리'!$A3020),ISNUMBER('자료_한국심리'!$B3020)),'자료_한국심리'!$A3020,"")</f>
        <v/>
      </c>
      <c r="V3036">
        <f>IF(AND(ISNUMBER('자료_한국심리'!$D3020),ISNUMBER('자료_한국심리'!$E3020)),'자료_한국심리'!$D3020,"")</f>
        <v/>
      </c>
      <c r="W3036">
        <f>IF(AND(ISNUMBER('자료_한국심리'!$G3020),ISNUMBER('자료_한국심리'!$H3020)),'자료_한국심리'!$G3020,"")</f>
        <v/>
      </c>
      <c r="X3036">
        <f>IF(AND(ISNUMBER('자료_한국심리'!$J3020),ISNUMBER('자료_한국심리'!$K3020)),'자료_한국심리'!$J3020,"")</f>
        <v/>
      </c>
      <c r="Y3036">
        <f>IF(AND(ISNUMBER('자료_한국심리'!$M3020),ISNUMBER('자료_한국심리'!$N3020)),'자료_한국심리'!$M3020,"")</f>
        <v/>
      </c>
    </row>
    <row r="3037">
      <c r="U3037">
        <f>IF(AND(ISNUMBER('자료_한국심리'!$A3021),ISNUMBER('자료_한국심리'!$B3021)),'자료_한국심리'!$A3021,"")</f>
        <v/>
      </c>
      <c r="V3037">
        <f>IF(AND(ISNUMBER('자료_한국심리'!$D3021),ISNUMBER('자료_한국심리'!$E3021)),'자료_한국심리'!$D3021,"")</f>
        <v/>
      </c>
      <c r="W3037">
        <f>IF(AND(ISNUMBER('자료_한국심리'!$G3021),ISNUMBER('자료_한국심리'!$H3021)),'자료_한국심리'!$G3021,"")</f>
        <v/>
      </c>
      <c r="X3037">
        <f>IF(AND(ISNUMBER('자료_한국심리'!$J3021),ISNUMBER('자료_한국심리'!$K3021)),'자료_한국심리'!$J3021,"")</f>
        <v/>
      </c>
      <c r="Y3037">
        <f>IF(AND(ISNUMBER('자료_한국심리'!$M3021),ISNUMBER('자료_한국심리'!$N3021)),'자료_한국심리'!$M3021,"")</f>
        <v/>
      </c>
    </row>
    <row r="3038">
      <c r="U3038">
        <f>IF(AND(ISNUMBER('자료_한국심리'!$A3022),ISNUMBER('자료_한국심리'!$B3022)),'자료_한국심리'!$A3022,"")</f>
        <v/>
      </c>
      <c r="V3038">
        <f>IF(AND(ISNUMBER('자료_한국심리'!$D3022),ISNUMBER('자료_한국심리'!$E3022)),'자료_한국심리'!$D3022,"")</f>
        <v/>
      </c>
      <c r="W3038">
        <f>IF(AND(ISNUMBER('자료_한국심리'!$G3022),ISNUMBER('자료_한국심리'!$H3022)),'자료_한국심리'!$G3022,"")</f>
        <v/>
      </c>
      <c r="X3038">
        <f>IF(AND(ISNUMBER('자료_한국심리'!$J3022),ISNUMBER('자료_한국심리'!$K3022)),'자료_한국심리'!$J3022,"")</f>
        <v/>
      </c>
      <c r="Y3038">
        <f>IF(AND(ISNUMBER('자료_한국심리'!$M3022),ISNUMBER('자료_한국심리'!$N3022)),'자료_한국심리'!$M3022,"")</f>
        <v/>
      </c>
    </row>
    <row r="3039">
      <c r="U3039">
        <f>IF(AND(ISNUMBER('자료_한국심리'!$A3023),ISNUMBER('자료_한국심리'!$B3023)),'자료_한국심리'!$A3023,"")</f>
        <v/>
      </c>
      <c r="V3039">
        <f>IF(AND(ISNUMBER('자료_한국심리'!$D3023),ISNUMBER('자료_한국심리'!$E3023)),'자료_한국심리'!$D3023,"")</f>
        <v/>
      </c>
      <c r="W3039">
        <f>IF(AND(ISNUMBER('자료_한국심리'!$G3023),ISNUMBER('자료_한국심리'!$H3023)),'자료_한국심리'!$G3023,"")</f>
        <v/>
      </c>
      <c r="X3039">
        <f>IF(AND(ISNUMBER('자료_한국심리'!$J3023),ISNUMBER('자료_한국심리'!$K3023)),'자료_한국심리'!$J3023,"")</f>
        <v/>
      </c>
      <c r="Y3039">
        <f>IF(AND(ISNUMBER('자료_한국심리'!$M3023),ISNUMBER('자료_한국심리'!$N3023)),'자료_한국심리'!$M3023,"")</f>
        <v/>
      </c>
    </row>
    <row r="3040">
      <c r="U3040">
        <f>IF(AND(ISNUMBER('자료_한국심리'!$A3024),ISNUMBER('자료_한국심리'!$B3024)),'자료_한국심리'!$A3024,"")</f>
        <v/>
      </c>
      <c r="V3040">
        <f>IF(AND(ISNUMBER('자료_한국심리'!$D3024),ISNUMBER('자료_한국심리'!$E3024)),'자료_한국심리'!$D3024,"")</f>
        <v/>
      </c>
      <c r="W3040">
        <f>IF(AND(ISNUMBER('자료_한국심리'!$G3024),ISNUMBER('자료_한국심리'!$H3024)),'자료_한국심리'!$G3024,"")</f>
        <v/>
      </c>
      <c r="X3040">
        <f>IF(AND(ISNUMBER('자료_한국심리'!$J3024),ISNUMBER('자료_한국심리'!$K3024)),'자료_한국심리'!$J3024,"")</f>
        <v/>
      </c>
      <c r="Y3040">
        <f>IF(AND(ISNUMBER('자료_한국심리'!$M3024),ISNUMBER('자료_한국심리'!$N3024)),'자료_한국심리'!$M3024,"")</f>
        <v/>
      </c>
    </row>
    <row r="3041">
      <c r="U3041">
        <f>IF(AND(ISNUMBER('자료_한국심리'!$A3025),ISNUMBER('자료_한국심리'!$B3025)),'자료_한국심리'!$A3025,"")</f>
        <v/>
      </c>
      <c r="V3041">
        <f>IF(AND(ISNUMBER('자료_한국심리'!$D3025),ISNUMBER('자료_한국심리'!$E3025)),'자료_한국심리'!$D3025,"")</f>
        <v/>
      </c>
      <c r="W3041">
        <f>IF(AND(ISNUMBER('자료_한국심리'!$G3025),ISNUMBER('자료_한국심리'!$H3025)),'자료_한국심리'!$G3025,"")</f>
        <v/>
      </c>
      <c r="X3041">
        <f>IF(AND(ISNUMBER('자료_한국심리'!$J3025),ISNUMBER('자료_한국심리'!$K3025)),'자료_한국심리'!$J3025,"")</f>
        <v/>
      </c>
      <c r="Y3041">
        <f>IF(AND(ISNUMBER('자료_한국심리'!$M3025),ISNUMBER('자료_한국심리'!$N3025)),'자료_한국심리'!$M3025,"")</f>
        <v/>
      </c>
    </row>
    <row r="3042">
      <c r="U3042">
        <f>IF(AND(ISNUMBER('자료_한국심리'!$A3026),ISNUMBER('자료_한국심리'!$B3026)),'자료_한국심리'!$A3026,"")</f>
        <v/>
      </c>
      <c r="V3042">
        <f>IF(AND(ISNUMBER('자료_한국심리'!$D3026),ISNUMBER('자료_한국심리'!$E3026)),'자료_한국심리'!$D3026,"")</f>
        <v/>
      </c>
      <c r="W3042">
        <f>IF(AND(ISNUMBER('자료_한국심리'!$G3026),ISNUMBER('자료_한국심리'!$H3026)),'자료_한국심리'!$G3026,"")</f>
        <v/>
      </c>
      <c r="X3042">
        <f>IF(AND(ISNUMBER('자료_한국심리'!$J3026),ISNUMBER('자료_한국심리'!$K3026)),'자료_한국심리'!$J3026,"")</f>
        <v/>
      </c>
      <c r="Y3042">
        <f>IF(AND(ISNUMBER('자료_한국심리'!$M3026),ISNUMBER('자료_한국심리'!$N3026)),'자료_한국심리'!$M3026,"")</f>
        <v/>
      </c>
    </row>
    <row r="3043">
      <c r="U3043">
        <f>IF(AND(ISNUMBER('자료_한국심리'!$A3027),ISNUMBER('자료_한국심리'!$B3027)),'자료_한국심리'!$A3027,"")</f>
        <v/>
      </c>
      <c r="V3043">
        <f>IF(AND(ISNUMBER('자료_한국심리'!$D3027),ISNUMBER('자료_한국심리'!$E3027)),'자료_한국심리'!$D3027,"")</f>
        <v/>
      </c>
      <c r="W3043">
        <f>IF(AND(ISNUMBER('자료_한국심리'!$G3027),ISNUMBER('자료_한국심리'!$H3027)),'자료_한국심리'!$G3027,"")</f>
        <v/>
      </c>
      <c r="X3043">
        <f>IF(AND(ISNUMBER('자료_한국심리'!$J3027),ISNUMBER('자료_한국심리'!$K3027)),'자료_한국심리'!$J3027,"")</f>
        <v/>
      </c>
      <c r="Y3043">
        <f>IF(AND(ISNUMBER('자료_한국심리'!$M3027),ISNUMBER('자료_한국심리'!$N3027)),'자료_한국심리'!$M3027,"")</f>
        <v/>
      </c>
    </row>
    <row r="3044">
      <c r="U3044">
        <f>IF(AND(ISNUMBER('자료_한국심리'!$A3028),ISNUMBER('자료_한국심리'!$B3028)),'자료_한국심리'!$A3028,"")</f>
        <v/>
      </c>
      <c r="V3044">
        <f>IF(AND(ISNUMBER('자료_한국심리'!$D3028),ISNUMBER('자료_한국심리'!$E3028)),'자료_한국심리'!$D3028,"")</f>
        <v/>
      </c>
      <c r="W3044">
        <f>IF(AND(ISNUMBER('자료_한국심리'!$G3028),ISNUMBER('자료_한국심리'!$H3028)),'자료_한국심리'!$G3028,"")</f>
        <v/>
      </c>
      <c r="X3044">
        <f>IF(AND(ISNUMBER('자료_한국심리'!$J3028),ISNUMBER('자료_한국심리'!$K3028)),'자료_한국심리'!$J3028,"")</f>
        <v/>
      </c>
      <c r="Y3044">
        <f>IF(AND(ISNUMBER('자료_한국심리'!$M3028),ISNUMBER('자료_한국심리'!$N3028)),'자료_한국심리'!$M3028,"")</f>
        <v/>
      </c>
    </row>
    <row r="3045">
      <c r="U3045">
        <f>IF(AND(ISNUMBER('자료_한국심리'!$A3029),ISNUMBER('자료_한국심리'!$B3029)),'자료_한국심리'!$A3029,"")</f>
        <v/>
      </c>
      <c r="V3045">
        <f>IF(AND(ISNUMBER('자료_한국심리'!$D3029),ISNUMBER('자료_한국심리'!$E3029)),'자료_한국심리'!$D3029,"")</f>
        <v/>
      </c>
      <c r="W3045">
        <f>IF(AND(ISNUMBER('자료_한국심리'!$G3029),ISNUMBER('자료_한국심리'!$H3029)),'자료_한국심리'!$G3029,"")</f>
        <v/>
      </c>
      <c r="X3045">
        <f>IF(AND(ISNUMBER('자료_한국심리'!$J3029),ISNUMBER('자료_한국심리'!$K3029)),'자료_한국심리'!$J3029,"")</f>
        <v/>
      </c>
      <c r="Y3045">
        <f>IF(AND(ISNUMBER('자료_한국심리'!$M3029),ISNUMBER('자료_한국심리'!$N3029)),'자료_한국심리'!$M3029,"")</f>
        <v/>
      </c>
    </row>
    <row r="3046">
      <c r="U3046">
        <f>IF(AND(ISNUMBER('자료_한국심리'!$A3030),ISNUMBER('자료_한국심리'!$B3030)),'자료_한국심리'!$A3030,"")</f>
        <v/>
      </c>
      <c r="V3046">
        <f>IF(AND(ISNUMBER('자료_한국심리'!$D3030),ISNUMBER('자료_한국심리'!$E3030)),'자료_한국심리'!$D3030,"")</f>
        <v/>
      </c>
      <c r="W3046">
        <f>IF(AND(ISNUMBER('자료_한국심리'!$G3030),ISNUMBER('자료_한국심리'!$H3030)),'자료_한국심리'!$G3030,"")</f>
        <v/>
      </c>
      <c r="X3046">
        <f>IF(AND(ISNUMBER('자료_한국심리'!$J3030),ISNUMBER('자료_한국심리'!$K3030)),'자료_한국심리'!$J3030,"")</f>
        <v/>
      </c>
      <c r="Y3046">
        <f>IF(AND(ISNUMBER('자료_한국심리'!$M3030),ISNUMBER('자료_한국심리'!$N3030)),'자료_한국심리'!$M3030,"")</f>
        <v/>
      </c>
    </row>
    <row r="3047">
      <c r="U3047">
        <f>IF(AND(ISNUMBER('자료_한국심리'!$A3031),ISNUMBER('자료_한국심리'!$B3031)),'자료_한국심리'!$A3031,"")</f>
        <v/>
      </c>
      <c r="V3047">
        <f>IF(AND(ISNUMBER('자료_한국심리'!$D3031),ISNUMBER('자료_한국심리'!$E3031)),'자료_한국심리'!$D3031,"")</f>
        <v/>
      </c>
      <c r="W3047">
        <f>IF(AND(ISNUMBER('자료_한국심리'!$G3031),ISNUMBER('자료_한국심리'!$H3031)),'자료_한국심리'!$G3031,"")</f>
        <v/>
      </c>
      <c r="X3047">
        <f>IF(AND(ISNUMBER('자료_한국심리'!$J3031),ISNUMBER('자료_한국심리'!$K3031)),'자료_한국심리'!$J3031,"")</f>
        <v/>
      </c>
      <c r="Y3047">
        <f>IF(AND(ISNUMBER('자료_한국심리'!$M3031),ISNUMBER('자료_한국심리'!$N3031)),'자료_한국심리'!$M3031,"")</f>
        <v/>
      </c>
    </row>
    <row r="3048">
      <c r="U3048">
        <f>IF(AND(ISNUMBER('자료_한국심리'!$A3032),ISNUMBER('자료_한국심리'!$B3032)),'자료_한국심리'!$A3032,"")</f>
        <v/>
      </c>
      <c r="V3048">
        <f>IF(AND(ISNUMBER('자료_한국심리'!$D3032),ISNUMBER('자료_한국심리'!$E3032)),'자료_한국심리'!$D3032,"")</f>
        <v/>
      </c>
      <c r="W3048">
        <f>IF(AND(ISNUMBER('자료_한국심리'!$G3032),ISNUMBER('자료_한국심리'!$H3032)),'자료_한국심리'!$G3032,"")</f>
        <v/>
      </c>
      <c r="X3048">
        <f>IF(AND(ISNUMBER('자료_한국심리'!$J3032),ISNUMBER('자료_한국심리'!$K3032)),'자료_한국심리'!$J3032,"")</f>
        <v/>
      </c>
      <c r="Y3048">
        <f>IF(AND(ISNUMBER('자료_한국심리'!$M3032),ISNUMBER('자료_한국심리'!$N3032)),'자료_한국심리'!$M3032,"")</f>
        <v/>
      </c>
    </row>
    <row r="3049">
      <c r="U3049">
        <f>IF(AND(ISNUMBER('자료_한국심리'!$A3033),ISNUMBER('자료_한국심리'!$B3033)),'자료_한국심리'!$A3033,"")</f>
        <v/>
      </c>
      <c r="V3049">
        <f>IF(AND(ISNUMBER('자료_한국심리'!$D3033),ISNUMBER('자료_한국심리'!$E3033)),'자료_한국심리'!$D3033,"")</f>
        <v/>
      </c>
      <c r="W3049">
        <f>IF(AND(ISNUMBER('자료_한국심리'!$G3033),ISNUMBER('자료_한국심리'!$H3033)),'자료_한국심리'!$G3033,"")</f>
        <v/>
      </c>
      <c r="X3049">
        <f>IF(AND(ISNUMBER('자료_한국심리'!$J3033),ISNUMBER('자료_한국심리'!$K3033)),'자료_한국심리'!$J3033,"")</f>
        <v/>
      </c>
      <c r="Y3049">
        <f>IF(AND(ISNUMBER('자료_한국심리'!$M3033),ISNUMBER('자료_한국심리'!$N3033)),'자료_한국심리'!$M3033,"")</f>
        <v/>
      </c>
    </row>
    <row r="3050">
      <c r="U3050">
        <f>IF(AND(ISNUMBER('자료_한국심리'!$A3034),ISNUMBER('자료_한국심리'!$B3034)),'자료_한국심리'!$A3034,"")</f>
        <v/>
      </c>
      <c r="V3050">
        <f>IF(AND(ISNUMBER('자료_한국심리'!$D3034),ISNUMBER('자료_한국심리'!$E3034)),'자료_한국심리'!$D3034,"")</f>
        <v/>
      </c>
      <c r="W3050">
        <f>IF(AND(ISNUMBER('자료_한국심리'!$G3034),ISNUMBER('자료_한국심리'!$H3034)),'자료_한국심리'!$G3034,"")</f>
        <v/>
      </c>
      <c r="X3050">
        <f>IF(AND(ISNUMBER('자료_한국심리'!$J3034),ISNUMBER('자료_한국심리'!$K3034)),'자료_한국심리'!$J3034,"")</f>
        <v/>
      </c>
      <c r="Y3050">
        <f>IF(AND(ISNUMBER('자료_한국심리'!$M3034),ISNUMBER('자료_한국심리'!$N3034)),'자료_한국심리'!$M3034,"")</f>
        <v/>
      </c>
    </row>
    <row r="3051">
      <c r="U3051">
        <f>IF(AND(ISNUMBER('자료_한국심리'!$A3035),ISNUMBER('자료_한국심리'!$B3035)),'자료_한국심리'!$A3035,"")</f>
        <v/>
      </c>
      <c r="V3051">
        <f>IF(AND(ISNUMBER('자료_한국심리'!$D3035),ISNUMBER('자료_한국심리'!$E3035)),'자료_한국심리'!$D3035,"")</f>
        <v/>
      </c>
      <c r="W3051">
        <f>IF(AND(ISNUMBER('자료_한국심리'!$G3035),ISNUMBER('자료_한국심리'!$H3035)),'자료_한국심리'!$G3035,"")</f>
        <v/>
      </c>
      <c r="X3051">
        <f>IF(AND(ISNUMBER('자료_한국심리'!$J3035),ISNUMBER('자료_한국심리'!$K3035)),'자료_한국심리'!$J3035,"")</f>
        <v/>
      </c>
      <c r="Y3051">
        <f>IF(AND(ISNUMBER('자료_한국심리'!$M3035),ISNUMBER('자료_한국심리'!$N3035)),'자료_한국심리'!$M3035,"")</f>
        <v/>
      </c>
    </row>
    <row r="3052">
      <c r="U3052">
        <f>IF(AND(ISNUMBER('자료_한국심리'!$A3036),ISNUMBER('자료_한국심리'!$B3036)),'자료_한국심리'!$A3036,"")</f>
        <v/>
      </c>
      <c r="V3052">
        <f>IF(AND(ISNUMBER('자료_한국심리'!$D3036),ISNUMBER('자료_한국심리'!$E3036)),'자료_한국심리'!$D3036,"")</f>
        <v/>
      </c>
      <c r="W3052">
        <f>IF(AND(ISNUMBER('자료_한국심리'!$G3036),ISNUMBER('자료_한국심리'!$H3036)),'자료_한국심리'!$G3036,"")</f>
        <v/>
      </c>
      <c r="X3052">
        <f>IF(AND(ISNUMBER('자료_한국심리'!$J3036),ISNUMBER('자료_한국심리'!$K3036)),'자료_한국심리'!$J3036,"")</f>
        <v/>
      </c>
      <c r="Y3052">
        <f>IF(AND(ISNUMBER('자료_한국심리'!$M3036),ISNUMBER('자료_한국심리'!$N3036)),'자료_한국심리'!$M3036,"")</f>
        <v/>
      </c>
    </row>
    <row r="3053">
      <c r="U3053">
        <f>IF(AND(ISNUMBER('자료_한국심리'!$A3037),ISNUMBER('자료_한국심리'!$B3037)),'자료_한국심리'!$A3037,"")</f>
        <v/>
      </c>
      <c r="V3053">
        <f>IF(AND(ISNUMBER('자료_한국심리'!$D3037),ISNUMBER('자료_한국심리'!$E3037)),'자료_한국심리'!$D3037,"")</f>
        <v/>
      </c>
      <c r="W3053">
        <f>IF(AND(ISNUMBER('자료_한국심리'!$G3037),ISNUMBER('자료_한국심리'!$H3037)),'자료_한국심리'!$G3037,"")</f>
        <v/>
      </c>
      <c r="X3053">
        <f>IF(AND(ISNUMBER('자료_한국심리'!$J3037),ISNUMBER('자료_한국심리'!$K3037)),'자료_한국심리'!$J3037,"")</f>
        <v/>
      </c>
      <c r="Y3053">
        <f>IF(AND(ISNUMBER('자료_한국심리'!$M3037),ISNUMBER('자료_한국심리'!$N3037)),'자료_한국심리'!$M3037,"")</f>
        <v/>
      </c>
    </row>
    <row r="3054">
      <c r="U3054">
        <f>IF(AND(ISNUMBER('자료_한국심리'!$A3038),ISNUMBER('자료_한국심리'!$B3038)),'자료_한국심리'!$A3038,"")</f>
        <v/>
      </c>
      <c r="V3054">
        <f>IF(AND(ISNUMBER('자료_한국심리'!$D3038),ISNUMBER('자료_한국심리'!$E3038)),'자료_한국심리'!$D3038,"")</f>
        <v/>
      </c>
      <c r="W3054">
        <f>IF(AND(ISNUMBER('자료_한국심리'!$G3038),ISNUMBER('자료_한국심리'!$H3038)),'자료_한국심리'!$G3038,"")</f>
        <v/>
      </c>
      <c r="X3054">
        <f>IF(AND(ISNUMBER('자료_한국심리'!$J3038),ISNUMBER('자료_한국심리'!$K3038)),'자료_한국심리'!$J3038,"")</f>
        <v/>
      </c>
      <c r="Y3054">
        <f>IF(AND(ISNUMBER('자료_한국심리'!$M3038),ISNUMBER('자료_한국심리'!$N3038)),'자료_한국심리'!$M3038,"")</f>
        <v/>
      </c>
    </row>
    <row r="3055">
      <c r="U3055">
        <f>IF(AND(ISNUMBER('자료_한국심리'!$A3039),ISNUMBER('자료_한국심리'!$B3039)),'자료_한국심리'!$A3039,"")</f>
        <v/>
      </c>
      <c r="V3055">
        <f>IF(AND(ISNUMBER('자료_한국심리'!$D3039),ISNUMBER('자료_한국심리'!$E3039)),'자료_한국심리'!$D3039,"")</f>
        <v/>
      </c>
      <c r="W3055">
        <f>IF(AND(ISNUMBER('자료_한국심리'!$G3039),ISNUMBER('자료_한국심리'!$H3039)),'자료_한국심리'!$G3039,"")</f>
        <v/>
      </c>
      <c r="X3055">
        <f>IF(AND(ISNUMBER('자료_한국심리'!$J3039),ISNUMBER('자료_한국심리'!$K3039)),'자료_한국심리'!$J3039,"")</f>
        <v/>
      </c>
      <c r="Y3055">
        <f>IF(AND(ISNUMBER('자료_한국심리'!$M3039),ISNUMBER('자료_한국심리'!$N3039)),'자료_한국심리'!$M3039,"")</f>
        <v/>
      </c>
    </row>
    <row r="3056">
      <c r="U3056">
        <f>IF(AND(ISNUMBER('자료_한국심리'!$A3040),ISNUMBER('자료_한국심리'!$B3040)),'자료_한국심리'!$A3040,"")</f>
        <v/>
      </c>
      <c r="V3056">
        <f>IF(AND(ISNUMBER('자료_한국심리'!$D3040),ISNUMBER('자료_한국심리'!$E3040)),'자료_한국심리'!$D3040,"")</f>
        <v/>
      </c>
      <c r="W3056">
        <f>IF(AND(ISNUMBER('자료_한국심리'!$G3040),ISNUMBER('자료_한국심리'!$H3040)),'자료_한국심리'!$G3040,"")</f>
        <v/>
      </c>
      <c r="X3056">
        <f>IF(AND(ISNUMBER('자료_한국심리'!$J3040),ISNUMBER('자료_한국심리'!$K3040)),'자료_한국심리'!$J3040,"")</f>
        <v/>
      </c>
      <c r="Y3056">
        <f>IF(AND(ISNUMBER('자료_한국심리'!$M3040),ISNUMBER('자료_한국심리'!$N3040)),'자료_한국심리'!$M3040,"")</f>
        <v/>
      </c>
    </row>
    <row r="3057">
      <c r="U3057">
        <f>IF(AND(ISNUMBER('자료_한국심리'!$A3041),ISNUMBER('자료_한국심리'!$B3041)),'자료_한국심리'!$A3041,"")</f>
        <v/>
      </c>
      <c r="V3057">
        <f>IF(AND(ISNUMBER('자료_한국심리'!$D3041),ISNUMBER('자료_한국심리'!$E3041)),'자료_한국심리'!$D3041,"")</f>
        <v/>
      </c>
      <c r="W3057">
        <f>IF(AND(ISNUMBER('자료_한국심리'!$G3041),ISNUMBER('자료_한국심리'!$H3041)),'자료_한국심리'!$G3041,"")</f>
        <v/>
      </c>
      <c r="X3057">
        <f>IF(AND(ISNUMBER('자료_한국심리'!$J3041),ISNUMBER('자료_한국심리'!$K3041)),'자료_한국심리'!$J3041,"")</f>
        <v/>
      </c>
      <c r="Y3057">
        <f>IF(AND(ISNUMBER('자료_한국심리'!$M3041),ISNUMBER('자료_한국심리'!$N3041)),'자료_한국심리'!$M3041,"")</f>
        <v/>
      </c>
    </row>
    <row r="3058">
      <c r="U3058">
        <f>IF(AND(ISNUMBER('자료_한국심리'!$A3042),ISNUMBER('자료_한국심리'!$B3042)),'자료_한국심리'!$A3042,"")</f>
        <v/>
      </c>
      <c r="V3058">
        <f>IF(AND(ISNUMBER('자료_한국심리'!$D3042),ISNUMBER('자료_한국심리'!$E3042)),'자료_한국심리'!$D3042,"")</f>
        <v/>
      </c>
      <c r="W3058">
        <f>IF(AND(ISNUMBER('자료_한국심리'!$G3042),ISNUMBER('자료_한국심리'!$H3042)),'자료_한국심리'!$G3042,"")</f>
        <v/>
      </c>
      <c r="X3058">
        <f>IF(AND(ISNUMBER('자료_한국심리'!$J3042),ISNUMBER('자료_한국심리'!$K3042)),'자료_한국심리'!$J3042,"")</f>
        <v/>
      </c>
      <c r="Y3058">
        <f>IF(AND(ISNUMBER('자료_한국심리'!$M3042),ISNUMBER('자료_한국심리'!$N3042)),'자료_한국심리'!$M3042,"")</f>
        <v/>
      </c>
    </row>
    <row r="3059">
      <c r="U3059">
        <f>IF(AND(ISNUMBER('자료_한국심리'!$A3043),ISNUMBER('자료_한국심리'!$B3043)),'자료_한국심리'!$A3043,"")</f>
        <v/>
      </c>
      <c r="V3059">
        <f>IF(AND(ISNUMBER('자료_한국심리'!$D3043),ISNUMBER('자료_한국심리'!$E3043)),'자료_한국심리'!$D3043,"")</f>
        <v/>
      </c>
      <c r="W3059">
        <f>IF(AND(ISNUMBER('자료_한국심리'!$G3043),ISNUMBER('자료_한국심리'!$H3043)),'자료_한국심리'!$G3043,"")</f>
        <v/>
      </c>
      <c r="X3059">
        <f>IF(AND(ISNUMBER('자료_한국심리'!$J3043),ISNUMBER('자료_한국심리'!$K3043)),'자료_한국심리'!$J3043,"")</f>
        <v/>
      </c>
      <c r="Y3059">
        <f>IF(AND(ISNUMBER('자료_한국심리'!$M3043),ISNUMBER('자료_한국심리'!$N3043)),'자료_한국심리'!$M3043,"")</f>
        <v/>
      </c>
    </row>
    <row r="3060">
      <c r="U3060">
        <f>IF(AND(ISNUMBER('자료_한국심리'!$A3044),ISNUMBER('자료_한국심리'!$B3044)),'자료_한국심리'!$A3044,"")</f>
        <v/>
      </c>
      <c r="V3060">
        <f>IF(AND(ISNUMBER('자료_한국심리'!$D3044),ISNUMBER('자료_한국심리'!$E3044)),'자료_한국심리'!$D3044,"")</f>
        <v/>
      </c>
      <c r="W3060">
        <f>IF(AND(ISNUMBER('자료_한국심리'!$G3044),ISNUMBER('자료_한국심리'!$H3044)),'자료_한국심리'!$G3044,"")</f>
        <v/>
      </c>
      <c r="X3060">
        <f>IF(AND(ISNUMBER('자료_한국심리'!$J3044),ISNUMBER('자료_한국심리'!$K3044)),'자료_한국심리'!$J3044,"")</f>
        <v/>
      </c>
      <c r="Y3060">
        <f>IF(AND(ISNUMBER('자료_한국심리'!$M3044),ISNUMBER('자료_한국심리'!$N3044)),'자료_한국심리'!$M3044,"")</f>
        <v/>
      </c>
    </row>
    <row r="3061">
      <c r="U3061">
        <f>IF(AND(ISNUMBER('자료_한국심리'!$A3045),ISNUMBER('자료_한국심리'!$B3045)),'자료_한국심리'!$A3045,"")</f>
        <v/>
      </c>
      <c r="V3061">
        <f>IF(AND(ISNUMBER('자료_한국심리'!$D3045),ISNUMBER('자료_한국심리'!$E3045)),'자료_한국심리'!$D3045,"")</f>
        <v/>
      </c>
      <c r="W3061">
        <f>IF(AND(ISNUMBER('자료_한국심리'!$G3045),ISNUMBER('자료_한국심리'!$H3045)),'자료_한국심리'!$G3045,"")</f>
        <v/>
      </c>
      <c r="X3061">
        <f>IF(AND(ISNUMBER('자료_한국심리'!$J3045),ISNUMBER('자료_한국심리'!$K3045)),'자료_한국심리'!$J3045,"")</f>
        <v/>
      </c>
      <c r="Y3061">
        <f>IF(AND(ISNUMBER('자료_한국심리'!$M3045),ISNUMBER('자료_한국심리'!$N3045)),'자료_한국심리'!$M3045,"")</f>
        <v/>
      </c>
    </row>
    <row r="3062">
      <c r="U3062">
        <f>IF(AND(ISNUMBER('자료_한국심리'!$A3046),ISNUMBER('자료_한국심리'!$B3046)),'자료_한국심리'!$A3046,"")</f>
        <v/>
      </c>
      <c r="V3062">
        <f>IF(AND(ISNUMBER('자료_한국심리'!$D3046),ISNUMBER('자료_한국심리'!$E3046)),'자료_한국심리'!$D3046,"")</f>
        <v/>
      </c>
      <c r="W3062">
        <f>IF(AND(ISNUMBER('자료_한국심리'!$G3046),ISNUMBER('자료_한국심리'!$H3046)),'자료_한국심리'!$G3046,"")</f>
        <v/>
      </c>
      <c r="X3062">
        <f>IF(AND(ISNUMBER('자료_한국심리'!$J3046),ISNUMBER('자료_한국심리'!$K3046)),'자료_한국심리'!$J3046,"")</f>
        <v/>
      </c>
      <c r="Y3062">
        <f>IF(AND(ISNUMBER('자료_한국심리'!$M3046),ISNUMBER('자료_한국심리'!$N3046)),'자료_한국심리'!$M3046,"")</f>
        <v/>
      </c>
    </row>
    <row r="3063">
      <c r="U3063">
        <f>IF(AND(ISNUMBER('자료_한국심리'!$A3047),ISNUMBER('자료_한국심리'!$B3047)),'자료_한국심리'!$A3047,"")</f>
        <v/>
      </c>
      <c r="V3063">
        <f>IF(AND(ISNUMBER('자료_한국심리'!$D3047),ISNUMBER('자료_한국심리'!$E3047)),'자료_한국심리'!$D3047,"")</f>
        <v/>
      </c>
      <c r="W3063">
        <f>IF(AND(ISNUMBER('자료_한국심리'!$G3047),ISNUMBER('자료_한국심리'!$H3047)),'자료_한국심리'!$G3047,"")</f>
        <v/>
      </c>
      <c r="X3063">
        <f>IF(AND(ISNUMBER('자료_한국심리'!$J3047),ISNUMBER('자료_한국심리'!$K3047)),'자료_한국심리'!$J3047,"")</f>
        <v/>
      </c>
      <c r="Y3063">
        <f>IF(AND(ISNUMBER('자료_한국심리'!$M3047),ISNUMBER('자료_한국심리'!$N3047)),'자료_한국심리'!$M3047,"")</f>
        <v/>
      </c>
    </row>
    <row r="3064">
      <c r="U3064">
        <f>IF(AND(ISNUMBER('자료_한국심리'!$A3048),ISNUMBER('자료_한국심리'!$B3048)),'자료_한국심리'!$A3048,"")</f>
        <v/>
      </c>
      <c r="V3064">
        <f>IF(AND(ISNUMBER('자료_한국심리'!$D3048),ISNUMBER('자료_한국심리'!$E3048)),'자료_한국심리'!$D3048,"")</f>
        <v/>
      </c>
      <c r="W3064">
        <f>IF(AND(ISNUMBER('자료_한국심리'!$G3048),ISNUMBER('자료_한국심리'!$H3048)),'자료_한국심리'!$G3048,"")</f>
        <v/>
      </c>
      <c r="X3064">
        <f>IF(AND(ISNUMBER('자료_한국심리'!$J3048),ISNUMBER('자료_한국심리'!$K3048)),'자료_한국심리'!$J3048,"")</f>
        <v/>
      </c>
      <c r="Y3064">
        <f>IF(AND(ISNUMBER('자료_한국심리'!$M3048),ISNUMBER('자료_한국심리'!$N3048)),'자료_한국심리'!$M3048,"")</f>
        <v/>
      </c>
    </row>
    <row r="3065">
      <c r="U3065">
        <f>IF(AND(ISNUMBER('자료_한국심리'!$A3049),ISNUMBER('자료_한국심리'!$B3049)),'자료_한국심리'!$A3049,"")</f>
        <v/>
      </c>
      <c r="V3065">
        <f>IF(AND(ISNUMBER('자료_한국심리'!$D3049),ISNUMBER('자료_한국심리'!$E3049)),'자료_한국심리'!$D3049,"")</f>
        <v/>
      </c>
      <c r="W3065">
        <f>IF(AND(ISNUMBER('자료_한국심리'!$G3049),ISNUMBER('자료_한국심리'!$H3049)),'자료_한국심리'!$G3049,"")</f>
        <v/>
      </c>
      <c r="X3065">
        <f>IF(AND(ISNUMBER('자료_한국심리'!$J3049),ISNUMBER('자료_한국심리'!$K3049)),'자료_한국심리'!$J3049,"")</f>
        <v/>
      </c>
      <c r="Y3065">
        <f>IF(AND(ISNUMBER('자료_한국심리'!$M3049),ISNUMBER('자료_한국심리'!$N3049)),'자료_한국심리'!$M3049,"")</f>
        <v/>
      </c>
    </row>
    <row r="3066">
      <c r="U3066">
        <f>IF(AND(ISNUMBER('자료_한국심리'!$A3050),ISNUMBER('자료_한국심리'!$B3050)),'자료_한국심리'!$A3050,"")</f>
        <v/>
      </c>
      <c r="V3066">
        <f>IF(AND(ISNUMBER('자료_한국심리'!$D3050),ISNUMBER('자료_한국심리'!$E3050)),'자료_한국심리'!$D3050,"")</f>
        <v/>
      </c>
      <c r="W3066">
        <f>IF(AND(ISNUMBER('자료_한국심리'!$G3050),ISNUMBER('자료_한국심리'!$H3050)),'자료_한국심리'!$G3050,"")</f>
        <v/>
      </c>
      <c r="X3066">
        <f>IF(AND(ISNUMBER('자료_한국심리'!$J3050),ISNUMBER('자료_한국심리'!$K3050)),'자료_한국심리'!$J3050,"")</f>
        <v/>
      </c>
      <c r="Y3066">
        <f>IF(AND(ISNUMBER('자료_한국심리'!$M3050),ISNUMBER('자료_한국심리'!$N3050)),'자료_한국심리'!$M3050,"")</f>
        <v/>
      </c>
    </row>
    <row r="3067">
      <c r="U3067">
        <f>IF(AND(ISNUMBER('자료_한국심리'!$A3051),ISNUMBER('자료_한국심리'!$B3051)),'자료_한국심리'!$A3051,"")</f>
        <v/>
      </c>
      <c r="V3067">
        <f>IF(AND(ISNUMBER('자료_한국심리'!$D3051),ISNUMBER('자료_한국심리'!$E3051)),'자료_한국심리'!$D3051,"")</f>
        <v/>
      </c>
      <c r="W3067">
        <f>IF(AND(ISNUMBER('자료_한국심리'!$G3051),ISNUMBER('자료_한국심리'!$H3051)),'자료_한국심리'!$G3051,"")</f>
        <v/>
      </c>
      <c r="X3067">
        <f>IF(AND(ISNUMBER('자료_한국심리'!$J3051),ISNUMBER('자료_한국심리'!$K3051)),'자료_한국심리'!$J3051,"")</f>
        <v/>
      </c>
      <c r="Y3067">
        <f>IF(AND(ISNUMBER('자료_한국심리'!$M3051),ISNUMBER('자료_한국심리'!$N3051)),'자료_한국심리'!$M3051,"")</f>
        <v/>
      </c>
    </row>
    <row r="3068">
      <c r="U3068">
        <f>IF(AND(ISNUMBER('자료_한국심리'!$A3052),ISNUMBER('자료_한국심리'!$B3052)),'자료_한국심리'!$A3052,"")</f>
        <v/>
      </c>
      <c r="V3068">
        <f>IF(AND(ISNUMBER('자료_한국심리'!$D3052),ISNUMBER('자료_한국심리'!$E3052)),'자료_한국심리'!$D3052,"")</f>
        <v/>
      </c>
      <c r="W3068">
        <f>IF(AND(ISNUMBER('자료_한국심리'!$G3052),ISNUMBER('자료_한국심리'!$H3052)),'자료_한국심리'!$G3052,"")</f>
        <v/>
      </c>
      <c r="X3068">
        <f>IF(AND(ISNUMBER('자료_한국심리'!$J3052),ISNUMBER('자료_한국심리'!$K3052)),'자료_한국심리'!$J3052,"")</f>
        <v/>
      </c>
      <c r="Y3068">
        <f>IF(AND(ISNUMBER('자료_한국심리'!$M3052),ISNUMBER('자료_한국심리'!$N3052)),'자료_한국심리'!$M3052,"")</f>
        <v/>
      </c>
    </row>
    <row r="3069">
      <c r="U3069">
        <f>IF(AND(ISNUMBER('자료_한국심리'!$A3053),ISNUMBER('자료_한국심리'!$B3053)),'자료_한국심리'!$A3053,"")</f>
        <v/>
      </c>
      <c r="V3069">
        <f>IF(AND(ISNUMBER('자료_한국심리'!$D3053),ISNUMBER('자료_한국심리'!$E3053)),'자료_한국심리'!$D3053,"")</f>
        <v/>
      </c>
      <c r="W3069">
        <f>IF(AND(ISNUMBER('자료_한국심리'!$G3053),ISNUMBER('자료_한국심리'!$H3053)),'자료_한국심리'!$G3053,"")</f>
        <v/>
      </c>
      <c r="X3069">
        <f>IF(AND(ISNUMBER('자료_한국심리'!$J3053),ISNUMBER('자료_한국심리'!$K3053)),'자료_한국심리'!$J3053,"")</f>
        <v/>
      </c>
      <c r="Y3069">
        <f>IF(AND(ISNUMBER('자료_한국심리'!$M3053),ISNUMBER('자료_한국심리'!$N3053)),'자료_한국심리'!$M3053,"")</f>
        <v/>
      </c>
    </row>
    <row r="3070">
      <c r="U3070">
        <f>IF(AND(ISNUMBER('자료_한국심리'!$A3054),ISNUMBER('자료_한국심리'!$B3054)),'자료_한국심리'!$A3054,"")</f>
        <v/>
      </c>
      <c r="V3070">
        <f>IF(AND(ISNUMBER('자료_한국심리'!$D3054),ISNUMBER('자료_한국심리'!$E3054)),'자료_한국심리'!$D3054,"")</f>
        <v/>
      </c>
      <c r="W3070">
        <f>IF(AND(ISNUMBER('자료_한국심리'!$G3054),ISNUMBER('자료_한국심리'!$H3054)),'자료_한국심리'!$G3054,"")</f>
        <v/>
      </c>
      <c r="X3070">
        <f>IF(AND(ISNUMBER('자료_한국심리'!$J3054),ISNUMBER('자료_한국심리'!$K3054)),'자료_한국심리'!$J3054,"")</f>
        <v/>
      </c>
      <c r="Y3070">
        <f>IF(AND(ISNUMBER('자료_한국심리'!$M3054),ISNUMBER('자료_한국심리'!$N3054)),'자료_한국심리'!$M3054,"")</f>
        <v/>
      </c>
    </row>
    <row r="3071">
      <c r="U3071">
        <f>IF(AND(ISNUMBER('자료_한국심리'!$A3055),ISNUMBER('자료_한국심리'!$B3055)),'자료_한국심리'!$A3055,"")</f>
        <v/>
      </c>
      <c r="V3071">
        <f>IF(AND(ISNUMBER('자료_한국심리'!$D3055),ISNUMBER('자료_한국심리'!$E3055)),'자료_한국심리'!$D3055,"")</f>
        <v/>
      </c>
      <c r="W3071">
        <f>IF(AND(ISNUMBER('자료_한국심리'!$G3055),ISNUMBER('자료_한국심리'!$H3055)),'자료_한국심리'!$G3055,"")</f>
        <v/>
      </c>
      <c r="X3071">
        <f>IF(AND(ISNUMBER('자료_한국심리'!$J3055),ISNUMBER('자료_한국심리'!$K3055)),'자료_한국심리'!$J3055,"")</f>
        <v/>
      </c>
      <c r="Y3071">
        <f>IF(AND(ISNUMBER('자료_한국심리'!$M3055),ISNUMBER('자료_한국심리'!$N3055)),'자료_한국심리'!$M3055,"")</f>
        <v/>
      </c>
    </row>
    <row r="3072">
      <c r="U3072">
        <f>IF(AND(ISNUMBER('자료_한국심리'!$A3056),ISNUMBER('자료_한국심리'!$B3056)),'자료_한국심리'!$A3056,"")</f>
        <v/>
      </c>
      <c r="V3072">
        <f>IF(AND(ISNUMBER('자료_한국심리'!$D3056),ISNUMBER('자료_한국심리'!$E3056)),'자료_한국심리'!$D3056,"")</f>
        <v/>
      </c>
      <c r="W3072">
        <f>IF(AND(ISNUMBER('자료_한국심리'!$G3056),ISNUMBER('자료_한국심리'!$H3056)),'자료_한국심리'!$G3056,"")</f>
        <v/>
      </c>
      <c r="X3072">
        <f>IF(AND(ISNUMBER('자료_한국심리'!$J3056),ISNUMBER('자료_한국심리'!$K3056)),'자료_한국심리'!$J3056,"")</f>
        <v/>
      </c>
      <c r="Y3072">
        <f>IF(AND(ISNUMBER('자료_한국심리'!$M3056),ISNUMBER('자료_한국심리'!$N3056)),'자료_한국심리'!$M3056,"")</f>
        <v/>
      </c>
    </row>
    <row r="3073">
      <c r="U3073">
        <f>IF(AND(ISNUMBER('자료_한국심리'!$A3057),ISNUMBER('자료_한국심리'!$B3057)),'자료_한국심리'!$A3057,"")</f>
        <v/>
      </c>
      <c r="V3073">
        <f>IF(AND(ISNUMBER('자료_한국심리'!$D3057),ISNUMBER('자료_한국심리'!$E3057)),'자료_한국심리'!$D3057,"")</f>
        <v/>
      </c>
      <c r="W3073">
        <f>IF(AND(ISNUMBER('자료_한국심리'!$G3057),ISNUMBER('자료_한국심리'!$H3057)),'자료_한국심리'!$G3057,"")</f>
        <v/>
      </c>
      <c r="X3073">
        <f>IF(AND(ISNUMBER('자료_한국심리'!$J3057),ISNUMBER('자료_한국심리'!$K3057)),'자료_한국심리'!$J3057,"")</f>
        <v/>
      </c>
      <c r="Y3073">
        <f>IF(AND(ISNUMBER('자료_한국심리'!$M3057),ISNUMBER('자료_한국심리'!$N3057)),'자료_한국심리'!$M3057,"")</f>
        <v/>
      </c>
    </row>
    <row r="3074">
      <c r="U3074">
        <f>IF(AND(ISNUMBER('자료_한국심리'!$A3058),ISNUMBER('자료_한국심리'!$B3058)),'자료_한국심리'!$A3058,"")</f>
        <v/>
      </c>
      <c r="V3074">
        <f>IF(AND(ISNUMBER('자료_한국심리'!$D3058),ISNUMBER('자료_한국심리'!$E3058)),'자료_한국심리'!$D3058,"")</f>
        <v/>
      </c>
      <c r="W3074">
        <f>IF(AND(ISNUMBER('자료_한국심리'!$G3058),ISNUMBER('자료_한국심리'!$H3058)),'자료_한국심리'!$G3058,"")</f>
        <v/>
      </c>
      <c r="X3074">
        <f>IF(AND(ISNUMBER('자료_한국심리'!$J3058),ISNUMBER('자료_한국심리'!$K3058)),'자료_한국심리'!$J3058,"")</f>
        <v/>
      </c>
      <c r="Y3074">
        <f>IF(AND(ISNUMBER('자료_한국심리'!$M3058),ISNUMBER('자료_한국심리'!$N3058)),'자료_한국심리'!$M3058,"")</f>
        <v/>
      </c>
    </row>
    <row r="3075">
      <c r="U3075">
        <f>IF(AND(ISNUMBER('자료_한국심리'!$A3059),ISNUMBER('자료_한국심리'!$B3059)),'자료_한국심리'!$A3059,"")</f>
        <v/>
      </c>
      <c r="V3075">
        <f>IF(AND(ISNUMBER('자료_한국심리'!$D3059),ISNUMBER('자료_한국심리'!$E3059)),'자료_한국심리'!$D3059,"")</f>
        <v/>
      </c>
      <c r="W3075">
        <f>IF(AND(ISNUMBER('자료_한국심리'!$G3059),ISNUMBER('자료_한국심리'!$H3059)),'자료_한국심리'!$G3059,"")</f>
        <v/>
      </c>
      <c r="X3075">
        <f>IF(AND(ISNUMBER('자료_한국심리'!$J3059),ISNUMBER('자료_한국심리'!$K3059)),'자료_한국심리'!$J3059,"")</f>
        <v/>
      </c>
      <c r="Y3075">
        <f>IF(AND(ISNUMBER('자료_한국심리'!$M3059),ISNUMBER('자료_한국심리'!$N3059)),'자료_한국심리'!$M3059,"")</f>
        <v/>
      </c>
    </row>
    <row r="3076">
      <c r="U3076">
        <f>IF(AND(ISNUMBER('자료_한국심리'!$A3060),ISNUMBER('자료_한국심리'!$B3060)),'자료_한국심리'!$A3060,"")</f>
        <v/>
      </c>
      <c r="V3076">
        <f>IF(AND(ISNUMBER('자료_한국심리'!$D3060),ISNUMBER('자료_한국심리'!$E3060)),'자료_한국심리'!$D3060,"")</f>
        <v/>
      </c>
      <c r="W3076">
        <f>IF(AND(ISNUMBER('자료_한국심리'!$G3060),ISNUMBER('자료_한국심리'!$H3060)),'자료_한국심리'!$G3060,"")</f>
        <v/>
      </c>
      <c r="X3076">
        <f>IF(AND(ISNUMBER('자료_한국심리'!$J3060),ISNUMBER('자료_한국심리'!$K3060)),'자료_한국심리'!$J3060,"")</f>
        <v/>
      </c>
      <c r="Y3076">
        <f>IF(AND(ISNUMBER('자료_한국심리'!$M3060),ISNUMBER('자료_한국심리'!$N3060)),'자료_한국심리'!$M3060,"")</f>
        <v/>
      </c>
    </row>
    <row r="3077">
      <c r="U3077">
        <f>IF(AND(ISNUMBER('자료_한국심리'!$A3061),ISNUMBER('자료_한국심리'!$B3061)),'자료_한국심리'!$A3061,"")</f>
        <v/>
      </c>
      <c r="V3077">
        <f>IF(AND(ISNUMBER('자료_한국심리'!$D3061),ISNUMBER('자료_한국심리'!$E3061)),'자료_한국심리'!$D3061,"")</f>
        <v/>
      </c>
      <c r="W3077">
        <f>IF(AND(ISNUMBER('자료_한국심리'!$G3061),ISNUMBER('자료_한국심리'!$H3061)),'자료_한국심리'!$G3061,"")</f>
        <v/>
      </c>
      <c r="X3077">
        <f>IF(AND(ISNUMBER('자료_한국심리'!$J3061),ISNUMBER('자료_한국심리'!$K3061)),'자료_한국심리'!$J3061,"")</f>
        <v/>
      </c>
      <c r="Y3077">
        <f>IF(AND(ISNUMBER('자료_한국심리'!$M3061),ISNUMBER('자료_한국심리'!$N3061)),'자료_한국심리'!$M3061,"")</f>
        <v/>
      </c>
    </row>
    <row r="3078">
      <c r="U3078">
        <f>IF(AND(ISNUMBER('자료_한국심리'!$A3062),ISNUMBER('자료_한국심리'!$B3062)),'자료_한국심리'!$A3062,"")</f>
        <v/>
      </c>
      <c r="V3078">
        <f>IF(AND(ISNUMBER('자료_한국심리'!$D3062),ISNUMBER('자료_한국심리'!$E3062)),'자료_한국심리'!$D3062,"")</f>
        <v/>
      </c>
      <c r="W3078">
        <f>IF(AND(ISNUMBER('자료_한국심리'!$G3062),ISNUMBER('자료_한국심리'!$H3062)),'자료_한국심리'!$G3062,"")</f>
        <v/>
      </c>
      <c r="X3078">
        <f>IF(AND(ISNUMBER('자료_한국심리'!$J3062),ISNUMBER('자료_한국심리'!$K3062)),'자료_한국심리'!$J3062,"")</f>
        <v/>
      </c>
      <c r="Y3078">
        <f>IF(AND(ISNUMBER('자료_한국심리'!$M3062),ISNUMBER('자료_한국심리'!$N3062)),'자료_한국심리'!$M3062,"")</f>
        <v/>
      </c>
    </row>
    <row r="3079">
      <c r="U3079">
        <f>IF(AND(ISNUMBER('자료_한국심리'!$A3063),ISNUMBER('자료_한국심리'!$B3063)),'자료_한국심리'!$A3063,"")</f>
        <v/>
      </c>
      <c r="V3079">
        <f>IF(AND(ISNUMBER('자료_한국심리'!$D3063),ISNUMBER('자료_한국심리'!$E3063)),'자료_한국심리'!$D3063,"")</f>
        <v/>
      </c>
      <c r="W3079">
        <f>IF(AND(ISNUMBER('자료_한국심리'!$G3063),ISNUMBER('자료_한국심리'!$H3063)),'자료_한국심리'!$G3063,"")</f>
        <v/>
      </c>
      <c r="X3079">
        <f>IF(AND(ISNUMBER('자료_한국심리'!$J3063),ISNUMBER('자료_한국심리'!$K3063)),'자료_한국심리'!$J3063,"")</f>
        <v/>
      </c>
      <c r="Y3079">
        <f>IF(AND(ISNUMBER('자료_한국심리'!$M3063),ISNUMBER('자료_한국심리'!$N3063)),'자료_한국심리'!$M3063,"")</f>
        <v/>
      </c>
    </row>
    <row r="3080">
      <c r="U3080">
        <f>IF(AND(ISNUMBER('자료_한국심리'!$A3064),ISNUMBER('자료_한국심리'!$B3064)),'자료_한국심리'!$A3064,"")</f>
        <v/>
      </c>
      <c r="V3080">
        <f>IF(AND(ISNUMBER('자료_한국심리'!$D3064),ISNUMBER('자료_한국심리'!$E3064)),'자료_한국심리'!$D3064,"")</f>
        <v/>
      </c>
      <c r="W3080">
        <f>IF(AND(ISNUMBER('자료_한국심리'!$G3064),ISNUMBER('자료_한국심리'!$H3064)),'자료_한국심리'!$G3064,"")</f>
        <v/>
      </c>
      <c r="X3080">
        <f>IF(AND(ISNUMBER('자료_한국심리'!$J3064),ISNUMBER('자료_한국심리'!$K3064)),'자료_한국심리'!$J3064,"")</f>
        <v/>
      </c>
      <c r="Y3080">
        <f>IF(AND(ISNUMBER('자료_한국심리'!$M3064),ISNUMBER('자료_한국심리'!$N3064)),'자료_한국심리'!$M3064,"")</f>
        <v/>
      </c>
    </row>
    <row r="3081">
      <c r="U3081">
        <f>IF(AND(ISNUMBER('자료_한국심리'!$A3065),ISNUMBER('자료_한국심리'!$B3065)),'자료_한국심리'!$A3065,"")</f>
        <v/>
      </c>
      <c r="V3081">
        <f>IF(AND(ISNUMBER('자료_한국심리'!$D3065),ISNUMBER('자료_한국심리'!$E3065)),'자료_한국심리'!$D3065,"")</f>
        <v/>
      </c>
      <c r="W3081">
        <f>IF(AND(ISNUMBER('자료_한국심리'!$G3065),ISNUMBER('자료_한국심리'!$H3065)),'자료_한국심리'!$G3065,"")</f>
        <v/>
      </c>
      <c r="X3081">
        <f>IF(AND(ISNUMBER('자료_한국심리'!$J3065),ISNUMBER('자료_한국심리'!$K3065)),'자료_한국심리'!$J3065,"")</f>
        <v/>
      </c>
      <c r="Y3081">
        <f>IF(AND(ISNUMBER('자료_한국심리'!$M3065),ISNUMBER('자료_한국심리'!$N3065)),'자료_한국심리'!$M3065,"")</f>
        <v/>
      </c>
    </row>
    <row r="3082">
      <c r="U3082">
        <f>IF(AND(ISNUMBER('자료_한국심리'!$A3066),ISNUMBER('자료_한국심리'!$B3066)),'자료_한국심리'!$A3066,"")</f>
        <v/>
      </c>
      <c r="V3082">
        <f>IF(AND(ISNUMBER('자료_한국심리'!$D3066),ISNUMBER('자료_한국심리'!$E3066)),'자료_한국심리'!$D3066,"")</f>
        <v/>
      </c>
      <c r="W3082">
        <f>IF(AND(ISNUMBER('자료_한국심리'!$G3066),ISNUMBER('자료_한국심리'!$H3066)),'자료_한국심리'!$G3066,"")</f>
        <v/>
      </c>
      <c r="X3082">
        <f>IF(AND(ISNUMBER('자료_한국심리'!$J3066),ISNUMBER('자료_한국심리'!$K3066)),'자료_한국심리'!$J3066,"")</f>
        <v/>
      </c>
      <c r="Y3082">
        <f>IF(AND(ISNUMBER('자료_한국심리'!$M3066),ISNUMBER('자료_한국심리'!$N3066)),'자료_한국심리'!$M3066,"")</f>
        <v/>
      </c>
    </row>
    <row r="3083">
      <c r="U3083">
        <f>IF(AND(ISNUMBER('자료_한국심리'!$A3067),ISNUMBER('자료_한국심리'!$B3067)),'자료_한국심리'!$A3067,"")</f>
        <v/>
      </c>
      <c r="V3083">
        <f>IF(AND(ISNUMBER('자료_한국심리'!$D3067),ISNUMBER('자료_한국심리'!$E3067)),'자료_한국심리'!$D3067,"")</f>
        <v/>
      </c>
      <c r="W3083">
        <f>IF(AND(ISNUMBER('자료_한국심리'!$G3067),ISNUMBER('자료_한국심리'!$H3067)),'자료_한국심리'!$G3067,"")</f>
        <v/>
      </c>
      <c r="X3083">
        <f>IF(AND(ISNUMBER('자료_한국심리'!$J3067),ISNUMBER('자료_한국심리'!$K3067)),'자료_한국심리'!$J3067,"")</f>
        <v/>
      </c>
      <c r="Y3083">
        <f>IF(AND(ISNUMBER('자료_한국심리'!$M3067),ISNUMBER('자료_한국심리'!$N3067)),'자료_한국심리'!$M3067,"")</f>
        <v/>
      </c>
    </row>
    <row r="3084">
      <c r="U3084">
        <f>IF(AND(ISNUMBER('자료_한국심리'!$A3068),ISNUMBER('자료_한국심리'!$B3068)),'자료_한국심리'!$A3068,"")</f>
        <v/>
      </c>
      <c r="V3084">
        <f>IF(AND(ISNUMBER('자료_한국심리'!$D3068),ISNUMBER('자료_한국심리'!$E3068)),'자료_한국심리'!$D3068,"")</f>
        <v/>
      </c>
      <c r="W3084">
        <f>IF(AND(ISNUMBER('자료_한국심리'!$G3068),ISNUMBER('자료_한국심리'!$H3068)),'자료_한국심리'!$G3068,"")</f>
        <v/>
      </c>
      <c r="X3084">
        <f>IF(AND(ISNUMBER('자료_한국심리'!$J3068),ISNUMBER('자료_한국심리'!$K3068)),'자료_한국심리'!$J3068,"")</f>
        <v/>
      </c>
      <c r="Y3084">
        <f>IF(AND(ISNUMBER('자료_한국심리'!$M3068),ISNUMBER('자료_한국심리'!$N3068)),'자료_한국심리'!$M3068,"")</f>
        <v/>
      </c>
    </row>
    <row r="3085">
      <c r="U3085">
        <f>IF(AND(ISNUMBER('자료_한국심리'!$A3069),ISNUMBER('자료_한국심리'!$B3069)),'자료_한국심리'!$A3069,"")</f>
        <v/>
      </c>
      <c r="V3085">
        <f>IF(AND(ISNUMBER('자료_한국심리'!$D3069),ISNUMBER('자료_한국심리'!$E3069)),'자료_한국심리'!$D3069,"")</f>
        <v/>
      </c>
      <c r="W3085">
        <f>IF(AND(ISNUMBER('자료_한국심리'!$G3069),ISNUMBER('자료_한국심리'!$H3069)),'자료_한국심리'!$G3069,"")</f>
        <v/>
      </c>
      <c r="X3085">
        <f>IF(AND(ISNUMBER('자료_한국심리'!$J3069),ISNUMBER('자료_한국심리'!$K3069)),'자료_한국심리'!$J3069,"")</f>
        <v/>
      </c>
      <c r="Y3085">
        <f>IF(AND(ISNUMBER('자료_한국심리'!$M3069),ISNUMBER('자료_한국심리'!$N3069)),'자료_한국심리'!$M3069,"")</f>
        <v/>
      </c>
    </row>
    <row r="3086">
      <c r="U3086">
        <f>IF(AND(ISNUMBER('자료_한국심리'!$A3070),ISNUMBER('자료_한국심리'!$B3070)),'자료_한국심리'!$A3070,"")</f>
        <v/>
      </c>
      <c r="V3086">
        <f>IF(AND(ISNUMBER('자료_한국심리'!$D3070),ISNUMBER('자료_한국심리'!$E3070)),'자료_한국심리'!$D3070,"")</f>
        <v/>
      </c>
      <c r="W3086">
        <f>IF(AND(ISNUMBER('자료_한국심리'!$G3070),ISNUMBER('자료_한국심리'!$H3070)),'자료_한국심리'!$G3070,"")</f>
        <v/>
      </c>
      <c r="X3086">
        <f>IF(AND(ISNUMBER('자료_한국심리'!$J3070),ISNUMBER('자료_한국심리'!$K3070)),'자료_한국심리'!$J3070,"")</f>
        <v/>
      </c>
      <c r="Y3086">
        <f>IF(AND(ISNUMBER('자료_한국심리'!$M3070),ISNUMBER('자료_한국심리'!$N3070)),'자료_한국심리'!$M3070,"")</f>
        <v/>
      </c>
    </row>
    <row r="3087">
      <c r="U3087">
        <f>IF(AND(ISNUMBER('자료_한국심리'!$A3071),ISNUMBER('자료_한국심리'!$B3071)),'자료_한국심리'!$A3071,"")</f>
        <v/>
      </c>
      <c r="V3087">
        <f>IF(AND(ISNUMBER('자료_한국심리'!$D3071),ISNUMBER('자료_한국심리'!$E3071)),'자료_한국심리'!$D3071,"")</f>
        <v/>
      </c>
      <c r="W3087">
        <f>IF(AND(ISNUMBER('자료_한국심리'!$G3071),ISNUMBER('자료_한국심리'!$H3071)),'자료_한국심리'!$G3071,"")</f>
        <v/>
      </c>
      <c r="X3087">
        <f>IF(AND(ISNUMBER('자료_한국심리'!$J3071),ISNUMBER('자료_한국심리'!$K3071)),'자료_한국심리'!$J3071,"")</f>
        <v/>
      </c>
      <c r="Y3087">
        <f>IF(AND(ISNUMBER('자료_한국심리'!$M3071),ISNUMBER('자료_한국심리'!$N3071)),'자료_한국심리'!$M3071,"")</f>
        <v/>
      </c>
    </row>
    <row r="3088">
      <c r="U3088">
        <f>IF(AND(ISNUMBER('자료_한국심리'!$A3072),ISNUMBER('자료_한국심리'!$B3072)),'자료_한국심리'!$A3072,"")</f>
        <v/>
      </c>
      <c r="V3088">
        <f>IF(AND(ISNUMBER('자료_한국심리'!$D3072),ISNUMBER('자료_한국심리'!$E3072)),'자료_한국심리'!$D3072,"")</f>
        <v/>
      </c>
      <c r="W3088">
        <f>IF(AND(ISNUMBER('자료_한국심리'!$G3072),ISNUMBER('자료_한국심리'!$H3072)),'자료_한국심리'!$G3072,"")</f>
        <v/>
      </c>
      <c r="X3088">
        <f>IF(AND(ISNUMBER('자료_한국심리'!$J3072),ISNUMBER('자료_한국심리'!$K3072)),'자료_한국심리'!$J3072,"")</f>
        <v/>
      </c>
      <c r="Y3088">
        <f>IF(AND(ISNUMBER('자료_한국심리'!$M3072),ISNUMBER('자료_한국심리'!$N3072)),'자료_한국심리'!$M3072,"")</f>
        <v/>
      </c>
    </row>
    <row r="3089">
      <c r="U3089">
        <f>IF(AND(ISNUMBER('자료_한국심리'!$A3073),ISNUMBER('자료_한국심리'!$B3073)),'자료_한국심리'!$A3073,"")</f>
        <v/>
      </c>
      <c r="V3089">
        <f>IF(AND(ISNUMBER('자료_한국심리'!$D3073),ISNUMBER('자료_한국심리'!$E3073)),'자료_한국심리'!$D3073,"")</f>
        <v/>
      </c>
      <c r="W3089">
        <f>IF(AND(ISNUMBER('자료_한국심리'!$G3073),ISNUMBER('자료_한국심리'!$H3073)),'자료_한국심리'!$G3073,"")</f>
        <v/>
      </c>
      <c r="X3089">
        <f>IF(AND(ISNUMBER('자료_한국심리'!$J3073),ISNUMBER('자료_한국심리'!$K3073)),'자료_한국심리'!$J3073,"")</f>
        <v/>
      </c>
      <c r="Y3089">
        <f>IF(AND(ISNUMBER('자료_한국심리'!$M3073),ISNUMBER('자료_한국심리'!$N3073)),'자료_한국심리'!$M3073,"")</f>
        <v/>
      </c>
    </row>
    <row r="3090">
      <c r="U3090">
        <f>IF(AND(ISNUMBER('자료_한국심리'!$A3074),ISNUMBER('자료_한국심리'!$B3074)),'자료_한국심리'!$A3074,"")</f>
        <v/>
      </c>
      <c r="V3090">
        <f>IF(AND(ISNUMBER('자료_한국심리'!$D3074),ISNUMBER('자료_한국심리'!$E3074)),'자료_한국심리'!$D3074,"")</f>
        <v/>
      </c>
      <c r="W3090">
        <f>IF(AND(ISNUMBER('자료_한국심리'!$G3074),ISNUMBER('자료_한국심리'!$H3074)),'자료_한국심리'!$G3074,"")</f>
        <v/>
      </c>
      <c r="X3090">
        <f>IF(AND(ISNUMBER('자료_한국심리'!$J3074),ISNUMBER('자료_한국심리'!$K3074)),'자료_한국심리'!$J3074,"")</f>
        <v/>
      </c>
      <c r="Y3090">
        <f>IF(AND(ISNUMBER('자료_한국심리'!$M3074),ISNUMBER('자료_한국심리'!$N3074)),'자료_한국심리'!$M3074,"")</f>
        <v/>
      </c>
    </row>
    <row r="3091">
      <c r="U3091">
        <f>IF(AND(ISNUMBER('자료_한국심리'!$A3075),ISNUMBER('자료_한국심리'!$B3075)),'자료_한국심리'!$A3075,"")</f>
        <v/>
      </c>
      <c r="V3091">
        <f>IF(AND(ISNUMBER('자료_한국심리'!$D3075),ISNUMBER('자료_한국심리'!$E3075)),'자료_한국심리'!$D3075,"")</f>
        <v/>
      </c>
      <c r="W3091">
        <f>IF(AND(ISNUMBER('자료_한국심리'!$G3075),ISNUMBER('자료_한국심리'!$H3075)),'자료_한국심리'!$G3075,"")</f>
        <v/>
      </c>
      <c r="X3091">
        <f>IF(AND(ISNUMBER('자료_한국심리'!$J3075),ISNUMBER('자료_한국심리'!$K3075)),'자료_한국심리'!$J3075,"")</f>
        <v/>
      </c>
      <c r="Y3091">
        <f>IF(AND(ISNUMBER('자료_한국심리'!$M3075),ISNUMBER('자료_한국심리'!$N3075)),'자료_한국심리'!$M3075,"")</f>
        <v/>
      </c>
    </row>
    <row r="3092">
      <c r="U3092">
        <f>IF(AND(ISNUMBER('자료_한국심리'!$A3076),ISNUMBER('자료_한국심리'!$B3076)),'자료_한국심리'!$A3076,"")</f>
        <v/>
      </c>
      <c r="V3092">
        <f>IF(AND(ISNUMBER('자료_한국심리'!$D3076),ISNUMBER('자료_한국심리'!$E3076)),'자료_한국심리'!$D3076,"")</f>
        <v/>
      </c>
      <c r="W3092">
        <f>IF(AND(ISNUMBER('자료_한국심리'!$G3076),ISNUMBER('자료_한국심리'!$H3076)),'자료_한국심리'!$G3076,"")</f>
        <v/>
      </c>
      <c r="X3092">
        <f>IF(AND(ISNUMBER('자료_한국심리'!$J3076),ISNUMBER('자료_한국심리'!$K3076)),'자료_한국심리'!$J3076,"")</f>
        <v/>
      </c>
      <c r="Y3092">
        <f>IF(AND(ISNUMBER('자료_한국심리'!$M3076),ISNUMBER('자료_한국심리'!$N3076)),'자료_한국심리'!$M3076,"")</f>
        <v/>
      </c>
    </row>
    <row r="3093">
      <c r="U3093">
        <f>IF(AND(ISNUMBER('자료_한국심리'!$A3077),ISNUMBER('자료_한국심리'!$B3077)),'자료_한국심리'!$A3077,"")</f>
        <v/>
      </c>
      <c r="V3093">
        <f>IF(AND(ISNUMBER('자료_한국심리'!$D3077),ISNUMBER('자료_한국심리'!$E3077)),'자료_한국심리'!$D3077,"")</f>
        <v/>
      </c>
      <c r="W3093">
        <f>IF(AND(ISNUMBER('자료_한국심리'!$G3077),ISNUMBER('자료_한국심리'!$H3077)),'자료_한국심리'!$G3077,"")</f>
        <v/>
      </c>
      <c r="X3093">
        <f>IF(AND(ISNUMBER('자료_한국심리'!$J3077),ISNUMBER('자료_한국심리'!$K3077)),'자료_한국심리'!$J3077,"")</f>
        <v/>
      </c>
      <c r="Y3093">
        <f>IF(AND(ISNUMBER('자료_한국심리'!$M3077),ISNUMBER('자료_한국심리'!$N3077)),'자료_한국심리'!$M3077,"")</f>
        <v/>
      </c>
    </row>
    <row r="3094">
      <c r="U3094">
        <f>IF(AND(ISNUMBER('자료_한국심리'!$A3078),ISNUMBER('자료_한국심리'!$B3078)),'자료_한국심리'!$A3078,"")</f>
        <v/>
      </c>
      <c r="V3094">
        <f>IF(AND(ISNUMBER('자료_한국심리'!$D3078),ISNUMBER('자료_한국심리'!$E3078)),'자료_한국심리'!$D3078,"")</f>
        <v/>
      </c>
      <c r="W3094">
        <f>IF(AND(ISNUMBER('자료_한국심리'!$G3078),ISNUMBER('자료_한국심리'!$H3078)),'자료_한국심리'!$G3078,"")</f>
        <v/>
      </c>
      <c r="X3094">
        <f>IF(AND(ISNUMBER('자료_한국심리'!$J3078),ISNUMBER('자료_한국심리'!$K3078)),'자료_한국심리'!$J3078,"")</f>
        <v/>
      </c>
      <c r="Y3094">
        <f>IF(AND(ISNUMBER('자료_한국심리'!$M3078),ISNUMBER('자료_한국심리'!$N3078)),'자료_한국심리'!$M3078,"")</f>
        <v/>
      </c>
    </row>
    <row r="3095">
      <c r="U3095">
        <f>IF(AND(ISNUMBER('자료_한국심리'!$A3079),ISNUMBER('자료_한국심리'!$B3079)),'자료_한국심리'!$A3079,"")</f>
        <v/>
      </c>
      <c r="V3095">
        <f>IF(AND(ISNUMBER('자료_한국심리'!$D3079),ISNUMBER('자료_한국심리'!$E3079)),'자료_한국심리'!$D3079,"")</f>
        <v/>
      </c>
      <c r="W3095">
        <f>IF(AND(ISNUMBER('자료_한국심리'!$G3079),ISNUMBER('자료_한국심리'!$H3079)),'자료_한국심리'!$G3079,"")</f>
        <v/>
      </c>
      <c r="X3095">
        <f>IF(AND(ISNUMBER('자료_한국심리'!$J3079),ISNUMBER('자료_한국심리'!$K3079)),'자료_한국심리'!$J3079,"")</f>
        <v/>
      </c>
      <c r="Y3095">
        <f>IF(AND(ISNUMBER('자료_한국심리'!$M3079),ISNUMBER('자료_한국심리'!$N3079)),'자료_한국심리'!$M3079,"")</f>
        <v/>
      </c>
    </row>
    <row r="3096">
      <c r="U3096">
        <f>IF(AND(ISNUMBER('자료_한국심리'!$A3080),ISNUMBER('자료_한국심리'!$B3080)),'자료_한국심리'!$A3080,"")</f>
        <v/>
      </c>
      <c r="V3096">
        <f>IF(AND(ISNUMBER('자료_한국심리'!$D3080),ISNUMBER('자료_한국심리'!$E3080)),'자료_한국심리'!$D3080,"")</f>
        <v/>
      </c>
      <c r="W3096">
        <f>IF(AND(ISNUMBER('자료_한국심리'!$G3080),ISNUMBER('자료_한국심리'!$H3080)),'자료_한국심리'!$G3080,"")</f>
        <v/>
      </c>
      <c r="X3096">
        <f>IF(AND(ISNUMBER('자료_한국심리'!$J3080),ISNUMBER('자료_한국심리'!$K3080)),'자료_한국심리'!$J3080,"")</f>
        <v/>
      </c>
      <c r="Y3096">
        <f>IF(AND(ISNUMBER('자료_한국심리'!$M3080),ISNUMBER('자료_한국심리'!$N3080)),'자료_한국심리'!$M3080,"")</f>
        <v/>
      </c>
    </row>
    <row r="3097">
      <c r="U3097">
        <f>IF(AND(ISNUMBER('자료_한국심리'!$A3081),ISNUMBER('자료_한국심리'!$B3081)),'자료_한국심리'!$A3081,"")</f>
        <v/>
      </c>
      <c r="V3097">
        <f>IF(AND(ISNUMBER('자료_한국심리'!$D3081),ISNUMBER('자료_한국심리'!$E3081)),'자료_한국심리'!$D3081,"")</f>
        <v/>
      </c>
      <c r="W3097">
        <f>IF(AND(ISNUMBER('자료_한국심리'!$G3081),ISNUMBER('자료_한국심리'!$H3081)),'자료_한국심리'!$G3081,"")</f>
        <v/>
      </c>
      <c r="X3097">
        <f>IF(AND(ISNUMBER('자료_한국심리'!$J3081),ISNUMBER('자료_한국심리'!$K3081)),'자료_한국심리'!$J3081,"")</f>
        <v/>
      </c>
      <c r="Y3097">
        <f>IF(AND(ISNUMBER('자료_한국심리'!$M3081),ISNUMBER('자료_한국심리'!$N3081)),'자료_한국심리'!$M3081,"")</f>
        <v/>
      </c>
    </row>
    <row r="3098">
      <c r="U3098">
        <f>IF(AND(ISNUMBER('자료_한국심리'!$A3082),ISNUMBER('자료_한국심리'!$B3082)),'자료_한국심리'!$A3082,"")</f>
        <v/>
      </c>
      <c r="V3098">
        <f>IF(AND(ISNUMBER('자료_한국심리'!$D3082),ISNUMBER('자료_한국심리'!$E3082)),'자료_한국심리'!$D3082,"")</f>
        <v/>
      </c>
      <c r="W3098">
        <f>IF(AND(ISNUMBER('자료_한국심리'!$G3082),ISNUMBER('자료_한국심리'!$H3082)),'자료_한국심리'!$G3082,"")</f>
        <v/>
      </c>
      <c r="X3098">
        <f>IF(AND(ISNUMBER('자료_한국심리'!$J3082),ISNUMBER('자료_한국심리'!$K3082)),'자료_한국심리'!$J3082,"")</f>
        <v/>
      </c>
      <c r="Y3098">
        <f>IF(AND(ISNUMBER('자료_한국심리'!$M3082),ISNUMBER('자료_한국심리'!$N3082)),'자료_한국심리'!$M3082,"")</f>
        <v/>
      </c>
    </row>
    <row r="3099">
      <c r="U3099">
        <f>IF(AND(ISNUMBER('자료_한국심리'!$A3083),ISNUMBER('자료_한국심리'!$B3083)),'자료_한국심리'!$A3083,"")</f>
        <v/>
      </c>
      <c r="V3099">
        <f>IF(AND(ISNUMBER('자료_한국심리'!$D3083),ISNUMBER('자료_한국심리'!$E3083)),'자료_한국심리'!$D3083,"")</f>
        <v/>
      </c>
      <c r="W3099">
        <f>IF(AND(ISNUMBER('자료_한국심리'!$G3083),ISNUMBER('자료_한국심리'!$H3083)),'자료_한국심리'!$G3083,"")</f>
        <v/>
      </c>
      <c r="X3099">
        <f>IF(AND(ISNUMBER('자료_한국심리'!$J3083),ISNUMBER('자료_한국심리'!$K3083)),'자료_한국심리'!$J3083,"")</f>
        <v/>
      </c>
      <c r="Y3099">
        <f>IF(AND(ISNUMBER('자료_한국심리'!$M3083),ISNUMBER('자료_한국심리'!$N3083)),'자료_한국심리'!$M3083,"")</f>
        <v/>
      </c>
    </row>
    <row r="3100">
      <c r="U3100">
        <f>IF(AND(ISNUMBER('자료_한국심리'!$A3084),ISNUMBER('자료_한국심리'!$B3084)),'자료_한국심리'!$A3084,"")</f>
        <v/>
      </c>
      <c r="V3100">
        <f>IF(AND(ISNUMBER('자료_한국심리'!$D3084),ISNUMBER('자료_한국심리'!$E3084)),'자료_한국심리'!$D3084,"")</f>
        <v/>
      </c>
      <c r="W3100">
        <f>IF(AND(ISNUMBER('자료_한국심리'!$G3084),ISNUMBER('자료_한국심리'!$H3084)),'자료_한국심리'!$G3084,"")</f>
        <v/>
      </c>
      <c r="X3100">
        <f>IF(AND(ISNUMBER('자료_한국심리'!$J3084),ISNUMBER('자료_한국심리'!$K3084)),'자료_한국심리'!$J3084,"")</f>
        <v/>
      </c>
      <c r="Y3100">
        <f>IF(AND(ISNUMBER('자료_한국심리'!$M3084),ISNUMBER('자료_한국심리'!$N3084)),'자료_한국심리'!$M3084,"")</f>
        <v/>
      </c>
    </row>
    <row r="3101">
      <c r="U3101">
        <f>IF(AND(ISNUMBER('자료_한국심리'!$A3085),ISNUMBER('자료_한국심리'!$B3085)),'자료_한국심리'!$A3085,"")</f>
        <v/>
      </c>
      <c r="V3101">
        <f>IF(AND(ISNUMBER('자료_한국심리'!$D3085),ISNUMBER('자료_한국심리'!$E3085)),'자료_한국심리'!$D3085,"")</f>
        <v/>
      </c>
      <c r="W3101">
        <f>IF(AND(ISNUMBER('자료_한국심리'!$G3085),ISNUMBER('자료_한국심리'!$H3085)),'자료_한국심리'!$G3085,"")</f>
        <v/>
      </c>
      <c r="X3101">
        <f>IF(AND(ISNUMBER('자료_한국심리'!$J3085),ISNUMBER('자료_한국심리'!$K3085)),'자료_한국심리'!$J3085,"")</f>
        <v/>
      </c>
      <c r="Y3101">
        <f>IF(AND(ISNUMBER('자료_한국심리'!$M3085),ISNUMBER('자료_한국심리'!$N3085)),'자료_한국심리'!$M3085,"")</f>
        <v/>
      </c>
    </row>
    <row r="3102">
      <c r="U3102">
        <f>IF(AND(ISNUMBER('자료_한국심리'!$A3086),ISNUMBER('자료_한국심리'!$B3086)),'자료_한국심리'!$A3086,"")</f>
        <v/>
      </c>
      <c r="V3102">
        <f>IF(AND(ISNUMBER('자료_한국심리'!$D3086),ISNUMBER('자료_한국심리'!$E3086)),'자료_한국심리'!$D3086,"")</f>
        <v/>
      </c>
      <c r="W3102">
        <f>IF(AND(ISNUMBER('자료_한국심리'!$G3086),ISNUMBER('자료_한국심리'!$H3086)),'자료_한국심리'!$G3086,"")</f>
        <v/>
      </c>
      <c r="X3102">
        <f>IF(AND(ISNUMBER('자료_한국심리'!$J3086),ISNUMBER('자료_한국심리'!$K3086)),'자료_한국심리'!$J3086,"")</f>
        <v/>
      </c>
      <c r="Y3102">
        <f>IF(AND(ISNUMBER('자료_한국심리'!$M3086),ISNUMBER('자료_한국심리'!$N3086)),'자료_한국심리'!$M3086,"")</f>
        <v/>
      </c>
    </row>
    <row r="3103">
      <c r="U3103">
        <f>IF(AND(ISNUMBER('자료_한국심리'!$A3087),ISNUMBER('자료_한국심리'!$B3087)),'자료_한국심리'!$A3087,"")</f>
        <v/>
      </c>
      <c r="V3103">
        <f>IF(AND(ISNUMBER('자료_한국심리'!$D3087),ISNUMBER('자료_한국심리'!$E3087)),'자료_한국심리'!$D3087,"")</f>
        <v/>
      </c>
      <c r="W3103">
        <f>IF(AND(ISNUMBER('자료_한국심리'!$G3087),ISNUMBER('자료_한국심리'!$H3087)),'자료_한국심리'!$G3087,"")</f>
        <v/>
      </c>
      <c r="X3103">
        <f>IF(AND(ISNUMBER('자료_한국심리'!$J3087),ISNUMBER('자료_한국심리'!$K3087)),'자료_한국심리'!$J3087,"")</f>
        <v/>
      </c>
      <c r="Y3103">
        <f>IF(AND(ISNUMBER('자료_한국심리'!$M3087),ISNUMBER('자료_한국심리'!$N3087)),'자료_한국심리'!$M3087,"")</f>
        <v/>
      </c>
    </row>
    <row r="3104">
      <c r="U3104">
        <f>IF(AND(ISNUMBER('자료_한국심리'!$A3088),ISNUMBER('자료_한국심리'!$B3088)),'자료_한국심리'!$A3088,"")</f>
        <v/>
      </c>
      <c r="V3104">
        <f>IF(AND(ISNUMBER('자료_한국심리'!$D3088),ISNUMBER('자료_한국심리'!$E3088)),'자료_한국심리'!$D3088,"")</f>
        <v/>
      </c>
      <c r="W3104">
        <f>IF(AND(ISNUMBER('자료_한국심리'!$G3088),ISNUMBER('자료_한국심리'!$H3088)),'자료_한국심리'!$G3088,"")</f>
        <v/>
      </c>
      <c r="X3104">
        <f>IF(AND(ISNUMBER('자료_한국심리'!$J3088),ISNUMBER('자료_한국심리'!$K3088)),'자료_한국심리'!$J3088,"")</f>
        <v/>
      </c>
      <c r="Y3104">
        <f>IF(AND(ISNUMBER('자료_한국심리'!$M3088),ISNUMBER('자료_한국심리'!$N3088)),'자료_한국심리'!$M3088,"")</f>
        <v/>
      </c>
    </row>
    <row r="3105">
      <c r="U3105">
        <f>IF(AND(ISNUMBER('자료_한국심리'!$A3089),ISNUMBER('자료_한국심리'!$B3089)),'자료_한국심리'!$A3089,"")</f>
        <v/>
      </c>
      <c r="V3105">
        <f>IF(AND(ISNUMBER('자료_한국심리'!$D3089),ISNUMBER('자료_한국심리'!$E3089)),'자료_한국심리'!$D3089,"")</f>
        <v/>
      </c>
      <c r="W3105">
        <f>IF(AND(ISNUMBER('자료_한국심리'!$G3089),ISNUMBER('자료_한국심리'!$H3089)),'자료_한국심리'!$G3089,"")</f>
        <v/>
      </c>
      <c r="X3105">
        <f>IF(AND(ISNUMBER('자료_한국심리'!$J3089),ISNUMBER('자료_한국심리'!$K3089)),'자료_한국심리'!$J3089,"")</f>
        <v/>
      </c>
      <c r="Y3105">
        <f>IF(AND(ISNUMBER('자료_한국심리'!$M3089),ISNUMBER('자료_한국심리'!$N3089)),'자료_한국심리'!$M3089,"")</f>
        <v/>
      </c>
    </row>
    <row r="3106">
      <c r="U3106">
        <f>IF(AND(ISNUMBER('자료_한국심리'!$A3090),ISNUMBER('자료_한국심리'!$B3090)),'자료_한국심리'!$A3090,"")</f>
        <v/>
      </c>
      <c r="V3106">
        <f>IF(AND(ISNUMBER('자료_한국심리'!$D3090),ISNUMBER('자료_한국심리'!$E3090)),'자료_한국심리'!$D3090,"")</f>
        <v/>
      </c>
      <c r="W3106">
        <f>IF(AND(ISNUMBER('자료_한국심리'!$G3090),ISNUMBER('자료_한국심리'!$H3090)),'자료_한국심리'!$G3090,"")</f>
        <v/>
      </c>
      <c r="X3106">
        <f>IF(AND(ISNUMBER('자료_한국심리'!$J3090),ISNUMBER('자료_한국심리'!$K3090)),'자료_한국심리'!$J3090,"")</f>
        <v/>
      </c>
      <c r="Y3106">
        <f>IF(AND(ISNUMBER('자료_한국심리'!$M3090),ISNUMBER('자료_한국심리'!$N3090)),'자료_한국심리'!$M3090,"")</f>
        <v/>
      </c>
    </row>
    <row r="3107">
      <c r="U3107">
        <f>IF(AND(ISNUMBER('자료_한국심리'!$A3091),ISNUMBER('자료_한국심리'!$B3091)),'자료_한국심리'!$A3091,"")</f>
        <v/>
      </c>
      <c r="V3107">
        <f>IF(AND(ISNUMBER('자료_한국심리'!$D3091),ISNUMBER('자료_한국심리'!$E3091)),'자료_한국심리'!$D3091,"")</f>
        <v/>
      </c>
      <c r="W3107">
        <f>IF(AND(ISNUMBER('자료_한국심리'!$G3091),ISNUMBER('자료_한국심리'!$H3091)),'자료_한국심리'!$G3091,"")</f>
        <v/>
      </c>
      <c r="X3107">
        <f>IF(AND(ISNUMBER('자료_한국심리'!$J3091),ISNUMBER('자료_한국심리'!$K3091)),'자료_한국심리'!$J3091,"")</f>
        <v/>
      </c>
      <c r="Y3107">
        <f>IF(AND(ISNUMBER('자료_한국심리'!$M3091),ISNUMBER('자료_한국심리'!$N3091)),'자료_한국심리'!$M3091,"")</f>
        <v/>
      </c>
    </row>
    <row r="3108">
      <c r="U3108">
        <f>IF(AND(ISNUMBER('자료_한국심리'!$A3092),ISNUMBER('자료_한국심리'!$B3092)),'자료_한국심리'!$A3092,"")</f>
        <v/>
      </c>
      <c r="V3108">
        <f>IF(AND(ISNUMBER('자료_한국심리'!$D3092),ISNUMBER('자료_한국심리'!$E3092)),'자료_한국심리'!$D3092,"")</f>
        <v/>
      </c>
      <c r="W3108">
        <f>IF(AND(ISNUMBER('자료_한국심리'!$G3092),ISNUMBER('자료_한국심리'!$H3092)),'자료_한국심리'!$G3092,"")</f>
        <v/>
      </c>
      <c r="X3108">
        <f>IF(AND(ISNUMBER('자료_한국심리'!$J3092),ISNUMBER('자료_한국심리'!$K3092)),'자료_한국심리'!$J3092,"")</f>
        <v/>
      </c>
      <c r="Y3108">
        <f>IF(AND(ISNUMBER('자료_한국심리'!$M3092),ISNUMBER('자료_한국심리'!$N3092)),'자료_한국심리'!$M3092,"")</f>
        <v/>
      </c>
    </row>
    <row r="3109">
      <c r="U3109">
        <f>IF(AND(ISNUMBER('자료_한국심리'!$A3093),ISNUMBER('자료_한국심리'!$B3093)),'자료_한국심리'!$A3093,"")</f>
        <v/>
      </c>
      <c r="V3109">
        <f>IF(AND(ISNUMBER('자료_한국심리'!$D3093),ISNUMBER('자료_한국심리'!$E3093)),'자료_한국심리'!$D3093,"")</f>
        <v/>
      </c>
      <c r="W3109">
        <f>IF(AND(ISNUMBER('자료_한국심리'!$G3093),ISNUMBER('자료_한국심리'!$H3093)),'자료_한국심리'!$G3093,"")</f>
        <v/>
      </c>
      <c r="X3109">
        <f>IF(AND(ISNUMBER('자료_한국심리'!$J3093),ISNUMBER('자료_한국심리'!$K3093)),'자료_한국심리'!$J3093,"")</f>
        <v/>
      </c>
      <c r="Y3109">
        <f>IF(AND(ISNUMBER('자료_한국심리'!$M3093),ISNUMBER('자료_한국심리'!$N3093)),'자료_한국심리'!$M3093,"")</f>
        <v/>
      </c>
    </row>
    <row r="3110">
      <c r="U3110">
        <f>IF(AND(ISNUMBER('자료_한국심리'!$A3094),ISNUMBER('자료_한국심리'!$B3094)),'자료_한국심리'!$A3094,"")</f>
        <v/>
      </c>
      <c r="V3110">
        <f>IF(AND(ISNUMBER('자료_한국심리'!$D3094),ISNUMBER('자료_한국심리'!$E3094)),'자료_한국심리'!$D3094,"")</f>
        <v/>
      </c>
      <c r="W3110">
        <f>IF(AND(ISNUMBER('자료_한국심리'!$G3094),ISNUMBER('자료_한국심리'!$H3094)),'자료_한국심리'!$G3094,"")</f>
        <v/>
      </c>
      <c r="X3110">
        <f>IF(AND(ISNUMBER('자료_한국심리'!$J3094),ISNUMBER('자료_한국심리'!$K3094)),'자료_한국심리'!$J3094,"")</f>
        <v/>
      </c>
      <c r="Y3110">
        <f>IF(AND(ISNUMBER('자료_한국심리'!$M3094),ISNUMBER('자료_한국심리'!$N3094)),'자료_한국심리'!$M3094,"")</f>
        <v/>
      </c>
    </row>
    <row r="3111">
      <c r="U3111">
        <f>IF(AND(ISNUMBER('자료_한국심리'!$A3095),ISNUMBER('자료_한국심리'!$B3095)),'자료_한국심리'!$A3095,"")</f>
        <v/>
      </c>
      <c r="V3111">
        <f>IF(AND(ISNUMBER('자료_한국심리'!$D3095),ISNUMBER('자료_한국심리'!$E3095)),'자료_한국심리'!$D3095,"")</f>
        <v/>
      </c>
      <c r="W3111">
        <f>IF(AND(ISNUMBER('자료_한국심리'!$G3095),ISNUMBER('자료_한국심리'!$H3095)),'자료_한국심리'!$G3095,"")</f>
        <v/>
      </c>
      <c r="X3111">
        <f>IF(AND(ISNUMBER('자료_한국심리'!$J3095),ISNUMBER('자료_한국심리'!$K3095)),'자료_한국심리'!$J3095,"")</f>
        <v/>
      </c>
      <c r="Y3111">
        <f>IF(AND(ISNUMBER('자료_한국심리'!$M3095),ISNUMBER('자료_한국심리'!$N3095)),'자료_한국심리'!$M3095,"")</f>
        <v/>
      </c>
    </row>
    <row r="3112">
      <c r="U3112">
        <f>IF(AND(ISNUMBER('자료_한국심리'!$A3096),ISNUMBER('자료_한국심리'!$B3096)),'자료_한국심리'!$A3096,"")</f>
        <v/>
      </c>
      <c r="V3112">
        <f>IF(AND(ISNUMBER('자료_한국심리'!$D3096),ISNUMBER('자료_한국심리'!$E3096)),'자료_한국심리'!$D3096,"")</f>
        <v/>
      </c>
      <c r="W3112">
        <f>IF(AND(ISNUMBER('자료_한국심리'!$G3096),ISNUMBER('자료_한국심리'!$H3096)),'자료_한국심리'!$G3096,"")</f>
        <v/>
      </c>
      <c r="X3112">
        <f>IF(AND(ISNUMBER('자료_한국심리'!$J3096),ISNUMBER('자료_한국심리'!$K3096)),'자료_한국심리'!$J3096,"")</f>
        <v/>
      </c>
      <c r="Y3112">
        <f>IF(AND(ISNUMBER('자료_한국심리'!$M3096),ISNUMBER('자료_한국심리'!$N3096)),'자료_한국심리'!$M3096,"")</f>
        <v/>
      </c>
    </row>
    <row r="3113">
      <c r="U3113">
        <f>IF(AND(ISNUMBER('자료_한국심리'!$A3097),ISNUMBER('자료_한국심리'!$B3097)),'자료_한국심리'!$A3097,"")</f>
        <v/>
      </c>
      <c r="V3113">
        <f>IF(AND(ISNUMBER('자료_한국심리'!$D3097),ISNUMBER('자료_한국심리'!$E3097)),'자료_한국심리'!$D3097,"")</f>
        <v/>
      </c>
      <c r="W3113">
        <f>IF(AND(ISNUMBER('자료_한국심리'!$G3097),ISNUMBER('자료_한국심리'!$H3097)),'자료_한국심리'!$G3097,"")</f>
        <v/>
      </c>
      <c r="X3113">
        <f>IF(AND(ISNUMBER('자료_한국심리'!$J3097),ISNUMBER('자료_한국심리'!$K3097)),'자료_한국심리'!$J3097,"")</f>
        <v/>
      </c>
      <c r="Y3113">
        <f>IF(AND(ISNUMBER('자료_한국심리'!$M3097),ISNUMBER('자료_한국심리'!$N3097)),'자료_한국심리'!$M3097,"")</f>
        <v/>
      </c>
    </row>
    <row r="3114">
      <c r="U3114">
        <f>IF(AND(ISNUMBER('자료_한국심리'!$A3098),ISNUMBER('자료_한국심리'!$B3098)),'자료_한국심리'!$A3098,"")</f>
        <v/>
      </c>
      <c r="V3114">
        <f>IF(AND(ISNUMBER('자료_한국심리'!$D3098),ISNUMBER('자료_한국심리'!$E3098)),'자료_한국심리'!$D3098,"")</f>
        <v/>
      </c>
      <c r="W3114">
        <f>IF(AND(ISNUMBER('자료_한국심리'!$G3098),ISNUMBER('자료_한국심리'!$H3098)),'자료_한국심리'!$G3098,"")</f>
        <v/>
      </c>
      <c r="X3114">
        <f>IF(AND(ISNUMBER('자료_한국심리'!$J3098),ISNUMBER('자료_한국심리'!$K3098)),'자료_한국심리'!$J3098,"")</f>
        <v/>
      </c>
      <c r="Y3114">
        <f>IF(AND(ISNUMBER('자료_한국심리'!$M3098),ISNUMBER('자료_한국심리'!$N3098)),'자료_한국심리'!$M3098,"")</f>
        <v/>
      </c>
    </row>
    <row r="3115">
      <c r="U3115">
        <f>IF(AND(ISNUMBER('자료_한국심리'!$A3099),ISNUMBER('자료_한국심리'!$B3099)),'자료_한국심리'!$A3099,"")</f>
        <v/>
      </c>
      <c r="V3115">
        <f>IF(AND(ISNUMBER('자료_한국심리'!$D3099),ISNUMBER('자료_한국심리'!$E3099)),'자료_한국심리'!$D3099,"")</f>
        <v/>
      </c>
      <c r="W3115">
        <f>IF(AND(ISNUMBER('자료_한국심리'!$G3099),ISNUMBER('자료_한국심리'!$H3099)),'자료_한국심리'!$G3099,"")</f>
        <v/>
      </c>
      <c r="X3115">
        <f>IF(AND(ISNUMBER('자료_한국심리'!$J3099),ISNUMBER('자료_한국심리'!$K3099)),'자료_한국심리'!$J3099,"")</f>
        <v/>
      </c>
      <c r="Y3115">
        <f>IF(AND(ISNUMBER('자료_한국심리'!$M3099),ISNUMBER('자료_한국심리'!$N3099)),'자료_한국심리'!$M3099,"")</f>
        <v/>
      </c>
    </row>
    <row r="3116">
      <c r="U3116">
        <f>IF(AND(ISNUMBER('자료_한국심리'!$A3100),ISNUMBER('자료_한국심리'!$B3100)),'자료_한국심리'!$A3100,"")</f>
        <v/>
      </c>
      <c r="V3116">
        <f>IF(AND(ISNUMBER('자료_한국심리'!$D3100),ISNUMBER('자료_한국심리'!$E3100)),'자료_한국심리'!$D3100,"")</f>
        <v/>
      </c>
      <c r="W3116">
        <f>IF(AND(ISNUMBER('자료_한국심리'!$G3100),ISNUMBER('자료_한국심리'!$H3100)),'자료_한국심리'!$G3100,"")</f>
        <v/>
      </c>
      <c r="X3116">
        <f>IF(AND(ISNUMBER('자료_한국심리'!$J3100),ISNUMBER('자료_한국심리'!$K3100)),'자료_한국심리'!$J3100,"")</f>
        <v/>
      </c>
      <c r="Y3116">
        <f>IF(AND(ISNUMBER('자료_한국심리'!$M3100),ISNUMBER('자료_한국심리'!$N3100)),'자료_한국심리'!$M3100,"")</f>
        <v/>
      </c>
    </row>
    <row r="3117">
      <c r="U3117">
        <f>IF(AND(ISNUMBER('자료_한국심리'!$A3101),ISNUMBER('자료_한국심리'!$B3101)),'자료_한국심리'!$A3101,"")</f>
        <v/>
      </c>
      <c r="V3117">
        <f>IF(AND(ISNUMBER('자료_한국심리'!$D3101),ISNUMBER('자료_한국심리'!$E3101)),'자료_한국심리'!$D3101,"")</f>
        <v/>
      </c>
      <c r="W3117">
        <f>IF(AND(ISNUMBER('자료_한국심리'!$G3101),ISNUMBER('자료_한국심리'!$H3101)),'자료_한국심리'!$G3101,"")</f>
        <v/>
      </c>
      <c r="X3117">
        <f>IF(AND(ISNUMBER('자료_한국심리'!$J3101),ISNUMBER('자료_한국심리'!$K3101)),'자료_한국심리'!$J3101,"")</f>
        <v/>
      </c>
      <c r="Y3117">
        <f>IF(AND(ISNUMBER('자료_한국심리'!$M3101),ISNUMBER('자료_한국심리'!$N3101)),'자료_한국심리'!$M3101,"")</f>
        <v/>
      </c>
    </row>
    <row r="3118">
      <c r="U3118">
        <f>IF(AND(ISNUMBER('자료_한국심리'!$A3102),ISNUMBER('자료_한국심리'!$B3102)),'자료_한국심리'!$A3102,"")</f>
        <v/>
      </c>
      <c r="V3118">
        <f>IF(AND(ISNUMBER('자료_한국심리'!$D3102),ISNUMBER('자료_한국심리'!$E3102)),'자료_한국심리'!$D3102,"")</f>
        <v/>
      </c>
      <c r="W3118">
        <f>IF(AND(ISNUMBER('자료_한국심리'!$G3102),ISNUMBER('자료_한국심리'!$H3102)),'자료_한국심리'!$G3102,"")</f>
        <v/>
      </c>
      <c r="X3118">
        <f>IF(AND(ISNUMBER('자료_한국심리'!$J3102),ISNUMBER('자료_한국심리'!$K3102)),'자료_한국심리'!$J3102,"")</f>
        <v/>
      </c>
      <c r="Y3118">
        <f>IF(AND(ISNUMBER('자료_한국심리'!$M3102),ISNUMBER('자료_한국심리'!$N3102)),'자료_한국심리'!$M3102,"")</f>
        <v/>
      </c>
    </row>
    <row r="3119">
      <c r="U3119">
        <f>IF(AND(ISNUMBER('자료_한국심리'!$A3103),ISNUMBER('자료_한국심리'!$B3103)),'자료_한국심리'!$A3103,"")</f>
        <v/>
      </c>
      <c r="V3119">
        <f>IF(AND(ISNUMBER('자료_한국심리'!$D3103),ISNUMBER('자료_한국심리'!$E3103)),'자료_한국심리'!$D3103,"")</f>
        <v/>
      </c>
      <c r="W3119">
        <f>IF(AND(ISNUMBER('자료_한국심리'!$G3103),ISNUMBER('자료_한국심리'!$H3103)),'자료_한국심리'!$G3103,"")</f>
        <v/>
      </c>
      <c r="X3119">
        <f>IF(AND(ISNUMBER('자료_한국심리'!$J3103),ISNUMBER('자료_한국심리'!$K3103)),'자료_한국심리'!$J3103,"")</f>
        <v/>
      </c>
      <c r="Y3119">
        <f>IF(AND(ISNUMBER('자료_한국심리'!$M3103),ISNUMBER('자료_한국심리'!$N3103)),'자료_한국심리'!$M3103,"")</f>
        <v/>
      </c>
    </row>
    <row r="3120">
      <c r="U3120">
        <f>IF(AND(ISNUMBER('자료_한국심리'!$A3104),ISNUMBER('자료_한국심리'!$B3104)),'자료_한국심리'!$A3104,"")</f>
        <v/>
      </c>
      <c r="V3120">
        <f>IF(AND(ISNUMBER('자료_한국심리'!$D3104),ISNUMBER('자료_한국심리'!$E3104)),'자료_한국심리'!$D3104,"")</f>
        <v/>
      </c>
      <c r="W3120">
        <f>IF(AND(ISNUMBER('자료_한국심리'!$G3104),ISNUMBER('자료_한국심리'!$H3104)),'자료_한국심리'!$G3104,"")</f>
        <v/>
      </c>
      <c r="X3120">
        <f>IF(AND(ISNUMBER('자료_한국심리'!$J3104),ISNUMBER('자료_한국심리'!$K3104)),'자료_한국심리'!$J3104,"")</f>
        <v/>
      </c>
      <c r="Y3120">
        <f>IF(AND(ISNUMBER('자료_한국심리'!$M3104),ISNUMBER('자료_한국심리'!$N3104)),'자료_한국심리'!$M3104,"")</f>
        <v/>
      </c>
    </row>
    <row r="3121">
      <c r="U3121">
        <f>IF(AND(ISNUMBER('자료_한국심리'!$A3105),ISNUMBER('자료_한국심리'!$B3105)),'자료_한국심리'!$A3105,"")</f>
        <v/>
      </c>
      <c r="V3121">
        <f>IF(AND(ISNUMBER('자료_한국심리'!$D3105),ISNUMBER('자료_한국심리'!$E3105)),'자료_한국심리'!$D3105,"")</f>
        <v/>
      </c>
      <c r="W3121">
        <f>IF(AND(ISNUMBER('자료_한국심리'!$G3105),ISNUMBER('자료_한국심리'!$H3105)),'자료_한국심리'!$G3105,"")</f>
        <v/>
      </c>
      <c r="X3121">
        <f>IF(AND(ISNUMBER('자료_한국심리'!$J3105),ISNUMBER('자료_한국심리'!$K3105)),'자료_한국심리'!$J3105,"")</f>
        <v/>
      </c>
      <c r="Y3121">
        <f>IF(AND(ISNUMBER('자료_한국심리'!$M3105),ISNUMBER('자료_한국심리'!$N3105)),'자료_한국심리'!$M3105,"")</f>
        <v/>
      </c>
    </row>
    <row r="3122">
      <c r="U3122">
        <f>IF(AND(ISNUMBER('자료_한국심리'!$A3106),ISNUMBER('자료_한국심리'!$B3106)),'자료_한국심리'!$A3106,"")</f>
        <v/>
      </c>
      <c r="V3122">
        <f>IF(AND(ISNUMBER('자료_한국심리'!$D3106),ISNUMBER('자료_한국심리'!$E3106)),'자료_한국심리'!$D3106,"")</f>
        <v/>
      </c>
      <c r="W3122">
        <f>IF(AND(ISNUMBER('자료_한국심리'!$G3106),ISNUMBER('자료_한국심리'!$H3106)),'자료_한국심리'!$G3106,"")</f>
        <v/>
      </c>
      <c r="X3122">
        <f>IF(AND(ISNUMBER('자료_한국심리'!$J3106),ISNUMBER('자료_한국심리'!$K3106)),'자료_한국심리'!$J3106,"")</f>
        <v/>
      </c>
      <c r="Y3122">
        <f>IF(AND(ISNUMBER('자료_한국심리'!$M3106),ISNUMBER('자료_한국심리'!$N3106)),'자료_한국심리'!$M3106,"")</f>
        <v/>
      </c>
    </row>
    <row r="3123">
      <c r="U3123">
        <f>IF(AND(ISNUMBER('자료_한국심리'!$A3107),ISNUMBER('자료_한국심리'!$B3107)),'자료_한국심리'!$A3107,"")</f>
        <v/>
      </c>
      <c r="V3123">
        <f>IF(AND(ISNUMBER('자료_한국심리'!$D3107),ISNUMBER('자료_한국심리'!$E3107)),'자료_한국심리'!$D3107,"")</f>
        <v/>
      </c>
      <c r="W3123">
        <f>IF(AND(ISNUMBER('자료_한국심리'!$G3107),ISNUMBER('자료_한국심리'!$H3107)),'자료_한국심리'!$G3107,"")</f>
        <v/>
      </c>
      <c r="X3123">
        <f>IF(AND(ISNUMBER('자료_한국심리'!$J3107),ISNUMBER('자료_한국심리'!$K3107)),'자료_한국심리'!$J3107,"")</f>
        <v/>
      </c>
      <c r="Y3123">
        <f>IF(AND(ISNUMBER('자료_한국심리'!$M3107),ISNUMBER('자료_한국심리'!$N3107)),'자료_한국심리'!$M3107,"")</f>
        <v/>
      </c>
    </row>
    <row r="3124">
      <c r="U3124">
        <f>IF(AND(ISNUMBER('자료_한국심리'!$A3108),ISNUMBER('자료_한국심리'!$B3108)),'자료_한국심리'!$A3108,"")</f>
        <v/>
      </c>
      <c r="V3124">
        <f>IF(AND(ISNUMBER('자료_한국심리'!$D3108),ISNUMBER('자료_한국심리'!$E3108)),'자료_한국심리'!$D3108,"")</f>
        <v/>
      </c>
      <c r="W3124">
        <f>IF(AND(ISNUMBER('자료_한국심리'!$G3108),ISNUMBER('자료_한국심리'!$H3108)),'자료_한국심리'!$G3108,"")</f>
        <v/>
      </c>
      <c r="X3124">
        <f>IF(AND(ISNUMBER('자료_한국심리'!$J3108),ISNUMBER('자료_한국심리'!$K3108)),'자료_한국심리'!$J3108,"")</f>
        <v/>
      </c>
      <c r="Y3124">
        <f>IF(AND(ISNUMBER('자료_한국심리'!$M3108),ISNUMBER('자료_한국심리'!$N3108)),'자료_한국심리'!$M3108,"")</f>
        <v/>
      </c>
    </row>
    <row r="3125">
      <c r="U3125">
        <f>IF(AND(ISNUMBER('자료_한국심리'!$A3109),ISNUMBER('자료_한국심리'!$B3109)),'자료_한국심리'!$A3109,"")</f>
        <v/>
      </c>
      <c r="V3125">
        <f>IF(AND(ISNUMBER('자료_한국심리'!$D3109),ISNUMBER('자료_한국심리'!$E3109)),'자료_한국심리'!$D3109,"")</f>
        <v/>
      </c>
      <c r="W3125">
        <f>IF(AND(ISNUMBER('자료_한국심리'!$G3109),ISNUMBER('자료_한국심리'!$H3109)),'자료_한국심리'!$G3109,"")</f>
        <v/>
      </c>
      <c r="X3125">
        <f>IF(AND(ISNUMBER('자료_한국심리'!$J3109),ISNUMBER('자료_한국심리'!$K3109)),'자료_한국심리'!$J3109,"")</f>
        <v/>
      </c>
      <c r="Y3125">
        <f>IF(AND(ISNUMBER('자료_한국심리'!$M3109),ISNUMBER('자료_한국심리'!$N3109)),'자료_한국심리'!$M3109,"")</f>
        <v/>
      </c>
    </row>
    <row r="3126">
      <c r="U3126">
        <f>IF(AND(ISNUMBER('자료_한국심리'!$A3110),ISNUMBER('자료_한국심리'!$B3110)),'자료_한국심리'!$A3110,"")</f>
        <v/>
      </c>
      <c r="V3126">
        <f>IF(AND(ISNUMBER('자료_한국심리'!$D3110),ISNUMBER('자료_한국심리'!$E3110)),'자료_한국심리'!$D3110,"")</f>
        <v/>
      </c>
      <c r="W3126">
        <f>IF(AND(ISNUMBER('자료_한국심리'!$G3110),ISNUMBER('자료_한국심리'!$H3110)),'자료_한국심리'!$G3110,"")</f>
        <v/>
      </c>
      <c r="X3126">
        <f>IF(AND(ISNUMBER('자료_한국심리'!$J3110),ISNUMBER('자료_한국심리'!$K3110)),'자료_한국심리'!$J3110,"")</f>
        <v/>
      </c>
      <c r="Y3126">
        <f>IF(AND(ISNUMBER('자료_한국심리'!$M3110),ISNUMBER('자료_한국심리'!$N3110)),'자료_한국심리'!$M3110,"")</f>
        <v/>
      </c>
    </row>
    <row r="3127">
      <c r="U3127">
        <f>IF(AND(ISNUMBER('자료_한국심리'!$A3111),ISNUMBER('자료_한국심리'!$B3111)),'자료_한국심리'!$A3111,"")</f>
        <v/>
      </c>
      <c r="V3127">
        <f>IF(AND(ISNUMBER('자료_한국심리'!$D3111),ISNUMBER('자료_한국심리'!$E3111)),'자료_한국심리'!$D3111,"")</f>
        <v/>
      </c>
      <c r="W3127">
        <f>IF(AND(ISNUMBER('자료_한국심리'!$G3111),ISNUMBER('자료_한국심리'!$H3111)),'자료_한국심리'!$G3111,"")</f>
        <v/>
      </c>
      <c r="X3127">
        <f>IF(AND(ISNUMBER('자료_한국심리'!$J3111),ISNUMBER('자료_한국심리'!$K3111)),'자료_한국심리'!$J3111,"")</f>
        <v/>
      </c>
      <c r="Y3127">
        <f>IF(AND(ISNUMBER('자료_한국심리'!$M3111),ISNUMBER('자료_한국심리'!$N3111)),'자료_한국심리'!$M3111,"")</f>
        <v/>
      </c>
    </row>
    <row r="3128">
      <c r="U3128">
        <f>IF(AND(ISNUMBER('자료_한국심리'!$A3112),ISNUMBER('자료_한국심리'!$B3112)),'자료_한국심리'!$A3112,"")</f>
        <v/>
      </c>
      <c r="V3128">
        <f>IF(AND(ISNUMBER('자료_한국심리'!$D3112),ISNUMBER('자료_한국심리'!$E3112)),'자료_한국심리'!$D3112,"")</f>
        <v/>
      </c>
      <c r="W3128">
        <f>IF(AND(ISNUMBER('자료_한국심리'!$G3112),ISNUMBER('자료_한국심리'!$H3112)),'자료_한국심리'!$G3112,"")</f>
        <v/>
      </c>
      <c r="X3128">
        <f>IF(AND(ISNUMBER('자료_한국심리'!$J3112),ISNUMBER('자료_한국심리'!$K3112)),'자료_한국심리'!$J3112,"")</f>
        <v/>
      </c>
      <c r="Y3128">
        <f>IF(AND(ISNUMBER('자료_한국심리'!$M3112),ISNUMBER('자료_한국심리'!$N3112)),'자료_한국심리'!$M3112,"")</f>
        <v/>
      </c>
    </row>
    <row r="3129">
      <c r="U3129">
        <f>IF(AND(ISNUMBER('자료_한국심리'!$A3113),ISNUMBER('자료_한국심리'!$B3113)),'자료_한국심리'!$A3113,"")</f>
        <v/>
      </c>
      <c r="V3129">
        <f>IF(AND(ISNUMBER('자료_한국심리'!$D3113),ISNUMBER('자료_한국심리'!$E3113)),'자료_한국심리'!$D3113,"")</f>
        <v/>
      </c>
      <c r="W3129">
        <f>IF(AND(ISNUMBER('자료_한국심리'!$G3113),ISNUMBER('자료_한국심리'!$H3113)),'자료_한국심리'!$G3113,"")</f>
        <v/>
      </c>
      <c r="X3129">
        <f>IF(AND(ISNUMBER('자료_한국심리'!$J3113),ISNUMBER('자료_한국심리'!$K3113)),'자료_한국심리'!$J3113,"")</f>
        <v/>
      </c>
      <c r="Y3129">
        <f>IF(AND(ISNUMBER('자료_한국심리'!$M3113),ISNUMBER('자료_한국심리'!$N3113)),'자료_한국심리'!$M3113,"")</f>
        <v/>
      </c>
    </row>
    <row r="3130">
      <c r="U3130">
        <f>IF(AND(ISNUMBER('자료_한국심리'!$A3114),ISNUMBER('자료_한국심리'!$B3114)),'자료_한국심리'!$A3114,"")</f>
        <v/>
      </c>
      <c r="V3130">
        <f>IF(AND(ISNUMBER('자료_한국심리'!$D3114),ISNUMBER('자료_한국심리'!$E3114)),'자료_한국심리'!$D3114,"")</f>
        <v/>
      </c>
      <c r="W3130">
        <f>IF(AND(ISNUMBER('자료_한국심리'!$G3114),ISNUMBER('자료_한국심리'!$H3114)),'자료_한국심리'!$G3114,"")</f>
        <v/>
      </c>
      <c r="X3130">
        <f>IF(AND(ISNUMBER('자료_한국심리'!$J3114),ISNUMBER('자료_한국심리'!$K3114)),'자료_한국심리'!$J3114,"")</f>
        <v/>
      </c>
      <c r="Y3130">
        <f>IF(AND(ISNUMBER('자료_한국심리'!$M3114),ISNUMBER('자료_한국심리'!$N3114)),'자료_한국심리'!$M3114,"")</f>
        <v/>
      </c>
    </row>
    <row r="3131">
      <c r="U3131">
        <f>IF(AND(ISNUMBER('자료_한국심리'!$A3115),ISNUMBER('자료_한국심리'!$B3115)),'자료_한국심리'!$A3115,"")</f>
        <v/>
      </c>
      <c r="V3131">
        <f>IF(AND(ISNUMBER('자료_한국심리'!$D3115),ISNUMBER('자료_한국심리'!$E3115)),'자료_한국심리'!$D3115,"")</f>
        <v/>
      </c>
      <c r="W3131">
        <f>IF(AND(ISNUMBER('자료_한국심리'!$G3115),ISNUMBER('자료_한국심리'!$H3115)),'자료_한국심리'!$G3115,"")</f>
        <v/>
      </c>
      <c r="X3131">
        <f>IF(AND(ISNUMBER('자료_한국심리'!$J3115),ISNUMBER('자료_한국심리'!$K3115)),'자료_한국심리'!$J3115,"")</f>
        <v/>
      </c>
      <c r="Y3131">
        <f>IF(AND(ISNUMBER('자료_한국심리'!$M3115),ISNUMBER('자료_한국심리'!$N3115)),'자료_한국심리'!$M3115,"")</f>
        <v/>
      </c>
    </row>
    <row r="3132">
      <c r="U3132">
        <f>IF(AND(ISNUMBER('자료_한국심리'!$A3116),ISNUMBER('자료_한국심리'!$B3116)),'자료_한국심리'!$A3116,"")</f>
        <v/>
      </c>
      <c r="V3132">
        <f>IF(AND(ISNUMBER('자료_한국심리'!$D3116),ISNUMBER('자료_한국심리'!$E3116)),'자료_한국심리'!$D3116,"")</f>
        <v/>
      </c>
      <c r="W3132">
        <f>IF(AND(ISNUMBER('자료_한국심리'!$G3116),ISNUMBER('자료_한국심리'!$H3116)),'자료_한국심리'!$G3116,"")</f>
        <v/>
      </c>
      <c r="X3132">
        <f>IF(AND(ISNUMBER('자료_한국심리'!$J3116),ISNUMBER('자료_한국심리'!$K3116)),'자료_한국심리'!$J3116,"")</f>
        <v/>
      </c>
      <c r="Y3132">
        <f>IF(AND(ISNUMBER('자료_한국심리'!$M3116),ISNUMBER('자료_한국심리'!$N3116)),'자료_한국심리'!$M3116,"")</f>
        <v/>
      </c>
    </row>
    <row r="3133">
      <c r="U3133">
        <f>IF(AND(ISNUMBER('자료_한국심리'!$A3117),ISNUMBER('자료_한국심리'!$B3117)),'자료_한국심리'!$A3117,"")</f>
        <v/>
      </c>
      <c r="V3133">
        <f>IF(AND(ISNUMBER('자료_한국심리'!$D3117),ISNUMBER('자료_한국심리'!$E3117)),'자료_한국심리'!$D3117,"")</f>
        <v/>
      </c>
      <c r="W3133">
        <f>IF(AND(ISNUMBER('자료_한국심리'!$G3117),ISNUMBER('자료_한국심리'!$H3117)),'자료_한국심리'!$G3117,"")</f>
        <v/>
      </c>
      <c r="X3133">
        <f>IF(AND(ISNUMBER('자료_한국심리'!$J3117),ISNUMBER('자료_한국심리'!$K3117)),'자료_한국심리'!$J3117,"")</f>
        <v/>
      </c>
      <c r="Y3133">
        <f>IF(AND(ISNUMBER('자료_한국심리'!$M3117),ISNUMBER('자료_한국심리'!$N3117)),'자료_한국심리'!$M3117,"")</f>
        <v/>
      </c>
    </row>
    <row r="3134">
      <c r="U3134">
        <f>IF(AND(ISNUMBER('자료_한국심리'!$A3118),ISNUMBER('자료_한국심리'!$B3118)),'자료_한국심리'!$A3118,"")</f>
        <v/>
      </c>
      <c r="V3134">
        <f>IF(AND(ISNUMBER('자료_한국심리'!$D3118),ISNUMBER('자료_한국심리'!$E3118)),'자료_한국심리'!$D3118,"")</f>
        <v/>
      </c>
      <c r="W3134">
        <f>IF(AND(ISNUMBER('자료_한국심리'!$G3118),ISNUMBER('자료_한국심리'!$H3118)),'자료_한국심리'!$G3118,"")</f>
        <v/>
      </c>
      <c r="X3134">
        <f>IF(AND(ISNUMBER('자료_한국심리'!$J3118),ISNUMBER('자료_한국심리'!$K3118)),'자료_한국심리'!$J3118,"")</f>
        <v/>
      </c>
      <c r="Y3134">
        <f>IF(AND(ISNUMBER('자료_한국심리'!$M3118),ISNUMBER('자료_한국심리'!$N3118)),'자료_한국심리'!$M3118,"")</f>
        <v/>
      </c>
    </row>
    <row r="3135">
      <c r="U3135">
        <f>IF(AND(ISNUMBER('자료_한국심리'!$A3119),ISNUMBER('자료_한국심리'!$B3119)),'자료_한국심리'!$A3119,"")</f>
        <v/>
      </c>
      <c r="V3135">
        <f>IF(AND(ISNUMBER('자료_한국심리'!$D3119),ISNUMBER('자료_한국심리'!$E3119)),'자료_한국심리'!$D3119,"")</f>
        <v/>
      </c>
      <c r="W3135">
        <f>IF(AND(ISNUMBER('자료_한국심리'!$G3119),ISNUMBER('자료_한국심리'!$H3119)),'자료_한국심리'!$G3119,"")</f>
        <v/>
      </c>
      <c r="X3135">
        <f>IF(AND(ISNUMBER('자료_한국심리'!$J3119),ISNUMBER('자료_한국심리'!$K3119)),'자료_한국심리'!$J3119,"")</f>
        <v/>
      </c>
      <c r="Y3135">
        <f>IF(AND(ISNUMBER('자료_한국심리'!$M3119),ISNUMBER('자료_한국심리'!$N3119)),'자료_한국심리'!$M3119,"")</f>
        <v/>
      </c>
    </row>
    <row r="3136">
      <c r="U3136">
        <f>IF(AND(ISNUMBER('자료_한국심리'!$A3120),ISNUMBER('자료_한국심리'!$B3120)),'자료_한국심리'!$A3120,"")</f>
        <v/>
      </c>
      <c r="V3136">
        <f>IF(AND(ISNUMBER('자료_한국심리'!$D3120),ISNUMBER('자료_한국심리'!$E3120)),'자료_한국심리'!$D3120,"")</f>
        <v/>
      </c>
      <c r="W3136">
        <f>IF(AND(ISNUMBER('자료_한국심리'!$G3120),ISNUMBER('자료_한국심리'!$H3120)),'자료_한국심리'!$G3120,"")</f>
        <v/>
      </c>
      <c r="X3136">
        <f>IF(AND(ISNUMBER('자료_한국심리'!$J3120),ISNUMBER('자료_한국심리'!$K3120)),'자료_한국심리'!$J3120,"")</f>
        <v/>
      </c>
      <c r="Y3136">
        <f>IF(AND(ISNUMBER('자료_한국심리'!$M3120),ISNUMBER('자료_한국심리'!$N3120)),'자료_한국심리'!$M3120,"")</f>
        <v/>
      </c>
    </row>
    <row r="3137">
      <c r="U3137">
        <f>IF(AND(ISNUMBER('자료_한국심리'!$A3121),ISNUMBER('자료_한국심리'!$B3121)),'자료_한국심리'!$A3121,"")</f>
        <v/>
      </c>
      <c r="V3137">
        <f>IF(AND(ISNUMBER('자료_한국심리'!$D3121),ISNUMBER('자료_한국심리'!$E3121)),'자료_한국심리'!$D3121,"")</f>
        <v/>
      </c>
      <c r="W3137">
        <f>IF(AND(ISNUMBER('자료_한국심리'!$G3121),ISNUMBER('자료_한국심리'!$H3121)),'자료_한국심리'!$G3121,"")</f>
        <v/>
      </c>
      <c r="X3137">
        <f>IF(AND(ISNUMBER('자료_한국심리'!$J3121),ISNUMBER('자료_한국심리'!$K3121)),'자료_한국심리'!$J3121,"")</f>
        <v/>
      </c>
      <c r="Y3137">
        <f>IF(AND(ISNUMBER('자료_한국심리'!$M3121),ISNUMBER('자료_한국심리'!$N3121)),'자료_한국심리'!$M3121,"")</f>
        <v/>
      </c>
    </row>
    <row r="3138">
      <c r="U3138">
        <f>IF(AND(ISNUMBER('자료_한국심리'!$A3122),ISNUMBER('자료_한국심리'!$B3122)),'자료_한국심리'!$A3122,"")</f>
        <v/>
      </c>
      <c r="V3138">
        <f>IF(AND(ISNUMBER('자료_한국심리'!$D3122),ISNUMBER('자료_한국심리'!$E3122)),'자료_한국심리'!$D3122,"")</f>
        <v/>
      </c>
      <c r="W3138">
        <f>IF(AND(ISNUMBER('자료_한국심리'!$G3122),ISNUMBER('자료_한국심리'!$H3122)),'자료_한국심리'!$G3122,"")</f>
        <v/>
      </c>
      <c r="X3138">
        <f>IF(AND(ISNUMBER('자료_한국심리'!$J3122),ISNUMBER('자료_한국심리'!$K3122)),'자료_한국심리'!$J3122,"")</f>
        <v/>
      </c>
      <c r="Y3138">
        <f>IF(AND(ISNUMBER('자료_한국심리'!$M3122),ISNUMBER('자료_한국심리'!$N3122)),'자료_한국심리'!$M3122,"")</f>
        <v/>
      </c>
    </row>
    <row r="3139">
      <c r="U3139">
        <f>IF(AND(ISNUMBER('자료_한국심리'!$A3123),ISNUMBER('자료_한국심리'!$B3123)),'자료_한국심리'!$A3123,"")</f>
        <v/>
      </c>
      <c r="V3139">
        <f>IF(AND(ISNUMBER('자료_한국심리'!$D3123),ISNUMBER('자료_한국심리'!$E3123)),'자료_한국심리'!$D3123,"")</f>
        <v/>
      </c>
      <c r="W3139">
        <f>IF(AND(ISNUMBER('자료_한국심리'!$G3123),ISNUMBER('자료_한국심리'!$H3123)),'자료_한국심리'!$G3123,"")</f>
        <v/>
      </c>
      <c r="X3139">
        <f>IF(AND(ISNUMBER('자료_한국심리'!$J3123),ISNUMBER('자료_한국심리'!$K3123)),'자료_한국심리'!$J3123,"")</f>
        <v/>
      </c>
      <c r="Y3139">
        <f>IF(AND(ISNUMBER('자료_한국심리'!$M3123),ISNUMBER('자료_한국심리'!$N3123)),'자료_한국심리'!$M3123,"")</f>
        <v/>
      </c>
    </row>
    <row r="3140">
      <c r="U3140">
        <f>IF(AND(ISNUMBER('자료_한국심리'!$A3124),ISNUMBER('자료_한국심리'!$B3124)),'자료_한국심리'!$A3124,"")</f>
        <v/>
      </c>
      <c r="V3140">
        <f>IF(AND(ISNUMBER('자료_한국심리'!$D3124),ISNUMBER('자료_한국심리'!$E3124)),'자료_한국심리'!$D3124,"")</f>
        <v/>
      </c>
      <c r="W3140">
        <f>IF(AND(ISNUMBER('자료_한국심리'!$G3124),ISNUMBER('자료_한국심리'!$H3124)),'자료_한국심리'!$G3124,"")</f>
        <v/>
      </c>
      <c r="X3140">
        <f>IF(AND(ISNUMBER('자료_한국심리'!$J3124),ISNUMBER('자료_한국심리'!$K3124)),'자료_한국심리'!$J3124,"")</f>
        <v/>
      </c>
      <c r="Y3140">
        <f>IF(AND(ISNUMBER('자료_한국심리'!$M3124),ISNUMBER('자료_한국심리'!$N3124)),'자료_한국심리'!$M3124,"")</f>
        <v/>
      </c>
    </row>
    <row r="3141">
      <c r="U3141">
        <f>IF(AND(ISNUMBER('자료_한국심리'!$A3125),ISNUMBER('자료_한국심리'!$B3125)),'자료_한국심리'!$A3125,"")</f>
        <v/>
      </c>
      <c r="V3141">
        <f>IF(AND(ISNUMBER('자료_한국심리'!$D3125),ISNUMBER('자료_한국심리'!$E3125)),'자료_한국심리'!$D3125,"")</f>
        <v/>
      </c>
      <c r="W3141">
        <f>IF(AND(ISNUMBER('자료_한국심리'!$G3125),ISNUMBER('자료_한국심리'!$H3125)),'자료_한국심리'!$G3125,"")</f>
        <v/>
      </c>
      <c r="X3141">
        <f>IF(AND(ISNUMBER('자료_한국심리'!$J3125),ISNUMBER('자료_한국심리'!$K3125)),'자료_한국심리'!$J3125,"")</f>
        <v/>
      </c>
      <c r="Y3141">
        <f>IF(AND(ISNUMBER('자료_한국심리'!$M3125),ISNUMBER('자료_한국심리'!$N3125)),'자료_한국심리'!$M3125,"")</f>
        <v/>
      </c>
    </row>
    <row r="3142">
      <c r="U3142">
        <f>IF(AND(ISNUMBER('자료_한국심리'!$A3126),ISNUMBER('자료_한국심리'!$B3126)),'자료_한국심리'!$A3126,"")</f>
        <v/>
      </c>
      <c r="V3142">
        <f>IF(AND(ISNUMBER('자료_한국심리'!$D3126),ISNUMBER('자료_한국심리'!$E3126)),'자료_한국심리'!$D3126,"")</f>
        <v/>
      </c>
      <c r="W3142">
        <f>IF(AND(ISNUMBER('자료_한국심리'!$G3126),ISNUMBER('자료_한국심리'!$H3126)),'자료_한국심리'!$G3126,"")</f>
        <v/>
      </c>
      <c r="X3142">
        <f>IF(AND(ISNUMBER('자료_한국심리'!$J3126),ISNUMBER('자료_한국심리'!$K3126)),'자료_한국심리'!$J3126,"")</f>
        <v/>
      </c>
      <c r="Y3142">
        <f>IF(AND(ISNUMBER('자료_한국심리'!$M3126),ISNUMBER('자료_한국심리'!$N3126)),'자료_한국심리'!$M3126,"")</f>
        <v/>
      </c>
    </row>
    <row r="3143">
      <c r="U3143">
        <f>IF(AND(ISNUMBER('자료_한국심리'!$A3127),ISNUMBER('자료_한국심리'!$B3127)),'자료_한국심리'!$A3127,"")</f>
        <v/>
      </c>
      <c r="V3143">
        <f>IF(AND(ISNUMBER('자료_한국심리'!$D3127),ISNUMBER('자료_한국심리'!$E3127)),'자료_한국심리'!$D3127,"")</f>
        <v/>
      </c>
      <c r="W3143">
        <f>IF(AND(ISNUMBER('자료_한국심리'!$G3127),ISNUMBER('자료_한국심리'!$H3127)),'자료_한국심리'!$G3127,"")</f>
        <v/>
      </c>
      <c r="X3143">
        <f>IF(AND(ISNUMBER('자료_한국심리'!$J3127),ISNUMBER('자료_한국심리'!$K3127)),'자료_한국심리'!$J3127,"")</f>
        <v/>
      </c>
      <c r="Y3143">
        <f>IF(AND(ISNUMBER('자료_한국심리'!$M3127),ISNUMBER('자료_한국심리'!$N3127)),'자료_한국심리'!$M3127,"")</f>
        <v/>
      </c>
    </row>
    <row r="3144">
      <c r="U3144">
        <f>IF(AND(ISNUMBER('자료_한국심리'!$A3128),ISNUMBER('자료_한국심리'!$B3128)),'자료_한국심리'!$A3128,"")</f>
        <v/>
      </c>
      <c r="V3144">
        <f>IF(AND(ISNUMBER('자료_한국심리'!$D3128),ISNUMBER('자료_한국심리'!$E3128)),'자료_한국심리'!$D3128,"")</f>
        <v/>
      </c>
      <c r="W3144">
        <f>IF(AND(ISNUMBER('자료_한국심리'!$G3128),ISNUMBER('자료_한국심리'!$H3128)),'자료_한국심리'!$G3128,"")</f>
        <v/>
      </c>
      <c r="X3144">
        <f>IF(AND(ISNUMBER('자료_한국심리'!$J3128),ISNUMBER('자료_한국심리'!$K3128)),'자료_한국심리'!$J3128,"")</f>
        <v/>
      </c>
      <c r="Y3144">
        <f>IF(AND(ISNUMBER('자료_한국심리'!$M3128),ISNUMBER('자료_한국심리'!$N3128)),'자료_한국심리'!$M3128,"")</f>
        <v/>
      </c>
    </row>
    <row r="3145">
      <c r="U3145">
        <f>IF(AND(ISNUMBER('자료_한국심리'!$A3129),ISNUMBER('자료_한국심리'!$B3129)),'자료_한국심리'!$A3129,"")</f>
        <v/>
      </c>
      <c r="V3145">
        <f>IF(AND(ISNUMBER('자료_한국심리'!$D3129),ISNUMBER('자료_한국심리'!$E3129)),'자료_한국심리'!$D3129,"")</f>
        <v/>
      </c>
      <c r="W3145">
        <f>IF(AND(ISNUMBER('자료_한국심리'!$G3129),ISNUMBER('자료_한국심리'!$H3129)),'자료_한국심리'!$G3129,"")</f>
        <v/>
      </c>
      <c r="X3145">
        <f>IF(AND(ISNUMBER('자료_한국심리'!$J3129),ISNUMBER('자료_한국심리'!$K3129)),'자료_한국심리'!$J3129,"")</f>
        <v/>
      </c>
      <c r="Y3145">
        <f>IF(AND(ISNUMBER('자료_한국심리'!$M3129),ISNUMBER('자료_한국심리'!$N3129)),'자료_한국심리'!$M3129,"")</f>
        <v/>
      </c>
    </row>
    <row r="3146">
      <c r="U3146">
        <f>IF(AND(ISNUMBER('자료_한국심리'!$A3130),ISNUMBER('자료_한국심리'!$B3130)),'자료_한국심리'!$A3130,"")</f>
        <v/>
      </c>
      <c r="V3146">
        <f>IF(AND(ISNUMBER('자료_한국심리'!$D3130),ISNUMBER('자료_한국심리'!$E3130)),'자료_한국심리'!$D3130,"")</f>
        <v/>
      </c>
      <c r="W3146">
        <f>IF(AND(ISNUMBER('자료_한국심리'!$G3130),ISNUMBER('자료_한국심리'!$H3130)),'자료_한국심리'!$G3130,"")</f>
        <v/>
      </c>
      <c r="X3146">
        <f>IF(AND(ISNUMBER('자료_한국심리'!$J3130),ISNUMBER('자료_한국심리'!$K3130)),'자료_한국심리'!$J3130,"")</f>
        <v/>
      </c>
      <c r="Y3146">
        <f>IF(AND(ISNUMBER('자료_한국심리'!$M3130),ISNUMBER('자료_한국심리'!$N3130)),'자료_한국심리'!$M3130,"")</f>
        <v/>
      </c>
    </row>
    <row r="3147">
      <c r="U3147">
        <f>IF(AND(ISNUMBER('자료_한국심리'!$A3131),ISNUMBER('자료_한국심리'!$B3131)),'자료_한국심리'!$A3131,"")</f>
        <v/>
      </c>
      <c r="V3147">
        <f>IF(AND(ISNUMBER('자료_한국심리'!$D3131),ISNUMBER('자료_한국심리'!$E3131)),'자료_한국심리'!$D3131,"")</f>
        <v/>
      </c>
      <c r="W3147">
        <f>IF(AND(ISNUMBER('자료_한국심리'!$G3131),ISNUMBER('자료_한국심리'!$H3131)),'자료_한국심리'!$G3131,"")</f>
        <v/>
      </c>
      <c r="X3147">
        <f>IF(AND(ISNUMBER('자료_한국심리'!$J3131),ISNUMBER('자료_한국심리'!$K3131)),'자료_한국심리'!$J3131,"")</f>
        <v/>
      </c>
      <c r="Y3147">
        <f>IF(AND(ISNUMBER('자료_한국심리'!$M3131),ISNUMBER('자료_한국심리'!$N3131)),'자료_한국심리'!$M3131,"")</f>
        <v/>
      </c>
    </row>
    <row r="3148">
      <c r="U3148">
        <f>IF(AND(ISNUMBER('자료_한국심리'!$A3132),ISNUMBER('자료_한국심리'!$B3132)),'자료_한국심리'!$A3132,"")</f>
        <v/>
      </c>
      <c r="V3148">
        <f>IF(AND(ISNUMBER('자료_한국심리'!$D3132),ISNUMBER('자료_한국심리'!$E3132)),'자료_한국심리'!$D3132,"")</f>
        <v/>
      </c>
      <c r="W3148">
        <f>IF(AND(ISNUMBER('자료_한국심리'!$G3132),ISNUMBER('자료_한국심리'!$H3132)),'자료_한국심리'!$G3132,"")</f>
        <v/>
      </c>
      <c r="X3148">
        <f>IF(AND(ISNUMBER('자료_한국심리'!$J3132),ISNUMBER('자료_한국심리'!$K3132)),'자료_한국심리'!$J3132,"")</f>
        <v/>
      </c>
      <c r="Y3148">
        <f>IF(AND(ISNUMBER('자료_한국심리'!$M3132),ISNUMBER('자료_한국심리'!$N3132)),'자료_한국심리'!$M3132,"")</f>
        <v/>
      </c>
    </row>
    <row r="3149">
      <c r="U3149">
        <f>IF(AND(ISNUMBER('자료_한국심리'!$A3133),ISNUMBER('자료_한국심리'!$B3133)),'자료_한국심리'!$A3133,"")</f>
        <v/>
      </c>
      <c r="V3149">
        <f>IF(AND(ISNUMBER('자료_한국심리'!$D3133),ISNUMBER('자료_한국심리'!$E3133)),'자료_한국심리'!$D3133,"")</f>
        <v/>
      </c>
      <c r="W3149">
        <f>IF(AND(ISNUMBER('자료_한국심리'!$G3133),ISNUMBER('자료_한국심리'!$H3133)),'자료_한국심리'!$G3133,"")</f>
        <v/>
      </c>
      <c r="X3149">
        <f>IF(AND(ISNUMBER('자료_한국심리'!$J3133),ISNUMBER('자료_한국심리'!$K3133)),'자료_한국심리'!$J3133,"")</f>
        <v/>
      </c>
      <c r="Y3149">
        <f>IF(AND(ISNUMBER('자료_한국심리'!$M3133),ISNUMBER('자료_한국심리'!$N3133)),'자료_한국심리'!$M3133,"")</f>
        <v/>
      </c>
    </row>
    <row r="3150">
      <c r="U3150">
        <f>IF(AND(ISNUMBER('자료_한국심리'!$A3134),ISNUMBER('자료_한국심리'!$B3134)),'자료_한국심리'!$A3134,"")</f>
        <v/>
      </c>
      <c r="V3150">
        <f>IF(AND(ISNUMBER('자료_한국심리'!$D3134),ISNUMBER('자료_한국심리'!$E3134)),'자료_한국심리'!$D3134,"")</f>
        <v/>
      </c>
      <c r="W3150">
        <f>IF(AND(ISNUMBER('자료_한국심리'!$G3134),ISNUMBER('자료_한국심리'!$H3134)),'자료_한국심리'!$G3134,"")</f>
        <v/>
      </c>
      <c r="X3150">
        <f>IF(AND(ISNUMBER('자료_한국심리'!$J3134),ISNUMBER('자료_한국심리'!$K3134)),'자료_한국심리'!$J3134,"")</f>
        <v/>
      </c>
      <c r="Y3150">
        <f>IF(AND(ISNUMBER('자료_한국심리'!$M3134),ISNUMBER('자료_한국심리'!$N3134)),'자료_한국심리'!$M3134,"")</f>
        <v/>
      </c>
    </row>
    <row r="3151">
      <c r="U3151">
        <f>IF(AND(ISNUMBER('자료_한국심리'!$A3135),ISNUMBER('자료_한국심리'!$B3135)),'자료_한국심리'!$A3135,"")</f>
        <v/>
      </c>
      <c r="V3151">
        <f>IF(AND(ISNUMBER('자료_한국심리'!$D3135),ISNUMBER('자료_한국심리'!$E3135)),'자료_한국심리'!$D3135,"")</f>
        <v/>
      </c>
      <c r="W3151">
        <f>IF(AND(ISNUMBER('자료_한국심리'!$G3135),ISNUMBER('자료_한국심리'!$H3135)),'자료_한국심리'!$G3135,"")</f>
        <v/>
      </c>
      <c r="X3151">
        <f>IF(AND(ISNUMBER('자료_한국심리'!$J3135),ISNUMBER('자료_한국심리'!$K3135)),'자료_한국심리'!$J3135,"")</f>
        <v/>
      </c>
      <c r="Y3151">
        <f>IF(AND(ISNUMBER('자료_한국심리'!$M3135),ISNUMBER('자료_한국심리'!$N3135)),'자료_한국심리'!$M3135,"")</f>
        <v/>
      </c>
    </row>
    <row r="3152">
      <c r="U3152">
        <f>IF(AND(ISNUMBER('자료_한국심리'!$A3136),ISNUMBER('자료_한국심리'!$B3136)),'자료_한국심리'!$A3136,"")</f>
        <v/>
      </c>
      <c r="V3152">
        <f>IF(AND(ISNUMBER('자료_한국심리'!$D3136),ISNUMBER('자료_한국심리'!$E3136)),'자료_한국심리'!$D3136,"")</f>
        <v/>
      </c>
      <c r="W3152">
        <f>IF(AND(ISNUMBER('자료_한국심리'!$G3136),ISNUMBER('자료_한국심리'!$H3136)),'자료_한국심리'!$G3136,"")</f>
        <v/>
      </c>
      <c r="X3152">
        <f>IF(AND(ISNUMBER('자료_한국심리'!$J3136),ISNUMBER('자료_한국심리'!$K3136)),'자료_한국심리'!$J3136,"")</f>
        <v/>
      </c>
      <c r="Y3152">
        <f>IF(AND(ISNUMBER('자료_한국심리'!$M3136),ISNUMBER('자료_한국심리'!$N3136)),'자료_한국심리'!$M3136,"")</f>
        <v/>
      </c>
    </row>
    <row r="3153">
      <c r="U3153">
        <f>IF(AND(ISNUMBER('자료_한국심리'!$A3137),ISNUMBER('자료_한국심리'!$B3137)),'자료_한국심리'!$A3137,"")</f>
        <v/>
      </c>
      <c r="V3153">
        <f>IF(AND(ISNUMBER('자료_한국심리'!$D3137),ISNUMBER('자료_한국심리'!$E3137)),'자료_한국심리'!$D3137,"")</f>
        <v/>
      </c>
      <c r="W3153">
        <f>IF(AND(ISNUMBER('자료_한국심리'!$G3137),ISNUMBER('자료_한국심리'!$H3137)),'자료_한국심리'!$G3137,"")</f>
        <v/>
      </c>
      <c r="X3153">
        <f>IF(AND(ISNUMBER('자료_한국심리'!$J3137),ISNUMBER('자료_한국심리'!$K3137)),'자료_한국심리'!$J3137,"")</f>
        <v/>
      </c>
      <c r="Y3153">
        <f>IF(AND(ISNUMBER('자료_한국심리'!$M3137),ISNUMBER('자료_한국심리'!$N3137)),'자료_한국심리'!$M3137,"")</f>
        <v/>
      </c>
    </row>
    <row r="3154">
      <c r="U3154">
        <f>IF(AND(ISNUMBER('자료_한국심리'!$A3138),ISNUMBER('자료_한국심리'!$B3138)),'자료_한국심리'!$A3138,"")</f>
        <v/>
      </c>
      <c r="V3154">
        <f>IF(AND(ISNUMBER('자료_한국심리'!$D3138),ISNUMBER('자료_한국심리'!$E3138)),'자료_한국심리'!$D3138,"")</f>
        <v/>
      </c>
      <c r="W3154">
        <f>IF(AND(ISNUMBER('자료_한국심리'!$G3138),ISNUMBER('자료_한국심리'!$H3138)),'자료_한국심리'!$G3138,"")</f>
        <v/>
      </c>
      <c r="X3154">
        <f>IF(AND(ISNUMBER('자료_한국심리'!$J3138),ISNUMBER('자료_한국심리'!$K3138)),'자료_한국심리'!$J3138,"")</f>
        <v/>
      </c>
      <c r="Y3154">
        <f>IF(AND(ISNUMBER('자료_한국심리'!$M3138),ISNUMBER('자료_한국심리'!$N3138)),'자료_한국심리'!$M3138,"")</f>
        <v/>
      </c>
    </row>
    <row r="3155">
      <c r="U3155">
        <f>IF(AND(ISNUMBER('자료_한국심리'!$A3139),ISNUMBER('자료_한국심리'!$B3139)),'자료_한국심리'!$A3139,"")</f>
        <v/>
      </c>
      <c r="V3155">
        <f>IF(AND(ISNUMBER('자료_한국심리'!$D3139),ISNUMBER('자료_한국심리'!$E3139)),'자료_한국심리'!$D3139,"")</f>
        <v/>
      </c>
      <c r="W3155">
        <f>IF(AND(ISNUMBER('자료_한국심리'!$G3139),ISNUMBER('자료_한국심리'!$H3139)),'자료_한국심리'!$G3139,"")</f>
        <v/>
      </c>
      <c r="X3155">
        <f>IF(AND(ISNUMBER('자료_한국심리'!$J3139),ISNUMBER('자료_한국심리'!$K3139)),'자료_한국심리'!$J3139,"")</f>
        <v/>
      </c>
      <c r="Y3155">
        <f>IF(AND(ISNUMBER('자료_한국심리'!$M3139),ISNUMBER('자료_한국심리'!$N3139)),'자료_한국심리'!$M3139,"")</f>
        <v/>
      </c>
    </row>
    <row r="3156">
      <c r="U3156">
        <f>IF(AND(ISNUMBER('자료_한국심리'!$A3140),ISNUMBER('자료_한국심리'!$B3140)),'자료_한국심리'!$A3140,"")</f>
        <v/>
      </c>
      <c r="V3156">
        <f>IF(AND(ISNUMBER('자료_한국심리'!$D3140),ISNUMBER('자료_한국심리'!$E3140)),'자료_한국심리'!$D3140,"")</f>
        <v/>
      </c>
      <c r="W3156">
        <f>IF(AND(ISNUMBER('자료_한국심리'!$G3140),ISNUMBER('자료_한국심리'!$H3140)),'자료_한국심리'!$G3140,"")</f>
        <v/>
      </c>
      <c r="X3156">
        <f>IF(AND(ISNUMBER('자료_한국심리'!$J3140),ISNUMBER('자료_한국심리'!$K3140)),'자료_한국심리'!$J3140,"")</f>
        <v/>
      </c>
      <c r="Y3156">
        <f>IF(AND(ISNUMBER('자료_한국심리'!$M3140),ISNUMBER('자료_한국심리'!$N3140)),'자료_한국심리'!$M3140,"")</f>
        <v/>
      </c>
    </row>
    <row r="3157">
      <c r="U3157">
        <f>IF(AND(ISNUMBER('자료_한국심리'!$A3141),ISNUMBER('자료_한국심리'!$B3141)),'자료_한국심리'!$A3141,"")</f>
        <v/>
      </c>
      <c r="V3157">
        <f>IF(AND(ISNUMBER('자료_한국심리'!$D3141),ISNUMBER('자료_한국심리'!$E3141)),'자료_한국심리'!$D3141,"")</f>
        <v/>
      </c>
      <c r="W3157">
        <f>IF(AND(ISNUMBER('자료_한국심리'!$G3141),ISNUMBER('자료_한국심리'!$H3141)),'자료_한국심리'!$G3141,"")</f>
        <v/>
      </c>
      <c r="X3157">
        <f>IF(AND(ISNUMBER('자료_한국심리'!$J3141),ISNUMBER('자료_한국심리'!$K3141)),'자료_한국심리'!$J3141,"")</f>
        <v/>
      </c>
      <c r="Y3157">
        <f>IF(AND(ISNUMBER('자료_한국심리'!$M3141),ISNUMBER('자료_한국심리'!$N3141)),'자료_한국심리'!$M3141,"")</f>
        <v/>
      </c>
    </row>
    <row r="3158">
      <c r="U3158">
        <f>IF(AND(ISNUMBER('자료_한국심리'!$A3142),ISNUMBER('자료_한국심리'!$B3142)),'자료_한국심리'!$A3142,"")</f>
        <v/>
      </c>
      <c r="V3158">
        <f>IF(AND(ISNUMBER('자료_한국심리'!$D3142),ISNUMBER('자료_한국심리'!$E3142)),'자료_한국심리'!$D3142,"")</f>
        <v/>
      </c>
      <c r="W3158">
        <f>IF(AND(ISNUMBER('자료_한국심리'!$G3142),ISNUMBER('자료_한국심리'!$H3142)),'자료_한국심리'!$G3142,"")</f>
        <v/>
      </c>
      <c r="X3158">
        <f>IF(AND(ISNUMBER('자료_한국심리'!$J3142),ISNUMBER('자료_한국심리'!$K3142)),'자료_한국심리'!$J3142,"")</f>
        <v/>
      </c>
      <c r="Y3158">
        <f>IF(AND(ISNUMBER('자료_한국심리'!$M3142),ISNUMBER('자료_한국심리'!$N3142)),'자료_한국심리'!$M3142,"")</f>
        <v/>
      </c>
    </row>
    <row r="3159">
      <c r="U3159">
        <f>IF(AND(ISNUMBER('자료_한국심리'!$A3143),ISNUMBER('자료_한국심리'!$B3143)),'자료_한국심리'!$A3143,"")</f>
        <v/>
      </c>
      <c r="V3159">
        <f>IF(AND(ISNUMBER('자료_한국심리'!$D3143),ISNUMBER('자료_한국심리'!$E3143)),'자료_한국심리'!$D3143,"")</f>
        <v/>
      </c>
      <c r="W3159">
        <f>IF(AND(ISNUMBER('자료_한국심리'!$G3143),ISNUMBER('자료_한국심리'!$H3143)),'자료_한국심리'!$G3143,"")</f>
        <v/>
      </c>
      <c r="X3159">
        <f>IF(AND(ISNUMBER('자료_한국심리'!$J3143),ISNUMBER('자료_한국심리'!$K3143)),'자료_한국심리'!$J3143,"")</f>
        <v/>
      </c>
      <c r="Y3159">
        <f>IF(AND(ISNUMBER('자료_한국심리'!$M3143),ISNUMBER('자료_한국심리'!$N3143)),'자료_한국심리'!$M3143,"")</f>
        <v/>
      </c>
    </row>
    <row r="3160">
      <c r="U3160">
        <f>IF(AND(ISNUMBER('자료_한국심리'!$A3144),ISNUMBER('자료_한국심리'!$B3144)),'자료_한국심리'!$A3144,"")</f>
        <v/>
      </c>
      <c r="V3160">
        <f>IF(AND(ISNUMBER('자료_한국심리'!$D3144),ISNUMBER('자료_한국심리'!$E3144)),'자료_한국심리'!$D3144,"")</f>
        <v/>
      </c>
      <c r="W3160">
        <f>IF(AND(ISNUMBER('자료_한국심리'!$G3144),ISNUMBER('자료_한국심리'!$H3144)),'자료_한국심리'!$G3144,"")</f>
        <v/>
      </c>
      <c r="X3160">
        <f>IF(AND(ISNUMBER('자료_한국심리'!$J3144),ISNUMBER('자료_한국심리'!$K3144)),'자료_한국심리'!$J3144,"")</f>
        <v/>
      </c>
      <c r="Y3160">
        <f>IF(AND(ISNUMBER('자료_한국심리'!$M3144),ISNUMBER('자료_한국심리'!$N3144)),'자료_한국심리'!$M3144,"")</f>
        <v/>
      </c>
    </row>
    <row r="3161">
      <c r="U3161">
        <f>IF(AND(ISNUMBER('자료_한국심리'!$A3145),ISNUMBER('자료_한국심리'!$B3145)),'자료_한국심리'!$A3145,"")</f>
        <v/>
      </c>
      <c r="V3161">
        <f>IF(AND(ISNUMBER('자료_한국심리'!$D3145),ISNUMBER('자료_한국심리'!$E3145)),'자료_한국심리'!$D3145,"")</f>
        <v/>
      </c>
      <c r="W3161">
        <f>IF(AND(ISNUMBER('자료_한국심리'!$G3145),ISNUMBER('자료_한국심리'!$H3145)),'자료_한국심리'!$G3145,"")</f>
        <v/>
      </c>
      <c r="X3161">
        <f>IF(AND(ISNUMBER('자료_한국심리'!$J3145),ISNUMBER('자료_한국심리'!$K3145)),'자료_한국심리'!$J3145,"")</f>
        <v/>
      </c>
      <c r="Y3161">
        <f>IF(AND(ISNUMBER('자료_한국심리'!$M3145),ISNUMBER('자료_한국심리'!$N3145)),'자료_한국심리'!$M3145,"")</f>
        <v/>
      </c>
    </row>
    <row r="3162">
      <c r="U3162">
        <f>IF(AND(ISNUMBER('자료_한국심리'!$A3146),ISNUMBER('자료_한국심리'!$B3146)),'자료_한국심리'!$A3146,"")</f>
        <v/>
      </c>
      <c r="V3162">
        <f>IF(AND(ISNUMBER('자료_한국심리'!$D3146),ISNUMBER('자료_한국심리'!$E3146)),'자료_한국심리'!$D3146,"")</f>
        <v/>
      </c>
      <c r="W3162">
        <f>IF(AND(ISNUMBER('자료_한국심리'!$G3146),ISNUMBER('자료_한국심리'!$H3146)),'자료_한국심리'!$G3146,"")</f>
        <v/>
      </c>
      <c r="X3162">
        <f>IF(AND(ISNUMBER('자료_한국심리'!$J3146),ISNUMBER('자료_한국심리'!$K3146)),'자료_한국심리'!$J3146,"")</f>
        <v/>
      </c>
      <c r="Y3162">
        <f>IF(AND(ISNUMBER('자료_한국심리'!$M3146),ISNUMBER('자료_한국심리'!$N3146)),'자료_한국심리'!$M3146,"")</f>
        <v/>
      </c>
    </row>
    <row r="3163">
      <c r="U3163">
        <f>IF(AND(ISNUMBER('자료_한국심리'!$A3147),ISNUMBER('자료_한국심리'!$B3147)),'자료_한국심리'!$A3147,"")</f>
        <v/>
      </c>
      <c r="V3163">
        <f>IF(AND(ISNUMBER('자료_한국심리'!$D3147),ISNUMBER('자료_한국심리'!$E3147)),'자료_한국심리'!$D3147,"")</f>
        <v/>
      </c>
      <c r="W3163">
        <f>IF(AND(ISNUMBER('자료_한국심리'!$G3147),ISNUMBER('자료_한국심리'!$H3147)),'자료_한국심리'!$G3147,"")</f>
        <v/>
      </c>
      <c r="X3163">
        <f>IF(AND(ISNUMBER('자료_한국심리'!$J3147),ISNUMBER('자료_한국심리'!$K3147)),'자료_한국심리'!$J3147,"")</f>
        <v/>
      </c>
      <c r="Y3163">
        <f>IF(AND(ISNUMBER('자료_한국심리'!$M3147),ISNUMBER('자료_한국심리'!$N3147)),'자료_한국심리'!$M3147,"")</f>
        <v/>
      </c>
    </row>
    <row r="3164">
      <c r="U3164">
        <f>IF(AND(ISNUMBER('자료_한국심리'!$A3148),ISNUMBER('자료_한국심리'!$B3148)),'자료_한국심리'!$A3148,"")</f>
        <v/>
      </c>
      <c r="V3164">
        <f>IF(AND(ISNUMBER('자료_한국심리'!$D3148),ISNUMBER('자료_한국심리'!$E3148)),'자료_한국심리'!$D3148,"")</f>
        <v/>
      </c>
      <c r="W3164">
        <f>IF(AND(ISNUMBER('자료_한국심리'!$G3148),ISNUMBER('자료_한국심리'!$H3148)),'자료_한국심리'!$G3148,"")</f>
        <v/>
      </c>
      <c r="X3164">
        <f>IF(AND(ISNUMBER('자료_한국심리'!$J3148),ISNUMBER('자료_한국심리'!$K3148)),'자료_한국심리'!$J3148,"")</f>
        <v/>
      </c>
      <c r="Y3164">
        <f>IF(AND(ISNUMBER('자료_한국심리'!$M3148),ISNUMBER('자료_한국심리'!$N3148)),'자료_한국심리'!$M3148,"")</f>
        <v/>
      </c>
    </row>
    <row r="3165">
      <c r="U3165">
        <f>IF(AND(ISNUMBER('자료_한국심리'!$A3149),ISNUMBER('자료_한국심리'!$B3149)),'자료_한국심리'!$A3149,"")</f>
        <v/>
      </c>
      <c r="V3165">
        <f>IF(AND(ISNUMBER('자료_한국심리'!$D3149),ISNUMBER('자료_한국심리'!$E3149)),'자료_한국심리'!$D3149,"")</f>
        <v/>
      </c>
      <c r="W3165">
        <f>IF(AND(ISNUMBER('자료_한국심리'!$G3149),ISNUMBER('자료_한국심리'!$H3149)),'자료_한국심리'!$G3149,"")</f>
        <v/>
      </c>
      <c r="X3165">
        <f>IF(AND(ISNUMBER('자료_한국심리'!$J3149),ISNUMBER('자료_한국심리'!$K3149)),'자료_한국심리'!$J3149,"")</f>
        <v/>
      </c>
      <c r="Y3165">
        <f>IF(AND(ISNUMBER('자료_한국심리'!$M3149),ISNUMBER('자료_한국심리'!$N3149)),'자료_한국심리'!$M3149,"")</f>
        <v/>
      </c>
    </row>
    <row r="3166">
      <c r="U3166">
        <f>IF(AND(ISNUMBER('자료_한국심리'!$A3150),ISNUMBER('자료_한국심리'!$B3150)),'자료_한국심리'!$A3150,"")</f>
        <v/>
      </c>
      <c r="V3166">
        <f>IF(AND(ISNUMBER('자료_한국심리'!$D3150),ISNUMBER('자료_한국심리'!$E3150)),'자료_한국심리'!$D3150,"")</f>
        <v/>
      </c>
      <c r="W3166">
        <f>IF(AND(ISNUMBER('자료_한국심리'!$G3150),ISNUMBER('자료_한국심리'!$H3150)),'자료_한국심리'!$G3150,"")</f>
        <v/>
      </c>
      <c r="X3166">
        <f>IF(AND(ISNUMBER('자료_한국심리'!$J3150),ISNUMBER('자료_한국심리'!$K3150)),'자료_한국심리'!$J3150,"")</f>
        <v/>
      </c>
      <c r="Y3166">
        <f>IF(AND(ISNUMBER('자료_한국심리'!$M3150),ISNUMBER('자료_한국심리'!$N3150)),'자료_한국심리'!$M3150,"")</f>
        <v/>
      </c>
    </row>
    <row r="3167">
      <c r="U3167">
        <f>IF(AND(ISNUMBER('자료_한국심리'!$A3151),ISNUMBER('자료_한국심리'!$B3151)),'자료_한국심리'!$A3151,"")</f>
        <v/>
      </c>
      <c r="V3167">
        <f>IF(AND(ISNUMBER('자료_한국심리'!$D3151),ISNUMBER('자료_한국심리'!$E3151)),'자료_한국심리'!$D3151,"")</f>
        <v/>
      </c>
      <c r="W3167">
        <f>IF(AND(ISNUMBER('자료_한국심리'!$G3151),ISNUMBER('자료_한국심리'!$H3151)),'자료_한국심리'!$G3151,"")</f>
        <v/>
      </c>
      <c r="X3167">
        <f>IF(AND(ISNUMBER('자료_한국심리'!$J3151),ISNUMBER('자료_한국심리'!$K3151)),'자료_한국심리'!$J3151,"")</f>
        <v/>
      </c>
      <c r="Y3167">
        <f>IF(AND(ISNUMBER('자료_한국심리'!$M3151),ISNUMBER('자료_한국심리'!$N3151)),'자료_한국심리'!$M3151,"")</f>
        <v/>
      </c>
    </row>
    <row r="3168">
      <c r="U3168">
        <f>IF(AND(ISNUMBER('자료_한국심리'!$A3152),ISNUMBER('자료_한국심리'!$B3152)),'자료_한국심리'!$A3152,"")</f>
        <v/>
      </c>
      <c r="V3168">
        <f>IF(AND(ISNUMBER('자료_한국심리'!$D3152),ISNUMBER('자료_한국심리'!$E3152)),'자료_한국심리'!$D3152,"")</f>
        <v/>
      </c>
      <c r="W3168">
        <f>IF(AND(ISNUMBER('자료_한국심리'!$G3152),ISNUMBER('자료_한국심리'!$H3152)),'자료_한국심리'!$G3152,"")</f>
        <v/>
      </c>
      <c r="X3168">
        <f>IF(AND(ISNUMBER('자료_한국심리'!$J3152),ISNUMBER('자료_한국심리'!$K3152)),'자료_한국심리'!$J3152,"")</f>
        <v/>
      </c>
      <c r="Y3168">
        <f>IF(AND(ISNUMBER('자료_한국심리'!$M3152),ISNUMBER('자료_한국심리'!$N3152)),'자료_한국심리'!$M3152,"")</f>
        <v/>
      </c>
    </row>
    <row r="3169">
      <c r="U3169">
        <f>IF(AND(ISNUMBER('자료_한국심리'!$A3153),ISNUMBER('자료_한국심리'!$B3153)),'자료_한국심리'!$A3153,"")</f>
        <v/>
      </c>
      <c r="V3169">
        <f>IF(AND(ISNUMBER('자료_한국심리'!$D3153),ISNUMBER('자료_한국심리'!$E3153)),'자료_한국심리'!$D3153,"")</f>
        <v/>
      </c>
      <c r="W3169">
        <f>IF(AND(ISNUMBER('자료_한국심리'!$G3153),ISNUMBER('자료_한국심리'!$H3153)),'자료_한국심리'!$G3153,"")</f>
        <v/>
      </c>
      <c r="X3169">
        <f>IF(AND(ISNUMBER('자료_한국심리'!$J3153),ISNUMBER('자료_한국심리'!$K3153)),'자료_한국심리'!$J3153,"")</f>
        <v/>
      </c>
      <c r="Y3169">
        <f>IF(AND(ISNUMBER('자료_한국심리'!$M3153),ISNUMBER('자료_한국심리'!$N3153)),'자료_한국심리'!$M3153,"")</f>
        <v/>
      </c>
    </row>
    <row r="3170">
      <c r="U3170">
        <f>IF(AND(ISNUMBER('자료_한국심리'!$A3154),ISNUMBER('자료_한국심리'!$B3154)),'자료_한국심리'!$A3154,"")</f>
        <v/>
      </c>
      <c r="V3170">
        <f>IF(AND(ISNUMBER('자료_한국심리'!$D3154),ISNUMBER('자료_한국심리'!$E3154)),'자료_한국심리'!$D3154,"")</f>
        <v/>
      </c>
      <c r="W3170">
        <f>IF(AND(ISNUMBER('자료_한국심리'!$G3154),ISNUMBER('자료_한국심리'!$H3154)),'자료_한국심리'!$G3154,"")</f>
        <v/>
      </c>
      <c r="X3170">
        <f>IF(AND(ISNUMBER('자료_한국심리'!$J3154),ISNUMBER('자료_한국심리'!$K3154)),'자료_한국심리'!$J3154,"")</f>
        <v/>
      </c>
      <c r="Y3170">
        <f>IF(AND(ISNUMBER('자료_한국심리'!$M3154),ISNUMBER('자료_한국심리'!$N3154)),'자료_한국심리'!$M3154,"")</f>
        <v/>
      </c>
    </row>
    <row r="3171">
      <c r="U3171">
        <f>IF(AND(ISNUMBER('자료_한국심리'!$A3155),ISNUMBER('자료_한국심리'!$B3155)),'자료_한국심리'!$A3155,"")</f>
        <v/>
      </c>
      <c r="V3171">
        <f>IF(AND(ISNUMBER('자료_한국심리'!$D3155),ISNUMBER('자료_한국심리'!$E3155)),'자료_한국심리'!$D3155,"")</f>
        <v/>
      </c>
      <c r="W3171">
        <f>IF(AND(ISNUMBER('자료_한국심리'!$G3155),ISNUMBER('자료_한국심리'!$H3155)),'자료_한국심리'!$G3155,"")</f>
        <v/>
      </c>
      <c r="X3171">
        <f>IF(AND(ISNUMBER('자료_한국심리'!$J3155),ISNUMBER('자료_한국심리'!$K3155)),'자료_한국심리'!$J3155,"")</f>
        <v/>
      </c>
      <c r="Y3171">
        <f>IF(AND(ISNUMBER('자료_한국심리'!$M3155),ISNUMBER('자료_한국심리'!$N3155)),'자료_한국심리'!$M3155,"")</f>
        <v/>
      </c>
    </row>
    <row r="3172">
      <c r="U3172">
        <f>IF(AND(ISNUMBER('자료_한국심리'!$A3156),ISNUMBER('자료_한국심리'!$B3156)),'자료_한국심리'!$A3156,"")</f>
        <v/>
      </c>
      <c r="V3172">
        <f>IF(AND(ISNUMBER('자료_한국심리'!$D3156),ISNUMBER('자료_한국심리'!$E3156)),'자료_한국심리'!$D3156,"")</f>
        <v/>
      </c>
      <c r="W3172">
        <f>IF(AND(ISNUMBER('자료_한국심리'!$G3156),ISNUMBER('자료_한국심리'!$H3156)),'자료_한국심리'!$G3156,"")</f>
        <v/>
      </c>
      <c r="X3172">
        <f>IF(AND(ISNUMBER('자료_한국심리'!$J3156),ISNUMBER('자료_한국심리'!$K3156)),'자료_한국심리'!$J3156,"")</f>
        <v/>
      </c>
      <c r="Y3172">
        <f>IF(AND(ISNUMBER('자료_한국심리'!$M3156),ISNUMBER('자료_한국심리'!$N3156)),'자료_한국심리'!$M3156,"")</f>
        <v/>
      </c>
    </row>
    <row r="3173">
      <c r="U3173">
        <f>IF(AND(ISNUMBER('자료_한국심리'!$A3157),ISNUMBER('자료_한국심리'!$B3157)),'자료_한국심리'!$A3157,"")</f>
        <v/>
      </c>
      <c r="V3173">
        <f>IF(AND(ISNUMBER('자료_한국심리'!$D3157),ISNUMBER('자료_한국심리'!$E3157)),'자료_한국심리'!$D3157,"")</f>
        <v/>
      </c>
      <c r="W3173">
        <f>IF(AND(ISNUMBER('자료_한국심리'!$G3157),ISNUMBER('자료_한국심리'!$H3157)),'자료_한국심리'!$G3157,"")</f>
        <v/>
      </c>
      <c r="X3173">
        <f>IF(AND(ISNUMBER('자료_한국심리'!$J3157),ISNUMBER('자료_한국심리'!$K3157)),'자료_한국심리'!$J3157,"")</f>
        <v/>
      </c>
      <c r="Y3173">
        <f>IF(AND(ISNUMBER('자료_한국심리'!$M3157),ISNUMBER('자료_한국심리'!$N3157)),'자료_한국심리'!$M3157,"")</f>
        <v/>
      </c>
    </row>
    <row r="3174">
      <c r="U3174">
        <f>IF(AND(ISNUMBER('자료_한국심리'!$A3158),ISNUMBER('자료_한국심리'!$B3158)),'자료_한국심리'!$A3158,"")</f>
        <v/>
      </c>
      <c r="V3174">
        <f>IF(AND(ISNUMBER('자료_한국심리'!$D3158),ISNUMBER('자료_한국심리'!$E3158)),'자료_한국심리'!$D3158,"")</f>
        <v/>
      </c>
      <c r="W3174">
        <f>IF(AND(ISNUMBER('자료_한국심리'!$G3158),ISNUMBER('자료_한국심리'!$H3158)),'자료_한국심리'!$G3158,"")</f>
        <v/>
      </c>
      <c r="X3174">
        <f>IF(AND(ISNUMBER('자료_한국심리'!$J3158),ISNUMBER('자료_한국심리'!$K3158)),'자료_한국심리'!$J3158,"")</f>
        <v/>
      </c>
      <c r="Y3174">
        <f>IF(AND(ISNUMBER('자료_한국심리'!$M3158),ISNUMBER('자료_한국심리'!$N3158)),'자료_한국심리'!$M3158,"")</f>
        <v/>
      </c>
    </row>
    <row r="3175">
      <c r="U3175">
        <f>IF(AND(ISNUMBER('자료_한국심리'!$A3159),ISNUMBER('자료_한국심리'!$B3159)),'자료_한국심리'!$A3159,"")</f>
        <v/>
      </c>
      <c r="V3175">
        <f>IF(AND(ISNUMBER('자료_한국심리'!$D3159),ISNUMBER('자료_한국심리'!$E3159)),'자료_한국심리'!$D3159,"")</f>
        <v/>
      </c>
      <c r="W3175">
        <f>IF(AND(ISNUMBER('자료_한국심리'!$G3159),ISNUMBER('자료_한국심리'!$H3159)),'자료_한국심리'!$G3159,"")</f>
        <v/>
      </c>
      <c r="X3175">
        <f>IF(AND(ISNUMBER('자료_한국심리'!$J3159),ISNUMBER('자료_한국심리'!$K3159)),'자료_한국심리'!$J3159,"")</f>
        <v/>
      </c>
      <c r="Y3175">
        <f>IF(AND(ISNUMBER('자료_한국심리'!$M3159),ISNUMBER('자료_한국심리'!$N3159)),'자료_한국심리'!$M3159,"")</f>
        <v/>
      </c>
    </row>
    <row r="3176">
      <c r="U3176">
        <f>IF(AND(ISNUMBER('자료_한국심리'!$A3160),ISNUMBER('자료_한국심리'!$B3160)),'자료_한국심리'!$A3160,"")</f>
        <v/>
      </c>
      <c r="V3176">
        <f>IF(AND(ISNUMBER('자료_한국심리'!$D3160),ISNUMBER('자료_한국심리'!$E3160)),'자료_한국심리'!$D3160,"")</f>
        <v/>
      </c>
      <c r="W3176">
        <f>IF(AND(ISNUMBER('자료_한국심리'!$G3160),ISNUMBER('자료_한국심리'!$H3160)),'자료_한국심리'!$G3160,"")</f>
        <v/>
      </c>
      <c r="X3176">
        <f>IF(AND(ISNUMBER('자료_한국심리'!$J3160),ISNUMBER('자료_한국심리'!$K3160)),'자료_한국심리'!$J3160,"")</f>
        <v/>
      </c>
      <c r="Y3176">
        <f>IF(AND(ISNUMBER('자료_한국심리'!$M3160),ISNUMBER('자료_한국심리'!$N3160)),'자료_한국심리'!$M3160,"")</f>
        <v/>
      </c>
    </row>
    <row r="3177">
      <c r="U3177">
        <f>IF(AND(ISNUMBER('자료_한국심리'!$A3161),ISNUMBER('자료_한국심리'!$B3161)),'자료_한국심리'!$A3161,"")</f>
        <v/>
      </c>
      <c r="V3177">
        <f>IF(AND(ISNUMBER('자료_한국심리'!$D3161),ISNUMBER('자료_한국심리'!$E3161)),'자료_한국심리'!$D3161,"")</f>
        <v/>
      </c>
      <c r="W3177">
        <f>IF(AND(ISNUMBER('자료_한국심리'!$G3161),ISNUMBER('자료_한국심리'!$H3161)),'자료_한국심리'!$G3161,"")</f>
        <v/>
      </c>
      <c r="X3177">
        <f>IF(AND(ISNUMBER('자료_한국심리'!$J3161),ISNUMBER('자료_한국심리'!$K3161)),'자료_한국심리'!$J3161,"")</f>
        <v/>
      </c>
      <c r="Y3177">
        <f>IF(AND(ISNUMBER('자료_한국심리'!$M3161),ISNUMBER('자료_한국심리'!$N3161)),'자료_한국심리'!$M3161,"")</f>
        <v/>
      </c>
    </row>
    <row r="3178">
      <c r="U3178">
        <f>IF(AND(ISNUMBER('자료_한국심리'!$A3162),ISNUMBER('자료_한국심리'!$B3162)),'자료_한국심리'!$A3162,"")</f>
        <v/>
      </c>
      <c r="V3178">
        <f>IF(AND(ISNUMBER('자료_한국심리'!$D3162),ISNUMBER('자료_한국심리'!$E3162)),'자료_한국심리'!$D3162,"")</f>
        <v/>
      </c>
      <c r="W3178">
        <f>IF(AND(ISNUMBER('자료_한국심리'!$G3162),ISNUMBER('자료_한국심리'!$H3162)),'자료_한국심리'!$G3162,"")</f>
        <v/>
      </c>
      <c r="X3178">
        <f>IF(AND(ISNUMBER('자료_한국심리'!$J3162),ISNUMBER('자료_한국심리'!$K3162)),'자료_한국심리'!$J3162,"")</f>
        <v/>
      </c>
      <c r="Y3178">
        <f>IF(AND(ISNUMBER('자료_한국심리'!$M3162),ISNUMBER('자료_한국심리'!$N3162)),'자료_한국심리'!$M3162,"")</f>
        <v/>
      </c>
    </row>
    <row r="3179">
      <c r="U3179">
        <f>IF(AND(ISNUMBER('자료_한국심리'!$A3163),ISNUMBER('자료_한국심리'!$B3163)),'자료_한국심리'!$A3163,"")</f>
        <v/>
      </c>
      <c r="V3179">
        <f>IF(AND(ISNUMBER('자료_한국심리'!$D3163),ISNUMBER('자료_한국심리'!$E3163)),'자료_한국심리'!$D3163,"")</f>
        <v/>
      </c>
      <c r="W3179">
        <f>IF(AND(ISNUMBER('자료_한국심리'!$G3163),ISNUMBER('자료_한국심리'!$H3163)),'자료_한국심리'!$G3163,"")</f>
        <v/>
      </c>
      <c r="X3179">
        <f>IF(AND(ISNUMBER('자료_한국심리'!$J3163),ISNUMBER('자료_한국심리'!$K3163)),'자료_한국심리'!$J3163,"")</f>
        <v/>
      </c>
      <c r="Y3179">
        <f>IF(AND(ISNUMBER('자료_한국심리'!$M3163),ISNUMBER('자료_한국심리'!$N3163)),'자료_한국심리'!$M3163,"")</f>
        <v/>
      </c>
    </row>
    <row r="3180">
      <c r="U3180">
        <f>IF(AND(ISNUMBER('자료_한국심리'!$A3164),ISNUMBER('자료_한국심리'!$B3164)),'자료_한국심리'!$A3164,"")</f>
        <v/>
      </c>
      <c r="V3180">
        <f>IF(AND(ISNUMBER('자료_한국심리'!$D3164),ISNUMBER('자료_한국심리'!$E3164)),'자료_한국심리'!$D3164,"")</f>
        <v/>
      </c>
      <c r="W3180">
        <f>IF(AND(ISNUMBER('자료_한국심리'!$G3164),ISNUMBER('자료_한국심리'!$H3164)),'자료_한국심리'!$G3164,"")</f>
        <v/>
      </c>
      <c r="X3180">
        <f>IF(AND(ISNUMBER('자료_한국심리'!$J3164),ISNUMBER('자료_한국심리'!$K3164)),'자료_한국심리'!$J3164,"")</f>
        <v/>
      </c>
      <c r="Y3180">
        <f>IF(AND(ISNUMBER('자료_한국심리'!$M3164),ISNUMBER('자료_한국심리'!$N3164)),'자료_한국심리'!$M3164,"")</f>
        <v/>
      </c>
    </row>
    <row r="3181">
      <c r="U3181">
        <f>IF(AND(ISNUMBER('자료_한국심리'!$A3165),ISNUMBER('자료_한국심리'!$B3165)),'자료_한국심리'!$A3165,"")</f>
        <v/>
      </c>
      <c r="V3181">
        <f>IF(AND(ISNUMBER('자료_한국심리'!$D3165),ISNUMBER('자료_한국심리'!$E3165)),'자료_한국심리'!$D3165,"")</f>
        <v/>
      </c>
      <c r="W3181">
        <f>IF(AND(ISNUMBER('자료_한국심리'!$G3165),ISNUMBER('자료_한국심리'!$H3165)),'자료_한국심리'!$G3165,"")</f>
        <v/>
      </c>
      <c r="X3181">
        <f>IF(AND(ISNUMBER('자료_한국심리'!$J3165),ISNUMBER('자료_한국심리'!$K3165)),'자료_한국심리'!$J3165,"")</f>
        <v/>
      </c>
      <c r="Y3181">
        <f>IF(AND(ISNUMBER('자료_한국심리'!$M3165),ISNUMBER('자료_한국심리'!$N3165)),'자료_한국심리'!$M3165,"")</f>
        <v/>
      </c>
    </row>
    <row r="3182">
      <c r="U3182">
        <f>IF(AND(ISNUMBER('자료_한국심리'!$A3166),ISNUMBER('자료_한국심리'!$B3166)),'자료_한국심리'!$A3166,"")</f>
        <v/>
      </c>
      <c r="V3182">
        <f>IF(AND(ISNUMBER('자료_한국심리'!$D3166),ISNUMBER('자료_한국심리'!$E3166)),'자료_한국심리'!$D3166,"")</f>
        <v/>
      </c>
      <c r="W3182">
        <f>IF(AND(ISNUMBER('자료_한국심리'!$G3166),ISNUMBER('자료_한국심리'!$H3166)),'자료_한국심리'!$G3166,"")</f>
        <v/>
      </c>
      <c r="X3182">
        <f>IF(AND(ISNUMBER('자료_한국심리'!$J3166),ISNUMBER('자료_한국심리'!$K3166)),'자료_한국심리'!$J3166,"")</f>
        <v/>
      </c>
      <c r="Y3182">
        <f>IF(AND(ISNUMBER('자료_한국심리'!$M3166),ISNUMBER('자료_한국심리'!$N3166)),'자료_한국심리'!$M3166,"")</f>
        <v/>
      </c>
    </row>
    <row r="3183">
      <c r="U3183">
        <f>IF(AND(ISNUMBER('자료_한국심리'!$A3167),ISNUMBER('자료_한국심리'!$B3167)),'자료_한국심리'!$A3167,"")</f>
        <v/>
      </c>
      <c r="V3183">
        <f>IF(AND(ISNUMBER('자료_한국심리'!$D3167),ISNUMBER('자료_한국심리'!$E3167)),'자료_한국심리'!$D3167,"")</f>
        <v/>
      </c>
      <c r="W3183">
        <f>IF(AND(ISNUMBER('자료_한국심리'!$G3167),ISNUMBER('자료_한국심리'!$H3167)),'자료_한국심리'!$G3167,"")</f>
        <v/>
      </c>
      <c r="X3183">
        <f>IF(AND(ISNUMBER('자료_한국심리'!$J3167),ISNUMBER('자료_한국심리'!$K3167)),'자료_한국심리'!$J3167,"")</f>
        <v/>
      </c>
      <c r="Y3183">
        <f>IF(AND(ISNUMBER('자료_한국심리'!$M3167),ISNUMBER('자료_한국심리'!$N3167)),'자료_한국심리'!$M3167,"")</f>
        <v/>
      </c>
    </row>
    <row r="3184">
      <c r="U3184">
        <f>IF(AND(ISNUMBER('자료_한국심리'!$A3168),ISNUMBER('자료_한국심리'!$B3168)),'자료_한국심리'!$A3168,"")</f>
        <v/>
      </c>
      <c r="V3184">
        <f>IF(AND(ISNUMBER('자료_한국심리'!$D3168),ISNUMBER('자료_한국심리'!$E3168)),'자료_한국심리'!$D3168,"")</f>
        <v/>
      </c>
      <c r="W3184">
        <f>IF(AND(ISNUMBER('자료_한국심리'!$G3168),ISNUMBER('자료_한국심리'!$H3168)),'자료_한국심리'!$G3168,"")</f>
        <v/>
      </c>
      <c r="X3184">
        <f>IF(AND(ISNUMBER('자료_한국심리'!$J3168),ISNUMBER('자료_한국심리'!$K3168)),'자료_한국심리'!$J3168,"")</f>
        <v/>
      </c>
      <c r="Y3184">
        <f>IF(AND(ISNUMBER('자료_한국심리'!$M3168),ISNUMBER('자료_한국심리'!$N3168)),'자료_한국심리'!$M3168,"")</f>
        <v/>
      </c>
    </row>
    <row r="3185">
      <c r="U3185">
        <f>IF(AND(ISNUMBER('자료_한국심리'!$A3169),ISNUMBER('자료_한국심리'!$B3169)),'자료_한국심리'!$A3169,"")</f>
        <v/>
      </c>
      <c r="V3185">
        <f>IF(AND(ISNUMBER('자료_한국심리'!$D3169),ISNUMBER('자료_한국심리'!$E3169)),'자료_한국심리'!$D3169,"")</f>
        <v/>
      </c>
      <c r="W3185">
        <f>IF(AND(ISNUMBER('자료_한국심리'!$G3169),ISNUMBER('자료_한국심리'!$H3169)),'자료_한국심리'!$G3169,"")</f>
        <v/>
      </c>
      <c r="X3185">
        <f>IF(AND(ISNUMBER('자료_한국심리'!$J3169),ISNUMBER('자료_한국심리'!$K3169)),'자료_한국심리'!$J3169,"")</f>
        <v/>
      </c>
      <c r="Y3185">
        <f>IF(AND(ISNUMBER('자료_한국심리'!$M3169),ISNUMBER('자료_한국심리'!$N3169)),'자료_한국심리'!$M3169,"")</f>
        <v/>
      </c>
    </row>
    <row r="3186">
      <c r="U3186">
        <f>IF(AND(ISNUMBER('자료_한국심리'!$A3170),ISNUMBER('자료_한국심리'!$B3170)),'자료_한국심리'!$A3170,"")</f>
        <v/>
      </c>
      <c r="V3186">
        <f>IF(AND(ISNUMBER('자료_한국심리'!$D3170),ISNUMBER('자료_한국심리'!$E3170)),'자료_한국심리'!$D3170,"")</f>
        <v/>
      </c>
      <c r="W3186">
        <f>IF(AND(ISNUMBER('자료_한국심리'!$G3170),ISNUMBER('자료_한국심리'!$H3170)),'자료_한국심리'!$G3170,"")</f>
        <v/>
      </c>
      <c r="X3186">
        <f>IF(AND(ISNUMBER('자료_한국심리'!$J3170),ISNUMBER('자료_한국심리'!$K3170)),'자료_한국심리'!$J3170,"")</f>
        <v/>
      </c>
      <c r="Y3186">
        <f>IF(AND(ISNUMBER('자료_한국심리'!$M3170),ISNUMBER('자료_한국심리'!$N3170)),'자료_한국심리'!$M3170,"")</f>
        <v/>
      </c>
    </row>
    <row r="3187">
      <c r="U3187">
        <f>IF(AND(ISNUMBER('자료_한국심리'!$A3171),ISNUMBER('자료_한국심리'!$B3171)),'자료_한국심리'!$A3171,"")</f>
        <v/>
      </c>
      <c r="V3187">
        <f>IF(AND(ISNUMBER('자료_한국심리'!$D3171),ISNUMBER('자료_한국심리'!$E3171)),'자료_한국심리'!$D3171,"")</f>
        <v/>
      </c>
      <c r="W3187">
        <f>IF(AND(ISNUMBER('자료_한국심리'!$G3171),ISNUMBER('자료_한국심리'!$H3171)),'자료_한국심리'!$G3171,"")</f>
        <v/>
      </c>
      <c r="X3187">
        <f>IF(AND(ISNUMBER('자료_한국심리'!$J3171),ISNUMBER('자료_한국심리'!$K3171)),'자료_한국심리'!$J3171,"")</f>
        <v/>
      </c>
      <c r="Y3187">
        <f>IF(AND(ISNUMBER('자료_한국심리'!$M3171),ISNUMBER('자료_한국심리'!$N3171)),'자료_한국심리'!$M3171,"")</f>
        <v/>
      </c>
    </row>
    <row r="3188">
      <c r="U3188">
        <f>IF(AND(ISNUMBER('자료_한국심리'!$A3172),ISNUMBER('자료_한국심리'!$B3172)),'자료_한국심리'!$A3172,"")</f>
        <v/>
      </c>
      <c r="V3188">
        <f>IF(AND(ISNUMBER('자료_한국심리'!$D3172),ISNUMBER('자료_한국심리'!$E3172)),'자료_한국심리'!$D3172,"")</f>
        <v/>
      </c>
      <c r="W3188">
        <f>IF(AND(ISNUMBER('자료_한국심리'!$G3172),ISNUMBER('자료_한국심리'!$H3172)),'자료_한국심리'!$G3172,"")</f>
        <v/>
      </c>
      <c r="X3188">
        <f>IF(AND(ISNUMBER('자료_한국심리'!$J3172),ISNUMBER('자료_한국심리'!$K3172)),'자료_한국심리'!$J3172,"")</f>
        <v/>
      </c>
      <c r="Y3188">
        <f>IF(AND(ISNUMBER('자료_한국심리'!$M3172),ISNUMBER('자료_한국심리'!$N3172)),'자료_한국심리'!$M3172,"")</f>
        <v/>
      </c>
    </row>
    <row r="3189">
      <c r="U3189">
        <f>IF(AND(ISNUMBER('자료_한국심리'!$A3173),ISNUMBER('자료_한국심리'!$B3173)),'자료_한국심리'!$A3173,"")</f>
        <v/>
      </c>
      <c r="V3189">
        <f>IF(AND(ISNUMBER('자료_한국심리'!$D3173),ISNUMBER('자료_한국심리'!$E3173)),'자료_한국심리'!$D3173,"")</f>
        <v/>
      </c>
      <c r="W3189">
        <f>IF(AND(ISNUMBER('자료_한국심리'!$G3173),ISNUMBER('자료_한국심리'!$H3173)),'자료_한국심리'!$G3173,"")</f>
        <v/>
      </c>
      <c r="X3189">
        <f>IF(AND(ISNUMBER('자료_한국심리'!$J3173),ISNUMBER('자료_한국심리'!$K3173)),'자료_한국심리'!$J3173,"")</f>
        <v/>
      </c>
      <c r="Y3189">
        <f>IF(AND(ISNUMBER('자료_한국심리'!$M3173),ISNUMBER('자료_한국심리'!$N3173)),'자료_한국심리'!$M3173,"")</f>
        <v/>
      </c>
    </row>
    <row r="3190">
      <c r="U3190">
        <f>IF(AND(ISNUMBER('자료_한국심리'!$A3174),ISNUMBER('자료_한국심리'!$B3174)),'자료_한국심리'!$A3174,"")</f>
        <v/>
      </c>
      <c r="V3190">
        <f>IF(AND(ISNUMBER('자료_한국심리'!$D3174),ISNUMBER('자료_한국심리'!$E3174)),'자료_한국심리'!$D3174,"")</f>
        <v/>
      </c>
      <c r="W3190">
        <f>IF(AND(ISNUMBER('자료_한국심리'!$G3174),ISNUMBER('자료_한국심리'!$H3174)),'자료_한국심리'!$G3174,"")</f>
        <v/>
      </c>
      <c r="X3190">
        <f>IF(AND(ISNUMBER('자료_한국심리'!$J3174),ISNUMBER('자료_한국심리'!$K3174)),'자료_한국심리'!$J3174,"")</f>
        <v/>
      </c>
      <c r="Y3190">
        <f>IF(AND(ISNUMBER('자료_한국심리'!$M3174),ISNUMBER('자료_한국심리'!$N3174)),'자료_한국심리'!$M3174,"")</f>
        <v/>
      </c>
    </row>
    <row r="3191">
      <c r="U3191">
        <f>IF(AND(ISNUMBER('자료_한국심리'!$A3175),ISNUMBER('자료_한국심리'!$B3175)),'자료_한국심리'!$A3175,"")</f>
        <v/>
      </c>
      <c r="V3191">
        <f>IF(AND(ISNUMBER('자료_한국심리'!$D3175),ISNUMBER('자료_한국심리'!$E3175)),'자료_한국심리'!$D3175,"")</f>
        <v/>
      </c>
      <c r="W3191">
        <f>IF(AND(ISNUMBER('자료_한국심리'!$G3175),ISNUMBER('자료_한국심리'!$H3175)),'자료_한국심리'!$G3175,"")</f>
        <v/>
      </c>
      <c r="X3191">
        <f>IF(AND(ISNUMBER('자료_한국심리'!$J3175),ISNUMBER('자료_한국심리'!$K3175)),'자료_한국심리'!$J3175,"")</f>
        <v/>
      </c>
      <c r="Y3191">
        <f>IF(AND(ISNUMBER('자료_한국심리'!$M3175),ISNUMBER('자료_한국심리'!$N3175)),'자료_한국심리'!$M3175,"")</f>
        <v/>
      </c>
    </row>
    <row r="3192">
      <c r="U3192">
        <f>IF(AND(ISNUMBER('자료_한국심리'!$A3176),ISNUMBER('자료_한국심리'!$B3176)),'자료_한국심리'!$A3176,"")</f>
        <v/>
      </c>
      <c r="V3192">
        <f>IF(AND(ISNUMBER('자료_한국심리'!$D3176),ISNUMBER('자료_한국심리'!$E3176)),'자료_한국심리'!$D3176,"")</f>
        <v/>
      </c>
      <c r="W3192">
        <f>IF(AND(ISNUMBER('자료_한국심리'!$G3176),ISNUMBER('자료_한국심리'!$H3176)),'자료_한국심리'!$G3176,"")</f>
        <v/>
      </c>
      <c r="X3192">
        <f>IF(AND(ISNUMBER('자료_한국심리'!$J3176),ISNUMBER('자료_한국심리'!$K3176)),'자료_한국심리'!$J3176,"")</f>
        <v/>
      </c>
      <c r="Y3192">
        <f>IF(AND(ISNUMBER('자료_한국심리'!$M3176),ISNUMBER('자료_한국심리'!$N3176)),'자료_한국심리'!$M3176,"")</f>
        <v/>
      </c>
    </row>
    <row r="3193">
      <c r="U3193">
        <f>IF(AND(ISNUMBER('자료_한국심리'!$A3177),ISNUMBER('자료_한국심리'!$B3177)),'자료_한국심리'!$A3177,"")</f>
        <v/>
      </c>
      <c r="V3193">
        <f>IF(AND(ISNUMBER('자료_한국심리'!$D3177),ISNUMBER('자료_한국심리'!$E3177)),'자료_한국심리'!$D3177,"")</f>
        <v/>
      </c>
      <c r="W3193">
        <f>IF(AND(ISNUMBER('자료_한국심리'!$G3177),ISNUMBER('자료_한국심리'!$H3177)),'자료_한국심리'!$G3177,"")</f>
        <v/>
      </c>
      <c r="X3193">
        <f>IF(AND(ISNUMBER('자료_한국심리'!$J3177),ISNUMBER('자료_한국심리'!$K3177)),'자료_한국심리'!$J3177,"")</f>
        <v/>
      </c>
      <c r="Y3193">
        <f>IF(AND(ISNUMBER('자료_한국심리'!$M3177),ISNUMBER('자료_한국심리'!$N3177)),'자료_한국심리'!$M3177,"")</f>
        <v/>
      </c>
    </row>
    <row r="3194">
      <c r="U3194">
        <f>IF(AND(ISNUMBER('자료_한국심리'!$A3178),ISNUMBER('자료_한국심리'!$B3178)),'자료_한국심리'!$A3178,"")</f>
        <v/>
      </c>
      <c r="V3194">
        <f>IF(AND(ISNUMBER('자료_한국심리'!$D3178),ISNUMBER('자료_한국심리'!$E3178)),'자료_한국심리'!$D3178,"")</f>
        <v/>
      </c>
      <c r="W3194">
        <f>IF(AND(ISNUMBER('자료_한국심리'!$G3178),ISNUMBER('자료_한국심리'!$H3178)),'자료_한국심리'!$G3178,"")</f>
        <v/>
      </c>
      <c r="X3194">
        <f>IF(AND(ISNUMBER('자료_한국심리'!$J3178),ISNUMBER('자료_한국심리'!$K3178)),'자료_한국심리'!$J3178,"")</f>
        <v/>
      </c>
      <c r="Y3194">
        <f>IF(AND(ISNUMBER('자료_한국심리'!$M3178),ISNUMBER('자료_한국심리'!$N3178)),'자료_한국심리'!$M3178,"")</f>
        <v/>
      </c>
    </row>
    <row r="3195">
      <c r="U3195">
        <f>IF(AND(ISNUMBER('자료_한국심리'!$A3179),ISNUMBER('자료_한국심리'!$B3179)),'자료_한국심리'!$A3179,"")</f>
        <v/>
      </c>
      <c r="V3195">
        <f>IF(AND(ISNUMBER('자료_한국심리'!$D3179),ISNUMBER('자료_한국심리'!$E3179)),'자료_한국심리'!$D3179,"")</f>
        <v/>
      </c>
      <c r="W3195">
        <f>IF(AND(ISNUMBER('자료_한국심리'!$G3179),ISNUMBER('자료_한국심리'!$H3179)),'자료_한국심리'!$G3179,"")</f>
        <v/>
      </c>
      <c r="X3195">
        <f>IF(AND(ISNUMBER('자료_한국심리'!$J3179),ISNUMBER('자료_한국심리'!$K3179)),'자료_한국심리'!$J3179,"")</f>
        <v/>
      </c>
      <c r="Y3195">
        <f>IF(AND(ISNUMBER('자료_한국심리'!$M3179),ISNUMBER('자료_한국심리'!$N3179)),'자료_한국심리'!$M3179,"")</f>
        <v/>
      </c>
    </row>
    <row r="3196">
      <c r="U3196">
        <f>IF(AND(ISNUMBER('자료_한국심리'!$A3180),ISNUMBER('자료_한국심리'!$B3180)),'자료_한국심리'!$A3180,"")</f>
        <v/>
      </c>
      <c r="V3196">
        <f>IF(AND(ISNUMBER('자료_한국심리'!$D3180),ISNUMBER('자료_한국심리'!$E3180)),'자료_한국심리'!$D3180,"")</f>
        <v/>
      </c>
      <c r="W3196">
        <f>IF(AND(ISNUMBER('자료_한국심리'!$G3180),ISNUMBER('자료_한국심리'!$H3180)),'자료_한국심리'!$G3180,"")</f>
        <v/>
      </c>
      <c r="X3196">
        <f>IF(AND(ISNUMBER('자료_한국심리'!$J3180),ISNUMBER('자료_한국심리'!$K3180)),'자료_한국심리'!$J3180,"")</f>
        <v/>
      </c>
      <c r="Y3196">
        <f>IF(AND(ISNUMBER('자료_한국심리'!$M3180),ISNUMBER('자료_한국심리'!$N3180)),'자료_한국심리'!$M3180,"")</f>
        <v/>
      </c>
    </row>
    <row r="3197">
      <c r="U3197">
        <f>IF(AND(ISNUMBER('자료_한국심리'!$A3181),ISNUMBER('자료_한국심리'!$B3181)),'자료_한국심리'!$A3181,"")</f>
        <v/>
      </c>
      <c r="V3197">
        <f>IF(AND(ISNUMBER('자료_한국심리'!$D3181),ISNUMBER('자료_한국심리'!$E3181)),'자료_한국심리'!$D3181,"")</f>
        <v/>
      </c>
      <c r="W3197">
        <f>IF(AND(ISNUMBER('자료_한국심리'!$G3181),ISNUMBER('자료_한국심리'!$H3181)),'자료_한국심리'!$G3181,"")</f>
        <v/>
      </c>
      <c r="X3197">
        <f>IF(AND(ISNUMBER('자료_한국심리'!$J3181),ISNUMBER('자료_한국심리'!$K3181)),'자료_한국심리'!$J3181,"")</f>
        <v/>
      </c>
      <c r="Y3197">
        <f>IF(AND(ISNUMBER('자료_한국심리'!$M3181),ISNUMBER('자료_한국심리'!$N3181)),'자료_한국심리'!$M3181,"")</f>
        <v/>
      </c>
    </row>
    <row r="3198">
      <c r="U3198">
        <f>IF(AND(ISNUMBER('자료_한국심리'!$A3182),ISNUMBER('자료_한국심리'!$B3182)),'자료_한국심리'!$A3182,"")</f>
        <v/>
      </c>
      <c r="V3198">
        <f>IF(AND(ISNUMBER('자료_한국심리'!$D3182),ISNUMBER('자료_한국심리'!$E3182)),'자료_한국심리'!$D3182,"")</f>
        <v/>
      </c>
      <c r="W3198">
        <f>IF(AND(ISNUMBER('자료_한국심리'!$G3182),ISNUMBER('자료_한국심리'!$H3182)),'자료_한국심리'!$G3182,"")</f>
        <v/>
      </c>
      <c r="X3198">
        <f>IF(AND(ISNUMBER('자료_한국심리'!$J3182),ISNUMBER('자료_한국심리'!$K3182)),'자료_한국심리'!$J3182,"")</f>
        <v/>
      </c>
      <c r="Y3198">
        <f>IF(AND(ISNUMBER('자료_한국심리'!$M3182),ISNUMBER('자료_한국심리'!$N3182)),'자료_한국심리'!$M3182,"")</f>
        <v/>
      </c>
    </row>
    <row r="3199">
      <c r="U3199">
        <f>IF(AND(ISNUMBER('자료_한국심리'!$A3183),ISNUMBER('자료_한국심리'!$B3183)),'자료_한국심리'!$A3183,"")</f>
        <v/>
      </c>
      <c r="V3199">
        <f>IF(AND(ISNUMBER('자료_한국심리'!$D3183),ISNUMBER('자료_한국심리'!$E3183)),'자료_한국심리'!$D3183,"")</f>
        <v/>
      </c>
      <c r="W3199">
        <f>IF(AND(ISNUMBER('자료_한국심리'!$G3183),ISNUMBER('자료_한국심리'!$H3183)),'자료_한국심리'!$G3183,"")</f>
        <v/>
      </c>
      <c r="X3199">
        <f>IF(AND(ISNUMBER('자료_한국심리'!$J3183),ISNUMBER('자료_한국심리'!$K3183)),'자료_한국심리'!$J3183,"")</f>
        <v/>
      </c>
      <c r="Y3199">
        <f>IF(AND(ISNUMBER('자료_한국심리'!$M3183),ISNUMBER('자료_한국심리'!$N3183)),'자료_한국심리'!$M3183,"")</f>
        <v/>
      </c>
    </row>
    <row r="3200">
      <c r="U3200">
        <f>IF(AND(ISNUMBER('자료_한국심리'!$A3184),ISNUMBER('자료_한국심리'!$B3184)),'자료_한국심리'!$A3184,"")</f>
        <v/>
      </c>
      <c r="V3200">
        <f>IF(AND(ISNUMBER('자료_한국심리'!$D3184),ISNUMBER('자료_한국심리'!$E3184)),'자료_한국심리'!$D3184,"")</f>
        <v/>
      </c>
      <c r="W3200">
        <f>IF(AND(ISNUMBER('자료_한국심리'!$G3184),ISNUMBER('자료_한국심리'!$H3184)),'자료_한국심리'!$G3184,"")</f>
        <v/>
      </c>
      <c r="X3200">
        <f>IF(AND(ISNUMBER('자료_한국심리'!$J3184),ISNUMBER('자료_한국심리'!$K3184)),'자료_한국심리'!$J3184,"")</f>
        <v/>
      </c>
      <c r="Y3200">
        <f>IF(AND(ISNUMBER('자료_한국심리'!$M3184),ISNUMBER('자료_한국심리'!$N3184)),'자료_한국심리'!$M3184,"")</f>
        <v/>
      </c>
    </row>
    <row r="3201">
      <c r="U3201">
        <f>IF(AND(ISNUMBER('자료_한국심리'!$A3185),ISNUMBER('자료_한국심리'!$B3185)),'자료_한국심리'!$A3185,"")</f>
        <v/>
      </c>
      <c r="V3201">
        <f>IF(AND(ISNUMBER('자료_한국심리'!$D3185),ISNUMBER('자료_한국심리'!$E3185)),'자료_한국심리'!$D3185,"")</f>
        <v/>
      </c>
      <c r="W3201">
        <f>IF(AND(ISNUMBER('자료_한국심리'!$G3185),ISNUMBER('자료_한국심리'!$H3185)),'자료_한국심리'!$G3185,"")</f>
        <v/>
      </c>
      <c r="X3201">
        <f>IF(AND(ISNUMBER('자료_한국심리'!$J3185),ISNUMBER('자료_한국심리'!$K3185)),'자료_한국심리'!$J3185,"")</f>
        <v/>
      </c>
      <c r="Y3201">
        <f>IF(AND(ISNUMBER('자료_한국심리'!$M3185),ISNUMBER('자료_한국심리'!$N3185)),'자료_한국심리'!$M3185,"")</f>
        <v/>
      </c>
    </row>
    <row r="3202">
      <c r="U3202">
        <f>IF(AND(ISNUMBER('자료_한국심리'!$A3186),ISNUMBER('자료_한국심리'!$B3186)),'자료_한국심리'!$A3186,"")</f>
        <v/>
      </c>
      <c r="V3202">
        <f>IF(AND(ISNUMBER('자료_한국심리'!$D3186),ISNUMBER('자료_한국심리'!$E3186)),'자료_한국심리'!$D3186,"")</f>
        <v/>
      </c>
      <c r="W3202">
        <f>IF(AND(ISNUMBER('자료_한국심리'!$G3186),ISNUMBER('자료_한국심리'!$H3186)),'자료_한국심리'!$G3186,"")</f>
        <v/>
      </c>
      <c r="X3202">
        <f>IF(AND(ISNUMBER('자료_한국심리'!$J3186),ISNUMBER('자료_한국심리'!$K3186)),'자료_한국심리'!$J3186,"")</f>
        <v/>
      </c>
      <c r="Y3202">
        <f>IF(AND(ISNUMBER('자료_한국심리'!$M3186),ISNUMBER('자료_한국심리'!$N3186)),'자료_한국심리'!$M3186,"")</f>
        <v/>
      </c>
    </row>
    <row r="3203">
      <c r="U3203">
        <f>IF(AND(ISNUMBER('자료_한국심리'!$A3187),ISNUMBER('자료_한국심리'!$B3187)),'자료_한국심리'!$A3187,"")</f>
        <v/>
      </c>
      <c r="V3203">
        <f>IF(AND(ISNUMBER('자료_한국심리'!$D3187),ISNUMBER('자료_한국심리'!$E3187)),'자료_한국심리'!$D3187,"")</f>
        <v/>
      </c>
      <c r="W3203">
        <f>IF(AND(ISNUMBER('자료_한국심리'!$G3187),ISNUMBER('자료_한국심리'!$H3187)),'자료_한국심리'!$G3187,"")</f>
        <v/>
      </c>
      <c r="X3203">
        <f>IF(AND(ISNUMBER('자료_한국심리'!$J3187),ISNUMBER('자료_한국심리'!$K3187)),'자료_한국심리'!$J3187,"")</f>
        <v/>
      </c>
      <c r="Y3203">
        <f>IF(AND(ISNUMBER('자료_한국심리'!$M3187),ISNUMBER('자료_한국심리'!$N3187)),'자료_한국심리'!$M3187,"")</f>
        <v/>
      </c>
    </row>
    <row r="3204">
      <c r="U3204">
        <f>IF(AND(ISNUMBER('자료_한국심리'!$A3188),ISNUMBER('자료_한국심리'!$B3188)),'자료_한국심리'!$A3188,"")</f>
        <v/>
      </c>
      <c r="V3204">
        <f>IF(AND(ISNUMBER('자료_한국심리'!$D3188),ISNUMBER('자료_한국심리'!$E3188)),'자료_한국심리'!$D3188,"")</f>
        <v/>
      </c>
      <c r="W3204">
        <f>IF(AND(ISNUMBER('자료_한국심리'!$G3188),ISNUMBER('자료_한국심리'!$H3188)),'자료_한국심리'!$G3188,"")</f>
        <v/>
      </c>
      <c r="X3204">
        <f>IF(AND(ISNUMBER('자료_한국심리'!$J3188),ISNUMBER('자료_한국심리'!$K3188)),'자료_한국심리'!$J3188,"")</f>
        <v/>
      </c>
      <c r="Y3204">
        <f>IF(AND(ISNUMBER('자료_한국심리'!$M3188),ISNUMBER('자료_한국심리'!$N3188)),'자료_한국심리'!$M3188,"")</f>
        <v/>
      </c>
    </row>
    <row r="3205">
      <c r="U3205">
        <f>IF(AND(ISNUMBER('자료_한국심리'!$A3189),ISNUMBER('자료_한국심리'!$B3189)),'자료_한국심리'!$A3189,"")</f>
        <v/>
      </c>
      <c r="V3205">
        <f>IF(AND(ISNUMBER('자료_한국심리'!$D3189),ISNUMBER('자료_한국심리'!$E3189)),'자료_한국심리'!$D3189,"")</f>
        <v/>
      </c>
      <c r="W3205">
        <f>IF(AND(ISNUMBER('자료_한국심리'!$G3189),ISNUMBER('자료_한국심리'!$H3189)),'자료_한국심리'!$G3189,"")</f>
        <v/>
      </c>
      <c r="X3205">
        <f>IF(AND(ISNUMBER('자료_한국심리'!$J3189),ISNUMBER('자료_한국심리'!$K3189)),'자료_한국심리'!$J3189,"")</f>
        <v/>
      </c>
      <c r="Y3205">
        <f>IF(AND(ISNUMBER('자료_한국심리'!$M3189),ISNUMBER('자료_한국심리'!$N3189)),'자료_한국심리'!$M3189,"")</f>
        <v/>
      </c>
    </row>
    <row r="3206">
      <c r="U3206">
        <f>IF(AND(ISNUMBER('자료_한국심리'!$A3190),ISNUMBER('자료_한국심리'!$B3190)),'자료_한국심리'!$A3190,"")</f>
        <v/>
      </c>
      <c r="V3206">
        <f>IF(AND(ISNUMBER('자료_한국심리'!$D3190),ISNUMBER('자료_한국심리'!$E3190)),'자료_한국심리'!$D3190,"")</f>
        <v/>
      </c>
      <c r="W3206">
        <f>IF(AND(ISNUMBER('자료_한국심리'!$G3190),ISNUMBER('자료_한국심리'!$H3190)),'자료_한국심리'!$G3190,"")</f>
        <v/>
      </c>
      <c r="X3206">
        <f>IF(AND(ISNUMBER('자료_한국심리'!$J3190),ISNUMBER('자료_한국심리'!$K3190)),'자료_한국심리'!$J3190,"")</f>
        <v/>
      </c>
      <c r="Y3206">
        <f>IF(AND(ISNUMBER('자료_한국심리'!$M3190),ISNUMBER('자료_한국심리'!$N3190)),'자료_한국심리'!$M3190,"")</f>
        <v/>
      </c>
    </row>
    <row r="3207">
      <c r="U3207">
        <f>IF(AND(ISNUMBER('자료_한국심리'!$A3191),ISNUMBER('자료_한국심리'!$B3191)),'자료_한국심리'!$A3191,"")</f>
        <v/>
      </c>
      <c r="V3207">
        <f>IF(AND(ISNUMBER('자료_한국심리'!$D3191),ISNUMBER('자료_한국심리'!$E3191)),'자료_한국심리'!$D3191,"")</f>
        <v/>
      </c>
      <c r="W3207">
        <f>IF(AND(ISNUMBER('자료_한국심리'!$G3191),ISNUMBER('자료_한국심리'!$H3191)),'자료_한국심리'!$G3191,"")</f>
        <v/>
      </c>
      <c r="X3207">
        <f>IF(AND(ISNUMBER('자료_한국심리'!$J3191),ISNUMBER('자료_한국심리'!$K3191)),'자료_한국심리'!$J3191,"")</f>
        <v/>
      </c>
      <c r="Y3207">
        <f>IF(AND(ISNUMBER('자료_한국심리'!$M3191),ISNUMBER('자료_한국심리'!$N3191)),'자료_한국심리'!$M3191,"")</f>
        <v/>
      </c>
    </row>
    <row r="3208">
      <c r="U3208">
        <f>IF(AND(ISNUMBER('자료_한국심리'!$A3192),ISNUMBER('자료_한국심리'!$B3192)),'자료_한국심리'!$A3192,"")</f>
        <v/>
      </c>
      <c r="V3208">
        <f>IF(AND(ISNUMBER('자료_한국심리'!$D3192),ISNUMBER('자료_한국심리'!$E3192)),'자료_한국심리'!$D3192,"")</f>
        <v/>
      </c>
      <c r="W3208">
        <f>IF(AND(ISNUMBER('자료_한국심리'!$G3192),ISNUMBER('자료_한국심리'!$H3192)),'자료_한국심리'!$G3192,"")</f>
        <v/>
      </c>
      <c r="X3208">
        <f>IF(AND(ISNUMBER('자료_한국심리'!$J3192),ISNUMBER('자료_한국심리'!$K3192)),'자료_한국심리'!$J3192,"")</f>
        <v/>
      </c>
      <c r="Y3208">
        <f>IF(AND(ISNUMBER('자료_한국심리'!$M3192),ISNUMBER('자료_한국심리'!$N3192)),'자료_한국심리'!$M3192,"")</f>
        <v/>
      </c>
    </row>
    <row r="3209">
      <c r="U3209">
        <f>IF(AND(ISNUMBER('자료_한국심리'!$A3193),ISNUMBER('자료_한국심리'!$B3193)),'자료_한국심리'!$A3193,"")</f>
        <v/>
      </c>
      <c r="V3209">
        <f>IF(AND(ISNUMBER('자료_한국심리'!$D3193),ISNUMBER('자료_한국심리'!$E3193)),'자료_한국심리'!$D3193,"")</f>
        <v/>
      </c>
      <c r="W3209">
        <f>IF(AND(ISNUMBER('자료_한국심리'!$G3193),ISNUMBER('자료_한국심리'!$H3193)),'자료_한국심리'!$G3193,"")</f>
        <v/>
      </c>
      <c r="X3209">
        <f>IF(AND(ISNUMBER('자료_한국심리'!$J3193),ISNUMBER('자료_한국심리'!$K3193)),'자료_한국심리'!$J3193,"")</f>
        <v/>
      </c>
      <c r="Y3209">
        <f>IF(AND(ISNUMBER('자료_한국심리'!$M3193),ISNUMBER('자료_한국심리'!$N3193)),'자료_한국심리'!$M3193,"")</f>
        <v/>
      </c>
    </row>
    <row r="3210">
      <c r="U3210">
        <f>IF(AND(ISNUMBER('자료_한국심리'!$A3194),ISNUMBER('자료_한국심리'!$B3194)),'자료_한국심리'!$A3194,"")</f>
        <v/>
      </c>
      <c r="V3210">
        <f>IF(AND(ISNUMBER('자료_한국심리'!$D3194),ISNUMBER('자료_한국심리'!$E3194)),'자료_한국심리'!$D3194,"")</f>
        <v/>
      </c>
      <c r="W3210">
        <f>IF(AND(ISNUMBER('자료_한국심리'!$G3194),ISNUMBER('자료_한국심리'!$H3194)),'자료_한국심리'!$G3194,"")</f>
        <v/>
      </c>
      <c r="X3210">
        <f>IF(AND(ISNUMBER('자료_한국심리'!$J3194),ISNUMBER('자료_한국심리'!$K3194)),'자료_한국심리'!$J3194,"")</f>
        <v/>
      </c>
      <c r="Y3210">
        <f>IF(AND(ISNUMBER('자료_한국심리'!$M3194),ISNUMBER('자료_한국심리'!$N3194)),'자료_한국심리'!$M3194,"")</f>
        <v/>
      </c>
    </row>
    <row r="3211">
      <c r="U3211">
        <f>IF(AND(ISNUMBER('자료_한국심리'!$A3195),ISNUMBER('자료_한국심리'!$B3195)),'자료_한국심리'!$A3195,"")</f>
        <v/>
      </c>
      <c r="V3211">
        <f>IF(AND(ISNUMBER('자료_한국심리'!$D3195),ISNUMBER('자료_한국심리'!$E3195)),'자료_한국심리'!$D3195,"")</f>
        <v/>
      </c>
      <c r="W3211">
        <f>IF(AND(ISNUMBER('자료_한국심리'!$G3195),ISNUMBER('자료_한국심리'!$H3195)),'자료_한국심리'!$G3195,"")</f>
        <v/>
      </c>
      <c r="X3211">
        <f>IF(AND(ISNUMBER('자료_한국심리'!$J3195),ISNUMBER('자료_한국심리'!$K3195)),'자료_한국심리'!$J3195,"")</f>
        <v/>
      </c>
      <c r="Y3211">
        <f>IF(AND(ISNUMBER('자료_한국심리'!$M3195),ISNUMBER('자료_한국심리'!$N3195)),'자료_한국심리'!$M3195,"")</f>
        <v/>
      </c>
    </row>
    <row r="3212">
      <c r="U3212">
        <f>IF(AND(ISNUMBER('자료_한국심리'!$A3196),ISNUMBER('자료_한국심리'!$B3196)),'자료_한국심리'!$A3196,"")</f>
        <v/>
      </c>
      <c r="V3212">
        <f>IF(AND(ISNUMBER('자료_한국심리'!$D3196),ISNUMBER('자료_한국심리'!$E3196)),'자료_한국심리'!$D3196,"")</f>
        <v/>
      </c>
      <c r="W3212">
        <f>IF(AND(ISNUMBER('자료_한국심리'!$G3196),ISNUMBER('자료_한국심리'!$H3196)),'자료_한국심리'!$G3196,"")</f>
        <v/>
      </c>
      <c r="X3212">
        <f>IF(AND(ISNUMBER('자료_한국심리'!$J3196),ISNUMBER('자료_한국심리'!$K3196)),'자료_한국심리'!$J3196,"")</f>
        <v/>
      </c>
      <c r="Y3212">
        <f>IF(AND(ISNUMBER('자료_한국심리'!$M3196),ISNUMBER('자료_한국심리'!$N3196)),'자료_한국심리'!$M3196,"")</f>
        <v/>
      </c>
    </row>
    <row r="3213">
      <c r="U3213">
        <f>IF(AND(ISNUMBER('자료_한국심리'!$A3197),ISNUMBER('자료_한국심리'!$B3197)),'자료_한국심리'!$A3197,"")</f>
        <v/>
      </c>
      <c r="V3213">
        <f>IF(AND(ISNUMBER('자료_한국심리'!$D3197),ISNUMBER('자료_한국심리'!$E3197)),'자료_한국심리'!$D3197,"")</f>
        <v/>
      </c>
      <c r="W3213">
        <f>IF(AND(ISNUMBER('자료_한국심리'!$G3197),ISNUMBER('자료_한국심리'!$H3197)),'자료_한국심리'!$G3197,"")</f>
        <v/>
      </c>
      <c r="X3213">
        <f>IF(AND(ISNUMBER('자료_한국심리'!$J3197),ISNUMBER('자료_한국심리'!$K3197)),'자료_한국심리'!$J3197,"")</f>
        <v/>
      </c>
      <c r="Y3213">
        <f>IF(AND(ISNUMBER('자료_한국심리'!$M3197),ISNUMBER('자료_한국심리'!$N3197)),'자료_한국심리'!$M3197,"")</f>
        <v/>
      </c>
    </row>
    <row r="3214">
      <c r="U3214">
        <f>IF(AND(ISNUMBER('자료_한국심리'!$A3198),ISNUMBER('자료_한국심리'!$B3198)),'자료_한국심리'!$A3198,"")</f>
        <v/>
      </c>
      <c r="V3214">
        <f>IF(AND(ISNUMBER('자료_한국심리'!$D3198),ISNUMBER('자료_한국심리'!$E3198)),'자료_한국심리'!$D3198,"")</f>
        <v/>
      </c>
      <c r="W3214">
        <f>IF(AND(ISNUMBER('자료_한국심리'!$G3198),ISNUMBER('자료_한국심리'!$H3198)),'자료_한국심리'!$G3198,"")</f>
        <v/>
      </c>
      <c r="X3214">
        <f>IF(AND(ISNUMBER('자료_한국심리'!$J3198),ISNUMBER('자료_한국심리'!$K3198)),'자료_한국심리'!$J3198,"")</f>
        <v/>
      </c>
      <c r="Y3214">
        <f>IF(AND(ISNUMBER('자료_한국심리'!$M3198),ISNUMBER('자료_한국심리'!$N3198)),'자료_한국심리'!$M3198,"")</f>
        <v/>
      </c>
    </row>
    <row r="3215">
      <c r="U3215">
        <f>IF(AND(ISNUMBER('자료_한국심리'!$A3199),ISNUMBER('자료_한국심리'!$B3199)),'자료_한국심리'!$A3199,"")</f>
        <v/>
      </c>
      <c r="V3215">
        <f>IF(AND(ISNUMBER('자료_한국심리'!$D3199),ISNUMBER('자료_한국심리'!$E3199)),'자료_한국심리'!$D3199,"")</f>
        <v/>
      </c>
      <c r="W3215">
        <f>IF(AND(ISNUMBER('자료_한국심리'!$G3199),ISNUMBER('자료_한국심리'!$H3199)),'자료_한국심리'!$G3199,"")</f>
        <v/>
      </c>
      <c r="X3215">
        <f>IF(AND(ISNUMBER('자료_한국심리'!$J3199),ISNUMBER('자료_한국심리'!$K3199)),'자료_한국심리'!$J3199,"")</f>
        <v/>
      </c>
      <c r="Y3215">
        <f>IF(AND(ISNUMBER('자료_한국심리'!$M3199),ISNUMBER('자료_한국심리'!$N3199)),'자료_한국심리'!$M3199,"")</f>
        <v/>
      </c>
    </row>
    <row r="3216">
      <c r="U3216">
        <f>IF(AND(ISNUMBER('자료_한국심리'!$A3200),ISNUMBER('자료_한국심리'!$B3200)),'자료_한국심리'!$A3200,"")</f>
        <v/>
      </c>
      <c r="V3216">
        <f>IF(AND(ISNUMBER('자료_한국심리'!$D3200),ISNUMBER('자료_한국심리'!$E3200)),'자료_한국심리'!$D3200,"")</f>
        <v/>
      </c>
      <c r="W3216">
        <f>IF(AND(ISNUMBER('자료_한국심리'!$G3200),ISNUMBER('자료_한국심리'!$H3200)),'자료_한국심리'!$G3200,"")</f>
        <v/>
      </c>
      <c r="X3216">
        <f>IF(AND(ISNUMBER('자료_한국심리'!$J3200),ISNUMBER('자료_한국심리'!$K3200)),'자료_한국심리'!$J3200,"")</f>
        <v/>
      </c>
      <c r="Y3216">
        <f>IF(AND(ISNUMBER('자료_한국심리'!$M3200),ISNUMBER('자료_한국심리'!$N3200)),'자료_한국심리'!$M3200,"")</f>
        <v/>
      </c>
    </row>
    <row r="3217">
      <c r="U3217">
        <f>IF(AND(ISNUMBER('자료_한국심리'!$A3201),ISNUMBER('자료_한국심리'!$B3201)),'자료_한국심리'!$A3201,"")</f>
        <v/>
      </c>
      <c r="V3217">
        <f>IF(AND(ISNUMBER('자료_한국심리'!$D3201),ISNUMBER('자료_한국심리'!$E3201)),'자료_한국심리'!$D3201,"")</f>
        <v/>
      </c>
      <c r="W3217">
        <f>IF(AND(ISNUMBER('자료_한국심리'!$G3201),ISNUMBER('자료_한국심리'!$H3201)),'자료_한국심리'!$G3201,"")</f>
        <v/>
      </c>
      <c r="X3217">
        <f>IF(AND(ISNUMBER('자료_한국심리'!$J3201),ISNUMBER('자료_한국심리'!$K3201)),'자료_한국심리'!$J3201,"")</f>
        <v/>
      </c>
      <c r="Y3217">
        <f>IF(AND(ISNUMBER('자료_한국심리'!$M3201),ISNUMBER('자료_한국심리'!$N3201)),'자료_한국심리'!$M3201,"")</f>
        <v/>
      </c>
    </row>
    <row r="3218">
      <c r="U3218">
        <f>IF(AND(ISNUMBER('자료_한국심리'!$A3202),ISNUMBER('자료_한국심리'!$B3202)),'자료_한국심리'!$A3202,"")</f>
        <v/>
      </c>
      <c r="V3218">
        <f>IF(AND(ISNUMBER('자료_한국심리'!$D3202),ISNUMBER('자료_한국심리'!$E3202)),'자료_한국심리'!$D3202,"")</f>
        <v/>
      </c>
      <c r="W3218">
        <f>IF(AND(ISNUMBER('자료_한국심리'!$G3202),ISNUMBER('자료_한국심리'!$H3202)),'자료_한국심리'!$G3202,"")</f>
        <v/>
      </c>
      <c r="X3218">
        <f>IF(AND(ISNUMBER('자료_한국심리'!$J3202),ISNUMBER('자료_한국심리'!$K3202)),'자료_한국심리'!$J3202,"")</f>
        <v/>
      </c>
      <c r="Y3218">
        <f>IF(AND(ISNUMBER('자료_한국심리'!$M3202),ISNUMBER('자료_한국심리'!$N3202)),'자료_한국심리'!$M3202,"")</f>
        <v/>
      </c>
    </row>
    <row r="3219">
      <c r="U3219">
        <f>IF(AND(ISNUMBER('자료_한국심리'!$A3203),ISNUMBER('자료_한국심리'!$B3203)),'자료_한국심리'!$A3203,"")</f>
        <v/>
      </c>
      <c r="V3219">
        <f>IF(AND(ISNUMBER('자료_한국심리'!$D3203),ISNUMBER('자료_한국심리'!$E3203)),'자료_한국심리'!$D3203,"")</f>
        <v/>
      </c>
      <c r="W3219">
        <f>IF(AND(ISNUMBER('자료_한국심리'!$G3203),ISNUMBER('자료_한국심리'!$H3203)),'자료_한국심리'!$G3203,"")</f>
        <v/>
      </c>
      <c r="X3219">
        <f>IF(AND(ISNUMBER('자료_한국심리'!$J3203),ISNUMBER('자료_한국심리'!$K3203)),'자료_한국심리'!$J3203,"")</f>
        <v/>
      </c>
      <c r="Y3219">
        <f>IF(AND(ISNUMBER('자료_한국심리'!$M3203),ISNUMBER('자료_한국심리'!$N3203)),'자료_한국심리'!$M3203,"")</f>
        <v/>
      </c>
    </row>
    <row r="3220">
      <c r="U3220">
        <f>IF(AND(ISNUMBER('자료_한국심리'!$A3204),ISNUMBER('자료_한국심리'!$B3204)),'자료_한국심리'!$A3204,"")</f>
        <v/>
      </c>
      <c r="V3220">
        <f>IF(AND(ISNUMBER('자료_한국심리'!$D3204),ISNUMBER('자료_한국심리'!$E3204)),'자료_한국심리'!$D3204,"")</f>
        <v/>
      </c>
      <c r="W3220">
        <f>IF(AND(ISNUMBER('자료_한국심리'!$G3204),ISNUMBER('자료_한국심리'!$H3204)),'자료_한국심리'!$G3204,"")</f>
        <v/>
      </c>
      <c r="X3220">
        <f>IF(AND(ISNUMBER('자료_한국심리'!$J3204),ISNUMBER('자료_한국심리'!$K3204)),'자료_한국심리'!$J3204,"")</f>
        <v/>
      </c>
      <c r="Y3220">
        <f>IF(AND(ISNUMBER('자료_한국심리'!$M3204),ISNUMBER('자료_한국심리'!$N3204)),'자료_한국심리'!$M3204,"")</f>
        <v/>
      </c>
    </row>
    <row r="3221">
      <c r="U3221">
        <f>IF(AND(ISNUMBER('자료_한국심리'!$A3205),ISNUMBER('자료_한국심리'!$B3205)),'자료_한국심리'!$A3205,"")</f>
        <v/>
      </c>
      <c r="V3221">
        <f>IF(AND(ISNUMBER('자료_한국심리'!$D3205),ISNUMBER('자료_한국심리'!$E3205)),'자료_한국심리'!$D3205,"")</f>
        <v/>
      </c>
      <c r="W3221">
        <f>IF(AND(ISNUMBER('자료_한국심리'!$G3205),ISNUMBER('자료_한국심리'!$H3205)),'자료_한국심리'!$G3205,"")</f>
        <v/>
      </c>
      <c r="X3221">
        <f>IF(AND(ISNUMBER('자료_한국심리'!$J3205),ISNUMBER('자료_한국심리'!$K3205)),'자료_한국심리'!$J3205,"")</f>
        <v/>
      </c>
      <c r="Y3221">
        <f>IF(AND(ISNUMBER('자료_한국심리'!$M3205),ISNUMBER('자료_한국심리'!$N3205)),'자료_한국심리'!$M3205,"")</f>
        <v/>
      </c>
    </row>
    <row r="3222">
      <c r="U3222">
        <f>IF(AND(ISNUMBER('자료_한국심리'!$A3206),ISNUMBER('자료_한국심리'!$B3206)),'자료_한국심리'!$A3206,"")</f>
        <v/>
      </c>
      <c r="V3222">
        <f>IF(AND(ISNUMBER('자료_한국심리'!$D3206),ISNUMBER('자료_한국심리'!$E3206)),'자료_한국심리'!$D3206,"")</f>
        <v/>
      </c>
      <c r="W3222">
        <f>IF(AND(ISNUMBER('자료_한국심리'!$G3206),ISNUMBER('자료_한국심리'!$H3206)),'자료_한국심리'!$G3206,"")</f>
        <v/>
      </c>
      <c r="X3222">
        <f>IF(AND(ISNUMBER('자료_한국심리'!$J3206),ISNUMBER('자료_한국심리'!$K3206)),'자료_한국심리'!$J3206,"")</f>
        <v/>
      </c>
      <c r="Y3222">
        <f>IF(AND(ISNUMBER('자료_한국심리'!$M3206),ISNUMBER('자료_한국심리'!$N3206)),'자료_한국심리'!$M3206,"")</f>
        <v/>
      </c>
    </row>
    <row r="3223">
      <c r="U3223">
        <f>IF(AND(ISNUMBER('자료_한국심리'!$A3207),ISNUMBER('자료_한국심리'!$B3207)),'자료_한국심리'!$A3207,"")</f>
        <v/>
      </c>
      <c r="V3223">
        <f>IF(AND(ISNUMBER('자료_한국심리'!$D3207),ISNUMBER('자료_한국심리'!$E3207)),'자료_한국심리'!$D3207,"")</f>
        <v/>
      </c>
      <c r="W3223">
        <f>IF(AND(ISNUMBER('자료_한국심리'!$G3207),ISNUMBER('자료_한국심리'!$H3207)),'자료_한국심리'!$G3207,"")</f>
        <v/>
      </c>
      <c r="X3223">
        <f>IF(AND(ISNUMBER('자료_한국심리'!$J3207),ISNUMBER('자료_한국심리'!$K3207)),'자료_한국심리'!$J3207,"")</f>
        <v/>
      </c>
      <c r="Y3223">
        <f>IF(AND(ISNUMBER('자료_한국심리'!$M3207),ISNUMBER('자료_한국심리'!$N3207)),'자료_한국심리'!$M3207,"")</f>
        <v/>
      </c>
    </row>
    <row r="3224">
      <c r="U3224">
        <f>IF(AND(ISNUMBER('자료_한국심리'!$A3208),ISNUMBER('자료_한국심리'!$B3208)),'자료_한국심리'!$A3208,"")</f>
        <v/>
      </c>
      <c r="V3224">
        <f>IF(AND(ISNUMBER('자료_한국심리'!$D3208),ISNUMBER('자료_한국심리'!$E3208)),'자료_한국심리'!$D3208,"")</f>
        <v/>
      </c>
      <c r="W3224">
        <f>IF(AND(ISNUMBER('자료_한국심리'!$G3208),ISNUMBER('자료_한국심리'!$H3208)),'자료_한국심리'!$G3208,"")</f>
        <v/>
      </c>
      <c r="X3224">
        <f>IF(AND(ISNUMBER('자료_한국심리'!$J3208),ISNUMBER('자료_한국심리'!$K3208)),'자료_한국심리'!$J3208,"")</f>
        <v/>
      </c>
      <c r="Y3224">
        <f>IF(AND(ISNUMBER('자료_한국심리'!$M3208),ISNUMBER('자료_한국심리'!$N3208)),'자료_한국심리'!$M3208,"")</f>
        <v/>
      </c>
    </row>
    <row r="3225">
      <c r="U3225">
        <f>IF(AND(ISNUMBER('자료_한국심리'!$A3209),ISNUMBER('자료_한국심리'!$B3209)),'자료_한국심리'!$A3209,"")</f>
        <v/>
      </c>
      <c r="V3225">
        <f>IF(AND(ISNUMBER('자료_한국심리'!$D3209),ISNUMBER('자료_한국심리'!$E3209)),'자료_한국심리'!$D3209,"")</f>
        <v/>
      </c>
      <c r="W3225">
        <f>IF(AND(ISNUMBER('자료_한국심리'!$G3209),ISNUMBER('자료_한국심리'!$H3209)),'자료_한국심리'!$G3209,"")</f>
        <v/>
      </c>
      <c r="X3225">
        <f>IF(AND(ISNUMBER('자료_한국심리'!$J3209),ISNUMBER('자료_한국심리'!$K3209)),'자료_한국심리'!$J3209,"")</f>
        <v/>
      </c>
      <c r="Y3225">
        <f>IF(AND(ISNUMBER('자료_한국심리'!$M3209),ISNUMBER('자료_한국심리'!$N3209)),'자료_한국심리'!$M3209,"")</f>
        <v/>
      </c>
    </row>
    <row r="3226">
      <c r="U3226">
        <f>IF(AND(ISNUMBER('자료_한국심리'!$A3210),ISNUMBER('자료_한국심리'!$B3210)),'자료_한국심리'!$A3210,"")</f>
        <v/>
      </c>
      <c r="V3226">
        <f>IF(AND(ISNUMBER('자료_한국심리'!$D3210),ISNUMBER('자료_한국심리'!$E3210)),'자료_한국심리'!$D3210,"")</f>
        <v/>
      </c>
      <c r="W3226">
        <f>IF(AND(ISNUMBER('자료_한국심리'!$G3210),ISNUMBER('자료_한국심리'!$H3210)),'자료_한국심리'!$G3210,"")</f>
        <v/>
      </c>
      <c r="X3226">
        <f>IF(AND(ISNUMBER('자료_한국심리'!$J3210),ISNUMBER('자료_한국심리'!$K3210)),'자료_한국심리'!$J3210,"")</f>
        <v/>
      </c>
      <c r="Y3226">
        <f>IF(AND(ISNUMBER('자료_한국심리'!$M3210),ISNUMBER('자료_한국심리'!$N3210)),'자료_한국심리'!$M3210,"")</f>
        <v/>
      </c>
    </row>
    <row r="3227">
      <c r="U3227">
        <f>IF(AND(ISNUMBER('자료_한국심리'!$A3211),ISNUMBER('자료_한국심리'!$B3211)),'자료_한국심리'!$A3211,"")</f>
        <v/>
      </c>
      <c r="V3227">
        <f>IF(AND(ISNUMBER('자료_한국심리'!$D3211),ISNUMBER('자료_한국심리'!$E3211)),'자료_한국심리'!$D3211,"")</f>
        <v/>
      </c>
      <c r="W3227">
        <f>IF(AND(ISNUMBER('자료_한국심리'!$G3211),ISNUMBER('자료_한국심리'!$H3211)),'자료_한국심리'!$G3211,"")</f>
        <v/>
      </c>
      <c r="X3227">
        <f>IF(AND(ISNUMBER('자료_한국심리'!$J3211),ISNUMBER('자료_한국심리'!$K3211)),'자료_한국심리'!$J3211,"")</f>
        <v/>
      </c>
      <c r="Y3227">
        <f>IF(AND(ISNUMBER('자료_한국심리'!$M3211),ISNUMBER('자료_한국심리'!$N3211)),'자료_한국심리'!$M3211,"")</f>
        <v/>
      </c>
    </row>
    <row r="3228">
      <c r="U3228">
        <f>IF(AND(ISNUMBER('자료_한국심리'!$A3212),ISNUMBER('자료_한국심리'!$B3212)),'자료_한국심리'!$A3212,"")</f>
        <v/>
      </c>
      <c r="V3228">
        <f>IF(AND(ISNUMBER('자료_한국심리'!$D3212),ISNUMBER('자료_한국심리'!$E3212)),'자료_한국심리'!$D3212,"")</f>
        <v/>
      </c>
      <c r="W3228">
        <f>IF(AND(ISNUMBER('자료_한국심리'!$G3212),ISNUMBER('자료_한국심리'!$H3212)),'자료_한국심리'!$G3212,"")</f>
        <v/>
      </c>
      <c r="X3228">
        <f>IF(AND(ISNUMBER('자료_한국심리'!$J3212),ISNUMBER('자료_한국심리'!$K3212)),'자료_한국심리'!$J3212,"")</f>
        <v/>
      </c>
      <c r="Y3228">
        <f>IF(AND(ISNUMBER('자료_한국심리'!$M3212),ISNUMBER('자료_한국심리'!$N3212)),'자료_한국심리'!$M3212,"")</f>
        <v/>
      </c>
    </row>
    <row r="3229">
      <c r="U3229">
        <f>IF(AND(ISNUMBER('자료_한국심리'!$A3213),ISNUMBER('자료_한국심리'!$B3213)),'자료_한국심리'!$A3213,"")</f>
        <v/>
      </c>
      <c r="V3229">
        <f>IF(AND(ISNUMBER('자료_한국심리'!$D3213),ISNUMBER('자료_한국심리'!$E3213)),'자료_한국심리'!$D3213,"")</f>
        <v/>
      </c>
      <c r="W3229">
        <f>IF(AND(ISNUMBER('자료_한국심리'!$G3213),ISNUMBER('자료_한국심리'!$H3213)),'자료_한국심리'!$G3213,"")</f>
        <v/>
      </c>
      <c r="X3229">
        <f>IF(AND(ISNUMBER('자료_한국심리'!$J3213),ISNUMBER('자료_한국심리'!$K3213)),'자료_한국심리'!$J3213,"")</f>
        <v/>
      </c>
      <c r="Y3229">
        <f>IF(AND(ISNUMBER('자료_한국심리'!$M3213),ISNUMBER('자료_한국심리'!$N3213)),'자료_한국심리'!$M3213,"")</f>
        <v/>
      </c>
    </row>
    <row r="3230">
      <c r="U3230">
        <f>IF(AND(ISNUMBER('자료_한국심리'!$A3214),ISNUMBER('자료_한국심리'!$B3214)),'자료_한국심리'!$A3214,"")</f>
        <v/>
      </c>
      <c r="V3230">
        <f>IF(AND(ISNUMBER('자료_한국심리'!$D3214),ISNUMBER('자료_한국심리'!$E3214)),'자료_한국심리'!$D3214,"")</f>
        <v/>
      </c>
      <c r="W3230">
        <f>IF(AND(ISNUMBER('자료_한국심리'!$G3214),ISNUMBER('자료_한국심리'!$H3214)),'자료_한국심리'!$G3214,"")</f>
        <v/>
      </c>
      <c r="X3230">
        <f>IF(AND(ISNUMBER('자료_한국심리'!$J3214),ISNUMBER('자료_한국심리'!$K3214)),'자료_한국심리'!$J3214,"")</f>
        <v/>
      </c>
      <c r="Y3230">
        <f>IF(AND(ISNUMBER('자료_한국심리'!$M3214),ISNUMBER('자료_한국심리'!$N3214)),'자료_한국심리'!$M3214,"")</f>
        <v/>
      </c>
    </row>
    <row r="3231">
      <c r="U3231">
        <f>IF(AND(ISNUMBER('자료_한국심리'!$A3215),ISNUMBER('자료_한국심리'!$B3215)),'자료_한국심리'!$A3215,"")</f>
        <v/>
      </c>
      <c r="V3231">
        <f>IF(AND(ISNUMBER('자료_한국심리'!$D3215),ISNUMBER('자료_한국심리'!$E3215)),'자료_한국심리'!$D3215,"")</f>
        <v/>
      </c>
      <c r="W3231">
        <f>IF(AND(ISNUMBER('자료_한국심리'!$G3215),ISNUMBER('자료_한국심리'!$H3215)),'자료_한국심리'!$G3215,"")</f>
        <v/>
      </c>
      <c r="X3231">
        <f>IF(AND(ISNUMBER('자료_한국심리'!$J3215),ISNUMBER('자료_한국심리'!$K3215)),'자료_한국심리'!$J3215,"")</f>
        <v/>
      </c>
      <c r="Y3231">
        <f>IF(AND(ISNUMBER('자료_한국심리'!$M3215),ISNUMBER('자료_한국심리'!$N3215)),'자료_한국심리'!$M3215,"")</f>
        <v/>
      </c>
    </row>
    <row r="3232">
      <c r="U3232">
        <f>IF(AND(ISNUMBER('자료_한국심리'!$A3216),ISNUMBER('자료_한국심리'!$B3216)),'자료_한국심리'!$A3216,"")</f>
        <v/>
      </c>
      <c r="V3232">
        <f>IF(AND(ISNUMBER('자료_한국심리'!$D3216),ISNUMBER('자료_한국심리'!$E3216)),'자료_한국심리'!$D3216,"")</f>
        <v/>
      </c>
      <c r="W3232">
        <f>IF(AND(ISNUMBER('자료_한국심리'!$G3216),ISNUMBER('자료_한국심리'!$H3216)),'자료_한국심리'!$G3216,"")</f>
        <v/>
      </c>
      <c r="X3232">
        <f>IF(AND(ISNUMBER('자료_한국심리'!$J3216),ISNUMBER('자료_한국심리'!$K3216)),'자료_한국심리'!$J3216,"")</f>
        <v/>
      </c>
      <c r="Y3232">
        <f>IF(AND(ISNUMBER('자료_한국심리'!$M3216),ISNUMBER('자료_한국심리'!$N3216)),'자료_한국심리'!$M3216,"")</f>
        <v/>
      </c>
    </row>
    <row r="3233">
      <c r="U3233">
        <f>IF(AND(ISNUMBER('자료_한국심리'!$A3217),ISNUMBER('자료_한국심리'!$B3217)),'자료_한국심리'!$A3217,"")</f>
        <v/>
      </c>
      <c r="V3233">
        <f>IF(AND(ISNUMBER('자료_한국심리'!$D3217),ISNUMBER('자료_한국심리'!$E3217)),'자료_한국심리'!$D3217,"")</f>
        <v/>
      </c>
      <c r="W3233">
        <f>IF(AND(ISNUMBER('자료_한국심리'!$G3217),ISNUMBER('자료_한국심리'!$H3217)),'자료_한국심리'!$G3217,"")</f>
        <v/>
      </c>
      <c r="X3233">
        <f>IF(AND(ISNUMBER('자료_한국심리'!$J3217),ISNUMBER('자료_한국심리'!$K3217)),'자료_한국심리'!$J3217,"")</f>
        <v/>
      </c>
      <c r="Y3233">
        <f>IF(AND(ISNUMBER('자료_한국심리'!$M3217),ISNUMBER('자료_한국심리'!$N3217)),'자료_한국심리'!$M3217,"")</f>
        <v/>
      </c>
    </row>
    <row r="3234">
      <c r="U3234">
        <f>IF(AND(ISNUMBER('자료_한국심리'!$A3218),ISNUMBER('자료_한국심리'!$B3218)),'자료_한국심리'!$A3218,"")</f>
        <v/>
      </c>
      <c r="V3234">
        <f>IF(AND(ISNUMBER('자료_한국심리'!$D3218),ISNUMBER('자료_한국심리'!$E3218)),'자료_한국심리'!$D3218,"")</f>
        <v/>
      </c>
      <c r="W3234">
        <f>IF(AND(ISNUMBER('자료_한국심리'!$G3218),ISNUMBER('자료_한국심리'!$H3218)),'자료_한국심리'!$G3218,"")</f>
        <v/>
      </c>
      <c r="X3234">
        <f>IF(AND(ISNUMBER('자료_한국심리'!$J3218),ISNUMBER('자료_한국심리'!$K3218)),'자료_한국심리'!$J3218,"")</f>
        <v/>
      </c>
      <c r="Y3234">
        <f>IF(AND(ISNUMBER('자료_한국심리'!$M3218),ISNUMBER('자료_한국심리'!$N3218)),'자료_한국심리'!$M3218,"")</f>
        <v/>
      </c>
    </row>
    <row r="3235">
      <c r="U3235">
        <f>IF(AND(ISNUMBER('자료_한국심리'!$A3219),ISNUMBER('자료_한국심리'!$B3219)),'자료_한국심리'!$A3219,"")</f>
        <v/>
      </c>
      <c r="V3235">
        <f>IF(AND(ISNUMBER('자료_한국심리'!$D3219),ISNUMBER('자료_한국심리'!$E3219)),'자료_한국심리'!$D3219,"")</f>
        <v/>
      </c>
      <c r="W3235">
        <f>IF(AND(ISNUMBER('자료_한국심리'!$G3219),ISNUMBER('자료_한국심리'!$H3219)),'자료_한국심리'!$G3219,"")</f>
        <v/>
      </c>
      <c r="X3235">
        <f>IF(AND(ISNUMBER('자료_한국심리'!$J3219),ISNUMBER('자료_한국심리'!$K3219)),'자료_한국심리'!$J3219,"")</f>
        <v/>
      </c>
      <c r="Y3235">
        <f>IF(AND(ISNUMBER('자료_한국심리'!$M3219),ISNUMBER('자료_한국심리'!$N3219)),'자료_한국심리'!$M3219,"")</f>
        <v/>
      </c>
    </row>
    <row r="3236">
      <c r="U3236">
        <f>IF(AND(ISNUMBER('자료_한국심리'!$A3220),ISNUMBER('자료_한국심리'!$B3220)),'자료_한국심리'!$A3220,"")</f>
        <v/>
      </c>
      <c r="V3236">
        <f>IF(AND(ISNUMBER('자료_한국심리'!$D3220),ISNUMBER('자료_한국심리'!$E3220)),'자료_한국심리'!$D3220,"")</f>
        <v/>
      </c>
      <c r="W3236">
        <f>IF(AND(ISNUMBER('자료_한국심리'!$G3220),ISNUMBER('자료_한국심리'!$H3220)),'자료_한국심리'!$G3220,"")</f>
        <v/>
      </c>
      <c r="X3236">
        <f>IF(AND(ISNUMBER('자료_한국심리'!$J3220),ISNUMBER('자료_한국심리'!$K3220)),'자료_한국심리'!$J3220,"")</f>
        <v/>
      </c>
      <c r="Y3236">
        <f>IF(AND(ISNUMBER('자료_한국심리'!$M3220),ISNUMBER('자료_한국심리'!$N3220)),'자료_한국심리'!$M3220,"")</f>
        <v/>
      </c>
    </row>
    <row r="3237">
      <c r="U3237">
        <f>IF(AND(ISNUMBER('자료_한국심리'!$A3221),ISNUMBER('자료_한국심리'!$B3221)),'자료_한국심리'!$A3221,"")</f>
        <v/>
      </c>
      <c r="V3237">
        <f>IF(AND(ISNUMBER('자료_한국심리'!$D3221),ISNUMBER('자료_한국심리'!$E3221)),'자료_한국심리'!$D3221,"")</f>
        <v/>
      </c>
      <c r="W3237">
        <f>IF(AND(ISNUMBER('자료_한국심리'!$G3221),ISNUMBER('자료_한국심리'!$H3221)),'자료_한국심리'!$G3221,"")</f>
        <v/>
      </c>
      <c r="X3237">
        <f>IF(AND(ISNUMBER('자료_한국심리'!$J3221),ISNUMBER('자료_한국심리'!$K3221)),'자료_한국심리'!$J3221,"")</f>
        <v/>
      </c>
      <c r="Y3237">
        <f>IF(AND(ISNUMBER('자료_한국심리'!$M3221),ISNUMBER('자료_한국심리'!$N3221)),'자료_한국심리'!$M3221,"")</f>
        <v/>
      </c>
    </row>
    <row r="3238">
      <c r="U3238">
        <f>IF(AND(ISNUMBER('자료_한국심리'!$A3222),ISNUMBER('자료_한국심리'!$B3222)),'자료_한국심리'!$A3222,"")</f>
        <v/>
      </c>
      <c r="V3238">
        <f>IF(AND(ISNUMBER('자료_한국심리'!$D3222),ISNUMBER('자료_한국심리'!$E3222)),'자료_한국심리'!$D3222,"")</f>
        <v/>
      </c>
      <c r="W3238">
        <f>IF(AND(ISNUMBER('자료_한국심리'!$G3222),ISNUMBER('자료_한국심리'!$H3222)),'자료_한국심리'!$G3222,"")</f>
        <v/>
      </c>
      <c r="X3238">
        <f>IF(AND(ISNUMBER('자료_한국심리'!$J3222),ISNUMBER('자료_한국심리'!$K3222)),'자료_한국심리'!$J3222,"")</f>
        <v/>
      </c>
      <c r="Y3238">
        <f>IF(AND(ISNUMBER('자료_한국심리'!$M3222),ISNUMBER('자료_한국심리'!$N3222)),'자료_한국심리'!$M3222,"")</f>
        <v/>
      </c>
    </row>
    <row r="3239">
      <c r="U3239">
        <f>IF(AND(ISNUMBER('자료_한국심리'!$A3223),ISNUMBER('자료_한국심리'!$B3223)),'자료_한국심리'!$A3223,"")</f>
        <v/>
      </c>
      <c r="V3239">
        <f>IF(AND(ISNUMBER('자료_한국심리'!$D3223),ISNUMBER('자료_한국심리'!$E3223)),'자료_한국심리'!$D3223,"")</f>
        <v/>
      </c>
      <c r="W3239">
        <f>IF(AND(ISNUMBER('자료_한국심리'!$G3223),ISNUMBER('자료_한국심리'!$H3223)),'자료_한국심리'!$G3223,"")</f>
        <v/>
      </c>
      <c r="X3239">
        <f>IF(AND(ISNUMBER('자료_한국심리'!$J3223),ISNUMBER('자료_한국심리'!$K3223)),'자료_한국심리'!$J3223,"")</f>
        <v/>
      </c>
      <c r="Y3239">
        <f>IF(AND(ISNUMBER('자료_한국심리'!$M3223),ISNUMBER('자료_한국심리'!$N3223)),'자료_한국심리'!$M3223,"")</f>
        <v/>
      </c>
    </row>
    <row r="3240">
      <c r="U3240">
        <f>IF(AND(ISNUMBER('자료_한국심리'!$A3224),ISNUMBER('자료_한국심리'!$B3224)),'자료_한국심리'!$A3224,"")</f>
        <v/>
      </c>
      <c r="V3240">
        <f>IF(AND(ISNUMBER('자료_한국심리'!$D3224),ISNUMBER('자료_한국심리'!$E3224)),'자료_한국심리'!$D3224,"")</f>
        <v/>
      </c>
      <c r="W3240">
        <f>IF(AND(ISNUMBER('자료_한국심리'!$G3224),ISNUMBER('자료_한국심리'!$H3224)),'자료_한국심리'!$G3224,"")</f>
        <v/>
      </c>
      <c r="X3240">
        <f>IF(AND(ISNUMBER('자료_한국심리'!$J3224),ISNUMBER('자료_한국심리'!$K3224)),'자료_한국심리'!$J3224,"")</f>
        <v/>
      </c>
      <c r="Y3240">
        <f>IF(AND(ISNUMBER('자료_한국심리'!$M3224),ISNUMBER('자료_한국심리'!$N3224)),'자료_한국심리'!$M3224,"")</f>
        <v/>
      </c>
    </row>
    <row r="3241">
      <c r="U3241">
        <f>IF(AND(ISNUMBER('자료_한국심리'!$A3225),ISNUMBER('자료_한국심리'!$B3225)),'자료_한국심리'!$A3225,"")</f>
        <v/>
      </c>
      <c r="V3241">
        <f>IF(AND(ISNUMBER('자료_한국심리'!$D3225),ISNUMBER('자료_한국심리'!$E3225)),'자료_한국심리'!$D3225,"")</f>
        <v/>
      </c>
      <c r="W3241">
        <f>IF(AND(ISNUMBER('자료_한국심리'!$G3225),ISNUMBER('자료_한국심리'!$H3225)),'자료_한국심리'!$G3225,"")</f>
        <v/>
      </c>
      <c r="X3241">
        <f>IF(AND(ISNUMBER('자료_한국심리'!$J3225),ISNUMBER('자료_한국심리'!$K3225)),'자료_한국심리'!$J3225,"")</f>
        <v/>
      </c>
      <c r="Y3241">
        <f>IF(AND(ISNUMBER('자료_한국심리'!$M3225),ISNUMBER('자료_한국심리'!$N3225)),'자료_한국심리'!$M3225,"")</f>
        <v/>
      </c>
    </row>
    <row r="3242">
      <c r="U3242">
        <f>IF(AND(ISNUMBER('자료_한국심리'!$A3226),ISNUMBER('자료_한국심리'!$B3226)),'자료_한국심리'!$A3226,"")</f>
        <v/>
      </c>
      <c r="V3242">
        <f>IF(AND(ISNUMBER('자료_한국심리'!$D3226),ISNUMBER('자료_한국심리'!$E3226)),'자료_한국심리'!$D3226,"")</f>
        <v/>
      </c>
      <c r="W3242">
        <f>IF(AND(ISNUMBER('자료_한국심리'!$G3226),ISNUMBER('자료_한국심리'!$H3226)),'자료_한국심리'!$G3226,"")</f>
        <v/>
      </c>
      <c r="X3242">
        <f>IF(AND(ISNUMBER('자료_한국심리'!$J3226),ISNUMBER('자료_한국심리'!$K3226)),'자료_한국심리'!$J3226,"")</f>
        <v/>
      </c>
      <c r="Y3242">
        <f>IF(AND(ISNUMBER('자료_한국심리'!$M3226),ISNUMBER('자료_한국심리'!$N3226)),'자료_한국심리'!$M3226,"")</f>
        <v/>
      </c>
    </row>
    <row r="3243">
      <c r="U3243">
        <f>IF(AND(ISNUMBER('자료_한국심리'!$A3227),ISNUMBER('자료_한국심리'!$B3227)),'자료_한국심리'!$A3227,"")</f>
        <v/>
      </c>
      <c r="V3243">
        <f>IF(AND(ISNUMBER('자료_한국심리'!$D3227),ISNUMBER('자료_한국심리'!$E3227)),'자료_한국심리'!$D3227,"")</f>
        <v/>
      </c>
      <c r="W3243">
        <f>IF(AND(ISNUMBER('자료_한국심리'!$G3227),ISNUMBER('자료_한국심리'!$H3227)),'자료_한국심리'!$G3227,"")</f>
        <v/>
      </c>
      <c r="X3243">
        <f>IF(AND(ISNUMBER('자료_한국심리'!$J3227),ISNUMBER('자료_한국심리'!$K3227)),'자료_한국심리'!$J3227,"")</f>
        <v/>
      </c>
      <c r="Y3243">
        <f>IF(AND(ISNUMBER('자료_한국심리'!$M3227),ISNUMBER('자료_한국심리'!$N3227)),'자료_한국심리'!$M3227,"")</f>
        <v/>
      </c>
    </row>
    <row r="3244">
      <c r="U3244">
        <f>IF(AND(ISNUMBER('자료_한국심리'!$A3228),ISNUMBER('자료_한국심리'!$B3228)),'자료_한국심리'!$A3228,"")</f>
        <v/>
      </c>
      <c r="V3244">
        <f>IF(AND(ISNUMBER('자료_한국심리'!$D3228),ISNUMBER('자료_한국심리'!$E3228)),'자료_한국심리'!$D3228,"")</f>
        <v/>
      </c>
      <c r="W3244">
        <f>IF(AND(ISNUMBER('자료_한국심리'!$G3228),ISNUMBER('자료_한국심리'!$H3228)),'자료_한국심리'!$G3228,"")</f>
        <v/>
      </c>
      <c r="X3244">
        <f>IF(AND(ISNUMBER('자료_한국심리'!$J3228),ISNUMBER('자료_한국심리'!$K3228)),'자료_한국심리'!$J3228,"")</f>
        <v/>
      </c>
      <c r="Y3244">
        <f>IF(AND(ISNUMBER('자료_한국심리'!$M3228),ISNUMBER('자료_한국심리'!$N3228)),'자료_한국심리'!$M3228,"")</f>
        <v/>
      </c>
    </row>
    <row r="3245">
      <c r="U3245">
        <f>IF(AND(ISNUMBER('자료_한국심리'!$A3229),ISNUMBER('자료_한국심리'!$B3229)),'자료_한국심리'!$A3229,"")</f>
        <v/>
      </c>
      <c r="V3245">
        <f>IF(AND(ISNUMBER('자료_한국심리'!$D3229),ISNUMBER('자료_한국심리'!$E3229)),'자료_한국심리'!$D3229,"")</f>
        <v/>
      </c>
      <c r="W3245">
        <f>IF(AND(ISNUMBER('자료_한국심리'!$G3229),ISNUMBER('자료_한국심리'!$H3229)),'자료_한국심리'!$G3229,"")</f>
        <v/>
      </c>
      <c r="X3245">
        <f>IF(AND(ISNUMBER('자료_한국심리'!$J3229),ISNUMBER('자료_한국심리'!$K3229)),'자료_한국심리'!$J3229,"")</f>
        <v/>
      </c>
      <c r="Y3245">
        <f>IF(AND(ISNUMBER('자료_한국심리'!$M3229),ISNUMBER('자료_한국심리'!$N3229)),'자료_한국심리'!$M3229,"")</f>
        <v/>
      </c>
    </row>
    <row r="3246">
      <c r="U3246">
        <f>IF(AND(ISNUMBER('자료_한국심리'!$A3230),ISNUMBER('자료_한국심리'!$B3230)),'자료_한국심리'!$A3230,"")</f>
        <v/>
      </c>
      <c r="V3246">
        <f>IF(AND(ISNUMBER('자료_한국심리'!$D3230),ISNUMBER('자료_한국심리'!$E3230)),'자료_한국심리'!$D3230,"")</f>
        <v/>
      </c>
      <c r="W3246">
        <f>IF(AND(ISNUMBER('자료_한국심리'!$G3230),ISNUMBER('자료_한국심리'!$H3230)),'자료_한국심리'!$G3230,"")</f>
        <v/>
      </c>
      <c r="X3246">
        <f>IF(AND(ISNUMBER('자료_한국심리'!$J3230),ISNUMBER('자료_한국심리'!$K3230)),'자료_한국심리'!$J3230,"")</f>
        <v/>
      </c>
      <c r="Y3246">
        <f>IF(AND(ISNUMBER('자료_한국심리'!$M3230),ISNUMBER('자료_한국심리'!$N3230)),'자료_한국심리'!$M3230,"")</f>
        <v/>
      </c>
    </row>
    <row r="3247">
      <c r="U3247">
        <f>IF(AND(ISNUMBER('자료_한국심리'!$A3231),ISNUMBER('자료_한국심리'!$B3231)),'자료_한국심리'!$A3231,"")</f>
        <v/>
      </c>
      <c r="V3247">
        <f>IF(AND(ISNUMBER('자료_한국심리'!$D3231),ISNUMBER('자료_한국심리'!$E3231)),'자료_한국심리'!$D3231,"")</f>
        <v/>
      </c>
      <c r="W3247">
        <f>IF(AND(ISNUMBER('자료_한국심리'!$G3231),ISNUMBER('자료_한국심리'!$H3231)),'자료_한국심리'!$G3231,"")</f>
        <v/>
      </c>
      <c r="X3247">
        <f>IF(AND(ISNUMBER('자료_한국심리'!$J3231),ISNUMBER('자료_한국심리'!$K3231)),'자료_한국심리'!$J3231,"")</f>
        <v/>
      </c>
      <c r="Y3247">
        <f>IF(AND(ISNUMBER('자료_한국심리'!$M3231),ISNUMBER('자료_한국심리'!$N3231)),'자료_한국심리'!$M3231,"")</f>
        <v/>
      </c>
    </row>
    <row r="3248">
      <c r="U3248">
        <f>IF(AND(ISNUMBER('자료_한국심리'!$A3232),ISNUMBER('자료_한국심리'!$B3232)),'자료_한국심리'!$A3232,"")</f>
        <v/>
      </c>
      <c r="V3248">
        <f>IF(AND(ISNUMBER('자료_한국심리'!$D3232),ISNUMBER('자료_한국심리'!$E3232)),'자료_한국심리'!$D3232,"")</f>
        <v/>
      </c>
      <c r="W3248">
        <f>IF(AND(ISNUMBER('자료_한국심리'!$G3232),ISNUMBER('자료_한국심리'!$H3232)),'자료_한국심리'!$G3232,"")</f>
        <v/>
      </c>
      <c r="X3248">
        <f>IF(AND(ISNUMBER('자료_한국심리'!$J3232),ISNUMBER('자료_한국심리'!$K3232)),'자료_한국심리'!$J3232,"")</f>
        <v/>
      </c>
      <c r="Y3248">
        <f>IF(AND(ISNUMBER('자료_한국심리'!$M3232),ISNUMBER('자료_한국심리'!$N3232)),'자료_한국심리'!$M3232,"")</f>
        <v/>
      </c>
    </row>
    <row r="3249">
      <c r="U3249">
        <f>IF(AND(ISNUMBER('자료_한국심리'!$A3233),ISNUMBER('자료_한국심리'!$B3233)),'자료_한국심리'!$A3233,"")</f>
        <v/>
      </c>
      <c r="V3249">
        <f>IF(AND(ISNUMBER('자료_한국심리'!$D3233),ISNUMBER('자료_한국심리'!$E3233)),'자료_한국심리'!$D3233,"")</f>
        <v/>
      </c>
      <c r="W3249">
        <f>IF(AND(ISNUMBER('자료_한국심리'!$G3233),ISNUMBER('자료_한국심리'!$H3233)),'자료_한국심리'!$G3233,"")</f>
        <v/>
      </c>
      <c r="X3249">
        <f>IF(AND(ISNUMBER('자료_한국심리'!$J3233),ISNUMBER('자료_한국심리'!$K3233)),'자료_한국심리'!$J3233,"")</f>
        <v/>
      </c>
      <c r="Y3249">
        <f>IF(AND(ISNUMBER('자료_한국심리'!$M3233),ISNUMBER('자료_한국심리'!$N3233)),'자료_한국심리'!$M3233,"")</f>
        <v/>
      </c>
    </row>
    <row r="3250">
      <c r="U3250">
        <f>IF(AND(ISNUMBER('자료_한국심리'!$A3234),ISNUMBER('자료_한국심리'!$B3234)),'자료_한국심리'!$A3234,"")</f>
        <v/>
      </c>
      <c r="V3250">
        <f>IF(AND(ISNUMBER('자료_한국심리'!$D3234),ISNUMBER('자료_한국심리'!$E3234)),'자료_한국심리'!$D3234,"")</f>
        <v/>
      </c>
      <c r="W3250">
        <f>IF(AND(ISNUMBER('자료_한국심리'!$G3234),ISNUMBER('자료_한국심리'!$H3234)),'자료_한국심리'!$G3234,"")</f>
        <v/>
      </c>
      <c r="X3250">
        <f>IF(AND(ISNUMBER('자료_한국심리'!$J3234),ISNUMBER('자료_한국심리'!$K3234)),'자료_한국심리'!$J3234,"")</f>
        <v/>
      </c>
      <c r="Y3250">
        <f>IF(AND(ISNUMBER('자료_한국심리'!$M3234),ISNUMBER('자료_한국심리'!$N3234)),'자료_한국심리'!$M3234,"")</f>
        <v/>
      </c>
    </row>
    <row r="3251">
      <c r="U3251">
        <f>IF(AND(ISNUMBER('자료_한국심리'!$A3235),ISNUMBER('자료_한국심리'!$B3235)),'자료_한국심리'!$A3235,"")</f>
        <v/>
      </c>
      <c r="V3251">
        <f>IF(AND(ISNUMBER('자료_한국심리'!$D3235),ISNUMBER('자료_한국심리'!$E3235)),'자료_한국심리'!$D3235,"")</f>
        <v/>
      </c>
      <c r="W3251">
        <f>IF(AND(ISNUMBER('자료_한국심리'!$G3235),ISNUMBER('자료_한국심리'!$H3235)),'자료_한국심리'!$G3235,"")</f>
        <v/>
      </c>
      <c r="X3251">
        <f>IF(AND(ISNUMBER('자료_한국심리'!$J3235),ISNUMBER('자료_한국심리'!$K3235)),'자료_한국심리'!$J3235,"")</f>
        <v/>
      </c>
      <c r="Y3251">
        <f>IF(AND(ISNUMBER('자료_한국심리'!$M3235),ISNUMBER('자료_한국심리'!$N3235)),'자료_한국심리'!$M3235,"")</f>
        <v/>
      </c>
    </row>
    <row r="3252">
      <c r="U3252">
        <f>IF(AND(ISNUMBER('자료_한국심리'!$A3236),ISNUMBER('자료_한국심리'!$B3236)),'자료_한국심리'!$A3236,"")</f>
        <v/>
      </c>
      <c r="V3252">
        <f>IF(AND(ISNUMBER('자료_한국심리'!$D3236),ISNUMBER('자료_한국심리'!$E3236)),'자료_한국심리'!$D3236,"")</f>
        <v/>
      </c>
      <c r="W3252">
        <f>IF(AND(ISNUMBER('자료_한국심리'!$G3236),ISNUMBER('자료_한국심리'!$H3236)),'자료_한국심리'!$G3236,"")</f>
        <v/>
      </c>
      <c r="X3252">
        <f>IF(AND(ISNUMBER('자료_한국심리'!$J3236),ISNUMBER('자료_한국심리'!$K3236)),'자료_한국심리'!$J3236,"")</f>
        <v/>
      </c>
      <c r="Y3252">
        <f>IF(AND(ISNUMBER('자료_한국심리'!$M3236),ISNUMBER('자료_한국심리'!$N3236)),'자료_한국심리'!$M3236,"")</f>
        <v/>
      </c>
    </row>
    <row r="3253">
      <c r="U3253">
        <f>IF(AND(ISNUMBER('자료_한국심리'!$A3237),ISNUMBER('자료_한국심리'!$B3237)),'자료_한국심리'!$A3237,"")</f>
        <v/>
      </c>
      <c r="V3253">
        <f>IF(AND(ISNUMBER('자료_한국심리'!$D3237),ISNUMBER('자료_한국심리'!$E3237)),'자료_한국심리'!$D3237,"")</f>
        <v/>
      </c>
      <c r="W3253">
        <f>IF(AND(ISNUMBER('자료_한국심리'!$G3237),ISNUMBER('자료_한국심리'!$H3237)),'자료_한국심리'!$G3237,"")</f>
        <v/>
      </c>
      <c r="X3253">
        <f>IF(AND(ISNUMBER('자료_한국심리'!$J3237),ISNUMBER('자료_한국심리'!$K3237)),'자료_한국심리'!$J3237,"")</f>
        <v/>
      </c>
      <c r="Y3253">
        <f>IF(AND(ISNUMBER('자료_한국심리'!$M3237),ISNUMBER('자료_한국심리'!$N3237)),'자료_한국심리'!$M3237,"")</f>
        <v/>
      </c>
    </row>
    <row r="3254">
      <c r="U3254">
        <f>IF(AND(ISNUMBER('자료_한국심리'!$A3238),ISNUMBER('자료_한국심리'!$B3238)),'자료_한국심리'!$A3238,"")</f>
        <v/>
      </c>
      <c r="V3254">
        <f>IF(AND(ISNUMBER('자료_한국심리'!$D3238),ISNUMBER('자료_한국심리'!$E3238)),'자료_한국심리'!$D3238,"")</f>
        <v/>
      </c>
      <c r="W3254">
        <f>IF(AND(ISNUMBER('자료_한국심리'!$G3238),ISNUMBER('자료_한국심리'!$H3238)),'자료_한국심리'!$G3238,"")</f>
        <v/>
      </c>
      <c r="X3254">
        <f>IF(AND(ISNUMBER('자료_한국심리'!$J3238),ISNUMBER('자료_한국심리'!$K3238)),'자료_한국심리'!$J3238,"")</f>
        <v/>
      </c>
      <c r="Y3254">
        <f>IF(AND(ISNUMBER('자료_한국심리'!$M3238),ISNUMBER('자료_한국심리'!$N3238)),'자료_한국심리'!$M3238,"")</f>
        <v/>
      </c>
    </row>
    <row r="3255">
      <c r="U3255">
        <f>IF(AND(ISNUMBER('자료_한국심리'!$A3239),ISNUMBER('자료_한국심리'!$B3239)),'자료_한국심리'!$A3239,"")</f>
        <v/>
      </c>
      <c r="V3255">
        <f>IF(AND(ISNUMBER('자료_한국심리'!$D3239),ISNUMBER('자료_한국심리'!$E3239)),'자료_한국심리'!$D3239,"")</f>
        <v/>
      </c>
      <c r="W3255">
        <f>IF(AND(ISNUMBER('자료_한국심리'!$G3239),ISNUMBER('자료_한국심리'!$H3239)),'자료_한국심리'!$G3239,"")</f>
        <v/>
      </c>
      <c r="X3255">
        <f>IF(AND(ISNUMBER('자료_한국심리'!$J3239),ISNUMBER('자료_한국심리'!$K3239)),'자료_한국심리'!$J3239,"")</f>
        <v/>
      </c>
      <c r="Y3255">
        <f>IF(AND(ISNUMBER('자료_한국심리'!$M3239),ISNUMBER('자료_한국심리'!$N3239)),'자료_한국심리'!$M3239,"")</f>
        <v/>
      </c>
    </row>
    <row r="3256">
      <c r="U3256">
        <f>IF(AND(ISNUMBER('자료_한국심리'!$A3240),ISNUMBER('자료_한국심리'!$B3240)),'자료_한국심리'!$A3240,"")</f>
        <v/>
      </c>
      <c r="V3256">
        <f>IF(AND(ISNUMBER('자료_한국심리'!$D3240),ISNUMBER('자료_한국심리'!$E3240)),'자료_한국심리'!$D3240,"")</f>
        <v/>
      </c>
      <c r="W3256">
        <f>IF(AND(ISNUMBER('자료_한국심리'!$G3240),ISNUMBER('자료_한국심리'!$H3240)),'자료_한국심리'!$G3240,"")</f>
        <v/>
      </c>
      <c r="X3256">
        <f>IF(AND(ISNUMBER('자료_한국심리'!$J3240),ISNUMBER('자료_한국심리'!$K3240)),'자료_한국심리'!$J3240,"")</f>
        <v/>
      </c>
      <c r="Y3256">
        <f>IF(AND(ISNUMBER('자료_한국심리'!$M3240),ISNUMBER('자료_한국심리'!$N3240)),'자료_한국심리'!$M3240,"")</f>
        <v/>
      </c>
    </row>
    <row r="3257">
      <c r="U3257">
        <f>IF(AND(ISNUMBER('자료_한국심리'!$A3241),ISNUMBER('자료_한국심리'!$B3241)),'자료_한국심리'!$A3241,"")</f>
        <v/>
      </c>
      <c r="V3257">
        <f>IF(AND(ISNUMBER('자료_한국심리'!$D3241),ISNUMBER('자료_한국심리'!$E3241)),'자료_한국심리'!$D3241,"")</f>
        <v/>
      </c>
      <c r="W3257">
        <f>IF(AND(ISNUMBER('자료_한국심리'!$G3241),ISNUMBER('자료_한국심리'!$H3241)),'자료_한국심리'!$G3241,"")</f>
        <v/>
      </c>
      <c r="X3257">
        <f>IF(AND(ISNUMBER('자료_한국심리'!$J3241),ISNUMBER('자료_한국심리'!$K3241)),'자료_한국심리'!$J3241,"")</f>
        <v/>
      </c>
      <c r="Y3257">
        <f>IF(AND(ISNUMBER('자료_한국심리'!$M3241),ISNUMBER('자료_한국심리'!$N3241)),'자료_한국심리'!$M3241,"")</f>
        <v/>
      </c>
    </row>
    <row r="3258">
      <c r="U3258">
        <f>IF(AND(ISNUMBER('자료_한국심리'!$A3242),ISNUMBER('자료_한국심리'!$B3242)),'자료_한국심리'!$A3242,"")</f>
        <v/>
      </c>
      <c r="V3258">
        <f>IF(AND(ISNUMBER('자료_한국심리'!$D3242),ISNUMBER('자료_한국심리'!$E3242)),'자료_한국심리'!$D3242,"")</f>
        <v/>
      </c>
      <c r="W3258">
        <f>IF(AND(ISNUMBER('자료_한국심리'!$G3242),ISNUMBER('자료_한국심리'!$H3242)),'자료_한국심리'!$G3242,"")</f>
        <v/>
      </c>
      <c r="X3258">
        <f>IF(AND(ISNUMBER('자료_한국심리'!$J3242),ISNUMBER('자료_한국심리'!$K3242)),'자료_한국심리'!$J3242,"")</f>
        <v/>
      </c>
      <c r="Y3258">
        <f>IF(AND(ISNUMBER('자료_한국심리'!$M3242),ISNUMBER('자료_한국심리'!$N3242)),'자료_한국심리'!$M3242,"")</f>
        <v/>
      </c>
    </row>
    <row r="3259">
      <c r="U3259">
        <f>IF(AND(ISNUMBER('자료_한국심리'!$A3243),ISNUMBER('자료_한국심리'!$B3243)),'자료_한국심리'!$A3243,"")</f>
        <v/>
      </c>
      <c r="V3259">
        <f>IF(AND(ISNUMBER('자료_한국심리'!$D3243),ISNUMBER('자료_한국심리'!$E3243)),'자료_한국심리'!$D3243,"")</f>
        <v/>
      </c>
      <c r="W3259">
        <f>IF(AND(ISNUMBER('자료_한국심리'!$G3243),ISNUMBER('자료_한국심리'!$H3243)),'자료_한국심리'!$G3243,"")</f>
        <v/>
      </c>
      <c r="X3259">
        <f>IF(AND(ISNUMBER('자료_한국심리'!$J3243),ISNUMBER('자료_한국심리'!$K3243)),'자료_한국심리'!$J3243,"")</f>
        <v/>
      </c>
      <c r="Y3259">
        <f>IF(AND(ISNUMBER('자료_한국심리'!$M3243),ISNUMBER('자료_한국심리'!$N3243)),'자료_한국심리'!$M3243,"")</f>
        <v/>
      </c>
    </row>
    <row r="3260">
      <c r="U3260">
        <f>IF(AND(ISNUMBER('자료_한국심리'!$A3244),ISNUMBER('자료_한국심리'!$B3244)),'자료_한국심리'!$A3244,"")</f>
        <v/>
      </c>
      <c r="V3260">
        <f>IF(AND(ISNUMBER('자료_한국심리'!$D3244),ISNUMBER('자료_한국심리'!$E3244)),'자료_한국심리'!$D3244,"")</f>
        <v/>
      </c>
      <c r="W3260">
        <f>IF(AND(ISNUMBER('자료_한국심리'!$G3244),ISNUMBER('자료_한국심리'!$H3244)),'자료_한국심리'!$G3244,"")</f>
        <v/>
      </c>
      <c r="X3260">
        <f>IF(AND(ISNUMBER('자료_한국심리'!$J3244),ISNUMBER('자료_한국심리'!$K3244)),'자료_한국심리'!$J3244,"")</f>
        <v/>
      </c>
      <c r="Y3260">
        <f>IF(AND(ISNUMBER('자료_한국심리'!$M3244),ISNUMBER('자료_한국심리'!$N3244)),'자료_한국심리'!$M3244,"")</f>
        <v/>
      </c>
    </row>
    <row r="3261">
      <c r="U3261">
        <f>IF(AND(ISNUMBER('자료_한국심리'!$A3245),ISNUMBER('자료_한국심리'!$B3245)),'자료_한국심리'!$A3245,"")</f>
        <v/>
      </c>
      <c r="V3261">
        <f>IF(AND(ISNUMBER('자료_한국심리'!$D3245),ISNUMBER('자료_한국심리'!$E3245)),'자료_한국심리'!$D3245,"")</f>
        <v/>
      </c>
      <c r="W3261">
        <f>IF(AND(ISNUMBER('자료_한국심리'!$G3245),ISNUMBER('자료_한국심리'!$H3245)),'자료_한국심리'!$G3245,"")</f>
        <v/>
      </c>
      <c r="X3261">
        <f>IF(AND(ISNUMBER('자료_한국심리'!$J3245),ISNUMBER('자료_한국심리'!$K3245)),'자료_한국심리'!$J3245,"")</f>
        <v/>
      </c>
      <c r="Y3261">
        <f>IF(AND(ISNUMBER('자료_한국심리'!$M3245),ISNUMBER('자료_한국심리'!$N3245)),'자료_한국심리'!$M3245,"")</f>
        <v/>
      </c>
    </row>
    <row r="3262">
      <c r="U3262">
        <f>IF(AND(ISNUMBER('자료_한국심리'!$A3246),ISNUMBER('자료_한국심리'!$B3246)),'자료_한국심리'!$A3246,"")</f>
        <v/>
      </c>
      <c r="V3262">
        <f>IF(AND(ISNUMBER('자료_한국심리'!$D3246),ISNUMBER('자료_한국심리'!$E3246)),'자료_한국심리'!$D3246,"")</f>
        <v/>
      </c>
      <c r="W3262">
        <f>IF(AND(ISNUMBER('자료_한국심리'!$G3246),ISNUMBER('자료_한국심리'!$H3246)),'자료_한국심리'!$G3246,"")</f>
        <v/>
      </c>
      <c r="X3262">
        <f>IF(AND(ISNUMBER('자료_한국심리'!$J3246),ISNUMBER('자료_한국심리'!$K3246)),'자료_한국심리'!$J3246,"")</f>
        <v/>
      </c>
      <c r="Y3262">
        <f>IF(AND(ISNUMBER('자료_한국심리'!$M3246),ISNUMBER('자료_한국심리'!$N3246)),'자료_한국심리'!$M3246,"")</f>
        <v/>
      </c>
    </row>
    <row r="3263">
      <c r="U3263">
        <f>IF(AND(ISNUMBER('자료_한국심리'!$A3247),ISNUMBER('자료_한국심리'!$B3247)),'자료_한국심리'!$A3247,"")</f>
        <v/>
      </c>
      <c r="V3263">
        <f>IF(AND(ISNUMBER('자료_한국심리'!$D3247),ISNUMBER('자료_한국심리'!$E3247)),'자료_한국심리'!$D3247,"")</f>
        <v/>
      </c>
      <c r="W3263">
        <f>IF(AND(ISNUMBER('자료_한국심리'!$G3247),ISNUMBER('자료_한국심리'!$H3247)),'자료_한국심리'!$G3247,"")</f>
        <v/>
      </c>
      <c r="X3263">
        <f>IF(AND(ISNUMBER('자료_한국심리'!$J3247),ISNUMBER('자료_한국심리'!$K3247)),'자료_한국심리'!$J3247,"")</f>
        <v/>
      </c>
      <c r="Y3263">
        <f>IF(AND(ISNUMBER('자료_한국심리'!$M3247),ISNUMBER('자료_한국심리'!$N3247)),'자료_한국심리'!$M3247,"")</f>
        <v/>
      </c>
    </row>
    <row r="3264">
      <c r="U3264">
        <f>IF(AND(ISNUMBER('자료_한국심리'!$A3248),ISNUMBER('자료_한국심리'!$B3248)),'자료_한국심리'!$A3248,"")</f>
        <v/>
      </c>
      <c r="V3264">
        <f>IF(AND(ISNUMBER('자료_한국심리'!$D3248),ISNUMBER('자료_한국심리'!$E3248)),'자료_한국심리'!$D3248,"")</f>
        <v/>
      </c>
      <c r="W3264">
        <f>IF(AND(ISNUMBER('자료_한국심리'!$G3248),ISNUMBER('자료_한국심리'!$H3248)),'자료_한국심리'!$G3248,"")</f>
        <v/>
      </c>
      <c r="X3264">
        <f>IF(AND(ISNUMBER('자료_한국심리'!$J3248),ISNUMBER('자료_한국심리'!$K3248)),'자료_한국심리'!$J3248,"")</f>
        <v/>
      </c>
      <c r="Y3264">
        <f>IF(AND(ISNUMBER('자료_한국심리'!$M3248),ISNUMBER('자료_한국심리'!$N3248)),'자료_한국심리'!$M3248,"")</f>
        <v/>
      </c>
    </row>
    <row r="3265">
      <c r="U3265">
        <f>IF(AND(ISNUMBER('자료_한국심리'!$A3249),ISNUMBER('자료_한국심리'!$B3249)),'자료_한국심리'!$A3249,"")</f>
        <v/>
      </c>
      <c r="V3265">
        <f>IF(AND(ISNUMBER('자료_한국심리'!$D3249),ISNUMBER('자료_한국심리'!$E3249)),'자료_한국심리'!$D3249,"")</f>
        <v/>
      </c>
      <c r="W3265">
        <f>IF(AND(ISNUMBER('자료_한국심리'!$G3249),ISNUMBER('자료_한국심리'!$H3249)),'자료_한국심리'!$G3249,"")</f>
        <v/>
      </c>
      <c r="X3265">
        <f>IF(AND(ISNUMBER('자료_한국심리'!$J3249),ISNUMBER('자료_한국심리'!$K3249)),'자료_한국심리'!$J3249,"")</f>
        <v/>
      </c>
      <c r="Y3265">
        <f>IF(AND(ISNUMBER('자료_한국심리'!$M3249),ISNUMBER('자료_한국심리'!$N3249)),'자료_한국심리'!$M3249,"")</f>
        <v/>
      </c>
    </row>
    <row r="3266">
      <c r="U3266">
        <f>IF(AND(ISNUMBER('자료_한국심리'!$A3250),ISNUMBER('자료_한국심리'!$B3250)),'자료_한국심리'!$A3250,"")</f>
        <v/>
      </c>
      <c r="V3266">
        <f>IF(AND(ISNUMBER('자료_한국심리'!$D3250),ISNUMBER('자료_한국심리'!$E3250)),'자료_한국심리'!$D3250,"")</f>
        <v/>
      </c>
      <c r="W3266">
        <f>IF(AND(ISNUMBER('자료_한국심리'!$G3250),ISNUMBER('자료_한국심리'!$H3250)),'자료_한국심리'!$G3250,"")</f>
        <v/>
      </c>
      <c r="X3266">
        <f>IF(AND(ISNUMBER('자료_한국심리'!$J3250),ISNUMBER('자료_한국심리'!$K3250)),'자료_한국심리'!$J3250,"")</f>
        <v/>
      </c>
      <c r="Y3266">
        <f>IF(AND(ISNUMBER('자료_한국심리'!$M3250),ISNUMBER('자료_한국심리'!$N3250)),'자료_한국심리'!$M3250,"")</f>
        <v/>
      </c>
    </row>
    <row r="3267">
      <c r="U3267">
        <f>IF(AND(ISNUMBER('자료_한국심리'!$A3251),ISNUMBER('자료_한국심리'!$B3251)),'자료_한국심리'!$A3251,"")</f>
        <v/>
      </c>
      <c r="V3267">
        <f>IF(AND(ISNUMBER('자료_한국심리'!$D3251),ISNUMBER('자료_한국심리'!$E3251)),'자료_한국심리'!$D3251,"")</f>
        <v/>
      </c>
      <c r="W3267">
        <f>IF(AND(ISNUMBER('자료_한국심리'!$G3251),ISNUMBER('자료_한국심리'!$H3251)),'자료_한국심리'!$G3251,"")</f>
        <v/>
      </c>
      <c r="X3267">
        <f>IF(AND(ISNUMBER('자료_한국심리'!$J3251),ISNUMBER('자료_한국심리'!$K3251)),'자료_한국심리'!$J3251,"")</f>
        <v/>
      </c>
      <c r="Y3267">
        <f>IF(AND(ISNUMBER('자료_한국심리'!$M3251),ISNUMBER('자료_한국심리'!$N3251)),'자료_한국심리'!$M3251,"")</f>
        <v/>
      </c>
    </row>
    <row r="3268">
      <c r="U3268">
        <f>IF(AND(ISNUMBER('자료_한국심리'!$A3252),ISNUMBER('자료_한국심리'!$B3252)),'자료_한국심리'!$A3252,"")</f>
        <v/>
      </c>
      <c r="V3268">
        <f>IF(AND(ISNUMBER('자료_한국심리'!$D3252),ISNUMBER('자료_한국심리'!$E3252)),'자료_한국심리'!$D3252,"")</f>
        <v/>
      </c>
      <c r="W3268">
        <f>IF(AND(ISNUMBER('자료_한국심리'!$G3252),ISNUMBER('자료_한국심리'!$H3252)),'자료_한국심리'!$G3252,"")</f>
        <v/>
      </c>
      <c r="X3268">
        <f>IF(AND(ISNUMBER('자료_한국심리'!$J3252),ISNUMBER('자료_한국심리'!$K3252)),'자료_한국심리'!$J3252,"")</f>
        <v/>
      </c>
      <c r="Y3268">
        <f>IF(AND(ISNUMBER('자료_한국심리'!$M3252),ISNUMBER('자료_한국심리'!$N3252)),'자료_한국심리'!$M3252,"")</f>
        <v/>
      </c>
    </row>
    <row r="3269">
      <c r="U3269">
        <f>IF(AND(ISNUMBER('자료_한국심리'!$A3253),ISNUMBER('자료_한국심리'!$B3253)),'자료_한국심리'!$A3253,"")</f>
        <v/>
      </c>
      <c r="V3269">
        <f>IF(AND(ISNUMBER('자료_한국심리'!$D3253),ISNUMBER('자료_한국심리'!$E3253)),'자료_한국심리'!$D3253,"")</f>
        <v/>
      </c>
      <c r="W3269">
        <f>IF(AND(ISNUMBER('자료_한국심리'!$G3253),ISNUMBER('자료_한국심리'!$H3253)),'자료_한국심리'!$G3253,"")</f>
        <v/>
      </c>
      <c r="X3269">
        <f>IF(AND(ISNUMBER('자료_한국심리'!$J3253),ISNUMBER('자료_한국심리'!$K3253)),'자료_한국심리'!$J3253,"")</f>
        <v/>
      </c>
      <c r="Y3269">
        <f>IF(AND(ISNUMBER('자료_한국심리'!$M3253),ISNUMBER('자료_한국심리'!$N3253)),'자료_한국심리'!$M3253,"")</f>
        <v/>
      </c>
    </row>
    <row r="3270">
      <c r="U3270">
        <f>IF(AND(ISNUMBER('자료_한국심리'!$A3254),ISNUMBER('자료_한국심리'!$B3254)),'자료_한국심리'!$A3254,"")</f>
        <v/>
      </c>
      <c r="V3270">
        <f>IF(AND(ISNUMBER('자료_한국심리'!$D3254),ISNUMBER('자료_한국심리'!$E3254)),'자료_한국심리'!$D3254,"")</f>
        <v/>
      </c>
      <c r="W3270">
        <f>IF(AND(ISNUMBER('자료_한국심리'!$G3254),ISNUMBER('자료_한국심리'!$H3254)),'자료_한국심리'!$G3254,"")</f>
        <v/>
      </c>
      <c r="X3270">
        <f>IF(AND(ISNUMBER('자료_한국심리'!$J3254),ISNUMBER('자료_한국심리'!$K3254)),'자료_한국심리'!$J3254,"")</f>
        <v/>
      </c>
      <c r="Y3270">
        <f>IF(AND(ISNUMBER('자료_한국심리'!$M3254),ISNUMBER('자료_한국심리'!$N3254)),'자료_한국심리'!$M3254,"")</f>
        <v/>
      </c>
    </row>
    <row r="3271">
      <c r="U3271">
        <f>IF(AND(ISNUMBER('자료_한국심리'!$A3255),ISNUMBER('자료_한국심리'!$B3255)),'자료_한국심리'!$A3255,"")</f>
        <v/>
      </c>
      <c r="V3271">
        <f>IF(AND(ISNUMBER('자료_한국심리'!$D3255),ISNUMBER('자료_한국심리'!$E3255)),'자료_한국심리'!$D3255,"")</f>
        <v/>
      </c>
      <c r="W3271">
        <f>IF(AND(ISNUMBER('자료_한국심리'!$G3255),ISNUMBER('자료_한국심리'!$H3255)),'자료_한국심리'!$G3255,"")</f>
        <v/>
      </c>
      <c r="X3271">
        <f>IF(AND(ISNUMBER('자료_한국심리'!$J3255),ISNUMBER('자료_한국심리'!$K3255)),'자료_한국심리'!$J3255,"")</f>
        <v/>
      </c>
      <c r="Y3271">
        <f>IF(AND(ISNUMBER('자료_한국심리'!$M3255),ISNUMBER('자료_한국심리'!$N3255)),'자료_한국심리'!$M3255,"")</f>
        <v/>
      </c>
    </row>
    <row r="3272">
      <c r="U3272">
        <f>IF(AND(ISNUMBER('자료_한국심리'!$A3256),ISNUMBER('자료_한국심리'!$B3256)),'자료_한국심리'!$A3256,"")</f>
        <v/>
      </c>
      <c r="V3272">
        <f>IF(AND(ISNUMBER('자료_한국심리'!$D3256),ISNUMBER('자료_한국심리'!$E3256)),'자료_한국심리'!$D3256,"")</f>
        <v/>
      </c>
      <c r="W3272">
        <f>IF(AND(ISNUMBER('자료_한국심리'!$G3256),ISNUMBER('자료_한국심리'!$H3256)),'자료_한국심리'!$G3256,"")</f>
        <v/>
      </c>
      <c r="X3272">
        <f>IF(AND(ISNUMBER('자료_한국심리'!$J3256),ISNUMBER('자료_한국심리'!$K3256)),'자료_한국심리'!$J3256,"")</f>
        <v/>
      </c>
      <c r="Y3272">
        <f>IF(AND(ISNUMBER('자료_한국심리'!$M3256),ISNUMBER('자료_한국심리'!$N3256)),'자료_한국심리'!$M3256,"")</f>
        <v/>
      </c>
    </row>
    <row r="3273">
      <c r="U3273">
        <f>IF(AND(ISNUMBER('자료_한국심리'!$A3257),ISNUMBER('자료_한국심리'!$B3257)),'자료_한국심리'!$A3257,"")</f>
        <v/>
      </c>
      <c r="V3273">
        <f>IF(AND(ISNUMBER('자료_한국심리'!$D3257),ISNUMBER('자료_한국심리'!$E3257)),'자료_한국심리'!$D3257,"")</f>
        <v/>
      </c>
      <c r="W3273">
        <f>IF(AND(ISNUMBER('자료_한국심리'!$G3257),ISNUMBER('자료_한국심리'!$H3257)),'자료_한국심리'!$G3257,"")</f>
        <v/>
      </c>
      <c r="X3273">
        <f>IF(AND(ISNUMBER('자료_한국심리'!$J3257),ISNUMBER('자료_한국심리'!$K3257)),'자료_한국심리'!$J3257,"")</f>
        <v/>
      </c>
      <c r="Y3273">
        <f>IF(AND(ISNUMBER('자료_한국심리'!$M3257),ISNUMBER('자료_한국심리'!$N3257)),'자료_한국심리'!$M3257,"")</f>
        <v/>
      </c>
    </row>
    <row r="3274">
      <c r="U3274">
        <f>IF(AND(ISNUMBER('자료_한국심리'!$A3258),ISNUMBER('자료_한국심리'!$B3258)),'자료_한국심리'!$A3258,"")</f>
        <v/>
      </c>
      <c r="V3274">
        <f>IF(AND(ISNUMBER('자료_한국심리'!$D3258),ISNUMBER('자료_한국심리'!$E3258)),'자료_한국심리'!$D3258,"")</f>
        <v/>
      </c>
      <c r="W3274">
        <f>IF(AND(ISNUMBER('자료_한국심리'!$G3258),ISNUMBER('자료_한국심리'!$H3258)),'자료_한국심리'!$G3258,"")</f>
        <v/>
      </c>
      <c r="X3274">
        <f>IF(AND(ISNUMBER('자료_한국심리'!$J3258),ISNUMBER('자료_한국심리'!$K3258)),'자료_한국심리'!$J3258,"")</f>
        <v/>
      </c>
      <c r="Y3274">
        <f>IF(AND(ISNUMBER('자료_한국심리'!$M3258),ISNUMBER('자료_한국심리'!$N3258)),'자료_한국심리'!$M3258,"")</f>
        <v/>
      </c>
    </row>
    <row r="3275">
      <c r="U3275">
        <f>IF(AND(ISNUMBER('자료_한국심리'!$A3259),ISNUMBER('자료_한국심리'!$B3259)),'자료_한국심리'!$A3259,"")</f>
        <v/>
      </c>
      <c r="V3275">
        <f>IF(AND(ISNUMBER('자료_한국심리'!$D3259),ISNUMBER('자료_한국심리'!$E3259)),'자료_한국심리'!$D3259,"")</f>
        <v/>
      </c>
      <c r="W3275">
        <f>IF(AND(ISNUMBER('자료_한국심리'!$G3259),ISNUMBER('자료_한국심리'!$H3259)),'자료_한국심리'!$G3259,"")</f>
        <v/>
      </c>
      <c r="X3275">
        <f>IF(AND(ISNUMBER('자료_한국심리'!$J3259),ISNUMBER('자료_한국심리'!$K3259)),'자료_한국심리'!$J3259,"")</f>
        <v/>
      </c>
      <c r="Y3275">
        <f>IF(AND(ISNUMBER('자료_한국심리'!$M3259),ISNUMBER('자료_한국심리'!$N3259)),'자료_한국심리'!$M3259,"")</f>
        <v/>
      </c>
    </row>
    <row r="3276">
      <c r="U3276">
        <f>IF(AND(ISNUMBER('자료_한국심리'!$A3260),ISNUMBER('자료_한국심리'!$B3260)),'자료_한국심리'!$A3260,"")</f>
        <v/>
      </c>
      <c r="V3276">
        <f>IF(AND(ISNUMBER('자료_한국심리'!$D3260),ISNUMBER('자료_한국심리'!$E3260)),'자료_한국심리'!$D3260,"")</f>
        <v/>
      </c>
      <c r="W3276">
        <f>IF(AND(ISNUMBER('자료_한국심리'!$G3260),ISNUMBER('자료_한국심리'!$H3260)),'자료_한국심리'!$G3260,"")</f>
        <v/>
      </c>
      <c r="X3276">
        <f>IF(AND(ISNUMBER('자료_한국심리'!$J3260),ISNUMBER('자료_한국심리'!$K3260)),'자료_한국심리'!$J3260,"")</f>
        <v/>
      </c>
      <c r="Y3276">
        <f>IF(AND(ISNUMBER('자료_한국심리'!$M3260),ISNUMBER('자료_한국심리'!$N3260)),'자료_한국심리'!$M3260,"")</f>
        <v/>
      </c>
    </row>
    <row r="3277">
      <c r="U3277">
        <f>IF(AND(ISNUMBER('자료_한국심리'!$A3261),ISNUMBER('자료_한국심리'!$B3261)),'자료_한국심리'!$A3261,"")</f>
        <v/>
      </c>
      <c r="V3277">
        <f>IF(AND(ISNUMBER('자료_한국심리'!$D3261),ISNUMBER('자료_한국심리'!$E3261)),'자료_한국심리'!$D3261,"")</f>
        <v/>
      </c>
      <c r="W3277">
        <f>IF(AND(ISNUMBER('자료_한국심리'!$G3261),ISNUMBER('자료_한국심리'!$H3261)),'자료_한국심리'!$G3261,"")</f>
        <v/>
      </c>
      <c r="X3277">
        <f>IF(AND(ISNUMBER('자료_한국심리'!$J3261),ISNUMBER('자료_한국심리'!$K3261)),'자료_한국심리'!$J3261,"")</f>
        <v/>
      </c>
      <c r="Y3277">
        <f>IF(AND(ISNUMBER('자료_한국심리'!$M3261),ISNUMBER('자료_한국심리'!$N3261)),'자료_한국심리'!$M3261,"")</f>
        <v/>
      </c>
    </row>
    <row r="3278">
      <c r="U3278">
        <f>IF(AND(ISNUMBER('자료_한국심리'!$A3262),ISNUMBER('자료_한국심리'!$B3262)),'자료_한국심리'!$A3262,"")</f>
        <v/>
      </c>
      <c r="V3278">
        <f>IF(AND(ISNUMBER('자료_한국심리'!$D3262),ISNUMBER('자료_한국심리'!$E3262)),'자료_한국심리'!$D3262,"")</f>
        <v/>
      </c>
      <c r="W3278">
        <f>IF(AND(ISNUMBER('자료_한국심리'!$G3262),ISNUMBER('자료_한국심리'!$H3262)),'자료_한국심리'!$G3262,"")</f>
        <v/>
      </c>
      <c r="X3278">
        <f>IF(AND(ISNUMBER('자료_한국심리'!$J3262),ISNUMBER('자료_한국심리'!$K3262)),'자료_한국심리'!$J3262,"")</f>
        <v/>
      </c>
      <c r="Y3278">
        <f>IF(AND(ISNUMBER('자료_한국심리'!$M3262),ISNUMBER('자료_한국심리'!$N3262)),'자료_한국심리'!$M3262,"")</f>
        <v/>
      </c>
    </row>
    <row r="3279">
      <c r="U3279">
        <f>IF(AND(ISNUMBER('자료_한국심리'!$A3263),ISNUMBER('자료_한국심리'!$B3263)),'자료_한국심리'!$A3263,"")</f>
        <v/>
      </c>
      <c r="V3279">
        <f>IF(AND(ISNUMBER('자료_한국심리'!$D3263),ISNUMBER('자료_한국심리'!$E3263)),'자료_한국심리'!$D3263,"")</f>
        <v/>
      </c>
      <c r="W3279">
        <f>IF(AND(ISNUMBER('자료_한국심리'!$G3263),ISNUMBER('자료_한국심리'!$H3263)),'자료_한국심리'!$G3263,"")</f>
        <v/>
      </c>
      <c r="X3279">
        <f>IF(AND(ISNUMBER('자료_한국심리'!$J3263),ISNUMBER('자료_한국심리'!$K3263)),'자료_한국심리'!$J3263,"")</f>
        <v/>
      </c>
      <c r="Y3279">
        <f>IF(AND(ISNUMBER('자료_한국심리'!$M3263),ISNUMBER('자료_한국심리'!$N3263)),'자료_한국심리'!$M3263,"")</f>
        <v/>
      </c>
    </row>
    <row r="3280">
      <c r="U3280">
        <f>IF(AND(ISNUMBER('자료_한국심리'!$A3264),ISNUMBER('자료_한국심리'!$B3264)),'자료_한국심리'!$A3264,"")</f>
        <v/>
      </c>
      <c r="V3280">
        <f>IF(AND(ISNUMBER('자료_한국심리'!$D3264),ISNUMBER('자료_한국심리'!$E3264)),'자료_한국심리'!$D3264,"")</f>
        <v/>
      </c>
      <c r="W3280">
        <f>IF(AND(ISNUMBER('자료_한국심리'!$G3264),ISNUMBER('자료_한국심리'!$H3264)),'자료_한국심리'!$G3264,"")</f>
        <v/>
      </c>
      <c r="X3280">
        <f>IF(AND(ISNUMBER('자료_한국심리'!$J3264),ISNUMBER('자료_한국심리'!$K3264)),'자료_한국심리'!$J3264,"")</f>
        <v/>
      </c>
      <c r="Y3280">
        <f>IF(AND(ISNUMBER('자료_한국심리'!$M3264),ISNUMBER('자료_한국심리'!$N3264)),'자료_한국심리'!$M3264,"")</f>
        <v/>
      </c>
    </row>
    <row r="3281">
      <c r="U3281">
        <f>IF(AND(ISNUMBER('자료_한국심리'!$A3265),ISNUMBER('자료_한국심리'!$B3265)),'자료_한국심리'!$A3265,"")</f>
        <v/>
      </c>
      <c r="V3281">
        <f>IF(AND(ISNUMBER('자료_한국심리'!$D3265),ISNUMBER('자료_한국심리'!$E3265)),'자료_한국심리'!$D3265,"")</f>
        <v/>
      </c>
      <c r="W3281">
        <f>IF(AND(ISNUMBER('자료_한국심리'!$G3265),ISNUMBER('자료_한국심리'!$H3265)),'자료_한국심리'!$G3265,"")</f>
        <v/>
      </c>
      <c r="X3281">
        <f>IF(AND(ISNUMBER('자료_한국심리'!$J3265),ISNUMBER('자료_한국심리'!$K3265)),'자료_한국심리'!$J3265,"")</f>
        <v/>
      </c>
      <c r="Y3281">
        <f>IF(AND(ISNUMBER('자료_한국심리'!$M3265),ISNUMBER('자료_한국심리'!$N3265)),'자료_한국심리'!$M3265,"")</f>
        <v/>
      </c>
    </row>
    <row r="3282">
      <c r="U3282">
        <f>IF(AND(ISNUMBER('자료_한국심리'!$A3266),ISNUMBER('자료_한국심리'!$B3266)),'자료_한국심리'!$A3266,"")</f>
        <v/>
      </c>
      <c r="V3282">
        <f>IF(AND(ISNUMBER('자료_한국심리'!$D3266),ISNUMBER('자료_한국심리'!$E3266)),'자료_한국심리'!$D3266,"")</f>
        <v/>
      </c>
      <c r="W3282">
        <f>IF(AND(ISNUMBER('자료_한국심리'!$G3266),ISNUMBER('자료_한국심리'!$H3266)),'자료_한국심리'!$G3266,"")</f>
        <v/>
      </c>
      <c r="X3282">
        <f>IF(AND(ISNUMBER('자료_한국심리'!$J3266),ISNUMBER('자료_한국심리'!$K3266)),'자료_한국심리'!$J3266,"")</f>
        <v/>
      </c>
      <c r="Y3282">
        <f>IF(AND(ISNUMBER('자료_한국심리'!$M3266),ISNUMBER('자료_한국심리'!$N3266)),'자료_한국심리'!$M3266,"")</f>
        <v/>
      </c>
    </row>
    <row r="3283">
      <c r="U3283">
        <f>IF(AND(ISNUMBER('자료_한국심리'!$A3267),ISNUMBER('자료_한국심리'!$B3267)),'자료_한국심리'!$A3267,"")</f>
        <v/>
      </c>
      <c r="V3283">
        <f>IF(AND(ISNUMBER('자료_한국심리'!$D3267),ISNUMBER('자료_한국심리'!$E3267)),'자료_한국심리'!$D3267,"")</f>
        <v/>
      </c>
      <c r="W3283">
        <f>IF(AND(ISNUMBER('자료_한국심리'!$G3267),ISNUMBER('자료_한국심리'!$H3267)),'자료_한국심리'!$G3267,"")</f>
        <v/>
      </c>
      <c r="X3283">
        <f>IF(AND(ISNUMBER('자료_한국심리'!$J3267),ISNUMBER('자료_한국심리'!$K3267)),'자료_한국심리'!$J3267,"")</f>
        <v/>
      </c>
      <c r="Y3283">
        <f>IF(AND(ISNUMBER('자료_한국심리'!$M3267),ISNUMBER('자료_한국심리'!$N3267)),'자료_한국심리'!$M3267,"")</f>
        <v/>
      </c>
    </row>
    <row r="3284">
      <c r="U3284">
        <f>IF(AND(ISNUMBER('자료_한국심리'!$A3268),ISNUMBER('자료_한국심리'!$B3268)),'자료_한국심리'!$A3268,"")</f>
        <v/>
      </c>
      <c r="V3284">
        <f>IF(AND(ISNUMBER('자료_한국심리'!$D3268),ISNUMBER('자료_한국심리'!$E3268)),'자료_한국심리'!$D3268,"")</f>
        <v/>
      </c>
      <c r="W3284">
        <f>IF(AND(ISNUMBER('자료_한국심리'!$G3268),ISNUMBER('자료_한국심리'!$H3268)),'자료_한국심리'!$G3268,"")</f>
        <v/>
      </c>
      <c r="X3284">
        <f>IF(AND(ISNUMBER('자료_한국심리'!$J3268),ISNUMBER('자료_한국심리'!$K3268)),'자료_한국심리'!$J3268,"")</f>
        <v/>
      </c>
      <c r="Y3284">
        <f>IF(AND(ISNUMBER('자료_한국심리'!$M3268),ISNUMBER('자료_한국심리'!$N3268)),'자료_한국심리'!$M3268,"")</f>
        <v/>
      </c>
    </row>
    <row r="3285">
      <c r="U3285">
        <f>IF(AND(ISNUMBER('자료_한국심리'!$A3269),ISNUMBER('자료_한국심리'!$B3269)),'자료_한국심리'!$A3269,"")</f>
        <v/>
      </c>
      <c r="V3285">
        <f>IF(AND(ISNUMBER('자료_한국심리'!$D3269),ISNUMBER('자료_한국심리'!$E3269)),'자료_한국심리'!$D3269,"")</f>
        <v/>
      </c>
      <c r="W3285">
        <f>IF(AND(ISNUMBER('자료_한국심리'!$G3269),ISNUMBER('자료_한국심리'!$H3269)),'자료_한국심리'!$G3269,"")</f>
        <v/>
      </c>
      <c r="X3285">
        <f>IF(AND(ISNUMBER('자료_한국심리'!$J3269),ISNUMBER('자료_한국심리'!$K3269)),'자료_한국심리'!$J3269,"")</f>
        <v/>
      </c>
      <c r="Y3285">
        <f>IF(AND(ISNUMBER('자료_한국심리'!$M3269),ISNUMBER('자료_한국심리'!$N3269)),'자료_한국심리'!$M3269,"")</f>
        <v/>
      </c>
    </row>
    <row r="3286">
      <c r="U3286">
        <f>IF(AND(ISNUMBER('자료_한국심리'!$A3270),ISNUMBER('자료_한국심리'!$B3270)),'자료_한국심리'!$A3270,"")</f>
        <v/>
      </c>
      <c r="V3286">
        <f>IF(AND(ISNUMBER('자료_한국심리'!$D3270),ISNUMBER('자료_한국심리'!$E3270)),'자료_한국심리'!$D3270,"")</f>
        <v/>
      </c>
      <c r="W3286">
        <f>IF(AND(ISNUMBER('자료_한국심리'!$G3270),ISNUMBER('자료_한국심리'!$H3270)),'자료_한국심리'!$G3270,"")</f>
        <v/>
      </c>
      <c r="X3286">
        <f>IF(AND(ISNUMBER('자료_한국심리'!$J3270),ISNUMBER('자료_한국심리'!$K3270)),'자료_한국심리'!$J3270,"")</f>
        <v/>
      </c>
      <c r="Y3286">
        <f>IF(AND(ISNUMBER('자료_한국심리'!$M3270),ISNUMBER('자료_한국심리'!$N3270)),'자료_한국심리'!$M3270,"")</f>
        <v/>
      </c>
    </row>
    <row r="3287">
      <c r="U3287">
        <f>IF(AND(ISNUMBER('자료_한국심리'!$A3271),ISNUMBER('자료_한국심리'!$B3271)),'자료_한국심리'!$A3271,"")</f>
        <v/>
      </c>
      <c r="V3287">
        <f>IF(AND(ISNUMBER('자료_한국심리'!$D3271),ISNUMBER('자료_한국심리'!$E3271)),'자료_한국심리'!$D3271,"")</f>
        <v/>
      </c>
      <c r="W3287">
        <f>IF(AND(ISNUMBER('자료_한국심리'!$G3271),ISNUMBER('자료_한국심리'!$H3271)),'자료_한국심리'!$G3271,"")</f>
        <v/>
      </c>
      <c r="X3287">
        <f>IF(AND(ISNUMBER('자료_한국심리'!$J3271),ISNUMBER('자료_한국심리'!$K3271)),'자료_한국심리'!$J3271,"")</f>
        <v/>
      </c>
      <c r="Y3287">
        <f>IF(AND(ISNUMBER('자료_한국심리'!$M3271),ISNUMBER('자료_한국심리'!$N3271)),'자료_한국심리'!$M3271,"")</f>
        <v/>
      </c>
    </row>
    <row r="3288">
      <c r="U3288">
        <f>IF(AND(ISNUMBER('자료_한국심리'!$A3272),ISNUMBER('자료_한국심리'!$B3272)),'자료_한국심리'!$A3272,"")</f>
        <v/>
      </c>
      <c r="V3288">
        <f>IF(AND(ISNUMBER('자료_한국심리'!$D3272),ISNUMBER('자료_한국심리'!$E3272)),'자료_한국심리'!$D3272,"")</f>
        <v/>
      </c>
      <c r="W3288">
        <f>IF(AND(ISNUMBER('자료_한국심리'!$G3272),ISNUMBER('자료_한국심리'!$H3272)),'자료_한국심리'!$G3272,"")</f>
        <v/>
      </c>
      <c r="X3288">
        <f>IF(AND(ISNUMBER('자료_한국심리'!$J3272),ISNUMBER('자료_한국심리'!$K3272)),'자료_한국심리'!$J3272,"")</f>
        <v/>
      </c>
      <c r="Y3288">
        <f>IF(AND(ISNUMBER('자료_한국심리'!$M3272),ISNUMBER('자료_한국심리'!$N3272)),'자료_한국심리'!$M3272,"")</f>
        <v/>
      </c>
    </row>
    <row r="3289">
      <c r="U3289">
        <f>IF(AND(ISNUMBER('자료_한국심리'!$A3273),ISNUMBER('자료_한국심리'!$B3273)),'자료_한국심리'!$A3273,"")</f>
        <v/>
      </c>
      <c r="V3289">
        <f>IF(AND(ISNUMBER('자료_한국심리'!$D3273),ISNUMBER('자료_한국심리'!$E3273)),'자료_한국심리'!$D3273,"")</f>
        <v/>
      </c>
      <c r="W3289">
        <f>IF(AND(ISNUMBER('자료_한국심리'!$G3273),ISNUMBER('자료_한국심리'!$H3273)),'자료_한국심리'!$G3273,"")</f>
        <v/>
      </c>
      <c r="X3289">
        <f>IF(AND(ISNUMBER('자료_한국심리'!$J3273),ISNUMBER('자료_한국심리'!$K3273)),'자료_한국심리'!$J3273,"")</f>
        <v/>
      </c>
      <c r="Y3289">
        <f>IF(AND(ISNUMBER('자료_한국심리'!$M3273),ISNUMBER('자료_한국심리'!$N3273)),'자료_한국심리'!$M3273,"")</f>
        <v/>
      </c>
    </row>
    <row r="3290">
      <c r="U3290">
        <f>IF(AND(ISNUMBER('자료_한국심리'!$A3274),ISNUMBER('자료_한국심리'!$B3274)),'자료_한국심리'!$A3274,"")</f>
        <v/>
      </c>
      <c r="V3290">
        <f>IF(AND(ISNUMBER('자료_한국심리'!$D3274),ISNUMBER('자료_한국심리'!$E3274)),'자료_한국심리'!$D3274,"")</f>
        <v/>
      </c>
      <c r="W3290">
        <f>IF(AND(ISNUMBER('자료_한국심리'!$G3274),ISNUMBER('자료_한국심리'!$H3274)),'자료_한국심리'!$G3274,"")</f>
        <v/>
      </c>
      <c r="X3290">
        <f>IF(AND(ISNUMBER('자료_한국심리'!$J3274),ISNUMBER('자료_한국심리'!$K3274)),'자료_한국심리'!$J3274,"")</f>
        <v/>
      </c>
      <c r="Y3290">
        <f>IF(AND(ISNUMBER('자료_한국심리'!$M3274),ISNUMBER('자료_한국심리'!$N3274)),'자료_한국심리'!$M3274,"")</f>
        <v/>
      </c>
    </row>
    <row r="3291">
      <c r="U3291">
        <f>IF(AND(ISNUMBER('자료_한국심리'!$A3275),ISNUMBER('자료_한국심리'!$B3275)),'자료_한국심리'!$A3275,"")</f>
        <v/>
      </c>
      <c r="V3291">
        <f>IF(AND(ISNUMBER('자료_한국심리'!$D3275),ISNUMBER('자료_한국심리'!$E3275)),'자료_한국심리'!$D3275,"")</f>
        <v/>
      </c>
      <c r="W3291">
        <f>IF(AND(ISNUMBER('자료_한국심리'!$G3275),ISNUMBER('자료_한국심리'!$H3275)),'자료_한국심리'!$G3275,"")</f>
        <v/>
      </c>
      <c r="X3291">
        <f>IF(AND(ISNUMBER('자료_한국심리'!$J3275),ISNUMBER('자료_한국심리'!$K3275)),'자료_한국심리'!$J3275,"")</f>
        <v/>
      </c>
      <c r="Y3291">
        <f>IF(AND(ISNUMBER('자료_한국심리'!$M3275),ISNUMBER('자료_한국심리'!$N3275)),'자료_한국심리'!$M3275,"")</f>
        <v/>
      </c>
    </row>
    <row r="3292">
      <c r="U3292">
        <f>IF(AND(ISNUMBER('자료_한국심리'!$A3276),ISNUMBER('자료_한국심리'!$B3276)),'자료_한국심리'!$A3276,"")</f>
        <v/>
      </c>
      <c r="V3292">
        <f>IF(AND(ISNUMBER('자료_한국심리'!$D3276),ISNUMBER('자료_한국심리'!$E3276)),'자료_한국심리'!$D3276,"")</f>
        <v/>
      </c>
      <c r="W3292">
        <f>IF(AND(ISNUMBER('자료_한국심리'!$G3276),ISNUMBER('자료_한국심리'!$H3276)),'자료_한국심리'!$G3276,"")</f>
        <v/>
      </c>
      <c r="X3292">
        <f>IF(AND(ISNUMBER('자료_한국심리'!$J3276),ISNUMBER('자료_한국심리'!$K3276)),'자료_한국심리'!$J3276,"")</f>
        <v/>
      </c>
      <c r="Y3292">
        <f>IF(AND(ISNUMBER('자료_한국심리'!$M3276),ISNUMBER('자료_한국심리'!$N3276)),'자료_한국심리'!$M3276,"")</f>
        <v/>
      </c>
    </row>
    <row r="3293">
      <c r="U3293">
        <f>IF(AND(ISNUMBER('자료_한국심리'!$A3277),ISNUMBER('자료_한국심리'!$B3277)),'자료_한국심리'!$A3277,"")</f>
        <v/>
      </c>
      <c r="V3293">
        <f>IF(AND(ISNUMBER('자료_한국심리'!$D3277),ISNUMBER('자료_한국심리'!$E3277)),'자료_한국심리'!$D3277,"")</f>
        <v/>
      </c>
      <c r="W3293">
        <f>IF(AND(ISNUMBER('자료_한국심리'!$G3277),ISNUMBER('자료_한국심리'!$H3277)),'자료_한국심리'!$G3277,"")</f>
        <v/>
      </c>
      <c r="X3293">
        <f>IF(AND(ISNUMBER('자료_한국심리'!$J3277),ISNUMBER('자료_한국심리'!$K3277)),'자료_한국심리'!$J3277,"")</f>
        <v/>
      </c>
      <c r="Y3293">
        <f>IF(AND(ISNUMBER('자료_한국심리'!$M3277),ISNUMBER('자료_한국심리'!$N3277)),'자료_한국심리'!$M3277,"")</f>
        <v/>
      </c>
    </row>
    <row r="3294">
      <c r="U3294">
        <f>IF(AND(ISNUMBER('자료_한국심리'!$A3278),ISNUMBER('자료_한국심리'!$B3278)),'자료_한국심리'!$A3278,"")</f>
        <v/>
      </c>
      <c r="V3294">
        <f>IF(AND(ISNUMBER('자료_한국심리'!$D3278),ISNUMBER('자료_한국심리'!$E3278)),'자료_한국심리'!$D3278,"")</f>
        <v/>
      </c>
      <c r="W3294">
        <f>IF(AND(ISNUMBER('자료_한국심리'!$G3278),ISNUMBER('자료_한국심리'!$H3278)),'자료_한국심리'!$G3278,"")</f>
        <v/>
      </c>
      <c r="X3294">
        <f>IF(AND(ISNUMBER('자료_한국심리'!$J3278),ISNUMBER('자료_한국심리'!$K3278)),'자료_한국심리'!$J3278,"")</f>
        <v/>
      </c>
      <c r="Y3294">
        <f>IF(AND(ISNUMBER('자료_한국심리'!$M3278),ISNUMBER('자료_한국심리'!$N3278)),'자료_한국심리'!$M3278,"")</f>
        <v/>
      </c>
    </row>
    <row r="3295">
      <c r="U3295">
        <f>IF(AND(ISNUMBER('자료_한국심리'!$A3279),ISNUMBER('자료_한국심리'!$B3279)),'자료_한국심리'!$A3279,"")</f>
        <v/>
      </c>
      <c r="V3295">
        <f>IF(AND(ISNUMBER('자료_한국심리'!$D3279),ISNUMBER('자료_한국심리'!$E3279)),'자료_한국심리'!$D3279,"")</f>
        <v/>
      </c>
      <c r="W3295">
        <f>IF(AND(ISNUMBER('자료_한국심리'!$G3279),ISNUMBER('자료_한국심리'!$H3279)),'자료_한국심리'!$G3279,"")</f>
        <v/>
      </c>
      <c r="X3295">
        <f>IF(AND(ISNUMBER('자료_한국심리'!$J3279),ISNUMBER('자료_한국심리'!$K3279)),'자료_한국심리'!$J3279,"")</f>
        <v/>
      </c>
      <c r="Y3295">
        <f>IF(AND(ISNUMBER('자료_한국심리'!$M3279),ISNUMBER('자료_한국심리'!$N3279)),'자료_한국심리'!$M3279,"")</f>
        <v/>
      </c>
    </row>
    <row r="3296">
      <c r="U3296">
        <f>IF(AND(ISNUMBER('자료_한국심리'!$A3280),ISNUMBER('자료_한국심리'!$B3280)),'자료_한국심리'!$A3280,"")</f>
        <v/>
      </c>
      <c r="V3296">
        <f>IF(AND(ISNUMBER('자료_한국심리'!$D3280),ISNUMBER('자료_한국심리'!$E3280)),'자료_한국심리'!$D3280,"")</f>
        <v/>
      </c>
      <c r="W3296">
        <f>IF(AND(ISNUMBER('자료_한국심리'!$G3280),ISNUMBER('자료_한국심리'!$H3280)),'자료_한국심리'!$G3280,"")</f>
        <v/>
      </c>
      <c r="X3296">
        <f>IF(AND(ISNUMBER('자료_한국심리'!$J3280),ISNUMBER('자료_한국심리'!$K3280)),'자료_한국심리'!$J3280,"")</f>
        <v/>
      </c>
      <c r="Y3296">
        <f>IF(AND(ISNUMBER('자료_한국심리'!$M3280),ISNUMBER('자료_한국심리'!$N3280)),'자료_한국심리'!$M3280,"")</f>
        <v/>
      </c>
    </row>
    <row r="3297">
      <c r="U3297">
        <f>IF(AND(ISNUMBER('자료_한국심리'!$A3281),ISNUMBER('자료_한국심리'!$B3281)),'자료_한국심리'!$A3281,"")</f>
        <v/>
      </c>
      <c r="V3297">
        <f>IF(AND(ISNUMBER('자료_한국심리'!$D3281),ISNUMBER('자료_한국심리'!$E3281)),'자료_한국심리'!$D3281,"")</f>
        <v/>
      </c>
      <c r="W3297">
        <f>IF(AND(ISNUMBER('자료_한국심리'!$G3281),ISNUMBER('자료_한국심리'!$H3281)),'자료_한국심리'!$G3281,"")</f>
        <v/>
      </c>
      <c r="X3297">
        <f>IF(AND(ISNUMBER('자료_한국심리'!$J3281),ISNUMBER('자료_한국심리'!$K3281)),'자료_한국심리'!$J3281,"")</f>
        <v/>
      </c>
      <c r="Y3297">
        <f>IF(AND(ISNUMBER('자료_한국심리'!$M3281),ISNUMBER('자료_한국심리'!$N3281)),'자료_한국심리'!$M3281,"")</f>
        <v/>
      </c>
    </row>
    <row r="3298">
      <c r="U3298">
        <f>IF(AND(ISNUMBER('자료_한국심리'!$A3282),ISNUMBER('자료_한국심리'!$B3282)),'자료_한국심리'!$A3282,"")</f>
        <v/>
      </c>
      <c r="V3298">
        <f>IF(AND(ISNUMBER('자료_한국심리'!$D3282),ISNUMBER('자료_한국심리'!$E3282)),'자료_한국심리'!$D3282,"")</f>
        <v/>
      </c>
      <c r="W3298">
        <f>IF(AND(ISNUMBER('자료_한국심리'!$G3282),ISNUMBER('자료_한국심리'!$H3282)),'자료_한국심리'!$G3282,"")</f>
        <v/>
      </c>
      <c r="X3298">
        <f>IF(AND(ISNUMBER('자료_한국심리'!$J3282),ISNUMBER('자료_한국심리'!$K3282)),'자료_한국심리'!$J3282,"")</f>
        <v/>
      </c>
      <c r="Y3298">
        <f>IF(AND(ISNUMBER('자료_한국심리'!$M3282),ISNUMBER('자료_한국심리'!$N3282)),'자료_한국심리'!$M3282,"")</f>
        <v/>
      </c>
    </row>
    <row r="3299">
      <c r="U3299">
        <f>IF(AND(ISNUMBER('자료_한국심리'!$A3283),ISNUMBER('자료_한국심리'!$B3283)),'자료_한국심리'!$A3283,"")</f>
        <v/>
      </c>
      <c r="V3299">
        <f>IF(AND(ISNUMBER('자료_한국심리'!$D3283),ISNUMBER('자료_한국심리'!$E3283)),'자료_한국심리'!$D3283,"")</f>
        <v/>
      </c>
      <c r="W3299">
        <f>IF(AND(ISNUMBER('자료_한국심리'!$G3283),ISNUMBER('자료_한국심리'!$H3283)),'자료_한국심리'!$G3283,"")</f>
        <v/>
      </c>
      <c r="X3299">
        <f>IF(AND(ISNUMBER('자료_한국심리'!$J3283),ISNUMBER('자료_한국심리'!$K3283)),'자료_한국심리'!$J3283,"")</f>
        <v/>
      </c>
      <c r="Y3299">
        <f>IF(AND(ISNUMBER('자료_한국심리'!$M3283),ISNUMBER('자료_한국심리'!$N3283)),'자료_한국심리'!$M3283,"")</f>
        <v/>
      </c>
    </row>
    <row r="3300">
      <c r="U3300">
        <f>IF(AND(ISNUMBER('자료_한국심리'!$A3284),ISNUMBER('자료_한국심리'!$B3284)),'자료_한국심리'!$A3284,"")</f>
        <v/>
      </c>
      <c r="V3300">
        <f>IF(AND(ISNUMBER('자료_한국심리'!$D3284),ISNUMBER('자료_한국심리'!$E3284)),'자료_한국심리'!$D3284,"")</f>
        <v/>
      </c>
      <c r="W3300">
        <f>IF(AND(ISNUMBER('자료_한국심리'!$G3284),ISNUMBER('자료_한국심리'!$H3284)),'자료_한국심리'!$G3284,"")</f>
        <v/>
      </c>
      <c r="X3300">
        <f>IF(AND(ISNUMBER('자료_한국심리'!$J3284),ISNUMBER('자료_한국심리'!$K3284)),'자료_한국심리'!$J3284,"")</f>
        <v/>
      </c>
      <c r="Y3300">
        <f>IF(AND(ISNUMBER('자료_한국심리'!$M3284),ISNUMBER('자료_한국심리'!$N3284)),'자료_한국심리'!$M3284,"")</f>
        <v/>
      </c>
    </row>
    <row r="3301">
      <c r="U3301">
        <f>IF(AND(ISNUMBER('자료_한국심리'!$A3285),ISNUMBER('자료_한국심리'!$B3285)),'자료_한국심리'!$A3285,"")</f>
        <v/>
      </c>
      <c r="V3301">
        <f>IF(AND(ISNUMBER('자료_한국심리'!$D3285),ISNUMBER('자료_한국심리'!$E3285)),'자료_한국심리'!$D3285,"")</f>
        <v/>
      </c>
      <c r="W3301">
        <f>IF(AND(ISNUMBER('자료_한국심리'!$G3285),ISNUMBER('자료_한국심리'!$H3285)),'자료_한국심리'!$G3285,"")</f>
        <v/>
      </c>
      <c r="X3301">
        <f>IF(AND(ISNUMBER('자료_한국심리'!$J3285),ISNUMBER('자료_한국심리'!$K3285)),'자료_한국심리'!$J3285,"")</f>
        <v/>
      </c>
      <c r="Y3301">
        <f>IF(AND(ISNUMBER('자료_한국심리'!$M3285),ISNUMBER('자료_한국심리'!$N3285)),'자료_한국심리'!$M3285,"")</f>
        <v/>
      </c>
    </row>
    <row r="3302">
      <c r="U3302">
        <f>IF(AND(ISNUMBER('자료_한국심리'!$A3286),ISNUMBER('자료_한국심리'!$B3286)),'자료_한국심리'!$A3286,"")</f>
        <v/>
      </c>
      <c r="V3302">
        <f>IF(AND(ISNUMBER('자료_한국심리'!$D3286),ISNUMBER('자료_한국심리'!$E3286)),'자료_한국심리'!$D3286,"")</f>
        <v/>
      </c>
      <c r="W3302">
        <f>IF(AND(ISNUMBER('자료_한국심리'!$G3286),ISNUMBER('자료_한국심리'!$H3286)),'자료_한국심리'!$G3286,"")</f>
        <v/>
      </c>
      <c r="X3302">
        <f>IF(AND(ISNUMBER('자료_한국심리'!$J3286),ISNUMBER('자료_한국심리'!$K3286)),'자료_한국심리'!$J3286,"")</f>
        <v/>
      </c>
      <c r="Y3302">
        <f>IF(AND(ISNUMBER('자료_한국심리'!$M3286),ISNUMBER('자료_한국심리'!$N3286)),'자료_한국심리'!$M3286,"")</f>
        <v/>
      </c>
    </row>
    <row r="3303">
      <c r="U3303">
        <f>IF(AND(ISNUMBER('자료_한국심리'!$A3287),ISNUMBER('자료_한국심리'!$B3287)),'자료_한국심리'!$A3287,"")</f>
        <v/>
      </c>
      <c r="V3303">
        <f>IF(AND(ISNUMBER('자료_한국심리'!$D3287),ISNUMBER('자료_한국심리'!$E3287)),'자료_한국심리'!$D3287,"")</f>
        <v/>
      </c>
      <c r="W3303">
        <f>IF(AND(ISNUMBER('자료_한국심리'!$G3287),ISNUMBER('자료_한국심리'!$H3287)),'자료_한국심리'!$G3287,"")</f>
        <v/>
      </c>
      <c r="X3303">
        <f>IF(AND(ISNUMBER('자료_한국심리'!$J3287),ISNUMBER('자료_한국심리'!$K3287)),'자료_한국심리'!$J3287,"")</f>
        <v/>
      </c>
      <c r="Y3303">
        <f>IF(AND(ISNUMBER('자료_한국심리'!$M3287),ISNUMBER('자료_한국심리'!$N3287)),'자료_한국심리'!$M3287,"")</f>
        <v/>
      </c>
    </row>
    <row r="3304">
      <c r="U3304">
        <f>IF(AND(ISNUMBER('자료_한국심리'!$A3288),ISNUMBER('자료_한국심리'!$B3288)),'자료_한국심리'!$A3288,"")</f>
        <v/>
      </c>
      <c r="V3304">
        <f>IF(AND(ISNUMBER('자료_한국심리'!$D3288),ISNUMBER('자료_한국심리'!$E3288)),'자료_한국심리'!$D3288,"")</f>
        <v/>
      </c>
      <c r="W3304">
        <f>IF(AND(ISNUMBER('자료_한국심리'!$G3288),ISNUMBER('자료_한국심리'!$H3288)),'자료_한국심리'!$G3288,"")</f>
        <v/>
      </c>
      <c r="X3304">
        <f>IF(AND(ISNUMBER('자료_한국심리'!$J3288),ISNUMBER('자료_한국심리'!$K3288)),'자료_한국심리'!$J3288,"")</f>
        <v/>
      </c>
      <c r="Y3304">
        <f>IF(AND(ISNUMBER('자료_한국심리'!$M3288),ISNUMBER('자료_한국심리'!$N3288)),'자료_한국심리'!$M3288,"")</f>
        <v/>
      </c>
    </row>
    <row r="3305">
      <c r="U3305">
        <f>IF(AND(ISNUMBER('자료_한국심리'!$A3289),ISNUMBER('자료_한국심리'!$B3289)),'자료_한국심리'!$A3289,"")</f>
        <v/>
      </c>
      <c r="V3305">
        <f>IF(AND(ISNUMBER('자료_한국심리'!$D3289),ISNUMBER('자료_한국심리'!$E3289)),'자료_한국심리'!$D3289,"")</f>
        <v/>
      </c>
      <c r="W3305">
        <f>IF(AND(ISNUMBER('자료_한국심리'!$G3289),ISNUMBER('자료_한국심리'!$H3289)),'자료_한국심리'!$G3289,"")</f>
        <v/>
      </c>
      <c r="X3305">
        <f>IF(AND(ISNUMBER('자료_한국심리'!$J3289),ISNUMBER('자료_한국심리'!$K3289)),'자료_한국심리'!$J3289,"")</f>
        <v/>
      </c>
      <c r="Y3305">
        <f>IF(AND(ISNUMBER('자료_한국심리'!$M3289),ISNUMBER('자료_한국심리'!$N3289)),'자료_한국심리'!$M3289,"")</f>
        <v/>
      </c>
    </row>
    <row r="3306">
      <c r="U3306">
        <f>IF(AND(ISNUMBER('자료_한국심리'!$A3290),ISNUMBER('자료_한국심리'!$B3290)),'자료_한국심리'!$A3290,"")</f>
        <v/>
      </c>
      <c r="V3306">
        <f>IF(AND(ISNUMBER('자료_한국심리'!$D3290),ISNUMBER('자료_한국심리'!$E3290)),'자료_한국심리'!$D3290,"")</f>
        <v/>
      </c>
      <c r="W3306">
        <f>IF(AND(ISNUMBER('자료_한국심리'!$G3290),ISNUMBER('자료_한국심리'!$H3290)),'자료_한국심리'!$G3290,"")</f>
        <v/>
      </c>
      <c r="X3306">
        <f>IF(AND(ISNUMBER('자료_한국심리'!$J3290),ISNUMBER('자료_한국심리'!$K3290)),'자료_한국심리'!$J3290,"")</f>
        <v/>
      </c>
      <c r="Y3306">
        <f>IF(AND(ISNUMBER('자료_한국심리'!$M3290),ISNUMBER('자료_한국심리'!$N3290)),'자료_한국심리'!$M3290,"")</f>
        <v/>
      </c>
    </row>
    <row r="3307">
      <c r="U3307">
        <f>IF(AND(ISNUMBER('자료_한국심리'!$A3291),ISNUMBER('자료_한국심리'!$B3291)),'자료_한국심리'!$A3291,"")</f>
        <v/>
      </c>
      <c r="V3307">
        <f>IF(AND(ISNUMBER('자료_한국심리'!$D3291),ISNUMBER('자료_한국심리'!$E3291)),'자료_한국심리'!$D3291,"")</f>
        <v/>
      </c>
      <c r="W3307">
        <f>IF(AND(ISNUMBER('자료_한국심리'!$G3291),ISNUMBER('자료_한국심리'!$H3291)),'자료_한국심리'!$G3291,"")</f>
        <v/>
      </c>
      <c r="X3307">
        <f>IF(AND(ISNUMBER('자료_한국심리'!$J3291),ISNUMBER('자료_한국심리'!$K3291)),'자료_한국심리'!$J3291,"")</f>
        <v/>
      </c>
      <c r="Y3307">
        <f>IF(AND(ISNUMBER('자료_한국심리'!$M3291),ISNUMBER('자료_한국심리'!$N3291)),'자료_한국심리'!$M3291,"")</f>
        <v/>
      </c>
    </row>
    <row r="3308">
      <c r="U3308">
        <f>IF(AND(ISNUMBER('자료_한국심리'!$A3292),ISNUMBER('자료_한국심리'!$B3292)),'자료_한국심리'!$A3292,"")</f>
        <v/>
      </c>
      <c r="V3308">
        <f>IF(AND(ISNUMBER('자료_한국심리'!$D3292),ISNUMBER('자료_한국심리'!$E3292)),'자료_한국심리'!$D3292,"")</f>
        <v/>
      </c>
      <c r="W3308">
        <f>IF(AND(ISNUMBER('자료_한국심리'!$G3292),ISNUMBER('자료_한국심리'!$H3292)),'자료_한국심리'!$G3292,"")</f>
        <v/>
      </c>
      <c r="X3308">
        <f>IF(AND(ISNUMBER('자료_한국심리'!$J3292),ISNUMBER('자료_한국심리'!$K3292)),'자료_한국심리'!$J3292,"")</f>
        <v/>
      </c>
      <c r="Y3308">
        <f>IF(AND(ISNUMBER('자료_한국심리'!$M3292),ISNUMBER('자료_한국심리'!$N3292)),'자료_한국심리'!$M3292,"")</f>
        <v/>
      </c>
    </row>
    <row r="3309">
      <c r="U3309">
        <f>IF(AND(ISNUMBER('자료_한국심리'!$A3293),ISNUMBER('자료_한국심리'!$B3293)),'자료_한국심리'!$A3293,"")</f>
        <v/>
      </c>
      <c r="V3309">
        <f>IF(AND(ISNUMBER('자료_한국심리'!$D3293),ISNUMBER('자료_한국심리'!$E3293)),'자료_한국심리'!$D3293,"")</f>
        <v/>
      </c>
      <c r="W3309">
        <f>IF(AND(ISNUMBER('자료_한국심리'!$G3293),ISNUMBER('자료_한국심리'!$H3293)),'자료_한국심리'!$G3293,"")</f>
        <v/>
      </c>
      <c r="X3309">
        <f>IF(AND(ISNUMBER('자료_한국심리'!$J3293),ISNUMBER('자료_한국심리'!$K3293)),'자료_한국심리'!$J3293,"")</f>
        <v/>
      </c>
      <c r="Y3309">
        <f>IF(AND(ISNUMBER('자료_한국심리'!$M3293),ISNUMBER('자료_한국심리'!$N3293)),'자료_한국심리'!$M3293,"")</f>
        <v/>
      </c>
    </row>
    <row r="3310">
      <c r="U3310">
        <f>IF(AND(ISNUMBER('자료_한국심리'!$A3294),ISNUMBER('자료_한국심리'!$B3294)),'자료_한국심리'!$A3294,"")</f>
        <v/>
      </c>
      <c r="V3310">
        <f>IF(AND(ISNUMBER('자료_한국심리'!$D3294),ISNUMBER('자료_한국심리'!$E3294)),'자료_한국심리'!$D3294,"")</f>
        <v/>
      </c>
      <c r="W3310">
        <f>IF(AND(ISNUMBER('자료_한국심리'!$G3294),ISNUMBER('자료_한국심리'!$H3294)),'자료_한국심리'!$G3294,"")</f>
        <v/>
      </c>
      <c r="X3310">
        <f>IF(AND(ISNUMBER('자료_한국심리'!$J3294),ISNUMBER('자료_한국심리'!$K3294)),'자료_한국심리'!$J3294,"")</f>
        <v/>
      </c>
      <c r="Y3310">
        <f>IF(AND(ISNUMBER('자료_한국심리'!$M3294),ISNUMBER('자료_한국심리'!$N3294)),'자료_한국심리'!$M3294,"")</f>
        <v/>
      </c>
    </row>
    <row r="3311">
      <c r="U3311">
        <f>IF(AND(ISNUMBER('자료_한국심리'!$A3295),ISNUMBER('자료_한국심리'!$B3295)),'자료_한국심리'!$A3295,"")</f>
        <v/>
      </c>
      <c r="V3311">
        <f>IF(AND(ISNUMBER('자료_한국심리'!$D3295),ISNUMBER('자료_한국심리'!$E3295)),'자료_한국심리'!$D3295,"")</f>
        <v/>
      </c>
      <c r="W3311">
        <f>IF(AND(ISNUMBER('자료_한국심리'!$G3295),ISNUMBER('자료_한국심리'!$H3295)),'자료_한국심리'!$G3295,"")</f>
        <v/>
      </c>
      <c r="X3311">
        <f>IF(AND(ISNUMBER('자료_한국심리'!$J3295),ISNUMBER('자료_한국심리'!$K3295)),'자료_한국심리'!$J3295,"")</f>
        <v/>
      </c>
      <c r="Y3311">
        <f>IF(AND(ISNUMBER('자료_한국심리'!$M3295),ISNUMBER('자료_한국심리'!$N3295)),'자료_한국심리'!$M3295,"")</f>
        <v/>
      </c>
    </row>
    <row r="3312">
      <c r="U3312">
        <f>IF(AND(ISNUMBER('자료_한국심리'!$A3296),ISNUMBER('자료_한국심리'!$B3296)),'자료_한국심리'!$A3296,"")</f>
        <v/>
      </c>
      <c r="V3312">
        <f>IF(AND(ISNUMBER('자료_한국심리'!$D3296),ISNUMBER('자료_한국심리'!$E3296)),'자료_한국심리'!$D3296,"")</f>
        <v/>
      </c>
      <c r="W3312">
        <f>IF(AND(ISNUMBER('자료_한국심리'!$G3296),ISNUMBER('자료_한국심리'!$H3296)),'자료_한국심리'!$G3296,"")</f>
        <v/>
      </c>
      <c r="X3312">
        <f>IF(AND(ISNUMBER('자료_한국심리'!$J3296),ISNUMBER('자료_한국심리'!$K3296)),'자료_한국심리'!$J3296,"")</f>
        <v/>
      </c>
      <c r="Y3312">
        <f>IF(AND(ISNUMBER('자료_한국심리'!$M3296),ISNUMBER('자료_한국심리'!$N3296)),'자료_한국심리'!$M3296,"")</f>
        <v/>
      </c>
    </row>
    <row r="3313">
      <c r="U3313">
        <f>IF(AND(ISNUMBER('자료_한국심리'!$A3297),ISNUMBER('자료_한국심리'!$B3297)),'자료_한국심리'!$A3297,"")</f>
        <v/>
      </c>
      <c r="V3313">
        <f>IF(AND(ISNUMBER('자료_한국심리'!$D3297),ISNUMBER('자료_한국심리'!$E3297)),'자료_한국심리'!$D3297,"")</f>
        <v/>
      </c>
      <c r="W3313">
        <f>IF(AND(ISNUMBER('자료_한국심리'!$G3297),ISNUMBER('자료_한국심리'!$H3297)),'자료_한국심리'!$G3297,"")</f>
        <v/>
      </c>
      <c r="X3313">
        <f>IF(AND(ISNUMBER('자료_한국심리'!$J3297),ISNUMBER('자료_한국심리'!$K3297)),'자료_한국심리'!$J3297,"")</f>
        <v/>
      </c>
      <c r="Y3313">
        <f>IF(AND(ISNUMBER('자료_한국심리'!$M3297),ISNUMBER('자료_한국심리'!$N3297)),'자료_한국심리'!$M3297,"")</f>
        <v/>
      </c>
    </row>
    <row r="3314">
      <c r="U3314">
        <f>IF(AND(ISNUMBER('자료_한국심리'!$A3298),ISNUMBER('자료_한국심리'!$B3298)),'자료_한국심리'!$A3298,"")</f>
        <v/>
      </c>
      <c r="V3314">
        <f>IF(AND(ISNUMBER('자료_한국심리'!$D3298),ISNUMBER('자료_한국심리'!$E3298)),'자료_한국심리'!$D3298,"")</f>
        <v/>
      </c>
      <c r="W3314">
        <f>IF(AND(ISNUMBER('자료_한국심리'!$G3298),ISNUMBER('자료_한국심리'!$H3298)),'자료_한국심리'!$G3298,"")</f>
        <v/>
      </c>
      <c r="X3314">
        <f>IF(AND(ISNUMBER('자료_한국심리'!$J3298),ISNUMBER('자료_한국심리'!$K3298)),'자료_한국심리'!$J3298,"")</f>
        <v/>
      </c>
      <c r="Y3314">
        <f>IF(AND(ISNUMBER('자료_한국심리'!$M3298),ISNUMBER('자료_한국심리'!$N3298)),'자료_한국심리'!$M3298,"")</f>
        <v/>
      </c>
    </row>
    <row r="3315">
      <c r="U3315">
        <f>IF(AND(ISNUMBER('자료_한국심리'!$A3299),ISNUMBER('자료_한국심리'!$B3299)),'자료_한국심리'!$A3299,"")</f>
        <v/>
      </c>
      <c r="V3315">
        <f>IF(AND(ISNUMBER('자료_한국심리'!$D3299),ISNUMBER('자료_한국심리'!$E3299)),'자료_한국심리'!$D3299,"")</f>
        <v/>
      </c>
      <c r="W3315">
        <f>IF(AND(ISNUMBER('자료_한국심리'!$G3299),ISNUMBER('자료_한국심리'!$H3299)),'자료_한국심리'!$G3299,"")</f>
        <v/>
      </c>
      <c r="X3315">
        <f>IF(AND(ISNUMBER('자료_한국심리'!$J3299),ISNUMBER('자료_한국심리'!$K3299)),'자료_한국심리'!$J3299,"")</f>
        <v/>
      </c>
      <c r="Y3315">
        <f>IF(AND(ISNUMBER('자료_한국심리'!$M3299),ISNUMBER('자료_한국심리'!$N3299)),'자료_한국심리'!$M3299,"")</f>
        <v/>
      </c>
    </row>
    <row r="3316">
      <c r="U3316">
        <f>IF(AND(ISNUMBER('자료_한국심리'!$A3300),ISNUMBER('자료_한국심리'!$B3300)),'자료_한국심리'!$A3300,"")</f>
        <v/>
      </c>
      <c r="V3316">
        <f>IF(AND(ISNUMBER('자료_한국심리'!$D3300),ISNUMBER('자료_한국심리'!$E3300)),'자료_한국심리'!$D3300,"")</f>
        <v/>
      </c>
      <c r="W3316">
        <f>IF(AND(ISNUMBER('자료_한국심리'!$G3300),ISNUMBER('자료_한국심리'!$H3300)),'자료_한국심리'!$G3300,"")</f>
        <v/>
      </c>
      <c r="X3316">
        <f>IF(AND(ISNUMBER('자료_한국심리'!$J3300),ISNUMBER('자료_한국심리'!$K3300)),'자료_한국심리'!$J3300,"")</f>
        <v/>
      </c>
      <c r="Y3316">
        <f>IF(AND(ISNUMBER('자료_한국심리'!$M3300),ISNUMBER('자료_한국심리'!$N3300)),'자료_한국심리'!$M3300,"")</f>
        <v/>
      </c>
    </row>
    <row r="3317">
      <c r="U3317">
        <f>IF(AND(ISNUMBER('자료_한국심리'!$A3301),ISNUMBER('자료_한국심리'!$B3301)),'자료_한국심리'!$A3301,"")</f>
        <v/>
      </c>
      <c r="V3317">
        <f>IF(AND(ISNUMBER('자료_한국심리'!$D3301),ISNUMBER('자료_한국심리'!$E3301)),'자료_한국심리'!$D3301,"")</f>
        <v/>
      </c>
      <c r="W3317">
        <f>IF(AND(ISNUMBER('자료_한국심리'!$G3301),ISNUMBER('자료_한국심리'!$H3301)),'자료_한국심리'!$G3301,"")</f>
        <v/>
      </c>
      <c r="X3317">
        <f>IF(AND(ISNUMBER('자료_한국심리'!$J3301),ISNUMBER('자료_한국심리'!$K3301)),'자료_한국심리'!$J3301,"")</f>
        <v/>
      </c>
      <c r="Y3317">
        <f>IF(AND(ISNUMBER('자료_한국심리'!$M3301),ISNUMBER('자료_한국심리'!$N3301)),'자료_한국심리'!$M3301,"")</f>
        <v/>
      </c>
    </row>
    <row r="3318">
      <c r="U3318">
        <f>IF(AND(ISNUMBER('자료_한국심리'!$A3302),ISNUMBER('자료_한국심리'!$B3302)),'자료_한국심리'!$A3302,"")</f>
        <v/>
      </c>
      <c r="V3318">
        <f>IF(AND(ISNUMBER('자료_한국심리'!$D3302),ISNUMBER('자료_한국심리'!$E3302)),'자료_한국심리'!$D3302,"")</f>
        <v/>
      </c>
      <c r="W3318">
        <f>IF(AND(ISNUMBER('자료_한국심리'!$G3302),ISNUMBER('자료_한국심리'!$H3302)),'자료_한국심리'!$G3302,"")</f>
        <v/>
      </c>
      <c r="X3318">
        <f>IF(AND(ISNUMBER('자료_한국심리'!$J3302),ISNUMBER('자료_한국심리'!$K3302)),'자료_한국심리'!$J3302,"")</f>
        <v/>
      </c>
      <c r="Y3318">
        <f>IF(AND(ISNUMBER('자료_한국심리'!$M3302),ISNUMBER('자료_한국심리'!$N3302)),'자료_한국심리'!$M3302,"")</f>
        <v/>
      </c>
    </row>
    <row r="3319">
      <c r="U3319">
        <f>IF(AND(ISNUMBER('자료_한국심리'!$A3303),ISNUMBER('자료_한국심리'!$B3303)),'자료_한국심리'!$A3303,"")</f>
        <v/>
      </c>
      <c r="V3319">
        <f>IF(AND(ISNUMBER('자료_한국심리'!$D3303),ISNUMBER('자료_한국심리'!$E3303)),'자료_한국심리'!$D3303,"")</f>
        <v/>
      </c>
      <c r="W3319">
        <f>IF(AND(ISNUMBER('자료_한국심리'!$G3303),ISNUMBER('자료_한국심리'!$H3303)),'자료_한국심리'!$G3303,"")</f>
        <v/>
      </c>
      <c r="X3319">
        <f>IF(AND(ISNUMBER('자료_한국심리'!$J3303),ISNUMBER('자료_한국심리'!$K3303)),'자료_한국심리'!$J3303,"")</f>
        <v/>
      </c>
      <c r="Y3319">
        <f>IF(AND(ISNUMBER('자료_한국심리'!$M3303),ISNUMBER('자료_한국심리'!$N3303)),'자료_한국심리'!$M3303,"")</f>
        <v/>
      </c>
    </row>
    <row r="3320">
      <c r="U3320">
        <f>IF(AND(ISNUMBER('자료_한국심리'!$A3304),ISNUMBER('자료_한국심리'!$B3304)),'자료_한국심리'!$A3304,"")</f>
        <v/>
      </c>
      <c r="V3320">
        <f>IF(AND(ISNUMBER('자료_한국심리'!$D3304),ISNUMBER('자료_한국심리'!$E3304)),'자료_한국심리'!$D3304,"")</f>
        <v/>
      </c>
      <c r="W3320">
        <f>IF(AND(ISNUMBER('자료_한국심리'!$G3304),ISNUMBER('자료_한국심리'!$H3304)),'자료_한국심리'!$G3304,"")</f>
        <v/>
      </c>
      <c r="X3320">
        <f>IF(AND(ISNUMBER('자료_한국심리'!$J3304),ISNUMBER('자료_한국심리'!$K3304)),'자료_한국심리'!$J3304,"")</f>
        <v/>
      </c>
      <c r="Y3320">
        <f>IF(AND(ISNUMBER('자료_한국심리'!$M3304),ISNUMBER('자료_한국심리'!$N3304)),'자료_한국심리'!$M3304,"")</f>
        <v/>
      </c>
    </row>
    <row r="3321">
      <c r="U3321">
        <f>IF(AND(ISNUMBER('자료_한국심리'!$A3305),ISNUMBER('자료_한국심리'!$B3305)),'자료_한국심리'!$A3305,"")</f>
        <v/>
      </c>
      <c r="V3321">
        <f>IF(AND(ISNUMBER('자료_한국심리'!$D3305),ISNUMBER('자료_한국심리'!$E3305)),'자료_한국심리'!$D3305,"")</f>
        <v/>
      </c>
      <c r="W3321">
        <f>IF(AND(ISNUMBER('자료_한국심리'!$G3305),ISNUMBER('자료_한국심리'!$H3305)),'자료_한국심리'!$G3305,"")</f>
        <v/>
      </c>
      <c r="X3321">
        <f>IF(AND(ISNUMBER('자료_한국심리'!$J3305),ISNUMBER('자료_한국심리'!$K3305)),'자료_한국심리'!$J3305,"")</f>
        <v/>
      </c>
      <c r="Y3321">
        <f>IF(AND(ISNUMBER('자료_한국심리'!$M3305),ISNUMBER('자료_한국심리'!$N3305)),'자료_한국심리'!$M3305,"")</f>
        <v/>
      </c>
    </row>
    <row r="3322">
      <c r="U3322">
        <f>IF(AND(ISNUMBER('자료_한국심리'!$A3306),ISNUMBER('자료_한국심리'!$B3306)),'자료_한국심리'!$A3306,"")</f>
        <v/>
      </c>
      <c r="V3322">
        <f>IF(AND(ISNUMBER('자료_한국심리'!$D3306),ISNUMBER('자료_한국심리'!$E3306)),'자료_한국심리'!$D3306,"")</f>
        <v/>
      </c>
      <c r="W3322">
        <f>IF(AND(ISNUMBER('자료_한국심리'!$G3306),ISNUMBER('자료_한국심리'!$H3306)),'자료_한국심리'!$G3306,"")</f>
        <v/>
      </c>
      <c r="X3322">
        <f>IF(AND(ISNUMBER('자료_한국심리'!$J3306),ISNUMBER('자료_한국심리'!$K3306)),'자료_한국심리'!$J3306,"")</f>
        <v/>
      </c>
      <c r="Y3322">
        <f>IF(AND(ISNUMBER('자료_한국심리'!$M3306),ISNUMBER('자료_한국심리'!$N3306)),'자료_한국심리'!$M3306,"")</f>
        <v/>
      </c>
    </row>
    <row r="3323">
      <c r="U3323">
        <f>IF(AND(ISNUMBER('자료_한국심리'!$A3307),ISNUMBER('자료_한국심리'!$B3307)),'자료_한국심리'!$A3307,"")</f>
        <v/>
      </c>
      <c r="V3323">
        <f>IF(AND(ISNUMBER('자료_한국심리'!$D3307),ISNUMBER('자료_한국심리'!$E3307)),'자료_한국심리'!$D3307,"")</f>
        <v/>
      </c>
      <c r="W3323">
        <f>IF(AND(ISNUMBER('자료_한국심리'!$G3307),ISNUMBER('자료_한국심리'!$H3307)),'자료_한국심리'!$G3307,"")</f>
        <v/>
      </c>
      <c r="X3323">
        <f>IF(AND(ISNUMBER('자료_한국심리'!$J3307),ISNUMBER('자료_한국심리'!$K3307)),'자료_한국심리'!$J3307,"")</f>
        <v/>
      </c>
      <c r="Y3323">
        <f>IF(AND(ISNUMBER('자료_한국심리'!$M3307),ISNUMBER('자료_한국심리'!$N3307)),'자료_한국심리'!$M3307,"")</f>
        <v/>
      </c>
    </row>
    <row r="3324">
      <c r="U3324">
        <f>IF(AND(ISNUMBER('자료_한국심리'!$A3308),ISNUMBER('자료_한국심리'!$B3308)),'자료_한국심리'!$A3308,"")</f>
        <v/>
      </c>
      <c r="V3324">
        <f>IF(AND(ISNUMBER('자료_한국심리'!$D3308),ISNUMBER('자료_한국심리'!$E3308)),'자료_한국심리'!$D3308,"")</f>
        <v/>
      </c>
      <c r="W3324">
        <f>IF(AND(ISNUMBER('자료_한국심리'!$G3308),ISNUMBER('자료_한국심리'!$H3308)),'자료_한국심리'!$G3308,"")</f>
        <v/>
      </c>
      <c r="X3324">
        <f>IF(AND(ISNUMBER('자료_한국심리'!$J3308),ISNUMBER('자료_한국심리'!$K3308)),'자료_한국심리'!$J3308,"")</f>
        <v/>
      </c>
      <c r="Y3324">
        <f>IF(AND(ISNUMBER('자료_한국심리'!$M3308),ISNUMBER('자료_한국심리'!$N3308)),'자료_한국심리'!$M3308,"")</f>
        <v/>
      </c>
    </row>
    <row r="3325">
      <c r="U3325">
        <f>IF(AND(ISNUMBER('자료_한국심리'!$A3309),ISNUMBER('자료_한국심리'!$B3309)),'자료_한국심리'!$A3309,"")</f>
        <v/>
      </c>
      <c r="V3325">
        <f>IF(AND(ISNUMBER('자료_한국심리'!$D3309),ISNUMBER('자료_한국심리'!$E3309)),'자료_한국심리'!$D3309,"")</f>
        <v/>
      </c>
      <c r="W3325">
        <f>IF(AND(ISNUMBER('자료_한국심리'!$G3309),ISNUMBER('자료_한국심리'!$H3309)),'자료_한국심리'!$G3309,"")</f>
        <v/>
      </c>
      <c r="X3325">
        <f>IF(AND(ISNUMBER('자료_한국심리'!$J3309),ISNUMBER('자료_한국심리'!$K3309)),'자료_한국심리'!$J3309,"")</f>
        <v/>
      </c>
      <c r="Y3325">
        <f>IF(AND(ISNUMBER('자료_한국심리'!$M3309),ISNUMBER('자료_한국심리'!$N3309)),'자료_한국심리'!$M3309,"")</f>
        <v/>
      </c>
    </row>
    <row r="3326">
      <c r="U3326">
        <f>IF(AND(ISNUMBER('자료_한국심리'!$A3310),ISNUMBER('자료_한국심리'!$B3310)),'자료_한국심리'!$A3310,"")</f>
        <v/>
      </c>
      <c r="V3326">
        <f>IF(AND(ISNUMBER('자료_한국심리'!$D3310),ISNUMBER('자료_한국심리'!$E3310)),'자료_한국심리'!$D3310,"")</f>
        <v/>
      </c>
      <c r="W3326">
        <f>IF(AND(ISNUMBER('자료_한국심리'!$G3310),ISNUMBER('자료_한국심리'!$H3310)),'자료_한국심리'!$G3310,"")</f>
        <v/>
      </c>
      <c r="X3326">
        <f>IF(AND(ISNUMBER('자료_한국심리'!$J3310),ISNUMBER('자료_한국심리'!$K3310)),'자료_한국심리'!$J3310,"")</f>
        <v/>
      </c>
      <c r="Y3326">
        <f>IF(AND(ISNUMBER('자료_한국심리'!$M3310),ISNUMBER('자료_한국심리'!$N3310)),'자료_한국심리'!$M3310,"")</f>
        <v/>
      </c>
    </row>
    <row r="3327">
      <c r="U3327">
        <f>IF(AND(ISNUMBER('자료_한국심리'!$A3311),ISNUMBER('자료_한국심리'!$B3311)),'자료_한국심리'!$A3311,"")</f>
        <v/>
      </c>
      <c r="V3327">
        <f>IF(AND(ISNUMBER('자료_한국심리'!$D3311),ISNUMBER('자료_한국심리'!$E3311)),'자료_한국심리'!$D3311,"")</f>
        <v/>
      </c>
      <c r="W3327">
        <f>IF(AND(ISNUMBER('자료_한국심리'!$G3311),ISNUMBER('자료_한국심리'!$H3311)),'자료_한국심리'!$G3311,"")</f>
        <v/>
      </c>
      <c r="X3327">
        <f>IF(AND(ISNUMBER('자료_한국심리'!$J3311),ISNUMBER('자료_한국심리'!$K3311)),'자료_한국심리'!$J3311,"")</f>
        <v/>
      </c>
      <c r="Y3327">
        <f>IF(AND(ISNUMBER('자료_한국심리'!$M3311),ISNUMBER('자료_한국심리'!$N3311)),'자료_한국심리'!$M3311,"")</f>
        <v/>
      </c>
    </row>
    <row r="3328">
      <c r="U3328">
        <f>IF(AND(ISNUMBER('자료_한국심리'!$A3312),ISNUMBER('자료_한국심리'!$B3312)),'자료_한국심리'!$A3312,"")</f>
        <v/>
      </c>
      <c r="V3328">
        <f>IF(AND(ISNUMBER('자료_한국심리'!$D3312),ISNUMBER('자료_한국심리'!$E3312)),'자료_한국심리'!$D3312,"")</f>
        <v/>
      </c>
      <c r="W3328">
        <f>IF(AND(ISNUMBER('자료_한국심리'!$G3312),ISNUMBER('자료_한국심리'!$H3312)),'자료_한국심리'!$G3312,"")</f>
        <v/>
      </c>
      <c r="X3328">
        <f>IF(AND(ISNUMBER('자료_한국심리'!$J3312),ISNUMBER('자료_한국심리'!$K3312)),'자료_한국심리'!$J3312,"")</f>
        <v/>
      </c>
      <c r="Y3328">
        <f>IF(AND(ISNUMBER('자료_한국심리'!$M3312),ISNUMBER('자료_한국심리'!$N3312)),'자료_한국심리'!$M3312,"")</f>
        <v/>
      </c>
    </row>
    <row r="3329">
      <c r="U3329">
        <f>IF(AND(ISNUMBER('자료_한국심리'!$A3313),ISNUMBER('자료_한국심리'!$B3313)),'자료_한국심리'!$A3313,"")</f>
        <v/>
      </c>
      <c r="V3329">
        <f>IF(AND(ISNUMBER('자료_한국심리'!$D3313),ISNUMBER('자료_한국심리'!$E3313)),'자료_한국심리'!$D3313,"")</f>
        <v/>
      </c>
      <c r="W3329">
        <f>IF(AND(ISNUMBER('자료_한국심리'!$G3313),ISNUMBER('자료_한국심리'!$H3313)),'자료_한국심리'!$G3313,"")</f>
        <v/>
      </c>
      <c r="X3329">
        <f>IF(AND(ISNUMBER('자료_한국심리'!$J3313),ISNUMBER('자료_한국심리'!$K3313)),'자료_한국심리'!$J3313,"")</f>
        <v/>
      </c>
      <c r="Y3329">
        <f>IF(AND(ISNUMBER('자료_한국심리'!$M3313),ISNUMBER('자료_한국심리'!$N3313)),'자료_한국심리'!$M3313,"")</f>
        <v/>
      </c>
    </row>
    <row r="3330">
      <c r="U3330">
        <f>IF(AND(ISNUMBER('자료_한국심리'!$A3314),ISNUMBER('자료_한국심리'!$B3314)),'자료_한국심리'!$A3314,"")</f>
        <v/>
      </c>
      <c r="V3330">
        <f>IF(AND(ISNUMBER('자료_한국심리'!$D3314),ISNUMBER('자료_한국심리'!$E3314)),'자료_한국심리'!$D3314,"")</f>
        <v/>
      </c>
      <c r="W3330">
        <f>IF(AND(ISNUMBER('자료_한국심리'!$G3314),ISNUMBER('자료_한국심리'!$H3314)),'자료_한국심리'!$G3314,"")</f>
        <v/>
      </c>
      <c r="X3330">
        <f>IF(AND(ISNUMBER('자료_한국심리'!$J3314),ISNUMBER('자료_한국심리'!$K3314)),'자료_한국심리'!$J3314,"")</f>
        <v/>
      </c>
      <c r="Y3330">
        <f>IF(AND(ISNUMBER('자료_한국심리'!$M3314),ISNUMBER('자료_한국심리'!$N3314)),'자료_한국심리'!$M3314,"")</f>
        <v/>
      </c>
    </row>
    <row r="3331">
      <c r="U3331">
        <f>IF(AND(ISNUMBER('자료_한국심리'!$A3315),ISNUMBER('자료_한국심리'!$B3315)),'자료_한국심리'!$A3315,"")</f>
        <v/>
      </c>
      <c r="V3331">
        <f>IF(AND(ISNUMBER('자료_한국심리'!$D3315),ISNUMBER('자료_한국심리'!$E3315)),'자료_한국심리'!$D3315,"")</f>
        <v/>
      </c>
      <c r="W3331">
        <f>IF(AND(ISNUMBER('자료_한국심리'!$G3315),ISNUMBER('자료_한국심리'!$H3315)),'자료_한국심리'!$G3315,"")</f>
        <v/>
      </c>
      <c r="X3331">
        <f>IF(AND(ISNUMBER('자료_한국심리'!$J3315),ISNUMBER('자료_한국심리'!$K3315)),'자료_한국심리'!$J3315,"")</f>
        <v/>
      </c>
      <c r="Y3331">
        <f>IF(AND(ISNUMBER('자료_한국심리'!$M3315),ISNUMBER('자료_한국심리'!$N3315)),'자료_한국심리'!$M3315,"")</f>
        <v/>
      </c>
    </row>
    <row r="3332">
      <c r="U3332">
        <f>IF(AND(ISNUMBER('자료_한국심리'!$A3316),ISNUMBER('자료_한국심리'!$B3316)),'자료_한국심리'!$A3316,"")</f>
        <v/>
      </c>
      <c r="V3332">
        <f>IF(AND(ISNUMBER('자료_한국심리'!$D3316),ISNUMBER('자료_한국심리'!$E3316)),'자료_한국심리'!$D3316,"")</f>
        <v/>
      </c>
      <c r="W3332">
        <f>IF(AND(ISNUMBER('자료_한국심리'!$G3316),ISNUMBER('자료_한국심리'!$H3316)),'자료_한국심리'!$G3316,"")</f>
        <v/>
      </c>
      <c r="X3332">
        <f>IF(AND(ISNUMBER('자료_한국심리'!$J3316),ISNUMBER('자료_한국심리'!$K3316)),'자료_한국심리'!$J3316,"")</f>
        <v/>
      </c>
      <c r="Y3332">
        <f>IF(AND(ISNUMBER('자료_한국심리'!$M3316),ISNUMBER('자료_한국심리'!$N3316)),'자료_한국심리'!$M3316,"")</f>
        <v/>
      </c>
    </row>
    <row r="3333">
      <c r="U3333">
        <f>IF(AND(ISNUMBER('자료_한국심리'!$A3317),ISNUMBER('자료_한국심리'!$B3317)),'자료_한국심리'!$A3317,"")</f>
        <v/>
      </c>
      <c r="V3333">
        <f>IF(AND(ISNUMBER('자료_한국심리'!$D3317),ISNUMBER('자료_한국심리'!$E3317)),'자료_한국심리'!$D3317,"")</f>
        <v/>
      </c>
      <c r="W3333">
        <f>IF(AND(ISNUMBER('자료_한국심리'!$G3317),ISNUMBER('자료_한국심리'!$H3317)),'자료_한국심리'!$G3317,"")</f>
        <v/>
      </c>
      <c r="X3333">
        <f>IF(AND(ISNUMBER('자료_한국심리'!$J3317),ISNUMBER('자료_한국심리'!$K3317)),'자료_한국심리'!$J3317,"")</f>
        <v/>
      </c>
      <c r="Y3333">
        <f>IF(AND(ISNUMBER('자료_한국심리'!$M3317),ISNUMBER('자료_한국심리'!$N3317)),'자료_한국심리'!$M3317,"")</f>
        <v/>
      </c>
    </row>
    <row r="3334">
      <c r="U3334">
        <f>IF(AND(ISNUMBER('자료_한국심리'!$A3318),ISNUMBER('자료_한국심리'!$B3318)),'자료_한국심리'!$A3318,"")</f>
        <v/>
      </c>
      <c r="V3334">
        <f>IF(AND(ISNUMBER('자료_한국심리'!$D3318),ISNUMBER('자료_한국심리'!$E3318)),'자료_한국심리'!$D3318,"")</f>
        <v/>
      </c>
      <c r="W3334">
        <f>IF(AND(ISNUMBER('자료_한국심리'!$G3318),ISNUMBER('자료_한국심리'!$H3318)),'자료_한국심리'!$G3318,"")</f>
        <v/>
      </c>
      <c r="X3334">
        <f>IF(AND(ISNUMBER('자료_한국심리'!$J3318),ISNUMBER('자료_한국심리'!$K3318)),'자료_한국심리'!$J3318,"")</f>
        <v/>
      </c>
      <c r="Y3334">
        <f>IF(AND(ISNUMBER('자료_한국심리'!$M3318),ISNUMBER('자료_한국심리'!$N3318)),'자료_한국심리'!$M3318,"")</f>
        <v/>
      </c>
    </row>
    <row r="3335">
      <c r="U3335">
        <f>IF(AND(ISNUMBER('자료_한국심리'!$A3319),ISNUMBER('자료_한국심리'!$B3319)),'자료_한국심리'!$A3319,"")</f>
        <v/>
      </c>
      <c r="V3335">
        <f>IF(AND(ISNUMBER('자료_한국심리'!$D3319),ISNUMBER('자료_한국심리'!$E3319)),'자료_한국심리'!$D3319,"")</f>
        <v/>
      </c>
      <c r="W3335">
        <f>IF(AND(ISNUMBER('자료_한국심리'!$G3319),ISNUMBER('자료_한국심리'!$H3319)),'자료_한국심리'!$G3319,"")</f>
        <v/>
      </c>
      <c r="X3335">
        <f>IF(AND(ISNUMBER('자료_한국심리'!$J3319),ISNUMBER('자료_한국심리'!$K3319)),'자료_한국심리'!$J3319,"")</f>
        <v/>
      </c>
      <c r="Y3335">
        <f>IF(AND(ISNUMBER('자료_한국심리'!$M3319),ISNUMBER('자료_한국심리'!$N3319)),'자료_한국심리'!$M3319,"")</f>
        <v/>
      </c>
    </row>
    <row r="3336">
      <c r="U3336">
        <f>IF(AND(ISNUMBER('자료_한국심리'!$A3320),ISNUMBER('자료_한국심리'!$B3320)),'자료_한국심리'!$A3320,"")</f>
        <v/>
      </c>
      <c r="V3336">
        <f>IF(AND(ISNUMBER('자료_한국심리'!$D3320),ISNUMBER('자료_한국심리'!$E3320)),'자료_한국심리'!$D3320,"")</f>
        <v/>
      </c>
      <c r="W3336">
        <f>IF(AND(ISNUMBER('자료_한국심리'!$G3320),ISNUMBER('자료_한국심리'!$H3320)),'자료_한국심리'!$G3320,"")</f>
        <v/>
      </c>
      <c r="X3336">
        <f>IF(AND(ISNUMBER('자료_한국심리'!$J3320),ISNUMBER('자료_한국심리'!$K3320)),'자료_한국심리'!$J3320,"")</f>
        <v/>
      </c>
      <c r="Y3336">
        <f>IF(AND(ISNUMBER('자료_한국심리'!$M3320),ISNUMBER('자료_한국심리'!$N3320)),'자료_한국심리'!$M3320,"")</f>
        <v/>
      </c>
    </row>
    <row r="3337">
      <c r="U3337">
        <f>IF(AND(ISNUMBER('자료_한국심리'!$A3321),ISNUMBER('자료_한국심리'!$B3321)),'자료_한국심리'!$A3321,"")</f>
        <v/>
      </c>
      <c r="V3337">
        <f>IF(AND(ISNUMBER('자료_한국심리'!$D3321),ISNUMBER('자료_한국심리'!$E3321)),'자료_한국심리'!$D3321,"")</f>
        <v/>
      </c>
      <c r="W3337">
        <f>IF(AND(ISNUMBER('자료_한국심리'!$G3321),ISNUMBER('자료_한국심리'!$H3321)),'자료_한국심리'!$G3321,"")</f>
        <v/>
      </c>
      <c r="X3337">
        <f>IF(AND(ISNUMBER('자료_한국심리'!$J3321),ISNUMBER('자료_한국심리'!$K3321)),'자료_한국심리'!$J3321,"")</f>
        <v/>
      </c>
      <c r="Y3337">
        <f>IF(AND(ISNUMBER('자료_한국심리'!$M3321),ISNUMBER('자료_한국심리'!$N3321)),'자료_한국심리'!$M3321,"")</f>
        <v/>
      </c>
    </row>
    <row r="3338">
      <c r="U3338">
        <f>IF(AND(ISNUMBER('자료_한국심리'!$A3322),ISNUMBER('자료_한국심리'!$B3322)),'자료_한국심리'!$A3322,"")</f>
        <v/>
      </c>
      <c r="V3338">
        <f>IF(AND(ISNUMBER('자료_한국심리'!$D3322),ISNUMBER('자료_한국심리'!$E3322)),'자료_한국심리'!$D3322,"")</f>
        <v/>
      </c>
      <c r="W3338">
        <f>IF(AND(ISNUMBER('자료_한국심리'!$G3322),ISNUMBER('자료_한국심리'!$H3322)),'자료_한국심리'!$G3322,"")</f>
        <v/>
      </c>
      <c r="X3338">
        <f>IF(AND(ISNUMBER('자료_한국심리'!$J3322),ISNUMBER('자료_한국심리'!$K3322)),'자료_한국심리'!$J3322,"")</f>
        <v/>
      </c>
      <c r="Y3338">
        <f>IF(AND(ISNUMBER('자료_한국심리'!$M3322),ISNUMBER('자료_한국심리'!$N3322)),'자료_한국심리'!$M3322,"")</f>
        <v/>
      </c>
    </row>
    <row r="3339">
      <c r="U3339">
        <f>IF(AND(ISNUMBER('자료_한국심리'!$A3323),ISNUMBER('자료_한국심리'!$B3323)),'자료_한국심리'!$A3323,"")</f>
        <v/>
      </c>
      <c r="V3339">
        <f>IF(AND(ISNUMBER('자료_한국심리'!$D3323),ISNUMBER('자료_한국심리'!$E3323)),'자료_한국심리'!$D3323,"")</f>
        <v/>
      </c>
      <c r="W3339">
        <f>IF(AND(ISNUMBER('자료_한국심리'!$G3323),ISNUMBER('자료_한국심리'!$H3323)),'자료_한국심리'!$G3323,"")</f>
        <v/>
      </c>
      <c r="X3339">
        <f>IF(AND(ISNUMBER('자료_한국심리'!$J3323),ISNUMBER('자료_한국심리'!$K3323)),'자료_한국심리'!$J3323,"")</f>
        <v/>
      </c>
      <c r="Y3339">
        <f>IF(AND(ISNUMBER('자료_한국심리'!$M3323),ISNUMBER('자료_한국심리'!$N3323)),'자료_한국심리'!$M3323,"")</f>
        <v/>
      </c>
    </row>
    <row r="3340">
      <c r="U3340">
        <f>IF(AND(ISNUMBER('자료_한국심리'!$A3324),ISNUMBER('자료_한국심리'!$B3324)),'자료_한국심리'!$A3324,"")</f>
        <v/>
      </c>
      <c r="V3340">
        <f>IF(AND(ISNUMBER('자료_한국심리'!$D3324),ISNUMBER('자료_한국심리'!$E3324)),'자료_한국심리'!$D3324,"")</f>
        <v/>
      </c>
      <c r="W3340">
        <f>IF(AND(ISNUMBER('자료_한국심리'!$G3324),ISNUMBER('자료_한국심리'!$H3324)),'자료_한국심리'!$G3324,"")</f>
        <v/>
      </c>
      <c r="X3340">
        <f>IF(AND(ISNUMBER('자료_한국심리'!$J3324),ISNUMBER('자료_한국심리'!$K3324)),'자료_한국심리'!$J3324,"")</f>
        <v/>
      </c>
      <c r="Y3340">
        <f>IF(AND(ISNUMBER('자료_한국심리'!$M3324),ISNUMBER('자료_한국심리'!$N3324)),'자료_한국심리'!$M3324,"")</f>
        <v/>
      </c>
    </row>
    <row r="3341">
      <c r="U3341">
        <f>IF(AND(ISNUMBER('자료_한국심리'!$A3325),ISNUMBER('자료_한국심리'!$B3325)),'자료_한국심리'!$A3325,"")</f>
        <v/>
      </c>
      <c r="V3341">
        <f>IF(AND(ISNUMBER('자료_한국심리'!$D3325),ISNUMBER('자료_한국심리'!$E3325)),'자료_한국심리'!$D3325,"")</f>
        <v/>
      </c>
      <c r="W3341">
        <f>IF(AND(ISNUMBER('자료_한국심리'!$G3325),ISNUMBER('자료_한국심리'!$H3325)),'자료_한국심리'!$G3325,"")</f>
        <v/>
      </c>
      <c r="X3341">
        <f>IF(AND(ISNUMBER('자료_한국심리'!$J3325),ISNUMBER('자료_한국심리'!$K3325)),'자료_한국심리'!$J3325,"")</f>
        <v/>
      </c>
      <c r="Y3341">
        <f>IF(AND(ISNUMBER('자료_한국심리'!$M3325),ISNUMBER('자료_한국심리'!$N3325)),'자료_한국심리'!$M3325,"")</f>
        <v/>
      </c>
    </row>
    <row r="3342">
      <c r="U3342">
        <f>IF(AND(ISNUMBER('자료_한국심리'!$A3326),ISNUMBER('자료_한국심리'!$B3326)),'자료_한국심리'!$A3326,"")</f>
        <v/>
      </c>
      <c r="V3342">
        <f>IF(AND(ISNUMBER('자료_한국심리'!$D3326),ISNUMBER('자료_한국심리'!$E3326)),'자료_한국심리'!$D3326,"")</f>
        <v/>
      </c>
      <c r="W3342">
        <f>IF(AND(ISNUMBER('자료_한국심리'!$G3326),ISNUMBER('자료_한국심리'!$H3326)),'자료_한국심리'!$G3326,"")</f>
        <v/>
      </c>
      <c r="X3342">
        <f>IF(AND(ISNUMBER('자료_한국심리'!$J3326),ISNUMBER('자료_한국심리'!$K3326)),'자료_한국심리'!$J3326,"")</f>
        <v/>
      </c>
      <c r="Y3342">
        <f>IF(AND(ISNUMBER('자료_한국심리'!$M3326),ISNUMBER('자료_한국심리'!$N3326)),'자료_한국심리'!$M3326,"")</f>
        <v/>
      </c>
    </row>
    <row r="3343">
      <c r="U3343">
        <f>IF(AND(ISNUMBER('자료_한국심리'!$A3327),ISNUMBER('자료_한국심리'!$B3327)),'자료_한국심리'!$A3327,"")</f>
        <v/>
      </c>
      <c r="V3343">
        <f>IF(AND(ISNUMBER('자료_한국심리'!$D3327),ISNUMBER('자료_한국심리'!$E3327)),'자료_한국심리'!$D3327,"")</f>
        <v/>
      </c>
      <c r="W3343">
        <f>IF(AND(ISNUMBER('자료_한국심리'!$G3327),ISNUMBER('자료_한국심리'!$H3327)),'자료_한국심리'!$G3327,"")</f>
        <v/>
      </c>
      <c r="X3343">
        <f>IF(AND(ISNUMBER('자료_한국심리'!$J3327),ISNUMBER('자료_한국심리'!$K3327)),'자료_한국심리'!$J3327,"")</f>
        <v/>
      </c>
      <c r="Y3343">
        <f>IF(AND(ISNUMBER('자료_한국심리'!$M3327),ISNUMBER('자료_한국심리'!$N3327)),'자료_한국심리'!$M3327,"")</f>
        <v/>
      </c>
    </row>
    <row r="3344">
      <c r="U3344">
        <f>IF(AND(ISNUMBER('자료_한국심리'!$A3328),ISNUMBER('자료_한국심리'!$B3328)),'자료_한국심리'!$A3328,"")</f>
        <v/>
      </c>
      <c r="V3344">
        <f>IF(AND(ISNUMBER('자료_한국심리'!$D3328),ISNUMBER('자료_한국심리'!$E3328)),'자료_한국심리'!$D3328,"")</f>
        <v/>
      </c>
      <c r="W3344">
        <f>IF(AND(ISNUMBER('자료_한국심리'!$G3328),ISNUMBER('자료_한국심리'!$H3328)),'자료_한국심리'!$G3328,"")</f>
        <v/>
      </c>
      <c r="X3344">
        <f>IF(AND(ISNUMBER('자료_한국심리'!$J3328),ISNUMBER('자료_한국심리'!$K3328)),'자료_한국심리'!$J3328,"")</f>
        <v/>
      </c>
      <c r="Y3344">
        <f>IF(AND(ISNUMBER('자료_한국심리'!$M3328),ISNUMBER('자료_한국심리'!$N3328)),'자료_한국심리'!$M3328,"")</f>
        <v/>
      </c>
    </row>
    <row r="3345">
      <c r="U3345">
        <f>IF(AND(ISNUMBER('자료_한국심리'!$A3329),ISNUMBER('자료_한국심리'!$B3329)),'자료_한국심리'!$A3329,"")</f>
        <v/>
      </c>
      <c r="V3345">
        <f>IF(AND(ISNUMBER('자료_한국심리'!$D3329),ISNUMBER('자료_한국심리'!$E3329)),'자료_한국심리'!$D3329,"")</f>
        <v/>
      </c>
      <c r="W3345">
        <f>IF(AND(ISNUMBER('자료_한국심리'!$G3329),ISNUMBER('자료_한국심리'!$H3329)),'자료_한국심리'!$G3329,"")</f>
        <v/>
      </c>
      <c r="X3345">
        <f>IF(AND(ISNUMBER('자료_한국심리'!$J3329),ISNUMBER('자료_한국심리'!$K3329)),'자료_한국심리'!$J3329,"")</f>
        <v/>
      </c>
      <c r="Y3345">
        <f>IF(AND(ISNUMBER('자료_한국심리'!$M3329),ISNUMBER('자료_한국심리'!$N3329)),'자료_한국심리'!$M3329,"")</f>
        <v/>
      </c>
    </row>
    <row r="3346">
      <c r="U3346">
        <f>IF(AND(ISNUMBER('자료_한국심리'!$A3330),ISNUMBER('자료_한국심리'!$B3330)),'자료_한국심리'!$A3330,"")</f>
        <v/>
      </c>
      <c r="V3346">
        <f>IF(AND(ISNUMBER('자료_한국심리'!$D3330),ISNUMBER('자료_한국심리'!$E3330)),'자료_한국심리'!$D3330,"")</f>
        <v/>
      </c>
      <c r="W3346">
        <f>IF(AND(ISNUMBER('자료_한국심리'!$G3330),ISNUMBER('자료_한국심리'!$H3330)),'자료_한국심리'!$G3330,"")</f>
        <v/>
      </c>
      <c r="X3346">
        <f>IF(AND(ISNUMBER('자료_한국심리'!$J3330),ISNUMBER('자료_한국심리'!$K3330)),'자료_한국심리'!$J3330,"")</f>
        <v/>
      </c>
      <c r="Y3346">
        <f>IF(AND(ISNUMBER('자료_한국심리'!$M3330),ISNUMBER('자료_한국심리'!$N3330)),'자료_한국심리'!$M3330,"")</f>
        <v/>
      </c>
    </row>
    <row r="3347">
      <c r="U3347">
        <f>IF(AND(ISNUMBER('자료_한국심리'!$A3331),ISNUMBER('자료_한국심리'!$B3331)),'자료_한국심리'!$A3331,"")</f>
        <v/>
      </c>
      <c r="V3347">
        <f>IF(AND(ISNUMBER('자료_한국심리'!$D3331),ISNUMBER('자료_한국심리'!$E3331)),'자료_한국심리'!$D3331,"")</f>
        <v/>
      </c>
      <c r="W3347">
        <f>IF(AND(ISNUMBER('자료_한국심리'!$G3331),ISNUMBER('자료_한국심리'!$H3331)),'자료_한국심리'!$G3331,"")</f>
        <v/>
      </c>
      <c r="X3347">
        <f>IF(AND(ISNUMBER('자료_한국심리'!$J3331),ISNUMBER('자료_한국심리'!$K3331)),'자료_한국심리'!$J3331,"")</f>
        <v/>
      </c>
      <c r="Y3347">
        <f>IF(AND(ISNUMBER('자료_한국심리'!$M3331),ISNUMBER('자료_한국심리'!$N3331)),'자료_한국심리'!$M3331,"")</f>
        <v/>
      </c>
    </row>
    <row r="3348">
      <c r="U3348">
        <f>IF(AND(ISNUMBER('자료_한국심리'!$A3332),ISNUMBER('자료_한국심리'!$B3332)),'자료_한국심리'!$A3332,"")</f>
        <v/>
      </c>
      <c r="V3348">
        <f>IF(AND(ISNUMBER('자료_한국심리'!$D3332),ISNUMBER('자료_한국심리'!$E3332)),'자료_한국심리'!$D3332,"")</f>
        <v/>
      </c>
      <c r="W3348">
        <f>IF(AND(ISNUMBER('자료_한국심리'!$G3332),ISNUMBER('자료_한국심리'!$H3332)),'자료_한국심리'!$G3332,"")</f>
        <v/>
      </c>
      <c r="X3348">
        <f>IF(AND(ISNUMBER('자료_한국심리'!$J3332),ISNUMBER('자료_한국심리'!$K3332)),'자료_한국심리'!$J3332,"")</f>
        <v/>
      </c>
      <c r="Y3348">
        <f>IF(AND(ISNUMBER('자료_한국심리'!$M3332),ISNUMBER('자료_한국심리'!$N3332)),'자료_한국심리'!$M3332,"")</f>
        <v/>
      </c>
    </row>
    <row r="3349">
      <c r="U3349">
        <f>IF(AND(ISNUMBER('자료_한국심리'!$A3333),ISNUMBER('자료_한국심리'!$B3333)),'자료_한국심리'!$A3333,"")</f>
        <v/>
      </c>
      <c r="V3349">
        <f>IF(AND(ISNUMBER('자료_한국심리'!$D3333),ISNUMBER('자료_한국심리'!$E3333)),'자료_한국심리'!$D3333,"")</f>
        <v/>
      </c>
      <c r="W3349">
        <f>IF(AND(ISNUMBER('자료_한국심리'!$G3333),ISNUMBER('자료_한국심리'!$H3333)),'자료_한국심리'!$G3333,"")</f>
        <v/>
      </c>
      <c r="X3349">
        <f>IF(AND(ISNUMBER('자료_한국심리'!$J3333),ISNUMBER('자료_한국심리'!$K3333)),'자료_한국심리'!$J3333,"")</f>
        <v/>
      </c>
      <c r="Y3349">
        <f>IF(AND(ISNUMBER('자료_한국심리'!$M3333),ISNUMBER('자료_한국심리'!$N3333)),'자료_한국심리'!$M3333,"")</f>
        <v/>
      </c>
    </row>
    <row r="3350">
      <c r="U3350">
        <f>IF(AND(ISNUMBER('자료_한국심리'!$A3334),ISNUMBER('자료_한국심리'!$B3334)),'자료_한국심리'!$A3334,"")</f>
        <v/>
      </c>
      <c r="V3350">
        <f>IF(AND(ISNUMBER('자료_한국심리'!$D3334),ISNUMBER('자료_한국심리'!$E3334)),'자료_한국심리'!$D3334,"")</f>
        <v/>
      </c>
      <c r="W3350">
        <f>IF(AND(ISNUMBER('자료_한국심리'!$G3334),ISNUMBER('자료_한국심리'!$H3334)),'자료_한국심리'!$G3334,"")</f>
        <v/>
      </c>
      <c r="X3350">
        <f>IF(AND(ISNUMBER('자료_한국심리'!$J3334),ISNUMBER('자료_한국심리'!$K3334)),'자료_한국심리'!$J3334,"")</f>
        <v/>
      </c>
      <c r="Y3350">
        <f>IF(AND(ISNUMBER('자료_한국심리'!$M3334),ISNUMBER('자료_한국심리'!$N3334)),'자료_한국심리'!$M3334,"")</f>
        <v/>
      </c>
    </row>
    <row r="3351">
      <c r="U3351">
        <f>IF(AND(ISNUMBER('자료_한국심리'!$A3335),ISNUMBER('자료_한국심리'!$B3335)),'자료_한국심리'!$A3335,"")</f>
        <v/>
      </c>
      <c r="V3351">
        <f>IF(AND(ISNUMBER('자료_한국심리'!$D3335),ISNUMBER('자료_한국심리'!$E3335)),'자료_한국심리'!$D3335,"")</f>
        <v/>
      </c>
      <c r="W3351">
        <f>IF(AND(ISNUMBER('자료_한국심리'!$G3335),ISNUMBER('자료_한국심리'!$H3335)),'자료_한국심리'!$G3335,"")</f>
        <v/>
      </c>
      <c r="X3351">
        <f>IF(AND(ISNUMBER('자료_한국심리'!$J3335),ISNUMBER('자료_한국심리'!$K3335)),'자료_한국심리'!$J3335,"")</f>
        <v/>
      </c>
      <c r="Y3351">
        <f>IF(AND(ISNUMBER('자료_한국심리'!$M3335),ISNUMBER('자료_한국심리'!$N3335)),'자료_한국심리'!$M3335,"")</f>
        <v/>
      </c>
    </row>
    <row r="3352">
      <c r="U3352">
        <f>IF(AND(ISNUMBER('자료_한국심리'!$A3336),ISNUMBER('자료_한국심리'!$B3336)),'자료_한국심리'!$A3336,"")</f>
        <v/>
      </c>
      <c r="V3352">
        <f>IF(AND(ISNUMBER('자료_한국심리'!$D3336),ISNUMBER('자료_한국심리'!$E3336)),'자료_한국심리'!$D3336,"")</f>
        <v/>
      </c>
      <c r="W3352">
        <f>IF(AND(ISNUMBER('자료_한국심리'!$G3336),ISNUMBER('자료_한국심리'!$H3336)),'자료_한국심리'!$G3336,"")</f>
        <v/>
      </c>
      <c r="X3352">
        <f>IF(AND(ISNUMBER('자료_한국심리'!$J3336),ISNUMBER('자료_한국심리'!$K3336)),'자료_한국심리'!$J3336,"")</f>
        <v/>
      </c>
      <c r="Y3352">
        <f>IF(AND(ISNUMBER('자료_한국심리'!$M3336),ISNUMBER('자료_한국심리'!$N3336)),'자료_한국심리'!$M3336,"")</f>
        <v/>
      </c>
    </row>
    <row r="3353">
      <c r="U3353">
        <f>IF(AND(ISNUMBER('자료_한국심리'!$A3337),ISNUMBER('자료_한국심리'!$B3337)),'자료_한국심리'!$A3337,"")</f>
        <v/>
      </c>
      <c r="V3353">
        <f>IF(AND(ISNUMBER('자료_한국심리'!$D3337),ISNUMBER('자료_한국심리'!$E3337)),'자료_한국심리'!$D3337,"")</f>
        <v/>
      </c>
      <c r="W3353">
        <f>IF(AND(ISNUMBER('자료_한국심리'!$G3337),ISNUMBER('자료_한국심리'!$H3337)),'자료_한국심리'!$G3337,"")</f>
        <v/>
      </c>
      <c r="X3353">
        <f>IF(AND(ISNUMBER('자료_한국심리'!$J3337),ISNUMBER('자료_한국심리'!$K3337)),'자료_한국심리'!$J3337,"")</f>
        <v/>
      </c>
      <c r="Y3353">
        <f>IF(AND(ISNUMBER('자료_한국심리'!$M3337),ISNUMBER('자료_한국심리'!$N3337)),'자료_한국심리'!$M3337,"")</f>
        <v/>
      </c>
    </row>
    <row r="3354">
      <c r="U3354">
        <f>IF(AND(ISNUMBER('자료_한국심리'!$A3338),ISNUMBER('자료_한국심리'!$B3338)),'자료_한국심리'!$A3338,"")</f>
        <v/>
      </c>
      <c r="V3354">
        <f>IF(AND(ISNUMBER('자료_한국심리'!$D3338),ISNUMBER('자료_한국심리'!$E3338)),'자료_한국심리'!$D3338,"")</f>
        <v/>
      </c>
      <c r="W3354">
        <f>IF(AND(ISNUMBER('자료_한국심리'!$G3338),ISNUMBER('자료_한국심리'!$H3338)),'자료_한국심리'!$G3338,"")</f>
        <v/>
      </c>
      <c r="X3354">
        <f>IF(AND(ISNUMBER('자료_한국심리'!$J3338),ISNUMBER('자료_한국심리'!$K3338)),'자료_한국심리'!$J3338,"")</f>
        <v/>
      </c>
      <c r="Y3354">
        <f>IF(AND(ISNUMBER('자료_한국심리'!$M3338),ISNUMBER('자료_한국심리'!$N3338)),'자료_한국심리'!$M3338,"")</f>
        <v/>
      </c>
    </row>
    <row r="3355">
      <c r="U3355">
        <f>IF(AND(ISNUMBER('자료_한국심리'!$A3339),ISNUMBER('자료_한국심리'!$B3339)),'자료_한국심리'!$A3339,"")</f>
        <v/>
      </c>
      <c r="V3355">
        <f>IF(AND(ISNUMBER('자료_한국심리'!$D3339),ISNUMBER('자료_한국심리'!$E3339)),'자료_한국심리'!$D3339,"")</f>
        <v/>
      </c>
      <c r="W3355">
        <f>IF(AND(ISNUMBER('자료_한국심리'!$G3339),ISNUMBER('자료_한국심리'!$H3339)),'자료_한국심리'!$G3339,"")</f>
        <v/>
      </c>
      <c r="X3355">
        <f>IF(AND(ISNUMBER('자료_한국심리'!$J3339),ISNUMBER('자료_한국심리'!$K3339)),'자료_한국심리'!$J3339,"")</f>
        <v/>
      </c>
      <c r="Y3355">
        <f>IF(AND(ISNUMBER('자료_한국심리'!$M3339),ISNUMBER('자료_한국심리'!$N3339)),'자료_한국심리'!$M3339,"")</f>
        <v/>
      </c>
    </row>
    <row r="3356">
      <c r="U3356">
        <f>IF(AND(ISNUMBER('자료_한국심리'!$A3340),ISNUMBER('자료_한국심리'!$B3340)),'자료_한국심리'!$A3340,"")</f>
        <v/>
      </c>
      <c r="V3356">
        <f>IF(AND(ISNUMBER('자료_한국심리'!$D3340),ISNUMBER('자료_한국심리'!$E3340)),'자료_한국심리'!$D3340,"")</f>
        <v/>
      </c>
      <c r="W3356">
        <f>IF(AND(ISNUMBER('자료_한국심리'!$G3340),ISNUMBER('자료_한국심리'!$H3340)),'자료_한국심리'!$G3340,"")</f>
        <v/>
      </c>
      <c r="X3356">
        <f>IF(AND(ISNUMBER('자료_한국심리'!$J3340),ISNUMBER('자료_한국심리'!$K3340)),'자료_한국심리'!$J3340,"")</f>
        <v/>
      </c>
      <c r="Y3356">
        <f>IF(AND(ISNUMBER('자료_한국심리'!$M3340),ISNUMBER('자료_한국심리'!$N3340)),'자료_한국심리'!$M3340,"")</f>
        <v/>
      </c>
    </row>
    <row r="3357">
      <c r="U3357">
        <f>IF(AND(ISNUMBER('자료_한국심리'!$A3341),ISNUMBER('자료_한국심리'!$B3341)),'자료_한국심리'!$A3341,"")</f>
        <v/>
      </c>
      <c r="V3357">
        <f>IF(AND(ISNUMBER('자료_한국심리'!$D3341),ISNUMBER('자료_한국심리'!$E3341)),'자료_한국심리'!$D3341,"")</f>
        <v/>
      </c>
      <c r="W3357">
        <f>IF(AND(ISNUMBER('자료_한국심리'!$G3341),ISNUMBER('자료_한국심리'!$H3341)),'자료_한국심리'!$G3341,"")</f>
        <v/>
      </c>
      <c r="X3357">
        <f>IF(AND(ISNUMBER('자료_한국심리'!$J3341),ISNUMBER('자료_한국심리'!$K3341)),'자료_한국심리'!$J3341,"")</f>
        <v/>
      </c>
      <c r="Y3357">
        <f>IF(AND(ISNUMBER('자료_한국심리'!$M3341),ISNUMBER('자료_한국심리'!$N3341)),'자료_한국심리'!$M3341,"")</f>
        <v/>
      </c>
    </row>
    <row r="3358">
      <c r="U3358">
        <f>IF(AND(ISNUMBER('자료_한국심리'!$A3342),ISNUMBER('자료_한국심리'!$B3342)),'자료_한국심리'!$A3342,"")</f>
        <v/>
      </c>
      <c r="V3358">
        <f>IF(AND(ISNUMBER('자료_한국심리'!$D3342),ISNUMBER('자료_한국심리'!$E3342)),'자료_한국심리'!$D3342,"")</f>
        <v/>
      </c>
      <c r="W3358">
        <f>IF(AND(ISNUMBER('자료_한국심리'!$G3342),ISNUMBER('자료_한국심리'!$H3342)),'자료_한국심리'!$G3342,"")</f>
        <v/>
      </c>
      <c r="X3358">
        <f>IF(AND(ISNUMBER('자료_한국심리'!$J3342),ISNUMBER('자료_한국심리'!$K3342)),'자료_한국심리'!$J3342,"")</f>
        <v/>
      </c>
      <c r="Y3358">
        <f>IF(AND(ISNUMBER('자료_한국심리'!$M3342),ISNUMBER('자료_한국심리'!$N3342)),'자료_한국심리'!$M3342,"")</f>
        <v/>
      </c>
    </row>
    <row r="3359">
      <c r="U3359">
        <f>IF(AND(ISNUMBER('자료_한국심리'!$A3343),ISNUMBER('자료_한국심리'!$B3343)),'자료_한국심리'!$A3343,"")</f>
        <v/>
      </c>
      <c r="V3359">
        <f>IF(AND(ISNUMBER('자료_한국심리'!$D3343),ISNUMBER('자료_한국심리'!$E3343)),'자료_한국심리'!$D3343,"")</f>
        <v/>
      </c>
      <c r="W3359">
        <f>IF(AND(ISNUMBER('자료_한국심리'!$G3343),ISNUMBER('자료_한국심리'!$H3343)),'자료_한국심리'!$G3343,"")</f>
        <v/>
      </c>
      <c r="X3359">
        <f>IF(AND(ISNUMBER('자료_한국심리'!$J3343),ISNUMBER('자료_한국심리'!$K3343)),'자료_한국심리'!$J3343,"")</f>
        <v/>
      </c>
      <c r="Y3359">
        <f>IF(AND(ISNUMBER('자료_한국심리'!$M3343),ISNUMBER('자료_한국심리'!$N3343)),'자료_한국심리'!$M3343,"")</f>
        <v/>
      </c>
    </row>
    <row r="3360">
      <c r="U3360">
        <f>IF(AND(ISNUMBER('자료_한국심리'!$A3344),ISNUMBER('자료_한국심리'!$B3344)),'자료_한국심리'!$A3344,"")</f>
        <v/>
      </c>
      <c r="V3360">
        <f>IF(AND(ISNUMBER('자료_한국심리'!$D3344),ISNUMBER('자료_한국심리'!$E3344)),'자료_한국심리'!$D3344,"")</f>
        <v/>
      </c>
      <c r="W3360">
        <f>IF(AND(ISNUMBER('자료_한국심리'!$G3344),ISNUMBER('자료_한국심리'!$H3344)),'자료_한국심리'!$G3344,"")</f>
        <v/>
      </c>
      <c r="X3360">
        <f>IF(AND(ISNUMBER('자료_한국심리'!$J3344),ISNUMBER('자료_한국심리'!$K3344)),'자료_한국심리'!$J3344,"")</f>
        <v/>
      </c>
      <c r="Y3360">
        <f>IF(AND(ISNUMBER('자료_한국심리'!$M3344),ISNUMBER('자료_한국심리'!$N3344)),'자료_한국심리'!$M3344,"")</f>
        <v/>
      </c>
    </row>
    <row r="3361">
      <c r="U3361">
        <f>IF(AND(ISNUMBER('자료_한국심리'!$A3345),ISNUMBER('자료_한국심리'!$B3345)),'자료_한국심리'!$A3345,"")</f>
        <v/>
      </c>
      <c r="V3361">
        <f>IF(AND(ISNUMBER('자료_한국심리'!$D3345),ISNUMBER('자료_한국심리'!$E3345)),'자료_한국심리'!$D3345,"")</f>
        <v/>
      </c>
      <c r="W3361">
        <f>IF(AND(ISNUMBER('자료_한국심리'!$G3345),ISNUMBER('자료_한국심리'!$H3345)),'자료_한국심리'!$G3345,"")</f>
        <v/>
      </c>
      <c r="X3361">
        <f>IF(AND(ISNUMBER('자료_한국심리'!$J3345),ISNUMBER('자료_한국심리'!$K3345)),'자료_한국심리'!$J3345,"")</f>
        <v/>
      </c>
      <c r="Y3361">
        <f>IF(AND(ISNUMBER('자료_한국심리'!$M3345),ISNUMBER('자료_한국심리'!$N3345)),'자료_한국심리'!$M3345,"")</f>
        <v/>
      </c>
    </row>
    <row r="3362">
      <c r="U3362">
        <f>IF(AND(ISNUMBER('자료_한국심리'!$A3346),ISNUMBER('자료_한국심리'!$B3346)),'자료_한국심리'!$A3346,"")</f>
        <v/>
      </c>
      <c r="V3362">
        <f>IF(AND(ISNUMBER('자료_한국심리'!$D3346),ISNUMBER('자료_한국심리'!$E3346)),'자료_한국심리'!$D3346,"")</f>
        <v/>
      </c>
      <c r="W3362">
        <f>IF(AND(ISNUMBER('자료_한국심리'!$G3346),ISNUMBER('자료_한국심리'!$H3346)),'자료_한국심리'!$G3346,"")</f>
        <v/>
      </c>
      <c r="X3362">
        <f>IF(AND(ISNUMBER('자료_한국심리'!$J3346),ISNUMBER('자료_한국심리'!$K3346)),'자료_한국심리'!$J3346,"")</f>
        <v/>
      </c>
      <c r="Y3362">
        <f>IF(AND(ISNUMBER('자료_한국심리'!$M3346),ISNUMBER('자료_한국심리'!$N3346)),'자료_한국심리'!$M3346,"")</f>
        <v/>
      </c>
    </row>
    <row r="3363">
      <c r="U3363">
        <f>IF(AND(ISNUMBER('자료_한국심리'!$A3347),ISNUMBER('자료_한국심리'!$B3347)),'자료_한국심리'!$A3347,"")</f>
        <v/>
      </c>
      <c r="V3363">
        <f>IF(AND(ISNUMBER('자료_한국심리'!$D3347),ISNUMBER('자료_한국심리'!$E3347)),'자료_한국심리'!$D3347,"")</f>
        <v/>
      </c>
      <c r="W3363">
        <f>IF(AND(ISNUMBER('자료_한국심리'!$G3347),ISNUMBER('자료_한국심리'!$H3347)),'자료_한국심리'!$G3347,"")</f>
        <v/>
      </c>
      <c r="X3363">
        <f>IF(AND(ISNUMBER('자료_한국심리'!$J3347),ISNUMBER('자료_한국심리'!$K3347)),'자료_한국심리'!$J3347,"")</f>
        <v/>
      </c>
      <c r="Y3363">
        <f>IF(AND(ISNUMBER('자료_한국심리'!$M3347),ISNUMBER('자료_한국심리'!$N3347)),'자료_한국심리'!$M3347,"")</f>
        <v/>
      </c>
    </row>
    <row r="3364">
      <c r="U3364">
        <f>IF(AND(ISNUMBER('자료_한국심리'!$A3348),ISNUMBER('자료_한국심리'!$B3348)),'자료_한국심리'!$A3348,"")</f>
        <v/>
      </c>
      <c r="V3364">
        <f>IF(AND(ISNUMBER('자료_한국심리'!$D3348),ISNUMBER('자료_한국심리'!$E3348)),'자료_한국심리'!$D3348,"")</f>
        <v/>
      </c>
      <c r="W3364">
        <f>IF(AND(ISNUMBER('자료_한국심리'!$G3348),ISNUMBER('자료_한국심리'!$H3348)),'자료_한국심리'!$G3348,"")</f>
        <v/>
      </c>
      <c r="X3364">
        <f>IF(AND(ISNUMBER('자료_한국심리'!$J3348),ISNUMBER('자료_한국심리'!$K3348)),'자료_한국심리'!$J3348,"")</f>
        <v/>
      </c>
      <c r="Y3364">
        <f>IF(AND(ISNUMBER('자료_한국심리'!$M3348),ISNUMBER('자료_한국심리'!$N3348)),'자료_한국심리'!$M3348,"")</f>
        <v/>
      </c>
    </row>
    <row r="3365">
      <c r="U3365">
        <f>IF(AND(ISNUMBER('자료_한국심리'!$A3349),ISNUMBER('자료_한국심리'!$B3349)),'자료_한국심리'!$A3349,"")</f>
        <v/>
      </c>
      <c r="V3365">
        <f>IF(AND(ISNUMBER('자료_한국심리'!$D3349),ISNUMBER('자료_한국심리'!$E3349)),'자료_한국심리'!$D3349,"")</f>
        <v/>
      </c>
      <c r="W3365">
        <f>IF(AND(ISNUMBER('자료_한국심리'!$G3349),ISNUMBER('자료_한국심리'!$H3349)),'자료_한국심리'!$G3349,"")</f>
        <v/>
      </c>
      <c r="X3365">
        <f>IF(AND(ISNUMBER('자료_한국심리'!$J3349),ISNUMBER('자료_한국심리'!$K3349)),'자료_한국심리'!$J3349,"")</f>
        <v/>
      </c>
      <c r="Y3365">
        <f>IF(AND(ISNUMBER('자료_한국심리'!$M3349),ISNUMBER('자료_한국심리'!$N3349)),'자료_한국심리'!$M3349,"")</f>
        <v/>
      </c>
    </row>
    <row r="3366">
      <c r="U3366">
        <f>IF(AND(ISNUMBER('자료_한국심리'!$A3350),ISNUMBER('자료_한국심리'!$B3350)),'자료_한국심리'!$A3350,"")</f>
        <v/>
      </c>
      <c r="V3366">
        <f>IF(AND(ISNUMBER('자료_한국심리'!$D3350),ISNUMBER('자료_한국심리'!$E3350)),'자료_한국심리'!$D3350,"")</f>
        <v/>
      </c>
      <c r="W3366">
        <f>IF(AND(ISNUMBER('자료_한국심리'!$G3350),ISNUMBER('자료_한국심리'!$H3350)),'자료_한국심리'!$G3350,"")</f>
        <v/>
      </c>
      <c r="X3366">
        <f>IF(AND(ISNUMBER('자료_한국심리'!$J3350),ISNUMBER('자료_한국심리'!$K3350)),'자료_한국심리'!$J3350,"")</f>
        <v/>
      </c>
      <c r="Y3366">
        <f>IF(AND(ISNUMBER('자료_한국심리'!$M3350),ISNUMBER('자료_한국심리'!$N3350)),'자료_한국심리'!$M3350,"")</f>
        <v/>
      </c>
    </row>
    <row r="3367">
      <c r="U3367">
        <f>IF(AND(ISNUMBER('자료_한국심리'!$A3351),ISNUMBER('자료_한국심리'!$B3351)),'자료_한국심리'!$A3351,"")</f>
        <v/>
      </c>
      <c r="V3367">
        <f>IF(AND(ISNUMBER('자료_한국심리'!$D3351),ISNUMBER('자료_한국심리'!$E3351)),'자료_한국심리'!$D3351,"")</f>
        <v/>
      </c>
      <c r="W3367">
        <f>IF(AND(ISNUMBER('자료_한국심리'!$G3351),ISNUMBER('자료_한국심리'!$H3351)),'자료_한국심리'!$G3351,"")</f>
        <v/>
      </c>
      <c r="X3367">
        <f>IF(AND(ISNUMBER('자료_한국심리'!$J3351),ISNUMBER('자료_한국심리'!$K3351)),'자료_한국심리'!$J3351,"")</f>
        <v/>
      </c>
      <c r="Y3367">
        <f>IF(AND(ISNUMBER('자료_한국심리'!$M3351),ISNUMBER('자료_한국심리'!$N3351)),'자료_한국심리'!$M3351,"")</f>
        <v/>
      </c>
    </row>
    <row r="3368">
      <c r="U3368">
        <f>IF(AND(ISNUMBER('자료_한국심리'!$A3352),ISNUMBER('자료_한국심리'!$B3352)),'자료_한국심리'!$A3352,"")</f>
        <v/>
      </c>
      <c r="V3368">
        <f>IF(AND(ISNUMBER('자료_한국심리'!$D3352),ISNUMBER('자료_한국심리'!$E3352)),'자료_한국심리'!$D3352,"")</f>
        <v/>
      </c>
      <c r="W3368">
        <f>IF(AND(ISNUMBER('자료_한국심리'!$G3352),ISNUMBER('자료_한국심리'!$H3352)),'자료_한국심리'!$G3352,"")</f>
        <v/>
      </c>
      <c r="X3368">
        <f>IF(AND(ISNUMBER('자료_한국심리'!$J3352),ISNUMBER('자료_한국심리'!$K3352)),'자료_한국심리'!$J3352,"")</f>
        <v/>
      </c>
      <c r="Y3368">
        <f>IF(AND(ISNUMBER('자료_한국심리'!$M3352),ISNUMBER('자료_한국심리'!$N3352)),'자료_한국심리'!$M3352,"")</f>
        <v/>
      </c>
    </row>
    <row r="3369">
      <c r="U3369">
        <f>IF(AND(ISNUMBER('자료_한국심리'!$A3353),ISNUMBER('자료_한국심리'!$B3353)),'자료_한국심리'!$A3353,"")</f>
        <v/>
      </c>
      <c r="V3369">
        <f>IF(AND(ISNUMBER('자료_한국심리'!$D3353),ISNUMBER('자료_한국심리'!$E3353)),'자료_한국심리'!$D3353,"")</f>
        <v/>
      </c>
      <c r="W3369">
        <f>IF(AND(ISNUMBER('자료_한국심리'!$G3353),ISNUMBER('자료_한국심리'!$H3353)),'자료_한국심리'!$G3353,"")</f>
        <v/>
      </c>
      <c r="X3369">
        <f>IF(AND(ISNUMBER('자료_한국심리'!$J3353),ISNUMBER('자료_한국심리'!$K3353)),'자료_한국심리'!$J3353,"")</f>
        <v/>
      </c>
      <c r="Y3369">
        <f>IF(AND(ISNUMBER('자료_한국심리'!$M3353),ISNUMBER('자료_한국심리'!$N3353)),'자료_한국심리'!$M3353,"")</f>
        <v/>
      </c>
    </row>
    <row r="3370">
      <c r="U3370">
        <f>IF(AND(ISNUMBER('자료_한국심리'!$A3354),ISNUMBER('자료_한국심리'!$B3354)),'자료_한국심리'!$A3354,"")</f>
        <v/>
      </c>
      <c r="V3370">
        <f>IF(AND(ISNUMBER('자료_한국심리'!$D3354),ISNUMBER('자료_한국심리'!$E3354)),'자료_한국심리'!$D3354,"")</f>
        <v/>
      </c>
      <c r="W3370">
        <f>IF(AND(ISNUMBER('자료_한국심리'!$G3354),ISNUMBER('자료_한국심리'!$H3354)),'자료_한국심리'!$G3354,"")</f>
        <v/>
      </c>
      <c r="X3370">
        <f>IF(AND(ISNUMBER('자료_한국심리'!$J3354),ISNUMBER('자료_한국심리'!$K3354)),'자료_한국심리'!$J3354,"")</f>
        <v/>
      </c>
      <c r="Y3370">
        <f>IF(AND(ISNUMBER('자료_한국심리'!$M3354),ISNUMBER('자료_한국심리'!$N3354)),'자료_한국심리'!$M3354,"")</f>
        <v/>
      </c>
    </row>
    <row r="3371">
      <c r="U3371">
        <f>IF(AND(ISNUMBER('자료_한국심리'!$A3355),ISNUMBER('자료_한국심리'!$B3355)),'자료_한국심리'!$A3355,"")</f>
        <v/>
      </c>
      <c r="V3371">
        <f>IF(AND(ISNUMBER('자료_한국심리'!$D3355),ISNUMBER('자료_한국심리'!$E3355)),'자료_한국심리'!$D3355,"")</f>
        <v/>
      </c>
      <c r="W3371">
        <f>IF(AND(ISNUMBER('자료_한국심리'!$G3355),ISNUMBER('자료_한국심리'!$H3355)),'자료_한국심리'!$G3355,"")</f>
        <v/>
      </c>
      <c r="X3371">
        <f>IF(AND(ISNUMBER('자료_한국심리'!$J3355),ISNUMBER('자료_한국심리'!$K3355)),'자료_한국심리'!$J3355,"")</f>
        <v/>
      </c>
      <c r="Y3371">
        <f>IF(AND(ISNUMBER('자료_한국심리'!$M3355),ISNUMBER('자료_한국심리'!$N3355)),'자료_한국심리'!$M3355,"")</f>
        <v/>
      </c>
    </row>
    <row r="3372">
      <c r="U3372">
        <f>IF(AND(ISNUMBER('자료_한국심리'!$A3356),ISNUMBER('자료_한국심리'!$B3356)),'자료_한국심리'!$A3356,"")</f>
        <v/>
      </c>
      <c r="V3372">
        <f>IF(AND(ISNUMBER('자료_한국심리'!$D3356),ISNUMBER('자료_한국심리'!$E3356)),'자료_한국심리'!$D3356,"")</f>
        <v/>
      </c>
      <c r="W3372">
        <f>IF(AND(ISNUMBER('자료_한국심리'!$G3356),ISNUMBER('자료_한국심리'!$H3356)),'자료_한국심리'!$G3356,"")</f>
        <v/>
      </c>
      <c r="X3372">
        <f>IF(AND(ISNUMBER('자료_한국심리'!$J3356),ISNUMBER('자료_한국심리'!$K3356)),'자료_한국심리'!$J3356,"")</f>
        <v/>
      </c>
      <c r="Y3372">
        <f>IF(AND(ISNUMBER('자료_한국심리'!$M3356),ISNUMBER('자료_한국심리'!$N3356)),'자료_한국심리'!$M3356,"")</f>
        <v/>
      </c>
    </row>
    <row r="3373">
      <c r="U3373">
        <f>IF(AND(ISNUMBER('자료_한국심리'!$A3357),ISNUMBER('자료_한국심리'!$B3357)),'자료_한국심리'!$A3357,"")</f>
        <v/>
      </c>
      <c r="V3373">
        <f>IF(AND(ISNUMBER('자료_한국심리'!$D3357),ISNUMBER('자료_한국심리'!$E3357)),'자료_한국심리'!$D3357,"")</f>
        <v/>
      </c>
      <c r="W3373">
        <f>IF(AND(ISNUMBER('자료_한국심리'!$G3357),ISNUMBER('자료_한국심리'!$H3357)),'자료_한국심리'!$G3357,"")</f>
        <v/>
      </c>
      <c r="X3373">
        <f>IF(AND(ISNUMBER('자료_한국심리'!$J3357),ISNUMBER('자료_한국심리'!$K3357)),'자료_한국심리'!$J3357,"")</f>
        <v/>
      </c>
      <c r="Y3373">
        <f>IF(AND(ISNUMBER('자료_한국심리'!$M3357),ISNUMBER('자료_한국심리'!$N3357)),'자료_한국심리'!$M3357,"")</f>
        <v/>
      </c>
    </row>
    <row r="3374">
      <c r="U3374">
        <f>IF(AND(ISNUMBER('자료_한국심리'!$A3358),ISNUMBER('자료_한국심리'!$B3358)),'자료_한국심리'!$A3358,"")</f>
        <v/>
      </c>
      <c r="V3374">
        <f>IF(AND(ISNUMBER('자료_한국심리'!$D3358),ISNUMBER('자료_한국심리'!$E3358)),'자료_한국심리'!$D3358,"")</f>
        <v/>
      </c>
      <c r="W3374">
        <f>IF(AND(ISNUMBER('자료_한국심리'!$G3358),ISNUMBER('자료_한국심리'!$H3358)),'자료_한국심리'!$G3358,"")</f>
        <v/>
      </c>
      <c r="X3374">
        <f>IF(AND(ISNUMBER('자료_한국심리'!$J3358),ISNUMBER('자료_한국심리'!$K3358)),'자료_한국심리'!$J3358,"")</f>
        <v/>
      </c>
      <c r="Y3374">
        <f>IF(AND(ISNUMBER('자료_한국심리'!$M3358),ISNUMBER('자료_한국심리'!$N3358)),'자료_한국심리'!$M3358,"")</f>
        <v/>
      </c>
    </row>
    <row r="3375">
      <c r="U3375">
        <f>IF(AND(ISNUMBER('자료_한국심리'!$A3359),ISNUMBER('자료_한국심리'!$B3359)),'자료_한국심리'!$A3359,"")</f>
        <v/>
      </c>
      <c r="V3375">
        <f>IF(AND(ISNUMBER('자료_한국심리'!$D3359),ISNUMBER('자료_한국심리'!$E3359)),'자료_한국심리'!$D3359,"")</f>
        <v/>
      </c>
      <c r="W3375">
        <f>IF(AND(ISNUMBER('자료_한국심리'!$G3359),ISNUMBER('자료_한국심리'!$H3359)),'자료_한국심리'!$G3359,"")</f>
        <v/>
      </c>
      <c r="X3375">
        <f>IF(AND(ISNUMBER('자료_한국심리'!$J3359),ISNUMBER('자료_한국심리'!$K3359)),'자료_한국심리'!$J3359,"")</f>
        <v/>
      </c>
      <c r="Y3375">
        <f>IF(AND(ISNUMBER('자료_한국심리'!$M3359),ISNUMBER('자료_한국심리'!$N3359)),'자료_한국심리'!$M3359,"")</f>
        <v/>
      </c>
    </row>
    <row r="3376">
      <c r="U3376">
        <f>IF(AND(ISNUMBER('자료_한국심리'!$A3360),ISNUMBER('자료_한국심리'!$B3360)),'자료_한국심리'!$A3360,"")</f>
        <v/>
      </c>
      <c r="V3376">
        <f>IF(AND(ISNUMBER('자료_한국심리'!$D3360),ISNUMBER('자료_한국심리'!$E3360)),'자료_한국심리'!$D3360,"")</f>
        <v/>
      </c>
      <c r="W3376">
        <f>IF(AND(ISNUMBER('자료_한국심리'!$G3360),ISNUMBER('자료_한국심리'!$H3360)),'자료_한국심리'!$G3360,"")</f>
        <v/>
      </c>
      <c r="X3376">
        <f>IF(AND(ISNUMBER('자료_한국심리'!$J3360),ISNUMBER('자료_한국심리'!$K3360)),'자료_한국심리'!$J3360,"")</f>
        <v/>
      </c>
      <c r="Y3376">
        <f>IF(AND(ISNUMBER('자료_한국심리'!$M3360),ISNUMBER('자료_한국심리'!$N3360)),'자료_한국심리'!$M3360,"")</f>
        <v/>
      </c>
    </row>
    <row r="3377">
      <c r="U3377">
        <f>IF(AND(ISNUMBER('자료_한국심리'!$A3361),ISNUMBER('자료_한국심리'!$B3361)),'자료_한국심리'!$A3361,"")</f>
        <v/>
      </c>
      <c r="V3377">
        <f>IF(AND(ISNUMBER('자료_한국심리'!$D3361),ISNUMBER('자료_한국심리'!$E3361)),'자료_한국심리'!$D3361,"")</f>
        <v/>
      </c>
      <c r="W3377">
        <f>IF(AND(ISNUMBER('자료_한국심리'!$G3361),ISNUMBER('자료_한국심리'!$H3361)),'자료_한국심리'!$G3361,"")</f>
        <v/>
      </c>
      <c r="X3377">
        <f>IF(AND(ISNUMBER('자료_한국심리'!$J3361),ISNUMBER('자료_한국심리'!$K3361)),'자료_한국심리'!$J3361,"")</f>
        <v/>
      </c>
      <c r="Y3377">
        <f>IF(AND(ISNUMBER('자료_한국심리'!$M3361),ISNUMBER('자료_한국심리'!$N3361)),'자료_한국심리'!$M3361,"")</f>
        <v/>
      </c>
    </row>
    <row r="3378">
      <c r="U3378">
        <f>IF(AND(ISNUMBER('자료_한국심리'!$A3362),ISNUMBER('자료_한국심리'!$B3362)),'자료_한국심리'!$A3362,"")</f>
        <v/>
      </c>
      <c r="V3378">
        <f>IF(AND(ISNUMBER('자료_한국심리'!$D3362),ISNUMBER('자료_한국심리'!$E3362)),'자료_한국심리'!$D3362,"")</f>
        <v/>
      </c>
      <c r="W3378">
        <f>IF(AND(ISNUMBER('자료_한국심리'!$G3362),ISNUMBER('자료_한국심리'!$H3362)),'자료_한국심리'!$G3362,"")</f>
        <v/>
      </c>
      <c r="X3378">
        <f>IF(AND(ISNUMBER('자료_한국심리'!$J3362),ISNUMBER('자료_한국심리'!$K3362)),'자료_한국심리'!$J3362,"")</f>
        <v/>
      </c>
      <c r="Y3378">
        <f>IF(AND(ISNUMBER('자료_한국심리'!$M3362),ISNUMBER('자료_한국심리'!$N3362)),'자료_한국심리'!$M3362,"")</f>
        <v/>
      </c>
    </row>
    <row r="3379">
      <c r="U3379">
        <f>IF(AND(ISNUMBER('자료_한국심리'!$A3363),ISNUMBER('자료_한국심리'!$B3363)),'자료_한국심리'!$A3363,"")</f>
        <v/>
      </c>
      <c r="V3379">
        <f>IF(AND(ISNUMBER('자료_한국심리'!$D3363),ISNUMBER('자료_한국심리'!$E3363)),'자료_한국심리'!$D3363,"")</f>
        <v/>
      </c>
      <c r="W3379">
        <f>IF(AND(ISNUMBER('자료_한국심리'!$G3363),ISNUMBER('자료_한국심리'!$H3363)),'자료_한국심리'!$G3363,"")</f>
        <v/>
      </c>
      <c r="X3379">
        <f>IF(AND(ISNUMBER('자료_한국심리'!$J3363),ISNUMBER('자료_한국심리'!$K3363)),'자료_한국심리'!$J3363,"")</f>
        <v/>
      </c>
      <c r="Y3379">
        <f>IF(AND(ISNUMBER('자료_한국심리'!$M3363),ISNUMBER('자료_한국심리'!$N3363)),'자료_한국심리'!$M3363,"")</f>
        <v/>
      </c>
    </row>
    <row r="3380">
      <c r="U3380">
        <f>IF(AND(ISNUMBER('자료_한국심리'!$A3364),ISNUMBER('자료_한국심리'!$B3364)),'자료_한국심리'!$A3364,"")</f>
        <v/>
      </c>
      <c r="V3380">
        <f>IF(AND(ISNUMBER('자료_한국심리'!$D3364),ISNUMBER('자료_한국심리'!$E3364)),'자료_한국심리'!$D3364,"")</f>
        <v/>
      </c>
      <c r="W3380">
        <f>IF(AND(ISNUMBER('자료_한국심리'!$G3364),ISNUMBER('자료_한국심리'!$H3364)),'자료_한국심리'!$G3364,"")</f>
        <v/>
      </c>
      <c r="X3380">
        <f>IF(AND(ISNUMBER('자료_한국심리'!$J3364),ISNUMBER('자료_한국심리'!$K3364)),'자료_한국심리'!$J3364,"")</f>
        <v/>
      </c>
      <c r="Y3380">
        <f>IF(AND(ISNUMBER('자료_한국심리'!$M3364),ISNUMBER('자료_한국심리'!$N3364)),'자료_한국심리'!$M3364,"")</f>
        <v/>
      </c>
    </row>
    <row r="3381">
      <c r="U3381">
        <f>IF(AND(ISNUMBER('자료_한국심리'!$A3365),ISNUMBER('자료_한국심리'!$B3365)),'자료_한국심리'!$A3365,"")</f>
        <v/>
      </c>
      <c r="V3381">
        <f>IF(AND(ISNUMBER('자료_한국심리'!$D3365),ISNUMBER('자료_한국심리'!$E3365)),'자료_한국심리'!$D3365,"")</f>
        <v/>
      </c>
      <c r="W3381">
        <f>IF(AND(ISNUMBER('자료_한국심리'!$G3365),ISNUMBER('자료_한국심리'!$H3365)),'자료_한국심리'!$G3365,"")</f>
        <v/>
      </c>
      <c r="X3381">
        <f>IF(AND(ISNUMBER('자료_한국심리'!$J3365),ISNUMBER('자료_한국심리'!$K3365)),'자료_한국심리'!$J3365,"")</f>
        <v/>
      </c>
      <c r="Y3381">
        <f>IF(AND(ISNUMBER('자료_한국심리'!$M3365),ISNUMBER('자료_한국심리'!$N3365)),'자료_한국심리'!$M3365,"")</f>
        <v/>
      </c>
    </row>
    <row r="3382">
      <c r="U3382">
        <f>IF(AND(ISNUMBER('자료_한국심리'!$A3366),ISNUMBER('자료_한국심리'!$B3366)),'자료_한국심리'!$A3366,"")</f>
        <v/>
      </c>
      <c r="V3382">
        <f>IF(AND(ISNUMBER('자료_한국심리'!$D3366),ISNUMBER('자료_한국심리'!$E3366)),'자료_한국심리'!$D3366,"")</f>
        <v/>
      </c>
      <c r="W3382">
        <f>IF(AND(ISNUMBER('자료_한국심리'!$G3366),ISNUMBER('자료_한국심리'!$H3366)),'자료_한국심리'!$G3366,"")</f>
        <v/>
      </c>
      <c r="X3382">
        <f>IF(AND(ISNUMBER('자료_한국심리'!$J3366),ISNUMBER('자료_한국심리'!$K3366)),'자료_한국심리'!$J3366,"")</f>
        <v/>
      </c>
      <c r="Y3382">
        <f>IF(AND(ISNUMBER('자료_한국심리'!$M3366),ISNUMBER('자료_한국심리'!$N3366)),'자료_한국심리'!$M3366,"")</f>
        <v/>
      </c>
    </row>
    <row r="3383">
      <c r="U3383">
        <f>IF(AND(ISNUMBER('자료_한국심리'!$A3367),ISNUMBER('자료_한국심리'!$B3367)),'자료_한국심리'!$A3367,"")</f>
        <v/>
      </c>
      <c r="V3383">
        <f>IF(AND(ISNUMBER('자료_한국심리'!$D3367),ISNUMBER('자료_한국심리'!$E3367)),'자료_한국심리'!$D3367,"")</f>
        <v/>
      </c>
      <c r="W3383">
        <f>IF(AND(ISNUMBER('자료_한국심리'!$G3367),ISNUMBER('자료_한국심리'!$H3367)),'자료_한국심리'!$G3367,"")</f>
        <v/>
      </c>
      <c r="X3383">
        <f>IF(AND(ISNUMBER('자료_한국심리'!$J3367),ISNUMBER('자료_한국심리'!$K3367)),'자료_한국심리'!$J3367,"")</f>
        <v/>
      </c>
      <c r="Y3383">
        <f>IF(AND(ISNUMBER('자료_한국심리'!$M3367),ISNUMBER('자료_한국심리'!$N3367)),'자료_한국심리'!$M3367,"")</f>
        <v/>
      </c>
    </row>
    <row r="3384">
      <c r="U3384">
        <f>IF(AND(ISNUMBER('자료_한국심리'!$A3368),ISNUMBER('자료_한국심리'!$B3368)),'자료_한국심리'!$A3368,"")</f>
        <v/>
      </c>
      <c r="V3384">
        <f>IF(AND(ISNUMBER('자료_한국심리'!$D3368),ISNUMBER('자료_한국심리'!$E3368)),'자료_한국심리'!$D3368,"")</f>
        <v/>
      </c>
      <c r="W3384">
        <f>IF(AND(ISNUMBER('자료_한국심리'!$G3368),ISNUMBER('자료_한국심리'!$H3368)),'자료_한국심리'!$G3368,"")</f>
        <v/>
      </c>
      <c r="X3384">
        <f>IF(AND(ISNUMBER('자료_한국심리'!$J3368),ISNUMBER('자료_한국심리'!$K3368)),'자료_한국심리'!$J3368,"")</f>
        <v/>
      </c>
      <c r="Y3384">
        <f>IF(AND(ISNUMBER('자료_한국심리'!$M3368),ISNUMBER('자료_한국심리'!$N3368)),'자료_한국심리'!$M3368,"")</f>
        <v/>
      </c>
    </row>
    <row r="3385">
      <c r="U3385">
        <f>IF(AND(ISNUMBER('자료_한국심리'!$A3369),ISNUMBER('자료_한국심리'!$B3369)),'자료_한국심리'!$A3369,"")</f>
        <v/>
      </c>
      <c r="V3385">
        <f>IF(AND(ISNUMBER('자료_한국심리'!$D3369),ISNUMBER('자료_한국심리'!$E3369)),'자료_한국심리'!$D3369,"")</f>
        <v/>
      </c>
      <c r="W3385">
        <f>IF(AND(ISNUMBER('자료_한국심리'!$G3369),ISNUMBER('자료_한국심리'!$H3369)),'자료_한국심리'!$G3369,"")</f>
        <v/>
      </c>
      <c r="X3385">
        <f>IF(AND(ISNUMBER('자료_한국심리'!$J3369),ISNUMBER('자료_한국심리'!$K3369)),'자료_한국심리'!$J3369,"")</f>
        <v/>
      </c>
      <c r="Y3385">
        <f>IF(AND(ISNUMBER('자료_한국심리'!$M3369),ISNUMBER('자료_한국심리'!$N3369)),'자료_한국심리'!$M3369,"")</f>
        <v/>
      </c>
    </row>
    <row r="3386">
      <c r="U3386">
        <f>IF(AND(ISNUMBER('자료_한국심리'!$A3370),ISNUMBER('자료_한국심리'!$B3370)),'자료_한국심리'!$A3370,"")</f>
        <v/>
      </c>
      <c r="V3386">
        <f>IF(AND(ISNUMBER('자료_한국심리'!$D3370),ISNUMBER('자료_한국심리'!$E3370)),'자료_한국심리'!$D3370,"")</f>
        <v/>
      </c>
      <c r="W3386">
        <f>IF(AND(ISNUMBER('자료_한국심리'!$G3370),ISNUMBER('자료_한국심리'!$H3370)),'자료_한국심리'!$G3370,"")</f>
        <v/>
      </c>
      <c r="X3386">
        <f>IF(AND(ISNUMBER('자료_한국심리'!$J3370),ISNUMBER('자료_한국심리'!$K3370)),'자료_한국심리'!$J3370,"")</f>
        <v/>
      </c>
      <c r="Y3386">
        <f>IF(AND(ISNUMBER('자료_한국심리'!$M3370),ISNUMBER('자료_한국심리'!$N3370)),'자료_한국심리'!$M3370,"")</f>
        <v/>
      </c>
    </row>
    <row r="3387">
      <c r="U3387">
        <f>IF(AND(ISNUMBER('자료_한국심리'!$A3371),ISNUMBER('자료_한국심리'!$B3371)),'자료_한국심리'!$A3371,"")</f>
        <v/>
      </c>
      <c r="V3387">
        <f>IF(AND(ISNUMBER('자료_한국심리'!$D3371),ISNUMBER('자료_한국심리'!$E3371)),'자료_한국심리'!$D3371,"")</f>
        <v/>
      </c>
      <c r="W3387">
        <f>IF(AND(ISNUMBER('자료_한국심리'!$G3371),ISNUMBER('자료_한국심리'!$H3371)),'자료_한국심리'!$G3371,"")</f>
        <v/>
      </c>
      <c r="X3387">
        <f>IF(AND(ISNUMBER('자료_한국심리'!$J3371),ISNUMBER('자료_한국심리'!$K3371)),'자료_한국심리'!$J3371,"")</f>
        <v/>
      </c>
      <c r="Y3387">
        <f>IF(AND(ISNUMBER('자료_한국심리'!$M3371),ISNUMBER('자료_한국심리'!$N3371)),'자료_한국심리'!$M3371,"")</f>
        <v/>
      </c>
    </row>
    <row r="3388">
      <c r="U3388">
        <f>IF(AND(ISNUMBER('자료_한국심리'!$A3372),ISNUMBER('자료_한국심리'!$B3372)),'자료_한국심리'!$A3372,"")</f>
        <v/>
      </c>
      <c r="V3388">
        <f>IF(AND(ISNUMBER('자료_한국심리'!$D3372),ISNUMBER('자료_한국심리'!$E3372)),'자료_한국심리'!$D3372,"")</f>
        <v/>
      </c>
      <c r="W3388">
        <f>IF(AND(ISNUMBER('자료_한국심리'!$G3372),ISNUMBER('자료_한국심리'!$H3372)),'자료_한국심리'!$G3372,"")</f>
        <v/>
      </c>
      <c r="X3388">
        <f>IF(AND(ISNUMBER('자료_한국심리'!$J3372),ISNUMBER('자료_한국심리'!$K3372)),'자료_한국심리'!$J3372,"")</f>
        <v/>
      </c>
      <c r="Y3388">
        <f>IF(AND(ISNUMBER('자료_한국심리'!$M3372),ISNUMBER('자료_한국심리'!$N3372)),'자료_한국심리'!$M3372,"")</f>
        <v/>
      </c>
    </row>
    <row r="3389">
      <c r="U3389">
        <f>IF(AND(ISNUMBER('자료_한국심리'!$A3373),ISNUMBER('자료_한국심리'!$B3373)),'자료_한국심리'!$A3373,"")</f>
        <v/>
      </c>
      <c r="V3389">
        <f>IF(AND(ISNUMBER('자료_한국심리'!$D3373),ISNUMBER('자료_한국심리'!$E3373)),'자료_한국심리'!$D3373,"")</f>
        <v/>
      </c>
      <c r="W3389">
        <f>IF(AND(ISNUMBER('자료_한국심리'!$G3373),ISNUMBER('자료_한국심리'!$H3373)),'자료_한국심리'!$G3373,"")</f>
        <v/>
      </c>
      <c r="X3389">
        <f>IF(AND(ISNUMBER('자료_한국심리'!$J3373),ISNUMBER('자료_한국심리'!$K3373)),'자료_한국심리'!$J3373,"")</f>
        <v/>
      </c>
      <c r="Y3389">
        <f>IF(AND(ISNUMBER('자료_한국심리'!$M3373),ISNUMBER('자료_한국심리'!$N3373)),'자료_한국심리'!$M3373,"")</f>
        <v/>
      </c>
    </row>
    <row r="3390">
      <c r="U3390">
        <f>IF(AND(ISNUMBER('자료_한국심리'!$A3374),ISNUMBER('자료_한국심리'!$B3374)),'자료_한국심리'!$A3374,"")</f>
        <v/>
      </c>
      <c r="V3390">
        <f>IF(AND(ISNUMBER('자료_한국심리'!$D3374),ISNUMBER('자료_한국심리'!$E3374)),'자료_한국심리'!$D3374,"")</f>
        <v/>
      </c>
      <c r="W3390">
        <f>IF(AND(ISNUMBER('자료_한국심리'!$G3374),ISNUMBER('자료_한국심리'!$H3374)),'자료_한국심리'!$G3374,"")</f>
        <v/>
      </c>
      <c r="X3390">
        <f>IF(AND(ISNUMBER('자료_한국심리'!$J3374),ISNUMBER('자료_한국심리'!$K3374)),'자료_한국심리'!$J3374,"")</f>
        <v/>
      </c>
      <c r="Y3390">
        <f>IF(AND(ISNUMBER('자료_한국심리'!$M3374),ISNUMBER('자료_한국심리'!$N3374)),'자료_한국심리'!$M3374,"")</f>
        <v/>
      </c>
    </row>
    <row r="3391">
      <c r="U3391">
        <f>IF(AND(ISNUMBER('자료_한국심리'!$A3375),ISNUMBER('자료_한국심리'!$B3375)),'자료_한국심리'!$A3375,"")</f>
        <v/>
      </c>
      <c r="V3391">
        <f>IF(AND(ISNUMBER('자료_한국심리'!$D3375),ISNUMBER('자료_한국심리'!$E3375)),'자료_한국심리'!$D3375,"")</f>
        <v/>
      </c>
      <c r="W3391">
        <f>IF(AND(ISNUMBER('자료_한국심리'!$G3375),ISNUMBER('자료_한국심리'!$H3375)),'자료_한국심리'!$G3375,"")</f>
        <v/>
      </c>
      <c r="X3391">
        <f>IF(AND(ISNUMBER('자료_한국심리'!$J3375),ISNUMBER('자료_한국심리'!$K3375)),'자료_한국심리'!$J3375,"")</f>
        <v/>
      </c>
      <c r="Y3391">
        <f>IF(AND(ISNUMBER('자료_한국심리'!$M3375),ISNUMBER('자료_한국심리'!$N3375)),'자료_한국심리'!$M3375,"")</f>
        <v/>
      </c>
    </row>
    <row r="3392">
      <c r="U3392">
        <f>IF(AND(ISNUMBER('자료_한국심리'!$A3376),ISNUMBER('자료_한국심리'!$B3376)),'자료_한국심리'!$A3376,"")</f>
        <v/>
      </c>
      <c r="V3392">
        <f>IF(AND(ISNUMBER('자료_한국심리'!$D3376),ISNUMBER('자료_한국심리'!$E3376)),'자료_한국심리'!$D3376,"")</f>
        <v/>
      </c>
      <c r="W3392">
        <f>IF(AND(ISNUMBER('자료_한국심리'!$G3376),ISNUMBER('자료_한국심리'!$H3376)),'자료_한국심리'!$G3376,"")</f>
        <v/>
      </c>
      <c r="X3392">
        <f>IF(AND(ISNUMBER('자료_한국심리'!$J3376),ISNUMBER('자료_한국심리'!$K3376)),'자료_한국심리'!$J3376,"")</f>
        <v/>
      </c>
      <c r="Y3392">
        <f>IF(AND(ISNUMBER('자료_한국심리'!$M3376),ISNUMBER('자료_한국심리'!$N3376)),'자료_한국심리'!$M3376,"")</f>
        <v/>
      </c>
    </row>
    <row r="3393">
      <c r="U3393">
        <f>IF(AND(ISNUMBER('자료_한국심리'!$A3377),ISNUMBER('자료_한국심리'!$B3377)),'자료_한국심리'!$A3377,"")</f>
        <v/>
      </c>
      <c r="V3393">
        <f>IF(AND(ISNUMBER('자료_한국심리'!$D3377),ISNUMBER('자료_한국심리'!$E3377)),'자료_한국심리'!$D3377,"")</f>
        <v/>
      </c>
      <c r="W3393">
        <f>IF(AND(ISNUMBER('자료_한국심리'!$G3377),ISNUMBER('자료_한국심리'!$H3377)),'자료_한국심리'!$G3377,"")</f>
        <v/>
      </c>
      <c r="X3393">
        <f>IF(AND(ISNUMBER('자료_한국심리'!$J3377),ISNUMBER('자료_한국심리'!$K3377)),'자료_한국심리'!$J3377,"")</f>
        <v/>
      </c>
      <c r="Y3393">
        <f>IF(AND(ISNUMBER('자료_한국심리'!$M3377),ISNUMBER('자료_한국심리'!$N3377)),'자료_한국심리'!$M3377,"")</f>
        <v/>
      </c>
    </row>
    <row r="3394">
      <c r="U3394">
        <f>IF(AND(ISNUMBER('자료_한국심리'!$A3378),ISNUMBER('자료_한국심리'!$B3378)),'자료_한국심리'!$A3378,"")</f>
        <v/>
      </c>
      <c r="V3394">
        <f>IF(AND(ISNUMBER('자료_한국심리'!$D3378),ISNUMBER('자료_한국심리'!$E3378)),'자료_한국심리'!$D3378,"")</f>
        <v/>
      </c>
      <c r="W3394">
        <f>IF(AND(ISNUMBER('자료_한국심리'!$G3378),ISNUMBER('자료_한국심리'!$H3378)),'자료_한국심리'!$G3378,"")</f>
        <v/>
      </c>
      <c r="X3394">
        <f>IF(AND(ISNUMBER('자료_한국심리'!$J3378),ISNUMBER('자료_한국심리'!$K3378)),'자료_한국심리'!$J3378,"")</f>
        <v/>
      </c>
      <c r="Y3394">
        <f>IF(AND(ISNUMBER('자료_한국심리'!$M3378),ISNUMBER('자료_한국심리'!$N3378)),'자료_한국심리'!$M3378,"")</f>
        <v/>
      </c>
    </row>
    <row r="3395">
      <c r="U3395">
        <f>IF(AND(ISNUMBER('자료_한국심리'!$A3379),ISNUMBER('자료_한국심리'!$B3379)),'자료_한국심리'!$A3379,"")</f>
        <v/>
      </c>
      <c r="V3395">
        <f>IF(AND(ISNUMBER('자료_한국심리'!$D3379),ISNUMBER('자료_한국심리'!$E3379)),'자료_한국심리'!$D3379,"")</f>
        <v/>
      </c>
      <c r="W3395">
        <f>IF(AND(ISNUMBER('자료_한국심리'!$G3379),ISNUMBER('자료_한국심리'!$H3379)),'자료_한국심리'!$G3379,"")</f>
        <v/>
      </c>
      <c r="X3395">
        <f>IF(AND(ISNUMBER('자료_한국심리'!$J3379),ISNUMBER('자료_한국심리'!$K3379)),'자료_한국심리'!$J3379,"")</f>
        <v/>
      </c>
      <c r="Y3395">
        <f>IF(AND(ISNUMBER('자료_한국심리'!$M3379),ISNUMBER('자료_한국심리'!$N3379)),'자료_한국심리'!$M3379,"")</f>
        <v/>
      </c>
    </row>
    <row r="3396">
      <c r="U3396">
        <f>IF(AND(ISNUMBER('자료_한국심리'!$A3380),ISNUMBER('자료_한국심리'!$B3380)),'자료_한국심리'!$A3380,"")</f>
        <v/>
      </c>
      <c r="V3396">
        <f>IF(AND(ISNUMBER('자료_한국심리'!$D3380),ISNUMBER('자료_한국심리'!$E3380)),'자료_한국심리'!$D3380,"")</f>
        <v/>
      </c>
      <c r="W3396">
        <f>IF(AND(ISNUMBER('자료_한국심리'!$G3380),ISNUMBER('자료_한국심리'!$H3380)),'자료_한국심리'!$G3380,"")</f>
        <v/>
      </c>
      <c r="X3396">
        <f>IF(AND(ISNUMBER('자료_한국심리'!$J3380),ISNUMBER('자료_한국심리'!$K3380)),'자료_한국심리'!$J3380,"")</f>
        <v/>
      </c>
      <c r="Y3396">
        <f>IF(AND(ISNUMBER('자료_한국심리'!$M3380),ISNUMBER('자료_한국심리'!$N3380)),'자료_한국심리'!$M3380,"")</f>
        <v/>
      </c>
    </row>
    <row r="3397">
      <c r="U3397">
        <f>IF(AND(ISNUMBER('자료_한국심리'!$A3381),ISNUMBER('자료_한국심리'!$B3381)),'자료_한국심리'!$A3381,"")</f>
        <v/>
      </c>
      <c r="V3397">
        <f>IF(AND(ISNUMBER('자료_한국심리'!$D3381),ISNUMBER('자료_한국심리'!$E3381)),'자료_한국심리'!$D3381,"")</f>
        <v/>
      </c>
      <c r="W3397">
        <f>IF(AND(ISNUMBER('자료_한국심리'!$G3381),ISNUMBER('자료_한국심리'!$H3381)),'자료_한국심리'!$G3381,"")</f>
        <v/>
      </c>
      <c r="X3397">
        <f>IF(AND(ISNUMBER('자료_한국심리'!$J3381),ISNUMBER('자료_한국심리'!$K3381)),'자료_한국심리'!$J3381,"")</f>
        <v/>
      </c>
      <c r="Y3397">
        <f>IF(AND(ISNUMBER('자료_한국심리'!$M3381),ISNUMBER('자료_한국심리'!$N3381)),'자료_한국심리'!$M3381,"")</f>
        <v/>
      </c>
    </row>
    <row r="3398">
      <c r="U3398">
        <f>IF(AND(ISNUMBER('자료_한국심리'!$A3382),ISNUMBER('자료_한국심리'!$B3382)),'자료_한국심리'!$A3382,"")</f>
        <v/>
      </c>
      <c r="V3398">
        <f>IF(AND(ISNUMBER('자료_한국심리'!$D3382),ISNUMBER('자료_한국심리'!$E3382)),'자료_한국심리'!$D3382,"")</f>
        <v/>
      </c>
      <c r="W3398">
        <f>IF(AND(ISNUMBER('자료_한국심리'!$G3382),ISNUMBER('자료_한국심리'!$H3382)),'자료_한국심리'!$G3382,"")</f>
        <v/>
      </c>
      <c r="X3398">
        <f>IF(AND(ISNUMBER('자료_한국심리'!$J3382),ISNUMBER('자료_한국심리'!$K3382)),'자료_한국심리'!$J3382,"")</f>
        <v/>
      </c>
      <c r="Y3398">
        <f>IF(AND(ISNUMBER('자료_한국심리'!$M3382),ISNUMBER('자료_한국심리'!$N3382)),'자료_한국심리'!$M3382,"")</f>
        <v/>
      </c>
    </row>
    <row r="3399">
      <c r="U3399">
        <f>IF(AND(ISNUMBER('자료_한국심리'!$A3383),ISNUMBER('자료_한국심리'!$B3383)),'자료_한국심리'!$A3383,"")</f>
        <v/>
      </c>
      <c r="V3399">
        <f>IF(AND(ISNUMBER('자료_한국심리'!$D3383),ISNUMBER('자료_한국심리'!$E3383)),'자료_한국심리'!$D3383,"")</f>
        <v/>
      </c>
      <c r="W3399">
        <f>IF(AND(ISNUMBER('자료_한국심리'!$G3383),ISNUMBER('자료_한국심리'!$H3383)),'자료_한국심리'!$G3383,"")</f>
        <v/>
      </c>
      <c r="X3399">
        <f>IF(AND(ISNUMBER('자료_한국심리'!$J3383),ISNUMBER('자료_한국심리'!$K3383)),'자료_한국심리'!$J3383,"")</f>
        <v/>
      </c>
      <c r="Y3399">
        <f>IF(AND(ISNUMBER('자료_한국심리'!$M3383),ISNUMBER('자료_한국심리'!$N3383)),'자료_한국심리'!$M3383,"")</f>
        <v/>
      </c>
    </row>
    <row r="3400">
      <c r="U3400">
        <f>IF(AND(ISNUMBER('자료_한국심리'!$A3384),ISNUMBER('자료_한국심리'!$B3384)),'자료_한국심리'!$A3384,"")</f>
        <v/>
      </c>
      <c r="V3400">
        <f>IF(AND(ISNUMBER('자료_한국심리'!$D3384),ISNUMBER('자료_한국심리'!$E3384)),'자료_한국심리'!$D3384,"")</f>
        <v/>
      </c>
      <c r="W3400">
        <f>IF(AND(ISNUMBER('자료_한국심리'!$G3384),ISNUMBER('자료_한국심리'!$H3384)),'자료_한국심리'!$G3384,"")</f>
        <v/>
      </c>
      <c r="X3400">
        <f>IF(AND(ISNUMBER('자료_한국심리'!$J3384),ISNUMBER('자료_한국심리'!$K3384)),'자료_한국심리'!$J3384,"")</f>
        <v/>
      </c>
      <c r="Y3400">
        <f>IF(AND(ISNUMBER('자료_한국심리'!$M3384),ISNUMBER('자료_한국심리'!$N3384)),'자료_한국심리'!$M3384,"")</f>
        <v/>
      </c>
    </row>
    <row r="3401">
      <c r="U3401">
        <f>IF(AND(ISNUMBER('자료_한국심리'!$A3385),ISNUMBER('자료_한국심리'!$B3385)),'자료_한국심리'!$A3385,"")</f>
        <v/>
      </c>
      <c r="V3401">
        <f>IF(AND(ISNUMBER('자료_한국심리'!$D3385),ISNUMBER('자료_한국심리'!$E3385)),'자료_한국심리'!$D3385,"")</f>
        <v/>
      </c>
      <c r="W3401">
        <f>IF(AND(ISNUMBER('자료_한국심리'!$G3385),ISNUMBER('자료_한국심리'!$H3385)),'자료_한국심리'!$G3385,"")</f>
        <v/>
      </c>
      <c r="X3401">
        <f>IF(AND(ISNUMBER('자료_한국심리'!$J3385),ISNUMBER('자료_한국심리'!$K3385)),'자료_한국심리'!$J3385,"")</f>
        <v/>
      </c>
      <c r="Y3401">
        <f>IF(AND(ISNUMBER('자료_한국심리'!$M3385),ISNUMBER('자료_한국심리'!$N3385)),'자료_한국심리'!$M3385,"")</f>
        <v/>
      </c>
    </row>
    <row r="3402">
      <c r="U3402">
        <f>IF(AND(ISNUMBER('자료_한국심리'!$A3386),ISNUMBER('자료_한국심리'!$B3386)),'자료_한국심리'!$A3386,"")</f>
        <v/>
      </c>
      <c r="V3402">
        <f>IF(AND(ISNUMBER('자료_한국심리'!$D3386),ISNUMBER('자료_한국심리'!$E3386)),'자료_한국심리'!$D3386,"")</f>
        <v/>
      </c>
      <c r="W3402">
        <f>IF(AND(ISNUMBER('자료_한국심리'!$G3386),ISNUMBER('자료_한국심리'!$H3386)),'자료_한국심리'!$G3386,"")</f>
        <v/>
      </c>
      <c r="X3402">
        <f>IF(AND(ISNUMBER('자료_한국심리'!$J3386),ISNUMBER('자료_한국심리'!$K3386)),'자료_한국심리'!$J3386,"")</f>
        <v/>
      </c>
      <c r="Y3402">
        <f>IF(AND(ISNUMBER('자료_한국심리'!$M3386),ISNUMBER('자료_한국심리'!$N3386)),'자료_한국심리'!$M3386,"")</f>
        <v/>
      </c>
    </row>
    <row r="3403">
      <c r="U3403">
        <f>IF(AND(ISNUMBER('자료_한국심리'!$A3387),ISNUMBER('자료_한국심리'!$B3387)),'자료_한국심리'!$A3387,"")</f>
        <v/>
      </c>
      <c r="V3403">
        <f>IF(AND(ISNUMBER('자료_한국심리'!$D3387),ISNUMBER('자료_한국심리'!$E3387)),'자료_한국심리'!$D3387,"")</f>
        <v/>
      </c>
      <c r="W3403">
        <f>IF(AND(ISNUMBER('자료_한국심리'!$G3387),ISNUMBER('자료_한국심리'!$H3387)),'자료_한국심리'!$G3387,"")</f>
        <v/>
      </c>
      <c r="X3403">
        <f>IF(AND(ISNUMBER('자료_한국심리'!$J3387),ISNUMBER('자료_한국심리'!$K3387)),'자료_한국심리'!$J3387,"")</f>
        <v/>
      </c>
      <c r="Y3403">
        <f>IF(AND(ISNUMBER('자료_한국심리'!$M3387),ISNUMBER('자료_한국심리'!$N3387)),'자료_한국심리'!$M3387,"")</f>
        <v/>
      </c>
    </row>
    <row r="3404">
      <c r="U3404">
        <f>IF(AND(ISNUMBER('자료_한국심리'!$A3388),ISNUMBER('자료_한국심리'!$B3388)),'자료_한국심리'!$A3388,"")</f>
        <v/>
      </c>
      <c r="V3404">
        <f>IF(AND(ISNUMBER('자료_한국심리'!$D3388),ISNUMBER('자료_한국심리'!$E3388)),'자료_한국심리'!$D3388,"")</f>
        <v/>
      </c>
      <c r="W3404">
        <f>IF(AND(ISNUMBER('자료_한국심리'!$G3388),ISNUMBER('자료_한국심리'!$H3388)),'자료_한국심리'!$G3388,"")</f>
        <v/>
      </c>
      <c r="X3404">
        <f>IF(AND(ISNUMBER('자료_한국심리'!$J3388),ISNUMBER('자료_한국심리'!$K3388)),'자료_한국심리'!$J3388,"")</f>
        <v/>
      </c>
      <c r="Y3404">
        <f>IF(AND(ISNUMBER('자료_한국심리'!$M3388),ISNUMBER('자료_한국심리'!$N3388)),'자료_한국심리'!$M3388,"")</f>
        <v/>
      </c>
    </row>
    <row r="3405">
      <c r="U3405">
        <f>IF(AND(ISNUMBER('자료_한국심리'!$A3389),ISNUMBER('자료_한국심리'!$B3389)),'자료_한국심리'!$A3389,"")</f>
        <v/>
      </c>
      <c r="V3405">
        <f>IF(AND(ISNUMBER('자료_한국심리'!$D3389),ISNUMBER('자료_한국심리'!$E3389)),'자료_한국심리'!$D3389,"")</f>
        <v/>
      </c>
      <c r="W3405">
        <f>IF(AND(ISNUMBER('자료_한국심리'!$G3389),ISNUMBER('자료_한국심리'!$H3389)),'자료_한국심리'!$G3389,"")</f>
        <v/>
      </c>
      <c r="X3405">
        <f>IF(AND(ISNUMBER('자료_한국심리'!$J3389),ISNUMBER('자료_한국심리'!$K3389)),'자료_한국심리'!$J3389,"")</f>
        <v/>
      </c>
      <c r="Y3405">
        <f>IF(AND(ISNUMBER('자료_한국심리'!$M3389),ISNUMBER('자료_한국심리'!$N3389)),'자료_한국심리'!$M3389,"")</f>
        <v/>
      </c>
    </row>
    <row r="3406">
      <c r="U3406">
        <f>IF(AND(ISNUMBER('자료_한국심리'!$A3390),ISNUMBER('자료_한국심리'!$B3390)),'자료_한국심리'!$A3390,"")</f>
        <v/>
      </c>
      <c r="V3406">
        <f>IF(AND(ISNUMBER('자료_한국심리'!$D3390),ISNUMBER('자료_한국심리'!$E3390)),'자료_한국심리'!$D3390,"")</f>
        <v/>
      </c>
      <c r="W3406">
        <f>IF(AND(ISNUMBER('자료_한국심리'!$G3390),ISNUMBER('자료_한국심리'!$H3390)),'자료_한국심리'!$G3390,"")</f>
        <v/>
      </c>
      <c r="X3406">
        <f>IF(AND(ISNUMBER('자료_한국심리'!$J3390),ISNUMBER('자료_한국심리'!$K3390)),'자료_한국심리'!$J3390,"")</f>
        <v/>
      </c>
      <c r="Y3406">
        <f>IF(AND(ISNUMBER('자료_한국심리'!$M3390),ISNUMBER('자료_한국심리'!$N3390)),'자료_한국심리'!$M3390,"")</f>
        <v/>
      </c>
    </row>
    <row r="3407">
      <c r="U3407">
        <f>IF(AND(ISNUMBER('자료_한국심리'!$A3391),ISNUMBER('자료_한국심리'!$B3391)),'자료_한국심리'!$A3391,"")</f>
        <v/>
      </c>
      <c r="V3407">
        <f>IF(AND(ISNUMBER('자료_한국심리'!$D3391),ISNUMBER('자료_한국심리'!$E3391)),'자료_한국심리'!$D3391,"")</f>
        <v/>
      </c>
      <c r="W3407">
        <f>IF(AND(ISNUMBER('자료_한국심리'!$G3391),ISNUMBER('자료_한국심리'!$H3391)),'자료_한국심리'!$G3391,"")</f>
        <v/>
      </c>
      <c r="X3407">
        <f>IF(AND(ISNUMBER('자료_한국심리'!$J3391),ISNUMBER('자료_한국심리'!$K3391)),'자료_한국심리'!$J3391,"")</f>
        <v/>
      </c>
      <c r="Y3407">
        <f>IF(AND(ISNUMBER('자료_한국심리'!$M3391),ISNUMBER('자료_한국심리'!$N3391)),'자료_한국심리'!$M3391,"")</f>
        <v/>
      </c>
    </row>
    <row r="3408">
      <c r="U3408">
        <f>IF(AND(ISNUMBER('자료_한국심리'!$A3392),ISNUMBER('자료_한국심리'!$B3392)),'자료_한국심리'!$A3392,"")</f>
        <v/>
      </c>
      <c r="V3408">
        <f>IF(AND(ISNUMBER('자료_한국심리'!$D3392),ISNUMBER('자료_한국심리'!$E3392)),'자료_한국심리'!$D3392,"")</f>
        <v/>
      </c>
      <c r="W3408">
        <f>IF(AND(ISNUMBER('자료_한국심리'!$G3392),ISNUMBER('자료_한국심리'!$H3392)),'자료_한국심리'!$G3392,"")</f>
        <v/>
      </c>
      <c r="X3408">
        <f>IF(AND(ISNUMBER('자료_한국심리'!$J3392),ISNUMBER('자료_한국심리'!$K3392)),'자료_한국심리'!$J3392,"")</f>
        <v/>
      </c>
      <c r="Y3408">
        <f>IF(AND(ISNUMBER('자료_한국심리'!$M3392),ISNUMBER('자료_한국심리'!$N3392)),'자료_한국심리'!$M3392,"")</f>
        <v/>
      </c>
    </row>
    <row r="3409">
      <c r="U3409">
        <f>IF(AND(ISNUMBER('자료_한국심리'!$A3393),ISNUMBER('자료_한국심리'!$B3393)),'자료_한국심리'!$A3393,"")</f>
        <v/>
      </c>
      <c r="V3409">
        <f>IF(AND(ISNUMBER('자료_한국심리'!$D3393),ISNUMBER('자료_한국심리'!$E3393)),'자료_한국심리'!$D3393,"")</f>
        <v/>
      </c>
      <c r="W3409">
        <f>IF(AND(ISNUMBER('자료_한국심리'!$G3393),ISNUMBER('자료_한국심리'!$H3393)),'자료_한국심리'!$G3393,"")</f>
        <v/>
      </c>
      <c r="X3409">
        <f>IF(AND(ISNUMBER('자료_한국심리'!$J3393),ISNUMBER('자료_한국심리'!$K3393)),'자료_한국심리'!$J3393,"")</f>
        <v/>
      </c>
      <c r="Y3409">
        <f>IF(AND(ISNUMBER('자료_한국심리'!$M3393),ISNUMBER('자료_한국심리'!$N3393)),'자료_한국심리'!$M3393,"")</f>
        <v/>
      </c>
    </row>
    <row r="3410">
      <c r="U3410">
        <f>IF(AND(ISNUMBER('자료_한국심리'!$A3394),ISNUMBER('자료_한국심리'!$B3394)),'자료_한국심리'!$A3394,"")</f>
        <v/>
      </c>
      <c r="V3410">
        <f>IF(AND(ISNUMBER('자료_한국심리'!$D3394),ISNUMBER('자료_한국심리'!$E3394)),'자료_한국심리'!$D3394,"")</f>
        <v/>
      </c>
      <c r="W3410">
        <f>IF(AND(ISNUMBER('자료_한국심리'!$G3394),ISNUMBER('자료_한국심리'!$H3394)),'자료_한국심리'!$G3394,"")</f>
        <v/>
      </c>
      <c r="X3410">
        <f>IF(AND(ISNUMBER('자료_한국심리'!$J3394),ISNUMBER('자료_한국심리'!$K3394)),'자료_한국심리'!$J3394,"")</f>
        <v/>
      </c>
      <c r="Y3410">
        <f>IF(AND(ISNUMBER('자료_한국심리'!$M3394),ISNUMBER('자료_한국심리'!$N3394)),'자료_한국심리'!$M3394,"")</f>
        <v/>
      </c>
    </row>
    <row r="3411">
      <c r="U3411">
        <f>IF(AND(ISNUMBER('자료_한국심리'!$A3395),ISNUMBER('자료_한국심리'!$B3395)),'자료_한국심리'!$A3395,"")</f>
        <v/>
      </c>
      <c r="V3411">
        <f>IF(AND(ISNUMBER('자료_한국심리'!$D3395),ISNUMBER('자료_한국심리'!$E3395)),'자료_한국심리'!$D3395,"")</f>
        <v/>
      </c>
      <c r="W3411">
        <f>IF(AND(ISNUMBER('자료_한국심리'!$G3395),ISNUMBER('자료_한국심리'!$H3395)),'자료_한국심리'!$G3395,"")</f>
        <v/>
      </c>
      <c r="X3411">
        <f>IF(AND(ISNUMBER('자료_한국심리'!$J3395),ISNUMBER('자료_한국심리'!$K3395)),'자료_한국심리'!$J3395,"")</f>
        <v/>
      </c>
      <c r="Y3411">
        <f>IF(AND(ISNUMBER('자료_한국심리'!$M3395),ISNUMBER('자료_한국심리'!$N3395)),'자료_한국심리'!$M3395,"")</f>
        <v/>
      </c>
    </row>
    <row r="3412">
      <c r="U3412">
        <f>IF(AND(ISNUMBER('자료_한국심리'!$A3396),ISNUMBER('자료_한국심리'!$B3396)),'자료_한국심리'!$A3396,"")</f>
        <v/>
      </c>
      <c r="V3412">
        <f>IF(AND(ISNUMBER('자료_한국심리'!$D3396),ISNUMBER('자료_한국심리'!$E3396)),'자료_한국심리'!$D3396,"")</f>
        <v/>
      </c>
      <c r="W3412">
        <f>IF(AND(ISNUMBER('자료_한국심리'!$G3396),ISNUMBER('자료_한국심리'!$H3396)),'자료_한국심리'!$G3396,"")</f>
        <v/>
      </c>
      <c r="X3412">
        <f>IF(AND(ISNUMBER('자료_한국심리'!$J3396),ISNUMBER('자료_한국심리'!$K3396)),'자료_한국심리'!$J3396,"")</f>
        <v/>
      </c>
      <c r="Y3412">
        <f>IF(AND(ISNUMBER('자료_한국심리'!$M3396),ISNUMBER('자료_한국심리'!$N3396)),'자료_한국심리'!$M3396,"")</f>
        <v/>
      </c>
    </row>
    <row r="3413">
      <c r="U3413">
        <f>IF(AND(ISNUMBER('자료_한국심리'!$A3397),ISNUMBER('자료_한국심리'!$B3397)),'자료_한국심리'!$A3397,"")</f>
        <v/>
      </c>
      <c r="V3413">
        <f>IF(AND(ISNUMBER('자료_한국심리'!$D3397),ISNUMBER('자료_한국심리'!$E3397)),'자료_한국심리'!$D3397,"")</f>
        <v/>
      </c>
      <c r="W3413">
        <f>IF(AND(ISNUMBER('자료_한국심리'!$G3397),ISNUMBER('자료_한국심리'!$H3397)),'자료_한국심리'!$G3397,"")</f>
        <v/>
      </c>
      <c r="X3413">
        <f>IF(AND(ISNUMBER('자료_한국심리'!$J3397),ISNUMBER('자료_한국심리'!$K3397)),'자료_한국심리'!$J3397,"")</f>
        <v/>
      </c>
      <c r="Y3413">
        <f>IF(AND(ISNUMBER('자료_한국심리'!$M3397),ISNUMBER('자료_한국심리'!$N3397)),'자료_한국심리'!$M3397,"")</f>
        <v/>
      </c>
    </row>
    <row r="3414">
      <c r="U3414">
        <f>IF(AND(ISNUMBER('자료_한국심리'!$A3398),ISNUMBER('자료_한국심리'!$B3398)),'자료_한국심리'!$A3398,"")</f>
        <v/>
      </c>
      <c r="V3414">
        <f>IF(AND(ISNUMBER('자료_한국심리'!$D3398),ISNUMBER('자료_한국심리'!$E3398)),'자료_한국심리'!$D3398,"")</f>
        <v/>
      </c>
      <c r="W3414">
        <f>IF(AND(ISNUMBER('자료_한국심리'!$G3398),ISNUMBER('자료_한국심리'!$H3398)),'자료_한국심리'!$G3398,"")</f>
        <v/>
      </c>
      <c r="X3414">
        <f>IF(AND(ISNUMBER('자료_한국심리'!$J3398),ISNUMBER('자료_한국심리'!$K3398)),'자료_한국심리'!$J3398,"")</f>
        <v/>
      </c>
      <c r="Y3414">
        <f>IF(AND(ISNUMBER('자료_한국심리'!$M3398),ISNUMBER('자료_한국심리'!$N3398)),'자료_한국심리'!$M3398,"")</f>
        <v/>
      </c>
    </row>
    <row r="3415">
      <c r="U3415">
        <f>IF(AND(ISNUMBER('자료_한국심리'!$A3399),ISNUMBER('자료_한국심리'!$B3399)),'자료_한국심리'!$A3399,"")</f>
        <v/>
      </c>
      <c r="V3415">
        <f>IF(AND(ISNUMBER('자료_한국심리'!$D3399),ISNUMBER('자료_한국심리'!$E3399)),'자료_한국심리'!$D3399,"")</f>
        <v/>
      </c>
      <c r="W3415">
        <f>IF(AND(ISNUMBER('자료_한국심리'!$G3399),ISNUMBER('자료_한국심리'!$H3399)),'자료_한국심리'!$G3399,"")</f>
        <v/>
      </c>
      <c r="X3415">
        <f>IF(AND(ISNUMBER('자료_한국심리'!$J3399),ISNUMBER('자료_한국심리'!$K3399)),'자료_한국심리'!$J3399,"")</f>
        <v/>
      </c>
      <c r="Y3415">
        <f>IF(AND(ISNUMBER('자료_한국심리'!$M3399),ISNUMBER('자료_한국심리'!$N3399)),'자료_한국심리'!$M3399,"")</f>
        <v/>
      </c>
    </row>
    <row r="3416">
      <c r="U3416">
        <f>IF(AND(ISNUMBER('자료_한국심리'!$A3400),ISNUMBER('자료_한국심리'!$B3400)),'자료_한국심리'!$A3400,"")</f>
        <v/>
      </c>
      <c r="V3416">
        <f>IF(AND(ISNUMBER('자료_한국심리'!$D3400),ISNUMBER('자료_한국심리'!$E3400)),'자료_한국심리'!$D3400,"")</f>
        <v/>
      </c>
      <c r="W3416">
        <f>IF(AND(ISNUMBER('자료_한국심리'!$G3400),ISNUMBER('자료_한국심리'!$H3400)),'자료_한국심리'!$G3400,"")</f>
        <v/>
      </c>
      <c r="X3416">
        <f>IF(AND(ISNUMBER('자료_한국심리'!$J3400),ISNUMBER('자료_한국심리'!$K3400)),'자료_한국심리'!$J3400,"")</f>
        <v/>
      </c>
      <c r="Y3416">
        <f>IF(AND(ISNUMBER('자료_한국심리'!$M3400),ISNUMBER('자료_한국심리'!$N3400)),'자료_한국심리'!$M3400,"")</f>
        <v/>
      </c>
    </row>
    <row r="3417">
      <c r="U3417">
        <f>IF(AND(ISNUMBER('자료_한국심리'!$A3401),ISNUMBER('자료_한국심리'!$B3401)),'자료_한국심리'!$A3401,"")</f>
        <v/>
      </c>
      <c r="V3417">
        <f>IF(AND(ISNUMBER('자료_한국심리'!$D3401),ISNUMBER('자료_한국심리'!$E3401)),'자료_한국심리'!$D3401,"")</f>
        <v/>
      </c>
      <c r="W3417">
        <f>IF(AND(ISNUMBER('자료_한국심리'!$G3401),ISNUMBER('자료_한국심리'!$H3401)),'자료_한국심리'!$G3401,"")</f>
        <v/>
      </c>
      <c r="X3417">
        <f>IF(AND(ISNUMBER('자료_한국심리'!$J3401),ISNUMBER('자료_한국심리'!$K3401)),'자료_한국심리'!$J3401,"")</f>
        <v/>
      </c>
      <c r="Y3417">
        <f>IF(AND(ISNUMBER('자료_한국심리'!$M3401),ISNUMBER('자료_한국심리'!$N3401)),'자료_한국심리'!$M3401,"")</f>
        <v/>
      </c>
    </row>
    <row r="3418">
      <c r="U3418">
        <f>IF(AND(ISNUMBER('자료_한국심리'!$A3402),ISNUMBER('자료_한국심리'!$B3402)),'자료_한국심리'!$A3402,"")</f>
        <v/>
      </c>
      <c r="V3418">
        <f>IF(AND(ISNUMBER('자료_한국심리'!$D3402),ISNUMBER('자료_한국심리'!$E3402)),'자료_한국심리'!$D3402,"")</f>
        <v/>
      </c>
      <c r="W3418">
        <f>IF(AND(ISNUMBER('자료_한국심리'!$G3402),ISNUMBER('자료_한국심리'!$H3402)),'자료_한국심리'!$G3402,"")</f>
        <v/>
      </c>
      <c r="X3418">
        <f>IF(AND(ISNUMBER('자료_한국심리'!$J3402),ISNUMBER('자료_한국심리'!$K3402)),'자료_한국심리'!$J3402,"")</f>
        <v/>
      </c>
      <c r="Y3418">
        <f>IF(AND(ISNUMBER('자료_한국심리'!$M3402),ISNUMBER('자료_한국심리'!$N3402)),'자료_한국심리'!$M3402,"")</f>
        <v/>
      </c>
    </row>
    <row r="3419">
      <c r="U3419">
        <f>IF(AND(ISNUMBER('자료_한국심리'!$A3403),ISNUMBER('자료_한국심리'!$B3403)),'자료_한국심리'!$A3403,"")</f>
        <v/>
      </c>
      <c r="V3419">
        <f>IF(AND(ISNUMBER('자료_한국심리'!$D3403),ISNUMBER('자료_한국심리'!$E3403)),'자료_한국심리'!$D3403,"")</f>
        <v/>
      </c>
      <c r="W3419">
        <f>IF(AND(ISNUMBER('자료_한국심리'!$G3403),ISNUMBER('자료_한국심리'!$H3403)),'자료_한국심리'!$G3403,"")</f>
        <v/>
      </c>
      <c r="X3419">
        <f>IF(AND(ISNUMBER('자료_한국심리'!$J3403),ISNUMBER('자료_한국심리'!$K3403)),'자료_한국심리'!$J3403,"")</f>
        <v/>
      </c>
      <c r="Y3419">
        <f>IF(AND(ISNUMBER('자료_한국심리'!$M3403),ISNUMBER('자료_한국심리'!$N3403)),'자료_한국심리'!$M3403,"")</f>
        <v/>
      </c>
    </row>
    <row r="3420">
      <c r="U3420">
        <f>IF(AND(ISNUMBER('자료_한국심리'!$A3404),ISNUMBER('자료_한국심리'!$B3404)),'자료_한국심리'!$A3404,"")</f>
        <v/>
      </c>
      <c r="V3420">
        <f>IF(AND(ISNUMBER('자료_한국심리'!$D3404),ISNUMBER('자료_한국심리'!$E3404)),'자료_한국심리'!$D3404,"")</f>
        <v/>
      </c>
      <c r="W3420">
        <f>IF(AND(ISNUMBER('자료_한국심리'!$G3404),ISNUMBER('자료_한국심리'!$H3404)),'자료_한국심리'!$G3404,"")</f>
        <v/>
      </c>
      <c r="X3420">
        <f>IF(AND(ISNUMBER('자료_한국심리'!$J3404),ISNUMBER('자료_한국심리'!$K3404)),'자료_한국심리'!$J3404,"")</f>
        <v/>
      </c>
      <c r="Y3420">
        <f>IF(AND(ISNUMBER('자료_한국심리'!$M3404),ISNUMBER('자료_한국심리'!$N3404)),'자료_한국심리'!$M3404,"")</f>
        <v/>
      </c>
    </row>
    <row r="3421">
      <c r="U3421">
        <f>IF(AND(ISNUMBER('자료_한국심리'!$A3405),ISNUMBER('자료_한국심리'!$B3405)),'자료_한국심리'!$A3405,"")</f>
        <v/>
      </c>
      <c r="V3421">
        <f>IF(AND(ISNUMBER('자료_한국심리'!$D3405),ISNUMBER('자료_한국심리'!$E3405)),'자료_한국심리'!$D3405,"")</f>
        <v/>
      </c>
      <c r="W3421">
        <f>IF(AND(ISNUMBER('자료_한국심리'!$G3405),ISNUMBER('자료_한국심리'!$H3405)),'자료_한국심리'!$G3405,"")</f>
        <v/>
      </c>
      <c r="X3421">
        <f>IF(AND(ISNUMBER('자료_한국심리'!$J3405),ISNUMBER('자료_한국심리'!$K3405)),'자료_한국심리'!$J3405,"")</f>
        <v/>
      </c>
      <c r="Y3421">
        <f>IF(AND(ISNUMBER('자료_한국심리'!$M3405),ISNUMBER('자료_한국심리'!$N3405)),'자료_한국심리'!$M3405,"")</f>
        <v/>
      </c>
    </row>
    <row r="3422">
      <c r="U3422">
        <f>IF(AND(ISNUMBER('자료_한국심리'!$A3406),ISNUMBER('자료_한국심리'!$B3406)),'자료_한국심리'!$A3406,"")</f>
        <v/>
      </c>
      <c r="V3422">
        <f>IF(AND(ISNUMBER('자료_한국심리'!$D3406),ISNUMBER('자료_한국심리'!$E3406)),'자료_한국심리'!$D3406,"")</f>
        <v/>
      </c>
      <c r="W3422">
        <f>IF(AND(ISNUMBER('자료_한국심리'!$G3406),ISNUMBER('자료_한국심리'!$H3406)),'자료_한국심리'!$G3406,"")</f>
        <v/>
      </c>
      <c r="X3422">
        <f>IF(AND(ISNUMBER('자료_한국심리'!$J3406),ISNUMBER('자료_한국심리'!$K3406)),'자료_한국심리'!$J3406,"")</f>
        <v/>
      </c>
      <c r="Y3422">
        <f>IF(AND(ISNUMBER('자료_한국심리'!$M3406),ISNUMBER('자료_한국심리'!$N3406)),'자료_한국심리'!$M3406,"")</f>
        <v/>
      </c>
    </row>
    <row r="3423">
      <c r="U3423">
        <f>IF(AND(ISNUMBER('자료_한국심리'!$A3407),ISNUMBER('자료_한국심리'!$B3407)),'자료_한국심리'!$A3407,"")</f>
        <v/>
      </c>
      <c r="V3423">
        <f>IF(AND(ISNUMBER('자료_한국심리'!$D3407),ISNUMBER('자료_한국심리'!$E3407)),'자료_한국심리'!$D3407,"")</f>
        <v/>
      </c>
      <c r="W3423">
        <f>IF(AND(ISNUMBER('자료_한국심리'!$G3407),ISNUMBER('자료_한국심리'!$H3407)),'자료_한국심리'!$G3407,"")</f>
        <v/>
      </c>
      <c r="X3423">
        <f>IF(AND(ISNUMBER('자료_한국심리'!$J3407),ISNUMBER('자료_한국심리'!$K3407)),'자료_한국심리'!$J3407,"")</f>
        <v/>
      </c>
      <c r="Y3423">
        <f>IF(AND(ISNUMBER('자료_한국심리'!$M3407),ISNUMBER('자료_한국심리'!$N3407)),'자료_한국심리'!$M3407,"")</f>
        <v/>
      </c>
    </row>
    <row r="3424">
      <c r="U3424">
        <f>IF(AND(ISNUMBER('자료_한국심리'!$A3408),ISNUMBER('자료_한국심리'!$B3408)),'자료_한국심리'!$A3408,"")</f>
        <v/>
      </c>
      <c r="V3424">
        <f>IF(AND(ISNUMBER('자료_한국심리'!$D3408),ISNUMBER('자료_한국심리'!$E3408)),'자료_한국심리'!$D3408,"")</f>
        <v/>
      </c>
      <c r="W3424">
        <f>IF(AND(ISNUMBER('자료_한국심리'!$G3408),ISNUMBER('자료_한국심리'!$H3408)),'자료_한국심리'!$G3408,"")</f>
        <v/>
      </c>
      <c r="X3424">
        <f>IF(AND(ISNUMBER('자료_한국심리'!$J3408),ISNUMBER('자료_한국심리'!$K3408)),'자료_한국심리'!$J3408,"")</f>
        <v/>
      </c>
      <c r="Y3424">
        <f>IF(AND(ISNUMBER('자료_한국심리'!$M3408),ISNUMBER('자료_한국심리'!$N3408)),'자료_한국심리'!$M3408,"")</f>
        <v/>
      </c>
    </row>
    <row r="3425">
      <c r="U3425">
        <f>IF(AND(ISNUMBER('자료_한국심리'!$A3409),ISNUMBER('자료_한국심리'!$B3409)),'자료_한국심리'!$A3409,"")</f>
        <v/>
      </c>
      <c r="V3425">
        <f>IF(AND(ISNUMBER('자료_한국심리'!$D3409),ISNUMBER('자료_한국심리'!$E3409)),'자료_한국심리'!$D3409,"")</f>
        <v/>
      </c>
      <c r="W3425">
        <f>IF(AND(ISNUMBER('자료_한국심리'!$G3409),ISNUMBER('자료_한국심리'!$H3409)),'자료_한국심리'!$G3409,"")</f>
        <v/>
      </c>
      <c r="X3425">
        <f>IF(AND(ISNUMBER('자료_한국심리'!$J3409),ISNUMBER('자료_한국심리'!$K3409)),'자료_한국심리'!$J3409,"")</f>
        <v/>
      </c>
      <c r="Y3425">
        <f>IF(AND(ISNUMBER('자료_한국심리'!$M3409),ISNUMBER('자료_한국심리'!$N3409)),'자료_한국심리'!$M3409,"")</f>
        <v/>
      </c>
    </row>
    <row r="3426">
      <c r="U3426">
        <f>IF(AND(ISNUMBER('자료_한국심리'!$A3410),ISNUMBER('자료_한국심리'!$B3410)),'자료_한국심리'!$A3410,"")</f>
        <v/>
      </c>
      <c r="V3426">
        <f>IF(AND(ISNUMBER('자료_한국심리'!$D3410),ISNUMBER('자료_한국심리'!$E3410)),'자료_한국심리'!$D3410,"")</f>
        <v/>
      </c>
      <c r="W3426">
        <f>IF(AND(ISNUMBER('자료_한국심리'!$G3410),ISNUMBER('자료_한국심리'!$H3410)),'자료_한국심리'!$G3410,"")</f>
        <v/>
      </c>
      <c r="X3426">
        <f>IF(AND(ISNUMBER('자료_한국심리'!$J3410),ISNUMBER('자료_한국심리'!$K3410)),'자료_한국심리'!$J3410,"")</f>
        <v/>
      </c>
      <c r="Y3426">
        <f>IF(AND(ISNUMBER('자료_한국심리'!$M3410),ISNUMBER('자료_한국심리'!$N3410)),'자료_한국심리'!$M3410,"")</f>
        <v/>
      </c>
    </row>
    <row r="3427">
      <c r="U3427">
        <f>IF(AND(ISNUMBER('자료_한국심리'!$A3411),ISNUMBER('자료_한국심리'!$B3411)),'자료_한국심리'!$A3411,"")</f>
        <v/>
      </c>
      <c r="V3427">
        <f>IF(AND(ISNUMBER('자료_한국심리'!$D3411),ISNUMBER('자료_한국심리'!$E3411)),'자료_한국심리'!$D3411,"")</f>
        <v/>
      </c>
      <c r="W3427">
        <f>IF(AND(ISNUMBER('자료_한국심리'!$G3411),ISNUMBER('자료_한국심리'!$H3411)),'자료_한국심리'!$G3411,"")</f>
        <v/>
      </c>
      <c r="X3427">
        <f>IF(AND(ISNUMBER('자료_한국심리'!$J3411),ISNUMBER('자료_한국심리'!$K3411)),'자료_한국심리'!$J3411,"")</f>
        <v/>
      </c>
      <c r="Y3427">
        <f>IF(AND(ISNUMBER('자료_한국심리'!$M3411),ISNUMBER('자료_한국심리'!$N3411)),'자료_한국심리'!$M3411,"")</f>
        <v/>
      </c>
    </row>
    <row r="3428">
      <c r="U3428">
        <f>IF(AND(ISNUMBER('자료_한국심리'!$A3412),ISNUMBER('자료_한국심리'!$B3412)),'자료_한국심리'!$A3412,"")</f>
        <v/>
      </c>
      <c r="V3428">
        <f>IF(AND(ISNUMBER('자료_한국심리'!$D3412),ISNUMBER('자료_한국심리'!$E3412)),'자료_한국심리'!$D3412,"")</f>
        <v/>
      </c>
      <c r="W3428">
        <f>IF(AND(ISNUMBER('자료_한국심리'!$G3412),ISNUMBER('자료_한국심리'!$H3412)),'자료_한국심리'!$G3412,"")</f>
        <v/>
      </c>
      <c r="X3428">
        <f>IF(AND(ISNUMBER('자료_한국심리'!$J3412),ISNUMBER('자료_한국심리'!$K3412)),'자료_한국심리'!$J3412,"")</f>
        <v/>
      </c>
      <c r="Y3428">
        <f>IF(AND(ISNUMBER('자료_한국심리'!$M3412),ISNUMBER('자료_한국심리'!$N3412)),'자료_한국심리'!$M3412,"")</f>
        <v/>
      </c>
    </row>
    <row r="3429">
      <c r="U3429">
        <f>IF(AND(ISNUMBER('자료_한국심리'!$A3413),ISNUMBER('자료_한국심리'!$B3413)),'자료_한국심리'!$A3413,"")</f>
        <v/>
      </c>
      <c r="V3429">
        <f>IF(AND(ISNUMBER('자료_한국심리'!$D3413),ISNUMBER('자료_한국심리'!$E3413)),'자료_한국심리'!$D3413,"")</f>
        <v/>
      </c>
      <c r="W3429">
        <f>IF(AND(ISNUMBER('자료_한국심리'!$G3413),ISNUMBER('자료_한국심리'!$H3413)),'자료_한국심리'!$G3413,"")</f>
        <v/>
      </c>
      <c r="X3429">
        <f>IF(AND(ISNUMBER('자료_한국심리'!$J3413),ISNUMBER('자료_한국심리'!$K3413)),'자료_한국심리'!$J3413,"")</f>
        <v/>
      </c>
      <c r="Y3429">
        <f>IF(AND(ISNUMBER('자료_한국심리'!$M3413),ISNUMBER('자료_한국심리'!$N3413)),'자료_한국심리'!$M3413,"")</f>
        <v/>
      </c>
    </row>
    <row r="3430">
      <c r="U3430">
        <f>IF(AND(ISNUMBER('자료_한국심리'!$A3414),ISNUMBER('자료_한국심리'!$B3414)),'자료_한국심리'!$A3414,"")</f>
        <v/>
      </c>
      <c r="V3430">
        <f>IF(AND(ISNUMBER('자료_한국심리'!$D3414),ISNUMBER('자료_한국심리'!$E3414)),'자료_한국심리'!$D3414,"")</f>
        <v/>
      </c>
      <c r="W3430">
        <f>IF(AND(ISNUMBER('자료_한국심리'!$G3414),ISNUMBER('자료_한국심리'!$H3414)),'자료_한국심리'!$G3414,"")</f>
        <v/>
      </c>
      <c r="X3430">
        <f>IF(AND(ISNUMBER('자료_한국심리'!$J3414),ISNUMBER('자료_한국심리'!$K3414)),'자료_한국심리'!$J3414,"")</f>
        <v/>
      </c>
      <c r="Y3430">
        <f>IF(AND(ISNUMBER('자료_한국심리'!$M3414),ISNUMBER('자료_한국심리'!$N3414)),'자료_한국심리'!$M3414,"")</f>
        <v/>
      </c>
    </row>
    <row r="3431">
      <c r="U3431">
        <f>IF(AND(ISNUMBER('자료_한국심리'!$A3415),ISNUMBER('자료_한국심리'!$B3415)),'자료_한국심리'!$A3415,"")</f>
        <v/>
      </c>
      <c r="V3431">
        <f>IF(AND(ISNUMBER('자료_한국심리'!$D3415),ISNUMBER('자료_한국심리'!$E3415)),'자료_한국심리'!$D3415,"")</f>
        <v/>
      </c>
      <c r="W3431">
        <f>IF(AND(ISNUMBER('자료_한국심리'!$G3415),ISNUMBER('자료_한국심리'!$H3415)),'자료_한국심리'!$G3415,"")</f>
        <v/>
      </c>
      <c r="X3431">
        <f>IF(AND(ISNUMBER('자료_한국심리'!$J3415),ISNUMBER('자료_한국심리'!$K3415)),'자료_한국심리'!$J3415,"")</f>
        <v/>
      </c>
      <c r="Y3431">
        <f>IF(AND(ISNUMBER('자료_한국심리'!$M3415),ISNUMBER('자료_한국심리'!$N3415)),'자료_한국심리'!$M3415,"")</f>
        <v/>
      </c>
    </row>
    <row r="3432">
      <c r="U3432">
        <f>IF(AND(ISNUMBER('자료_한국심리'!$A3416),ISNUMBER('자료_한국심리'!$B3416)),'자료_한국심리'!$A3416,"")</f>
        <v/>
      </c>
      <c r="V3432">
        <f>IF(AND(ISNUMBER('자료_한국심리'!$D3416),ISNUMBER('자료_한국심리'!$E3416)),'자료_한국심리'!$D3416,"")</f>
        <v/>
      </c>
      <c r="W3432">
        <f>IF(AND(ISNUMBER('자료_한국심리'!$G3416),ISNUMBER('자료_한국심리'!$H3416)),'자료_한국심리'!$G3416,"")</f>
        <v/>
      </c>
      <c r="X3432">
        <f>IF(AND(ISNUMBER('자료_한국심리'!$J3416),ISNUMBER('자료_한국심리'!$K3416)),'자료_한국심리'!$J3416,"")</f>
        <v/>
      </c>
      <c r="Y3432">
        <f>IF(AND(ISNUMBER('자료_한국심리'!$M3416),ISNUMBER('자료_한국심리'!$N3416)),'자료_한국심리'!$M3416,"")</f>
        <v/>
      </c>
    </row>
    <row r="3433">
      <c r="U3433">
        <f>IF(AND(ISNUMBER('자료_한국심리'!$A3417),ISNUMBER('자료_한국심리'!$B3417)),'자료_한국심리'!$A3417,"")</f>
        <v/>
      </c>
      <c r="V3433">
        <f>IF(AND(ISNUMBER('자료_한국심리'!$D3417),ISNUMBER('자료_한국심리'!$E3417)),'자료_한국심리'!$D3417,"")</f>
        <v/>
      </c>
      <c r="W3433">
        <f>IF(AND(ISNUMBER('자료_한국심리'!$G3417),ISNUMBER('자료_한국심리'!$H3417)),'자료_한국심리'!$G3417,"")</f>
        <v/>
      </c>
      <c r="X3433">
        <f>IF(AND(ISNUMBER('자료_한국심리'!$J3417),ISNUMBER('자료_한국심리'!$K3417)),'자료_한국심리'!$J3417,"")</f>
        <v/>
      </c>
      <c r="Y3433">
        <f>IF(AND(ISNUMBER('자료_한국심리'!$M3417),ISNUMBER('자료_한국심리'!$N3417)),'자료_한국심리'!$M3417,"")</f>
        <v/>
      </c>
    </row>
    <row r="3434">
      <c r="U3434">
        <f>IF(AND(ISNUMBER('자료_한국심리'!$A3418),ISNUMBER('자료_한국심리'!$B3418)),'자료_한국심리'!$A3418,"")</f>
        <v/>
      </c>
      <c r="V3434">
        <f>IF(AND(ISNUMBER('자료_한국심리'!$D3418),ISNUMBER('자료_한국심리'!$E3418)),'자료_한국심리'!$D3418,"")</f>
        <v/>
      </c>
      <c r="W3434">
        <f>IF(AND(ISNUMBER('자료_한국심리'!$G3418),ISNUMBER('자료_한국심리'!$H3418)),'자료_한국심리'!$G3418,"")</f>
        <v/>
      </c>
      <c r="X3434">
        <f>IF(AND(ISNUMBER('자료_한국심리'!$J3418),ISNUMBER('자료_한국심리'!$K3418)),'자료_한국심리'!$J3418,"")</f>
        <v/>
      </c>
      <c r="Y3434">
        <f>IF(AND(ISNUMBER('자료_한국심리'!$M3418),ISNUMBER('자료_한국심리'!$N3418)),'자료_한국심리'!$M3418,"")</f>
        <v/>
      </c>
    </row>
    <row r="3435">
      <c r="U3435">
        <f>IF(AND(ISNUMBER('자료_한국심리'!$A3419),ISNUMBER('자료_한국심리'!$B3419)),'자료_한국심리'!$A3419,"")</f>
        <v/>
      </c>
      <c r="V3435">
        <f>IF(AND(ISNUMBER('자료_한국심리'!$D3419),ISNUMBER('자료_한국심리'!$E3419)),'자료_한국심리'!$D3419,"")</f>
        <v/>
      </c>
      <c r="W3435">
        <f>IF(AND(ISNUMBER('자료_한국심리'!$G3419),ISNUMBER('자료_한국심리'!$H3419)),'자료_한국심리'!$G3419,"")</f>
        <v/>
      </c>
      <c r="X3435">
        <f>IF(AND(ISNUMBER('자료_한국심리'!$J3419),ISNUMBER('자료_한국심리'!$K3419)),'자료_한국심리'!$J3419,"")</f>
        <v/>
      </c>
      <c r="Y3435">
        <f>IF(AND(ISNUMBER('자료_한국심리'!$M3419),ISNUMBER('자료_한국심리'!$N3419)),'자료_한국심리'!$M3419,"")</f>
        <v/>
      </c>
    </row>
    <row r="3436">
      <c r="U3436">
        <f>IF(AND(ISNUMBER('자료_한국심리'!$A3420),ISNUMBER('자료_한국심리'!$B3420)),'자료_한국심리'!$A3420,"")</f>
        <v/>
      </c>
      <c r="V3436">
        <f>IF(AND(ISNUMBER('자료_한국심리'!$D3420),ISNUMBER('자료_한국심리'!$E3420)),'자료_한국심리'!$D3420,"")</f>
        <v/>
      </c>
      <c r="W3436">
        <f>IF(AND(ISNUMBER('자료_한국심리'!$G3420),ISNUMBER('자료_한국심리'!$H3420)),'자료_한국심리'!$G3420,"")</f>
        <v/>
      </c>
      <c r="X3436">
        <f>IF(AND(ISNUMBER('자료_한국심리'!$J3420),ISNUMBER('자료_한국심리'!$K3420)),'자료_한국심리'!$J3420,"")</f>
        <v/>
      </c>
      <c r="Y3436">
        <f>IF(AND(ISNUMBER('자료_한국심리'!$M3420),ISNUMBER('자료_한국심리'!$N3420)),'자료_한국심리'!$M3420,"")</f>
        <v/>
      </c>
    </row>
    <row r="3437">
      <c r="U3437">
        <f>IF(AND(ISNUMBER('자료_한국심리'!$A3421),ISNUMBER('자료_한국심리'!$B3421)),'자료_한국심리'!$A3421,"")</f>
        <v/>
      </c>
      <c r="V3437">
        <f>IF(AND(ISNUMBER('자료_한국심리'!$D3421),ISNUMBER('자료_한국심리'!$E3421)),'자료_한국심리'!$D3421,"")</f>
        <v/>
      </c>
      <c r="W3437">
        <f>IF(AND(ISNUMBER('자료_한국심리'!$G3421),ISNUMBER('자료_한국심리'!$H3421)),'자료_한국심리'!$G3421,"")</f>
        <v/>
      </c>
      <c r="X3437">
        <f>IF(AND(ISNUMBER('자료_한국심리'!$J3421),ISNUMBER('자료_한국심리'!$K3421)),'자료_한국심리'!$J3421,"")</f>
        <v/>
      </c>
      <c r="Y3437">
        <f>IF(AND(ISNUMBER('자료_한국심리'!$M3421),ISNUMBER('자료_한국심리'!$N3421)),'자료_한국심리'!$M3421,"")</f>
        <v/>
      </c>
    </row>
    <row r="3438">
      <c r="U3438">
        <f>IF(AND(ISNUMBER('자료_한국심리'!$A3422),ISNUMBER('자료_한국심리'!$B3422)),'자료_한국심리'!$A3422,"")</f>
        <v/>
      </c>
      <c r="V3438">
        <f>IF(AND(ISNUMBER('자료_한국심리'!$D3422),ISNUMBER('자료_한국심리'!$E3422)),'자료_한국심리'!$D3422,"")</f>
        <v/>
      </c>
      <c r="W3438">
        <f>IF(AND(ISNUMBER('자료_한국심리'!$G3422),ISNUMBER('자료_한국심리'!$H3422)),'자료_한국심리'!$G3422,"")</f>
        <v/>
      </c>
      <c r="X3438">
        <f>IF(AND(ISNUMBER('자료_한국심리'!$J3422),ISNUMBER('자료_한국심리'!$K3422)),'자료_한국심리'!$J3422,"")</f>
        <v/>
      </c>
      <c r="Y3438">
        <f>IF(AND(ISNUMBER('자료_한국심리'!$M3422),ISNUMBER('자료_한국심리'!$N3422)),'자료_한국심리'!$M3422,"")</f>
        <v/>
      </c>
    </row>
    <row r="3439">
      <c r="U3439">
        <f>IF(AND(ISNUMBER('자료_한국심리'!$A3423),ISNUMBER('자료_한국심리'!$B3423)),'자료_한국심리'!$A3423,"")</f>
        <v/>
      </c>
      <c r="V3439">
        <f>IF(AND(ISNUMBER('자료_한국심리'!$D3423),ISNUMBER('자료_한국심리'!$E3423)),'자료_한국심리'!$D3423,"")</f>
        <v/>
      </c>
      <c r="W3439">
        <f>IF(AND(ISNUMBER('자료_한국심리'!$G3423),ISNUMBER('자료_한국심리'!$H3423)),'자료_한국심리'!$G3423,"")</f>
        <v/>
      </c>
      <c r="X3439">
        <f>IF(AND(ISNUMBER('자료_한국심리'!$J3423),ISNUMBER('자료_한국심리'!$K3423)),'자료_한국심리'!$J3423,"")</f>
        <v/>
      </c>
      <c r="Y3439">
        <f>IF(AND(ISNUMBER('자료_한국심리'!$M3423),ISNUMBER('자료_한국심리'!$N3423)),'자료_한국심리'!$M3423,"")</f>
        <v/>
      </c>
    </row>
    <row r="3440">
      <c r="U3440">
        <f>IF(AND(ISNUMBER('자료_한국심리'!$A3424),ISNUMBER('자료_한국심리'!$B3424)),'자료_한국심리'!$A3424,"")</f>
        <v/>
      </c>
      <c r="V3440">
        <f>IF(AND(ISNUMBER('자료_한국심리'!$D3424),ISNUMBER('자료_한국심리'!$E3424)),'자료_한국심리'!$D3424,"")</f>
        <v/>
      </c>
      <c r="W3440">
        <f>IF(AND(ISNUMBER('자료_한국심리'!$G3424),ISNUMBER('자료_한국심리'!$H3424)),'자료_한국심리'!$G3424,"")</f>
        <v/>
      </c>
      <c r="X3440">
        <f>IF(AND(ISNUMBER('자료_한국심리'!$J3424),ISNUMBER('자료_한국심리'!$K3424)),'자료_한국심리'!$J3424,"")</f>
        <v/>
      </c>
      <c r="Y3440">
        <f>IF(AND(ISNUMBER('자료_한국심리'!$M3424),ISNUMBER('자료_한국심리'!$N3424)),'자료_한국심리'!$M3424,"")</f>
        <v/>
      </c>
    </row>
    <row r="3441">
      <c r="U3441">
        <f>IF(AND(ISNUMBER('자료_한국심리'!$A3425),ISNUMBER('자료_한국심리'!$B3425)),'자료_한국심리'!$A3425,"")</f>
        <v/>
      </c>
      <c r="V3441">
        <f>IF(AND(ISNUMBER('자료_한국심리'!$D3425),ISNUMBER('자료_한국심리'!$E3425)),'자료_한국심리'!$D3425,"")</f>
        <v/>
      </c>
      <c r="W3441">
        <f>IF(AND(ISNUMBER('자료_한국심리'!$G3425),ISNUMBER('자료_한국심리'!$H3425)),'자료_한국심리'!$G3425,"")</f>
        <v/>
      </c>
      <c r="X3441">
        <f>IF(AND(ISNUMBER('자료_한국심리'!$J3425),ISNUMBER('자료_한국심리'!$K3425)),'자료_한국심리'!$J3425,"")</f>
        <v/>
      </c>
      <c r="Y3441">
        <f>IF(AND(ISNUMBER('자료_한국심리'!$M3425),ISNUMBER('자료_한국심리'!$N3425)),'자료_한국심리'!$M3425,"")</f>
        <v/>
      </c>
    </row>
    <row r="3442">
      <c r="U3442">
        <f>IF(AND(ISNUMBER('자료_한국심리'!$A3426),ISNUMBER('자료_한국심리'!$B3426)),'자료_한국심리'!$A3426,"")</f>
        <v/>
      </c>
      <c r="V3442">
        <f>IF(AND(ISNUMBER('자료_한국심리'!$D3426),ISNUMBER('자료_한국심리'!$E3426)),'자료_한국심리'!$D3426,"")</f>
        <v/>
      </c>
      <c r="W3442">
        <f>IF(AND(ISNUMBER('자료_한국심리'!$G3426),ISNUMBER('자료_한국심리'!$H3426)),'자료_한국심리'!$G3426,"")</f>
        <v/>
      </c>
      <c r="X3442">
        <f>IF(AND(ISNUMBER('자료_한국심리'!$J3426),ISNUMBER('자료_한국심리'!$K3426)),'자료_한국심리'!$J3426,"")</f>
        <v/>
      </c>
      <c r="Y3442">
        <f>IF(AND(ISNUMBER('자료_한국심리'!$M3426),ISNUMBER('자료_한국심리'!$N3426)),'자료_한국심리'!$M3426,"")</f>
        <v/>
      </c>
    </row>
    <row r="3443">
      <c r="U3443">
        <f>IF(AND(ISNUMBER('자료_한국심리'!$A3427),ISNUMBER('자료_한국심리'!$B3427)),'자료_한국심리'!$A3427,"")</f>
        <v/>
      </c>
      <c r="V3443">
        <f>IF(AND(ISNUMBER('자료_한국심리'!$D3427),ISNUMBER('자료_한국심리'!$E3427)),'자료_한국심리'!$D3427,"")</f>
        <v/>
      </c>
      <c r="W3443">
        <f>IF(AND(ISNUMBER('자료_한국심리'!$G3427),ISNUMBER('자료_한국심리'!$H3427)),'자료_한국심리'!$G3427,"")</f>
        <v/>
      </c>
      <c r="X3443">
        <f>IF(AND(ISNUMBER('자료_한국심리'!$J3427),ISNUMBER('자료_한국심리'!$K3427)),'자료_한국심리'!$J3427,"")</f>
        <v/>
      </c>
      <c r="Y3443">
        <f>IF(AND(ISNUMBER('자료_한국심리'!$M3427),ISNUMBER('자료_한국심리'!$N3427)),'자료_한국심리'!$M3427,"")</f>
        <v/>
      </c>
    </row>
    <row r="3444">
      <c r="U3444">
        <f>IF(AND(ISNUMBER('자료_한국심리'!$A3428),ISNUMBER('자료_한국심리'!$B3428)),'자료_한국심리'!$A3428,"")</f>
        <v/>
      </c>
      <c r="V3444">
        <f>IF(AND(ISNUMBER('자료_한국심리'!$D3428),ISNUMBER('자료_한국심리'!$E3428)),'자료_한국심리'!$D3428,"")</f>
        <v/>
      </c>
      <c r="W3444">
        <f>IF(AND(ISNUMBER('자료_한국심리'!$G3428),ISNUMBER('자료_한국심리'!$H3428)),'자료_한국심리'!$G3428,"")</f>
        <v/>
      </c>
      <c r="X3444">
        <f>IF(AND(ISNUMBER('자료_한국심리'!$J3428),ISNUMBER('자료_한국심리'!$K3428)),'자료_한국심리'!$J3428,"")</f>
        <v/>
      </c>
      <c r="Y3444">
        <f>IF(AND(ISNUMBER('자료_한국심리'!$M3428),ISNUMBER('자료_한국심리'!$N3428)),'자료_한국심리'!$M3428,"")</f>
        <v/>
      </c>
    </row>
    <row r="3445">
      <c r="U3445">
        <f>IF(AND(ISNUMBER('자료_한국심리'!$A3429),ISNUMBER('자료_한국심리'!$B3429)),'자료_한국심리'!$A3429,"")</f>
        <v/>
      </c>
      <c r="V3445">
        <f>IF(AND(ISNUMBER('자료_한국심리'!$D3429),ISNUMBER('자료_한국심리'!$E3429)),'자료_한국심리'!$D3429,"")</f>
        <v/>
      </c>
      <c r="W3445">
        <f>IF(AND(ISNUMBER('자료_한국심리'!$G3429),ISNUMBER('자료_한국심리'!$H3429)),'자료_한국심리'!$G3429,"")</f>
        <v/>
      </c>
      <c r="X3445">
        <f>IF(AND(ISNUMBER('자료_한국심리'!$J3429),ISNUMBER('자료_한국심리'!$K3429)),'자료_한국심리'!$J3429,"")</f>
        <v/>
      </c>
      <c r="Y3445">
        <f>IF(AND(ISNUMBER('자료_한국심리'!$M3429),ISNUMBER('자료_한국심리'!$N3429)),'자료_한국심리'!$M3429,"")</f>
        <v/>
      </c>
    </row>
    <row r="3446">
      <c r="U3446">
        <f>IF(AND(ISNUMBER('자료_한국심리'!$A3430),ISNUMBER('자료_한국심리'!$B3430)),'자료_한국심리'!$A3430,"")</f>
        <v/>
      </c>
      <c r="V3446">
        <f>IF(AND(ISNUMBER('자료_한국심리'!$D3430),ISNUMBER('자료_한국심리'!$E3430)),'자료_한국심리'!$D3430,"")</f>
        <v/>
      </c>
      <c r="W3446">
        <f>IF(AND(ISNUMBER('자료_한국심리'!$G3430),ISNUMBER('자료_한국심리'!$H3430)),'자료_한국심리'!$G3430,"")</f>
        <v/>
      </c>
      <c r="X3446">
        <f>IF(AND(ISNUMBER('자료_한국심리'!$J3430),ISNUMBER('자료_한국심리'!$K3430)),'자료_한국심리'!$J3430,"")</f>
        <v/>
      </c>
      <c r="Y3446">
        <f>IF(AND(ISNUMBER('자료_한국심리'!$M3430),ISNUMBER('자료_한국심리'!$N3430)),'자료_한국심리'!$M3430,"")</f>
        <v/>
      </c>
    </row>
    <row r="3447">
      <c r="U3447">
        <f>IF(AND(ISNUMBER('자료_한국심리'!$A3431),ISNUMBER('자료_한국심리'!$B3431)),'자료_한국심리'!$A3431,"")</f>
        <v/>
      </c>
      <c r="V3447">
        <f>IF(AND(ISNUMBER('자료_한국심리'!$D3431),ISNUMBER('자료_한국심리'!$E3431)),'자료_한국심리'!$D3431,"")</f>
        <v/>
      </c>
      <c r="W3447">
        <f>IF(AND(ISNUMBER('자료_한국심리'!$G3431),ISNUMBER('자료_한국심리'!$H3431)),'자료_한국심리'!$G3431,"")</f>
        <v/>
      </c>
      <c r="X3447">
        <f>IF(AND(ISNUMBER('자료_한국심리'!$J3431),ISNUMBER('자료_한국심리'!$K3431)),'자료_한국심리'!$J3431,"")</f>
        <v/>
      </c>
      <c r="Y3447">
        <f>IF(AND(ISNUMBER('자료_한국심리'!$M3431),ISNUMBER('자료_한국심리'!$N3431)),'자료_한국심리'!$M3431,"")</f>
        <v/>
      </c>
    </row>
    <row r="3448">
      <c r="U3448">
        <f>IF(AND(ISNUMBER('자료_한국심리'!$A3432),ISNUMBER('자료_한국심리'!$B3432)),'자료_한국심리'!$A3432,"")</f>
        <v/>
      </c>
      <c r="V3448">
        <f>IF(AND(ISNUMBER('자료_한국심리'!$D3432),ISNUMBER('자료_한국심리'!$E3432)),'자료_한국심리'!$D3432,"")</f>
        <v/>
      </c>
      <c r="W3448">
        <f>IF(AND(ISNUMBER('자료_한국심리'!$G3432),ISNUMBER('자료_한국심리'!$H3432)),'자료_한국심리'!$G3432,"")</f>
        <v/>
      </c>
      <c r="X3448">
        <f>IF(AND(ISNUMBER('자료_한국심리'!$J3432),ISNUMBER('자료_한국심리'!$K3432)),'자료_한국심리'!$J3432,"")</f>
        <v/>
      </c>
      <c r="Y3448">
        <f>IF(AND(ISNUMBER('자료_한국심리'!$M3432),ISNUMBER('자료_한국심리'!$N3432)),'자료_한국심리'!$M3432,"")</f>
        <v/>
      </c>
    </row>
    <row r="3449">
      <c r="U3449">
        <f>IF(AND(ISNUMBER('자료_한국심리'!$A3433),ISNUMBER('자료_한국심리'!$B3433)),'자료_한국심리'!$A3433,"")</f>
        <v/>
      </c>
      <c r="V3449">
        <f>IF(AND(ISNUMBER('자료_한국심리'!$D3433),ISNUMBER('자료_한국심리'!$E3433)),'자료_한국심리'!$D3433,"")</f>
        <v/>
      </c>
      <c r="W3449">
        <f>IF(AND(ISNUMBER('자료_한국심리'!$G3433),ISNUMBER('자료_한국심리'!$H3433)),'자료_한국심리'!$G3433,"")</f>
        <v/>
      </c>
      <c r="X3449">
        <f>IF(AND(ISNUMBER('자료_한국심리'!$J3433),ISNUMBER('자료_한국심리'!$K3433)),'자료_한국심리'!$J3433,"")</f>
        <v/>
      </c>
      <c r="Y3449">
        <f>IF(AND(ISNUMBER('자료_한국심리'!$M3433),ISNUMBER('자료_한국심리'!$N3433)),'자료_한국심리'!$M3433,"")</f>
        <v/>
      </c>
    </row>
    <row r="3450">
      <c r="U3450">
        <f>IF(AND(ISNUMBER('자료_한국심리'!$A3434),ISNUMBER('자료_한국심리'!$B3434)),'자료_한국심리'!$A3434,"")</f>
        <v/>
      </c>
      <c r="V3450">
        <f>IF(AND(ISNUMBER('자료_한국심리'!$D3434),ISNUMBER('자료_한국심리'!$E3434)),'자료_한국심리'!$D3434,"")</f>
        <v/>
      </c>
      <c r="W3450">
        <f>IF(AND(ISNUMBER('자료_한국심리'!$G3434),ISNUMBER('자료_한국심리'!$H3434)),'자료_한국심리'!$G3434,"")</f>
        <v/>
      </c>
      <c r="X3450">
        <f>IF(AND(ISNUMBER('자료_한국심리'!$J3434),ISNUMBER('자료_한국심리'!$K3434)),'자료_한국심리'!$J3434,"")</f>
        <v/>
      </c>
      <c r="Y3450">
        <f>IF(AND(ISNUMBER('자료_한국심리'!$M3434),ISNUMBER('자료_한국심리'!$N3434)),'자료_한국심리'!$M3434,"")</f>
        <v/>
      </c>
    </row>
    <row r="3451">
      <c r="U3451">
        <f>IF(AND(ISNUMBER('자료_한국심리'!$A3435),ISNUMBER('자료_한국심리'!$B3435)),'자료_한국심리'!$A3435,"")</f>
        <v/>
      </c>
      <c r="V3451">
        <f>IF(AND(ISNUMBER('자료_한국심리'!$D3435),ISNUMBER('자료_한국심리'!$E3435)),'자료_한국심리'!$D3435,"")</f>
        <v/>
      </c>
      <c r="W3451">
        <f>IF(AND(ISNUMBER('자료_한국심리'!$G3435),ISNUMBER('자료_한국심리'!$H3435)),'자료_한국심리'!$G3435,"")</f>
        <v/>
      </c>
      <c r="X3451">
        <f>IF(AND(ISNUMBER('자료_한국심리'!$J3435),ISNUMBER('자료_한국심리'!$K3435)),'자료_한국심리'!$J3435,"")</f>
        <v/>
      </c>
      <c r="Y3451">
        <f>IF(AND(ISNUMBER('자료_한국심리'!$M3435),ISNUMBER('자료_한국심리'!$N3435)),'자료_한국심리'!$M3435,"")</f>
        <v/>
      </c>
    </row>
    <row r="3452">
      <c r="U3452">
        <f>IF(AND(ISNUMBER('자료_한국심리'!$A3436),ISNUMBER('자료_한국심리'!$B3436)),'자료_한국심리'!$A3436,"")</f>
        <v/>
      </c>
      <c r="V3452">
        <f>IF(AND(ISNUMBER('자료_한국심리'!$D3436),ISNUMBER('자료_한국심리'!$E3436)),'자료_한국심리'!$D3436,"")</f>
        <v/>
      </c>
      <c r="W3452">
        <f>IF(AND(ISNUMBER('자료_한국심리'!$G3436),ISNUMBER('자료_한국심리'!$H3436)),'자료_한국심리'!$G3436,"")</f>
        <v/>
      </c>
      <c r="X3452">
        <f>IF(AND(ISNUMBER('자료_한국심리'!$J3436),ISNUMBER('자료_한국심리'!$K3436)),'자료_한국심리'!$J3436,"")</f>
        <v/>
      </c>
      <c r="Y3452">
        <f>IF(AND(ISNUMBER('자료_한국심리'!$M3436),ISNUMBER('자료_한국심리'!$N3436)),'자료_한국심리'!$M3436,"")</f>
        <v/>
      </c>
    </row>
    <row r="3453">
      <c r="U3453">
        <f>IF(AND(ISNUMBER('자료_한국심리'!$A3437),ISNUMBER('자료_한국심리'!$B3437)),'자료_한국심리'!$A3437,"")</f>
        <v/>
      </c>
      <c r="V3453">
        <f>IF(AND(ISNUMBER('자료_한국심리'!$D3437),ISNUMBER('자료_한국심리'!$E3437)),'자료_한국심리'!$D3437,"")</f>
        <v/>
      </c>
      <c r="W3453">
        <f>IF(AND(ISNUMBER('자료_한국심리'!$G3437),ISNUMBER('자료_한국심리'!$H3437)),'자료_한국심리'!$G3437,"")</f>
        <v/>
      </c>
      <c r="X3453">
        <f>IF(AND(ISNUMBER('자료_한국심리'!$J3437),ISNUMBER('자료_한국심리'!$K3437)),'자료_한국심리'!$J3437,"")</f>
        <v/>
      </c>
      <c r="Y3453">
        <f>IF(AND(ISNUMBER('자료_한국심리'!$M3437),ISNUMBER('자료_한국심리'!$N3437)),'자료_한국심리'!$M3437,"")</f>
        <v/>
      </c>
    </row>
    <row r="3454">
      <c r="U3454">
        <f>IF(AND(ISNUMBER('자료_한국심리'!$A3438),ISNUMBER('자료_한국심리'!$B3438)),'자료_한국심리'!$A3438,"")</f>
        <v/>
      </c>
      <c r="V3454">
        <f>IF(AND(ISNUMBER('자료_한국심리'!$D3438),ISNUMBER('자료_한국심리'!$E3438)),'자료_한국심리'!$D3438,"")</f>
        <v/>
      </c>
      <c r="W3454">
        <f>IF(AND(ISNUMBER('자료_한국심리'!$G3438),ISNUMBER('자료_한국심리'!$H3438)),'자료_한국심리'!$G3438,"")</f>
        <v/>
      </c>
      <c r="X3454">
        <f>IF(AND(ISNUMBER('자료_한국심리'!$J3438),ISNUMBER('자료_한국심리'!$K3438)),'자료_한국심리'!$J3438,"")</f>
        <v/>
      </c>
      <c r="Y3454">
        <f>IF(AND(ISNUMBER('자료_한국심리'!$M3438),ISNUMBER('자료_한국심리'!$N3438)),'자료_한국심리'!$M3438,"")</f>
        <v/>
      </c>
    </row>
    <row r="3455">
      <c r="U3455">
        <f>IF(AND(ISNUMBER('자료_한국심리'!$A3439),ISNUMBER('자료_한국심리'!$B3439)),'자료_한국심리'!$A3439,"")</f>
        <v/>
      </c>
      <c r="V3455">
        <f>IF(AND(ISNUMBER('자료_한국심리'!$D3439),ISNUMBER('자료_한국심리'!$E3439)),'자료_한국심리'!$D3439,"")</f>
        <v/>
      </c>
      <c r="W3455">
        <f>IF(AND(ISNUMBER('자료_한국심리'!$G3439),ISNUMBER('자료_한국심리'!$H3439)),'자료_한국심리'!$G3439,"")</f>
        <v/>
      </c>
      <c r="X3455">
        <f>IF(AND(ISNUMBER('자료_한국심리'!$J3439),ISNUMBER('자료_한국심리'!$K3439)),'자료_한국심리'!$J3439,"")</f>
        <v/>
      </c>
      <c r="Y3455">
        <f>IF(AND(ISNUMBER('자료_한국심리'!$M3439),ISNUMBER('자료_한국심리'!$N3439)),'자료_한국심리'!$M3439,"")</f>
        <v/>
      </c>
    </row>
    <row r="3456">
      <c r="U3456">
        <f>IF(AND(ISNUMBER('자료_한국심리'!$A3440),ISNUMBER('자료_한국심리'!$B3440)),'자료_한국심리'!$A3440,"")</f>
        <v/>
      </c>
      <c r="V3456">
        <f>IF(AND(ISNUMBER('자료_한국심리'!$D3440),ISNUMBER('자료_한국심리'!$E3440)),'자료_한국심리'!$D3440,"")</f>
        <v/>
      </c>
      <c r="W3456">
        <f>IF(AND(ISNUMBER('자료_한국심리'!$G3440),ISNUMBER('자료_한국심리'!$H3440)),'자료_한국심리'!$G3440,"")</f>
        <v/>
      </c>
      <c r="X3456">
        <f>IF(AND(ISNUMBER('자료_한국심리'!$J3440),ISNUMBER('자료_한국심리'!$K3440)),'자료_한국심리'!$J3440,"")</f>
        <v/>
      </c>
      <c r="Y3456">
        <f>IF(AND(ISNUMBER('자료_한국심리'!$M3440),ISNUMBER('자료_한국심리'!$N3440)),'자료_한국심리'!$M3440,"")</f>
        <v/>
      </c>
    </row>
    <row r="3457">
      <c r="U3457">
        <f>IF(AND(ISNUMBER('자료_한국심리'!$A3441),ISNUMBER('자료_한국심리'!$B3441)),'자료_한국심리'!$A3441,"")</f>
        <v/>
      </c>
      <c r="V3457">
        <f>IF(AND(ISNUMBER('자료_한국심리'!$D3441),ISNUMBER('자료_한국심리'!$E3441)),'자료_한국심리'!$D3441,"")</f>
        <v/>
      </c>
      <c r="W3457">
        <f>IF(AND(ISNUMBER('자료_한국심리'!$G3441),ISNUMBER('자료_한국심리'!$H3441)),'자료_한국심리'!$G3441,"")</f>
        <v/>
      </c>
      <c r="X3457">
        <f>IF(AND(ISNUMBER('자료_한국심리'!$J3441),ISNUMBER('자료_한국심리'!$K3441)),'자료_한국심리'!$J3441,"")</f>
        <v/>
      </c>
      <c r="Y3457">
        <f>IF(AND(ISNUMBER('자료_한국심리'!$M3441),ISNUMBER('자료_한국심리'!$N3441)),'자료_한국심리'!$M3441,"")</f>
        <v/>
      </c>
    </row>
    <row r="3458">
      <c r="U3458">
        <f>IF(AND(ISNUMBER('자료_한국심리'!$A3442),ISNUMBER('자료_한국심리'!$B3442)),'자료_한국심리'!$A3442,"")</f>
        <v/>
      </c>
      <c r="V3458">
        <f>IF(AND(ISNUMBER('자료_한국심리'!$D3442),ISNUMBER('자료_한국심리'!$E3442)),'자료_한국심리'!$D3442,"")</f>
        <v/>
      </c>
      <c r="W3458">
        <f>IF(AND(ISNUMBER('자료_한국심리'!$G3442),ISNUMBER('자료_한국심리'!$H3442)),'자료_한국심리'!$G3442,"")</f>
        <v/>
      </c>
      <c r="X3458">
        <f>IF(AND(ISNUMBER('자료_한국심리'!$J3442),ISNUMBER('자료_한국심리'!$K3442)),'자료_한국심리'!$J3442,"")</f>
        <v/>
      </c>
      <c r="Y3458">
        <f>IF(AND(ISNUMBER('자료_한국심리'!$M3442),ISNUMBER('자료_한국심리'!$N3442)),'자료_한국심리'!$M3442,"")</f>
        <v/>
      </c>
    </row>
    <row r="3459">
      <c r="U3459">
        <f>IF(AND(ISNUMBER('자료_한국심리'!$A3443),ISNUMBER('자료_한국심리'!$B3443)),'자료_한국심리'!$A3443,"")</f>
        <v/>
      </c>
      <c r="V3459">
        <f>IF(AND(ISNUMBER('자료_한국심리'!$D3443),ISNUMBER('자료_한국심리'!$E3443)),'자료_한국심리'!$D3443,"")</f>
        <v/>
      </c>
      <c r="W3459">
        <f>IF(AND(ISNUMBER('자료_한국심리'!$G3443),ISNUMBER('자료_한국심리'!$H3443)),'자료_한국심리'!$G3443,"")</f>
        <v/>
      </c>
      <c r="X3459">
        <f>IF(AND(ISNUMBER('자료_한국심리'!$J3443),ISNUMBER('자료_한국심리'!$K3443)),'자료_한국심리'!$J3443,"")</f>
        <v/>
      </c>
      <c r="Y3459">
        <f>IF(AND(ISNUMBER('자료_한국심리'!$M3443),ISNUMBER('자료_한국심리'!$N3443)),'자료_한국심리'!$M3443,"")</f>
        <v/>
      </c>
    </row>
    <row r="3460">
      <c r="U3460">
        <f>IF(AND(ISNUMBER('자료_한국심리'!$A3444),ISNUMBER('자료_한국심리'!$B3444)),'자료_한국심리'!$A3444,"")</f>
        <v/>
      </c>
      <c r="V3460">
        <f>IF(AND(ISNUMBER('자료_한국심리'!$D3444),ISNUMBER('자료_한국심리'!$E3444)),'자료_한국심리'!$D3444,"")</f>
        <v/>
      </c>
      <c r="W3460">
        <f>IF(AND(ISNUMBER('자료_한국심리'!$G3444),ISNUMBER('자료_한국심리'!$H3444)),'자료_한국심리'!$G3444,"")</f>
        <v/>
      </c>
      <c r="X3460">
        <f>IF(AND(ISNUMBER('자료_한국심리'!$J3444),ISNUMBER('자료_한국심리'!$K3444)),'자료_한국심리'!$J3444,"")</f>
        <v/>
      </c>
      <c r="Y3460">
        <f>IF(AND(ISNUMBER('자료_한국심리'!$M3444),ISNUMBER('자료_한국심리'!$N3444)),'자료_한국심리'!$M3444,"")</f>
        <v/>
      </c>
    </row>
    <row r="3461">
      <c r="U3461">
        <f>IF(AND(ISNUMBER('자료_한국심리'!$A3445),ISNUMBER('자료_한국심리'!$B3445)),'자료_한국심리'!$A3445,"")</f>
        <v/>
      </c>
      <c r="V3461">
        <f>IF(AND(ISNUMBER('자료_한국심리'!$D3445),ISNUMBER('자료_한국심리'!$E3445)),'자료_한국심리'!$D3445,"")</f>
        <v/>
      </c>
      <c r="W3461">
        <f>IF(AND(ISNUMBER('자료_한국심리'!$G3445),ISNUMBER('자료_한국심리'!$H3445)),'자료_한국심리'!$G3445,"")</f>
        <v/>
      </c>
      <c r="X3461">
        <f>IF(AND(ISNUMBER('자료_한국심리'!$J3445),ISNUMBER('자료_한국심리'!$K3445)),'자료_한국심리'!$J3445,"")</f>
        <v/>
      </c>
      <c r="Y3461">
        <f>IF(AND(ISNUMBER('자료_한국심리'!$M3445),ISNUMBER('자료_한국심리'!$N3445)),'자료_한국심리'!$M3445,"")</f>
        <v/>
      </c>
    </row>
    <row r="3462">
      <c r="U3462">
        <f>IF(AND(ISNUMBER('자료_한국심리'!$A3446),ISNUMBER('자료_한국심리'!$B3446)),'자료_한국심리'!$A3446,"")</f>
        <v/>
      </c>
      <c r="V3462">
        <f>IF(AND(ISNUMBER('자료_한국심리'!$D3446),ISNUMBER('자료_한국심리'!$E3446)),'자료_한국심리'!$D3446,"")</f>
        <v/>
      </c>
      <c r="W3462">
        <f>IF(AND(ISNUMBER('자료_한국심리'!$G3446),ISNUMBER('자료_한국심리'!$H3446)),'자료_한국심리'!$G3446,"")</f>
        <v/>
      </c>
      <c r="X3462">
        <f>IF(AND(ISNUMBER('자료_한국심리'!$J3446),ISNUMBER('자료_한국심리'!$K3446)),'자료_한국심리'!$J3446,"")</f>
        <v/>
      </c>
      <c r="Y3462">
        <f>IF(AND(ISNUMBER('자료_한국심리'!$M3446),ISNUMBER('자료_한국심리'!$N3446)),'자료_한국심리'!$M3446,"")</f>
        <v/>
      </c>
    </row>
    <row r="3463">
      <c r="U3463">
        <f>IF(AND(ISNUMBER('자료_한국심리'!$A3447),ISNUMBER('자료_한국심리'!$B3447)),'자료_한국심리'!$A3447,"")</f>
        <v/>
      </c>
      <c r="V3463">
        <f>IF(AND(ISNUMBER('자료_한국심리'!$D3447),ISNUMBER('자료_한국심리'!$E3447)),'자료_한국심리'!$D3447,"")</f>
        <v/>
      </c>
      <c r="W3463">
        <f>IF(AND(ISNUMBER('자료_한국심리'!$G3447),ISNUMBER('자료_한국심리'!$H3447)),'자료_한국심리'!$G3447,"")</f>
        <v/>
      </c>
      <c r="X3463">
        <f>IF(AND(ISNUMBER('자료_한국심리'!$J3447),ISNUMBER('자료_한국심리'!$K3447)),'자료_한국심리'!$J3447,"")</f>
        <v/>
      </c>
      <c r="Y3463">
        <f>IF(AND(ISNUMBER('자료_한국심리'!$M3447),ISNUMBER('자료_한국심리'!$N3447)),'자료_한국심리'!$M3447,"")</f>
        <v/>
      </c>
    </row>
    <row r="3464">
      <c r="U3464">
        <f>IF(AND(ISNUMBER('자료_한국심리'!$A3448),ISNUMBER('자료_한국심리'!$B3448)),'자료_한국심리'!$A3448,"")</f>
        <v/>
      </c>
      <c r="V3464">
        <f>IF(AND(ISNUMBER('자료_한국심리'!$D3448),ISNUMBER('자료_한국심리'!$E3448)),'자료_한국심리'!$D3448,"")</f>
        <v/>
      </c>
      <c r="W3464">
        <f>IF(AND(ISNUMBER('자료_한국심리'!$G3448),ISNUMBER('자료_한국심리'!$H3448)),'자료_한국심리'!$G3448,"")</f>
        <v/>
      </c>
      <c r="X3464">
        <f>IF(AND(ISNUMBER('자료_한국심리'!$J3448),ISNUMBER('자료_한국심리'!$K3448)),'자료_한국심리'!$J3448,"")</f>
        <v/>
      </c>
      <c r="Y3464">
        <f>IF(AND(ISNUMBER('자료_한국심리'!$M3448),ISNUMBER('자료_한국심리'!$N3448)),'자료_한국심리'!$M3448,"")</f>
        <v/>
      </c>
    </row>
    <row r="3465">
      <c r="U3465">
        <f>IF(AND(ISNUMBER('자료_한국심리'!$A3449),ISNUMBER('자료_한국심리'!$B3449)),'자료_한국심리'!$A3449,"")</f>
        <v/>
      </c>
      <c r="V3465">
        <f>IF(AND(ISNUMBER('자료_한국심리'!$D3449),ISNUMBER('자료_한국심리'!$E3449)),'자료_한국심리'!$D3449,"")</f>
        <v/>
      </c>
      <c r="W3465">
        <f>IF(AND(ISNUMBER('자료_한국심리'!$G3449),ISNUMBER('자료_한국심리'!$H3449)),'자료_한국심리'!$G3449,"")</f>
        <v/>
      </c>
      <c r="X3465">
        <f>IF(AND(ISNUMBER('자료_한국심리'!$J3449),ISNUMBER('자료_한국심리'!$K3449)),'자료_한국심리'!$J3449,"")</f>
        <v/>
      </c>
      <c r="Y3465">
        <f>IF(AND(ISNUMBER('자료_한국심리'!$M3449),ISNUMBER('자료_한국심리'!$N3449)),'자료_한국심리'!$M3449,"")</f>
        <v/>
      </c>
    </row>
    <row r="3466">
      <c r="U3466">
        <f>IF(AND(ISNUMBER('자료_한국심리'!$A3450),ISNUMBER('자료_한국심리'!$B3450)),'자료_한국심리'!$A3450,"")</f>
        <v/>
      </c>
      <c r="V3466">
        <f>IF(AND(ISNUMBER('자료_한국심리'!$D3450),ISNUMBER('자료_한국심리'!$E3450)),'자료_한국심리'!$D3450,"")</f>
        <v/>
      </c>
      <c r="W3466">
        <f>IF(AND(ISNUMBER('자료_한국심리'!$G3450),ISNUMBER('자료_한국심리'!$H3450)),'자료_한국심리'!$G3450,"")</f>
        <v/>
      </c>
      <c r="X3466">
        <f>IF(AND(ISNUMBER('자료_한국심리'!$J3450),ISNUMBER('자료_한국심리'!$K3450)),'자료_한국심리'!$J3450,"")</f>
        <v/>
      </c>
      <c r="Y3466">
        <f>IF(AND(ISNUMBER('자료_한국심리'!$M3450),ISNUMBER('자료_한국심리'!$N3450)),'자료_한국심리'!$M3450,"")</f>
        <v/>
      </c>
    </row>
    <row r="3467">
      <c r="U3467">
        <f>IF(AND(ISNUMBER('자료_한국심리'!$A3451),ISNUMBER('자료_한국심리'!$B3451)),'자료_한국심리'!$A3451,"")</f>
        <v/>
      </c>
      <c r="V3467">
        <f>IF(AND(ISNUMBER('자료_한국심리'!$D3451),ISNUMBER('자료_한국심리'!$E3451)),'자료_한국심리'!$D3451,"")</f>
        <v/>
      </c>
      <c r="W3467">
        <f>IF(AND(ISNUMBER('자료_한국심리'!$G3451),ISNUMBER('자료_한국심리'!$H3451)),'자료_한국심리'!$G3451,"")</f>
        <v/>
      </c>
      <c r="X3467">
        <f>IF(AND(ISNUMBER('자료_한국심리'!$J3451),ISNUMBER('자료_한국심리'!$K3451)),'자료_한국심리'!$J3451,"")</f>
        <v/>
      </c>
      <c r="Y3467">
        <f>IF(AND(ISNUMBER('자료_한국심리'!$M3451),ISNUMBER('자료_한국심리'!$N3451)),'자료_한국심리'!$M3451,"")</f>
        <v/>
      </c>
    </row>
    <row r="3468">
      <c r="U3468">
        <f>IF(AND(ISNUMBER('자료_한국심리'!$A3452),ISNUMBER('자료_한국심리'!$B3452)),'자료_한국심리'!$A3452,"")</f>
        <v/>
      </c>
      <c r="V3468">
        <f>IF(AND(ISNUMBER('자료_한국심리'!$D3452),ISNUMBER('자료_한국심리'!$E3452)),'자료_한국심리'!$D3452,"")</f>
        <v/>
      </c>
      <c r="W3468">
        <f>IF(AND(ISNUMBER('자료_한국심리'!$G3452),ISNUMBER('자료_한국심리'!$H3452)),'자료_한국심리'!$G3452,"")</f>
        <v/>
      </c>
      <c r="X3468">
        <f>IF(AND(ISNUMBER('자료_한국심리'!$J3452),ISNUMBER('자료_한국심리'!$K3452)),'자료_한국심리'!$J3452,"")</f>
        <v/>
      </c>
      <c r="Y3468">
        <f>IF(AND(ISNUMBER('자료_한국심리'!$M3452),ISNUMBER('자료_한국심리'!$N3452)),'자료_한국심리'!$M3452,"")</f>
        <v/>
      </c>
    </row>
    <row r="3469">
      <c r="U3469">
        <f>IF(AND(ISNUMBER('자료_한국심리'!$A3453),ISNUMBER('자료_한국심리'!$B3453)),'자료_한국심리'!$A3453,"")</f>
        <v/>
      </c>
      <c r="V3469">
        <f>IF(AND(ISNUMBER('자료_한국심리'!$D3453),ISNUMBER('자료_한국심리'!$E3453)),'자료_한국심리'!$D3453,"")</f>
        <v/>
      </c>
      <c r="W3469">
        <f>IF(AND(ISNUMBER('자료_한국심리'!$G3453),ISNUMBER('자료_한국심리'!$H3453)),'자료_한국심리'!$G3453,"")</f>
        <v/>
      </c>
      <c r="X3469">
        <f>IF(AND(ISNUMBER('자료_한국심리'!$J3453),ISNUMBER('자료_한국심리'!$K3453)),'자료_한국심리'!$J3453,"")</f>
        <v/>
      </c>
      <c r="Y3469">
        <f>IF(AND(ISNUMBER('자료_한국심리'!$M3453),ISNUMBER('자료_한국심리'!$N3453)),'자료_한국심리'!$M3453,"")</f>
        <v/>
      </c>
    </row>
    <row r="3470">
      <c r="U3470">
        <f>IF(AND(ISNUMBER('자료_한국심리'!$A3454),ISNUMBER('자료_한국심리'!$B3454)),'자료_한국심리'!$A3454,"")</f>
        <v/>
      </c>
      <c r="V3470">
        <f>IF(AND(ISNUMBER('자료_한국심리'!$D3454),ISNUMBER('자료_한국심리'!$E3454)),'자료_한국심리'!$D3454,"")</f>
        <v/>
      </c>
      <c r="W3470">
        <f>IF(AND(ISNUMBER('자료_한국심리'!$G3454),ISNUMBER('자료_한국심리'!$H3454)),'자료_한국심리'!$G3454,"")</f>
        <v/>
      </c>
      <c r="X3470">
        <f>IF(AND(ISNUMBER('자료_한국심리'!$J3454),ISNUMBER('자료_한국심리'!$K3454)),'자료_한국심리'!$J3454,"")</f>
        <v/>
      </c>
      <c r="Y3470">
        <f>IF(AND(ISNUMBER('자료_한국심리'!$M3454),ISNUMBER('자료_한국심리'!$N3454)),'자료_한국심리'!$M3454,"")</f>
        <v/>
      </c>
    </row>
    <row r="3471">
      <c r="U3471">
        <f>IF(AND(ISNUMBER('자료_한국심리'!$A3455),ISNUMBER('자료_한국심리'!$B3455)),'자료_한국심리'!$A3455,"")</f>
        <v/>
      </c>
      <c r="V3471">
        <f>IF(AND(ISNUMBER('자료_한국심리'!$D3455),ISNUMBER('자료_한국심리'!$E3455)),'자료_한국심리'!$D3455,"")</f>
        <v/>
      </c>
      <c r="W3471">
        <f>IF(AND(ISNUMBER('자료_한국심리'!$G3455),ISNUMBER('자료_한국심리'!$H3455)),'자료_한국심리'!$G3455,"")</f>
        <v/>
      </c>
      <c r="X3471">
        <f>IF(AND(ISNUMBER('자료_한국심리'!$J3455),ISNUMBER('자료_한국심리'!$K3455)),'자료_한국심리'!$J3455,"")</f>
        <v/>
      </c>
      <c r="Y3471">
        <f>IF(AND(ISNUMBER('자료_한국심리'!$M3455),ISNUMBER('자료_한국심리'!$N3455)),'자료_한국심리'!$M3455,"")</f>
        <v/>
      </c>
    </row>
    <row r="3472">
      <c r="U3472">
        <f>IF(AND(ISNUMBER('자료_한국심리'!$A3456),ISNUMBER('자료_한국심리'!$B3456)),'자료_한국심리'!$A3456,"")</f>
        <v/>
      </c>
      <c r="V3472">
        <f>IF(AND(ISNUMBER('자료_한국심리'!$D3456),ISNUMBER('자료_한국심리'!$E3456)),'자료_한국심리'!$D3456,"")</f>
        <v/>
      </c>
      <c r="W3472">
        <f>IF(AND(ISNUMBER('자료_한국심리'!$G3456),ISNUMBER('자료_한국심리'!$H3456)),'자료_한국심리'!$G3456,"")</f>
        <v/>
      </c>
      <c r="X3472">
        <f>IF(AND(ISNUMBER('자료_한국심리'!$J3456),ISNUMBER('자료_한국심리'!$K3456)),'자료_한국심리'!$J3456,"")</f>
        <v/>
      </c>
      <c r="Y3472">
        <f>IF(AND(ISNUMBER('자료_한국심리'!$M3456),ISNUMBER('자료_한국심리'!$N3456)),'자료_한국심리'!$M3456,"")</f>
        <v/>
      </c>
    </row>
    <row r="3473">
      <c r="U3473">
        <f>IF(AND(ISNUMBER('자료_한국심리'!$A3457),ISNUMBER('자료_한국심리'!$B3457)),'자료_한국심리'!$A3457,"")</f>
        <v/>
      </c>
      <c r="V3473">
        <f>IF(AND(ISNUMBER('자료_한국심리'!$D3457),ISNUMBER('자료_한국심리'!$E3457)),'자료_한국심리'!$D3457,"")</f>
        <v/>
      </c>
      <c r="W3473">
        <f>IF(AND(ISNUMBER('자료_한국심리'!$G3457),ISNUMBER('자료_한국심리'!$H3457)),'자료_한국심리'!$G3457,"")</f>
        <v/>
      </c>
      <c r="X3473">
        <f>IF(AND(ISNUMBER('자료_한국심리'!$J3457),ISNUMBER('자료_한국심리'!$K3457)),'자료_한국심리'!$J3457,"")</f>
        <v/>
      </c>
      <c r="Y3473">
        <f>IF(AND(ISNUMBER('자료_한국심리'!$M3457),ISNUMBER('자료_한국심리'!$N3457)),'자료_한국심리'!$M3457,"")</f>
        <v/>
      </c>
    </row>
    <row r="3474">
      <c r="U3474">
        <f>IF(AND(ISNUMBER('자료_한국심리'!$A3458),ISNUMBER('자료_한국심리'!$B3458)),'자료_한국심리'!$A3458,"")</f>
        <v/>
      </c>
      <c r="V3474">
        <f>IF(AND(ISNUMBER('자료_한국심리'!$D3458),ISNUMBER('자료_한국심리'!$E3458)),'자료_한국심리'!$D3458,"")</f>
        <v/>
      </c>
      <c r="W3474">
        <f>IF(AND(ISNUMBER('자료_한국심리'!$G3458),ISNUMBER('자료_한국심리'!$H3458)),'자료_한국심리'!$G3458,"")</f>
        <v/>
      </c>
      <c r="X3474">
        <f>IF(AND(ISNUMBER('자료_한국심리'!$J3458),ISNUMBER('자료_한국심리'!$K3458)),'자료_한국심리'!$J3458,"")</f>
        <v/>
      </c>
      <c r="Y3474">
        <f>IF(AND(ISNUMBER('자료_한국심리'!$M3458),ISNUMBER('자료_한국심리'!$N3458)),'자료_한국심리'!$M3458,"")</f>
        <v/>
      </c>
    </row>
    <row r="3475">
      <c r="U3475">
        <f>IF(AND(ISNUMBER('자료_한국심리'!$A3459),ISNUMBER('자료_한국심리'!$B3459)),'자료_한국심리'!$A3459,"")</f>
        <v/>
      </c>
      <c r="V3475">
        <f>IF(AND(ISNUMBER('자료_한국심리'!$D3459),ISNUMBER('자료_한국심리'!$E3459)),'자료_한국심리'!$D3459,"")</f>
        <v/>
      </c>
      <c r="W3475">
        <f>IF(AND(ISNUMBER('자료_한국심리'!$G3459),ISNUMBER('자료_한국심리'!$H3459)),'자료_한국심리'!$G3459,"")</f>
        <v/>
      </c>
      <c r="X3475">
        <f>IF(AND(ISNUMBER('자료_한국심리'!$J3459),ISNUMBER('자료_한국심리'!$K3459)),'자료_한국심리'!$J3459,"")</f>
        <v/>
      </c>
      <c r="Y3475">
        <f>IF(AND(ISNUMBER('자료_한국심리'!$M3459),ISNUMBER('자료_한국심리'!$N3459)),'자료_한국심리'!$M3459,"")</f>
        <v/>
      </c>
    </row>
    <row r="3476">
      <c r="U3476">
        <f>IF(AND(ISNUMBER('자료_한국심리'!$A3460),ISNUMBER('자료_한국심리'!$B3460)),'자료_한국심리'!$A3460,"")</f>
        <v/>
      </c>
      <c r="V3476">
        <f>IF(AND(ISNUMBER('자료_한국심리'!$D3460),ISNUMBER('자료_한국심리'!$E3460)),'자료_한국심리'!$D3460,"")</f>
        <v/>
      </c>
      <c r="W3476">
        <f>IF(AND(ISNUMBER('자료_한국심리'!$G3460),ISNUMBER('자료_한국심리'!$H3460)),'자료_한국심리'!$G3460,"")</f>
        <v/>
      </c>
      <c r="X3476">
        <f>IF(AND(ISNUMBER('자료_한국심리'!$J3460),ISNUMBER('자료_한국심리'!$K3460)),'자료_한국심리'!$J3460,"")</f>
        <v/>
      </c>
      <c r="Y3476">
        <f>IF(AND(ISNUMBER('자료_한국심리'!$M3460),ISNUMBER('자료_한국심리'!$N3460)),'자료_한국심리'!$M3460,"")</f>
        <v/>
      </c>
    </row>
    <row r="3477">
      <c r="U3477">
        <f>IF(AND(ISNUMBER('자료_한국심리'!$A3461),ISNUMBER('자료_한국심리'!$B3461)),'자료_한국심리'!$A3461,"")</f>
        <v/>
      </c>
      <c r="V3477">
        <f>IF(AND(ISNUMBER('자료_한국심리'!$D3461),ISNUMBER('자료_한국심리'!$E3461)),'자료_한국심리'!$D3461,"")</f>
        <v/>
      </c>
      <c r="W3477">
        <f>IF(AND(ISNUMBER('자료_한국심리'!$G3461),ISNUMBER('자료_한국심리'!$H3461)),'자료_한국심리'!$G3461,"")</f>
        <v/>
      </c>
      <c r="X3477">
        <f>IF(AND(ISNUMBER('자료_한국심리'!$J3461),ISNUMBER('자료_한국심리'!$K3461)),'자료_한국심리'!$J3461,"")</f>
        <v/>
      </c>
      <c r="Y3477">
        <f>IF(AND(ISNUMBER('자료_한국심리'!$M3461),ISNUMBER('자료_한국심리'!$N3461)),'자료_한국심리'!$M3461,"")</f>
        <v/>
      </c>
    </row>
    <row r="3478">
      <c r="U3478">
        <f>IF(AND(ISNUMBER('자료_한국심리'!$A3462),ISNUMBER('자료_한국심리'!$B3462)),'자료_한국심리'!$A3462,"")</f>
        <v/>
      </c>
      <c r="V3478">
        <f>IF(AND(ISNUMBER('자료_한국심리'!$D3462),ISNUMBER('자료_한국심리'!$E3462)),'자료_한국심리'!$D3462,"")</f>
        <v/>
      </c>
      <c r="W3478">
        <f>IF(AND(ISNUMBER('자료_한국심리'!$G3462),ISNUMBER('자료_한국심리'!$H3462)),'자료_한국심리'!$G3462,"")</f>
        <v/>
      </c>
      <c r="X3478">
        <f>IF(AND(ISNUMBER('자료_한국심리'!$J3462),ISNUMBER('자료_한국심리'!$K3462)),'자료_한국심리'!$J3462,"")</f>
        <v/>
      </c>
      <c r="Y3478">
        <f>IF(AND(ISNUMBER('자료_한국심리'!$M3462),ISNUMBER('자료_한국심리'!$N3462)),'자료_한국심리'!$M3462,"")</f>
        <v/>
      </c>
    </row>
    <row r="3479">
      <c r="U3479">
        <f>IF(AND(ISNUMBER('자료_한국심리'!$A3463),ISNUMBER('자료_한국심리'!$B3463)),'자료_한국심리'!$A3463,"")</f>
        <v/>
      </c>
      <c r="V3479">
        <f>IF(AND(ISNUMBER('자료_한국심리'!$D3463),ISNUMBER('자료_한국심리'!$E3463)),'자료_한국심리'!$D3463,"")</f>
        <v/>
      </c>
      <c r="W3479">
        <f>IF(AND(ISNUMBER('자료_한국심리'!$G3463),ISNUMBER('자료_한국심리'!$H3463)),'자료_한국심리'!$G3463,"")</f>
        <v/>
      </c>
      <c r="X3479">
        <f>IF(AND(ISNUMBER('자료_한국심리'!$J3463),ISNUMBER('자료_한국심리'!$K3463)),'자료_한국심리'!$J3463,"")</f>
        <v/>
      </c>
      <c r="Y3479">
        <f>IF(AND(ISNUMBER('자료_한국심리'!$M3463),ISNUMBER('자료_한국심리'!$N3463)),'자료_한국심리'!$M3463,"")</f>
        <v/>
      </c>
    </row>
    <row r="3480">
      <c r="U3480">
        <f>IF(AND(ISNUMBER('자료_한국심리'!$A3464),ISNUMBER('자료_한국심리'!$B3464)),'자료_한국심리'!$A3464,"")</f>
        <v/>
      </c>
      <c r="V3480">
        <f>IF(AND(ISNUMBER('자료_한국심리'!$D3464),ISNUMBER('자료_한국심리'!$E3464)),'자료_한국심리'!$D3464,"")</f>
        <v/>
      </c>
      <c r="W3480">
        <f>IF(AND(ISNUMBER('자료_한국심리'!$G3464),ISNUMBER('자료_한국심리'!$H3464)),'자료_한국심리'!$G3464,"")</f>
        <v/>
      </c>
      <c r="X3480">
        <f>IF(AND(ISNUMBER('자료_한국심리'!$J3464),ISNUMBER('자료_한국심리'!$K3464)),'자료_한국심리'!$J3464,"")</f>
        <v/>
      </c>
      <c r="Y3480">
        <f>IF(AND(ISNUMBER('자료_한국심리'!$M3464),ISNUMBER('자료_한국심리'!$N3464)),'자료_한국심리'!$M3464,"")</f>
        <v/>
      </c>
    </row>
    <row r="3481">
      <c r="U3481">
        <f>IF(AND(ISNUMBER('자료_한국심리'!$A3465),ISNUMBER('자료_한국심리'!$B3465)),'자료_한국심리'!$A3465,"")</f>
        <v/>
      </c>
      <c r="V3481">
        <f>IF(AND(ISNUMBER('자료_한국심리'!$D3465),ISNUMBER('자료_한국심리'!$E3465)),'자료_한국심리'!$D3465,"")</f>
        <v/>
      </c>
      <c r="W3481">
        <f>IF(AND(ISNUMBER('자료_한국심리'!$G3465),ISNUMBER('자료_한국심리'!$H3465)),'자료_한국심리'!$G3465,"")</f>
        <v/>
      </c>
      <c r="X3481">
        <f>IF(AND(ISNUMBER('자료_한국심리'!$J3465),ISNUMBER('자료_한국심리'!$K3465)),'자료_한국심리'!$J3465,"")</f>
        <v/>
      </c>
      <c r="Y3481">
        <f>IF(AND(ISNUMBER('자료_한국심리'!$M3465),ISNUMBER('자료_한국심리'!$N3465)),'자료_한국심리'!$M3465,"")</f>
        <v/>
      </c>
    </row>
    <row r="3482">
      <c r="U3482">
        <f>IF(AND(ISNUMBER('자료_한국심리'!$A3466),ISNUMBER('자료_한국심리'!$B3466)),'자료_한국심리'!$A3466,"")</f>
        <v/>
      </c>
      <c r="V3482">
        <f>IF(AND(ISNUMBER('자료_한국심리'!$D3466),ISNUMBER('자료_한국심리'!$E3466)),'자료_한국심리'!$D3466,"")</f>
        <v/>
      </c>
      <c r="W3482">
        <f>IF(AND(ISNUMBER('자료_한국심리'!$G3466),ISNUMBER('자료_한국심리'!$H3466)),'자료_한국심리'!$G3466,"")</f>
        <v/>
      </c>
      <c r="X3482">
        <f>IF(AND(ISNUMBER('자료_한국심리'!$J3466),ISNUMBER('자료_한국심리'!$K3466)),'자료_한국심리'!$J3466,"")</f>
        <v/>
      </c>
      <c r="Y3482">
        <f>IF(AND(ISNUMBER('자료_한국심리'!$M3466),ISNUMBER('자료_한국심리'!$N3466)),'자료_한국심리'!$M3466,"")</f>
        <v/>
      </c>
    </row>
    <row r="3483">
      <c r="U3483">
        <f>IF(AND(ISNUMBER('자료_한국심리'!$A3467),ISNUMBER('자료_한국심리'!$B3467)),'자료_한국심리'!$A3467,"")</f>
        <v/>
      </c>
      <c r="V3483">
        <f>IF(AND(ISNUMBER('자료_한국심리'!$D3467),ISNUMBER('자료_한국심리'!$E3467)),'자료_한국심리'!$D3467,"")</f>
        <v/>
      </c>
      <c r="W3483">
        <f>IF(AND(ISNUMBER('자료_한국심리'!$G3467),ISNUMBER('자료_한국심리'!$H3467)),'자료_한국심리'!$G3467,"")</f>
        <v/>
      </c>
      <c r="X3483">
        <f>IF(AND(ISNUMBER('자료_한국심리'!$J3467),ISNUMBER('자료_한국심리'!$K3467)),'자료_한국심리'!$J3467,"")</f>
        <v/>
      </c>
      <c r="Y3483">
        <f>IF(AND(ISNUMBER('자료_한국심리'!$M3467),ISNUMBER('자료_한국심리'!$N3467)),'자료_한국심리'!$M3467,"")</f>
        <v/>
      </c>
    </row>
    <row r="3484">
      <c r="U3484">
        <f>IF(AND(ISNUMBER('자료_한국심리'!$A3468),ISNUMBER('자료_한국심리'!$B3468)),'자료_한국심리'!$A3468,"")</f>
        <v/>
      </c>
      <c r="V3484">
        <f>IF(AND(ISNUMBER('자료_한국심리'!$D3468),ISNUMBER('자료_한국심리'!$E3468)),'자료_한국심리'!$D3468,"")</f>
        <v/>
      </c>
      <c r="W3484">
        <f>IF(AND(ISNUMBER('자료_한국심리'!$G3468),ISNUMBER('자료_한국심리'!$H3468)),'자료_한국심리'!$G3468,"")</f>
        <v/>
      </c>
      <c r="X3484">
        <f>IF(AND(ISNUMBER('자료_한국심리'!$J3468),ISNUMBER('자료_한국심리'!$K3468)),'자료_한국심리'!$J3468,"")</f>
        <v/>
      </c>
      <c r="Y3484">
        <f>IF(AND(ISNUMBER('자료_한국심리'!$M3468),ISNUMBER('자료_한국심리'!$N3468)),'자료_한국심리'!$M3468,"")</f>
        <v/>
      </c>
    </row>
    <row r="3485">
      <c r="U3485">
        <f>IF(AND(ISNUMBER('자료_한국심리'!$A3469),ISNUMBER('자료_한국심리'!$B3469)),'자료_한국심리'!$A3469,"")</f>
        <v/>
      </c>
      <c r="V3485">
        <f>IF(AND(ISNUMBER('자료_한국심리'!$D3469),ISNUMBER('자료_한국심리'!$E3469)),'자료_한국심리'!$D3469,"")</f>
        <v/>
      </c>
      <c r="W3485">
        <f>IF(AND(ISNUMBER('자료_한국심리'!$G3469),ISNUMBER('자료_한국심리'!$H3469)),'자료_한국심리'!$G3469,"")</f>
        <v/>
      </c>
      <c r="X3485">
        <f>IF(AND(ISNUMBER('자료_한국심리'!$J3469),ISNUMBER('자료_한국심리'!$K3469)),'자료_한국심리'!$J3469,"")</f>
        <v/>
      </c>
      <c r="Y3485">
        <f>IF(AND(ISNUMBER('자료_한국심리'!$M3469),ISNUMBER('자료_한국심리'!$N3469)),'자료_한국심리'!$M3469,"")</f>
        <v/>
      </c>
    </row>
    <row r="3486">
      <c r="U3486">
        <f>IF(AND(ISNUMBER('자료_한국심리'!$A3470),ISNUMBER('자료_한국심리'!$B3470)),'자료_한국심리'!$A3470,"")</f>
        <v/>
      </c>
      <c r="V3486">
        <f>IF(AND(ISNUMBER('자료_한국심리'!$D3470),ISNUMBER('자료_한국심리'!$E3470)),'자료_한국심리'!$D3470,"")</f>
        <v/>
      </c>
      <c r="W3486">
        <f>IF(AND(ISNUMBER('자료_한국심리'!$G3470),ISNUMBER('자료_한국심리'!$H3470)),'자료_한국심리'!$G3470,"")</f>
        <v/>
      </c>
      <c r="X3486">
        <f>IF(AND(ISNUMBER('자료_한국심리'!$J3470),ISNUMBER('자료_한국심리'!$K3470)),'자료_한국심리'!$J3470,"")</f>
        <v/>
      </c>
      <c r="Y3486">
        <f>IF(AND(ISNUMBER('자료_한국심리'!$M3470),ISNUMBER('자료_한국심리'!$N3470)),'자료_한국심리'!$M3470,"")</f>
        <v/>
      </c>
    </row>
    <row r="3487">
      <c r="U3487">
        <f>IF(AND(ISNUMBER('자료_한국심리'!$A3471),ISNUMBER('자료_한국심리'!$B3471)),'자료_한국심리'!$A3471,"")</f>
        <v/>
      </c>
      <c r="V3487">
        <f>IF(AND(ISNUMBER('자료_한국심리'!$D3471),ISNUMBER('자료_한국심리'!$E3471)),'자료_한국심리'!$D3471,"")</f>
        <v/>
      </c>
      <c r="W3487">
        <f>IF(AND(ISNUMBER('자료_한국심리'!$G3471),ISNUMBER('자료_한국심리'!$H3471)),'자료_한국심리'!$G3471,"")</f>
        <v/>
      </c>
      <c r="X3487">
        <f>IF(AND(ISNUMBER('자료_한국심리'!$J3471),ISNUMBER('자료_한국심리'!$K3471)),'자료_한국심리'!$J3471,"")</f>
        <v/>
      </c>
      <c r="Y3487">
        <f>IF(AND(ISNUMBER('자료_한국심리'!$M3471),ISNUMBER('자료_한국심리'!$N3471)),'자료_한국심리'!$M3471,"")</f>
        <v/>
      </c>
    </row>
    <row r="3488">
      <c r="U3488">
        <f>IF(AND(ISNUMBER('자료_한국심리'!$A3472),ISNUMBER('자료_한국심리'!$B3472)),'자료_한국심리'!$A3472,"")</f>
        <v/>
      </c>
      <c r="V3488">
        <f>IF(AND(ISNUMBER('자료_한국심리'!$D3472),ISNUMBER('자료_한국심리'!$E3472)),'자료_한국심리'!$D3472,"")</f>
        <v/>
      </c>
      <c r="W3488">
        <f>IF(AND(ISNUMBER('자료_한국심리'!$G3472),ISNUMBER('자료_한국심리'!$H3472)),'자료_한국심리'!$G3472,"")</f>
        <v/>
      </c>
      <c r="X3488">
        <f>IF(AND(ISNUMBER('자료_한국심리'!$J3472),ISNUMBER('자료_한국심리'!$K3472)),'자료_한국심리'!$J3472,"")</f>
        <v/>
      </c>
      <c r="Y3488">
        <f>IF(AND(ISNUMBER('자료_한국심리'!$M3472),ISNUMBER('자료_한국심리'!$N3472)),'자료_한국심리'!$M3472,"")</f>
        <v/>
      </c>
    </row>
    <row r="3489">
      <c r="U3489">
        <f>IF(AND(ISNUMBER('자료_한국심리'!$A3473),ISNUMBER('자료_한국심리'!$B3473)),'자료_한국심리'!$A3473,"")</f>
        <v/>
      </c>
      <c r="V3489">
        <f>IF(AND(ISNUMBER('자료_한국심리'!$D3473),ISNUMBER('자료_한국심리'!$E3473)),'자료_한국심리'!$D3473,"")</f>
        <v/>
      </c>
      <c r="W3489">
        <f>IF(AND(ISNUMBER('자료_한국심리'!$G3473),ISNUMBER('자료_한국심리'!$H3473)),'자료_한국심리'!$G3473,"")</f>
        <v/>
      </c>
      <c r="X3489">
        <f>IF(AND(ISNUMBER('자료_한국심리'!$J3473),ISNUMBER('자료_한국심리'!$K3473)),'자료_한국심리'!$J3473,"")</f>
        <v/>
      </c>
      <c r="Y3489">
        <f>IF(AND(ISNUMBER('자료_한국심리'!$M3473),ISNUMBER('자료_한국심리'!$N3473)),'자료_한국심리'!$M3473,"")</f>
        <v/>
      </c>
    </row>
    <row r="3490">
      <c r="U3490">
        <f>IF(AND(ISNUMBER('자료_한국심리'!$A3474),ISNUMBER('자료_한국심리'!$B3474)),'자료_한국심리'!$A3474,"")</f>
        <v/>
      </c>
      <c r="V3490">
        <f>IF(AND(ISNUMBER('자료_한국심리'!$D3474),ISNUMBER('자료_한국심리'!$E3474)),'자료_한국심리'!$D3474,"")</f>
        <v/>
      </c>
      <c r="W3490">
        <f>IF(AND(ISNUMBER('자료_한국심리'!$G3474),ISNUMBER('자료_한국심리'!$H3474)),'자료_한국심리'!$G3474,"")</f>
        <v/>
      </c>
      <c r="X3490">
        <f>IF(AND(ISNUMBER('자료_한국심리'!$J3474),ISNUMBER('자료_한국심리'!$K3474)),'자료_한국심리'!$J3474,"")</f>
        <v/>
      </c>
      <c r="Y3490">
        <f>IF(AND(ISNUMBER('자료_한국심리'!$M3474),ISNUMBER('자료_한국심리'!$N3474)),'자료_한국심리'!$M3474,"")</f>
        <v/>
      </c>
    </row>
    <row r="3491">
      <c r="U3491">
        <f>IF(AND(ISNUMBER('자료_한국심리'!$A3475),ISNUMBER('자료_한국심리'!$B3475)),'자료_한국심리'!$A3475,"")</f>
        <v/>
      </c>
      <c r="V3491">
        <f>IF(AND(ISNUMBER('자료_한국심리'!$D3475),ISNUMBER('자료_한국심리'!$E3475)),'자료_한국심리'!$D3475,"")</f>
        <v/>
      </c>
      <c r="W3491">
        <f>IF(AND(ISNUMBER('자료_한국심리'!$G3475),ISNUMBER('자료_한국심리'!$H3475)),'자료_한국심리'!$G3475,"")</f>
        <v/>
      </c>
      <c r="X3491">
        <f>IF(AND(ISNUMBER('자료_한국심리'!$J3475),ISNUMBER('자료_한국심리'!$K3475)),'자료_한국심리'!$J3475,"")</f>
        <v/>
      </c>
      <c r="Y3491">
        <f>IF(AND(ISNUMBER('자료_한국심리'!$M3475),ISNUMBER('자료_한국심리'!$N3475)),'자료_한국심리'!$M3475,"")</f>
        <v/>
      </c>
    </row>
    <row r="3492">
      <c r="U3492">
        <f>IF(AND(ISNUMBER('자료_한국심리'!$A3476),ISNUMBER('자료_한국심리'!$B3476)),'자료_한국심리'!$A3476,"")</f>
        <v/>
      </c>
      <c r="V3492">
        <f>IF(AND(ISNUMBER('자료_한국심리'!$D3476),ISNUMBER('자료_한국심리'!$E3476)),'자료_한국심리'!$D3476,"")</f>
        <v/>
      </c>
      <c r="W3492">
        <f>IF(AND(ISNUMBER('자료_한국심리'!$G3476),ISNUMBER('자료_한국심리'!$H3476)),'자료_한국심리'!$G3476,"")</f>
        <v/>
      </c>
      <c r="X3492">
        <f>IF(AND(ISNUMBER('자료_한국심리'!$J3476),ISNUMBER('자료_한국심리'!$K3476)),'자료_한국심리'!$J3476,"")</f>
        <v/>
      </c>
      <c r="Y3492">
        <f>IF(AND(ISNUMBER('자료_한국심리'!$M3476),ISNUMBER('자료_한국심리'!$N3476)),'자료_한국심리'!$M3476,"")</f>
        <v/>
      </c>
    </row>
    <row r="3493">
      <c r="U3493">
        <f>IF(AND(ISNUMBER('자료_한국심리'!$A3477),ISNUMBER('자료_한국심리'!$B3477)),'자료_한국심리'!$A3477,"")</f>
        <v/>
      </c>
      <c r="V3493">
        <f>IF(AND(ISNUMBER('자료_한국심리'!$D3477),ISNUMBER('자료_한국심리'!$E3477)),'자료_한국심리'!$D3477,"")</f>
        <v/>
      </c>
      <c r="W3493">
        <f>IF(AND(ISNUMBER('자료_한국심리'!$G3477),ISNUMBER('자료_한국심리'!$H3477)),'자료_한국심리'!$G3477,"")</f>
        <v/>
      </c>
      <c r="X3493">
        <f>IF(AND(ISNUMBER('자료_한국심리'!$J3477),ISNUMBER('자료_한국심리'!$K3477)),'자료_한국심리'!$J3477,"")</f>
        <v/>
      </c>
      <c r="Y3493">
        <f>IF(AND(ISNUMBER('자료_한국심리'!$M3477),ISNUMBER('자료_한국심리'!$N3477)),'자료_한국심리'!$M3477,"")</f>
        <v/>
      </c>
    </row>
    <row r="3494">
      <c r="U3494">
        <f>IF(AND(ISNUMBER('자료_한국심리'!$A3478),ISNUMBER('자료_한국심리'!$B3478)),'자료_한국심리'!$A3478,"")</f>
        <v/>
      </c>
      <c r="V3494">
        <f>IF(AND(ISNUMBER('자료_한국심리'!$D3478),ISNUMBER('자료_한국심리'!$E3478)),'자료_한국심리'!$D3478,"")</f>
        <v/>
      </c>
      <c r="W3494">
        <f>IF(AND(ISNUMBER('자료_한국심리'!$G3478),ISNUMBER('자료_한국심리'!$H3478)),'자료_한국심리'!$G3478,"")</f>
        <v/>
      </c>
      <c r="X3494">
        <f>IF(AND(ISNUMBER('자료_한국심리'!$J3478),ISNUMBER('자료_한국심리'!$K3478)),'자료_한국심리'!$J3478,"")</f>
        <v/>
      </c>
      <c r="Y3494">
        <f>IF(AND(ISNUMBER('자료_한국심리'!$M3478),ISNUMBER('자료_한국심리'!$N3478)),'자료_한국심리'!$M3478,"")</f>
        <v/>
      </c>
    </row>
    <row r="3495">
      <c r="U3495">
        <f>IF(AND(ISNUMBER('자료_한국심리'!$A3479),ISNUMBER('자료_한국심리'!$B3479)),'자료_한국심리'!$A3479,"")</f>
        <v/>
      </c>
      <c r="V3495">
        <f>IF(AND(ISNUMBER('자료_한국심리'!$D3479),ISNUMBER('자료_한국심리'!$E3479)),'자료_한국심리'!$D3479,"")</f>
        <v/>
      </c>
      <c r="W3495">
        <f>IF(AND(ISNUMBER('자료_한국심리'!$G3479),ISNUMBER('자료_한국심리'!$H3479)),'자료_한국심리'!$G3479,"")</f>
        <v/>
      </c>
      <c r="X3495">
        <f>IF(AND(ISNUMBER('자료_한국심리'!$J3479),ISNUMBER('자료_한국심리'!$K3479)),'자료_한국심리'!$J3479,"")</f>
        <v/>
      </c>
      <c r="Y3495">
        <f>IF(AND(ISNUMBER('자료_한국심리'!$M3479),ISNUMBER('자료_한국심리'!$N3479)),'자료_한국심리'!$M3479,"")</f>
        <v/>
      </c>
    </row>
    <row r="3496">
      <c r="U3496">
        <f>IF(AND(ISNUMBER('자료_한국심리'!$A3480),ISNUMBER('자료_한국심리'!$B3480)),'자료_한국심리'!$A3480,"")</f>
        <v/>
      </c>
      <c r="V3496">
        <f>IF(AND(ISNUMBER('자료_한국심리'!$D3480),ISNUMBER('자료_한국심리'!$E3480)),'자료_한국심리'!$D3480,"")</f>
        <v/>
      </c>
      <c r="W3496">
        <f>IF(AND(ISNUMBER('자료_한국심리'!$G3480),ISNUMBER('자료_한국심리'!$H3480)),'자료_한국심리'!$G3480,"")</f>
        <v/>
      </c>
      <c r="X3496">
        <f>IF(AND(ISNUMBER('자료_한국심리'!$J3480),ISNUMBER('자료_한국심리'!$K3480)),'자료_한국심리'!$J3480,"")</f>
        <v/>
      </c>
      <c r="Y3496">
        <f>IF(AND(ISNUMBER('자료_한국심리'!$M3480),ISNUMBER('자료_한국심리'!$N3480)),'자료_한국심리'!$M3480,"")</f>
        <v/>
      </c>
    </row>
    <row r="3497">
      <c r="U3497">
        <f>IF(AND(ISNUMBER('자료_한국심리'!$A3481),ISNUMBER('자료_한국심리'!$B3481)),'자료_한국심리'!$A3481,"")</f>
        <v/>
      </c>
      <c r="V3497">
        <f>IF(AND(ISNUMBER('자료_한국심리'!$D3481),ISNUMBER('자료_한국심리'!$E3481)),'자료_한국심리'!$D3481,"")</f>
        <v/>
      </c>
      <c r="W3497">
        <f>IF(AND(ISNUMBER('자료_한국심리'!$G3481),ISNUMBER('자료_한국심리'!$H3481)),'자료_한국심리'!$G3481,"")</f>
        <v/>
      </c>
      <c r="X3497">
        <f>IF(AND(ISNUMBER('자료_한국심리'!$J3481),ISNUMBER('자료_한국심리'!$K3481)),'자료_한국심리'!$J3481,"")</f>
        <v/>
      </c>
      <c r="Y3497">
        <f>IF(AND(ISNUMBER('자료_한국심리'!$M3481),ISNUMBER('자료_한국심리'!$N3481)),'자료_한국심리'!$M3481,"")</f>
        <v/>
      </c>
    </row>
    <row r="3498">
      <c r="U3498">
        <f>IF(AND(ISNUMBER('자료_한국심리'!$A3482),ISNUMBER('자료_한국심리'!$B3482)),'자료_한국심리'!$A3482,"")</f>
        <v/>
      </c>
      <c r="V3498">
        <f>IF(AND(ISNUMBER('자료_한국심리'!$D3482),ISNUMBER('자료_한국심리'!$E3482)),'자료_한국심리'!$D3482,"")</f>
        <v/>
      </c>
      <c r="W3498">
        <f>IF(AND(ISNUMBER('자료_한국심리'!$G3482),ISNUMBER('자료_한국심리'!$H3482)),'자료_한국심리'!$G3482,"")</f>
        <v/>
      </c>
      <c r="X3498">
        <f>IF(AND(ISNUMBER('자료_한국심리'!$J3482),ISNUMBER('자료_한국심리'!$K3482)),'자료_한국심리'!$J3482,"")</f>
        <v/>
      </c>
      <c r="Y3498">
        <f>IF(AND(ISNUMBER('자료_한국심리'!$M3482),ISNUMBER('자료_한국심리'!$N3482)),'자료_한국심리'!$M3482,"")</f>
        <v/>
      </c>
    </row>
    <row r="3499">
      <c r="U3499">
        <f>IF(AND(ISNUMBER('자료_한국심리'!$A3483),ISNUMBER('자료_한국심리'!$B3483)),'자료_한국심리'!$A3483,"")</f>
        <v/>
      </c>
      <c r="V3499">
        <f>IF(AND(ISNUMBER('자료_한국심리'!$D3483),ISNUMBER('자료_한국심리'!$E3483)),'자료_한국심리'!$D3483,"")</f>
        <v/>
      </c>
      <c r="W3499">
        <f>IF(AND(ISNUMBER('자료_한국심리'!$G3483),ISNUMBER('자료_한국심리'!$H3483)),'자료_한국심리'!$G3483,"")</f>
        <v/>
      </c>
      <c r="X3499">
        <f>IF(AND(ISNUMBER('자료_한국심리'!$J3483),ISNUMBER('자료_한국심리'!$K3483)),'자료_한국심리'!$J3483,"")</f>
        <v/>
      </c>
      <c r="Y3499">
        <f>IF(AND(ISNUMBER('자료_한국심리'!$M3483),ISNUMBER('자료_한국심리'!$N3483)),'자료_한국심리'!$M3483,"")</f>
        <v/>
      </c>
    </row>
    <row r="3500">
      <c r="U3500">
        <f>IF(AND(ISNUMBER('자료_한국심리'!$A3484),ISNUMBER('자료_한국심리'!$B3484)),'자료_한국심리'!$A3484,"")</f>
        <v/>
      </c>
      <c r="V3500">
        <f>IF(AND(ISNUMBER('자료_한국심리'!$D3484),ISNUMBER('자료_한국심리'!$E3484)),'자료_한국심리'!$D3484,"")</f>
        <v/>
      </c>
      <c r="W3500">
        <f>IF(AND(ISNUMBER('자료_한국심리'!$G3484),ISNUMBER('자료_한국심리'!$H3484)),'자료_한국심리'!$G3484,"")</f>
        <v/>
      </c>
      <c r="X3500">
        <f>IF(AND(ISNUMBER('자료_한국심리'!$J3484),ISNUMBER('자료_한국심리'!$K3484)),'자료_한국심리'!$J3484,"")</f>
        <v/>
      </c>
      <c r="Y3500">
        <f>IF(AND(ISNUMBER('자료_한국심리'!$M3484),ISNUMBER('자료_한국심리'!$N3484)),'자료_한국심리'!$M3484,"")</f>
        <v/>
      </c>
    </row>
    <row r="3501">
      <c r="U3501">
        <f>IF(AND(ISNUMBER('자료_한국심리'!$A3485),ISNUMBER('자료_한국심리'!$B3485)),'자료_한국심리'!$A3485,"")</f>
        <v/>
      </c>
      <c r="V3501">
        <f>IF(AND(ISNUMBER('자료_한국심리'!$D3485),ISNUMBER('자료_한국심리'!$E3485)),'자료_한국심리'!$D3485,"")</f>
        <v/>
      </c>
      <c r="W3501">
        <f>IF(AND(ISNUMBER('자료_한국심리'!$G3485),ISNUMBER('자료_한국심리'!$H3485)),'자료_한국심리'!$G3485,"")</f>
        <v/>
      </c>
      <c r="X3501">
        <f>IF(AND(ISNUMBER('자료_한국심리'!$J3485),ISNUMBER('자료_한국심리'!$K3485)),'자료_한국심리'!$J3485,"")</f>
        <v/>
      </c>
      <c r="Y3501">
        <f>IF(AND(ISNUMBER('자료_한국심리'!$M3485),ISNUMBER('자료_한국심리'!$N3485)),'자료_한국심리'!$M3485,"")</f>
        <v/>
      </c>
    </row>
    <row r="3502">
      <c r="U3502">
        <f>IF(AND(ISNUMBER('자료_한국심리'!$A3486),ISNUMBER('자료_한국심리'!$B3486)),'자료_한국심리'!$A3486,"")</f>
        <v/>
      </c>
      <c r="V3502">
        <f>IF(AND(ISNUMBER('자료_한국심리'!$D3486),ISNUMBER('자료_한국심리'!$E3486)),'자료_한국심리'!$D3486,"")</f>
        <v/>
      </c>
      <c r="W3502">
        <f>IF(AND(ISNUMBER('자료_한국심리'!$G3486),ISNUMBER('자료_한국심리'!$H3486)),'자료_한국심리'!$G3486,"")</f>
        <v/>
      </c>
      <c r="X3502">
        <f>IF(AND(ISNUMBER('자료_한국심리'!$J3486),ISNUMBER('자료_한국심리'!$K3486)),'자료_한국심리'!$J3486,"")</f>
        <v/>
      </c>
      <c r="Y3502">
        <f>IF(AND(ISNUMBER('자료_한국심리'!$M3486),ISNUMBER('자료_한국심리'!$N3486)),'자료_한국심리'!$M3486,"")</f>
        <v/>
      </c>
    </row>
    <row r="3503">
      <c r="U3503">
        <f>IF(AND(ISNUMBER('자료_한국심리'!$A3487),ISNUMBER('자료_한국심리'!$B3487)),'자료_한국심리'!$A3487,"")</f>
        <v/>
      </c>
      <c r="V3503">
        <f>IF(AND(ISNUMBER('자료_한국심리'!$D3487),ISNUMBER('자료_한국심리'!$E3487)),'자료_한국심리'!$D3487,"")</f>
        <v/>
      </c>
      <c r="W3503">
        <f>IF(AND(ISNUMBER('자료_한국심리'!$G3487),ISNUMBER('자료_한국심리'!$H3487)),'자료_한국심리'!$G3487,"")</f>
        <v/>
      </c>
      <c r="X3503">
        <f>IF(AND(ISNUMBER('자료_한국심리'!$J3487),ISNUMBER('자료_한국심리'!$K3487)),'자료_한국심리'!$J3487,"")</f>
        <v/>
      </c>
      <c r="Y3503">
        <f>IF(AND(ISNUMBER('자료_한국심리'!$M3487),ISNUMBER('자료_한국심리'!$N3487)),'자료_한국심리'!$M3487,"")</f>
        <v/>
      </c>
    </row>
    <row r="3504">
      <c r="U3504">
        <f>IF(AND(ISNUMBER('자료_한국심리'!$A3488),ISNUMBER('자료_한국심리'!$B3488)),'자료_한국심리'!$A3488,"")</f>
        <v/>
      </c>
      <c r="V3504">
        <f>IF(AND(ISNUMBER('자료_한국심리'!$D3488),ISNUMBER('자료_한국심리'!$E3488)),'자료_한국심리'!$D3488,"")</f>
        <v/>
      </c>
      <c r="W3504">
        <f>IF(AND(ISNUMBER('자료_한국심리'!$G3488),ISNUMBER('자료_한국심리'!$H3488)),'자료_한국심리'!$G3488,"")</f>
        <v/>
      </c>
      <c r="X3504">
        <f>IF(AND(ISNUMBER('자료_한국심리'!$J3488),ISNUMBER('자료_한국심리'!$K3488)),'자료_한국심리'!$J3488,"")</f>
        <v/>
      </c>
      <c r="Y3504">
        <f>IF(AND(ISNUMBER('자료_한국심리'!$M3488),ISNUMBER('자료_한국심리'!$N3488)),'자료_한국심리'!$M3488,"")</f>
        <v/>
      </c>
    </row>
    <row r="3505">
      <c r="U3505">
        <f>IF(AND(ISNUMBER('자료_한국심리'!$A3489),ISNUMBER('자료_한국심리'!$B3489)),'자료_한국심리'!$A3489,"")</f>
        <v/>
      </c>
      <c r="V3505">
        <f>IF(AND(ISNUMBER('자료_한국심리'!$D3489),ISNUMBER('자료_한국심리'!$E3489)),'자료_한국심리'!$D3489,"")</f>
        <v/>
      </c>
      <c r="W3505">
        <f>IF(AND(ISNUMBER('자료_한국심리'!$G3489),ISNUMBER('자료_한국심리'!$H3489)),'자료_한국심리'!$G3489,"")</f>
        <v/>
      </c>
      <c r="X3505">
        <f>IF(AND(ISNUMBER('자료_한국심리'!$J3489),ISNUMBER('자료_한국심리'!$K3489)),'자료_한국심리'!$J3489,"")</f>
        <v/>
      </c>
      <c r="Y3505">
        <f>IF(AND(ISNUMBER('자료_한국심리'!$M3489),ISNUMBER('자료_한국심리'!$N3489)),'자료_한국심리'!$M3489,"")</f>
        <v/>
      </c>
    </row>
    <row r="3506">
      <c r="U3506">
        <f>IF(AND(ISNUMBER('자료_한국심리'!$A3490),ISNUMBER('자료_한국심리'!$B3490)),'자료_한국심리'!$A3490,"")</f>
        <v/>
      </c>
      <c r="V3506">
        <f>IF(AND(ISNUMBER('자료_한국심리'!$D3490),ISNUMBER('자료_한국심리'!$E3490)),'자료_한국심리'!$D3490,"")</f>
        <v/>
      </c>
      <c r="W3506">
        <f>IF(AND(ISNUMBER('자료_한국심리'!$G3490),ISNUMBER('자료_한국심리'!$H3490)),'자료_한국심리'!$G3490,"")</f>
        <v/>
      </c>
      <c r="X3506">
        <f>IF(AND(ISNUMBER('자료_한국심리'!$J3490),ISNUMBER('자료_한국심리'!$K3490)),'자료_한국심리'!$J3490,"")</f>
        <v/>
      </c>
      <c r="Y3506">
        <f>IF(AND(ISNUMBER('자료_한국심리'!$M3490),ISNUMBER('자료_한국심리'!$N3490)),'자료_한국심리'!$M3490,"")</f>
        <v/>
      </c>
    </row>
    <row r="3507">
      <c r="U3507">
        <f>IF(AND(ISNUMBER('자료_한국심리'!$A3491),ISNUMBER('자료_한국심리'!$B3491)),'자료_한국심리'!$A3491,"")</f>
        <v/>
      </c>
      <c r="V3507">
        <f>IF(AND(ISNUMBER('자료_한국심리'!$D3491),ISNUMBER('자료_한국심리'!$E3491)),'자료_한국심리'!$D3491,"")</f>
        <v/>
      </c>
      <c r="W3507">
        <f>IF(AND(ISNUMBER('자료_한국심리'!$G3491),ISNUMBER('자료_한국심리'!$H3491)),'자료_한국심리'!$G3491,"")</f>
        <v/>
      </c>
      <c r="X3507">
        <f>IF(AND(ISNUMBER('자료_한국심리'!$J3491),ISNUMBER('자료_한국심리'!$K3491)),'자료_한국심리'!$J3491,"")</f>
        <v/>
      </c>
      <c r="Y3507">
        <f>IF(AND(ISNUMBER('자료_한국심리'!$M3491),ISNUMBER('자료_한국심리'!$N3491)),'자료_한국심리'!$M3491,"")</f>
        <v/>
      </c>
    </row>
    <row r="3508">
      <c r="U3508">
        <f>IF(AND(ISNUMBER('자료_한국심리'!$A3492),ISNUMBER('자료_한국심리'!$B3492)),'자료_한국심리'!$A3492,"")</f>
        <v/>
      </c>
      <c r="V3508">
        <f>IF(AND(ISNUMBER('자료_한국심리'!$D3492),ISNUMBER('자료_한국심리'!$E3492)),'자료_한국심리'!$D3492,"")</f>
        <v/>
      </c>
      <c r="W3508">
        <f>IF(AND(ISNUMBER('자료_한국심리'!$G3492),ISNUMBER('자료_한국심리'!$H3492)),'자료_한국심리'!$G3492,"")</f>
        <v/>
      </c>
      <c r="X3508">
        <f>IF(AND(ISNUMBER('자료_한국심리'!$J3492),ISNUMBER('자료_한국심리'!$K3492)),'자료_한국심리'!$J3492,"")</f>
        <v/>
      </c>
      <c r="Y3508">
        <f>IF(AND(ISNUMBER('자료_한국심리'!$M3492),ISNUMBER('자료_한국심리'!$N3492)),'자료_한국심리'!$M3492,"")</f>
        <v/>
      </c>
    </row>
    <row r="3509">
      <c r="U3509">
        <f>IF(AND(ISNUMBER('자료_한국심리'!$A3493),ISNUMBER('자료_한국심리'!$B3493)),'자료_한국심리'!$A3493,"")</f>
        <v/>
      </c>
      <c r="V3509">
        <f>IF(AND(ISNUMBER('자료_한국심리'!$D3493),ISNUMBER('자료_한국심리'!$E3493)),'자료_한국심리'!$D3493,"")</f>
        <v/>
      </c>
      <c r="W3509">
        <f>IF(AND(ISNUMBER('자료_한국심리'!$G3493),ISNUMBER('자료_한국심리'!$H3493)),'자료_한국심리'!$G3493,"")</f>
        <v/>
      </c>
      <c r="X3509">
        <f>IF(AND(ISNUMBER('자료_한국심리'!$J3493),ISNUMBER('자료_한국심리'!$K3493)),'자료_한국심리'!$J3493,"")</f>
        <v/>
      </c>
      <c r="Y3509">
        <f>IF(AND(ISNUMBER('자료_한국심리'!$M3493),ISNUMBER('자료_한국심리'!$N3493)),'자료_한국심리'!$M3493,"")</f>
        <v/>
      </c>
    </row>
    <row r="3510">
      <c r="U3510">
        <f>IF(AND(ISNUMBER('자료_한국심리'!$A3494),ISNUMBER('자료_한국심리'!$B3494)),'자료_한국심리'!$A3494,"")</f>
        <v/>
      </c>
      <c r="V3510">
        <f>IF(AND(ISNUMBER('자료_한국심리'!$D3494),ISNUMBER('자료_한국심리'!$E3494)),'자료_한국심리'!$D3494,"")</f>
        <v/>
      </c>
      <c r="W3510">
        <f>IF(AND(ISNUMBER('자료_한국심리'!$G3494),ISNUMBER('자료_한국심리'!$H3494)),'자료_한국심리'!$G3494,"")</f>
        <v/>
      </c>
      <c r="X3510">
        <f>IF(AND(ISNUMBER('자료_한국심리'!$J3494),ISNUMBER('자료_한국심리'!$K3494)),'자료_한국심리'!$J3494,"")</f>
        <v/>
      </c>
      <c r="Y3510">
        <f>IF(AND(ISNUMBER('자료_한국심리'!$M3494),ISNUMBER('자료_한국심리'!$N3494)),'자료_한국심리'!$M3494,"")</f>
        <v/>
      </c>
    </row>
    <row r="3511">
      <c r="U3511">
        <f>IF(AND(ISNUMBER('자료_한국심리'!$A3495),ISNUMBER('자료_한국심리'!$B3495)),'자료_한국심리'!$A3495,"")</f>
        <v/>
      </c>
      <c r="V3511">
        <f>IF(AND(ISNUMBER('자료_한국심리'!$D3495),ISNUMBER('자료_한국심리'!$E3495)),'자료_한국심리'!$D3495,"")</f>
        <v/>
      </c>
      <c r="W3511">
        <f>IF(AND(ISNUMBER('자료_한국심리'!$G3495),ISNUMBER('자료_한국심리'!$H3495)),'자료_한국심리'!$G3495,"")</f>
        <v/>
      </c>
      <c r="X3511">
        <f>IF(AND(ISNUMBER('자료_한국심리'!$J3495),ISNUMBER('자료_한국심리'!$K3495)),'자료_한국심리'!$J3495,"")</f>
        <v/>
      </c>
      <c r="Y3511">
        <f>IF(AND(ISNUMBER('자료_한국심리'!$M3495),ISNUMBER('자료_한국심리'!$N3495)),'자료_한국심리'!$M3495,"")</f>
        <v/>
      </c>
    </row>
    <row r="3512">
      <c r="U3512">
        <f>IF(AND(ISNUMBER('자료_한국심리'!$A3496),ISNUMBER('자료_한국심리'!$B3496)),'자료_한국심리'!$A3496,"")</f>
        <v/>
      </c>
      <c r="V3512">
        <f>IF(AND(ISNUMBER('자료_한국심리'!$D3496),ISNUMBER('자료_한국심리'!$E3496)),'자료_한국심리'!$D3496,"")</f>
        <v/>
      </c>
      <c r="W3512">
        <f>IF(AND(ISNUMBER('자료_한국심리'!$G3496),ISNUMBER('자료_한국심리'!$H3496)),'자료_한국심리'!$G3496,"")</f>
        <v/>
      </c>
      <c r="X3512">
        <f>IF(AND(ISNUMBER('자료_한국심리'!$J3496),ISNUMBER('자료_한국심리'!$K3496)),'자료_한국심리'!$J3496,"")</f>
        <v/>
      </c>
      <c r="Y3512">
        <f>IF(AND(ISNUMBER('자료_한국심리'!$M3496),ISNUMBER('자료_한국심리'!$N3496)),'자료_한국심리'!$M3496,"")</f>
        <v/>
      </c>
    </row>
    <row r="3513">
      <c r="U3513">
        <f>IF(AND(ISNUMBER('자료_한국심리'!$A3497),ISNUMBER('자료_한국심리'!$B3497)),'자료_한국심리'!$A3497,"")</f>
        <v/>
      </c>
      <c r="V3513">
        <f>IF(AND(ISNUMBER('자료_한국심리'!$D3497),ISNUMBER('자료_한국심리'!$E3497)),'자료_한국심리'!$D3497,"")</f>
        <v/>
      </c>
      <c r="W3513">
        <f>IF(AND(ISNUMBER('자료_한국심리'!$G3497),ISNUMBER('자료_한국심리'!$H3497)),'자료_한국심리'!$G3497,"")</f>
        <v/>
      </c>
      <c r="X3513">
        <f>IF(AND(ISNUMBER('자료_한국심리'!$J3497),ISNUMBER('자료_한국심리'!$K3497)),'자료_한국심리'!$J3497,"")</f>
        <v/>
      </c>
      <c r="Y3513">
        <f>IF(AND(ISNUMBER('자료_한국심리'!$M3497),ISNUMBER('자료_한국심리'!$N3497)),'자료_한국심리'!$M3497,"")</f>
        <v/>
      </c>
    </row>
    <row r="3514">
      <c r="U3514">
        <f>IF(AND(ISNUMBER('자료_한국심리'!$A3498),ISNUMBER('자료_한국심리'!$B3498)),'자료_한국심리'!$A3498,"")</f>
        <v/>
      </c>
      <c r="V3514">
        <f>IF(AND(ISNUMBER('자료_한국심리'!$D3498),ISNUMBER('자료_한국심리'!$E3498)),'자료_한국심리'!$D3498,"")</f>
        <v/>
      </c>
      <c r="W3514">
        <f>IF(AND(ISNUMBER('자료_한국심리'!$G3498),ISNUMBER('자료_한국심리'!$H3498)),'자료_한국심리'!$G3498,"")</f>
        <v/>
      </c>
      <c r="X3514">
        <f>IF(AND(ISNUMBER('자료_한국심리'!$J3498),ISNUMBER('자료_한국심리'!$K3498)),'자료_한국심리'!$J3498,"")</f>
        <v/>
      </c>
      <c r="Y3514">
        <f>IF(AND(ISNUMBER('자료_한국심리'!$M3498),ISNUMBER('자료_한국심리'!$N3498)),'자료_한국심리'!$M3498,"")</f>
        <v/>
      </c>
    </row>
    <row r="3515">
      <c r="U3515">
        <f>IF(AND(ISNUMBER('자료_한국심리'!$A3499),ISNUMBER('자료_한국심리'!$B3499)),'자료_한국심리'!$A3499,"")</f>
        <v/>
      </c>
      <c r="V3515">
        <f>IF(AND(ISNUMBER('자료_한국심리'!$D3499),ISNUMBER('자료_한국심리'!$E3499)),'자료_한국심리'!$D3499,"")</f>
        <v/>
      </c>
      <c r="W3515">
        <f>IF(AND(ISNUMBER('자료_한국심리'!$G3499),ISNUMBER('자료_한국심리'!$H3499)),'자료_한국심리'!$G3499,"")</f>
        <v/>
      </c>
      <c r="X3515">
        <f>IF(AND(ISNUMBER('자료_한국심리'!$J3499),ISNUMBER('자료_한국심리'!$K3499)),'자료_한국심리'!$J3499,"")</f>
        <v/>
      </c>
      <c r="Y3515">
        <f>IF(AND(ISNUMBER('자료_한국심리'!$M3499),ISNUMBER('자료_한국심리'!$N3499)),'자료_한국심리'!$M3499,"")</f>
        <v/>
      </c>
    </row>
    <row r="3516">
      <c r="U3516">
        <f>IF(AND(ISNUMBER('자료_한국심리'!$A3500),ISNUMBER('자료_한국심리'!$B3500)),'자료_한국심리'!$A3500,"")</f>
        <v/>
      </c>
      <c r="V3516">
        <f>IF(AND(ISNUMBER('자료_한국심리'!$D3500),ISNUMBER('자료_한국심리'!$E3500)),'자료_한국심리'!$D3500,"")</f>
        <v/>
      </c>
      <c r="W3516">
        <f>IF(AND(ISNUMBER('자료_한국심리'!$G3500),ISNUMBER('자료_한국심리'!$H3500)),'자료_한국심리'!$G3500,"")</f>
        <v/>
      </c>
      <c r="X3516">
        <f>IF(AND(ISNUMBER('자료_한국심리'!$J3500),ISNUMBER('자료_한국심리'!$K3500)),'자료_한국심리'!$J3500,"")</f>
        <v/>
      </c>
      <c r="Y3516">
        <f>IF(AND(ISNUMBER('자료_한국심리'!$M3500),ISNUMBER('자료_한국심리'!$N3500)),'자료_한국심리'!$M3500,"")</f>
        <v/>
      </c>
    </row>
    <row r="3517">
      <c r="U3517">
        <f>IF(AND(ISNUMBER('자료_한국심리'!$A3501),ISNUMBER('자료_한국심리'!$B3501)),'자료_한국심리'!$A3501,"")</f>
        <v/>
      </c>
      <c r="V3517">
        <f>IF(AND(ISNUMBER('자료_한국심리'!$D3501),ISNUMBER('자료_한국심리'!$E3501)),'자료_한국심리'!$D3501,"")</f>
        <v/>
      </c>
      <c r="W3517">
        <f>IF(AND(ISNUMBER('자료_한국심리'!$G3501),ISNUMBER('자료_한국심리'!$H3501)),'자료_한국심리'!$G3501,"")</f>
        <v/>
      </c>
      <c r="X3517">
        <f>IF(AND(ISNUMBER('자료_한국심리'!$J3501),ISNUMBER('자료_한국심리'!$K3501)),'자료_한국심리'!$J3501,"")</f>
        <v/>
      </c>
      <c r="Y3517">
        <f>IF(AND(ISNUMBER('자료_한국심리'!$M3501),ISNUMBER('자료_한국심리'!$N3501)),'자료_한국심리'!$M3501,"")</f>
        <v/>
      </c>
    </row>
    <row r="3518">
      <c r="U3518">
        <f>IF(AND(ISNUMBER('자료_한국심리'!$A3502),ISNUMBER('자료_한국심리'!$B3502)),'자료_한국심리'!$A3502,"")</f>
        <v/>
      </c>
      <c r="V3518">
        <f>IF(AND(ISNUMBER('자료_한국심리'!$D3502),ISNUMBER('자료_한국심리'!$E3502)),'자료_한국심리'!$D3502,"")</f>
        <v/>
      </c>
      <c r="W3518">
        <f>IF(AND(ISNUMBER('자료_한국심리'!$G3502),ISNUMBER('자료_한국심리'!$H3502)),'자료_한국심리'!$G3502,"")</f>
        <v/>
      </c>
      <c r="X3518">
        <f>IF(AND(ISNUMBER('자료_한국심리'!$J3502),ISNUMBER('자료_한국심리'!$K3502)),'자료_한국심리'!$J3502,"")</f>
        <v/>
      </c>
      <c r="Y3518">
        <f>IF(AND(ISNUMBER('자료_한국심리'!$M3502),ISNUMBER('자료_한국심리'!$N3502)),'자료_한국심리'!$M3502,"")</f>
        <v/>
      </c>
    </row>
    <row r="3519">
      <c r="U3519">
        <f>IF(AND(ISNUMBER('자료_한국심리'!$A3503),ISNUMBER('자료_한국심리'!$B3503)),'자료_한국심리'!$A3503,"")</f>
        <v/>
      </c>
      <c r="V3519">
        <f>IF(AND(ISNUMBER('자료_한국심리'!$D3503),ISNUMBER('자료_한국심리'!$E3503)),'자료_한국심리'!$D3503,"")</f>
        <v/>
      </c>
      <c r="W3519">
        <f>IF(AND(ISNUMBER('자료_한국심리'!$G3503),ISNUMBER('자료_한국심리'!$H3503)),'자료_한국심리'!$G3503,"")</f>
        <v/>
      </c>
      <c r="X3519">
        <f>IF(AND(ISNUMBER('자료_한국심리'!$J3503),ISNUMBER('자료_한국심리'!$K3503)),'자료_한국심리'!$J3503,"")</f>
        <v/>
      </c>
      <c r="Y3519">
        <f>IF(AND(ISNUMBER('자료_한국심리'!$M3503),ISNUMBER('자료_한국심리'!$N3503)),'자료_한국심리'!$M3503,"")</f>
        <v/>
      </c>
    </row>
    <row r="3520">
      <c r="U3520">
        <f>IF(AND(ISNUMBER('자료_한국심리'!$A3504),ISNUMBER('자료_한국심리'!$B3504)),'자료_한국심리'!$A3504,"")</f>
        <v/>
      </c>
      <c r="V3520">
        <f>IF(AND(ISNUMBER('자료_한국심리'!$D3504),ISNUMBER('자료_한국심리'!$E3504)),'자료_한국심리'!$D3504,"")</f>
        <v/>
      </c>
      <c r="W3520">
        <f>IF(AND(ISNUMBER('자료_한국심리'!$G3504),ISNUMBER('자료_한국심리'!$H3504)),'자료_한국심리'!$G3504,"")</f>
        <v/>
      </c>
      <c r="X3520">
        <f>IF(AND(ISNUMBER('자료_한국심리'!$J3504),ISNUMBER('자료_한국심리'!$K3504)),'자료_한국심리'!$J3504,"")</f>
        <v/>
      </c>
      <c r="Y3520">
        <f>IF(AND(ISNUMBER('자료_한국심리'!$M3504),ISNUMBER('자료_한국심리'!$N3504)),'자료_한국심리'!$M3504,"")</f>
        <v/>
      </c>
    </row>
    <row r="3521">
      <c r="U3521">
        <f>IF(AND(ISNUMBER('자료_한국심리'!$A3505),ISNUMBER('자료_한국심리'!$B3505)),'자료_한국심리'!$A3505,"")</f>
        <v/>
      </c>
      <c r="V3521">
        <f>IF(AND(ISNUMBER('자료_한국심리'!$D3505),ISNUMBER('자료_한국심리'!$E3505)),'자료_한국심리'!$D3505,"")</f>
        <v/>
      </c>
      <c r="W3521">
        <f>IF(AND(ISNUMBER('자료_한국심리'!$G3505),ISNUMBER('자료_한국심리'!$H3505)),'자료_한국심리'!$G3505,"")</f>
        <v/>
      </c>
      <c r="X3521">
        <f>IF(AND(ISNUMBER('자료_한국심리'!$J3505),ISNUMBER('자료_한국심리'!$K3505)),'자료_한국심리'!$J3505,"")</f>
        <v/>
      </c>
      <c r="Y3521">
        <f>IF(AND(ISNUMBER('자료_한국심리'!$M3505),ISNUMBER('자료_한국심리'!$N3505)),'자료_한국심리'!$M3505,"")</f>
        <v/>
      </c>
    </row>
    <row r="3522">
      <c r="U3522">
        <f>IF(AND(ISNUMBER('자료_한국심리'!$A3506),ISNUMBER('자료_한국심리'!$B3506)),'자료_한국심리'!$A3506,"")</f>
        <v/>
      </c>
      <c r="V3522">
        <f>IF(AND(ISNUMBER('자료_한국심리'!$D3506),ISNUMBER('자료_한국심리'!$E3506)),'자료_한국심리'!$D3506,"")</f>
        <v/>
      </c>
      <c r="W3522">
        <f>IF(AND(ISNUMBER('자료_한국심리'!$G3506),ISNUMBER('자료_한국심리'!$H3506)),'자료_한국심리'!$G3506,"")</f>
        <v/>
      </c>
      <c r="X3522">
        <f>IF(AND(ISNUMBER('자료_한국심리'!$J3506),ISNUMBER('자료_한국심리'!$K3506)),'자료_한국심리'!$J3506,"")</f>
        <v/>
      </c>
      <c r="Y3522">
        <f>IF(AND(ISNUMBER('자료_한국심리'!$M3506),ISNUMBER('자료_한국심리'!$N3506)),'자료_한국심리'!$M3506,"")</f>
        <v/>
      </c>
    </row>
    <row r="3523">
      <c r="U3523">
        <f>IF(AND(ISNUMBER('자료_한국심리'!$A3507),ISNUMBER('자료_한국심리'!$B3507)),'자료_한국심리'!$A3507,"")</f>
        <v/>
      </c>
      <c r="V3523">
        <f>IF(AND(ISNUMBER('자료_한국심리'!$D3507),ISNUMBER('자료_한국심리'!$E3507)),'자료_한국심리'!$D3507,"")</f>
        <v/>
      </c>
      <c r="W3523">
        <f>IF(AND(ISNUMBER('자료_한국심리'!$G3507),ISNUMBER('자료_한국심리'!$H3507)),'자료_한국심리'!$G3507,"")</f>
        <v/>
      </c>
      <c r="X3523">
        <f>IF(AND(ISNUMBER('자료_한국심리'!$J3507),ISNUMBER('자료_한국심리'!$K3507)),'자료_한국심리'!$J3507,"")</f>
        <v/>
      </c>
      <c r="Y3523">
        <f>IF(AND(ISNUMBER('자료_한국심리'!$M3507),ISNUMBER('자료_한국심리'!$N3507)),'자료_한국심리'!$M3507,"")</f>
        <v/>
      </c>
    </row>
    <row r="3524">
      <c r="U3524">
        <f>IF(AND(ISNUMBER('자료_한국심리'!$A3508),ISNUMBER('자료_한국심리'!$B3508)),'자료_한국심리'!$A3508,"")</f>
        <v/>
      </c>
      <c r="V3524">
        <f>IF(AND(ISNUMBER('자료_한국심리'!$D3508),ISNUMBER('자료_한국심리'!$E3508)),'자료_한국심리'!$D3508,"")</f>
        <v/>
      </c>
      <c r="W3524">
        <f>IF(AND(ISNUMBER('자료_한국심리'!$G3508),ISNUMBER('자료_한국심리'!$H3508)),'자료_한국심리'!$G3508,"")</f>
        <v/>
      </c>
      <c r="X3524">
        <f>IF(AND(ISNUMBER('자료_한국심리'!$J3508),ISNUMBER('자료_한국심리'!$K3508)),'자료_한국심리'!$J3508,"")</f>
        <v/>
      </c>
      <c r="Y3524">
        <f>IF(AND(ISNUMBER('자료_한국심리'!$M3508),ISNUMBER('자료_한국심리'!$N3508)),'자료_한국심리'!$M3508,"")</f>
        <v/>
      </c>
    </row>
    <row r="3525">
      <c r="U3525">
        <f>IF(AND(ISNUMBER('자료_한국심리'!$A3509),ISNUMBER('자료_한국심리'!$B3509)),'자료_한국심리'!$A3509,"")</f>
        <v/>
      </c>
      <c r="V3525">
        <f>IF(AND(ISNUMBER('자료_한국심리'!$D3509),ISNUMBER('자료_한국심리'!$E3509)),'자료_한국심리'!$D3509,"")</f>
        <v/>
      </c>
      <c r="W3525">
        <f>IF(AND(ISNUMBER('자료_한국심리'!$G3509),ISNUMBER('자료_한국심리'!$H3509)),'자료_한국심리'!$G3509,"")</f>
        <v/>
      </c>
      <c r="X3525">
        <f>IF(AND(ISNUMBER('자료_한국심리'!$J3509),ISNUMBER('자료_한국심리'!$K3509)),'자료_한국심리'!$J3509,"")</f>
        <v/>
      </c>
      <c r="Y3525">
        <f>IF(AND(ISNUMBER('자료_한국심리'!$M3509),ISNUMBER('자료_한국심리'!$N3509)),'자료_한국심리'!$M3509,"")</f>
        <v/>
      </c>
    </row>
    <row r="3526">
      <c r="U3526">
        <f>IF(AND(ISNUMBER('자료_한국심리'!$A3510),ISNUMBER('자료_한국심리'!$B3510)),'자료_한국심리'!$A3510,"")</f>
        <v/>
      </c>
      <c r="V3526">
        <f>IF(AND(ISNUMBER('자료_한국심리'!$D3510),ISNUMBER('자료_한국심리'!$E3510)),'자료_한국심리'!$D3510,"")</f>
        <v/>
      </c>
      <c r="W3526">
        <f>IF(AND(ISNUMBER('자료_한국심리'!$G3510),ISNUMBER('자료_한국심리'!$H3510)),'자료_한국심리'!$G3510,"")</f>
        <v/>
      </c>
      <c r="X3526">
        <f>IF(AND(ISNUMBER('자료_한국심리'!$J3510),ISNUMBER('자료_한국심리'!$K3510)),'자료_한국심리'!$J3510,"")</f>
        <v/>
      </c>
      <c r="Y3526">
        <f>IF(AND(ISNUMBER('자료_한국심리'!$M3510),ISNUMBER('자료_한국심리'!$N3510)),'자료_한국심리'!$M3510,"")</f>
        <v/>
      </c>
    </row>
    <row r="3527">
      <c r="U3527">
        <f>IF(AND(ISNUMBER('자료_한국심리'!$A3511),ISNUMBER('자료_한국심리'!$B3511)),'자료_한국심리'!$A3511,"")</f>
        <v/>
      </c>
      <c r="V3527">
        <f>IF(AND(ISNUMBER('자료_한국심리'!$D3511),ISNUMBER('자료_한국심리'!$E3511)),'자료_한국심리'!$D3511,"")</f>
        <v/>
      </c>
      <c r="W3527">
        <f>IF(AND(ISNUMBER('자료_한국심리'!$G3511),ISNUMBER('자료_한국심리'!$H3511)),'자료_한국심리'!$G3511,"")</f>
        <v/>
      </c>
      <c r="X3527">
        <f>IF(AND(ISNUMBER('자료_한국심리'!$J3511),ISNUMBER('자료_한국심리'!$K3511)),'자료_한국심리'!$J3511,"")</f>
        <v/>
      </c>
      <c r="Y3527">
        <f>IF(AND(ISNUMBER('자료_한국심리'!$M3511),ISNUMBER('자료_한국심리'!$N3511)),'자료_한국심리'!$M3511,"")</f>
        <v/>
      </c>
    </row>
    <row r="3528">
      <c r="U3528">
        <f>IF(AND(ISNUMBER('자료_한국심리'!$A3512),ISNUMBER('자료_한국심리'!$B3512)),'자료_한국심리'!$A3512,"")</f>
        <v/>
      </c>
      <c r="V3528">
        <f>IF(AND(ISNUMBER('자료_한국심리'!$D3512),ISNUMBER('자료_한국심리'!$E3512)),'자료_한국심리'!$D3512,"")</f>
        <v/>
      </c>
      <c r="W3528">
        <f>IF(AND(ISNUMBER('자료_한국심리'!$G3512),ISNUMBER('자료_한국심리'!$H3512)),'자료_한국심리'!$G3512,"")</f>
        <v/>
      </c>
      <c r="X3528">
        <f>IF(AND(ISNUMBER('자료_한국심리'!$J3512),ISNUMBER('자료_한국심리'!$K3512)),'자료_한국심리'!$J3512,"")</f>
        <v/>
      </c>
      <c r="Y3528">
        <f>IF(AND(ISNUMBER('자료_한국심리'!$M3512),ISNUMBER('자료_한국심리'!$N3512)),'자료_한국심리'!$M3512,"")</f>
        <v/>
      </c>
    </row>
    <row r="3529">
      <c r="U3529">
        <f>IF(AND(ISNUMBER('자료_한국심리'!$A3513),ISNUMBER('자료_한국심리'!$B3513)),'자료_한국심리'!$A3513,"")</f>
        <v/>
      </c>
      <c r="V3529">
        <f>IF(AND(ISNUMBER('자료_한국심리'!$D3513),ISNUMBER('자료_한국심리'!$E3513)),'자료_한국심리'!$D3513,"")</f>
        <v/>
      </c>
      <c r="W3529">
        <f>IF(AND(ISNUMBER('자료_한국심리'!$G3513),ISNUMBER('자료_한국심리'!$H3513)),'자료_한국심리'!$G3513,"")</f>
        <v/>
      </c>
      <c r="X3529">
        <f>IF(AND(ISNUMBER('자료_한국심리'!$J3513),ISNUMBER('자료_한국심리'!$K3513)),'자료_한국심리'!$J3513,"")</f>
        <v/>
      </c>
      <c r="Y3529">
        <f>IF(AND(ISNUMBER('자료_한국심리'!$M3513),ISNUMBER('자료_한국심리'!$N3513)),'자료_한국심리'!$M3513,"")</f>
        <v/>
      </c>
    </row>
    <row r="3530">
      <c r="U3530">
        <f>IF(AND(ISNUMBER('자료_한국심리'!$A3514),ISNUMBER('자료_한국심리'!$B3514)),'자료_한국심리'!$A3514,"")</f>
        <v/>
      </c>
      <c r="V3530">
        <f>IF(AND(ISNUMBER('자료_한국심리'!$D3514),ISNUMBER('자료_한국심리'!$E3514)),'자료_한국심리'!$D3514,"")</f>
        <v/>
      </c>
      <c r="W3530">
        <f>IF(AND(ISNUMBER('자료_한국심리'!$G3514),ISNUMBER('자료_한국심리'!$H3514)),'자료_한국심리'!$G3514,"")</f>
        <v/>
      </c>
      <c r="X3530">
        <f>IF(AND(ISNUMBER('자료_한국심리'!$J3514),ISNUMBER('자료_한국심리'!$K3514)),'자료_한국심리'!$J3514,"")</f>
        <v/>
      </c>
      <c r="Y3530">
        <f>IF(AND(ISNUMBER('자료_한국심리'!$M3514),ISNUMBER('자료_한국심리'!$N3514)),'자료_한국심리'!$M3514,"")</f>
        <v/>
      </c>
    </row>
    <row r="3531">
      <c r="U3531">
        <f>IF(AND(ISNUMBER('자료_한국심리'!$A3515),ISNUMBER('자료_한국심리'!$B3515)),'자료_한국심리'!$A3515,"")</f>
        <v/>
      </c>
      <c r="V3531">
        <f>IF(AND(ISNUMBER('자료_한국심리'!$D3515),ISNUMBER('자료_한국심리'!$E3515)),'자료_한국심리'!$D3515,"")</f>
        <v/>
      </c>
      <c r="W3531">
        <f>IF(AND(ISNUMBER('자료_한국심리'!$G3515),ISNUMBER('자료_한국심리'!$H3515)),'자료_한국심리'!$G3515,"")</f>
        <v/>
      </c>
      <c r="X3531">
        <f>IF(AND(ISNUMBER('자료_한국심리'!$J3515),ISNUMBER('자료_한국심리'!$K3515)),'자료_한국심리'!$J3515,"")</f>
        <v/>
      </c>
      <c r="Y3531">
        <f>IF(AND(ISNUMBER('자료_한국심리'!$M3515),ISNUMBER('자료_한국심리'!$N3515)),'자료_한국심리'!$M3515,"")</f>
        <v/>
      </c>
    </row>
    <row r="3532">
      <c r="U3532">
        <f>IF(AND(ISNUMBER('자료_한국심리'!$A3516),ISNUMBER('자료_한국심리'!$B3516)),'자료_한국심리'!$A3516,"")</f>
        <v/>
      </c>
      <c r="V3532">
        <f>IF(AND(ISNUMBER('자료_한국심리'!$D3516),ISNUMBER('자료_한국심리'!$E3516)),'자료_한국심리'!$D3516,"")</f>
        <v/>
      </c>
      <c r="W3532">
        <f>IF(AND(ISNUMBER('자료_한국심리'!$G3516),ISNUMBER('자료_한국심리'!$H3516)),'자료_한국심리'!$G3516,"")</f>
        <v/>
      </c>
      <c r="X3532">
        <f>IF(AND(ISNUMBER('자료_한국심리'!$J3516),ISNUMBER('자료_한국심리'!$K3516)),'자료_한국심리'!$J3516,"")</f>
        <v/>
      </c>
      <c r="Y3532">
        <f>IF(AND(ISNUMBER('자료_한국심리'!$M3516),ISNUMBER('자료_한국심리'!$N3516)),'자료_한국심리'!$M3516,"")</f>
        <v/>
      </c>
    </row>
    <row r="3533">
      <c r="U3533">
        <f>IF(AND(ISNUMBER('자료_한국심리'!$A3517),ISNUMBER('자료_한국심리'!$B3517)),'자료_한국심리'!$A3517,"")</f>
        <v/>
      </c>
      <c r="V3533">
        <f>IF(AND(ISNUMBER('자료_한국심리'!$D3517),ISNUMBER('자료_한국심리'!$E3517)),'자료_한국심리'!$D3517,"")</f>
        <v/>
      </c>
      <c r="W3533">
        <f>IF(AND(ISNUMBER('자료_한국심리'!$G3517),ISNUMBER('자료_한국심리'!$H3517)),'자료_한국심리'!$G3517,"")</f>
        <v/>
      </c>
      <c r="X3533">
        <f>IF(AND(ISNUMBER('자료_한국심리'!$J3517),ISNUMBER('자료_한국심리'!$K3517)),'자료_한국심리'!$J3517,"")</f>
        <v/>
      </c>
      <c r="Y3533">
        <f>IF(AND(ISNUMBER('자료_한국심리'!$M3517),ISNUMBER('자료_한국심리'!$N3517)),'자료_한국심리'!$M3517,"")</f>
        <v/>
      </c>
    </row>
    <row r="3534">
      <c r="U3534">
        <f>IF(AND(ISNUMBER('자료_한국심리'!$A3518),ISNUMBER('자료_한국심리'!$B3518)),'자료_한국심리'!$A3518,"")</f>
        <v/>
      </c>
      <c r="V3534">
        <f>IF(AND(ISNUMBER('자료_한국심리'!$D3518),ISNUMBER('자료_한국심리'!$E3518)),'자료_한국심리'!$D3518,"")</f>
        <v/>
      </c>
      <c r="W3534">
        <f>IF(AND(ISNUMBER('자료_한국심리'!$G3518),ISNUMBER('자료_한국심리'!$H3518)),'자료_한국심리'!$G3518,"")</f>
        <v/>
      </c>
      <c r="X3534">
        <f>IF(AND(ISNUMBER('자료_한국심리'!$J3518),ISNUMBER('자료_한국심리'!$K3518)),'자료_한국심리'!$J3518,"")</f>
        <v/>
      </c>
      <c r="Y3534">
        <f>IF(AND(ISNUMBER('자료_한국심리'!$M3518),ISNUMBER('자료_한국심리'!$N3518)),'자료_한국심리'!$M3518,"")</f>
        <v/>
      </c>
    </row>
    <row r="3535">
      <c r="U3535">
        <f>IF(AND(ISNUMBER('자료_한국심리'!$A3519),ISNUMBER('자료_한국심리'!$B3519)),'자료_한국심리'!$A3519,"")</f>
        <v/>
      </c>
      <c r="V3535">
        <f>IF(AND(ISNUMBER('자료_한국심리'!$D3519),ISNUMBER('자료_한국심리'!$E3519)),'자료_한국심리'!$D3519,"")</f>
        <v/>
      </c>
      <c r="W3535">
        <f>IF(AND(ISNUMBER('자료_한국심리'!$G3519),ISNUMBER('자료_한국심리'!$H3519)),'자료_한국심리'!$G3519,"")</f>
        <v/>
      </c>
      <c r="X3535">
        <f>IF(AND(ISNUMBER('자료_한국심리'!$J3519),ISNUMBER('자료_한국심리'!$K3519)),'자료_한국심리'!$J3519,"")</f>
        <v/>
      </c>
      <c r="Y3535">
        <f>IF(AND(ISNUMBER('자료_한국심리'!$M3519),ISNUMBER('자료_한국심리'!$N3519)),'자료_한국심리'!$M3519,"")</f>
        <v/>
      </c>
    </row>
    <row r="3536">
      <c r="U3536">
        <f>IF(AND(ISNUMBER('자료_한국심리'!$A3520),ISNUMBER('자료_한국심리'!$B3520)),'자료_한국심리'!$A3520,"")</f>
        <v/>
      </c>
      <c r="V3536">
        <f>IF(AND(ISNUMBER('자료_한국심리'!$D3520),ISNUMBER('자료_한국심리'!$E3520)),'자료_한국심리'!$D3520,"")</f>
        <v/>
      </c>
      <c r="W3536">
        <f>IF(AND(ISNUMBER('자료_한국심리'!$G3520),ISNUMBER('자료_한국심리'!$H3520)),'자료_한국심리'!$G3520,"")</f>
        <v/>
      </c>
      <c r="X3536">
        <f>IF(AND(ISNUMBER('자료_한국심리'!$J3520),ISNUMBER('자료_한국심리'!$K3520)),'자료_한국심리'!$J3520,"")</f>
        <v/>
      </c>
      <c r="Y3536">
        <f>IF(AND(ISNUMBER('자료_한국심리'!$M3520),ISNUMBER('자료_한국심리'!$N3520)),'자료_한국심리'!$M3520,"")</f>
        <v/>
      </c>
    </row>
    <row r="3537">
      <c r="U3537">
        <f>IF(AND(ISNUMBER('자료_한국심리'!$A3521),ISNUMBER('자료_한국심리'!$B3521)),'자료_한국심리'!$A3521,"")</f>
        <v/>
      </c>
      <c r="V3537">
        <f>IF(AND(ISNUMBER('자료_한국심리'!$D3521),ISNUMBER('자료_한국심리'!$E3521)),'자료_한국심리'!$D3521,"")</f>
        <v/>
      </c>
      <c r="W3537">
        <f>IF(AND(ISNUMBER('자료_한국심리'!$G3521),ISNUMBER('자료_한국심리'!$H3521)),'자료_한국심리'!$G3521,"")</f>
        <v/>
      </c>
      <c r="X3537">
        <f>IF(AND(ISNUMBER('자료_한국심리'!$J3521),ISNUMBER('자료_한국심리'!$K3521)),'자료_한국심리'!$J3521,"")</f>
        <v/>
      </c>
      <c r="Y3537">
        <f>IF(AND(ISNUMBER('자료_한국심리'!$M3521),ISNUMBER('자료_한국심리'!$N3521)),'자료_한국심리'!$M3521,"")</f>
        <v/>
      </c>
    </row>
    <row r="3538">
      <c r="U3538">
        <f>IF(AND(ISNUMBER('자료_한국심리'!$A3522),ISNUMBER('자료_한국심리'!$B3522)),'자료_한국심리'!$A3522,"")</f>
        <v/>
      </c>
      <c r="V3538">
        <f>IF(AND(ISNUMBER('자료_한국심리'!$D3522),ISNUMBER('자료_한국심리'!$E3522)),'자료_한국심리'!$D3522,"")</f>
        <v/>
      </c>
      <c r="W3538">
        <f>IF(AND(ISNUMBER('자료_한국심리'!$G3522),ISNUMBER('자료_한국심리'!$H3522)),'자료_한국심리'!$G3522,"")</f>
        <v/>
      </c>
      <c r="X3538">
        <f>IF(AND(ISNUMBER('자료_한국심리'!$J3522),ISNUMBER('자료_한국심리'!$K3522)),'자료_한국심리'!$J3522,"")</f>
        <v/>
      </c>
      <c r="Y3538">
        <f>IF(AND(ISNUMBER('자료_한국심리'!$M3522),ISNUMBER('자료_한국심리'!$N3522)),'자료_한국심리'!$M3522,"")</f>
        <v/>
      </c>
    </row>
    <row r="3539">
      <c r="U3539">
        <f>IF(AND(ISNUMBER('자료_한국심리'!$A3523),ISNUMBER('자료_한국심리'!$B3523)),'자료_한국심리'!$A3523,"")</f>
        <v/>
      </c>
      <c r="V3539">
        <f>IF(AND(ISNUMBER('자료_한국심리'!$D3523),ISNUMBER('자료_한국심리'!$E3523)),'자료_한국심리'!$D3523,"")</f>
        <v/>
      </c>
      <c r="W3539">
        <f>IF(AND(ISNUMBER('자료_한국심리'!$G3523),ISNUMBER('자료_한국심리'!$H3523)),'자료_한국심리'!$G3523,"")</f>
        <v/>
      </c>
      <c r="X3539">
        <f>IF(AND(ISNUMBER('자료_한국심리'!$J3523),ISNUMBER('자료_한국심리'!$K3523)),'자료_한국심리'!$J3523,"")</f>
        <v/>
      </c>
      <c r="Y3539">
        <f>IF(AND(ISNUMBER('자료_한국심리'!$M3523),ISNUMBER('자료_한국심리'!$N3523)),'자료_한국심리'!$M3523,"")</f>
        <v/>
      </c>
    </row>
    <row r="3540">
      <c r="U3540">
        <f>IF(AND(ISNUMBER('자료_한국심리'!$A3524),ISNUMBER('자료_한국심리'!$B3524)),'자료_한국심리'!$A3524,"")</f>
        <v/>
      </c>
      <c r="V3540">
        <f>IF(AND(ISNUMBER('자료_한국심리'!$D3524),ISNUMBER('자료_한국심리'!$E3524)),'자료_한국심리'!$D3524,"")</f>
        <v/>
      </c>
      <c r="W3540">
        <f>IF(AND(ISNUMBER('자료_한국심리'!$G3524),ISNUMBER('자료_한국심리'!$H3524)),'자료_한국심리'!$G3524,"")</f>
        <v/>
      </c>
      <c r="X3540">
        <f>IF(AND(ISNUMBER('자료_한국심리'!$J3524),ISNUMBER('자료_한국심리'!$K3524)),'자료_한국심리'!$J3524,"")</f>
        <v/>
      </c>
      <c r="Y3540">
        <f>IF(AND(ISNUMBER('자료_한국심리'!$M3524),ISNUMBER('자료_한국심리'!$N3524)),'자료_한국심리'!$M3524,"")</f>
        <v/>
      </c>
    </row>
    <row r="3541">
      <c r="U3541">
        <f>IF(AND(ISNUMBER('자료_한국심리'!$A3525),ISNUMBER('자료_한국심리'!$B3525)),'자료_한국심리'!$A3525,"")</f>
        <v/>
      </c>
      <c r="V3541">
        <f>IF(AND(ISNUMBER('자료_한국심리'!$D3525),ISNUMBER('자료_한국심리'!$E3525)),'자료_한국심리'!$D3525,"")</f>
        <v/>
      </c>
      <c r="W3541">
        <f>IF(AND(ISNUMBER('자료_한국심리'!$G3525),ISNUMBER('자료_한국심리'!$H3525)),'자료_한국심리'!$G3525,"")</f>
        <v/>
      </c>
      <c r="X3541">
        <f>IF(AND(ISNUMBER('자료_한국심리'!$J3525),ISNUMBER('자료_한국심리'!$K3525)),'자료_한국심리'!$J3525,"")</f>
        <v/>
      </c>
      <c r="Y3541">
        <f>IF(AND(ISNUMBER('자료_한국심리'!$M3525),ISNUMBER('자료_한국심리'!$N3525)),'자료_한국심리'!$M3525,"")</f>
        <v/>
      </c>
    </row>
    <row r="3542">
      <c r="U3542">
        <f>IF(AND(ISNUMBER('자료_한국심리'!$A3526),ISNUMBER('자료_한국심리'!$B3526)),'자료_한국심리'!$A3526,"")</f>
        <v/>
      </c>
      <c r="V3542">
        <f>IF(AND(ISNUMBER('자료_한국심리'!$D3526),ISNUMBER('자료_한국심리'!$E3526)),'자료_한국심리'!$D3526,"")</f>
        <v/>
      </c>
      <c r="W3542">
        <f>IF(AND(ISNUMBER('자료_한국심리'!$G3526),ISNUMBER('자료_한국심리'!$H3526)),'자료_한국심리'!$G3526,"")</f>
        <v/>
      </c>
      <c r="X3542">
        <f>IF(AND(ISNUMBER('자료_한국심리'!$J3526),ISNUMBER('자료_한국심리'!$K3526)),'자료_한국심리'!$J3526,"")</f>
        <v/>
      </c>
      <c r="Y3542">
        <f>IF(AND(ISNUMBER('자료_한국심리'!$M3526),ISNUMBER('자료_한국심리'!$N3526)),'자료_한국심리'!$M3526,"")</f>
        <v/>
      </c>
    </row>
    <row r="3543">
      <c r="U3543">
        <f>IF(AND(ISNUMBER('자료_한국심리'!$A3527),ISNUMBER('자료_한국심리'!$B3527)),'자료_한국심리'!$A3527,"")</f>
        <v/>
      </c>
      <c r="V3543">
        <f>IF(AND(ISNUMBER('자료_한국심리'!$D3527),ISNUMBER('자료_한국심리'!$E3527)),'자료_한국심리'!$D3527,"")</f>
        <v/>
      </c>
      <c r="W3543">
        <f>IF(AND(ISNUMBER('자료_한국심리'!$G3527),ISNUMBER('자료_한국심리'!$H3527)),'자료_한국심리'!$G3527,"")</f>
        <v/>
      </c>
      <c r="X3543">
        <f>IF(AND(ISNUMBER('자료_한국심리'!$J3527),ISNUMBER('자료_한국심리'!$K3527)),'자료_한국심리'!$J3527,"")</f>
        <v/>
      </c>
      <c r="Y3543">
        <f>IF(AND(ISNUMBER('자료_한국심리'!$M3527),ISNUMBER('자료_한국심리'!$N3527)),'자료_한국심리'!$M3527,"")</f>
        <v/>
      </c>
    </row>
    <row r="3544">
      <c r="U3544">
        <f>IF(AND(ISNUMBER('자료_한국심리'!$A3528),ISNUMBER('자료_한국심리'!$B3528)),'자료_한국심리'!$A3528,"")</f>
        <v/>
      </c>
      <c r="V3544">
        <f>IF(AND(ISNUMBER('자료_한국심리'!$D3528),ISNUMBER('자료_한국심리'!$E3528)),'자료_한국심리'!$D3528,"")</f>
        <v/>
      </c>
      <c r="W3544">
        <f>IF(AND(ISNUMBER('자료_한국심리'!$G3528),ISNUMBER('자료_한국심리'!$H3528)),'자료_한국심리'!$G3528,"")</f>
        <v/>
      </c>
      <c r="X3544">
        <f>IF(AND(ISNUMBER('자료_한국심리'!$J3528),ISNUMBER('자료_한국심리'!$K3528)),'자료_한국심리'!$J3528,"")</f>
        <v/>
      </c>
      <c r="Y3544">
        <f>IF(AND(ISNUMBER('자료_한국심리'!$M3528),ISNUMBER('자료_한국심리'!$N3528)),'자료_한국심리'!$M3528,"")</f>
        <v/>
      </c>
    </row>
    <row r="3545">
      <c r="U3545">
        <f>IF(AND(ISNUMBER('자료_한국심리'!$A3529),ISNUMBER('자료_한국심리'!$B3529)),'자료_한국심리'!$A3529,"")</f>
        <v/>
      </c>
      <c r="V3545">
        <f>IF(AND(ISNUMBER('자료_한국심리'!$D3529),ISNUMBER('자료_한국심리'!$E3529)),'자료_한국심리'!$D3529,"")</f>
        <v/>
      </c>
      <c r="W3545">
        <f>IF(AND(ISNUMBER('자료_한국심리'!$G3529),ISNUMBER('자료_한국심리'!$H3529)),'자료_한국심리'!$G3529,"")</f>
        <v/>
      </c>
      <c r="X3545">
        <f>IF(AND(ISNUMBER('자료_한국심리'!$J3529),ISNUMBER('자료_한국심리'!$K3529)),'자료_한국심리'!$J3529,"")</f>
        <v/>
      </c>
      <c r="Y3545">
        <f>IF(AND(ISNUMBER('자료_한국심리'!$M3529),ISNUMBER('자료_한국심리'!$N3529)),'자료_한국심리'!$M3529,"")</f>
        <v/>
      </c>
    </row>
    <row r="3546">
      <c r="U3546">
        <f>IF(AND(ISNUMBER('자료_한국심리'!$A3530),ISNUMBER('자료_한국심리'!$B3530)),'자료_한국심리'!$A3530,"")</f>
        <v/>
      </c>
      <c r="V3546">
        <f>IF(AND(ISNUMBER('자료_한국심리'!$D3530),ISNUMBER('자료_한국심리'!$E3530)),'자료_한국심리'!$D3530,"")</f>
        <v/>
      </c>
      <c r="W3546">
        <f>IF(AND(ISNUMBER('자료_한국심리'!$G3530),ISNUMBER('자료_한국심리'!$H3530)),'자료_한국심리'!$G3530,"")</f>
        <v/>
      </c>
      <c r="X3546">
        <f>IF(AND(ISNUMBER('자료_한국심리'!$J3530),ISNUMBER('자료_한국심리'!$K3530)),'자료_한국심리'!$J3530,"")</f>
        <v/>
      </c>
      <c r="Y3546">
        <f>IF(AND(ISNUMBER('자료_한국심리'!$M3530),ISNUMBER('자료_한국심리'!$N3530)),'자료_한국심리'!$M3530,"")</f>
        <v/>
      </c>
    </row>
    <row r="3547">
      <c r="U3547">
        <f>IF(AND(ISNUMBER('자료_한국심리'!$A3531),ISNUMBER('자료_한국심리'!$B3531)),'자료_한국심리'!$A3531,"")</f>
        <v/>
      </c>
      <c r="V3547">
        <f>IF(AND(ISNUMBER('자료_한국심리'!$D3531),ISNUMBER('자료_한국심리'!$E3531)),'자료_한국심리'!$D3531,"")</f>
        <v/>
      </c>
      <c r="W3547">
        <f>IF(AND(ISNUMBER('자료_한국심리'!$G3531),ISNUMBER('자료_한국심리'!$H3531)),'자료_한국심리'!$G3531,"")</f>
        <v/>
      </c>
      <c r="X3547">
        <f>IF(AND(ISNUMBER('자료_한국심리'!$J3531),ISNUMBER('자료_한국심리'!$K3531)),'자료_한국심리'!$J3531,"")</f>
        <v/>
      </c>
      <c r="Y3547">
        <f>IF(AND(ISNUMBER('자료_한국심리'!$M3531),ISNUMBER('자료_한국심리'!$N3531)),'자료_한국심리'!$M3531,"")</f>
        <v/>
      </c>
    </row>
    <row r="3548">
      <c r="U3548">
        <f>IF(AND(ISNUMBER('자료_한국심리'!$A3532),ISNUMBER('자료_한국심리'!$B3532)),'자료_한국심리'!$A3532,"")</f>
        <v/>
      </c>
      <c r="V3548">
        <f>IF(AND(ISNUMBER('자료_한국심리'!$D3532),ISNUMBER('자료_한국심리'!$E3532)),'자료_한국심리'!$D3532,"")</f>
        <v/>
      </c>
      <c r="W3548">
        <f>IF(AND(ISNUMBER('자료_한국심리'!$G3532),ISNUMBER('자료_한국심리'!$H3532)),'자료_한국심리'!$G3532,"")</f>
        <v/>
      </c>
      <c r="X3548">
        <f>IF(AND(ISNUMBER('자료_한국심리'!$J3532),ISNUMBER('자료_한국심리'!$K3532)),'자료_한국심리'!$J3532,"")</f>
        <v/>
      </c>
      <c r="Y3548">
        <f>IF(AND(ISNUMBER('자료_한국심리'!$M3532),ISNUMBER('자료_한국심리'!$N3532)),'자료_한국심리'!$M3532,"")</f>
        <v/>
      </c>
    </row>
    <row r="3549">
      <c r="U3549">
        <f>IF(AND(ISNUMBER('자료_한국심리'!$A3533),ISNUMBER('자료_한국심리'!$B3533)),'자료_한국심리'!$A3533,"")</f>
        <v/>
      </c>
      <c r="V3549">
        <f>IF(AND(ISNUMBER('자료_한국심리'!$D3533),ISNUMBER('자료_한국심리'!$E3533)),'자료_한국심리'!$D3533,"")</f>
        <v/>
      </c>
      <c r="W3549">
        <f>IF(AND(ISNUMBER('자료_한국심리'!$G3533),ISNUMBER('자료_한국심리'!$H3533)),'자료_한국심리'!$G3533,"")</f>
        <v/>
      </c>
      <c r="X3549">
        <f>IF(AND(ISNUMBER('자료_한국심리'!$J3533),ISNUMBER('자료_한국심리'!$K3533)),'자료_한국심리'!$J3533,"")</f>
        <v/>
      </c>
      <c r="Y3549">
        <f>IF(AND(ISNUMBER('자료_한국심리'!$M3533),ISNUMBER('자료_한국심리'!$N3533)),'자료_한국심리'!$M3533,"")</f>
        <v/>
      </c>
    </row>
    <row r="3550">
      <c r="U3550">
        <f>IF(AND(ISNUMBER('자료_한국심리'!$A3534),ISNUMBER('자료_한국심리'!$B3534)),'자료_한국심리'!$A3534,"")</f>
        <v/>
      </c>
      <c r="V3550">
        <f>IF(AND(ISNUMBER('자료_한국심리'!$D3534),ISNUMBER('자료_한국심리'!$E3534)),'자료_한국심리'!$D3534,"")</f>
        <v/>
      </c>
      <c r="W3550">
        <f>IF(AND(ISNUMBER('자료_한국심리'!$G3534),ISNUMBER('자료_한국심리'!$H3534)),'자료_한국심리'!$G3534,"")</f>
        <v/>
      </c>
      <c r="X3550">
        <f>IF(AND(ISNUMBER('자료_한국심리'!$J3534),ISNUMBER('자료_한국심리'!$K3534)),'자료_한국심리'!$J3534,"")</f>
        <v/>
      </c>
      <c r="Y3550">
        <f>IF(AND(ISNUMBER('자료_한국심리'!$M3534),ISNUMBER('자료_한국심리'!$N3534)),'자료_한국심리'!$M3534,"")</f>
        <v/>
      </c>
    </row>
    <row r="3551">
      <c r="U3551">
        <f>IF(AND(ISNUMBER('자료_한국심리'!$A3535),ISNUMBER('자료_한국심리'!$B3535)),'자료_한국심리'!$A3535,"")</f>
        <v/>
      </c>
      <c r="V3551">
        <f>IF(AND(ISNUMBER('자료_한국심리'!$D3535),ISNUMBER('자료_한국심리'!$E3535)),'자료_한국심리'!$D3535,"")</f>
        <v/>
      </c>
      <c r="W3551">
        <f>IF(AND(ISNUMBER('자료_한국심리'!$G3535),ISNUMBER('자료_한국심리'!$H3535)),'자료_한국심리'!$G3535,"")</f>
        <v/>
      </c>
      <c r="X3551">
        <f>IF(AND(ISNUMBER('자료_한국심리'!$J3535),ISNUMBER('자료_한국심리'!$K3535)),'자료_한국심리'!$J3535,"")</f>
        <v/>
      </c>
      <c r="Y3551">
        <f>IF(AND(ISNUMBER('자료_한국심리'!$M3535),ISNUMBER('자료_한국심리'!$N3535)),'자료_한국심리'!$M3535,"")</f>
        <v/>
      </c>
    </row>
    <row r="3552">
      <c r="U3552">
        <f>IF(AND(ISNUMBER('자료_한국심리'!$A3536),ISNUMBER('자료_한국심리'!$B3536)),'자료_한국심리'!$A3536,"")</f>
        <v/>
      </c>
      <c r="V3552">
        <f>IF(AND(ISNUMBER('자료_한국심리'!$D3536),ISNUMBER('자료_한국심리'!$E3536)),'자료_한국심리'!$D3536,"")</f>
        <v/>
      </c>
      <c r="W3552">
        <f>IF(AND(ISNUMBER('자료_한국심리'!$G3536),ISNUMBER('자료_한국심리'!$H3536)),'자료_한국심리'!$G3536,"")</f>
        <v/>
      </c>
      <c r="X3552">
        <f>IF(AND(ISNUMBER('자료_한국심리'!$J3536),ISNUMBER('자료_한국심리'!$K3536)),'자료_한국심리'!$J3536,"")</f>
        <v/>
      </c>
      <c r="Y3552">
        <f>IF(AND(ISNUMBER('자료_한국심리'!$M3536),ISNUMBER('자료_한국심리'!$N3536)),'자료_한국심리'!$M3536,"")</f>
        <v/>
      </c>
    </row>
    <row r="3553">
      <c r="U3553">
        <f>IF(AND(ISNUMBER('자료_한국심리'!$A3537),ISNUMBER('자료_한국심리'!$B3537)),'자료_한국심리'!$A3537,"")</f>
        <v/>
      </c>
      <c r="V3553">
        <f>IF(AND(ISNUMBER('자료_한국심리'!$D3537),ISNUMBER('자료_한국심리'!$E3537)),'자료_한국심리'!$D3537,"")</f>
        <v/>
      </c>
      <c r="W3553">
        <f>IF(AND(ISNUMBER('자료_한국심리'!$G3537),ISNUMBER('자료_한국심리'!$H3537)),'자료_한국심리'!$G3537,"")</f>
        <v/>
      </c>
      <c r="X3553">
        <f>IF(AND(ISNUMBER('자료_한국심리'!$J3537),ISNUMBER('자료_한국심리'!$K3537)),'자료_한국심리'!$J3537,"")</f>
        <v/>
      </c>
      <c r="Y3553">
        <f>IF(AND(ISNUMBER('자료_한국심리'!$M3537),ISNUMBER('자료_한국심리'!$N3537)),'자료_한국심리'!$M3537,"")</f>
        <v/>
      </c>
    </row>
    <row r="3554">
      <c r="U3554">
        <f>IF(AND(ISNUMBER('자료_한국심리'!$A3538),ISNUMBER('자료_한국심리'!$B3538)),'자료_한국심리'!$A3538,"")</f>
        <v/>
      </c>
      <c r="V3554">
        <f>IF(AND(ISNUMBER('자료_한국심리'!$D3538),ISNUMBER('자료_한국심리'!$E3538)),'자료_한국심리'!$D3538,"")</f>
        <v/>
      </c>
      <c r="W3554">
        <f>IF(AND(ISNUMBER('자료_한국심리'!$G3538),ISNUMBER('자료_한국심리'!$H3538)),'자료_한국심리'!$G3538,"")</f>
        <v/>
      </c>
      <c r="X3554">
        <f>IF(AND(ISNUMBER('자료_한국심리'!$J3538),ISNUMBER('자료_한국심리'!$K3538)),'자료_한국심리'!$J3538,"")</f>
        <v/>
      </c>
      <c r="Y3554">
        <f>IF(AND(ISNUMBER('자료_한국심리'!$M3538),ISNUMBER('자료_한국심리'!$N3538)),'자료_한국심리'!$M3538,"")</f>
        <v/>
      </c>
    </row>
    <row r="3555">
      <c r="U3555">
        <f>IF(AND(ISNUMBER('자료_한국심리'!$A3539),ISNUMBER('자료_한국심리'!$B3539)),'자료_한국심리'!$A3539,"")</f>
        <v/>
      </c>
      <c r="V3555">
        <f>IF(AND(ISNUMBER('자료_한국심리'!$D3539),ISNUMBER('자료_한국심리'!$E3539)),'자료_한국심리'!$D3539,"")</f>
        <v/>
      </c>
      <c r="W3555">
        <f>IF(AND(ISNUMBER('자료_한국심리'!$G3539),ISNUMBER('자료_한국심리'!$H3539)),'자료_한국심리'!$G3539,"")</f>
        <v/>
      </c>
      <c r="X3555">
        <f>IF(AND(ISNUMBER('자료_한국심리'!$J3539),ISNUMBER('자료_한국심리'!$K3539)),'자료_한국심리'!$J3539,"")</f>
        <v/>
      </c>
      <c r="Y3555">
        <f>IF(AND(ISNUMBER('자료_한국심리'!$M3539),ISNUMBER('자료_한국심리'!$N3539)),'자료_한국심리'!$M3539,"")</f>
        <v/>
      </c>
    </row>
    <row r="3556">
      <c r="U3556">
        <f>IF(AND(ISNUMBER('자료_한국심리'!$A3540),ISNUMBER('자료_한국심리'!$B3540)),'자료_한국심리'!$A3540,"")</f>
        <v/>
      </c>
      <c r="V3556">
        <f>IF(AND(ISNUMBER('자료_한국심리'!$D3540),ISNUMBER('자료_한국심리'!$E3540)),'자료_한국심리'!$D3540,"")</f>
        <v/>
      </c>
      <c r="W3556">
        <f>IF(AND(ISNUMBER('자료_한국심리'!$G3540),ISNUMBER('자료_한국심리'!$H3540)),'자료_한국심리'!$G3540,"")</f>
        <v/>
      </c>
      <c r="X3556">
        <f>IF(AND(ISNUMBER('자료_한국심리'!$J3540),ISNUMBER('자료_한국심리'!$K3540)),'자료_한국심리'!$J3540,"")</f>
        <v/>
      </c>
      <c r="Y3556">
        <f>IF(AND(ISNUMBER('자료_한국심리'!$M3540),ISNUMBER('자료_한국심리'!$N3540)),'자료_한국심리'!$M3540,"")</f>
        <v/>
      </c>
    </row>
    <row r="3557">
      <c r="U3557">
        <f>IF(AND(ISNUMBER('자료_한국심리'!$A3541),ISNUMBER('자료_한국심리'!$B3541)),'자료_한국심리'!$A3541,"")</f>
        <v/>
      </c>
      <c r="V3557">
        <f>IF(AND(ISNUMBER('자료_한국심리'!$D3541),ISNUMBER('자료_한국심리'!$E3541)),'자료_한국심리'!$D3541,"")</f>
        <v/>
      </c>
      <c r="W3557">
        <f>IF(AND(ISNUMBER('자료_한국심리'!$G3541),ISNUMBER('자료_한국심리'!$H3541)),'자료_한국심리'!$G3541,"")</f>
        <v/>
      </c>
      <c r="X3557">
        <f>IF(AND(ISNUMBER('자료_한국심리'!$J3541),ISNUMBER('자료_한국심리'!$K3541)),'자료_한국심리'!$J3541,"")</f>
        <v/>
      </c>
      <c r="Y3557">
        <f>IF(AND(ISNUMBER('자료_한국심리'!$M3541),ISNUMBER('자료_한국심리'!$N3541)),'자료_한국심리'!$M3541,"")</f>
        <v/>
      </c>
    </row>
    <row r="3558">
      <c r="U3558">
        <f>IF(AND(ISNUMBER('자료_한국심리'!$A3542),ISNUMBER('자료_한국심리'!$B3542)),'자료_한국심리'!$A3542,"")</f>
        <v/>
      </c>
      <c r="V3558">
        <f>IF(AND(ISNUMBER('자료_한국심리'!$D3542),ISNUMBER('자료_한국심리'!$E3542)),'자료_한국심리'!$D3542,"")</f>
        <v/>
      </c>
      <c r="W3558">
        <f>IF(AND(ISNUMBER('자료_한국심리'!$G3542),ISNUMBER('자료_한국심리'!$H3542)),'자료_한국심리'!$G3542,"")</f>
        <v/>
      </c>
      <c r="X3558">
        <f>IF(AND(ISNUMBER('자료_한국심리'!$J3542),ISNUMBER('자료_한국심리'!$K3542)),'자료_한국심리'!$J3542,"")</f>
        <v/>
      </c>
      <c r="Y3558">
        <f>IF(AND(ISNUMBER('자료_한국심리'!$M3542),ISNUMBER('자료_한국심리'!$N3542)),'자료_한국심리'!$M3542,"")</f>
        <v/>
      </c>
    </row>
    <row r="3559">
      <c r="U3559">
        <f>IF(AND(ISNUMBER('자료_한국심리'!$A3543),ISNUMBER('자료_한국심리'!$B3543)),'자료_한국심리'!$A3543,"")</f>
        <v/>
      </c>
      <c r="V3559">
        <f>IF(AND(ISNUMBER('자료_한국심리'!$D3543),ISNUMBER('자료_한국심리'!$E3543)),'자료_한국심리'!$D3543,"")</f>
        <v/>
      </c>
      <c r="W3559">
        <f>IF(AND(ISNUMBER('자료_한국심리'!$G3543),ISNUMBER('자료_한국심리'!$H3543)),'자료_한국심리'!$G3543,"")</f>
        <v/>
      </c>
      <c r="X3559">
        <f>IF(AND(ISNUMBER('자료_한국심리'!$J3543),ISNUMBER('자료_한국심리'!$K3543)),'자료_한국심리'!$J3543,"")</f>
        <v/>
      </c>
      <c r="Y3559">
        <f>IF(AND(ISNUMBER('자료_한국심리'!$M3543),ISNUMBER('자료_한국심리'!$N3543)),'자료_한국심리'!$M3543,"")</f>
        <v/>
      </c>
    </row>
    <row r="3560">
      <c r="U3560">
        <f>IF(AND(ISNUMBER('자료_한국심리'!$A3544),ISNUMBER('자료_한국심리'!$B3544)),'자료_한국심리'!$A3544,"")</f>
        <v/>
      </c>
      <c r="V3560">
        <f>IF(AND(ISNUMBER('자료_한국심리'!$D3544),ISNUMBER('자료_한국심리'!$E3544)),'자료_한국심리'!$D3544,"")</f>
        <v/>
      </c>
      <c r="W3560">
        <f>IF(AND(ISNUMBER('자료_한국심리'!$G3544),ISNUMBER('자료_한국심리'!$H3544)),'자료_한국심리'!$G3544,"")</f>
        <v/>
      </c>
      <c r="X3560">
        <f>IF(AND(ISNUMBER('자료_한국심리'!$J3544),ISNUMBER('자료_한국심리'!$K3544)),'자료_한국심리'!$J3544,"")</f>
        <v/>
      </c>
      <c r="Y3560">
        <f>IF(AND(ISNUMBER('자료_한국심리'!$M3544),ISNUMBER('자료_한국심리'!$N3544)),'자료_한국심리'!$M3544,"")</f>
        <v/>
      </c>
    </row>
    <row r="3561">
      <c r="U3561">
        <f>IF(AND(ISNUMBER('자료_한국심리'!$A3545),ISNUMBER('자료_한국심리'!$B3545)),'자료_한국심리'!$A3545,"")</f>
        <v/>
      </c>
      <c r="V3561">
        <f>IF(AND(ISNUMBER('자료_한국심리'!$D3545),ISNUMBER('자료_한국심리'!$E3545)),'자료_한국심리'!$D3545,"")</f>
        <v/>
      </c>
      <c r="W3561">
        <f>IF(AND(ISNUMBER('자료_한국심리'!$G3545),ISNUMBER('자료_한국심리'!$H3545)),'자료_한국심리'!$G3545,"")</f>
        <v/>
      </c>
      <c r="X3561">
        <f>IF(AND(ISNUMBER('자료_한국심리'!$J3545),ISNUMBER('자료_한국심리'!$K3545)),'자료_한국심리'!$J3545,"")</f>
        <v/>
      </c>
      <c r="Y3561">
        <f>IF(AND(ISNUMBER('자료_한국심리'!$M3545),ISNUMBER('자료_한국심리'!$N3545)),'자료_한국심리'!$M3545,"")</f>
        <v/>
      </c>
    </row>
    <row r="3562">
      <c r="U3562">
        <f>IF(AND(ISNUMBER('자료_한국심리'!$A3546),ISNUMBER('자료_한국심리'!$B3546)),'자료_한국심리'!$A3546,"")</f>
        <v/>
      </c>
      <c r="V3562">
        <f>IF(AND(ISNUMBER('자료_한국심리'!$D3546),ISNUMBER('자료_한국심리'!$E3546)),'자료_한국심리'!$D3546,"")</f>
        <v/>
      </c>
      <c r="W3562">
        <f>IF(AND(ISNUMBER('자료_한국심리'!$G3546),ISNUMBER('자료_한국심리'!$H3546)),'자료_한국심리'!$G3546,"")</f>
        <v/>
      </c>
      <c r="X3562">
        <f>IF(AND(ISNUMBER('자료_한국심리'!$J3546),ISNUMBER('자료_한국심리'!$K3546)),'자료_한국심리'!$J3546,"")</f>
        <v/>
      </c>
      <c r="Y3562">
        <f>IF(AND(ISNUMBER('자료_한국심리'!$M3546),ISNUMBER('자료_한국심리'!$N3546)),'자료_한국심리'!$M3546,"")</f>
        <v/>
      </c>
    </row>
    <row r="3563">
      <c r="U3563">
        <f>IF(AND(ISNUMBER('자료_한국심리'!$A3547),ISNUMBER('자료_한국심리'!$B3547)),'자료_한국심리'!$A3547,"")</f>
        <v/>
      </c>
      <c r="V3563">
        <f>IF(AND(ISNUMBER('자료_한국심리'!$D3547),ISNUMBER('자료_한국심리'!$E3547)),'자료_한국심리'!$D3547,"")</f>
        <v/>
      </c>
      <c r="W3563">
        <f>IF(AND(ISNUMBER('자료_한국심리'!$G3547),ISNUMBER('자료_한국심리'!$H3547)),'자료_한국심리'!$G3547,"")</f>
        <v/>
      </c>
      <c r="X3563">
        <f>IF(AND(ISNUMBER('자료_한국심리'!$J3547),ISNUMBER('자료_한국심리'!$K3547)),'자료_한국심리'!$J3547,"")</f>
        <v/>
      </c>
      <c r="Y3563">
        <f>IF(AND(ISNUMBER('자료_한국심리'!$M3547),ISNUMBER('자료_한국심리'!$N3547)),'자료_한국심리'!$M3547,"")</f>
        <v/>
      </c>
    </row>
    <row r="3564">
      <c r="U3564">
        <f>IF(AND(ISNUMBER('자료_한국심리'!$A3548),ISNUMBER('자료_한국심리'!$B3548)),'자료_한국심리'!$A3548,"")</f>
        <v/>
      </c>
      <c r="V3564">
        <f>IF(AND(ISNUMBER('자료_한국심리'!$D3548),ISNUMBER('자료_한국심리'!$E3548)),'자료_한국심리'!$D3548,"")</f>
        <v/>
      </c>
      <c r="W3564">
        <f>IF(AND(ISNUMBER('자료_한국심리'!$G3548),ISNUMBER('자료_한국심리'!$H3548)),'자료_한국심리'!$G3548,"")</f>
        <v/>
      </c>
      <c r="X3564">
        <f>IF(AND(ISNUMBER('자료_한국심리'!$J3548),ISNUMBER('자료_한국심리'!$K3548)),'자료_한국심리'!$J3548,"")</f>
        <v/>
      </c>
      <c r="Y3564">
        <f>IF(AND(ISNUMBER('자료_한국심리'!$M3548),ISNUMBER('자료_한국심리'!$N3548)),'자료_한국심리'!$M3548,"")</f>
        <v/>
      </c>
    </row>
    <row r="3565">
      <c r="U3565">
        <f>IF(AND(ISNUMBER('자료_한국심리'!$A3549),ISNUMBER('자료_한국심리'!$B3549)),'자료_한국심리'!$A3549,"")</f>
        <v/>
      </c>
      <c r="V3565">
        <f>IF(AND(ISNUMBER('자료_한국심리'!$D3549),ISNUMBER('자료_한국심리'!$E3549)),'자료_한국심리'!$D3549,"")</f>
        <v/>
      </c>
      <c r="W3565">
        <f>IF(AND(ISNUMBER('자료_한국심리'!$G3549),ISNUMBER('자료_한국심리'!$H3549)),'자료_한국심리'!$G3549,"")</f>
        <v/>
      </c>
      <c r="X3565">
        <f>IF(AND(ISNUMBER('자료_한국심리'!$J3549),ISNUMBER('자료_한국심리'!$K3549)),'자료_한국심리'!$J3549,"")</f>
        <v/>
      </c>
      <c r="Y3565">
        <f>IF(AND(ISNUMBER('자료_한국심리'!$M3549),ISNUMBER('자료_한국심리'!$N3549)),'자료_한국심리'!$M3549,"")</f>
        <v/>
      </c>
    </row>
    <row r="3566">
      <c r="U3566">
        <f>IF(AND(ISNUMBER('자료_한국심리'!$A3550),ISNUMBER('자료_한국심리'!$B3550)),'자료_한국심리'!$A3550,"")</f>
        <v/>
      </c>
      <c r="V3566">
        <f>IF(AND(ISNUMBER('자료_한국심리'!$D3550),ISNUMBER('자료_한국심리'!$E3550)),'자료_한국심리'!$D3550,"")</f>
        <v/>
      </c>
      <c r="W3566">
        <f>IF(AND(ISNUMBER('자료_한국심리'!$G3550),ISNUMBER('자료_한국심리'!$H3550)),'자료_한국심리'!$G3550,"")</f>
        <v/>
      </c>
      <c r="X3566">
        <f>IF(AND(ISNUMBER('자료_한국심리'!$J3550),ISNUMBER('자료_한국심리'!$K3550)),'자료_한국심리'!$J3550,"")</f>
        <v/>
      </c>
      <c r="Y3566">
        <f>IF(AND(ISNUMBER('자료_한국심리'!$M3550),ISNUMBER('자료_한국심리'!$N3550)),'자료_한국심리'!$M3550,"")</f>
        <v/>
      </c>
    </row>
    <row r="3567">
      <c r="U3567">
        <f>IF(AND(ISNUMBER('자료_한국심리'!$A3551),ISNUMBER('자료_한국심리'!$B3551)),'자료_한국심리'!$A3551,"")</f>
        <v/>
      </c>
      <c r="V3567">
        <f>IF(AND(ISNUMBER('자료_한국심리'!$D3551),ISNUMBER('자료_한국심리'!$E3551)),'자료_한국심리'!$D3551,"")</f>
        <v/>
      </c>
      <c r="W3567">
        <f>IF(AND(ISNUMBER('자료_한국심리'!$G3551),ISNUMBER('자료_한국심리'!$H3551)),'자료_한국심리'!$G3551,"")</f>
        <v/>
      </c>
      <c r="X3567">
        <f>IF(AND(ISNUMBER('자료_한국심리'!$J3551),ISNUMBER('자료_한국심리'!$K3551)),'자료_한국심리'!$J3551,"")</f>
        <v/>
      </c>
      <c r="Y3567">
        <f>IF(AND(ISNUMBER('자료_한국심리'!$M3551),ISNUMBER('자료_한국심리'!$N3551)),'자료_한국심리'!$M3551,"")</f>
        <v/>
      </c>
    </row>
    <row r="3568">
      <c r="U3568">
        <f>IF(AND(ISNUMBER('자료_한국심리'!$A3552),ISNUMBER('자료_한국심리'!$B3552)),'자료_한국심리'!$A3552,"")</f>
        <v/>
      </c>
      <c r="V3568">
        <f>IF(AND(ISNUMBER('자료_한국심리'!$D3552),ISNUMBER('자료_한국심리'!$E3552)),'자료_한국심리'!$D3552,"")</f>
        <v/>
      </c>
      <c r="W3568">
        <f>IF(AND(ISNUMBER('자료_한국심리'!$G3552),ISNUMBER('자료_한국심리'!$H3552)),'자료_한국심리'!$G3552,"")</f>
        <v/>
      </c>
      <c r="X3568">
        <f>IF(AND(ISNUMBER('자료_한국심리'!$J3552),ISNUMBER('자료_한국심리'!$K3552)),'자료_한국심리'!$J3552,"")</f>
        <v/>
      </c>
      <c r="Y3568">
        <f>IF(AND(ISNUMBER('자료_한국심리'!$M3552),ISNUMBER('자료_한국심리'!$N3552)),'자료_한국심리'!$M3552,"")</f>
        <v/>
      </c>
    </row>
    <row r="3569">
      <c r="U3569">
        <f>IF(AND(ISNUMBER('자료_한국심리'!$A3553),ISNUMBER('자료_한국심리'!$B3553)),'자료_한국심리'!$A3553,"")</f>
        <v/>
      </c>
      <c r="V3569">
        <f>IF(AND(ISNUMBER('자료_한국심리'!$D3553),ISNUMBER('자료_한국심리'!$E3553)),'자료_한국심리'!$D3553,"")</f>
        <v/>
      </c>
      <c r="W3569">
        <f>IF(AND(ISNUMBER('자료_한국심리'!$G3553),ISNUMBER('자료_한국심리'!$H3553)),'자료_한국심리'!$G3553,"")</f>
        <v/>
      </c>
      <c r="X3569">
        <f>IF(AND(ISNUMBER('자료_한국심리'!$J3553),ISNUMBER('자료_한국심리'!$K3553)),'자료_한국심리'!$J3553,"")</f>
        <v/>
      </c>
      <c r="Y3569">
        <f>IF(AND(ISNUMBER('자료_한국심리'!$M3553),ISNUMBER('자료_한국심리'!$N3553)),'자료_한국심리'!$M3553,"")</f>
        <v/>
      </c>
    </row>
    <row r="3570">
      <c r="U3570">
        <f>IF(AND(ISNUMBER('자료_한국심리'!$A3554),ISNUMBER('자료_한국심리'!$B3554)),'자료_한국심리'!$A3554,"")</f>
        <v/>
      </c>
      <c r="V3570">
        <f>IF(AND(ISNUMBER('자료_한국심리'!$D3554),ISNUMBER('자료_한국심리'!$E3554)),'자료_한국심리'!$D3554,"")</f>
        <v/>
      </c>
      <c r="W3570">
        <f>IF(AND(ISNUMBER('자료_한국심리'!$G3554),ISNUMBER('자료_한국심리'!$H3554)),'자료_한국심리'!$G3554,"")</f>
        <v/>
      </c>
      <c r="X3570">
        <f>IF(AND(ISNUMBER('자료_한국심리'!$J3554),ISNUMBER('자료_한국심리'!$K3554)),'자료_한국심리'!$J3554,"")</f>
        <v/>
      </c>
      <c r="Y3570">
        <f>IF(AND(ISNUMBER('자료_한국심리'!$M3554),ISNUMBER('자료_한국심리'!$N3554)),'자료_한국심리'!$M3554,"")</f>
        <v/>
      </c>
    </row>
    <row r="3571">
      <c r="U3571">
        <f>IF(AND(ISNUMBER('자료_한국심리'!$A3555),ISNUMBER('자료_한국심리'!$B3555)),'자료_한국심리'!$A3555,"")</f>
        <v/>
      </c>
      <c r="V3571">
        <f>IF(AND(ISNUMBER('자료_한국심리'!$D3555),ISNUMBER('자료_한국심리'!$E3555)),'자료_한국심리'!$D3555,"")</f>
        <v/>
      </c>
      <c r="W3571">
        <f>IF(AND(ISNUMBER('자료_한국심리'!$G3555),ISNUMBER('자료_한국심리'!$H3555)),'자료_한국심리'!$G3555,"")</f>
        <v/>
      </c>
      <c r="X3571">
        <f>IF(AND(ISNUMBER('자료_한국심리'!$J3555),ISNUMBER('자료_한국심리'!$K3555)),'자료_한국심리'!$J3555,"")</f>
        <v/>
      </c>
      <c r="Y3571">
        <f>IF(AND(ISNUMBER('자료_한국심리'!$M3555),ISNUMBER('자료_한국심리'!$N3555)),'자료_한국심리'!$M3555,"")</f>
        <v/>
      </c>
    </row>
    <row r="3572">
      <c r="U3572">
        <f>IF(AND(ISNUMBER('자료_한국심리'!$A3556),ISNUMBER('자료_한국심리'!$B3556)),'자료_한국심리'!$A3556,"")</f>
        <v/>
      </c>
      <c r="V3572">
        <f>IF(AND(ISNUMBER('자료_한국심리'!$D3556),ISNUMBER('자료_한국심리'!$E3556)),'자료_한국심리'!$D3556,"")</f>
        <v/>
      </c>
      <c r="W3572">
        <f>IF(AND(ISNUMBER('자료_한국심리'!$G3556),ISNUMBER('자료_한국심리'!$H3556)),'자료_한국심리'!$G3556,"")</f>
        <v/>
      </c>
      <c r="X3572">
        <f>IF(AND(ISNUMBER('자료_한국심리'!$J3556),ISNUMBER('자료_한국심리'!$K3556)),'자료_한국심리'!$J3556,"")</f>
        <v/>
      </c>
      <c r="Y3572">
        <f>IF(AND(ISNUMBER('자료_한국심리'!$M3556),ISNUMBER('자료_한국심리'!$N3556)),'자료_한국심리'!$M3556,"")</f>
        <v/>
      </c>
    </row>
    <row r="3573">
      <c r="U3573">
        <f>IF(AND(ISNUMBER('자료_한국심리'!$A3557),ISNUMBER('자료_한국심리'!$B3557)),'자료_한국심리'!$A3557,"")</f>
        <v/>
      </c>
      <c r="V3573">
        <f>IF(AND(ISNUMBER('자료_한국심리'!$D3557),ISNUMBER('자료_한국심리'!$E3557)),'자료_한국심리'!$D3557,"")</f>
        <v/>
      </c>
      <c r="W3573">
        <f>IF(AND(ISNUMBER('자료_한국심리'!$G3557),ISNUMBER('자료_한국심리'!$H3557)),'자료_한국심리'!$G3557,"")</f>
        <v/>
      </c>
      <c r="X3573">
        <f>IF(AND(ISNUMBER('자료_한국심리'!$J3557),ISNUMBER('자료_한국심리'!$K3557)),'자료_한국심리'!$J3557,"")</f>
        <v/>
      </c>
      <c r="Y3573">
        <f>IF(AND(ISNUMBER('자료_한국심리'!$M3557),ISNUMBER('자료_한국심리'!$N3557)),'자료_한국심리'!$M3557,"")</f>
        <v/>
      </c>
    </row>
    <row r="3574">
      <c r="U3574">
        <f>IF(AND(ISNUMBER('자료_한국심리'!$A3558),ISNUMBER('자료_한국심리'!$B3558)),'자료_한국심리'!$A3558,"")</f>
        <v/>
      </c>
      <c r="V3574">
        <f>IF(AND(ISNUMBER('자료_한국심리'!$D3558),ISNUMBER('자료_한국심리'!$E3558)),'자료_한국심리'!$D3558,"")</f>
        <v/>
      </c>
      <c r="W3574">
        <f>IF(AND(ISNUMBER('자료_한국심리'!$G3558),ISNUMBER('자료_한국심리'!$H3558)),'자료_한국심리'!$G3558,"")</f>
        <v/>
      </c>
      <c r="X3574">
        <f>IF(AND(ISNUMBER('자료_한국심리'!$J3558),ISNUMBER('자료_한국심리'!$K3558)),'자료_한국심리'!$J3558,"")</f>
        <v/>
      </c>
      <c r="Y3574">
        <f>IF(AND(ISNUMBER('자료_한국심리'!$M3558),ISNUMBER('자료_한국심리'!$N3558)),'자료_한국심리'!$M3558,"")</f>
        <v/>
      </c>
    </row>
    <row r="3575">
      <c r="U3575">
        <f>IF(AND(ISNUMBER('자료_한국심리'!$A3559),ISNUMBER('자료_한국심리'!$B3559)),'자료_한국심리'!$A3559,"")</f>
        <v/>
      </c>
      <c r="V3575">
        <f>IF(AND(ISNUMBER('자료_한국심리'!$D3559),ISNUMBER('자료_한국심리'!$E3559)),'자료_한국심리'!$D3559,"")</f>
        <v/>
      </c>
      <c r="W3575">
        <f>IF(AND(ISNUMBER('자료_한국심리'!$G3559),ISNUMBER('자료_한국심리'!$H3559)),'자료_한국심리'!$G3559,"")</f>
        <v/>
      </c>
      <c r="X3575">
        <f>IF(AND(ISNUMBER('자료_한국심리'!$J3559),ISNUMBER('자료_한국심리'!$K3559)),'자료_한국심리'!$J3559,"")</f>
        <v/>
      </c>
      <c r="Y3575">
        <f>IF(AND(ISNUMBER('자료_한국심리'!$M3559),ISNUMBER('자료_한국심리'!$N3559)),'자료_한국심리'!$M3559,"")</f>
        <v/>
      </c>
    </row>
    <row r="3576">
      <c r="U3576">
        <f>IF(AND(ISNUMBER('자료_한국심리'!$A3560),ISNUMBER('자료_한국심리'!$B3560)),'자료_한국심리'!$A3560,"")</f>
        <v/>
      </c>
      <c r="V3576">
        <f>IF(AND(ISNUMBER('자료_한국심리'!$D3560),ISNUMBER('자료_한국심리'!$E3560)),'자료_한국심리'!$D3560,"")</f>
        <v/>
      </c>
      <c r="W3576">
        <f>IF(AND(ISNUMBER('자료_한국심리'!$G3560),ISNUMBER('자료_한국심리'!$H3560)),'자료_한국심리'!$G3560,"")</f>
        <v/>
      </c>
      <c r="X3576">
        <f>IF(AND(ISNUMBER('자료_한국심리'!$J3560),ISNUMBER('자료_한국심리'!$K3560)),'자료_한국심리'!$J3560,"")</f>
        <v/>
      </c>
      <c r="Y3576">
        <f>IF(AND(ISNUMBER('자료_한국심리'!$M3560),ISNUMBER('자료_한국심리'!$N3560)),'자료_한국심리'!$M3560,"")</f>
        <v/>
      </c>
    </row>
    <row r="3577">
      <c r="U3577">
        <f>IF(AND(ISNUMBER('자료_한국심리'!$A3561),ISNUMBER('자료_한국심리'!$B3561)),'자료_한국심리'!$A3561,"")</f>
        <v/>
      </c>
      <c r="V3577">
        <f>IF(AND(ISNUMBER('자료_한국심리'!$D3561),ISNUMBER('자료_한국심리'!$E3561)),'자료_한국심리'!$D3561,"")</f>
        <v/>
      </c>
      <c r="W3577">
        <f>IF(AND(ISNUMBER('자료_한국심리'!$G3561),ISNUMBER('자료_한국심리'!$H3561)),'자료_한국심리'!$G3561,"")</f>
        <v/>
      </c>
      <c r="X3577">
        <f>IF(AND(ISNUMBER('자료_한국심리'!$J3561),ISNUMBER('자료_한국심리'!$K3561)),'자료_한국심리'!$J3561,"")</f>
        <v/>
      </c>
      <c r="Y3577">
        <f>IF(AND(ISNUMBER('자료_한국심리'!$M3561),ISNUMBER('자료_한국심리'!$N3561)),'자료_한국심리'!$M3561,"")</f>
        <v/>
      </c>
    </row>
    <row r="3578">
      <c r="U3578">
        <f>IF(AND(ISNUMBER('자료_한국심리'!$A3562),ISNUMBER('자료_한국심리'!$B3562)),'자료_한국심리'!$A3562,"")</f>
        <v/>
      </c>
      <c r="V3578">
        <f>IF(AND(ISNUMBER('자료_한국심리'!$D3562),ISNUMBER('자료_한국심리'!$E3562)),'자료_한국심리'!$D3562,"")</f>
        <v/>
      </c>
      <c r="W3578">
        <f>IF(AND(ISNUMBER('자료_한국심리'!$G3562),ISNUMBER('자료_한국심리'!$H3562)),'자료_한국심리'!$G3562,"")</f>
        <v/>
      </c>
      <c r="X3578">
        <f>IF(AND(ISNUMBER('자료_한국심리'!$J3562),ISNUMBER('자료_한국심리'!$K3562)),'자료_한국심리'!$J3562,"")</f>
        <v/>
      </c>
      <c r="Y3578">
        <f>IF(AND(ISNUMBER('자료_한국심리'!$M3562),ISNUMBER('자료_한국심리'!$N3562)),'자료_한국심리'!$M3562,"")</f>
        <v/>
      </c>
    </row>
    <row r="3579">
      <c r="U3579">
        <f>IF(AND(ISNUMBER('자료_한국심리'!$A3563),ISNUMBER('자료_한국심리'!$B3563)),'자료_한국심리'!$A3563,"")</f>
        <v/>
      </c>
      <c r="V3579">
        <f>IF(AND(ISNUMBER('자료_한국심리'!$D3563),ISNUMBER('자료_한국심리'!$E3563)),'자료_한국심리'!$D3563,"")</f>
        <v/>
      </c>
      <c r="W3579">
        <f>IF(AND(ISNUMBER('자료_한국심리'!$G3563),ISNUMBER('자료_한국심리'!$H3563)),'자료_한국심리'!$G3563,"")</f>
        <v/>
      </c>
      <c r="X3579">
        <f>IF(AND(ISNUMBER('자료_한국심리'!$J3563),ISNUMBER('자료_한국심리'!$K3563)),'자료_한국심리'!$J3563,"")</f>
        <v/>
      </c>
      <c r="Y3579">
        <f>IF(AND(ISNUMBER('자료_한국심리'!$M3563),ISNUMBER('자료_한국심리'!$N3563)),'자료_한국심리'!$M3563,"")</f>
        <v/>
      </c>
    </row>
    <row r="3580">
      <c r="U3580">
        <f>IF(AND(ISNUMBER('자료_한국심리'!$A3564),ISNUMBER('자료_한국심리'!$B3564)),'자료_한국심리'!$A3564,"")</f>
        <v/>
      </c>
      <c r="V3580">
        <f>IF(AND(ISNUMBER('자료_한국심리'!$D3564),ISNUMBER('자료_한국심리'!$E3564)),'자료_한국심리'!$D3564,"")</f>
        <v/>
      </c>
      <c r="W3580">
        <f>IF(AND(ISNUMBER('자료_한국심리'!$G3564),ISNUMBER('자료_한국심리'!$H3564)),'자료_한국심리'!$G3564,"")</f>
        <v/>
      </c>
      <c r="X3580">
        <f>IF(AND(ISNUMBER('자료_한국심리'!$J3564),ISNUMBER('자료_한국심리'!$K3564)),'자료_한국심리'!$J3564,"")</f>
        <v/>
      </c>
      <c r="Y3580">
        <f>IF(AND(ISNUMBER('자료_한국심리'!$M3564),ISNUMBER('자료_한국심리'!$N3564)),'자료_한국심리'!$M3564,"")</f>
        <v/>
      </c>
    </row>
    <row r="3581">
      <c r="U3581">
        <f>IF(AND(ISNUMBER('자료_한국심리'!$A3565),ISNUMBER('자료_한국심리'!$B3565)),'자료_한국심리'!$A3565,"")</f>
        <v/>
      </c>
      <c r="V3581">
        <f>IF(AND(ISNUMBER('자료_한국심리'!$D3565),ISNUMBER('자료_한국심리'!$E3565)),'자료_한국심리'!$D3565,"")</f>
        <v/>
      </c>
      <c r="W3581">
        <f>IF(AND(ISNUMBER('자료_한국심리'!$G3565),ISNUMBER('자료_한국심리'!$H3565)),'자료_한국심리'!$G3565,"")</f>
        <v/>
      </c>
      <c r="X3581">
        <f>IF(AND(ISNUMBER('자료_한국심리'!$J3565),ISNUMBER('자료_한국심리'!$K3565)),'자료_한국심리'!$J3565,"")</f>
        <v/>
      </c>
      <c r="Y3581">
        <f>IF(AND(ISNUMBER('자료_한국심리'!$M3565),ISNUMBER('자료_한국심리'!$N3565)),'자료_한국심리'!$M3565,"")</f>
        <v/>
      </c>
    </row>
    <row r="3582">
      <c r="U3582">
        <f>IF(AND(ISNUMBER('자료_한국심리'!$A3566),ISNUMBER('자료_한국심리'!$B3566)),'자료_한국심리'!$A3566,"")</f>
        <v/>
      </c>
      <c r="V3582">
        <f>IF(AND(ISNUMBER('자료_한국심리'!$D3566),ISNUMBER('자료_한국심리'!$E3566)),'자료_한국심리'!$D3566,"")</f>
        <v/>
      </c>
      <c r="W3582">
        <f>IF(AND(ISNUMBER('자료_한국심리'!$G3566),ISNUMBER('자료_한국심리'!$H3566)),'자료_한국심리'!$G3566,"")</f>
        <v/>
      </c>
      <c r="X3582">
        <f>IF(AND(ISNUMBER('자료_한국심리'!$J3566),ISNUMBER('자료_한국심리'!$K3566)),'자료_한국심리'!$J3566,"")</f>
        <v/>
      </c>
      <c r="Y3582">
        <f>IF(AND(ISNUMBER('자료_한국심리'!$M3566),ISNUMBER('자료_한국심리'!$N3566)),'자료_한국심리'!$M3566,"")</f>
        <v/>
      </c>
    </row>
    <row r="3583">
      <c r="U3583">
        <f>IF(AND(ISNUMBER('자료_한국심리'!$A3567),ISNUMBER('자료_한국심리'!$B3567)),'자료_한국심리'!$A3567,"")</f>
        <v/>
      </c>
      <c r="V3583">
        <f>IF(AND(ISNUMBER('자료_한국심리'!$D3567),ISNUMBER('자료_한국심리'!$E3567)),'자료_한국심리'!$D3567,"")</f>
        <v/>
      </c>
      <c r="W3583">
        <f>IF(AND(ISNUMBER('자료_한국심리'!$G3567),ISNUMBER('자료_한국심리'!$H3567)),'자료_한국심리'!$G3567,"")</f>
        <v/>
      </c>
      <c r="X3583">
        <f>IF(AND(ISNUMBER('자료_한국심리'!$J3567),ISNUMBER('자료_한국심리'!$K3567)),'자료_한국심리'!$J3567,"")</f>
        <v/>
      </c>
      <c r="Y3583">
        <f>IF(AND(ISNUMBER('자료_한국심리'!$M3567),ISNUMBER('자료_한국심리'!$N3567)),'자료_한국심리'!$M3567,"")</f>
        <v/>
      </c>
    </row>
    <row r="3584">
      <c r="U3584">
        <f>IF(AND(ISNUMBER('자료_한국심리'!$A3568),ISNUMBER('자료_한국심리'!$B3568)),'자료_한국심리'!$A3568,"")</f>
        <v/>
      </c>
      <c r="V3584">
        <f>IF(AND(ISNUMBER('자료_한국심리'!$D3568),ISNUMBER('자료_한국심리'!$E3568)),'자료_한국심리'!$D3568,"")</f>
        <v/>
      </c>
      <c r="W3584">
        <f>IF(AND(ISNUMBER('자료_한국심리'!$G3568),ISNUMBER('자료_한국심리'!$H3568)),'자료_한국심리'!$G3568,"")</f>
        <v/>
      </c>
      <c r="X3584">
        <f>IF(AND(ISNUMBER('자료_한국심리'!$J3568),ISNUMBER('자료_한국심리'!$K3568)),'자료_한국심리'!$J3568,"")</f>
        <v/>
      </c>
      <c r="Y3584">
        <f>IF(AND(ISNUMBER('자료_한국심리'!$M3568),ISNUMBER('자료_한국심리'!$N3568)),'자료_한국심리'!$M3568,"")</f>
        <v/>
      </c>
    </row>
    <row r="3585">
      <c r="U3585">
        <f>IF(AND(ISNUMBER('자료_한국심리'!$A3569),ISNUMBER('자료_한국심리'!$B3569)),'자료_한국심리'!$A3569,"")</f>
        <v/>
      </c>
      <c r="V3585">
        <f>IF(AND(ISNUMBER('자료_한국심리'!$D3569),ISNUMBER('자료_한국심리'!$E3569)),'자료_한국심리'!$D3569,"")</f>
        <v/>
      </c>
      <c r="W3585">
        <f>IF(AND(ISNUMBER('자료_한국심리'!$G3569),ISNUMBER('자료_한국심리'!$H3569)),'자료_한국심리'!$G3569,"")</f>
        <v/>
      </c>
      <c r="X3585">
        <f>IF(AND(ISNUMBER('자료_한국심리'!$J3569),ISNUMBER('자료_한국심리'!$K3569)),'자료_한국심리'!$J3569,"")</f>
        <v/>
      </c>
      <c r="Y3585">
        <f>IF(AND(ISNUMBER('자료_한국심리'!$M3569),ISNUMBER('자료_한국심리'!$N3569)),'자료_한국심리'!$M3569,"")</f>
        <v/>
      </c>
    </row>
    <row r="3586">
      <c r="U3586">
        <f>IF(AND(ISNUMBER('자료_한국심리'!$A3570),ISNUMBER('자료_한국심리'!$B3570)),'자료_한국심리'!$A3570,"")</f>
        <v/>
      </c>
      <c r="V3586">
        <f>IF(AND(ISNUMBER('자료_한국심리'!$D3570),ISNUMBER('자료_한국심리'!$E3570)),'자료_한국심리'!$D3570,"")</f>
        <v/>
      </c>
      <c r="W3586">
        <f>IF(AND(ISNUMBER('자료_한국심리'!$G3570),ISNUMBER('자료_한국심리'!$H3570)),'자료_한국심리'!$G3570,"")</f>
        <v/>
      </c>
      <c r="X3586">
        <f>IF(AND(ISNUMBER('자료_한국심리'!$J3570),ISNUMBER('자료_한국심리'!$K3570)),'자료_한국심리'!$J3570,"")</f>
        <v/>
      </c>
      <c r="Y3586">
        <f>IF(AND(ISNUMBER('자료_한국심리'!$M3570),ISNUMBER('자료_한국심리'!$N3570)),'자료_한국심리'!$M3570,"")</f>
        <v/>
      </c>
    </row>
    <row r="3587">
      <c r="U3587">
        <f>IF(AND(ISNUMBER('자료_한국심리'!$A3571),ISNUMBER('자료_한국심리'!$B3571)),'자료_한국심리'!$A3571,"")</f>
        <v/>
      </c>
      <c r="V3587">
        <f>IF(AND(ISNUMBER('자료_한국심리'!$D3571),ISNUMBER('자료_한국심리'!$E3571)),'자료_한국심리'!$D3571,"")</f>
        <v/>
      </c>
      <c r="W3587">
        <f>IF(AND(ISNUMBER('자료_한국심리'!$G3571),ISNUMBER('자료_한국심리'!$H3571)),'자료_한국심리'!$G3571,"")</f>
        <v/>
      </c>
      <c r="X3587">
        <f>IF(AND(ISNUMBER('자료_한국심리'!$J3571),ISNUMBER('자료_한국심리'!$K3571)),'자료_한국심리'!$J3571,"")</f>
        <v/>
      </c>
      <c r="Y3587">
        <f>IF(AND(ISNUMBER('자료_한국심리'!$M3571),ISNUMBER('자료_한국심리'!$N3571)),'자료_한국심리'!$M3571,"")</f>
        <v/>
      </c>
    </row>
    <row r="3588">
      <c r="U3588">
        <f>IF(AND(ISNUMBER('자료_한국심리'!$A3572),ISNUMBER('자료_한국심리'!$B3572)),'자료_한국심리'!$A3572,"")</f>
        <v/>
      </c>
      <c r="V3588">
        <f>IF(AND(ISNUMBER('자료_한국심리'!$D3572),ISNUMBER('자료_한국심리'!$E3572)),'자료_한국심리'!$D3572,"")</f>
        <v/>
      </c>
      <c r="W3588">
        <f>IF(AND(ISNUMBER('자료_한국심리'!$G3572),ISNUMBER('자료_한국심리'!$H3572)),'자료_한국심리'!$G3572,"")</f>
        <v/>
      </c>
      <c r="X3588">
        <f>IF(AND(ISNUMBER('자료_한국심리'!$J3572),ISNUMBER('자료_한국심리'!$K3572)),'자료_한국심리'!$J3572,"")</f>
        <v/>
      </c>
      <c r="Y3588">
        <f>IF(AND(ISNUMBER('자료_한국심리'!$M3572),ISNUMBER('자료_한국심리'!$N3572)),'자료_한국심리'!$M3572,"")</f>
        <v/>
      </c>
    </row>
    <row r="3589">
      <c r="U3589">
        <f>IF(AND(ISNUMBER('자료_한국심리'!$A3573),ISNUMBER('자료_한국심리'!$B3573)),'자료_한국심리'!$A3573,"")</f>
        <v/>
      </c>
      <c r="V3589">
        <f>IF(AND(ISNUMBER('자료_한국심리'!$D3573),ISNUMBER('자료_한국심리'!$E3573)),'자료_한국심리'!$D3573,"")</f>
        <v/>
      </c>
      <c r="W3589">
        <f>IF(AND(ISNUMBER('자료_한국심리'!$G3573),ISNUMBER('자료_한국심리'!$H3573)),'자료_한국심리'!$G3573,"")</f>
        <v/>
      </c>
      <c r="X3589">
        <f>IF(AND(ISNUMBER('자료_한국심리'!$J3573),ISNUMBER('자료_한국심리'!$K3573)),'자료_한국심리'!$J3573,"")</f>
        <v/>
      </c>
      <c r="Y3589">
        <f>IF(AND(ISNUMBER('자료_한국심리'!$M3573),ISNUMBER('자료_한국심리'!$N3573)),'자료_한국심리'!$M3573,"")</f>
        <v/>
      </c>
    </row>
    <row r="3590">
      <c r="U3590">
        <f>IF(AND(ISNUMBER('자료_한국심리'!$A3574),ISNUMBER('자료_한국심리'!$B3574)),'자료_한국심리'!$A3574,"")</f>
        <v/>
      </c>
      <c r="V3590">
        <f>IF(AND(ISNUMBER('자료_한국심리'!$D3574),ISNUMBER('자료_한국심리'!$E3574)),'자료_한국심리'!$D3574,"")</f>
        <v/>
      </c>
      <c r="W3590">
        <f>IF(AND(ISNUMBER('자료_한국심리'!$G3574),ISNUMBER('자료_한국심리'!$H3574)),'자료_한국심리'!$G3574,"")</f>
        <v/>
      </c>
      <c r="X3590">
        <f>IF(AND(ISNUMBER('자료_한국심리'!$J3574),ISNUMBER('자료_한국심리'!$K3574)),'자료_한국심리'!$J3574,"")</f>
        <v/>
      </c>
      <c r="Y3590">
        <f>IF(AND(ISNUMBER('자료_한국심리'!$M3574),ISNUMBER('자료_한국심리'!$N3574)),'자료_한국심리'!$M3574,"")</f>
        <v/>
      </c>
    </row>
    <row r="3591">
      <c r="U3591">
        <f>IF(AND(ISNUMBER('자료_한국심리'!$A3575),ISNUMBER('자료_한국심리'!$B3575)),'자료_한국심리'!$A3575,"")</f>
        <v/>
      </c>
      <c r="V3591">
        <f>IF(AND(ISNUMBER('자료_한국심리'!$D3575),ISNUMBER('자료_한국심리'!$E3575)),'자료_한국심리'!$D3575,"")</f>
        <v/>
      </c>
      <c r="W3591">
        <f>IF(AND(ISNUMBER('자료_한국심리'!$G3575),ISNUMBER('자료_한국심리'!$H3575)),'자료_한국심리'!$G3575,"")</f>
        <v/>
      </c>
      <c r="X3591">
        <f>IF(AND(ISNUMBER('자료_한국심리'!$J3575),ISNUMBER('자료_한국심리'!$K3575)),'자료_한국심리'!$J3575,"")</f>
        <v/>
      </c>
      <c r="Y3591">
        <f>IF(AND(ISNUMBER('자료_한국심리'!$M3575),ISNUMBER('자료_한국심리'!$N3575)),'자료_한국심리'!$M3575,"")</f>
        <v/>
      </c>
    </row>
    <row r="3592">
      <c r="U3592">
        <f>IF(AND(ISNUMBER('자료_한국심리'!$A3576),ISNUMBER('자료_한국심리'!$B3576)),'자료_한국심리'!$A3576,"")</f>
        <v/>
      </c>
      <c r="V3592">
        <f>IF(AND(ISNUMBER('자료_한국심리'!$D3576),ISNUMBER('자료_한국심리'!$E3576)),'자료_한국심리'!$D3576,"")</f>
        <v/>
      </c>
      <c r="W3592">
        <f>IF(AND(ISNUMBER('자료_한국심리'!$G3576),ISNUMBER('자료_한국심리'!$H3576)),'자료_한국심리'!$G3576,"")</f>
        <v/>
      </c>
      <c r="X3592">
        <f>IF(AND(ISNUMBER('자료_한국심리'!$J3576),ISNUMBER('자료_한국심리'!$K3576)),'자료_한국심리'!$J3576,"")</f>
        <v/>
      </c>
      <c r="Y3592">
        <f>IF(AND(ISNUMBER('자료_한국심리'!$M3576),ISNUMBER('자료_한국심리'!$N3576)),'자료_한국심리'!$M3576,"")</f>
        <v/>
      </c>
    </row>
    <row r="3593">
      <c r="U3593">
        <f>IF(AND(ISNUMBER('자료_한국심리'!$A3577),ISNUMBER('자료_한국심리'!$B3577)),'자료_한국심리'!$A3577,"")</f>
        <v/>
      </c>
      <c r="V3593">
        <f>IF(AND(ISNUMBER('자료_한국심리'!$D3577),ISNUMBER('자료_한국심리'!$E3577)),'자료_한국심리'!$D3577,"")</f>
        <v/>
      </c>
      <c r="W3593">
        <f>IF(AND(ISNUMBER('자료_한국심리'!$G3577),ISNUMBER('자료_한국심리'!$H3577)),'자료_한국심리'!$G3577,"")</f>
        <v/>
      </c>
      <c r="X3593">
        <f>IF(AND(ISNUMBER('자료_한국심리'!$J3577),ISNUMBER('자료_한국심리'!$K3577)),'자료_한국심리'!$J3577,"")</f>
        <v/>
      </c>
      <c r="Y3593">
        <f>IF(AND(ISNUMBER('자료_한국심리'!$M3577),ISNUMBER('자료_한국심리'!$N3577)),'자료_한국심리'!$M3577,"")</f>
        <v/>
      </c>
    </row>
    <row r="3594">
      <c r="U3594">
        <f>IF(AND(ISNUMBER('자료_한국심리'!$A3578),ISNUMBER('자료_한국심리'!$B3578)),'자료_한국심리'!$A3578,"")</f>
        <v/>
      </c>
      <c r="V3594">
        <f>IF(AND(ISNUMBER('자료_한국심리'!$D3578),ISNUMBER('자료_한국심리'!$E3578)),'자료_한국심리'!$D3578,"")</f>
        <v/>
      </c>
      <c r="W3594">
        <f>IF(AND(ISNUMBER('자료_한국심리'!$G3578),ISNUMBER('자료_한국심리'!$H3578)),'자료_한국심리'!$G3578,"")</f>
        <v/>
      </c>
      <c r="X3594">
        <f>IF(AND(ISNUMBER('자료_한국심리'!$J3578),ISNUMBER('자료_한국심리'!$K3578)),'자료_한국심리'!$J3578,"")</f>
        <v/>
      </c>
      <c r="Y3594">
        <f>IF(AND(ISNUMBER('자료_한국심리'!$M3578),ISNUMBER('자료_한국심리'!$N3578)),'자료_한국심리'!$M3578,"")</f>
        <v/>
      </c>
    </row>
    <row r="3595">
      <c r="U3595">
        <f>IF(AND(ISNUMBER('자료_한국심리'!$A3579),ISNUMBER('자료_한국심리'!$B3579)),'자료_한국심리'!$A3579,"")</f>
        <v/>
      </c>
      <c r="V3595">
        <f>IF(AND(ISNUMBER('자료_한국심리'!$D3579),ISNUMBER('자료_한국심리'!$E3579)),'자료_한국심리'!$D3579,"")</f>
        <v/>
      </c>
      <c r="W3595">
        <f>IF(AND(ISNUMBER('자료_한국심리'!$G3579),ISNUMBER('자료_한국심리'!$H3579)),'자료_한국심리'!$G3579,"")</f>
        <v/>
      </c>
      <c r="X3595">
        <f>IF(AND(ISNUMBER('자료_한국심리'!$J3579),ISNUMBER('자료_한국심리'!$K3579)),'자료_한국심리'!$J3579,"")</f>
        <v/>
      </c>
      <c r="Y3595">
        <f>IF(AND(ISNUMBER('자료_한국심리'!$M3579),ISNUMBER('자료_한국심리'!$N3579)),'자료_한국심리'!$M3579,"")</f>
        <v/>
      </c>
    </row>
    <row r="3596">
      <c r="U3596">
        <f>IF(AND(ISNUMBER('자료_한국심리'!$A3580),ISNUMBER('자료_한국심리'!$B3580)),'자료_한국심리'!$A3580,"")</f>
        <v/>
      </c>
      <c r="V3596">
        <f>IF(AND(ISNUMBER('자료_한국심리'!$D3580),ISNUMBER('자료_한국심리'!$E3580)),'자료_한국심리'!$D3580,"")</f>
        <v/>
      </c>
      <c r="W3596">
        <f>IF(AND(ISNUMBER('자료_한국심리'!$G3580),ISNUMBER('자료_한국심리'!$H3580)),'자료_한국심리'!$G3580,"")</f>
        <v/>
      </c>
      <c r="X3596">
        <f>IF(AND(ISNUMBER('자료_한국심리'!$J3580),ISNUMBER('자료_한국심리'!$K3580)),'자료_한국심리'!$J3580,"")</f>
        <v/>
      </c>
      <c r="Y3596">
        <f>IF(AND(ISNUMBER('자료_한국심리'!$M3580),ISNUMBER('자료_한국심리'!$N3580)),'자료_한국심리'!$M3580,"")</f>
        <v/>
      </c>
    </row>
    <row r="3597">
      <c r="U3597">
        <f>IF(AND(ISNUMBER('자료_한국심리'!$A3581),ISNUMBER('자료_한국심리'!$B3581)),'자료_한국심리'!$A3581,"")</f>
        <v/>
      </c>
      <c r="V3597">
        <f>IF(AND(ISNUMBER('자료_한국심리'!$D3581),ISNUMBER('자료_한국심리'!$E3581)),'자료_한국심리'!$D3581,"")</f>
        <v/>
      </c>
      <c r="W3597">
        <f>IF(AND(ISNUMBER('자료_한국심리'!$G3581),ISNUMBER('자료_한국심리'!$H3581)),'자료_한국심리'!$G3581,"")</f>
        <v/>
      </c>
      <c r="X3597">
        <f>IF(AND(ISNUMBER('자료_한국심리'!$J3581),ISNUMBER('자료_한국심리'!$K3581)),'자료_한국심리'!$J3581,"")</f>
        <v/>
      </c>
      <c r="Y3597">
        <f>IF(AND(ISNUMBER('자료_한국심리'!$M3581),ISNUMBER('자료_한국심리'!$N3581)),'자료_한국심리'!$M3581,"")</f>
        <v/>
      </c>
    </row>
    <row r="3598">
      <c r="U3598">
        <f>IF(AND(ISNUMBER('자료_한국심리'!$A3582),ISNUMBER('자료_한국심리'!$B3582)),'자료_한국심리'!$A3582,"")</f>
        <v/>
      </c>
      <c r="V3598">
        <f>IF(AND(ISNUMBER('자료_한국심리'!$D3582),ISNUMBER('자료_한국심리'!$E3582)),'자료_한국심리'!$D3582,"")</f>
        <v/>
      </c>
      <c r="W3598">
        <f>IF(AND(ISNUMBER('자료_한국심리'!$G3582),ISNUMBER('자료_한국심리'!$H3582)),'자료_한국심리'!$G3582,"")</f>
        <v/>
      </c>
      <c r="X3598">
        <f>IF(AND(ISNUMBER('자료_한국심리'!$J3582),ISNUMBER('자료_한국심리'!$K3582)),'자료_한국심리'!$J3582,"")</f>
        <v/>
      </c>
      <c r="Y3598">
        <f>IF(AND(ISNUMBER('자료_한국심리'!$M3582),ISNUMBER('자료_한국심리'!$N3582)),'자료_한국심리'!$M3582,"")</f>
        <v/>
      </c>
    </row>
    <row r="3599">
      <c r="U3599">
        <f>IF(AND(ISNUMBER('자료_한국심리'!$A3583),ISNUMBER('자료_한국심리'!$B3583)),'자료_한국심리'!$A3583,"")</f>
        <v/>
      </c>
      <c r="V3599">
        <f>IF(AND(ISNUMBER('자료_한국심리'!$D3583),ISNUMBER('자료_한국심리'!$E3583)),'자료_한국심리'!$D3583,"")</f>
        <v/>
      </c>
      <c r="W3599">
        <f>IF(AND(ISNUMBER('자료_한국심리'!$G3583),ISNUMBER('자료_한국심리'!$H3583)),'자료_한국심리'!$G3583,"")</f>
        <v/>
      </c>
      <c r="X3599">
        <f>IF(AND(ISNUMBER('자료_한국심리'!$J3583),ISNUMBER('자료_한국심리'!$K3583)),'자료_한국심리'!$J3583,"")</f>
        <v/>
      </c>
      <c r="Y3599">
        <f>IF(AND(ISNUMBER('자료_한국심리'!$M3583),ISNUMBER('자료_한국심리'!$N3583)),'자료_한국심리'!$M3583,"")</f>
        <v/>
      </c>
    </row>
    <row r="3600">
      <c r="U3600">
        <f>IF(AND(ISNUMBER('자료_한국심리'!$A3584),ISNUMBER('자료_한국심리'!$B3584)),'자료_한국심리'!$A3584,"")</f>
        <v/>
      </c>
      <c r="V3600">
        <f>IF(AND(ISNUMBER('자료_한국심리'!$D3584),ISNUMBER('자료_한국심리'!$E3584)),'자료_한국심리'!$D3584,"")</f>
        <v/>
      </c>
      <c r="W3600">
        <f>IF(AND(ISNUMBER('자료_한국심리'!$G3584),ISNUMBER('자료_한국심리'!$H3584)),'자료_한국심리'!$G3584,"")</f>
        <v/>
      </c>
      <c r="X3600">
        <f>IF(AND(ISNUMBER('자료_한국심리'!$J3584),ISNUMBER('자료_한국심리'!$K3584)),'자료_한국심리'!$J3584,"")</f>
        <v/>
      </c>
      <c r="Y3600">
        <f>IF(AND(ISNUMBER('자료_한국심리'!$M3584),ISNUMBER('자료_한국심리'!$N3584)),'자료_한국심리'!$M3584,"")</f>
        <v/>
      </c>
    </row>
    <row r="3601">
      <c r="U3601">
        <f>IF(AND(ISNUMBER('자료_한국심리'!$A3585),ISNUMBER('자료_한국심리'!$B3585)),'자료_한국심리'!$A3585,"")</f>
        <v/>
      </c>
      <c r="V3601">
        <f>IF(AND(ISNUMBER('자료_한국심리'!$D3585),ISNUMBER('자료_한국심리'!$E3585)),'자료_한국심리'!$D3585,"")</f>
        <v/>
      </c>
      <c r="W3601">
        <f>IF(AND(ISNUMBER('자료_한국심리'!$G3585),ISNUMBER('자료_한국심리'!$H3585)),'자료_한국심리'!$G3585,"")</f>
        <v/>
      </c>
      <c r="X3601">
        <f>IF(AND(ISNUMBER('자료_한국심리'!$J3585),ISNUMBER('자료_한국심리'!$K3585)),'자료_한국심리'!$J3585,"")</f>
        <v/>
      </c>
      <c r="Y3601">
        <f>IF(AND(ISNUMBER('자료_한국심리'!$M3585),ISNUMBER('자료_한국심리'!$N3585)),'자료_한국심리'!$M3585,"")</f>
        <v/>
      </c>
    </row>
    <row r="3602">
      <c r="U3602">
        <f>IF(AND(ISNUMBER('자료_한국심리'!$A3586),ISNUMBER('자료_한국심리'!$B3586)),'자료_한국심리'!$A3586,"")</f>
        <v/>
      </c>
      <c r="V3602">
        <f>IF(AND(ISNUMBER('자료_한국심리'!$D3586),ISNUMBER('자료_한국심리'!$E3586)),'자료_한국심리'!$D3586,"")</f>
        <v/>
      </c>
      <c r="W3602">
        <f>IF(AND(ISNUMBER('자료_한국심리'!$G3586),ISNUMBER('자료_한국심리'!$H3586)),'자료_한국심리'!$G3586,"")</f>
        <v/>
      </c>
      <c r="X3602">
        <f>IF(AND(ISNUMBER('자료_한국심리'!$J3586),ISNUMBER('자료_한국심리'!$K3586)),'자료_한국심리'!$J3586,"")</f>
        <v/>
      </c>
      <c r="Y3602">
        <f>IF(AND(ISNUMBER('자료_한국심리'!$M3586),ISNUMBER('자료_한국심리'!$N3586)),'자료_한국심리'!$M3586,"")</f>
        <v/>
      </c>
    </row>
    <row r="3603">
      <c r="U3603">
        <f>IF(AND(ISNUMBER('자료_한국심리'!$A3587),ISNUMBER('자료_한국심리'!$B3587)),'자료_한국심리'!$A3587,"")</f>
        <v/>
      </c>
      <c r="V3603">
        <f>IF(AND(ISNUMBER('자료_한국심리'!$D3587),ISNUMBER('자료_한국심리'!$E3587)),'자료_한국심리'!$D3587,"")</f>
        <v/>
      </c>
      <c r="W3603">
        <f>IF(AND(ISNUMBER('자료_한국심리'!$G3587),ISNUMBER('자료_한국심리'!$H3587)),'자료_한국심리'!$G3587,"")</f>
        <v/>
      </c>
      <c r="X3603">
        <f>IF(AND(ISNUMBER('자료_한국심리'!$J3587),ISNUMBER('자료_한국심리'!$K3587)),'자료_한국심리'!$J3587,"")</f>
        <v/>
      </c>
      <c r="Y3603">
        <f>IF(AND(ISNUMBER('자료_한국심리'!$M3587),ISNUMBER('자료_한국심리'!$N3587)),'자료_한국심리'!$M3587,"")</f>
        <v/>
      </c>
    </row>
    <row r="3604">
      <c r="U3604">
        <f>IF(AND(ISNUMBER('자료_한국심리'!$A3588),ISNUMBER('자료_한국심리'!$B3588)),'자료_한국심리'!$A3588,"")</f>
        <v/>
      </c>
      <c r="V3604">
        <f>IF(AND(ISNUMBER('자료_한국심리'!$D3588),ISNUMBER('자료_한국심리'!$E3588)),'자료_한국심리'!$D3588,"")</f>
        <v/>
      </c>
      <c r="W3604">
        <f>IF(AND(ISNUMBER('자료_한국심리'!$G3588),ISNUMBER('자료_한국심리'!$H3588)),'자료_한국심리'!$G3588,"")</f>
        <v/>
      </c>
      <c r="X3604">
        <f>IF(AND(ISNUMBER('자료_한국심리'!$J3588),ISNUMBER('자료_한국심리'!$K3588)),'자료_한국심리'!$J3588,"")</f>
        <v/>
      </c>
      <c r="Y3604">
        <f>IF(AND(ISNUMBER('자료_한국심리'!$M3588),ISNUMBER('자료_한국심리'!$N3588)),'자료_한국심리'!$M3588,"")</f>
        <v/>
      </c>
    </row>
    <row r="3605">
      <c r="U3605">
        <f>IF(AND(ISNUMBER('자료_한국심리'!$A3589),ISNUMBER('자료_한국심리'!$B3589)),'자료_한국심리'!$A3589,"")</f>
        <v/>
      </c>
      <c r="V3605">
        <f>IF(AND(ISNUMBER('자료_한국심리'!$D3589),ISNUMBER('자료_한국심리'!$E3589)),'자료_한국심리'!$D3589,"")</f>
        <v/>
      </c>
      <c r="W3605">
        <f>IF(AND(ISNUMBER('자료_한국심리'!$G3589),ISNUMBER('자료_한국심리'!$H3589)),'자료_한국심리'!$G3589,"")</f>
        <v/>
      </c>
      <c r="X3605">
        <f>IF(AND(ISNUMBER('자료_한국심리'!$J3589),ISNUMBER('자료_한국심리'!$K3589)),'자료_한국심리'!$J3589,"")</f>
        <v/>
      </c>
      <c r="Y3605">
        <f>IF(AND(ISNUMBER('자료_한국심리'!$M3589),ISNUMBER('자료_한국심리'!$N3589)),'자료_한국심리'!$M3589,"")</f>
        <v/>
      </c>
    </row>
    <row r="3606">
      <c r="U3606">
        <f>IF(AND(ISNUMBER('자료_한국심리'!$A3590),ISNUMBER('자료_한국심리'!$B3590)),'자료_한국심리'!$A3590,"")</f>
        <v/>
      </c>
      <c r="V3606">
        <f>IF(AND(ISNUMBER('자료_한국심리'!$D3590),ISNUMBER('자료_한국심리'!$E3590)),'자료_한국심리'!$D3590,"")</f>
        <v/>
      </c>
      <c r="W3606">
        <f>IF(AND(ISNUMBER('자료_한국심리'!$G3590),ISNUMBER('자료_한국심리'!$H3590)),'자료_한국심리'!$G3590,"")</f>
        <v/>
      </c>
      <c r="X3606">
        <f>IF(AND(ISNUMBER('자료_한국심리'!$J3590),ISNUMBER('자료_한국심리'!$K3590)),'자료_한국심리'!$J3590,"")</f>
        <v/>
      </c>
      <c r="Y3606">
        <f>IF(AND(ISNUMBER('자료_한국심리'!$M3590),ISNUMBER('자료_한국심리'!$N3590)),'자료_한국심리'!$M3590,"")</f>
        <v/>
      </c>
    </row>
    <row r="3607">
      <c r="U3607">
        <f>IF(AND(ISNUMBER('자료_한국심리'!$A3591),ISNUMBER('자료_한국심리'!$B3591)),'자료_한국심리'!$A3591,"")</f>
        <v/>
      </c>
      <c r="V3607">
        <f>IF(AND(ISNUMBER('자료_한국심리'!$D3591),ISNUMBER('자료_한국심리'!$E3591)),'자료_한국심리'!$D3591,"")</f>
        <v/>
      </c>
      <c r="W3607">
        <f>IF(AND(ISNUMBER('자료_한국심리'!$G3591),ISNUMBER('자료_한국심리'!$H3591)),'자료_한국심리'!$G3591,"")</f>
        <v/>
      </c>
      <c r="X3607">
        <f>IF(AND(ISNUMBER('자료_한국심리'!$J3591),ISNUMBER('자료_한국심리'!$K3591)),'자료_한국심리'!$J3591,"")</f>
        <v/>
      </c>
      <c r="Y3607">
        <f>IF(AND(ISNUMBER('자료_한국심리'!$M3591),ISNUMBER('자료_한국심리'!$N3591)),'자료_한국심리'!$M3591,"")</f>
        <v/>
      </c>
    </row>
    <row r="3608">
      <c r="U3608">
        <f>IF(AND(ISNUMBER('자료_한국심리'!$A3592),ISNUMBER('자료_한국심리'!$B3592)),'자료_한국심리'!$A3592,"")</f>
        <v/>
      </c>
      <c r="V3608">
        <f>IF(AND(ISNUMBER('자료_한국심리'!$D3592),ISNUMBER('자료_한국심리'!$E3592)),'자료_한국심리'!$D3592,"")</f>
        <v/>
      </c>
      <c r="W3608">
        <f>IF(AND(ISNUMBER('자료_한국심리'!$G3592),ISNUMBER('자료_한국심리'!$H3592)),'자료_한국심리'!$G3592,"")</f>
        <v/>
      </c>
      <c r="X3608">
        <f>IF(AND(ISNUMBER('자료_한국심리'!$J3592),ISNUMBER('자료_한국심리'!$K3592)),'자료_한국심리'!$J3592,"")</f>
        <v/>
      </c>
      <c r="Y3608">
        <f>IF(AND(ISNUMBER('자료_한국심리'!$M3592),ISNUMBER('자료_한국심리'!$N3592)),'자료_한국심리'!$M3592,"")</f>
        <v/>
      </c>
    </row>
    <row r="3609">
      <c r="U3609">
        <f>IF(AND(ISNUMBER('자료_한국심리'!$A3593),ISNUMBER('자료_한국심리'!$B3593)),'자료_한국심리'!$A3593,"")</f>
        <v/>
      </c>
      <c r="V3609">
        <f>IF(AND(ISNUMBER('자료_한국심리'!$D3593),ISNUMBER('자료_한국심리'!$E3593)),'자료_한국심리'!$D3593,"")</f>
        <v/>
      </c>
      <c r="W3609">
        <f>IF(AND(ISNUMBER('자료_한국심리'!$G3593),ISNUMBER('자료_한국심리'!$H3593)),'자료_한국심리'!$G3593,"")</f>
        <v/>
      </c>
      <c r="X3609">
        <f>IF(AND(ISNUMBER('자료_한국심리'!$J3593),ISNUMBER('자료_한국심리'!$K3593)),'자료_한국심리'!$J3593,"")</f>
        <v/>
      </c>
      <c r="Y3609">
        <f>IF(AND(ISNUMBER('자료_한국심리'!$M3593),ISNUMBER('자료_한국심리'!$N3593)),'자료_한국심리'!$M3593,"")</f>
        <v/>
      </c>
    </row>
    <row r="3610">
      <c r="U3610">
        <f>IF(AND(ISNUMBER('자료_한국심리'!$A3594),ISNUMBER('자료_한국심리'!$B3594)),'자료_한국심리'!$A3594,"")</f>
        <v/>
      </c>
      <c r="V3610">
        <f>IF(AND(ISNUMBER('자료_한국심리'!$D3594),ISNUMBER('자료_한국심리'!$E3594)),'자료_한국심리'!$D3594,"")</f>
        <v/>
      </c>
      <c r="W3610">
        <f>IF(AND(ISNUMBER('자료_한국심리'!$G3594),ISNUMBER('자료_한국심리'!$H3594)),'자료_한국심리'!$G3594,"")</f>
        <v/>
      </c>
      <c r="X3610">
        <f>IF(AND(ISNUMBER('자료_한국심리'!$J3594),ISNUMBER('자료_한국심리'!$K3594)),'자료_한국심리'!$J3594,"")</f>
        <v/>
      </c>
      <c r="Y3610">
        <f>IF(AND(ISNUMBER('자료_한국심리'!$M3594),ISNUMBER('자료_한국심리'!$N3594)),'자료_한국심리'!$M3594,"")</f>
        <v/>
      </c>
    </row>
    <row r="3611">
      <c r="U3611">
        <f>IF(AND(ISNUMBER('자료_한국심리'!$A3595),ISNUMBER('자료_한국심리'!$B3595)),'자료_한국심리'!$A3595,"")</f>
        <v/>
      </c>
      <c r="V3611">
        <f>IF(AND(ISNUMBER('자료_한국심리'!$D3595),ISNUMBER('자료_한국심리'!$E3595)),'자료_한국심리'!$D3595,"")</f>
        <v/>
      </c>
      <c r="W3611">
        <f>IF(AND(ISNUMBER('자료_한국심리'!$G3595),ISNUMBER('자료_한국심리'!$H3595)),'자료_한국심리'!$G3595,"")</f>
        <v/>
      </c>
      <c r="X3611">
        <f>IF(AND(ISNUMBER('자료_한국심리'!$J3595),ISNUMBER('자료_한국심리'!$K3595)),'자료_한국심리'!$J3595,"")</f>
        <v/>
      </c>
      <c r="Y3611">
        <f>IF(AND(ISNUMBER('자료_한국심리'!$M3595),ISNUMBER('자료_한국심리'!$N3595)),'자료_한국심리'!$M3595,"")</f>
        <v/>
      </c>
    </row>
    <row r="3612">
      <c r="U3612">
        <f>IF(AND(ISNUMBER('자료_한국심리'!$A3596),ISNUMBER('자료_한국심리'!$B3596)),'자료_한국심리'!$A3596,"")</f>
        <v/>
      </c>
      <c r="V3612">
        <f>IF(AND(ISNUMBER('자료_한국심리'!$D3596),ISNUMBER('자료_한국심리'!$E3596)),'자료_한국심리'!$D3596,"")</f>
        <v/>
      </c>
      <c r="W3612">
        <f>IF(AND(ISNUMBER('자료_한국심리'!$G3596),ISNUMBER('자료_한국심리'!$H3596)),'자료_한국심리'!$G3596,"")</f>
        <v/>
      </c>
      <c r="X3612">
        <f>IF(AND(ISNUMBER('자료_한국심리'!$J3596),ISNUMBER('자료_한국심리'!$K3596)),'자료_한국심리'!$J3596,"")</f>
        <v/>
      </c>
      <c r="Y3612">
        <f>IF(AND(ISNUMBER('자료_한국심리'!$M3596),ISNUMBER('자료_한국심리'!$N3596)),'자료_한국심리'!$M3596,"")</f>
        <v/>
      </c>
    </row>
    <row r="3613">
      <c r="U3613">
        <f>IF(AND(ISNUMBER('자료_한국심리'!$A3597),ISNUMBER('자료_한국심리'!$B3597)),'자료_한국심리'!$A3597,"")</f>
        <v/>
      </c>
      <c r="V3613">
        <f>IF(AND(ISNUMBER('자료_한국심리'!$D3597),ISNUMBER('자료_한국심리'!$E3597)),'자료_한국심리'!$D3597,"")</f>
        <v/>
      </c>
      <c r="W3613">
        <f>IF(AND(ISNUMBER('자료_한국심리'!$G3597),ISNUMBER('자료_한국심리'!$H3597)),'자료_한국심리'!$G3597,"")</f>
        <v/>
      </c>
      <c r="X3613">
        <f>IF(AND(ISNUMBER('자료_한국심리'!$J3597),ISNUMBER('자료_한국심리'!$K3597)),'자료_한국심리'!$J3597,"")</f>
        <v/>
      </c>
      <c r="Y3613">
        <f>IF(AND(ISNUMBER('자료_한국심리'!$M3597),ISNUMBER('자료_한국심리'!$N3597)),'자료_한국심리'!$M3597,"")</f>
        <v/>
      </c>
    </row>
    <row r="3614">
      <c r="U3614">
        <f>IF(AND(ISNUMBER('자료_한국심리'!$A3598),ISNUMBER('자료_한국심리'!$B3598)),'자료_한국심리'!$A3598,"")</f>
        <v/>
      </c>
      <c r="V3614">
        <f>IF(AND(ISNUMBER('자료_한국심리'!$D3598),ISNUMBER('자료_한국심리'!$E3598)),'자료_한국심리'!$D3598,"")</f>
        <v/>
      </c>
      <c r="W3614">
        <f>IF(AND(ISNUMBER('자료_한국심리'!$G3598),ISNUMBER('자료_한국심리'!$H3598)),'자료_한국심리'!$G3598,"")</f>
        <v/>
      </c>
      <c r="X3614">
        <f>IF(AND(ISNUMBER('자료_한국심리'!$J3598),ISNUMBER('자료_한국심리'!$K3598)),'자료_한국심리'!$J3598,"")</f>
        <v/>
      </c>
      <c r="Y3614">
        <f>IF(AND(ISNUMBER('자료_한국심리'!$M3598),ISNUMBER('자료_한국심리'!$N3598)),'자료_한국심리'!$M3598,"")</f>
        <v/>
      </c>
    </row>
    <row r="3615">
      <c r="U3615">
        <f>IF(AND(ISNUMBER('자료_한국심리'!$A3599),ISNUMBER('자료_한국심리'!$B3599)),'자료_한국심리'!$A3599,"")</f>
        <v/>
      </c>
      <c r="V3615">
        <f>IF(AND(ISNUMBER('자료_한국심리'!$D3599),ISNUMBER('자료_한국심리'!$E3599)),'자료_한국심리'!$D3599,"")</f>
        <v/>
      </c>
      <c r="W3615">
        <f>IF(AND(ISNUMBER('자료_한국심리'!$G3599),ISNUMBER('자료_한국심리'!$H3599)),'자료_한국심리'!$G3599,"")</f>
        <v/>
      </c>
      <c r="X3615">
        <f>IF(AND(ISNUMBER('자료_한국심리'!$J3599),ISNUMBER('자료_한국심리'!$K3599)),'자료_한국심리'!$J3599,"")</f>
        <v/>
      </c>
      <c r="Y3615">
        <f>IF(AND(ISNUMBER('자료_한국심리'!$M3599),ISNUMBER('자료_한국심리'!$N3599)),'자료_한국심리'!$M3599,"")</f>
        <v/>
      </c>
    </row>
    <row r="3616">
      <c r="U3616">
        <f>IF(AND(ISNUMBER('자료_한국심리'!$A3600),ISNUMBER('자료_한국심리'!$B3600)),'자료_한국심리'!$A3600,"")</f>
        <v/>
      </c>
      <c r="V3616">
        <f>IF(AND(ISNUMBER('자료_한국심리'!$D3600),ISNUMBER('자료_한국심리'!$E3600)),'자료_한국심리'!$D3600,"")</f>
        <v/>
      </c>
      <c r="W3616">
        <f>IF(AND(ISNUMBER('자료_한국심리'!$G3600),ISNUMBER('자료_한국심리'!$H3600)),'자료_한국심리'!$G3600,"")</f>
        <v/>
      </c>
      <c r="X3616">
        <f>IF(AND(ISNUMBER('자료_한국심리'!$J3600),ISNUMBER('자료_한국심리'!$K3600)),'자료_한국심리'!$J3600,"")</f>
        <v/>
      </c>
      <c r="Y3616">
        <f>IF(AND(ISNUMBER('자료_한국심리'!$M3600),ISNUMBER('자료_한국심리'!$N3600)),'자료_한국심리'!$M3600,"")</f>
        <v/>
      </c>
    </row>
    <row r="3617">
      <c r="U3617">
        <f>IF(AND(ISNUMBER('자료_한국심리'!$A3601),ISNUMBER('자료_한국심리'!$B3601)),'자료_한국심리'!$A3601,"")</f>
        <v/>
      </c>
      <c r="V3617">
        <f>IF(AND(ISNUMBER('자료_한국심리'!$D3601),ISNUMBER('자료_한국심리'!$E3601)),'자료_한국심리'!$D3601,"")</f>
        <v/>
      </c>
      <c r="W3617">
        <f>IF(AND(ISNUMBER('자료_한국심리'!$G3601),ISNUMBER('자료_한국심리'!$H3601)),'자료_한국심리'!$G3601,"")</f>
        <v/>
      </c>
      <c r="X3617">
        <f>IF(AND(ISNUMBER('자료_한국심리'!$J3601),ISNUMBER('자료_한국심리'!$K3601)),'자료_한국심리'!$J3601,"")</f>
        <v/>
      </c>
      <c r="Y3617">
        <f>IF(AND(ISNUMBER('자료_한국심리'!$M3601),ISNUMBER('자료_한국심리'!$N3601)),'자료_한국심리'!$M3601,"")</f>
        <v/>
      </c>
    </row>
    <row r="3618">
      <c r="U3618">
        <f>IF(AND(ISNUMBER('자료_한국심리'!$A3602),ISNUMBER('자료_한국심리'!$B3602)),'자료_한국심리'!$A3602,"")</f>
        <v/>
      </c>
      <c r="V3618">
        <f>IF(AND(ISNUMBER('자료_한국심리'!$D3602),ISNUMBER('자료_한국심리'!$E3602)),'자료_한국심리'!$D3602,"")</f>
        <v/>
      </c>
      <c r="W3618">
        <f>IF(AND(ISNUMBER('자료_한국심리'!$G3602),ISNUMBER('자료_한국심리'!$H3602)),'자료_한국심리'!$G3602,"")</f>
        <v/>
      </c>
      <c r="X3618">
        <f>IF(AND(ISNUMBER('자료_한국심리'!$J3602),ISNUMBER('자료_한국심리'!$K3602)),'자료_한국심리'!$J3602,"")</f>
        <v/>
      </c>
      <c r="Y3618">
        <f>IF(AND(ISNUMBER('자료_한국심리'!$M3602),ISNUMBER('자료_한국심리'!$N3602)),'자료_한국심리'!$M3602,"")</f>
        <v/>
      </c>
    </row>
    <row r="3619">
      <c r="U3619">
        <f>IF(AND(ISNUMBER('자료_한국심리'!$A3603),ISNUMBER('자료_한국심리'!$B3603)),'자료_한국심리'!$A3603,"")</f>
        <v/>
      </c>
      <c r="V3619">
        <f>IF(AND(ISNUMBER('자료_한국심리'!$D3603),ISNUMBER('자료_한국심리'!$E3603)),'자료_한국심리'!$D3603,"")</f>
        <v/>
      </c>
      <c r="W3619">
        <f>IF(AND(ISNUMBER('자료_한국심리'!$G3603),ISNUMBER('자료_한국심리'!$H3603)),'자료_한국심리'!$G3603,"")</f>
        <v/>
      </c>
      <c r="X3619">
        <f>IF(AND(ISNUMBER('자료_한국심리'!$J3603),ISNUMBER('자료_한국심리'!$K3603)),'자료_한국심리'!$J3603,"")</f>
        <v/>
      </c>
      <c r="Y3619">
        <f>IF(AND(ISNUMBER('자료_한국심리'!$M3603),ISNUMBER('자료_한국심리'!$N3603)),'자료_한국심리'!$M3603,"")</f>
        <v/>
      </c>
    </row>
    <row r="3620">
      <c r="U3620">
        <f>IF(AND(ISNUMBER('자료_한국심리'!$A3604),ISNUMBER('자료_한국심리'!$B3604)),'자료_한국심리'!$A3604,"")</f>
        <v/>
      </c>
      <c r="V3620">
        <f>IF(AND(ISNUMBER('자료_한국심리'!$D3604),ISNUMBER('자료_한국심리'!$E3604)),'자료_한국심리'!$D3604,"")</f>
        <v/>
      </c>
      <c r="W3620">
        <f>IF(AND(ISNUMBER('자료_한국심리'!$G3604),ISNUMBER('자료_한국심리'!$H3604)),'자료_한국심리'!$G3604,"")</f>
        <v/>
      </c>
      <c r="X3620">
        <f>IF(AND(ISNUMBER('자료_한국심리'!$J3604),ISNUMBER('자료_한국심리'!$K3604)),'자료_한국심리'!$J3604,"")</f>
        <v/>
      </c>
      <c r="Y3620">
        <f>IF(AND(ISNUMBER('자료_한국심리'!$M3604),ISNUMBER('자료_한국심리'!$N3604)),'자료_한국심리'!$M3604,"")</f>
        <v/>
      </c>
    </row>
    <row r="3621">
      <c r="U3621">
        <f>IF(AND(ISNUMBER('자료_한국심리'!$A3605),ISNUMBER('자료_한국심리'!$B3605)),'자료_한국심리'!$A3605,"")</f>
        <v/>
      </c>
      <c r="V3621">
        <f>IF(AND(ISNUMBER('자료_한국심리'!$D3605),ISNUMBER('자료_한국심리'!$E3605)),'자료_한국심리'!$D3605,"")</f>
        <v/>
      </c>
      <c r="W3621">
        <f>IF(AND(ISNUMBER('자료_한국심리'!$G3605),ISNUMBER('자료_한국심리'!$H3605)),'자료_한국심리'!$G3605,"")</f>
        <v/>
      </c>
      <c r="X3621">
        <f>IF(AND(ISNUMBER('자료_한국심리'!$J3605),ISNUMBER('자료_한국심리'!$K3605)),'자료_한국심리'!$J3605,"")</f>
        <v/>
      </c>
      <c r="Y3621">
        <f>IF(AND(ISNUMBER('자료_한국심리'!$M3605),ISNUMBER('자료_한국심리'!$N3605)),'자료_한국심리'!$M3605,"")</f>
        <v/>
      </c>
    </row>
    <row r="3622">
      <c r="U3622">
        <f>IF(AND(ISNUMBER('자료_한국심리'!$A3606),ISNUMBER('자료_한국심리'!$B3606)),'자료_한국심리'!$A3606,"")</f>
        <v/>
      </c>
      <c r="V3622">
        <f>IF(AND(ISNUMBER('자료_한국심리'!$D3606),ISNUMBER('자료_한국심리'!$E3606)),'자료_한국심리'!$D3606,"")</f>
        <v/>
      </c>
      <c r="W3622">
        <f>IF(AND(ISNUMBER('자료_한국심리'!$G3606),ISNUMBER('자료_한국심리'!$H3606)),'자료_한국심리'!$G3606,"")</f>
        <v/>
      </c>
      <c r="X3622">
        <f>IF(AND(ISNUMBER('자료_한국심리'!$J3606),ISNUMBER('자료_한국심리'!$K3606)),'자료_한국심리'!$J3606,"")</f>
        <v/>
      </c>
      <c r="Y3622">
        <f>IF(AND(ISNUMBER('자료_한국심리'!$M3606),ISNUMBER('자료_한국심리'!$N3606)),'자료_한국심리'!$M3606,"")</f>
        <v/>
      </c>
    </row>
    <row r="3623">
      <c r="U3623">
        <f>IF(AND(ISNUMBER('자료_한국심리'!$A3607),ISNUMBER('자료_한국심리'!$B3607)),'자료_한국심리'!$A3607,"")</f>
        <v/>
      </c>
      <c r="V3623">
        <f>IF(AND(ISNUMBER('자료_한국심리'!$D3607),ISNUMBER('자료_한국심리'!$E3607)),'자료_한국심리'!$D3607,"")</f>
        <v/>
      </c>
      <c r="W3623">
        <f>IF(AND(ISNUMBER('자료_한국심리'!$G3607),ISNUMBER('자료_한국심리'!$H3607)),'자료_한국심리'!$G3607,"")</f>
        <v/>
      </c>
      <c r="X3623">
        <f>IF(AND(ISNUMBER('자료_한국심리'!$J3607),ISNUMBER('자료_한국심리'!$K3607)),'자료_한국심리'!$J3607,"")</f>
        <v/>
      </c>
      <c r="Y3623">
        <f>IF(AND(ISNUMBER('자료_한국심리'!$M3607),ISNUMBER('자료_한국심리'!$N3607)),'자료_한국심리'!$M3607,"")</f>
        <v/>
      </c>
    </row>
    <row r="3624">
      <c r="U3624">
        <f>IF(AND(ISNUMBER('자료_한국심리'!$A3608),ISNUMBER('자료_한국심리'!$B3608)),'자료_한국심리'!$A3608,"")</f>
        <v/>
      </c>
      <c r="V3624">
        <f>IF(AND(ISNUMBER('자료_한국심리'!$D3608),ISNUMBER('자료_한국심리'!$E3608)),'자료_한국심리'!$D3608,"")</f>
        <v/>
      </c>
      <c r="W3624">
        <f>IF(AND(ISNUMBER('자료_한국심리'!$G3608),ISNUMBER('자료_한국심리'!$H3608)),'자료_한국심리'!$G3608,"")</f>
        <v/>
      </c>
      <c r="X3624">
        <f>IF(AND(ISNUMBER('자료_한국심리'!$J3608),ISNUMBER('자료_한국심리'!$K3608)),'자료_한국심리'!$J3608,"")</f>
        <v/>
      </c>
      <c r="Y3624">
        <f>IF(AND(ISNUMBER('자료_한국심리'!$M3608),ISNUMBER('자료_한국심리'!$N3608)),'자료_한국심리'!$M3608,"")</f>
        <v/>
      </c>
    </row>
    <row r="3625">
      <c r="U3625">
        <f>IF(AND(ISNUMBER('자료_한국심리'!$A3609),ISNUMBER('자료_한국심리'!$B3609)),'자료_한국심리'!$A3609,"")</f>
        <v/>
      </c>
      <c r="V3625">
        <f>IF(AND(ISNUMBER('자료_한국심리'!$D3609),ISNUMBER('자료_한국심리'!$E3609)),'자료_한국심리'!$D3609,"")</f>
        <v/>
      </c>
      <c r="W3625">
        <f>IF(AND(ISNUMBER('자료_한국심리'!$G3609),ISNUMBER('자료_한국심리'!$H3609)),'자료_한국심리'!$G3609,"")</f>
        <v/>
      </c>
      <c r="X3625">
        <f>IF(AND(ISNUMBER('자료_한국심리'!$J3609),ISNUMBER('자료_한국심리'!$K3609)),'자료_한국심리'!$J3609,"")</f>
        <v/>
      </c>
      <c r="Y3625">
        <f>IF(AND(ISNUMBER('자료_한국심리'!$M3609),ISNUMBER('자료_한국심리'!$N3609)),'자료_한국심리'!$M3609,"")</f>
        <v/>
      </c>
    </row>
    <row r="3626">
      <c r="U3626">
        <f>IF(AND(ISNUMBER('자료_한국심리'!$A3610),ISNUMBER('자료_한국심리'!$B3610)),'자료_한국심리'!$A3610,"")</f>
        <v/>
      </c>
      <c r="V3626">
        <f>IF(AND(ISNUMBER('자료_한국심리'!$D3610),ISNUMBER('자료_한국심리'!$E3610)),'자료_한국심리'!$D3610,"")</f>
        <v/>
      </c>
      <c r="W3626">
        <f>IF(AND(ISNUMBER('자료_한국심리'!$G3610),ISNUMBER('자료_한국심리'!$H3610)),'자료_한국심리'!$G3610,"")</f>
        <v/>
      </c>
      <c r="X3626">
        <f>IF(AND(ISNUMBER('자료_한국심리'!$J3610),ISNUMBER('자료_한국심리'!$K3610)),'자료_한국심리'!$J3610,"")</f>
        <v/>
      </c>
      <c r="Y3626">
        <f>IF(AND(ISNUMBER('자료_한국심리'!$M3610),ISNUMBER('자료_한국심리'!$N3610)),'자료_한국심리'!$M3610,"")</f>
        <v/>
      </c>
    </row>
    <row r="3627">
      <c r="U3627">
        <f>IF(AND(ISNUMBER('자료_한국심리'!$A3611),ISNUMBER('자료_한국심리'!$B3611)),'자료_한국심리'!$A3611,"")</f>
        <v/>
      </c>
      <c r="V3627">
        <f>IF(AND(ISNUMBER('자료_한국심리'!$D3611),ISNUMBER('자료_한국심리'!$E3611)),'자료_한국심리'!$D3611,"")</f>
        <v/>
      </c>
      <c r="W3627">
        <f>IF(AND(ISNUMBER('자료_한국심리'!$G3611),ISNUMBER('자료_한국심리'!$H3611)),'자료_한국심리'!$G3611,"")</f>
        <v/>
      </c>
      <c r="X3627">
        <f>IF(AND(ISNUMBER('자료_한국심리'!$J3611),ISNUMBER('자료_한국심리'!$K3611)),'자료_한국심리'!$J3611,"")</f>
        <v/>
      </c>
      <c r="Y3627">
        <f>IF(AND(ISNUMBER('자료_한국심리'!$M3611),ISNUMBER('자료_한국심리'!$N3611)),'자료_한국심리'!$M3611,"")</f>
        <v/>
      </c>
    </row>
    <row r="3628">
      <c r="U3628">
        <f>IF(AND(ISNUMBER('자료_한국심리'!$A3612),ISNUMBER('자료_한국심리'!$B3612)),'자료_한국심리'!$A3612,"")</f>
        <v/>
      </c>
      <c r="V3628">
        <f>IF(AND(ISNUMBER('자료_한국심리'!$D3612),ISNUMBER('자료_한국심리'!$E3612)),'자료_한국심리'!$D3612,"")</f>
        <v/>
      </c>
      <c r="W3628">
        <f>IF(AND(ISNUMBER('자료_한국심리'!$G3612),ISNUMBER('자료_한국심리'!$H3612)),'자료_한국심리'!$G3612,"")</f>
        <v/>
      </c>
      <c r="X3628">
        <f>IF(AND(ISNUMBER('자료_한국심리'!$J3612),ISNUMBER('자료_한국심리'!$K3612)),'자료_한국심리'!$J3612,"")</f>
        <v/>
      </c>
      <c r="Y3628">
        <f>IF(AND(ISNUMBER('자료_한국심리'!$M3612),ISNUMBER('자료_한국심리'!$N3612)),'자료_한국심리'!$M3612,"")</f>
        <v/>
      </c>
    </row>
    <row r="3629">
      <c r="U3629">
        <f>IF(AND(ISNUMBER('자료_한국심리'!$A3613),ISNUMBER('자료_한국심리'!$B3613)),'자료_한국심리'!$A3613,"")</f>
        <v/>
      </c>
      <c r="V3629">
        <f>IF(AND(ISNUMBER('자료_한국심리'!$D3613),ISNUMBER('자료_한국심리'!$E3613)),'자료_한국심리'!$D3613,"")</f>
        <v/>
      </c>
      <c r="W3629">
        <f>IF(AND(ISNUMBER('자료_한국심리'!$G3613),ISNUMBER('자료_한국심리'!$H3613)),'자료_한국심리'!$G3613,"")</f>
        <v/>
      </c>
      <c r="X3629">
        <f>IF(AND(ISNUMBER('자료_한국심리'!$J3613),ISNUMBER('자료_한국심리'!$K3613)),'자료_한국심리'!$J3613,"")</f>
        <v/>
      </c>
      <c r="Y3629">
        <f>IF(AND(ISNUMBER('자료_한국심리'!$M3613),ISNUMBER('자료_한국심리'!$N3613)),'자료_한국심리'!$M3613,"")</f>
        <v/>
      </c>
    </row>
    <row r="3630">
      <c r="U3630">
        <f>IF(AND(ISNUMBER('자료_한국심리'!$A3614),ISNUMBER('자료_한국심리'!$B3614)),'자료_한국심리'!$A3614,"")</f>
        <v/>
      </c>
      <c r="V3630">
        <f>IF(AND(ISNUMBER('자료_한국심리'!$D3614),ISNUMBER('자료_한국심리'!$E3614)),'자료_한국심리'!$D3614,"")</f>
        <v/>
      </c>
      <c r="W3630">
        <f>IF(AND(ISNUMBER('자료_한국심리'!$G3614),ISNUMBER('자료_한국심리'!$H3614)),'자료_한국심리'!$G3614,"")</f>
        <v/>
      </c>
      <c r="X3630">
        <f>IF(AND(ISNUMBER('자료_한국심리'!$J3614),ISNUMBER('자료_한국심리'!$K3614)),'자료_한국심리'!$J3614,"")</f>
        <v/>
      </c>
      <c r="Y3630">
        <f>IF(AND(ISNUMBER('자료_한국심리'!$M3614),ISNUMBER('자료_한국심리'!$N3614)),'자료_한국심리'!$M3614,"")</f>
        <v/>
      </c>
    </row>
    <row r="3631">
      <c r="U3631">
        <f>IF(AND(ISNUMBER('자료_한국심리'!$A3615),ISNUMBER('자료_한국심리'!$B3615)),'자료_한국심리'!$A3615,"")</f>
        <v/>
      </c>
      <c r="V3631">
        <f>IF(AND(ISNUMBER('자료_한국심리'!$D3615),ISNUMBER('자료_한국심리'!$E3615)),'자료_한국심리'!$D3615,"")</f>
        <v/>
      </c>
      <c r="W3631">
        <f>IF(AND(ISNUMBER('자료_한국심리'!$G3615),ISNUMBER('자료_한국심리'!$H3615)),'자료_한국심리'!$G3615,"")</f>
        <v/>
      </c>
      <c r="X3631">
        <f>IF(AND(ISNUMBER('자료_한국심리'!$J3615),ISNUMBER('자료_한국심리'!$K3615)),'자료_한국심리'!$J3615,"")</f>
        <v/>
      </c>
      <c r="Y3631">
        <f>IF(AND(ISNUMBER('자료_한국심리'!$M3615),ISNUMBER('자료_한국심리'!$N3615)),'자료_한국심리'!$M3615,"")</f>
        <v/>
      </c>
    </row>
    <row r="3632">
      <c r="U3632">
        <f>IF(AND(ISNUMBER('자료_한국심리'!$A3616),ISNUMBER('자료_한국심리'!$B3616)),'자료_한국심리'!$A3616,"")</f>
        <v/>
      </c>
      <c r="V3632">
        <f>IF(AND(ISNUMBER('자료_한국심리'!$D3616),ISNUMBER('자료_한국심리'!$E3616)),'자료_한국심리'!$D3616,"")</f>
        <v/>
      </c>
      <c r="W3632">
        <f>IF(AND(ISNUMBER('자료_한국심리'!$G3616),ISNUMBER('자료_한국심리'!$H3616)),'자료_한국심리'!$G3616,"")</f>
        <v/>
      </c>
      <c r="X3632">
        <f>IF(AND(ISNUMBER('자료_한국심리'!$J3616),ISNUMBER('자료_한국심리'!$K3616)),'자료_한국심리'!$J3616,"")</f>
        <v/>
      </c>
      <c r="Y3632">
        <f>IF(AND(ISNUMBER('자료_한국심리'!$M3616),ISNUMBER('자료_한국심리'!$N3616)),'자료_한국심리'!$M3616,"")</f>
        <v/>
      </c>
    </row>
    <row r="3633">
      <c r="U3633">
        <f>IF(AND(ISNUMBER('자료_한국심리'!$A3617),ISNUMBER('자료_한국심리'!$B3617)),'자료_한국심리'!$A3617,"")</f>
        <v/>
      </c>
      <c r="V3633">
        <f>IF(AND(ISNUMBER('자료_한국심리'!$D3617),ISNUMBER('자료_한국심리'!$E3617)),'자료_한국심리'!$D3617,"")</f>
        <v/>
      </c>
      <c r="W3633">
        <f>IF(AND(ISNUMBER('자료_한국심리'!$G3617),ISNUMBER('자료_한국심리'!$H3617)),'자료_한국심리'!$G3617,"")</f>
        <v/>
      </c>
      <c r="X3633">
        <f>IF(AND(ISNUMBER('자료_한국심리'!$J3617),ISNUMBER('자료_한국심리'!$K3617)),'자료_한국심리'!$J3617,"")</f>
        <v/>
      </c>
      <c r="Y3633">
        <f>IF(AND(ISNUMBER('자료_한국심리'!$M3617),ISNUMBER('자료_한국심리'!$N3617)),'자료_한국심리'!$M3617,"")</f>
        <v/>
      </c>
    </row>
    <row r="3634">
      <c r="U3634">
        <f>IF(AND(ISNUMBER('자료_한국심리'!$A3618),ISNUMBER('자료_한국심리'!$B3618)),'자료_한국심리'!$A3618,"")</f>
        <v/>
      </c>
      <c r="V3634">
        <f>IF(AND(ISNUMBER('자료_한국심리'!$D3618),ISNUMBER('자료_한국심리'!$E3618)),'자료_한국심리'!$D3618,"")</f>
        <v/>
      </c>
      <c r="W3634">
        <f>IF(AND(ISNUMBER('자료_한국심리'!$G3618),ISNUMBER('자료_한국심리'!$H3618)),'자료_한국심리'!$G3618,"")</f>
        <v/>
      </c>
      <c r="X3634">
        <f>IF(AND(ISNUMBER('자료_한국심리'!$J3618),ISNUMBER('자료_한국심리'!$K3618)),'자료_한국심리'!$J3618,"")</f>
        <v/>
      </c>
      <c r="Y3634">
        <f>IF(AND(ISNUMBER('자료_한국심리'!$M3618),ISNUMBER('자료_한국심리'!$N3618)),'자료_한국심리'!$M3618,"")</f>
        <v/>
      </c>
    </row>
    <row r="3635">
      <c r="U3635">
        <f>IF(AND(ISNUMBER('자료_한국심리'!$A3619),ISNUMBER('자료_한국심리'!$B3619)),'자료_한국심리'!$A3619,"")</f>
        <v/>
      </c>
      <c r="V3635">
        <f>IF(AND(ISNUMBER('자료_한국심리'!$D3619),ISNUMBER('자료_한국심리'!$E3619)),'자료_한국심리'!$D3619,"")</f>
        <v/>
      </c>
      <c r="W3635">
        <f>IF(AND(ISNUMBER('자료_한국심리'!$G3619),ISNUMBER('자료_한국심리'!$H3619)),'자료_한국심리'!$G3619,"")</f>
        <v/>
      </c>
      <c r="X3635">
        <f>IF(AND(ISNUMBER('자료_한국심리'!$J3619),ISNUMBER('자료_한국심리'!$K3619)),'자료_한국심리'!$J3619,"")</f>
        <v/>
      </c>
      <c r="Y3635">
        <f>IF(AND(ISNUMBER('자료_한국심리'!$M3619),ISNUMBER('자료_한국심리'!$N3619)),'자료_한국심리'!$M3619,"")</f>
        <v/>
      </c>
    </row>
    <row r="3636">
      <c r="U3636">
        <f>IF(AND(ISNUMBER('자료_한국심리'!$A3620),ISNUMBER('자료_한국심리'!$B3620)),'자료_한국심리'!$A3620,"")</f>
        <v/>
      </c>
      <c r="V3636">
        <f>IF(AND(ISNUMBER('자료_한국심리'!$D3620),ISNUMBER('자료_한국심리'!$E3620)),'자료_한국심리'!$D3620,"")</f>
        <v/>
      </c>
      <c r="W3636">
        <f>IF(AND(ISNUMBER('자료_한국심리'!$G3620),ISNUMBER('자료_한국심리'!$H3620)),'자료_한국심리'!$G3620,"")</f>
        <v/>
      </c>
      <c r="X3636">
        <f>IF(AND(ISNUMBER('자료_한국심리'!$J3620),ISNUMBER('자료_한국심리'!$K3620)),'자료_한국심리'!$J3620,"")</f>
        <v/>
      </c>
      <c r="Y3636">
        <f>IF(AND(ISNUMBER('자료_한국심리'!$M3620),ISNUMBER('자료_한국심리'!$N3620)),'자료_한국심리'!$M3620,"")</f>
        <v/>
      </c>
    </row>
    <row r="3637">
      <c r="U3637">
        <f>IF(AND(ISNUMBER('자료_한국심리'!$A3621),ISNUMBER('자료_한국심리'!$B3621)),'자료_한국심리'!$A3621,"")</f>
        <v/>
      </c>
      <c r="V3637">
        <f>IF(AND(ISNUMBER('자료_한국심리'!$D3621),ISNUMBER('자료_한국심리'!$E3621)),'자료_한국심리'!$D3621,"")</f>
        <v/>
      </c>
      <c r="W3637">
        <f>IF(AND(ISNUMBER('자료_한국심리'!$G3621),ISNUMBER('자료_한국심리'!$H3621)),'자료_한국심리'!$G3621,"")</f>
        <v/>
      </c>
      <c r="X3637">
        <f>IF(AND(ISNUMBER('자료_한국심리'!$J3621),ISNUMBER('자료_한국심리'!$K3621)),'자료_한국심리'!$J3621,"")</f>
        <v/>
      </c>
      <c r="Y3637">
        <f>IF(AND(ISNUMBER('자료_한국심리'!$M3621),ISNUMBER('자료_한국심리'!$N3621)),'자료_한국심리'!$M3621,"")</f>
        <v/>
      </c>
    </row>
    <row r="3638">
      <c r="U3638">
        <f>IF(AND(ISNUMBER('자료_한국심리'!$A3622),ISNUMBER('자료_한국심리'!$B3622)),'자료_한국심리'!$A3622,"")</f>
        <v/>
      </c>
      <c r="V3638">
        <f>IF(AND(ISNUMBER('자료_한국심리'!$D3622),ISNUMBER('자료_한국심리'!$E3622)),'자료_한국심리'!$D3622,"")</f>
        <v/>
      </c>
      <c r="W3638">
        <f>IF(AND(ISNUMBER('자료_한국심리'!$G3622),ISNUMBER('자료_한국심리'!$H3622)),'자료_한국심리'!$G3622,"")</f>
        <v/>
      </c>
      <c r="X3638">
        <f>IF(AND(ISNUMBER('자료_한국심리'!$J3622),ISNUMBER('자료_한국심리'!$K3622)),'자료_한국심리'!$J3622,"")</f>
        <v/>
      </c>
      <c r="Y3638">
        <f>IF(AND(ISNUMBER('자료_한국심리'!$M3622),ISNUMBER('자료_한국심리'!$N3622)),'자료_한국심리'!$M3622,"")</f>
        <v/>
      </c>
    </row>
    <row r="3639">
      <c r="U3639">
        <f>IF(AND(ISNUMBER('자료_한국심리'!$A3623),ISNUMBER('자료_한국심리'!$B3623)),'자료_한국심리'!$A3623,"")</f>
        <v/>
      </c>
      <c r="V3639">
        <f>IF(AND(ISNUMBER('자료_한국심리'!$D3623),ISNUMBER('자료_한국심리'!$E3623)),'자료_한국심리'!$D3623,"")</f>
        <v/>
      </c>
      <c r="W3639">
        <f>IF(AND(ISNUMBER('자료_한국심리'!$G3623),ISNUMBER('자료_한국심리'!$H3623)),'자료_한국심리'!$G3623,"")</f>
        <v/>
      </c>
      <c r="X3639">
        <f>IF(AND(ISNUMBER('자료_한국심리'!$J3623),ISNUMBER('자료_한국심리'!$K3623)),'자료_한국심리'!$J3623,"")</f>
        <v/>
      </c>
      <c r="Y3639">
        <f>IF(AND(ISNUMBER('자료_한국심리'!$M3623),ISNUMBER('자료_한국심리'!$N3623)),'자료_한국심리'!$M3623,"")</f>
        <v/>
      </c>
    </row>
    <row r="3640">
      <c r="U3640">
        <f>IF(AND(ISNUMBER('자료_한국심리'!$A3624),ISNUMBER('자료_한국심리'!$B3624)),'자료_한국심리'!$A3624,"")</f>
        <v/>
      </c>
      <c r="V3640">
        <f>IF(AND(ISNUMBER('자료_한국심리'!$D3624),ISNUMBER('자료_한국심리'!$E3624)),'자료_한국심리'!$D3624,"")</f>
        <v/>
      </c>
      <c r="W3640">
        <f>IF(AND(ISNUMBER('자료_한국심리'!$G3624),ISNUMBER('자료_한국심리'!$H3624)),'자료_한국심리'!$G3624,"")</f>
        <v/>
      </c>
      <c r="X3640">
        <f>IF(AND(ISNUMBER('자료_한국심리'!$J3624),ISNUMBER('자료_한국심리'!$K3624)),'자료_한국심리'!$J3624,"")</f>
        <v/>
      </c>
      <c r="Y3640">
        <f>IF(AND(ISNUMBER('자료_한국심리'!$M3624),ISNUMBER('자료_한국심리'!$N3624)),'자료_한국심리'!$M3624,"")</f>
        <v/>
      </c>
    </row>
    <row r="3641">
      <c r="U3641">
        <f>IF(AND(ISNUMBER('자료_한국심리'!$A3625),ISNUMBER('자료_한국심리'!$B3625)),'자료_한국심리'!$A3625,"")</f>
        <v/>
      </c>
      <c r="V3641">
        <f>IF(AND(ISNUMBER('자료_한국심리'!$D3625),ISNUMBER('자료_한국심리'!$E3625)),'자료_한국심리'!$D3625,"")</f>
        <v/>
      </c>
      <c r="W3641">
        <f>IF(AND(ISNUMBER('자료_한국심리'!$G3625),ISNUMBER('자료_한국심리'!$H3625)),'자료_한국심리'!$G3625,"")</f>
        <v/>
      </c>
      <c r="X3641">
        <f>IF(AND(ISNUMBER('자료_한국심리'!$J3625),ISNUMBER('자료_한국심리'!$K3625)),'자료_한국심리'!$J3625,"")</f>
        <v/>
      </c>
      <c r="Y3641">
        <f>IF(AND(ISNUMBER('자료_한국심리'!$M3625),ISNUMBER('자료_한국심리'!$N3625)),'자료_한국심리'!$M3625,"")</f>
        <v/>
      </c>
    </row>
    <row r="3642">
      <c r="U3642">
        <f>IF(AND(ISNUMBER('자료_한국심리'!$A3626),ISNUMBER('자료_한국심리'!$B3626)),'자료_한국심리'!$A3626,"")</f>
        <v/>
      </c>
      <c r="V3642">
        <f>IF(AND(ISNUMBER('자료_한국심리'!$D3626),ISNUMBER('자료_한국심리'!$E3626)),'자료_한국심리'!$D3626,"")</f>
        <v/>
      </c>
      <c r="W3642">
        <f>IF(AND(ISNUMBER('자료_한국심리'!$G3626),ISNUMBER('자료_한국심리'!$H3626)),'자료_한국심리'!$G3626,"")</f>
        <v/>
      </c>
      <c r="X3642">
        <f>IF(AND(ISNUMBER('자료_한국심리'!$J3626),ISNUMBER('자료_한국심리'!$K3626)),'자료_한국심리'!$J3626,"")</f>
        <v/>
      </c>
      <c r="Y3642">
        <f>IF(AND(ISNUMBER('자료_한국심리'!$M3626),ISNUMBER('자료_한국심리'!$N3626)),'자료_한국심리'!$M3626,"")</f>
        <v/>
      </c>
    </row>
    <row r="3643">
      <c r="U3643">
        <f>IF(AND(ISNUMBER('자료_한국심리'!$A3627),ISNUMBER('자료_한국심리'!$B3627)),'자료_한국심리'!$A3627,"")</f>
        <v/>
      </c>
      <c r="V3643">
        <f>IF(AND(ISNUMBER('자료_한국심리'!$D3627),ISNUMBER('자료_한국심리'!$E3627)),'자료_한국심리'!$D3627,"")</f>
        <v/>
      </c>
      <c r="W3643">
        <f>IF(AND(ISNUMBER('자료_한국심리'!$G3627),ISNUMBER('자료_한국심리'!$H3627)),'자료_한국심리'!$G3627,"")</f>
        <v/>
      </c>
      <c r="X3643">
        <f>IF(AND(ISNUMBER('자료_한국심리'!$J3627),ISNUMBER('자료_한국심리'!$K3627)),'자료_한국심리'!$J3627,"")</f>
        <v/>
      </c>
      <c r="Y3643">
        <f>IF(AND(ISNUMBER('자료_한국심리'!$M3627),ISNUMBER('자료_한국심리'!$N3627)),'자료_한국심리'!$M3627,"")</f>
        <v/>
      </c>
    </row>
    <row r="3644">
      <c r="U3644">
        <f>IF(AND(ISNUMBER('자료_한국심리'!$A3628),ISNUMBER('자료_한국심리'!$B3628)),'자료_한국심리'!$A3628,"")</f>
        <v/>
      </c>
      <c r="V3644">
        <f>IF(AND(ISNUMBER('자료_한국심리'!$D3628),ISNUMBER('자료_한국심리'!$E3628)),'자료_한국심리'!$D3628,"")</f>
        <v/>
      </c>
      <c r="W3644">
        <f>IF(AND(ISNUMBER('자료_한국심리'!$G3628),ISNUMBER('자료_한국심리'!$H3628)),'자료_한국심리'!$G3628,"")</f>
        <v/>
      </c>
      <c r="X3644">
        <f>IF(AND(ISNUMBER('자료_한국심리'!$J3628),ISNUMBER('자료_한국심리'!$K3628)),'자료_한국심리'!$J3628,"")</f>
        <v/>
      </c>
      <c r="Y3644">
        <f>IF(AND(ISNUMBER('자료_한국심리'!$M3628),ISNUMBER('자료_한국심리'!$N3628)),'자료_한국심리'!$M3628,"")</f>
        <v/>
      </c>
    </row>
    <row r="3645">
      <c r="U3645">
        <f>IF(AND(ISNUMBER('자료_한국심리'!$A3629),ISNUMBER('자료_한국심리'!$B3629)),'자료_한국심리'!$A3629,"")</f>
        <v/>
      </c>
      <c r="V3645">
        <f>IF(AND(ISNUMBER('자료_한국심리'!$D3629),ISNUMBER('자료_한국심리'!$E3629)),'자료_한국심리'!$D3629,"")</f>
        <v/>
      </c>
      <c r="W3645">
        <f>IF(AND(ISNUMBER('자료_한국심리'!$G3629),ISNUMBER('자료_한국심리'!$H3629)),'자료_한국심리'!$G3629,"")</f>
        <v/>
      </c>
      <c r="X3645">
        <f>IF(AND(ISNUMBER('자료_한국심리'!$J3629),ISNUMBER('자료_한국심리'!$K3629)),'자료_한국심리'!$J3629,"")</f>
        <v/>
      </c>
      <c r="Y3645">
        <f>IF(AND(ISNUMBER('자료_한국심리'!$M3629),ISNUMBER('자료_한국심리'!$N3629)),'자료_한국심리'!$M3629,"")</f>
        <v/>
      </c>
    </row>
    <row r="3646">
      <c r="U3646">
        <f>IF(AND(ISNUMBER('자료_한국심리'!$A3630),ISNUMBER('자료_한국심리'!$B3630)),'자료_한국심리'!$A3630,"")</f>
        <v/>
      </c>
      <c r="V3646">
        <f>IF(AND(ISNUMBER('자료_한국심리'!$D3630),ISNUMBER('자료_한국심리'!$E3630)),'자료_한국심리'!$D3630,"")</f>
        <v/>
      </c>
      <c r="W3646">
        <f>IF(AND(ISNUMBER('자료_한국심리'!$G3630),ISNUMBER('자료_한국심리'!$H3630)),'자료_한국심리'!$G3630,"")</f>
        <v/>
      </c>
      <c r="X3646">
        <f>IF(AND(ISNUMBER('자료_한국심리'!$J3630),ISNUMBER('자료_한국심리'!$K3630)),'자료_한국심리'!$J3630,"")</f>
        <v/>
      </c>
      <c r="Y3646">
        <f>IF(AND(ISNUMBER('자료_한국심리'!$M3630),ISNUMBER('자료_한국심리'!$N3630)),'자료_한국심리'!$M3630,"")</f>
        <v/>
      </c>
    </row>
    <row r="3647">
      <c r="U3647">
        <f>IF(AND(ISNUMBER('자료_한국심리'!$A3631),ISNUMBER('자료_한국심리'!$B3631)),'자료_한국심리'!$A3631,"")</f>
        <v/>
      </c>
      <c r="V3647">
        <f>IF(AND(ISNUMBER('자료_한국심리'!$D3631),ISNUMBER('자료_한국심리'!$E3631)),'자료_한국심리'!$D3631,"")</f>
        <v/>
      </c>
      <c r="W3647">
        <f>IF(AND(ISNUMBER('자료_한국심리'!$G3631),ISNUMBER('자료_한국심리'!$H3631)),'자료_한국심리'!$G3631,"")</f>
        <v/>
      </c>
      <c r="X3647">
        <f>IF(AND(ISNUMBER('자료_한국심리'!$J3631),ISNUMBER('자료_한국심리'!$K3631)),'자료_한국심리'!$J3631,"")</f>
        <v/>
      </c>
      <c r="Y3647">
        <f>IF(AND(ISNUMBER('자료_한국심리'!$M3631),ISNUMBER('자료_한국심리'!$N3631)),'자료_한국심리'!$M3631,"")</f>
        <v/>
      </c>
    </row>
    <row r="3648">
      <c r="U3648">
        <f>IF(AND(ISNUMBER('자료_한국심리'!$A3632),ISNUMBER('자료_한국심리'!$B3632)),'자료_한국심리'!$A3632,"")</f>
        <v/>
      </c>
      <c r="V3648">
        <f>IF(AND(ISNUMBER('자료_한국심리'!$D3632),ISNUMBER('자료_한국심리'!$E3632)),'자료_한국심리'!$D3632,"")</f>
        <v/>
      </c>
      <c r="W3648">
        <f>IF(AND(ISNUMBER('자료_한국심리'!$G3632),ISNUMBER('자료_한국심리'!$H3632)),'자료_한국심리'!$G3632,"")</f>
        <v/>
      </c>
      <c r="X3648">
        <f>IF(AND(ISNUMBER('자료_한국심리'!$J3632),ISNUMBER('자료_한국심리'!$K3632)),'자료_한국심리'!$J3632,"")</f>
        <v/>
      </c>
      <c r="Y3648">
        <f>IF(AND(ISNUMBER('자료_한국심리'!$M3632),ISNUMBER('자료_한국심리'!$N3632)),'자료_한국심리'!$M3632,"")</f>
        <v/>
      </c>
    </row>
    <row r="3649">
      <c r="U3649">
        <f>IF(AND(ISNUMBER('자료_한국심리'!$A3633),ISNUMBER('자료_한국심리'!$B3633)),'자료_한국심리'!$A3633,"")</f>
        <v/>
      </c>
      <c r="V3649">
        <f>IF(AND(ISNUMBER('자료_한국심리'!$D3633),ISNUMBER('자료_한국심리'!$E3633)),'자료_한국심리'!$D3633,"")</f>
        <v/>
      </c>
      <c r="W3649">
        <f>IF(AND(ISNUMBER('자료_한국심리'!$G3633),ISNUMBER('자료_한국심리'!$H3633)),'자료_한국심리'!$G3633,"")</f>
        <v/>
      </c>
      <c r="X3649">
        <f>IF(AND(ISNUMBER('자료_한국심리'!$J3633),ISNUMBER('자료_한국심리'!$K3633)),'자료_한국심리'!$J3633,"")</f>
        <v/>
      </c>
      <c r="Y3649">
        <f>IF(AND(ISNUMBER('자료_한국심리'!$M3633),ISNUMBER('자료_한국심리'!$N3633)),'자료_한국심리'!$M3633,"")</f>
        <v/>
      </c>
    </row>
    <row r="3650">
      <c r="U3650">
        <f>IF(AND(ISNUMBER('자료_한국심리'!$A3634),ISNUMBER('자료_한국심리'!$B3634)),'자료_한국심리'!$A3634,"")</f>
        <v/>
      </c>
      <c r="V3650">
        <f>IF(AND(ISNUMBER('자료_한국심리'!$D3634),ISNUMBER('자료_한국심리'!$E3634)),'자료_한국심리'!$D3634,"")</f>
        <v/>
      </c>
      <c r="W3650">
        <f>IF(AND(ISNUMBER('자료_한국심리'!$G3634),ISNUMBER('자료_한국심리'!$H3634)),'자료_한국심리'!$G3634,"")</f>
        <v/>
      </c>
      <c r="X3650">
        <f>IF(AND(ISNUMBER('자료_한국심리'!$J3634),ISNUMBER('자료_한국심리'!$K3634)),'자료_한국심리'!$J3634,"")</f>
        <v/>
      </c>
      <c r="Y3650">
        <f>IF(AND(ISNUMBER('자료_한국심리'!$M3634),ISNUMBER('자료_한국심리'!$N3634)),'자료_한국심리'!$M3634,"")</f>
        <v/>
      </c>
    </row>
    <row r="3651">
      <c r="U3651">
        <f>IF(AND(ISNUMBER('자료_한국심리'!$A3635),ISNUMBER('자료_한국심리'!$B3635)),'자료_한국심리'!$A3635,"")</f>
        <v/>
      </c>
      <c r="V3651">
        <f>IF(AND(ISNUMBER('자료_한국심리'!$D3635),ISNUMBER('자료_한국심리'!$E3635)),'자료_한국심리'!$D3635,"")</f>
        <v/>
      </c>
      <c r="W3651">
        <f>IF(AND(ISNUMBER('자료_한국심리'!$G3635),ISNUMBER('자료_한국심리'!$H3635)),'자료_한국심리'!$G3635,"")</f>
        <v/>
      </c>
      <c r="X3651">
        <f>IF(AND(ISNUMBER('자료_한국심리'!$J3635),ISNUMBER('자료_한국심리'!$K3635)),'자료_한국심리'!$J3635,"")</f>
        <v/>
      </c>
      <c r="Y3651">
        <f>IF(AND(ISNUMBER('자료_한국심리'!$M3635),ISNUMBER('자료_한국심리'!$N3635)),'자료_한국심리'!$M3635,"")</f>
        <v/>
      </c>
    </row>
    <row r="3652">
      <c r="U3652">
        <f>IF(AND(ISNUMBER('자료_한국심리'!$A3636),ISNUMBER('자료_한국심리'!$B3636)),'자료_한국심리'!$A3636,"")</f>
        <v/>
      </c>
      <c r="V3652">
        <f>IF(AND(ISNUMBER('자료_한국심리'!$D3636),ISNUMBER('자료_한국심리'!$E3636)),'자료_한국심리'!$D3636,"")</f>
        <v/>
      </c>
      <c r="W3652">
        <f>IF(AND(ISNUMBER('자료_한국심리'!$G3636),ISNUMBER('자료_한국심리'!$H3636)),'자료_한국심리'!$G3636,"")</f>
        <v/>
      </c>
      <c r="X3652">
        <f>IF(AND(ISNUMBER('자료_한국심리'!$J3636),ISNUMBER('자료_한국심리'!$K3636)),'자료_한국심리'!$J3636,"")</f>
        <v/>
      </c>
      <c r="Y3652">
        <f>IF(AND(ISNUMBER('자료_한국심리'!$M3636),ISNUMBER('자료_한국심리'!$N3636)),'자료_한국심리'!$M3636,"")</f>
        <v/>
      </c>
    </row>
    <row r="3653">
      <c r="U3653">
        <f>IF(AND(ISNUMBER('자료_한국심리'!$A3637),ISNUMBER('자료_한국심리'!$B3637)),'자료_한국심리'!$A3637,"")</f>
        <v/>
      </c>
      <c r="V3653">
        <f>IF(AND(ISNUMBER('자료_한국심리'!$D3637),ISNUMBER('자료_한국심리'!$E3637)),'자료_한국심리'!$D3637,"")</f>
        <v/>
      </c>
      <c r="W3653">
        <f>IF(AND(ISNUMBER('자료_한국심리'!$G3637),ISNUMBER('자료_한국심리'!$H3637)),'자료_한국심리'!$G3637,"")</f>
        <v/>
      </c>
      <c r="X3653">
        <f>IF(AND(ISNUMBER('자료_한국심리'!$J3637),ISNUMBER('자료_한국심리'!$K3637)),'자료_한국심리'!$J3637,"")</f>
        <v/>
      </c>
      <c r="Y3653">
        <f>IF(AND(ISNUMBER('자료_한국심리'!$M3637),ISNUMBER('자료_한국심리'!$N3637)),'자료_한국심리'!$M3637,"")</f>
        <v/>
      </c>
    </row>
    <row r="3654">
      <c r="U3654">
        <f>IF(AND(ISNUMBER('자료_한국심리'!$A3638),ISNUMBER('자료_한국심리'!$B3638)),'자료_한국심리'!$A3638,"")</f>
        <v/>
      </c>
      <c r="V3654">
        <f>IF(AND(ISNUMBER('자료_한국심리'!$D3638),ISNUMBER('자료_한국심리'!$E3638)),'자료_한국심리'!$D3638,"")</f>
        <v/>
      </c>
      <c r="W3654">
        <f>IF(AND(ISNUMBER('자료_한국심리'!$G3638),ISNUMBER('자료_한국심리'!$H3638)),'자료_한국심리'!$G3638,"")</f>
        <v/>
      </c>
      <c r="X3654">
        <f>IF(AND(ISNUMBER('자료_한국심리'!$J3638),ISNUMBER('자료_한국심리'!$K3638)),'자료_한국심리'!$J3638,"")</f>
        <v/>
      </c>
      <c r="Y3654">
        <f>IF(AND(ISNUMBER('자료_한국심리'!$M3638),ISNUMBER('자료_한국심리'!$N3638)),'자료_한국심리'!$M3638,"")</f>
        <v/>
      </c>
    </row>
    <row r="3655">
      <c r="U3655">
        <f>IF(AND(ISNUMBER('자료_한국심리'!$A3639),ISNUMBER('자료_한국심리'!$B3639)),'자료_한국심리'!$A3639,"")</f>
        <v/>
      </c>
      <c r="V3655">
        <f>IF(AND(ISNUMBER('자료_한국심리'!$D3639),ISNUMBER('자료_한국심리'!$E3639)),'자료_한국심리'!$D3639,"")</f>
        <v/>
      </c>
      <c r="W3655">
        <f>IF(AND(ISNUMBER('자료_한국심리'!$G3639),ISNUMBER('자료_한국심리'!$H3639)),'자료_한국심리'!$G3639,"")</f>
        <v/>
      </c>
      <c r="X3655">
        <f>IF(AND(ISNUMBER('자료_한국심리'!$J3639),ISNUMBER('자료_한국심리'!$K3639)),'자료_한국심리'!$J3639,"")</f>
        <v/>
      </c>
      <c r="Y3655">
        <f>IF(AND(ISNUMBER('자료_한국심리'!$M3639),ISNUMBER('자료_한국심리'!$N3639)),'자료_한국심리'!$M3639,"")</f>
        <v/>
      </c>
    </row>
    <row r="3656">
      <c r="U3656">
        <f>IF(AND(ISNUMBER('자료_한국심리'!$A3640),ISNUMBER('자료_한국심리'!$B3640)),'자료_한국심리'!$A3640,"")</f>
        <v/>
      </c>
      <c r="V3656">
        <f>IF(AND(ISNUMBER('자료_한국심리'!$D3640),ISNUMBER('자료_한국심리'!$E3640)),'자료_한국심리'!$D3640,"")</f>
        <v/>
      </c>
      <c r="W3656">
        <f>IF(AND(ISNUMBER('자료_한국심리'!$G3640),ISNUMBER('자료_한국심리'!$H3640)),'자료_한국심리'!$G3640,"")</f>
        <v/>
      </c>
      <c r="X3656">
        <f>IF(AND(ISNUMBER('자료_한국심리'!$J3640),ISNUMBER('자료_한국심리'!$K3640)),'자료_한국심리'!$J3640,"")</f>
        <v/>
      </c>
      <c r="Y3656">
        <f>IF(AND(ISNUMBER('자료_한국심리'!$M3640),ISNUMBER('자료_한국심리'!$N3640)),'자료_한국심리'!$M3640,"")</f>
        <v/>
      </c>
    </row>
    <row r="3657">
      <c r="U3657">
        <f>IF(AND(ISNUMBER('자료_한국심리'!$A3641),ISNUMBER('자료_한국심리'!$B3641)),'자료_한국심리'!$A3641,"")</f>
        <v/>
      </c>
      <c r="V3657">
        <f>IF(AND(ISNUMBER('자료_한국심리'!$D3641),ISNUMBER('자료_한국심리'!$E3641)),'자료_한국심리'!$D3641,"")</f>
        <v/>
      </c>
      <c r="W3657">
        <f>IF(AND(ISNUMBER('자료_한국심리'!$G3641),ISNUMBER('자료_한국심리'!$H3641)),'자료_한국심리'!$G3641,"")</f>
        <v/>
      </c>
      <c r="X3657">
        <f>IF(AND(ISNUMBER('자료_한국심리'!$J3641),ISNUMBER('자료_한국심리'!$K3641)),'자료_한국심리'!$J3641,"")</f>
        <v/>
      </c>
      <c r="Y3657">
        <f>IF(AND(ISNUMBER('자료_한국심리'!$M3641),ISNUMBER('자료_한국심리'!$N3641)),'자료_한국심리'!$M3641,"")</f>
        <v/>
      </c>
    </row>
    <row r="3658">
      <c r="U3658">
        <f>IF(AND(ISNUMBER('자료_한국심리'!$A3642),ISNUMBER('자료_한국심리'!$B3642)),'자료_한국심리'!$A3642,"")</f>
        <v/>
      </c>
      <c r="V3658">
        <f>IF(AND(ISNUMBER('자료_한국심리'!$D3642),ISNUMBER('자료_한국심리'!$E3642)),'자료_한국심리'!$D3642,"")</f>
        <v/>
      </c>
      <c r="W3658">
        <f>IF(AND(ISNUMBER('자료_한국심리'!$G3642),ISNUMBER('자료_한국심리'!$H3642)),'자료_한국심리'!$G3642,"")</f>
        <v/>
      </c>
      <c r="X3658">
        <f>IF(AND(ISNUMBER('자료_한국심리'!$J3642),ISNUMBER('자료_한국심리'!$K3642)),'자료_한국심리'!$J3642,"")</f>
        <v/>
      </c>
      <c r="Y3658">
        <f>IF(AND(ISNUMBER('자료_한국심리'!$M3642),ISNUMBER('자료_한국심리'!$N3642)),'자료_한국심리'!$M3642,"")</f>
        <v/>
      </c>
    </row>
    <row r="3659">
      <c r="U3659">
        <f>IF(AND(ISNUMBER('자료_한국심리'!$A3643),ISNUMBER('자료_한국심리'!$B3643)),'자료_한국심리'!$A3643,"")</f>
        <v/>
      </c>
      <c r="V3659">
        <f>IF(AND(ISNUMBER('자료_한국심리'!$D3643),ISNUMBER('자료_한국심리'!$E3643)),'자료_한국심리'!$D3643,"")</f>
        <v/>
      </c>
      <c r="W3659">
        <f>IF(AND(ISNUMBER('자료_한국심리'!$G3643),ISNUMBER('자료_한국심리'!$H3643)),'자료_한국심리'!$G3643,"")</f>
        <v/>
      </c>
      <c r="X3659">
        <f>IF(AND(ISNUMBER('자료_한국심리'!$J3643),ISNUMBER('자료_한국심리'!$K3643)),'자료_한국심리'!$J3643,"")</f>
        <v/>
      </c>
      <c r="Y3659">
        <f>IF(AND(ISNUMBER('자료_한국심리'!$M3643),ISNUMBER('자료_한국심리'!$N3643)),'자료_한국심리'!$M3643,"")</f>
        <v/>
      </c>
    </row>
    <row r="3660">
      <c r="U3660">
        <f>IF(AND(ISNUMBER('자료_한국심리'!$A3644),ISNUMBER('자료_한국심리'!$B3644)),'자료_한국심리'!$A3644,"")</f>
        <v/>
      </c>
      <c r="V3660">
        <f>IF(AND(ISNUMBER('자료_한국심리'!$D3644),ISNUMBER('자료_한국심리'!$E3644)),'자료_한국심리'!$D3644,"")</f>
        <v/>
      </c>
      <c r="W3660">
        <f>IF(AND(ISNUMBER('자료_한국심리'!$G3644),ISNUMBER('자료_한국심리'!$H3644)),'자료_한국심리'!$G3644,"")</f>
        <v/>
      </c>
      <c r="X3660">
        <f>IF(AND(ISNUMBER('자료_한국심리'!$J3644),ISNUMBER('자료_한국심리'!$K3644)),'자료_한국심리'!$J3644,"")</f>
        <v/>
      </c>
      <c r="Y3660">
        <f>IF(AND(ISNUMBER('자료_한국심리'!$M3644),ISNUMBER('자료_한국심리'!$N3644)),'자료_한국심리'!$M3644,"")</f>
        <v/>
      </c>
    </row>
    <row r="3661">
      <c r="U3661">
        <f>IF(AND(ISNUMBER('자료_한국심리'!$A3645),ISNUMBER('자료_한국심리'!$B3645)),'자료_한국심리'!$A3645,"")</f>
        <v/>
      </c>
      <c r="V3661">
        <f>IF(AND(ISNUMBER('자료_한국심리'!$D3645),ISNUMBER('자료_한국심리'!$E3645)),'자료_한국심리'!$D3645,"")</f>
        <v/>
      </c>
      <c r="W3661">
        <f>IF(AND(ISNUMBER('자료_한국심리'!$G3645),ISNUMBER('자료_한국심리'!$H3645)),'자료_한국심리'!$G3645,"")</f>
        <v/>
      </c>
      <c r="X3661">
        <f>IF(AND(ISNUMBER('자료_한국심리'!$J3645),ISNUMBER('자료_한국심리'!$K3645)),'자료_한국심리'!$J3645,"")</f>
        <v/>
      </c>
      <c r="Y3661">
        <f>IF(AND(ISNUMBER('자료_한국심리'!$M3645),ISNUMBER('자료_한국심리'!$N3645)),'자료_한국심리'!$M3645,"")</f>
        <v/>
      </c>
    </row>
    <row r="3662">
      <c r="U3662">
        <f>IF(AND(ISNUMBER('자료_한국심리'!$A3646),ISNUMBER('자료_한국심리'!$B3646)),'자료_한국심리'!$A3646,"")</f>
        <v/>
      </c>
      <c r="V3662">
        <f>IF(AND(ISNUMBER('자료_한국심리'!$D3646),ISNUMBER('자료_한국심리'!$E3646)),'자료_한국심리'!$D3646,"")</f>
        <v/>
      </c>
      <c r="W3662">
        <f>IF(AND(ISNUMBER('자료_한국심리'!$G3646),ISNUMBER('자료_한국심리'!$H3646)),'자료_한국심리'!$G3646,"")</f>
        <v/>
      </c>
      <c r="X3662">
        <f>IF(AND(ISNUMBER('자료_한국심리'!$J3646),ISNUMBER('자료_한국심리'!$K3646)),'자료_한국심리'!$J3646,"")</f>
        <v/>
      </c>
      <c r="Y3662">
        <f>IF(AND(ISNUMBER('자료_한국심리'!$M3646),ISNUMBER('자료_한국심리'!$N3646)),'자료_한국심리'!$M3646,"")</f>
        <v/>
      </c>
    </row>
    <row r="3663">
      <c r="U3663">
        <f>IF(AND(ISNUMBER('자료_한국심리'!$A3647),ISNUMBER('자료_한국심리'!$B3647)),'자료_한국심리'!$A3647,"")</f>
        <v/>
      </c>
      <c r="V3663">
        <f>IF(AND(ISNUMBER('자료_한국심리'!$D3647),ISNUMBER('자료_한국심리'!$E3647)),'자료_한국심리'!$D3647,"")</f>
        <v/>
      </c>
      <c r="W3663">
        <f>IF(AND(ISNUMBER('자료_한국심리'!$G3647),ISNUMBER('자료_한국심리'!$H3647)),'자료_한국심리'!$G3647,"")</f>
        <v/>
      </c>
      <c r="X3663">
        <f>IF(AND(ISNUMBER('자료_한국심리'!$J3647),ISNUMBER('자료_한국심리'!$K3647)),'자료_한국심리'!$J3647,"")</f>
        <v/>
      </c>
      <c r="Y3663">
        <f>IF(AND(ISNUMBER('자료_한국심리'!$M3647),ISNUMBER('자료_한국심리'!$N3647)),'자료_한국심리'!$M3647,"")</f>
        <v/>
      </c>
    </row>
    <row r="3664">
      <c r="U3664">
        <f>IF(AND(ISNUMBER('자료_한국심리'!$A3648),ISNUMBER('자료_한국심리'!$B3648)),'자료_한국심리'!$A3648,"")</f>
        <v/>
      </c>
      <c r="V3664">
        <f>IF(AND(ISNUMBER('자료_한국심리'!$D3648),ISNUMBER('자료_한국심리'!$E3648)),'자료_한국심리'!$D3648,"")</f>
        <v/>
      </c>
      <c r="W3664">
        <f>IF(AND(ISNUMBER('자료_한국심리'!$G3648),ISNUMBER('자료_한국심리'!$H3648)),'자료_한국심리'!$G3648,"")</f>
        <v/>
      </c>
      <c r="X3664">
        <f>IF(AND(ISNUMBER('자료_한국심리'!$J3648),ISNUMBER('자료_한국심리'!$K3648)),'자료_한국심리'!$J3648,"")</f>
        <v/>
      </c>
      <c r="Y3664">
        <f>IF(AND(ISNUMBER('자료_한국심리'!$M3648),ISNUMBER('자료_한국심리'!$N3648)),'자료_한국심리'!$M3648,"")</f>
        <v/>
      </c>
    </row>
    <row r="3665">
      <c r="U3665">
        <f>IF(AND(ISNUMBER('자료_한국심리'!$A3649),ISNUMBER('자료_한국심리'!$B3649)),'자료_한국심리'!$A3649,"")</f>
        <v/>
      </c>
      <c r="V3665">
        <f>IF(AND(ISNUMBER('자료_한국심리'!$D3649),ISNUMBER('자료_한국심리'!$E3649)),'자료_한국심리'!$D3649,"")</f>
        <v/>
      </c>
      <c r="W3665">
        <f>IF(AND(ISNUMBER('자료_한국심리'!$G3649),ISNUMBER('자료_한국심리'!$H3649)),'자료_한국심리'!$G3649,"")</f>
        <v/>
      </c>
      <c r="X3665">
        <f>IF(AND(ISNUMBER('자료_한국심리'!$J3649),ISNUMBER('자료_한국심리'!$K3649)),'자료_한국심리'!$J3649,"")</f>
        <v/>
      </c>
      <c r="Y3665">
        <f>IF(AND(ISNUMBER('자료_한국심리'!$M3649),ISNUMBER('자료_한국심리'!$N3649)),'자료_한국심리'!$M3649,"")</f>
        <v/>
      </c>
    </row>
    <row r="3666">
      <c r="U3666">
        <f>IF(AND(ISNUMBER('자료_한국심리'!$A3650),ISNUMBER('자료_한국심리'!$B3650)),'자료_한국심리'!$A3650,"")</f>
        <v/>
      </c>
      <c r="V3666">
        <f>IF(AND(ISNUMBER('자료_한국심리'!$D3650),ISNUMBER('자료_한국심리'!$E3650)),'자료_한국심리'!$D3650,"")</f>
        <v/>
      </c>
      <c r="W3666">
        <f>IF(AND(ISNUMBER('자료_한국심리'!$G3650),ISNUMBER('자료_한국심리'!$H3650)),'자료_한국심리'!$G3650,"")</f>
        <v/>
      </c>
      <c r="X3666">
        <f>IF(AND(ISNUMBER('자료_한국심리'!$J3650),ISNUMBER('자료_한국심리'!$K3650)),'자료_한국심리'!$J3650,"")</f>
        <v/>
      </c>
      <c r="Y3666">
        <f>IF(AND(ISNUMBER('자료_한국심리'!$M3650),ISNUMBER('자료_한국심리'!$N3650)),'자료_한국심리'!$M3650,"")</f>
        <v/>
      </c>
    </row>
    <row r="3667">
      <c r="U3667">
        <f>IF(AND(ISNUMBER('자료_한국심리'!$A3651),ISNUMBER('자료_한국심리'!$B3651)),'자료_한국심리'!$A3651,"")</f>
        <v/>
      </c>
      <c r="V3667">
        <f>IF(AND(ISNUMBER('자료_한국심리'!$D3651),ISNUMBER('자료_한국심리'!$E3651)),'자료_한국심리'!$D3651,"")</f>
        <v/>
      </c>
      <c r="W3667">
        <f>IF(AND(ISNUMBER('자료_한국심리'!$G3651),ISNUMBER('자료_한국심리'!$H3651)),'자료_한국심리'!$G3651,"")</f>
        <v/>
      </c>
      <c r="X3667">
        <f>IF(AND(ISNUMBER('자료_한국심리'!$J3651),ISNUMBER('자료_한국심리'!$K3651)),'자료_한국심리'!$J3651,"")</f>
        <v/>
      </c>
      <c r="Y3667">
        <f>IF(AND(ISNUMBER('자료_한국심리'!$M3651),ISNUMBER('자료_한국심리'!$N3651)),'자료_한국심리'!$M3651,"")</f>
        <v/>
      </c>
    </row>
    <row r="3668">
      <c r="U3668">
        <f>IF(AND(ISNUMBER('자료_한국심리'!$A3652),ISNUMBER('자료_한국심리'!$B3652)),'자료_한국심리'!$A3652,"")</f>
        <v/>
      </c>
      <c r="V3668">
        <f>IF(AND(ISNUMBER('자료_한국심리'!$D3652),ISNUMBER('자료_한국심리'!$E3652)),'자료_한국심리'!$D3652,"")</f>
        <v/>
      </c>
      <c r="W3668">
        <f>IF(AND(ISNUMBER('자료_한국심리'!$G3652),ISNUMBER('자료_한국심리'!$H3652)),'자료_한국심리'!$G3652,"")</f>
        <v/>
      </c>
      <c r="X3668">
        <f>IF(AND(ISNUMBER('자료_한국심리'!$J3652),ISNUMBER('자료_한국심리'!$K3652)),'자료_한국심리'!$J3652,"")</f>
        <v/>
      </c>
      <c r="Y3668">
        <f>IF(AND(ISNUMBER('자료_한국심리'!$M3652),ISNUMBER('자료_한국심리'!$N3652)),'자료_한국심리'!$M3652,"")</f>
        <v/>
      </c>
    </row>
    <row r="3669">
      <c r="U3669">
        <f>IF(AND(ISNUMBER('자료_한국심리'!$A3653),ISNUMBER('자료_한국심리'!$B3653)),'자료_한국심리'!$A3653,"")</f>
        <v/>
      </c>
      <c r="V3669">
        <f>IF(AND(ISNUMBER('자료_한국심리'!$D3653),ISNUMBER('자료_한국심리'!$E3653)),'자료_한국심리'!$D3653,"")</f>
        <v/>
      </c>
      <c r="W3669">
        <f>IF(AND(ISNUMBER('자료_한국심리'!$G3653),ISNUMBER('자료_한국심리'!$H3653)),'자료_한국심리'!$G3653,"")</f>
        <v/>
      </c>
      <c r="X3669">
        <f>IF(AND(ISNUMBER('자료_한국심리'!$J3653),ISNUMBER('자료_한국심리'!$K3653)),'자료_한국심리'!$J3653,"")</f>
        <v/>
      </c>
      <c r="Y3669">
        <f>IF(AND(ISNUMBER('자료_한국심리'!$M3653),ISNUMBER('자료_한국심리'!$N3653)),'자료_한국심리'!$M3653,"")</f>
        <v/>
      </c>
    </row>
    <row r="3670">
      <c r="U3670">
        <f>IF(AND(ISNUMBER('자료_한국심리'!$A3654),ISNUMBER('자료_한국심리'!$B3654)),'자료_한국심리'!$A3654,"")</f>
        <v/>
      </c>
      <c r="V3670">
        <f>IF(AND(ISNUMBER('자료_한국심리'!$D3654),ISNUMBER('자료_한국심리'!$E3654)),'자료_한국심리'!$D3654,"")</f>
        <v/>
      </c>
      <c r="W3670">
        <f>IF(AND(ISNUMBER('자료_한국심리'!$G3654),ISNUMBER('자료_한국심리'!$H3654)),'자료_한국심리'!$G3654,"")</f>
        <v/>
      </c>
      <c r="X3670">
        <f>IF(AND(ISNUMBER('자료_한국심리'!$J3654),ISNUMBER('자료_한국심리'!$K3654)),'자료_한국심리'!$J3654,"")</f>
        <v/>
      </c>
      <c r="Y3670">
        <f>IF(AND(ISNUMBER('자료_한국심리'!$M3654),ISNUMBER('자료_한국심리'!$N3654)),'자료_한국심리'!$M3654,"")</f>
        <v/>
      </c>
    </row>
    <row r="3671">
      <c r="U3671">
        <f>IF(AND(ISNUMBER('자료_한국심리'!$A3655),ISNUMBER('자료_한국심리'!$B3655)),'자료_한국심리'!$A3655,"")</f>
        <v/>
      </c>
      <c r="V3671">
        <f>IF(AND(ISNUMBER('자료_한국심리'!$D3655),ISNUMBER('자료_한국심리'!$E3655)),'자료_한국심리'!$D3655,"")</f>
        <v/>
      </c>
      <c r="W3671">
        <f>IF(AND(ISNUMBER('자료_한국심리'!$G3655),ISNUMBER('자료_한국심리'!$H3655)),'자료_한국심리'!$G3655,"")</f>
        <v/>
      </c>
      <c r="X3671">
        <f>IF(AND(ISNUMBER('자료_한국심리'!$J3655),ISNUMBER('자료_한국심리'!$K3655)),'자료_한국심리'!$J3655,"")</f>
        <v/>
      </c>
      <c r="Y3671">
        <f>IF(AND(ISNUMBER('자료_한국심리'!$M3655),ISNUMBER('자료_한국심리'!$N3655)),'자료_한국심리'!$M3655,"")</f>
        <v/>
      </c>
    </row>
    <row r="3672">
      <c r="U3672">
        <f>IF(AND(ISNUMBER('자료_한국심리'!$A3656),ISNUMBER('자료_한국심리'!$B3656)),'자료_한국심리'!$A3656,"")</f>
        <v/>
      </c>
      <c r="V3672">
        <f>IF(AND(ISNUMBER('자료_한국심리'!$D3656),ISNUMBER('자료_한국심리'!$E3656)),'자료_한국심리'!$D3656,"")</f>
        <v/>
      </c>
      <c r="W3672">
        <f>IF(AND(ISNUMBER('자료_한국심리'!$G3656),ISNUMBER('자료_한국심리'!$H3656)),'자료_한국심리'!$G3656,"")</f>
        <v/>
      </c>
      <c r="X3672">
        <f>IF(AND(ISNUMBER('자료_한국심리'!$J3656),ISNUMBER('자료_한국심리'!$K3656)),'자료_한국심리'!$J3656,"")</f>
        <v/>
      </c>
      <c r="Y3672">
        <f>IF(AND(ISNUMBER('자료_한국심리'!$M3656),ISNUMBER('자료_한국심리'!$N3656)),'자료_한국심리'!$M3656,"")</f>
        <v/>
      </c>
    </row>
    <row r="3673">
      <c r="U3673">
        <f>IF(AND(ISNUMBER('자료_한국심리'!$A3657),ISNUMBER('자료_한국심리'!$B3657)),'자료_한국심리'!$A3657,"")</f>
        <v/>
      </c>
      <c r="V3673">
        <f>IF(AND(ISNUMBER('자료_한국심리'!$D3657),ISNUMBER('자료_한국심리'!$E3657)),'자료_한국심리'!$D3657,"")</f>
        <v/>
      </c>
      <c r="W3673">
        <f>IF(AND(ISNUMBER('자료_한국심리'!$G3657),ISNUMBER('자료_한국심리'!$H3657)),'자료_한국심리'!$G3657,"")</f>
        <v/>
      </c>
      <c r="X3673">
        <f>IF(AND(ISNUMBER('자료_한국심리'!$J3657),ISNUMBER('자료_한국심리'!$K3657)),'자료_한국심리'!$J3657,"")</f>
        <v/>
      </c>
      <c r="Y3673">
        <f>IF(AND(ISNUMBER('자료_한국심리'!$M3657),ISNUMBER('자료_한국심리'!$N3657)),'자료_한국심리'!$M3657,"")</f>
        <v/>
      </c>
    </row>
    <row r="3674">
      <c r="U3674">
        <f>IF(AND(ISNUMBER('자료_한국심리'!$A3658),ISNUMBER('자료_한국심리'!$B3658)),'자료_한국심리'!$A3658,"")</f>
        <v/>
      </c>
      <c r="V3674">
        <f>IF(AND(ISNUMBER('자료_한국심리'!$D3658),ISNUMBER('자료_한국심리'!$E3658)),'자료_한국심리'!$D3658,"")</f>
        <v/>
      </c>
      <c r="W3674">
        <f>IF(AND(ISNUMBER('자료_한국심리'!$G3658),ISNUMBER('자료_한국심리'!$H3658)),'자료_한국심리'!$G3658,"")</f>
        <v/>
      </c>
      <c r="X3674">
        <f>IF(AND(ISNUMBER('자료_한국심리'!$J3658),ISNUMBER('자료_한국심리'!$K3658)),'자료_한국심리'!$J3658,"")</f>
        <v/>
      </c>
      <c r="Y3674">
        <f>IF(AND(ISNUMBER('자료_한국심리'!$M3658),ISNUMBER('자료_한국심리'!$N3658)),'자료_한국심리'!$M3658,"")</f>
        <v/>
      </c>
    </row>
    <row r="3675">
      <c r="U3675">
        <f>IF(AND(ISNUMBER('자료_한국심리'!$A3659),ISNUMBER('자료_한국심리'!$B3659)),'자료_한국심리'!$A3659,"")</f>
        <v/>
      </c>
      <c r="V3675">
        <f>IF(AND(ISNUMBER('자료_한국심리'!$D3659),ISNUMBER('자료_한국심리'!$E3659)),'자료_한국심리'!$D3659,"")</f>
        <v/>
      </c>
      <c r="W3675">
        <f>IF(AND(ISNUMBER('자료_한국심리'!$G3659),ISNUMBER('자료_한국심리'!$H3659)),'자료_한국심리'!$G3659,"")</f>
        <v/>
      </c>
      <c r="X3675">
        <f>IF(AND(ISNUMBER('자료_한국심리'!$J3659),ISNUMBER('자료_한국심리'!$K3659)),'자료_한국심리'!$J3659,"")</f>
        <v/>
      </c>
      <c r="Y3675">
        <f>IF(AND(ISNUMBER('자료_한국심리'!$M3659),ISNUMBER('자료_한국심리'!$N3659)),'자료_한국심리'!$M3659,"")</f>
        <v/>
      </c>
    </row>
    <row r="3676">
      <c r="U3676">
        <f>IF(AND(ISNUMBER('자료_한국심리'!$A3660),ISNUMBER('자료_한국심리'!$B3660)),'자료_한국심리'!$A3660,"")</f>
        <v/>
      </c>
      <c r="V3676">
        <f>IF(AND(ISNUMBER('자료_한국심리'!$D3660),ISNUMBER('자료_한국심리'!$E3660)),'자료_한국심리'!$D3660,"")</f>
        <v/>
      </c>
      <c r="W3676">
        <f>IF(AND(ISNUMBER('자료_한국심리'!$G3660),ISNUMBER('자료_한국심리'!$H3660)),'자료_한국심리'!$G3660,"")</f>
        <v/>
      </c>
      <c r="X3676">
        <f>IF(AND(ISNUMBER('자료_한국심리'!$J3660),ISNUMBER('자료_한국심리'!$K3660)),'자료_한국심리'!$J3660,"")</f>
        <v/>
      </c>
      <c r="Y3676">
        <f>IF(AND(ISNUMBER('자료_한국심리'!$M3660),ISNUMBER('자료_한국심리'!$N3660)),'자료_한국심리'!$M3660,"")</f>
        <v/>
      </c>
    </row>
    <row r="3677">
      <c r="U3677">
        <f>IF(AND(ISNUMBER('자료_한국심리'!$A3661),ISNUMBER('자료_한국심리'!$B3661)),'자료_한국심리'!$A3661,"")</f>
        <v/>
      </c>
      <c r="V3677">
        <f>IF(AND(ISNUMBER('자료_한국심리'!$D3661),ISNUMBER('자료_한국심리'!$E3661)),'자료_한국심리'!$D3661,"")</f>
        <v/>
      </c>
      <c r="W3677">
        <f>IF(AND(ISNUMBER('자료_한국심리'!$G3661),ISNUMBER('자료_한국심리'!$H3661)),'자료_한국심리'!$G3661,"")</f>
        <v/>
      </c>
      <c r="X3677">
        <f>IF(AND(ISNUMBER('자료_한국심리'!$J3661),ISNUMBER('자료_한국심리'!$K3661)),'자료_한국심리'!$J3661,"")</f>
        <v/>
      </c>
      <c r="Y3677">
        <f>IF(AND(ISNUMBER('자료_한국심리'!$M3661),ISNUMBER('자료_한국심리'!$N3661)),'자료_한국심리'!$M3661,"")</f>
        <v/>
      </c>
    </row>
    <row r="3678">
      <c r="U3678">
        <f>IF(AND(ISNUMBER('자료_한국심리'!$A3662),ISNUMBER('자료_한국심리'!$B3662)),'자료_한국심리'!$A3662,"")</f>
        <v/>
      </c>
      <c r="V3678">
        <f>IF(AND(ISNUMBER('자료_한국심리'!$D3662),ISNUMBER('자료_한국심리'!$E3662)),'자료_한국심리'!$D3662,"")</f>
        <v/>
      </c>
      <c r="W3678">
        <f>IF(AND(ISNUMBER('자료_한국심리'!$G3662),ISNUMBER('자료_한국심리'!$H3662)),'자료_한국심리'!$G3662,"")</f>
        <v/>
      </c>
      <c r="X3678">
        <f>IF(AND(ISNUMBER('자료_한국심리'!$J3662),ISNUMBER('자료_한국심리'!$K3662)),'자료_한국심리'!$J3662,"")</f>
        <v/>
      </c>
      <c r="Y3678">
        <f>IF(AND(ISNUMBER('자료_한국심리'!$M3662),ISNUMBER('자료_한국심리'!$N3662)),'자료_한국심리'!$M3662,"")</f>
        <v/>
      </c>
    </row>
    <row r="3679">
      <c r="U3679">
        <f>IF(AND(ISNUMBER('자료_한국심리'!$A3663),ISNUMBER('자료_한국심리'!$B3663)),'자료_한국심리'!$A3663,"")</f>
        <v/>
      </c>
      <c r="V3679">
        <f>IF(AND(ISNUMBER('자료_한국심리'!$D3663),ISNUMBER('자료_한국심리'!$E3663)),'자료_한국심리'!$D3663,"")</f>
        <v/>
      </c>
      <c r="W3679">
        <f>IF(AND(ISNUMBER('자료_한국심리'!$G3663),ISNUMBER('자료_한국심리'!$H3663)),'자료_한국심리'!$G3663,"")</f>
        <v/>
      </c>
      <c r="X3679">
        <f>IF(AND(ISNUMBER('자료_한국심리'!$J3663),ISNUMBER('자료_한국심리'!$K3663)),'자료_한국심리'!$J3663,"")</f>
        <v/>
      </c>
      <c r="Y3679">
        <f>IF(AND(ISNUMBER('자료_한국심리'!$M3663),ISNUMBER('자료_한국심리'!$N3663)),'자료_한국심리'!$M3663,"")</f>
        <v/>
      </c>
    </row>
    <row r="3680">
      <c r="U3680">
        <f>IF(AND(ISNUMBER('자료_한국심리'!$A3664),ISNUMBER('자료_한국심리'!$B3664)),'자료_한국심리'!$A3664,"")</f>
        <v/>
      </c>
      <c r="V3680">
        <f>IF(AND(ISNUMBER('자료_한국심리'!$D3664),ISNUMBER('자료_한국심리'!$E3664)),'자료_한국심리'!$D3664,"")</f>
        <v/>
      </c>
      <c r="W3680">
        <f>IF(AND(ISNUMBER('자료_한국심리'!$G3664),ISNUMBER('자료_한국심리'!$H3664)),'자료_한국심리'!$G3664,"")</f>
        <v/>
      </c>
      <c r="X3680">
        <f>IF(AND(ISNUMBER('자료_한국심리'!$J3664),ISNUMBER('자료_한국심리'!$K3664)),'자료_한국심리'!$J3664,"")</f>
        <v/>
      </c>
      <c r="Y3680">
        <f>IF(AND(ISNUMBER('자료_한국심리'!$M3664),ISNUMBER('자료_한국심리'!$N3664)),'자료_한국심리'!$M3664,"")</f>
        <v/>
      </c>
    </row>
    <row r="3681">
      <c r="U3681">
        <f>IF(AND(ISNUMBER('자료_한국심리'!$A3665),ISNUMBER('자료_한국심리'!$B3665)),'자료_한국심리'!$A3665,"")</f>
        <v/>
      </c>
      <c r="V3681">
        <f>IF(AND(ISNUMBER('자료_한국심리'!$D3665),ISNUMBER('자료_한국심리'!$E3665)),'자료_한국심리'!$D3665,"")</f>
        <v/>
      </c>
      <c r="W3681">
        <f>IF(AND(ISNUMBER('자료_한국심리'!$G3665),ISNUMBER('자료_한국심리'!$H3665)),'자료_한국심리'!$G3665,"")</f>
        <v/>
      </c>
      <c r="X3681">
        <f>IF(AND(ISNUMBER('자료_한국심리'!$J3665),ISNUMBER('자료_한국심리'!$K3665)),'자료_한국심리'!$J3665,"")</f>
        <v/>
      </c>
      <c r="Y3681">
        <f>IF(AND(ISNUMBER('자료_한국심리'!$M3665),ISNUMBER('자료_한국심리'!$N3665)),'자료_한국심리'!$M3665,"")</f>
        <v/>
      </c>
    </row>
    <row r="3682">
      <c r="U3682">
        <f>IF(AND(ISNUMBER('자료_한국심리'!$A3666),ISNUMBER('자료_한국심리'!$B3666)),'자료_한국심리'!$A3666,"")</f>
        <v/>
      </c>
      <c r="V3682">
        <f>IF(AND(ISNUMBER('자료_한국심리'!$D3666),ISNUMBER('자료_한국심리'!$E3666)),'자료_한국심리'!$D3666,"")</f>
        <v/>
      </c>
      <c r="W3682">
        <f>IF(AND(ISNUMBER('자료_한국심리'!$G3666),ISNUMBER('자료_한국심리'!$H3666)),'자료_한국심리'!$G3666,"")</f>
        <v/>
      </c>
      <c r="X3682">
        <f>IF(AND(ISNUMBER('자료_한국심리'!$J3666),ISNUMBER('자료_한국심리'!$K3666)),'자료_한국심리'!$J3666,"")</f>
        <v/>
      </c>
      <c r="Y3682">
        <f>IF(AND(ISNUMBER('자료_한국심리'!$M3666),ISNUMBER('자료_한국심리'!$N3666)),'자료_한국심리'!$M3666,"")</f>
        <v/>
      </c>
    </row>
    <row r="3683">
      <c r="U3683">
        <f>IF(AND(ISNUMBER('자료_한국심리'!$A3667),ISNUMBER('자료_한국심리'!$B3667)),'자료_한국심리'!$A3667,"")</f>
        <v/>
      </c>
      <c r="V3683">
        <f>IF(AND(ISNUMBER('자료_한국심리'!$D3667),ISNUMBER('자료_한국심리'!$E3667)),'자료_한국심리'!$D3667,"")</f>
        <v/>
      </c>
      <c r="W3683">
        <f>IF(AND(ISNUMBER('자료_한국심리'!$G3667),ISNUMBER('자료_한국심리'!$H3667)),'자료_한국심리'!$G3667,"")</f>
        <v/>
      </c>
      <c r="X3683">
        <f>IF(AND(ISNUMBER('자료_한국심리'!$J3667),ISNUMBER('자료_한국심리'!$K3667)),'자료_한국심리'!$J3667,"")</f>
        <v/>
      </c>
      <c r="Y3683">
        <f>IF(AND(ISNUMBER('자료_한국심리'!$M3667),ISNUMBER('자료_한국심리'!$N3667)),'자료_한국심리'!$M3667,"")</f>
        <v/>
      </c>
    </row>
    <row r="3684">
      <c r="U3684">
        <f>IF(AND(ISNUMBER('자료_한국심리'!$A3668),ISNUMBER('자료_한국심리'!$B3668)),'자료_한국심리'!$A3668,"")</f>
        <v/>
      </c>
      <c r="V3684">
        <f>IF(AND(ISNUMBER('자료_한국심리'!$D3668),ISNUMBER('자료_한국심리'!$E3668)),'자료_한국심리'!$D3668,"")</f>
        <v/>
      </c>
      <c r="W3684">
        <f>IF(AND(ISNUMBER('자료_한국심리'!$G3668),ISNUMBER('자료_한국심리'!$H3668)),'자료_한국심리'!$G3668,"")</f>
        <v/>
      </c>
      <c r="X3684">
        <f>IF(AND(ISNUMBER('자료_한국심리'!$J3668),ISNUMBER('자료_한국심리'!$K3668)),'자료_한국심리'!$J3668,"")</f>
        <v/>
      </c>
      <c r="Y3684">
        <f>IF(AND(ISNUMBER('자료_한국심리'!$M3668),ISNUMBER('자료_한국심리'!$N3668)),'자료_한국심리'!$M3668,"")</f>
        <v/>
      </c>
    </row>
    <row r="3685">
      <c r="U3685">
        <f>IF(AND(ISNUMBER('자료_한국심리'!$A3669),ISNUMBER('자료_한국심리'!$B3669)),'자료_한국심리'!$A3669,"")</f>
        <v/>
      </c>
      <c r="V3685">
        <f>IF(AND(ISNUMBER('자료_한국심리'!$D3669),ISNUMBER('자료_한국심리'!$E3669)),'자료_한국심리'!$D3669,"")</f>
        <v/>
      </c>
      <c r="W3685">
        <f>IF(AND(ISNUMBER('자료_한국심리'!$G3669),ISNUMBER('자료_한국심리'!$H3669)),'자료_한국심리'!$G3669,"")</f>
        <v/>
      </c>
      <c r="X3685">
        <f>IF(AND(ISNUMBER('자료_한국심리'!$J3669),ISNUMBER('자료_한국심리'!$K3669)),'자료_한국심리'!$J3669,"")</f>
        <v/>
      </c>
      <c r="Y3685">
        <f>IF(AND(ISNUMBER('자료_한국심리'!$M3669),ISNUMBER('자료_한국심리'!$N3669)),'자료_한국심리'!$M3669,"")</f>
        <v/>
      </c>
    </row>
    <row r="3686">
      <c r="U3686">
        <f>IF(AND(ISNUMBER('자료_한국심리'!$A3670),ISNUMBER('자료_한국심리'!$B3670)),'자료_한국심리'!$A3670,"")</f>
        <v/>
      </c>
      <c r="V3686">
        <f>IF(AND(ISNUMBER('자료_한국심리'!$D3670),ISNUMBER('자료_한국심리'!$E3670)),'자료_한국심리'!$D3670,"")</f>
        <v/>
      </c>
      <c r="W3686">
        <f>IF(AND(ISNUMBER('자료_한국심리'!$G3670),ISNUMBER('자료_한국심리'!$H3670)),'자료_한국심리'!$G3670,"")</f>
        <v/>
      </c>
      <c r="X3686">
        <f>IF(AND(ISNUMBER('자료_한국심리'!$J3670),ISNUMBER('자료_한국심리'!$K3670)),'자료_한국심리'!$J3670,"")</f>
        <v/>
      </c>
      <c r="Y3686">
        <f>IF(AND(ISNUMBER('자료_한국심리'!$M3670),ISNUMBER('자료_한국심리'!$N3670)),'자료_한국심리'!$M3670,"")</f>
        <v/>
      </c>
    </row>
    <row r="3687">
      <c r="U3687">
        <f>IF(AND(ISNUMBER('자료_한국심리'!$A3671),ISNUMBER('자료_한국심리'!$B3671)),'자료_한국심리'!$A3671,"")</f>
        <v/>
      </c>
      <c r="V3687">
        <f>IF(AND(ISNUMBER('자료_한국심리'!$D3671),ISNUMBER('자료_한국심리'!$E3671)),'자료_한국심리'!$D3671,"")</f>
        <v/>
      </c>
      <c r="W3687">
        <f>IF(AND(ISNUMBER('자료_한국심리'!$G3671),ISNUMBER('자료_한국심리'!$H3671)),'자료_한국심리'!$G3671,"")</f>
        <v/>
      </c>
      <c r="X3687">
        <f>IF(AND(ISNUMBER('자료_한국심리'!$J3671),ISNUMBER('자료_한국심리'!$K3671)),'자료_한국심리'!$J3671,"")</f>
        <v/>
      </c>
      <c r="Y3687">
        <f>IF(AND(ISNUMBER('자료_한국심리'!$M3671),ISNUMBER('자료_한국심리'!$N3671)),'자료_한국심리'!$M3671,"")</f>
        <v/>
      </c>
    </row>
    <row r="3688">
      <c r="U3688">
        <f>IF(AND(ISNUMBER('자료_한국심리'!$A3672),ISNUMBER('자료_한국심리'!$B3672)),'자료_한국심리'!$A3672,"")</f>
        <v/>
      </c>
      <c r="V3688">
        <f>IF(AND(ISNUMBER('자료_한국심리'!$D3672),ISNUMBER('자료_한국심리'!$E3672)),'자료_한국심리'!$D3672,"")</f>
        <v/>
      </c>
      <c r="W3688">
        <f>IF(AND(ISNUMBER('자료_한국심리'!$G3672),ISNUMBER('자료_한국심리'!$H3672)),'자료_한국심리'!$G3672,"")</f>
        <v/>
      </c>
      <c r="X3688">
        <f>IF(AND(ISNUMBER('자료_한국심리'!$J3672),ISNUMBER('자료_한국심리'!$K3672)),'자료_한국심리'!$J3672,"")</f>
        <v/>
      </c>
      <c r="Y3688">
        <f>IF(AND(ISNUMBER('자료_한국심리'!$M3672),ISNUMBER('자료_한국심리'!$N3672)),'자료_한국심리'!$M3672,"")</f>
        <v/>
      </c>
    </row>
    <row r="3689">
      <c r="U3689">
        <f>IF(AND(ISNUMBER('자료_한국심리'!$A3673),ISNUMBER('자료_한국심리'!$B3673)),'자료_한국심리'!$A3673,"")</f>
        <v/>
      </c>
      <c r="V3689">
        <f>IF(AND(ISNUMBER('자료_한국심리'!$D3673),ISNUMBER('자료_한국심리'!$E3673)),'자료_한국심리'!$D3673,"")</f>
        <v/>
      </c>
      <c r="W3689">
        <f>IF(AND(ISNUMBER('자료_한국심리'!$G3673),ISNUMBER('자료_한국심리'!$H3673)),'자료_한국심리'!$G3673,"")</f>
        <v/>
      </c>
      <c r="X3689">
        <f>IF(AND(ISNUMBER('자료_한국심리'!$J3673),ISNUMBER('자료_한국심리'!$K3673)),'자료_한국심리'!$J3673,"")</f>
        <v/>
      </c>
      <c r="Y3689">
        <f>IF(AND(ISNUMBER('자료_한국심리'!$M3673),ISNUMBER('자료_한국심리'!$N3673)),'자료_한국심리'!$M3673,"")</f>
        <v/>
      </c>
    </row>
    <row r="3690">
      <c r="U3690">
        <f>IF(AND(ISNUMBER('자료_한국심리'!$A3674),ISNUMBER('자료_한국심리'!$B3674)),'자료_한국심리'!$A3674,"")</f>
        <v/>
      </c>
      <c r="V3690">
        <f>IF(AND(ISNUMBER('자료_한국심리'!$D3674),ISNUMBER('자료_한국심리'!$E3674)),'자료_한국심리'!$D3674,"")</f>
        <v/>
      </c>
      <c r="W3690">
        <f>IF(AND(ISNUMBER('자료_한국심리'!$G3674),ISNUMBER('자료_한국심리'!$H3674)),'자료_한국심리'!$G3674,"")</f>
        <v/>
      </c>
      <c r="X3690">
        <f>IF(AND(ISNUMBER('자료_한국심리'!$J3674),ISNUMBER('자료_한국심리'!$K3674)),'자료_한국심리'!$J3674,"")</f>
        <v/>
      </c>
      <c r="Y3690">
        <f>IF(AND(ISNUMBER('자료_한국심리'!$M3674),ISNUMBER('자료_한국심리'!$N3674)),'자료_한국심리'!$M3674,"")</f>
        <v/>
      </c>
    </row>
    <row r="3691">
      <c r="U3691">
        <f>IF(AND(ISNUMBER('자료_한국심리'!$A3675),ISNUMBER('자료_한국심리'!$B3675)),'자료_한국심리'!$A3675,"")</f>
        <v/>
      </c>
      <c r="V3691">
        <f>IF(AND(ISNUMBER('자료_한국심리'!$D3675),ISNUMBER('자료_한국심리'!$E3675)),'자료_한국심리'!$D3675,"")</f>
        <v/>
      </c>
      <c r="W3691">
        <f>IF(AND(ISNUMBER('자료_한국심리'!$G3675),ISNUMBER('자료_한국심리'!$H3675)),'자료_한국심리'!$G3675,"")</f>
        <v/>
      </c>
      <c r="X3691">
        <f>IF(AND(ISNUMBER('자료_한국심리'!$J3675),ISNUMBER('자료_한국심리'!$K3675)),'자료_한국심리'!$J3675,"")</f>
        <v/>
      </c>
      <c r="Y3691">
        <f>IF(AND(ISNUMBER('자료_한국심리'!$M3675),ISNUMBER('자료_한국심리'!$N3675)),'자료_한국심리'!$M3675,"")</f>
        <v/>
      </c>
    </row>
    <row r="3692">
      <c r="U3692">
        <f>IF(AND(ISNUMBER('자료_한국심리'!$A3676),ISNUMBER('자료_한국심리'!$B3676)),'자료_한국심리'!$A3676,"")</f>
        <v/>
      </c>
      <c r="V3692">
        <f>IF(AND(ISNUMBER('자료_한국심리'!$D3676),ISNUMBER('자료_한국심리'!$E3676)),'자료_한국심리'!$D3676,"")</f>
        <v/>
      </c>
      <c r="W3692">
        <f>IF(AND(ISNUMBER('자료_한국심리'!$G3676),ISNUMBER('자료_한국심리'!$H3676)),'자료_한국심리'!$G3676,"")</f>
        <v/>
      </c>
      <c r="X3692">
        <f>IF(AND(ISNUMBER('자료_한국심리'!$J3676),ISNUMBER('자료_한국심리'!$K3676)),'자료_한국심리'!$J3676,"")</f>
        <v/>
      </c>
      <c r="Y3692">
        <f>IF(AND(ISNUMBER('자료_한국심리'!$M3676),ISNUMBER('자료_한국심리'!$N3676)),'자료_한국심리'!$M3676,"")</f>
        <v/>
      </c>
    </row>
    <row r="3693">
      <c r="U3693">
        <f>IF(AND(ISNUMBER('자료_한국심리'!$A3677),ISNUMBER('자료_한국심리'!$B3677)),'자료_한국심리'!$A3677,"")</f>
        <v/>
      </c>
      <c r="V3693">
        <f>IF(AND(ISNUMBER('자료_한국심리'!$D3677),ISNUMBER('자료_한국심리'!$E3677)),'자료_한국심리'!$D3677,"")</f>
        <v/>
      </c>
      <c r="W3693">
        <f>IF(AND(ISNUMBER('자료_한국심리'!$G3677),ISNUMBER('자료_한국심리'!$H3677)),'자료_한국심리'!$G3677,"")</f>
        <v/>
      </c>
      <c r="X3693">
        <f>IF(AND(ISNUMBER('자료_한국심리'!$J3677),ISNUMBER('자료_한국심리'!$K3677)),'자료_한국심리'!$J3677,"")</f>
        <v/>
      </c>
      <c r="Y3693">
        <f>IF(AND(ISNUMBER('자료_한국심리'!$M3677),ISNUMBER('자료_한국심리'!$N3677)),'자료_한국심리'!$M3677,"")</f>
        <v/>
      </c>
    </row>
    <row r="3694">
      <c r="U3694">
        <f>IF(AND(ISNUMBER('자료_한국심리'!$A3678),ISNUMBER('자료_한국심리'!$B3678)),'자료_한국심리'!$A3678,"")</f>
        <v/>
      </c>
      <c r="V3694">
        <f>IF(AND(ISNUMBER('자료_한국심리'!$D3678),ISNUMBER('자료_한국심리'!$E3678)),'자료_한국심리'!$D3678,"")</f>
        <v/>
      </c>
      <c r="W3694">
        <f>IF(AND(ISNUMBER('자료_한국심리'!$G3678),ISNUMBER('자료_한국심리'!$H3678)),'자료_한국심리'!$G3678,"")</f>
        <v/>
      </c>
      <c r="X3694">
        <f>IF(AND(ISNUMBER('자료_한국심리'!$J3678),ISNUMBER('자료_한국심리'!$K3678)),'자료_한국심리'!$J3678,"")</f>
        <v/>
      </c>
      <c r="Y3694">
        <f>IF(AND(ISNUMBER('자료_한국심리'!$M3678),ISNUMBER('자료_한국심리'!$N3678)),'자료_한국심리'!$M3678,"")</f>
        <v/>
      </c>
    </row>
    <row r="3695">
      <c r="U3695">
        <f>IF(AND(ISNUMBER('자료_한국심리'!$A3679),ISNUMBER('자료_한국심리'!$B3679)),'자료_한국심리'!$A3679,"")</f>
        <v/>
      </c>
      <c r="V3695">
        <f>IF(AND(ISNUMBER('자료_한국심리'!$D3679),ISNUMBER('자료_한국심리'!$E3679)),'자료_한국심리'!$D3679,"")</f>
        <v/>
      </c>
      <c r="W3695">
        <f>IF(AND(ISNUMBER('자료_한국심리'!$G3679),ISNUMBER('자료_한국심리'!$H3679)),'자료_한국심리'!$G3679,"")</f>
        <v/>
      </c>
      <c r="X3695">
        <f>IF(AND(ISNUMBER('자료_한국심리'!$J3679),ISNUMBER('자료_한국심리'!$K3679)),'자료_한국심리'!$J3679,"")</f>
        <v/>
      </c>
      <c r="Y3695">
        <f>IF(AND(ISNUMBER('자료_한국심리'!$M3679),ISNUMBER('자료_한국심리'!$N3679)),'자료_한국심리'!$M3679,"")</f>
        <v/>
      </c>
    </row>
    <row r="3696">
      <c r="U3696">
        <f>IF(AND(ISNUMBER('자료_한국심리'!$A3680),ISNUMBER('자료_한국심리'!$B3680)),'자료_한국심리'!$A3680,"")</f>
        <v/>
      </c>
      <c r="V3696">
        <f>IF(AND(ISNUMBER('자료_한국심리'!$D3680),ISNUMBER('자료_한국심리'!$E3680)),'자료_한국심리'!$D3680,"")</f>
        <v/>
      </c>
      <c r="W3696">
        <f>IF(AND(ISNUMBER('자료_한국심리'!$G3680),ISNUMBER('자료_한국심리'!$H3680)),'자료_한국심리'!$G3680,"")</f>
        <v/>
      </c>
      <c r="X3696">
        <f>IF(AND(ISNUMBER('자료_한국심리'!$J3680),ISNUMBER('자료_한국심리'!$K3680)),'자료_한국심리'!$J3680,"")</f>
        <v/>
      </c>
      <c r="Y3696">
        <f>IF(AND(ISNUMBER('자료_한국심리'!$M3680),ISNUMBER('자료_한국심리'!$N3680)),'자료_한국심리'!$M3680,"")</f>
        <v/>
      </c>
    </row>
    <row r="3697">
      <c r="U3697">
        <f>IF(AND(ISNUMBER('자료_한국심리'!$A3681),ISNUMBER('자료_한국심리'!$B3681)),'자료_한국심리'!$A3681,"")</f>
        <v/>
      </c>
      <c r="V3697">
        <f>IF(AND(ISNUMBER('자료_한국심리'!$D3681),ISNUMBER('자료_한국심리'!$E3681)),'자료_한국심리'!$D3681,"")</f>
        <v/>
      </c>
      <c r="W3697">
        <f>IF(AND(ISNUMBER('자료_한국심리'!$G3681),ISNUMBER('자료_한국심리'!$H3681)),'자료_한국심리'!$G3681,"")</f>
        <v/>
      </c>
      <c r="X3697">
        <f>IF(AND(ISNUMBER('자료_한국심리'!$J3681),ISNUMBER('자료_한국심리'!$K3681)),'자료_한국심리'!$J3681,"")</f>
        <v/>
      </c>
      <c r="Y3697">
        <f>IF(AND(ISNUMBER('자료_한국심리'!$M3681),ISNUMBER('자료_한국심리'!$N3681)),'자료_한국심리'!$M3681,"")</f>
        <v/>
      </c>
    </row>
    <row r="3698">
      <c r="U3698">
        <f>IF(AND(ISNUMBER('자료_한국심리'!$A3682),ISNUMBER('자료_한국심리'!$B3682)),'자료_한국심리'!$A3682,"")</f>
        <v/>
      </c>
      <c r="V3698">
        <f>IF(AND(ISNUMBER('자료_한국심리'!$D3682),ISNUMBER('자료_한국심리'!$E3682)),'자료_한국심리'!$D3682,"")</f>
        <v/>
      </c>
      <c r="W3698">
        <f>IF(AND(ISNUMBER('자료_한국심리'!$G3682),ISNUMBER('자료_한국심리'!$H3682)),'자료_한국심리'!$G3682,"")</f>
        <v/>
      </c>
      <c r="X3698">
        <f>IF(AND(ISNUMBER('자료_한국심리'!$J3682),ISNUMBER('자료_한국심리'!$K3682)),'자료_한국심리'!$J3682,"")</f>
        <v/>
      </c>
      <c r="Y3698">
        <f>IF(AND(ISNUMBER('자료_한국심리'!$M3682),ISNUMBER('자료_한국심리'!$N3682)),'자료_한국심리'!$M3682,"")</f>
        <v/>
      </c>
    </row>
    <row r="3699">
      <c r="U3699">
        <f>IF(AND(ISNUMBER('자료_한국심리'!$A3683),ISNUMBER('자료_한국심리'!$B3683)),'자료_한국심리'!$A3683,"")</f>
        <v/>
      </c>
      <c r="V3699">
        <f>IF(AND(ISNUMBER('자료_한국심리'!$D3683),ISNUMBER('자료_한국심리'!$E3683)),'자료_한국심리'!$D3683,"")</f>
        <v/>
      </c>
      <c r="W3699">
        <f>IF(AND(ISNUMBER('자료_한국심리'!$G3683),ISNUMBER('자료_한국심리'!$H3683)),'자료_한국심리'!$G3683,"")</f>
        <v/>
      </c>
      <c r="X3699">
        <f>IF(AND(ISNUMBER('자료_한국심리'!$J3683),ISNUMBER('자료_한국심리'!$K3683)),'자료_한국심리'!$J3683,"")</f>
        <v/>
      </c>
      <c r="Y3699">
        <f>IF(AND(ISNUMBER('자료_한국심리'!$M3683),ISNUMBER('자료_한국심리'!$N3683)),'자료_한국심리'!$M3683,"")</f>
        <v/>
      </c>
    </row>
    <row r="3700">
      <c r="U3700">
        <f>IF(AND(ISNUMBER('자료_한국심리'!$A3684),ISNUMBER('자료_한국심리'!$B3684)),'자료_한국심리'!$A3684,"")</f>
        <v/>
      </c>
      <c r="V3700">
        <f>IF(AND(ISNUMBER('자료_한국심리'!$D3684),ISNUMBER('자료_한국심리'!$E3684)),'자료_한국심리'!$D3684,"")</f>
        <v/>
      </c>
      <c r="W3700">
        <f>IF(AND(ISNUMBER('자료_한국심리'!$G3684),ISNUMBER('자료_한국심리'!$H3684)),'자료_한국심리'!$G3684,"")</f>
        <v/>
      </c>
      <c r="X3700">
        <f>IF(AND(ISNUMBER('자료_한국심리'!$J3684),ISNUMBER('자료_한국심리'!$K3684)),'자료_한국심리'!$J3684,"")</f>
        <v/>
      </c>
      <c r="Y3700">
        <f>IF(AND(ISNUMBER('자료_한국심리'!$M3684),ISNUMBER('자료_한국심리'!$N3684)),'자료_한국심리'!$M3684,"")</f>
        <v/>
      </c>
    </row>
    <row r="3701">
      <c r="U3701">
        <f>IF(AND(ISNUMBER('자료_한국심리'!$A3685),ISNUMBER('자료_한국심리'!$B3685)),'자료_한국심리'!$A3685,"")</f>
        <v/>
      </c>
      <c r="V3701">
        <f>IF(AND(ISNUMBER('자료_한국심리'!$D3685),ISNUMBER('자료_한국심리'!$E3685)),'자료_한국심리'!$D3685,"")</f>
        <v/>
      </c>
      <c r="W3701">
        <f>IF(AND(ISNUMBER('자료_한국심리'!$G3685),ISNUMBER('자료_한국심리'!$H3685)),'자료_한국심리'!$G3685,"")</f>
        <v/>
      </c>
      <c r="X3701">
        <f>IF(AND(ISNUMBER('자료_한국심리'!$J3685),ISNUMBER('자료_한국심리'!$K3685)),'자료_한국심리'!$J3685,"")</f>
        <v/>
      </c>
      <c r="Y3701">
        <f>IF(AND(ISNUMBER('자료_한국심리'!$M3685),ISNUMBER('자료_한국심리'!$N3685)),'자료_한국심리'!$M3685,"")</f>
        <v/>
      </c>
    </row>
    <row r="3702">
      <c r="U3702">
        <f>IF(AND(ISNUMBER('자료_한국심리'!$A3686),ISNUMBER('자료_한국심리'!$B3686)),'자료_한국심리'!$A3686,"")</f>
        <v/>
      </c>
      <c r="V3702">
        <f>IF(AND(ISNUMBER('자료_한국심리'!$D3686),ISNUMBER('자료_한국심리'!$E3686)),'자료_한국심리'!$D3686,"")</f>
        <v/>
      </c>
      <c r="W3702">
        <f>IF(AND(ISNUMBER('자료_한국심리'!$G3686),ISNUMBER('자료_한국심리'!$H3686)),'자료_한국심리'!$G3686,"")</f>
        <v/>
      </c>
      <c r="X3702">
        <f>IF(AND(ISNUMBER('자료_한국심리'!$J3686),ISNUMBER('자료_한국심리'!$K3686)),'자료_한국심리'!$J3686,"")</f>
        <v/>
      </c>
      <c r="Y3702">
        <f>IF(AND(ISNUMBER('자료_한국심리'!$M3686),ISNUMBER('자료_한국심리'!$N3686)),'자료_한국심리'!$M3686,"")</f>
        <v/>
      </c>
    </row>
    <row r="3703">
      <c r="U3703">
        <f>IF(AND(ISNUMBER('자료_한국심리'!$A3687),ISNUMBER('자료_한국심리'!$B3687)),'자료_한국심리'!$A3687,"")</f>
        <v/>
      </c>
      <c r="V3703">
        <f>IF(AND(ISNUMBER('자료_한국심리'!$D3687),ISNUMBER('자료_한국심리'!$E3687)),'자료_한국심리'!$D3687,"")</f>
        <v/>
      </c>
      <c r="W3703">
        <f>IF(AND(ISNUMBER('자료_한국심리'!$G3687),ISNUMBER('자료_한국심리'!$H3687)),'자료_한국심리'!$G3687,"")</f>
        <v/>
      </c>
      <c r="X3703">
        <f>IF(AND(ISNUMBER('자료_한국심리'!$J3687),ISNUMBER('자료_한국심리'!$K3687)),'자료_한국심리'!$J3687,"")</f>
        <v/>
      </c>
      <c r="Y3703">
        <f>IF(AND(ISNUMBER('자료_한국심리'!$M3687),ISNUMBER('자료_한국심리'!$N3687)),'자료_한국심리'!$M3687,"")</f>
        <v/>
      </c>
    </row>
    <row r="3704">
      <c r="U3704">
        <f>IF(AND(ISNUMBER('자료_한국심리'!$A3688),ISNUMBER('자료_한국심리'!$B3688)),'자료_한국심리'!$A3688,"")</f>
        <v/>
      </c>
      <c r="V3704">
        <f>IF(AND(ISNUMBER('자료_한국심리'!$D3688),ISNUMBER('자료_한국심리'!$E3688)),'자료_한국심리'!$D3688,"")</f>
        <v/>
      </c>
      <c r="W3704">
        <f>IF(AND(ISNUMBER('자료_한국심리'!$G3688),ISNUMBER('자료_한국심리'!$H3688)),'자료_한국심리'!$G3688,"")</f>
        <v/>
      </c>
      <c r="X3704">
        <f>IF(AND(ISNUMBER('자료_한국심리'!$J3688),ISNUMBER('자료_한국심리'!$K3688)),'자료_한국심리'!$J3688,"")</f>
        <v/>
      </c>
      <c r="Y3704">
        <f>IF(AND(ISNUMBER('자료_한국심리'!$M3688),ISNUMBER('자료_한국심리'!$N3688)),'자료_한국심리'!$M3688,"")</f>
        <v/>
      </c>
    </row>
    <row r="3705">
      <c r="U3705">
        <f>IF(AND(ISNUMBER('자료_한국심리'!$A3689),ISNUMBER('자료_한국심리'!$B3689)),'자료_한국심리'!$A3689,"")</f>
        <v/>
      </c>
      <c r="V3705">
        <f>IF(AND(ISNUMBER('자료_한국심리'!$D3689),ISNUMBER('자료_한국심리'!$E3689)),'자료_한국심리'!$D3689,"")</f>
        <v/>
      </c>
      <c r="W3705">
        <f>IF(AND(ISNUMBER('자료_한국심리'!$G3689),ISNUMBER('자료_한국심리'!$H3689)),'자료_한국심리'!$G3689,"")</f>
        <v/>
      </c>
      <c r="X3705">
        <f>IF(AND(ISNUMBER('자료_한국심리'!$J3689),ISNUMBER('자료_한국심리'!$K3689)),'자료_한국심리'!$J3689,"")</f>
        <v/>
      </c>
      <c r="Y3705">
        <f>IF(AND(ISNUMBER('자료_한국심리'!$M3689),ISNUMBER('자료_한국심리'!$N3689)),'자료_한국심리'!$M3689,"")</f>
        <v/>
      </c>
    </row>
    <row r="3706">
      <c r="U3706">
        <f>IF(AND(ISNUMBER('자료_한국심리'!$A3690),ISNUMBER('자료_한국심리'!$B3690)),'자료_한국심리'!$A3690,"")</f>
        <v/>
      </c>
      <c r="V3706">
        <f>IF(AND(ISNUMBER('자료_한국심리'!$D3690),ISNUMBER('자료_한국심리'!$E3690)),'자료_한국심리'!$D3690,"")</f>
        <v/>
      </c>
      <c r="W3706">
        <f>IF(AND(ISNUMBER('자료_한국심리'!$G3690),ISNUMBER('자료_한국심리'!$H3690)),'자료_한국심리'!$G3690,"")</f>
        <v/>
      </c>
      <c r="X3706">
        <f>IF(AND(ISNUMBER('자료_한국심리'!$J3690),ISNUMBER('자료_한국심리'!$K3690)),'자료_한국심리'!$J3690,"")</f>
        <v/>
      </c>
      <c r="Y3706">
        <f>IF(AND(ISNUMBER('자료_한국심리'!$M3690),ISNUMBER('자료_한국심리'!$N3690)),'자료_한국심리'!$M3690,"")</f>
        <v/>
      </c>
    </row>
    <row r="3707">
      <c r="U3707">
        <f>IF(AND(ISNUMBER('자료_한국심리'!$A3691),ISNUMBER('자료_한국심리'!$B3691)),'자료_한국심리'!$A3691,"")</f>
        <v/>
      </c>
      <c r="V3707">
        <f>IF(AND(ISNUMBER('자료_한국심리'!$D3691),ISNUMBER('자료_한국심리'!$E3691)),'자료_한국심리'!$D3691,"")</f>
        <v/>
      </c>
      <c r="W3707">
        <f>IF(AND(ISNUMBER('자료_한국심리'!$G3691),ISNUMBER('자료_한국심리'!$H3691)),'자료_한국심리'!$G3691,"")</f>
        <v/>
      </c>
      <c r="X3707">
        <f>IF(AND(ISNUMBER('자료_한국심리'!$J3691),ISNUMBER('자료_한국심리'!$K3691)),'자료_한국심리'!$J3691,"")</f>
        <v/>
      </c>
      <c r="Y3707">
        <f>IF(AND(ISNUMBER('자료_한국심리'!$M3691),ISNUMBER('자료_한국심리'!$N3691)),'자료_한국심리'!$M3691,"")</f>
        <v/>
      </c>
    </row>
    <row r="3708">
      <c r="U3708">
        <f>IF(AND(ISNUMBER('자료_한국심리'!$A3692),ISNUMBER('자료_한국심리'!$B3692)),'자료_한국심리'!$A3692,"")</f>
        <v/>
      </c>
      <c r="V3708">
        <f>IF(AND(ISNUMBER('자료_한국심리'!$D3692),ISNUMBER('자료_한국심리'!$E3692)),'자료_한국심리'!$D3692,"")</f>
        <v/>
      </c>
      <c r="W3708">
        <f>IF(AND(ISNUMBER('자료_한국심리'!$G3692),ISNUMBER('자료_한국심리'!$H3692)),'자료_한국심리'!$G3692,"")</f>
        <v/>
      </c>
      <c r="X3708">
        <f>IF(AND(ISNUMBER('자료_한국심리'!$J3692),ISNUMBER('자료_한국심리'!$K3692)),'자료_한국심리'!$J3692,"")</f>
        <v/>
      </c>
      <c r="Y3708">
        <f>IF(AND(ISNUMBER('자료_한국심리'!$M3692),ISNUMBER('자료_한국심리'!$N3692)),'자료_한국심리'!$M3692,"")</f>
        <v/>
      </c>
    </row>
    <row r="3709">
      <c r="U3709">
        <f>IF(AND(ISNUMBER('자료_한국심리'!$A3693),ISNUMBER('자료_한국심리'!$B3693)),'자료_한국심리'!$A3693,"")</f>
        <v/>
      </c>
      <c r="V3709">
        <f>IF(AND(ISNUMBER('자료_한국심리'!$D3693),ISNUMBER('자료_한국심리'!$E3693)),'자료_한국심리'!$D3693,"")</f>
        <v/>
      </c>
      <c r="W3709">
        <f>IF(AND(ISNUMBER('자료_한국심리'!$G3693),ISNUMBER('자료_한국심리'!$H3693)),'자료_한국심리'!$G3693,"")</f>
        <v/>
      </c>
      <c r="X3709">
        <f>IF(AND(ISNUMBER('자료_한국심리'!$J3693),ISNUMBER('자료_한국심리'!$K3693)),'자료_한국심리'!$J3693,"")</f>
        <v/>
      </c>
      <c r="Y3709">
        <f>IF(AND(ISNUMBER('자료_한국심리'!$M3693),ISNUMBER('자료_한국심리'!$N3693)),'자료_한국심리'!$M3693,"")</f>
        <v/>
      </c>
    </row>
    <row r="3710">
      <c r="U3710">
        <f>IF(AND(ISNUMBER('자료_한국심리'!$A3694),ISNUMBER('자료_한국심리'!$B3694)),'자료_한국심리'!$A3694,"")</f>
        <v/>
      </c>
      <c r="V3710">
        <f>IF(AND(ISNUMBER('자료_한국심리'!$D3694),ISNUMBER('자료_한국심리'!$E3694)),'자료_한국심리'!$D3694,"")</f>
        <v/>
      </c>
      <c r="W3710">
        <f>IF(AND(ISNUMBER('자료_한국심리'!$G3694),ISNUMBER('자료_한국심리'!$H3694)),'자료_한국심리'!$G3694,"")</f>
        <v/>
      </c>
      <c r="X3710">
        <f>IF(AND(ISNUMBER('자료_한국심리'!$J3694),ISNUMBER('자료_한국심리'!$K3694)),'자료_한국심리'!$J3694,"")</f>
        <v/>
      </c>
      <c r="Y3710">
        <f>IF(AND(ISNUMBER('자료_한국심리'!$M3694),ISNUMBER('자료_한국심리'!$N3694)),'자료_한국심리'!$M3694,"")</f>
        <v/>
      </c>
    </row>
    <row r="3711">
      <c r="U3711">
        <f>IF(AND(ISNUMBER('자료_한국심리'!$A3695),ISNUMBER('자료_한국심리'!$B3695)),'자료_한국심리'!$A3695,"")</f>
        <v/>
      </c>
      <c r="V3711">
        <f>IF(AND(ISNUMBER('자료_한국심리'!$D3695),ISNUMBER('자료_한국심리'!$E3695)),'자료_한국심리'!$D3695,"")</f>
        <v/>
      </c>
      <c r="W3711">
        <f>IF(AND(ISNUMBER('자료_한국심리'!$G3695),ISNUMBER('자료_한국심리'!$H3695)),'자료_한국심리'!$G3695,"")</f>
        <v/>
      </c>
      <c r="X3711">
        <f>IF(AND(ISNUMBER('자료_한국심리'!$J3695),ISNUMBER('자료_한국심리'!$K3695)),'자료_한국심리'!$J3695,"")</f>
        <v/>
      </c>
      <c r="Y3711">
        <f>IF(AND(ISNUMBER('자료_한국심리'!$M3695),ISNUMBER('자료_한국심리'!$N3695)),'자료_한국심리'!$M3695,"")</f>
        <v/>
      </c>
    </row>
    <row r="3712">
      <c r="U3712">
        <f>IF(AND(ISNUMBER('자료_한국심리'!$A3696),ISNUMBER('자료_한국심리'!$B3696)),'자료_한국심리'!$A3696,"")</f>
        <v/>
      </c>
      <c r="V3712">
        <f>IF(AND(ISNUMBER('자료_한국심리'!$D3696),ISNUMBER('자료_한국심리'!$E3696)),'자료_한국심리'!$D3696,"")</f>
        <v/>
      </c>
      <c r="W3712">
        <f>IF(AND(ISNUMBER('자료_한국심리'!$G3696),ISNUMBER('자료_한국심리'!$H3696)),'자료_한국심리'!$G3696,"")</f>
        <v/>
      </c>
      <c r="X3712">
        <f>IF(AND(ISNUMBER('자료_한국심리'!$J3696),ISNUMBER('자료_한국심리'!$K3696)),'자료_한국심리'!$J3696,"")</f>
        <v/>
      </c>
      <c r="Y3712">
        <f>IF(AND(ISNUMBER('자료_한국심리'!$M3696),ISNUMBER('자료_한국심리'!$N3696)),'자료_한국심리'!$M3696,"")</f>
        <v/>
      </c>
    </row>
    <row r="3713">
      <c r="U3713">
        <f>IF(AND(ISNUMBER('자료_한국심리'!$A3697),ISNUMBER('자료_한국심리'!$B3697)),'자료_한국심리'!$A3697,"")</f>
        <v/>
      </c>
      <c r="V3713">
        <f>IF(AND(ISNUMBER('자료_한국심리'!$D3697),ISNUMBER('자료_한국심리'!$E3697)),'자료_한국심리'!$D3697,"")</f>
        <v/>
      </c>
      <c r="W3713">
        <f>IF(AND(ISNUMBER('자료_한국심리'!$G3697),ISNUMBER('자료_한국심리'!$H3697)),'자료_한국심리'!$G3697,"")</f>
        <v/>
      </c>
      <c r="X3713">
        <f>IF(AND(ISNUMBER('자료_한국심리'!$J3697),ISNUMBER('자료_한국심리'!$K3697)),'자료_한국심리'!$J3697,"")</f>
        <v/>
      </c>
      <c r="Y3713">
        <f>IF(AND(ISNUMBER('자료_한국심리'!$M3697),ISNUMBER('자료_한국심리'!$N3697)),'자료_한국심리'!$M3697,"")</f>
        <v/>
      </c>
    </row>
    <row r="3714">
      <c r="U3714">
        <f>IF(AND(ISNUMBER('자료_한국심리'!$A3698),ISNUMBER('자료_한국심리'!$B3698)),'자료_한국심리'!$A3698,"")</f>
        <v/>
      </c>
      <c r="V3714">
        <f>IF(AND(ISNUMBER('자료_한국심리'!$D3698),ISNUMBER('자료_한국심리'!$E3698)),'자료_한국심리'!$D3698,"")</f>
        <v/>
      </c>
      <c r="W3714">
        <f>IF(AND(ISNUMBER('자료_한국심리'!$G3698),ISNUMBER('자료_한국심리'!$H3698)),'자료_한국심리'!$G3698,"")</f>
        <v/>
      </c>
      <c r="X3714">
        <f>IF(AND(ISNUMBER('자료_한국심리'!$J3698),ISNUMBER('자료_한국심리'!$K3698)),'자료_한국심리'!$J3698,"")</f>
        <v/>
      </c>
      <c r="Y3714">
        <f>IF(AND(ISNUMBER('자료_한국심리'!$M3698),ISNUMBER('자료_한국심리'!$N3698)),'자료_한국심리'!$M3698,"")</f>
        <v/>
      </c>
    </row>
    <row r="3715">
      <c r="U3715">
        <f>IF(AND(ISNUMBER('자료_한국심리'!$A3699),ISNUMBER('자료_한국심리'!$B3699)),'자료_한국심리'!$A3699,"")</f>
        <v/>
      </c>
      <c r="V3715">
        <f>IF(AND(ISNUMBER('자료_한국심리'!$D3699),ISNUMBER('자료_한국심리'!$E3699)),'자료_한국심리'!$D3699,"")</f>
        <v/>
      </c>
      <c r="W3715">
        <f>IF(AND(ISNUMBER('자료_한국심리'!$G3699),ISNUMBER('자료_한국심리'!$H3699)),'자료_한국심리'!$G3699,"")</f>
        <v/>
      </c>
      <c r="X3715">
        <f>IF(AND(ISNUMBER('자료_한국심리'!$J3699),ISNUMBER('자료_한국심리'!$K3699)),'자료_한국심리'!$J3699,"")</f>
        <v/>
      </c>
      <c r="Y3715">
        <f>IF(AND(ISNUMBER('자료_한국심리'!$M3699),ISNUMBER('자료_한국심리'!$N3699)),'자료_한국심리'!$M3699,"")</f>
        <v/>
      </c>
    </row>
    <row r="3716">
      <c r="U3716">
        <f>IF(AND(ISNUMBER('자료_한국심리'!$A3700),ISNUMBER('자료_한국심리'!$B3700)),'자료_한국심리'!$A3700,"")</f>
        <v/>
      </c>
      <c r="V3716">
        <f>IF(AND(ISNUMBER('자료_한국심리'!$D3700),ISNUMBER('자료_한국심리'!$E3700)),'자료_한국심리'!$D3700,"")</f>
        <v/>
      </c>
      <c r="W3716">
        <f>IF(AND(ISNUMBER('자료_한국심리'!$G3700),ISNUMBER('자료_한국심리'!$H3700)),'자료_한국심리'!$G3700,"")</f>
        <v/>
      </c>
      <c r="X3716">
        <f>IF(AND(ISNUMBER('자료_한국심리'!$J3700),ISNUMBER('자료_한국심리'!$K3700)),'자료_한국심리'!$J3700,"")</f>
        <v/>
      </c>
      <c r="Y3716">
        <f>IF(AND(ISNUMBER('자료_한국심리'!$M3700),ISNUMBER('자료_한국심리'!$N3700)),'자료_한국심리'!$M3700,"")</f>
        <v/>
      </c>
    </row>
    <row r="3717">
      <c r="U3717">
        <f>IF(AND(ISNUMBER('자료_한국심리'!$A3701),ISNUMBER('자료_한국심리'!$B3701)),'자료_한국심리'!$A3701,"")</f>
        <v/>
      </c>
      <c r="V3717">
        <f>IF(AND(ISNUMBER('자료_한국심리'!$D3701),ISNUMBER('자료_한국심리'!$E3701)),'자료_한국심리'!$D3701,"")</f>
        <v/>
      </c>
      <c r="W3717">
        <f>IF(AND(ISNUMBER('자료_한국심리'!$G3701),ISNUMBER('자료_한국심리'!$H3701)),'자료_한국심리'!$G3701,"")</f>
        <v/>
      </c>
      <c r="X3717">
        <f>IF(AND(ISNUMBER('자료_한국심리'!$J3701),ISNUMBER('자료_한국심리'!$K3701)),'자료_한국심리'!$J3701,"")</f>
        <v/>
      </c>
      <c r="Y3717">
        <f>IF(AND(ISNUMBER('자료_한국심리'!$M3701),ISNUMBER('자료_한국심리'!$N3701)),'자료_한국심리'!$M3701,"")</f>
        <v/>
      </c>
    </row>
    <row r="3718">
      <c r="U3718">
        <f>IF(AND(ISNUMBER('자료_한국심리'!$A3702),ISNUMBER('자료_한국심리'!$B3702)),'자료_한국심리'!$A3702,"")</f>
        <v/>
      </c>
      <c r="V3718">
        <f>IF(AND(ISNUMBER('자료_한국심리'!$D3702),ISNUMBER('자료_한국심리'!$E3702)),'자료_한국심리'!$D3702,"")</f>
        <v/>
      </c>
      <c r="W3718">
        <f>IF(AND(ISNUMBER('자료_한국심리'!$G3702),ISNUMBER('자료_한국심리'!$H3702)),'자료_한국심리'!$G3702,"")</f>
        <v/>
      </c>
      <c r="X3718">
        <f>IF(AND(ISNUMBER('자료_한국심리'!$J3702),ISNUMBER('자료_한국심리'!$K3702)),'자료_한국심리'!$J3702,"")</f>
        <v/>
      </c>
      <c r="Y3718">
        <f>IF(AND(ISNUMBER('자료_한국심리'!$M3702),ISNUMBER('자료_한국심리'!$N3702)),'자료_한국심리'!$M3702,"")</f>
        <v/>
      </c>
    </row>
    <row r="3719">
      <c r="U3719">
        <f>IF(AND(ISNUMBER('자료_한국심리'!$A3703),ISNUMBER('자료_한국심리'!$B3703)),'자료_한국심리'!$A3703,"")</f>
        <v/>
      </c>
      <c r="V3719">
        <f>IF(AND(ISNUMBER('자료_한국심리'!$D3703),ISNUMBER('자료_한국심리'!$E3703)),'자료_한국심리'!$D3703,"")</f>
        <v/>
      </c>
      <c r="W3719">
        <f>IF(AND(ISNUMBER('자료_한국심리'!$G3703),ISNUMBER('자료_한국심리'!$H3703)),'자료_한국심리'!$G3703,"")</f>
        <v/>
      </c>
      <c r="X3719">
        <f>IF(AND(ISNUMBER('자료_한국심리'!$J3703),ISNUMBER('자료_한국심리'!$K3703)),'자료_한국심리'!$J3703,"")</f>
        <v/>
      </c>
      <c r="Y3719">
        <f>IF(AND(ISNUMBER('자료_한국심리'!$M3703),ISNUMBER('자료_한국심리'!$N3703)),'자료_한국심리'!$M3703,"")</f>
        <v/>
      </c>
    </row>
    <row r="3720">
      <c r="U3720">
        <f>IF(AND(ISNUMBER('자료_한국심리'!$A3704),ISNUMBER('자료_한국심리'!$B3704)),'자료_한국심리'!$A3704,"")</f>
        <v/>
      </c>
      <c r="V3720">
        <f>IF(AND(ISNUMBER('자료_한국심리'!$D3704),ISNUMBER('자료_한국심리'!$E3704)),'자료_한국심리'!$D3704,"")</f>
        <v/>
      </c>
      <c r="W3720">
        <f>IF(AND(ISNUMBER('자료_한국심리'!$G3704),ISNUMBER('자료_한국심리'!$H3704)),'자료_한국심리'!$G3704,"")</f>
        <v/>
      </c>
      <c r="X3720">
        <f>IF(AND(ISNUMBER('자료_한국심리'!$J3704),ISNUMBER('자료_한국심리'!$K3704)),'자료_한국심리'!$J3704,"")</f>
        <v/>
      </c>
      <c r="Y3720">
        <f>IF(AND(ISNUMBER('자료_한국심리'!$M3704),ISNUMBER('자료_한국심리'!$N3704)),'자료_한국심리'!$M3704,"")</f>
        <v/>
      </c>
    </row>
    <row r="3721">
      <c r="U3721">
        <f>IF(AND(ISNUMBER('자료_한국심리'!$A3705),ISNUMBER('자료_한국심리'!$B3705)),'자료_한국심리'!$A3705,"")</f>
        <v/>
      </c>
      <c r="V3721">
        <f>IF(AND(ISNUMBER('자료_한국심리'!$D3705),ISNUMBER('자료_한국심리'!$E3705)),'자료_한국심리'!$D3705,"")</f>
        <v/>
      </c>
      <c r="W3721">
        <f>IF(AND(ISNUMBER('자료_한국심리'!$G3705),ISNUMBER('자료_한국심리'!$H3705)),'자료_한국심리'!$G3705,"")</f>
        <v/>
      </c>
      <c r="X3721">
        <f>IF(AND(ISNUMBER('자료_한국심리'!$J3705),ISNUMBER('자료_한국심리'!$K3705)),'자료_한국심리'!$J3705,"")</f>
        <v/>
      </c>
      <c r="Y3721">
        <f>IF(AND(ISNUMBER('자료_한국심리'!$M3705),ISNUMBER('자료_한국심리'!$N3705)),'자료_한국심리'!$M3705,"")</f>
        <v/>
      </c>
    </row>
    <row r="3722">
      <c r="U3722">
        <f>IF(AND(ISNUMBER('자료_한국심리'!$A3706),ISNUMBER('자료_한국심리'!$B3706)),'자료_한국심리'!$A3706,"")</f>
        <v/>
      </c>
      <c r="V3722">
        <f>IF(AND(ISNUMBER('자료_한국심리'!$D3706),ISNUMBER('자료_한국심리'!$E3706)),'자료_한국심리'!$D3706,"")</f>
        <v/>
      </c>
      <c r="W3722">
        <f>IF(AND(ISNUMBER('자료_한국심리'!$G3706),ISNUMBER('자료_한국심리'!$H3706)),'자료_한국심리'!$G3706,"")</f>
        <v/>
      </c>
      <c r="X3722">
        <f>IF(AND(ISNUMBER('자료_한국심리'!$J3706),ISNUMBER('자료_한국심리'!$K3706)),'자료_한국심리'!$J3706,"")</f>
        <v/>
      </c>
      <c r="Y3722">
        <f>IF(AND(ISNUMBER('자료_한국심리'!$M3706),ISNUMBER('자료_한국심리'!$N3706)),'자료_한국심리'!$M3706,"")</f>
        <v/>
      </c>
    </row>
    <row r="3723">
      <c r="U3723">
        <f>IF(AND(ISNUMBER('자료_한국심리'!$A3707),ISNUMBER('자료_한국심리'!$B3707)),'자료_한국심리'!$A3707,"")</f>
        <v/>
      </c>
      <c r="V3723">
        <f>IF(AND(ISNUMBER('자료_한국심리'!$D3707),ISNUMBER('자료_한국심리'!$E3707)),'자료_한국심리'!$D3707,"")</f>
        <v/>
      </c>
      <c r="W3723">
        <f>IF(AND(ISNUMBER('자료_한국심리'!$G3707),ISNUMBER('자료_한국심리'!$H3707)),'자료_한국심리'!$G3707,"")</f>
        <v/>
      </c>
      <c r="X3723">
        <f>IF(AND(ISNUMBER('자료_한국심리'!$J3707),ISNUMBER('자료_한국심리'!$K3707)),'자료_한국심리'!$J3707,"")</f>
        <v/>
      </c>
      <c r="Y3723">
        <f>IF(AND(ISNUMBER('자료_한국심리'!$M3707),ISNUMBER('자료_한국심리'!$N3707)),'자료_한국심리'!$M3707,"")</f>
        <v/>
      </c>
    </row>
    <row r="3724">
      <c r="U3724">
        <f>IF(AND(ISNUMBER('자료_한국심리'!$A3708),ISNUMBER('자료_한국심리'!$B3708)),'자료_한국심리'!$A3708,"")</f>
        <v/>
      </c>
      <c r="V3724">
        <f>IF(AND(ISNUMBER('자료_한국심리'!$D3708),ISNUMBER('자료_한국심리'!$E3708)),'자료_한국심리'!$D3708,"")</f>
        <v/>
      </c>
      <c r="W3724">
        <f>IF(AND(ISNUMBER('자료_한국심리'!$G3708),ISNUMBER('자료_한국심리'!$H3708)),'자료_한국심리'!$G3708,"")</f>
        <v/>
      </c>
      <c r="X3724">
        <f>IF(AND(ISNUMBER('자료_한국심리'!$J3708),ISNUMBER('자료_한국심리'!$K3708)),'자료_한국심리'!$J3708,"")</f>
        <v/>
      </c>
      <c r="Y3724">
        <f>IF(AND(ISNUMBER('자료_한국심리'!$M3708),ISNUMBER('자료_한국심리'!$N3708)),'자료_한국심리'!$M3708,"")</f>
        <v/>
      </c>
    </row>
    <row r="3725">
      <c r="U3725">
        <f>IF(AND(ISNUMBER('자료_한국심리'!$A3709),ISNUMBER('자료_한국심리'!$B3709)),'자료_한국심리'!$A3709,"")</f>
        <v/>
      </c>
      <c r="V3725">
        <f>IF(AND(ISNUMBER('자료_한국심리'!$D3709),ISNUMBER('자료_한국심리'!$E3709)),'자료_한국심리'!$D3709,"")</f>
        <v/>
      </c>
      <c r="W3725">
        <f>IF(AND(ISNUMBER('자료_한국심리'!$G3709),ISNUMBER('자료_한국심리'!$H3709)),'자료_한국심리'!$G3709,"")</f>
        <v/>
      </c>
      <c r="X3725">
        <f>IF(AND(ISNUMBER('자료_한국심리'!$J3709),ISNUMBER('자료_한국심리'!$K3709)),'자료_한국심리'!$J3709,"")</f>
        <v/>
      </c>
      <c r="Y3725">
        <f>IF(AND(ISNUMBER('자료_한국심리'!$M3709),ISNUMBER('자료_한국심리'!$N3709)),'자료_한국심리'!$M3709,"")</f>
        <v/>
      </c>
    </row>
    <row r="3726">
      <c r="U3726">
        <f>IF(AND(ISNUMBER('자료_한국심리'!$A3710),ISNUMBER('자료_한국심리'!$B3710)),'자료_한국심리'!$A3710,"")</f>
        <v/>
      </c>
      <c r="V3726">
        <f>IF(AND(ISNUMBER('자료_한국심리'!$D3710),ISNUMBER('자료_한국심리'!$E3710)),'자료_한국심리'!$D3710,"")</f>
        <v/>
      </c>
      <c r="W3726">
        <f>IF(AND(ISNUMBER('자료_한국심리'!$G3710),ISNUMBER('자료_한국심리'!$H3710)),'자료_한국심리'!$G3710,"")</f>
        <v/>
      </c>
      <c r="X3726">
        <f>IF(AND(ISNUMBER('자료_한국심리'!$J3710),ISNUMBER('자료_한국심리'!$K3710)),'자료_한국심리'!$J3710,"")</f>
        <v/>
      </c>
      <c r="Y3726">
        <f>IF(AND(ISNUMBER('자료_한국심리'!$M3710),ISNUMBER('자료_한국심리'!$N3710)),'자료_한국심리'!$M3710,"")</f>
        <v/>
      </c>
    </row>
    <row r="3727">
      <c r="U3727">
        <f>IF(AND(ISNUMBER('자료_한국심리'!$A3711),ISNUMBER('자료_한국심리'!$B3711)),'자료_한국심리'!$A3711,"")</f>
        <v/>
      </c>
      <c r="V3727">
        <f>IF(AND(ISNUMBER('자료_한국심리'!$D3711),ISNUMBER('자료_한국심리'!$E3711)),'자료_한국심리'!$D3711,"")</f>
        <v/>
      </c>
      <c r="W3727">
        <f>IF(AND(ISNUMBER('자료_한국심리'!$G3711),ISNUMBER('자료_한국심리'!$H3711)),'자료_한국심리'!$G3711,"")</f>
        <v/>
      </c>
      <c r="X3727">
        <f>IF(AND(ISNUMBER('자료_한국심리'!$J3711),ISNUMBER('자료_한국심리'!$K3711)),'자료_한국심리'!$J3711,"")</f>
        <v/>
      </c>
      <c r="Y3727">
        <f>IF(AND(ISNUMBER('자료_한국심리'!$M3711),ISNUMBER('자료_한국심리'!$N3711)),'자료_한국심리'!$M3711,"")</f>
        <v/>
      </c>
    </row>
    <row r="3728">
      <c r="U3728">
        <f>IF(AND(ISNUMBER('자료_한국심리'!$A3712),ISNUMBER('자료_한국심리'!$B3712)),'자료_한국심리'!$A3712,"")</f>
        <v/>
      </c>
      <c r="V3728">
        <f>IF(AND(ISNUMBER('자료_한국심리'!$D3712),ISNUMBER('자료_한국심리'!$E3712)),'자료_한국심리'!$D3712,"")</f>
        <v/>
      </c>
      <c r="W3728">
        <f>IF(AND(ISNUMBER('자료_한국심리'!$G3712),ISNUMBER('자료_한국심리'!$H3712)),'자료_한국심리'!$G3712,"")</f>
        <v/>
      </c>
      <c r="X3728">
        <f>IF(AND(ISNUMBER('자료_한국심리'!$J3712),ISNUMBER('자료_한국심리'!$K3712)),'자료_한국심리'!$J3712,"")</f>
        <v/>
      </c>
      <c r="Y3728">
        <f>IF(AND(ISNUMBER('자료_한국심리'!$M3712),ISNUMBER('자료_한국심리'!$N3712)),'자료_한국심리'!$M3712,"")</f>
        <v/>
      </c>
    </row>
    <row r="3729">
      <c r="U3729">
        <f>IF(AND(ISNUMBER('자료_한국심리'!$A3713),ISNUMBER('자료_한국심리'!$B3713)),'자료_한국심리'!$A3713,"")</f>
        <v/>
      </c>
      <c r="V3729">
        <f>IF(AND(ISNUMBER('자료_한국심리'!$D3713),ISNUMBER('자료_한국심리'!$E3713)),'자료_한국심리'!$D3713,"")</f>
        <v/>
      </c>
      <c r="W3729">
        <f>IF(AND(ISNUMBER('자료_한국심리'!$G3713),ISNUMBER('자료_한국심리'!$H3713)),'자료_한국심리'!$G3713,"")</f>
        <v/>
      </c>
      <c r="X3729">
        <f>IF(AND(ISNUMBER('자료_한국심리'!$J3713),ISNUMBER('자료_한국심리'!$K3713)),'자료_한국심리'!$J3713,"")</f>
        <v/>
      </c>
      <c r="Y3729">
        <f>IF(AND(ISNUMBER('자료_한국심리'!$M3713),ISNUMBER('자료_한국심리'!$N3713)),'자료_한국심리'!$M3713,"")</f>
        <v/>
      </c>
    </row>
    <row r="3730">
      <c r="U3730">
        <f>IF(AND(ISNUMBER('자료_한국심리'!$A3714),ISNUMBER('자료_한국심리'!$B3714)),'자료_한국심리'!$A3714,"")</f>
        <v/>
      </c>
      <c r="V3730">
        <f>IF(AND(ISNUMBER('자료_한국심리'!$D3714),ISNUMBER('자료_한국심리'!$E3714)),'자료_한국심리'!$D3714,"")</f>
        <v/>
      </c>
      <c r="W3730">
        <f>IF(AND(ISNUMBER('자료_한국심리'!$G3714),ISNUMBER('자료_한국심리'!$H3714)),'자료_한국심리'!$G3714,"")</f>
        <v/>
      </c>
      <c r="X3730">
        <f>IF(AND(ISNUMBER('자료_한국심리'!$J3714),ISNUMBER('자료_한국심리'!$K3714)),'자료_한국심리'!$J3714,"")</f>
        <v/>
      </c>
      <c r="Y3730">
        <f>IF(AND(ISNUMBER('자료_한국심리'!$M3714),ISNUMBER('자료_한국심리'!$N3714)),'자료_한국심리'!$M3714,"")</f>
        <v/>
      </c>
    </row>
    <row r="3731">
      <c r="U3731">
        <f>IF(AND(ISNUMBER('자료_한국심리'!$A3715),ISNUMBER('자료_한국심리'!$B3715)),'자료_한국심리'!$A3715,"")</f>
        <v/>
      </c>
      <c r="V3731">
        <f>IF(AND(ISNUMBER('자료_한국심리'!$D3715),ISNUMBER('자료_한국심리'!$E3715)),'자료_한국심리'!$D3715,"")</f>
        <v/>
      </c>
      <c r="W3731">
        <f>IF(AND(ISNUMBER('자료_한국심리'!$G3715),ISNUMBER('자료_한국심리'!$H3715)),'자료_한국심리'!$G3715,"")</f>
        <v/>
      </c>
      <c r="X3731">
        <f>IF(AND(ISNUMBER('자료_한국심리'!$J3715),ISNUMBER('자료_한국심리'!$K3715)),'자료_한국심리'!$J3715,"")</f>
        <v/>
      </c>
      <c r="Y3731">
        <f>IF(AND(ISNUMBER('자료_한국심리'!$M3715),ISNUMBER('자료_한국심리'!$N3715)),'자료_한국심리'!$M3715,"")</f>
        <v/>
      </c>
    </row>
    <row r="3732">
      <c r="U3732">
        <f>IF(AND(ISNUMBER('자료_한국심리'!$A3716),ISNUMBER('자료_한국심리'!$B3716)),'자료_한국심리'!$A3716,"")</f>
        <v/>
      </c>
      <c r="V3732">
        <f>IF(AND(ISNUMBER('자료_한국심리'!$D3716),ISNUMBER('자료_한국심리'!$E3716)),'자료_한국심리'!$D3716,"")</f>
        <v/>
      </c>
      <c r="W3732">
        <f>IF(AND(ISNUMBER('자료_한국심리'!$G3716),ISNUMBER('자료_한국심리'!$H3716)),'자료_한국심리'!$G3716,"")</f>
        <v/>
      </c>
      <c r="X3732">
        <f>IF(AND(ISNUMBER('자료_한국심리'!$J3716),ISNUMBER('자료_한국심리'!$K3716)),'자료_한국심리'!$J3716,"")</f>
        <v/>
      </c>
      <c r="Y3732">
        <f>IF(AND(ISNUMBER('자료_한국심리'!$M3716),ISNUMBER('자료_한국심리'!$N3716)),'자료_한국심리'!$M3716,"")</f>
        <v/>
      </c>
    </row>
    <row r="3733">
      <c r="U3733">
        <f>IF(AND(ISNUMBER('자료_한국심리'!$A3717),ISNUMBER('자료_한국심리'!$B3717)),'자료_한국심리'!$A3717,"")</f>
        <v/>
      </c>
      <c r="V3733">
        <f>IF(AND(ISNUMBER('자료_한국심리'!$D3717),ISNUMBER('자료_한국심리'!$E3717)),'자료_한국심리'!$D3717,"")</f>
        <v/>
      </c>
      <c r="W3733">
        <f>IF(AND(ISNUMBER('자료_한국심리'!$G3717),ISNUMBER('자료_한국심리'!$H3717)),'자료_한국심리'!$G3717,"")</f>
        <v/>
      </c>
      <c r="X3733">
        <f>IF(AND(ISNUMBER('자료_한국심리'!$J3717),ISNUMBER('자료_한국심리'!$K3717)),'자료_한국심리'!$J3717,"")</f>
        <v/>
      </c>
      <c r="Y3733">
        <f>IF(AND(ISNUMBER('자료_한국심리'!$M3717),ISNUMBER('자료_한국심리'!$N3717)),'자료_한국심리'!$M3717,"")</f>
        <v/>
      </c>
    </row>
    <row r="3734">
      <c r="U3734">
        <f>IF(AND(ISNUMBER('자료_한국심리'!$A3718),ISNUMBER('자료_한국심리'!$B3718)),'자료_한국심리'!$A3718,"")</f>
        <v/>
      </c>
      <c r="V3734">
        <f>IF(AND(ISNUMBER('자료_한국심리'!$D3718),ISNUMBER('자료_한국심리'!$E3718)),'자료_한국심리'!$D3718,"")</f>
        <v/>
      </c>
      <c r="W3734">
        <f>IF(AND(ISNUMBER('자료_한국심리'!$G3718),ISNUMBER('자료_한국심리'!$H3718)),'자료_한국심리'!$G3718,"")</f>
        <v/>
      </c>
      <c r="X3734">
        <f>IF(AND(ISNUMBER('자료_한국심리'!$J3718),ISNUMBER('자료_한국심리'!$K3718)),'자료_한국심리'!$J3718,"")</f>
        <v/>
      </c>
      <c r="Y3734">
        <f>IF(AND(ISNUMBER('자료_한국심리'!$M3718),ISNUMBER('자료_한국심리'!$N3718)),'자료_한국심리'!$M3718,"")</f>
        <v/>
      </c>
    </row>
    <row r="3735">
      <c r="U3735">
        <f>IF(AND(ISNUMBER('자료_한국심리'!$A3719),ISNUMBER('자료_한국심리'!$B3719)),'자료_한국심리'!$A3719,"")</f>
        <v/>
      </c>
      <c r="V3735">
        <f>IF(AND(ISNUMBER('자료_한국심리'!$D3719),ISNUMBER('자료_한국심리'!$E3719)),'자료_한국심리'!$D3719,"")</f>
        <v/>
      </c>
      <c r="W3735">
        <f>IF(AND(ISNUMBER('자료_한국심리'!$G3719),ISNUMBER('자료_한국심리'!$H3719)),'자료_한국심리'!$G3719,"")</f>
        <v/>
      </c>
      <c r="X3735">
        <f>IF(AND(ISNUMBER('자료_한국심리'!$J3719),ISNUMBER('자료_한국심리'!$K3719)),'자료_한국심리'!$J3719,"")</f>
        <v/>
      </c>
      <c r="Y3735">
        <f>IF(AND(ISNUMBER('자료_한국심리'!$M3719),ISNUMBER('자료_한국심리'!$N3719)),'자료_한국심리'!$M3719,"")</f>
        <v/>
      </c>
    </row>
    <row r="3736">
      <c r="U3736">
        <f>IF(AND(ISNUMBER('자료_한국심리'!$A3720),ISNUMBER('자료_한국심리'!$B3720)),'자료_한국심리'!$A3720,"")</f>
        <v/>
      </c>
      <c r="V3736">
        <f>IF(AND(ISNUMBER('자료_한국심리'!$D3720),ISNUMBER('자료_한국심리'!$E3720)),'자료_한국심리'!$D3720,"")</f>
        <v/>
      </c>
      <c r="W3736">
        <f>IF(AND(ISNUMBER('자료_한국심리'!$G3720),ISNUMBER('자료_한국심리'!$H3720)),'자료_한국심리'!$G3720,"")</f>
        <v/>
      </c>
      <c r="X3736">
        <f>IF(AND(ISNUMBER('자료_한국심리'!$J3720),ISNUMBER('자료_한국심리'!$K3720)),'자료_한국심리'!$J3720,"")</f>
        <v/>
      </c>
      <c r="Y3736">
        <f>IF(AND(ISNUMBER('자료_한국심리'!$M3720),ISNUMBER('자료_한국심리'!$N3720)),'자료_한국심리'!$M3720,"")</f>
        <v/>
      </c>
    </row>
    <row r="3737">
      <c r="U3737">
        <f>IF(AND(ISNUMBER('자료_한국심리'!$A3721),ISNUMBER('자료_한국심리'!$B3721)),'자료_한국심리'!$A3721,"")</f>
        <v/>
      </c>
      <c r="V3737">
        <f>IF(AND(ISNUMBER('자료_한국심리'!$D3721),ISNUMBER('자료_한국심리'!$E3721)),'자료_한국심리'!$D3721,"")</f>
        <v/>
      </c>
      <c r="W3737">
        <f>IF(AND(ISNUMBER('자료_한국심리'!$G3721),ISNUMBER('자료_한국심리'!$H3721)),'자료_한국심리'!$G3721,"")</f>
        <v/>
      </c>
      <c r="X3737">
        <f>IF(AND(ISNUMBER('자료_한국심리'!$J3721),ISNUMBER('자료_한국심리'!$K3721)),'자료_한국심리'!$J3721,"")</f>
        <v/>
      </c>
      <c r="Y3737">
        <f>IF(AND(ISNUMBER('자료_한국심리'!$M3721),ISNUMBER('자료_한국심리'!$N3721)),'자료_한국심리'!$M3721,"")</f>
        <v/>
      </c>
    </row>
    <row r="3738">
      <c r="U3738">
        <f>IF(AND(ISNUMBER('자료_한국심리'!$A3722),ISNUMBER('자료_한국심리'!$B3722)),'자료_한국심리'!$A3722,"")</f>
        <v/>
      </c>
      <c r="V3738">
        <f>IF(AND(ISNUMBER('자료_한국심리'!$D3722),ISNUMBER('자료_한국심리'!$E3722)),'자료_한국심리'!$D3722,"")</f>
        <v/>
      </c>
      <c r="W3738">
        <f>IF(AND(ISNUMBER('자료_한국심리'!$G3722),ISNUMBER('자료_한국심리'!$H3722)),'자료_한국심리'!$G3722,"")</f>
        <v/>
      </c>
      <c r="X3738">
        <f>IF(AND(ISNUMBER('자료_한국심리'!$J3722),ISNUMBER('자료_한국심리'!$K3722)),'자료_한국심리'!$J3722,"")</f>
        <v/>
      </c>
      <c r="Y3738">
        <f>IF(AND(ISNUMBER('자료_한국심리'!$M3722),ISNUMBER('자료_한국심리'!$N3722)),'자료_한국심리'!$M3722,"")</f>
        <v/>
      </c>
    </row>
    <row r="3739">
      <c r="U3739">
        <f>IF(AND(ISNUMBER('자료_한국심리'!$A3723),ISNUMBER('자료_한국심리'!$B3723)),'자료_한국심리'!$A3723,"")</f>
        <v/>
      </c>
      <c r="V3739">
        <f>IF(AND(ISNUMBER('자료_한국심리'!$D3723),ISNUMBER('자료_한국심리'!$E3723)),'자료_한국심리'!$D3723,"")</f>
        <v/>
      </c>
      <c r="W3739">
        <f>IF(AND(ISNUMBER('자료_한국심리'!$G3723),ISNUMBER('자료_한국심리'!$H3723)),'자료_한국심리'!$G3723,"")</f>
        <v/>
      </c>
      <c r="X3739">
        <f>IF(AND(ISNUMBER('자료_한국심리'!$J3723),ISNUMBER('자료_한국심리'!$K3723)),'자료_한국심리'!$J3723,"")</f>
        <v/>
      </c>
      <c r="Y3739">
        <f>IF(AND(ISNUMBER('자료_한국심리'!$M3723),ISNUMBER('자료_한국심리'!$N3723)),'자료_한국심리'!$M3723,"")</f>
        <v/>
      </c>
    </row>
    <row r="3740">
      <c r="U3740">
        <f>IF(AND(ISNUMBER('자료_한국심리'!$A3724),ISNUMBER('자료_한국심리'!$B3724)),'자료_한국심리'!$A3724,"")</f>
        <v/>
      </c>
      <c r="V3740">
        <f>IF(AND(ISNUMBER('자료_한국심리'!$D3724),ISNUMBER('자료_한국심리'!$E3724)),'자료_한국심리'!$D3724,"")</f>
        <v/>
      </c>
      <c r="W3740">
        <f>IF(AND(ISNUMBER('자료_한국심리'!$G3724),ISNUMBER('자료_한국심리'!$H3724)),'자료_한국심리'!$G3724,"")</f>
        <v/>
      </c>
      <c r="X3740">
        <f>IF(AND(ISNUMBER('자료_한국심리'!$J3724),ISNUMBER('자료_한국심리'!$K3724)),'자료_한국심리'!$J3724,"")</f>
        <v/>
      </c>
      <c r="Y3740">
        <f>IF(AND(ISNUMBER('자료_한국심리'!$M3724),ISNUMBER('자료_한국심리'!$N3724)),'자료_한국심리'!$M3724,"")</f>
        <v/>
      </c>
    </row>
    <row r="3741">
      <c r="U3741">
        <f>IF(AND(ISNUMBER('자료_한국심리'!$A3725),ISNUMBER('자료_한국심리'!$B3725)),'자료_한국심리'!$A3725,"")</f>
        <v/>
      </c>
      <c r="V3741">
        <f>IF(AND(ISNUMBER('자료_한국심리'!$D3725),ISNUMBER('자료_한국심리'!$E3725)),'자료_한국심리'!$D3725,"")</f>
        <v/>
      </c>
      <c r="W3741">
        <f>IF(AND(ISNUMBER('자료_한국심리'!$G3725),ISNUMBER('자료_한국심리'!$H3725)),'자료_한국심리'!$G3725,"")</f>
        <v/>
      </c>
      <c r="X3741">
        <f>IF(AND(ISNUMBER('자료_한국심리'!$J3725),ISNUMBER('자료_한국심리'!$K3725)),'자료_한국심리'!$J3725,"")</f>
        <v/>
      </c>
      <c r="Y3741">
        <f>IF(AND(ISNUMBER('자료_한국심리'!$M3725),ISNUMBER('자료_한국심리'!$N3725)),'자료_한국심리'!$M3725,"")</f>
        <v/>
      </c>
    </row>
    <row r="3742">
      <c r="U3742">
        <f>IF(AND(ISNUMBER('자료_한국심리'!$A3726),ISNUMBER('자료_한국심리'!$B3726)),'자료_한국심리'!$A3726,"")</f>
        <v/>
      </c>
      <c r="V3742">
        <f>IF(AND(ISNUMBER('자료_한국심리'!$D3726),ISNUMBER('자료_한국심리'!$E3726)),'자료_한국심리'!$D3726,"")</f>
        <v/>
      </c>
      <c r="W3742">
        <f>IF(AND(ISNUMBER('자료_한국심리'!$G3726),ISNUMBER('자료_한국심리'!$H3726)),'자료_한국심리'!$G3726,"")</f>
        <v/>
      </c>
      <c r="X3742">
        <f>IF(AND(ISNUMBER('자료_한국심리'!$J3726),ISNUMBER('자료_한국심리'!$K3726)),'자료_한국심리'!$J3726,"")</f>
        <v/>
      </c>
      <c r="Y3742">
        <f>IF(AND(ISNUMBER('자료_한국심리'!$M3726),ISNUMBER('자료_한국심리'!$N3726)),'자료_한국심리'!$M3726,"")</f>
        <v/>
      </c>
    </row>
    <row r="3743">
      <c r="U3743">
        <f>IF(AND(ISNUMBER('자료_한국심리'!$A3727),ISNUMBER('자료_한국심리'!$B3727)),'자료_한국심리'!$A3727,"")</f>
        <v/>
      </c>
      <c r="V3743">
        <f>IF(AND(ISNUMBER('자료_한국심리'!$D3727),ISNUMBER('자료_한국심리'!$E3727)),'자료_한국심리'!$D3727,"")</f>
        <v/>
      </c>
      <c r="W3743">
        <f>IF(AND(ISNUMBER('자료_한국심리'!$G3727),ISNUMBER('자료_한국심리'!$H3727)),'자료_한국심리'!$G3727,"")</f>
        <v/>
      </c>
      <c r="X3743">
        <f>IF(AND(ISNUMBER('자료_한국심리'!$J3727),ISNUMBER('자료_한국심리'!$K3727)),'자료_한국심리'!$J3727,"")</f>
        <v/>
      </c>
      <c r="Y3743">
        <f>IF(AND(ISNUMBER('자료_한국심리'!$M3727),ISNUMBER('자료_한국심리'!$N3727)),'자료_한국심리'!$M3727,"")</f>
        <v/>
      </c>
    </row>
    <row r="3744">
      <c r="U3744">
        <f>IF(AND(ISNUMBER('자료_한국심리'!$A3728),ISNUMBER('자료_한국심리'!$B3728)),'자료_한국심리'!$A3728,"")</f>
        <v/>
      </c>
      <c r="V3744">
        <f>IF(AND(ISNUMBER('자료_한국심리'!$D3728),ISNUMBER('자료_한국심리'!$E3728)),'자료_한국심리'!$D3728,"")</f>
        <v/>
      </c>
      <c r="W3744">
        <f>IF(AND(ISNUMBER('자료_한국심리'!$G3728),ISNUMBER('자료_한국심리'!$H3728)),'자료_한국심리'!$G3728,"")</f>
        <v/>
      </c>
      <c r="X3744">
        <f>IF(AND(ISNUMBER('자료_한국심리'!$J3728),ISNUMBER('자료_한국심리'!$K3728)),'자료_한국심리'!$J3728,"")</f>
        <v/>
      </c>
      <c r="Y3744">
        <f>IF(AND(ISNUMBER('자료_한국심리'!$M3728),ISNUMBER('자료_한국심리'!$N3728)),'자료_한국심리'!$M3728,"")</f>
        <v/>
      </c>
    </row>
    <row r="3745">
      <c r="U3745">
        <f>IF(AND(ISNUMBER('자료_한국심리'!$A3729),ISNUMBER('자료_한국심리'!$B3729)),'자료_한국심리'!$A3729,"")</f>
        <v/>
      </c>
      <c r="V3745">
        <f>IF(AND(ISNUMBER('자료_한국심리'!$D3729),ISNUMBER('자료_한국심리'!$E3729)),'자료_한국심리'!$D3729,"")</f>
        <v/>
      </c>
      <c r="W3745">
        <f>IF(AND(ISNUMBER('자료_한국심리'!$G3729),ISNUMBER('자료_한국심리'!$H3729)),'자료_한국심리'!$G3729,"")</f>
        <v/>
      </c>
      <c r="X3745">
        <f>IF(AND(ISNUMBER('자료_한국심리'!$J3729),ISNUMBER('자료_한국심리'!$K3729)),'자료_한국심리'!$J3729,"")</f>
        <v/>
      </c>
      <c r="Y3745">
        <f>IF(AND(ISNUMBER('자료_한국심리'!$M3729),ISNUMBER('자료_한국심리'!$N3729)),'자료_한국심리'!$M3729,"")</f>
        <v/>
      </c>
    </row>
    <row r="3746">
      <c r="U3746">
        <f>IF(AND(ISNUMBER('자료_한국심리'!$A3730),ISNUMBER('자료_한국심리'!$B3730)),'자료_한국심리'!$A3730,"")</f>
        <v/>
      </c>
      <c r="V3746">
        <f>IF(AND(ISNUMBER('자료_한국심리'!$D3730),ISNUMBER('자료_한국심리'!$E3730)),'자료_한국심리'!$D3730,"")</f>
        <v/>
      </c>
      <c r="W3746">
        <f>IF(AND(ISNUMBER('자료_한국심리'!$G3730),ISNUMBER('자료_한국심리'!$H3730)),'자료_한국심리'!$G3730,"")</f>
        <v/>
      </c>
      <c r="X3746">
        <f>IF(AND(ISNUMBER('자료_한국심리'!$J3730),ISNUMBER('자료_한국심리'!$K3730)),'자료_한국심리'!$J3730,"")</f>
        <v/>
      </c>
      <c r="Y3746">
        <f>IF(AND(ISNUMBER('자료_한국심리'!$M3730),ISNUMBER('자료_한국심리'!$N3730)),'자료_한국심리'!$M3730,"")</f>
        <v/>
      </c>
    </row>
    <row r="3747">
      <c r="U3747">
        <f>IF(AND(ISNUMBER('자료_한국심리'!$A3731),ISNUMBER('자료_한국심리'!$B3731)),'자료_한국심리'!$A3731,"")</f>
        <v/>
      </c>
      <c r="V3747">
        <f>IF(AND(ISNUMBER('자료_한국심리'!$D3731),ISNUMBER('자료_한국심리'!$E3731)),'자료_한국심리'!$D3731,"")</f>
        <v/>
      </c>
      <c r="W3747">
        <f>IF(AND(ISNUMBER('자료_한국심리'!$G3731),ISNUMBER('자료_한국심리'!$H3731)),'자료_한국심리'!$G3731,"")</f>
        <v/>
      </c>
      <c r="X3747">
        <f>IF(AND(ISNUMBER('자료_한국심리'!$J3731),ISNUMBER('자료_한국심리'!$K3731)),'자료_한국심리'!$J3731,"")</f>
        <v/>
      </c>
      <c r="Y3747">
        <f>IF(AND(ISNUMBER('자료_한국심리'!$M3731),ISNUMBER('자료_한국심리'!$N3731)),'자료_한국심리'!$M3731,"")</f>
        <v/>
      </c>
    </row>
    <row r="3748">
      <c r="U3748">
        <f>IF(AND(ISNUMBER('자료_한국심리'!$A3732),ISNUMBER('자료_한국심리'!$B3732)),'자료_한국심리'!$A3732,"")</f>
        <v/>
      </c>
      <c r="V3748">
        <f>IF(AND(ISNUMBER('자료_한국심리'!$D3732),ISNUMBER('자료_한국심리'!$E3732)),'자료_한국심리'!$D3732,"")</f>
        <v/>
      </c>
      <c r="W3748">
        <f>IF(AND(ISNUMBER('자료_한국심리'!$G3732),ISNUMBER('자료_한국심리'!$H3732)),'자료_한국심리'!$G3732,"")</f>
        <v/>
      </c>
      <c r="X3748">
        <f>IF(AND(ISNUMBER('자료_한국심리'!$J3732),ISNUMBER('자료_한국심리'!$K3732)),'자료_한국심리'!$J3732,"")</f>
        <v/>
      </c>
      <c r="Y3748">
        <f>IF(AND(ISNUMBER('자료_한국심리'!$M3732),ISNUMBER('자료_한국심리'!$N3732)),'자료_한국심리'!$M3732,"")</f>
        <v/>
      </c>
    </row>
    <row r="3749">
      <c r="U3749">
        <f>IF(AND(ISNUMBER('자료_한국심리'!$A3733),ISNUMBER('자료_한국심리'!$B3733)),'자료_한국심리'!$A3733,"")</f>
        <v/>
      </c>
      <c r="V3749">
        <f>IF(AND(ISNUMBER('자료_한국심리'!$D3733),ISNUMBER('자료_한국심리'!$E3733)),'자료_한국심리'!$D3733,"")</f>
        <v/>
      </c>
      <c r="W3749">
        <f>IF(AND(ISNUMBER('자료_한국심리'!$G3733),ISNUMBER('자료_한국심리'!$H3733)),'자료_한국심리'!$G3733,"")</f>
        <v/>
      </c>
      <c r="X3749">
        <f>IF(AND(ISNUMBER('자료_한국심리'!$J3733),ISNUMBER('자료_한국심리'!$K3733)),'자료_한국심리'!$J3733,"")</f>
        <v/>
      </c>
      <c r="Y3749">
        <f>IF(AND(ISNUMBER('자료_한국심리'!$M3733),ISNUMBER('자료_한국심리'!$N3733)),'자료_한국심리'!$M3733,"")</f>
        <v/>
      </c>
    </row>
    <row r="3750">
      <c r="U3750">
        <f>IF(AND(ISNUMBER('자료_한국심리'!$A3734),ISNUMBER('자료_한국심리'!$B3734)),'자료_한국심리'!$A3734,"")</f>
        <v/>
      </c>
      <c r="V3750">
        <f>IF(AND(ISNUMBER('자료_한국심리'!$D3734),ISNUMBER('자료_한국심리'!$E3734)),'자료_한국심리'!$D3734,"")</f>
        <v/>
      </c>
      <c r="W3750">
        <f>IF(AND(ISNUMBER('자료_한국심리'!$G3734),ISNUMBER('자료_한국심리'!$H3734)),'자료_한국심리'!$G3734,"")</f>
        <v/>
      </c>
      <c r="X3750">
        <f>IF(AND(ISNUMBER('자료_한국심리'!$J3734),ISNUMBER('자료_한국심리'!$K3734)),'자료_한국심리'!$J3734,"")</f>
        <v/>
      </c>
      <c r="Y3750">
        <f>IF(AND(ISNUMBER('자료_한국심리'!$M3734),ISNUMBER('자료_한국심리'!$N3734)),'자료_한국심리'!$M3734,"")</f>
        <v/>
      </c>
    </row>
    <row r="3751">
      <c r="U3751">
        <f>IF(AND(ISNUMBER('자료_한국심리'!$A3735),ISNUMBER('자료_한국심리'!$B3735)),'자료_한국심리'!$A3735,"")</f>
        <v/>
      </c>
      <c r="V3751">
        <f>IF(AND(ISNUMBER('자료_한국심리'!$D3735),ISNUMBER('자료_한국심리'!$E3735)),'자료_한국심리'!$D3735,"")</f>
        <v/>
      </c>
      <c r="W3751">
        <f>IF(AND(ISNUMBER('자료_한국심리'!$G3735),ISNUMBER('자료_한국심리'!$H3735)),'자료_한국심리'!$G3735,"")</f>
        <v/>
      </c>
      <c r="X3751">
        <f>IF(AND(ISNUMBER('자료_한국심리'!$J3735),ISNUMBER('자료_한국심리'!$K3735)),'자료_한국심리'!$J3735,"")</f>
        <v/>
      </c>
      <c r="Y3751">
        <f>IF(AND(ISNUMBER('자료_한국심리'!$M3735),ISNUMBER('자료_한국심리'!$N3735)),'자료_한국심리'!$M3735,"")</f>
        <v/>
      </c>
    </row>
    <row r="3752">
      <c r="U3752">
        <f>IF(AND(ISNUMBER('자료_한국심리'!$A3736),ISNUMBER('자료_한국심리'!$B3736)),'자료_한국심리'!$A3736,"")</f>
        <v/>
      </c>
      <c r="V3752">
        <f>IF(AND(ISNUMBER('자료_한국심리'!$D3736),ISNUMBER('자료_한국심리'!$E3736)),'자료_한국심리'!$D3736,"")</f>
        <v/>
      </c>
      <c r="W3752">
        <f>IF(AND(ISNUMBER('자료_한국심리'!$G3736),ISNUMBER('자료_한국심리'!$H3736)),'자료_한국심리'!$G3736,"")</f>
        <v/>
      </c>
      <c r="X3752">
        <f>IF(AND(ISNUMBER('자료_한국심리'!$J3736),ISNUMBER('자료_한국심리'!$K3736)),'자료_한국심리'!$J3736,"")</f>
        <v/>
      </c>
      <c r="Y3752">
        <f>IF(AND(ISNUMBER('자료_한국심리'!$M3736),ISNUMBER('자료_한국심리'!$N3736)),'자료_한국심리'!$M3736,"")</f>
        <v/>
      </c>
    </row>
    <row r="3753">
      <c r="U3753">
        <f>IF(AND(ISNUMBER('자료_한국심리'!$A3737),ISNUMBER('자료_한국심리'!$B3737)),'자료_한국심리'!$A3737,"")</f>
        <v/>
      </c>
      <c r="V3753">
        <f>IF(AND(ISNUMBER('자료_한국심리'!$D3737),ISNUMBER('자료_한국심리'!$E3737)),'자료_한국심리'!$D3737,"")</f>
        <v/>
      </c>
      <c r="W3753">
        <f>IF(AND(ISNUMBER('자료_한국심리'!$G3737),ISNUMBER('자료_한국심리'!$H3737)),'자료_한국심리'!$G3737,"")</f>
        <v/>
      </c>
      <c r="X3753">
        <f>IF(AND(ISNUMBER('자료_한국심리'!$J3737),ISNUMBER('자료_한국심리'!$K3737)),'자료_한국심리'!$J3737,"")</f>
        <v/>
      </c>
      <c r="Y3753">
        <f>IF(AND(ISNUMBER('자료_한국심리'!$M3737),ISNUMBER('자료_한국심리'!$N3737)),'자료_한국심리'!$M3737,"")</f>
        <v/>
      </c>
    </row>
    <row r="3754">
      <c r="U3754">
        <f>IF(AND(ISNUMBER('자료_한국심리'!$A3738),ISNUMBER('자료_한국심리'!$B3738)),'자료_한국심리'!$A3738,"")</f>
        <v/>
      </c>
      <c r="V3754">
        <f>IF(AND(ISNUMBER('자료_한국심리'!$D3738),ISNUMBER('자료_한국심리'!$E3738)),'자료_한국심리'!$D3738,"")</f>
        <v/>
      </c>
      <c r="W3754">
        <f>IF(AND(ISNUMBER('자료_한국심리'!$G3738),ISNUMBER('자료_한국심리'!$H3738)),'자료_한국심리'!$G3738,"")</f>
        <v/>
      </c>
      <c r="X3754">
        <f>IF(AND(ISNUMBER('자료_한국심리'!$J3738),ISNUMBER('자료_한국심리'!$K3738)),'자료_한국심리'!$J3738,"")</f>
        <v/>
      </c>
      <c r="Y3754">
        <f>IF(AND(ISNUMBER('자료_한국심리'!$M3738),ISNUMBER('자료_한국심리'!$N3738)),'자료_한국심리'!$M3738,"")</f>
        <v/>
      </c>
    </row>
    <row r="3755">
      <c r="U3755">
        <f>IF(AND(ISNUMBER('자료_한국심리'!$A3739),ISNUMBER('자료_한국심리'!$B3739)),'자료_한국심리'!$A3739,"")</f>
        <v/>
      </c>
      <c r="V3755">
        <f>IF(AND(ISNUMBER('자료_한국심리'!$D3739),ISNUMBER('자료_한국심리'!$E3739)),'자료_한국심리'!$D3739,"")</f>
        <v/>
      </c>
      <c r="W3755">
        <f>IF(AND(ISNUMBER('자료_한국심리'!$G3739),ISNUMBER('자료_한국심리'!$H3739)),'자료_한국심리'!$G3739,"")</f>
        <v/>
      </c>
      <c r="X3755">
        <f>IF(AND(ISNUMBER('자료_한국심리'!$J3739),ISNUMBER('자료_한국심리'!$K3739)),'자료_한국심리'!$J3739,"")</f>
        <v/>
      </c>
      <c r="Y3755">
        <f>IF(AND(ISNUMBER('자료_한국심리'!$M3739),ISNUMBER('자료_한국심리'!$N3739)),'자료_한국심리'!$M3739,"")</f>
        <v/>
      </c>
    </row>
    <row r="3756">
      <c r="U3756">
        <f>IF(AND(ISNUMBER('자료_한국심리'!$A3740),ISNUMBER('자료_한국심리'!$B3740)),'자료_한국심리'!$A3740,"")</f>
        <v/>
      </c>
      <c r="V3756">
        <f>IF(AND(ISNUMBER('자료_한국심리'!$D3740),ISNUMBER('자료_한국심리'!$E3740)),'자료_한국심리'!$D3740,"")</f>
        <v/>
      </c>
      <c r="W3756">
        <f>IF(AND(ISNUMBER('자료_한국심리'!$G3740),ISNUMBER('자료_한국심리'!$H3740)),'자료_한국심리'!$G3740,"")</f>
        <v/>
      </c>
      <c r="X3756">
        <f>IF(AND(ISNUMBER('자료_한국심리'!$J3740),ISNUMBER('자료_한국심리'!$K3740)),'자료_한국심리'!$J3740,"")</f>
        <v/>
      </c>
      <c r="Y3756">
        <f>IF(AND(ISNUMBER('자료_한국심리'!$M3740),ISNUMBER('자료_한국심리'!$N3740)),'자료_한국심리'!$M3740,"")</f>
        <v/>
      </c>
    </row>
    <row r="3757">
      <c r="U3757">
        <f>IF(AND(ISNUMBER('자료_한국심리'!$A3741),ISNUMBER('자료_한국심리'!$B3741)),'자료_한국심리'!$A3741,"")</f>
        <v/>
      </c>
      <c r="V3757">
        <f>IF(AND(ISNUMBER('자료_한국심리'!$D3741),ISNUMBER('자료_한국심리'!$E3741)),'자료_한국심리'!$D3741,"")</f>
        <v/>
      </c>
      <c r="W3757">
        <f>IF(AND(ISNUMBER('자료_한국심리'!$G3741),ISNUMBER('자료_한국심리'!$H3741)),'자료_한국심리'!$G3741,"")</f>
        <v/>
      </c>
      <c r="X3757">
        <f>IF(AND(ISNUMBER('자료_한국심리'!$J3741),ISNUMBER('자료_한국심리'!$K3741)),'자료_한국심리'!$J3741,"")</f>
        <v/>
      </c>
      <c r="Y3757">
        <f>IF(AND(ISNUMBER('자료_한국심리'!$M3741),ISNUMBER('자료_한국심리'!$N3741)),'자료_한국심리'!$M3741,"")</f>
        <v/>
      </c>
    </row>
    <row r="3758">
      <c r="U3758">
        <f>IF(AND(ISNUMBER('자료_한국심리'!$A3742),ISNUMBER('자료_한국심리'!$B3742)),'자료_한국심리'!$A3742,"")</f>
        <v/>
      </c>
      <c r="V3758">
        <f>IF(AND(ISNUMBER('자료_한국심리'!$D3742),ISNUMBER('자료_한국심리'!$E3742)),'자료_한국심리'!$D3742,"")</f>
        <v/>
      </c>
      <c r="W3758">
        <f>IF(AND(ISNUMBER('자료_한국심리'!$G3742),ISNUMBER('자료_한국심리'!$H3742)),'자료_한국심리'!$G3742,"")</f>
        <v/>
      </c>
      <c r="X3758">
        <f>IF(AND(ISNUMBER('자료_한국심리'!$J3742),ISNUMBER('자료_한국심리'!$K3742)),'자료_한국심리'!$J3742,"")</f>
        <v/>
      </c>
      <c r="Y3758">
        <f>IF(AND(ISNUMBER('자료_한국심리'!$M3742),ISNUMBER('자료_한국심리'!$N3742)),'자료_한국심리'!$M3742,"")</f>
        <v/>
      </c>
    </row>
    <row r="3759">
      <c r="U3759">
        <f>IF(AND(ISNUMBER('자료_한국심리'!$A3743),ISNUMBER('자료_한국심리'!$B3743)),'자료_한국심리'!$A3743,"")</f>
        <v/>
      </c>
      <c r="V3759">
        <f>IF(AND(ISNUMBER('자료_한국심리'!$D3743),ISNUMBER('자료_한국심리'!$E3743)),'자료_한국심리'!$D3743,"")</f>
        <v/>
      </c>
      <c r="W3759">
        <f>IF(AND(ISNUMBER('자료_한국심리'!$G3743),ISNUMBER('자료_한국심리'!$H3743)),'자료_한국심리'!$G3743,"")</f>
        <v/>
      </c>
      <c r="X3759">
        <f>IF(AND(ISNUMBER('자료_한국심리'!$J3743),ISNUMBER('자료_한국심리'!$K3743)),'자료_한국심리'!$J3743,"")</f>
        <v/>
      </c>
      <c r="Y3759">
        <f>IF(AND(ISNUMBER('자료_한국심리'!$M3743),ISNUMBER('자료_한국심리'!$N3743)),'자료_한국심리'!$M3743,"")</f>
        <v/>
      </c>
    </row>
    <row r="3760">
      <c r="U3760">
        <f>IF(AND(ISNUMBER('자료_한국심리'!$A3744),ISNUMBER('자료_한국심리'!$B3744)),'자료_한국심리'!$A3744,"")</f>
        <v/>
      </c>
      <c r="V3760">
        <f>IF(AND(ISNUMBER('자료_한국심리'!$D3744),ISNUMBER('자료_한국심리'!$E3744)),'자료_한국심리'!$D3744,"")</f>
        <v/>
      </c>
      <c r="W3760">
        <f>IF(AND(ISNUMBER('자료_한국심리'!$G3744),ISNUMBER('자료_한국심리'!$H3744)),'자료_한국심리'!$G3744,"")</f>
        <v/>
      </c>
      <c r="X3760">
        <f>IF(AND(ISNUMBER('자료_한국심리'!$J3744),ISNUMBER('자료_한국심리'!$K3744)),'자료_한국심리'!$J3744,"")</f>
        <v/>
      </c>
      <c r="Y3760">
        <f>IF(AND(ISNUMBER('자료_한국심리'!$M3744),ISNUMBER('자료_한국심리'!$N3744)),'자료_한국심리'!$M3744,"")</f>
        <v/>
      </c>
    </row>
    <row r="3761">
      <c r="U3761">
        <f>IF(AND(ISNUMBER('자료_한국심리'!$A3745),ISNUMBER('자료_한국심리'!$B3745)),'자료_한국심리'!$A3745,"")</f>
        <v/>
      </c>
      <c r="V3761">
        <f>IF(AND(ISNUMBER('자료_한국심리'!$D3745),ISNUMBER('자료_한국심리'!$E3745)),'자료_한국심리'!$D3745,"")</f>
        <v/>
      </c>
      <c r="W3761">
        <f>IF(AND(ISNUMBER('자료_한국심리'!$G3745),ISNUMBER('자료_한국심리'!$H3745)),'자료_한국심리'!$G3745,"")</f>
        <v/>
      </c>
      <c r="X3761">
        <f>IF(AND(ISNUMBER('자료_한국심리'!$J3745),ISNUMBER('자료_한국심리'!$K3745)),'자료_한국심리'!$J3745,"")</f>
        <v/>
      </c>
      <c r="Y3761">
        <f>IF(AND(ISNUMBER('자료_한국심리'!$M3745),ISNUMBER('자료_한국심리'!$N3745)),'자료_한국심리'!$M3745,"")</f>
        <v/>
      </c>
    </row>
    <row r="3762">
      <c r="U3762">
        <f>IF(AND(ISNUMBER('자료_한국심리'!$A3746),ISNUMBER('자료_한국심리'!$B3746)),'자료_한국심리'!$A3746,"")</f>
        <v/>
      </c>
      <c r="V3762">
        <f>IF(AND(ISNUMBER('자료_한국심리'!$D3746),ISNUMBER('자료_한국심리'!$E3746)),'자료_한국심리'!$D3746,"")</f>
        <v/>
      </c>
      <c r="W3762">
        <f>IF(AND(ISNUMBER('자료_한국심리'!$G3746),ISNUMBER('자료_한국심리'!$H3746)),'자료_한국심리'!$G3746,"")</f>
        <v/>
      </c>
      <c r="X3762">
        <f>IF(AND(ISNUMBER('자료_한국심리'!$J3746),ISNUMBER('자료_한국심리'!$K3746)),'자료_한국심리'!$J3746,"")</f>
        <v/>
      </c>
      <c r="Y3762">
        <f>IF(AND(ISNUMBER('자료_한국심리'!$M3746),ISNUMBER('자료_한국심리'!$N3746)),'자료_한국심리'!$M3746,"")</f>
        <v/>
      </c>
    </row>
    <row r="3763">
      <c r="U3763">
        <f>IF(AND(ISNUMBER('자료_한국심리'!$A3747),ISNUMBER('자료_한국심리'!$B3747)),'자료_한국심리'!$A3747,"")</f>
        <v/>
      </c>
      <c r="V3763">
        <f>IF(AND(ISNUMBER('자료_한국심리'!$D3747),ISNUMBER('자료_한국심리'!$E3747)),'자료_한국심리'!$D3747,"")</f>
        <v/>
      </c>
      <c r="W3763">
        <f>IF(AND(ISNUMBER('자료_한국심리'!$G3747),ISNUMBER('자료_한국심리'!$H3747)),'자료_한국심리'!$G3747,"")</f>
        <v/>
      </c>
      <c r="X3763">
        <f>IF(AND(ISNUMBER('자료_한국심리'!$J3747),ISNUMBER('자료_한국심리'!$K3747)),'자료_한국심리'!$J3747,"")</f>
        <v/>
      </c>
      <c r="Y3763">
        <f>IF(AND(ISNUMBER('자료_한국심리'!$M3747),ISNUMBER('자료_한국심리'!$N3747)),'자료_한국심리'!$M3747,"")</f>
        <v/>
      </c>
    </row>
    <row r="3764">
      <c r="U3764">
        <f>IF(AND(ISNUMBER('자료_한국심리'!$A3748),ISNUMBER('자료_한국심리'!$B3748)),'자료_한국심리'!$A3748,"")</f>
        <v/>
      </c>
      <c r="V3764">
        <f>IF(AND(ISNUMBER('자료_한국심리'!$D3748),ISNUMBER('자료_한국심리'!$E3748)),'자료_한국심리'!$D3748,"")</f>
        <v/>
      </c>
      <c r="W3764">
        <f>IF(AND(ISNUMBER('자료_한국심리'!$G3748),ISNUMBER('자료_한국심리'!$H3748)),'자료_한국심리'!$G3748,"")</f>
        <v/>
      </c>
      <c r="X3764">
        <f>IF(AND(ISNUMBER('자료_한국심리'!$J3748),ISNUMBER('자료_한국심리'!$K3748)),'자료_한국심리'!$J3748,"")</f>
        <v/>
      </c>
      <c r="Y3764">
        <f>IF(AND(ISNUMBER('자료_한국심리'!$M3748),ISNUMBER('자료_한국심리'!$N3748)),'자료_한국심리'!$M3748,"")</f>
        <v/>
      </c>
    </row>
    <row r="3765">
      <c r="U3765">
        <f>IF(AND(ISNUMBER('자료_한국심리'!$A3749),ISNUMBER('자료_한국심리'!$B3749)),'자료_한국심리'!$A3749,"")</f>
        <v/>
      </c>
      <c r="V3765">
        <f>IF(AND(ISNUMBER('자료_한국심리'!$D3749),ISNUMBER('자료_한국심리'!$E3749)),'자료_한국심리'!$D3749,"")</f>
        <v/>
      </c>
      <c r="W3765">
        <f>IF(AND(ISNUMBER('자료_한국심리'!$G3749),ISNUMBER('자료_한국심리'!$H3749)),'자료_한국심리'!$G3749,"")</f>
        <v/>
      </c>
      <c r="X3765">
        <f>IF(AND(ISNUMBER('자료_한국심리'!$J3749),ISNUMBER('자료_한국심리'!$K3749)),'자료_한국심리'!$J3749,"")</f>
        <v/>
      </c>
      <c r="Y3765">
        <f>IF(AND(ISNUMBER('자료_한국심리'!$M3749),ISNUMBER('자료_한국심리'!$N3749)),'자료_한국심리'!$M3749,"")</f>
        <v/>
      </c>
    </row>
    <row r="3766">
      <c r="U3766">
        <f>IF(AND(ISNUMBER('자료_한국심리'!$A3750),ISNUMBER('자료_한국심리'!$B3750)),'자료_한국심리'!$A3750,"")</f>
        <v/>
      </c>
      <c r="V3766">
        <f>IF(AND(ISNUMBER('자료_한국심리'!$D3750),ISNUMBER('자료_한국심리'!$E3750)),'자료_한국심리'!$D3750,"")</f>
        <v/>
      </c>
      <c r="W3766">
        <f>IF(AND(ISNUMBER('자료_한국심리'!$G3750),ISNUMBER('자료_한국심리'!$H3750)),'자료_한국심리'!$G3750,"")</f>
        <v/>
      </c>
      <c r="X3766">
        <f>IF(AND(ISNUMBER('자료_한국심리'!$J3750),ISNUMBER('자료_한국심리'!$K3750)),'자료_한국심리'!$J3750,"")</f>
        <v/>
      </c>
      <c r="Y3766">
        <f>IF(AND(ISNUMBER('자료_한국심리'!$M3750),ISNUMBER('자료_한국심리'!$N3750)),'자료_한국심리'!$M3750,"")</f>
        <v/>
      </c>
    </row>
    <row r="3767">
      <c r="U3767">
        <f>IF(AND(ISNUMBER('자료_한국심리'!$A3751),ISNUMBER('자료_한국심리'!$B3751)),'자료_한국심리'!$A3751,"")</f>
        <v/>
      </c>
      <c r="V3767">
        <f>IF(AND(ISNUMBER('자료_한국심리'!$D3751),ISNUMBER('자료_한국심리'!$E3751)),'자료_한국심리'!$D3751,"")</f>
        <v/>
      </c>
      <c r="W3767">
        <f>IF(AND(ISNUMBER('자료_한국심리'!$G3751),ISNUMBER('자료_한국심리'!$H3751)),'자료_한국심리'!$G3751,"")</f>
        <v/>
      </c>
      <c r="X3767">
        <f>IF(AND(ISNUMBER('자료_한국심리'!$J3751),ISNUMBER('자료_한국심리'!$K3751)),'자료_한국심리'!$J3751,"")</f>
        <v/>
      </c>
      <c r="Y3767">
        <f>IF(AND(ISNUMBER('자료_한국심리'!$M3751),ISNUMBER('자료_한국심리'!$N3751)),'자료_한국심리'!$M3751,"")</f>
        <v/>
      </c>
    </row>
    <row r="3768">
      <c r="U3768">
        <f>IF(AND(ISNUMBER('자료_한국심리'!$A3752),ISNUMBER('자료_한국심리'!$B3752)),'자료_한국심리'!$A3752,"")</f>
        <v/>
      </c>
      <c r="V3768">
        <f>IF(AND(ISNUMBER('자료_한국심리'!$D3752),ISNUMBER('자료_한국심리'!$E3752)),'자료_한국심리'!$D3752,"")</f>
        <v/>
      </c>
      <c r="W3768">
        <f>IF(AND(ISNUMBER('자료_한국심리'!$G3752),ISNUMBER('자료_한국심리'!$H3752)),'자료_한국심리'!$G3752,"")</f>
        <v/>
      </c>
      <c r="X3768">
        <f>IF(AND(ISNUMBER('자료_한국심리'!$J3752),ISNUMBER('자료_한국심리'!$K3752)),'자료_한국심리'!$J3752,"")</f>
        <v/>
      </c>
      <c r="Y3768">
        <f>IF(AND(ISNUMBER('자료_한국심리'!$M3752),ISNUMBER('자료_한국심리'!$N3752)),'자료_한국심리'!$M3752,"")</f>
        <v/>
      </c>
    </row>
    <row r="3769">
      <c r="U3769">
        <f>IF(AND(ISNUMBER('자료_한국심리'!$A3753),ISNUMBER('자료_한국심리'!$B3753)),'자료_한국심리'!$A3753,"")</f>
        <v/>
      </c>
      <c r="V3769">
        <f>IF(AND(ISNUMBER('자료_한국심리'!$D3753),ISNUMBER('자료_한국심리'!$E3753)),'자료_한국심리'!$D3753,"")</f>
        <v/>
      </c>
      <c r="W3769">
        <f>IF(AND(ISNUMBER('자료_한국심리'!$G3753),ISNUMBER('자료_한국심리'!$H3753)),'자료_한국심리'!$G3753,"")</f>
        <v/>
      </c>
      <c r="X3769">
        <f>IF(AND(ISNUMBER('자료_한국심리'!$J3753),ISNUMBER('자료_한국심리'!$K3753)),'자료_한국심리'!$J3753,"")</f>
        <v/>
      </c>
      <c r="Y3769">
        <f>IF(AND(ISNUMBER('자료_한국심리'!$M3753),ISNUMBER('자료_한국심리'!$N3753)),'자료_한국심리'!$M3753,"")</f>
        <v/>
      </c>
    </row>
    <row r="3770">
      <c r="U3770">
        <f>IF(AND(ISNUMBER('자료_한국심리'!$A3754),ISNUMBER('자료_한국심리'!$B3754)),'자료_한국심리'!$A3754,"")</f>
        <v/>
      </c>
      <c r="V3770">
        <f>IF(AND(ISNUMBER('자료_한국심리'!$D3754),ISNUMBER('자료_한국심리'!$E3754)),'자료_한국심리'!$D3754,"")</f>
        <v/>
      </c>
      <c r="W3770">
        <f>IF(AND(ISNUMBER('자료_한국심리'!$G3754),ISNUMBER('자료_한국심리'!$H3754)),'자료_한국심리'!$G3754,"")</f>
        <v/>
      </c>
      <c r="X3770">
        <f>IF(AND(ISNUMBER('자료_한국심리'!$J3754),ISNUMBER('자료_한국심리'!$K3754)),'자료_한국심리'!$J3754,"")</f>
        <v/>
      </c>
      <c r="Y3770">
        <f>IF(AND(ISNUMBER('자료_한국심리'!$M3754),ISNUMBER('자료_한국심리'!$N3754)),'자료_한국심리'!$M3754,"")</f>
        <v/>
      </c>
    </row>
    <row r="3771">
      <c r="U3771">
        <f>IF(AND(ISNUMBER('자료_한국심리'!$A3755),ISNUMBER('자료_한국심리'!$B3755)),'자료_한국심리'!$A3755,"")</f>
        <v/>
      </c>
      <c r="V3771">
        <f>IF(AND(ISNUMBER('자료_한국심리'!$D3755),ISNUMBER('자료_한국심리'!$E3755)),'자료_한국심리'!$D3755,"")</f>
        <v/>
      </c>
      <c r="W3771">
        <f>IF(AND(ISNUMBER('자료_한국심리'!$G3755),ISNUMBER('자료_한국심리'!$H3755)),'자료_한국심리'!$G3755,"")</f>
        <v/>
      </c>
      <c r="X3771">
        <f>IF(AND(ISNUMBER('자료_한국심리'!$J3755),ISNUMBER('자료_한국심리'!$K3755)),'자료_한국심리'!$J3755,"")</f>
        <v/>
      </c>
      <c r="Y3771">
        <f>IF(AND(ISNUMBER('자료_한국심리'!$M3755),ISNUMBER('자료_한국심리'!$N3755)),'자료_한국심리'!$M3755,"")</f>
        <v/>
      </c>
    </row>
    <row r="3772">
      <c r="U3772">
        <f>IF(AND(ISNUMBER('자료_한국심리'!$A3756),ISNUMBER('자료_한국심리'!$B3756)),'자료_한국심리'!$A3756,"")</f>
        <v/>
      </c>
      <c r="V3772">
        <f>IF(AND(ISNUMBER('자료_한국심리'!$D3756),ISNUMBER('자료_한국심리'!$E3756)),'자료_한국심리'!$D3756,"")</f>
        <v/>
      </c>
      <c r="W3772">
        <f>IF(AND(ISNUMBER('자료_한국심리'!$G3756),ISNUMBER('자료_한국심리'!$H3756)),'자료_한국심리'!$G3756,"")</f>
        <v/>
      </c>
      <c r="X3772">
        <f>IF(AND(ISNUMBER('자료_한국심리'!$J3756),ISNUMBER('자료_한국심리'!$K3756)),'자료_한국심리'!$J3756,"")</f>
        <v/>
      </c>
      <c r="Y3772">
        <f>IF(AND(ISNUMBER('자료_한국심리'!$M3756),ISNUMBER('자료_한국심리'!$N3756)),'자료_한국심리'!$M3756,"")</f>
        <v/>
      </c>
    </row>
    <row r="3773">
      <c r="U3773">
        <f>IF(AND(ISNUMBER('자료_한국심리'!$A3757),ISNUMBER('자료_한국심리'!$B3757)),'자료_한국심리'!$A3757,"")</f>
        <v/>
      </c>
      <c r="V3773">
        <f>IF(AND(ISNUMBER('자료_한국심리'!$D3757),ISNUMBER('자료_한국심리'!$E3757)),'자료_한국심리'!$D3757,"")</f>
        <v/>
      </c>
      <c r="W3773">
        <f>IF(AND(ISNUMBER('자료_한국심리'!$G3757),ISNUMBER('자료_한국심리'!$H3757)),'자료_한국심리'!$G3757,"")</f>
        <v/>
      </c>
      <c r="X3773">
        <f>IF(AND(ISNUMBER('자료_한국심리'!$J3757),ISNUMBER('자료_한국심리'!$K3757)),'자료_한국심리'!$J3757,"")</f>
        <v/>
      </c>
      <c r="Y3773">
        <f>IF(AND(ISNUMBER('자료_한국심리'!$M3757),ISNUMBER('자료_한국심리'!$N3757)),'자료_한국심리'!$M3757,"")</f>
        <v/>
      </c>
    </row>
    <row r="3774">
      <c r="U3774">
        <f>IF(AND(ISNUMBER('자료_한국심리'!$A3758),ISNUMBER('자료_한국심리'!$B3758)),'자료_한국심리'!$A3758,"")</f>
        <v/>
      </c>
      <c r="V3774">
        <f>IF(AND(ISNUMBER('자료_한국심리'!$D3758),ISNUMBER('자료_한국심리'!$E3758)),'자료_한국심리'!$D3758,"")</f>
        <v/>
      </c>
      <c r="W3774">
        <f>IF(AND(ISNUMBER('자료_한국심리'!$G3758),ISNUMBER('자료_한국심리'!$H3758)),'자료_한국심리'!$G3758,"")</f>
        <v/>
      </c>
      <c r="X3774">
        <f>IF(AND(ISNUMBER('자료_한국심리'!$J3758),ISNUMBER('자료_한국심리'!$K3758)),'자료_한국심리'!$J3758,"")</f>
        <v/>
      </c>
      <c r="Y3774">
        <f>IF(AND(ISNUMBER('자료_한국심리'!$M3758),ISNUMBER('자료_한국심리'!$N3758)),'자료_한국심리'!$M3758,"")</f>
        <v/>
      </c>
    </row>
    <row r="3775">
      <c r="U3775">
        <f>IF(AND(ISNUMBER('자료_한국심리'!$A3759),ISNUMBER('자료_한국심리'!$B3759)),'자료_한국심리'!$A3759,"")</f>
        <v/>
      </c>
      <c r="V3775">
        <f>IF(AND(ISNUMBER('자료_한국심리'!$D3759),ISNUMBER('자료_한국심리'!$E3759)),'자료_한국심리'!$D3759,"")</f>
        <v/>
      </c>
      <c r="W3775">
        <f>IF(AND(ISNUMBER('자료_한국심리'!$G3759),ISNUMBER('자료_한국심리'!$H3759)),'자료_한국심리'!$G3759,"")</f>
        <v/>
      </c>
      <c r="X3775">
        <f>IF(AND(ISNUMBER('자료_한국심리'!$J3759),ISNUMBER('자료_한국심리'!$K3759)),'자료_한국심리'!$J3759,"")</f>
        <v/>
      </c>
      <c r="Y3775">
        <f>IF(AND(ISNUMBER('자료_한국심리'!$M3759),ISNUMBER('자료_한국심리'!$N3759)),'자료_한국심리'!$M3759,"")</f>
        <v/>
      </c>
    </row>
    <row r="3776">
      <c r="U3776">
        <f>IF(AND(ISNUMBER('자료_한국심리'!$A3760),ISNUMBER('자료_한국심리'!$B3760)),'자료_한국심리'!$A3760,"")</f>
        <v/>
      </c>
      <c r="V3776">
        <f>IF(AND(ISNUMBER('자료_한국심리'!$D3760),ISNUMBER('자료_한국심리'!$E3760)),'자료_한국심리'!$D3760,"")</f>
        <v/>
      </c>
      <c r="W3776">
        <f>IF(AND(ISNUMBER('자료_한국심리'!$G3760),ISNUMBER('자료_한국심리'!$H3760)),'자료_한국심리'!$G3760,"")</f>
        <v/>
      </c>
      <c r="X3776">
        <f>IF(AND(ISNUMBER('자료_한국심리'!$J3760),ISNUMBER('자료_한국심리'!$K3760)),'자료_한국심리'!$J3760,"")</f>
        <v/>
      </c>
      <c r="Y3776">
        <f>IF(AND(ISNUMBER('자료_한국심리'!$M3760),ISNUMBER('자료_한국심리'!$N3760)),'자료_한국심리'!$M3760,"")</f>
        <v/>
      </c>
    </row>
    <row r="3777">
      <c r="U3777">
        <f>IF(AND(ISNUMBER('자료_한국심리'!$A3761),ISNUMBER('자료_한국심리'!$B3761)),'자료_한국심리'!$A3761,"")</f>
        <v/>
      </c>
      <c r="V3777">
        <f>IF(AND(ISNUMBER('자료_한국심리'!$D3761),ISNUMBER('자료_한국심리'!$E3761)),'자료_한국심리'!$D3761,"")</f>
        <v/>
      </c>
      <c r="W3777">
        <f>IF(AND(ISNUMBER('자료_한국심리'!$G3761),ISNUMBER('자료_한국심리'!$H3761)),'자료_한국심리'!$G3761,"")</f>
        <v/>
      </c>
      <c r="X3777">
        <f>IF(AND(ISNUMBER('자료_한국심리'!$J3761),ISNUMBER('자료_한국심리'!$K3761)),'자료_한국심리'!$J3761,"")</f>
        <v/>
      </c>
      <c r="Y3777">
        <f>IF(AND(ISNUMBER('자료_한국심리'!$M3761),ISNUMBER('자료_한국심리'!$N3761)),'자료_한국심리'!$M3761,"")</f>
        <v/>
      </c>
    </row>
    <row r="3778">
      <c r="U3778">
        <f>IF(AND(ISNUMBER('자료_한국심리'!$A3762),ISNUMBER('자료_한국심리'!$B3762)),'자료_한국심리'!$A3762,"")</f>
        <v/>
      </c>
      <c r="V3778">
        <f>IF(AND(ISNUMBER('자료_한국심리'!$D3762),ISNUMBER('자료_한국심리'!$E3762)),'자료_한국심리'!$D3762,"")</f>
        <v/>
      </c>
      <c r="W3778">
        <f>IF(AND(ISNUMBER('자료_한국심리'!$G3762),ISNUMBER('자료_한국심리'!$H3762)),'자료_한국심리'!$G3762,"")</f>
        <v/>
      </c>
      <c r="X3778">
        <f>IF(AND(ISNUMBER('자료_한국심리'!$J3762),ISNUMBER('자료_한국심리'!$K3762)),'자료_한국심리'!$J3762,"")</f>
        <v/>
      </c>
      <c r="Y3778">
        <f>IF(AND(ISNUMBER('자료_한국심리'!$M3762),ISNUMBER('자료_한국심리'!$N3762)),'자료_한국심리'!$M3762,"")</f>
        <v/>
      </c>
    </row>
    <row r="3779">
      <c r="U3779">
        <f>IF(AND(ISNUMBER('자료_한국심리'!$A3763),ISNUMBER('자료_한국심리'!$B3763)),'자료_한국심리'!$A3763,"")</f>
        <v/>
      </c>
      <c r="V3779">
        <f>IF(AND(ISNUMBER('자료_한국심리'!$D3763),ISNUMBER('자료_한국심리'!$E3763)),'자료_한국심리'!$D3763,"")</f>
        <v/>
      </c>
      <c r="W3779">
        <f>IF(AND(ISNUMBER('자료_한국심리'!$G3763),ISNUMBER('자료_한국심리'!$H3763)),'자료_한국심리'!$G3763,"")</f>
        <v/>
      </c>
      <c r="X3779">
        <f>IF(AND(ISNUMBER('자료_한국심리'!$J3763),ISNUMBER('자료_한국심리'!$K3763)),'자료_한국심리'!$J3763,"")</f>
        <v/>
      </c>
      <c r="Y3779">
        <f>IF(AND(ISNUMBER('자료_한국심리'!$M3763),ISNUMBER('자료_한국심리'!$N3763)),'자료_한국심리'!$M3763,"")</f>
        <v/>
      </c>
    </row>
    <row r="3780">
      <c r="U3780">
        <f>IF(AND(ISNUMBER('자료_한국심리'!$A3764),ISNUMBER('자료_한국심리'!$B3764)),'자료_한국심리'!$A3764,"")</f>
        <v/>
      </c>
      <c r="V3780">
        <f>IF(AND(ISNUMBER('자료_한국심리'!$D3764),ISNUMBER('자료_한국심리'!$E3764)),'자료_한국심리'!$D3764,"")</f>
        <v/>
      </c>
      <c r="W3780">
        <f>IF(AND(ISNUMBER('자료_한국심리'!$G3764),ISNUMBER('자료_한국심리'!$H3764)),'자료_한국심리'!$G3764,"")</f>
        <v/>
      </c>
      <c r="X3780">
        <f>IF(AND(ISNUMBER('자료_한국심리'!$J3764),ISNUMBER('자료_한국심리'!$K3764)),'자료_한국심리'!$J3764,"")</f>
        <v/>
      </c>
      <c r="Y3780">
        <f>IF(AND(ISNUMBER('자료_한국심리'!$M3764),ISNUMBER('자료_한국심리'!$N3764)),'자료_한국심리'!$M3764,"")</f>
        <v/>
      </c>
    </row>
    <row r="3781">
      <c r="U3781">
        <f>IF(AND(ISNUMBER('자료_한국심리'!$A3765),ISNUMBER('자료_한국심리'!$B3765)),'자료_한국심리'!$A3765,"")</f>
        <v/>
      </c>
      <c r="V3781">
        <f>IF(AND(ISNUMBER('자료_한국심리'!$D3765),ISNUMBER('자료_한국심리'!$E3765)),'자료_한국심리'!$D3765,"")</f>
        <v/>
      </c>
      <c r="W3781">
        <f>IF(AND(ISNUMBER('자료_한국심리'!$G3765),ISNUMBER('자료_한국심리'!$H3765)),'자료_한국심리'!$G3765,"")</f>
        <v/>
      </c>
      <c r="X3781">
        <f>IF(AND(ISNUMBER('자료_한국심리'!$J3765),ISNUMBER('자료_한국심리'!$K3765)),'자료_한국심리'!$J3765,"")</f>
        <v/>
      </c>
      <c r="Y3781">
        <f>IF(AND(ISNUMBER('자료_한국심리'!$M3765),ISNUMBER('자료_한국심리'!$N3765)),'자료_한국심리'!$M3765,"")</f>
        <v/>
      </c>
    </row>
    <row r="3782">
      <c r="U3782">
        <f>IF(AND(ISNUMBER('자료_한국심리'!$A3766),ISNUMBER('자료_한국심리'!$B3766)),'자료_한국심리'!$A3766,"")</f>
        <v/>
      </c>
      <c r="V3782">
        <f>IF(AND(ISNUMBER('자료_한국심리'!$D3766),ISNUMBER('자료_한국심리'!$E3766)),'자료_한국심리'!$D3766,"")</f>
        <v/>
      </c>
      <c r="W3782">
        <f>IF(AND(ISNUMBER('자료_한국심리'!$G3766),ISNUMBER('자료_한국심리'!$H3766)),'자료_한국심리'!$G3766,"")</f>
        <v/>
      </c>
      <c r="X3782">
        <f>IF(AND(ISNUMBER('자료_한국심리'!$J3766),ISNUMBER('자료_한국심리'!$K3766)),'자료_한국심리'!$J3766,"")</f>
        <v/>
      </c>
      <c r="Y3782">
        <f>IF(AND(ISNUMBER('자료_한국심리'!$M3766),ISNUMBER('자료_한국심리'!$N3766)),'자료_한국심리'!$M3766,"")</f>
        <v/>
      </c>
    </row>
    <row r="3783">
      <c r="U3783">
        <f>IF(AND(ISNUMBER('자료_한국심리'!$A3767),ISNUMBER('자료_한국심리'!$B3767)),'자료_한국심리'!$A3767,"")</f>
        <v/>
      </c>
      <c r="V3783">
        <f>IF(AND(ISNUMBER('자료_한국심리'!$D3767),ISNUMBER('자료_한국심리'!$E3767)),'자료_한국심리'!$D3767,"")</f>
        <v/>
      </c>
      <c r="W3783">
        <f>IF(AND(ISNUMBER('자료_한국심리'!$G3767),ISNUMBER('자료_한국심리'!$H3767)),'자료_한국심리'!$G3767,"")</f>
        <v/>
      </c>
      <c r="X3783">
        <f>IF(AND(ISNUMBER('자료_한국심리'!$J3767),ISNUMBER('자료_한국심리'!$K3767)),'자료_한국심리'!$J3767,"")</f>
        <v/>
      </c>
      <c r="Y3783">
        <f>IF(AND(ISNUMBER('자료_한국심리'!$M3767),ISNUMBER('자료_한국심리'!$N3767)),'자료_한국심리'!$M3767,"")</f>
        <v/>
      </c>
    </row>
    <row r="3784">
      <c r="U3784">
        <f>IF(AND(ISNUMBER('자료_한국심리'!$A3768),ISNUMBER('자료_한국심리'!$B3768)),'자료_한국심리'!$A3768,"")</f>
        <v/>
      </c>
      <c r="V3784">
        <f>IF(AND(ISNUMBER('자료_한국심리'!$D3768),ISNUMBER('자료_한국심리'!$E3768)),'자료_한국심리'!$D3768,"")</f>
        <v/>
      </c>
      <c r="W3784">
        <f>IF(AND(ISNUMBER('자료_한국심리'!$G3768),ISNUMBER('자료_한국심리'!$H3768)),'자료_한국심리'!$G3768,"")</f>
        <v/>
      </c>
      <c r="X3784">
        <f>IF(AND(ISNUMBER('자료_한국심리'!$J3768),ISNUMBER('자료_한국심리'!$K3768)),'자료_한국심리'!$J3768,"")</f>
        <v/>
      </c>
      <c r="Y3784">
        <f>IF(AND(ISNUMBER('자료_한국심리'!$M3768),ISNUMBER('자료_한국심리'!$N3768)),'자료_한국심리'!$M3768,"")</f>
        <v/>
      </c>
    </row>
    <row r="3785">
      <c r="U3785">
        <f>IF(AND(ISNUMBER('자료_한국심리'!$A3769),ISNUMBER('자료_한국심리'!$B3769)),'자료_한국심리'!$A3769,"")</f>
        <v/>
      </c>
      <c r="V3785">
        <f>IF(AND(ISNUMBER('자료_한국심리'!$D3769),ISNUMBER('자료_한국심리'!$E3769)),'자료_한국심리'!$D3769,"")</f>
        <v/>
      </c>
      <c r="W3785">
        <f>IF(AND(ISNUMBER('자료_한국심리'!$G3769),ISNUMBER('자료_한국심리'!$H3769)),'자료_한국심리'!$G3769,"")</f>
        <v/>
      </c>
      <c r="X3785">
        <f>IF(AND(ISNUMBER('자료_한국심리'!$J3769),ISNUMBER('자료_한국심리'!$K3769)),'자료_한국심리'!$J3769,"")</f>
        <v/>
      </c>
      <c r="Y3785">
        <f>IF(AND(ISNUMBER('자료_한국심리'!$M3769),ISNUMBER('자료_한국심리'!$N3769)),'자료_한국심리'!$M3769,"")</f>
        <v/>
      </c>
    </row>
    <row r="3786">
      <c r="U3786">
        <f>IF(AND(ISNUMBER('자료_한국심리'!$A3770),ISNUMBER('자료_한국심리'!$B3770)),'자료_한국심리'!$A3770,"")</f>
        <v/>
      </c>
      <c r="V3786">
        <f>IF(AND(ISNUMBER('자료_한국심리'!$D3770),ISNUMBER('자료_한국심리'!$E3770)),'자료_한국심리'!$D3770,"")</f>
        <v/>
      </c>
      <c r="W3786">
        <f>IF(AND(ISNUMBER('자료_한국심리'!$G3770),ISNUMBER('자료_한국심리'!$H3770)),'자료_한국심리'!$G3770,"")</f>
        <v/>
      </c>
      <c r="X3786">
        <f>IF(AND(ISNUMBER('자료_한국심리'!$J3770),ISNUMBER('자료_한국심리'!$K3770)),'자료_한국심리'!$J3770,"")</f>
        <v/>
      </c>
      <c r="Y3786">
        <f>IF(AND(ISNUMBER('자료_한국심리'!$M3770),ISNUMBER('자료_한국심리'!$N3770)),'자료_한국심리'!$M3770,"")</f>
        <v/>
      </c>
    </row>
    <row r="3787">
      <c r="U3787">
        <f>IF(AND(ISNUMBER('자료_한국심리'!$A3771),ISNUMBER('자료_한국심리'!$B3771)),'자료_한국심리'!$A3771,"")</f>
        <v/>
      </c>
      <c r="V3787">
        <f>IF(AND(ISNUMBER('자료_한국심리'!$D3771),ISNUMBER('자료_한국심리'!$E3771)),'자료_한국심리'!$D3771,"")</f>
        <v/>
      </c>
      <c r="W3787">
        <f>IF(AND(ISNUMBER('자료_한국심리'!$G3771),ISNUMBER('자료_한국심리'!$H3771)),'자료_한국심리'!$G3771,"")</f>
        <v/>
      </c>
      <c r="X3787">
        <f>IF(AND(ISNUMBER('자료_한국심리'!$J3771),ISNUMBER('자료_한국심리'!$K3771)),'자료_한국심리'!$J3771,"")</f>
        <v/>
      </c>
      <c r="Y3787">
        <f>IF(AND(ISNUMBER('자료_한국심리'!$M3771),ISNUMBER('자료_한국심리'!$N3771)),'자료_한국심리'!$M3771,"")</f>
        <v/>
      </c>
    </row>
    <row r="3788">
      <c r="U3788">
        <f>IF(AND(ISNUMBER('자료_한국심리'!$A3772),ISNUMBER('자료_한국심리'!$B3772)),'자료_한국심리'!$A3772,"")</f>
        <v/>
      </c>
      <c r="V3788">
        <f>IF(AND(ISNUMBER('자료_한국심리'!$D3772),ISNUMBER('자료_한국심리'!$E3772)),'자료_한국심리'!$D3772,"")</f>
        <v/>
      </c>
      <c r="W3788">
        <f>IF(AND(ISNUMBER('자료_한국심리'!$G3772),ISNUMBER('자료_한국심리'!$H3772)),'자료_한국심리'!$G3772,"")</f>
        <v/>
      </c>
      <c r="X3788">
        <f>IF(AND(ISNUMBER('자료_한국심리'!$J3772),ISNUMBER('자료_한국심리'!$K3772)),'자료_한국심리'!$J3772,"")</f>
        <v/>
      </c>
      <c r="Y3788">
        <f>IF(AND(ISNUMBER('자료_한국심리'!$M3772),ISNUMBER('자료_한국심리'!$N3772)),'자료_한국심리'!$M3772,"")</f>
        <v/>
      </c>
    </row>
    <row r="3789">
      <c r="U3789">
        <f>IF(AND(ISNUMBER('자료_한국심리'!$A3773),ISNUMBER('자료_한국심리'!$B3773)),'자료_한국심리'!$A3773,"")</f>
        <v/>
      </c>
      <c r="V3789">
        <f>IF(AND(ISNUMBER('자료_한국심리'!$D3773),ISNUMBER('자료_한국심리'!$E3773)),'자료_한국심리'!$D3773,"")</f>
        <v/>
      </c>
      <c r="W3789">
        <f>IF(AND(ISNUMBER('자료_한국심리'!$G3773),ISNUMBER('자료_한국심리'!$H3773)),'자료_한국심리'!$G3773,"")</f>
        <v/>
      </c>
      <c r="X3789">
        <f>IF(AND(ISNUMBER('자료_한국심리'!$J3773),ISNUMBER('자료_한국심리'!$K3773)),'자료_한국심리'!$J3773,"")</f>
        <v/>
      </c>
      <c r="Y3789">
        <f>IF(AND(ISNUMBER('자료_한국심리'!$M3773),ISNUMBER('자료_한국심리'!$N3773)),'자료_한국심리'!$M3773,"")</f>
        <v/>
      </c>
    </row>
    <row r="3790">
      <c r="U3790">
        <f>IF(AND(ISNUMBER('자료_한국심리'!$A3774),ISNUMBER('자료_한국심리'!$B3774)),'자료_한국심리'!$A3774,"")</f>
        <v/>
      </c>
      <c r="V3790">
        <f>IF(AND(ISNUMBER('자료_한국심리'!$D3774),ISNUMBER('자료_한국심리'!$E3774)),'자료_한국심리'!$D3774,"")</f>
        <v/>
      </c>
      <c r="W3790">
        <f>IF(AND(ISNUMBER('자료_한국심리'!$G3774),ISNUMBER('자료_한국심리'!$H3774)),'자료_한국심리'!$G3774,"")</f>
        <v/>
      </c>
      <c r="X3790">
        <f>IF(AND(ISNUMBER('자료_한국심리'!$J3774),ISNUMBER('자료_한국심리'!$K3774)),'자료_한국심리'!$J3774,"")</f>
        <v/>
      </c>
      <c r="Y3790">
        <f>IF(AND(ISNUMBER('자료_한국심리'!$M3774),ISNUMBER('자료_한국심리'!$N3774)),'자료_한국심리'!$M3774,"")</f>
        <v/>
      </c>
    </row>
    <row r="3791">
      <c r="U3791">
        <f>IF(AND(ISNUMBER('자료_한국심리'!$A3775),ISNUMBER('자료_한국심리'!$B3775)),'자료_한국심리'!$A3775,"")</f>
        <v/>
      </c>
      <c r="V3791">
        <f>IF(AND(ISNUMBER('자료_한국심리'!$D3775),ISNUMBER('자료_한국심리'!$E3775)),'자료_한국심리'!$D3775,"")</f>
        <v/>
      </c>
      <c r="W3791">
        <f>IF(AND(ISNUMBER('자료_한국심리'!$G3775),ISNUMBER('자료_한국심리'!$H3775)),'자료_한국심리'!$G3775,"")</f>
        <v/>
      </c>
      <c r="X3791">
        <f>IF(AND(ISNUMBER('자료_한국심리'!$J3775),ISNUMBER('자료_한국심리'!$K3775)),'자료_한국심리'!$J3775,"")</f>
        <v/>
      </c>
      <c r="Y3791">
        <f>IF(AND(ISNUMBER('자료_한국심리'!$M3775),ISNUMBER('자료_한국심리'!$N3775)),'자료_한국심리'!$M3775,"")</f>
        <v/>
      </c>
    </row>
    <row r="3792">
      <c r="U3792">
        <f>IF(AND(ISNUMBER('자료_한국심리'!$A3776),ISNUMBER('자료_한국심리'!$B3776)),'자료_한국심리'!$A3776,"")</f>
        <v/>
      </c>
      <c r="V3792">
        <f>IF(AND(ISNUMBER('자료_한국심리'!$D3776),ISNUMBER('자료_한국심리'!$E3776)),'자료_한국심리'!$D3776,"")</f>
        <v/>
      </c>
      <c r="W3792">
        <f>IF(AND(ISNUMBER('자료_한국심리'!$G3776),ISNUMBER('자료_한국심리'!$H3776)),'자료_한국심리'!$G3776,"")</f>
        <v/>
      </c>
      <c r="X3792">
        <f>IF(AND(ISNUMBER('자료_한국심리'!$J3776),ISNUMBER('자료_한국심리'!$K3776)),'자료_한국심리'!$J3776,"")</f>
        <v/>
      </c>
      <c r="Y3792">
        <f>IF(AND(ISNUMBER('자료_한국심리'!$M3776),ISNUMBER('자료_한국심리'!$N3776)),'자료_한국심리'!$M3776,"")</f>
        <v/>
      </c>
    </row>
    <row r="3793">
      <c r="U3793">
        <f>IF(AND(ISNUMBER('자료_한국심리'!$A3777),ISNUMBER('자료_한국심리'!$B3777)),'자료_한국심리'!$A3777,"")</f>
        <v/>
      </c>
      <c r="V3793">
        <f>IF(AND(ISNUMBER('자료_한국심리'!$D3777),ISNUMBER('자료_한국심리'!$E3777)),'자료_한국심리'!$D3777,"")</f>
        <v/>
      </c>
      <c r="W3793">
        <f>IF(AND(ISNUMBER('자료_한국심리'!$G3777),ISNUMBER('자료_한국심리'!$H3777)),'자료_한국심리'!$G3777,"")</f>
        <v/>
      </c>
      <c r="X3793">
        <f>IF(AND(ISNUMBER('자료_한국심리'!$J3777),ISNUMBER('자료_한국심리'!$K3777)),'자료_한국심리'!$J3777,"")</f>
        <v/>
      </c>
      <c r="Y3793">
        <f>IF(AND(ISNUMBER('자료_한국심리'!$M3777),ISNUMBER('자료_한국심리'!$N3777)),'자료_한국심리'!$M3777,"")</f>
        <v/>
      </c>
    </row>
    <row r="3794">
      <c r="U3794">
        <f>IF(AND(ISNUMBER('자료_한국심리'!$A3778),ISNUMBER('자료_한국심리'!$B3778)),'자료_한국심리'!$A3778,"")</f>
        <v/>
      </c>
      <c r="V3794">
        <f>IF(AND(ISNUMBER('자료_한국심리'!$D3778),ISNUMBER('자료_한국심리'!$E3778)),'자료_한국심리'!$D3778,"")</f>
        <v/>
      </c>
      <c r="W3794">
        <f>IF(AND(ISNUMBER('자료_한국심리'!$G3778),ISNUMBER('자료_한국심리'!$H3778)),'자료_한국심리'!$G3778,"")</f>
        <v/>
      </c>
      <c r="X3794">
        <f>IF(AND(ISNUMBER('자료_한국심리'!$J3778),ISNUMBER('자료_한국심리'!$K3778)),'자료_한국심리'!$J3778,"")</f>
        <v/>
      </c>
      <c r="Y3794">
        <f>IF(AND(ISNUMBER('자료_한국심리'!$M3778),ISNUMBER('자료_한국심리'!$N3778)),'자료_한국심리'!$M3778,"")</f>
        <v/>
      </c>
    </row>
    <row r="3795">
      <c r="U3795">
        <f>IF(AND(ISNUMBER('자료_한국심리'!$A3779),ISNUMBER('자료_한국심리'!$B3779)),'자료_한국심리'!$A3779,"")</f>
        <v/>
      </c>
      <c r="V3795">
        <f>IF(AND(ISNUMBER('자료_한국심리'!$D3779),ISNUMBER('자료_한국심리'!$E3779)),'자료_한국심리'!$D3779,"")</f>
        <v/>
      </c>
      <c r="W3795">
        <f>IF(AND(ISNUMBER('자료_한국심리'!$G3779),ISNUMBER('자료_한국심리'!$H3779)),'자료_한국심리'!$G3779,"")</f>
        <v/>
      </c>
      <c r="X3795">
        <f>IF(AND(ISNUMBER('자료_한국심리'!$J3779),ISNUMBER('자료_한국심리'!$K3779)),'자료_한국심리'!$J3779,"")</f>
        <v/>
      </c>
      <c r="Y3795">
        <f>IF(AND(ISNUMBER('자료_한국심리'!$M3779),ISNUMBER('자료_한국심리'!$N3779)),'자료_한국심리'!$M3779,"")</f>
        <v/>
      </c>
    </row>
    <row r="3796">
      <c r="U3796">
        <f>IF(AND(ISNUMBER('자료_한국심리'!$A3780),ISNUMBER('자료_한국심리'!$B3780)),'자료_한국심리'!$A3780,"")</f>
        <v/>
      </c>
      <c r="V3796">
        <f>IF(AND(ISNUMBER('자료_한국심리'!$D3780),ISNUMBER('자료_한국심리'!$E3780)),'자료_한국심리'!$D3780,"")</f>
        <v/>
      </c>
      <c r="W3796">
        <f>IF(AND(ISNUMBER('자료_한국심리'!$G3780),ISNUMBER('자료_한국심리'!$H3780)),'자료_한국심리'!$G3780,"")</f>
        <v/>
      </c>
      <c r="X3796">
        <f>IF(AND(ISNUMBER('자료_한국심리'!$J3780),ISNUMBER('자료_한국심리'!$K3780)),'자료_한국심리'!$J3780,"")</f>
        <v/>
      </c>
      <c r="Y3796">
        <f>IF(AND(ISNUMBER('자료_한국심리'!$M3780),ISNUMBER('자료_한국심리'!$N3780)),'자료_한국심리'!$M3780,"")</f>
        <v/>
      </c>
    </row>
    <row r="3797">
      <c r="U3797">
        <f>IF(AND(ISNUMBER('자료_한국심리'!$A3781),ISNUMBER('자료_한국심리'!$B3781)),'자료_한국심리'!$A3781,"")</f>
        <v/>
      </c>
      <c r="V3797">
        <f>IF(AND(ISNUMBER('자료_한국심리'!$D3781),ISNUMBER('자료_한국심리'!$E3781)),'자료_한국심리'!$D3781,"")</f>
        <v/>
      </c>
      <c r="W3797">
        <f>IF(AND(ISNUMBER('자료_한국심리'!$G3781),ISNUMBER('자료_한국심리'!$H3781)),'자료_한국심리'!$G3781,"")</f>
        <v/>
      </c>
      <c r="X3797">
        <f>IF(AND(ISNUMBER('자료_한국심리'!$J3781),ISNUMBER('자료_한국심리'!$K3781)),'자료_한국심리'!$J3781,"")</f>
        <v/>
      </c>
      <c r="Y3797">
        <f>IF(AND(ISNUMBER('자료_한국심리'!$M3781),ISNUMBER('자료_한국심리'!$N3781)),'자료_한국심리'!$M3781,"")</f>
        <v/>
      </c>
    </row>
    <row r="3798">
      <c r="U3798">
        <f>IF(AND(ISNUMBER('자료_한국심리'!$A3782),ISNUMBER('자료_한국심리'!$B3782)),'자료_한국심리'!$A3782,"")</f>
        <v/>
      </c>
      <c r="V3798">
        <f>IF(AND(ISNUMBER('자료_한국심리'!$D3782),ISNUMBER('자료_한국심리'!$E3782)),'자료_한국심리'!$D3782,"")</f>
        <v/>
      </c>
      <c r="W3798">
        <f>IF(AND(ISNUMBER('자료_한국심리'!$G3782),ISNUMBER('자료_한국심리'!$H3782)),'자료_한국심리'!$G3782,"")</f>
        <v/>
      </c>
      <c r="X3798">
        <f>IF(AND(ISNUMBER('자료_한국심리'!$J3782),ISNUMBER('자료_한국심리'!$K3782)),'자료_한국심리'!$J3782,"")</f>
        <v/>
      </c>
      <c r="Y3798">
        <f>IF(AND(ISNUMBER('자료_한국심리'!$M3782),ISNUMBER('자료_한국심리'!$N3782)),'자료_한국심리'!$M3782,"")</f>
        <v/>
      </c>
    </row>
    <row r="3799">
      <c r="U3799">
        <f>IF(AND(ISNUMBER('자료_한국심리'!$A3783),ISNUMBER('자료_한국심리'!$B3783)),'자료_한국심리'!$A3783,"")</f>
        <v/>
      </c>
      <c r="V3799">
        <f>IF(AND(ISNUMBER('자료_한국심리'!$D3783),ISNUMBER('자료_한국심리'!$E3783)),'자료_한국심리'!$D3783,"")</f>
        <v/>
      </c>
      <c r="W3799">
        <f>IF(AND(ISNUMBER('자료_한국심리'!$G3783),ISNUMBER('자료_한국심리'!$H3783)),'자료_한국심리'!$G3783,"")</f>
        <v/>
      </c>
      <c r="X3799">
        <f>IF(AND(ISNUMBER('자료_한국심리'!$J3783),ISNUMBER('자료_한국심리'!$K3783)),'자료_한국심리'!$J3783,"")</f>
        <v/>
      </c>
      <c r="Y3799">
        <f>IF(AND(ISNUMBER('자료_한국심리'!$M3783),ISNUMBER('자료_한국심리'!$N3783)),'자료_한국심리'!$M3783,"")</f>
        <v/>
      </c>
    </row>
    <row r="3800">
      <c r="U3800">
        <f>IF(AND(ISNUMBER('자료_한국심리'!$A3784),ISNUMBER('자료_한국심리'!$B3784)),'자료_한국심리'!$A3784,"")</f>
        <v/>
      </c>
      <c r="V3800">
        <f>IF(AND(ISNUMBER('자료_한국심리'!$D3784),ISNUMBER('자료_한국심리'!$E3784)),'자료_한국심리'!$D3784,"")</f>
        <v/>
      </c>
      <c r="W3800">
        <f>IF(AND(ISNUMBER('자료_한국심리'!$G3784),ISNUMBER('자료_한국심리'!$H3784)),'자료_한국심리'!$G3784,"")</f>
        <v/>
      </c>
      <c r="X3800">
        <f>IF(AND(ISNUMBER('자료_한국심리'!$J3784),ISNUMBER('자료_한국심리'!$K3784)),'자료_한국심리'!$J3784,"")</f>
        <v/>
      </c>
      <c r="Y3800">
        <f>IF(AND(ISNUMBER('자료_한국심리'!$M3784),ISNUMBER('자료_한국심리'!$N3784)),'자료_한국심리'!$M3784,"")</f>
        <v/>
      </c>
    </row>
    <row r="3801">
      <c r="U3801">
        <f>IF(AND(ISNUMBER('자료_한국심리'!$A3785),ISNUMBER('자료_한국심리'!$B3785)),'자료_한국심리'!$A3785,"")</f>
        <v/>
      </c>
      <c r="V3801">
        <f>IF(AND(ISNUMBER('자료_한국심리'!$D3785),ISNUMBER('자료_한국심리'!$E3785)),'자료_한국심리'!$D3785,"")</f>
        <v/>
      </c>
      <c r="W3801">
        <f>IF(AND(ISNUMBER('자료_한국심리'!$G3785),ISNUMBER('자료_한국심리'!$H3785)),'자료_한국심리'!$G3785,"")</f>
        <v/>
      </c>
      <c r="X3801">
        <f>IF(AND(ISNUMBER('자료_한국심리'!$J3785),ISNUMBER('자료_한국심리'!$K3785)),'자료_한국심리'!$J3785,"")</f>
        <v/>
      </c>
      <c r="Y3801">
        <f>IF(AND(ISNUMBER('자료_한국심리'!$M3785),ISNUMBER('자료_한국심리'!$N3785)),'자료_한국심리'!$M3785,"")</f>
        <v/>
      </c>
    </row>
    <row r="3802">
      <c r="U3802">
        <f>IF(AND(ISNUMBER('자료_한국심리'!$A3786),ISNUMBER('자료_한국심리'!$B3786)),'자료_한국심리'!$A3786,"")</f>
        <v/>
      </c>
      <c r="V3802">
        <f>IF(AND(ISNUMBER('자료_한국심리'!$D3786),ISNUMBER('자료_한국심리'!$E3786)),'자료_한국심리'!$D3786,"")</f>
        <v/>
      </c>
      <c r="W3802">
        <f>IF(AND(ISNUMBER('자료_한국심리'!$G3786),ISNUMBER('자료_한국심리'!$H3786)),'자료_한국심리'!$G3786,"")</f>
        <v/>
      </c>
      <c r="X3802">
        <f>IF(AND(ISNUMBER('자료_한국심리'!$J3786),ISNUMBER('자료_한국심리'!$K3786)),'자료_한국심리'!$J3786,"")</f>
        <v/>
      </c>
      <c r="Y3802">
        <f>IF(AND(ISNUMBER('자료_한국심리'!$M3786),ISNUMBER('자료_한국심리'!$N3786)),'자료_한국심리'!$M3786,"")</f>
        <v/>
      </c>
    </row>
    <row r="3803">
      <c r="U3803">
        <f>IF(AND(ISNUMBER('자료_한국심리'!$A3787),ISNUMBER('자료_한국심리'!$B3787)),'자료_한국심리'!$A3787,"")</f>
        <v/>
      </c>
      <c r="V3803">
        <f>IF(AND(ISNUMBER('자료_한국심리'!$D3787),ISNUMBER('자료_한국심리'!$E3787)),'자료_한국심리'!$D3787,"")</f>
        <v/>
      </c>
      <c r="W3803">
        <f>IF(AND(ISNUMBER('자료_한국심리'!$G3787),ISNUMBER('자료_한국심리'!$H3787)),'자료_한국심리'!$G3787,"")</f>
        <v/>
      </c>
      <c r="X3803">
        <f>IF(AND(ISNUMBER('자료_한국심리'!$J3787),ISNUMBER('자료_한국심리'!$K3787)),'자료_한국심리'!$J3787,"")</f>
        <v/>
      </c>
      <c r="Y3803">
        <f>IF(AND(ISNUMBER('자료_한국심리'!$M3787),ISNUMBER('자료_한국심리'!$N3787)),'자료_한국심리'!$M3787,"")</f>
        <v/>
      </c>
    </row>
    <row r="3804">
      <c r="U3804">
        <f>IF(AND(ISNUMBER('자료_한국심리'!$A3788),ISNUMBER('자료_한국심리'!$B3788)),'자료_한국심리'!$A3788,"")</f>
        <v/>
      </c>
      <c r="V3804">
        <f>IF(AND(ISNUMBER('자료_한국심리'!$D3788),ISNUMBER('자료_한국심리'!$E3788)),'자료_한국심리'!$D3788,"")</f>
        <v/>
      </c>
      <c r="W3804">
        <f>IF(AND(ISNUMBER('자료_한국심리'!$G3788),ISNUMBER('자료_한국심리'!$H3788)),'자료_한국심리'!$G3788,"")</f>
        <v/>
      </c>
      <c r="X3804">
        <f>IF(AND(ISNUMBER('자료_한국심리'!$J3788),ISNUMBER('자료_한국심리'!$K3788)),'자료_한국심리'!$J3788,"")</f>
        <v/>
      </c>
      <c r="Y3804">
        <f>IF(AND(ISNUMBER('자료_한국심리'!$M3788),ISNUMBER('자료_한국심리'!$N3788)),'자료_한국심리'!$M3788,"")</f>
        <v/>
      </c>
    </row>
    <row r="3805">
      <c r="U3805">
        <f>IF(AND(ISNUMBER('자료_한국심리'!$A3789),ISNUMBER('자료_한국심리'!$B3789)),'자료_한국심리'!$A3789,"")</f>
        <v/>
      </c>
      <c r="V3805">
        <f>IF(AND(ISNUMBER('자료_한국심리'!$D3789),ISNUMBER('자료_한국심리'!$E3789)),'자료_한국심리'!$D3789,"")</f>
        <v/>
      </c>
      <c r="W3805">
        <f>IF(AND(ISNUMBER('자료_한국심리'!$G3789),ISNUMBER('자료_한국심리'!$H3789)),'자료_한국심리'!$G3789,"")</f>
        <v/>
      </c>
      <c r="X3805">
        <f>IF(AND(ISNUMBER('자료_한국심리'!$J3789),ISNUMBER('자료_한국심리'!$K3789)),'자료_한국심리'!$J3789,"")</f>
        <v/>
      </c>
      <c r="Y3805">
        <f>IF(AND(ISNUMBER('자료_한국심리'!$M3789),ISNUMBER('자료_한국심리'!$N3789)),'자료_한국심리'!$M3789,"")</f>
        <v/>
      </c>
    </row>
    <row r="3806">
      <c r="U3806">
        <f>IF(AND(ISNUMBER('자료_한국심리'!$A3790),ISNUMBER('자료_한국심리'!$B3790)),'자료_한국심리'!$A3790,"")</f>
        <v/>
      </c>
      <c r="V3806">
        <f>IF(AND(ISNUMBER('자료_한국심리'!$D3790),ISNUMBER('자료_한국심리'!$E3790)),'자료_한국심리'!$D3790,"")</f>
        <v/>
      </c>
      <c r="W3806">
        <f>IF(AND(ISNUMBER('자료_한국심리'!$G3790),ISNUMBER('자료_한국심리'!$H3790)),'자료_한국심리'!$G3790,"")</f>
        <v/>
      </c>
      <c r="X3806">
        <f>IF(AND(ISNUMBER('자료_한국심리'!$J3790),ISNUMBER('자료_한국심리'!$K3790)),'자료_한국심리'!$J3790,"")</f>
        <v/>
      </c>
      <c r="Y3806">
        <f>IF(AND(ISNUMBER('자료_한국심리'!$M3790),ISNUMBER('자료_한국심리'!$N3790)),'자료_한국심리'!$M3790,"")</f>
        <v/>
      </c>
    </row>
    <row r="3807">
      <c r="U3807">
        <f>IF(AND(ISNUMBER('자료_한국심리'!$A3791),ISNUMBER('자료_한국심리'!$B3791)),'자료_한국심리'!$A3791,"")</f>
        <v/>
      </c>
      <c r="V3807">
        <f>IF(AND(ISNUMBER('자료_한국심리'!$D3791),ISNUMBER('자료_한국심리'!$E3791)),'자료_한국심리'!$D3791,"")</f>
        <v/>
      </c>
      <c r="W3807">
        <f>IF(AND(ISNUMBER('자료_한국심리'!$G3791),ISNUMBER('자료_한국심리'!$H3791)),'자료_한국심리'!$G3791,"")</f>
        <v/>
      </c>
      <c r="X3807">
        <f>IF(AND(ISNUMBER('자료_한국심리'!$J3791),ISNUMBER('자료_한국심리'!$K3791)),'자료_한국심리'!$J3791,"")</f>
        <v/>
      </c>
      <c r="Y3807">
        <f>IF(AND(ISNUMBER('자료_한국심리'!$M3791),ISNUMBER('자료_한국심리'!$N3791)),'자료_한국심리'!$M3791,"")</f>
        <v/>
      </c>
    </row>
    <row r="3808">
      <c r="U3808">
        <f>IF(AND(ISNUMBER('자료_한국심리'!$A3792),ISNUMBER('자료_한국심리'!$B3792)),'자료_한국심리'!$A3792,"")</f>
        <v/>
      </c>
      <c r="V3808">
        <f>IF(AND(ISNUMBER('자료_한국심리'!$D3792),ISNUMBER('자료_한국심리'!$E3792)),'자료_한국심리'!$D3792,"")</f>
        <v/>
      </c>
      <c r="W3808">
        <f>IF(AND(ISNUMBER('자료_한국심리'!$G3792),ISNUMBER('자료_한국심리'!$H3792)),'자료_한국심리'!$G3792,"")</f>
        <v/>
      </c>
      <c r="X3808">
        <f>IF(AND(ISNUMBER('자료_한국심리'!$J3792),ISNUMBER('자료_한국심리'!$K3792)),'자료_한국심리'!$J3792,"")</f>
        <v/>
      </c>
      <c r="Y3808">
        <f>IF(AND(ISNUMBER('자료_한국심리'!$M3792),ISNUMBER('자료_한국심리'!$N3792)),'자료_한국심리'!$M3792,"")</f>
        <v/>
      </c>
    </row>
    <row r="3809">
      <c r="U3809">
        <f>IF(AND(ISNUMBER('자료_한국심리'!$A3793),ISNUMBER('자료_한국심리'!$B3793)),'자료_한국심리'!$A3793,"")</f>
        <v/>
      </c>
      <c r="V3809">
        <f>IF(AND(ISNUMBER('자료_한국심리'!$D3793),ISNUMBER('자료_한국심리'!$E3793)),'자료_한국심리'!$D3793,"")</f>
        <v/>
      </c>
      <c r="W3809">
        <f>IF(AND(ISNUMBER('자료_한국심리'!$G3793),ISNUMBER('자료_한국심리'!$H3793)),'자료_한국심리'!$G3793,"")</f>
        <v/>
      </c>
      <c r="X3809">
        <f>IF(AND(ISNUMBER('자료_한국심리'!$J3793),ISNUMBER('자료_한국심리'!$K3793)),'자료_한국심리'!$J3793,"")</f>
        <v/>
      </c>
      <c r="Y3809">
        <f>IF(AND(ISNUMBER('자료_한국심리'!$M3793),ISNUMBER('자료_한국심리'!$N3793)),'자료_한국심리'!$M3793,"")</f>
        <v/>
      </c>
    </row>
    <row r="3810">
      <c r="U3810">
        <f>IF(AND(ISNUMBER('자료_한국심리'!$A3794),ISNUMBER('자료_한국심리'!$B3794)),'자료_한국심리'!$A3794,"")</f>
        <v/>
      </c>
      <c r="V3810">
        <f>IF(AND(ISNUMBER('자료_한국심리'!$D3794),ISNUMBER('자료_한국심리'!$E3794)),'자료_한국심리'!$D3794,"")</f>
        <v/>
      </c>
      <c r="W3810">
        <f>IF(AND(ISNUMBER('자료_한국심리'!$G3794),ISNUMBER('자료_한국심리'!$H3794)),'자료_한국심리'!$G3794,"")</f>
        <v/>
      </c>
      <c r="X3810">
        <f>IF(AND(ISNUMBER('자료_한국심리'!$J3794),ISNUMBER('자료_한국심리'!$K3794)),'자료_한국심리'!$J3794,"")</f>
        <v/>
      </c>
      <c r="Y3810">
        <f>IF(AND(ISNUMBER('자료_한국심리'!$M3794),ISNUMBER('자료_한국심리'!$N3794)),'자료_한국심리'!$M3794,"")</f>
        <v/>
      </c>
    </row>
    <row r="3811">
      <c r="U3811">
        <f>IF(AND(ISNUMBER('자료_한국심리'!$A3795),ISNUMBER('자료_한국심리'!$B3795)),'자료_한국심리'!$A3795,"")</f>
        <v/>
      </c>
      <c r="V3811">
        <f>IF(AND(ISNUMBER('자료_한국심리'!$D3795),ISNUMBER('자료_한국심리'!$E3795)),'자료_한국심리'!$D3795,"")</f>
        <v/>
      </c>
      <c r="W3811">
        <f>IF(AND(ISNUMBER('자료_한국심리'!$G3795),ISNUMBER('자료_한국심리'!$H3795)),'자료_한국심리'!$G3795,"")</f>
        <v/>
      </c>
      <c r="X3811">
        <f>IF(AND(ISNUMBER('자료_한국심리'!$J3795),ISNUMBER('자료_한국심리'!$K3795)),'자료_한국심리'!$J3795,"")</f>
        <v/>
      </c>
      <c r="Y3811">
        <f>IF(AND(ISNUMBER('자료_한국심리'!$M3795),ISNUMBER('자료_한국심리'!$N3795)),'자료_한국심리'!$M3795,"")</f>
        <v/>
      </c>
    </row>
    <row r="3812">
      <c r="U3812">
        <f>IF(AND(ISNUMBER('자료_한국심리'!$A3796),ISNUMBER('자료_한국심리'!$B3796)),'자료_한국심리'!$A3796,"")</f>
        <v/>
      </c>
      <c r="V3812">
        <f>IF(AND(ISNUMBER('자료_한국심리'!$D3796),ISNUMBER('자료_한국심리'!$E3796)),'자료_한국심리'!$D3796,"")</f>
        <v/>
      </c>
      <c r="W3812">
        <f>IF(AND(ISNUMBER('자료_한국심리'!$G3796),ISNUMBER('자료_한국심리'!$H3796)),'자료_한국심리'!$G3796,"")</f>
        <v/>
      </c>
      <c r="X3812">
        <f>IF(AND(ISNUMBER('자료_한국심리'!$J3796),ISNUMBER('자료_한국심리'!$K3796)),'자료_한국심리'!$J3796,"")</f>
        <v/>
      </c>
      <c r="Y3812">
        <f>IF(AND(ISNUMBER('자료_한국심리'!$M3796),ISNUMBER('자료_한국심리'!$N3796)),'자료_한국심리'!$M3796,"")</f>
        <v/>
      </c>
    </row>
    <row r="3813">
      <c r="U3813">
        <f>IF(AND(ISNUMBER('자료_한국심리'!$A3797),ISNUMBER('자료_한국심리'!$B3797)),'자료_한국심리'!$A3797,"")</f>
        <v/>
      </c>
      <c r="V3813">
        <f>IF(AND(ISNUMBER('자료_한국심리'!$D3797),ISNUMBER('자료_한국심리'!$E3797)),'자료_한국심리'!$D3797,"")</f>
        <v/>
      </c>
      <c r="W3813">
        <f>IF(AND(ISNUMBER('자료_한국심리'!$G3797),ISNUMBER('자료_한국심리'!$H3797)),'자료_한국심리'!$G3797,"")</f>
        <v/>
      </c>
      <c r="X3813">
        <f>IF(AND(ISNUMBER('자료_한국심리'!$J3797),ISNUMBER('자료_한국심리'!$K3797)),'자료_한국심리'!$J3797,"")</f>
        <v/>
      </c>
      <c r="Y3813">
        <f>IF(AND(ISNUMBER('자료_한국심리'!$M3797),ISNUMBER('자료_한국심리'!$N3797)),'자료_한국심리'!$M3797,"")</f>
        <v/>
      </c>
    </row>
    <row r="3814">
      <c r="U3814">
        <f>IF(AND(ISNUMBER('자료_한국심리'!$A3798),ISNUMBER('자료_한국심리'!$B3798)),'자료_한국심리'!$A3798,"")</f>
        <v/>
      </c>
      <c r="V3814">
        <f>IF(AND(ISNUMBER('자료_한국심리'!$D3798),ISNUMBER('자료_한국심리'!$E3798)),'자료_한국심리'!$D3798,"")</f>
        <v/>
      </c>
      <c r="W3814">
        <f>IF(AND(ISNUMBER('자료_한국심리'!$G3798),ISNUMBER('자료_한국심리'!$H3798)),'자료_한국심리'!$G3798,"")</f>
        <v/>
      </c>
      <c r="X3814">
        <f>IF(AND(ISNUMBER('자료_한국심리'!$J3798),ISNUMBER('자료_한국심리'!$K3798)),'자료_한국심리'!$J3798,"")</f>
        <v/>
      </c>
      <c r="Y3814">
        <f>IF(AND(ISNUMBER('자료_한국심리'!$M3798),ISNUMBER('자료_한국심리'!$N3798)),'자료_한국심리'!$M3798,"")</f>
        <v/>
      </c>
    </row>
    <row r="3815">
      <c r="U3815">
        <f>IF(AND(ISNUMBER('자료_한국심리'!$A3799),ISNUMBER('자료_한국심리'!$B3799)),'자료_한국심리'!$A3799,"")</f>
        <v/>
      </c>
      <c r="V3815">
        <f>IF(AND(ISNUMBER('자료_한국심리'!$D3799),ISNUMBER('자료_한국심리'!$E3799)),'자료_한국심리'!$D3799,"")</f>
        <v/>
      </c>
      <c r="W3815">
        <f>IF(AND(ISNUMBER('자료_한국심리'!$G3799),ISNUMBER('자료_한국심리'!$H3799)),'자료_한국심리'!$G3799,"")</f>
        <v/>
      </c>
      <c r="X3815">
        <f>IF(AND(ISNUMBER('자료_한국심리'!$J3799),ISNUMBER('자료_한국심리'!$K3799)),'자료_한국심리'!$J3799,"")</f>
        <v/>
      </c>
      <c r="Y3815">
        <f>IF(AND(ISNUMBER('자료_한국심리'!$M3799),ISNUMBER('자료_한국심리'!$N3799)),'자료_한국심리'!$M3799,"")</f>
        <v/>
      </c>
    </row>
    <row r="3816">
      <c r="U3816">
        <f>IF(AND(ISNUMBER('자료_한국심리'!$A3800),ISNUMBER('자료_한국심리'!$B3800)),'자료_한국심리'!$A3800,"")</f>
        <v/>
      </c>
      <c r="V3816">
        <f>IF(AND(ISNUMBER('자료_한국심리'!$D3800),ISNUMBER('자료_한국심리'!$E3800)),'자료_한국심리'!$D3800,"")</f>
        <v/>
      </c>
      <c r="W3816">
        <f>IF(AND(ISNUMBER('자료_한국심리'!$G3800),ISNUMBER('자료_한국심리'!$H3800)),'자료_한국심리'!$G3800,"")</f>
        <v/>
      </c>
      <c r="X3816">
        <f>IF(AND(ISNUMBER('자료_한국심리'!$J3800),ISNUMBER('자료_한국심리'!$K3800)),'자료_한국심리'!$J3800,"")</f>
        <v/>
      </c>
      <c r="Y3816">
        <f>IF(AND(ISNUMBER('자료_한국심리'!$M3800),ISNUMBER('자료_한국심리'!$N3800)),'자료_한국심리'!$M3800,"")</f>
        <v/>
      </c>
    </row>
    <row r="3817">
      <c r="U3817">
        <f>IF(AND(ISNUMBER('자료_한국심리'!$A3801),ISNUMBER('자료_한국심리'!$B3801)),'자료_한국심리'!$A3801,"")</f>
        <v/>
      </c>
      <c r="V3817">
        <f>IF(AND(ISNUMBER('자료_한국심리'!$D3801),ISNUMBER('자료_한국심리'!$E3801)),'자료_한국심리'!$D3801,"")</f>
        <v/>
      </c>
      <c r="W3817">
        <f>IF(AND(ISNUMBER('자료_한국심리'!$G3801),ISNUMBER('자료_한국심리'!$H3801)),'자료_한국심리'!$G3801,"")</f>
        <v/>
      </c>
      <c r="X3817">
        <f>IF(AND(ISNUMBER('자료_한국심리'!$J3801),ISNUMBER('자료_한국심리'!$K3801)),'자료_한국심리'!$J3801,"")</f>
        <v/>
      </c>
      <c r="Y3817">
        <f>IF(AND(ISNUMBER('자료_한국심리'!$M3801),ISNUMBER('자료_한국심리'!$N3801)),'자료_한국심리'!$M3801,"")</f>
        <v/>
      </c>
    </row>
    <row r="3818">
      <c r="U3818">
        <f>IF(AND(ISNUMBER('자료_한국심리'!$A3802),ISNUMBER('자료_한국심리'!$B3802)),'자료_한국심리'!$A3802,"")</f>
        <v/>
      </c>
      <c r="V3818">
        <f>IF(AND(ISNUMBER('자료_한국심리'!$D3802),ISNUMBER('자료_한국심리'!$E3802)),'자료_한국심리'!$D3802,"")</f>
        <v/>
      </c>
      <c r="W3818">
        <f>IF(AND(ISNUMBER('자료_한국심리'!$G3802),ISNUMBER('자료_한국심리'!$H3802)),'자료_한국심리'!$G3802,"")</f>
        <v/>
      </c>
      <c r="X3818">
        <f>IF(AND(ISNUMBER('자료_한국심리'!$J3802),ISNUMBER('자료_한국심리'!$K3802)),'자료_한국심리'!$J3802,"")</f>
        <v/>
      </c>
      <c r="Y3818">
        <f>IF(AND(ISNUMBER('자료_한국심리'!$M3802),ISNUMBER('자료_한국심리'!$N3802)),'자료_한국심리'!$M3802,"")</f>
        <v/>
      </c>
    </row>
    <row r="3819">
      <c r="U3819">
        <f>IF(AND(ISNUMBER('자료_한국심리'!$A3803),ISNUMBER('자료_한국심리'!$B3803)),'자료_한국심리'!$A3803,"")</f>
        <v/>
      </c>
      <c r="V3819">
        <f>IF(AND(ISNUMBER('자료_한국심리'!$D3803),ISNUMBER('자료_한국심리'!$E3803)),'자료_한국심리'!$D3803,"")</f>
        <v/>
      </c>
      <c r="W3819">
        <f>IF(AND(ISNUMBER('자료_한국심리'!$G3803),ISNUMBER('자료_한국심리'!$H3803)),'자료_한국심리'!$G3803,"")</f>
        <v/>
      </c>
      <c r="X3819">
        <f>IF(AND(ISNUMBER('자료_한국심리'!$J3803),ISNUMBER('자료_한국심리'!$K3803)),'자료_한국심리'!$J3803,"")</f>
        <v/>
      </c>
      <c r="Y3819">
        <f>IF(AND(ISNUMBER('자료_한국심리'!$M3803),ISNUMBER('자료_한국심리'!$N3803)),'자료_한국심리'!$M3803,"")</f>
        <v/>
      </c>
    </row>
    <row r="3820">
      <c r="U3820">
        <f>IF(AND(ISNUMBER('자료_한국심리'!$A3804),ISNUMBER('자료_한국심리'!$B3804)),'자료_한국심리'!$A3804,"")</f>
        <v/>
      </c>
      <c r="V3820">
        <f>IF(AND(ISNUMBER('자료_한국심리'!$D3804),ISNUMBER('자료_한국심리'!$E3804)),'자료_한국심리'!$D3804,"")</f>
        <v/>
      </c>
      <c r="W3820">
        <f>IF(AND(ISNUMBER('자료_한국심리'!$G3804),ISNUMBER('자료_한국심리'!$H3804)),'자료_한국심리'!$G3804,"")</f>
        <v/>
      </c>
      <c r="X3820">
        <f>IF(AND(ISNUMBER('자료_한국심리'!$J3804),ISNUMBER('자료_한국심리'!$K3804)),'자료_한국심리'!$J3804,"")</f>
        <v/>
      </c>
      <c r="Y3820">
        <f>IF(AND(ISNUMBER('자료_한국심리'!$M3804),ISNUMBER('자료_한국심리'!$N3804)),'자료_한국심리'!$M3804,"")</f>
        <v/>
      </c>
    </row>
    <row r="3821">
      <c r="U3821">
        <f>IF(AND(ISNUMBER('자료_한국심리'!$A3805),ISNUMBER('자료_한국심리'!$B3805)),'자료_한국심리'!$A3805,"")</f>
        <v/>
      </c>
      <c r="V3821">
        <f>IF(AND(ISNUMBER('자료_한국심리'!$D3805),ISNUMBER('자료_한국심리'!$E3805)),'자료_한국심리'!$D3805,"")</f>
        <v/>
      </c>
      <c r="W3821">
        <f>IF(AND(ISNUMBER('자료_한국심리'!$G3805),ISNUMBER('자료_한국심리'!$H3805)),'자료_한국심리'!$G3805,"")</f>
        <v/>
      </c>
      <c r="X3821">
        <f>IF(AND(ISNUMBER('자료_한국심리'!$J3805),ISNUMBER('자료_한국심리'!$K3805)),'자료_한국심리'!$J3805,"")</f>
        <v/>
      </c>
      <c r="Y3821">
        <f>IF(AND(ISNUMBER('자료_한국심리'!$M3805),ISNUMBER('자료_한국심리'!$N3805)),'자료_한국심리'!$M3805,"")</f>
        <v/>
      </c>
    </row>
    <row r="3822">
      <c r="U3822">
        <f>IF(AND(ISNUMBER('자료_한국심리'!$A3806),ISNUMBER('자료_한국심리'!$B3806)),'자료_한국심리'!$A3806,"")</f>
        <v/>
      </c>
      <c r="V3822">
        <f>IF(AND(ISNUMBER('자료_한국심리'!$D3806),ISNUMBER('자료_한국심리'!$E3806)),'자료_한국심리'!$D3806,"")</f>
        <v/>
      </c>
      <c r="W3822">
        <f>IF(AND(ISNUMBER('자료_한국심리'!$G3806),ISNUMBER('자료_한국심리'!$H3806)),'자료_한국심리'!$G3806,"")</f>
        <v/>
      </c>
      <c r="X3822">
        <f>IF(AND(ISNUMBER('자료_한국심리'!$J3806),ISNUMBER('자료_한국심리'!$K3806)),'자료_한국심리'!$J3806,"")</f>
        <v/>
      </c>
      <c r="Y3822">
        <f>IF(AND(ISNUMBER('자료_한국심리'!$M3806),ISNUMBER('자료_한국심리'!$N3806)),'자료_한국심리'!$M3806,"")</f>
        <v/>
      </c>
    </row>
    <row r="3823">
      <c r="U3823">
        <f>IF(AND(ISNUMBER('자료_한국심리'!$A3807),ISNUMBER('자료_한국심리'!$B3807)),'자료_한국심리'!$A3807,"")</f>
        <v/>
      </c>
      <c r="V3823">
        <f>IF(AND(ISNUMBER('자료_한국심리'!$D3807),ISNUMBER('자료_한국심리'!$E3807)),'자료_한국심리'!$D3807,"")</f>
        <v/>
      </c>
      <c r="W3823">
        <f>IF(AND(ISNUMBER('자료_한국심리'!$G3807),ISNUMBER('자료_한국심리'!$H3807)),'자료_한국심리'!$G3807,"")</f>
        <v/>
      </c>
      <c r="X3823">
        <f>IF(AND(ISNUMBER('자료_한국심리'!$J3807),ISNUMBER('자료_한국심리'!$K3807)),'자료_한국심리'!$J3807,"")</f>
        <v/>
      </c>
      <c r="Y3823">
        <f>IF(AND(ISNUMBER('자료_한국심리'!$M3807),ISNUMBER('자료_한국심리'!$N3807)),'자료_한국심리'!$M3807,"")</f>
        <v/>
      </c>
    </row>
    <row r="3824">
      <c r="U3824">
        <f>IF(AND(ISNUMBER('자료_한국심리'!$A3808),ISNUMBER('자료_한국심리'!$B3808)),'자료_한국심리'!$A3808,"")</f>
        <v/>
      </c>
      <c r="V3824">
        <f>IF(AND(ISNUMBER('자료_한국심리'!$D3808),ISNUMBER('자료_한국심리'!$E3808)),'자료_한국심리'!$D3808,"")</f>
        <v/>
      </c>
      <c r="W3824">
        <f>IF(AND(ISNUMBER('자료_한국심리'!$G3808),ISNUMBER('자료_한국심리'!$H3808)),'자료_한국심리'!$G3808,"")</f>
        <v/>
      </c>
      <c r="X3824">
        <f>IF(AND(ISNUMBER('자료_한국심리'!$J3808),ISNUMBER('자료_한국심리'!$K3808)),'자료_한국심리'!$J3808,"")</f>
        <v/>
      </c>
      <c r="Y3824">
        <f>IF(AND(ISNUMBER('자료_한국심리'!$M3808),ISNUMBER('자료_한국심리'!$N3808)),'자료_한국심리'!$M3808,"")</f>
        <v/>
      </c>
    </row>
    <row r="3825">
      <c r="U3825">
        <f>IF(AND(ISNUMBER('자료_한국심리'!$A3809),ISNUMBER('자료_한국심리'!$B3809)),'자료_한국심리'!$A3809,"")</f>
        <v/>
      </c>
      <c r="V3825">
        <f>IF(AND(ISNUMBER('자료_한국심리'!$D3809),ISNUMBER('자료_한국심리'!$E3809)),'자료_한국심리'!$D3809,"")</f>
        <v/>
      </c>
      <c r="W3825">
        <f>IF(AND(ISNUMBER('자료_한국심리'!$G3809),ISNUMBER('자료_한국심리'!$H3809)),'자료_한국심리'!$G3809,"")</f>
        <v/>
      </c>
      <c r="X3825">
        <f>IF(AND(ISNUMBER('자료_한국심리'!$J3809),ISNUMBER('자료_한국심리'!$K3809)),'자료_한국심리'!$J3809,"")</f>
        <v/>
      </c>
      <c r="Y3825">
        <f>IF(AND(ISNUMBER('자료_한국심리'!$M3809),ISNUMBER('자료_한국심리'!$N3809)),'자료_한국심리'!$M3809,"")</f>
        <v/>
      </c>
    </row>
    <row r="3826">
      <c r="U3826">
        <f>IF(AND(ISNUMBER('자료_한국심리'!$A3810),ISNUMBER('자료_한국심리'!$B3810)),'자료_한국심리'!$A3810,"")</f>
        <v/>
      </c>
      <c r="V3826">
        <f>IF(AND(ISNUMBER('자료_한국심리'!$D3810),ISNUMBER('자료_한국심리'!$E3810)),'자료_한국심리'!$D3810,"")</f>
        <v/>
      </c>
      <c r="W3826">
        <f>IF(AND(ISNUMBER('자료_한국심리'!$G3810),ISNUMBER('자료_한국심리'!$H3810)),'자료_한국심리'!$G3810,"")</f>
        <v/>
      </c>
      <c r="X3826">
        <f>IF(AND(ISNUMBER('자료_한국심리'!$J3810),ISNUMBER('자료_한국심리'!$K3810)),'자료_한국심리'!$J3810,"")</f>
        <v/>
      </c>
      <c r="Y3826">
        <f>IF(AND(ISNUMBER('자료_한국심리'!$M3810),ISNUMBER('자료_한국심리'!$N3810)),'자료_한국심리'!$M3810,"")</f>
        <v/>
      </c>
    </row>
    <row r="3827">
      <c r="U3827">
        <f>IF(AND(ISNUMBER('자료_한국심리'!$A3811),ISNUMBER('자료_한국심리'!$B3811)),'자료_한국심리'!$A3811,"")</f>
        <v/>
      </c>
      <c r="V3827">
        <f>IF(AND(ISNUMBER('자료_한국심리'!$D3811),ISNUMBER('자료_한국심리'!$E3811)),'자료_한국심리'!$D3811,"")</f>
        <v/>
      </c>
      <c r="W3827">
        <f>IF(AND(ISNUMBER('자료_한국심리'!$G3811),ISNUMBER('자료_한국심리'!$H3811)),'자료_한국심리'!$G3811,"")</f>
        <v/>
      </c>
      <c r="X3827">
        <f>IF(AND(ISNUMBER('자료_한국심리'!$J3811),ISNUMBER('자료_한국심리'!$K3811)),'자료_한국심리'!$J3811,"")</f>
        <v/>
      </c>
      <c r="Y3827">
        <f>IF(AND(ISNUMBER('자료_한국심리'!$M3811),ISNUMBER('자료_한국심리'!$N3811)),'자료_한국심리'!$M3811,"")</f>
        <v/>
      </c>
    </row>
    <row r="3828">
      <c r="U3828">
        <f>IF(AND(ISNUMBER('자료_한국심리'!$A3812),ISNUMBER('자료_한국심리'!$B3812)),'자료_한국심리'!$A3812,"")</f>
        <v/>
      </c>
      <c r="V3828">
        <f>IF(AND(ISNUMBER('자료_한국심리'!$D3812),ISNUMBER('자료_한국심리'!$E3812)),'자료_한국심리'!$D3812,"")</f>
        <v/>
      </c>
      <c r="W3828">
        <f>IF(AND(ISNUMBER('자료_한국심리'!$G3812),ISNUMBER('자료_한국심리'!$H3812)),'자료_한국심리'!$G3812,"")</f>
        <v/>
      </c>
      <c r="X3828">
        <f>IF(AND(ISNUMBER('자료_한국심리'!$J3812),ISNUMBER('자료_한국심리'!$K3812)),'자료_한국심리'!$J3812,"")</f>
        <v/>
      </c>
      <c r="Y3828">
        <f>IF(AND(ISNUMBER('자료_한국심리'!$M3812),ISNUMBER('자료_한국심리'!$N3812)),'자료_한국심리'!$M3812,"")</f>
        <v/>
      </c>
    </row>
    <row r="3829">
      <c r="U3829">
        <f>IF(AND(ISNUMBER('자료_한국심리'!$A3813),ISNUMBER('자료_한국심리'!$B3813)),'자료_한국심리'!$A3813,"")</f>
        <v/>
      </c>
      <c r="V3829">
        <f>IF(AND(ISNUMBER('자료_한국심리'!$D3813),ISNUMBER('자료_한국심리'!$E3813)),'자료_한국심리'!$D3813,"")</f>
        <v/>
      </c>
      <c r="W3829">
        <f>IF(AND(ISNUMBER('자료_한국심리'!$G3813),ISNUMBER('자료_한국심리'!$H3813)),'자료_한국심리'!$G3813,"")</f>
        <v/>
      </c>
      <c r="X3829">
        <f>IF(AND(ISNUMBER('자료_한국심리'!$J3813),ISNUMBER('자료_한국심리'!$K3813)),'자료_한국심리'!$J3813,"")</f>
        <v/>
      </c>
      <c r="Y3829">
        <f>IF(AND(ISNUMBER('자료_한국심리'!$M3813),ISNUMBER('자료_한국심리'!$N3813)),'자료_한국심리'!$M3813,"")</f>
        <v/>
      </c>
    </row>
    <row r="3830">
      <c r="U3830">
        <f>IF(AND(ISNUMBER('자료_한국심리'!$A3814),ISNUMBER('자료_한국심리'!$B3814)),'자료_한국심리'!$A3814,"")</f>
        <v/>
      </c>
      <c r="V3830">
        <f>IF(AND(ISNUMBER('자료_한국심리'!$D3814),ISNUMBER('자료_한국심리'!$E3814)),'자료_한국심리'!$D3814,"")</f>
        <v/>
      </c>
      <c r="W3830">
        <f>IF(AND(ISNUMBER('자료_한국심리'!$G3814),ISNUMBER('자료_한국심리'!$H3814)),'자료_한국심리'!$G3814,"")</f>
        <v/>
      </c>
      <c r="X3830">
        <f>IF(AND(ISNUMBER('자료_한국심리'!$J3814),ISNUMBER('자료_한국심리'!$K3814)),'자료_한국심리'!$J3814,"")</f>
        <v/>
      </c>
      <c r="Y3830">
        <f>IF(AND(ISNUMBER('자료_한국심리'!$M3814),ISNUMBER('자료_한국심리'!$N3814)),'자료_한국심리'!$M3814,"")</f>
        <v/>
      </c>
    </row>
    <row r="3831">
      <c r="U3831">
        <f>IF(AND(ISNUMBER('자료_한국심리'!$A3815),ISNUMBER('자료_한국심리'!$B3815)),'자료_한국심리'!$A3815,"")</f>
        <v/>
      </c>
      <c r="V3831">
        <f>IF(AND(ISNUMBER('자료_한국심리'!$D3815),ISNUMBER('자료_한국심리'!$E3815)),'자료_한국심리'!$D3815,"")</f>
        <v/>
      </c>
      <c r="W3831">
        <f>IF(AND(ISNUMBER('자료_한국심리'!$G3815),ISNUMBER('자료_한국심리'!$H3815)),'자료_한국심리'!$G3815,"")</f>
        <v/>
      </c>
      <c r="X3831">
        <f>IF(AND(ISNUMBER('자료_한국심리'!$J3815),ISNUMBER('자료_한국심리'!$K3815)),'자료_한국심리'!$J3815,"")</f>
        <v/>
      </c>
      <c r="Y3831">
        <f>IF(AND(ISNUMBER('자료_한국심리'!$M3815),ISNUMBER('자료_한국심리'!$N3815)),'자료_한국심리'!$M3815,"")</f>
        <v/>
      </c>
    </row>
    <row r="3832">
      <c r="U3832">
        <f>IF(AND(ISNUMBER('자료_한국심리'!$A3816),ISNUMBER('자료_한국심리'!$B3816)),'자료_한국심리'!$A3816,"")</f>
        <v/>
      </c>
      <c r="V3832">
        <f>IF(AND(ISNUMBER('자료_한국심리'!$D3816),ISNUMBER('자료_한국심리'!$E3816)),'자료_한국심리'!$D3816,"")</f>
        <v/>
      </c>
      <c r="W3832">
        <f>IF(AND(ISNUMBER('자료_한국심리'!$G3816),ISNUMBER('자료_한국심리'!$H3816)),'자료_한국심리'!$G3816,"")</f>
        <v/>
      </c>
      <c r="X3832">
        <f>IF(AND(ISNUMBER('자료_한국심리'!$J3816),ISNUMBER('자료_한국심리'!$K3816)),'자료_한국심리'!$J3816,"")</f>
        <v/>
      </c>
      <c r="Y3832">
        <f>IF(AND(ISNUMBER('자료_한국심리'!$M3816),ISNUMBER('자료_한국심리'!$N3816)),'자료_한국심리'!$M3816,"")</f>
        <v/>
      </c>
    </row>
    <row r="3833">
      <c r="U3833">
        <f>IF(AND(ISNUMBER('자료_한국심리'!$A3817),ISNUMBER('자료_한국심리'!$B3817)),'자료_한국심리'!$A3817,"")</f>
        <v/>
      </c>
      <c r="V3833">
        <f>IF(AND(ISNUMBER('자료_한국심리'!$D3817),ISNUMBER('자료_한국심리'!$E3817)),'자료_한국심리'!$D3817,"")</f>
        <v/>
      </c>
      <c r="W3833">
        <f>IF(AND(ISNUMBER('자료_한국심리'!$G3817),ISNUMBER('자료_한국심리'!$H3817)),'자료_한국심리'!$G3817,"")</f>
        <v/>
      </c>
      <c r="X3833">
        <f>IF(AND(ISNUMBER('자료_한국심리'!$J3817),ISNUMBER('자료_한국심리'!$K3817)),'자료_한국심리'!$J3817,"")</f>
        <v/>
      </c>
      <c r="Y3833">
        <f>IF(AND(ISNUMBER('자료_한국심리'!$M3817),ISNUMBER('자료_한국심리'!$N3817)),'자료_한국심리'!$M3817,"")</f>
        <v/>
      </c>
    </row>
    <row r="3834">
      <c r="U3834">
        <f>IF(AND(ISNUMBER('자료_한국심리'!$A3818),ISNUMBER('자료_한국심리'!$B3818)),'자료_한국심리'!$A3818,"")</f>
        <v/>
      </c>
      <c r="V3834">
        <f>IF(AND(ISNUMBER('자료_한국심리'!$D3818),ISNUMBER('자료_한국심리'!$E3818)),'자료_한국심리'!$D3818,"")</f>
        <v/>
      </c>
      <c r="W3834">
        <f>IF(AND(ISNUMBER('자료_한국심리'!$G3818),ISNUMBER('자료_한국심리'!$H3818)),'자료_한국심리'!$G3818,"")</f>
        <v/>
      </c>
      <c r="X3834">
        <f>IF(AND(ISNUMBER('자료_한국심리'!$J3818),ISNUMBER('자료_한국심리'!$K3818)),'자료_한국심리'!$J3818,"")</f>
        <v/>
      </c>
      <c r="Y3834">
        <f>IF(AND(ISNUMBER('자료_한국심리'!$M3818),ISNUMBER('자료_한국심리'!$N3818)),'자료_한국심리'!$M3818,"")</f>
        <v/>
      </c>
    </row>
    <row r="3835">
      <c r="U3835">
        <f>IF(AND(ISNUMBER('자료_한국심리'!$A3819),ISNUMBER('자료_한국심리'!$B3819)),'자료_한국심리'!$A3819,"")</f>
        <v/>
      </c>
      <c r="V3835">
        <f>IF(AND(ISNUMBER('자료_한국심리'!$D3819),ISNUMBER('자료_한국심리'!$E3819)),'자료_한국심리'!$D3819,"")</f>
        <v/>
      </c>
      <c r="W3835">
        <f>IF(AND(ISNUMBER('자료_한국심리'!$G3819),ISNUMBER('자료_한국심리'!$H3819)),'자료_한국심리'!$G3819,"")</f>
        <v/>
      </c>
      <c r="X3835">
        <f>IF(AND(ISNUMBER('자료_한국심리'!$J3819),ISNUMBER('자료_한국심리'!$K3819)),'자료_한국심리'!$J3819,"")</f>
        <v/>
      </c>
      <c r="Y3835">
        <f>IF(AND(ISNUMBER('자료_한국심리'!$M3819),ISNUMBER('자료_한국심리'!$N3819)),'자료_한국심리'!$M3819,"")</f>
        <v/>
      </c>
    </row>
    <row r="3836">
      <c r="U3836">
        <f>IF(AND(ISNUMBER('자료_한국심리'!$A3820),ISNUMBER('자료_한국심리'!$B3820)),'자료_한국심리'!$A3820,"")</f>
        <v/>
      </c>
      <c r="V3836">
        <f>IF(AND(ISNUMBER('자료_한국심리'!$D3820),ISNUMBER('자료_한국심리'!$E3820)),'자료_한국심리'!$D3820,"")</f>
        <v/>
      </c>
      <c r="W3836">
        <f>IF(AND(ISNUMBER('자료_한국심리'!$G3820),ISNUMBER('자료_한국심리'!$H3820)),'자료_한국심리'!$G3820,"")</f>
        <v/>
      </c>
      <c r="X3836">
        <f>IF(AND(ISNUMBER('자료_한국심리'!$J3820),ISNUMBER('자료_한국심리'!$K3820)),'자료_한국심리'!$J3820,"")</f>
        <v/>
      </c>
      <c r="Y3836">
        <f>IF(AND(ISNUMBER('자료_한국심리'!$M3820),ISNUMBER('자료_한국심리'!$N3820)),'자료_한국심리'!$M3820,"")</f>
        <v/>
      </c>
    </row>
    <row r="3837">
      <c r="U3837">
        <f>IF(AND(ISNUMBER('자료_한국심리'!$A3821),ISNUMBER('자료_한국심리'!$B3821)),'자료_한국심리'!$A3821,"")</f>
        <v/>
      </c>
      <c r="V3837">
        <f>IF(AND(ISNUMBER('자료_한국심리'!$D3821),ISNUMBER('자료_한국심리'!$E3821)),'자료_한국심리'!$D3821,"")</f>
        <v/>
      </c>
      <c r="W3837">
        <f>IF(AND(ISNUMBER('자료_한국심리'!$G3821),ISNUMBER('자료_한국심리'!$H3821)),'자료_한국심리'!$G3821,"")</f>
        <v/>
      </c>
      <c r="X3837">
        <f>IF(AND(ISNUMBER('자료_한국심리'!$J3821),ISNUMBER('자료_한국심리'!$K3821)),'자료_한국심리'!$J3821,"")</f>
        <v/>
      </c>
      <c r="Y3837">
        <f>IF(AND(ISNUMBER('자료_한국심리'!$M3821),ISNUMBER('자료_한국심리'!$N3821)),'자료_한국심리'!$M3821,"")</f>
        <v/>
      </c>
    </row>
    <row r="3838">
      <c r="U3838">
        <f>IF(AND(ISNUMBER('자료_한국심리'!$A3822),ISNUMBER('자료_한국심리'!$B3822)),'자료_한국심리'!$A3822,"")</f>
        <v/>
      </c>
      <c r="V3838">
        <f>IF(AND(ISNUMBER('자료_한국심리'!$D3822),ISNUMBER('자료_한국심리'!$E3822)),'자료_한국심리'!$D3822,"")</f>
        <v/>
      </c>
      <c r="W3838">
        <f>IF(AND(ISNUMBER('자료_한국심리'!$G3822),ISNUMBER('자료_한국심리'!$H3822)),'자료_한국심리'!$G3822,"")</f>
        <v/>
      </c>
      <c r="X3838">
        <f>IF(AND(ISNUMBER('자료_한국심리'!$J3822),ISNUMBER('자료_한국심리'!$K3822)),'자료_한국심리'!$J3822,"")</f>
        <v/>
      </c>
      <c r="Y3838">
        <f>IF(AND(ISNUMBER('자료_한국심리'!$M3822),ISNUMBER('자료_한국심리'!$N3822)),'자료_한국심리'!$M3822,"")</f>
        <v/>
      </c>
    </row>
    <row r="3839">
      <c r="U3839">
        <f>IF(AND(ISNUMBER('자료_한국심리'!$A3823),ISNUMBER('자료_한국심리'!$B3823)),'자료_한국심리'!$A3823,"")</f>
        <v/>
      </c>
      <c r="V3839">
        <f>IF(AND(ISNUMBER('자료_한국심리'!$D3823),ISNUMBER('자료_한국심리'!$E3823)),'자료_한국심리'!$D3823,"")</f>
        <v/>
      </c>
      <c r="W3839">
        <f>IF(AND(ISNUMBER('자료_한국심리'!$G3823),ISNUMBER('자료_한국심리'!$H3823)),'자료_한국심리'!$G3823,"")</f>
        <v/>
      </c>
      <c r="X3839">
        <f>IF(AND(ISNUMBER('자료_한국심리'!$J3823),ISNUMBER('자료_한국심리'!$K3823)),'자료_한국심리'!$J3823,"")</f>
        <v/>
      </c>
      <c r="Y3839">
        <f>IF(AND(ISNUMBER('자료_한국심리'!$M3823),ISNUMBER('자료_한국심리'!$N3823)),'자료_한국심리'!$M3823,"")</f>
        <v/>
      </c>
    </row>
    <row r="3840">
      <c r="U3840">
        <f>IF(AND(ISNUMBER('자료_한국심리'!$A3824),ISNUMBER('자료_한국심리'!$B3824)),'자료_한국심리'!$A3824,"")</f>
        <v/>
      </c>
      <c r="V3840">
        <f>IF(AND(ISNUMBER('자료_한국심리'!$D3824),ISNUMBER('자료_한국심리'!$E3824)),'자료_한국심리'!$D3824,"")</f>
        <v/>
      </c>
      <c r="W3840">
        <f>IF(AND(ISNUMBER('자료_한국심리'!$G3824),ISNUMBER('자료_한국심리'!$H3824)),'자료_한국심리'!$G3824,"")</f>
        <v/>
      </c>
      <c r="X3840">
        <f>IF(AND(ISNUMBER('자료_한국심리'!$J3824),ISNUMBER('자료_한국심리'!$K3824)),'자료_한국심리'!$J3824,"")</f>
        <v/>
      </c>
      <c r="Y3840">
        <f>IF(AND(ISNUMBER('자료_한국심리'!$M3824),ISNUMBER('자료_한국심리'!$N3824)),'자료_한국심리'!$M3824,"")</f>
        <v/>
      </c>
    </row>
    <row r="3841">
      <c r="U3841">
        <f>IF(AND(ISNUMBER('자료_한국심리'!$A3825),ISNUMBER('자료_한국심리'!$B3825)),'자료_한국심리'!$A3825,"")</f>
        <v/>
      </c>
      <c r="V3841">
        <f>IF(AND(ISNUMBER('자료_한국심리'!$D3825),ISNUMBER('자료_한국심리'!$E3825)),'자료_한국심리'!$D3825,"")</f>
        <v/>
      </c>
      <c r="W3841">
        <f>IF(AND(ISNUMBER('자료_한국심리'!$G3825),ISNUMBER('자료_한국심리'!$H3825)),'자료_한국심리'!$G3825,"")</f>
        <v/>
      </c>
      <c r="X3841">
        <f>IF(AND(ISNUMBER('자료_한국심리'!$J3825),ISNUMBER('자료_한국심리'!$K3825)),'자료_한국심리'!$J3825,"")</f>
        <v/>
      </c>
      <c r="Y3841">
        <f>IF(AND(ISNUMBER('자료_한국심리'!$M3825),ISNUMBER('자료_한국심리'!$N3825)),'자료_한국심리'!$M3825,"")</f>
        <v/>
      </c>
    </row>
    <row r="3842">
      <c r="U3842">
        <f>IF(AND(ISNUMBER('자료_한국심리'!$A3826),ISNUMBER('자료_한국심리'!$B3826)),'자료_한국심리'!$A3826,"")</f>
        <v/>
      </c>
      <c r="V3842">
        <f>IF(AND(ISNUMBER('자료_한국심리'!$D3826),ISNUMBER('자료_한국심리'!$E3826)),'자료_한국심리'!$D3826,"")</f>
        <v/>
      </c>
      <c r="W3842">
        <f>IF(AND(ISNUMBER('자료_한국심리'!$G3826),ISNUMBER('자료_한국심리'!$H3826)),'자료_한국심리'!$G3826,"")</f>
        <v/>
      </c>
      <c r="X3842">
        <f>IF(AND(ISNUMBER('자료_한국심리'!$J3826),ISNUMBER('자료_한국심리'!$K3826)),'자료_한국심리'!$J3826,"")</f>
        <v/>
      </c>
      <c r="Y3842">
        <f>IF(AND(ISNUMBER('자료_한국심리'!$M3826),ISNUMBER('자료_한국심리'!$N3826)),'자료_한국심리'!$M3826,"")</f>
        <v/>
      </c>
    </row>
    <row r="3843">
      <c r="U3843">
        <f>IF(AND(ISNUMBER('자료_한국심리'!$A3827),ISNUMBER('자료_한국심리'!$B3827)),'자료_한국심리'!$A3827,"")</f>
        <v/>
      </c>
      <c r="V3843">
        <f>IF(AND(ISNUMBER('자료_한국심리'!$D3827),ISNUMBER('자료_한국심리'!$E3827)),'자료_한국심리'!$D3827,"")</f>
        <v/>
      </c>
      <c r="W3843">
        <f>IF(AND(ISNUMBER('자료_한국심리'!$G3827),ISNUMBER('자료_한국심리'!$H3827)),'자료_한국심리'!$G3827,"")</f>
        <v/>
      </c>
      <c r="X3843">
        <f>IF(AND(ISNUMBER('자료_한국심리'!$J3827),ISNUMBER('자료_한국심리'!$K3827)),'자료_한국심리'!$J3827,"")</f>
        <v/>
      </c>
      <c r="Y3843">
        <f>IF(AND(ISNUMBER('자료_한국심리'!$M3827),ISNUMBER('자료_한국심리'!$N3827)),'자료_한국심리'!$M3827,"")</f>
        <v/>
      </c>
    </row>
    <row r="3844">
      <c r="U3844">
        <f>IF(AND(ISNUMBER('자료_한국심리'!$A3828),ISNUMBER('자료_한국심리'!$B3828)),'자료_한국심리'!$A3828,"")</f>
        <v/>
      </c>
      <c r="V3844">
        <f>IF(AND(ISNUMBER('자료_한국심리'!$D3828),ISNUMBER('자료_한국심리'!$E3828)),'자료_한국심리'!$D3828,"")</f>
        <v/>
      </c>
      <c r="W3844">
        <f>IF(AND(ISNUMBER('자료_한국심리'!$G3828),ISNUMBER('자료_한국심리'!$H3828)),'자료_한국심리'!$G3828,"")</f>
        <v/>
      </c>
      <c r="X3844">
        <f>IF(AND(ISNUMBER('자료_한국심리'!$J3828),ISNUMBER('자료_한국심리'!$K3828)),'자료_한국심리'!$J3828,"")</f>
        <v/>
      </c>
      <c r="Y3844">
        <f>IF(AND(ISNUMBER('자료_한국심리'!$M3828),ISNUMBER('자료_한국심리'!$N3828)),'자료_한국심리'!$M3828,"")</f>
        <v/>
      </c>
    </row>
    <row r="3845">
      <c r="U3845">
        <f>IF(AND(ISNUMBER('자료_한국심리'!$A3829),ISNUMBER('자료_한국심리'!$B3829)),'자료_한국심리'!$A3829,"")</f>
        <v/>
      </c>
      <c r="V3845">
        <f>IF(AND(ISNUMBER('자료_한국심리'!$D3829),ISNUMBER('자료_한국심리'!$E3829)),'자료_한국심리'!$D3829,"")</f>
        <v/>
      </c>
      <c r="W3845">
        <f>IF(AND(ISNUMBER('자료_한국심리'!$G3829),ISNUMBER('자료_한국심리'!$H3829)),'자료_한국심리'!$G3829,"")</f>
        <v/>
      </c>
      <c r="X3845">
        <f>IF(AND(ISNUMBER('자료_한국심리'!$J3829),ISNUMBER('자료_한국심리'!$K3829)),'자료_한국심리'!$J3829,"")</f>
        <v/>
      </c>
      <c r="Y3845">
        <f>IF(AND(ISNUMBER('자료_한국심리'!$M3829),ISNUMBER('자료_한국심리'!$N3829)),'자료_한국심리'!$M3829,"")</f>
        <v/>
      </c>
    </row>
    <row r="3846">
      <c r="U3846">
        <f>IF(AND(ISNUMBER('자료_한국심리'!$A3830),ISNUMBER('자료_한국심리'!$B3830)),'자료_한국심리'!$A3830,"")</f>
        <v/>
      </c>
      <c r="V3846">
        <f>IF(AND(ISNUMBER('자료_한국심리'!$D3830),ISNUMBER('자료_한국심리'!$E3830)),'자료_한국심리'!$D3830,"")</f>
        <v/>
      </c>
      <c r="W3846">
        <f>IF(AND(ISNUMBER('자료_한국심리'!$G3830),ISNUMBER('자료_한국심리'!$H3830)),'자료_한국심리'!$G3830,"")</f>
        <v/>
      </c>
      <c r="X3846">
        <f>IF(AND(ISNUMBER('자료_한국심리'!$J3830),ISNUMBER('자료_한국심리'!$K3830)),'자료_한국심리'!$J3830,"")</f>
        <v/>
      </c>
      <c r="Y3846">
        <f>IF(AND(ISNUMBER('자료_한국심리'!$M3830),ISNUMBER('자료_한국심리'!$N3830)),'자료_한국심리'!$M3830,"")</f>
        <v/>
      </c>
    </row>
    <row r="3847">
      <c r="U3847">
        <f>IF(AND(ISNUMBER('자료_한국심리'!$A3831),ISNUMBER('자료_한국심리'!$B3831)),'자료_한국심리'!$A3831,"")</f>
        <v/>
      </c>
      <c r="V3847">
        <f>IF(AND(ISNUMBER('자료_한국심리'!$D3831),ISNUMBER('자료_한국심리'!$E3831)),'자료_한국심리'!$D3831,"")</f>
        <v/>
      </c>
      <c r="W3847">
        <f>IF(AND(ISNUMBER('자료_한국심리'!$G3831),ISNUMBER('자료_한국심리'!$H3831)),'자료_한국심리'!$G3831,"")</f>
        <v/>
      </c>
      <c r="X3847">
        <f>IF(AND(ISNUMBER('자료_한국심리'!$J3831),ISNUMBER('자료_한국심리'!$K3831)),'자료_한국심리'!$J3831,"")</f>
        <v/>
      </c>
      <c r="Y3847">
        <f>IF(AND(ISNUMBER('자료_한국심리'!$M3831),ISNUMBER('자료_한국심리'!$N3831)),'자료_한국심리'!$M3831,"")</f>
        <v/>
      </c>
    </row>
    <row r="3848">
      <c r="U3848">
        <f>IF(AND(ISNUMBER('자료_한국심리'!$A3832),ISNUMBER('자료_한국심리'!$B3832)),'자료_한국심리'!$A3832,"")</f>
        <v/>
      </c>
      <c r="V3848">
        <f>IF(AND(ISNUMBER('자료_한국심리'!$D3832),ISNUMBER('자료_한국심리'!$E3832)),'자료_한국심리'!$D3832,"")</f>
        <v/>
      </c>
      <c r="W3848">
        <f>IF(AND(ISNUMBER('자료_한국심리'!$G3832),ISNUMBER('자료_한국심리'!$H3832)),'자료_한국심리'!$G3832,"")</f>
        <v/>
      </c>
      <c r="X3848">
        <f>IF(AND(ISNUMBER('자료_한국심리'!$J3832),ISNUMBER('자료_한국심리'!$K3832)),'자료_한국심리'!$J3832,"")</f>
        <v/>
      </c>
      <c r="Y3848">
        <f>IF(AND(ISNUMBER('자료_한국심리'!$M3832),ISNUMBER('자료_한국심리'!$N3832)),'자료_한국심리'!$M3832,"")</f>
        <v/>
      </c>
    </row>
    <row r="3849">
      <c r="U3849">
        <f>IF(AND(ISNUMBER('자료_한국심리'!$A3833),ISNUMBER('자료_한국심리'!$B3833)),'자료_한국심리'!$A3833,"")</f>
        <v/>
      </c>
      <c r="V3849">
        <f>IF(AND(ISNUMBER('자료_한국심리'!$D3833),ISNUMBER('자료_한국심리'!$E3833)),'자료_한국심리'!$D3833,"")</f>
        <v/>
      </c>
      <c r="W3849">
        <f>IF(AND(ISNUMBER('자료_한국심리'!$G3833),ISNUMBER('자료_한국심리'!$H3833)),'자료_한국심리'!$G3833,"")</f>
        <v/>
      </c>
      <c r="X3849">
        <f>IF(AND(ISNUMBER('자료_한국심리'!$J3833),ISNUMBER('자료_한국심리'!$K3833)),'자료_한국심리'!$J3833,"")</f>
        <v/>
      </c>
      <c r="Y3849">
        <f>IF(AND(ISNUMBER('자료_한국심리'!$M3833),ISNUMBER('자료_한국심리'!$N3833)),'자료_한국심리'!$M3833,"")</f>
        <v/>
      </c>
    </row>
    <row r="3850">
      <c r="U3850">
        <f>IF(AND(ISNUMBER('자료_한국심리'!$A3834),ISNUMBER('자료_한국심리'!$B3834)),'자료_한국심리'!$A3834,"")</f>
        <v/>
      </c>
      <c r="V3850">
        <f>IF(AND(ISNUMBER('자료_한국심리'!$D3834),ISNUMBER('자료_한국심리'!$E3834)),'자료_한국심리'!$D3834,"")</f>
        <v/>
      </c>
      <c r="W3850">
        <f>IF(AND(ISNUMBER('자료_한국심리'!$G3834),ISNUMBER('자료_한국심리'!$H3834)),'자료_한국심리'!$G3834,"")</f>
        <v/>
      </c>
      <c r="X3850">
        <f>IF(AND(ISNUMBER('자료_한국심리'!$J3834),ISNUMBER('자료_한국심리'!$K3834)),'자료_한국심리'!$J3834,"")</f>
        <v/>
      </c>
      <c r="Y3850">
        <f>IF(AND(ISNUMBER('자료_한국심리'!$M3834),ISNUMBER('자료_한국심리'!$N3834)),'자료_한국심리'!$M3834,"")</f>
        <v/>
      </c>
    </row>
    <row r="3851">
      <c r="U3851">
        <f>IF(AND(ISNUMBER('자료_한국심리'!$A3835),ISNUMBER('자료_한국심리'!$B3835)),'자료_한국심리'!$A3835,"")</f>
        <v/>
      </c>
      <c r="V3851">
        <f>IF(AND(ISNUMBER('자료_한국심리'!$D3835),ISNUMBER('자료_한국심리'!$E3835)),'자료_한국심리'!$D3835,"")</f>
        <v/>
      </c>
      <c r="W3851">
        <f>IF(AND(ISNUMBER('자료_한국심리'!$G3835),ISNUMBER('자료_한국심리'!$H3835)),'자료_한국심리'!$G3835,"")</f>
        <v/>
      </c>
      <c r="X3851">
        <f>IF(AND(ISNUMBER('자료_한국심리'!$J3835),ISNUMBER('자료_한국심리'!$K3835)),'자료_한국심리'!$J3835,"")</f>
        <v/>
      </c>
      <c r="Y3851">
        <f>IF(AND(ISNUMBER('자료_한국심리'!$M3835),ISNUMBER('자료_한국심리'!$N3835)),'자료_한국심리'!$M3835,"")</f>
        <v/>
      </c>
    </row>
    <row r="3852">
      <c r="U3852">
        <f>IF(AND(ISNUMBER('자료_한국심리'!$A3836),ISNUMBER('자료_한국심리'!$B3836)),'자료_한국심리'!$A3836,"")</f>
        <v/>
      </c>
      <c r="V3852">
        <f>IF(AND(ISNUMBER('자료_한국심리'!$D3836),ISNUMBER('자료_한국심리'!$E3836)),'자료_한국심리'!$D3836,"")</f>
        <v/>
      </c>
      <c r="W3852">
        <f>IF(AND(ISNUMBER('자료_한국심리'!$G3836),ISNUMBER('자료_한국심리'!$H3836)),'자료_한국심리'!$G3836,"")</f>
        <v/>
      </c>
      <c r="X3852">
        <f>IF(AND(ISNUMBER('자료_한국심리'!$J3836),ISNUMBER('자료_한국심리'!$K3836)),'자료_한국심리'!$J3836,"")</f>
        <v/>
      </c>
      <c r="Y3852">
        <f>IF(AND(ISNUMBER('자료_한국심리'!$M3836),ISNUMBER('자료_한국심리'!$N3836)),'자료_한국심리'!$M3836,"")</f>
        <v/>
      </c>
    </row>
    <row r="3853">
      <c r="U3853">
        <f>IF(AND(ISNUMBER('자료_한국심리'!$A3837),ISNUMBER('자료_한국심리'!$B3837)),'자료_한국심리'!$A3837,"")</f>
        <v/>
      </c>
      <c r="V3853">
        <f>IF(AND(ISNUMBER('자료_한국심리'!$D3837),ISNUMBER('자료_한국심리'!$E3837)),'자료_한국심리'!$D3837,"")</f>
        <v/>
      </c>
      <c r="W3853">
        <f>IF(AND(ISNUMBER('자료_한국심리'!$G3837),ISNUMBER('자료_한국심리'!$H3837)),'자료_한국심리'!$G3837,"")</f>
        <v/>
      </c>
      <c r="X3853">
        <f>IF(AND(ISNUMBER('자료_한국심리'!$J3837),ISNUMBER('자료_한국심리'!$K3837)),'자료_한국심리'!$J3837,"")</f>
        <v/>
      </c>
      <c r="Y3853">
        <f>IF(AND(ISNUMBER('자료_한국심리'!$M3837),ISNUMBER('자료_한국심리'!$N3837)),'자료_한국심리'!$M3837,"")</f>
        <v/>
      </c>
    </row>
    <row r="3854">
      <c r="U3854">
        <f>IF(AND(ISNUMBER('자료_한국심리'!$A3838),ISNUMBER('자료_한국심리'!$B3838)),'자료_한국심리'!$A3838,"")</f>
        <v/>
      </c>
      <c r="V3854">
        <f>IF(AND(ISNUMBER('자료_한국심리'!$D3838),ISNUMBER('자료_한국심리'!$E3838)),'자료_한국심리'!$D3838,"")</f>
        <v/>
      </c>
      <c r="W3854">
        <f>IF(AND(ISNUMBER('자료_한국심리'!$G3838),ISNUMBER('자료_한국심리'!$H3838)),'자료_한국심리'!$G3838,"")</f>
        <v/>
      </c>
      <c r="X3854">
        <f>IF(AND(ISNUMBER('자료_한국심리'!$J3838),ISNUMBER('자료_한국심리'!$K3838)),'자료_한국심리'!$J3838,"")</f>
        <v/>
      </c>
      <c r="Y3854">
        <f>IF(AND(ISNUMBER('자료_한국심리'!$M3838),ISNUMBER('자료_한국심리'!$N3838)),'자료_한국심리'!$M3838,"")</f>
        <v/>
      </c>
    </row>
    <row r="3855">
      <c r="U3855">
        <f>IF(AND(ISNUMBER('자료_한국심리'!$A3839),ISNUMBER('자료_한국심리'!$B3839)),'자료_한국심리'!$A3839,"")</f>
        <v/>
      </c>
      <c r="V3855">
        <f>IF(AND(ISNUMBER('자료_한국심리'!$D3839),ISNUMBER('자료_한국심리'!$E3839)),'자료_한국심리'!$D3839,"")</f>
        <v/>
      </c>
      <c r="W3855">
        <f>IF(AND(ISNUMBER('자료_한국심리'!$G3839),ISNUMBER('자료_한국심리'!$H3839)),'자료_한국심리'!$G3839,"")</f>
        <v/>
      </c>
      <c r="X3855">
        <f>IF(AND(ISNUMBER('자료_한국심리'!$J3839),ISNUMBER('자료_한국심리'!$K3839)),'자료_한국심리'!$J3839,"")</f>
        <v/>
      </c>
      <c r="Y3855">
        <f>IF(AND(ISNUMBER('자료_한국심리'!$M3839),ISNUMBER('자료_한국심리'!$N3839)),'자료_한국심리'!$M3839,"")</f>
        <v/>
      </c>
    </row>
    <row r="3856">
      <c r="U3856">
        <f>IF(AND(ISNUMBER('자료_한국심리'!$A3840),ISNUMBER('자료_한국심리'!$B3840)),'자료_한국심리'!$A3840,"")</f>
        <v/>
      </c>
      <c r="V3856">
        <f>IF(AND(ISNUMBER('자료_한국심리'!$D3840),ISNUMBER('자료_한국심리'!$E3840)),'자료_한국심리'!$D3840,"")</f>
        <v/>
      </c>
      <c r="W3856">
        <f>IF(AND(ISNUMBER('자료_한국심리'!$G3840),ISNUMBER('자료_한국심리'!$H3840)),'자료_한국심리'!$G3840,"")</f>
        <v/>
      </c>
      <c r="X3856">
        <f>IF(AND(ISNUMBER('자료_한국심리'!$J3840),ISNUMBER('자료_한국심리'!$K3840)),'자료_한국심리'!$J3840,"")</f>
        <v/>
      </c>
      <c r="Y3856">
        <f>IF(AND(ISNUMBER('자료_한국심리'!$M3840),ISNUMBER('자료_한국심리'!$N3840)),'자료_한국심리'!$M3840,"")</f>
        <v/>
      </c>
    </row>
    <row r="3857">
      <c r="U3857">
        <f>IF(AND(ISNUMBER('자료_한국심리'!$A3841),ISNUMBER('자료_한국심리'!$B3841)),'자료_한국심리'!$A3841,"")</f>
        <v/>
      </c>
      <c r="V3857">
        <f>IF(AND(ISNUMBER('자료_한국심리'!$D3841),ISNUMBER('자료_한국심리'!$E3841)),'자료_한국심리'!$D3841,"")</f>
        <v/>
      </c>
      <c r="W3857">
        <f>IF(AND(ISNUMBER('자료_한국심리'!$G3841),ISNUMBER('자료_한국심리'!$H3841)),'자료_한국심리'!$G3841,"")</f>
        <v/>
      </c>
      <c r="X3857">
        <f>IF(AND(ISNUMBER('자료_한국심리'!$J3841),ISNUMBER('자료_한국심리'!$K3841)),'자료_한국심리'!$J3841,"")</f>
        <v/>
      </c>
      <c r="Y3857">
        <f>IF(AND(ISNUMBER('자료_한국심리'!$M3841),ISNUMBER('자료_한국심리'!$N3841)),'자료_한국심리'!$M3841,"")</f>
        <v/>
      </c>
    </row>
    <row r="3858">
      <c r="U3858">
        <f>IF(AND(ISNUMBER('자료_한국심리'!$A3842),ISNUMBER('자료_한국심리'!$B3842)),'자료_한국심리'!$A3842,"")</f>
        <v/>
      </c>
      <c r="V3858">
        <f>IF(AND(ISNUMBER('자료_한국심리'!$D3842),ISNUMBER('자료_한국심리'!$E3842)),'자료_한국심리'!$D3842,"")</f>
        <v/>
      </c>
      <c r="W3858">
        <f>IF(AND(ISNUMBER('자료_한국심리'!$G3842),ISNUMBER('자료_한국심리'!$H3842)),'자료_한국심리'!$G3842,"")</f>
        <v/>
      </c>
      <c r="X3858">
        <f>IF(AND(ISNUMBER('자료_한국심리'!$J3842),ISNUMBER('자료_한국심리'!$K3842)),'자료_한국심리'!$J3842,"")</f>
        <v/>
      </c>
      <c r="Y3858">
        <f>IF(AND(ISNUMBER('자료_한국심리'!$M3842),ISNUMBER('자료_한국심리'!$N3842)),'자료_한국심리'!$M3842,"")</f>
        <v/>
      </c>
    </row>
    <row r="3859">
      <c r="U3859">
        <f>IF(AND(ISNUMBER('자료_한국심리'!$A3843),ISNUMBER('자료_한국심리'!$B3843)),'자료_한국심리'!$A3843,"")</f>
        <v/>
      </c>
      <c r="V3859">
        <f>IF(AND(ISNUMBER('자료_한국심리'!$D3843),ISNUMBER('자료_한국심리'!$E3843)),'자료_한국심리'!$D3843,"")</f>
        <v/>
      </c>
      <c r="W3859">
        <f>IF(AND(ISNUMBER('자료_한국심리'!$G3843),ISNUMBER('자료_한국심리'!$H3843)),'자료_한국심리'!$G3843,"")</f>
        <v/>
      </c>
      <c r="X3859">
        <f>IF(AND(ISNUMBER('자료_한국심리'!$J3843),ISNUMBER('자료_한국심리'!$K3843)),'자료_한국심리'!$J3843,"")</f>
        <v/>
      </c>
      <c r="Y3859">
        <f>IF(AND(ISNUMBER('자료_한국심리'!$M3843),ISNUMBER('자료_한국심리'!$N3843)),'자료_한국심리'!$M3843,"")</f>
        <v/>
      </c>
    </row>
    <row r="3860">
      <c r="U3860">
        <f>IF(AND(ISNUMBER('자료_한국심리'!$A3844),ISNUMBER('자료_한국심리'!$B3844)),'자료_한국심리'!$A3844,"")</f>
        <v/>
      </c>
      <c r="V3860">
        <f>IF(AND(ISNUMBER('자료_한국심리'!$D3844),ISNUMBER('자료_한국심리'!$E3844)),'자료_한국심리'!$D3844,"")</f>
        <v/>
      </c>
      <c r="W3860">
        <f>IF(AND(ISNUMBER('자료_한국심리'!$G3844),ISNUMBER('자료_한국심리'!$H3844)),'자료_한국심리'!$G3844,"")</f>
        <v/>
      </c>
      <c r="X3860">
        <f>IF(AND(ISNUMBER('자료_한국심리'!$J3844),ISNUMBER('자료_한국심리'!$K3844)),'자료_한국심리'!$J3844,"")</f>
        <v/>
      </c>
      <c r="Y3860">
        <f>IF(AND(ISNUMBER('자료_한국심리'!$M3844),ISNUMBER('자료_한국심리'!$N3844)),'자료_한국심리'!$M3844,"")</f>
        <v/>
      </c>
    </row>
    <row r="3861">
      <c r="U3861">
        <f>IF(AND(ISNUMBER('자료_한국심리'!$A3845),ISNUMBER('자료_한국심리'!$B3845)),'자료_한국심리'!$A3845,"")</f>
        <v/>
      </c>
      <c r="V3861">
        <f>IF(AND(ISNUMBER('자료_한국심리'!$D3845),ISNUMBER('자료_한국심리'!$E3845)),'자료_한국심리'!$D3845,"")</f>
        <v/>
      </c>
      <c r="W3861">
        <f>IF(AND(ISNUMBER('자료_한국심리'!$G3845),ISNUMBER('자료_한국심리'!$H3845)),'자료_한국심리'!$G3845,"")</f>
        <v/>
      </c>
      <c r="X3861">
        <f>IF(AND(ISNUMBER('자료_한국심리'!$J3845),ISNUMBER('자료_한국심리'!$K3845)),'자료_한국심리'!$J3845,"")</f>
        <v/>
      </c>
      <c r="Y3861">
        <f>IF(AND(ISNUMBER('자료_한국심리'!$M3845),ISNUMBER('자료_한국심리'!$N3845)),'자료_한국심리'!$M3845,"")</f>
        <v/>
      </c>
    </row>
    <row r="3862">
      <c r="U3862">
        <f>IF(AND(ISNUMBER('자료_한국심리'!$A3846),ISNUMBER('자료_한국심리'!$B3846)),'자료_한국심리'!$A3846,"")</f>
        <v/>
      </c>
      <c r="V3862">
        <f>IF(AND(ISNUMBER('자료_한국심리'!$D3846),ISNUMBER('자료_한국심리'!$E3846)),'자료_한국심리'!$D3846,"")</f>
        <v/>
      </c>
      <c r="W3862">
        <f>IF(AND(ISNUMBER('자료_한국심리'!$G3846),ISNUMBER('자료_한국심리'!$H3846)),'자료_한국심리'!$G3846,"")</f>
        <v/>
      </c>
      <c r="X3862">
        <f>IF(AND(ISNUMBER('자료_한국심리'!$J3846),ISNUMBER('자료_한국심리'!$K3846)),'자료_한국심리'!$J3846,"")</f>
        <v/>
      </c>
      <c r="Y3862">
        <f>IF(AND(ISNUMBER('자료_한국심리'!$M3846),ISNUMBER('자료_한국심리'!$N3846)),'자료_한국심리'!$M3846,"")</f>
        <v/>
      </c>
    </row>
    <row r="3863">
      <c r="U3863">
        <f>IF(AND(ISNUMBER('자료_한국심리'!$A3847),ISNUMBER('자료_한국심리'!$B3847)),'자료_한국심리'!$A3847,"")</f>
        <v/>
      </c>
      <c r="V3863">
        <f>IF(AND(ISNUMBER('자료_한국심리'!$D3847),ISNUMBER('자료_한국심리'!$E3847)),'자료_한국심리'!$D3847,"")</f>
        <v/>
      </c>
      <c r="W3863">
        <f>IF(AND(ISNUMBER('자료_한국심리'!$G3847),ISNUMBER('자료_한국심리'!$H3847)),'자료_한국심리'!$G3847,"")</f>
        <v/>
      </c>
      <c r="X3863">
        <f>IF(AND(ISNUMBER('자료_한국심리'!$J3847),ISNUMBER('자료_한국심리'!$K3847)),'자료_한국심리'!$J3847,"")</f>
        <v/>
      </c>
      <c r="Y3863">
        <f>IF(AND(ISNUMBER('자료_한국심리'!$M3847),ISNUMBER('자료_한국심리'!$N3847)),'자료_한국심리'!$M3847,"")</f>
        <v/>
      </c>
    </row>
    <row r="3864">
      <c r="U3864">
        <f>IF(AND(ISNUMBER('자료_한국심리'!$A3848),ISNUMBER('자료_한국심리'!$B3848)),'자료_한국심리'!$A3848,"")</f>
        <v/>
      </c>
      <c r="V3864">
        <f>IF(AND(ISNUMBER('자료_한국심리'!$D3848),ISNUMBER('자료_한국심리'!$E3848)),'자료_한국심리'!$D3848,"")</f>
        <v/>
      </c>
      <c r="W3864">
        <f>IF(AND(ISNUMBER('자료_한국심리'!$G3848),ISNUMBER('자료_한국심리'!$H3848)),'자료_한국심리'!$G3848,"")</f>
        <v/>
      </c>
      <c r="X3864">
        <f>IF(AND(ISNUMBER('자료_한국심리'!$J3848),ISNUMBER('자료_한국심리'!$K3848)),'자료_한국심리'!$J3848,"")</f>
        <v/>
      </c>
      <c r="Y3864">
        <f>IF(AND(ISNUMBER('자료_한국심리'!$M3848),ISNUMBER('자료_한국심리'!$N3848)),'자료_한국심리'!$M3848,"")</f>
        <v/>
      </c>
    </row>
    <row r="3865">
      <c r="U3865">
        <f>IF(AND(ISNUMBER('자료_한국심리'!$A3849),ISNUMBER('자료_한국심리'!$B3849)),'자료_한국심리'!$A3849,"")</f>
        <v/>
      </c>
      <c r="V3865">
        <f>IF(AND(ISNUMBER('자료_한국심리'!$D3849),ISNUMBER('자료_한국심리'!$E3849)),'자료_한국심리'!$D3849,"")</f>
        <v/>
      </c>
      <c r="W3865">
        <f>IF(AND(ISNUMBER('자료_한국심리'!$G3849),ISNUMBER('자료_한국심리'!$H3849)),'자료_한국심리'!$G3849,"")</f>
        <v/>
      </c>
      <c r="X3865">
        <f>IF(AND(ISNUMBER('자료_한국심리'!$J3849),ISNUMBER('자료_한국심리'!$K3849)),'자료_한국심리'!$J3849,"")</f>
        <v/>
      </c>
      <c r="Y3865">
        <f>IF(AND(ISNUMBER('자료_한국심리'!$M3849),ISNUMBER('자료_한국심리'!$N3849)),'자료_한국심리'!$M3849,"")</f>
        <v/>
      </c>
    </row>
    <row r="3866">
      <c r="U3866">
        <f>IF(AND(ISNUMBER('자료_한국심리'!$A3850),ISNUMBER('자료_한국심리'!$B3850)),'자료_한국심리'!$A3850,"")</f>
        <v/>
      </c>
      <c r="V3866">
        <f>IF(AND(ISNUMBER('자료_한국심리'!$D3850),ISNUMBER('자료_한국심리'!$E3850)),'자료_한국심리'!$D3850,"")</f>
        <v/>
      </c>
      <c r="W3866">
        <f>IF(AND(ISNUMBER('자료_한국심리'!$G3850),ISNUMBER('자료_한국심리'!$H3850)),'자료_한국심리'!$G3850,"")</f>
        <v/>
      </c>
      <c r="X3866">
        <f>IF(AND(ISNUMBER('자료_한국심리'!$J3850),ISNUMBER('자료_한국심리'!$K3850)),'자료_한국심리'!$J3850,"")</f>
        <v/>
      </c>
      <c r="Y3866">
        <f>IF(AND(ISNUMBER('자료_한국심리'!$M3850),ISNUMBER('자료_한국심리'!$N3850)),'자료_한국심리'!$M3850,"")</f>
        <v/>
      </c>
    </row>
    <row r="3867">
      <c r="U3867">
        <f>IF(AND(ISNUMBER('자료_한국심리'!$A3851),ISNUMBER('자료_한국심리'!$B3851)),'자료_한국심리'!$A3851,"")</f>
        <v/>
      </c>
      <c r="V3867">
        <f>IF(AND(ISNUMBER('자료_한국심리'!$D3851),ISNUMBER('자료_한국심리'!$E3851)),'자료_한국심리'!$D3851,"")</f>
        <v/>
      </c>
      <c r="W3867">
        <f>IF(AND(ISNUMBER('자료_한국심리'!$G3851),ISNUMBER('자료_한국심리'!$H3851)),'자료_한국심리'!$G3851,"")</f>
        <v/>
      </c>
      <c r="X3867">
        <f>IF(AND(ISNUMBER('자료_한국심리'!$J3851),ISNUMBER('자료_한국심리'!$K3851)),'자료_한국심리'!$J3851,"")</f>
        <v/>
      </c>
      <c r="Y3867">
        <f>IF(AND(ISNUMBER('자료_한국심리'!$M3851),ISNUMBER('자료_한국심리'!$N3851)),'자료_한국심리'!$M3851,"")</f>
        <v/>
      </c>
    </row>
    <row r="3868">
      <c r="U3868">
        <f>IF(AND(ISNUMBER('자료_한국심리'!$A3852),ISNUMBER('자료_한국심리'!$B3852)),'자료_한국심리'!$A3852,"")</f>
        <v/>
      </c>
      <c r="V3868">
        <f>IF(AND(ISNUMBER('자료_한국심리'!$D3852),ISNUMBER('자료_한국심리'!$E3852)),'자료_한국심리'!$D3852,"")</f>
        <v/>
      </c>
      <c r="W3868">
        <f>IF(AND(ISNUMBER('자료_한국심리'!$G3852),ISNUMBER('자료_한국심리'!$H3852)),'자료_한국심리'!$G3852,"")</f>
        <v/>
      </c>
      <c r="X3868">
        <f>IF(AND(ISNUMBER('자료_한국심리'!$J3852),ISNUMBER('자료_한국심리'!$K3852)),'자료_한국심리'!$J3852,"")</f>
        <v/>
      </c>
      <c r="Y3868">
        <f>IF(AND(ISNUMBER('자료_한국심리'!$M3852),ISNUMBER('자료_한국심리'!$N3852)),'자료_한국심리'!$M3852,"")</f>
        <v/>
      </c>
    </row>
    <row r="3869">
      <c r="U3869">
        <f>IF(AND(ISNUMBER('자료_한국심리'!$A3853),ISNUMBER('자료_한국심리'!$B3853)),'자료_한국심리'!$A3853,"")</f>
        <v/>
      </c>
      <c r="V3869">
        <f>IF(AND(ISNUMBER('자료_한국심리'!$D3853),ISNUMBER('자료_한국심리'!$E3853)),'자료_한국심리'!$D3853,"")</f>
        <v/>
      </c>
      <c r="W3869">
        <f>IF(AND(ISNUMBER('자료_한국심리'!$G3853),ISNUMBER('자료_한국심리'!$H3853)),'자료_한국심리'!$G3853,"")</f>
        <v/>
      </c>
      <c r="X3869">
        <f>IF(AND(ISNUMBER('자료_한국심리'!$J3853),ISNUMBER('자료_한국심리'!$K3853)),'자료_한국심리'!$J3853,"")</f>
        <v/>
      </c>
      <c r="Y3869">
        <f>IF(AND(ISNUMBER('자료_한국심리'!$M3853),ISNUMBER('자료_한국심리'!$N3853)),'자료_한국심리'!$M3853,"")</f>
        <v/>
      </c>
    </row>
    <row r="3870">
      <c r="U3870">
        <f>IF(AND(ISNUMBER('자료_한국심리'!$A3854),ISNUMBER('자료_한국심리'!$B3854)),'자료_한국심리'!$A3854,"")</f>
        <v/>
      </c>
      <c r="V3870">
        <f>IF(AND(ISNUMBER('자료_한국심리'!$D3854),ISNUMBER('자료_한국심리'!$E3854)),'자료_한국심리'!$D3854,"")</f>
        <v/>
      </c>
      <c r="W3870">
        <f>IF(AND(ISNUMBER('자료_한국심리'!$G3854),ISNUMBER('자료_한국심리'!$H3854)),'자료_한국심리'!$G3854,"")</f>
        <v/>
      </c>
      <c r="X3870">
        <f>IF(AND(ISNUMBER('자료_한국심리'!$J3854),ISNUMBER('자료_한국심리'!$K3854)),'자료_한국심리'!$J3854,"")</f>
        <v/>
      </c>
      <c r="Y3870">
        <f>IF(AND(ISNUMBER('자료_한국심리'!$M3854),ISNUMBER('자료_한국심리'!$N3854)),'자료_한국심리'!$M3854,"")</f>
        <v/>
      </c>
    </row>
    <row r="3871">
      <c r="U3871">
        <f>IF(AND(ISNUMBER('자료_한국심리'!$A3855),ISNUMBER('자료_한국심리'!$B3855)),'자료_한국심리'!$A3855,"")</f>
        <v/>
      </c>
      <c r="V3871">
        <f>IF(AND(ISNUMBER('자료_한국심리'!$D3855),ISNUMBER('자료_한국심리'!$E3855)),'자료_한국심리'!$D3855,"")</f>
        <v/>
      </c>
      <c r="W3871">
        <f>IF(AND(ISNUMBER('자료_한국심리'!$G3855),ISNUMBER('자료_한국심리'!$H3855)),'자료_한국심리'!$G3855,"")</f>
        <v/>
      </c>
      <c r="X3871">
        <f>IF(AND(ISNUMBER('자료_한국심리'!$J3855),ISNUMBER('자료_한국심리'!$K3855)),'자료_한국심리'!$J3855,"")</f>
        <v/>
      </c>
      <c r="Y3871">
        <f>IF(AND(ISNUMBER('자료_한국심리'!$M3855),ISNUMBER('자료_한국심리'!$N3855)),'자료_한국심리'!$M3855,"")</f>
        <v/>
      </c>
    </row>
    <row r="3872">
      <c r="U3872">
        <f>IF(AND(ISNUMBER('자료_한국심리'!$A3856),ISNUMBER('자료_한국심리'!$B3856)),'자료_한국심리'!$A3856,"")</f>
        <v/>
      </c>
      <c r="V3872">
        <f>IF(AND(ISNUMBER('자료_한국심리'!$D3856),ISNUMBER('자료_한국심리'!$E3856)),'자료_한국심리'!$D3856,"")</f>
        <v/>
      </c>
      <c r="W3872">
        <f>IF(AND(ISNUMBER('자료_한국심리'!$G3856),ISNUMBER('자료_한국심리'!$H3856)),'자료_한국심리'!$G3856,"")</f>
        <v/>
      </c>
      <c r="X3872">
        <f>IF(AND(ISNUMBER('자료_한국심리'!$J3856),ISNUMBER('자료_한국심리'!$K3856)),'자료_한국심리'!$J3856,"")</f>
        <v/>
      </c>
      <c r="Y3872">
        <f>IF(AND(ISNUMBER('자료_한국심리'!$M3856),ISNUMBER('자료_한국심리'!$N3856)),'자료_한국심리'!$M3856,"")</f>
        <v/>
      </c>
    </row>
    <row r="3873">
      <c r="U3873">
        <f>IF(AND(ISNUMBER('자료_한국심리'!$A3857),ISNUMBER('자료_한국심리'!$B3857)),'자료_한국심리'!$A3857,"")</f>
        <v/>
      </c>
      <c r="V3873">
        <f>IF(AND(ISNUMBER('자료_한국심리'!$D3857),ISNUMBER('자료_한국심리'!$E3857)),'자료_한국심리'!$D3857,"")</f>
        <v/>
      </c>
      <c r="W3873">
        <f>IF(AND(ISNUMBER('자료_한국심리'!$G3857),ISNUMBER('자료_한국심리'!$H3857)),'자료_한국심리'!$G3857,"")</f>
        <v/>
      </c>
      <c r="X3873">
        <f>IF(AND(ISNUMBER('자료_한국심리'!$J3857),ISNUMBER('자료_한국심리'!$K3857)),'자료_한국심리'!$J3857,"")</f>
        <v/>
      </c>
      <c r="Y3873">
        <f>IF(AND(ISNUMBER('자료_한국심리'!$M3857),ISNUMBER('자료_한국심리'!$N3857)),'자료_한국심리'!$M3857,"")</f>
        <v/>
      </c>
    </row>
    <row r="3874">
      <c r="U3874">
        <f>IF(AND(ISNUMBER('자료_한국심리'!$A3858),ISNUMBER('자료_한국심리'!$B3858)),'자료_한국심리'!$A3858,"")</f>
        <v/>
      </c>
      <c r="V3874">
        <f>IF(AND(ISNUMBER('자료_한국심리'!$D3858),ISNUMBER('자료_한국심리'!$E3858)),'자료_한국심리'!$D3858,"")</f>
        <v/>
      </c>
      <c r="W3874">
        <f>IF(AND(ISNUMBER('자료_한국심리'!$G3858),ISNUMBER('자료_한국심리'!$H3858)),'자료_한국심리'!$G3858,"")</f>
        <v/>
      </c>
      <c r="X3874">
        <f>IF(AND(ISNUMBER('자료_한국심리'!$J3858),ISNUMBER('자료_한국심리'!$K3858)),'자료_한국심리'!$J3858,"")</f>
        <v/>
      </c>
      <c r="Y3874">
        <f>IF(AND(ISNUMBER('자료_한국심리'!$M3858),ISNUMBER('자료_한국심리'!$N3858)),'자료_한국심리'!$M3858,"")</f>
        <v/>
      </c>
    </row>
    <row r="3875">
      <c r="U3875">
        <f>IF(AND(ISNUMBER('자료_한국심리'!$A3859),ISNUMBER('자료_한국심리'!$B3859)),'자료_한국심리'!$A3859,"")</f>
        <v/>
      </c>
      <c r="V3875">
        <f>IF(AND(ISNUMBER('자료_한국심리'!$D3859),ISNUMBER('자료_한국심리'!$E3859)),'자료_한국심리'!$D3859,"")</f>
        <v/>
      </c>
      <c r="W3875">
        <f>IF(AND(ISNUMBER('자료_한국심리'!$G3859),ISNUMBER('자료_한국심리'!$H3859)),'자료_한국심리'!$G3859,"")</f>
        <v/>
      </c>
      <c r="X3875">
        <f>IF(AND(ISNUMBER('자료_한국심리'!$J3859),ISNUMBER('자료_한국심리'!$K3859)),'자료_한국심리'!$J3859,"")</f>
        <v/>
      </c>
      <c r="Y3875">
        <f>IF(AND(ISNUMBER('자료_한국심리'!$M3859),ISNUMBER('자료_한국심리'!$N3859)),'자료_한국심리'!$M3859,"")</f>
        <v/>
      </c>
    </row>
    <row r="3876">
      <c r="U3876">
        <f>IF(AND(ISNUMBER('자료_한국심리'!$A3860),ISNUMBER('자료_한국심리'!$B3860)),'자료_한국심리'!$A3860,"")</f>
        <v/>
      </c>
      <c r="V3876">
        <f>IF(AND(ISNUMBER('자료_한국심리'!$D3860),ISNUMBER('자료_한국심리'!$E3860)),'자료_한국심리'!$D3860,"")</f>
        <v/>
      </c>
      <c r="W3876">
        <f>IF(AND(ISNUMBER('자료_한국심리'!$G3860),ISNUMBER('자료_한국심리'!$H3860)),'자료_한국심리'!$G3860,"")</f>
        <v/>
      </c>
      <c r="X3876">
        <f>IF(AND(ISNUMBER('자료_한국심리'!$J3860),ISNUMBER('자료_한국심리'!$K3860)),'자료_한국심리'!$J3860,"")</f>
        <v/>
      </c>
      <c r="Y3876">
        <f>IF(AND(ISNUMBER('자료_한국심리'!$M3860),ISNUMBER('자료_한국심리'!$N3860)),'자료_한국심리'!$M3860,"")</f>
        <v/>
      </c>
    </row>
    <row r="3877">
      <c r="U3877">
        <f>IF(AND(ISNUMBER('자료_한국심리'!$A3861),ISNUMBER('자료_한국심리'!$B3861)),'자료_한국심리'!$A3861,"")</f>
        <v/>
      </c>
      <c r="V3877">
        <f>IF(AND(ISNUMBER('자료_한국심리'!$D3861),ISNUMBER('자료_한국심리'!$E3861)),'자료_한국심리'!$D3861,"")</f>
        <v/>
      </c>
      <c r="W3877">
        <f>IF(AND(ISNUMBER('자료_한국심리'!$G3861),ISNUMBER('자료_한국심리'!$H3861)),'자료_한국심리'!$G3861,"")</f>
        <v/>
      </c>
      <c r="X3877">
        <f>IF(AND(ISNUMBER('자료_한국심리'!$J3861),ISNUMBER('자료_한국심리'!$K3861)),'자료_한국심리'!$J3861,"")</f>
        <v/>
      </c>
      <c r="Y3877">
        <f>IF(AND(ISNUMBER('자료_한국심리'!$M3861),ISNUMBER('자료_한국심리'!$N3861)),'자료_한국심리'!$M3861,"")</f>
        <v/>
      </c>
    </row>
    <row r="3878">
      <c r="U3878">
        <f>IF(AND(ISNUMBER('자료_한국심리'!$A3862),ISNUMBER('자료_한국심리'!$B3862)),'자료_한국심리'!$A3862,"")</f>
        <v/>
      </c>
      <c r="V3878">
        <f>IF(AND(ISNUMBER('자료_한국심리'!$D3862),ISNUMBER('자료_한국심리'!$E3862)),'자료_한국심리'!$D3862,"")</f>
        <v/>
      </c>
      <c r="W3878">
        <f>IF(AND(ISNUMBER('자료_한국심리'!$G3862),ISNUMBER('자료_한국심리'!$H3862)),'자료_한국심리'!$G3862,"")</f>
        <v/>
      </c>
      <c r="X3878">
        <f>IF(AND(ISNUMBER('자료_한국심리'!$J3862),ISNUMBER('자료_한국심리'!$K3862)),'자료_한국심리'!$J3862,"")</f>
        <v/>
      </c>
      <c r="Y3878">
        <f>IF(AND(ISNUMBER('자료_한국심리'!$M3862),ISNUMBER('자료_한국심리'!$N3862)),'자료_한국심리'!$M3862,"")</f>
        <v/>
      </c>
    </row>
    <row r="3879">
      <c r="U3879">
        <f>IF(AND(ISNUMBER('자료_한국심리'!$A3863),ISNUMBER('자료_한국심리'!$B3863)),'자료_한국심리'!$A3863,"")</f>
        <v/>
      </c>
      <c r="V3879">
        <f>IF(AND(ISNUMBER('자료_한국심리'!$D3863),ISNUMBER('자료_한국심리'!$E3863)),'자료_한국심리'!$D3863,"")</f>
        <v/>
      </c>
      <c r="W3879">
        <f>IF(AND(ISNUMBER('자료_한국심리'!$G3863),ISNUMBER('자료_한국심리'!$H3863)),'자료_한국심리'!$G3863,"")</f>
        <v/>
      </c>
      <c r="X3879">
        <f>IF(AND(ISNUMBER('자료_한국심리'!$J3863),ISNUMBER('자료_한국심리'!$K3863)),'자료_한국심리'!$J3863,"")</f>
        <v/>
      </c>
      <c r="Y3879">
        <f>IF(AND(ISNUMBER('자료_한국심리'!$M3863),ISNUMBER('자료_한국심리'!$N3863)),'자료_한국심리'!$M3863,"")</f>
        <v/>
      </c>
    </row>
    <row r="3880">
      <c r="U3880">
        <f>IF(AND(ISNUMBER('자료_한국심리'!$A3864),ISNUMBER('자료_한국심리'!$B3864)),'자료_한국심리'!$A3864,"")</f>
        <v/>
      </c>
      <c r="V3880">
        <f>IF(AND(ISNUMBER('자료_한국심리'!$D3864),ISNUMBER('자료_한국심리'!$E3864)),'자료_한국심리'!$D3864,"")</f>
        <v/>
      </c>
      <c r="W3880">
        <f>IF(AND(ISNUMBER('자료_한국심리'!$G3864),ISNUMBER('자료_한국심리'!$H3864)),'자료_한국심리'!$G3864,"")</f>
        <v/>
      </c>
      <c r="X3880">
        <f>IF(AND(ISNUMBER('자료_한국심리'!$J3864),ISNUMBER('자료_한국심리'!$K3864)),'자료_한국심리'!$J3864,"")</f>
        <v/>
      </c>
      <c r="Y3880">
        <f>IF(AND(ISNUMBER('자료_한국심리'!$M3864),ISNUMBER('자료_한국심리'!$N3864)),'자료_한국심리'!$M3864,"")</f>
        <v/>
      </c>
    </row>
    <row r="3881">
      <c r="U3881">
        <f>IF(AND(ISNUMBER('자료_한국심리'!$A3865),ISNUMBER('자료_한국심리'!$B3865)),'자료_한국심리'!$A3865,"")</f>
        <v/>
      </c>
      <c r="V3881">
        <f>IF(AND(ISNUMBER('자료_한국심리'!$D3865),ISNUMBER('자료_한국심리'!$E3865)),'자료_한국심리'!$D3865,"")</f>
        <v/>
      </c>
      <c r="W3881">
        <f>IF(AND(ISNUMBER('자료_한국심리'!$G3865),ISNUMBER('자료_한국심리'!$H3865)),'자료_한국심리'!$G3865,"")</f>
        <v/>
      </c>
      <c r="X3881">
        <f>IF(AND(ISNUMBER('자료_한국심리'!$J3865),ISNUMBER('자료_한국심리'!$K3865)),'자료_한국심리'!$J3865,"")</f>
        <v/>
      </c>
      <c r="Y3881">
        <f>IF(AND(ISNUMBER('자료_한국심리'!$M3865),ISNUMBER('자료_한국심리'!$N3865)),'자료_한국심리'!$M3865,"")</f>
        <v/>
      </c>
    </row>
    <row r="3882">
      <c r="U3882">
        <f>IF(AND(ISNUMBER('자료_한국심리'!$A3866),ISNUMBER('자료_한국심리'!$B3866)),'자료_한국심리'!$A3866,"")</f>
        <v/>
      </c>
      <c r="V3882">
        <f>IF(AND(ISNUMBER('자료_한국심리'!$D3866),ISNUMBER('자료_한국심리'!$E3866)),'자료_한국심리'!$D3866,"")</f>
        <v/>
      </c>
      <c r="W3882">
        <f>IF(AND(ISNUMBER('자료_한국심리'!$G3866),ISNUMBER('자료_한국심리'!$H3866)),'자료_한국심리'!$G3866,"")</f>
        <v/>
      </c>
      <c r="X3882">
        <f>IF(AND(ISNUMBER('자료_한국심리'!$J3866),ISNUMBER('자료_한국심리'!$K3866)),'자료_한국심리'!$J3866,"")</f>
        <v/>
      </c>
      <c r="Y3882">
        <f>IF(AND(ISNUMBER('자료_한국심리'!$M3866),ISNUMBER('자료_한국심리'!$N3866)),'자료_한국심리'!$M3866,"")</f>
        <v/>
      </c>
    </row>
    <row r="3883">
      <c r="U3883">
        <f>IF(AND(ISNUMBER('자료_한국심리'!$A3867),ISNUMBER('자료_한국심리'!$B3867)),'자료_한국심리'!$A3867,"")</f>
        <v/>
      </c>
      <c r="V3883">
        <f>IF(AND(ISNUMBER('자료_한국심리'!$D3867),ISNUMBER('자료_한국심리'!$E3867)),'자료_한국심리'!$D3867,"")</f>
        <v/>
      </c>
      <c r="W3883">
        <f>IF(AND(ISNUMBER('자료_한국심리'!$G3867),ISNUMBER('자료_한국심리'!$H3867)),'자료_한국심리'!$G3867,"")</f>
        <v/>
      </c>
      <c r="X3883">
        <f>IF(AND(ISNUMBER('자료_한국심리'!$J3867),ISNUMBER('자료_한국심리'!$K3867)),'자료_한국심리'!$J3867,"")</f>
        <v/>
      </c>
      <c r="Y3883">
        <f>IF(AND(ISNUMBER('자료_한국심리'!$M3867),ISNUMBER('자료_한국심리'!$N3867)),'자료_한국심리'!$M3867,"")</f>
        <v/>
      </c>
    </row>
    <row r="3884">
      <c r="U3884">
        <f>IF(AND(ISNUMBER('자료_한국심리'!$A3868),ISNUMBER('자료_한국심리'!$B3868)),'자료_한국심리'!$A3868,"")</f>
        <v/>
      </c>
      <c r="V3884">
        <f>IF(AND(ISNUMBER('자료_한국심리'!$D3868),ISNUMBER('자료_한국심리'!$E3868)),'자료_한국심리'!$D3868,"")</f>
        <v/>
      </c>
      <c r="W3884">
        <f>IF(AND(ISNUMBER('자료_한국심리'!$G3868),ISNUMBER('자료_한국심리'!$H3868)),'자료_한국심리'!$G3868,"")</f>
        <v/>
      </c>
      <c r="X3884">
        <f>IF(AND(ISNUMBER('자료_한국심리'!$J3868),ISNUMBER('자료_한국심리'!$K3868)),'자료_한국심리'!$J3868,"")</f>
        <v/>
      </c>
      <c r="Y3884">
        <f>IF(AND(ISNUMBER('자료_한국심리'!$M3868),ISNUMBER('자료_한국심리'!$N3868)),'자료_한국심리'!$M3868,"")</f>
        <v/>
      </c>
    </row>
    <row r="3885">
      <c r="U3885">
        <f>IF(AND(ISNUMBER('자료_한국심리'!$A3869),ISNUMBER('자료_한국심리'!$B3869)),'자료_한국심리'!$A3869,"")</f>
        <v/>
      </c>
      <c r="V3885">
        <f>IF(AND(ISNUMBER('자료_한국심리'!$D3869),ISNUMBER('자료_한국심리'!$E3869)),'자료_한국심리'!$D3869,"")</f>
        <v/>
      </c>
      <c r="W3885">
        <f>IF(AND(ISNUMBER('자료_한국심리'!$G3869),ISNUMBER('자료_한국심리'!$H3869)),'자료_한국심리'!$G3869,"")</f>
        <v/>
      </c>
      <c r="X3885">
        <f>IF(AND(ISNUMBER('자료_한국심리'!$J3869),ISNUMBER('자료_한국심리'!$K3869)),'자료_한국심리'!$J3869,"")</f>
        <v/>
      </c>
      <c r="Y3885">
        <f>IF(AND(ISNUMBER('자료_한국심리'!$M3869),ISNUMBER('자료_한국심리'!$N3869)),'자료_한국심리'!$M3869,"")</f>
        <v/>
      </c>
    </row>
    <row r="3886">
      <c r="U3886">
        <f>IF(AND(ISNUMBER('자료_한국심리'!$A3870),ISNUMBER('자료_한국심리'!$B3870)),'자료_한국심리'!$A3870,"")</f>
        <v/>
      </c>
      <c r="V3886">
        <f>IF(AND(ISNUMBER('자료_한국심리'!$D3870),ISNUMBER('자료_한국심리'!$E3870)),'자료_한국심리'!$D3870,"")</f>
        <v/>
      </c>
      <c r="W3886">
        <f>IF(AND(ISNUMBER('자료_한국심리'!$G3870),ISNUMBER('자료_한국심리'!$H3870)),'자료_한국심리'!$G3870,"")</f>
        <v/>
      </c>
      <c r="X3886">
        <f>IF(AND(ISNUMBER('자료_한국심리'!$J3870),ISNUMBER('자료_한국심리'!$K3870)),'자료_한국심리'!$J3870,"")</f>
        <v/>
      </c>
      <c r="Y3886">
        <f>IF(AND(ISNUMBER('자료_한국심리'!$M3870),ISNUMBER('자료_한국심리'!$N3870)),'자료_한국심리'!$M3870,"")</f>
        <v/>
      </c>
    </row>
    <row r="3887">
      <c r="U3887">
        <f>IF(AND(ISNUMBER('자료_한국심리'!$A3871),ISNUMBER('자료_한국심리'!$B3871)),'자료_한국심리'!$A3871,"")</f>
        <v/>
      </c>
      <c r="V3887">
        <f>IF(AND(ISNUMBER('자료_한국심리'!$D3871),ISNUMBER('자료_한국심리'!$E3871)),'자료_한국심리'!$D3871,"")</f>
        <v/>
      </c>
      <c r="W3887">
        <f>IF(AND(ISNUMBER('자료_한국심리'!$G3871),ISNUMBER('자료_한국심리'!$H3871)),'자료_한국심리'!$G3871,"")</f>
        <v/>
      </c>
      <c r="X3887">
        <f>IF(AND(ISNUMBER('자료_한국심리'!$J3871),ISNUMBER('자료_한국심리'!$K3871)),'자료_한국심리'!$J3871,"")</f>
        <v/>
      </c>
      <c r="Y3887">
        <f>IF(AND(ISNUMBER('자료_한국심리'!$M3871),ISNUMBER('자료_한국심리'!$N3871)),'자료_한국심리'!$M3871,"")</f>
        <v/>
      </c>
    </row>
    <row r="3888">
      <c r="U3888">
        <f>IF(AND(ISNUMBER('자료_한국심리'!$A3872),ISNUMBER('자료_한국심리'!$B3872)),'자료_한국심리'!$A3872,"")</f>
        <v/>
      </c>
      <c r="V3888">
        <f>IF(AND(ISNUMBER('자료_한국심리'!$D3872),ISNUMBER('자료_한국심리'!$E3872)),'자료_한국심리'!$D3872,"")</f>
        <v/>
      </c>
      <c r="W3888">
        <f>IF(AND(ISNUMBER('자료_한국심리'!$G3872),ISNUMBER('자료_한국심리'!$H3872)),'자료_한국심리'!$G3872,"")</f>
        <v/>
      </c>
      <c r="X3888">
        <f>IF(AND(ISNUMBER('자료_한국심리'!$J3872),ISNUMBER('자료_한국심리'!$K3872)),'자료_한국심리'!$J3872,"")</f>
        <v/>
      </c>
      <c r="Y3888">
        <f>IF(AND(ISNUMBER('자료_한국심리'!$M3872),ISNUMBER('자료_한국심리'!$N3872)),'자료_한국심리'!$M3872,"")</f>
        <v/>
      </c>
    </row>
    <row r="3889">
      <c r="U3889">
        <f>IF(AND(ISNUMBER('자료_한국심리'!$A3873),ISNUMBER('자료_한국심리'!$B3873)),'자료_한국심리'!$A3873,"")</f>
        <v/>
      </c>
      <c r="V3889">
        <f>IF(AND(ISNUMBER('자료_한국심리'!$D3873),ISNUMBER('자료_한국심리'!$E3873)),'자료_한국심리'!$D3873,"")</f>
        <v/>
      </c>
      <c r="W3889">
        <f>IF(AND(ISNUMBER('자료_한국심리'!$G3873),ISNUMBER('자료_한국심리'!$H3873)),'자료_한국심리'!$G3873,"")</f>
        <v/>
      </c>
      <c r="X3889">
        <f>IF(AND(ISNUMBER('자료_한국심리'!$J3873),ISNUMBER('자료_한국심리'!$K3873)),'자료_한국심리'!$J3873,"")</f>
        <v/>
      </c>
      <c r="Y3889">
        <f>IF(AND(ISNUMBER('자료_한국심리'!$M3873),ISNUMBER('자료_한국심리'!$N3873)),'자료_한국심리'!$M3873,"")</f>
        <v/>
      </c>
    </row>
    <row r="3890">
      <c r="U3890">
        <f>IF(AND(ISNUMBER('자료_한국심리'!$A3874),ISNUMBER('자료_한국심리'!$B3874)),'자료_한국심리'!$A3874,"")</f>
        <v/>
      </c>
      <c r="V3890">
        <f>IF(AND(ISNUMBER('자료_한국심리'!$D3874),ISNUMBER('자료_한국심리'!$E3874)),'자료_한국심리'!$D3874,"")</f>
        <v/>
      </c>
      <c r="W3890">
        <f>IF(AND(ISNUMBER('자료_한국심리'!$G3874),ISNUMBER('자료_한국심리'!$H3874)),'자료_한국심리'!$G3874,"")</f>
        <v/>
      </c>
      <c r="X3890">
        <f>IF(AND(ISNUMBER('자료_한국심리'!$J3874),ISNUMBER('자료_한국심리'!$K3874)),'자료_한국심리'!$J3874,"")</f>
        <v/>
      </c>
      <c r="Y3890">
        <f>IF(AND(ISNUMBER('자료_한국심리'!$M3874),ISNUMBER('자료_한국심리'!$N3874)),'자료_한국심리'!$M3874,"")</f>
        <v/>
      </c>
    </row>
    <row r="3891">
      <c r="U3891">
        <f>IF(AND(ISNUMBER('자료_한국심리'!$A3875),ISNUMBER('자료_한국심리'!$B3875)),'자료_한국심리'!$A3875,"")</f>
        <v/>
      </c>
      <c r="V3891">
        <f>IF(AND(ISNUMBER('자료_한국심리'!$D3875),ISNUMBER('자료_한국심리'!$E3875)),'자료_한국심리'!$D3875,"")</f>
        <v/>
      </c>
      <c r="W3891">
        <f>IF(AND(ISNUMBER('자료_한국심리'!$G3875),ISNUMBER('자료_한국심리'!$H3875)),'자료_한국심리'!$G3875,"")</f>
        <v/>
      </c>
      <c r="X3891">
        <f>IF(AND(ISNUMBER('자료_한국심리'!$J3875),ISNUMBER('자료_한국심리'!$K3875)),'자료_한국심리'!$J3875,"")</f>
        <v/>
      </c>
      <c r="Y3891">
        <f>IF(AND(ISNUMBER('자료_한국심리'!$M3875),ISNUMBER('자료_한국심리'!$N3875)),'자료_한국심리'!$M3875,"")</f>
        <v/>
      </c>
    </row>
    <row r="3892">
      <c r="U3892">
        <f>IF(AND(ISNUMBER('자료_한국심리'!$A3876),ISNUMBER('자료_한국심리'!$B3876)),'자료_한국심리'!$A3876,"")</f>
        <v/>
      </c>
      <c r="V3892">
        <f>IF(AND(ISNUMBER('자료_한국심리'!$D3876),ISNUMBER('자료_한국심리'!$E3876)),'자료_한국심리'!$D3876,"")</f>
        <v/>
      </c>
      <c r="W3892">
        <f>IF(AND(ISNUMBER('자료_한국심리'!$G3876),ISNUMBER('자료_한국심리'!$H3876)),'자료_한국심리'!$G3876,"")</f>
        <v/>
      </c>
      <c r="X3892">
        <f>IF(AND(ISNUMBER('자료_한국심리'!$J3876),ISNUMBER('자료_한국심리'!$K3876)),'자료_한국심리'!$J3876,"")</f>
        <v/>
      </c>
      <c r="Y3892">
        <f>IF(AND(ISNUMBER('자료_한국심리'!$M3876),ISNUMBER('자료_한국심리'!$N3876)),'자료_한국심리'!$M3876,"")</f>
        <v/>
      </c>
    </row>
    <row r="3893">
      <c r="U3893">
        <f>IF(AND(ISNUMBER('자료_한국심리'!$A3877),ISNUMBER('자료_한국심리'!$B3877)),'자료_한국심리'!$A3877,"")</f>
        <v/>
      </c>
      <c r="V3893">
        <f>IF(AND(ISNUMBER('자료_한국심리'!$D3877),ISNUMBER('자료_한국심리'!$E3877)),'자료_한국심리'!$D3877,"")</f>
        <v/>
      </c>
      <c r="W3893">
        <f>IF(AND(ISNUMBER('자료_한국심리'!$G3877),ISNUMBER('자료_한국심리'!$H3877)),'자료_한국심리'!$G3877,"")</f>
        <v/>
      </c>
      <c r="X3893">
        <f>IF(AND(ISNUMBER('자료_한국심리'!$J3877),ISNUMBER('자료_한국심리'!$K3877)),'자료_한국심리'!$J3877,"")</f>
        <v/>
      </c>
      <c r="Y3893">
        <f>IF(AND(ISNUMBER('자료_한국심리'!$M3877),ISNUMBER('자료_한국심리'!$N3877)),'자료_한국심리'!$M3877,"")</f>
        <v/>
      </c>
    </row>
    <row r="3894">
      <c r="U3894">
        <f>IF(AND(ISNUMBER('자료_한국심리'!$A3878),ISNUMBER('자료_한국심리'!$B3878)),'자료_한국심리'!$A3878,"")</f>
        <v/>
      </c>
      <c r="V3894">
        <f>IF(AND(ISNUMBER('자료_한국심리'!$D3878),ISNUMBER('자료_한국심리'!$E3878)),'자료_한국심리'!$D3878,"")</f>
        <v/>
      </c>
      <c r="W3894">
        <f>IF(AND(ISNUMBER('자료_한국심리'!$G3878),ISNUMBER('자료_한국심리'!$H3878)),'자료_한국심리'!$G3878,"")</f>
        <v/>
      </c>
      <c r="X3894">
        <f>IF(AND(ISNUMBER('자료_한국심리'!$J3878),ISNUMBER('자료_한국심리'!$K3878)),'자료_한국심리'!$J3878,"")</f>
        <v/>
      </c>
      <c r="Y3894">
        <f>IF(AND(ISNUMBER('자료_한국심리'!$M3878),ISNUMBER('자료_한국심리'!$N3878)),'자료_한국심리'!$M3878,"")</f>
        <v/>
      </c>
    </row>
    <row r="3895">
      <c r="U3895">
        <f>IF(AND(ISNUMBER('자료_한국심리'!$A3879),ISNUMBER('자료_한국심리'!$B3879)),'자료_한국심리'!$A3879,"")</f>
        <v/>
      </c>
      <c r="V3895">
        <f>IF(AND(ISNUMBER('자료_한국심리'!$D3879),ISNUMBER('자료_한국심리'!$E3879)),'자료_한국심리'!$D3879,"")</f>
        <v/>
      </c>
      <c r="W3895">
        <f>IF(AND(ISNUMBER('자료_한국심리'!$G3879),ISNUMBER('자료_한국심리'!$H3879)),'자료_한국심리'!$G3879,"")</f>
        <v/>
      </c>
      <c r="X3895">
        <f>IF(AND(ISNUMBER('자료_한국심리'!$J3879),ISNUMBER('자료_한국심리'!$K3879)),'자료_한국심리'!$J3879,"")</f>
        <v/>
      </c>
      <c r="Y3895">
        <f>IF(AND(ISNUMBER('자료_한국심리'!$M3879),ISNUMBER('자료_한국심리'!$N3879)),'자료_한국심리'!$M3879,"")</f>
        <v/>
      </c>
    </row>
    <row r="3896">
      <c r="U3896">
        <f>IF(AND(ISNUMBER('자료_한국심리'!$A3880),ISNUMBER('자료_한국심리'!$B3880)),'자료_한국심리'!$A3880,"")</f>
        <v/>
      </c>
      <c r="V3896">
        <f>IF(AND(ISNUMBER('자료_한국심리'!$D3880),ISNUMBER('자료_한국심리'!$E3880)),'자료_한국심리'!$D3880,"")</f>
        <v/>
      </c>
      <c r="W3896">
        <f>IF(AND(ISNUMBER('자료_한국심리'!$G3880),ISNUMBER('자료_한국심리'!$H3880)),'자료_한국심리'!$G3880,"")</f>
        <v/>
      </c>
      <c r="X3896">
        <f>IF(AND(ISNUMBER('자료_한국심리'!$J3880),ISNUMBER('자료_한국심리'!$K3880)),'자료_한국심리'!$J3880,"")</f>
        <v/>
      </c>
      <c r="Y3896">
        <f>IF(AND(ISNUMBER('자료_한국심리'!$M3880),ISNUMBER('자료_한국심리'!$N3880)),'자료_한국심리'!$M3880,"")</f>
        <v/>
      </c>
    </row>
    <row r="3897">
      <c r="U3897">
        <f>IF(AND(ISNUMBER('자료_한국심리'!$A3881),ISNUMBER('자료_한국심리'!$B3881)),'자료_한국심리'!$A3881,"")</f>
        <v/>
      </c>
      <c r="V3897">
        <f>IF(AND(ISNUMBER('자료_한국심리'!$D3881),ISNUMBER('자료_한국심리'!$E3881)),'자료_한국심리'!$D3881,"")</f>
        <v/>
      </c>
      <c r="W3897">
        <f>IF(AND(ISNUMBER('자료_한국심리'!$G3881),ISNUMBER('자료_한국심리'!$H3881)),'자료_한국심리'!$G3881,"")</f>
        <v/>
      </c>
      <c r="X3897">
        <f>IF(AND(ISNUMBER('자료_한국심리'!$J3881),ISNUMBER('자료_한국심리'!$K3881)),'자료_한국심리'!$J3881,"")</f>
        <v/>
      </c>
      <c r="Y3897">
        <f>IF(AND(ISNUMBER('자료_한국심리'!$M3881),ISNUMBER('자료_한국심리'!$N3881)),'자료_한국심리'!$M3881,"")</f>
        <v/>
      </c>
    </row>
    <row r="3898">
      <c r="U3898">
        <f>IF(AND(ISNUMBER('자료_한국심리'!$A3882),ISNUMBER('자료_한국심리'!$B3882)),'자료_한국심리'!$A3882,"")</f>
        <v/>
      </c>
      <c r="V3898">
        <f>IF(AND(ISNUMBER('자료_한국심리'!$D3882),ISNUMBER('자료_한국심리'!$E3882)),'자료_한국심리'!$D3882,"")</f>
        <v/>
      </c>
      <c r="W3898">
        <f>IF(AND(ISNUMBER('자료_한국심리'!$G3882),ISNUMBER('자료_한국심리'!$H3882)),'자료_한국심리'!$G3882,"")</f>
        <v/>
      </c>
      <c r="X3898">
        <f>IF(AND(ISNUMBER('자료_한국심리'!$J3882),ISNUMBER('자료_한국심리'!$K3882)),'자료_한국심리'!$J3882,"")</f>
        <v/>
      </c>
      <c r="Y3898">
        <f>IF(AND(ISNUMBER('자료_한국심리'!$M3882),ISNUMBER('자료_한국심리'!$N3882)),'자료_한국심리'!$M3882,"")</f>
        <v/>
      </c>
    </row>
    <row r="3899">
      <c r="U3899">
        <f>IF(AND(ISNUMBER('자료_한국심리'!$A3883),ISNUMBER('자료_한국심리'!$B3883)),'자료_한국심리'!$A3883,"")</f>
        <v/>
      </c>
      <c r="V3899">
        <f>IF(AND(ISNUMBER('자료_한국심리'!$D3883),ISNUMBER('자료_한국심리'!$E3883)),'자료_한국심리'!$D3883,"")</f>
        <v/>
      </c>
      <c r="W3899">
        <f>IF(AND(ISNUMBER('자료_한국심리'!$G3883),ISNUMBER('자료_한국심리'!$H3883)),'자료_한국심리'!$G3883,"")</f>
        <v/>
      </c>
      <c r="X3899">
        <f>IF(AND(ISNUMBER('자료_한국심리'!$J3883),ISNUMBER('자료_한국심리'!$K3883)),'자료_한국심리'!$J3883,"")</f>
        <v/>
      </c>
      <c r="Y3899">
        <f>IF(AND(ISNUMBER('자료_한국심리'!$M3883),ISNUMBER('자료_한국심리'!$N3883)),'자료_한국심리'!$M3883,"")</f>
        <v/>
      </c>
    </row>
    <row r="3900">
      <c r="U3900">
        <f>IF(AND(ISNUMBER('자료_한국심리'!$A3884),ISNUMBER('자료_한국심리'!$B3884)),'자료_한국심리'!$A3884,"")</f>
        <v/>
      </c>
      <c r="V3900">
        <f>IF(AND(ISNUMBER('자료_한국심리'!$D3884),ISNUMBER('자료_한국심리'!$E3884)),'자료_한국심리'!$D3884,"")</f>
        <v/>
      </c>
      <c r="W3900">
        <f>IF(AND(ISNUMBER('자료_한국심리'!$G3884),ISNUMBER('자료_한국심리'!$H3884)),'자료_한국심리'!$G3884,"")</f>
        <v/>
      </c>
      <c r="X3900">
        <f>IF(AND(ISNUMBER('자료_한국심리'!$J3884),ISNUMBER('자료_한국심리'!$K3884)),'자료_한국심리'!$J3884,"")</f>
        <v/>
      </c>
      <c r="Y3900">
        <f>IF(AND(ISNUMBER('자료_한국심리'!$M3884),ISNUMBER('자료_한국심리'!$N3884)),'자료_한국심리'!$M3884,"")</f>
        <v/>
      </c>
    </row>
    <row r="3901">
      <c r="U3901">
        <f>IF(AND(ISNUMBER('자료_한국심리'!$A3885),ISNUMBER('자료_한국심리'!$B3885)),'자료_한국심리'!$A3885,"")</f>
        <v/>
      </c>
      <c r="V3901">
        <f>IF(AND(ISNUMBER('자료_한국심리'!$D3885),ISNUMBER('자료_한국심리'!$E3885)),'자료_한국심리'!$D3885,"")</f>
        <v/>
      </c>
      <c r="W3901">
        <f>IF(AND(ISNUMBER('자료_한국심리'!$G3885),ISNUMBER('자료_한국심리'!$H3885)),'자료_한국심리'!$G3885,"")</f>
        <v/>
      </c>
      <c r="X3901">
        <f>IF(AND(ISNUMBER('자료_한국심리'!$J3885),ISNUMBER('자료_한국심리'!$K3885)),'자료_한국심리'!$J3885,"")</f>
        <v/>
      </c>
      <c r="Y3901">
        <f>IF(AND(ISNUMBER('자료_한국심리'!$M3885),ISNUMBER('자료_한국심리'!$N3885)),'자료_한국심리'!$M3885,"")</f>
        <v/>
      </c>
    </row>
    <row r="3902">
      <c r="U3902">
        <f>IF(AND(ISNUMBER('자료_한국심리'!$A3886),ISNUMBER('자료_한국심리'!$B3886)),'자료_한국심리'!$A3886,"")</f>
        <v/>
      </c>
      <c r="V3902">
        <f>IF(AND(ISNUMBER('자료_한국심리'!$D3886),ISNUMBER('자료_한국심리'!$E3886)),'자료_한국심리'!$D3886,"")</f>
        <v/>
      </c>
      <c r="W3902">
        <f>IF(AND(ISNUMBER('자료_한국심리'!$G3886),ISNUMBER('자료_한국심리'!$H3886)),'자료_한국심리'!$G3886,"")</f>
        <v/>
      </c>
      <c r="X3902">
        <f>IF(AND(ISNUMBER('자료_한국심리'!$J3886),ISNUMBER('자료_한국심리'!$K3886)),'자료_한국심리'!$J3886,"")</f>
        <v/>
      </c>
      <c r="Y3902">
        <f>IF(AND(ISNUMBER('자료_한국심리'!$M3886),ISNUMBER('자료_한국심리'!$N3886)),'자료_한국심리'!$M3886,"")</f>
        <v/>
      </c>
    </row>
    <row r="3903">
      <c r="U3903">
        <f>IF(AND(ISNUMBER('자료_한국심리'!$A3887),ISNUMBER('자료_한국심리'!$B3887)),'자료_한국심리'!$A3887,"")</f>
        <v/>
      </c>
      <c r="V3903">
        <f>IF(AND(ISNUMBER('자료_한국심리'!$D3887),ISNUMBER('자료_한국심리'!$E3887)),'자료_한국심리'!$D3887,"")</f>
        <v/>
      </c>
      <c r="W3903">
        <f>IF(AND(ISNUMBER('자료_한국심리'!$G3887),ISNUMBER('자료_한국심리'!$H3887)),'자료_한국심리'!$G3887,"")</f>
        <v/>
      </c>
      <c r="X3903">
        <f>IF(AND(ISNUMBER('자료_한국심리'!$J3887),ISNUMBER('자료_한국심리'!$K3887)),'자료_한국심리'!$J3887,"")</f>
        <v/>
      </c>
      <c r="Y3903">
        <f>IF(AND(ISNUMBER('자료_한국심리'!$M3887),ISNUMBER('자료_한국심리'!$N3887)),'자료_한국심리'!$M3887,"")</f>
        <v/>
      </c>
    </row>
    <row r="3904">
      <c r="U3904">
        <f>IF(AND(ISNUMBER('자료_한국심리'!$A3888),ISNUMBER('자료_한국심리'!$B3888)),'자료_한국심리'!$A3888,"")</f>
        <v/>
      </c>
      <c r="V3904">
        <f>IF(AND(ISNUMBER('자료_한국심리'!$D3888),ISNUMBER('자료_한국심리'!$E3888)),'자료_한국심리'!$D3888,"")</f>
        <v/>
      </c>
      <c r="W3904">
        <f>IF(AND(ISNUMBER('자료_한국심리'!$G3888),ISNUMBER('자료_한국심리'!$H3888)),'자료_한국심리'!$G3888,"")</f>
        <v/>
      </c>
      <c r="X3904">
        <f>IF(AND(ISNUMBER('자료_한국심리'!$J3888),ISNUMBER('자료_한국심리'!$K3888)),'자료_한국심리'!$J3888,"")</f>
        <v/>
      </c>
      <c r="Y3904">
        <f>IF(AND(ISNUMBER('자료_한국심리'!$M3888),ISNUMBER('자료_한국심리'!$N3888)),'자료_한국심리'!$M3888,"")</f>
        <v/>
      </c>
    </row>
    <row r="3905">
      <c r="U3905">
        <f>IF(AND(ISNUMBER('자료_한국심리'!$A3889),ISNUMBER('자료_한국심리'!$B3889)),'자료_한국심리'!$A3889,"")</f>
        <v/>
      </c>
      <c r="V3905">
        <f>IF(AND(ISNUMBER('자료_한국심리'!$D3889),ISNUMBER('자료_한국심리'!$E3889)),'자료_한국심리'!$D3889,"")</f>
        <v/>
      </c>
      <c r="W3905">
        <f>IF(AND(ISNUMBER('자료_한국심리'!$G3889),ISNUMBER('자료_한국심리'!$H3889)),'자료_한국심리'!$G3889,"")</f>
        <v/>
      </c>
      <c r="X3905">
        <f>IF(AND(ISNUMBER('자료_한국심리'!$J3889),ISNUMBER('자료_한국심리'!$K3889)),'자료_한국심리'!$J3889,"")</f>
        <v/>
      </c>
      <c r="Y3905">
        <f>IF(AND(ISNUMBER('자료_한국심리'!$M3889),ISNUMBER('자료_한국심리'!$N3889)),'자료_한국심리'!$M3889,"")</f>
        <v/>
      </c>
    </row>
    <row r="3906">
      <c r="U3906">
        <f>IF(AND(ISNUMBER('자료_한국심리'!$A3890),ISNUMBER('자료_한국심리'!$B3890)),'자료_한국심리'!$A3890,"")</f>
        <v/>
      </c>
      <c r="V3906">
        <f>IF(AND(ISNUMBER('자료_한국심리'!$D3890),ISNUMBER('자료_한국심리'!$E3890)),'자료_한국심리'!$D3890,"")</f>
        <v/>
      </c>
      <c r="W3906">
        <f>IF(AND(ISNUMBER('자료_한국심리'!$G3890),ISNUMBER('자료_한국심리'!$H3890)),'자료_한국심리'!$G3890,"")</f>
        <v/>
      </c>
      <c r="X3906">
        <f>IF(AND(ISNUMBER('자료_한국심리'!$J3890),ISNUMBER('자료_한국심리'!$K3890)),'자료_한국심리'!$J3890,"")</f>
        <v/>
      </c>
      <c r="Y3906">
        <f>IF(AND(ISNUMBER('자료_한국심리'!$M3890),ISNUMBER('자료_한국심리'!$N3890)),'자료_한국심리'!$M3890,"")</f>
        <v/>
      </c>
    </row>
    <row r="3907">
      <c r="U3907">
        <f>IF(AND(ISNUMBER('자료_한국심리'!$A3891),ISNUMBER('자료_한국심리'!$B3891)),'자료_한국심리'!$A3891,"")</f>
        <v/>
      </c>
      <c r="V3907">
        <f>IF(AND(ISNUMBER('자료_한국심리'!$D3891),ISNUMBER('자료_한국심리'!$E3891)),'자료_한국심리'!$D3891,"")</f>
        <v/>
      </c>
      <c r="W3907">
        <f>IF(AND(ISNUMBER('자료_한국심리'!$G3891),ISNUMBER('자료_한국심리'!$H3891)),'자료_한국심리'!$G3891,"")</f>
        <v/>
      </c>
      <c r="X3907">
        <f>IF(AND(ISNUMBER('자료_한국심리'!$J3891),ISNUMBER('자료_한국심리'!$K3891)),'자료_한국심리'!$J3891,"")</f>
        <v/>
      </c>
      <c r="Y3907">
        <f>IF(AND(ISNUMBER('자료_한국심리'!$M3891),ISNUMBER('자료_한국심리'!$N3891)),'자료_한국심리'!$M3891,"")</f>
        <v/>
      </c>
    </row>
    <row r="3908">
      <c r="U3908">
        <f>IF(AND(ISNUMBER('자료_한국심리'!$A3892),ISNUMBER('자료_한국심리'!$B3892)),'자료_한국심리'!$A3892,"")</f>
        <v/>
      </c>
      <c r="V3908">
        <f>IF(AND(ISNUMBER('자료_한국심리'!$D3892),ISNUMBER('자료_한국심리'!$E3892)),'자료_한국심리'!$D3892,"")</f>
        <v/>
      </c>
      <c r="W3908">
        <f>IF(AND(ISNUMBER('자료_한국심리'!$G3892),ISNUMBER('자료_한국심리'!$H3892)),'자료_한국심리'!$G3892,"")</f>
        <v/>
      </c>
      <c r="X3908">
        <f>IF(AND(ISNUMBER('자료_한국심리'!$J3892),ISNUMBER('자료_한국심리'!$K3892)),'자료_한국심리'!$J3892,"")</f>
        <v/>
      </c>
      <c r="Y3908">
        <f>IF(AND(ISNUMBER('자료_한국심리'!$M3892),ISNUMBER('자료_한국심리'!$N3892)),'자료_한국심리'!$M3892,"")</f>
        <v/>
      </c>
    </row>
    <row r="3909">
      <c r="U3909">
        <f>IF(AND(ISNUMBER('자료_한국심리'!$A3893),ISNUMBER('자료_한국심리'!$B3893)),'자료_한국심리'!$A3893,"")</f>
        <v/>
      </c>
      <c r="V3909">
        <f>IF(AND(ISNUMBER('자료_한국심리'!$D3893),ISNUMBER('자료_한국심리'!$E3893)),'자료_한국심리'!$D3893,"")</f>
        <v/>
      </c>
      <c r="W3909">
        <f>IF(AND(ISNUMBER('자료_한국심리'!$G3893),ISNUMBER('자료_한국심리'!$H3893)),'자료_한국심리'!$G3893,"")</f>
        <v/>
      </c>
      <c r="X3909">
        <f>IF(AND(ISNUMBER('자료_한국심리'!$J3893),ISNUMBER('자료_한국심리'!$K3893)),'자료_한국심리'!$J3893,"")</f>
        <v/>
      </c>
      <c r="Y3909">
        <f>IF(AND(ISNUMBER('자료_한국심리'!$M3893),ISNUMBER('자료_한국심리'!$N3893)),'자료_한국심리'!$M3893,"")</f>
        <v/>
      </c>
    </row>
    <row r="3910">
      <c r="U3910">
        <f>IF(AND(ISNUMBER('자료_한국심리'!$A3894),ISNUMBER('자료_한국심리'!$B3894)),'자료_한국심리'!$A3894,"")</f>
        <v/>
      </c>
      <c r="V3910">
        <f>IF(AND(ISNUMBER('자료_한국심리'!$D3894),ISNUMBER('자료_한국심리'!$E3894)),'자료_한국심리'!$D3894,"")</f>
        <v/>
      </c>
      <c r="W3910">
        <f>IF(AND(ISNUMBER('자료_한국심리'!$G3894),ISNUMBER('자료_한국심리'!$H3894)),'자료_한국심리'!$G3894,"")</f>
        <v/>
      </c>
      <c r="X3910">
        <f>IF(AND(ISNUMBER('자료_한국심리'!$J3894),ISNUMBER('자료_한국심리'!$K3894)),'자료_한국심리'!$J3894,"")</f>
        <v/>
      </c>
      <c r="Y3910">
        <f>IF(AND(ISNUMBER('자료_한국심리'!$M3894),ISNUMBER('자료_한국심리'!$N3894)),'자료_한국심리'!$M3894,"")</f>
        <v/>
      </c>
    </row>
    <row r="3911">
      <c r="U3911">
        <f>IF(AND(ISNUMBER('자료_한국심리'!$A3895),ISNUMBER('자료_한국심리'!$B3895)),'자료_한국심리'!$A3895,"")</f>
        <v/>
      </c>
      <c r="V3911">
        <f>IF(AND(ISNUMBER('자료_한국심리'!$D3895),ISNUMBER('자료_한국심리'!$E3895)),'자료_한국심리'!$D3895,"")</f>
        <v/>
      </c>
      <c r="W3911">
        <f>IF(AND(ISNUMBER('자료_한국심리'!$G3895),ISNUMBER('자료_한국심리'!$H3895)),'자료_한국심리'!$G3895,"")</f>
        <v/>
      </c>
      <c r="X3911">
        <f>IF(AND(ISNUMBER('자료_한국심리'!$J3895),ISNUMBER('자료_한국심리'!$K3895)),'자료_한국심리'!$J3895,"")</f>
        <v/>
      </c>
      <c r="Y3911">
        <f>IF(AND(ISNUMBER('자료_한국심리'!$M3895),ISNUMBER('자료_한국심리'!$N3895)),'자료_한국심리'!$M3895,"")</f>
        <v/>
      </c>
    </row>
    <row r="3912">
      <c r="U3912">
        <f>IF(AND(ISNUMBER('자료_한국심리'!$A3896),ISNUMBER('자료_한국심리'!$B3896)),'자료_한국심리'!$A3896,"")</f>
        <v/>
      </c>
      <c r="V3912">
        <f>IF(AND(ISNUMBER('자료_한국심리'!$D3896),ISNUMBER('자료_한국심리'!$E3896)),'자료_한국심리'!$D3896,"")</f>
        <v/>
      </c>
      <c r="W3912">
        <f>IF(AND(ISNUMBER('자료_한국심리'!$G3896),ISNUMBER('자료_한국심리'!$H3896)),'자료_한국심리'!$G3896,"")</f>
        <v/>
      </c>
      <c r="X3912">
        <f>IF(AND(ISNUMBER('자료_한국심리'!$J3896),ISNUMBER('자료_한국심리'!$K3896)),'자료_한국심리'!$J3896,"")</f>
        <v/>
      </c>
      <c r="Y3912">
        <f>IF(AND(ISNUMBER('자료_한국심리'!$M3896),ISNUMBER('자료_한국심리'!$N3896)),'자료_한국심리'!$M3896,"")</f>
        <v/>
      </c>
    </row>
    <row r="3913">
      <c r="U3913">
        <f>IF(AND(ISNUMBER('자료_한국심리'!$A3897),ISNUMBER('자료_한국심리'!$B3897)),'자료_한국심리'!$A3897,"")</f>
        <v/>
      </c>
      <c r="V3913">
        <f>IF(AND(ISNUMBER('자료_한국심리'!$D3897),ISNUMBER('자료_한국심리'!$E3897)),'자료_한국심리'!$D3897,"")</f>
        <v/>
      </c>
      <c r="W3913">
        <f>IF(AND(ISNUMBER('자료_한국심리'!$G3897),ISNUMBER('자료_한국심리'!$H3897)),'자료_한국심리'!$G3897,"")</f>
        <v/>
      </c>
      <c r="X3913">
        <f>IF(AND(ISNUMBER('자료_한국심리'!$J3897),ISNUMBER('자료_한국심리'!$K3897)),'자료_한국심리'!$J3897,"")</f>
        <v/>
      </c>
      <c r="Y3913">
        <f>IF(AND(ISNUMBER('자료_한국심리'!$M3897),ISNUMBER('자료_한국심리'!$N3897)),'자료_한국심리'!$M3897,"")</f>
        <v/>
      </c>
    </row>
    <row r="3914">
      <c r="U3914">
        <f>IF(AND(ISNUMBER('자료_한국심리'!$A3898),ISNUMBER('자료_한국심리'!$B3898)),'자료_한국심리'!$A3898,"")</f>
        <v/>
      </c>
      <c r="V3914">
        <f>IF(AND(ISNUMBER('자료_한국심리'!$D3898),ISNUMBER('자료_한국심리'!$E3898)),'자료_한국심리'!$D3898,"")</f>
        <v/>
      </c>
      <c r="W3914">
        <f>IF(AND(ISNUMBER('자료_한국심리'!$G3898),ISNUMBER('자료_한국심리'!$H3898)),'자료_한국심리'!$G3898,"")</f>
        <v/>
      </c>
      <c r="X3914">
        <f>IF(AND(ISNUMBER('자료_한국심리'!$J3898),ISNUMBER('자료_한국심리'!$K3898)),'자료_한국심리'!$J3898,"")</f>
        <v/>
      </c>
      <c r="Y3914">
        <f>IF(AND(ISNUMBER('자료_한국심리'!$M3898),ISNUMBER('자료_한국심리'!$N3898)),'자료_한국심리'!$M3898,"")</f>
        <v/>
      </c>
    </row>
    <row r="3915">
      <c r="U3915">
        <f>IF(AND(ISNUMBER('자료_한국심리'!$A3899),ISNUMBER('자료_한국심리'!$B3899)),'자료_한국심리'!$A3899,"")</f>
        <v/>
      </c>
      <c r="V3915">
        <f>IF(AND(ISNUMBER('자료_한국심리'!$D3899),ISNUMBER('자료_한국심리'!$E3899)),'자료_한국심리'!$D3899,"")</f>
        <v/>
      </c>
      <c r="W3915">
        <f>IF(AND(ISNUMBER('자료_한국심리'!$G3899),ISNUMBER('자료_한국심리'!$H3899)),'자료_한국심리'!$G3899,"")</f>
        <v/>
      </c>
      <c r="X3915">
        <f>IF(AND(ISNUMBER('자료_한국심리'!$J3899),ISNUMBER('자료_한국심리'!$K3899)),'자료_한국심리'!$J3899,"")</f>
        <v/>
      </c>
      <c r="Y3915">
        <f>IF(AND(ISNUMBER('자료_한국심리'!$M3899),ISNUMBER('자료_한국심리'!$N3899)),'자료_한국심리'!$M3899,"")</f>
        <v/>
      </c>
    </row>
    <row r="3916">
      <c r="U3916">
        <f>IF(AND(ISNUMBER('자료_한국심리'!$A3900),ISNUMBER('자료_한국심리'!$B3900)),'자료_한국심리'!$A3900,"")</f>
        <v/>
      </c>
      <c r="V3916">
        <f>IF(AND(ISNUMBER('자료_한국심리'!$D3900),ISNUMBER('자료_한국심리'!$E3900)),'자료_한국심리'!$D3900,"")</f>
        <v/>
      </c>
      <c r="W3916">
        <f>IF(AND(ISNUMBER('자료_한국심리'!$G3900),ISNUMBER('자료_한국심리'!$H3900)),'자료_한국심리'!$G3900,"")</f>
        <v/>
      </c>
      <c r="X3916">
        <f>IF(AND(ISNUMBER('자료_한국심리'!$J3900),ISNUMBER('자료_한국심리'!$K3900)),'자료_한국심리'!$J3900,"")</f>
        <v/>
      </c>
      <c r="Y3916">
        <f>IF(AND(ISNUMBER('자료_한국심리'!$M3900),ISNUMBER('자료_한국심리'!$N3900)),'자료_한국심리'!$M3900,"")</f>
        <v/>
      </c>
    </row>
    <row r="3917">
      <c r="U3917">
        <f>IF(AND(ISNUMBER('자료_한국심리'!$A3901),ISNUMBER('자료_한국심리'!$B3901)),'자료_한국심리'!$A3901,"")</f>
        <v/>
      </c>
      <c r="V3917">
        <f>IF(AND(ISNUMBER('자료_한국심리'!$D3901),ISNUMBER('자료_한국심리'!$E3901)),'자료_한국심리'!$D3901,"")</f>
        <v/>
      </c>
      <c r="W3917">
        <f>IF(AND(ISNUMBER('자료_한국심리'!$G3901),ISNUMBER('자료_한국심리'!$H3901)),'자료_한국심리'!$G3901,"")</f>
        <v/>
      </c>
      <c r="X3917">
        <f>IF(AND(ISNUMBER('자료_한국심리'!$J3901),ISNUMBER('자료_한국심리'!$K3901)),'자료_한국심리'!$J3901,"")</f>
        <v/>
      </c>
      <c r="Y3917">
        <f>IF(AND(ISNUMBER('자료_한국심리'!$M3901),ISNUMBER('자료_한국심리'!$N3901)),'자료_한국심리'!$M3901,"")</f>
        <v/>
      </c>
    </row>
    <row r="3918">
      <c r="U3918">
        <f>IF(AND(ISNUMBER('자료_한국심리'!$A3902),ISNUMBER('자료_한국심리'!$B3902)),'자료_한국심리'!$A3902,"")</f>
        <v/>
      </c>
      <c r="V3918">
        <f>IF(AND(ISNUMBER('자료_한국심리'!$D3902),ISNUMBER('자료_한국심리'!$E3902)),'자료_한국심리'!$D3902,"")</f>
        <v/>
      </c>
      <c r="W3918">
        <f>IF(AND(ISNUMBER('자료_한국심리'!$G3902),ISNUMBER('자료_한국심리'!$H3902)),'자료_한국심리'!$G3902,"")</f>
        <v/>
      </c>
      <c r="X3918">
        <f>IF(AND(ISNUMBER('자료_한국심리'!$J3902),ISNUMBER('자료_한국심리'!$K3902)),'자료_한국심리'!$J3902,"")</f>
        <v/>
      </c>
      <c r="Y3918">
        <f>IF(AND(ISNUMBER('자료_한국심리'!$M3902),ISNUMBER('자료_한국심리'!$N3902)),'자료_한국심리'!$M3902,"")</f>
        <v/>
      </c>
    </row>
    <row r="3919">
      <c r="U3919">
        <f>IF(AND(ISNUMBER('자료_한국심리'!$A3903),ISNUMBER('자료_한국심리'!$B3903)),'자료_한국심리'!$A3903,"")</f>
        <v/>
      </c>
      <c r="V3919">
        <f>IF(AND(ISNUMBER('자료_한국심리'!$D3903),ISNUMBER('자료_한국심리'!$E3903)),'자료_한국심리'!$D3903,"")</f>
        <v/>
      </c>
      <c r="W3919">
        <f>IF(AND(ISNUMBER('자료_한국심리'!$G3903),ISNUMBER('자료_한국심리'!$H3903)),'자료_한국심리'!$G3903,"")</f>
        <v/>
      </c>
      <c r="X3919">
        <f>IF(AND(ISNUMBER('자료_한국심리'!$J3903),ISNUMBER('자료_한국심리'!$K3903)),'자료_한국심리'!$J3903,"")</f>
        <v/>
      </c>
      <c r="Y3919">
        <f>IF(AND(ISNUMBER('자료_한국심리'!$M3903),ISNUMBER('자료_한국심리'!$N3903)),'자료_한국심리'!$M3903,"")</f>
        <v/>
      </c>
    </row>
    <row r="3920">
      <c r="U3920">
        <f>IF(AND(ISNUMBER('자료_한국심리'!$A3904),ISNUMBER('자료_한국심리'!$B3904)),'자료_한국심리'!$A3904,"")</f>
        <v/>
      </c>
      <c r="V3920">
        <f>IF(AND(ISNUMBER('자료_한국심리'!$D3904),ISNUMBER('자료_한국심리'!$E3904)),'자료_한국심리'!$D3904,"")</f>
        <v/>
      </c>
      <c r="W3920">
        <f>IF(AND(ISNUMBER('자료_한국심리'!$G3904),ISNUMBER('자료_한국심리'!$H3904)),'자료_한국심리'!$G3904,"")</f>
        <v/>
      </c>
      <c r="X3920">
        <f>IF(AND(ISNUMBER('자료_한국심리'!$J3904),ISNUMBER('자료_한국심리'!$K3904)),'자료_한국심리'!$J3904,"")</f>
        <v/>
      </c>
      <c r="Y3920">
        <f>IF(AND(ISNUMBER('자료_한국심리'!$M3904),ISNUMBER('자료_한국심리'!$N3904)),'자료_한국심리'!$M3904,"")</f>
        <v/>
      </c>
    </row>
    <row r="3921">
      <c r="U3921">
        <f>IF(AND(ISNUMBER('자료_한국심리'!$A3905),ISNUMBER('자료_한국심리'!$B3905)),'자료_한국심리'!$A3905,"")</f>
        <v/>
      </c>
      <c r="V3921">
        <f>IF(AND(ISNUMBER('자료_한국심리'!$D3905),ISNUMBER('자료_한국심리'!$E3905)),'자료_한국심리'!$D3905,"")</f>
        <v/>
      </c>
      <c r="W3921">
        <f>IF(AND(ISNUMBER('자료_한국심리'!$G3905),ISNUMBER('자료_한국심리'!$H3905)),'자료_한국심리'!$G3905,"")</f>
        <v/>
      </c>
      <c r="X3921">
        <f>IF(AND(ISNUMBER('자료_한국심리'!$J3905),ISNUMBER('자료_한국심리'!$K3905)),'자료_한국심리'!$J3905,"")</f>
        <v/>
      </c>
      <c r="Y3921">
        <f>IF(AND(ISNUMBER('자료_한국심리'!$M3905),ISNUMBER('자료_한국심리'!$N3905)),'자료_한국심리'!$M3905,"")</f>
        <v/>
      </c>
    </row>
    <row r="3922">
      <c r="U3922">
        <f>IF(AND(ISNUMBER('자료_한국심리'!$A3906),ISNUMBER('자료_한국심리'!$B3906)),'자료_한국심리'!$A3906,"")</f>
        <v/>
      </c>
      <c r="V3922">
        <f>IF(AND(ISNUMBER('자료_한국심리'!$D3906),ISNUMBER('자료_한국심리'!$E3906)),'자료_한국심리'!$D3906,"")</f>
        <v/>
      </c>
      <c r="W3922">
        <f>IF(AND(ISNUMBER('자료_한국심리'!$G3906),ISNUMBER('자료_한국심리'!$H3906)),'자료_한국심리'!$G3906,"")</f>
        <v/>
      </c>
      <c r="X3922">
        <f>IF(AND(ISNUMBER('자료_한국심리'!$J3906),ISNUMBER('자료_한국심리'!$K3906)),'자료_한국심리'!$J3906,"")</f>
        <v/>
      </c>
      <c r="Y3922">
        <f>IF(AND(ISNUMBER('자료_한국심리'!$M3906),ISNUMBER('자료_한국심리'!$N3906)),'자료_한국심리'!$M3906,"")</f>
        <v/>
      </c>
    </row>
    <row r="3923">
      <c r="U3923">
        <f>IF(AND(ISNUMBER('자료_한국심리'!$A3907),ISNUMBER('자료_한국심리'!$B3907)),'자료_한국심리'!$A3907,"")</f>
        <v/>
      </c>
      <c r="V3923">
        <f>IF(AND(ISNUMBER('자료_한국심리'!$D3907),ISNUMBER('자료_한국심리'!$E3907)),'자료_한국심리'!$D3907,"")</f>
        <v/>
      </c>
      <c r="W3923">
        <f>IF(AND(ISNUMBER('자료_한국심리'!$G3907),ISNUMBER('자료_한국심리'!$H3907)),'자료_한국심리'!$G3907,"")</f>
        <v/>
      </c>
      <c r="X3923">
        <f>IF(AND(ISNUMBER('자료_한국심리'!$J3907),ISNUMBER('자료_한국심리'!$K3907)),'자료_한국심리'!$J3907,"")</f>
        <v/>
      </c>
      <c r="Y3923">
        <f>IF(AND(ISNUMBER('자료_한국심리'!$M3907),ISNUMBER('자료_한국심리'!$N3907)),'자료_한국심리'!$M3907,"")</f>
        <v/>
      </c>
    </row>
    <row r="3924">
      <c r="U3924">
        <f>IF(AND(ISNUMBER('자료_한국심리'!$A3908),ISNUMBER('자료_한국심리'!$B3908)),'자료_한국심리'!$A3908,"")</f>
        <v/>
      </c>
      <c r="V3924">
        <f>IF(AND(ISNUMBER('자료_한국심리'!$D3908),ISNUMBER('자료_한국심리'!$E3908)),'자료_한국심리'!$D3908,"")</f>
        <v/>
      </c>
      <c r="W3924">
        <f>IF(AND(ISNUMBER('자료_한국심리'!$G3908),ISNUMBER('자료_한국심리'!$H3908)),'자료_한국심리'!$G3908,"")</f>
        <v/>
      </c>
      <c r="X3924">
        <f>IF(AND(ISNUMBER('자료_한국심리'!$J3908),ISNUMBER('자료_한국심리'!$K3908)),'자료_한국심리'!$J3908,"")</f>
        <v/>
      </c>
      <c r="Y3924">
        <f>IF(AND(ISNUMBER('자료_한국심리'!$M3908),ISNUMBER('자료_한국심리'!$N3908)),'자료_한국심리'!$M3908,"")</f>
        <v/>
      </c>
    </row>
    <row r="3925">
      <c r="U3925">
        <f>IF(AND(ISNUMBER('자료_한국심리'!$A3909),ISNUMBER('자료_한국심리'!$B3909)),'자료_한국심리'!$A3909,"")</f>
        <v/>
      </c>
      <c r="V3925">
        <f>IF(AND(ISNUMBER('자료_한국심리'!$D3909),ISNUMBER('자료_한국심리'!$E3909)),'자료_한국심리'!$D3909,"")</f>
        <v/>
      </c>
      <c r="W3925">
        <f>IF(AND(ISNUMBER('자료_한국심리'!$G3909),ISNUMBER('자료_한국심리'!$H3909)),'자료_한국심리'!$G3909,"")</f>
        <v/>
      </c>
      <c r="X3925">
        <f>IF(AND(ISNUMBER('자료_한국심리'!$J3909),ISNUMBER('자료_한국심리'!$K3909)),'자료_한국심리'!$J3909,"")</f>
        <v/>
      </c>
      <c r="Y3925">
        <f>IF(AND(ISNUMBER('자료_한국심리'!$M3909),ISNUMBER('자료_한국심리'!$N3909)),'자료_한국심리'!$M3909,"")</f>
        <v/>
      </c>
    </row>
    <row r="3926">
      <c r="U3926">
        <f>IF(AND(ISNUMBER('자료_한국심리'!$A3910),ISNUMBER('자료_한국심리'!$B3910)),'자료_한국심리'!$A3910,"")</f>
        <v/>
      </c>
      <c r="V3926">
        <f>IF(AND(ISNUMBER('자료_한국심리'!$D3910),ISNUMBER('자료_한국심리'!$E3910)),'자료_한국심리'!$D3910,"")</f>
        <v/>
      </c>
      <c r="W3926">
        <f>IF(AND(ISNUMBER('자료_한국심리'!$G3910),ISNUMBER('자료_한국심리'!$H3910)),'자료_한국심리'!$G3910,"")</f>
        <v/>
      </c>
      <c r="X3926">
        <f>IF(AND(ISNUMBER('자료_한국심리'!$J3910),ISNUMBER('자료_한국심리'!$K3910)),'자료_한국심리'!$J3910,"")</f>
        <v/>
      </c>
      <c r="Y3926">
        <f>IF(AND(ISNUMBER('자료_한국심리'!$M3910),ISNUMBER('자료_한국심리'!$N3910)),'자료_한국심리'!$M3910,"")</f>
        <v/>
      </c>
    </row>
    <row r="3927">
      <c r="U3927">
        <f>IF(AND(ISNUMBER('자료_한국심리'!$A3911),ISNUMBER('자료_한국심리'!$B3911)),'자료_한국심리'!$A3911,"")</f>
        <v/>
      </c>
      <c r="V3927">
        <f>IF(AND(ISNUMBER('자료_한국심리'!$D3911),ISNUMBER('자료_한국심리'!$E3911)),'자료_한국심리'!$D3911,"")</f>
        <v/>
      </c>
      <c r="W3927">
        <f>IF(AND(ISNUMBER('자료_한국심리'!$G3911),ISNUMBER('자료_한국심리'!$H3911)),'자료_한국심리'!$G3911,"")</f>
        <v/>
      </c>
      <c r="X3927">
        <f>IF(AND(ISNUMBER('자료_한국심리'!$J3911),ISNUMBER('자료_한국심리'!$K3911)),'자료_한국심리'!$J3911,"")</f>
        <v/>
      </c>
      <c r="Y3927">
        <f>IF(AND(ISNUMBER('자료_한국심리'!$M3911),ISNUMBER('자료_한국심리'!$N3911)),'자료_한국심리'!$M3911,"")</f>
        <v/>
      </c>
    </row>
    <row r="3928">
      <c r="U3928">
        <f>IF(AND(ISNUMBER('자료_한국심리'!$A3912),ISNUMBER('자료_한국심리'!$B3912)),'자료_한국심리'!$A3912,"")</f>
        <v/>
      </c>
      <c r="V3928">
        <f>IF(AND(ISNUMBER('자료_한국심리'!$D3912),ISNUMBER('자료_한국심리'!$E3912)),'자료_한국심리'!$D3912,"")</f>
        <v/>
      </c>
      <c r="W3928">
        <f>IF(AND(ISNUMBER('자료_한국심리'!$G3912),ISNUMBER('자료_한국심리'!$H3912)),'자료_한국심리'!$G3912,"")</f>
        <v/>
      </c>
      <c r="X3928">
        <f>IF(AND(ISNUMBER('자료_한국심리'!$J3912),ISNUMBER('자료_한국심리'!$K3912)),'자료_한국심리'!$J3912,"")</f>
        <v/>
      </c>
      <c r="Y3928">
        <f>IF(AND(ISNUMBER('자료_한국심리'!$M3912),ISNUMBER('자료_한국심리'!$N3912)),'자료_한국심리'!$M3912,"")</f>
        <v/>
      </c>
    </row>
    <row r="3929">
      <c r="U3929">
        <f>IF(AND(ISNUMBER('자료_한국심리'!$A3913),ISNUMBER('자료_한국심리'!$B3913)),'자료_한국심리'!$A3913,"")</f>
        <v/>
      </c>
      <c r="V3929">
        <f>IF(AND(ISNUMBER('자료_한국심리'!$D3913),ISNUMBER('자료_한국심리'!$E3913)),'자료_한국심리'!$D3913,"")</f>
        <v/>
      </c>
      <c r="W3929">
        <f>IF(AND(ISNUMBER('자료_한국심리'!$G3913),ISNUMBER('자료_한국심리'!$H3913)),'자료_한국심리'!$G3913,"")</f>
        <v/>
      </c>
      <c r="X3929">
        <f>IF(AND(ISNUMBER('자료_한국심리'!$J3913),ISNUMBER('자료_한국심리'!$K3913)),'자료_한국심리'!$J3913,"")</f>
        <v/>
      </c>
      <c r="Y3929">
        <f>IF(AND(ISNUMBER('자료_한국심리'!$M3913),ISNUMBER('자료_한국심리'!$N3913)),'자료_한국심리'!$M3913,"")</f>
        <v/>
      </c>
    </row>
    <row r="3930">
      <c r="U3930">
        <f>IF(AND(ISNUMBER('자료_한국심리'!$A3914),ISNUMBER('자료_한국심리'!$B3914)),'자료_한국심리'!$A3914,"")</f>
        <v/>
      </c>
      <c r="V3930">
        <f>IF(AND(ISNUMBER('자료_한국심리'!$D3914),ISNUMBER('자료_한국심리'!$E3914)),'자료_한국심리'!$D3914,"")</f>
        <v/>
      </c>
      <c r="W3930">
        <f>IF(AND(ISNUMBER('자료_한국심리'!$G3914),ISNUMBER('자료_한국심리'!$H3914)),'자료_한국심리'!$G3914,"")</f>
        <v/>
      </c>
      <c r="X3930">
        <f>IF(AND(ISNUMBER('자료_한국심리'!$J3914),ISNUMBER('자료_한국심리'!$K3914)),'자료_한국심리'!$J3914,"")</f>
        <v/>
      </c>
      <c r="Y3930">
        <f>IF(AND(ISNUMBER('자료_한국심리'!$M3914),ISNUMBER('자료_한국심리'!$N3914)),'자료_한국심리'!$M3914,"")</f>
        <v/>
      </c>
    </row>
    <row r="3931">
      <c r="U3931">
        <f>IF(AND(ISNUMBER('자료_한국심리'!$A3915),ISNUMBER('자료_한국심리'!$B3915)),'자료_한국심리'!$A3915,"")</f>
        <v/>
      </c>
      <c r="V3931">
        <f>IF(AND(ISNUMBER('자료_한국심리'!$D3915),ISNUMBER('자료_한국심리'!$E3915)),'자료_한국심리'!$D3915,"")</f>
        <v/>
      </c>
      <c r="W3931">
        <f>IF(AND(ISNUMBER('자료_한국심리'!$G3915),ISNUMBER('자료_한국심리'!$H3915)),'자료_한국심리'!$G3915,"")</f>
        <v/>
      </c>
      <c r="X3931">
        <f>IF(AND(ISNUMBER('자료_한국심리'!$J3915),ISNUMBER('자료_한국심리'!$K3915)),'자료_한국심리'!$J3915,"")</f>
        <v/>
      </c>
      <c r="Y3931">
        <f>IF(AND(ISNUMBER('자료_한국심리'!$M3915),ISNUMBER('자료_한국심리'!$N3915)),'자료_한국심리'!$M3915,"")</f>
        <v/>
      </c>
    </row>
    <row r="3932">
      <c r="U3932">
        <f>IF(AND(ISNUMBER('자료_한국심리'!$A3916),ISNUMBER('자료_한국심리'!$B3916)),'자료_한국심리'!$A3916,"")</f>
        <v/>
      </c>
      <c r="V3932">
        <f>IF(AND(ISNUMBER('자료_한국심리'!$D3916),ISNUMBER('자료_한국심리'!$E3916)),'자료_한국심리'!$D3916,"")</f>
        <v/>
      </c>
      <c r="W3932">
        <f>IF(AND(ISNUMBER('자료_한국심리'!$G3916),ISNUMBER('자료_한국심리'!$H3916)),'자료_한국심리'!$G3916,"")</f>
        <v/>
      </c>
      <c r="X3932">
        <f>IF(AND(ISNUMBER('자료_한국심리'!$J3916),ISNUMBER('자료_한국심리'!$K3916)),'자료_한국심리'!$J3916,"")</f>
        <v/>
      </c>
      <c r="Y3932">
        <f>IF(AND(ISNUMBER('자료_한국심리'!$M3916),ISNUMBER('자료_한국심리'!$N3916)),'자료_한국심리'!$M3916,"")</f>
        <v/>
      </c>
    </row>
    <row r="3933">
      <c r="U3933">
        <f>IF(AND(ISNUMBER('자료_한국심리'!$A3917),ISNUMBER('자료_한국심리'!$B3917)),'자료_한국심리'!$A3917,"")</f>
        <v/>
      </c>
      <c r="V3933">
        <f>IF(AND(ISNUMBER('자료_한국심리'!$D3917),ISNUMBER('자료_한국심리'!$E3917)),'자료_한국심리'!$D3917,"")</f>
        <v/>
      </c>
      <c r="W3933">
        <f>IF(AND(ISNUMBER('자료_한국심리'!$G3917),ISNUMBER('자료_한국심리'!$H3917)),'자료_한국심리'!$G3917,"")</f>
        <v/>
      </c>
      <c r="X3933">
        <f>IF(AND(ISNUMBER('자료_한국심리'!$J3917),ISNUMBER('자료_한국심리'!$K3917)),'자료_한국심리'!$J3917,"")</f>
        <v/>
      </c>
      <c r="Y3933">
        <f>IF(AND(ISNUMBER('자료_한국심리'!$M3917),ISNUMBER('자료_한국심리'!$N3917)),'자료_한국심리'!$M3917,"")</f>
        <v/>
      </c>
    </row>
    <row r="3934">
      <c r="U3934">
        <f>IF(AND(ISNUMBER('자료_한국심리'!$A3918),ISNUMBER('자료_한국심리'!$B3918)),'자료_한국심리'!$A3918,"")</f>
        <v/>
      </c>
      <c r="V3934">
        <f>IF(AND(ISNUMBER('자료_한국심리'!$D3918),ISNUMBER('자료_한국심리'!$E3918)),'자료_한국심리'!$D3918,"")</f>
        <v/>
      </c>
      <c r="W3934">
        <f>IF(AND(ISNUMBER('자료_한국심리'!$G3918),ISNUMBER('자료_한국심리'!$H3918)),'자료_한국심리'!$G3918,"")</f>
        <v/>
      </c>
      <c r="X3934">
        <f>IF(AND(ISNUMBER('자료_한국심리'!$J3918),ISNUMBER('자료_한국심리'!$K3918)),'자료_한국심리'!$J3918,"")</f>
        <v/>
      </c>
      <c r="Y3934">
        <f>IF(AND(ISNUMBER('자료_한국심리'!$M3918),ISNUMBER('자료_한국심리'!$N3918)),'자료_한국심리'!$M3918,"")</f>
        <v/>
      </c>
    </row>
    <row r="3935">
      <c r="U3935">
        <f>IF(AND(ISNUMBER('자료_한국심리'!$A3919),ISNUMBER('자료_한국심리'!$B3919)),'자료_한국심리'!$A3919,"")</f>
        <v/>
      </c>
      <c r="V3935">
        <f>IF(AND(ISNUMBER('자료_한국심리'!$D3919),ISNUMBER('자료_한국심리'!$E3919)),'자료_한국심리'!$D3919,"")</f>
        <v/>
      </c>
      <c r="W3935">
        <f>IF(AND(ISNUMBER('자료_한국심리'!$G3919),ISNUMBER('자료_한국심리'!$H3919)),'자료_한국심리'!$G3919,"")</f>
        <v/>
      </c>
      <c r="X3935">
        <f>IF(AND(ISNUMBER('자료_한국심리'!$J3919),ISNUMBER('자료_한국심리'!$K3919)),'자료_한국심리'!$J3919,"")</f>
        <v/>
      </c>
      <c r="Y3935">
        <f>IF(AND(ISNUMBER('자료_한국심리'!$M3919),ISNUMBER('자료_한국심리'!$N3919)),'자료_한국심리'!$M3919,"")</f>
        <v/>
      </c>
    </row>
    <row r="3936">
      <c r="U3936">
        <f>IF(AND(ISNUMBER('자료_한국심리'!$A3920),ISNUMBER('자료_한국심리'!$B3920)),'자료_한국심리'!$A3920,"")</f>
        <v/>
      </c>
      <c r="V3936">
        <f>IF(AND(ISNUMBER('자료_한국심리'!$D3920),ISNUMBER('자료_한국심리'!$E3920)),'자료_한국심리'!$D3920,"")</f>
        <v/>
      </c>
      <c r="W3936">
        <f>IF(AND(ISNUMBER('자료_한국심리'!$G3920),ISNUMBER('자료_한국심리'!$H3920)),'자료_한국심리'!$G3920,"")</f>
        <v/>
      </c>
      <c r="X3936">
        <f>IF(AND(ISNUMBER('자료_한국심리'!$J3920),ISNUMBER('자료_한국심리'!$K3920)),'자료_한국심리'!$J3920,"")</f>
        <v/>
      </c>
      <c r="Y3936">
        <f>IF(AND(ISNUMBER('자료_한국심리'!$M3920),ISNUMBER('자료_한국심리'!$N3920)),'자료_한국심리'!$M3920,"")</f>
        <v/>
      </c>
    </row>
    <row r="3937">
      <c r="U3937">
        <f>IF(AND(ISNUMBER('자료_한국심리'!$A3921),ISNUMBER('자료_한국심리'!$B3921)),'자료_한국심리'!$A3921,"")</f>
        <v/>
      </c>
      <c r="V3937">
        <f>IF(AND(ISNUMBER('자료_한국심리'!$D3921),ISNUMBER('자료_한국심리'!$E3921)),'자료_한국심리'!$D3921,"")</f>
        <v/>
      </c>
      <c r="W3937">
        <f>IF(AND(ISNUMBER('자료_한국심리'!$G3921),ISNUMBER('자료_한국심리'!$H3921)),'자료_한국심리'!$G3921,"")</f>
        <v/>
      </c>
      <c r="X3937">
        <f>IF(AND(ISNUMBER('자료_한국심리'!$J3921),ISNUMBER('자료_한국심리'!$K3921)),'자료_한국심리'!$J3921,"")</f>
        <v/>
      </c>
      <c r="Y3937">
        <f>IF(AND(ISNUMBER('자료_한국심리'!$M3921),ISNUMBER('자료_한국심리'!$N3921)),'자료_한국심리'!$M3921,"")</f>
        <v/>
      </c>
    </row>
    <row r="3938">
      <c r="U3938">
        <f>IF(AND(ISNUMBER('자료_한국심리'!$A3922),ISNUMBER('자료_한국심리'!$B3922)),'자료_한국심리'!$A3922,"")</f>
        <v/>
      </c>
      <c r="V3938">
        <f>IF(AND(ISNUMBER('자료_한국심리'!$D3922),ISNUMBER('자료_한국심리'!$E3922)),'자료_한국심리'!$D3922,"")</f>
        <v/>
      </c>
      <c r="W3938">
        <f>IF(AND(ISNUMBER('자료_한국심리'!$G3922),ISNUMBER('자료_한국심리'!$H3922)),'자료_한국심리'!$G3922,"")</f>
        <v/>
      </c>
      <c r="X3938">
        <f>IF(AND(ISNUMBER('자료_한국심리'!$J3922),ISNUMBER('자료_한국심리'!$K3922)),'자료_한국심리'!$J3922,"")</f>
        <v/>
      </c>
      <c r="Y3938">
        <f>IF(AND(ISNUMBER('자료_한국심리'!$M3922),ISNUMBER('자료_한국심리'!$N3922)),'자료_한국심리'!$M3922,"")</f>
        <v/>
      </c>
    </row>
    <row r="3939">
      <c r="U3939">
        <f>IF(AND(ISNUMBER('자료_한국심리'!$A3923),ISNUMBER('자료_한국심리'!$B3923)),'자료_한국심리'!$A3923,"")</f>
        <v/>
      </c>
      <c r="V3939">
        <f>IF(AND(ISNUMBER('자료_한국심리'!$D3923),ISNUMBER('자료_한국심리'!$E3923)),'자료_한국심리'!$D3923,"")</f>
        <v/>
      </c>
      <c r="W3939">
        <f>IF(AND(ISNUMBER('자료_한국심리'!$G3923),ISNUMBER('자료_한국심리'!$H3923)),'자료_한국심리'!$G3923,"")</f>
        <v/>
      </c>
      <c r="X3939">
        <f>IF(AND(ISNUMBER('자료_한국심리'!$J3923),ISNUMBER('자료_한국심리'!$K3923)),'자료_한국심리'!$J3923,"")</f>
        <v/>
      </c>
      <c r="Y3939">
        <f>IF(AND(ISNUMBER('자료_한국심리'!$M3923),ISNUMBER('자료_한국심리'!$N3923)),'자료_한국심리'!$M3923,"")</f>
        <v/>
      </c>
    </row>
    <row r="3940">
      <c r="U3940">
        <f>IF(AND(ISNUMBER('자료_한국심리'!$A3924),ISNUMBER('자료_한국심리'!$B3924)),'자료_한국심리'!$A3924,"")</f>
        <v/>
      </c>
      <c r="V3940">
        <f>IF(AND(ISNUMBER('자료_한국심리'!$D3924),ISNUMBER('자료_한국심리'!$E3924)),'자료_한국심리'!$D3924,"")</f>
        <v/>
      </c>
      <c r="W3940">
        <f>IF(AND(ISNUMBER('자료_한국심리'!$G3924),ISNUMBER('자료_한국심리'!$H3924)),'자료_한국심리'!$G3924,"")</f>
        <v/>
      </c>
      <c r="X3940">
        <f>IF(AND(ISNUMBER('자료_한국심리'!$J3924),ISNUMBER('자료_한국심리'!$K3924)),'자료_한국심리'!$J3924,"")</f>
        <v/>
      </c>
      <c r="Y3940">
        <f>IF(AND(ISNUMBER('자료_한국심리'!$M3924),ISNUMBER('자료_한국심리'!$N3924)),'자료_한국심리'!$M3924,"")</f>
        <v/>
      </c>
    </row>
    <row r="3941">
      <c r="U3941">
        <f>IF(AND(ISNUMBER('자료_한국심리'!$A3925),ISNUMBER('자료_한국심리'!$B3925)),'자료_한국심리'!$A3925,"")</f>
        <v/>
      </c>
      <c r="V3941">
        <f>IF(AND(ISNUMBER('자료_한국심리'!$D3925),ISNUMBER('자료_한국심리'!$E3925)),'자료_한국심리'!$D3925,"")</f>
        <v/>
      </c>
      <c r="W3941">
        <f>IF(AND(ISNUMBER('자료_한국심리'!$G3925),ISNUMBER('자료_한국심리'!$H3925)),'자료_한국심리'!$G3925,"")</f>
        <v/>
      </c>
      <c r="X3941">
        <f>IF(AND(ISNUMBER('자료_한국심리'!$J3925),ISNUMBER('자료_한국심리'!$K3925)),'자료_한국심리'!$J3925,"")</f>
        <v/>
      </c>
      <c r="Y3941">
        <f>IF(AND(ISNUMBER('자료_한국심리'!$M3925),ISNUMBER('자료_한국심리'!$N3925)),'자료_한국심리'!$M3925,"")</f>
        <v/>
      </c>
    </row>
    <row r="3942">
      <c r="U3942">
        <f>IF(AND(ISNUMBER('자료_한국심리'!$A3926),ISNUMBER('자료_한국심리'!$B3926)),'자료_한국심리'!$A3926,"")</f>
        <v/>
      </c>
      <c r="V3942">
        <f>IF(AND(ISNUMBER('자료_한국심리'!$D3926),ISNUMBER('자료_한국심리'!$E3926)),'자료_한국심리'!$D3926,"")</f>
        <v/>
      </c>
      <c r="W3942">
        <f>IF(AND(ISNUMBER('자료_한국심리'!$G3926),ISNUMBER('자료_한국심리'!$H3926)),'자료_한국심리'!$G3926,"")</f>
        <v/>
      </c>
      <c r="X3942">
        <f>IF(AND(ISNUMBER('자료_한국심리'!$J3926),ISNUMBER('자료_한국심리'!$K3926)),'자료_한국심리'!$J3926,"")</f>
        <v/>
      </c>
      <c r="Y3942">
        <f>IF(AND(ISNUMBER('자료_한국심리'!$M3926),ISNUMBER('자료_한국심리'!$N3926)),'자료_한국심리'!$M3926,"")</f>
        <v/>
      </c>
    </row>
    <row r="3943">
      <c r="U3943">
        <f>IF(AND(ISNUMBER('자료_한국심리'!$A3927),ISNUMBER('자료_한국심리'!$B3927)),'자료_한국심리'!$A3927,"")</f>
        <v/>
      </c>
      <c r="V3943">
        <f>IF(AND(ISNUMBER('자료_한국심리'!$D3927),ISNUMBER('자료_한국심리'!$E3927)),'자료_한국심리'!$D3927,"")</f>
        <v/>
      </c>
      <c r="W3943">
        <f>IF(AND(ISNUMBER('자료_한국심리'!$G3927),ISNUMBER('자료_한국심리'!$H3927)),'자료_한국심리'!$G3927,"")</f>
        <v/>
      </c>
      <c r="X3943">
        <f>IF(AND(ISNUMBER('자료_한국심리'!$J3927),ISNUMBER('자료_한국심리'!$K3927)),'자료_한국심리'!$J3927,"")</f>
        <v/>
      </c>
      <c r="Y3943">
        <f>IF(AND(ISNUMBER('자료_한국심리'!$M3927),ISNUMBER('자료_한국심리'!$N3927)),'자료_한국심리'!$M3927,"")</f>
        <v/>
      </c>
    </row>
    <row r="3944">
      <c r="U3944">
        <f>IF(AND(ISNUMBER('자료_한국심리'!$A3928),ISNUMBER('자료_한국심리'!$B3928)),'자료_한국심리'!$A3928,"")</f>
        <v/>
      </c>
      <c r="V3944">
        <f>IF(AND(ISNUMBER('자료_한국심리'!$D3928),ISNUMBER('자료_한국심리'!$E3928)),'자료_한국심리'!$D3928,"")</f>
        <v/>
      </c>
      <c r="W3944">
        <f>IF(AND(ISNUMBER('자료_한국심리'!$G3928),ISNUMBER('자료_한국심리'!$H3928)),'자료_한국심리'!$G3928,"")</f>
        <v/>
      </c>
      <c r="X3944">
        <f>IF(AND(ISNUMBER('자료_한국심리'!$J3928),ISNUMBER('자료_한국심리'!$K3928)),'자료_한국심리'!$J3928,"")</f>
        <v/>
      </c>
      <c r="Y3944">
        <f>IF(AND(ISNUMBER('자료_한국심리'!$M3928),ISNUMBER('자료_한국심리'!$N3928)),'자료_한국심리'!$M3928,"")</f>
        <v/>
      </c>
    </row>
    <row r="3945">
      <c r="U3945">
        <f>IF(AND(ISNUMBER('자료_한국심리'!$A3929),ISNUMBER('자료_한국심리'!$B3929)),'자료_한국심리'!$A3929,"")</f>
        <v/>
      </c>
      <c r="V3945">
        <f>IF(AND(ISNUMBER('자료_한국심리'!$D3929),ISNUMBER('자료_한국심리'!$E3929)),'자료_한국심리'!$D3929,"")</f>
        <v/>
      </c>
      <c r="W3945">
        <f>IF(AND(ISNUMBER('자료_한국심리'!$G3929),ISNUMBER('자료_한국심리'!$H3929)),'자료_한국심리'!$G3929,"")</f>
        <v/>
      </c>
      <c r="X3945">
        <f>IF(AND(ISNUMBER('자료_한국심리'!$J3929),ISNUMBER('자료_한국심리'!$K3929)),'자료_한국심리'!$J3929,"")</f>
        <v/>
      </c>
      <c r="Y3945">
        <f>IF(AND(ISNUMBER('자료_한국심리'!$M3929),ISNUMBER('자료_한국심리'!$N3929)),'자료_한국심리'!$M3929,"")</f>
        <v/>
      </c>
    </row>
    <row r="3946">
      <c r="U3946">
        <f>IF(AND(ISNUMBER('자료_한국심리'!$A3930),ISNUMBER('자료_한국심리'!$B3930)),'자료_한국심리'!$A3930,"")</f>
        <v/>
      </c>
      <c r="V3946">
        <f>IF(AND(ISNUMBER('자료_한국심리'!$D3930),ISNUMBER('자료_한국심리'!$E3930)),'자료_한국심리'!$D3930,"")</f>
        <v/>
      </c>
      <c r="W3946">
        <f>IF(AND(ISNUMBER('자료_한국심리'!$G3930),ISNUMBER('자료_한국심리'!$H3930)),'자료_한국심리'!$G3930,"")</f>
        <v/>
      </c>
      <c r="X3946">
        <f>IF(AND(ISNUMBER('자료_한국심리'!$J3930),ISNUMBER('자료_한국심리'!$K3930)),'자료_한국심리'!$J3930,"")</f>
        <v/>
      </c>
      <c r="Y3946">
        <f>IF(AND(ISNUMBER('자료_한국심리'!$M3930),ISNUMBER('자료_한국심리'!$N3930)),'자료_한국심리'!$M3930,"")</f>
        <v/>
      </c>
    </row>
    <row r="3947">
      <c r="U3947">
        <f>IF(AND(ISNUMBER('자료_한국심리'!$A3931),ISNUMBER('자료_한국심리'!$B3931)),'자료_한국심리'!$A3931,"")</f>
        <v/>
      </c>
      <c r="V3947">
        <f>IF(AND(ISNUMBER('자료_한국심리'!$D3931),ISNUMBER('자료_한국심리'!$E3931)),'자료_한국심리'!$D3931,"")</f>
        <v/>
      </c>
      <c r="W3947">
        <f>IF(AND(ISNUMBER('자료_한국심리'!$G3931),ISNUMBER('자료_한국심리'!$H3931)),'자료_한국심리'!$G3931,"")</f>
        <v/>
      </c>
      <c r="X3947">
        <f>IF(AND(ISNUMBER('자료_한국심리'!$J3931),ISNUMBER('자료_한국심리'!$K3931)),'자료_한국심리'!$J3931,"")</f>
        <v/>
      </c>
      <c r="Y3947">
        <f>IF(AND(ISNUMBER('자료_한국심리'!$M3931),ISNUMBER('자료_한국심리'!$N3931)),'자료_한국심리'!$M3931,"")</f>
        <v/>
      </c>
    </row>
    <row r="3948">
      <c r="U3948">
        <f>IF(AND(ISNUMBER('자료_한국심리'!$A3932),ISNUMBER('자료_한국심리'!$B3932)),'자료_한국심리'!$A3932,"")</f>
        <v/>
      </c>
      <c r="V3948">
        <f>IF(AND(ISNUMBER('자료_한국심리'!$D3932),ISNUMBER('자료_한국심리'!$E3932)),'자료_한국심리'!$D3932,"")</f>
        <v/>
      </c>
      <c r="W3948">
        <f>IF(AND(ISNUMBER('자료_한국심리'!$G3932),ISNUMBER('자료_한국심리'!$H3932)),'자료_한국심리'!$G3932,"")</f>
        <v/>
      </c>
      <c r="X3948">
        <f>IF(AND(ISNUMBER('자료_한국심리'!$J3932),ISNUMBER('자료_한국심리'!$K3932)),'자료_한국심리'!$J3932,"")</f>
        <v/>
      </c>
      <c r="Y3948">
        <f>IF(AND(ISNUMBER('자료_한국심리'!$M3932),ISNUMBER('자료_한국심리'!$N3932)),'자료_한국심리'!$M3932,"")</f>
        <v/>
      </c>
    </row>
    <row r="3949">
      <c r="U3949">
        <f>IF(AND(ISNUMBER('자료_한국심리'!$A3933),ISNUMBER('자료_한국심리'!$B3933)),'자료_한국심리'!$A3933,"")</f>
        <v/>
      </c>
      <c r="V3949">
        <f>IF(AND(ISNUMBER('자료_한국심리'!$D3933),ISNUMBER('자료_한국심리'!$E3933)),'자료_한국심리'!$D3933,"")</f>
        <v/>
      </c>
      <c r="W3949">
        <f>IF(AND(ISNUMBER('자료_한국심리'!$G3933),ISNUMBER('자료_한국심리'!$H3933)),'자료_한국심리'!$G3933,"")</f>
        <v/>
      </c>
      <c r="X3949">
        <f>IF(AND(ISNUMBER('자료_한국심리'!$J3933),ISNUMBER('자료_한국심리'!$K3933)),'자료_한국심리'!$J3933,"")</f>
        <v/>
      </c>
      <c r="Y3949">
        <f>IF(AND(ISNUMBER('자료_한국심리'!$M3933),ISNUMBER('자료_한국심리'!$N3933)),'자료_한국심리'!$M3933,"")</f>
        <v/>
      </c>
    </row>
    <row r="3950">
      <c r="U3950">
        <f>IF(AND(ISNUMBER('자료_한국심리'!$A3934),ISNUMBER('자료_한국심리'!$B3934)),'자료_한국심리'!$A3934,"")</f>
        <v/>
      </c>
      <c r="V3950">
        <f>IF(AND(ISNUMBER('자료_한국심리'!$D3934),ISNUMBER('자료_한국심리'!$E3934)),'자료_한국심리'!$D3934,"")</f>
        <v/>
      </c>
      <c r="W3950">
        <f>IF(AND(ISNUMBER('자료_한국심리'!$G3934),ISNUMBER('자료_한국심리'!$H3934)),'자료_한국심리'!$G3934,"")</f>
        <v/>
      </c>
      <c r="X3950">
        <f>IF(AND(ISNUMBER('자료_한국심리'!$J3934),ISNUMBER('자료_한국심리'!$K3934)),'자료_한국심리'!$J3934,"")</f>
        <v/>
      </c>
      <c r="Y3950">
        <f>IF(AND(ISNUMBER('자료_한국심리'!$M3934),ISNUMBER('자료_한국심리'!$N3934)),'자료_한국심리'!$M3934,"")</f>
        <v/>
      </c>
    </row>
    <row r="3951">
      <c r="U3951">
        <f>IF(AND(ISNUMBER('자료_한국심리'!$A3935),ISNUMBER('자료_한국심리'!$B3935)),'자료_한국심리'!$A3935,"")</f>
        <v/>
      </c>
      <c r="V3951">
        <f>IF(AND(ISNUMBER('자료_한국심리'!$D3935),ISNUMBER('자료_한국심리'!$E3935)),'자료_한국심리'!$D3935,"")</f>
        <v/>
      </c>
      <c r="W3951">
        <f>IF(AND(ISNUMBER('자료_한국심리'!$G3935),ISNUMBER('자료_한국심리'!$H3935)),'자료_한국심리'!$G3935,"")</f>
        <v/>
      </c>
      <c r="X3951">
        <f>IF(AND(ISNUMBER('자료_한국심리'!$J3935),ISNUMBER('자료_한국심리'!$K3935)),'자료_한국심리'!$J3935,"")</f>
        <v/>
      </c>
      <c r="Y3951">
        <f>IF(AND(ISNUMBER('자료_한국심리'!$M3935),ISNUMBER('자료_한국심리'!$N3935)),'자료_한국심리'!$M3935,"")</f>
        <v/>
      </c>
    </row>
    <row r="3952">
      <c r="U3952">
        <f>IF(AND(ISNUMBER('자료_한국심리'!$A3936),ISNUMBER('자료_한국심리'!$B3936)),'자료_한국심리'!$A3936,"")</f>
        <v/>
      </c>
      <c r="V3952">
        <f>IF(AND(ISNUMBER('자료_한국심리'!$D3936),ISNUMBER('자료_한국심리'!$E3936)),'자료_한국심리'!$D3936,"")</f>
        <v/>
      </c>
      <c r="W3952">
        <f>IF(AND(ISNUMBER('자료_한국심리'!$G3936),ISNUMBER('자료_한국심리'!$H3936)),'자료_한국심리'!$G3936,"")</f>
        <v/>
      </c>
      <c r="X3952">
        <f>IF(AND(ISNUMBER('자료_한국심리'!$J3936),ISNUMBER('자료_한국심리'!$K3936)),'자료_한국심리'!$J3936,"")</f>
        <v/>
      </c>
      <c r="Y3952">
        <f>IF(AND(ISNUMBER('자료_한국심리'!$M3936),ISNUMBER('자료_한국심리'!$N3936)),'자료_한국심리'!$M3936,"")</f>
        <v/>
      </c>
    </row>
    <row r="3953">
      <c r="U3953">
        <f>IF(AND(ISNUMBER('자료_한국심리'!$A3937),ISNUMBER('자료_한국심리'!$B3937)),'자료_한국심리'!$A3937,"")</f>
        <v/>
      </c>
      <c r="V3953">
        <f>IF(AND(ISNUMBER('자료_한국심리'!$D3937),ISNUMBER('자료_한국심리'!$E3937)),'자료_한국심리'!$D3937,"")</f>
        <v/>
      </c>
      <c r="W3953">
        <f>IF(AND(ISNUMBER('자료_한국심리'!$G3937),ISNUMBER('자료_한국심리'!$H3937)),'자료_한국심리'!$G3937,"")</f>
        <v/>
      </c>
      <c r="X3953">
        <f>IF(AND(ISNUMBER('자료_한국심리'!$J3937),ISNUMBER('자료_한국심리'!$K3937)),'자료_한국심리'!$J3937,"")</f>
        <v/>
      </c>
      <c r="Y3953">
        <f>IF(AND(ISNUMBER('자료_한국심리'!$M3937),ISNUMBER('자료_한국심리'!$N3937)),'자료_한국심리'!$M3937,"")</f>
        <v/>
      </c>
    </row>
    <row r="3954">
      <c r="U3954">
        <f>IF(AND(ISNUMBER('자료_한국심리'!$A3938),ISNUMBER('자료_한국심리'!$B3938)),'자료_한국심리'!$A3938,"")</f>
        <v/>
      </c>
      <c r="V3954">
        <f>IF(AND(ISNUMBER('자료_한국심리'!$D3938),ISNUMBER('자료_한국심리'!$E3938)),'자료_한국심리'!$D3938,"")</f>
        <v/>
      </c>
      <c r="W3954">
        <f>IF(AND(ISNUMBER('자료_한국심리'!$G3938),ISNUMBER('자료_한국심리'!$H3938)),'자료_한국심리'!$G3938,"")</f>
        <v/>
      </c>
      <c r="X3954">
        <f>IF(AND(ISNUMBER('자료_한국심리'!$J3938),ISNUMBER('자료_한국심리'!$K3938)),'자료_한국심리'!$J3938,"")</f>
        <v/>
      </c>
      <c r="Y3954">
        <f>IF(AND(ISNUMBER('자료_한국심리'!$M3938),ISNUMBER('자료_한국심리'!$N3938)),'자료_한국심리'!$M3938,"")</f>
        <v/>
      </c>
    </row>
    <row r="3955">
      <c r="U3955">
        <f>IF(AND(ISNUMBER('자료_한국심리'!$A3939),ISNUMBER('자료_한국심리'!$B3939)),'자료_한국심리'!$A3939,"")</f>
        <v/>
      </c>
      <c r="V3955">
        <f>IF(AND(ISNUMBER('자료_한국심리'!$D3939),ISNUMBER('자료_한국심리'!$E3939)),'자료_한국심리'!$D3939,"")</f>
        <v/>
      </c>
      <c r="W3955">
        <f>IF(AND(ISNUMBER('자료_한국심리'!$G3939),ISNUMBER('자료_한국심리'!$H3939)),'자료_한국심리'!$G3939,"")</f>
        <v/>
      </c>
      <c r="X3955">
        <f>IF(AND(ISNUMBER('자료_한국심리'!$J3939),ISNUMBER('자료_한국심리'!$K3939)),'자료_한국심리'!$J3939,"")</f>
        <v/>
      </c>
      <c r="Y3955">
        <f>IF(AND(ISNUMBER('자료_한국심리'!$M3939),ISNUMBER('자료_한국심리'!$N3939)),'자료_한국심리'!$M3939,"")</f>
        <v/>
      </c>
    </row>
    <row r="3956">
      <c r="U3956">
        <f>IF(AND(ISNUMBER('자료_한국심리'!$A3940),ISNUMBER('자료_한국심리'!$B3940)),'자료_한국심리'!$A3940,"")</f>
        <v/>
      </c>
      <c r="V3956">
        <f>IF(AND(ISNUMBER('자료_한국심리'!$D3940),ISNUMBER('자료_한국심리'!$E3940)),'자료_한국심리'!$D3940,"")</f>
        <v/>
      </c>
      <c r="W3956">
        <f>IF(AND(ISNUMBER('자료_한국심리'!$G3940),ISNUMBER('자료_한국심리'!$H3940)),'자료_한국심리'!$G3940,"")</f>
        <v/>
      </c>
      <c r="X3956">
        <f>IF(AND(ISNUMBER('자료_한국심리'!$J3940),ISNUMBER('자료_한국심리'!$K3940)),'자료_한국심리'!$J3940,"")</f>
        <v/>
      </c>
      <c r="Y3956">
        <f>IF(AND(ISNUMBER('자료_한국심리'!$M3940),ISNUMBER('자료_한국심리'!$N3940)),'자료_한국심리'!$M3940,"")</f>
        <v/>
      </c>
    </row>
    <row r="3957">
      <c r="U3957">
        <f>IF(AND(ISNUMBER('자료_한국심리'!$A3941),ISNUMBER('자료_한국심리'!$B3941)),'자료_한국심리'!$A3941,"")</f>
        <v/>
      </c>
      <c r="V3957">
        <f>IF(AND(ISNUMBER('자료_한국심리'!$D3941),ISNUMBER('자료_한국심리'!$E3941)),'자료_한국심리'!$D3941,"")</f>
        <v/>
      </c>
      <c r="W3957">
        <f>IF(AND(ISNUMBER('자료_한국심리'!$G3941),ISNUMBER('자료_한국심리'!$H3941)),'자료_한국심리'!$G3941,"")</f>
        <v/>
      </c>
      <c r="X3957">
        <f>IF(AND(ISNUMBER('자료_한국심리'!$J3941),ISNUMBER('자료_한국심리'!$K3941)),'자료_한국심리'!$J3941,"")</f>
        <v/>
      </c>
      <c r="Y3957">
        <f>IF(AND(ISNUMBER('자료_한국심리'!$M3941),ISNUMBER('자료_한국심리'!$N3941)),'자료_한국심리'!$M3941,"")</f>
        <v/>
      </c>
    </row>
    <row r="3958">
      <c r="U3958">
        <f>IF(AND(ISNUMBER('자료_한국심리'!$A3942),ISNUMBER('자료_한국심리'!$B3942)),'자료_한국심리'!$A3942,"")</f>
        <v/>
      </c>
      <c r="V3958">
        <f>IF(AND(ISNUMBER('자료_한국심리'!$D3942),ISNUMBER('자료_한국심리'!$E3942)),'자료_한국심리'!$D3942,"")</f>
        <v/>
      </c>
      <c r="W3958">
        <f>IF(AND(ISNUMBER('자료_한국심리'!$G3942),ISNUMBER('자료_한국심리'!$H3942)),'자료_한국심리'!$G3942,"")</f>
        <v/>
      </c>
      <c r="X3958">
        <f>IF(AND(ISNUMBER('자료_한국심리'!$J3942),ISNUMBER('자료_한국심리'!$K3942)),'자료_한국심리'!$J3942,"")</f>
        <v/>
      </c>
      <c r="Y3958">
        <f>IF(AND(ISNUMBER('자료_한국심리'!$M3942),ISNUMBER('자료_한국심리'!$N3942)),'자료_한국심리'!$M3942,"")</f>
        <v/>
      </c>
    </row>
    <row r="3959">
      <c r="U3959">
        <f>IF(AND(ISNUMBER('자료_한국심리'!$A3943),ISNUMBER('자료_한국심리'!$B3943)),'자료_한국심리'!$A3943,"")</f>
        <v/>
      </c>
      <c r="V3959">
        <f>IF(AND(ISNUMBER('자료_한국심리'!$D3943),ISNUMBER('자료_한국심리'!$E3943)),'자료_한국심리'!$D3943,"")</f>
        <v/>
      </c>
      <c r="W3959">
        <f>IF(AND(ISNUMBER('자료_한국심리'!$G3943),ISNUMBER('자료_한국심리'!$H3943)),'자료_한국심리'!$G3943,"")</f>
        <v/>
      </c>
      <c r="X3959">
        <f>IF(AND(ISNUMBER('자료_한국심리'!$J3943),ISNUMBER('자료_한국심리'!$K3943)),'자료_한국심리'!$J3943,"")</f>
        <v/>
      </c>
      <c r="Y3959">
        <f>IF(AND(ISNUMBER('자료_한국심리'!$M3943),ISNUMBER('자료_한국심리'!$N3943)),'자료_한국심리'!$M3943,"")</f>
        <v/>
      </c>
    </row>
    <row r="3960">
      <c r="U3960">
        <f>IF(AND(ISNUMBER('자료_한국심리'!$A3944),ISNUMBER('자료_한국심리'!$B3944)),'자료_한국심리'!$A3944,"")</f>
        <v/>
      </c>
      <c r="V3960">
        <f>IF(AND(ISNUMBER('자료_한국심리'!$D3944),ISNUMBER('자료_한국심리'!$E3944)),'자료_한국심리'!$D3944,"")</f>
        <v/>
      </c>
      <c r="W3960">
        <f>IF(AND(ISNUMBER('자료_한국심리'!$G3944),ISNUMBER('자료_한국심리'!$H3944)),'자료_한국심리'!$G3944,"")</f>
        <v/>
      </c>
      <c r="X3960">
        <f>IF(AND(ISNUMBER('자료_한국심리'!$J3944),ISNUMBER('자료_한국심리'!$K3944)),'자료_한국심리'!$J3944,"")</f>
        <v/>
      </c>
      <c r="Y3960">
        <f>IF(AND(ISNUMBER('자료_한국심리'!$M3944),ISNUMBER('자료_한국심리'!$N3944)),'자료_한국심리'!$M3944,"")</f>
        <v/>
      </c>
    </row>
    <row r="3961">
      <c r="U3961">
        <f>IF(AND(ISNUMBER('자료_한국심리'!$A3945),ISNUMBER('자료_한국심리'!$B3945)),'자료_한국심리'!$A3945,"")</f>
        <v/>
      </c>
      <c r="V3961">
        <f>IF(AND(ISNUMBER('자료_한국심리'!$D3945),ISNUMBER('자료_한국심리'!$E3945)),'자료_한국심리'!$D3945,"")</f>
        <v/>
      </c>
      <c r="W3961">
        <f>IF(AND(ISNUMBER('자료_한국심리'!$G3945),ISNUMBER('자료_한국심리'!$H3945)),'자료_한국심리'!$G3945,"")</f>
        <v/>
      </c>
      <c r="X3961">
        <f>IF(AND(ISNUMBER('자료_한국심리'!$J3945),ISNUMBER('자료_한국심리'!$K3945)),'자료_한국심리'!$J3945,"")</f>
        <v/>
      </c>
      <c r="Y3961">
        <f>IF(AND(ISNUMBER('자료_한국심리'!$M3945),ISNUMBER('자료_한국심리'!$N3945)),'자료_한국심리'!$M3945,"")</f>
        <v/>
      </c>
    </row>
    <row r="3962">
      <c r="U3962">
        <f>IF(AND(ISNUMBER('자료_한국심리'!$A3946),ISNUMBER('자료_한국심리'!$B3946)),'자료_한국심리'!$A3946,"")</f>
        <v/>
      </c>
      <c r="V3962">
        <f>IF(AND(ISNUMBER('자료_한국심리'!$D3946),ISNUMBER('자료_한국심리'!$E3946)),'자료_한국심리'!$D3946,"")</f>
        <v/>
      </c>
      <c r="W3962">
        <f>IF(AND(ISNUMBER('자료_한국심리'!$G3946),ISNUMBER('자료_한국심리'!$H3946)),'자료_한국심리'!$G3946,"")</f>
        <v/>
      </c>
      <c r="X3962">
        <f>IF(AND(ISNUMBER('자료_한국심리'!$J3946),ISNUMBER('자료_한국심리'!$K3946)),'자료_한국심리'!$J3946,"")</f>
        <v/>
      </c>
      <c r="Y3962">
        <f>IF(AND(ISNUMBER('자료_한국심리'!$M3946),ISNUMBER('자료_한국심리'!$N3946)),'자료_한국심리'!$M3946,"")</f>
        <v/>
      </c>
    </row>
    <row r="3963">
      <c r="U3963">
        <f>IF(AND(ISNUMBER('자료_한국심리'!$A3947),ISNUMBER('자료_한국심리'!$B3947)),'자료_한국심리'!$A3947,"")</f>
        <v/>
      </c>
      <c r="V3963">
        <f>IF(AND(ISNUMBER('자료_한국심리'!$D3947),ISNUMBER('자료_한국심리'!$E3947)),'자료_한국심리'!$D3947,"")</f>
        <v/>
      </c>
      <c r="W3963">
        <f>IF(AND(ISNUMBER('자료_한국심리'!$G3947),ISNUMBER('자료_한국심리'!$H3947)),'자료_한국심리'!$G3947,"")</f>
        <v/>
      </c>
      <c r="X3963">
        <f>IF(AND(ISNUMBER('자료_한국심리'!$J3947),ISNUMBER('자료_한국심리'!$K3947)),'자료_한국심리'!$J3947,"")</f>
        <v/>
      </c>
      <c r="Y3963">
        <f>IF(AND(ISNUMBER('자료_한국심리'!$M3947),ISNUMBER('자료_한국심리'!$N3947)),'자료_한국심리'!$M3947,"")</f>
        <v/>
      </c>
    </row>
    <row r="3964">
      <c r="U3964">
        <f>IF(AND(ISNUMBER('자료_한국심리'!$A3948),ISNUMBER('자료_한국심리'!$B3948)),'자료_한국심리'!$A3948,"")</f>
        <v/>
      </c>
      <c r="V3964">
        <f>IF(AND(ISNUMBER('자료_한국심리'!$D3948),ISNUMBER('자료_한국심리'!$E3948)),'자료_한국심리'!$D3948,"")</f>
        <v/>
      </c>
      <c r="W3964">
        <f>IF(AND(ISNUMBER('자료_한국심리'!$G3948),ISNUMBER('자료_한국심리'!$H3948)),'자료_한국심리'!$G3948,"")</f>
        <v/>
      </c>
      <c r="X3964">
        <f>IF(AND(ISNUMBER('자료_한국심리'!$J3948),ISNUMBER('자료_한국심리'!$K3948)),'자료_한국심리'!$J3948,"")</f>
        <v/>
      </c>
      <c r="Y3964">
        <f>IF(AND(ISNUMBER('자료_한국심리'!$M3948),ISNUMBER('자료_한국심리'!$N3948)),'자료_한국심리'!$M3948,"")</f>
        <v/>
      </c>
    </row>
    <row r="3965">
      <c r="U3965">
        <f>IF(AND(ISNUMBER('자료_한국심리'!$A3949),ISNUMBER('자료_한국심리'!$B3949)),'자료_한국심리'!$A3949,"")</f>
        <v/>
      </c>
      <c r="V3965">
        <f>IF(AND(ISNUMBER('자료_한국심리'!$D3949),ISNUMBER('자료_한국심리'!$E3949)),'자료_한국심리'!$D3949,"")</f>
        <v/>
      </c>
      <c r="W3965">
        <f>IF(AND(ISNUMBER('자료_한국심리'!$G3949),ISNUMBER('자료_한국심리'!$H3949)),'자료_한국심리'!$G3949,"")</f>
        <v/>
      </c>
      <c r="X3965">
        <f>IF(AND(ISNUMBER('자료_한국심리'!$J3949),ISNUMBER('자료_한국심리'!$K3949)),'자료_한국심리'!$J3949,"")</f>
        <v/>
      </c>
      <c r="Y3965">
        <f>IF(AND(ISNUMBER('자료_한국심리'!$M3949),ISNUMBER('자료_한국심리'!$N3949)),'자료_한국심리'!$M3949,"")</f>
        <v/>
      </c>
    </row>
    <row r="3966">
      <c r="U3966">
        <f>IF(AND(ISNUMBER('자료_한국심리'!$A3950),ISNUMBER('자료_한국심리'!$B3950)),'자료_한국심리'!$A3950,"")</f>
        <v/>
      </c>
      <c r="V3966">
        <f>IF(AND(ISNUMBER('자료_한국심리'!$D3950),ISNUMBER('자료_한국심리'!$E3950)),'자료_한국심리'!$D3950,"")</f>
        <v/>
      </c>
      <c r="W3966">
        <f>IF(AND(ISNUMBER('자료_한국심리'!$G3950),ISNUMBER('자료_한국심리'!$H3950)),'자료_한국심리'!$G3950,"")</f>
        <v/>
      </c>
      <c r="X3966">
        <f>IF(AND(ISNUMBER('자료_한국심리'!$J3950),ISNUMBER('자료_한국심리'!$K3950)),'자료_한국심리'!$J3950,"")</f>
        <v/>
      </c>
      <c r="Y3966">
        <f>IF(AND(ISNUMBER('자료_한국심리'!$M3950),ISNUMBER('자료_한국심리'!$N3950)),'자료_한국심리'!$M3950,"")</f>
        <v/>
      </c>
    </row>
    <row r="3967">
      <c r="U3967">
        <f>IF(AND(ISNUMBER('자료_한국심리'!$A3951),ISNUMBER('자료_한국심리'!$B3951)),'자료_한국심리'!$A3951,"")</f>
        <v/>
      </c>
      <c r="V3967">
        <f>IF(AND(ISNUMBER('자료_한국심리'!$D3951),ISNUMBER('자료_한국심리'!$E3951)),'자료_한국심리'!$D3951,"")</f>
        <v/>
      </c>
      <c r="W3967">
        <f>IF(AND(ISNUMBER('자료_한국심리'!$G3951),ISNUMBER('자료_한국심리'!$H3951)),'자료_한국심리'!$G3951,"")</f>
        <v/>
      </c>
      <c r="X3967">
        <f>IF(AND(ISNUMBER('자료_한국심리'!$J3951),ISNUMBER('자료_한국심리'!$K3951)),'자료_한국심리'!$J3951,"")</f>
        <v/>
      </c>
      <c r="Y3967">
        <f>IF(AND(ISNUMBER('자료_한국심리'!$M3951),ISNUMBER('자료_한국심리'!$N3951)),'자료_한국심리'!$M3951,"")</f>
        <v/>
      </c>
    </row>
    <row r="3968">
      <c r="U3968">
        <f>IF(AND(ISNUMBER('자료_한국심리'!$A3952),ISNUMBER('자료_한국심리'!$B3952)),'자료_한국심리'!$A3952,"")</f>
        <v/>
      </c>
      <c r="V3968">
        <f>IF(AND(ISNUMBER('자료_한국심리'!$D3952),ISNUMBER('자료_한국심리'!$E3952)),'자료_한국심리'!$D3952,"")</f>
        <v/>
      </c>
      <c r="W3968">
        <f>IF(AND(ISNUMBER('자료_한국심리'!$G3952),ISNUMBER('자료_한국심리'!$H3952)),'자료_한국심리'!$G3952,"")</f>
        <v/>
      </c>
      <c r="X3968">
        <f>IF(AND(ISNUMBER('자료_한국심리'!$J3952),ISNUMBER('자료_한국심리'!$K3952)),'자료_한국심리'!$J3952,"")</f>
        <v/>
      </c>
      <c r="Y3968">
        <f>IF(AND(ISNUMBER('자료_한국심리'!$M3952),ISNUMBER('자료_한국심리'!$N3952)),'자료_한국심리'!$M3952,"")</f>
        <v/>
      </c>
    </row>
    <row r="3969">
      <c r="U3969">
        <f>IF(AND(ISNUMBER('자료_한국심리'!$A3953),ISNUMBER('자료_한국심리'!$B3953)),'자료_한국심리'!$A3953,"")</f>
        <v/>
      </c>
      <c r="V3969">
        <f>IF(AND(ISNUMBER('자료_한국심리'!$D3953),ISNUMBER('자료_한국심리'!$E3953)),'자료_한국심리'!$D3953,"")</f>
        <v/>
      </c>
      <c r="W3969">
        <f>IF(AND(ISNUMBER('자료_한국심리'!$G3953),ISNUMBER('자료_한국심리'!$H3953)),'자료_한국심리'!$G3953,"")</f>
        <v/>
      </c>
      <c r="X3969">
        <f>IF(AND(ISNUMBER('자료_한국심리'!$J3953),ISNUMBER('자료_한국심리'!$K3953)),'자료_한국심리'!$J3953,"")</f>
        <v/>
      </c>
      <c r="Y3969">
        <f>IF(AND(ISNUMBER('자료_한국심리'!$M3953),ISNUMBER('자료_한국심리'!$N3953)),'자료_한국심리'!$M3953,"")</f>
        <v/>
      </c>
    </row>
    <row r="3970">
      <c r="U3970">
        <f>IF(AND(ISNUMBER('자료_한국심리'!$A3954),ISNUMBER('자료_한국심리'!$B3954)),'자료_한국심리'!$A3954,"")</f>
        <v/>
      </c>
      <c r="V3970">
        <f>IF(AND(ISNUMBER('자료_한국심리'!$D3954),ISNUMBER('자료_한국심리'!$E3954)),'자료_한국심리'!$D3954,"")</f>
        <v/>
      </c>
      <c r="W3970">
        <f>IF(AND(ISNUMBER('자료_한국심리'!$G3954),ISNUMBER('자료_한국심리'!$H3954)),'자료_한국심리'!$G3954,"")</f>
        <v/>
      </c>
      <c r="X3970">
        <f>IF(AND(ISNUMBER('자료_한국심리'!$J3954),ISNUMBER('자료_한국심리'!$K3954)),'자료_한국심리'!$J3954,"")</f>
        <v/>
      </c>
      <c r="Y3970">
        <f>IF(AND(ISNUMBER('자료_한국심리'!$M3954),ISNUMBER('자료_한국심리'!$N3954)),'자료_한국심리'!$M3954,"")</f>
        <v/>
      </c>
    </row>
    <row r="3971">
      <c r="U3971">
        <f>IF(AND(ISNUMBER('자료_한국심리'!$A3955),ISNUMBER('자료_한국심리'!$B3955)),'자료_한국심리'!$A3955,"")</f>
        <v/>
      </c>
      <c r="V3971">
        <f>IF(AND(ISNUMBER('자료_한국심리'!$D3955),ISNUMBER('자료_한국심리'!$E3955)),'자료_한국심리'!$D3955,"")</f>
        <v/>
      </c>
      <c r="W3971">
        <f>IF(AND(ISNUMBER('자료_한국심리'!$G3955),ISNUMBER('자료_한국심리'!$H3955)),'자료_한국심리'!$G3955,"")</f>
        <v/>
      </c>
      <c r="X3971">
        <f>IF(AND(ISNUMBER('자료_한국심리'!$J3955),ISNUMBER('자료_한국심리'!$K3955)),'자료_한국심리'!$J3955,"")</f>
        <v/>
      </c>
      <c r="Y3971">
        <f>IF(AND(ISNUMBER('자료_한국심리'!$M3955),ISNUMBER('자료_한국심리'!$N3955)),'자료_한국심리'!$M3955,"")</f>
        <v/>
      </c>
    </row>
    <row r="3972">
      <c r="U3972">
        <f>IF(AND(ISNUMBER('자료_한국심리'!$A3956),ISNUMBER('자료_한국심리'!$B3956)),'자료_한국심리'!$A3956,"")</f>
        <v/>
      </c>
      <c r="V3972">
        <f>IF(AND(ISNUMBER('자료_한국심리'!$D3956),ISNUMBER('자료_한국심리'!$E3956)),'자료_한국심리'!$D3956,"")</f>
        <v/>
      </c>
      <c r="W3972">
        <f>IF(AND(ISNUMBER('자료_한국심리'!$G3956),ISNUMBER('자료_한국심리'!$H3956)),'자료_한국심리'!$G3956,"")</f>
        <v/>
      </c>
      <c r="X3972">
        <f>IF(AND(ISNUMBER('자료_한국심리'!$J3956),ISNUMBER('자료_한국심리'!$K3956)),'자료_한국심리'!$J3956,"")</f>
        <v/>
      </c>
      <c r="Y3972">
        <f>IF(AND(ISNUMBER('자료_한국심리'!$M3956),ISNUMBER('자료_한국심리'!$N3956)),'자료_한국심리'!$M3956,"")</f>
        <v/>
      </c>
    </row>
    <row r="3973">
      <c r="U3973">
        <f>IF(AND(ISNUMBER('자료_한국심리'!$A3957),ISNUMBER('자료_한국심리'!$B3957)),'자료_한국심리'!$A3957,"")</f>
        <v/>
      </c>
      <c r="V3973">
        <f>IF(AND(ISNUMBER('자료_한국심리'!$D3957),ISNUMBER('자료_한국심리'!$E3957)),'자료_한국심리'!$D3957,"")</f>
        <v/>
      </c>
      <c r="W3973">
        <f>IF(AND(ISNUMBER('자료_한국심리'!$G3957),ISNUMBER('자료_한국심리'!$H3957)),'자료_한국심리'!$G3957,"")</f>
        <v/>
      </c>
      <c r="X3973">
        <f>IF(AND(ISNUMBER('자료_한국심리'!$J3957),ISNUMBER('자료_한국심리'!$K3957)),'자료_한국심리'!$J3957,"")</f>
        <v/>
      </c>
      <c r="Y3973">
        <f>IF(AND(ISNUMBER('자료_한국심리'!$M3957),ISNUMBER('자료_한국심리'!$N3957)),'자료_한국심리'!$M3957,"")</f>
        <v/>
      </c>
    </row>
    <row r="3974">
      <c r="U3974">
        <f>IF(AND(ISNUMBER('자료_한국심리'!$A3958),ISNUMBER('자료_한국심리'!$B3958)),'자료_한국심리'!$A3958,"")</f>
        <v/>
      </c>
      <c r="V3974">
        <f>IF(AND(ISNUMBER('자료_한국심리'!$D3958),ISNUMBER('자료_한국심리'!$E3958)),'자료_한국심리'!$D3958,"")</f>
        <v/>
      </c>
      <c r="W3974">
        <f>IF(AND(ISNUMBER('자료_한국심리'!$G3958),ISNUMBER('자료_한국심리'!$H3958)),'자료_한국심리'!$G3958,"")</f>
        <v/>
      </c>
      <c r="X3974">
        <f>IF(AND(ISNUMBER('자료_한국심리'!$J3958),ISNUMBER('자료_한국심리'!$K3958)),'자료_한국심리'!$J3958,"")</f>
        <v/>
      </c>
      <c r="Y3974">
        <f>IF(AND(ISNUMBER('자료_한국심리'!$M3958),ISNUMBER('자료_한국심리'!$N3958)),'자료_한국심리'!$M3958,"")</f>
        <v/>
      </c>
    </row>
    <row r="3975">
      <c r="U3975">
        <f>IF(AND(ISNUMBER('자료_한국심리'!$A3959),ISNUMBER('자료_한국심리'!$B3959)),'자료_한국심리'!$A3959,"")</f>
        <v/>
      </c>
      <c r="V3975">
        <f>IF(AND(ISNUMBER('자료_한국심리'!$D3959),ISNUMBER('자료_한국심리'!$E3959)),'자료_한국심리'!$D3959,"")</f>
        <v/>
      </c>
      <c r="W3975">
        <f>IF(AND(ISNUMBER('자료_한국심리'!$G3959),ISNUMBER('자료_한국심리'!$H3959)),'자료_한국심리'!$G3959,"")</f>
        <v/>
      </c>
      <c r="X3975">
        <f>IF(AND(ISNUMBER('자료_한국심리'!$J3959),ISNUMBER('자료_한국심리'!$K3959)),'자료_한국심리'!$J3959,"")</f>
        <v/>
      </c>
      <c r="Y3975">
        <f>IF(AND(ISNUMBER('자료_한국심리'!$M3959),ISNUMBER('자료_한국심리'!$N3959)),'자료_한국심리'!$M3959,"")</f>
        <v/>
      </c>
    </row>
    <row r="3976">
      <c r="U3976">
        <f>IF(AND(ISNUMBER('자료_한국심리'!$A3960),ISNUMBER('자료_한국심리'!$B3960)),'자료_한국심리'!$A3960,"")</f>
        <v/>
      </c>
      <c r="V3976">
        <f>IF(AND(ISNUMBER('자료_한국심리'!$D3960),ISNUMBER('자료_한국심리'!$E3960)),'자료_한국심리'!$D3960,"")</f>
        <v/>
      </c>
      <c r="W3976">
        <f>IF(AND(ISNUMBER('자료_한국심리'!$G3960),ISNUMBER('자료_한국심리'!$H3960)),'자료_한국심리'!$G3960,"")</f>
        <v/>
      </c>
      <c r="X3976">
        <f>IF(AND(ISNUMBER('자료_한국심리'!$J3960),ISNUMBER('자료_한국심리'!$K3960)),'자료_한국심리'!$J3960,"")</f>
        <v/>
      </c>
      <c r="Y3976">
        <f>IF(AND(ISNUMBER('자료_한국심리'!$M3960),ISNUMBER('자료_한국심리'!$N3960)),'자료_한국심리'!$M3960,"")</f>
        <v/>
      </c>
    </row>
    <row r="3977">
      <c r="U3977">
        <f>IF(AND(ISNUMBER('자료_한국심리'!$A3961),ISNUMBER('자료_한국심리'!$B3961)),'자료_한국심리'!$A3961,"")</f>
        <v/>
      </c>
      <c r="V3977">
        <f>IF(AND(ISNUMBER('자료_한국심리'!$D3961),ISNUMBER('자료_한국심리'!$E3961)),'자료_한국심리'!$D3961,"")</f>
        <v/>
      </c>
      <c r="W3977">
        <f>IF(AND(ISNUMBER('자료_한국심리'!$G3961),ISNUMBER('자료_한국심리'!$H3961)),'자료_한국심리'!$G3961,"")</f>
        <v/>
      </c>
      <c r="X3977">
        <f>IF(AND(ISNUMBER('자료_한국심리'!$J3961),ISNUMBER('자료_한국심리'!$K3961)),'자료_한국심리'!$J3961,"")</f>
        <v/>
      </c>
      <c r="Y3977">
        <f>IF(AND(ISNUMBER('자료_한국심리'!$M3961),ISNUMBER('자료_한국심리'!$N3961)),'자료_한국심리'!$M3961,"")</f>
        <v/>
      </c>
    </row>
    <row r="3978">
      <c r="U3978">
        <f>IF(AND(ISNUMBER('자료_한국심리'!$A3962),ISNUMBER('자료_한국심리'!$B3962)),'자료_한국심리'!$A3962,"")</f>
        <v/>
      </c>
      <c r="V3978">
        <f>IF(AND(ISNUMBER('자료_한국심리'!$D3962),ISNUMBER('자료_한국심리'!$E3962)),'자료_한국심리'!$D3962,"")</f>
        <v/>
      </c>
      <c r="W3978">
        <f>IF(AND(ISNUMBER('자료_한국심리'!$G3962),ISNUMBER('자료_한국심리'!$H3962)),'자료_한국심리'!$G3962,"")</f>
        <v/>
      </c>
      <c r="X3978">
        <f>IF(AND(ISNUMBER('자료_한국심리'!$J3962),ISNUMBER('자료_한국심리'!$K3962)),'자료_한국심리'!$J3962,"")</f>
        <v/>
      </c>
      <c r="Y3978">
        <f>IF(AND(ISNUMBER('자료_한국심리'!$M3962),ISNUMBER('자료_한국심리'!$N3962)),'자료_한국심리'!$M3962,"")</f>
        <v/>
      </c>
    </row>
    <row r="3979">
      <c r="U3979">
        <f>IF(AND(ISNUMBER('자료_한국심리'!$A3963),ISNUMBER('자료_한국심리'!$B3963)),'자료_한국심리'!$A3963,"")</f>
        <v/>
      </c>
      <c r="V3979">
        <f>IF(AND(ISNUMBER('자료_한국심리'!$D3963),ISNUMBER('자료_한국심리'!$E3963)),'자료_한국심리'!$D3963,"")</f>
        <v/>
      </c>
      <c r="W3979">
        <f>IF(AND(ISNUMBER('자료_한국심리'!$G3963),ISNUMBER('자료_한국심리'!$H3963)),'자료_한국심리'!$G3963,"")</f>
        <v/>
      </c>
      <c r="X3979">
        <f>IF(AND(ISNUMBER('자료_한국심리'!$J3963),ISNUMBER('자료_한국심리'!$K3963)),'자료_한국심리'!$J3963,"")</f>
        <v/>
      </c>
      <c r="Y3979">
        <f>IF(AND(ISNUMBER('자료_한국심리'!$M3963),ISNUMBER('자료_한국심리'!$N3963)),'자료_한국심리'!$M3963,"")</f>
        <v/>
      </c>
    </row>
    <row r="3980">
      <c r="U3980">
        <f>IF(AND(ISNUMBER('자료_한국심리'!$A3964),ISNUMBER('자료_한국심리'!$B3964)),'자료_한국심리'!$A3964,"")</f>
        <v/>
      </c>
      <c r="V3980">
        <f>IF(AND(ISNUMBER('자료_한국심리'!$D3964),ISNUMBER('자료_한국심리'!$E3964)),'자료_한국심리'!$D3964,"")</f>
        <v/>
      </c>
      <c r="W3980">
        <f>IF(AND(ISNUMBER('자료_한국심리'!$G3964),ISNUMBER('자료_한국심리'!$H3964)),'자료_한국심리'!$G3964,"")</f>
        <v/>
      </c>
      <c r="X3980">
        <f>IF(AND(ISNUMBER('자료_한국심리'!$J3964),ISNUMBER('자료_한국심리'!$K3964)),'자료_한국심리'!$J3964,"")</f>
        <v/>
      </c>
      <c r="Y3980">
        <f>IF(AND(ISNUMBER('자료_한국심리'!$M3964),ISNUMBER('자료_한국심리'!$N3964)),'자료_한국심리'!$M3964,"")</f>
        <v/>
      </c>
    </row>
    <row r="3981">
      <c r="U3981">
        <f>IF(AND(ISNUMBER('자료_한국심리'!$A3965),ISNUMBER('자료_한국심리'!$B3965)),'자료_한국심리'!$A3965,"")</f>
        <v/>
      </c>
      <c r="V3981">
        <f>IF(AND(ISNUMBER('자료_한국심리'!$D3965),ISNUMBER('자료_한국심리'!$E3965)),'자료_한국심리'!$D3965,"")</f>
        <v/>
      </c>
      <c r="W3981">
        <f>IF(AND(ISNUMBER('자료_한국심리'!$G3965),ISNUMBER('자료_한국심리'!$H3965)),'자료_한국심리'!$G3965,"")</f>
        <v/>
      </c>
      <c r="X3981">
        <f>IF(AND(ISNUMBER('자료_한국심리'!$J3965),ISNUMBER('자료_한국심리'!$K3965)),'자료_한국심리'!$J3965,"")</f>
        <v/>
      </c>
      <c r="Y3981">
        <f>IF(AND(ISNUMBER('자료_한국심리'!$M3965),ISNUMBER('자료_한국심리'!$N3965)),'자료_한국심리'!$M3965,"")</f>
        <v/>
      </c>
    </row>
    <row r="3982">
      <c r="U3982">
        <f>IF(AND(ISNUMBER('자료_한국심리'!$A3966),ISNUMBER('자료_한국심리'!$B3966)),'자료_한국심리'!$A3966,"")</f>
        <v/>
      </c>
      <c r="V3982">
        <f>IF(AND(ISNUMBER('자료_한국심리'!$D3966),ISNUMBER('자료_한국심리'!$E3966)),'자료_한국심리'!$D3966,"")</f>
        <v/>
      </c>
      <c r="W3982">
        <f>IF(AND(ISNUMBER('자료_한국심리'!$G3966),ISNUMBER('자료_한국심리'!$H3966)),'자료_한국심리'!$G3966,"")</f>
        <v/>
      </c>
      <c r="X3982">
        <f>IF(AND(ISNUMBER('자료_한국심리'!$J3966),ISNUMBER('자료_한국심리'!$K3966)),'자료_한국심리'!$J3966,"")</f>
        <v/>
      </c>
      <c r="Y3982">
        <f>IF(AND(ISNUMBER('자료_한국심리'!$M3966),ISNUMBER('자료_한국심리'!$N3966)),'자료_한국심리'!$M3966,"")</f>
        <v/>
      </c>
    </row>
    <row r="3983">
      <c r="U3983">
        <f>IF(AND(ISNUMBER('자료_한국심리'!$A3967),ISNUMBER('자료_한국심리'!$B3967)),'자료_한국심리'!$A3967,"")</f>
        <v/>
      </c>
      <c r="V3983">
        <f>IF(AND(ISNUMBER('자료_한국심리'!$D3967),ISNUMBER('자료_한국심리'!$E3967)),'자료_한국심리'!$D3967,"")</f>
        <v/>
      </c>
      <c r="W3983">
        <f>IF(AND(ISNUMBER('자료_한국심리'!$G3967),ISNUMBER('자료_한국심리'!$H3967)),'자료_한국심리'!$G3967,"")</f>
        <v/>
      </c>
      <c r="X3983">
        <f>IF(AND(ISNUMBER('자료_한국심리'!$J3967),ISNUMBER('자료_한국심리'!$K3967)),'자료_한국심리'!$J3967,"")</f>
        <v/>
      </c>
      <c r="Y3983">
        <f>IF(AND(ISNUMBER('자료_한국심리'!$M3967),ISNUMBER('자료_한국심리'!$N3967)),'자료_한국심리'!$M3967,"")</f>
        <v/>
      </c>
    </row>
    <row r="3984">
      <c r="U3984">
        <f>IF(AND(ISNUMBER('자료_한국심리'!$A3968),ISNUMBER('자료_한국심리'!$B3968)),'자료_한국심리'!$A3968,"")</f>
        <v/>
      </c>
      <c r="V3984">
        <f>IF(AND(ISNUMBER('자료_한국심리'!$D3968),ISNUMBER('자료_한국심리'!$E3968)),'자료_한국심리'!$D3968,"")</f>
        <v/>
      </c>
      <c r="W3984">
        <f>IF(AND(ISNUMBER('자료_한국심리'!$G3968),ISNUMBER('자료_한국심리'!$H3968)),'자료_한국심리'!$G3968,"")</f>
        <v/>
      </c>
      <c r="X3984">
        <f>IF(AND(ISNUMBER('자료_한국심리'!$J3968),ISNUMBER('자료_한국심리'!$K3968)),'자료_한국심리'!$J3968,"")</f>
        <v/>
      </c>
      <c r="Y3984">
        <f>IF(AND(ISNUMBER('자료_한국심리'!$M3968),ISNUMBER('자료_한국심리'!$N3968)),'자료_한국심리'!$M3968,"")</f>
        <v/>
      </c>
    </row>
    <row r="3985">
      <c r="U3985">
        <f>IF(AND(ISNUMBER('자료_한국심리'!$A3969),ISNUMBER('자료_한국심리'!$B3969)),'자료_한국심리'!$A3969,"")</f>
        <v/>
      </c>
      <c r="V3985">
        <f>IF(AND(ISNUMBER('자료_한국심리'!$D3969),ISNUMBER('자료_한국심리'!$E3969)),'자료_한국심리'!$D3969,"")</f>
        <v/>
      </c>
      <c r="W3985">
        <f>IF(AND(ISNUMBER('자료_한국심리'!$G3969),ISNUMBER('자료_한국심리'!$H3969)),'자료_한국심리'!$G3969,"")</f>
        <v/>
      </c>
      <c r="X3985">
        <f>IF(AND(ISNUMBER('자료_한국심리'!$J3969),ISNUMBER('자료_한국심리'!$K3969)),'자료_한국심리'!$J3969,"")</f>
        <v/>
      </c>
      <c r="Y3985">
        <f>IF(AND(ISNUMBER('자료_한국심리'!$M3969),ISNUMBER('자료_한국심리'!$N3969)),'자료_한국심리'!$M3969,"")</f>
        <v/>
      </c>
    </row>
    <row r="3986">
      <c r="U3986">
        <f>IF(AND(ISNUMBER('자료_한국심리'!$A3970),ISNUMBER('자료_한국심리'!$B3970)),'자료_한국심리'!$A3970,"")</f>
        <v/>
      </c>
      <c r="V3986">
        <f>IF(AND(ISNUMBER('자료_한국심리'!$D3970),ISNUMBER('자료_한국심리'!$E3970)),'자료_한국심리'!$D3970,"")</f>
        <v/>
      </c>
      <c r="W3986">
        <f>IF(AND(ISNUMBER('자료_한국심리'!$G3970),ISNUMBER('자료_한국심리'!$H3970)),'자료_한국심리'!$G3970,"")</f>
        <v/>
      </c>
      <c r="X3986">
        <f>IF(AND(ISNUMBER('자료_한국심리'!$J3970),ISNUMBER('자료_한국심리'!$K3970)),'자료_한국심리'!$J3970,"")</f>
        <v/>
      </c>
      <c r="Y3986">
        <f>IF(AND(ISNUMBER('자료_한국심리'!$M3970),ISNUMBER('자료_한국심리'!$N3970)),'자료_한국심리'!$M3970,"")</f>
        <v/>
      </c>
    </row>
    <row r="3987">
      <c r="U3987">
        <f>IF(AND(ISNUMBER('자료_한국심리'!$A3971),ISNUMBER('자료_한국심리'!$B3971)),'자료_한국심리'!$A3971,"")</f>
        <v/>
      </c>
      <c r="V3987">
        <f>IF(AND(ISNUMBER('자료_한국심리'!$D3971),ISNUMBER('자료_한국심리'!$E3971)),'자료_한국심리'!$D3971,"")</f>
        <v/>
      </c>
      <c r="W3987">
        <f>IF(AND(ISNUMBER('자료_한국심리'!$G3971),ISNUMBER('자료_한국심리'!$H3971)),'자료_한국심리'!$G3971,"")</f>
        <v/>
      </c>
      <c r="X3987">
        <f>IF(AND(ISNUMBER('자료_한국심리'!$J3971),ISNUMBER('자료_한국심리'!$K3971)),'자료_한국심리'!$J3971,"")</f>
        <v/>
      </c>
      <c r="Y3987">
        <f>IF(AND(ISNUMBER('자료_한국심리'!$M3971),ISNUMBER('자료_한국심리'!$N3971)),'자료_한국심리'!$M3971,"")</f>
        <v/>
      </c>
    </row>
    <row r="3988">
      <c r="U3988">
        <f>IF(AND(ISNUMBER('자료_한국심리'!$A3972),ISNUMBER('자료_한국심리'!$B3972)),'자료_한국심리'!$A3972,"")</f>
        <v/>
      </c>
      <c r="V3988">
        <f>IF(AND(ISNUMBER('자료_한국심리'!$D3972),ISNUMBER('자료_한국심리'!$E3972)),'자료_한국심리'!$D3972,"")</f>
        <v/>
      </c>
      <c r="W3988">
        <f>IF(AND(ISNUMBER('자료_한국심리'!$G3972),ISNUMBER('자료_한국심리'!$H3972)),'자료_한국심리'!$G3972,"")</f>
        <v/>
      </c>
      <c r="X3988">
        <f>IF(AND(ISNUMBER('자료_한국심리'!$J3972),ISNUMBER('자료_한국심리'!$K3972)),'자료_한국심리'!$J3972,"")</f>
        <v/>
      </c>
      <c r="Y3988">
        <f>IF(AND(ISNUMBER('자료_한국심리'!$M3972),ISNUMBER('자료_한국심리'!$N3972)),'자료_한국심리'!$M3972,"")</f>
        <v/>
      </c>
    </row>
    <row r="3989">
      <c r="U3989">
        <f>IF(AND(ISNUMBER('자료_한국심리'!$A3973),ISNUMBER('자료_한국심리'!$B3973)),'자료_한국심리'!$A3973,"")</f>
        <v/>
      </c>
      <c r="V3989">
        <f>IF(AND(ISNUMBER('자료_한국심리'!$D3973),ISNUMBER('자료_한국심리'!$E3973)),'자료_한국심리'!$D3973,"")</f>
        <v/>
      </c>
      <c r="W3989">
        <f>IF(AND(ISNUMBER('자료_한국심리'!$G3973),ISNUMBER('자료_한국심리'!$H3973)),'자료_한국심리'!$G3973,"")</f>
        <v/>
      </c>
      <c r="X3989">
        <f>IF(AND(ISNUMBER('자료_한국심리'!$J3973),ISNUMBER('자료_한국심리'!$K3973)),'자료_한국심리'!$J3973,"")</f>
        <v/>
      </c>
      <c r="Y3989">
        <f>IF(AND(ISNUMBER('자료_한국심리'!$M3973),ISNUMBER('자료_한국심리'!$N3973)),'자료_한국심리'!$M3973,"")</f>
        <v/>
      </c>
    </row>
    <row r="3990">
      <c r="U3990">
        <f>IF(AND(ISNUMBER('자료_한국심리'!$A3974),ISNUMBER('자료_한국심리'!$B3974)),'자료_한국심리'!$A3974,"")</f>
        <v/>
      </c>
      <c r="V3990">
        <f>IF(AND(ISNUMBER('자료_한국심리'!$D3974),ISNUMBER('자료_한국심리'!$E3974)),'자료_한국심리'!$D3974,"")</f>
        <v/>
      </c>
      <c r="W3990">
        <f>IF(AND(ISNUMBER('자료_한국심리'!$G3974),ISNUMBER('자료_한국심리'!$H3974)),'자료_한국심리'!$G3974,"")</f>
        <v/>
      </c>
      <c r="X3990">
        <f>IF(AND(ISNUMBER('자료_한국심리'!$J3974),ISNUMBER('자료_한국심리'!$K3974)),'자료_한국심리'!$J3974,"")</f>
        <v/>
      </c>
      <c r="Y3990">
        <f>IF(AND(ISNUMBER('자료_한국심리'!$M3974),ISNUMBER('자료_한국심리'!$N3974)),'자료_한국심리'!$M3974,"")</f>
        <v/>
      </c>
    </row>
    <row r="3991">
      <c r="U3991">
        <f>IF(AND(ISNUMBER('자료_한국심리'!$A3975),ISNUMBER('자료_한국심리'!$B3975)),'자료_한국심리'!$A3975,"")</f>
        <v/>
      </c>
      <c r="V3991">
        <f>IF(AND(ISNUMBER('자료_한국심리'!$D3975),ISNUMBER('자료_한국심리'!$E3975)),'자료_한국심리'!$D3975,"")</f>
        <v/>
      </c>
      <c r="W3991">
        <f>IF(AND(ISNUMBER('자료_한국심리'!$G3975),ISNUMBER('자료_한국심리'!$H3975)),'자료_한국심리'!$G3975,"")</f>
        <v/>
      </c>
      <c r="X3991">
        <f>IF(AND(ISNUMBER('자료_한국심리'!$J3975),ISNUMBER('자료_한국심리'!$K3975)),'자료_한국심리'!$J3975,"")</f>
        <v/>
      </c>
      <c r="Y3991">
        <f>IF(AND(ISNUMBER('자료_한국심리'!$M3975),ISNUMBER('자료_한국심리'!$N3975)),'자료_한국심리'!$M3975,"")</f>
        <v/>
      </c>
    </row>
    <row r="3992">
      <c r="U3992">
        <f>IF(AND(ISNUMBER('자료_한국심리'!$A3976),ISNUMBER('자료_한국심리'!$B3976)),'자료_한국심리'!$A3976,"")</f>
        <v/>
      </c>
      <c r="V3992">
        <f>IF(AND(ISNUMBER('자료_한국심리'!$D3976),ISNUMBER('자료_한국심리'!$E3976)),'자료_한국심리'!$D3976,"")</f>
        <v/>
      </c>
      <c r="W3992">
        <f>IF(AND(ISNUMBER('자료_한국심리'!$G3976),ISNUMBER('자료_한국심리'!$H3976)),'자료_한국심리'!$G3976,"")</f>
        <v/>
      </c>
      <c r="X3992">
        <f>IF(AND(ISNUMBER('자료_한국심리'!$J3976),ISNUMBER('자료_한국심리'!$K3976)),'자료_한국심리'!$J3976,"")</f>
        <v/>
      </c>
      <c r="Y3992">
        <f>IF(AND(ISNUMBER('자료_한국심리'!$M3976),ISNUMBER('자료_한국심리'!$N3976)),'자료_한국심리'!$M3976,"")</f>
        <v/>
      </c>
    </row>
    <row r="3993">
      <c r="U3993">
        <f>IF(AND(ISNUMBER('자료_한국심리'!$A3977),ISNUMBER('자료_한국심리'!$B3977)),'자료_한국심리'!$A3977,"")</f>
        <v/>
      </c>
      <c r="V3993">
        <f>IF(AND(ISNUMBER('자료_한국심리'!$D3977),ISNUMBER('자료_한국심리'!$E3977)),'자료_한국심리'!$D3977,"")</f>
        <v/>
      </c>
      <c r="W3993">
        <f>IF(AND(ISNUMBER('자료_한국심리'!$G3977),ISNUMBER('자료_한국심리'!$H3977)),'자료_한국심리'!$G3977,"")</f>
        <v/>
      </c>
      <c r="X3993">
        <f>IF(AND(ISNUMBER('자료_한국심리'!$J3977),ISNUMBER('자료_한국심리'!$K3977)),'자료_한국심리'!$J3977,"")</f>
        <v/>
      </c>
      <c r="Y3993">
        <f>IF(AND(ISNUMBER('자료_한국심리'!$M3977),ISNUMBER('자료_한국심리'!$N3977)),'자료_한국심리'!$M3977,"")</f>
        <v/>
      </c>
    </row>
    <row r="3994">
      <c r="U3994">
        <f>IF(AND(ISNUMBER('자료_한국심리'!$A3978),ISNUMBER('자료_한국심리'!$B3978)),'자료_한국심리'!$A3978,"")</f>
        <v/>
      </c>
      <c r="V3994">
        <f>IF(AND(ISNUMBER('자료_한국심리'!$D3978),ISNUMBER('자료_한국심리'!$E3978)),'자료_한국심리'!$D3978,"")</f>
        <v/>
      </c>
      <c r="W3994">
        <f>IF(AND(ISNUMBER('자료_한국심리'!$G3978),ISNUMBER('자료_한국심리'!$H3978)),'자료_한국심리'!$G3978,"")</f>
        <v/>
      </c>
      <c r="X3994">
        <f>IF(AND(ISNUMBER('자료_한국심리'!$J3978),ISNUMBER('자료_한국심리'!$K3978)),'자료_한국심리'!$J3978,"")</f>
        <v/>
      </c>
      <c r="Y3994">
        <f>IF(AND(ISNUMBER('자료_한국심리'!$M3978),ISNUMBER('자료_한국심리'!$N3978)),'자료_한국심리'!$M3978,"")</f>
        <v/>
      </c>
    </row>
    <row r="3995">
      <c r="U3995">
        <f>IF(AND(ISNUMBER('자료_한국심리'!$A3979),ISNUMBER('자료_한국심리'!$B3979)),'자료_한국심리'!$A3979,"")</f>
        <v/>
      </c>
      <c r="V3995">
        <f>IF(AND(ISNUMBER('자료_한국심리'!$D3979),ISNUMBER('자료_한국심리'!$E3979)),'자료_한국심리'!$D3979,"")</f>
        <v/>
      </c>
      <c r="W3995">
        <f>IF(AND(ISNUMBER('자료_한국심리'!$G3979),ISNUMBER('자료_한국심리'!$H3979)),'자료_한국심리'!$G3979,"")</f>
        <v/>
      </c>
      <c r="X3995">
        <f>IF(AND(ISNUMBER('자료_한국심리'!$J3979),ISNUMBER('자료_한국심리'!$K3979)),'자료_한국심리'!$J3979,"")</f>
        <v/>
      </c>
      <c r="Y3995">
        <f>IF(AND(ISNUMBER('자료_한국심리'!$M3979),ISNUMBER('자료_한국심리'!$N3979)),'자료_한국심리'!$M3979,"")</f>
        <v/>
      </c>
    </row>
    <row r="3996">
      <c r="U3996">
        <f>IF(AND(ISNUMBER('자료_한국심리'!$A3980),ISNUMBER('자료_한국심리'!$B3980)),'자료_한국심리'!$A3980,"")</f>
        <v/>
      </c>
      <c r="V3996">
        <f>IF(AND(ISNUMBER('자료_한국심리'!$D3980),ISNUMBER('자료_한국심리'!$E3980)),'자료_한국심리'!$D3980,"")</f>
        <v/>
      </c>
      <c r="W3996">
        <f>IF(AND(ISNUMBER('자료_한국심리'!$G3980),ISNUMBER('자료_한국심리'!$H3980)),'자료_한국심리'!$G3980,"")</f>
        <v/>
      </c>
      <c r="X3996">
        <f>IF(AND(ISNUMBER('자료_한국심리'!$J3980),ISNUMBER('자료_한국심리'!$K3980)),'자료_한국심리'!$J3980,"")</f>
        <v/>
      </c>
      <c r="Y3996">
        <f>IF(AND(ISNUMBER('자료_한국심리'!$M3980),ISNUMBER('자료_한국심리'!$N3980)),'자료_한국심리'!$M3980,"")</f>
        <v/>
      </c>
    </row>
    <row r="3997">
      <c r="U3997">
        <f>IF(AND(ISNUMBER('자료_한국심리'!$A3981),ISNUMBER('자료_한국심리'!$B3981)),'자료_한국심리'!$A3981,"")</f>
        <v/>
      </c>
      <c r="V3997">
        <f>IF(AND(ISNUMBER('자료_한국심리'!$D3981),ISNUMBER('자료_한국심리'!$E3981)),'자료_한국심리'!$D3981,"")</f>
        <v/>
      </c>
      <c r="W3997">
        <f>IF(AND(ISNUMBER('자료_한국심리'!$G3981),ISNUMBER('자료_한국심리'!$H3981)),'자료_한국심리'!$G3981,"")</f>
        <v/>
      </c>
      <c r="X3997">
        <f>IF(AND(ISNUMBER('자료_한국심리'!$J3981),ISNUMBER('자료_한국심리'!$K3981)),'자료_한국심리'!$J3981,"")</f>
        <v/>
      </c>
      <c r="Y3997">
        <f>IF(AND(ISNUMBER('자료_한국심리'!$M3981),ISNUMBER('자료_한국심리'!$N3981)),'자료_한국심리'!$M3981,"")</f>
        <v/>
      </c>
    </row>
    <row r="3998">
      <c r="U3998">
        <f>IF(AND(ISNUMBER('자료_한국심리'!$A3982),ISNUMBER('자료_한국심리'!$B3982)),'자료_한국심리'!$A3982,"")</f>
        <v/>
      </c>
      <c r="V3998">
        <f>IF(AND(ISNUMBER('자료_한국심리'!$D3982),ISNUMBER('자료_한국심리'!$E3982)),'자료_한국심리'!$D3982,"")</f>
        <v/>
      </c>
      <c r="W3998">
        <f>IF(AND(ISNUMBER('자료_한국심리'!$G3982),ISNUMBER('자료_한국심리'!$H3982)),'자료_한국심리'!$G3982,"")</f>
        <v/>
      </c>
      <c r="X3998">
        <f>IF(AND(ISNUMBER('자료_한국심리'!$J3982),ISNUMBER('자료_한국심리'!$K3982)),'자료_한국심리'!$J3982,"")</f>
        <v/>
      </c>
      <c r="Y3998">
        <f>IF(AND(ISNUMBER('자료_한국심리'!$M3982),ISNUMBER('자료_한국심리'!$N3982)),'자료_한국심리'!$M3982,"")</f>
        <v/>
      </c>
    </row>
    <row r="3999">
      <c r="U3999">
        <f>IF(AND(ISNUMBER('자료_한국심리'!$A3983),ISNUMBER('자료_한국심리'!$B3983)),'자료_한국심리'!$A3983,"")</f>
        <v/>
      </c>
      <c r="V3999">
        <f>IF(AND(ISNUMBER('자료_한국심리'!$D3983),ISNUMBER('자료_한국심리'!$E3983)),'자료_한국심리'!$D3983,"")</f>
        <v/>
      </c>
      <c r="W3999">
        <f>IF(AND(ISNUMBER('자료_한국심리'!$G3983),ISNUMBER('자료_한국심리'!$H3983)),'자료_한국심리'!$G3983,"")</f>
        <v/>
      </c>
      <c r="X3999">
        <f>IF(AND(ISNUMBER('자료_한국심리'!$J3983),ISNUMBER('자료_한국심리'!$K3983)),'자료_한국심리'!$J3983,"")</f>
        <v/>
      </c>
      <c r="Y3999">
        <f>IF(AND(ISNUMBER('자료_한국심리'!$M3983),ISNUMBER('자료_한국심리'!$N3983)),'자료_한국심리'!$M3983,"")</f>
        <v/>
      </c>
    </row>
    <row r="4000">
      <c r="U4000">
        <f>IF(AND(ISNUMBER('자료_한국심리'!$A3984),ISNUMBER('자료_한국심리'!$B3984)),'자료_한국심리'!$A3984,"")</f>
        <v/>
      </c>
      <c r="V4000">
        <f>IF(AND(ISNUMBER('자료_한국심리'!$D3984),ISNUMBER('자료_한국심리'!$E3984)),'자료_한국심리'!$D3984,"")</f>
        <v/>
      </c>
      <c r="W4000">
        <f>IF(AND(ISNUMBER('자료_한국심리'!$G3984),ISNUMBER('자료_한국심리'!$H3984)),'자료_한국심리'!$G3984,"")</f>
        <v/>
      </c>
      <c r="X4000">
        <f>IF(AND(ISNUMBER('자료_한국심리'!$J3984),ISNUMBER('자료_한국심리'!$K3984)),'자료_한국심리'!$J3984,"")</f>
        <v/>
      </c>
      <c r="Y4000">
        <f>IF(AND(ISNUMBER('자료_한국심리'!$M3984),ISNUMBER('자료_한국심리'!$N3984)),'자료_한국심리'!$M3984,"")</f>
        <v/>
      </c>
    </row>
    <row r="4001">
      <c r="U4001">
        <f>IF(AND(ISNUMBER('자료_한국심리'!$A3985),ISNUMBER('자료_한국심리'!$B3985)),'자료_한국심리'!$A3985,"")</f>
        <v/>
      </c>
      <c r="V4001">
        <f>IF(AND(ISNUMBER('자료_한국심리'!$D3985),ISNUMBER('자료_한국심리'!$E3985)),'자료_한국심리'!$D3985,"")</f>
        <v/>
      </c>
      <c r="W4001">
        <f>IF(AND(ISNUMBER('자료_한국심리'!$G3985),ISNUMBER('자료_한국심리'!$H3985)),'자료_한국심리'!$G3985,"")</f>
        <v/>
      </c>
      <c r="X4001">
        <f>IF(AND(ISNUMBER('자료_한국심리'!$J3985),ISNUMBER('자료_한국심리'!$K3985)),'자료_한국심리'!$J3985,"")</f>
        <v/>
      </c>
      <c r="Y4001">
        <f>IF(AND(ISNUMBER('자료_한국심리'!$M3985),ISNUMBER('자료_한국심리'!$N3985)),'자료_한국심리'!$M3985,"")</f>
        <v/>
      </c>
    </row>
    <row r="4002">
      <c r="U4002">
        <f>IF(AND(ISNUMBER('자료_한국심리'!$A3986),ISNUMBER('자료_한국심리'!$B3986)),'자료_한국심리'!$A3986,"")</f>
        <v/>
      </c>
      <c r="V4002">
        <f>IF(AND(ISNUMBER('자료_한국심리'!$D3986),ISNUMBER('자료_한국심리'!$E3986)),'자료_한국심리'!$D3986,"")</f>
        <v/>
      </c>
      <c r="W4002">
        <f>IF(AND(ISNUMBER('자료_한국심리'!$G3986),ISNUMBER('자료_한국심리'!$H3986)),'자료_한국심리'!$G3986,"")</f>
        <v/>
      </c>
      <c r="X4002">
        <f>IF(AND(ISNUMBER('자료_한국심리'!$J3986),ISNUMBER('자료_한국심리'!$K3986)),'자료_한국심리'!$J3986,"")</f>
        <v/>
      </c>
      <c r="Y4002">
        <f>IF(AND(ISNUMBER('자료_한국심리'!$M3986),ISNUMBER('자료_한국심리'!$N3986)),'자료_한국심리'!$M3986,"")</f>
        <v/>
      </c>
    </row>
    <row r="4003">
      <c r="U4003">
        <f>IF(AND(ISNUMBER('자료_한국심리'!$A3987),ISNUMBER('자료_한국심리'!$B3987)),'자료_한국심리'!$A3987,"")</f>
        <v/>
      </c>
      <c r="V4003">
        <f>IF(AND(ISNUMBER('자료_한국심리'!$D3987),ISNUMBER('자료_한국심리'!$E3987)),'자료_한국심리'!$D3987,"")</f>
        <v/>
      </c>
      <c r="W4003">
        <f>IF(AND(ISNUMBER('자료_한국심리'!$G3987),ISNUMBER('자료_한국심리'!$H3987)),'자료_한국심리'!$G3987,"")</f>
        <v/>
      </c>
      <c r="X4003">
        <f>IF(AND(ISNUMBER('자료_한국심리'!$J3987),ISNUMBER('자료_한국심리'!$K3987)),'자료_한국심리'!$J3987,"")</f>
        <v/>
      </c>
      <c r="Y4003">
        <f>IF(AND(ISNUMBER('자료_한국심리'!$M3987),ISNUMBER('자료_한국심리'!$N3987)),'자료_한국심리'!$M3987,"")</f>
        <v/>
      </c>
    </row>
    <row r="4004">
      <c r="U4004">
        <f>IF(AND(ISNUMBER('자료_한국심리'!$A3988),ISNUMBER('자료_한국심리'!$B3988)),'자료_한국심리'!$A3988,"")</f>
        <v/>
      </c>
      <c r="V4004">
        <f>IF(AND(ISNUMBER('자료_한국심리'!$D3988),ISNUMBER('자료_한국심리'!$E3988)),'자료_한국심리'!$D3988,"")</f>
        <v/>
      </c>
      <c r="W4004">
        <f>IF(AND(ISNUMBER('자료_한국심리'!$G3988),ISNUMBER('자료_한국심리'!$H3988)),'자료_한국심리'!$G3988,"")</f>
        <v/>
      </c>
      <c r="X4004">
        <f>IF(AND(ISNUMBER('자료_한국심리'!$J3988),ISNUMBER('자료_한국심리'!$K3988)),'자료_한국심리'!$J3988,"")</f>
        <v/>
      </c>
      <c r="Y4004">
        <f>IF(AND(ISNUMBER('자료_한국심리'!$M3988),ISNUMBER('자료_한국심리'!$N3988)),'자료_한국심리'!$M3988,"")</f>
        <v/>
      </c>
    </row>
    <row r="4005">
      <c r="U4005">
        <f>IF(AND(ISNUMBER('자료_한국심리'!$A3989),ISNUMBER('자료_한국심리'!$B3989)),'자료_한국심리'!$A3989,"")</f>
        <v/>
      </c>
      <c r="V4005">
        <f>IF(AND(ISNUMBER('자료_한국심리'!$D3989),ISNUMBER('자료_한국심리'!$E3989)),'자료_한국심리'!$D3989,"")</f>
        <v/>
      </c>
      <c r="W4005">
        <f>IF(AND(ISNUMBER('자료_한국심리'!$G3989),ISNUMBER('자료_한국심리'!$H3989)),'자료_한국심리'!$G3989,"")</f>
        <v/>
      </c>
      <c r="X4005">
        <f>IF(AND(ISNUMBER('자료_한국심리'!$J3989),ISNUMBER('자료_한국심리'!$K3989)),'자료_한국심리'!$J3989,"")</f>
        <v/>
      </c>
      <c r="Y4005">
        <f>IF(AND(ISNUMBER('자료_한국심리'!$M3989),ISNUMBER('자료_한국심리'!$N3989)),'자료_한국심리'!$M3989,"")</f>
        <v/>
      </c>
    </row>
    <row r="4006">
      <c r="U4006">
        <f>IF(AND(ISNUMBER('자료_한국심리'!$A3990),ISNUMBER('자료_한국심리'!$B3990)),'자료_한국심리'!$A3990,"")</f>
        <v/>
      </c>
      <c r="V4006">
        <f>IF(AND(ISNUMBER('자료_한국심리'!$D3990),ISNUMBER('자료_한국심리'!$E3990)),'자료_한국심리'!$D3990,"")</f>
        <v/>
      </c>
      <c r="W4006">
        <f>IF(AND(ISNUMBER('자료_한국심리'!$G3990),ISNUMBER('자료_한국심리'!$H3990)),'자료_한국심리'!$G3990,"")</f>
        <v/>
      </c>
      <c r="X4006">
        <f>IF(AND(ISNUMBER('자료_한국심리'!$J3990),ISNUMBER('자료_한국심리'!$K3990)),'자료_한국심리'!$J3990,"")</f>
        <v/>
      </c>
      <c r="Y4006">
        <f>IF(AND(ISNUMBER('자료_한국심리'!$M3990),ISNUMBER('자료_한국심리'!$N3990)),'자료_한국심리'!$M3990,"")</f>
        <v/>
      </c>
    </row>
    <row r="4007">
      <c r="U4007">
        <f>IF(AND(ISNUMBER('자료_한국심리'!$A3991),ISNUMBER('자료_한국심리'!$B3991)),'자료_한국심리'!$A3991,"")</f>
        <v/>
      </c>
      <c r="V4007">
        <f>IF(AND(ISNUMBER('자료_한국심리'!$D3991),ISNUMBER('자료_한국심리'!$E3991)),'자료_한국심리'!$D3991,"")</f>
        <v/>
      </c>
      <c r="W4007">
        <f>IF(AND(ISNUMBER('자료_한국심리'!$G3991),ISNUMBER('자료_한국심리'!$H3991)),'자료_한국심리'!$G3991,"")</f>
        <v/>
      </c>
      <c r="X4007">
        <f>IF(AND(ISNUMBER('자료_한국심리'!$J3991),ISNUMBER('자료_한국심리'!$K3991)),'자료_한국심리'!$J3991,"")</f>
        <v/>
      </c>
      <c r="Y4007">
        <f>IF(AND(ISNUMBER('자료_한국심리'!$M3991),ISNUMBER('자료_한국심리'!$N3991)),'자료_한국심리'!$M3991,"")</f>
        <v/>
      </c>
    </row>
    <row r="4008">
      <c r="U4008">
        <f>IF(AND(ISNUMBER('자료_한국심리'!$A3992),ISNUMBER('자료_한국심리'!$B3992)),'자료_한국심리'!$A3992,"")</f>
        <v/>
      </c>
      <c r="V4008">
        <f>IF(AND(ISNUMBER('자료_한국심리'!$D3992),ISNUMBER('자료_한국심리'!$E3992)),'자료_한국심리'!$D3992,"")</f>
        <v/>
      </c>
      <c r="W4008">
        <f>IF(AND(ISNUMBER('자료_한국심리'!$G3992),ISNUMBER('자료_한국심리'!$H3992)),'자료_한국심리'!$G3992,"")</f>
        <v/>
      </c>
      <c r="X4008">
        <f>IF(AND(ISNUMBER('자료_한국심리'!$J3992),ISNUMBER('자료_한국심리'!$K3992)),'자료_한국심리'!$J3992,"")</f>
        <v/>
      </c>
      <c r="Y4008">
        <f>IF(AND(ISNUMBER('자료_한국심리'!$M3992),ISNUMBER('자료_한국심리'!$N3992)),'자료_한국심리'!$M3992,"")</f>
        <v/>
      </c>
    </row>
    <row r="4009">
      <c r="U4009">
        <f>IF(AND(ISNUMBER('자료_한국심리'!$A3993),ISNUMBER('자료_한국심리'!$B3993)),'자료_한국심리'!$A3993,"")</f>
        <v/>
      </c>
      <c r="V4009">
        <f>IF(AND(ISNUMBER('자료_한국심리'!$D3993),ISNUMBER('자료_한국심리'!$E3993)),'자료_한국심리'!$D3993,"")</f>
        <v/>
      </c>
      <c r="W4009">
        <f>IF(AND(ISNUMBER('자료_한국심리'!$G3993),ISNUMBER('자료_한국심리'!$H3993)),'자료_한국심리'!$G3993,"")</f>
        <v/>
      </c>
      <c r="X4009">
        <f>IF(AND(ISNUMBER('자료_한국심리'!$J3993),ISNUMBER('자료_한국심리'!$K3993)),'자료_한국심리'!$J3993,"")</f>
        <v/>
      </c>
      <c r="Y4009">
        <f>IF(AND(ISNUMBER('자료_한국심리'!$M3993),ISNUMBER('자료_한국심리'!$N3993)),'자료_한국심리'!$M3993,"")</f>
        <v/>
      </c>
    </row>
    <row r="4010">
      <c r="U4010">
        <f>IF(AND(ISNUMBER('자료_한국심리'!$A3994),ISNUMBER('자료_한국심리'!$B3994)),'자료_한국심리'!$A3994,"")</f>
        <v/>
      </c>
      <c r="V4010">
        <f>IF(AND(ISNUMBER('자료_한국심리'!$D3994),ISNUMBER('자료_한국심리'!$E3994)),'자료_한국심리'!$D3994,"")</f>
        <v/>
      </c>
      <c r="W4010">
        <f>IF(AND(ISNUMBER('자료_한국심리'!$G3994),ISNUMBER('자료_한국심리'!$H3994)),'자료_한국심리'!$G3994,"")</f>
        <v/>
      </c>
      <c r="X4010">
        <f>IF(AND(ISNUMBER('자료_한국심리'!$J3994),ISNUMBER('자료_한국심리'!$K3994)),'자료_한국심리'!$J3994,"")</f>
        <v/>
      </c>
      <c r="Y4010">
        <f>IF(AND(ISNUMBER('자료_한국심리'!$M3994),ISNUMBER('자료_한국심리'!$N3994)),'자료_한국심리'!$M3994,"")</f>
        <v/>
      </c>
    </row>
    <row r="4011">
      <c r="U4011">
        <f>IF(AND(ISNUMBER('자료_한국심리'!$A3995),ISNUMBER('자료_한국심리'!$B3995)),'자료_한국심리'!$A3995,"")</f>
        <v/>
      </c>
      <c r="V4011">
        <f>IF(AND(ISNUMBER('자료_한국심리'!$D3995),ISNUMBER('자료_한국심리'!$E3995)),'자료_한국심리'!$D3995,"")</f>
        <v/>
      </c>
      <c r="W4011">
        <f>IF(AND(ISNUMBER('자료_한국심리'!$G3995),ISNUMBER('자료_한국심리'!$H3995)),'자료_한국심리'!$G3995,"")</f>
        <v/>
      </c>
      <c r="X4011">
        <f>IF(AND(ISNUMBER('자료_한국심리'!$J3995),ISNUMBER('자료_한국심리'!$K3995)),'자료_한국심리'!$J3995,"")</f>
        <v/>
      </c>
      <c r="Y4011">
        <f>IF(AND(ISNUMBER('자료_한국심리'!$M3995),ISNUMBER('자료_한국심리'!$N3995)),'자료_한국심리'!$M3995,"")</f>
        <v/>
      </c>
    </row>
    <row r="4012">
      <c r="U4012">
        <f>IF(AND(ISNUMBER('자료_한국심리'!$A3996),ISNUMBER('자료_한국심리'!$B3996)),'자료_한국심리'!$A3996,"")</f>
        <v/>
      </c>
      <c r="V4012">
        <f>IF(AND(ISNUMBER('자료_한국심리'!$D3996),ISNUMBER('자료_한국심리'!$E3996)),'자료_한국심리'!$D3996,"")</f>
        <v/>
      </c>
      <c r="W4012">
        <f>IF(AND(ISNUMBER('자료_한국심리'!$G3996),ISNUMBER('자료_한국심리'!$H3996)),'자료_한국심리'!$G3996,"")</f>
        <v/>
      </c>
      <c r="X4012">
        <f>IF(AND(ISNUMBER('자료_한국심리'!$J3996),ISNUMBER('자료_한국심리'!$K3996)),'자료_한국심리'!$J3996,"")</f>
        <v/>
      </c>
      <c r="Y4012">
        <f>IF(AND(ISNUMBER('자료_한국심리'!$M3996),ISNUMBER('자료_한국심리'!$N3996)),'자료_한국심리'!$M3996,"")</f>
        <v/>
      </c>
    </row>
    <row r="4013">
      <c r="U4013">
        <f>IF(AND(ISNUMBER('자료_한국심리'!$A3997),ISNUMBER('자료_한국심리'!$B3997)),'자료_한국심리'!$A3997,"")</f>
        <v/>
      </c>
      <c r="V4013">
        <f>IF(AND(ISNUMBER('자료_한국심리'!$D3997),ISNUMBER('자료_한국심리'!$E3997)),'자료_한국심리'!$D3997,"")</f>
        <v/>
      </c>
      <c r="W4013">
        <f>IF(AND(ISNUMBER('자료_한국심리'!$G3997),ISNUMBER('자료_한국심리'!$H3997)),'자료_한국심리'!$G3997,"")</f>
        <v/>
      </c>
      <c r="X4013">
        <f>IF(AND(ISNUMBER('자료_한국심리'!$J3997),ISNUMBER('자료_한국심리'!$K3997)),'자료_한국심리'!$J3997,"")</f>
        <v/>
      </c>
      <c r="Y4013">
        <f>IF(AND(ISNUMBER('자료_한국심리'!$M3997),ISNUMBER('자료_한국심리'!$N3997)),'자료_한국심리'!$M3997,"")</f>
        <v/>
      </c>
    </row>
    <row r="4014">
      <c r="U4014">
        <f>IF(AND(ISNUMBER('자료_한국심리'!$A3998),ISNUMBER('자료_한국심리'!$B3998)),'자료_한국심리'!$A3998,"")</f>
        <v/>
      </c>
      <c r="V4014">
        <f>IF(AND(ISNUMBER('자료_한국심리'!$D3998),ISNUMBER('자료_한국심리'!$E3998)),'자료_한국심리'!$D3998,"")</f>
        <v/>
      </c>
      <c r="W4014">
        <f>IF(AND(ISNUMBER('자료_한국심리'!$G3998),ISNUMBER('자료_한국심리'!$H3998)),'자료_한국심리'!$G3998,"")</f>
        <v/>
      </c>
      <c r="X4014">
        <f>IF(AND(ISNUMBER('자료_한국심리'!$J3998),ISNUMBER('자료_한국심리'!$K3998)),'자료_한국심리'!$J3998,"")</f>
        <v/>
      </c>
      <c r="Y4014">
        <f>IF(AND(ISNUMBER('자료_한국심리'!$M3998),ISNUMBER('자료_한국심리'!$N3998)),'자료_한국심리'!$M3998,"")</f>
        <v/>
      </c>
    </row>
    <row r="4015">
      <c r="U4015">
        <f>IF(AND(ISNUMBER('자료_한국심리'!$A3999),ISNUMBER('자료_한국심리'!$B3999)),'자료_한국심리'!$A3999,"")</f>
        <v/>
      </c>
      <c r="V4015">
        <f>IF(AND(ISNUMBER('자료_한국심리'!$D3999),ISNUMBER('자료_한국심리'!$E3999)),'자료_한국심리'!$D3999,"")</f>
        <v/>
      </c>
      <c r="W4015">
        <f>IF(AND(ISNUMBER('자료_한국심리'!$G3999),ISNUMBER('자료_한국심리'!$H3999)),'자료_한국심리'!$G3999,"")</f>
        <v/>
      </c>
      <c r="X4015">
        <f>IF(AND(ISNUMBER('자료_한국심리'!$J3999),ISNUMBER('자료_한국심리'!$K3999)),'자료_한국심리'!$J3999,"")</f>
        <v/>
      </c>
      <c r="Y4015">
        <f>IF(AND(ISNUMBER('자료_한국심리'!$M3999),ISNUMBER('자료_한국심리'!$N3999)),'자료_한국심리'!$M3999,"")</f>
        <v/>
      </c>
    </row>
    <row r="4016">
      <c r="U4016">
        <f>IF(AND(ISNUMBER('자료_한국심리'!$A4000),ISNUMBER('자료_한국심리'!$B4000)),'자료_한국심리'!$A4000,"")</f>
        <v/>
      </c>
      <c r="V4016">
        <f>IF(AND(ISNUMBER('자료_한국심리'!$D4000),ISNUMBER('자료_한국심리'!$E4000)),'자료_한국심리'!$D4000,"")</f>
        <v/>
      </c>
      <c r="W4016">
        <f>IF(AND(ISNUMBER('자료_한국심리'!$G4000),ISNUMBER('자료_한국심리'!$H4000)),'자료_한국심리'!$G4000,"")</f>
        <v/>
      </c>
      <c r="X4016">
        <f>IF(AND(ISNUMBER('자료_한국심리'!$J4000),ISNUMBER('자료_한국심리'!$K4000)),'자료_한국심리'!$J4000,"")</f>
        <v/>
      </c>
      <c r="Y4016">
        <f>IF(AND(ISNUMBER('자료_한국심리'!$M4000),ISNUMBER('자료_한국심리'!$N4000)),'자료_한국심리'!$M4000,"")</f>
        <v/>
      </c>
    </row>
    <row r="4017">
      <c r="U4017">
        <f>IF(AND(ISNUMBER('자료_한국심리'!$A4001),ISNUMBER('자료_한국심리'!$B4001)),'자료_한국심리'!$A4001,"")</f>
        <v/>
      </c>
      <c r="V4017">
        <f>IF(AND(ISNUMBER('자료_한국심리'!$D4001),ISNUMBER('자료_한국심리'!$E4001)),'자료_한국심리'!$D4001,"")</f>
        <v/>
      </c>
      <c r="W4017">
        <f>IF(AND(ISNUMBER('자료_한국심리'!$G4001),ISNUMBER('자료_한국심리'!$H4001)),'자료_한국심리'!$G4001,"")</f>
        <v/>
      </c>
      <c r="X4017">
        <f>IF(AND(ISNUMBER('자료_한국심리'!$J4001),ISNUMBER('자료_한국심리'!$K4001)),'자료_한국심리'!$J4001,"")</f>
        <v/>
      </c>
      <c r="Y4017">
        <f>IF(AND(ISNUMBER('자료_한국심리'!$M4001),ISNUMBER('자료_한국심리'!$N4001)),'자료_한국심리'!$M4001,"")</f>
        <v/>
      </c>
    </row>
    <row r="4018">
      <c r="U4018">
        <f>IF(AND(ISNUMBER('자료_한국심리'!$A4002),ISNUMBER('자료_한국심리'!$B4002)),'자료_한국심리'!$A4002,"")</f>
        <v/>
      </c>
      <c r="V4018">
        <f>IF(AND(ISNUMBER('자료_한국심리'!$D4002),ISNUMBER('자료_한국심리'!$E4002)),'자료_한국심리'!$D4002,"")</f>
        <v/>
      </c>
      <c r="W4018">
        <f>IF(AND(ISNUMBER('자료_한국심리'!$G4002),ISNUMBER('자료_한국심리'!$H4002)),'자료_한국심리'!$G4002,"")</f>
        <v/>
      </c>
      <c r="X4018">
        <f>IF(AND(ISNUMBER('자료_한국심리'!$J4002),ISNUMBER('자료_한국심리'!$K4002)),'자료_한국심리'!$J4002,"")</f>
        <v/>
      </c>
      <c r="Y4018">
        <f>IF(AND(ISNUMBER('자료_한국심리'!$M4002),ISNUMBER('자료_한국심리'!$N4002)),'자료_한국심리'!$M4002,"")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0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6" customWidth="1" min="4" max="4"/>
    <col width="11" customWidth="1" min="5" max="5"/>
    <col width="10" customWidth="1" min="6" max="6"/>
    <col width="8" customWidth="1" min="7" max="7"/>
    <col width="12" customWidth="1" min="8" max="8"/>
    <col width="24" customWidth="1" min="9" max="9"/>
    <col width="22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</cols>
  <sheetData>
    <row r="1">
      <c r="A1" s="4" t="inlineStr">
        <is>
          <t>거시 참고 패널 (명세 4)</t>
        </is>
      </c>
    </row>
    <row r="2">
      <c r="A2" s="5" t="inlineStr">
        <is>
          <t>표시만 한다. 어떤 규칙의 입력도 아니고 합산 점수도 없다.</t>
        </is>
      </c>
    </row>
    <row r="4" ht="32" customHeight="1">
      <c r="A4" s="6" t="inlineStr">
        <is>
          <t>지표</t>
        </is>
      </c>
      <c r="B4" s="6" t="inlineStr">
        <is>
          <t>보는 것</t>
        </is>
      </c>
      <c r="C4" s="6" t="inlineStr">
        <is>
          <t>현재값</t>
        </is>
      </c>
      <c r="D4" s="6" t="inlineStr">
        <is>
          <t>단위</t>
        </is>
      </c>
      <c r="E4" s="6" t="inlineStr">
        <is>
          <t>기준일</t>
        </is>
      </c>
      <c r="F4" s="6" t="inlineStr">
        <is>
          <t>10년 백분위</t>
        </is>
      </c>
      <c r="G4" s="6" t="inlineStr">
        <is>
          <t>창 안
자료 수</t>
        </is>
      </c>
      <c r="H4" s="6" t="inlineStr">
        <is>
          <t>창 첫 자료일</t>
        </is>
      </c>
      <c r="I4" s="6" t="inlineStr">
        <is>
          <t>출처</t>
        </is>
      </c>
      <c r="J4" s="6" t="inlineStr">
        <is>
          <t>점검</t>
        </is>
      </c>
      <c r="K4" s="6" t="inlineStr">
        <is>
          <t>원자료 날짜 수</t>
        </is>
      </c>
      <c r="L4" s="6" t="inlineStr">
        <is>
          <t>창 시작</t>
        </is>
      </c>
      <c r="M4" s="6" t="inlineStr">
        <is>
          <t>정렬 오류</t>
        </is>
      </c>
      <c r="N4" s="6" t="inlineStr">
        <is>
          <t>점검 문구</t>
        </is>
      </c>
    </row>
    <row r="5">
      <c r="A5" s="7" t="inlineStr">
        <is>
          <t>실시간 Sahm 지표</t>
        </is>
      </c>
      <c r="B5" t="inlineStr">
        <is>
          <t>미국 경기 둔화</t>
        </is>
      </c>
      <c r="C5" s="32">
        <f>IF(E5="","",INDEX($P$21:$P$620,MATCH(E5,$Q$21:$Q$620,0)))</f>
        <v/>
      </c>
      <c r="D5" t="inlineStr">
        <is>
          <t>%p</t>
        </is>
      </c>
      <c r="E5" s="10">
        <f>IF(COUNT($Q$21:$Q$620)=0,"",MAX($Q$21:$Q$620))</f>
        <v/>
      </c>
      <c r="F5" s="33">
        <f>IF(G5=0,"",IF(G5=1,50,(_xlfn.RANK.AVG(C5,$R$21:$R$620,1)-1)/(G5-1)*100))</f>
        <v/>
      </c>
      <c r="G5">
        <f>COUNT($R$21:$R$620)</f>
        <v/>
      </c>
      <c r="H5" s="10">
        <f>IF(G5=0,"",_xlfn.MINIFS($Q$21:$Q$620,$Q$21:$Q$620,"&gt;"&amp;L5))</f>
        <v/>
      </c>
      <c r="I5" t="inlineStr">
        <is>
          <t>FRED SAHMREALTIME</t>
        </is>
      </c>
      <c r="J5">
        <f>IF(N5="","이상 없음",N5)</f>
        <v/>
      </c>
      <c r="K5">
        <f>COUNT('자료_거시'!$A$3:$A$602)</f>
        <v/>
      </c>
      <c r="L5" s="10">
        <f>IF(E5="","",EDATE(E5,-'설정'!$B$16))</f>
        <v/>
      </c>
      <c r="M5">
        <f>SUMPRODUCT(('자료_거시'!$A$3:$A$601&gt;='자료_거시'!$A$4:$A$602)*ISNUMBER('자료_거시'!$A$4:$A$602))</f>
        <v/>
      </c>
      <c r="N5">
        <f>_xlfn.TEXTJOIN(", ",TRUE,IF(E5="","자료 없음",""),IF(M5&gt;0,"날짜 정렬 오류",""),IF(G5&gt;0,IF(H5&gt;L5+'설정'!$B$23,"10년 자료 부족",""),""))</f>
        <v/>
      </c>
    </row>
    <row r="6">
      <c r="A6" s="7" t="inlineStr">
        <is>
          <t>미 10년물 금리 3개월 변화</t>
        </is>
      </c>
      <c r="B6" t="inlineStr">
        <is>
          <t>금리 급등</t>
        </is>
      </c>
      <c r="C6" s="32">
        <f>IF(E6="","",INDEX($T$21:$T$4020,MATCH(E6,$U$21:$U$4020,0)))</f>
        <v/>
      </c>
      <c r="D6" t="inlineStr">
        <is>
          <t>%p</t>
        </is>
      </c>
      <c r="E6" s="10">
        <f>IF(COUNT($U$21:$U$4020)=0,"",MAX($U$21:$U$4020))</f>
        <v/>
      </c>
      <c r="F6" s="33">
        <f>IF(G6=0,"",IF(G6=1,50,(_xlfn.RANK.AVG(C6,$V$21:$V$4020,1)-1)/(G6-1)*100))</f>
        <v/>
      </c>
      <c r="G6">
        <f>COUNT($V$21:$V$4020)</f>
        <v/>
      </c>
      <c r="H6" s="10">
        <f>IF(G6=0,"",_xlfn.MINIFS($U$21:$U$4020,$U$21:$U$4020,"&gt;"&amp;L6))</f>
        <v/>
      </c>
      <c r="I6" t="inlineStr">
        <is>
          <t>FRED DGS10</t>
        </is>
      </c>
      <c r="J6">
        <f>IF(N6="","이상 없음",N6)</f>
        <v/>
      </c>
      <c r="K6">
        <f>COUNT('자료_거시'!$D$3:$D$4002)</f>
        <v/>
      </c>
      <c r="L6" s="10">
        <f>IF(E6="","",EDATE(E6,-'설정'!$B$16))</f>
        <v/>
      </c>
      <c r="M6">
        <f>SUMPRODUCT(('자료_거시'!$D$3:$D$4001&gt;='자료_거시'!$D$4:$D$4002)*ISNUMBER('자료_거시'!$D$4:$D$4002))</f>
        <v/>
      </c>
      <c r="N6">
        <f>_xlfn.TEXTJOIN(", ",TRUE,IF(E6="","자료 없음",""),IF(M6&gt;0,"날짜 정렬 오류",""),IF(G6&gt;0,IF(H6&gt;L6+'설정'!$B$23,"10년 자료 부족",""),""))</f>
        <v/>
      </c>
    </row>
    <row r="7">
      <c r="A7" s="7" t="inlineStr">
        <is>
          <t>10년물 − 3개월물 금리차</t>
        </is>
      </c>
      <c r="B7" t="inlineStr">
        <is>
          <t>장단기 역전</t>
        </is>
      </c>
      <c r="C7" s="32">
        <f>IF(E7="","",INDEX($W$21:$W$4020,MATCH(E7,$X$21:$X$4020,0)))</f>
        <v/>
      </c>
      <c r="D7" t="inlineStr">
        <is>
          <t>%p</t>
        </is>
      </c>
      <c r="E7" s="10">
        <f>IF(COUNT($X$21:$X$4020)=0,"",MAX($X$21:$X$4020))</f>
        <v/>
      </c>
      <c r="F7" s="33">
        <f>IF(G7=0,"",IF(G7=1,50,(_xlfn.RANK.AVG(C7,$Y$21:$Y$4020,1)-1)/(G7-1)*100))</f>
        <v/>
      </c>
      <c r="G7">
        <f>COUNT($Y$21:$Y$4020)</f>
        <v/>
      </c>
      <c r="H7" s="10">
        <f>IF(G7=0,"",_xlfn.MINIFS($X$21:$X$4020,$X$21:$X$4020,"&gt;"&amp;L7))</f>
        <v/>
      </c>
      <c r="I7" t="inlineStr">
        <is>
          <t>FRED T10Y3M</t>
        </is>
      </c>
      <c r="J7">
        <f>IF(N7="","이상 없음",N7)</f>
        <v/>
      </c>
      <c r="K7">
        <f>COUNT('자료_거시'!$G$3:$G$4002)</f>
        <v/>
      </c>
      <c r="L7" s="10">
        <f>IF(E7="","",EDATE(E7,-'설정'!$B$16))</f>
        <v/>
      </c>
      <c r="M7">
        <f>SUMPRODUCT(('자료_거시'!$G$3:$G$4001&gt;='자료_거시'!$G$4:$G$4002)*ISNUMBER('자료_거시'!$G$4:$G$4002))</f>
        <v/>
      </c>
      <c r="N7">
        <f>_xlfn.TEXTJOIN(", ",TRUE,IF(E7="","자료 없음",""),IF(M7&gt;0,"날짜 정렬 오류",""),IF(G7&gt;0,IF(H7&gt;L7+'설정'!$B$23,"10년 자료 부족",""),""))</f>
        <v/>
      </c>
    </row>
    <row r="8">
      <c r="A8" s="7" t="inlineStr">
        <is>
          <t>엔/달러 3개월 변화율</t>
        </is>
      </c>
      <c r="B8" t="inlineStr">
        <is>
          <t>엔 캐리 청산 압력</t>
        </is>
      </c>
      <c r="C8" s="14">
        <f>IF(E8="","",INDEX($AA$21:$AA$4020,MATCH(E8,$AB$21:$AB$4020,0)))</f>
        <v/>
      </c>
      <c r="D8" t="inlineStr">
        <is>
          <t>%</t>
        </is>
      </c>
      <c r="E8" s="10">
        <f>IF(COUNT($AB$21:$AB$4020)=0,"",MAX($AB$21:$AB$4020))</f>
        <v/>
      </c>
      <c r="F8" s="33">
        <f>IF(G8=0,"",IF(G8=1,50,(_xlfn.RANK.AVG(C8,$AC$21:$AC$4020,1)-1)/(G8-1)*100))</f>
        <v/>
      </c>
      <c r="G8">
        <f>COUNT($AC$21:$AC$4020)</f>
        <v/>
      </c>
      <c r="H8" s="10">
        <f>IF(G8=0,"",_xlfn.MINIFS($AB$21:$AB$4020,$AB$21:$AB$4020,"&gt;"&amp;L8))</f>
        <v/>
      </c>
      <c r="I8" t="inlineStr">
        <is>
          <t>FRED DEXJPUS</t>
        </is>
      </c>
      <c r="J8">
        <f>IF(N8="","이상 없음",N8)</f>
        <v/>
      </c>
      <c r="K8">
        <f>COUNT('자료_거시'!$J$3:$J$4002)</f>
        <v/>
      </c>
      <c r="L8" s="10">
        <f>IF(E8="","",EDATE(E8,-'설정'!$B$16))</f>
        <v/>
      </c>
      <c r="M8">
        <f>SUMPRODUCT(('자료_거시'!$J$3:$J$4001&gt;='자료_거시'!$J$4:$J$4002)*ISNUMBER('자료_거시'!$J$4:$J$4002))</f>
        <v/>
      </c>
      <c r="N8">
        <f>_xlfn.TEXTJOIN(", ",TRUE,IF(E8="","자료 없음",""),IF(M8&gt;0,"날짜 정렬 오류",""),IF(G8&gt;0,IF(H8&gt;L8+'설정'!$B$23,"10년 자료 부족",""),""))</f>
        <v/>
      </c>
    </row>
    <row r="9">
      <c r="A9" s="7" t="inlineStr">
        <is>
          <t>한국 수출 3개월 전년비</t>
        </is>
      </c>
      <c r="B9" t="inlineStr">
        <is>
          <t>한국 경기</t>
        </is>
      </c>
      <c r="C9" s="14">
        <f>IF(E9="","",INDEX($AE$21:$AE$620,MATCH(E9,$AF$21:$AF$620,0)))</f>
        <v/>
      </c>
      <c r="D9" t="inlineStr">
        <is>
          <t>%</t>
        </is>
      </c>
      <c r="E9" s="10">
        <f>IF(COUNT($AF$21:$AF$620)=0,"",MAX($AF$21:$AF$620))</f>
        <v/>
      </c>
      <c r="F9" s="33">
        <f>IF(G9=0,"",IF(G9=1,50,(_xlfn.RANK.AVG(C9,$AG$21:$AG$620,1)-1)/(G9-1)*100))</f>
        <v/>
      </c>
      <c r="G9">
        <f>COUNT($AG$21:$AG$620)</f>
        <v/>
      </c>
      <c r="H9" s="10">
        <f>IF(G9=0,"",_xlfn.MINIFS($AF$21:$AF$620,$AF$21:$AF$620,"&gt;"&amp;L9))</f>
        <v/>
      </c>
      <c r="I9" t="inlineStr">
        <is>
          <t>FRED XTEXVA01KRM667N</t>
        </is>
      </c>
      <c r="J9">
        <f>IF(N9="","이상 없음",N9)</f>
        <v/>
      </c>
      <c r="K9">
        <f>COUNT('자료_거시'!$M$3:$M$602)</f>
        <v/>
      </c>
      <c r="L9" s="10">
        <f>IF(E9="","",EDATE(E9,-'설정'!$B$16))</f>
        <v/>
      </c>
      <c r="M9">
        <f>SUMPRODUCT(('자료_거시'!$M$3:$M$601&gt;='자료_거시'!$M$4:$M$602)*ISNUMBER('자료_거시'!$M$4:$M$602))</f>
        <v/>
      </c>
      <c r="N9">
        <f>_xlfn.TEXTJOIN(", ",TRUE,IF(E9="","자료 없음",""),IF(M9&gt;0,"날짜 정렬 오류",""),IF(G9&gt;0,IF(H9&gt;L9+'설정'!$B$23,"10년 자료 부족",""),""))</f>
        <v/>
      </c>
    </row>
    <row r="11">
      <c r="A11" s="5" t="inlineStr">
        <is>
          <t>· 현재값은 가장 최근 자료, 10년 백분위는 최근 10년 값 가운데 위치(0 = 가장 낮음, 100 = 가장 높음).</t>
        </is>
      </c>
    </row>
    <row r="12">
      <c r="A12" s="5" t="inlineStr">
        <is>
          <t>· 미 10년물 3개월 변화 = 오늘 − 3개월 전(%p). 엔/달러 변화율이 음수면 엔화 강세. 한국 수출 = 최근 3개월 합 ÷ 1년 전 같은 3개월 합 − 1.</t>
        </is>
      </c>
    </row>
    <row r="20">
      <c r="P20" s="6" t="inlineStr">
        <is>
          <t>sahm:x</t>
        </is>
      </c>
      <c r="Q20" s="6" t="inlineStr">
        <is>
          <t>sahm:xd</t>
        </is>
      </c>
      <c r="R20" s="6" t="inlineStr">
        <is>
          <t>sahm:w</t>
        </is>
      </c>
      <c r="S20" s="6" t="inlineStr">
        <is>
          <t>dgs10:cv</t>
        </is>
      </c>
      <c r="T20" s="6" t="inlineStr">
        <is>
          <t>dgs10:x</t>
        </is>
      </c>
      <c r="U20" s="6" t="inlineStr">
        <is>
          <t>dgs10:xd</t>
        </is>
      </c>
      <c r="V20" s="6" t="inlineStr">
        <is>
          <t>dgs10:w</t>
        </is>
      </c>
      <c r="W20" s="6" t="inlineStr">
        <is>
          <t>t10y3m:x</t>
        </is>
      </c>
      <c r="X20" s="6" t="inlineStr">
        <is>
          <t>t10y3m:xd</t>
        </is>
      </c>
      <c r="Y20" s="6" t="inlineStr">
        <is>
          <t>t10y3m:w</t>
        </is>
      </c>
      <c r="Z20" s="6" t="inlineStr">
        <is>
          <t>jpy:cv</t>
        </is>
      </c>
      <c r="AA20" s="6" t="inlineStr">
        <is>
          <t>jpy:x</t>
        </is>
      </c>
      <c r="AB20" s="6" t="inlineStr">
        <is>
          <t>jpy:xd</t>
        </is>
      </c>
      <c r="AC20" s="6" t="inlineStr">
        <is>
          <t>jpy:w</t>
        </is>
      </c>
      <c r="AD20" s="6" t="inlineStr">
        <is>
          <t>exports:n</t>
        </is>
      </c>
      <c r="AE20" s="6" t="inlineStr">
        <is>
          <t>exports:x</t>
        </is>
      </c>
      <c r="AF20" s="6" t="inlineStr">
        <is>
          <t>exports:xd</t>
        </is>
      </c>
      <c r="AG20" s="6" t="inlineStr">
        <is>
          <t>exports:w</t>
        </is>
      </c>
    </row>
    <row r="21">
      <c r="P21">
        <f>IF(AND(ISNUMBER('자료_거시'!$A3),ISNUMBER('자료_거시'!$B3)),'자료_거시'!$B3,"")</f>
        <v/>
      </c>
      <c r="Q21">
        <f>IF(ISNUMBER(P21),'자료_거시'!$A3,"")</f>
        <v/>
      </c>
      <c r="R21">
        <f>IF(ISNUMBER(Q21),IF(Q21&gt;$L$5,P21,""),"")</f>
        <v/>
      </c>
      <c r="S21">
        <f>IF(ISNUMBER('자료_거시'!$E3),'자료_거시'!$E3,"")</f>
        <v/>
      </c>
      <c r="T21">
        <f>IF(AND(ISNUMBER('자료_거시'!$D3),ISNUMBER('자료_거시'!$E3)),IFERROR('자료_거시'!$E3-INDEX($S$21:$S$4020,MATCH(EDATE('자료_거시'!$D3,-'설정'!$B$17),'자료_거시'!$D$3:INDEX('자료_거시'!$D$3:$D$4002,$K$6),1)),""),"")</f>
        <v/>
      </c>
      <c r="U21">
        <f>IF(ISNUMBER(T21),'자료_거시'!$D3,"")</f>
        <v/>
      </c>
      <c r="V21">
        <f>IF(ISNUMBER(U21),IF(U21&gt;$L$6,T21,""),"")</f>
        <v/>
      </c>
      <c r="W21">
        <f>IF(AND(ISNUMBER('자료_거시'!$G3),ISNUMBER('자료_거시'!$H3)),'자료_거시'!$H3,"")</f>
        <v/>
      </c>
      <c r="X21">
        <f>IF(ISNUMBER(W21),'자료_거시'!$G3,"")</f>
        <v/>
      </c>
      <c r="Y21">
        <f>IF(ISNUMBER(X21),IF(X21&gt;$L$7,W21,""),"")</f>
        <v/>
      </c>
      <c r="Z21">
        <f>IF(ISNUMBER('자료_거시'!$K3),'자료_거시'!$K3,"")</f>
        <v/>
      </c>
      <c r="AA21">
        <f>IF(AND(ISNUMBER('자료_거시'!$J3),ISNUMBER('자료_거시'!$K3)),IFERROR('자료_거시'!$K3/INDEX($Z$21:$Z$4020,MATCH(EDATE('자료_거시'!$J3,-'설정'!$B$17),'자료_거시'!$J$3:INDEX('자료_거시'!$J$3:$J$4002,$K$8),1))-1,""),"")</f>
        <v/>
      </c>
      <c r="AB21">
        <f>IF(ISNUMBER(AA21),'자료_거시'!$J3,"")</f>
        <v/>
      </c>
      <c r="AC21">
        <f>IF(ISNUMBER(AB21),IF(AB21&gt;$L$8,AA21,""),"")</f>
        <v/>
      </c>
      <c r="AD21">
        <f>IF(AND(ISNUMBER('자료_거시'!$M3),ISNUMBER('자료_거시'!$N3)),1,0)</f>
        <v/>
      </c>
      <c r="AE21">
        <f>IF(AND(ISNUMBER('자료_거시'!$M3),ISNUMBER('자료_거시'!$N3)),IF(AND(SUMIFS($AD$21:$AD$620,'자료_거시'!$M$3:$M$602,"&gt;"&amp;EDATE('자료_거시'!$M3,-'설정'!$B$17),'자료_거시'!$M$3:$M$602,"&lt;="&amp;'자료_거시'!$M3)=3,SUMIFS($AD$21:$AD$620,'자료_거시'!$M$3:$M$602,"&gt;"&amp;EDATE('자료_거시'!$M3,-12-'설정'!$B$17),'자료_거시'!$M$3:$M$602,"&lt;="&amp;EDATE('자료_거시'!$M3,-12))=3),IFERROR(SUMIFS('자료_거시'!$N$3:$N$602,'자료_거시'!$M$3:$M$602,"&gt;"&amp;EDATE('자료_거시'!$M3,-'설정'!$B$17),'자료_거시'!$M$3:$M$602,"&lt;="&amp;'자료_거시'!$M3)/SUMIFS('자료_거시'!$N$3:$N$602,'자료_거시'!$M$3:$M$602,"&gt;"&amp;EDATE('자료_거시'!$M3,-12-'설정'!$B$17),'자료_거시'!$M$3:$M$602,"&lt;="&amp;EDATE('자료_거시'!$M3,-12))-1,""),""),"")</f>
        <v/>
      </c>
      <c r="AF21">
        <f>IF(ISNUMBER(AE21),'자료_거시'!$M3,"")</f>
        <v/>
      </c>
      <c r="AG21">
        <f>IF(ISNUMBER(AF21),IF(AF21&gt;$L$9,AE21,""),"")</f>
        <v/>
      </c>
    </row>
    <row r="22">
      <c r="P22">
        <f>IF(AND(ISNUMBER('자료_거시'!$A4),ISNUMBER('자료_거시'!$B4)),'자료_거시'!$B4,"")</f>
        <v/>
      </c>
      <c r="Q22">
        <f>IF(ISNUMBER(P22),'자료_거시'!$A4,"")</f>
        <v/>
      </c>
      <c r="R22">
        <f>IF(ISNUMBER(Q22),IF(Q22&gt;$L$5,P22,""),"")</f>
        <v/>
      </c>
      <c r="S22">
        <f>IF(ISNUMBER('자료_거시'!$E4),'자료_거시'!$E4,S21)</f>
        <v/>
      </c>
      <c r="T22">
        <f>IF(AND(ISNUMBER('자료_거시'!$D4),ISNUMBER('자료_거시'!$E4)),IFERROR('자료_거시'!$E4-INDEX($S$21:$S$4020,MATCH(EDATE('자료_거시'!$D4,-'설정'!$B$17),'자료_거시'!$D$3:INDEX('자료_거시'!$D$3:$D$4002,$K$6),1)),""),"")</f>
        <v/>
      </c>
      <c r="U22">
        <f>IF(ISNUMBER(T22),'자료_거시'!$D4,"")</f>
        <v/>
      </c>
      <c r="V22">
        <f>IF(ISNUMBER(U22),IF(U22&gt;$L$6,T22,""),"")</f>
        <v/>
      </c>
      <c r="W22">
        <f>IF(AND(ISNUMBER('자료_거시'!$G4),ISNUMBER('자료_거시'!$H4)),'자료_거시'!$H4,"")</f>
        <v/>
      </c>
      <c r="X22">
        <f>IF(ISNUMBER(W22),'자료_거시'!$G4,"")</f>
        <v/>
      </c>
      <c r="Y22">
        <f>IF(ISNUMBER(X22),IF(X22&gt;$L$7,W22,""),"")</f>
        <v/>
      </c>
      <c r="Z22">
        <f>IF(ISNUMBER('자료_거시'!$K4),'자료_거시'!$K4,Z21)</f>
        <v/>
      </c>
      <c r="AA22">
        <f>IF(AND(ISNUMBER('자료_거시'!$J4),ISNUMBER('자료_거시'!$K4)),IFERROR('자료_거시'!$K4/INDEX($Z$21:$Z$4020,MATCH(EDATE('자료_거시'!$J4,-'설정'!$B$17),'자료_거시'!$J$3:INDEX('자료_거시'!$J$3:$J$4002,$K$8),1))-1,""),"")</f>
        <v/>
      </c>
      <c r="AB22">
        <f>IF(ISNUMBER(AA22),'자료_거시'!$J4,"")</f>
        <v/>
      </c>
      <c r="AC22">
        <f>IF(ISNUMBER(AB22),IF(AB22&gt;$L$8,AA22,""),"")</f>
        <v/>
      </c>
      <c r="AD22">
        <f>IF(AND(ISNUMBER('자료_거시'!$M4),ISNUMBER('자료_거시'!$N4)),1,0)</f>
        <v/>
      </c>
      <c r="AE22">
        <f>IF(AND(ISNUMBER('자료_거시'!$M4),ISNUMBER('자료_거시'!$N4)),IF(AND(SUMIFS($AD$21:$AD$620,'자료_거시'!$M$3:$M$602,"&gt;"&amp;EDATE('자료_거시'!$M4,-'설정'!$B$17),'자료_거시'!$M$3:$M$602,"&lt;="&amp;'자료_거시'!$M4)=3,SUMIFS($AD$21:$AD$620,'자료_거시'!$M$3:$M$602,"&gt;"&amp;EDATE('자료_거시'!$M4,-12-'설정'!$B$17),'자료_거시'!$M$3:$M$602,"&lt;="&amp;EDATE('자료_거시'!$M4,-12))=3),IFERROR(SUMIFS('자료_거시'!$N$3:$N$602,'자료_거시'!$M$3:$M$602,"&gt;"&amp;EDATE('자료_거시'!$M4,-'설정'!$B$17),'자료_거시'!$M$3:$M$602,"&lt;="&amp;'자료_거시'!$M4)/SUMIFS('자료_거시'!$N$3:$N$602,'자료_거시'!$M$3:$M$602,"&gt;"&amp;EDATE('자료_거시'!$M4,-12-'설정'!$B$17),'자료_거시'!$M$3:$M$602,"&lt;="&amp;EDATE('자료_거시'!$M4,-12))-1,""),""),"")</f>
        <v/>
      </c>
      <c r="AF22">
        <f>IF(ISNUMBER(AE22),'자료_거시'!$M4,"")</f>
        <v/>
      </c>
      <c r="AG22">
        <f>IF(ISNUMBER(AF22),IF(AF22&gt;$L$9,AE22,""),"")</f>
        <v/>
      </c>
    </row>
    <row r="23">
      <c r="P23">
        <f>IF(AND(ISNUMBER('자료_거시'!$A5),ISNUMBER('자료_거시'!$B5)),'자료_거시'!$B5,"")</f>
        <v/>
      </c>
      <c r="Q23">
        <f>IF(ISNUMBER(P23),'자료_거시'!$A5,"")</f>
        <v/>
      </c>
      <c r="R23">
        <f>IF(ISNUMBER(Q23),IF(Q23&gt;$L$5,P23,""),"")</f>
        <v/>
      </c>
      <c r="S23">
        <f>IF(ISNUMBER('자료_거시'!$E5),'자료_거시'!$E5,S22)</f>
        <v/>
      </c>
      <c r="T23">
        <f>IF(AND(ISNUMBER('자료_거시'!$D5),ISNUMBER('자료_거시'!$E5)),IFERROR('자료_거시'!$E5-INDEX($S$21:$S$4020,MATCH(EDATE('자료_거시'!$D5,-'설정'!$B$17),'자료_거시'!$D$3:INDEX('자료_거시'!$D$3:$D$4002,$K$6),1)),""),"")</f>
        <v/>
      </c>
      <c r="U23">
        <f>IF(ISNUMBER(T23),'자료_거시'!$D5,"")</f>
        <v/>
      </c>
      <c r="V23">
        <f>IF(ISNUMBER(U23),IF(U23&gt;$L$6,T23,""),"")</f>
        <v/>
      </c>
      <c r="W23">
        <f>IF(AND(ISNUMBER('자료_거시'!$G5),ISNUMBER('자료_거시'!$H5)),'자료_거시'!$H5,"")</f>
        <v/>
      </c>
      <c r="X23">
        <f>IF(ISNUMBER(W23),'자료_거시'!$G5,"")</f>
        <v/>
      </c>
      <c r="Y23">
        <f>IF(ISNUMBER(X23),IF(X23&gt;$L$7,W23,""),"")</f>
        <v/>
      </c>
      <c r="Z23">
        <f>IF(ISNUMBER('자료_거시'!$K5),'자료_거시'!$K5,Z22)</f>
        <v/>
      </c>
      <c r="AA23">
        <f>IF(AND(ISNUMBER('자료_거시'!$J5),ISNUMBER('자료_거시'!$K5)),IFERROR('자료_거시'!$K5/INDEX($Z$21:$Z$4020,MATCH(EDATE('자료_거시'!$J5,-'설정'!$B$17),'자료_거시'!$J$3:INDEX('자료_거시'!$J$3:$J$4002,$K$8),1))-1,""),"")</f>
        <v/>
      </c>
      <c r="AB23">
        <f>IF(ISNUMBER(AA23),'자료_거시'!$J5,"")</f>
        <v/>
      </c>
      <c r="AC23">
        <f>IF(ISNUMBER(AB23),IF(AB23&gt;$L$8,AA23,""),"")</f>
        <v/>
      </c>
      <c r="AD23">
        <f>IF(AND(ISNUMBER('자료_거시'!$M5),ISNUMBER('자료_거시'!$N5)),1,0)</f>
        <v/>
      </c>
      <c r="AE23">
        <f>IF(AND(ISNUMBER('자료_거시'!$M5),ISNUMBER('자료_거시'!$N5)),IF(AND(SUMIFS($AD$21:$AD$620,'자료_거시'!$M$3:$M$602,"&gt;"&amp;EDATE('자료_거시'!$M5,-'설정'!$B$17),'자료_거시'!$M$3:$M$602,"&lt;="&amp;'자료_거시'!$M5)=3,SUMIFS($AD$21:$AD$620,'자료_거시'!$M$3:$M$602,"&gt;"&amp;EDATE('자료_거시'!$M5,-12-'설정'!$B$17),'자료_거시'!$M$3:$M$602,"&lt;="&amp;EDATE('자료_거시'!$M5,-12))=3),IFERROR(SUMIFS('자료_거시'!$N$3:$N$602,'자료_거시'!$M$3:$M$602,"&gt;"&amp;EDATE('자료_거시'!$M5,-'설정'!$B$17),'자료_거시'!$M$3:$M$602,"&lt;="&amp;'자료_거시'!$M5)/SUMIFS('자료_거시'!$N$3:$N$602,'자료_거시'!$M$3:$M$602,"&gt;"&amp;EDATE('자료_거시'!$M5,-12-'설정'!$B$17),'자료_거시'!$M$3:$M$602,"&lt;="&amp;EDATE('자료_거시'!$M5,-12))-1,""),""),"")</f>
        <v/>
      </c>
      <c r="AF23">
        <f>IF(ISNUMBER(AE23),'자료_거시'!$M5,"")</f>
        <v/>
      </c>
      <c r="AG23">
        <f>IF(ISNUMBER(AF23),IF(AF23&gt;$L$9,AE23,""),"")</f>
        <v/>
      </c>
    </row>
    <row r="24">
      <c r="P24">
        <f>IF(AND(ISNUMBER('자료_거시'!$A6),ISNUMBER('자료_거시'!$B6)),'자료_거시'!$B6,"")</f>
        <v/>
      </c>
      <c r="Q24">
        <f>IF(ISNUMBER(P24),'자료_거시'!$A6,"")</f>
        <v/>
      </c>
      <c r="R24">
        <f>IF(ISNUMBER(Q24),IF(Q24&gt;$L$5,P24,""),"")</f>
        <v/>
      </c>
      <c r="S24">
        <f>IF(ISNUMBER('자료_거시'!$E6),'자료_거시'!$E6,S23)</f>
        <v/>
      </c>
      <c r="T24">
        <f>IF(AND(ISNUMBER('자료_거시'!$D6),ISNUMBER('자료_거시'!$E6)),IFERROR('자료_거시'!$E6-INDEX($S$21:$S$4020,MATCH(EDATE('자료_거시'!$D6,-'설정'!$B$17),'자료_거시'!$D$3:INDEX('자료_거시'!$D$3:$D$4002,$K$6),1)),""),"")</f>
        <v/>
      </c>
      <c r="U24">
        <f>IF(ISNUMBER(T24),'자료_거시'!$D6,"")</f>
        <v/>
      </c>
      <c r="V24">
        <f>IF(ISNUMBER(U24),IF(U24&gt;$L$6,T24,""),"")</f>
        <v/>
      </c>
      <c r="W24">
        <f>IF(AND(ISNUMBER('자료_거시'!$G6),ISNUMBER('자료_거시'!$H6)),'자료_거시'!$H6,"")</f>
        <v/>
      </c>
      <c r="X24">
        <f>IF(ISNUMBER(W24),'자료_거시'!$G6,"")</f>
        <v/>
      </c>
      <c r="Y24">
        <f>IF(ISNUMBER(X24),IF(X24&gt;$L$7,W24,""),"")</f>
        <v/>
      </c>
      <c r="Z24">
        <f>IF(ISNUMBER('자료_거시'!$K6),'자료_거시'!$K6,Z23)</f>
        <v/>
      </c>
      <c r="AA24">
        <f>IF(AND(ISNUMBER('자료_거시'!$J6),ISNUMBER('자료_거시'!$K6)),IFERROR('자료_거시'!$K6/INDEX($Z$21:$Z$4020,MATCH(EDATE('자료_거시'!$J6,-'설정'!$B$17),'자료_거시'!$J$3:INDEX('자료_거시'!$J$3:$J$4002,$K$8),1))-1,""),"")</f>
        <v/>
      </c>
      <c r="AB24">
        <f>IF(ISNUMBER(AA24),'자료_거시'!$J6,"")</f>
        <v/>
      </c>
      <c r="AC24">
        <f>IF(ISNUMBER(AB24),IF(AB24&gt;$L$8,AA24,""),"")</f>
        <v/>
      </c>
      <c r="AD24">
        <f>IF(AND(ISNUMBER('자료_거시'!$M6),ISNUMBER('자료_거시'!$N6)),1,0)</f>
        <v/>
      </c>
      <c r="AE24">
        <f>IF(AND(ISNUMBER('자료_거시'!$M6),ISNUMBER('자료_거시'!$N6)),IF(AND(SUMIFS($AD$21:$AD$620,'자료_거시'!$M$3:$M$602,"&gt;"&amp;EDATE('자료_거시'!$M6,-'설정'!$B$17),'자료_거시'!$M$3:$M$602,"&lt;="&amp;'자료_거시'!$M6)=3,SUMIFS($AD$21:$AD$620,'자료_거시'!$M$3:$M$602,"&gt;"&amp;EDATE('자료_거시'!$M6,-12-'설정'!$B$17),'자료_거시'!$M$3:$M$602,"&lt;="&amp;EDATE('자료_거시'!$M6,-12))=3),IFERROR(SUMIFS('자료_거시'!$N$3:$N$602,'자료_거시'!$M$3:$M$602,"&gt;"&amp;EDATE('자료_거시'!$M6,-'설정'!$B$17),'자료_거시'!$M$3:$M$602,"&lt;="&amp;'자료_거시'!$M6)/SUMIFS('자료_거시'!$N$3:$N$602,'자료_거시'!$M$3:$M$602,"&gt;"&amp;EDATE('자료_거시'!$M6,-12-'설정'!$B$17),'자료_거시'!$M$3:$M$602,"&lt;="&amp;EDATE('자료_거시'!$M6,-12))-1,""),""),"")</f>
        <v/>
      </c>
      <c r="AF24">
        <f>IF(ISNUMBER(AE24),'자료_거시'!$M6,"")</f>
        <v/>
      </c>
      <c r="AG24">
        <f>IF(ISNUMBER(AF24),IF(AF24&gt;$L$9,AE24,""),"")</f>
        <v/>
      </c>
    </row>
    <row r="25">
      <c r="P25">
        <f>IF(AND(ISNUMBER('자료_거시'!$A7),ISNUMBER('자료_거시'!$B7)),'자료_거시'!$B7,"")</f>
        <v/>
      </c>
      <c r="Q25">
        <f>IF(ISNUMBER(P25),'자료_거시'!$A7,"")</f>
        <v/>
      </c>
      <c r="R25">
        <f>IF(ISNUMBER(Q25),IF(Q25&gt;$L$5,P25,""),"")</f>
        <v/>
      </c>
      <c r="S25">
        <f>IF(ISNUMBER('자료_거시'!$E7),'자료_거시'!$E7,S24)</f>
        <v/>
      </c>
      <c r="T25">
        <f>IF(AND(ISNUMBER('자료_거시'!$D7),ISNUMBER('자료_거시'!$E7)),IFERROR('자료_거시'!$E7-INDEX($S$21:$S$4020,MATCH(EDATE('자료_거시'!$D7,-'설정'!$B$17),'자료_거시'!$D$3:INDEX('자료_거시'!$D$3:$D$4002,$K$6),1)),""),"")</f>
        <v/>
      </c>
      <c r="U25">
        <f>IF(ISNUMBER(T25),'자료_거시'!$D7,"")</f>
        <v/>
      </c>
      <c r="V25">
        <f>IF(ISNUMBER(U25),IF(U25&gt;$L$6,T25,""),"")</f>
        <v/>
      </c>
      <c r="W25">
        <f>IF(AND(ISNUMBER('자료_거시'!$G7),ISNUMBER('자료_거시'!$H7)),'자료_거시'!$H7,"")</f>
        <v/>
      </c>
      <c r="X25">
        <f>IF(ISNUMBER(W25),'자료_거시'!$G7,"")</f>
        <v/>
      </c>
      <c r="Y25">
        <f>IF(ISNUMBER(X25),IF(X25&gt;$L$7,W25,""),"")</f>
        <v/>
      </c>
      <c r="Z25">
        <f>IF(ISNUMBER('자료_거시'!$K7),'자료_거시'!$K7,Z24)</f>
        <v/>
      </c>
      <c r="AA25">
        <f>IF(AND(ISNUMBER('자료_거시'!$J7),ISNUMBER('자료_거시'!$K7)),IFERROR('자료_거시'!$K7/INDEX($Z$21:$Z$4020,MATCH(EDATE('자료_거시'!$J7,-'설정'!$B$17),'자료_거시'!$J$3:INDEX('자료_거시'!$J$3:$J$4002,$K$8),1))-1,""),"")</f>
        <v/>
      </c>
      <c r="AB25">
        <f>IF(ISNUMBER(AA25),'자료_거시'!$J7,"")</f>
        <v/>
      </c>
      <c r="AC25">
        <f>IF(ISNUMBER(AB25),IF(AB25&gt;$L$8,AA25,""),"")</f>
        <v/>
      </c>
      <c r="AD25">
        <f>IF(AND(ISNUMBER('자료_거시'!$M7),ISNUMBER('자료_거시'!$N7)),1,0)</f>
        <v/>
      </c>
      <c r="AE25">
        <f>IF(AND(ISNUMBER('자료_거시'!$M7),ISNUMBER('자료_거시'!$N7)),IF(AND(SUMIFS($AD$21:$AD$620,'자료_거시'!$M$3:$M$602,"&gt;"&amp;EDATE('자료_거시'!$M7,-'설정'!$B$17),'자료_거시'!$M$3:$M$602,"&lt;="&amp;'자료_거시'!$M7)=3,SUMIFS($AD$21:$AD$620,'자료_거시'!$M$3:$M$602,"&gt;"&amp;EDATE('자료_거시'!$M7,-12-'설정'!$B$17),'자료_거시'!$M$3:$M$602,"&lt;="&amp;EDATE('자료_거시'!$M7,-12))=3),IFERROR(SUMIFS('자료_거시'!$N$3:$N$602,'자료_거시'!$M$3:$M$602,"&gt;"&amp;EDATE('자료_거시'!$M7,-'설정'!$B$17),'자료_거시'!$M$3:$M$602,"&lt;="&amp;'자료_거시'!$M7)/SUMIFS('자료_거시'!$N$3:$N$602,'자료_거시'!$M$3:$M$602,"&gt;"&amp;EDATE('자료_거시'!$M7,-12-'설정'!$B$17),'자료_거시'!$M$3:$M$602,"&lt;="&amp;EDATE('자료_거시'!$M7,-12))-1,""),""),"")</f>
        <v/>
      </c>
      <c r="AF25">
        <f>IF(ISNUMBER(AE25),'자료_거시'!$M7,"")</f>
        <v/>
      </c>
      <c r="AG25">
        <f>IF(ISNUMBER(AF25),IF(AF25&gt;$L$9,AE25,""),"")</f>
        <v/>
      </c>
    </row>
    <row r="26">
      <c r="P26">
        <f>IF(AND(ISNUMBER('자료_거시'!$A8),ISNUMBER('자료_거시'!$B8)),'자료_거시'!$B8,"")</f>
        <v/>
      </c>
      <c r="Q26">
        <f>IF(ISNUMBER(P26),'자료_거시'!$A8,"")</f>
        <v/>
      </c>
      <c r="R26">
        <f>IF(ISNUMBER(Q26),IF(Q26&gt;$L$5,P26,""),"")</f>
        <v/>
      </c>
      <c r="S26">
        <f>IF(ISNUMBER('자료_거시'!$E8),'자료_거시'!$E8,S25)</f>
        <v/>
      </c>
      <c r="T26">
        <f>IF(AND(ISNUMBER('자료_거시'!$D8),ISNUMBER('자료_거시'!$E8)),IFERROR('자료_거시'!$E8-INDEX($S$21:$S$4020,MATCH(EDATE('자료_거시'!$D8,-'설정'!$B$17),'자료_거시'!$D$3:INDEX('자료_거시'!$D$3:$D$4002,$K$6),1)),""),"")</f>
        <v/>
      </c>
      <c r="U26">
        <f>IF(ISNUMBER(T26),'자료_거시'!$D8,"")</f>
        <v/>
      </c>
      <c r="V26">
        <f>IF(ISNUMBER(U26),IF(U26&gt;$L$6,T26,""),"")</f>
        <v/>
      </c>
      <c r="W26">
        <f>IF(AND(ISNUMBER('자료_거시'!$G8),ISNUMBER('자료_거시'!$H8)),'자료_거시'!$H8,"")</f>
        <v/>
      </c>
      <c r="X26">
        <f>IF(ISNUMBER(W26),'자료_거시'!$G8,"")</f>
        <v/>
      </c>
      <c r="Y26">
        <f>IF(ISNUMBER(X26),IF(X26&gt;$L$7,W26,""),"")</f>
        <v/>
      </c>
      <c r="Z26">
        <f>IF(ISNUMBER('자료_거시'!$K8),'자료_거시'!$K8,Z25)</f>
        <v/>
      </c>
      <c r="AA26">
        <f>IF(AND(ISNUMBER('자료_거시'!$J8),ISNUMBER('자료_거시'!$K8)),IFERROR('자료_거시'!$K8/INDEX($Z$21:$Z$4020,MATCH(EDATE('자료_거시'!$J8,-'설정'!$B$17),'자료_거시'!$J$3:INDEX('자료_거시'!$J$3:$J$4002,$K$8),1))-1,""),"")</f>
        <v/>
      </c>
      <c r="AB26">
        <f>IF(ISNUMBER(AA26),'자료_거시'!$J8,"")</f>
        <v/>
      </c>
      <c r="AC26">
        <f>IF(ISNUMBER(AB26),IF(AB26&gt;$L$8,AA26,""),"")</f>
        <v/>
      </c>
      <c r="AD26">
        <f>IF(AND(ISNUMBER('자료_거시'!$M8),ISNUMBER('자료_거시'!$N8)),1,0)</f>
        <v/>
      </c>
      <c r="AE26">
        <f>IF(AND(ISNUMBER('자료_거시'!$M8),ISNUMBER('자료_거시'!$N8)),IF(AND(SUMIFS($AD$21:$AD$620,'자료_거시'!$M$3:$M$602,"&gt;"&amp;EDATE('자료_거시'!$M8,-'설정'!$B$17),'자료_거시'!$M$3:$M$602,"&lt;="&amp;'자료_거시'!$M8)=3,SUMIFS($AD$21:$AD$620,'자료_거시'!$M$3:$M$602,"&gt;"&amp;EDATE('자료_거시'!$M8,-12-'설정'!$B$17),'자료_거시'!$M$3:$M$602,"&lt;="&amp;EDATE('자료_거시'!$M8,-12))=3),IFERROR(SUMIFS('자료_거시'!$N$3:$N$602,'자료_거시'!$M$3:$M$602,"&gt;"&amp;EDATE('자료_거시'!$M8,-'설정'!$B$17),'자료_거시'!$M$3:$M$602,"&lt;="&amp;'자료_거시'!$M8)/SUMIFS('자료_거시'!$N$3:$N$602,'자료_거시'!$M$3:$M$602,"&gt;"&amp;EDATE('자료_거시'!$M8,-12-'설정'!$B$17),'자료_거시'!$M$3:$M$602,"&lt;="&amp;EDATE('자료_거시'!$M8,-12))-1,""),""),"")</f>
        <v/>
      </c>
      <c r="AF26">
        <f>IF(ISNUMBER(AE26),'자료_거시'!$M8,"")</f>
        <v/>
      </c>
      <c r="AG26">
        <f>IF(ISNUMBER(AF26),IF(AF26&gt;$L$9,AE26,""),"")</f>
        <v/>
      </c>
    </row>
    <row r="27">
      <c r="P27">
        <f>IF(AND(ISNUMBER('자료_거시'!$A9),ISNUMBER('자료_거시'!$B9)),'자료_거시'!$B9,"")</f>
        <v/>
      </c>
      <c r="Q27">
        <f>IF(ISNUMBER(P27),'자료_거시'!$A9,"")</f>
        <v/>
      </c>
      <c r="R27">
        <f>IF(ISNUMBER(Q27),IF(Q27&gt;$L$5,P27,""),"")</f>
        <v/>
      </c>
      <c r="S27">
        <f>IF(ISNUMBER('자료_거시'!$E9),'자료_거시'!$E9,S26)</f>
        <v/>
      </c>
      <c r="T27">
        <f>IF(AND(ISNUMBER('자료_거시'!$D9),ISNUMBER('자료_거시'!$E9)),IFERROR('자료_거시'!$E9-INDEX($S$21:$S$4020,MATCH(EDATE('자료_거시'!$D9,-'설정'!$B$17),'자료_거시'!$D$3:INDEX('자료_거시'!$D$3:$D$4002,$K$6),1)),""),"")</f>
        <v/>
      </c>
      <c r="U27">
        <f>IF(ISNUMBER(T27),'자료_거시'!$D9,"")</f>
        <v/>
      </c>
      <c r="V27">
        <f>IF(ISNUMBER(U27),IF(U27&gt;$L$6,T27,""),"")</f>
        <v/>
      </c>
      <c r="W27">
        <f>IF(AND(ISNUMBER('자료_거시'!$G9),ISNUMBER('자료_거시'!$H9)),'자료_거시'!$H9,"")</f>
        <v/>
      </c>
      <c r="X27">
        <f>IF(ISNUMBER(W27),'자료_거시'!$G9,"")</f>
        <v/>
      </c>
      <c r="Y27">
        <f>IF(ISNUMBER(X27),IF(X27&gt;$L$7,W27,""),"")</f>
        <v/>
      </c>
      <c r="Z27">
        <f>IF(ISNUMBER('자료_거시'!$K9),'자료_거시'!$K9,Z26)</f>
        <v/>
      </c>
      <c r="AA27">
        <f>IF(AND(ISNUMBER('자료_거시'!$J9),ISNUMBER('자료_거시'!$K9)),IFERROR('자료_거시'!$K9/INDEX($Z$21:$Z$4020,MATCH(EDATE('자료_거시'!$J9,-'설정'!$B$17),'자료_거시'!$J$3:INDEX('자료_거시'!$J$3:$J$4002,$K$8),1))-1,""),"")</f>
        <v/>
      </c>
      <c r="AB27">
        <f>IF(ISNUMBER(AA27),'자료_거시'!$J9,"")</f>
        <v/>
      </c>
      <c r="AC27">
        <f>IF(ISNUMBER(AB27),IF(AB27&gt;$L$8,AA27,""),"")</f>
        <v/>
      </c>
      <c r="AD27">
        <f>IF(AND(ISNUMBER('자료_거시'!$M9),ISNUMBER('자료_거시'!$N9)),1,0)</f>
        <v/>
      </c>
      <c r="AE27">
        <f>IF(AND(ISNUMBER('자료_거시'!$M9),ISNUMBER('자료_거시'!$N9)),IF(AND(SUMIFS($AD$21:$AD$620,'자료_거시'!$M$3:$M$602,"&gt;"&amp;EDATE('자료_거시'!$M9,-'설정'!$B$17),'자료_거시'!$M$3:$M$602,"&lt;="&amp;'자료_거시'!$M9)=3,SUMIFS($AD$21:$AD$620,'자료_거시'!$M$3:$M$602,"&gt;"&amp;EDATE('자료_거시'!$M9,-12-'설정'!$B$17),'자료_거시'!$M$3:$M$602,"&lt;="&amp;EDATE('자료_거시'!$M9,-12))=3),IFERROR(SUMIFS('자료_거시'!$N$3:$N$602,'자료_거시'!$M$3:$M$602,"&gt;"&amp;EDATE('자료_거시'!$M9,-'설정'!$B$17),'자료_거시'!$M$3:$M$602,"&lt;="&amp;'자료_거시'!$M9)/SUMIFS('자료_거시'!$N$3:$N$602,'자료_거시'!$M$3:$M$602,"&gt;"&amp;EDATE('자료_거시'!$M9,-12-'설정'!$B$17),'자료_거시'!$M$3:$M$602,"&lt;="&amp;EDATE('자료_거시'!$M9,-12))-1,""),""),"")</f>
        <v/>
      </c>
      <c r="AF27">
        <f>IF(ISNUMBER(AE27),'자료_거시'!$M9,"")</f>
        <v/>
      </c>
      <c r="AG27">
        <f>IF(ISNUMBER(AF27),IF(AF27&gt;$L$9,AE27,""),"")</f>
        <v/>
      </c>
    </row>
    <row r="28">
      <c r="P28">
        <f>IF(AND(ISNUMBER('자료_거시'!$A10),ISNUMBER('자료_거시'!$B10)),'자료_거시'!$B10,"")</f>
        <v/>
      </c>
      <c r="Q28">
        <f>IF(ISNUMBER(P28),'자료_거시'!$A10,"")</f>
        <v/>
      </c>
      <c r="R28">
        <f>IF(ISNUMBER(Q28),IF(Q28&gt;$L$5,P28,""),"")</f>
        <v/>
      </c>
      <c r="S28">
        <f>IF(ISNUMBER('자료_거시'!$E10),'자료_거시'!$E10,S27)</f>
        <v/>
      </c>
      <c r="T28">
        <f>IF(AND(ISNUMBER('자료_거시'!$D10),ISNUMBER('자료_거시'!$E10)),IFERROR('자료_거시'!$E10-INDEX($S$21:$S$4020,MATCH(EDATE('자료_거시'!$D10,-'설정'!$B$17),'자료_거시'!$D$3:INDEX('자료_거시'!$D$3:$D$4002,$K$6),1)),""),"")</f>
        <v/>
      </c>
      <c r="U28">
        <f>IF(ISNUMBER(T28),'자료_거시'!$D10,"")</f>
        <v/>
      </c>
      <c r="V28">
        <f>IF(ISNUMBER(U28),IF(U28&gt;$L$6,T28,""),"")</f>
        <v/>
      </c>
      <c r="W28">
        <f>IF(AND(ISNUMBER('자료_거시'!$G10),ISNUMBER('자료_거시'!$H10)),'자료_거시'!$H10,"")</f>
        <v/>
      </c>
      <c r="X28">
        <f>IF(ISNUMBER(W28),'자료_거시'!$G10,"")</f>
        <v/>
      </c>
      <c r="Y28">
        <f>IF(ISNUMBER(X28),IF(X28&gt;$L$7,W28,""),"")</f>
        <v/>
      </c>
      <c r="Z28">
        <f>IF(ISNUMBER('자료_거시'!$K10),'자료_거시'!$K10,Z27)</f>
        <v/>
      </c>
      <c r="AA28">
        <f>IF(AND(ISNUMBER('자료_거시'!$J10),ISNUMBER('자료_거시'!$K10)),IFERROR('자료_거시'!$K10/INDEX($Z$21:$Z$4020,MATCH(EDATE('자료_거시'!$J10,-'설정'!$B$17),'자료_거시'!$J$3:INDEX('자료_거시'!$J$3:$J$4002,$K$8),1))-1,""),"")</f>
        <v/>
      </c>
      <c r="AB28">
        <f>IF(ISNUMBER(AA28),'자료_거시'!$J10,"")</f>
        <v/>
      </c>
      <c r="AC28">
        <f>IF(ISNUMBER(AB28),IF(AB28&gt;$L$8,AA28,""),"")</f>
        <v/>
      </c>
      <c r="AD28">
        <f>IF(AND(ISNUMBER('자료_거시'!$M10),ISNUMBER('자료_거시'!$N10)),1,0)</f>
        <v/>
      </c>
      <c r="AE28">
        <f>IF(AND(ISNUMBER('자료_거시'!$M10),ISNUMBER('자료_거시'!$N10)),IF(AND(SUMIFS($AD$21:$AD$620,'자료_거시'!$M$3:$M$602,"&gt;"&amp;EDATE('자료_거시'!$M10,-'설정'!$B$17),'자료_거시'!$M$3:$M$602,"&lt;="&amp;'자료_거시'!$M10)=3,SUMIFS($AD$21:$AD$620,'자료_거시'!$M$3:$M$602,"&gt;"&amp;EDATE('자료_거시'!$M10,-12-'설정'!$B$17),'자료_거시'!$M$3:$M$602,"&lt;="&amp;EDATE('자료_거시'!$M10,-12))=3),IFERROR(SUMIFS('자료_거시'!$N$3:$N$602,'자료_거시'!$M$3:$M$602,"&gt;"&amp;EDATE('자료_거시'!$M10,-'설정'!$B$17),'자료_거시'!$M$3:$M$602,"&lt;="&amp;'자료_거시'!$M10)/SUMIFS('자료_거시'!$N$3:$N$602,'자료_거시'!$M$3:$M$602,"&gt;"&amp;EDATE('자료_거시'!$M10,-12-'설정'!$B$17),'자료_거시'!$M$3:$M$602,"&lt;="&amp;EDATE('자료_거시'!$M10,-12))-1,""),""),"")</f>
        <v/>
      </c>
      <c r="AF28">
        <f>IF(ISNUMBER(AE28),'자료_거시'!$M10,"")</f>
        <v/>
      </c>
      <c r="AG28">
        <f>IF(ISNUMBER(AF28),IF(AF28&gt;$L$9,AE28,""),"")</f>
        <v/>
      </c>
    </row>
    <row r="29">
      <c r="P29">
        <f>IF(AND(ISNUMBER('자료_거시'!$A11),ISNUMBER('자료_거시'!$B11)),'자료_거시'!$B11,"")</f>
        <v/>
      </c>
      <c r="Q29">
        <f>IF(ISNUMBER(P29),'자료_거시'!$A11,"")</f>
        <v/>
      </c>
      <c r="R29">
        <f>IF(ISNUMBER(Q29),IF(Q29&gt;$L$5,P29,""),"")</f>
        <v/>
      </c>
      <c r="S29">
        <f>IF(ISNUMBER('자료_거시'!$E11),'자료_거시'!$E11,S28)</f>
        <v/>
      </c>
      <c r="T29">
        <f>IF(AND(ISNUMBER('자료_거시'!$D11),ISNUMBER('자료_거시'!$E11)),IFERROR('자료_거시'!$E11-INDEX($S$21:$S$4020,MATCH(EDATE('자료_거시'!$D11,-'설정'!$B$17),'자료_거시'!$D$3:INDEX('자료_거시'!$D$3:$D$4002,$K$6),1)),""),"")</f>
        <v/>
      </c>
      <c r="U29">
        <f>IF(ISNUMBER(T29),'자료_거시'!$D11,"")</f>
        <v/>
      </c>
      <c r="V29">
        <f>IF(ISNUMBER(U29),IF(U29&gt;$L$6,T29,""),"")</f>
        <v/>
      </c>
      <c r="W29">
        <f>IF(AND(ISNUMBER('자료_거시'!$G11),ISNUMBER('자료_거시'!$H11)),'자료_거시'!$H11,"")</f>
        <v/>
      </c>
      <c r="X29">
        <f>IF(ISNUMBER(W29),'자료_거시'!$G11,"")</f>
        <v/>
      </c>
      <c r="Y29">
        <f>IF(ISNUMBER(X29),IF(X29&gt;$L$7,W29,""),"")</f>
        <v/>
      </c>
      <c r="Z29">
        <f>IF(ISNUMBER('자료_거시'!$K11),'자료_거시'!$K11,Z28)</f>
        <v/>
      </c>
      <c r="AA29">
        <f>IF(AND(ISNUMBER('자료_거시'!$J11),ISNUMBER('자료_거시'!$K11)),IFERROR('자료_거시'!$K11/INDEX($Z$21:$Z$4020,MATCH(EDATE('자료_거시'!$J11,-'설정'!$B$17),'자료_거시'!$J$3:INDEX('자료_거시'!$J$3:$J$4002,$K$8),1))-1,""),"")</f>
        <v/>
      </c>
      <c r="AB29">
        <f>IF(ISNUMBER(AA29),'자료_거시'!$J11,"")</f>
        <v/>
      </c>
      <c r="AC29">
        <f>IF(ISNUMBER(AB29),IF(AB29&gt;$L$8,AA29,""),"")</f>
        <v/>
      </c>
      <c r="AD29">
        <f>IF(AND(ISNUMBER('자료_거시'!$M11),ISNUMBER('자료_거시'!$N11)),1,0)</f>
        <v/>
      </c>
      <c r="AE29">
        <f>IF(AND(ISNUMBER('자료_거시'!$M11),ISNUMBER('자료_거시'!$N11)),IF(AND(SUMIFS($AD$21:$AD$620,'자료_거시'!$M$3:$M$602,"&gt;"&amp;EDATE('자료_거시'!$M11,-'설정'!$B$17),'자료_거시'!$M$3:$M$602,"&lt;="&amp;'자료_거시'!$M11)=3,SUMIFS($AD$21:$AD$620,'자료_거시'!$M$3:$M$602,"&gt;"&amp;EDATE('자료_거시'!$M11,-12-'설정'!$B$17),'자료_거시'!$M$3:$M$602,"&lt;="&amp;EDATE('자료_거시'!$M11,-12))=3),IFERROR(SUMIFS('자료_거시'!$N$3:$N$602,'자료_거시'!$M$3:$M$602,"&gt;"&amp;EDATE('자료_거시'!$M11,-'설정'!$B$17),'자료_거시'!$M$3:$M$602,"&lt;="&amp;'자료_거시'!$M11)/SUMIFS('자료_거시'!$N$3:$N$602,'자료_거시'!$M$3:$M$602,"&gt;"&amp;EDATE('자료_거시'!$M11,-12-'설정'!$B$17),'자료_거시'!$M$3:$M$602,"&lt;="&amp;EDATE('자료_거시'!$M11,-12))-1,""),""),"")</f>
        <v/>
      </c>
      <c r="AF29">
        <f>IF(ISNUMBER(AE29),'자료_거시'!$M11,"")</f>
        <v/>
      </c>
      <c r="AG29">
        <f>IF(ISNUMBER(AF29),IF(AF29&gt;$L$9,AE29,""),"")</f>
        <v/>
      </c>
    </row>
    <row r="30">
      <c r="P30">
        <f>IF(AND(ISNUMBER('자료_거시'!$A12),ISNUMBER('자료_거시'!$B12)),'자료_거시'!$B12,"")</f>
        <v/>
      </c>
      <c r="Q30">
        <f>IF(ISNUMBER(P30),'자료_거시'!$A12,"")</f>
        <v/>
      </c>
      <c r="R30">
        <f>IF(ISNUMBER(Q30),IF(Q30&gt;$L$5,P30,""),"")</f>
        <v/>
      </c>
      <c r="S30">
        <f>IF(ISNUMBER('자료_거시'!$E12),'자료_거시'!$E12,S29)</f>
        <v/>
      </c>
      <c r="T30">
        <f>IF(AND(ISNUMBER('자료_거시'!$D12),ISNUMBER('자료_거시'!$E12)),IFERROR('자료_거시'!$E12-INDEX($S$21:$S$4020,MATCH(EDATE('자료_거시'!$D12,-'설정'!$B$17),'자료_거시'!$D$3:INDEX('자료_거시'!$D$3:$D$4002,$K$6),1)),""),"")</f>
        <v/>
      </c>
      <c r="U30">
        <f>IF(ISNUMBER(T30),'자료_거시'!$D12,"")</f>
        <v/>
      </c>
      <c r="V30">
        <f>IF(ISNUMBER(U30),IF(U30&gt;$L$6,T30,""),"")</f>
        <v/>
      </c>
      <c r="W30">
        <f>IF(AND(ISNUMBER('자료_거시'!$G12),ISNUMBER('자료_거시'!$H12)),'자료_거시'!$H12,"")</f>
        <v/>
      </c>
      <c r="X30">
        <f>IF(ISNUMBER(W30),'자료_거시'!$G12,"")</f>
        <v/>
      </c>
      <c r="Y30">
        <f>IF(ISNUMBER(X30),IF(X30&gt;$L$7,W30,""),"")</f>
        <v/>
      </c>
      <c r="Z30">
        <f>IF(ISNUMBER('자료_거시'!$K12),'자료_거시'!$K12,Z29)</f>
        <v/>
      </c>
      <c r="AA30">
        <f>IF(AND(ISNUMBER('자료_거시'!$J12),ISNUMBER('자료_거시'!$K12)),IFERROR('자료_거시'!$K12/INDEX($Z$21:$Z$4020,MATCH(EDATE('자료_거시'!$J12,-'설정'!$B$17),'자료_거시'!$J$3:INDEX('자료_거시'!$J$3:$J$4002,$K$8),1))-1,""),"")</f>
        <v/>
      </c>
      <c r="AB30">
        <f>IF(ISNUMBER(AA30),'자료_거시'!$J12,"")</f>
        <v/>
      </c>
      <c r="AC30">
        <f>IF(ISNUMBER(AB30),IF(AB30&gt;$L$8,AA30,""),"")</f>
        <v/>
      </c>
      <c r="AD30">
        <f>IF(AND(ISNUMBER('자료_거시'!$M12),ISNUMBER('자료_거시'!$N12)),1,0)</f>
        <v/>
      </c>
      <c r="AE30">
        <f>IF(AND(ISNUMBER('자료_거시'!$M12),ISNUMBER('자료_거시'!$N12)),IF(AND(SUMIFS($AD$21:$AD$620,'자료_거시'!$M$3:$M$602,"&gt;"&amp;EDATE('자료_거시'!$M12,-'설정'!$B$17),'자료_거시'!$M$3:$M$602,"&lt;="&amp;'자료_거시'!$M12)=3,SUMIFS($AD$21:$AD$620,'자료_거시'!$M$3:$M$602,"&gt;"&amp;EDATE('자료_거시'!$M12,-12-'설정'!$B$17),'자료_거시'!$M$3:$M$602,"&lt;="&amp;EDATE('자료_거시'!$M12,-12))=3),IFERROR(SUMIFS('자료_거시'!$N$3:$N$602,'자료_거시'!$M$3:$M$602,"&gt;"&amp;EDATE('자료_거시'!$M12,-'설정'!$B$17),'자료_거시'!$M$3:$M$602,"&lt;="&amp;'자료_거시'!$M12)/SUMIFS('자료_거시'!$N$3:$N$602,'자료_거시'!$M$3:$M$602,"&gt;"&amp;EDATE('자료_거시'!$M12,-12-'설정'!$B$17),'자료_거시'!$M$3:$M$602,"&lt;="&amp;EDATE('자료_거시'!$M12,-12))-1,""),""),"")</f>
        <v/>
      </c>
      <c r="AF30">
        <f>IF(ISNUMBER(AE30),'자료_거시'!$M12,"")</f>
        <v/>
      </c>
      <c r="AG30">
        <f>IF(ISNUMBER(AF30),IF(AF30&gt;$L$9,AE30,""),"")</f>
        <v/>
      </c>
    </row>
    <row r="31">
      <c r="P31">
        <f>IF(AND(ISNUMBER('자료_거시'!$A13),ISNUMBER('자료_거시'!$B13)),'자료_거시'!$B13,"")</f>
        <v/>
      </c>
      <c r="Q31">
        <f>IF(ISNUMBER(P31),'자료_거시'!$A13,"")</f>
        <v/>
      </c>
      <c r="R31">
        <f>IF(ISNUMBER(Q31),IF(Q31&gt;$L$5,P31,""),"")</f>
        <v/>
      </c>
      <c r="S31">
        <f>IF(ISNUMBER('자료_거시'!$E13),'자료_거시'!$E13,S30)</f>
        <v/>
      </c>
      <c r="T31">
        <f>IF(AND(ISNUMBER('자료_거시'!$D13),ISNUMBER('자료_거시'!$E13)),IFERROR('자료_거시'!$E13-INDEX($S$21:$S$4020,MATCH(EDATE('자료_거시'!$D13,-'설정'!$B$17),'자료_거시'!$D$3:INDEX('자료_거시'!$D$3:$D$4002,$K$6),1)),""),"")</f>
        <v/>
      </c>
      <c r="U31">
        <f>IF(ISNUMBER(T31),'자료_거시'!$D13,"")</f>
        <v/>
      </c>
      <c r="V31">
        <f>IF(ISNUMBER(U31),IF(U31&gt;$L$6,T31,""),"")</f>
        <v/>
      </c>
      <c r="W31">
        <f>IF(AND(ISNUMBER('자료_거시'!$G13),ISNUMBER('자료_거시'!$H13)),'자료_거시'!$H13,"")</f>
        <v/>
      </c>
      <c r="X31">
        <f>IF(ISNUMBER(W31),'자료_거시'!$G13,"")</f>
        <v/>
      </c>
      <c r="Y31">
        <f>IF(ISNUMBER(X31),IF(X31&gt;$L$7,W31,""),"")</f>
        <v/>
      </c>
      <c r="Z31">
        <f>IF(ISNUMBER('자료_거시'!$K13),'자료_거시'!$K13,Z30)</f>
        <v/>
      </c>
      <c r="AA31">
        <f>IF(AND(ISNUMBER('자료_거시'!$J13),ISNUMBER('자료_거시'!$K13)),IFERROR('자료_거시'!$K13/INDEX($Z$21:$Z$4020,MATCH(EDATE('자료_거시'!$J13,-'설정'!$B$17),'자료_거시'!$J$3:INDEX('자료_거시'!$J$3:$J$4002,$K$8),1))-1,""),"")</f>
        <v/>
      </c>
      <c r="AB31">
        <f>IF(ISNUMBER(AA31),'자료_거시'!$J13,"")</f>
        <v/>
      </c>
      <c r="AC31">
        <f>IF(ISNUMBER(AB31),IF(AB31&gt;$L$8,AA31,""),"")</f>
        <v/>
      </c>
      <c r="AD31">
        <f>IF(AND(ISNUMBER('자료_거시'!$M13),ISNUMBER('자료_거시'!$N13)),1,0)</f>
        <v/>
      </c>
      <c r="AE31">
        <f>IF(AND(ISNUMBER('자료_거시'!$M13),ISNUMBER('자료_거시'!$N13)),IF(AND(SUMIFS($AD$21:$AD$620,'자료_거시'!$M$3:$M$602,"&gt;"&amp;EDATE('자료_거시'!$M13,-'설정'!$B$17),'자료_거시'!$M$3:$M$602,"&lt;="&amp;'자료_거시'!$M13)=3,SUMIFS($AD$21:$AD$620,'자료_거시'!$M$3:$M$602,"&gt;"&amp;EDATE('자료_거시'!$M13,-12-'설정'!$B$17),'자료_거시'!$M$3:$M$602,"&lt;="&amp;EDATE('자료_거시'!$M13,-12))=3),IFERROR(SUMIFS('자료_거시'!$N$3:$N$602,'자료_거시'!$M$3:$M$602,"&gt;"&amp;EDATE('자료_거시'!$M13,-'설정'!$B$17),'자료_거시'!$M$3:$M$602,"&lt;="&amp;'자료_거시'!$M13)/SUMIFS('자료_거시'!$N$3:$N$602,'자료_거시'!$M$3:$M$602,"&gt;"&amp;EDATE('자료_거시'!$M13,-12-'설정'!$B$17),'자료_거시'!$M$3:$M$602,"&lt;="&amp;EDATE('자료_거시'!$M13,-12))-1,""),""),"")</f>
        <v/>
      </c>
      <c r="AF31">
        <f>IF(ISNUMBER(AE31),'자료_거시'!$M13,"")</f>
        <v/>
      </c>
      <c r="AG31">
        <f>IF(ISNUMBER(AF31),IF(AF31&gt;$L$9,AE31,""),"")</f>
        <v/>
      </c>
    </row>
    <row r="32">
      <c r="P32">
        <f>IF(AND(ISNUMBER('자료_거시'!$A14),ISNUMBER('자료_거시'!$B14)),'자료_거시'!$B14,"")</f>
        <v/>
      </c>
      <c r="Q32">
        <f>IF(ISNUMBER(P32),'자료_거시'!$A14,"")</f>
        <v/>
      </c>
      <c r="R32">
        <f>IF(ISNUMBER(Q32),IF(Q32&gt;$L$5,P32,""),"")</f>
        <v/>
      </c>
      <c r="S32">
        <f>IF(ISNUMBER('자료_거시'!$E14),'자료_거시'!$E14,S31)</f>
        <v/>
      </c>
      <c r="T32">
        <f>IF(AND(ISNUMBER('자료_거시'!$D14),ISNUMBER('자료_거시'!$E14)),IFERROR('자료_거시'!$E14-INDEX($S$21:$S$4020,MATCH(EDATE('자료_거시'!$D14,-'설정'!$B$17),'자료_거시'!$D$3:INDEX('자료_거시'!$D$3:$D$4002,$K$6),1)),""),"")</f>
        <v/>
      </c>
      <c r="U32">
        <f>IF(ISNUMBER(T32),'자료_거시'!$D14,"")</f>
        <v/>
      </c>
      <c r="V32">
        <f>IF(ISNUMBER(U32),IF(U32&gt;$L$6,T32,""),"")</f>
        <v/>
      </c>
      <c r="W32">
        <f>IF(AND(ISNUMBER('자료_거시'!$G14),ISNUMBER('자료_거시'!$H14)),'자료_거시'!$H14,"")</f>
        <v/>
      </c>
      <c r="X32">
        <f>IF(ISNUMBER(W32),'자료_거시'!$G14,"")</f>
        <v/>
      </c>
      <c r="Y32">
        <f>IF(ISNUMBER(X32),IF(X32&gt;$L$7,W32,""),"")</f>
        <v/>
      </c>
      <c r="Z32">
        <f>IF(ISNUMBER('자료_거시'!$K14),'자료_거시'!$K14,Z31)</f>
        <v/>
      </c>
      <c r="AA32">
        <f>IF(AND(ISNUMBER('자료_거시'!$J14),ISNUMBER('자료_거시'!$K14)),IFERROR('자료_거시'!$K14/INDEX($Z$21:$Z$4020,MATCH(EDATE('자료_거시'!$J14,-'설정'!$B$17),'자료_거시'!$J$3:INDEX('자료_거시'!$J$3:$J$4002,$K$8),1))-1,""),"")</f>
        <v/>
      </c>
      <c r="AB32">
        <f>IF(ISNUMBER(AA32),'자료_거시'!$J14,"")</f>
        <v/>
      </c>
      <c r="AC32">
        <f>IF(ISNUMBER(AB32),IF(AB32&gt;$L$8,AA32,""),"")</f>
        <v/>
      </c>
      <c r="AD32">
        <f>IF(AND(ISNUMBER('자료_거시'!$M14),ISNUMBER('자료_거시'!$N14)),1,0)</f>
        <v/>
      </c>
      <c r="AE32">
        <f>IF(AND(ISNUMBER('자료_거시'!$M14),ISNUMBER('자료_거시'!$N14)),IF(AND(SUMIFS($AD$21:$AD$620,'자료_거시'!$M$3:$M$602,"&gt;"&amp;EDATE('자료_거시'!$M14,-'설정'!$B$17),'자료_거시'!$M$3:$M$602,"&lt;="&amp;'자료_거시'!$M14)=3,SUMIFS($AD$21:$AD$620,'자료_거시'!$M$3:$M$602,"&gt;"&amp;EDATE('자료_거시'!$M14,-12-'설정'!$B$17),'자료_거시'!$M$3:$M$602,"&lt;="&amp;EDATE('자료_거시'!$M14,-12))=3),IFERROR(SUMIFS('자료_거시'!$N$3:$N$602,'자료_거시'!$M$3:$M$602,"&gt;"&amp;EDATE('자료_거시'!$M14,-'설정'!$B$17),'자료_거시'!$M$3:$M$602,"&lt;="&amp;'자료_거시'!$M14)/SUMIFS('자료_거시'!$N$3:$N$602,'자료_거시'!$M$3:$M$602,"&gt;"&amp;EDATE('자료_거시'!$M14,-12-'설정'!$B$17),'자료_거시'!$M$3:$M$602,"&lt;="&amp;EDATE('자료_거시'!$M14,-12))-1,""),""),"")</f>
        <v/>
      </c>
      <c r="AF32">
        <f>IF(ISNUMBER(AE32),'자료_거시'!$M14,"")</f>
        <v/>
      </c>
      <c r="AG32">
        <f>IF(ISNUMBER(AF32),IF(AF32&gt;$L$9,AE32,""),"")</f>
        <v/>
      </c>
    </row>
    <row r="33">
      <c r="P33">
        <f>IF(AND(ISNUMBER('자료_거시'!$A15),ISNUMBER('자료_거시'!$B15)),'자료_거시'!$B15,"")</f>
        <v/>
      </c>
      <c r="Q33">
        <f>IF(ISNUMBER(P33),'자료_거시'!$A15,"")</f>
        <v/>
      </c>
      <c r="R33">
        <f>IF(ISNUMBER(Q33),IF(Q33&gt;$L$5,P33,""),"")</f>
        <v/>
      </c>
      <c r="S33">
        <f>IF(ISNUMBER('자료_거시'!$E15),'자료_거시'!$E15,S32)</f>
        <v/>
      </c>
      <c r="T33">
        <f>IF(AND(ISNUMBER('자료_거시'!$D15),ISNUMBER('자료_거시'!$E15)),IFERROR('자료_거시'!$E15-INDEX($S$21:$S$4020,MATCH(EDATE('자료_거시'!$D15,-'설정'!$B$17),'자료_거시'!$D$3:INDEX('자료_거시'!$D$3:$D$4002,$K$6),1)),""),"")</f>
        <v/>
      </c>
      <c r="U33">
        <f>IF(ISNUMBER(T33),'자료_거시'!$D15,"")</f>
        <v/>
      </c>
      <c r="V33">
        <f>IF(ISNUMBER(U33),IF(U33&gt;$L$6,T33,""),"")</f>
        <v/>
      </c>
      <c r="W33">
        <f>IF(AND(ISNUMBER('자료_거시'!$G15),ISNUMBER('자료_거시'!$H15)),'자료_거시'!$H15,"")</f>
        <v/>
      </c>
      <c r="X33">
        <f>IF(ISNUMBER(W33),'자료_거시'!$G15,"")</f>
        <v/>
      </c>
      <c r="Y33">
        <f>IF(ISNUMBER(X33),IF(X33&gt;$L$7,W33,""),"")</f>
        <v/>
      </c>
      <c r="Z33">
        <f>IF(ISNUMBER('자료_거시'!$K15),'자료_거시'!$K15,Z32)</f>
        <v/>
      </c>
      <c r="AA33">
        <f>IF(AND(ISNUMBER('자료_거시'!$J15),ISNUMBER('자료_거시'!$K15)),IFERROR('자료_거시'!$K15/INDEX($Z$21:$Z$4020,MATCH(EDATE('자료_거시'!$J15,-'설정'!$B$17),'자료_거시'!$J$3:INDEX('자료_거시'!$J$3:$J$4002,$K$8),1))-1,""),"")</f>
        <v/>
      </c>
      <c r="AB33">
        <f>IF(ISNUMBER(AA33),'자료_거시'!$J15,"")</f>
        <v/>
      </c>
      <c r="AC33">
        <f>IF(ISNUMBER(AB33),IF(AB33&gt;$L$8,AA33,""),"")</f>
        <v/>
      </c>
      <c r="AD33">
        <f>IF(AND(ISNUMBER('자료_거시'!$M15),ISNUMBER('자료_거시'!$N15)),1,0)</f>
        <v/>
      </c>
      <c r="AE33">
        <f>IF(AND(ISNUMBER('자료_거시'!$M15),ISNUMBER('자료_거시'!$N15)),IF(AND(SUMIFS($AD$21:$AD$620,'자료_거시'!$M$3:$M$602,"&gt;"&amp;EDATE('자료_거시'!$M15,-'설정'!$B$17),'자료_거시'!$M$3:$M$602,"&lt;="&amp;'자료_거시'!$M15)=3,SUMIFS($AD$21:$AD$620,'자료_거시'!$M$3:$M$602,"&gt;"&amp;EDATE('자료_거시'!$M15,-12-'설정'!$B$17),'자료_거시'!$M$3:$M$602,"&lt;="&amp;EDATE('자료_거시'!$M15,-12))=3),IFERROR(SUMIFS('자료_거시'!$N$3:$N$602,'자료_거시'!$M$3:$M$602,"&gt;"&amp;EDATE('자료_거시'!$M15,-'설정'!$B$17),'자료_거시'!$M$3:$M$602,"&lt;="&amp;'자료_거시'!$M15)/SUMIFS('자료_거시'!$N$3:$N$602,'자료_거시'!$M$3:$M$602,"&gt;"&amp;EDATE('자료_거시'!$M15,-12-'설정'!$B$17),'자료_거시'!$M$3:$M$602,"&lt;="&amp;EDATE('자료_거시'!$M15,-12))-1,""),""),"")</f>
        <v/>
      </c>
      <c r="AF33">
        <f>IF(ISNUMBER(AE33),'자료_거시'!$M15,"")</f>
        <v/>
      </c>
      <c r="AG33">
        <f>IF(ISNUMBER(AF33),IF(AF33&gt;$L$9,AE33,""),"")</f>
        <v/>
      </c>
    </row>
    <row r="34">
      <c r="P34">
        <f>IF(AND(ISNUMBER('자료_거시'!$A16),ISNUMBER('자료_거시'!$B16)),'자료_거시'!$B16,"")</f>
        <v/>
      </c>
      <c r="Q34">
        <f>IF(ISNUMBER(P34),'자료_거시'!$A16,"")</f>
        <v/>
      </c>
      <c r="R34">
        <f>IF(ISNUMBER(Q34),IF(Q34&gt;$L$5,P34,""),"")</f>
        <v/>
      </c>
      <c r="S34">
        <f>IF(ISNUMBER('자료_거시'!$E16),'자료_거시'!$E16,S33)</f>
        <v/>
      </c>
      <c r="T34">
        <f>IF(AND(ISNUMBER('자료_거시'!$D16),ISNUMBER('자료_거시'!$E16)),IFERROR('자료_거시'!$E16-INDEX($S$21:$S$4020,MATCH(EDATE('자료_거시'!$D16,-'설정'!$B$17),'자료_거시'!$D$3:INDEX('자료_거시'!$D$3:$D$4002,$K$6),1)),""),"")</f>
        <v/>
      </c>
      <c r="U34">
        <f>IF(ISNUMBER(T34),'자료_거시'!$D16,"")</f>
        <v/>
      </c>
      <c r="V34">
        <f>IF(ISNUMBER(U34),IF(U34&gt;$L$6,T34,""),"")</f>
        <v/>
      </c>
      <c r="W34">
        <f>IF(AND(ISNUMBER('자료_거시'!$G16),ISNUMBER('자료_거시'!$H16)),'자료_거시'!$H16,"")</f>
        <v/>
      </c>
      <c r="X34">
        <f>IF(ISNUMBER(W34),'자료_거시'!$G16,"")</f>
        <v/>
      </c>
      <c r="Y34">
        <f>IF(ISNUMBER(X34),IF(X34&gt;$L$7,W34,""),"")</f>
        <v/>
      </c>
      <c r="Z34">
        <f>IF(ISNUMBER('자료_거시'!$K16),'자료_거시'!$K16,Z33)</f>
        <v/>
      </c>
      <c r="AA34">
        <f>IF(AND(ISNUMBER('자료_거시'!$J16),ISNUMBER('자료_거시'!$K16)),IFERROR('자료_거시'!$K16/INDEX($Z$21:$Z$4020,MATCH(EDATE('자료_거시'!$J16,-'설정'!$B$17),'자료_거시'!$J$3:INDEX('자료_거시'!$J$3:$J$4002,$K$8),1))-1,""),"")</f>
        <v/>
      </c>
      <c r="AB34">
        <f>IF(ISNUMBER(AA34),'자료_거시'!$J16,"")</f>
        <v/>
      </c>
      <c r="AC34">
        <f>IF(ISNUMBER(AB34),IF(AB34&gt;$L$8,AA34,""),"")</f>
        <v/>
      </c>
      <c r="AD34">
        <f>IF(AND(ISNUMBER('자료_거시'!$M16),ISNUMBER('자료_거시'!$N16)),1,0)</f>
        <v/>
      </c>
      <c r="AE34">
        <f>IF(AND(ISNUMBER('자료_거시'!$M16),ISNUMBER('자료_거시'!$N16)),IF(AND(SUMIFS($AD$21:$AD$620,'자료_거시'!$M$3:$M$602,"&gt;"&amp;EDATE('자료_거시'!$M16,-'설정'!$B$17),'자료_거시'!$M$3:$M$602,"&lt;="&amp;'자료_거시'!$M16)=3,SUMIFS($AD$21:$AD$620,'자료_거시'!$M$3:$M$602,"&gt;"&amp;EDATE('자료_거시'!$M16,-12-'설정'!$B$17),'자료_거시'!$M$3:$M$602,"&lt;="&amp;EDATE('자료_거시'!$M16,-12))=3),IFERROR(SUMIFS('자료_거시'!$N$3:$N$602,'자료_거시'!$M$3:$M$602,"&gt;"&amp;EDATE('자료_거시'!$M16,-'설정'!$B$17),'자료_거시'!$M$3:$M$602,"&lt;="&amp;'자료_거시'!$M16)/SUMIFS('자료_거시'!$N$3:$N$602,'자료_거시'!$M$3:$M$602,"&gt;"&amp;EDATE('자료_거시'!$M16,-12-'설정'!$B$17),'자료_거시'!$M$3:$M$602,"&lt;="&amp;EDATE('자료_거시'!$M16,-12))-1,""),""),"")</f>
        <v/>
      </c>
      <c r="AF34">
        <f>IF(ISNUMBER(AE34),'자료_거시'!$M16,"")</f>
        <v/>
      </c>
      <c r="AG34">
        <f>IF(ISNUMBER(AF34),IF(AF34&gt;$L$9,AE34,""),"")</f>
        <v/>
      </c>
    </row>
    <row r="35">
      <c r="P35">
        <f>IF(AND(ISNUMBER('자료_거시'!$A17),ISNUMBER('자료_거시'!$B17)),'자료_거시'!$B17,"")</f>
        <v/>
      </c>
      <c r="Q35">
        <f>IF(ISNUMBER(P35),'자료_거시'!$A17,"")</f>
        <v/>
      </c>
      <c r="R35">
        <f>IF(ISNUMBER(Q35),IF(Q35&gt;$L$5,P35,""),"")</f>
        <v/>
      </c>
      <c r="S35">
        <f>IF(ISNUMBER('자료_거시'!$E17),'자료_거시'!$E17,S34)</f>
        <v/>
      </c>
      <c r="T35">
        <f>IF(AND(ISNUMBER('자료_거시'!$D17),ISNUMBER('자료_거시'!$E17)),IFERROR('자료_거시'!$E17-INDEX($S$21:$S$4020,MATCH(EDATE('자료_거시'!$D17,-'설정'!$B$17),'자료_거시'!$D$3:INDEX('자료_거시'!$D$3:$D$4002,$K$6),1)),""),"")</f>
        <v/>
      </c>
      <c r="U35">
        <f>IF(ISNUMBER(T35),'자료_거시'!$D17,"")</f>
        <v/>
      </c>
      <c r="V35">
        <f>IF(ISNUMBER(U35),IF(U35&gt;$L$6,T35,""),"")</f>
        <v/>
      </c>
      <c r="W35">
        <f>IF(AND(ISNUMBER('자료_거시'!$G17),ISNUMBER('자료_거시'!$H17)),'자료_거시'!$H17,"")</f>
        <v/>
      </c>
      <c r="X35">
        <f>IF(ISNUMBER(W35),'자료_거시'!$G17,"")</f>
        <v/>
      </c>
      <c r="Y35">
        <f>IF(ISNUMBER(X35),IF(X35&gt;$L$7,W35,""),"")</f>
        <v/>
      </c>
      <c r="Z35">
        <f>IF(ISNUMBER('자료_거시'!$K17),'자료_거시'!$K17,Z34)</f>
        <v/>
      </c>
      <c r="AA35">
        <f>IF(AND(ISNUMBER('자료_거시'!$J17),ISNUMBER('자료_거시'!$K17)),IFERROR('자료_거시'!$K17/INDEX($Z$21:$Z$4020,MATCH(EDATE('자료_거시'!$J17,-'설정'!$B$17),'자료_거시'!$J$3:INDEX('자료_거시'!$J$3:$J$4002,$K$8),1))-1,""),"")</f>
        <v/>
      </c>
      <c r="AB35">
        <f>IF(ISNUMBER(AA35),'자료_거시'!$J17,"")</f>
        <v/>
      </c>
      <c r="AC35">
        <f>IF(ISNUMBER(AB35),IF(AB35&gt;$L$8,AA35,""),"")</f>
        <v/>
      </c>
      <c r="AD35">
        <f>IF(AND(ISNUMBER('자료_거시'!$M17),ISNUMBER('자료_거시'!$N17)),1,0)</f>
        <v/>
      </c>
      <c r="AE35">
        <f>IF(AND(ISNUMBER('자료_거시'!$M17),ISNUMBER('자료_거시'!$N17)),IF(AND(SUMIFS($AD$21:$AD$620,'자료_거시'!$M$3:$M$602,"&gt;"&amp;EDATE('자료_거시'!$M17,-'설정'!$B$17),'자료_거시'!$M$3:$M$602,"&lt;="&amp;'자료_거시'!$M17)=3,SUMIFS($AD$21:$AD$620,'자료_거시'!$M$3:$M$602,"&gt;"&amp;EDATE('자료_거시'!$M17,-12-'설정'!$B$17),'자료_거시'!$M$3:$M$602,"&lt;="&amp;EDATE('자료_거시'!$M17,-12))=3),IFERROR(SUMIFS('자료_거시'!$N$3:$N$602,'자료_거시'!$M$3:$M$602,"&gt;"&amp;EDATE('자료_거시'!$M17,-'설정'!$B$17),'자료_거시'!$M$3:$M$602,"&lt;="&amp;'자료_거시'!$M17)/SUMIFS('자료_거시'!$N$3:$N$602,'자료_거시'!$M$3:$M$602,"&gt;"&amp;EDATE('자료_거시'!$M17,-12-'설정'!$B$17),'자료_거시'!$M$3:$M$602,"&lt;="&amp;EDATE('자료_거시'!$M17,-12))-1,""),""),"")</f>
        <v/>
      </c>
      <c r="AF35">
        <f>IF(ISNUMBER(AE35),'자료_거시'!$M17,"")</f>
        <v/>
      </c>
      <c r="AG35">
        <f>IF(ISNUMBER(AF35),IF(AF35&gt;$L$9,AE35,""),"")</f>
        <v/>
      </c>
    </row>
    <row r="36">
      <c r="P36">
        <f>IF(AND(ISNUMBER('자료_거시'!$A18),ISNUMBER('자료_거시'!$B18)),'자료_거시'!$B18,"")</f>
        <v/>
      </c>
      <c r="Q36">
        <f>IF(ISNUMBER(P36),'자료_거시'!$A18,"")</f>
        <v/>
      </c>
      <c r="R36">
        <f>IF(ISNUMBER(Q36),IF(Q36&gt;$L$5,P36,""),"")</f>
        <v/>
      </c>
      <c r="S36">
        <f>IF(ISNUMBER('자료_거시'!$E18),'자료_거시'!$E18,S35)</f>
        <v/>
      </c>
      <c r="T36">
        <f>IF(AND(ISNUMBER('자료_거시'!$D18),ISNUMBER('자료_거시'!$E18)),IFERROR('자료_거시'!$E18-INDEX($S$21:$S$4020,MATCH(EDATE('자료_거시'!$D18,-'설정'!$B$17),'자료_거시'!$D$3:INDEX('자료_거시'!$D$3:$D$4002,$K$6),1)),""),"")</f>
        <v/>
      </c>
      <c r="U36">
        <f>IF(ISNUMBER(T36),'자료_거시'!$D18,"")</f>
        <v/>
      </c>
      <c r="V36">
        <f>IF(ISNUMBER(U36),IF(U36&gt;$L$6,T36,""),"")</f>
        <v/>
      </c>
      <c r="W36">
        <f>IF(AND(ISNUMBER('자료_거시'!$G18),ISNUMBER('자료_거시'!$H18)),'자료_거시'!$H18,"")</f>
        <v/>
      </c>
      <c r="X36">
        <f>IF(ISNUMBER(W36),'자료_거시'!$G18,"")</f>
        <v/>
      </c>
      <c r="Y36">
        <f>IF(ISNUMBER(X36),IF(X36&gt;$L$7,W36,""),"")</f>
        <v/>
      </c>
      <c r="Z36">
        <f>IF(ISNUMBER('자료_거시'!$K18),'자료_거시'!$K18,Z35)</f>
        <v/>
      </c>
      <c r="AA36">
        <f>IF(AND(ISNUMBER('자료_거시'!$J18),ISNUMBER('자료_거시'!$K18)),IFERROR('자료_거시'!$K18/INDEX($Z$21:$Z$4020,MATCH(EDATE('자료_거시'!$J18,-'설정'!$B$17),'자료_거시'!$J$3:INDEX('자료_거시'!$J$3:$J$4002,$K$8),1))-1,""),"")</f>
        <v/>
      </c>
      <c r="AB36">
        <f>IF(ISNUMBER(AA36),'자료_거시'!$J18,"")</f>
        <v/>
      </c>
      <c r="AC36">
        <f>IF(ISNUMBER(AB36),IF(AB36&gt;$L$8,AA36,""),"")</f>
        <v/>
      </c>
      <c r="AD36">
        <f>IF(AND(ISNUMBER('자료_거시'!$M18),ISNUMBER('자료_거시'!$N18)),1,0)</f>
        <v/>
      </c>
      <c r="AE36">
        <f>IF(AND(ISNUMBER('자료_거시'!$M18),ISNUMBER('자료_거시'!$N18)),IF(AND(SUMIFS($AD$21:$AD$620,'자료_거시'!$M$3:$M$602,"&gt;"&amp;EDATE('자료_거시'!$M18,-'설정'!$B$17),'자료_거시'!$M$3:$M$602,"&lt;="&amp;'자료_거시'!$M18)=3,SUMIFS($AD$21:$AD$620,'자료_거시'!$M$3:$M$602,"&gt;"&amp;EDATE('자료_거시'!$M18,-12-'설정'!$B$17),'자료_거시'!$M$3:$M$602,"&lt;="&amp;EDATE('자료_거시'!$M18,-12))=3),IFERROR(SUMIFS('자료_거시'!$N$3:$N$602,'자료_거시'!$M$3:$M$602,"&gt;"&amp;EDATE('자료_거시'!$M18,-'설정'!$B$17),'자료_거시'!$M$3:$M$602,"&lt;="&amp;'자료_거시'!$M18)/SUMIFS('자료_거시'!$N$3:$N$602,'자료_거시'!$M$3:$M$602,"&gt;"&amp;EDATE('자료_거시'!$M18,-12-'설정'!$B$17),'자료_거시'!$M$3:$M$602,"&lt;="&amp;EDATE('자료_거시'!$M18,-12))-1,""),""),"")</f>
        <v/>
      </c>
      <c r="AF36">
        <f>IF(ISNUMBER(AE36),'자료_거시'!$M18,"")</f>
        <v/>
      </c>
      <c r="AG36">
        <f>IF(ISNUMBER(AF36),IF(AF36&gt;$L$9,AE36,""),"")</f>
        <v/>
      </c>
    </row>
    <row r="37">
      <c r="P37">
        <f>IF(AND(ISNUMBER('자료_거시'!$A19),ISNUMBER('자료_거시'!$B19)),'자료_거시'!$B19,"")</f>
        <v/>
      </c>
      <c r="Q37">
        <f>IF(ISNUMBER(P37),'자료_거시'!$A19,"")</f>
        <v/>
      </c>
      <c r="R37">
        <f>IF(ISNUMBER(Q37),IF(Q37&gt;$L$5,P37,""),"")</f>
        <v/>
      </c>
      <c r="S37">
        <f>IF(ISNUMBER('자료_거시'!$E19),'자료_거시'!$E19,S36)</f>
        <v/>
      </c>
      <c r="T37">
        <f>IF(AND(ISNUMBER('자료_거시'!$D19),ISNUMBER('자료_거시'!$E19)),IFERROR('자료_거시'!$E19-INDEX($S$21:$S$4020,MATCH(EDATE('자료_거시'!$D19,-'설정'!$B$17),'자료_거시'!$D$3:INDEX('자료_거시'!$D$3:$D$4002,$K$6),1)),""),"")</f>
        <v/>
      </c>
      <c r="U37">
        <f>IF(ISNUMBER(T37),'자료_거시'!$D19,"")</f>
        <v/>
      </c>
      <c r="V37">
        <f>IF(ISNUMBER(U37),IF(U37&gt;$L$6,T37,""),"")</f>
        <v/>
      </c>
      <c r="W37">
        <f>IF(AND(ISNUMBER('자료_거시'!$G19),ISNUMBER('자료_거시'!$H19)),'자료_거시'!$H19,"")</f>
        <v/>
      </c>
      <c r="X37">
        <f>IF(ISNUMBER(W37),'자료_거시'!$G19,"")</f>
        <v/>
      </c>
      <c r="Y37">
        <f>IF(ISNUMBER(X37),IF(X37&gt;$L$7,W37,""),"")</f>
        <v/>
      </c>
      <c r="Z37">
        <f>IF(ISNUMBER('자료_거시'!$K19),'자료_거시'!$K19,Z36)</f>
        <v/>
      </c>
      <c r="AA37">
        <f>IF(AND(ISNUMBER('자료_거시'!$J19),ISNUMBER('자료_거시'!$K19)),IFERROR('자료_거시'!$K19/INDEX($Z$21:$Z$4020,MATCH(EDATE('자료_거시'!$J19,-'설정'!$B$17),'자료_거시'!$J$3:INDEX('자료_거시'!$J$3:$J$4002,$K$8),1))-1,""),"")</f>
        <v/>
      </c>
      <c r="AB37">
        <f>IF(ISNUMBER(AA37),'자료_거시'!$J19,"")</f>
        <v/>
      </c>
      <c r="AC37">
        <f>IF(ISNUMBER(AB37),IF(AB37&gt;$L$8,AA37,""),"")</f>
        <v/>
      </c>
      <c r="AD37">
        <f>IF(AND(ISNUMBER('자료_거시'!$M19),ISNUMBER('자료_거시'!$N19)),1,0)</f>
        <v/>
      </c>
      <c r="AE37">
        <f>IF(AND(ISNUMBER('자료_거시'!$M19),ISNUMBER('자료_거시'!$N19)),IF(AND(SUMIFS($AD$21:$AD$620,'자료_거시'!$M$3:$M$602,"&gt;"&amp;EDATE('자료_거시'!$M19,-'설정'!$B$17),'자료_거시'!$M$3:$M$602,"&lt;="&amp;'자료_거시'!$M19)=3,SUMIFS($AD$21:$AD$620,'자료_거시'!$M$3:$M$602,"&gt;"&amp;EDATE('자료_거시'!$M19,-12-'설정'!$B$17),'자료_거시'!$M$3:$M$602,"&lt;="&amp;EDATE('자료_거시'!$M19,-12))=3),IFERROR(SUMIFS('자료_거시'!$N$3:$N$602,'자료_거시'!$M$3:$M$602,"&gt;"&amp;EDATE('자료_거시'!$M19,-'설정'!$B$17),'자료_거시'!$M$3:$M$602,"&lt;="&amp;'자료_거시'!$M19)/SUMIFS('자료_거시'!$N$3:$N$602,'자료_거시'!$M$3:$M$602,"&gt;"&amp;EDATE('자료_거시'!$M19,-12-'설정'!$B$17),'자료_거시'!$M$3:$M$602,"&lt;="&amp;EDATE('자료_거시'!$M19,-12))-1,""),""),"")</f>
        <v/>
      </c>
      <c r="AF37">
        <f>IF(ISNUMBER(AE37),'자료_거시'!$M19,"")</f>
        <v/>
      </c>
      <c r="AG37">
        <f>IF(ISNUMBER(AF37),IF(AF37&gt;$L$9,AE37,""),"")</f>
        <v/>
      </c>
    </row>
    <row r="38">
      <c r="P38">
        <f>IF(AND(ISNUMBER('자료_거시'!$A20),ISNUMBER('자료_거시'!$B20)),'자료_거시'!$B20,"")</f>
        <v/>
      </c>
      <c r="Q38">
        <f>IF(ISNUMBER(P38),'자료_거시'!$A20,"")</f>
        <v/>
      </c>
      <c r="R38">
        <f>IF(ISNUMBER(Q38),IF(Q38&gt;$L$5,P38,""),"")</f>
        <v/>
      </c>
      <c r="S38">
        <f>IF(ISNUMBER('자료_거시'!$E20),'자료_거시'!$E20,S37)</f>
        <v/>
      </c>
      <c r="T38">
        <f>IF(AND(ISNUMBER('자료_거시'!$D20),ISNUMBER('자료_거시'!$E20)),IFERROR('자료_거시'!$E20-INDEX($S$21:$S$4020,MATCH(EDATE('자료_거시'!$D20,-'설정'!$B$17),'자료_거시'!$D$3:INDEX('자료_거시'!$D$3:$D$4002,$K$6),1)),""),"")</f>
        <v/>
      </c>
      <c r="U38">
        <f>IF(ISNUMBER(T38),'자료_거시'!$D20,"")</f>
        <v/>
      </c>
      <c r="V38">
        <f>IF(ISNUMBER(U38),IF(U38&gt;$L$6,T38,""),"")</f>
        <v/>
      </c>
      <c r="W38">
        <f>IF(AND(ISNUMBER('자료_거시'!$G20),ISNUMBER('자료_거시'!$H20)),'자료_거시'!$H20,"")</f>
        <v/>
      </c>
      <c r="X38">
        <f>IF(ISNUMBER(W38),'자료_거시'!$G20,"")</f>
        <v/>
      </c>
      <c r="Y38">
        <f>IF(ISNUMBER(X38),IF(X38&gt;$L$7,W38,""),"")</f>
        <v/>
      </c>
      <c r="Z38">
        <f>IF(ISNUMBER('자료_거시'!$K20),'자료_거시'!$K20,Z37)</f>
        <v/>
      </c>
      <c r="AA38">
        <f>IF(AND(ISNUMBER('자료_거시'!$J20),ISNUMBER('자료_거시'!$K20)),IFERROR('자료_거시'!$K20/INDEX($Z$21:$Z$4020,MATCH(EDATE('자료_거시'!$J20,-'설정'!$B$17),'자료_거시'!$J$3:INDEX('자료_거시'!$J$3:$J$4002,$K$8),1))-1,""),"")</f>
        <v/>
      </c>
      <c r="AB38">
        <f>IF(ISNUMBER(AA38),'자료_거시'!$J20,"")</f>
        <v/>
      </c>
      <c r="AC38">
        <f>IF(ISNUMBER(AB38),IF(AB38&gt;$L$8,AA38,""),"")</f>
        <v/>
      </c>
      <c r="AD38">
        <f>IF(AND(ISNUMBER('자료_거시'!$M20),ISNUMBER('자료_거시'!$N20)),1,0)</f>
        <v/>
      </c>
      <c r="AE38">
        <f>IF(AND(ISNUMBER('자료_거시'!$M20),ISNUMBER('자료_거시'!$N20)),IF(AND(SUMIFS($AD$21:$AD$620,'자료_거시'!$M$3:$M$602,"&gt;"&amp;EDATE('자료_거시'!$M20,-'설정'!$B$17),'자료_거시'!$M$3:$M$602,"&lt;="&amp;'자료_거시'!$M20)=3,SUMIFS($AD$21:$AD$620,'자료_거시'!$M$3:$M$602,"&gt;"&amp;EDATE('자료_거시'!$M20,-12-'설정'!$B$17),'자료_거시'!$M$3:$M$602,"&lt;="&amp;EDATE('자료_거시'!$M20,-12))=3),IFERROR(SUMIFS('자료_거시'!$N$3:$N$602,'자료_거시'!$M$3:$M$602,"&gt;"&amp;EDATE('자료_거시'!$M20,-'설정'!$B$17),'자료_거시'!$M$3:$M$602,"&lt;="&amp;'자료_거시'!$M20)/SUMIFS('자료_거시'!$N$3:$N$602,'자료_거시'!$M$3:$M$602,"&gt;"&amp;EDATE('자료_거시'!$M20,-12-'설정'!$B$17),'자료_거시'!$M$3:$M$602,"&lt;="&amp;EDATE('자료_거시'!$M20,-12))-1,""),""),"")</f>
        <v/>
      </c>
      <c r="AF38">
        <f>IF(ISNUMBER(AE38),'자료_거시'!$M20,"")</f>
        <v/>
      </c>
      <c r="AG38">
        <f>IF(ISNUMBER(AF38),IF(AF38&gt;$L$9,AE38,""),"")</f>
        <v/>
      </c>
    </row>
    <row r="39">
      <c r="P39">
        <f>IF(AND(ISNUMBER('자료_거시'!$A21),ISNUMBER('자료_거시'!$B21)),'자료_거시'!$B21,"")</f>
        <v/>
      </c>
      <c r="Q39">
        <f>IF(ISNUMBER(P39),'자료_거시'!$A21,"")</f>
        <v/>
      </c>
      <c r="R39">
        <f>IF(ISNUMBER(Q39),IF(Q39&gt;$L$5,P39,""),"")</f>
        <v/>
      </c>
      <c r="S39">
        <f>IF(ISNUMBER('자료_거시'!$E21),'자료_거시'!$E21,S38)</f>
        <v/>
      </c>
      <c r="T39">
        <f>IF(AND(ISNUMBER('자료_거시'!$D21),ISNUMBER('자료_거시'!$E21)),IFERROR('자료_거시'!$E21-INDEX($S$21:$S$4020,MATCH(EDATE('자료_거시'!$D21,-'설정'!$B$17),'자료_거시'!$D$3:INDEX('자료_거시'!$D$3:$D$4002,$K$6),1)),""),"")</f>
        <v/>
      </c>
      <c r="U39">
        <f>IF(ISNUMBER(T39),'자료_거시'!$D21,"")</f>
        <v/>
      </c>
      <c r="V39">
        <f>IF(ISNUMBER(U39),IF(U39&gt;$L$6,T39,""),"")</f>
        <v/>
      </c>
      <c r="W39">
        <f>IF(AND(ISNUMBER('자료_거시'!$G21),ISNUMBER('자료_거시'!$H21)),'자료_거시'!$H21,"")</f>
        <v/>
      </c>
      <c r="X39">
        <f>IF(ISNUMBER(W39),'자료_거시'!$G21,"")</f>
        <v/>
      </c>
      <c r="Y39">
        <f>IF(ISNUMBER(X39),IF(X39&gt;$L$7,W39,""),"")</f>
        <v/>
      </c>
      <c r="Z39">
        <f>IF(ISNUMBER('자료_거시'!$K21),'자료_거시'!$K21,Z38)</f>
        <v/>
      </c>
      <c r="AA39">
        <f>IF(AND(ISNUMBER('자료_거시'!$J21),ISNUMBER('자료_거시'!$K21)),IFERROR('자료_거시'!$K21/INDEX($Z$21:$Z$4020,MATCH(EDATE('자료_거시'!$J21,-'설정'!$B$17),'자료_거시'!$J$3:INDEX('자료_거시'!$J$3:$J$4002,$K$8),1))-1,""),"")</f>
        <v/>
      </c>
      <c r="AB39">
        <f>IF(ISNUMBER(AA39),'자료_거시'!$J21,"")</f>
        <v/>
      </c>
      <c r="AC39">
        <f>IF(ISNUMBER(AB39),IF(AB39&gt;$L$8,AA39,""),"")</f>
        <v/>
      </c>
      <c r="AD39">
        <f>IF(AND(ISNUMBER('자료_거시'!$M21),ISNUMBER('자료_거시'!$N21)),1,0)</f>
        <v/>
      </c>
      <c r="AE39">
        <f>IF(AND(ISNUMBER('자료_거시'!$M21),ISNUMBER('자료_거시'!$N21)),IF(AND(SUMIFS($AD$21:$AD$620,'자료_거시'!$M$3:$M$602,"&gt;"&amp;EDATE('자료_거시'!$M21,-'설정'!$B$17),'자료_거시'!$M$3:$M$602,"&lt;="&amp;'자료_거시'!$M21)=3,SUMIFS($AD$21:$AD$620,'자료_거시'!$M$3:$M$602,"&gt;"&amp;EDATE('자료_거시'!$M21,-12-'설정'!$B$17),'자료_거시'!$M$3:$M$602,"&lt;="&amp;EDATE('자료_거시'!$M21,-12))=3),IFERROR(SUMIFS('자료_거시'!$N$3:$N$602,'자료_거시'!$M$3:$M$602,"&gt;"&amp;EDATE('자료_거시'!$M21,-'설정'!$B$17),'자료_거시'!$M$3:$M$602,"&lt;="&amp;'자료_거시'!$M21)/SUMIFS('자료_거시'!$N$3:$N$602,'자료_거시'!$M$3:$M$602,"&gt;"&amp;EDATE('자료_거시'!$M21,-12-'설정'!$B$17),'자료_거시'!$M$3:$M$602,"&lt;="&amp;EDATE('자료_거시'!$M21,-12))-1,""),""),"")</f>
        <v/>
      </c>
      <c r="AF39">
        <f>IF(ISNUMBER(AE39),'자료_거시'!$M21,"")</f>
        <v/>
      </c>
      <c r="AG39">
        <f>IF(ISNUMBER(AF39),IF(AF39&gt;$L$9,AE39,""),"")</f>
        <v/>
      </c>
    </row>
    <row r="40">
      <c r="P40">
        <f>IF(AND(ISNUMBER('자료_거시'!$A22),ISNUMBER('자료_거시'!$B22)),'자료_거시'!$B22,"")</f>
        <v/>
      </c>
      <c r="Q40">
        <f>IF(ISNUMBER(P40),'자료_거시'!$A22,"")</f>
        <v/>
      </c>
      <c r="R40">
        <f>IF(ISNUMBER(Q40),IF(Q40&gt;$L$5,P40,""),"")</f>
        <v/>
      </c>
      <c r="S40">
        <f>IF(ISNUMBER('자료_거시'!$E22),'자료_거시'!$E22,S39)</f>
        <v/>
      </c>
      <c r="T40">
        <f>IF(AND(ISNUMBER('자료_거시'!$D22),ISNUMBER('자료_거시'!$E22)),IFERROR('자료_거시'!$E22-INDEX($S$21:$S$4020,MATCH(EDATE('자료_거시'!$D22,-'설정'!$B$17),'자료_거시'!$D$3:INDEX('자료_거시'!$D$3:$D$4002,$K$6),1)),""),"")</f>
        <v/>
      </c>
      <c r="U40">
        <f>IF(ISNUMBER(T40),'자료_거시'!$D22,"")</f>
        <v/>
      </c>
      <c r="V40">
        <f>IF(ISNUMBER(U40),IF(U40&gt;$L$6,T40,""),"")</f>
        <v/>
      </c>
      <c r="W40">
        <f>IF(AND(ISNUMBER('자료_거시'!$G22),ISNUMBER('자료_거시'!$H22)),'자료_거시'!$H22,"")</f>
        <v/>
      </c>
      <c r="X40">
        <f>IF(ISNUMBER(W40),'자료_거시'!$G22,"")</f>
        <v/>
      </c>
      <c r="Y40">
        <f>IF(ISNUMBER(X40),IF(X40&gt;$L$7,W40,""),"")</f>
        <v/>
      </c>
      <c r="Z40">
        <f>IF(ISNUMBER('자료_거시'!$K22),'자료_거시'!$K22,Z39)</f>
        <v/>
      </c>
      <c r="AA40">
        <f>IF(AND(ISNUMBER('자료_거시'!$J22),ISNUMBER('자료_거시'!$K22)),IFERROR('자료_거시'!$K22/INDEX($Z$21:$Z$4020,MATCH(EDATE('자료_거시'!$J22,-'설정'!$B$17),'자료_거시'!$J$3:INDEX('자료_거시'!$J$3:$J$4002,$K$8),1))-1,""),"")</f>
        <v/>
      </c>
      <c r="AB40">
        <f>IF(ISNUMBER(AA40),'자료_거시'!$J22,"")</f>
        <v/>
      </c>
      <c r="AC40">
        <f>IF(ISNUMBER(AB40),IF(AB40&gt;$L$8,AA40,""),"")</f>
        <v/>
      </c>
      <c r="AD40">
        <f>IF(AND(ISNUMBER('자료_거시'!$M22),ISNUMBER('자료_거시'!$N22)),1,0)</f>
        <v/>
      </c>
      <c r="AE40">
        <f>IF(AND(ISNUMBER('자료_거시'!$M22),ISNUMBER('자료_거시'!$N22)),IF(AND(SUMIFS($AD$21:$AD$620,'자료_거시'!$M$3:$M$602,"&gt;"&amp;EDATE('자료_거시'!$M22,-'설정'!$B$17),'자료_거시'!$M$3:$M$602,"&lt;="&amp;'자료_거시'!$M22)=3,SUMIFS($AD$21:$AD$620,'자료_거시'!$M$3:$M$602,"&gt;"&amp;EDATE('자료_거시'!$M22,-12-'설정'!$B$17),'자료_거시'!$M$3:$M$602,"&lt;="&amp;EDATE('자료_거시'!$M22,-12))=3),IFERROR(SUMIFS('자료_거시'!$N$3:$N$602,'자료_거시'!$M$3:$M$602,"&gt;"&amp;EDATE('자료_거시'!$M22,-'설정'!$B$17),'자료_거시'!$M$3:$M$602,"&lt;="&amp;'자료_거시'!$M22)/SUMIFS('자료_거시'!$N$3:$N$602,'자료_거시'!$M$3:$M$602,"&gt;"&amp;EDATE('자료_거시'!$M22,-12-'설정'!$B$17),'자료_거시'!$M$3:$M$602,"&lt;="&amp;EDATE('자료_거시'!$M22,-12))-1,""),""),"")</f>
        <v/>
      </c>
      <c r="AF40">
        <f>IF(ISNUMBER(AE40),'자료_거시'!$M22,"")</f>
        <v/>
      </c>
      <c r="AG40">
        <f>IF(ISNUMBER(AF40),IF(AF40&gt;$L$9,AE40,""),"")</f>
        <v/>
      </c>
    </row>
    <row r="41">
      <c r="P41">
        <f>IF(AND(ISNUMBER('자료_거시'!$A23),ISNUMBER('자료_거시'!$B23)),'자료_거시'!$B23,"")</f>
        <v/>
      </c>
      <c r="Q41">
        <f>IF(ISNUMBER(P41),'자료_거시'!$A23,"")</f>
        <v/>
      </c>
      <c r="R41">
        <f>IF(ISNUMBER(Q41),IF(Q41&gt;$L$5,P41,""),"")</f>
        <v/>
      </c>
      <c r="S41">
        <f>IF(ISNUMBER('자료_거시'!$E23),'자료_거시'!$E23,S40)</f>
        <v/>
      </c>
      <c r="T41">
        <f>IF(AND(ISNUMBER('자료_거시'!$D23),ISNUMBER('자료_거시'!$E23)),IFERROR('자료_거시'!$E23-INDEX($S$21:$S$4020,MATCH(EDATE('자료_거시'!$D23,-'설정'!$B$17),'자료_거시'!$D$3:INDEX('자료_거시'!$D$3:$D$4002,$K$6),1)),""),"")</f>
        <v/>
      </c>
      <c r="U41">
        <f>IF(ISNUMBER(T41),'자료_거시'!$D23,"")</f>
        <v/>
      </c>
      <c r="V41">
        <f>IF(ISNUMBER(U41),IF(U41&gt;$L$6,T41,""),"")</f>
        <v/>
      </c>
      <c r="W41">
        <f>IF(AND(ISNUMBER('자료_거시'!$G23),ISNUMBER('자료_거시'!$H23)),'자료_거시'!$H23,"")</f>
        <v/>
      </c>
      <c r="X41">
        <f>IF(ISNUMBER(W41),'자료_거시'!$G23,"")</f>
        <v/>
      </c>
      <c r="Y41">
        <f>IF(ISNUMBER(X41),IF(X41&gt;$L$7,W41,""),"")</f>
        <v/>
      </c>
      <c r="Z41">
        <f>IF(ISNUMBER('자료_거시'!$K23),'자료_거시'!$K23,Z40)</f>
        <v/>
      </c>
      <c r="AA41">
        <f>IF(AND(ISNUMBER('자료_거시'!$J23),ISNUMBER('자료_거시'!$K23)),IFERROR('자료_거시'!$K23/INDEX($Z$21:$Z$4020,MATCH(EDATE('자료_거시'!$J23,-'설정'!$B$17),'자료_거시'!$J$3:INDEX('자료_거시'!$J$3:$J$4002,$K$8),1))-1,""),"")</f>
        <v/>
      </c>
      <c r="AB41">
        <f>IF(ISNUMBER(AA41),'자료_거시'!$J23,"")</f>
        <v/>
      </c>
      <c r="AC41">
        <f>IF(ISNUMBER(AB41),IF(AB41&gt;$L$8,AA41,""),"")</f>
        <v/>
      </c>
      <c r="AD41">
        <f>IF(AND(ISNUMBER('자료_거시'!$M23),ISNUMBER('자료_거시'!$N23)),1,0)</f>
        <v/>
      </c>
      <c r="AE41">
        <f>IF(AND(ISNUMBER('자료_거시'!$M23),ISNUMBER('자료_거시'!$N23)),IF(AND(SUMIFS($AD$21:$AD$620,'자료_거시'!$M$3:$M$602,"&gt;"&amp;EDATE('자료_거시'!$M23,-'설정'!$B$17),'자료_거시'!$M$3:$M$602,"&lt;="&amp;'자료_거시'!$M23)=3,SUMIFS($AD$21:$AD$620,'자료_거시'!$M$3:$M$602,"&gt;"&amp;EDATE('자료_거시'!$M23,-12-'설정'!$B$17),'자료_거시'!$M$3:$M$602,"&lt;="&amp;EDATE('자료_거시'!$M23,-12))=3),IFERROR(SUMIFS('자료_거시'!$N$3:$N$602,'자료_거시'!$M$3:$M$602,"&gt;"&amp;EDATE('자료_거시'!$M23,-'설정'!$B$17),'자료_거시'!$M$3:$M$602,"&lt;="&amp;'자료_거시'!$M23)/SUMIFS('자료_거시'!$N$3:$N$602,'자료_거시'!$M$3:$M$602,"&gt;"&amp;EDATE('자료_거시'!$M23,-12-'설정'!$B$17),'자료_거시'!$M$3:$M$602,"&lt;="&amp;EDATE('자료_거시'!$M23,-12))-1,""),""),"")</f>
        <v/>
      </c>
      <c r="AF41">
        <f>IF(ISNUMBER(AE41),'자료_거시'!$M23,"")</f>
        <v/>
      </c>
      <c r="AG41">
        <f>IF(ISNUMBER(AF41),IF(AF41&gt;$L$9,AE41,""),"")</f>
        <v/>
      </c>
    </row>
    <row r="42">
      <c r="P42">
        <f>IF(AND(ISNUMBER('자료_거시'!$A24),ISNUMBER('자료_거시'!$B24)),'자료_거시'!$B24,"")</f>
        <v/>
      </c>
      <c r="Q42">
        <f>IF(ISNUMBER(P42),'자료_거시'!$A24,"")</f>
        <v/>
      </c>
      <c r="R42">
        <f>IF(ISNUMBER(Q42),IF(Q42&gt;$L$5,P42,""),"")</f>
        <v/>
      </c>
      <c r="S42">
        <f>IF(ISNUMBER('자료_거시'!$E24),'자료_거시'!$E24,S41)</f>
        <v/>
      </c>
      <c r="T42">
        <f>IF(AND(ISNUMBER('자료_거시'!$D24),ISNUMBER('자료_거시'!$E24)),IFERROR('자료_거시'!$E24-INDEX($S$21:$S$4020,MATCH(EDATE('자료_거시'!$D24,-'설정'!$B$17),'자료_거시'!$D$3:INDEX('자료_거시'!$D$3:$D$4002,$K$6),1)),""),"")</f>
        <v/>
      </c>
      <c r="U42">
        <f>IF(ISNUMBER(T42),'자료_거시'!$D24,"")</f>
        <v/>
      </c>
      <c r="V42">
        <f>IF(ISNUMBER(U42),IF(U42&gt;$L$6,T42,""),"")</f>
        <v/>
      </c>
      <c r="W42">
        <f>IF(AND(ISNUMBER('자료_거시'!$G24),ISNUMBER('자료_거시'!$H24)),'자료_거시'!$H24,"")</f>
        <v/>
      </c>
      <c r="X42">
        <f>IF(ISNUMBER(W42),'자료_거시'!$G24,"")</f>
        <v/>
      </c>
      <c r="Y42">
        <f>IF(ISNUMBER(X42),IF(X42&gt;$L$7,W42,""),"")</f>
        <v/>
      </c>
      <c r="Z42">
        <f>IF(ISNUMBER('자료_거시'!$K24),'자료_거시'!$K24,Z41)</f>
        <v/>
      </c>
      <c r="AA42">
        <f>IF(AND(ISNUMBER('자료_거시'!$J24),ISNUMBER('자료_거시'!$K24)),IFERROR('자료_거시'!$K24/INDEX($Z$21:$Z$4020,MATCH(EDATE('자료_거시'!$J24,-'설정'!$B$17),'자료_거시'!$J$3:INDEX('자료_거시'!$J$3:$J$4002,$K$8),1))-1,""),"")</f>
        <v/>
      </c>
      <c r="AB42">
        <f>IF(ISNUMBER(AA42),'자료_거시'!$J24,"")</f>
        <v/>
      </c>
      <c r="AC42">
        <f>IF(ISNUMBER(AB42),IF(AB42&gt;$L$8,AA42,""),"")</f>
        <v/>
      </c>
      <c r="AD42">
        <f>IF(AND(ISNUMBER('자료_거시'!$M24),ISNUMBER('자료_거시'!$N24)),1,0)</f>
        <v/>
      </c>
      <c r="AE42">
        <f>IF(AND(ISNUMBER('자료_거시'!$M24),ISNUMBER('자료_거시'!$N24)),IF(AND(SUMIFS($AD$21:$AD$620,'자료_거시'!$M$3:$M$602,"&gt;"&amp;EDATE('자료_거시'!$M24,-'설정'!$B$17),'자료_거시'!$M$3:$M$602,"&lt;="&amp;'자료_거시'!$M24)=3,SUMIFS($AD$21:$AD$620,'자료_거시'!$M$3:$M$602,"&gt;"&amp;EDATE('자료_거시'!$M24,-12-'설정'!$B$17),'자료_거시'!$M$3:$M$602,"&lt;="&amp;EDATE('자료_거시'!$M24,-12))=3),IFERROR(SUMIFS('자료_거시'!$N$3:$N$602,'자료_거시'!$M$3:$M$602,"&gt;"&amp;EDATE('자료_거시'!$M24,-'설정'!$B$17),'자료_거시'!$M$3:$M$602,"&lt;="&amp;'자료_거시'!$M24)/SUMIFS('자료_거시'!$N$3:$N$602,'자료_거시'!$M$3:$M$602,"&gt;"&amp;EDATE('자료_거시'!$M24,-12-'설정'!$B$17),'자료_거시'!$M$3:$M$602,"&lt;="&amp;EDATE('자료_거시'!$M24,-12))-1,""),""),"")</f>
        <v/>
      </c>
      <c r="AF42">
        <f>IF(ISNUMBER(AE42),'자료_거시'!$M24,"")</f>
        <v/>
      </c>
      <c r="AG42">
        <f>IF(ISNUMBER(AF42),IF(AF42&gt;$L$9,AE42,""),"")</f>
        <v/>
      </c>
    </row>
    <row r="43">
      <c r="P43">
        <f>IF(AND(ISNUMBER('자료_거시'!$A25),ISNUMBER('자료_거시'!$B25)),'자료_거시'!$B25,"")</f>
        <v/>
      </c>
      <c r="Q43">
        <f>IF(ISNUMBER(P43),'자료_거시'!$A25,"")</f>
        <v/>
      </c>
      <c r="R43">
        <f>IF(ISNUMBER(Q43),IF(Q43&gt;$L$5,P43,""),"")</f>
        <v/>
      </c>
      <c r="S43">
        <f>IF(ISNUMBER('자료_거시'!$E25),'자료_거시'!$E25,S42)</f>
        <v/>
      </c>
      <c r="T43">
        <f>IF(AND(ISNUMBER('자료_거시'!$D25),ISNUMBER('자료_거시'!$E25)),IFERROR('자료_거시'!$E25-INDEX($S$21:$S$4020,MATCH(EDATE('자료_거시'!$D25,-'설정'!$B$17),'자료_거시'!$D$3:INDEX('자료_거시'!$D$3:$D$4002,$K$6),1)),""),"")</f>
        <v/>
      </c>
      <c r="U43">
        <f>IF(ISNUMBER(T43),'자료_거시'!$D25,"")</f>
        <v/>
      </c>
      <c r="V43">
        <f>IF(ISNUMBER(U43),IF(U43&gt;$L$6,T43,""),"")</f>
        <v/>
      </c>
      <c r="W43">
        <f>IF(AND(ISNUMBER('자료_거시'!$G25),ISNUMBER('자료_거시'!$H25)),'자료_거시'!$H25,"")</f>
        <v/>
      </c>
      <c r="X43">
        <f>IF(ISNUMBER(W43),'자료_거시'!$G25,"")</f>
        <v/>
      </c>
      <c r="Y43">
        <f>IF(ISNUMBER(X43),IF(X43&gt;$L$7,W43,""),"")</f>
        <v/>
      </c>
      <c r="Z43">
        <f>IF(ISNUMBER('자료_거시'!$K25),'자료_거시'!$K25,Z42)</f>
        <v/>
      </c>
      <c r="AA43">
        <f>IF(AND(ISNUMBER('자료_거시'!$J25),ISNUMBER('자료_거시'!$K25)),IFERROR('자료_거시'!$K25/INDEX($Z$21:$Z$4020,MATCH(EDATE('자료_거시'!$J25,-'설정'!$B$17),'자료_거시'!$J$3:INDEX('자료_거시'!$J$3:$J$4002,$K$8),1))-1,""),"")</f>
        <v/>
      </c>
      <c r="AB43">
        <f>IF(ISNUMBER(AA43),'자료_거시'!$J25,"")</f>
        <v/>
      </c>
      <c r="AC43">
        <f>IF(ISNUMBER(AB43),IF(AB43&gt;$L$8,AA43,""),"")</f>
        <v/>
      </c>
      <c r="AD43">
        <f>IF(AND(ISNUMBER('자료_거시'!$M25),ISNUMBER('자료_거시'!$N25)),1,0)</f>
        <v/>
      </c>
      <c r="AE43">
        <f>IF(AND(ISNUMBER('자료_거시'!$M25),ISNUMBER('자료_거시'!$N25)),IF(AND(SUMIFS($AD$21:$AD$620,'자료_거시'!$M$3:$M$602,"&gt;"&amp;EDATE('자료_거시'!$M25,-'설정'!$B$17),'자료_거시'!$M$3:$M$602,"&lt;="&amp;'자료_거시'!$M25)=3,SUMIFS($AD$21:$AD$620,'자료_거시'!$M$3:$M$602,"&gt;"&amp;EDATE('자료_거시'!$M25,-12-'설정'!$B$17),'자료_거시'!$M$3:$M$602,"&lt;="&amp;EDATE('자료_거시'!$M25,-12))=3),IFERROR(SUMIFS('자료_거시'!$N$3:$N$602,'자료_거시'!$M$3:$M$602,"&gt;"&amp;EDATE('자료_거시'!$M25,-'설정'!$B$17),'자료_거시'!$M$3:$M$602,"&lt;="&amp;'자료_거시'!$M25)/SUMIFS('자료_거시'!$N$3:$N$602,'자료_거시'!$M$3:$M$602,"&gt;"&amp;EDATE('자료_거시'!$M25,-12-'설정'!$B$17),'자료_거시'!$M$3:$M$602,"&lt;="&amp;EDATE('자료_거시'!$M25,-12))-1,""),""),"")</f>
        <v/>
      </c>
      <c r="AF43">
        <f>IF(ISNUMBER(AE43),'자료_거시'!$M25,"")</f>
        <v/>
      </c>
      <c r="AG43">
        <f>IF(ISNUMBER(AF43),IF(AF43&gt;$L$9,AE43,""),"")</f>
        <v/>
      </c>
    </row>
    <row r="44">
      <c r="P44">
        <f>IF(AND(ISNUMBER('자료_거시'!$A26),ISNUMBER('자료_거시'!$B26)),'자료_거시'!$B26,"")</f>
        <v/>
      </c>
      <c r="Q44">
        <f>IF(ISNUMBER(P44),'자료_거시'!$A26,"")</f>
        <v/>
      </c>
      <c r="R44">
        <f>IF(ISNUMBER(Q44),IF(Q44&gt;$L$5,P44,""),"")</f>
        <v/>
      </c>
      <c r="S44">
        <f>IF(ISNUMBER('자료_거시'!$E26),'자료_거시'!$E26,S43)</f>
        <v/>
      </c>
      <c r="T44">
        <f>IF(AND(ISNUMBER('자료_거시'!$D26),ISNUMBER('자료_거시'!$E26)),IFERROR('자료_거시'!$E26-INDEX($S$21:$S$4020,MATCH(EDATE('자료_거시'!$D26,-'설정'!$B$17),'자료_거시'!$D$3:INDEX('자료_거시'!$D$3:$D$4002,$K$6),1)),""),"")</f>
        <v/>
      </c>
      <c r="U44">
        <f>IF(ISNUMBER(T44),'자료_거시'!$D26,"")</f>
        <v/>
      </c>
      <c r="V44">
        <f>IF(ISNUMBER(U44),IF(U44&gt;$L$6,T44,""),"")</f>
        <v/>
      </c>
      <c r="W44">
        <f>IF(AND(ISNUMBER('자료_거시'!$G26),ISNUMBER('자료_거시'!$H26)),'자료_거시'!$H26,"")</f>
        <v/>
      </c>
      <c r="X44">
        <f>IF(ISNUMBER(W44),'자료_거시'!$G26,"")</f>
        <v/>
      </c>
      <c r="Y44">
        <f>IF(ISNUMBER(X44),IF(X44&gt;$L$7,W44,""),"")</f>
        <v/>
      </c>
      <c r="Z44">
        <f>IF(ISNUMBER('자료_거시'!$K26),'자료_거시'!$K26,Z43)</f>
        <v/>
      </c>
      <c r="AA44">
        <f>IF(AND(ISNUMBER('자료_거시'!$J26),ISNUMBER('자료_거시'!$K26)),IFERROR('자료_거시'!$K26/INDEX($Z$21:$Z$4020,MATCH(EDATE('자료_거시'!$J26,-'설정'!$B$17),'자료_거시'!$J$3:INDEX('자료_거시'!$J$3:$J$4002,$K$8),1))-1,""),"")</f>
        <v/>
      </c>
      <c r="AB44">
        <f>IF(ISNUMBER(AA44),'자료_거시'!$J26,"")</f>
        <v/>
      </c>
      <c r="AC44">
        <f>IF(ISNUMBER(AB44),IF(AB44&gt;$L$8,AA44,""),"")</f>
        <v/>
      </c>
      <c r="AD44">
        <f>IF(AND(ISNUMBER('자료_거시'!$M26),ISNUMBER('자료_거시'!$N26)),1,0)</f>
        <v/>
      </c>
      <c r="AE44">
        <f>IF(AND(ISNUMBER('자료_거시'!$M26),ISNUMBER('자료_거시'!$N26)),IF(AND(SUMIFS($AD$21:$AD$620,'자료_거시'!$M$3:$M$602,"&gt;"&amp;EDATE('자료_거시'!$M26,-'설정'!$B$17),'자료_거시'!$M$3:$M$602,"&lt;="&amp;'자료_거시'!$M26)=3,SUMIFS($AD$21:$AD$620,'자료_거시'!$M$3:$M$602,"&gt;"&amp;EDATE('자료_거시'!$M26,-12-'설정'!$B$17),'자료_거시'!$M$3:$M$602,"&lt;="&amp;EDATE('자료_거시'!$M26,-12))=3),IFERROR(SUMIFS('자료_거시'!$N$3:$N$602,'자료_거시'!$M$3:$M$602,"&gt;"&amp;EDATE('자료_거시'!$M26,-'설정'!$B$17),'자료_거시'!$M$3:$M$602,"&lt;="&amp;'자료_거시'!$M26)/SUMIFS('자료_거시'!$N$3:$N$602,'자료_거시'!$M$3:$M$602,"&gt;"&amp;EDATE('자료_거시'!$M26,-12-'설정'!$B$17),'자료_거시'!$M$3:$M$602,"&lt;="&amp;EDATE('자료_거시'!$M26,-12))-1,""),""),"")</f>
        <v/>
      </c>
      <c r="AF44">
        <f>IF(ISNUMBER(AE44),'자료_거시'!$M26,"")</f>
        <v/>
      </c>
      <c r="AG44">
        <f>IF(ISNUMBER(AF44),IF(AF44&gt;$L$9,AE44,""),"")</f>
        <v/>
      </c>
    </row>
    <row r="45">
      <c r="P45">
        <f>IF(AND(ISNUMBER('자료_거시'!$A27),ISNUMBER('자료_거시'!$B27)),'자료_거시'!$B27,"")</f>
        <v/>
      </c>
      <c r="Q45">
        <f>IF(ISNUMBER(P45),'자료_거시'!$A27,"")</f>
        <v/>
      </c>
      <c r="R45">
        <f>IF(ISNUMBER(Q45),IF(Q45&gt;$L$5,P45,""),"")</f>
        <v/>
      </c>
      <c r="S45">
        <f>IF(ISNUMBER('자료_거시'!$E27),'자료_거시'!$E27,S44)</f>
        <v/>
      </c>
      <c r="T45">
        <f>IF(AND(ISNUMBER('자료_거시'!$D27),ISNUMBER('자료_거시'!$E27)),IFERROR('자료_거시'!$E27-INDEX($S$21:$S$4020,MATCH(EDATE('자료_거시'!$D27,-'설정'!$B$17),'자료_거시'!$D$3:INDEX('자료_거시'!$D$3:$D$4002,$K$6),1)),""),"")</f>
        <v/>
      </c>
      <c r="U45">
        <f>IF(ISNUMBER(T45),'자료_거시'!$D27,"")</f>
        <v/>
      </c>
      <c r="V45">
        <f>IF(ISNUMBER(U45),IF(U45&gt;$L$6,T45,""),"")</f>
        <v/>
      </c>
      <c r="W45">
        <f>IF(AND(ISNUMBER('자료_거시'!$G27),ISNUMBER('자료_거시'!$H27)),'자료_거시'!$H27,"")</f>
        <v/>
      </c>
      <c r="X45">
        <f>IF(ISNUMBER(W45),'자료_거시'!$G27,"")</f>
        <v/>
      </c>
      <c r="Y45">
        <f>IF(ISNUMBER(X45),IF(X45&gt;$L$7,W45,""),"")</f>
        <v/>
      </c>
      <c r="Z45">
        <f>IF(ISNUMBER('자료_거시'!$K27),'자료_거시'!$K27,Z44)</f>
        <v/>
      </c>
      <c r="AA45">
        <f>IF(AND(ISNUMBER('자료_거시'!$J27),ISNUMBER('자료_거시'!$K27)),IFERROR('자료_거시'!$K27/INDEX($Z$21:$Z$4020,MATCH(EDATE('자료_거시'!$J27,-'설정'!$B$17),'자료_거시'!$J$3:INDEX('자료_거시'!$J$3:$J$4002,$K$8),1))-1,""),"")</f>
        <v/>
      </c>
      <c r="AB45">
        <f>IF(ISNUMBER(AA45),'자료_거시'!$J27,"")</f>
        <v/>
      </c>
      <c r="AC45">
        <f>IF(ISNUMBER(AB45),IF(AB45&gt;$L$8,AA45,""),"")</f>
        <v/>
      </c>
      <c r="AD45">
        <f>IF(AND(ISNUMBER('자료_거시'!$M27),ISNUMBER('자료_거시'!$N27)),1,0)</f>
        <v/>
      </c>
      <c r="AE45">
        <f>IF(AND(ISNUMBER('자료_거시'!$M27),ISNUMBER('자료_거시'!$N27)),IF(AND(SUMIFS($AD$21:$AD$620,'자료_거시'!$M$3:$M$602,"&gt;"&amp;EDATE('자료_거시'!$M27,-'설정'!$B$17),'자료_거시'!$M$3:$M$602,"&lt;="&amp;'자료_거시'!$M27)=3,SUMIFS($AD$21:$AD$620,'자료_거시'!$M$3:$M$602,"&gt;"&amp;EDATE('자료_거시'!$M27,-12-'설정'!$B$17),'자료_거시'!$M$3:$M$602,"&lt;="&amp;EDATE('자료_거시'!$M27,-12))=3),IFERROR(SUMIFS('자료_거시'!$N$3:$N$602,'자료_거시'!$M$3:$M$602,"&gt;"&amp;EDATE('자료_거시'!$M27,-'설정'!$B$17),'자료_거시'!$M$3:$M$602,"&lt;="&amp;'자료_거시'!$M27)/SUMIFS('자료_거시'!$N$3:$N$602,'자료_거시'!$M$3:$M$602,"&gt;"&amp;EDATE('자료_거시'!$M27,-12-'설정'!$B$17),'자료_거시'!$M$3:$M$602,"&lt;="&amp;EDATE('자료_거시'!$M27,-12))-1,""),""),"")</f>
        <v/>
      </c>
      <c r="AF45">
        <f>IF(ISNUMBER(AE45),'자료_거시'!$M27,"")</f>
        <v/>
      </c>
      <c r="AG45">
        <f>IF(ISNUMBER(AF45),IF(AF45&gt;$L$9,AE45,""),"")</f>
        <v/>
      </c>
    </row>
    <row r="46">
      <c r="P46">
        <f>IF(AND(ISNUMBER('자료_거시'!$A28),ISNUMBER('자료_거시'!$B28)),'자료_거시'!$B28,"")</f>
        <v/>
      </c>
      <c r="Q46">
        <f>IF(ISNUMBER(P46),'자료_거시'!$A28,"")</f>
        <v/>
      </c>
      <c r="R46">
        <f>IF(ISNUMBER(Q46),IF(Q46&gt;$L$5,P46,""),"")</f>
        <v/>
      </c>
      <c r="S46">
        <f>IF(ISNUMBER('자료_거시'!$E28),'자료_거시'!$E28,S45)</f>
        <v/>
      </c>
      <c r="T46">
        <f>IF(AND(ISNUMBER('자료_거시'!$D28),ISNUMBER('자료_거시'!$E28)),IFERROR('자료_거시'!$E28-INDEX($S$21:$S$4020,MATCH(EDATE('자료_거시'!$D28,-'설정'!$B$17),'자료_거시'!$D$3:INDEX('자료_거시'!$D$3:$D$4002,$K$6),1)),""),"")</f>
        <v/>
      </c>
      <c r="U46">
        <f>IF(ISNUMBER(T46),'자료_거시'!$D28,"")</f>
        <v/>
      </c>
      <c r="V46">
        <f>IF(ISNUMBER(U46),IF(U46&gt;$L$6,T46,""),"")</f>
        <v/>
      </c>
      <c r="W46">
        <f>IF(AND(ISNUMBER('자료_거시'!$G28),ISNUMBER('자료_거시'!$H28)),'자료_거시'!$H28,"")</f>
        <v/>
      </c>
      <c r="X46">
        <f>IF(ISNUMBER(W46),'자료_거시'!$G28,"")</f>
        <v/>
      </c>
      <c r="Y46">
        <f>IF(ISNUMBER(X46),IF(X46&gt;$L$7,W46,""),"")</f>
        <v/>
      </c>
      <c r="Z46">
        <f>IF(ISNUMBER('자료_거시'!$K28),'자료_거시'!$K28,Z45)</f>
        <v/>
      </c>
      <c r="AA46">
        <f>IF(AND(ISNUMBER('자료_거시'!$J28),ISNUMBER('자료_거시'!$K28)),IFERROR('자료_거시'!$K28/INDEX($Z$21:$Z$4020,MATCH(EDATE('자료_거시'!$J28,-'설정'!$B$17),'자료_거시'!$J$3:INDEX('자료_거시'!$J$3:$J$4002,$K$8),1))-1,""),"")</f>
        <v/>
      </c>
      <c r="AB46">
        <f>IF(ISNUMBER(AA46),'자료_거시'!$J28,"")</f>
        <v/>
      </c>
      <c r="AC46">
        <f>IF(ISNUMBER(AB46),IF(AB46&gt;$L$8,AA46,""),"")</f>
        <v/>
      </c>
      <c r="AD46">
        <f>IF(AND(ISNUMBER('자료_거시'!$M28),ISNUMBER('자료_거시'!$N28)),1,0)</f>
        <v/>
      </c>
      <c r="AE46">
        <f>IF(AND(ISNUMBER('자료_거시'!$M28),ISNUMBER('자료_거시'!$N28)),IF(AND(SUMIFS($AD$21:$AD$620,'자료_거시'!$M$3:$M$602,"&gt;"&amp;EDATE('자료_거시'!$M28,-'설정'!$B$17),'자료_거시'!$M$3:$M$602,"&lt;="&amp;'자료_거시'!$M28)=3,SUMIFS($AD$21:$AD$620,'자료_거시'!$M$3:$M$602,"&gt;"&amp;EDATE('자료_거시'!$M28,-12-'설정'!$B$17),'자료_거시'!$M$3:$M$602,"&lt;="&amp;EDATE('자료_거시'!$M28,-12))=3),IFERROR(SUMIFS('자료_거시'!$N$3:$N$602,'자료_거시'!$M$3:$M$602,"&gt;"&amp;EDATE('자료_거시'!$M28,-'설정'!$B$17),'자료_거시'!$M$3:$M$602,"&lt;="&amp;'자료_거시'!$M28)/SUMIFS('자료_거시'!$N$3:$N$602,'자료_거시'!$M$3:$M$602,"&gt;"&amp;EDATE('자료_거시'!$M28,-12-'설정'!$B$17),'자료_거시'!$M$3:$M$602,"&lt;="&amp;EDATE('자료_거시'!$M28,-12))-1,""),""),"")</f>
        <v/>
      </c>
      <c r="AF46">
        <f>IF(ISNUMBER(AE46),'자료_거시'!$M28,"")</f>
        <v/>
      </c>
      <c r="AG46">
        <f>IF(ISNUMBER(AF46),IF(AF46&gt;$L$9,AE46,""),"")</f>
        <v/>
      </c>
    </row>
    <row r="47">
      <c r="P47">
        <f>IF(AND(ISNUMBER('자료_거시'!$A29),ISNUMBER('자료_거시'!$B29)),'자료_거시'!$B29,"")</f>
        <v/>
      </c>
      <c r="Q47">
        <f>IF(ISNUMBER(P47),'자료_거시'!$A29,"")</f>
        <v/>
      </c>
      <c r="R47">
        <f>IF(ISNUMBER(Q47),IF(Q47&gt;$L$5,P47,""),"")</f>
        <v/>
      </c>
      <c r="S47">
        <f>IF(ISNUMBER('자료_거시'!$E29),'자료_거시'!$E29,S46)</f>
        <v/>
      </c>
      <c r="T47">
        <f>IF(AND(ISNUMBER('자료_거시'!$D29),ISNUMBER('자료_거시'!$E29)),IFERROR('자료_거시'!$E29-INDEX($S$21:$S$4020,MATCH(EDATE('자료_거시'!$D29,-'설정'!$B$17),'자료_거시'!$D$3:INDEX('자료_거시'!$D$3:$D$4002,$K$6),1)),""),"")</f>
        <v/>
      </c>
      <c r="U47">
        <f>IF(ISNUMBER(T47),'자료_거시'!$D29,"")</f>
        <v/>
      </c>
      <c r="V47">
        <f>IF(ISNUMBER(U47),IF(U47&gt;$L$6,T47,""),"")</f>
        <v/>
      </c>
      <c r="W47">
        <f>IF(AND(ISNUMBER('자료_거시'!$G29),ISNUMBER('자료_거시'!$H29)),'자료_거시'!$H29,"")</f>
        <v/>
      </c>
      <c r="X47">
        <f>IF(ISNUMBER(W47),'자료_거시'!$G29,"")</f>
        <v/>
      </c>
      <c r="Y47">
        <f>IF(ISNUMBER(X47),IF(X47&gt;$L$7,W47,""),"")</f>
        <v/>
      </c>
      <c r="Z47">
        <f>IF(ISNUMBER('자료_거시'!$K29),'자료_거시'!$K29,Z46)</f>
        <v/>
      </c>
      <c r="AA47">
        <f>IF(AND(ISNUMBER('자료_거시'!$J29),ISNUMBER('자료_거시'!$K29)),IFERROR('자료_거시'!$K29/INDEX($Z$21:$Z$4020,MATCH(EDATE('자료_거시'!$J29,-'설정'!$B$17),'자료_거시'!$J$3:INDEX('자료_거시'!$J$3:$J$4002,$K$8),1))-1,""),"")</f>
        <v/>
      </c>
      <c r="AB47">
        <f>IF(ISNUMBER(AA47),'자료_거시'!$J29,"")</f>
        <v/>
      </c>
      <c r="AC47">
        <f>IF(ISNUMBER(AB47),IF(AB47&gt;$L$8,AA47,""),"")</f>
        <v/>
      </c>
      <c r="AD47">
        <f>IF(AND(ISNUMBER('자료_거시'!$M29),ISNUMBER('자료_거시'!$N29)),1,0)</f>
        <v/>
      </c>
      <c r="AE47">
        <f>IF(AND(ISNUMBER('자료_거시'!$M29),ISNUMBER('자료_거시'!$N29)),IF(AND(SUMIFS($AD$21:$AD$620,'자료_거시'!$M$3:$M$602,"&gt;"&amp;EDATE('자료_거시'!$M29,-'설정'!$B$17),'자료_거시'!$M$3:$M$602,"&lt;="&amp;'자료_거시'!$M29)=3,SUMIFS($AD$21:$AD$620,'자료_거시'!$M$3:$M$602,"&gt;"&amp;EDATE('자료_거시'!$M29,-12-'설정'!$B$17),'자료_거시'!$M$3:$M$602,"&lt;="&amp;EDATE('자료_거시'!$M29,-12))=3),IFERROR(SUMIFS('자료_거시'!$N$3:$N$602,'자료_거시'!$M$3:$M$602,"&gt;"&amp;EDATE('자료_거시'!$M29,-'설정'!$B$17),'자료_거시'!$M$3:$M$602,"&lt;="&amp;'자료_거시'!$M29)/SUMIFS('자료_거시'!$N$3:$N$602,'자료_거시'!$M$3:$M$602,"&gt;"&amp;EDATE('자료_거시'!$M29,-12-'설정'!$B$17),'자료_거시'!$M$3:$M$602,"&lt;="&amp;EDATE('자료_거시'!$M29,-12))-1,""),""),"")</f>
        <v/>
      </c>
      <c r="AF47">
        <f>IF(ISNUMBER(AE47),'자료_거시'!$M29,"")</f>
        <v/>
      </c>
      <c r="AG47">
        <f>IF(ISNUMBER(AF47),IF(AF47&gt;$L$9,AE47,""),"")</f>
        <v/>
      </c>
    </row>
    <row r="48">
      <c r="P48">
        <f>IF(AND(ISNUMBER('자료_거시'!$A30),ISNUMBER('자료_거시'!$B30)),'자료_거시'!$B30,"")</f>
        <v/>
      </c>
      <c r="Q48">
        <f>IF(ISNUMBER(P48),'자료_거시'!$A30,"")</f>
        <v/>
      </c>
      <c r="R48">
        <f>IF(ISNUMBER(Q48),IF(Q48&gt;$L$5,P48,""),"")</f>
        <v/>
      </c>
      <c r="S48">
        <f>IF(ISNUMBER('자료_거시'!$E30),'자료_거시'!$E30,S47)</f>
        <v/>
      </c>
      <c r="T48">
        <f>IF(AND(ISNUMBER('자료_거시'!$D30),ISNUMBER('자료_거시'!$E30)),IFERROR('자료_거시'!$E30-INDEX($S$21:$S$4020,MATCH(EDATE('자료_거시'!$D30,-'설정'!$B$17),'자료_거시'!$D$3:INDEX('자료_거시'!$D$3:$D$4002,$K$6),1)),""),"")</f>
        <v/>
      </c>
      <c r="U48">
        <f>IF(ISNUMBER(T48),'자료_거시'!$D30,"")</f>
        <v/>
      </c>
      <c r="V48">
        <f>IF(ISNUMBER(U48),IF(U48&gt;$L$6,T48,""),"")</f>
        <v/>
      </c>
      <c r="W48">
        <f>IF(AND(ISNUMBER('자료_거시'!$G30),ISNUMBER('자료_거시'!$H30)),'자료_거시'!$H30,"")</f>
        <v/>
      </c>
      <c r="X48">
        <f>IF(ISNUMBER(W48),'자료_거시'!$G30,"")</f>
        <v/>
      </c>
      <c r="Y48">
        <f>IF(ISNUMBER(X48),IF(X48&gt;$L$7,W48,""),"")</f>
        <v/>
      </c>
      <c r="Z48">
        <f>IF(ISNUMBER('자료_거시'!$K30),'자료_거시'!$K30,Z47)</f>
        <v/>
      </c>
      <c r="AA48">
        <f>IF(AND(ISNUMBER('자료_거시'!$J30),ISNUMBER('자료_거시'!$K30)),IFERROR('자료_거시'!$K30/INDEX($Z$21:$Z$4020,MATCH(EDATE('자료_거시'!$J30,-'설정'!$B$17),'자료_거시'!$J$3:INDEX('자료_거시'!$J$3:$J$4002,$K$8),1))-1,""),"")</f>
        <v/>
      </c>
      <c r="AB48">
        <f>IF(ISNUMBER(AA48),'자료_거시'!$J30,"")</f>
        <v/>
      </c>
      <c r="AC48">
        <f>IF(ISNUMBER(AB48),IF(AB48&gt;$L$8,AA48,""),"")</f>
        <v/>
      </c>
      <c r="AD48">
        <f>IF(AND(ISNUMBER('자료_거시'!$M30),ISNUMBER('자료_거시'!$N30)),1,0)</f>
        <v/>
      </c>
      <c r="AE48">
        <f>IF(AND(ISNUMBER('자료_거시'!$M30),ISNUMBER('자료_거시'!$N30)),IF(AND(SUMIFS($AD$21:$AD$620,'자료_거시'!$M$3:$M$602,"&gt;"&amp;EDATE('자료_거시'!$M30,-'설정'!$B$17),'자료_거시'!$M$3:$M$602,"&lt;="&amp;'자료_거시'!$M30)=3,SUMIFS($AD$21:$AD$620,'자료_거시'!$M$3:$M$602,"&gt;"&amp;EDATE('자료_거시'!$M30,-12-'설정'!$B$17),'자료_거시'!$M$3:$M$602,"&lt;="&amp;EDATE('자료_거시'!$M30,-12))=3),IFERROR(SUMIFS('자료_거시'!$N$3:$N$602,'자료_거시'!$M$3:$M$602,"&gt;"&amp;EDATE('자료_거시'!$M30,-'설정'!$B$17),'자료_거시'!$M$3:$M$602,"&lt;="&amp;'자료_거시'!$M30)/SUMIFS('자료_거시'!$N$3:$N$602,'자료_거시'!$M$3:$M$602,"&gt;"&amp;EDATE('자료_거시'!$M30,-12-'설정'!$B$17),'자료_거시'!$M$3:$M$602,"&lt;="&amp;EDATE('자료_거시'!$M30,-12))-1,""),""),"")</f>
        <v/>
      </c>
      <c r="AF48">
        <f>IF(ISNUMBER(AE48),'자료_거시'!$M30,"")</f>
        <v/>
      </c>
      <c r="AG48">
        <f>IF(ISNUMBER(AF48),IF(AF48&gt;$L$9,AE48,""),"")</f>
        <v/>
      </c>
    </row>
    <row r="49">
      <c r="P49">
        <f>IF(AND(ISNUMBER('자료_거시'!$A31),ISNUMBER('자료_거시'!$B31)),'자료_거시'!$B31,"")</f>
        <v/>
      </c>
      <c r="Q49">
        <f>IF(ISNUMBER(P49),'자료_거시'!$A31,"")</f>
        <v/>
      </c>
      <c r="R49">
        <f>IF(ISNUMBER(Q49),IF(Q49&gt;$L$5,P49,""),"")</f>
        <v/>
      </c>
      <c r="S49">
        <f>IF(ISNUMBER('자료_거시'!$E31),'자료_거시'!$E31,S48)</f>
        <v/>
      </c>
      <c r="T49">
        <f>IF(AND(ISNUMBER('자료_거시'!$D31),ISNUMBER('자료_거시'!$E31)),IFERROR('자료_거시'!$E31-INDEX($S$21:$S$4020,MATCH(EDATE('자료_거시'!$D31,-'설정'!$B$17),'자료_거시'!$D$3:INDEX('자료_거시'!$D$3:$D$4002,$K$6),1)),""),"")</f>
        <v/>
      </c>
      <c r="U49">
        <f>IF(ISNUMBER(T49),'자료_거시'!$D31,"")</f>
        <v/>
      </c>
      <c r="V49">
        <f>IF(ISNUMBER(U49),IF(U49&gt;$L$6,T49,""),"")</f>
        <v/>
      </c>
      <c r="W49">
        <f>IF(AND(ISNUMBER('자료_거시'!$G31),ISNUMBER('자료_거시'!$H31)),'자료_거시'!$H31,"")</f>
        <v/>
      </c>
      <c r="X49">
        <f>IF(ISNUMBER(W49),'자료_거시'!$G31,"")</f>
        <v/>
      </c>
      <c r="Y49">
        <f>IF(ISNUMBER(X49),IF(X49&gt;$L$7,W49,""),"")</f>
        <v/>
      </c>
      <c r="Z49">
        <f>IF(ISNUMBER('자료_거시'!$K31),'자료_거시'!$K31,Z48)</f>
        <v/>
      </c>
      <c r="AA49">
        <f>IF(AND(ISNUMBER('자료_거시'!$J31),ISNUMBER('자료_거시'!$K31)),IFERROR('자료_거시'!$K31/INDEX($Z$21:$Z$4020,MATCH(EDATE('자료_거시'!$J31,-'설정'!$B$17),'자료_거시'!$J$3:INDEX('자료_거시'!$J$3:$J$4002,$K$8),1))-1,""),"")</f>
        <v/>
      </c>
      <c r="AB49">
        <f>IF(ISNUMBER(AA49),'자료_거시'!$J31,"")</f>
        <v/>
      </c>
      <c r="AC49">
        <f>IF(ISNUMBER(AB49),IF(AB49&gt;$L$8,AA49,""),"")</f>
        <v/>
      </c>
      <c r="AD49">
        <f>IF(AND(ISNUMBER('자료_거시'!$M31),ISNUMBER('자료_거시'!$N31)),1,0)</f>
        <v/>
      </c>
      <c r="AE49">
        <f>IF(AND(ISNUMBER('자료_거시'!$M31),ISNUMBER('자료_거시'!$N31)),IF(AND(SUMIFS($AD$21:$AD$620,'자료_거시'!$M$3:$M$602,"&gt;"&amp;EDATE('자료_거시'!$M31,-'설정'!$B$17),'자료_거시'!$M$3:$M$602,"&lt;="&amp;'자료_거시'!$M31)=3,SUMIFS($AD$21:$AD$620,'자료_거시'!$M$3:$M$602,"&gt;"&amp;EDATE('자료_거시'!$M31,-12-'설정'!$B$17),'자료_거시'!$M$3:$M$602,"&lt;="&amp;EDATE('자료_거시'!$M31,-12))=3),IFERROR(SUMIFS('자료_거시'!$N$3:$N$602,'자료_거시'!$M$3:$M$602,"&gt;"&amp;EDATE('자료_거시'!$M31,-'설정'!$B$17),'자료_거시'!$M$3:$M$602,"&lt;="&amp;'자료_거시'!$M31)/SUMIFS('자료_거시'!$N$3:$N$602,'자료_거시'!$M$3:$M$602,"&gt;"&amp;EDATE('자료_거시'!$M31,-12-'설정'!$B$17),'자료_거시'!$M$3:$M$602,"&lt;="&amp;EDATE('자료_거시'!$M31,-12))-1,""),""),"")</f>
        <v/>
      </c>
      <c r="AF49">
        <f>IF(ISNUMBER(AE49),'자료_거시'!$M31,"")</f>
        <v/>
      </c>
      <c r="AG49">
        <f>IF(ISNUMBER(AF49),IF(AF49&gt;$L$9,AE49,""),"")</f>
        <v/>
      </c>
    </row>
    <row r="50">
      <c r="P50">
        <f>IF(AND(ISNUMBER('자료_거시'!$A32),ISNUMBER('자료_거시'!$B32)),'자료_거시'!$B32,"")</f>
        <v/>
      </c>
      <c r="Q50">
        <f>IF(ISNUMBER(P50),'자료_거시'!$A32,"")</f>
        <v/>
      </c>
      <c r="R50">
        <f>IF(ISNUMBER(Q50),IF(Q50&gt;$L$5,P50,""),"")</f>
        <v/>
      </c>
      <c r="S50">
        <f>IF(ISNUMBER('자료_거시'!$E32),'자료_거시'!$E32,S49)</f>
        <v/>
      </c>
      <c r="T50">
        <f>IF(AND(ISNUMBER('자료_거시'!$D32),ISNUMBER('자료_거시'!$E32)),IFERROR('자료_거시'!$E32-INDEX($S$21:$S$4020,MATCH(EDATE('자료_거시'!$D32,-'설정'!$B$17),'자료_거시'!$D$3:INDEX('자료_거시'!$D$3:$D$4002,$K$6),1)),""),"")</f>
        <v/>
      </c>
      <c r="U50">
        <f>IF(ISNUMBER(T50),'자료_거시'!$D32,"")</f>
        <v/>
      </c>
      <c r="V50">
        <f>IF(ISNUMBER(U50),IF(U50&gt;$L$6,T50,""),"")</f>
        <v/>
      </c>
      <c r="W50">
        <f>IF(AND(ISNUMBER('자료_거시'!$G32),ISNUMBER('자료_거시'!$H32)),'자료_거시'!$H32,"")</f>
        <v/>
      </c>
      <c r="X50">
        <f>IF(ISNUMBER(W50),'자료_거시'!$G32,"")</f>
        <v/>
      </c>
      <c r="Y50">
        <f>IF(ISNUMBER(X50),IF(X50&gt;$L$7,W50,""),"")</f>
        <v/>
      </c>
      <c r="Z50">
        <f>IF(ISNUMBER('자료_거시'!$K32),'자료_거시'!$K32,Z49)</f>
        <v/>
      </c>
      <c r="AA50">
        <f>IF(AND(ISNUMBER('자료_거시'!$J32),ISNUMBER('자료_거시'!$K32)),IFERROR('자료_거시'!$K32/INDEX($Z$21:$Z$4020,MATCH(EDATE('자료_거시'!$J32,-'설정'!$B$17),'자료_거시'!$J$3:INDEX('자료_거시'!$J$3:$J$4002,$K$8),1))-1,""),"")</f>
        <v/>
      </c>
      <c r="AB50">
        <f>IF(ISNUMBER(AA50),'자료_거시'!$J32,"")</f>
        <v/>
      </c>
      <c r="AC50">
        <f>IF(ISNUMBER(AB50),IF(AB50&gt;$L$8,AA50,""),"")</f>
        <v/>
      </c>
      <c r="AD50">
        <f>IF(AND(ISNUMBER('자료_거시'!$M32),ISNUMBER('자료_거시'!$N32)),1,0)</f>
        <v/>
      </c>
      <c r="AE50">
        <f>IF(AND(ISNUMBER('자료_거시'!$M32),ISNUMBER('자료_거시'!$N32)),IF(AND(SUMIFS($AD$21:$AD$620,'자료_거시'!$M$3:$M$602,"&gt;"&amp;EDATE('자료_거시'!$M32,-'설정'!$B$17),'자료_거시'!$M$3:$M$602,"&lt;="&amp;'자료_거시'!$M32)=3,SUMIFS($AD$21:$AD$620,'자료_거시'!$M$3:$M$602,"&gt;"&amp;EDATE('자료_거시'!$M32,-12-'설정'!$B$17),'자료_거시'!$M$3:$M$602,"&lt;="&amp;EDATE('자료_거시'!$M32,-12))=3),IFERROR(SUMIFS('자료_거시'!$N$3:$N$602,'자료_거시'!$M$3:$M$602,"&gt;"&amp;EDATE('자료_거시'!$M32,-'설정'!$B$17),'자료_거시'!$M$3:$M$602,"&lt;="&amp;'자료_거시'!$M32)/SUMIFS('자료_거시'!$N$3:$N$602,'자료_거시'!$M$3:$M$602,"&gt;"&amp;EDATE('자료_거시'!$M32,-12-'설정'!$B$17),'자료_거시'!$M$3:$M$602,"&lt;="&amp;EDATE('자료_거시'!$M32,-12))-1,""),""),"")</f>
        <v/>
      </c>
      <c r="AF50">
        <f>IF(ISNUMBER(AE50),'자료_거시'!$M32,"")</f>
        <v/>
      </c>
      <c r="AG50">
        <f>IF(ISNUMBER(AF50),IF(AF50&gt;$L$9,AE50,""),"")</f>
        <v/>
      </c>
    </row>
    <row r="51">
      <c r="P51">
        <f>IF(AND(ISNUMBER('자료_거시'!$A33),ISNUMBER('자료_거시'!$B33)),'자료_거시'!$B33,"")</f>
        <v/>
      </c>
      <c r="Q51">
        <f>IF(ISNUMBER(P51),'자료_거시'!$A33,"")</f>
        <v/>
      </c>
      <c r="R51">
        <f>IF(ISNUMBER(Q51),IF(Q51&gt;$L$5,P51,""),"")</f>
        <v/>
      </c>
      <c r="S51">
        <f>IF(ISNUMBER('자료_거시'!$E33),'자료_거시'!$E33,S50)</f>
        <v/>
      </c>
      <c r="T51">
        <f>IF(AND(ISNUMBER('자료_거시'!$D33),ISNUMBER('자료_거시'!$E33)),IFERROR('자료_거시'!$E33-INDEX($S$21:$S$4020,MATCH(EDATE('자료_거시'!$D33,-'설정'!$B$17),'자료_거시'!$D$3:INDEX('자료_거시'!$D$3:$D$4002,$K$6),1)),""),"")</f>
        <v/>
      </c>
      <c r="U51">
        <f>IF(ISNUMBER(T51),'자료_거시'!$D33,"")</f>
        <v/>
      </c>
      <c r="V51">
        <f>IF(ISNUMBER(U51),IF(U51&gt;$L$6,T51,""),"")</f>
        <v/>
      </c>
      <c r="W51">
        <f>IF(AND(ISNUMBER('자료_거시'!$G33),ISNUMBER('자료_거시'!$H33)),'자료_거시'!$H33,"")</f>
        <v/>
      </c>
      <c r="X51">
        <f>IF(ISNUMBER(W51),'자료_거시'!$G33,"")</f>
        <v/>
      </c>
      <c r="Y51">
        <f>IF(ISNUMBER(X51),IF(X51&gt;$L$7,W51,""),"")</f>
        <v/>
      </c>
      <c r="Z51">
        <f>IF(ISNUMBER('자료_거시'!$K33),'자료_거시'!$K33,Z50)</f>
        <v/>
      </c>
      <c r="AA51">
        <f>IF(AND(ISNUMBER('자료_거시'!$J33),ISNUMBER('자료_거시'!$K33)),IFERROR('자료_거시'!$K33/INDEX($Z$21:$Z$4020,MATCH(EDATE('자료_거시'!$J33,-'설정'!$B$17),'자료_거시'!$J$3:INDEX('자료_거시'!$J$3:$J$4002,$K$8),1))-1,""),"")</f>
        <v/>
      </c>
      <c r="AB51">
        <f>IF(ISNUMBER(AA51),'자료_거시'!$J33,"")</f>
        <v/>
      </c>
      <c r="AC51">
        <f>IF(ISNUMBER(AB51),IF(AB51&gt;$L$8,AA51,""),"")</f>
        <v/>
      </c>
      <c r="AD51">
        <f>IF(AND(ISNUMBER('자료_거시'!$M33),ISNUMBER('자료_거시'!$N33)),1,0)</f>
        <v/>
      </c>
      <c r="AE51">
        <f>IF(AND(ISNUMBER('자료_거시'!$M33),ISNUMBER('자료_거시'!$N33)),IF(AND(SUMIFS($AD$21:$AD$620,'자료_거시'!$M$3:$M$602,"&gt;"&amp;EDATE('자료_거시'!$M33,-'설정'!$B$17),'자료_거시'!$M$3:$M$602,"&lt;="&amp;'자료_거시'!$M33)=3,SUMIFS($AD$21:$AD$620,'자료_거시'!$M$3:$M$602,"&gt;"&amp;EDATE('자료_거시'!$M33,-12-'설정'!$B$17),'자료_거시'!$M$3:$M$602,"&lt;="&amp;EDATE('자료_거시'!$M33,-12))=3),IFERROR(SUMIFS('자료_거시'!$N$3:$N$602,'자료_거시'!$M$3:$M$602,"&gt;"&amp;EDATE('자료_거시'!$M33,-'설정'!$B$17),'자료_거시'!$M$3:$M$602,"&lt;="&amp;'자료_거시'!$M33)/SUMIFS('자료_거시'!$N$3:$N$602,'자료_거시'!$M$3:$M$602,"&gt;"&amp;EDATE('자료_거시'!$M33,-12-'설정'!$B$17),'자료_거시'!$M$3:$M$602,"&lt;="&amp;EDATE('자료_거시'!$M33,-12))-1,""),""),"")</f>
        <v/>
      </c>
      <c r="AF51">
        <f>IF(ISNUMBER(AE51),'자료_거시'!$M33,"")</f>
        <v/>
      </c>
      <c r="AG51">
        <f>IF(ISNUMBER(AF51),IF(AF51&gt;$L$9,AE51,""),"")</f>
        <v/>
      </c>
    </row>
    <row r="52">
      <c r="P52">
        <f>IF(AND(ISNUMBER('자료_거시'!$A34),ISNUMBER('자료_거시'!$B34)),'자료_거시'!$B34,"")</f>
        <v/>
      </c>
      <c r="Q52">
        <f>IF(ISNUMBER(P52),'자료_거시'!$A34,"")</f>
        <v/>
      </c>
      <c r="R52">
        <f>IF(ISNUMBER(Q52),IF(Q52&gt;$L$5,P52,""),"")</f>
        <v/>
      </c>
      <c r="S52">
        <f>IF(ISNUMBER('자료_거시'!$E34),'자료_거시'!$E34,S51)</f>
        <v/>
      </c>
      <c r="T52">
        <f>IF(AND(ISNUMBER('자료_거시'!$D34),ISNUMBER('자료_거시'!$E34)),IFERROR('자료_거시'!$E34-INDEX($S$21:$S$4020,MATCH(EDATE('자료_거시'!$D34,-'설정'!$B$17),'자료_거시'!$D$3:INDEX('자료_거시'!$D$3:$D$4002,$K$6),1)),""),"")</f>
        <v/>
      </c>
      <c r="U52">
        <f>IF(ISNUMBER(T52),'자료_거시'!$D34,"")</f>
        <v/>
      </c>
      <c r="V52">
        <f>IF(ISNUMBER(U52),IF(U52&gt;$L$6,T52,""),"")</f>
        <v/>
      </c>
      <c r="W52">
        <f>IF(AND(ISNUMBER('자료_거시'!$G34),ISNUMBER('자료_거시'!$H34)),'자료_거시'!$H34,"")</f>
        <v/>
      </c>
      <c r="X52">
        <f>IF(ISNUMBER(W52),'자료_거시'!$G34,"")</f>
        <v/>
      </c>
      <c r="Y52">
        <f>IF(ISNUMBER(X52),IF(X52&gt;$L$7,W52,""),"")</f>
        <v/>
      </c>
      <c r="Z52">
        <f>IF(ISNUMBER('자료_거시'!$K34),'자료_거시'!$K34,Z51)</f>
        <v/>
      </c>
      <c r="AA52">
        <f>IF(AND(ISNUMBER('자료_거시'!$J34),ISNUMBER('자료_거시'!$K34)),IFERROR('자료_거시'!$K34/INDEX($Z$21:$Z$4020,MATCH(EDATE('자료_거시'!$J34,-'설정'!$B$17),'자료_거시'!$J$3:INDEX('자료_거시'!$J$3:$J$4002,$K$8),1))-1,""),"")</f>
        <v/>
      </c>
      <c r="AB52">
        <f>IF(ISNUMBER(AA52),'자료_거시'!$J34,"")</f>
        <v/>
      </c>
      <c r="AC52">
        <f>IF(ISNUMBER(AB52),IF(AB52&gt;$L$8,AA52,""),"")</f>
        <v/>
      </c>
      <c r="AD52">
        <f>IF(AND(ISNUMBER('자료_거시'!$M34),ISNUMBER('자료_거시'!$N34)),1,0)</f>
        <v/>
      </c>
      <c r="AE52">
        <f>IF(AND(ISNUMBER('자료_거시'!$M34),ISNUMBER('자료_거시'!$N34)),IF(AND(SUMIFS($AD$21:$AD$620,'자료_거시'!$M$3:$M$602,"&gt;"&amp;EDATE('자료_거시'!$M34,-'설정'!$B$17),'자료_거시'!$M$3:$M$602,"&lt;="&amp;'자료_거시'!$M34)=3,SUMIFS($AD$21:$AD$620,'자료_거시'!$M$3:$M$602,"&gt;"&amp;EDATE('자료_거시'!$M34,-12-'설정'!$B$17),'자료_거시'!$M$3:$M$602,"&lt;="&amp;EDATE('자료_거시'!$M34,-12))=3),IFERROR(SUMIFS('자료_거시'!$N$3:$N$602,'자료_거시'!$M$3:$M$602,"&gt;"&amp;EDATE('자료_거시'!$M34,-'설정'!$B$17),'자료_거시'!$M$3:$M$602,"&lt;="&amp;'자료_거시'!$M34)/SUMIFS('자료_거시'!$N$3:$N$602,'자료_거시'!$M$3:$M$602,"&gt;"&amp;EDATE('자료_거시'!$M34,-12-'설정'!$B$17),'자료_거시'!$M$3:$M$602,"&lt;="&amp;EDATE('자료_거시'!$M34,-12))-1,""),""),"")</f>
        <v/>
      </c>
      <c r="AF52">
        <f>IF(ISNUMBER(AE52),'자료_거시'!$M34,"")</f>
        <v/>
      </c>
      <c r="AG52">
        <f>IF(ISNUMBER(AF52),IF(AF52&gt;$L$9,AE52,""),"")</f>
        <v/>
      </c>
    </row>
    <row r="53">
      <c r="P53">
        <f>IF(AND(ISNUMBER('자료_거시'!$A35),ISNUMBER('자료_거시'!$B35)),'자료_거시'!$B35,"")</f>
        <v/>
      </c>
      <c r="Q53">
        <f>IF(ISNUMBER(P53),'자료_거시'!$A35,"")</f>
        <v/>
      </c>
      <c r="R53">
        <f>IF(ISNUMBER(Q53),IF(Q53&gt;$L$5,P53,""),"")</f>
        <v/>
      </c>
      <c r="S53">
        <f>IF(ISNUMBER('자료_거시'!$E35),'자료_거시'!$E35,S52)</f>
        <v/>
      </c>
      <c r="T53">
        <f>IF(AND(ISNUMBER('자료_거시'!$D35),ISNUMBER('자료_거시'!$E35)),IFERROR('자료_거시'!$E35-INDEX($S$21:$S$4020,MATCH(EDATE('자료_거시'!$D35,-'설정'!$B$17),'자료_거시'!$D$3:INDEX('자료_거시'!$D$3:$D$4002,$K$6),1)),""),"")</f>
        <v/>
      </c>
      <c r="U53">
        <f>IF(ISNUMBER(T53),'자료_거시'!$D35,"")</f>
        <v/>
      </c>
      <c r="V53">
        <f>IF(ISNUMBER(U53),IF(U53&gt;$L$6,T53,""),"")</f>
        <v/>
      </c>
      <c r="W53">
        <f>IF(AND(ISNUMBER('자료_거시'!$G35),ISNUMBER('자료_거시'!$H35)),'자료_거시'!$H35,"")</f>
        <v/>
      </c>
      <c r="X53">
        <f>IF(ISNUMBER(W53),'자료_거시'!$G35,"")</f>
        <v/>
      </c>
      <c r="Y53">
        <f>IF(ISNUMBER(X53),IF(X53&gt;$L$7,W53,""),"")</f>
        <v/>
      </c>
      <c r="Z53">
        <f>IF(ISNUMBER('자료_거시'!$K35),'자료_거시'!$K35,Z52)</f>
        <v/>
      </c>
      <c r="AA53">
        <f>IF(AND(ISNUMBER('자료_거시'!$J35),ISNUMBER('자료_거시'!$K35)),IFERROR('자료_거시'!$K35/INDEX($Z$21:$Z$4020,MATCH(EDATE('자료_거시'!$J35,-'설정'!$B$17),'자료_거시'!$J$3:INDEX('자료_거시'!$J$3:$J$4002,$K$8),1))-1,""),"")</f>
        <v/>
      </c>
      <c r="AB53">
        <f>IF(ISNUMBER(AA53),'자료_거시'!$J35,"")</f>
        <v/>
      </c>
      <c r="AC53">
        <f>IF(ISNUMBER(AB53),IF(AB53&gt;$L$8,AA53,""),"")</f>
        <v/>
      </c>
      <c r="AD53">
        <f>IF(AND(ISNUMBER('자료_거시'!$M35),ISNUMBER('자료_거시'!$N35)),1,0)</f>
        <v/>
      </c>
      <c r="AE53">
        <f>IF(AND(ISNUMBER('자료_거시'!$M35),ISNUMBER('자료_거시'!$N35)),IF(AND(SUMIFS($AD$21:$AD$620,'자료_거시'!$M$3:$M$602,"&gt;"&amp;EDATE('자료_거시'!$M35,-'설정'!$B$17),'자료_거시'!$M$3:$M$602,"&lt;="&amp;'자료_거시'!$M35)=3,SUMIFS($AD$21:$AD$620,'자료_거시'!$M$3:$M$602,"&gt;"&amp;EDATE('자료_거시'!$M35,-12-'설정'!$B$17),'자료_거시'!$M$3:$M$602,"&lt;="&amp;EDATE('자료_거시'!$M35,-12))=3),IFERROR(SUMIFS('자료_거시'!$N$3:$N$602,'자료_거시'!$M$3:$M$602,"&gt;"&amp;EDATE('자료_거시'!$M35,-'설정'!$B$17),'자료_거시'!$M$3:$M$602,"&lt;="&amp;'자료_거시'!$M35)/SUMIFS('자료_거시'!$N$3:$N$602,'자료_거시'!$M$3:$M$602,"&gt;"&amp;EDATE('자료_거시'!$M35,-12-'설정'!$B$17),'자료_거시'!$M$3:$M$602,"&lt;="&amp;EDATE('자료_거시'!$M35,-12))-1,""),""),"")</f>
        <v/>
      </c>
      <c r="AF53">
        <f>IF(ISNUMBER(AE53),'자료_거시'!$M35,"")</f>
        <v/>
      </c>
      <c r="AG53">
        <f>IF(ISNUMBER(AF53),IF(AF53&gt;$L$9,AE53,""),"")</f>
        <v/>
      </c>
    </row>
    <row r="54">
      <c r="P54">
        <f>IF(AND(ISNUMBER('자료_거시'!$A36),ISNUMBER('자료_거시'!$B36)),'자료_거시'!$B36,"")</f>
        <v/>
      </c>
      <c r="Q54">
        <f>IF(ISNUMBER(P54),'자료_거시'!$A36,"")</f>
        <v/>
      </c>
      <c r="R54">
        <f>IF(ISNUMBER(Q54),IF(Q54&gt;$L$5,P54,""),"")</f>
        <v/>
      </c>
      <c r="S54">
        <f>IF(ISNUMBER('자료_거시'!$E36),'자료_거시'!$E36,S53)</f>
        <v/>
      </c>
      <c r="T54">
        <f>IF(AND(ISNUMBER('자료_거시'!$D36),ISNUMBER('자료_거시'!$E36)),IFERROR('자료_거시'!$E36-INDEX($S$21:$S$4020,MATCH(EDATE('자료_거시'!$D36,-'설정'!$B$17),'자료_거시'!$D$3:INDEX('자료_거시'!$D$3:$D$4002,$K$6),1)),""),"")</f>
        <v/>
      </c>
      <c r="U54">
        <f>IF(ISNUMBER(T54),'자료_거시'!$D36,"")</f>
        <v/>
      </c>
      <c r="V54">
        <f>IF(ISNUMBER(U54),IF(U54&gt;$L$6,T54,""),"")</f>
        <v/>
      </c>
      <c r="W54">
        <f>IF(AND(ISNUMBER('자료_거시'!$G36),ISNUMBER('자료_거시'!$H36)),'자료_거시'!$H36,"")</f>
        <v/>
      </c>
      <c r="X54">
        <f>IF(ISNUMBER(W54),'자료_거시'!$G36,"")</f>
        <v/>
      </c>
      <c r="Y54">
        <f>IF(ISNUMBER(X54),IF(X54&gt;$L$7,W54,""),"")</f>
        <v/>
      </c>
      <c r="Z54">
        <f>IF(ISNUMBER('자료_거시'!$K36),'자료_거시'!$K36,Z53)</f>
        <v/>
      </c>
      <c r="AA54">
        <f>IF(AND(ISNUMBER('자료_거시'!$J36),ISNUMBER('자료_거시'!$K36)),IFERROR('자료_거시'!$K36/INDEX($Z$21:$Z$4020,MATCH(EDATE('자료_거시'!$J36,-'설정'!$B$17),'자료_거시'!$J$3:INDEX('자료_거시'!$J$3:$J$4002,$K$8),1))-1,""),"")</f>
        <v/>
      </c>
      <c r="AB54">
        <f>IF(ISNUMBER(AA54),'자료_거시'!$J36,"")</f>
        <v/>
      </c>
      <c r="AC54">
        <f>IF(ISNUMBER(AB54),IF(AB54&gt;$L$8,AA54,""),"")</f>
        <v/>
      </c>
      <c r="AD54">
        <f>IF(AND(ISNUMBER('자료_거시'!$M36),ISNUMBER('자료_거시'!$N36)),1,0)</f>
        <v/>
      </c>
      <c r="AE54">
        <f>IF(AND(ISNUMBER('자료_거시'!$M36),ISNUMBER('자료_거시'!$N36)),IF(AND(SUMIFS($AD$21:$AD$620,'자료_거시'!$M$3:$M$602,"&gt;"&amp;EDATE('자료_거시'!$M36,-'설정'!$B$17),'자료_거시'!$M$3:$M$602,"&lt;="&amp;'자료_거시'!$M36)=3,SUMIFS($AD$21:$AD$620,'자료_거시'!$M$3:$M$602,"&gt;"&amp;EDATE('자료_거시'!$M36,-12-'설정'!$B$17),'자료_거시'!$M$3:$M$602,"&lt;="&amp;EDATE('자료_거시'!$M36,-12))=3),IFERROR(SUMIFS('자료_거시'!$N$3:$N$602,'자료_거시'!$M$3:$M$602,"&gt;"&amp;EDATE('자료_거시'!$M36,-'설정'!$B$17),'자료_거시'!$M$3:$M$602,"&lt;="&amp;'자료_거시'!$M36)/SUMIFS('자료_거시'!$N$3:$N$602,'자료_거시'!$M$3:$M$602,"&gt;"&amp;EDATE('자료_거시'!$M36,-12-'설정'!$B$17),'자료_거시'!$M$3:$M$602,"&lt;="&amp;EDATE('자료_거시'!$M36,-12))-1,""),""),"")</f>
        <v/>
      </c>
      <c r="AF54">
        <f>IF(ISNUMBER(AE54),'자료_거시'!$M36,"")</f>
        <v/>
      </c>
      <c r="AG54">
        <f>IF(ISNUMBER(AF54),IF(AF54&gt;$L$9,AE54,""),"")</f>
        <v/>
      </c>
    </row>
    <row r="55">
      <c r="P55">
        <f>IF(AND(ISNUMBER('자료_거시'!$A37),ISNUMBER('자료_거시'!$B37)),'자료_거시'!$B37,"")</f>
        <v/>
      </c>
      <c r="Q55">
        <f>IF(ISNUMBER(P55),'자료_거시'!$A37,"")</f>
        <v/>
      </c>
      <c r="R55">
        <f>IF(ISNUMBER(Q55),IF(Q55&gt;$L$5,P55,""),"")</f>
        <v/>
      </c>
      <c r="S55">
        <f>IF(ISNUMBER('자료_거시'!$E37),'자료_거시'!$E37,S54)</f>
        <v/>
      </c>
      <c r="T55">
        <f>IF(AND(ISNUMBER('자료_거시'!$D37),ISNUMBER('자료_거시'!$E37)),IFERROR('자료_거시'!$E37-INDEX($S$21:$S$4020,MATCH(EDATE('자료_거시'!$D37,-'설정'!$B$17),'자료_거시'!$D$3:INDEX('자료_거시'!$D$3:$D$4002,$K$6),1)),""),"")</f>
        <v/>
      </c>
      <c r="U55">
        <f>IF(ISNUMBER(T55),'자료_거시'!$D37,"")</f>
        <v/>
      </c>
      <c r="V55">
        <f>IF(ISNUMBER(U55),IF(U55&gt;$L$6,T55,""),"")</f>
        <v/>
      </c>
      <c r="W55">
        <f>IF(AND(ISNUMBER('자료_거시'!$G37),ISNUMBER('자료_거시'!$H37)),'자료_거시'!$H37,"")</f>
        <v/>
      </c>
      <c r="X55">
        <f>IF(ISNUMBER(W55),'자료_거시'!$G37,"")</f>
        <v/>
      </c>
      <c r="Y55">
        <f>IF(ISNUMBER(X55),IF(X55&gt;$L$7,W55,""),"")</f>
        <v/>
      </c>
      <c r="Z55">
        <f>IF(ISNUMBER('자료_거시'!$K37),'자료_거시'!$K37,Z54)</f>
        <v/>
      </c>
      <c r="AA55">
        <f>IF(AND(ISNUMBER('자료_거시'!$J37),ISNUMBER('자료_거시'!$K37)),IFERROR('자료_거시'!$K37/INDEX($Z$21:$Z$4020,MATCH(EDATE('자료_거시'!$J37,-'설정'!$B$17),'자료_거시'!$J$3:INDEX('자료_거시'!$J$3:$J$4002,$K$8),1))-1,""),"")</f>
        <v/>
      </c>
      <c r="AB55">
        <f>IF(ISNUMBER(AA55),'자료_거시'!$J37,"")</f>
        <v/>
      </c>
      <c r="AC55">
        <f>IF(ISNUMBER(AB55),IF(AB55&gt;$L$8,AA55,""),"")</f>
        <v/>
      </c>
      <c r="AD55">
        <f>IF(AND(ISNUMBER('자료_거시'!$M37),ISNUMBER('자료_거시'!$N37)),1,0)</f>
        <v/>
      </c>
      <c r="AE55">
        <f>IF(AND(ISNUMBER('자료_거시'!$M37),ISNUMBER('자료_거시'!$N37)),IF(AND(SUMIFS($AD$21:$AD$620,'자료_거시'!$M$3:$M$602,"&gt;"&amp;EDATE('자료_거시'!$M37,-'설정'!$B$17),'자료_거시'!$M$3:$M$602,"&lt;="&amp;'자료_거시'!$M37)=3,SUMIFS($AD$21:$AD$620,'자료_거시'!$M$3:$M$602,"&gt;"&amp;EDATE('자료_거시'!$M37,-12-'설정'!$B$17),'자료_거시'!$M$3:$M$602,"&lt;="&amp;EDATE('자료_거시'!$M37,-12))=3),IFERROR(SUMIFS('자료_거시'!$N$3:$N$602,'자료_거시'!$M$3:$M$602,"&gt;"&amp;EDATE('자료_거시'!$M37,-'설정'!$B$17),'자료_거시'!$M$3:$M$602,"&lt;="&amp;'자료_거시'!$M37)/SUMIFS('자료_거시'!$N$3:$N$602,'자료_거시'!$M$3:$M$602,"&gt;"&amp;EDATE('자료_거시'!$M37,-12-'설정'!$B$17),'자료_거시'!$M$3:$M$602,"&lt;="&amp;EDATE('자료_거시'!$M37,-12))-1,""),""),"")</f>
        <v/>
      </c>
      <c r="AF55">
        <f>IF(ISNUMBER(AE55),'자료_거시'!$M37,"")</f>
        <v/>
      </c>
      <c r="AG55">
        <f>IF(ISNUMBER(AF55),IF(AF55&gt;$L$9,AE55,""),"")</f>
        <v/>
      </c>
    </row>
    <row r="56">
      <c r="P56">
        <f>IF(AND(ISNUMBER('자료_거시'!$A38),ISNUMBER('자료_거시'!$B38)),'자료_거시'!$B38,"")</f>
        <v/>
      </c>
      <c r="Q56">
        <f>IF(ISNUMBER(P56),'자료_거시'!$A38,"")</f>
        <v/>
      </c>
      <c r="R56">
        <f>IF(ISNUMBER(Q56),IF(Q56&gt;$L$5,P56,""),"")</f>
        <v/>
      </c>
      <c r="S56">
        <f>IF(ISNUMBER('자료_거시'!$E38),'자료_거시'!$E38,S55)</f>
        <v/>
      </c>
      <c r="T56">
        <f>IF(AND(ISNUMBER('자료_거시'!$D38),ISNUMBER('자료_거시'!$E38)),IFERROR('자료_거시'!$E38-INDEX($S$21:$S$4020,MATCH(EDATE('자료_거시'!$D38,-'설정'!$B$17),'자료_거시'!$D$3:INDEX('자료_거시'!$D$3:$D$4002,$K$6),1)),""),"")</f>
        <v/>
      </c>
      <c r="U56">
        <f>IF(ISNUMBER(T56),'자료_거시'!$D38,"")</f>
        <v/>
      </c>
      <c r="V56">
        <f>IF(ISNUMBER(U56),IF(U56&gt;$L$6,T56,""),"")</f>
        <v/>
      </c>
      <c r="W56">
        <f>IF(AND(ISNUMBER('자료_거시'!$G38),ISNUMBER('자료_거시'!$H38)),'자료_거시'!$H38,"")</f>
        <v/>
      </c>
      <c r="X56">
        <f>IF(ISNUMBER(W56),'자료_거시'!$G38,"")</f>
        <v/>
      </c>
      <c r="Y56">
        <f>IF(ISNUMBER(X56),IF(X56&gt;$L$7,W56,""),"")</f>
        <v/>
      </c>
      <c r="Z56">
        <f>IF(ISNUMBER('자료_거시'!$K38),'자료_거시'!$K38,Z55)</f>
        <v/>
      </c>
      <c r="AA56">
        <f>IF(AND(ISNUMBER('자료_거시'!$J38),ISNUMBER('자료_거시'!$K38)),IFERROR('자료_거시'!$K38/INDEX($Z$21:$Z$4020,MATCH(EDATE('자료_거시'!$J38,-'설정'!$B$17),'자료_거시'!$J$3:INDEX('자료_거시'!$J$3:$J$4002,$K$8),1))-1,""),"")</f>
        <v/>
      </c>
      <c r="AB56">
        <f>IF(ISNUMBER(AA56),'자료_거시'!$J38,"")</f>
        <v/>
      </c>
      <c r="AC56">
        <f>IF(ISNUMBER(AB56),IF(AB56&gt;$L$8,AA56,""),"")</f>
        <v/>
      </c>
      <c r="AD56">
        <f>IF(AND(ISNUMBER('자료_거시'!$M38),ISNUMBER('자료_거시'!$N38)),1,0)</f>
        <v/>
      </c>
      <c r="AE56">
        <f>IF(AND(ISNUMBER('자료_거시'!$M38),ISNUMBER('자료_거시'!$N38)),IF(AND(SUMIFS($AD$21:$AD$620,'자료_거시'!$M$3:$M$602,"&gt;"&amp;EDATE('자료_거시'!$M38,-'설정'!$B$17),'자료_거시'!$M$3:$M$602,"&lt;="&amp;'자료_거시'!$M38)=3,SUMIFS($AD$21:$AD$620,'자료_거시'!$M$3:$M$602,"&gt;"&amp;EDATE('자료_거시'!$M38,-12-'설정'!$B$17),'자료_거시'!$M$3:$M$602,"&lt;="&amp;EDATE('자료_거시'!$M38,-12))=3),IFERROR(SUMIFS('자료_거시'!$N$3:$N$602,'자료_거시'!$M$3:$M$602,"&gt;"&amp;EDATE('자료_거시'!$M38,-'설정'!$B$17),'자료_거시'!$M$3:$M$602,"&lt;="&amp;'자료_거시'!$M38)/SUMIFS('자료_거시'!$N$3:$N$602,'자료_거시'!$M$3:$M$602,"&gt;"&amp;EDATE('자료_거시'!$M38,-12-'설정'!$B$17),'자료_거시'!$M$3:$M$602,"&lt;="&amp;EDATE('자료_거시'!$M38,-12))-1,""),""),"")</f>
        <v/>
      </c>
      <c r="AF56">
        <f>IF(ISNUMBER(AE56),'자료_거시'!$M38,"")</f>
        <v/>
      </c>
      <c r="AG56">
        <f>IF(ISNUMBER(AF56),IF(AF56&gt;$L$9,AE56,""),"")</f>
        <v/>
      </c>
    </row>
    <row r="57">
      <c r="P57">
        <f>IF(AND(ISNUMBER('자료_거시'!$A39),ISNUMBER('자료_거시'!$B39)),'자료_거시'!$B39,"")</f>
        <v/>
      </c>
      <c r="Q57">
        <f>IF(ISNUMBER(P57),'자료_거시'!$A39,"")</f>
        <v/>
      </c>
      <c r="R57">
        <f>IF(ISNUMBER(Q57),IF(Q57&gt;$L$5,P57,""),"")</f>
        <v/>
      </c>
      <c r="S57">
        <f>IF(ISNUMBER('자료_거시'!$E39),'자료_거시'!$E39,S56)</f>
        <v/>
      </c>
      <c r="T57">
        <f>IF(AND(ISNUMBER('자료_거시'!$D39),ISNUMBER('자료_거시'!$E39)),IFERROR('자료_거시'!$E39-INDEX($S$21:$S$4020,MATCH(EDATE('자료_거시'!$D39,-'설정'!$B$17),'자료_거시'!$D$3:INDEX('자료_거시'!$D$3:$D$4002,$K$6),1)),""),"")</f>
        <v/>
      </c>
      <c r="U57">
        <f>IF(ISNUMBER(T57),'자료_거시'!$D39,"")</f>
        <v/>
      </c>
      <c r="V57">
        <f>IF(ISNUMBER(U57),IF(U57&gt;$L$6,T57,""),"")</f>
        <v/>
      </c>
      <c r="W57">
        <f>IF(AND(ISNUMBER('자료_거시'!$G39),ISNUMBER('자료_거시'!$H39)),'자료_거시'!$H39,"")</f>
        <v/>
      </c>
      <c r="X57">
        <f>IF(ISNUMBER(W57),'자료_거시'!$G39,"")</f>
        <v/>
      </c>
      <c r="Y57">
        <f>IF(ISNUMBER(X57),IF(X57&gt;$L$7,W57,""),"")</f>
        <v/>
      </c>
      <c r="Z57">
        <f>IF(ISNUMBER('자료_거시'!$K39),'자료_거시'!$K39,Z56)</f>
        <v/>
      </c>
      <c r="AA57">
        <f>IF(AND(ISNUMBER('자료_거시'!$J39),ISNUMBER('자료_거시'!$K39)),IFERROR('자료_거시'!$K39/INDEX($Z$21:$Z$4020,MATCH(EDATE('자료_거시'!$J39,-'설정'!$B$17),'자료_거시'!$J$3:INDEX('자료_거시'!$J$3:$J$4002,$K$8),1))-1,""),"")</f>
        <v/>
      </c>
      <c r="AB57">
        <f>IF(ISNUMBER(AA57),'자료_거시'!$J39,"")</f>
        <v/>
      </c>
      <c r="AC57">
        <f>IF(ISNUMBER(AB57),IF(AB57&gt;$L$8,AA57,""),"")</f>
        <v/>
      </c>
      <c r="AD57">
        <f>IF(AND(ISNUMBER('자료_거시'!$M39),ISNUMBER('자료_거시'!$N39)),1,0)</f>
        <v/>
      </c>
      <c r="AE57">
        <f>IF(AND(ISNUMBER('자료_거시'!$M39),ISNUMBER('자료_거시'!$N39)),IF(AND(SUMIFS($AD$21:$AD$620,'자료_거시'!$M$3:$M$602,"&gt;"&amp;EDATE('자료_거시'!$M39,-'설정'!$B$17),'자료_거시'!$M$3:$M$602,"&lt;="&amp;'자료_거시'!$M39)=3,SUMIFS($AD$21:$AD$620,'자료_거시'!$M$3:$M$602,"&gt;"&amp;EDATE('자료_거시'!$M39,-12-'설정'!$B$17),'자료_거시'!$M$3:$M$602,"&lt;="&amp;EDATE('자료_거시'!$M39,-12))=3),IFERROR(SUMIFS('자료_거시'!$N$3:$N$602,'자료_거시'!$M$3:$M$602,"&gt;"&amp;EDATE('자료_거시'!$M39,-'설정'!$B$17),'자료_거시'!$M$3:$M$602,"&lt;="&amp;'자료_거시'!$M39)/SUMIFS('자료_거시'!$N$3:$N$602,'자료_거시'!$M$3:$M$602,"&gt;"&amp;EDATE('자료_거시'!$M39,-12-'설정'!$B$17),'자료_거시'!$M$3:$M$602,"&lt;="&amp;EDATE('자료_거시'!$M39,-12))-1,""),""),"")</f>
        <v/>
      </c>
      <c r="AF57">
        <f>IF(ISNUMBER(AE57),'자료_거시'!$M39,"")</f>
        <v/>
      </c>
      <c r="AG57">
        <f>IF(ISNUMBER(AF57),IF(AF57&gt;$L$9,AE57,""),"")</f>
        <v/>
      </c>
    </row>
    <row r="58">
      <c r="P58">
        <f>IF(AND(ISNUMBER('자료_거시'!$A40),ISNUMBER('자료_거시'!$B40)),'자료_거시'!$B40,"")</f>
        <v/>
      </c>
      <c r="Q58">
        <f>IF(ISNUMBER(P58),'자료_거시'!$A40,"")</f>
        <v/>
      </c>
      <c r="R58">
        <f>IF(ISNUMBER(Q58),IF(Q58&gt;$L$5,P58,""),"")</f>
        <v/>
      </c>
      <c r="S58">
        <f>IF(ISNUMBER('자료_거시'!$E40),'자료_거시'!$E40,S57)</f>
        <v/>
      </c>
      <c r="T58">
        <f>IF(AND(ISNUMBER('자료_거시'!$D40),ISNUMBER('자료_거시'!$E40)),IFERROR('자료_거시'!$E40-INDEX($S$21:$S$4020,MATCH(EDATE('자료_거시'!$D40,-'설정'!$B$17),'자료_거시'!$D$3:INDEX('자료_거시'!$D$3:$D$4002,$K$6),1)),""),"")</f>
        <v/>
      </c>
      <c r="U58">
        <f>IF(ISNUMBER(T58),'자료_거시'!$D40,"")</f>
        <v/>
      </c>
      <c r="V58">
        <f>IF(ISNUMBER(U58),IF(U58&gt;$L$6,T58,""),"")</f>
        <v/>
      </c>
      <c r="W58">
        <f>IF(AND(ISNUMBER('자료_거시'!$G40),ISNUMBER('자료_거시'!$H40)),'자료_거시'!$H40,"")</f>
        <v/>
      </c>
      <c r="X58">
        <f>IF(ISNUMBER(W58),'자료_거시'!$G40,"")</f>
        <v/>
      </c>
      <c r="Y58">
        <f>IF(ISNUMBER(X58),IF(X58&gt;$L$7,W58,""),"")</f>
        <v/>
      </c>
      <c r="Z58">
        <f>IF(ISNUMBER('자료_거시'!$K40),'자료_거시'!$K40,Z57)</f>
        <v/>
      </c>
      <c r="AA58">
        <f>IF(AND(ISNUMBER('자료_거시'!$J40),ISNUMBER('자료_거시'!$K40)),IFERROR('자료_거시'!$K40/INDEX($Z$21:$Z$4020,MATCH(EDATE('자료_거시'!$J40,-'설정'!$B$17),'자료_거시'!$J$3:INDEX('자료_거시'!$J$3:$J$4002,$K$8),1))-1,""),"")</f>
        <v/>
      </c>
      <c r="AB58">
        <f>IF(ISNUMBER(AA58),'자료_거시'!$J40,"")</f>
        <v/>
      </c>
      <c r="AC58">
        <f>IF(ISNUMBER(AB58),IF(AB58&gt;$L$8,AA58,""),"")</f>
        <v/>
      </c>
      <c r="AD58">
        <f>IF(AND(ISNUMBER('자료_거시'!$M40),ISNUMBER('자료_거시'!$N40)),1,0)</f>
        <v/>
      </c>
      <c r="AE58">
        <f>IF(AND(ISNUMBER('자료_거시'!$M40),ISNUMBER('자료_거시'!$N40)),IF(AND(SUMIFS($AD$21:$AD$620,'자료_거시'!$M$3:$M$602,"&gt;"&amp;EDATE('자료_거시'!$M40,-'설정'!$B$17),'자료_거시'!$M$3:$M$602,"&lt;="&amp;'자료_거시'!$M40)=3,SUMIFS($AD$21:$AD$620,'자료_거시'!$M$3:$M$602,"&gt;"&amp;EDATE('자료_거시'!$M40,-12-'설정'!$B$17),'자료_거시'!$M$3:$M$602,"&lt;="&amp;EDATE('자료_거시'!$M40,-12))=3),IFERROR(SUMIFS('자료_거시'!$N$3:$N$602,'자료_거시'!$M$3:$M$602,"&gt;"&amp;EDATE('자료_거시'!$M40,-'설정'!$B$17),'자료_거시'!$M$3:$M$602,"&lt;="&amp;'자료_거시'!$M40)/SUMIFS('자료_거시'!$N$3:$N$602,'자료_거시'!$M$3:$M$602,"&gt;"&amp;EDATE('자료_거시'!$M40,-12-'설정'!$B$17),'자료_거시'!$M$3:$M$602,"&lt;="&amp;EDATE('자료_거시'!$M40,-12))-1,""),""),"")</f>
        <v/>
      </c>
      <c r="AF58">
        <f>IF(ISNUMBER(AE58),'자료_거시'!$M40,"")</f>
        <v/>
      </c>
      <c r="AG58">
        <f>IF(ISNUMBER(AF58),IF(AF58&gt;$L$9,AE58,""),"")</f>
        <v/>
      </c>
    </row>
    <row r="59">
      <c r="P59">
        <f>IF(AND(ISNUMBER('자료_거시'!$A41),ISNUMBER('자료_거시'!$B41)),'자료_거시'!$B41,"")</f>
        <v/>
      </c>
      <c r="Q59">
        <f>IF(ISNUMBER(P59),'자료_거시'!$A41,"")</f>
        <v/>
      </c>
      <c r="R59">
        <f>IF(ISNUMBER(Q59),IF(Q59&gt;$L$5,P59,""),"")</f>
        <v/>
      </c>
      <c r="S59">
        <f>IF(ISNUMBER('자료_거시'!$E41),'자료_거시'!$E41,S58)</f>
        <v/>
      </c>
      <c r="T59">
        <f>IF(AND(ISNUMBER('자료_거시'!$D41),ISNUMBER('자료_거시'!$E41)),IFERROR('자료_거시'!$E41-INDEX($S$21:$S$4020,MATCH(EDATE('자료_거시'!$D41,-'설정'!$B$17),'자료_거시'!$D$3:INDEX('자료_거시'!$D$3:$D$4002,$K$6),1)),""),"")</f>
        <v/>
      </c>
      <c r="U59">
        <f>IF(ISNUMBER(T59),'자료_거시'!$D41,"")</f>
        <v/>
      </c>
      <c r="V59">
        <f>IF(ISNUMBER(U59),IF(U59&gt;$L$6,T59,""),"")</f>
        <v/>
      </c>
      <c r="W59">
        <f>IF(AND(ISNUMBER('자료_거시'!$G41),ISNUMBER('자료_거시'!$H41)),'자료_거시'!$H41,"")</f>
        <v/>
      </c>
      <c r="X59">
        <f>IF(ISNUMBER(W59),'자료_거시'!$G41,"")</f>
        <v/>
      </c>
      <c r="Y59">
        <f>IF(ISNUMBER(X59),IF(X59&gt;$L$7,W59,""),"")</f>
        <v/>
      </c>
      <c r="Z59">
        <f>IF(ISNUMBER('자료_거시'!$K41),'자료_거시'!$K41,Z58)</f>
        <v/>
      </c>
      <c r="AA59">
        <f>IF(AND(ISNUMBER('자료_거시'!$J41),ISNUMBER('자료_거시'!$K41)),IFERROR('자료_거시'!$K41/INDEX($Z$21:$Z$4020,MATCH(EDATE('자료_거시'!$J41,-'설정'!$B$17),'자료_거시'!$J$3:INDEX('자료_거시'!$J$3:$J$4002,$K$8),1))-1,""),"")</f>
        <v/>
      </c>
      <c r="AB59">
        <f>IF(ISNUMBER(AA59),'자료_거시'!$J41,"")</f>
        <v/>
      </c>
      <c r="AC59">
        <f>IF(ISNUMBER(AB59),IF(AB59&gt;$L$8,AA59,""),"")</f>
        <v/>
      </c>
      <c r="AD59">
        <f>IF(AND(ISNUMBER('자료_거시'!$M41),ISNUMBER('자료_거시'!$N41)),1,0)</f>
        <v/>
      </c>
      <c r="AE59">
        <f>IF(AND(ISNUMBER('자료_거시'!$M41),ISNUMBER('자료_거시'!$N41)),IF(AND(SUMIFS($AD$21:$AD$620,'자료_거시'!$M$3:$M$602,"&gt;"&amp;EDATE('자료_거시'!$M41,-'설정'!$B$17),'자료_거시'!$M$3:$M$602,"&lt;="&amp;'자료_거시'!$M41)=3,SUMIFS($AD$21:$AD$620,'자료_거시'!$M$3:$M$602,"&gt;"&amp;EDATE('자료_거시'!$M41,-12-'설정'!$B$17),'자료_거시'!$M$3:$M$602,"&lt;="&amp;EDATE('자료_거시'!$M41,-12))=3),IFERROR(SUMIFS('자료_거시'!$N$3:$N$602,'자료_거시'!$M$3:$M$602,"&gt;"&amp;EDATE('자료_거시'!$M41,-'설정'!$B$17),'자료_거시'!$M$3:$M$602,"&lt;="&amp;'자료_거시'!$M41)/SUMIFS('자료_거시'!$N$3:$N$602,'자료_거시'!$M$3:$M$602,"&gt;"&amp;EDATE('자료_거시'!$M41,-12-'설정'!$B$17),'자료_거시'!$M$3:$M$602,"&lt;="&amp;EDATE('자료_거시'!$M41,-12))-1,""),""),"")</f>
        <v/>
      </c>
      <c r="AF59">
        <f>IF(ISNUMBER(AE59),'자료_거시'!$M41,"")</f>
        <v/>
      </c>
      <c r="AG59">
        <f>IF(ISNUMBER(AF59),IF(AF59&gt;$L$9,AE59,""),"")</f>
        <v/>
      </c>
    </row>
    <row r="60">
      <c r="P60">
        <f>IF(AND(ISNUMBER('자료_거시'!$A42),ISNUMBER('자료_거시'!$B42)),'자료_거시'!$B42,"")</f>
        <v/>
      </c>
      <c r="Q60">
        <f>IF(ISNUMBER(P60),'자료_거시'!$A42,"")</f>
        <v/>
      </c>
      <c r="R60">
        <f>IF(ISNUMBER(Q60),IF(Q60&gt;$L$5,P60,""),"")</f>
        <v/>
      </c>
      <c r="S60">
        <f>IF(ISNUMBER('자료_거시'!$E42),'자료_거시'!$E42,S59)</f>
        <v/>
      </c>
      <c r="T60">
        <f>IF(AND(ISNUMBER('자료_거시'!$D42),ISNUMBER('자료_거시'!$E42)),IFERROR('자료_거시'!$E42-INDEX($S$21:$S$4020,MATCH(EDATE('자료_거시'!$D42,-'설정'!$B$17),'자료_거시'!$D$3:INDEX('자료_거시'!$D$3:$D$4002,$K$6),1)),""),"")</f>
        <v/>
      </c>
      <c r="U60">
        <f>IF(ISNUMBER(T60),'자료_거시'!$D42,"")</f>
        <v/>
      </c>
      <c r="V60">
        <f>IF(ISNUMBER(U60),IF(U60&gt;$L$6,T60,""),"")</f>
        <v/>
      </c>
      <c r="W60">
        <f>IF(AND(ISNUMBER('자료_거시'!$G42),ISNUMBER('자료_거시'!$H42)),'자료_거시'!$H42,"")</f>
        <v/>
      </c>
      <c r="X60">
        <f>IF(ISNUMBER(W60),'자료_거시'!$G42,"")</f>
        <v/>
      </c>
      <c r="Y60">
        <f>IF(ISNUMBER(X60),IF(X60&gt;$L$7,W60,""),"")</f>
        <v/>
      </c>
      <c r="Z60">
        <f>IF(ISNUMBER('자료_거시'!$K42),'자료_거시'!$K42,Z59)</f>
        <v/>
      </c>
      <c r="AA60">
        <f>IF(AND(ISNUMBER('자료_거시'!$J42),ISNUMBER('자료_거시'!$K42)),IFERROR('자료_거시'!$K42/INDEX($Z$21:$Z$4020,MATCH(EDATE('자료_거시'!$J42,-'설정'!$B$17),'자료_거시'!$J$3:INDEX('자료_거시'!$J$3:$J$4002,$K$8),1))-1,""),"")</f>
        <v/>
      </c>
      <c r="AB60">
        <f>IF(ISNUMBER(AA60),'자료_거시'!$J42,"")</f>
        <v/>
      </c>
      <c r="AC60">
        <f>IF(ISNUMBER(AB60),IF(AB60&gt;$L$8,AA60,""),"")</f>
        <v/>
      </c>
      <c r="AD60">
        <f>IF(AND(ISNUMBER('자료_거시'!$M42),ISNUMBER('자료_거시'!$N42)),1,0)</f>
        <v/>
      </c>
      <c r="AE60">
        <f>IF(AND(ISNUMBER('자료_거시'!$M42),ISNUMBER('자료_거시'!$N42)),IF(AND(SUMIFS($AD$21:$AD$620,'자료_거시'!$M$3:$M$602,"&gt;"&amp;EDATE('자료_거시'!$M42,-'설정'!$B$17),'자료_거시'!$M$3:$M$602,"&lt;="&amp;'자료_거시'!$M42)=3,SUMIFS($AD$21:$AD$620,'자료_거시'!$M$3:$M$602,"&gt;"&amp;EDATE('자료_거시'!$M42,-12-'설정'!$B$17),'자료_거시'!$M$3:$M$602,"&lt;="&amp;EDATE('자료_거시'!$M42,-12))=3),IFERROR(SUMIFS('자료_거시'!$N$3:$N$602,'자료_거시'!$M$3:$M$602,"&gt;"&amp;EDATE('자료_거시'!$M42,-'설정'!$B$17),'자료_거시'!$M$3:$M$602,"&lt;="&amp;'자료_거시'!$M42)/SUMIFS('자료_거시'!$N$3:$N$602,'자료_거시'!$M$3:$M$602,"&gt;"&amp;EDATE('자료_거시'!$M42,-12-'설정'!$B$17),'자료_거시'!$M$3:$M$602,"&lt;="&amp;EDATE('자료_거시'!$M42,-12))-1,""),""),"")</f>
        <v/>
      </c>
      <c r="AF60">
        <f>IF(ISNUMBER(AE60),'자료_거시'!$M42,"")</f>
        <v/>
      </c>
      <c r="AG60">
        <f>IF(ISNUMBER(AF60),IF(AF60&gt;$L$9,AE60,""),"")</f>
        <v/>
      </c>
    </row>
    <row r="61">
      <c r="P61">
        <f>IF(AND(ISNUMBER('자료_거시'!$A43),ISNUMBER('자료_거시'!$B43)),'자료_거시'!$B43,"")</f>
        <v/>
      </c>
      <c r="Q61">
        <f>IF(ISNUMBER(P61),'자료_거시'!$A43,"")</f>
        <v/>
      </c>
      <c r="R61">
        <f>IF(ISNUMBER(Q61),IF(Q61&gt;$L$5,P61,""),"")</f>
        <v/>
      </c>
      <c r="S61">
        <f>IF(ISNUMBER('자료_거시'!$E43),'자료_거시'!$E43,S60)</f>
        <v/>
      </c>
      <c r="T61">
        <f>IF(AND(ISNUMBER('자료_거시'!$D43),ISNUMBER('자료_거시'!$E43)),IFERROR('자료_거시'!$E43-INDEX($S$21:$S$4020,MATCH(EDATE('자료_거시'!$D43,-'설정'!$B$17),'자료_거시'!$D$3:INDEX('자료_거시'!$D$3:$D$4002,$K$6),1)),""),"")</f>
        <v/>
      </c>
      <c r="U61">
        <f>IF(ISNUMBER(T61),'자료_거시'!$D43,"")</f>
        <v/>
      </c>
      <c r="V61">
        <f>IF(ISNUMBER(U61),IF(U61&gt;$L$6,T61,""),"")</f>
        <v/>
      </c>
      <c r="W61">
        <f>IF(AND(ISNUMBER('자료_거시'!$G43),ISNUMBER('자료_거시'!$H43)),'자료_거시'!$H43,"")</f>
        <v/>
      </c>
      <c r="X61">
        <f>IF(ISNUMBER(W61),'자료_거시'!$G43,"")</f>
        <v/>
      </c>
      <c r="Y61">
        <f>IF(ISNUMBER(X61),IF(X61&gt;$L$7,W61,""),"")</f>
        <v/>
      </c>
      <c r="Z61">
        <f>IF(ISNUMBER('자료_거시'!$K43),'자료_거시'!$K43,Z60)</f>
        <v/>
      </c>
      <c r="AA61">
        <f>IF(AND(ISNUMBER('자료_거시'!$J43),ISNUMBER('자료_거시'!$K43)),IFERROR('자료_거시'!$K43/INDEX($Z$21:$Z$4020,MATCH(EDATE('자료_거시'!$J43,-'설정'!$B$17),'자료_거시'!$J$3:INDEX('자료_거시'!$J$3:$J$4002,$K$8),1))-1,""),"")</f>
        <v/>
      </c>
      <c r="AB61">
        <f>IF(ISNUMBER(AA61),'자료_거시'!$J43,"")</f>
        <v/>
      </c>
      <c r="AC61">
        <f>IF(ISNUMBER(AB61),IF(AB61&gt;$L$8,AA61,""),"")</f>
        <v/>
      </c>
      <c r="AD61">
        <f>IF(AND(ISNUMBER('자료_거시'!$M43),ISNUMBER('자료_거시'!$N43)),1,0)</f>
        <v/>
      </c>
      <c r="AE61">
        <f>IF(AND(ISNUMBER('자료_거시'!$M43),ISNUMBER('자료_거시'!$N43)),IF(AND(SUMIFS($AD$21:$AD$620,'자료_거시'!$M$3:$M$602,"&gt;"&amp;EDATE('자료_거시'!$M43,-'설정'!$B$17),'자료_거시'!$M$3:$M$602,"&lt;="&amp;'자료_거시'!$M43)=3,SUMIFS($AD$21:$AD$620,'자료_거시'!$M$3:$M$602,"&gt;"&amp;EDATE('자료_거시'!$M43,-12-'설정'!$B$17),'자료_거시'!$M$3:$M$602,"&lt;="&amp;EDATE('자료_거시'!$M43,-12))=3),IFERROR(SUMIFS('자료_거시'!$N$3:$N$602,'자료_거시'!$M$3:$M$602,"&gt;"&amp;EDATE('자료_거시'!$M43,-'설정'!$B$17),'자료_거시'!$M$3:$M$602,"&lt;="&amp;'자료_거시'!$M43)/SUMIFS('자료_거시'!$N$3:$N$602,'자료_거시'!$M$3:$M$602,"&gt;"&amp;EDATE('자료_거시'!$M43,-12-'설정'!$B$17),'자료_거시'!$M$3:$M$602,"&lt;="&amp;EDATE('자료_거시'!$M43,-12))-1,""),""),"")</f>
        <v/>
      </c>
      <c r="AF61">
        <f>IF(ISNUMBER(AE61),'자료_거시'!$M43,"")</f>
        <v/>
      </c>
      <c r="AG61">
        <f>IF(ISNUMBER(AF61),IF(AF61&gt;$L$9,AE61,""),"")</f>
        <v/>
      </c>
    </row>
    <row r="62">
      <c r="P62">
        <f>IF(AND(ISNUMBER('자료_거시'!$A44),ISNUMBER('자료_거시'!$B44)),'자료_거시'!$B44,"")</f>
        <v/>
      </c>
      <c r="Q62">
        <f>IF(ISNUMBER(P62),'자료_거시'!$A44,"")</f>
        <v/>
      </c>
      <c r="R62">
        <f>IF(ISNUMBER(Q62),IF(Q62&gt;$L$5,P62,""),"")</f>
        <v/>
      </c>
      <c r="S62">
        <f>IF(ISNUMBER('자료_거시'!$E44),'자료_거시'!$E44,S61)</f>
        <v/>
      </c>
      <c r="T62">
        <f>IF(AND(ISNUMBER('자료_거시'!$D44),ISNUMBER('자료_거시'!$E44)),IFERROR('자료_거시'!$E44-INDEX($S$21:$S$4020,MATCH(EDATE('자료_거시'!$D44,-'설정'!$B$17),'자료_거시'!$D$3:INDEX('자료_거시'!$D$3:$D$4002,$K$6),1)),""),"")</f>
        <v/>
      </c>
      <c r="U62">
        <f>IF(ISNUMBER(T62),'자료_거시'!$D44,"")</f>
        <v/>
      </c>
      <c r="V62">
        <f>IF(ISNUMBER(U62),IF(U62&gt;$L$6,T62,""),"")</f>
        <v/>
      </c>
      <c r="W62">
        <f>IF(AND(ISNUMBER('자료_거시'!$G44),ISNUMBER('자료_거시'!$H44)),'자료_거시'!$H44,"")</f>
        <v/>
      </c>
      <c r="X62">
        <f>IF(ISNUMBER(W62),'자료_거시'!$G44,"")</f>
        <v/>
      </c>
      <c r="Y62">
        <f>IF(ISNUMBER(X62),IF(X62&gt;$L$7,W62,""),"")</f>
        <v/>
      </c>
      <c r="Z62">
        <f>IF(ISNUMBER('자료_거시'!$K44),'자료_거시'!$K44,Z61)</f>
        <v/>
      </c>
      <c r="AA62">
        <f>IF(AND(ISNUMBER('자료_거시'!$J44),ISNUMBER('자료_거시'!$K44)),IFERROR('자료_거시'!$K44/INDEX($Z$21:$Z$4020,MATCH(EDATE('자료_거시'!$J44,-'설정'!$B$17),'자료_거시'!$J$3:INDEX('자료_거시'!$J$3:$J$4002,$K$8),1))-1,""),"")</f>
        <v/>
      </c>
      <c r="AB62">
        <f>IF(ISNUMBER(AA62),'자료_거시'!$J44,"")</f>
        <v/>
      </c>
      <c r="AC62">
        <f>IF(ISNUMBER(AB62),IF(AB62&gt;$L$8,AA62,""),"")</f>
        <v/>
      </c>
      <c r="AD62">
        <f>IF(AND(ISNUMBER('자료_거시'!$M44),ISNUMBER('자료_거시'!$N44)),1,0)</f>
        <v/>
      </c>
      <c r="AE62">
        <f>IF(AND(ISNUMBER('자료_거시'!$M44),ISNUMBER('자료_거시'!$N44)),IF(AND(SUMIFS($AD$21:$AD$620,'자료_거시'!$M$3:$M$602,"&gt;"&amp;EDATE('자료_거시'!$M44,-'설정'!$B$17),'자료_거시'!$M$3:$M$602,"&lt;="&amp;'자료_거시'!$M44)=3,SUMIFS($AD$21:$AD$620,'자료_거시'!$M$3:$M$602,"&gt;"&amp;EDATE('자료_거시'!$M44,-12-'설정'!$B$17),'자료_거시'!$M$3:$M$602,"&lt;="&amp;EDATE('자료_거시'!$M44,-12))=3),IFERROR(SUMIFS('자료_거시'!$N$3:$N$602,'자료_거시'!$M$3:$M$602,"&gt;"&amp;EDATE('자료_거시'!$M44,-'설정'!$B$17),'자료_거시'!$M$3:$M$602,"&lt;="&amp;'자료_거시'!$M44)/SUMIFS('자료_거시'!$N$3:$N$602,'자료_거시'!$M$3:$M$602,"&gt;"&amp;EDATE('자료_거시'!$M44,-12-'설정'!$B$17),'자료_거시'!$M$3:$M$602,"&lt;="&amp;EDATE('자료_거시'!$M44,-12))-1,""),""),"")</f>
        <v/>
      </c>
      <c r="AF62">
        <f>IF(ISNUMBER(AE62),'자료_거시'!$M44,"")</f>
        <v/>
      </c>
      <c r="AG62">
        <f>IF(ISNUMBER(AF62),IF(AF62&gt;$L$9,AE62,""),"")</f>
        <v/>
      </c>
    </row>
    <row r="63">
      <c r="P63">
        <f>IF(AND(ISNUMBER('자료_거시'!$A45),ISNUMBER('자료_거시'!$B45)),'자료_거시'!$B45,"")</f>
        <v/>
      </c>
      <c r="Q63">
        <f>IF(ISNUMBER(P63),'자료_거시'!$A45,"")</f>
        <v/>
      </c>
      <c r="R63">
        <f>IF(ISNUMBER(Q63),IF(Q63&gt;$L$5,P63,""),"")</f>
        <v/>
      </c>
      <c r="S63">
        <f>IF(ISNUMBER('자료_거시'!$E45),'자료_거시'!$E45,S62)</f>
        <v/>
      </c>
      <c r="T63">
        <f>IF(AND(ISNUMBER('자료_거시'!$D45),ISNUMBER('자료_거시'!$E45)),IFERROR('자료_거시'!$E45-INDEX($S$21:$S$4020,MATCH(EDATE('자료_거시'!$D45,-'설정'!$B$17),'자료_거시'!$D$3:INDEX('자료_거시'!$D$3:$D$4002,$K$6),1)),""),"")</f>
        <v/>
      </c>
      <c r="U63">
        <f>IF(ISNUMBER(T63),'자료_거시'!$D45,"")</f>
        <v/>
      </c>
      <c r="V63">
        <f>IF(ISNUMBER(U63),IF(U63&gt;$L$6,T63,""),"")</f>
        <v/>
      </c>
      <c r="W63">
        <f>IF(AND(ISNUMBER('자료_거시'!$G45),ISNUMBER('자료_거시'!$H45)),'자료_거시'!$H45,"")</f>
        <v/>
      </c>
      <c r="X63">
        <f>IF(ISNUMBER(W63),'자료_거시'!$G45,"")</f>
        <v/>
      </c>
      <c r="Y63">
        <f>IF(ISNUMBER(X63),IF(X63&gt;$L$7,W63,""),"")</f>
        <v/>
      </c>
      <c r="Z63">
        <f>IF(ISNUMBER('자료_거시'!$K45),'자료_거시'!$K45,Z62)</f>
        <v/>
      </c>
      <c r="AA63">
        <f>IF(AND(ISNUMBER('자료_거시'!$J45),ISNUMBER('자료_거시'!$K45)),IFERROR('자료_거시'!$K45/INDEX($Z$21:$Z$4020,MATCH(EDATE('자료_거시'!$J45,-'설정'!$B$17),'자료_거시'!$J$3:INDEX('자료_거시'!$J$3:$J$4002,$K$8),1))-1,""),"")</f>
        <v/>
      </c>
      <c r="AB63">
        <f>IF(ISNUMBER(AA63),'자료_거시'!$J45,"")</f>
        <v/>
      </c>
      <c r="AC63">
        <f>IF(ISNUMBER(AB63),IF(AB63&gt;$L$8,AA63,""),"")</f>
        <v/>
      </c>
      <c r="AD63">
        <f>IF(AND(ISNUMBER('자료_거시'!$M45),ISNUMBER('자료_거시'!$N45)),1,0)</f>
        <v/>
      </c>
      <c r="AE63">
        <f>IF(AND(ISNUMBER('자료_거시'!$M45),ISNUMBER('자료_거시'!$N45)),IF(AND(SUMIFS($AD$21:$AD$620,'자료_거시'!$M$3:$M$602,"&gt;"&amp;EDATE('자료_거시'!$M45,-'설정'!$B$17),'자료_거시'!$M$3:$M$602,"&lt;="&amp;'자료_거시'!$M45)=3,SUMIFS($AD$21:$AD$620,'자료_거시'!$M$3:$M$602,"&gt;"&amp;EDATE('자료_거시'!$M45,-12-'설정'!$B$17),'자료_거시'!$M$3:$M$602,"&lt;="&amp;EDATE('자료_거시'!$M45,-12))=3),IFERROR(SUMIFS('자료_거시'!$N$3:$N$602,'자료_거시'!$M$3:$M$602,"&gt;"&amp;EDATE('자료_거시'!$M45,-'설정'!$B$17),'자료_거시'!$M$3:$M$602,"&lt;="&amp;'자료_거시'!$M45)/SUMIFS('자료_거시'!$N$3:$N$602,'자료_거시'!$M$3:$M$602,"&gt;"&amp;EDATE('자료_거시'!$M45,-12-'설정'!$B$17),'자료_거시'!$M$3:$M$602,"&lt;="&amp;EDATE('자료_거시'!$M45,-12))-1,""),""),"")</f>
        <v/>
      </c>
      <c r="AF63">
        <f>IF(ISNUMBER(AE63),'자료_거시'!$M45,"")</f>
        <v/>
      </c>
      <c r="AG63">
        <f>IF(ISNUMBER(AF63),IF(AF63&gt;$L$9,AE63,""),"")</f>
        <v/>
      </c>
    </row>
    <row r="64">
      <c r="P64">
        <f>IF(AND(ISNUMBER('자료_거시'!$A46),ISNUMBER('자료_거시'!$B46)),'자료_거시'!$B46,"")</f>
        <v/>
      </c>
      <c r="Q64">
        <f>IF(ISNUMBER(P64),'자료_거시'!$A46,"")</f>
        <v/>
      </c>
      <c r="R64">
        <f>IF(ISNUMBER(Q64),IF(Q64&gt;$L$5,P64,""),"")</f>
        <v/>
      </c>
      <c r="S64">
        <f>IF(ISNUMBER('자료_거시'!$E46),'자료_거시'!$E46,S63)</f>
        <v/>
      </c>
      <c r="T64">
        <f>IF(AND(ISNUMBER('자료_거시'!$D46),ISNUMBER('자료_거시'!$E46)),IFERROR('자료_거시'!$E46-INDEX($S$21:$S$4020,MATCH(EDATE('자료_거시'!$D46,-'설정'!$B$17),'자료_거시'!$D$3:INDEX('자료_거시'!$D$3:$D$4002,$K$6),1)),""),"")</f>
        <v/>
      </c>
      <c r="U64">
        <f>IF(ISNUMBER(T64),'자료_거시'!$D46,"")</f>
        <v/>
      </c>
      <c r="V64">
        <f>IF(ISNUMBER(U64),IF(U64&gt;$L$6,T64,""),"")</f>
        <v/>
      </c>
      <c r="W64">
        <f>IF(AND(ISNUMBER('자료_거시'!$G46),ISNUMBER('자료_거시'!$H46)),'자료_거시'!$H46,"")</f>
        <v/>
      </c>
      <c r="X64">
        <f>IF(ISNUMBER(W64),'자료_거시'!$G46,"")</f>
        <v/>
      </c>
      <c r="Y64">
        <f>IF(ISNUMBER(X64),IF(X64&gt;$L$7,W64,""),"")</f>
        <v/>
      </c>
      <c r="Z64">
        <f>IF(ISNUMBER('자료_거시'!$K46),'자료_거시'!$K46,Z63)</f>
        <v/>
      </c>
      <c r="AA64">
        <f>IF(AND(ISNUMBER('자료_거시'!$J46),ISNUMBER('자료_거시'!$K46)),IFERROR('자료_거시'!$K46/INDEX($Z$21:$Z$4020,MATCH(EDATE('자료_거시'!$J46,-'설정'!$B$17),'자료_거시'!$J$3:INDEX('자료_거시'!$J$3:$J$4002,$K$8),1))-1,""),"")</f>
        <v/>
      </c>
      <c r="AB64">
        <f>IF(ISNUMBER(AA64),'자료_거시'!$J46,"")</f>
        <v/>
      </c>
      <c r="AC64">
        <f>IF(ISNUMBER(AB64),IF(AB64&gt;$L$8,AA64,""),"")</f>
        <v/>
      </c>
      <c r="AD64">
        <f>IF(AND(ISNUMBER('자료_거시'!$M46),ISNUMBER('자료_거시'!$N46)),1,0)</f>
        <v/>
      </c>
      <c r="AE64">
        <f>IF(AND(ISNUMBER('자료_거시'!$M46),ISNUMBER('자료_거시'!$N46)),IF(AND(SUMIFS($AD$21:$AD$620,'자료_거시'!$M$3:$M$602,"&gt;"&amp;EDATE('자료_거시'!$M46,-'설정'!$B$17),'자료_거시'!$M$3:$M$602,"&lt;="&amp;'자료_거시'!$M46)=3,SUMIFS($AD$21:$AD$620,'자료_거시'!$M$3:$M$602,"&gt;"&amp;EDATE('자료_거시'!$M46,-12-'설정'!$B$17),'자료_거시'!$M$3:$M$602,"&lt;="&amp;EDATE('자료_거시'!$M46,-12))=3),IFERROR(SUMIFS('자료_거시'!$N$3:$N$602,'자료_거시'!$M$3:$M$602,"&gt;"&amp;EDATE('자료_거시'!$M46,-'설정'!$B$17),'자료_거시'!$M$3:$M$602,"&lt;="&amp;'자료_거시'!$M46)/SUMIFS('자료_거시'!$N$3:$N$602,'자료_거시'!$M$3:$M$602,"&gt;"&amp;EDATE('자료_거시'!$M46,-12-'설정'!$B$17),'자료_거시'!$M$3:$M$602,"&lt;="&amp;EDATE('자료_거시'!$M46,-12))-1,""),""),"")</f>
        <v/>
      </c>
      <c r="AF64">
        <f>IF(ISNUMBER(AE64),'자료_거시'!$M46,"")</f>
        <v/>
      </c>
      <c r="AG64">
        <f>IF(ISNUMBER(AF64),IF(AF64&gt;$L$9,AE64,""),"")</f>
        <v/>
      </c>
    </row>
    <row r="65">
      <c r="P65">
        <f>IF(AND(ISNUMBER('자료_거시'!$A47),ISNUMBER('자료_거시'!$B47)),'자료_거시'!$B47,"")</f>
        <v/>
      </c>
      <c r="Q65">
        <f>IF(ISNUMBER(P65),'자료_거시'!$A47,"")</f>
        <v/>
      </c>
      <c r="R65">
        <f>IF(ISNUMBER(Q65),IF(Q65&gt;$L$5,P65,""),"")</f>
        <v/>
      </c>
      <c r="S65">
        <f>IF(ISNUMBER('자료_거시'!$E47),'자료_거시'!$E47,S64)</f>
        <v/>
      </c>
      <c r="T65">
        <f>IF(AND(ISNUMBER('자료_거시'!$D47),ISNUMBER('자료_거시'!$E47)),IFERROR('자료_거시'!$E47-INDEX($S$21:$S$4020,MATCH(EDATE('자료_거시'!$D47,-'설정'!$B$17),'자료_거시'!$D$3:INDEX('자료_거시'!$D$3:$D$4002,$K$6),1)),""),"")</f>
        <v/>
      </c>
      <c r="U65">
        <f>IF(ISNUMBER(T65),'자료_거시'!$D47,"")</f>
        <v/>
      </c>
      <c r="V65">
        <f>IF(ISNUMBER(U65),IF(U65&gt;$L$6,T65,""),"")</f>
        <v/>
      </c>
      <c r="W65">
        <f>IF(AND(ISNUMBER('자료_거시'!$G47),ISNUMBER('자료_거시'!$H47)),'자료_거시'!$H47,"")</f>
        <v/>
      </c>
      <c r="X65">
        <f>IF(ISNUMBER(W65),'자료_거시'!$G47,"")</f>
        <v/>
      </c>
      <c r="Y65">
        <f>IF(ISNUMBER(X65),IF(X65&gt;$L$7,W65,""),"")</f>
        <v/>
      </c>
      <c r="Z65">
        <f>IF(ISNUMBER('자료_거시'!$K47),'자료_거시'!$K47,Z64)</f>
        <v/>
      </c>
      <c r="AA65">
        <f>IF(AND(ISNUMBER('자료_거시'!$J47),ISNUMBER('자료_거시'!$K47)),IFERROR('자료_거시'!$K47/INDEX($Z$21:$Z$4020,MATCH(EDATE('자료_거시'!$J47,-'설정'!$B$17),'자료_거시'!$J$3:INDEX('자료_거시'!$J$3:$J$4002,$K$8),1))-1,""),"")</f>
        <v/>
      </c>
      <c r="AB65">
        <f>IF(ISNUMBER(AA65),'자료_거시'!$J47,"")</f>
        <v/>
      </c>
      <c r="AC65">
        <f>IF(ISNUMBER(AB65),IF(AB65&gt;$L$8,AA65,""),"")</f>
        <v/>
      </c>
      <c r="AD65">
        <f>IF(AND(ISNUMBER('자료_거시'!$M47),ISNUMBER('자료_거시'!$N47)),1,0)</f>
        <v/>
      </c>
      <c r="AE65">
        <f>IF(AND(ISNUMBER('자료_거시'!$M47),ISNUMBER('자료_거시'!$N47)),IF(AND(SUMIFS($AD$21:$AD$620,'자료_거시'!$M$3:$M$602,"&gt;"&amp;EDATE('자료_거시'!$M47,-'설정'!$B$17),'자료_거시'!$M$3:$M$602,"&lt;="&amp;'자료_거시'!$M47)=3,SUMIFS($AD$21:$AD$620,'자료_거시'!$M$3:$M$602,"&gt;"&amp;EDATE('자료_거시'!$M47,-12-'설정'!$B$17),'자료_거시'!$M$3:$M$602,"&lt;="&amp;EDATE('자료_거시'!$M47,-12))=3),IFERROR(SUMIFS('자료_거시'!$N$3:$N$602,'자료_거시'!$M$3:$M$602,"&gt;"&amp;EDATE('자료_거시'!$M47,-'설정'!$B$17),'자료_거시'!$M$3:$M$602,"&lt;="&amp;'자료_거시'!$M47)/SUMIFS('자료_거시'!$N$3:$N$602,'자료_거시'!$M$3:$M$602,"&gt;"&amp;EDATE('자료_거시'!$M47,-12-'설정'!$B$17),'자료_거시'!$M$3:$M$602,"&lt;="&amp;EDATE('자료_거시'!$M47,-12))-1,""),""),"")</f>
        <v/>
      </c>
      <c r="AF65">
        <f>IF(ISNUMBER(AE65),'자료_거시'!$M47,"")</f>
        <v/>
      </c>
      <c r="AG65">
        <f>IF(ISNUMBER(AF65),IF(AF65&gt;$L$9,AE65,""),"")</f>
        <v/>
      </c>
    </row>
    <row r="66">
      <c r="P66">
        <f>IF(AND(ISNUMBER('자료_거시'!$A48),ISNUMBER('자료_거시'!$B48)),'자료_거시'!$B48,"")</f>
        <v/>
      </c>
      <c r="Q66">
        <f>IF(ISNUMBER(P66),'자료_거시'!$A48,"")</f>
        <v/>
      </c>
      <c r="R66">
        <f>IF(ISNUMBER(Q66),IF(Q66&gt;$L$5,P66,""),"")</f>
        <v/>
      </c>
      <c r="S66">
        <f>IF(ISNUMBER('자료_거시'!$E48),'자료_거시'!$E48,S65)</f>
        <v/>
      </c>
      <c r="T66">
        <f>IF(AND(ISNUMBER('자료_거시'!$D48),ISNUMBER('자료_거시'!$E48)),IFERROR('자료_거시'!$E48-INDEX($S$21:$S$4020,MATCH(EDATE('자료_거시'!$D48,-'설정'!$B$17),'자료_거시'!$D$3:INDEX('자료_거시'!$D$3:$D$4002,$K$6),1)),""),"")</f>
        <v/>
      </c>
      <c r="U66">
        <f>IF(ISNUMBER(T66),'자료_거시'!$D48,"")</f>
        <v/>
      </c>
      <c r="V66">
        <f>IF(ISNUMBER(U66),IF(U66&gt;$L$6,T66,""),"")</f>
        <v/>
      </c>
      <c r="W66">
        <f>IF(AND(ISNUMBER('자료_거시'!$G48),ISNUMBER('자료_거시'!$H48)),'자료_거시'!$H48,"")</f>
        <v/>
      </c>
      <c r="X66">
        <f>IF(ISNUMBER(W66),'자료_거시'!$G48,"")</f>
        <v/>
      </c>
      <c r="Y66">
        <f>IF(ISNUMBER(X66),IF(X66&gt;$L$7,W66,""),"")</f>
        <v/>
      </c>
      <c r="Z66">
        <f>IF(ISNUMBER('자료_거시'!$K48),'자료_거시'!$K48,Z65)</f>
        <v/>
      </c>
      <c r="AA66">
        <f>IF(AND(ISNUMBER('자료_거시'!$J48),ISNUMBER('자료_거시'!$K48)),IFERROR('자료_거시'!$K48/INDEX($Z$21:$Z$4020,MATCH(EDATE('자료_거시'!$J48,-'설정'!$B$17),'자료_거시'!$J$3:INDEX('자료_거시'!$J$3:$J$4002,$K$8),1))-1,""),"")</f>
        <v/>
      </c>
      <c r="AB66">
        <f>IF(ISNUMBER(AA66),'자료_거시'!$J48,"")</f>
        <v/>
      </c>
      <c r="AC66">
        <f>IF(ISNUMBER(AB66),IF(AB66&gt;$L$8,AA66,""),"")</f>
        <v/>
      </c>
      <c r="AD66">
        <f>IF(AND(ISNUMBER('자료_거시'!$M48),ISNUMBER('자료_거시'!$N48)),1,0)</f>
        <v/>
      </c>
      <c r="AE66">
        <f>IF(AND(ISNUMBER('자료_거시'!$M48),ISNUMBER('자료_거시'!$N48)),IF(AND(SUMIFS($AD$21:$AD$620,'자료_거시'!$M$3:$M$602,"&gt;"&amp;EDATE('자료_거시'!$M48,-'설정'!$B$17),'자료_거시'!$M$3:$M$602,"&lt;="&amp;'자료_거시'!$M48)=3,SUMIFS($AD$21:$AD$620,'자료_거시'!$M$3:$M$602,"&gt;"&amp;EDATE('자료_거시'!$M48,-12-'설정'!$B$17),'자료_거시'!$M$3:$M$602,"&lt;="&amp;EDATE('자료_거시'!$M48,-12))=3),IFERROR(SUMIFS('자료_거시'!$N$3:$N$602,'자료_거시'!$M$3:$M$602,"&gt;"&amp;EDATE('자료_거시'!$M48,-'설정'!$B$17),'자료_거시'!$M$3:$M$602,"&lt;="&amp;'자료_거시'!$M48)/SUMIFS('자료_거시'!$N$3:$N$602,'자료_거시'!$M$3:$M$602,"&gt;"&amp;EDATE('자료_거시'!$M48,-12-'설정'!$B$17),'자료_거시'!$M$3:$M$602,"&lt;="&amp;EDATE('자료_거시'!$M48,-12))-1,""),""),"")</f>
        <v/>
      </c>
      <c r="AF66">
        <f>IF(ISNUMBER(AE66),'자료_거시'!$M48,"")</f>
        <v/>
      </c>
      <c r="AG66">
        <f>IF(ISNUMBER(AF66),IF(AF66&gt;$L$9,AE66,""),"")</f>
        <v/>
      </c>
    </row>
    <row r="67">
      <c r="P67">
        <f>IF(AND(ISNUMBER('자료_거시'!$A49),ISNUMBER('자료_거시'!$B49)),'자료_거시'!$B49,"")</f>
        <v/>
      </c>
      <c r="Q67">
        <f>IF(ISNUMBER(P67),'자료_거시'!$A49,"")</f>
        <v/>
      </c>
      <c r="R67">
        <f>IF(ISNUMBER(Q67),IF(Q67&gt;$L$5,P67,""),"")</f>
        <v/>
      </c>
      <c r="S67">
        <f>IF(ISNUMBER('자료_거시'!$E49),'자료_거시'!$E49,S66)</f>
        <v/>
      </c>
      <c r="T67">
        <f>IF(AND(ISNUMBER('자료_거시'!$D49),ISNUMBER('자료_거시'!$E49)),IFERROR('자료_거시'!$E49-INDEX($S$21:$S$4020,MATCH(EDATE('자료_거시'!$D49,-'설정'!$B$17),'자료_거시'!$D$3:INDEX('자료_거시'!$D$3:$D$4002,$K$6),1)),""),"")</f>
        <v/>
      </c>
      <c r="U67">
        <f>IF(ISNUMBER(T67),'자료_거시'!$D49,"")</f>
        <v/>
      </c>
      <c r="V67">
        <f>IF(ISNUMBER(U67),IF(U67&gt;$L$6,T67,""),"")</f>
        <v/>
      </c>
      <c r="W67">
        <f>IF(AND(ISNUMBER('자료_거시'!$G49),ISNUMBER('자료_거시'!$H49)),'자료_거시'!$H49,"")</f>
        <v/>
      </c>
      <c r="X67">
        <f>IF(ISNUMBER(W67),'자료_거시'!$G49,"")</f>
        <v/>
      </c>
      <c r="Y67">
        <f>IF(ISNUMBER(X67),IF(X67&gt;$L$7,W67,""),"")</f>
        <v/>
      </c>
      <c r="Z67">
        <f>IF(ISNUMBER('자료_거시'!$K49),'자료_거시'!$K49,Z66)</f>
        <v/>
      </c>
      <c r="AA67">
        <f>IF(AND(ISNUMBER('자료_거시'!$J49),ISNUMBER('자료_거시'!$K49)),IFERROR('자료_거시'!$K49/INDEX($Z$21:$Z$4020,MATCH(EDATE('자료_거시'!$J49,-'설정'!$B$17),'자료_거시'!$J$3:INDEX('자료_거시'!$J$3:$J$4002,$K$8),1))-1,""),"")</f>
        <v/>
      </c>
      <c r="AB67">
        <f>IF(ISNUMBER(AA67),'자료_거시'!$J49,"")</f>
        <v/>
      </c>
      <c r="AC67">
        <f>IF(ISNUMBER(AB67),IF(AB67&gt;$L$8,AA67,""),"")</f>
        <v/>
      </c>
      <c r="AD67">
        <f>IF(AND(ISNUMBER('자료_거시'!$M49),ISNUMBER('자료_거시'!$N49)),1,0)</f>
        <v/>
      </c>
      <c r="AE67">
        <f>IF(AND(ISNUMBER('자료_거시'!$M49),ISNUMBER('자료_거시'!$N49)),IF(AND(SUMIFS($AD$21:$AD$620,'자료_거시'!$M$3:$M$602,"&gt;"&amp;EDATE('자료_거시'!$M49,-'설정'!$B$17),'자료_거시'!$M$3:$M$602,"&lt;="&amp;'자료_거시'!$M49)=3,SUMIFS($AD$21:$AD$620,'자료_거시'!$M$3:$M$602,"&gt;"&amp;EDATE('자료_거시'!$M49,-12-'설정'!$B$17),'자료_거시'!$M$3:$M$602,"&lt;="&amp;EDATE('자료_거시'!$M49,-12))=3),IFERROR(SUMIFS('자료_거시'!$N$3:$N$602,'자료_거시'!$M$3:$M$602,"&gt;"&amp;EDATE('자료_거시'!$M49,-'설정'!$B$17),'자료_거시'!$M$3:$M$602,"&lt;="&amp;'자료_거시'!$M49)/SUMIFS('자료_거시'!$N$3:$N$602,'자료_거시'!$M$3:$M$602,"&gt;"&amp;EDATE('자료_거시'!$M49,-12-'설정'!$B$17),'자료_거시'!$M$3:$M$602,"&lt;="&amp;EDATE('자료_거시'!$M49,-12))-1,""),""),"")</f>
        <v/>
      </c>
      <c r="AF67">
        <f>IF(ISNUMBER(AE67),'자료_거시'!$M49,"")</f>
        <v/>
      </c>
      <c r="AG67">
        <f>IF(ISNUMBER(AF67),IF(AF67&gt;$L$9,AE67,""),"")</f>
        <v/>
      </c>
    </row>
    <row r="68">
      <c r="P68">
        <f>IF(AND(ISNUMBER('자료_거시'!$A50),ISNUMBER('자료_거시'!$B50)),'자료_거시'!$B50,"")</f>
        <v/>
      </c>
      <c r="Q68">
        <f>IF(ISNUMBER(P68),'자료_거시'!$A50,"")</f>
        <v/>
      </c>
      <c r="R68">
        <f>IF(ISNUMBER(Q68),IF(Q68&gt;$L$5,P68,""),"")</f>
        <v/>
      </c>
      <c r="S68">
        <f>IF(ISNUMBER('자료_거시'!$E50),'자료_거시'!$E50,S67)</f>
        <v/>
      </c>
      <c r="T68">
        <f>IF(AND(ISNUMBER('자료_거시'!$D50),ISNUMBER('자료_거시'!$E50)),IFERROR('자료_거시'!$E50-INDEX($S$21:$S$4020,MATCH(EDATE('자료_거시'!$D50,-'설정'!$B$17),'자료_거시'!$D$3:INDEX('자료_거시'!$D$3:$D$4002,$K$6),1)),""),"")</f>
        <v/>
      </c>
      <c r="U68">
        <f>IF(ISNUMBER(T68),'자료_거시'!$D50,"")</f>
        <v/>
      </c>
      <c r="V68">
        <f>IF(ISNUMBER(U68),IF(U68&gt;$L$6,T68,""),"")</f>
        <v/>
      </c>
      <c r="W68">
        <f>IF(AND(ISNUMBER('자료_거시'!$G50),ISNUMBER('자료_거시'!$H50)),'자료_거시'!$H50,"")</f>
        <v/>
      </c>
      <c r="X68">
        <f>IF(ISNUMBER(W68),'자료_거시'!$G50,"")</f>
        <v/>
      </c>
      <c r="Y68">
        <f>IF(ISNUMBER(X68),IF(X68&gt;$L$7,W68,""),"")</f>
        <v/>
      </c>
      <c r="Z68">
        <f>IF(ISNUMBER('자료_거시'!$K50),'자료_거시'!$K50,Z67)</f>
        <v/>
      </c>
      <c r="AA68">
        <f>IF(AND(ISNUMBER('자료_거시'!$J50),ISNUMBER('자료_거시'!$K50)),IFERROR('자료_거시'!$K50/INDEX($Z$21:$Z$4020,MATCH(EDATE('자료_거시'!$J50,-'설정'!$B$17),'자료_거시'!$J$3:INDEX('자료_거시'!$J$3:$J$4002,$K$8),1))-1,""),"")</f>
        <v/>
      </c>
      <c r="AB68">
        <f>IF(ISNUMBER(AA68),'자료_거시'!$J50,"")</f>
        <v/>
      </c>
      <c r="AC68">
        <f>IF(ISNUMBER(AB68),IF(AB68&gt;$L$8,AA68,""),"")</f>
        <v/>
      </c>
      <c r="AD68">
        <f>IF(AND(ISNUMBER('자료_거시'!$M50),ISNUMBER('자료_거시'!$N50)),1,0)</f>
        <v/>
      </c>
      <c r="AE68">
        <f>IF(AND(ISNUMBER('자료_거시'!$M50),ISNUMBER('자료_거시'!$N50)),IF(AND(SUMIFS($AD$21:$AD$620,'자료_거시'!$M$3:$M$602,"&gt;"&amp;EDATE('자료_거시'!$M50,-'설정'!$B$17),'자료_거시'!$M$3:$M$602,"&lt;="&amp;'자료_거시'!$M50)=3,SUMIFS($AD$21:$AD$620,'자료_거시'!$M$3:$M$602,"&gt;"&amp;EDATE('자료_거시'!$M50,-12-'설정'!$B$17),'자료_거시'!$M$3:$M$602,"&lt;="&amp;EDATE('자료_거시'!$M50,-12))=3),IFERROR(SUMIFS('자료_거시'!$N$3:$N$602,'자료_거시'!$M$3:$M$602,"&gt;"&amp;EDATE('자료_거시'!$M50,-'설정'!$B$17),'자료_거시'!$M$3:$M$602,"&lt;="&amp;'자료_거시'!$M50)/SUMIFS('자료_거시'!$N$3:$N$602,'자료_거시'!$M$3:$M$602,"&gt;"&amp;EDATE('자료_거시'!$M50,-12-'설정'!$B$17),'자료_거시'!$M$3:$M$602,"&lt;="&amp;EDATE('자료_거시'!$M50,-12))-1,""),""),"")</f>
        <v/>
      </c>
      <c r="AF68">
        <f>IF(ISNUMBER(AE68),'자료_거시'!$M50,"")</f>
        <v/>
      </c>
      <c r="AG68">
        <f>IF(ISNUMBER(AF68),IF(AF68&gt;$L$9,AE68,""),"")</f>
        <v/>
      </c>
    </row>
    <row r="69">
      <c r="P69">
        <f>IF(AND(ISNUMBER('자료_거시'!$A51),ISNUMBER('자료_거시'!$B51)),'자료_거시'!$B51,"")</f>
        <v/>
      </c>
      <c r="Q69">
        <f>IF(ISNUMBER(P69),'자료_거시'!$A51,"")</f>
        <v/>
      </c>
      <c r="R69">
        <f>IF(ISNUMBER(Q69),IF(Q69&gt;$L$5,P69,""),"")</f>
        <v/>
      </c>
      <c r="S69">
        <f>IF(ISNUMBER('자료_거시'!$E51),'자료_거시'!$E51,S68)</f>
        <v/>
      </c>
      <c r="T69">
        <f>IF(AND(ISNUMBER('자료_거시'!$D51),ISNUMBER('자료_거시'!$E51)),IFERROR('자료_거시'!$E51-INDEX($S$21:$S$4020,MATCH(EDATE('자료_거시'!$D51,-'설정'!$B$17),'자료_거시'!$D$3:INDEX('자료_거시'!$D$3:$D$4002,$K$6),1)),""),"")</f>
        <v/>
      </c>
      <c r="U69">
        <f>IF(ISNUMBER(T69),'자료_거시'!$D51,"")</f>
        <v/>
      </c>
      <c r="V69">
        <f>IF(ISNUMBER(U69),IF(U69&gt;$L$6,T69,""),"")</f>
        <v/>
      </c>
      <c r="W69">
        <f>IF(AND(ISNUMBER('자료_거시'!$G51),ISNUMBER('자료_거시'!$H51)),'자료_거시'!$H51,"")</f>
        <v/>
      </c>
      <c r="X69">
        <f>IF(ISNUMBER(W69),'자료_거시'!$G51,"")</f>
        <v/>
      </c>
      <c r="Y69">
        <f>IF(ISNUMBER(X69),IF(X69&gt;$L$7,W69,""),"")</f>
        <v/>
      </c>
      <c r="Z69">
        <f>IF(ISNUMBER('자료_거시'!$K51),'자료_거시'!$K51,Z68)</f>
        <v/>
      </c>
      <c r="AA69">
        <f>IF(AND(ISNUMBER('자료_거시'!$J51),ISNUMBER('자료_거시'!$K51)),IFERROR('자료_거시'!$K51/INDEX($Z$21:$Z$4020,MATCH(EDATE('자료_거시'!$J51,-'설정'!$B$17),'자료_거시'!$J$3:INDEX('자료_거시'!$J$3:$J$4002,$K$8),1))-1,""),"")</f>
        <v/>
      </c>
      <c r="AB69">
        <f>IF(ISNUMBER(AA69),'자료_거시'!$J51,"")</f>
        <v/>
      </c>
      <c r="AC69">
        <f>IF(ISNUMBER(AB69),IF(AB69&gt;$L$8,AA69,""),"")</f>
        <v/>
      </c>
      <c r="AD69">
        <f>IF(AND(ISNUMBER('자료_거시'!$M51),ISNUMBER('자료_거시'!$N51)),1,0)</f>
        <v/>
      </c>
      <c r="AE69">
        <f>IF(AND(ISNUMBER('자료_거시'!$M51),ISNUMBER('자료_거시'!$N51)),IF(AND(SUMIFS($AD$21:$AD$620,'자료_거시'!$M$3:$M$602,"&gt;"&amp;EDATE('자료_거시'!$M51,-'설정'!$B$17),'자료_거시'!$M$3:$M$602,"&lt;="&amp;'자료_거시'!$M51)=3,SUMIFS($AD$21:$AD$620,'자료_거시'!$M$3:$M$602,"&gt;"&amp;EDATE('자료_거시'!$M51,-12-'설정'!$B$17),'자료_거시'!$M$3:$M$602,"&lt;="&amp;EDATE('자료_거시'!$M51,-12))=3),IFERROR(SUMIFS('자료_거시'!$N$3:$N$602,'자료_거시'!$M$3:$M$602,"&gt;"&amp;EDATE('자료_거시'!$M51,-'설정'!$B$17),'자료_거시'!$M$3:$M$602,"&lt;="&amp;'자료_거시'!$M51)/SUMIFS('자료_거시'!$N$3:$N$602,'자료_거시'!$M$3:$M$602,"&gt;"&amp;EDATE('자료_거시'!$M51,-12-'설정'!$B$17),'자료_거시'!$M$3:$M$602,"&lt;="&amp;EDATE('자료_거시'!$M51,-12))-1,""),""),"")</f>
        <v/>
      </c>
      <c r="AF69">
        <f>IF(ISNUMBER(AE69),'자료_거시'!$M51,"")</f>
        <v/>
      </c>
      <c r="AG69">
        <f>IF(ISNUMBER(AF69),IF(AF69&gt;$L$9,AE69,""),"")</f>
        <v/>
      </c>
    </row>
    <row r="70">
      <c r="P70">
        <f>IF(AND(ISNUMBER('자료_거시'!$A52),ISNUMBER('자료_거시'!$B52)),'자료_거시'!$B52,"")</f>
        <v/>
      </c>
      <c r="Q70">
        <f>IF(ISNUMBER(P70),'자료_거시'!$A52,"")</f>
        <v/>
      </c>
      <c r="R70">
        <f>IF(ISNUMBER(Q70),IF(Q70&gt;$L$5,P70,""),"")</f>
        <v/>
      </c>
      <c r="S70">
        <f>IF(ISNUMBER('자료_거시'!$E52),'자료_거시'!$E52,S69)</f>
        <v/>
      </c>
      <c r="T70">
        <f>IF(AND(ISNUMBER('자료_거시'!$D52),ISNUMBER('자료_거시'!$E52)),IFERROR('자료_거시'!$E52-INDEX($S$21:$S$4020,MATCH(EDATE('자료_거시'!$D52,-'설정'!$B$17),'자료_거시'!$D$3:INDEX('자료_거시'!$D$3:$D$4002,$K$6),1)),""),"")</f>
        <v/>
      </c>
      <c r="U70">
        <f>IF(ISNUMBER(T70),'자료_거시'!$D52,"")</f>
        <v/>
      </c>
      <c r="V70">
        <f>IF(ISNUMBER(U70),IF(U70&gt;$L$6,T70,""),"")</f>
        <v/>
      </c>
      <c r="W70">
        <f>IF(AND(ISNUMBER('자료_거시'!$G52),ISNUMBER('자료_거시'!$H52)),'자료_거시'!$H52,"")</f>
        <v/>
      </c>
      <c r="X70">
        <f>IF(ISNUMBER(W70),'자료_거시'!$G52,"")</f>
        <v/>
      </c>
      <c r="Y70">
        <f>IF(ISNUMBER(X70),IF(X70&gt;$L$7,W70,""),"")</f>
        <v/>
      </c>
      <c r="Z70">
        <f>IF(ISNUMBER('자료_거시'!$K52),'자료_거시'!$K52,Z69)</f>
        <v/>
      </c>
      <c r="AA70">
        <f>IF(AND(ISNUMBER('자료_거시'!$J52),ISNUMBER('자료_거시'!$K52)),IFERROR('자료_거시'!$K52/INDEX($Z$21:$Z$4020,MATCH(EDATE('자료_거시'!$J52,-'설정'!$B$17),'자료_거시'!$J$3:INDEX('자료_거시'!$J$3:$J$4002,$K$8),1))-1,""),"")</f>
        <v/>
      </c>
      <c r="AB70">
        <f>IF(ISNUMBER(AA70),'자료_거시'!$J52,"")</f>
        <v/>
      </c>
      <c r="AC70">
        <f>IF(ISNUMBER(AB70),IF(AB70&gt;$L$8,AA70,""),"")</f>
        <v/>
      </c>
      <c r="AD70">
        <f>IF(AND(ISNUMBER('자료_거시'!$M52),ISNUMBER('자료_거시'!$N52)),1,0)</f>
        <v/>
      </c>
      <c r="AE70">
        <f>IF(AND(ISNUMBER('자료_거시'!$M52),ISNUMBER('자료_거시'!$N52)),IF(AND(SUMIFS($AD$21:$AD$620,'자료_거시'!$M$3:$M$602,"&gt;"&amp;EDATE('자료_거시'!$M52,-'설정'!$B$17),'자료_거시'!$M$3:$M$602,"&lt;="&amp;'자료_거시'!$M52)=3,SUMIFS($AD$21:$AD$620,'자료_거시'!$M$3:$M$602,"&gt;"&amp;EDATE('자료_거시'!$M52,-12-'설정'!$B$17),'자료_거시'!$M$3:$M$602,"&lt;="&amp;EDATE('자료_거시'!$M52,-12))=3),IFERROR(SUMIFS('자료_거시'!$N$3:$N$602,'자료_거시'!$M$3:$M$602,"&gt;"&amp;EDATE('자료_거시'!$M52,-'설정'!$B$17),'자료_거시'!$M$3:$M$602,"&lt;="&amp;'자료_거시'!$M52)/SUMIFS('자료_거시'!$N$3:$N$602,'자료_거시'!$M$3:$M$602,"&gt;"&amp;EDATE('자료_거시'!$M52,-12-'설정'!$B$17),'자료_거시'!$M$3:$M$602,"&lt;="&amp;EDATE('자료_거시'!$M52,-12))-1,""),""),"")</f>
        <v/>
      </c>
      <c r="AF70">
        <f>IF(ISNUMBER(AE70),'자료_거시'!$M52,"")</f>
        <v/>
      </c>
      <c r="AG70">
        <f>IF(ISNUMBER(AF70),IF(AF70&gt;$L$9,AE70,""),"")</f>
        <v/>
      </c>
    </row>
    <row r="71">
      <c r="P71">
        <f>IF(AND(ISNUMBER('자료_거시'!$A53),ISNUMBER('자료_거시'!$B53)),'자료_거시'!$B53,"")</f>
        <v/>
      </c>
      <c r="Q71">
        <f>IF(ISNUMBER(P71),'자료_거시'!$A53,"")</f>
        <v/>
      </c>
      <c r="R71">
        <f>IF(ISNUMBER(Q71),IF(Q71&gt;$L$5,P71,""),"")</f>
        <v/>
      </c>
      <c r="S71">
        <f>IF(ISNUMBER('자료_거시'!$E53),'자료_거시'!$E53,S70)</f>
        <v/>
      </c>
      <c r="T71">
        <f>IF(AND(ISNUMBER('자료_거시'!$D53),ISNUMBER('자료_거시'!$E53)),IFERROR('자료_거시'!$E53-INDEX($S$21:$S$4020,MATCH(EDATE('자료_거시'!$D53,-'설정'!$B$17),'자료_거시'!$D$3:INDEX('자료_거시'!$D$3:$D$4002,$K$6),1)),""),"")</f>
        <v/>
      </c>
      <c r="U71">
        <f>IF(ISNUMBER(T71),'자료_거시'!$D53,"")</f>
        <v/>
      </c>
      <c r="V71">
        <f>IF(ISNUMBER(U71),IF(U71&gt;$L$6,T71,""),"")</f>
        <v/>
      </c>
      <c r="W71">
        <f>IF(AND(ISNUMBER('자료_거시'!$G53),ISNUMBER('자료_거시'!$H53)),'자료_거시'!$H53,"")</f>
        <v/>
      </c>
      <c r="X71">
        <f>IF(ISNUMBER(W71),'자료_거시'!$G53,"")</f>
        <v/>
      </c>
      <c r="Y71">
        <f>IF(ISNUMBER(X71),IF(X71&gt;$L$7,W71,""),"")</f>
        <v/>
      </c>
      <c r="Z71">
        <f>IF(ISNUMBER('자료_거시'!$K53),'자료_거시'!$K53,Z70)</f>
        <v/>
      </c>
      <c r="AA71">
        <f>IF(AND(ISNUMBER('자료_거시'!$J53),ISNUMBER('자료_거시'!$K53)),IFERROR('자료_거시'!$K53/INDEX($Z$21:$Z$4020,MATCH(EDATE('자료_거시'!$J53,-'설정'!$B$17),'자료_거시'!$J$3:INDEX('자료_거시'!$J$3:$J$4002,$K$8),1))-1,""),"")</f>
        <v/>
      </c>
      <c r="AB71">
        <f>IF(ISNUMBER(AA71),'자료_거시'!$J53,"")</f>
        <v/>
      </c>
      <c r="AC71">
        <f>IF(ISNUMBER(AB71),IF(AB71&gt;$L$8,AA71,""),"")</f>
        <v/>
      </c>
      <c r="AD71">
        <f>IF(AND(ISNUMBER('자료_거시'!$M53),ISNUMBER('자료_거시'!$N53)),1,0)</f>
        <v/>
      </c>
      <c r="AE71">
        <f>IF(AND(ISNUMBER('자료_거시'!$M53),ISNUMBER('자료_거시'!$N53)),IF(AND(SUMIFS($AD$21:$AD$620,'자료_거시'!$M$3:$M$602,"&gt;"&amp;EDATE('자료_거시'!$M53,-'설정'!$B$17),'자료_거시'!$M$3:$M$602,"&lt;="&amp;'자료_거시'!$M53)=3,SUMIFS($AD$21:$AD$620,'자료_거시'!$M$3:$M$602,"&gt;"&amp;EDATE('자료_거시'!$M53,-12-'설정'!$B$17),'자료_거시'!$M$3:$M$602,"&lt;="&amp;EDATE('자료_거시'!$M53,-12))=3),IFERROR(SUMIFS('자료_거시'!$N$3:$N$602,'자료_거시'!$M$3:$M$602,"&gt;"&amp;EDATE('자료_거시'!$M53,-'설정'!$B$17),'자료_거시'!$M$3:$M$602,"&lt;="&amp;'자료_거시'!$M53)/SUMIFS('자료_거시'!$N$3:$N$602,'자료_거시'!$M$3:$M$602,"&gt;"&amp;EDATE('자료_거시'!$M53,-12-'설정'!$B$17),'자료_거시'!$M$3:$M$602,"&lt;="&amp;EDATE('자료_거시'!$M53,-12))-1,""),""),"")</f>
        <v/>
      </c>
      <c r="AF71">
        <f>IF(ISNUMBER(AE71),'자료_거시'!$M53,"")</f>
        <v/>
      </c>
      <c r="AG71">
        <f>IF(ISNUMBER(AF71),IF(AF71&gt;$L$9,AE71,""),"")</f>
        <v/>
      </c>
    </row>
    <row r="72">
      <c r="P72">
        <f>IF(AND(ISNUMBER('자료_거시'!$A54),ISNUMBER('자료_거시'!$B54)),'자료_거시'!$B54,"")</f>
        <v/>
      </c>
      <c r="Q72">
        <f>IF(ISNUMBER(P72),'자료_거시'!$A54,"")</f>
        <v/>
      </c>
      <c r="R72">
        <f>IF(ISNUMBER(Q72),IF(Q72&gt;$L$5,P72,""),"")</f>
        <v/>
      </c>
      <c r="S72">
        <f>IF(ISNUMBER('자료_거시'!$E54),'자료_거시'!$E54,S71)</f>
        <v/>
      </c>
      <c r="T72">
        <f>IF(AND(ISNUMBER('자료_거시'!$D54),ISNUMBER('자료_거시'!$E54)),IFERROR('자료_거시'!$E54-INDEX($S$21:$S$4020,MATCH(EDATE('자료_거시'!$D54,-'설정'!$B$17),'자료_거시'!$D$3:INDEX('자료_거시'!$D$3:$D$4002,$K$6),1)),""),"")</f>
        <v/>
      </c>
      <c r="U72">
        <f>IF(ISNUMBER(T72),'자료_거시'!$D54,"")</f>
        <v/>
      </c>
      <c r="V72">
        <f>IF(ISNUMBER(U72),IF(U72&gt;$L$6,T72,""),"")</f>
        <v/>
      </c>
      <c r="W72">
        <f>IF(AND(ISNUMBER('자료_거시'!$G54),ISNUMBER('자료_거시'!$H54)),'자료_거시'!$H54,"")</f>
        <v/>
      </c>
      <c r="X72">
        <f>IF(ISNUMBER(W72),'자료_거시'!$G54,"")</f>
        <v/>
      </c>
      <c r="Y72">
        <f>IF(ISNUMBER(X72),IF(X72&gt;$L$7,W72,""),"")</f>
        <v/>
      </c>
      <c r="Z72">
        <f>IF(ISNUMBER('자료_거시'!$K54),'자료_거시'!$K54,Z71)</f>
        <v/>
      </c>
      <c r="AA72">
        <f>IF(AND(ISNUMBER('자료_거시'!$J54),ISNUMBER('자료_거시'!$K54)),IFERROR('자료_거시'!$K54/INDEX($Z$21:$Z$4020,MATCH(EDATE('자료_거시'!$J54,-'설정'!$B$17),'자료_거시'!$J$3:INDEX('자료_거시'!$J$3:$J$4002,$K$8),1))-1,""),"")</f>
        <v/>
      </c>
      <c r="AB72">
        <f>IF(ISNUMBER(AA72),'자료_거시'!$J54,"")</f>
        <v/>
      </c>
      <c r="AC72">
        <f>IF(ISNUMBER(AB72),IF(AB72&gt;$L$8,AA72,""),"")</f>
        <v/>
      </c>
      <c r="AD72">
        <f>IF(AND(ISNUMBER('자료_거시'!$M54),ISNUMBER('자료_거시'!$N54)),1,0)</f>
        <v/>
      </c>
      <c r="AE72">
        <f>IF(AND(ISNUMBER('자료_거시'!$M54),ISNUMBER('자료_거시'!$N54)),IF(AND(SUMIFS($AD$21:$AD$620,'자료_거시'!$M$3:$M$602,"&gt;"&amp;EDATE('자료_거시'!$M54,-'설정'!$B$17),'자료_거시'!$M$3:$M$602,"&lt;="&amp;'자료_거시'!$M54)=3,SUMIFS($AD$21:$AD$620,'자료_거시'!$M$3:$M$602,"&gt;"&amp;EDATE('자료_거시'!$M54,-12-'설정'!$B$17),'자료_거시'!$M$3:$M$602,"&lt;="&amp;EDATE('자료_거시'!$M54,-12))=3),IFERROR(SUMIFS('자료_거시'!$N$3:$N$602,'자료_거시'!$M$3:$M$602,"&gt;"&amp;EDATE('자료_거시'!$M54,-'설정'!$B$17),'자료_거시'!$M$3:$M$602,"&lt;="&amp;'자료_거시'!$M54)/SUMIFS('자료_거시'!$N$3:$N$602,'자료_거시'!$M$3:$M$602,"&gt;"&amp;EDATE('자료_거시'!$M54,-12-'설정'!$B$17),'자료_거시'!$M$3:$M$602,"&lt;="&amp;EDATE('자료_거시'!$M54,-12))-1,""),""),"")</f>
        <v/>
      </c>
      <c r="AF72">
        <f>IF(ISNUMBER(AE72),'자료_거시'!$M54,"")</f>
        <v/>
      </c>
      <c r="AG72">
        <f>IF(ISNUMBER(AF72),IF(AF72&gt;$L$9,AE72,""),"")</f>
        <v/>
      </c>
    </row>
    <row r="73">
      <c r="P73">
        <f>IF(AND(ISNUMBER('자료_거시'!$A55),ISNUMBER('자료_거시'!$B55)),'자료_거시'!$B55,"")</f>
        <v/>
      </c>
      <c r="Q73">
        <f>IF(ISNUMBER(P73),'자료_거시'!$A55,"")</f>
        <v/>
      </c>
      <c r="R73">
        <f>IF(ISNUMBER(Q73),IF(Q73&gt;$L$5,P73,""),"")</f>
        <v/>
      </c>
      <c r="S73">
        <f>IF(ISNUMBER('자료_거시'!$E55),'자료_거시'!$E55,S72)</f>
        <v/>
      </c>
      <c r="T73">
        <f>IF(AND(ISNUMBER('자료_거시'!$D55),ISNUMBER('자료_거시'!$E55)),IFERROR('자료_거시'!$E55-INDEX($S$21:$S$4020,MATCH(EDATE('자료_거시'!$D55,-'설정'!$B$17),'자료_거시'!$D$3:INDEX('자료_거시'!$D$3:$D$4002,$K$6),1)),""),"")</f>
        <v/>
      </c>
      <c r="U73">
        <f>IF(ISNUMBER(T73),'자료_거시'!$D55,"")</f>
        <v/>
      </c>
      <c r="V73">
        <f>IF(ISNUMBER(U73),IF(U73&gt;$L$6,T73,""),"")</f>
        <v/>
      </c>
      <c r="W73">
        <f>IF(AND(ISNUMBER('자료_거시'!$G55),ISNUMBER('자료_거시'!$H55)),'자료_거시'!$H55,"")</f>
        <v/>
      </c>
      <c r="X73">
        <f>IF(ISNUMBER(W73),'자료_거시'!$G55,"")</f>
        <v/>
      </c>
      <c r="Y73">
        <f>IF(ISNUMBER(X73),IF(X73&gt;$L$7,W73,""),"")</f>
        <v/>
      </c>
      <c r="Z73">
        <f>IF(ISNUMBER('자료_거시'!$K55),'자료_거시'!$K55,Z72)</f>
        <v/>
      </c>
      <c r="AA73">
        <f>IF(AND(ISNUMBER('자료_거시'!$J55),ISNUMBER('자료_거시'!$K55)),IFERROR('자료_거시'!$K55/INDEX($Z$21:$Z$4020,MATCH(EDATE('자료_거시'!$J55,-'설정'!$B$17),'자료_거시'!$J$3:INDEX('자료_거시'!$J$3:$J$4002,$K$8),1))-1,""),"")</f>
        <v/>
      </c>
      <c r="AB73">
        <f>IF(ISNUMBER(AA73),'자료_거시'!$J55,"")</f>
        <v/>
      </c>
      <c r="AC73">
        <f>IF(ISNUMBER(AB73),IF(AB73&gt;$L$8,AA73,""),"")</f>
        <v/>
      </c>
      <c r="AD73">
        <f>IF(AND(ISNUMBER('자료_거시'!$M55),ISNUMBER('자료_거시'!$N55)),1,0)</f>
        <v/>
      </c>
      <c r="AE73">
        <f>IF(AND(ISNUMBER('자료_거시'!$M55),ISNUMBER('자료_거시'!$N55)),IF(AND(SUMIFS($AD$21:$AD$620,'자료_거시'!$M$3:$M$602,"&gt;"&amp;EDATE('자료_거시'!$M55,-'설정'!$B$17),'자료_거시'!$M$3:$M$602,"&lt;="&amp;'자료_거시'!$M55)=3,SUMIFS($AD$21:$AD$620,'자료_거시'!$M$3:$M$602,"&gt;"&amp;EDATE('자료_거시'!$M55,-12-'설정'!$B$17),'자료_거시'!$M$3:$M$602,"&lt;="&amp;EDATE('자료_거시'!$M55,-12))=3),IFERROR(SUMIFS('자료_거시'!$N$3:$N$602,'자료_거시'!$M$3:$M$602,"&gt;"&amp;EDATE('자료_거시'!$M55,-'설정'!$B$17),'자료_거시'!$M$3:$M$602,"&lt;="&amp;'자료_거시'!$M55)/SUMIFS('자료_거시'!$N$3:$N$602,'자료_거시'!$M$3:$M$602,"&gt;"&amp;EDATE('자료_거시'!$M55,-12-'설정'!$B$17),'자료_거시'!$M$3:$M$602,"&lt;="&amp;EDATE('자료_거시'!$M55,-12))-1,""),""),"")</f>
        <v/>
      </c>
      <c r="AF73">
        <f>IF(ISNUMBER(AE73),'자료_거시'!$M55,"")</f>
        <v/>
      </c>
      <c r="AG73">
        <f>IF(ISNUMBER(AF73),IF(AF73&gt;$L$9,AE73,""),"")</f>
        <v/>
      </c>
    </row>
    <row r="74">
      <c r="P74">
        <f>IF(AND(ISNUMBER('자료_거시'!$A56),ISNUMBER('자료_거시'!$B56)),'자료_거시'!$B56,"")</f>
        <v/>
      </c>
      <c r="Q74">
        <f>IF(ISNUMBER(P74),'자료_거시'!$A56,"")</f>
        <v/>
      </c>
      <c r="R74">
        <f>IF(ISNUMBER(Q74),IF(Q74&gt;$L$5,P74,""),"")</f>
        <v/>
      </c>
      <c r="S74">
        <f>IF(ISNUMBER('자료_거시'!$E56),'자료_거시'!$E56,S73)</f>
        <v/>
      </c>
      <c r="T74">
        <f>IF(AND(ISNUMBER('자료_거시'!$D56),ISNUMBER('자료_거시'!$E56)),IFERROR('자료_거시'!$E56-INDEX($S$21:$S$4020,MATCH(EDATE('자료_거시'!$D56,-'설정'!$B$17),'자료_거시'!$D$3:INDEX('자료_거시'!$D$3:$D$4002,$K$6),1)),""),"")</f>
        <v/>
      </c>
      <c r="U74">
        <f>IF(ISNUMBER(T74),'자료_거시'!$D56,"")</f>
        <v/>
      </c>
      <c r="V74">
        <f>IF(ISNUMBER(U74),IF(U74&gt;$L$6,T74,""),"")</f>
        <v/>
      </c>
      <c r="W74">
        <f>IF(AND(ISNUMBER('자료_거시'!$G56),ISNUMBER('자료_거시'!$H56)),'자료_거시'!$H56,"")</f>
        <v/>
      </c>
      <c r="X74">
        <f>IF(ISNUMBER(W74),'자료_거시'!$G56,"")</f>
        <v/>
      </c>
      <c r="Y74">
        <f>IF(ISNUMBER(X74),IF(X74&gt;$L$7,W74,""),"")</f>
        <v/>
      </c>
      <c r="Z74">
        <f>IF(ISNUMBER('자료_거시'!$K56),'자료_거시'!$K56,Z73)</f>
        <v/>
      </c>
      <c r="AA74">
        <f>IF(AND(ISNUMBER('자료_거시'!$J56),ISNUMBER('자료_거시'!$K56)),IFERROR('자료_거시'!$K56/INDEX($Z$21:$Z$4020,MATCH(EDATE('자료_거시'!$J56,-'설정'!$B$17),'자료_거시'!$J$3:INDEX('자료_거시'!$J$3:$J$4002,$K$8),1))-1,""),"")</f>
        <v/>
      </c>
      <c r="AB74">
        <f>IF(ISNUMBER(AA74),'자료_거시'!$J56,"")</f>
        <v/>
      </c>
      <c r="AC74">
        <f>IF(ISNUMBER(AB74),IF(AB74&gt;$L$8,AA74,""),"")</f>
        <v/>
      </c>
      <c r="AD74">
        <f>IF(AND(ISNUMBER('자료_거시'!$M56),ISNUMBER('자료_거시'!$N56)),1,0)</f>
        <v/>
      </c>
      <c r="AE74">
        <f>IF(AND(ISNUMBER('자료_거시'!$M56),ISNUMBER('자료_거시'!$N56)),IF(AND(SUMIFS($AD$21:$AD$620,'자료_거시'!$M$3:$M$602,"&gt;"&amp;EDATE('자료_거시'!$M56,-'설정'!$B$17),'자료_거시'!$M$3:$M$602,"&lt;="&amp;'자료_거시'!$M56)=3,SUMIFS($AD$21:$AD$620,'자료_거시'!$M$3:$M$602,"&gt;"&amp;EDATE('자료_거시'!$M56,-12-'설정'!$B$17),'자료_거시'!$M$3:$M$602,"&lt;="&amp;EDATE('자료_거시'!$M56,-12))=3),IFERROR(SUMIFS('자료_거시'!$N$3:$N$602,'자료_거시'!$M$3:$M$602,"&gt;"&amp;EDATE('자료_거시'!$M56,-'설정'!$B$17),'자료_거시'!$M$3:$M$602,"&lt;="&amp;'자료_거시'!$M56)/SUMIFS('자료_거시'!$N$3:$N$602,'자료_거시'!$M$3:$M$602,"&gt;"&amp;EDATE('자료_거시'!$M56,-12-'설정'!$B$17),'자료_거시'!$M$3:$M$602,"&lt;="&amp;EDATE('자료_거시'!$M56,-12))-1,""),""),"")</f>
        <v/>
      </c>
      <c r="AF74">
        <f>IF(ISNUMBER(AE74),'자료_거시'!$M56,"")</f>
        <v/>
      </c>
      <c r="AG74">
        <f>IF(ISNUMBER(AF74),IF(AF74&gt;$L$9,AE74,""),"")</f>
        <v/>
      </c>
    </row>
    <row r="75">
      <c r="P75">
        <f>IF(AND(ISNUMBER('자료_거시'!$A57),ISNUMBER('자료_거시'!$B57)),'자료_거시'!$B57,"")</f>
        <v/>
      </c>
      <c r="Q75">
        <f>IF(ISNUMBER(P75),'자료_거시'!$A57,"")</f>
        <v/>
      </c>
      <c r="R75">
        <f>IF(ISNUMBER(Q75),IF(Q75&gt;$L$5,P75,""),"")</f>
        <v/>
      </c>
      <c r="S75">
        <f>IF(ISNUMBER('자료_거시'!$E57),'자료_거시'!$E57,S74)</f>
        <v/>
      </c>
      <c r="T75">
        <f>IF(AND(ISNUMBER('자료_거시'!$D57),ISNUMBER('자료_거시'!$E57)),IFERROR('자료_거시'!$E57-INDEX($S$21:$S$4020,MATCH(EDATE('자료_거시'!$D57,-'설정'!$B$17),'자료_거시'!$D$3:INDEX('자료_거시'!$D$3:$D$4002,$K$6),1)),""),"")</f>
        <v/>
      </c>
      <c r="U75">
        <f>IF(ISNUMBER(T75),'자료_거시'!$D57,"")</f>
        <v/>
      </c>
      <c r="V75">
        <f>IF(ISNUMBER(U75),IF(U75&gt;$L$6,T75,""),"")</f>
        <v/>
      </c>
      <c r="W75">
        <f>IF(AND(ISNUMBER('자료_거시'!$G57),ISNUMBER('자료_거시'!$H57)),'자료_거시'!$H57,"")</f>
        <v/>
      </c>
      <c r="X75">
        <f>IF(ISNUMBER(W75),'자료_거시'!$G57,"")</f>
        <v/>
      </c>
      <c r="Y75">
        <f>IF(ISNUMBER(X75),IF(X75&gt;$L$7,W75,""),"")</f>
        <v/>
      </c>
      <c r="Z75">
        <f>IF(ISNUMBER('자료_거시'!$K57),'자료_거시'!$K57,Z74)</f>
        <v/>
      </c>
      <c r="AA75">
        <f>IF(AND(ISNUMBER('자료_거시'!$J57),ISNUMBER('자료_거시'!$K57)),IFERROR('자료_거시'!$K57/INDEX($Z$21:$Z$4020,MATCH(EDATE('자료_거시'!$J57,-'설정'!$B$17),'자료_거시'!$J$3:INDEX('자료_거시'!$J$3:$J$4002,$K$8),1))-1,""),"")</f>
        <v/>
      </c>
      <c r="AB75">
        <f>IF(ISNUMBER(AA75),'자료_거시'!$J57,"")</f>
        <v/>
      </c>
      <c r="AC75">
        <f>IF(ISNUMBER(AB75),IF(AB75&gt;$L$8,AA75,""),"")</f>
        <v/>
      </c>
      <c r="AD75">
        <f>IF(AND(ISNUMBER('자료_거시'!$M57),ISNUMBER('자료_거시'!$N57)),1,0)</f>
        <v/>
      </c>
      <c r="AE75">
        <f>IF(AND(ISNUMBER('자료_거시'!$M57),ISNUMBER('자료_거시'!$N57)),IF(AND(SUMIFS($AD$21:$AD$620,'자료_거시'!$M$3:$M$602,"&gt;"&amp;EDATE('자료_거시'!$M57,-'설정'!$B$17),'자료_거시'!$M$3:$M$602,"&lt;="&amp;'자료_거시'!$M57)=3,SUMIFS($AD$21:$AD$620,'자료_거시'!$M$3:$M$602,"&gt;"&amp;EDATE('자료_거시'!$M57,-12-'설정'!$B$17),'자료_거시'!$M$3:$M$602,"&lt;="&amp;EDATE('자료_거시'!$M57,-12))=3),IFERROR(SUMIFS('자료_거시'!$N$3:$N$602,'자료_거시'!$M$3:$M$602,"&gt;"&amp;EDATE('자료_거시'!$M57,-'설정'!$B$17),'자료_거시'!$M$3:$M$602,"&lt;="&amp;'자료_거시'!$M57)/SUMIFS('자료_거시'!$N$3:$N$602,'자료_거시'!$M$3:$M$602,"&gt;"&amp;EDATE('자료_거시'!$M57,-12-'설정'!$B$17),'자료_거시'!$M$3:$M$602,"&lt;="&amp;EDATE('자료_거시'!$M57,-12))-1,""),""),"")</f>
        <v/>
      </c>
      <c r="AF75">
        <f>IF(ISNUMBER(AE75),'자료_거시'!$M57,"")</f>
        <v/>
      </c>
      <c r="AG75">
        <f>IF(ISNUMBER(AF75),IF(AF75&gt;$L$9,AE75,""),"")</f>
        <v/>
      </c>
    </row>
    <row r="76">
      <c r="P76">
        <f>IF(AND(ISNUMBER('자료_거시'!$A58),ISNUMBER('자료_거시'!$B58)),'자료_거시'!$B58,"")</f>
        <v/>
      </c>
      <c r="Q76">
        <f>IF(ISNUMBER(P76),'자료_거시'!$A58,"")</f>
        <v/>
      </c>
      <c r="R76">
        <f>IF(ISNUMBER(Q76),IF(Q76&gt;$L$5,P76,""),"")</f>
        <v/>
      </c>
      <c r="S76">
        <f>IF(ISNUMBER('자료_거시'!$E58),'자료_거시'!$E58,S75)</f>
        <v/>
      </c>
      <c r="T76">
        <f>IF(AND(ISNUMBER('자료_거시'!$D58),ISNUMBER('자료_거시'!$E58)),IFERROR('자료_거시'!$E58-INDEX($S$21:$S$4020,MATCH(EDATE('자료_거시'!$D58,-'설정'!$B$17),'자료_거시'!$D$3:INDEX('자료_거시'!$D$3:$D$4002,$K$6),1)),""),"")</f>
        <v/>
      </c>
      <c r="U76">
        <f>IF(ISNUMBER(T76),'자료_거시'!$D58,"")</f>
        <v/>
      </c>
      <c r="V76">
        <f>IF(ISNUMBER(U76),IF(U76&gt;$L$6,T76,""),"")</f>
        <v/>
      </c>
      <c r="W76">
        <f>IF(AND(ISNUMBER('자료_거시'!$G58),ISNUMBER('자료_거시'!$H58)),'자료_거시'!$H58,"")</f>
        <v/>
      </c>
      <c r="X76">
        <f>IF(ISNUMBER(W76),'자료_거시'!$G58,"")</f>
        <v/>
      </c>
      <c r="Y76">
        <f>IF(ISNUMBER(X76),IF(X76&gt;$L$7,W76,""),"")</f>
        <v/>
      </c>
      <c r="Z76">
        <f>IF(ISNUMBER('자료_거시'!$K58),'자료_거시'!$K58,Z75)</f>
        <v/>
      </c>
      <c r="AA76">
        <f>IF(AND(ISNUMBER('자료_거시'!$J58),ISNUMBER('자료_거시'!$K58)),IFERROR('자료_거시'!$K58/INDEX($Z$21:$Z$4020,MATCH(EDATE('자료_거시'!$J58,-'설정'!$B$17),'자료_거시'!$J$3:INDEX('자료_거시'!$J$3:$J$4002,$K$8),1))-1,""),"")</f>
        <v/>
      </c>
      <c r="AB76">
        <f>IF(ISNUMBER(AA76),'자료_거시'!$J58,"")</f>
        <v/>
      </c>
      <c r="AC76">
        <f>IF(ISNUMBER(AB76),IF(AB76&gt;$L$8,AA76,""),"")</f>
        <v/>
      </c>
      <c r="AD76">
        <f>IF(AND(ISNUMBER('자료_거시'!$M58),ISNUMBER('자료_거시'!$N58)),1,0)</f>
        <v/>
      </c>
      <c r="AE76">
        <f>IF(AND(ISNUMBER('자료_거시'!$M58),ISNUMBER('자료_거시'!$N58)),IF(AND(SUMIFS($AD$21:$AD$620,'자료_거시'!$M$3:$M$602,"&gt;"&amp;EDATE('자료_거시'!$M58,-'설정'!$B$17),'자료_거시'!$M$3:$M$602,"&lt;="&amp;'자료_거시'!$M58)=3,SUMIFS($AD$21:$AD$620,'자료_거시'!$M$3:$M$602,"&gt;"&amp;EDATE('자료_거시'!$M58,-12-'설정'!$B$17),'자료_거시'!$M$3:$M$602,"&lt;="&amp;EDATE('자료_거시'!$M58,-12))=3),IFERROR(SUMIFS('자료_거시'!$N$3:$N$602,'자료_거시'!$M$3:$M$602,"&gt;"&amp;EDATE('자료_거시'!$M58,-'설정'!$B$17),'자료_거시'!$M$3:$M$602,"&lt;="&amp;'자료_거시'!$M58)/SUMIFS('자료_거시'!$N$3:$N$602,'자료_거시'!$M$3:$M$602,"&gt;"&amp;EDATE('자료_거시'!$M58,-12-'설정'!$B$17),'자료_거시'!$M$3:$M$602,"&lt;="&amp;EDATE('자료_거시'!$M58,-12))-1,""),""),"")</f>
        <v/>
      </c>
      <c r="AF76">
        <f>IF(ISNUMBER(AE76),'자료_거시'!$M58,"")</f>
        <v/>
      </c>
      <c r="AG76">
        <f>IF(ISNUMBER(AF76),IF(AF76&gt;$L$9,AE76,""),"")</f>
        <v/>
      </c>
    </row>
    <row r="77">
      <c r="P77">
        <f>IF(AND(ISNUMBER('자료_거시'!$A59),ISNUMBER('자료_거시'!$B59)),'자료_거시'!$B59,"")</f>
        <v/>
      </c>
      <c r="Q77">
        <f>IF(ISNUMBER(P77),'자료_거시'!$A59,"")</f>
        <v/>
      </c>
      <c r="R77">
        <f>IF(ISNUMBER(Q77),IF(Q77&gt;$L$5,P77,""),"")</f>
        <v/>
      </c>
      <c r="S77">
        <f>IF(ISNUMBER('자료_거시'!$E59),'자료_거시'!$E59,S76)</f>
        <v/>
      </c>
      <c r="T77">
        <f>IF(AND(ISNUMBER('자료_거시'!$D59),ISNUMBER('자료_거시'!$E59)),IFERROR('자료_거시'!$E59-INDEX($S$21:$S$4020,MATCH(EDATE('자료_거시'!$D59,-'설정'!$B$17),'자료_거시'!$D$3:INDEX('자료_거시'!$D$3:$D$4002,$K$6),1)),""),"")</f>
        <v/>
      </c>
      <c r="U77">
        <f>IF(ISNUMBER(T77),'자료_거시'!$D59,"")</f>
        <v/>
      </c>
      <c r="V77">
        <f>IF(ISNUMBER(U77),IF(U77&gt;$L$6,T77,""),"")</f>
        <v/>
      </c>
      <c r="W77">
        <f>IF(AND(ISNUMBER('자료_거시'!$G59),ISNUMBER('자료_거시'!$H59)),'자료_거시'!$H59,"")</f>
        <v/>
      </c>
      <c r="X77">
        <f>IF(ISNUMBER(W77),'자료_거시'!$G59,"")</f>
        <v/>
      </c>
      <c r="Y77">
        <f>IF(ISNUMBER(X77),IF(X77&gt;$L$7,W77,""),"")</f>
        <v/>
      </c>
      <c r="Z77">
        <f>IF(ISNUMBER('자료_거시'!$K59),'자료_거시'!$K59,Z76)</f>
        <v/>
      </c>
      <c r="AA77">
        <f>IF(AND(ISNUMBER('자료_거시'!$J59),ISNUMBER('자료_거시'!$K59)),IFERROR('자료_거시'!$K59/INDEX($Z$21:$Z$4020,MATCH(EDATE('자료_거시'!$J59,-'설정'!$B$17),'자료_거시'!$J$3:INDEX('자료_거시'!$J$3:$J$4002,$K$8),1))-1,""),"")</f>
        <v/>
      </c>
      <c r="AB77">
        <f>IF(ISNUMBER(AA77),'자료_거시'!$J59,"")</f>
        <v/>
      </c>
      <c r="AC77">
        <f>IF(ISNUMBER(AB77),IF(AB77&gt;$L$8,AA77,""),"")</f>
        <v/>
      </c>
      <c r="AD77">
        <f>IF(AND(ISNUMBER('자료_거시'!$M59),ISNUMBER('자료_거시'!$N59)),1,0)</f>
        <v/>
      </c>
      <c r="AE77">
        <f>IF(AND(ISNUMBER('자료_거시'!$M59),ISNUMBER('자료_거시'!$N59)),IF(AND(SUMIFS($AD$21:$AD$620,'자료_거시'!$M$3:$M$602,"&gt;"&amp;EDATE('자료_거시'!$M59,-'설정'!$B$17),'자료_거시'!$M$3:$M$602,"&lt;="&amp;'자료_거시'!$M59)=3,SUMIFS($AD$21:$AD$620,'자료_거시'!$M$3:$M$602,"&gt;"&amp;EDATE('자료_거시'!$M59,-12-'설정'!$B$17),'자료_거시'!$M$3:$M$602,"&lt;="&amp;EDATE('자료_거시'!$M59,-12))=3),IFERROR(SUMIFS('자료_거시'!$N$3:$N$602,'자료_거시'!$M$3:$M$602,"&gt;"&amp;EDATE('자료_거시'!$M59,-'설정'!$B$17),'자료_거시'!$M$3:$M$602,"&lt;="&amp;'자료_거시'!$M59)/SUMIFS('자료_거시'!$N$3:$N$602,'자료_거시'!$M$3:$M$602,"&gt;"&amp;EDATE('자료_거시'!$M59,-12-'설정'!$B$17),'자료_거시'!$M$3:$M$602,"&lt;="&amp;EDATE('자료_거시'!$M59,-12))-1,""),""),"")</f>
        <v/>
      </c>
      <c r="AF77">
        <f>IF(ISNUMBER(AE77),'자료_거시'!$M59,"")</f>
        <v/>
      </c>
      <c r="AG77">
        <f>IF(ISNUMBER(AF77),IF(AF77&gt;$L$9,AE77,""),"")</f>
        <v/>
      </c>
    </row>
    <row r="78">
      <c r="P78">
        <f>IF(AND(ISNUMBER('자료_거시'!$A60),ISNUMBER('자료_거시'!$B60)),'자료_거시'!$B60,"")</f>
        <v/>
      </c>
      <c r="Q78">
        <f>IF(ISNUMBER(P78),'자료_거시'!$A60,"")</f>
        <v/>
      </c>
      <c r="R78">
        <f>IF(ISNUMBER(Q78),IF(Q78&gt;$L$5,P78,""),"")</f>
        <v/>
      </c>
      <c r="S78">
        <f>IF(ISNUMBER('자료_거시'!$E60),'자료_거시'!$E60,S77)</f>
        <v/>
      </c>
      <c r="T78">
        <f>IF(AND(ISNUMBER('자료_거시'!$D60),ISNUMBER('자료_거시'!$E60)),IFERROR('자료_거시'!$E60-INDEX($S$21:$S$4020,MATCH(EDATE('자료_거시'!$D60,-'설정'!$B$17),'자료_거시'!$D$3:INDEX('자료_거시'!$D$3:$D$4002,$K$6),1)),""),"")</f>
        <v/>
      </c>
      <c r="U78">
        <f>IF(ISNUMBER(T78),'자료_거시'!$D60,"")</f>
        <v/>
      </c>
      <c r="V78">
        <f>IF(ISNUMBER(U78),IF(U78&gt;$L$6,T78,""),"")</f>
        <v/>
      </c>
      <c r="W78">
        <f>IF(AND(ISNUMBER('자료_거시'!$G60),ISNUMBER('자료_거시'!$H60)),'자료_거시'!$H60,"")</f>
        <v/>
      </c>
      <c r="X78">
        <f>IF(ISNUMBER(W78),'자료_거시'!$G60,"")</f>
        <v/>
      </c>
      <c r="Y78">
        <f>IF(ISNUMBER(X78),IF(X78&gt;$L$7,W78,""),"")</f>
        <v/>
      </c>
      <c r="Z78">
        <f>IF(ISNUMBER('자료_거시'!$K60),'자료_거시'!$K60,Z77)</f>
        <v/>
      </c>
      <c r="AA78">
        <f>IF(AND(ISNUMBER('자료_거시'!$J60),ISNUMBER('자료_거시'!$K60)),IFERROR('자료_거시'!$K60/INDEX($Z$21:$Z$4020,MATCH(EDATE('자료_거시'!$J60,-'설정'!$B$17),'자료_거시'!$J$3:INDEX('자료_거시'!$J$3:$J$4002,$K$8),1))-1,""),"")</f>
        <v/>
      </c>
      <c r="AB78">
        <f>IF(ISNUMBER(AA78),'자료_거시'!$J60,"")</f>
        <v/>
      </c>
      <c r="AC78">
        <f>IF(ISNUMBER(AB78),IF(AB78&gt;$L$8,AA78,""),"")</f>
        <v/>
      </c>
      <c r="AD78">
        <f>IF(AND(ISNUMBER('자료_거시'!$M60),ISNUMBER('자료_거시'!$N60)),1,0)</f>
        <v/>
      </c>
      <c r="AE78">
        <f>IF(AND(ISNUMBER('자료_거시'!$M60),ISNUMBER('자료_거시'!$N60)),IF(AND(SUMIFS($AD$21:$AD$620,'자료_거시'!$M$3:$M$602,"&gt;"&amp;EDATE('자료_거시'!$M60,-'설정'!$B$17),'자료_거시'!$M$3:$M$602,"&lt;="&amp;'자료_거시'!$M60)=3,SUMIFS($AD$21:$AD$620,'자료_거시'!$M$3:$M$602,"&gt;"&amp;EDATE('자료_거시'!$M60,-12-'설정'!$B$17),'자료_거시'!$M$3:$M$602,"&lt;="&amp;EDATE('자료_거시'!$M60,-12))=3),IFERROR(SUMIFS('자료_거시'!$N$3:$N$602,'자료_거시'!$M$3:$M$602,"&gt;"&amp;EDATE('자료_거시'!$M60,-'설정'!$B$17),'자료_거시'!$M$3:$M$602,"&lt;="&amp;'자료_거시'!$M60)/SUMIFS('자료_거시'!$N$3:$N$602,'자료_거시'!$M$3:$M$602,"&gt;"&amp;EDATE('자료_거시'!$M60,-12-'설정'!$B$17),'자료_거시'!$M$3:$M$602,"&lt;="&amp;EDATE('자료_거시'!$M60,-12))-1,""),""),"")</f>
        <v/>
      </c>
      <c r="AF78">
        <f>IF(ISNUMBER(AE78),'자료_거시'!$M60,"")</f>
        <v/>
      </c>
      <c r="AG78">
        <f>IF(ISNUMBER(AF78),IF(AF78&gt;$L$9,AE78,""),"")</f>
        <v/>
      </c>
    </row>
    <row r="79">
      <c r="P79">
        <f>IF(AND(ISNUMBER('자료_거시'!$A61),ISNUMBER('자료_거시'!$B61)),'자료_거시'!$B61,"")</f>
        <v/>
      </c>
      <c r="Q79">
        <f>IF(ISNUMBER(P79),'자료_거시'!$A61,"")</f>
        <v/>
      </c>
      <c r="R79">
        <f>IF(ISNUMBER(Q79),IF(Q79&gt;$L$5,P79,""),"")</f>
        <v/>
      </c>
      <c r="S79">
        <f>IF(ISNUMBER('자료_거시'!$E61),'자료_거시'!$E61,S78)</f>
        <v/>
      </c>
      <c r="T79">
        <f>IF(AND(ISNUMBER('자료_거시'!$D61),ISNUMBER('자료_거시'!$E61)),IFERROR('자료_거시'!$E61-INDEX($S$21:$S$4020,MATCH(EDATE('자료_거시'!$D61,-'설정'!$B$17),'자료_거시'!$D$3:INDEX('자료_거시'!$D$3:$D$4002,$K$6),1)),""),"")</f>
        <v/>
      </c>
      <c r="U79">
        <f>IF(ISNUMBER(T79),'자료_거시'!$D61,"")</f>
        <v/>
      </c>
      <c r="V79">
        <f>IF(ISNUMBER(U79),IF(U79&gt;$L$6,T79,""),"")</f>
        <v/>
      </c>
      <c r="W79">
        <f>IF(AND(ISNUMBER('자료_거시'!$G61),ISNUMBER('자료_거시'!$H61)),'자료_거시'!$H61,"")</f>
        <v/>
      </c>
      <c r="X79">
        <f>IF(ISNUMBER(W79),'자료_거시'!$G61,"")</f>
        <v/>
      </c>
      <c r="Y79">
        <f>IF(ISNUMBER(X79),IF(X79&gt;$L$7,W79,""),"")</f>
        <v/>
      </c>
      <c r="Z79">
        <f>IF(ISNUMBER('자료_거시'!$K61),'자료_거시'!$K61,Z78)</f>
        <v/>
      </c>
      <c r="AA79">
        <f>IF(AND(ISNUMBER('자료_거시'!$J61),ISNUMBER('자료_거시'!$K61)),IFERROR('자료_거시'!$K61/INDEX($Z$21:$Z$4020,MATCH(EDATE('자료_거시'!$J61,-'설정'!$B$17),'자료_거시'!$J$3:INDEX('자료_거시'!$J$3:$J$4002,$K$8),1))-1,""),"")</f>
        <v/>
      </c>
      <c r="AB79">
        <f>IF(ISNUMBER(AA79),'자료_거시'!$J61,"")</f>
        <v/>
      </c>
      <c r="AC79">
        <f>IF(ISNUMBER(AB79),IF(AB79&gt;$L$8,AA79,""),"")</f>
        <v/>
      </c>
      <c r="AD79">
        <f>IF(AND(ISNUMBER('자료_거시'!$M61),ISNUMBER('자료_거시'!$N61)),1,0)</f>
        <v/>
      </c>
      <c r="AE79">
        <f>IF(AND(ISNUMBER('자료_거시'!$M61),ISNUMBER('자료_거시'!$N61)),IF(AND(SUMIFS($AD$21:$AD$620,'자료_거시'!$M$3:$M$602,"&gt;"&amp;EDATE('자료_거시'!$M61,-'설정'!$B$17),'자료_거시'!$M$3:$M$602,"&lt;="&amp;'자료_거시'!$M61)=3,SUMIFS($AD$21:$AD$620,'자료_거시'!$M$3:$M$602,"&gt;"&amp;EDATE('자료_거시'!$M61,-12-'설정'!$B$17),'자료_거시'!$M$3:$M$602,"&lt;="&amp;EDATE('자료_거시'!$M61,-12))=3),IFERROR(SUMIFS('자료_거시'!$N$3:$N$602,'자료_거시'!$M$3:$M$602,"&gt;"&amp;EDATE('자료_거시'!$M61,-'설정'!$B$17),'자료_거시'!$M$3:$M$602,"&lt;="&amp;'자료_거시'!$M61)/SUMIFS('자료_거시'!$N$3:$N$602,'자료_거시'!$M$3:$M$602,"&gt;"&amp;EDATE('자료_거시'!$M61,-12-'설정'!$B$17),'자료_거시'!$M$3:$M$602,"&lt;="&amp;EDATE('자료_거시'!$M61,-12))-1,""),""),"")</f>
        <v/>
      </c>
      <c r="AF79">
        <f>IF(ISNUMBER(AE79),'자료_거시'!$M61,"")</f>
        <v/>
      </c>
      <c r="AG79">
        <f>IF(ISNUMBER(AF79),IF(AF79&gt;$L$9,AE79,""),"")</f>
        <v/>
      </c>
    </row>
    <row r="80">
      <c r="P80">
        <f>IF(AND(ISNUMBER('자료_거시'!$A62),ISNUMBER('자료_거시'!$B62)),'자료_거시'!$B62,"")</f>
        <v/>
      </c>
      <c r="Q80">
        <f>IF(ISNUMBER(P80),'자료_거시'!$A62,"")</f>
        <v/>
      </c>
      <c r="R80">
        <f>IF(ISNUMBER(Q80),IF(Q80&gt;$L$5,P80,""),"")</f>
        <v/>
      </c>
      <c r="S80">
        <f>IF(ISNUMBER('자료_거시'!$E62),'자료_거시'!$E62,S79)</f>
        <v/>
      </c>
      <c r="T80">
        <f>IF(AND(ISNUMBER('자료_거시'!$D62),ISNUMBER('자료_거시'!$E62)),IFERROR('자료_거시'!$E62-INDEX($S$21:$S$4020,MATCH(EDATE('자료_거시'!$D62,-'설정'!$B$17),'자료_거시'!$D$3:INDEX('자료_거시'!$D$3:$D$4002,$K$6),1)),""),"")</f>
        <v/>
      </c>
      <c r="U80">
        <f>IF(ISNUMBER(T80),'자료_거시'!$D62,"")</f>
        <v/>
      </c>
      <c r="V80">
        <f>IF(ISNUMBER(U80),IF(U80&gt;$L$6,T80,""),"")</f>
        <v/>
      </c>
      <c r="W80">
        <f>IF(AND(ISNUMBER('자료_거시'!$G62),ISNUMBER('자료_거시'!$H62)),'자료_거시'!$H62,"")</f>
        <v/>
      </c>
      <c r="X80">
        <f>IF(ISNUMBER(W80),'자료_거시'!$G62,"")</f>
        <v/>
      </c>
      <c r="Y80">
        <f>IF(ISNUMBER(X80),IF(X80&gt;$L$7,W80,""),"")</f>
        <v/>
      </c>
      <c r="Z80">
        <f>IF(ISNUMBER('자료_거시'!$K62),'자료_거시'!$K62,Z79)</f>
        <v/>
      </c>
      <c r="AA80">
        <f>IF(AND(ISNUMBER('자료_거시'!$J62),ISNUMBER('자료_거시'!$K62)),IFERROR('자료_거시'!$K62/INDEX($Z$21:$Z$4020,MATCH(EDATE('자료_거시'!$J62,-'설정'!$B$17),'자료_거시'!$J$3:INDEX('자료_거시'!$J$3:$J$4002,$K$8),1))-1,""),"")</f>
        <v/>
      </c>
      <c r="AB80">
        <f>IF(ISNUMBER(AA80),'자료_거시'!$J62,"")</f>
        <v/>
      </c>
      <c r="AC80">
        <f>IF(ISNUMBER(AB80),IF(AB80&gt;$L$8,AA80,""),"")</f>
        <v/>
      </c>
      <c r="AD80">
        <f>IF(AND(ISNUMBER('자료_거시'!$M62),ISNUMBER('자료_거시'!$N62)),1,0)</f>
        <v/>
      </c>
      <c r="AE80">
        <f>IF(AND(ISNUMBER('자료_거시'!$M62),ISNUMBER('자료_거시'!$N62)),IF(AND(SUMIFS($AD$21:$AD$620,'자료_거시'!$M$3:$M$602,"&gt;"&amp;EDATE('자료_거시'!$M62,-'설정'!$B$17),'자료_거시'!$M$3:$M$602,"&lt;="&amp;'자료_거시'!$M62)=3,SUMIFS($AD$21:$AD$620,'자료_거시'!$M$3:$M$602,"&gt;"&amp;EDATE('자료_거시'!$M62,-12-'설정'!$B$17),'자료_거시'!$M$3:$M$602,"&lt;="&amp;EDATE('자료_거시'!$M62,-12))=3),IFERROR(SUMIFS('자료_거시'!$N$3:$N$602,'자료_거시'!$M$3:$M$602,"&gt;"&amp;EDATE('자료_거시'!$M62,-'설정'!$B$17),'자료_거시'!$M$3:$M$602,"&lt;="&amp;'자료_거시'!$M62)/SUMIFS('자료_거시'!$N$3:$N$602,'자료_거시'!$M$3:$M$602,"&gt;"&amp;EDATE('자료_거시'!$M62,-12-'설정'!$B$17),'자료_거시'!$M$3:$M$602,"&lt;="&amp;EDATE('자료_거시'!$M62,-12))-1,""),""),"")</f>
        <v/>
      </c>
      <c r="AF80">
        <f>IF(ISNUMBER(AE80),'자료_거시'!$M62,"")</f>
        <v/>
      </c>
      <c r="AG80">
        <f>IF(ISNUMBER(AF80),IF(AF80&gt;$L$9,AE80,""),"")</f>
        <v/>
      </c>
    </row>
    <row r="81">
      <c r="P81">
        <f>IF(AND(ISNUMBER('자료_거시'!$A63),ISNUMBER('자료_거시'!$B63)),'자료_거시'!$B63,"")</f>
        <v/>
      </c>
      <c r="Q81">
        <f>IF(ISNUMBER(P81),'자료_거시'!$A63,"")</f>
        <v/>
      </c>
      <c r="R81">
        <f>IF(ISNUMBER(Q81),IF(Q81&gt;$L$5,P81,""),"")</f>
        <v/>
      </c>
      <c r="S81">
        <f>IF(ISNUMBER('자료_거시'!$E63),'자료_거시'!$E63,S80)</f>
        <v/>
      </c>
      <c r="T81">
        <f>IF(AND(ISNUMBER('자료_거시'!$D63),ISNUMBER('자료_거시'!$E63)),IFERROR('자료_거시'!$E63-INDEX($S$21:$S$4020,MATCH(EDATE('자료_거시'!$D63,-'설정'!$B$17),'자료_거시'!$D$3:INDEX('자료_거시'!$D$3:$D$4002,$K$6),1)),""),"")</f>
        <v/>
      </c>
      <c r="U81">
        <f>IF(ISNUMBER(T81),'자료_거시'!$D63,"")</f>
        <v/>
      </c>
      <c r="V81">
        <f>IF(ISNUMBER(U81),IF(U81&gt;$L$6,T81,""),"")</f>
        <v/>
      </c>
      <c r="W81">
        <f>IF(AND(ISNUMBER('자료_거시'!$G63),ISNUMBER('자료_거시'!$H63)),'자료_거시'!$H63,"")</f>
        <v/>
      </c>
      <c r="X81">
        <f>IF(ISNUMBER(W81),'자료_거시'!$G63,"")</f>
        <v/>
      </c>
      <c r="Y81">
        <f>IF(ISNUMBER(X81),IF(X81&gt;$L$7,W81,""),"")</f>
        <v/>
      </c>
      <c r="Z81">
        <f>IF(ISNUMBER('자료_거시'!$K63),'자료_거시'!$K63,Z80)</f>
        <v/>
      </c>
      <c r="AA81">
        <f>IF(AND(ISNUMBER('자료_거시'!$J63),ISNUMBER('자료_거시'!$K63)),IFERROR('자료_거시'!$K63/INDEX($Z$21:$Z$4020,MATCH(EDATE('자료_거시'!$J63,-'설정'!$B$17),'자료_거시'!$J$3:INDEX('자료_거시'!$J$3:$J$4002,$K$8),1))-1,""),"")</f>
        <v/>
      </c>
      <c r="AB81">
        <f>IF(ISNUMBER(AA81),'자료_거시'!$J63,"")</f>
        <v/>
      </c>
      <c r="AC81">
        <f>IF(ISNUMBER(AB81),IF(AB81&gt;$L$8,AA81,""),"")</f>
        <v/>
      </c>
      <c r="AD81">
        <f>IF(AND(ISNUMBER('자료_거시'!$M63),ISNUMBER('자료_거시'!$N63)),1,0)</f>
        <v/>
      </c>
      <c r="AE81">
        <f>IF(AND(ISNUMBER('자료_거시'!$M63),ISNUMBER('자료_거시'!$N63)),IF(AND(SUMIFS($AD$21:$AD$620,'자료_거시'!$M$3:$M$602,"&gt;"&amp;EDATE('자료_거시'!$M63,-'설정'!$B$17),'자료_거시'!$M$3:$M$602,"&lt;="&amp;'자료_거시'!$M63)=3,SUMIFS($AD$21:$AD$620,'자료_거시'!$M$3:$M$602,"&gt;"&amp;EDATE('자료_거시'!$M63,-12-'설정'!$B$17),'자료_거시'!$M$3:$M$602,"&lt;="&amp;EDATE('자료_거시'!$M63,-12))=3),IFERROR(SUMIFS('자료_거시'!$N$3:$N$602,'자료_거시'!$M$3:$M$602,"&gt;"&amp;EDATE('자료_거시'!$M63,-'설정'!$B$17),'자료_거시'!$M$3:$M$602,"&lt;="&amp;'자료_거시'!$M63)/SUMIFS('자료_거시'!$N$3:$N$602,'자료_거시'!$M$3:$M$602,"&gt;"&amp;EDATE('자료_거시'!$M63,-12-'설정'!$B$17),'자료_거시'!$M$3:$M$602,"&lt;="&amp;EDATE('자료_거시'!$M63,-12))-1,""),""),"")</f>
        <v/>
      </c>
      <c r="AF81">
        <f>IF(ISNUMBER(AE81),'자료_거시'!$M63,"")</f>
        <v/>
      </c>
      <c r="AG81">
        <f>IF(ISNUMBER(AF81),IF(AF81&gt;$L$9,AE81,""),"")</f>
        <v/>
      </c>
    </row>
    <row r="82">
      <c r="P82">
        <f>IF(AND(ISNUMBER('자료_거시'!$A64),ISNUMBER('자료_거시'!$B64)),'자료_거시'!$B64,"")</f>
        <v/>
      </c>
      <c r="Q82">
        <f>IF(ISNUMBER(P82),'자료_거시'!$A64,"")</f>
        <v/>
      </c>
      <c r="R82">
        <f>IF(ISNUMBER(Q82),IF(Q82&gt;$L$5,P82,""),"")</f>
        <v/>
      </c>
      <c r="S82">
        <f>IF(ISNUMBER('자료_거시'!$E64),'자료_거시'!$E64,S81)</f>
        <v/>
      </c>
      <c r="T82">
        <f>IF(AND(ISNUMBER('자료_거시'!$D64),ISNUMBER('자료_거시'!$E64)),IFERROR('자료_거시'!$E64-INDEX($S$21:$S$4020,MATCH(EDATE('자료_거시'!$D64,-'설정'!$B$17),'자료_거시'!$D$3:INDEX('자료_거시'!$D$3:$D$4002,$K$6),1)),""),"")</f>
        <v/>
      </c>
      <c r="U82">
        <f>IF(ISNUMBER(T82),'자료_거시'!$D64,"")</f>
        <v/>
      </c>
      <c r="V82">
        <f>IF(ISNUMBER(U82),IF(U82&gt;$L$6,T82,""),"")</f>
        <v/>
      </c>
      <c r="W82">
        <f>IF(AND(ISNUMBER('자료_거시'!$G64),ISNUMBER('자료_거시'!$H64)),'자료_거시'!$H64,"")</f>
        <v/>
      </c>
      <c r="X82">
        <f>IF(ISNUMBER(W82),'자료_거시'!$G64,"")</f>
        <v/>
      </c>
      <c r="Y82">
        <f>IF(ISNUMBER(X82),IF(X82&gt;$L$7,W82,""),"")</f>
        <v/>
      </c>
      <c r="Z82">
        <f>IF(ISNUMBER('자료_거시'!$K64),'자료_거시'!$K64,Z81)</f>
        <v/>
      </c>
      <c r="AA82">
        <f>IF(AND(ISNUMBER('자료_거시'!$J64),ISNUMBER('자료_거시'!$K64)),IFERROR('자료_거시'!$K64/INDEX($Z$21:$Z$4020,MATCH(EDATE('자료_거시'!$J64,-'설정'!$B$17),'자료_거시'!$J$3:INDEX('자료_거시'!$J$3:$J$4002,$K$8),1))-1,""),"")</f>
        <v/>
      </c>
      <c r="AB82">
        <f>IF(ISNUMBER(AA82),'자료_거시'!$J64,"")</f>
        <v/>
      </c>
      <c r="AC82">
        <f>IF(ISNUMBER(AB82),IF(AB82&gt;$L$8,AA82,""),"")</f>
        <v/>
      </c>
      <c r="AD82">
        <f>IF(AND(ISNUMBER('자료_거시'!$M64),ISNUMBER('자료_거시'!$N64)),1,0)</f>
        <v/>
      </c>
      <c r="AE82">
        <f>IF(AND(ISNUMBER('자료_거시'!$M64),ISNUMBER('자료_거시'!$N64)),IF(AND(SUMIFS($AD$21:$AD$620,'자료_거시'!$M$3:$M$602,"&gt;"&amp;EDATE('자료_거시'!$M64,-'설정'!$B$17),'자료_거시'!$M$3:$M$602,"&lt;="&amp;'자료_거시'!$M64)=3,SUMIFS($AD$21:$AD$620,'자료_거시'!$M$3:$M$602,"&gt;"&amp;EDATE('자료_거시'!$M64,-12-'설정'!$B$17),'자료_거시'!$M$3:$M$602,"&lt;="&amp;EDATE('자료_거시'!$M64,-12))=3),IFERROR(SUMIFS('자료_거시'!$N$3:$N$602,'자료_거시'!$M$3:$M$602,"&gt;"&amp;EDATE('자료_거시'!$M64,-'설정'!$B$17),'자료_거시'!$M$3:$M$602,"&lt;="&amp;'자료_거시'!$M64)/SUMIFS('자료_거시'!$N$3:$N$602,'자료_거시'!$M$3:$M$602,"&gt;"&amp;EDATE('자료_거시'!$M64,-12-'설정'!$B$17),'자료_거시'!$M$3:$M$602,"&lt;="&amp;EDATE('자료_거시'!$M64,-12))-1,""),""),"")</f>
        <v/>
      </c>
      <c r="AF82">
        <f>IF(ISNUMBER(AE82),'자료_거시'!$M64,"")</f>
        <v/>
      </c>
      <c r="AG82">
        <f>IF(ISNUMBER(AF82),IF(AF82&gt;$L$9,AE82,""),"")</f>
        <v/>
      </c>
    </row>
    <row r="83">
      <c r="P83">
        <f>IF(AND(ISNUMBER('자료_거시'!$A65),ISNUMBER('자료_거시'!$B65)),'자료_거시'!$B65,"")</f>
        <v/>
      </c>
      <c r="Q83">
        <f>IF(ISNUMBER(P83),'자료_거시'!$A65,"")</f>
        <v/>
      </c>
      <c r="R83">
        <f>IF(ISNUMBER(Q83),IF(Q83&gt;$L$5,P83,""),"")</f>
        <v/>
      </c>
      <c r="S83">
        <f>IF(ISNUMBER('자료_거시'!$E65),'자료_거시'!$E65,S82)</f>
        <v/>
      </c>
      <c r="T83">
        <f>IF(AND(ISNUMBER('자료_거시'!$D65),ISNUMBER('자료_거시'!$E65)),IFERROR('자료_거시'!$E65-INDEX($S$21:$S$4020,MATCH(EDATE('자료_거시'!$D65,-'설정'!$B$17),'자료_거시'!$D$3:INDEX('자료_거시'!$D$3:$D$4002,$K$6),1)),""),"")</f>
        <v/>
      </c>
      <c r="U83">
        <f>IF(ISNUMBER(T83),'자료_거시'!$D65,"")</f>
        <v/>
      </c>
      <c r="V83">
        <f>IF(ISNUMBER(U83),IF(U83&gt;$L$6,T83,""),"")</f>
        <v/>
      </c>
      <c r="W83">
        <f>IF(AND(ISNUMBER('자료_거시'!$G65),ISNUMBER('자료_거시'!$H65)),'자료_거시'!$H65,"")</f>
        <v/>
      </c>
      <c r="X83">
        <f>IF(ISNUMBER(W83),'자료_거시'!$G65,"")</f>
        <v/>
      </c>
      <c r="Y83">
        <f>IF(ISNUMBER(X83),IF(X83&gt;$L$7,W83,""),"")</f>
        <v/>
      </c>
      <c r="Z83">
        <f>IF(ISNUMBER('자료_거시'!$K65),'자료_거시'!$K65,Z82)</f>
        <v/>
      </c>
      <c r="AA83">
        <f>IF(AND(ISNUMBER('자료_거시'!$J65),ISNUMBER('자료_거시'!$K65)),IFERROR('자료_거시'!$K65/INDEX($Z$21:$Z$4020,MATCH(EDATE('자료_거시'!$J65,-'설정'!$B$17),'자료_거시'!$J$3:INDEX('자료_거시'!$J$3:$J$4002,$K$8),1))-1,""),"")</f>
        <v/>
      </c>
      <c r="AB83">
        <f>IF(ISNUMBER(AA83),'자료_거시'!$J65,"")</f>
        <v/>
      </c>
      <c r="AC83">
        <f>IF(ISNUMBER(AB83),IF(AB83&gt;$L$8,AA83,""),"")</f>
        <v/>
      </c>
      <c r="AD83">
        <f>IF(AND(ISNUMBER('자료_거시'!$M65),ISNUMBER('자료_거시'!$N65)),1,0)</f>
        <v/>
      </c>
      <c r="AE83">
        <f>IF(AND(ISNUMBER('자료_거시'!$M65),ISNUMBER('자료_거시'!$N65)),IF(AND(SUMIFS($AD$21:$AD$620,'자료_거시'!$M$3:$M$602,"&gt;"&amp;EDATE('자료_거시'!$M65,-'설정'!$B$17),'자료_거시'!$M$3:$M$602,"&lt;="&amp;'자료_거시'!$M65)=3,SUMIFS($AD$21:$AD$620,'자료_거시'!$M$3:$M$602,"&gt;"&amp;EDATE('자료_거시'!$M65,-12-'설정'!$B$17),'자료_거시'!$M$3:$M$602,"&lt;="&amp;EDATE('자료_거시'!$M65,-12))=3),IFERROR(SUMIFS('자료_거시'!$N$3:$N$602,'자료_거시'!$M$3:$M$602,"&gt;"&amp;EDATE('자료_거시'!$M65,-'설정'!$B$17),'자료_거시'!$M$3:$M$602,"&lt;="&amp;'자료_거시'!$M65)/SUMIFS('자료_거시'!$N$3:$N$602,'자료_거시'!$M$3:$M$602,"&gt;"&amp;EDATE('자료_거시'!$M65,-12-'설정'!$B$17),'자료_거시'!$M$3:$M$602,"&lt;="&amp;EDATE('자료_거시'!$M65,-12))-1,""),""),"")</f>
        <v/>
      </c>
      <c r="AF83">
        <f>IF(ISNUMBER(AE83),'자료_거시'!$M65,"")</f>
        <v/>
      </c>
      <c r="AG83">
        <f>IF(ISNUMBER(AF83),IF(AF83&gt;$L$9,AE83,""),"")</f>
        <v/>
      </c>
    </row>
    <row r="84">
      <c r="P84">
        <f>IF(AND(ISNUMBER('자료_거시'!$A66),ISNUMBER('자료_거시'!$B66)),'자료_거시'!$B66,"")</f>
        <v/>
      </c>
      <c r="Q84">
        <f>IF(ISNUMBER(P84),'자료_거시'!$A66,"")</f>
        <v/>
      </c>
      <c r="R84">
        <f>IF(ISNUMBER(Q84),IF(Q84&gt;$L$5,P84,""),"")</f>
        <v/>
      </c>
      <c r="S84">
        <f>IF(ISNUMBER('자료_거시'!$E66),'자료_거시'!$E66,S83)</f>
        <v/>
      </c>
      <c r="T84">
        <f>IF(AND(ISNUMBER('자료_거시'!$D66),ISNUMBER('자료_거시'!$E66)),IFERROR('자료_거시'!$E66-INDEX($S$21:$S$4020,MATCH(EDATE('자료_거시'!$D66,-'설정'!$B$17),'자료_거시'!$D$3:INDEX('자료_거시'!$D$3:$D$4002,$K$6),1)),""),"")</f>
        <v/>
      </c>
      <c r="U84">
        <f>IF(ISNUMBER(T84),'자료_거시'!$D66,"")</f>
        <v/>
      </c>
      <c r="V84">
        <f>IF(ISNUMBER(U84),IF(U84&gt;$L$6,T84,""),"")</f>
        <v/>
      </c>
      <c r="W84">
        <f>IF(AND(ISNUMBER('자료_거시'!$G66),ISNUMBER('자료_거시'!$H66)),'자료_거시'!$H66,"")</f>
        <v/>
      </c>
      <c r="X84">
        <f>IF(ISNUMBER(W84),'자료_거시'!$G66,"")</f>
        <v/>
      </c>
      <c r="Y84">
        <f>IF(ISNUMBER(X84),IF(X84&gt;$L$7,W84,""),"")</f>
        <v/>
      </c>
      <c r="Z84">
        <f>IF(ISNUMBER('자료_거시'!$K66),'자료_거시'!$K66,Z83)</f>
        <v/>
      </c>
      <c r="AA84">
        <f>IF(AND(ISNUMBER('자료_거시'!$J66),ISNUMBER('자료_거시'!$K66)),IFERROR('자료_거시'!$K66/INDEX($Z$21:$Z$4020,MATCH(EDATE('자료_거시'!$J66,-'설정'!$B$17),'자료_거시'!$J$3:INDEX('자료_거시'!$J$3:$J$4002,$K$8),1))-1,""),"")</f>
        <v/>
      </c>
      <c r="AB84">
        <f>IF(ISNUMBER(AA84),'자료_거시'!$J66,"")</f>
        <v/>
      </c>
      <c r="AC84">
        <f>IF(ISNUMBER(AB84),IF(AB84&gt;$L$8,AA84,""),"")</f>
        <v/>
      </c>
      <c r="AD84">
        <f>IF(AND(ISNUMBER('자료_거시'!$M66),ISNUMBER('자료_거시'!$N66)),1,0)</f>
        <v/>
      </c>
      <c r="AE84">
        <f>IF(AND(ISNUMBER('자료_거시'!$M66),ISNUMBER('자료_거시'!$N66)),IF(AND(SUMIFS($AD$21:$AD$620,'자료_거시'!$M$3:$M$602,"&gt;"&amp;EDATE('자료_거시'!$M66,-'설정'!$B$17),'자료_거시'!$M$3:$M$602,"&lt;="&amp;'자료_거시'!$M66)=3,SUMIFS($AD$21:$AD$620,'자료_거시'!$M$3:$M$602,"&gt;"&amp;EDATE('자료_거시'!$M66,-12-'설정'!$B$17),'자료_거시'!$M$3:$M$602,"&lt;="&amp;EDATE('자료_거시'!$M66,-12))=3),IFERROR(SUMIFS('자료_거시'!$N$3:$N$602,'자료_거시'!$M$3:$M$602,"&gt;"&amp;EDATE('자료_거시'!$M66,-'설정'!$B$17),'자료_거시'!$M$3:$M$602,"&lt;="&amp;'자료_거시'!$M66)/SUMIFS('자료_거시'!$N$3:$N$602,'자료_거시'!$M$3:$M$602,"&gt;"&amp;EDATE('자료_거시'!$M66,-12-'설정'!$B$17),'자료_거시'!$M$3:$M$602,"&lt;="&amp;EDATE('자료_거시'!$M66,-12))-1,""),""),"")</f>
        <v/>
      </c>
      <c r="AF84">
        <f>IF(ISNUMBER(AE84),'자료_거시'!$M66,"")</f>
        <v/>
      </c>
      <c r="AG84">
        <f>IF(ISNUMBER(AF84),IF(AF84&gt;$L$9,AE84,""),"")</f>
        <v/>
      </c>
    </row>
    <row r="85">
      <c r="P85">
        <f>IF(AND(ISNUMBER('자료_거시'!$A67),ISNUMBER('자료_거시'!$B67)),'자료_거시'!$B67,"")</f>
        <v/>
      </c>
      <c r="Q85">
        <f>IF(ISNUMBER(P85),'자료_거시'!$A67,"")</f>
        <v/>
      </c>
      <c r="R85">
        <f>IF(ISNUMBER(Q85),IF(Q85&gt;$L$5,P85,""),"")</f>
        <v/>
      </c>
      <c r="S85">
        <f>IF(ISNUMBER('자료_거시'!$E67),'자료_거시'!$E67,S84)</f>
        <v/>
      </c>
      <c r="T85">
        <f>IF(AND(ISNUMBER('자료_거시'!$D67),ISNUMBER('자료_거시'!$E67)),IFERROR('자료_거시'!$E67-INDEX($S$21:$S$4020,MATCH(EDATE('자료_거시'!$D67,-'설정'!$B$17),'자료_거시'!$D$3:INDEX('자료_거시'!$D$3:$D$4002,$K$6),1)),""),"")</f>
        <v/>
      </c>
      <c r="U85">
        <f>IF(ISNUMBER(T85),'자료_거시'!$D67,"")</f>
        <v/>
      </c>
      <c r="V85">
        <f>IF(ISNUMBER(U85),IF(U85&gt;$L$6,T85,""),"")</f>
        <v/>
      </c>
      <c r="W85">
        <f>IF(AND(ISNUMBER('자료_거시'!$G67),ISNUMBER('자료_거시'!$H67)),'자료_거시'!$H67,"")</f>
        <v/>
      </c>
      <c r="X85">
        <f>IF(ISNUMBER(W85),'자료_거시'!$G67,"")</f>
        <v/>
      </c>
      <c r="Y85">
        <f>IF(ISNUMBER(X85),IF(X85&gt;$L$7,W85,""),"")</f>
        <v/>
      </c>
      <c r="Z85">
        <f>IF(ISNUMBER('자료_거시'!$K67),'자료_거시'!$K67,Z84)</f>
        <v/>
      </c>
      <c r="AA85">
        <f>IF(AND(ISNUMBER('자료_거시'!$J67),ISNUMBER('자료_거시'!$K67)),IFERROR('자료_거시'!$K67/INDEX($Z$21:$Z$4020,MATCH(EDATE('자료_거시'!$J67,-'설정'!$B$17),'자료_거시'!$J$3:INDEX('자료_거시'!$J$3:$J$4002,$K$8),1))-1,""),"")</f>
        <v/>
      </c>
      <c r="AB85">
        <f>IF(ISNUMBER(AA85),'자료_거시'!$J67,"")</f>
        <v/>
      </c>
      <c r="AC85">
        <f>IF(ISNUMBER(AB85),IF(AB85&gt;$L$8,AA85,""),"")</f>
        <v/>
      </c>
      <c r="AD85">
        <f>IF(AND(ISNUMBER('자료_거시'!$M67),ISNUMBER('자료_거시'!$N67)),1,0)</f>
        <v/>
      </c>
      <c r="AE85">
        <f>IF(AND(ISNUMBER('자료_거시'!$M67),ISNUMBER('자료_거시'!$N67)),IF(AND(SUMIFS($AD$21:$AD$620,'자료_거시'!$M$3:$M$602,"&gt;"&amp;EDATE('자료_거시'!$M67,-'설정'!$B$17),'자료_거시'!$M$3:$M$602,"&lt;="&amp;'자료_거시'!$M67)=3,SUMIFS($AD$21:$AD$620,'자료_거시'!$M$3:$M$602,"&gt;"&amp;EDATE('자료_거시'!$M67,-12-'설정'!$B$17),'자료_거시'!$M$3:$M$602,"&lt;="&amp;EDATE('자료_거시'!$M67,-12))=3),IFERROR(SUMIFS('자료_거시'!$N$3:$N$602,'자료_거시'!$M$3:$M$602,"&gt;"&amp;EDATE('자료_거시'!$M67,-'설정'!$B$17),'자료_거시'!$M$3:$M$602,"&lt;="&amp;'자료_거시'!$M67)/SUMIFS('자료_거시'!$N$3:$N$602,'자료_거시'!$M$3:$M$602,"&gt;"&amp;EDATE('자료_거시'!$M67,-12-'설정'!$B$17),'자료_거시'!$M$3:$M$602,"&lt;="&amp;EDATE('자료_거시'!$M67,-12))-1,""),""),"")</f>
        <v/>
      </c>
      <c r="AF85">
        <f>IF(ISNUMBER(AE85),'자료_거시'!$M67,"")</f>
        <v/>
      </c>
      <c r="AG85">
        <f>IF(ISNUMBER(AF85),IF(AF85&gt;$L$9,AE85,""),"")</f>
        <v/>
      </c>
    </row>
    <row r="86">
      <c r="P86">
        <f>IF(AND(ISNUMBER('자료_거시'!$A68),ISNUMBER('자료_거시'!$B68)),'자료_거시'!$B68,"")</f>
        <v/>
      </c>
      <c r="Q86">
        <f>IF(ISNUMBER(P86),'자료_거시'!$A68,"")</f>
        <v/>
      </c>
      <c r="R86">
        <f>IF(ISNUMBER(Q86),IF(Q86&gt;$L$5,P86,""),"")</f>
        <v/>
      </c>
      <c r="S86">
        <f>IF(ISNUMBER('자료_거시'!$E68),'자료_거시'!$E68,S85)</f>
        <v/>
      </c>
      <c r="T86">
        <f>IF(AND(ISNUMBER('자료_거시'!$D68),ISNUMBER('자료_거시'!$E68)),IFERROR('자료_거시'!$E68-INDEX($S$21:$S$4020,MATCH(EDATE('자료_거시'!$D68,-'설정'!$B$17),'자료_거시'!$D$3:INDEX('자료_거시'!$D$3:$D$4002,$K$6),1)),""),"")</f>
        <v/>
      </c>
      <c r="U86">
        <f>IF(ISNUMBER(T86),'자료_거시'!$D68,"")</f>
        <v/>
      </c>
      <c r="V86">
        <f>IF(ISNUMBER(U86),IF(U86&gt;$L$6,T86,""),"")</f>
        <v/>
      </c>
      <c r="W86">
        <f>IF(AND(ISNUMBER('자료_거시'!$G68),ISNUMBER('자료_거시'!$H68)),'자료_거시'!$H68,"")</f>
        <v/>
      </c>
      <c r="X86">
        <f>IF(ISNUMBER(W86),'자료_거시'!$G68,"")</f>
        <v/>
      </c>
      <c r="Y86">
        <f>IF(ISNUMBER(X86),IF(X86&gt;$L$7,W86,""),"")</f>
        <v/>
      </c>
      <c r="Z86">
        <f>IF(ISNUMBER('자료_거시'!$K68),'자료_거시'!$K68,Z85)</f>
        <v/>
      </c>
      <c r="AA86">
        <f>IF(AND(ISNUMBER('자료_거시'!$J68),ISNUMBER('자료_거시'!$K68)),IFERROR('자료_거시'!$K68/INDEX($Z$21:$Z$4020,MATCH(EDATE('자료_거시'!$J68,-'설정'!$B$17),'자료_거시'!$J$3:INDEX('자료_거시'!$J$3:$J$4002,$K$8),1))-1,""),"")</f>
        <v/>
      </c>
      <c r="AB86">
        <f>IF(ISNUMBER(AA86),'자료_거시'!$J68,"")</f>
        <v/>
      </c>
      <c r="AC86">
        <f>IF(ISNUMBER(AB86),IF(AB86&gt;$L$8,AA86,""),"")</f>
        <v/>
      </c>
      <c r="AD86">
        <f>IF(AND(ISNUMBER('자료_거시'!$M68),ISNUMBER('자료_거시'!$N68)),1,0)</f>
        <v/>
      </c>
      <c r="AE86">
        <f>IF(AND(ISNUMBER('자료_거시'!$M68),ISNUMBER('자료_거시'!$N68)),IF(AND(SUMIFS($AD$21:$AD$620,'자료_거시'!$M$3:$M$602,"&gt;"&amp;EDATE('자료_거시'!$M68,-'설정'!$B$17),'자료_거시'!$M$3:$M$602,"&lt;="&amp;'자료_거시'!$M68)=3,SUMIFS($AD$21:$AD$620,'자료_거시'!$M$3:$M$602,"&gt;"&amp;EDATE('자료_거시'!$M68,-12-'설정'!$B$17),'자료_거시'!$M$3:$M$602,"&lt;="&amp;EDATE('자료_거시'!$M68,-12))=3),IFERROR(SUMIFS('자료_거시'!$N$3:$N$602,'자료_거시'!$M$3:$M$602,"&gt;"&amp;EDATE('자료_거시'!$M68,-'설정'!$B$17),'자료_거시'!$M$3:$M$602,"&lt;="&amp;'자료_거시'!$M68)/SUMIFS('자료_거시'!$N$3:$N$602,'자료_거시'!$M$3:$M$602,"&gt;"&amp;EDATE('자료_거시'!$M68,-12-'설정'!$B$17),'자료_거시'!$M$3:$M$602,"&lt;="&amp;EDATE('자료_거시'!$M68,-12))-1,""),""),"")</f>
        <v/>
      </c>
      <c r="AF86">
        <f>IF(ISNUMBER(AE86),'자료_거시'!$M68,"")</f>
        <v/>
      </c>
      <c r="AG86">
        <f>IF(ISNUMBER(AF86),IF(AF86&gt;$L$9,AE86,""),"")</f>
        <v/>
      </c>
    </row>
    <row r="87">
      <c r="P87">
        <f>IF(AND(ISNUMBER('자료_거시'!$A69),ISNUMBER('자료_거시'!$B69)),'자료_거시'!$B69,"")</f>
        <v/>
      </c>
      <c r="Q87">
        <f>IF(ISNUMBER(P87),'자료_거시'!$A69,"")</f>
        <v/>
      </c>
      <c r="R87">
        <f>IF(ISNUMBER(Q87),IF(Q87&gt;$L$5,P87,""),"")</f>
        <v/>
      </c>
      <c r="S87">
        <f>IF(ISNUMBER('자료_거시'!$E69),'자료_거시'!$E69,S86)</f>
        <v/>
      </c>
      <c r="T87">
        <f>IF(AND(ISNUMBER('자료_거시'!$D69),ISNUMBER('자료_거시'!$E69)),IFERROR('자료_거시'!$E69-INDEX($S$21:$S$4020,MATCH(EDATE('자료_거시'!$D69,-'설정'!$B$17),'자료_거시'!$D$3:INDEX('자료_거시'!$D$3:$D$4002,$K$6),1)),""),"")</f>
        <v/>
      </c>
      <c r="U87">
        <f>IF(ISNUMBER(T87),'자료_거시'!$D69,"")</f>
        <v/>
      </c>
      <c r="V87">
        <f>IF(ISNUMBER(U87),IF(U87&gt;$L$6,T87,""),"")</f>
        <v/>
      </c>
      <c r="W87">
        <f>IF(AND(ISNUMBER('자료_거시'!$G69),ISNUMBER('자료_거시'!$H69)),'자료_거시'!$H69,"")</f>
        <v/>
      </c>
      <c r="X87">
        <f>IF(ISNUMBER(W87),'자료_거시'!$G69,"")</f>
        <v/>
      </c>
      <c r="Y87">
        <f>IF(ISNUMBER(X87),IF(X87&gt;$L$7,W87,""),"")</f>
        <v/>
      </c>
      <c r="Z87">
        <f>IF(ISNUMBER('자료_거시'!$K69),'자료_거시'!$K69,Z86)</f>
        <v/>
      </c>
      <c r="AA87">
        <f>IF(AND(ISNUMBER('자료_거시'!$J69),ISNUMBER('자료_거시'!$K69)),IFERROR('자료_거시'!$K69/INDEX($Z$21:$Z$4020,MATCH(EDATE('자료_거시'!$J69,-'설정'!$B$17),'자료_거시'!$J$3:INDEX('자료_거시'!$J$3:$J$4002,$K$8),1))-1,""),"")</f>
        <v/>
      </c>
      <c r="AB87">
        <f>IF(ISNUMBER(AA87),'자료_거시'!$J69,"")</f>
        <v/>
      </c>
      <c r="AC87">
        <f>IF(ISNUMBER(AB87),IF(AB87&gt;$L$8,AA87,""),"")</f>
        <v/>
      </c>
      <c r="AD87">
        <f>IF(AND(ISNUMBER('자료_거시'!$M69),ISNUMBER('자료_거시'!$N69)),1,0)</f>
        <v/>
      </c>
      <c r="AE87">
        <f>IF(AND(ISNUMBER('자료_거시'!$M69),ISNUMBER('자료_거시'!$N69)),IF(AND(SUMIFS($AD$21:$AD$620,'자료_거시'!$M$3:$M$602,"&gt;"&amp;EDATE('자료_거시'!$M69,-'설정'!$B$17),'자료_거시'!$M$3:$M$602,"&lt;="&amp;'자료_거시'!$M69)=3,SUMIFS($AD$21:$AD$620,'자료_거시'!$M$3:$M$602,"&gt;"&amp;EDATE('자료_거시'!$M69,-12-'설정'!$B$17),'자료_거시'!$M$3:$M$602,"&lt;="&amp;EDATE('자료_거시'!$M69,-12))=3),IFERROR(SUMIFS('자료_거시'!$N$3:$N$602,'자료_거시'!$M$3:$M$602,"&gt;"&amp;EDATE('자료_거시'!$M69,-'설정'!$B$17),'자료_거시'!$M$3:$M$602,"&lt;="&amp;'자료_거시'!$M69)/SUMIFS('자료_거시'!$N$3:$N$602,'자료_거시'!$M$3:$M$602,"&gt;"&amp;EDATE('자료_거시'!$M69,-12-'설정'!$B$17),'자료_거시'!$M$3:$M$602,"&lt;="&amp;EDATE('자료_거시'!$M69,-12))-1,""),""),"")</f>
        <v/>
      </c>
      <c r="AF87">
        <f>IF(ISNUMBER(AE87),'자료_거시'!$M69,"")</f>
        <v/>
      </c>
      <c r="AG87">
        <f>IF(ISNUMBER(AF87),IF(AF87&gt;$L$9,AE87,""),"")</f>
        <v/>
      </c>
    </row>
    <row r="88">
      <c r="P88">
        <f>IF(AND(ISNUMBER('자료_거시'!$A70),ISNUMBER('자료_거시'!$B70)),'자료_거시'!$B70,"")</f>
        <v/>
      </c>
      <c r="Q88">
        <f>IF(ISNUMBER(P88),'자료_거시'!$A70,"")</f>
        <v/>
      </c>
      <c r="R88">
        <f>IF(ISNUMBER(Q88),IF(Q88&gt;$L$5,P88,""),"")</f>
        <v/>
      </c>
      <c r="S88">
        <f>IF(ISNUMBER('자료_거시'!$E70),'자료_거시'!$E70,S87)</f>
        <v/>
      </c>
      <c r="T88">
        <f>IF(AND(ISNUMBER('자료_거시'!$D70),ISNUMBER('자료_거시'!$E70)),IFERROR('자료_거시'!$E70-INDEX($S$21:$S$4020,MATCH(EDATE('자료_거시'!$D70,-'설정'!$B$17),'자료_거시'!$D$3:INDEX('자료_거시'!$D$3:$D$4002,$K$6),1)),""),"")</f>
        <v/>
      </c>
      <c r="U88">
        <f>IF(ISNUMBER(T88),'자료_거시'!$D70,"")</f>
        <v/>
      </c>
      <c r="V88">
        <f>IF(ISNUMBER(U88),IF(U88&gt;$L$6,T88,""),"")</f>
        <v/>
      </c>
      <c r="W88">
        <f>IF(AND(ISNUMBER('자료_거시'!$G70),ISNUMBER('자료_거시'!$H70)),'자료_거시'!$H70,"")</f>
        <v/>
      </c>
      <c r="X88">
        <f>IF(ISNUMBER(W88),'자료_거시'!$G70,"")</f>
        <v/>
      </c>
      <c r="Y88">
        <f>IF(ISNUMBER(X88),IF(X88&gt;$L$7,W88,""),"")</f>
        <v/>
      </c>
      <c r="Z88">
        <f>IF(ISNUMBER('자료_거시'!$K70),'자료_거시'!$K70,Z87)</f>
        <v/>
      </c>
      <c r="AA88">
        <f>IF(AND(ISNUMBER('자료_거시'!$J70),ISNUMBER('자료_거시'!$K70)),IFERROR('자료_거시'!$K70/INDEX($Z$21:$Z$4020,MATCH(EDATE('자료_거시'!$J70,-'설정'!$B$17),'자료_거시'!$J$3:INDEX('자료_거시'!$J$3:$J$4002,$K$8),1))-1,""),"")</f>
        <v/>
      </c>
      <c r="AB88">
        <f>IF(ISNUMBER(AA88),'자료_거시'!$J70,"")</f>
        <v/>
      </c>
      <c r="AC88">
        <f>IF(ISNUMBER(AB88),IF(AB88&gt;$L$8,AA88,""),"")</f>
        <v/>
      </c>
      <c r="AD88">
        <f>IF(AND(ISNUMBER('자료_거시'!$M70),ISNUMBER('자료_거시'!$N70)),1,0)</f>
        <v/>
      </c>
      <c r="AE88">
        <f>IF(AND(ISNUMBER('자료_거시'!$M70),ISNUMBER('자료_거시'!$N70)),IF(AND(SUMIFS($AD$21:$AD$620,'자료_거시'!$M$3:$M$602,"&gt;"&amp;EDATE('자료_거시'!$M70,-'설정'!$B$17),'자료_거시'!$M$3:$M$602,"&lt;="&amp;'자료_거시'!$M70)=3,SUMIFS($AD$21:$AD$620,'자료_거시'!$M$3:$M$602,"&gt;"&amp;EDATE('자료_거시'!$M70,-12-'설정'!$B$17),'자료_거시'!$M$3:$M$602,"&lt;="&amp;EDATE('자료_거시'!$M70,-12))=3),IFERROR(SUMIFS('자료_거시'!$N$3:$N$602,'자료_거시'!$M$3:$M$602,"&gt;"&amp;EDATE('자료_거시'!$M70,-'설정'!$B$17),'자료_거시'!$M$3:$M$602,"&lt;="&amp;'자료_거시'!$M70)/SUMIFS('자료_거시'!$N$3:$N$602,'자료_거시'!$M$3:$M$602,"&gt;"&amp;EDATE('자료_거시'!$M70,-12-'설정'!$B$17),'자료_거시'!$M$3:$M$602,"&lt;="&amp;EDATE('자료_거시'!$M70,-12))-1,""),""),"")</f>
        <v/>
      </c>
      <c r="AF88">
        <f>IF(ISNUMBER(AE88),'자료_거시'!$M70,"")</f>
        <v/>
      </c>
      <c r="AG88">
        <f>IF(ISNUMBER(AF88),IF(AF88&gt;$L$9,AE88,""),"")</f>
        <v/>
      </c>
    </row>
    <row r="89">
      <c r="P89">
        <f>IF(AND(ISNUMBER('자료_거시'!$A71),ISNUMBER('자료_거시'!$B71)),'자료_거시'!$B71,"")</f>
        <v/>
      </c>
      <c r="Q89">
        <f>IF(ISNUMBER(P89),'자료_거시'!$A71,"")</f>
        <v/>
      </c>
      <c r="R89">
        <f>IF(ISNUMBER(Q89),IF(Q89&gt;$L$5,P89,""),"")</f>
        <v/>
      </c>
      <c r="S89">
        <f>IF(ISNUMBER('자료_거시'!$E71),'자료_거시'!$E71,S88)</f>
        <v/>
      </c>
      <c r="T89">
        <f>IF(AND(ISNUMBER('자료_거시'!$D71),ISNUMBER('자료_거시'!$E71)),IFERROR('자료_거시'!$E71-INDEX($S$21:$S$4020,MATCH(EDATE('자료_거시'!$D71,-'설정'!$B$17),'자료_거시'!$D$3:INDEX('자료_거시'!$D$3:$D$4002,$K$6),1)),""),"")</f>
        <v/>
      </c>
      <c r="U89">
        <f>IF(ISNUMBER(T89),'자료_거시'!$D71,"")</f>
        <v/>
      </c>
      <c r="V89">
        <f>IF(ISNUMBER(U89),IF(U89&gt;$L$6,T89,""),"")</f>
        <v/>
      </c>
      <c r="W89">
        <f>IF(AND(ISNUMBER('자료_거시'!$G71),ISNUMBER('자료_거시'!$H71)),'자료_거시'!$H71,"")</f>
        <v/>
      </c>
      <c r="X89">
        <f>IF(ISNUMBER(W89),'자료_거시'!$G71,"")</f>
        <v/>
      </c>
      <c r="Y89">
        <f>IF(ISNUMBER(X89),IF(X89&gt;$L$7,W89,""),"")</f>
        <v/>
      </c>
      <c r="Z89">
        <f>IF(ISNUMBER('자료_거시'!$K71),'자료_거시'!$K71,Z88)</f>
        <v/>
      </c>
      <c r="AA89">
        <f>IF(AND(ISNUMBER('자료_거시'!$J71),ISNUMBER('자료_거시'!$K71)),IFERROR('자료_거시'!$K71/INDEX($Z$21:$Z$4020,MATCH(EDATE('자료_거시'!$J71,-'설정'!$B$17),'자료_거시'!$J$3:INDEX('자료_거시'!$J$3:$J$4002,$K$8),1))-1,""),"")</f>
        <v/>
      </c>
      <c r="AB89">
        <f>IF(ISNUMBER(AA89),'자료_거시'!$J71,"")</f>
        <v/>
      </c>
      <c r="AC89">
        <f>IF(ISNUMBER(AB89),IF(AB89&gt;$L$8,AA89,""),"")</f>
        <v/>
      </c>
      <c r="AD89">
        <f>IF(AND(ISNUMBER('자료_거시'!$M71),ISNUMBER('자료_거시'!$N71)),1,0)</f>
        <v/>
      </c>
      <c r="AE89">
        <f>IF(AND(ISNUMBER('자료_거시'!$M71),ISNUMBER('자료_거시'!$N71)),IF(AND(SUMIFS($AD$21:$AD$620,'자료_거시'!$M$3:$M$602,"&gt;"&amp;EDATE('자료_거시'!$M71,-'설정'!$B$17),'자료_거시'!$M$3:$M$602,"&lt;="&amp;'자료_거시'!$M71)=3,SUMIFS($AD$21:$AD$620,'자료_거시'!$M$3:$M$602,"&gt;"&amp;EDATE('자료_거시'!$M71,-12-'설정'!$B$17),'자료_거시'!$M$3:$M$602,"&lt;="&amp;EDATE('자료_거시'!$M71,-12))=3),IFERROR(SUMIFS('자료_거시'!$N$3:$N$602,'자료_거시'!$M$3:$M$602,"&gt;"&amp;EDATE('자료_거시'!$M71,-'설정'!$B$17),'자료_거시'!$M$3:$M$602,"&lt;="&amp;'자료_거시'!$M71)/SUMIFS('자료_거시'!$N$3:$N$602,'자료_거시'!$M$3:$M$602,"&gt;"&amp;EDATE('자료_거시'!$M71,-12-'설정'!$B$17),'자료_거시'!$M$3:$M$602,"&lt;="&amp;EDATE('자료_거시'!$M71,-12))-1,""),""),"")</f>
        <v/>
      </c>
      <c r="AF89">
        <f>IF(ISNUMBER(AE89),'자료_거시'!$M71,"")</f>
        <v/>
      </c>
      <c r="AG89">
        <f>IF(ISNUMBER(AF89),IF(AF89&gt;$L$9,AE89,""),"")</f>
        <v/>
      </c>
    </row>
    <row r="90">
      <c r="P90">
        <f>IF(AND(ISNUMBER('자료_거시'!$A72),ISNUMBER('자료_거시'!$B72)),'자료_거시'!$B72,"")</f>
        <v/>
      </c>
      <c r="Q90">
        <f>IF(ISNUMBER(P90),'자료_거시'!$A72,"")</f>
        <v/>
      </c>
      <c r="R90">
        <f>IF(ISNUMBER(Q90),IF(Q90&gt;$L$5,P90,""),"")</f>
        <v/>
      </c>
      <c r="S90">
        <f>IF(ISNUMBER('자료_거시'!$E72),'자료_거시'!$E72,S89)</f>
        <v/>
      </c>
      <c r="T90">
        <f>IF(AND(ISNUMBER('자료_거시'!$D72),ISNUMBER('자료_거시'!$E72)),IFERROR('자료_거시'!$E72-INDEX($S$21:$S$4020,MATCH(EDATE('자료_거시'!$D72,-'설정'!$B$17),'자료_거시'!$D$3:INDEX('자료_거시'!$D$3:$D$4002,$K$6),1)),""),"")</f>
        <v/>
      </c>
      <c r="U90">
        <f>IF(ISNUMBER(T90),'자료_거시'!$D72,"")</f>
        <v/>
      </c>
      <c r="V90">
        <f>IF(ISNUMBER(U90),IF(U90&gt;$L$6,T90,""),"")</f>
        <v/>
      </c>
      <c r="W90">
        <f>IF(AND(ISNUMBER('자료_거시'!$G72),ISNUMBER('자료_거시'!$H72)),'자료_거시'!$H72,"")</f>
        <v/>
      </c>
      <c r="X90">
        <f>IF(ISNUMBER(W90),'자료_거시'!$G72,"")</f>
        <v/>
      </c>
      <c r="Y90">
        <f>IF(ISNUMBER(X90),IF(X90&gt;$L$7,W90,""),"")</f>
        <v/>
      </c>
      <c r="Z90">
        <f>IF(ISNUMBER('자료_거시'!$K72),'자료_거시'!$K72,Z89)</f>
        <v/>
      </c>
      <c r="AA90">
        <f>IF(AND(ISNUMBER('자료_거시'!$J72),ISNUMBER('자료_거시'!$K72)),IFERROR('자료_거시'!$K72/INDEX($Z$21:$Z$4020,MATCH(EDATE('자료_거시'!$J72,-'설정'!$B$17),'자료_거시'!$J$3:INDEX('자료_거시'!$J$3:$J$4002,$K$8),1))-1,""),"")</f>
        <v/>
      </c>
      <c r="AB90">
        <f>IF(ISNUMBER(AA90),'자료_거시'!$J72,"")</f>
        <v/>
      </c>
      <c r="AC90">
        <f>IF(ISNUMBER(AB90),IF(AB90&gt;$L$8,AA90,""),"")</f>
        <v/>
      </c>
      <c r="AD90">
        <f>IF(AND(ISNUMBER('자료_거시'!$M72),ISNUMBER('자료_거시'!$N72)),1,0)</f>
        <v/>
      </c>
      <c r="AE90">
        <f>IF(AND(ISNUMBER('자료_거시'!$M72),ISNUMBER('자료_거시'!$N72)),IF(AND(SUMIFS($AD$21:$AD$620,'자료_거시'!$M$3:$M$602,"&gt;"&amp;EDATE('자료_거시'!$M72,-'설정'!$B$17),'자료_거시'!$M$3:$M$602,"&lt;="&amp;'자료_거시'!$M72)=3,SUMIFS($AD$21:$AD$620,'자료_거시'!$M$3:$M$602,"&gt;"&amp;EDATE('자료_거시'!$M72,-12-'설정'!$B$17),'자료_거시'!$M$3:$M$602,"&lt;="&amp;EDATE('자료_거시'!$M72,-12))=3),IFERROR(SUMIFS('자료_거시'!$N$3:$N$602,'자료_거시'!$M$3:$M$602,"&gt;"&amp;EDATE('자료_거시'!$M72,-'설정'!$B$17),'자료_거시'!$M$3:$M$602,"&lt;="&amp;'자료_거시'!$M72)/SUMIFS('자료_거시'!$N$3:$N$602,'자료_거시'!$M$3:$M$602,"&gt;"&amp;EDATE('자료_거시'!$M72,-12-'설정'!$B$17),'자료_거시'!$M$3:$M$602,"&lt;="&amp;EDATE('자료_거시'!$M72,-12))-1,""),""),"")</f>
        <v/>
      </c>
      <c r="AF90">
        <f>IF(ISNUMBER(AE90),'자료_거시'!$M72,"")</f>
        <v/>
      </c>
      <c r="AG90">
        <f>IF(ISNUMBER(AF90),IF(AF90&gt;$L$9,AE90,""),"")</f>
        <v/>
      </c>
    </row>
    <row r="91">
      <c r="P91">
        <f>IF(AND(ISNUMBER('자료_거시'!$A73),ISNUMBER('자료_거시'!$B73)),'자료_거시'!$B73,"")</f>
        <v/>
      </c>
      <c r="Q91">
        <f>IF(ISNUMBER(P91),'자료_거시'!$A73,"")</f>
        <v/>
      </c>
      <c r="R91">
        <f>IF(ISNUMBER(Q91),IF(Q91&gt;$L$5,P91,""),"")</f>
        <v/>
      </c>
      <c r="S91">
        <f>IF(ISNUMBER('자료_거시'!$E73),'자료_거시'!$E73,S90)</f>
        <v/>
      </c>
      <c r="T91">
        <f>IF(AND(ISNUMBER('자료_거시'!$D73),ISNUMBER('자료_거시'!$E73)),IFERROR('자료_거시'!$E73-INDEX($S$21:$S$4020,MATCH(EDATE('자료_거시'!$D73,-'설정'!$B$17),'자료_거시'!$D$3:INDEX('자료_거시'!$D$3:$D$4002,$K$6),1)),""),"")</f>
        <v/>
      </c>
      <c r="U91">
        <f>IF(ISNUMBER(T91),'자료_거시'!$D73,"")</f>
        <v/>
      </c>
      <c r="V91">
        <f>IF(ISNUMBER(U91),IF(U91&gt;$L$6,T91,""),"")</f>
        <v/>
      </c>
      <c r="W91">
        <f>IF(AND(ISNUMBER('자료_거시'!$G73),ISNUMBER('자료_거시'!$H73)),'자료_거시'!$H73,"")</f>
        <v/>
      </c>
      <c r="X91">
        <f>IF(ISNUMBER(W91),'자료_거시'!$G73,"")</f>
        <v/>
      </c>
      <c r="Y91">
        <f>IF(ISNUMBER(X91),IF(X91&gt;$L$7,W91,""),"")</f>
        <v/>
      </c>
      <c r="Z91">
        <f>IF(ISNUMBER('자료_거시'!$K73),'자료_거시'!$K73,Z90)</f>
        <v/>
      </c>
      <c r="AA91">
        <f>IF(AND(ISNUMBER('자료_거시'!$J73),ISNUMBER('자료_거시'!$K73)),IFERROR('자료_거시'!$K73/INDEX($Z$21:$Z$4020,MATCH(EDATE('자료_거시'!$J73,-'설정'!$B$17),'자료_거시'!$J$3:INDEX('자료_거시'!$J$3:$J$4002,$K$8),1))-1,""),"")</f>
        <v/>
      </c>
      <c r="AB91">
        <f>IF(ISNUMBER(AA91),'자료_거시'!$J73,"")</f>
        <v/>
      </c>
      <c r="AC91">
        <f>IF(ISNUMBER(AB91),IF(AB91&gt;$L$8,AA91,""),"")</f>
        <v/>
      </c>
      <c r="AD91">
        <f>IF(AND(ISNUMBER('자료_거시'!$M73),ISNUMBER('자료_거시'!$N73)),1,0)</f>
        <v/>
      </c>
      <c r="AE91">
        <f>IF(AND(ISNUMBER('자료_거시'!$M73),ISNUMBER('자료_거시'!$N73)),IF(AND(SUMIFS($AD$21:$AD$620,'자료_거시'!$M$3:$M$602,"&gt;"&amp;EDATE('자료_거시'!$M73,-'설정'!$B$17),'자료_거시'!$M$3:$M$602,"&lt;="&amp;'자료_거시'!$M73)=3,SUMIFS($AD$21:$AD$620,'자료_거시'!$M$3:$M$602,"&gt;"&amp;EDATE('자료_거시'!$M73,-12-'설정'!$B$17),'자료_거시'!$M$3:$M$602,"&lt;="&amp;EDATE('자료_거시'!$M73,-12))=3),IFERROR(SUMIFS('자료_거시'!$N$3:$N$602,'자료_거시'!$M$3:$M$602,"&gt;"&amp;EDATE('자료_거시'!$M73,-'설정'!$B$17),'자료_거시'!$M$3:$M$602,"&lt;="&amp;'자료_거시'!$M73)/SUMIFS('자료_거시'!$N$3:$N$602,'자료_거시'!$M$3:$M$602,"&gt;"&amp;EDATE('자료_거시'!$M73,-12-'설정'!$B$17),'자료_거시'!$M$3:$M$602,"&lt;="&amp;EDATE('자료_거시'!$M73,-12))-1,""),""),"")</f>
        <v/>
      </c>
      <c r="AF91">
        <f>IF(ISNUMBER(AE91),'자료_거시'!$M73,"")</f>
        <v/>
      </c>
      <c r="AG91">
        <f>IF(ISNUMBER(AF91),IF(AF91&gt;$L$9,AE91,""),"")</f>
        <v/>
      </c>
    </row>
    <row r="92">
      <c r="P92">
        <f>IF(AND(ISNUMBER('자료_거시'!$A74),ISNUMBER('자료_거시'!$B74)),'자료_거시'!$B74,"")</f>
        <v/>
      </c>
      <c r="Q92">
        <f>IF(ISNUMBER(P92),'자료_거시'!$A74,"")</f>
        <v/>
      </c>
      <c r="R92">
        <f>IF(ISNUMBER(Q92),IF(Q92&gt;$L$5,P92,""),"")</f>
        <v/>
      </c>
      <c r="S92">
        <f>IF(ISNUMBER('자료_거시'!$E74),'자료_거시'!$E74,S91)</f>
        <v/>
      </c>
      <c r="T92">
        <f>IF(AND(ISNUMBER('자료_거시'!$D74),ISNUMBER('자료_거시'!$E74)),IFERROR('자료_거시'!$E74-INDEX($S$21:$S$4020,MATCH(EDATE('자료_거시'!$D74,-'설정'!$B$17),'자료_거시'!$D$3:INDEX('자료_거시'!$D$3:$D$4002,$K$6),1)),""),"")</f>
        <v/>
      </c>
      <c r="U92">
        <f>IF(ISNUMBER(T92),'자료_거시'!$D74,"")</f>
        <v/>
      </c>
      <c r="V92">
        <f>IF(ISNUMBER(U92),IF(U92&gt;$L$6,T92,""),"")</f>
        <v/>
      </c>
      <c r="W92">
        <f>IF(AND(ISNUMBER('자료_거시'!$G74),ISNUMBER('자료_거시'!$H74)),'자료_거시'!$H74,"")</f>
        <v/>
      </c>
      <c r="X92">
        <f>IF(ISNUMBER(W92),'자료_거시'!$G74,"")</f>
        <v/>
      </c>
      <c r="Y92">
        <f>IF(ISNUMBER(X92),IF(X92&gt;$L$7,W92,""),"")</f>
        <v/>
      </c>
      <c r="Z92">
        <f>IF(ISNUMBER('자료_거시'!$K74),'자료_거시'!$K74,Z91)</f>
        <v/>
      </c>
      <c r="AA92">
        <f>IF(AND(ISNUMBER('자료_거시'!$J74),ISNUMBER('자료_거시'!$K74)),IFERROR('자료_거시'!$K74/INDEX($Z$21:$Z$4020,MATCH(EDATE('자료_거시'!$J74,-'설정'!$B$17),'자료_거시'!$J$3:INDEX('자료_거시'!$J$3:$J$4002,$K$8),1))-1,""),"")</f>
        <v/>
      </c>
      <c r="AB92">
        <f>IF(ISNUMBER(AA92),'자료_거시'!$J74,"")</f>
        <v/>
      </c>
      <c r="AC92">
        <f>IF(ISNUMBER(AB92),IF(AB92&gt;$L$8,AA92,""),"")</f>
        <v/>
      </c>
      <c r="AD92">
        <f>IF(AND(ISNUMBER('자료_거시'!$M74),ISNUMBER('자료_거시'!$N74)),1,0)</f>
        <v/>
      </c>
      <c r="AE92">
        <f>IF(AND(ISNUMBER('자료_거시'!$M74),ISNUMBER('자료_거시'!$N74)),IF(AND(SUMIFS($AD$21:$AD$620,'자료_거시'!$M$3:$M$602,"&gt;"&amp;EDATE('자료_거시'!$M74,-'설정'!$B$17),'자료_거시'!$M$3:$M$602,"&lt;="&amp;'자료_거시'!$M74)=3,SUMIFS($AD$21:$AD$620,'자료_거시'!$M$3:$M$602,"&gt;"&amp;EDATE('자료_거시'!$M74,-12-'설정'!$B$17),'자료_거시'!$M$3:$M$602,"&lt;="&amp;EDATE('자료_거시'!$M74,-12))=3),IFERROR(SUMIFS('자료_거시'!$N$3:$N$602,'자료_거시'!$M$3:$M$602,"&gt;"&amp;EDATE('자료_거시'!$M74,-'설정'!$B$17),'자료_거시'!$M$3:$M$602,"&lt;="&amp;'자료_거시'!$M74)/SUMIFS('자료_거시'!$N$3:$N$602,'자료_거시'!$M$3:$M$602,"&gt;"&amp;EDATE('자료_거시'!$M74,-12-'설정'!$B$17),'자료_거시'!$M$3:$M$602,"&lt;="&amp;EDATE('자료_거시'!$M74,-12))-1,""),""),"")</f>
        <v/>
      </c>
      <c r="AF92">
        <f>IF(ISNUMBER(AE92),'자료_거시'!$M74,"")</f>
        <v/>
      </c>
      <c r="AG92">
        <f>IF(ISNUMBER(AF92),IF(AF92&gt;$L$9,AE92,""),"")</f>
        <v/>
      </c>
    </row>
    <row r="93">
      <c r="P93">
        <f>IF(AND(ISNUMBER('자료_거시'!$A75),ISNUMBER('자료_거시'!$B75)),'자료_거시'!$B75,"")</f>
        <v/>
      </c>
      <c r="Q93">
        <f>IF(ISNUMBER(P93),'자료_거시'!$A75,"")</f>
        <v/>
      </c>
      <c r="R93">
        <f>IF(ISNUMBER(Q93),IF(Q93&gt;$L$5,P93,""),"")</f>
        <v/>
      </c>
      <c r="S93">
        <f>IF(ISNUMBER('자료_거시'!$E75),'자료_거시'!$E75,S92)</f>
        <v/>
      </c>
      <c r="T93">
        <f>IF(AND(ISNUMBER('자료_거시'!$D75),ISNUMBER('자료_거시'!$E75)),IFERROR('자료_거시'!$E75-INDEX($S$21:$S$4020,MATCH(EDATE('자료_거시'!$D75,-'설정'!$B$17),'자료_거시'!$D$3:INDEX('자료_거시'!$D$3:$D$4002,$K$6),1)),""),"")</f>
        <v/>
      </c>
      <c r="U93">
        <f>IF(ISNUMBER(T93),'자료_거시'!$D75,"")</f>
        <v/>
      </c>
      <c r="V93">
        <f>IF(ISNUMBER(U93),IF(U93&gt;$L$6,T93,""),"")</f>
        <v/>
      </c>
      <c r="W93">
        <f>IF(AND(ISNUMBER('자료_거시'!$G75),ISNUMBER('자료_거시'!$H75)),'자료_거시'!$H75,"")</f>
        <v/>
      </c>
      <c r="X93">
        <f>IF(ISNUMBER(W93),'자료_거시'!$G75,"")</f>
        <v/>
      </c>
      <c r="Y93">
        <f>IF(ISNUMBER(X93),IF(X93&gt;$L$7,W93,""),"")</f>
        <v/>
      </c>
      <c r="Z93">
        <f>IF(ISNUMBER('자료_거시'!$K75),'자료_거시'!$K75,Z92)</f>
        <v/>
      </c>
      <c r="AA93">
        <f>IF(AND(ISNUMBER('자료_거시'!$J75),ISNUMBER('자료_거시'!$K75)),IFERROR('자료_거시'!$K75/INDEX($Z$21:$Z$4020,MATCH(EDATE('자료_거시'!$J75,-'설정'!$B$17),'자료_거시'!$J$3:INDEX('자료_거시'!$J$3:$J$4002,$K$8),1))-1,""),"")</f>
        <v/>
      </c>
      <c r="AB93">
        <f>IF(ISNUMBER(AA93),'자료_거시'!$J75,"")</f>
        <v/>
      </c>
      <c r="AC93">
        <f>IF(ISNUMBER(AB93),IF(AB93&gt;$L$8,AA93,""),"")</f>
        <v/>
      </c>
      <c r="AD93">
        <f>IF(AND(ISNUMBER('자료_거시'!$M75),ISNUMBER('자료_거시'!$N75)),1,0)</f>
        <v/>
      </c>
      <c r="AE93">
        <f>IF(AND(ISNUMBER('자료_거시'!$M75),ISNUMBER('자료_거시'!$N75)),IF(AND(SUMIFS($AD$21:$AD$620,'자료_거시'!$M$3:$M$602,"&gt;"&amp;EDATE('자료_거시'!$M75,-'설정'!$B$17),'자료_거시'!$M$3:$M$602,"&lt;="&amp;'자료_거시'!$M75)=3,SUMIFS($AD$21:$AD$620,'자료_거시'!$M$3:$M$602,"&gt;"&amp;EDATE('자료_거시'!$M75,-12-'설정'!$B$17),'자료_거시'!$M$3:$M$602,"&lt;="&amp;EDATE('자료_거시'!$M75,-12))=3),IFERROR(SUMIFS('자료_거시'!$N$3:$N$602,'자료_거시'!$M$3:$M$602,"&gt;"&amp;EDATE('자료_거시'!$M75,-'설정'!$B$17),'자료_거시'!$M$3:$M$602,"&lt;="&amp;'자료_거시'!$M75)/SUMIFS('자료_거시'!$N$3:$N$602,'자료_거시'!$M$3:$M$602,"&gt;"&amp;EDATE('자료_거시'!$M75,-12-'설정'!$B$17),'자료_거시'!$M$3:$M$602,"&lt;="&amp;EDATE('자료_거시'!$M75,-12))-1,""),""),"")</f>
        <v/>
      </c>
      <c r="AF93">
        <f>IF(ISNUMBER(AE93),'자료_거시'!$M75,"")</f>
        <v/>
      </c>
      <c r="AG93">
        <f>IF(ISNUMBER(AF93),IF(AF93&gt;$L$9,AE93,""),"")</f>
        <v/>
      </c>
    </row>
    <row r="94">
      <c r="P94">
        <f>IF(AND(ISNUMBER('자료_거시'!$A76),ISNUMBER('자료_거시'!$B76)),'자료_거시'!$B76,"")</f>
        <v/>
      </c>
      <c r="Q94">
        <f>IF(ISNUMBER(P94),'자료_거시'!$A76,"")</f>
        <v/>
      </c>
      <c r="R94">
        <f>IF(ISNUMBER(Q94),IF(Q94&gt;$L$5,P94,""),"")</f>
        <v/>
      </c>
      <c r="S94">
        <f>IF(ISNUMBER('자료_거시'!$E76),'자료_거시'!$E76,S93)</f>
        <v/>
      </c>
      <c r="T94">
        <f>IF(AND(ISNUMBER('자료_거시'!$D76),ISNUMBER('자료_거시'!$E76)),IFERROR('자료_거시'!$E76-INDEX($S$21:$S$4020,MATCH(EDATE('자료_거시'!$D76,-'설정'!$B$17),'자료_거시'!$D$3:INDEX('자료_거시'!$D$3:$D$4002,$K$6),1)),""),"")</f>
        <v/>
      </c>
      <c r="U94">
        <f>IF(ISNUMBER(T94),'자료_거시'!$D76,"")</f>
        <v/>
      </c>
      <c r="V94">
        <f>IF(ISNUMBER(U94),IF(U94&gt;$L$6,T94,""),"")</f>
        <v/>
      </c>
      <c r="W94">
        <f>IF(AND(ISNUMBER('자료_거시'!$G76),ISNUMBER('자료_거시'!$H76)),'자료_거시'!$H76,"")</f>
        <v/>
      </c>
      <c r="X94">
        <f>IF(ISNUMBER(W94),'자료_거시'!$G76,"")</f>
        <v/>
      </c>
      <c r="Y94">
        <f>IF(ISNUMBER(X94),IF(X94&gt;$L$7,W94,""),"")</f>
        <v/>
      </c>
      <c r="Z94">
        <f>IF(ISNUMBER('자료_거시'!$K76),'자료_거시'!$K76,Z93)</f>
        <v/>
      </c>
      <c r="AA94">
        <f>IF(AND(ISNUMBER('자료_거시'!$J76),ISNUMBER('자료_거시'!$K76)),IFERROR('자료_거시'!$K76/INDEX($Z$21:$Z$4020,MATCH(EDATE('자료_거시'!$J76,-'설정'!$B$17),'자료_거시'!$J$3:INDEX('자료_거시'!$J$3:$J$4002,$K$8),1))-1,""),"")</f>
        <v/>
      </c>
      <c r="AB94">
        <f>IF(ISNUMBER(AA94),'자료_거시'!$J76,"")</f>
        <v/>
      </c>
      <c r="AC94">
        <f>IF(ISNUMBER(AB94),IF(AB94&gt;$L$8,AA94,""),"")</f>
        <v/>
      </c>
      <c r="AD94">
        <f>IF(AND(ISNUMBER('자료_거시'!$M76),ISNUMBER('자료_거시'!$N76)),1,0)</f>
        <v/>
      </c>
      <c r="AE94">
        <f>IF(AND(ISNUMBER('자료_거시'!$M76),ISNUMBER('자료_거시'!$N76)),IF(AND(SUMIFS($AD$21:$AD$620,'자료_거시'!$M$3:$M$602,"&gt;"&amp;EDATE('자료_거시'!$M76,-'설정'!$B$17),'자료_거시'!$M$3:$M$602,"&lt;="&amp;'자료_거시'!$M76)=3,SUMIFS($AD$21:$AD$620,'자료_거시'!$M$3:$M$602,"&gt;"&amp;EDATE('자료_거시'!$M76,-12-'설정'!$B$17),'자료_거시'!$M$3:$M$602,"&lt;="&amp;EDATE('자료_거시'!$M76,-12))=3),IFERROR(SUMIFS('자료_거시'!$N$3:$N$602,'자료_거시'!$M$3:$M$602,"&gt;"&amp;EDATE('자료_거시'!$M76,-'설정'!$B$17),'자료_거시'!$M$3:$M$602,"&lt;="&amp;'자료_거시'!$M76)/SUMIFS('자료_거시'!$N$3:$N$602,'자료_거시'!$M$3:$M$602,"&gt;"&amp;EDATE('자료_거시'!$M76,-12-'설정'!$B$17),'자료_거시'!$M$3:$M$602,"&lt;="&amp;EDATE('자료_거시'!$M76,-12))-1,""),""),"")</f>
        <v/>
      </c>
      <c r="AF94">
        <f>IF(ISNUMBER(AE94),'자료_거시'!$M76,"")</f>
        <v/>
      </c>
      <c r="AG94">
        <f>IF(ISNUMBER(AF94),IF(AF94&gt;$L$9,AE94,""),"")</f>
        <v/>
      </c>
    </row>
    <row r="95">
      <c r="P95">
        <f>IF(AND(ISNUMBER('자료_거시'!$A77),ISNUMBER('자료_거시'!$B77)),'자료_거시'!$B77,"")</f>
        <v/>
      </c>
      <c r="Q95">
        <f>IF(ISNUMBER(P95),'자료_거시'!$A77,"")</f>
        <v/>
      </c>
      <c r="R95">
        <f>IF(ISNUMBER(Q95),IF(Q95&gt;$L$5,P95,""),"")</f>
        <v/>
      </c>
      <c r="S95">
        <f>IF(ISNUMBER('자료_거시'!$E77),'자료_거시'!$E77,S94)</f>
        <v/>
      </c>
      <c r="T95">
        <f>IF(AND(ISNUMBER('자료_거시'!$D77),ISNUMBER('자료_거시'!$E77)),IFERROR('자료_거시'!$E77-INDEX($S$21:$S$4020,MATCH(EDATE('자료_거시'!$D77,-'설정'!$B$17),'자료_거시'!$D$3:INDEX('자료_거시'!$D$3:$D$4002,$K$6),1)),""),"")</f>
        <v/>
      </c>
      <c r="U95">
        <f>IF(ISNUMBER(T95),'자료_거시'!$D77,"")</f>
        <v/>
      </c>
      <c r="V95">
        <f>IF(ISNUMBER(U95),IF(U95&gt;$L$6,T95,""),"")</f>
        <v/>
      </c>
      <c r="W95">
        <f>IF(AND(ISNUMBER('자료_거시'!$G77),ISNUMBER('자료_거시'!$H77)),'자료_거시'!$H77,"")</f>
        <v/>
      </c>
      <c r="X95">
        <f>IF(ISNUMBER(W95),'자료_거시'!$G77,"")</f>
        <v/>
      </c>
      <c r="Y95">
        <f>IF(ISNUMBER(X95),IF(X95&gt;$L$7,W95,""),"")</f>
        <v/>
      </c>
      <c r="Z95">
        <f>IF(ISNUMBER('자료_거시'!$K77),'자료_거시'!$K77,Z94)</f>
        <v/>
      </c>
      <c r="AA95">
        <f>IF(AND(ISNUMBER('자료_거시'!$J77),ISNUMBER('자료_거시'!$K77)),IFERROR('자료_거시'!$K77/INDEX($Z$21:$Z$4020,MATCH(EDATE('자료_거시'!$J77,-'설정'!$B$17),'자료_거시'!$J$3:INDEX('자료_거시'!$J$3:$J$4002,$K$8),1))-1,""),"")</f>
        <v/>
      </c>
      <c r="AB95">
        <f>IF(ISNUMBER(AA95),'자료_거시'!$J77,"")</f>
        <v/>
      </c>
      <c r="AC95">
        <f>IF(ISNUMBER(AB95),IF(AB95&gt;$L$8,AA95,""),"")</f>
        <v/>
      </c>
      <c r="AD95">
        <f>IF(AND(ISNUMBER('자료_거시'!$M77),ISNUMBER('자료_거시'!$N77)),1,0)</f>
        <v/>
      </c>
      <c r="AE95">
        <f>IF(AND(ISNUMBER('자료_거시'!$M77),ISNUMBER('자료_거시'!$N77)),IF(AND(SUMIFS($AD$21:$AD$620,'자료_거시'!$M$3:$M$602,"&gt;"&amp;EDATE('자료_거시'!$M77,-'설정'!$B$17),'자료_거시'!$M$3:$M$602,"&lt;="&amp;'자료_거시'!$M77)=3,SUMIFS($AD$21:$AD$620,'자료_거시'!$M$3:$M$602,"&gt;"&amp;EDATE('자료_거시'!$M77,-12-'설정'!$B$17),'자료_거시'!$M$3:$M$602,"&lt;="&amp;EDATE('자료_거시'!$M77,-12))=3),IFERROR(SUMIFS('자료_거시'!$N$3:$N$602,'자료_거시'!$M$3:$M$602,"&gt;"&amp;EDATE('자료_거시'!$M77,-'설정'!$B$17),'자료_거시'!$M$3:$M$602,"&lt;="&amp;'자료_거시'!$M77)/SUMIFS('자료_거시'!$N$3:$N$602,'자료_거시'!$M$3:$M$602,"&gt;"&amp;EDATE('자료_거시'!$M77,-12-'설정'!$B$17),'자료_거시'!$M$3:$M$602,"&lt;="&amp;EDATE('자료_거시'!$M77,-12))-1,""),""),"")</f>
        <v/>
      </c>
      <c r="AF95">
        <f>IF(ISNUMBER(AE95),'자료_거시'!$M77,"")</f>
        <v/>
      </c>
      <c r="AG95">
        <f>IF(ISNUMBER(AF95),IF(AF95&gt;$L$9,AE95,""),"")</f>
        <v/>
      </c>
    </row>
    <row r="96">
      <c r="P96">
        <f>IF(AND(ISNUMBER('자료_거시'!$A78),ISNUMBER('자료_거시'!$B78)),'자료_거시'!$B78,"")</f>
        <v/>
      </c>
      <c r="Q96">
        <f>IF(ISNUMBER(P96),'자료_거시'!$A78,"")</f>
        <v/>
      </c>
      <c r="R96">
        <f>IF(ISNUMBER(Q96),IF(Q96&gt;$L$5,P96,""),"")</f>
        <v/>
      </c>
      <c r="S96">
        <f>IF(ISNUMBER('자료_거시'!$E78),'자료_거시'!$E78,S95)</f>
        <v/>
      </c>
      <c r="T96">
        <f>IF(AND(ISNUMBER('자료_거시'!$D78),ISNUMBER('자료_거시'!$E78)),IFERROR('자료_거시'!$E78-INDEX($S$21:$S$4020,MATCH(EDATE('자료_거시'!$D78,-'설정'!$B$17),'자료_거시'!$D$3:INDEX('자료_거시'!$D$3:$D$4002,$K$6),1)),""),"")</f>
        <v/>
      </c>
      <c r="U96">
        <f>IF(ISNUMBER(T96),'자료_거시'!$D78,"")</f>
        <v/>
      </c>
      <c r="V96">
        <f>IF(ISNUMBER(U96),IF(U96&gt;$L$6,T96,""),"")</f>
        <v/>
      </c>
      <c r="W96">
        <f>IF(AND(ISNUMBER('자료_거시'!$G78),ISNUMBER('자료_거시'!$H78)),'자료_거시'!$H78,"")</f>
        <v/>
      </c>
      <c r="X96">
        <f>IF(ISNUMBER(W96),'자료_거시'!$G78,"")</f>
        <v/>
      </c>
      <c r="Y96">
        <f>IF(ISNUMBER(X96),IF(X96&gt;$L$7,W96,""),"")</f>
        <v/>
      </c>
      <c r="Z96">
        <f>IF(ISNUMBER('자료_거시'!$K78),'자료_거시'!$K78,Z95)</f>
        <v/>
      </c>
      <c r="AA96">
        <f>IF(AND(ISNUMBER('자료_거시'!$J78),ISNUMBER('자료_거시'!$K78)),IFERROR('자료_거시'!$K78/INDEX($Z$21:$Z$4020,MATCH(EDATE('자료_거시'!$J78,-'설정'!$B$17),'자료_거시'!$J$3:INDEX('자료_거시'!$J$3:$J$4002,$K$8),1))-1,""),"")</f>
        <v/>
      </c>
      <c r="AB96">
        <f>IF(ISNUMBER(AA96),'자료_거시'!$J78,"")</f>
        <v/>
      </c>
      <c r="AC96">
        <f>IF(ISNUMBER(AB96),IF(AB96&gt;$L$8,AA96,""),"")</f>
        <v/>
      </c>
      <c r="AD96">
        <f>IF(AND(ISNUMBER('자료_거시'!$M78),ISNUMBER('자료_거시'!$N78)),1,0)</f>
        <v/>
      </c>
      <c r="AE96">
        <f>IF(AND(ISNUMBER('자료_거시'!$M78),ISNUMBER('자료_거시'!$N78)),IF(AND(SUMIFS($AD$21:$AD$620,'자료_거시'!$M$3:$M$602,"&gt;"&amp;EDATE('자료_거시'!$M78,-'설정'!$B$17),'자료_거시'!$M$3:$M$602,"&lt;="&amp;'자료_거시'!$M78)=3,SUMIFS($AD$21:$AD$620,'자료_거시'!$M$3:$M$602,"&gt;"&amp;EDATE('자료_거시'!$M78,-12-'설정'!$B$17),'자료_거시'!$M$3:$M$602,"&lt;="&amp;EDATE('자료_거시'!$M78,-12))=3),IFERROR(SUMIFS('자료_거시'!$N$3:$N$602,'자료_거시'!$M$3:$M$602,"&gt;"&amp;EDATE('자료_거시'!$M78,-'설정'!$B$17),'자료_거시'!$M$3:$M$602,"&lt;="&amp;'자료_거시'!$M78)/SUMIFS('자료_거시'!$N$3:$N$602,'자료_거시'!$M$3:$M$602,"&gt;"&amp;EDATE('자료_거시'!$M78,-12-'설정'!$B$17),'자료_거시'!$M$3:$M$602,"&lt;="&amp;EDATE('자료_거시'!$M78,-12))-1,""),""),"")</f>
        <v/>
      </c>
      <c r="AF96">
        <f>IF(ISNUMBER(AE96),'자료_거시'!$M78,"")</f>
        <v/>
      </c>
      <c r="AG96">
        <f>IF(ISNUMBER(AF96),IF(AF96&gt;$L$9,AE96,""),"")</f>
        <v/>
      </c>
    </row>
    <row r="97">
      <c r="P97">
        <f>IF(AND(ISNUMBER('자료_거시'!$A79),ISNUMBER('자료_거시'!$B79)),'자료_거시'!$B79,"")</f>
        <v/>
      </c>
      <c r="Q97">
        <f>IF(ISNUMBER(P97),'자료_거시'!$A79,"")</f>
        <v/>
      </c>
      <c r="R97">
        <f>IF(ISNUMBER(Q97),IF(Q97&gt;$L$5,P97,""),"")</f>
        <v/>
      </c>
      <c r="S97">
        <f>IF(ISNUMBER('자료_거시'!$E79),'자료_거시'!$E79,S96)</f>
        <v/>
      </c>
      <c r="T97">
        <f>IF(AND(ISNUMBER('자료_거시'!$D79),ISNUMBER('자료_거시'!$E79)),IFERROR('자료_거시'!$E79-INDEX($S$21:$S$4020,MATCH(EDATE('자료_거시'!$D79,-'설정'!$B$17),'자료_거시'!$D$3:INDEX('자료_거시'!$D$3:$D$4002,$K$6),1)),""),"")</f>
        <v/>
      </c>
      <c r="U97">
        <f>IF(ISNUMBER(T97),'자료_거시'!$D79,"")</f>
        <v/>
      </c>
      <c r="V97">
        <f>IF(ISNUMBER(U97),IF(U97&gt;$L$6,T97,""),"")</f>
        <v/>
      </c>
      <c r="W97">
        <f>IF(AND(ISNUMBER('자료_거시'!$G79),ISNUMBER('자료_거시'!$H79)),'자료_거시'!$H79,"")</f>
        <v/>
      </c>
      <c r="X97">
        <f>IF(ISNUMBER(W97),'자료_거시'!$G79,"")</f>
        <v/>
      </c>
      <c r="Y97">
        <f>IF(ISNUMBER(X97),IF(X97&gt;$L$7,W97,""),"")</f>
        <v/>
      </c>
      <c r="Z97">
        <f>IF(ISNUMBER('자료_거시'!$K79),'자료_거시'!$K79,Z96)</f>
        <v/>
      </c>
      <c r="AA97">
        <f>IF(AND(ISNUMBER('자료_거시'!$J79),ISNUMBER('자료_거시'!$K79)),IFERROR('자료_거시'!$K79/INDEX($Z$21:$Z$4020,MATCH(EDATE('자료_거시'!$J79,-'설정'!$B$17),'자료_거시'!$J$3:INDEX('자료_거시'!$J$3:$J$4002,$K$8),1))-1,""),"")</f>
        <v/>
      </c>
      <c r="AB97">
        <f>IF(ISNUMBER(AA97),'자료_거시'!$J79,"")</f>
        <v/>
      </c>
      <c r="AC97">
        <f>IF(ISNUMBER(AB97),IF(AB97&gt;$L$8,AA97,""),"")</f>
        <v/>
      </c>
      <c r="AD97">
        <f>IF(AND(ISNUMBER('자료_거시'!$M79),ISNUMBER('자료_거시'!$N79)),1,0)</f>
        <v/>
      </c>
      <c r="AE97">
        <f>IF(AND(ISNUMBER('자료_거시'!$M79),ISNUMBER('자료_거시'!$N79)),IF(AND(SUMIFS($AD$21:$AD$620,'자료_거시'!$M$3:$M$602,"&gt;"&amp;EDATE('자료_거시'!$M79,-'설정'!$B$17),'자료_거시'!$M$3:$M$602,"&lt;="&amp;'자료_거시'!$M79)=3,SUMIFS($AD$21:$AD$620,'자료_거시'!$M$3:$M$602,"&gt;"&amp;EDATE('자료_거시'!$M79,-12-'설정'!$B$17),'자료_거시'!$M$3:$M$602,"&lt;="&amp;EDATE('자료_거시'!$M79,-12))=3),IFERROR(SUMIFS('자료_거시'!$N$3:$N$602,'자료_거시'!$M$3:$M$602,"&gt;"&amp;EDATE('자료_거시'!$M79,-'설정'!$B$17),'자료_거시'!$M$3:$M$602,"&lt;="&amp;'자료_거시'!$M79)/SUMIFS('자료_거시'!$N$3:$N$602,'자료_거시'!$M$3:$M$602,"&gt;"&amp;EDATE('자료_거시'!$M79,-12-'설정'!$B$17),'자료_거시'!$M$3:$M$602,"&lt;="&amp;EDATE('자료_거시'!$M79,-12))-1,""),""),"")</f>
        <v/>
      </c>
      <c r="AF97">
        <f>IF(ISNUMBER(AE97),'자료_거시'!$M79,"")</f>
        <v/>
      </c>
      <c r="AG97">
        <f>IF(ISNUMBER(AF97),IF(AF97&gt;$L$9,AE97,""),"")</f>
        <v/>
      </c>
    </row>
    <row r="98">
      <c r="P98">
        <f>IF(AND(ISNUMBER('자료_거시'!$A80),ISNUMBER('자료_거시'!$B80)),'자료_거시'!$B80,"")</f>
        <v/>
      </c>
      <c r="Q98">
        <f>IF(ISNUMBER(P98),'자료_거시'!$A80,"")</f>
        <v/>
      </c>
      <c r="R98">
        <f>IF(ISNUMBER(Q98),IF(Q98&gt;$L$5,P98,""),"")</f>
        <v/>
      </c>
      <c r="S98">
        <f>IF(ISNUMBER('자료_거시'!$E80),'자료_거시'!$E80,S97)</f>
        <v/>
      </c>
      <c r="T98">
        <f>IF(AND(ISNUMBER('자료_거시'!$D80),ISNUMBER('자료_거시'!$E80)),IFERROR('자료_거시'!$E80-INDEX($S$21:$S$4020,MATCH(EDATE('자료_거시'!$D80,-'설정'!$B$17),'자료_거시'!$D$3:INDEX('자료_거시'!$D$3:$D$4002,$K$6),1)),""),"")</f>
        <v/>
      </c>
      <c r="U98">
        <f>IF(ISNUMBER(T98),'자료_거시'!$D80,"")</f>
        <v/>
      </c>
      <c r="V98">
        <f>IF(ISNUMBER(U98),IF(U98&gt;$L$6,T98,""),"")</f>
        <v/>
      </c>
      <c r="W98">
        <f>IF(AND(ISNUMBER('자료_거시'!$G80),ISNUMBER('자료_거시'!$H80)),'자료_거시'!$H80,"")</f>
        <v/>
      </c>
      <c r="X98">
        <f>IF(ISNUMBER(W98),'자료_거시'!$G80,"")</f>
        <v/>
      </c>
      <c r="Y98">
        <f>IF(ISNUMBER(X98),IF(X98&gt;$L$7,W98,""),"")</f>
        <v/>
      </c>
      <c r="Z98">
        <f>IF(ISNUMBER('자료_거시'!$K80),'자료_거시'!$K80,Z97)</f>
        <v/>
      </c>
      <c r="AA98">
        <f>IF(AND(ISNUMBER('자료_거시'!$J80),ISNUMBER('자료_거시'!$K80)),IFERROR('자료_거시'!$K80/INDEX($Z$21:$Z$4020,MATCH(EDATE('자료_거시'!$J80,-'설정'!$B$17),'자료_거시'!$J$3:INDEX('자료_거시'!$J$3:$J$4002,$K$8),1))-1,""),"")</f>
        <v/>
      </c>
      <c r="AB98">
        <f>IF(ISNUMBER(AA98),'자료_거시'!$J80,"")</f>
        <v/>
      </c>
      <c r="AC98">
        <f>IF(ISNUMBER(AB98),IF(AB98&gt;$L$8,AA98,""),"")</f>
        <v/>
      </c>
      <c r="AD98">
        <f>IF(AND(ISNUMBER('자료_거시'!$M80),ISNUMBER('자료_거시'!$N80)),1,0)</f>
        <v/>
      </c>
      <c r="AE98">
        <f>IF(AND(ISNUMBER('자료_거시'!$M80),ISNUMBER('자료_거시'!$N80)),IF(AND(SUMIFS($AD$21:$AD$620,'자료_거시'!$M$3:$M$602,"&gt;"&amp;EDATE('자료_거시'!$M80,-'설정'!$B$17),'자료_거시'!$M$3:$M$602,"&lt;="&amp;'자료_거시'!$M80)=3,SUMIFS($AD$21:$AD$620,'자료_거시'!$M$3:$M$602,"&gt;"&amp;EDATE('자료_거시'!$M80,-12-'설정'!$B$17),'자료_거시'!$M$3:$M$602,"&lt;="&amp;EDATE('자료_거시'!$M80,-12))=3),IFERROR(SUMIFS('자료_거시'!$N$3:$N$602,'자료_거시'!$M$3:$M$602,"&gt;"&amp;EDATE('자료_거시'!$M80,-'설정'!$B$17),'자료_거시'!$M$3:$M$602,"&lt;="&amp;'자료_거시'!$M80)/SUMIFS('자료_거시'!$N$3:$N$602,'자료_거시'!$M$3:$M$602,"&gt;"&amp;EDATE('자료_거시'!$M80,-12-'설정'!$B$17),'자료_거시'!$M$3:$M$602,"&lt;="&amp;EDATE('자료_거시'!$M80,-12))-1,""),""),"")</f>
        <v/>
      </c>
      <c r="AF98">
        <f>IF(ISNUMBER(AE98),'자료_거시'!$M80,"")</f>
        <v/>
      </c>
      <c r="AG98">
        <f>IF(ISNUMBER(AF98),IF(AF98&gt;$L$9,AE98,""),"")</f>
        <v/>
      </c>
    </row>
    <row r="99">
      <c r="P99">
        <f>IF(AND(ISNUMBER('자료_거시'!$A81),ISNUMBER('자료_거시'!$B81)),'자료_거시'!$B81,"")</f>
        <v/>
      </c>
      <c r="Q99">
        <f>IF(ISNUMBER(P99),'자료_거시'!$A81,"")</f>
        <v/>
      </c>
      <c r="R99">
        <f>IF(ISNUMBER(Q99),IF(Q99&gt;$L$5,P99,""),"")</f>
        <v/>
      </c>
      <c r="S99">
        <f>IF(ISNUMBER('자료_거시'!$E81),'자료_거시'!$E81,S98)</f>
        <v/>
      </c>
      <c r="T99">
        <f>IF(AND(ISNUMBER('자료_거시'!$D81),ISNUMBER('자료_거시'!$E81)),IFERROR('자료_거시'!$E81-INDEX($S$21:$S$4020,MATCH(EDATE('자료_거시'!$D81,-'설정'!$B$17),'자료_거시'!$D$3:INDEX('자료_거시'!$D$3:$D$4002,$K$6),1)),""),"")</f>
        <v/>
      </c>
      <c r="U99">
        <f>IF(ISNUMBER(T99),'자료_거시'!$D81,"")</f>
        <v/>
      </c>
      <c r="V99">
        <f>IF(ISNUMBER(U99),IF(U99&gt;$L$6,T99,""),"")</f>
        <v/>
      </c>
      <c r="W99">
        <f>IF(AND(ISNUMBER('자료_거시'!$G81),ISNUMBER('자료_거시'!$H81)),'자료_거시'!$H81,"")</f>
        <v/>
      </c>
      <c r="X99">
        <f>IF(ISNUMBER(W99),'자료_거시'!$G81,"")</f>
        <v/>
      </c>
      <c r="Y99">
        <f>IF(ISNUMBER(X99),IF(X99&gt;$L$7,W99,""),"")</f>
        <v/>
      </c>
      <c r="Z99">
        <f>IF(ISNUMBER('자료_거시'!$K81),'자료_거시'!$K81,Z98)</f>
        <v/>
      </c>
      <c r="AA99">
        <f>IF(AND(ISNUMBER('자료_거시'!$J81),ISNUMBER('자료_거시'!$K81)),IFERROR('자료_거시'!$K81/INDEX($Z$21:$Z$4020,MATCH(EDATE('자료_거시'!$J81,-'설정'!$B$17),'자료_거시'!$J$3:INDEX('자료_거시'!$J$3:$J$4002,$K$8),1))-1,""),"")</f>
        <v/>
      </c>
      <c r="AB99">
        <f>IF(ISNUMBER(AA99),'자료_거시'!$J81,"")</f>
        <v/>
      </c>
      <c r="AC99">
        <f>IF(ISNUMBER(AB99),IF(AB99&gt;$L$8,AA99,""),"")</f>
        <v/>
      </c>
      <c r="AD99">
        <f>IF(AND(ISNUMBER('자료_거시'!$M81),ISNUMBER('자료_거시'!$N81)),1,0)</f>
        <v/>
      </c>
      <c r="AE99">
        <f>IF(AND(ISNUMBER('자료_거시'!$M81),ISNUMBER('자료_거시'!$N81)),IF(AND(SUMIFS($AD$21:$AD$620,'자료_거시'!$M$3:$M$602,"&gt;"&amp;EDATE('자료_거시'!$M81,-'설정'!$B$17),'자료_거시'!$M$3:$M$602,"&lt;="&amp;'자료_거시'!$M81)=3,SUMIFS($AD$21:$AD$620,'자료_거시'!$M$3:$M$602,"&gt;"&amp;EDATE('자료_거시'!$M81,-12-'설정'!$B$17),'자료_거시'!$M$3:$M$602,"&lt;="&amp;EDATE('자료_거시'!$M81,-12))=3),IFERROR(SUMIFS('자료_거시'!$N$3:$N$602,'자료_거시'!$M$3:$M$602,"&gt;"&amp;EDATE('자료_거시'!$M81,-'설정'!$B$17),'자료_거시'!$M$3:$M$602,"&lt;="&amp;'자료_거시'!$M81)/SUMIFS('자료_거시'!$N$3:$N$602,'자료_거시'!$M$3:$M$602,"&gt;"&amp;EDATE('자료_거시'!$M81,-12-'설정'!$B$17),'자료_거시'!$M$3:$M$602,"&lt;="&amp;EDATE('자료_거시'!$M81,-12))-1,""),""),"")</f>
        <v/>
      </c>
      <c r="AF99">
        <f>IF(ISNUMBER(AE99),'자료_거시'!$M81,"")</f>
        <v/>
      </c>
      <c r="AG99">
        <f>IF(ISNUMBER(AF99),IF(AF99&gt;$L$9,AE99,""),"")</f>
        <v/>
      </c>
    </row>
    <row r="100">
      <c r="P100">
        <f>IF(AND(ISNUMBER('자료_거시'!$A82),ISNUMBER('자료_거시'!$B82)),'자료_거시'!$B82,"")</f>
        <v/>
      </c>
      <c r="Q100">
        <f>IF(ISNUMBER(P100),'자료_거시'!$A82,"")</f>
        <v/>
      </c>
      <c r="R100">
        <f>IF(ISNUMBER(Q100),IF(Q100&gt;$L$5,P100,""),"")</f>
        <v/>
      </c>
      <c r="S100">
        <f>IF(ISNUMBER('자료_거시'!$E82),'자료_거시'!$E82,S99)</f>
        <v/>
      </c>
      <c r="T100">
        <f>IF(AND(ISNUMBER('자료_거시'!$D82),ISNUMBER('자료_거시'!$E82)),IFERROR('자료_거시'!$E82-INDEX($S$21:$S$4020,MATCH(EDATE('자료_거시'!$D82,-'설정'!$B$17),'자료_거시'!$D$3:INDEX('자료_거시'!$D$3:$D$4002,$K$6),1)),""),"")</f>
        <v/>
      </c>
      <c r="U100">
        <f>IF(ISNUMBER(T100),'자료_거시'!$D82,"")</f>
        <v/>
      </c>
      <c r="V100">
        <f>IF(ISNUMBER(U100),IF(U100&gt;$L$6,T100,""),"")</f>
        <v/>
      </c>
      <c r="W100">
        <f>IF(AND(ISNUMBER('자료_거시'!$G82),ISNUMBER('자료_거시'!$H82)),'자료_거시'!$H82,"")</f>
        <v/>
      </c>
      <c r="X100">
        <f>IF(ISNUMBER(W100),'자료_거시'!$G82,"")</f>
        <v/>
      </c>
      <c r="Y100">
        <f>IF(ISNUMBER(X100),IF(X100&gt;$L$7,W100,""),"")</f>
        <v/>
      </c>
      <c r="Z100">
        <f>IF(ISNUMBER('자료_거시'!$K82),'자료_거시'!$K82,Z99)</f>
        <v/>
      </c>
      <c r="AA100">
        <f>IF(AND(ISNUMBER('자료_거시'!$J82),ISNUMBER('자료_거시'!$K82)),IFERROR('자료_거시'!$K82/INDEX($Z$21:$Z$4020,MATCH(EDATE('자료_거시'!$J82,-'설정'!$B$17),'자료_거시'!$J$3:INDEX('자료_거시'!$J$3:$J$4002,$K$8),1))-1,""),"")</f>
        <v/>
      </c>
      <c r="AB100">
        <f>IF(ISNUMBER(AA100),'자료_거시'!$J82,"")</f>
        <v/>
      </c>
      <c r="AC100">
        <f>IF(ISNUMBER(AB100),IF(AB100&gt;$L$8,AA100,""),"")</f>
        <v/>
      </c>
      <c r="AD100">
        <f>IF(AND(ISNUMBER('자료_거시'!$M82),ISNUMBER('자료_거시'!$N82)),1,0)</f>
        <v/>
      </c>
      <c r="AE100">
        <f>IF(AND(ISNUMBER('자료_거시'!$M82),ISNUMBER('자료_거시'!$N82)),IF(AND(SUMIFS($AD$21:$AD$620,'자료_거시'!$M$3:$M$602,"&gt;"&amp;EDATE('자료_거시'!$M82,-'설정'!$B$17),'자료_거시'!$M$3:$M$602,"&lt;="&amp;'자료_거시'!$M82)=3,SUMIFS($AD$21:$AD$620,'자료_거시'!$M$3:$M$602,"&gt;"&amp;EDATE('자료_거시'!$M82,-12-'설정'!$B$17),'자료_거시'!$M$3:$M$602,"&lt;="&amp;EDATE('자료_거시'!$M82,-12))=3),IFERROR(SUMIFS('자료_거시'!$N$3:$N$602,'자료_거시'!$M$3:$M$602,"&gt;"&amp;EDATE('자료_거시'!$M82,-'설정'!$B$17),'자료_거시'!$M$3:$M$602,"&lt;="&amp;'자료_거시'!$M82)/SUMIFS('자료_거시'!$N$3:$N$602,'자료_거시'!$M$3:$M$602,"&gt;"&amp;EDATE('자료_거시'!$M82,-12-'설정'!$B$17),'자료_거시'!$M$3:$M$602,"&lt;="&amp;EDATE('자료_거시'!$M82,-12))-1,""),""),"")</f>
        <v/>
      </c>
      <c r="AF100">
        <f>IF(ISNUMBER(AE100),'자료_거시'!$M82,"")</f>
        <v/>
      </c>
      <c r="AG100">
        <f>IF(ISNUMBER(AF100),IF(AF100&gt;$L$9,AE100,""),"")</f>
        <v/>
      </c>
    </row>
    <row r="101">
      <c r="P101">
        <f>IF(AND(ISNUMBER('자료_거시'!$A83),ISNUMBER('자료_거시'!$B83)),'자료_거시'!$B83,"")</f>
        <v/>
      </c>
      <c r="Q101">
        <f>IF(ISNUMBER(P101),'자료_거시'!$A83,"")</f>
        <v/>
      </c>
      <c r="R101">
        <f>IF(ISNUMBER(Q101),IF(Q101&gt;$L$5,P101,""),"")</f>
        <v/>
      </c>
      <c r="S101">
        <f>IF(ISNUMBER('자료_거시'!$E83),'자료_거시'!$E83,S100)</f>
        <v/>
      </c>
      <c r="T101">
        <f>IF(AND(ISNUMBER('자료_거시'!$D83),ISNUMBER('자료_거시'!$E83)),IFERROR('자료_거시'!$E83-INDEX($S$21:$S$4020,MATCH(EDATE('자료_거시'!$D83,-'설정'!$B$17),'자료_거시'!$D$3:INDEX('자료_거시'!$D$3:$D$4002,$K$6),1)),""),"")</f>
        <v/>
      </c>
      <c r="U101">
        <f>IF(ISNUMBER(T101),'자료_거시'!$D83,"")</f>
        <v/>
      </c>
      <c r="V101">
        <f>IF(ISNUMBER(U101),IF(U101&gt;$L$6,T101,""),"")</f>
        <v/>
      </c>
      <c r="W101">
        <f>IF(AND(ISNUMBER('자료_거시'!$G83),ISNUMBER('자료_거시'!$H83)),'자료_거시'!$H83,"")</f>
        <v/>
      </c>
      <c r="X101">
        <f>IF(ISNUMBER(W101),'자료_거시'!$G83,"")</f>
        <v/>
      </c>
      <c r="Y101">
        <f>IF(ISNUMBER(X101),IF(X101&gt;$L$7,W101,""),"")</f>
        <v/>
      </c>
      <c r="Z101">
        <f>IF(ISNUMBER('자료_거시'!$K83),'자료_거시'!$K83,Z100)</f>
        <v/>
      </c>
      <c r="AA101">
        <f>IF(AND(ISNUMBER('자료_거시'!$J83),ISNUMBER('자료_거시'!$K83)),IFERROR('자료_거시'!$K83/INDEX($Z$21:$Z$4020,MATCH(EDATE('자료_거시'!$J83,-'설정'!$B$17),'자료_거시'!$J$3:INDEX('자료_거시'!$J$3:$J$4002,$K$8),1))-1,""),"")</f>
        <v/>
      </c>
      <c r="AB101">
        <f>IF(ISNUMBER(AA101),'자료_거시'!$J83,"")</f>
        <v/>
      </c>
      <c r="AC101">
        <f>IF(ISNUMBER(AB101),IF(AB101&gt;$L$8,AA101,""),"")</f>
        <v/>
      </c>
      <c r="AD101">
        <f>IF(AND(ISNUMBER('자료_거시'!$M83),ISNUMBER('자료_거시'!$N83)),1,0)</f>
        <v/>
      </c>
      <c r="AE101">
        <f>IF(AND(ISNUMBER('자료_거시'!$M83),ISNUMBER('자료_거시'!$N83)),IF(AND(SUMIFS($AD$21:$AD$620,'자료_거시'!$M$3:$M$602,"&gt;"&amp;EDATE('자료_거시'!$M83,-'설정'!$B$17),'자료_거시'!$M$3:$M$602,"&lt;="&amp;'자료_거시'!$M83)=3,SUMIFS($AD$21:$AD$620,'자료_거시'!$M$3:$M$602,"&gt;"&amp;EDATE('자료_거시'!$M83,-12-'설정'!$B$17),'자료_거시'!$M$3:$M$602,"&lt;="&amp;EDATE('자료_거시'!$M83,-12))=3),IFERROR(SUMIFS('자료_거시'!$N$3:$N$602,'자료_거시'!$M$3:$M$602,"&gt;"&amp;EDATE('자료_거시'!$M83,-'설정'!$B$17),'자료_거시'!$M$3:$M$602,"&lt;="&amp;'자료_거시'!$M83)/SUMIFS('자료_거시'!$N$3:$N$602,'자료_거시'!$M$3:$M$602,"&gt;"&amp;EDATE('자료_거시'!$M83,-12-'설정'!$B$17),'자료_거시'!$M$3:$M$602,"&lt;="&amp;EDATE('자료_거시'!$M83,-12))-1,""),""),"")</f>
        <v/>
      </c>
      <c r="AF101">
        <f>IF(ISNUMBER(AE101),'자료_거시'!$M83,"")</f>
        <v/>
      </c>
      <c r="AG101">
        <f>IF(ISNUMBER(AF101),IF(AF101&gt;$L$9,AE101,""),"")</f>
        <v/>
      </c>
    </row>
    <row r="102">
      <c r="P102">
        <f>IF(AND(ISNUMBER('자료_거시'!$A84),ISNUMBER('자료_거시'!$B84)),'자료_거시'!$B84,"")</f>
        <v/>
      </c>
      <c r="Q102">
        <f>IF(ISNUMBER(P102),'자료_거시'!$A84,"")</f>
        <v/>
      </c>
      <c r="R102">
        <f>IF(ISNUMBER(Q102),IF(Q102&gt;$L$5,P102,""),"")</f>
        <v/>
      </c>
      <c r="S102">
        <f>IF(ISNUMBER('자료_거시'!$E84),'자료_거시'!$E84,S101)</f>
        <v/>
      </c>
      <c r="T102">
        <f>IF(AND(ISNUMBER('자료_거시'!$D84),ISNUMBER('자료_거시'!$E84)),IFERROR('자료_거시'!$E84-INDEX($S$21:$S$4020,MATCH(EDATE('자료_거시'!$D84,-'설정'!$B$17),'자료_거시'!$D$3:INDEX('자료_거시'!$D$3:$D$4002,$K$6),1)),""),"")</f>
        <v/>
      </c>
      <c r="U102">
        <f>IF(ISNUMBER(T102),'자료_거시'!$D84,"")</f>
        <v/>
      </c>
      <c r="V102">
        <f>IF(ISNUMBER(U102),IF(U102&gt;$L$6,T102,""),"")</f>
        <v/>
      </c>
      <c r="W102">
        <f>IF(AND(ISNUMBER('자료_거시'!$G84),ISNUMBER('자료_거시'!$H84)),'자료_거시'!$H84,"")</f>
        <v/>
      </c>
      <c r="X102">
        <f>IF(ISNUMBER(W102),'자료_거시'!$G84,"")</f>
        <v/>
      </c>
      <c r="Y102">
        <f>IF(ISNUMBER(X102),IF(X102&gt;$L$7,W102,""),"")</f>
        <v/>
      </c>
      <c r="Z102">
        <f>IF(ISNUMBER('자료_거시'!$K84),'자료_거시'!$K84,Z101)</f>
        <v/>
      </c>
      <c r="AA102">
        <f>IF(AND(ISNUMBER('자료_거시'!$J84),ISNUMBER('자료_거시'!$K84)),IFERROR('자료_거시'!$K84/INDEX($Z$21:$Z$4020,MATCH(EDATE('자료_거시'!$J84,-'설정'!$B$17),'자료_거시'!$J$3:INDEX('자료_거시'!$J$3:$J$4002,$K$8),1))-1,""),"")</f>
        <v/>
      </c>
      <c r="AB102">
        <f>IF(ISNUMBER(AA102),'자료_거시'!$J84,"")</f>
        <v/>
      </c>
      <c r="AC102">
        <f>IF(ISNUMBER(AB102),IF(AB102&gt;$L$8,AA102,""),"")</f>
        <v/>
      </c>
      <c r="AD102">
        <f>IF(AND(ISNUMBER('자료_거시'!$M84),ISNUMBER('자료_거시'!$N84)),1,0)</f>
        <v/>
      </c>
      <c r="AE102">
        <f>IF(AND(ISNUMBER('자료_거시'!$M84),ISNUMBER('자료_거시'!$N84)),IF(AND(SUMIFS($AD$21:$AD$620,'자료_거시'!$M$3:$M$602,"&gt;"&amp;EDATE('자료_거시'!$M84,-'설정'!$B$17),'자료_거시'!$M$3:$M$602,"&lt;="&amp;'자료_거시'!$M84)=3,SUMIFS($AD$21:$AD$620,'자료_거시'!$M$3:$M$602,"&gt;"&amp;EDATE('자료_거시'!$M84,-12-'설정'!$B$17),'자료_거시'!$M$3:$M$602,"&lt;="&amp;EDATE('자료_거시'!$M84,-12))=3),IFERROR(SUMIFS('자료_거시'!$N$3:$N$602,'자료_거시'!$M$3:$M$602,"&gt;"&amp;EDATE('자료_거시'!$M84,-'설정'!$B$17),'자료_거시'!$M$3:$M$602,"&lt;="&amp;'자료_거시'!$M84)/SUMIFS('자료_거시'!$N$3:$N$602,'자료_거시'!$M$3:$M$602,"&gt;"&amp;EDATE('자료_거시'!$M84,-12-'설정'!$B$17),'자료_거시'!$M$3:$M$602,"&lt;="&amp;EDATE('자료_거시'!$M84,-12))-1,""),""),"")</f>
        <v/>
      </c>
      <c r="AF102">
        <f>IF(ISNUMBER(AE102),'자료_거시'!$M84,"")</f>
        <v/>
      </c>
      <c r="AG102">
        <f>IF(ISNUMBER(AF102),IF(AF102&gt;$L$9,AE102,""),"")</f>
        <v/>
      </c>
    </row>
    <row r="103">
      <c r="P103">
        <f>IF(AND(ISNUMBER('자료_거시'!$A85),ISNUMBER('자료_거시'!$B85)),'자료_거시'!$B85,"")</f>
        <v/>
      </c>
      <c r="Q103">
        <f>IF(ISNUMBER(P103),'자료_거시'!$A85,"")</f>
        <v/>
      </c>
      <c r="R103">
        <f>IF(ISNUMBER(Q103),IF(Q103&gt;$L$5,P103,""),"")</f>
        <v/>
      </c>
      <c r="S103">
        <f>IF(ISNUMBER('자료_거시'!$E85),'자료_거시'!$E85,S102)</f>
        <v/>
      </c>
      <c r="T103">
        <f>IF(AND(ISNUMBER('자료_거시'!$D85),ISNUMBER('자료_거시'!$E85)),IFERROR('자료_거시'!$E85-INDEX($S$21:$S$4020,MATCH(EDATE('자료_거시'!$D85,-'설정'!$B$17),'자료_거시'!$D$3:INDEX('자료_거시'!$D$3:$D$4002,$K$6),1)),""),"")</f>
        <v/>
      </c>
      <c r="U103">
        <f>IF(ISNUMBER(T103),'자료_거시'!$D85,"")</f>
        <v/>
      </c>
      <c r="V103">
        <f>IF(ISNUMBER(U103),IF(U103&gt;$L$6,T103,""),"")</f>
        <v/>
      </c>
      <c r="W103">
        <f>IF(AND(ISNUMBER('자료_거시'!$G85),ISNUMBER('자료_거시'!$H85)),'자료_거시'!$H85,"")</f>
        <v/>
      </c>
      <c r="X103">
        <f>IF(ISNUMBER(W103),'자료_거시'!$G85,"")</f>
        <v/>
      </c>
      <c r="Y103">
        <f>IF(ISNUMBER(X103),IF(X103&gt;$L$7,W103,""),"")</f>
        <v/>
      </c>
      <c r="Z103">
        <f>IF(ISNUMBER('자료_거시'!$K85),'자료_거시'!$K85,Z102)</f>
        <v/>
      </c>
      <c r="AA103">
        <f>IF(AND(ISNUMBER('자료_거시'!$J85),ISNUMBER('자료_거시'!$K85)),IFERROR('자료_거시'!$K85/INDEX($Z$21:$Z$4020,MATCH(EDATE('자료_거시'!$J85,-'설정'!$B$17),'자료_거시'!$J$3:INDEX('자료_거시'!$J$3:$J$4002,$K$8),1))-1,""),"")</f>
        <v/>
      </c>
      <c r="AB103">
        <f>IF(ISNUMBER(AA103),'자료_거시'!$J85,"")</f>
        <v/>
      </c>
      <c r="AC103">
        <f>IF(ISNUMBER(AB103),IF(AB103&gt;$L$8,AA103,""),"")</f>
        <v/>
      </c>
      <c r="AD103">
        <f>IF(AND(ISNUMBER('자료_거시'!$M85),ISNUMBER('자료_거시'!$N85)),1,0)</f>
        <v/>
      </c>
      <c r="AE103">
        <f>IF(AND(ISNUMBER('자료_거시'!$M85),ISNUMBER('자료_거시'!$N85)),IF(AND(SUMIFS($AD$21:$AD$620,'자료_거시'!$M$3:$M$602,"&gt;"&amp;EDATE('자료_거시'!$M85,-'설정'!$B$17),'자료_거시'!$M$3:$M$602,"&lt;="&amp;'자료_거시'!$M85)=3,SUMIFS($AD$21:$AD$620,'자료_거시'!$M$3:$M$602,"&gt;"&amp;EDATE('자료_거시'!$M85,-12-'설정'!$B$17),'자료_거시'!$M$3:$M$602,"&lt;="&amp;EDATE('자료_거시'!$M85,-12))=3),IFERROR(SUMIFS('자료_거시'!$N$3:$N$602,'자료_거시'!$M$3:$M$602,"&gt;"&amp;EDATE('자료_거시'!$M85,-'설정'!$B$17),'자료_거시'!$M$3:$M$602,"&lt;="&amp;'자료_거시'!$M85)/SUMIFS('자료_거시'!$N$3:$N$602,'자료_거시'!$M$3:$M$602,"&gt;"&amp;EDATE('자료_거시'!$M85,-12-'설정'!$B$17),'자료_거시'!$M$3:$M$602,"&lt;="&amp;EDATE('자료_거시'!$M85,-12))-1,""),""),"")</f>
        <v/>
      </c>
      <c r="AF103">
        <f>IF(ISNUMBER(AE103),'자료_거시'!$M85,"")</f>
        <v/>
      </c>
      <c r="AG103">
        <f>IF(ISNUMBER(AF103),IF(AF103&gt;$L$9,AE103,""),"")</f>
        <v/>
      </c>
    </row>
    <row r="104">
      <c r="P104">
        <f>IF(AND(ISNUMBER('자료_거시'!$A86),ISNUMBER('자료_거시'!$B86)),'자료_거시'!$B86,"")</f>
        <v/>
      </c>
      <c r="Q104">
        <f>IF(ISNUMBER(P104),'자료_거시'!$A86,"")</f>
        <v/>
      </c>
      <c r="R104">
        <f>IF(ISNUMBER(Q104),IF(Q104&gt;$L$5,P104,""),"")</f>
        <v/>
      </c>
      <c r="S104">
        <f>IF(ISNUMBER('자료_거시'!$E86),'자료_거시'!$E86,S103)</f>
        <v/>
      </c>
      <c r="T104">
        <f>IF(AND(ISNUMBER('자료_거시'!$D86),ISNUMBER('자료_거시'!$E86)),IFERROR('자료_거시'!$E86-INDEX($S$21:$S$4020,MATCH(EDATE('자료_거시'!$D86,-'설정'!$B$17),'자료_거시'!$D$3:INDEX('자료_거시'!$D$3:$D$4002,$K$6),1)),""),"")</f>
        <v/>
      </c>
      <c r="U104">
        <f>IF(ISNUMBER(T104),'자료_거시'!$D86,"")</f>
        <v/>
      </c>
      <c r="V104">
        <f>IF(ISNUMBER(U104),IF(U104&gt;$L$6,T104,""),"")</f>
        <v/>
      </c>
      <c r="W104">
        <f>IF(AND(ISNUMBER('자료_거시'!$G86),ISNUMBER('자료_거시'!$H86)),'자료_거시'!$H86,"")</f>
        <v/>
      </c>
      <c r="X104">
        <f>IF(ISNUMBER(W104),'자료_거시'!$G86,"")</f>
        <v/>
      </c>
      <c r="Y104">
        <f>IF(ISNUMBER(X104),IF(X104&gt;$L$7,W104,""),"")</f>
        <v/>
      </c>
      <c r="Z104">
        <f>IF(ISNUMBER('자료_거시'!$K86),'자료_거시'!$K86,Z103)</f>
        <v/>
      </c>
      <c r="AA104">
        <f>IF(AND(ISNUMBER('자료_거시'!$J86),ISNUMBER('자료_거시'!$K86)),IFERROR('자료_거시'!$K86/INDEX($Z$21:$Z$4020,MATCH(EDATE('자료_거시'!$J86,-'설정'!$B$17),'자료_거시'!$J$3:INDEX('자료_거시'!$J$3:$J$4002,$K$8),1))-1,""),"")</f>
        <v/>
      </c>
      <c r="AB104">
        <f>IF(ISNUMBER(AA104),'자료_거시'!$J86,"")</f>
        <v/>
      </c>
      <c r="AC104">
        <f>IF(ISNUMBER(AB104),IF(AB104&gt;$L$8,AA104,""),"")</f>
        <v/>
      </c>
      <c r="AD104">
        <f>IF(AND(ISNUMBER('자료_거시'!$M86),ISNUMBER('자료_거시'!$N86)),1,0)</f>
        <v/>
      </c>
      <c r="AE104">
        <f>IF(AND(ISNUMBER('자료_거시'!$M86),ISNUMBER('자료_거시'!$N86)),IF(AND(SUMIFS($AD$21:$AD$620,'자료_거시'!$M$3:$M$602,"&gt;"&amp;EDATE('자료_거시'!$M86,-'설정'!$B$17),'자료_거시'!$M$3:$M$602,"&lt;="&amp;'자료_거시'!$M86)=3,SUMIFS($AD$21:$AD$620,'자료_거시'!$M$3:$M$602,"&gt;"&amp;EDATE('자료_거시'!$M86,-12-'설정'!$B$17),'자료_거시'!$M$3:$M$602,"&lt;="&amp;EDATE('자료_거시'!$M86,-12))=3),IFERROR(SUMIFS('자료_거시'!$N$3:$N$602,'자료_거시'!$M$3:$M$602,"&gt;"&amp;EDATE('자료_거시'!$M86,-'설정'!$B$17),'자료_거시'!$M$3:$M$602,"&lt;="&amp;'자료_거시'!$M86)/SUMIFS('자료_거시'!$N$3:$N$602,'자료_거시'!$M$3:$M$602,"&gt;"&amp;EDATE('자료_거시'!$M86,-12-'설정'!$B$17),'자료_거시'!$M$3:$M$602,"&lt;="&amp;EDATE('자료_거시'!$M86,-12))-1,""),""),"")</f>
        <v/>
      </c>
      <c r="AF104">
        <f>IF(ISNUMBER(AE104),'자료_거시'!$M86,"")</f>
        <v/>
      </c>
      <c r="AG104">
        <f>IF(ISNUMBER(AF104),IF(AF104&gt;$L$9,AE104,""),"")</f>
        <v/>
      </c>
    </row>
    <row r="105">
      <c r="P105">
        <f>IF(AND(ISNUMBER('자료_거시'!$A87),ISNUMBER('자료_거시'!$B87)),'자료_거시'!$B87,"")</f>
        <v/>
      </c>
      <c r="Q105">
        <f>IF(ISNUMBER(P105),'자료_거시'!$A87,"")</f>
        <v/>
      </c>
      <c r="R105">
        <f>IF(ISNUMBER(Q105),IF(Q105&gt;$L$5,P105,""),"")</f>
        <v/>
      </c>
      <c r="S105">
        <f>IF(ISNUMBER('자료_거시'!$E87),'자료_거시'!$E87,S104)</f>
        <v/>
      </c>
      <c r="T105">
        <f>IF(AND(ISNUMBER('자료_거시'!$D87),ISNUMBER('자료_거시'!$E87)),IFERROR('자료_거시'!$E87-INDEX($S$21:$S$4020,MATCH(EDATE('자료_거시'!$D87,-'설정'!$B$17),'자료_거시'!$D$3:INDEX('자료_거시'!$D$3:$D$4002,$K$6),1)),""),"")</f>
        <v/>
      </c>
      <c r="U105">
        <f>IF(ISNUMBER(T105),'자료_거시'!$D87,"")</f>
        <v/>
      </c>
      <c r="V105">
        <f>IF(ISNUMBER(U105),IF(U105&gt;$L$6,T105,""),"")</f>
        <v/>
      </c>
      <c r="W105">
        <f>IF(AND(ISNUMBER('자료_거시'!$G87),ISNUMBER('자료_거시'!$H87)),'자료_거시'!$H87,"")</f>
        <v/>
      </c>
      <c r="X105">
        <f>IF(ISNUMBER(W105),'자료_거시'!$G87,"")</f>
        <v/>
      </c>
      <c r="Y105">
        <f>IF(ISNUMBER(X105),IF(X105&gt;$L$7,W105,""),"")</f>
        <v/>
      </c>
      <c r="Z105">
        <f>IF(ISNUMBER('자료_거시'!$K87),'자료_거시'!$K87,Z104)</f>
        <v/>
      </c>
      <c r="AA105">
        <f>IF(AND(ISNUMBER('자료_거시'!$J87),ISNUMBER('자료_거시'!$K87)),IFERROR('자료_거시'!$K87/INDEX($Z$21:$Z$4020,MATCH(EDATE('자료_거시'!$J87,-'설정'!$B$17),'자료_거시'!$J$3:INDEX('자료_거시'!$J$3:$J$4002,$K$8),1))-1,""),"")</f>
        <v/>
      </c>
      <c r="AB105">
        <f>IF(ISNUMBER(AA105),'자료_거시'!$J87,"")</f>
        <v/>
      </c>
      <c r="AC105">
        <f>IF(ISNUMBER(AB105),IF(AB105&gt;$L$8,AA105,""),"")</f>
        <v/>
      </c>
      <c r="AD105">
        <f>IF(AND(ISNUMBER('자료_거시'!$M87),ISNUMBER('자료_거시'!$N87)),1,0)</f>
        <v/>
      </c>
      <c r="AE105">
        <f>IF(AND(ISNUMBER('자료_거시'!$M87),ISNUMBER('자료_거시'!$N87)),IF(AND(SUMIFS($AD$21:$AD$620,'자료_거시'!$M$3:$M$602,"&gt;"&amp;EDATE('자료_거시'!$M87,-'설정'!$B$17),'자료_거시'!$M$3:$M$602,"&lt;="&amp;'자료_거시'!$M87)=3,SUMIFS($AD$21:$AD$620,'자료_거시'!$M$3:$M$602,"&gt;"&amp;EDATE('자료_거시'!$M87,-12-'설정'!$B$17),'자료_거시'!$M$3:$M$602,"&lt;="&amp;EDATE('자료_거시'!$M87,-12))=3),IFERROR(SUMIFS('자료_거시'!$N$3:$N$602,'자료_거시'!$M$3:$M$602,"&gt;"&amp;EDATE('자료_거시'!$M87,-'설정'!$B$17),'자료_거시'!$M$3:$M$602,"&lt;="&amp;'자료_거시'!$M87)/SUMIFS('자료_거시'!$N$3:$N$602,'자료_거시'!$M$3:$M$602,"&gt;"&amp;EDATE('자료_거시'!$M87,-12-'설정'!$B$17),'자료_거시'!$M$3:$M$602,"&lt;="&amp;EDATE('자료_거시'!$M87,-12))-1,""),""),"")</f>
        <v/>
      </c>
      <c r="AF105">
        <f>IF(ISNUMBER(AE105),'자료_거시'!$M87,"")</f>
        <v/>
      </c>
      <c r="AG105">
        <f>IF(ISNUMBER(AF105),IF(AF105&gt;$L$9,AE105,""),"")</f>
        <v/>
      </c>
    </row>
    <row r="106">
      <c r="P106">
        <f>IF(AND(ISNUMBER('자료_거시'!$A88),ISNUMBER('자료_거시'!$B88)),'자료_거시'!$B88,"")</f>
        <v/>
      </c>
      <c r="Q106">
        <f>IF(ISNUMBER(P106),'자료_거시'!$A88,"")</f>
        <v/>
      </c>
      <c r="R106">
        <f>IF(ISNUMBER(Q106),IF(Q106&gt;$L$5,P106,""),"")</f>
        <v/>
      </c>
      <c r="S106">
        <f>IF(ISNUMBER('자료_거시'!$E88),'자료_거시'!$E88,S105)</f>
        <v/>
      </c>
      <c r="T106">
        <f>IF(AND(ISNUMBER('자료_거시'!$D88),ISNUMBER('자료_거시'!$E88)),IFERROR('자료_거시'!$E88-INDEX($S$21:$S$4020,MATCH(EDATE('자료_거시'!$D88,-'설정'!$B$17),'자료_거시'!$D$3:INDEX('자료_거시'!$D$3:$D$4002,$K$6),1)),""),"")</f>
        <v/>
      </c>
      <c r="U106">
        <f>IF(ISNUMBER(T106),'자료_거시'!$D88,"")</f>
        <v/>
      </c>
      <c r="V106">
        <f>IF(ISNUMBER(U106),IF(U106&gt;$L$6,T106,""),"")</f>
        <v/>
      </c>
      <c r="W106">
        <f>IF(AND(ISNUMBER('자료_거시'!$G88),ISNUMBER('자료_거시'!$H88)),'자료_거시'!$H88,"")</f>
        <v/>
      </c>
      <c r="X106">
        <f>IF(ISNUMBER(W106),'자료_거시'!$G88,"")</f>
        <v/>
      </c>
      <c r="Y106">
        <f>IF(ISNUMBER(X106),IF(X106&gt;$L$7,W106,""),"")</f>
        <v/>
      </c>
      <c r="Z106">
        <f>IF(ISNUMBER('자료_거시'!$K88),'자료_거시'!$K88,Z105)</f>
        <v/>
      </c>
      <c r="AA106">
        <f>IF(AND(ISNUMBER('자료_거시'!$J88),ISNUMBER('자료_거시'!$K88)),IFERROR('자료_거시'!$K88/INDEX($Z$21:$Z$4020,MATCH(EDATE('자료_거시'!$J88,-'설정'!$B$17),'자료_거시'!$J$3:INDEX('자료_거시'!$J$3:$J$4002,$K$8),1))-1,""),"")</f>
        <v/>
      </c>
      <c r="AB106">
        <f>IF(ISNUMBER(AA106),'자료_거시'!$J88,"")</f>
        <v/>
      </c>
      <c r="AC106">
        <f>IF(ISNUMBER(AB106),IF(AB106&gt;$L$8,AA106,""),"")</f>
        <v/>
      </c>
      <c r="AD106">
        <f>IF(AND(ISNUMBER('자료_거시'!$M88),ISNUMBER('자료_거시'!$N88)),1,0)</f>
        <v/>
      </c>
      <c r="AE106">
        <f>IF(AND(ISNUMBER('자료_거시'!$M88),ISNUMBER('자료_거시'!$N88)),IF(AND(SUMIFS($AD$21:$AD$620,'자료_거시'!$M$3:$M$602,"&gt;"&amp;EDATE('자료_거시'!$M88,-'설정'!$B$17),'자료_거시'!$M$3:$M$602,"&lt;="&amp;'자료_거시'!$M88)=3,SUMIFS($AD$21:$AD$620,'자료_거시'!$M$3:$M$602,"&gt;"&amp;EDATE('자료_거시'!$M88,-12-'설정'!$B$17),'자료_거시'!$M$3:$M$602,"&lt;="&amp;EDATE('자료_거시'!$M88,-12))=3),IFERROR(SUMIFS('자료_거시'!$N$3:$N$602,'자료_거시'!$M$3:$M$602,"&gt;"&amp;EDATE('자료_거시'!$M88,-'설정'!$B$17),'자료_거시'!$M$3:$M$602,"&lt;="&amp;'자료_거시'!$M88)/SUMIFS('자료_거시'!$N$3:$N$602,'자료_거시'!$M$3:$M$602,"&gt;"&amp;EDATE('자료_거시'!$M88,-12-'설정'!$B$17),'자료_거시'!$M$3:$M$602,"&lt;="&amp;EDATE('자료_거시'!$M88,-12))-1,""),""),"")</f>
        <v/>
      </c>
      <c r="AF106">
        <f>IF(ISNUMBER(AE106),'자료_거시'!$M88,"")</f>
        <v/>
      </c>
      <c r="AG106">
        <f>IF(ISNUMBER(AF106),IF(AF106&gt;$L$9,AE106,""),"")</f>
        <v/>
      </c>
    </row>
    <row r="107">
      <c r="P107">
        <f>IF(AND(ISNUMBER('자료_거시'!$A89),ISNUMBER('자료_거시'!$B89)),'자료_거시'!$B89,"")</f>
        <v/>
      </c>
      <c r="Q107">
        <f>IF(ISNUMBER(P107),'자료_거시'!$A89,"")</f>
        <v/>
      </c>
      <c r="R107">
        <f>IF(ISNUMBER(Q107),IF(Q107&gt;$L$5,P107,""),"")</f>
        <v/>
      </c>
      <c r="S107">
        <f>IF(ISNUMBER('자료_거시'!$E89),'자료_거시'!$E89,S106)</f>
        <v/>
      </c>
      <c r="T107">
        <f>IF(AND(ISNUMBER('자료_거시'!$D89),ISNUMBER('자료_거시'!$E89)),IFERROR('자료_거시'!$E89-INDEX($S$21:$S$4020,MATCH(EDATE('자료_거시'!$D89,-'설정'!$B$17),'자료_거시'!$D$3:INDEX('자료_거시'!$D$3:$D$4002,$K$6),1)),""),"")</f>
        <v/>
      </c>
      <c r="U107">
        <f>IF(ISNUMBER(T107),'자료_거시'!$D89,"")</f>
        <v/>
      </c>
      <c r="V107">
        <f>IF(ISNUMBER(U107),IF(U107&gt;$L$6,T107,""),"")</f>
        <v/>
      </c>
      <c r="W107">
        <f>IF(AND(ISNUMBER('자료_거시'!$G89),ISNUMBER('자료_거시'!$H89)),'자료_거시'!$H89,"")</f>
        <v/>
      </c>
      <c r="X107">
        <f>IF(ISNUMBER(W107),'자료_거시'!$G89,"")</f>
        <v/>
      </c>
      <c r="Y107">
        <f>IF(ISNUMBER(X107),IF(X107&gt;$L$7,W107,""),"")</f>
        <v/>
      </c>
      <c r="Z107">
        <f>IF(ISNUMBER('자료_거시'!$K89),'자료_거시'!$K89,Z106)</f>
        <v/>
      </c>
      <c r="AA107">
        <f>IF(AND(ISNUMBER('자료_거시'!$J89),ISNUMBER('자료_거시'!$K89)),IFERROR('자료_거시'!$K89/INDEX($Z$21:$Z$4020,MATCH(EDATE('자료_거시'!$J89,-'설정'!$B$17),'자료_거시'!$J$3:INDEX('자료_거시'!$J$3:$J$4002,$K$8),1))-1,""),"")</f>
        <v/>
      </c>
      <c r="AB107">
        <f>IF(ISNUMBER(AA107),'자료_거시'!$J89,"")</f>
        <v/>
      </c>
      <c r="AC107">
        <f>IF(ISNUMBER(AB107),IF(AB107&gt;$L$8,AA107,""),"")</f>
        <v/>
      </c>
      <c r="AD107">
        <f>IF(AND(ISNUMBER('자료_거시'!$M89),ISNUMBER('자료_거시'!$N89)),1,0)</f>
        <v/>
      </c>
      <c r="AE107">
        <f>IF(AND(ISNUMBER('자료_거시'!$M89),ISNUMBER('자료_거시'!$N89)),IF(AND(SUMIFS($AD$21:$AD$620,'자료_거시'!$M$3:$M$602,"&gt;"&amp;EDATE('자료_거시'!$M89,-'설정'!$B$17),'자료_거시'!$M$3:$M$602,"&lt;="&amp;'자료_거시'!$M89)=3,SUMIFS($AD$21:$AD$620,'자료_거시'!$M$3:$M$602,"&gt;"&amp;EDATE('자료_거시'!$M89,-12-'설정'!$B$17),'자료_거시'!$M$3:$M$602,"&lt;="&amp;EDATE('자료_거시'!$M89,-12))=3),IFERROR(SUMIFS('자료_거시'!$N$3:$N$602,'자료_거시'!$M$3:$M$602,"&gt;"&amp;EDATE('자료_거시'!$M89,-'설정'!$B$17),'자료_거시'!$M$3:$M$602,"&lt;="&amp;'자료_거시'!$M89)/SUMIFS('자료_거시'!$N$3:$N$602,'자료_거시'!$M$3:$M$602,"&gt;"&amp;EDATE('자료_거시'!$M89,-12-'설정'!$B$17),'자료_거시'!$M$3:$M$602,"&lt;="&amp;EDATE('자료_거시'!$M89,-12))-1,""),""),"")</f>
        <v/>
      </c>
      <c r="AF107">
        <f>IF(ISNUMBER(AE107),'자료_거시'!$M89,"")</f>
        <v/>
      </c>
      <c r="AG107">
        <f>IF(ISNUMBER(AF107),IF(AF107&gt;$L$9,AE107,""),"")</f>
        <v/>
      </c>
    </row>
    <row r="108">
      <c r="P108">
        <f>IF(AND(ISNUMBER('자료_거시'!$A90),ISNUMBER('자료_거시'!$B90)),'자료_거시'!$B90,"")</f>
        <v/>
      </c>
      <c r="Q108">
        <f>IF(ISNUMBER(P108),'자료_거시'!$A90,"")</f>
        <v/>
      </c>
      <c r="R108">
        <f>IF(ISNUMBER(Q108),IF(Q108&gt;$L$5,P108,""),"")</f>
        <v/>
      </c>
      <c r="S108">
        <f>IF(ISNUMBER('자료_거시'!$E90),'자료_거시'!$E90,S107)</f>
        <v/>
      </c>
      <c r="T108">
        <f>IF(AND(ISNUMBER('자료_거시'!$D90),ISNUMBER('자료_거시'!$E90)),IFERROR('자료_거시'!$E90-INDEX($S$21:$S$4020,MATCH(EDATE('자료_거시'!$D90,-'설정'!$B$17),'자료_거시'!$D$3:INDEX('자료_거시'!$D$3:$D$4002,$K$6),1)),""),"")</f>
        <v/>
      </c>
      <c r="U108">
        <f>IF(ISNUMBER(T108),'자료_거시'!$D90,"")</f>
        <v/>
      </c>
      <c r="V108">
        <f>IF(ISNUMBER(U108),IF(U108&gt;$L$6,T108,""),"")</f>
        <v/>
      </c>
      <c r="W108">
        <f>IF(AND(ISNUMBER('자료_거시'!$G90),ISNUMBER('자료_거시'!$H90)),'자료_거시'!$H90,"")</f>
        <v/>
      </c>
      <c r="X108">
        <f>IF(ISNUMBER(W108),'자료_거시'!$G90,"")</f>
        <v/>
      </c>
      <c r="Y108">
        <f>IF(ISNUMBER(X108),IF(X108&gt;$L$7,W108,""),"")</f>
        <v/>
      </c>
      <c r="Z108">
        <f>IF(ISNUMBER('자료_거시'!$K90),'자료_거시'!$K90,Z107)</f>
        <v/>
      </c>
      <c r="AA108">
        <f>IF(AND(ISNUMBER('자료_거시'!$J90),ISNUMBER('자료_거시'!$K90)),IFERROR('자료_거시'!$K90/INDEX($Z$21:$Z$4020,MATCH(EDATE('자료_거시'!$J90,-'설정'!$B$17),'자료_거시'!$J$3:INDEX('자료_거시'!$J$3:$J$4002,$K$8),1))-1,""),"")</f>
        <v/>
      </c>
      <c r="AB108">
        <f>IF(ISNUMBER(AA108),'자료_거시'!$J90,"")</f>
        <v/>
      </c>
      <c r="AC108">
        <f>IF(ISNUMBER(AB108),IF(AB108&gt;$L$8,AA108,""),"")</f>
        <v/>
      </c>
      <c r="AD108">
        <f>IF(AND(ISNUMBER('자료_거시'!$M90),ISNUMBER('자료_거시'!$N90)),1,0)</f>
        <v/>
      </c>
      <c r="AE108">
        <f>IF(AND(ISNUMBER('자료_거시'!$M90),ISNUMBER('자료_거시'!$N90)),IF(AND(SUMIFS($AD$21:$AD$620,'자료_거시'!$M$3:$M$602,"&gt;"&amp;EDATE('자료_거시'!$M90,-'설정'!$B$17),'자료_거시'!$M$3:$M$602,"&lt;="&amp;'자료_거시'!$M90)=3,SUMIFS($AD$21:$AD$620,'자료_거시'!$M$3:$M$602,"&gt;"&amp;EDATE('자료_거시'!$M90,-12-'설정'!$B$17),'자료_거시'!$M$3:$M$602,"&lt;="&amp;EDATE('자료_거시'!$M90,-12))=3),IFERROR(SUMIFS('자료_거시'!$N$3:$N$602,'자료_거시'!$M$3:$M$602,"&gt;"&amp;EDATE('자료_거시'!$M90,-'설정'!$B$17),'자료_거시'!$M$3:$M$602,"&lt;="&amp;'자료_거시'!$M90)/SUMIFS('자료_거시'!$N$3:$N$602,'자료_거시'!$M$3:$M$602,"&gt;"&amp;EDATE('자료_거시'!$M90,-12-'설정'!$B$17),'자료_거시'!$M$3:$M$602,"&lt;="&amp;EDATE('자료_거시'!$M90,-12))-1,""),""),"")</f>
        <v/>
      </c>
      <c r="AF108">
        <f>IF(ISNUMBER(AE108),'자료_거시'!$M90,"")</f>
        <v/>
      </c>
      <c r="AG108">
        <f>IF(ISNUMBER(AF108),IF(AF108&gt;$L$9,AE108,""),"")</f>
        <v/>
      </c>
    </row>
    <row r="109">
      <c r="P109">
        <f>IF(AND(ISNUMBER('자료_거시'!$A91),ISNUMBER('자료_거시'!$B91)),'자료_거시'!$B91,"")</f>
        <v/>
      </c>
      <c r="Q109">
        <f>IF(ISNUMBER(P109),'자료_거시'!$A91,"")</f>
        <v/>
      </c>
      <c r="R109">
        <f>IF(ISNUMBER(Q109),IF(Q109&gt;$L$5,P109,""),"")</f>
        <v/>
      </c>
      <c r="S109">
        <f>IF(ISNUMBER('자료_거시'!$E91),'자료_거시'!$E91,S108)</f>
        <v/>
      </c>
      <c r="T109">
        <f>IF(AND(ISNUMBER('자료_거시'!$D91),ISNUMBER('자료_거시'!$E91)),IFERROR('자료_거시'!$E91-INDEX($S$21:$S$4020,MATCH(EDATE('자료_거시'!$D91,-'설정'!$B$17),'자료_거시'!$D$3:INDEX('자료_거시'!$D$3:$D$4002,$K$6),1)),""),"")</f>
        <v/>
      </c>
      <c r="U109">
        <f>IF(ISNUMBER(T109),'자료_거시'!$D91,"")</f>
        <v/>
      </c>
      <c r="V109">
        <f>IF(ISNUMBER(U109),IF(U109&gt;$L$6,T109,""),"")</f>
        <v/>
      </c>
      <c r="W109">
        <f>IF(AND(ISNUMBER('자료_거시'!$G91),ISNUMBER('자료_거시'!$H91)),'자료_거시'!$H91,"")</f>
        <v/>
      </c>
      <c r="X109">
        <f>IF(ISNUMBER(W109),'자료_거시'!$G91,"")</f>
        <v/>
      </c>
      <c r="Y109">
        <f>IF(ISNUMBER(X109),IF(X109&gt;$L$7,W109,""),"")</f>
        <v/>
      </c>
      <c r="Z109">
        <f>IF(ISNUMBER('자료_거시'!$K91),'자료_거시'!$K91,Z108)</f>
        <v/>
      </c>
      <c r="AA109">
        <f>IF(AND(ISNUMBER('자료_거시'!$J91),ISNUMBER('자료_거시'!$K91)),IFERROR('자료_거시'!$K91/INDEX($Z$21:$Z$4020,MATCH(EDATE('자료_거시'!$J91,-'설정'!$B$17),'자료_거시'!$J$3:INDEX('자료_거시'!$J$3:$J$4002,$K$8),1))-1,""),"")</f>
        <v/>
      </c>
      <c r="AB109">
        <f>IF(ISNUMBER(AA109),'자료_거시'!$J91,"")</f>
        <v/>
      </c>
      <c r="AC109">
        <f>IF(ISNUMBER(AB109),IF(AB109&gt;$L$8,AA109,""),"")</f>
        <v/>
      </c>
      <c r="AD109">
        <f>IF(AND(ISNUMBER('자료_거시'!$M91),ISNUMBER('자료_거시'!$N91)),1,0)</f>
        <v/>
      </c>
      <c r="AE109">
        <f>IF(AND(ISNUMBER('자료_거시'!$M91),ISNUMBER('자료_거시'!$N91)),IF(AND(SUMIFS($AD$21:$AD$620,'자료_거시'!$M$3:$M$602,"&gt;"&amp;EDATE('자료_거시'!$M91,-'설정'!$B$17),'자료_거시'!$M$3:$M$602,"&lt;="&amp;'자료_거시'!$M91)=3,SUMIFS($AD$21:$AD$620,'자료_거시'!$M$3:$M$602,"&gt;"&amp;EDATE('자료_거시'!$M91,-12-'설정'!$B$17),'자료_거시'!$M$3:$M$602,"&lt;="&amp;EDATE('자료_거시'!$M91,-12))=3),IFERROR(SUMIFS('자료_거시'!$N$3:$N$602,'자료_거시'!$M$3:$M$602,"&gt;"&amp;EDATE('자료_거시'!$M91,-'설정'!$B$17),'자료_거시'!$M$3:$M$602,"&lt;="&amp;'자료_거시'!$M91)/SUMIFS('자료_거시'!$N$3:$N$602,'자료_거시'!$M$3:$M$602,"&gt;"&amp;EDATE('자료_거시'!$M91,-12-'설정'!$B$17),'자료_거시'!$M$3:$M$602,"&lt;="&amp;EDATE('자료_거시'!$M91,-12))-1,""),""),"")</f>
        <v/>
      </c>
      <c r="AF109">
        <f>IF(ISNUMBER(AE109),'자료_거시'!$M91,"")</f>
        <v/>
      </c>
      <c r="AG109">
        <f>IF(ISNUMBER(AF109),IF(AF109&gt;$L$9,AE109,""),"")</f>
        <v/>
      </c>
    </row>
    <row r="110">
      <c r="P110">
        <f>IF(AND(ISNUMBER('자료_거시'!$A92),ISNUMBER('자료_거시'!$B92)),'자료_거시'!$B92,"")</f>
        <v/>
      </c>
      <c r="Q110">
        <f>IF(ISNUMBER(P110),'자료_거시'!$A92,"")</f>
        <v/>
      </c>
      <c r="R110">
        <f>IF(ISNUMBER(Q110),IF(Q110&gt;$L$5,P110,""),"")</f>
        <v/>
      </c>
      <c r="S110">
        <f>IF(ISNUMBER('자료_거시'!$E92),'자료_거시'!$E92,S109)</f>
        <v/>
      </c>
      <c r="T110">
        <f>IF(AND(ISNUMBER('자료_거시'!$D92),ISNUMBER('자료_거시'!$E92)),IFERROR('자료_거시'!$E92-INDEX($S$21:$S$4020,MATCH(EDATE('자료_거시'!$D92,-'설정'!$B$17),'자료_거시'!$D$3:INDEX('자료_거시'!$D$3:$D$4002,$K$6),1)),""),"")</f>
        <v/>
      </c>
      <c r="U110">
        <f>IF(ISNUMBER(T110),'자료_거시'!$D92,"")</f>
        <v/>
      </c>
      <c r="V110">
        <f>IF(ISNUMBER(U110),IF(U110&gt;$L$6,T110,""),"")</f>
        <v/>
      </c>
      <c r="W110">
        <f>IF(AND(ISNUMBER('자료_거시'!$G92),ISNUMBER('자료_거시'!$H92)),'자료_거시'!$H92,"")</f>
        <v/>
      </c>
      <c r="X110">
        <f>IF(ISNUMBER(W110),'자료_거시'!$G92,"")</f>
        <v/>
      </c>
      <c r="Y110">
        <f>IF(ISNUMBER(X110),IF(X110&gt;$L$7,W110,""),"")</f>
        <v/>
      </c>
      <c r="Z110">
        <f>IF(ISNUMBER('자료_거시'!$K92),'자료_거시'!$K92,Z109)</f>
        <v/>
      </c>
      <c r="AA110">
        <f>IF(AND(ISNUMBER('자료_거시'!$J92),ISNUMBER('자료_거시'!$K92)),IFERROR('자료_거시'!$K92/INDEX($Z$21:$Z$4020,MATCH(EDATE('자료_거시'!$J92,-'설정'!$B$17),'자료_거시'!$J$3:INDEX('자료_거시'!$J$3:$J$4002,$K$8),1))-1,""),"")</f>
        <v/>
      </c>
      <c r="AB110">
        <f>IF(ISNUMBER(AA110),'자료_거시'!$J92,"")</f>
        <v/>
      </c>
      <c r="AC110">
        <f>IF(ISNUMBER(AB110),IF(AB110&gt;$L$8,AA110,""),"")</f>
        <v/>
      </c>
      <c r="AD110">
        <f>IF(AND(ISNUMBER('자료_거시'!$M92),ISNUMBER('자료_거시'!$N92)),1,0)</f>
        <v/>
      </c>
      <c r="AE110">
        <f>IF(AND(ISNUMBER('자료_거시'!$M92),ISNUMBER('자료_거시'!$N92)),IF(AND(SUMIFS($AD$21:$AD$620,'자료_거시'!$M$3:$M$602,"&gt;"&amp;EDATE('자료_거시'!$M92,-'설정'!$B$17),'자료_거시'!$M$3:$M$602,"&lt;="&amp;'자료_거시'!$M92)=3,SUMIFS($AD$21:$AD$620,'자료_거시'!$M$3:$M$602,"&gt;"&amp;EDATE('자료_거시'!$M92,-12-'설정'!$B$17),'자료_거시'!$M$3:$M$602,"&lt;="&amp;EDATE('자료_거시'!$M92,-12))=3),IFERROR(SUMIFS('자료_거시'!$N$3:$N$602,'자료_거시'!$M$3:$M$602,"&gt;"&amp;EDATE('자료_거시'!$M92,-'설정'!$B$17),'자료_거시'!$M$3:$M$602,"&lt;="&amp;'자료_거시'!$M92)/SUMIFS('자료_거시'!$N$3:$N$602,'자료_거시'!$M$3:$M$602,"&gt;"&amp;EDATE('자료_거시'!$M92,-12-'설정'!$B$17),'자료_거시'!$M$3:$M$602,"&lt;="&amp;EDATE('자료_거시'!$M92,-12))-1,""),""),"")</f>
        <v/>
      </c>
      <c r="AF110">
        <f>IF(ISNUMBER(AE110),'자료_거시'!$M92,"")</f>
        <v/>
      </c>
      <c r="AG110">
        <f>IF(ISNUMBER(AF110),IF(AF110&gt;$L$9,AE110,""),"")</f>
        <v/>
      </c>
    </row>
    <row r="111">
      <c r="P111">
        <f>IF(AND(ISNUMBER('자료_거시'!$A93),ISNUMBER('자료_거시'!$B93)),'자료_거시'!$B93,"")</f>
        <v/>
      </c>
      <c r="Q111">
        <f>IF(ISNUMBER(P111),'자료_거시'!$A93,"")</f>
        <v/>
      </c>
      <c r="R111">
        <f>IF(ISNUMBER(Q111),IF(Q111&gt;$L$5,P111,""),"")</f>
        <v/>
      </c>
      <c r="S111">
        <f>IF(ISNUMBER('자료_거시'!$E93),'자료_거시'!$E93,S110)</f>
        <v/>
      </c>
      <c r="T111">
        <f>IF(AND(ISNUMBER('자료_거시'!$D93),ISNUMBER('자료_거시'!$E93)),IFERROR('자료_거시'!$E93-INDEX($S$21:$S$4020,MATCH(EDATE('자료_거시'!$D93,-'설정'!$B$17),'자료_거시'!$D$3:INDEX('자료_거시'!$D$3:$D$4002,$K$6),1)),""),"")</f>
        <v/>
      </c>
      <c r="U111">
        <f>IF(ISNUMBER(T111),'자료_거시'!$D93,"")</f>
        <v/>
      </c>
      <c r="V111">
        <f>IF(ISNUMBER(U111),IF(U111&gt;$L$6,T111,""),"")</f>
        <v/>
      </c>
      <c r="W111">
        <f>IF(AND(ISNUMBER('자료_거시'!$G93),ISNUMBER('자료_거시'!$H93)),'자료_거시'!$H93,"")</f>
        <v/>
      </c>
      <c r="X111">
        <f>IF(ISNUMBER(W111),'자료_거시'!$G93,"")</f>
        <v/>
      </c>
      <c r="Y111">
        <f>IF(ISNUMBER(X111),IF(X111&gt;$L$7,W111,""),"")</f>
        <v/>
      </c>
      <c r="Z111">
        <f>IF(ISNUMBER('자료_거시'!$K93),'자료_거시'!$K93,Z110)</f>
        <v/>
      </c>
      <c r="AA111">
        <f>IF(AND(ISNUMBER('자료_거시'!$J93),ISNUMBER('자료_거시'!$K93)),IFERROR('자료_거시'!$K93/INDEX($Z$21:$Z$4020,MATCH(EDATE('자료_거시'!$J93,-'설정'!$B$17),'자료_거시'!$J$3:INDEX('자료_거시'!$J$3:$J$4002,$K$8),1))-1,""),"")</f>
        <v/>
      </c>
      <c r="AB111">
        <f>IF(ISNUMBER(AA111),'자료_거시'!$J93,"")</f>
        <v/>
      </c>
      <c r="AC111">
        <f>IF(ISNUMBER(AB111),IF(AB111&gt;$L$8,AA111,""),"")</f>
        <v/>
      </c>
      <c r="AD111">
        <f>IF(AND(ISNUMBER('자료_거시'!$M93),ISNUMBER('자료_거시'!$N93)),1,0)</f>
        <v/>
      </c>
      <c r="AE111">
        <f>IF(AND(ISNUMBER('자료_거시'!$M93),ISNUMBER('자료_거시'!$N93)),IF(AND(SUMIFS($AD$21:$AD$620,'자료_거시'!$M$3:$M$602,"&gt;"&amp;EDATE('자료_거시'!$M93,-'설정'!$B$17),'자료_거시'!$M$3:$M$602,"&lt;="&amp;'자료_거시'!$M93)=3,SUMIFS($AD$21:$AD$620,'자료_거시'!$M$3:$M$602,"&gt;"&amp;EDATE('자료_거시'!$M93,-12-'설정'!$B$17),'자료_거시'!$M$3:$M$602,"&lt;="&amp;EDATE('자료_거시'!$M93,-12))=3),IFERROR(SUMIFS('자료_거시'!$N$3:$N$602,'자료_거시'!$M$3:$M$602,"&gt;"&amp;EDATE('자료_거시'!$M93,-'설정'!$B$17),'자료_거시'!$M$3:$M$602,"&lt;="&amp;'자료_거시'!$M93)/SUMIFS('자료_거시'!$N$3:$N$602,'자료_거시'!$M$3:$M$602,"&gt;"&amp;EDATE('자료_거시'!$M93,-12-'설정'!$B$17),'자료_거시'!$M$3:$M$602,"&lt;="&amp;EDATE('자료_거시'!$M93,-12))-1,""),""),"")</f>
        <v/>
      </c>
      <c r="AF111">
        <f>IF(ISNUMBER(AE111),'자료_거시'!$M93,"")</f>
        <v/>
      </c>
      <c r="AG111">
        <f>IF(ISNUMBER(AF111),IF(AF111&gt;$L$9,AE111,""),"")</f>
        <v/>
      </c>
    </row>
    <row r="112">
      <c r="P112">
        <f>IF(AND(ISNUMBER('자료_거시'!$A94),ISNUMBER('자료_거시'!$B94)),'자료_거시'!$B94,"")</f>
        <v/>
      </c>
      <c r="Q112">
        <f>IF(ISNUMBER(P112),'자료_거시'!$A94,"")</f>
        <v/>
      </c>
      <c r="R112">
        <f>IF(ISNUMBER(Q112),IF(Q112&gt;$L$5,P112,""),"")</f>
        <v/>
      </c>
      <c r="S112">
        <f>IF(ISNUMBER('자료_거시'!$E94),'자료_거시'!$E94,S111)</f>
        <v/>
      </c>
      <c r="T112">
        <f>IF(AND(ISNUMBER('자료_거시'!$D94),ISNUMBER('자료_거시'!$E94)),IFERROR('자료_거시'!$E94-INDEX($S$21:$S$4020,MATCH(EDATE('자료_거시'!$D94,-'설정'!$B$17),'자료_거시'!$D$3:INDEX('자료_거시'!$D$3:$D$4002,$K$6),1)),""),"")</f>
        <v/>
      </c>
      <c r="U112">
        <f>IF(ISNUMBER(T112),'자료_거시'!$D94,"")</f>
        <v/>
      </c>
      <c r="V112">
        <f>IF(ISNUMBER(U112),IF(U112&gt;$L$6,T112,""),"")</f>
        <v/>
      </c>
      <c r="W112">
        <f>IF(AND(ISNUMBER('자료_거시'!$G94),ISNUMBER('자료_거시'!$H94)),'자료_거시'!$H94,"")</f>
        <v/>
      </c>
      <c r="X112">
        <f>IF(ISNUMBER(W112),'자료_거시'!$G94,"")</f>
        <v/>
      </c>
      <c r="Y112">
        <f>IF(ISNUMBER(X112),IF(X112&gt;$L$7,W112,""),"")</f>
        <v/>
      </c>
      <c r="Z112">
        <f>IF(ISNUMBER('자료_거시'!$K94),'자료_거시'!$K94,Z111)</f>
        <v/>
      </c>
      <c r="AA112">
        <f>IF(AND(ISNUMBER('자료_거시'!$J94),ISNUMBER('자료_거시'!$K94)),IFERROR('자료_거시'!$K94/INDEX($Z$21:$Z$4020,MATCH(EDATE('자료_거시'!$J94,-'설정'!$B$17),'자료_거시'!$J$3:INDEX('자료_거시'!$J$3:$J$4002,$K$8),1))-1,""),"")</f>
        <v/>
      </c>
      <c r="AB112">
        <f>IF(ISNUMBER(AA112),'자료_거시'!$J94,"")</f>
        <v/>
      </c>
      <c r="AC112">
        <f>IF(ISNUMBER(AB112),IF(AB112&gt;$L$8,AA112,""),"")</f>
        <v/>
      </c>
      <c r="AD112">
        <f>IF(AND(ISNUMBER('자료_거시'!$M94),ISNUMBER('자료_거시'!$N94)),1,0)</f>
        <v/>
      </c>
      <c r="AE112">
        <f>IF(AND(ISNUMBER('자료_거시'!$M94),ISNUMBER('자료_거시'!$N94)),IF(AND(SUMIFS($AD$21:$AD$620,'자료_거시'!$M$3:$M$602,"&gt;"&amp;EDATE('자료_거시'!$M94,-'설정'!$B$17),'자료_거시'!$M$3:$M$602,"&lt;="&amp;'자료_거시'!$M94)=3,SUMIFS($AD$21:$AD$620,'자료_거시'!$M$3:$M$602,"&gt;"&amp;EDATE('자료_거시'!$M94,-12-'설정'!$B$17),'자료_거시'!$M$3:$M$602,"&lt;="&amp;EDATE('자료_거시'!$M94,-12))=3),IFERROR(SUMIFS('자료_거시'!$N$3:$N$602,'자료_거시'!$M$3:$M$602,"&gt;"&amp;EDATE('자료_거시'!$M94,-'설정'!$B$17),'자료_거시'!$M$3:$M$602,"&lt;="&amp;'자료_거시'!$M94)/SUMIFS('자료_거시'!$N$3:$N$602,'자료_거시'!$M$3:$M$602,"&gt;"&amp;EDATE('자료_거시'!$M94,-12-'설정'!$B$17),'자료_거시'!$M$3:$M$602,"&lt;="&amp;EDATE('자료_거시'!$M94,-12))-1,""),""),"")</f>
        <v/>
      </c>
      <c r="AF112">
        <f>IF(ISNUMBER(AE112),'자료_거시'!$M94,"")</f>
        <v/>
      </c>
      <c r="AG112">
        <f>IF(ISNUMBER(AF112),IF(AF112&gt;$L$9,AE112,""),"")</f>
        <v/>
      </c>
    </row>
    <row r="113">
      <c r="P113">
        <f>IF(AND(ISNUMBER('자료_거시'!$A95),ISNUMBER('자료_거시'!$B95)),'자료_거시'!$B95,"")</f>
        <v/>
      </c>
      <c r="Q113">
        <f>IF(ISNUMBER(P113),'자료_거시'!$A95,"")</f>
        <v/>
      </c>
      <c r="R113">
        <f>IF(ISNUMBER(Q113),IF(Q113&gt;$L$5,P113,""),"")</f>
        <v/>
      </c>
      <c r="S113">
        <f>IF(ISNUMBER('자료_거시'!$E95),'자료_거시'!$E95,S112)</f>
        <v/>
      </c>
      <c r="T113">
        <f>IF(AND(ISNUMBER('자료_거시'!$D95),ISNUMBER('자료_거시'!$E95)),IFERROR('자료_거시'!$E95-INDEX($S$21:$S$4020,MATCH(EDATE('자료_거시'!$D95,-'설정'!$B$17),'자료_거시'!$D$3:INDEX('자료_거시'!$D$3:$D$4002,$K$6),1)),""),"")</f>
        <v/>
      </c>
      <c r="U113">
        <f>IF(ISNUMBER(T113),'자료_거시'!$D95,"")</f>
        <v/>
      </c>
      <c r="V113">
        <f>IF(ISNUMBER(U113),IF(U113&gt;$L$6,T113,""),"")</f>
        <v/>
      </c>
      <c r="W113">
        <f>IF(AND(ISNUMBER('자료_거시'!$G95),ISNUMBER('자료_거시'!$H95)),'자료_거시'!$H95,"")</f>
        <v/>
      </c>
      <c r="X113">
        <f>IF(ISNUMBER(W113),'자료_거시'!$G95,"")</f>
        <v/>
      </c>
      <c r="Y113">
        <f>IF(ISNUMBER(X113),IF(X113&gt;$L$7,W113,""),"")</f>
        <v/>
      </c>
      <c r="Z113">
        <f>IF(ISNUMBER('자료_거시'!$K95),'자료_거시'!$K95,Z112)</f>
        <v/>
      </c>
      <c r="AA113">
        <f>IF(AND(ISNUMBER('자료_거시'!$J95),ISNUMBER('자료_거시'!$K95)),IFERROR('자료_거시'!$K95/INDEX($Z$21:$Z$4020,MATCH(EDATE('자료_거시'!$J95,-'설정'!$B$17),'자료_거시'!$J$3:INDEX('자료_거시'!$J$3:$J$4002,$K$8),1))-1,""),"")</f>
        <v/>
      </c>
      <c r="AB113">
        <f>IF(ISNUMBER(AA113),'자료_거시'!$J95,"")</f>
        <v/>
      </c>
      <c r="AC113">
        <f>IF(ISNUMBER(AB113),IF(AB113&gt;$L$8,AA113,""),"")</f>
        <v/>
      </c>
      <c r="AD113">
        <f>IF(AND(ISNUMBER('자료_거시'!$M95),ISNUMBER('자료_거시'!$N95)),1,0)</f>
        <v/>
      </c>
      <c r="AE113">
        <f>IF(AND(ISNUMBER('자료_거시'!$M95),ISNUMBER('자료_거시'!$N95)),IF(AND(SUMIFS($AD$21:$AD$620,'자료_거시'!$M$3:$M$602,"&gt;"&amp;EDATE('자료_거시'!$M95,-'설정'!$B$17),'자료_거시'!$M$3:$M$602,"&lt;="&amp;'자료_거시'!$M95)=3,SUMIFS($AD$21:$AD$620,'자료_거시'!$M$3:$M$602,"&gt;"&amp;EDATE('자료_거시'!$M95,-12-'설정'!$B$17),'자료_거시'!$M$3:$M$602,"&lt;="&amp;EDATE('자료_거시'!$M95,-12))=3),IFERROR(SUMIFS('자료_거시'!$N$3:$N$602,'자료_거시'!$M$3:$M$602,"&gt;"&amp;EDATE('자료_거시'!$M95,-'설정'!$B$17),'자료_거시'!$M$3:$M$602,"&lt;="&amp;'자료_거시'!$M95)/SUMIFS('자료_거시'!$N$3:$N$602,'자료_거시'!$M$3:$M$602,"&gt;"&amp;EDATE('자료_거시'!$M95,-12-'설정'!$B$17),'자료_거시'!$M$3:$M$602,"&lt;="&amp;EDATE('자료_거시'!$M95,-12))-1,""),""),"")</f>
        <v/>
      </c>
      <c r="AF113">
        <f>IF(ISNUMBER(AE113),'자료_거시'!$M95,"")</f>
        <v/>
      </c>
      <c r="AG113">
        <f>IF(ISNUMBER(AF113),IF(AF113&gt;$L$9,AE113,""),"")</f>
        <v/>
      </c>
    </row>
    <row r="114">
      <c r="P114">
        <f>IF(AND(ISNUMBER('자료_거시'!$A96),ISNUMBER('자료_거시'!$B96)),'자료_거시'!$B96,"")</f>
        <v/>
      </c>
      <c r="Q114">
        <f>IF(ISNUMBER(P114),'자료_거시'!$A96,"")</f>
        <v/>
      </c>
      <c r="R114">
        <f>IF(ISNUMBER(Q114),IF(Q114&gt;$L$5,P114,""),"")</f>
        <v/>
      </c>
      <c r="S114">
        <f>IF(ISNUMBER('자료_거시'!$E96),'자료_거시'!$E96,S113)</f>
        <v/>
      </c>
      <c r="T114">
        <f>IF(AND(ISNUMBER('자료_거시'!$D96),ISNUMBER('자료_거시'!$E96)),IFERROR('자료_거시'!$E96-INDEX($S$21:$S$4020,MATCH(EDATE('자료_거시'!$D96,-'설정'!$B$17),'자료_거시'!$D$3:INDEX('자료_거시'!$D$3:$D$4002,$K$6),1)),""),"")</f>
        <v/>
      </c>
      <c r="U114">
        <f>IF(ISNUMBER(T114),'자료_거시'!$D96,"")</f>
        <v/>
      </c>
      <c r="V114">
        <f>IF(ISNUMBER(U114),IF(U114&gt;$L$6,T114,""),"")</f>
        <v/>
      </c>
      <c r="W114">
        <f>IF(AND(ISNUMBER('자료_거시'!$G96),ISNUMBER('자료_거시'!$H96)),'자료_거시'!$H96,"")</f>
        <v/>
      </c>
      <c r="X114">
        <f>IF(ISNUMBER(W114),'자료_거시'!$G96,"")</f>
        <v/>
      </c>
      <c r="Y114">
        <f>IF(ISNUMBER(X114),IF(X114&gt;$L$7,W114,""),"")</f>
        <v/>
      </c>
      <c r="Z114">
        <f>IF(ISNUMBER('자료_거시'!$K96),'자료_거시'!$K96,Z113)</f>
        <v/>
      </c>
      <c r="AA114">
        <f>IF(AND(ISNUMBER('자료_거시'!$J96),ISNUMBER('자료_거시'!$K96)),IFERROR('자료_거시'!$K96/INDEX($Z$21:$Z$4020,MATCH(EDATE('자료_거시'!$J96,-'설정'!$B$17),'자료_거시'!$J$3:INDEX('자료_거시'!$J$3:$J$4002,$K$8),1))-1,""),"")</f>
        <v/>
      </c>
      <c r="AB114">
        <f>IF(ISNUMBER(AA114),'자료_거시'!$J96,"")</f>
        <v/>
      </c>
      <c r="AC114">
        <f>IF(ISNUMBER(AB114),IF(AB114&gt;$L$8,AA114,""),"")</f>
        <v/>
      </c>
      <c r="AD114">
        <f>IF(AND(ISNUMBER('자료_거시'!$M96),ISNUMBER('자료_거시'!$N96)),1,0)</f>
        <v/>
      </c>
      <c r="AE114">
        <f>IF(AND(ISNUMBER('자료_거시'!$M96),ISNUMBER('자료_거시'!$N96)),IF(AND(SUMIFS($AD$21:$AD$620,'자료_거시'!$M$3:$M$602,"&gt;"&amp;EDATE('자료_거시'!$M96,-'설정'!$B$17),'자료_거시'!$M$3:$M$602,"&lt;="&amp;'자료_거시'!$M96)=3,SUMIFS($AD$21:$AD$620,'자료_거시'!$M$3:$M$602,"&gt;"&amp;EDATE('자료_거시'!$M96,-12-'설정'!$B$17),'자료_거시'!$M$3:$M$602,"&lt;="&amp;EDATE('자료_거시'!$M96,-12))=3),IFERROR(SUMIFS('자료_거시'!$N$3:$N$602,'자료_거시'!$M$3:$M$602,"&gt;"&amp;EDATE('자료_거시'!$M96,-'설정'!$B$17),'자료_거시'!$M$3:$M$602,"&lt;="&amp;'자료_거시'!$M96)/SUMIFS('자료_거시'!$N$3:$N$602,'자료_거시'!$M$3:$M$602,"&gt;"&amp;EDATE('자료_거시'!$M96,-12-'설정'!$B$17),'자료_거시'!$M$3:$M$602,"&lt;="&amp;EDATE('자료_거시'!$M96,-12))-1,""),""),"")</f>
        <v/>
      </c>
      <c r="AF114">
        <f>IF(ISNUMBER(AE114),'자료_거시'!$M96,"")</f>
        <v/>
      </c>
      <c r="AG114">
        <f>IF(ISNUMBER(AF114),IF(AF114&gt;$L$9,AE114,""),"")</f>
        <v/>
      </c>
    </row>
    <row r="115">
      <c r="P115">
        <f>IF(AND(ISNUMBER('자료_거시'!$A97),ISNUMBER('자료_거시'!$B97)),'자료_거시'!$B97,"")</f>
        <v/>
      </c>
      <c r="Q115">
        <f>IF(ISNUMBER(P115),'자료_거시'!$A97,"")</f>
        <v/>
      </c>
      <c r="R115">
        <f>IF(ISNUMBER(Q115),IF(Q115&gt;$L$5,P115,""),"")</f>
        <v/>
      </c>
      <c r="S115">
        <f>IF(ISNUMBER('자료_거시'!$E97),'자료_거시'!$E97,S114)</f>
        <v/>
      </c>
      <c r="T115">
        <f>IF(AND(ISNUMBER('자료_거시'!$D97),ISNUMBER('자료_거시'!$E97)),IFERROR('자료_거시'!$E97-INDEX($S$21:$S$4020,MATCH(EDATE('자료_거시'!$D97,-'설정'!$B$17),'자료_거시'!$D$3:INDEX('자료_거시'!$D$3:$D$4002,$K$6),1)),""),"")</f>
        <v/>
      </c>
      <c r="U115">
        <f>IF(ISNUMBER(T115),'자료_거시'!$D97,"")</f>
        <v/>
      </c>
      <c r="V115">
        <f>IF(ISNUMBER(U115),IF(U115&gt;$L$6,T115,""),"")</f>
        <v/>
      </c>
      <c r="W115">
        <f>IF(AND(ISNUMBER('자료_거시'!$G97),ISNUMBER('자료_거시'!$H97)),'자료_거시'!$H97,"")</f>
        <v/>
      </c>
      <c r="X115">
        <f>IF(ISNUMBER(W115),'자료_거시'!$G97,"")</f>
        <v/>
      </c>
      <c r="Y115">
        <f>IF(ISNUMBER(X115),IF(X115&gt;$L$7,W115,""),"")</f>
        <v/>
      </c>
      <c r="Z115">
        <f>IF(ISNUMBER('자료_거시'!$K97),'자료_거시'!$K97,Z114)</f>
        <v/>
      </c>
      <c r="AA115">
        <f>IF(AND(ISNUMBER('자료_거시'!$J97),ISNUMBER('자료_거시'!$K97)),IFERROR('자료_거시'!$K97/INDEX($Z$21:$Z$4020,MATCH(EDATE('자료_거시'!$J97,-'설정'!$B$17),'자료_거시'!$J$3:INDEX('자료_거시'!$J$3:$J$4002,$K$8),1))-1,""),"")</f>
        <v/>
      </c>
      <c r="AB115">
        <f>IF(ISNUMBER(AA115),'자료_거시'!$J97,"")</f>
        <v/>
      </c>
      <c r="AC115">
        <f>IF(ISNUMBER(AB115),IF(AB115&gt;$L$8,AA115,""),"")</f>
        <v/>
      </c>
      <c r="AD115">
        <f>IF(AND(ISNUMBER('자료_거시'!$M97),ISNUMBER('자료_거시'!$N97)),1,0)</f>
        <v/>
      </c>
      <c r="AE115">
        <f>IF(AND(ISNUMBER('자료_거시'!$M97),ISNUMBER('자료_거시'!$N97)),IF(AND(SUMIFS($AD$21:$AD$620,'자료_거시'!$M$3:$M$602,"&gt;"&amp;EDATE('자료_거시'!$M97,-'설정'!$B$17),'자료_거시'!$M$3:$M$602,"&lt;="&amp;'자료_거시'!$M97)=3,SUMIFS($AD$21:$AD$620,'자료_거시'!$M$3:$M$602,"&gt;"&amp;EDATE('자료_거시'!$M97,-12-'설정'!$B$17),'자료_거시'!$M$3:$M$602,"&lt;="&amp;EDATE('자료_거시'!$M97,-12))=3),IFERROR(SUMIFS('자료_거시'!$N$3:$N$602,'자료_거시'!$M$3:$M$602,"&gt;"&amp;EDATE('자료_거시'!$M97,-'설정'!$B$17),'자료_거시'!$M$3:$M$602,"&lt;="&amp;'자료_거시'!$M97)/SUMIFS('자료_거시'!$N$3:$N$602,'자료_거시'!$M$3:$M$602,"&gt;"&amp;EDATE('자료_거시'!$M97,-12-'설정'!$B$17),'자료_거시'!$M$3:$M$602,"&lt;="&amp;EDATE('자료_거시'!$M97,-12))-1,""),""),"")</f>
        <v/>
      </c>
      <c r="AF115">
        <f>IF(ISNUMBER(AE115),'자료_거시'!$M97,"")</f>
        <v/>
      </c>
      <c r="AG115">
        <f>IF(ISNUMBER(AF115),IF(AF115&gt;$L$9,AE115,""),"")</f>
        <v/>
      </c>
    </row>
    <row r="116">
      <c r="P116">
        <f>IF(AND(ISNUMBER('자료_거시'!$A98),ISNUMBER('자료_거시'!$B98)),'자료_거시'!$B98,"")</f>
        <v/>
      </c>
      <c r="Q116">
        <f>IF(ISNUMBER(P116),'자료_거시'!$A98,"")</f>
        <v/>
      </c>
      <c r="R116">
        <f>IF(ISNUMBER(Q116),IF(Q116&gt;$L$5,P116,""),"")</f>
        <v/>
      </c>
      <c r="S116">
        <f>IF(ISNUMBER('자료_거시'!$E98),'자료_거시'!$E98,S115)</f>
        <v/>
      </c>
      <c r="T116">
        <f>IF(AND(ISNUMBER('자료_거시'!$D98),ISNUMBER('자료_거시'!$E98)),IFERROR('자료_거시'!$E98-INDEX($S$21:$S$4020,MATCH(EDATE('자료_거시'!$D98,-'설정'!$B$17),'자료_거시'!$D$3:INDEX('자료_거시'!$D$3:$D$4002,$K$6),1)),""),"")</f>
        <v/>
      </c>
      <c r="U116">
        <f>IF(ISNUMBER(T116),'자료_거시'!$D98,"")</f>
        <v/>
      </c>
      <c r="V116">
        <f>IF(ISNUMBER(U116),IF(U116&gt;$L$6,T116,""),"")</f>
        <v/>
      </c>
      <c r="W116">
        <f>IF(AND(ISNUMBER('자료_거시'!$G98),ISNUMBER('자료_거시'!$H98)),'자료_거시'!$H98,"")</f>
        <v/>
      </c>
      <c r="X116">
        <f>IF(ISNUMBER(W116),'자료_거시'!$G98,"")</f>
        <v/>
      </c>
      <c r="Y116">
        <f>IF(ISNUMBER(X116),IF(X116&gt;$L$7,W116,""),"")</f>
        <v/>
      </c>
      <c r="Z116">
        <f>IF(ISNUMBER('자료_거시'!$K98),'자료_거시'!$K98,Z115)</f>
        <v/>
      </c>
      <c r="AA116">
        <f>IF(AND(ISNUMBER('자료_거시'!$J98),ISNUMBER('자료_거시'!$K98)),IFERROR('자료_거시'!$K98/INDEX($Z$21:$Z$4020,MATCH(EDATE('자료_거시'!$J98,-'설정'!$B$17),'자료_거시'!$J$3:INDEX('자료_거시'!$J$3:$J$4002,$K$8),1))-1,""),"")</f>
        <v/>
      </c>
      <c r="AB116">
        <f>IF(ISNUMBER(AA116),'자료_거시'!$J98,"")</f>
        <v/>
      </c>
      <c r="AC116">
        <f>IF(ISNUMBER(AB116),IF(AB116&gt;$L$8,AA116,""),"")</f>
        <v/>
      </c>
      <c r="AD116">
        <f>IF(AND(ISNUMBER('자료_거시'!$M98),ISNUMBER('자료_거시'!$N98)),1,0)</f>
        <v/>
      </c>
      <c r="AE116">
        <f>IF(AND(ISNUMBER('자료_거시'!$M98),ISNUMBER('자료_거시'!$N98)),IF(AND(SUMIFS($AD$21:$AD$620,'자료_거시'!$M$3:$M$602,"&gt;"&amp;EDATE('자료_거시'!$M98,-'설정'!$B$17),'자료_거시'!$M$3:$M$602,"&lt;="&amp;'자료_거시'!$M98)=3,SUMIFS($AD$21:$AD$620,'자료_거시'!$M$3:$M$602,"&gt;"&amp;EDATE('자료_거시'!$M98,-12-'설정'!$B$17),'자료_거시'!$M$3:$M$602,"&lt;="&amp;EDATE('자료_거시'!$M98,-12))=3),IFERROR(SUMIFS('자료_거시'!$N$3:$N$602,'자료_거시'!$M$3:$M$602,"&gt;"&amp;EDATE('자료_거시'!$M98,-'설정'!$B$17),'자료_거시'!$M$3:$M$602,"&lt;="&amp;'자료_거시'!$M98)/SUMIFS('자료_거시'!$N$3:$N$602,'자료_거시'!$M$3:$M$602,"&gt;"&amp;EDATE('자료_거시'!$M98,-12-'설정'!$B$17),'자료_거시'!$M$3:$M$602,"&lt;="&amp;EDATE('자료_거시'!$M98,-12))-1,""),""),"")</f>
        <v/>
      </c>
      <c r="AF116">
        <f>IF(ISNUMBER(AE116),'자료_거시'!$M98,"")</f>
        <v/>
      </c>
      <c r="AG116">
        <f>IF(ISNUMBER(AF116),IF(AF116&gt;$L$9,AE116,""),"")</f>
        <v/>
      </c>
    </row>
    <row r="117">
      <c r="P117">
        <f>IF(AND(ISNUMBER('자료_거시'!$A99),ISNUMBER('자료_거시'!$B99)),'자료_거시'!$B99,"")</f>
        <v/>
      </c>
      <c r="Q117">
        <f>IF(ISNUMBER(P117),'자료_거시'!$A99,"")</f>
        <v/>
      </c>
      <c r="R117">
        <f>IF(ISNUMBER(Q117),IF(Q117&gt;$L$5,P117,""),"")</f>
        <v/>
      </c>
      <c r="S117">
        <f>IF(ISNUMBER('자료_거시'!$E99),'자료_거시'!$E99,S116)</f>
        <v/>
      </c>
      <c r="T117">
        <f>IF(AND(ISNUMBER('자료_거시'!$D99),ISNUMBER('자료_거시'!$E99)),IFERROR('자료_거시'!$E99-INDEX($S$21:$S$4020,MATCH(EDATE('자료_거시'!$D99,-'설정'!$B$17),'자료_거시'!$D$3:INDEX('자료_거시'!$D$3:$D$4002,$K$6),1)),""),"")</f>
        <v/>
      </c>
      <c r="U117">
        <f>IF(ISNUMBER(T117),'자료_거시'!$D99,"")</f>
        <v/>
      </c>
      <c r="V117">
        <f>IF(ISNUMBER(U117),IF(U117&gt;$L$6,T117,""),"")</f>
        <v/>
      </c>
      <c r="W117">
        <f>IF(AND(ISNUMBER('자료_거시'!$G99),ISNUMBER('자료_거시'!$H99)),'자료_거시'!$H99,"")</f>
        <v/>
      </c>
      <c r="X117">
        <f>IF(ISNUMBER(W117),'자료_거시'!$G99,"")</f>
        <v/>
      </c>
      <c r="Y117">
        <f>IF(ISNUMBER(X117),IF(X117&gt;$L$7,W117,""),"")</f>
        <v/>
      </c>
      <c r="Z117">
        <f>IF(ISNUMBER('자료_거시'!$K99),'자료_거시'!$K99,Z116)</f>
        <v/>
      </c>
      <c r="AA117">
        <f>IF(AND(ISNUMBER('자료_거시'!$J99),ISNUMBER('자료_거시'!$K99)),IFERROR('자료_거시'!$K99/INDEX($Z$21:$Z$4020,MATCH(EDATE('자료_거시'!$J99,-'설정'!$B$17),'자료_거시'!$J$3:INDEX('자료_거시'!$J$3:$J$4002,$K$8),1))-1,""),"")</f>
        <v/>
      </c>
      <c r="AB117">
        <f>IF(ISNUMBER(AA117),'자료_거시'!$J99,"")</f>
        <v/>
      </c>
      <c r="AC117">
        <f>IF(ISNUMBER(AB117),IF(AB117&gt;$L$8,AA117,""),"")</f>
        <v/>
      </c>
      <c r="AD117">
        <f>IF(AND(ISNUMBER('자료_거시'!$M99),ISNUMBER('자료_거시'!$N99)),1,0)</f>
        <v/>
      </c>
      <c r="AE117">
        <f>IF(AND(ISNUMBER('자료_거시'!$M99),ISNUMBER('자료_거시'!$N99)),IF(AND(SUMIFS($AD$21:$AD$620,'자료_거시'!$M$3:$M$602,"&gt;"&amp;EDATE('자료_거시'!$M99,-'설정'!$B$17),'자료_거시'!$M$3:$M$602,"&lt;="&amp;'자료_거시'!$M99)=3,SUMIFS($AD$21:$AD$620,'자료_거시'!$M$3:$M$602,"&gt;"&amp;EDATE('자료_거시'!$M99,-12-'설정'!$B$17),'자료_거시'!$M$3:$M$602,"&lt;="&amp;EDATE('자료_거시'!$M99,-12))=3),IFERROR(SUMIFS('자료_거시'!$N$3:$N$602,'자료_거시'!$M$3:$M$602,"&gt;"&amp;EDATE('자료_거시'!$M99,-'설정'!$B$17),'자료_거시'!$M$3:$M$602,"&lt;="&amp;'자료_거시'!$M99)/SUMIFS('자료_거시'!$N$3:$N$602,'자료_거시'!$M$3:$M$602,"&gt;"&amp;EDATE('자료_거시'!$M99,-12-'설정'!$B$17),'자료_거시'!$M$3:$M$602,"&lt;="&amp;EDATE('자료_거시'!$M99,-12))-1,""),""),"")</f>
        <v/>
      </c>
      <c r="AF117">
        <f>IF(ISNUMBER(AE117),'자료_거시'!$M99,"")</f>
        <v/>
      </c>
      <c r="AG117">
        <f>IF(ISNUMBER(AF117),IF(AF117&gt;$L$9,AE117,""),"")</f>
        <v/>
      </c>
    </row>
    <row r="118">
      <c r="P118">
        <f>IF(AND(ISNUMBER('자료_거시'!$A100),ISNUMBER('자료_거시'!$B100)),'자료_거시'!$B100,"")</f>
        <v/>
      </c>
      <c r="Q118">
        <f>IF(ISNUMBER(P118),'자료_거시'!$A100,"")</f>
        <v/>
      </c>
      <c r="R118">
        <f>IF(ISNUMBER(Q118),IF(Q118&gt;$L$5,P118,""),"")</f>
        <v/>
      </c>
      <c r="S118">
        <f>IF(ISNUMBER('자료_거시'!$E100),'자료_거시'!$E100,S117)</f>
        <v/>
      </c>
      <c r="T118">
        <f>IF(AND(ISNUMBER('자료_거시'!$D100),ISNUMBER('자료_거시'!$E100)),IFERROR('자료_거시'!$E100-INDEX($S$21:$S$4020,MATCH(EDATE('자료_거시'!$D100,-'설정'!$B$17),'자료_거시'!$D$3:INDEX('자료_거시'!$D$3:$D$4002,$K$6),1)),""),"")</f>
        <v/>
      </c>
      <c r="U118">
        <f>IF(ISNUMBER(T118),'자료_거시'!$D100,"")</f>
        <v/>
      </c>
      <c r="V118">
        <f>IF(ISNUMBER(U118),IF(U118&gt;$L$6,T118,""),"")</f>
        <v/>
      </c>
      <c r="W118">
        <f>IF(AND(ISNUMBER('자료_거시'!$G100),ISNUMBER('자료_거시'!$H100)),'자료_거시'!$H100,"")</f>
        <v/>
      </c>
      <c r="X118">
        <f>IF(ISNUMBER(W118),'자료_거시'!$G100,"")</f>
        <v/>
      </c>
      <c r="Y118">
        <f>IF(ISNUMBER(X118),IF(X118&gt;$L$7,W118,""),"")</f>
        <v/>
      </c>
      <c r="Z118">
        <f>IF(ISNUMBER('자료_거시'!$K100),'자료_거시'!$K100,Z117)</f>
        <v/>
      </c>
      <c r="AA118">
        <f>IF(AND(ISNUMBER('자료_거시'!$J100),ISNUMBER('자료_거시'!$K100)),IFERROR('자료_거시'!$K100/INDEX($Z$21:$Z$4020,MATCH(EDATE('자료_거시'!$J100,-'설정'!$B$17),'자료_거시'!$J$3:INDEX('자료_거시'!$J$3:$J$4002,$K$8),1))-1,""),"")</f>
        <v/>
      </c>
      <c r="AB118">
        <f>IF(ISNUMBER(AA118),'자료_거시'!$J100,"")</f>
        <v/>
      </c>
      <c r="AC118">
        <f>IF(ISNUMBER(AB118),IF(AB118&gt;$L$8,AA118,""),"")</f>
        <v/>
      </c>
      <c r="AD118">
        <f>IF(AND(ISNUMBER('자료_거시'!$M100),ISNUMBER('자료_거시'!$N100)),1,0)</f>
        <v/>
      </c>
      <c r="AE118">
        <f>IF(AND(ISNUMBER('자료_거시'!$M100),ISNUMBER('자료_거시'!$N100)),IF(AND(SUMIFS($AD$21:$AD$620,'자료_거시'!$M$3:$M$602,"&gt;"&amp;EDATE('자료_거시'!$M100,-'설정'!$B$17),'자료_거시'!$M$3:$M$602,"&lt;="&amp;'자료_거시'!$M100)=3,SUMIFS($AD$21:$AD$620,'자료_거시'!$M$3:$M$602,"&gt;"&amp;EDATE('자료_거시'!$M100,-12-'설정'!$B$17),'자료_거시'!$M$3:$M$602,"&lt;="&amp;EDATE('자료_거시'!$M100,-12))=3),IFERROR(SUMIFS('자료_거시'!$N$3:$N$602,'자료_거시'!$M$3:$M$602,"&gt;"&amp;EDATE('자료_거시'!$M100,-'설정'!$B$17),'자료_거시'!$M$3:$M$602,"&lt;="&amp;'자료_거시'!$M100)/SUMIFS('자료_거시'!$N$3:$N$602,'자료_거시'!$M$3:$M$602,"&gt;"&amp;EDATE('자료_거시'!$M100,-12-'설정'!$B$17),'자료_거시'!$M$3:$M$602,"&lt;="&amp;EDATE('자료_거시'!$M100,-12))-1,""),""),"")</f>
        <v/>
      </c>
      <c r="AF118">
        <f>IF(ISNUMBER(AE118),'자료_거시'!$M100,"")</f>
        <v/>
      </c>
      <c r="AG118">
        <f>IF(ISNUMBER(AF118),IF(AF118&gt;$L$9,AE118,""),"")</f>
        <v/>
      </c>
    </row>
    <row r="119">
      <c r="P119">
        <f>IF(AND(ISNUMBER('자료_거시'!$A101),ISNUMBER('자료_거시'!$B101)),'자료_거시'!$B101,"")</f>
        <v/>
      </c>
      <c r="Q119">
        <f>IF(ISNUMBER(P119),'자료_거시'!$A101,"")</f>
        <v/>
      </c>
      <c r="R119">
        <f>IF(ISNUMBER(Q119),IF(Q119&gt;$L$5,P119,""),"")</f>
        <v/>
      </c>
      <c r="S119">
        <f>IF(ISNUMBER('자료_거시'!$E101),'자료_거시'!$E101,S118)</f>
        <v/>
      </c>
      <c r="T119">
        <f>IF(AND(ISNUMBER('자료_거시'!$D101),ISNUMBER('자료_거시'!$E101)),IFERROR('자료_거시'!$E101-INDEX($S$21:$S$4020,MATCH(EDATE('자료_거시'!$D101,-'설정'!$B$17),'자료_거시'!$D$3:INDEX('자료_거시'!$D$3:$D$4002,$K$6),1)),""),"")</f>
        <v/>
      </c>
      <c r="U119">
        <f>IF(ISNUMBER(T119),'자료_거시'!$D101,"")</f>
        <v/>
      </c>
      <c r="V119">
        <f>IF(ISNUMBER(U119),IF(U119&gt;$L$6,T119,""),"")</f>
        <v/>
      </c>
      <c r="W119">
        <f>IF(AND(ISNUMBER('자료_거시'!$G101),ISNUMBER('자료_거시'!$H101)),'자료_거시'!$H101,"")</f>
        <v/>
      </c>
      <c r="X119">
        <f>IF(ISNUMBER(W119),'자료_거시'!$G101,"")</f>
        <v/>
      </c>
      <c r="Y119">
        <f>IF(ISNUMBER(X119),IF(X119&gt;$L$7,W119,""),"")</f>
        <v/>
      </c>
      <c r="Z119">
        <f>IF(ISNUMBER('자료_거시'!$K101),'자료_거시'!$K101,Z118)</f>
        <v/>
      </c>
      <c r="AA119">
        <f>IF(AND(ISNUMBER('자료_거시'!$J101),ISNUMBER('자료_거시'!$K101)),IFERROR('자료_거시'!$K101/INDEX($Z$21:$Z$4020,MATCH(EDATE('자료_거시'!$J101,-'설정'!$B$17),'자료_거시'!$J$3:INDEX('자료_거시'!$J$3:$J$4002,$K$8),1))-1,""),"")</f>
        <v/>
      </c>
      <c r="AB119">
        <f>IF(ISNUMBER(AA119),'자료_거시'!$J101,"")</f>
        <v/>
      </c>
      <c r="AC119">
        <f>IF(ISNUMBER(AB119),IF(AB119&gt;$L$8,AA119,""),"")</f>
        <v/>
      </c>
      <c r="AD119">
        <f>IF(AND(ISNUMBER('자료_거시'!$M101),ISNUMBER('자료_거시'!$N101)),1,0)</f>
        <v/>
      </c>
      <c r="AE119">
        <f>IF(AND(ISNUMBER('자료_거시'!$M101),ISNUMBER('자료_거시'!$N101)),IF(AND(SUMIFS($AD$21:$AD$620,'자료_거시'!$M$3:$M$602,"&gt;"&amp;EDATE('자료_거시'!$M101,-'설정'!$B$17),'자료_거시'!$M$3:$M$602,"&lt;="&amp;'자료_거시'!$M101)=3,SUMIFS($AD$21:$AD$620,'자료_거시'!$M$3:$M$602,"&gt;"&amp;EDATE('자료_거시'!$M101,-12-'설정'!$B$17),'자료_거시'!$M$3:$M$602,"&lt;="&amp;EDATE('자료_거시'!$M101,-12))=3),IFERROR(SUMIFS('자료_거시'!$N$3:$N$602,'자료_거시'!$M$3:$M$602,"&gt;"&amp;EDATE('자료_거시'!$M101,-'설정'!$B$17),'자료_거시'!$M$3:$M$602,"&lt;="&amp;'자료_거시'!$M101)/SUMIFS('자료_거시'!$N$3:$N$602,'자료_거시'!$M$3:$M$602,"&gt;"&amp;EDATE('자료_거시'!$M101,-12-'설정'!$B$17),'자료_거시'!$M$3:$M$602,"&lt;="&amp;EDATE('자료_거시'!$M101,-12))-1,""),""),"")</f>
        <v/>
      </c>
      <c r="AF119">
        <f>IF(ISNUMBER(AE119),'자료_거시'!$M101,"")</f>
        <v/>
      </c>
      <c r="AG119">
        <f>IF(ISNUMBER(AF119),IF(AF119&gt;$L$9,AE119,""),"")</f>
        <v/>
      </c>
    </row>
    <row r="120">
      <c r="P120">
        <f>IF(AND(ISNUMBER('자료_거시'!$A102),ISNUMBER('자료_거시'!$B102)),'자료_거시'!$B102,"")</f>
        <v/>
      </c>
      <c r="Q120">
        <f>IF(ISNUMBER(P120),'자료_거시'!$A102,"")</f>
        <v/>
      </c>
      <c r="R120">
        <f>IF(ISNUMBER(Q120),IF(Q120&gt;$L$5,P120,""),"")</f>
        <v/>
      </c>
      <c r="S120">
        <f>IF(ISNUMBER('자료_거시'!$E102),'자료_거시'!$E102,S119)</f>
        <v/>
      </c>
      <c r="T120">
        <f>IF(AND(ISNUMBER('자료_거시'!$D102),ISNUMBER('자료_거시'!$E102)),IFERROR('자료_거시'!$E102-INDEX($S$21:$S$4020,MATCH(EDATE('자료_거시'!$D102,-'설정'!$B$17),'자료_거시'!$D$3:INDEX('자료_거시'!$D$3:$D$4002,$K$6),1)),""),"")</f>
        <v/>
      </c>
      <c r="U120">
        <f>IF(ISNUMBER(T120),'자료_거시'!$D102,"")</f>
        <v/>
      </c>
      <c r="V120">
        <f>IF(ISNUMBER(U120),IF(U120&gt;$L$6,T120,""),"")</f>
        <v/>
      </c>
      <c r="W120">
        <f>IF(AND(ISNUMBER('자료_거시'!$G102),ISNUMBER('자료_거시'!$H102)),'자료_거시'!$H102,"")</f>
        <v/>
      </c>
      <c r="X120">
        <f>IF(ISNUMBER(W120),'자료_거시'!$G102,"")</f>
        <v/>
      </c>
      <c r="Y120">
        <f>IF(ISNUMBER(X120),IF(X120&gt;$L$7,W120,""),"")</f>
        <v/>
      </c>
      <c r="Z120">
        <f>IF(ISNUMBER('자료_거시'!$K102),'자료_거시'!$K102,Z119)</f>
        <v/>
      </c>
      <c r="AA120">
        <f>IF(AND(ISNUMBER('자료_거시'!$J102),ISNUMBER('자료_거시'!$K102)),IFERROR('자료_거시'!$K102/INDEX($Z$21:$Z$4020,MATCH(EDATE('자료_거시'!$J102,-'설정'!$B$17),'자료_거시'!$J$3:INDEX('자료_거시'!$J$3:$J$4002,$K$8),1))-1,""),"")</f>
        <v/>
      </c>
      <c r="AB120">
        <f>IF(ISNUMBER(AA120),'자료_거시'!$J102,"")</f>
        <v/>
      </c>
      <c r="AC120">
        <f>IF(ISNUMBER(AB120),IF(AB120&gt;$L$8,AA120,""),"")</f>
        <v/>
      </c>
      <c r="AD120">
        <f>IF(AND(ISNUMBER('자료_거시'!$M102),ISNUMBER('자료_거시'!$N102)),1,0)</f>
        <v/>
      </c>
      <c r="AE120">
        <f>IF(AND(ISNUMBER('자료_거시'!$M102),ISNUMBER('자료_거시'!$N102)),IF(AND(SUMIFS($AD$21:$AD$620,'자료_거시'!$M$3:$M$602,"&gt;"&amp;EDATE('자료_거시'!$M102,-'설정'!$B$17),'자료_거시'!$M$3:$M$602,"&lt;="&amp;'자료_거시'!$M102)=3,SUMIFS($AD$21:$AD$620,'자료_거시'!$M$3:$M$602,"&gt;"&amp;EDATE('자료_거시'!$M102,-12-'설정'!$B$17),'자료_거시'!$M$3:$M$602,"&lt;="&amp;EDATE('자료_거시'!$M102,-12))=3),IFERROR(SUMIFS('자료_거시'!$N$3:$N$602,'자료_거시'!$M$3:$M$602,"&gt;"&amp;EDATE('자료_거시'!$M102,-'설정'!$B$17),'자료_거시'!$M$3:$M$602,"&lt;="&amp;'자료_거시'!$M102)/SUMIFS('자료_거시'!$N$3:$N$602,'자료_거시'!$M$3:$M$602,"&gt;"&amp;EDATE('자료_거시'!$M102,-12-'설정'!$B$17),'자료_거시'!$M$3:$M$602,"&lt;="&amp;EDATE('자료_거시'!$M102,-12))-1,""),""),"")</f>
        <v/>
      </c>
      <c r="AF120">
        <f>IF(ISNUMBER(AE120),'자료_거시'!$M102,"")</f>
        <v/>
      </c>
      <c r="AG120">
        <f>IF(ISNUMBER(AF120),IF(AF120&gt;$L$9,AE120,""),"")</f>
        <v/>
      </c>
    </row>
    <row r="121">
      <c r="P121">
        <f>IF(AND(ISNUMBER('자료_거시'!$A103),ISNUMBER('자료_거시'!$B103)),'자료_거시'!$B103,"")</f>
        <v/>
      </c>
      <c r="Q121">
        <f>IF(ISNUMBER(P121),'자료_거시'!$A103,"")</f>
        <v/>
      </c>
      <c r="R121">
        <f>IF(ISNUMBER(Q121),IF(Q121&gt;$L$5,P121,""),"")</f>
        <v/>
      </c>
      <c r="S121">
        <f>IF(ISNUMBER('자료_거시'!$E103),'자료_거시'!$E103,S120)</f>
        <v/>
      </c>
      <c r="T121">
        <f>IF(AND(ISNUMBER('자료_거시'!$D103),ISNUMBER('자료_거시'!$E103)),IFERROR('자료_거시'!$E103-INDEX($S$21:$S$4020,MATCH(EDATE('자료_거시'!$D103,-'설정'!$B$17),'자료_거시'!$D$3:INDEX('자료_거시'!$D$3:$D$4002,$K$6),1)),""),"")</f>
        <v/>
      </c>
      <c r="U121">
        <f>IF(ISNUMBER(T121),'자료_거시'!$D103,"")</f>
        <v/>
      </c>
      <c r="V121">
        <f>IF(ISNUMBER(U121),IF(U121&gt;$L$6,T121,""),"")</f>
        <v/>
      </c>
      <c r="W121">
        <f>IF(AND(ISNUMBER('자료_거시'!$G103),ISNUMBER('자료_거시'!$H103)),'자료_거시'!$H103,"")</f>
        <v/>
      </c>
      <c r="X121">
        <f>IF(ISNUMBER(W121),'자료_거시'!$G103,"")</f>
        <v/>
      </c>
      <c r="Y121">
        <f>IF(ISNUMBER(X121),IF(X121&gt;$L$7,W121,""),"")</f>
        <v/>
      </c>
      <c r="Z121">
        <f>IF(ISNUMBER('자료_거시'!$K103),'자료_거시'!$K103,Z120)</f>
        <v/>
      </c>
      <c r="AA121">
        <f>IF(AND(ISNUMBER('자료_거시'!$J103),ISNUMBER('자료_거시'!$K103)),IFERROR('자료_거시'!$K103/INDEX($Z$21:$Z$4020,MATCH(EDATE('자료_거시'!$J103,-'설정'!$B$17),'자료_거시'!$J$3:INDEX('자료_거시'!$J$3:$J$4002,$K$8),1))-1,""),"")</f>
        <v/>
      </c>
      <c r="AB121">
        <f>IF(ISNUMBER(AA121),'자료_거시'!$J103,"")</f>
        <v/>
      </c>
      <c r="AC121">
        <f>IF(ISNUMBER(AB121),IF(AB121&gt;$L$8,AA121,""),"")</f>
        <v/>
      </c>
      <c r="AD121">
        <f>IF(AND(ISNUMBER('자료_거시'!$M103),ISNUMBER('자료_거시'!$N103)),1,0)</f>
        <v/>
      </c>
      <c r="AE121">
        <f>IF(AND(ISNUMBER('자료_거시'!$M103),ISNUMBER('자료_거시'!$N103)),IF(AND(SUMIFS($AD$21:$AD$620,'자료_거시'!$M$3:$M$602,"&gt;"&amp;EDATE('자료_거시'!$M103,-'설정'!$B$17),'자료_거시'!$M$3:$M$602,"&lt;="&amp;'자료_거시'!$M103)=3,SUMIFS($AD$21:$AD$620,'자료_거시'!$M$3:$M$602,"&gt;"&amp;EDATE('자료_거시'!$M103,-12-'설정'!$B$17),'자료_거시'!$M$3:$M$602,"&lt;="&amp;EDATE('자료_거시'!$M103,-12))=3),IFERROR(SUMIFS('자료_거시'!$N$3:$N$602,'자료_거시'!$M$3:$M$602,"&gt;"&amp;EDATE('자료_거시'!$M103,-'설정'!$B$17),'자료_거시'!$M$3:$M$602,"&lt;="&amp;'자료_거시'!$M103)/SUMIFS('자료_거시'!$N$3:$N$602,'자료_거시'!$M$3:$M$602,"&gt;"&amp;EDATE('자료_거시'!$M103,-12-'설정'!$B$17),'자료_거시'!$M$3:$M$602,"&lt;="&amp;EDATE('자료_거시'!$M103,-12))-1,""),""),"")</f>
        <v/>
      </c>
      <c r="AF121">
        <f>IF(ISNUMBER(AE121),'자료_거시'!$M103,"")</f>
        <v/>
      </c>
      <c r="AG121">
        <f>IF(ISNUMBER(AF121),IF(AF121&gt;$L$9,AE121,""),"")</f>
        <v/>
      </c>
    </row>
    <row r="122">
      <c r="P122">
        <f>IF(AND(ISNUMBER('자료_거시'!$A104),ISNUMBER('자료_거시'!$B104)),'자료_거시'!$B104,"")</f>
        <v/>
      </c>
      <c r="Q122">
        <f>IF(ISNUMBER(P122),'자료_거시'!$A104,"")</f>
        <v/>
      </c>
      <c r="R122">
        <f>IF(ISNUMBER(Q122),IF(Q122&gt;$L$5,P122,""),"")</f>
        <v/>
      </c>
      <c r="S122">
        <f>IF(ISNUMBER('자료_거시'!$E104),'자료_거시'!$E104,S121)</f>
        <v/>
      </c>
      <c r="T122">
        <f>IF(AND(ISNUMBER('자료_거시'!$D104),ISNUMBER('자료_거시'!$E104)),IFERROR('자료_거시'!$E104-INDEX($S$21:$S$4020,MATCH(EDATE('자료_거시'!$D104,-'설정'!$B$17),'자료_거시'!$D$3:INDEX('자료_거시'!$D$3:$D$4002,$K$6),1)),""),"")</f>
        <v/>
      </c>
      <c r="U122">
        <f>IF(ISNUMBER(T122),'자료_거시'!$D104,"")</f>
        <v/>
      </c>
      <c r="V122">
        <f>IF(ISNUMBER(U122),IF(U122&gt;$L$6,T122,""),"")</f>
        <v/>
      </c>
      <c r="W122">
        <f>IF(AND(ISNUMBER('자료_거시'!$G104),ISNUMBER('자료_거시'!$H104)),'자료_거시'!$H104,"")</f>
        <v/>
      </c>
      <c r="X122">
        <f>IF(ISNUMBER(W122),'자료_거시'!$G104,"")</f>
        <v/>
      </c>
      <c r="Y122">
        <f>IF(ISNUMBER(X122),IF(X122&gt;$L$7,W122,""),"")</f>
        <v/>
      </c>
      <c r="Z122">
        <f>IF(ISNUMBER('자료_거시'!$K104),'자료_거시'!$K104,Z121)</f>
        <v/>
      </c>
      <c r="AA122">
        <f>IF(AND(ISNUMBER('자료_거시'!$J104),ISNUMBER('자료_거시'!$K104)),IFERROR('자료_거시'!$K104/INDEX($Z$21:$Z$4020,MATCH(EDATE('자료_거시'!$J104,-'설정'!$B$17),'자료_거시'!$J$3:INDEX('자료_거시'!$J$3:$J$4002,$K$8),1))-1,""),"")</f>
        <v/>
      </c>
      <c r="AB122">
        <f>IF(ISNUMBER(AA122),'자료_거시'!$J104,"")</f>
        <v/>
      </c>
      <c r="AC122">
        <f>IF(ISNUMBER(AB122),IF(AB122&gt;$L$8,AA122,""),"")</f>
        <v/>
      </c>
      <c r="AD122">
        <f>IF(AND(ISNUMBER('자료_거시'!$M104),ISNUMBER('자료_거시'!$N104)),1,0)</f>
        <v/>
      </c>
      <c r="AE122">
        <f>IF(AND(ISNUMBER('자료_거시'!$M104),ISNUMBER('자료_거시'!$N104)),IF(AND(SUMIFS($AD$21:$AD$620,'자료_거시'!$M$3:$M$602,"&gt;"&amp;EDATE('자료_거시'!$M104,-'설정'!$B$17),'자료_거시'!$M$3:$M$602,"&lt;="&amp;'자료_거시'!$M104)=3,SUMIFS($AD$21:$AD$620,'자료_거시'!$M$3:$M$602,"&gt;"&amp;EDATE('자료_거시'!$M104,-12-'설정'!$B$17),'자료_거시'!$M$3:$M$602,"&lt;="&amp;EDATE('자료_거시'!$M104,-12))=3),IFERROR(SUMIFS('자료_거시'!$N$3:$N$602,'자료_거시'!$M$3:$M$602,"&gt;"&amp;EDATE('자료_거시'!$M104,-'설정'!$B$17),'자료_거시'!$M$3:$M$602,"&lt;="&amp;'자료_거시'!$M104)/SUMIFS('자료_거시'!$N$3:$N$602,'자료_거시'!$M$3:$M$602,"&gt;"&amp;EDATE('자료_거시'!$M104,-12-'설정'!$B$17),'자료_거시'!$M$3:$M$602,"&lt;="&amp;EDATE('자료_거시'!$M104,-12))-1,""),""),"")</f>
        <v/>
      </c>
      <c r="AF122">
        <f>IF(ISNUMBER(AE122),'자료_거시'!$M104,"")</f>
        <v/>
      </c>
      <c r="AG122">
        <f>IF(ISNUMBER(AF122),IF(AF122&gt;$L$9,AE122,""),"")</f>
        <v/>
      </c>
    </row>
    <row r="123">
      <c r="P123">
        <f>IF(AND(ISNUMBER('자료_거시'!$A105),ISNUMBER('자료_거시'!$B105)),'자료_거시'!$B105,"")</f>
        <v/>
      </c>
      <c r="Q123">
        <f>IF(ISNUMBER(P123),'자료_거시'!$A105,"")</f>
        <v/>
      </c>
      <c r="R123">
        <f>IF(ISNUMBER(Q123),IF(Q123&gt;$L$5,P123,""),"")</f>
        <v/>
      </c>
      <c r="S123">
        <f>IF(ISNUMBER('자료_거시'!$E105),'자료_거시'!$E105,S122)</f>
        <v/>
      </c>
      <c r="T123">
        <f>IF(AND(ISNUMBER('자료_거시'!$D105),ISNUMBER('자료_거시'!$E105)),IFERROR('자료_거시'!$E105-INDEX($S$21:$S$4020,MATCH(EDATE('자료_거시'!$D105,-'설정'!$B$17),'자료_거시'!$D$3:INDEX('자료_거시'!$D$3:$D$4002,$K$6),1)),""),"")</f>
        <v/>
      </c>
      <c r="U123">
        <f>IF(ISNUMBER(T123),'자료_거시'!$D105,"")</f>
        <v/>
      </c>
      <c r="V123">
        <f>IF(ISNUMBER(U123),IF(U123&gt;$L$6,T123,""),"")</f>
        <v/>
      </c>
      <c r="W123">
        <f>IF(AND(ISNUMBER('자료_거시'!$G105),ISNUMBER('자료_거시'!$H105)),'자료_거시'!$H105,"")</f>
        <v/>
      </c>
      <c r="X123">
        <f>IF(ISNUMBER(W123),'자료_거시'!$G105,"")</f>
        <v/>
      </c>
      <c r="Y123">
        <f>IF(ISNUMBER(X123),IF(X123&gt;$L$7,W123,""),"")</f>
        <v/>
      </c>
      <c r="Z123">
        <f>IF(ISNUMBER('자료_거시'!$K105),'자료_거시'!$K105,Z122)</f>
        <v/>
      </c>
      <c r="AA123">
        <f>IF(AND(ISNUMBER('자료_거시'!$J105),ISNUMBER('자료_거시'!$K105)),IFERROR('자료_거시'!$K105/INDEX($Z$21:$Z$4020,MATCH(EDATE('자료_거시'!$J105,-'설정'!$B$17),'자료_거시'!$J$3:INDEX('자료_거시'!$J$3:$J$4002,$K$8),1))-1,""),"")</f>
        <v/>
      </c>
      <c r="AB123">
        <f>IF(ISNUMBER(AA123),'자료_거시'!$J105,"")</f>
        <v/>
      </c>
      <c r="AC123">
        <f>IF(ISNUMBER(AB123),IF(AB123&gt;$L$8,AA123,""),"")</f>
        <v/>
      </c>
      <c r="AD123">
        <f>IF(AND(ISNUMBER('자료_거시'!$M105),ISNUMBER('자료_거시'!$N105)),1,0)</f>
        <v/>
      </c>
      <c r="AE123">
        <f>IF(AND(ISNUMBER('자료_거시'!$M105),ISNUMBER('자료_거시'!$N105)),IF(AND(SUMIFS($AD$21:$AD$620,'자료_거시'!$M$3:$M$602,"&gt;"&amp;EDATE('자료_거시'!$M105,-'설정'!$B$17),'자료_거시'!$M$3:$M$602,"&lt;="&amp;'자료_거시'!$M105)=3,SUMIFS($AD$21:$AD$620,'자료_거시'!$M$3:$M$602,"&gt;"&amp;EDATE('자료_거시'!$M105,-12-'설정'!$B$17),'자료_거시'!$M$3:$M$602,"&lt;="&amp;EDATE('자료_거시'!$M105,-12))=3),IFERROR(SUMIFS('자료_거시'!$N$3:$N$602,'자료_거시'!$M$3:$M$602,"&gt;"&amp;EDATE('자료_거시'!$M105,-'설정'!$B$17),'자료_거시'!$M$3:$M$602,"&lt;="&amp;'자료_거시'!$M105)/SUMIFS('자료_거시'!$N$3:$N$602,'자료_거시'!$M$3:$M$602,"&gt;"&amp;EDATE('자료_거시'!$M105,-12-'설정'!$B$17),'자료_거시'!$M$3:$M$602,"&lt;="&amp;EDATE('자료_거시'!$M105,-12))-1,""),""),"")</f>
        <v/>
      </c>
      <c r="AF123">
        <f>IF(ISNUMBER(AE123),'자료_거시'!$M105,"")</f>
        <v/>
      </c>
      <c r="AG123">
        <f>IF(ISNUMBER(AF123),IF(AF123&gt;$L$9,AE123,""),"")</f>
        <v/>
      </c>
    </row>
    <row r="124">
      <c r="P124">
        <f>IF(AND(ISNUMBER('자료_거시'!$A106),ISNUMBER('자료_거시'!$B106)),'자료_거시'!$B106,"")</f>
        <v/>
      </c>
      <c r="Q124">
        <f>IF(ISNUMBER(P124),'자료_거시'!$A106,"")</f>
        <v/>
      </c>
      <c r="R124">
        <f>IF(ISNUMBER(Q124),IF(Q124&gt;$L$5,P124,""),"")</f>
        <v/>
      </c>
      <c r="S124">
        <f>IF(ISNUMBER('자료_거시'!$E106),'자료_거시'!$E106,S123)</f>
        <v/>
      </c>
      <c r="T124">
        <f>IF(AND(ISNUMBER('자료_거시'!$D106),ISNUMBER('자료_거시'!$E106)),IFERROR('자료_거시'!$E106-INDEX($S$21:$S$4020,MATCH(EDATE('자료_거시'!$D106,-'설정'!$B$17),'자료_거시'!$D$3:INDEX('자료_거시'!$D$3:$D$4002,$K$6),1)),""),"")</f>
        <v/>
      </c>
      <c r="U124">
        <f>IF(ISNUMBER(T124),'자료_거시'!$D106,"")</f>
        <v/>
      </c>
      <c r="V124">
        <f>IF(ISNUMBER(U124),IF(U124&gt;$L$6,T124,""),"")</f>
        <v/>
      </c>
      <c r="W124">
        <f>IF(AND(ISNUMBER('자료_거시'!$G106),ISNUMBER('자료_거시'!$H106)),'자료_거시'!$H106,"")</f>
        <v/>
      </c>
      <c r="X124">
        <f>IF(ISNUMBER(W124),'자료_거시'!$G106,"")</f>
        <v/>
      </c>
      <c r="Y124">
        <f>IF(ISNUMBER(X124),IF(X124&gt;$L$7,W124,""),"")</f>
        <v/>
      </c>
      <c r="Z124">
        <f>IF(ISNUMBER('자료_거시'!$K106),'자료_거시'!$K106,Z123)</f>
        <v/>
      </c>
      <c r="AA124">
        <f>IF(AND(ISNUMBER('자료_거시'!$J106),ISNUMBER('자료_거시'!$K106)),IFERROR('자료_거시'!$K106/INDEX($Z$21:$Z$4020,MATCH(EDATE('자료_거시'!$J106,-'설정'!$B$17),'자료_거시'!$J$3:INDEX('자료_거시'!$J$3:$J$4002,$K$8),1))-1,""),"")</f>
        <v/>
      </c>
      <c r="AB124">
        <f>IF(ISNUMBER(AA124),'자료_거시'!$J106,"")</f>
        <v/>
      </c>
      <c r="AC124">
        <f>IF(ISNUMBER(AB124),IF(AB124&gt;$L$8,AA124,""),"")</f>
        <v/>
      </c>
      <c r="AD124">
        <f>IF(AND(ISNUMBER('자료_거시'!$M106),ISNUMBER('자료_거시'!$N106)),1,0)</f>
        <v/>
      </c>
      <c r="AE124">
        <f>IF(AND(ISNUMBER('자료_거시'!$M106),ISNUMBER('자료_거시'!$N106)),IF(AND(SUMIFS($AD$21:$AD$620,'자료_거시'!$M$3:$M$602,"&gt;"&amp;EDATE('자료_거시'!$M106,-'설정'!$B$17),'자료_거시'!$M$3:$M$602,"&lt;="&amp;'자료_거시'!$M106)=3,SUMIFS($AD$21:$AD$620,'자료_거시'!$M$3:$M$602,"&gt;"&amp;EDATE('자료_거시'!$M106,-12-'설정'!$B$17),'자료_거시'!$M$3:$M$602,"&lt;="&amp;EDATE('자료_거시'!$M106,-12))=3),IFERROR(SUMIFS('자료_거시'!$N$3:$N$602,'자료_거시'!$M$3:$M$602,"&gt;"&amp;EDATE('자료_거시'!$M106,-'설정'!$B$17),'자료_거시'!$M$3:$M$602,"&lt;="&amp;'자료_거시'!$M106)/SUMIFS('자료_거시'!$N$3:$N$602,'자료_거시'!$M$3:$M$602,"&gt;"&amp;EDATE('자료_거시'!$M106,-12-'설정'!$B$17),'자료_거시'!$M$3:$M$602,"&lt;="&amp;EDATE('자료_거시'!$M106,-12))-1,""),""),"")</f>
        <v/>
      </c>
      <c r="AF124">
        <f>IF(ISNUMBER(AE124),'자료_거시'!$M106,"")</f>
        <v/>
      </c>
      <c r="AG124">
        <f>IF(ISNUMBER(AF124),IF(AF124&gt;$L$9,AE124,""),"")</f>
        <v/>
      </c>
    </row>
    <row r="125">
      <c r="P125">
        <f>IF(AND(ISNUMBER('자료_거시'!$A107),ISNUMBER('자료_거시'!$B107)),'자료_거시'!$B107,"")</f>
        <v/>
      </c>
      <c r="Q125">
        <f>IF(ISNUMBER(P125),'자료_거시'!$A107,"")</f>
        <v/>
      </c>
      <c r="R125">
        <f>IF(ISNUMBER(Q125),IF(Q125&gt;$L$5,P125,""),"")</f>
        <v/>
      </c>
      <c r="S125">
        <f>IF(ISNUMBER('자료_거시'!$E107),'자료_거시'!$E107,S124)</f>
        <v/>
      </c>
      <c r="T125">
        <f>IF(AND(ISNUMBER('자료_거시'!$D107),ISNUMBER('자료_거시'!$E107)),IFERROR('자료_거시'!$E107-INDEX($S$21:$S$4020,MATCH(EDATE('자료_거시'!$D107,-'설정'!$B$17),'자료_거시'!$D$3:INDEX('자료_거시'!$D$3:$D$4002,$K$6),1)),""),"")</f>
        <v/>
      </c>
      <c r="U125">
        <f>IF(ISNUMBER(T125),'자료_거시'!$D107,"")</f>
        <v/>
      </c>
      <c r="V125">
        <f>IF(ISNUMBER(U125),IF(U125&gt;$L$6,T125,""),"")</f>
        <v/>
      </c>
      <c r="W125">
        <f>IF(AND(ISNUMBER('자료_거시'!$G107),ISNUMBER('자료_거시'!$H107)),'자료_거시'!$H107,"")</f>
        <v/>
      </c>
      <c r="X125">
        <f>IF(ISNUMBER(W125),'자료_거시'!$G107,"")</f>
        <v/>
      </c>
      <c r="Y125">
        <f>IF(ISNUMBER(X125),IF(X125&gt;$L$7,W125,""),"")</f>
        <v/>
      </c>
      <c r="Z125">
        <f>IF(ISNUMBER('자료_거시'!$K107),'자료_거시'!$K107,Z124)</f>
        <v/>
      </c>
      <c r="AA125">
        <f>IF(AND(ISNUMBER('자료_거시'!$J107),ISNUMBER('자료_거시'!$K107)),IFERROR('자료_거시'!$K107/INDEX($Z$21:$Z$4020,MATCH(EDATE('자료_거시'!$J107,-'설정'!$B$17),'자료_거시'!$J$3:INDEX('자료_거시'!$J$3:$J$4002,$K$8),1))-1,""),"")</f>
        <v/>
      </c>
      <c r="AB125">
        <f>IF(ISNUMBER(AA125),'자료_거시'!$J107,"")</f>
        <v/>
      </c>
      <c r="AC125">
        <f>IF(ISNUMBER(AB125),IF(AB125&gt;$L$8,AA125,""),"")</f>
        <v/>
      </c>
      <c r="AD125">
        <f>IF(AND(ISNUMBER('자료_거시'!$M107),ISNUMBER('자료_거시'!$N107)),1,0)</f>
        <v/>
      </c>
      <c r="AE125">
        <f>IF(AND(ISNUMBER('자료_거시'!$M107),ISNUMBER('자료_거시'!$N107)),IF(AND(SUMIFS($AD$21:$AD$620,'자료_거시'!$M$3:$M$602,"&gt;"&amp;EDATE('자료_거시'!$M107,-'설정'!$B$17),'자료_거시'!$M$3:$M$602,"&lt;="&amp;'자료_거시'!$M107)=3,SUMIFS($AD$21:$AD$620,'자료_거시'!$M$3:$M$602,"&gt;"&amp;EDATE('자료_거시'!$M107,-12-'설정'!$B$17),'자료_거시'!$M$3:$M$602,"&lt;="&amp;EDATE('자료_거시'!$M107,-12))=3),IFERROR(SUMIFS('자료_거시'!$N$3:$N$602,'자료_거시'!$M$3:$M$602,"&gt;"&amp;EDATE('자료_거시'!$M107,-'설정'!$B$17),'자료_거시'!$M$3:$M$602,"&lt;="&amp;'자료_거시'!$M107)/SUMIFS('자료_거시'!$N$3:$N$602,'자료_거시'!$M$3:$M$602,"&gt;"&amp;EDATE('자료_거시'!$M107,-12-'설정'!$B$17),'자료_거시'!$M$3:$M$602,"&lt;="&amp;EDATE('자료_거시'!$M107,-12))-1,""),""),"")</f>
        <v/>
      </c>
      <c r="AF125">
        <f>IF(ISNUMBER(AE125),'자료_거시'!$M107,"")</f>
        <v/>
      </c>
      <c r="AG125">
        <f>IF(ISNUMBER(AF125),IF(AF125&gt;$L$9,AE125,""),"")</f>
        <v/>
      </c>
    </row>
    <row r="126">
      <c r="P126">
        <f>IF(AND(ISNUMBER('자료_거시'!$A108),ISNUMBER('자료_거시'!$B108)),'자료_거시'!$B108,"")</f>
        <v/>
      </c>
      <c r="Q126">
        <f>IF(ISNUMBER(P126),'자료_거시'!$A108,"")</f>
        <v/>
      </c>
      <c r="R126">
        <f>IF(ISNUMBER(Q126),IF(Q126&gt;$L$5,P126,""),"")</f>
        <v/>
      </c>
      <c r="S126">
        <f>IF(ISNUMBER('자료_거시'!$E108),'자료_거시'!$E108,S125)</f>
        <v/>
      </c>
      <c r="T126">
        <f>IF(AND(ISNUMBER('자료_거시'!$D108),ISNUMBER('자료_거시'!$E108)),IFERROR('자료_거시'!$E108-INDEX($S$21:$S$4020,MATCH(EDATE('자료_거시'!$D108,-'설정'!$B$17),'자료_거시'!$D$3:INDEX('자료_거시'!$D$3:$D$4002,$K$6),1)),""),"")</f>
        <v/>
      </c>
      <c r="U126">
        <f>IF(ISNUMBER(T126),'자료_거시'!$D108,"")</f>
        <v/>
      </c>
      <c r="V126">
        <f>IF(ISNUMBER(U126),IF(U126&gt;$L$6,T126,""),"")</f>
        <v/>
      </c>
      <c r="W126">
        <f>IF(AND(ISNUMBER('자료_거시'!$G108),ISNUMBER('자료_거시'!$H108)),'자료_거시'!$H108,"")</f>
        <v/>
      </c>
      <c r="X126">
        <f>IF(ISNUMBER(W126),'자료_거시'!$G108,"")</f>
        <v/>
      </c>
      <c r="Y126">
        <f>IF(ISNUMBER(X126),IF(X126&gt;$L$7,W126,""),"")</f>
        <v/>
      </c>
      <c r="Z126">
        <f>IF(ISNUMBER('자료_거시'!$K108),'자료_거시'!$K108,Z125)</f>
        <v/>
      </c>
      <c r="AA126">
        <f>IF(AND(ISNUMBER('자료_거시'!$J108),ISNUMBER('자료_거시'!$K108)),IFERROR('자료_거시'!$K108/INDEX($Z$21:$Z$4020,MATCH(EDATE('자료_거시'!$J108,-'설정'!$B$17),'자료_거시'!$J$3:INDEX('자료_거시'!$J$3:$J$4002,$K$8),1))-1,""),"")</f>
        <v/>
      </c>
      <c r="AB126">
        <f>IF(ISNUMBER(AA126),'자료_거시'!$J108,"")</f>
        <v/>
      </c>
      <c r="AC126">
        <f>IF(ISNUMBER(AB126),IF(AB126&gt;$L$8,AA126,""),"")</f>
        <v/>
      </c>
      <c r="AD126">
        <f>IF(AND(ISNUMBER('자료_거시'!$M108),ISNUMBER('자료_거시'!$N108)),1,0)</f>
        <v/>
      </c>
      <c r="AE126">
        <f>IF(AND(ISNUMBER('자료_거시'!$M108),ISNUMBER('자료_거시'!$N108)),IF(AND(SUMIFS($AD$21:$AD$620,'자료_거시'!$M$3:$M$602,"&gt;"&amp;EDATE('자료_거시'!$M108,-'설정'!$B$17),'자료_거시'!$M$3:$M$602,"&lt;="&amp;'자료_거시'!$M108)=3,SUMIFS($AD$21:$AD$620,'자료_거시'!$M$3:$M$602,"&gt;"&amp;EDATE('자료_거시'!$M108,-12-'설정'!$B$17),'자료_거시'!$M$3:$M$602,"&lt;="&amp;EDATE('자료_거시'!$M108,-12))=3),IFERROR(SUMIFS('자료_거시'!$N$3:$N$602,'자료_거시'!$M$3:$M$602,"&gt;"&amp;EDATE('자료_거시'!$M108,-'설정'!$B$17),'자료_거시'!$M$3:$M$602,"&lt;="&amp;'자료_거시'!$M108)/SUMIFS('자료_거시'!$N$3:$N$602,'자료_거시'!$M$3:$M$602,"&gt;"&amp;EDATE('자료_거시'!$M108,-12-'설정'!$B$17),'자료_거시'!$M$3:$M$602,"&lt;="&amp;EDATE('자료_거시'!$M108,-12))-1,""),""),"")</f>
        <v/>
      </c>
      <c r="AF126">
        <f>IF(ISNUMBER(AE126),'자료_거시'!$M108,"")</f>
        <v/>
      </c>
      <c r="AG126">
        <f>IF(ISNUMBER(AF126),IF(AF126&gt;$L$9,AE126,""),"")</f>
        <v/>
      </c>
    </row>
    <row r="127">
      <c r="P127">
        <f>IF(AND(ISNUMBER('자료_거시'!$A109),ISNUMBER('자료_거시'!$B109)),'자료_거시'!$B109,"")</f>
        <v/>
      </c>
      <c r="Q127">
        <f>IF(ISNUMBER(P127),'자료_거시'!$A109,"")</f>
        <v/>
      </c>
      <c r="R127">
        <f>IF(ISNUMBER(Q127),IF(Q127&gt;$L$5,P127,""),"")</f>
        <v/>
      </c>
      <c r="S127">
        <f>IF(ISNUMBER('자료_거시'!$E109),'자료_거시'!$E109,S126)</f>
        <v/>
      </c>
      <c r="T127">
        <f>IF(AND(ISNUMBER('자료_거시'!$D109),ISNUMBER('자료_거시'!$E109)),IFERROR('자료_거시'!$E109-INDEX($S$21:$S$4020,MATCH(EDATE('자료_거시'!$D109,-'설정'!$B$17),'자료_거시'!$D$3:INDEX('자료_거시'!$D$3:$D$4002,$K$6),1)),""),"")</f>
        <v/>
      </c>
      <c r="U127">
        <f>IF(ISNUMBER(T127),'자료_거시'!$D109,"")</f>
        <v/>
      </c>
      <c r="V127">
        <f>IF(ISNUMBER(U127),IF(U127&gt;$L$6,T127,""),"")</f>
        <v/>
      </c>
      <c r="W127">
        <f>IF(AND(ISNUMBER('자료_거시'!$G109),ISNUMBER('자료_거시'!$H109)),'자료_거시'!$H109,"")</f>
        <v/>
      </c>
      <c r="X127">
        <f>IF(ISNUMBER(W127),'자료_거시'!$G109,"")</f>
        <v/>
      </c>
      <c r="Y127">
        <f>IF(ISNUMBER(X127),IF(X127&gt;$L$7,W127,""),"")</f>
        <v/>
      </c>
      <c r="Z127">
        <f>IF(ISNUMBER('자료_거시'!$K109),'자료_거시'!$K109,Z126)</f>
        <v/>
      </c>
      <c r="AA127">
        <f>IF(AND(ISNUMBER('자료_거시'!$J109),ISNUMBER('자료_거시'!$K109)),IFERROR('자료_거시'!$K109/INDEX($Z$21:$Z$4020,MATCH(EDATE('자료_거시'!$J109,-'설정'!$B$17),'자료_거시'!$J$3:INDEX('자료_거시'!$J$3:$J$4002,$K$8),1))-1,""),"")</f>
        <v/>
      </c>
      <c r="AB127">
        <f>IF(ISNUMBER(AA127),'자료_거시'!$J109,"")</f>
        <v/>
      </c>
      <c r="AC127">
        <f>IF(ISNUMBER(AB127),IF(AB127&gt;$L$8,AA127,""),"")</f>
        <v/>
      </c>
      <c r="AD127">
        <f>IF(AND(ISNUMBER('자료_거시'!$M109),ISNUMBER('자료_거시'!$N109)),1,0)</f>
        <v/>
      </c>
      <c r="AE127">
        <f>IF(AND(ISNUMBER('자료_거시'!$M109),ISNUMBER('자료_거시'!$N109)),IF(AND(SUMIFS($AD$21:$AD$620,'자료_거시'!$M$3:$M$602,"&gt;"&amp;EDATE('자료_거시'!$M109,-'설정'!$B$17),'자료_거시'!$M$3:$M$602,"&lt;="&amp;'자료_거시'!$M109)=3,SUMIFS($AD$21:$AD$620,'자료_거시'!$M$3:$M$602,"&gt;"&amp;EDATE('자료_거시'!$M109,-12-'설정'!$B$17),'자료_거시'!$M$3:$M$602,"&lt;="&amp;EDATE('자료_거시'!$M109,-12))=3),IFERROR(SUMIFS('자료_거시'!$N$3:$N$602,'자료_거시'!$M$3:$M$602,"&gt;"&amp;EDATE('자료_거시'!$M109,-'설정'!$B$17),'자료_거시'!$M$3:$M$602,"&lt;="&amp;'자료_거시'!$M109)/SUMIFS('자료_거시'!$N$3:$N$602,'자료_거시'!$M$3:$M$602,"&gt;"&amp;EDATE('자료_거시'!$M109,-12-'설정'!$B$17),'자료_거시'!$M$3:$M$602,"&lt;="&amp;EDATE('자료_거시'!$M109,-12))-1,""),""),"")</f>
        <v/>
      </c>
      <c r="AF127">
        <f>IF(ISNUMBER(AE127),'자료_거시'!$M109,"")</f>
        <v/>
      </c>
      <c r="AG127">
        <f>IF(ISNUMBER(AF127),IF(AF127&gt;$L$9,AE127,""),"")</f>
        <v/>
      </c>
    </row>
    <row r="128">
      <c r="P128">
        <f>IF(AND(ISNUMBER('자료_거시'!$A110),ISNUMBER('자료_거시'!$B110)),'자료_거시'!$B110,"")</f>
        <v/>
      </c>
      <c r="Q128">
        <f>IF(ISNUMBER(P128),'자료_거시'!$A110,"")</f>
        <v/>
      </c>
      <c r="R128">
        <f>IF(ISNUMBER(Q128),IF(Q128&gt;$L$5,P128,""),"")</f>
        <v/>
      </c>
      <c r="S128">
        <f>IF(ISNUMBER('자료_거시'!$E110),'자료_거시'!$E110,S127)</f>
        <v/>
      </c>
      <c r="T128">
        <f>IF(AND(ISNUMBER('자료_거시'!$D110),ISNUMBER('자료_거시'!$E110)),IFERROR('자료_거시'!$E110-INDEX($S$21:$S$4020,MATCH(EDATE('자료_거시'!$D110,-'설정'!$B$17),'자료_거시'!$D$3:INDEX('자료_거시'!$D$3:$D$4002,$K$6),1)),""),"")</f>
        <v/>
      </c>
      <c r="U128">
        <f>IF(ISNUMBER(T128),'자료_거시'!$D110,"")</f>
        <v/>
      </c>
      <c r="V128">
        <f>IF(ISNUMBER(U128),IF(U128&gt;$L$6,T128,""),"")</f>
        <v/>
      </c>
      <c r="W128">
        <f>IF(AND(ISNUMBER('자료_거시'!$G110),ISNUMBER('자료_거시'!$H110)),'자료_거시'!$H110,"")</f>
        <v/>
      </c>
      <c r="X128">
        <f>IF(ISNUMBER(W128),'자료_거시'!$G110,"")</f>
        <v/>
      </c>
      <c r="Y128">
        <f>IF(ISNUMBER(X128),IF(X128&gt;$L$7,W128,""),"")</f>
        <v/>
      </c>
      <c r="Z128">
        <f>IF(ISNUMBER('자료_거시'!$K110),'자료_거시'!$K110,Z127)</f>
        <v/>
      </c>
      <c r="AA128">
        <f>IF(AND(ISNUMBER('자료_거시'!$J110),ISNUMBER('자료_거시'!$K110)),IFERROR('자료_거시'!$K110/INDEX($Z$21:$Z$4020,MATCH(EDATE('자료_거시'!$J110,-'설정'!$B$17),'자료_거시'!$J$3:INDEX('자료_거시'!$J$3:$J$4002,$K$8),1))-1,""),"")</f>
        <v/>
      </c>
      <c r="AB128">
        <f>IF(ISNUMBER(AA128),'자료_거시'!$J110,"")</f>
        <v/>
      </c>
      <c r="AC128">
        <f>IF(ISNUMBER(AB128),IF(AB128&gt;$L$8,AA128,""),"")</f>
        <v/>
      </c>
      <c r="AD128">
        <f>IF(AND(ISNUMBER('자료_거시'!$M110),ISNUMBER('자료_거시'!$N110)),1,0)</f>
        <v/>
      </c>
      <c r="AE128">
        <f>IF(AND(ISNUMBER('자료_거시'!$M110),ISNUMBER('자료_거시'!$N110)),IF(AND(SUMIFS($AD$21:$AD$620,'자료_거시'!$M$3:$M$602,"&gt;"&amp;EDATE('자료_거시'!$M110,-'설정'!$B$17),'자료_거시'!$M$3:$M$602,"&lt;="&amp;'자료_거시'!$M110)=3,SUMIFS($AD$21:$AD$620,'자료_거시'!$M$3:$M$602,"&gt;"&amp;EDATE('자료_거시'!$M110,-12-'설정'!$B$17),'자료_거시'!$M$3:$M$602,"&lt;="&amp;EDATE('자료_거시'!$M110,-12))=3),IFERROR(SUMIFS('자료_거시'!$N$3:$N$602,'자료_거시'!$M$3:$M$602,"&gt;"&amp;EDATE('자료_거시'!$M110,-'설정'!$B$17),'자료_거시'!$M$3:$M$602,"&lt;="&amp;'자료_거시'!$M110)/SUMIFS('자료_거시'!$N$3:$N$602,'자료_거시'!$M$3:$M$602,"&gt;"&amp;EDATE('자료_거시'!$M110,-12-'설정'!$B$17),'자료_거시'!$M$3:$M$602,"&lt;="&amp;EDATE('자료_거시'!$M110,-12))-1,""),""),"")</f>
        <v/>
      </c>
      <c r="AF128">
        <f>IF(ISNUMBER(AE128),'자료_거시'!$M110,"")</f>
        <v/>
      </c>
      <c r="AG128">
        <f>IF(ISNUMBER(AF128),IF(AF128&gt;$L$9,AE128,""),"")</f>
        <v/>
      </c>
    </row>
    <row r="129">
      <c r="P129">
        <f>IF(AND(ISNUMBER('자료_거시'!$A111),ISNUMBER('자료_거시'!$B111)),'자료_거시'!$B111,"")</f>
        <v/>
      </c>
      <c r="Q129">
        <f>IF(ISNUMBER(P129),'자료_거시'!$A111,"")</f>
        <v/>
      </c>
      <c r="R129">
        <f>IF(ISNUMBER(Q129),IF(Q129&gt;$L$5,P129,""),"")</f>
        <v/>
      </c>
      <c r="S129">
        <f>IF(ISNUMBER('자료_거시'!$E111),'자료_거시'!$E111,S128)</f>
        <v/>
      </c>
      <c r="T129">
        <f>IF(AND(ISNUMBER('자료_거시'!$D111),ISNUMBER('자료_거시'!$E111)),IFERROR('자료_거시'!$E111-INDEX($S$21:$S$4020,MATCH(EDATE('자료_거시'!$D111,-'설정'!$B$17),'자료_거시'!$D$3:INDEX('자료_거시'!$D$3:$D$4002,$K$6),1)),""),"")</f>
        <v/>
      </c>
      <c r="U129">
        <f>IF(ISNUMBER(T129),'자료_거시'!$D111,"")</f>
        <v/>
      </c>
      <c r="V129">
        <f>IF(ISNUMBER(U129),IF(U129&gt;$L$6,T129,""),"")</f>
        <v/>
      </c>
      <c r="W129">
        <f>IF(AND(ISNUMBER('자료_거시'!$G111),ISNUMBER('자료_거시'!$H111)),'자료_거시'!$H111,"")</f>
        <v/>
      </c>
      <c r="X129">
        <f>IF(ISNUMBER(W129),'자료_거시'!$G111,"")</f>
        <v/>
      </c>
      <c r="Y129">
        <f>IF(ISNUMBER(X129),IF(X129&gt;$L$7,W129,""),"")</f>
        <v/>
      </c>
      <c r="Z129">
        <f>IF(ISNUMBER('자료_거시'!$K111),'자료_거시'!$K111,Z128)</f>
        <v/>
      </c>
      <c r="AA129">
        <f>IF(AND(ISNUMBER('자료_거시'!$J111),ISNUMBER('자료_거시'!$K111)),IFERROR('자료_거시'!$K111/INDEX($Z$21:$Z$4020,MATCH(EDATE('자료_거시'!$J111,-'설정'!$B$17),'자료_거시'!$J$3:INDEX('자료_거시'!$J$3:$J$4002,$K$8),1))-1,""),"")</f>
        <v/>
      </c>
      <c r="AB129">
        <f>IF(ISNUMBER(AA129),'자료_거시'!$J111,"")</f>
        <v/>
      </c>
      <c r="AC129">
        <f>IF(ISNUMBER(AB129),IF(AB129&gt;$L$8,AA129,""),"")</f>
        <v/>
      </c>
      <c r="AD129">
        <f>IF(AND(ISNUMBER('자료_거시'!$M111),ISNUMBER('자료_거시'!$N111)),1,0)</f>
        <v/>
      </c>
      <c r="AE129">
        <f>IF(AND(ISNUMBER('자료_거시'!$M111),ISNUMBER('자료_거시'!$N111)),IF(AND(SUMIFS($AD$21:$AD$620,'자료_거시'!$M$3:$M$602,"&gt;"&amp;EDATE('자료_거시'!$M111,-'설정'!$B$17),'자료_거시'!$M$3:$M$602,"&lt;="&amp;'자료_거시'!$M111)=3,SUMIFS($AD$21:$AD$620,'자료_거시'!$M$3:$M$602,"&gt;"&amp;EDATE('자료_거시'!$M111,-12-'설정'!$B$17),'자료_거시'!$M$3:$M$602,"&lt;="&amp;EDATE('자료_거시'!$M111,-12))=3),IFERROR(SUMIFS('자료_거시'!$N$3:$N$602,'자료_거시'!$M$3:$M$602,"&gt;"&amp;EDATE('자료_거시'!$M111,-'설정'!$B$17),'자료_거시'!$M$3:$M$602,"&lt;="&amp;'자료_거시'!$M111)/SUMIFS('자료_거시'!$N$3:$N$602,'자료_거시'!$M$3:$M$602,"&gt;"&amp;EDATE('자료_거시'!$M111,-12-'설정'!$B$17),'자료_거시'!$M$3:$M$602,"&lt;="&amp;EDATE('자료_거시'!$M111,-12))-1,""),""),"")</f>
        <v/>
      </c>
      <c r="AF129">
        <f>IF(ISNUMBER(AE129),'자료_거시'!$M111,"")</f>
        <v/>
      </c>
      <c r="AG129">
        <f>IF(ISNUMBER(AF129),IF(AF129&gt;$L$9,AE129,""),"")</f>
        <v/>
      </c>
    </row>
    <row r="130">
      <c r="P130">
        <f>IF(AND(ISNUMBER('자료_거시'!$A112),ISNUMBER('자료_거시'!$B112)),'자료_거시'!$B112,"")</f>
        <v/>
      </c>
      <c r="Q130">
        <f>IF(ISNUMBER(P130),'자료_거시'!$A112,"")</f>
        <v/>
      </c>
      <c r="R130">
        <f>IF(ISNUMBER(Q130),IF(Q130&gt;$L$5,P130,""),"")</f>
        <v/>
      </c>
      <c r="S130">
        <f>IF(ISNUMBER('자료_거시'!$E112),'자료_거시'!$E112,S129)</f>
        <v/>
      </c>
      <c r="T130">
        <f>IF(AND(ISNUMBER('자료_거시'!$D112),ISNUMBER('자료_거시'!$E112)),IFERROR('자료_거시'!$E112-INDEX($S$21:$S$4020,MATCH(EDATE('자료_거시'!$D112,-'설정'!$B$17),'자료_거시'!$D$3:INDEX('자료_거시'!$D$3:$D$4002,$K$6),1)),""),"")</f>
        <v/>
      </c>
      <c r="U130">
        <f>IF(ISNUMBER(T130),'자료_거시'!$D112,"")</f>
        <v/>
      </c>
      <c r="V130">
        <f>IF(ISNUMBER(U130),IF(U130&gt;$L$6,T130,""),"")</f>
        <v/>
      </c>
      <c r="W130">
        <f>IF(AND(ISNUMBER('자료_거시'!$G112),ISNUMBER('자료_거시'!$H112)),'자료_거시'!$H112,"")</f>
        <v/>
      </c>
      <c r="X130">
        <f>IF(ISNUMBER(W130),'자료_거시'!$G112,"")</f>
        <v/>
      </c>
      <c r="Y130">
        <f>IF(ISNUMBER(X130),IF(X130&gt;$L$7,W130,""),"")</f>
        <v/>
      </c>
      <c r="Z130">
        <f>IF(ISNUMBER('자료_거시'!$K112),'자료_거시'!$K112,Z129)</f>
        <v/>
      </c>
      <c r="AA130">
        <f>IF(AND(ISNUMBER('자료_거시'!$J112),ISNUMBER('자료_거시'!$K112)),IFERROR('자료_거시'!$K112/INDEX($Z$21:$Z$4020,MATCH(EDATE('자료_거시'!$J112,-'설정'!$B$17),'자료_거시'!$J$3:INDEX('자료_거시'!$J$3:$J$4002,$K$8),1))-1,""),"")</f>
        <v/>
      </c>
      <c r="AB130">
        <f>IF(ISNUMBER(AA130),'자료_거시'!$J112,"")</f>
        <v/>
      </c>
      <c r="AC130">
        <f>IF(ISNUMBER(AB130),IF(AB130&gt;$L$8,AA130,""),"")</f>
        <v/>
      </c>
      <c r="AD130">
        <f>IF(AND(ISNUMBER('자료_거시'!$M112),ISNUMBER('자료_거시'!$N112)),1,0)</f>
        <v/>
      </c>
      <c r="AE130">
        <f>IF(AND(ISNUMBER('자료_거시'!$M112),ISNUMBER('자료_거시'!$N112)),IF(AND(SUMIFS($AD$21:$AD$620,'자료_거시'!$M$3:$M$602,"&gt;"&amp;EDATE('자료_거시'!$M112,-'설정'!$B$17),'자료_거시'!$M$3:$M$602,"&lt;="&amp;'자료_거시'!$M112)=3,SUMIFS($AD$21:$AD$620,'자료_거시'!$M$3:$M$602,"&gt;"&amp;EDATE('자료_거시'!$M112,-12-'설정'!$B$17),'자료_거시'!$M$3:$M$602,"&lt;="&amp;EDATE('자료_거시'!$M112,-12))=3),IFERROR(SUMIFS('자료_거시'!$N$3:$N$602,'자료_거시'!$M$3:$M$602,"&gt;"&amp;EDATE('자료_거시'!$M112,-'설정'!$B$17),'자료_거시'!$M$3:$M$602,"&lt;="&amp;'자료_거시'!$M112)/SUMIFS('자료_거시'!$N$3:$N$602,'자료_거시'!$M$3:$M$602,"&gt;"&amp;EDATE('자료_거시'!$M112,-12-'설정'!$B$17),'자료_거시'!$M$3:$M$602,"&lt;="&amp;EDATE('자료_거시'!$M112,-12))-1,""),""),"")</f>
        <v/>
      </c>
      <c r="AF130">
        <f>IF(ISNUMBER(AE130),'자료_거시'!$M112,"")</f>
        <v/>
      </c>
      <c r="AG130">
        <f>IF(ISNUMBER(AF130),IF(AF130&gt;$L$9,AE130,""),"")</f>
        <v/>
      </c>
    </row>
    <row r="131">
      <c r="P131">
        <f>IF(AND(ISNUMBER('자료_거시'!$A113),ISNUMBER('자료_거시'!$B113)),'자료_거시'!$B113,"")</f>
        <v/>
      </c>
      <c r="Q131">
        <f>IF(ISNUMBER(P131),'자료_거시'!$A113,"")</f>
        <v/>
      </c>
      <c r="R131">
        <f>IF(ISNUMBER(Q131),IF(Q131&gt;$L$5,P131,""),"")</f>
        <v/>
      </c>
      <c r="S131">
        <f>IF(ISNUMBER('자료_거시'!$E113),'자료_거시'!$E113,S130)</f>
        <v/>
      </c>
      <c r="T131">
        <f>IF(AND(ISNUMBER('자료_거시'!$D113),ISNUMBER('자료_거시'!$E113)),IFERROR('자료_거시'!$E113-INDEX($S$21:$S$4020,MATCH(EDATE('자료_거시'!$D113,-'설정'!$B$17),'자료_거시'!$D$3:INDEX('자료_거시'!$D$3:$D$4002,$K$6),1)),""),"")</f>
        <v/>
      </c>
      <c r="U131">
        <f>IF(ISNUMBER(T131),'자료_거시'!$D113,"")</f>
        <v/>
      </c>
      <c r="V131">
        <f>IF(ISNUMBER(U131),IF(U131&gt;$L$6,T131,""),"")</f>
        <v/>
      </c>
      <c r="W131">
        <f>IF(AND(ISNUMBER('자료_거시'!$G113),ISNUMBER('자료_거시'!$H113)),'자료_거시'!$H113,"")</f>
        <v/>
      </c>
      <c r="X131">
        <f>IF(ISNUMBER(W131),'자료_거시'!$G113,"")</f>
        <v/>
      </c>
      <c r="Y131">
        <f>IF(ISNUMBER(X131),IF(X131&gt;$L$7,W131,""),"")</f>
        <v/>
      </c>
      <c r="Z131">
        <f>IF(ISNUMBER('자료_거시'!$K113),'자료_거시'!$K113,Z130)</f>
        <v/>
      </c>
      <c r="AA131">
        <f>IF(AND(ISNUMBER('자료_거시'!$J113),ISNUMBER('자료_거시'!$K113)),IFERROR('자료_거시'!$K113/INDEX($Z$21:$Z$4020,MATCH(EDATE('자료_거시'!$J113,-'설정'!$B$17),'자료_거시'!$J$3:INDEX('자료_거시'!$J$3:$J$4002,$K$8),1))-1,""),"")</f>
        <v/>
      </c>
      <c r="AB131">
        <f>IF(ISNUMBER(AA131),'자료_거시'!$J113,"")</f>
        <v/>
      </c>
      <c r="AC131">
        <f>IF(ISNUMBER(AB131),IF(AB131&gt;$L$8,AA131,""),"")</f>
        <v/>
      </c>
      <c r="AD131">
        <f>IF(AND(ISNUMBER('자료_거시'!$M113),ISNUMBER('자료_거시'!$N113)),1,0)</f>
        <v/>
      </c>
      <c r="AE131">
        <f>IF(AND(ISNUMBER('자료_거시'!$M113),ISNUMBER('자료_거시'!$N113)),IF(AND(SUMIFS($AD$21:$AD$620,'자료_거시'!$M$3:$M$602,"&gt;"&amp;EDATE('자료_거시'!$M113,-'설정'!$B$17),'자료_거시'!$M$3:$M$602,"&lt;="&amp;'자료_거시'!$M113)=3,SUMIFS($AD$21:$AD$620,'자료_거시'!$M$3:$M$602,"&gt;"&amp;EDATE('자료_거시'!$M113,-12-'설정'!$B$17),'자료_거시'!$M$3:$M$602,"&lt;="&amp;EDATE('자료_거시'!$M113,-12))=3),IFERROR(SUMIFS('자료_거시'!$N$3:$N$602,'자료_거시'!$M$3:$M$602,"&gt;"&amp;EDATE('자료_거시'!$M113,-'설정'!$B$17),'자료_거시'!$M$3:$M$602,"&lt;="&amp;'자료_거시'!$M113)/SUMIFS('자료_거시'!$N$3:$N$602,'자료_거시'!$M$3:$M$602,"&gt;"&amp;EDATE('자료_거시'!$M113,-12-'설정'!$B$17),'자료_거시'!$M$3:$M$602,"&lt;="&amp;EDATE('자료_거시'!$M113,-12))-1,""),""),"")</f>
        <v/>
      </c>
      <c r="AF131">
        <f>IF(ISNUMBER(AE131),'자료_거시'!$M113,"")</f>
        <v/>
      </c>
      <c r="AG131">
        <f>IF(ISNUMBER(AF131),IF(AF131&gt;$L$9,AE131,""),"")</f>
        <v/>
      </c>
    </row>
    <row r="132">
      <c r="P132">
        <f>IF(AND(ISNUMBER('자료_거시'!$A114),ISNUMBER('자료_거시'!$B114)),'자료_거시'!$B114,"")</f>
        <v/>
      </c>
      <c r="Q132">
        <f>IF(ISNUMBER(P132),'자료_거시'!$A114,"")</f>
        <v/>
      </c>
      <c r="R132">
        <f>IF(ISNUMBER(Q132),IF(Q132&gt;$L$5,P132,""),"")</f>
        <v/>
      </c>
      <c r="S132">
        <f>IF(ISNUMBER('자료_거시'!$E114),'자료_거시'!$E114,S131)</f>
        <v/>
      </c>
      <c r="T132">
        <f>IF(AND(ISNUMBER('자료_거시'!$D114),ISNUMBER('자료_거시'!$E114)),IFERROR('자료_거시'!$E114-INDEX($S$21:$S$4020,MATCH(EDATE('자료_거시'!$D114,-'설정'!$B$17),'자료_거시'!$D$3:INDEX('자료_거시'!$D$3:$D$4002,$K$6),1)),""),"")</f>
        <v/>
      </c>
      <c r="U132">
        <f>IF(ISNUMBER(T132),'자료_거시'!$D114,"")</f>
        <v/>
      </c>
      <c r="V132">
        <f>IF(ISNUMBER(U132),IF(U132&gt;$L$6,T132,""),"")</f>
        <v/>
      </c>
      <c r="W132">
        <f>IF(AND(ISNUMBER('자료_거시'!$G114),ISNUMBER('자료_거시'!$H114)),'자료_거시'!$H114,"")</f>
        <v/>
      </c>
      <c r="X132">
        <f>IF(ISNUMBER(W132),'자료_거시'!$G114,"")</f>
        <v/>
      </c>
      <c r="Y132">
        <f>IF(ISNUMBER(X132),IF(X132&gt;$L$7,W132,""),"")</f>
        <v/>
      </c>
      <c r="Z132">
        <f>IF(ISNUMBER('자료_거시'!$K114),'자료_거시'!$K114,Z131)</f>
        <v/>
      </c>
      <c r="AA132">
        <f>IF(AND(ISNUMBER('자료_거시'!$J114),ISNUMBER('자료_거시'!$K114)),IFERROR('자료_거시'!$K114/INDEX($Z$21:$Z$4020,MATCH(EDATE('자료_거시'!$J114,-'설정'!$B$17),'자료_거시'!$J$3:INDEX('자료_거시'!$J$3:$J$4002,$K$8),1))-1,""),"")</f>
        <v/>
      </c>
      <c r="AB132">
        <f>IF(ISNUMBER(AA132),'자료_거시'!$J114,"")</f>
        <v/>
      </c>
      <c r="AC132">
        <f>IF(ISNUMBER(AB132),IF(AB132&gt;$L$8,AA132,""),"")</f>
        <v/>
      </c>
      <c r="AD132">
        <f>IF(AND(ISNUMBER('자료_거시'!$M114),ISNUMBER('자료_거시'!$N114)),1,0)</f>
        <v/>
      </c>
      <c r="AE132">
        <f>IF(AND(ISNUMBER('자료_거시'!$M114),ISNUMBER('자료_거시'!$N114)),IF(AND(SUMIFS($AD$21:$AD$620,'자료_거시'!$M$3:$M$602,"&gt;"&amp;EDATE('자료_거시'!$M114,-'설정'!$B$17),'자료_거시'!$M$3:$M$602,"&lt;="&amp;'자료_거시'!$M114)=3,SUMIFS($AD$21:$AD$620,'자료_거시'!$M$3:$M$602,"&gt;"&amp;EDATE('자료_거시'!$M114,-12-'설정'!$B$17),'자료_거시'!$M$3:$M$602,"&lt;="&amp;EDATE('자료_거시'!$M114,-12))=3),IFERROR(SUMIFS('자료_거시'!$N$3:$N$602,'자료_거시'!$M$3:$M$602,"&gt;"&amp;EDATE('자료_거시'!$M114,-'설정'!$B$17),'자료_거시'!$M$3:$M$602,"&lt;="&amp;'자료_거시'!$M114)/SUMIFS('자료_거시'!$N$3:$N$602,'자료_거시'!$M$3:$M$602,"&gt;"&amp;EDATE('자료_거시'!$M114,-12-'설정'!$B$17),'자료_거시'!$M$3:$M$602,"&lt;="&amp;EDATE('자료_거시'!$M114,-12))-1,""),""),"")</f>
        <v/>
      </c>
      <c r="AF132">
        <f>IF(ISNUMBER(AE132),'자료_거시'!$M114,"")</f>
        <v/>
      </c>
      <c r="AG132">
        <f>IF(ISNUMBER(AF132),IF(AF132&gt;$L$9,AE132,""),"")</f>
        <v/>
      </c>
    </row>
    <row r="133">
      <c r="P133">
        <f>IF(AND(ISNUMBER('자료_거시'!$A115),ISNUMBER('자료_거시'!$B115)),'자료_거시'!$B115,"")</f>
        <v/>
      </c>
      <c r="Q133">
        <f>IF(ISNUMBER(P133),'자료_거시'!$A115,"")</f>
        <v/>
      </c>
      <c r="R133">
        <f>IF(ISNUMBER(Q133),IF(Q133&gt;$L$5,P133,""),"")</f>
        <v/>
      </c>
      <c r="S133">
        <f>IF(ISNUMBER('자료_거시'!$E115),'자료_거시'!$E115,S132)</f>
        <v/>
      </c>
      <c r="T133">
        <f>IF(AND(ISNUMBER('자료_거시'!$D115),ISNUMBER('자료_거시'!$E115)),IFERROR('자료_거시'!$E115-INDEX($S$21:$S$4020,MATCH(EDATE('자료_거시'!$D115,-'설정'!$B$17),'자료_거시'!$D$3:INDEX('자료_거시'!$D$3:$D$4002,$K$6),1)),""),"")</f>
        <v/>
      </c>
      <c r="U133">
        <f>IF(ISNUMBER(T133),'자료_거시'!$D115,"")</f>
        <v/>
      </c>
      <c r="V133">
        <f>IF(ISNUMBER(U133),IF(U133&gt;$L$6,T133,""),"")</f>
        <v/>
      </c>
      <c r="W133">
        <f>IF(AND(ISNUMBER('자료_거시'!$G115),ISNUMBER('자료_거시'!$H115)),'자료_거시'!$H115,"")</f>
        <v/>
      </c>
      <c r="X133">
        <f>IF(ISNUMBER(W133),'자료_거시'!$G115,"")</f>
        <v/>
      </c>
      <c r="Y133">
        <f>IF(ISNUMBER(X133),IF(X133&gt;$L$7,W133,""),"")</f>
        <v/>
      </c>
      <c r="Z133">
        <f>IF(ISNUMBER('자료_거시'!$K115),'자료_거시'!$K115,Z132)</f>
        <v/>
      </c>
      <c r="AA133">
        <f>IF(AND(ISNUMBER('자료_거시'!$J115),ISNUMBER('자료_거시'!$K115)),IFERROR('자료_거시'!$K115/INDEX($Z$21:$Z$4020,MATCH(EDATE('자료_거시'!$J115,-'설정'!$B$17),'자료_거시'!$J$3:INDEX('자료_거시'!$J$3:$J$4002,$K$8),1))-1,""),"")</f>
        <v/>
      </c>
      <c r="AB133">
        <f>IF(ISNUMBER(AA133),'자료_거시'!$J115,"")</f>
        <v/>
      </c>
      <c r="AC133">
        <f>IF(ISNUMBER(AB133),IF(AB133&gt;$L$8,AA133,""),"")</f>
        <v/>
      </c>
      <c r="AD133">
        <f>IF(AND(ISNUMBER('자료_거시'!$M115),ISNUMBER('자료_거시'!$N115)),1,0)</f>
        <v/>
      </c>
      <c r="AE133">
        <f>IF(AND(ISNUMBER('자료_거시'!$M115),ISNUMBER('자료_거시'!$N115)),IF(AND(SUMIFS($AD$21:$AD$620,'자료_거시'!$M$3:$M$602,"&gt;"&amp;EDATE('자료_거시'!$M115,-'설정'!$B$17),'자료_거시'!$M$3:$M$602,"&lt;="&amp;'자료_거시'!$M115)=3,SUMIFS($AD$21:$AD$620,'자료_거시'!$M$3:$M$602,"&gt;"&amp;EDATE('자료_거시'!$M115,-12-'설정'!$B$17),'자료_거시'!$M$3:$M$602,"&lt;="&amp;EDATE('자료_거시'!$M115,-12))=3),IFERROR(SUMIFS('자료_거시'!$N$3:$N$602,'자료_거시'!$M$3:$M$602,"&gt;"&amp;EDATE('자료_거시'!$M115,-'설정'!$B$17),'자료_거시'!$M$3:$M$602,"&lt;="&amp;'자료_거시'!$M115)/SUMIFS('자료_거시'!$N$3:$N$602,'자료_거시'!$M$3:$M$602,"&gt;"&amp;EDATE('자료_거시'!$M115,-12-'설정'!$B$17),'자료_거시'!$M$3:$M$602,"&lt;="&amp;EDATE('자료_거시'!$M115,-12))-1,""),""),"")</f>
        <v/>
      </c>
      <c r="AF133">
        <f>IF(ISNUMBER(AE133),'자료_거시'!$M115,"")</f>
        <v/>
      </c>
      <c r="AG133">
        <f>IF(ISNUMBER(AF133),IF(AF133&gt;$L$9,AE133,""),"")</f>
        <v/>
      </c>
    </row>
    <row r="134">
      <c r="P134">
        <f>IF(AND(ISNUMBER('자료_거시'!$A116),ISNUMBER('자료_거시'!$B116)),'자료_거시'!$B116,"")</f>
        <v/>
      </c>
      <c r="Q134">
        <f>IF(ISNUMBER(P134),'자료_거시'!$A116,"")</f>
        <v/>
      </c>
      <c r="R134">
        <f>IF(ISNUMBER(Q134),IF(Q134&gt;$L$5,P134,""),"")</f>
        <v/>
      </c>
      <c r="S134">
        <f>IF(ISNUMBER('자료_거시'!$E116),'자료_거시'!$E116,S133)</f>
        <v/>
      </c>
      <c r="T134">
        <f>IF(AND(ISNUMBER('자료_거시'!$D116),ISNUMBER('자료_거시'!$E116)),IFERROR('자료_거시'!$E116-INDEX($S$21:$S$4020,MATCH(EDATE('자료_거시'!$D116,-'설정'!$B$17),'자료_거시'!$D$3:INDEX('자료_거시'!$D$3:$D$4002,$K$6),1)),""),"")</f>
        <v/>
      </c>
      <c r="U134">
        <f>IF(ISNUMBER(T134),'자료_거시'!$D116,"")</f>
        <v/>
      </c>
      <c r="V134">
        <f>IF(ISNUMBER(U134),IF(U134&gt;$L$6,T134,""),"")</f>
        <v/>
      </c>
      <c r="W134">
        <f>IF(AND(ISNUMBER('자료_거시'!$G116),ISNUMBER('자료_거시'!$H116)),'자료_거시'!$H116,"")</f>
        <v/>
      </c>
      <c r="X134">
        <f>IF(ISNUMBER(W134),'자료_거시'!$G116,"")</f>
        <v/>
      </c>
      <c r="Y134">
        <f>IF(ISNUMBER(X134),IF(X134&gt;$L$7,W134,""),"")</f>
        <v/>
      </c>
      <c r="Z134">
        <f>IF(ISNUMBER('자료_거시'!$K116),'자료_거시'!$K116,Z133)</f>
        <v/>
      </c>
      <c r="AA134">
        <f>IF(AND(ISNUMBER('자료_거시'!$J116),ISNUMBER('자료_거시'!$K116)),IFERROR('자료_거시'!$K116/INDEX($Z$21:$Z$4020,MATCH(EDATE('자료_거시'!$J116,-'설정'!$B$17),'자료_거시'!$J$3:INDEX('자료_거시'!$J$3:$J$4002,$K$8),1))-1,""),"")</f>
        <v/>
      </c>
      <c r="AB134">
        <f>IF(ISNUMBER(AA134),'자료_거시'!$J116,"")</f>
        <v/>
      </c>
      <c r="AC134">
        <f>IF(ISNUMBER(AB134),IF(AB134&gt;$L$8,AA134,""),"")</f>
        <v/>
      </c>
      <c r="AD134">
        <f>IF(AND(ISNUMBER('자료_거시'!$M116),ISNUMBER('자료_거시'!$N116)),1,0)</f>
        <v/>
      </c>
      <c r="AE134">
        <f>IF(AND(ISNUMBER('자료_거시'!$M116),ISNUMBER('자료_거시'!$N116)),IF(AND(SUMIFS($AD$21:$AD$620,'자료_거시'!$M$3:$M$602,"&gt;"&amp;EDATE('자료_거시'!$M116,-'설정'!$B$17),'자료_거시'!$M$3:$M$602,"&lt;="&amp;'자료_거시'!$M116)=3,SUMIFS($AD$21:$AD$620,'자료_거시'!$M$3:$M$602,"&gt;"&amp;EDATE('자료_거시'!$M116,-12-'설정'!$B$17),'자료_거시'!$M$3:$M$602,"&lt;="&amp;EDATE('자료_거시'!$M116,-12))=3),IFERROR(SUMIFS('자료_거시'!$N$3:$N$602,'자료_거시'!$M$3:$M$602,"&gt;"&amp;EDATE('자료_거시'!$M116,-'설정'!$B$17),'자료_거시'!$M$3:$M$602,"&lt;="&amp;'자료_거시'!$M116)/SUMIFS('자료_거시'!$N$3:$N$602,'자료_거시'!$M$3:$M$602,"&gt;"&amp;EDATE('자료_거시'!$M116,-12-'설정'!$B$17),'자료_거시'!$M$3:$M$602,"&lt;="&amp;EDATE('자료_거시'!$M116,-12))-1,""),""),"")</f>
        <v/>
      </c>
      <c r="AF134">
        <f>IF(ISNUMBER(AE134),'자료_거시'!$M116,"")</f>
        <v/>
      </c>
      <c r="AG134">
        <f>IF(ISNUMBER(AF134),IF(AF134&gt;$L$9,AE134,""),"")</f>
        <v/>
      </c>
    </row>
    <row r="135">
      <c r="P135">
        <f>IF(AND(ISNUMBER('자료_거시'!$A117),ISNUMBER('자료_거시'!$B117)),'자료_거시'!$B117,"")</f>
        <v/>
      </c>
      <c r="Q135">
        <f>IF(ISNUMBER(P135),'자료_거시'!$A117,"")</f>
        <v/>
      </c>
      <c r="R135">
        <f>IF(ISNUMBER(Q135),IF(Q135&gt;$L$5,P135,""),"")</f>
        <v/>
      </c>
      <c r="S135">
        <f>IF(ISNUMBER('자료_거시'!$E117),'자료_거시'!$E117,S134)</f>
        <v/>
      </c>
      <c r="T135">
        <f>IF(AND(ISNUMBER('자료_거시'!$D117),ISNUMBER('자료_거시'!$E117)),IFERROR('자료_거시'!$E117-INDEX($S$21:$S$4020,MATCH(EDATE('자료_거시'!$D117,-'설정'!$B$17),'자료_거시'!$D$3:INDEX('자료_거시'!$D$3:$D$4002,$K$6),1)),""),"")</f>
        <v/>
      </c>
      <c r="U135">
        <f>IF(ISNUMBER(T135),'자료_거시'!$D117,"")</f>
        <v/>
      </c>
      <c r="V135">
        <f>IF(ISNUMBER(U135),IF(U135&gt;$L$6,T135,""),"")</f>
        <v/>
      </c>
      <c r="W135">
        <f>IF(AND(ISNUMBER('자료_거시'!$G117),ISNUMBER('자료_거시'!$H117)),'자료_거시'!$H117,"")</f>
        <v/>
      </c>
      <c r="X135">
        <f>IF(ISNUMBER(W135),'자료_거시'!$G117,"")</f>
        <v/>
      </c>
      <c r="Y135">
        <f>IF(ISNUMBER(X135),IF(X135&gt;$L$7,W135,""),"")</f>
        <v/>
      </c>
      <c r="Z135">
        <f>IF(ISNUMBER('자료_거시'!$K117),'자료_거시'!$K117,Z134)</f>
        <v/>
      </c>
      <c r="AA135">
        <f>IF(AND(ISNUMBER('자료_거시'!$J117),ISNUMBER('자료_거시'!$K117)),IFERROR('자료_거시'!$K117/INDEX($Z$21:$Z$4020,MATCH(EDATE('자료_거시'!$J117,-'설정'!$B$17),'자료_거시'!$J$3:INDEX('자료_거시'!$J$3:$J$4002,$K$8),1))-1,""),"")</f>
        <v/>
      </c>
      <c r="AB135">
        <f>IF(ISNUMBER(AA135),'자료_거시'!$J117,"")</f>
        <v/>
      </c>
      <c r="AC135">
        <f>IF(ISNUMBER(AB135),IF(AB135&gt;$L$8,AA135,""),"")</f>
        <v/>
      </c>
      <c r="AD135">
        <f>IF(AND(ISNUMBER('자료_거시'!$M117),ISNUMBER('자료_거시'!$N117)),1,0)</f>
        <v/>
      </c>
      <c r="AE135">
        <f>IF(AND(ISNUMBER('자료_거시'!$M117),ISNUMBER('자료_거시'!$N117)),IF(AND(SUMIFS($AD$21:$AD$620,'자료_거시'!$M$3:$M$602,"&gt;"&amp;EDATE('자료_거시'!$M117,-'설정'!$B$17),'자료_거시'!$M$3:$M$602,"&lt;="&amp;'자료_거시'!$M117)=3,SUMIFS($AD$21:$AD$620,'자료_거시'!$M$3:$M$602,"&gt;"&amp;EDATE('자료_거시'!$M117,-12-'설정'!$B$17),'자료_거시'!$M$3:$M$602,"&lt;="&amp;EDATE('자료_거시'!$M117,-12))=3),IFERROR(SUMIFS('자료_거시'!$N$3:$N$602,'자료_거시'!$M$3:$M$602,"&gt;"&amp;EDATE('자료_거시'!$M117,-'설정'!$B$17),'자료_거시'!$M$3:$M$602,"&lt;="&amp;'자료_거시'!$M117)/SUMIFS('자료_거시'!$N$3:$N$602,'자료_거시'!$M$3:$M$602,"&gt;"&amp;EDATE('자료_거시'!$M117,-12-'설정'!$B$17),'자료_거시'!$M$3:$M$602,"&lt;="&amp;EDATE('자료_거시'!$M117,-12))-1,""),""),"")</f>
        <v/>
      </c>
      <c r="AF135">
        <f>IF(ISNUMBER(AE135),'자료_거시'!$M117,"")</f>
        <v/>
      </c>
      <c r="AG135">
        <f>IF(ISNUMBER(AF135),IF(AF135&gt;$L$9,AE135,""),"")</f>
        <v/>
      </c>
    </row>
    <row r="136">
      <c r="P136">
        <f>IF(AND(ISNUMBER('자료_거시'!$A118),ISNUMBER('자료_거시'!$B118)),'자료_거시'!$B118,"")</f>
        <v/>
      </c>
      <c r="Q136">
        <f>IF(ISNUMBER(P136),'자료_거시'!$A118,"")</f>
        <v/>
      </c>
      <c r="R136">
        <f>IF(ISNUMBER(Q136),IF(Q136&gt;$L$5,P136,""),"")</f>
        <v/>
      </c>
      <c r="S136">
        <f>IF(ISNUMBER('자료_거시'!$E118),'자료_거시'!$E118,S135)</f>
        <v/>
      </c>
      <c r="T136">
        <f>IF(AND(ISNUMBER('자료_거시'!$D118),ISNUMBER('자료_거시'!$E118)),IFERROR('자료_거시'!$E118-INDEX($S$21:$S$4020,MATCH(EDATE('자료_거시'!$D118,-'설정'!$B$17),'자료_거시'!$D$3:INDEX('자료_거시'!$D$3:$D$4002,$K$6),1)),""),"")</f>
        <v/>
      </c>
      <c r="U136">
        <f>IF(ISNUMBER(T136),'자료_거시'!$D118,"")</f>
        <v/>
      </c>
      <c r="V136">
        <f>IF(ISNUMBER(U136),IF(U136&gt;$L$6,T136,""),"")</f>
        <v/>
      </c>
      <c r="W136">
        <f>IF(AND(ISNUMBER('자료_거시'!$G118),ISNUMBER('자료_거시'!$H118)),'자료_거시'!$H118,"")</f>
        <v/>
      </c>
      <c r="X136">
        <f>IF(ISNUMBER(W136),'자료_거시'!$G118,"")</f>
        <v/>
      </c>
      <c r="Y136">
        <f>IF(ISNUMBER(X136),IF(X136&gt;$L$7,W136,""),"")</f>
        <v/>
      </c>
      <c r="Z136">
        <f>IF(ISNUMBER('자료_거시'!$K118),'자료_거시'!$K118,Z135)</f>
        <v/>
      </c>
      <c r="AA136">
        <f>IF(AND(ISNUMBER('자료_거시'!$J118),ISNUMBER('자료_거시'!$K118)),IFERROR('자료_거시'!$K118/INDEX($Z$21:$Z$4020,MATCH(EDATE('자료_거시'!$J118,-'설정'!$B$17),'자료_거시'!$J$3:INDEX('자료_거시'!$J$3:$J$4002,$K$8),1))-1,""),"")</f>
        <v/>
      </c>
      <c r="AB136">
        <f>IF(ISNUMBER(AA136),'자료_거시'!$J118,"")</f>
        <v/>
      </c>
      <c r="AC136">
        <f>IF(ISNUMBER(AB136),IF(AB136&gt;$L$8,AA136,""),"")</f>
        <v/>
      </c>
      <c r="AD136">
        <f>IF(AND(ISNUMBER('자료_거시'!$M118),ISNUMBER('자료_거시'!$N118)),1,0)</f>
        <v/>
      </c>
      <c r="AE136">
        <f>IF(AND(ISNUMBER('자료_거시'!$M118),ISNUMBER('자료_거시'!$N118)),IF(AND(SUMIFS($AD$21:$AD$620,'자료_거시'!$M$3:$M$602,"&gt;"&amp;EDATE('자료_거시'!$M118,-'설정'!$B$17),'자료_거시'!$M$3:$M$602,"&lt;="&amp;'자료_거시'!$M118)=3,SUMIFS($AD$21:$AD$620,'자료_거시'!$M$3:$M$602,"&gt;"&amp;EDATE('자료_거시'!$M118,-12-'설정'!$B$17),'자료_거시'!$M$3:$M$602,"&lt;="&amp;EDATE('자료_거시'!$M118,-12))=3),IFERROR(SUMIFS('자료_거시'!$N$3:$N$602,'자료_거시'!$M$3:$M$602,"&gt;"&amp;EDATE('자료_거시'!$M118,-'설정'!$B$17),'자료_거시'!$M$3:$M$602,"&lt;="&amp;'자료_거시'!$M118)/SUMIFS('자료_거시'!$N$3:$N$602,'자료_거시'!$M$3:$M$602,"&gt;"&amp;EDATE('자료_거시'!$M118,-12-'설정'!$B$17),'자료_거시'!$M$3:$M$602,"&lt;="&amp;EDATE('자료_거시'!$M118,-12))-1,""),""),"")</f>
        <v/>
      </c>
      <c r="AF136">
        <f>IF(ISNUMBER(AE136),'자료_거시'!$M118,"")</f>
        <v/>
      </c>
      <c r="AG136">
        <f>IF(ISNUMBER(AF136),IF(AF136&gt;$L$9,AE136,""),"")</f>
        <v/>
      </c>
    </row>
    <row r="137">
      <c r="P137">
        <f>IF(AND(ISNUMBER('자료_거시'!$A119),ISNUMBER('자료_거시'!$B119)),'자료_거시'!$B119,"")</f>
        <v/>
      </c>
      <c r="Q137">
        <f>IF(ISNUMBER(P137),'자료_거시'!$A119,"")</f>
        <v/>
      </c>
      <c r="R137">
        <f>IF(ISNUMBER(Q137),IF(Q137&gt;$L$5,P137,""),"")</f>
        <v/>
      </c>
      <c r="S137">
        <f>IF(ISNUMBER('자료_거시'!$E119),'자료_거시'!$E119,S136)</f>
        <v/>
      </c>
      <c r="T137">
        <f>IF(AND(ISNUMBER('자료_거시'!$D119),ISNUMBER('자료_거시'!$E119)),IFERROR('자료_거시'!$E119-INDEX($S$21:$S$4020,MATCH(EDATE('자료_거시'!$D119,-'설정'!$B$17),'자료_거시'!$D$3:INDEX('자료_거시'!$D$3:$D$4002,$K$6),1)),""),"")</f>
        <v/>
      </c>
      <c r="U137">
        <f>IF(ISNUMBER(T137),'자료_거시'!$D119,"")</f>
        <v/>
      </c>
      <c r="V137">
        <f>IF(ISNUMBER(U137),IF(U137&gt;$L$6,T137,""),"")</f>
        <v/>
      </c>
      <c r="W137">
        <f>IF(AND(ISNUMBER('자료_거시'!$G119),ISNUMBER('자료_거시'!$H119)),'자료_거시'!$H119,"")</f>
        <v/>
      </c>
      <c r="X137">
        <f>IF(ISNUMBER(W137),'자료_거시'!$G119,"")</f>
        <v/>
      </c>
      <c r="Y137">
        <f>IF(ISNUMBER(X137),IF(X137&gt;$L$7,W137,""),"")</f>
        <v/>
      </c>
      <c r="Z137">
        <f>IF(ISNUMBER('자료_거시'!$K119),'자료_거시'!$K119,Z136)</f>
        <v/>
      </c>
      <c r="AA137">
        <f>IF(AND(ISNUMBER('자료_거시'!$J119),ISNUMBER('자료_거시'!$K119)),IFERROR('자료_거시'!$K119/INDEX($Z$21:$Z$4020,MATCH(EDATE('자료_거시'!$J119,-'설정'!$B$17),'자료_거시'!$J$3:INDEX('자료_거시'!$J$3:$J$4002,$K$8),1))-1,""),"")</f>
        <v/>
      </c>
      <c r="AB137">
        <f>IF(ISNUMBER(AA137),'자료_거시'!$J119,"")</f>
        <v/>
      </c>
      <c r="AC137">
        <f>IF(ISNUMBER(AB137),IF(AB137&gt;$L$8,AA137,""),"")</f>
        <v/>
      </c>
      <c r="AD137">
        <f>IF(AND(ISNUMBER('자료_거시'!$M119),ISNUMBER('자료_거시'!$N119)),1,0)</f>
        <v/>
      </c>
      <c r="AE137">
        <f>IF(AND(ISNUMBER('자료_거시'!$M119),ISNUMBER('자료_거시'!$N119)),IF(AND(SUMIFS($AD$21:$AD$620,'자료_거시'!$M$3:$M$602,"&gt;"&amp;EDATE('자료_거시'!$M119,-'설정'!$B$17),'자료_거시'!$M$3:$M$602,"&lt;="&amp;'자료_거시'!$M119)=3,SUMIFS($AD$21:$AD$620,'자료_거시'!$M$3:$M$602,"&gt;"&amp;EDATE('자료_거시'!$M119,-12-'설정'!$B$17),'자료_거시'!$M$3:$M$602,"&lt;="&amp;EDATE('자료_거시'!$M119,-12))=3),IFERROR(SUMIFS('자료_거시'!$N$3:$N$602,'자료_거시'!$M$3:$M$602,"&gt;"&amp;EDATE('자료_거시'!$M119,-'설정'!$B$17),'자료_거시'!$M$3:$M$602,"&lt;="&amp;'자료_거시'!$M119)/SUMIFS('자료_거시'!$N$3:$N$602,'자료_거시'!$M$3:$M$602,"&gt;"&amp;EDATE('자료_거시'!$M119,-12-'설정'!$B$17),'자료_거시'!$M$3:$M$602,"&lt;="&amp;EDATE('자료_거시'!$M119,-12))-1,""),""),"")</f>
        <v/>
      </c>
      <c r="AF137">
        <f>IF(ISNUMBER(AE137),'자료_거시'!$M119,"")</f>
        <v/>
      </c>
      <c r="AG137">
        <f>IF(ISNUMBER(AF137),IF(AF137&gt;$L$9,AE137,""),"")</f>
        <v/>
      </c>
    </row>
    <row r="138">
      <c r="P138">
        <f>IF(AND(ISNUMBER('자료_거시'!$A120),ISNUMBER('자료_거시'!$B120)),'자료_거시'!$B120,"")</f>
        <v/>
      </c>
      <c r="Q138">
        <f>IF(ISNUMBER(P138),'자료_거시'!$A120,"")</f>
        <v/>
      </c>
      <c r="R138">
        <f>IF(ISNUMBER(Q138),IF(Q138&gt;$L$5,P138,""),"")</f>
        <v/>
      </c>
      <c r="S138">
        <f>IF(ISNUMBER('자료_거시'!$E120),'자료_거시'!$E120,S137)</f>
        <v/>
      </c>
      <c r="T138">
        <f>IF(AND(ISNUMBER('자료_거시'!$D120),ISNUMBER('자료_거시'!$E120)),IFERROR('자료_거시'!$E120-INDEX($S$21:$S$4020,MATCH(EDATE('자료_거시'!$D120,-'설정'!$B$17),'자료_거시'!$D$3:INDEX('자료_거시'!$D$3:$D$4002,$K$6),1)),""),"")</f>
        <v/>
      </c>
      <c r="U138">
        <f>IF(ISNUMBER(T138),'자료_거시'!$D120,"")</f>
        <v/>
      </c>
      <c r="V138">
        <f>IF(ISNUMBER(U138),IF(U138&gt;$L$6,T138,""),"")</f>
        <v/>
      </c>
      <c r="W138">
        <f>IF(AND(ISNUMBER('자료_거시'!$G120),ISNUMBER('자료_거시'!$H120)),'자료_거시'!$H120,"")</f>
        <v/>
      </c>
      <c r="X138">
        <f>IF(ISNUMBER(W138),'자료_거시'!$G120,"")</f>
        <v/>
      </c>
      <c r="Y138">
        <f>IF(ISNUMBER(X138),IF(X138&gt;$L$7,W138,""),"")</f>
        <v/>
      </c>
      <c r="Z138">
        <f>IF(ISNUMBER('자료_거시'!$K120),'자료_거시'!$K120,Z137)</f>
        <v/>
      </c>
      <c r="AA138">
        <f>IF(AND(ISNUMBER('자료_거시'!$J120),ISNUMBER('자료_거시'!$K120)),IFERROR('자료_거시'!$K120/INDEX($Z$21:$Z$4020,MATCH(EDATE('자료_거시'!$J120,-'설정'!$B$17),'자료_거시'!$J$3:INDEX('자료_거시'!$J$3:$J$4002,$K$8),1))-1,""),"")</f>
        <v/>
      </c>
      <c r="AB138">
        <f>IF(ISNUMBER(AA138),'자료_거시'!$J120,"")</f>
        <v/>
      </c>
      <c r="AC138">
        <f>IF(ISNUMBER(AB138),IF(AB138&gt;$L$8,AA138,""),"")</f>
        <v/>
      </c>
      <c r="AD138">
        <f>IF(AND(ISNUMBER('자료_거시'!$M120),ISNUMBER('자료_거시'!$N120)),1,0)</f>
        <v/>
      </c>
      <c r="AE138">
        <f>IF(AND(ISNUMBER('자료_거시'!$M120),ISNUMBER('자료_거시'!$N120)),IF(AND(SUMIFS($AD$21:$AD$620,'자료_거시'!$M$3:$M$602,"&gt;"&amp;EDATE('자료_거시'!$M120,-'설정'!$B$17),'자료_거시'!$M$3:$M$602,"&lt;="&amp;'자료_거시'!$M120)=3,SUMIFS($AD$21:$AD$620,'자료_거시'!$M$3:$M$602,"&gt;"&amp;EDATE('자료_거시'!$M120,-12-'설정'!$B$17),'자료_거시'!$M$3:$M$602,"&lt;="&amp;EDATE('자료_거시'!$M120,-12))=3),IFERROR(SUMIFS('자료_거시'!$N$3:$N$602,'자료_거시'!$M$3:$M$602,"&gt;"&amp;EDATE('자료_거시'!$M120,-'설정'!$B$17),'자료_거시'!$M$3:$M$602,"&lt;="&amp;'자료_거시'!$M120)/SUMIFS('자료_거시'!$N$3:$N$602,'자료_거시'!$M$3:$M$602,"&gt;"&amp;EDATE('자료_거시'!$M120,-12-'설정'!$B$17),'자료_거시'!$M$3:$M$602,"&lt;="&amp;EDATE('자료_거시'!$M120,-12))-1,""),""),"")</f>
        <v/>
      </c>
      <c r="AF138">
        <f>IF(ISNUMBER(AE138),'자료_거시'!$M120,"")</f>
        <v/>
      </c>
      <c r="AG138">
        <f>IF(ISNUMBER(AF138),IF(AF138&gt;$L$9,AE138,""),"")</f>
        <v/>
      </c>
    </row>
    <row r="139">
      <c r="P139">
        <f>IF(AND(ISNUMBER('자료_거시'!$A121),ISNUMBER('자료_거시'!$B121)),'자료_거시'!$B121,"")</f>
        <v/>
      </c>
      <c r="Q139">
        <f>IF(ISNUMBER(P139),'자료_거시'!$A121,"")</f>
        <v/>
      </c>
      <c r="R139">
        <f>IF(ISNUMBER(Q139),IF(Q139&gt;$L$5,P139,""),"")</f>
        <v/>
      </c>
      <c r="S139">
        <f>IF(ISNUMBER('자료_거시'!$E121),'자료_거시'!$E121,S138)</f>
        <v/>
      </c>
      <c r="T139">
        <f>IF(AND(ISNUMBER('자료_거시'!$D121),ISNUMBER('자료_거시'!$E121)),IFERROR('자료_거시'!$E121-INDEX($S$21:$S$4020,MATCH(EDATE('자료_거시'!$D121,-'설정'!$B$17),'자료_거시'!$D$3:INDEX('자료_거시'!$D$3:$D$4002,$K$6),1)),""),"")</f>
        <v/>
      </c>
      <c r="U139">
        <f>IF(ISNUMBER(T139),'자료_거시'!$D121,"")</f>
        <v/>
      </c>
      <c r="V139">
        <f>IF(ISNUMBER(U139),IF(U139&gt;$L$6,T139,""),"")</f>
        <v/>
      </c>
      <c r="W139">
        <f>IF(AND(ISNUMBER('자료_거시'!$G121),ISNUMBER('자료_거시'!$H121)),'자료_거시'!$H121,"")</f>
        <v/>
      </c>
      <c r="X139">
        <f>IF(ISNUMBER(W139),'자료_거시'!$G121,"")</f>
        <v/>
      </c>
      <c r="Y139">
        <f>IF(ISNUMBER(X139),IF(X139&gt;$L$7,W139,""),"")</f>
        <v/>
      </c>
      <c r="Z139">
        <f>IF(ISNUMBER('자료_거시'!$K121),'자료_거시'!$K121,Z138)</f>
        <v/>
      </c>
      <c r="AA139">
        <f>IF(AND(ISNUMBER('자료_거시'!$J121),ISNUMBER('자료_거시'!$K121)),IFERROR('자료_거시'!$K121/INDEX($Z$21:$Z$4020,MATCH(EDATE('자료_거시'!$J121,-'설정'!$B$17),'자료_거시'!$J$3:INDEX('자료_거시'!$J$3:$J$4002,$K$8),1))-1,""),"")</f>
        <v/>
      </c>
      <c r="AB139">
        <f>IF(ISNUMBER(AA139),'자료_거시'!$J121,"")</f>
        <v/>
      </c>
      <c r="AC139">
        <f>IF(ISNUMBER(AB139),IF(AB139&gt;$L$8,AA139,""),"")</f>
        <v/>
      </c>
      <c r="AD139">
        <f>IF(AND(ISNUMBER('자료_거시'!$M121),ISNUMBER('자료_거시'!$N121)),1,0)</f>
        <v/>
      </c>
      <c r="AE139">
        <f>IF(AND(ISNUMBER('자료_거시'!$M121),ISNUMBER('자료_거시'!$N121)),IF(AND(SUMIFS($AD$21:$AD$620,'자료_거시'!$M$3:$M$602,"&gt;"&amp;EDATE('자료_거시'!$M121,-'설정'!$B$17),'자료_거시'!$M$3:$M$602,"&lt;="&amp;'자료_거시'!$M121)=3,SUMIFS($AD$21:$AD$620,'자료_거시'!$M$3:$M$602,"&gt;"&amp;EDATE('자료_거시'!$M121,-12-'설정'!$B$17),'자료_거시'!$M$3:$M$602,"&lt;="&amp;EDATE('자료_거시'!$M121,-12))=3),IFERROR(SUMIFS('자료_거시'!$N$3:$N$602,'자료_거시'!$M$3:$M$602,"&gt;"&amp;EDATE('자료_거시'!$M121,-'설정'!$B$17),'자료_거시'!$M$3:$M$602,"&lt;="&amp;'자료_거시'!$M121)/SUMIFS('자료_거시'!$N$3:$N$602,'자료_거시'!$M$3:$M$602,"&gt;"&amp;EDATE('자료_거시'!$M121,-12-'설정'!$B$17),'자료_거시'!$M$3:$M$602,"&lt;="&amp;EDATE('자료_거시'!$M121,-12))-1,""),""),"")</f>
        <v/>
      </c>
      <c r="AF139">
        <f>IF(ISNUMBER(AE139),'자료_거시'!$M121,"")</f>
        <v/>
      </c>
      <c r="AG139">
        <f>IF(ISNUMBER(AF139),IF(AF139&gt;$L$9,AE139,""),"")</f>
        <v/>
      </c>
    </row>
    <row r="140">
      <c r="P140">
        <f>IF(AND(ISNUMBER('자료_거시'!$A122),ISNUMBER('자료_거시'!$B122)),'자료_거시'!$B122,"")</f>
        <v/>
      </c>
      <c r="Q140">
        <f>IF(ISNUMBER(P140),'자료_거시'!$A122,"")</f>
        <v/>
      </c>
      <c r="R140">
        <f>IF(ISNUMBER(Q140),IF(Q140&gt;$L$5,P140,""),"")</f>
        <v/>
      </c>
      <c r="S140">
        <f>IF(ISNUMBER('자료_거시'!$E122),'자료_거시'!$E122,S139)</f>
        <v/>
      </c>
      <c r="T140">
        <f>IF(AND(ISNUMBER('자료_거시'!$D122),ISNUMBER('자료_거시'!$E122)),IFERROR('자료_거시'!$E122-INDEX($S$21:$S$4020,MATCH(EDATE('자료_거시'!$D122,-'설정'!$B$17),'자료_거시'!$D$3:INDEX('자료_거시'!$D$3:$D$4002,$K$6),1)),""),"")</f>
        <v/>
      </c>
      <c r="U140">
        <f>IF(ISNUMBER(T140),'자료_거시'!$D122,"")</f>
        <v/>
      </c>
      <c r="V140">
        <f>IF(ISNUMBER(U140),IF(U140&gt;$L$6,T140,""),"")</f>
        <v/>
      </c>
      <c r="W140">
        <f>IF(AND(ISNUMBER('자료_거시'!$G122),ISNUMBER('자료_거시'!$H122)),'자료_거시'!$H122,"")</f>
        <v/>
      </c>
      <c r="X140">
        <f>IF(ISNUMBER(W140),'자료_거시'!$G122,"")</f>
        <v/>
      </c>
      <c r="Y140">
        <f>IF(ISNUMBER(X140),IF(X140&gt;$L$7,W140,""),"")</f>
        <v/>
      </c>
      <c r="Z140">
        <f>IF(ISNUMBER('자료_거시'!$K122),'자료_거시'!$K122,Z139)</f>
        <v/>
      </c>
      <c r="AA140">
        <f>IF(AND(ISNUMBER('자료_거시'!$J122),ISNUMBER('자료_거시'!$K122)),IFERROR('자료_거시'!$K122/INDEX($Z$21:$Z$4020,MATCH(EDATE('자료_거시'!$J122,-'설정'!$B$17),'자료_거시'!$J$3:INDEX('자료_거시'!$J$3:$J$4002,$K$8),1))-1,""),"")</f>
        <v/>
      </c>
      <c r="AB140">
        <f>IF(ISNUMBER(AA140),'자료_거시'!$J122,"")</f>
        <v/>
      </c>
      <c r="AC140">
        <f>IF(ISNUMBER(AB140),IF(AB140&gt;$L$8,AA140,""),"")</f>
        <v/>
      </c>
      <c r="AD140">
        <f>IF(AND(ISNUMBER('자료_거시'!$M122),ISNUMBER('자료_거시'!$N122)),1,0)</f>
        <v/>
      </c>
      <c r="AE140">
        <f>IF(AND(ISNUMBER('자료_거시'!$M122),ISNUMBER('자료_거시'!$N122)),IF(AND(SUMIFS($AD$21:$AD$620,'자료_거시'!$M$3:$M$602,"&gt;"&amp;EDATE('자료_거시'!$M122,-'설정'!$B$17),'자료_거시'!$M$3:$M$602,"&lt;="&amp;'자료_거시'!$M122)=3,SUMIFS($AD$21:$AD$620,'자료_거시'!$M$3:$M$602,"&gt;"&amp;EDATE('자료_거시'!$M122,-12-'설정'!$B$17),'자료_거시'!$M$3:$M$602,"&lt;="&amp;EDATE('자료_거시'!$M122,-12))=3),IFERROR(SUMIFS('자료_거시'!$N$3:$N$602,'자료_거시'!$M$3:$M$602,"&gt;"&amp;EDATE('자료_거시'!$M122,-'설정'!$B$17),'자료_거시'!$M$3:$M$602,"&lt;="&amp;'자료_거시'!$M122)/SUMIFS('자료_거시'!$N$3:$N$602,'자료_거시'!$M$3:$M$602,"&gt;"&amp;EDATE('자료_거시'!$M122,-12-'설정'!$B$17),'자료_거시'!$M$3:$M$602,"&lt;="&amp;EDATE('자료_거시'!$M122,-12))-1,""),""),"")</f>
        <v/>
      </c>
      <c r="AF140">
        <f>IF(ISNUMBER(AE140),'자료_거시'!$M122,"")</f>
        <v/>
      </c>
      <c r="AG140">
        <f>IF(ISNUMBER(AF140),IF(AF140&gt;$L$9,AE140,""),"")</f>
        <v/>
      </c>
    </row>
    <row r="141">
      <c r="P141">
        <f>IF(AND(ISNUMBER('자료_거시'!$A123),ISNUMBER('자료_거시'!$B123)),'자료_거시'!$B123,"")</f>
        <v/>
      </c>
      <c r="Q141">
        <f>IF(ISNUMBER(P141),'자료_거시'!$A123,"")</f>
        <v/>
      </c>
      <c r="R141">
        <f>IF(ISNUMBER(Q141),IF(Q141&gt;$L$5,P141,""),"")</f>
        <v/>
      </c>
      <c r="S141">
        <f>IF(ISNUMBER('자료_거시'!$E123),'자료_거시'!$E123,S140)</f>
        <v/>
      </c>
      <c r="T141">
        <f>IF(AND(ISNUMBER('자료_거시'!$D123),ISNUMBER('자료_거시'!$E123)),IFERROR('자료_거시'!$E123-INDEX($S$21:$S$4020,MATCH(EDATE('자료_거시'!$D123,-'설정'!$B$17),'자료_거시'!$D$3:INDEX('자료_거시'!$D$3:$D$4002,$K$6),1)),""),"")</f>
        <v/>
      </c>
      <c r="U141">
        <f>IF(ISNUMBER(T141),'자료_거시'!$D123,"")</f>
        <v/>
      </c>
      <c r="V141">
        <f>IF(ISNUMBER(U141),IF(U141&gt;$L$6,T141,""),"")</f>
        <v/>
      </c>
      <c r="W141">
        <f>IF(AND(ISNUMBER('자료_거시'!$G123),ISNUMBER('자료_거시'!$H123)),'자료_거시'!$H123,"")</f>
        <v/>
      </c>
      <c r="X141">
        <f>IF(ISNUMBER(W141),'자료_거시'!$G123,"")</f>
        <v/>
      </c>
      <c r="Y141">
        <f>IF(ISNUMBER(X141),IF(X141&gt;$L$7,W141,""),"")</f>
        <v/>
      </c>
      <c r="Z141">
        <f>IF(ISNUMBER('자료_거시'!$K123),'자료_거시'!$K123,Z140)</f>
        <v/>
      </c>
      <c r="AA141">
        <f>IF(AND(ISNUMBER('자료_거시'!$J123),ISNUMBER('자료_거시'!$K123)),IFERROR('자료_거시'!$K123/INDEX($Z$21:$Z$4020,MATCH(EDATE('자료_거시'!$J123,-'설정'!$B$17),'자료_거시'!$J$3:INDEX('자료_거시'!$J$3:$J$4002,$K$8),1))-1,""),"")</f>
        <v/>
      </c>
      <c r="AB141">
        <f>IF(ISNUMBER(AA141),'자료_거시'!$J123,"")</f>
        <v/>
      </c>
      <c r="AC141">
        <f>IF(ISNUMBER(AB141),IF(AB141&gt;$L$8,AA141,""),"")</f>
        <v/>
      </c>
      <c r="AD141">
        <f>IF(AND(ISNUMBER('자료_거시'!$M123),ISNUMBER('자료_거시'!$N123)),1,0)</f>
        <v/>
      </c>
      <c r="AE141">
        <f>IF(AND(ISNUMBER('자료_거시'!$M123),ISNUMBER('자료_거시'!$N123)),IF(AND(SUMIFS($AD$21:$AD$620,'자료_거시'!$M$3:$M$602,"&gt;"&amp;EDATE('자료_거시'!$M123,-'설정'!$B$17),'자료_거시'!$M$3:$M$602,"&lt;="&amp;'자료_거시'!$M123)=3,SUMIFS($AD$21:$AD$620,'자료_거시'!$M$3:$M$602,"&gt;"&amp;EDATE('자료_거시'!$M123,-12-'설정'!$B$17),'자료_거시'!$M$3:$M$602,"&lt;="&amp;EDATE('자료_거시'!$M123,-12))=3),IFERROR(SUMIFS('자료_거시'!$N$3:$N$602,'자료_거시'!$M$3:$M$602,"&gt;"&amp;EDATE('자료_거시'!$M123,-'설정'!$B$17),'자료_거시'!$M$3:$M$602,"&lt;="&amp;'자료_거시'!$M123)/SUMIFS('자료_거시'!$N$3:$N$602,'자료_거시'!$M$3:$M$602,"&gt;"&amp;EDATE('자료_거시'!$M123,-12-'설정'!$B$17),'자료_거시'!$M$3:$M$602,"&lt;="&amp;EDATE('자료_거시'!$M123,-12))-1,""),""),"")</f>
        <v/>
      </c>
      <c r="AF141">
        <f>IF(ISNUMBER(AE141),'자료_거시'!$M123,"")</f>
        <v/>
      </c>
      <c r="AG141">
        <f>IF(ISNUMBER(AF141),IF(AF141&gt;$L$9,AE141,""),"")</f>
        <v/>
      </c>
    </row>
    <row r="142">
      <c r="P142">
        <f>IF(AND(ISNUMBER('자료_거시'!$A124),ISNUMBER('자료_거시'!$B124)),'자료_거시'!$B124,"")</f>
        <v/>
      </c>
      <c r="Q142">
        <f>IF(ISNUMBER(P142),'자료_거시'!$A124,"")</f>
        <v/>
      </c>
      <c r="R142">
        <f>IF(ISNUMBER(Q142),IF(Q142&gt;$L$5,P142,""),"")</f>
        <v/>
      </c>
      <c r="S142">
        <f>IF(ISNUMBER('자료_거시'!$E124),'자료_거시'!$E124,S141)</f>
        <v/>
      </c>
      <c r="T142">
        <f>IF(AND(ISNUMBER('자료_거시'!$D124),ISNUMBER('자료_거시'!$E124)),IFERROR('자료_거시'!$E124-INDEX($S$21:$S$4020,MATCH(EDATE('자료_거시'!$D124,-'설정'!$B$17),'자료_거시'!$D$3:INDEX('자료_거시'!$D$3:$D$4002,$K$6),1)),""),"")</f>
        <v/>
      </c>
      <c r="U142">
        <f>IF(ISNUMBER(T142),'자료_거시'!$D124,"")</f>
        <v/>
      </c>
      <c r="V142">
        <f>IF(ISNUMBER(U142),IF(U142&gt;$L$6,T142,""),"")</f>
        <v/>
      </c>
      <c r="W142">
        <f>IF(AND(ISNUMBER('자료_거시'!$G124),ISNUMBER('자료_거시'!$H124)),'자료_거시'!$H124,"")</f>
        <v/>
      </c>
      <c r="X142">
        <f>IF(ISNUMBER(W142),'자료_거시'!$G124,"")</f>
        <v/>
      </c>
      <c r="Y142">
        <f>IF(ISNUMBER(X142),IF(X142&gt;$L$7,W142,""),"")</f>
        <v/>
      </c>
      <c r="Z142">
        <f>IF(ISNUMBER('자료_거시'!$K124),'자료_거시'!$K124,Z141)</f>
        <v/>
      </c>
      <c r="AA142">
        <f>IF(AND(ISNUMBER('자료_거시'!$J124),ISNUMBER('자료_거시'!$K124)),IFERROR('자료_거시'!$K124/INDEX($Z$21:$Z$4020,MATCH(EDATE('자료_거시'!$J124,-'설정'!$B$17),'자료_거시'!$J$3:INDEX('자료_거시'!$J$3:$J$4002,$K$8),1))-1,""),"")</f>
        <v/>
      </c>
      <c r="AB142">
        <f>IF(ISNUMBER(AA142),'자료_거시'!$J124,"")</f>
        <v/>
      </c>
      <c r="AC142">
        <f>IF(ISNUMBER(AB142),IF(AB142&gt;$L$8,AA142,""),"")</f>
        <v/>
      </c>
      <c r="AD142">
        <f>IF(AND(ISNUMBER('자료_거시'!$M124),ISNUMBER('자료_거시'!$N124)),1,0)</f>
        <v/>
      </c>
      <c r="AE142">
        <f>IF(AND(ISNUMBER('자료_거시'!$M124),ISNUMBER('자료_거시'!$N124)),IF(AND(SUMIFS($AD$21:$AD$620,'자료_거시'!$M$3:$M$602,"&gt;"&amp;EDATE('자료_거시'!$M124,-'설정'!$B$17),'자료_거시'!$M$3:$M$602,"&lt;="&amp;'자료_거시'!$M124)=3,SUMIFS($AD$21:$AD$620,'자료_거시'!$M$3:$M$602,"&gt;"&amp;EDATE('자료_거시'!$M124,-12-'설정'!$B$17),'자료_거시'!$M$3:$M$602,"&lt;="&amp;EDATE('자료_거시'!$M124,-12))=3),IFERROR(SUMIFS('자료_거시'!$N$3:$N$602,'자료_거시'!$M$3:$M$602,"&gt;"&amp;EDATE('자료_거시'!$M124,-'설정'!$B$17),'자료_거시'!$M$3:$M$602,"&lt;="&amp;'자료_거시'!$M124)/SUMIFS('자료_거시'!$N$3:$N$602,'자료_거시'!$M$3:$M$602,"&gt;"&amp;EDATE('자료_거시'!$M124,-12-'설정'!$B$17),'자료_거시'!$M$3:$M$602,"&lt;="&amp;EDATE('자료_거시'!$M124,-12))-1,""),""),"")</f>
        <v/>
      </c>
      <c r="AF142">
        <f>IF(ISNUMBER(AE142),'자료_거시'!$M124,"")</f>
        <v/>
      </c>
      <c r="AG142">
        <f>IF(ISNUMBER(AF142),IF(AF142&gt;$L$9,AE142,""),"")</f>
        <v/>
      </c>
    </row>
    <row r="143">
      <c r="P143">
        <f>IF(AND(ISNUMBER('자료_거시'!$A125),ISNUMBER('자료_거시'!$B125)),'자료_거시'!$B125,"")</f>
        <v/>
      </c>
      <c r="Q143">
        <f>IF(ISNUMBER(P143),'자료_거시'!$A125,"")</f>
        <v/>
      </c>
      <c r="R143">
        <f>IF(ISNUMBER(Q143),IF(Q143&gt;$L$5,P143,""),"")</f>
        <v/>
      </c>
      <c r="S143">
        <f>IF(ISNUMBER('자료_거시'!$E125),'자료_거시'!$E125,S142)</f>
        <v/>
      </c>
      <c r="T143">
        <f>IF(AND(ISNUMBER('자료_거시'!$D125),ISNUMBER('자료_거시'!$E125)),IFERROR('자료_거시'!$E125-INDEX($S$21:$S$4020,MATCH(EDATE('자료_거시'!$D125,-'설정'!$B$17),'자료_거시'!$D$3:INDEX('자료_거시'!$D$3:$D$4002,$K$6),1)),""),"")</f>
        <v/>
      </c>
      <c r="U143">
        <f>IF(ISNUMBER(T143),'자료_거시'!$D125,"")</f>
        <v/>
      </c>
      <c r="V143">
        <f>IF(ISNUMBER(U143),IF(U143&gt;$L$6,T143,""),"")</f>
        <v/>
      </c>
      <c r="W143">
        <f>IF(AND(ISNUMBER('자료_거시'!$G125),ISNUMBER('자료_거시'!$H125)),'자료_거시'!$H125,"")</f>
        <v/>
      </c>
      <c r="X143">
        <f>IF(ISNUMBER(W143),'자료_거시'!$G125,"")</f>
        <v/>
      </c>
      <c r="Y143">
        <f>IF(ISNUMBER(X143),IF(X143&gt;$L$7,W143,""),"")</f>
        <v/>
      </c>
      <c r="Z143">
        <f>IF(ISNUMBER('자료_거시'!$K125),'자료_거시'!$K125,Z142)</f>
        <v/>
      </c>
      <c r="AA143">
        <f>IF(AND(ISNUMBER('자료_거시'!$J125),ISNUMBER('자료_거시'!$K125)),IFERROR('자료_거시'!$K125/INDEX($Z$21:$Z$4020,MATCH(EDATE('자료_거시'!$J125,-'설정'!$B$17),'자료_거시'!$J$3:INDEX('자료_거시'!$J$3:$J$4002,$K$8),1))-1,""),"")</f>
        <v/>
      </c>
      <c r="AB143">
        <f>IF(ISNUMBER(AA143),'자료_거시'!$J125,"")</f>
        <v/>
      </c>
      <c r="AC143">
        <f>IF(ISNUMBER(AB143),IF(AB143&gt;$L$8,AA143,""),"")</f>
        <v/>
      </c>
      <c r="AD143">
        <f>IF(AND(ISNUMBER('자료_거시'!$M125),ISNUMBER('자료_거시'!$N125)),1,0)</f>
        <v/>
      </c>
      <c r="AE143">
        <f>IF(AND(ISNUMBER('자료_거시'!$M125),ISNUMBER('자료_거시'!$N125)),IF(AND(SUMIFS($AD$21:$AD$620,'자료_거시'!$M$3:$M$602,"&gt;"&amp;EDATE('자료_거시'!$M125,-'설정'!$B$17),'자료_거시'!$M$3:$M$602,"&lt;="&amp;'자료_거시'!$M125)=3,SUMIFS($AD$21:$AD$620,'자료_거시'!$M$3:$M$602,"&gt;"&amp;EDATE('자료_거시'!$M125,-12-'설정'!$B$17),'자료_거시'!$M$3:$M$602,"&lt;="&amp;EDATE('자료_거시'!$M125,-12))=3),IFERROR(SUMIFS('자료_거시'!$N$3:$N$602,'자료_거시'!$M$3:$M$602,"&gt;"&amp;EDATE('자료_거시'!$M125,-'설정'!$B$17),'자료_거시'!$M$3:$M$602,"&lt;="&amp;'자료_거시'!$M125)/SUMIFS('자료_거시'!$N$3:$N$602,'자료_거시'!$M$3:$M$602,"&gt;"&amp;EDATE('자료_거시'!$M125,-12-'설정'!$B$17),'자료_거시'!$M$3:$M$602,"&lt;="&amp;EDATE('자료_거시'!$M125,-12))-1,""),""),"")</f>
        <v/>
      </c>
      <c r="AF143">
        <f>IF(ISNUMBER(AE143),'자료_거시'!$M125,"")</f>
        <v/>
      </c>
      <c r="AG143">
        <f>IF(ISNUMBER(AF143),IF(AF143&gt;$L$9,AE143,""),"")</f>
        <v/>
      </c>
    </row>
    <row r="144">
      <c r="P144">
        <f>IF(AND(ISNUMBER('자료_거시'!$A126),ISNUMBER('자료_거시'!$B126)),'자료_거시'!$B126,"")</f>
        <v/>
      </c>
      <c r="Q144">
        <f>IF(ISNUMBER(P144),'자료_거시'!$A126,"")</f>
        <v/>
      </c>
      <c r="R144">
        <f>IF(ISNUMBER(Q144),IF(Q144&gt;$L$5,P144,""),"")</f>
        <v/>
      </c>
      <c r="S144">
        <f>IF(ISNUMBER('자료_거시'!$E126),'자료_거시'!$E126,S143)</f>
        <v/>
      </c>
      <c r="T144">
        <f>IF(AND(ISNUMBER('자료_거시'!$D126),ISNUMBER('자료_거시'!$E126)),IFERROR('자료_거시'!$E126-INDEX($S$21:$S$4020,MATCH(EDATE('자료_거시'!$D126,-'설정'!$B$17),'자료_거시'!$D$3:INDEX('자료_거시'!$D$3:$D$4002,$K$6),1)),""),"")</f>
        <v/>
      </c>
      <c r="U144">
        <f>IF(ISNUMBER(T144),'자료_거시'!$D126,"")</f>
        <v/>
      </c>
      <c r="V144">
        <f>IF(ISNUMBER(U144),IF(U144&gt;$L$6,T144,""),"")</f>
        <v/>
      </c>
      <c r="W144">
        <f>IF(AND(ISNUMBER('자료_거시'!$G126),ISNUMBER('자료_거시'!$H126)),'자료_거시'!$H126,"")</f>
        <v/>
      </c>
      <c r="X144">
        <f>IF(ISNUMBER(W144),'자료_거시'!$G126,"")</f>
        <v/>
      </c>
      <c r="Y144">
        <f>IF(ISNUMBER(X144),IF(X144&gt;$L$7,W144,""),"")</f>
        <v/>
      </c>
      <c r="Z144">
        <f>IF(ISNUMBER('자료_거시'!$K126),'자료_거시'!$K126,Z143)</f>
        <v/>
      </c>
      <c r="AA144">
        <f>IF(AND(ISNUMBER('자료_거시'!$J126),ISNUMBER('자료_거시'!$K126)),IFERROR('자료_거시'!$K126/INDEX($Z$21:$Z$4020,MATCH(EDATE('자료_거시'!$J126,-'설정'!$B$17),'자료_거시'!$J$3:INDEX('자료_거시'!$J$3:$J$4002,$K$8),1))-1,""),"")</f>
        <v/>
      </c>
      <c r="AB144">
        <f>IF(ISNUMBER(AA144),'자료_거시'!$J126,"")</f>
        <v/>
      </c>
      <c r="AC144">
        <f>IF(ISNUMBER(AB144),IF(AB144&gt;$L$8,AA144,""),"")</f>
        <v/>
      </c>
      <c r="AD144">
        <f>IF(AND(ISNUMBER('자료_거시'!$M126),ISNUMBER('자료_거시'!$N126)),1,0)</f>
        <v/>
      </c>
      <c r="AE144">
        <f>IF(AND(ISNUMBER('자료_거시'!$M126),ISNUMBER('자료_거시'!$N126)),IF(AND(SUMIFS($AD$21:$AD$620,'자료_거시'!$M$3:$M$602,"&gt;"&amp;EDATE('자료_거시'!$M126,-'설정'!$B$17),'자료_거시'!$M$3:$M$602,"&lt;="&amp;'자료_거시'!$M126)=3,SUMIFS($AD$21:$AD$620,'자료_거시'!$M$3:$M$602,"&gt;"&amp;EDATE('자료_거시'!$M126,-12-'설정'!$B$17),'자료_거시'!$M$3:$M$602,"&lt;="&amp;EDATE('자료_거시'!$M126,-12))=3),IFERROR(SUMIFS('자료_거시'!$N$3:$N$602,'자료_거시'!$M$3:$M$602,"&gt;"&amp;EDATE('자료_거시'!$M126,-'설정'!$B$17),'자료_거시'!$M$3:$M$602,"&lt;="&amp;'자료_거시'!$M126)/SUMIFS('자료_거시'!$N$3:$N$602,'자료_거시'!$M$3:$M$602,"&gt;"&amp;EDATE('자료_거시'!$M126,-12-'설정'!$B$17),'자료_거시'!$M$3:$M$602,"&lt;="&amp;EDATE('자료_거시'!$M126,-12))-1,""),""),"")</f>
        <v/>
      </c>
      <c r="AF144">
        <f>IF(ISNUMBER(AE144),'자료_거시'!$M126,"")</f>
        <v/>
      </c>
      <c r="AG144">
        <f>IF(ISNUMBER(AF144),IF(AF144&gt;$L$9,AE144,""),"")</f>
        <v/>
      </c>
    </row>
    <row r="145">
      <c r="P145">
        <f>IF(AND(ISNUMBER('자료_거시'!$A127),ISNUMBER('자료_거시'!$B127)),'자료_거시'!$B127,"")</f>
        <v/>
      </c>
      <c r="Q145">
        <f>IF(ISNUMBER(P145),'자료_거시'!$A127,"")</f>
        <v/>
      </c>
      <c r="R145">
        <f>IF(ISNUMBER(Q145),IF(Q145&gt;$L$5,P145,""),"")</f>
        <v/>
      </c>
      <c r="S145">
        <f>IF(ISNUMBER('자료_거시'!$E127),'자료_거시'!$E127,S144)</f>
        <v/>
      </c>
      <c r="T145">
        <f>IF(AND(ISNUMBER('자료_거시'!$D127),ISNUMBER('자료_거시'!$E127)),IFERROR('자료_거시'!$E127-INDEX($S$21:$S$4020,MATCH(EDATE('자료_거시'!$D127,-'설정'!$B$17),'자료_거시'!$D$3:INDEX('자료_거시'!$D$3:$D$4002,$K$6),1)),""),"")</f>
        <v/>
      </c>
      <c r="U145">
        <f>IF(ISNUMBER(T145),'자료_거시'!$D127,"")</f>
        <v/>
      </c>
      <c r="V145">
        <f>IF(ISNUMBER(U145),IF(U145&gt;$L$6,T145,""),"")</f>
        <v/>
      </c>
      <c r="W145">
        <f>IF(AND(ISNUMBER('자료_거시'!$G127),ISNUMBER('자료_거시'!$H127)),'자료_거시'!$H127,"")</f>
        <v/>
      </c>
      <c r="X145">
        <f>IF(ISNUMBER(W145),'자료_거시'!$G127,"")</f>
        <v/>
      </c>
      <c r="Y145">
        <f>IF(ISNUMBER(X145),IF(X145&gt;$L$7,W145,""),"")</f>
        <v/>
      </c>
      <c r="Z145">
        <f>IF(ISNUMBER('자료_거시'!$K127),'자료_거시'!$K127,Z144)</f>
        <v/>
      </c>
      <c r="AA145">
        <f>IF(AND(ISNUMBER('자료_거시'!$J127),ISNUMBER('자료_거시'!$K127)),IFERROR('자료_거시'!$K127/INDEX($Z$21:$Z$4020,MATCH(EDATE('자료_거시'!$J127,-'설정'!$B$17),'자료_거시'!$J$3:INDEX('자료_거시'!$J$3:$J$4002,$K$8),1))-1,""),"")</f>
        <v/>
      </c>
      <c r="AB145">
        <f>IF(ISNUMBER(AA145),'자료_거시'!$J127,"")</f>
        <v/>
      </c>
      <c r="AC145">
        <f>IF(ISNUMBER(AB145),IF(AB145&gt;$L$8,AA145,""),"")</f>
        <v/>
      </c>
      <c r="AD145">
        <f>IF(AND(ISNUMBER('자료_거시'!$M127),ISNUMBER('자료_거시'!$N127)),1,0)</f>
        <v/>
      </c>
      <c r="AE145">
        <f>IF(AND(ISNUMBER('자료_거시'!$M127),ISNUMBER('자료_거시'!$N127)),IF(AND(SUMIFS($AD$21:$AD$620,'자료_거시'!$M$3:$M$602,"&gt;"&amp;EDATE('자료_거시'!$M127,-'설정'!$B$17),'자료_거시'!$M$3:$M$602,"&lt;="&amp;'자료_거시'!$M127)=3,SUMIFS($AD$21:$AD$620,'자료_거시'!$M$3:$M$602,"&gt;"&amp;EDATE('자료_거시'!$M127,-12-'설정'!$B$17),'자료_거시'!$M$3:$M$602,"&lt;="&amp;EDATE('자료_거시'!$M127,-12))=3),IFERROR(SUMIFS('자료_거시'!$N$3:$N$602,'자료_거시'!$M$3:$M$602,"&gt;"&amp;EDATE('자료_거시'!$M127,-'설정'!$B$17),'자료_거시'!$M$3:$M$602,"&lt;="&amp;'자료_거시'!$M127)/SUMIFS('자료_거시'!$N$3:$N$602,'자료_거시'!$M$3:$M$602,"&gt;"&amp;EDATE('자료_거시'!$M127,-12-'설정'!$B$17),'자료_거시'!$M$3:$M$602,"&lt;="&amp;EDATE('자료_거시'!$M127,-12))-1,""),""),"")</f>
        <v/>
      </c>
      <c r="AF145">
        <f>IF(ISNUMBER(AE145),'자료_거시'!$M127,"")</f>
        <v/>
      </c>
      <c r="AG145">
        <f>IF(ISNUMBER(AF145),IF(AF145&gt;$L$9,AE145,""),"")</f>
        <v/>
      </c>
    </row>
    <row r="146">
      <c r="P146">
        <f>IF(AND(ISNUMBER('자료_거시'!$A128),ISNUMBER('자료_거시'!$B128)),'자료_거시'!$B128,"")</f>
        <v/>
      </c>
      <c r="Q146">
        <f>IF(ISNUMBER(P146),'자료_거시'!$A128,"")</f>
        <v/>
      </c>
      <c r="R146">
        <f>IF(ISNUMBER(Q146),IF(Q146&gt;$L$5,P146,""),"")</f>
        <v/>
      </c>
      <c r="S146">
        <f>IF(ISNUMBER('자료_거시'!$E128),'자료_거시'!$E128,S145)</f>
        <v/>
      </c>
      <c r="T146">
        <f>IF(AND(ISNUMBER('자료_거시'!$D128),ISNUMBER('자료_거시'!$E128)),IFERROR('자료_거시'!$E128-INDEX($S$21:$S$4020,MATCH(EDATE('자료_거시'!$D128,-'설정'!$B$17),'자료_거시'!$D$3:INDEX('자료_거시'!$D$3:$D$4002,$K$6),1)),""),"")</f>
        <v/>
      </c>
      <c r="U146">
        <f>IF(ISNUMBER(T146),'자료_거시'!$D128,"")</f>
        <v/>
      </c>
      <c r="V146">
        <f>IF(ISNUMBER(U146),IF(U146&gt;$L$6,T146,""),"")</f>
        <v/>
      </c>
      <c r="W146">
        <f>IF(AND(ISNUMBER('자료_거시'!$G128),ISNUMBER('자료_거시'!$H128)),'자료_거시'!$H128,"")</f>
        <v/>
      </c>
      <c r="X146">
        <f>IF(ISNUMBER(W146),'자료_거시'!$G128,"")</f>
        <v/>
      </c>
      <c r="Y146">
        <f>IF(ISNUMBER(X146),IF(X146&gt;$L$7,W146,""),"")</f>
        <v/>
      </c>
      <c r="Z146">
        <f>IF(ISNUMBER('자료_거시'!$K128),'자료_거시'!$K128,Z145)</f>
        <v/>
      </c>
      <c r="AA146">
        <f>IF(AND(ISNUMBER('자료_거시'!$J128),ISNUMBER('자료_거시'!$K128)),IFERROR('자료_거시'!$K128/INDEX($Z$21:$Z$4020,MATCH(EDATE('자료_거시'!$J128,-'설정'!$B$17),'자료_거시'!$J$3:INDEX('자료_거시'!$J$3:$J$4002,$K$8),1))-1,""),"")</f>
        <v/>
      </c>
      <c r="AB146">
        <f>IF(ISNUMBER(AA146),'자료_거시'!$J128,"")</f>
        <v/>
      </c>
      <c r="AC146">
        <f>IF(ISNUMBER(AB146),IF(AB146&gt;$L$8,AA146,""),"")</f>
        <v/>
      </c>
      <c r="AD146">
        <f>IF(AND(ISNUMBER('자료_거시'!$M128),ISNUMBER('자료_거시'!$N128)),1,0)</f>
        <v/>
      </c>
      <c r="AE146">
        <f>IF(AND(ISNUMBER('자료_거시'!$M128),ISNUMBER('자료_거시'!$N128)),IF(AND(SUMIFS($AD$21:$AD$620,'자료_거시'!$M$3:$M$602,"&gt;"&amp;EDATE('자료_거시'!$M128,-'설정'!$B$17),'자료_거시'!$M$3:$M$602,"&lt;="&amp;'자료_거시'!$M128)=3,SUMIFS($AD$21:$AD$620,'자료_거시'!$M$3:$M$602,"&gt;"&amp;EDATE('자료_거시'!$M128,-12-'설정'!$B$17),'자료_거시'!$M$3:$M$602,"&lt;="&amp;EDATE('자료_거시'!$M128,-12))=3),IFERROR(SUMIFS('자료_거시'!$N$3:$N$602,'자료_거시'!$M$3:$M$602,"&gt;"&amp;EDATE('자료_거시'!$M128,-'설정'!$B$17),'자료_거시'!$M$3:$M$602,"&lt;="&amp;'자료_거시'!$M128)/SUMIFS('자료_거시'!$N$3:$N$602,'자료_거시'!$M$3:$M$602,"&gt;"&amp;EDATE('자료_거시'!$M128,-12-'설정'!$B$17),'자료_거시'!$M$3:$M$602,"&lt;="&amp;EDATE('자료_거시'!$M128,-12))-1,""),""),"")</f>
        <v/>
      </c>
      <c r="AF146">
        <f>IF(ISNUMBER(AE146),'자료_거시'!$M128,"")</f>
        <v/>
      </c>
      <c r="AG146">
        <f>IF(ISNUMBER(AF146),IF(AF146&gt;$L$9,AE146,""),"")</f>
        <v/>
      </c>
    </row>
    <row r="147">
      <c r="P147">
        <f>IF(AND(ISNUMBER('자료_거시'!$A129),ISNUMBER('자료_거시'!$B129)),'자료_거시'!$B129,"")</f>
        <v/>
      </c>
      <c r="Q147">
        <f>IF(ISNUMBER(P147),'자료_거시'!$A129,"")</f>
        <v/>
      </c>
      <c r="R147">
        <f>IF(ISNUMBER(Q147),IF(Q147&gt;$L$5,P147,""),"")</f>
        <v/>
      </c>
      <c r="S147">
        <f>IF(ISNUMBER('자료_거시'!$E129),'자료_거시'!$E129,S146)</f>
        <v/>
      </c>
      <c r="T147">
        <f>IF(AND(ISNUMBER('자료_거시'!$D129),ISNUMBER('자료_거시'!$E129)),IFERROR('자료_거시'!$E129-INDEX($S$21:$S$4020,MATCH(EDATE('자료_거시'!$D129,-'설정'!$B$17),'자료_거시'!$D$3:INDEX('자료_거시'!$D$3:$D$4002,$K$6),1)),""),"")</f>
        <v/>
      </c>
      <c r="U147">
        <f>IF(ISNUMBER(T147),'자료_거시'!$D129,"")</f>
        <v/>
      </c>
      <c r="V147">
        <f>IF(ISNUMBER(U147),IF(U147&gt;$L$6,T147,""),"")</f>
        <v/>
      </c>
      <c r="W147">
        <f>IF(AND(ISNUMBER('자료_거시'!$G129),ISNUMBER('자료_거시'!$H129)),'자료_거시'!$H129,"")</f>
        <v/>
      </c>
      <c r="X147">
        <f>IF(ISNUMBER(W147),'자료_거시'!$G129,"")</f>
        <v/>
      </c>
      <c r="Y147">
        <f>IF(ISNUMBER(X147),IF(X147&gt;$L$7,W147,""),"")</f>
        <v/>
      </c>
      <c r="Z147">
        <f>IF(ISNUMBER('자료_거시'!$K129),'자료_거시'!$K129,Z146)</f>
        <v/>
      </c>
      <c r="AA147">
        <f>IF(AND(ISNUMBER('자료_거시'!$J129),ISNUMBER('자료_거시'!$K129)),IFERROR('자료_거시'!$K129/INDEX($Z$21:$Z$4020,MATCH(EDATE('자료_거시'!$J129,-'설정'!$B$17),'자료_거시'!$J$3:INDEX('자료_거시'!$J$3:$J$4002,$K$8),1))-1,""),"")</f>
        <v/>
      </c>
      <c r="AB147">
        <f>IF(ISNUMBER(AA147),'자료_거시'!$J129,"")</f>
        <v/>
      </c>
      <c r="AC147">
        <f>IF(ISNUMBER(AB147),IF(AB147&gt;$L$8,AA147,""),"")</f>
        <v/>
      </c>
      <c r="AD147">
        <f>IF(AND(ISNUMBER('자료_거시'!$M129),ISNUMBER('자료_거시'!$N129)),1,0)</f>
        <v/>
      </c>
      <c r="AE147">
        <f>IF(AND(ISNUMBER('자료_거시'!$M129),ISNUMBER('자료_거시'!$N129)),IF(AND(SUMIFS($AD$21:$AD$620,'자료_거시'!$M$3:$M$602,"&gt;"&amp;EDATE('자료_거시'!$M129,-'설정'!$B$17),'자료_거시'!$M$3:$M$602,"&lt;="&amp;'자료_거시'!$M129)=3,SUMIFS($AD$21:$AD$620,'자료_거시'!$M$3:$M$602,"&gt;"&amp;EDATE('자료_거시'!$M129,-12-'설정'!$B$17),'자료_거시'!$M$3:$M$602,"&lt;="&amp;EDATE('자료_거시'!$M129,-12))=3),IFERROR(SUMIFS('자료_거시'!$N$3:$N$602,'자료_거시'!$M$3:$M$602,"&gt;"&amp;EDATE('자료_거시'!$M129,-'설정'!$B$17),'자료_거시'!$M$3:$M$602,"&lt;="&amp;'자료_거시'!$M129)/SUMIFS('자료_거시'!$N$3:$N$602,'자료_거시'!$M$3:$M$602,"&gt;"&amp;EDATE('자료_거시'!$M129,-12-'설정'!$B$17),'자료_거시'!$M$3:$M$602,"&lt;="&amp;EDATE('자료_거시'!$M129,-12))-1,""),""),"")</f>
        <v/>
      </c>
      <c r="AF147">
        <f>IF(ISNUMBER(AE147),'자료_거시'!$M129,"")</f>
        <v/>
      </c>
      <c r="AG147">
        <f>IF(ISNUMBER(AF147),IF(AF147&gt;$L$9,AE147,""),"")</f>
        <v/>
      </c>
    </row>
    <row r="148">
      <c r="P148">
        <f>IF(AND(ISNUMBER('자료_거시'!$A130),ISNUMBER('자료_거시'!$B130)),'자료_거시'!$B130,"")</f>
        <v/>
      </c>
      <c r="Q148">
        <f>IF(ISNUMBER(P148),'자료_거시'!$A130,"")</f>
        <v/>
      </c>
      <c r="R148">
        <f>IF(ISNUMBER(Q148),IF(Q148&gt;$L$5,P148,""),"")</f>
        <v/>
      </c>
      <c r="S148">
        <f>IF(ISNUMBER('자료_거시'!$E130),'자료_거시'!$E130,S147)</f>
        <v/>
      </c>
      <c r="T148">
        <f>IF(AND(ISNUMBER('자료_거시'!$D130),ISNUMBER('자료_거시'!$E130)),IFERROR('자료_거시'!$E130-INDEX($S$21:$S$4020,MATCH(EDATE('자료_거시'!$D130,-'설정'!$B$17),'자료_거시'!$D$3:INDEX('자료_거시'!$D$3:$D$4002,$K$6),1)),""),"")</f>
        <v/>
      </c>
      <c r="U148">
        <f>IF(ISNUMBER(T148),'자료_거시'!$D130,"")</f>
        <v/>
      </c>
      <c r="V148">
        <f>IF(ISNUMBER(U148),IF(U148&gt;$L$6,T148,""),"")</f>
        <v/>
      </c>
      <c r="W148">
        <f>IF(AND(ISNUMBER('자료_거시'!$G130),ISNUMBER('자료_거시'!$H130)),'자료_거시'!$H130,"")</f>
        <v/>
      </c>
      <c r="X148">
        <f>IF(ISNUMBER(W148),'자료_거시'!$G130,"")</f>
        <v/>
      </c>
      <c r="Y148">
        <f>IF(ISNUMBER(X148),IF(X148&gt;$L$7,W148,""),"")</f>
        <v/>
      </c>
      <c r="Z148">
        <f>IF(ISNUMBER('자료_거시'!$K130),'자료_거시'!$K130,Z147)</f>
        <v/>
      </c>
      <c r="AA148">
        <f>IF(AND(ISNUMBER('자료_거시'!$J130),ISNUMBER('자료_거시'!$K130)),IFERROR('자료_거시'!$K130/INDEX($Z$21:$Z$4020,MATCH(EDATE('자료_거시'!$J130,-'설정'!$B$17),'자료_거시'!$J$3:INDEX('자료_거시'!$J$3:$J$4002,$K$8),1))-1,""),"")</f>
        <v/>
      </c>
      <c r="AB148">
        <f>IF(ISNUMBER(AA148),'자료_거시'!$J130,"")</f>
        <v/>
      </c>
      <c r="AC148">
        <f>IF(ISNUMBER(AB148),IF(AB148&gt;$L$8,AA148,""),"")</f>
        <v/>
      </c>
      <c r="AD148">
        <f>IF(AND(ISNUMBER('자료_거시'!$M130),ISNUMBER('자료_거시'!$N130)),1,0)</f>
        <v/>
      </c>
      <c r="AE148">
        <f>IF(AND(ISNUMBER('자료_거시'!$M130),ISNUMBER('자료_거시'!$N130)),IF(AND(SUMIFS($AD$21:$AD$620,'자료_거시'!$M$3:$M$602,"&gt;"&amp;EDATE('자료_거시'!$M130,-'설정'!$B$17),'자료_거시'!$M$3:$M$602,"&lt;="&amp;'자료_거시'!$M130)=3,SUMIFS($AD$21:$AD$620,'자료_거시'!$M$3:$M$602,"&gt;"&amp;EDATE('자료_거시'!$M130,-12-'설정'!$B$17),'자료_거시'!$M$3:$M$602,"&lt;="&amp;EDATE('자료_거시'!$M130,-12))=3),IFERROR(SUMIFS('자료_거시'!$N$3:$N$602,'자료_거시'!$M$3:$M$602,"&gt;"&amp;EDATE('자료_거시'!$M130,-'설정'!$B$17),'자료_거시'!$M$3:$M$602,"&lt;="&amp;'자료_거시'!$M130)/SUMIFS('자료_거시'!$N$3:$N$602,'자료_거시'!$M$3:$M$602,"&gt;"&amp;EDATE('자료_거시'!$M130,-12-'설정'!$B$17),'자료_거시'!$M$3:$M$602,"&lt;="&amp;EDATE('자료_거시'!$M130,-12))-1,""),""),"")</f>
        <v/>
      </c>
      <c r="AF148">
        <f>IF(ISNUMBER(AE148),'자료_거시'!$M130,"")</f>
        <v/>
      </c>
      <c r="AG148">
        <f>IF(ISNUMBER(AF148),IF(AF148&gt;$L$9,AE148,""),"")</f>
        <v/>
      </c>
    </row>
    <row r="149">
      <c r="P149">
        <f>IF(AND(ISNUMBER('자료_거시'!$A131),ISNUMBER('자료_거시'!$B131)),'자료_거시'!$B131,"")</f>
        <v/>
      </c>
      <c r="Q149">
        <f>IF(ISNUMBER(P149),'자료_거시'!$A131,"")</f>
        <v/>
      </c>
      <c r="R149">
        <f>IF(ISNUMBER(Q149),IF(Q149&gt;$L$5,P149,""),"")</f>
        <v/>
      </c>
      <c r="S149">
        <f>IF(ISNUMBER('자료_거시'!$E131),'자료_거시'!$E131,S148)</f>
        <v/>
      </c>
      <c r="T149">
        <f>IF(AND(ISNUMBER('자료_거시'!$D131),ISNUMBER('자료_거시'!$E131)),IFERROR('자료_거시'!$E131-INDEX($S$21:$S$4020,MATCH(EDATE('자료_거시'!$D131,-'설정'!$B$17),'자료_거시'!$D$3:INDEX('자료_거시'!$D$3:$D$4002,$K$6),1)),""),"")</f>
        <v/>
      </c>
      <c r="U149">
        <f>IF(ISNUMBER(T149),'자료_거시'!$D131,"")</f>
        <v/>
      </c>
      <c r="V149">
        <f>IF(ISNUMBER(U149),IF(U149&gt;$L$6,T149,""),"")</f>
        <v/>
      </c>
      <c r="W149">
        <f>IF(AND(ISNUMBER('자료_거시'!$G131),ISNUMBER('자료_거시'!$H131)),'자료_거시'!$H131,"")</f>
        <v/>
      </c>
      <c r="X149">
        <f>IF(ISNUMBER(W149),'자료_거시'!$G131,"")</f>
        <v/>
      </c>
      <c r="Y149">
        <f>IF(ISNUMBER(X149),IF(X149&gt;$L$7,W149,""),"")</f>
        <v/>
      </c>
      <c r="Z149">
        <f>IF(ISNUMBER('자료_거시'!$K131),'자료_거시'!$K131,Z148)</f>
        <v/>
      </c>
      <c r="AA149">
        <f>IF(AND(ISNUMBER('자료_거시'!$J131),ISNUMBER('자료_거시'!$K131)),IFERROR('자료_거시'!$K131/INDEX($Z$21:$Z$4020,MATCH(EDATE('자료_거시'!$J131,-'설정'!$B$17),'자료_거시'!$J$3:INDEX('자료_거시'!$J$3:$J$4002,$K$8),1))-1,""),"")</f>
        <v/>
      </c>
      <c r="AB149">
        <f>IF(ISNUMBER(AA149),'자료_거시'!$J131,"")</f>
        <v/>
      </c>
      <c r="AC149">
        <f>IF(ISNUMBER(AB149),IF(AB149&gt;$L$8,AA149,""),"")</f>
        <v/>
      </c>
      <c r="AD149">
        <f>IF(AND(ISNUMBER('자료_거시'!$M131),ISNUMBER('자료_거시'!$N131)),1,0)</f>
        <v/>
      </c>
      <c r="AE149">
        <f>IF(AND(ISNUMBER('자료_거시'!$M131),ISNUMBER('자료_거시'!$N131)),IF(AND(SUMIFS($AD$21:$AD$620,'자료_거시'!$M$3:$M$602,"&gt;"&amp;EDATE('자료_거시'!$M131,-'설정'!$B$17),'자료_거시'!$M$3:$M$602,"&lt;="&amp;'자료_거시'!$M131)=3,SUMIFS($AD$21:$AD$620,'자료_거시'!$M$3:$M$602,"&gt;"&amp;EDATE('자료_거시'!$M131,-12-'설정'!$B$17),'자료_거시'!$M$3:$M$602,"&lt;="&amp;EDATE('자료_거시'!$M131,-12))=3),IFERROR(SUMIFS('자료_거시'!$N$3:$N$602,'자료_거시'!$M$3:$M$602,"&gt;"&amp;EDATE('자료_거시'!$M131,-'설정'!$B$17),'자료_거시'!$M$3:$M$602,"&lt;="&amp;'자료_거시'!$M131)/SUMIFS('자료_거시'!$N$3:$N$602,'자료_거시'!$M$3:$M$602,"&gt;"&amp;EDATE('자료_거시'!$M131,-12-'설정'!$B$17),'자료_거시'!$M$3:$M$602,"&lt;="&amp;EDATE('자료_거시'!$M131,-12))-1,""),""),"")</f>
        <v/>
      </c>
      <c r="AF149">
        <f>IF(ISNUMBER(AE149),'자료_거시'!$M131,"")</f>
        <v/>
      </c>
      <c r="AG149">
        <f>IF(ISNUMBER(AF149),IF(AF149&gt;$L$9,AE149,""),"")</f>
        <v/>
      </c>
    </row>
    <row r="150">
      <c r="P150">
        <f>IF(AND(ISNUMBER('자료_거시'!$A132),ISNUMBER('자료_거시'!$B132)),'자료_거시'!$B132,"")</f>
        <v/>
      </c>
      <c r="Q150">
        <f>IF(ISNUMBER(P150),'자료_거시'!$A132,"")</f>
        <v/>
      </c>
      <c r="R150">
        <f>IF(ISNUMBER(Q150),IF(Q150&gt;$L$5,P150,""),"")</f>
        <v/>
      </c>
      <c r="S150">
        <f>IF(ISNUMBER('자료_거시'!$E132),'자료_거시'!$E132,S149)</f>
        <v/>
      </c>
      <c r="T150">
        <f>IF(AND(ISNUMBER('자료_거시'!$D132),ISNUMBER('자료_거시'!$E132)),IFERROR('자료_거시'!$E132-INDEX($S$21:$S$4020,MATCH(EDATE('자료_거시'!$D132,-'설정'!$B$17),'자료_거시'!$D$3:INDEX('자료_거시'!$D$3:$D$4002,$K$6),1)),""),"")</f>
        <v/>
      </c>
      <c r="U150">
        <f>IF(ISNUMBER(T150),'자료_거시'!$D132,"")</f>
        <v/>
      </c>
      <c r="V150">
        <f>IF(ISNUMBER(U150),IF(U150&gt;$L$6,T150,""),"")</f>
        <v/>
      </c>
      <c r="W150">
        <f>IF(AND(ISNUMBER('자료_거시'!$G132),ISNUMBER('자료_거시'!$H132)),'자료_거시'!$H132,"")</f>
        <v/>
      </c>
      <c r="X150">
        <f>IF(ISNUMBER(W150),'자료_거시'!$G132,"")</f>
        <v/>
      </c>
      <c r="Y150">
        <f>IF(ISNUMBER(X150),IF(X150&gt;$L$7,W150,""),"")</f>
        <v/>
      </c>
      <c r="Z150">
        <f>IF(ISNUMBER('자료_거시'!$K132),'자료_거시'!$K132,Z149)</f>
        <v/>
      </c>
      <c r="AA150">
        <f>IF(AND(ISNUMBER('자료_거시'!$J132),ISNUMBER('자료_거시'!$K132)),IFERROR('자료_거시'!$K132/INDEX($Z$21:$Z$4020,MATCH(EDATE('자료_거시'!$J132,-'설정'!$B$17),'자료_거시'!$J$3:INDEX('자료_거시'!$J$3:$J$4002,$K$8),1))-1,""),"")</f>
        <v/>
      </c>
      <c r="AB150">
        <f>IF(ISNUMBER(AA150),'자료_거시'!$J132,"")</f>
        <v/>
      </c>
      <c r="AC150">
        <f>IF(ISNUMBER(AB150),IF(AB150&gt;$L$8,AA150,""),"")</f>
        <v/>
      </c>
      <c r="AD150">
        <f>IF(AND(ISNUMBER('자료_거시'!$M132),ISNUMBER('자료_거시'!$N132)),1,0)</f>
        <v/>
      </c>
      <c r="AE150">
        <f>IF(AND(ISNUMBER('자료_거시'!$M132),ISNUMBER('자료_거시'!$N132)),IF(AND(SUMIFS($AD$21:$AD$620,'자료_거시'!$M$3:$M$602,"&gt;"&amp;EDATE('자료_거시'!$M132,-'설정'!$B$17),'자료_거시'!$M$3:$M$602,"&lt;="&amp;'자료_거시'!$M132)=3,SUMIFS($AD$21:$AD$620,'자료_거시'!$M$3:$M$602,"&gt;"&amp;EDATE('자료_거시'!$M132,-12-'설정'!$B$17),'자료_거시'!$M$3:$M$602,"&lt;="&amp;EDATE('자료_거시'!$M132,-12))=3),IFERROR(SUMIFS('자료_거시'!$N$3:$N$602,'자료_거시'!$M$3:$M$602,"&gt;"&amp;EDATE('자료_거시'!$M132,-'설정'!$B$17),'자료_거시'!$M$3:$M$602,"&lt;="&amp;'자료_거시'!$M132)/SUMIFS('자료_거시'!$N$3:$N$602,'자료_거시'!$M$3:$M$602,"&gt;"&amp;EDATE('자료_거시'!$M132,-12-'설정'!$B$17),'자료_거시'!$M$3:$M$602,"&lt;="&amp;EDATE('자료_거시'!$M132,-12))-1,""),""),"")</f>
        <v/>
      </c>
      <c r="AF150">
        <f>IF(ISNUMBER(AE150),'자료_거시'!$M132,"")</f>
        <v/>
      </c>
      <c r="AG150">
        <f>IF(ISNUMBER(AF150),IF(AF150&gt;$L$9,AE150,""),"")</f>
        <v/>
      </c>
    </row>
    <row r="151">
      <c r="P151">
        <f>IF(AND(ISNUMBER('자료_거시'!$A133),ISNUMBER('자료_거시'!$B133)),'자료_거시'!$B133,"")</f>
        <v/>
      </c>
      <c r="Q151">
        <f>IF(ISNUMBER(P151),'자료_거시'!$A133,"")</f>
        <v/>
      </c>
      <c r="R151">
        <f>IF(ISNUMBER(Q151),IF(Q151&gt;$L$5,P151,""),"")</f>
        <v/>
      </c>
      <c r="S151">
        <f>IF(ISNUMBER('자료_거시'!$E133),'자료_거시'!$E133,S150)</f>
        <v/>
      </c>
      <c r="T151">
        <f>IF(AND(ISNUMBER('자료_거시'!$D133),ISNUMBER('자료_거시'!$E133)),IFERROR('자료_거시'!$E133-INDEX($S$21:$S$4020,MATCH(EDATE('자료_거시'!$D133,-'설정'!$B$17),'자료_거시'!$D$3:INDEX('자료_거시'!$D$3:$D$4002,$K$6),1)),""),"")</f>
        <v/>
      </c>
      <c r="U151">
        <f>IF(ISNUMBER(T151),'자료_거시'!$D133,"")</f>
        <v/>
      </c>
      <c r="V151">
        <f>IF(ISNUMBER(U151),IF(U151&gt;$L$6,T151,""),"")</f>
        <v/>
      </c>
      <c r="W151">
        <f>IF(AND(ISNUMBER('자료_거시'!$G133),ISNUMBER('자료_거시'!$H133)),'자료_거시'!$H133,"")</f>
        <v/>
      </c>
      <c r="X151">
        <f>IF(ISNUMBER(W151),'자료_거시'!$G133,"")</f>
        <v/>
      </c>
      <c r="Y151">
        <f>IF(ISNUMBER(X151),IF(X151&gt;$L$7,W151,""),"")</f>
        <v/>
      </c>
      <c r="Z151">
        <f>IF(ISNUMBER('자료_거시'!$K133),'자료_거시'!$K133,Z150)</f>
        <v/>
      </c>
      <c r="AA151">
        <f>IF(AND(ISNUMBER('자료_거시'!$J133),ISNUMBER('자료_거시'!$K133)),IFERROR('자료_거시'!$K133/INDEX($Z$21:$Z$4020,MATCH(EDATE('자료_거시'!$J133,-'설정'!$B$17),'자료_거시'!$J$3:INDEX('자료_거시'!$J$3:$J$4002,$K$8),1))-1,""),"")</f>
        <v/>
      </c>
      <c r="AB151">
        <f>IF(ISNUMBER(AA151),'자료_거시'!$J133,"")</f>
        <v/>
      </c>
      <c r="AC151">
        <f>IF(ISNUMBER(AB151),IF(AB151&gt;$L$8,AA151,""),"")</f>
        <v/>
      </c>
      <c r="AD151">
        <f>IF(AND(ISNUMBER('자료_거시'!$M133),ISNUMBER('자료_거시'!$N133)),1,0)</f>
        <v/>
      </c>
      <c r="AE151">
        <f>IF(AND(ISNUMBER('자료_거시'!$M133),ISNUMBER('자료_거시'!$N133)),IF(AND(SUMIFS($AD$21:$AD$620,'자료_거시'!$M$3:$M$602,"&gt;"&amp;EDATE('자료_거시'!$M133,-'설정'!$B$17),'자료_거시'!$M$3:$M$602,"&lt;="&amp;'자료_거시'!$M133)=3,SUMIFS($AD$21:$AD$620,'자료_거시'!$M$3:$M$602,"&gt;"&amp;EDATE('자료_거시'!$M133,-12-'설정'!$B$17),'자료_거시'!$M$3:$M$602,"&lt;="&amp;EDATE('자료_거시'!$M133,-12))=3),IFERROR(SUMIFS('자료_거시'!$N$3:$N$602,'자료_거시'!$M$3:$M$602,"&gt;"&amp;EDATE('자료_거시'!$M133,-'설정'!$B$17),'자료_거시'!$M$3:$M$602,"&lt;="&amp;'자료_거시'!$M133)/SUMIFS('자료_거시'!$N$3:$N$602,'자료_거시'!$M$3:$M$602,"&gt;"&amp;EDATE('자료_거시'!$M133,-12-'설정'!$B$17),'자료_거시'!$M$3:$M$602,"&lt;="&amp;EDATE('자료_거시'!$M133,-12))-1,""),""),"")</f>
        <v/>
      </c>
      <c r="AF151">
        <f>IF(ISNUMBER(AE151),'자료_거시'!$M133,"")</f>
        <v/>
      </c>
      <c r="AG151">
        <f>IF(ISNUMBER(AF151),IF(AF151&gt;$L$9,AE151,""),"")</f>
        <v/>
      </c>
    </row>
    <row r="152">
      <c r="P152">
        <f>IF(AND(ISNUMBER('자료_거시'!$A134),ISNUMBER('자료_거시'!$B134)),'자료_거시'!$B134,"")</f>
        <v/>
      </c>
      <c r="Q152">
        <f>IF(ISNUMBER(P152),'자료_거시'!$A134,"")</f>
        <v/>
      </c>
      <c r="R152">
        <f>IF(ISNUMBER(Q152),IF(Q152&gt;$L$5,P152,""),"")</f>
        <v/>
      </c>
      <c r="S152">
        <f>IF(ISNUMBER('자료_거시'!$E134),'자료_거시'!$E134,S151)</f>
        <v/>
      </c>
      <c r="T152">
        <f>IF(AND(ISNUMBER('자료_거시'!$D134),ISNUMBER('자료_거시'!$E134)),IFERROR('자료_거시'!$E134-INDEX($S$21:$S$4020,MATCH(EDATE('자료_거시'!$D134,-'설정'!$B$17),'자료_거시'!$D$3:INDEX('자료_거시'!$D$3:$D$4002,$K$6),1)),""),"")</f>
        <v/>
      </c>
      <c r="U152">
        <f>IF(ISNUMBER(T152),'자료_거시'!$D134,"")</f>
        <v/>
      </c>
      <c r="V152">
        <f>IF(ISNUMBER(U152),IF(U152&gt;$L$6,T152,""),"")</f>
        <v/>
      </c>
      <c r="W152">
        <f>IF(AND(ISNUMBER('자료_거시'!$G134),ISNUMBER('자료_거시'!$H134)),'자료_거시'!$H134,"")</f>
        <v/>
      </c>
      <c r="X152">
        <f>IF(ISNUMBER(W152),'자료_거시'!$G134,"")</f>
        <v/>
      </c>
      <c r="Y152">
        <f>IF(ISNUMBER(X152),IF(X152&gt;$L$7,W152,""),"")</f>
        <v/>
      </c>
      <c r="Z152">
        <f>IF(ISNUMBER('자료_거시'!$K134),'자료_거시'!$K134,Z151)</f>
        <v/>
      </c>
      <c r="AA152">
        <f>IF(AND(ISNUMBER('자료_거시'!$J134),ISNUMBER('자료_거시'!$K134)),IFERROR('자료_거시'!$K134/INDEX($Z$21:$Z$4020,MATCH(EDATE('자료_거시'!$J134,-'설정'!$B$17),'자료_거시'!$J$3:INDEX('자료_거시'!$J$3:$J$4002,$K$8),1))-1,""),"")</f>
        <v/>
      </c>
      <c r="AB152">
        <f>IF(ISNUMBER(AA152),'자료_거시'!$J134,"")</f>
        <v/>
      </c>
      <c r="AC152">
        <f>IF(ISNUMBER(AB152),IF(AB152&gt;$L$8,AA152,""),"")</f>
        <v/>
      </c>
      <c r="AD152">
        <f>IF(AND(ISNUMBER('자료_거시'!$M134),ISNUMBER('자료_거시'!$N134)),1,0)</f>
        <v/>
      </c>
      <c r="AE152">
        <f>IF(AND(ISNUMBER('자료_거시'!$M134),ISNUMBER('자료_거시'!$N134)),IF(AND(SUMIFS($AD$21:$AD$620,'자료_거시'!$M$3:$M$602,"&gt;"&amp;EDATE('자료_거시'!$M134,-'설정'!$B$17),'자료_거시'!$M$3:$M$602,"&lt;="&amp;'자료_거시'!$M134)=3,SUMIFS($AD$21:$AD$620,'자료_거시'!$M$3:$M$602,"&gt;"&amp;EDATE('자료_거시'!$M134,-12-'설정'!$B$17),'자료_거시'!$M$3:$M$602,"&lt;="&amp;EDATE('자료_거시'!$M134,-12))=3),IFERROR(SUMIFS('자료_거시'!$N$3:$N$602,'자료_거시'!$M$3:$M$602,"&gt;"&amp;EDATE('자료_거시'!$M134,-'설정'!$B$17),'자료_거시'!$M$3:$M$602,"&lt;="&amp;'자료_거시'!$M134)/SUMIFS('자료_거시'!$N$3:$N$602,'자료_거시'!$M$3:$M$602,"&gt;"&amp;EDATE('자료_거시'!$M134,-12-'설정'!$B$17),'자료_거시'!$M$3:$M$602,"&lt;="&amp;EDATE('자료_거시'!$M134,-12))-1,""),""),"")</f>
        <v/>
      </c>
      <c r="AF152">
        <f>IF(ISNUMBER(AE152),'자료_거시'!$M134,"")</f>
        <v/>
      </c>
      <c r="AG152">
        <f>IF(ISNUMBER(AF152),IF(AF152&gt;$L$9,AE152,""),"")</f>
        <v/>
      </c>
    </row>
    <row r="153">
      <c r="P153">
        <f>IF(AND(ISNUMBER('자료_거시'!$A135),ISNUMBER('자료_거시'!$B135)),'자료_거시'!$B135,"")</f>
        <v/>
      </c>
      <c r="Q153">
        <f>IF(ISNUMBER(P153),'자료_거시'!$A135,"")</f>
        <v/>
      </c>
      <c r="R153">
        <f>IF(ISNUMBER(Q153),IF(Q153&gt;$L$5,P153,""),"")</f>
        <v/>
      </c>
      <c r="S153">
        <f>IF(ISNUMBER('자료_거시'!$E135),'자료_거시'!$E135,S152)</f>
        <v/>
      </c>
      <c r="T153">
        <f>IF(AND(ISNUMBER('자료_거시'!$D135),ISNUMBER('자료_거시'!$E135)),IFERROR('자료_거시'!$E135-INDEX($S$21:$S$4020,MATCH(EDATE('자료_거시'!$D135,-'설정'!$B$17),'자료_거시'!$D$3:INDEX('자료_거시'!$D$3:$D$4002,$K$6),1)),""),"")</f>
        <v/>
      </c>
      <c r="U153">
        <f>IF(ISNUMBER(T153),'자료_거시'!$D135,"")</f>
        <v/>
      </c>
      <c r="V153">
        <f>IF(ISNUMBER(U153),IF(U153&gt;$L$6,T153,""),"")</f>
        <v/>
      </c>
      <c r="W153">
        <f>IF(AND(ISNUMBER('자료_거시'!$G135),ISNUMBER('자료_거시'!$H135)),'자료_거시'!$H135,"")</f>
        <v/>
      </c>
      <c r="X153">
        <f>IF(ISNUMBER(W153),'자료_거시'!$G135,"")</f>
        <v/>
      </c>
      <c r="Y153">
        <f>IF(ISNUMBER(X153),IF(X153&gt;$L$7,W153,""),"")</f>
        <v/>
      </c>
      <c r="Z153">
        <f>IF(ISNUMBER('자료_거시'!$K135),'자료_거시'!$K135,Z152)</f>
        <v/>
      </c>
      <c r="AA153">
        <f>IF(AND(ISNUMBER('자료_거시'!$J135),ISNUMBER('자료_거시'!$K135)),IFERROR('자료_거시'!$K135/INDEX($Z$21:$Z$4020,MATCH(EDATE('자료_거시'!$J135,-'설정'!$B$17),'자료_거시'!$J$3:INDEX('자료_거시'!$J$3:$J$4002,$K$8),1))-1,""),"")</f>
        <v/>
      </c>
      <c r="AB153">
        <f>IF(ISNUMBER(AA153),'자료_거시'!$J135,"")</f>
        <v/>
      </c>
      <c r="AC153">
        <f>IF(ISNUMBER(AB153),IF(AB153&gt;$L$8,AA153,""),"")</f>
        <v/>
      </c>
      <c r="AD153">
        <f>IF(AND(ISNUMBER('자료_거시'!$M135),ISNUMBER('자료_거시'!$N135)),1,0)</f>
        <v/>
      </c>
      <c r="AE153">
        <f>IF(AND(ISNUMBER('자료_거시'!$M135),ISNUMBER('자료_거시'!$N135)),IF(AND(SUMIFS($AD$21:$AD$620,'자료_거시'!$M$3:$M$602,"&gt;"&amp;EDATE('자료_거시'!$M135,-'설정'!$B$17),'자료_거시'!$M$3:$M$602,"&lt;="&amp;'자료_거시'!$M135)=3,SUMIFS($AD$21:$AD$620,'자료_거시'!$M$3:$M$602,"&gt;"&amp;EDATE('자료_거시'!$M135,-12-'설정'!$B$17),'자료_거시'!$M$3:$M$602,"&lt;="&amp;EDATE('자료_거시'!$M135,-12))=3),IFERROR(SUMIFS('자료_거시'!$N$3:$N$602,'자료_거시'!$M$3:$M$602,"&gt;"&amp;EDATE('자료_거시'!$M135,-'설정'!$B$17),'자료_거시'!$M$3:$M$602,"&lt;="&amp;'자료_거시'!$M135)/SUMIFS('자료_거시'!$N$3:$N$602,'자료_거시'!$M$3:$M$602,"&gt;"&amp;EDATE('자료_거시'!$M135,-12-'설정'!$B$17),'자료_거시'!$M$3:$M$602,"&lt;="&amp;EDATE('자료_거시'!$M135,-12))-1,""),""),"")</f>
        <v/>
      </c>
      <c r="AF153">
        <f>IF(ISNUMBER(AE153),'자료_거시'!$M135,"")</f>
        <v/>
      </c>
      <c r="AG153">
        <f>IF(ISNUMBER(AF153),IF(AF153&gt;$L$9,AE153,""),"")</f>
        <v/>
      </c>
    </row>
    <row r="154">
      <c r="P154">
        <f>IF(AND(ISNUMBER('자료_거시'!$A136),ISNUMBER('자료_거시'!$B136)),'자료_거시'!$B136,"")</f>
        <v/>
      </c>
      <c r="Q154">
        <f>IF(ISNUMBER(P154),'자료_거시'!$A136,"")</f>
        <v/>
      </c>
      <c r="R154">
        <f>IF(ISNUMBER(Q154),IF(Q154&gt;$L$5,P154,""),"")</f>
        <v/>
      </c>
      <c r="S154">
        <f>IF(ISNUMBER('자료_거시'!$E136),'자료_거시'!$E136,S153)</f>
        <v/>
      </c>
      <c r="T154">
        <f>IF(AND(ISNUMBER('자료_거시'!$D136),ISNUMBER('자료_거시'!$E136)),IFERROR('자료_거시'!$E136-INDEX($S$21:$S$4020,MATCH(EDATE('자료_거시'!$D136,-'설정'!$B$17),'자료_거시'!$D$3:INDEX('자료_거시'!$D$3:$D$4002,$K$6),1)),""),"")</f>
        <v/>
      </c>
      <c r="U154">
        <f>IF(ISNUMBER(T154),'자료_거시'!$D136,"")</f>
        <v/>
      </c>
      <c r="V154">
        <f>IF(ISNUMBER(U154),IF(U154&gt;$L$6,T154,""),"")</f>
        <v/>
      </c>
      <c r="W154">
        <f>IF(AND(ISNUMBER('자료_거시'!$G136),ISNUMBER('자료_거시'!$H136)),'자료_거시'!$H136,"")</f>
        <v/>
      </c>
      <c r="X154">
        <f>IF(ISNUMBER(W154),'자료_거시'!$G136,"")</f>
        <v/>
      </c>
      <c r="Y154">
        <f>IF(ISNUMBER(X154),IF(X154&gt;$L$7,W154,""),"")</f>
        <v/>
      </c>
      <c r="Z154">
        <f>IF(ISNUMBER('자료_거시'!$K136),'자료_거시'!$K136,Z153)</f>
        <v/>
      </c>
      <c r="AA154">
        <f>IF(AND(ISNUMBER('자료_거시'!$J136),ISNUMBER('자료_거시'!$K136)),IFERROR('자료_거시'!$K136/INDEX($Z$21:$Z$4020,MATCH(EDATE('자료_거시'!$J136,-'설정'!$B$17),'자료_거시'!$J$3:INDEX('자료_거시'!$J$3:$J$4002,$K$8),1))-1,""),"")</f>
        <v/>
      </c>
      <c r="AB154">
        <f>IF(ISNUMBER(AA154),'자료_거시'!$J136,"")</f>
        <v/>
      </c>
      <c r="AC154">
        <f>IF(ISNUMBER(AB154),IF(AB154&gt;$L$8,AA154,""),"")</f>
        <v/>
      </c>
      <c r="AD154">
        <f>IF(AND(ISNUMBER('자료_거시'!$M136),ISNUMBER('자료_거시'!$N136)),1,0)</f>
        <v/>
      </c>
      <c r="AE154">
        <f>IF(AND(ISNUMBER('자료_거시'!$M136),ISNUMBER('자료_거시'!$N136)),IF(AND(SUMIFS($AD$21:$AD$620,'자료_거시'!$M$3:$M$602,"&gt;"&amp;EDATE('자료_거시'!$M136,-'설정'!$B$17),'자료_거시'!$M$3:$M$602,"&lt;="&amp;'자료_거시'!$M136)=3,SUMIFS($AD$21:$AD$620,'자료_거시'!$M$3:$M$602,"&gt;"&amp;EDATE('자료_거시'!$M136,-12-'설정'!$B$17),'자료_거시'!$M$3:$M$602,"&lt;="&amp;EDATE('자료_거시'!$M136,-12))=3),IFERROR(SUMIFS('자료_거시'!$N$3:$N$602,'자료_거시'!$M$3:$M$602,"&gt;"&amp;EDATE('자료_거시'!$M136,-'설정'!$B$17),'자료_거시'!$M$3:$M$602,"&lt;="&amp;'자료_거시'!$M136)/SUMIFS('자료_거시'!$N$3:$N$602,'자료_거시'!$M$3:$M$602,"&gt;"&amp;EDATE('자료_거시'!$M136,-12-'설정'!$B$17),'자료_거시'!$M$3:$M$602,"&lt;="&amp;EDATE('자료_거시'!$M136,-12))-1,""),""),"")</f>
        <v/>
      </c>
      <c r="AF154">
        <f>IF(ISNUMBER(AE154),'자료_거시'!$M136,"")</f>
        <v/>
      </c>
      <c r="AG154">
        <f>IF(ISNUMBER(AF154),IF(AF154&gt;$L$9,AE154,""),"")</f>
        <v/>
      </c>
    </row>
    <row r="155">
      <c r="P155">
        <f>IF(AND(ISNUMBER('자료_거시'!$A137),ISNUMBER('자료_거시'!$B137)),'자료_거시'!$B137,"")</f>
        <v/>
      </c>
      <c r="Q155">
        <f>IF(ISNUMBER(P155),'자료_거시'!$A137,"")</f>
        <v/>
      </c>
      <c r="R155">
        <f>IF(ISNUMBER(Q155),IF(Q155&gt;$L$5,P155,""),"")</f>
        <v/>
      </c>
      <c r="S155">
        <f>IF(ISNUMBER('자료_거시'!$E137),'자료_거시'!$E137,S154)</f>
        <v/>
      </c>
      <c r="T155">
        <f>IF(AND(ISNUMBER('자료_거시'!$D137),ISNUMBER('자료_거시'!$E137)),IFERROR('자료_거시'!$E137-INDEX($S$21:$S$4020,MATCH(EDATE('자료_거시'!$D137,-'설정'!$B$17),'자료_거시'!$D$3:INDEX('자료_거시'!$D$3:$D$4002,$K$6),1)),""),"")</f>
        <v/>
      </c>
      <c r="U155">
        <f>IF(ISNUMBER(T155),'자료_거시'!$D137,"")</f>
        <v/>
      </c>
      <c r="V155">
        <f>IF(ISNUMBER(U155),IF(U155&gt;$L$6,T155,""),"")</f>
        <v/>
      </c>
      <c r="W155">
        <f>IF(AND(ISNUMBER('자료_거시'!$G137),ISNUMBER('자료_거시'!$H137)),'자료_거시'!$H137,"")</f>
        <v/>
      </c>
      <c r="X155">
        <f>IF(ISNUMBER(W155),'자료_거시'!$G137,"")</f>
        <v/>
      </c>
      <c r="Y155">
        <f>IF(ISNUMBER(X155),IF(X155&gt;$L$7,W155,""),"")</f>
        <v/>
      </c>
      <c r="Z155">
        <f>IF(ISNUMBER('자료_거시'!$K137),'자료_거시'!$K137,Z154)</f>
        <v/>
      </c>
      <c r="AA155">
        <f>IF(AND(ISNUMBER('자료_거시'!$J137),ISNUMBER('자료_거시'!$K137)),IFERROR('자료_거시'!$K137/INDEX($Z$21:$Z$4020,MATCH(EDATE('자료_거시'!$J137,-'설정'!$B$17),'자료_거시'!$J$3:INDEX('자료_거시'!$J$3:$J$4002,$K$8),1))-1,""),"")</f>
        <v/>
      </c>
      <c r="AB155">
        <f>IF(ISNUMBER(AA155),'자료_거시'!$J137,"")</f>
        <v/>
      </c>
      <c r="AC155">
        <f>IF(ISNUMBER(AB155),IF(AB155&gt;$L$8,AA155,""),"")</f>
        <v/>
      </c>
      <c r="AD155">
        <f>IF(AND(ISNUMBER('자료_거시'!$M137),ISNUMBER('자료_거시'!$N137)),1,0)</f>
        <v/>
      </c>
      <c r="AE155">
        <f>IF(AND(ISNUMBER('자료_거시'!$M137),ISNUMBER('자료_거시'!$N137)),IF(AND(SUMIFS($AD$21:$AD$620,'자료_거시'!$M$3:$M$602,"&gt;"&amp;EDATE('자료_거시'!$M137,-'설정'!$B$17),'자료_거시'!$M$3:$M$602,"&lt;="&amp;'자료_거시'!$M137)=3,SUMIFS($AD$21:$AD$620,'자료_거시'!$M$3:$M$602,"&gt;"&amp;EDATE('자료_거시'!$M137,-12-'설정'!$B$17),'자료_거시'!$M$3:$M$602,"&lt;="&amp;EDATE('자료_거시'!$M137,-12))=3),IFERROR(SUMIFS('자료_거시'!$N$3:$N$602,'자료_거시'!$M$3:$M$602,"&gt;"&amp;EDATE('자료_거시'!$M137,-'설정'!$B$17),'자료_거시'!$M$3:$M$602,"&lt;="&amp;'자료_거시'!$M137)/SUMIFS('자료_거시'!$N$3:$N$602,'자료_거시'!$M$3:$M$602,"&gt;"&amp;EDATE('자료_거시'!$M137,-12-'설정'!$B$17),'자료_거시'!$M$3:$M$602,"&lt;="&amp;EDATE('자료_거시'!$M137,-12))-1,""),""),"")</f>
        <v/>
      </c>
      <c r="AF155">
        <f>IF(ISNUMBER(AE155),'자료_거시'!$M137,"")</f>
        <v/>
      </c>
      <c r="AG155">
        <f>IF(ISNUMBER(AF155),IF(AF155&gt;$L$9,AE155,""),"")</f>
        <v/>
      </c>
    </row>
    <row r="156">
      <c r="P156">
        <f>IF(AND(ISNUMBER('자료_거시'!$A138),ISNUMBER('자료_거시'!$B138)),'자료_거시'!$B138,"")</f>
        <v/>
      </c>
      <c r="Q156">
        <f>IF(ISNUMBER(P156),'자료_거시'!$A138,"")</f>
        <v/>
      </c>
      <c r="R156">
        <f>IF(ISNUMBER(Q156),IF(Q156&gt;$L$5,P156,""),"")</f>
        <v/>
      </c>
      <c r="S156">
        <f>IF(ISNUMBER('자료_거시'!$E138),'자료_거시'!$E138,S155)</f>
        <v/>
      </c>
      <c r="T156">
        <f>IF(AND(ISNUMBER('자료_거시'!$D138),ISNUMBER('자료_거시'!$E138)),IFERROR('자료_거시'!$E138-INDEX($S$21:$S$4020,MATCH(EDATE('자료_거시'!$D138,-'설정'!$B$17),'자료_거시'!$D$3:INDEX('자료_거시'!$D$3:$D$4002,$K$6),1)),""),"")</f>
        <v/>
      </c>
      <c r="U156">
        <f>IF(ISNUMBER(T156),'자료_거시'!$D138,"")</f>
        <v/>
      </c>
      <c r="V156">
        <f>IF(ISNUMBER(U156),IF(U156&gt;$L$6,T156,""),"")</f>
        <v/>
      </c>
      <c r="W156">
        <f>IF(AND(ISNUMBER('자료_거시'!$G138),ISNUMBER('자료_거시'!$H138)),'자료_거시'!$H138,"")</f>
        <v/>
      </c>
      <c r="X156">
        <f>IF(ISNUMBER(W156),'자료_거시'!$G138,"")</f>
        <v/>
      </c>
      <c r="Y156">
        <f>IF(ISNUMBER(X156),IF(X156&gt;$L$7,W156,""),"")</f>
        <v/>
      </c>
      <c r="Z156">
        <f>IF(ISNUMBER('자료_거시'!$K138),'자료_거시'!$K138,Z155)</f>
        <v/>
      </c>
      <c r="AA156">
        <f>IF(AND(ISNUMBER('자료_거시'!$J138),ISNUMBER('자료_거시'!$K138)),IFERROR('자료_거시'!$K138/INDEX($Z$21:$Z$4020,MATCH(EDATE('자료_거시'!$J138,-'설정'!$B$17),'자료_거시'!$J$3:INDEX('자료_거시'!$J$3:$J$4002,$K$8),1))-1,""),"")</f>
        <v/>
      </c>
      <c r="AB156">
        <f>IF(ISNUMBER(AA156),'자료_거시'!$J138,"")</f>
        <v/>
      </c>
      <c r="AC156">
        <f>IF(ISNUMBER(AB156),IF(AB156&gt;$L$8,AA156,""),"")</f>
        <v/>
      </c>
      <c r="AD156">
        <f>IF(AND(ISNUMBER('자료_거시'!$M138),ISNUMBER('자료_거시'!$N138)),1,0)</f>
        <v/>
      </c>
      <c r="AE156">
        <f>IF(AND(ISNUMBER('자료_거시'!$M138),ISNUMBER('자료_거시'!$N138)),IF(AND(SUMIFS($AD$21:$AD$620,'자료_거시'!$M$3:$M$602,"&gt;"&amp;EDATE('자료_거시'!$M138,-'설정'!$B$17),'자료_거시'!$M$3:$M$602,"&lt;="&amp;'자료_거시'!$M138)=3,SUMIFS($AD$21:$AD$620,'자료_거시'!$M$3:$M$602,"&gt;"&amp;EDATE('자료_거시'!$M138,-12-'설정'!$B$17),'자료_거시'!$M$3:$M$602,"&lt;="&amp;EDATE('자료_거시'!$M138,-12))=3),IFERROR(SUMIFS('자료_거시'!$N$3:$N$602,'자료_거시'!$M$3:$M$602,"&gt;"&amp;EDATE('자료_거시'!$M138,-'설정'!$B$17),'자료_거시'!$M$3:$M$602,"&lt;="&amp;'자료_거시'!$M138)/SUMIFS('자료_거시'!$N$3:$N$602,'자료_거시'!$M$3:$M$602,"&gt;"&amp;EDATE('자료_거시'!$M138,-12-'설정'!$B$17),'자료_거시'!$M$3:$M$602,"&lt;="&amp;EDATE('자료_거시'!$M138,-12))-1,""),""),"")</f>
        <v/>
      </c>
      <c r="AF156">
        <f>IF(ISNUMBER(AE156),'자료_거시'!$M138,"")</f>
        <v/>
      </c>
      <c r="AG156">
        <f>IF(ISNUMBER(AF156),IF(AF156&gt;$L$9,AE156,""),"")</f>
        <v/>
      </c>
    </row>
    <row r="157">
      <c r="P157">
        <f>IF(AND(ISNUMBER('자료_거시'!$A139),ISNUMBER('자료_거시'!$B139)),'자료_거시'!$B139,"")</f>
        <v/>
      </c>
      <c r="Q157">
        <f>IF(ISNUMBER(P157),'자료_거시'!$A139,"")</f>
        <v/>
      </c>
      <c r="R157">
        <f>IF(ISNUMBER(Q157),IF(Q157&gt;$L$5,P157,""),"")</f>
        <v/>
      </c>
      <c r="S157">
        <f>IF(ISNUMBER('자료_거시'!$E139),'자료_거시'!$E139,S156)</f>
        <v/>
      </c>
      <c r="T157">
        <f>IF(AND(ISNUMBER('자료_거시'!$D139),ISNUMBER('자료_거시'!$E139)),IFERROR('자료_거시'!$E139-INDEX($S$21:$S$4020,MATCH(EDATE('자료_거시'!$D139,-'설정'!$B$17),'자료_거시'!$D$3:INDEX('자료_거시'!$D$3:$D$4002,$K$6),1)),""),"")</f>
        <v/>
      </c>
      <c r="U157">
        <f>IF(ISNUMBER(T157),'자료_거시'!$D139,"")</f>
        <v/>
      </c>
      <c r="V157">
        <f>IF(ISNUMBER(U157),IF(U157&gt;$L$6,T157,""),"")</f>
        <v/>
      </c>
      <c r="W157">
        <f>IF(AND(ISNUMBER('자료_거시'!$G139),ISNUMBER('자료_거시'!$H139)),'자료_거시'!$H139,"")</f>
        <v/>
      </c>
      <c r="X157">
        <f>IF(ISNUMBER(W157),'자료_거시'!$G139,"")</f>
        <v/>
      </c>
      <c r="Y157">
        <f>IF(ISNUMBER(X157),IF(X157&gt;$L$7,W157,""),"")</f>
        <v/>
      </c>
      <c r="Z157">
        <f>IF(ISNUMBER('자료_거시'!$K139),'자료_거시'!$K139,Z156)</f>
        <v/>
      </c>
      <c r="AA157">
        <f>IF(AND(ISNUMBER('자료_거시'!$J139),ISNUMBER('자료_거시'!$K139)),IFERROR('자료_거시'!$K139/INDEX($Z$21:$Z$4020,MATCH(EDATE('자료_거시'!$J139,-'설정'!$B$17),'자료_거시'!$J$3:INDEX('자료_거시'!$J$3:$J$4002,$K$8),1))-1,""),"")</f>
        <v/>
      </c>
      <c r="AB157">
        <f>IF(ISNUMBER(AA157),'자료_거시'!$J139,"")</f>
        <v/>
      </c>
      <c r="AC157">
        <f>IF(ISNUMBER(AB157),IF(AB157&gt;$L$8,AA157,""),"")</f>
        <v/>
      </c>
      <c r="AD157">
        <f>IF(AND(ISNUMBER('자료_거시'!$M139),ISNUMBER('자료_거시'!$N139)),1,0)</f>
        <v/>
      </c>
      <c r="AE157">
        <f>IF(AND(ISNUMBER('자료_거시'!$M139),ISNUMBER('자료_거시'!$N139)),IF(AND(SUMIFS($AD$21:$AD$620,'자료_거시'!$M$3:$M$602,"&gt;"&amp;EDATE('자료_거시'!$M139,-'설정'!$B$17),'자료_거시'!$M$3:$M$602,"&lt;="&amp;'자료_거시'!$M139)=3,SUMIFS($AD$21:$AD$620,'자료_거시'!$M$3:$M$602,"&gt;"&amp;EDATE('자료_거시'!$M139,-12-'설정'!$B$17),'자료_거시'!$M$3:$M$602,"&lt;="&amp;EDATE('자료_거시'!$M139,-12))=3),IFERROR(SUMIFS('자료_거시'!$N$3:$N$602,'자료_거시'!$M$3:$M$602,"&gt;"&amp;EDATE('자료_거시'!$M139,-'설정'!$B$17),'자료_거시'!$M$3:$M$602,"&lt;="&amp;'자료_거시'!$M139)/SUMIFS('자료_거시'!$N$3:$N$602,'자료_거시'!$M$3:$M$602,"&gt;"&amp;EDATE('자료_거시'!$M139,-12-'설정'!$B$17),'자료_거시'!$M$3:$M$602,"&lt;="&amp;EDATE('자료_거시'!$M139,-12))-1,""),""),"")</f>
        <v/>
      </c>
      <c r="AF157">
        <f>IF(ISNUMBER(AE157),'자료_거시'!$M139,"")</f>
        <v/>
      </c>
      <c r="AG157">
        <f>IF(ISNUMBER(AF157),IF(AF157&gt;$L$9,AE157,""),"")</f>
        <v/>
      </c>
    </row>
    <row r="158">
      <c r="P158">
        <f>IF(AND(ISNUMBER('자료_거시'!$A140),ISNUMBER('자료_거시'!$B140)),'자료_거시'!$B140,"")</f>
        <v/>
      </c>
      <c r="Q158">
        <f>IF(ISNUMBER(P158),'자료_거시'!$A140,"")</f>
        <v/>
      </c>
      <c r="R158">
        <f>IF(ISNUMBER(Q158),IF(Q158&gt;$L$5,P158,""),"")</f>
        <v/>
      </c>
      <c r="S158">
        <f>IF(ISNUMBER('자료_거시'!$E140),'자료_거시'!$E140,S157)</f>
        <v/>
      </c>
      <c r="T158">
        <f>IF(AND(ISNUMBER('자료_거시'!$D140),ISNUMBER('자료_거시'!$E140)),IFERROR('자료_거시'!$E140-INDEX($S$21:$S$4020,MATCH(EDATE('자료_거시'!$D140,-'설정'!$B$17),'자료_거시'!$D$3:INDEX('자료_거시'!$D$3:$D$4002,$K$6),1)),""),"")</f>
        <v/>
      </c>
      <c r="U158">
        <f>IF(ISNUMBER(T158),'자료_거시'!$D140,"")</f>
        <v/>
      </c>
      <c r="V158">
        <f>IF(ISNUMBER(U158),IF(U158&gt;$L$6,T158,""),"")</f>
        <v/>
      </c>
      <c r="W158">
        <f>IF(AND(ISNUMBER('자료_거시'!$G140),ISNUMBER('자료_거시'!$H140)),'자료_거시'!$H140,"")</f>
        <v/>
      </c>
      <c r="X158">
        <f>IF(ISNUMBER(W158),'자료_거시'!$G140,"")</f>
        <v/>
      </c>
      <c r="Y158">
        <f>IF(ISNUMBER(X158),IF(X158&gt;$L$7,W158,""),"")</f>
        <v/>
      </c>
      <c r="Z158">
        <f>IF(ISNUMBER('자료_거시'!$K140),'자료_거시'!$K140,Z157)</f>
        <v/>
      </c>
      <c r="AA158">
        <f>IF(AND(ISNUMBER('자료_거시'!$J140),ISNUMBER('자료_거시'!$K140)),IFERROR('자료_거시'!$K140/INDEX($Z$21:$Z$4020,MATCH(EDATE('자료_거시'!$J140,-'설정'!$B$17),'자료_거시'!$J$3:INDEX('자료_거시'!$J$3:$J$4002,$K$8),1))-1,""),"")</f>
        <v/>
      </c>
      <c r="AB158">
        <f>IF(ISNUMBER(AA158),'자료_거시'!$J140,"")</f>
        <v/>
      </c>
      <c r="AC158">
        <f>IF(ISNUMBER(AB158),IF(AB158&gt;$L$8,AA158,""),"")</f>
        <v/>
      </c>
      <c r="AD158">
        <f>IF(AND(ISNUMBER('자료_거시'!$M140),ISNUMBER('자료_거시'!$N140)),1,0)</f>
        <v/>
      </c>
      <c r="AE158">
        <f>IF(AND(ISNUMBER('자료_거시'!$M140),ISNUMBER('자료_거시'!$N140)),IF(AND(SUMIFS($AD$21:$AD$620,'자료_거시'!$M$3:$M$602,"&gt;"&amp;EDATE('자료_거시'!$M140,-'설정'!$B$17),'자료_거시'!$M$3:$M$602,"&lt;="&amp;'자료_거시'!$M140)=3,SUMIFS($AD$21:$AD$620,'자료_거시'!$M$3:$M$602,"&gt;"&amp;EDATE('자료_거시'!$M140,-12-'설정'!$B$17),'자료_거시'!$M$3:$M$602,"&lt;="&amp;EDATE('자료_거시'!$M140,-12))=3),IFERROR(SUMIFS('자료_거시'!$N$3:$N$602,'자료_거시'!$M$3:$M$602,"&gt;"&amp;EDATE('자료_거시'!$M140,-'설정'!$B$17),'자료_거시'!$M$3:$M$602,"&lt;="&amp;'자료_거시'!$M140)/SUMIFS('자료_거시'!$N$3:$N$602,'자료_거시'!$M$3:$M$602,"&gt;"&amp;EDATE('자료_거시'!$M140,-12-'설정'!$B$17),'자료_거시'!$M$3:$M$602,"&lt;="&amp;EDATE('자료_거시'!$M140,-12))-1,""),""),"")</f>
        <v/>
      </c>
      <c r="AF158">
        <f>IF(ISNUMBER(AE158),'자료_거시'!$M140,"")</f>
        <v/>
      </c>
      <c r="AG158">
        <f>IF(ISNUMBER(AF158),IF(AF158&gt;$L$9,AE158,""),"")</f>
        <v/>
      </c>
    </row>
    <row r="159">
      <c r="P159">
        <f>IF(AND(ISNUMBER('자료_거시'!$A141),ISNUMBER('자료_거시'!$B141)),'자료_거시'!$B141,"")</f>
        <v/>
      </c>
      <c r="Q159">
        <f>IF(ISNUMBER(P159),'자료_거시'!$A141,"")</f>
        <v/>
      </c>
      <c r="R159">
        <f>IF(ISNUMBER(Q159),IF(Q159&gt;$L$5,P159,""),"")</f>
        <v/>
      </c>
      <c r="S159">
        <f>IF(ISNUMBER('자료_거시'!$E141),'자료_거시'!$E141,S158)</f>
        <v/>
      </c>
      <c r="T159">
        <f>IF(AND(ISNUMBER('자료_거시'!$D141),ISNUMBER('자료_거시'!$E141)),IFERROR('자료_거시'!$E141-INDEX($S$21:$S$4020,MATCH(EDATE('자료_거시'!$D141,-'설정'!$B$17),'자료_거시'!$D$3:INDEX('자료_거시'!$D$3:$D$4002,$K$6),1)),""),"")</f>
        <v/>
      </c>
      <c r="U159">
        <f>IF(ISNUMBER(T159),'자료_거시'!$D141,"")</f>
        <v/>
      </c>
      <c r="V159">
        <f>IF(ISNUMBER(U159),IF(U159&gt;$L$6,T159,""),"")</f>
        <v/>
      </c>
      <c r="W159">
        <f>IF(AND(ISNUMBER('자료_거시'!$G141),ISNUMBER('자료_거시'!$H141)),'자료_거시'!$H141,"")</f>
        <v/>
      </c>
      <c r="X159">
        <f>IF(ISNUMBER(W159),'자료_거시'!$G141,"")</f>
        <v/>
      </c>
      <c r="Y159">
        <f>IF(ISNUMBER(X159),IF(X159&gt;$L$7,W159,""),"")</f>
        <v/>
      </c>
      <c r="Z159">
        <f>IF(ISNUMBER('자료_거시'!$K141),'자료_거시'!$K141,Z158)</f>
        <v/>
      </c>
      <c r="AA159">
        <f>IF(AND(ISNUMBER('자료_거시'!$J141),ISNUMBER('자료_거시'!$K141)),IFERROR('자료_거시'!$K141/INDEX($Z$21:$Z$4020,MATCH(EDATE('자료_거시'!$J141,-'설정'!$B$17),'자료_거시'!$J$3:INDEX('자료_거시'!$J$3:$J$4002,$K$8),1))-1,""),"")</f>
        <v/>
      </c>
      <c r="AB159">
        <f>IF(ISNUMBER(AA159),'자료_거시'!$J141,"")</f>
        <v/>
      </c>
      <c r="AC159">
        <f>IF(ISNUMBER(AB159),IF(AB159&gt;$L$8,AA159,""),"")</f>
        <v/>
      </c>
      <c r="AD159">
        <f>IF(AND(ISNUMBER('자료_거시'!$M141),ISNUMBER('자료_거시'!$N141)),1,0)</f>
        <v/>
      </c>
      <c r="AE159">
        <f>IF(AND(ISNUMBER('자료_거시'!$M141),ISNUMBER('자료_거시'!$N141)),IF(AND(SUMIFS($AD$21:$AD$620,'자료_거시'!$M$3:$M$602,"&gt;"&amp;EDATE('자료_거시'!$M141,-'설정'!$B$17),'자료_거시'!$M$3:$M$602,"&lt;="&amp;'자료_거시'!$M141)=3,SUMIFS($AD$21:$AD$620,'자료_거시'!$M$3:$M$602,"&gt;"&amp;EDATE('자료_거시'!$M141,-12-'설정'!$B$17),'자료_거시'!$M$3:$M$602,"&lt;="&amp;EDATE('자료_거시'!$M141,-12))=3),IFERROR(SUMIFS('자료_거시'!$N$3:$N$602,'자료_거시'!$M$3:$M$602,"&gt;"&amp;EDATE('자료_거시'!$M141,-'설정'!$B$17),'자료_거시'!$M$3:$M$602,"&lt;="&amp;'자료_거시'!$M141)/SUMIFS('자료_거시'!$N$3:$N$602,'자료_거시'!$M$3:$M$602,"&gt;"&amp;EDATE('자료_거시'!$M141,-12-'설정'!$B$17),'자료_거시'!$M$3:$M$602,"&lt;="&amp;EDATE('자료_거시'!$M141,-12))-1,""),""),"")</f>
        <v/>
      </c>
      <c r="AF159">
        <f>IF(ISNUMBER(AE159),'자료_거시'!$M141,"")</f>
        <v/>
      </c>
      <c r="AG159">
        <f>IF(ISNUMBER(AF159),IF(AF159&gt;$L$9,AE159,""),"")</f>
        <v/>
      </c>
    </row>
    <row r="160">
      <c r="P160">
        <f>IF(AND(ISNUMBER('자료_거시'!$A142),ISNUMBER('자료_거시'!$B142)),'자료_거시'!$B142,"")</f>
        <v/>
      </c>
      <c r="Q160">
        <f>IF(ISNUMBER(P160),'자료_거시'!$A142,"")</f>
        <v/>
      </c>
      <c r="R160">
        <f>IF(ISNUMBER(Q160),IF(Q160&gt;$L$5,P160,""),"")</f>
        <v/>
      </c>
      <c r="S160">
        <f>IF(ISNUMBER('자료_거시'!$E142),'자료_거시'!$E142,S159)</f>
        <v/>
      </c>
      <c r="T160">
        <f>IF(AND(ISNUMBER('자료_거시'!$D142),ISNUMBER('자료_거시'!$E142)),IFERROR('자료_거시'!$E142-INDEX($S$21:$S$4020,MATCH(EDATE('자료_거시'!$D142,-'설정'!$B$17),'자료_거시'!$D$3:INDEX('자료_거시'!$D$3:$D$4002,$K$6),1)),""),"")</f>
        <v/>
      </c>
      <c r="U160">
        <f>IF(ISNUMBER(T160),'자료_거시'!$D142,"")</f>
        <v/>
      </c>
      <c r="V160">
        <f>IF(ISNUMBER(U160),IF(U160&gt;$L$6,T160,""),"")</f>
        <v/>
      </c>
      <c r="W160">
        <f>IF(AND(ISNUMBER('자료_거시'!$G142),ISNUMBER('자료_거시'!$H142)),'자료_거시'!$H142,"")</f>
        <v/>
      </c>
      <c r="X160">
        <f>IF(ISNUMBER(W160),'자료_거시'!$G142,"")</f>
        <v/>
      </c>
      <c r="Y160">
        <f>IF(ISNUMBER(X160),IF(X160&gt;$L$7,W160,""),"")</f>
        <v/>
      </c>
      <c r="Z160">
        <f>IF(ISNUMBER('자료_거시'!$K142),'자료_거시'!$K142,Z159)</f>
        <v/>
      </c>
      <c r="AA160">
        <f>IF(AND(ISNUMBER('자료_거시'!$J142),ISNUMBER('자료_거시'!$K142)),IFERROR('자료_거시'!$K142/INDEX($Z$21:$Z$4020,MATCH(EDATE('자료_거시'!$J142,-'설정'!$B$17),'자료_거시'!$J$3:INDEX('자료_거시'!$J$3:$J$4002,$K$8),1))-1,""),"")</f>
        <v/>
      </c>
      <c r="AB160">
        <f>IF(ISNUMBER(AA160),'자료_거시'!$J142,"")</f>
        <v/>
      </c>
      <c r="AC160">
        <f>IF(ISNUMBER(AB160),IF(AB160&gt;$L$8,AA160,""),"")</f>
        <v/>
      </c>
      <c r="AD160">
        <f>IF(AND(ISNUMBER('자료_거시'!$M142),ISNUMBER('자료_거시'!$N142)),1,0)</f>
        <v/>
      </c>
      <c r="AE160">
        <f>IF(AND(ISNUMBER('자료_거시'!$M142),ISNUMBER('자료_거시'!$N142)),IF(AND(SUMIFS($AD$21:$AD$620,'자료_거시'!$M$3:$M$602,"&gt;"&amp;EDATE('자료_거시'!$M142,-'설정'!$B$17),'자료_거시'!$M$3:$M$602,"&lt;="&amp;'자료_거시'!$M142)=3,SUMIFS($AD$21:$AD$620,'자료_거시'!$M$3:$M$602,"&gt;"&amp;EDATE('자료_거시'!$M142,-12-'설정'!$B$17),'자료_거시'!$M$3:$M$602,"&lt;="&amp;EDATE('자료_거시'!$M142,-12))=3),IFERROR(SUMIFS('자료_거시'!$N$3:$N$602,'자료_거시'!$M$3:$M$602,"&gt;"&amp;EDATE('자료_거시'!$M142,-'설정'!$B$17),'자료_거시'!$M$3:$M$602,"&lt;="&amp;'자료_거시'!$M142)/SUMIFS('자료_거시'!$N$3:$N$602,'자료_거시'!$M$3:$M$602,"&gt;"&amp;EDATE('자료_거시'!$M142,-12-'설정'!$B$17),'자료_거시'!$M$3:$M$602,"&lt;="&amp;EDATE('자료_거시'!$M142,-12))-1,""),""),"")</f>
        <v/>
      </c>
      <c r="AF160">
        <f>IF(ISNUMBER(AE160),'자료_거시'!$M142,"")</f>
        <v/>
      </c>
      <c r="AG160">
        <f>IF(ISNUMBER(AF160),IF(AF160&gt;$L$9,AE160,""),"")</f>
        <v/>
      </c>
    </row>
    <row r="161">
      <c r="P161">
        <f>IF(AND(ISNUMBER('자료_거시'!$A143),ISNUMBER('자료_거시'!$B143)),'자료_거시'!$B143,"")</f>
        <v/>
      </c>
      <c r="Q161">
        <f>IF(ISNUMBER(P161),'자료_거시'!$A143,"")</f>
        <v/>
      </c>
      <c r="R161">
        <f>IF(ISNUMBER(Q161),IF(Q161&gt;$L$5,P161,""),"")</f>
        <v/>
      </c>
      <c r="S161">
        <f>IF(ISNUMBER('자료_거시'!$E143),'자료_거시'!$E143,S160)</f>
        <v/>
      </c>
      <c r="T161">
        <f>IF(AND(ISNUMBER('자료_거시'!$D143),ISNUMBER('자료_거시'!$E143)),IFERROR('자료_거시'!$E143-INDEX($S$21:$S$4020,MATCH(EDATE('자료_거시'!$D143,-'설정'!$B$17),'자료_거시'!$D$3:INDEX('자료_거시'!$D$3:$D$4002,$K$6),1)),""),"")</f>
        <v/>
      </c>
      <c r="U161">
        <f>IF(ISNUMBER(T161),'자료_거시'!$D143,"")</f>
        <v/>
      </c>
      <c r="V161">
        <f>IF(ISNUMBER(U161),IF(U161&gt;$L$6,T161,""),"")</f>
        <v/>
      </c>
      <c r="W161">
        <f>IF(AND(ISNUMBER('자료_거시'!$G143),ISNUMBER('자료_거시'!$H143)),'자료_거시'!$H143,"")</f>
        <v/>
      </c>
      <c r="X161">
        <f>IF(ISNUMBER(W161),'자료_거시'!$G143,"")</f>
        <v/>
      </c>
      <c r="Y161">
        <f>IF(ISNUMBER(X161),IF(X161&gt;$L$7,W161,""),"")</f>
        <v/>
      </c>
      <c r="Z161">
        <f>IF(ISNUMBER('자료_거시'!$K143),'자료_거시'!$K143,Z160)</f>
        <v/>
      </c>
      <c r="AA161">
        <f>IF(AND(ISNUMBER('자료_거시'!$J143),ISNUMBER('자료_거시'!$K143)),IFERROR('자료_거시'!$K143/INDEX($Z$21:$Z$4020,MATCH(EDATE('자료_거시'!$J143,-'설정'!$B$17),'자료_거시'!$J$3:INDEX('자료_거시'!$J$3:$J$4002,$K$8),1))-1,""),"")</f>
        <v/>
      </c>
      <c r="AB161">
        <f>IF(ISNUMBER(AA161),'자료_거시'!$J143,"")</f>
        <v/>
      </c>
      <c r="AC161">
        <f>IF(ISNUMBER(AB161),IF(AB161&gt;$L$8,AA161,""),"")</f>
        <v/>
      </c>
      <c r="AD161">
        <f>IF(AND(ISNUMBER('자료_거시'!$M143),ISNUMBER('자료_거시'!$N143)),1,0)</f>
        <v/>
      </c>
      <c r="AE161">
        <f>IF(AND(ISNUMBER('자료_거시'!$M143),ISNUMBER('자료_거시'!$N143)),IF(AND(SUMIFS($AD$21:$AD$620,'자료_거시'!$M$3:$M$602,"&gt;"&amp;EDATE('자료_거시'!$M143,-'설정'!$B$17),'자료_거시'!$M$3:$M$602,"&lt;="&amp;'자료_거시'!$M143)=3,SUMIFS($AD$21:$AD$620,'자료_거시'!$M$3:$M$602,"&gt;"&amp;EDATE('자료_거시'!$M143,-12-'설정'!$B$17),'자료_거시'!$M$3:$M$602,"&lt;="&amp;EDATE('자료_거시'!$M143,-12))=3),IFERROR(SUMIFS('자료_거시'!$N$3:$N$602,'자료_거시'!$M$3:$M$602,"&gt;"&amp;EDATE('자료_거시'!$M143,-'설정'!$B$17),'자료_거시'!$M$3:$M$602,"&lt;="&amp;'자료_거시'!$M143)/SUMIFS('자료_거시'!$N$3:$N$602,'자료_거시'!$M$3:$M$602,"&gt;"&amp;EDATE('자료_거시'!$M143,-12-'설정'!$B$17),'자료_거시'!$M$3:$M$602,"&lt;="&amp;EDATE('자료_거시'!$M143,-12))-1,""),""),"")</f>
        <v/>
      </c>
      <c r="AF161">
        <f>IF(ISNUMBER(AE161),'자료_거시'!$M143,"")</f>
        <v/>
      </c>
      <c r="AG161">
        <f>IF(ISNUMBER(AF161),IF(AF161&gt;$L$9,AE161,""),"")</f>
        <v/>
      </c>
    </row>
    <row r="162">
      <c r="P162">
        <f>IF(AND(ISNUMBER('자료_거시'!$A144),ISNUMBER('자료_거시'!$B144)),'자료_거시'!$B144,"")</f>
        <v/>
      </c>
      <c r="Q162">
        <f>IF(ISNUMBER(P162),'자료_거시'!$A144,"")</f>
        <v/>
      </c>
      <c r="R162">
        <f>IF(ISNUMBER(Q162),IF(Q162&gt;$L$5,P162,""),"")</f>
        <v/>
      </c>
      <c r="S162">
        <f>IF(ISNUMBER('자료_거시'!$E144),'자료_거시'!$E144,S161)</f>
        <v/>
      </c>
      <c r="T162">
        <f>IF(AND(ISNUMBER('자료_거시'!$D144),ISNUMBER('자료_거시'!$E144)),IFERROR('자료_거시'!$E144-INDEX($S$21:$S$4020,MATCH(EDATE('자료_거시'!$D144,-'설정'!$B$17),'자료_거시'!$D$3:INDEX('자료_거시'!$D$3:$D$4002,$K$6),1)),""),"")</f>
        <v/>
      </c>
      <c r="U162">
        <f>IF(ISNUMBER(T162),'자료_거시'!$D144,"")</f>
        <v/>
      </c>
      <c r="V162">
        <f>IF(ISNUMBER(U162),IF(U162&gt;$L$6,T162,""),"")</f>
        <v/>
      </c>
      <c r="W162">
        <f>IF(AND(ISNUMBER('자료_거시'!$G144),ISNUMBER('자료_거시'!$H144)),'자료_거시'!$H144,"")</f>
        <v/>
      </c>
      <c r="X162">
        <f>IF(ISNUMBER(W162),'자료_거시'!$G144,"")</f>
        <v/>
      </c>
      <c r="Y162">
        <f>IF(ISNUMBER(X162),IF(X162&gt;$L$7,W162,""),"")</f>
        <v/>
      </c>
      <c r="Z162">
        <f>IF(ISNUMBER('자료_거시'!$K144),'자료_거시'!$K144,Z161)</f>
        <v/>
      </c>
      <c r="AA162">
        <f>IF(AND(ISNUMBER('자료_거시'!$J144),ISNUMBER('자료_거시'!$K144)),IFERROR('자료_거시'!$K144/INDEX($Z$21:$Z$4020,MATCH(EDATE('자료_거시'!$J144,-'설정'!$B$17),'자료_거시'!$J$3:INDEX('자료_거시'!$J$3:$J$4002,$K$8),1))-1,""),"")</f>
        <v/>
      </c>
      <c r="AB162">
        <f>IF(ISNUMBER(AA162),'자료_거시'!$J144,"")</f>
        <v/>
      </c>
      <c r="AC162">
        <f>IF(ISNUMBER(AB162),IF(AB162&gt;$L$8,AA162,""),"")</f>
        <v/>
      </c>
      <c r="AD162">
        <f>IF(AND(ISNUMBER('자료_거시'!$M144),ISNUMBER('자료_거시'!$N144)),1,0)</f>
        <v/>
      </c>
      <c r="AE162">
        <f>IF(AND(ISNUMBER('자료_거시'!$M144),ISNUMBER('자료_거시'!$N144)),IF(AND(SUMIFS($AD$21:$AD$620,'자료_거시'!$M$3:$M$602,"&gt;"&amp;EDATE('자료_거시'!$M144,-'설정'!$B$17),'자료_거시'!$M$3:$M$602,"&lt;="&amp;'자료_거시'!$M144)=3,SUMIFS($AD$21:$AD$620,'자료_거시'!$M$3:$M$602,"&gt;"&amp;EDATE('자료_거시'!$M144,-12-'설정'!$B$17),'자료_거시'!$M$3:$M$602,"&lt;="&amp;EDATE('자료_거시'!$M144,-12))=3),IFERROR(SUMIFS('자료_거시'!$N$3:$N$602,'자료_거시'!$M$3:$M$602,"&gt;"&amp;EDATE('자료_거시'!$M144,-'설정'!$B$17),'자료_거시'!$M$3:$M$602,"&lt;="&amp;'자료_거시'!$M144)/SUMIFS('자료_거시'!$N$3:$N$602,'자료_거시'!$M$3:$M$602,"&gt;"&amp;EDATE('자료_거시'!$M144,-12-'설정'!$B$17),'자료_거시'!$M$3:$M$602,"&lt;="&amp;EDATE('자료_거시'!$M144,-12))-1,""),""),"")</f>
        <v/>
      </c>
      <c r="AF162">
        <f>IF(ISNUMBER(AE162),'자료_거시'!$M144,"")</f>
        <v/>
      </c>
      <c r="AG162">
        <f>IF(ISNUMBER(AF162),IF(AF162&gt;$L$9,AE162,""),"")</f>
        <v/>
      </c>
    </row>
    <row r="163">
      <c r="P163">
        <f>IF(AND(ISNUMBER('자료_거시'!$A145),ISNUMBER('자료_거시'!$B145)),'자료_거시'!$B145,"")</f>
        <v/>
      </c>
      <c r="Q163">
        <f>IF(ISNUMBER(P163),'자료_거시'!$A145,"")</f>
        <v/>
      </c>
      <c r="R163">
        <f>IF(ISNUMBER(Q163),IF(Q163&gt;$L$5,P163,""),"")</f>
        <v/>
      </c>
      <c r="S163">
        <f>IF(ISNUMBER('자료_거시'!$E145),'자료_거시'!$E145,S162)</f>
        <v/>
      </c>
      <c r="T163">
        <f>IF(AND(ISNUMBER('자료_거시'!$D145),ISNUMBER('자료_거시'!$E145)),IFERROR('자료_거시'!$E145-INDEX($S$21:$S$4020,MATCH(EDATE('자료_거시'!$D145,-'설정'!$B$17),'자료_거시'!$D$3:INDEX('자료_거시'!$D$3:$D$4002,$K$6),1)),""),"")</f>
        <v/>
      </c>
      <c r="U163">
        <f>IF(ISNUMBER(T163),'자료_거시'!$D145,"")</f>
        <v/>
      </c>
      <c r="V163">
        <f>IF(ISNUMBER(U163),IF(U163&gt;$L$6,T163,""),"")</f>
        <v/>
      </c>
      <c r="W163">
        <f>IF(AND(ISNUMBER('자료_거시'!$G145),ISNUMBER('자료_거시'!$H145)),'자료_거시'!$H145,"")</f>
        <v/>
      </c>
      <c r="X163">
        <f>IF(ISNUMBER(W163),'자료_거시'!$G145,"")</f>
        <v/>
      </c>
      <c r="Y163">
        <f>IF(ISNUMBER(X163),IF(X163&gt;$L$7,W163,""),"")</f>
        <v/>
      </c>
      <c r="Z163">
        <f>IF(ISNUMBER('자료_거시'!$K145),'자료_거시'!$K145,Z162)</f>
        <v/>
      </c>
      <c r="AA163">
        <f>IF(AND(ISNUMBER('자료_거시'!$J145),ISNUMBER('자료_거시'!$K145)),IFERROR('자료_거시'!$K145/INDEX($Z$21:$Z$4020,MATCH(EDATE('자료_거시'!$J145,-'설정'!$B$17),'자료_거시'!$J$3:INDEX('자료_거시'!$J$3:$J$4002,$K$8),1))-1,""),"")</f>
        <v/>
      </c>
      <c r="AB163">
        <f>IF(ISNUMBER(AA163),'자료_거시'!$J145,"")</f>
        <v/>
      </c>
      <c r="AC163">
        <f>IF(ISNUMBER(AB163),IF(AB163&gt;$L$8,AA163,""),"")</f>
        <v/>
      </c>
      <c r="AD163">
        <f>IF(AND(ISNUMBER('자료_거시'!$M145),ISNUMBER('자료_거시'!$N145)),1,0)</f>
        <v/>
      </c>
      <c r="AE163">
        <f>IF(AND(ISNUMBER('자료_거시'!$M145),ISNUMBER('자료_거시'!$N145)),IF(AND(SUMIFS($AD$21:$AD$620,'자료_거시'!$M$3:$M$602,"&gt;"&amp;EDATE('자료_거시'!$M145,-'설정'!$B$17),'자료_거시'!$M$3:$M$602,"&lt;="&amp;'자료_거시'!$M145)=3,SUMIFS($AD$21:$AD$620,'자료_거시'!$M$3:$M$602,"&gt;"&amp;EDATE('자료_거시'!$M145,-12-'설정'!$B$17),'자료_거시'!$M$3:$M$602,"&lt;="&amp;EDATE('자료_거시'!$M145,-12))=3),IFERROR(SUMIFS('자료_거시'!$N$3:$N$602,'자료_거시'!$M$3:$M$602,"&gt;"&amp;EDATE('자료_거시'!$M145,-'설정'!$B$17),'자료_거시'!$M$3:$M$602,"&lt;="&amp;'자료_거시'!$M145)/SUMIFS('자료_거시'!$N$3:$N$602,'자료_거시'!$M$3:$M$602,"&gt;"&amp;EDATE('자료_거시'!$M145,-12-'설정'!$B$17),'자료_거시'!$M$3:$M$602,"&lt;="&amp;EDATE('자료_거시'!$M145,-12))-1,""),""),"")</f>
        <v/>
      </c>
      <c r="AF163">
        <f>IF(ISNUMBER(AE163),'자료_거시'!$M145,"")</f>
        <v/>
      </c>
      <c r="AG163">
        <f>IF(ISNUMBER(AF163),IF(AF163&gt;$L$9,AE163,""),"")</f>
        <v/>
      </c>
    </row>
    <row r="164">
      <c r="P164">
        <f>IF(AND(ISNUMBER('자료_거시'!$A146),ISNUMBER('자료_거시'!$B146)),'자료_거시'!$B146,"")</f>
        <v/>
      </c>
      <c r="Q164">
        <f>IF(ISNUMBER(P164),'자료_거시'!$A146,"")</f>
        <v/>
      </c>
      <c r="R164">
        <f>IF(ISNUMBER(Q164),IF(Q164&gt;$L$5,P164,""),"")</f>
        <v/>
      </c>
      <c r="S164">
        <f>IF(ISNUMBER('자료_거시'!$E146),'자료_거시'!$E146,S163)</f>
        <v/>
      </c>
      <c r="T164">
        <f>IF(AND(ISNUMBER('자료_거시'!$D146),ISNUMBER('자료_거시'!$E146)),IFERROR('자료_거시'!$E146-INDEX($S$21:$S$4020,MATCH(EDATE('자료_거시'!$D146,-'설정'!$B$17),'자료_거시'!$D$3:INDEX('자료_거시'!$D$3:$D$4002,$K$6),1)),""),"")</f>
        <v/>
      </c>
      <c r="U164">
        <f>IF(ISNUMBER(T164),'자료_거시'!$D146,"")</f>
        <v/>
      </c>
      <c r="V164">
        <f>IF(ISNUMBER(U164),IF(U164&gt;$L$6,T164,""),"")</f>
        <v/>
      </c>
      <c r="W164">
        <f>IF(AND(ISNUMBER('자료_거시'!$G146),ISNUMBER('자료_거시'!$H146)),'자료_거시'!$H146,"")</f>
        <v/>
      </c>
      <c r="X164">
        <f>IF(ISNUMBER(W164),'자료_거시'!$G146,"")</f>
        <v/>
      </c>
      <c r="Y164">
        <f>IF(ISNUMBER(X164),IF(X164&gt;$L$7,W164,""),"")</f>
        <v/>
      </c>
      <c r="Z164">
        <f>IF(ISNUMBER('자료_거시'!$K146),'자료_거시'!$K146,Z163)</f>
        <v/>
      </c>
      <c r="AA164">
        <f>IF(AND(ISNUMBER('자료_거시'!$J146),ISNUMBER('자료_거시'!$K146)),IFERROR('자료_거시'!$K146/INDEX($Z$21:$Z$4020,MATCH(EDATE('자료_거시'!$J146,-'설정'!$B$17),'자료_거시'!$J$3:INDEX('자료_거시'!$J$3:$J$4002,$K$8),1))-1,""),"")</f>
        <v/>
      </c>
      <c r="AB164">
        <f>IF(ISNUMBER(AA164),'자료_거시'!$J146,"")</f>
        <v/>
      </c>
      <c r="AC164">
        <f>IF(ISNUMBER(AB164),IF(AB164&gt;$L$8,AA164,""),"")</f>
        <v/>
      </c>
      <c r="AD164">
        <f>IF(AND(ISNUMBER('자료_거시'!$M146),ISNUMBER('자료_거시'!$N146)),1,0)</f>
        <v/>
      </c>
      <c r="AE164">
        <f>IF(AND(ISNUMBER('자료_거시'!$M146),ISNUMBER('자료_거시'!$N146)),IF(AND(SUMIFS($AD$21:$AD$620,'자료_거시'!$M$3:$M$602,"&gt;"&amp;EDATE('자료_거시'!$M146,-'설정'!$B$17),'자료_거시'!$M$3:$M$602,"&lt;="&amp;'자료_거시'!$M146)=3,SUMIFS($AD$21:$AD$620,'자료_거시'!$M$3:$M$602,"&gt;"&amp;EDATE('자료_거시'!$M146,-12-'설정'!$B$17),'자료_거시'!$M$3:$M$602,"&lt;="&amp;EDATE('자료_거시'!$M146,-12))=3),IFERROR(SUMIFS('자료_거시'!$N$3:$N$602,'자료_거시'!$M$3:$M$602,"&gt;"&amp;EDATE('자료_거시'!$M146,-'설정'!$B$17),'자료_거시'!$M$3:$M$602,"&lt;="&amp;'자료_거시'!$M146)/SUMIFS('자료_거시'!$N$3:$N$602,'자료_거시'!$M$3:$M$602,"&gt;"&amp;EDATE('자료_거시'!$M146,-12-'설정'!$B$17),'자료_거시'!$M$3:$M$602,"&lt;="&amp;EDATE('자료_거시'!$M146,-12))-1,""),""),"")</f>
        <v/>
      </c>
      <c r="AF164">
        <f>IF(ISNUMBER(AE164),'자료_거시'!$M146,"")</f>
        <v/>
      </c>
      <c r="AG164">
        <f>IF(ISNUMBER(AF164),IF(AF164&gt;$L$9,AE164,""),"")</f>
        <v/>
      </c>
    </row>
    <row r="165">
      <c r="P165">
        <f>IF(AND(ISNUMBER('자료_거시'!$A147),ISNUMBER('자료_거시'!$B147)),'자료_거시'!$B147,"")</f>
        <v/>
      </c>
      <c r="Q165">
        <f>IF(ISNUMBER(P165),'자료_거시'!$A147,"")</f>
        <v/>
      </c>
      <c r="R165">
        <f>IF(ISNUMBER(Q165),IF(Q165&gt;$L$5,P165,""),"")</f>
        <v/>
      </c>
      <c r="S165">
        <f>IF(ISNUMBER('자료_거시'!$E147),'자료_거시'!$E147,S164)</f>
        <v/>
      </c>
      <c r="T165">
        <f>IF(AND(ISNUMBER('자료_거시'!$D147),ISNUMBER('자료_거시'!$E147)),IFERROR('자료_거시'!$E147-INDEX($S$21:$S$4020,MATCH(EDATE('자료_거시'!$D147,-'설정'!$B$17),'자료_거시'!$D$3:INDEX('자료_거시'!$D$3:$D$4002,$K$6),1)),""),"")</f>
        <v/>
      </c>
      <c r="U165">
        <f>IF(ISNUMBER(T165),'자료_거시'!$D147,"")</f>
        <v/>
      </c>
      <c r="V165">
        <f>IF(ISNUMBER(U165),IF(U165&gt;$L$6,T165,""),"")</f>
        <v/>
      </c>
      <c r="W165">
        <f>IF(AND(ISNUMBER('자료_거시'!$G147),ISNUMBER('자료_거시'!$H147)),'자료_거시'!$H147,"")</f>
        <v/>
      </c>
      <c r="X165">
        <f>IF(ISNUMBER(W165),'자료_거시'!$G147,"")</f>
        <v/>
      </c>
      <c r="Y165">
        <f>IF(ISNUMBER(X165),IF(X165&gt;$L$7,W165,""),"")</f>
        <v/>
      </c>
      <c r="Z165">
        <f>IF(ISNUMBER('자료_거시'!$K147),'자료_거시'!$K147,Z164)</f>
        <v/>
      </c>
      <c r="AA165">
        <f>IF(AND(ISNUMBER('자료_거시'!$J147),ISNUMBER('자료_거시'!$K147)),IFERROR('자료_거시'!$K147/INDEX($Z$21:$Z$4020,MATCH(EDATE('자료_거시'!$J147,-'설정'!$B$17),'자료_거시'!$J$3:INDEX('자료_거시'!$J$3:$J$4002,$K$8),1))-1,""),"")</f>
        <v/>
      </c>
      <c r="AB165">
        <f>IF(ISNUMBER(AA165),'자료_거시'!$J147,"")</f>
        <v/>
      </c>
      <c r="AC165">
        <f>IF(ISNUMBER(AB165),IF(AB165&gt;$L$8,AA165,""),"")</f>
        <v/>
      </c>
      <c r="AD165">
        <f>IF(AND(ISNUMBER('자료_거시'!$M147),ISNUMBER('자료_거시'!$N147)),1,0)</f>
        <v/>
      </c>
      <c r="AE165">
        <f>IF(AND(ISNUMBER('자료_거시'!$M147),ISNUMBER('자료_거시'!$N147)),IF(AND(SUMIFS($AD$21:$AD$620,'자료_거시'!$M$3:$M$602,"&gt;"&amp;EDATE('자료_거시'!$M147,-'설정'!$B$17),'자료_거시'!$M$3:$M$602,"&lt;="&amp;'자료_거시'!$M147)=3,SUMIFS($AD$21:$AD$620,'자료_거시'!$M$3:$M$602,"&gt;"&amp;EDATE('자료_거시'!$M147,-12-'설정'!$B$17),'자료_거시'!$M$3:$M$602,"&lt;="&amp;EDATE('자료_거시'!$M147,-12))=3),IFERROR(SUMIFS('자료_거시'!$N$3:$N$602,'자료_거시'!$M$3:$M$602,"&gt;"&amp;EDATE('자료_거시'!$M147,-'설정'!$B$17),'자료_거시'!$M$3:$M$602,"&lt;="&amp;'자료_거시'!$M147)/SUMIFS('자료_거시'!$N$3:$N$602,'자료_거시'!$M$3:$M$602,"&gt;"&amp;EDATE('자료_거시'!$M147,-12-'설정'!$B$17),'자료_거시'!$M$3:$M$602,"&lt;="&amp;EDATE('자료_거시'!$M147,-12))-1,""),""),"")</f>
        <v/>
      </c>
      <c r="AF165">
        <f>IF(ISNUMBER(AE165),'자료_거시'!$M147,"")</f>
        <v/>
      </c>
      <c r="AG165">
        <f>IF(ISNUMBER(AF165),IF(AF165&gt;$L$9,AE165,""),"")</f>
        <v/>
      </c>
    </row>
    <row r="166">
      <c r="P166">
        <f>IF(AND(ISNUMBER('자료_거시'!$A148),ISNUMBER('자료_거시'!$B148)),'자료_거시'!$B148,"")</f>
        <v/>
      </c>
      <c r="Q166">
        <f>IF(ISNUMBER(P166),'자료_거시'!$A148,"")</f>
        <v/>
      </c>
      <c r="R166">
        <f>IF(ISNUMBER(Q166),IF(Q166&gt;$L$5,P166,""),"")</f>
        <v/>
      </c>
      <c r="S166">
        <f>IF(ISNUMBER('자료_거시'!$E148),'자료_거시'!$E148,S165)</f>
        <v/>
      </c>
      <c r="T166">
        <f>IF(AND(ISNUMBER('자료_거시'!$D148),ISNUMBER('자료_거시'!$E148)),IFERROR('자료_거시'!$E148-INDEX($S$21:$S$4020,MATCH(EDATE('자료_거시'!$D148,-'설정'!$B$17),'자료_거시'!$D$3:INDEX('자료_거시'!$D$3:$D$4002,$K$6),1)),""),"")</f>
        <v/>
      </c>
      <c r="U166">
        <f>IF(ISNUMBER(T166),'자료_거시'!$D148,"")</f>
        <v/>
      </c>
      <c r="V166">
        <f>IF(ISNUMBER(U166),IF(U166&gt;$L$6,T166,""),"")</f>
        <v/>
      </c>
      <c r="W166">
        <f>IF(AND(ISNUMBER('자료_거시'!$G148),ISNUMBER('자료_거시'!$H148)),'자료_거시'!$H148,"")</f>
        <v/>
      </c>
      <c r="X166">
        <f>IF(ISNUMBER(W166),'자료_거시'!$G148,"")</f>
        <v/>
      </c>
      <c r="Y166">
        <f>IF(ISNUMBER(X166),IF(X166&gt;$L$7,W166,""),"")</f>
        <v/>
      </c>
      <c r="Z166">
        <f>IF(ISNUMBER('자료_거시'!$K148),'자료_거시'!$K148,Z165)</f>
        <v/>
      </c>
      <c r="AA166">
        <f>IF(AND(ISNUMBER('자료_거시'!$J148),ISNUMBER('자료_거시'!$K148)),IFERROR('자료_거시'!$K148/INDEX($Z$21:$Z$4020,MATCH(EDATE('자료_거시'!$J148,-'설정'!$B$17),'자료_거시'!$J$3:INDEX('자료_거시'!$J$3:$J$4002,$K$8),1))-1,""),"")</f>
        <v/>
      </c>
      <c r="AB166">
        <f>IF(ISNUMBER(AA166),'자료_거시'!$J148,"")</f>
        <v/>
      </c>
      <c r="AC166">
        <f>IF(ISNUMBER(AB166),IF(AB166&gt;$L$8,AA166,""),"")</f>
        <v/>
      </c>
      <c r="AD166">
        <f>IF(AND(ISNUMBER('자료_거시'!$M148),ISNUMBER('자료_거시'!$N148)),1,0)</f>
        <v/>
      </c>
      <c r="AE166">
        <f>IF(AND(ISNUMBER('자료_거시'!$M148),ISNUMBER('자료_거시'!$N148)),IF(AND(SUMIFS($AD$21:$AD$620,'자료_거시'!$M$3:$M$602,"&gt;"&amp;EDATE('자료_거시'!$M148,-'설정'!$B$17),'자료_거시'!$M$3:$M$602,"&lt;="&amp;'자료_거시'!$M148)=3,SUMIFS($AD$21:$AD$620,'자료_거시'!$M$3:$M$602,"&gt;"&amp;EDATE('자료_거시'!$M148,-12-'설정'!$B$17),'자료_거시'!$M$3:$M$602,"&lt;="&amp;EDATE('자료_거시'!$M148,-12))=3),IFERROR(SUMIFS('자료_거시'!$N$3:$N$602,'자료_거시'!$M$3:$M$602,"&gt;"&amp;EDATE('자료_거시'!$M148,-'설정'!$B$17),'자료_거시'!$M$3:$M$602,"&lt;="&amp;'자료_거시'!$M148)/SUMIFS('자료_거시'!$N$3:$N$602,'자료_거시'!$M$3:$M$602,"&gt;"&amp;EDATE('자료_거시'!$M148,-12-'설정'!$B$17),'자료_거시'!$M$3:$M$602,"&lt;="&amp;EDATE('자료_거시'!$M148,-12))-1,""),""),"")</f>
        <v/>
      </c>
      <c r="AF166">
        <f>IF(ISNUMBER(AE166),'자료_거시'!$M148,"")</f>
        <v/>
      </c>
      <c r="AG166">
        <f>IF(ISNUMBER(AF166),IF(AF166&gt;$L$9,AE166,""),"")</f>
        <v/>
      </c>
    </row>
    <row r="167">
      <c r="P167">
        <f>IF(AND(ISNUMBER('자료_거시'!$A149),ISNUMBER('자료_거시'!$B149)),'자료_거시'!$B149,"")</f>
        <v/>
      </c>
      <c r="Q167">
        <f>IF(ISNUMBER(P167),'자료_거시'!$A149,"")</f>
        <v/>
      </c>
      <c r="R167">
        <f>IF(ISNUMBER(Q167),IF(Q167&gt;$L$5,P167,""),"")</f>
        <v/>
      </c>
      <c r="S167">
        <f>IF(ISNUMBER('자료_거시'!$E149),'자료_거시'!$E149,S166)</f>
        <v/>
      </c>
      <c r="T167">
        <f>IF(AND(ISNUMBER('자료_거시'!$D149),ISNUMBER('자료_거시'!$E149)),IFERROR('자료_거시'!$E149-INDEX($S$21:$S$4020,MATCH(EDATE('자료_거시'!$D149,-'설정'!$B$17),'자료_거시'!$D$3:INDEX('자료_거시'!$D$3:$D$4002,$K$6),1)),""),"")</f>
        <v/>
      </c>
      <c r="U167">
        <f>IF(ISNUMBER(T167),'자료_거시'!$D149,"")</f>
        <v/>
      </c>
      <c r="V167">
        <f>IF(ISNUMBER(U167),IF(U167&gt;$L$6,T167,""),"")</f>
        <v/>
      </c>
      <c r="W167">
        <f>IF(AND(ISNUMBER('자료_거시'!$G149),ISNUMBER('자료_거시'!$H149)),'자료_거시'!$H149,"")</f>
        <v/>
      </c>
      <c r="X167">
        <f>IF(ISNUMBER(W167),'자료_거시'!$G149,"")</f>
        <v/>
      </c>
      <c r="Y167">
        <f>IF(ISNUMBER(X167),IF(X167&gt;$L$7,W167,""),"")</f>
        <v/>
      </c>
      <c r="Z167">
        <f>IF(ISNUMBER('자료_거시'!$K149),'자료_거시'!$K149,Z166)</f>
        <v/>
      </c>
      <c r="AA167">
        <f>IF(AND(ISNUMBER('자료_거시'!$J149),ISNUMBER('자료_거시'!$K149)),IFERROR('자료_거시'!$K149/INDEX($Z$21:$Z$4020,MATCH(EDATE('자료_거시'!$J149,-'설정'!$B$17),'자료_거시'!$J$3:INDEX('자료_거시'!$J$3:$J$4002,$K$8),1))-1,""),"")</f>
        <v/>
      </c>
      <c r="AB167">
        <f>IF(ISNUMBER(AA167),'자료_거시'!$J149,"")</f>
        <v/>
      </c>
      <c r="AC167">
        <f>IF(ISNUMBER(AB167),IF(AB167&gt;$L$8,AA167,""),"")</f>
        <v/>
      </c>
      <c r="AD167">
        <f>IF(AND(ISNUMBER('자료_거시'!$M149),ISNUMBER('자료_거시'!$N149)),1,0)</f>
        <v/>
      </c>
      <c r="AE167">
        <f>IF(AND(ISNUMBER('자료_거시'!$M149),ISNUMBER('자료_거시'!$N149)),IF(AND(SUMIFS($AD$21:$AD$620,'자료_거시'!$M$3:$M$602,"&gt;"&amp;EDATE('자료_거시'!$M149,-'설정'!$B$17),'자료_거시'!$M$3:$M$602,"&lt;="&amp;'자료_거시'!$M149)=3,SUMIFS($AD$21:$AD$620,'자료_거시'!$M$3:$M$602,"&gt;"&amp;EDATE('자료_거시'!$M149,-12-'설정'!$B$17),'자료_거시'!$M$3:$M$602,"&lt;="&amp;EDATE('자료_거시'!$M149,-12))=3),IFERROR(SUMIFS('자료_거시'!$N$3:$N$602,'자료_거시'!$M$3:$M$602,"&gt;"&amp;EDATE('자료_거시'!$M149,-'설정'!$B$17),'자료_거시'!$M$3:$M$602,"&lt;="&amp;'자료_거시'!$M149)/SUMIFS('자료_거시'!$N$3:$N$602,'자료_거시'!$M$3:$M$602,"&gt;"&amp;EDATE('자료_거시'!$M149,-12-'설정'!$B$17),'자료_거시'!$M$3:$M$602,"&lt;="&amp;EDATE('자료_거시'!$M149,-12))-1,""),""),"")</f>
        <v/>
      </c>
      <c r="AF167">
        <f>IF(ISNUMBER(AE167),'자료_거시'!$M149,"")</f>
        <v/>
      </c>
      <c r="AG167">
        <f>IF(ISNUMBER(AF167),IF(AF167&gt;$L$9,AE167,""),"")</f>
        <v/>
      </c>
    </row>
    <row r="168">
      <c r="P168">
        <f>IF(AND(ISNUMBER('자료_거시'!$A150),ISNUMBER('자료_거시'!$B150)),'자료_거시'!$B150,"")</f>
        <v/>
      </c>
      <c r="Q168">
        <f>IF(ISNUMBER(P168),'자료_거시'!$A150,"")</f>
        <v/>
      </c>
      <c r="R168">
        <f>IF(ISNUMBER(Q168),IF(Q168&gt;$L$5,P168,""),"")</f>
        <v/>
      </c>
      <c r="S168">
        <f>IF(ISNUMBER('자료_거시'!$E150),'자료_거시'!$E150,S167)</f>
        <v/>
      </c>
      <c r="T168">
        <f>IF(AND(ISNUMBER('자료_거시'!$D150),ISNUMBER('자료_거시'!$E150)),IFERROR('자료_거시'!$E150-INDEX($S$21:$S$4020,MATCH(EDATE('자료_거시'!$D150,-'설정'!$B$17),'자료_거시'!$D$3:INDEX('자료_거시'!$D$3:$D$4002,$K$6),1)),""),"")</f>
        <v/>
      </c>
      <c r="U168">
        <f>IF(ISNUMBER(T168),'자료_거시'!$D150,"")</f>
        <v/>
      </c>
      <c r="V168">
        <f>IF(ISNUMBER(U168),IF(U168&gt;$L$6,T168,""),"")</f>
        <v/>
      </c>
      <c r="W168">
        <f>IF(AND(ISNUMBER('자료_거시'!$G150),ISNUMBER('자료_거시'!$H150)),'자료_거시'!$H150,"")</f>
        <v/>
      </c>
      <c r="X168">
        <f>IF(ISNUMBER(W168),'자료_거시'!$G150,"")</f>
        <v/>
      </c>
      <c r="Y168">
        <f>IF(ISNUMBER(X168),IF(X168&gt;$L$7,W168,""),"")</f>
        <v/>
      </c>
      <c r="Z168">
        <f>IF(ISNUMBER('자료_거시'!$K150),'자료_거시'!$K150,Z167)</f>
        <v/>
      </c>
      <c r="AA168">
        <f>IF(AND(ISNUMBER('자료_거시'!$J150),ISNUMBER('자료_거시'!$K150)),IFERROR('자료_거시'!$K150/INDEX($Z$21:$Z$4020,MATCH(EDATE('자료_거시'!$J150,-'설정'!$B$17),'자료_거시'!$J$3:INDEX('자료_거시'!$J$3:$J$4002,$K$8),1))-1,""),"")</f>
        <v/>
      </c>
      <c r="AB168">
        <f>IF(ISNUMBER(AA168),'자료_거시'!$J150,"")</f>
        <v/>
      </c>
      <c r="AC168">
        <f>IF(ISNUMBER(AB168),IF(AB168&gt;$L$8,AA168,""),"")</f>
        <v/>
      </c>
      <c r="AD168">
        <f>IF(AND(ISNUMBER('자료_거시'!$M150),ISNUMBER('자료_거시'!$N150)),1,0)</f>
        <v/>
      </c>
      <c r="AE168">
        <f>IF(AND(ISNUMBER('자료_거시'!$M150),ISNUMBER('자료_거시'!$N150)),IF(AND(SUMIFS($AD$21:$AD$620,'자료_거시'!$M$3:$M$602,"&gt;"&amp;EDATE('자료_거시'!$M150,-'설정'!$B$17),'자료_거시'!$M$3:$M$602,"&lt;="&amp;'자료_거시'!$M150)=3,SUMIFS($AD$21:$AD$620,'자료_거시'!$M$3:$M$602,"&gt;"&amp;EDATE('자료_거시'!$M150,-12-'설정'!$B$17),'자료_거시'!$M$3:$M$602,"&lt;="&amp;EDATE('자료_거시'!$M150,-12))=3),IFERROR(SUMIFS('자료_거시'!$N$3:$N$602,'자료_거시'!$M$3:$M$602,"&gt;"&amp;EDATE('자료_거시'!$M150,-'설정'!$B$17),'자료_거시'!$M$3:$M$602,"&lt;="&amp;'자료_거시'!$M150)/SUMIFS('자료_거시'!$N$3:$N$602,'자료_거시'!$M$3:$M$602,"&gt;"&amp;EDATE('자료_거시'!$M150,-12-'설정'!$B$17),'자료_거시'!$M$3:$M$602,"&lt;="&amp;EDATE('자료_거시'!$M150,-12))-1,""),""),"")</f>
        <v/>
      </c>
      <c r="AF168">
        <f>IF(ISNUMBER(AE168),'자료_거시'!$M150,"")</f>
        <v/>
      </c>
      <c r="AG168">
        <f>IF(ISNUMBER(AF168),IF(AF168&gt;$L$9,AE168,""),"")</f>
        <v/>
      </c>
    </row>
    <row r="169">
      <c r="P169">
        <f>IF(AND(ISNUMBER('자료_거시'!$A151),ISNUMBER('자료_거시'!$B151)),'자료_거시'!$B151,"")</f>
        <v/>
      </c>
      <c r="Q169">
        <f>IF(ISNUMBER(P169),'자료_거시'!$A151,"")</f>
        <v/>
      </c>
      <c r="R169">
        <f>IF(ISNUMBER(Q169),IF(Q169&gt;$L$5,P169,""),"")</f>
        <v/>
      </c>
      <c r="S169">
        <f>IF(ISNUMBER('자료_거시'!$E151),'자료_거시'!$E151,S168)</f>
        <v/>
      </c>
      <c r="T169">
        <f>IF(AND(ISNUMBER('자료_거시'!$D151),ISNUMBER('자료_거시'!$E151)),IFERROR('자료_거시'!$E151-INDEX($S$21:$S$4020,MATCH(EDATE('자료_거시'!$D151,-'설정'!$B$17),'자료_거시'!$D$3:INDEX('자료_거시'!$D$3:$D$4002,$K$6),1)),""),"")</f>
        <v/>
      </c>
      <c r="U169">
        <f>IF(ISNUMBER(T169),'자료_거시'!$D151,"")</f>
        <v/>
      </c>
      <c r="V169">
        <f>IF(ISNUMBER(U169),IF(U169&gt;$L$6,T169,""),"")</f>
        <v/>
      </c>
      <c r="W169">
        <f>IF(AND(ISNUMBER('자료_거시'!$G151),ISNUMBER('자료_거시'!$H151)),'자료_거시'!$H151,"")</f>
        <v/>
      </c>
      <c r="X169">
        <f>IF(ISNUMBER(W169),'자료_거시'!$G151,"")</f>
        <v/>
      </c>
      <c r="Y169">
        <f>IF(ISNUMBER(X169),IF(X169&gt;$L$7,W169,""),"")</f>
        <v/>
      </c>
      <c r="Z169">
        <f>IF(ISNUMBER('자료_거시'!$K151),'자료_거시'!$K151,Z168)</f>
        <v/>
      </c>
      <c r="AA169">
        <f>IF(AND(ISNUMBER('자료_거시'!$J151),ISNUMBER('자료_거시'!$K151)),IFERROR('자료_거시'!$K151/INDEX($Z$21:$Z$4020,MATCH(EDATE('자료_거시'!$J151,-'설정'!$B$17),'자료_거시'!$J$3:INDEX('자료_거시'!$J$3:$J$4002,$K$8),1))-1,""),"")</f>
        <v/>
      </c>
      <c r="AB169">
        <f>IF(ISNUMBER(AA169),'자료_거시'!$J151,"")</f>
        <v/>
      </c>
      <c r="AC169">
        <f>IF(ISNUMBER(AB169),IF(AB169&gt;$L$8,AA169,""),"")</f>
        <v/>
      </c>
      <c r="AD169">
        <f>IF(AND(ISNUMBER('자료_거시'!$M151),ISNUMBER('자료_거시'!$N151)),1,0)</f>
        <v/>
      </c>
      <c r="AE169">
        <f>IF(AND(ISNUMBER('자료_거시'!$M151),ISNUMBER('자료_거시'!$N151)),IF(AND(SUMIFS($AD$21:$AD$620,'자료_거시'!$M$3:$M$602,"&gt;"&amp;EDATE('자료_거시'!$M151,-'설정'!$B$17),'자료_거시'!$M$3:$M$602,"&lt;="&amp;'자료_거시'!$M151)=3,SUMIFS($AD$21:$AD$620,'자료_거시'!$M$3:$M$602,"&gt;"&amp;EDATE('자료_거시'!$M151,-12-'설정'!$B$17),'자료_거시'!$M$3:$M$602,"&lt;="&amp;EDATE('자료_거시'!$M151,-12))=3),IFERROR(SUMIFS('자료_거시'!$N$3:$N$602,'자료_거시'!$M$3:$M$602,"&gt;"&amp;EDATE('자료_거시'!$M151,-'설정'!$B$17),'자료_거시'!$M$3:$M$602,"&lt;="&amp;'자료_거시'!$M151)/SUMIFS('자료_거시'!$N$3:$N$602,'자료_거시'!$M$3:$M$602,"&gt;"&amp;EDATE('자료_거시'!$M151,-12-'설정'!$B$17),'자료_거시'!$M$3:$M$602,"&lt;="&amp;EDATE('자료_거시'!$M151,-12))-1,""),""),"")</f>
        <v/>
      </c>
      <c r="AF169">
        <f>IF(ISNUMBER(AE169),'자료_거시'!$M151,"")</f>
        <v/>
      </c>
      <c r="AG169">
        <f>IF(ISNUMBER(AF169),IF(AF169&gt;$L$9,AE169,""),"")</f>
        <v/>
      </c>
    </row>
    <row r="170">
      <c r="P170">
        <f>IF(AND(ISNUMBER('자료_거시'!$A152),ISNUMBER('자료_거시'!$B152)),'자료_거시'!$B152,"")</f>
        <v/>
      </c>
      <c r="Q170">
        <f>IF(ISNUMBER(P170),'자료_거시'!$A152,"")</f>
        <v/>
      </c>
      <c r="R170">
        <f>IF(ISNUMBER(Q170),IF(Q170&gt;$L$5,P170,""),"")</f>
        <v/>
      </c>
      <c r="S170">
        <f>IF(ISNUMBER('자료_거시'!$E152),'자료_거시'!$E152,S169)</f>
        <v/>
      </c>
      <c r="T170">
        <f>IF(AND(ISNUMBER('자료_거시'!$D152),ISNUMBER('자료_거시'!$E152)),IFERROR('자료_거시'!$E152-INDEX($S$21:$S$4020,MATCH(EDATE('자료_거시'!$D152,-'설정'!$B$17),'자료_거시'!$D$3:INDEX('자료_거시'!$D$3:$D$4002,$K$6),1)),""),"")</f>
        <v/>
      </c>
      <c r="U170">
        <f>IF(ISNUMBER(T170),'자료_거시'!$D152,"")</f>
        <v/>
      </c>
      <c r="V170">
        <f>IF(ISNUMBER(U170),IF(U170&gt;$L$6,T170,""),"")</f>
        <v/>
      </c>
      <c r="W170">
        <f>IF(AND(ISNUMBER('자료_거시'!$G152),ISNUMBER('자료_거시'!$H152)),'자료_거시'!$H152,"")</f>
        <v/>
      </c>
      <c r="X170">
        <f>IF(ISNUMBER(W170),'자료_거시'!$G152,"")</f>
        <v/>
      </c>
      <c r="Y170">
        <f>IF(ISNUMBER(X170),IF(X170&gt;$L$7,W170,""),"")</f>
        <v/>
      </c>
      <c r="Z170">
        <f>IF(ISNUMBER('자료_거시'!$K152),'자료_거시'!$K152,Z169)</f>
        <v/>
      </c>
      <c r="AA170">
        <f>IF(AND(ISNUMBER('자료_거시'!$J152),ISNUMBER('자료_거시'!$K152)),IFERROR('자료_거시'!$K152/INDEX($Z$21:$Z$4020,MATCH(EDATE('자료_거시'!$J152,-'설정'!$B$17),'자료_거시'!$J$3:INDEX('자료_거시'!$J$3:$J$4002,$K$8),1))-1,""),"")</f>
        <v/>
      </c>
      <c r="AB170">
        <f>IF(ISNUMBER(AA170),'자료_거시'!$J152,"")</f>
        <v/>
      </c>
      <c r="AC170">
        <f>IF(ISNUMBER(AB170),IF(AB170&gt;$L$8,AA170,""),"")</f>
        <v/>
      </c>
      <c r="AD170">
        <f>IF(AND(ISNUMBER('자료_거시'!$M152),ISNUMBER('자료_거시'!$N152)),1,0)</f>
        <v/>
      </c>
      <c r="AE170">
        <f>IF(AND(ISNUMBER('자료_거시'!$M152),ISNUMBER('자료_거시'!$N152)),IF(AND(SUMIFS($AD$21:$AD$620,'자료_거시'!$M$3:$M$602,"&gt;"&amp;EDATE('자료_거시'!$M152,-'설정'!$B$17),'자료_거시'!$M$3:$M$602,"&lt;="&amp;'자료_거시'!$M152)=3,SUMIFS($AD$21:$AD$620,'자료_거시'!$M$3:$M$602,"&gt;"&amp;EDATE('자료_거시'!$M152,-12-'설정'!$B$17),'자료_거시'!$M$3:$M$602,"&lt;="&amp;EDATE('자료_거시'!$M152,-12))=3),IFERROR(SUMIFS('자료_거시'!$N$3:$N$602,'자료_거시'!$M$3:$M$602,"&gt;"&amp;EDATE('자료_거시'!$M152,-'설정'!$B$17),'자료_거시'!$M$3:$M$602,"&lt;="&amp;'자료_거시'!$M152)/SUMIFS('자료_거시'!$N$3:$N$602,'자료_거시'!$M$3:$M$602,"&gt;"&amp;EDATE('자료_거시'!$M152,-12-'설정'!$B$17),'자료_거시'!$M$3:$M$602,"&lt;="&amp;EDATE('자료_거시'!$M152,-12))-1,""),""),"")</f>
        <v/>
      </c>
      <c r="AF170">
        <f>IF(ISNUMBER(AE170),'자료_거시'!$M152,"")</f>
        <v/>
      </c>
      <c r="AG170">
        <f>IF(ISNUMBER(AF170),IF(AF170&gt;$L$9,AE170,""),"")</f>
        <v/>
      </c>
    </row>
    <row r="171">
      <c r="P171">
        <f>IF(AND(ISNUMBER('자료_거시'!$A153),ISNUMBER('자료_거시'!$B153)),'자료_거시'!$B153,"")</f>
        <v/>
      </c>
      <c r="Q171">
        <f>IF(ISNUMBER(P171),'자료_거시'!$A153,"")</f>
        <v/>
      </c>
      <c r="R171">
        <f>IF(ISNUMBER(Q171),IF(Q171&gt;$L$5,P171,""),"")</f>
        <v/>
      </c>
      <c r="S171">
        <f>IF(ISNUMBER('자료_거시'!$E153),'자료_거시'!$E153,S170)</f>
        <v/>
      </c>
      <c r="T171">
        <f>IF(AND(ISNUMBER('자료_거시'!$D153),ISNUMBER('자료_거시'!$E153)),IFERROR('자료_거시'!$E153-INDEX($S$21:$S$4020,MATCH(EDATE('자료_거시'!$D153,-'설정'!$B$17),'자료_거시'!$D$3:INDEX('자료_거시'!$D$3:$D$4002,$K$6),1)),""),"")</f>
        <v/>
      </c>
      <c r="U171">
        <f>IF(ISNUMBER(T171),'자료_거시'!$D153,"")</f>
        <v/>
      </c>
      <c r="V171">
        <f>IF(ISNUMBER(U171),IF(U171&gt;$L$6,T171,""),"")</f>
        <v/>
      </c>
      <c r="W171">
        <f>IF(AND(ISNUMBER('자료_거시'!$G153),ISNUMBER('자료_거시'!$H153)),'자료_거시'!$H153,"")</f>
        <v/>
      </c>
      <c r="X171">
        <f>IF(ISNUMBER(W171),'자료_거시'!$G153,"")</f>
        <v/>
      </c>
      <c r="Y171">
        <f>IF(ISNUMBER(X171),IF(X171&gt;$L$7,W171,""),"")</f>
        <v/>
      </c>
      <c r="Z171">
        <f>IF(ISNUMBER('자료_거시'!$K153),'자료_거시'!$K153,Z170)</f>
        <v/>
      </c>
      <c r="AA171">
        <f>IF(AND(ISNUMBER('자료_거시'!$J153),ISNUMBER('자료_거시'!$K153)),IFERROR('자료_거시'!$K153/INDEX($Z$21:$Z$4020,MATCH(EDATE('자료_거시'!$J153,-'설정'!$B$17),'자료_거시'!$J$3:INDEX('자료_거시'!$J$3:$J$4002,$K$8),1))-1,""),"")</f>
        <v/>
      </c>
      <c r="AB171">
        <f>IF(ISNUMBER(AA171),'자료_거시'!$J153,"")</f>
        <v/>
      </c>
      <c r="AC171">
        <f>IF(ISNUMBER(AB171),IF(AB171&gt;$L$8,AA171,""),"")</f>
        <v/>
      </c>
      <c r="AD171">
        <f>IF(AND(ISNUMBER('자료_거시'!$M153),ISNUMBER('자료_거시'!$N153)),1,0)</f>
        <v/>
      </c>
      <c r="AE171">
        <f>IF(AND(ISNUMBER('자료_거시'!$M153),ISNUMBER('자료_거시'!$N153)),IF(AND(SUMIFS($AD$21:$AD$620,'자료_거시'!$M$3:$M$602,"&gt;"&amp;EDATE('자료_거시'!$M153,-'설정'!$B$17),'자료_거시'!$M$3:$M$602,"&lt;="&amp;'자료_거시'!$M153)=3,SUMIFS($AD$21:$AD$620,'자료_거시'!$M$3:$M$602,"&gt;"&amp;EDATE('자료_거시'!$M153,-12-'설정'!$B$17),'자료_거시'!$M$3:$M$602,"&lt;="&amp;EDATE('자료_거시'!$M153,-12))=3),IFERROR(SUMIFS('자료_거시'!$N$3:$N$602,'자료_거시'!$M$3:$M$602,"&gt;"&amp;EDATE('자료_거시'!$M153,-'설정'!$B$17),'자료_거시'!$M$3:$M$602,"&lt;="&amp;'자료_거시'!$M153)/SUMIFS('자료_거시'!$N$3:$N$602,'자료_거시'!$M$3:$M$602,"&gt;"&amp;EDATE('자료_거시'!$M153,-12-'설정'!$B$17),'자료_거시'!$M$3:$M$602,"&lt;="&amp;EDATE('자료_거시'!$M153,-12))-1,""),""),"")</f>
        <v/>
      </c>
      <c r="AF171">
        <f>IF(ISNUMBER(AE171),'자료_거시'!$M153,"")</f>
        <v/>
      </c>
      <c r="AG171">
        <f>IF(ISNUMBER(AF171),IF(AF171&gt;$L$9,AE171,""),"")</f>
        <v/>
      </c>
    </row>
    <row r="172">
      <c r="P172">
        <f>IF(AND(ISNUMBER('자료_거시'!$A154),ISNUMBER('자료_거시'!$B154)),'자료_거시'!$B154,"")</f>
        <v/>
      </c>
      <c r="Q172">
        <f>IF(ISNUMBER(P172),'자료_거시'!$A154,"")</f>
        <v/>
      </c>
      <c r="R172">
        <f>IF(ISNUMBER(Q172),IF(Q172&gt;$L$5,P172,""),"")</f>
        <v/>
      </c>
      <c r="S172">
        <f>IF(ISNUMBER('자료_거시'!$E154),'자료_거시'!$E154,S171)</f>
        <v/>
      </c>
      <c r="T172">
        <f>IF(AND(ISNUMBER('자료_거시'!$D154),ISNUMBER('자료_거시'!$E154)),IFERROR('자료_거시'!$E154-INDEX($S$21:$S$4020,MATCH(EDATE('자료_거시'!$D154,-'설정'!$B$17),'자료_거시'!$D$3:INDEX('자료_거시'!$D$3:$D$4002,$K$6),1)),""),"")</f>
        <v/>
      </c>
      <c r="U172">
        <f>IF(ISNUMBER(T172),'자료_거시'!$D154,"")</f>
        <v/>
      </c>
      <c r="V172">
        <f>IF(ISNUMBER(U172),IF(U172&gt;$L$6,T172,""),"")</f>
        <v/>
      </c>
      <c r="W172">
        <f>IF(AND(ISNUMBER('자료_거시'!$G154),ISNUMBER('자료_거시'!$H154)),'자료_거시'!$H154,"")</f>
        <v/>
      </c>
      <c r="X172">
        <f>IF(ISNUMBER(W172),'자료_거시'!$G154,"")</f>
        <v/>
      </c>
      <c r="Y172">
        <f>IF(ISNUMBER(X172),IF(X172&gt;$L$7,W172,""),"")</f>
        <v/>
      </c>
      <c r="Z172">
        <f>IF(ISNUMBER('자료_거시'!$K154),'자료_거시'!$K154,Z171)</f>
        <v/>
      </c>
      <c r="AA172">
        <f>IF(AND(ISNUMBER('자료_거시'!$J154),ISNUMBER('자료_거시'!$K154)),IFERROR('자료_거시'!$K154/INDEX($Z$21:$Z$4020,MATCH(EDATE('자료_거시'!$J154,-'설정'!$B$17),'자료_거시'!$J$3:INDEX('자료_거시'!$J$3:$J$4002,$K$8),1))-1,""),"")</f>
        <v/>
      </c>
      <c r="AB172">
        <f>IF(ISNUMBER(AA172),'자료_거시'!$J154,"")</f>
        <v/>
      </c>
      <c r="AC172">
        <f>IF(ISNUMBER(AB172),IF(AB172&gt;$L$8,AA172,""),"")</f>
        <v/>
      </c>
      <c r="AD172">
        <f>IF(AND(ISNUMBER('자료_거시'!$M154),ISNUMBER('자료_거시'!$N154)),1,0)</f>
        <v/>
      </c>
      <c r="AE172">
        <f>IF(AND(ISNUMBER('자료_거시'!$M154),ISNUMBER('자료_거시'!$N154)),IF(AND(SUMIFS($AD$21:$AD$620,'자료_거시'!$M$3:$M$602,"&gt;"&amp;EDATE('자료_거시'!$M154,-'설정'!$B$17),'자료_거시'!$M$3:$M$602,"&lt;="&amp;'자료_거시'!$M154)=3,SUMIFS($AD$21:$AD$620,'자료_거시'!$M$3:$M$602,"&gt;"&amp;EDATE('자료_거시'!$M154,-12-'설정'!$B$17),'자료_거시'!$M$3:$M$602,"&lt;="&amp;EDATE('자료_거시'!$M154,-12))=3),IFERROR(SUMIFS('자료_거시'!$N$3:$N$602,'자료_거시'!$M$3:$M$602,"&gt;"&amp;EDATE('자료_거시'!$M154,-'설정'!$B$17),'자료_거시'!$M$3:$M$602,"&lt;="&amp;'자료_거시'!$M154)/SUMIFS('자료_거시'!$N$3:$N$602,'자료_거시'!$M$3:$M$602,"&gt;"&amp;EDATE('자료_거시'!$M154,-12-'설정'!$B$17),'자료_거시'!$M$3:$M$602,"&lt;="&amp;EDATE('자료_거시'!$M154,-12))-1,""),""),"")</f>
        <v/>
      </c>
      <c r="AF172">
        <f>IF(ISNUMBER(AE172),'자료_거시'!$M154,"")</f>
        <v/>
      </c>
      <c r="AG172">
        <f>IF(ISNUMBER(AF172),IF(AF172&gt;$L$9,AE172,""),"")</f>
        <v/>
      </c>
    </row>
    <row r="173">
      <c r="P173">
        <f>IF(AND(ISNUMBER('자료_거시'!$A155),ISNUMBER('자료_거시'!$B155)),'자료_거시'!$B155,"")</f>
        <v/>
      </c>
      <c r="Q173">
        <f>IF(ISNUMBER(P173),'자료_거시'!$A155,"")</f>
        <v/>
      </c>
      <c r="R173">
        <f>IF(ISNUMBER(Q173),IF(Q173&gt;$L$5,P173,""),"")</f>
        <v/>
      </c>
      <c r="S173">
        <f>IF(ISNUMBER('자료_거시'!$E155),'자료_거시'!$E155,S172)</f>
        <v/>
      </c>
      <c r="T173">
        <f>IF(AND(ISNUMBER('자료_거시'!$D155),ISNUMBER('자료_거시'!$E155)),IFERROR('자료_거시'!$E155-INDEX($S$21:$S$4020,MATCH(EDATE('자료_거시'!$D155,-'설정'!$B$17),'자료_거시'!$D$3:INDEX('자료_거시'!$D$3:$D$4002,$K$6),1)),""),"")</f>
        <v/>
      </c>
      <c r="U173">
        <f>IF(ISNUMBER(T173),'자료_거시'!$D155,"")</f>
        <v/>
      </c>
      <c r="V173">
        <f>IF(ISNUMBER(U173),IF(U173&gt;$L$6,T173,""),"")</f>
        <v/>
      </c>
      <c r="W173">
        <f>IF(AND(ISNUMBER('자료_거시'!$G155),ISNUMBER('자료_거시'!$H155)),'자료_거시'!$H155,"")</f>
        <v/>
      </c>
      <c r="X173">
        <f>IF(ISNUMBER(W173),'자료_거시'!$G155,"")</f>
        <v/>
      </c>
      <c r="Y173">
        <f>IF(ISNUMBER(X173),IF(X173&gt;$L$7,W173,""),"")</f>
        <v/>
      </c>
      <c r="Z173">
        <f>IF(ISNUMBER('자료_거시'!$K155),'자료_거시'!$K155,Z172)</f>
        <v/>
      </c>
      <c r="AA173">
        <f>IF(AND(ISNUMBER('자료_거시'!$J155),ISNUMBER('자료_거시'!$K155)),IFERROR('자료_거시'!$K155/INDEX($Z$21:$Z$4020,MATCH(EDATE('자료_거시'!$J155,-'설정'!$B$17),'자료_거시'!$J$3:INDEX('자료_거시'!$J$3:$J$4002,$K$8),1))-1,""),"")</f>
        <v/>
      </c>
      <c r="AB173">
        <f>IF(ISNUMBER(AA173),'자료_거시'!$J155,"")</f>
        <v/>
      </c>
      <c r="AC173">
        <f>IF(ISNUMBER(AB173),IF(AB173&gt;$L$8,AA173,""),"")</f>
        <v/>
      </c>
      <c r="AD173">
        <f>IF(AND(ISNUMBER('자료_거시'!$M155),ISNUMBER('자료_거시'!$N155)),1,0)</f>
        <v/>
      </c>
      <c r="AE173">
        <f>IF(AND(ISNUMBER('자료_거시'!$M155),ISNUMBER('자료_거시'!$N155)),IF(AND(SUMIFS($AD$21:$AD$620,'자료_거시'!$M$3:$M$602,"&gt;"&amp;EDATE('자료_거시'!$M155,-'설정'!$B$17),'자료_거시'!$M$3:$M$602,"&lt;="&amp;'자료_거시'!$M155)=3,SUMIFS($AD$21:$AD$620,'자료_거시'!$M$3:$M$602,"&gt;"&amp;EDATE('자료_거시'!$M155,-12-'설정'!$B$17),'자료_거시'!$M$3:$M$602,"&lt;="&amp;EDATE('자료_거시'!$M155,-12))=3),IFERROR(SUMIFS('자료_거시'!$N$3:$N$602,'자료_거시'!$M$3:$M$602,"&gt;"&amp;EDATE('자료_거시'!$M155,-'설정'!$B$17),'자료_거시'!$M$3:$M$602,"&lt;="&amp;'자료_거시'!$M155)/SUMIFS('자료_거시'!$N$3:$N$602,'자료_거시'!$M$3:$M$602,"&gt;"&amp;EDATE('자료_거시'!$M155,-12-'설정'!$B$17),'자료_거시'!$M$3:$M$602,"&lt;="&amp;EDATE('자료_거시'!$M155,-12))-1,""),""),"")</f>
        <v/>
      </c>
      <c r="AF173">
        <f>IF(ISNUMBER(AE173),'자료_거시'!$M155,"")</f>
        <v/>
      </c>
      <c r="AG173">
        <f>IF(ISNUMBER(AF173),IF(AF173&gt;$L$9,AE173,""),"")</f>
        <v/>
      </c>
    </row>
    <row r="174">
      <c r="P174">
        <f>IF(AND(ISNUMBER('자료_거시'!$A156),ISNUMBER('자료_거시'!$B156)),'자료_거시'!$B156,"")</f>
        <v/>
      </c>
      <c r="Q174">
        <f>IF(ISNUMBER(P174),'자료_거시'!$A156,"")</f>
        <v/>
      </c>
      <c r="R174">
        <f>IF(ISNUMBER(Q174),IF(Q174&gt;$L$5,P174,""),"")</f>
        <v/>
      </c>
      <c r="S174">
        <f>IF(ISNUMBER('자료_거시'!$E156),'자료_거시'!$E156,S173)</f>
        <v/>
      </c>
      <c r="T174">
        <f>IF(AND(ISNUMBER('자료_거시'!$D156),ISNUMBER('자료_거시'!$E156)),IFERROR('자료_거시'!$E156-INDEX($S$21:$S$4020,MATCH(EDATE('자료_거시'!$D156,-'설정'!$B$17),'자료_거시'!$D$3:INDEX('자료_거시'!$D$3:$D$4002,$K$6),1)),""),"")</f>
        <v/>
      </c>
      <c r="U174">
        <f>IF(ISNUMBER(T174),'자료_거시'!$D156,"")</f>
        <v/>
      </c>
      <c r="V174">
        <f>IF(ISNUMBER(U174),IF(U174&gt;$L$6,T174,""),"")</f>
        <v/>
      </c>
      <c r="W174">
        <f>IF(AND(ISNUMBER('자료_거시'!$G156),ISNUMBER('자료_거시'!$H156)),'자료_거시'!$H156,"")</f>
        <v/>
      </c>
      <c r="X174">
        <f>IF(ISNUMBER(W174),'자료_거시'!$G156,"")</f>
        <v/>
      </c>
      <c r="Y174">
        <f>IF(ISNUMBER(X174),IF(X174&gt;$L$7,W174,""),"")</f>
        <v/>
      </c>
      <c r="Z174">
        <f>IF(ISNUMBER('자료_거시'!$K156),'자료_거시'!$K156,Z173)</f>
        <v/>
      </c>
      <c r="AA174">
        <f>IF(AND(ISNUMBER('자료_거시'!$J156),ISNUMBER('자료_거시'!$K156)),IFERROR('자료_거시'!$K156/INDEX($Z$21:$Z$4020,MATCH(EDATE('자료_거시'!$J156,-'설정'!$B$17),'자료_거시'!$J$3:INDEX('자료_거시'!$J$3:$J$4002,$K$8),1))-1,""),"")</f>
        <v/>
      </c>
      <c r="AB174">
        <f>IF(ISNUMBER(AA174),'자료_거시'!$J156,"")</f>
        <v/>
      </c>
      <c r="AC174">
        <f>IF(ISNUMBER(AB174),IF(AB174&gt;$L$8,AA174,""),"")</f>
        <v/>
      </c>
      <c r="AD174">
        <f>IF(AND(ISNUMBER('자료_거시'!$M156),ISNUMBER('자료_거시'!$N156)),1,0)</f>
        <v/>
      </c>
      <c r="AE174">
        <f>IF(AND(ISNUMBER('자료_거시'!$M156),ISNUMBER('자료_거시'!$N156)),IF(AND(SUMIFS($AD$21:$AD$620,'자료_거시'!$M$3:$M$602,"&gt;"&amp;EDATE('자료_거시'!$M156,-'설정'!$B$17),'자료_거시'!$M$3:$M$602,"&lt;="&amp;'자료_거시'!$M156)=3,SUMIFS($AD$21:$AD$620,'자료_거시'!$M$3:$M$602,"&gt;"&amp;EDATE('자료_거시'!$M156,-12-'설정'!$B$17),'자료_거시'!$M$3:$M$602,"&lt;="&amp;EDATE('자료_거시'!$M156,-12))=3),IFERROR(SUMIFS('자료_거시'!$N$3:$N$602,'자료_거시'!$M$3:$M$602,"&gt;"&amp;EDATE('자료_거시'!$M156,-'설정'!$B$17),'자료_거시'!$M$3:$M$602,"&lt;="&amp;'자료_거시'!$M156)/SUMIFS('자료_거시'!$N$3:$N$602,'자료_거시'!$M$3:$M$602,"&gt;"&amp;EDATE('자료_거시'!$M156,-12-'설정'!$B$17),'자료_거시'!$M$3:$M$602,"&lt;="&amp;EDATE('자료_거시'!$M156,-12))-1,""),""),"")</f>
        <v/>
      </c>
      <c r="AF174">
        <f>IF(ISNUMBER(AE174),'자료_거시'!$M156,"")</f>
        <v/>
      </c>
      <c r="AG174">
        <f>IF(ISNUMBER(AF174),IF(AF174&gt;$L$9,AE174,""),"")</f>
        <v/>
      </c>
    </row>
    <row r="175">
      <c r="P175">
        <f>IF(AND(ISNUMBER('자료_거시'!$A157),ISNUMBER('자료_거시'!$B157)),'자료_거시'!$B157,"")</f>
        <v/>
      </c>
      <c r="Q175">
        <f>IF(ISNUMBER(P175),'자료_거시'!$A157,"")</f>
        <v/>
      </c>
      <c r="R175">
        <f>IF(ISNUMBER(Q175),IF(Q175&gt;$L$5,P175,""),"")</f>
        <v/>
      </c>
      <c r="S175">
        <f>IF(ISNUMBER('자료_거시'!$E157),'자료_거시'!$E157,S174)</f>
        <v/>
      </c>
      <c r="T175">
        <f>IF(AND(ISNUMBER('자료_거시'!$D157),ISNUMBER('자료_거시'!$E157)),IFERROR('자료_거시'!$E157-INDEX($S$21:$S$4020,MATCH(EDATE('자료_거시'!$D157,-'설정'!$B$17),'자료_거시'!$D$3:INDEX('자료_거시'!$D$3:$D$4002,$K$6),1)),""),"")</f>
        <v/>
      </c>
      <c r="U175">
        <f>IF(ISNUMBER(T175),'자료_거시'!$D157,"")</f>
        <v/>
      </c>
      <c r="V175">
        <f>IF(ISNUMBER(U175),IF(U175&gt;$L$6,T175,""),"")</f>
        <v/>
      </c>
      <c r="W175">
        <f>IF(AND(ISNUMBER('자료_거시'!$G157),ISNUMBER('자료_거시'!$H157)),'자료_거시'!$H157,"")</f>
        <v/>
      </c>
      <c r="X175">
        <f>IF(ISNUMBER(W175),'자료_거시'!$G157,"")</f>
        <v/>
      </c>
      <c r="Y175">
        <f>IF(ISNUMBER(X175),IF(X175&gt;$L$7,W175,""),"")</f>
        <v/>
      </c>
      <c r="Z175">
        <f>IF(ISNUMBER('자료_거시'!$K157),'자료_거시'!$K157,Z174)</f>
        <v/>
      </c>
      <c r="AA175">
        <f>IF(AND(ISNUMBER('자료_거시'!$J157),ISNUMBER('자료_거시'!$K157)),IFERROR('자료_거시'!$K157/INDEX($Z$21:$Z$4020,MATCH(EDATE('자료_거시'!$J157,-'설정'!$B$17),'자료_거시'!$J$3:INDEX('자료_거시'!$J$3:$J$4002,$K$8),1))-1,""),"")</f>
        <v/>
      </c>
      <c r="AB175">
        <f>IF(ISNUMBER(AA175),'자료_거시'!$J157,"")</f>
        <v/>
      </c>
      <c r="AC175">
        <f>IF(ISNUMBER(AB175),IF(AB175&gt;$L$8,AA175,""),"")</f>
        <v/>
      </c>
      <c r="AD175">
        <f>IF(AND(ISNUMBER('자료_거시'!$M157),ISNUMBER('자료_거시'!$N157)),1,0)</f>
        <v/>
      </c>
      <c r="AE175">
        <f>IF(AND(ISNUMBER('자료_거시'!$M157),ISNUMBER('자료_거시'!$N157)),IF(AND(SUMIFS($AD$21:$AD$620,'자료_거시'!$M$3:$M$602,"&gt;"&amp;EDATE('자료_거시'!$M157,-'설정'!$B$17),'자료_거시'!$M$3:$M$602,"&lt;="&amp;'자료_거시'!$M157)=3,SUMIFS($AD$21:$AD$620,'자료_거시'!$M$3:$M$602,"&gt;"&amp;EDATE('자료_거시'!$M157,-12-'설정'!$B$17),'자료_거시'!$M$3:$M$602,"&lt;="&amp;EDATE('자료_거시'!$M157,-12))=3),IFERROR(SUMIFS('자료_거시'!$N$3:$N$602,'자료_거시'!$M$3:$M$602,"&gt;"&amp;EDATE('자료_거시'!$M157,-'설정'!$B$17),'자료_거시'!$M$3:$M$602,"&lt;="&amp;'자료_거시'!$M157)/SUMIFS('자료_거시'!$N$3:$N$602,'자료_거시'!$M$3:$M$602,"&gt;"&amp;EDATE('자료_거시'!$M157,-12-'설정'!$B$17),'자료_거시'!$M$3:$M$602,"&lt;="&amp;EDATE('자료_거시'!$M157,-12))-1,""),""),"")</f>
        <v/>
      </c>
      <c r="AF175">
        <f>IF(ISNUMBER(AE175),'자료_거시'!$M157,"")</f>
        <v/>
      </c>
      <c r="AG175">
        <f>IF(ISNUMBER(AF175),IF(AF175&gt;$L$9,AE175,""),"")</f>
        <v/>
      </c>
    </row>
    <row r="176">
      <c r="P176">
        <f>IF(AND(ISNUMBER('자료_거시'!$A158),ISNUMBER('자료_거시'!$B158)),'자료_거시'!$B158,"")</f>
        <v/>
      </c>
      <c r="Q176">
        <f>IF(ISNUMBER(P176),'자료_거시'!$A158,"")</f>
        <v/>
      </c>
      <c r="R176">
        <f>IF(ISNUMBER(Q176),IF(Q176&gt;$L$5,P176,""),"")</f>
        <v/>
      </c>
      <c r="S176">
        <f>IF(ISNUMBER('자료_거시'!$E158),'자료_거시'!$E158,S175)</f>
        <v/>
      </c>
      <c r="T176">
        <f>IF(AND(ISNUMBER('자료_거시'!$D158),ISNUMBER('자료_거시'!$E158)),IFERROR('자료_거시'!$E158-INDEX($S$21:$S$4020,MATCH(EDATE('자료_거시'!$D158,-'설정'!$B$17),'자료_거시'!$D$3:INDEX('자료_거시'!$D$3:$D$4002,$K$6),1)),""),"")</f>
        <v/>
      </c>
      <c r="U176">
        <f>IF(ISNUMBER(T176),'자료_거시'!$D158,"")</f>
        <v/>
      </c>
      <c r="V176">
        <f>IF(ISNUMBER(U176),IF(U176&gt;$L$6,T176,""),"")</f>
        <v/>
      </c>
      <c r="W176">
        <f>IF(AND(ISNUMBER('자료_거시'!$G158),ISNUMBER('자료_거시'!$H158)),'자료_거시'!$H158,"")</f>
        <v/>
      </c>
      <c r="X176">
        <f>IF(ISNUMBER(W176),'자료_거시'!$G158,"")</f>
        <v/>
      </c>
      <c r="Y176">
        <f>IF(ISNUMBER(X176),IF(X176&gt;$L$7,W176,""),"")</f>
        <v/>
      </c>
      <c r="Z176">
        <f>IF(ISNUMBER('자료_거시'!$K158),'자료_거시'!$K158,Z175)</f>
        <v/>
      </c>
      <c r="AA176">
        <f>IF(AND(ISNUMBER('자료_거시'!$J158),ISNUMBER('자료_거시'!$K158)),IFERROR('자료_거시'!$K158/INDEX($Z$21:$Z$4020,MATCH(EDATE('자료_거시'!$J158,-'설정'!$B$17),'자료_거시'!$J$3:INDEX('자료_거시'!$J$3:$J$4002,$K$8),1))-1,""),"")</f>
        <v/>
      </c>
      <c r="AB176">
        <f>IF(ISNUMBER(AA176),'자료_거시'!$J158,"")</f>
        <v/>
      </c>
      <c r="AC176">
        <f>IF(ISNUMBER(AB176),IF(AB176&gt;$L$8,AA176,""),"")</f>
        <v/>
      </c>
      <c r="AD176">
        <f>IF(AND(ISNUMBER('자료_거시'!$M158),ISNUMBER('자료_거시'!$N158)),1,0)</f>
        <v/>
      </c>
      <c r="AE176">
        <f>IF(AND(ISNUMBER('자료_거시'!$M158),ISNUMBER('자료_거시'!$N158)),IF(AND(SUMIFS($AD$21:$AD$620,'자료_거시'!$M$3:$M$602,"&gt;"&amp;EDATE('자료_거시'!$M158,-'설정'!$B$17),'자료_거시'!$M$3:$M$602,"&lt;="&amp;'자료_거시'!$M158)=3,SUMIFS($AD$21:$AD$620,'자료_거시'!$M$3:$M$602,"&gt;"&amp;EDATE('자료_거시'!$M158,-12-'설정'!$B$17),'자료_거시'!$M$3:$M$602,"&lt;="&amp;EDATE('자료_거시'!$M158,-12))=3),IFERROR(SUMIFS('자료_거시'!$N$3:$N$602,'자료_거시'!$M$3:$M$602,"&gt;"&amp;EDATE('자료_거시'!$M158,-'설정'!$B$17),'자료_거시'!$M$3:$M$602,"&lt;="&amp;'자료_거시'!$M158)/SUMIFS('자료_거시'!$N$3:$N$602,'자료_거시'!$M$3:$M$602,"&gt;"&amp;EDATE('자료_거시'!$M158,-12-'설정'!$B$17),'자료_거시'!$M$3:$M$602,"&lt;="&amp;EDATE('자료_거시'!$M158,-12))-1,""),""),"")</f>
        <v/>
      </c>
      <c r="AF176">
        <f>IF(ISNUMBER(AE176),'자료_거시'!$M158,"")</f>
        <v/>
      </c>
      <c r="AG176">
        <f>IF(ISNUMBER(AF176),IF(AF176&gt;$L$9,AE176,""),"")</f>
        <v/>
      </c>
    </row>
    <row r="177">
      <c r="P177">
        <f>IF(AND(ISNUMBER('자료_거시'!$A159),ISNUMBER('자료_거시'!$B159)),'자료_거시'!$B159,"")</f>
        <v/>
      </c>
      <c r="Q177">
        <f>IF(ISNUMBER(P177),'자료_거시'!$A159,"")</f>
        <v/>
      </c>
      <c r="R177">
        <f>IF(ISNUMBER(Q177),IF(Q177&gt;$L$5,P177,""),"")</f>
        <v/>
      </c>
      <c r="S177">
        <f>IF(ISNUMBER('자료_거시'!$E159),'자료_거시'!$E159,S176)</f>
        <v/>
      </c>
      <c r="T177">
        <f>IF(AND(ISNUMBER('자료_거시'!$D159),ISNUMBER('자료_거시'!$E159)),IFERROR('자료_거시'!$E159-INDEX($S$21:$S$4020,MATCH(EDATE('자료_거시'!$D159,-'설정'!$B$17),'자료_거시'!$D$3:INDEX('자료_거시'!$D$3:$D$4002,$K$6),1)),""),"")</f>
        <v/>
      </c>
      <c r="U177">
        <f>IF(ISNUMBER(T177),'자료_거시'!$D159,"")</f>
        <v/>
      </c>
      <c r="V177">
        <f>IF(ISNUMBER(U177),IF(U177&gt;$L$6,T177,""),"")</f>
        <v/>
      </c>
      <c r="W177">
        <f>IF(AND(ISNUMBER('자료_거시'!$G159),ISNUMBER('자료_거시'!$H159)),'자료_거시'!$H159,"")</f>
        <v/>
      </c>
      <c r="X177">
        <f>IF(ISNUMBER(W177),'자료_거시'!$G159,"")</f>
        <v/>
      </c>
      <c r="Y177">
        <f>IF(ISNUMBER(X177),IF(X177&gt;$L$7,W177,""),"")</f>
        <v/>
      </c>
      <c r="Z177">
        <f>IF(ISNUMBER('자료_거시'!$K159),'자료_거시'!$K159,Z176)</f>
        <v/>
      </c>
      <c r="AA177">
        <f>IF(AND(ISNUMBER('자료_거시'!$J159),ISNUMBER('자료_거시'!$K159)),IFERROR('자료_거시'!$K159/INDEX($Z$21:$Z$4020,MATCH(EDATE('자료_거시'!$J159,-'설정'!$B$17),'자료_거시'!$J$3:INDEX('자료_거시'!$J$3:$J$4002,$K$8),1))-1,""),"")</f>
        <v/>
      </c>
      <c r="AB177">
        <f>IF(ISNUMBER(AA177),'자료_거시'!$J159,"")</f>
        <v/>
      </c>
      <c r="AC177">
        <f>IF(ISNUMBER(AB177),IF(AB177&gt;$L$8,AA177,""),"")</f>
        <v/>
      </c>
      <c r="AD177">
        <f>IF(AND(ISNUMBER('자료_거시'!$M159),ISNUMBER('자료_거시'!$N159)),1,0)</f>
        <v/>
      </c>
      <c r="AE177">
        <f>IF(AND(ISNUMBER('자료_거시'!$M159),ISNUMBER('자료_거시'!$N159)),IF(AND(SUMIFS($AD$21:$AD$620,'자료_거시'!$M$3:$M$602,"&gt;"&amp;EDATE('자료_거시'!$M159,-'설정'!$B$17),'자료_거시'!$M$3:$M$602,"&lt;="&amp;'자료_거시'!$M159)=3,SUMIFS($AD$21:$AD$620,'자료_거시'!$M$3:$M$602,"&gt;"&amp;EDATE('자료_거시'!$M159,-12-'설정'!$B$17),'자료_거시'!$M$3:$M$602,"&lt;="&amp;EDATE('자료_거시'!$M159,-12))=3),IFERROR(SUMIFS('자료_거시'!$N$3:$N$602,'자료_거시'!$M$3:$M$602,"&gt;"&amp;EDATE('자료_거시'!$M159,-'설정'!$B$17),'자료_거시'!$M$3:$M$602,"&lt;="&amp;'자료_거시'!$M159)/SUMIFS('자료_거시'!$N$3:$N$602,'자료_거시'!$M$3:$M$602,"&gt;"&amp;EDATE('자료_거시'!$M159,-12-'설정'!$B$17),'자료_거시'!$M$3:$M$602,"&lt;="&amp;EDATE('자료_거시'!$M159,-12))-1,""),""),"")</f>
        <v/>
      </c>
      <c r="AF177">
        <f>IF(ISNUMBER(AE177),'자료_거시'!$M159,"")</f>
        <v/>
      </c>
      <c r="AG177">
        <f>IF(ISNUMBER(AF177),IF(AF177&gt;$L$9,AE177,""),"")</f>
        <v/>
      </c>
    </row>
    <row r="178">
      <c r="P178">
        <f>IF(AND(ISNUMBER('자료_거시'!$A160),ISNUMBER('자료_거시'!$B160)),'자료_거시'!$B160,"")</f>
        <v/>
      </c>
      <c r="Q178">
        <f>IF(ISNUMBER(P178),'자료_거시'!$A160,"")</f>
        <v/>
      </c>
      <c r="R178">
        <f>IF(ISNUMBER(Q178),IF(Q178&gt;$L$5,P178,""),"")</f>
        <v/>
      </c>
      <c r="S178">
        <f>IF(ISNUMBER('자료_거시'!$E160),'자료_거시'!$E160,S177)</f>
        <v/>
      </c>
      <c r="T178">
        <f>IF(AND(ISNUMBER('자료_거시'!$D160),ISNUMBER('자료_거시'!$E160)),IFERROR('자료_거시'!$E160-INDEX($S$21:$S$4020,MATCH(EDATE('자료_거시'!$D160,-'설정'!$B$17),'자료_거시'!$D$3:INDEX('자료_거시'!$D$3:$D$4002,$K$6),1)),""),"")</f>
        <v/>
      </c>
      <c r="U178">
        <f>IF(ISNUMBER(T178),'자료_거시'!$D160,"")</f>
        <v/>
      </c>
      <c r="V178">
        <f>IF(ISNUMBER(U178),IF(U178&gt;$L$6,T178,""),"")</f>
        <v/>
      </c>
      <c r="W178">
        <f>IF(AND(ISNUMBER('자료_거시'!$G160),ISNUMBER('자료_거시'!$H160)),'자료_거시'!$H160,"")</f>
        <v/>
      </c>
      <c r="X178">
        <f>IF(ISNUMBER(W178),'자료_거시'!$G160,"")</f>
        <v/>
      </c>
      <c r="Y178">
        <f>IF(ISNUMBER(X178),IF(X178&gt;$L$7,W178,""),"")</f>
        <v/>
      </c>
      <c r="Z178">
        <f>IF(ISNUMBER('자료_거시'!$K160),'자료_거시'!$K160,Z177)</f>
        <v/>
      </c>
      <c r="AA178">
        <f>IF(AND(ISNUMBER('자료_거시'!$J160),ISNUMBER('자료_거시'!$K160)),IFERROR('자료_거시'!$K160/INDEX($Z$21:$Z$4020,MATCH(EDATE('자료_거시'!$J160,-'설정'!$B$17),'자료_거시'!$J$3:INDEX('자료_거시'!$J$3:$J$4002,$K$8),1))-1,""),"")</f>
        <v/>
      </c>
      <c r="AB178">
        <f>IF(ISNUMBER(AA178),'자료_거시'!$J160,"")</f>
        <v/>
      </c>
      <c r="AC178">
        <f>IF(ISNUMBER(AB178),IF(AB178&gt;$L$8,AA178,""),"")</f>
        <v/>
      </c>
      <c r="AD178">
        <f>IF(AND(ISNUMBER('자료_거시'!$M160),ISNUMBER('자료_거시'!$N160)),1,0)</f>
        <v/>
      </c>
      <c r="AE178">
        <f>IF(AND(ISNUMBER('자료_거시'!$M160),ISNUMBER('자료_거시'!$N160)),IF(AND(SUMIFS($AD$21:$AD$620,'자료_거시'!$M$3:$M$602,"&gt;"&amp;EDATE('자료_거시'!$M160,-'설정'!$B$17),'자료_거시'!$M$3:$M$602,"&lt;="&amp;'자료_거시'!$M160)=3,SUMIFS($AD$21:$AD$620,'자료_거시'!$M$3:$M$602,"&gt;"&amp;EDATE('자료_거시'!$M160,-12-'설정'!$B$17),'자료_거시'!$M$3:$M$602,"&lt;="&amp;EDATE('자료_거시'!$M160,-12))=3),IFERROR(SUMIFS('자료_거시'!$N$3:$N$602,'자료_거시'!$M$3:$M$602,"&gt;"&amp;EDATE('자료_거시'!$M160,-'설정'!$B$17),'자료_거시'!$M$3:$M$602,"&lt;="&amp;'자료_거시'!$M160)/SUMIFS('자료_거시'!$N$3:$N$602,'자료_거시'!$M$3:$M$602,"&gt;"&amp;EDATE('자료_거시'!$M160,-12-'설정'!$B$17),'자료_거시'!$M$3:$M$602,"&lt;="&amp;EDATE('자료_거시'!$M160,-12))-1,""),""),"")</f>
        <v/>
      </c>
      <c r="AF178">
        <f>IF(ISNUMBER(AE178),'자료_거시'!$M160,"")</f>
        <v/>
      </c>
      <c r="AG178">
        <f>IF(ISNUMBER(AF178),IF(AF178&gt;$L$9,AE178,""),"")</f>
        <v/>
      </c>
    </row>
    <row r="179">
      <c r="P179">
        <f>IF(AND(ISNUMBER('자료_거시'!$A161),ISNUMBER('자료_거시'!$B161)),'자료_거시'!$B161,"")</f>
        <v/>
      </c>
      <c r="Q179">
        <f>IF(ISNUMBER(P179),'자료_거시'!$A161,"")</f>
        <v/>
      </c>
      <c r="R179">
        <f>IF(ISNUMBER(Q179),IF(Q179&gt;$L$5,P179,""),"")</f>
        <v/>
      </c>
      <c r="S179">
        <f>IF(ISNUMBER('자료_거시'!$E161),'자료_거시'!$E161,S178)</f>
        <v/>
      </c>
      <c r="T179">
        <f>IF(AND(ISNUMBER('자료_거시'!$D161),ISNUMBER('자료_거시'!$E161)),IFERROR('자료_거시'!$E161-INDEX($S$21:$S$4020,MATCH(EDATE('자료_거시'!$D161,-'설정'!$B$17),'자료_거시'!$D$3:INDEX('자료_거시'!$D$3:$D$4002,$K$6),1)),""),"")</f>
        <v/>
      </c>
      <c r="U179">
        <f>IF(ISNUMBER(T179),'자료_거시'!$D161,"")</f>
        <v/>
      </c>
      <c r="V179">
        <f>IF(ISNUMBER(U179),IF(U179&gt;$L$6,T179,""),"")</f>
        <v/>
      </c>
      <c r="W179">
        <f>IF(AND(ISNUMBER('자료_거시'!$G161),ISNUMBER('자료_거시'!$H161)),'자료_거시'!$H161,"")</f>
        <v/>
      </c>
      <c r="X179">
        <f>IF(ISNUMBER(W179),'자료_거시'!$G161,"")</f>
        <v/>
      </c>
      <c r="Y179">
        <f>IF(ISNUMBER(X179),IF(X179&gt;$L$7,W179,""),"")</f>
        <v/>
      </c>
      <c r="Z179">
        <f>IF(ISNUMBER('자료_거시'!$K161),'자료_거시'!$K161,Z178)</f>
        <v/>
      </c>
      <c r="AA179">
        <f>IF(AND(ISNUMBER('자료_거시'!$J161),ISNUMBER('자료_거시'!$K161)),IFERROR('자료_거시'!$K161/INDEX($Z$21:$Z$4020,MATCH(EDATE('자료_거시'!$J161,-'설정'!$B$17),'자료_거시'!$J$3:INDEX('자료_거시'!$J$3:$J$4002,$K$8),1))-1,""),"")</f>
        <v/>
      </c>
      <c r="AB179">
        <f>IF(ISNUMBER(AA179),'자료_거시'!$J161,"")</f>
        <v/>
      </c>
      <c r="AC179">
        <f>IF(ISNUMBER(AB179),IF(AB179&gt;$L$8,AA179,""),"")</f>
        <v/>
      </c>
      <c r="AD179">
        <f>IF(AND(ISNUMBER('자료_거시'!$M161),ISNUMBER('자료_거시'!$N161)),1,0)</f>
        <v/>
      </c>
      <c r="AE179">
        <f>IF(AND(ISNUMBER('자료_거시'!$M161),ISNUMBER('자료_거시'!$N161)),IF(AND(SUMIFS($AD$21:$AD$620,'자료_거시'!$M$3:$M$602,"&gt;"&amp;EDATE('자료_거시'!$M161,-'설정'!$B$17),'자료_거시'!$M$3:$M$602,"&lt;="&amp;'자료_거시'!$M161)=3,SUMIFS($AD$21:$AD$620,'자료_거시'!$M$3:$M$602,"&gt;"&amp;EDATE('자료_거시'!$M161,-12-'설정'!$B$17),'자료_거시'!$M$3:$M$602,"&lt;="&amp;EDATE('자료_거시'!$M161,-12))=3),IFERROR(SUMIFS('자료_거시'!$N$3:$N$602,'자료_거시'!$M$3:$M$602,"&gt;"&amp;EDATE('자료_거시'!$M161,-'설정'!$B$17),'자료_거시'!$M$3:$M$602,"&lt;="&amp;'자료_거시'!$M161)/SUMIFS('자료_거시'!$N$3:$N$602,'자료_거시'!$M$3:$M$602,"&gt;"&amp;EDATE('자료_거시'!$M161,-12-'설정'!$B$17),'자료_거시'!$M$3:$M$602,"&lt;="&amp;EDATE('자료_거시'!$M161,-12))-1,""),""),"")</f>
        <v/>
      </c>
      <c r="AF179">
        <f>IF(ISNUMBER(AE179),'자료_거시'!$M161,"")</f>
        <v/>
      </c>
      <c r="AG179">
        <f>IF(ISNUMBER(AF179),IF(AF179&gt;$L$9,AE179,""),"")</f>
        <v/>
      </c>
    </row>
    <row r="180">
      <c r="P180">
        <f>IF(AND(ISNUMBER('자료_거시'!$A162),ISNUMBER('자료_거시'!$B162)),'자료_거시'!$B162,"")</f>
        <v/>
      </c>
      <c r="Q180">
        <f>IF(ISNUMBER(P180),'자료_거시'!$A162,"")</f>
        <v/>
      </c>
      <c r="R180">
        <f>IF(ISNUMBER(Q180),IF(Q180&gt;$L$5,P180,""),"")</f>
        <v/>
      </c>
      <c r="S180">
        <f>IF(ISNUMBER('자료_거시'!$E162),'자료_거시'!$E162,S179)</f>
        <v/>
      </c>
      <c r="T180">
        <f>IF(AND(ISNUMBER('자료_거시'!$D162),ISNUMBER('자료_거시'!$E162)),IFERROR('자료_거시'!$E162-INDEX($S$21:$S$4020,MATCH(EDATE('자료_거시'!$D162,-'설정'!$B$17),'자료_거시'!$D$3:INDEX('자료_거시'!$D$3:$D$4002,$K$6),1)),""),"")</f>
        <v/>
      </c>
      <c r="U180">
        <f>IF(ISNUMBER(T180),'자료_거시'!$D162,"")</f>
        <v/>
      </c>
      <c r="V180">
        <f>IF(ISNUMBER(U180),IF(U180&gt;$L$6,T180,""),"")</f>
        <v/>
      </c>
      <c r="W180">
        <f>IF(AND(ISNUMBER('자료_거시'!$G162),ISNUMBER('자료_거시'!$H162)),'자료_거시'!$H162,"")</f>
        <v/>
      </c>
      <c r="X180">
        <f>IF(ISNUMBER(W180),'자료_거시'!$G162,"")</f>
        <v/>
      </c>
      <c r="Y180">
        <f>IF(ISNUMBER(X180),IF(X180&gt;$L$7,W180,""),"")</f>
        <v/>
      </c>
      <c r="Z180">
        <f>IF(ISNUMBER('자료_거시'!$K162),'자료_거시'!$K162,Z179)</f>
        <v/>
      </c>
      <c r="AA180">
        <f>IF(AND(ISNUMBER('자료_거시'!$J162),ISNUMBER('자료_거시'!$K162)),IFERROR('자료_거시'!$K162/INDEX($Z$21:$Z$4020,MATCH(EDATE('자료_거시'!$J162,-'설정'!$B$17),'자료_거시'!$J$3:INDEX('자료_거시'!$J$3:$J$4002,$K$8),1))-1,""),"")</f>
        <v/>
      </c>
      <c r="AB180">
        <f>IF(ISNUMBER(AA180),'자료_거시'!$J162,"")</f>
        <v/>
      </c>
      <c r="AC180">
        <f>IF(ISNUMBER(AB180),IF(AB180&gt;$L$8,AA180,""),"")</f>
        <v/>
      </c>
      <c r="AD180">
        <f>IF(AND(ISNUMBER('자료_거시'!$M162),ISNUMBER('자료_거시'!$N162)),1,0)</f>
        <v/>
      </c>
      <c r="AE180">
        <f>IF(AND(ISNUMBER('자료_거시'!$M162),ISNUMBER('자료_거시'!$N162)),IF(AND(SUMIFS($AD$21:$AD$620,'자료_거시'!$M$3:$M$602,"&gt;"&amp;EDATE('자료_거시'!$M162,-'설정'!$B$17),'자료_거시'!$M$3:$M$602,"&lt;="&amp;'자료_거시'!$M162)=3,SUMIFS($AD$21:$AD$620,'자료_거시'!$M$3:$M$602,"&gt;"&amp;EDATE('자료_거시'!$M162,-12-'설정'!$B$17),'자료_거시'!$M$3:$M$602,"&lt;="&amp;EDATE('자료_거시'!$M162,-12))=3),IFERROR(SUMIFS('자료_거시'!$N$3:$N$602,'자료_거시'!$M$3:$M$602,"&gt;"&amp;EDATE('자료_거시'!$M162,-'설정'!$B$17),'자료_거시'!$M$3:$M$602,"&lt;="&amp;'자료_거시'!$M162)/SUMIFS('자료_거시'!$N$3:$N$602,'자료_거시'!$M$3:$M$602,"&gt;"&amp;EDATE('자료_거시'!$M162,-12-'설정'!$B$17),'자료_거시'!$M$3:$M$602,"&lt;="&amp;EDATE('자료_거시'!$M162,-12))-1,""),""),"")</f>
        <v/>
      </c>
      <c r="AF180">
        <f>IF(ISNUMBER(AE180),'자료_거시'!$M162,"")</f>
        <v/>
      </c>
      <c r="AG180">
        <f>IF(ISNUMBER(AF180),IF(AF180&gt;$L$9,AE180,""),"")</f>
        <v/>
      </c>
    </row>
    <row r="181">
      <c r="P181">
        <f>IF(AND(ISNUMBER('자료_거시'!$A163),ISNUMBER('자료_거시'!$B163)),'자료_거시'!$B163,"")</f>
        <v/>
      </c>
      <c r="Q181">
        <f>IF(ISNUMBER(P181),'자료_거시'!$A163,"")</f>
        <v/>
      </c>
      <c r="R181">
        <f>IF(ISNUMBER(Q181),IF(Q181&gt;$L$5,P181,""),"")</f>
        <v/>
      </c>
      <c r="S181">
        <f>IF(ISNUMBER('자료_거시'!$E163),'자료_거시'!$E163,S180)</f>
        <v/>
      </c>
      <c r="T181">
        <f>IF(AND(ISNUMBER('자료_거시'!$D163),ISNUMBER('자료_거시'!$E163)),IFERROR('자료_거시'!$E163-INDEX($S$21:$S$4020,MATCH(EDATE('자료_거시'!$D163,-'설정'!$B$17),'자료_거시'!$D$3:INDEX('자료_거시'!$D$3:$D$4002,$K$6),1)),""),"")</f>
        <v/>
      </c>
      <c r="U181">
        <f>IF(ISNUMBER(T181),'자료_거시'!$D163,"")</f>
        <v/>
      </c>
      <c r="V181">
        <f>IF(ISNUMBER(U181),IF(U181&gt;$L$6,T181,""),"")</f>
        <v/>
      </c>
      <c r="W181">
        <f>IF(AND(ISNUMBER('자료_거시'!$G163),ISNUMBER('자료_거시'!$H163)),'자료_거시'!$H163,"")</f>
        <v/>
      </c>
      <c r="X181">
        <f>IF(ISNUMBER(W181),'자료_거시'!$G163,"")</f>
        <v/>
      </c>
      <c r="Y181">
        <f>IF(ISNUMBER(X181),IF(X181&gt;$L$7,W181,""),"")</f>
        <v/>
      </c>
      <c r="Z181">
        <f>IF(ISNUMBER('자료_거시'!$K163),'자료_거시'!$K163,Z180)</f>
        <v/>
      </c>
      <c r="AA181">
        <f>IF(AND(ISNUMBER('자료_거시'!$J163),ISNUMBER('자료_거시'!$K163)),IFERROR('자료_거시'!$K163/INDEX($Z$21:$Z$4020,MATCH(EDATE('자료_거시'!$J163,-'설정'!$B$17),'자료_거시'!$J$3:INDEX('자료_거시'!$J$3:$J$4002,$K$8),1))-1,""),"")</f>
        <v/>
      </c>
      <c r="AB181">
        <f>IF(ISNUMBER(AA181),'자료_거시'!$J163,"")</f>
        <v/>
      </c>
      <c r="AC181">
        <f>IF(ISNUMBER(AB181),IF(AB181&gt;$L$8,AA181,""),"")</f>
        <v/>
      </c>
      <c r="AD181">
        <f>IF(AND(ISNUMBER('자료_거시'!$M163),ISNUMBER('자료_거시'!$N163)),1,0)</f>
        <v/>
      </c>
      <c r="AE181">
        <f>IF(AND(ISNUMBER('자료_거시'!$M163),ISNUMBER('자료_거시'!$N163)),IF(AND(SUMIFS($AD$21:$AD$620,'자료_거시'!$M$3:$M$602,"&gt;"&amp;EDATE('자료_거시'!$M163,-'설정'!$B$17),'자료_거시'!$M$3:$M$602,"&lt;="&amp;'자료_거시'!$M163)=3,SUMIFS($AD$21:$AD$620,'자료_거시'!$M$3:$M$602,"&gt;"&amp;EDATE('자료_거시'!$M163,-12-'설정'!$B$17),'자료_거시'!$M$3:$M$602,"&lt;="&amp;EDATE('자료_거시'!$M163,-12))=3),IFERROR(SUMIFS('자료_거시'!$N$3:$N$602,'자료_거시'!$M$3:$M$602,"&gt;"&amp;EDATE('자료_거시'!$M163,-'설정'!$B$17),'자료_거시'!$M$3:$M$602,"&lt;="&amp;'자료_거시'!$M163)/SUMIFS('자료_거시'!$N$3:$N$602,'자료_거시'!$M$3:$M$602,"&gt;"&amp;EDATE('자료_거시'!$M163,-12-'설정'!$B$17),'자료_거시'!$M$3:$M$602,"&lt;="&amp;EDATE('자료_거시'!$M163,-12))-1,""),""),"")</f>
        <v/>
      </c>
      <c r="AF181">
        <f>IF(ISNUMBER(AE181),'자료_거시'!$M163,"")</f>
        <v/>
      </c>
      <c r="AG181">
        <f>IF(ISNUMBER(AF181),IF(AF181&gt;$L$9,AE181,""),"")</f>
        <v/>
      </c>
    </row>
    <row r="182">
      <c r="P182">
        <f>IF(AND(ISNUMBER('자료_거시'!$A164),ISNUMBER('자료_거시'!$B164)),'자료_거시'!$B164,"")</f>
        <v/>
      </c>
      <c r="Q182">
        <f>IF(ISNUMBER(P182),'자료_거시'!$A164,"")</f>
        <v/>
      </c>
      <c r="R182">
        <f>IF(ISNUMBER(Q182),IF(Q182&gt;$L$5,P182,""),"")</f>
        <v/>
      </c>
      <c r="S182">
        <f>IF(ISNUMBER('자료_거시'!$E164),'자료_거시'!$E164,S181)</f>
        <v/>
      </c>
      <c r="T182">
        <f>IF(AND(ISNUMBER('자료_거시'!$D164),ISNUMBER('자료_거시'!$E164)),IFERROR('자료_거시'!$E164-INDEX($S$21:$S$4020,MATCH(EDATE('자료_거시'!$D164,-'설정'!$B$17),'자료_거시'!$D$3:INDEX('자료_거시'!$D$3:$D$4002,$K$6),1)),""),"")</f>
        <v/>
      </c>
      <c r="U182">
        <f>IF(ISNUMBER(T182),'자료_거시'!$D164,"")</f>
        <v/>
      </c>
      <c r="V182">
        <f>IF(ISNUMBER(U182),IF(U182&gt;$L$6,T182,""),"")</f>
        <v/>
      </c>
      <c r="W182">
        <f>IF(AND(ISNUMBER('자료_거시'!$G164),ISNUMBER('자료_거시'!$H164)),'자료_거시'!$H164,"")</f>
        <v/>
      </c>
      <c r="X182">
        <f>IF(ISNUMBER(W182),'자료_거시'!$G164,"")</f>
        <v/>
      </c>
      <c r="Y182">
        <f>IF(ISNUMBER(X182),IF(X182&gt;$L$7,W182,""),"")</f>
        <v/>
      </c>
      <c r="Z182">
        <f>IF(ISNUMBER('자료_거시'!$K164),'자료_거시'!$K164,Z181)</f>
        <v/>
      </c>
      <c r="AA182">
        <f>IF(AND(ISNUMBER('자료_거시'!$J164),ISNUMBER('자료_거시'!$K164)),IFERROR('자료_거시'!$K164/INDEX($Z$21:$Z$4020,MATCH(EDATE('자료_거시'!$J164,-'설정'!$B$17),'자료_거시'!$J$3:INDEX('자료_거시'!$J$3:$J$4002,$K$8),1))-1,""),"")</f>
        <v/>
      </c>
      <c r="AB182">
        <f>IF(ISNUMBER(AA182),'자료_거시'!$J164,"")</f>
        <v/>
      </c>
      <c r="AC182">
        <f>IF(ISNUMBER(AB182),IF(AB182&gt;$L$8,AA182,""),"")</f>
        <v/>
      </c>
      <c r="AD182">
        <f>IF(AND(ISNUMBER('자료_거시'!$M164),ISNUMBER('자료_거시'!$N164)),1,0)</f>
        <v/>
      </c>
      <c r="AE182">
        <f>IF(AND(ISNUMBER('자료_거시'!$M164),ISNUMBER('자료_거시'!$N164)),IF(AND(SUMIFS($AD$21:$AD$620,'자료_거시'!$M$3:$M$602,"&gt;"&amp;EDATE('자료_거시'!$M164,-'설정'!$B$17),'자료_거시'!$M$3:$M$602,"&lt;="&amp;'자료_거시'!$M164)=3,SUMIFS($AD$21:$AD$620,'자료_거시'!$M$3:$M$602,"&gt;"&amp;EDATE('자료_거시'!$M164,-12-'설정'!$B$17),'자료_거시'!$M$3:$M$602,"&lt;="&amp;EDATE('자료_거시'!$M164,-12))=3),IFERROR(SUMIFS('자료_거시'!$N$3:$N$602,'자료_거시'!$M$3:$M$602,"&gt;"&amp;EDATE('자료_거시'!$M164,-'설정'!$B$17),'자료_거시'!$M$3:$M$602,"&lt;="&amp;'자료_거시'!$M164)/SUMIFS('자료_거시'!$N$3:$N$602,'자료_거시'!$M$3:$M$602,"&gt;"&amp;EDATE('자료_거시'!$M164,-12-'설정'!$B$17),'자료_거시'!$M$3:$M$602,"&lt;="&amp;EDATE('자료_거시'!$M164,-12))-1,""),""),"")</f>
        <v/>
      </c>
      <c r="AF182">
        <f>IF(ISNUMBER(AE182),'자료_거시'!$M164,"")</f>
        <v/>
      </c>
      <c r="AG182">
        <f>IF(ISNUMBER(AF182),IF(AF182&gt;$L$9,AE182,""),"")</f>
        <v/>
      </c>
    </row>
    <row r="183">
      <c r="P183">
        <f>IF(AND(ISNUMBER('자료_거시'!$A165),ISNUMBER('자료_거시'!$B165)),'자료_거시'!$B165,"")</f>
        <v/>
      </c>
      <c r="Q183">
        <f>IF(ISNUMBER(P183),'자료_거시'!$A165,"")</f>
        <v/>
      </c>
      <c r="R183">
        <f>IF(ISNUMBER(Q183),IF(Q183&gt;$L$5,P183,""),"")</f>
        <v/>
      </c>
      <c r="S183">
        <f>IF(ISNUMBER('자료_거시'!$E165),'자료_거시'!$E165,S182)</f>
        <v/>
      </c>
      <c r="T183">
        <f>IF(AND(ISNUMBER('자료_거시'!$D165),ISNUMBER('자료_거시'!$E165)),IFERROR('자료_거시'!$E165-INDEX($S$21:$S$4020,MATCH(EDATE('자료_거시'!$D165,-'설정'!$B$17),'자료_거시'!$D$3:INDEX('자료_거시'!$D$3:$D$4002,$K$6),1)),""),"")</f>
        <v/>
      </c>
      <c r="U183">
        <f>IF(ISNUMBER(T183),'자료_거시'!$D165,"")</f>
        <v/>
      </c>
      <c r="V183">
        <f>IF(ISNUMBER(U183),IF(U183&gt;$L$6,T183,""),"")</f>
        <v/>
      </c>
      <c r="W183">
        <f>IF(AND(ISNUMBER('자료_거시'!$G165),ISNUMBER('자료_거시'!$H165)),'자료_거시'!$H165,"")</f>
        <v/>
      </c>
      <c r="X183">
        <f>IF(ISNUMBER(W183),'자료_거시'!$G165,"")</f>
        <v/>
      </c>
      <c r="Y183">
        <f>IF(ISNUMBER(X183),IF(X183&gt;$L$7,W183,""),"")</f>
        <v/>
      </c>
      <c r="Z183">
        <f>IF(ISNUMBER('자료_거시'!$K165),'자료_거시'!$K165,Z182)</f>
        <v/>
      </c>
      <c r="AA183">
        <f>IF(AND(ISNUMBER('자료_거시'!$J165),ISNUMBER('자료_거시'!$K165)),IFERROR('자료_거시'!$K165/INDEX($Z$21:$Z$4020,MATCH(EDATE('자료_거시'!$J165,-'설정'!$B$17),'자료_거시'!$J$3:INDEX('자료_거시'!$J$3:$J$4002,$K$8),1))-1,""),"")</f>
        <v/>
      </c>
      <c r="AB183">
        <f>IF(ISNUMBER(AA183),'자료_거시'!$J165,"")</f>
        <v/>
      </c>
      <c r="AC183">
        <f>IF(ISNUMBER(AB183),IF(AB183&gt;$L$8,AA183,""),"")</f>
        <v/>
      </c>
      <c r="AD183">
        <f>IF(AND(ISNUMBER('자료_거시'!$M165),ISNUMBER('자료_거시'!$N165)),1,0)</f>
        <v/>
      </c>
      <c r="AE183">
        <f>IF(AND(ISNUMBER('자료_거시'!$M165),ISNUMBER('자료_거시'!$N165)),IF(AND(SUMIFS($AD$21:$AD$620,'자료_거시'!$M$3:$M$602,"&gt;"&amp;EDATE('자료_거시'!$M165,-'설정'!$B$17),'자료_거시'!$M$3:$M$602,"&lt;="&amp;'자료_거시'!$M165)=3,SUMIFS($AD$21:$AD$620,'자료_거시'!$M$3:$M$602,"&gt;"&amp;EDATE('자료_거시'!$M165,-12-'설정'!$B$17),'자료_거시'!$M$3:$M$602,"&lt;="&amp;EDATE('자료_거시'!$M165,-12))=3),IFERROR(SUMIFS('자료_거시'!$N$3:$N$602,'자료_거시'!$M$3:$M$602,"&gt;"&amp;EDATE('자료_거시'!$M165,-'설정'!$B$17),'자료_거시'!$M$3:$M$602,"&lt;="&amp;'자료_거시'!$M165)/SUMIFS('자료_거시'!$N$3:$N$602,'자료_거시'!$M$3:$M$602,"&gt;"&amp;EDATE('자료_거시'!$M165,-12-'설정'!$B$17),'자료_거시'!$M$3:$M$602,"&lt;="&amp;EDATE('자료_거시'!$M165,-12))-1,""),""),"")</f>
        <v/>
      </c>
      <c r="AF183">
        <f>IF(ISNUMBER(AE183),'자료_거시'!$M165,"")</f>
        <v/>
      </c>
      <c r="AG183">
        <f>IF(ISNUMBER(AF183),IF(AF183&gt;$L$9,AE183,""),"")</f>
        <v/>
      </c>
    </row>
    <row r="184">
      <c r="P184">
        <f>IF(AND(ISNUMBER('자료_거시'!$A166),ISNUMBER('자료_거시'!$B166)),'자료_거시'!$B166,"")</f>
        <v/>
      </c>
      <c r="Q184">
        <f>IF(ISNUMBER(P184),'자료_거시'!$A166,"")</f>
        <v/>
      </c>
      <c r="R184">
        <f>IF(ISNUMBER(Q184),IF(Q184&gt;$L$5,P184,""),"")</f>
        <v/>
      </c>
      <c r="S184">
        <f>IF(ISNUMBER('자료_거시'!$E166),'자료_거시'!$E166,S183)</f>
        <v/>
      </c>
      <c r="T184">
        <f>IF(AND(ISNUMBER('자료_거시'!$D166),ISNUMBER('자료_거시'!$E166)),IFERROR('자료_거시'!$E166-INDEX($S$21:$S$4020,MATCH(EDATE('자료_거시'!$D166,-'설정'!$B$17),'자료_거시'!$D$3:INDEX('자료_거시'!$D$3:$D$4002,$K$6),1)),""),"")</f>
        <v/>
      </c>
      <c r="U184">
        <f>IF(ISNUMBER(T184),'자료_거시'!$D166,"")</f>
        <v/>
      </c>
      <c r="V184">
        <f>IF(ISNUMBER(U184),IF(U184&gt;$L$6,T184,""),"")</f>
        <v/>
      </c>
      <c r="W184">
        <f>IF(AND(ISNUMBER('자료_거시'!$G166),ISNUMBER('자료_거시'!$H166)),'자료_거시'!$H166,"")</f>
        <v/>
      </c>
      <c r="X184">
        <f>IF(ISNUMBER(W184),'자료_거시'!$G166,"")</f>
        <v/>
      </c>
      <c r="Y184">
        <f>IF(ISNUMBER(X184),IF(X184&gt;$L$7,W184,""),"")</f>
        <v/>
      </c>
      <c r="Z184">
        <f>IF(ISNUMBER('자료_거시'!$K166),'자료_거시'!$K166,Z183)</f>
        <v/>
      </c>
      <c r="AA184">
        <f>IF(AND(ISNUMBER('자료_거시'!$J166),ISNUMBER('자료_거시'!$K166)),IFERROR('자료_거시'!$K166/INDEX($Z$21:$Z$4020,MATCH(EDATE('자료_거시'!$J166,-'설정'!$B$17),'자료_거시'!$J$3:INDEX('자료_거시'!$J$3:$J$4002,$K$8),1))-1,""),"")</f>
        <v/>
      </c>
      <c r="AB184">
        <f>IF(ISNUMBER(AA184),'자료_거시'!$J166,"")</f>
        <v/>
      </c>
      <c r="AC184">
        <f>IF(ISNUMBER(AB184),IF(AB184&gt;$L$8,AA184,""),"")</f>
        <v/>
      </c>
      <c r="AD184">
        <f>IF(AND(ISNUMBER('자료_거시'!$M166),ISNUMBER('자료_거시'!$N166)),1,0)</f>
        <v/>
      </c>
      <c r="AE184">
        <f>IF(AND(ISNUMBER('자료_거시'!$M166),ISNUMBER('자료_거시'!$N166)),IF(AND(SUMIFS($AD$21:$AD$620,'자료_거시'!$M$3:$M$602,"&gt;"&amp;EDATE('자료_거시'!$M166,-'설정'!$B$17),'자료_거시'!$M$3:$M$602,"&lt;="&amp;'자료_거시'!$M166)=3,SUMIFS($AD$21:$AD$620,'자료_거시'!$M$3:$M$602,"&gt;"&amp;EDATE('자료_거시'!$M166,-12-'설정'!$B$17),'자료_거시'!$M$3:$M$602,"&lt;="&amp;EDATE('자료_거시'!$M166,-12))=3),IFERROR(SUMIFS('자료_거시'!$N$3:$N$602,'자료_거시'!$M$3:$M$602,"&gt;"&amp;EDATE('자료_거시'!$M166,-'설정'!$B$17),'자료_거시'!$M$3:$M$602,"&lt;="&amp;'자료_거시'!$M166)/SUMIFS('자료_거시'!$N$3:$N$602,'자료_거시'!$M$3:$M$602,"&gt;"&amp;EDATE('자료_거시'!$M166,-12-'설정'!$B$17),'자료_거시'!$M$3:$M$602,"&lt;="&amp;EDATE('자료_거시'!$M166,-12))-1,""),""),"")</f>
        <v/>
      </c>
      <c r="AF184">
        <f>IF(ISNUMBER(AE184),'자료_거시'!$M166,"")</f>
        <v/>
      </c>
      <c r="AG184">
        <f>IF(ISNUMBER(AF184),IF(AF184&gt;$L$9,AE184,""),"")</f>
        <v/>
      </c>
    </row>
    <row r="185">
      <c r="P185">
        <f>IF(AND(ISNUMBER('자료_거시'!$A167),ISNUMBER('자료_거시'!$B167)),'자료_거시'!$B167,"")</f>
        <v/>
      </c>
      <c r="Q185">
        <f>IF(ISNUMBER(P185),'자료_거시'!$A167,"")</f>
        <v/>
      </c>
      <c r="R185">
        <f>IF(ISNUMBER(Q185),IF(Q185&gt;$L$5,P185,""),"")</f>
        <v/>
      </c>
      <c r="S185">
        <f>IF(ISNUMBER('자료_거시'!$E167),'자료_거시'!$E167,S184)</f>
        <v/>
      </c>
      <c r="T185">
        <f>IF(AND(ISNUMBER('자료_거시'!$D167),ISNUMBER('자료_거시'!$E167)),IFERROR('자료_거시'!$E167-INDEX($S$21:$S$4020,MATCH(EDATE('자료_거시'!$D167,-'설정'!$B$17),'자료_거시'!$D$3:INDEX('자료_거시'!$D$3:$D$4002,$K$6),1)),""),"")</f>
        <v/>
      </c>
      <c r="U185">
        <f>IF(ISNUMBER(T185),'자료_거시'!$D167,"")</f>
        <v/>
      </c>
      <c r="V185">
        <f>IF(ISNUMBER(U185),IF(U185&gt;$L$6,T185,""),"")</f>
        <v/>
      </c>
      <c r="W185">
        <f>IF(AND(ISNUMBER('자료_거시'!$G167),ISNUMBER('자료_거시'!$H167)),'자료_거시'!$H167,"")</f>
        <v/>
      </c>
      <c r="X185">
        <f>IF(ISNUMBER(W185),'자료_거시'!$G167,"")</f>
        <v/>
      </c>
      <c r="Y185">
        <f>IF(ISNUMBER(X185),IF(X185&gt;$L$7,W185,""),"")</f>
        <v/>
      </c>
      <c r="Z185">
        <f>IF(ISNUMBER('자료_거시'!$K167),'자료_거시'!$K167,Z184)</f>
        <v/>
      </c>
      <c r="AA185">
        <f>IF(AND(ISNUMBER('자료_거시'!$J167),ISNUMBER('자료_거시'!$K167)),IFERROR('자료_거시'!$K167/INDEX($Z$21:$Z$4020,MATCH(EDATE('자료_거시'!$J167,-'설정'!$B$17),'자료_거시'!$J$3:INDEX('자료_거시'!$J$3:$J$4002,$K$8),1))-1,""),"")</f>
        <v/>
      </c>
      <c r="AB185">
        <f>IF(ISNUMBER(AA185),'자료_거시'!$J167,"")</f>
        <v/>
      </c>
      <c r="AC185">
        <f>IF(ISNUMBER(AB185),IF(AB185&gt;$L$8,AA185,""),"")</f>
        <v/>
      </c>
      <c r="AD185">
        <f>IF(AND(ISNUMBER('자료_거시'!$M167),ISNUMBER('자료_거시'!$N167)),1,0)</f>
        <v/>
      </c>
      <c r="AE185">
        <f>IF(AND(ISNUMBER('자료_거시'!$M167),ISNUMBER('자료_거시'!$N167)),IF(AND(SUMIFS($AD$21:$AD$620,'자료_거시'!$M$3:$M$602,"&gt;"&amp;EDATE('자료_거시'!$M167,-'설정'!$B$17),'자료_거시'!$M$3:$M$602,"&lt;="&amp;'자료_거시'!$M167)=3,SUMIFS($AD$21:$AD$620,'자료_거시'!$M$3:$M$602,"&gt;"&amp;EDATE('자료_거시'!$M167,-12-'설정'!$B$17),'자료_거시'!$M$3:$M$602,"&lt;="&amp;EDATE('자료_거시'!$M167,-12))=3),IFERROR(SUMIFS('자료_거시'!$N$3:$N$602,'자료_거시'!$M$3:$M$602,"&gt;"&amp;EDATE('자료_거시'!$M167,-'설정'!$B$17),'자료_거시'!$M$3:$M$602,"&lt;="&amp;'자료_거시'!$M167)/SUMIFS('자료_거시'!$N$3:$N$602,'자료_거시'!$M$3:$M$602,"&gt;"&amp;EDATE('자료_거시'!$M167,-12-'설정'!$B$17),'자료_거시'!$M$3:$M$602,"&lt;="&amp;EDATE('자료_거시'!$M167,-12))-1,""),""),"")</f>
        <v/>
      </c>
      <c r="AF185">
        <f>IF(ISNUMBER(AE185),'자료_거시'!$M167,"")</f>
        <v/>
      </c>
      <c r="AG185">
        <f>IF(ISNUMBER(AF185),IF(AF185&gt;$L$9,AE185,""),"")</f>
        <v/>
      </c>
    </row>
    <row r="186">
      <c r="P186">
        <f>IF(AND(ISNUMBER('자료_거시'!$A168),ISNUMBER('자료_거시'!$B168)),'자료_거시'!$B168,"")</f>
        <v/>
      </c>
      <c r="Q186">
        <f>IF(ISNUMBER(P186),'자료_거시'!$A168,"")</f>
        <v/>
      </c>
      <c r="R186">
        <f>IF(ISNUMBER(Q186),IF(Q186&gt;$L$5,P186,""),"")</f>
        <v/>
      </c>
      <c r="S186">
        <f>IF(ISNUMBER('자료_거시'!$E168),'자료_거시'!$E168,S185)</f>
        <v/>
      </c>
      <c r="T186">
        <f>IF(AND(ISNUMBER('자료_거시'!$D168),ISNUMBER('자료_거시'!$E168)),IFERROR('자료_거시'!$E168-INDEX($S$21:$S$4020,MATCH(EDATE('자료_거시'!$D168,-'설정'!$B$17),'자료_거시'!$D$3:INDEX('자료_거시'!$D$3:$D$4002,$K$6),1)),""),"")</f>
        <v/>
      </c>
      <c r="U186">
        <f>IF(ISNUMBER(T186),'자료_거시'!$D168,"")</f>
        <v/>
      </c>
      <c r="V186">
        <f>IF(ISNUMBER(U186),IF(U186&gt;$L$6,T186,""),"")</f>
        <v/>
      </c>
      <c r="W186">
        <f>IF(AND(ISNUMBER('자료_거시'!$G168),ISNUMBER('자료_거시'!$H168)),'자료_거시'!$H168,"")</f>
        <v/>
      </c>
      <c r="X186">
        <f>IF(ISNUMBER(W186),'자료_거시'!$G168,"")</f>
        <v/>
      </c>
      <c r="Y186">
        <f>IF(ISNUMBER(X186),IF(X186&gt;$L$7,W186,""),"")</f>
        <v/>
      </c>
      <c r="Z186">
        <f>IF(ISNUMBER('자료_거시'!$K168),'자료_거시'!$K168,Z185)</f>
        <v/>
      </c>
      <c r="AA186">
        <f>IF(AND(ISNUMBER('자료_거시'!$J168),ISNUMBER('자료_거시'!$K168)),IFERROR('자료_거시'!$K168/INDEX($Z$21:$Z$4020,MATCH(EDATE('자료_거시'!$J168,-'설정'!$B$17),'자료_거시'!$J$3:INDEX('자료_거시'!$J$3:$J$4002,$K$8),1))-1,""),"")</f>
        <v/>
      </c>
      <c r="AB186">
        <f>IF(ISNUMBER(AA186),'자료_거시'!$J168,"")</f>
        <v/>
      </c>
      <c r="AC186">
        <f>IF(ISNUMBER(AB186),IF(AB186&gt;$L$8,AA186,""),"")</f>
        <v/>
      </c>
      <c r="AD186">
        <f>IF(AND(ISNUMBER('자료_거시'!$M168),ISNUMBER('자료_거시'!$N168)),1,0)</f>
        <v/>
      </c>
      <c r="AE186">
        <f>IF(AND(ISNUMBER('자료_거시'!$M168),ISNUMBER('자료_거시'!$N168)),IF(AND(SUMIFS($AD$21:$AD$620,'자료_거시'!$M$3:$M$602,"&gt;"&amp;EDATE('자료_거시'!$M168,-'설정'!$B$17),'자료_거시'!$M$3:$M$602,"&lt;="&amp;'자료_거시'!$M168)=3,SUMIFS($AD$21:$AD$620,'자료_거시'!$M$3:$M$602,"&gt;"&amp;EDATE('자료_거시'!$M168,-12-'설정'!$B$17),'자료_거시'!$M$3:$M$602,"&lt;="&amp;EDATE('자료_거시'!$M168,-12))=3),IFERROR(SUMIFS('자료_거시'!$N$3:$N$602,'자료_거시'!$M$3:$M$602,"&gt;"&amp;EDATE('자료_거시'!$M168,-'설정'!$B$17),'자료_거시'!$M$3:$M$602,"&lt;="&amp;'자료_거시'!$M168)/SUMIFS('자료_거시'!$N$3:$N$602,'자료_거시'!$M$3:$M$602,"&gt;"&amp;EDATE('자료_거시'!$M168,-12-'설정'!$B$17),'자료_거시'!$M$3:$M$602,"&lt;="&amp;EDATE('자료_거시'!$M168,-12))-1,""),""),"")</f>
        <v/>
      </c>
      <c r="AF186">
        <f>IF(ISNUMBER(AE186),'자료_거시'!$M168,"")</f>
        <v/>
      </c>
      <c r="AG186">
        <f>IF(ISNUMBER(AF186),IF(AF186&gt;$L$9,AE186,""),"")</f>
        <v/>
      </c>
    </row>
    <row r="187">
      <c r="P187">
        <f>IF(AND(ISNUMBER('자료_거시'!$A169),ISNUMBER('자료_거시'!$B169)),'자료_거시'!$B169,"")</f>
        <v/>
      </c>
      <c r="Q187">
        <f>IF(ISNUMBER(P187),'자료_거시'!$A169,"")</f>
        <v/>
      </c>
      <c r="R187">
        <f>IF(ISNUMBER(Q187),IF(Q187&gt;$L$5,P187,""),"")</f>
        <v/>
      </c>
      <c r="S187">
        <f>IF(ISNUMBER('자료_거시'!$E169),'자료_거시'!$E169,S186)</f>
        <v/>
      </c>
      <c r="T187">
        <f>IF(AND(ISNUMBER('자료_거시'!$D169),ISNUMBER('자료_거시'!$E169)),IFERROR('자료_거시'!$E169-INDEX($S$21:$S$4020,MATCH(EDATE('자료_거시'!$D169,-'설정'!$B$17),'자료_거시'!$D$3:INDEX('자료_거시'!$D$3:$D$4002,$K$6),1)),""),"")</f>
        <v/>
      </c>
      <c r="U187">
        <f>IF(ISNUMBER(T187),'자료_거시'!$D169,"")</f>
        <v/>
      </c>
      <c r="V187">
        <f>IF(ISNUMBER(U187),IF(U187&gt;$L$6,T187,""),"")</f>
        <v/>
      </c>
      <c r="W187">
        <f>IF(AND(ISNUMBER('자료_거시'!$G169),ISNUMBER('자료_거시'!$H169)),'자료_거시'!$H169,"")</f>
        <v/>
      </c>
      <c r="X187">
        <f>IF(ISNUMBER(W187),'자료_거시'!$G169,"")</f>
        <v/>
      </c>
      <c r="Y187">
        <f>IF(ISNUMBER(X187),IF(X187&gt;$L$7,W187,""),"")</f>
        <v/>
      </c>
      <c r="Z187">
        <f>IF(ISNUMBER('자료_거시'!$K169),'자료_거시'!$K169,Z186)</f>
        <v/>
      </c>
      <c r="AA187">
        <f>IF(AND(ISNUMBER('자료_거시'!$J169),ISNUMBER('자료_거시'!$K169)),IFERROR('자료_거시'!$K169/INDEX($Z$21:$Z$4020,MATCH(EDATE('자료_거시'!$J169,-'설정'!$B$17),'자료_거시'!$J$3:INDEX('자료_거시'!$J$3:$J$4002,$K$8),1))-1,""),"")</f>
        <v/>
      </c>
      <c r="AB187">
        <f>IF(ISNUMBER(AA187),'자료_거시'!$J169,"")</f>
        <v/>
      </c>
      <c r="AC187">
        <f>IF(ISNUMBER(AB187),IF(AB187&gt;$L$8,AA187,""),"")</f>
        <v/>
      </c>
      <c r="AD187">
        <f>IF(AND(ISNUMBER('자료_거시'!$M169),ISNUMBER('자료_거시'!$N169)),1,0)</f>
        <v/>
      </c>
      <c r="AE187">
        <f>IF(AND(ISNUMBER('자료_거시'!$M169),ISNUMBER('자료_거시'!$N169)),IF(AND(SUMIFS($AD$21:$AD$620,'자료_거시'!$M$3:$M$602,"&gt;"&amp;EDATE('자료_거시'!$M169,-'설정'!$B$17),'자료_거시'!$M$3:$M$602,"&lt;="&amp;'자료_거시'!$M169)=3,SUMIFS($AD$21:$AD$620,'자료_거시'!$M$3:$M$602,"&gt;"&amp;EDATE('자료_거시'!$M169,-12-'설정'!$B$17),'자료_거시'!$M$3:$M$602,"&lt;="&amp;EDATE('자료_거시'!$M169,-12))=3),IFERROR(SUMIFS('자료_거시'!$N$3:$N$602,'자료_거시'!$M$3:$M$602,"&gt;"&amp;EDATE('자료_거시'!$M169,-'설정'!$B$17),'자료_거시'!$M$3:$M$602,"&lt;="&amp;'자료_거시'!$M169)/SUMIFS('자료_거시'!$N$3:$N$602,'자료_거시'!$M$3:$M$602,"&gt;"&amp;EDATE('자료_거시'!$M169,-12-'설정'!$B$17),'자료_거시'!$M$3:$M$602,"&lt;="&amp;EDATE('자료_거시'!$M169,-12))-1,""),""),"")</f>
        <v/>
      </c>
      <c r="AF187">
        <f>IF(ISNUMBER(AE187),'자료_거시'!$M169,"")</f>
        <v/>
      </c>
      <c r="AG187">
        <f>IF(ISNUMBER(AF187),IF(AF187&gt;$L$9,AE187,""),"")</f>
        <v/>
      </c>
    </row>
    <row r="188">
      <c r="P188">
        <f>IF(AND(ISNUMBER('자료_거시'!$A170),ISNUMBER('자료_거시'!$B170)),'자료_거시'!$B170,"")</f>
        <v/>
      </c>
      <c r="Q188">
        <f>IF(ISNUMBER(P188),'자료_거시'!$A170,"")</f>
        <v/>
      </c>
      <c r="R188">
        <f>IF(ISNUMBER(Q188),IF(Q188&gt;$L$5,P188,""),"")</f>
        <v/>
      </c>
      <c r="S188">
        <f>IF(ISNUMBER('자료_거시'!$E170),'자료_거시'!$E170,S187)</f>
        <v/>
      </c>
      <c r="T188">
        <f>IF(AND(ISNUMBER('자료_거시'!$D170),ISNUMBER('자료_거시'!$E170)),IFERROR('자료_거시'!$E170-INDEX($S$21:$S$4020,MATCH(EDATE('자료_거시'!$D170,-'설정'!$B$17),'자료_거시'!$D$3:INDEX('자료_거시'!$D$3:$D$4002,$K$6),1)),""),"")</f>
        <v/>
      </c>
      <c r="U188">
        <f>IF(ISNUMBER(T188),'자료_거시'!$D170,"")</f>
        <v/>
      </c>
      <c r="V188">
        <f>IF(ISNUMBER(U188),IF(U188&gt;$L$6,T188,""),"")</f>
        <v/>
      </c>
      <c r="W188">
        <f>IF(AND(ISNUMBER('자료_거시'!$G170),ISNUMBER('자료_거시'!$H170)),'자료_거시'!$H170,"")</f>
        <v/>
      </c>
      <c r="X188">
        <f>IF(ISNUMBER(W188),'자료_거시'!$G170,"")</f>
        <v/>
      </c>
      <c r="Y188">
        <f>IF(ISNUMBER(X188),IF(X188&gt;$L$7,W188,""),"")</f>
        <v/>
      </c>
      <c r="Z188">
        <f>IF(ISNUMBER('자료_거시'!$K170),'자료_거시'!$K170,Z187)</f>
        <v/>
      </c>
      <c r="AA188">
        <f>IF(AND(ISNUMBER('자료_거시'!$J170),ISNUMBER('자료_거시'!$K170)),IFERROR('자료_거시'!$K170/INDEX($Z$21:$Z$4020,MATCH(EDATE('자료_거시'!$J170,-'설정'!$B$17),'자료_거시'!$J$3:INDEX('자료_거시'!$J$3:$J$4002,$K$8),1))-1,""),"")</f>
        <v/>
      </c>
      <c r="AB188">
        <f>IF(ISNUMBER(AA188),'자료_거시'!$J170,"")</f>
        <v/>
      </c>
      <c r="AC188">
        <f>IF(ISNUMBER(AB188),IF(AB188&gt;$L$8,AA188,""),"")</f>
        <v/>
      </c>
      <c r="AD188">
        <f>IF(AND(ISNUMBER('자료_거시'!$M170),ISNUMBER('자료_거시'!$N170)),1,0)</f>
        <v/>
      </c>
      <c r="AE188">
        <f>IF(AND(ISNUMBER('자료_거시'!$M170),ISNUMBER('자료_거시'!$N170)),IF(AND(SUMIFS($AD$21:$AD$620,'자료_거시'!$M$3:$M$602,"&gt;"&amp;EDATE('자료_거시'!$M170,-'설정'!$B$17),'자료_거시'!$M$3:$M$602,"&lt;="&amp;'자료_거시'!$M170)=3,SUMIFS($AD$21:$AD$620,'자료_거시'!$M$3:$M$602,"&gt;"&amp;EDATE('자료_거시'!$M170,-12-'설정'!$B$17),'자료_거시'!$M$3:$M$602,"&lt;="&amp;EDATE('자료_거시'!$M170,-12))=3),IFERROR(SUMIFS('자료_거시'!$N$3:$N$602,'자료_거시'!$M$3:$M$602,"&gt;"&amp;EDATE('자료_거시'!$M170,-'설정'!$B$17),'자료_거시'!$M$3:$M$602,"&lt;="&amp;'자료_거시'!$M170)/SUMIFS('자료_거시'!$N$3:$N$602,'자료_거시'!$M$3:$M$602,"&gt;"&amp;EDATE('자료_거시'!$M170,-12-'설정'!$B$17),'자료_거시'!$M$3:$M$602,"&lt;="&amp;EDATE('자료_거시'!$M170,-12))-1,""),""),"")</f>
        <v/>
      </c>
      <c r="AF188">
        <f>IF(ISNUMBER(AE188),'자료_거시'!$M170,"")</f>
        <v/>
      </c>
      <c r="AG188">
        <f>IF(ISNUMBER(AF188),IF(AF188&gt;$L$9,AE188,""),"")</f>
        <v/>
      </c>
    </row>
    <row r="189">
      <c r="P189">
        <f>IF(AND(ISNUMBER('자료_거시'!$A171),ISNUMBER('자료_거시'!$B171)),'자료_거시'!$B171,"")</f>
        <v/>
      </c>
      <c r="Q189">
        <f>IF(ISNUMBER(P189),'자료_거시'!$A171,"")</f>
        <v/>
      </c>
      <c r="R189">
        <f>IF(ISNUMBER(Q189),IF(Q189&gt;$L$5,P189,""),"")</f>
        <v/>
      </c>
      <c r="S189">
        <f>IF(ISNUMBER('자료_거시'!$E171),'자료_거시'!$E171,S188)</f>
        <v/>
      </c>
      <c r="T189">
        <f>IF(AND(ISNUMBER('자료_거시'!$D171),ISNUMBER('자료_거시'!$E171)),IFERROR('자료_거시'!$E171-INDEX($S$21:$S$4020,MATCH(EDATE('자료_거시'!$D171,-'설정'!$B$17),'자료_거시'!$D$3:INDEX('자료_거시'!$D$3:$D$4002,$K$6),1)),""),"")</f>
        <v/>
      </c>
      <c r="U189">
        <f>IF(ISNUMBER(T189),'자료_거시'!$D171,"")</f>
        <v/>
      </c>
      <c r="V189">
        <f>IF(ISNUMBER(U189),IF(U189&gt;$L$6,T189,""),"")</f>
        <v/>
      </c>
      <c r="W189">
        <f>IF(AND(ISNUMBER('자료_거시'!$G171),ISNUMBER('자료_거시'!$H171)),'자료_거시'!$H171,"")</f>
        <v/>
      </c>
      <c r="X189">
        <f>IF(ISNUMBER(W189),'자료_거시'!$G171,"")</f>
        <v/>
      </c>
      <c r="Y189">
        <f>IF(ISNUMBER(X189),IF(X189&gt;$L$7,W189,""),"")</f>
        <v/>
      </c>
      <c r="Z189">
        <f>IF(ISNUMBER('자료_거시'!$K171),'자료_거시'!$K171,Z188)</f>
        <v/>
      </c>
      <c r="AA189">
        <f>IF(AND(ISNUMBER('자료_거시'!$J171),ISNUMBER('자료_거시'!$K171)),IFERROR('자료_거시'!$K171/INDEX($Z$21:$Z$4020,MATCH(EDATE('자료_거시'!$J171,-'설정'!$B$17),'자료_거시'!$J$3:INDEX('자료_거시'!$J$3:$J$4002,$K$8),1))-1,""),"")</f>
        <v/>
      </c>
      <c r="AB189">
        <f>IF(ISNUMBER(AA189),'자료_거시'!$J171,"")</f>
        <v/>
      </c>
      <c r="AC189">
        <f>IF(ISNUMBER(AB189),IF(AB189&gt;$L$8,AA189,""),"")</f>
        <v/>
      </c>
      <c r="AD189">
        <f>IF(AND(ISNUMBER('자료_거시'!$M171),ISNUMBER('자료_거시'!$N171)),1,0)</f>
        <v/>
      </c>
      <c r="AE189">
        <f>IF(AND(ISNUMBER('자료_거시'!$M171),ISNUMBER('자료_거시'!$N171)),IF(AND(SUMIFS($AD$21:$AD$620,'자료_거시'!$M$3:$M$602,"&gt;"&amp;EDATE('자료_거시'!$M171,-'설정'!$B$17),'자료_거시'!$M$3:$M$602,"&lt;="&amp;'자료_거시'!$M171)=3,SUMIFS($AD$21:$AD$620,'자료_거시'!$M$3:$M$602,"&gt;"&amp;EDATE('자료_거시'!$M171,-12-'설정'!$B$17),'자료_거시'!$M$3:$M$602,"&lt;="&amp;EDATE('자료_거시'!$M171,-12))=3),IFERROR(SUMIFS('자료_거시'!$N$3:$N$602,'자료_거시'!$M$3:$M$602,"&gt;"&amp;EDATE('자료_거시'!$M171,-'설정'!$B$17),'자료_거시'!$M$3:$M$602,"&lt;="&amp;'자료_거시'!$M171)/SUMIFS('자료_거시'!$N$3:$N$602,'자료_거시'!$M$3:$M$602,"&gt;"&amp;EDATE('자료_거시'!$M171,-12-'설정'!$B$17),'자료_거시'!$M$3:$M$602,"&lt;="&amp;EDATE('자료_거시'!$M171,-12))-1,""),""),"")</f>
        <v/>
      </c>
      <c r="AF189">
        <f>IF(ISNUMBER(AE189),'자료_거시'!$M171,"")</f>
        <v/>
      </c>
      <c r="AG189">
        <f>IF(ISNUMBER(AF189),IF(AF189&gt;$L$9,AE189,""),"")</f>
        <v/>
      </c>
    </row>
    <row r="190">
      <c r="P190">
        <f>IF(AND(ISNUMBER('자료_거시'!$A172),ISNUMBER('자료_거시'!$B172)),'자료_거시'!$B172,"")</f>
        <v/>
      </c>
      <c r="Q190">
        <f>IF(ISNUMBER(P190),'자료_거시'!$A172,"")</f>
        <v/>
      </c>
      <c r="R190">
        <f>IF(ISNUMBER(Q190),IF(Q190&gt;$L$5,P190,""),"")</f>
        <v/>
      </c>
      <c r="S190">
        <f>IF(ISNUMBER('자료_거시'!$E172),'자료_거시'!$E172,S189)</f>
        <v/>
      </c>
      <c r="T190">
        <f>IF(AND(ISNUMBER('자료_거시'!$D172),ISNUMBER('자료_거시'!$E172)),IFERROR('자료_거시'!$E172-INDEX($S$21:$S$4020,MATCH(EDATE('자료_거시'!$D172,-'설정'!$B$17),'자료_거시'!$D$3:INDEX('자료_거시'!$D$3:$D$4002,$K$6),1)),""),"")</f>
        <v/>
      </c>
      <c r="U190">
        <f>IF(ISNUMBER(T190),'자료_거시'!$D172,"")</f>
        <v/>
      </c>
      <c r="V190">
        <f>IF(ISNUMBER(U190),IF(U190&gt;$L$6,T190,""),"")</f>
        <v/>
      </c>
      <c r="W190">
        <f>IF(AND(ISNUMBER('자료_거시'!$G172),ISNUMBER('자료_거시'!$H172)),'자료_거시'!$H172,"")</f>
        <v/>
      </c>
      <c r="X190">
        <f>IF(ISNUMBER(W190),'자료_거시'!$G172,"")</f>
        <v/>
      </c>
      <c r="Y190">
        <f>IF(ISNUMBER(X190),IF(X190&gt;$L$7,W190,""),"")</f>
        <v/>
      </c>
      <c r="Z190">
        <f>IF(ISNUMBER('자료_거시'!$K172),'자료_거시'!$K172,Z189)</f>
        <v/>
      </c>
      <c r="AA190">
        <f>IF(AND(ISNUMBER('자료_거시'!$J172),ISNUMBER('자료_거시'!$K172)),IFERROR('자료_거시'!$K172/INDEX($Z$21:$Z$4020,MATCH(EDATE('자료_거시'!$J172,-'설정'!$B$17),'자료_거시'!$J$3:INDEX('자료_거시'!$J$3:$J$4002,$K$8),1))-1,""),"")</f>
        <v/>
      </c>
      <c r="AB190">
        <f>IF(ISNUMBER(AA190),'자료_거시'!$J172,"")</f>
        <v/>
      </c>
      <c r="AC190">
        <f>IF(ISNUMBER(AB190),IF(AB190&gt;$L$8,AA190,""),"")</f>
        <v/>
      </c>
      <c r="AD190">
        <f>IF(AND(ISNUMBER('자료_거시'!$M172),ISNUMBER('자료_거시'!$N172)),1,0)</f>
        <v/>
      </c>
      <c r="AE190">
        <f>IF(AND(ISNUMBER('자료_거시'!$M172),ISNUMBER('자료_거시'!$N172)),IF(AND(SUMIFS($AD$21:$AD$620,'자료_거시'!$M$3:$M$602,"&gt;"&amp;EDATE('자료_거시'!$M172,-'설정'!$B$17),'자료_거시'!$M$3:$M$602,"&lt;="&amp;'자료_거시'!$M172)=3,SUMIFS($AD$21:$AD$620,'자료_거시'!$M$3:$M$602,"&gt;"&amp;EDATE('자료_거시'!$M172,-12-'설정'!$B$17),'자료_거시'!$M$3:$M$602,"&lt;="&amp;EDATE('자료_거시'!$M172,-12))=3),IFERROR(SUMIFS('자료_거시'!$N$3:$N$602,'자료_거시'!$M$3:$M$602,"&gt;"&amp;EDATE('자료_거시'!$M172,-'설정'!$B$17),'자료_거시'!$M$3:$M$602,"&lt;="&amp;'자료_거시'!$M172)/SUMIFS('자료_거시'!$N$3:$N$602,'자료_거시'!$M$3:$M$602,"&gt;"&amp;EDATE('자료_거시'!$M172,-12-'설정'!$B$17),'자료_거시'!$M$3:$M$602,"&lt;="&amp;EDATE('자료_거시'!$M172,-12))-1,""),""),"")</f>
        <v/>
      </c>
      <c r="AF190">
        <f>IF(ISNUMBER(AE190),'자료_거시'!$M172,"")</f>
        <v/>
      </c>
      <c r="AG190">
        <f>IF(ISNUMBER(AF190),IF(AF190&gt;$L$9,AE190,""),"")</f>
        <v/>
      </c>
    </row>
    <row r="191">
      <c r="P191">
        <f>IF(AND(ISNUMBER('자료_거시'!$A173),ISNUMBER('자료_거시'!$B173)),'자료_거시'!$B173,"")</f>
        <v/>
      </c>
      <c r="Q191">
        <f>IF(ISNUMBER(P191),'자료_거시'!$A173,"")</f>
        <v/>
      </c>
      <c r="R191">
        <f>IF(ISNUMBER(Q191),IF(Q191&gt;$L$5,P191,""),"")</f>
        <v/>
      </c>
      <c r="S191">
        <f>IF(ISNUMBER('자료_거시'!$E173),'자료_거시'!$E173,S190)</f>
        <v/>
      </c>
      <c r="T191">
        <f>IF(AND(ISNUMBER('자료_거시'!$D173),ISNUMBER('자료_거시'!$E173)),IFERROR('자료_거시'!$E173-INDEX($S$21:$S$4020,MATCH(EDATE('자료_거시'!$D173,-'설정'!$B$17),'자료_거시'!$D$3:INDEX('자료_거시'!$D$3:$D$4002,$K$6),1)),""),"")</f>
        <v/>
      </c>
      <c r="U191">
        <f>IF(ISNUMBER(T191),'자료_거시'!$D173,"")</f>
        <v/>
      </c>
      <c r="V191">
        <f>IF(ISNUMBER(U191),IF(U191&gt;$L$6,T191,""),"")</f>
        <v/>
      </c>
      <c r="W191">
        <f>IF(AND(ISNUMBER('자료_거시'!$G173),ISNUMBER('자료_거시'!$H173)),'자료_거시'!$H173,"")</f>
        <v/>
      </c>
      <c r="X191">
        <f>IF(ISNUMBER(W191),'자료_거시'!$G173,"")</f>
        <v/>
      </c>
      <c r="Y191">
        <f>IF(ISNUMBER(X191),IF(X191&gt;$L$7,W191,""),"")</f>
        <v/>
      </c>
      <c r="Z191">
        <f>IF(ISNUMBER('자료_거시'!$K173),'자료_거시'!$K173,Z190)</f>
        <v/>
      </c>
      <c r="AA191">
        <f>IF(AND(ISNUMBER('자료_거시'!$J173),ISNUMBER('자료_거시'!$K173)),IFERROR('자료_거시'!$K173/INDEX($Z$21:$Z$4020,MATCH(EDATE('자료_거시'!$J173,-'설정'!$B$17),'자료_거시'!$J$3:INDEX('자료_거시'!$J$3:$J$4002,$K$8),1))-1,""),"")</f>
        <v/>
      </c>
      <c r="AB191">
        <f>IF(ISNUMBER(AA191),'자료_거시'!$J173,"")</f>
        <v/>
      </c>
      <c r="AC191">
        <f>IF(ISNUMBER(AB191),IF(AB191&gt;$L$8,AA191,""),"")</f>
        <v/>
      </c>
      <c r="AD191">
        <f>IF(AND(ISNUMBER('자료_거시'!$M173),ISNUMBER('자료_거시'!$N173)),1,0)</f>
        <v/>
      </c>
      <c r="AE191">
        <f>IF(AND(ISNUMBER('자료_거시'!$M173),ISNUMBER('자료_거시'!$N173)),IF(AND(SUMIFS($AD$21:$AD$620,'자료_거시'!$M$3:$M$602,"&gt;"&amp;EDATE('자료_거시'!$M173,-'설정'!$B$17),'자료_거시'!$M$3:$M$602,"&lt;="&amp;'자료_거시'!$M173)=3,SUMIFS($AD$21:$AD$620,'자료_거시'!$M$3:$M$602,"&gt;"&amp;EDATE('자료_거시'!$M173,-12-'설정'!$B$17),'자료_거시'!$M$3:$M$602,"&lt;="&amp;EDATE('자료_거시'!$M173,-12))=3),IFERROR(SUMIFS('자료_거시'!$N$3:$N$602,'자료_거시'!$M$3:$M$602,"&gt;"&amp;EDATE('자료_거시'!$M173,-'설정'!$B$17),'자료_거시'!$M$3:$M$602,"&lt;="&amp;'자료_거시'!$M173)/SUMIFS('자료_거시'!$N$3:$N$602,'자료_거시'!$M$3:$M$602,"&gt;"&amp;EDATE('자료_거시'!$M173,-12-'설정'!$B$17),'자료_거시'!$M$3:$M$602,"&lt;="&amp;EDATE('자료_거시'!$M173,-12))-1,""),""),"")</f>
        <v/>
      </c>
      <c r="AF191">
        <f>IF(ISNUMBER(AE191),'자료_거시'!$M173,"")</f>
        <v/>
      </c>
      <c r="AG191">
        <f>IF(ISNUMBER(AF191),IF(AF191&gt;$L$9,AE191,""),"")</f>
        <v/>
      </c>
    </row>
    <row r="192">
      <c r="P192">
        <f>IF(AND(ISNUMBER('자료_거시'!$A174),ISNUMBER('자료_거시'!$B174)),'자료_거시'!$B174,"")</f>
        <v/>
      </c>
      <c r="Q192">
        <f>IF(ISNUMBER(P192),'자료_거시'!$A174,"")</f>
        <v/>
      </c>
      <c r="R192">
        <f>IF(ISNUMBER(Q192),IF(Q192&gt;$L$5,P192,""),"")</f>
        <v/>
      </c>
      <c r="S192">
        <f>IF(ISNUMBER('자료_거시'!$E174),'자료_거시'!$E174,S191)</f>
        <v/>
      </c>
      <c r="T192">
        <f>IF(AND(ISNUMBER('자료_거시'!$D174),ISNUMBER('자료_거시'!$E174)),IFERROR('자료_거시'!$E174-INDEX($S$21:$S$4020,MATCH(EDATE('자료_거시'!$D174,-'설정'!$B$17),'자료_거시'!$D$3:INDEX('자료_거시'!$D$3:$D$4002,$K$6),1)),""),"")</f>
        <v/>
      </c>
      <c r="U192">
        <f>IF(ISNUMBER(T192),'자료_거시'!$D174,"")</f>
        <v/>
      </c>
      <c r="V192">
        <f>IF(ISNUMBER(U192),IF(U192&gt;$L$6,T192,""),"")</f>
        <v/>
      </c>
      <c r="W192">
        <f>IF(AND(ISNUMBER('자료_거시'!$G174),ISNUMBER('자료_거시'!$H174)),'자료_거시'!$H174,"")</f>
        <v/>
      </c>
      <c r="X192">
        <f>IF(ISNUMBER(W192),'자료_거시'!$G174,"")</f>
        <v/>
      </c>
      <c r="Y192">
        <f>IF(ISNUMBER(X192),IF(X192&gt;$L$7,W192,""),"")</f>
        <v/>
      </c>
      <c r="Z192">
        <f>IF(ISNUMBER('자료_거시'!$K174),'자료_거시'!$K174,Z191)</f>
        <v/>
      </c>
      <c r="AA192">
        <f>IF(AND(ISNUMBER('자료_거시'!$J174),ISNUMBER('자료_거시'!$K174)),IFERROR('자료_거시'!$K174/INDEX($Z$21:$Z$4020,MATCH(EDATE('자료_거시'!$J174,-'설정'!$B$17),'자료_거시'!$J$3:INDEX('자료_거시'!$J$3:$J$4002,$K$8),1))-1,""),"")</f>
        <v/>
      </c>
      <c r="AB192">
        <f>IF(ISNUMBER(AA192),'자료_거시'!$J174,"")</f>
        <v/>
      </c>
      <c r="AC192">
        <f>IF(ISNUMBER(AB192),IF(AB192&gt;$L$8,AA192,""),"")</f>
        <v/>
      </c>
      <c r="AD192">
        <f>IF(AND(ISNUMBER('자료_거시'!$M174),ISNUMBER('자료_거시'!$N174)),1,0)</f>
        <v/>
      </c>
      <c r="AE192">
        <f>IF(AND(ISNUMBER('자료_거시'!$M174),ISNUMBER('자료_거시'!$N174)),IF(AND(SUMIFS($AD$21:$AD$620,'자료_거시'!$M$3:$M$602,"&gt;"&amp;EDATE('자료_거시'!$M174,-'설정'!$B$17),'자료_거시'!$M$3:$M$602,"&lt;="&amp;'자료_거시'!$M174)=3,SUMIFS($AD$21:$AD$620,'자료_거시'!$M$3:$M$602,"&gt;"&amp;EDATE('자료_거시'!$M174,-12-'설정'!$B$17),'자료_거시'!$M$3:$M$602,"&lt;="&amp;EDATE('자료_거시'!$M174,-12))=3),IFERROR(SUMIFS('자료_거시'!$N$3:$N$602,'자료_거시'!$M$3:$M$602,"&gt;"&amp;EDATE('자료_거시'!$M174,-'설정'!$B$17),'자료_거시'!$M$3:$M$602,"&lt;="&amp;'자료_거시'!$M174)/SUMIFS('자료_거시'!$N$3:$N$602,'자료_거시'!$M$3:$M$602,"&gt;"&amp;EDATE('자료_거시'!$M174,-12-'설정'!$B$17),'자료_거시'!$M$3:$M$602,"&lt;="&amp;EDATE('자료_거시'!$M174,-12))-1,""),""),"")</f>
        <v/>
      </c>
      <c r="AF192">
        <f>IF(ISNUMBER(AE192),'자료_거시'!$M174,"")</f>
        <v/>
      </c>
      <c r="AG192">
        <f>IF(ISNUMBER(AF192),IF(AF192&gt;$L$9,AE192,""),"")</f>
        <v/>
      </c>
    </row>
    <row r="193">
      <c r="P193">
        <f>IF(AND(ISNUMBER('자료_거시'!$A175),ISNUMBER('자료_거시'!$B175)),'자료_거시'!$B175,"")</f>
        <v/>
      </c>
      <c r="Q193">
        <f>IF(ISNUMBER(P193),'자료_거시'!$A175,"")</f>
        <v/>
      </c>
      <c r="R193">
        <f>IF(ISNUMBER(Q193),IF(Q193&gt;$L$5,P193,""),"")</f>
        <v/>
      </c>
      <c r="S193">
        <f>IF(ISNUMBER('자료_거시'!$E175),'자료_거시'!$E175,S192)</f>
        <v/>
      </c>
      <c r="T193">
        <f>IF(AND(ISNUMBER('자료_거시'!$D175),ISNUMBER('자료_거시'!$E175)),IFERROR('자료_거시'!$E175-INDEX($S$21:$S$4020,MATCH(EDATE('자료_거시'!$D175,-'설정'!$B$17),'자료_거시'!$D$3:INDEX('자료_거시'!$D$3:$D$4002,$K$6),1)),""),"")</f>
        <v/>
      </c>
      <c r="U193">
        <f>IF(ISNUMBER(T193),'자료_거시'!$D175,"")</f>
        <v/>
      </c>
      <c r="V193">
        <f>IF(ISNUMBER(U193),IF(U193&gt;$L$6,T193,""),"")</f>
        <v/>
      </c>
      <c r="W193">
        <f>IF(AND(ISNUMBER('자료_거시'!$G175),ISNUMBER('자료_거시'!$H175)),'자료_거시'!$H175,"")</f>
        <v/>
      </c>
      <c r="X193">
        <f>IF(ISNUMBER(W193),'자료_거시'!$G175,"")</f>
        <v/>
      </c>
      <c r="Y193">
        <f>IF(ISNUMBER(X193),IF(X193&gt;$L$7,W193,""),"")</f>
        <v/>
      </c>
      <c r="Z193">
        <f>IF(ISNUMBER('자료_거시'!$K175),'자료_거시'!$K175,Z192)</f>
        <v/>
      </c>
      <c r="AA193">
        <f>IF(AND(ISNUMBER('자료_거시'!$J175),ISNUMBER('자료_거시'!$K175)),IFERROR('자료_거시'!$K175/INDEX($Z$21:$Z$4020,MATCH(EDATE('자료_거시'!$J175,-'설정'!$B$17),'자료_거시'!$J$3:INDEX('자료_거시'!$J$3:$J$4002,$K$8),1))-1,""),"")</f>
        <v/>
      </c>
      <c r="AB193">
        <f>IF(ISNUMBER(AA193),'자료_거시'!$J175,"")</f>
        <v/>
      </c>
      <c r="AC193">
        <f>IF(ISNUMBER(AB193),IF(AB193&gt;$L$8,AA193,""),"")</f>
        <v/>
      </c>
      <c r="AD193">
        <f>IF(AND(ISNUMBER('자료_거시'!$M175),ISNUMBER('자료_거시'!$N175)),1,0)</f>
        <v/>
      </c>
      <c r="AE193">
        <f>IF(AND(ISNUMBER('자료_거시'!$M175),ISNUMBER('자료_거시'!$N175)),IF(AND(SUMIFS($AD$21:$AD$620,'자료_거시'!$M$3:$M$602,"&gt;"&amp;EDATE('자료_거시'!$M175,-'설정'!$B$17),'자료_거시'!$M$3:$M$602,"&lt;="&amp;'자료_거시'!$M175)=3,SUMIFS($AD$21:$AD$620,'자료_거시'!$M$3:$M$602,"&gt;"&amp;EDATE('자료_거시'!$M175,-12-'설정'!$B$17),'자료_거시'!$M$3:$M$602,"&lt;="&amp;EDATE('자료_거시'!$M175,-12))=3),IFERROR(SUMIFS('자료_거시'!$N$3:$N$602,'자료_거시'!$M$3:$M$602,"&gt;"&amp;EDATE('자료_거시'!$M175,-'설정'!$B$17),'자료_거시'!$M$3:$M$602,"&lt;="&amp;'자료_거시'!$M175)/SUMIFS('자료_거시'!$N$3:$N$602,'자료_거시'!$M$3:$M$602,"&gt;"&amp;EDATE('자료_거시'!$M175,-12-'설정'!$B$17),'자료_거시'!$M$3:$M$602,"&lt;="&amp;EDATE('자료_거시'!$M175,-12))-1,""),""),"")</f>
        <v/>
      </c>
      <c r="AF193">
        <f>IF(ISNUMBER(AE193),'자료_거시'!$M175,"")</f>
        <v/>
      </c>
      <c r="AG193">
        <f>IF(ISNUMBER(AF193),IF(AF193&gt;$L$9,AE193,""),"")</f>
        <v/>
      </c>
    </row>
    <row r="194">
      <c r="P194">
        <f>IF(AND(ISNUMBER('자료_거시'!$A176),ISNUMBER('자료_거시'!$B176)),'자료_거시'!$B176,"")</f>
        <v/>
      </c>
      <c r="Q194">
        <f>IF(ISNUMBER(P194),'자료_거시'!$A176,"")</f>
        <v/>
      </c>
      <c r="R194">
        <f>IF(ISNUMBER(Q194),IF(Q194&gt;$L$5,P194,""),"")</f>
        <v/>
      </c>
      <c r="S194">
        <f>IF(ISNUMBER('자료_거시'!$E176),'자료_거시'!$E176,S193)</f>
        <v/>
      </c>
      <c r="T194">
        <f>IF(AND(ISNUMBER('자료_거시'!$D176),ISNUMBER('자료_거시'!$E176)),IFERROR('자료_거시'!$E176-INDEX($S$21:$S$4020,MATCH(EDATE('자료_거시'!$D176,-'설정'!$B$17),'자료_거시'!$D$3:INDEX('자료_거시'!$D$3:$D$4002,$K$6),1)),""),"")</f>
        <v/>
      </c>
      <c r="U194">
        <f>IF(ISNUMBER(T194),'자료_거시'!$D176,"")</f>
        <v/>
      </c>
      <c r="V194">
        <f>IF(ISNUMBER(U194),IF(U194&gt;$L$6,T194,""),"")</f>
        <v/>
      </c>
      <c r="W194">
        <f>IF(AND(ISNUMBER('자료_거시'!$G176),ISNUMBER('자료_거시'!$H176)),'자료_거시'!$H176,"")</f>
        <v/>
      </c>
      <c r="X194">
        <f>IF(ISNUMBER(W194),'자료_거시'!$G176,"")</f>
        <v/>
      </c>
      <c r="Y194">
        <f>IF(ISNUMBER(X194),IF(X194&gt;$L$7,W194,""),"")</f>
        <v/>
      </c>
      <c r="Z194">
        <f>IF(ISNUMBER('자료_거시'!$K176),'자료_거시'!$K176,Z193)</f>
        <v/>
      </c>
      <c r="AA194">
        <f>IF(AND(ISNUMBER('자료_거시'!$J176),ISNUMBER('자료_거시'!$K176)),IFERROR('자료_거시'!$K176/INDEX($Z$21:$Z$4020,MATCH(EDATE('자료_거시'!$J176,-'설정'!$B$17),'자료_거시'!$J$3:INDEX('자료_거시'!$J$3:$J$4002,$K$8),1))-1,""),"")</f>
        <v/>
      </c>
      <c r="AB194">
        <f>IF(ISNUMBER(AA194),'자료_거시'!$J176,"")</f>
        <v/>
      </c>
      <c r="AC194">
        <f>IF(ISNUMBER(AB194),IF(AB194&gt;$L$8,AA194,""),"")</f>
        <v/>
      </c>
      <c r="AD194">
        <f>IF(AND(ISNUMBER('자료_거시'!$M176),ISNUMBER('자료_거시'!$N176)),1,0)</f>
        <v/>
      </c>
      <c r="AE194">
        <f>IF(AND(ISNUMBER('자료_거시'!$M176),ISNUMBER('자료_거시'!$N176)),IF(AND(SUMIFS($AD$21:$AD$620,'자료_거시'!$M$3:$M$602,"&gt;"&amp;EDATE('자료_거시'!$M176,-'설정'!$B$17),'자료_거시'!$M$3:$M$602,"&lt;="&amp;'자료_거시'!$M176)=3,SUMIFS($AD$21:$AD$620,'자료_거시'!$M$3:$M$602,"&gt;"&amp;EDATE('자료_거시'!$M176,-12-'설정'!$B$17),'자료_거시'!$M$3:$M$602,"&lt;="&amp;EDATE('자료_거시'!$M176,-12))=3),IFERROR(SUMIFS('자료_거시'!$N$3:$N$602,'자료_거시'!$M$3:$M$602,"&gt;"&amp;EDATE('자료_거시'!$M176,-'설정'!$B$17),'자료_거시'!$M$3:$M$602,"&lt;="&amp;'자료_거시'!$M176)/SUMIFS('자료_거시'!$N$3:$N$602,'자료_거시'!$M$3:$M$602,"&gt;"&amp;EDATE('자료_거시'!$M176,-12-'설정'!$B$17),'자료_거시'!$M$3:$M$602,"&lt;="&amp;EDATE('자료_거시'!$M176,-12))-1,""),""),"")</f>
        <v/>
      </c>
      <c r="AF194">
        <f>IF(ISNUMBER(AE194),'자료_거시'!$M176,"")</f>
        <v/>
      </c>
      <c r="AG194">
        <f>IF(ISNUMBER(AF194),IF(AF194&gt;$L$9,AE194,""),"")</f>
        <v/>
      </c>
    </row>
    <row r="195">
      <c r="P195">
        <f>IF(AND(ISNUMBER('자료_거시'!$A177),ISNUMBER('자료_거시'!$B177)),'자료_거시'!$B177,"")</f>
        <v/>
      </c>
      <c r="Q195">
        <f>IF(ISNUMBER(P195),'자료_거시'!$A177,"")</f>
        <v/>
      </c>
      <c r="R195">
        <f>IF(ISNUMBER(Q195),IF(Q195&gt;$L$5,P195,""),"")</f>
        <v/>
      </c>
      <c r="S195">
        <f>IF(ISNUMBER('자료_거시'!$E177),'자료_거시'!$E177,S194)</f>
        <v/>
      </c>
      <c r="T195">
        <f>IF(AND(ISNUMBER('자료_거시'!$D177),ISNUMBER('자료_거시'!$E177)),IFERROR('자료_거시'!$E177-INDEX($S$21:$S$4020,MATCH(EDATE('자료_거시'!$D177,-'설정'!$B$17),'자료_거시'!$D$3:INDEX('자료_거시'!$D$3:$D$4002,$K$6),1)),""),"")</f>
        <v/>
      </c>
      <c r="U195">
        <f>IF(ISNUMBER(T195),'자료_거시'!$D177,"")</f>
        <v/>
      </c>
      <c r="V195">
        <f>IF(ISNUMBER(U195),IF(U195&gt;$L$6,T195,""),"")</f>
        <v/>
      </c>
      <c r="W195">
        <f>IF(AND(ISNUMBER('자료_거시'!$G177),ISNUMBER('자료_거시'!$H177)),'자료_거시'!$H177,"")</f>
        <v/>
      </c>
      <c r="X195">
        <f>IF(ISNUMBER(W195),'자료_거시'!$G177,"")</f>
        <v/>
      </c>
      <c r="Y195">
        <f>IF(ISNUMBER(X195),IF(X195&gt;$L$7,W195,""),"")</f>
        <v/>
      </c>
      <c r="Z195">
        <f>IF(ISNUMBER('자료_거시'!$K177),'자료_거시'!$K177,Z194)</f>
        <v/>
      </c>
      <c r="AA195">
        <f>IF(AND(ISNUMBER('자료_거시'!$J177),ISNUMBER('자료_거시'!$K177)),IFERROR('자료_거시'!$K177/INDEX($Z$21:$Z$4020,MATCH(EDATE('자료_거시'!$J177,-'설정'!$B$17),'자료_거시'!$J$3:INDEX('자료_거시'!$J$3:$J$4002,$K$8),1))-1,""),"")</f>
        <v/>
      </c>
      <c r="AB195">
        <f>IF(ISNUMBER(AA195),'자료_거시'!$J177,"")</f>
        <v/>
      </c>
      <c r="AC195">
        <f>IF(ISNUMBER(AB195),IF(AB195&gt;$L$8,AA195,""),"")</f>
        <v/>
      </c>
      <c r="AD195">
        <f>IF(AND(ISNUMBER('자료_거시'!$M177),ISNUMBER('자료_거시'!$N177)),1,0)</f>
        <v/>
      </c>
      <c r="AE195">
        <f>IF(AND(ISNUMBER('자료_거시'!$M177),ISNUMBER('자료_거시'!$N177)),IF(AND(SUMIFS($AD$21:$AD$620,'자료_거시'!$M$3:$M$602,"&gt;"&amp;EDATE('자료_거시'!$M177,-'설정'!$B$17),'자료_거시'!$M$3:$M$602,"&lt;="&amp;'자료_거시'!$M177)=3,SUMIFS($AD$21:$AD$620,'자료_거시'!$M$3:$M$602,"&gt;"&amp;EDATE('자료_거시'!$M177,-12-'설정'!$B$17),'자료_거시'!$M$3:$M$602,"&lt;="&amp;EDATE('자료_거시'!$M177,-12))=3),IFERROR(SUMIFS('자료_거시'!$N$3:$N$602,'자료_거시'!$M$3:$M$602,"&gt;"&amp;EDATE('자료_거시'!$M177,-'설정'!$B$17),'자료_거시'!$M$3:$M$602,"&lt;="&amp;'자료_거시'!$M177)/SUMIFS('자료_거시'!$N$3:$N$602,'자료_거시'!$M$3:$M$602,"&gt;"&amp;EDATE('자료_거시'!$M177,-12-'설정'!$B$17),'자료_거시'!$M$3:$M$602,"&lt;="&amp;EDATE('자료_거시'!$M177,-12))-1,""),""),"")</f>
        <v/>
      </c>
      <c r="AF195">
        <f>IF(ISNUMBER(AE195),'자료_거시'!$M177,"")</f>
        <v/>
      </c>
      <c r="AG195">
        <f>IF(ISNUMBER(AF195),IF(AF195&gt;$L$9,AE195,""),"")</f>
        <v/>
      </c>
    </row>
    <row r="196">
      <c r="P196">
        <f>IF(AND(ISNUMBER('자료_거시'!$A178),ISNUMBER('자료_거시'!$B178)),'자료_거시'!$B178,"")</f>
        <v/>
      </c>
      <c r="Q196">
        <f>IF(ISNUMBER(P196),'자료_거시'!$A178,"")</f>
        <v/>
      </c>
      <c r="R196">
        <f>IF(ISNUMBER(Q196),IF(Q196&gt;$L$5,P196,""),"")</f>
        <v/>
      </c>
      <c r="S196">
        <f>IF(ISNUMBER('자료_거시'!$E178),'자료_거시'!$E178,S195)</f>
        <v/>
      </c>
      <c r="T196">
        <f>IF(AND(ISNUMBER('자료_거시'!$D178),ISNUMBER('자료_거시'!$E178)),IFERROR('자료_거시'!$E178-INDEX($S$21:$S$4020,MATCH(EDATE('자료_거시'!$D178,-'설정'!$B$17),'자료_거시'!$D$3:INDEX('자료_거시'!$D$3:$D$4002,$K$6),1)),""),"")</f>
        <v/>
      </c>
      <c r="U196">
        <f>IF(ISNUMBER(T196),'자료_거시'!$D178,"")</f>
        <v/>
      </c>
      <c r="V196">
        <f>IF(ISNUMBER(U196),IF(U196&gt;$L$6,T196,""),"")</f>
        <v/>
      </c>
      <c r="W196">
        <f>IF(AND(ISNUMBER('자료_거시'!$G178),ISNUMBER('자료_거시'!$H178)),'자료_거시'!$H178,"")</f>
        <v/>
      </c>
      <c r="X196">
        <f>IF(ISNUMBER(W196),'자료_거시'!$G178,"")</f>
        <v/>
      </c>
      <c r="Y196">
        <f>IF(ISNUMBER(X196),IF(X196&gt;$L$7,W196,""),"")</f>
        <v/>
      </c>
      <c r="Z196">
        <f>IF(ISNUMBER('자료_거시'!$K178),'자료_거시'!$K178,Z195)</f>
        <v/>
      </c>
      <c r="AA196">
        <f>IF(AND(ISNUMBER('자료_거시'!$J178),ISNUMBER('자료_거시'!$K178)),IFERROR('자료_거시'!$K178/INDEX($Z$21:$Z$4020,MATCH(EDATE('자료_거시'!$J178,-'설정'!$B$17),'자료_거시'!$J$3:INDEX('자료_거시'!$J$3:$J$4002,$K$8),1))-1,""),"")</f>
        <v/>
      </c>
      <c r="AB196">
        <f>IF(ISNUMBER(AA196),'자료_거시'!$J178,"")</f>
        <v/>
      </c>
      <c r="AC196">
        <f>IF(ISNUMBER(AB196),IF(AB196&gt;$L$8,AA196,""),"")</f>
        <v/>
      </c>
      <c r="AD196">
        <f>IF(AND(ISNUMBER('자료_거시'!$M178),ISNUMBER('자료_거시'!$N178)),1,0)</f>
        <v/>
      </c>
      <c r="AE196">
        <f>IF(AND(ISNUMBER('자료_거시'!$M178),ISNUMBER('자료_거시'!$N178)),IF(AND(SUMIFS($AD$21:$AD$620,'자료_거시'!$M$3:$M$602,"&gt;"&amp;EDATE('자료_거시'!$M178,-'설정'!$B$17),'자료_거시'!$M$3:$M$602,"&lt;="&amp;'자료_거시'!$M178)=3,SUMIFS($AD$21:$AD$620,'자료_거시'!$M$3:$M$602,"&gt;"&amp;EDATE('자료_거시'!$M178,-12-'설정'!$B$17),'자료_거시'!$M$3:$M$602,"&lt;="&amp;EDATE('자료_거시'!$M178,-12))=3),IFERROR(SUMIFS('자료_거시'!$N$3:$N$602,'자료_거시'!$M$3:$M$602,"&gt;"&amp;EDATE('자료_거시'!$M178,-'설정'!$B$17),'자료_거시'!$M$3:$M$602,"&lt;="&amp;'자료_거시'!$M178)/SUMIFS('자료_거시'!$N$3:$N$602,'자료_거시'!$M$3:$M$602,"&gt;"&amp;EDATE('자료_거시'!$M178,-12-'설정'!$B$17),'자료_거시'!$M$3:$M$602,"&lt;="&amp;EDATE('자료_거시'!$M178,-12))-1,""),""),"")</f>
        <v/>
      </c>
      <c r="AF196">
        <f>IF(ISNUMBER(AE196),'자료_거시'!$M178,"")</f>
        <v/>
      </c>
      <c r="AG196">
        <f>IF(ISNUMBER(AF196),IF(AF196&gt;$L$9,AE196,""),"")</f>
        <v/>
      </c>
    </row>
    <row r="197">
      <c r="P197">
        <f>IF(AND(ISNUMBER('자료_거시'!$A179),ISNUMBER('자료_거시'!$B179)),'자료_거시'!$B179,"")</f>
        <v/>
      </c>
      <c r="Q197">
        <f>IF(ISNUMBER(P197),'자료_거시'!$A179,"")</f>
        <v/>
      </c>
      <c r="R197">
        <f>IF(ISNUMBER(Q197),IF(Q197&gt;$L$5,P197,""),"")</f>
        <v/>
      </c>
      <c r="S197">
        <f>IF(ISNUMBER('자료_거시'!$E179),'자료_거시'!$E179,S196)</f>
        <v/>
      </c>
      <c r="T197">
        <f>IF(AND(ISNUMBER('자료_거시'!$D179),ISNUMBER('자료_거시'!$E179)),IFERROR('자료_거시'!$E179-INDEX($S$21:$S$4020,MATCH(EDATE('자료_거시'!$D179,-'설정'!$B$17),'자료_거시'!$D$3:INDEX('자료_거시'!$D$3:$D$4002,$K$6),1)),""),"")</f>
        <v/>
      </c>
      <c r="U197">
        <f>IF(ISNUMBER(T197),'자료_거시'!$D179,"")</f>
        <v/>
      </c>
      <c r="V197">
        <f>IF(ISNUMBER(U197),IF(U197&gt;$L$6,T197,""),"")</f>
        <v/>
      </c>
      <c r="W197">
        <f>IF(AND(ISNUMBER('자료_거시'!$G179),ISNUMBER('자료_거시'!$H179)),'자료_거시'!$H179,"")</f>
        <v/>
      </c>
      <c r="X197">
        <f>IF(ISNUMBER(W197),'자료_거시'!$G179,"")</f>
        <v/>
      </c>
      <c r="Y197">
        <f>IF(ISNUMBER(X197),IF(X197&gt;$L$7,W197,""),"")</f>
        <v/>
      </c>
      <c r="Z197">
        <f>IF(ISNUMBER('자료_거시'!$K179),'자료_거시'!$K179,Z196)</f>
        <v/>
      </c>
      <c r="AA197">
        <f>IF(AND(ISNUMBER('자료_거시'!$J179),ISNUMBER('자료_거시'!$K179)),IFERROR('자료_거시'!$K179/INDEX($Z$21:$Z$4020,MATCH(EDATE('자료_거시'!$J179,-'설정'!$B$17),'자료_거시'!$J$3:INDEX('자료_거시'!$J$3:$J$4002,$K$8),1))-1,""),"")</f>
        <v/>
      </c>
      <c r="AB197">
        <f>IF(ISNUMBER(AA197),'자료_거시'!$J179,"")</f>
        <v/>
      </c>
      <c r="AC197">
        <f>IF(ISNUMBER(AB197),IF(AB197&gt;$L$8,AA197,""),"")</f>
        <v/>
      </c>
      <c r="AD197">
        <f>IF(AND(ISNUMBER('자료_거시'!$M179),ISNUMBER('자료_거시'!$N179)),1,0)</f>
        <v/>
      </c>
      <c r="AE197">
        <f>IF(AND(ISNUMBER('자료_거시'!$M179),ISNUMBER('자료_거시'!$N179)),IF(AND(SUMIFS($AD$21:$AD$620,'자료_거시'!$M$3:$M$602,"&gt;"&amp;EDATE('자료_거시'!$M179,-'설정'!$B$17),'자료_거시'!$M$3:$M$602,"&lt;="&amp;'자료_거시'!$M179)=3,SUMIFS($AD$21:$AD$620,'자료_거시'!$M$3:$M$602,"&gt;"&amp;EDATE('자료_거시'!$M179,-12-'설정'!$B$17),'자료_거시'!$M$3:$M$602,"&lt;="&amp;EDATE('자료_거시'!$M179,-12))=3),IFERROR(SUMIFS('자료_거시'!$N$3:$N$602,'자료_거시'!$M$3:$M$602,"&gt;"&amp;EDATE('자료_거시'!$M179,-'설정'!$B$17),'자료_거시'!$M$3:$M$602,"&lt;="&amp;'자료_거시'!$M179)/SUMIFS('자료_거시'!$N$3:$N$602,'자료_거시'!$M$3:$M$602,"&gt;"&amp;EDATE('자료_거시'!$M179,-12-'설정'!$B$17),'자료_거시'!$M$3:$M$602,"&lt;="&amp;EDATE('자료_거시'!$M179,-12))-1,""),""),"")</f>
        <v/>
      </c>
      <c r="AF197">
        <f>IF(ISNUMBER(AE197),'자료_거시'!$M179,"")</f>
        <v/>
      </c>
      <c r="AG197">
        <f>IF(ISNUMBER(AF197),IF(AF197&gt;$L$9,AE197,""),"")</f>
        <v/>
      </c>
    </row>
    <row r="198">
      <c r="P198">
        <f>IF(AND(ISNUMBER('자료_거시'!$A180),ISNUMBER('자료_거시'!$B180)),'자료_거시'!$B180,"")</f>
        <v/>
      </c>
      <c r="Q198">
        <f>IF(ISNUMBER(P198),'자료_거시'!$A180,"")</f>
        <v/>
      </c>
      <c r="R198">
        <f>IF(ISNUMBER(Q198),IF(Q198&gt;$L$5,P198,""),"")</f>
        <v/>
      </c>
      <c r="S198">
        <f>IF(ISNUMBER('자료_거시'!$E180),'자료_거시'!$E180,S197)</f>
        <v/>
      </c>
      <c r="T198">
        <f>IF(AND(ISNUMBER('자료_거시'!$D180),ISNUMBER('자료_거시'!$E180)),IFERROR('자료_거시'!$E180-INDEX($S$21:$S$4020,MATCH(EDATE('자료_거시'!$D180,-'설정'!$B$17),'자료_거시'!$D$3:INDEX('자료_거시'!$D$3:$D$4002,$K$6),1)),""),"")</f>
        <v/>
      </c>
      <c r="U198">
        <f>IF(ISNUMBER(T198),'자료_거시'!$D180,"")</f>
        <v/>
      </c>
      <c r="V198">
        <f>IF(ISNUMBER(U198),IF(U198&gt;$L$6,T198,""),"")</f>
        <v/>
      </c>
      <c r="W198">
        <f>IF(AND(ISNUMBER('자료_거시'!$G180),ISNUMBER('자료_거시'!$H180)),'자료_거시'!$H180,"")</f>
        <v/>
      </c>
      <c r="X198">
        <f>IF(ISNUMBER(W198),'자료_거시'!$G180,"")</f>
        <v/>
      </c>
      <c r="Y198">
        <f>IF(ISNUMBER(X198),IF(X198&gt;$L$7,W198,""),"")</f>
        <v/>
      </c>
      <c r="Z198">
        <f>IF(ISNUMBER('자료_거시'!$K180),'자료_거시'!$K180,Z197)</f>
        <v/>
      </c>
      <c r="AA198">
        <f>IF(AND(ISNUMBER('자료_거시'!$J180),ISNUMBER('자료_거시'!$K180)),IFERROR('자료_거시'!$K180/INDEX($Z$21:$Z$4020,MATCH(EDATE('자료_거시'!$J180,-'설정'!$B$17),'자료_거시'!$J$3:INDEX('자료_거시'!$J$3:$J$4002,$K$8),1))-1,""),"")</f>
        <v/>
      </c>
      <c r="AB198">
        <f>IF(ISNUMBER(AA198),'자료_거시'!$J180,"")</f>
        <v/>
      </c>
      <c r="AC198">
        <f>IF(ISNUMBER(AB198),IF(AB198&gt;$L$8,AA198,""),"")</f>
        <v/>
      </c>
      <c r="AD198">
        <f>IF(AND(ISNUMBER('자료_거시'!$M180),ISNUMBER('자료_거시'!$N180)),1,0)</f>
        <v/>
      </c>
      <c r="AE198">
        <f>IF(AND(ISNUMBER('자료_거시'!$M180),ISNUMBER('자료_거시'!$N180)),IF(AND(SUMIFS($AD$21:$AD$620,'자료_거시'!$M$3:$M$602,"&gt;"&amp;EDATE('자료_거시'!$M180,-'설정'!$B$17),'자료_거시'!$M$3:$M$602,"&lt;="&amp;'자료_거시'!$M180)=3,SUMIFS($AD$21:$AD$620,'자료_거시'!$M$3:$M$602,"&gt;"&amp;EDATE('자료_거시'!$M180,-12-'설정'!$B$17),'자료_거시'!$M$3:$M$602,"&lt;="&amp;EDATE('자료_거시'!$M180,-12))=3),IFERROR(SUMIFS('자료_거시'!$N$3:$N$602,'자료_거시'!$M$3:$M$602,"&gt;"&amp;EDATE('자료_거시'!$M180,-'설정'!$B$17),'자료_거시'!$M$3:$M$602,"&lt;="&amp;'자료_거시'!$M180)/SUMIFS('자료_거시'!$N$3:$N$602,'자료_거시'!$M$3:$M$602,"&gt;"&amp;EDATE('자료_거시'!$M180,-12-'설정'!$B$17),'자료_거시'!$M$3:$M$602,"&lt;="&amp;EDATE('자료_거시'!$M180,-12))-1,""),""),"")</f>
        <v/>
      </c>
      <c r="AF198">
        <f>IF(ISNUMBER(AE198),'자료_거시'!$M180,"")</f>
        <v/>
      </c>
      <c r="AG198">
        <f>IF(ISNUMBER(AF198),IF(AF198&gt;$L$9,AE198,""),"")</f>
        <v/>
      </c>
    </row>
    <row r="199">
      <c r="P199">
        <f>IF(AND(ISNUMBER('자료_거시'!$A181),ISNUMBER('자료_거시'!$B181)),'자료_거시'!$B181,"")</f>
        <v/>
      </c>
      <c r="Q199">
        <f>IF(ISNUMBER(P199),'자료_거시'!$A181,"")</f>
        <v/>
      </c>
      <c r="R199">
        <f>IF(ISNUMBER(Q199),IF(Q199&gt;$L$5,P199,""),"")</f>
        <v/>
      </c>
      <c r="S199">
        <f>IF(ISNUMBER('자료_거시'!$E181),'자료_거시'!$E181,S198)</f>
        <v/>
      </c>
      <c r="T199">
        <f>IF(AND(ISNUMBER('자료_거시'!$D181),ISNUMBER('자료_거시'!$E181)),IFERROR('자료_거시'!$E181-INDEX($S$21:$S$4020,MATCH(EDATE('자료_거시'!$D181,-'설정'!$B$17),'자료_거시'!$D$3:INDEX('자료_거시'!$D$3:$D$4002,$K$6),1)),""),"")</f>
        <v/>
      </c>
      <c r="U199">
        <f>IF(ISNUMBER(T199),'자료_거시'!$D181,"")</f>
        <v/>
      </c>
      <c r="V199">
        <f>IF(ISNUMBER(U199),IF(U199&gt;$L$6,T199,""),"")</f>
        <v/>
      </c>
      <c r="W199">
        <f>IF(AND(ISNUMBER('자료_거시'!$G181),ISNUMBER('자료_거시'!$H181)),'자료_거시'!$H181,"")</f>
        <v/>
      </c>
      <c r="X199">
        <f>IF(ISNUMBER(W199),'자료_거시'!$G181,"")</f>
        <v/>
      </c>
      <c r="Y199">
        <f>IF(ISNUMBER(X199),IF(X199&gt;$L$7,W199,""),"")</f>
        <v/>
      </c>
      <c r="Z199">
        <f>IF(ISNUMBER('자료_거시'!$K181),'자료_거시'!$K181,Z198)</f>
        <v/>
      </c>
      <c r="AA199">
        <f>IF(AND(ISNUMBER('자료_거시'!$J181),ISNUMBER('자료_거시'!$K181)),IFERROR('자료_거시'!$K181/INDEX($Z$21:$Z$4020,MATCH(EDATE('자료_거시'!$J181,-'설정'!$B$17),'자료_거시'!$J$3:INDEX('자료_거시'!$J$3:$J$4002,$K$8),1))-1,""),"")</f>
        <v/>
      </c>
      <c r="AB199">
        <f>IF(ISNUMBER(AA199),'자료_거시'!$J181,"")</f>
        <v/>
      </c>
      <c r="AC199">
        <f>IF(ISNUMBER(AB199),IF(AB199&gt;$L$8,AA199,""),"")</f>
        <v/>
      </c>
      <c r="AD199">
        <f>IF(AND(ISNUMBER('자료_거시'!$M181),ISNUMBER('자료_거시'!$N181)),1,0)</f>
        <v/>
      </c>
      <c r="AE199">
        <f>IF(AND(ISNUMBER('자료_거시'!$M181),ISNUMBER('자료_거시'!$N181)),IF(AND(SUMIFS($AD$21:$AD$620,'자료_거시'!$M$3:$M$602,"&gt;"&amp;EDATE('자료_거시'!$M181,-'설정'!$B$17),'자료_거시'!$M$3:$M$602,"&lt;="&amp;'자료_거시'!$M181)=3,SUMIFS($AD$21:$AD$620,'자료_거시'!$M$3:$M$602,"&gt;"&amp;EDATE('자료_거시'!$M181,-12-'설정'!$B$17),'자료_거시'!$M$3:$M$602,"&lt;="&amp;EDATE('자료_거시'!$M181,-12))=3),IFERROR(SUMIFS('자료_거시'!$N$3:$N$602,'자료_거시'!$M$3:$M$602,"&gt;"&amp;EDATE('자료_거시'!$M181,-'설정'!$B$17),'자료_거시'!$M$3:$M$602,"&lt;="&amp;'자료_거시'!$M181)/SUMIFS('자료_거시'!$N$3:$N$602,'자료_거시'!$M$3:$M$602,"&gt;"&amp;EDATE('자료_거시'!$M181,-12-'설정'!$B$17),'자료_거시'!$M$3:$M$602,"&lt;="&amp;EDATE('자료_거시'!$M181,-12))-1,""),""),"")</f>
        <v/>
      </c>
      <c r="AF199">
        <f>IF(ISNUMBER(AE199),'자료_거시'!$M181,"")</f>
        <v/>
      </c>
      <c r="AG199">
        <f>IF(ISNUMBER(AF199),IF(AF199&gt;$L$9,AE199,""),"")</f>
        <v/>
      </c>
    </row>
    <row r="200">
      <c r="P200">
        <f>IF(AND(ISNUMBER('자료_거시'!$A182),ISNUMBER('자료_거시'!$B182)),'자료_거시'!$B182,"")</f>
        <v/>
      </c>
      <c r="Q200">
        <f>IF(ISNUMBER(P200),'자료_거시'!$A182,"")</f>
        <v/>
      </c>
      <c r="R200">
        <f>IF(ISNUMBER(Q200),IF(Q200&gt;$L$5,P200,""),"")</f>
        <v/>
      </c>
      <c r="S200">
        <f>IF(ISNUMBER('자료_거시'!$E182),'자료_거시'!$E182,S199)</f>
        <v/>
      </c>
      <c r="T200">
        <f>IF(AND(ISNUMBER('자료_거시'!$D182),ISNUMBER('자료_거시'!$E182)),IFERROR('자료_거시'!$E182-INDEX($S$21:$S$4020,MATCH(EDATE('자료_거시'!$D182,-'설정'!$B$17),'자료_거시'!$D$3:INDEX('자료_거시'!$D$3:$D$4002,$K$6),1)),""),"")</f>
        <v/>
      </c>
      <c r="U200">
        <f>IF(ISNUMBER(T200),'자료_거시'!$D182,"")</f>
        <v/>
      </c>
      <c r="V200">
        <f>IF(ISNUMBER(U200),IF(U200&gt;$L$6,T200,""),"")</f>
        <v/>
      </c>
      <c r="W200">
        <f>IF(AND(ISNUMBER('자료_거시'!$G182),ISNUMBER('자료_거시'!$H182)),'자료_거시'!$H182,"")</f>
        <v/>
      </c>
      <c r="X200">
        <f>IF(ISNUMBER(W200),'자료_거시'!$G182,"")</f>
        <v/>
      </c>
      <c r="Y200">
        <f>IF(ISNUMBER(X200),IF(X200&gt;$L$7,W200,""),"")</f>
        <v/>
      </c>
      <c r="Z200">
        <f>IF(ISNUMBER('자료_거시'!$K182),'자료_거시'!$K182,Z199)</f>
        <v/>
      </c>
      <c r="AA200">
        <f>IF(AND(ISNUMBER('자료_거시'!$J182),ISNUMBER('자료_거시'!$K182)),IFERROR('자료_거시'!$K182/INDEX($Z$21:$Z$4020,MATCH(EDATE('자료_거시'!$J182,-'설정'!$B$17),'자료_거시'!$J$3:INDEX('자료_거시'!$J$3:$J$4002,$K$8),1))-1,""),"")</f>
        <v/>
      </c>
      <c r="AB200">
        <f>IF(ISNUMBER(AA200),'자료_거시'!$J182,"")</f>
        <v/>
      </c>
      <c r="AC200">
        <f>IF(ISNUMBER(AB200),IF(AB200&gt;$L$8,AA200,""),"")</f>
        <v/>
      </c>
      <c r="AD200">
        <f>IF(AND(ISNUMBER('자료_거시'!$M182),ISNUMBER('자료_거시'!$N182)),1,0)</f>
        <v/>
      </c>
      <c r="AE200">
        <f>IF(AND(ISNUMBER('자료_거시'!$M182),ISNUMBER('자료_거시'!$N182)),IF(AND(SUMIFS($AD$21:$AD$620,'자료_거시'!$M$3:$M$602,"&gt;"&amp;EDATE('자료_거시'!$M182,-'설정'!$B$17),'자료_거시'!$M$3:$M$602,"&lt;="&amp;'자료_거시'!$M182)=3,SUMIFS($AD$21:$AD$620,'자료_거시'!$M$3:$M$602,"&gt;"&amp;EDATE('자료_거시'!$M182,-12-'설정'!$B$17),'자료_거시'!$M$3:$M$602,"&lt;="&amp;EDATE('자료_거시'!$M182,-12))=3),IFERROR(SUMIFS('자료_거시'!$N$3:$N$602,'자료_거시'!$M$3:$M$602,"&gt;"&amp;EDATE('자료_거시'!$M182,-'설정'!$B$17),'자료_거시'!$M$3:$M$602,"&lt;="&amp;'자료_거시'!$M182)/SUMIFS('자료_거시'!$N$3:$N$602,'자료_거시'!$M$3:$M$602,"&gt;"&amp;EDATE('자료_거시'!$M182,-12-'설정'!$B$17),'자료_거시'!$M$3:$M$602,"&lt;="&amp;EDATE('자료_거시'!$M182,-12))-1,""),""),"")</f>
        <v/>
      </c>
      <c r="AF200">
        <f>IF(ISNUMBER(AE200),'자료_거시'!$M182,"")</f>
        <v/>
      </c>
      <c r="AG200">
        <f>IF(ISNUMBER(AF200),IF(AF200&gt;$L$9,AE200,""),"")</f>
        <v/>
      </c>
    </row>
    <row r="201">
      <c r="P201">
        <f>IF(AND(ISNUMBER('자료_거시'!$A183),ISNUMBER('자료_거시'!$B183)),'자료_거시'!$B183,"")</f>
        <v/>
      </c>
      <c r="Q201">
        <f>IF(ISNUMBER(P201),'자료_거시'!$A183,"")</f>
        <v/>
      </c>
      <c r="R201">
        <f>IF(ISNUMBER(Q201),IF(Q201&gt;$L$5,P201,""),"")</f>
        <v/>
      </c>
      <c r="S201">
        <f>IF(ISNUMBER('자료_거시'!$E183),'자료_거시'!$E183,S200)</f>
        <v/>
      </c>
      <c r="T201">
        <f>IF(AND(ISNUMBER('자료_거시'!$D183),ISNUMBER('자료_거시'!$E183)),IFERROR('자료_거시'!$E183-INDEX($S$21:$S$4020,MATCH(EDATE('자료_거시'!$D183,-'설정'!$B$17),'자료_거시'!$D$3:INDEX('자료_거시'!$D$3:$D$4002,$K$6),1)),""),"")</f>
        <v/>
      </c>
      <c r="U201">
        <f>IF(ISNUMBER(T201),'자료_거시'!$D183,"")</f>
        <v/>
      </c>
      <c r="V201">
        <f>IF(ISNUMBER(U201),IF(U201&gt;$L$6,T201,""),"")</f>
        <v/>
      </c>
      <c r="W201">
        <f>IF(AND(ISNUMBER('자료_거시'!$G183),ISNUMBER('자료_거시'!$H183)),'자료_거시'!$H183,"")</f>
        <v/>
      </c>
      <c r="X201">
        <f>IF(ISNUMBER(W201),'자료_거시'!$G183,"")</f>
        <v/>
      </c>
      <c r="Y201">
        <f>IF(ISNUMBER(X201),IF(X201&gt;$L$7,W201,""),"")</f>
        <v/>
      </c>
      <c r="Z201">
        <f>IF(ISNUMBER('자료_거시'!$K183),'자료_거시'!$K183,Z200)</f>
        <v/>
      </c>
      <c r="AA201">
        <f>IF(AND(ISNUMBER('자료_거시'!$J183),ISNUMBER('자료_거시'!$K183)),IFERROR('자료_거시'!$K183/INDEX($Z$21:$Z$4020,MATCH(EDATE('자료_거시'!$J183,-'설정'!$B$17),'자료_거시'!$J$3:INDEX('자료_거시'!$J$3:$J$4002,$K$8),1))-1,""),"")</f>
        <v/>
      </c>
      <c r="AB201">
        <f>IF(ISNUMBER(AA201),'자료_거시'!$J183,"")</f>
        <v/>
      </c>
      <c r="AC201">
        <f>IF(ISNUMBER(AB201),IF(AB201&gt;$L$8,AA201,""),"")</f>
        <v/>
      </c>
      <c r="AD201">
        <f>IF(AND(ISNUMBER('자료_거시'!$M183),ISNUMBER('자료_거시'!$N183)),1,0)</f>
        <v/>
      </c>
      <c r="AE201">
        <f>IF(AND(ISNUMBER('자료_거시'!$M183),ISNUMBER('자료_거시'!$N183)),IF(AND(SUMIFS($AD$21:$AD$620,'자료_거시'!$M$3:$M$602,"&gt;"&amp;EDATE('자료_거시'!$M183,-'설정'!$B$17),'자료_거시'!$M$3:$M$602,"&lt;="&amp;'자료_거시'!$M183)=3,SUMIFS($AD$21:$AD$620,'자료_거시'!$M$3:$M$602,"&gt;"&amp;EDATE('자료_거시'!$M183,-12-'설정'!$B$17),'자료_거시'!$M$3:$M$602,"&lt;="&amp;EDATE('자료_거시'!$M183,-12))=3),IFERROR(SUMIFS('자료_거시'!$N$3:$N$602,'자료_거시'!$M$3:$M$602,"&gt;"&amp;EDATE('자료_거시'!$M183,-'설정'!$B$17),'자료_거시'!$M$3:$M$602,"&lt;="&amp;'자료_거시'!$M183)/SUMIFS('자료_거시'!$N$3:$N$602,'자료_거시'!$M$3:$M$602,"&gt;"&amp;EDATE('자료_거시'!$M183,-12-'설정'!$B$17),'자료_거시'!$M$3:$M$602,"&lt;="&amp;EDATE('자료_거시'!$M183,-12))-1,""),""),"")</f>
        <v/>
      </c>
      <c r="AF201">
        <f>IF(ISNUMBER(AE201),'자료_거시'!$M183,"")</f>
        <v/>
      </c>
      <c r="AG201">
        <f>IF(ISNUMBER(AF201),IF(AF201&gt;$L$9,AE201,""),"")</f>
        <v/>
      </c>
    </row>
    <row r="202">
      <c r="P202">
        <f>IF(AND(ISNUMBER('자료_거시'!$A184),ISNUMBER('자료_거시'!$B184)),'자료_거시'!$B184,"")</f>
        <v/>
      </c>
      <c r="Q202">
        <f>IF(ISNUMBER(P202),'자료_거시'!$A184,"")</f>
        <v/>
      </c>
      <c r="R202">
        <f>IF(ISNUMBER(Q202),IF(Q202&gt;$L$5,P202,""),"")</f>
        <v/>
      </c>
      <c r="S202">
        <f>IF(ISNUMBER('자료_거시'!$E184),'자료_거시'!$E184,S201)</f>
        <v/>
      </c>
      <c r="T202">
        <f>IF(AND(ISNUMBER('자료_거시'!$D184),ISNUMBER('자료_거시'!$E184)),IFERROR('자료_거시'!$E184-INDEX($S$21:$S$4020,MATCH(EDATE('자료_거시'!$D184,-'설정'!$B$17),'자료_거시'!$D$3:INDEX('자료_거시'!$D$3:$D$4002,$K$6),1)),""),"")</f>
        <v/>
      </c>
      <c r="U202">
        <f>IF(ISNUMBER(T202),'자료_거시'!$D184,"")</f>
        <v/>
      </c>
      <c r="V202">
        <f>IF(ISNUMBER(U202),IF(U202&gt;$L$6,T202,""),"")</f>
        <v/>
      </c>
      <c r="W202">
        <f>IF(AND(ISNUMBER('자료_거시'!$G184),ISNUMBER('자료_거시'!$H184)),'자료_거시'!$H184,"")</f>
        <v/>
      </c>
      <c r="X202">
        <f>IF(ISNUMBER(W202),'자료_거시'!$G184,"")</f>
        <v/>
      </c>
      <c r="Y202">
        <f>IF(ISNUMBER(X202),IF(X202&gt;$L$7,W202,""),"")</f>
        <v/>
      </c>
      <c r="Z202">
        <f>IF(ISNUMBER('자료_거시'!$K184),'자료_거시'!$K184,Z201)</f>
        <v/>
      </c>
      <c r="AA202">
        <f>IF(AND(ISNUMBER('자료_거시'!$J184),ISNUMBER('자료_거시'!$K184)),IFERROR('자료_거시'!$K184/INDEX($Z$21:$Z$4020,MATCH(EDATE('자료_거시'!$J184,-'설정'!$B$17),'자료_거시'!$J$3:INDEX('자료_거시'!$J$3:$J$4002,$K$8),1))-1,""),"")</f>
        <v/>
      </c>
      <c r="AB202">
        <f>IF(ISNUMBER(AA202),'자료_거시'!$J184,"")</f>
        <v/>
      </c>
      <c r="AC202">
        <f>IF(ISNUMBER(AB202),IF(AB202&gt;$L$8,AA202,""),"")</f>
        <v/>
      </c>
      <c r="AD202">
        <f>IF(AND(ISNUMBER('자료_거시'!$M184),ISNUMBER('자료_거시'!$N184)),1,0)</f>
        <v/>
      </c>
      <c r="AE202">
        <f>IF(AND(ISNUMBER('자료_거시'!$M184),ISNUMBER('자료_거시'!$N184)),IF(AND(SUMIFS($AD$21:$AD$620,'자료_거시'!$M$3:$M$602,"&gt;"&amp;EDATE('자료_거시'!$M184,-'설정'!$B$17),'자료_거시'!$M$3:$M$602,"&lt;="&amp;'자료_거시'!$M184)=3,SUMIFS($AD$21:$AD$620,'자료_거시'!$M$3:$M$602,"&gt;"&amp;EDATE('자료_거시'!$M184,-12-'설정'!$B$17),'자료_거시'!$M$3:$M$602,"&lt;="&amp;EDATE('자료_거시'!$M184,-12))=3),IFERROR(SUMIFS('자료_거시'!$N$3:$N$602,'자료_거시'!$M$3:$M$602,"&gt;"&amp;EDATE('자료_거시'!$M184,-'설정'!$B$17),'자료_거시'!$M$3:$M$602,"&lt;="&amp;'자료_거시'!$M184)/SUMIFS('자료_거시'!$N$3:$N$602,'자료_거시'!$M$3:$M$602,"&gt;"&amp;EDATE('자료_거시'!$M184,-12-'설정'!$B$17),'자료_거시'!$M$3:$M$602,"&lt;="&amp;EDATE('자료_거시'!$M184,-12))-1,""),""),"")</f>
        <v/>
      </c>
      <c r="AF202">
        <f>IF(ISNUMBER(AE202),'자료_거시'!$M184,"")</f>
        <v/>
      </c>
      <c r="AG202">
        <f>IF(ISNUMBER(AF202),IF(AF202&gt;$L$9,AE202,""),"")</f>
        <v/>
      </c>
    </row>
    <row r="203">
      <c r="P203">
        <f>IF(AND(ISNUMBER('자료_거시'!$A185),ISNUMBER('자료_거시'!$B185)),'자료_거시'!$B185,"")</f>
        <v/>
      </c>
      <c r="Q203">
        <f>IF(ISNUMBER(P203),'자료_거시'!$A185,"")</f>
        <v/>
      </c>
      <c r="R203">
        <f>IF(ISNUMBER(Q203),IF(Q203&gt;$L$5,P203,""),"")</f>
        <v/>
      </c>
      <c r="S203">
        <f>IF(ISNUMBER('자료_거시'!$E185),'자료_거시'!$E185,S202)</f>
        <v/>
      </c>
      <c r="T203">
        <f>IF(AND(ISNUMBER('자료_거시'!$D185),ISNUMBER('자료_거시'!$E185)),IFERROR('자료_거시'!$E185-INDEX($S$21:$S$4020,MATCH(EDATE('자료_거시'!$D185,-'설정'!$B$17),'자료_거시'!$D$3:INDEX('자료_거시'!$D$3:$D$4002,$K$6),1)),""),"")</f>
        <v/>
      </c>
      <c r="U203">
        <f>IF(ISNUMBER(T203),'자료_거시'!$D185,"")</f>
        <v/>
      </c>
      <c r="V203">
        <f>IF(ISNUMBER(U203),IF(U203&gt;$L$6,T203,""),"")</f>
        <v/>
      </c>
      <c r="W203">
        <f>IF(AND(ISNUMBER('자료_거시'!$G185),ISNUMBER('자료_거시'!$H185)),'자료_거시'!$H185,"")</f>
        <v/>
      </c>
      <c r="X203">
        <f>IF(ISNUMBER(W203),'자료_거시'!$G185,"")</f>
        <v/>
      </c>
      <c r="Y203">
        <f>IF(ISNUMBER(X203),IF(X203&gt;$L$7,W203,""),"")</f>
        <v/>
      </c>
      <c r="Z203">
        <f>IF(ISNUMBER('자료_거시'!$K185),'자료_거시'!$K185,Z202)</f>
        <v/>
      </c>
      <c r="AA203">
        <f>IF(AND(ISNUMBER('자료_거시'!$J185),ISNUMBER('자료_거시'!$K185)),IFERROR('자료_거시'!$K185/INDEX($Z$21:$Z$4020,MATCH(EDATE('자료_거시'!$J185,-'설정'!$B$17),'자료_거시'!$J$3:INDEX('자료_거시'!$J$3:$J$4002,$K$8),1))-1,""),"")</f>
        <v/>
      </c>
      <c r="AB203">
        <f>IF(ISNUMBER(AA203),'자료_거시'!$J185,"")</f>
        <v/>
      </c>
      <c r="AC203">
        <f>IF(ISNUMBER(AB203),IF(AB203&gt;$L$8,AA203,""),"")</f>
        <v/>
      </c>
      <c r="AD203">
        <f>IF(AND(ISNUMBER('자료_거시'!$M185),ISNUMBER('자료_거시'!$N185)),1,0)</f>
        <v/>
      </c>
      <c r="AE203">
        <f>IF(AND(ISNUMBER('자료_거시'!$M185),ISNUMBER('자료_거시'!$N185)),IF(AND(SUMIFS($AD$21:$AD$620,'자료_거시'!$M$3:$M$602,"&gt;"&amp;EDATE('자료_거시'!$M185,-'설정'!$B$17),'자료_거시'!$M$3:$M$602,"&lt;="&amp;'자료_거시'!$M185)=3,SUMIFS($AD$21:$AD$620,'자료_거시'!$M$3:$M$602,"&gt;"&amp;EDATE('자료_거시'!$M185,-12-'설정'!$B$17),'자료_거시'!$M$3:$M$602,"&lt;="&amp;EDATE('자료_거시'!$M185,-12))=3),IFERROR(SUMIFS('자료_거시'!$N$3:$N$602,'자료_거시'!$M$3:$M$602,"&gt;"&amp;EDATE('자료_거시'!$M185,-'설정'!$B$17),'자료_거시'!$M$3:$M$602,"&lt;="&amp;'자료_거시'!$M185)/SUMIFS('자료_거시'!$N$3:$N$602,'자료_거시'!$M$3:$M$602,"&gt;"&amp;EDATE('자료_거시'!$M185,-12-'설정'!$B$17),'자료_거시'!$M$3:$M$602,"&lt;="&amp;EDATE('자료_거시'!$M185,-12))-1,""),""),"")</f>
        <v/>
      </c>
      <c r="AF203">
        <f>IF(ISNUMBER(AE203),'자료_거시'!$M185,"")</f>
        <v/>
      </c>
      <c r="AG203">
        <f>IF(ISNUMBER(AF203),IF(AF203&gt;$L$9,AE203,""),"")</f>
        <v/>
      </c>
    </row>
    <row r="204">
      <c r="P204">
        <f>IF(AND(ISNUMBER('자료_거시'!$A186),ISNUMBER('자료_거시'!$B186)),'자료_거시'!$B186,"")</f>
        <v/>
      </c>
      <c r="Q204">
        <f>IF(ISNUMBER(P204),'자료_거시'!$A186,"")</f>
        <v/>
      </c>
      <c r="R204">
        <f>IF(ISNUMBER(Q204),IF(Q204&gt;$L$5,P204,""),"")</f>
        <v/>
      </c>
      <c r="S204">
        <f>IF(ISNUMBER('자료_거시'!$E186),'자료_거시'!$E186,S203)</f>
        <v/>
      </c>
      <c r="T204">
        <f>IF(AND(ISNUMBER('자료_거시'!$D186),ISNUMBER('자료_거시'!$E186)),IFERROR('자료_거시'!$E186-INDEX($S$21:$S$4020,MATCH(EDATE('자료_거시'!$D186,-'설정'!$B$17),'자료_거시'!$D$3:INDEX('자료_거시'!$D$3:$D$4002,$K$6),1)),""),"")</f>
        <v/>
      </c>
      <c r="U204">
        <f>IF(ISNUMBER(T204),'자료_거시'!$D186,"")</f>
        <v/>
      </c>
      <c r="V204">
        <f>IF(ISNUMBER(U204),IF(U204&gt;$L$6,T204,""),"")</f>
        <v/>
      </c>
      <c r="W204">
        <f>IF(AND(ISNUMBER('자료_거시'!$G186),ISNUMBER('자료_거시'!$H186)),'자료_거시'!$H186,"")</f>
        <v/>
      </c>
      <c r="X204">
        <f>IF(ISNUMBER(W204),'자료_거시'!$G186,"")</f>
        <v/>
      </c>
      <c r="Y204">
        <f>IF(ISNUMBER(X204),IF(X204&gt;$L$7,W204,""),"")</f>
        <v/>
      </c>
      <c r="Z204">
        <f>IF(ISNUMBER('자료_거시'!$K186),'자료_거시'!$K186,Z203)</f>
        <v/>
      </c>
      <c r="AA204">
        <f>IF(AND(ISNUMBER('자료_거시'!$J186),ISNUMBER('자료_거시'!$K186)),IFERROR('자료_거시'!$K186/INDEX($Z$21:$Z$4020,MATCH(EDATE('자료_거시'!$J186,-'설정'!$B$17),'자료_거시'!$J$3:INDEX('자료_거시'!$J$3:$J$4002,$K$8),1))-1,""),"")</f>
        <v/>
      </c>
      <c r="AB204">
        <f>IF(ISNUMBER(AA204),'자료_거시'!$J186,"")</f>
        <v/>
      </c>
      <c r="AC204">
        <f>IF(ISNUMBER(AB204),IF(AB204&gt;$L$8,AA204,""),"")</f>
        <v/>
      </c>
      <c r="AD204">
        <f>IF(AND(ISNUMBER('자료_거시'!$M186),ISNUMBER('자료_거시'!$N186)),1,0)</f>
        <v/>
      </c>
      <c r="AE204">
        <f>IF(AND(ISNUMBER('자료_거시'!$M186),ISNUMBER('자료_거시'!$N186)),IF(AND(SUMIFS($AD$21:$AD$620,'자료_거시'!$M$3:$M$602,"&gt;"&amp;EDATE('자료_거시'!$M186,-'설정'!$B$17),'자료_거시'!$M$3:$M$602,"&lt;="&amp;'자료_거시'!$M186)=3,SUMIFS($AD$21:$AD$620,'자료_거시'!$M$3:$M$602,"&gt;"&amp;EDATE('자료_거시'!$M186,-12-'설정'!$B$17),'자료_거시'!$M$3:$M$602,"&lt;="&amp;EDATE('자료_거시'!$M186,-12))=3),IFERROR(SUMIFS('자료_거시'!$N$3:$N$602,'자료_거시'!$M$3:$M$602,"&gt;"&amp;EDATE('자료_거시'!$M186,-'설정'!$B$17),'자료_거시'!$M$3:$M$602,"&lt;="&amp;'자료_거시'!$M186)/SUMIFS('자료_거시'!$N$3:$N$602,'자료_거시'!$M$3:$M$602,"&gt;"&amp;EDATE('자료_거시'!$M186,-12-'설정'!$B$17),'자료_거시'!$M$3:$M$602,"&lt;="&amp;EDATE('자료_거시'!$M186,-12))-1,""),""),"")</f>
        <v/>
      </c>
      <c r="AF204">
        <f>IF(ISNUMBER(AE204),'자료_거시'!$M186,"")</f>
        <v/>
      </c>
      <c r="AG204">
        <f>IF(ISNUMBER(AF204),IF(AF204&gt;$L$9,AE204,""),"")</f>
        <v/>
      </c>
    </row>
    <row r="205">
      <c r="P205">
        <f>IF(AND(ISNUMBER('자료_거시'!$A187),ISNUMBER('자료_거시'!$B187)),'자료_거시'!$B187,"")</f>
        <v/>
      </c>
      <c r="Q205">
        <f>IF(ISNUMBER(P205),'자료_거시'!$A187,"")</f>
        <v/>
      </c>
      <c r="R205">
        <f>IF(ISNUMBER(Q205),IF(Q205&gt;$L$5,P205,""),"")</f>
        <v/>
      </c>
      <c r="S205">
        <f>IF(ISNUMBER('자료_거시'!$E187),'자료_거시'!$E187,S204)</f>
        <v/>
      </c>
      <c r="T205">
        <f>IF(AND(ISNUMBER('자료_거시'!$D187),ISNUMBER('자료_거시'!$E187)),IFERROR('자료_거시'!$E187-INDEX($S$21:$S$4020,MATCH(EDATE('자료_거시'!$D187,-'설정'!$B$17),'자료_거시'!$D$3:INDEX('자료_거시'!$D$3:$D$4002,$K$6),1)),""),"")</f>
        <v/>
      </c>
      <c r="U205">
        <f>IF(ISNUMBER(T205),'자료_거시'!$D187,"")</f>
        <v/>
      </c>
      <c r="V205">
        <f>IF(ISNUMBER(U205),IF(U205&gt;$L$6,T205,""),"")</f>
        <v/>
      </c>
      <c r="W205">
        <f>IF(AND(ISNUMBER('자료_거시'!$G187),ISNUMBER('자료_거시'!$H187)),'자료_거시'!$H187,"")</f>
        <v/>
      </c>
      <c r="X205">
        <f>IF(ISNUMBER(W205),'자료_거시'!$G187,"")</f>
        <v/>
      </c>
      <c r="Y205">
        <f>IF(ISNUMBER(X205),IF(X205&gt;$L$7,W205,""),"")</f>
        <v/>
      </c>
      <c r="Z205">
        <f>IF(ISNUMBER('자료_거시'!$K187),'자료_거시'!$K187,Z204)</f>
        <v/>
      </c>
      <c r="AA205">
        <f>IF(AND(ISNUMBER('자료_거시'!$J187),ISNUMBER('자료_거시'!$K187)),IFERROR('자료_거시'!$K187/INDEX($Z$21:$Z$4020,MATCH(EDATE('자료_거시'!$J187,-'설정'!$B$17),'자료_거시'!$J$3:INDEX('자료_거시'!$J$3:$J$4002,$K$8),1))-1,""),"")</f>
        <v/>
      </c>
      <c r="AB205">
        <f>IF(ISNUMBER(AA205),'자료_거시'!$J187,"")</f>
        <v/>
      </c>
      <c r="AC205">
        <f>IF(ISNUMBER(AB205),IF(AB205&gt;$L$8,AA205,""),"")</f>
        <v/>
      </c>
      <c r="AD205">
        <f>IF(AND(ISNUMBER('자료_거시'!$M187),ISNUMBER('자료_거시'!$N187)),1,0)</f>
        <v/>
      </c>
      <c r="AE205">
        <f>IF(AND(ISNUMBER('자료_거시'!$M187),ISNUMBER('자료_거시'!$N187)),IF(AND(SUMIFS($AD$21:$AD$620,'자료_거시'!$M$3:$M$602,"&gt;"&amp;EDATE('자료_거시'!$M187,-'설정'!$B$17),'자료_거시'!$M$3:$M$602,"&lt;="&amp;'자료_거시'!$M187)=3,SUMIFS($AD$21:$AD$620,'자료_거시'!$M$3:$M$602,"&gt;"&amp;EDATE('자료_거시'!$M187,-12-'설정'!$B$17),'자료_거시'!$M$3:$M$602,"&lt;="&amp;EDATE('자료_거시'!$M187,-12))=3),IFERROR(SUMIFS('자료_거시'!$N$3:$N$602,'자료_거시'!$M$3:$M$602,"&gt;"&amp;EDATE('자료_거시'!$M187,-'설정'!$B$17),'자료_거시'!$M$3:$M$602,"&lt;="&amp;'자료_거시'!$M187)/SUMIFS('자료_거시'!$N$3:$N$602,'자료_거시'!$M$3:$M$602,"&gt;"&amp;EDATE('자료_거시'!$M187,-12-'설정'!$B$17),'자료_거시'!$M$3:$M$602,"&lt;="&amp;EDATE('자료_거시'!$M187,-12))-1,""),""),"")</f>
        <v/>
      </c>
      <c r="AF205">
        <f>IF(ISNUMBER(AE205),'자료_거시'!$M187,"")</f>
        <v/>
      </c>
      <c r="AG205">
        <f>IF(ISNUMBER(AF205),IF(AF205&gt;$L$9,AE205,""),"")</f>
        <v/>
      </c>
    </row>
    <row r="206">
      <c r="P206">
        <f>IF(AND(ISNUMBER('자료_거시'!$A188),ISNUMBER('자료_거시'!$B188)),'자료_거시'!$B188,"")</f>
        <v/>
      </c>
      <c r="Q206">
        <f>IF(ISNUMBER(P206),'자료_거시'!$A188,"")</f>
        <v/>
      </c>
      <c r="R206">
        <f>IF(ISNUMBER(Q206),IF(Q206&gt;$L$5,P206,""),"")</f>
        <v/>
      </c>
      <c r="S206">
        <f>IF(ISNUMBER('자료_거시'!$E188),'자료_거시'!$E188,S205)</f>
        <v/>
      </c>
      <c r="T206">
        <f>IF(AND(ISNUMBER('자료_거시'!$D188),ISNUMBER('자료_거시'!$E188)),IFERROR('자료_거시'!$E188-INDEX($S$21:$S$4020,MATCH(EDATE('자료_거시'!$D188,-'설정'!$B$17),'자료_거시'!$D$3:INDEX('자료_거시'!$D$3:$D$4002,$K$6),1)),""),"")</f>
        <v/>
      </c>
      <c r="U206">
        <f>IF(ISNUMBER(T206),'자료_거시'!$D188,"")</f>
        <v/>
      </c>
      <c r="V206">
        <f>IF(ISNUMBER(U206),IF(U206&gt;$L$6,T206,""),"")</f>
        <v/>
      </c>
      <c r="W206">
        <f>IF(AND(ISNUMBER('자료_거시'!$G188),ISNUMBER('자료_거시'!$H188)),'자료_거시'!$H188,"")</f>
        <v/>
      </c>
      <c r="X206">
        <f>IF(ISNUMBER(W206),'자료_거시'!$G188,"")</f>
        <v/>
      </c>
      <c r="Y206">
        <f>IF(ISNUMBER(X206),IF(X206&gt;$L$7,W206,""),"")</f>
        <v/>
      </c>
      <c r="Z206">
        <f>IF(ISNUMBER('자료_거시'!$K188),'자료_거시'!$K188,Z205)</f>
        <v/>
      </c>
      <c r="AA206">
        <f>IF(AND(ISNUMBER('자료_거시'!$J188),ISNUMBER('자료_거시'!$K188)),IFERROR('자료_거시'!$K188/INDEX($Z$21:$Z$4020,MATCH(EDATE('자료_거시'!$J188,-'설정'!$B$17),'자료_거시'!$J$3:INDEX('자료_거시'!$J$3:$J$4002,$K$8),1))-1,""),"")</f>
        <v/>
      </c>
      <c r="AB206">
        <f>IF(ISNUMBER(AA206),'자료_거시'!$J188,"")</f>
        <v/>
      </c>
      <c r="AC206">
        <f>IF(ISNUMBER(AB206),IF(AB206&gt;$L$8,AA206,""),"")</f>
        <v/>
      </c>
      <c r="AD206">
        <f>IF(AND(ISNUMBER('자료_거시'!$M188),ISNUMBER('자료_거시'!$N188)),1,0)</f>
        <v/>
      </c>
      <c r="AE206">
        <f>IF(AND(ISNUMBER('자료_거시'!$M188),ISNUMBER('자료_거시'!$N188)),IF(AND(SUMIFS($AD$21:$AD$620,'자료_거시'!$M$3:$M$602,"&gt;"&amp;EDATE('자료_거시'!$M188,-'설정'!$B$17),'자료_거시'!$M$3:$M$602,"&lt;="&amp;'자료_거시'!$M188)=3,SUMIFS($AD$21:$AD$620,'자료_거시'!$M$3:$M$602,"&gt;"&amp;EDATE('자료_거시'!$M188,-12-'설정'!$B$17),'자료_거시'!$M$3:$M$602,"&lt;="&amp;EDATE('자료_거시'!$M188,-12))=3),IFERROR(SUMIFS('자료_거시'!$N$3:$N$602,'자료_거시'!$M$3:$M$602,"&gt;"&amp;EDATE('자료_거시'!$M188,-'설정'!$B$17),'자료_거시'!$M$3:$M$602,"&lt;="&amp;'자료_거시'!$M188)/SUMIFS('자료_거시'!$N$3:$N$602,'자료_거시'!$M$3:$M$602,"&gt;"&amp;EDATE('자료_거시'!$M188,-12-'설정'!$B$17),'자료_거시'!$M$3:$M$602,"&lt;="&amp;EDATE('자료_거시'!$M188,-12))-1,""),""),"")</f>
        <v/>
      </c>
      <c r="AF206">
        <f>IF(ISNUMBER(AE206),'자료_거시'!$M188,"")</f>
        <v/>
      </c>
      <c r="AG206">
        <f>IF(ISNUMBER(AF206),IF(AF206&gt;$L$9,AE206,""),"")</f>
        <v/>
      </c>
    </row>
    <row r="207">
      <c r="P207">
        <f>IF(AND(ISNUMBER('자료_거시'!$A189),ISNUMBER('자료_거시'!$B189)),'자료_거시'!$B189,"")</f>
        <v/>
      </c>
      <c r="Q207">
        <f>IF(ISNUMBER(P207),'자료_거시'!$A189,"")</f>
        <v/>
      </c>
      <c r="R207">
        <f>IF(ISNUMBER(Q207),IF(Q207&gt;$L$5,P207,""),"")</f>
        <v/>
      </c>
      <c r="S207">
        <f>IF(ISNUMBER('자료_거시'!$E189),'자료_거시'!$E189,S206)</f>
        <v/>
      </c>
      <c r="T207">
        <f>IF(AND(ISNUMBER('자료_거시'!$D189),ISNUMBER('자료_거시'!$E189)),IFERROR('자료_거시'!$E189-INDEX($S$21:$S$4020,MATCH(EDATE('자료_거시'!$D189,-'설정'!$B$17),'자료_거시'!$D$3:INDEX('자료_거시'!$D$3:$D$4002,$K$6),1)),""),"")</f>
        <v/>
      </c>
      <c r="U207">
        <f>IF(ISNUMBER(T207),'자료_거시'!$D189,"")</f>
        <v/>
      </c>
      <c r="V207">
        <f>IF(ISNUMBER(U207),IF(U207&gt;$L$6,T207,""),"")</f>
        <v/>
      </c>
      <c r="W207">
        <f>IF(AND(ISNUMBER('자료_거시'!$G189),ISNUMBER('자료_거시'!$H189)),'자료_거시'!$H189,"")</f>
        <v/>
      </c>
      <c r="X207">
        <f>IF(ISNUMBER(W207),'자료_거시'!$G189,"")</f>
        <v/>
      </c>
      <c r="Y207">
        <f>IF(ISNUMBER(X207),IF(X207&gt;$L$7,W207,""),"")</f>
        <v/>
      </c>
      <c r="Z207">
        <f>IF(ISNUMBER('자료_거시'!$K189),'자료_거시'!$K189,Z206)</f>
        <v/>
      </c>
      <c r="AA207">
        <f>IF(AND(ISNUMBER('자료_거시'!$J189),ISNUMBER('자료_거시'!$K189)),IFERROR('자료_거시'!$K189/INDEX($Z$21:$Z$4020,MATCH(EDATE('자료_거시'!$J189,-'설정'!$B$17),'자료_거시'!$J$3:INDEX('자료_거시'!$J$3:$J$4002,$K$8),1))-1,""),"")</f>
        <v/>
      </c>
      <c r="AB207">
        <f>IF(ISNUMBER(AA207),'자료_거시'!$J189,"")</f>
        <v/>
      </c>
      <c r="AC207">
        <f>IF(ISNUMBER(AB207),IF(AB207&gt;$L$8,AA207,""),"")</f>
        <v/>
      </c>
      <c r="AD207">
        <f>IF(AND(ISNUMBER('자료_거시'!$M189),ISNUMBER('자료_거시'!$N189)),1,0)</f>
        <v/>
      </c>
      <c r="AE207">
        <f>IF(AND(ISNUMBER('자료_거시'!$M189),ISNUMBER('자료_거시'!$N189)),IF(AND(SUMIFS($AD$21:$AD$620,'자료_거시'!$M$3:$M$602,"&gt;"&amp;EDATE('자료_거시'!$M189,-'설정'!$B$17),'자료_거시'!$M$3:$M$602,"&lt;="&amp;'자료_거시'!$M189)=3,SUMIFS($AD$21:$AD$620,'자료_거시'!$M$3:$M$602,"&gt;"&amp;EDATE('자료_거시'!$M189,-12-'설정'!$B$17),'자료_거시'!$M$3:$M$602,"&lt;="&amp;EDATE('자료_거시'!$M189,-12))=3),IFERROR(SUMIFS('자료_거시'!$N$3:$N$602,'자료_거시'!$M$3:$M$602,"&gt;"&amp;EDATE('자료_거시'!$M189,-'설정'!$B$17),'자료_거시'!$M$3:$M$602,"&lt;="&amp;'자료_거시'!$M189)/SUMIFS('자료_거시'!$N$3:$N$602,'자료_거시'!$M$3:$M$602,"&gt;"&amp;EDATE('자료_거시'!$M189,-12-'설정'!$B$17),'자료_거시'!$M$3:$M$602,"&lt;="&amp;EDATE('자료_거시'!$M189,-12))-1,""),""),"")</f>
        <v/>
      </c>
      <c r="AF207">
        <f>IF(ISNUMBER(AE207),'자료_거시'!$M189,"")</f>
        <v/>
      </c>
      <c r="AG207">
        <f>IF(ISNUMBER(AF207),IF(AF207&gt;$L$9,AE207,""),"")</f>
        <v/>
      </c>
    </row>
    <row r="208">
      <c r="P208">
        <f>IF(AND(ISNUMBER('자료_거시'!$A190),ISNUMBER('자료_거시'!$B190)),'자료_거시'!$B190,"")</f>
        <v/>
      </c>
      <c r="Q208">
        <f>IF(ISNUMBER(P208),'자료_거시'!$A190,"")</f>
        <v/>
      </c>
      <c r="R208">
        <f>IF(ISNUMBER(Q208),IF(Q208&gt;$L$5,P208,""),"")</f>
        <v/>
      </c>
      <c r="S208">
        <f>IF(ISNUMBER('자료_거시'!$E190),'자료_거시'!$E190,S207)</f>
        <v/>
      </c>
      <c r="T208">
        <f>IF(AND(ISNUMBER('자료_거시'!$D190),ISNUMBER('자료_거시'!$E190)),IFERROR('자료_거시'!$E190-INDEX($S$21:$S$4020,MATCH(EDATE('자료_거시'!$D190,-'설정'!$B$17),'자료_거시'!$D$3:INDEX('자료_거시'!$D$3:$D$4002,$K$6),1)),""),"")</f>
        <v/>
      </c>
      <c r="U208">
        <f>IF(ISNUMBER(T208),'자료_거시'!$D190,"")</f>
        <v/>
      </c>
      <c r="V208">
        <f>IF(ISNUMBER(U208),IF(U208&gt;$L$6,T208,""),"")</f>
        <v/>
      </c>
      <c r="W208">
        <f>IF(AND(ISNUMBER('자료_거시'!$G190),ISNUMBER('자료_거시'!$H190)),'자료_거시'!$H190,"")</f>
        <v/>
      </c>
      <c r="X208">
        <f>IF(ISNUMBER(W208),'자료_거시'!$G190,"")</f>
        <v/>
      </c>
      <c r="Y208">
        <f>IF(ISNUMBER(X208),IF(X208&gt;$L$7,W208,""),"")</f>
        <v/>
      </c>
      <c r="Z208">
        <f>IF(ISNUMBER('자료_거시'!$K190),'자료_거시'!$K190,Z207)</f>
        <v/>
      </c>
      <c r="AA208">
        <f>IF(AND(ISNUMBER('자료_거시'!$J190),ISNUMBER('자료_거시'!$K190)),IFERROR('자료_거시'!$K190/INDEX($Z$21:$Z$4020,MATCH(EDATE('자료_거시'!$J190,-'설정'!$B$17),'자료_거시'!$J$3:INDEX('자료_거시'!$J$3:$J$4002,$K$8),1))-1,""),"")</f>
        <v/>
      </c>
      <c r="AB208">
        <f>IF(ISNUMBER(AA208),'자료_거시'!$J190,"")</f>
        <v/>
      </c>
      <c r="AC208">
        <f>IF(ISNUMBER(AB208),IF(AB208&gt;$L$8,AA208,""),"")</f>
        <v/>
      </c>
      <c r="AD208">
        <f>IF(AND(ISNUMBER('자료_거시'!$M190),ISNUMBER('자료_거시'!$N190)),1,0)</f>
        <v/>
      </c>
      <c r="AE208">
        <f>IF(AND(ISNUMBER('자료_거시'!$M190),ISNUMBER('자료_거시'!$N190)),IF(AND(SUMIFS($AD$21:$AD$620,'자료_거시'!$M$3:$M$602,"&gt;"&amp;EDATE('자료_거시'!$M190,-'설정'!$B$17),'자료_거시'!$M$3:$M$602,"&lt;="&amp;'자료_거시'!$M190)=3,SUMIFS($AD$21:$AD$620,'자료_거시'!$M$3:$M$602,"&gt;"&amp;EDATE('자료_거시'!$M190,-12-'설정'!$B$17),'자료_거시'!$M$3:$M$602,"&lt;="&amp;EDATE('자료_거시'!$M190,-12))=3),IFERROR(SUMIFS('자료_거시'!$N$3:$N$602,'자료_거시'!$M$3:$M$602,"&gt;"&amp;EDATE('자료_거시'!$M190,-'설정'!$B$17),'자료_거시'!$M$3:$M$602,"&lt;="&amp;'자료_거시'!$M190)/SUMIFS('자료_거시'!$N$3:$N$602,'자료_거시'!$M$3:$M$602,"&gt;"&amp;EDATE('자료_거시'!$M190,-12-'설정'!$B$17),'자료_거시'!$M$3:$M$602,"&lt;="&amp;EDATE('자료_거시'!$M190,-12))-1,""),""),"")</f>
        <v/>
      </c>
      <c r="AF208">
        <f>IF(ISNUMBER(AE208),'자료_거시'!$M190,"")</f>
        <v/>
      </c>
      <c r="AG208">
        <f>IF(ISNUMBER(AF208),IF(AF208&gt;$L$9,AE208,""),"")</f>
        <v/>
      </c>
    </row>
    <row r="209">
      <c r="P209">
        <f>IF(AND(ISNUMBER('자료_거시'!$A191),ISNUMBER('자료_거시'!$B191)),'자료_거시'!$B191,"")</f>
        <v/>
      </c>
      <c r="Q209">
        <f>IF(ISNUMBER(P209),'자료_거시'!$A191,"")</f>
        <v/>
      </c>
      <c r="R209">
        <f>IF(ISNUMBER(Q209),IF(Q209&gt;$L$5,P209,""),"")</f>
        <v/>
      </c>
      <c r="S209">
        <f>IF(ISNUMBER('자료_거시'!$E191),'자료_거시'!$E191,S208)</f>
        <v/>
      </c>
      <c r="T209">
        <f>IF(AND(ISNUMBER('자료_거시'!$D191),ISNUMBER('자료_거시'!$E191)),IFERROR('자료_거시'!$E191-INDEX($S$21:$S$4020,MATCH(EDATE('자료_거시'!$D191,-'설정'!$B$17),'자료_거시'!$D$3:INDEX('자료_거시'!$D$3:$D$4002,$K$6),1)),""),"")</f>
        <v/>
      </c>
      <c r="U209">
        <f>IF(ISNUMBER(T209),'자료_거시'!$D191,"")</f>
        <v/>
      </c>
      <c r="V209">
        <f>IF(ISNUMBER(U209),IF(U209&gt;$L$6,T209,""),"")</f>
        <v/>
      </c>
      <c r="W209">
        <f>IF(AND(ISNUMBER('자료_거시'!$G191),ISNUMBER('자료_거시'!$H191)),'자료_거시'!$H191,"")</f>
        <v/>
      </c>
      <c r="X209">
        <f>IF(ISNUMBER(W209),'자료_거시'!$G191,"")</f>
        <v/>
      </c>
      <c r="Y209">
        <f>IF(ISNUMBER(X209),IF(X209&gt;$L$7,W209,""),"")</f>
        <v/>
      </c>
      <c r="Z209">
        <f>IF(ISNUMBER('자료_거시'!$K191),'자료_거시'!$K191,Z208)</f>
        <v/>
      </c>
      <c r="AA209">
        <f>IF(AND(ISNUMBER('자료_거시'!$J191),ISNUMBER('자료_거시'!$K191)),IFERROR('자료_거시'!$K191/INDEX($Z$21:$Z$4020,MATCH(EDATE('자료_거시'!$J191,-'설정'!$B$17),'자료_거시'!$J$3:INDEX('자료_거시'!$J$3:$J$4002,$K$8),1))-1,""),"")</f>
        <v/>
      </c>
      <c r="AB209">
        <f>IF(ISNUMBER(AA209),'자료_거시'!$J191,"")</f>
        <v/>
      </c>
      <c r="AC209">
        <f>IF(ISNUMBER(AB209),IF(AB209&gt;$L$8,AA209,""),"")</f>
        <v/>
      </c>
      <c r="AD209">
        <f>IF(AND(ISNUMBER('자료_거시'!$M191),ISNUMBER('자료_거시'!$N191)),1,0)</f>
        <v/>
      </c>
      <c r="AE209">
        <f>IF(AND(ISNUMBER('자료_거시'!$M191),ISNUMBER('자료_거시'!$N191)),IF(AND(SUMIFS($AD$21:$AD$620,'자료_거시'!$M$3:$M$602,"&gt;"&amp;EDATE('자료_거시'!$M191,-'설정'!$B$17),'자료_거시'!$M$3:$M$602,"&lt;="&amp;'자료_거시'!$M191)=3,SUMIFS($AD$21:$AD$620,'자료_거시'!$M$3:$M$602,"&gt;"&amp;EDATE('자료_거시'!$M191,-12-'설정'!$B$17),'자료_거시'!$M$3:$M$602,"&lt;="&amp;EDATE('자료_거시'!$M191,-12))=3),IFERROR(SUMIFS('자료_거시'!$N$3:$N$602,'자료_거시'!$M$3:$M$602,"&gt;"&amp;EDATE('자료_거시'!$M191,-'설정'!$B$17),'자료_거시'!$M$3:$M$602,"&lt;="&amp;'자료_거시'!$M191)/SUMIFS('자료_거시'!$N$3:$N$602,'자료_거시'!$M$3:$M$602,"&gt;"&amp;EDATE('자료_거시'!$M191,-12-'설정'!$B$17),'자료_거시'!$M$3:$M$602,"&lt;="&amp;EDATE('자료_거시'!$M191,-12))-1,""),""),"")</f>
        <v/>
      </c>
      <c r="AF209">
        <f>IF(ISNUMBER(AE209),'자료_거시'!$M191,"")</f>
        <v/>
      </c>
      <c r="AG209">
        <f>IF(ISNUMBER(AF209),IF(AF209&gt;$L$9,AE209,""),"")</f>
        <v/>
      </c>
    </row>
    <row r="210">
      <c r="P210">
        <f>IF(AND(ISNUMBER('자료_거시'!$A192),ISNUMBER('자료_거시'!$B192)),'자료_거시'!$B192,"")</f>
        <v/>
      </c>
      <c r="Q210">
        <f>IF(ISNUMBER(P210),'자료_거시'!$A192,"")</f>
        <v/>
      </c>
      <c r="R210">
        <f>IF(ISNUMBER(Q210),IF(Q210&gt;$L$5,P210,""),"")</f>
        <v/>
      </c>
      <c r="S210">
        <f>IF(ISNUMBER('자료_거시'!$E192),'자료_거시'!$E192,S209)</f>
        <v/>
      </c>
      <c r="T210">
        <f>IF(AND(ISNUMBER('자료_거시'!$D192),ISNUMBER('자료_거시'!$E192)),IFERROR('자료_거시'!$E192-INDEX($S$21:$S$4020,MATCH(EDATE('자료_거시'!$D192,-'설정'!$B$17),'자료_거시'!$D$3:INDEX('자료_거시'!$D$3:$D$4002,$K$6),1)),""),"")</f>
        <v/>
      </c>
      <c r="U210">
        <f>IF(ISNUMBER(T210),'자료_거시'!$D192,"")</f>
        <v/>
      </c>
      <c r="V210">
        <f>IF(ISNUMBER(U210),IF(U210&gt;$L$6,T210,""),"")</f>
        <v/>
      </c>
      <c r="W210">
        <f>IF(AND(ISNUMBER('자료_거시'!$G192),ISNUMBER('자료_거시'!$H192)),'자료_거시'!$H192,"")</f>
        <v/>
      </c>
      <c r="X210">
        <f>IF(ISNUMBER(W210),'자료_거시'!$G192,"")</f>
        <v/>
      </c>
      <c r="Y210">
        <f>IF(ISNUMBER(X210),IF(X210&gt;$L$7,W210,""),"")</f>
        <v/>
      </c>
      <c r="Z210">
        <f>IF(ISNUMBER('자료_거시'!$K192),'자료_거시'!$K192,Z209)</f>
        <v/>
      </c>
      <c r="AA210">
        <f>IF(AND(ISNUMBER('자료_거시'!$J192),ISNUMBER('자료_거시'!$K192)),IFERROR('자료_거시'!$K192/INDEX($Z$21:$Z$4020,MATCH(EDATE('자료_거시'!$J192,-'설정'!$B$17),'자료_거시'!$J$3:INDEX('자료_거시'!$J$3:$J$4002,$K$8),1))-1,""),"")</f>
        <v/>
      </c>
      <c r="AB210">
        <f>IF(ISNUMBER(AA210),'자료_거시'!$J192,"")</f>
        <v/>
      </c>
      <c r="AC210">
        <f>IF(ISNUMBER(AB210),IF(AB210&gt;$L$8,AA210,""),"")</f>
        <v/>
      </c>
      <c r="AD210">
        <f>IF(AND(ISNUMBER('자료_거시'!$M192),ISNUMBER('자료_거시'!$N192)),1,0)</f>
        <v/>
      </c>
      <c r="AE210">
        <f>IF(AND(ISNUMBER('자료_거시'!$M192),ISNUMBER('자료_거시'!$N192)),IF(AND(SUMIFS($AD$21:$AD$620,'자료_거시'!$M$3:$M$602,"&gt;"&amp;EDATE('자료_거시'!$M192,-'설정'!$B$17),'자료_거시'!$M$3:$M$602,"&lt;="&amp;'자료_거시'!$M192)=3,SUMIFS($AD$21:$AD$620,'자료_거시'!$M$3:$M$602,"&gt;"&amp;EDATE('자료_거시'!$M192,-12-'설정'!$B$17),'자료_거시'!$M$3:$M$602,"&lt;="&amp;EDATE('자료_거시'!$M192,-12))=3),IFERROR(SUMIFS('자료_거시'!$N$3:$N$602,'자료_거시'!$M$3:$M$602,"&gt;"&amp;EDATE('자료_거시'!$M192,-'설정'!$B$17),'자료_거시'!$M$3:$M$602,"&lt;="&amp;'자료_거시'!$M192)/SUMIFS('자료_거시'!$N$3:$N$602,'자료_거시'!$M$3:$M$602,"&gt;"&amp;EDATE('자료_거시'!$M192,-12-'설정'!$B$17),'자료_거시'!$M$3:$M$602,"&lt;="&amp;EDATE('자료_거시'!$M192,-12))-1,""),""),"")</f>
        <v/>
      </c>
      <c r="AF210">
        <f>IF(ISNUMBER(AE210),'자료_거시'!$M192,"")</f>
        <v/>
      </c>
      <c r="AG210">
        <f>IF(ISNUMBER(AF210),IF(AF210&gt;$L$9,AE210,""),"")</f>
        <v/>
      </c>
    </row>
    <row r="211">
      <c r="P211">
        <f>IF(AND(ISNUMBER('자료_거시'!$A193),ISNUMBER('자료_거시'!$B193)),'자료_거시'!$B193,"")</f>
        <v/>
      </c>
      <c r="Q211">
        <f>IF(ISNUMBER(P211),'자료_거시'!$A193,"")</f>
        <v/>
      </c>
      <c r="R211">
        <f>IF(ISNUMBER(Q211),IF(Q211&gt;$L$5,P211,""),"")</f>
        <v/>
      </c>
      <c r="S211">
        <f>IF(ISNUMBER('자료_거시'!$E193),'자료_거시'!$E193,S210)</f>
        <v/>
      </c>
      <c r="T211">
        <f>IF(AND(ISNUMBER('자료_거시'!$D193),ISNUMBER('자료_거시'!$E193)),IFERROR('자료_거시'!$E193-INDEX($S$21:$S$4020,MATCH(EDATE('자료_거시'!$D193,-'설정'!$B$17),'자료_거시'!$D$3:INDEX('자료_거시'!$D$3:$D$4002,$K$6),1)),""),"")</f>
        <v/>
      </c>
      <c r="U211">
        <f>IF(ISNUMBER(T211),'자료_거시'!$D193,"")</f>
        <v/>
      </c>
      <c r="V211">
        <f>IF(ISNUMBER(U211),IF(U211&gt;$L$6,T211,""),"")</f>
        <v/>
      </c>
      <c r="W211">
        <f>IF(AND(ISNUMBER('자료_거시'!$G193),ISNUMBER('자료_거시'!$H193)),'자료_거시'!$H193,"")</f>
        <v/>
      </c>
      <c r="X211">
        <f>IF(ISNUMBER(W211),'자료_거시'!$G193,"")</f>
        <v/>
      </c>
      <c r="Y211">
        <f>IF(ISNUMBER(X211),IF(X211&gt;$L$7,W211,""),"")</f>
        <v/>
      </c>
      <c r="Z211">
        <f>IF(ISNUMBER('자료_거시'!$K193),'자료_거시'!$K193,Z210)</f>
        <v/>
      </c>
      <c r="AA211">
        <f>IF(AND(ISNUMBER('자료_거시'!$J193),ISNUMBER('자료_거시'!$K193)),IFERROR('자료_거시'!$K193/INDEX($Z$21:$Z$4020,MATCH(EDATE('자료_거시'!$J193,-'설정'!$B$17),'자료_거시'!$J$3:INDEX('자료_거시'!$J$3:$J$4002,$K$8),1))-1,""),"")</f>
        <v/>
      </c>
      <c r="AB211">
        <f>IF(ISNUMBER(AA211),'자료_거시'!$J193,"")</f>
        <v/>
      </c>
      <c r="AC211">
        <f>IF(ISNUMBER(AB211),IF(AB211&gt;$L$8,AA211,""),"")</f>
        <v/>
      </c>
      <c r="AD211">
        <f>IF(AND(ISNUMBER('자료_거시'!$M193),ISNUMBER('자료_거시'!$N193)),1,0)</f>
        <v/>
      </c>
      <c r="AE211">
        <f>IF(AND(ISNUMBER('자료_거시'!$M193),ISNUMBER('자료_거시'!$N193)),IF(AND(SUMIFS($AD$21:$AD$620,'자료_거시'!$M$3:$M$602,"&gt;"&amp;EDATE('자료_거시'!$M193,-'설정'!$B$17),'자료_거시'!$M$3:$M$602,"&lt;="&amp;'자료_거시'!$M193)=3,SUMIFS($AD$21:$AD$620,'자료_거시'!$M$3:$M$602,"&gt;"&amp;EDATE('자료_거시'!$M193,-12-'설정'!$B$17),'자료_거시'!$M$3:$M$602,"&lt;="&amp;EDATE('자료_거시'!$M193,-12))=3),IFERROR(SUMIFS('자료_거시'!$N$3:$N$602,'자료_거시'!$M$3:$M$602,"&gt;"&amp;EDATE('자료_거시'!$M193,-'설정'!$B$17),'자료_거시'!$M$3:$M$602,"&lt;="&amp;'자료_거시'!$M193)/SUMIFS('자료_거시'!$N$3:$N$602,'자료_거시'!$M$3:$M$602,"&gt;"&amp;EDATE('자료_거시'!$M193,-12-'설정'!$B$17),'자료_거시'!$M$3:$M$602,"&lt;="&amp;EDATE('자료_거시'!$M193,-12))-1,""),""),"")</f>
        <v/>
      </c>
      <c r="AF211">
        <f>IF(ISNUMBER(AE211),'자료_거시'!$M193,"")</f>
        <v/>
      </c>
      <c r="AG211">
        <f>IF(ISNUMBER(AF211),IF(AF211&gt;$L$9,AE211,""),"")</f>
        <v/>
      </c>
    </row>
    <row r="212">
      <c r="P212">
        <f>IF(AND(ISNUMBER('자료_거시'!$A194),ISNUMBER('자료_거시'!$B194)),'자료_거시'!$B194,"")</f>
        <v/>
      </c>
      <c r="Q212">
        <f>IF(ISNUMBER(P212),'자료_거시'!$A194,"")</f>
        <v/>
      </c>
      <c r="R212">
        <f>IF(ISNUMBER(Q212),IF(Q212&gt;$L$5,P212,""),"")</f>
        <v/>
      </c>
      <c r="S212">
        <f>IF(ISNUMBER('자료_거시'!$E194),'자료_거시'!$E194,S211)</f>
        <v/>
      </c>
      <c r="T212">
        <f>IF(AND(ISNUMBER('자료_거시'!$D194),ISNUMBER('자료_거시'!$E194)),IFERROR('자료_거시'!$E194-INDEX($S$21:$S$4020,MATCH(EDATE('자료_거시'!$D194,-'설정'!$B$17),'자료_거시'!$D$3:INDEX('자료_거시'!$D$3:$D$4002,$K$6),1)),""),"")</f>
        <v/>
      </c>
      <c r="U212">
        <f>IF(ISNUMBER(T212),'자료_거시'!$D194,"")</f>
        <v/>
      </c>
      <c r="V212">
        <f>IF(ISNUMBER(U212),IF(U212&gt;$L$6,T212,""),"")</f>
        <v/>
      </c>
      <c r="W212">
        <f>IF(AND(ISNUMBER('자료_거시'!$G194),ISNUMBER('자료_거시'!$H194)),'자료_거시'!$H194,"")</f>
        <v/>
      </c>
      <c r="X212">
        <f>IF(ISNUMBER(W212),'자료_거시'!$G194,"")</f>
        <v/>
      </c>
      <c r="Y212">
        <f>IF(ISNUMBER(X212),IF(X212&gt;$L$7,W212,""),"")</f>
        <v/>
      </c>
      <c r="Z212">
        <f>IF(ISNUMBER('자료_거시'!$K194),'자료_거시'!$K194,Z211)</f>
        <v/>
      </c>
      <c r="AA212">
        <f>IF(AND(ISNUMBER('자료_거시'!$J194),ISNUMBER('자료_거시'!$K194)),IFERROR('자료_거시'!$K194/INDEX($Z$21:$Z$4020,MATCH(EDATE('자료_거시'!$J194,-'설정'!$B$17),'자료_거시'!$J$3:INDEX('자료_거시'!$J$3:$J$4002,$K$8),1))-1,""),"")</f>
        <v/>
      </c>
      <c r="AB212">
        <f>IF(ISNUMBER(AA212),'자료_거시'!$J194,"")</f>
        <v/>
      </c>
      <c r="AC212">
        <f>IF(ISNUMBER(AB212),IF(AB212&gt;$L$8,AA212,""),"")</f>
        <v/>
      </c>
      <c r="AD212">
        <f>IF(AND(ISNUMBER('자료_거시'!$M194),ISNUMBER('자료_거시'!$N194)),1,0)</f>
        <v/>
      </c>
      <c r="AE212">
        <f>IF(AND(ISNUMBER('자료_거시'!$M194),ISNUMBER('자료_거시'!$N194)),IF(AND(SUMIFS($AD$21:$AD$620,'자료_거시'!$M$3:$M$602,"&gt;"&amp;EDATE('자료_거시'!$M194,-'설정'!$B$17),'자료_거시'!$M$3:$M$602,"&lt;="&amp;'자료_거시'!$M194)=3,SUMIFS($AD$21:$AD$620,'자료_거시'!$M$3:$M$602,"&gt;"&amp;EDATE('자료_거시'!$M194,-12-'설정'!$B$17),'자료_거시'!$M$3:$M$602,"&lt;="&amp;EDATE('자료_거시'!$M194,-12))=3),IFERROR(SUMIFS('자료_거시'!$N$3:$N$602,'자료_거시'!$M$3:$M$602,"&gt;"&amp;EDATE('자료_거시'!$M194,-'설정'!$B$17),'자료_거시'!$M$3:$M$602,"&lt;="&amp;'자료_거시'!$M194)/SUMIFS('자료_거시'!$N$3:$N$602,'자료_거시'!$M$3:$M$602,"&gt;"&amp;EDATE('자료_거시'!$M194,-12-'설정'!$B$17),'자료_거시'!$M$3:$M$602,"&lt;="&amp;EDATE('자료_거시'!$M194,-12))-1,""),""),"")</f>
        <v/>
      </c>
      <c r="AF212">
        <f>IF(ISNUMBER(AE212),'자료_거시'!$M194,"")</f>
        <v/>
      </c>
      <c r="AG212">
        <f>IF(ISNUMBER(AF212),IF(AF212&gt;$L$9,AE212,""),"")</f>
        <v/>
      </c>
    </row>
    <row r="213">
      <c r="P213">
        <f>IF(AND(ISNUMBER('자료_거시'!$A195),ISNUMBER('자료_거시'!$B195)),'자료_거시'!$B195,"")</f>
        <v/>
      </c>
      <c r="Q213">
        <f>IF(ISNUMBER(P213),'자료_거시'!$A195,"")</f>
        <v/>
      </c>
      <c r="R213">
        <f>IF(ISNUMBER(Q213),IF(Q213&gt;$L$5,P213,""),"")</f>
        <v/>
      </c>
      <c r="S213">
        <f>IF(ISNUMBER('자료_거시'!$E195),'자료_거시'!$E195,S212)</f>
        <v/>
      </c>
      <c r="T213">
        <f>IF(AND(ISNUMBER('자료_거시'!$D195),ISNUMBER('자료_거시'!$E195)),IFERROR('자료_거시'!$E195-INDEX($S$21:$S$4020,MATCH(EDATE('자료_거시'!$D195,-'설정'!$B$17),'자료_거시'!$D$3:INDEX('자료_거시'!$D$3:$D$4002,$K$6),1)),""),"")</f>
        <v/>
      </c>
      <c r="U213">
        <f>IF(ISNUMBER(T213),'자료_거시'!$D195,"")</f>
        <v/>
      </c>
      <c r="V213">
        <f>IF(ISNUMBER(U213),IF(U213&gt;$L$6,T213,""),"")</f>
        <v/>
      </c>
      <c r="W213">
        <f>IF(AND(ISNUMBER('자료_거시'!$G195),ISNUMBER('자료_거시'!$H195)),'자료_거시'!$H195,"")</f>
        <v/>
      </c>
      <c r="X213">
        <f>IF(ISNUMBER(W213),'자료_거시'!$G195,"")</f>
        <v/>
      </c>
      <c r="Y213">
        <f>IF(ISNUMBER(X213),IF(X213&gt;$L$7,W213,""),"")</f>
        <v/>
      </c>
      <c r="Z213">
        <f>IF(ISNUMBER('자료_거시'!$K195),'자료_거시'!$K195,Z212)</f>
        <v/>
      </c>
      <c r="AA213">
        <f>IF(AND(ISNUMBER('자료_거시'!$J195),ISNUMBER('자료_거시'!$K195)),IFERROR('자료_거시'!$K195/INDEX($Z$21:$Z$4020,MATCH(EDATE('자료_거시'!$J195,-'설정'!$B$17),'자료_거시'!$J$3:INDEX('자료_거시'!$J$3:$J$4002,$K$8),1))-1,""),"")</f>
        <v/>
      </c>
      <c r="AB213">
        <f>IF(ISNUMBER(AA213),'자료_거시'!$J195,"")</f>
        <v/>
      </c>
      <c r="AC213">
        <f>IF(ISNUMBER(AB213),IF(AB213&gt;$L$8,AA213,""),"")</f>
        <v/>
      </c>
      <c r="AD213">
        <f>IF(AND(ISNUMBER('자료_거시'!$M195),ISNUMBER('자료_거시'!$N195)),1,0)</f>
        <v/>
      </c>
      <c r="AE213">
        <f>IF(AND(ISNUMBER('자료_거시'!$M195),ISNUMBER('자료_거시'!$N195)),IF(AND(SUMIFS($AD$21:$AD$620,'자료_거시'!$M$3:$M$602,"&gt;"&amp;EDATE('자료_거시'!$M195,-'설정'!$B$17),'자료_거시'!$M$3:$M$602,"&lt;="&amp;'자료_거시'!$M195)=3,SUMIFS($AD$21:$AD$620,'자료_거시'!$M$3:$M$602,"&gt;"&amp;EDATE('자료_거시'!$M195,-12-'설정'!$B$17),'자료_거시'!$M$3:$M$602,"&lt;="&amp;EDATE('자료_거시'!$M195,-12))=3),IFERROR(SUMIFS('자료_거시'!$N$3:$N$602,'자료_거시'!$M$3:$M$602,"&gt;"&amp;EDATE('자료_거시'!$M195,-'설정'!$B$17),'자료_거시'!$M$3:$M$602,"&lt;="&amp;'자료_거시'!$M195)/SUMIFS('자료_거시'!$N$3:$N$602,'자료_거시'!$M$3:$M$602,"&gt;"&amp;EDATE('자료_거시'!$M195,-12-'설정'!$B$17),'자료_거시'!$M$3:$M$602,"&lt;="&amp;EDATE('자료_거시'!$M195,-12))-1,""),""),"")</f>
        <v/>
      </c>
      <c r="AF213">
        <f>IF(ISNUMBER(AE213),'자료_거시'!$M195,"")</f>
        <v/>
      </c>
      <c r="AG213">
        <f>IF(ISNUMBER(AF213),IF(AF213&gt;$L$9,AE213,""),"")</f>
        <v/>
      </c>
    </row>
    <row r="214">
      <c r="P214">
        <f>IF(AND(ISNUMBER('자료_거시'!$A196),ISNUMBER('자료_거시'!$B196)),'자료_거시'!$B196,"")</f>
        <v/>
      </c>
      <c r="Q214">
        <f>IF(ISNUMBER(P214),'자료_거시'!$A196,"")</f>
        <v/>
      </c>
      <c r="R214">
        <f>IF(ISNUMBER(Q214),IF(Q214&gt;$L$5,P214,""),"")</f>
        <v/>
      </c>
      <c r="S214">
        <f>IF(ISNUMBER('자료_거시'!$E196),'자료_거시'!$E196,S213)</f>
        <v/>
      </c>
      <c r="T214">
        <f>IF(AND(ISNUMBER('자료_거시'!$D196),ISNUMBER('자료_거시'!$E196)),IFERROR('자료_거시'!$E196-INDEX($S$21:$S$4020,MATCH(EDATE('자료_거시'!$D196,-'설정'!$B$17),'자료_거시'!$D$3:INDEX('자료_거시'!$D$3:$D$4002,$K$6),1)),""),"")</f>
        <v/>
      </c>
      <c r="U214">
        <f>IF(ISNUMBER(T214),'자료_거시'!$D196,"")</f>
        <v/>
      </c>
      <c r="V214">
        <f>IF(ISNUMBER(U214),IF(U214&gt;$L$6,T214,""),"")</f>
        <v/>
      </c>
      <c r="W214">
        <f>IF(AND(ISNUMBER('자료_거시'!$G196),ISNUMBER('자료_거시'!$H196)),'자료_거시'!$H196,"")</f>
        <v/>
      </c>
      <c r="X214">
        <f>IF(ISNUMBER(W214),'자료_거시'!$G196,"")</f>
        <v/>
      </c>
      <c r="Y214">
        <f>IF(ISNUMBER(X214),IF(X214&gt;$L$7,W214,""),"")</f>
        <v/>
      </c>
      <c r="Z214">
        <f>IF(ISNUMBER('자료_거시'!$K196),'자료_거시'!$K196,Z213)</f>
        <v/>
      </c>
      <c r="AA214">
        <f>IF(AND(ISNUMBER('자료_거시'!$J196),ISNUMBER('자료_거시'!$K196)),IFERROR('자료_거시'!$K196/INDEX($Z$21:$Z$4020,MATCH(EDATE('자료_거시'!$J196,-'설정'!$B$17),'자료_거시'!$J$3:INDEX('자료_거시'!$J$3:$J$4002,$K$8),1))-1,""),"")</f>
        <v/>
      </c>
      <c r="AB214">
        <f>IF(ISNUMBER(AA214),'자료_거시'!$J196,"")</f>
        <v/>
      </c>
      <c r="AC214">
        <f>IF(ISNUMBER(AB214),IF(AB214&gt;$L$8,AA214,""),"")</f>
        <v/>
      </c>
      <c r="AD214">
        <f>IF(AND(ISNUMBER('자료_거시'!$M196),ISNUMBER('자료_거시'!$N196)),1,0)</f>
        <v/>
      </c>
      <c r="AE214">
        <f>IF(AND(ISNUMBER('자료_거시'!$M196),ISNUMBER('자료_거시'!$N196)),IF(AND(SUMIFS($AD$21:$AD$620,'자료_거시'!$M$3:$M$602,"&gt;"&amp;EDATE('자료_거시'!$M196,-'설정'!$B$17),'자료_거시'!$M$3:$M$602,"&lt;="&amp;'자료_거시'!$M196)=3,SUMIFS($AD$21:$AD$620,'자료_거시'!$M$3:$M$602,"&gt;"&amp;EDATE('자료_거시'!$M196,-12-'설정'!$B$17),'자료_거시'!$M$3:$M$602,"&lt;="&amp;EDATE('자료_거시'!$M196,-12))=3),IFERROR(SUMIFS('자료_거시'!$N$3:$N$602,'자료_거시'!$M$3:$M$602,"&gt;"&amp;EDATE('자료_거시'!$M196,-'설정'!$B$17),'자료_거시'!$M$3:$M$602,"&lt;="&amp;'자료_거시'!$M196)/SUMIFS('자료_거시'!$N$3:$N$602,'자료_거시'!$M$3:$M$602,"&gt;"&amp;EDATE('자료_거시'!$M196,-12-'설정'!$B$17),'자료_거시'!$M$3:$M$602,"&lt;="&amp;EDATE('자료_거시'!$M196,-12))-1,""),""),"")</f>
        <v/>
      </c>
      <c r="AF214">
        <f>IF(ISNUMBER(AE214),'자료_거시'!$M196,"")</f>
        <v/>
      </c>
      <c r="AG214">
        <f>IF(ISNUMBER(AF214),IF(AF214&gt;$L$9,AE214,""),"")</f>
        <v/>
      </c>
    </row>
    <row r="215">
      <c r="P215">
        <f>IF(AND(ISNUMBER('자료_거시'!$A197),ISNUMBER('자료_거시'!$B197)),'자료_거시'!$B197,"")</f>
        <v/>
      </c>
      <c r="Q215">
        <f>IF(ISNUMBER(P215),'자료_거시'!$A197,"")</f>
        <v/>
      </c>
      <c r="R215">
        <f>IF(ISNUMBER(Q215),IF(Q215&gt;$L$5,P215,""),"")</f>
        <v/>
      </c>
      <c r="S215">
        <f>IF(ISNUMBER('자료_거시'!$E197),'자료_거시'!$E197,S214)</f>
        <v/>
      </c>
      <c r="T215">
        <f>IF(AND(ISNUMBER('자료_거시'!$D197),ISNUMBER('자료_거시'!$E197)),IFERROR('자료_거시'!$E197-INDEX($S$21:$S$4020,MATCH(EDATE('자료_거시'!$D197,-'설정'!$B$17),'자료_거시'!$D$3:INDEX('자료_거시'!$D$3:$D$4002,$K$6),1)),""),"")</f>
        <v/>
      </c>
      <c r="U215">
        <f>IF(ISNUMBER(T215),'자료_거시'!$D197,"")</f>
        <v/>
      </c>
      <c r="V215">
        <f>IF(ISNUMBER(U215),IF(U215&gt;$L$6,T215,""),"")</f>
        <v/>
      </c>
      <c r="W215">
        <f>IF(AND(ISNUMBER('자료_거시'!$G197),ISNUMBER('자료_거시'!$H197)),'자료_거시'!$H197,"")</f>
        <v/>
      </c>
      <c r="X215">
        <f>IF(ISNUMBER(W215),'자료_거시'!$G197,"")</f>
        <v/>
      </c>
      <c r="Y215">
        <f>IF(ISNUMBER(X215),IF(X215&gt;$L$7,W215,""),"")</f>
        <v/>
      </c>
      <c r="Z215">
        <f>IF(ISNUMBER('자료_거시'!$K197),'자료_거시'!$K197,Z214)</f>
        <v/>
      </c>
      <c r="AA215">
        <f>IF(AND(ISNUMBER('자료_거시'!$J197),ISNUMBER('자료_거시'!$K197)),IFERROR('자료_거시'!$K197/INDEX($Z$21:$Z$4020,MATCH(EDATE('자료_거시'!$J197,-'설정'!$B$17),'자료_거시'!$J$3:INDEX('자료_거시'!$J$3:$J$4002,$K$8),1))-1,""),"")</f>
        <v/>
      </c>
      <c r="AB215">
        <f>IF(ISNUMBER(AA215),'자료_거시'!$J197,"")</f>
        <v/>
      </c>
      <c r="AC215">
        <f>IF(ISNUMBER(AB215),IF(AB215&gt;$L$8,AA215,""),"")</f>
        <v/>
      </c>
      <c r="AD215">
        <f>IF(AND(ISNUMBER('자료_거시'!$M197),ISNUMBER('자료_거시'!$N197)),1,0)</f>
        <v/>
      </c>
      <c r="AE215">
        <f>IF(AND(ISNUMBER('자료_거시'!$M197),ISNUMBER('자료_거시'!$N197)),IF(AND(SUMIFS($AD$21:$AD$620,'자료_거시'!$M$3:$M$602,"&gt;"&amp;EDATE('자료_거시'!$M197,-'설정'!$B$17),'자료_거시'!$M$3:$M$602,"&lt;="&amp;'자료_거시'!$M197)=3,SUMIFS($AD$21:$AD$620,'자료_거시'!$M$3:$M$602,"&gt;"&amp;EDATE('자료_거시'!$M197,-12-'설정'!$B$17),'자료_거시'!$M$3:$M$602,"&lt;="&amp;EDATE('자료_거시'!$M197,-12))=3),IFERROR(SUMIFS('자료_거시'!$N$3:$N$602,'자료_거시'!$M$3:$M$602,"&gt;"&amp;EDATE('자료_거시'!$M197,-'설정'!$B$17),'자료_거시'!$M$3:$M$602,"&lt;="&amp;'자료_거시'!$M197)/SUMIFS('자료_거시'!$N$3:$N$602,'자료_거시'!$M$3:$M$602,"&gt;"&amp;EDATE('자료_거시'!$M197,-12-'설정'!$B$17),'자료_거시'!$M$3:$M$602,"&lt;="&amp;EDATE('자료_거시'!$M197,-12))-1,""),""),"")</f>
        <v/>
      </c>
      <c r="AF215">
        <f>IF(ISNUMBER(AE215),'자료_거시'!$M197,"")</f>
        <v/>
      </c>
      <c r="AG215">
        <f>IF(ISNUMBER(AF215),IF(AF215&gt;$L$9,AE215,""),"")</f>
        <v/>
      </c>
    </row>
    <row r="216">
      <c r="P216">
        <f>IF(AND(ISNUMBER('자료_거시'!$A198),ISNUMBER('자료_거시'!$B198)),'자료_거시'!$B198,"")</f>
        <v/>
      </c>
      <c r="Q216">
        <f>IF(ISNUMBER(P216),'자료_거시'!$A198,"")</f>
        <v/>
      </c>
      <c r="R216">
        <f>IF(ISNUMBER(Q216),IF(Q216&gt;$L$5,P216,""),"")</f>
        <v/>
      </c>
      <c r="S216">
        <f>IF(ISNUMBER('자료_거시'!$E198),'자료_거시'!$E198,S215)</f>
        <v/>
      </c>
      <c r="T216">
        <f>IF(AND(ISNUMBER('자료_거시'!$D198),ISNUMBER('자료_거시'!$E198)),IFERROR('자료_거시'!$E198-INDEX($S$21:$S$4020,MATCH(EDATE('자료_거시'!$D198,-'설정'!$B$17),'자료_거시'!$D$3:INDEX('자료_거시'!$D$3:$D$4002,$K$6),1)),""),"")</f>
        <v/>
      </c>
      <c r="U216">
        <f>IF(ISNUMBER(T216),'자료_거시'!$D198,"")</f>
        <v/>
      </c>
      <c r="V216">
        <f>IF(ISNUMBER(U216),IF(U216&gt;$L$6,T216,""),"")</f>
        <v/>
      </c>
      <c r="W216">
        <f>IF(AND(ISNUMBER('자료_거시'!$G198),ISNUMBER('자료_거시'!$H198)),'자료_거시'!$H198,"")</f>
        <v/>
      </c>
      <c r="X216">
        <f>IF(ISNUMBER(W216),'자료_거시'!$G198,"")</f>
        <v/>
      </c>
      <c r="Y216">
        <f>IF(ISNUMBER(X216),IF(X216&gt;$L$7,W216,""),"")</f>
        <v/>
      </c>
      <c r="Z216">
        <f>IF(ISNUMBER('자료_거시'!$K198),'자료_거시'!$K198,Z215)</f>
        <v/>
      </c>
      <c r="AA216">
        <f>IF(AND(ISNUMBER('자료_거시'!$J198),ISNUMBER('자료_거시'!$K198)),IFERROR('자료_거시'!$K198/INDEX($Z$21:$Z$4020,MATCH(EDATE('자료_거시'!$J198,-'설정'!$B$17),'자료_거시'!$J$3:INDEX('자료_거시'!$J$3:$J$4002,$K$8),1))-1,""),"")</f>
        <v/>
      </c>
      <c r="AB216">
        <f>IF(ISNUMBER(AA216),'자료_거시'!$J198,"")</f>
        <v/>
      </c>
      <c r="AC216">
        <f>IF(ISNUMBER(AB216),IF(AB216&gt;$L$8,AA216,""),"")</f>
        <v/>
      </c>
      <c r="AD216">
        <f>IF(AND(ISNUMBER('자료_거시'!$M198),ISNUMBER('자료_거시'!$N198)),1,0)</f>
        <v/>
      </c>
      <c r="AE216">
        <f>IF(AND(ISNUMBER('자료_거시'!$M198),ISNUMBER('자료_거시'!$N198)),IF(AND(SUMIFS($AD$21:$AD$620,'자료_거시'!$M$3:$M$602,"&gt;"&amp;EDATE('자료_거시'!$M198,-'설정'!$B$17),'자료_거시'!$M$3:$M$602,"&lt;="&amp;'자료_거시'!$M198)=3,SUMIFS($AD$21:$AD$620,'자료_거시'!$M$3:$M$602,"&gt;"&amp;EDATE('자료_거시'!$M198,-12-'설정'!$B$17),'자료_거시'!$M$3:$M$602,"&lt;="&amp;EDATE('자료_거시'!$M198,-12))=3),IFERROR(SUMIFS('자료_거시'!$N$3:$N$602,'자료_거시'!$M$3:$M$602,"&gt;"&amp;EDATE('자료_거시'!$M198,-'설정'!$B$17),'자료_거시'!$M$3:$M$602,"&lt;="&amp;'자료_거시'!$M198)/SUMIFS('자료_거시'!$N$3:$N$602,'자료_거시'!$M$3:$M$602,"&gt;"&amp;EDATE('자료_거시'!$M198,-12-'설정'!$B$17),'자료_거시'!$M$3:$M$602,"&lt;="&amp;EDATE('자료_거시'!$M198,-12))-1,""),""),"")</f>
        <v/>
      </c>
      <c r="AF216">
        <f>IF(ISNUMBER(AE216),'자료_거시'!$M198,"")</f>
        <v/>
      </c>
      <c r="AG216">
        <f>IF(ISNUMBER(AF216),IF(AF216&gt;$L$9,AE216,""),"")</f>
        <v/>
      </c>
    </row>
    <row r="217">
      <c r="P217">
        <f>IF(AND(ISNUMBER('자료_거시'!$A199),ISNUMBER('자료_거시'!$B199)),'자료_거시'!$B199,"")</f>
        <v/>
      </c>
      <c r="Q217">
        <f>IF(ISNUMBER(P217),'자료_거시'!$A199,"")</f>
        <v/>
      </c>
      <c r="R217">
        <f>IF(ISNUMBER(Q217),IF(Q217&gt;$L$5,P217,""),"")</f>
        <v/>
      </c>
      <c r="S217">
        <f>IF(ISNUMBER('자료_거시'!$E199),'자료_거시'!$E199,S216)</f>
        <v/>
      </c>
      <c r="T217">
        <f>IF(AND(ISNUMBER('자료_거시'!$D199),ISNUMBER('자료_거시'!$E199)),IFERROR('자료_거시'!$E199-INDEX($S$21:$S$4020,MATCH(EDATE('자료_거시'!$D199,-'설정'!$B$17),'자료_거시'!$D$3:INDEX('자료_거시'!$D$3:$D$4002,$K$6),1)),""),"")</f>
        <v/>
      </c>
      <c r="U217">
        <f>IF(ISNUMBER(T217),'자료_거시'!$D199,"")</f>
        <v/>
      </c>
      <c r="V217">
        <f>IF(ISNUMBER(U217),IF(U217&gt;$L$6,T217,""),"")</f>
        <v/>
      </c>
      <c r="W217">
        <f>IF(AND(ISNUMBER('자료_거시'!$G199),ISNUMBER('자료_거시'!$H199)),'자료_거시'!$H199,"")</f>
        <v/>
      </c>
      <c r="X217">
        <f>IF(ISNUMBER(W217),'자료_거시'!$G199,"")</f>
        <v/>
      </c>
      <c r="Y217">
        <f>IF(ISNUMBER(X217),IF(X217&gt;$L$7,W217,""),"")</f>
        <v/>
      </c>
      <c r="Z217">
        <f>IF(ISNUMBER('자료_거시'!$K199),'자료_거시'!$K199,Z216)</f>
        <v/>
      </c>
      <c r="AA217">
        <f>IF(AND(ISNUMBER('자료_거시'!$J199),ISNUMBER('자료_거시'!$K199)),IFERROR('자료_거시'!$K199/INDEX($Z$21:$Z$4020,MATCH(EDATE('자료_거시'!$J199,-'설정'!$B$17),'자료_거시'!$J$3:INDEX('자료_거시'!$J$3:$J$4002,$K$8),1))-1,""),"")</f>
        <v/>
      </c>
      <c r="AB217">
        <f>IF(ISNUMBER(AA217),'자료_거시'!$J199,"")</f>
        <v/>
      </c>
      <c r="AC217">
        <f>IF(ISNUMBER(AB217),IF(AB217&gt;$L$8,AA217,""),"")</f>
        <v/>
      </c>
      <c r="AD217">
        <f>IF(AND(ISNUMBER('자료_거시'!$M199),ISNUMBER('자료_거시'!$N199)),1,0)</f>
        <v/>
      </c>
      <c r="AE217">
        <f>IF(AND(ISNUMBER('자료_거시'!$M199),ISNUMBER('자료_거시'!$N199)),IF(AND(SUMIFS($AD$21:$AD$620,'자료_거시'!$M$3:$M$602,"&gt;"&amp;EDATE('자료_거시'!$M199,-'설정'!$B$17),'자료_거시'!$M$3:$M$602,"&lt;="&amp;'자료_거시'!$M199)=3,SUMIFS($AD$21:$AD$620,'자료_거시'!$M$3:$M$602,"&gt;"&amp;EDATE('자료_거시'!$M199,-12-'설정'!$B$17),'자료_거시'!$M$3:$M$602,"&lt;="&amp;EDATE('자료_거시'!$M199,-12))=3),IFERROR(SUMIFS('자료_거시'!$N$3:$N$602,'자료_거시'!$M$3:$M$602,"&gt;"&amp;EDATE('자료_거시'!$M199,-'설정'!$B$17),'자료_거시'!$M$3:$M$602,"&lt;="&amp;'자료_거시'!$M199)/SUMIFS('자료_거시'!$N$3:$N$602,'자료_거시'!$M$3:$M$602,"&gt;"&amp;EDATE('자료_거시'!$M199,-12-'설정'!$B$17),'자료_거시'!$M$3:$M$602,"&lt;="&amp;EDATE('자료_거시'!$M199,-12))-1,""),""),"")</f>
        <v/>
      </c>
      <c r="AF217">
        <f>IF(ISNUMBER(AE217),'자료_거시'!$M199,"")</f>
        <v/>
      </c>
      <c r="AG217">
        <f>IF(ISNUMBER(AF217),IF(AF217&gt;$L$9,AE217,""),"")</f>
        <v/>
      </c>
    </row>
    <row r="218">
      <c r="P218">
        <f>IF(AND(ISNUMBER('자료_거시'!$A200),ISNUMBER('자료_거시'!$B200)),'자료_거시'!$B200,"")</f>
        <v/>
      </c>
      <c r="Q218">
        <f>IF(ISNUMBER(P218),'자료_거시'!$A200,"")</f>
        <v/>
      </c>
      <c r="R218">
        <f>IF(ISNUMBER(Q218),IF(Q218&gt;$L$5,P218,""),"")</f>
        <v/>
      </c>
      <c r="S218">
        <f>IF(ISNUMBER('자료_거시'!$E200),'자료_거시'!$E200,S217)</f>
        <v/>
      </c>
      <c r="T218">
        <f>IF(AND(ISNUMBER('자료_거시'!$D200),ISNUMBER('자료_거시'!$E200)),IFERROR('자료_거시'!$E200-INDEX($S$21:$S$4020,MATCH(EDATE('자료_거시'!$D200,-'설정'!$B$17),'자료_거시'!$D$3:INDEX('자료_거시'!$D$3:$D$4002,$K$6),1)),""),"")</f>
        <v/>
      </c>
      <c r="U218">
        <f>IF(ISNUMBER(T218),'자료_거시'!$D200,"")</f>
        <v/>
      </c>
      <c r="V218">
        <f>IF(ISNUMBER(U218),IF(U218&gt;$L$6,T218,""),"")</f>
        <v/>
      </c>
      <c r="W218">
        <f>IF(AND(ISNUMBER('자료_거시'!$G200),ISNUMBER('자료_거시'!$H200)),'자료_거시'!$H200,"")</f>
        <v/>
      </c>
      <c r="X218">
        <f>IF(ISNUMBER(W218),'자료_거시'!$G200,"")</f>
        <v/>
      </c>
      <c r="Y218">
        <f>IF(ISNUMBER(X218),IF(X218&gt;$L$7,W218,""),"")</f>
        <v/>
      </c>
      <c r="Z218">
        <f>IF(ISNUMBER('자료_거시'!$K200),'자료_거시'!$K200,Z217)</f>
        <v/>
      </c>
      <c r="AA218">
        <f>IF(AND(ISNUMBER('자료_거시'!$J200),ISNUMBER('자료_거시'!$K200)),IFERROR('자료_거시'!$K200/INDEX($Z$21:$Z$4020,MATCH(EDATE('자료_거시'!$J200,-'설정'!$B$17),'자료_거시'!$J$3:INDEX('자료_거시'!$J$3:$J$4002,$K$8),1))-1,""),"")</f>
        <v/>
      </c>
      <c r="AB218">
        <f>IF(ISNUMBER(AA218),'자료_거시'!$J200,"")</f>
        <v/>
      </c>
      <c r="AC218">
        <f>IF(ISNUMBER(AB218),IF(AB218&gt;$L$8,AA218,""),"")</f>
        <v/>
      </c>
      <c r="AD218">
        <f>IF(AND(ISNUMBER('자료_거시'!$M200),ISNUMBER('자료_거시'!$N200)),1,0)</f>
        <v/>
      </c>
      <c r="AE218">
        <f>IF(AND(ISNUMBER('자료_거시'!$M200),ISNUMBER('자료_거시'!$N200)),IF(AND(SUMIFS($AD$21:$AD$620,'자료_거시'!$M$3:$M$602,"&gt;"&amp;EDATE('자료_거시'!$M200,-'설정'!$B$17),'자료_거시'!$M$3:$M$602,"&lt;="&amp;'자료_거시'!$M200)=3,SUMIFS($AD$21:$AD$620,'자료_거시'!$M$3:$M$602,"&gt;"&amp;EDATE('자료_거시'!$M200,-12-'설정'!$B$17),'자료_거시'!$M$3:$M$602,"&lt;="&amp;EDATE('자료_거시'!$M200,-12))=3),IFERROR(SUMIFS('자료_거시'!$N$3:$N$602,'자료_거시'!$M$3:$M$602,"&gt;"&amp;EDATE('자료_거시'!$M200,-'설정'!$B$17),'자료_거시'!$M$3:$M$602,"&lt;="&amp;'자료_거시'!$M200)/SUMIFS('자료_거시'!$N$3:$N$602,'자료_거시'!$M$3:$M$602,"&gt;"&amp;EDATE('자료_거시'!$M200,-12-'설정'!$B$17),'자료_거시'!$M$3:$M$602,"&lt;="&amp;EDATE('자료_거시'!$M200,-12))-1,""),""),"")</f>
        <v/>
      </c>
      <c r="AF218">
        <f>IF(ISNUMBER(AE218),'자료_거시'!$M200,"")</f>
        <v/>
      </c>
      <c r="AG218">
        <f>IF(ISNUMBER(AF218),IF(AF218&gt;$L$9,AE218,""),"")</f>
        <v/>
      </c>
    </row>
    <row r="219">
      <c r="P219">
        <f>IF(AND(ISNUMBER('자료_거시'!$A201),ISNUMBER('자료_거시'!$B201)),'자료_거시'!$B201,"")</f>
        <v/>
      </c>
      <c r="Q219">
        <f>IF(ISNUMBER(P219),'자료_거시'!$A201,"")</f>
        <v/>
      </c>
      <c r="R219">
        <f>IF(ISNUMBER(Q219),IF(Q219&gt;$L$5,P219,""),"")</f>
        <v/>
      </c>
      <c r="S219">
        <f>IF(ISNUMBER('자료_거시'!$E201),'자료_거시'!$E201,S218)</f>
        <v/>
      </c>
      <c r="T219">
        <f>IF(AND(ISNUMBER('자료_거시'!$D201),ISNUMBER('자료_거시'!$E201)),IFERROR('자료_거시'!$E201-INDEX($S$21:$S$4020,MATCH(EDATE('자료_거시'!$D201,-'설정'!$B$17),'자료_거시'!$D$3:INDEX('자료_거시'!$D$3:$D$4002,$K$6),1)),""),"")</f>
        <v/>
      </c>
      <c r="U219">
        <f>IF(ISNUMBER(T219),'자료_거시'!$D201,"")</f>
        <v/>
      </c>
      <c r="V219">
        <f>IF(ISNUMBER(U219),IF(U219&gt;$L$6,T219,""),"")</f>
        <v/>
      </c>
      <c r="W219">
        <f>IF(AND(ISNUMBER('자료_거시'!$G201),ISNUMBER('자료_거시'!$H201)),'자료_거시'!$H201,"")</f>
        <v/>
      </c>
      <c r="X219">
        <f>IF(ISNUMBER(W219),'자료_거시'!$G201,"")</f>
        <v/>
      </c>
      <c r="Y219">
        <f>IF(ISNUMBER(X219),IF(X219&gt;$L$7,W219,""),"")</f>
        <v/>
      </c>
      <c r="Z219">
        <f>IF(ISNUMBER('자료_거시'!$K201),'자료_거시'!$K201,Z218)</f>
        <v/>
      </c>
      <c r="AA219">
        <f>IF(AND(ISNUMBER('자료_거시'!$J201),ISNUMBER('자료_거시'!$K201)),IFERROR('자료_거시'!$K201/INDEX($Z$21:$Z$4020,MATCH(EDATE('자료_거시'!$J201,-'설정'!$B$17),'자료_거시'!$J$3:INDEX('자료_거시'!$J$3:$J$4002,$K$8),1))-1,""),"")</f>
        <v/>
      </c>
      <c r="AB219">
        <f>IF(ISNUMBER(AA219),'자료_거시'!$J201,"")</f>
        <v/>
      </c>
      <c r="AC219">
        <f>IF(ISNUMBER(AB219),IF(AB219&gt;$L$8,AA219,""),"")</f>
        <v/>
      </c>
      <c r="AD219">
        <f>IF(AND(ISNUMBER('자료_거시'!$M201),ISNUMBER('자료_거시'!$N201)),1,0)</f>
        <v/>
      </c>
      <c r="AE219">
        <f>IF(AND(ISNUMBER('자료_거시'!$M201),ISNUMBER('자료_거시'!$N201)),IF(AND(SUMIFS($AD$21:$AD$620,'자료_거시'!$M$3:$M$602,"&gt;"&amp;EDATE('자료_거시'!$M201,-'설정'!$B$17),'자료_거시'!$M$3:$M$602,"&lt;="&amp;'자료_거시'!$M201)=3,SUMIFS($AD$21:$AD$620,'자료_거시'!$M$3:$M$602,"&gt;"&amp;EDATE('자료_거시'!$M201,-12-'설정'!$B$17),'자료_거시'!$M$3:$M$602,"&lt;="&amp;EDATE('자료_거시'!$M201,-12))=3),IFERROR(SUMIFS('자료_거시'!$N$3:$N$602,'자료_거시'!$M$3:$M$602,"&gt;"&amp;EDATE('자료_거시'!$M201,-'설정'!$B$17),'자료_거시'!$M$3:$M$602,"&lt;="&amp;'자료_거시'!$M201)/SUMIFS('자료_거시'!$N$3:$N$602,'자료_거시'!$M$3:$M$602,"&gt;"&amp;EDATE('자료_거시'!$M201,-12-'설정'!$B$17),'자료_거시'!$M$3:$M$602,"&lt;="&amp;EDATE('자료_거시'!$M201,-12))-1,""),""),"")</f>
        <v/>
      </c>
      <c r="AF219">
        <f>IF(ISNUMBER(AE219),'자료_거시'!$M201,"")</f>
        <v/>
      </c>
      <c r="AG219">
        <f>IF(ISNUMBER(AF219),IF(AF219&gt;$L$9,AE219,""),"")</f>
        <v/>
      </c>
    </row>
    <row r="220">
      <c r="P220">
        <f>IF(AND(ISNUMBER('자료_거시'!$A202),ISNUMBER('자료_거시'!$B202)),'자료_거시'!$B202,"")</f>
        <v/>
      </c>
      <c r="Q220">
        <f>IF(ISNUMBER(P220),'자료_거시'!$A202,"")</f>
        <v/>
      </c>
      <c r="R220">
        <f>IF(ISNUMBER(Q220),IF(Q220&gt;$L$5,P220,""),"")</f>
        <v/>
      </c>
      <c r="S220">
        <f>IF(ISNUMBER('자료_거시'!$E202),'자료_거시'!$E202,S219)</f>
        <v/>
      </c>
      <c r="T220">
        <f>IF(AND(ISNUMBER('자료_거시'!$D202),ISNUMBER('자료_거시'!$E202)),IFERROR('자료_거시'!$E202-INDEX($S$21:$S$4020,MATCH(EDATE('자료_거시'!$D202,-'설정'!$B$17),'자료_거시'!$D$3:INDEX('자료_거시'!$D$3:$D$4002,$K$6),1)),""),"")</f>
        <v/>
      </c>
      <c r="U220">
        <f>IF(ISNUMBER(T220),'자료_거시'!$D202,"")</f>
        <v/>
      </c>
      <c r="V220">
        <f>IF(ISNUMBER(U220),IF(U220&gt;$L$6,T220,""),"")</f>
        <v/>
      </c>
      <c r="W220">
        <f>IF(AND(ISNUMBER('자료_거시'!$G202),ISNUMBER('자료_거시'!$H202)),'자료_거시'!$H202,"")</f>
        <v/>
      </c>
      <c r="X220">
        <f>IF(ISNUMBER(W220),'자료_거시'!$G202,"")</f>
        <v/>
      </c>
      <c r="Y220">
        <f>IF(ISNUMBER(X220),IF(X220&gt;$L$7,W220,""),"")</f>
        <v/>
      </c>
      <c r="Z220">
        <f>IF(ISNUMBER('자료_거시'!$K202),'자료_거시'!$K202,Z219)</f>
        <v/>
      </c>
      <c r="AA220">
        <f>IF(AND(ISNUMBER('자료_거시'!$J202),ISNUMBER('자료_거시'!$K202)),IFERROR('자료_거시'!$K202/INDEX($Z$21:$Z$4020,MATCH(EDATE('자료_거시'!$J202,-'설정'!$B$17),'자료_거시'!$J$3:INDEX('자료_거시'!$J$3:$J$4002,$K$8),1))-1,""),"")</f>
        <v/>
      </c>
      <c r="AB220">
        <f>IF(ISNUMBER(AA220),'자료_거시'!$J202,"")</f>
        <v/>
      </c>
      <c r="AC220">
        <f>IF(ISNUMBER(AB220),IF(AB220&gt;$L$8,AA220,""),"")</f>
        <v/>
      </c>
      <c r="AD220">
        <f>IF(AND(ISNUMBER('자료_거시'!$M202),ISNUMBER('자료_거시'!$N202)),1,0)</f>
        <v/>
      </c>
      <c r="AE220">
        <f>IF(AND(ISNUMBER('자료_거시'!$M202),ISNUMBER('자료_거시'!$N202)),IF(AND(SUMIFS($AD$21:$AD$620,'자료_거시'!$M$3:$M$602,"&gt;"&amp;EDATE('자료_거시'!$M202,-'설정'!$B$17),'자료_거시'!$M$3:$M$602,"&lt;="&amp;'자료_거시'!$M202)=3,SUMIFS($AD$21:$AD$620,'자료_거시'!$M$3:$M$602,"&gt;"&amp;EDATE('자료_거시'!$M202,-12-'설정'!$B$17),'자료_거시'!$M$3:$M$602,"&lt;="&amp;EDATE('자료_거시'!$M202,-12))=3),IFERROR(SUMIFS('자료_거시'!$N$3:$N$602,'자료_거시'!$M$3:$M$602,"&gt;"&amp;EDATE('자료_거시'!$M202,-'설정'!$B$17),'자료_거시'!$M$3:$M$602,"&lt;="&amp;'자료_거시'!$M202)/SUMIFS('자료_거시'!$N$3:$N$602,'자료_거시'!$M$3:$M$602,"&gt;"&amp;EDATE('자료_거시'!$M202,-12-'설정'!$B$17),'자료_거시'!$M$3:$M$602,"&lt;="&amp;EDATE('자료_거시'!$M202,-12))-1,""),""),"")</f>
        <v/>
      </c>
      <c r="AF220">
        <f>IF(ISNUMBER(AE220),'자료_거시'!$M202,"")</f>
        <v/>
      </c>
      <c r="AG220">
        <f>IF(ISNUMBER(AF220),IF(AF220&gt;$L$9,AE220,""),"")</f>
        <v/>
      </c>
    </row>
    <row r="221">
      <c r="P221">
        <f>IF(AND(ISNUMBER('자료_거시'!$A203),ISNUMBER('자료_거시'!$B203)),'자료_거시'!$B203,"")</f>
        <v/>
      </c>
      <c r="Q221">
        <f>IF(ISNUMBER(P221),'자료_거시'!$A203,"")</f>
        <v/>
      </c>
      <c r="R221">
        <f>IF(ISNUMBER(Q221),IF(Q221&gt;$L$5,P221,""),"")</f>
        <v/>
      </c>
      <c r="S221">
        <f>IF(ISNUMBER('자료_거시'!$E203),'자료_거시'!$E203,S220)</f>
        <v/>
      </c>
      <c r="T221">
        <f>IF(AND(ISNUMBER('자료_거시'!$D203),ISNUMBER('자료_거시'!$E203)),IFERROR('자료_거시'!$E203-INDEX($S$21:$S$4020,MATCH(EDATE('자료_거시'!$D203,-'설정'!$B$17),'자료_거시'!$D$3:INDEX('자료_거시'!$D$3:$D$4002,$K$6),1)),""),"")</f>
        <v/>
      </c>
      <c r="U221">
        <f>IF(ISNUMBER(T221),'자료_거시'!$D203,"")</f>
        <v/>
      </c>
      <c r="V221">
        <f>IF(ISNUMBER(U221),IF(U221&gt;$L$6,T221,""),"")</f>
        <v/>
      </c>
      <c r="W221">
        <f>IF(AND(ISNUMBER('자료_거시'!$G203),ISNUMBER('자료_거시'!$H203)),'자료_거시'!$H203,"")</f>
        <v/>
      </c>
      <c r="X221">
        <f>IF(ISNUMBER(W221),'자료_거시'!$G203,"")</f>
        <v/>
      </c>
      <c r="Y221">
        <f>IF(ISNUMBER(X221),IF(X221&gt;$L$7,W221,""),"")</f>
        <v/>
      </c>
      <c r="Z221">
        <f>IF(ISNUMBER('자료_거시'!$K203),'자료_거시'!$K203,Z220)</f>
        <v/>
      </c>
      <c r="AA221">
        <f>IF(AND(ISNUMBER('자료_거시'!$J203),ISNUMBER('자료_거시'!$K203)),IFERROR('자료_거시'!$K203/INDEX($Z$21:$Z$4020,MATCH(EDATE('자료_거시'!$J203,-'설정'!$B$17),'자료_거시'!$J$3:INDEX('자료_거시'!$J$3:$J$4002,$K$8),1))-1,""),"")</f>
        <v/>
      </c>
      <c r="AB221">
        <f>IF(ISNUMBER(AA221),'자료_거시'!$J203,"")</f>
        <v/>
      </c>
      <c r="AC221">
        <f>IF(ISNUMBER(AB221),IF(AB221&gt;$L$8,AA221,""),"")</f>
        <v/>
      </c>
      <c r="AD221">
        <f>IF(AND(ISNUMBER('자료_거시'!$M203),ISNUMBER('자료_거시'!$N203)),1,0)</f>
        <v/>
      </c>
      <c r="AE221">
        <f>IF(AND(ISNUMBER('자료_거시'!$M203),ISNUMBER('자료_거시'!$N203)),IF(AND(SUMIFS($AD$21:$AD$620,'자료_거시'!$M$3:$M$602,"&gt;"&amp;EDATE('자료_거시'!$M203,-'설정'!$B$17),'자료_거시'!$M$3:$M$602,"&lt;="&amp;'자료_거시'!$M203)=3,SUMIFS($AD$21:$AD$620,'자료_거시'!$M$3:$M$602,"&gt;"&amp;EDATE('자료_거시'!$M203,-12-'설정'!$B$17),'자료_거시'!$M$3:$M$602,"&lt;="&amp;EDATE('자료_거시'!$M203,-12))=3),IFERROR(SUMIFS('자료_거시'!$N$3:$N$602,'자료_거시'!$M$3:$M$602,"&gt;"&amp;EDATE('자료_거시'!$M203,-'설정'!$B$17),'자료_거시'!$M$3:$M$602,"&lt;="&amp;'자료_거시'!$M203)/SUMIFS('자료_거시'!$N$3:$N$602,'자료_거시'!$M$3:$M$602,"&gt;"&amp;EDATE('자료_거시'!$M203,-12-'설정'!$B$17),'자료_거시'!$M$3:$M$602,"&lt;="&amp;EDATE('자료_거시'!$M203,-12))-1,""),""),"")</f>
        <v/>
      </c>
      <c r="AF221">
        <f>IF(ISNUMBER(AE221),'자료_거시'!$M203,"")</f>
        <v/>
      </c>
      <c r="AG221">
        <f>IF(ISNUMBER(AF221),IF(AF221&gt;$L$9,AE221,""),"")</f>
        <v/>
      </c>
    </row>
    <row r="222">
      <c r="P222">
        <f>IF(AND(ISNUMBER('자료_거시'!$A204),ISNUMBER('자료_거시'!$B204)),'자료_거시'!$B204,"")</f>
        <v/>
      </c>
      <c r="Q222">
        <f>IF(ISNUMBER(P222),'자료_거시'!$A204,"")</f>
        <v/>
      </c>
      <c r="R222">
        <f>IF(ISNUMBER(Q222),IF(Q222&gt;$L$5,P222,""),"")</f>
        <v/>
      </c>
      <c r="S222">
        <f>IF(ISNUMBER('자료_거시'!$E204),'자료_거시'!$E204,S221)</f>
        <v/>
      </c>
      <c r="T222">
        <f>IF(AND(ISNUMBER('자료_거시'!$D204),ISNUMBER('자료_거시'!$E204)),IFERROR('자료_거시'!$E204-INDEX($S$21:$S$4020,MATCH(EDATE('자료_거시'!$D204,-'설정'!$B$17),'자료_거시'!$D$3:INDEX('자료_거시'!$D$3:$D$4002,$K$6),1)),""),"")</f>
        <v/>
      </c>
      <c r="U222">
        <f>IF(ISNUMBER(T222),'자료_거시'!$D204,"")</f>
        <v/>
      </c>
      <c r="V222">
        <f>IF(ISNUMBER(U222),IF(U222&gt;$L$6,T222,""),"")</f>
        <v/>
      </c>
      <c r="W222">
        <f>IF(AND(ISNUMBER('자료_거시'!$G204),ISNUMBER('자료_거시'!$H204)),'자료_거시'!$H204,"")</f>
        <v/>
      </c>
      <c r="X222">
        <f>IF(ISNUMBER(W222),'자료_거시'!$G204,"")</f>
        <v/>
      </c>
      <c r="Y222">
        <f>IF(ISNUMBER(X222),IF(X222&gt;$L$7,W222,""),"")</f>
        <v/>
      </c>
      <c r="Z222">
        <f>IF(ISNUMBER('자료_거시'!$K204),'자료_거시'!$K204,Z221)</f>
        <v/>
      </c>
      <c r="AA222">
        <f>IF(AND(ISNUMBER('자료_거시'!$J204),ISNUMBER('자료_거시'!$K204)),IFERROR('자료_거시'!$K204/INDEX($Z$21:$Z$4020,MATCH(EDATE('자료_거시'!$J204,-'설정'!$B$17),'자료_거시'!$J$3:INDEX('자료_거시'!$J$3:$J$4002,$K$8),1))-1,""),"")</f>
        <v/>
      </c>
      <c r="AB222">
        <f>IF(ISNUMBER(AA222),'자료_거시'!$J204,"")</f>
        <v/>
      </c>
      <c r="AC222">
        <f>IF(ISNUMBER(AB222),IF(AB222&gt;$L$8,AA222,""),"")</f>
        <v/>
      </c>
      <c r="AD222">
        <f>IF(AND(ISNUMBER('자료_거시'!$M204),ISNUMBER('자료_거시'!$N204)),1,0)</f>
        <v/>
      </c>
      <c r="AE222">
        <f>IF(AND(ISNUMBER('자료_거시'!$M204),ISNUMBER('자료_거시'!$N204)),IF(AND(SUMIFS($AD$21:$AD$620,'자료_거시'!$M$3:$M$602,"&gt;"&amp;EDATE('자료_거시'!$M204,-'설정'!$B$17),'자료_거시'!$M$3:$M$602,"&lt;="&amp;'자료_거시'!$M204)=3,SUMIFS($AD$21:$AD$620,'자료_거시'!$M$3:$M$602,"&gt;"&amp;EDATE('자료_거시'!$M204,-12-'설정'!$B$17),'자료_거시'!$M$3:$M$602,"&lt;="&amp;EDATE('자료_거시'!$M204,-12))=3),IFERROR(SUMIFS('자료_거시'!$N$3:$N$602,'자료_거시'!$M$3:$M$602,"&gt;"&amp;EDATE('자료_거시'!$M204,-'설정'!$B$17),'자료_거시'!$M$3:$M$602,"&lt;="&amp;'자료_거시'!$M204)/SUMIFS('자료_거시'!$N$3:$N$602,'자료_거시'!$M$3:$M$602,"&gt;"&amp;EDATE('자료_거시'!$M204,-12-'설정'!$B$17),'자료_거시'!$M$3:$M$602,"&lt;="&amp;EDATE('자료_거시'!$M204,-12))-1,""),""),"")</f>
        <v/>
      </c>
      <c r="AF222">
        <f>IF(ISNUMBER(AE222),'자료_거시'!$M204,"")</f>
        <v/>
      </c>
      <c r="AG222">
        <f>IF(ISNUMBER(AF222),IF(AF222&gt;$L$9,AE222,""),"")</f>
        <v/>
      </c>
    </row>
    <row r="223">
      <c r="P223">
        <f>IF(AND(ISNUMBER('자료_거시'!$A205),ISNUMBER('자료_거시'!$B205)),'자료_거시'!$B205,"")</f>
        <v/>
      </c>
      <c r="Q223">
        <f>IF(ISNUMBER(P223),'자료_거시'!$A205,"")</f>
        <v/>
      </c>
      <c r="R223">
        <f>IF(ISNUMBER(Q223),IF(Q223&gt;$L$5,P223,""),"")</f>
        <v/>
      </c>
      <c r="S223">
        <f>IF(ISNUMBER('자료_거시'!$E205),'자료_거시'!$E205,S222)</f>
        <v/>
      </c>
      <c r="T223">
        <f>IF(AND(ISNUMBER('자료_거시'!$D205),ISNUMBER('자료_거시'!$E205)),IFERROR('자료_거시'!$E205-INDEX($S$21:$S$4020,MATCH(EDATE('자료_거시'!$D205,-'설정'!$B$17),'자료_거시'!$D$3:INDEX('자료_거시'!$D$3:$D$4002,$K$6),1)),""),"")</f>
        <v/>
      </c>
      <c r="U223">
        <f>IF(ISNUMBER(T223),'자료_거시'!$D205,"")</f>
        <v/>
      </c>
      <c r="V223">
        <f>IF(ISNUMBER(U223),IF(U223&gt;$L$6,T223,""),"")</f>
        <v/>
      </c>
      <c r="W223">
        <f>IF(AND(ISNUMBER('자료_거시'!$G205),ISNUMBER('자료_거시'!$H205)),'자료_거시'!$H205,"")</f>
        <v/>
      </c>
      <c r="X223">
        <f>IF(ISNUMBER(W223),'자료_거시'!$G205,"")</f>
        <v/>
      </c>
      <c r="Y223">
        <f>IF(ISNUMBER(X223),IF(X223&gt;$L$7,W223,""),"")</f>
        <v/>
      </c>
      <c r="Z223">
        <f>IF(ISNUMBER('자료_거시'!$K205),'자료_거시'!$K205,Z222)</f>
        <v/>
      </c>
      <c r="AA223">
        <f>IF(AND(ISNUMBER('자료_거시'!$J205),ISNUMBER('자료_거시'!$K205)),IFERROR('자료_거시'!$K205/INDEX($Z$21:$Z$4020,MATCH(EDATE('자료_거시'!$J205,-'설정'!$B$17),'자료_거시'!$J$3:INDEX('자료_거시'!$J$3:$J$4002,$K$8),1))-1,""),"")</f>
        <v/>
      </c>
      <c r="AB223">
        <f>IF(ISNUMBER(AA223),'자료_거시'!$J205,"")</f>
        <v/>
      </c>
      <c r="AC223">
        <f>IF(ISNUMBER(AB223),IF(AB223&gt;$L$8,AA223,""),"")</f>
        <v/>
      </c>
      <c r="AD223">
        <f>IF(AND(ISNUMBER('자료_거시'!$M205),ISNUMBER('자료_거시'!$N205)),1,0)</f>
        <v/>
      </c>
      <c r="AE223">
        <f>IF(AND(ISNUMBER('자료_거시'!$M205),ISNUMBER('자료_거시'!$N205)),IF(AND(SUMIFS($AD$21:$AD$620,'자료_거시'!$M$3:$M$602,"&gt;"&amp;EDATE('자료_거시'!$M205,-'설정'!$B$17),'자료_거시'!$M$3:$M$602,"&lt;="&amp;'자료_거시'!$M205)=3,SUMIFS($AD$21:$AD$620,'자료_거시'!$M$3:$M$602,"&gt;"&amp;EDATE('자료_거시'!$M205,-12-'설정'!$B$17),'자료_거시'!$M$3:$M$602,"&lt;="&amp;EDATE('자료_거시'!$M205,-12))=3),IFERROR(SUMIFS('자료_거시'!$N$3:$N$602,'자료_거시'!$M$3:$M$602,"&gt;"&amp;EDATE('자료_거시'!$M205,-'설정'!$B$17),'자료_거시'!$M$3:$M$602,"&lt;="&amp;'자료_거시'!$M205)/SUMIFS('자료_거시'!$N$3:$N$602,'자료_거시'!$M$3:$M$602,"&gt;"&amp;EDATE('자료_거시'!$M205,-12-'설정'!$B$17),'자료_거시'!$M$3:$M$602,"&lt;="&amp;EDATE('자료_거시'!$M205,-12))-1,""),""),"")</f>
        <v/>
      </c>
      <c r="AF223">
        <f>IF(ISNUMBER(AE223),'자료_거시'!$M205,"")</f>
        <v/>
      </c>
      <c r="AG223">
        <f>IF(ISNUMBER(AF223),IF(AF223&gt;$L$9,AE223,""),"")</f>
        <v/>
      </c>
    </row>
    <row r="224">
      <c r="P224">
        <f>IF(AND(ISNUMBER('자료_거시'!$A206),ISNUMBER('자료_거시'!$B206)),'자료_거시'!$B206,"")</f>
        <v/>
      </c>
      <c r="Q224">
        <f>IF(ISNUMBER(P224),'자료_거시'!$A206,"")</f>
        <v/>
      </c>
      <c r="R224">
        <f>IF(ISNUMBER(Q224),IF(Q224&gt;$L$5,P224,""),"")</f>
        <v/>
      </c>
      <c r="S224">
        <f>IF(ISNUMBER('자료_거시'!$E206),'자료_거시'!$E206,S223)</f>
        <v/>
      </c>
      <c r="T224">
        <f>IF(AND(ISNUMBER('자료_거시'!$D206),ISNUMBER('자료_거시'!$E206)),IFERROR('자료_거시'!$E206-INDEX($S$21:$S$4020,MATCH(EDATE('자료_거시'!$D206,-'설정'!$B$17),'자료_거시'!$D$3:INDEX('자료_거시'!$D$3:$D$4002,$K$6),1)),""),"")</f>
        <v/>
      </c>
      <c r="U224">
        <f>IF(ISNUMBER(T224),'자료_거시'!$D206,"")</f>
        <v/>
      </c>
      <c r="V224">
        <f>IF(ISNUMBER(U224),IF(U224&gt;$L$6,T224,""),"")</f>
        <v/>
      </c>
      <c r="W224">
        <f>IF(AND(ISNUMBER('자료_거시'!$G206),ISNUMBER('자료_거시'!$H206)),'자료_거시'!$H206,"")</f>
        <v/>
      </c>
      <c r="X224">
        <f>IF(ISNUMBER(W224),'자료_거시'!$G206,"")</f>
        <v/>
      </c>
      <c r="Y224">
        <f>IF(ISNUMBER(X224),IF(X224&gt;$L$7,W224,""),"")</f>
        <v/>
      </c>
      <c r="Z224">
        <f>IF(ISNUMBER('자료_거시'!$K206),'자료_거시'!$K206,Z223)</f>
        <v/>
      </c>
      <c r="AA224">
        <f>IF(AND(ISNUMBER('자료_거시'!$J206),ISNUMBER('자료_거시'!$K206)),IFERROR('자료_거시'!$K206/INDEX($Z$21:$Z$4020,MATCH(EDATE('자료_거시'!$J206,-'설정'!$B$17),'자료_거시'!$J$3:INDEX('자료_거시'!$J$3:$J$4002,$K$8),1))-1,""),"")</f>
        <v/>
      </c>
      <c r="AB224">
        <f>IF(ISNUMBER(AA224),'자료_거시'!$J206,"")</f>
        <v/>
      </c>
      <c r="AC224">
        <f>IF(ISNUMBER(AB224),IF(AB224&gt;$L$8,AA224,""),"")</f>
        <v/>
      </c>
      <c r="AD224">
        <f>IF(AND(ISNUMBER('자료_거시'!$M206),ISNUMBER('자료_거시'!$N206)),1,0)</f>
        <v/>
      </c>
      <c r="AE224">
        <f>IF(AND(ISNUMBER('자료_거시'!$M206),ISNUMBER('자료_거시'!$N206)),IF(AND(SUMIFS($AD$21:$AD$620,'자료_거시'!$M$3:$M$602,"&gt;"&amp;EDATE('자료_거시'!$M206,-'설정'!$B$17),'자료_거시'!$M$3:$M$602,"&lt;="&amp;'자료_거시'!$M206)=3,SUMIFS($AD$21:$AD$620,'자료_거시'!$M$3:$M$602,"&gt;"&amp;EDATE('자료_거시'!$M206,-12-'설정'!$B$17),'자료_거시'!$M$3:$M$602,"&lt;="&amp;EDATE('자료_거시'!$M206,-12))=3),IFERROR(SUMIFS('자료_거시'!$N$3:$N$602,'자료_거시'!$M$3:$M$602,"&gt;"&amp;EDATE('자료_거시'!$M206,-'설정'!$B$17),'자료_거시'!$M$3:$M$602,"&lt;="&amp;'자료_거시'!$M206)/SUMIFS('자료_거시'!$N$3:$N$602,'자료_거시'!$M$3:$M$602,"&gt;"&amp;EDATE('자료_거시'!$M206,-12-'설정'!$B$17),'자료_거시'!$M$3:$M$602,"&lt;="&amp;EDATE('자료_거시'!$M206,-12))-1,""),""),"")</f>
        <v/>
      </c>
      <c r="AF224">
        <f>IF(ISNUMBER(AE224),'자료_거시'!$M206,"")</f>
        <v/>
      </c>
      <c r="AG224">
        <f>IF(ISNUMBER(AF224),IF(AF224&gt;$L$9,AE224,""),"")</f>
        <v/>
      </c>
    </row>
    <row r="225">
      <c r="P225">
        <f>IF(AND(ISNUMBER('자료_거시'!$A207),ISNUMBER('자료_거시'!$B207)),'자료_거시'!$B207,"")</f>
        <v/>
      </c>
      <c r="Q225">
        <f>IF(ISNUMBER(P225),'자료_거시'!$A207,"")</f>
        <v/>
      </c>
      <c r="R225">
        <f>IF(ISNUMBER(Q225),IF(Q225&gt;$L$5,P225,""),"")</f>
        <v/>
      </c>
      <c r="S225">
        <f>IF(ISNUMBER('자료_거시'!$E207),'자료_거시'!$E207,S224)</f>
        <v/>
      </c>
      <c r="T225">
        <f>IF(AND(ISNUMBER('자료_거시'!$D207),ISNUMBER('자료_거시'!$E207)),IFERROR('자료_거시'!$E207-INDEX($S$21:$S$4020,MATCH(EDATE('자료_거시'!$D207,-'설정'!$B$17),'자료_거시'!$D$3:INDEX('자료_거시'!$D$3:$D$4002,$K$6),1)),""),"")</f>
        <v/>
      </c>
      <c r="U225">
        <f>IF(ISNUMBER(T225),'자료_거시'!$D207,"")</f>
        <v/>
      </c>
      <c r="V225">
        <f>IF(ISNUMBER(U225),IF(U225&gt;$L$6,T225,""),"")</f>
        <v/>
      </c>
      <c r="W225">
        <f>IF(AND(ISNUMBER('자료_거시'!$G207),ISNUMBER('자료_거시'!$H207)),'자료_거시'!$H207,"")</f>
        <v/>
      </c>
      <c r="X225">
        <f>IF(ISNUMBER(W225),'자료_거시'!$G207,"")</f>
        <v/>
      </c>
      <c r="Y225">
        <f>IF(ISNUMBER(X225),IF(X225&gt;$L$7,W225,""),"")</f>
        <v/>
      </c>
      <c r="Z225">
        <f>IF(ISNUMBER('자료_거시'!$K207),'자료_거시'!$K207,Z224)</f>
        <v/>
      </c>
      <c r="AA225">
        <f>IF(AND(ISNUMBER('자료_거시'!$J207),ISNUMBER('자료_거시'!$K207)),IFERROR('자료_거시'!$K207/INDEX($Z$21:$Z$4020,MATCH(EDATE('자료_거시'!$J207,-'설정'!$B$17),'자료_거시'!$J$3:INDEX('자료_거시'!$J$3:$J$4002,$K$8),1))-1,""),"")</f>
        <v/>
      </c>
      <c r="AB225">
        <f>IF(ISNUMBER(AA225),'자료_거시'!$J207,"")</f>
        <v/>
      </c>
      <c r="AC225">
        <f>IF(ISNUMBER(AB225),IF(AB225&gt;$L$8,AA225,""),"")</f>
        <v/>
      </c>
      <c r="AD225">
        <f>IF(AND(ISNUMBER('자료_거시'!$M207),ISNUMBER('자료_거시'!$N207)),1,0)</f>
        <v/>
      </c>
      <c r="AE225">
        <f>IF(AND(ISNUMBER('자료_거시'!$M207),ISNUMBER('자료_거시'!$N207)),IF(AND(SUMIFS($AD$21:$AD$620,'자료_거시'!$M$3:$M$602,"&gt;"&amp;EDATE('자료_거시'!$M207,-'설정'!$B$17),'자료_거시'!$M$3:$M$602,"&lt;="&amp;'자료_거시'!$M207)=3,SUMIFS($AD$21:$AD$620,'자료_거시'!$M$3:$M$602,"&gt;"&amp;EDATE('자료_거시'!$M207,-12-'설정'!$B$17),'자료_거시'!$M$3:$M$602,"&lt;="&amp;EDATE('자료_거시'!$M207,-12))=3),IFERROR(SUMIFS('자료_거시'!$N$3:$N$602,'자료_거시'!$M$3:$M$602,"&gt;"&amp;EDATE('자료_거시'!$M207,-'설정'!$B$17),'자료_거시'!$M$3:$M$602,"&lt;="&amp;'자료_거시'!$M207)/SUMIFS('자료_거시'!$N$3:$N$602,'자료_거시'!$M$3:$M$602,"&gt;"&amp;EDATE('자료_거시'!$M207,-12-'설정'!$B$17),'자료_거시'!$M$3:$M$602,"&lt;="&amp;EDATE('자료_거시'!$M207,-12))-1,""),""),"")</f>
        <v/>
      </c>
      <c r="AF225">
        <f>IF(ISNUMBER(AE225),'자료_거시'!$M207,"")</f>
        <v/>
      </c>
      <c r="AG225">
        <f>IF(ISNUMBER(AF225),IF(AF225&gt;$L$9,AE225,""),"")</f>
        <v/>
      </c>
    </row>
    <row r="226">
      <c r="P226">
        <f>IF(AND(ISNUMBER('자료_거시'!$A208),ISNUMBER('자료_거시'!$B208)),'자료_거시'!$B208,"")</f>
        <v/>
      </c>
      <c r="Q226">
        <f>IF(ISNUMBER(P226),'자료_거시'!$A208,"")</f>
        <v/>
      </c>
      <c r="R226">
        <f>IF(ISNUMBER(Q226),IF(Q226&gt;$L$5,P226,""),"")</f>
        <v/>
      </c>
      <c r="S226">
        <f>IF(ISNUMBER('자료_거시'!$E208),'자료_거시'!$E208,S225)</f>
        <v/>
      </c>
      <c r="T226">
        <f>IF(AND(ISNUMBER('자료_거시'!$D208),ISNUMBER('자료_거시'!$E208)),IFERROR('자료_거시'!$E208-INDEX($S$21:$S$4020,MATCH(EDATE('자료_거시'!$D208,-'설정'!$B$17),'자료_거시'!$D$3:INDEX('자료_거시'!$D$3:$D$4002,$K$6),1)),""),"")</f>
        <v/>
      </c>
      <c r="U226">
        <f>IF(ISNUMBER(T226),'자료_거시'!$D208,"")</f>
        <v/>
      </c>
      <c r="V226">
        <f>IF(ISNUMBER(U226),IF(U226&gt;$L$6,T226,""),"")</f>
        <v/>
      </c>
      <c r="W226">
        <f>IF(AND(ISNUMBER('자료_거시'!$G208),ISNUMBER('자료_거시'!$H208)),'자료_거시'!$H208,"")</f>
        <v/>
      </c>
      <c r="X226">
        <f>IF(ISNUMBER(W226),'자료_거시'!$G208,"")</f>
        <v/>
      </c>
      <c r="Y226">
        <f>IF(ISNUMBER(X226),IF(X226&gt;$L$7,W226,""),"")</f>
        <v/>
      </c>
      <c r="Z226">
        <f>IF(ISNUMBER('자료_거시'!$K208),'자료_거시'!$K208,Z225)</f>
        <v/>
      </c>
      <c r="AA226">
        <f>IF(AND(ISNUMBER('자료_거시'!$J208),ISNUMBER('자료_거시'!$K208)),IFERROR('자료_거시'!$K208/INDEX($Z$21:$Z$4020,MATCH(EDATE('자료_거시'!$J208,-'설정'!$B$17),'자료_거시'!$J$3:INDEX('자료_거시'!$J$3:$J$4002,$K$8),1))-1,""),"")</f>
        <v/>
      </c>
      <c r="AB226">
        <f>IF(ISNUMBER(AA226),'자료_거시'!$J208,"")</f>
        <v/>
      </c>
      <c r="AC226">
        <f>IF(ISNUMBER(AB226),IF(AB226&gt;$L$8,AA226,""),"")</f>
        <v/>
      </c>
      <c r="AD226">
        <f>IF(AND(ISNUMBER('자료_거시'!$M208),ISNUMBER('자료_거시'!$N208)),1,0)</f>
        <v/>
      </c>
      <c r="AE226">
        <f>IF(AND(ISNUMBER('자료_거시'!$M208),ISNUMBER('자료_거시'!$N208)),IF(AND(SUMIFS($AD$21:$AD$620,'자료_거시'!$M$3:$M$602,"&gt;"&amp;EDATE('자료_거시'!$M208,-'설정'!$B$17),'자료_거시'!$M$3:$M$602,"&lt;="&amp;'자료_거시'!$M208)=3,SUMIFS($AD$21:$AD$620,'자료_거시'!$M$3:$M$602,"&gt;"&amp;EDATE('자료_거시'!$M208,-12-'설정'!$B$17),'자료_거시'!$M$3:$M$602,"&lt;="&amp;EDATE('자료_거시'!$M208,-12))=3),IFERROR(SUMIFS('자료_거시'!$N$3:$N$602,'자료_거시'!$M$3:$M$602,"&gt;"&amp;EDATE('자료_거시'!$M208,-'설정'!$B$17),'자료_거시'!$M$3:$M$602,"&lt;="&amp;'자료_거시'!$M208)/SUMIFS('자료_거시'!$N$3:$N$602,'자료_거시'!$M$3:$M$602,"&gt;"&amp;EDATE('자료_거시'!$M208,-12-'설정'!$B$17),'자료_거시'!$M$3:$M$602,"&lt;="&amp;EDATE('자료_거시'!$M208,-12))-1,""),""),"")</f>
        <v/>
      </c>
      <c r="AF226">
        <f>IF(ISNUMBER(AE226),'자료_거시'!$M208,"")</f>
        <v/>
      </c>
      <c r="AG226">
        <f>IF(ISNUMBER(AF226),IF(AF226&gt;$L$9,AE226,""),"")</f>
        <v/>
      </c>
    </row>
    <row r="227">
      <c r="P227">
        <f>IF(AND(ISNUMBER('자료_거시'!$A209),ISNUMBER('자료_거시'!$B209)),'자료_거시'!$B209,"")</f>
        <v/>
      </c>
      <c r="Q227">
        <f>IF(ISNUMBER(P227),'자료_거시'!$A209,"")</f>
        <v/>
      </c>
      <c r="R227">
        <f>IF(ISNUMBER(Q227),IF(Q227&gt;$L$5,P227,""),"")</f>
        <v/>
      </c>
      <c r="S227">
        <f>IF(ISNUMBER('자료_거시'!$E209),'자료_거시'!$E209,S226)</f>
        <v/>
      </c>
      <c r="T227">
        <f>IF(AND(ISNUMBER('자료_거시'!$D209),ISNUMBER('자료_거시'!$E209)),IFERROR('자료_거시'!$E209-INDEX($S$21:$S$4020,MATCH(EDATE('자료_거시'!$D209,-'설정'!$B$17),'자료_거시'!$D$3:INDEX('자료_거시'!$D$3:$D$4002,$K$6),1)),""),"")</f>
        <v/>
      </c>
      <c r="U227">
        <f>IF(ISNUMBER(T227),'자료_거시'!$D209,"")</f>
        <v/>
      </c>
      <c r="V227">
        <f>IF(ISNUMBER(U227),IF(U227&gt;$L$6,T227,""),"")</f>
        <v/>
      </c>
      <c r="W227">
        <f>IF(AND(ISNUMBER('자료_거시'!$G209),ISNUMBER('자료_거시'!$H209)),'자료_거시'!$H209,"")</f>
        <v/>
      </c>
      <c r="X227">
        <f>IF(ISNUMBER(W227),'자료_거시'!$G209,"")</f>
        <v/>
      </c>
      <c r="Y227">
        <f>IF(ISNUMBER(X227),IF(X227&gt;$L$7,W227,""),"")</f>
        <v/>
      </c>
      <c r="Z227">
        <f>IF(ISNUMBER('자료_거시'!$K209),'자료_거시'!$K209,Z226)</f>
        <v/>
      </c>
      <c r="AA227">
        <f>IF(AND(ISNUMBER('자료_거시'!$J209),ISNUMBER('자료_거시'!$K209)),IFERROR('자료_거시'!$K209/INDEX($Z$21:$Z$4020,MATCH(EDATE('자료_거시'!$J209,-'설정'!$B$17),'자료_거시'!$J$3:INDEX('자료_거시'!$J$3:$J$4002,$K$8),1))-1,""),"")</f>
        <v/>
      </c>
      <c r="AB227">
        <f>IF(ISNUMBER(AA227),'자료_거시'!$J209,"")</f>
        <v/>
      </c>
      <c r="AC227">
        <f>IF(ISNUMBER(AB227),IF(AB227&gt;$L$8,AA227,""),"")</f>
        <v/>
      </c>
      <c r="AD227">
        <f>IF(AND(ISNUMBER('자료_거시'!$M209),ISNUMBER('자료_거시'!$N209)),1,0)</f>
        <v/>
      </c>
      <c r="AE227">
        <f>IF(AND(ISNUMBER('자료_거시'!$M209),ISNUMBER('자료_거시'!$N209)),IF(AND(SUMIFS($AD$21:$AD$620,'자료_거시'!$M$3:$M$602,"&gt;"&amp;EDATE('자료_거시'!$M209,-'설정'!$B$17),'자료_거시'!$M$3:$M$602,"&lt;="&amp;'자료_거시'!$M209)=3,SUMIFS($AD$21:$AD$620,'자료_거시'!$M$3:$M$602,"&gt;"&amp;EDATE('자료_거시'!$M209,-12-'설정'!$B$17),'자료_거시'!$M$3:$M$602,"&lt;="&amp;EDATE('자료_거시'!$M209,-12))=3),IFERROR(SUMIFS('자료_거시'!$N$3:$N$602,'자료_거시'!$M$3:$M$602,"&gt;"&amp;EDATE('자료_거시'!$M209,-'설정'!$B$17),'자료_거시'!$M$3:$M$602,"&lt;="&amp;'자료_거시'!$M209)/SUMIFS('자료_거시'!$N$3:$N$602,'자료_거시'!$M$3:$M$602,"&gt;"&amp;EDATE('자료_거시'!$M209,-12-'설정'!$B$17),'자료_거시'!$M$3:$M$602,"&lt;="&amp;EDATE('자료_거시'!$M209,-12))-1,""),""),"")</f>
        <v/>
      </c>
      <c r="AF227">
        <f>IF(ISNUMBER(AE227),'자료_거시'!$M209,"")</f>
        <v/>
      </c>
      <c r="AG227">
        <f>IF(ISNUMBER(AF227),IF(AF227&gt;$L$9,AE227,""),"")</f>
        <v/>
      </c>
    </row>
    <row r="228">
      <c r="P228">
        <f>IF(AND(ISNUMBER('자료_거시'!$A210),ISNUMBER('자료_거시'!$B210)),'자료_거시'!$B210,"")</f>
        <v/>
      </c>
      <c r="Q228">
        <f>IF(ISNUMBER(P228),'자료_거시'!$A210,"")</f>
        <v/>
      </c>
      <c r="R228">
        <f>IF(ISNUMBER(Q228),IF(Q228&gt;$L$5,P228,""),"")</f>
        <v/>
      </c>
      <c r="S228">
        <f>IF(ISNUMBER('자료_거시'!$E210),'자료_거시'!$E210,S227)</f>
        <v/>
      </c>
      <c r="T228">
        <f>IF(AND(ISNUMBER('자료_거시'!$D210),ISNUMBER('자료_거시'!$E210)),IFERROR('자료_거시'!$E210-INDEX($S$21:$S$4020,MATCH(EDATE('자료_거시'!$D210,-'설정'!$B$17),'자료_거시'!$D$3:INDEX('자료_거시'!$D$3:$D$4002,$K$6),1)),""),"")</f>
        <v/>
      </c>
      <c r="U228">
        <f>IF(ISNUMBER(T228),'자료_거시'!$D210,"")</f>
        <v/>
      </c>
      <c r="V228">
        <f>IF(ISNUMBER(U228),IF(U228&gt;$L$6,T228,""),"")</f>
        <v/>
      </c>
      <c r="W228">
        <f>IF(AND(ISNUMBER('자료_거시'!$G210),ISNUMBER('자료_거시'!$H210)),'자료_거시'!$H210,"")</f>
        <v/>
      </c>
      <c r="X228">
        <f>IF(ISNUMBER(W228),'자료_거시'!$G210,"")</f>
        <v/>
      </c>
      <c r="Y228">
        <f>IF(ISNUMBER(X228),IF(X228&gt;$L$7,W228,""),"")</f>
        <v/>
      </c>
      <c r="Z228">
        <f>IF(ISNUMBER('자료_거시'!$K210),'자료_거시'!$K210,Z227)</f>
        <v/>
      </c>
      <c r="AA228">
        <f>IF(AND(ISNUMBER('자료_거시'!$J210),ISNUMBER('자료_거시'!$K210)),IFERROR('자료_거시'!$K210/INDEX($Z$21:$Z$4020,MATCH(EDATE('자료_거시'!$J210,-'설정'!$B$17),'자료_거시'!$J$3:INDEX('자료_거시'!$J$3:$J$4002,$K$8),1))-1,""),"")</f>
        <v/>
      </c>
      <c r="AB228">
        <f>IF(ISNUMBER(AA228),'자료_거시'!$J210,"")</f>
        <v/>
      </c>
      <c r="AC228">
        <f>IF(ISNUMBER(AB228),IF(AB228&gt;$L$8,AA228,""),"")</f>
        <v/>
      </c>
      <c r="AD228">
        <f>IF(AND(ISNUMBER('자료_거시'!$M210),ISNUMBER('자료_거시'!$N210)),1,0)</f>
        <v/>
      </c>
      <c r="AE228">
        <f>IF(AND(ISNUMBER('자료_거시'!$M210),ISNUMBER('자료_거시'!$N210)),IF(AND(SUMIFS($AD$21:$AD$620,'자료_거시'!$M$3:$M$602,"&gt;"&amp;EDATE('자료_거시'!$M210,-'설정'!$B$17),'자료_거시'!$M$3:$M$602,"&lt;="&amp;'자료_거시'!$M210)=3,SUMIFS($AD$21:$AD$620,'자료_거시'!$M$3:$M$602,"&gt;"&amp;EDATE('자료_거시'!$M210,-12-'설정'!$B$17),'자료_거시'!$M$3:$M$602,"&lt;="&amp;EDATE('자료_거시'!$M210,-12))=3),IFERROR(SUMIFS('자료_거시'!$N$3:$N$602,'자료_거시'!$M$3:$M$602,"&gt;"&amp;EDATE('자료_거시'!$M210,-'설정'!$B$17),'자료_거시'!$M$3:$M$602,"&lt;="&amp;'자료_거시'!$M210)/SUMIFS('자료_거시'!$N$3:$N$602,'자료_거시'!$M$3:$M$602,"&gt;"&amp;EDATE('자료_거시'!$M210,-12-'설정'!$B$17),'자료_거시'!$M$3:$M$602,"&lt;="&amp;EDATE('자료_거시'!$M210,-12))-1,""),""),"")</f>
        <v/>
      </c>
      <c r="AF228">
        <f>IF(ISNUMBER(AE228),'자료_거시'!$M210,"")</f>
        <v/>
      </c>
      <c r="AG228">
        <f>IF(ISNUMBER(AF228),IF(AF228&gt;$L$9,AE228,""),"")</f>
        <v/>
      </c>
    </row>
    <row r="229">
      <c r="P229">
        <f>IF(AND(ISNUMBER('자료_거시'!$A211),ISNUMBER('자료_거시'!$B211)),'자료_거시'!$B211,"")</f>
        <v/>
      </c>
      <c r="Q229">
        <f>IF(ISNUMBER(P229),'자료_거시'!$A211,"")</f>
        <v/>
      </c>
      <c r="R229">
        <f>IF(ISNUMBER(Q229),IF(Q229&gt;$L$5,P229,""),"")</f>
        <v/>
      </c>
      <c r="S229">
        <f>IF(ISNUMBER('자료_거시'!$E211),'자료_거시'!$E211,S228)</f>
        <v/>
      </c>
      <c r="T229">
        <f>IF(AND(ISNUMBER('자료_거시'!$D211),ISNUMBER('자료_거시'!$E211)),IFERROR('자료_거시'!$E211-INDEX($S$21:$S$4020,MATCH(EDATE('자료_거시'!$D211,-'설정'!$B$17),'자료_거시'!$D$3:INDEX('자료_거시'!$D$3:$D$4002,$K$6),1)),""),"")</f>
        <v/>
      </c>
      <c r="U229">
        <f>IF(ISNUMBER(T229),'자료_거시'!$D211,"")</f>
        <v/>
      </c>
      <c r="V229">
        <f>IF(ISNUMBER(U229),IF(U229&gt;$L$6,T229,""),"")</f>
        <v/>
      </c>
      <c r="W229">
        <f>IF(AND(ISNUMBER('자료_거시'!$G211),ISNUMBER('자료_거시'!$H211)),'자료_거시'!$H211,"")</f>
        <v/>
      </c>
      <c r="X229">
        <f>IF(ISNUMBER(W229),'자료_거시'!$G211,"")</f>
        <v/>
      </c>
      <c r="Y229">
        <f>IF(ISNUMBER(X229),IF(X229&gt;$L$7,W229,""),"")</f>
        <v/>
      </c>
      <c r="Z229">
        <f>IF(ISNUMBER('자료_거시'!$K211),'자료_거시'!$K211,Z228)</f>
        <v/>
      </c>
      <c r="AA229">
        <f>IF(AND(ISNUMBER('자료_거시'!$J211),ISNUMBER('자료_거시'!$K211)),IFERROR('자료_거시'!$K211/INDEX($Z$21:$Z$4020,MATCH(EDATE('자료_거시'!$J211,-'설정'!$B$17),'자료_거시'!$J$3:INDEX('자료_거시'!$J$3:$J$4002,$K$8),1))-1,""),"")</f>
        <v/>
      </c>
      <c r="AB229">
        <f>IF(ISNUMBER(AA229),'자료_거시'!$J211,"")</f>
        <v/>
      </c>
      <c r="AC229">
        <f>IF(ISNUMBER(AB229),IF(AB229&gt;$L$8,AA229,""),"")</f>
        <v/>
      </c>
      <c r="AD229">
        <f>IF(AND(ISNUMBER('자료_거시'!$M211),ISNUMBER('자료_거시'!$N211)),1,0)</f>
        <v/>
      </c>
      <c r="AE229">
        <f>IF(AND(ISNUMBER('자료_거시'!$M211),ISNUMBER('자료_거시'!$N211)),IF(AND(SUMIFS($AD$21:$AD$620,'자료_거시'!$M$3:$M$602,"&gt;"&amp;EDATE('자료_거시'!$M211,-'설정'!$B$17),'자료_거시'!$M$3:$M$602,"&lt;="&amp;'자료_거시'!$M211)=3,SUMIFS($AD$21:$AD$620,'자료_거시'!$M$3:$M$602,"&gt;"&amp;EDATE('자료_거시'!$M211,-12-'설정'!$B$17),'자료_거시'!$M$3:$M$602,"&lt;="&amp;EDATE('자료_거시'!$M211,-12))=3),IFERROR(SUMIFS('자료_거시'!$N$3:$N$602,'자료_거시'!$M$3:$M$602,"&gt;"&amp;EDATE('자료_거시'!$M211,-'설정'!$B$17),'자료_거시'!$M$3:$M$602,"&lt;="&amp;'자료_거시'!$M211)/SUMIFS('자료_거시'!$N$3:$N$602,'자료_거시'!$M$3:$M$602,"&gt;"&amp;EDATE('자료_거시'!$M211,-12-'설정'!$B$17),'자료_거시'!$M$3:$M$602,"&lt;="&amp;EDATE('자료_거시'!$M211,-12))-1,""),""),"")</f>
        <v/>
      </c>
      <c r="AF229">
        <f>IF(ISNUMBER(AE229),'자료_거시'!$M211,"")</f>
        <v/>
      </c>
      <c r="AG229">
        <f>IF(ISNUMBER(AF229),IF(AF229&gt;$L$9,AE229,""),"")</f>
        <v/>
      </c>
    </row>
    <row r="230">
      <c r="P230">
        <f>IF(AND(ISNUMBER('자료_거시'!$A212),ISNUMBER('자료_거시'!$B212)),'자료_거시'!$B212,"")</f>
        <v/>
      </c>
      <c r="Q230">
        <f>IF(ISNUMBER(P230),'자료_거시'!$A212,"")</f>
        <v/>
      </c>
      <c r="R230">
        <f>IF(ISNUMBER(Q230),IF(Q230&gt;$L$5,P230,""),"")</f>
        <v/>
      </c>
      <c r="S230">
        <f>IF(ISNUMBER('자료_거시'!$E212),'자료_거시'!$E212,S229)</f>
        <v/>
      </c>
      <c r="T230">
        <f>IF(AND(ISNUMBER('자료_거시'!$D212),ISNUMBER('자료_거시'!$E212)),IFERROR('자료_거시'!$E212-INDEX($S$21:$S$4020,MATCH(EDATE('자료_거시'!$D212,-'설정'!$B$17),'자료_거시'!$D$3:INDEX('자료_거시'!$D$3:$D$4002,$K$6),1)),""),"")</f>
        <v/>
      </c>
      <c r="U230">
        <f>IF(ISNUMBER(T230),'자료_거시'!$D212,"")</f>
        <v/>
      </c>
      <c r="V230">
        <f>IF(ISNUMBER(U230),IF(U230&gt;$L$6,T230,""),"")</f>
        <v/>
      </c>
      <c r="W230">
        <f>IF(AND(ISNUMBER('자료_거시'!$G212),ISNUMBER('자료_거시'!$H212)),'자료_거시'!$H212,"")</f>
        <v/>
      </c>
      <c r="X230">
        <f>IF(ISNUMBER(W230),'자료_거시'!$G212,"")</f>
        <v/>
      </c>
      <c r="Y230">
        <f>IF(ISNUMBER(X230),IF(X230&gt;$L$7,W230,""),"")</f>
        <v/>
      </c>
      <c r="Z230">
        <f>IF(ISNUMBER('자료_거시'!$K212),'자료_거시'!$K212,Z229)</f>
        <v/>
      </c>
      <c r="AA230">
        <f>IF(AND(ISNUMBER('자료_거시'!$J212),ISNUMBER('자료_거시'!$K212)),IFERROR('자료_거시'!$K212/INDEX($Z$21:$Z$4020,MATCH(EDATE('자료_거시'!$J212,-'설정'!$B$17),'자료_거시'!$J$3:INDEX('자료_거시'!$J$3:$J$4002,$K$8),1))-1,""),"")</f>
        <v/>
      </c>
      <c r="AB230">
        <f>IF(ISNUMBER(AA230),'자료_거시'!$J212,"")</f>
        <v/>
      </c>
      <c r="AC230">
        <f>IF(ISNUMBER(AB230),IF(AB230&gt;$L$8,AA230,""),"")</f>
        <v/>
      </c>
      <c r="AD230">
        <f>IF(AND(ISNUMBER('자료_거시'!$M212),ISNUMBER('자료_거시'!$N212)),1,0)</f>
        <v/>
      </c>
      <c r="AE230">
        <f>IF(AND(ISNUMBER('자료_거시'!$M212),ISNUMBER('자료_거시'!$N212)),IF(AND(SUMIFS($AD$21:$AD$620,'자료_거시'!$M$3:$M$602,"&gt;"&amp;EDATE('자료_거시'!$M212,-'설정'!$B$17),'자료_거시'!$M$3:$M$602,"&lt;="&amp;'자료_거시'!$M212)=3,SUMIFS($AD$21:$AD$620,'자료_거시'!$M$3:$M$602,"&gt;"&amp;EDATE('자료_거시'!$M212,-12-'설정'!$B$17),'자료_거시'!$M$3:$M$602,"&lt;="&amp;EDATE('자료_거시'!$M212,-12))=3),IFERROR(SUMIFS('자료_거시'!$N$3:$N$602,'자료_거시'!$M$3:$M$602,"&gt;"&amp;EDATE('자료_거시'!$M212,-'설정'!$B$17),'자료_거시'!$M$3:$M$602,"&lt;="&amp;'자료_거시'!$M212)/SUMIFS('자료_거시'!$N$3:$N$602,'자료_거시'!$M$3:$M$602,"&gt;"&amp;EDATE('자료_거시'!$M212,-12-'설정'!$B$17),'자료_거시'!$M$3:$M$602,"&lt;="&amp;EDATE('자료_거시'!$M212,-12))-1,""),""),"")</f>
        <v/>
      </c>
      <c r="AF230">
        <f>IF(ISNUMBER(AE230),'자료_거시'!$M212,"")</f>
        <v/>
      </c>
      <c r="AG230">
        <f>IF(ISNUMBER(AF230),IF(AF230&gt;$L$9,AE230,""),"")</f>
        <v/>
      </c>
    </row>
    <row r="231">
      <c r="P231">
        <f>IF(AND(ISNUMBER('자료_거시'!$A213),ISNUMBER('자료_거시'!$B213)),'자료_거시'!$B213,"")</f>
        <v/>
      </c>
      <c r="Q231">
        <f>IF(ISNUMBER(P231),'자료_거시'!$A213,"")</f>
        <v/>
      </c>
      <c r="R231">
        <f>IF(ISNUMBER(Q231),IF(Q231&gt;$L$5,P231,""),"")</f>
        <v/>
      </c>
      <c r="S231">
        <f>IF(ISNUMBER('자료_거시'!$E213),'자료_거시'!$E213,S230)</f>
        <v/>
      </c>
      <c r="T231">
        <f>IF(AND(ISNUMBER('자료_거시'!$D213),ISNUMBER('자료_거시'!$E213)),IFERROR('자료_거시'!$E213-INDEX($S$21:$S$4020,MATCH(EDATE('자료_거시'!$D213,-'설정'!$B$17),'자료_거시'!$D$3:INDEX('자료_거시'!$D$3:$D$4002,$K$6),1)),""),"")</f>
        <v/>
      </c>
      <c r="U231">
        <f>IF(ISNUMBER(T231),'자료_거시'!$D213,"")</f>
        <v/>
      </c>
      <c r="V231">
        <f>IF(ISNUMBER(U231),IF(U231&gt;$L$6,T231,""),"")</f>
        <v/>
      </c>
      <c r="W231">
        <f>IF(AND(ISNUMBER('자료_거시'!$G213),ISNUMBER('자료_거시'!$H213)),'자료_거시'!$H213,"")</f>
        <v/>
      </c>
      <c r="X231">
        <f>IF(ISNUMBER(W231),'자료_거시'!$G213,"")</f>
        <v/>
      </c>
      <c r="Y231">
        <f>IF(ISNUMBER(X231),IF(X231&gt;$L$7,W231,""),"")</f>
        <v/>
      </c>
      <c r="Z231">
        <f>IF(ISNUMBER('자료_거시'!$K213),'자료_거시'!$K213,Z230)</f>
        <v/>
      </c>
      <c r="AA231">
        <f>IF(AND(ISNUMBER('자료_거시'!$J213),ISNUMBER('자료_거시'!$K213)),IFERROR('자료_거시'!$K213/INDEX($Z$21:$Z$4020,MATCH(EDATE('자료_거시'!$J213,-'설정'!$B$17),'자료_거시'!$J$3:INDEX('자료_거시'!$J$3:$J$4002,$K$8),1))-1,""),"")</f>
        <v/>
      </c>
      <c r="AB231">
        <f>IF(ISNUMBER(AA231),'자료_거시'!$J213,"")</f>
        <v/>
      </c>
      <c r="AC231">
        <f>IF(ISNUMBER(AB231),IF(AB231&gt;$L$8,AA231,""),"")</f>
        <v/>
      </c>
      <c r="AD231">
        <f>IF(AND(ISNUMBER('자료_거시'!$M213),ISNUMBER('자료_거시'!$N213)),1,0)</f>
        <v/>
      </c>
      <c r="AE231">
        <f>IF(AND(ISNUMBER('자료_거시'!$M213),ISNUMBER('자료_거시'!$N213)),IF(AND(SUMIFS($AD$21:$AD$620,'자료_거시'!$M$3:$M$602,"&gt;"&amp;EDATE('자료_거시'!$M213,-'설정'!$B$17),'자료_거시'!$M$3:$M$602,"&lt;="&amp;'자료_거시'!$M213)=3,SUMIFS($AD$21:$AD$620,'자료_거시'!$M$3:$M$602,"&gt;"&amp;EDATE('자료_거시'!$M213,-12-'설정'!$B$17),'자료_거시'!$M$3:$M$602,"&lt;="&amp;EDATE('자료_거시'!$M213,-12))=3),IFERROR(SUMIFS('자료_거시'!$N$3:$N$602,'자료_거시'!$M$3:$M$602,"&gt;"&amp;EDATE('자료_거시'!$M213,-'설정'!$B$17),'자료_거시'!$M$3:$M$602,"&lt;="&amp;'자료_거시'!$M213)/SUMIFS('자료_거시'!$N$3:$N$602,'자료_거시'!$M$3:$M$602,"&gt;"&amp;EDATE('자료_거시'!$M213,-12-'설정'!$B$17),'자료_거시'!$M$3:$M$602,"&lt;="&amp;EDATE('자료_거시'!$M213,-12))-1,""),""),"")</f>
        <v/>
      </c>
      <c r="AF231">
        <f>IF(ISNUMBER(AE231),'자료_거시'!$M213,"")</f>
        <v/>
      </c>
      <c r="AG231">
        <f>IF(ISNUMBER(AF231),IF(AF231&gt;$L$9,AE231,""),"")</f>
        <v/>
      </c>
    </row>
    <row r="232">
      <c r="P232">
        <f>IF(AND(ISNUMBER('자료_거시'!$A214),ISNUMBER('자료_거시'!$B214)),'자료_거시'!$B214,"")</f>
        <v/>
      </c>
      <c r="Q232">
        <f>IF(ISNUMBER(P232),'자료_거시'!$A214,"")</f>
        <v/>
      </c>
      <c r="R232">
        <f>IF(ISNUMBER(Q232),IF(Q232&gt;$L$5,P232,""),"")</f>
        <v/>
      </c>
      <c r="S232">
        <f>IF(ISNUMBER('자료_거시'!$E214),'자료_거시'!$E214,S231)</f>
        <v/>
      </c>
      <c r="T232">
        <f>IF(AND(ISNUMBER('자료_거시'!$D214),ISNUMBER('자료_거시'!$E214)),IFERROR('자료_거시'!$E214-INDEX($S$21:$S$4020,MATCH(EDATE('자료_거시'!$D214,-'설정'!$B$17),'자료_거시'!$D$3:INDEX('자료_거시'!$D$3:$D$4002,$K$6),1)),""),"")</f>
        <v/>
      </c>
      <c r="U232">
        <f>IF(ISNUMBER(T232),'자료_거시'!$D214,"")</f>
        <v/>
      </c>
      <c r="V232">
        <f>IF(ISNUMBER(U232),IF(U232&gt;$L$6,T232,""),"")</f>
        <v/>
      </c>
      <c r="W232">
        <f>IF(AND(ISNUMBER('자료_거시'!$G214),ISNUMBER('자료_거시'!$H214)),'자료_거시'!$H214,"")</f>
        <v/>
      </c>
      <c r="X232">
        <f>IF(ISNUMBER(W232),'자료_거시'!$G214,"")</f>
        <v/>
      </c>
      <c r="Y232">
        <f>IF(ISNUMBER(X232),IF(X232&gt;$L$7,W232,""),"")</f>
        <v/>
      </c>
      <c r="Z232">
        <f>IF(ISNUMBER('자료_거시'!$K214),'자료_거시'!$K214,Z231)</f>
        <v/>
      </c>
      <c r="AA232">
        <f>IF(AND(ISNUMBER('자료_거시'!$J214),ISNUMBER('자료_거시'!$K214)),IFERROR('자료_거시'!$K214/INDEX($Z$21:$Z$4020,MATCH(EDATE('자료_거시'!$J214,-'설정'!$B$17),'자료_거시'!$J$3:INDEX('자료_거시'!$J$3:$J$4002,$K$8),1))-1,""),"")</f>
        <v/>
      </c>
      <c r="AB232">
        <f>IF(ISNUMBER(AA232),'자료_거시'!$J214,"")</f>
        <v/>
      </c>
      <c r="AC232">
        <f>IF(ISNUMBER(AB232),IF(AB232&gt;$L$8,AA232,""),"")</f>
        <v/>
      </c>
      <c r="AD232">
        <f>IF(AND(ISNUMBER('자료_거시'!$M214),ISNUMBER('자료_거시'!$N214)),1,0)</f>
        <v/>
      </c>
      <c r="AE232">
        <f>IF(AND(ISNUMBER('자료_거시'!$M214),ISNUMBER('자료_거시'!$N214)),IF(AND(SUMIFS($AD$21:$AD$620,'자료_거시'!$M$3:$M$602,"&gt;"&amp;EDATE('자료_거시'!$M214,-'설정'!$B$17),'자료_거시'!$M$3:$M$602,"&lt;="&amp;'자료_거시'!$M214)=3,SUMIFS($AD$21:$AD$620,'자료_거시'!$M$3:$M$602,"&gt;"&amp;EDATE('자료_거시'!$M214,-12-'설정'!$B$17),'자료_거시'!$M$3:$M$602,"&lt;="&amp;EDATE('자료_거시'!$M214,-12))=3),IFERROR(SUMIFS('자료_거시'!$N$3:$N$602,'자료_거시'!$M$3:$M$602,"&gt;"&amp;EDATE('자료_거시'!$M214,-'설정'!$B$17),'자료_거시'!$M$3:$M$602,"&lt;="&amp;'자료_거시'!$M214)/SUMIFS('자료_거시'!$N$3:$N$602,'자료_거시'!$M$3:$M$602,"&gt;"&amp;EDATE('자료_거시'!$M214,-12-'설정'!$B$17),'자료_거시'!$M$3:$M$602,"&lt;="&amp;EDATE('자료_거시'!$M214,-12))-1,""),""),"")</f>
        <v/>
      </c>
      <c r="AF232">
        <f>IF(ISNUMBER(AE232),'자료_거시'!$M214,"")</f>
        <v/>
      </c>
      <c r="AG232">
        <f>IF(ISNUMBER(AF232),IF(AF232&gt;$L$9,AE232,""),"")</f>
        <v/>
      </c>
    </row>
    <row r="233">
      <c r="P233">
        <f>IF(AND(ISNUMBER('자료_거시'!$A215),ISNUMBER('자료_거시'!$B215)),'자료_거시'!$B215,"")</f>
        <v/>
      </c>
      <c r="Q233">
        <f>IF(ISNUMBER(P233),'자료_거시'!$A215,"")</f>
        <v/>
      </c>
      <c r="R233">
        <f>IF(ISNUMBER(Q233),IF(Q233&gt;$L$5,P233,""),"")</f>
        <v/>
      </c>
      <c r="S233">
        <f>IF(ISNUMBER('자료_거시'!$E215),'자료_거시'!$E215,S232)</f>
        <v/>
      </c>
      <c r="T233">
        <f>IF(AND(ISNUMBER('자료_거시'!$D215),ISNUMBER('자료_거시'!$E215)),IFERROR('자료_거시'!$E215-INDEX($S$21:$S$4020,MATCH(EDATE('자료_거시'!$D215,-'설정'!$B$17),'자료_거시'!$D$3:INDEX('자료_거시'!$D$3:$D$4002,$K$6),1)),""),"")</f>
        <v/>
      </c>
      <c r="U233">
        <f>IF(ISNUMBER(T233),'자료_거시'!$D215,"")</f>
        <v/>
      </c>
      <c r="V233">
        <f>IF(ISNUMBER(U233),IF(U233&gt;$L$6,T233,""),"")</f>
        <v/>
      </c>
      <c r="W233">
        <f>IF(AND(ISNUMBER('자료_거시'!$G215),ISNUMBER('자료_거시'!$H215)),'자료_거시'!$H215,"")</f>
        <v/>
      </c>
      <c r="X233">
        <f>IF(ISNUMBER(W233),'자료_거시'!$G215,"")</f>
        <v/>
      </c>
      <c r="Y233">
        <f>IF(ISNUMBER(X233),IF(X233&gt;$L$7,W233,""),"")</f>
        <v/>
      </c>
      <c r="Z233">
        <f>IF(ISNUMBER('자료_거시'!$K215),'자료_거시'!$K215,Z232)</f>
        <v/>
      </c>
      <c r="AA233">
        <f>IF(AND(ISNUMBER('자료_거시'!$J215),ISNUMBER('자료_거시'!$K215)),IFERROR('자료_거시'!$K215/INDEX($Z$21:$Z$4020,MATCH(EDATE('자료_거시'!$J215,-'설정'!$B$17),'자료_거시'!$J$3:INDEX('자료_거시'!$J$3:$J$4002,$K$8),1))-1,""),"")</f>
        <v/>
      </c>
      <c r="AB233">
        <f>IF(ISNUMBER(AA233),'자료_거시'!$J215,"")</f>
        <v/>
      </c>
      <c r="AC233">
        <f>IF(ISNUMBER(AB233),IF(AB233&gt;$L$8,AA233,""),"")</f>
        <v/>
      </c>
      <c r="AD233">
        <f>IF(AND(ISNUMBER('자료_거시'!$M215),ISNUMBER('자료_거시'!$N215)),1,0)</f>
        <v/>
      </c>
      <c r="AE233">
        <f>IF(AND(ISNUMBER('자료_거시'!$M215),ISNUMBER('자료_거시'!$N215)),IF(AND(SUMIFS($AD$21:$AD$620,'자료_거시'!$M$3:$M$602,"&gt;"&amp;EDATE('자료_거시'!$M215,-'설정'!$B$17),'자료_거시'!$M$3:$M$602,"&lt;="&amp;'자료_거시'!$M215)=3,SUMIFS($AD$21:$AD$620,'자료_거시'!$M$3:$M$602,"&gt;"&amp;EDATE('자료_거시'!$M215,-12-'설정'!$B$17),'자료_거시'!$M$3:$M$602,"&lt;="&amp;EDATE('자료_거시'!$M215,-12))=3),IFERROR(SUMIFS('자료_거시'!$N$3:$N$602,'자료_거시'!$M$3:$M$602,"&gt;"&amp;EDATE('자료_거시'!$M215,-'설정'!$B$17),'자료_거시'!$M$3:$M$602,"&lt;="&amp;'자료_거시'!$M215)/SUMIFS('자료_거시'!$N$3:$N$602,'자료_거시'!$M$3:$M$602,"&gt;"&amp;EDATE('자료_거시'!$M215,-12-'설정'!$B$17),'자료_거시'!$M$3:$M$602,"&lt;="&amp;EDATE('자료_거시'!$M215,-12))-1,""),""),"")</f>
        <v/>
      </c>
      <c r="AF233">
        <f>IF(ISNUMBER(AE233),'자료_거시'!$M215,"")</f>
        <v/>
      </c>
      <c r="AG233">
        <f>IF(ISNUMBER(AF233),IF(AF233&gt;$L$9,AE233,""),"")</f>
        <v/>
      </c>
    </row>
    <row r="234">
      <c r="P234">
        <f>IF(AND(ISNUMBER('자료_거시'!$A216),ISNUMBER('자료_거시'!$B216)),'자료_거시'!$B216,"")</f>
        <v/>
      </c>
      <c r="Q234">
        <f>IF(ISNUMBER(P234),'자료_거시'!$A216,"")</f>
        <v/>
      </c>
      <c r="R234">
        <f>IF(ISNUMBER(Q234),IF(Q234&gt;$L$5,P234,""),"")</f>
        <v/>
      </c>
      <c r="S234">
        <f>IF(ISNUMBER('자료_거시'!$E216),'자료_거시'!$E216,S233)</f>
        <v/>
      </c>
      <c r="T234">
        <f>IF(AND(ISNUMBER('자료_거시'!$D216),ISNUMBER('자료_거시'!$E216)),IFERROR('자료_거시'!$E216-INDEX($S$21:$S$4020,MATCH(EDATE('자료_거시'!$D216,-'설정'!$B$17),'자료_거시'!$D$3:INDEX('자료_거시'!$D$3:$D$4002,$K$6),1)),""),"")</f>
        <v/>
      </c>
      <c r="U234">
        <f>IF(ISNUMBER(T234),'자료_거시'!$D216,"")</f>
        <v/>
      </c>
      <c r="V234">
        <f>IF(ISNUMBER(U234),IF(U234&gt;$L$6,T234,""),"")</f>
        <v/>
      </c>
      <c r="W234">
        <f>IF(AND(ISNUMBER('자료_거시'!$G216),ISNUMBER('자료_거시'!$H216)),'자료_거시'!$H216,"")</f>
        <v/>
      </c>
      <c r="X234">
        <f>IF(ISNUMBER(W234),'자료_거시'!$G216,"")</f>
        <v/>
      </c>
      <c r="Y234">
        <f>IF(ISNUMBER(X234),IF(X234&gt;$L$7,W234,""),"")</f>
        <v/>
      </c>
      <c r="Z234">
        <f>IF(ISNUMBER('자료_거시'!$K216),'자료_거시'!$K216,Z233)</f>
        <v/>
      </c>
      <c r="AA234">
        <f>IF(AND(ISNUMBER('자료_거시'!$J216),ISNUMBER('자료_거시'!$K216)),IFERROR('자료_거시'!$K216/INDEX($Z$21:$Z$4020,MATCH(EDATE('자료_거시'!$J216,-'설정'!$B$17),'자료_거시'!$J$3:INDEX('자료_거시'!$J$3:$J$4002,$K$8),1))-1,""),"")</f>
        <v/>
      </c>
      <c r="AB234">
        <f>IF(ISNUMBER(AA234),'자료_거시'!$J216,"")</f>
        <v/>
      </c>
      <c r="AC234">
        <f>IF(ISNUMBER(AB234),IF(AB234&gt;$L$8,AA234,""),"")</f>
        <v/>
      </c>
      <c r="AD234">
        <f>IF(AND(ISNUMBER('자료_거시'!$M216),ISNUMBER('자료_거시'!$N216)),1,0)</f>
        <v/>
      </c>
      <c r="AE234">
        <f>IF(AND(ISNUMBER('자료_거시'!$M216),ISNUMBER('자료_거시'!$N216)),IF(AND(SUMIFS($AD$21:$AD$620,'자료_거시'!$M$3:$M$602,"&gt;"&amp;EDATE('자료_거시'!$M216,-'설정'!$B$17),'자료_거시'!$M$3:$M$602,"&lt;="&amp;'자료_거시'!$M216)=3,SUMIFS($AD$21:$AD$620,'자료_거시'!$M$3:$M$602,"&gt;"&amp;EDATE('자료_거시'!$M216,-12-'설정'!$B$17),'자료_거시'!$M$3:$M$602,"&lt;="&amp;EDATE('자료_거시'!$M216,-12))=3),IFERROR(SUMIFS('자료_거시'!$N$3:$N$602,'자료_거시'!$M$3:$M$602,"&gt;"&amp;EDATE('자료_거시'!$M216,-'설정'!$B$17),'자료_거시'!$M$3:$M$602,"&lt;="&amp;'자료_거시'!$M216)/SUMIFS('자료_거시'!$N$3:$N$602,'자료_거시'!$M$3:$M$602,"&gt;"&amp;EDATE('자료_거시'!$M216,-12-'설정'!$B$17),'자료_거시'!$M$3:$M$602,"&lt;="&amp;EDATE('자료_거시'!$M216,-12))-1,""),""),"")</f>
        <v/>
      </c>
      <c r="AF234">
        <f>IF(ISNUMBER(AE234),'자료_거시'!$M216,"")</f>
        <v/>
      </c>
      <c r="AG234">
        <f>IF(ISNUMBER(AF234),IF(AF234&gt;$L$9,AE234,""),"")</f>
        <v/>
      </c>
    </row>
    <row r="235">
      <c r="P235">
        <f>IF(AND(ISNUMBER('자료_거시'!$A217),ISNUMBER('자료_거시'!$B217)),'자료_거시'!$B217,"")</f>
        <v/>
      </c>
      <c r="Q235">
        <f>IF(ISNUMBER(P235),'자료_거시'!$A217,"")</f>
        <v/>
      </c>
      <c r="R235">
        <f>IF(ISNUMBER(Q235),IF(Q235&gt;$L$5,P235,""),"")</f>
        <v/>
      </c>
      <c r="S235">
        <f>IF(ISNUMBER('자료_거시'!$E217),'자료_거시'!$E217,S234)</f>
        <v/>
      </c>
      <c r="T235">
        <f>IF(AND(ISNUMBER('자료_거시'!$D217),ISNUMBER('자료_거시'!$E217)),IFERROR('자료_거시'!$E217-INDEX($S$21:$S$4020,MATCH(EDATE('자료_거시'!$D217,-'설정'!$B$17),'자료_거시'!$D$3:INDEX('자료_거시'!$D$3:$D$4002,$K$6),1)),""),"")</f>
        <v/>
      </c>
      <c r="U235">
        <f>IF(ISNUMBER(T235),'자료_거시'!$D217,"")</f>
        <v/>
      </c>
      <c r="V235">
        <f>IF(ISNUMBER(U235),IF(U235&gt;$L$6,T235,""),"")</f>
        <v/>
      </c>
      <c r="W235">
        <f>IF(AND(ISNUMBER('자료_거시'!$G217),ISNUMBER('자료_거시'!$H217)),'자료_거시'!$H217,"")</f>
        <v/>
      </c>
      <c r="X235">
        <f>IF(ISNUMBER(W235),'자료_거시'!$G217,"")</f>
        <v/>
      </c>
      <c r="Y235">
        <f>IF(ISNUMBER(X235),IF(X235&gt;$L$7,W235,""),"")</f>
        <v/>
      </c>
      <c r="Z235">
        <f>IF(ISNUMBER('자료_거시'!$K217),'자료_거시'!$K217,Z234)</f>
        <v/>
      </c>
      <c r="AA235">
        <f>IF(AND(ISNUMBER('자료_거시'!$J217),ISNUMBER('자료_거시'!$K217)),IFERROR('자료_거시'!$K217/INDEX($Z$21:$Z$4020,MATCH(EDATE('자료_거시'!$J217,-'설정'!$B$17),'자료_거시'!$J$3:INDEX('자료_거시'!$J$3:$J$4002,$K$8),1))-1,""),"")</f>
        <v/>
      </c>
      <c r="AB235">
        <f>IF(ISNUMBER(AA235),'자료_거시'!$J217,"")</f>
        <v/>
      </c>
      <c r="AC235">
        <f>IF(ISNUMBER(AB235),IF(AB235&gt;$L$8,AA235,""),"")</f>
        <v/>
      </c>
      <c r="AD235">
        <f>IF(AND(ISNUMBER('자료_거시'!$M217),ISNUMBER('자료_거시'!$N217)),1,0)</f>
        <v/>
      </c>
      <c r="AE235">
        <f>IF(AND(ISNUMBER('자료_거시'!$M217),ISNUMBER('자료_거시'!$N217)),IF(AND(SUMIFS($AD$21:$AD$620,'자료_거시'!$M$3:$M$602,"&gt;"&amp;EDATE('자료_거시'!$M217,-'설정'!$B$17),'자료_거시'!$M$3:$M$602,"&lt;="&amp;'자료_거시'!$M217)=3,SUMIFS($AD$21:$AD$620,'자료_거시'!$M$3:$M$602,"&gt;"&amp;EDATE('자료_거시'!$M217,-12-'설정'!$B$17),'자료_거시'!$M$3:$M$602,"&lt;="&amp;EDATE('자료_거시'!$M217,-12))=3),IFERROR(SUMIFS('자료_거시'!$N$3:$N$602,'자료_거시'!$M$3:$M$602,"&gt;"&amp;EDATE('자료_거시'!$M217,-'설정'!$B$17),'자료_거시'!$M$3:$M$602,"&lt;="&amp;'자료_거시'!$M217)/SUMIFS('자료_거시'!$N$3:$N$602,'자료_거시'!$M$3:$M$602,"&gt;"&amp;EDATE('자료_거시'!$M217,-12-'설정'!$B$17),'자료_거시'!$M$3:$M$602,"&lt;="&amp;EDATE('자료_거시'!$M217,-12))-1,""),""),"")</f>
        <v/>
      </c>
      <c r="AF235">
        <f>IF(ISNUMBER(AE235),'자료_거시'!$M217,"")</f>
        <v/>
      </c>
      <c r="AG235">
        <f>IF(ISNUMBER(AF235),IF(AF235&gt;$L$9,AE235,""),"")</f>
        <v/>
      </c>
    </row>
    <row r="236">
      <c r="P236">
        <f>IF(AND(ISNUMBER('자료_거시'!$A218),ISNUMBER('자료_거시'!$B218)),'자료_거시'!$B218,"")</f>
        <v/>
      </c>
      <c r="Q236">
        <f>IF(ISNUMBER(P236),'자료_거시'!$A218,"")</f>
        <v/>
      </c>
      <c r="R236">
        <f>IF(ISNUMBER(Q236),IF(Q236&gt;$L$5,P236,""),"")</f>
        <v/>
      </c>
      <c r="S236">
        <f>IF(ISNUMBER('자료_거시'!$E218),'자료_거시'!$E218,S235)</f>
        <v/>
      </c>
      <c r="T236">
        <f>IF(AND(ISNUMBER('자료_거시'!$D218),ISNUMBER('자료_거시'!$E218)),IFERROR('자료_거시'!$E218-INDEX($S$21:$S$4020,MATCH(EDATE('자료_거시'!$D218,-'설정'!$B$17),'자료_거시'!$D$3:INDEX('자료_거시'!$D$3:$D$4002,$K$6),1)),""),"")</f>
        <v/>
      </c>
      <c r="U236">
        <f>IF(ISNUMBER(T236),'자료_거시'!$D218,"")</f>
        <v/>
      </c>
      <c r="V236">
        <f>IF(ISNUMBER(U236),IF(U236&gt;$L$6,T236,""),"")</f>
        <v/>
      </c>
      <c r="W236">
        <f>IF(AND(ISNUMBER('자료_거시'!$G218),ISNUMBER('자료_거시'!$H218)),'자료_거시'!$H218,"")</f>
        <v/>
      </c>
      <c r="X236">
        <f>IF(ISNUMBER(W236),'자료_거시'!$G218,"")</f>
        <v/>
      </c>
      <c r="Y236">
        <f>IF(ISNUMBER(X236),IF(X236&gt;$L$7,W236,""),"")</f>
        <v/>
      </c>
      <c r="Z236">
        <f>IF(ISNUMBER('자료_거시'!$K218),'자료_거시'!$K218,Z235)</f>
        <v/>
      </c>
      <c r="AA236">
        <f>IF(AND(ISNUMBER('자료_거시'!$J218),ISNUMBER('자료_거시'!$K218)),IFERROR('자료_거시'!$K218/INDEX($Z$21:$Z$4020,MATCH(EDATE('자료_거시'!$J218,-'설정'!$B$17),'자료_거시'!$J$3:INDEX('자료_거시'!$J$3:$J$4002,$K$8),1))-1,""),"")</f>
        <v/>
      </c>
      <c r="AB236">
        <f>IF(ISNUMBER(AA236),'자료_거시'!$J218,"")</f>
        <v/>
      </c>
      <c r="AC236">
        <f>IF(ISNUMBER(AB236),IF(AB236&gt;$L$8,AA236,""),"")</f>
        <v/>
      </c>
      <c r="AD236">
        <f>IF(AND(ISNUMBER('자료_거시'!$M218),ISNUMBER('자료_거시'!$N218)),1,0)</f>
        <v/>
      </c>
      <c r="AE236">
        <f>IF(AND(ISNUMBER('자료_거시'!$M218),ISNUMBER('자료_거시'!$N218)),IF(AND(SUMIFS($AD$21:$AD$620,'자료_거시'!$M$3:$M$602,"&gt;"&amp;EDATE('자료_거시'!$M218,-'설정'!$B$17),'자료_거시'!$M$3:$M$602,"&lt;="&amp;'자료_거시'!$M218)=3,SUMIFS($AD$21:$AD$620,'자료_거시'!$M$3:$M$602,"&gt;"&amp;EDATE('자료_거시'!$M218,-12-'설정'!$B$17),'자료_거시'!$M$3:$M$602,"&lt;="&amp;EDATE('자료_거시'!$M218,-12))=3),IFERROR(SUMIFS('자료_거시'!$N$3:$N$602,'자료_거시'!$M$3:$M$602,"&gt;"&amp;EDATE('자료_거시'!$M218,-'설정'!$B$17),'자료_거시'!$M$3:$M$602,"&lt;="&amp;'자료_거시'!$M218)/SUMIFS('자료_거시'!$N$3:$N$602,'자료_거시'!$M$3:$M$602,"&gt;"&amp;EDATE('자료_거시'!$M218,-12-'설정'!$B$17),'자료_거시'!$M$3:$M$602,"&lt;="&amp;EDATE('자료_거시'!$M218,-12))-1,""),""),"")</f>
        <v/>
      </c>
      <c r="AF236">
        <f>IF(ISNUMBER(AE236),'자료_거시'!$M218,"")</f>
        <v/>
      </c>
      <c r="AG236">
        <f>IF(ISNUMBER(AF236),IF(AF236&gt;$L$9,AE236,""),"")</f>
        <v/>
      </c>
    </row>
    <row r="237">
      <c r="P237">
        <f>IF(AND(ISNUMBER('자료_거시'!$A219),ISNUMBER('자료_거시'!$B219)),'자료_거시'!$B219,"")</f>
        <v/>
      </c>
      <c r="Q237">
        <f>IF(ISNUMBER(P237),'자료_거시'!$A219,"")</f>
        <v/>
      </c>
      <c r="R237">
        <f>IF(ISNUMBER(Q237),IF(Q237&gt;$L$5,P237,""),"")</f>
        <v/>
      </c>
      <c r="S237">
        <f>IF(ISNUMBER('자료_거시'!$E219),'자료_거시'!$E219,S236)</f>
        <v/>
      </c>
      <c r="T237">
        <f>IF(AND(ISNUMBER('자료_거시'!$D219),ISNUMBER('자료_거시'!$E219)),IFERROR('자료_거시'!$E219-INDEX($S$21:$S$4020,MATCH(EDATE('자료_거시'!$D219,-'설정'!$B$17),'자료_거시'!$D$3:INDEX('자료_거시'!$D$3:$D$4002,$K$6),1)),""),"")</f>
        <v/>
      </c>
      <c r="U237">
        <f>IF(ISNUMBER(T237),'자료_거시'!$D219,"")</f>
        <v/>
      </c>
      <c r="V237">
        <f>IF(ISNUMBER(U237),IF(U237&gt;$L$6,T237,""),"")</f>
        <v/>
      </c>
      <c r="W237">
        <f>IF(AND(ISNUMBER('자료_거시'!$G219),ISNUMBER('자료_거시'!$H219)),'자료_거시'!$H219,"")</f>
        <v/>
      </c>
      <c r="X237">
        <f>IF(ISNUMBER(W237),'자료_거시'!$G219,"")</f>
        <v/>
      </c>
      <c r="Y237">
        <f>IF(ISNUMBER(X237),IF(X237&gt;$L$7,W237,""),"")</f>
        <v/>
      </c>
      <c r="Z237">
        <f>IF(ISNUMBER('자료_거시'!$K219),'자료_거시'!$K219,Z236)</f>
        <v/>
      </c>
      <c r="AA237">
        <f>IF(AND(ISNUMBER('자료_거시'!$J219),ISNUMBER('자료_거시'!$K219)),IFERROR('자료_거시'!$K219/INDEX($Z$21:$Z$4020,MATCH(EDATE('자료_거시'!$J219,-'설정'!$B$17),'자료_거시'!$J$3:INDEX('자료_거시'!$J$3:$J$4002,$K$8),1))-1,""),"")</f>
        <v/>
      </c>
      <c r="AB237">
        <f>IF(ISNUMBER(AA237),'자료_거시'!$J219,"")</f>
        <v/>
      </c>
      <c r="AC237">
        <f>IF(ISNUMBER(AB237),IF(AB237&gt;$L$8,AA237,""),"")</f>
        <v/>
      </c>
      <c r="AD237">
        <f>IF(AND(ISNUMBER('자료_거시'!$M219),ISNUMBER('자료_거시'!$N219)),1,0)</f>
        <v/>
      </c>
      <c r="AE237">
        <f>IF(AND(ISNUMBER('자료_거시'!$M219),ISNUMBER('자료_거시'!$N219)),IF(AND(SUMIFS($AD$21:$AD$620,'자료_거시'!$M$3:$M$602,"&gt;"&amp;EDATE('자료_거시'!$M219,-'설정'!$B$17),'자료_거시'!$M$3:$M$602,"&lt;="&amp;'자료_거시'!$M219)=3,SUMIFS($AD$21:$AD$620,'자료_거시'!$M$3:$M$602,"&gt;"&amp;EDATE('자료_거시'!$M219,-12-'설정'!$B$17),'자료_거시'!$M$3:$M$602,"&lt;="&amp;EDATE('자료_거시'!$M219,-12))=3),IFERROR(SUMIFS('자료_거시'!$N$3:$N$602,'자료_거시'!$M$3:$M$602,"&gt;"&amp;EDATE('자료_거시'!$M219,-'설정'!$B$17),'자료_거시'!$M$3:$M$602,"&lt;="&amp;'자료_거시'!$M219)/SUMIFS('자료_거시'!$N$3:$N$602,'자료_거시'!$M$3:$M$602,"&gt;"&amp;EDATE('자료_거시'!$M219,-12-'설정'!$B$17),'자료_거시'!$M$3:$M$602,"&lt;="&amp;EDATE('자료_거시'!$M219,-12))-1,""),""),"")</f>
        <v/>
      </c>
      <c r="AF237">
        <f>IF(ISNUMBER(AE237),'자료_거시'!$M219,"")</f>
        <v/>
      </c>
      <c r="AG237">
        <f>IF(ISNUMBER(AF237),IF(AF237&gt;$L$9,AE237,""),"")</f>
        <v/>
      </c>
    </row>
    <row r="238">
      <c r="P238">
        <f>IF(AND(ISNUMBER('자료_거시'!$A220),ISNUMBER('자료_거시'!$B220)),'자료_거시'!$B220,"")</f>
        <v/>
      </c>
      <c r="Q238">
        <f>IF(ISNUMBER(P238),'자료_거시'!$A220,"")</f>
        <v/>
      </c>
      <c r="R238">
        <f>IF(ISNUMBER(Q238),IF(Q238&gt;$L$5,P238,""),"")</f>
        <v/>
      </c>
      <c r="S238">
        <f>IF(ISNUMBER('자료_거시'!$E220),'자료_거시'!$E220,S237)</f>
        <v/>
      </c>
      <c r="T238">
        <f>IF(AND(ISNUMBER('자료_거시'!$D220),ISNUMBER('자료_거시'!$E220)),IFERROR('자료_거시'!$E220-INDEX($S$21:$S$4020,MATCH(EDATE('자료_거시'!$D220,-'설정'!$B$17),'자료_거시'!$D$3:INDEX('자료_거시'!$D$3:$D$4002,$K$6),1)),""),"")</f>
        <v/>
      </c>
      <c r="U238">
        <f>IF(ISNUMBER(T238),'자료_거시'!$D220,"")</f>
        <v/>
      </c>
      <c r="V238">
        <f>IF(ISNUMBER(U238),IF(U238&gt;$L$6,T238,""),"")</f>
        <v/>
      </c>
      <c r="W238">
        <f>IF(AND(ISNUMBER('자료_거시'!$G220),ISNUMBER('자료_거시'!$H220)),'자료_거시'!$H220,"")</f>
        <v/>
      </c>
      <c r="X238">
        <f>IF(ISNUMBER(W238),'자료_거시'!$G220,"")</f>
        <v/>
      </c>
      <c r="Y238">
        <f>IF(ISNUMBER(X238),IF(X238&gt;$L$7,W238,""),"")</f>
        <v/>
      </c>
      <c r="Z238">
        <f>IF(ISNUMBER('자료_거시'!$K220),'자료_거시'!$K220,Z237)</f>
        <v/>
      </c>
      <c r="AA238">
        <f>IF(AND(ISNUMBER('자료_거시'!$J220),ISNUMBER('자료_거시'!$K220)),IFERROR('자료_거시'!$K220/INDEX($Z$21:$Z$4020,MATCH(EDATE('자료_거시'!$J220,-'설정'!$B$17),'자료_거시'!$J$3:INDEX('자료_거시'!$J$3:$J$4002,$K$8),1))-1,""),"")</f>
        <v/>
      </c>
      <c r="AB238">
        <f>IF(ISNUMBER(AA238),'자료_거시'!$J220,"")</f>
        <v/>
      </c>
      <c r="AC238">
        <f>IF(ISNUMBER(AB238),IF(AB238&gt;$L$8,AA238,""),"")</f>
        <v/>
      </c>
      <c r="AD238">
        <f>IF(AND(ISNUMBER('자료_거시'!$M220),ISNUMBER('자료_거시'!$N220)),1,0)</f>
        <v/>
      </c>
      <c r="AE238">
        <f>IF(AND(ISNUMBER('자료_거시'!$M220),ISNUMBER('자료_거시'!$N220)),IF(AND(SUMIFS($AD$21:$AD$620,'자료_거시'!$M$3:$M$602,"&gt;"&amp;EDATE('자료_거시'!$M220,-'설정'!$B$17),'자료_거시'!$M$3:$M$602,"&lt;="&amp;'자료_거시'!$M220)=3,SUMIFS($AD$21:$AD$620,'자료_거시'!$M$3:$M$602,"&gt;"&amp;EDATE('자료_거시'!$M220,-12-'설정'!$B$17),'자료_거시'!$M$3:$M$602,"&lt;="&amp;EDATE('자료_거시'!$M220,-12))=3),IFERROR(SUMIFS('자료_거시'!$N$3:$N$602,'자료_거시'!$M$3:$M$602,"&gt;"&amp;EDATE('자료_거시'!$M220,-'설정'!$B$17),'자료_거시'!$M$3:$M$602,"&lt;="&amp;'자료_거시'!$M220)/SUMIFS('자료_거시'!$N$3:$N$602,'자료_거시'!$M$3:$M$602,"&gt;"&amp;EDATE('자료_거시'!$M220,-12-'설정'!$B$17),'자료_거시'!$M$3:$M$602,"&lt;="&amp;EDATE('자료_거시'!$M220,-12))-1,""),""),"")</f>
        <v/>
      </c>
      <c r="AF238">
        <f>IF(ISNUMBER(AE238),'자료_거시'!$M220,"")</f>
        <v/>
      </c>
      <c r="AG238">
        <f>IF(ISNUMBER(AF238),IF(AF238&gt;$L$9,AE238,""),"")</f>
        <v/>
      </c>
    </row>
    <row r="239">
      <c r="P239">
        <f>IF(AND(ISNUMBER('자료_거시'!$A221),ISNUMBER('자료_거시'!$B221)),'자료_거시'!$B221,"")</f>
        <v/>
      </c>
      <c r="Q239">
        <f>IF(ISNUMBER(P239),'자료_거시'!$A221,"")</f>
        <v/>
      </c>
      <c r="R239">
        <f>IF(ISNUMBER(Q239),IF(Q239&gt;$L$5,P239,""),"")</f>
        <v/>
      </c>
      <c r="S239">
        <f>IF(ISNUMBER('자료_거시'!$E221),'자료_거시'!$E221,S238)</f>
        <v/>
      </c>
      <c r="T239">
        <f>IF(AND(ISNUMBER('자료_거시'!$D221),ISNUMBER('자료_거시'!$E221)),IFERROR('자료_거시'!$E221-INDEX($S$21:$S$4020,MATCH(EDATE('자료_거시'!$D221,-'설정'!$B$17),'자료_거시'!$D$3:INDEX('자료_거시'!$D$3:$D$4002,$K$6),1)),""),"")</f>
        <v/>
      </c>
      <c r="U239">
        <f>IF(ISNUMBER(T239),'자료_거시'!$D221,"")</f>
        <v/>
      </c>
      <c r="V239">
        <f>IF(ISNUMBER(U239),IF(U239&gt;$L$6,T239,""),"")</f>
        <v/>
      </c>
      <c r="W239">
        <f>IF(AND(ISNUMBER('자료_거시'!$G221),ISNUMBER('자료_거시'!$H221)),'자료_거시'!$H221,"")</f>
        <v/>
      </c>
      <c r="X239">
        <f>IF(ISNUMBER(W239),'자료_거시'!$G221,"")</f>
        <v/>
      </c>
      <c r="Y239">
        <f>IF(ISNUMBER(X239),IF(X239&gt;$L$7,W239,""),"")</f>
        <v/>
      </c>
      <c r="Z239">
        <f>IF(ISNUMBER('자료_거시'!$K221),'자료_거시'!$K221,Z238)</f>
        <v/>
      </c>
      <c r="AA239">
        <f>IF(AND(ISNUMBER('자료_거시'!$J221),ISNUMBER('자료_거시'!$K221)),IFERROR('자료_거시'!$K221/INDEX($Z$21:$Z$4020,MATCH(EDATE('자료_거시'!$J221,-'설정'!$B$17),'자료_거시'!$J$3:INDEX('자료_거시'!$J$3:$J$4002,$K$8),1))-1,""),"")</f>
        <v/>
      </c>
      <c r="AB239">
        <f>IF(ISNUMBER(AA239),'자료_거시'!$J221,"")</f>
        <v/>
      </c>
      <c r="AC239">
        <f>IF(ISNUMBER(AB239),IF(AB239&gt;$L$8,AA239,""),"")</f>
        <v/>
      </c>
      <c r="AD239">
        <f>IF(AND(ISNUMBER('자료_거시'!$M221),ISNUMBER('자료_거시'!$N221)),1,0)</f>
        <v/>
      </c>
      <c r="AE239">
        <f>IF(AND(ISNUMBER('자료_거시'!$M221),ISNUMBER('자료_거시'!$N221)),IF(AND(SUMIFS($AD$21:$AD$620,'자료_거시'!$M$3:$M$602,"&gt;"&amp;EDATE('자료_거시'!$M221,-'설정'!$B$17),'자료_거시'!$M$3:$M$602,"&lt;="&amp;'자료_거시'!$M221)=3,SUMIFS($AD$21:$AD$620,'자료_거시'!$M$3:$M$602,"&gt;"&amp;EDATE('자료_거시'!$M221,-12-'설정'!$B$17),'자료_거시'!$M$3:$M$602,"&lt;="&amp;EDATE('자료_거시'!$M221,-12))=3),IFERROR(SUMIFS('자료_거시'!$N$3:$N$602,'자료_거시'!$M$3:$M$602,"&gt;"&amp;EDATE('자료_거시'!$M221,-'설정'!$B$17),'자료_거시'!$M$3:$M$602,"&lt;="&amp;'자료_거시'!$M221)/SUMIFS('자료_거시'!$N$3:$N$602,'자료_거시'!$M$3:$M$602,"&gt;"&amp;EDATE('자료_거시'!$M221,-12-'설정'!$B$17),'자료_거시'!$M$3:$M$602,"&lt;="&amp;EDATE('자료_거시'!$M221,-12))-1,""),""),"")</f>
        <v/>
      </c>
      <c r="AF239">
        <f>IF(ISNUMBER(AE239),'자료_거시'!$M221,"")</f>
        <v/>
      </c>
      <c r="AG239">
        <f>IF(ISNUMBER(AF239),IF(AF239&gt;$L$9,AE239,""),"")</f>
        <v/>
      </c>
    </row>
    <row r="240">
      <c r="P240">
        <f>IF(AND(ISNUMBER('자료_거시'!$A222),ISNUMBER('자료_거시'!$B222)),'자료_거시'!$B222,"")</f>
        <v/>
      </c>
      <c r="Q240">
        <f>IF(ISNUMBER(P240),'자료_거시'!$A222,"")</f>
        <v/>
      </c>
      <c r="R240">
        <f>IF(ISNUMBER(Q240),IF(Q240&gt;$L$5,P240,""),"")</f>
        <v/>
      </c>
      <c r="S240">
        <f>IF(ISNUMBER('자료_거시'!$E222),'자료_거시'!$E222,S239)</f>
        <v/>
      </c>
      <c r="T240">
        <f>IF(AND(ISNUMBER('자료_거시'!$D222),ISNUMBER('자료_거시'!$E222)),IFERROR('자료_거시'!$E222-INDEX($S$21:$S$4020,MATCH(EDATE('자료_거시'!$D222,-'설정'!$B$17),'자료_거시'!$D$3:INDEX('자료_거시'!$D$3:$D$4002,$K$6),1)),""),"")</f>
        <v/>
      </c>
      <c r="U240">
        <f>IF(ISNUMBER(T240),'자료_거시'!$D222,"")</f>
        <v/>
      </c>
      <c r="V240">
        <f>IF(ISNUMBER(U240),IF(U240&gt;$L$6,T240,""),"")</f>
        <v/>
      </c>
      <c r="W240">
        <f>IF(AND(ISNUMBER('자료_거시'!$G222),ISNUMBER('자료_거시'!$H222)),'자료_거시'!$H222,"")</f>
        <v/>
      </c>
      <c r="X240">
        <f>IF(ISNUMBER(W240),'자료_거시'!$G222,"")</f>
        <v/>
      </c>
      <c r="Y240">
        <f>IF(ISNUMBER(X240),IF(X240&gt;$L$7,W240,""),"")</f>
        <v/>
      </c>
      <c r="Z240">
        <f>IF(ISNUMBER('자료_거시'!$K222),'자료_거시'!$K222,Z239)</f>
        <v/>
      </c>
      <c r="AA240">
        <f>IF(AND(ISNUMBER('자료_거시'!$J222),ISNUMBER('자료_거시'!$K222)),IFERROR('자료_거시'!$K222/INDEX($Z$21:$Z$4020,MATCH(EDATE('자료_거시'!$J222,-'설정'!$B$17),'자료_거시'!$J$3:INDEX('자료_거시'!$J$3:$J$4002,$K$8),1))-1,""),"")</f>
        <v/>
      </c>
      <c r="AB240">
        <f>IF(ISNUMBER(AA240),'자료_거시'!$J222,"")</f>
        <v/>
      </c>
      <c r="AC240">
        <f>IF(ISNUMBER(AB240),IF(AB240&gt;$L$8,AA240,""),"")</f>
        <v/>
      </c>
      <c r="AD240">
        <f>IF(AND(ISNUMBER('자료_거시'!$M222),ISNUMBER('자료_거시'!$N222)),1,0)</f>
        <v/>
      </c>
      <c r="AE240">
        <f>IF(AND(ISNUMBER('자료_거시'!$M222),ISNUMBER('자료_거시'!$N222)),IF(AND(SUMIFS($AD$21:$AD$620,'자료_거시'!$M$3:$M$602,"&gt;"&amp;EDATE('자료_거시'!$M222,-'설정'!$B$17),'자료_거시'!$M$3:$M$602,"&lt;="&amp;'자료_거시'!$M222)=3,SUMIFS($AD$21:$AD$620,'자료_거시'!$M$3:$M$602,"&gt;"&amp;EDATE('자료_거시'!$M222,-12-'설정'!$B$17),'자료_거시'!$M$3:$M$602,"&lt;="&amp;EDATE('자료_거시'!$M222,-12))=3),IFERROR(SUMIFS('자료_거시'!$N$3:$N$602,'자료_거시'!$M$3:$M$602,"&gt;"&amp;EDATE('자료_거시'!$M222,-'설정'!$B$17),'자료_거시'!$M$3:$M$602,"&lt;="&amp;'자료_거시'!$M222)/SUMIFS('자료_거시'!$N$3:$N$602,'자료_거시'!$M$3:$M$602,"&gt;"&amp;EDATE('자료_거시'!$M222,-12-'설정'!$B$17),'자료_거시'!$M$3:$M$602,"&lt;="&amp;EDATE('자료_거시'!$M222,-12))-1,""),""),"")</f>
        <v/>
      </c>
      <c r="AF240">
        <f>IF(ISNUMBER(AE240),'자료_거시'!$M222,"")</f>
        <v/>
      </c>
      <c r="AG240">
        <f>IF(ISNUMBER(AF240),IF(AF240&gt;$L$9,AE240,""),"")</f>
        <v/>
      </c>
    </row>
    <row r="241">
      <c r="P241">
        <f>IF(AND(ISNUMBER('자료_거시'!$A223),ISNUMBER('자료_거시'!$B223)),'자료_거시'!$B223,"")</f>
        <v/>
      </c>
      <c r="Q241">
        <f>IF(ISNUMBER(P241),'자료_거시'!$A223,"")</f>
        <v/>
      </c>
      <c r="R241">
        <f>IF(ISNUMBER(Q241),IF(Q241&gt;$L$5,P241,""),"")</f>
        <v/>
      </c>
      <c r="S241">
        <f>IF(ISNUMBER('자료_거시'!$E223),'자료_거시'!$E223,S240)</f>
        <v/>
      </c>
      <c r="T241">
        <f>IF(AND(ISNUMBER('자료_거시'!$D223),ISNUMBER('자료_거시'!$E223)),IFERROR('자료_거시'!$E223-INDEX($S$21:$S$4020,MATCH(EDATE('자료_거시'!$D223,-'설정'!$B$17),'자료_거시'!$D$3:INDEX('자료_거시'!$D$3:$D$4002,$K$6),1)),""),"")</f>
        <v/>
      </c>
      <c r="U241">
        <f>IF(ISNUMBER(T241),'자료_거시'!$D223,"")</f>
        <v/>
      </c>
      <c r="V241">
        <f>IF(ISNUMBER(U241),IF(U241&gt;$L$6,T241,""),"")</f>
        <v/>
      </c>
      <c r="W241">
        <f>IF(AND(ISNUMBER('자료_거시'!$G223),ISNUMBER('자료_거시'!$H223)),'자료_거시'!$H223,"")</f>
        <v/>
      </c>
      <c r="X241">
        <f>IF(ISNUMBER(W241),'자료_거시'!$G223,"")</f>
        <v/>
      </c>
      <c r="Y241">
        <f>IF(ISNUMBER(X241),IF(X241&gt;$L$7,W241,""),"")</f>
        <v/>
      </c>
      <c r="Z241">
        <f>IF(ISNUMBER('자료_거시'!$K223),'자료_거시'!$K223,Z240)</f>
        <v/>
      </c>
      <c r="AA241">
        <f>IF(AND(ISNUMBER('자료_거시'!$J223),ISNUMBER('자료_거시'!$K223)),IFERROR('자료_거시'!$K223/INDEX($Z$21:$Z$4020,MATCH(EDATE('자료_거시'!$J223,-'설정'!$B$17),'자료_거시'!$J$3:INDEX('자료_거시'!$J$3:$J$4002,$K$8),1))-1,""),"")</f>
        <v/>
      </c>
      <c r="AB241">
        <f>IF(ISNUMBER(AA241),'자료_거시'!$J223,"")</f>
        <v/>
      </c>
      <c r="AC241">
        <f>IF(ISNUMBER(AB241),IF(AB241&gt;$L$8,AA241,""),"")</f>
        <v/>
      </c>
      <c r="AD241">
        <f>IF(AND(ISNUMBER('자료_거시'!$M223),ISNUMBER('자료_거시'!$N223)),1,0)</f>
        <v/>
      </c>
      <c r="AE241">
        <f>IF(AND(ISNUMBER('자료_거시'!$M223),ISNUMBER('자료_거시'!$N223)),IF(AND(SUMIFS($AD$21:$AD$620,'자료_거시'!$M$3:$M$602,"&gt;"&amp;EDATE('자료_거시'!$M223,-'설정'!$B$17),'자료_거시'!$M$3:$M$602,"&lt;="&amp;'자료_거시'!$M223)=3,SUMIFS($AD$21:$AD$620,'자료_거시'!$M$3:$M$602,"&gt;"&amp;EDATE('자료_거시'!$M223,-12-'설정'!$B$17),'자료_거시'!$M$3:$M$602,"&lt;="&amp;EDATE('자료_거시'!$M223,-12))=3),IFERROR(SUMIFS('자료_거시'!$N$3:$N$602,'자료_거시'!$M$3:$M$602,"&gt;"&amp;EDATE('자료_거시'!$M223,-'설정'!$B$17),'자료_거시'!$M$3:$M$602,"&lt;="&amp;'자료_거시'!$M223)/SUMIFS('자료_거시'!$N$3:$N$602,'자료_거시'!$M$3:$M$602,"&gt;"&amp;EDATE('자료_거시'!$M223,-12-'설정'!$B$17),'자료_거시'!$M$3:$M$602,"&lt;="&amp;EDATE('자료_거시'!$M223,-12))-1,""),""),"")</f>
        <v/>
      </c>
      <c r="AF241">
        <f>IF(ISNUMBER(AE241),'자료_거시'!$M223,"")</f>
        <v/>
      </c>
      <c r="AG241">
        <f>IF(ISNUMBER(AF241),IF(AF241&gt;$L$9,AE241,""),"")</f>
        <v/>
      </c>
    </row>
    <row r="242">
      <c r="P242">
        <f>IF(AND(ISNUMBER('자료_거시'!$A224),ISNUMBER('자료_거시'!$B224)),'자료_거시'!$B224,"")</f>
        <v/>
      </c>
      <c r="Q242">
        <f>IF(ISNUMBER(P242),'자료_거시'!$A224,"")</f>
        <v/>
      </c>
      <c r="R242">
        <f>IF(ISNUMBER(Q242),IF(Q242&gt;$L$5,P242,""),"")</f>
        <v/>
      </c>
      <c r="S242">
        <f>IF(ISNUMBER('자료_거시'!$E224),'자료_거시'!$E224,S241)</f>
        <v/>
      </c>
      <c r="T242">
        <f>IF(AND(ISNUMBER('자료_거시'!$D224),ISNUMBER('자료_거시'!$E224)),IFERROR('자료_거시'!$E224-INDEX($S$21:$S$4020,MATCH(EDATE('자료_거시'!$D224,-'설정'!$B$17),'자료_거시'!$D$3:INDEX('자료_거시'!$D$3:$D$4002,$K$6),1)),""),"")</f>
        <v/>
      </c>
      <c r="U242">
        <f>IF(ISNUMBER(T242),'자료_거시'!$D224,"")</f>
        <v/>
      </c>
      <c r="V242">
        <f>IF(ISNUMBER(U242),IF(U242&gt;$L$6,T242,""),"")</f>
        <v/>
      </c>
      <c r="W242">
        <f>IF(AND(ISNUMBER('자료_거시'!$G224),ISNUMBER('자료_거시'!$H224)),'자료_거시'!$H224,"")</f>
        <v/>
      </c>
      <c r="X242">
        <f>IF(ISNUMBER(W242),'자료_거시'!$G224,"")</f>
        <v/>
      </c>
      <c r="Y242">
        <f>IF(ISNUMBER(X242),IF(X242&gt;$L$7,W242,""),"")</f>
        <v/>
      </c>
      <c r="Z242">
        <f>IF(ISNUMBER('자료_거시'!$K224),'자료_거시'!$K224,Z241)</f>
        <v/>
      </c>
      <c r="AA242">
        <f>IF(AND(ISNUMBER('자료_거시'!$J224),ISNUMBER('자료_거시'!$K224)),IFERROR('자료_거시'!$K224/INDEX($Z$21:$Z$4020,MATCH(EDATE('자료_거시'!$J224,-'설정'!$B$17),'자료_거시'!$J$3:INDEX('자료_거시'!$J$3:$J$4002,$K$8),1))-1,""),"")</f>
        <v/>
      </c>
      <c r="AB242">
        <f>IF(ISNUMBER(AA242),'자료_거시'!$J224,"")</f>
        <v/>
      </c>
      <c r="AC242">
        <f>IF(ISNUMBER(AB242),IF(AB242&gt;$L$8,AA242,""),"")</f>
        <v/>
      </c>
      <c r="AD242">
        <f>IF(AND(ISNUMBER('자료_거시'!$M224),ISNUMBER('자료_거시'!$N224)),1,0)</f>
        <v/>
      </c>
      <c r="AE242">
        <f>IF(AND(ISNUMBER('자료_거시'!$M224),ISNUMBER('자료_거시'!$N224)),IF(AND(SUMIFS($AD$21:$AD$620,'자료_거시'!$M$3:$M$602,"&gt;"&amp;EDATE('자료_거시'!$M224,-'설정'!$B$17),'자료_거시'!$M$3:$M$602,"&lt;="&amp;'자료_거시'!$M224)=3,SUMIFS($AD$21:$AD$620,'자료_거시'!$M$3:$M$602,"&gt;"&amp;EDATE('자료_거시'!$M224,-12-'설정'!$B$17),'자료_거시'!$M$3:$M$602,"&lt;="&amp;EDATE('자료_거시'!$M224,-12))=3),IFERROR(SUMIFS('자료_거시'!$N$3:$N$602,'자료_거시'!$M$3:$M$602,"&gt;"&amp;EDATE('자료_거시'!$M224,-'설정'!$B$17),'자료_거시'!$M$3:$M$602,"&lt;="&amp;'자료_거시'!$M224)/SUMIFS('자료_거시'!$N$3:$N$602,'자료_거시'!$M$3:$M$602,"&gt;"&amp;EDATE('자료_거시'!$M224,-12-'설정'!$B$17),'자료_거시'!$M$3:$M$602,"&lt;="&amp;EDATE('자료_거시'!$M224,-12))-1,""),""),"")</f>
        <v/>
      </c>
      <c r="AF242">
        <f>IF(ISNUMBER(AE242),'자료_거시'!$M224,"")</f>
        <v/>
      </c>
      <c r="AG242">
        <f>IF(ISNUMBER(AF242),IF(AF242&gt;$L$9,AE242,""),"")</f>
        <v/>
      </c>
    </row>
    <row r="243">
      <c r="P243">
        <f>IF(AND(ISNUMBER('자료_거시'!$A225),ISNUMBER('자료_거시'!$B225)),'자료_거시'!$B225,"")</f>
        <v/>
      </c>
      <c r="Q243">
        <f>IF(ISNUMBER(P243),'자료_거시'!$A225,"")</f>
        <v/>
      </c>
      <c r="R243">
        <f>IF(ISNUMBER(Q243),IF(Q243&gt;$L$5,P243,""),"")</f>
        <v/>
      </c>
      <c r="S243">
        <f>IF(ISNUMBER('자료_거시'!$E225),'자료_거시'!$E225,S242)</f>
        <v/>
      </c>
      <c r="T243">
        <f>IF(AND(ISNUMBER('자료_거시'!$D225),ISNUMBER('자료_거시'!$E225)),IFERROR('자료_거시'!$E225-INDEX($S$21:$S$4020,MATCH(EDATE('자료_거시'!$D225,-'설정'!$B$17),'자료_거시'!$D$3:INDEX('자료_거시'!$D$3:$D$4002,$K$6),1)),""),"")</f>
        <v/>
      </c>
      <c r="U243">
        <f>IF(ISNUMBER(T243),'자료_거시'!$D225,"")</f>
        <v/>
      </c>
      <c r="V243">
        <f>IF(ISNUMBER(U243),IF(U243&gt;$L$6,T243,""),"")</f>
        <v/>
      </c>
      <c r="W243">
        <f>IF(AND(ISNUMBER('자료_거시'!$G225),ISNUMBER('자료_거시'!$H225)),'자료_거시'!$H225,"")</f>
        <v/>
      </c>
      <c r="X243">
        <f>IF(ISNUMBER(W243),'자료_거시'!$G225,"")</f>
        <v/>
      </c>
      <c r="Y243">
        <f>IF(ISNUMBER(X243),IF(X243&gt;$L$7,W243,""),"")</f>
        <v/>
      </c>
      <c r="Z243">
        <f>IF(ISNUMBER('자료_거시'!$K225),'자료_거시'!$K225,Z242)</f>
        <v/>
      </c>
      <c r="AA243">
        <f>IF(AND(ISNUMBER('자료_거시'!$J225),ISNUMBER('자료_거시'!$K225)),IFERROR('자료_거시'!$K225/INDEX($Z$21:$Z$4020,MATCH(EDATE('자료_거시'!$J225,-'설정'!$B$17),'자료_거시'!$J$3:INDEX('자료_거시'!$J$3:$J$4002,$K$8),1))-1,""),"")</f>
        <v/>
      </c>
      <c r="AB243">
        <f>IF(ISNUMBER(AA243),'자료_거시'!$J225,"")</f>
        <v/>
      </c>
      <c r="AC243">
        <f>IF(ISNUMBER(AB243),IF(AB243&gt;$L$8,AA243,""),"")</f>
        <v/>
      </c>
      <c r="AD243">
        <f>IF(AND(ISNUMBER('자료_거시'!$M225),ISNUMBER('자료_거시'!$N225)),1,0)</f>
        <v/>
      </c>
      <c r="AE243">
        <f>IF(AND(ISNUMBER('자료_거시'!$M225),ISNUMBER('자료_거시'!$N225)),IF(AND(SUMIFS($AD$21:$AD$620,'자료_거시'!$M$3:$M$602,"&gt;"&amp;EDATE('자료_거시'!$M225,-'설정'!$B$17),'자료_거시'!$M$3:$M$602,"&lt;="&amp;'자료_거시'!$M225)=3,SUMIFS($AD$21:$AD$620,'자료_거시'!$M$3:$M$602,"&gt;"&amp;EDATE('자료_거시'!$M225,-12-'설정'!$B$17),'자료_거시'!$M$3:$M$602,"&lt;="&amp;EDATE('자료_거시'!$M225,-12))=3),IFERROR(SUMIFS('자료_거시'!$N$3:$N$602,'자료_거시'!$M$3:$M$602,"&gt;"&amp;EDATE('자료_거시'!$M225,-'설정'!$B$17),'자료_거시'!$M$3:$M$602,"&lt;="&amp;'자료_거시'!$M225)/SUMIFS('자료_거시'!$N$3:$N$602,'자료_거시'!$M$3:$M$602,"&gt;"&amp;EDATE('자료_거시'!$M225,-12-'설정'!$B$17),'자료_거시'!$M$3:$M$602,"&lt;="&amp;EDATE('자료_거시'!$M225,-12))-1,""),""),"")</f>
        <v/>
      </c>
      <c r="AF243">
        <f>IF(ISNUMBER(AE243),'자료_거시'!$M225,"")</f>
        <v/>
      </c>
      <c r="AG243">
        <f>IF(ISNUMBER(AF243),IF(AF243&gt;$L$9,AE243,""),"")</f>
        <v/>
      </c>
    </row>
    <row r="244">
      <c r="P244">
        <f>IF(AND(ISNUMBER('자료_거시'!$A226),ISNUMBER('자료_거시'!$B226)),'자료_거시'!$B226,"")</f>
        <v/>
      </c>
      <c r="Q244">
        <f>IF(ISNUMBER(P244),'자료_거시'!$A226,"")</f>
        <v/>
      </c>
      <c r="R244">
        <f>IF(ISNUMBER(Q244),IF(Q244&gt;$L$5,P244,""),"")</f>
        <v/>
      </c>
      <c r="S244">
        <f>IF(ISNUMBER('자료_거시'!$E226),'자료_거시'!$E226,S243)</f>
        <v/>
      </c>
      <c r="T244">
        <f>IF(AND(ISNUMBER('자료_거시'!$D226),ISNUMBER('자료_거시'!$E226)),IFERROR('자료_거시'!$E226-INDEX($S$21:$S$4020,MATCH(EDATE('자료_거시'!$D226,-'설정'!$B$17),'자료_거시'!$D$3:INDEX('자료_거시'!$D$3:$D$4002,$K$6),1)),""),"")</f>
        <v/>
      </c>
      <c r="U244">
        <f>IF(ISNUMBER(T244),'자료_거시'!$D226,"")</f>
        <v/>
      </c>
      <c r="V244">
        <f>IF(ISNUMBER(U244),IF(U244&gt;$L$6,T244,""),"")</f>
        <v/>
      </c>
      <c r="W244">
        <f>IF(AND(ISNUMBER('자료_거시'!$G226),ISNUMBER('자료_거시'!$H226)),'자료_거시'!$H226,"")</f>
        <v/>
      </c>
      <c r="X244">
        <f>IF(ISNUMBER(W244),'자료_거시'!$G226,"")</f>
        <v/>
      </c>
      <c r="Y244">
        <f>IF(ISNUMBER(X244),IF(X244&gt;$L$7,W244,""),"")</f>
        <v/>
      </c>
      <c r="Z244">
        <f>IF(ISNUMBER('자료_거시'!$K226),'자료_거시'!$K226,Z243)</f>
        <v/>
      </c>
      <c r="AA244">
        <f>IF(AND(ISNUMBER('자료_거시'!$J226),ISNUMBER('자료_거시'!$K226)),IFERROR('자료_거시'!$K226/INDEX($Z$21:$Z$4020,MATCH(EDATE('자료_거시'!$J226,-'설정'!$B$17),'자료_거시'!$J$3:INDEX('자료_거시'!$J$3:$J$4002,$K$8),1))-1,""),"")</f>
        <v/>
      </c>
      <c r="AB244">
        <f>IF(ISNUMBER(AA244),'자료_거시'!$J226,"")</f>
        <v/>
      </c>
      <c r="AC244">
        <f>IF(ISNUMBER(AB244),IF(AB244&gt;$L$8,AA244,""),"")</f>
        <v/>
      </c>
      <c r="AD244">
        <f>IF(AND(ISNUMBER('자료_거시'!$M226),ISNUMBER('자료_거시'!$N226)),1,0)</f>
        <v/>
      </c>
      <c r="AE244">
        <f>IF(AND(ISNUMBER('자료_거시'!$M226),ISNUMBER('자료_거시'!$N226)),IF(AND(SUMIFS($AD$21:$AD$620,'자료_거시'!$M$3:$M$602,"&gt;"&amp;EDATE('자료_거시'!$M226,-'설정'!$B$17),'자료_거시'!$M$3:$M$602,"&lt;="&amp;'자료_거시'!$M226)=3,SUMIFS($AD$21:$AD$620,'자료_거시'!$M$3:$M$602,"&gt;"&amp;EDATE('자료_거시'!$M226,-12-'설정'!$B$17),'자료_거시'!$M$3:$M$602,"&lt;="&amp;EDATE('자료_거시'!$M226,-12))=3),IFERROR(SUMIFS('자료_거시'!$N$3:$N$602,'자료_거시'!$M$3:$M$602,"&gt;"&amp;EDATE('자료_거시'!$M226,-'설정'!$B$17),'자료_거시'!$M$3:$M$602,"&lt;="&amp;'자료_거시'!$M226)/SUMIFS('자료_거시'!$N$3:$N$602,'자료_거시'!$M$3:$M$602,"&gt;"&amp;EDATE('자료_거시'!$M226,-12-'설정'!$B$17),'자료_거시'!$M$3:$M$602,"&lt;="&amp;EDATE('자료_거시'!$M226,-12))-1,""),""),"")</f>
        <v/>
      </c>
      <c r="AF244">
        <f>IF(ISNUMBER(AE244),'자료_거시'!$M226,"")</f>
        <v/>
      </c>
      <c r="AG244">
        <f>IF(ISNUMBER(AF244),IF(AF244&gt;$L$9,AE244,""),"")</f>
        <v/>
      </c>
    </row>
    <row r="245">
      <c r="P245">
        <f>IF(AND(ISNUMBER('자료_거시'!$A227),ISNUMBER('자료_거시'!$B227)),'자료_거시'!$B227,"")</f>
        <v/>
      </c>
      <c r="Q245">
        <f>IF(ISNUMBER(P245),'자료_거시'!$A227,"")</f>
        <v/>
      </c>
      <c r="R245">
        <f>IF(ISNUMBER(Q245),IF(Q245&gt;$L$5,P245,""),"")</f>
        <v/>
      </c>
      <c r="S245">
        <f>IF(ISNUMBER('자료_거시'!$E227),'자료_거시'!$E227,S244)</f>
        <v/>
      </c>
      <c r="T245">
        <f>IF(AND(ISNUMBER('자료_거시'!$D227),ISNUMBER('자료_거시'!$E227)),IFERROR('자료_거시'!$E227-INDEX($S$21:$S$4020,MATCH(EDATE('자료_거시'!$D227,-'설정'!$B$17),'자료_거시'!$D$3:INDEX('자료_거시'!$D$3:$D$4002,$K$6),1)),""),"")</f>
        <v/>
      </c>
      <c r="U245">
        <f>IF(ISNUMBER(T245),'자료_거시'!$D227,"")</f>
        <v/>
      </c>
      <c r="V245">
        <f>IF(ISNUMBER(U245),IF(U245&gt;$L$6,T245,""),"")</f>
        <v/>
      </c>
      <c r="W245">
        <f>IF(AND(ISNUMBER('자료_거시'!$G227),ISNUMBER('자료_거시'!$H227)),'자료_거시'!$H227,"")</f>
        <v/>
      </c>
      <c r="X245">
        <f>IF(ISNUMBER(W245),'자료_거시'!$G227,"")</f>
        <v/>
      </c>
      <c r="Y245">
        <f>IF(ISNUMBER(X245),IF(X245&gt;$L$7,W245,""),"")</f>
        <v/>
      </c>
      <c r="Z245">
        <f>IF(ISNUMBER('자료_거시'!$K227),'자료_거시'!$K227,Z244)</f>
        <v/>
      </c>
      <c r="AA245">
        <f>IF(AND(ISNUMBER('자료_거시'!$J227),ISNUMBER('자료_거시'!$K227)),IFERROR('자료_거시'!$K227/INDEX($Z$21:$Z$4020,MATCH(EDATE('자료_거시'!$J227,-'설정'!$B$17),'자료_거시'!$J$3:INDEX('자료_거시'!$J$3:$J$4002,$K$8),1))-1,""),"")</f>
        <v/>
      </c>
      <c r="AB245">
        <f>IF(ISNUMBER(AA245),'자료_거시'!$J227,"")</f>
        <v/>
      </c>
      <c r="AC245">
        <f>IF(ISNUMBER(AB245),IF(AB245&gt;$L$8,AA245,""),"")</f>
        <v/>
      </c>
      <c r="AD245">
        <f>IF(AND(ISNUMBER('자료_거시'!$M227),ISNUMBER('자료_거시'!$N227)),1,0)</f>
        <v/>
      </c>
      <c r="AE245">
        <f>IF(AND(ISNUMBER('자료_거시'!$M227),ISNUMBER('자료_거시'!$N227)),IF(AND(SUMIFS($AD$21:$AD$620,'자료_거시'!$M$3:$M$602,"&gt;"&amp;EDATE('자료_거시'!$M227,-'설정'!$B$17),'자료_거시'!$M$3:$M$602,"&lt;="&amp;'자료_거시'!$M227)=3,SUMIFS($AD$21:$AD$620,'자료_거시'!$M$3:$M$602,"&gt;"&amp;EDATE('자료_거시'!$M227,-12-'설정'!$B$17),'자료_거시'!$M$3:$M$602,"&lt;="&amp;EDATE('자료_거시'!$M227,-12))=3),IFERROR(SUMIFS('자료_거시'!$N$3:$N$602,'자료_거시'!$M$3:$M$602,"&gt;"&amp;EDATE('자료_거시'!$M227,-'설정'!$B$17),'자료_거시'!$M$3:$M$602,"&lt;="&amp;'자료_거시'!$M227)/SUMIFS('자료_거시'!$N$3:$N$602,'자료_거시'!$M$3:$M$602,"&gt;"&amp;EDATE('자료_거시'!$M227,-12-'설정'!$B$17),'자료_거시'!$M$3:$M$602,"&lt;="&amp;EDATE('자료_거시'!$M227,-12))-1,""),""),"")</f>
        <v/>
      </c>
      <c r="AF245">
        <f>IF(ISNUMBER(AE245),'자료_거시'!$M227,"")</f>
        <v/>
      </c>
      <c r="AG245">
        <f>IF(ISNUMBER(AF245),IF(AF245&gt;$L$9,AE245,""),"")</f>
        <v/>
      </c>
    </row>
    <row r="246">
      <c r="P246">
        <f>IF(AND(ISNUMBER('자료_거시'!$A228),ISNUMBER('자료_거시'!$B228)),'자료_거시'!$B228,"")</f>
        <v/>
      </c>
      <c r="Q246">
        <f>IF(ISNUMBER(P246),'자료_거시'!$A228,"")</f>
        <v/>
      </c>
      <c r="R246">
        <f>IF(ISNUMBER(Q246),IF(Q246&gt;$L$5,P246,""),"")</f>
        <v/>
      </c>
      <c r="S246">
        <f>IF(ISNUMBER('자료_거시'!$E228),'자료_거시'!$E228,S245)</f>
        <v/>
      </c>
      <c r="T246">
        <f>IF(AND(ISNUMBER('자료_거시'!$D228),ISNUMBER('자료_거시'!$E228)),IFERROR('자료_거시'!$E228-INDEX($S$21:$S$4020,MATCH(EDATE('자료_거시'!$D228,-'설정'!$B$17),'자료_거시'!$D$3:INDEX('자료_거시'!$D$3:$D$4002,$K$6),1)),""),"")</f>
        <v/>
      </c>
      <c r="U246">
        <f>IF(ISNUMBER(T246),'자료_거시'!$D228,"")</f>
        <v/>
      </c>
      <c r="V246">
        <f>IF(ISNUMBER(U246),IF(U246&gt;$L$6,T246,""),"")</f>
        <v/>
      </c>
      <c r="W246">
        <f>IF(AND(ISNUMBER('자료_거시'!$G228),ISNUMBER('자료_거시'!$H228)),'자료_거시'!$H228,"")</f>
        <v/>
      </c>
      <c r="X246">
        <f>IF(ISNUMBER(W246),'자료_거시'!$G228,"")</f>
        <v/>
      </c>
      <c r="Y246">
        <f>IF(ISNUMBER(X246),IF(X246&gt;$L$7,W246,""),"")</f>
        <v/>
      </c>
      <c r="Z246">
        <f>IF(ISNUMBER('자료_거시'!$K228),'자료_거시'!$K228,Z245)</f>
        <v/>
      </c>
      <c r="AA246">
        <f>IF(AND(ISNUMBER('자료_거시'!$J228),ISNUMBER('자료_거시'!$K228)),IFERROR('자료_거시'!$K228/INDEX($Z$21:$Z$4020,MATCH(EDATE('자료_거시'!$J228,-'설정'!$B$17),'자료_거시'!$J$3:INDEX('자료_거시'!$J$3:$J$4002,$K$8),1))-1,""),"")</f>
        <v/>
      </c>
      <c r="AB246">
        <f>IF(ISNUMBER(AA246),'자료_거시'!$J228,"")</f>
        <v/>
      </c>
      <c r="AC246">
        <f>IF(ISNUMBER(AB246),IF(AB246&gt;$L$8,AA246,""),"")</f>
        <v/>
      </c>
      <c r="AD246">
        <f>IF(AND(ISNUMBER('자료_거시'!$M228),ISNUMBER('자료_거시'!$N228)),1,0)</f>
        <v/>
      </c>
      <c r="AE246">
        <f>IF(AND(ISNUMBER('자료_거시'!$M228),ISNUMBER('자료_거시'!$N228)),IF(AND(SUMIFS($AD$21:$AD$620,'자료_거시'!$M$3:$M$602,"&gt;"&amp;EDATE('자료_거시'!$M228,-'설정'!$B$17),'자료_거시'!$M$3:$M$602,"&lt;="&amp;'자료_거시'!$M228)=3,SUMIFS($AD$21:$AD$620,'자료_거시'!$M$3:$M$602,"&gt;"&amp;EDATE('자료_거시'!$M228,-12-'설정'!$B$17),'자료_거시'!$M$3:$M$602,"&lt;="&amp;EDATE('자료_거시'!$M228,-12))=3),IFERROR(SUMIFS('자료_거시'!$N$3:$N$602,'자료_거시'!$M$3:$M$602,"&gt;"&amp;EDATE('자료_거시'!$M228,-'설정'!$B$17),'자료_거시'!$M$3:$M$602,"&lt;="&amp;'자료_거시'!$M228)/SUMIFS('자료_거시'!$N$3:$N$602,'자료_거시'!$M$3:$M$602,"&gt;"&amp;EDATE('자료_거시'!$M228,-12-'설정'!$B$17),'자료_거시'!$M$3:$M$602,"&lt;="&amp;EDATE('자료_거시'!$M228,-12))-1,""),""),"")</f>
        <v/>
      </c>
      <c r="AF246">
        <f>IF(ISNUMBER(AE246),'자료_거시'!$M228,"")</f>
        <v/>
      </c>
      <c r="AG246">
        <f>IF(ISNUMBER(AF246),IF(AF246&gt;$L$9,AE246,""),"")</f>
        <v/>
      </c>
    </row>
    <row r="247">
      <c r="P247">
        <f>IF(AND(ISNUMBER('자료_거시'!$A229),ISNUMBER('자료_거시'!$B229)),'자료_거시'!$B229,"")</f>
        <v/>
      </c>
      <c r="Q247">
        <f>IF(ISNUMBER(P247),'자료_거시'!$A229,"")</f>
        <v/>
      </c>
      <c r="R247">
        <f>IF(ISNUMBER(Q247),IF(Q247&gt;$L$5,P247,""),"")</f>
        <v/>
      </c>
      <c r="S247">
        <f>IF(ISNUMBER('자료_거시'!$E229),'자료_거시'!$E229,S246)</f>
        <v/>
      </c>
      <c r="T247">
        <f>IF(AND(ISNUMBER('자료_거시'!$D229),ISNUMBER('자료_거시'!$E229)),IFERROR('자료_거시'!$E229-INDEX($S$21:$S$4020,MATCH(EDATE('자료_거시'!$D229,-'설정'!$B$17),'자료_거시'!$D$3:INDEX('자료_거시'!$D$3:$D$4002,$K$6),1)),""),"")</f>
        <v/>
      </c>
      <c r="U247">
        <f>IF(ISNUMBER(T247),'자료_거시'!$D229,"")</f>
        <v/>
      </c>
      <c r="V247">
        <f>IF(ISNUMBER(U247),IF(U247&gt;$L$6,T247,""),"")</f>
        <v/>
      </c>
      <c r="W247">
        <f>IF(AND(ISNUMBER('자료_거시'!$G229),ISNUMBER('자료_거시'!$H229)),'자료_거시'!$H229,"")</f>
        <v/>
      </c>
      <c r="X247">
        <f>IF(ISNUMBER(W247),'자료_거시'!$G229,"")</f>
        <v/>
      </c>
      <c r="Y247">
        <f>IF(ISNUMBER(X247),IF(X247&gt;$L$7,W247,""),"")</f>
        <v/>
      </c>
      <c r="Z247">
        <f>IF(ISNUMBER('자료_거시'!$K229),'자료_거시'!$K229,Z246)</f>
        <v/>
      </c>
      <c r="AA247">
        <f>IF(AND(ISNUMBER('자료_거시'!$J229),ISNUMBER('자료_거시'!$K229)),IFERROR('자료_거시'!$K229/INDEX($Z$21:$Z$4020,MATCH(EDATE('자료_거시'!$J229,-'설정'!$B$17),'자료_거시'!$J$3:INDEX('자료_거시'!$J$3:$J$4002,$K$8),1))-1,""),"")</f>
        <v/>
      </c>
      <c r="AB247">
        <f>IF(ISNUMBER(AA247),'자료_거시'!$J229,"")</f>
        <v/>
      </c>
      <c r="AC247">
        <f>IF(ISNUMBER(AB247),IF(AB247&gt;$L$8,AA247,""),"")</f>
        <v/>
      </c>
      <c r="AD247">
        <f>IF(AND(ISNUMBER('자료_거시'!$M229),ISNUMBER('자료_거시'!$N229)),1,0)</f>
        <v/>
      </c>
      <c r="AE247">
        <f>IF(AND(ISNUMBER('자료_거시'!$M229),ISNUMBER('자료_거시'!$N229)),IF(AND(SUMIFS($AD$21:$AD$620,'자료_거시'!$M$3:$M$602,"&gt;"&amp;EDATE('자료_거시'!$M229,-'설정'!$B$17),'자료_거시'!$M$3:$M$602,"&lt;="&amp;'자료_거시'!$M229)=3,SUMIFS($AD$21:$AD$620,'자료_거시'!$M$3:$M$602,"&gt;"&amp;EDATE('자료_거시'!$M229,-12-'설정'!$B$17),'자료_거시'!$M$3:$M$602,"&lt;="&amp;EDATE('자료_거시'!$M229,-12))=3),IFERROR(SUMIFS('자료_거시'!$N$3:$N$602,'자료_거시'!$M$3:$M$602,"&gt;"&amp;EDATE('자료_거시'!$M229,-'설정'!$B$17),'자료_거시'!$M$3:$M$602,"&lt;="&amp;'자료_거시'!$M229)/SUMIFS('자료_거시'!$N$3:$N$602,'자료_거시'!$M$3:$M$602,"&gt;"&amp;EDATE('자료_거시'!$M229,-12-'설정'!$B$17),'자료_거시'!$M$3:$M$602,"&lt;="&amp;EDATE('자료_거시'!$M229,-12))-1,""),""),"")</f>
        <v/>
      </c>
      <c r="AF247">
        <f>IF(ISNUMBER(AE247),'자료_거시'!$M229,"")</f>
        <v/>
      </c>
      <c r="AG247">
        <f>IF(ISNUMBER(AF247),IF(AF247&gt;$L$9,AE247,""),"")</f>
        <v/>
      </c>
    </row>
    <row r="248">
      <c r="P248">
        <f>IF(AND(ISNUMBER('자료_거시'!$A230),ISNUMBER('자료_거시'!$B230)),'자료_거시'!$B230,"")</f>
        <v/>
      </c>
      <c r="Q248">
        <f>IF(ISNUMBER(P248),'자료_거시'!$A230,"")</f>
        <v/>
      </c>
      <c r="R248">
        <f>IF(ISNUMBER(Q248),IF(Q248&gt;$L$5,P248,""),"")</f>
        <v/>
      </c>
      <c r="S248">
        <f>IF(ISNUMBER('자료_거시'!$E230),'자료_거시'!$E230,S247)</f>
        <v/>
      </c>
      <c r="T248">
        <f>IF(AND(ISNUMBER('자료_거시'!$D230),ISNUMBER('자료_거시'!$E230)),IFERROR('자료_거시'!$E230-INDEX($S$21:$S$4020,MATCH(EDATE('자료_거시'!$D230,-'설정'!$B$17),'자료_거시'!$D$3:INDEX('자료_거시'!$D$3:$D$4002,$K$6),1)),""),"")</f>
        <v/>
      </c>
      <c r="U248">
        <f>IF(ISNUMBER(T248),'자료_거시'!$D230,"")</f>
        <v/>
      </c>
      <c r="V248">
        <f>IF(ISNUMBER(U248),IF(U248&gt;$L$6,T248,""),"")</f>
        <v/>
      </c>
      <c r="W248">
        <f>IF(AND(ISNUMBER('자료_거시'!$G230),ISNUMBER('자료_거시'!$H230)),'자료_거시'!$H230,"")</f>
        <v/>
      </c>
      <c r="X248">
        <f>IF(ISNUMBER(W248),'자료_거시'!$G230,"")</f>
        <v/>
      </c>
      <c r="Y248">
        <f>IF(ISNUMBER(X248),IF(X248&gt;$L$7,W248,""),"")</f>
        <v/>
      </c>
      <c r="Z248">
        <f>IF(ISNUMBER('자료_거시'!$K230),'자료_거시'!$K230,Z247)</f>
        <v/>
      </c>
      <c r="AA248">
        <f>IF(AND(ISNUMBER('자료_거시'!$J230),ISNUMBER('자료_거시'!$K230)),IFERROR('자료_거시'!$K230/INDEX($Z$21:$Z$4020,MATCH(EDATE('자료_거시'!$J230,-'설정'!$B$17),'자료_거시'!$J$3:INDEX('자료_거시'!$J$3:$J$4002,$K$8),1))-1,""),"")</f>
        <v/>
      </c>
      <c r="AB248">
        <f>IF(ISNUMBER(AA248),'자료_거시'!$J230,"")</f>
        <v/>
      </c>
      <c r="AC248">
        <f>IF(ISNUMBER(AB248),IF(AB248&gt;$L$8,AA248,""),"")</f>
        <v/>
      </c>
      <c r="AD248">
        <f>IF(AND(ISNUMBER('자료_거시'!$M230),ISNUMBER('자료_거시'!$N230)),1,0)</f>
        <v/>
      </c>
      <c r="AE248">
        <f>IF(AND(ISNUMBER('자료_거시'!$M230),ISNUMBER('자료_거시'!$N230)),IF(AND(SUMIFS($AD$21:$AD$620,'자료_거시'!$M$3:$M$602,"&gt;"&amp;EDATE('자료_거시'!$M230,-'설정'!$B$17),'자료_거시'!$M$3:$M$602,"&lt;="&amp;'자료_거시'!$M230)=3,SUMIFS($AD$21:$AD$620,'자료_거시'!$M$3:$M$602,"&gt;"&amp;EDATE('자료_거시'!$M230,-12-'설정'!$B$17),'자료_거시'!$M$3:$M$602,"&lt;="&amp;EDATE('자료_거시'!$M230,-12))=3),IFERROR(SUMIFS('자료_거시'!$N$3:$N$602,'자료_거시'!$M$3:$M$602,"&gt;"&amp;EDATE('자료_거시'!$M230,-'설정'!$B$17),'자료_거시'!$M$3:$M$602,"&lt;="&amp;'자료_거시'!$M230)/SUMIFS('자료_거시'!$N$3:$N$602,'자료_거시'!$M$3:$M$602,"&gt;"&amp;EDATE('자료_거시'!$M230,-12-'설정'!$B$17),'자료_거시'!$M$3:$M$602,"&lt;="&amp;EDATE('자료_거시'!$M230,-12))-1,""),""),"")</f>
        <v/>
      </c>
      <c r="AF248">
        <f>IF(ISNUMBER(AE248),'자료_거시'!$M230,"")</f>
        <v/>
      </c>
      <c r="AG248">
        <f>IF(ISNUMBER(AF248),IF(AF248&gt;$L$9,AE248,""),"")</f>
        <v/>
      </c>
    </row>
    <row r="249">
      <c r="P249">
        <f>IF(AND(ISNUMBER('자료_거시'!$A231),ISNUMBER('자료_거시'!$B231)),'자료_거시'!$B231,"")</f>
        <v/>
      </c>
      <c r="Q249">
        <f>IF(ISNUMBER(P249),'자료_거시'!$A231,"")</f>
        <v/>
      </c>
      <c r="R249">
        <f>IF(ISNUMBER(Q249),IF(Q249&gt;$L$5,P249,""),"")</f>
        <v/>
      </c>
      <c r="S249">
        <f>IF(ISNUMBER('자료_거시'!$E231),'자료_거시'!$E231,S248)</f>
        <v/>
      </c>
      <c r="T249">
        <f>IF(AND(ISNUMBER('자료_거시'!$D231),ISNUMBER('자료_거시'!$E231)),IFERROR('자료_거시'!$E231-INDEX($S$21:$S$4020,MATCH(EDATE('자료_거시'!$D231,-'설정'!$B$17),'자료_거시'!$D$3:INDEX('자료_거시'!$D$3:$D$4002,$K$6),1)),""),"")</f>
        <v/>
      </c>
      <c r="U249">
        <f>IF(ISNUMBER(T249),'자료_거시'!$D231,"")</f>
        <v/>
      </c>
      <c r="V249">
        <f>IF(ISNUMBER(U249),IF(U249&gt;$L$6,T249,""),"")</f>
        <v/>
      </c>
      <c r="W249">
        <f>IF(AND(ISNUMBER('자료_거시'!$G231),ISNUMBER('자료_거시'!$H231)),'자료_거시'!$H231,"")</f>
        <v/>
      </c>
      <c r="X249">
        <f>IF(ISNUMBER(W249),'자료_거시'!$G231,"")</f>
        <v/>
      </c>
      <c r="Y249">
        <f>IF(ISNUMBER(X249),IF(X249&gt;$L$7,W249,""),"")</f>
        <v/>
      </c>
      <c r="Z249">
        <f>IF(ISNUMBER('자료_거시'!$K231),'자료_거시'!$K231,Z248)</f>
        <v/>
      </c>
      <c r="AA249">
        <f>IF(AND(ISNUMBER('자료_거시'!$J231),ISNUMBER('자료_거시'!$K231)),IFERROR('자료_거시'!$K231/INDEX($Z$21:$Z$4020,MATCH(EDATE('자료_거시'!$J231,-'설정'!$B$17),'자료_거시'!$J$3:INDEX('자료_거시'!$J$3:$J$4002,$K$8),1))-1,""),"")</f>
        <v/>
      </c>
      <c r="AB249">
        <f>IF(ISNUMBER(AA249),'자료_거시'!$J231,"")</f>
        <v/>
      </c>
      <c r="AC249">
        <f>IF(ISNUMBER(AB249),IF(AB249&gt;$L$8,AA249,""),"")</f>
        <v/>
      </c>
      <c r="AD249">
        <f>IF(AND(ISNUMBER('자료_거시'!$M231),ISNUMBER('자료_거시'!$N231)),1,0)</f>
        <v/>
      </c>
      <c r="AE249">
        <f>IF(AND(ISNUMBER('자료_거시'!$M231),ISNUMBER('자료_거시'!$N231)),IF(AND(SUMIFS($AD$21:$AD$620,'자료_거시'!$M$3:$M$602,"&gt;"&amp;EDATE('자료_거시'!$M231,-'설정'!$B$17),'자료_거시'!$M$3:$M$602,"&lt;="&amp;'자료_거시'!$M231)=3,SUMIFS($AD$21:$AD$620,'자료_거시'!$M$3:$M$602,"&gt;"&amp;EDATE('자료_거시'!$M231,-12-'설정'!$B$17),'자료_거시'!$M$3:$M$602,"&lt;="&amp;EDATE('자료_거시'!$M231,-12))=3),IFERROR(SUMIFS('자료_거시'!$N$3:$N$602,'자료_거시'!$M$3:$M$602,"&gt;"&amp;EDATE('자료_거시'!$M231,-'설정'!$B$17),'자료_거시'!$M$3:$M$602,"&lt;="&amp;'자료_거시'!$M231)/SUMIFS('자료_거시'!$N$3:$N$602,'자료_거시'!$M$3:$M$602,"&gt;"&amp;EDATE('자료_거시'!$M231,-12-'설정'!$B$17),'자료_거시'!$M$3:$M$602,"&lt;="&amp;EDATE('자료_거시'!$M231,-12))-1,""),""),"")</f>
        <v/>
      </c>
      <c r="AF249">
        <f>IF(ISNUMBER(AE249),'자료_거시'!$M231,"")</f>
        <v/>
      </c>
      <c r="AG249">
        <f>IF(ISNUMBER(AF249),IF(AF249&gt;$L$9,AE249,""),"")</f>
        <v/>
      </c>
    </row>
    <row r="250">
      <c r="P250">
        <f>IF(AND(ISNUMBER('자료_거시'!$A232),ISNUMBER('자료_거시'!$B232)),'자료_거시'!$B232,"")</f>
        <v/>
      </c>
      <c r="Q250">
        <f>IF(ISNUMBER(P250),'자료_거시'!$A232,"")</f>
        <v/>
      </c>
      <c r="R250">
        <f>IF(ISNUMBER(Q250),IF(Q250&gt;$L$5,P250,""),"")</f>
        <v/>
      </c>
      <c r="S250">
        <f>IF(ISNUMBER('자료_거시'!$E232),'자료_거시'!$E232,S249)</f>
        <v/>
      </c>
      <c r="T250">
        <f>IF(AND(ISNUMBER('자료_거시'!$D232),ISNUMBER('자료_거시'!$E232)),IFERROR('자료_거시'!$E232-INDEX($S$21:$S$4020,MATCH(EDATE('자료_거시'!$D232,-'설정'!$B$17),'자료_거시'!$D$3:INDEX('자료_거시'!$D$3:$D$4002,$K$6),1)),""),"")</f>
        <v/>
      </c>
      <c r="U250">
        <f>IF(ISNUMBER(T250),'자료_거시'!$D232,"")</f>
        <v/>
      </c>
      <c r="V250">
        <f>IF(ISNUMBER(U250),IF(U250&gt;$L$6,T250,""),"")</f>
        <v/>
      </c>
      <c r="W250">
        <f>IF(AND(ISNUMBER('자료_거시'!$G232),ISNUMBER('자료_거시'!$H232)),'자료_거시'!$H232,"")</f>
        <v/>
      </c>
      <c r="X250">
        <f>IF(ISNUMBER(W250),'자료_거시'!$G232,"")</f>
        <v/>
      </c>
      <c r="Y250">
        <f>IF(ISNUMBER(X250),IF(X250&gt;$L$7,W250,""),"")</f>
        <v/>
      </c>
      <c r="Z250">
        <f>IF(ISNUMBER('자료_거시'!$K232),'자료_거시'!$K232,Z249)</f>
        <v/>
      </c>
      <c r="AA250">
        <f>IF(AND(ISNUMBER('자료_거시'!$J232),ISNUMBER('자료_거시'!$K232)),IFERROR('자료_거시'!$K232/INDEX($Z$21:$Z$4020,MATCH(EDATE('자료_거시'!$J232,-'설정'!$B$17),'자료_거시'!$J$3:INDEX('자료_거시'!$J$3:$J$4002,$K$8),1))-1,""),"")</f>
        <v/>
      </c>
      <c r="AB250">
        <f>IF(ISNUMBER(AA250),'자료_거시'!$J232,"")</f>
        <v/>
      </c>
      <c r="AC250">
        <f>IF(ISNUMBER(AB250),IF(AB250&gt;$L$8,AA250,""),"")</f>
        <v/>
      </c>
      <c r="AD250">
        <f>IF(AND(ISNUMBER('자료_거시'!$M232),ISNUMBER('자료_거시'!$N232)),1,0)</f>
        <v/>
      </c>
      <c r="AE250">
        <f>IF(AND(ISNUMBER('자료_거시'!$M232),ISNUMBER('자료_거시'!$N232)),IF(AND(SUMIFS($AD$21:$AD$620,'자료_거시'!$M$3:$M$602,"&gt;"&amp;EDATE('자료_거시'!$M232,-'설정'!$B$17),'자료_거시'!$M$3:$M$602,"&lt;="&amp;'자료_거시'!$M232)=3,SUMIFS($AD$21:$AD$620,'자료_거시'!$M$3:$M$602,"&gt;"&amp;EDATE('자료_거시'!$M232,-12-'설정'!$B$17),'자료_거시'!$M$3:$M$602,"&lt;="&amp;EDATE('자료_거시'!$M232,-12))=3),IFERROR(SUMIFS('자료_거시'!$N$3:$N$602,'자료_거시'!$M$3:$M$602,"&gt;"&amp;EDATE('자료_거시'!$M232,-'설정'!$B$17),'자료_거시'!$M$3:$M$602,"&lt;="&amp;'자료_거시'!$M232)/SUMIFS('자료_거시'!$N$3:$N$602,'자료_거시'!$M$3:$M$602,"&gt;"&amp;EDATE('자료_거시'!$M232,-12-'설정'!$B$17),'자료_거시'!$M$3:$M$602,"&lt;="&amp;EDATE('자료_거시'!$M232,-12))-1,""),""),"")</f>
        <v/>
      </c>
      <c r="AF250">
        <f>IF(ISNUMBER(AE250),'자료_거시'!$M232,"")</f>
        <v/>
      </c>
      <c r="AG250">
        <f>IF(ISNUMBER(AF250),IF(AF250&gt;$L$9,AE250,""),"")</f>
        <v/>
      </c>
    </row>
    <row r="251">
      <c r="P251">
        <f>IF(AND(ISNUMBER('자료_거시'!$A233),ISNUMBER('자료_거시'!$B233)),'자료_거시'!$B233,"")</f>
        <v/>
      </c>
      <c r="Q251">
        <f>IF(ISNUMBER(P251),'자료_거시'!$A233,"")</f>
        <v/>
      </c>
      <c r="R251">
        <f>IF(ISNUMBER(Q251),IF(Q251&gt;$L$5,P251,""),"")</f>
        <v/>
      </c>
      <c r="S251">
        <f>IF(ISNUMBER('자료_거시'!$E233),'자료_거시'!$E233,S250)</f>
        <v/>
      </c>
      <c r="T251">
        <f>IF(AND(ISNUMBER('자료_거시'!$D233),ISNUMBER('자료_거시'!$E233)),IFERROR('자료_거시'!$E233-INDEX($S$21:$S$4020,MATCH(EDATE('자료_거시'!$D233,-'설정'!$B$17),'자료_거시'!$D$3:INDEX('자료_거시'!$D$3:$D$4002,$K$6),1)),""),"")</f>
        <v/>
      </c>
      <c r="U251">
        <f>IF(ISNUMBER(T251),'자료_거시'!$D233,"")</f>
        <v/>
      </c>
      <c r="V251">
        <f>IF(ISNUMBER(U251),IF(U251&gt;$L$6,T251,""),"")</f>
        <v/>
      </c>
      <c r="W251">
        <f>IF(AND(ISNUMBER('자료_거시'!$G233),ISNUMBER('자료_거시'!$H233)),'자료_거시'!$H233,"")</f>
        <v/>
      </c>
      <c r="X251">
        <f>IF(ISNUMBER(W251),'자료_거시'!$G233,"")</f>
        <v/>
      </c>
      <c r="Y251">
        <f>IF(ISNUMBER(X251),IF(X251&gt;$L$7,W251,""),"")</f>
        <v/>
      </c>
      <c r="Z251">
        <f>IF(ISNUMBER('자료_거시'!$K233),'자료_거시'!$K233,Z250)</f>
        <v/>
      </c>
      <c r="AA251">
        <f>IF(AND(ISNUMBER('자료_거시'!$J233),ISNUMBER('자료_거시'!$K233)),IFERROR('자료_거시'!$K233/INDEX($Z$21:$Z$4020,MATCH(EDATE('자료_거시'!$J233,-'설정'!$B$17),'자료_거시'!$J$3:INDEX('자료_거시'!$J$3:$J$4002,$K$8),1))-1,""),"")</f>
        <v/>
      </c>
      <c r="AB251">
        <f>IF(ISNUMBER(AA251),'자료_거시'!$J233,"")</f>
        <v/>
      </c>
      <c r="AC251">
        <f>IF(ISNUMBER(AB251),IF(AB251&gt;$L$8,AA251,""),"")</f>
        <v/>
      </c>
      <c r="AD251">
        <f>IF(AND(ISNUMBER('자료_거시'!$M233),ISNUMBER('자료_거시'!$N233)),1,0)</f>
        <v/>
      </c>
      <c r="AE251">
        <f>IF(AND(ISNUMBER('자료_거시'!$M233),ISNUMBER('자료_거시'!$N233)),IF(AND(SUMIFS($AD$21:$AD$620,'자료_거시'!$M$3:$M$602,"&gt;"&amp;EDATE('자료_거시'!$M233,-'설정'!$B$17),'자료_거시'!$M$3:$M$602,"&lt;="&amp;'자료_거시'!$M233)=3,SUMIFS($AD$21:$AD$620,'자료_거시'!$M$3:$M$602,"&gt;"&amp;EDATE('자료_거시'!$M233,-12-'설정'!$B$17),'자료_거시'!$M$3:$M$602,"&lt;="&amp;EDATE('자료_거시'!$M233,-12))=3),IFERROR(SUMIFS('자료_거시'!$N$3:$N$602,'자료_거시'!$M$3:$M$602,"&gt;"&amp;EDATE('자료_거시'!$M233,-'설정'!$B$17),'자료_거시'!$M$3:$M$602,"&lt;="&amp;'자료_거시'!$M233)/SUMIFS('자료_거시'!$N$3:$N$602,'자료_거시'!$M$3:$M$602,"&gt;"&amp;EDATE('자료_거시'!$M233,-12-'설정'!$B$17),'자료_거시'!$M$3:$M$602,"&lt;="&amp;EDATE('자료_거시'!$M233,-12))-1,""),""),"")</f>
        <v/>
      </c>
      <c r="AF251">
        <f>IF(ISNUMBER(AE251),'자료_거시'!$M233,"")</f>
        <v/>
      </c>
      <c r="AG251">
        <f>IF(ISNUMBER(AF251),IF(AF251&gt;$L$9,AE251,""),"")</f>
        <v/>
      </c>
    </row>
    <row r="252">
      <c r="P252">
        <f>IF(AND(ISNUMBER('자료_거시'!$A234),ISNUMBER('자료_거시'!$B234)),'자료_거시'!$B234,"")</f>
        <v/>
      </c>
      <c r="Q252">
        <f>IF(ISNUMBER(P252),'자료_거시'!$A234,"")</f>
        <v/>
      </c>
      <c r="R252">
        <f>IF(ISNUMBER(Q252),IF(Q252&gt;$L$5,P252,""),"")</f>
        <v/>
      </c>
      <c r="S252">
        <f>IF(ISNUMBER('자료_거시'!$E234),'자료_거시'!$E234,S251)</f>
        <v/>
      </c>
      <c r="T252">
        <f>IF(AND(ISNUMBER('자료_거시'!$D234),ISNUMBER('자료_거시'!$E234)),IFERROR('자료_거시'!$E234-INDEX($S$21:$S$4020,MATCH(EDATE('자료_거시'!$D234,-'설정'!$B$17),'자료_거시'!$D$3:INDEX('자료_거시'!$D$3:$D$4002,$K$6),1)),""),"")</f>
        <v/>
      </c>
      <c r="U252">
        <f>IF(ISNUMBER(T252),'자료_거시'!$D234,"")</f>
        <v/>
      </c>
      <c r="V252">
        <f>IF(ISNUMBER(U252),IF(U252&gt;$L$6,T252,""),"")</f>
        <v/>
      </c>
      <c r="W252">
        <f>IF(AND(ISNUMBER('자료_거시'!$G234),ISNUMBER('자료_거시'!$H234)),'자료_거시'!$H234,"")</f>
        <v/>
      </c>
      <c r="X252">
        <f>IF(ISNUMBER(W252),'자료_거시'!$G234,"")</f>
        <v/>
      </c>
      <c r="Y252">
        <f>IF(ISNUMBER(X252),IF(X252&gt;$L$7,W252,""),"")</f>
        <v/>
      </c>
      <c r="Z252">
        <f>IF(ISNUMBER('자료_거시'!$K234),'자료_거시'!$K234,Z251)</f>
        <v/>
      </c>
      <c r="AA252">
        <f>IF(AND(ISNUMBER('자료_거시'!$J234),ISNUMBER('자료_거시'!$K234)),IFERROR('자료_거시'!$K234/INDEX($Z$21:$Z$4020,MATCH(EDATE('자료_거시'!$J234,-'설정'!$B$17),'자료_거시'!$J$3:INDEX('자료_거시'!$J$3:$J$4002,$K$8),1))-1,""),"")</f>
        <v/>
      </c>
      <c r="AB252">
        <f>IF(ISNUMBER(AA252),'자료_거시'!$J234,"")</f>
        <v/>
      </c>
      <c r="AC252">
        <f>IF(ISNUMBER(AB252),IF(AB252&gt;$L$8,AA252,""),"")</f>
        <v/>
      </c>
      <c r="AD252">
        <f>IF(AND(ISNUMBER('자료_거시'!$M234),ISNUMBER('자료_거시'!$N234)),1,0)</f>
        <v/>
      </c>
      <c r="AE252">
        <f>IF(AND(ISNUMBER('자료_거시'!$M234),ISNUMBER('자료_거시'!$N234)),IF(AND(SUMIFS($AD$21:$AD$620,'자료_거시'!$M$3:$M$602,"&gt;"&amp;EDATE('자료_거시'!$M234,-'설정'!$B$17),'자료_거시'!$M$3:$M$602,"&lt;="&amp;'자료_거시'!$M234)=3,SUMIFS($AD$21:$AD$620,'자료_거시'!$M$3:$M$602,"&gt;"&amp;EDATE('자료_거시'!$M234,-12-'설정'!$B$17),'자료_거시'!$M$3:$M$602,"&lt;="&amp;EDATE('자료_거시'!$M234,-12))=3),IFERROR(SUMIFS('자료_거시'!$N$3:$N$602,'자료_거시'!$M$3:$M$602,"&gt;"&amp;EDATE('자료_거시'!$M234,-'설정'!$B$17),'자료_거시'!$M$3:$M$602,"&lt;="&amp;'자료_거시'!$M234)/SUMIFS('자료_거시'!$N$3:$N$602,'자료_거시'!$M$3:$M$602,"&gt;"&amp;EDATE('자료_거시'!$M234,-12-'설정'!$B$17),'자료_거시'!$M$3:$M$602,"&lt;="&amp;EDATE('자료_거시'!$M234,-12))-1,""),""),"")</f>
        <v/>
      </c>
      <c r="AF252">
        <f>IF(ISNUMBER(AE252),'자료_거시'!$M234,"")</f>
        <v/>
      </c>
      <c r="AG252">
        <f>IF(ISNUMBER(AF252),IF(AF252&gt;$L$9,AE252,""),"")</f>
        <v/>
      </c>
    </row>
    <row r="253">
      <c r="P253">
        <f>IF(AND(ISNUMBER('자료_거시'!$A235),ISNUMBER('자료_거시'!$B235)),'자료_거시'!$B235,"")</f>
        <v/>
      </c>
      <c r="Q253">
        <f>IF(ISNUMBER(P253),'자료_거시'!$A235,"")</f>
        <v/>
      </c>
      <c r="R253">
        <f>IF(ISNUMBER(Q253),IF(Q253&gt;$L$5,P253,""),"")</f>
        <v/>
      </c>
      <c r="S253">
        <f>IF(ISNUMBER('자료_거시'!$E235),'자료_거시'!$E235,S252)</f>
        <v/>
      </c>
      <c r="T253">
        <f>IF(AND(ISNUMBER('자료_거시'!$D235),ISNUMBER('자료_거시'!$E235)),IFERROR('자료_거시'!$E235-INDEX($S$21:$S$4020,MATCH(EDATE('자료_거시'!$D235,-'설정'!$B$17),'자료_거시'!$D$3:INDEX('자료_거시'!$D$3:$D$4002,$K$6),1)),""),"")</f>
        <v/>
      </c>
      <c r="U253">
        <f>IF(ISNUMBER(T253),'자료_거시'!$D235,"")</f>
        <v/>
      </c>
      <c r="V253">
        <f>IF(ISNUMBER(U253),IF(U253&gt;$L$6,T253,""),"")</f>
        <v/>
      </c>
      <c r="W253">
        <f>IF(AND(ISNUMBER('자료_거시'!$G235),ISNUMBER('자료_거시'!$H235)),'자료_거시'!$H235,"")</f>
        <v/>
      </c>
      <c r="X253">
        <f>IF(ISNUMBER(W253),'자료_거시'!$G235,"")</f>
        <v/>
      </c>
      <c r="Y253">
        <f>IF(ISNUMBER(X253),IF(X253&gt;$L$7,W253,""),"")</f>
        <v/>
      </c>
      <c r="Z253">
        <f>IF(ISNUMBER('자료_거시'!$K235),'자료_거시'!$K235,Z252)</f>
        <v/>
      </c>
      <c r="AA253">
        <f>IF(AND(ISNUMBER('자료_거시'!$J235),ISNUMBER('자료_거시'!$K235)),IFERROR('자료_거시'!$K235/INDEX($Z$21:$Z$4020,MATCH(EDATE('자료_거시'!$J235,-'설정'!$B$17),'자료_거시'!$J$3:INDEX('자료_거시'!$J$3:$J$4002,$K$8),1))-1,""),"")</f>
        <v/>
      </c>
      <c r="AB253">
        <f>IF(ISNUMBER(AA253),'자료_거시'!$J235,"")</f>
        <v/>
      </c>
      <c r="AC253">
        <f>IF(ISNUMBER(AB253),IF(AB253&gt;$L$8,AA253,""),"")</f>
        <v/>
      </c>
      <c r="AD253">
        <f>IF(AND(ISNUMBER('자료_거시'!$M235),ISNUMBER('자료_거시'!$N235)),1,0)</f>
        <v/>
      </c>
      <c r="AE253">
        <f>IF(AND(ISNUMBER('자료_거시'!$M235),ISNUMBER('자료_거시'!$N235)),IF(AND(SUMIFS($AD$21:$AD$620,'자료_거시'!$M$3:$M$602,"&gt;"&amp;EDATE('자료_거시'!$M235,-'설정'!$B$17),'자료_거시'!$M$3:$M$602,"&lt;="&amp;'자료_거시'!$M235)=3,SUMIFS($AD$21:$AD$620,'자료_거시'!$M$3:$M$602,"&gt;"&amp;EDATE('자료_거시'!$M235,-12-'설정'!$B$17),'자료_거시'!$M$3:$M$602,"&lt;="&amp;EDATE('자료_거시'!$M235,-12))=3),IFERROR(SUMIFS('자료_거시'!$N$3:$N$602,'자료_거시'!$M$3:$M$602,"&gt;"&amp;EDATE('자료_거시'!$M235,-'설정'!$B$17),'자료_거시'!$M$3:$M$602,"&lt;="&amp;'자료_거시'!$M235)/SUMIFS('자료_거시'!$N$3:$N$602,'자료_거시'!$M$3:$M$602,"&gt;"&amp;EDATE('자료_거시'!$M235,-12-'설정'!$B$17),'자료_거시'!$M$3:$M$602,"&lt;="&amp;EDATE('자료_거시'!$M235,-12))-1,""),""),"")</f>
        <v/>
      </c>
      <c r="AF253">
        <f>IF(ISNUMBER(AE253),'자료_거시'!$M235,"")</f>
        <v/>
      </c>
      <c r="AG253">
        <f>IF(ISNUMBER(AF253),IF(AF253&gt;$L$9,AE253,""),"")</f>
        <v/>
      </c>
    </row>
    <row r="254">
      <c r="P254">
        <f>IF(AND(ISNUMBER('자료_거시'!$A236),ISNUMBER('자료_거시'!$B236)),'자료_거시'!$B236,"")</f>
        <v/>
      </c>
      <c r="Q254">
        <f>IF(ISNUMBER(P254),'자료_거시'!$A236,"")</f>
        <v/>
      </c>
      <c r="R254">
        <f>IF(ISNUMBER(Q254),IF(Q254&gt;$L$5,P254,""),"")</f>
        <v/>
      </c>
      <c r="S254">
        <f>IF(ISNUMBER('자료_거시'!$E236),'자료_거시'!$E236,S253)</f>
        <v/>
      </c>
      <c r="T254">
        <f>IF(AND(ISNUMBER('자료_거시'!$D236),ISNUMBER('자료_거시'!$E236)),IFERROR('자료_거시'!$E236-INDEX($S$21:$S$4020,MATCH(EDATE('자료_거시'!$D236,-'설정'!$B$17),'자료_거시'!$D$3:INDEX('자료_거시'!$D$3:$D$4002,$K$6),1)),""),"")</f>
        <v/>
      </c>
      <c r="U254">
        <f>IF(ISNUMBER(T254),'자료_거시'!$D236,"")</f>
        <v/>
      </c>
      <c r="V254">
        <f>IF(ISNUMBER(U254),IF(U254&gt;$L$6,T254,""),"")</f>
        <v/>
      </c>
      <c r="W254">
        <f>IF(AND(ISNUMBER('자료_거시'!$G236),ISNUMBER('자료_거시'!$H236)),'자료_거시'!$H236,"")</f>
        <v/>
      </c>
      <c r="X254">
        <f>IF(ISNUMBER(W254),'자료_거시'!$G236,"")</f>
        <v/>
      </c>
      <c r="Y254">
        <f>IF(ISNUMBER(X254),IF(X254&gt;$L$7,W254,""),"")</f>
        <v/>
      </c>
      <c r="Z254">
        <f>IF(ISNUMBER('자료_거시'!$K236),'자료_거시'!$K236,Z253)</f>
        <v/>
      </c>
      <c r="AA254">
        <f>IF(AND(ISNUMBER('자료_거시'!$J236),ISNUMBER('자료_거시'!$K236)),IFERROR('자료_거시'!$K236/INDEX($Z$21:$Z$4020,MATCH(EDATE('자료_거시'!$J236,-'설정'!$B$17),'자료_거시'!$J$3:INDEX('자료_거시'!$J$3:$J$4002,$K$8),1))-1,""),"")</f>
        <v/>
      </c>
      <c r="AB254">
        <f>IF(ISNUMBER(AA254),'자료_거시'!$J236,"")</f>
        <v/>
      </c>
      <c r="AC254">
        <f>IF(ISNUMBER(AB254),IF(AB254&gt;$L$8,AA254,""),"")</f>
        <v/>
      </c>
      <c r="AD254">
        <f>IF(AND(ISNUMBER('자료_거시'!$M236),ISNUMBER('자료_거시'!$N236)),1,0)</f>
        <v/>
      </c>
      <c r="AE254">
        <f>IF(AND(ISNUMBER('자료_거시'!$M236),ISNUMBER('자료_거시'!$N236)),IF(AND(SUMIFS($AD$21:$AD$620,'자료_거시'!$M$3:$M$602,"&gt;"&amp;EDATE('자료_거시'!$M236,-'설정'!$B$17),'자료_거시'!$M$3:$M$602,"&lt;="&amp;'자료_거시'!$M236)=3,SUMIFS($AD$21:$AD$620,'자료_거시'!$M$3:$M$602,"&gt;"&amp;EDATE('자료_거시'!$M236,-12-'설정'!$B$17),'자료_거시'!$M$3:$M$602,"&lt;="&amp;EDATE('자료_거시'!$M236,-12))=3),IFERROR(SUMIFS('자료_거시'!$N$3:$N$602,'자료_거시'!$M$3:$M$602,"&gt;"&amp;EDATE('자료_거시'!$M236,-'설정'!$B$17),'자료_거시'!$M$3:$M$602,"&lt;="&amp;'자료_거시'!$M236)/SUMIFS('자료_거시'!$N$3:$N$602,'자료_거시'!$M$3:$M$602,"&gt;"&amp;EDATE('자료_거시'!$M236,-12-'설정'!$B$17),'자료_거시'!$M$3:$M$602,"&lt;="&amp;EDATE('자료_거시'!$M236,-12))-1,""),""),"")</f>
        <v/>
      </c>
      <c r="AF254">
        <f>IF(ISNUMBER(AE254),'자료_거시'!$M236,"")</f>
        <v/>
      </c>
      <c r="AG254">
        <f>IF(ISNUMBER(AF254),IF(AF254&gt;$L$9,AE254,""),"")</f>
        <v/>
      </c>
    </row>
    <row r="255">
      <c r="P255">
        <f>IF(AND(ISNUMBER('자료_거시'!$A237),ISNUMBER('자료_거시'!$B237)),'자료_거시'!$B237,"")</f>
        <v/>
      </c>
      <c r="Q255">
        <f>IF(ISNUMBER(P255),'자료_거시'!$A237,"")</f>
        <v/>
      </c>
      <c r="R255">
        <f>IF(ISNUMBER(Q255),IF(Q255&gt;$L$5,P255,""),"")</f>
        <v/>
      </c>
      <c r="S255">
        <f>IF(ISNUMBER('자료_거시'!$E237),'자료_거시'!$E237,S254)</f>
        <v/>
      </c>
      <c r="T255">
        <f>IF(AND(ISNUMBER('자료_거시'!$D237),ISNUMBER('자료_거시'!$E237)),IFERROR('자료_거시'!$E237-INDEX($S$21:$S$4020,MATCH(EDATE('자료_거시'!$D237,-'설정'!$B$17),'자료_거시'!$D$3:INDEX('자료_거시'!$D$3:$D$4002,$K$6),1)),""),"")</f>
        <v/>
      </c>
      <c r="U255">
        <f>IF(ISNUMBER(T255),'자료_거시'!$D237,"")</f>
        <v/>
      </c>
      <c r="V255">
        <f>IF(ISNUMBER(U255),IF(U255&gt;$L$6,T255,""),"")</f>
        <v/>
      </c>
      <c r="W255">
        <f>IF(AND(ISNUMBER('자료_거시'!$G237),ISNUMBER('자료_거시'!$H237)),'자료_거시'!$H237,"")</f>
        <v/>
      </c>
      <c r="X255">
        <f>IF(ISNUMBER(W255),'자료_거시'!$G237,"")</f>
        <v/>
      </c>
      <c r="Y255">
        <f>IF(ISNUMBER(X255),IF(X255&gt;$L$7,W255,""),"")</f>
        <v/>
      </c>
      <c r="Z255">
        <f>IF(ISNUMBER('자료_거시'!$K237),'자료_거시'!$K237,Z254)</f>
        <v/>
      </c>
      <c r="AA255">
        <f>IF(AND(ISNUMBER('자료_거시'!$J237),ISNUMBER('자료_거시'!$K237)),IFERROR('자료_거시'!$K237/INDEX($Z$21:$Z$4020,MATCH(EDATE('자료_거시'!$J237,-'설정'!$B$17),'자료_거시'!$J$3:INDEX('자료_거시'!$J$3:$J$4002,$K$8),1))-1,""),"")</f>
        <v/>
      </c>
      <c r="AB255">
        <f>IF(ISNUMBER(AA255),'자료_거시'!$J237,"")</f>
        <v/>
      </c>
      <c r="AC255">
        <f>IF(ISNUMBER(AB255),IF(AB255&gt;$L$8,AA255,""),"")</f>
        <v/>
      </c>
      <c r="AD255">
        <f>IF(AND(ISNUMBER('자료_거시'!$M237),ISNUMBER('자료_거시'!$N237)),1,0)</f>
        <v/>
      </c>
      <c r="AE255">
        <f>IF(AND(ISNUMBER('자료_거시'!$M237),ISNUMBER('자료_거시'!$N237)),IF(AND(SUMIFS($AD$21:$AD$620,'자료_거시'!$M$3:$M$602,"&gt;"&amp;EDATE('자료_거시'!$M237,-'설정'!$B$17),'자료_거시'!$M$3:$M$602,"&lt;="&amp;'자료_거시'!$M237)=3,SUMIFS($AD$21:$AD$620,'자료_거시'!$M$3:$M$602,"&gt;"&amp;EDATE('자료_거시'!$M237,-12-'설정'!$B$17),'자료_거시'!$M$3:$M$602,"&lt;="&amp;EDATE('자료_거시'!$M237,-12))=3),IFERROR(SUMIFS('자료_거시'!$N$3:$N$602,'자료_거시'!$M$3:$M$602,"&gt;"&amp;EDATE('자료_거시'!$M237,-'설정'!$B$17),'자료_거시'!$M$3:$M$602,"&lt;="&amp;'자료_거시'!$M237)/SUMIFS('자료_거시'!$N$3:$N$602,'자료_거시'!$M$3:$M$602,"&gt;"&amp;EDATE('자료_거시'!$M237,-12-'설정'!$B$17),'자료_거시'!$M$3:$M$602,"&lt;="&amp;EDATE('자료_거시'!$M237,-12))-1,""),""),"")</f>
        <v/>
      </c>
      <c r="AF255">
        <f>IF(ISNUMBER(AE255),'자료_거시'!$M237,"")</f>
        <v/>
      </c>
      <c r="AG255">
        <f>IF(ISNUMBER(AF255),IF(AF255&gt;$L$9,AE255,""),"")</f>
        <v/>
      </c>
    </row>
    <row r="256">
      <c r="P256">
        <f>IF(AND(ISNUMBER('자료_거시'!$A238),ISNUMBER('자료_거시'!$B238)),'자료_거시'!$B238,"")</f>
        <v/>
      </c>
      <c r="Q256">
        <f>IF(ISNUMBER(P256),'자료_거시'!$A238,"")</f>
        <v/>
      </c>
      <c r="R256">
        <f>IF(ISNUMBER(Q256),IF(Q256&gt;$L$5,P256,""),"")</f>
        <v/>
      </c>
      <c r="S256">
        <f>IF(ISNUMBER('자료_거시'!$E238),'자료_거시'!$E238,S255)</f>
        <v/>
      </c>
      <c r="T256">
        <f>IF(AND(ISNUMBER('자료_거시'!$D238),ISNUMBER('자료_거시'!$E238)),IFERROR('자료_거시'!$E238-INDEX($S$21:$S$4020,MATCH(EDATE('자료_거시'!$D238,-'설정'!$B$17),'자료_거시'!$D$3:INDEX('자료_거시'!$D$3:$D$4002,$K$6),1)),""),"")</f>
        <v/>
      </c>
      <c r="U256">
        <f>IF(ISNUMBER(T256),'자료_거시'!$D238,"")</f>
        <v/>
      </c>
      <c r="V256">
        <f>IF(ISNUMBER(U256),IF(U256&gt;$L$6,T256,""),"")</f>
        <v/>
      </c>
      <c r="W256">
        <f>IF(AND(ISNUMBER('자료_거시'!$G238),ISNUMBER('자료_거시'!$H238)),'자료_거시'!$H238,"")</f>
        <v/>
      </c>
      <c r="X256">
        <f>IF(ISNUMBER(W256),'자료_거시'!$G238,"")</f>
        <v/>
      </c>
      <c r="Y256">
        <f>IF(ISNUMBER(X256),IF(X256&gt;$L$7,W256,""),"")</f>
        <v/>
      </c>
      <c r="Z256">
        <f>IF(ISNUMBER('자료_거시'!$K238),'자료_거시'!$K238,Z255)</f>
        <v/>
      </c>
      <c r="AA256">
        <f>IF(AND(ISNUMBER('자료_거시'!$J238),ISNUMBER('자료_거시'!$K238)),IFERROR('자료_거시'!$K238/INDEX($Z$21:$Z$4020,MATCH(EDATE('자료_거시'!$J238,-'설정'!$B$17),'자료_거시'!$J$3:INDEX('자료_거시'!$J$3:$J$4002,$K$8),1))-1,""),"")</f>
        <v/>
      </c>
      <c r="AB256">
        <f>IF(ISNUMBER(AA256),'자료_거시'!$J238,"")</f>
        <v/>
      </c>
      <c r="AC256">
        <f>IF(ISNUMBER(AB256),IF(AB256&gt;$L$8,AA256,""),"")</f>
        <v/>
      </c>
      <c r="AD256">
        <f>IF(AND(ISNUMBER('자료_거시'!$M238),ISNUMBER('자료_거시'!$N238)),1,0)</f>
        <v/>
      </c>
      <c r="AE256">
        <f>IF(AND(ISNUMBER('자료_거시'!$M238),ISNUMBER('자료_거시'!$N238)),IF(AND(SUMIFS($AD$21:$AD$620,'자료_거시'!$M$3:$M$602,"&gt;"&amp;EDATE('자료_거시'!$M238,-'설정'!$B$17),'자료_거시'!$M$3:$M$602,"&lt;="&amp;'자료_거시'!$M238)=3,SUMIFS($AD$21:$AD$620,'자료_거시'!$M$3:$M$602,"&gt;"&amp;EDATE('자료_거시'!$M238,-12-'설정'!$B$17),'자료_거시'!$M$3:$M$602,"&lt;="&amp;EDATE('자료_거시'!$M238,-12))=3),IFERROR(SUMIFS('자료_거시'!$N$3:$N$602,'자료_거시'!$M$3:$M$602,"&gt;"&amp;EDATE('자료_거시'!$M238,-'설정'!$B$17),'자료_거시'!$M$3:$M$602,"&lt;="&amp;'자료_거시'!$M238)/SUMIFS('자료_거시'!$N$3:$N$602,'자료_거시'!$M$3:$M$602,"&gt;"&amp;EDATE('자료_거시'!$M238,-12-'설정'!$B$17),'자료_거시'!$M$3:$M$602,"&lt;="&amp;EDATE('자료_거시'!$M238,-12))-1,""),""),"")</f>
        <v/>
      </c>
      <c r="AF256">
        <f>IF(ISNUMBER(AE256),'자료_거시'!$M238,"")</f>
        <v/>
      </c>
      <c r="AG256">
        <f>IF(ISNUMBER(AF256),IF(AF256&gt;$L$9,AE256,""),"")</f>
        <v/>
      </c>
    </row>
    <row r="257">
      <c r="P257">
        <f>IF(AND(ISNUMBER('자료_거시'!$A239),ISNUMBER('자료_거시'!$B239)),'자료_거시'!$B239,"")</f>
        <v/>
      </c>
      <c r="Q257">
        <f>IF(ISNUMBER(P257),'자료_거시'!$A239,"")</f>
        <v/>
      </c>
      <c r="R257">
        <f>IF(ISNUMBER(Q257),IF(Q257&gt;$L$5,P257,""),"")</f>
        <v/>
      </c>
      <c r="S257">
        <f>IF(ISNUMBER('자료_거시'!$E239),'자료_거시'!$E239,S256)</f>
        <v/>
      </c>
      <c r="T257">
        <f>IF(AND(ISNUMBER('자료_거시'!$D239),ISNUMBER('자료_거시'!$E239)),IFERROR('자료_거시'!$E239-INDEX($S$21:$S$4020,MATCH(EDATE('자료_거시'!$D239,-'설정'!$B$17),'자료_거시'!$D$3:INDEX('자료_거시'!$D$3:$D$4002,$K$6),1)),""),"")</f>
        <v/>
      </c>
      <c r="U257">
        <f>IF(ISNUMBER(T257),'자료_거시'!$D239,"")</f>
        <v/>
      </c>
      <c r="V257">
        <f>IF(ISNUMBER(U257),IF(U257&gt;$L$6,T257,""),"")</f>
        <v/>
      </c>
      <c r="W257">
        <f>IF(AND(ISNUMBER('자료_거시'!$G239),ISNUMBER('자료_거시'!$H239)),'자료_거시'!$H239,"")</f>
        <v/>
      </c>
      <c r="X257">
        <f>IF(ISNUMBER(W257),'자료_거시'!$G239,"")</f>
        <v/>
      </c>
      <c r="Y257">
        <f>IF(ISNUMBER(X257),IF(X257&gt;$L$7,W257,""),"")</f>
        <v/>
      </c>
      <c r="Z257">
        <f>IF(ISNUMBER('자료_거시'!$K239),'자료_거시'!$K239,Z256)</f>
        <v/>
      </c>
      <c r="AA257">
        <f>IF(AND(ISNUMBER('자료_거시'!$J239),ISNUMBER('자료_거시'!$K239)),IFERROR('자료_거시'!$K239/INDEX($Z$21:$Z$4020,MATCH(EDATE('자료_거시'!$J239,-'설정'!$B$17),'자료_거시'!$J$3:INDEX('자료_거시'!$J$3:$J$4002,$K$8),1))-1,""),"")</f>
        <v/>
      </c>
      <c r="AB257">
        <f>IF(ISNUMBER(AA257),'자료_거시'!$J239,"")</f>
        <v/>
      </c>
      <c r="AC257">
        <f>IF(ISNUMBER(AB257),IF(AB257&gt;$L$8,AA257,""),"")</f>
        <v/>
      </c>
      <c r="AD257">
        <f>IF(AND(ISNUMBER('자료_거시'!$M239),ISNUMBER('자료_거시'!$N239)),1,0)</f>
        <v/>
      </c>
      <c r="AE257">
        <f>IF(AND(ISNUMBER('자료_거시'!$M239),ISNUMBER('자료_거시'!$N239)),IF(AND(SUMIFS($AD$21:$AD$620,'자료_거시'!$M$3:$M$602,"&gt;"&amp;EDATE('자료_거시'!$M239,-'설정'!$B$17),'자료_거시'!$M$3:$M$602,"&lt;="&amp;'자료_거시'!$M239)=3,SUMIFS($AD$21:$AD$620,'자료_거시'!$M$3:$M$602,"&gt;"&amp;EDATE('자료_거시'!$M239,-12-'설정'!$B$17),'자료_거시'!$M$3:$M$602,"&lt;="&amp;EDATE('자료_거시'!$M239,-12))=3),IFERROR(SUMIFS('자료_거시'!$N$3:$N$602,'자료_거시'!$M$3:$M$602,"&gt;"&amp;EDATE('자료_거시'!$M239,-'설정'!$B$17),'자료_거시'!$M$3:$M$602,"&lt;="&amp;'자료_거시'!$M239)/SUMIFS('자료_거시'!$N$3:$N$602,'자료_거시'!$M$3:$M$602,"&gt;"&amp;EDATE('자료_거시'!$M239,-12-'설정'!$B$17),'자료_거시'!$M$3:$M$602,"&lt;="&amp;EDATE('자료_거시'!$M239,-12))-1,""),""),"")</f>
        <v/>
      </c>
      <c r="AF257">
        <f>IF(ISNUMBER(AE257),'자료_거시'!$M239,"")</f>
        <v/>
      </c>
      <c r="AG257">
        <f>IF(ISNUMBER(AF257),IF(AF257&gt;$L$9,AE257,""),"")</f>
        <v/>
      </c>
    </row>
    <row r="258">
      <c r="P258">
        <f>IF(AND(ISNUMBER('자료_거시'!$A240),ISNUMBER('자료_거시'!$B240)),'자료_거시'!$B240,"")</f>
        <v/>
      </c>
      <c r="Q258">
        <f>IF(ISNUMBER(P258),'자료_거시'!$A240,"")</f>
        <v/>
      </c>
      <c r="R258">
        <f>IF(ISNUMBER(Q258),IF(Q258&gt;$L$5,P258,""),"")</f>
        <v/>
      </c>
      <c r="S258">
        <f>IF(ISNUMBER('자료_거시'!$E240),'자료_거시'!$E240,S257)</f>
        <v/>
      </c>
      <c r="T258">
        <f>IF(AND(ISNUMBER('자료_거시'!$D240),ISNUMBER('자료_거시'!$E240)),IFERROR('자료_거시'!$E240-INDEX($S$21:$S$4020,MATCH(EDATE('자료_거시'!$D240,-'설정'!$B$17),'자료_거시'!$D$3:INDEX('자료_거시'!$D$3:$D$4002,$K$6),1)),""),"")</f>
        <v/>
      </c>
      <c r="U258">
        <f>IF(ISNUMBER(T258),'자료_거시'!$D240,"")</f>
        <v/>
      </c>
      <c r="V258">
        <f>IF(ISNUMBER(U258),IF(U258&gt;$L$6,T258,""),"")</f>
        <v/>
      </c>
      <c r="W258">
        <f>IF(AND(ISNUMBER('자료_거시'!$G240),ISNUMBER('자료_거시'!$H240)),'자료_거시'!$H240,"")</f>
        <v/>
      </c>
      <c r="X258">
        <f>IF(ISNUMBER(W258),'자료_거시'!$G240,"")</f>
        <v/>
      </c>
      <c r="Y258">
        <f>IF(ISNUMBER(X258),IF(X258&gt;$L$7,W258,""),"")</f>
        <v/>
      </c>
      <c r="Z258">
        <f>IF(ISNUMBER('자료_거시'!$K240),'자료_거시'!$K240,Z257)</f>
        <v/>
      </c>
      <c r="AA258">
        <f>IF(AND(ISNUMBER('자료_거시'!$J240),ISNUMBER('자료_거시'!$K240)),IFERROR('자료_거시'!$K240/INDEX($Z$21:$Z$4020,MATCH(EDATE('자료_거시'!$J240,-'설정'!$B$17),'자료_거시'!$J$3:INDEX('자료_거시'!$J$3:$J$4002,$K$8),1))-1,""),"")</f>
        <v/>
      </c>
      <c r="AB258">
        <f>IF(ISNUMBER(AA258),'자료_거시'!$J240,"")</f>
        <v/>
      </c>
      <c r="AC258">
        <f>IF(ISNUMBER(AB258),IF(AB258&gt;$L$8,AA258,""),"")</f>
        <v/>
      </c>
      <c r="AD258">
        <f>IF(AND(ISNUMBER('자료_거시'!$M240),ISNUMBER('자료_거시'!$N240)),1,0)</f>
        <v/>
      </c>
      <c r="AE258">
        <f>IF(AND(ISNUMBER('자료_거시'!$M240),ISNUMBER('자료_거시'!$N240)),IF(AND(SUMIFS($AD$21:$AD$620,'자료_거시'!$M$3:$M$602,"&gt;"&amp;EDATE('자료_거시'!$M240,-'설정'!$B$17),'자료_거시'!$M$3:$M$602,"&lt;="&amp;'자료_거시'!$M240)=3,SUMIFS($AD$21:$AD$620,'자료_거시'!$M$3:$M$602,"&gt;"&amp;EDATE('자료_거시'!$M240,-12-'설정'!$B$17),'자료_거시'!$M$3:$M$602,"&lt;="&amp;EDATE('자료_거시'!$M240,-12))=3),IFERROR(SUMIFS('자료_거시'!$N$3:$N$602,'자료_거시'!$M$3:$M$602,"&gt;"&amp;EDATE('자료_거시'!$M240,-'설정'!$B$17),'자료_거시'!$M$3:$M$602,"&lt;="&amp;'자료_거시'!$M240)/SUMIFS('자료_거시'!$N$3:$N$602,'자료_거시'!$M$3:$M$602,"&gt;"&amp;EDATE('자료_거시'!$M240,-12-'설정'!$B$17),'자료_거시'!$M$3:$M$602,"&lt;="&amp;EDATE('자료_거시'!$M240,-12))-1,""),""),"")</f>
        <v/>
      </c>
      <c r="AF258">
        <f>IF(ISNUMBER(AE258),'자료_거시'!$M240,"")</f>
        <v/>
      </c>
      <c r="AG258">
        <f>IF(ISNUMBER(AF258),IF(AF258&gt;$L$9,AE258,""),"")</f>
        <v/>
      </c>
    </row>
    <row r="259">
      <c r="P259">
        <f>IF(AND(ISNUMBER('자료_거시'!$A241),ISNUMBER('자료_거시'!$B241)),'자료_거시'!$B241,"")</f>
        <v/>
      </c>
      <c r="Q259">
        <f>IF(ISNUMBER(P259),'자료_거시'!$A241,"")</f>
        <v/>
      </c>
      <c r="R259">
        <f>IF(ISNUMBER(Q259),IF(Q259&gt;$L$5,P259,""),"")</f>
        <v/>
      </c>
      <c r="S259">
        <f>IF(ISNUMBER('자료_거시'!$E241),'자료_거시'!$E241,S258)</f>
        <v/>
      </c>
      <c r="T259">
        <f>IF(AND(ISNUMBER('자료_거시'!$D241),ISNUMBER('자료_거시'!$E241)),IFERROR('자료_거시'!$E241-INDEX($S$21:$S$4020,MATCH(EDATE('자료_거시'!$D241,-'설정'!$B$17),'자료_거시'!$D$3:INDEX('자료_거시'!$D$3:$D$4002,$K$6),1)),""),"")</f>
        <v/>
      </c>
      <c r="U259">
        <f>IF(ISNUMBER(T259),'자료_거시'!$D241,"")</f>
        <v/>
      </c>
      <c r="V259">
        <f>IF(ISNUMBER(U259),IF(U259&gt;$L$6,T259,""),"")</f>
        <v/>
      </c>
      <c r="W259">
        <f>IF(AND(ISNUMBER('자료_거시'!$G241),ISNUMBER('자료_거시'!$H241)),'자료_거시'!$H241,"")</f>
        <v/>
      </c>
      <c r="X259">
        <f>IF(ISNUMBER(W259),'자료_거시'!$G241,"")</f>
        <v/>
      </c>
      <c r="Y259">
        <f>IF(ISNUMBER(X259),IF(X259&gt;$L$7,W259,""),"")</f>
        <v/>
      </c>
      <c r="Z259">
        <f>IF(ISNUMBER('자료_거시'!$K241),'자료_거시'!$K241,Z258)</f>
        <v/>
      </c>
      <c r="AA259">
        <f>IF(AND(ISNUMBER('자료_거시'!$J241),ISNUMBER('자료_거시'!$K241)),IFERROR('자료_거시'!$K241/INDEX($Z$21:$Z$4020,MATCH(EDATE('자료_거시'!$J241,-'설정'!$B$17),'자료_거시'!$J$3:INDEX('자료_거시'!$J$3:$J$4002,$K$8),1))-1,""),"")</f>
        <v/>
      </c>
      <c r="AB259">
        <f>IF(ISNUMBER(AA259),'자료_거시'!$J241,"")</f>
        <v/>
      </c>
      <c r="AC259">
        <f>IF(ISNUMBER(AB259),IF(AB259&gt;$L$8,AA259,""),"")</f>
        <v/>
      </c>
      <c r="AD259">
        <f>IF(AND(ISNUMBER('자료_거시'!$M241),ISNUMBER('자료_거시'!$N241)),1,0)</f>
        <v/>
      </c>
      <c r="AE259">
        <f>IF(AND(ISNUMBER('자료_거시'!$M241),ISNUMBER('자료_거시'!$N241)),IF(AND(SUMIFS($AD$21:$AD$620,'자료_거시'!$M$3:$M$602,"&gt;"&amp;EDATE('자료_거시'!$M241,-'설정'!$B$17),'자료_거시'!$M$3:$M$602,"&lt;="&amp;'자료_거시'!$M241)=3,SUMIFS($AD$21:$AD$620,'자료_거시'!$M$3:$M$602,"&gt;"&amp;EDATE('자료_거시'!$M241,-12-'설정'!$B$17),'자료_거시'!$M$3:$M$602,"&lt;="&amp;EDATE('자료_거시'!$M241,-12))=3),IFERROR(SUMIFS('자료_거시'!$N$3:$N$602,'자료_거시'!$M$3:$M$602,"&gt;"&amp;EDATE('자료_거시'!$M241,-'설정'!$B$17),'자료_거시'!$M$3:$M$602,"&lt;="&amp;'자료_거시'!$M241)/SUMIFS('자료_거시'!$N$3:$N$602,'자료_거시'!$M$3:$M$602,"&gt;"&amp;EDATE('자료_거시'!$M241,-12-'설정'!$B$17),'자료_거시'!$M$3:$M$602,"&lt;="&amp;EDATE('자료_거시'!$M241,-12))-1,""),""),"")</f>
        <v/>
      </c>
      <c r="AF259">
        <f>IF(ISNUMBER(AE259),'자료_거시'!$M241,"")</f>
        <v/>
      </c>
      <c r="AG259">
        <f>IF(ISNUMBER(AF259),IF(AF259&gt;$L$9,AE259,""),"")</f>
        <v/>
      </c>
    </row>
    <row r="260">
      <c r="P260">
        <f>IF(AND(ISNUMBER('자료_거시'!$A242),ISNUMBER('자료_거시'!$B242)),'자료_거시'!$B242,"")</f>
        <v/>
      </c>
      <c r="Q260">
        <f>IF(ISNUMBER(P260),'자료_거시'!$A242,"")</f>
        <v/>
      </c>
      <c r="R260">
        <f>IF(ISNUMBER(Q260),IF(Q260&gt;$L$5,P260,""),"")</f>
        <v/>
      </c>
      <c r="S260">
        <f>IF(ISNUMBER('자료_거시'!$E242),'자료_거시'!$E242,S259)</f>
        <v/>
      </c>
      <c r="T260">
        <f>IF(AND(ISNUMBER('자료_거시'!$D242),ISNUMBER('자료_거시'!$E242)),IFERROR('자료_거시'!$E242-INDEX($S$21:$S$4020,MATCH(EDATE('자료_거시'!$D242,-'설정'!$B$17),'자료_거시'!$D$3:INDEX('자료_거시'!$D$3:$D$4002,$K$6),1)),""),"")</f>
        <v/>
      </c>
      <c r="U260">
        <f>IF(ISNUMBER(T260),'자료_거시'!$D242,"")</f>
        <v/>
      </c>
      <c r="V260">
        <f>IF(ISNUMBER(U260),IF(U260&gt;$L$6,T260,""),"")</f>
        <v/>
      </c>
      <c r="W260">
        <f>IF(AND(ISNUMBER('자료_거시'!$G242),ISNUMBER('자료_거시'!$H242)),'자료_거시'!$H242,"")</f>
        <v/>
      </c>
      <c r="X260">
        <f>IF(ISNUMBER(W260),'자료_거시'!$G242,"")</f>
        <v/>
      </c>
      <c r="Y260">
        <f>IF(ISNUMBER(X260),IF(X260&gt;$L$7,W260,""),"")</f>
        <v/>
      </c>
      <c r="Z260">
        <f>IF(ISNUMBER('자료_거시'!$K242),'자료_거시'!$K242,Z259)</f>
        <v/>
      </c>
      <c r="AA260">
        <f>IF(AND(ISNUMBER('자료_거시'!$J242),ISNUMBER('자료_거시'!$K242)),IFERROR('자료_거시'!$K242/INDEX($Z$21:$Z$4020,MATCH(EDATE('자료_거시'!$J242,-'설정'!$B$17),'자료_거시'!$J$3:INDEX('자료_거시'!$J$3:$J$4002,$K$8),1))-1,""),"")</f>
        <v/>
      </c>
      <c r="AB260">
        <f>IF(ISNUMBER(AA260),'자료_거시'!$J242,"")</f>
        <v/>
      </c>
      <c r="AC260">
        <f>IF(ISNUMBER(AB260),IF(AB260&gt;$L$8,AA260,""),"")</f>
        <v/>
      </c>
      <c r="AD260">
        <f>IF(AND(ISNUMBER('자료_거시'!$M242),ISNUMBER('자료_거시'!$N242)),1,0)</f>
        <v/>
      </c>
      <c r="AE260">
        <f>IF(AND(ISNUMBER('자료_거시'!$M242),ISNUMBER('자료_거시'!$N242)),IF(AND(SUMIFS($AD$21:$AD$620,'자료_거시'!$M$3:$M$602,"&gt;"&amp;EDATE('자료_거시'!$M242,-'설정'!$B$17),'자료_거시'!$M$3:$M$602,"&lt;="&amp;'자료_거시'!$M242)=3,SUMIFS($AD$21:$AD$620,'자료_거시'!$M$3:$M$602,"&gt;"&amp;EDATE('자료_거시'!$M242,-12-'설정'!$B$17),'자료_거시'!$M$3:$M$602,"&lt;="&amp;EDATE('자료_거시'!$M242,-12))=3),IFERROR(SUMIFS('자료_거시'!$N$3:$N$602,'자료_거시'!$M$3:$M$602,"&gt;"&amp;EDATE('자료_거시'!$M242,-'설정'!$B$17),'자료_거시'!$M$3:$M$602,"&lt;="&amp;'자료_거시'!$M242)/SUMIFS('자료_거시'!$N$3:$N$602,'자료_거시'!$M$3:$M$602,"&gt;"&amp;EDATE('자료_거시'!$M242,-12-'설정'!$B$17),'자료_거시'!$M$3:$M$602,"&lt;="&amp;EDATE('자료_거시'!$M242,-12))-1,""),""),"")</f>
        <v/>
      </c>
      <c r="AF260">
        <f>IF(ISNUMBER(AE260),'자료_거시'!$M242,"")</f>
        <v/>
      </c>
      <c r="AG260">
        <f>IF(ISNUMBER(AF260),IF(AF260&gt;$L$9,AE260,""),"")</f>
        <v/>
      </c>
    </row>
    <row r="261">
      <c r="P261">
        <f>IF(AND(ISNUMBER('자료_거시'!$A243),ISNUMBER('자료_거시'!$B243)),'자료_거시'!$B243,"")</f>
        <v/>
      </c>
      <c r="Q261">
        <f>IF(ISNUMBER(P261),'자료_거시'!$A243,"")</f>
        <v/>
      </c>
      <c r="R261">
        <f>IF(ISNUMBER(Q261),IF(Q261&gt;$L$5,P261,""),"")</f>
        <v/>
      </c>
      <c r="S261">
        <f>IF(ISNUMBER('자료_거시'!$E243),'자료_거시'!$E243,S260)</f>
        <v/>
      </c>
      <c r="T261">
        <f>IF(AND(ISNUMBER('자료_거시'!$D243),ISNUMBER('자료_거시'!$E243)),IFERROR('자료_거시'!$E243-INDEX($S$21:$S$4020,MATCH(EDATE('자료_거시'!$D243,-'설정'!$B$17),'자료_거시'!$D$3:INDEX('자료_거시'!$D$3:$D$4002,$K$6),1)),""),"")</f>
        <v/>
      </c>
      <c r="U261">
        <f>IF(ISNUMBER(T261),'자료_거시'!$D243,"")</f>
        <v/>
      </c>
      <c r="V261">
        <f>IF(ISNUMBER(U261),IF(U261&gt;$L$6,T261,""),"")</f>
        <v/>
      </c>
      <c r="W261">
        <f>IF(AND(ISNUMBER('자료_거시'!$G243),ISNUMBER('자료_거시'!$H243)),'자료_거시'!$H243,"")</f>
        <v/>
      </c>
      <c r="X261">
        <f>IF(ISNUMBER(W261),'자료_거시'!$G243,"")</f>
        <v/>
      </c>
      <c r="Y261">
        <f>IF(ISNUMBER(X261),IF(X261&gt;$L$7,W261,""),"")</f>
        <v/>
      </c>
      <c r="Z261">
        <f>IF(ISNUMBER('자료_거시'!$K243),'자료_거시'!$K243,Z260)</f>
        <v/>
      </c>
      <c r="AA261">
        <f>IF(AND(ISNUMBER('자료_거시'!$J243),ISNUMBER('자료_거시'!$K243)),IFERROR('자료_거시'!$K243/INDEX($Z$21:$Z$4020,MATCH(EDATE('자료_거시'!$J243,-'설정'!$B$17),'자료_거시'!$J$3:INDEX('자료_거시'!$J$3:$J$4002,$K$8),1))-1,""),"")</f>
        <v/>
      </c>
      <c r="AB261">
        <f>IF(ISNUMBER(AA261),'자료_거시'!$J243,"")</f>
        <v/>
      </c>
      <c r="AC261">
        <f>IF(ISNUMBER(AB261),IF(AB261&gt;$L$8,AA261,""),"")</f>
        <v/>
      </c>
      <c r="AD261">
        <f>IF(AND(ISNUMBER('자료_거시'!$M243),ISNUMBER('자료_거시'!$N243)),1,0)</f>
        <v/>
      </c>
      <c r="AE261">
        <f>IF(AND(ISNUMBER('자료_거시'!$M243),ISNUMBER('자료_거시'!$N243)),IF(AND(SUMIFS($AD$21:$AD$620,'자료_거시'!$M$3:$M$602,"&gt;"&amp;EDATE('자료_거시'!$M243,-'설정'!$B$17),'자료_거시'!$M$3:$M$602,"&lt;="&amp;'자료_거시'!$M243)=3,SUMIFS($AD$21:$AD$620,'자료_거시'!$M$3:$M$602,"&gt;"&amp;EDATE('자료_거시'!$M243,-12-'설정'!$B$17),'자료_거시'!$M$3:$M$602,"&lt;="&amp;EDATE('자료_거시'!$M243,-12))=3),IFERROR(SUMIFS('자료_거시'!$N$3:$N$602,'자료_거시'!$M$3:$M$602,"&gt;"&amp;EDATE('자료_거시'!$M243,-'설정'!$B$17),'자료_거시'!$M$3:$M$602,"&lt;="&amp;'자료_거시'!$M243)/SUMIFS('자료_거시'!$N$3:$N$602,'자료_거시'!$M$3:$M$602,"&gt;"&amp;EDATE('자료_거시'!$M243,-12-'설정'!$B$17),'자료_거시'!$M$3:$M$602,"&lt;="&amp;EDATE('자료_거시'!$M243,-12))-1,""),""),"")</f>
        <v/>
      </c>
      <c r="AF261">
        <f>IF(ISNUMBER(AE261),'자료_거시'!$M243,"")</f>
        <v/>
      </c>
      <c r="AG261">
        <f>IF(ISNUMBER(AF261),IF(AF261&gt;$L$9,AE261,""),"")</f>
        <v/>
      </c>
    </row>
    <row r="262">
      <c r="P262">
        <f>IF(AND(ISNUMBER('자료_거시'!$A244),ISNUMBER('자료_거시'!$B244)),'자료_거시'!$B244,"")</f>
        <v/>
      </c>
      <c r="Q262">
        <f>IF(ISNUMBER(P262),'자료_거시'!$A244,"")</f>
        <v/>
      </c>
      <c r="R262">
        <f>IF(ISNUMBER(Q262),IF(Q262&gt;$L$5,P262,""),"")</f>
        <v/>
      </c>
      <c r="S262">
        <f>IF(ISNUMBER('자료_거시'!$E244),'자료_거시'!$E244,S261)</f>
        <v/>
      </c>
      <c r="T262">
        <f>IF(AND(ISNUMBER('자료_거시'!$D244),ISNUMBER('자료_거시'!$E244)),IFERROR('자료_거시'!$E244-INDEX($S$21:$S$4020,MATCH(EDATE('자료_거시'!$D244,-'설정'!$B$17),'자료_거시'!$D$3:INDEX('자료_거시'!$D$3:$D$4002,$K$6),1)),""),"")</f>
        <v/>
      </c>
      <c r="U262">
        <f>IF(ISNUMBER(T262),'자료_거시'!$D244,"")</f>
        <v/>
      </c>
      <c r="V262">
        <f>IF(ISNUMBER(U262),IF(U262&gt;$L$6,T262,""),"")</f>
        <v/>
      </c>
      <c r="W262">
        <f>IF(AND(ISNUMBER('자료_거시'!$G244),ISNUMBER('자료_거시'!$H244)),'자료_거시'!$H244,"")</f>
        <v/>
      </c>
      <c r="X262">
        <f>IF(ISNUMBER(W262),'자료_거시'!$G244,"")</f>
        <v/>
      </c>
      <c r="Y262">
        <f>IF(ISNUMBER(X262),IF(X262&gt;$L$7,W262,""),"")</f>
        <v/>
      </c>
      <c r="Z262">
        <f>IF(ISNUMBER('자료_거시'!$K244),'자료_거시'!$K244,Z261)</f>
        <v/>
      </c>
      <c r="AA262">
        <f>IF(AND(ISNUMBER('자료_거시'!$J244),ISNUMBER('자료_거시'!$K244)),IFERROR('자료_거시'!$K244/INDEX($Z$21:$Z$4020,MATCH(EDATE('자료_거시'!$J244,-'설정'!$B$17),'자료_거시'!$J$3:INDEX('자료_거시'!$J$3:$J$4002,$K$8),1))-1,""),"")</f>
        <v/>
      </c>
      <c r="AB262">
        <f>IF(ISNUMBER(AA262),'자료_거시'!$J244,"")</f>
        <v/>
      </c>
      <c r="AC262">
        <f>IF(ISNUMBER(AB262),IF(AB262&gt;$L$8,AA262,""),"")</f>
        <v/>
      </c>
      <c r="AD262">
        <f>IF(AND(ISNUMBER('자료_거시'!$M244),ISNUMBER('자료_거시'!$N244)),1,0)</f>
        <v/>
      </c>
      <c r="AE262">
        <f>IF(AND(ISNUMBER('자료_거시'!$M244),ISNUMBER('자료_거시'!$N244)),IF(AND(SUMIFS($AD$21:$AD$620,'자료_거시'!$M$3:$M$602,"&gt;"&amp;EDATE('자료_거시'!$M244,-'설정'!$B$17),'자료_거시'!$M$3:$M$602,"&lt;="&amp;'자료_거시'!$M244)=3,SUMIFS($AD$21:$AD$620,'자료_거시'!$M$3:$M$602,"&gt;"&amp;EDATE('자료_거시'!$M244,-12-'설정'!$B$17),'자료_거시'!$M$3:$M$602,"&lt;="&amp;EDATE('자료_거시'!$M244,-12))=3),IFERROR(SUMIFS('자료_거시'!$N$3:$N$602,'자료_거시'!$M$3:$M$602,"&gt;"&amp;EDATE('자료_거시'!$M244,-'설정'!$B$17),'자료_거시'!$M$3:$M$602,"&lt;="&amp;'자료_거시'!$M244)/SUMIFS('자료_거시'!$N$3:$N$602,'자료_거시'!$M$3:$M$602,"&gt;"&amp;EDATE('자료_거시'!$M244,-12-'설정'!$B$17),'자료_거시'!$M$3:$M$602,"&lt;="&amp;EDATE('자료_거시'!$M244,-12))-1,""),""),"")</f>
        <v/>
      </c>
      <c r="AF262">
        <f>IF(ISNUMBER(AE262),'자료_거시'!$M244,"")</f>
        <v/>
      </c>
      <c r="AG262">
        <f>IF(ISNUMBER(AF262),IF(AF262&gt;$L$9,AE262,""),"")</f>
        <v/>
      </c>
    </row>
    <row r="263">
      <c r="P263">
        <f>IF(AND(ISNUMBER('자료_거시'!$A245),ISNUMBER('자료_거시'!$B245)),'자료_거시'!$B245,"")</f>
        <v/>
      </c>
      <c r="Q263">
        <f>IF(ISNUMBER(P263),'자료_거시'!$A245,"")</f>
        <v/>
      </c>
      <c r="R263">
        <f>IF(ISNUMBER(Q263),IF(Q263&gt;$L$5,P263,""),"")</f>
        <v/>
      </c>
      <c r="S263">
        <f>IF(ISNUMBER('자료_거시'!$E245),'자료_거시'!$E245,S262)</f>
        <v/>
      </c>
      <c r="T263">
        <f>IF(AND(ISNUMBER('자료_거시'!$D245),ISNUMBER('자료_거시'!$E245)),IFERROR('자료_거시'!$E245-INDEX($S$21:$S$4020,MATCH(EDATE('자료_거시'!$D245,-'설정'!$B$17),'자료_거시'!$D$3:INDEX('자료_거시'!$D$3:$D$4002,$K$6),1)),""),"")</f>
        <v/>
      </c>
      <c r="U263">
        <f>IF(ISNUMBER(T263),'자료_거시'!$D245,"")</f>
        <v/>
      </c>
      <c r="V263">
        <f>IF(ISNUMBER(U263),IF(U263&gt;$L$6,T263,""),"")</f>
        <v/>
      </c>
      <c r="W263">
        <f>IF(AND(ISNUMBER('자료_거시'!$G245),ISNUMBER('자료_거시'!$H245)),'자료_거시'!$H245,"")</f>
        <v/>
      </c>
      <c r="X263">
        <f>IF(ISNUMBER(W263),'자료_거시'!$G245,"")</f>
        <v/>
      </c>
      <c r="Y263">
        <f>IF(ISNUMBER(X263),IF(X263&gt;$L$7,W263,""),"")</f>
        <v/>
      </c>
      <c r="Z263">
        <f>IF(ISNUMBER('자료_거시'!$K245),'자료_거시'!$K245,Z262)</f>
        <v/>
      </c>
      <c r="AA263">
        <f>IF(AND(ISNUMBER('자료_거시'!$J245),ISNUMBER('자료_거시'!$K245)),IFERROR('자료_거시'!$K245/INDEX($Z$21:$Z$4020,MATCH(EDATE('자료_거시'!$J245,-'설정'!$B$17),'자료_거시'!$J$3:INDEX('자료_거시'!$J$3:$J$4002,$K$8),1))-1,""),"")</f>
        <v/>
      </c>
      <c r="AB263">
        <f>IF(ISNUMBER(AA263),'자료_거시'!$J245,"")</f>
        <v/>
      </c>
      <c r="AC263">
        <f>IF(ISNUMBER(AB263),IF(AB263&gt;$L$8,AA263,""),"")</f>
        <v/>
      </c>
      <c r="AD263">
        <f>IF(AND(ISNUMBER('자료_거시'!$M245),ISNUMBER('자료_거시'!$N245)),1,0)</f>
        <v/>
      </c>
      <c r="AE263">
        <f>IF(AND(ISNUMBER('자료_거시'!$M245),ISNUMBER('자료_거시'!$N245)),IF(AND(SUMIFS($AD$21:$AD$620,'자료_거시'!$M$3:$M$602,"&gt;"&amp;EDATE('자료_거시'!$M245,-'설정'!$B$17),'자료_거시'!$M$3:$M$602,"&lt;="&amp;'자료_거시'!$M245)=3,SUMIFS($AD$21:$AD$620,'자료_거시'!$M$3:$M$602,"&gt;"&amp;EDATE('자료_거시'!$M245,-12-'설정'!$B$17),'자료_거시'!$M$3:$M$602,"&lt;="&amp;EDATE('자료_거시'!$M245,-12))=3),IFERROR(SUMIFS('자료_거시'!$N$3:$N$602,'자료_거시'!$M$3:$M$602,"&gt;"&amp;EDATE('자료_거시'!$M245,-'설정'!$B$17),'자료_거시'!$M$3:$M$602,"&lt;="&amp;'자료_거시'!$M245)/SUMIFS('자료_거시'!$N$3:$N$602,'자료_거시'!$M$3:$M$602,"&gt;"&amp;EDATE('자료_거시'!$M245,-12-'설정'!$B$17),'자료_거시'!$M$3:$M$602,"&lt;="&amp;EDATE('자료_거시'!$M245,-12))-1,""),""),"")</f>
        <v/>
      </c>
      <c r="AF263">
        <f>IF(ISNUMBER(AE263),'자료_거시'!$M245,"")</f>
        <v/>
      </c>
      <c r="AG263">
        <f>IF(ISNUMBER(AF263),IF(AF263&gt;$L$9,AE263,""),"")</f>
        <v/>
      </c>
    </row>
    <row r="264">
      <c r="P264">
        <f>IF(AND(ISNUMBER('자료_거시'!$A246),ISNUMBER('자료_거시'!$B246)),'자료_거시'!$B246,"")</f>
        <v/>
      </c>
      <c r="Q264">
        <f>IF(ISNUMBER(P264),'자료_거시'!$A246,"")</f>
        <v/>
      </c>
      <c r="R264">
        <f>IF(ISNUMBER(Q264),IF(Q264&gt;$L$5,P264,""),"")</f>
        <v/>
      </c>
      <c r="S264">
        <f>IF(ISNUMBER('자료_거시'!$E246),'자료_거시'!$E246,S263)</f>
        <v/>
      </c>
      <c r="T264">
        <f>IF(AND(ISNUMBER('자료_거시'!$D246),ISNUMBER('자료_거시'!$E246)),IFERROR('자료_거시'!$E246-INDEX($S$21:$S$4020,MATCH(EDATE('자료_거시'!$D246,-'설정'!$B$17),'자료_거시'!$D$3:INDEX('자료_거시'!$D$3:$D$4002,$K$6),1)),""),"")</f>
        <v/>
      </c>
      <c r="U264">
        <f>IF(ISNUMBER(T264),'자료_거시'!$D246,"")</f>
        <v/>
      </c>
      <c r="V264">
        <f>IF(ISNUMBER(U264),IF(U264&gt;$L$6,T264,""),"")</f>
        <v/>
      </c>
      <c r="W264">
        <f>IF(AND(ISNUMBER('자료_거시'!$G246),ISNUMBER('자료_거시'!$H246)),'자료_거시'!$H246,"")</f>
        <v/>
      </c>
      <c r="X264">
        <f>IF(ISNUMBER(W264),'자료_거시'!$G246,"")</f>
        <v/>
      </c>
      <c r="Y264">
        <f>IF(ISNUMBER(X264),IF(X264&gt;$L$7,W264,""),"")</f>
        <v/>
      </c>
      <c r="Z264">
        <f>IF(ISNUMBER('자료_거시'!$K246),'자료_거시'!$K246,Z263)</f>
        <v/>
      </c>
      <c r="AA264">
        <f>IF(AND(ISNUMBER('자료_거시'!$J246),ISNUMBER('자료_거시'!$K246)),IFERROR('자료_거시'!$K246/INDEX($Z$21:$Z$4020,MATCH(EDATE('자료_거시'!$J246,-'설정'!$B$17),'자료_거시'!$J$3:INDEX('자료_거시'!$J$3:$J$4002,$K$8),1))-1,""),"")</f>
        <v/>
      </c>
      <c r="AB264">
        <f>IF(ISNUMBER(AA264),'자료_거시'!$J246,"")</f>
        <v/>
      </c>
      <c r="AC264">
        <f>IF(ISNUMBER(AB264),IF(AB264&gt;$L$8,AA264,""),"")</f>
        <v/>
      </c>
      <c r="AD264">
        <f>IF(AND(ISNUMBER('자료_거시'!$M246),ISNUMBER('자료_거시'!$N246)),1,0)</f>
        <v/>
      </c>
      <c r="AE264">
        <f>IF(AND(ISNUMBER('자료_거시'!$M246),ISNUMBER('자료_거시'!$N246)),IF(AND(SUMIFS($AD$21:$AD$620,'자료_거시'!$M$3:$M$602,"&gt;"&amp;EDATE('자료_거시'!$M246,-'설정'!$B$17),'자료_거시'!$M$3:$M$602,"&lt;="&amp;'자료_거시'!$M246)=3,SUMIFS($AD$21:$AD$620,'자료_거시'!$M$3:$M$602,"&gt;"&amp;EDATE('자료_거시'!$M246,-12-'설정'!$B$17),'자료_거시'!$M$3:$M$602,"&lt;="&amp;EDATE('자료_거시'!$M246,-12))=3),IFERROR(SUMIFS('자료_거시'!$N$3:$N$602,'자료_거시'!$M$3:$M$602,"&gt;"&amp;EDATE('자료_거시'!$M246,-'설정'!$B$17),'자료_거시'!$M$3:$M$602,"&lt;="&amp;'자료_거시'!$M246)/SUMIFS('자료_거시'!$N$3:$N$602,'자료_거시'!$M$3:$M$602,"&gt;"&amp;EDATE('자료_거시'!$M246,-12-'설정'!$B$17),'자료_거시'!$M$3:$M$602,"&lt;="&amp;EDATE('자료_거시'!$M246,-12))-1,""),""),"")</f>
        <v/>
      </c>
      <c r="AF264">
        <f>IF(ISNUMBER(AE264),'자료_거시'!$M246,"")</f>
        <v/>
      </c>
      <c r="AG264">
        <f>IF(ISNUMBER(AF264),IF(AF264&gt;$L$9,AE264,""),"")</f>
        <v/>
      </c>
    </row>
    <row r="265">
      <c r="P265">
        <f>IF(AND(ISNUMBER('자료_거시'!$A247),ISNUMBER('자료_거시'!$B247)),'자료_거시'!$B247,"")</f>
        <v/>
      </c>
      <c r="Q265">
        <f>IF(ISNUMBER(P265),'자료_거시'!$A247,"")</f>
        <v/>
      </c>
      <c r="R265">
        <f>IF(ISNUMBER(Q265),IF(Q265&gt;$L$5,P265,""),"")</f>
        <v/>
      </c>
      <c r="S265">
        <f>IF(ISNUMBER('자료_거시'!$E247),'자료_거시'!$E247,S264)</f>
        <v/>
      </c>
      <c r="T265">
        <f>IF(AND(ISNUMBER('자료_거시'!$D247),ISNUMBER('자료_거시'!$E247)),IFERROR('자료_거시'!$E247-INDEX($S$21:$S$4020,MATCH(EDATE('자료_거시'!$D247,-'설정'!$B$17),'자료_거시'!$D$3:INDEX('자료_거시'!$D$3:$D$4002,$K$6),1)),""),"")</f>
        <v/>
      </c>
      <c r="U265">
        <f>IF(ISNUMBER(T265),'자료_거시'!$D247,"")</f>
        <v/>
      </c>
      <c r="V265">
        <f>IF(ISNUMBER(U265),IF(U265&gt;$L$6,T265,""),"")</f>
        <v/>
      </c>
      <c r="W265">
        <f>IF(AND(ISNUMBER('자료_거시'!$G247),ISNUMBER('자료_거시'!$H247)),'자료_거시'!$H247,"")</f>
        <v/>
      </c>
      <c r="X265">
        <f>IF(ISNUMBER(W265),'자료_거시'!$G247,"")</f>
        <v/>
      </c>
      <c r="Y265">
        <f>IF(ISNUMBER(X265),IF(X265&gt;$L$7,W265,""),"")</f>
        <v/>
      </c>
      <c r="Z265">
        <f>IF(ISNUMBER('자료_거시'!$K247),'자료_거시'!$K247,Z264)</f>
        <v/>
      </c>
      <c r="AA265">
        <f>IF(AND(ISNUMBER('자료_거시'!$J247),ISNUMBER('자료_거시'!$K247)),IFERROR('자료_거시'!$K247/INDEX($Z$21:$Z$4020,MATCH(EDATE('자료_거시'!$J247,-'설정'!$B$17),'자료_거시'!$J$3:INDEX('자료_거시'!$J$3:$J$4002,$K$8),1))-1,""),"")</f>
        <v/>
      </c>
      <c r="AB265">
        <f>IF(ISNUMBER(AA265),'자료_거시'!$J247,"")</f>
        <v/>
      </c>
      <c r="AC265">
        <f>IF(ISNUMBER(AB265),IF(AB265&gt;$L$8,AA265,""),"")</f>
        <v/>
      </c>
      <c r="AD265">
        <f>IF(AND(ISNUMBER('자료_거시'!$M247),ISNUMBER('자료_거시'!$N247)),1,0)</f>
        <v/>
      </c>
      <c r="AE265">
        <f>IF(AND(ISNUMBER('자료_거시'!$M247),ISNUMBER('자료_거시'!$N247)),IF(AND(SUMIFS($AD$21:$AD$620,'자료_거시'!$M$3:$M$602,"&gt;"&amp;EDATE('자료_거시'!$M247,-'설정'!$B$17),'자료_거시'!$M$3:$M$602,"&lt;="&amp;'자료_거시'!$M247)=3,SUMIFS($AD$21:$AD$620,'자료_거시'!$M$3:$M$602,"&gt;"&amp;EDATE('자료_거시'!$M247,-12-'설정'!$B$17),'자료_거시'!$M$3:$M$602,"&lt;="&amp;EDATE('자료_거시'!$M247,-12))=3),IFERROR(SUMIFS('자료_거시'!$N$3:$N$602,'자료_거시'!$M$3:$M$602,"&gt;"&amp;EDATE('자료_거시'!$M247,-'설정'!$B$17),'자료_거시'!$M$3:$M$602,"&lt;="&amp;'자료_거시'!$M247)/SUMIFS('자료_거시'!$N$3:$N$602,'자료_거시'!$M$3:$M$602,"&gt;"&amp;EDATE('자료_거시'!$M247,-12-'설정'!$B$17),'자료_거시'!$M$3:$M$602,"&lt;="&amp;EDATE('자료_거시'!$M247,-12))-1,""),""),"")</f>
        <v/>
      </c>
      <c r="AF265">
        <f>IF(ISNUMBER(AE265),'자료_거시'!$M247,"")</f>
        <v/>
      </c>
      <c r="AG265">
        <f>IF(ISNUMBER(AF265),IF(AF265&gt;$L$9,AE265,""),"")</f>
        <v/>
      </c>
    </row>
    <row r="266">
      <c r="P266">
        <f>IF(AND(ISNUMBER('자료_거시'!$A248),ISNUMBER('자료_거시'!$B248)),'자료_거시'!$B248,"")</f>
        <v/>
      </c>
      <c r="Q266">
        <f>IF(ISNUMBER(P266),'자료_거시'!$A248,"")</f>
        <v/>
      </c>
      <c r="R266">
        <f>IF(ISNUMBER(Q266),IF(Q266&gt;$L$5,P266,""),"")</f>
        <v/>
      </c>
      <c r="S266">
        <f>IF(ISNUMBER('자료_거시'!$E248),'자료_거시'!$E248,S265)</f>
        <v/>
      </c>
      <c r="T266">
        <f>IF(AND(ISNUMBER('자료_거시'!$D248),ISNUMBER('자료_거시'!$E248)),IFERROR('자료_거시'!$E248-INDEX($S$21:$S$4020,MATCH(EDATE('자료_거시'!$D248,-'설정'!$B$17),'자료_거시'!$D$3:INDEX('자료_거시'!$D$3:$D$4002,$K$6),1)),""),"")</f>
        <v/>
      </c>
      <c r="U266">
        <f>IF(ISNUMBER(T266),'자료_거시'!$D248,"")</f>
        <v/>
      </c>
      <c r="V266">
        <f>IF(ISNUMBER(U266),IF(U266&gt;$L$6,T266,""),"")</f>
        <v/>
      </c>
      <c r="W266">
        <f>IF(AND(ISNUMBER('자료_거시'!$G248),ISNUMBER('자료_거시'!$H248)),'자료_거시'!$H248,"")</f>
        <v/>
      </c>
      <c r="X266">
        <f>IF(ISNUMBER(W266),'자료_거시'!$G248,"")</f>
        <v/>
      </c>
      <c r="Y266">
        <f>IF(ISNUMBER(X266),IF(X266&gt;$L$7,W266,""),"")</f>
        <v/>
      </c>
      <c r="Z266">
        <f>IF(ISNUMBER('자료_거시'!$K248),'자료_거시'!$K248,Z265)</f>
        <v/>
      </c>
      <c r="AA266">
        <f>IF(AND(ISNUMBER('자료_거시'!$J248),ISNUMBER('자료_거시'!$K248)),IFERROR('자료_거시'!$K248/INDEX($Z$21:$Z$4020,MATCH(EDATE('자료_거시'!$J248,-'설정'!$B$17),'자료_거시'!$J$3:INDEX('자료_거시'!$J$3:$J$4002,$K$8),1))-1,""),"")</f>
        <v/>
      </c>
      <c r="AB266">
        <f>IF(ISNUMBER(AA266),'자료_거시'!$J248,"")</f>
        <v/>
      </c>
      <c r="AC266">
        <f>IF(ISNUMBER(AB266),IF(AB266&gt;$L$8,AA266,""),"")</f>
        <v/>
      </c>
      <c r="AD266">
        <f>IF(AND(ISNUMBER('자료_거시'!$M248),ISNUMBER('자료_거시'!$N248)),1,0)</f>
        <v/>
      </c>
      <c r="AE266">
        <f>IF(AND(ISNUMBER('자료_거시'!$M248),ISNUMBER('자료_거시'!$N248)),IF(AND(SUMIFS($AD$21:$AD$620,'자료_거시'!$M$3:$M$602,"&gt;"&amp;EDATE('자료_거시'!$M248,-'설정'!$B$17),'자료_거시'!$M$3:$M$602,"&lt;="&amp;'자료_거시'!$M248)=3,SUMIFS($AD$21:$AD$620,'자료_거시'!$M$3:$M$602,"&gt;"&amp;EDATE('자료_거시'!$M248,-12-'설정'!$B$17),'자료_거시'!$M$3:$M$602,"&lt;="&amp;EDATE('자료_거시'!$M248,-12))=3),IFERROR(SUMIFS('자료_거시'!$N$3:$N$602,'자료_거시'!$M$3:$M$602,"&gt;"&amp;EDATE('자료_거시'!$M248,-'설정'!$B$17),'자료_거시'!$M$3:$M$602,"&lt;="&amp;'자료_거시'!$M248)/SUMIFS('자료_거시'!$N$3:$N$602,'자료_거시'!$M$3:$M$602,"&gt;"&amp;EDATE('자료_거시'!$M248,-12-'설정'!$B$17),'자료_거시'!$M$3:$M$602,"&lt;="&amp;EDATE('자료_거시'!$M248,-12))-1,""),""),"")</f>
        <v/>
      </c>
      <c r="AF266">
        <f>IF(ISNUMBER(AE266),'자료_거시'!$M248,"")</f>
        <v/>
      </c>
      <c r="AG266">
        <f>IF(ISNUMBER(AF266),IF(AF266&gt;$L$9,AE266,""),"")</f>
        <v/>
      </c>
    </row>
    <row r="267">
      <c r="P267">
        <f>IF(AND(ISNUMBER('자료_거시'!$A249),ISNUMBER('자료_거시'!$B249)),'자료_거시'!$B249,"")</f>
        <v/>
      </c>
      <c r="Q267">
        <f>IF(ISNUMBER(P267),'자료_거시'!$A249,"")</f>
        <v/>
      </c>
      <c r="R267">
        <f>IF(ISNUMBER(Q267),IF(Q267&gt;$L$5,P267,""),"")</f>
        <v/>
      </c>
      <c r="S267">
        <f>IF(ISNUMBER('자료_거시'!$E249),'자료_거시'!$E249,S266)</f>
        <v/>
      </c>
      <c r="T267">
        <f>IF(AND(ISNUMBER('자료_거시'!$D249),ISNUMBER('자료_거시'!$E249)),IFERROR('자료_거시'!$E249-INDEX($S$21:$S$4020,MATCH(EDATE('자료_거시'!$D249,-'설정'!$B$17),'자료_거시'!$D$3:INDEX('자료_거시'!$D$3:$D$4002,$K$6),1)),""),"")</f>
        <v/>
      </c>
      <c r="U267">
        <f>IF(ISNUMBER(T267),'자료_거시'!$D249,"")</f>
        <v/>
      </c>
      <c r="V267">
        <f>IF(ISNUMBER(U267),IF(U267&gt;$L$6,T267,""),"")</f>
        <v/>
      </c>
      <c r="W267">
        <f>IF(AND(ISNUMBER('자료_거시'!$G249),ISNUMBER('자료_거시'!$H249)),'자료_거시'!$H249,"")</f>
        <v/>
      </c>
      <c r="X267">
        <f>IF(ISNUMBER(W267),'자료_거시'!$G249,"")</f>
        <v/>
      </c>
      <c r="Y267">
        <f>IF(ISNUMBER(X267),IF(X267&gt;$L$7,W267,""),"")</f>
        <v/>
      </c>
      <c r="Z267">
        <f>IF(ISNUMBER('자료_거시'!$K249),'자료_거시'!$K249,Z266)</f>
        <v/>
      </c>
      <c r="AA267">
        <f>IF(AND(ISNUMBER('자료_거시'!$J249),ISNUMBER('자료_거시'!$K249)),IFERROR('자료_거시'!$K249/INDEX($Z$21:$Z$4020,MATCH(EDATE('자료_거시'!$J249,-'설정'!$B$17),'자료_거시'!$J$3:INDEX('자료_거시'!$J$3:$J$4002,$K$8),1))-1,""),"")</f>
        <v/>
      </c>
      <c r="AB267">
        <f>IF(ISNUMBER(AA267),'자료_거시'!$J249,"")</f>
        <v/>
      </c>
      <c r="AC267">
        <f>IF(ISNUMBER(AB267),IF(AB267&gt;$L$8,AA267,""),"")</f>
        <v/>
      </c>
      <c r="AD267">
        <f>IF(AND(ISNUMBER('자료_거시'!$M249),ISNUMBER('자료_거시'!$N249)),1,0)</f>
        <v/>
      </c>
      <c r="AE267">
        <f>IF(AND(ISNUMBER('자료_거시'!$M249),ISNUMBER('자료_거시'!$N249)),IF(AND(SUMIFS($AD$21:$AD$620,'자료_거시'!$M$3:$M$602,"&gt;"&amp;EDATE('자료_거시'!$M249,-'설정'!$B$17),'자료_거시'!$M$3:$M$602,"&lt;="&amp;'자료_거시'!$M249)=3,SUMIFS($AD$21:$AD$620,'자료_거시'!$M$3:$M$602,"&gt;"&amp;EDATE('자료_거시'!$M249,-12-'설정'!$B$17),'자료_거시'!$M$3:$M$602,"&lt;="&amp;EDATE('자료_거시'!$M249,-12))=3),IFERROR(SUMIFS('자료_거시'!$N$3:$N$602,'자료_거시'!$M$3:$M$602,"&gt;"&amp;EDATE('자료_거시'!$M249,-'설정'!$B$17),'자료_거시'!$M$3:$M$602,"&lt;="&amp;'자료_거시'!$M249)/SUMIFS('자료_거시'!$N$3:$N$602,'자료_거시'!$M$3:$M$602,"&gt;"&amp;EDATE('자료_거시'!$M249,-12-'설정'!$B$17),'자료_거시'!$M$3:$M$602,"&lt;="&amp;EDATE('자료_거시'!$M249,-12))-1,""),""),"")</f>
        <v/>
      </c>
      <c r="AF267">
        <f>IF(ISNUMBER(AE267),'자료_거시'!$M249,"")</f>
        <v/>
      </c>
      <c r="AG267">
        <f>IF(ISNUMBER(AF267),IF(AF267&gt;$L$9,AE267,""),"")</f>
        <v/>
      </c>
    </row>
    <row r="268">
      <c r="P268">
        <f>IF(AND(ISNUMBER('자료_거시'!$A250),ISNUMBER('자료_거시'!$B250)),'자료_거시'!$B250,"")</f>
        <v/>
      </c>
      <c r="Q268">
        <f>IF(ISNUMBER(P268),'자료_거시'!$A250,"")</f>
        <v/>
      </c>
      <c r="R268">
        <f>IF(ISNUMBER(Q268),IF(Q268&gt;$L$5,P268,""),"")</f>
        <v/>
      </c>
      <c r="S268">
        <f>IF(ISNUMBER('자료_거시'!$E250),'자료_거시'!$E250,S267)</f>
        <v/>
      </c>
      <c r="T268">
        <f>IF(AND(ISNUMBER('자료_거시'!$D250),ISNUMBER('자료_거시'!$E250)),IFERROR('자료_거시'!$E250-INDEX($S$21:$S$4020,MATCH(EDATE('자료_거시'!$D250,-'설정'!$B$17),'자료_거시'!$D$3:INDEX('자료_거시'!$D$3:$D$4002,$K$6),1)),""),"")</f>
        <v/>
      </c>
      <c r="U268">
        <f>IF(ISNUMBER(T268),'자료_거시'!$D250,"")</f>
        <v/>
      </c>
      <c r="V268">
        <f>IF(ISNUMBER(U268),IF(U268&gt;$L$6,T268,""),"")</f>
        <v/>
      </c>
      <c r="W268">
        <f>IF(AND(ISNUMBER('자료_거시'!$G250),ISNUMBER('자료_거시'!$H250)),'자료_거시'!$H250,"")</f>
        <v/>
      </c>
      <c r="X268">
        <f>IF(ISNUMBER(W268),'자료_거시'!$G250,"")</f>
        <v/>
      </c>
      <c r="Y268">
        <f>IF(ISNUMBER(X268),IF(X268&gt;$L$7,W268,""),"")</f>
        <v/>
      </c>
      <c r="Z268">
        <f>IF(ISNUMBER('자료_거시'!$K250),'자료_거시'!$K250,Z267)</f>
        <v/>
      </c>
      <c r="AA268">
        <f>IF(AND(ISNUMBER('자료_거시'!$J250),ISNUMBER('자료_거시'!$K250)),IFERROR('자료_거시'!$K250/INDEX($Z$21:$Z$4020,MATCH(EDATE('자료_거시'!$J250,-'설정'!$B$17),'자료_거시'!$J$3:INDEX('자료_거시'!$J$3:$J$4002,$K$8),1))-1,""),"")</f>
        <v/>
      </c>
      <c r="AB268">
        <f>IF(ISNUMBER(AA268),'자료_거시'!$J250,"")</f>
        <v/>
      </c>
      <c r="AC268">
        <f>IF(ISNUMBER(AB268),IF(AB268&gt;$L$8,AA268,""),"")</f>
        <v/>
      </c>
      <c r="AD268">
        <f>IF(AND(ISNUMBER('자료_거시'!$M250),ISNUMBER('자료_거시'!$N250)),1,0)</f>
        <v/>
      </c>
      <c r="AE268">
        <f>IF(AND(ISNUMBER('자료_거시'!$M250),ISNUMBER('자료_거시'!$N250)),IF(AND(SUMIFS($AD$21:$AD$620,'자료_거시'!$M$3:$M$602,"&gt;"&amp;EDATE('자료_거시'!$M250,-'설정'!$B$17),'자료_거시'!$M$3:$M$602,"&lt;="&amp;'자료_거시'!$M250)=3,SUMIFS($AD$21:$AD$620,'자료_거시'!$M$3:$M$602,"&gt;"&amp;EDATE('자료_거시'!$M250,-12-'설정'!$B$17),'자료_거시'!$M$3:$M$602,"&lt;="&amp;EDATE('자료_거시'!$M250,-12))=3),IFERROR(SUMIFS('자료_거시'!$N$3:$N$602,'자료_거시'!$M$3:$M$602,"&gt;"&amp;EDATE('자료_거시'!$M250,-'설정'!$B$17),'자료_거시'!$M$3:$M$602,"&lt;="&amp;'자료_거시'!$M250)/SUMIFS('자료_거시'!$N$3:$N$602,'자료_거시'!$M$3:$M$602,"&gt;"&amp;EDATE('자료_거시'!$M250,-12-'설정'!$B$17),'자료_거시'!$M$3:$M$602,"&lt;="&amp;EDATE('자료_거시'!$M250,-12))-1,""),""),"")</f>
        <v/>
      </c>
      <c r="AF268">
        <f>IF(ISNUMBER(AE268),'자료_거시'!$M250,"")</f>
        <v/>
      </c>
      <c r="AG268">
        <f>IF(ISNUMBER(AF268),IF(AF268&gt;$L$9,AE268,""),"")</f>
        <v/>
      </c>
    </row>
    <row r="269">
      <c r="P269">
        <f>IF(AND(ISNUMBER('자료_거시'!$A251),ISNUMBER('자료_거시'!$B251)),'자료_거시'!$B251,"")</f>
        <v/>
      </c>
      <c r="Q269">
        <f>IF(ISNUMBER(P269),'자료_거시'!$A251,"")</f>
        <v/>
      </c>
      <c r="R269">
        <f>IF(ISNUMBER(Q269),IF(Q269&gt;$L$5,P269,""),"")</f>
        <v/>
      </c>
      <c r="S269">
        <f>IF(ISNUMBER('자료_거시'!$E251),'자료_거시'!$E251,S268)</f>
        <v/>
      </c>
      <c r="T269">
        <f>IF(AND(ISNUMBER('자료_거시'!$D251),ISNUMBER('자료_거시'!$E251)),IFERROR('자료_거시'!$E251-INDEX($S$21:$S$4020,MATCH(EDATE('자료_거시'!$D251,-'설정'!$B$17),'자료_거시'!$D$3:INDEX('자료_거시'!$D$3:$D$4002,$K$6),1)),""),"")</f>
        <v/>
      </c>
      <c r="U269">
        <f>IF(ISNUMBER(T269),'자료_거시'!$D251,"")</f>
        <v/>
      </c>
      <c r="V269">
        <f>IF(ISNUMBER(U269),IF(U269&gt;$L$6,T269,""),"")</f>
        <v/>
      </c>
      <c r="W269">
        <f>IF(AND(ISNUMBER('자료_거시'!$G251),ISNUMBER('자료_거시'!$H251)),'자료_거시'!$H251,"")</f>
        <v/>
      </c>
      <c r="X269">
        <f>IF(ISNUMBER(W269),'자료_거시'!$G251,"")</f>
        <v/>
      </c>
      <c r="Y269">
        <f>IF(ISNUMBER(X269),IF(X269&gt;$L$7,W269,""),"")</f>
        <v/>
      </c>
      <c r="Z269">
        <f>IF(ISNUMBER('자료_거시'!$K251),'자료_거시'!$K251,Z268)</f>
        <v/>
      </c>
      <c r="AA269">
        <f>IF(AND(ISNUMBER('자료_거시'!$J251),ISNUMBER('자료_거시'!$K251)),IFERROR('자료_거시'!$K251/INDEX($Z$21:$Z$4020,MATCH(EDATE('자료_거시'!$J251,-'설정'!$B$17),'자료_거시'!$J$3:INDEX('자료_거시'!$J$3:$J$4002,$K$8),1))-1,""),"")</f>
        <v/>
      </c>
      <c r="AB269">
        <f>IF(ISNUMBER(AA269),'자료_거시'!$J251,"")</f>
        <v/>
      </c>
      <c r="AC269">
        <f>IF(ISNUMBER(AB269),IF(AB269&gt;$L$8,AA269,""),"")</f>
        <v/>
      </c>
      <c r="AD269">
        <f>IF(AND(ISNUMBER('자료_거시'!$M251),ISNUMBER('자료_거시'!$N251)),1,0)</f>
        <v/>
      </c>
      <c r="AE269">
        <f>IF(AND(ISNUMBER('자료_거시'!$M251),ISNUMBER('자료_거시'!$N251)),IF(AND(SUMIFS($AD$21:$AD$620,'자료_거시'!$M$3:$M$602,"&gt;"&amp;EDATE('자료_거시'!$M251,-'설정'!$B$17),'자료_거시'!$M$3:$M$602,"&lt;="&amp;'자료_거시'!$M251)=3,SUMIFS($AD$21:$AD$620,'자료_거시'!$M$3:$M$602,"&gt;"&amp;EDATE('자료_거시'!$M251,-12-'설정'!$B$17),'자료_거시'!$M$3:$M$602,"&lt;="&amp;EDATE('자료_거시'!$M251,-12))=3),IFERROR(SUMIFS('자료_거시'!$N$3:$N$602,'자료_거시'!$M$3:$M$602,"&gt;"&amp;EDATE('자료_거시'!$M251,-'설정'!$B$17),'자료_거시'!$M$3:$M$602,"&lt;="&amp;'자료_거시'!$M251)/SUMIFS('자료_거시'!$N$3:$N$602,'자료_거시'!$M$3:$M$602,"&gt;"&amp;EDATE('자료_거시'!$M251,-12-'설정'!$B$17),'자료_거시'!$M$3:$M$602,"&lt;="&amp;EDATE('자료_거시'!$M251,-12))-1,""),""),"")</f>
        <v/>
      </c>
      <c r="AF269">
        <f>IF(ISNUMBER(AE269),'자료_거시'!$M251,"")</f>
        <v/>
      </c>
      <c r="AG269">
        <f>IF(ISNUMBER(AF269),IF(AF269&gt;$L$9,AE269,""),"")</f>
        <v/>
      </c>
    </row>
    <row r="270">
      <c r="P270">
        <f>IF(AND(ISNUMBER('자료_거시'!$A252),ISNUMBER('자료_거시'!$B252)),'자료_거시'!$B252,"")</f>
        <v/>
      </c>
      <c r="Q270">
        <f>IF(ISNUMBER(P270),'자료_거시'!$A252,"")</f>
        <v/>
      </c>
      <c r="R270">
        <f>IF(ISNUMBER(Q270),IF(Q270&gt;$L$5,P270,""),"")</f>
        <v/>
      </c>
      <c r="S270">
        <f>IF(ISNUMBER('자료_거시'!$E252),'자료_거시'!$E252,S269)</f>
        <v/>
      </c>
      <c r="T270">
        <f>IF(AND(ISNUMBER('자료_거시'!$D252),ISNUMBER('자료_거시'!$E252)),IFERROR('자료_거시'!$E252-INDEX($S$21:$S$4020,MATCH(EDATE('자료_거시'!$D252,-'설정'!$B$17),'자료_거시'!$D$3:INDEX('자료_거시'!$D$3:$D$4002,$K$6),1)),""),"")</f>
        <v/>
      </c>
      <c r="U270">
        <f>IF(ISNUMBER(T270),'자료_거시'!$D252,"")</f>
        <v/>
      </c>
      <c r="V270">
        <f>IF(ISNUMBER(U270),IF(U270&gt;$L$6,T270,""),"")</f>
        <v/>
      </c>
      <c r="W270">
        <f>IF(AND(ISNUMBER('자료_거시'!$G252),ISNUMBER('자료_거시'!$H252)),'자료_거시'!$H252,"")</f>
        <v/>
      </c>
      <c r="X270">
        <f>IF(ISNUMBER(W270),'자료_거시'!$G252,"")</f>
        <v/>
      </c>
      <c r="Y270">
        <f>IF(ISNUMBER(X270),IF(X270&gt;$L$7,W270,""),"")</f>
        <v/>
      </c>
      <c r="Z270">
        <f>IF(ISNUMBER('자료_거시'!$K252),'자료_거시'!$K252,Z269)</f>
        <v/>
      </c>
      <c r="AA270">
        <f>IF(AND(ISNUMBER('자료_거시'!$J252),ISNUMBER('자료_거시'!$K252)),IFERROR('자료_거시'!$K252/INDEX($Z$21:$Z$4020,MATCH(EDATE('자료_거시'!$J252,-'설정'!$B$17),'자료_거시'!$J$3:INDEX('자료_거시'!$J$3:$J$4002,$K$8),1))-1,""),"")</f>
        <v/>
      </c>
      <c r="AB270">
        <f>IF(ISNUMBER(AA270),'자료_거시'!$J252,"")</f>
        <v/>
      </c>
      <c r="AC270">
        <f>IF(ISNUMBER(AB270),IF(AB270&gt;$L$8,AA270,""),"")</f>
        <v/>
      </c>
      <c r="AD270">
        <f>IF(AND(ISNUMBER('자료_거시'!$M252),ISNUMBER('자료_거시'!$N252)),1,0)</f>
        <v/>
      </c>
      <c r="AE270">
        <f>IF(AND(ISNUMBER('자료_거시'!$M252),ISNUMBER('자료_거시'!$N252)),IF(AND(SUMIFS($AD$21:$AD$620,'자료_거시'!$M$3:$M$602,"&gt;"&amp;EDATE('자료_거시'!$M252,-'설정'!$B$17),'자료_거시'!$M$3:$M$602,"&lt;="&amp;'자료_거시'!$M252)=3,SUMIFS($AD$21:$AD$620,'자료_거시'!$M$3:$M$602,"&gt;"&amp;EDATE('자료_거시'!$M252,-12-'설정'!$B$17),'자료_거시'!$M$3:$M$602,"&lt;="&amp;EDATE('자료_거시'!$M252,-12))=3),IFERROR(SUMIFS('자료_거시'!$N$3:$N$602,'자료_거시'!$M$3:$M$602,"&gt;"&amp;EDATE('자료_거시'!$M252,-'설정'!$B$17),'자료_거시'!$M$3:$M$602,"&lt;="&amp;'자료_거시'!$M252)/SUMIFS('자료_거시'!$N$3:$N$602,'자료_거시'!$M$3:$M$602,"&gt;"&amp;EDATE('자료_거시'!$M252,-12-'설정'!$B$17),'자료_거시'!$M$3:$M$602,"&lt;="&amp;EDATE('자료_거시'!$M252,-12))-1,""),""),"")</f>
        <v/>
      </c>
      <c r="AF270">
        <f>IF(ISNUMBER(AE270),'자료_거시'!$M252,"")</f>
        <v/>
      </c>
      <c r="AG270">
        <f>IF(ISNUMBER(AF270),IF(AF270&gt;$L$9,AE270,""),"")</f>
        <v/>
      </c>
    </row>
    <row r="271">
      <c r="P271">
        <f>IF(AND(ISNUMBER('자료_거시'!$A253),ISNUMBER('자료_거시'!$B253)),'자료_거시'!$B253,"")</f>
        <v/>
      </c>
      <c r="Q271">
        <f>IF(ISNUMBER(P271),'자료_거시'!$A253,"")</f>
        <v/>
      </c>
      <c r="R271">
        <f>IF(ISNUMBER(Q271),IF(Q271&gt;$L$5,P271,""),"")</f>
        <v/>
      </c>
      <c r="S271">
        <f>IF(ISNUMBER('자료_거시'!$E253),'자료_거시'!$E253,S270)</f>
        <v/>
      </c>
      <c r="T271">
        <f>IF(AND(ISNUMBER('자료_거시'!$D253),ISNUMBER('자료_거시'!$E253)),IFERROR('자료_거시'!$E253-INDEX($S$21:$S$4020,MATCH(EDATE('자료_거시'!$D253,-'설정'!$B$17),'자료_거시'!$D$3:INDEX('자료_거시'!$D$3:$D$4002,$K$6),1)),""),"")</f>
        <v/>
      </c>
      <c r="U271">
        <f>IF(ISNUMBER(T271),'자료_거시'!$D253,"")</f>
        <v/>
      </c>
      <c r="V271">
        <f>IF(ISNUMBER(U271),IF(U271&gt;$L$6,T271,""),"")</f>
        <v/>
      </c>
      <c r="W271">
        <f>IF(AND(ISNUMBER('자료_거시'!$G253),ISNUMBER('자료_거시'!$H253)),'자료_거시'!$H253,"")</f>
        <v/>
      </c>
      <c r="X271">
        <f>IF(ISNUMBER(W271),'자료_거시'!$G253,"")</f>
        <v/>
      </c>
      <c r="Y271">
        <f>IF(ISNUMBER(X271),IF(X271&gt;$L$7,W271,""),"")</f>
        <v/>
      </c>
      <c r="Z271">
        <f>IF(ISNUMBER('자료_거시'!$K253),'자료_거시'!$K253,Z270)</f>
        <v/>
      </c>
      <c r="AA271">
        <f>IF(AND(ISNUMBER('자료_거시'!$J253),ISNUMBER('자료_거시'!$K253)),IFERROR('자료_거시'!$K253/INDEX($Z$21:$Z$4020,MATCH(EDATE('자료_거시'!$J253,-'설정'!$B$17),'자료_거시'!$J$3:INDEX('자료_거시'!$J$3:$J$4002,$K$8),1))-1,""),"")</f>
        <v/>
      </c>
      <c r="AB271">
        <f>IF(ISNUMBER(AA271),'자료_거시'!$J253,"")</f>
        <v/>
      </c>
      <c r="AC271">
        <f>IF(ISNUMBER(AB271),IF(AB271&gt;$L$8,AA271,""),"")</f>
        <v/>
      </c>
      <c r="AD271">
        <f>IF(AND(ISNUMBER('자료_거시'!$M253),ISNUMBER('자료_거시'!$N253)),1,0)</f>
        <v/>
      </c>
      <c r="AE271">
        <f>IF(AND(ISNUMBER('자료_거시'!$M253),ISNUMBER('자료_거시'!$N253)),IF(AND(SUMIFS($AD$21:$AD$620,'자료_거시'!$M$3:$M$602,"&gt;"&amp;EDATE('자료_거시'!$M253,-'설정'!$B$17),'자료_거시'!$M$3:$M$602,"&lt;="&amp;'자료_거시'!$M253)=3,SUMIFS($AD$21:$AD$620,'자료_거시'!$M$3:$M$602,"&gt;"&amp;EDATE('자료_거시'!$M253,-12-'설정'!$B$17),'자료_거시'!$M$3:$M$602,"&lt;="&amp;EDATE('자료_거시'!$M253,-12))=3),IFERROR(SUMIFS('자료_거시'!$N$3:$N$602,'자료_거시'!$M$3:$M$602,"&gt;"&amp;EDATE('자료_거시'!$M253,-'설정'!$B$17),'자료_거시'!$M$3:$M$602,"&lt;="&amp;'자료_거시'!$M253)/SUMIFS('자료_거시'!$N$3:$N$602,'자료_거시'!$M$3:$M$602,"&gt;"&amp;EDATE('자료_거시'!$M253,-12-'설정'!$B$17),'자료_거시'!$M$3:$M$602,"&lt;="&amp;EDATE('자료_거시'!$M253,-12))-1,""),""),"")</f>
        <v/>
      </c>
      <c r="AF271">
        <f>IF(ISNUMBER(AE271),'자료_거시'!$M253,"")</f>
        <v/>
      </c>
      <c r="AG271">
        <f>IF(ISNUMBER(AF271),IF(AF271&gt;$L$9,AE271,""),"")</f>
        <v/>
      </c>
    </row>
    <row r="272">
      <c r="P272">
        <f>IF(AND(ISNUMBER('자료_거시'!$A254),ISNUMBER('자료_거시'!$B254)),'자료_거시'!$B254,"")</f>
        <v/>
      </c>
      <c r="Q272">
        <f>IF(ISNUMBER(P272),'자료_거시'!$A254,"")</f>
        <v/>
      </c>
      <c r="R272">
        <f>IF(ISNUMBER(Q272),IF(Q272&gt;$L$5,P272,""),"")</f>
        <v/>
      </c>
      <c r="S272">
        <f>IF(ISNUMBER('자료_거시'!$E254),'자료_거시'!$E254,S271)</f>
        <v/>
      </c>
      <c r="T272">
        <f>IF(AND(ISNUMBER('자료_거시'!$D254),ISNUMBER('자료_거시'!$E254)),IFERROR('자료_거시'!$E254-INDEX($S$21:$S$4020,MATCH(EDATE('자료_거시'!$D254,-'설정'!$B$17),'자료_거시'!$D$3:INDEX('자료_거시'!$D$3:$D$4002,$K$6),1)),""),"")</f>
        <v/>
      </c>
      <c r="U272">
        <f>IF(ISNUMBER(T272),'자료_거시'!$D254,"")</f>
        <v/>
      </c>
      <c r="V272">
        <f>IF(ISNUMBER(U272),IF(U272&gt;$L$6,T272,""),"")</f>
        <v/>
      </c>
      <c r="W272">
        <f>IF(AND(ISNUMBER('자료_거시'!$G254),ISNUMBER('자료_거시'!$H254)),'자료_거시'!$H254,"")</f>
        <v/>
      </c>
      <c r="X272">
        <f>IF(ISNUMBER(W272),'자료_거시'!$G254,"")</f>
        <v/>
      </c>
      <c r="Y272">
        <f>IF(ISNUMBER(X272),IF(X272&gt;$L$7,W272,""),"")</f>
        <v/>
      </c>
      <c r="Z272">
        <f>IF(ISNUMBER('자료_거시'!$K254),'자료_거시'!$K254,Z271)</f>
        <v/>
      </c>
      <c r="AA272">
        <f>IF(AND(ISNUMBER('자료_거시'!$J254),ISNUMBER('자료_거시'!$K254)),IFERROR('자료_거시'!$K254/INDEX($Z$21:$Z$4020,MATCH(EDATE('자료_거시'!$J254,-'설정'!$B$17),'자료_거시'!$J$3:INDEX('자료_거시'!$J$3:$J$4002,$K$8),1))-1,""),"")</f>
        <v/>
      </c>
      <c r="AB272">
        <f>IF(ISNUMBER(AA272),'자료_거시'!$J254,"")</f>
        <v/>
      </c>
      <c r="AC272">
        <f>IF(ISNUMBER(AB272),IF(AB272&gt;$L$8,AA272,""),"")</f>
        <v/>
      </c>
      <c r="AD272">
        <f>IF(AND(ISNUMBER('자료_거시'!$M254),ISNUMBER('자료_거시'!$N254)),1,0)</f>
        <v/>
      </c>
      <c r="AE272">
        <f>IF(AND(ISNUMBER('자료_거시'!$M254),ISNUMBER('자료_거시'!$N254)),IF(AND(SUMIFS($AD$21:$AD$620,'자료_거시'!$M$3:$M$602,"&gt;"&amp;EDATE('자료_거시'!$M254,-'설정'!$B$17),'자료_거시'!$M$3:$M$602,"&lt;="&amp;'자료_거시'!$M254)=3,SUMIFS($AD$21:$AD$620,'자료_거시'!$M$3:$M$602,"&gt;"&amp;EDATE('자료_거시'!$M254,-12-'설정'!$B$17),'자료_거시'!$M$3:$M$602,"&lt;="&amp;EDATE('자료_거시'!$M254,-12))=3),IFERROR(SUMIFS('자료_거시'!$N$3:$N$602,'자료_거시'!$M$3:$M$602,"&gt;"&amp;EDATE('자료_거시'!$M254,-'설정'!$B$17),'자료_거시'!$M$3:$M$602,"&lt;="&amp;'자료_거시'!$M254)/SUMIFS('자료_거시'!$N$3:$N$602,'자료_거시'!$M$3:$M$602,"&gt;"&amp;EDATE('자료_거시'!$M254,-12-'설정'!$B$17),'자료_거시'!$M$3:$M$602,"&lt;="&amp;EDATE('자료_거시'!$M254,-12))-1,""),""),"")</f>
        <v/>
      </c>
      <c r="AF272">
        <f>IF(ISNUMBER(AE272),'자료_거시'!$M254,"")</f>
        <v/>
      </c>
      <c r="AG272">
        <f>IF(ISNUMBER(AF272),IF(AF272&gt;$L$9,AE272,""),"")</f>
        <v/>
      </c>
    </row>
    <row r="273">
      <c r="P273">
        <f>IF(AND(ISNUMBER('자료_거시'!$A255),ISNUMBER('자료_거시'!$B255)),'자료_거시'!$B255,"")</f>
        <v/>
      </c>
      <c r="Q273">
        <f>IF(ISNUMBER(P273),'자료_거시'!$A255,"")</f>
        <v/>
      </c>
      <c r="R273">
        <f>IF(ISNUMBER(Q273),IF(Q273&gt;$L$5,P273,""),"")</f>
        <v/>
      </c>
      <c r="S273">
        <f>IF(ISNUMBER('자료_거시'!$E255),'자료_거시'!$E255,S272)</f>
        <v/>
      </c>
      <c r="T273">
        <f>IF(AND(ISNUMBER('자료_거시'!$D255),ISNUMBER('자료_거시'!$E255)),IFERROR('자료_거시'!$E255-INDEX($S$21:$S$4020,MATCH(EDATE('자료_거시'!$D255,-'설정'!$B$17),'자료_거시'!$D$3:INDEX('자료_거시'!$D$3:$D$4002,$K$6),1)),""),"")</f>
        <v/>
      </c>
      <c r="U273">
        <f>IF(ISNUMBER(T273),'자료_거시'!$D255,"")</f>
        <v/>
      </c>
      <c r="V273">
        <f>IF(ISNUMBER(U273),IF(U273&gt;$L$6,T273,""),"")</f>
        <v/>
      </c>
      <c r="W273">
        <f>IF(AND(ISNUMBER('자료_거시'!$G255),ISNUMBER('자료_거시'!$H255)),'자료_거시'!$H255,"")</f>
        <v/>
      </c>
      <c r="X273">
        <f>IF(ISNUMBER(W273),'자료_거시'!$G255,"")</f>
        <v/>
      </c>
      <c r="Y273">
        <f>IF(ISNUMBER(X273),IF(X273&gt;$L$7,W273,""),"")</f>
        <v/>
      </c>
      <c r="Z273">
        <f>IF(ISNUMBER('자료_거시'!$K255),'자료_거시'!$K255,Z272)</f>
        <v/>
      </c>
      <c r="AA273">
        <f>IF(AND(ISNUMBER('자료_거시'!$J255),ISNUMBER('자료_거시'!$K255)),IFERROR('자료_거시'!$K255/INDEX($Z$21:$Z$4020,MATCH(EDATE('자료_거시'!$J255,-'설정'!$B$17),'자료_거시'!$J$3:INDEX('자료_거시'!$J$3:$J$4002,$K$8),1))-1,""),"")</f>
        <v/>
      </c>
      <c r="AB273">
        <f>IF(ISNUMBER(AA273),'자료_거시'!$J255,"")</f>
        <v/>
      </c>
      <c r="AC273">
        <f>IF(ISNUMBER(AB273),IF(AB273&gt;$L$8,AA273,""),"")</f>
        <v/>
      </c>
      <c r="AD273">
        <f>IF(AND(ISNUMBER('자료_거시'!$M255),ISNUMBER('자료_거시'!$N255)),1,0)</f>
        <v/>
      </c>
      <c r="AE273">
        <f>IF(AND(ISNUMBER('자료_거시'!$M255),ISNUMBER('자료_거시'!$N255)),IF(AND(SUMIFS($AD$21:$AD$620,'자료_거시'!$M$3:$M$602,"&gt;"&amp;EDATE('자료_거시'!$M255,-'설정'!$B$17),'자료_거시'!$M$3:$M$602,"&lt;="&amp;'자료_거시'!$M255)=3,SUMIFS($AD$21:$AD$620,'자료_거시'!$M$3:$M$602,"&gt;"&amp;EDATE('자료_거시'!$M255,-12-'설정'!$B$17),'자료_거시'!$M$3:$M$602,"&lt;="&amp;EDATE('자료_거시'!$M255,-12))=3),IFERROR(SUMIFS('자료_거시'!$N$3:$N$602,'자료_거시'!$M$3:$M$602,"&gt;"&amp;EDATE('자료_거시'!$M255,-'설정'!$B$17),'자료_거시'!$M$3:$M$602,"&lt;="&amp;'자료_거시'!$M255)/SUMIFS('자료_거시'!$N$3:$N$602,'자료_거시'!$M$3:$M$602,"&gt;"&amp;EDATE('자료_거시'!$M255,-12-'설정'!$B$17),'자료_거시'!$M$3:$M$602,"&lt;="&amp;EDATE('자료_거시'!$M255,-12))-1,""),""),"")</f>
        <v/>
      </c>
      <c r="AF273">
        <f>IF(ISNUMBER(AE273),'자료_거시'!$M255,"")</f>
        <v/>
      </c>
      <c r="AG273">
        <f>IF(ISNUMBER(AF273),IF(AF273&gt;$L$9,AE273,""),"")</f>
        <v/>
      </c>
    </row>
    <row r="274">
      <c r="P274">
        <f>IF(AND(ISNUMBER('자료_거시'!$A256),ISNUMBER('자료_거시'!$B256)),'자료_거시'!$B256,"")</f>
        <v/>
      </c>
      <c r="Q274">
        <f>IF(ISNUMBER(P274),'자료_거시'!$A256,"")</f>
        <v/>
      </c>
      <c r="R274">
        <f>IF(ISNUMBER(Q274),IF(Q274&gt;$L$5,P274,""),"")</f>
        <v/>
      </c>
      <c r="S274">
        <f>IF(ISNUMBER('자료_거시'!$E256),'자료_거시'!$E256,S273)</f>
        <v/>
      </c>
      <c r="T274">
        <f>IF(AND(ISNUMBER('자료_거시'!$D256),ISNUMBER('자료_거시'!$E256)),IFERROR('자료_거시'!$E256-INDEX($S$21:$S$4020,MATCH(EDATE('자료_거시'!$D256,-'설정'!$B$17),'자료_거시'!$D$3:INDEX('자료_거시'!$D$3:$D$4002,$K$6),1)),""),"")</f>
        <v/>
      </c>
      <c r="U274">
        <f>IF(ISNUMBER(T274),'자료_거시'!$D256,"")</f>
        <v/>
      </c>
      <c r="V274">
        <f>IF(ISNUMBER(U274),IF(U274&gt;$L$6,T274,""),"")</f>
        <v/>
      </c>
      <c r="W274">
        <f>IF(AND(ISNUMBER('자료_거시'!$G256),ISNUMBER('자료_거시'!$H256)),'자료_거시'!$H256,"")</f>
        <v/>
      </c>
      <c r="X274">
        <f>IF(ISNUMBER(W274),'자료_거시'!$G256,"")</f>
        <v/>
      </c>
      <c r="Y274">
        <f>IF(ISNUMBER(X274),IF(X274&gt;$L$7,W274,""),"")</f>
        <v/>
      </c>
      <c r="Z274">
        <f>IF(ISNUMBER('자료_거시'!$K256),'자료_거시'!$K256,Z273)</f>
        <v/>
      </c>
      <c r="AA274">
        <f>IF(AND(ISNUMBER('자료_거시'!$J256),ISNUMBER('자료_거시'!$K256)),IFERROR('자료_거시'!$K256/INDEX($Z$21:$Z$4020,MATCH(EDATE('자료_거시'!$J256,-'설정'!$B$17),'자료_거시'!$J$3:INDEX('자료_거시'!$J$3:$J$4002,$K$8),1))-1,""),"")</f>
        <v/>
      </c>
      <c r="AB274">
        <f>IF(ISNUMBER(AA274),'자료_거시'!$J256,"")</f>
        <v/>
      </c>
      <c r="AC274">
        <f>IF(ISNUMBER(AB274),IF(AB274&gt;$L$8,AA274,""),"")</f>
        <v/>
      </c>
      <c r="AD274">
        <f>IF(AND(ISNUMBER('자료_거시'!$M256),ISNUMBER('자료_거시'!$N256)),1,0)</f>
        <v/>
      </c>
      <c r="AE274">
        <f>IF(AND(ISNUMBER('자료_거시'!$M256),ISNUMBER('자료_거시'!$N256)),IF(AND(SUMIFS($AD$21:$AD$620,'자료_거시'!$M$3:$M$602,"&gt;"&amp;EDATE('자료_거시'!$M256,-'설정'!$B$17),'자료_거시'!$M$3:$M$602,"&lt;="&amp;'자료_거시'!$M256)=3,SUMIFS($AD$21:$AD$620,'자료_거시'!$M$3:$M$602,"&gt;"&amp;EDATE('자료_거시'!$M256,-12-'설정'!$B$17),'자료_거시'!$M$3:$M$602,"&lt;="&amp;EDATE('자료_거시'!$M256,-12))=3),IFERROR(SUMIFS('자료_거시'!$N$3:$N$602,'자료_거시'!$M$3:$M$602,"&gt;"&amp;EDATE('자료_거시'!$M256,-'설정'!$B$17),'자료_거시'!$M$3:$M$602,"&lt;="&amp;'자료_거시'!$M256)/SUMIFS('자료_거시'!$N$3:$N$602,'자료_거시'!$M$3:$M$602,"&gt;"&amp;EDATE('자료_거시'!$M256,-12-'설정'!$B$17),'자료_거시'!$M$3:$M$602,"&lt;="&amp;EDATE('자료_거시'!$M256,-12))-1,""),""),"")</f>
        <v/>
      </c>
      <c r="AF274">
        <f>IF(ISNUMBER(AE274),'자료_거시'!$M256,"")</f>
        <v/>
      </c>
      <c r="AG274">
        <f>IF(ISNUMBER(AF274),IF(AF274&gt;$L$9,AE274,""),"")</f>
        <v/>
      </c>
    </row>
    <row r="275">
      <c r="P275">
        <f>IF(AND(ISNUMBER('자료_거시'!$A257),ISNUMBER('자료_거시'!$B257)),'자료_거시'!$B257,"")</f>
        <v/>
      </c>
      <c r="Q275">
        <f>IF(ISNUMBER(P275),'자료_거시'!$A257,"")</f>
        <v/>
      </c>
      <c r="R275">
        <f>IF(ISNUMBER(Q275),IF(Q275&gt;$L$5,P275,""),"")</f>
        <v/>
      </c>
      <c r="S275">
        <f>IF(ISNUMBER('자료_거시'!$E257),'자료_거시'!$E257,S274)</f>
        <v/>
      </c>
      <c r="T275">
        <f>IF(AND(ISNUMBER('자료_거시'!$D257),ISNUMBER('자료_거시'!$E257)),IFERROR('자료_거시'!$E257-INDEX($S$21:$S$4020,MATCH(EDATE('자료_거시'!$D257,-'설정'!$B$17),'자료_거시'!$D$3:INDEX('자료_거시'!$D$3:$D$4002,$K$6),1)),""),"")</f>
        <v/>
      </c>
      <c r="U275">
        <f>IF(ISNUMBER(T275),'자료_거시'!$D257,"")</f>
        <v/>
      </c>
      <c r="V275">
        <f>IF(ISNUMBER(U275),IF(U275&gt;$L$6,T275,""),"")</f>
        <v/>
      </c>
      <c r="W275">
        <f>IF(AND(ISNUMBER('자료_거시'!$G257),ISNUMBER('자료_거시'!$H257)),'자료_거시'!$H257,"")</f>
        <v/>
      </c>
      <c r="X275">
        <f>IF(ISNUMBER(W275),'자료_거시'!$G257,"")</f>
        <v/>
      </c>
      <c r="Y275">
        <f>IF(ISNUMBER(X275),IF(X275&gt;$L$7,W275,""),"")</f>
        <v/>
      </c>
      <c r="Z275">
        <f>IF(ISNUMBER('자료_거시'!$K257),'자료_거시'!$K257,Z274)</f>
        <v/>
      </c>
      <c r="AA275">
        <f>IF(AND(ISNUMBER('자료_거시'!$J257),ISNUMBER('자료_거시'!$K257)),IFERROR('자료_거시'!$K257/INDEX($Z$21:$Z$4020,MATCH(EDATE('자료_거시'!$J257,-'설정'!$B$17),'자료_거시'!$J$3:INDEX('자료_거시'!$J$3:$J$4002,$K$8),1))-1,""),"")</f>
        <v/>
      </c>
      <c r="AB275">
        <f>IF(ISNUMBER(AA275),'자료_거시'!$J257,"")</f>
        <v/>
      </c>
      <c r="AC275">
        <f>IF(ISNUMBER(AB275),IF(AB275&gt;$L$8,AA275,""),"")</f>
        <v/>
      </c>
      <c r="AD275">
        <f>IF(AND(ISNUMBER('자료_거시'!$M257),ISNUMBER('자료_거시'!$N257)),1,0)</f>
        <v/>
      </c>
      <c r="AE275">
        <f>IF(AND(ISNUMBER('자료_거시'!$M257),ISNUMBER('자료_거시'!$N257)),IF(AND(SUMIFS($AD$21:$AD$620,'자료_거시'!$M$3:$M$602,"&gt;"&amp;EDATE('자료_거시'!$M257,-'설정'!$B$17),'자료_거시'!$M$3:$M$602,"&lt;="&amp;'자료_거시'!$M257)=3,SUMIFS($AD$21:$AD$620,'자료_거시'!$M$3:$M$602,"&gt;"&amp;EDATE('자료_거시'!$M257,-12-'설정'!$B$17),'자료_거시'!$M$3:$M$602,"&lt;="&amp;EDATE('자료_거시'!$M257,-12))=3),IFERROR(SUMIFS('자료_거시'!$N$3:$N$602,'자료_거시'!$M$3:$M$602,"&gt;"&amp;EDATE('자료_거시'!$M257,-'설정'!$B$17),'자료_거시'!$M$3:$M$602,"&lt;="&amp;'자료_거시'!$M257)/SUMIFS('자료_거시'!$N$3:$N$602,'자료_거시'!$M$3:$M$602,"&gt;"&amp;EDATE('자료_거시'!$M257,-12-'설정'!$B$17),'자료_거시'!$M$3:$M$602,"&lt;="&amp;EDATE('자료_거시'!$M257,-12))-1,""),""),"")</f>
        <v/>
      </c>
      <c r="AF275">
        <f>IF(ISNUMBER(AE275),'자료_거시'!$M257,"")</f>
        <v/>
      </c>
      <c r="AG275">
        <f>IF(ISNUMBER(AF275),IF(AF275&gt;$L$9,AE275,""),"")</f>
        <v/>
      </c>
    </row>
    <row r="276">
      <c r="P276">
        <f>IF(AND(ISNUMBER('자료_거시'!$A258),ISNUMBER('자료_거시'!$B258)),'자료_거시'!$B258,"")</f>
        <v/>
      </c>
      <c r="Q276">
        <f>IF(ISNUMBER(P276),'자료_거시'!$A258,"")</f>
        <v/>
      </c>
      <c r="R276">
        <f>IF(ISNUMBER(Q276),IF(Q276&gt;$L$5,P276,""),"")</f>
        <v/>
      </c>
      <c r="S276">
        <f>IF(ISNUMBER('자료_거시'!$E258),'자료_거시'!$E258,S275)</f>
        <v/>
      </c>
      <c r="T276">
        <f>IF(AND(ISNUMBER('자료_거시'!$D258),ISNUMBER('자료_거시'!$E258)),IFERROR('자료_거시'!$E258-INDEX($S$21:$S$4020,MATCH(EDATE('자료_거시'!$D258,-'설정'!$B$17),'자료_거시'!$D$3:INDEX('자료_거시'!$D$3:$D$4002,$K$6),1)),""),"")</f>
        <v/>
      </c>
      <c r="U276">
        <f>IF(ISNUMBER(T276),'자료_거시'!$D258,"")</f>
        <v/>
      </c>
      <c r="V276">
        <f>IF(ISNUMBER(U276),IF(U276&gt;$L$6,T276,""),"")</f>
        <v/>
      </c>
      <c r="W276">
        <f>IF(AND(ISNUMBER('자료_거시'!$G258),ISNUMBER('자료_거시'!$H258)),'자료_거시'!$H258,"")</f>
        <v/>
      </c>
      <c r="X276">
        <f>IF(ISNUMBER(W276),'자료_거시'!$G258,"")</f>
        <v/>
      </c>
      <c r="Y276">
        <f>IF(ISNUMBER(X276),IF(X276&gt;$L$7,W276,""),"")</f>
        <v/>
      </c>
      <c r="Z276">
        <f>IF(ISNUMBER('자료_거시'!$K258),'자료_거시'!$K258,Z275)</f>
        <v/>
      </c>
      <c r="AA276">
        <f>IF(AND(ISNUMBER('자료_거시'!$J258),ISNUMBER('자료_거시'!$K258)),IFERROR('자료_거시'!$K258/INDEX($Z$21:$Z$4020,MATCH(EDATE('자료_거시'!$J258,-'설정'!$B$17),'자료_거시'!$J$3:INDEX('자료_거시'!$J$3:$J$4002,$K$8),1))-1,""),"")</f>
        <v/>
      </c>
      <c r="AB276">
        <f>IF(ISNUMBER(AA276),'자료_거시'!$J258,"")</f>
        <v/>
      </c>
      <c r="AC276">
        <f>IF(ISNUMBER(AB276),IF(AB276&gt;$L$8,AA276,""),"")</f>
        <v/>
      </c>
      <c r="AD276">
        <f>IF(AND(ISNUMBER('자료_거시'!$M258),ISNUMBER('자료_거시'!$N258)),1,0)</f>
        <v/>
      </c>
      <c r="AE276">
        <f>IF(AND(ISNUMBER('자료_거시'!$M258),ISNUMBER('자료_거시'!$N258)),IF(AND(SUMIFS($AD$21:$AD$620,'자료_거시'!$M$3:$M$602,"&gt;"&amp;EDATE('자료_거시'!$M258,-'설정'!$B$17),'자료_거시'!$M$3:$M$602,"&lt;="&amp;'자료_거시'!$M258)=3,SUMIFS($AD$21:$AD$620,'자료_거시'!$M$3:$M$602,"&gt;"&amp;EDATE('자료_거시'!$M258,-12-'설정'!$B$17),'자료_거시'!$M$3:$M$602,"&lt;="&amp;EDATE('자료_거시'!$M258,-12))=3),IFERROR(SUMIFS('자료_거시'!$N$3:$N$602,'자료_거시'!$M$3:$M$602,"&gt;"&amp;EDATE('자료_거시'!$M258,-'설정'!$B$17),'자료_거시'!$M$3:$M$602,"&lt;="&amp;'자료_거시'!$M258)/SUMIFS('자료_거시'!$N$3:$N$602,'자료_거시'!$M$3:$M$602,"&gt;"&amp;EDATE('자료_거시'!$M258,-12-'설정'!$B$17),'자료_거시'!$M$3:$M$602,"&lt;="&amp;EDATE('자료_거시'!$M258,-12))-1,""),""),"")</f>
        <v/>
      </c>
      <c r="AF276">
        <f>IF(ISNUMBER(AE276),'자료_거시'!$M258,"")</f>
        <v/>
      </c>
      <c r="AG276">
        <f>IF(ISNUMBER(AF276),IF(AF276&gt;$L$9,AE276,""),"")</f>
        <v/>
      </c>
    </row>
    <row r="277">
      <c r="P277">
        <f>IF(AND(ISNUMBER('자료_거시'!$A259),ISNUMBER('자료_거시'!$B259)),'자료_거시'!$B259,"")</f>
        <v/>
      </c>
      <c r="Q277">
        <f>IF(ISNUMBER(P277),'자료_거시'!$A259,"")</f>
        <v/>
      </c>
      <c r="R277">
        <f>IF(ISNUMBER(Q277),IF(Q277&gt;$L$5,P277,""),"")</f>
        <v/>
      </c>
      <c r="S277">
        <f>IF(ISNUMBER('자료_거시'!$E259),'자료_거시'!$E259,S276)</f>
        <v/>
      </c>
      <c r="T277">
        <f>IF(AND(ISNUMBER('자료_거시'!$D259),ISNUMBER('자료_거시'!$E259)),IFERROR('자료_거시'!$E259-INDEX($S$21:$S$4020,MATCH(EDATE('자료_거시'!$D259,-'설정'!$B$17),'자료_거시'!$D$3:INDEX('자료_거시'!$D$3:$D$4002,$K$6),1)),""),"")</f>
        <v/>
      </c>
      <c r="U277">
        <f>IF(ISNUMBER(T277),'자료_거시'!$D259,"")</f>
        <v/>
      </c>
      <c r="V277">
        <f>IF(ISNUMBER(U277),IF(U277&gt;$L$6,T277,""),"")</f>
        <v/>
      </c>
      <c r="W277">
        <f>IF(AND(ISNUMBER('자료_거시'!$G259),ISNUMBER('자료_거시'!$H259)),'자료_거시'!$H259,"")</f>
        <v/>
      </c>
      <c r="X277">
        <f>IF(ISNUMBER(W277),'자료_거시'!$G259,"")</f>
        <v/>
      </c>
      <c r="Y277">
        <f>IF(ISNUMBER(X277),IF(X277&gt;$L$7,W277,""),"")</f>
        <v/>
      </c>
      <c r="Z277">
        <f>IF(ISNUMBER('자료_거시'!$K259),'자료_거시'!$K259,Z276)</f>
        <v/>
      </c>
      <c r="AA277">
        <f>IF(AND(ISNUMBER('자료_거시'!$J259),ISNUMBER('자료_거시'!$K259)),IFERROR('자료_거시'!$K259/INDEX($Z$21:$Z$4020,MATCH(EDATE('자료_거시'!$J259,-'설정'!$B$17),'자료_거시'!$J$3:INDEX('자료_거시'!$J$3:$J$4002,$K$8),1))-1,""),"")</f>
        <v/>
      </c>
      <c r="AB277">
        <f>IF(ISNUMBER(AA277),'자료_거시'!$J259,"")</f>
        <v/>
      </c>
      <c r="AC277">
        <f>IF(ISNUMBER(AB277),IF(AB277&gt;$L$8,AA277,""),"")</f>
        <v/>
      </c>
      <c r="AD277">
        <f>IF(AND(ISNUMBER('자료_거시'!$M259),ISNUMBER('자료_거시'!$N259)),1,0)</f>
        <v/>
      </c>
      <c r="AE277">
        <f>IF(AND(ISNUMBER('자료_거시'!$M259),ISNUMBER('자료_거시'!$N259)),IF(AND(SUMIFS($AD$21:$AD$620,'자료_거시'!$M$3:$M$602,"&gt;"&amp;EDATE('자료_거시'!$M259,-'설정'!$B$17),'자료_거시'!$M$3:$M$602,"&lt;="&amp;'자료_거시'!$M259)=3,SUMIFS($AD$21:$AD$620,'자료_거시'!$M$3:$M$602,"&gt;"&amp;EDATE('자료_거시'!$M259,-12-'설정'!$B$17),'자료_거시'!$M$3:$M$602,"&lt;="&amp;EDATE('자료_거시'!$M259,-12))=3),IFERROR(SUMIFS('자료_거시'!$N$3:$N$602,'자료_거시'!$M$3:$M$602,"&gt;"&amp;EDATE('자료_거시'!$M259,-'설정'!$B$17),'자료_거시'!$M$3:$M$602,"&lt;="&amp;'자료_거시'!$M259)/SUMIFS('자료_거시'!$N$3:$N$602,'자료_거시'!$M$3:$M$602,"&gt;"&amp;EDATE('자료_거시'!$M259,-12-'설정'!$B$17),'자료_거시'!$M$3:$M$602,"&lt;="&amp;EDATE('자료_거시'!$M259,-12))-1,""),""),"")</f>
        <v/>
      </c>
      <c r="AF277">
        <f>IF(ISNUMBER(AE277),'자료_거시'!$M259,"")</f>
        <v/>
      </c>
      <c r="AG277">
        <f>IF(ISNUMBER(AF277),IF(AF277&gt;$L$9,AE277,""),"")</f>
        <v/>
      </c>
    </row>
    <row r="278">
      <c r="P278">
        <f>IF(AND(ISNUMBER('자료_거시'!$A260),ISNUMBER('자료_거시'!$B260)),'자료_거시'!$B260,"")</f>
        <v/>
      </c>
      <c r="Q278">
        <f>IF(ISNUMBER(P278),'자료_거시'!$A260,"")</f>
        <v/>
      </c>
      <c r="R278">
        <f>IF(ISNUMBER(Q278),IF(Q278&gt;$L$5,P278,""),"")</f>
        <v/>
      </c>
      <c r="S278">
        <f>IF(ISNUMBER('자료_거시'!$E260),'자료_거시'!$E260,S277)</f>
        <v/>
      </c>
      <c r="T278">
        <f>IF(AND(ISNUMBER('자료_거시'!$D260),ISNUMBER('자료_거시'!$E260)),IFERROR('자료_거시'!$E260-INDEX($S$21:$S$4020,MATCH(EDATE('자료_거시'!$D260,-'설정'!$B$17),'자료_거시'!$D$3:INDEX('자료_거시'!$D$3:$D$4002,$K$6),1)),""),"")</f>
        <v/>
      </c>
      <c r="U278">
        <f>IF(ISNUMBER(T278),'자료_거시'!$D260,"")</f>
        <v/>
      </c>
      <c r="V278">
        <f>IF(ISNUMBER(U278),IF(U278&gt;$L$6,T278,""),"")</f>
        <v/>
      </c>
      <c r="W278">
        <f>IF(AND(ISNUMBER('자료_거시'!$G260),ISNUMBER('자료_거시'!$H260)),'자료_거시'!$H260,"")</f>
        <v/>
      </c>
      <c r="X278">
        <f>IF(ISNUMBER(W278),'자료_거시'!$G260,"")</f>
        <v/>
      </c>
      <c r="Y278">
        <f>IF(ISNUMBER(X278),IF(X278&gt;$L$7,W278,""),"")</f>
        <v/>
      </c>
      <c r="Z278">
        <f>IF(ISNUMBER('자료_거시'!$K260),'자료_거시'!$K260,Z277)</f>
        <v/>
      </c>
      <c r="AA278">
        <f>IF(AND(ISNUMBER('자료_거시'!$J260),ISNUMBER('자료_거시'!$K260)),IFERROR('자료_거시'!$K260/INDEX($Z$21:$Z$4020,MATCH(EDATE('자료_거시'!$J260,-'설정'!$B$17),'자료_거시'!$J$3:INDEX('자료_거시'!$J$3:$J$4002,$K$8),1))-1,""),"")</f>
        <v/>
      </c>
      <c r="AB278">
        <f>IF(ISNUMBER(AA278),'자료_거시'!$J260,"")</f>
        <v/>
      </c>
      <c r="AC278">
        <f>IF(ISNUMBER(AB278),IF(AB278&gt;$L$8,AA278,""),"")</f>
        <v/>
      </c>
      <c r="AD278">
        <f>IF(AND(ISNUMBER('자료_거시'!$M260),ISNUMBER('자료_거시'!$N260)),1,0)</f>
        <v/>
      </c>
      <c r="AE278">
        <f>IF(AND(ISNUMBER('자료_거시'!$M260),ISNUMBER('자료_거시'!$N260)),IF(AND(SUMIFS($AD$21:$AD$620,'자료_거시'!$M$3:$M$602,"&gt;"&amp;EDATE('자료_거시'!$M260,-'설정'!$B$17),'자료_거시'!$M$3:$M$602,"&lt;="&amp;'자료_거시'!$M260)=3,SUMIFS($AD$21:$AD$620,'자료_거시'!$M$3:$M$602,"&gt;"&amp;EDATE('자료_거시'!$M260,-12-'설정'!$B$17),'자료_거시'!$M$3:$M$602,"&lt;="&amp;EDATE('자료_거시'!$M260,-12))=3),IFERROR(SUMIFS('자료_거시'!$N$3:$N$602,'자료_거시'!$M$3:$M$602,"&gt;"&amp;EDATE('자료_거시'!$M260,-'설정'!$B$17),'자료_거시'!$M$3:$M$602,"&lt;="&amp;'자료_거시'!$M260)/SUMIFS('자료_거시'!$N$3:$N$602,'자료_거시'!$M$3:$M$602,"&gt;"&amp;EDATE('자료_거시'!$M260,-12-'설정'!$B$17),'자료_거시'!$M$3:$M$602,"&lt;="&amp;EDATE('자료_거시'!$M260,-12))-1,""),""),"")</f>
        <v/>
      </c>
      <c r="AF278">
        <f>IF(ISNUMBER(AE278),'자료_거시'!$M260,"")</f>
        <v/>
      </c>
      <c r="AG278">
        <f>IF(ISNUMBER(AF278),IF(AF278&gt;$L$9,AE278,""),"")</f>
        <v/>
      </c>
    </row>
    <row r="279">
      <c r="P279">
        <f>IF(AND(ISNUMBER('자료_거시'!$A261),ISNUMBER('자료_거시'!$B261)),'자료_거시'!$B261,"")</f>
        <v/>
      </c>
      <c r="Q279">
        <f>IF(ISNUMBER(P279),'자료_거시'!$A261,"")</f>
        <v/>
      </c>
      <c r="R279">
        <f>IF(ISNUMBER(Q279),IF(Q279&gt;$L$5,P279,""),"")</f>
        <v/>
      </c>
      <c r="S279">
        <f>IF(ISNUMBER('자료_거시'!$E261),'자료_거시'!$E261,S278)</f>
        <v/>
      </c>
      <c r="T279">
        <f>IF(AND(ISNUMBER('자료_거시'!$D261),ISNUMBER('자료_거시'!$E261)),IFERROR('자료_거시'!$E261-INDEX($S$21:$S$4020,MATCH(EDATE('자료_거시'!$D261,-'설정'!$B$17),'자료_거시'!$D$3:INDEX('자료_거시'!$D$3:$D$4002,$K$6),1)),""),"")</f>
        <v/>
      </c>
      <c r="U279">
        <f>IF(ISNUMBER(T279),'자료_거시'!$D261,"")</f>
        <v/>
      </c>
      <c r="V279">
        <f>IF(ISNUMBER(U279),IF(U279&gt;$L$6,T279,""),"")</f>
        <v/>
      </c>
      <c r="W279">
        <f>IF(AND(ISNUMBER('자료_거시'!$G261),ISNUMBER('자료_거시'!$H261)),'자료_거시'!$H261,"")</f>
        <v/>
      </c>
      <c r="X279">
        <f>IF(ISNUMBER(W279),'자료_거시'!$G261,"")</f>
        <v/>
      </c>
      <c r="Y279">
        <f>IF(ISNUMBER(X279),IF(X279&gt;$L$7,W279,""),"")</f>
        <v/>
      </c>
      <c r="Z279">
        <f>IF(ISNUMBER('자료_거시'!$K261),'자료_거시'!$K261,Z278)</f>
        <v/>
      </c>
      <c r="AA279">
        <f>IF(AND(ISNUMBER('자료_거시'!$J261),ISNUMBER('자료_거시'!$K261)),IFERROR('자료_거시'!$K261/INDEX($Z$21:$Z$4020,MATCH(EDATE('자료_거시'!$J261,-'설정'!$B$17),'자료_거시'!$J$3:INDEX('자료_거시'!$J$3:$J$4002,$K$8),1))-1,""),"")</f>
        <v/>
      </c>
      <c r="AB279">
        <f>IF(ISNUMBER(AA279),'자료_거시'!$J261,"")</f>
        <v/>
      </c>
      <c r="AC279">
        <f>IF(ISNUMBER(AB279),IF(AB279&gt;$L$8,AA279,""),"")</f>
        <v/>
      </c>
      <c r="AD279">
        <f>IF(AND(ISNUMBER('자료_거시'!$M261),ISNUMBER('자료_거시'!$N261)),1,0)</f>
        <v/>
      </c>
      <c r="AE279">
        <f>IF(AND(ISNUMBER('자료_거시'!$M261),ISNUMBER('자료_거시'!$N261)),IF(AND(SUMIFS($AD$21:$AD$620,'자료_거시'!$M$3:$M$602,"&gt;"&amp;EDATE('자료_거시'!$M261,-'설정'!$B$17),'자료_거시'!$M$3:$M$602,"&lt;="&amp;'자료_거시'!$M261)=3,SUMIFS($AD$21:$AD$620,'자료_거시'!$M$3:$M$602,"&gt;"&amp;EDATE('자료_거시'!$M261,-12-'설정'!$B$17),'자료_거시'!$M$3:$M$602,"&lt;="&amp;EDATE('자료_거시'!$M261,-12))=3),IFERROR(SUMIFS('자료_거시'!$N$3:$N$602,'자료_거시'!$M$3:$M$602,"&gt;"&amp;EDATE('자료_거시'!$M261,-'설정'!$B$17),'자료_거시'!$M$3:$M$602,"&lt;="&amp;'자료_거시'!$M261)/SUMIFS('자료_거시'!$N$3:$N$602,'자료_거시'!$M$3:$M$602,"&gt;"&amp;EDATE('자료_거시'!$M261,-12-'설정'!$B$17),'자료_거시'!$M$3:$M$602,"&lt;="&amp;EDATE('자료_거시'!$M261,-12))-1,""),""),"")</f>
        <v/>
      </c>
      <c r="AF279">
        <f>IF(ISNUMBER(AE279),'자료_거시'!$M261,"")</f>
        <v/>
      </c>
      <c r="AG279">
        <f>IF(ISNUMBER(AF279),IF(AF279&gt;$L$9,AE279,""),"")</f>
        <v/>
      </c>
    </row>
    <row r="280">
      <c r="P280">
        <f>IF(AND(ISNUMBER('자료_거시'!$A262),ISNUMBER('자료_거시'!$B262)),'자료_거시'!$B262,"")</f>
        <v/>
      </c>
      <c r="Q280">
        <f>IF(ISNUMBER(P280),'자료_거시'!$A262,"")</f>
        <v/>
      </c>
      <c r="R280">
        <f>IF(ISNUMBER(Q280),IF(Q280&gt;$L$5,P280,""),"")</f>
        <v/>
      </c>
      <c r="S280">
        <f>IF(ISNUMBER('자료_거시'!$E262),'자료_거시'!$E262,S279)</f>
        <v/>
      </c>
      <c r="T280">
        <f>IF(AND(ISNUMBER('자료_거시'!$D262),ISNUMBER('자료_거시'!$E262)),IFERROR('자료_거시'!$E262-INDEX($S$21:$S$4020,MATCH(EDATE('자료_거시'!$D262,-'설정'!$B$17),'자료_거시'!$D$3:INDEX('자료_거시'!$D$3:$D$4002,$K$6),1)),""),"")</f>
        <v/>
      </c>
      <c r="U280">
        <f>IF(ISNUMBER(T280),'자료_거시'!$D262,"")</f>
        <v/>
      </c>
      <c r="V280">
        <f>IF(ISNUMBER(U280),IF(U280&gt;$L$6,T280,""),"")</f>
        <v/>
      </c>
      <c r="W280">
        <f>IF(AND(ISNUMBER('자료_거시'!$G262),ISNUMBER('자료_거시'!$H262)),'자료_거시'!$H262,"")</f>
        <v/>
      </c>
      <c r="X280">
        <f>IF(ISNUMBER(W280),'자료_거시'!$G262,"")</f>
        <v/>
      </c>
      <c r="Y280">
        <f>IF(ISNUMBER(X280),IF(X280&gt;$L$7,W280,""),"")</f>
        <v/>
      </c>
      <c r="Z280">
        <f>IF(ISNUMBER('자료_거시'!$K262),'자료_거시'!$K262,Z279)</f>
        <v/>
      </c>
      <c r="AA280">
        <f>IF(AND(ISNUMBER('자료_거시'!$J262),ISNUMBER('자료_거시'!$K262)),IFERROR('자료_거시'!$K262/INDEX($Z$21:$Z$4020,MATCH(EDATE('자료_거시'!$J262,-'설정'!$B$17),'자료_거시'!$J$3:INDEX('자료_거시'!$J$3:$J$4002,$K$8),1))-1,""),"")</f>
        <v/>
      </c>
      <c r="AB280">
        <f>IF(ISNUMBER(AA280),'자료_거시'!$J262,"")</f>
        <v/>
      </c>
      <c r="AC280">
        <f>IF(ISNUMBER(AB280),IF(AB280&gt;$L$8,AA280,""),"")</f>
        <v/>
      </c>
      <c r="AD280">
        <f>IF(AND(ISNUMBER('자료_거시'!$M262),ISNUMBER('자료_거시'!$N262)),1,0)</f>
        <v/>
      </c>
      <c r="AE280">
        <f>IF(AND(ISNUMBER('자료_거시'!$M262),ISNUMBER('자료_거시'!$N262)),IF(AND(SUMIFS($AD$21:$AD$620,'자료_거시'!$M$3:$M$602,"&gt;"&amp;EDATE('자료_거시'!$M262,-'설정'!$B$17),'자료_거시'!$M$3:$M$602,"&lt;="&amp;'자료_거시'!$M262)=3,SUMIFS($AD$21:$AD$620,'자료_거시'!$M$3:$M$602,"&gt;"&amp;EDATE('자료_거시'!$M262,-12-'설정'!$B$17),'자료_거시'!$M$3:$M$602,"&lt;="&amp;EDATE('자료_거시'!$M262,-12))=3),IFERROR(SUMIFS('자료_거시'!$N$3:$N$602,'자료_거시'!$M$3:$M$602,"&gt;"&amp;EDATE('자료_거시'!$M262,-'설정'!$B$17),'자료_거시'!$M$3:$M$602,"&lt;="&amp;'자료_거시'!$M262)/SUMIFS('자료_거시'!$N$3:$N$602,'자료_거시'!$M$3:$M$602,"&gt;"&amp;EDATE('자료_거시'!$M262,-12-'설정'!$B$17),'자료_거시'!$M$3:$M$602,"&lt;="&amp;EDATE('자료_거시'!$M262,-12))-1,""),""),"")</f>
        <v/>
      </c>
      <c r="AF280">
        <f>IF(ISNUMBER(AE280),'자료_거시'!$M262,"")</f>
        <v/>
      </c>
      <c r="AG280">
        <f>IF(ISNUMBER(AF280),IF(AF280&gt;$L$9,AE280,""),"")</f>
        <v/>
      </c>
    </row>
    <row r="281">
      <c r="P281">
        <f>IF(AND(ISNUMBER('자료_거시'!$A263),ISNUMBER('자료_거시'!$B263)),'자료_거시'!$B263,"")</f>
        <v/>
      </c>
      <c r="Q281">
        <f>IF(ISNUMBER(P281),'자료_거시'!$A263,"")</f>
        <v/>
      </c>
      <c r="R281">
        <f>IF(ISNUMBER(Q281),IF(Q281&gt;$L$5,P281,""),"")</f>
        <v/>
      </c>
      <c r="S281">
        <f>IF(ISNUMBER('자료_거시'!$E263),'자료_거시'!$E263,S280)</f>
        <v/>
      </c>
      <c r="T281">
        <f>IF(AND(ISNUMBER('자료_거시'!$D263),ISNUMBER('자료_거시'!$E263)),IFERROR('자료_거시'!$E263-INDEX($S$21:$S$4020,MATCH(EDATE('자료_거시'!$D263,-'설정'!$B$17),'자료_거시'!$D$3:INDEX('자료_거시'!$D$3:$D$4002,$K$6),1)),""),"")</f>
        <v/>
      </c>
      <c r="U281">
        <f>IF(ISNUMBER(T281),'자료_거시'!$D263,"")</f>
        <v/>
      </c>
      <c r="V281">
        <f>IF(ISNUMBER(U281),IF(U281&gt;$L$6,T281,""),"")</f>
        <v/>
      </c>
      <c r="W281">
        <f>IF(AND(ISNUMBER('자료_거시'!$G263),ISNUMBER('자료_거시'!$H263)),'자료_거시'!$H263,"")</f>
        <v/>
      </c>
      <c r="X281">
        <f>IF(ISNUMBER(W281),'자료_거시'!$G263,"")</f>
        <v/>
      </c>
      <c r="Y281">
        <f>IF(ISNUMBER(X281),IF(X281&gt;$L$7,W281,""),"")</f>
        <v/>
      </c>
      <c r="Z281">
        <f>IF(ISNUMBER('자료_거시'!$K263),'자료_거시'!$K263,Z280)</f>
        <v/>
      </c>
      <c r="AA281">
        <f>IF(AND(ISNUMBER('자료_거시'!$J263),ISNUMBER('자료_거시'!$K263)),IFERROR('자료_거시'!$K263/INDEX($Z$21:$Z$4020,MATCH(EDATE('자료_거시'!$J263,-'설정'!$B$17),'자료_거시'!$J$3:INDEX('자료_거시'!$J$3:$J$4002,$K$8),1))-1,""),"")</f>
        <v/>
      </c>
      <c r="AB281">
        <f>IF(ISNUMBER(AA281),'자료_거시'!$J263,"")</f>
        <v/>
      </c>
      <c r="AC281">
        <f>IF(ISNUMBER(AB281),IF(AB281&gt;$L$8,AA281,""),"")</f>
        <v/>
      </c>
      <c r="AD281">
        <f>IF(AND(ISNUMBER('자료_거시'!$M263),ISNUMBER('자료_거시'!$N263)),1,0)</f>
        <v/>
      </c>
      <c r="AE281">
        <f>IF(AND(ISNUMBER('자료_거시'!$M263),ISNUMBER('자료_거시'!$N263)),IF(AND(SUMIFS($AD$21:$AD$620,'자료_거시'!$M$3:$M$602,"&gt;"&amp;EDATE('자료_거시'!$M263,-'설정'!$B$17),'자료_거시'!$M$3:$M$602,"&lt;="&amp;'자료_거시'!$M263)=3,SUMIFS($AD$21:$AD$620,'자료_거시'!$M$3:$M$602,"&gt;"&amp;EDATE('자료_거시'!$M263,-12-'설정'!$B$17),'자료_거시'!$M$3:$M$602,"&lt;="&amp;EDATE('자료_거시'!$M263,-12))=3),IFERROR(SUMIFS('자료_거시'!$N$3:$N$602,'자료_거시'!$M$3:$M$602,"&gt;"&amp;EDATE('자료_거시'!$M263,-'설정'!$B$17),'자료_거시'!$M$3:$M$602,"&lt;="&amp;'자료_거시'!$M263)/SUMIFS('자료_거시'!$N$3:$N$602,'자료_거시'!$M$3:$M$602,"&gt;"&amp;EDATE('자료_거시'!$M263,-12-'설정'!$B$17),'자료_거시'!$M$3:$M$602,"&lt;="&amp;EDATE('자료_거시'!$M263,-12))-1,""),""),"")</f>
        <v/>
      </c>
      <c r="AF281">
        <f>IF(ISNUMBER(AE281),'자료_거시'!$M263,"")</f>
        <v/>
      </c>
      <c r="AG281">
        <f>IF(ISNUMBER(AF281),IF(AF281&gt;$L$9,AE281,""),"")</f>
        <v/>
      </c>
    </row>
    <row r="282">
      <c r="P282">
        <f>IF(AND(ISNUMBER('자료_거시'!$A264),ISNUMBER('자료_거시'!$B264)),'자료_거시'!$B264,"")</f>
        <v/>
      </c>
      <c r="Q282">
        <f>IF(ISNUMBER(P282),'자료_거시'!$A264,"")</f>
        <v/>
      </c>
      <c r="R282">
        <f>IF(ISNUMBER(Q282),IF(Q282&gt;$L$5,P282,""),"")</f>
        <v/>
      </c>
      <c r="S282">
        <f>IF(ISNUMBER('자료_거시'!$E264),'자료_거시'!$E264,S281)</f>
        <v/>
      </c>
      <c r="T282">
        <f>IF(AND(ISNUMBER('자료_거시'!$D264),ISNUMBER('자료_거시'!$E264)),IFERROR('자료_거시'!$E264-INDEX($S$21:$S$4020,MATCH(EDATE('자료_거시'!$D264,-'설정'!$B$17),'자료_거시'!$D$3:INDEX('자료_거시'!$D$3:$D$4002,$K$6),1)),""),"")</f>
        <v/>
      </c>
      <c r="U282">
        <f>IF(ISNUMBER(T282),'자료_거시'!$D264,"")</f>
        <v/>
      </c>
      <c r="V282">
        <f>IF(ISNUMBER(U282),IF(U282&gt;$L$6,T282,""),"")</f>
        <v/>
      </c>
      <c r="W282">
        <f>IF(AND(ISNUMBER('자료_거시'!$G264),ISNUMBER('자료_거시'!$H264)),'자료_거시'!$H264,"")</f>
        <v/>
      </c>
      <c r="X282">
        <f>IF(ISNUMBER(W282),'자료_거시'!$G264,"")</f>
        <v/>
      </c>
      <c r="Y282">
        <f>IF(ISNUMBER(X282),IF(X282&gt;$L$7,W282,""),"")</f>
        <v/>
      </c>
      <c r="Z282">
        <f>IF(ISNUMBER('자료_거시'!$K264),'자료_거시'!$K264,Z281)</f>
        <v/>
      </c>
      <c r="AA282">
        <f>IF(AND(ISNUMBER('자료_거시'!$J264),ISNUMBER('자료_거시'!$K264)),IFERROR('자료_거시'!$K264/INDEX($Z$21:$Z$4020,MATCH(EDATE('자료_거시'!$J264,-'설정'!$B$17),'자료_거시'!$J$3:INDEX('자료_거시'!$J$3:$J$4002,$K$8),1))-1,""),"")</f>
        <v/>
      </c>
      <c r="AB282">
        <f>IF(ISNUMBER(AA282),'자료_거시'!$J264,"")</f>
        <v/>
      </c>
      <c r="AC282">
        <f>IF(ISNUMBER(AB282),IF(AB282&gt;$L$8,AA282,""),"")</f>
        <v/>
      </c>
      <c r="AD282">
        <f>IF(AND(ISNUMBER('자료_거시'!$M264),ISNUMBER('자료_거시'!$N264)),1,0)</f>
        <v/>
      </c>
      <c r="AE282">
        <f>IF(AND(ISNUMBER('자료_거시'!$M264),ISNUMBER('자료_거시'!$N264)),IF(AND(SUMIFS($AD$21:$AD$620,'자료_거시'!$M$3:$M$602,"&gt;"&amp;EDATE('자료_거시'!$M264,-'설정'!$B$17),'자료_거시'!$M$3:$M$602,"&lt;="&amp;'자료_거시'!$M264)=3,SUMIFS($AD$21:$AD$620,'자료_거시'!$M$3:$M$602,"&gt;"&amp;EDATE('자료_거시'!$M264,-12-'설정'!$B$17),'자료_거시'!$M$3:$M$602,"&lt;="&amp;EDATE('자료_거시'!$M264,-12))=3),IFERROR(SUMIFS('자료_거시'!$N$3:$N$602,'자료_거시'!$M$3:$M$602,"&gt;"&amp;EDATE('자료_거시'!$M264,-'설정'!$B$17),'자료_거시'!$M$3:$M$602,"&lt;="&amp;'자료_거시'!$M264)/SUMIFS('자료_거시'!$N$3:$N$602,'자료_거시'!$M$3:$M$602,"&gt;"&amp;EDATE('자료_거시'!$M264,-12-'설정'!$B$17),'자료_거시'!$M$3:$M$602,"&lt;="&amp;EDATE('자료_거시'!$M264,-12))-1,""),""),"")</f>
        <v/>
      </c>
      <c r="AF282">
        <f>IF(ISNUMBER(AE282),'자료_거시'!$M264,"")</f>
        <v/>
      </c>
      <c r="AG282">
        <f>IF(ISNUMBER(AF282),IF(AF282&gt;$L$9,AE282,""),"")</f>
        <v/>
      </c>
    </row>
    <row r="283">
      <c r="P283">
        <f>IF(AND(ISNUMBER('자료_거시'!$A265),ISNUMBER('자료_거시'!$B265)),'자료_거시'!$B265,"")</f>
        <v/>
      </c>
      <c r="Q283">
        <f>IF(ISNUMBER(P283),'자료_거시'!$A265,"")</f>
        <v/>
      </c>
      <c r="R283">
        <f>IF(ISNUMBER(Q283),IF(Q283&gt;$L$5,P283,""),"")</f>
        <v/>
      </c>
      <c r="S283">
        <f>IF(ISNUMBER('자료_거시'!$E265),'자료_거시'!$E265,S282)</f>
        <v/>
      </c>
      <c r="T283">
        <f>IF(AND(ISNUMBER('자료_거시'!$D265),ISNUMBER('자료_거시'!$E265)),IFERROR('자료_거시'!$E265-INDEX($S$21:$S$4020,MATCH(EDATE('자료_거시'!$D265,-'설정'!$B$17),'자료_거시'!$D$3:INDEX('자료_거시'!$D$3:$D$4002,$K$6),1)),""),"")</f>
        <v/>
      </c>
      <c r="U283">
        <f>IF(ISNUMBER(T283),'자료_거시'!$D265,"")</f>
        <v/>
      </c>
      <c r="V283">
        <f>IF(ISNUMBER(U283),IF(U283&gt;$L$6,T283,""),"")</f>
        <v/>
      </c>
      <c r="W283">
        <f>IF(AND(ISNUMBER('자료_거시'!$G265),ISNUMBER('자료_거시'!$H265)),'자료_거시'!$H265,"")</f>
        <v/>
      </c>
      <c r="X283">
        <f>IF(ISNUMBER(W283),'자료_거시'!$G265,"")</f>
        <v/>
      </c>
      <c r="Y283">
        <f>IF(ISNUMBER(X283),IF(X283&gt;$L$7,W283,""),"")</f>
        <v/>
      </c>
      <c r="Z283">
        <f>IF(ISNUMBER('자료_거시'!$K265),'자료_거시'!$K265,Z282)</f>
        <v/>
      </c>
      <c r="AA283">
        <f>IF(AND(ISNUMBER('자료_거시'!$J265),ISNUMBER('자료_거시'!$K265)),IFERROR('자료_거시'!$K265/INDEX($Z$21:$Z$4020,MATCH(EDATE('자료_거시'!$J265,-'설정'!$B$17),'자료_거시'!$J$3:INDEX('자료_거시'!$J$3:$J$4002,$K$8),1))-1,""),"")</f>
        <v/>
      </c>
      <c r="AB283">
        <f>IF(ISNUMBER(AA283),'자료_거시'!$J265,"")</f>
        <v/>
      </c>
      <c r="AC283">
        <f>IF(ISNUMBER(AB283),IF(AB283&gt;$L$8,AA283,""),"")</f>
        <v/>
      </c>
      <c r="AD283">
        <f>IF(AND(ISNUMBER('자료_거시'!$M265),ISNUMBER('자료_거시'!$N265)),1,0)</f>
        <v/>
      </c>
      <c r="AE283">
        <f>IF(AND(ISNUMBER('자료_거시'!$M265),ISNUMBER('자료_거시'!$N265)),IF(AND(SUMIFS($AD$21:$AD$620,'자료_거시'!$M$3:$M$602,"&gt;"&amp;EDATE('자료_거시'!$M265,-'설정'!$B$17),'자료_거시'!$M$3:$M$602,"&lt;="&amp;'자료_거시'!$M265)=3,SUMIFS($AD$21:$AD$620,'자료_거시'!$M$3:$M$602,"&gt;"&amp;EDATE('자료_거시'!$M265,-12-'설정'!$B$17),'자료_거시'!$M$3:$M$602,"&lt;="&amp;EDATE('자료_거시'!$M265,-12))=3),IFERROR(SUMIFS('자료_거시'!$N$3:$N$602,'자료_거시'!$M$3:$M$602,"&gt;"&amp;EDATE('자료_거시'!$M265,-'설정'!$B$17),'자료_거시'!$M$3:$M$602,"&lt;="&amp;'자료_거시'!$M265)/SUMIFS('자료_거시'!$N$3:$N$602,'자료_거시'!$M$3:$M$602,"&gt;"&amp;EDATE('자료_거시'!$M265,-12-'설정'!$B$17),'자료_거시'!$M$3:$M$602,"&lt;="&amp;EDATE('자료_거시'!$M265,-12))-1,""),""),"")</f>
        <v/>
      </c>
      <c r="AF283">
        <f>IF(ISNUMBER(AE283),'자료_거시'!$M265,"")</f>
        <v/>
      </c>
      <c r="AG283">
        <f>IF(ISNUMBER(AF283),IF(AF283&gt;$L$9,AE283,""),"")</f>
        <v/>
      </c>
    </row>
    <row r="284">
      <c r="P284">
        <f>IF(AND(ISNUMBER('자료_거시'!$A266),ISNUMBER('자료_거시'!$B266)),'자료_거시'!$B266,"")</f>
        <v/>
      </c>
      <c r="Q284">
        <f>IF(ISNUMBER(P284),'자료_거시'!$A266,"")</f>
        <v/>
      </c>
      <c r="R284">
        <f>IF(ISNUMBER(Q284),IF(Q284&gt;$L$5,P284,""),"")</f>
        <v/>
      </c>
      <c r="S284">
        <f>IF(ISNUMBER('자료_거시'!$E266),'자료_거시'!$E266,S283)</f>
        <v/>
      </c>
      <c r="T284">
        <f>IF(AND(ISNUMBER('자료_거시'!$D266),ISNUMBER('자료_거시'!$E266)),IFERROR('자료_거시'!$E266-INDEX($S$21:$S$4020,MATCH(EDATE('자료_거시'!$D266,-'설정'!$B$17),'자료_거시'!$D$3:INDEX('자료_거시'!$D$3:$D$4002,$K$6),1)),""),"")</f>
        <v/>
      </c>
      <c r="U284">
        <f>IF(ISNUMBER(T284),'자료_거시'!$D266,"")</f>
        <v/>
      </c>
      <c r="V284">
        <f>IF(ISNUMBER(U284),IF(U284&gt;$L$6,T284,""),"")</f>
        <v/>
      </c>
      <c r="W284">
        <f>IF(AND(ISNUMBER('자료_거시'!$G266),ISNUMBER('자료_거시'!$H266)),'자료_거시'!$H266,"")</f>
        <v/>
      </c>
      <c r="X284">
        <f>IF(ISNUMBER(W284),'자료_거시'!$G266,"")</f>
        <v/>
      </c>
      <c r="Y284">
        <f>IF(ISNUMBER(X284),IF(X284&gt;$L$7,W284,""),"")</f>
        <v/>
      </c>
      <c r="Z284">
        <f>IF(ISNUMBER('자료_거시'!$K266),'자료_거시'!$K266,Z283)</f>
        <v/>
      </c>
      <c r="AA284">
        <f>IF(AND(ISNUMBER('자료_거시'!$J266),ISNUMBER('자료_거시'!$K266)),IFERROR('자료_거시'!$K266/INDEX($Z$21:$Z$4020,MATCH(EDATE('자료_거시'!$J266,-'설정'!$B$17),'자료_거시'!$J$3:INDEX('자료_거시'!$J$3:$J$4002,$K$8),1))-1,""),"")</f>
        <v/>
      </c>
      <c r="AB284">
        <f>IF(ISNUMBER(AA284),'자료_거시'!$J266,"")</f>
        <v/>
      </c>
      <c r="AC284">
        <f>IF(ISNUMBER(AB284),IF(AB284&gt;$L$8,AA284,""),"")</f>
        <v/>
      </c>
      <c r="AD284">
        <f>IF(AND(ISNUMBER('자료_거시'!$M266),ISNUMBER('자료_거시'!$N266)),1,0)</f>
        <v/>
      </c>
      <c r="AE284">
        <f>IF(AND(ISNUMBER('자료_거시'!$M266),ISNUMBER('자료_거시'!$N266)),IF(AND(SUMIFS($AD$21:$AD$620,'자료_거시'!$M$3:$M$602,"&gt;"&amp;EDATE('자료_거시'!$M266,-'설정'!$B$17),'자료_거시'!$M$3:$M$602,"&lt;="&amp;'자료_거시'!$M266)=3,SUMIFS($AD$21:$AD$620,'자료_거시'!$M$3:$M$602,"&gt;"&amp;EDATE('자료_거시'!$M266,-12-'설정'!$B$17),'자료_거시'!$M$3:$M$602,"&lt;="&amp;EDATE('자료_거시'!$M266,-12))=3),IFERROR(SUMIFS('자료_거시'!$N$3:$N$602,'자료_거시'!$M$3:$M$602,"&gt;"&amp;EDATE('자료_거시'!$M266,-'설정'!$B$17),'자료_거시'!$M$3:$M$602,"&lt;="&amp;'자료_거시'!$M266)/SUMIFS('자료_거시'!$N$3:$N$602,'자료_거시'!$M$3:$M$602,"&gt;"&amp;EDATE('자료_거시'!$M266,-12-'설정'!$B$17),'자료_거시'!$M$3:$M$602,"&lt;="&amp;EDATE('자료_거시'!$M266,-12))-1,""),""),"")</f>
        <v/>
      </c>
      <c r="AF284">
        <f>IF(ISNUMBER(AE284),'자료_거시'!$M266,"")</f>
        <v/>
      </c>
      <c r="AG284">
        <f>IF(ISNUMBER(AF284),IF(AF284&gt;$L$9,AE284,""),"")</f>
        <v/>
      </c>
    </row>
    <row r="285">
      <c r="P285">
        <f>IF(AND(ISNUMBER('자료_거시'!$A267),ISNUMBER('자료_거시'!$B267)),'자료_거시'!$B267,"")</f>
        <v/>
      </c>
      <c r="Q285">
        <f>IF(ISNUMBER(P285),'자료_거시'!$A267,"")</f>
        <v/>
      </c>
      <c r="R285">
        <f>IF(ISNUMBER(Q285),IF(Q285&gt;$L$5,P285,""),"")</f>
        <v/>
      </c>
      <c r="S285">
        <f>IF(ISNUMBER('자료_거시'!$E267),'자료_거시'!$E267,S284)</f>
        <v/>
      </c>
      <c r="T285">
        <f>IF(AND(ISNUMBER('자료_거시'!$D267),ISNUMBER('자료_거시'!$E267)),IFERROR('자료_거시'!$E267-INDEX($S$21:$S$4020,MATCH(EDATE('자료_거시'!$D267,-'설정'!$B$17),'자료_거시'!$D$3:INDEX('자료_거시'!$D$3:$D$4002,$K$6),1)),""),"")</f>
        <v/>
      </c>
      <c r="U285">
        <f>IF(ISNUMBER(T285),'자료_거시'!$D267,"")</f>
        <v/>
      </c>
      <c r="V285">
        <f>IF(ISNUMBER(U285),IF(U285&gt;$L$6,T285,""),"")</f>
        <v/>
      </c>
      <c r="W285">
        <f>IF(AND(ISNUMBER('자료_거시'!$G267),ISNUMBER('자료_거시'!$H267)),'자료_거시'!$H267,"")</f>
        <v/>
      </c>
      <c r="X285">
        <f>IF(ISNUMBER(W285),'자료_거시'!$G267,"")</f>
        <v/>
      </c>
      <c r="Y285">
        <f>IF(ISNUMBER(X285),IF(X285&gt;$L$7,W285,""),"")</f>
        <v/>
      </c>
      <c r="Z285">
        <f>IF(ISNUMBER('자료_거시'!$K267),'자료_거시'!$K267,Z284)</f>
        <v/>
      </c>
      <c r="AA285">
        <f>IF(AND(ISNUMBER('자료_거시'!$J267),ISNUMBER('자료_거시'!$K267)),IFERROR('자료_거시'!$K267/INDEX($Z$21:$Z$4020,MATCH(EDATE('자료_거시'!$J267,-'설정'!$B$17),'자료_거시'!$J$3:INDEX('자료_거시'!$J$3:$J$4002,$K$8),1))-1,""),"")</f>
        <v/>
      </c>
      <c r="AB285">
        <f>IF(ISNUMBER(AA285),'자료_거시'!$J267,"")</f>
        <v/>
      </c>
      <c r="AC285">
        <f>IF(ISNUMBER(AB285),IF(AB285&gt;$L$8,AA285,""),"")</f>
        <v/>
      </c>
      <c r="AD285">
        <f>IF(AND(ISNUMBER('자료_거시'!$M267),ISNUMBER('자료_거시'!$N267)),1,0)</f>
        <v/>
      </c>
      <c r="AE285">
        <f>IF(AND(ISNUMBER('자료_거시'!$M267),ISNUMBER('자료_거시'!$N267)),IF(AND(SUMIFS($AD$21:$AD$620,'자료_거시'!$M$3:$M$602,"&gt;"&amp;EDATE('자료_거시'!$M267,-'설정'!$B$17),'자료_거시'!$M$3:$M$602,"&lt;="&amp;'자료_거시'!$M267)=3,SUMIFS($AD$21:$AD$620,'자료_거시'!$M$3:$M$602,"&gt;"&amp;EDATE('자료_거시'!$M267,-12-'설정'!$B$17),'자료_거시'!$M$3:$M$602,"&lt;="&amp;EDATE('자료_거시'!$M267,-12))=3),IFERROR(SUMIFS('자료_거시'!$N$3:$N$602,'자료_거시'!$M$3:$M$602,"&gt;"&amp;EDATE('자료_거시'!$M267,-'설정'!$B$17),'자료_거시'!$M$3:$M$602,"&lt;="&amp;'자료_거시'!$M267)/SUMIFS('자료_거시'!$N$3:$N$602,'자료_거시'!$M$3:$M$602,"&gt;"&amp;EDATE('자료_거시'!$M267,-12-'설정'!$B$17),'자료_거시'!$M$3:$M$602,"&lt;="&amp;EDATE('자료_거시'!$M267,-12))-1,""),""),"")</f>
        <v/>
      </c>
      <c r="AF285">
        <f>IF(ISNUMBER(AE285),'자료_거시'!$M267,"")</f>
        <v/>
      </c>
      <c r="AG285">
        <f>IF(ISNUMBER(AF285),IF(AF285&gt;$L$9,AE285,""),"")</f>
        <v/>
      </c>
    </row>
    <row r="286">
      <c r="P286">
        <f>IF(AND(ISNUMBER('자료_거시'!$A268),ISNUMBER('자료_거시'!$B268)),'자료_거시'!$B268,"")</f>
        <v/>
      </c>
      <c r="Q286">
        <f>IF(ISNUMBER(P286),'자료_거시'!$A268,"")</f>
        <v/>
      </c>
      <c r="R286">
        <f>IF(ISNUMBER(Q286),IF(Q286&gt;$L$5,P286,""),"")</f>
        <v/>
      </c>
      <c r="S286">
        <f>IF(ISNUMBER('자료_거시'!$E268),'자료_거시'!$E268,S285)</f>
        <v/>
      </c>
      <c r="T286">
        <f>IF(AND(ISNUMBER('자료_거시'!$D268),ISNUMBER('자료_거시'!$E268)),IFERROR('자료_거시'!$E268-INDEX($S$21:$S$4020,MATCH(EDATE('자료_거시'!$D268,-'설정'!$B$17),'자료_거시'!$D$3:INDEX('자료_거시'!$D$3:$D$4002,$K$6),1)),""),"")</f>
        <v/>
      </c>
      <c r="U286">
        <f>IF(ISNUMBER(T286),'자료_거시'!$D268,"")</f>
        <v/>
      </c>
      <c r="V286">
        <f>IF(ISNUMBER(U286),IF(U286&gt;$L$6,T286,""),"")</f>
        <v/>
      </c>
      <c r="W286">
        <f>IF(AND(ISNUMBER('자료_거시'!$G268),ISNUMBER('자료_거시'!$H268)),'자료_거시'!$H268,"")</f>
        <v/>
      </c>
      <c r="X286">
        <f>IF(ISNUMBER(W286),'자료_거시'!$G268,"")</f>
        <v/>
      </c>
      <c r="Y286">
        <f>IF(ISNUMBER(X286),IF(X286&gt;$L$7,W286,""),"")</f>
        <v/>
      </c>
      <c r="Z286">
        <f>IF(ISNUMBER('자료_거시'!$K268),'자료_거시'!$K268,Z285)</f>
        <v/>
      </c>
      <c r="AA286">
        <f>IF(AND(ISNUMBER('자료_거시'!$J268),ISNUMBER('자료_거시'!$K268)),IFERROR('자료_거시'!$K268/INDEX($Z$21:$Z$4020,MATCH(EDATE('자료_거시'!$J268,-'설정'!$B$17),'자료_거시'!$J$3:INDEX('자료_거시'!$J$3:$J$4002,$K$8),1))-1,""),"")</f>
        <v/>
      </c>
      <c r="AB286">
        <f>IF(ISNUMBER(AA286),'자료_거시'!$J268,"")</f>
        <v/>
      </c>
      <c r="AC286">
        <f>IF(ISNUMBER(AB286),IF(AB286&gt;$L$8,AA286,""),"")</f>
        <v/>
      </c>
      <c r="AD286">
        <f>IF(AND(ISNUMBER('자료_거시'!$M268),ISNUMBER('자료_거시'!$N268)),1,0)</f>
        <v/>
      </c>
      <c r="AE286">
        <f>IF(AND(ISNUMBER('자료_거시'!$M268),ISNUMBER('자료_거시'!$N268)),IF(AND(SUMIFS($AD$21:$AD$620,'자료_거시'!$M$3:$M$602,"&gt;"&amp;EDATE('자료_거시'!$M268,-'설정'!$B$17),'자료_거시'!$M$3:$M$602,"&lt;="&amp;'자료_거시'!$M268)=3,SUMIFS($AD$21:$AD$620,'자료_거시'!$M$3:$M$602,"&gt;"&amp;EDATE('자료_거시'!$M268,-12-'설정'!$B$17),'자료_거시'!$M$3:$M$602,"&lt;="&amp;EDATE('자료_거시'!$M268,-12))=3),IFERROR(SUMIFS('자료_거시'!$N$3:$N$602,'자료_거시'!$M$3:$M$602,"&gt;"&amp;EDATE('자료_거시'!$M268,-'설정'!$B$17),'자료_거시'!$M$3:$M$602,"&lt;="&amp;'자료_거시'!$M268)/SUMIFS('자료_거시'!$N$3:$N$602,'자료_거시'!$M$3:$M$602,"&gt;"&amp;EDATE('자료_거시'!$M268,-12-'설정'!$B$17),'자료_거시'!$M$3:$M$602,"&lt;="&amp;EDATE('자료_거시'!$M268,-12))-1,""),""),"")</f>
        <v/>
      </c>
      <c r="AF286">
        <f>IF(ISNUMBER(AE286),'자료_거시'!$M268,"")</f>
        <v/>
      </c>
      <c r="AG286">
        <f>IF(ISNUMBER(AF286),IF(AF286&gt;$L$9,AE286,""),"")</f>
        <v/>
      </c>
    </row>
    <row r="287">
      <c r="P287">
        <f>IF(AND(ISNUMBER('자료_거시'!$A269),ISNUMBER('자료_거시'!$B269)),'자료_거시'!$B269,"")</f>
        <v/>
      </c>
      <c r="Q287">
        <f>IF(ISNUMBER(P287),'자료_거시'!$A269,"")</f>
        <v/>
      </c>
      <c r="R287">
        <f>IF(ISNUMBER(Q287),IF(Q287&gt;$L$5,P287,""),"")</f>
        <v/>
      </c>
      <c r="S287">
        <f>IF(ISNUMBER('자료_거시'!$E269),'자료_거시'!$E269,S286)</f>
        <v/>
      </c>
      <c r="T287">
        <f>IF(AND(ISNUMBER('자료_거시'!$D269),ISNUMBER('자료_거시'!$E269)),IFERROR('자료_거시'!$E269-INDEX($S$21:$S$4020,MATCH(EDATE('자료_거시'!$D269,-'설정'!$B$17),'자료_거시'!$D$3:INDEX('자료_거시'!$D$3:$D$4002,$K$6),1)),""),"")</f>
        <v/>
      </c>
      <c r="U287">
        <f>IF(ISNUMBER(T287),'자료_거시'!$D269,"")</f>
        <v/>
      </c>
      <c r="V287">
        <f>IF(ISNUMBER(U287),IF(U287&gt;$L$6,T287,""),"")</f>
        <v/>
      </c>
      <c r="W287">
        <f>IF(AND(ISNUMBER('자료_거시'!$G269),ISNUMBER('자료_거시'!$H269)),'자료_거시'!$H269,"")</f>
        <v/>
      </c>
      <c r="X287">
        <f>IF(ISNUMBER(W287),'자료_거시'!$G269,"")</f>
        <v/>
      </c>
      <c r="Y287">
        <f>IF(ISNUMBER(X287),IF(X287&gt;$L$7,W287,""),"")</f>
        <v/>
      </c>
      <c r="Z287">
        <f>IF(ISNUMBER('자료_거시'!$K269),'자료_거시'!$K269,Z286)</f>
        <v/>
      </c>
      <c r="AA287">
        <f>IF(AND(ISNUMBER('자료_거시'!$J269),ISNUMBER('자료_거시'!$K269)),IFERROR('자료_거시'!$K269/INDEX($Z$21:$Z$4020,MATCH(EDATE('자료_거시'!$J269,-'설정'!$B$17),'자료_거시'!$J$3:INDEX('자료_거시'!$J$3:$J$4002,$K$8),1))-1,""),"")</f>
        <v/>
      </c>
      <c r="AB287">
        <f>IF(ISNUMBER(AA287),'자료_거시'!$J269,"")</f>
        <v/>
      </c>
      <c r="AC287">
        <f>IF(ISNUMBER(AB287),IF(AB287&gt;$L$8,AA287,""),"")</f>
        <v/>
      </c>
      <c r="AD287">
        <f>IF(AND(ISNUMBER('자료_거시'!$M269),ISNUMBER('자료_거시'!$N269)),1,0)</f>
        <v/>
      </c>
      <c r="AE287">
        <f>IF(AND(ISNUMBER('자료_거시'!$M269),ISNUMBER('자료_거시'!$N269)),IF(AND(SUMIFS($AD$21:$AD$620,'자료_거시'!$M$3:$M$602,"&gt;"&amp;EDATE('자료_거시'!$M269,-'설정'!$B$17),'자료_거시'!$M$3:$M$602,"&lt;="&amp;'자료_거시'!$M269)=3,SUMIFS($AD$21:$AD$620,'자료_거시'!$M$3:$M$602,"&gt;"&amp;EDATE('자료_거시'!$M269,-12-'설정'!$B$17),'자료_거시'!$M$3:$M$602,"&lt;="&amp;EDATE('자료_거시'!$M269,-12))=3),IFERROR(SUMIFS('자료_거시'!$N$3:$N$602,'자료_거시'!$M$3:$M$602,"&gt;"&amp;EDATE('자료_거시'!$M269,-'설정'!$B$17),'자료_거시'!$M$3:$M$602,"&lt;="&amp;'자료_거시'!$M269)/SUMIFS('자료_거시'!$N$3:$N$602,'자료_거시'!$M$3:$M$602,"&gt;"&amp;EDATE('자료_거시'!$M269,-12-'설정'!$B$17),'자료_거시'!$M$3:$M$602,"&lt;="&amp;EDATE('자료_거시'!$M269,-12))-1,""),""),"")</f>
        <v/>
      </c>
      <c r="AF287">
        <f>IF(ISNUMBER(AE287),'자료_거시'!$M269,"")</f>
        <v/>
      </c>
      <c r="AG287">
        <f>IF(ISNUMBER(AF287),IF(AF287&gt;$L$9,AE287,""),"")</f>
        <v/>
      </c>
    </row>
    <row r="288">
      <c r="P288">
        <f>IF(AND(ISNUMBER('자료_거시'!$A270),ISNUMBER('자료_거시'!$B270)),'자료_거시'!$B270,"")</f>
        <v/>
      </c>
      <c r="Q288">
        <f>IF(ISNUMBER(P288),'자료_거시'!$A270,"")</f>
        <v/>
      </c>
      <c r="R288">
        <f>IF(ISNUMBER(Q288),IF(Q288&gt;$L$5,P288,""),"")</f>
        <v/>
      </c>
      <c r="S288">
        <f>IF(ISNUMBER('자료_거시'!$E270),'자료_거시'!$E270,S287)</f>
        <v/>
      </c>
      <c r="T288">
        <f>IF(AND(ISNUMBER('자료_거시'!$D270),ISNUMBER('자료_거시'!$E270)),IFERROR('자료_거시'!$E270-INDEX($S$21:$S$4020,MATCH(EDATE('자료_거시'!$D270,-'설정'!$B$17),'자료_거시'!$D$3:INDEX('자료_거시'!$D$3:$D$4002,$K$6),1)),""),"")</f>
        <v/>
      </c>
      <c r="U288">
        <f>IF(ISNUMBER(T288),'자료_거시'!$D270,"")</f>
        <v/>
      </c>
      <c r="V288">
        <f>IF(ISNUMBER(U288),IF(U288&gt;$L$6,T288,""),"")</f>
        <v/>
      </c>
      <c r="W288">
        <f>IF(AND(ISNUMBER('자료_거시'!$G270),ISNUMBER('자료_거시'!$H270)),'자료_거시'!$H270,"")</f>
        <v/>
      </c>
      <c r="X288">
        <f>IF(ISNUMBER(W288),'자료_거시'!$G270,"")</f>
        <v/>
      </c>
      <c r="Y288">
        <f>IF(ISNUMBER(X288),IF(X288&gt;$L$7,W288,""),"")</f>
        <v/>
      </c>
      <c r="Z288">
        <f>IF(ISNUMBER('자료_거시'!$K270),'자료_거시'!$K270,Z287)</f>
        <v/>
      </c>
      <c r="AA288">
        <f>IF(AND(ISNUMBER('자료_거시'!$J270),ISNUMBER('자료_거시'!$K270)),IFERROR('자료_거시'!$K270/INDEX($Z$21:$Z$4020,MATCH(EDATE('자료_거시'!$J270,-'설정'!$B$17),'자료_거시'!$J$3:INDEX('자료_거시'!$J$3:$J$4002,$K$8),1))-1,""),"")</f>
        <v/>
      </c>
      <c r="AB288">
        <f>IF(ISNUMBER(AA288),'자료_거시'!$J270,"")</f>
        <v/>
      </c>
      <c r="AC288">
        <f>IF(ISNUMBER(AB288),IF(AB288&gt;$L$8,AA288,""),"")</f>
        <v/>
      </c>
      <c r="AD288">
        <f>IF(AND(ISNUMBER('자료_거시'!$M270),ISNUMBER('자료_거시'!$N270)),1,0)</f>
        <v/>
      </c>
      <c r="AE288">
        <f>IF(AND(ISNUMBER('자료_거시'!$M270),ISNUMBER('자료_거시'!$N270)),IF(AND(SUMIFS($AD$21:$AD$620,'자료_거시'!$M$3:$M$602,"&gt;"&amp;EDATE('자료_거시'!$M270,-'설정'!$B$17),'자료_거시'!$M$3:$M$602,"&lt;="&amp;'자료_거시'!$M270)=3,SUMIFS($AD$21:$AD$620,'자료_거시'!$M$3:$M$602,"&gt;"&amp;EDATE('자료_거시'!$M270,-12-'설정'!$B$17),'자료_거시'!$M$3:$M$602,"&lt;="&amp;EDATE('자료_거시'!$M270,-12))=3),IFERROR(SUMIFS('자료_거시'!$N$3:$N$602,'자료_거시'!$M$3:$M$602,"&gt;"&amp;EDATE('자료_거시'!$M270,-'설정'!$B$17),'자료_거시'!$M$3:$M$602,"&lt;="&amp;'자료_거시'!$M270)/SUMIFS('자료_거시'!$N$3:$N$602,'자료_거시'!$M$3:$M$602,"&gt;"&amp;EDATE('자료_거시'!$M270,-12-'설정'!$B$17),'자료_거시'!$M$3:$M$602,"&lt;="&amp;EDATE('자료_거시'!$M270,-12))-1,""),""),"")</f>
        <v/>
      </c>
      <c r="AF288">
        <f>IF(ISNUMBER(AE288),'자료_거시'!$M270,"")</f>
        <v/>
      </c>
      <c r="AG288">
        <f>IF(ISNUMBER(AF288),IF(AF288&gt;$L$9,AE288,""),"")</f>
        <v/>
      </c>
    </row>
    <row r="289">
      <c r="P289">
        <f>IF(AND(ISNUMBER('자료_거시'!$A271),ISNUMBER('자료_거시'!$B271)),'자료_거시'!$B271,"")</f>
        <v/>
      </c>
      <c r="Q289">
        <f>IF(ISNUMBER(P289),'자료_거시'!$A271,"")</f>
        <v/>
      </c>
      <c r="R289">
        <f>IF(ISNUMBER(Q289),IF(Q289&gt;$L$5,P289,""),"")</f>
        <v/>
      </c>
      <c r="S289">
        <f>IF(ISNUMBER('자료_거시'!$E271),'자료_거시'!$E271,S288)</f>
        <v/>
      </c>
      <c r="T289">
        <f>IF(AND(ISNUMBER('자료_거시'!$D271),ISNUMBER('자료_거시'!$E271)),IFERROR('자료_거시'!$E271-INDEX($S$21:$S$4020,MATCH(EDATE('자료_거시'!$D271,-'설정'!$B$17),'자료_거시'!$D$3:INDEX('자료_거시'!$D$3:$D$4002,$K$6),1)),""),"")</f>
        <v/>
      </c>
      <c r="U289">
        <f>IF(ISNUMBER(T289),'자료_거시'!$D271,"")</f>
        <v/>
      </c>
      <c r="V289">
        <f>IF(ISNUMBER(U289),IF(U289&gt;$L$6,T289,""),"")</f>
        <v/>
      </c>
      <c r="W289">
        <f>IF(AND(ISNUMBER('자료_거시'!$G271),ISNUMBER('자료_거시'!$H271)),'자료_거시'!$H271,"")</f>
        <v/>
      </c>
      <c r="X289">
        <f>IF(ISNUMBER(W289),'자료_거시'!$G271,"")</f>
        <v/>
      </c>
      <c r="Y289">
        <f>IF(ISNUMBER(X289),IF(X289&gt;$L$7,W289,""),"")</f>
        <v/>
      </c>
      <c r="Z289">
        <f>IF(ISNUMBER('자료_거시'!$K271),'자료_거시'!$K271,Z288)</f>
        <v/>
      </c>
      <c r="AA289">
        <f>IF(AND(ISNUMBER('자료_거시'!$J271),ISNUMBER('자료_거시'!$K271)),IFERROR('자료_거시'!$K271/INDEX($Z$21:$Z$4020,MATCH(EDATE('자료_거시'!$J271,-'설정'!$B$17),'자료_거시'!$J$3:INDEX('자료_거시'!$J$3:$J$4002,$K$8),1))-1,""),"")</f>
        <v/>
      </c>
      <c r="AB289">
        <f>IF(ISNUMBER(AA289),'자료_거시'!$J271,"")</f>
        <v/>
      </c>
      <c r="AC289">
        <f>IF(ISNUMBER(AB289),IF(AB289&gt;$L$8,AA289,""),"")</f>
        <v/>
      </c>
      <c r="AD289">
        <f>IF(AND(ISNUMBER('자료_거시'!$M271),ISNUMBER('자료_거시'!$N271)),1,0)</f>
        <v/>
      </c>
      <c r="AE289">
        <f>IF(AND(ISNUMBER('자료_거시'!$M271),ISNUMBER('자료_거시'!$N271)),IF(AND(SUMIFS($AD$21:$AD$620,'자료_거시'!$M$3:$M$602,"&gt;"&amp;EDATE('자료_거시'!$M271,-'설정'!$B$17),'자료_거시'!$M$3:$M$602,"&lt;="&amp;'자료_거시'!$M271)=3,SUMIFS($AD$21:$AD$620,'자료_거시'!$M$3:$M$602,"&gt;"&amp;EDATE('자료_거시'!$M271,-12-'설정'!$B$17),'자료_거시'!$M$3:$M$602,"&lt;="&amp;EDATE('자료_거시'!$M271,-12))=3),IFERROR(SUMIFS('자료_거시'!$N$3:$N$602,'자료_거시'!$M$3:$M$602,"&gt;"&amp;EDATE('자료_거시'!$M271,-'설정'!$B$17),'자료_거시'!$M$3:$M$602,"&lt;="&amp;'자료_거시'!$M271)/SUMIFS('자료_거시'!$N$3:$N$602,'자료_거시'!$M$3:$M$602,"&gt;"&amp;EDATE('자료_거시'!$M271,-12-'설정'!$B$17),'자료_거시'!$M$3:$M$602,"&lt;="&amp;EDATE('자료_거시'!$M271,-12))-1,""),""),"")</f>
        <v/>
      </c>
      <c r="AF289">
        <f>IF(ISNUMBER(AE289),'자료_거시'!$M271,"")</f>
        <v/>
      </c>
      <c r="AG289">
        <f>IF(ISNUMBER(AF289),IF(AF289&gt;$L$9,AE289,""),"")</f>
        <v/>
      </c>
    </row>
    <row r="290">
      <c r="P290">
        <f>IF(AND(ISNUMBER('자료_거시'!$A272),ISNUMBER('자료_거시'!$B272)),'자료_거시'!$B272,"")</f>
        <v/>
      </c>
      <c r="Q290">
        <f>IF(ISNUMBER(P290),'자료_거시'!$A272,"")</f>
        <v/>
      </c>
      <c r="R290">
        <f>IF(ISNUMBER(Q290),IF(Q290&gt;$L$5,P290,""),"")</f>
        <v/>
      </c>
      <c r="S290">
        <f>IF(ISNUMBER('자료_거시'!$E272),'자료_거시'!$E272,S289)</f>
        <v/>
      </c>
      <c r="T290">
        <f>IF(AND(ISNUMBER('자료_거시'!$D272),ISNUMBER('자료_거시'!$E272)),IFERROR('자료_거시'!$E272-INDEX($S$21:$S$4020,MATCH(EDATE('자료_거시'!$D272,-'설정'!$B$17),'자료_거시'!$D$3:INDEX('자료_거시'!$D$3:$D$4002,$K$6),1)),""),"")</f>
        <v/>
      </c>
      <c r="U290">
        <f>IF(ISNUMBER(T290),'자료_거시'!$D272,"")</f>
        <v/>
      </c>
      <c r="V290">
        <f>IF(ISNUMBER(U290),IF(U290&gt;$L$6,T290,""),"")</f>
        <v/>
      </c>
      <c r="W290">
        <f>IF(AND(ISNUMBER('자료_거시'!$G272),ISNUMBER('자료_거시'!$H272)),'자료_거시'!$H272,"")</f>
        <v/>
      </c>
      <c r="X290">
        <f>IF(ISNUMBER(W290),'자료_거시'!$G272,"")</f>
        <v/>
      </c>
      <c r="Y290">
        <f>IF(ISNUMBER(X290),IF(X290&gt;$L$7,W290,""),"")</f>
        <v/>
      </c>
      <c r="Z290">
        <f>IF(ISNUMBER('자료_거시'!$K272),'자료_거시'!$K272,Z289)</f>
        <v/>
      </c>
      <c r="AA290">
        <f>IF(AND(ISNUMBER('자료_거시'!$J272),ISNUMBER('자료_거시'!$K272)),IFERROR('자료_거시'!$K272/INDEX($Z$21:$Z$4020,MATCH(EDATE('자료_거시'!$J272,-'설정'!$B$17),'자료_거시'!$J$3:INDEX('자료_거시'!$J$3:$J$4002,$K$8),1))-1,""),"")</f>
        <v/>
      </c>
      <c r="AB290">
        <f>IF(ISNUMBER(AA290),'자료_거시'!$J272,"")</f>
        <v/>
      </c>
      <c r="AC290">
        <f>IF(ISNUMBER(AB290),IF(AB290&gt;$L$8,AA290,""),"")</f>
        <v/>
      </c>
      <c r="AD290">
        <f>IF(AND(ISNUMBER('자료_거시'!$M272),ISNUMBER('자료_거시'!$N272)),1,0)</f>
        <v/>
      </c>
      <c r="AE290">
        <f>IF(AND(ISNUMBER('자료_거시'!$M272),ISNUMBER('자료_거시'!$N272)),IF(AND(SUMIFS($AD$21:$AD$620,'자료_거시'!$M$3:$M$602,"&gt;"&amp;EDATE('자료_거시'!$M272,-'설정'!$B$17),'자료_거시'!$M$3:$M$602,"&lt;="&amp;'자료_거시'!$M272)=3,SUMIFS($AD$21:$AD$620,'자료_거시'!$M$3:$M$602,"&gt;"&amp;EDATE('자료_거시'!$M272,-12-'설정'!$B$17),'자료_거시'!$M$3:$M$602,"&lt;="&amp;EDATE('자료_거시'!$M272,-12))=3),IFERROR(SUMIFS('자료_거시'!$N$3:$N$602,'자료_거시'!$M$3:$M$602,"&gt;"&amp;EDATE('자료_거시'!$M272,-'설정'!$B$17),'자료_거시'!$M$3:$M$602,"&lt;="&amp;'자료_거시'!$M272)/SUMIFS('자료_거시'!$N$3:$N$602,'자료_거시'!$M$3:$M$602,"&gt;"&amp;EDATE('자료_거시'!$M272,-12-'설정'!$B$17),'자료_거시'!$M$3:$M$602,"&lt;="&amp;EDATE('자료_거시'!$M272,-12))-1,""),""),"")</f>
        <v/>
      </c>
      <c r="AF290">
        <f>IF(ISNUMBER(AE290),'자료_거시'!$M272,"")</f>
        <v/>
      </c>
      <c r="AG290">
        <f>IF(ISNUMBER(AF290),IF(AF290&gt;$L$9,AE290,""),"")</f>
        <v/>
      </c>
    </row>
    <row r="291">
      <c r="P291">
        <f>IF(AND(ISNUMBER('자료_거시'!$A273),ISNUMBER('자료_거시'!$B273)),'자료_거시'!$B273,"")</f>
        <v/>
      </c>
      <c r="Q291">
        <f>IF(ISNUMBER(P291),'자료_거시'!$A273,"")</f>
        <v/>
      </c>
      <c r="R291">
        <f>IF(ISNUMBER(Q291),IF(Q291&gt;$L$5,P291,""),"")</f>
        <v/>
      </c>
      <c r="S291">
        <f>IF(ISNUMBER('자료_거시'!$E273),'자료_거시'!$E273,S290)</f>
        <v/>
      </c>
      <c r="T291">
        <f>IF(AND(ISNUMBER('자료_거시'!$D273),ISNUMBER('자료_거시'!$E273)),IFERROR('자료_거시'!$E273-INDEX($S$21:$S$4020,MATCH(EDATE('자료_거시'!$D273,-'설정'!$B$17),'자료_거시'!$D$3:INDEX('자료_거시'!$D$3:$D$4002,$K$6),1)),""),"")</f>
        <v/>
      </c>
      <c r="U291">
        <f>IF(ISNUMBER(T291),'자료_거시'!$D273,"")</f>
        <v/>
      </c>
      <c r="V291">
        <f>IF(ISNUMBER(U291),IF(U291&gt;$L$6,T291,""),"")</f>
        <v/>
      </c>
      <c r="W291">
        <f>IF(AND(ISNUMBER('자료_거시'!$G273),ISNUMBER('자료_거시'!$H273)),'자료_거시'!$H273,"")</f>
        <v/>
      </c>
      <c r="X291">
        <f>IF(ISNUMBER(W291),'자료_거시'!$G273,"")</f>
        <v/>
      </c>
      <c r="Y291">
        <f>IF(ISNUMBER(X291),IF(X291&gt;$L$7,W291,""),"")</f>
        <v/>
      </c>
      <c r="Z291">
        <f>IF(ISNUMBER('자료_거시'!$K273),'자료_거시'!$K273,Z290)</f>
        <v/>
      </c>
      <c r="AA291">
        <f>IF(AND(ISNUMBER('자료_거시'!$J273),ISNUMBER('자료_거시'!$K273)),IFERROR('자료_거시'!$K273/INDEX($Z$21:$Z$4020,MATCH(EDATE('자료_거시'!$J273,-'설정'!$B$17),'자료_거시'!$J$3:INDEX('자료_거시'!$J$3:$J$4002,$K$8),1))-1,""),"")</f>
        <v/>
      </c>
      <c r="AB291">
        <f>IF(ISNUMBER(AA291),'자료_거시'!$J273,"")</f>
        <v/>
      </c>
      <c r="AC291">
        <f>IF(ISNUMBER(AB291),IF(AB291&gt;$L$8,AA291,""),"")</f>
        <v/>
      </c>
      <c r="AD291">
        <f>IF(AND(ISNUMBER('자료_거시'!$M273),ISNUMBER('자료_거시'!$N273)),1,0)</f>
        <v/>
      </c>
      <c r="AE291">
        <f>IF(AND(ISNUMBER('자료_거시'!$M273),ISNUMBER('자료_거시'!$N273)),IF(AND(SUMIFS($AD$21:$AD$620,'자료_거시'!$M$3:$M$602,"&gt;"&amp;EDATE('자료_거시'!$M273,-'설정'!$B$17),'자료_거시'!$M$3:$M$602,"&lt;="&amp;'자료_거시'!$M273)=3,SUMIFS($AD$21:$AD$620,'자료_거시'!$M$3:$M$602,"&gt;"&amp;EDATE('자료_거시'!$M273,-12-'설정'!$B$17),'자료_거시'!$M$3:$M$602,"&lt;="&amp;EDATE('자료_거시'!$M273,-12))=3),IFERROR(SUMIFS('자료_거시'!$N$3:$N$602,'자료_거시'!$M$3:$M$602,"&gt;"&amp;EDATE('자료_거시'!$M273,-'설정'!$B$17),'자료_거시'!$M$3:$M$602,"&lt;="&amp;'자료_거시'!$M273)/SUMIFS('자료_거시'!$N$3:$N$602,'자료_거시'!$M$3:$M$602,"&gt;"&amp;EDATE('자료_거시'!$M273,-12-'설정'!$B$17),'자료_거시'!$M$3:$M$602,"&lt;="&amp;EDATE('자료_거시'!$M273,-12))-1,""),""),"")</f>
        <v/>
      </c>
      <c r="AF291">
        <f>IF(ISNUMBER(AE291),'자료_거시'!$M273,"")</f>
        <v/>
      </c>
      <c r="AG291">
        <f>IF(ISNUMBER(AF291),IF(AF291&gt;$L$9,AE291,""),"")</f>
        <v/>
      </c>
    </row>
    <row r="292">
      <c r="P292">
        <f>IF(AND(ISNUMBER('자료_거시'!$A274),ISNUMBER('자료_거시'!$B274)),'자료_거시'!$B274,"")</f>
        <v/>
      </c>
      <c r="Q292">
        <f>IF(ISNUMBER(P292),'자료_거시'!$A274,"")</f>
        <v/>
      </c>
      <c r="R292">
        <f>IF(ISNUMBER(Q292),IF(Q292&gt;$L$5,P292,""),"")</f>
        <v/>
      </c>
      <c r="S292">
        <f>IF(ISNUMBER('자료_거시'!$E274),'자료_거시'!$E274,S291)</f>
        <v/>
      </c>
      <c r="T292">
        <f>IF(AND(ISNUMBER('자료_거시'!$D274),ISNUMBER('자료_거시'!$E274)),IFERROR('자료_거시'!$E274-INDEX($S$21:$S$4020,MATCH(EDATE('자료_거시'!$D274,-'설정'!$B$17),'자료_거시'!$D$3:INDEX('자료_거시'!$D$3:$D$4002,$K$6),1)),""),"")</f>
        <v/>
      </c>
      <c r="U292">
        <f>IF(ISNUMBER(T292),'자료_거시'!$D274,"")</f>
        <v/>
      </c>
      <c r="V292">
        <f>IF(ISNUMBER(U292),IF(U292&gt;$L$6,T292,""),"")</f>
        <v/>
      </c>
      <c r="W292">
        <f>IF(AND(ISNUMBER('자료_거시'!$G274),ISNUMBER('자료_거시'!$H274)),'자료_거시'!$H274,"")</f>
        <v/>
      </c>
      <c r="X292">
        <f>IF(ISNUMBER(W292),'자료_거시'!$G274,"")</f>
        <v/>
      </c>
      <c r="Y292">
        <f>IF(ISNUMBER(X292),IF(X292&gt;$L$7,W292,""),"")</f>
        <v/>
      </c>
      <c r="Z292">
        <f>IF(ISNUMBER('자료_거시'!$K274),'자료_거시'!$K274,Z291)</f>
        <v/>
      </c>
      <c r="AA292">
        <f>IF(AND(ISNUMBER('자료_거시'!$J274),ISNUMBER('자료_거시'!$K274)),IFERROR('자료_거시'!$K274/INDEX($Z$21:$Z$4020,MATCH(EDATE('자료_거시'!$J274,-'설정'!$B$17),'자료_거시'!$J$3:INDEX('자료_거시'!$J$3:$J$4002,$K$8),1))-1,""),"")</f>
        <v/>
      </c>
      <c r="AB292">
        <f>IF(ISNUMBER(AA292),'자료_거시'!$J274,"")</f>
        <v/>
      </c>
      <c r="AC292">
        <f>IF(ISNUMBER(AB292),IF(AB292&gt;$L$8,AA292,""),"")</f>
        <v/>
      </c>
      <c r="AD292">
        <f>IF(AND(ISNUMBER('자료_거시'!$M274),ISNUMBER('자료_거시'!$N274)),1,0)</f>
        <v/>
      </c>
      <c r="AE292">
        <f>IF(AND(ISNUMBER('자료_거시'!$M274),ISNUMBER('자료_거시'!$N274)),IF(AND(SUMIFS($AD$21:$AD$620,'자료_거시'!$M$3:$M$602,"&gt;"&amp;EDATE('자료_거시'!$M274,-'설정'!$B$17),'자료_거시'!$M$3:$M$602,"&lt;="&amp;'자료_거시'!$M274)=3,SUMIFS($AD$21:$AD$620,'자료_거시'!$M$3:$M$602,"&gt;"&amp;EDATE('자료_거시'!$M274,-12-'설정'!$B$17),'자료_거시'!$M$3:$M$602,"&lt;="&amp;EDATE('자료_거시'!$M274,-12))=3),IFERROR(SUMIFS('자료_거시'!$N$3:$N$602,'자료_거시'!$M$3:$M$602,"&gt;"&amp;EDATE('자료_거시'!$M274,-'설정'!$B$17),'자료_거시'!$M$3:$M$602,"&lt;="&amp;'자료_거시'!$M274)/SUMIFS('자료_거시'!$N$3:$N$602,'자료_거시'!$M$3:$M$602,"&gt;"&amp;EDATE('자료_거시'!$M274,-12-'설정'!$B$17),'자료_거시'!$M$3:$M$602,"&lt;="&amp;EDATE('자료_거시'!$M274,-12))-1,""),""),"")</f>
        <v/>
      </c>
      <c r="AF292">
        <f>IF(ISNUMBER(AE292),'자료_거시'!$M274,"")</f>
        <v/>
      </c>
      <c r="AG292">
        <f>IF(ISNUMBER(AF292),IF(AF292&gt;$L$9,AE292,""),"")</f>
        <v/>
      </c>
    </row>
    <row r="293">
      <c r="P293">
        <f>IF(AND(ISNUMBER('자료_거시'!$A275),ISNUMBER('자료_거시'!$B275)),'자료_거시'!$B275,"")</f>
        <v/>
      </c>
      <c r="Q293">
        <f>IF(ISNUMBER(P293),'자료_거시'!$A275,"")</f>
        <v/>
      </c>
      <c r="R293">
        <f>IF(ISNUMBER(Q293),IF(Q293&gt;$L$5,P293,""),"")</f>
        <v/>
      </c>
      <c r="S293">
        <f>IF(ISNUMBER('자료_거시'!$E275),'자료_거시'!$E275,S292)</f>
        <v/>
      </c>
      <c r="T293">
        <f>IF(AND(ISNUMBER('자료_거시'!$D275),ISNUMBER('자료_거시'!$E275)),IFERROR('자료_거시'!$E275-INDEX($S$21:$S$4020,MATCH(EDATE('자료_거시'!$D275,-'설정'!$B$17),'자료_거시'!$D$3:INDEX('자료_거시'!$D$3:$D$4002,$K$6),1)),""),"")</f>
        <v/>
      </c>
      <c r="U293">
        <f>IF(ISNUMBER(T293),'자료_거시'!$D275,"")</f>
        <v/>
      </c>
      <c r="V293">
        <f>IF(ISNUMBER(U293),IF(U293&gt;$L$6,T293,""),"")</f>
        <v/>
      </c>
      <c r="W293">
        <f>IF(AND(ISNUMBER('자료_거시'!$G275),ISNUMBER('자료_거시'!$H275)),'자료_거시'!$H275,"")</f>
        <v/>
      </c>
      <c r="X293">
        <f>IF(ISNUMBER(W293),'자료_거시'!$G275,"")</f>
        <v/>
      </c>
      <c r="Y293">
        <f>IF(ISNUMBER(X293),IF(X293&gt;$L$7,W293,""),"")</f>
        <v/>
      </c>
      <c r="Z293">
        <f>IF(ISNUMBER('자료_거시'!$K275),'자료_거시'!$K275,Z292)</f>
        <v/>
      </c>
      <c r="AA293">
        <f>IF(AND(ISNUMBER('자료_거시'!$J275),ISNUMBER('자료_거시'!$K275)),IFERROR('자료_거시'!$K275/INDEX($Z$21:$Z$4020,MATCH(EDATE('자료_거시'!$J275,-'설정'!$B$17),'자료_거시'!$J$3:INDEX('자료_거시'!$J$3:$J$4002,$K$8),1))-1,""),"")</f>
        <v/>
      </c>
      <c r="AB293">
        <f>IF(ISNUMBER(AA293),'자료_거시'!$J275,"")</f>
        <v/>
      </c>
      <c r="AC293">
        <f>IF(ISNUMBER(AB293),IF(AB293&gt;$L$8,AA293,""),"")</f>
        <v/>
      </c>
      <c r="AD293">
        <f>IF(AND(ISNUMBER('자료_거시'!$M275),ISNUMBER('자료_거시'!$N275)),1,0)</f>
        <v/>
      </c>
      <c r="AE293">
        <f>IF(AND(ISNUMBER('자료_거시'!$M275),ISNUMBER('자료_거시'!$N275)),IF(AND(SUMIFS($AD$21:$AD$620,'자료_거시'!$M$3:$M$602,"&gt;"&amp;EDATE('자료_거시'!$M275,-'설정'!$B$17),'자료_거시'!$M$3:$M$602,"&lt;="&amp;'자료_거시'!$M275)=3,SUMIFS($AD$21:$AD$620,'자료_거시'!$M$3:$M$602,"&gt;"&amp;EDATE('자료_거시'!$M275,-12-'설정'!$B$17),'자료_거시'!$M$3:$M$602,"&lt;="&amp;EDATE('자료_거시'!$M275,-12))=3),IFERROR(SUMIFS('자료_거시'!$N$3:$N$602,'자료_거시'!$M$3:$M$602,"&gt;"&amp;EDATE('자료_거시'!$M275,-'설정'!$B$17),'자료_거시'!$M$3:$M$602,"&lt;="&amp;'자료_거시'!$M275)/SUMIFS('자료_거시'!$N$3:$N$602,'자료_거시'!$M$3:$M$602,"&gt;"&amp;EDATE('자료_거시'!$M275,-12-'설정'!$B$17),'자료_거시'!$M$3:$M$602,"&lt;="&amp;EDATE('자료_거시'!$M275,-12))-1,""),""),"")</f>
        <v/>
      </c>
      <c r="AF293">
        <f>IF(ISNUMBER(AE293),'자료_거시'!$M275,"")</f>
        <v/>
      </c>
      <c r="AG293">
        <f>IF(ISNUMBER(AF293),IF(AF293&gt;$L$9,AE293,""),"")</f>
        <v/>
      </c>
    </row>
    <row r="294">
      <c r="P294">
        <f>IF(AND(ISNUMBER('자료_거시'!$A276),ISNUMBER('자료_거시'!$B276)),'자료_거시'!$B276,"")</f>
        <v/>
      </c>
      <c r="Q294">
        <f>IF(ISNUMBER(P294),'자료_거시'!$A276,"")</f>
        <v/>
      </c>
      <c r="R294">
        <f>IF(ISNUMBER(Q294),IF(Q294&gt;$L$5,P294,""),"")</f>
        <v/>
      </c>
      <c r="S294">
        <f>IF(ISNUMBER('자료_거시'!$E276),'자료_거시'!$E276,S293)</f>
        <v/>
      </c>
      <c r="T294">
        <f>IF(AND(ISNUMBER('자료_거시'!$D276),ISNUMBER('자료_거시'!$E276)),IFERROR('자료_거시'!$E276-INDEX($S$21:$S$4020,MATCH(EDATE('자료_거시'!$D276,-'설정'!$B$17),'자료_거시'!$D$3:INDEX('자료_거시'!$D$3:$D$4002,$K$6),1)),""),"")</f>
        <v/>
      </c>
      <c r="U294">
        <f>IF(ISNUMBER(T294),'자료_거시'!$D276,"")</f>
        <v/>
      </c>
      <c r="V294">
        <f>IF(ISNUMBER(U294),IF(U294&gt;$L$6,T294,""),"")</f>
        <v/>
      </c>
      <c r="W294">
        <f>IF(AND(ISNUMBER('자료_거시'!$G276),ISNUMBER('자료_거시'!$H276)),'자료_거시'!$H276,"")</f>
        <v/>
      </c>
      <c r="X294">
        <f>IF(ISNUMBER(W294),'자료_거시'!$G276,"")</f>
        <v/>
      </c>
      <c r="Y294">
        <f>IF(ISNUMBER(X294),IF(X294&gt;$L$7,W294,""),"")</f>
        <v/>
      </c>
      <c r="Z294">
        <f>IF(ISNUMBER('자료_거시'!$K276),'자료_거시'!$K276,Z293)</f>
        <v/>
      </c>
      <c r="AA294">
        <f>IF(AND(ISNUMBER('자료_거시'!$J276),ISNUMBER('자료_거시'!$K276)),IFERROR('자료_거시'!$K276/INDEX($Z$21:$Z$4020,MATCH(EDATE('자료_거시'!$J276,-'설정'!$B$17),'자료_거시'!$J$3:INDEX('자료_거시'!$J$3:$J$4002,$K$8),1))-1,""),"")</f>
        <v/>
      </c>
      <c r="AB294">
        <f>IF(ISNUMBER(AA294),'자료_거시'!$J276,"")</f>
        <v/>
      </c>
      <c r="AC294">
        <f>IF(ISNUMBER(AB294),IF(AB294&gt;$L$8,AA294,""),"")</f>
        <v/>
      </c>
      <c r="AD294">
        <f>IF(AND(ISNUMBER('자료_거시'!$M276),ISNUMBER('자료_거시'!$N276)),1,0)</f>
        <v/>
      </c>
      <c r="AE294">
        <f>IF(AND(ISNUMBER('자료_거시'!$M276),ISNUMBER('자료_거시'!$N276)),IF(AND(SUMIFS($AD$21:$AD$620,'자료_거시'!$M$3:$M$602,"&gt;"&amp;EDATE('자료_거시'!$M276,-'설정'!$B$17),'자료_거시'!$M$3:$M$602,"&lt;="&amp;'자료_거시'!$M276)=3,SUMIFS($AD$21:$AD$620,'자료_거시'!$M$3:$M$602,"&gt;"&amp;EDATE('자료_거시'!$M276,-12-'설정'!$B$17),'자료_거시'!$M$3:$M$602,"&lt;="&amp;EDATE('자료_거시'!$M276,-12))=3),IFERROR(SUMIFS('자료_거시'!$N$3:$N$602,'자료_거시'!$M$3:$M$602,"&gt;"&amp;EDATE('자료_거시'!$M276,-'설정'!$B$17),'자료_거시'!$M$3:$M$602,"&lt;="&amp;'자료_거시'!$M276)/SUMIFS('자료_거시'!$N$3:$N$602,'자료_거시'!$M$3:$M$602,"&gt;"&amp;EDATE('자료_거시'!$M276,-12-'설정'!$B$17),'자료_거시'!$M$3:$M$602,"&lt;="&amp;EDATE('자료_거시'!$M276,-12))-1,""),""),"")</f>
        <v/>
      </c>
      <c r="AF294">
        <f>IF(ISNUMBER(AE294),'자료_거시'!$M276,"")</f>
        <v/>
      </c>
      <c r="AG294">
        <f>IF(ISNUMBER(AF294),IF(AF294&gt;$L$9,AE294,""),"")</f>
        <v/>
      </c>
    </row>
    <row r="295">
      <c r="P295">
        <f>IF(AND(ISNUMBER('자료_거시'!$A277),ISNUMBER('자료_거시'!$B277)),'자료_거시'!$B277,"")</f>
        <v/>
      </c>
      <c r="Q295">
        <f>IF(ISNUMBER(P295),'자료_거시'!$A277,"")</f>
        <v/>
      </c>
      <c r="R295">
        <f>IF(ISNUMBER(Q295),IF(Q295&gt;$L$5,P295,""),"")</f>
        <v/>
      </c>
      <c r="S295">
        <f>IF(ISNUMBER('자료_거시'!$E277),'자료_거시'!$E277,S294)</f>
        <v/>
      </c>
      <c r="T295">
        <f>IF(AND(ISNUMBER('자료_거시'!$D277),ISNUMBER('자료_거시'!$E277)),IFERROR('자료_거시'!$E277-INDEX($S$21:$S$4020,MATCH(EDATE('자료_거시'!$D277,-'설정'!$B$17),'자료_거시'!$D$3:INDEX('자료_거시'!$D$3:$D$4002,$K$6),1)),""),"")</f>
        <v/>
      </c>
      <c r="U295">
        <f>IF(ISNUMBER(T295),'자료_거시'!$D277,"")</f>
        <v/>
      </c>
      <c r="V295">
        <f>IF(ISNUMBER(U295),IF(U295&gt;$L$6,T295,""),"")</f>
        <v/>
      </c>
      <c r="W295">
        <f>IF(AND(ISNUMBER('자료_거시'!$G277),ISNUMBER('자료_거시'!$H277)),'자료_거시'!$H277,"")</f>
        <v/>
      </c>
      <c r="X295">
        <f>IF(ISNUMBER(W295),'자료_거시'!$G277,"")</f>
        <v/>
      </c>
      <c r="Y295">
        <f>IF(ISNUMBER(X295),IF(X295&gt;$L$7,W295,""),"")</f>
        <v/>
      </c>
      <c r="Z295">
        <f>IF(ISNUMBER('자료_거시'!$K277),'자료_거시'!$K277,Z294)</f>
        <v/>
      </c>
      <c r="AA295">
        <f>IF(AND(ISNUMBER('자료_거시'!$J277),ISNUMBER('자료_거시'!$K277)),IFERROR('자료_거시'!$K277/INDEX($Z$21:$Z$4020,MATCH(EDATE('자료_거시'!$J277,-'설정'!$B$17),'자료_거시'!$J$3:INDEX('자료_거시'!$J$3:$J$4002,$K$8),1))-1,""),"")</f>
        <v/>
      </c>
      <c r="AB295">
        <f>IF(ISNUMBER(AA295),'자료_거시'!$J277,"")</f>
        <v/>
      </c>
      <c r="AC295">
        <f>IF(ISNUMBER(AB295),IF(AB295&gt;$L$8,AA295,""),"")</f>
        <v/>
      </c>
      <c r="AD295">
        <f>IF(AND(ISNUMBER('자료_거시'!$M277),ISNUMBER('자료_거시'!$N277)),1,0)</f>
        <v/>
      </c>
      <c r="AE295">
        <f>IF(AND(ISNUMBER('자료_거시'!$M277),ISNUMBER('자료_거시'!$N277)),IF(AND(SUMIFS($AD$21:$AD$620,'자료_거시'!$M$3:$M$602,"&gt;"&amp;EDATE('자료_거시'!$M277,-'설정'!$B$17),'자료_거시'!$M$3:$M$602,"&lt;="&amp;'자료_거시'!$M277)=3,SUMIFS($AD$21:$AD$620,'자료_거시'!$M$3:$M$602,"&gt;"&amp;EDATE('자료_거시'!$M277,-12-'설정'!$B$17),'자료_거시'!$M$3:$M$602,"&lt;="&amp;EDATE('자료_거시'!$M277,-12))=3),IFERROR(SUMIFS('자료_거시'!$N$3:$N$602,'자료_거시'!$M$3:$M$602,"&gt;"&amp;EDATE('자료_거시'!$M277,-'설정'!$B$17),'자료_거시'!$M$3:$M$602,"&lt;="&amp;'자료_거시'!$M277)/SUMIFS('자료_거시'!$N$3:$N$602,'자료_거시'!$M$3:$M$602,"&gt;"&amp;EDATE('자료_거시'!$M277,-12-'설정'!$B$17),'자료_거시'!$M$3:$M$602,"&lt;="&amp;EDATE('자료_거시'!$M277,-12))-1,""),""),"")</f>
        <v/>
      </c>
      <c r="AF295">
        <f>IF(ISNUMBER(AE295),'자료_거시'!$M277,"")</f>
        <v/>
      </c>
      <c r="AG295">
        <f>IF(ISNUMBER(AF295),IF(AF295&gt;$L$9,AE295,""),"")</f>
        <v/>
      </c>
    </row>
    <row r="296">
      <c r="P296">
        <f>IF(AND(ISNUMBER('자료_거시'!$A278),ISNUMBER('자료_거시'!$B278)),'자료_거시'!$B278,"")</f>
        <v/>
      </c>
      <c r="Q296">
        <f>IF(ISNUMBER(P296),'자료_거시'!$A278,"")</f>
        <v/>
      </c>
      <c r="R296">
        <f>IF(ISNUMBER(Q296),IF(Q296&gt;$L$5,P296,""),"")</f>
        <v/>
      </c>
      <c r="S296">
        <f>IF(ISNUMBER('자료_거시'!$E278),'자료_거시'!$E278,S295)</f>
        <v/>
      </c>
      <c r="T296">
        <f>IF(AND(ISNUMBER('자료_거시'!$D278),ISNUMBER('자료_거시'!$E278)),IFERROR('자료_거시'!$E278-INDEX($S$21:$S$4020,MATCH(EDATE('자료_거시'!$D278,-'설정'!$B$17),'자료_거시'!$D$3:INDEX('자료_거시'!$D$3:$D$4002,$K$6),1)),""),"")</f>
        <v/>
      </c>
      <c r="U296">
        <f>IF(ISNUMBER(T296),'자료_거시'!$D278,"")</f>
        <v/>
      </c>
      <c r="V296">
        <f>IF(ISNUMBER(U296),IF(U296&gt;$L$6,T296,""),"")</f>
        <v/>
      </c>
      <c r="W296">
        <f>IF(AND(ISNUMBER('자료_거시'!$G278),ISNUMBER('자료_거시'!$H278)),'자료_거시'!$H278,"")</f>
        <v/>
      </c>
      <c r="X296">
        <f>IF(ISNUMBER(W296),'자료_거시'!$G278,"")</f>
        <v/>
      </c>
      <c r="Y296">
        <f>IF(ISNUMBER(X296),IF(X296&gt;$L$7,W296,""),"")</f>
        <v/>
      </c>
      <c r="Z296">
        <f>IF(ISNUMBER('자료_거시'!$K278),'자료_거시'!$K278,Z295)</f>
        <v/>
      </c>
      <c r="AA296">
        <f>IF(AND(ISNUMBER('자료_거시'!$J278),ISNUMBER('자료_거시'!$K278)),IFERROR('자료_거시'!$K278/INDEX($Z$21:$Z$4020,MATCH(EDATE('자료_거시'!$J278,-'설정'!$B$17),'자료_거시'!$J$3:INDEX('자료_거시'!$J$3:$J$4002,$K$8),1))-1,""),"")</f>
        <v/>
      </c>
      <c r="AB296">
        <f>IF(ISNUMBER(AA296),'자료_거시'!$J278,"")</f>
        <v/>
      </c>
      <c r="AC296">
        <f>IF(ISNUMBER(AB296),IF(AB296&gt;$L$8,AA296,""),"")</f>
        <v/>
      </c>
      <c r="AD296">
        <f>IF(AND(ISNUMBER('자료_거시'!$M278),ISNUMBER('자료_거시'!$N278)),1,0)</f>
        <v/>
      </c>
      <c r="AE296">
        <f>IF(AND(ISNUMBER('자료_거시'!$M278),ISNUMBER('자료_거시'!$N278)),IF(AND(SUMIFS($AD$21:$AD$620,'자료_거시'!$M$3:$M$602,"&gt;"&amp;EDATE('자료_거시'!$M278,-'설정'!$B$17),'자료_거시'!$M$3:$M$602,"&lt;="&amp;'자료_거시'!$M278)=3,SUMIFS($AD$21:$AD$620,'자료_거시'!$M$3:$M$602,"&gt;"&amp;EDATE('자료_거시'!$M278,-12-'설정'!$B$17),'자료_거시'!$M$3:$M$602,"&lt;="&amp;EDATE('자료_거시'!$M278,-12))=3),IFERROR(SUMIFS('자료_거시'!$N$3:$N$602,'자료_거시'!$M$3:$M$602,"&gt;"&amp;EDATE('자료_거시'!$M278,-'설정'!$B$17),'자료_거시'!$M$3:$M$602,"&lt;="&amp;'자료_거시'!$M278)/SUMIFS('자료_거시'!$N$3:$N$602,'자료_거시'!$M$3:$M$602,"&gt;"&amp;EDATE('자료_거시'!$M278,-12-'설정'!$B$17),'자료_거시'!$M$3:$M$602,"&lt;="&amp;EDATE('자료_거시'!$M278,-12))-1,""),""),"")</f>
        <v/>
      </c>
      <c r="AF296">
        <f>IF(ISNUMBER(AE296),'자료_거시'!$M278,"")</f>
        <v/>
      </c>
      <c r="AG296">
        <f>IF(ISNUMBER(AF296),IF(AF296&gt;$L$9,AE296,""),"")</f>
        <v/>
      </c>
    </row>
    <row r="297">
      <c r="P297">
        <f>IF(AND(ISNUMBER('자료_거시'!$A279),ISNUMBER('자료_거시'!$B279)),'자료_거시'!$B279,"")</f>
        <v/>
      </c>
      <c r="Q297">
        <f>IF(ISNUMBER(P297),'자료_거시'!$A279,"")</f>
        <v/>
      </c>
      <c r="R297">
        <f>IF(ISNUMBER(Q297),IF(Q297&gt;$L$5,P297,""),"")</f>
        <v/>
      </c>
      <c r="S297">
        <f>IF(ISNUMBER('자료_거시'!$E279),'자료_거시'!$E279,S296)</f>
        <v/>
      </c>
      <c r="T297">
        <f>IF(AND(ISNUMBER('자료_거시'!$D279),ISNUMBER('자료_거시'!$E279)),IFERROR('자료_거시'!$E279-INDEX($S$21:$S$4020,MATCH(EDATE('자료_거시'!$D279,-'설정'!$B$17),'자료_거시'!$D$3:INDEX('자료_거시'!$D$3:$D$4002,$K$6),1)),""),"")</f>
        <v/>
      </c>
      <c r="U297">
        <f>IF(ISNUMBER(T297),'자료_거시'!$D279,"")</f>
        <v/>
      </c>
      <c r="V297">
        <f>IF(ISNUMBER(U297),IF(U297&gt;$L$6,T297,""),"")</f>
        <v/>
      </c>
      <c r="W297">
        <f>IF(AND(ISNUMBER('자료_거시'!$G279),ISNUMBER('자료_거시'!$H279)),'자료_거시'!$H279,"")</f>
        <v/>
      </c>
      <c r="X297">
        <f>IF(ISNUMBER(W297),'자료_거시'!$G279,"")</f>
        <v/>
      </c>
      <c r="Y297">
        <f>IF(ISNUMBER(X297),IF(X297&gt;$L$7,W297,""),"")</f>
        <v/>
      </c>
      <c r="Z297">
        <f>IF(ISNUMBER('자료_거시'!$K279),'자료_거시'!$K279,Z296)</f>
        <v/>
      </c>
      <c r="AA297">
        <f>IF(AND(ISNUMBER('자료_거시'!$J279),ISNUMBER('자료_거시'!$K279)),IFERROR('자료_거시'!$K279/INDEX($Z$21:$Z$4020,MATCH(EDATE('자료_거시'!$J279,-'설정'!$B$17),'자료_거시'!$J$3:INDEX('자료_거시'!$J$3:$J$4002,$K$8),1))-1,""),"")</f>
        <v/>
      </c>
      <c r="AB297">
        <f>IF(ISNUMBER(AA297),'자료_거시'!$J279,"")</f>
        <v/>
      </c>
      <c r="AC297">
        <f>IF(ISNUMBER(AB297),IF(AB297&gt;$L$8,AA297,""),"")</f>
        <v/>
      </c>
      <c r="AD297">
        <f>IF(AND(ISNUMBER('자료_거시'!$M279),ISNUMBER('자료_거시'!$N279)),1,0)</f>
        <v/>
      </c>
      <c r="AE297">
        <f>IF(AND(ISNUMBER('자료_거시'!$M279),ISNUMBER('자료_거시'!$N279)),IF(AND(SUMIFS($AD$21:$AD$620,'자료_거시'!$M$3:$M$602,"&gt;"&amp;EDATE('자료_거시'!$M279,-'설정'!$B$17),'자료_거시'!$M$3:$M$602,"&lt;="&amp;'자료_거시'!$M279)=3,SUMIFS($AD$21:$AD$620,'자료_거시'!$M$3:$M$602,"&gt;"&amp;EDATE('자료_거시'!$M279,-12-'설정'!$B$17),'자료_거시'!$M$3:$M$602,"&lt;="&amp;EDATE('자료_거시'!$M279,-12))=3),IFERROR(SUMIFS('자료_거시'!$N$3:$N$602,'자료_거시'!$M$3:$M$602,"&gt;"&amp;EDATE('자료_거시'!$M279,-'설정'!$B$17),'자료_거시'!$M$3:$M$602,"&lt;="&amp;'자료_거시'!$M279)/SUMIFS('자료_거시'!$N$3:$N$602,'자료_거시'!$M$3:$M$602,"&gt;"&amp;EDATE('자료_거시'!$M279,-12-'설정'!$B$17),'자료_거시'!$M$3:$M$602,"&lt;="&amp;EDATE('자료_거시'!$M279,-12))-1,""),""),"")</f>
        <v/>
      </c>
      <c r="AF297">
        <f>IF(ISNUMBER(AE297),'자료_거시'!$M279,"")</f>
        <v/>
      </c>
      <c r="AG297">
        <f>IF(ISNUMBER(AF297),IF(AF297&gt;$L$9,AE297,""),"")</f>
        <v/>
      </c>
    </row>
    <row r="298">
      <c r="P298">
        <f>IF(AND(ISNUMBER('자료_거시'!$A280),ISNUMBER('자료_거시'!$B280)),'자료_거시'!$B280,"")</f>
        <v/>
      </c>
      <c r="Q298">
        <f>IF(ISNUMBER(P298),'자료_거시'!$A280,"")</f>
        <v/>
      </c>
      <c r="R298">
        <f>IF(ISNUMBER(Q298),IF(Q298&gt;$L$5,P298,""),"")</f>
        <v/>
      </c>
      <c r="S298">
        <f>IF(ISNUMBER('자료_거시'!$E280),'자료_거시'!$E280,S297)</f>
        <v/>
      </c>
      <c r="T298">
        <f>IF(AND(ISNUMBER('자료_거시'!$D280),ISNUMBER('자료_거시'!$E280)),IFERROR('자료_거시'!$E280-INDEX($S$21:$S$4020,MATCH(EDATE('자료_거시'!$D280,-'설정'!$B$17),'자료_거시'!$D$3:INDEX('자료_거시'!$D$3:$D$4002,$K$6),1)),""),"")</f>
        <v/>
      </c>
      <c r="U298">
        <f>IF(ISNUMBER(T298),'자료_거시'!$D280,"")</f>
        <v/>
      </c>
      <c r="V298">
        <f>IF(ISNUMBER(U298),IF(U298&gt;$L$6,T298,""),"")</f>
        <v/>
      </c>
      <c r="W298">
        <f>IF(AND(ISNUMBER('자료_거시'!$G280),ISNUMBER('자료_거시'!$H280)),'자료_거시'!$H280,"")</f>
        <v/>
      </c>
      <c r="X298">
        <f>IF(ISNUMBER(W298),'자료_거시'!$G280,"")</f>
        <v/>
      </c>
      <c r="Y298">
        <f>IF(ISNUMBER(X298),IF(X298&gt;$L$7,W298,""),"")</f>
        <v/>
      </c>
      <c r="Z298">
        <f>IF(ISNUMBER('자료_거시'!$K280),'자료_거시'!$K280,Z297)</f>
        <v/>
      </c>
      <c r="AA298">
        <f>IF(AND(ISNUMBER('자료_거시'!$J280),ISNUMBER('자료_거시'!$K280)),IFERROR('자료_거시'!$K280/INDEX($Z$21:$Z$4020,MATCH(EDATE('자료_거시'!$J280,-'설정'!$B$17),'자료_거시'!$J$3:INDEX('자료_거시'!$J$3:$J$4002,$K$8),1))-1,""),"")</f>
        <v/>
      </c>
      <c r="AB298">
        <f>IF(ISNUMBER(AA298),'자료_거시'!$J280,"")</f>
        <v/>
      </c>
      <c r="AC298">
        <f>IF(ISNUMBER(AB298),IF(AB298&gt;$L$8,AA298,""),"")</f>
        <v/>
      </c>
      <c r="AD298">
        <f>IF(AND(ISNUMBER('자료_거시'!$M280),ISNUMBER('자료_거시'!$N280)),1,0)</f>
        <v/>
      </c>
      <c r="AE298">
        <f>IF(AND(ISNUMBER('자료_거시'!$M280),ISNUMBER('자료_거시'!$N280)),IF(AND(SUMIFS($AD$21:$AD$620,'자료_거시'!$M$3:$M$602,"&gt;"&amp;EDATE('자료_거시'!$M280,-'설정'!$B$17),'자료_거시'!$M$3:$M$602,"&lt;="&amp;'자료_거시'!$M280)=3,SUMIFS($AD$21:$AD$620,'자료_거시'!$M$3:$M$602,"&gt;"&amp;EDATE('자료_거시'!$M280,-12-'설정'!$B$17),'자료_거시'!$M$3:$M$602,"&lt;="&amp;EDATE('자료_거시'!$M280,-12))=3),IFERROR(SUMIFS('자료_거시'!$N$3:$N$602,'자료_거시'!$M$3:$M$602,"&gt;"&amp;EDATE('자료_거시'!$M280,-'설정'!$B$17),'자료_거시'!$M$3:$M$602,"&lt;="&amp;'자료_거시'!$M280)/SUMIFS('자료_거시'!$N$3:$N$602,'자료_거시'!$M$3:$M$602,"&gt;"&amp;EDATE('자료_거시'!$M280,-12-'설정'!$B$17),'자료_거시'!$M$3:$M$602,"&lt;="&amp;EDATE('자료_거시'!$M280,-12))-1,""),""),"")</f>
        <v/>
      </c>
      <c r="AF298">
        <f>IF(ISNUMBER(AE298),'자료_거시'!$M280,"")</f>
        <v/>
      </c>
      <c r="AG298">
        <f>IF(ISNUMBER(AF298),IF(AF298&gt;$L$9,AE298,""),"")</f>
        <v/>
      </c>
    </row>
    <row r="299">
      <c r="P299">
        <f>IF(AND(ISNUMBER('자료_거시'!$A281),ISNUMBER('자료_거시'!$B281)),'자료_거시'!$B281,"")</f>
        <v/>
      </c>
      <c r="Q299">
        <f>IF(ISNUMBER(P299),'자료_거시'!$A281,"")</f>
        <v/>
      </c>
      <c r="R299">
        <f>IF(ISNUMBER(Q299),IF(Q299&gt;$L$5,P299,""),"")</f>
        <v/>
      </c>
      <c r="S299">
        <f>IF(ISNUMBER('자료_거시'!$E281),'자료_거시'!$E281,S298)</f>
        <v/>
      </c>
      <c r="T299">
        <f>IF(AND(ISNUMBER('자료_거시'!$D281),ISNUMBER('자료_거시'!$E281)),IFERROR('자료_거시'!$E281-INDEX($S$21:$S$4020,MATCH(EDATE('자료_거시'!$D281,-'설정'!$B$17),'자료_거시'!$D$3:INDEX('자료_거시'!$D$3:$D$4002,$K$6),1)),""),"")</f>
        <v/>
      </c>
      <c r="U299">
        <f>IF(ISNUMBER(T299),'자료_거시'!$D281,"")</f>
        <v/>
      </c>
      <c r="V299">
        <f>IF(ISNUMBER(U299),IF(U299&gt;$L$6,T299,""),"")</f>
        <v/>
      </c>
      <c r="W299">
        <f>IF(AND(ISNUMBER('자료_거시'!$G281),ISNUMBER('자료_거시'!$H281)),'자료_거시'!$H281,"")</f>
        <v/>
      </c>
      <c r="X299">
        <f>IF(ISNUMBER(W299),'자료_거시'!$G281,"")</f>
        <v/>
      </c>
      <c r="Y299">
        <f>IF(ISNUMBER(X299),IF(X299&gt;$L$7,W299,""),"")</f>
        <v/>
      </c>
      <c r="Z299">
        <f>IF(ISNUMBER('자료_거시'!$K281),'자료_거시'!$K281,Z298)</f>
        <v/>
      </c>
      <c r="AA299">
        <f>IF(AND(ISNUMBER('자료_거시'!$J281),ISNUMBER('자료_거시'!$K281)),IFERROR('자료_거시'!$K281/INDEX($Z$21:$Z$4020,MATCH(EDATE('자료_거시'!$J281,-'설정'!$B$17),'자료_거시'!$J$3:INDEX('자료_거시'!$J$3:$J$4002,$K$8),1))-1,""),"")</f>
        <v/>
      </c>
      <c r="AB299">
        <f>IF(ISNUMBER(AA299),'자료_거시'!$J281,"")</f>
        <v/>
      </c>
      <c r="AC299">
        <f>IF(ISNUMBER(AB299),IF(AB299&gt;$L$8,AA299,""),"")</f>
        <v/>
      </c>
      <c r="AD299">
        <f>IF(AND(ISNUMBER('자료_거시'!$M281),ISNUMBER('자료_거시'!$N281)),1,0)</f>
        <v/>
      </c>
      <c r="AE299">
        <f>IF(AND(ISNUMBER('자료_거시'!$M281),ISNUMBER('자료_거시'!$N281)),IF(AND(SUMIFS($AD$21:$AD$620,'자료_거시'!$M$3:$M$602,"&gt;"&amp;EDATE('자료_거시'!$M281,-'설정'!$B$17),'자료_거시'!$M$3:$M$602,"&lt;="&amp;'자료_거시'!$M281)=3,SUMIFS($AD$21:$AD$620,'자료_거시'!$M$3:$M$602,"&gt;"&amp;EDATE('자료_거시'!$M281,-12-'설정'!$B$17),'자료_거시'!$M$3:$M$602,"&lt;="&amp;EDATE('자료_거시'!$M281,-12))=3),IFERROR(SUMIFS('자료_거시'!$N$3:$N$602,'자료_거시'!$M$3:$M$602,"&gt;"&amp;EDATE('자료_거시'!$M281,-'설정'!$B$17),'자료_거시'!$M$3:$M$602,"&lt;="&amp;'자료_거시'!$M281)/SUMIFS('자료_거시'!$N$3:$N$602,'자료_거시'!$M$3:$M$602,"&gt;"&amp;EDATE('자료_거시'!$M281,-12-'설정'!$B$17),'자료_거시'!$M$3:$M$602,"&lt;="&amp;EDATE('자료_거시'!$M281,-12))-1,""),""),"")</f>
        <v/>
      </c>
      <c r="AF299">
        <f>IF(ISNUMBER(AE299),'자료_거시'!$M281,"")</f>
        <v/>
      </c>
      <c r="AG299">
        <f>IF(ISNUMBER(AF299),IF(AF299&gt;$L$9,AE299,""),"")</f>
        <v/>
      </c>
    </row>
    <row r="300">
      <c r="P300">
        <f>IF(AND(ISNUMBER('자료_거시'!$A282),ISNUMBER('자료_거시'!$B282)),'자료_거시'!$B282,"")</f>
        <v/>
      </c>
      <c r="Q300">
        <f>IF(ISNUMBER(P300),'자료_거시'!$A282,"")</f>
        <v/>
      </c>
      <c r="R300">
        <f>IF(ISNUMBER(Q300),IF(Q300&gt;$L$5,P300,""),"")</f>
        <v/>
      </c>
      <c r="S300">
        <f>IF(ISNUMBER('자료_거시'!$E282),'자료_거시'!$E282,S299)</f>
        <v/>
      </c>
      <c r="T300">
        <f>IF(AND(ISNUMBER('자료_거시'!$D282),ISNUMBER('자료_거시'!$E282)),IFERROR('자료_거시'!$E282-INDEX($S$21:$S$4020,MATCH(EDATE('자료_거시'!$D282,-'설정'!$B$17),'자료_거시'!$D$3:INDEX('자료_거시'!$D$3:$D$4002,$K$6),1)),""),"")</f>
        <v/>
      </c>
      <c r="U300">
        <f>IF(ISNUMBER(T300),'자료_거시'!$D282,"")</f>
        <v/>
      </c>
      <c r="V300">
        <f>IF(ISNUMBER(U300),IF(U300&gt;$L$6,T300,""),"")</f>
        <v/>
      </c>
      <c r="W300">
        <f>IF(AND(ISNUMBER('자료_거시'!$G282),ISNUMBER('자료_거시'!$H282)),'자료_거시'!$H282,"")</f>
        <v/>
      </c>
      <c r="X300">
        <f>IF(ISNUMBER(W300),'자료_거시'!$G282,"")</f>
        <v/>
      </c>
      <c r="Y300">
        <f>IF(ISNUMBER(X300),IF(X300&gt;$L$7,W300,""),"")</f>
        <v/>
      </c>
      <c r="Z300">
        <f>IF(ISNUMBER('자료_거시'!$K282),'자료_거시'!$K282,Z299)</f>
        <v/>
      </c>
      <c r="AA300">
        <f>IF(AND(ISNUMBER('자료_거시'!$J282),ISNUMBER('자료_거시'!$K282)),IFERROR('자료_거시'!$K282/INDEX($Z$21:$Z$4020,MATCH(EDATE('자료_거시'!$J282,-'설정'!$B$17),'자료_거시'!$J$3:INDEX('자료_거시'!$J$3:$J$4002,$K$8),1))-1,""),"")</f>
        <v/>
      </c>
      <c r="AB300">
        <f>IF(ISNUMBER(AA300),'자료_거시'!$J282,"")</f>
        <v/>
      </c>
      <c r="AC300">
        <f>IF(ISNUMBER(AB300),IF(AB300&gt;$L$8,AA300,""),"")</f>
        <v/>
      </c>
      <c r="AD300">
        <f>IF(AND(ISNUMBER('자료_거시'!$M282),ISNUMBER('자료_거시'!$N282)),1,0)</f>
        <v/>
      </c>
      <c r="AE300">
        <f>IF(AND(ISNUMBER('자료_거시'!$M282),ISNUMBER('자료_거시'!$N282)),IF(AND(SUMIFS($AD$21:$AD$620,'자료_거시'!$M$3:$M$602,"&gt;"&amp;EDATE('자료_거시'!$M282,-'설정'!$B$17),'자료_거시'!$M$3:$M$602,"&lt;="&amp;'자료_거시'!$M282)=3,SUMIFS($AD$21:$AD$620,'자료_거시'!$M$3:$M$602,"&gt;"&amp;EDATE('자료_거시'!$M282,-12-'설정'!$B$17),'자료_거시'!$M$3:$M$602,"&lt;="&amp;EDATE('자료_거시'!$M282,-12))=3),IFERROR(SUMIFS('자료_거시'!$N$3:$N$602,'자료_거시'!$M$3:$M$602,"&gt;"&amp;EDATE('자료_거시'!$M282,-'설정'!$B$17),'자료_거시'!$M$3:$M$602,"&lt;="&amp;'자료_거시'!$M282)/SUMIFS('자료_거시'!$N$3:$N$602,'자료_거시'!$M$3:$M$602,"&gt;"&amp;EDATE('자료_거시'!$M282,-12-'설정'!$B$17),'자료_거시'!$M$3:$M$602,"&lt;="&amp;EDATE('자료_거시'!$M282,-12))-1,""),""),"")</f>
        <v/>
      </c>
      <c r="AF300">
        <f>IF(ISNUMBER(AE300),'자료_거시'!$M282,"")</f>
        <v/>
      </c>
      <c r="AG300">
        <f>IF(ISNUMBER(AF300),IF(AF300&gt;$L$9,AE300,""),"")</f>
        <v/>
      </c>
    </row>
    <row r="301">
      <c r="P301">
        <f>IF(AND(ISNUMBER('자료_거시'!$A283),ISNUMBER('자료_거시'!$B283)),'자료_거시'!$B283,"")</f>
        <v/>
      </c>
      <c r="Q301">
        <f>IF(ISNUMBER(P301),'자료_거시'!$A283,"")</f>
        <v/>
      </c>
      <c r="R301">
        <f>IF(ISNUMBER(Q301),IF(Q301&gt;$L$5,P301,""),"")</f>
        <v/>
      </c>
      <c r="S301">
        <f>IF(ISNUMBER('자료_거시'!$E283),'자료_거시'!$E283,S300)</f>
        <v/>
      </c>
      <c r="T301">
        <f>IF(AND(ISNUMBER('자료_거시'!$D283),ISNUMBER('자료_거시'!$E283)),IFERROR('자료_거시'!$E283-INDEX($S$21:$S$4020,MATCH(EDATE('자료_거시'!$D283,-'설정'!$B$17),'자료_거시'!$D$3:INDEX('자료_거시'!$D$3:$D$4002,$K$6),1)),""),"")</f>
        <v/>
      </c>
      <c r="U301">
        <f>IF(ISNUMBER(T301),'자료_거시'!$D283,"")</f>
        <v/>
      </c>
      <c r="V301">
        <f>IF(ISNUMBER(U301),IF(U301&gt;$L$6,T301,""),"")</f>
        <v/>
      </c>
      <c r="W301">
        <f>IF(AND(ISNUMBER('자료_거시'!$G283),ISNUMBER('자료_거시'!$H283)),'자료_거시'!$H283,"")</f>
        <v/>
      </c>
      <c r="X301">
        <f>IF(ISNUMBER(W301),'자료_거시'!$G283,"")</f>
        <v/>
      </c>
      <c r="Y301">
        <f>IF(ISNUMBER(X301),IF(X301&gt;$L$7,W301,""),"")</f>
        <v/>
      </c>
      <c r="Z301">
        <f>IF(ISNUMBER('자료_거시'!$K283),'자료_거시'!$K283,Z300)</f>
        <v/>
      </c>
      <c r="AA301">
        <f>IF(AND(ISNUMBER('자료_거시'!$J283),ISNUMBER('자료_거시'!$K283)),IFERROR('자료_거시'!$K283/INDEX($Z$21:$Z$4020,MATCH(EDATE('자료_거시'!$J283,-'설정'!$B$17),'자료_거시'!$J$3:INDEX('자료_거시'!$J$3:$J$4002,$K$8),1))-1,""),"")</f>
        <v/>
      </c>
      <c r="AB301">
        <f>IF(ISNUMBER(AA301),'자료_거시'!$J283,"")</f>
        <v/>
      </c>
      <c r="AC301">
        <f>IF(ISNUMBER(AB301),IF(AB301&gt;$L$8,AA301,""),"")</f>
        <v/>
      </c>
      <c r="AD301">
        <f>IF(AND(ISNUMBER('자료_거시'!$M283),ISNUMBER('자료_거시'!$N283)),1,0)</f>
        <v/>
      </c>
      <c r="AE301">
        <f>IF(AND(ISNUMBER('자료_거시'!$M283),ISNUMBER('자료_거시'!$N283)),IF(AND(SUMIFS($AD$21:$AD$620,'자료_거시'!$M$3:$M$602,"&gt;"&amp;EDATE('자료_거시'!$M283,-'설정'!$B$17),'자료_거시'!$M$3:$M$602,"&lt;="&amp;'자료_거시'!$M283)=3,SUMIFS($AD$21:$AD$620,'자료_거시'!$M$3:$M$602,"&gt;"&amp;EDATE('자료_거시'!$M283,-12-'설정'!$B$17),'자료_거시'!$M$3:$M$602,"&lt;="&amp;EDATE('자료_거시'!$M283,-12))=3),IFERROR(SUMIFS('자료_거시'!$N$3:$N$602,'자료_거시'!$M$3:$M$602,"&gt;"&amp;EDATE('자료_거시'!$M283,-'설정'!$B$17),'자료_거시'!$M$3:$M$602,"&lt;="&amp;'자료_거시'!$M283)/SUMIFS('자료_거시'!$N$3:$N$602,'자료_거시'!$M$3:$M$602,"&gt;"&amp;EDATE('자료_거시'!$M283,-12-'설정'!$B$17),'자료_거시'!$M$3:$M$602,"&lt;="&amp;EDATE('자료_거시'!$M283,-12))-1,""),""),"")</f>
        <v/>
      </c>
      <c r="AF301">
        <f>IF(ISNUMBER(AE301),'자료_거시'!$M283,"")</f>
        <v/>
      </c>
      <c r="AG301">
        <f>IF(ISNUMBER(AF301),IF(AF301&gt;$L$9,AE301,""),"")</f>
        <v/>
      </c>
    </row>
    <row r="302">
      <c r="P302">
        <f>IF(AND(ISNUMBER('자료_거시'!$A284),ISNUMBER('자료_거시'!$B284)),'자료_거시'!$B284,"")</f>
        <v/>
      </c>
      <c r="Q302">
        <f>IF(ISNUMBER(P302),'자료_거시'!$A284,"")</f>
        <v/>
      </c>
      <c r="R302">
        <f>IF(ISNUMBER(Q302),IF(Q302&gt;$L$5,P302,""),"")</f>
        <v/>
      </c>
      <c r="S302">
        <f>IF(ISNUMBER('자료_거시'!$E284),'자료_거시'!$E284,S301)</f>
        <v/>
      </c>
      <c r="T302">
        <f>IF(AND(ISNUMBER('자료_거시'!$D284),ISNUMBER('자료_거시'!$E284)),IFERROR('자료_거시'!$E284-INDEX($S$21:$S$4020,MATCH(EDATE('자료_거시'!$D284,-'설정'!$B$17),'자료_거시'!$D$3:INDEX('자료_거시'!$D$3:$D$4002,$K$6),1)),""),"")</f>
        <v/>
      </c>
      <c r="U302">
        <f>IF(ISNUMBER(T302),'자료_거시'!$D284,"")</f>
        <v/>
      </c>
      <c r="V302">
        <f>IF(ISNUMBER(U302),IF(U302&gt;$L$6,T302,""),"")</f>
        <v/>
      </c>
      <c r="W302">
        <f>IF(AND(ISNUMBER('자료_거시'!$G284),ISNUMBER('자료_거시'!$H284)),'자료_거시'!$H284,"")</f>
        <v/>
      </c>
      <c r="X302">
        <f>IF(ISNUMBER(W302),'자료_거시'!$G284,"")</f>
        <v/>
      </c>
      <c r="Y302">
        <f>IF(ISNUMBER(X302),IF(X302&gt;$L$7,W302,""),"")</f>
        <v/>
      </c>
      <c r="Z302">
        <f>IF(ISNUMBER('자료_거시'!$K284),'자료_거시'!$K284,Z301)</f>
        <v/>
      </c>
      <c r="AA302">
        <f>IF(AND(ISNUMBER('자료_거시'!$J284),ISNUMBER('자료_거시'!$K284)),IFERROR('자료_거시'!$K284/INDEX($Z$21:$Z$4020,MATCH(EDATE('자료_거시'!$J284,-'설정'!$B$17),'자료_거시'!$J$3:INDEX('자료_거시'!$J$3:$J$4002,$K$8),1))-1,""),"")</f>
        <v/>
      </c>
      <c r="AB302">
        <f>IF(ISNUMBER(AA302),'자료_거시'!$J284,"")</f>
        <v/>
      </c>
      <c r="AC302">
        <f>IF(ISNUMBER(AB302),IF(AB302&gt;$L$8,AA302,""),"")</f>
        <v/>
      </c>
      <c r="AD302">
        <f>IF(AND(ISNUMBER('자료_거시'!$M284),ISNUMBER('자료_거시'!$N284)),1,0)</f>
        <v/>
      </c>
      <c r="AE302">
        <f>IF(AND(ISNUMBER('자료_거시'!$M284),ISNUMBER('자료_거시'!$N284)),IF(AND(SUMIFS($AD$21:$AD$620,'자료_거시'!$M$3:$M$602,"&gt;"&amp;EDATE('자료_거시'!$M284,-'설정'!$B$17),'자료_거시'!$M$3:$M$602,"&lt;="&amp;'자료_거시'!$M284)=3,SUMIFS($AD$21:$AD$620,'자료_거시'!$M$3:$M$602,"&gt;"&amp;EDATE('자료_거시'!$M284,-12-'설정'!$B$17),'자료_거시'!$M$3:$M$602,"&lt;="&amp;EDATE('자료_거시'!$M284,-12))=3),IFERROR(SUMIFS('자료_거시'!$N$3:$N$602,'자료_거시'!$M$3:$M$602,"&gt;"&amp;EDATE('자료_거시'!$M284,-'설정'!$B$17),'자료_거시'!$M$3:$M$602,"&lt;="&amp;'자료_거시'!$M284)/SUMIFS('자료_거시'!$N$3:$N$602,'자료_거시'!$M$3:$M$602,"&gt;"&amp;EDATE('자료_거시'!$M284,-12-'설정'!$B$17),'자료_거시'!$M$3:$M$602,"&lt;="&amp;EDATE('자료_거시'!$M284,-12))-1,""),""),"")</f>
        <v/>
      </c>
      <c r="AF302">
        <f>IF(ISNUMBER(AE302),'자료_거시'!$M284,"")</f>
        <v/>
      </c>
      <c r="AG302">
        <f>IF(ISNUMBER(AF302),IF(AF302&gt;$L$9,AE302,""),"")</f>
        <v/>
      </c>
    </row>
    <row r="303">
      <c r="P303">
        <f>IF(AND(ISNUMBER('자료_거시'!$A285),ISNUMBER('자료_거시'!$B285)),'자료_거시'!$B285,"")</f>
        <v/>
      </c>
      <c r="Q303">
        <f>IF(ISNUMBER(P303),'자료_거시'!$A285,"")</f>
        <v/>
      </c>
      <c r="R303">
        <f>IF(ISNUMBER(Q303),IF(Q303&gt;$L$5,P303,""),"")</f>
        <v/>
      </c>
      <c r="S303">
        <f>IF(ISNUMBER('자료_거시'!$E285),'자료_거시'!$E285,S302)</f>
        <v/>
      </c>
      <c r="T303">
        <f>IF(AND(ISNUMBER('자료_거시'!$D285),ISNUMBER('자료_거시'!$E285)),IFERROR('자료_거시'!$E285-INDEX($S$21:$S$4020,MATCH(EDATE('자료_거시'!$D285,-'설정'!$B$17),'자료_거시'!$D$3:INDEX('자료_거시'!$D$3:$D$4002,$K$6),1)),""),"")</f>
        <v/>
      </c>
      <c r="U303">
        <f>IF(ISNUMBER(T303),'자료_거시'!$D285,"")</f>
        <v/>
      </c>
      <c r="V303">
        <f>IF(ISNUMBER(U303),IF(U303&gt;$L$6,T303,""),"")</f>
        <v/>
      </c>
      <c r="W303">
        <f>IF(AND(ISNUMBER('자료_거시'!$G285),ISNUMBER('자료_거시'!$H285)),'자료_거시'!$H285,"")</f>
        <v/>
      </c>
      <c r="X303">
        <f>IF(ISNUMBER(W303),'자료_거시'!$G285,"")</f>
        <v/>
      </c>
      <c r="Y303">
        <f>IF(ISNUMBER(X303),IF(X303&gt;$L$7,W303,""),"")</f>
        <v/>
      </c>
      <c r="Z303">
        <f>IF(ISNUMBER('자료_거시'!$K285),'자료_거시'!$K285,Z302)</f>
        <v/>
      </c>
      <c r="AA303">
        <f>IF(AND(ISNUMBER('자료_거시'!$J285),ISNUMBER('자료_거시'!$K285)),IFERROR('자료_거시'!$K285/INDEX($Z$21:$Z$4020,MATCH(EDATE('자료_거시'!$J285,-'설정'!$B$17),'자료_거시'!$J$3:INDEX('자료_거시'!$J$3:$J$4002,$K$8),1))-1,""),"")</f>
        <v/>
      </c>
      <c r="AB303">
        <f>IF(ISNUMBER(AA303),'자료_거시'!$J285,"")</f>
        <v/>
      </c>
      <c r="AC303">
        <f>IF(ISNUMBER(AB303),IF(AB303&gt;$L$8,AA303,""),"")</f>
        <v/>
      </c>
      <c r="AD303">
        <f>IF(AND(ISNUMBER('자료_거시'!$M285),ISNUMBER('자료_거시'!$N285)),1,0)</f>
        <v/>
      </c>
      <c r="AE303">
        <f>IF(AND(ISNUMBER('자료_거시'!$M285),ISNUMBER('자료_거시'!$N285)),IF(AND(SUMIFS($AD$21:$AD$620,'자료_거시'!$M$3:$M$602,"&gt;"&amp;EDATE('자료_거시'!$M285,-'설정'!$B$17),'자료_거시'!$M$3:$M$602,"&lt;="&amp;'자료_거시'!$M285)=3,SUMIFS($AD$21:$AD$620,'자료_거시'!$M$3:$M$602,"&gt;"&amp;EDATE('자료_거시'!$M285,-12-'설정'!$B$17),'자료_거시'!$M$3:$M$602,"&lt;="&amp;EDATE('자료_거시'!$M285,-12))=3),IFERROR(SUMIFS('자료_거시'!$N$3:$N$602,'자료_거시'!$M$3:$M$602,"&gt;"&amp;EDATE('자료_거시'!$M285,-'설정'!$B$17),'자료_거시'!$M$3:$M$602,"&lt;="&amp;'자료_거시'!$M285)/SUMIFS('자료_거시'!$N$3:$N$602,'자료_거시'!$M$3:$M$602,"&gt;"&amp;EDATE('자료_거시'!$M285,-12-'설정'!$B$17),'자료_거시'!$M$3:$M$602,"&lt;="&amp;EDATE('자료_거시'!$M285,-12))-1,""),""),"")</f>
        <v/>
      </c>
      <c r="AF303">
        <f>IF(ISNUMBER(AE303),'자료_거시'!$M285,"")</f>
        <v/>
      </c>
      <c r="AG303">
        <f>IF(ISNUMBER(AF303),IF(AF303&gt;$L$9,AE303,""),"")</f>
        <v/>
      </c>
    </row>
    <row r="304">
      <c r="P304">
        <f>IF(AND(ISNUMBER('자료_거시'!$A286),ISNUMBER('자료_거시'!$B286)),'자료_거시'!$B286,"")</f>
        <v/>
      </c>
      <c r="Q304">
        <f>IF(ISNUMBER(P304),'자료_거시'!$A286,"")</f>
        <v/>
      </c>
      <c r="R304">
        <f>IF(ISNUMBER(Q304),IF(Q304&gt;$L$5,P304,""),"")</f>
        <v/>
      </c>
      <c r="S304">
        <f>IF(ISNUMBER('자료_거시'!$E286),'자료_거시'!$E286,S303)</f>
        <v/>
      </c>
      <c r="T304">
        <f>IF(AND(ISNUMBER('자료_거시'!$D286),ISNUMBER('자료_거시'!$E286)),IFERROR('자료_거시'!$E286-INDEX($S$21:$S$4020,MATCH(EDATE('자료_거시'!$D286,-'설정'!$B$17),'자료_거시'!$D$3:INDEX('자료_거시'!$D$3:$D$4002,$K$6),1)),""),"")</f>
        <v/>
      </c>
      <c r="U304">
        <f>IF(ISNUMBER(T304),'자료_거시'!$D286,"")</f>
        <v/>
      </c>
      <c r="V304">
        <f>IF(ISNUMBER(U304),IF(U304&gt;$L$6,T304,""),"")</f>
        <v/>
      </c>
      <c r="W304">
        <f>IF(AND(ISNUMBER('자료_거시'!$G286),ISNUMBER('자료_거시'!$H286)),'자료_거시'!$H286,"")</f>
        <v/>
      </c>
      <c r="X304">
        <f>IF(ISNUMBER(W304),'자료_거시'!$G286,"")</f>
        <v/>
      </c>
      <c r="Y304">
        <f>IF(ISNUMBER(X304),IF(X304&gt;$L$7,W304,""),"")</f>
        <v/>
      </c>
      <c r="Z304">
        <f>IF(ISNUMBER('자료_거시'!$K286),'자료_거시'!$K286,Z303)</f>
        <v/>
      </c>
      <c r="AA304">
        <f>IF(AND(ISNUMBER('자료_거시'!$J286),ISNUMBER('자료_거시'!$K286)),IFERROR('자료_거시'!$K286/INDEX($Z$21:$Z$4020,MATCH(EDATE('자료_거시'!$J286,-'설정'!$B$17),'자료_거시'!$J$3:INDEX('자료_거시'!$J$3:$J$4002,$K$8),1))-1,""),"")</f>
        <v/>
      </c>
      <c r="AB304">
        <f>IF(ISNUMBER(AA304),'자료_거시'!$J286,"")</f>
        <v/>
      </c>
      <c r="AC304">
        <f>IF(ISNUMBER(AB304),IF(AB304&gt;$L$8,AA304,""),"")</f>
        <v/>
      </c>
      <c r="AD304">
        <f>IF(AND(ISNUMBER('자료_거시'!$M286),ISNUMBER('자료_거시'!$N286)),1,0)</f>
        <v/>
      </c>
      <c r="AE304">
        <f>IF(AND(ISNUMBER('자료_거시'!$M286),ISNUMBER('자료_거시'!$N286)),IF(AND(SUMIFS($AD$21:$AD$620,'자료_거시'!$M$3:$M$602,"&gt;"&amp;EDATE('자료_거시'!$M286,-'설정'!$B$17),'자료_거시'!$M$3:$M$602,"&lt;="&amp;'자료_거시'!$M286)=3,SUMIFS($AD$21:$AD$620,'자료_거시'!$M$3:$M$602,"&gt;"&amp;EDATE('자료_거시'!$M286,-12-'설정'!$B$17),'자료_거시'!$M$3:$M$602,"&lt;="&amp;EDATE('자료_거시'!$M286,-12))=3),IFERROR(SUMIFS('자료_거시'!$N$3:$N$602,'자료_거시'!$M$3:$M$602,"&gt;"&amp;EDATE('자료_거시'!$M286,-'설정'!$B$17),'자료_거시'!$M$3:$M$602,"&lt;="&amp;'자료_거시'!$M286)/SUMIFS('자료_거시'!$N$3:$N$602,'자료_거시'!$M$3:$M$602,"&gt;"&amp;EDATE('자료_거시'!$M286,-12-'설정'!$B$17),'자료_거시'!$M$3:$M$602,"&lt;="&amp;EDATE('자료_거시'!$M286,-12))-1,""),""),"")</f>
        <v/>
      </c>
      <c r="AF304">
        <f>IF(ISNUMBER(AE304),'자료_거시'!$M286,"")</f>
        <v/>
      </c>
      <c r="AG304">
        <f>IF(ISNUMBER(AF304),IF(AF304&gt;$L$9,AE304,""),"")</f>
        <v/>
      </c>
    </row>
    <row r="305">
      <c r="P305">
        <f>IF(AND(ISNUMBER('자료_거시'!$A287),ISNUMBER('자료_거시'!$B287)),'자료_거시'!$B287,"")</f>
        <v/>
      </c>
      <c r="Q305">
        <f>IF(ISNUMBER(P305),'자료_거시'!$A287,"")</f>
        <v/>
      </c>
      <c r="R305">
        <f>IF(ISNUMBER(Q305),IF(Q305&gt;$L$5,P305,""),"")</f>
        <v/>
      </c>
      <c r="S305">
        <f>IF(ISNUMBER('자료_거시'!$E287),'자료_거시'!$E287,S304)</f>
        <v/>
      </c>
      <c r="T305">
        <f>IF(AND(ISNUMBER('자료_거시'!$D287),ISNUMBER('자료_거시'!$E287)),IFERROR('자료_거시'!$E287-INDEX($S$21:$S$4020,MATCH(EDATE('자료_거시'!$D287,-'설정'!$B$17),'자료_거시'!$D$3:INDEX('자료_거시'!$D$3:$D$4002,$K$6),1)),""),"")</f>
        <v/>
      </c>
      <c r="U305">
        <f>IF(ISNUMBER(T305),'자료_거시'!$D287,"")</f>
        <v/>
      </c>
      <c r="V305">
        <f>IF(ISNUMBER(U305),IF(U305&gt;$L$6,T305,""),"")</f>
        <v/>
      </c>
      <c r="W305">
        <f>IF(AND(ISNUMBER('자료_거시'!$G287),ISNUMBER('자료_거시'!$H287)),'자료_거시'!$H287,"")</f>
        <v/>
      </c>
      <c r="X305">
        <f>IF(ISNUMBER(W305),'자료_거시'!$G287,"")</f>
        <v/>
      </c>
      <c r="Y305">
        <f>IF(ISNUMBER(X305),IF(X305&gt;$L$7,W305,""),"")</f>
        <v/>
      </c>
      <c r="Z305">
        <f>IF(ISNUMBER('자료_거시'!$K287),'자료_거시'!$K287,Z304)</f>
        <v/>
      </c>
      <c r="AA305">
        <f>IF(AND(ISNUMBER('자료_거시'!$J287),ISNUMBER('자료_거시'!$K287)),IFERROR('자료_거시'!$K287/INDEX($Z$21:$Z$4020,MATCH(EDATE('자료_거시'!$J287,-'설정'!$B$17),'자료_거시'!$J$3:INDEX('자료_거시'!$J$3:$J$4002,$K$8),1))-1,""),"")</f>
        <v/>
      </c>
      <c r="AB305">
        <f>IF(ISNUMBER(AA305),'자료_거시'!$J287,"")</f>
        <v/>
      </c>
      <c r="AC305">
        <f>IF(ISNUMBER(AB305),IF(AB305&gt;$L$8,AA305,""),"")</f>
        <v/>
      </c>
      <c r="AD305">
        <f>IF(AND(ISNUMBER('자료_거시'!$M287),ISNUMBER('자료_거시'!$N287)),1,0)</f>
        <v/>
      </c>
      <c r="AE305">
        <f>IF(AND(ISNUMBER('자료_거시'!$M287),ISNUMBER('자료_거시'!$N287)),IF(AND(SUMIFS($AD$21:$AD$620,'자료_거시'!$M$3:$M$602,"&gt;"&amp;EDATE('자료_거시'!$M287,-'설정'!$B$17),'자료_거시'!$M$3:$M$602,"&lt;="&amp;'자료_거시'!$M287)=3,SUMIFS($AD$21:$AD$620,'자료_거시'!$M$3:$M$602,"&gt;"&amp;EDATE('자료_거시'!$M287,-12-'설정'!$B$17),'자료_거시'!$M$3:$M$602,"&lt;="&amp;EDATE('자료_거시'!$M287,-12))=3),IFERROR(SUMIFS('자료_거시'!$N$3:$N$602,'자료_거시'!$M$3:$M$602,"&gt;"&amp;EDATE('자료_거시'!$M287,-'설정'!$B$17),'자료_거시'!$M$3:$M$602,"&lt;="&amp;'자료_거시'!$M287)/SUMIFS('자료_거시'!$N$3:$N$602,'자료_거시'!$M$3:$M$602,"&gt;"&amp;EDATE('자료_거시'!$M287,-12-'설정'!$B$17),'자료_거시'!$M$3:$M$602,"&lt;="&amp;EDATE('자료_거시'!$M287,-12))-1,""),""),"")</f>
        <v/>
      </c>
      <c r="AF305">
        <f>IF(ISNUMBER(AE305),'자료_거시'!$M287,"")</f>
        <v/>
      </c>
      <c r="AG305">
        <f>IF(ISNUMBER(AF305),IF(AF305&gt;$L$9,AE305,""),"")</f>
        <v/>
      </c>
    </row>
    <row r="306">
      <c r="P306">
        <f>IF(AND(ISNUMBER('자료_거시'!$A288),ISNUMBER('자료_거시'!$B288)),'자료_거시'!$B288,"")</f>
        <v/>
      </c>
      <c r="Q306">
        <f>IF(ISNUMBER(P306),'자료_거시'!$A288,"")</f>
        <v/>
      </c>
      <c r="R306">
        <f>IF(ISNUMBER(Q306),IF(Q306&gt;$L$5,P306,""),"")</f>
        <v/>
      </c>
      <c r="S306">
        <f>IF(ISNUMBER('자료_거시'!$E288),'자료_거시'!$E288,S305)</f>
        <v/>
      </c>
      <c r="T306">
        <f>IF(AND(ISNUMBER('자료_거시'!$D288),ISNUMBER('자료_거시'!$E288)),IFERROR('자료_거시'!$E288-INDEX($S$21:$S$4020,MATCH(EDATE('자료_거시'!$D288,-'설정'!$B$17),'자료_거시'!$D$3:INDEX('자료_거시'!$D$3:$D$4002,$K$6),1)),""),"")</f>
        <v/>
      </c>
      <c r="U306">
        <f>IF(ISNUMBER(T306),'자료_거시'!$D288,"")</f>
        <v/>
      </c>
      <c r="V306">
        <f>IF(ISNUMBER(U306),IF(U306&gt;$L$6,T306,""),"")</f>
        <v/>
      </c>
      <c r="W306">
        <f>IF(AND(ISNUMBER('자료_거시'!$G288),ISNUMBER('자료_거시'!$H288)),'자료_거시'!$H288,"")</f>
        <v/>
      </c>
      <c r="X306">
        <f>IF(ISNUMBER(W306),'자료_거시'!$G288,"")</f>
        <v/>
      </c>
      <c r="Y306">
        <f>IF(ISNUMBER(X306),IF(X306&gt;$L$7,W306,""),"")</f>
        <v/>
      </c>
      <c r="Z306">
        <f>IF(ISNUMBER('자료_거시'!$K288),'자료_거시'!$K288,Z305)</f>
        <v/>
      </c>
      <c r="AA306">
        <f>IF(AND(ISNUMBER('자료_거시'!$J288),ISNUMBER('자료_거시'!$K288)),IFERROR('자료_거시'!$K288/INDEX($Z$21:$Z$4020,MATCH(EDATE('자료_거시'!$J288,-'설정'!$B$17),'자료_거시'!$J$3:INDEX('자료_거시'!$J$3:$J$4002,$K$8),1))-1,""),"")</f>
        <v/>
      </c>
      <c r="AB306">
        <f>IF(ISNUMBER(AA306),'자료_거시'!$J288,"")</f>
        <v/>
      </c>
      <c r="AC306">
        <f>IF(ISNUMBER(AB306),IF(AB306&gt;$L$8,AA306,""),"")</f>
        <v/>
      </c>
      <c r="AD306">
        <f>IF(AND(ISNUMBER('자료_거시'!$M288),ISNUMBER('자료_거시'!$N288)),1,0)</f>
        <v/>
      </c>
      <c r="AE306">
        <f>IF(AND(ISNUMBER('자료_거시'!$M288),ISNUMBER('자료_거시'!$N288)),IF(AND(SUMIFS($AD$21:$AD$620,'자료_거시'!$M$3:$M$602,"&gt;"&amp;EDATE('자료_거시'!$M288,-'설정'!$B$17),'자료_거시'!$M$3:$M$602,"&lt;="&amp;'자료_거시'!$M288)=3,SUMIFS($AD$21:$AD$620,'자료_거시'!$M$3:$M$602,"&gt;"&amp;EDATE('자료_거시'!$M288,-12-'설정'!$B$17),'자료_거시'!$M$3:$M$602,"&lt;="&amp;EDATE('자료_거시'!$M288,-12))=3),IFERROR(SUMIFS('자료_거시'!$N$3:$N$602,'자료_거시'!$M$3:$M$602,"&gt;"&amp;EDATE('자료_거시'!$M288,-'설정'!$B$17),'자료_거시'!$M$3:$M$602,"&lt;="&amp;'자료_거시'!$M288)/SUMIFS('자료_거시'!$N$3:$N$602,'자료_거시'!$M$3:$M$602,"&gt;"&amp;EDATE('자료_거시'!$M288,-12-'설정'!$B$17),'자료_거시'!$M$3:$M$602,"&lt;="&amp;EDATE('자료_거시'!$M288,-12))-1,""),""),"")</f>
        <v/>
      </c>
      <c r="AF306">
        <f>IF(ISNUMBER(AE306),'자료_거시'!$M288,"")</f>
        <v/>
      </c>
      <c r="AG306">
        <f>IF(ISNUMBER(AF306),IF(AF306&gt;$L$9,AE306,""),"")</f>
        <v/>
      </c>
    </row>
    <row r="307">
      <c r="P307">
        <f>IF(AND(ISNUMBER('자료_거시'!$A289),ISNUMBER('자료_거시'!$B289)),'자료_거시'!$B289,"")</f>
        <v/>
      </c>
      <c r="Q307">
        <f>IF(ISNUMBER(P307),'자료_거시'!$A289,"")</f>
        <v/>
      </c>
      <c r="R307">
        <f>IF(ISNUMBER(Q307),IF(Q307&gt;$L$5,P307,""),"")</f>
        <v/>
      </c>
      <c r="S307">
        <f>IF(ISNUMBER('자료_거시'!$E289),'자료_거시'!$E289,S306)</f>
        <v/>
      </c>
      <c r="T307">
        <f>IF(AND(ISNUMBER('자료_거시'!$D289),ISNUMBER('자료_거시'!$E289)),IFERROR('자료_거시'!$E289-INDEX($S$21:$S$4020,MATCH(EDATE('자료_거시'!$D289,-'설정'!$B$17),'자료_거시'!$D$3:INDEX('자료_거시'!$D$3:$D$4002,$K$6),1)),""),"")</f>
        <v/>
      </c>
      <c r="U307">
        <f>IF(ISNUMBER(T307),'자료_거시'!$D289,"")</f>
        <v/>
      </c>
      <c r="V307">
        <f>IF(ISNUMBER(U307),IF(U307&gt;$L$6,T307,""),"")</f>
        <v/>
      </c>
      <c r="W307">
        <f>IF(AND(ISNUMBER('자료_거시'!$G289),ISNUMBER('자료_거시'!$H289)),'자료_거시'!$H289,"")</f>
        <v/>
      </c>
      <c r="X307">
        <f>IF(ISNUMBER(W307),'자료_거시'!$G289,"")</f>
        <v/>
      </c>
      <c r="Y307">
        <f>IF(ISNUMBER(X307),IF(X307&gt;$L$7,W307,""),"")</f>
        <v/>
      </c>
      <c r="Z307">
        <f>IF(ISNUMBER('자료_거시'!$K289),'자료_거시'!$K289,Z306)</f>
        <v/>
      </c>
      <c r="AA307">
        <f>IF(AND(ISNUMBER('자료_거시'!$J289),ISNUMBER('자료_거시'!$K289)),IFERROR('자료_거시'!$K289/INDEX($Z$21:$Z$4020,MATCH(EDATE('자료_거시'!$J289,-'설정'!$B$17),'자료_거시'!$J$3:INDEX('자료_거시'!$J$3:$J$4002,$K$8),1))-1,""),"")</f>
        <v/>
      </c>
      <c r="AB307">
        <f>IF(ISNUMBER(AA307),'자료_거시'!$J289,"")</f>
        <v/>
      </c>
      <c r="AC307">
        <f>IF(ISNUMBER(AB307),IF(AB307&gt;$L$8,AA307,""),"")</f>
        <v/>
      </c>
      <c r="AD307">
        <f>IF(AND(ISNUMBER('자료_거시'!$M289),ISNUMBER('자료_거시'!$N289)),1,0)</f>
        <v/>
      </c>
      <c r="AE307">
        <f>IF(AND(ISNUMBER('자료_거시'!$M289),ISNUMBER('자료_거시'!$N289)),IF(AND(SUMIFS($AD$21:$AD$620,'자료_거시'!$M$3:$M$602,"&gt;"&amp;EDATE('자료_거시'!$M289,-'설정'!$B$17),'자료_거시'!$M$3:$M$602,"&lt;="&amp;'자료_거시'!$M289)=3,SUMIFS($AD$21:$AD$620,'자료_거시'!$M$3:$M$602,"&gt;"&amp;EDATE('자료_거시'!$M289,-12-'설정'!$B$17),'자료_거시'!$M$3:$M$602,"&lt;="&amp;EDATE('자료_거시'!$M289,-12))=3),IFERROR(SUMIFS('자료_거시'!$N$3:$N$602,'자료_거시'!$M$3:$M$602,"&gt;"&amp;EDATE('자료_거시'!$M289,-'설정'!$B$17),'자료_거시'!$M$3:$M$602,"&lt;="&amp;'자료_거시'!$M289)/SUMIFS('자료_거시'!$N$3:$N$602,'자료_거시'!$M$3:$M$602,"&gt;"&amp;EDATE('자료_거시'!$M289,-12-'설정'!$B$17),'자료_거시'!$M$3:$M$602,"&lt;="&amp;EDATE('자료_거시'!$M289,-12))-1,""),""),"")</f>
        <v/>
      </c>
      <c r="AF307">
        <f>IF(ISNUMBER(AE307),'자료_거시'!$M289,"")</f>
        <v/>
      </c>
      <c r="AG307">
        <f>IF(ISNUMBER(AF307),IF(AF307&gt;$L$9,AE307,""),"")</f>
        <v/>
      </c>
    </row>
    <row r="308">
      <c r="P308">
        <f>IF(AND(ISNUMBER('자료_거시'!$A290),ISNUMBER('자료_거시'!$B290)),'자료_거시'!$B290,"")</f>
        <v/>
      </c>
      <c r="Q308">
        <f>IF(ISNUMBER(P308),'자료_거시'!$A290,"")</f>
        <v/>
      </c>
      <c r="R308">
        <f>IF(ISNUMBER(Q308),IF(Q308&gt;$L$5,P308,""),"")</f>
        <v/>
      </c>
      <c r="S308">
        <f>IF(ISNUMBER('자료_거시'!$E290),'자료_거시'!$E290,S307)</f>
        <v/>
      </c>
      <c r="T308">
        <f>IF(AND(ISNUMBER('자료_거시'!$D290),ISNUMBER('자료_거시'!$E290)),IFERROR('자료_거시'!$E290-INDEX($S$21:$S$4020,MATCH(EDATE('자료_거시'!$D290,-'설정'!$B$17),'자료_거시'!$D$3:INDEX('자료_거시'!$D$3:$D$4002,$K$6),1)),""),"")</f>
        <v/>
      </c>
      <c r="U308">
        <f>IF(ISNUMBER(T308),'자료_거시'!$D290,"")</f>
        <v/>
      </c>
      <c r="V308">
        <f>IF(ISNUMBER(U308),IF(U308&gt;$L$6,T308,""),"")</f>
        <v/>
      </c>
      <c r="W308">
        <f>IF(AND(ISNUMBER('자료_거시'!$G290),ISNUMBER('자료_거시'!$H290)),'자료_거시'!$H290,"")</f>
        <v/>
      </c>
      <c r="X308">
        <f>IF(ISNUMBER(W308),'자료_거시'!$G290,"")</f>
        <v/>
      </c>
      <c r="Y308">
        <f>IF(ISNUMBER(X308),IF(X308&gt;$L$7,W308,""),"")</f>
        <v/>
      </c>
      <c r="Z308">
        <f>IF(ISNUMBER('자료_거시'!$K290),'자료_거시'!$K290,Z307)</f>
        <v/>
      </c>
      <c r="AA308">
        <f>IF(AND(ISNUMBER('자료_거시'!$J290),ISNUMBER('자료_거시'!$K290)),IFERROR('자료_거시'!$K290/INDEX($Z$21:$Z$4020,MATCH(EDATE('자료_거시'!$J290,-'설정'!$B$17),'자료_거시'!$J$3:INDEX('자료_거시'!$J$3:$J$4002,$K$8),1))-1,""),"")</f>
        <v/>
      </c>
      <c r="AB308">
        <f>IF(ISNUMBER(AA308),'자료_거시'!$J290,"")</f>
        <v/>
      </c>
      <c r="AC308">
        <f>IF(ISNUMBER(AB308),IF(AB308&gt;$L$8,AA308,""),"")</f>
        <v/>
      </c>
      <c r="AD308">
        <f>IF(AND(ISNUMBER('자료_거시'!$M290),ISNUMBER('자료_거시'!$N290)),1,0)</f>
        <v/>
      </c>
      <c r="AE308">
        <f>IF(AND(ISNUMBER('자료_거시'!$M290),ISNUMBER('자료_거시'!$N290)),IF(AND(SUMIFS($AD$21:$AD$620,'자료_거시'!$M$3:$M$602,"&gt;"&amp;EDATE('자료_거시'!$M290,-'설정'!$B$17),'자료_거시'!$M$3:$M$602,"&lt;="&amp;'자료_거시'!$M290)=3,SUMIFS($AD$21:$AD$620,'자료_거시'!$M$3:$M$602,"&gt;"&amp;EDATE('자료_거시'!$M290,-12-'설정'!$B$17),'자료_거시'!$M$3:$M$602,"&lt;="&amp;EDATE('자료_거시'!$M290,-12))=3),IFERROR(SUMIFS('자료_거시'!$N$3:$N$602,'자료_거시'!$M$3:$M$602,"&gt;"&amp;EDATE('자료_거시'!$M290,-'설정'!$B$17),'자료_거시'!$M$3:$M$602,"&lt;="&amp;'자료_거시'!$M290)/SUMIFS('자료_거시'!$N$3:$N$602,'자료_거시'!$M$3:$M$602,"&gt;"&amp;EDATE('자료_거시'!$M290,-12-'설정'!$B$17),'자료_거시'!$M$3:$M$602,"&lt;="&amp;EDATE('자료_거시'!$M290,-12))-1,""),""),"")</f>
        <v/>
      </c>
      <c r="AF308">
        <f>IF(ISNUMBER(AE308),'자료_거시'!$M290,"")</f>
        <v/>
      </c>
      <c r="AG308">
        <f>IF(ISNUMBER(AF308),IF(AF308&gt;$L$9,AE308,""),"")</f>
        <v/>
      </c>
    </row>
    <row r="309">
      <c r="P309">
        <f>IF(AND(ISNUMBER('자료_거시'!$A291),ISNUMBER('자료_거시'!$B291)),'자료_거시'!$B291,"")</f>
        <v/>
      </c>
      <c r="Q309">
        <f>IF(ISNUMBER(P309),'자료_거시'!$A291,"")</f>
        <v/>
      </c>
      <c r="R309">
        <f>IF(ISNUMBER(Q309),IF(Q309&gt;$L$5,P309,""),"")</f>
        <v/>
      </c>
      <c r="S309">
        <f>IF(ISNUMBER('자료_거시'!$E291),'자료_거시'!$E291,S308)</f>
        <v/>
      </c>
      <c r="T309">
        <f>IF(AND(ISNUMBER('자료_거시'!$D291),ISNUMBER('자료_거시'!$E291)),IFERROR('자료_거시'!$E291-INDEX($S$21:$S$4020,MATCH(EDATE('자료_거시'!$D291,-'설정'!$B$17),'자료_거시'!$D$3:INDEX('자료_거시'!$D$3:$D$4002,$K$6),1)),""),"")</f>
        <v/>
      </c>
      <c r="U309">
        <f>IF(ISNUMBER(T309),'자료_거시'!$D291,"")</f>
        <v/>
      </c>
      <c r="V309">
        <f>IF(ISNUMBER(U309),IF(U309&gt;$L$6,T309,""),"")</f>
        <v/>
      </c>
      <c r="W309">
        <f>IF(AND(ISNUMBER('자료_거시'!$G291),ISNUMBER('자료_거시'!$H291)),'자료_거시'!$H291,"")</f>
        <v/>
      </c>
      <c r="X309">
        <f>IF(ISNUMBER(W309),'자료_거시'!$G291,"")</f>
        <v/>
      </c>
      <c r="Y309">
        <f>IF(ISNUMBER(X309),IF(X309&gt;$L$7,W309,""),"")</f>
        <v/>
      </c>
      <c r="Z309">
        <f>IF(ISNUMBER('자료_거시'!$K291),'자료_거시'!$K291,Z308)</f>
        <v/>
      </c>
      <c r="AA309">
        <f>IF(AND(ISNUMBER('자료_거시'!$J291),ISNUMBER('자료_거시'!$K291)),IFERROR('자료_거시'!$K291/INDEX($Z$21:$Z$4020,MATCH(EDATE('자료_거시'!$J291,-'설정'!$B$17),'자료_거시'!$J$3:INDEX('자료_거시'!$J$3:$J$4002,$K$8),1))-1,""),"")</f>
        <v/>
      </c>
      <c r="AB309">
        <f>IF(ISNUMBER(AA309),'자료_거시'!$J291,"")</f>
        <v/>
      </c>
      <c r="AC309">
        <f>IF(ISNUMBER(AB309),IF(AB309&gt;$L$8,AA309,""),"")</f>
        <v/>
      </c>
      <c r="AD309">
        <f>IF(AND(ISNUMBER('자료_거시'!$M291),ISNUMBER('자료_거시'!$N291)),1,0)</f>
        <v/>
      </c>
      <c r="AE309">
        <f>IF(AND(ISNUMBER('자료_거시'!$M291),ISNUMBER('자료_거시'!$N291)),IF(AND(SUMIFS($AD$21:$AD$620,'자료_거시'!$M$3:$M$602,"&gt;"&amp;EDATE('자료_거시'!$M291,-'설정'!$B$17),'자료_거시'!$M$3:$M$602,"&lt;="&amp;'자료_거시'!$M291)=3,SUMIFS($AD$21:$AD$620,'자료_거시'!$M$3:$M$602,"&gt;"&amp;EDATE('자료_거시'!$M291,-12-'설정'!$B$17),'자료_거시'!$M$3:$M$602,"&lt;="&amp;EDATE('자료_거시'!$M291,-12))=3),IFERROR(SUMIFS('자료_거시'!$N$3:$N$602,'자료_거시'!$M$3:$M$602,"&gt;"&amp;EDATE('자료_거시'!$M291,-'설정'!$B$17),'자료_거시'!$M$3:$M$602,"&lt;="&amp;'자료_거시'!$M291)/SUMIFS('자료_거시'!$N$3:$N$602,'자료_거시'!$M$3:$M$602,"&gt;"&amp;EDATE('자료_거시'!$M291,-12-'설정'!$B$17),'자료_거시'!$M$3:$M$602,"&lt;="&amp;EDATE('자료_거시'!$M291,-12))-1,""),""),"")</f>
        <v/>
      </c>
      <c r="AF309">
        <f>IF(ISNUMBER(AE309),'자료_거시'!$M291,"")</f>
        <v/>
      </c>
      <c r="AG309">
        <f>IF(ISNUMBER(AF309),IF(AF309&gt;$L$9,AE309,""),"")</f>
        <v/>
      </c>
    </row>
    <row r="310">
      <c r="P310">
        <f>IF(AND(ISNUMBER('자료_거시'!$A292),ISNUMBER('자료_거시'!$B292)),'자료_거시'!$B292,"")</f>
        <v/>
      </c>
      <c r="Q310">
        <f>IF(ISNUMBER(P310),'자료_거시'!$A292,"")</f>
        <v/>
      </c>
      <c r="R310">
        <f>IF(ISNUMBER(Q310),IF(Q310&gt;$L$5,P310,""),"")</f>
        <v/>
      </c>
      <c r="S310">
        <f>IF(ISNUMBER('자료_거시'!$E292),'자료_거시'!$E292,S309)</f>
        <v/>
      </c>
      <c r="T310">
        <f>IF(AND(ISNUMBER('자료_거시'!$D292),ISNUMBER('자료_거시'!$E292)),IFERROR('자료_거시'!$E292-INDEX($S$21:$S$4020,MATCH(EDATE('자료_거시'!$D292,-'설정'!$B$17),'자료_거시'!$D$3:INDEX('자료_거시'!$D$3:$D$4002,$K$6),1)),""),"")</f>
        <v/>
      </c>
      <c r="U310">
        <f>IF(ISNUMBER(T310),'자료_거시'!$D292,"")</f>
        <v/>
      </c>
      <c r="V310">
        <f>IF(ISNUMBER(U310),IF(U310&gt;$L$6,T310,""),"")</f>
        <v/>
      </c>
      <c r="W310">
        <f>IF(AND(ISNUMBER('자료_거시'!$G292),ISNUMBER('자료_거시'!$H292)),'자료_거시'!$H292,"")</f>
        <v/>
      </c>
      <c r="X310">
        <f>IF(ISNUMBER(W310),'자료_거시'!$G292,"")</f>
        <v/>
      </c>
      <c r="Y310">
        <f>IF(ISNUMBER(X310),IF(X310&gt;$L$7,W310,""),"")</f>
        <v/>
      </c>
      <c r="Z310">
        <f>IF(ISNUMBER('자료_거시'!$K292),'자료_거시'!$K292,Z309)</f>
        <v/>
      </c>
      <c r="AA310">
        <f>IF(AND(ISNUMBER('자료_거시'!$J292),ISNUMBER('자료_거시'!$K292)),IFERROR('자료_거시'!$K292/INDEX($Z$21:$Z$4020,MATCH(EDATE('자료_거시'!$J292,-'설정'!$B$17),'자료_거시'!$J$3:INDEX('자료_거시'!$J$3:$J$4002,$K$8),1))-1,""),"")</f>
        <v/>
      </c>
      <c r="AB310">
        <f>IF(ISNUMBER(AA310),'자료_거시'!$J292,"")</f>
        <v/>
      </c>
      <c r="AC310">
        <f>IF(ISNUMBER(AB310),IF(AB310&gt;$L$8,AA310,""),"")</f>
        <v/>
      </c>
      <c r="AD310">
        <f>IF(AND(ISNUMBER('자료_거시'!$M292),ISNUMBER('자료_거시'!$N292)),1,0)</f>
        <v/>
      </c>
      <c r="AE310">
        <f>IF(AND(ISNUMBER('자료_거시'!$M292),ISNUMBER('자료_거시'!$N292)),IF(AND(SUMIFS($AD$21:$AD$620,'자료_거시'!$M$3:$M$602,"&gt;"&amp;EDATE('자료_거시'!$M292,-'설정'!$B$17),'자료_거시'!$M$3:$M$602,"&lt;="&amp;'자료_거시'!$M292)=3,SUMIFS($AD$21:$AD$620,'자료_거시'!$M$3:$M$602,"&gt;"&amp;EDATE('자료_거시'!$M292,-12-'설정'!$B$17),'자료_거시'!$M$3:$M$602,"&lt;="&amp;EDATE('자료_거시'!$M292,-12))=3),IFERROR(SUMIFS('자료_거시'!$N$3:$N$602,'자료_거시'!$M$3:$M$602,"&gt;"&amp;EDATE('자료_거시'!$M292,-'설정'!$B$17),'자료_거시'!$M$3:$M$602,"&lt;="&amp;'자료_거시'!$M292)/SUMIFS('자료_거시'!$N$3:$N$602,'자료_거시'!$M$3:$M$602,"&gt;"&amp;EDATE('자료_거시'!$M292,-12-'설정'!$B$17),'자료_거시'!$M$3:$M$602,"&lt;="&amp;EDATE('자료_거시'!$M292,-12))-1,""),""),"")</f>
        <v/>
      </c>
      <c r="AF310">
        <f>IF(ISNUMBER(AE310),'자료_거시'!$M292,"")</f>
        <v/>
      </c>
      <c r="AG310">
        <f>IF(ISNUMBER(AF310),IF(AF310&gt;$L$9,AE310,""),"")</f>
        <v/>
      </c>
    </row>
    <row r="311">
      <c r="P311">
        <f>IF(AND(ISNUMBER('자료_거시'!$A293),ISNUMBER('자료_거시'!$B293)),'자료_거시'!$B293,"")</f>
        <v/>
      </c>
      <c r="Q311">
        <f>IF(ISNUMBER(P311),'자료_거시'!$A293,"")</f>
        <v/>
      </c>
      <c r="R311">
        <f>IF(ISNUMBER(Q311),IF(Q311&gt;$L$5,P311,""),"")</f>
        <v/>
      </c>
      <c r="S311">
        <f>IF(ISNUMBER('자료_거시'!$E293),'자료_거시'!$E293,S310)</f>
        <v/>
      </c>
      <c r="T311">
        <f>IF(AND(ISNUMBER('자료_거시'!$D293),ISNUMBER('자료_거시'!$E293)),IFERROR('자료_거시'!$E293-INDEX($S$21:$S$4020,MATCH(EDATE('자료_거시'!$D293,-'설정'!$B$17),'자료_거시'!$D$3:INDEX('자료_거시'!$D$3:$D$4002,$K$6),1)),""),"")</f>
        <v/>
      </c>
      <c r="U311">
        <f>IF(ISNUMBER(T311),'자료_거시'!$D293,"")</f>
        <v/>
      </c>
      <c r="V311">
        <f>IF(ISNUMBER(U311),IF(U311&gt;$L$6,T311,""),"")</f>
        <v/>
      </c>
      <c r="W311">
        <f>IF(AND(ISNUMBER('자료_거시'!$G293),ISNUMBER('자료_거시'!$H293)),'자료_거시'!$H293,"")</f>
        <v/>
      </c>
      <c r="X311">
        <f>IF(ISNUMBER(W311),'자료_거시'!$G293,"")</f>
        <v/>
      </c>
      <c r="Y311">
        <f>IF(ISNUMBER(X311),IF(X311&gt;$L$7,W311,""),"")</f>
        <v/>
      </c>
      <c r="Z311">
        <f>IF(ISNUMBER('자료_거시'!$K293),'자료_거시'!$K293,Z310)</f>
        <v/>
      </c>
      <c r="AA311">
        <f>IF(AND(ISNUMBER('자료_거시'!$J293),ISNUMBER('자료_거시'!$K293)),IFERROR('자료_거시'!$K293/INDEX($Z$21:$Z$4020,MATCH(EDATE('자료_거시'!$J293,-'설정'!$B$17),'자료_거시'!$J$3:INDEX('자료_거시'!$J$3:$J$4002,$K$8),1))-1,""),"")</f>
        <v/>
      </c>
      <c r="AB311">
        <f>IF(ISNUMBER(AA311),'자료_거시'!$J293,"")</f>
        <v/>
      </c>
      <c r="AC311">
        <f>IF(ISNUMBER(AB311),IF(AB311&gt;$L$8,AA311,""),"")</f>
        <v/>
      </c>
      <c r="AD311">
        <f>IF(AND(ISNUMBER('자료_거시'!$M293),ISNUMBER('자료_거시'!$N293)),1,0)</f>
        <v/>
      </c>
      <c r="AE311">
        <f>IF(AND(ISNUMBER('자료_거시'!$M293),ISNUMBER('자료_거시'!$N293)),IF(AND(SUMIFS($AD$21:$AD$620,'자료_거시'!$M$3:$M$602,"&gt;"&amp;EDATE('자료_거시'!$M293,-'설정'!$B$17),'자료_거시'!$M$3:$M$602,"&lt;="&amp;'자료_거시'!$M293)=3,SUMIFS($AD$21:$AD$620,'자료_거시'!$M$3:$M$602,"&gt;"&amp;EDATE('자료_거시'!$M293,-12-'설정'!$B$17),'자료_거시'!$M$3:$M$602,"&lt;="&amp;EDATE('자료_거시'!$M293,-12))=3),IFERROR(SUMIFS('자료_거시'!$N$3:$N$602,'자료_거시'!$M$3:$M$602,"&gt;"&amp;EDATE('자료_거시'!$M293,-'설정'!$B$17),'자료_거시'!$M$3:$M$602,"&lt;="&amp;'자료_거시'!$M293)/SUMIFS('자료_거시'!$N$3:$N$602,'자료_거시'!$M$3:$M$602,"&gt;"&amp;EDATE('자료_거시'!$M293,-12-'설정'!$B$17),'자료_거시'!$M$3:$M$602,"&lt;="&amp;EDATE('자료_거시'!$M293,-12))-1,""),""),"")</f>
        <v/>
      </c>
      <c r="AF311">
        <f>IF(ISNUMBER(AE311),'자료_거시'!$M293,"")</f>
        <v/>
      </c>
      <c r="AG311">
        <f>IF(ISNUMBER(AF311),IF(AF311&gt;$L$9,AE311,""),"")</f>
        <v/>
      </c>
    </row>
    <row r="312">
      <c r="P312">
        <f>IF(AND(ISNUMBER('자료_거시'!$A294),ISNUMBER('자료_거시'!$B294)),'자료_거시'!$B294,"")</f>
        <v/>
      </c>
      <c r="Q312">
        <f>IF(ISNUMBER(P312),'자료_거시'!$A294,"")</f>
        <v/>
      </c>
      <c r="R312">
        <f>IF(ISNUMBER(Q312),IF(Q312&gt;$L$5,P312,""),"")</f>
        <v/>
      </c>
      <c r="S312">
        <f>IF(ISNUMBER('자료_거시'!$E294),'자료_거시'!$E294,S311)</f>
        <v/>
      </c>
      <c r="T312">
        <f>IF(AND(ISNUMBER('자료_거시'!$D294),ISNUMBER('자료_거시'!$E294)),IFERROR('자료_거시'!$E294-INDEX($S$21:$S$4020,MATCH(EDATE('자료_거시'!$D294,-'설정'!$B$17),'자료_거시'!$D$3:INDEX('자료_거시'!$D$3:$D$4002,$K$6),1)),""),"")</f>
        <v/>
      </c>
      <c r="U312">
        <f>IF(ISNUMBER(T312),'자료_거시'!$D294,"")</f>
        <v/>
      </c>
      <c r="V312">
        <f>IF(ISNUMBER(U312),IF(U312&gt;$L$6,T312,""),"")</f>
        <v/>
      </c>
      <c r="W312">
        <f>IF(AND(ISNUMBER('자료_거시'!$G294),ISNUMBER('자료_거시'!$H294)),'자료_거시'!$H294,"")</f>
        <v/>
      </c>
      <c r="X312">
        <f>IF(ISNUMBER(W312),'자료_거시'!$G294,"")</f>
        <v/>
      </c>
      <c r="Y312">
        <f>IF(ISNUMBER(X312),IF(X312&gt;$L$7,W312,""),"")</f>
        <v/>
      </c>
      <c r="Z312">
        <f>IF(ISNUMBER('자료_거시'!$K294),'자료_거시'!$K294,Z311)</f>
        <v/>
      </c>
      <c r="AA312">
        <f>IF(AND(ISNUMBER('자료_거시'!$J294),ISNUMBER('자료_거시'!$K294)),IFERROR('자료_거시'!$K294/INDEX($Z$21:$Z$4020,MATCH(EDATE('자료_거시'!$J294,-'설정'!$B$17),'자료_거시'!$J$3:INDEX('자료_거시'!$J$3:$J$4002,$K$8),1))-1,""),"")</f>
        <v/>
      </c>
      <c r="AB312">
        <f>IF(ISNUMBER(AA312),'자료_거시'!$J294,"")</f>
        <v/>
      </c>
      <c r="AC312">
        <f>IF(ISNUMBER(AB312),IF(AB312&gt;$L$8,AA312,""),"")</f>
        <v/>
      </c>
      <c r="AD312">
        <f>IF(AND(ISNUMBER('자료_거시'!$M294),ISNUMBER('자료_거시'!$N294)),1,0)</f>
        <v/>
      </c>
      <c r="AE312">
        <f>IF(AND(ISNUMBER('자료_거시'!$M294),ISNUMBER('자료_거시'!$N294)),IF(AND(SUMIFS($AD$21:$AD$620,'자료_거시'!$M$3:$M$602,"&gt;"&amp;EDATE('자료_거시'!$M294,-'설정'!$B$17),'자료_거시'!$M$3:$M$602,"&lt;="&amp;'자료_거시'!$M294)=3,SUMIFS($AD$21:$AD$620,'자료_거시'!$M$3:$M$602,"&gt;"&amp;EDATE('자료_거시'!$M294,-12-'설정'!$B$17),'자료_거시'!$M$3:$M$602,"&lt;="&amp;EDATE('자료_거시'!$M294,-12))=3),IFERROR(SUMIFS('자료_거시'!$N$3:$N$602,'자료_거시'!$M$3:$M$602,"&gt;"&amp;EDATE('자료_거시'!$M294,-'설정'!$B$17),'자료_거시'!$M$3:$M$602,"&lt;="&amp;'자료_거시'!$M294)/SUMIFS('자료_거시'!$N$3:$N$602,'자료_거시'!$M$3:$M$602,"&gt;"&amp;EDATE('자료_거시'!$M294,-12-'설정'!$B$17),'자료_거시'!$M$3:$M$602,"&lt;="&amp;EDATE('자료_거시'!$M294,-12))-1,""),""),"")</f>
        <v/>
      </c>
      <c r="AF312">
        <f>IF(ISNUMBER(AE312),'자료_거시'!$M294,"")</f>
        <v/>
      </c>
      <c r="AG312">
        <f>IF(ISNUMBER(AF312),IF(AF312&gt;$L$9,AE312,""),"")</f>
        <v/>
      </c>
    </row>
    <row r="313">
      <c r="P313">
        <f>IF(AND(ISNUMBER('자료_거시'!$A295),ISNUMBER('자료_거시'!$B295)),'자료_거시'!$B295,"")</f>
        <v/>
      </c>
      <c r="Q313">
        <f>IF(ISNUMBER(P313),'자료_거시'!$A295,"")</f>
        <v/>
      </c>
      <c r="R313">
        <f>IF(ISNUMBER(Q313),IF(Q313&gt;$L$5,P313,""),"")</f>
        <v/>
      </c>
      <c r="S313">
        <f>IF(ISNUMBER('자료_거시'!$E295),'자료_거시'!$E295,S312)</f>
        <v/>
      </c>
      <c r="T313">
        <f>IF(AND(ISNUMBER('자료_거시'!$D295),ISNUMBER('자료_거시'!$E295)),IFERROR('자료_거시'!$E295-INDEX($S$21:$S$4020,MATCH(EDATE('자료_거시'!$D295,-'설정'!$B$17),'자료_거시'!$D$3:INDEX('자료_거시'!$D$3:$D$4002,$K$6),1)),""),"")</f>
        <v/>
      </c>
      <c r="U313">
        <f>IF(ISNUMBER(T313),'자료_거시'!$D295,"")</f>
        <v/>
      </c>
      <c r="V313">
        <f>IF(ISNUMBER(U313),IF(U313&gt;$L$6,T313,""),"")</f>
        <v/>
      </c>
      <c r="W313">
        <f>IF(AND(ISNUMBER('자료_거시'!$G295),ISNUMBER('자료_거시'!$H295)),'자료_거시'!$H295,"")</f>
        <v/>
      </c>
      <c r="X313">
        <f>IF(ISNUMBER(W313),'자료_거시'!$G295,"")</f>
        <v/>
      </c>
      <c r="Y313">
        <f>IF(ISNUMBER(X313),IF(X313&gt;$L$7,W313,""),"")</f>
        <v/>
      </c>
      <c r="Z313">
        <f>IF(ISNUMBER('자료_거시'!$K295),'자료_거시'!$K295,Z312)</f>
        <v/>
      </c>
      <c r="AA313">
        <f>IF(AND(ISNUMBER('자료_거시'!$J295),ISNUMBER('자료_거시'!$K295)),IFERROR('자료_거시'!$K295/INDEX($Z$21:$Z$4020,MATCH(EDATE('자료_거시'!$J295,-'설정'!$B$17),'자료_거시'!$J$3:INDEX('자료_거시'!$J$3:$J$4002,$K$8),1))-1,""),"")</f>
        <v/>
      </c>
      <c r="AB313">
        <f>IF(ISNUMBER(AA313),'자료_거시'!$J295,"")</f>
        <v/>
      </c>
      <c r="AC313">
        <f>IF(ISNUMBER(AB313),IF(AB313&gt;$L$8,AA313,""),"")</f>
        <v/>
      </c>
      <c r="AD313">
        <f>IF(AND(ISNUMBER('자료_거시'!$M295),ISNUMBER('자료_거시'!$N295)),1,0)</f>
        <v/>
      </c>
      <c r="AE313">
        <f>IF(AND(ISNUMBER('자료_거시'!$M295),ISNUMBER('자료_거시'!$N295)),IF(AND(SUMIFS($AD$21:$AD$620,'자료_거시'!$M$3:$M$602,"&gt;"&amp;EDATE('자료_거시'!$M295,-'설정'!$B$17),'자료_거시'!$M$3:$M$602,"&lt;="&amp;'자료_거시'!$M295)=3,SUMIFS($AD$21:$AD$620,'자료_거시'!$M$3:$M$602,"&gt;"&amp;EDATE('자료_거시'!$M295,-12-'설정'!$B$17),'자료_거시'!$M$3:$M$602,"&lt;="&amp;EDATE('자료_거시'!$M295,-12))=3),IFERROR(SUMIFS('자료_거시'!$N$3:$N$602,'자료_거시'!$M$3:$M$602,"&gt;"&amp;EDATE('자료_거시'!$M295,-'설정'!$B$17),'자료_거시'!$M$3:$M$602,"&lt;="&amp;'자료_거시'!$M295)/SUMIFS('자료_거시'!$N$3:$N$602,'자료_거시'!$M$3:$M$602,"&gt;"&amp;EDATE('자료_거시'!$M295,-12-'설정'!$B$17),'자료_거시'!$M$3:$M$602,"&lt;="&amp;EDATE('자료_거시'!$M295,-12))-1,""),""),"")</f>
        <v/>
      </c>
      <c r="AF313">
        <f>IF(ISNUMBER(AE313),'자료_거시'!$M295,"")</f>
        <v/>
      </c>
      <c r="AG313">
        <f>IF(ISNUMBER(AF313),IF(AF313&gt;$L$9,AE313,""),"")</f>
        <v/>
      </c>
    </row>
    <row r="314">
      <c r="P314">
        <f>IF(AND(ISNUMBER('자료_거시'!$A296),ISNUMBER('자료_거시'!$B296)),'자료_거시'!$B296,"")</f>
        <v/>
      </c>
      <c r="Q314">
        <f>IF(ISNUMBER(P314),'자료_거시'!$A296,"")</f>
        <v/>
      </c>
      <c r="R314">
        <f>IF(ISNUMBER(Q314),IF(Q314&gt;$L$5,P314,""),"")</f>
        <v/>
      </c>
      <c r="S314">
        <f>IF(ISNUMBER('자료_거시'!$E296),'자료_거시'!$E296,S313)</f>
        <v/>
      </c>
      <c r="T314">
        <f>IF(AND(ISNUMBER('자료_거시'!$D296),ISNUMBER('자료_거시'!$E296)),IFERROR('자료_거시'!$E296-INDEX($S$21:$S$4020,MATCH(EDATE('자료_거시'!$D296,-'설정'!$B$17),'자료_거시'!$D$3:INDEX('자료_거시'!$D$3:$D$4002,$K$6),1)),""),"")</f>
        <v/>
      </c>
      <c r="U314">
        <f>IF(ISNUMBER(T314),'자료_거시'!$D296,"")</f>
        <v/>
      </c>
      <c r="V314">
        <f>IF(ISNUMBER(U314),IF(U314&gt;$L$6,T314,""),"")</f>
        <v/>
      </c>
      <c r="W314">
        <f>IF(AND(ISNUMBER('자료_거시'!$G296),ISNUMBER('자료_거시'!$H296)),'자료_거시'!$H296,"")</f>
        <v/>
      </c>
      <c r="X314">
        <f>IF(ISNUMBER(W314),'자료_거시'!$G296,"")</f>
        <v/>
      </c>
      <c r="Y314">
        <f>IF(ISNUMBER(X314),IF(X314&gt;$L$7,W314,""),"")</f>
        <v/>
      </c>
      <c r="Z314">
        <f>IF(ISNUMBER('자료_거시'!$K296),'자료_거시'!$K296,Z313)</f>
        <v/>
      </c>
      <c r="AA314">
        <f>IF(AND(ISNUMBER('자료_거시'!$J296),ISNUMBER('자료_거시'!$K296)),IFERROR('자료_거시'!$K296/INDEX($Z$21:$Z$4020,MATCH(EDATE('자료_거시'!$J296,-'설정'!$B$17),'자료_거시'!$J$3:INDEX('자료_거시'!$J$3:$J$4002,$K$8),1))-1,""),"")</f>
        <v/>
      </c>
      <c r="AB314">
        <f>IF(ISNUMBER(AA314),'자료_거시'!$J296,"")</f>
        <v/>
      </c>
      <c r="AC314">
        <f>IF(ISNUMBER(AB314),IF(AB314&gt;$L$8,AA314,""),"")</f>
        <v/>
      </c>
      <c r="AD314">
        <f>IF(AND(ISNUMBER('자료_거시'!$M296),ISNUMBER('자료_거시'!$N296)),1,0)</f>
        <v/>
      </c>
      <c r="AE314">
        <f>IF(AND(ISNUMBER('자료_거시'!$M296),ISNUMBER('자료_거시'!$N296)),IF(AND(SUMIFS($AD$21:$AD$620,'자료_거시'!$M$3:$M$602,"&gt;"&amp;EDATE('자료_거시'!$M296,-'설정'!$B$17),'자료_거시'!$M$3:$M$602,"&lt;="&amp;'자료_거시'!$M296)=3,SUMIFS($AD$21:$AD$620,'자료_거시'!$M$3:$M$602,"&gt;"&amp;EDATE('자료_거시'!$M296,-12-'설정'!$B$17),'자료_거시'!$M$3:$M$602,"&lt;="&amp;EDATE('자료_거시'!$M296,-12))=3),IFERROR(SUMIFS('자료_거시'!$N$3:$N$602,'자료_거시'!$M$3:$M$602,"&gt;"&amp;EDATE('자료_거시'!$M296,-'설정'!$B$17),'자료_거시'!$M$3:$M$602,"&lt;="&amp;'자료_거시'!$M296)/SUMIFS('자료_거시'!$N$3:$N$602,'자료_거시'!$M$3:$M$602,"&gt;"&amp;EDATE('자료_거시'!$M296,-12-'설정'!$B$17),'자료_거시'!$M$3:$M$602,"&lt;="&amp;EDATE('자료_거시'!$M296,-12))-1,""),""),"")</f>
        <v/>
      </c>
      <c r="AF314">
        <f>IF(ISNUMBER(AE314),'자료_거시'!$M296,"")</f>
        <v/>
      </c>
      <c r="AG314">
        <f>IF(ISNUMBER(AF314),IF(AF314&gt;$L$9,AE314,""),"")</f>
        <v/>
      </c>
    </row>
    <row r="315">
      <c r="P315">
        <f>IF(AND(ISNUMBER('자료_거시'!$A297),ISNUMBER('자료_거시'!$B297)),'자료_거시'!$B297,"")</f>
        <v/>
      </c>
      <c r="Q315">
        <f>IF(ISNUMBER(P315),'자료_거시'!$A297,"")</f>
        <v/>
      </c>
      <c r="R315">
        <f>IF(ISNUMBER(Q315),IF(Q315&gt;$L$5,P315,""),"")</f>
        <v/>
      </c>
      <c r="S315">
        <f>IF(ISNUMBER('자료_거시'!$E297),'자료_거시'!$E297,S314)</f>
        <v/>
      </c>
      <c r="T315">
        <f>IF(AND(ISNUMBER('자료_거시'!$D297),ISNUMBER('자료_거시'!$E297)),IFERROR('자료_거시'!$E297-INDEX($S$21:$S$4020,MATCH(EDATE('자료_거시'!$D297,-'설정'!$B$17),'자료_거시'!$D$3:INDEX('자료_거시'!$D$3:$D$4002,$K$6),1)),""),"")</f>
        <v/>
      </c>
      <c r="U315">
        <f>IF(ISNUMBER(T315),'자료_거시'!$D297,"")</f>
        <v/>
      </c>
      <c r="V315">
        <f>IF(ISNUMBER(U315),IF(U315&gt;$L$6,T315,""),"")</f>
        <v/>
      </c>
      <c r="W315">
        <f>IF(AND(ISNUMBER('자료_거시'!$G297),ISNUMBER('자료_거시'!$H297)),'자료_거시'!$H297,"")</f>
        <v/>
      </c>
      <c r="X315">
        <f>IF(ISNUMBER(W315),'자료_거시'!$G297,"")</f>
        <v/>
      </c>
      <c r="Y315">
        <f>IF(ISNUMBER(X315),IF(X315&gt;$L$7,W315,""),"")</f>
        <v/>
      </c>
      <c r="Z315">
        <f>IF(ISNUMBER('자료_거시'!$K297),'자료_거시'!$K297,Z314)</f>
        <v/>
      </c>
      <c r="AA315">
        <f>IF(AND(ISNUMBER('자료_거시'!$J297),ISNUMBER('자료_거시'!$K297)),IFERROR('자료_거시'!$K297/INDEX($Z$21:$Z$4020,MATCH(EDATE('자료_거시'!$J297,-'설정'!$B$17),'자료_거시'!$J$3:INDEX('자료_거시'!$J$3:$J$4002,$K$8),1))-1,""),"")</f>
        <v/>
      </c>
      <c r="AB315">
        <f>IF(ISNUMBER(AA315),'자료_거시'!$J297,"")</f>
        <v/>
      </c>
      <c r="AC315">
        <f>IF(ISNUMBER(AB315),IF(AB315&gt;$L$8,AA315,""),"")</f>
        <v/>
      </c>
      <c r="AD315">
        <f>IF(AND(ISNUMBER('자료_거시'!$M297),ISNUMBER('자료_거시'!$N297)),1,0)</f>
        <v/>
      </c>
      <c r="AE315">
        <f>IF(AND(ISNUMBER('자료_거시'!$M297),ISNUMBER('자료_거시'!$N297)),IF(AND(SUMIFS($AD$21:$AD$620,'자료_거시'!$M$3:$M$602,"&gt;"&amp;EDATE('자료_거시'!$M297,-'설정'!$B$17),'자료_거시'!$M$3:$M$602,"&lt;="&amp;'자료_거시'!$M297)=3,SUMIFS($AD$21:$AD$620,'자료_거시'!$M$3:$M$602,"&gt;"&amp;EDATE('자료_거시'!$M297,-12-'설정'!$B$17),'자료_거시'!$M$3:$M$602,"&lt;="&amp;EDATE('자료_거시'!$M297,-12))=3),IFERROR(SUMIFS('자료_거시'!$N$3:$N$602,'자료_거시'!$M$3:$M$602,"&gt;"&amp;EDATE('자료_거시'!$M297,-'설정'!$B$17),'자료_거시'!$M$3:$M$602,"&lt;="&amp;'자료_거시'!$M297)/SUMIFS('자료_거시'!$N$3:$N$602,'자료_거시'!$M$3:$M$602,"&gt;"&amp;EDATE('자료_거시'!$M297,-12-'설정'!$B$17),'자료_거시'!$M$3:$M$602,"&lt;="&amp;EDATE('자료_거시'!$M297,-12))-1,""),""),"")</f>
        <v/>
      </c>
      <c r="AF315">
        <f>IF(ISNUMBER(AE315),'자료_거시'!$M297,"")</f>
        <v/>
      </c>
      <c r="AG315">
        <f>IF(ISNUMBER(AF315),IF(AF315&gt;$L$9,AE315,""),"")</f>
        <v/>
      </c>
    </row>
    <row r="316">
      <c r="P316">
        <f>IF(AND(ISNUMBER('자료_거시'!$A298),ISNUMBER('자료_거시'!$B298)),'자료_거시'!$B298,"")</f>
        <v/>
      </c>
      <c r="Q316">
        <f>IF(ISNUMBER(P316),'자료_거시'!$A298,"")</f>
        <v/>
      </c>
      <c r="R316">
        <f>IF(ISNUMBER(Q316),IF(Q316&gt;$L$5,P316,""),"")</f>
        <v/>
      </c>
      <c r="S316">
        <f>IF(ISNUMBER('자료_거시'!$E298),'자료_거시'!$E298,S315)</f>
        <v/>
      </c>
      <c r="T316">
        <f>IF(AND(ISNUMBER('자료_거시'!$D298),ISNUMBER('자료_거시'!$E298)),IFERROR('자료_거시'!$E298-INDEX($S$21:$S$4020,MATCH(EDATE('자료_거시'!$D298,-'설정'!$B$17),'자료_거시'!$D$3:INDEX('자료_거시'!$D$3:$D$4002,$K$6),1)),""),"")</f>
        <v/>
      </c>
      <c r="U316">
        <f>IF(ISNUMBER(T316),'자료_거시'!$D298,"")</f>
        <v/>
      </c>
      <c r="V316">
        <f>IF(ISNUMBER(U316),IF(U316&gt;$L$6,T316,""),"")</f>
        <v/>
      </c>
      <c r="W316">
        <f>IF(AND(ISNUMBER('자료_거시'!$G298),ISNUMBER('자료_거시'!$H298)),'자료_거시'!$H298,"")</f>
        <v/>
      </c>
      <c r="X316">
        <f>IF(ISNUMBER(W316),'자료_거시'!$G298,"")</f>
        <v/>
      </c>
      <c r="Y316">
        <f>IF(ISNUMBER(X316),IF(X316&gt;$L$7,W316,""),"")</f>
        <v/>
      </c>
      <c r="Z316">
        <f>IF(ISNUMBER('자료_거시'!$K298),'자료_거시'!$K298,Z315)</f>
        <v/>
      </c>
      <c r="AA316">
        <f>IF(AND(ISNUMBER('자료_거시'!$J298),ISNUMBER('자료_거시'!$K298)),IFERROR('자료_거시'!$K298/INDEX($Z$21:$Z$4020,MATCH(EDATE('자료_거시'!$J298,-'설정'!$B$17),'자료_거시'!$J$3:INDEX('자료_거시'!$J$3:$J$4002,$K$8),1))-1,""),"")</f>
        <v/>
      </c>
      <c r="AB316">
        <f>IF(ISNUMBER(AA316),'자료_거시'!$J298,"")</f>
        <v/>
      </c>
      <c r="AC316">
        <f>IF(ISNUMBER(AB316),IF(AB316&gt;$L$8,AA316,""),"")</f>
        <v/>
      </c>
      <c r="AD316">
        <f>IF(AND(ISNUMBER('자료_거시'!$M298),ISNUMBER('자료_거시'!$N298)),1,0)</f>
        <v/>
      </c>
      <c r="AE316">
        <f>IF(AND(ISNUMBER('자료_거시'!$M298),ISNUMBER('자료_거시'!$N298)),IF(AND(SUMIFS($AD$21:$AD$620,'자료_거시'!$M$3:$M$602,"&gt;"&amp;EDATE('자료_거시'!$M298,-'설정'!$B$17),'자료_거시'!$M$3:$M$602,"&lt;="&amp;'자료_거시'!$M298)=3,SUMIFS($AD$21:$AD$620,'자료_거시'!$M$3:$M$602,"&gt;"&amp;EDATE('자료_거시'!$M298,-12-'설정'!$B$17),'자료_거시'!$M$3:$M$602,"&lt;="&amp;EDATE('자료_거시'!$M298,-12))=3),IFERROR(SUMIFS('자료_거시'!$N$3:$N$602,'자료_거시'!$M$3:$M$602,"&gt;"&amp;EDATE('자료_거시'!$M298,-'설정'!$B$17),'자료_거시'!$M$3:$M$602,"&lt;="&amp;'자료_거시'!$M298)/SUMIFS('자료_거시'!$N$3:$N$602,'자료_거시'!$M$3:$M$602,"&gt;"&amp;EDATE('자료_거시'!$M298,-12-'설정'!$B$17),'자료_거시'!$M$3:$M$602,"&lt;="&amp;EDATE('자료_거시'!$M298,-12))-1,""),""),"")</f>
        <v/>
      </c>
      <c r="AF316">
        <f>IF(ISNUMBER(AE316),'자료_거시'!$M298,"")</f>
        <v/>
      </c>
      <c r="AG316">
        <f>IF(ISNUMBER(AF316),IF(AF316&gt;$L$9,AE316,""),"")</f>
        <v/>
      </c>
    </row>
    <row r="317">
      <c r="P317">
        <f>IF(AND(ISNUMBER('자료_거시'!$A299),ISNUMBER('자료_거시'!$B299)),'자료_거시'!$B299,"")</f>
        <v/>
      </c>
      <c r="Q317">
        <f>IF(ISNUMBER(P317),'자료_거시'!$A299,"")</f>
        <v/>
      </c>
      <c r="R317">
        <f>IF(ISNUMBER(Q317),IF(Q317&gt;$L$5,P317,""),"")</f>
        <v/>
      </c>
      <c r="S317">
        <f>IF(ISNUMBER('자료_거시'!$E299),'자료_거시'!$E299,S316)</f>
        <v/>
      </c>
      <c r="T317">
        <f>IF(AND(ISNUMBER('자료_거시'!$D299),ISNUMBER('자료_거시'!$E299)),IFERROR('자료_거시'!$E299-INDEX($S$21:$S$4020,MATCH(EDATE('자료_거시'!$D299,-'설정'!$B$17),'자료_거시'!$D$3:INDEX('자료_거시'!$D$3:$D$4002,$K$6),1)),""),"")</f>
        <v/>
      </c>
      <c r="U317">
        <f>IF(ISNUMBER(T317),'자료_거시'!$D299,"")</f>
        <v/>
      </c>
      <c r="V317">
        <f>IF(ISNUMBER(U317),IF(U317&gt;$L$6,T317,""),"")</f>
        <v/>
      </c>
      <c r="W317">
        <f>IF(AND(ISNUMBER('자료_거시'!$G299),ISNUMBER('자료_거시'!$H299)),'자료_거시'!$H299,"")</f>
        <v/>
      </c>
      <c r="X317">
        <f>IF(ISNUMBER(W317),'자료_거시'!$G299,"")</f>
        <v/>
      </c>
      <c r="Y317">
        <f>IF(ISNUMBER(X317),IF(X317&gt;$L$7,W317,""),"")</f>
        <v/>
      </c>
      <c r="Z317">
        <f>IF(ISNUMBER('자료_거시'!$K299),'자료_거시'!$K299,Z316)</f>
        <v/>
      </c>
      <c r="AA317">
        <f>IF(AND(ISNUMBER('자료_거시'!$J299),ISNUMBER('자료_거시'!$K299)),IFERROR('자료_거시'!$K299/INDEX($Z$21:$Z$4020,MATCH(EDATE('자료_거시'!$J299,-'설정'!$B$17),'자료_거시'!$J$3:INDEX('자료_거시'!$J$3:$J$4002,$K$8),1))-1,""),"")</f>
        <v/>
      </c>
      <c r="AB317">
        <f>IF(ISNUMBER(AA317),'자료_거시'!$J299,"")</f>
        <v/>
      </c>
      <c r="AC317">
        <f>IF(ISNUMBER(AB317),IF(AB317&gt;$L$8,AA317,""),"")</f>
        <v/>
      </c>
      <c r="AD317">
        <f>IF(AND(ISNUMBER('자료_거시'!$M299),ISNUMBER('자료_거시'!$N299)),1,0)</f>
        <v/>
      </c>
      <c r="AE317">
        <f>IF(AND(ISNUMBER('자료_거시'!$M299),ISNUMBER('자료_거시'!$N299)),IF(AND(SUMIFS($AD$21:$AD$620,'자료_거시'!$M$3:$M$602,"&gt;"&amp;EDATE('자료_거시'!$M299,-'설정'!$B$17),'자료_거시'!$M$3:$M$602,"&lt;="&amp;'자료_거시'!$M299)=3,SUMIFS($AD$21:$AD$620,'자료_거시'!$M$3:$M$602,"&gt;"&amp;EDATE('자료_거시'!$M299,-12-'설정'!$B$17),'자료_거시'!$M$3:$M$602,"&lt;="&amp;EDATE('자료_거시'!$M299,-12))=3),IFERROR(SUMIFS('자료_거시'!$N$3:$N$602,'자료_거시'!$M$3:$M$602,"&gt;"&amp;EDATE('자료_거시'!$M299,-'설정'!$B$17),'자료_거시'!$M$3:$M$602,"&lt;="&amp;'자료_거시'!$M299)/SUMIFS('자료_거시'!$N$3:$N$602,'자료_거시'!$M$3:$M$602,"&gt;"&amp;EDATE('자료_거시'!$M299,-12-'설정'!$B$17),'자료_거시'!$M$3:$M$602,"&lt;="&amp;EDATE('자료_거시'!$M299,-12))-1,""),""),"")</f>
        <v/>
      </c>
      <c r="AF317">
        <f>IF(ISNUMBER(AE317),'자료_거시'!$M299,"")</f>
        <v/>
      </c>
      <c r="AG317">
        <f>IF(ISNUMBER(AF317),IF(AF317&gt;$L$9,AE317,""),"")</f>
        <v/>
      </c>
    </row>
    <row r="318">
      <c r="P318">
        <f>IF(AND(ISNUMBER('자료_거시'!$A300),ISNUMBER('자료_거시'!$B300)),'자료_거시'!$B300,"")</f>
        <v/>
      </c>
      <c r="Q318">
        <f>IF(ISNUMBER(P318),'자료_거시'!$A300,"")</f>
        <v/>
      </c>
      <c r="R318">
        <f>IF(ISNUMBER(Q318),IF(Q318&gt;$L$5,P318,""),"")</f>
        <v/>
      </c>
      <c r="S318">
        <f>IF(ISNUMBER('자료_거시'!$E300),'자료_거시'!$E300,S317)</f>
        <v/>
      </c>
      <c r="T318">
        <f>IF(AND(ISNUMBER('자료_거시'!$D300),ISNUMBER('자료_거시'!$E300)),IFERROR('자료_거시'!$E300-INDEX($S$21:$S$4020,MATCH(EDATE('자료_거시'!$D300,-'설정'!$B$17),'자료_거시'!$D$3:INDEX('자료_거시'!$D$3:$D$4002,$K$6),1)),""),"")</f>
        <v/>
      </c>
      <c r="U318">
        <f>IF(ISNUMBER(T318),'자료_거시'!$D300,"")</f>
        <v/>
      </c>
      <c r="V318">
        <f>IF(ISNUMBER(U318),IF(U318&gt;$L$6,T318,""),"")</f>
        <v/>
      </c>
      <c r="W318">
        <f>IF(AND(ISNUMBER('자료_거시'!$G300),ISNUMBER('자료_거시'!$H300)),'자료_거시'!$H300,"")</f>
        <v/>
      </c>
      <c r="X318">
        <f>IF(ISNUMBER(W318),'자료_거시'!$G300,"")</f>
        <v/>
      </c>
      <c r="Y318">
        <f>IF(ISNUMBER(X318),IF(X318&gt;$L$7,W318,""),"")</f>
        <v/>
      </c>
      <c r="Z318">
        <f>IF(ISNUMBER('자료_거시'!$K300),'자료_거시'!$K300,Z317)</f>
        <v/>
      </c>
      <c r="AA318">
        <f>IF(AND(ISNUMBER('자료_거시'!$J300),ISNUMBER('자료_거시'!$K300)),IFERROR('자료_거시'!$K300/INDEX($Z$21:$Z$4020,MATCH(EDATE('자료_거시'!$J300,-'설정'!$B$17),'자료_거시'!$J$3:INDEX('자료_거시'!$J$3:$J$4002,$K$8),1))-1,""),"")</f>
        <v/>
      </c>
      <c r="AB318">
        <f>IF(ISNUMBER(AA318),'자료_거시'!$J300,"")</f>
        <v/>
      </c>
      <c r="AC318">
        <f>IF(ISNUMBER(AB318),IF(AB318&gt;$L$8,AA318,""),"")</f>
        <v/>
      </c>
      <c r="AD318">
        <f>IF(AND(ISNUMBER('자료_거시'!$M300),ISNUMBER('자료_거시'!$N300)),1,0)</f>
        <v/>
      </c>
      <c r="AE318">
        <f>IF(AND(ISNUMBER('자료_거시'!$M300),ISNUMBER('자료_거시'!$N300)),IF(AND(SUMIFS($AD$21:$AD$620,'자료_거시'!$M$3:$M$602,"&gt;"&amp;EDATE('자료_거시'!$M300,-'설정'!$B$17),'자료_거시'!$M$3:$M$602,"&lt;="&amp;'자료_거시'!$M300)=3,SUMIFS($AD$21:$AD$620,'자료_거시'!$M$3:$M$602,"&gt;"&amp;EDATE('자료_거시'!$M300,-12-'설정'!$B$17),'자료_거시'!$M$3:$M$602,"&lt;="&amp;EDATE('자료_거시'!$M300,-12))=3),IFERROR(SUMIFS('자료_거시'!$N$3:$N$602,'자료_거시'!$M$3:$M$602,"&gt;"&amp;EDATE('자료_거시'!$M300,-'설정'!$B$17),'자료_거시'!$M$3:$M$602,"&lt;="&amp;'자료_거시'!$M300)/SUMIFS('자료_거시'!$N$3:$N$602,'자료_거시'!$M$3:$M$602,"&gt;"&amp;EDATE('자료_거시'!$M300,-12-'설정'!$B$17),'자료_거시'!$M$3:$M$602,"&lt;="&amp;EDATE('자료_거시'!$M300,-12))-1,""),""),"")</f>
        <v/>
      </c>
      <c r="AF318">
        <f>IF(ISNUMBER(AE318),'자료_거시'!$M300,"")</f>
        <v/>
      </c>
      <c r="AG318">
        <f>IF(ISNUMBER(AF318),IF(AF318&gt;$L$9,AE318,""),"")</f>
        <v/>
      </c>
    </row>
    <row r="319">
      <c r="P319">
        <f>IF(AND(ISNUMBER('자료_거시'!$A301),ISNUMBER('자료_거시'!$B301)),'자료_거시'!$B301,"")</f>
        <v/>
      </c>
      <c r="Q319">
        <f>IF(ISNUMBER(P319),'자료_거시'!$A301,"")</f>
        <v/>
      </c>
      <c r="R319">
        <f>IF(ISNUMBER(Q319),IF(Q319&gt;$L$5,P319,""),"")</f>
        <v/>
      </c>
      <c r="S319">
        <f>IF(ISNUMBER('자료_거시'!$E301),'자료_거시'!$E301,S318)</f>
        <v/>
      </c>
      <c r="T319">
        <f>IF(AND(ISNUMBER('자료_거시'!$D301),ISNUMBER('자료_거시'!$E301)),IFERROR('자료_거시'!$E301-INDEX($S$21:$S$4020,MATCH(EDATE('자료_거시'!$D301,-'설정'!$B$17),'자료_거시'!$D$3:INDEX('자료_거시'!$D$3:$D$4002,$K$6),1)),""),"")</f>
        <v/>
      </c>
      <c r="U319">
        <f>IF(ISNUMBER(T319),'자료_거시'!$D301,"")</f>
        <v/>
      </c>
      <c r="V319">
        <f>IF(ISNUMBER(U319),IF(U319&gt;$L$6,T319,""),"")</f>
        <v/>
      </c>
      <c r="W319">
        <f>IF(AND(ISNUMBER('자료_거시'!$G301),ISNUMBER('자료_거시'!$H301)),'자료_거시'!$H301,"")</f>
        <v/>
      </c>
      <c r="X319">
        <f>IF(ISNUMBER(W319),'자료_거시'!$G301,"")</f>
        <v/>
      </c>
      <c r="Y319">
        <f>IF(ISNUMBER(X319),IF(X319&gt;$L$7,W319,""),"")</f>
        <v/>
      </c>
      <c r="Z319">
        <f>IF(ISNUMBER('자료_거시'!$K301),'자료_거시'!$K301,Z318)</f>
        <v/>
      </c>
      <c r="AA319">
        <f>IF(AND(ISNUMBER('자료_거시'!$J301),ISNUMBER('자료_거시'!$K301)),IFERROR('자료_거시'!$K301/INDEX($Z$21:$Z$4020,MATCH(EDATE('자료_거시'!$J301,-'설정'!$B$17),'자료_거시'!$J$3:INDEX('자료_거시'!$J$3:$J$4002,$K$8),1))-1,""),"")</f>
        <v/>
      </c>
      <c r="AB319">
        <f>IF(ISNUMBER(AA319),'자료_거시'!$J301,"")</f>
        <v/>
      </c>
      <c r="AC319">
        <f>IF(ISNUMBER(AB319),IF(AB319&gt;$L$8,AA319,""),"")</f>
        <v/>
      </c>
      <c r="AD319">
        <f>IF(AND(ISNUMBER('자료_거시'!$M301),ISNUMBER('자료_거시'!$N301)),1,0)</f>
        <v/>
      </c>
      <c r="AE319">
        <f>IF(AND(ISNUMBER('자료_거시'!$M301),ISNUMBER('자료_거시'!$N301)),IF(AND(SUMIFS($AD$21:$AD$620,'자료_거시'!$M$3:$M$602,"&gt;"&amp;EDATE('자료_거시'!$M301,-'설정'!$B$17),'자료_거시'!$M$3:$M$602,"&lt;="&amp;'자료_거시'!$M301)=3,SUMIFS($AD$21:$AD$620,'자료_거시'!$M$3:$M$602,"&gt;"&amp;EDATE('자료_거시'!$M301,-12-'설정'!$B$17),'자료_거시'!$M$3:$M$602,"&lt;="&amp;EDATE('자료_거시'!$M301,-12))=3),IFERROR(SUMIFS('자료_거시'!$N$3:$N$602,'자료_거시'!$M$3:$M$602,"&gt;"&amp;EDATE('자료_거시'!$M301,-'설정'!$B$17),'자료_거시'!$M$3:$M$602,"&lt;="&amp;'자료_거시'!$M301)/SUMIFS('자료_거시'!$N$3:$N$602,'자료_거시'!$M$3:$M$602,"&gt;"&amp;EDATE('자료_거시'!$M301,-12-'설정'!$B$17),'자료_거시'!$M$3:$M$602,"&lt;="&amp;EDATE('자료_거시'!$M301,-12))-1,""),""),"")</f>
        <v/>
      </c>
      <c r="AF319">
        <f>IF(ISNUMBER(AE319),'자료_거시'!$M301,"")</f>
        <v/>
      </c>
      <c r="AG319">
        <f>IF(ISNUMBER(AF319),IF(AF319&gt;$L$9,AE319,""),"")</f>
        <v/>
      </c>
    </row>
    <row r="320">
      <c r="P320">
        <f>IF(AND(ISNUMBER('자료_거시'!$A302),ISNUMBER('자료_거시'!$B302)),'자료_거시'!$B302,"")</f>
        <v/>
      </c>
      <c r="Q320">
        <f>IF(ISNUMBER(P320),'자료_거시'!$A302,"")</f>
        <v/>
      </c>
      <c r="R320">
        <f>IF(ISNUMBER(Q320),IF(Q320&gt;$L$5,P320,""),"")</f>
        <v/>
      </c>
      <c r="S320">
        <f>IF(ISNUMBER('자료_거시'!$E302),'자료_거시'!$E302,S319)</f>
        <v/>
      </c>
      <c r="T320">
        <f>IF(AND(ISNUMBER('자료_거시'!$D302),ISNUMBER('자료_거시'!$E302)),IFERROR('자료_거시'!$E302-INDEX($S$21:$S$4020,MATCH(EDATE('자료_거시'!$D302,-'설정'!$B$17),'자료_거시'!$D$3:INDEX('자료_거시'!$D$3:$D$4002,$K$6),1)),""),"")</f>
        <v/>
      </c>
      <c r="U320">
        <f>IF(ISNUMBER(T320),'자료_거시'!$D302,"")</f>
        <v/>
      </c>
      <c r="V320">
        <f>IF(ISNUMBER(U320),IF(U320&gt;$L$6,T320,""),"")</f>
        <v/>
      </c>
      <c r="W320">
        <f>IF(AND(ISNUMBER('자료_거시'!$G302),ISNUMBER('자료_거시'!$H302)),'자료_거시'!$H302,"")</f>
        <v/>
      </c>
      <c r="X320">
        <f>IF(ISNUMBER(W320),'자료_거시'!$G302,"")</f>
        <v/>
      </c>
      <c r="Y320">
        <f>IF(ISNUMBER(X320),IF(X320&gt;$L$7,W320,""),"")</f>
        <v/>
      </c>
      <c r="Z320">
        <f>IF(ISNUMBER('자료_거시'!$K302),'자료_거시'!$K302,Z319)</f>
        <v/>
      </c>
      <c r="AA320">
        <f>IF(AND(ISNUMBER('자료_거시'!$J302),ISNUMBER('자료_거시'!$K302)),IFERROR('자료_거시'!$K302/INDEX($Z$21:$Z$4020,MATCH(EDATE('자료_거시'!$J302,-'설정'!$B$17),'자료_거시'!$J$3:INDEX('자료_거시'!$J$3:$J$4002,$K$8),1))-1,""),"")</f>
        <v/>
      </c>
      <c r="AB320">
        <f>IF(ISNUMBER(AA320),'자료_거시'!$J302,"")</f>
        <v/>
      </c>
      <c r="AC320">
        <f>IF(ISNUMBER(AB320),IF(AB320&gt;$L$8,AA320,""),"")</f>
        <v/>
      </c>
      <c r="AD320">
        <f>IF(AND(ISNUMBER('자료_거시'!$M302),ISNUMBER('자료_거시'!$N302)),1,0)</f>
        <v/>
      </c>
      <c r="AE320">
        <f>IF(AND(ISNUMBER('자료_거시'!$M302),ISNUMBER('자료_거시'!$N302)),IF(AND(SUMIFS($AD$21:$AD$620,'자료_거시'!$M$3:$M$602,"&gt;"&amp;EDATE('자료_거시'!$M302,-'설정'!$B$17),'자료_거시'!$M$3:$M$602,"&lt;="&amp;'자료_거시'!$M302)=3,SUMIFS($AD$21:$AD$620,'자료_거시'!$M$3:$M$602,"&gt;"&amp;EDATE('자료_거시'!$M302,-12-'설정'!$B$17),'자료_거시'!$M$3:$M$602,"&lt;="&amp;EDATE('자료_거시'!$M302,-12))=3),IFERROR(SUMIFS('자료_거시'!$N$3:$N$602,'자료_거시'!$M$3:$M$602,"&gt;"&amp;EDATE('자료_거시'!$M302,-'설정'!$B$17),'자료_거시'!$M$3:$M$602,"&lt;="&amp;'자료_거시'!$M302)/SUMIFS('자료_거시'!$N$3:$N$602,'자료_거시'!$M$3:$M$602,"&gt;"&amp;EDATE('자료_거시'!$M302,-12-'설정'!$B$17),'자료_거시'!$M$3:$M$602,"&lt;="&amp;EDATE('자료_거시'!$M302,-12))-1,""),""),"")</f>
        <v/>
      </c>
      <c r="AF320">
        <f>IF(ISNUMBER(AE320),'자료_거시'!$M302,"")</f>
        <v/>
      </c>
      <c r="AG320">
        <f>IF(ISNUMBER(AF320),IF(AF320&gt;$L$9,AE320,""),"")</f>
        <v/>
      </c>
    </row>
    <row r="321">
      <c r="P321">
        <f>IF(AND(ISNUMBER('자료_거시'!$A303),ISNUMBER('자료_거시'!$B303)),'자료_거시'!$B303,"")</f>
        <v/>
      </c>
      <c r="Q321">
        <f>IF(ISNUMBER(P321),'자료_거시'!$A303,"")</f>
        <v/>
      </c>
      <c r="R321">
        <f>IF(ISNUMBER(Q321),IF(Q321&gt;$L$5,P321,""),"")</f>
        <v/>
      </c>
      <c r="S321">
        <f>IF(ISNUMBER('자료_거시'!$E303),'자료_거시'!$E303,S320)</f>
        <v/>
      </c>
      <c r="T321">
        <f>IF(AND(ISNUMBER('자료_거시'!$D303),ISNUMBER('자료_거시'!$E303)),IFERROR('자료_거시'!$E303-INDEX($S$21:$S$4020,MATCH(EDATE('자료_거시'!$D303,-'설정'!$B$17),'자료_거시'!$D$3:INDEX('자료_거시'!$D$3:$D$4002,$K$6),1)),""),"")</f>
        <v/>
      </c>
      <c r="U321">
        <f>IF(ISNUMBER(T321),'자료_거시'!$D303,"")</f>
        <v/>
      </c>
      <c r="V321">
        <f>IF(ISNUMBER(U321),IF(U321&gt;$L$6,T321,""),"")</f>
        <v/>
      </c>
      <c r="W321">
        <f>IF(AND(ISNUMBER('자료_거시'!$G303),ISNUMBER('자료_거시'!$H303)),'자료_거시'!$H303,"")</f>
        <v/>
      </c>
      <c r="X321">
        <f>IF(ISNUMBER(W321),'자료_거시'!$G303,"")</f>
        <v/>
      </c>
      <c r="Y321">
        <f>IF(ISNUMBER(X321),IF(X321&gt;$L$7,W321,""),"")</f>
        <v/>
      </c>
      <c r="Z321">
        <f>IF(ISNUMBER('자료_거시'!$K303),'자료_거시'!$K303,Z320)</f>
        <v/>
      </c>
      <c r="AA321">
        <f>IF(AND(ISNUMBER('자료_거시'!$J303),ISNUMBER('자료_거시'!$K303)),IFERROR('자료_거시'!$K303/INDEX($Z$21:$Z$4020,MATCH(EDATE('자료_거시'!$J303,-'설정'!$B$17),'자료_거시'!$J$3:INDEX('자료_거시'!$J$3:$J$4002,$K$8),1))-1,""),"")</f>
        <v/>
      </c>
      <c r="AB321">
        <f>IF(ISNUMBER(AA321),'자료_거시'!$J303,"")</f>
        <v/>
      </c>
      <c r="AC321">
        <f>IF(ISNUMBER(AB321),IF(AB321&gt;$L$8,AA321,""),"")</f>
        <v/>
      </c>
      <c r="AD321">
        <f>IF(AND(ISNUMBER('자료_거시'!$M303),ISNUMBER('자료_거시'!$N303)),1,0)</f>
        <v/>
      </c>
      <c r="AE321">
        <f>IF(AND(ISNUMBER('자료_거시'!$M303),ISNUMBER('자료_거시'!$N303)),IF(AND(SUMIFS($AD$21:$AD$620,'자료_거시'!$M$3:$M$602,"&gt;"&amp;EDATE('자료_거시'!$M303,-'설정'!$B$17),'자료_거시'!$M$3:$M$602,"&lt;="&amp;'자료_거시'!$M303)=3,SUMIFS($AD$21:$AD$620,'자료_거시'!$M$3:$M$602,"&gt;"&amp;EDATE('자료_거시'!$M303,-12-'설정'!$B$17),'자료_거시'!$M$3:$M$602,"&lt;="&amp;EDATE('자료_거시'!$M303,-12))=3),IFERROR(SUMIFS('자료_거시'!$N$3:$N$602,'자료_거시'!$M$3:$M$602,"&gt;"&amp;EDATE('자료_거시'!$M303,-'설정'!$B$17),'자료_거시'!$M$3:$M$602,"&lt;="&amp;'자료_거시'!$M303)/SUMIFS('자료_거시'!$N$3:$N$602,'자료_거시'!$M$3:$M$602,"&gt;"&amp;EDATE('자료_거시'!$M303,-12-'설정'!$B$17),'자료_거시'!$M$3:$M$602,"&lt;="&amp;EDATE('자료_거시'!$M303,-12))-1,""),""),"")</f>
        <v/>
      </c>
      <c r="AF321">
        <f>IF(ISNUMBER(AE321),'자료_거시'!$M303,"")</f>
        <v/>
      </c>
      <c r="AG321">
        <f>IF(ISNUMBER(AF321),IF(AF321&gt;$L$9,AE321,""),"")</f>
        <v/>
      </c>
    </row>
    <row r="322">
      <c r="P322">
        <f>IF(AND(ISNUMBER('자료_거시'!$A304),ISNUMBER('자료_거시'!$B304)),'자료_거시'!$B304,"")</f>
        <v/>
      </c>
      <c r="Q322">
        <f>IF(ISNUMBER(P322),'자료_거시'!$A304,"")</f>
        <v/>
      </c>
      <c r="R322">
        <f>IF(ISNUMBER(Q322),IF(Q322&gt;$L$5,P322,""),"")</f>
        <v/>
      </c>
      <c r="S322">
        <f>IF(ISNUMBER('자료_거시'!$E304),'자료_거시'!$E304,S321)</f>
        <v/>
      </c>
      <c r="T322">
        <f>IF(AND(ISNUMBER('자료_거시'!$D304),ISNUMBER('자료_거시'!$E304)),IFERROR('자료_거시'!$E304-INDEX($S$21:$S$4020,MATCH(EDATE('자료_거시'!$D304,-'설정'!$B$17),'자료_거시'!$D$3:INDEX('자료_거시'!$D$3:$D$4002,$K$6),1)),""),"")</f>
        <v/>
      </c>
      <c r="U322">
        <f>IF(ISNUMBER(T322),'자료_거시'!$D304,"")</f>
        <v/>
      </c>
      <c r="V322">
        <f>IF(ISNUMBER(U322),IF(U322&gt;$L$6,T322,""),"")</f>
        <v/>
      </c>
      <c r="W322">
        <f>IF(AND(ISNUMBER('자료_거시'!$G304),ISNUMBER('자료_거시'!$H304)),'자료_거시'!$H304,"")</f>
        <v/>
      </c>
      <c r="X322">
        <f>IF(ISNUMBER(W322),'자료_거시'!$G304,"")</f>
        <v/>
      </c>
      <c r="Y322">
        <f>IF(ISNUMBER(X322),IF(X322&gt;$L$7,W322,""),"")</f>
        <v/>
      </c>
      <c r="Z322">
        <f>IF(ISNUMBER('자료_거시'!$K304),'자료_거시'!$K304,Z321)</f>
        <v/>
      </c>
      <c r="AA322">
        <f>IF(AND(ISNUMBER('자료_거시'!$J304),ISNUMBER('자료_거시'!$K304)),IFERROR('자료_거시'!$K304/INDEX($Z$21:$Z$4020,MATCH(EDATE('자료_거시'!$J304,-'설정'!$B$17),'자료_거시'!$J$3:INDEX('자료_거시'!$J$3:$J$4002,$K$8),1))-1,""),"")</f>
        <v/>
      </c>
      <c r="AB322">
        <f>IF(ISNUMBER(AA322),'자료_거시'!$J304,"")</f>
        <v/>
      </c>
      <c r="AC322">
        <f>IF(ISNUMBER(AB322),IF(AB322&gt;$L$8,AA322,""),"")</f>
        <v/>
      </c>
      <c r="AD322">
        <f>IF(AND(ISNUMBER('자료_거시'!$M304),ISNUMBER('자료_거시'!$N304)),1,0)</f>
        <v/>
      </c>
      <c r="AE322">
        <f>IF(AND(ISNUMBER('자료_거시'!$M304),ISNUMBER('자료_거시'!$N304)),IF(AND(SUMIFS($AD$21:$AD$620,'자료_거시'!$M$3:$M$602,"&gt;"&amp;EDATE('자료_거시'!$M304,-'설정'!$B$17),'자료_거시'!$M$3:$M$602,"&lt;="&amp;'자료_거시'!$M304)=3,SUMIFS($AD$21:$AD$620,'자료_거시'!$M$3:$M$602,"&gt;"&amp;EDATE('자료_거시'!$M304,-12-'설정'!$B$17),'자료_거시'!$M$3:$M$602,"&lt;="&amp;EDATE('자료_거시'!$M304,-12))=3),IFERROR(SUMIFS('자료_거시'!$N$3:$N$602,'자료_거시'!$M$3:$M$602,"&gt;"&amp;EDATE('자료_거시'!$M304,-'설정'!$B$17),'자료_거시'!$M$3:$M$602,"&lt;="&amp;'자료_거시'!$M304)/SUMIFS('자료_거시'!$N$3:$N$602,'자료_거시'!$M$3:$M$602,"&gt;"&amp;EDATE('자료_거시'!$M304,-12-'설정'!$B$17),'자료_거시'!$M$3:$M$602,"&lt;="&amp;EDATE('자료_거시'!$M304,-12))-1,""),""),"")</f>
        <v/>
      </c>
      <c r="AF322">
        <f>IF(ISNUMBER(AE322),'자료_거시'!$M304,"")</f>
        <v/>
      </c>
      <c r="AG322">
        <f>IF(ISNUMBER(AF322),IF(AF322&gt;$L$9,AE322,""),"")</f>
        <v/>
      </c>
    </row>
    <row r="323">
      <c r="P323">
        <f>IF(AND(ISNUMBER('자료_거시'!$A305),ISNUMBER('자료_거시'!$B305)),'자료_거시'!$B305,"")</f>
        <v/>
      </c>
      <c r="Q323">
        <f>IF(ISNUMBER(P323),'자료_거시'!$A305,"")</f>
        <v/>
      </c>
      <c r="R323">
        <f>IF(ISNUMBER(Q323),IF(Q323&gt;$L$5,P323,""),"")</f>
        <v/>
      </c>
      <c r="S323">
        <f>IF(ISNUMBER('자료_거시'!$E305),'자료_거시'!$E305,S322)</f>
        <v/>
      </c>
      <c r="T323">
        <f>IF(AND(ISNUMBER('자료_거시'!$D305),ISNUMBER('자료_거시'!$E305)),IFERROR('자료_거시'!$E305-INDEX($S$21:$S$4020,MATCH(EDATE('자료_거시'!$D305,-'설정'!$B$17),'자료_거시'!$D$3:INDEX('자료_거시'!$D$3:$D$4002,$K$6),1)),""),"")</f>
        <v/>
      </c>
      <c r="U323">
        <f>IF(ISNUMBER(T323),'자료_거시'!$D305,"")</f>
        <v/>
      </c>
      <c r="V323">
        <f>IF(ISNUMBER(U323),IF(U323&gt;$L$6,T323,""),"")</f>
        <v/>
      </c>
      <c r="W323">
        <f>IF(AND(ISNUMBER('자료_거시'!$G305),ISNUMBER('자료_거시'!$H305)),'자료_거시'!$H305,"")</f>
        <v/>
      </c>
      <c r="X323">
        <f>IF(ISNUMBER(W323),'자료_거시'!$G305,"")</f>
        <v/>
      </c>
      <c r="Y323">
        <f>IF(ISNUMBER(X323),IF(X323&gt;$L$7,W323,""),"")</f>
        <v/>
      </c>
      <c r="Z323">
        <f>IF(ISNUMBER('자료_거시'!$K305),'자료_거시'!$K305,Z322)</f>
        <v/>
      </c>
      <c r="AA323">
        <f>IF(AND(ISNUMBER('자료_거시'!$J305),ISNUMBER('자료_거시'!$K305)),IFERROR('자료_거시'!$K305/INDEX($Z$21:$Z$4020,MATCH(EDATE('자료_거시'!$J305,-'설정'!$B$17),'자료_거시'!$J$3:INDEX('자료_거시'!$J$3:$J$4002,$K$8),1))-1,""),"")</f>
        <v/>
      </c>
      <c r="AB323">
        <f>IF(ISNUMBER(AA323),'자료_거시'!$J305,"")</f>
        <v/>
      </c>
      <c r="AC323">
        <f>IF(ISNUMBER(AB323),IF(AB323&gt;$L$8,AA323,""),"")</f>
        <v/>
      </c>
      <c r="AD323">
        <f>IF(AND(ISNUMBER('자료_거시'!$M305),ISNUMBER('자료_거시'!$N305)),1,0)</f>
        <v/>
      </c>
      <c r="AE323">
        <f>IF(AND(ISNUMBER('자료_거시'!$M305),ISNUMBER('자료_거시'!$N305)),IF(AND(SUMIFS($AD$21:$AD$620,'자료_거시'!$M$3:$M$602,"&gt;"&amp;EDATE('자료_거시'!$M305,-'설정'!$B$17),'자료_거시'!$M$3:$M$602,"&lt;="&amp;'자료_거시'!$M305)=3,SUMIFS($AD$21:$AD$620,'자료_거시'!$M$3:$M$602,"&gt;"&amp;EDATE('자료_거시'!$M305,-12-'설정'!$B$17),'자료_거시'!$M$3:$M$602,"&lt;="&amp;EDATE('자료_거시'!$M305,-12))=3),IFERROR(SUMIFS('자료_거시'!$N$3:$N$602,'자료_거시'!$M$3:$M$602,"&gt;"&amp;EDATE('자료_거시'!$M305,-'설정'!$B$17),'자료_거시'!$M$3:$M$602,"&lt;="&amp;'자료_거시'!$M305)/SUMIFS('자료_거시'!$N$3:$N$602,'자료_거시'!$M$3:$M$602,"&gt;"&amp;EDATE('자료_거시'!$M305,-12-'설정'!$B$17),'자료_거시'!$M$3:$M$602,"&lt;="&amp;EDATE('자료_거시'!$M305,-12))-1,""),""),"")</f>
        <v/>
      </c>
      <c r="AF323">
        <f>IF(ISNUMBER(AE323),'자료_거시'!$M305,"")</f>
        <v/>
      </c>
      <c r="AG323">
        <f>IF(ISNUMBER(AF323),IF(AF323&gt;$L$9,AE323,""),"")</f>
        <v/>
      </c>
    </row>
    <row r="324">
      <c r="P324">
        <f>IF(AND(ISNUMBER('자료_거시'!$A306),ISNUMBER('자료_거시'!$B306)),'자료_거시'!$B306,"")</f>
        <v/>
      </c>
      <c r="Q324">
        <f>IF(ISNUMBER(P324),'자료_거시'!$A306,"")</f>
        <v/>
      </c>
      <c r="R324">
        <f>IF(ISNUMBER(Q324),IF(Q324&gt;$L$5,P324,""),"")</f>
        <v/>
      </c>
      <c r="S324">
        <f>IF(ISNUMBER('자료_거시'!$E306),'자료_거시'!$E306,S323)</f>
        <v/>
      </c>
      <c r="T324">
        <f>IF(AND(ISNUMBER('자료_거시'!$D306),ISNUMBER('자료_거시'!$E306)),IFERROR('자료_거시'!$E306-INDEX($S$21:$S$4020,MATCH(EDATE('자료_거시'!$D306,-'설정'!$B$17),'자료_거시'!$D$3:INDEX('자료_거시'!$D$3:$D$4002,$K$6),1)),""),"")</f>
        <v/>
      </c>
      <c r="U324">
        <f>IF(ISNUMBER(T324),'자료_거시'!$D306,"")</f>
        <v/>
      </c>
      <c r="V324">
        <f>IF(ISNUMBER(U324),IF(U324&gt;$L$6,T324,""),"")</f>
        <v/>
      </c>
      <c r="W324">
        <f>IF(AND(ISNUMBER('자료_거시'!$G306),ISNUMBER('자료_거시'!$H306)),'자료_거시'!$H306,"")</f>
        <v/>
      </c>
      <c r="X324">
        <f>IF(ISNUMBER(W324),'자료_거시'!$G306,"")</f>
        <v/>
      </c>
      <c r="Y324">
        <f>IF(ISNUMBER(X324),IF(X324&gt;$L$7,W324,""),"")</f>
        <v/>
      </c>
      <c r="Z324">
        <f>IF(ISNUMBER('자료_거시'!$K306),'자료_거시'!$K306,Z323)</f>
        <v/>
      </c>
      <c r="AA324">
        <f>IF(AND(ISNUMBER('자료_거시'!$J306),ISNUMBER('자료_거시'!$K306)),IFERROR('자료_거시'!$K306/INDEX($Z$21:$Z$4020,MATCH(EDATE('자료_거시'!$J306,-'설정'!$B$17),'자료_거시'!$J$3:INDEX('자료_거시'!$J$3:$J$4002,$K$8),1))-1,""),"")</f>
        <v/>
      </c>
      <c r="AB324">
        <f>IF(ISNUMBER(AA324),'자료_거시'!$J306,"")</f>
        <v/>
      </c>
      <c r="AC324">
        <f>IF(ISNUMBER(AB324),IF(AB324&gt;$L$8,AA324,""),"")</f>
        <v/>
      </c>
      <c r="AD324">
        <f>IF(AND(ISNUMBER('자료_거시'!$M306),ISNUMBER('자료_거시'!$N306)),1,0)</f>
        <v/>
      </c>
      <c r="AE324">
        <f>IF(AND(ISNUMBER('자료_거시'!$M306),ISNUMBER('자료_거시'!$N306)),IF(AND(SUMIFS($AD$21:$AD$620,'자료_거시'!$M$3:$M$602,"&gt;"&amp;EDATE('자료_거시'!$M306,-'설정'!$B$17),'자료_거시'!$M$3:$M$602,"&lt;="&amp;'자료_거시'!$M306)=3,SUMIFS($AD$21:$AD$620,'자료_거시'!$M$3:$M$602,"&gt;"&amp;EDATE('자료_거시'!$M306,-12-'설정'!$B$17),'자료_거시'!$M$3:$M$602,"&lt;="&amp;EDATE('자료_거시'!$M306,-12))=3),IFERROR(SUMIFS('자료_거시'!$N$3:$N$602,'자료_거시'!$M$3:$M$602,"&gt;"&amp;EDATE('자료_거시'!$M306,-'설정'!$B$17),'자료_거시'!$M$3:$M$602,"&lt;="&amp;'자료_거시'!$M306)/SUMIFS('자료_거시'!$N$3:$N$602,'자료_거시'!$M$3:$M$602,"&gt;"&amp;EDATE('자료_거시'!$M306,-12-'설정'!$B$17),'자료_거시'!$M$3:$M$602,"&lt;="&amp;EDATE('자료_거시'!$M306,-12))-1,""),""),"")</f>
        <v/>
      </c>
      <c r="AF324">
        <f>IF(ISNUMBER(AE324),'자료_거시'!$M306,"")</f>
        <v/>
      </c>
      <c r="AG324">
        <f>IF(ISNUMBER(AF324),IF(AF324&gt;$L$9,AE324,""),"")</f>
        <v/>
      </c>
    </row>
    <row r="325">
      <c r="P325">
        <f>IF(AND(ISNUMBER('자료_거시'!$A307),ISNUMBER('자료_거시'!$B307)),'자료_거시'!$B307,"")</f>
        <v/>
      </c>
      <c r="Q325">
        <f>IF(ISNUMBER(P325),'자료_거시'!$A307,"")</f>
        <v/>
      </c>
      <c r="R325">
        <f>IF(ISNUMBER(Q325),IF(Q325&gt;$L$5,P325,""),"")</f>
        <v/>
      </c>
      <c r="S325">
        <f>IF(ISNUMBER('자료_거시'!$E307),'자료_거시'!$E307,S324)</f>
        <v/>
      </c>
      <c r="T325">
        <f>IF(AND(ISNUMBER('자료_거시'!$D307),ISNUMBER('자료_거시'!$E307)),IFERROR('자료_거시'!$E307-INDEX($S$21:$S$4020,MATCH(EDATE('자료_거시'!$D307,-'설정'!$B$17),'자료_거시'!$D$3:INDEX('자료_거시'!$D$3:$D$4002,$K$6),1)),""),"")</f>
        <v/>
      </c>
      <c r="U325">
        <f>IF(ISNUMBER(T325),'자료_거시'!$D307,"")</f>
        <v/>
      </c>
      <c r="V325">
        <f>IF(ISNUMBER(U325),IF(U325&gt;$L$6,T325,""),"")</f>
        <v/>
      </c>
      <c r="W325">
        <f>IF(AND(ISNUMBER('자료_거시'!$G307),ISNUMBER('자료_거시'!$H307)),'자료_거시'!$H307,"")</f>
        <v/>
      </c>
      <c r="X325">
        <f>IF(ISNUMBER(W325),'자료_거시'!$G307,"")</f>
        <v/>
      </c>
      <c r="Y325">
        <f>IF(ISNUMBER(X325),IF(X325&gt;$L$7,W325,""),"")</f>
        <v/>
      </c>
      <c r="Z325">
        <f>IF(ISNUMBER('자료_거시'!$K307),'자료_거시'!$K307,Z324)</f>
        <v/>
      </c>
      <c r="AA325">
        <f>IF(AND(ISNUMBER('자료_거시'!$J307),ISNUMBER('자료_거시'!$K307)),IFERROR('자료_거시'!$K307/INDEX($Z$21:$Z$4020,MATCH(EDATE('자료_거시'!$J307,-'설정'!$B$17),'자료_거시'!$J$3:INDEX('자료_거시'!$J$3:$J$4002,$K$8),1))-1,""),"")</f>
        <v/>
      </c>
      <c r="AB325">
        <f>IF(ISNUMBER(AA325),'자료_거시'!$J307,"")</f>
        <v/>
      </c>
      <c r="AC325">
        <f>IF(ISNUMBER(AB325),IF(AB325&gt;$L$8,AA325,""),"")</f>
        <v/>
      </c>
      <c r="AD325">
        <f>IF(AND(ISNUMBER('자료_거시'!$M307),ISNUMBER('자료_거시'!$N307)),1,0)</f>
        <v/>
      </c>
      <c r="AE325">
        <f>IF(AND(ISNUMBER('자료_거시'!$M307),ISNUMBER('자료_거시'!$N307)),IF(AND(SUMIFS($AD$21:$AD$620,'자료_거시'!$M$3:$M$602,"&gt;"&amp;EDATE('자료_거시'!$M307,-'설정'!$B$17),'자료_거시'!$M$3:$M$602,"&lt;="&amp;'자료_거시'!$M307)=3,SUMIFS($AD$21:$AD$620,'자료_거시'!$M$3:$M$602,"&gt;"&amp;EDATE('자료_거시'!$M307,-12-'설정'!$B$17),'자료_거시'!$M$3:$M$602,"&lt;="&amp;EDATE('자료_거시'!$M307,-12))=3),IFERROR(SUMIFS('자료_거시'!$N$3:$N$602,'자료_거시'!$M$3:$M$602,"&gt;"&amp;EDATE('자료_거시'!$M307,-'설정'!$B$17),'자료_거시'!$M$3:$M$602,"&lt;="&amp;'자료_거시'!$M307)/SUMIFS('자료_거시'!$N$3:$N$602,'자료_거시'!$M$3:$M$602,"&gt;"&amp;EDATE('자료_거시'!$M307,-12-'설정'!$B$17),'자료_거시'!$M$3:$M$602,"&lt;="&amp;EDATE('자료_거시'!$M307,-12))-1,""),""),"")</f>
        <v/>
      </c>
      <c r="AF325">
        <f>IF(ISNUMBER(AE325),'자료_거시'!$M307,"")</f>
        <v/>
      </c>
      <c r="AG325">
        <f>IF(ISNUMBER(AF325),IF(AF325&gt;$L$9,AE325,""),"")</f>
        <v/>
      </c>
    </row>
    <row r="326">
      <c r="P326">
        <f>IF(AND(ISNUMBER('자료_거시'!$A308),ISNUMBER('자료_거시'!$B308)),'자료_거시'!$B308,"")</f>
        <v/>
      </c>
      <c r="Q326">
        <f>IF(ISNUMBER(P326),'자료_거시'!$A308,"")</f>
        <v/>
      </c>
      <c r="R326">
        <f>IF(ISNUMBER(Q326),IF(Q326&gt;$L$5,P326,""),"")</f>
        <v/>
      </c>
      <c r="S326">
        <f>IF(ISNUMBER('자료_거시'!$E308),'자료_거시'!$E308,S325)</f>
        <v/>
      </c>
      <c r="T326">
        <f>IF(AND(ISNUMBER('자료_거시'!$D308),ISNUMBER('자료_거시'!$E308)),IFERROR('자료_거시'!$E308-INDEX($S$21:$S$4020,MATCH(EDATE('자료_거시'!$D308,-'설정'!$B$17),'자료_거시'!$D$3:INDEX('자료_거시'!$D$3:$D$4002,$K$6),1)),""),"")</f>
        <v/>
      </c>
      <c r="U326">
        <f>IF(ISNUMBER(T326),'자료_거시'!$D308,"")</f>
        <v/>
      </c>
      <c r="V326">
        <f>IF(ISNUMBER(U326),IF(U326&gt;$L$6,T326,""),"")</f>
        <v/>
      </c>
      <c r="W326">
        <f>IF(AND(ISNUMBER('자료_거시'!$G308),ISNUMBER('자료_거시'!$H308)),'자료_거시'!$H308,"")</f>
        <v/>
      </c>
      <c r="X326">
        <f>IF(ISNUMBER(W326),'자료_거시'!$G308,"")</f>
        <v/>
      </c>
      <c r="Y326">
        <f>IF(ISNUMBER(X326),IF(X326&gt;$L$7,W326,""),"")</f>
        <v/>
      </c>
      <c r="Z326">
        <f>IF(ISNUMBER('자료_거시'!$K308),'자료_거시'!$K308,Z325)</f>
        <v/>
      </c>
      <c r="AA326">
        <f>IF(AND(ISNUMBER('자료_거시'!$J308),ISNUMBER('자료_거시'!$K308)),IFERROR('자료_거시'!$K308/INDEX($Z$21:$Z$4020,MATCH(EDATE('자료_거시'!$J308,-'설정'!$B$17),'자료_거시'!$J$3:INDEX('자료_거시'!$J$3:$J$4002,$K$8),1))-1,""),"")</f>
        <v/>
      </c>
      <c r="AB326">
        <f>IF(ISNUMBER(AA326),'자료_거시'!$J308,"")</f>
        <v/>
      </c>
      <c r="AC326">
        <f>IF(ISNUMBER(AB326),IF(AB326&gt;$L$8,AA326,""),"")</f>
        <v/>
      </c>
      <c r="AD326">
        <f>IF(AND(ISNUMBER('자료_거시'!$M308),ISNUMBER('자료_거시'!$N308)),1,0)</f>
        <v/>
      </c>
      <c r="AE326">
        <f>IF(AND(ISNUMBER('자료_거시'!$M308),ISNUMBER('자료_거시'!$N308)),IF(AND(SUMIFS($AD$21:$AD$620,'자료_거시'!$M$3:$M$602,"&gt;"&amp;EDATE('자료_거시'!$M308,-'설정'!$B$17),'자료_거시'!$M$3:$M$602,"&lt;="&amp;'자료_거시'!$M308)=3,SUMIFS($AD$21:$AD$620,'자료_거시'!$M$3:$M$602,"&gt;"&amp;EDATE('자료_거시'!$M308,-12-'설정'!$B$17),'자료_거시'!$M$3:$M$602,"&lt;="&amp;EDATE('자료_거시'!$M308,-12))=3),IFERROR(SUMIFS('자료_거시'!$N$3:$N$602,'자료_거시'!$M$3:$M$602,"&gt;"&amp;EDATE('자료_거시'!$M308,-'설정'!$B$17),'자료_거시'!$M$3:$M$602,"&lt;="&amp;'자료_거시'!$M308)/SUMIFS('자료_거시'!$N$3:$N$602,'자료_거시'!$M$3:$M$602,"&gt;"&amp;EDATE('자료_거시'!$M308,-12-'설정'!$B$17),'자료_거시'!$M$3:$M$602,"&lt;="&amp;EDATE('자료_거시'!$M308,-12))-1,""),""),"")</f>
        <v/>
      </c>
      <c r="AF326">
        <f>IF(ISNUMBER(AE326),'자료_거시'!$M308,"")</f>
        <v/>
      </c>
      <c r="AG326">
        <f>IF(ISNUMBER(AF326),IF(AF326&gt;$L$9,AE326,""),"")</f>
        <v/>
      </c>
    </row>
    <row r="327">
      <c r="P327">
        <f>IF(AND(ISNUMBER('자료_거시'!$A309),ISNUMBER('자료_거시'!$B309)),'자료_거시'!$B309,"")</f>
        <v/>
      </c>
      <c r="Q327">
        <f>IF(ISNUMBER(P327),'자료_거시'!$A309,"")</f>
        <v/>
      </c>
      <c r="R327">
        <f>IF(ISNUMBER(Q327),IF(Q327&gt;$L$5,P327,""),"")</f>
        <v/>
      </c>
      <c r="S327">
        <f>IF(ISNUMBER('자료_거시'!$E309),'자료_거시'!$E309,S326)</f>
        <v/>
      </c>
      <c r="T327">
        <f>IF(AND(ISNUMBER('자료_거시'!$D309),ISNUMBER('자료_거시'!$E309)),IFERROR('자료_거시'!$E309-INDEX($S$21:$S$4020,MATCH(EDATE('자료_거시'!$D309,-'설정'!$B$17),'자료_거시'!$D$3:INDEX('자료_거시'!$D$3:$D$4002,$K$6),1)),""),"")</f>
        <v/>
      </c>
      <c r="U327">
        <f>IF(ISNUMBER(T327),'자료_거시'!$D309,"")</f>
        <v/>
      </c>
      <c r="V327">
        <f>IF(ISNUMBER(U327),IF(U327&gt;$L$6,T327,""),"")</f>
        <v/>
      </c>
      <c r="W327">
        <f>IF(AND(ISNUMBER('자료_거시'!$G309),ISNUMBER('자료_거시'!$H309)),'자료_거시'!$H309,"")</f>
        <v/>
      </c>
      <c r="X327">
        <f>IF(ISNUMBER(W327),'자료_거시'!$G309,"")</f>
        <v/>
      </c>
      <c r="Y327">
        <f>IF(ISNUMBER(X327),IF(X327&gt;$L$7,W327,""),"")</f>
        <v/>
      </c>
      <c r="Z327">
        <f>IF(ISNUMBER('자료_거시'!$K309),'자료_거시'!$K309,Z326)</f>
        <v/>
      </c>
      <c r="AA327">
        <f>IF(AND(ISNUMBER('자료_거시'!$J309),ISNUMBER('자료_거시'!$K309)),IFERROR('자료_거시'!$K309/INDEX($Z$21:$Z$4020,MATCH(EDATE('자료_거시'!$J309,-'설정'!$B$17),'자료_거시'!$J$3:INDEX('자료_거시'!$J$3:$J$4002,$K$8),1))-1,""),"")</f>
        <v/>
      </c>
      <c r="AB327">
        <f>IF(ISNUMBER(AA327),'자료_거시'!$J309,"")</f>
        <v/>
      </c>
      <c r="AC327">
        <f>IF(ISNUMBER(AB327),IF(AB327&gt;$L$8,AA327,""),"")</f>
        <v/>
      </c>
      <c r="AD327">
        <f>IF(AND(ISNUMBER('자료_거시'!$M309),ISNUMBER('자료_거시'!$N309)),1,0)</f>
        <v/>
      </c>
      <c r="AE327">
        <f>IF(AND(ISNUMBER('자료_거시'!$M309),ISNUMBER('자료_거시'!$N309)),IF(AND(SUMIFS($AD$21:$AD$620,'자료_거시'!$M$3:$M$602,"&gt;"&amp;EDATE('자료_거시'!$M309,-'설정'!$B$17),'자료_거시'!$M$3:$M$602,"&lt;="&amp;'자료_거시'!$M309)=3,SUMIFS($AD$21:$AD$620,'자료_거시'!$M$3:$M$602,"&gt;"&amp;EDATE('자료_거시'!$M309,-12-'설정'!$B$17),'자료_거시'!$M$3:$M$602,"&lt;="&amp;EDATE('자료_거시'!$M309,-12))=3),IFERROR(SUMIFS('자료_거시'!$N$3:$N$602,'자료_거시'!$M$3:$M$602,"&gt;"&amp;EDATE('자료_거시'!$M309,-'설정'!$B$17),'자료_거시'!$M$3:$M$602,"&lt;="&amp;'자료_거시'!$M309)/SUMIFS('자료_거시'!$N$3:$N$602,'자료_거시'!$M$3:$M$602,"&gt;"&amp;EDATE('자료_거시'!$M309,-12-'설정'!$B$17),'자료_거시'!$M$3:$M$602,"&lt;="&amp;EDATE('자료_거시'!$M309,-12))-1,""),""),"")</f>
        <v/>
      </c>
      <c r="AF327">
        <f>IF(ISNUMBER(AE327),'자료_거시'!$M309,"")</f>
        <v/>
      </c>
      <c r="AG327">
        <f>IF(ISNUMBER(AF327),IF(AF327&gt;$L$9,AE327,""),"")</f>
        <v/>
      </c>
    </row>
    <row r="328">
      <c r="P328">
        <f>IF(AND(ISNUMBER('자료_거시'!$A310),ISNUMBER('자료_거시'!$B310)),'자료_거시'!$B310,"")</f>
        <v/>
      </c>
      <c r="Q328">
        <f>IF(ISNUMBER(P328),'자료_거시'!$A310,"")</f>
        <v/>
      </c>
      <c r="R328">
        <f>IF(ISNUMBER(Q328),IF(Q328&gt;$L$5,P328,""),"")</f>
        <v/>
      </c>
      <c r="S328">
        <f>IF(ISNUMBER('자료_거시'!$E310),'자료_거시'!$E310,S327)</f>
        <v/>
      </c>
      <c r="T328">
        <f>IF(AND(ISNUMBER('자료_거시'!$D310),ISNUMBER('자료_거시'!$E310)),IFERROR('자료_거시'!$E310-INDEX($S$21:$S$4020,MATCH(EDATE('자료_거시'!$D310,-'설정'!$B$17),'자료_거시'!$D$3:INDEX('자료_거시'!$D$3:$D$4002,$K$6),1)),""),"")</f>
        <v/>
      </c>
      <c r="U328">
        <f>IF(ISNUMBER(T328),'자료_거시'!$D310,"")</f>
        <v/>
      </c>
      <c r="V328">
        <f>IF(ISNUMBER(U328),IF(U328&gt;$L$6,T328,""),"")</f>
        <v/>
      </c>
      <c r="W328">
        <f>IF(AND(ISNUMBER('자료_거시'!$G310),ISNUMBER('자료_거시'!$H310)),'자료_거시'!$H310,"")</f>
        <v/>
      </c>
      <c r="X328">
        <f>IF(ISNUMBER(W328),'자료_거시'!$G310,"")</f>
        <v/>
      </c>
      <c r="Y328">
        <f>IF(ISNUMBER(X328),IF(X328&gt;$L$7,W328,""),"")</f>
        <v/>
      </c>
      <c r="Z328">
        <f>IF(ISNUMBER('자료_거시'!$K310),'자료_거시'!$K310,Z327)</f>
        <v/>
      </c>
      <c r="AA328">
        <f>IF(AND(ISNUMBER('자료_거시'!$J310),ISNUMBER('자료_거시'!$K310)),IFERROR('자료_거시'!$K310/INDEX($Z$21:$Z$4020,MATCH(EDATE('자료_거시'!$J310,-'설정'!$B$17),'자료_거시'!$J$3:INDEX('자료_거시'!$J$3:$J$4002,$K$8),1))-1,""),"")</f>
        <v/>
      </c>
      <c r="AB328">
        <f>IF(ISNUMBER(AA328),'자료_거시'!$J310,"")</f>
        <v/>
      </c>
      <c r="AC328">
        <f>IF(ISNUMBER(AB328),IF(AB328&gt;$L$8,AA328,""),"")</f>
        <v/>
      </c>
      <c r="AD328">
        <f>IF(AND(ISNUMBER('자료_거시'!$M310),ISNUMBER('자료_거시'!$N310)),1,0)</f>
        <v/>
      </c>
      <c r="AE328">
        <f>IF(AND(ISNUMBER('자료_거시'!$M310),ISNUMBER('자료_거시'!$N310)),IF(AND(SUMIFS($AD$21:$AD$620,'자료_거시'!$M$3:$M$602,"&gt;"&amp;EDATE('자료_거시'!$M310,-'설정'!$B$17),'자료_거시'!$M$3:$M$602,"&lt;="&amp;'자료_거시'!$M310)=3,SUMIFS($AD$21:$AD$620,'자료_거시'!$M$3:$M$602,"&gt;"&amp;EDATE('자료_거시'!$M310,-12-'설정'!$B$17),'자료_거시'!$M$3:$M$602,"&lt;="&amp;EDATE('자료_거시'!$M310,-12))=3),IFERROR(SUMIFS('자료_거시'!$N$3:$N$602,'자료_거시'!$M$3:$M$602,"&gt;"&amp;EDATE('자료_거시'!$M310,-'설정'!$B$17),'자료_거시'!$M$3:$M$602,"&lt;="&amp;'자료_거시'!$M310)/SUMIFS('자료_거시'!$N$3:$N$602,'자료_거시'!$M$3:$M$602,"&gt;"&amp;EDATE('자료_거시'!$M310,-12-'설정'!$B$17),'자료_거시'!$M$3:$M$602,"&lt;="&amp;EDATE('자료_거시'!$M310,-12))-1,""),""),"")</f>
        <v/>
      </c>
      <c r="AF328">
        <f>IF(ISNUMBER(AE328),'자료_거시'!$M310,"")</f>
        <v/>
      </c>
      <c r="AG328">
        <f>IF(ISNUMBER(AF328),IF(AF328&gt;$L$9,AE328,""),"")</f>
        <v/>
      </c>
    </row>
    <row r="329">
      <c r="P329">
        <f>IF(AND(ISNUMBER('자료_거시'!$A311),ISNUMBER('자료_거시'!$B311)),'자료_거시'!$B311,"")</f>
        <v/>
      </c>
      <c r="Q329">
        <f>IF(ISNUMBER(P329),'자료_거시'!$A311,"")</f>
        <v/>
      </c>
      <c r="R329">
        <f>IF(ISNUMBER(Q329),IF(Q329&gt;$L$5,P329,""),"")</f>
        <v/>
      </c>
      <c r="S329">
        <f>IF(ISNUMBER('자료_거시'!$E311),'자료_거시'!$E311,S328)</f>
        <v/>
      </c>
      <c r="T329">
        <f>IF(AND(ISNUMBER('자료_거시'!$D311),ISNUMBER('자료_거시'!$E311)),IFERROR('자료_거시'!$E311-INDEX($S$21:$S$4020,MATCH(EDATE('자료_거시'!$D311,-'설정'!$B$17),'자료_거시'!$D$3:INDEX('자료_거시'!$D$3:$D$4002,$K$6),1)),""),"")</f>
        <v/>
      </c>
      <c r="U329">
        <f>IF(ISNUMBER(T329),'자료_거시'!$D311,"")</f>
        <v/>
      </c>
      <c r="V329">
        <f>IF(ISNUMBER(U329),IF(U329&gt;$L$6,T329,""),"")</f>
        <v/>
      </c>
      <c r="W329">
        <f>IF(AND(ISNUMBER('자료_거시'!$G311),ISNUMBER('자료_거시'!$H311)),'자료_거시'!$H311,"")</f>
        <v/>
      </c>
      <c r="X329">
        <f>IF(ISNUMBER(W329),'자료_거시'!$G311,"")</f>
        <v/>
      </c>
      <c r="Y329">
        <f>IF(ISNUMBER(X329),IF(X329&gt;$L$7,W329,""),"")</f>
        <v/>
      </c>
      <c r="Z329">
        <f>IF(ISNUMBER('자료_거시'!$K311),'자료_거시'!$K311,Z328)</f>
        <v/>
      </c>
      <c r="AA329">
        <f>IF(AND(ISNUMBER('자료_거시'!$J311),ISNUMBER('자료_거시'!$K311)),IFERROR('자료_거시'!$K311/INDEX($Z$21:$Z$4020,MATCH(EDATE('자료_거시'!$J311,-'설정'!$B$17),'자료_거시'!$J$3:INDEX('자료_거시'!$J$3:$J$4002,$K$8),1))-1,""),"")</f>
        <v/>
      </c>
      <c r="AB329">
        <f>IF(ISNUMBER(AA329),'자료_거시'!$J311,"")</f>
        <v/>
      </c>
      <c r="AC329">
        <f>IF(ISNUMBER(AB329),IF(AB329&gt;$L$8,AA329,""),"")</f>
        <v/>
      </c>
      <c r="AD329">
        <f>IF(AND(ISNUMBER('자료_거시'!$M311),ISNUMBER('자료_거시'!$N311)),1,0)</f>
        <v/>
      </c>
      <c r="AE329">
        <f>IF(AND(ISNUMBER('자료_거시'!$M311),ISNUMBER('자료_거시'!$N311)),IF(AND(SUMIFS($AD$21:$AD$620,'자료_거시'!$M$3:$M$602,"&gt;"&amp;EDATE('자료_거시'!$M311,-'설정'!$B$17),'자료_거시'!$M$3:$M$602,"&lt;="&amp;'자료_거시'!$M311)=3,SUMIFS($AD$21:$AD$620,'자료_거시'!$M$3:$M$602,"&gt;"&amp;EDATE('자료_거시'!$M311,-12-'설정'!$B$17),'자료_거시'!$M$3:$M$602,"&lt;="&amp;EDATE('자료_거시'!$M311,-12))=3),IFERROR(SUMIFS('자료_거시'!$N$3:$N$602,'자료_거시'!$M$3:$M$602,"&gt;"&amp;EDATE('자료_거시'!$M311,-'설정'!$B$17),'자료_거시'!$M$3:$M$602,"&lt;="&amp;'자료_거시'!$M311)/SUMIFS('자료_거시'!$N$3:$N$602,'자료_거시'!$M$3:$M$602,"&gt;"&amp;EDATE('자료_거시'!$M311,-12-'설정'!$B$17),'자료_거시'!$M$3:$M$602,"&lt;="&amp;EDATE('자료_거시'!$M311,-12))-1,""),""),"")</f>
        <v/>
      </c>
      <c r="AF329">
        <f>IF(ISNUMBER(AE329),'자료_거시'!$M311,"")</f>
        <v/>
      </c>
      <c r="AG329">
        <f>IF(ISNUMBER(AF329),IF(AF329&gt;$L$9,AE329,""),"")</f>
        <v/>
      </c>
    </row>
    <row r="330">
      <c r="P330">
        <f>IF(AND(ISNUMBER('자료_거시'!$A312),ISNUMBER('자료_거시'!$B312)),'자료_거시'!$B312,"")</f>
        <v/>
      </c>
      <c r="Q330">
        <f>IF(ISNUMBER(P330),'자료_거시'!$A312,"")</f>
        <v/>
      </c>
      <c r="R330">
        <f>IF(ISNUMBER(Q330),IF(Q330&gt;$L$5,P330,""),"")</f>
        <v/>
      </c>
      <c r="S330">
        <f>IF(ISNUMBER('자료_거시'!$E312),'자료_거시'!$E312,S329)</f>
        <v/>
      </c>
      <c r="T330">
        <f>IF(AND(ISNUMBER('자료_거시'!$D312),ISNUMBER('자료_거시'!$E312)),IFERROR('자료_거시'!$E312-INDEX($S$21:$S$4020,MATCH(EDATE('자료_거시'!$D312,-'설정'!$B$17),'자료_거시'!$D$3:INDEX('자료_거시'!$D$3:$D$4002,$K$6),1)),""),"")</f>
        <v/>
      </c>
      <c r="U330">
        <f>IF(ISNUMBER(T330),'자료_거시'!$D312,"")</f>
        <v/>
      </c>
      <c r="V330">
        <f>IF(ISNUMBER(U330),IF(U330&gt;$L$6,T330,""),"")</f>
        <v/>
      </c>
      <c r="W330">
        <f>IF(AND(ISNUMBER('자료_거시'!$G312),ISNUMBER('자료_거시'!$H312)),'자료_거시'!$H312,"")</f>
        <v/>
      </c>
      <c r="X330">
        <f>IF(ISNUMBER(W330),'자료_거시'!$G312,"")</f>
        <v/>
      </c>
      <c r="Y330">
        <f>IF(ISNUMBER(X330),IF(X330&gt;$L$7,W330,""),"")</f>
        <v/>
      </c>
      <c r="Z330">
        <f>IF(ISNUMBER('자료_거시'!$K312),'자료_거시'!$K312,Z329)</f>
        <v/>
      </c>
      <c r="AA330">
        <f>IF(AND(ISNUMBER('자료_거시'!$J312),ISNUMBER('자료_거시'!$K312)),IFERROR('자료_거시'!$K312/INDEX($Z$21:$Z$4020,MATCH(EDATE('자료_거시'!$J312,-'설정'!$B$17),'자료_거시'!$J$3:INDEX('자료_거시'!$J$3:$J$4002,$K$8),1))-1,""),"")</f>
        <v/>
      </c>
      <c r="AB330">
        <f>IF(ISNUMBER(AA330),'자료_거시'!$J312,"")</f>
        <v/>
      </c>
      <c r="AC330">
        <f>IF(ISNUMBER(AB330),IF(AB330&gt;$L$8,AA330,""),"")</f>
        <v/>
      </c>
      <c r="AD330">
        <f>IF(AND(ISNUMBER('자료_거시'!$M312),ISNUMBER('자료_거시'!$N312)),1,0)</f>
        <v/>
      </c>
      <c r="AE330">
        <f>IF(AND(ISNUMBER('자료_거시'!$M312),ISNUMBER('자료_거시'!$N312)),IF(AND(SUMIFS($AD$21:$AD$620,'자료_거시'!$M$3:$M$602,"&gt;"&amp;EDATE('자료_거시'!$M312,-'설정'!$B$17),'자료_거시'!$M$3:$M$602,"&lt;="&amp;'자료_거시'!$M312)=3,SUMIFS($AD$21:$AD$620,'자료_거시'!$M$3:$M$602,"&gt;"&amp;EDATE('자료_거시'!$M312,-12-'설정'!$B$17),'자료_거시'!$M$3:$M$602,"&lt;="&amp;EDATE('자료_거시'!$M312,-12))=3),IFERROR(SUMIFS('자료_거시'!$N$3:$N$602,'자료_거시'!$M$3:$M$602,"&gt;"&amp;EDATE('자료_거시'!$M312,-'설정'!$B$17),'자료_거시'!$M$3:$M$602,"&lt;="&amp;'자료_거시'!$M312)/SUMIFS('자료_거시'!$N$3:$N$602,'자료_거시'!$M$3:$M$602,"&gt;"&amp;EDATE('자료_거시'!$M312,-12-'설정'!$B$17),'자료_거시'!$M$3:$M$602,"&lt;="&amp;EDATE('자료_거시'!$M312,-12))-1,""),""),"")</f>
        <v/>
      </c>
      <c r="AF330">
        <f>IF(ISNUMBER(AE330),'자료_거시'!$M312,"")</f>
        <v/>
      </c>
      <c r="AG330">
        <f>IF(ISNUMBER(AF330),IF(AF330&gt;$L$9,AE330,""),"")</f>
        <v/>
      </c>
    </row>
    <row r="331">
      <c r="P331">
        <f>IF(AND(ISNUMBER('자료_거시'!$A313),ISNUMBER('자료_거시'!$B313)),'자료_거시'!$B313,"")</f>
        <v/>
      </c>
      <c r="Q331">
        <f>IF(ISNUMBER(P331),'자료_거시'!$A313,"")</f>
        <v/>
      </c>
      <c r="R331">
        <f>IF(ISNUMBER(Q331),IF(Q331&gt;$L$5,P331,""),"")</f>
        <v/>
      </c>
      <c r="S331">
        <f>IF(ISNUMBER('자료_거시'!$E313),'자료_거시'!$E313,S330)</f>
        <v/>
      </c>
      <c r="T331">
        <f>IF(AND(ISNUMBER('자료_거시'!$D313),ISNUMBER('자료_거시'!$E313)),IFERROR('자료_거시'!$E313-INDEX($S$21:$S$4020,MATCH(EDATE('자료_거시'!$D313,-'설정'!$B$17),'자료_거시'!$D$3:INDEX('자료_거시'!$D$3:$D$4002,$K$6),1)),""),"")</f>
        <v/>
      </c>
      <c r="U331">
        <f>IF(ISNUMBER(T331),'자료_거시'!$D313,"")</f>
        <v/>
      </c>
      <c r="V331">
        <f>IF(ISNUMBER(U331),IF(U331&gt;$L$6,T331,""),"")</f>
        <v/>
      </c>
      <c r="W331">
        <f>IF(AND(ISNUMBER('자료_거시'!$G313),ISNUMBER('자료_거시'!$H313)),'자료_거시'!$H313,"")</f>
        <v/>
      </c>
      <c r="X331">
        <f>IF(ISNUMBER(W331),'자료_거시'!$G313,"")</f>
        <v/>
      </c>
      <c r="Y331">
        <f>IF(ISNUMBER(X331),IF(X331&gt;$L$7,W331,""),"")</f>
        <v/>
      </c>
      <c r="Z331">
        <f>IF(ISNUMBER('자료_거시'!$K313),'자료_거시'!$K313,Z330)</f>
        <v/>
      </c>
      <c r="AA331">
        <f>IF(AND(ISNUMBER('자료_거시'!$J313),ISNUMBER('자료_거시'!$K313)),IFERROR('자료_거시'!$K313/INDEX($Z$21:$Z$4020,MATCH(EDATE('자료_거시'!$J313,-'설정'!$B$17),'자료_거시'!$J$3:INDEX('자료_거시'!$J$3:$J$4002,$K$8),1))-1,""),"")</f>
        <v/>
      </c>
      <c r="AB331">
        <f>IF(ISNUMBER(AA331),'자료_거시'!$J313,"")</f>
        <v/>
      </c>
      <c r="AC331">
        <f>IF(ISNUMBER(AB331),IF(AB331&gt;$L$8,AA331,""),"")</f>
        <v/>
      </c>
      <c r="AD331">
        <f>IF(AND(ISNUMBER('자료_거시'!$M313),ISNUMBER('자료_거시'!$N313)),1,0)</f>
        <v/>
      </c>
      <c r="AE331">
        <f>IF(AND(ISNUMBER('자료_거시'!$M313),ISNUMBER('자료_거시'!$N313)),IF(AND(SUMIFS($AD$21:$AD$620,'자료_거시'!$M$3:$M$602,"&gt;"&amp;EDATE('자료_거시'!$M313,-'설정'!$B$17),'자료_거시'!$M$3:$M$602,"&lt;="&amp;'자료_거시'!$M313)=3,SUMIFS($AD$21:$AD$620,'자료_거시'!$M$3:$M$602,"&gt;"&amp;EDATE('자료_거시'!$M313,-12-'설정'!$B$17),'자료_거시'!$M$3:$M$602,"&lt;="&amp;EDATE('자료_거시'!$M313,-12))=3),IFERROR(SUMIFS('자료_거시'!$N$3:$N$602,'자료_거시'!$M$3:$M$602,"&gt;"&amp;EDATE('자료_거시'!$M313,-'설정'!$B$17),'자료_거시'!$M$3:$M$602,"&lt;="&amp;'자료_거시'!$M313)/SUMIFS('자료_거시'!$N$3:$N$602,'자료_거시'!$M$3:$M$602,"&gt;"&amp;EDATE('자료_거시'!$M313,-12-'설정'!$B$17),'자료_거시'!$M$3:$M$602,"&lt;="&amp;EDATE('자료_거시'!$M313,-12))-1,""),""),"")</f>
        <v/>
      </c>
      <c r="AF331">
        <f>IF(ISNUMBER(AE331),'자료_거시'!$M313,"")</f>
        <v/>
      </c>
      <c r="AG331">
        <f>IF(ISNUMBER(AF331),IF(AF331&gt;$L$9,AE331,""),"")</f>
        <v/>
      </c>
    </row>
    <row r="332">
      <c r="P332">
        <f>IF(AND(ISNUMBER('자료_거시'!$A314),ISNUMBER('자료_거시'!$B314)),'자료_거시'!$B314,"")</f>
        <v/>
      </c>
      <c r="Q332">
        <f>IF(ISNUMBER(P332),'자료_거시'!$A314,"")</f>
        <v/>
      </c>
      <c r="R332">
        <f>IF(ISNUMBER(Q332),IF(Q332&gt;$L$5,P332,""),"")</f>
        <v/>
      </c>
      <c r="S332">
        <f>IF(ISNUMBER('자료_거시'!$E314),'자료_거시'!$E314,S331)</f>
        <v/>
      </c>
      <c r="T332">
        <f>IF(AND(ISNUMBER('자료_거시'!$D314),ISNUMBER('자료_거시'!$E314)),IFERROR('자료_거시'!$E314-INDEX($S$21:$S$4020,MATCH(EDATE('자료_거시'!$D314,-'설정'!$B$17),'자료_거시'!$D$3:INDEX('자료_거시'!$D$3:$D$4002,$K$6),1)),""),"")</f>
        <v/>
      </c>
      <c r="U332">
        <f>IF(ISNUMBER(T332),'자료_거시'!$D314,"")</f>
        <v/>
      </c>
      <c r="V332">
        <f>IF(ISNUMBER(U332),IF(U332&gt;$L$6,T332,""),"")</f>
        <v/>
      </c>
      <c r="W332">
        <f>IF(AND(ISNUMBER('자료_거시'!$G314),ISNUMBER('자료_거시'!$H314)),'자료_거시'!$H314,"")</f>
        <v/>
      </c>
      <c r="X332">
        <f>IF(ISNUMBER(W332),'자료_거시'!$G314,"")</f>
        <v/>
      </c>
      <c r="Y332">
        <f>IF(ISNUMBER(X332),IF(X332&gt;$L$7,W332,""),"")</f>
        <v/>
      </c>
      <c r="Z332">
        <f>IF(ISNUMBER('자료_거시'!$K314),'자료_거시'!$K314,Z331)</f>
        <v/>
      </c>
      <c r="AA332">
        <f>IF(AND(ISNUMBER('자료_거시'!$J314),ISNUMBER('자료_거시'!$K314)),IFERROR('자료_거시'!$K314/INDEX($Z$21:$Z$4020,MATCH(EDATE('자료_거시'!$J314,-'설정'!$B$17),'자료_거시'!$J$3:INDEX('자료_거시'!$J$3:$J$4002,$K$8),1))-1,""),"")</f>
        <v/>
      </c>
      <c r="AB332">
        <f>IF(ISNUMBER(AA332),'자료_거시'!$J314,"")</f>
        <v/>
      </c>
      <c r="AC332">
        <f>IF(ISNUMBER(AB332),IF(AB332&gt;$L$8,AA332,""),"")</f>
        <v/>
      </c>
      <c r="AD332">
        <f>IF(AND(ISNUMBER('자료_거시'!$M314),ISNUMBER('자료_거시'!$N314)),1,0)</f>
        <v/>
      </c>
      <c r="AE332">
        <f>IF(AND(ISNUMBER('자료_거시'!$M314),ISNUMBER('자료_거시'!$N314)),IF(AND(SUMIFS($AD$21:$AD$620,'자료_거시'!$M$3:$M$602,"&gt;"&amp;EDATE('자료_거시'!$M314,-'설정'!$B$17),'자료_거시'!$M$3:$M$602,"&lt;="&amp;'자료_거시'!$M314)=3,SUMIFS($AD$21:$AD$620,'자료_거시'!$M$3:$M$602,"&gt;"&amp;EDATE('자료_거시'!$M314,-12-'설정'!$B$17),'자료_거시'!$M$3:$M$602,"&lt;="&amp;EDATE('자료_거시'!$M314,-12))=3),IFERROR(SUMIFS('자료_거시'!$N$3:$N$602,'자료_거시'!$M$3:$M$602,"&gt;"&amp;EDATE('자료_거시'!$M314,-'설정'!$B$17),'자료_거시'!$M$3:$M$602,"&lt;="&amp;'자료_거시'!$M314)/SUMIFS('자료_거시'!$N$3:$N$602,'자료_거시'!$M$3:$M$602,"&gt;"&amp;EDATE('자료_거시'!$M314,-12-'설정'!$B$17),'자료_거시'!$M$3:$M$602,"&lt;="&amp;EDATE('자료_거시'!$M314,-12))-1,""),""),"")</f>
        <v/>
      </c>
      <c r="AF332">
        <f>IF(ISNUMBER(AE332),'자료_거시'!$M314,"")</f>
        <v/>
      </c>
      <c r="AG332">
        <f>IF(ISNUMBER(AF332),IF(AF332&gt;$L$9,AE332,""),"")</f>
        <v/>
      </c>
    </row>
    <row r="333">
      <c r="P333">
        <f>IF(AND(ISNUMBER('자료_거시'!$A315),ISNUMBER('자료_거시'!$B315)),'자료_거시'!$B315,"")</f>
        <v/>
      </c>
      <c r="Q333">
        <f>IF(ISNUMBER(P333),'자료_거시'!$A315,"")</f>
        <v/>
      </c>
      <c r="R333">
        <f>IF(ISNUMBER(Q333),IF(Q333&gt;$L$5,P333,""),"")</f>
        <v/>
      </c>
      <c r="S333">
        <f>IF(ISNUMBER('자료_거시'!$E315),'자료_거시'!$E315,S332)</f>
        <v/>
      </c>
      <c r="T333">
        <f>IF(AND(ISNUMBER('자료_거시'!$D315),ISNUMBER('자료_거시'!$E315)),IFERROR('자료_거시'!$E315-INDEX($S$21:$S$4020,MATCH(EDATE('자료_거시'!$D315,-'설정'!$B$17),'자료_거시'!$D$3:INDEX('자료_거시'!$D$3:$D$4002,$K$6),1)),""),"")</f>
        <v/>
      </c>
      <c r="U333">
        <f>IF(ISNUMBER(T333),'자료_거시'!$D315,"")</f>
        <v/>
      </c>
      <c r="V333">
        <f>IF(ISNUMBER(U333),IF(U333&gt;$L$6,T333,""),"")</f>
        <v/>
      </c>
      <c r="W333">
        <f>IF(AND(ISNUMBER('자료_거시'!$G315),ISNUMBER('자료_거시'!$H315)),'자료_거시'!$H315,"")</f>
        <v/>
      </c>
      <c r="X333">
        <f>IF(ISNUMBER(W333),'자료_거시'!$G315,"")</f>
        <v/>
      </c>
      <c r="Y333">
        <f>IF(ISNUMBER(X333),IF(X333&gt;$L$7,W333,""),"")</f>
        <v/>
      </c>
      <c r="Z333">
        <f>IF(ISNUMBER('자료_거시'!$K315),'자료_거시'!$K315,Z332)</f>
        <v/>
      </c>
      <c r="AA333">
        <f>IF(AND(ISNUMBER('자료_거시'!$J315),ISNUMBER('자료_거시'!$K315)),IFERROR('자료_거시'!$K315/INDEX($Z$21:$Z$4020,MATCH(EDATE('자료_거시'!$J315,-'설정'!$B$17),'자료_거시'!$J$3:INDEX('자료_거시'!$J$3:$J$4002,$K$8),1))-1,""),"")</f>
        <v/>
      </c>
      <c r="AB333">
        <f>IF(ISNUMBER(AA333),'자료_거시'!$J315,"")</f>
        <v/>
      </c>
      <c r="AC333">
        <f>IF(ISNUMBER(AB333),IF(AB333&gt;$L$8,AA333,""),"")</f>
        <v/>
      </c>
      <c r="AD333">
        <f>IF(AND(ISNUMBER('자료_거시'!$M315),ISNUMBER('자료_거시'!$N315)),1,0)</f>
        <v/>
      </c>
      <c r="AE333">
        <f>IF(AND(ISNUMBER('자료_거시'!$M315),ISNUMBER('자료_거시'!$N315)),IF(AND(SUMIFS($AD$21:$AD$620,'자료_거시'!$M$3:$M$602,"&gt;"&amp;EDATE('자료_거시'!$M315,-'설정'!$B$17),'자료_거시'!$M$3:$M$602,"&lt;="&amp;'자료_거시'!$M315)=3,SUMIFS($AD$21:$AD$620,'자료_거시'!$M$3:$M$602,"&gt;"&amp;EDATE('자료_거시'!$M315,-12-'설정'!$B$17),'자료_거시'!$M$3:$M$602,"&lt;="&amp;EDATE('자료_거시'!$M315,-12))=3),IFERROR(SUMIFS('자료_거시'!$N$3:$N$602,'자료_거시'!$M$3:$M$602,"&gt;"&amp;EDATE('자료_거시'!$M315,-'설정'!$B$17),'자료_거시'!$M$3:$M$602,"&lt;="&amp;'자료_거시'!$M315)/SUMIFS('자료_거시'!$N$3:$N$602,'자료_거시'!$M$3:$M$602,"&gt;"&amp;EDATE('자료_거시'!$M315,-12-'설정'!$B$17),'자료_거시'!$M$3:$M$602,"&lt;="&amp;EDATE('자료_거시'!$M315,-12))-1,""),""),"")</f>
        <v/>
      </c>
      <c r="AF333">
        <f>IF(ISNUMBER(AE333),'자료_거시'!$M315,"")</f>
        <v/>
      </c>
      <c r="AG333">
        <f>IF(ISNUMBER(AF333),IF(AF333&gt;$L$9,AE333,""),"")</f>
        <v/>
      </c>
    </row>
    <row r="334">
      <c r="P334">
        <f>IF(AND(ISNUMBER('자료_거시'!$A316),ISNUMBER('자료_거시'!$B316)),'자료_거시'!$B316,"")</f>
        <v/>
      </c>
      <c r="Q334">
        <f>IF(ISNUMBER(P334),'자료_거시'!$A316,"")</f>
        <v/>
      </c>
      <c r="R334">
        <f>IF(ISNUMBER(Q334),IF(Q334&gt;$L$5,P334,""),"")</f>
        <v/>
      </c>
      <c r="S334">
        <f>IF(ISNUMBER('자료_거시'!$E316),'자료_거시'!$E316,S333)</f>
        <v/>
      </c>
      <c r="T334">
        <f>IF(AND(ISNUMBER('자료_거시'!$D316),ISNUMBER('자료_거시'!$E316)),IFERROR('자료_거시'!$E316-INDEX($S$21:$S$4020,MATCH(EDATE('자료_거시'!$D316,-'설정'!$B$17),'자료_거시'!$D$3:INDEX('자료_거시'!$D$3:$D$4002,$K$6),1)),""),"")</f>
        <v/>
      </c>
      <c r="U334">
        <f>IF(ISNUMBER(T334),'자료_거시'!$D316,"")</f>
        <v/>
      </c>
      <c r="V334">
        <f>IF(ISNUMBER(U334),IF(U334&gt;$L$6,T334,""),"")</f>
        <v/>
      </c>
      <c r="W334">
        <f>IF(AND(ISNUMBER('자료_거시'!$G316),ISNUMBER('자료_거시'!$H316)),'자료_거시'!$H316,"")</f>
        <v/>
      </c>
      <c r="X334">
        <f>IF(ISNUMBER(W334),'자료_거시'!$G316,"")</f>
        <v/>
      </c>
      <c r="Y334">
        <f>IF(ISNUMBER(X334),IF(X334&gt;$L$7,W334,""),"")</f>
        <v/>
      </c>
      <c r="Z334">
        <f>IF(ISNUMBER('자료_거시'!$K316),'자료_거시'!$K316,Z333)</f>
        <v/>
      </c>
      <c r="AA334">
        <f>IF(AND(ISNUMBER('자료_거시'!$J316),ISNUMBER('자료_거시'!$K316)),IFERROR('자료_거시'!$K316/INDEX($Z$21:$Z$4020,MATCH(EDATE('자료_거시'!$J316,-'설정'!$B$17),'자료_거시'!$J$3:INDEX('자료_거시'!$J$3:$J$4002,$K$8),1))-1,""),"")</f>
        <v/>
      </c>
      <c r="AB334">
        <f>IF(ISNUMBER(AA334),'자료_거시'!$J316,"")</f>
        <v/>
      </c>
      <c r="AC334">
        <f>IF(ISNUMBER(AB334),IF(AB334&gt;$L$8,AA334,""),"")</f>
        <v/>
      </c>
      <c r="AD334">
        <f>IF(AND(ISNUMBER('자료_거시'!$M316),ISNUMBER('자료_거시'!$N316)),1,0)</f>
        <v/>
      </c>
      <c r="AE334">
        <f>IF(AND(ISNUMBER('자료_거시'!$M316),ISNUMBER('자료_거시'!$N316)),IF(AND(SUMIFS($AD$21:$AD$620,'자료_거시'!$M$3:$M$602,"&gt;"&amp;EDATE('자료_거시'!$M316,-'설정'!$B$17),'자료_거시'!$M$3:$M$602,"&lt;="&amp;'자료_거시'!$M316)=3,SUMIFS($AD$21:$AD$620,'자료_거시'!$M$3:$M$602,"&gt;"&amp;EDATE('자료_거시'!$M316,-12-'설정'!$B$17),'자료_거시'!$M$3:$M$602,"&lt;="&amp;EDATE('자료_거시'!$M316,-12))=3),IFERROR(SUMIFS('자료_거시'!$N$3:$N$602,'자료_거시'!$M$3:$M$602,"&gt;"&amp;EDATE('자료_거시'!$M316,-'설정'!$B$17),'자료_거시'!$M$3:$M$602,"&lt;="&amp;'자료_거시'!$M316)/SUMIFS('자료_거시'!$N$3:$N$602,'자료_거시'!$M$3:$M$602,"&gt;"&amp;EDATE('자료_거시'!$M316,-12-'설정'!$B$17),'자료_거시'!$M$3:$M$602,"&lt;="&amp;EDATE('자료_거시'!$M316,-12))-1,""),""),"")</f>
        <v/>
      </c>
      <c r="AF334">
        <f>IF(ISNUMBER(AE334),'자료_거시'!$M316,"")</f>
        <v/>
      </c>
      <c r="AG334">
        <f>IF(ISNUMBER(AF334),IF(AF334&gt;$L$9,AE334,""),"")</f>
        <v/>
      </c>
    </row>
    <row r="335">
      <c r="P335">
        <f>IF(AND(ISNUMBER('자료_거시'!$A317),ISNUMBER('자료_거시'!$B317)),'자료_거시'!$B317,"")</f>
        <v/>
      </c>
      <c r="Q335">
        <f>IF(ISNUMBER(P335),'자료_거시'!$A317,"")</f>
        <v/>
      </c>
      <c r="R335">
        <f>IF(ISNUMBER(Q335),IF(Q335&gt;$L$5,P335,""),"")</f>
        <v/>
      </c>
      <c r="S335">
        <f>IF(ISNUMBER('자료_거시'!$E317),'자료_거시'!$E317,S334)</f>
        <v/>
      </c>
      <c r="T335">
        <f>IF(AND(ISNUMBER('자료_거시'!$D317),ISNUMBER('자료_거시'!$E317)),IFERROR('자료_거시'!$E317-INDEX($S$21:$S$4020,MATCH(EDATE('자료_거시'!$D317,-'설정'!$B$17),'자료_거시'!$D$3:INDEX('자료_거시'!$D$3:$D$4002,$K$6),1)),""),"")</f>
        <v/>
      </c>
      <c r="U335">
        <f>IF(ISNUMBER(T335),'자료_거시'!$D317,"")</f>
        <v/>
      </c>
      <c r="V335">
        <f>IF(ISNUMBER(U335),IF(U335&gt;$L$6,T335,""),"")</f>
        <v/>
      </c>
      <c r="W335">
        <f>IF(AND(ISNUMBER('자료_거시'!$G317),ISNUMBER('자료_거시'!$H317)),'자료_거시'!$H317,"")</f>
        <v/>
      </c>
      <c r="X335">
        <f>IF(ISNUMBER(W335),'자료_거시'!$G317,"")</f>
        <v/>
      </c>
      <c r="Y335">
        <f>IF(ISNUMBER(X335),IF(X335&gt;$L$7,W335,""),"")</f>
        <v/>
      </c>
      <c r="Z335">
        <f>IF(ISNUMBER('자료_거시'!$K317),'자료_거시'!$K317,Z334)</f>
        <v/>
      </c>
      <c r="AA335">
        <f>IF(AND(ISNUMBER('자료_거시'!$J317),ISNUMBER('자료_거시'!$K317)),IFERROR('자료_거시'!$K317/INDEX($Z$21:$Z$4020,MATCH(EDATE('자료_거시'!$J317,-'설정'!$B$17),'자료_거시'!$J$3:INDEX('자료_거시'!$J$3:$J$4002,$K$8),1))-1,""),"")</f>
        <v/>
      </c>
      <c r="AB335">
        <f>IF(ISNUMBER(AA335),'자료_거시'!$J317,"")</f>
        <v/>
      </c>
      <c r="AC335">
        <f>IF(ISNUMBER(AB335),IF(AB335&gt;$L$8,AA335,""),"")</f>
        <v/>
      </c>
      <c r="AD335">
        <f>IF(AND(ISNUMBER('자료_거시'!$M317),ISNUMBER('자료_거시'!$N317)),1,0)</f>
        <v/>
      </c>
      <c r="AE335">
        <f>IF(AND(ISNUMBER('자료_거시'!$M317),ISNUMBER('자료_거시'!$N317)),IF(AND(SUMIFS($AD$21:$AD$620,'자료_거시'!$M$3:$M$602,"&gt;"&amp;EDATE('자료_거시'!$M317,-'설정'!$B$17),'자료_거시'!$M$3:$M$602,"&lt;="&amp;'자료_거시'!$M317)=3,SUMIFS($AD$21:$AD$620,'자료_거시'!$M$3:$M$602,"&gt;"&amp;EDATE('자료_거시'!$M317,-12-'설정'!$B$17),'자료_거시'!$M$3:$M$602,"&lt;="&amp;EDATE('자료_거시'!$M317,-12))=3),IFERROR(SUMIFS('자료_거시'!$N$3:$N$602,'자료_거시'!$M$3:$M$602,"&gt;"&amp;EDATE('자료_거시'!$M317,-'설정'!$B$17),'자료_거시'!$M$3:$M$602,"&lt;="&amp;'자료_거시'!$M317)/SUMIFS('자료_거시'!$N$3:$N$602,'자료_거시'!$M$3:$M$602,"&gt;"&amp;EDATE('자료_거시'!$M317,-12-'설정'!$B$17),'자료_거시'!$M$3:$M$602,"&lt;="&amp;EDATE('자료_거시'!$M317,-12))-1,""),""),"")</f>
        <v/>
      </c>
      <c r="AF335">
        <f>IF(ISNUMBER(AE335),'자료_거시'!$M317,"")</f>
        <v/>
      </c>
      <c r="AG335">
        <f>IF(ISNUMBER(AF335),IF(AF335&gt;$L$9,AE335,""),"")</f>
        <v/>
      </c>
    </row>
    <row r="336">
      <c r="P336">
        <f>IF(AND(ISNUMBER('자료_거시'!$A318),ISNUMBER('자료_거시'!$B318)),'자료_거시'!$B318,"")</f>
        <v/>
      </c>
      <c r="Q336">
        <f>IF(ISNUMBER(P336),'자료_거시'!$A318,"")</f>
        <v/>
      </c>
      <c r="R336">
        <f>IF(ISNUMBER(Q336),IF(Q336&gt;$L$5,P336,""),"")</f>
        <v/>
      </c>
      <c r="S336">
        <f>IF(ISNUMBER('자료_거시'!$E318),'자료_거시'!$E318,S335)</f>
        <v/>
      </c>
      <c r="T336">
        <f>IF(AND(ISNUMBER('자료_거시'!$D318),ISNUMBER('자료_거시'!$E318)),IFERROR('자료_거시'!$E318-INDEX($S$21:$S$4020,MATCH(EDATE('자료_거시'!$D318,-'설정'!$B$17),'자료_거시'!$D$3:INDEX('자료_거시'!$D$3:$D$4002,$K$6),1)),""),"")</f>
        <v/>
      </c>
      <c r="U336">
        <f>IF(ISNUMBER(T336),'자료_거시'!$D318,"")</f>
        <v/>
      </c>
      <c r="V336">
        <f>IF(ISNUMBER(U336),IF(U336&gt;$L$6,T336,""),"")</f>
        <v/>
      </c>
      <c r="W336">
        <f>IF(AND(ISNUMBER('자료_거시'!$G318),ISNUMBER('자료_거시'!$H318)),'자료_거시'!$H318,"")</f>
        <v/>
      </c>
      <c r="X336">
        <f>IF(ISNUMBER(W336),'자료_거시'!$G318,"")</f>
        <v/>
      </c>
      <c r="Y336">
        <f>IF(ISNUMBER(X336),IF(X336&gt;$L$7,W336,""),"")</f>
        <v/>
      </c>
      <c r="Z336">
        <f>IF(ISNUMBER('자료_거시'!$K318),'자료_거시'!$K318,Z335)</f>
        <v/>
      </c>
      <c r="AA336">
        <f>IF(AND(ISNUMBER('자료_거시'!$J318),ISNUMBER('자료_거시'!$K318)),IFERROR('자료_거시'!$K318/INDEX($Z$21:$Z$4020,MATCH(EDATE('자료_거시'!$J318,-'설정'!$B$17),'자료_거시'!$J$3:INDEX('자료_거시'!$J$3:$J$4002,$K$8),1))-1,""),"")</f>
        <v/>
      </c>
      <c r="AB336">
        <f>IF(ISNUMBER(AA336),'자료_거시'!$J318,"")</f>
        <v/>
      </c>
      <c r="AC336">
        <f>IF(ISNUMBER(AB336),IF(AB336&gt;$L$8,AA336,""),"")</f>
        <v/>
      </c>
      <c r="AD336">
        <f>IF(AND(ISNUMBER('자료_거시'!$M318),ISNUMBER('자료_거시'!$N318)),1,0)</f>
        <v/>
      </c>
      <c r="AE336">
        <f>IF(AND(ISNUMBER('자료_거시'!$M318),ISNUMBER('자료_거시'!$N318)),IF(AND(SUMIFS($AD$21:$AD$620,'자료_거시'!$M$3:$M$602,"&gt;"&amp;EDATE('자료_거시'!$M318,-'설정'!$B$17),'자료_거시'!$M$3:$M$602,"&lt;="&amp;'자료_거시'!$M318)=3,SUMIFS($AD$21:$AD$620,'자료_거시'!$M$3:$M$602,"&gt;"&amp;EDATE('자료_거시'!$M318,-12-'설정'!$B$17),'자료_거시'!$M$3:$M$602,"&lt;="&amp;EDATE('자료_거시'!$M318,-12))=3),IFERROR(SUMIFS('자료_거시'!$N$3:$N$602,'자료_거시'!$M$3:$M$602,"&gt;"&amp;EDATE('자료_거시'!$M318,-'설정'!$B$17),'자료_거시'!$M$3:$M$602,"&lt;="&amp;'자료_거시'!$M318)/SUMIFS('자료_거시'!$N$3:$N$602,'자료_거시'!$M$3:$M$602,"&gt;"&amp;EDATE('자료_거시'!$M318,-12-'설정'!$B$17),'자료_거시'!$M$3:$M$602,"&lt;="&amp;EDATE('자료_거시'!$M318,-12))-1,""),""),"")</f>
        <v/>
      </c>
      <c r="AF336">
        <f>IF(ISNUMBER(AE336),'자료_거시'!$M318,"")</f>
        <v/>
      </c>
      <c r="AG336">
        <f>IF(ISNUMBER(AF336),IF(AF336&gt;$L$9,AE336,""),"")</f>
        <v/>
      </c>
    </row>
    <row r="337">
      <c r="P337">
        <f>IF(AND(ISNUMBER('자료_거시'!$A319),ISNUMBER('자료_거시'!$B319)),'자료_거시'!$B319,"")</f>
        <v/>
      </c>
      <c r="Q337">
        <f>IF(ISNUMBER(P337),'자료_거시'!$A319,"")</f>
        <v/>
      </c>
      <c r="R337">
        <f>IF(ISNUMBER(Q337),IF(Q337&gt;$L$5,P337,""),"")</f>
        <v/>
      </c>
      <c r="S337">
        <f>IF(ISNUMBER('자료_거시'!$E319),'자료_거시'!$E319,S336)</f>
        <v/>
      </c>
      <c r="T337">
        <f>IF(AND(ISNUMBER('자료_거시'!$D319),ISNUMBER('자료_거시'!$E319)),IFERROR('자료_거시'!$E319-INDEX($S$21:$S$4020,MATCH(EDATE('자료_거시'!$D319,-'설정'!$B$17),'자료_거시'!$D$3:INDEX('자료_거시'!$D$3:$D$4002,$K$6),1)),""),"")</f>
        <v/>
      </c>
      <c r="U337">
        <f>IF(ISNUMBER(T337),'자료_거시'!$D319,"")</f>
        <v/>
      </c>
      <c r="V337">
        <f>IF(ISNUMBER(U337),IF(U337&gt;$L$6,T337,""),"")</f>
        <v/>
      </c>
      <c r="W337">
        <f>IF(AND(ISNUMBER('자료_거시'!$G319),ISNUMBER('자료_거시'!$H319)),'자료_거시'!$H319,"")</f>
        <v/>
      </c>
      <c r="X337">
        <f>IF(ISNUMBER(W337),'자료_거시'!$G319,"")</f>
        <v/>
      </c>
      <c r="Y337">
        <f>IF(ISNUMBER(X337),IF(X337&gt;$L$7,W337,""),"")</f>
        <v/>
      </c>
      <c r="Z337">
        <f>IF(ISNUMBER('자료_거시'!$K319),'자료_거시'!$K319,Z336)</f>
        <v/>
      </c>
      <c r="AA337">
        <f>IF(AND(ISNUMBER('자료_거시'!$J319),ISNUMBER('자료_거시'!$K319)),IFERROR('자료_거시'!$K319/INDEX($Z$21:$Z$4020,MATCH(EDATE('자료_거시'!$J319,-'설정'!$B$17),'자료_거시'!$J$3:INDEX('자료_거시'!$J$3:$J$4002,$K$8),1))-1,""),"")</f>
        <v/>
      </c>
      <c r="AB337">
        <f>IF(ISNUMBER(AA337),'자료_거시'!$J319,"")</f>
        <v/>
      </c>
      <c r="AC337">
        <f>IF(ISNUMBER(AB337),IF(AB337&gt;$L$8,AA337,""),"")</f>
        <v/>
      </c>
      <c r="AD337">
        <f>IF(AND(ISNUMBER('자료_거시'!$M319),ISNUMBER('자료_거시'!$N319)),1,0)</f>
        <v/>
      </c>
      <c r="AE337">
        <f>IF(AND(ISNUMBER('자료_거시'!$M319),ISNUMBER('자료_거시'!$N319)),IF(AND(SUMIFS($AD$21:$AD$620,'자료_거시'!$M$3:$M$602,"&gt;"&amp;EDATE('자료_거시'!$M319,-'설정'!$B$17),'자료_거시'!$M$3:$M$602,"&lt;="&amp;'자료_거시'!$M319)=3,SUMIFS($AD$21:$AD$620,'자료_거시'!$M$3:$M$602,"&gt;"&amp;EDATE('자료_거시'!$M319,-12-'설정'!$B$17),'자료_거시'!$M$3:$M$602,"&lt;="&amp;EDATE('자료_거시'!$M319,-12))=3),IFERROR(SUMIFS('자료_거시'!$N$3:$N$602,'자료_거시'!$M$3:$M$602,"&gt;"&amp;EDATE('자료_거시'!$M319,-'설정'!$B$17),'자료_거시'!$M$3:$M$602,"&lt;="&amp;'자료_거시'!$M319)/SUMIFS('자료_거시'!$N$3:$N$602,'자료_거시'!$M$3:$M$602,"&gt;"&amp;EDATE('자료_거시'!$M319,-12-'설정'!$B$17),'자료_거시'!$M$3:$M$602,"&lt;="&amp;EDATE('자료_거시'!$M319,-12))-1,""),""),"")</f>
        <v/>
      </c>
      <c r="AF337">
        <f>IF(ISNUMBER(AE337),'자료_거시'!$M319,"")</f>
        <v/>
      </c>
      <c r="AG337">
        <f>IF(ISNUMBER(AF337),IF(AF337&gt;$L$9,AE337,""),"")</f>
        <v/>
      </c>
    </row>
    <row r="338">
      <c r="P338">
        <f>IF(AND(ISNUMBER('자료_거시'!$A320),ISNUMBER('자료_거시'!$B320)),'자료_거시'!$B320,"")</f>
        <v/>
      </c>
      <c r="Q338">
        <f>IF(ISNUMBER(P338),'자료_거시'!$A320,"")</f>
        <v/>
      </c>
      <c r="R338">
        <f>IF(ISNUMBER(Q338),IF(Q338&gt;$L$5,P338,""),"")</f>
        <v/>
      </c>
      <c r="S338">
        <f>IF(ISNUMBER('자료_거시'!$E320),'자료_거시'!$E320,S337)</f>
        <v/>
      </c>
      <c r="T338">
        <f>IF(AND(ISNUMBER('자료_거시'!$D320),ISNUMBER('자료_거시'!$E320)),IFERROR('자료_거시'!$E320-INDEX($S$21:$S$4020,MATCH(EDATE('자료_거시'!$D320,-'설정'!$B$17),'자료_거시'!$D$3:INDEX('자료_거시'!$D$3:$D$4002,$K$6),1)),""),"")</f>
        <v/>
      </c>
      <c r="U338">
        <f>IF(ISNUMBER(T338),'자료_거시'!$D320,"")</f>
        <v/>
      </c>
      <c r="V338">
        <f>IF(ISNUMBER(U338),IF(U338&gt;$L$6,T338,""),"")</f>
        <v/>
      </c>
      <c r="W338">
        <f>IF(AND(ISNUMBER('자료_거시'!$G320),ISNUMBER('자료_거시'!$H320)),'자료_거시'!$H320,"")</f>
        <v/>
      </c>
      <c r="X338">
        <f>IF(ISNUMBER(W338),'자료_거시'!$G320,"")</f>
        <v/>
      </c>
      <c r="Y338">
        <f>IF(ISNUMBER(X338),IF(X338&gt;$L$7,W338,""),"")</f>
        <v/>
      </c>
      <c r="Z338">
        <f>IF(ISNUMBER('자료_거시'!$K320),'자료_거시'!$K320,Z337)</f>
        <v/>
      </c>
      <c r="AA338">
        <f>IF(AND(ISNUMBER('자료_거시'!$J320),ISNUMBER('자료_거시'!$K320)),IFERROR('자료_거시'!$K320/INDEX($Z$21:$Z$4020,MATCH(EDATE('자료_거시'!$J320,-'설정'!$B$17),'자료_거시'!$J$3:INDEX('자료_거시'!$J$3:$J$4002,$K$8),1))-1,""),"")</f>
        <v/>
      </c>
      <c r="AB338">
        <f>IF(ISNUMBER(AA338),'자료_거시'!$J320,"")</f>
        <v/>
      </c>
      <c r="AC338">
        <f>IF(ISNUMBER(AB338),IF(AB338&gt;$L$8,AA338,""),"")</f>
        <v/>
      </c>
      <c r="AD338">
        <f>IF(AND(ISNUMBER('자료_거시'!$M320),ISNUMBER('자료_거시'!$N320)),1,0)</f>
        <v/>
      </c>
      <c r="AE338">
        <f>IF(AND(ISNUMBER('자료_거시'!$M320),ISNUMBER('자료_거시'!$N320)),IF(AND(SUMIFS($AD$21:$AD$620,'자료_거시'!$M$3:$M$602,"&gt;"&amp;EDATE('자료_거시'!$M320,-'설정'!$B$17),'자료_거시'!$M$3:$M$602,"&lt;="&amp;'자료_거시'!$M320)=3,SUMIFS($AD$21:$AD$620,'자료_거시'!$M$3:$M$602,"&gt;"&amp;EDATE('자료_거시'!$M320,-12-'설정'!$B$17),'자료_거시'!$M$3:$M$602,"&lt;="&amp;EDATE('자료_거시'!$M320,-12))=3),IFERROR(SUMIFS('자료_거시'!$N$3:$N$602,'자료_거시'!$M$3:$M$602,"&gt;"&amp;EDATE('자료_거시'!$M320,-'설정'!$B$17),'자료_거시'!$M$3:$M$602,"&lt;="&amp;'자료_거시'!$M320)/SUMIFS('자료_거시'!$N$3:$N$602,'자료_거시'!$M$3:$M$602,"&gt;"&amp;EDATE('자료_거시'!$M320,-12-'설정'!$B$17),'자료_거시'!$M$3:$M$602,"&lt;="&amp;EDATE('자료_거시'!$M320,-12))-1,""),""),"")</f>
        <v/>
      </c>
      <c r="AF338">
        <f>IF(ISNUMBER(AE338),'자료_거시'!$M320,"")</f>
        <v/>
      </c>
      <c r="AG338">
        <f>IF(ISNUMBER(AF338),IF(AF338&gt;$L$9,AE338,""),"")</f>
        <v/>
      </c>
    </row>
    <row r="339">
      <c r="P339">
        <f>IF(AND(ISNUMBER('자료_거시'!$A321),ISNUMBER('자료_거시'!$B321)),'자료_거시'!$B321,"")</f>
        <v/>
      </c>
      <c r="Q339">
        <f>IF(ISNUMBER(P339),'자료_거시'!$A321,"")</f>
        <v/>
      </c>
      <c r="R339">
        <f>IF(ISNUMBER(Q339),IF(Q339&gt;$L$5,P339,""),"")</f>
        <v/>
      </c>
      <c r="S339">
        <f>IF(ISNUMBER('자료_거시'!$E321),'자료_거시'!$E321,S338)</f>
        <v/>
      </c>
      <c r="T339">
        <f>IF(AND(ISNUMBER('자료_거시'!$D321),ISNUMBER('자료_거시'!$E321)),IFERROR('자료_거시'!$E321-INDEX($S$21:$S$4020,MATCH(EDATE('자료_거시'!$D321,-'설정'!$B$17),'자료_거시'!$D$3:INDEX('자료_거시'!$D$3:$D$4002,$K$6),1)),""),"")</f>
        <v/>
      </c>
      <c r="U339">
        <f>IF(ISNUMBER(T339),'자료_거시'!$D321,"")</f>
        <v/>
      </c>
      <c r="V339">
        <f>IF(ISNUMBER(U339),IF(U339&gt;$L$6,T339,""),"")</f>
        <v/>
      </c>
      <c r="W339">
        <f>IF(AND(ISNUMBER('자료_거시'!$G321),ISNUMBER('자료_거시'!$H321)),'자료_거시'!$H321,"")</f>
        <v/>
      </c>
      <c r="X339">
        <f>IF(ISNUMBER(W339),'자료_거시'!$G321,"")</f>
        <v/>
      </c>
      <c r="Y339">
        <f>IF(ISNUMBER(X339),IF(X339&gt;$L$7,W339,""),"")</f>
        <v/>
      </c>
      <c r="Z339">
        <f>IF(ISNUMBER('자료_거시'!$K321),'자료_거시'!$K321,Z338)</f>
        <v/>
      </c>
      <c r="AA339">
        <f>IF(AND(ISNUMBER('자료_거시'!$J321),ISNUMBER('자료_거시'!$K321)),IFERROR('자료_거시'!$K321/INDEX($Z$21:$Z$4020,MATCH(EDATE('자료_거시'!$J321,-'설정'!$B$17),'자료_거시'!$J$3:INDEX('자료_거시'!$J$3:$J$4002,$K$8),1))-1,""),"")</f>
        <v/>
      </c>
      <c r="AB339">
        <f>IF(ISNUMBER(AA339),'자료_거시'!$J321,"")</f>
        <v/>
      </c>
      <c r="AC339">
        <f>IF(ISNUMBER(AB339),IF(AB339&gt;$L$8,AA339,""),"")</f>
        <v/>
      </c>
      <c r="AD339">
        <f>IF(AND(ISNUMBER('자료_거시'!$M321),ISNUMBER('자료_거시'!$N321)),1,0)</f>
        <v/>
      </c>
      <c r="AE339">
        <f>IF(AND(ISNUMBER('자료_거시'!$M321),ISNUMBER('자료_거시'!$N321)),IF(AND(SUMIFS($AD$21:$AD$620,'자료_거시'!$M$3:$M$602,"&gt;"&amp;EDATE('자료_거시'!$M321,-'설정'!$B$17),'자료_거시'!$M$3:$M$602,"&lt;="&amp;'자료_거시'!$M321)=3,SUMIFS($AD$21:$AD$620,'자료_거시'!$M$3:$M$602,"&gt;"&amp;EDATE('자료_거시'!$M321,-12-'설정'!$B$17),'자료_거시'!$M$3:$M$602,"&lt;="&amp;EDATE('자료_거시'!$M321,-12))=3),IFERROR(SUMIFS('자료_거시'!$N$3:$N$602,'자료_거시'!$M$3:$M$602,"&gt;"&amp;EDATE('자료_거시'!$M321,-'설정'!$B$17),'자료_거시'!$M$3:$M$602,"&lt;="&amp;'자료_거시'!$M321)/SUMIFS('자료_거시'!$N$3:$N$602,'자료_거시'!$M$3:$M$602,"&gt;"&amp;EDATE('자료_거시'!$M321,-12-'설정'!$B$17),'자료_거시'!$M$3:$M$602,"&lt;="&amp;EDATE('자료_거시'!$M321,-12))-1,""),""),"")</f>
        <v/>
      </c>
      <c r="AF339">
        <f>IF(ISNUMBER(AE339),'자료_거시'!$M321,"")</f>
        <v/>
      </c>
      <c r="AG339">
        <f>IF(ISNUMBER(AF339),IF(AF339&gt;$L$9,AE339,""),"")</f>
        <v/>
      </c>
    </row>
    <row r="340">
      <c r="P340">
        <f>IF(AND(ISNUMBER('자료_거시'!$A322),ISNUMBER('자료_거시'!$B322)),'자료_거시'!$B322,"")</f>
        <v/>
      </c>
      <c r="Q340">
        <f>IF(ISNUMBER(P340),'자료_거시'!$A322,"")</f>
        <v/>
      </c>
      <c r="R340">
        <f>IF(ISNUMBER(Q340),IF(Q340&gt;$L$5,P340,""),"")</f>
        <v/>
      </c>
      <c r="S340">
        <f>IF(ISNUMBER('자료_거시'!$E322),'자료_거시'!$E322,S339)</f>
        <v/>
      </c>
      <c r="T340">
        <f>IF(AND(ISNUMBER('자료_거시'!$D322),ISNUMBER('자료_거시'!$E322)),IFERROR('자료_거시'!$E322-INDEX($S$21:$S$4020,MATCH(EDATE('자료_거시'!$D322,-'설정'!$B$17),'자료_거시'!$D$3:INDEX('자료_거시'!$D$3:$D$4002,$K$6),1)),""),"")</f>
        <v/>
      </c>
      <c r="U340">
        <f>IF(ISNUMBER(T340),'자료_거시'!$D322,"")</f>
        <v/>
      </c>
      <c r="V340">
        <f>IF(ISNUMBER(U340),IF(U340&gt;$L$6,T340,""),"")</f>
        <v/>
      </c>
      <c r="W340">
        <f>IF(AND(ISNUMBER('자료_거시'!$G322),ISNUMBER('자료_거시'!$H322)),'자료_거시'!$H322,"")</f>
        <v/>
      </c>
      <c r="X340">
        <f>IF(ISNUMBER(W340),'자료_거시'!$G322,"")</f>
        <v/>
      </c>
      <c r="Y340">
        <f>IF(ISNUMBER(X340),IF(X340&gt;$L$7,W340,""),"")</f>
        <v/>
      </c>
      <c r="Z340">
        <f>IF(ISNUMBER('자료_거시'!$K322),'자료_거시'!$K322,Z339)</f>
        <v/>
      </c>
      <c r="AA340">
        <f>IF(AND(ISNUMBER('자료_거시'!$J322),ISNUMBER('자료_거시'!$K322)),IFERROR('자료_거시'!$K322/INDEX($Z$21:$Z$4020,MATCH(EDATE('자료_거시'!$J322,-'설정'!$B$17),'자료_거시'!$J$3:INDEX('자료_거시'!$J$3:$J$4002,$K$8),1))-1,""),"")</f>
        <v/>
      </c>
      <c r="AB340">
        <f>IF(ISNUMBER(AA340),'자료_거시'!$J322,"")</f>
        <v/>
      </c>
      <c r="AC340">
        <f>IF(ISNUMBER(AB340),IF(AB340&gt;$L$8,AA340,""),"")</f>
        <v/>
      </c>
      <c r="AD340">
        <f>IF(AND(ISNUMBER('자료_거시'!$M322),ISNUMBER('자료_거시'!$N322)),1,0)</f>
        <v/>
      </c>
      <c r="AE340">
        <f>IF(AND(ISNUMBER('자료_거시'!$M322),ISNUMBER('자료_거시'!$N322)),IF(AND(SUMIFS($AD$21:$AD$620,'자료_거시'!$M$3:$M$602,"&gt;"&amp;EDATE('자료_거시'!$M322,-'설정'!$B$17),'자료_거시'!$M$3:$M$602,"&lt;="&amp;'자료_거시'!$M322)=3,SUMIFS($AD$21:$AD$620,'자료_거시'!$M$3:$M$602,"&gt;"&amp;EDATE('자료_거시'!$M322,-12-'설정'!$B$17),'자료_거시'!$M$3:$M$602,"&lt;="&amp;EDATE('자료_거시'!$M322,-12))=3),IFERROR(SUMIFS('자료_거시'!$N$3:$N$602,'자료_거시'!$M$3:$M$602,"&gt;"&amp;EDATE('자료_거시'!$M322,-'설정'!$B$17),'자료_거시'!$M$3:$M$602,"&lt;="&amp;'자료_거시'!$M322)/SUMIFS('자료_거시'!$N$3:$N$602,'자료_거시'!$M$3:$M$602,"&gt;"&amp;EDATE('자료_거시'!$M322,-12-'설정'!$B$17),'자료_거시'!$M$3:$M$602,"&lt;="&amp;EDATE('자료_거시'!$M322,-12))-1,""),""),"")</f>
        <v/>
      </c>
      <c r="AF340">
        <f>IF(ISNUMBER(AE340),'자료_거시'!$M322,"")</f>
        <v/>
      </c>
      <c r="AG340">
        <f>IF(ISNUMBER(AF340),IF(AF340&gt;$L$9,AE340,""),"")</f>
        <v/>
      </c>
    </row>
    <row r="341">
      <c r="P341">
        <f>IF(AND(ISNUMBER('자료_거시'!$A323),ISNUMBER('자료_거시'!$B323)),'자료_거시'!$B323,"")</f>
        <v/>
      </c>
      <c r="Q341">
        <f>IF(ISNUMBER(P341),'자료_거시'!$A323,"")</f>
        <v/>
      </c>
      <c r="R341">
        <f>IF(ISNUMBER(Q341),IF(Q341&gt;$L$5,P341,""),"")</f>
        <v/>
      </c>
      <c r="S341">
        <f>IF(ISNUMBER('자료_거시'!$E323),'자료_거시'!$E323,S340)</f>
        <v/>
      </c>
      <c r="T341">
        <f>IF(AND(ISNUMBER('자료_거시'!$D323),ISNUMBER('자료_거시'!$E323)),IFERROR('자료_거시'!$E323-INDEX($S$21:$S$4020,MATCH(EDATE('자료_거시'!$D323,-'설정'!$B$17),'자료_거시'!$D$3:INDEX('자료_거시'!$D$3:$D$4002,$K$6),1)),""),"")</f>
        <v/>
      </c>
      <c r="U341">
        <f>IF(ISNUMBER(T341),'자료_거시'!$D323,"")</f>
        <v/>
      </c>
      <c r="V341">
        <f>IF(ISNUMBER(U341),IF(U341&gt;$L$6,T341,""),"")</f>
        <v/>
      </c>
      <c r="W341">
        <f>IF(AND(ISNUMBER('자료_거시'!$G323),ISNUMBER('자료_거시'!$H323)),'자료_거시'!$H323,"")</f>
        <v/>
      </c>
      <c r="X341">
        <f>IF(ISNUMBER(W341),'자료_거시'!$G323,"")</f>
        <v/>
      </c>
      <c r="Y341">
        <f>IF(ISNUMBER(X341),IF(X341&gt;$L$7,W341,""),"")</f>
        <v/>
      </c>
      <c r="Z341">
        <f>IF(ISNUMBER('자료_거시'!$K323),'자료_거시'!$K323,Z340)</f>
        <v/>
      </c>
      <c r="AA341">
        <f>IF(AND(ISNUMBER('자료_거시'!$J323),ISNUMBER('자료_거시'!$K323)),IFERROR('자료_거시'!$K323/INDEX($Z$21:$Z$4020,MATCH(EDATE('자료_거시'!$J323,-'설정'!$B$17),'자료_거시'!$J$3:INDEX('자료_거시'!$J$3:$J$4002,$K$8),1))-1,""),"")</f>
        <v/>
      </c>
      <c r="AB341">
        <f>IF(ISNUMBER(AA341),'자료_거시'!$J323,"")</f>
        <v/>
      </c>
      <c r="AC341">
        <f>IF(ISNUMBER(AB341),IF(AB341&gt;$L$8,AA341,""),"")</f>
        <v/>
      </c>
      <c r="AD341">
        <f>IF(AND(ISNUMBER('자료_거시'!$M323),ISNUMBER('자료_거시'!$N323)),1,0)</f>
        <v/>
      </c>
      <c r="AE341">
        <f>IF(AND(ISNUMBER('자료_거시'!$M323),ISNUMBER('자료_거시'!$N323)),IF(AND(SUMIFS($AD$21:$AD$620,'자료_거시'!$M$3:$M$602,"&gt;"&amp;EDATE('자료_거시'!$M323,-'설정'!$B$17),'자료_거시'!$M$3:$M$602,"&lt;="&amp;'자료_거시'!$M323)=3,SUMIFS($AD$21:$AD$620,'자료_거시'!$M$3:$M$602,"&gt;"&amp;EDATE('자료_거시'!$M323,-12-'설정'!$B$17),'자료_거시'!$M$3:$M$602,"&lt;="&amp;EDATE('자료_거시'!$M323,-12))=3),IFERROR(SUMIFS('자료_거시'!$N$3:$N$602,'자료_거시'!$M$3:$M$602,"&gt;"&amp;EDATE('자료_거시'!$M323,-'설정'!$B$17),'자료_거시'!$M$3:$M$602,"&lt;="&amp;'자료_거시'!$M323)/SUMIFS('자료_거시'!$N$3:$N$602,'자료_거시'!$M$3:$M$602,"&gt;"&amp;EDATE('자료_거시'!$M323,-12-'설정'!$B$17),'자료_거시'!$M$3:$M$602,"&lt;="&amp;EDATE('자료_거시'!$M323,-12))-1,""),""),"")</f>
        <v/>
      </c>
      <c r="AF341">
        <f>IF(ISNUMBER(AE341),'자료_거시'!$M323,"")</f>
        <v/>
      </c>
      <c r="AG341">
        <f>IF(ISNUMBER(AF341),IF(AF341&gt;$L$9,AE341,""),"")</f>
        <v/>
      </c>
    </row>
    <row r="342">
      <c r="P342">
        <f>IF(AND(ISNUMBER('자료_거시'!$A324),ISNUMBER('자료_거시'!$B324)),'자료_거시'!$B324,"")</f>
        <v/>
      </c>
      <c r="Q342">
        <f>IF(ISNUMBER(P342),'자료_거시'!$A324,"")</f>
        <v/>
      </c>
      <c r="R342">
        <f>IF(ISNUMBER(Q342),IF(Q342&gt;$L$5,P342,""),"")</f>
        <v/>
      </c>
      <c r="S342">
        <f>IF(ISNUMBER('자료_거시'!$E324),'자료_거시'!$E324,S341)</f>
        <v/>
      </c>
      <c r="T342">
        <f>IF(AND(ISNUMBER('자료_거시'!$D324),ISNUMBER('자료_거시'!$E324)),IFERROR('자료_거시'!$E324-INDEX($S$21:$S$4020,MATCH(EDATE('자료_거시'!$D324,-'설정'!$B$17),'자료_거시'!$D$3:INDEX('자료_거시'!$D$3:$D$4002,$K$6),1)),""),"")</f>
        <v/>
      </c>
      <c r="U342">
        <f>IF(ISNUMBER(T342),'자료_거시'!$D324,"")</f>
        <v/>
      </c>
      <c r="V342">
        <f>IF(ISNUMBER(U342),IF(U342&gt;$L$6,T342,""),"")</f>
        <v/>
      </c>
      <c r="W342">
        <f>IF(AND(ISNUMBER('자료_거시'!$G324),ISNUMBER('자료_거시'!$H324)),'자료_거시'!$H324,"")</f>
        <v/>
      </c>
      <c r="X342">
        <f>IF(ISNUMBER(W342),'자료_거시'!$G324,"")</f>
        <v/>
      </c>
      <c r="Y342">
        <f>IF(ISNUMBER(X342),IF(X342&gt;$L$7,W342,""),"")</f>
        <v/>
      </c>
      <c r="Z342">
        <f>IF(ISNUMBER('자료_거시'!$K324),'자료_거시'!$K324,Z341)</f>
        <v/>
      </c>
      <c r="AA342">
        <f>IF(AND(ISNUMBER('자료_거시'!$J324),ISNUMBER('자료_거시'!$K324)),IFERROR('자료_거시'!$K324/INDEX($Z$21:$Z$4020,MATCH(EDATE('자료_거시'!$J324,-'설정'!$B$17),'자료_거시'!$J$3:INDEX('자료_거시'!$J$3:$J$4002,$K$8),1))-1,""),"")</f>
        <v/>
      </c>
      <c r="AB342">
        <f>IF(ISNUMBER(AA342),'자료_거시'!$J324,"")</f>
        <v/>
      </c>
      <c r="AC342">
        <f>IF(ISNUMBER(AB342),IF(AB342&gt;$L$8,AA342,""),"")</f>
        <v/>
      </c>
      <c r="AD342">
        <f>IF(AND(ISNUMBER('자료_거시'!$M324),ISNUMBER('자료_거시'!$N324)),1,0)</f>
        <v/>
      </c>
      <c r="AE342">
        <f>IF(AND(ISNUMBER('자료_거시'!$M324),ISNUMBER('자료_거시'!$N324)),IF(AND(SUMIFS($AD$21:$AD$620,'자료_거시'!$M$3:$M$602,"&gt;"&amp;EDATE('자료_거시'!$M324,-'설정'!$B$17),'자료_거시'!$M$3:$M$602,"&lt;="&amp;'자료_거시'!$M324)=3,SUMIFS($AD$21:$AD$620,'자료_거시'!$M$3:$M$602,"&gt;"&amp;EDATE('자료_거시'!$M324,-12-'설정'!$B$17),'자료_거시'!$M$3:$M$602,"&lt;="&amp;EDATE('자료_거시'!$M324,-12))=3),IFERROR(SUMIFS('자료_거시'!$N$3:$N$602,'자료_거시'!$M$3:$M$602,"&gt;"&amp;EDATE('자료_거시'!$M324,-'설정'!$B$17),'자료_거시'!$M$3:$M$602,"&lt;="&amp;'자료_거시'!$M324)/SUMIFS('자료_거시'!$N$3:$N$602,'자료_거시'!$M$3:$M$602,"&gt;"&amp;EDATE('자료_거시'!$M324,-12-'설정'!$B$17),'자료_거시'!$M$3:$M$602,"&lt;="&amp;EDATE('자료_거시'!$M324,-12))-1,""),""),"")</f>
        <v/>
      </c>
      <c r="AF342">
        <f>IF(ISNUMBER(AE342),'자료_거시'!$M324,"")</f>
        <v/>
      </c>
      <c r="AG342">
        <f>IF(ISNUMBER(AF342),IF(AF342&gt;$L$9,AE342,""),"")</f>
        <v/>
      </c>
    </row>
    <row r="343">
      <c r="P343">
        <f>IF(AND(ISNUMBER('자료_거시'!$A325),ISNUMBER('자료_거시'!$B325)),'자료_거시'!$B325,"")</f>
        <v/>
      </c>
      <c r="Q343">
        <f>IF(ISNUMBER(P343),'자료_거시'!$A325,"")</f>
        <v/>
      </c>
      <c r="R343">
        <f>IF(ISNUMBER(Q343),IF(Q343&gt;$L$5,P343,""),"")</f>
        <v/>
      </c>
      <c r="S343">
        <f>IF(ISNUMBER('자료_거시'!$E325),'자료_거시'!$E325,S342)</f>
        <v/>
      </c>
      <c r="T343">
        <f>IF(AND(ISNUMBER('자료_거시'!$D325),ISNUMBER('자료_거시'!$E325)),IFERROR('자료_거시'!$E325-INDEX($S$21:$S$4020,MATCH(EDATE('자료_거시'!$D325,-'설정'!$B$17),'자료_거시'!$D$3:INDEX('자료_거시'!$D$3:$D$4002,$K$6),1)),""),"")</f>
        <v/>
      </c>
      <c r="U343">
        <f>IF(ISNUMBER(T343),'자료_거시'!$D325,"")</f>
        <v/>
      </c>
      <c r="V343">
        <f>IF(ISNUMBER(U343),IF(U343&gt;$L$6,T343,""),"")</f>
        <v/>
      </c>
      <c r="W343">
        <f>IF(AND(ISNUMBER('자료_거시'!$G325),ISNUMBER('자료_거시'!$H325)),'자료_거시'!$H325,"")</f>
        <v/>
      </c>
      <c r="X343">
        <f>IF(ISNUMBER(W343),'자료_거시'!$G325,"")</f>
        <v/>
      </c>
      <c r="Y343">
        <f>IF(ISNUMBER(X343),IF(X343&gt;$L$7,W343,""),"")</f>
        <v/>
      </c>
      <c r="Z343">
        <f>IF(ISNUMBER('자료_거시'!$K325),'자료_거시'!$K325,Z342)</f>
        <v/>
      </c>
      <c r="AA343">
        <f>IF(AND(ISNUMBER('자료_거시'!$J325),ISNUMBER('자료_거시'!$K325)),IFERROR('자료_거시'!$K325/INDEX($Z$21:$Z$4020,MATCH(EDATE('자료_거시'!$J325,-'설정'!$B$17),'자료_거시'!$J$3:INDEX('자료_거시'!$J$3:$J$4002,$K$8),1))-1,""),"")</f>
        <v/>
      </c>
      <c r="AB343">
        <f>IF(ISNUMBER(AA343),'자료_거시'!$J325,"")</f>
        <v/>
      </c>
      <c r="AC343">
        <f>IF(ISNUMBER(AB343),IF(AB343&gt;$L$8,AA343,""),"")</f>
        <v/>
      </c>
      <c r="AD343">
        <f>IF(AND(ISNUMBER('자료_거시'!$M325),ISNUMBER('자료_거시'!$N325)),1,0)</f>
        <v/>
      </c>
      <c r="AE343">
        <f>IF(AND(ISNUMBER('자료_거시'!$M325),ISNUMBER('자료_거시'!$N325)),IF(AND(SUMIFS($AD$21:$AD$620,'자료_거시'!$M$3:$M$602,"&gt;"&amp;EDATE('자료_거시'!$M325,-'설정'!$B$17),'자료_거시'!$M$3:$M$602,"&lt;="&amp;'자료_거시'!$M325)=3,SUMIFS($AD$21:$AD$620,'자료_거시'!$M$3:$M$602,"&gt;"&amp;EDATE('자료_거시'!$M325,-12-'설정'!$B$17),'자료_거시'!$M$3:$M$602,"&lt;="&amp;EDATE('자료_거시'!$M325,-12))=3),IFERROR(SUMIFS('자료_거시'!$N$3:$N$602,'자료_거시'!$M$3:$M$602,"&gt;"&amp;EDATE('자료_거시'!$M325,-'설정'!$B$17),'자료_거시'!$M$3:$M$602,"&lt;="&amp;'자료_거시'!$M325)/SUMIFS('자료_거시'!$N$3:$N$602,'자료_거시'!$M$3:$M$602,"&gt;"&amp;EDATE('자료_거시'!$M325,-12-'설정'!$B$17),'자료_거시'!$M$3:$M$602,"&lt;="&amp;EDATE('자료_거시'!$M325,-12))-1,""),""),"")</f>
        <v/>
      </c>
      <c r="AF343">
        <f>IF(ISNUMBER(AE343),'자료_거시'!$M325,"")</f>
        <v/>
      </c>
      <c r="AG343">
        <f>IF(ISNUMBER(AF343),IF(AF343&gt;$L$9,AE343,""),"")</f>
        <v/>
      </c>
    </row>
    <row r="344">
      <c r="P344">
        <f>IF(AND(ISNUMBER('자료_거시'!$A326),ISNUMBER('자료_거시'!$B326)),'자료_거시'!$B326,"")</f>
        <v/>
      </c>
      <c r="Q344">
        <f>IF(ISNUMBER(P344),'자료_거시'!$A326,"")</f>
        <v/>
      </c>
      <c r="R344">
        <f>IF(ISNUMBER(Q344),IF(Q344&gt;$L$5,P344,""),"")</f>
        <v/>
      </c>
      <c r="S344">
        <f>IF(ISNUMBER('자료_거시'!$E326),'자료_거시'!$E326,S343)</f>
        <v/>
      </c>
      <c r="T344">
        <f>IF(AND(ISNUMBER('자료_거시'!$D326),ISNUMBER('자료_거시'!$E326)),IFERROR('자료_거시'!$E326-INDEX($S$21:$S$4020,MATCH(EDATE('자료_거시'!$D326,-'설정'!$B$17),'자료_거시'!$D$3:INDEX('자료_거시'!$D$3:$D$4002,$K$6),1)),""),"")</f>
        <v/>
      </c>
      <c r="U344">
        <f>IF(ISNUMBER(T344),'자료_거시'!$D326,"")</f>
        <v/>
      </c>
      <c r="V344">
        <f>IF(ISNUMBER(U344),IF(U344&gt;$L$6,T344,""),"")</f>
        <v/>
      </c>
      <c r="W344">
        <f>IF(AND(ISNUMBER('자료_거시'!$G326),ISNUMBER('자료_거시'!$H326)),'자료_거시'!$H326,"")</f>
        <v/>
      </c>
      <c r="X344">
        <f>IF(ISNUMBER(W344),'자료_거시'!$G326,"")</f>
        <v/>
      </c>
      <c r="Y344">
        <f>IF(ISNUMBER(X344),IF(X344&gt;$L$7,W344,""),"")</f>
        <v/>
      </c>
      <c r="Z344">
        <f>IF(ISNUMBER('자료_거시'!$K326),'자료_거시'!$K326,Z343)</f>
        <v/>
      </c>
      <c r="AA344">
        <f>IF(AND(ISNUMBER('자료_거시'!$J326),ISNUMBER('자료_거시'!$K326)),IFERROR('자료_거시'!$K326/INDEX($Z$21:$Z$4020,MATCH(EDATE('자료_거시'!$J326,-'설정'!$B$17),'자료_거시'!$J$3:INDEX('자료_거시'!$J$3:$J$4002,$K$8),1))-1,""),"")</f>
        <v/>
      </c>
      <c r="AB344">
        <f>IF(ISNUMBER(AA344),'자료_거시'!$J326,"")</f>
        <v/>
      </c>
      <c r="AC344">
        <f>IF(ISNUMBER(AB344),IF(AB344&gt;$L$8,AA344,""),"")</f>
        <v/>
      </c>
      <c r="AD344">
        <f>IF(AND(ISNUMBER('자료_거시'!$M326),ISNUMBER('자료_거시'!$N326)),1,0)</f>
        <v/>
      </c>
      <c r="AE344">
        <f>IF(AND(ISNUMBER('자료_거시'!$M326),ISNUMBER('자료_거시'!$N326)),IF(AND(SUMIFS($AD$21:$AD$620,'자료_거시'!$M$3:$M$602,"&gt;"&amp;EDATE('자료_거시'!$M326,-'설정'!$B$17),'자료_거시'!$M$3:$M$602,"&lt;="&amp;'자료_거시'!$M326)=3,SUMIFS($AD$21:$AD$620,'자료_거시'!$M$3:$M$602,"&gt;"&amp;EDATE('자료_거시'!$M326,-12-'설정'!$B$17),'자료_거시'!$M$3:$M$602,"&lt;="&amp;EDATE('자료_거시'!$M326,-12))=3),IFERROR(SUMIFS('자료_거시'!$N$3:$N$602,'자료_거시'!$M$3:$M$602,"&gt;"&amp;EDATE('자료_거시'!$M326,-'설정'!$B$17),'자료_거시'!$M$3:$M$602,"&lt;="&amp;'자료_거시'!$M326)/SUMIFS('자료_거시'!$N$3:$N$602,'자료_거시'!$M$3:$M$602,"&gt;"&amp;EDATE('자료_거시'!$M326,-12-'설정'!$B$17),'자료_거시'!$M$3:$M$602,"&lt;="&amp;EDATE('자료_거시'!$M326,-12))-1,""),""),"")</f>
        <v/>
      </c>
      <c r="AF344">
        <f>IF(ISNUMBER(AE344),'자료_거시'!$M326,"")</f>
        <v/>
      </c>
      <c r="AG344">
        <f>IF(ISNUMBER(AF344),IF(AF344&gt;$L$9,AE344,""),"")</f>
        <v/>
      </c>
    </row>
    <row r="345">
      <c r="P345">
        <f>IF(AND(ISNUMBER('자료_거시'!$A327),ISNUMBER('자료_거시'!$B327)),'자료_거시'!$B327,"")</f>
        <v/>
      </c>
      <c r="Q345">
        <f>IF(ISNUMBER(P345),'자료_거시'!$A327,"")</f>
        <v/>
      </c>
      <c r="R345">
        <f>IF(ISNUMBER(Q345),IF(Q345&gt;$L$5,P345,""),"")</f>
        <v/>
      </c>
      <c r="S345">
        <f>IF(ISNUMBER('자료_거시'!$E327),'자료_거시'!$E327,S344)</f>
        <v/>
      </c>
      <c r="T345">
        <f>IF(AND(ISNUMBER('자료_거시'!$D327),ISNUMBER('자료_거시'!$E327)),IFERROR('자료_거시'!$E327-INDEX($S$21:$S$4020,MATCH(EDATE('자료_거시'!$D327,-'설정'!$B$17),'자료_거시'!$D$3:INDEX('자료_거시'!$D$3:$D$4002,$K$6),1)),""),"")</f>
        <v/>
      </c>
      <c r="U345">
        <f>IF(ISNUMBER(T345),'자료_거시'!$D327,"")</f>
        <v/>
      </c>
      <c r="V345">
        <f>IF(ISNUMBER(U345),IF(U345&gt;$L$6,T345,""),"")</f>
        <v/>
      </c>
      <c r="W345">
        <f>IF(AND(ISNUMBER('자료_거시'!$G327),ISNUMBER('자료_거시'!$H327)),'자료_거시'!$H327,"")</f>
        <v/>
      </c>
      <c r="X345">
        <f>IF(ISNUMBER(W345),'자료_거시'!$G327,"")</f>
        <v/>
      </c>
      <c r="Y345">
        <f>IF(ISNUMBER(X345),IF(X345&gt;$L$7,W345,""),"")</f>
        <v/>
      </c>
      <c r="Z345">
        <f>IF(ISNUMBER('자료_거시'!$K327),'자료_거시'!$K327,Z344)</f>
        <v/>
      </c>
      <c r="AA345">
        <f>IF(AND(ISNUMBER('자료_거시'!$J327),ISNUMBER('자료_거시'!$K327)),IFERROR('자료_거시'!$K327/INDEX($Z$21:$Z$4020,MATCH(EDATE('자료_거시'!$J327,-'설정'!$B$17),'자료_거시'!$J$3:INDEX('자료_거시'!$J$3:$J$4002,$K$8),1))-1,""),"")</f>
        <v/>
      </c>
      <c r="AB345">
        <f>IF(ISNUMBER(AA345),'자료_거시'!$J327,"")</f>
        <v/>
      </c>
      <c r="AC345">
        <f>IF(ISNUMBER(AB345),IF(AB345&gt;$L$8,AA345,""),"")</f>
        <v/>
      </c>
      <c r="AD345">
        <f>IF(AND(ISNUMBER('자료_거시'!$M327),ISNUMBER('자료_거시'!$N327)),1,0)</f>
        <v/>
      </c>
      <c r="AE345">
        <f>IF(AND(ISNUMBER('자료_거시'!$M327),ISNUMBER('자료_거시'!$N327)),IF(AND(SUMIFS($AD$21:$AD$620,'자료_거시'!$M$3:$M$602,"&gt;"&amp;EDATE('자료_거시'!$M327,-'설정'!$B$17),'자료_거시'!$M$3:$M$602,"&lt;="&amp;'자료_거시'!$M327)=3,SUMIFS($AD$21:$AD$620,'자료_거시'!$M$3:$M$602,"&gt;"&amp;EDATE('자료_거시'!$M327,-12-'설정'!$B$17),'자료_거시'!$M$3:$M$602,"&lt;="&amp;EDATE('자료_거시'!$M327,-12))=3),IFERROR(SUMIFS('자료_거시'!$N$3:$N$602,'자료_거시'!$M$3:$M$602,"&gt;"&amp;EDATE('자료_거시'!$M327,-'설정'!$B$17),'자료_거시'!$M$3:$M$602,"&lt;="&amp;'자료_거시'!$M327)/SUMIFS('자료_거시'!$N$3:$N$602,'자료_거시'!$M$3:$M$602,"&gt;"&amp;EDATE('자료_거시'!$M327,-12-'설정'!$B$17),'자료_거시'!$M$3:$M$602,"&lt;="&amp;EDATE('자료_거시'!$M327,-12))-1,""),""),"")</f>
        <v/>
      </c>
      <c r="AF345">
        <f>IF(ISNUMBER(AE345),'자료_거시'!$M327,"")</f>
        <v/>
      </c>
      <c r="AG345">
        <f>IF(ISNUMBER(AF345),IF(AF345&gt;$L$9,AE345,""),"")</f>
        <v/>
      </c>
    </row>
    <row r="346">
      <c r="P346">
        <f>IF(AND(ISNUMBER('자료_거시'!$A328),ISNUMBER('자료_거시'!$B328)),'자료_거시'!$B328,"")</f>
        <v/>
      </c>
      <c r="Q346">
        <f>IF(ISNUMBER(P346),'자료_거시'!$A328,"")</f>
        <v/>
      </c>
      <c r="R346">
        <f>IF(ISNUMBER(Q346),IF(Q346&gt;$L$5,P346,""),"")</f>
        <v/>
      </c>
      <c r="S346">
        <f>IF(ISNUMBER('자료_거시'!$E328),'자료_거시'!$E328,S345)</f>
        <v/>
      </c>
      <c r="T346">
        <f>IF(AND(ISNUMBER('자료_거시'!$D328),ISNUMBER('자료_거시'!$E328)),IFERROR('자료_거시'!$E328-INDEX($S$21:$S$4020,MATCH(EDATE('자료_거시'!$D328,-'설정'!$B$17),'자료_거시'!$D$3:INDEX('자료_거시'!$D$3:$D$4002,$K$6),1)),""),"")</f>
        <v/>
      </c>
      <c r="U346">
        <f>IF(ISNUMBER(T346),'자료_거시'!$D328,"")</f>
        <v/>
      </c>
      <c r="V346">
        <f>IF(ISNUMBER(U346),IF(U346&gt;$L$6,T346,""),"")</f>
        <v/>
      </c>
      <c r="W346">
        <f>IF(AND(ISNUMBER('자료_거시'!$G328),ISNUMBER('자료_거시'!$H328)),'자료_거시'!$H328,"")</f>
        <v/>
      </c>
      <c r="X346">
        <f>IF(ISNUMBER(W346),'자료_거시'!$G328,"")</f>
        <v/>
      </c>
      <c r="Y346">
        <f>IF(ISNUMBER(X346),IF(X346&gt;$L$7,W346,""),"")</f>
        <v/>
      </c>
      <c r="Z346">
        <f>IF(ISNUMBER('자료_거시'!$K328),'자료_거시'!$K328,Z345)</f>
        <v/>
      </c>
      <c r="AA346">
        <f>IF(AND(ISNUMBER('자료_거시'!$J328),ISNUMBER('자료_거시'!$K328)),IFERROR('자료_거시'!$K328/INDEX($Z$21:$Z$4020,MATCH(EDATE('자료_거시'!$J328,-'설정'!$B$17),'자료_거시'!$J$3:INDEX('자료_거시'!$J$3:$J$4002,$K$8),1))-1,""),"")</f>
        <v/>
      </c>
      <c r="AB346">
        <f>IF(ISNUMBER(AA346),'자료_거시'!$J328,"")</f>
        <v/>
      </c>
      <c r="AC346">
        <f>IF(ISNUMBER(AB346),IF(AB346&gt;$L$8,AA346,""),"")</f>
        <v/>
      </c>
      <c r="AD346">
        <f>IF(AND(ISNUMBER('자료_거시'!$M328),ISNUMBER('자료_거시'!$N328)),1,0)</f>
        <v/>
      </c>
      <c r="AE346">
        <f>IF(AND(ISNUMBER('자료_거시'!$M328),ISNUMBER('자료_거시'!$N328)),IF(AND(SUMIFS($AD$21:$AD$620,'자료_거시'!$M$3:$M$602,"&gt;"&amp;EDATE('자료_거시'!$M328,-'설정'!$B$17),'자료_거시'!$M$3:$M$602,"&lt;="&amp;'자료_거시'!$M328)=3,SUMIFS($AD$21:$AD$620,'자료_거시'!$M$3:$M$602,"&gt;"&amp;EDATE('자료_거시'!$M328,-12-'설정'!$B$17),'자료_거시'!$M$3:$M$602,"&lt;="&amp;EDATE('자료_거시'!$M328,-12))=3),IFERROR(SUMIFS('자료_거시'!$N$3:$N$602,'자료_거시'!$M$3:$M$602,"&gt;"&amp;EDATE('자료_거시'!$M328,-'설정'!$B$17),'자료_거시'!$M$3:$M$602,"&lt;="&amp;'자료_거시'!$M328)/SUMIFS('자료_거시'!$N$3:$N$602,'자료_거시'!$M$3:$M$602,"&gt;"&amp;EDATE('자료_거시'!$M328,-12-'설정'!$B$17),'자료_거시'!$M$3:$M$602,"&lt;="&amp;EDATE('자료_거시'!$M328,-12))-1,""),""),"")</f>
        <v/>
      </c>
      <c r="AF346">
        <f>IF(ISNUMBER(AE346),'자료_거시'!$M328,"")</f>
        <v/>
      </c>
      <c r="AG346">
        <f>IF(ISNUMBER(AF346),IF(AF346&gt;$L$9,AE346,""),"")</f>
        <v/>
      </c>
    </row>
    <row r="347">
      <c r="P347">
        <f>IF(AND(ISNUMBER('자료_거시'!$A329),ISNUMBER('자료_거시'!$B329)),'자료_거시'!$B329,"")</f>
        <v/>
      </c>
      <c r="Q347">
        <f>IF(ISNUMBER(P347),'자료_거시'!$A329,"")</f>
        <v/>
      </c>
      <c r="R347">
        <f>IF(ISNUMBER(Q347),IF(Q347&gt;$L$5,P347,""),"")</f>
        <v/>
      </c>
      <c r="S347">
        <f>IF(ISNUMBER('자료_거시'!$E329),'자료_거시'!$E329,S346)</f>
        <v/>
      </c>
      <c r="T347">
        <f>IF(AND(ISNUMBER('자료_거시'!$D329),ISNUMBER('자료_거시'!$E329)),IFERROR('자료_거시'!$E329-INDEX($S$21:$S$4020,MATCH(EDATE('자료_거시'!$D329,-'설정'!$B$17),'자료_거시'!$D$3:INDEX('자료_거시'!$D$3:$D$4002,$K$6),1)),""),"")</f>
        <v/>
      </c>
      <c r="U347">
        <f>IF(ISNUMBER(T347),'자료_거시'!$D329,"")</f>
        <v/>
      </c>
      <c r="V347">
        <f>IF(ISNUMBER(U347),IF(U347&gt;$L$6,T347,""),"")</f>
        <v/>
      </c>
      <c r="W347">
        <f>IF(AND(ISNUMBER('자료_거시'!$G329),ISNUMBER('자료_거시'!$H329)),'자료_거시'!$H329,"")</f>
        <v/>
      </c>
      <c r="X347">
        <f>IF(ISNUMBER(W347),'자료_거시'!$G329,"")</f>
        <v/>
      </c>
      <c r="Y347">
        <f>IF(ISNUMBER(X347),IF(X347&gt;$L$7,W347,""),"")</f>
        <v/>
      </c>
      <c r="Z347">
        <f>IF(ISNUMBER('자료_거시'!$K329),'자료_거시'!$K329,Z346)</f>
        <v/>
      </c>
      <c r="AA347">
        <f>IF(AND(ISNUMBER('자료_거시'!$J329),ISNUMBER('자료_거시'!$K329)),IFERROR('자료_거시'!$K329/INDEX($Z$21:$Z$4020,MATCH(EDATE('자료_거시'!$J329,-'설정'!$B$17),'자료_거시'!$J$3:INDEX('자료_거시'!$J$3:$J$4002,$K$8),1))-1,""),"")</f>
        <v/>
      </c>
      <c r="AB347">
        <f>IF(ISNUMBER(AA347),'자료_거시'!$J329,"")</f>
        <v/>
      </c>
      <c r="AC347">
        <f>IF(ISNUMBER(AB347),IF(AB347&gt;$L$8,AA347,""),"")</f>
        <v/>
      </c>
      <c r="AD347">
        <f>IF(AND(ISNUMBER('자료_거시'!$M329),ISNUMBER('자료_거시'!$N329)),1,0)</f>
        <v/>
      </c>
      <c r="AE347">
        <f>IF(AND(ISNUMBER('자료_거시'!$M329),ISNUMBER('자료_거시'!$N329)),IF(AND(SUMIFS($AD$21:$AD$620,'자료_거시'!$M$3:$M$602,"&gt;"&amp;EDATE('자료_거시'!$M329,-'설정'!$B$17),'자료_거시'!$M$3:$M$602,"&lt;="&amp;'자료_거시'!$M329)=3,SUMIFS($AD$21:$AD$620,'자료_거시'!$M$3:$M$602,"&gt;"&amp;EDATE('자료_거시'!$M329,-12-'설정'!$B$17),'자료_거시'!$M$3:$M$602,"&lt;="&amp;EDATE('자료_거시'!$M329,-12))=3),IFERROR(SUMIFS('자료_거시'!$N$3:$N$602,'자료_거시'!$M$3:$M$602,"&gt;"&amp;EDATE('자료_거시'!$M329,-'설정'!$B$17),'자료_거시'!$M$3:$M$602,"&lt;="&amp;'자료_거시'!$M329)/SUMIFS('자료_거시'!$N$3:$N$602,'자료_거시'!$M$3:$M$602,"&gt;"&amp;EDATE('자료_거시'!$M329,-12-'설정'!$B$17),'자료_거시'!$M$3:$M$602,"&lt;="&amp;EDATE('자료_거시'!$M329,-12))-1,""),""),"")</f>
        <v/>
      </c>
      <c r="AF347">
        <f>IF(ISNUMBER(AE347),'자료_거시'!$M329,"")</f>
        <v/>
      </c>
      <c r="AG347">
        <f>IF(ISNUMBER(AF347),IF(AF347&gt;$L$9,AE347,""),"")</f>
        <v/>
      </c>
    </row>
    <row r="348">
      <c r="P348">
        <f>IF(AND(ISNUMBER('자료_거시'!$A330),ISNUMBER('자료_거시'!$B330)),'자료_거시'!$B330,"")</f>
        <v/>
      </c>
      <c r="Q348">
        <f>IF(ISNUMBER(P348),'자료_거시'!$A330,"")</f>
        <v/>
      </c>
      <c r="R348">
        <f>IF(ISNUMBER(Q348),IF(Q348&gt;$L$5,P348,""),"")</f>
        <v/>
      </c>
      <c r="S348">
        <f>IF(ISNUMBER('자료_거시'!$E330),'자료_거시'!$E330,S347)</f>
        <v/>
      </c>
      <c r="T348">
        <f>IF(AND(ISNUMBER('자료_거시'!$D330),ISNUMBER('자료_거시'!$E330)),IFERROR('자료_거시'!$E330-INDEX($S$21:$S$4020,MATCH(EDATE('자료_거시'!$D330,-'설정'!$B$17),'자료_거시'!$D$3:INDEX('자료_거시'!$D$3:$D$4002,$K$6),1)),""),"")</f>
        <v/>
      </c>
      <c r="U348">
        <f>IF(ISNUMBER(T348),'자료_거시'!$D330,"")</f>
        <v/>
      </c>
      <c r="V348">
        <f>IF(ISNUMBER(U348),IF(U348&gt;$L$6,T348,""),"")</f>
        <v/>
      </c>
      <c r="W348">
        <f>IF(AND(ISNUMBER('자료_거시'!$G330),ISNUMBER('자료_거시'!$H330)),'자료_거시'!$H330,"")</f>
        <v/>
      </c>
      <c r="X348">
        <f>IF(ISNUMBER(W348),'자료_거시'!$G330,"")</f>
        <v/>
      </c>
      <c r="Y348">
        <f>IF(ISNUMBER(X348),IF(X348&gt;$L$7,W348,""),"")</f>
        <v/>
      </c>
      <c r="Z348">
        <f>IF(ISNUMBER('자료_거시'!$K330),'자료_거시'!$K330,Z347)</f>
        <v/>
      </c>
      <c r="AA348">
        <f>IF(AND(ISNUMBER('자료_거시'!$J330),ISNUMBER('자료_거시'!$K330)),IFERROR('자료_거시'!$K330/INDEX($Z$21:$Z$4020,MATCH(EDATE('자료_거시'!$J330,-'설정'!$B$17),'자료_거시'!$J$3:INDEX('자료_거시'!$J$3:$J$4002,$K$8),1))-1,""),"")</f>
        <v/>
      </c>
      <c r="AB348">
        <f>IF(ISNUMBER(AA348),'자료_거시'!$J330,"")</f>
        <v/>
      </c>
      <c r="AC348">
        <f>IF(ISNUMBER(AB348),IF(AB348&gt;$L$8,AA348,""),"")</f>
        <v/>
      </c>
      <c r="AD348">
        <f>IF(AND(ISNUMBER('자료_거시'!$M330),ISNUMBER('자료_거시'!$N330)),1,0)</f>
        <v/>
      </c>
      <c r="AE348">
        <f>IF(AND(ISNUMBER('자료_거시'!$M330),ISNUMBER('자료_거시'!$N330)),IF(AND(SUMIFS($AD$21:$AD$620,'자료_거시'!$M$3:$M$602,"&gt;"&amp;EDATE('자료_거시'!$M330,-'설정'!$B$17),'자료_거시'!$M$3:$M$602,"&lt;="&amp;'자료_거시'!$M330)=3,SUMIFS($AD$21:$AD$620,'자료_거시'!$M$3:$M$602,"&gt;"&amp;EDATE('자료_거시'!$M330,-12-'설정'!$B$17),'자료_거시'!$M$3:$M$602,"&lt;="&amp;EDATE('자료_거시'!$M330,-12))=3),IFERROR(SUMIFS('자료_거시'!$N$3:$N$602,'자료_거시'!$M$3:$M$602,"&gt;"&amp;EDATE('자료_거시'!$M330,-'설정'!$B$17),'자료_거시'!$M$3:$M$602,"&lt;="&amp;'자료_거시'!$M330)/SUMIFS('자료_거시'!$N$3:$N$602,'자료_거시'!$M$3:$M$602,"&gt;"&amp;EDATE('자료_거시'!$M330,-12-'설정'!$B$17),'자료_거시'!$M$3:$M$602,"&lt;="&amp;EDATE('자료_거시'!$M330,-12))-1,""),""),"")</f>
        <v/>
      </c>
      <c r="AF348">
        <f>IF(ISNUMBER(AE348),'자료_거시'!$M330,"")</f>
        <v/>
      </c>
      <c r="AG348">
        <f>IF(ISNUMBER(AF348),IF(AF348&gt;$L$9,AE348,""),"")</f>
        <v/>
      </c>
    </row>
    <row r="349">
      <c r="P349">
        <f>IF(AND(ISNUMBER('자료_거시'!$A331),ISNUMBER('자료_거시'!$B331)),'자료_거시'!$B331,"")</f>
        <v/>
      </c>
      <c r="Q349">
        <f>IF(ISNUMBER(P349),'자료_거시'!$A331,"")</f>
        <v/>
      </c>
      <c r="R349">
        <f>IF(ISNUMBER(Q349),IF(Q349&gt;$L$5,P349,""),"")</f>
        <v/>
      </c>
      <c r="S349">
        <f>IF(ISNUMBER('자료_거시'!$E331),'자료_거시'!$E331,S348)</f>
        <v/>
      </c>
      <c r="T349">
        <f>IF(AND(ISNUMBER('자료_거시'!$D331),ISNUMBER('자료_거시'!$E331)),IFERROR('자료_거시'!$E331-INDEX($S$21:$S$4020,MATCH(EDATE('자료_거시'!$D331,-'설정'!$B$17),'자료_거시'!$D$3:INDEX('자료_거시'!$D$3:$D$4002,$K$6),1)),""),"")</f>
        <v/>
      </c>
      <c r="U349">
        <f>IF(ISNUMBER(T349),'자료_거시'!$D331,"")</f>
        <v/>
      </c>
      <c r="V349">
        <f>IF(ISNUMBER(U349),IF(U349&gt;$L$6,T349,""),"")</f>
        <v/>
      </c>
      <c r="W349">
        <f>IF(AND(ISNUMBER('자료_거시'!$G331),ISNUMBER('자료_거시'!$H331)),'자료_거시'!$H331,"")</f>
        <v/>
      </c>
      <c r="X349">
        <f>IF(ISNUMBER(W349),'자료_거시'!$G331,"")</f>
        <v/>
      </c>
      <c r="Y349">
        <f>IF(ISNUMBER(X349),IF(X349&gt;$L$7,W349,""),"")</f>
        <v/>
      </c>
      <c r="Z349">
        <f>IF(ISNUMBER('자료_거시'!$K331),'자료_거시'!$K331,Z348)</f>
        <v/>
      </c>
      <c r="AA349">
        <f>IF(AND(ISNUMBER('자료_거시'!$J331),ISNUMBER('자료_거시'!$K331)),IFERROR('자료_거시'!$K331/INDEX($Z$21:$Z$4020,MATCH(EDATE('자료_거시'!$J331,-'설정'!$B$17),'자료_거시'!$J$3:INDEX('자료_거시'!$J$3:$J$4002,$K$8),1))-1,""),"")</f>
        <v/>
      </c>
      <c r="AB349">
        <f>IF(ISNUMBER(AA349),'자료_거시'!$J331,"")</f>
        <v/>
      </c>
      <c r="AC349">
        <f>IF(ISNUMBER(AB349),IF(AB349&gt;$L$8,AA349,""),"")</f>
        <v/>
      </c>
      <c r="AD349">
        <f>IF(AND(ISNUMBER('자료_거시'!$M331),ISNUMBER('자료_거시'!$N331)),1,0)</f>
        <v/>
      </c>
      <c r="AE349">
        <f>IF(AND(ISNUMBER('자료_거시'!$M331),ISNUMBER('자료_거시'!$N331)),IF(AND(SUMIFS($AD$21:$AD$620,'자료_거시'!$M$3:$M$602,"&gt;"&amp;EDATE('자료_거시'!$M331,-'설정'!$B$17),'자료_거시'!$M$3:$M$602,"&lt;="&amp;'자료_거시'!$M331)=3,SUMIFS($AD$21:$AD$620,'자료_거시'!$M$3:$M$602,"&gt;"&amp;EDATE('자료_거시'!$M331,-12-'설정'!$B$17),'자료_거시'!$M$3:$M$602,"&lt;="&amp;EDATE('자료_거시'!$M331,-12))=3),IFERROR(SUMIFS('자료_거시'!$N$3:$N$602,'자료_거시'!$M$3:$M$602,"&gt;"&amp;EDATE('자료_거시'!$M331,-'설정'!$B$17),'자료_거시'!$M$3:$M$602,"&lt;="&amp;'자료_거시'!$M331)/SUMIFS('자료_거시'!$N$3:$N$602,'자료_거시'!$M$3:$M$602,"&gt;"&amp;EDATE('자료_거시'!$M331,-12-'설정'!$B$17),'자료_거시'!$M$3:$M$602,"&lt;="&amp;EDATE('자료_거시'!$M331,-12))-1,""),""),"")</f>
        <v/>
      </c>
      <c r="AF349">
        <f>IF(ISNUMBER(AE349),'자료_거시'!$M331,"")</f>
        <v/>
      </c>
      <c r="AG349">
        <f>IF(ISNUMBER(AF349),IF(AF349&gt;$L$9,AE349,""),"")</f>
        <v/>
      </c>
    </row>
    <row r="350">
      <c r="P350">
        <f>IF(AND(ISNUMBER('자료_거시'!$A332),ISNUMBER('자료_거시'!$B332)),'자료_거시'!$B332,"")</f>
        <v/>
      </c>
      <c r="Q350">
        <f>IF(ISNUMBER(P350),'자료_거시'!$A332,"")</f>
        <v/>
      </c>
      <c r="R350">
        <f>IF(ISNUMBER(Q350),IF(Q350&gt;$L$5,P350,""),"")</f>
        <v/>
      </c>
      <c r="S350">
        <f>IF(ISNUMBER('자료_거시'!$E332),'자료_거시'!$E332,S349)</f>
        <v/>
      </c>
      <c r="T350">
        <f>IF(AND(ISNUMBER('자료_거시'!$D332),ISNUMBER('자료_거시'!$E332)),IFERROR('자료_거시'!$E332-INDEX($S$21:$S$4020,MATCH(EDATE('자료_거시'!$D332,-'설정'!$B$17),'자료_거시'!$D$3:INDEX('자료_거시'!$D$3:$D$4002,$K$6),1)),""),"")</f>
        <v/>
      </c>
      <c r="U350">
        <f>IF(ISNUMBER(T350),'자료_거시'!$D332,"")</f>
        <v/>
      </c>
      <c r="V350">
        <f>IF(ISNUMBER(U350),IF(U350&gt;$L$6,T350,""),"")</f>
        <v/>
      </c>
      <c r="W350">
        <f>IF(AND(ISNUMBER('자료_거시'!$G332),ISNUMBER('자료_거시'!$H332)),'자료_거시'!$H332,"")</f>
        <v/>
      </c>
      <c r="X350">
        <f>IF(ISNUMBER(W350),'자료_거시'!$G332,"")</f>
        <v/>
      </c>
      <c r="Y350">
        <f>IF(ISNUMBER(X350),IF(X350&gt;$L$7,W350,""),"")</f>
        <v/>
      </c>
      <c r="Z350">
        <f>IF(ISNUMBER('자료_거시'!$K332),'자료_거시'!$K332,Z349)</f>
        <v/>
      </c>
      <c r="AA350">
        <f>IF(AND(ISNUMBER('자료_거시'!$J332),ISNUMBER('자료_거시'!$K332)),IFERROR('자료_거시'!$K332/INDEX($Z$21:$Z$4020,MATCH(EDATE('자료_거시'!$J332,-'설정'!$B$17),'자료_거시'!$J$3:INDEX('자료_거시'!$J$3:$J$4002,$K$8),1))-1,""),"")</f>
        <v/>
      </c>
      <c r="AB350">
        <f>IF(ISNUMBER(AA350),'자료_거시'!$J332,"")</f>
        <v/>
      </c>
      <c r="AC350">
        <f>IF(ISNUMBER(AB350),IF(AB350&gt;$L$8,AA350,""),"")</f>
        <v/>
      </c>
      <c r="AD350">
        <f>IF(AND(ISNUMBER('자료_거시'!$M332),ISNUMBER('자료_거시'!$N332)),1,0)</f>
        <v/>
      </c>
      <c r="AE350">
        <f>IF(AND(ISNUMBER('자료_거시'!$M332),ISNUMBER('자료_거시'!$N332)),IF(AND(SUMIFS($AD$21:$AD$620,'자료_거시'!$M$3:$M$602,"&gt;"&amp;EDATE('자료_거시'!$M332,-'설정'!$B$17),'자료_거시'!$M$3:$M$602,"&lt;="&amp;'자료_거시'!$M332)=3,SUMIFS($AD$21:$AD$620,'자료_거시'!$M$3:$M$602,"&gt;"&amp;EDATE('자료_거시'!$M332,-12-'설정'!$B$17),'자료_거시'!$M$3:$M$602,"&lt;="&amp;EDATE('자료_거시'!$M332,-12))=3),IFERROR(SUMIFS('자료_거시'!$N$3:$N$602,'자료_거시'!$M$3:$M$602,"&gt;"&amp;EDATE('자료_거시'!$M332,-'설정'!$B$17),'자료_거시'!$M$3:$M$602,"&lt;="&amp;'자료_거시'!$M332)/SUMIFS('자료_거시'!$N$3:$N$602,'자료_거시'!$M$3:$M$602,"&gt;"&amp;EDATE('자료_거시'!$M332,-12-'설정'!$B$17),'자료_거시'!$M$3:$M$602,"&lt;="&amp;EDATE('자료_거시'!$M332,-12))-1,""),""),"")</f>
        <v/>
      </c>
      <c r="AF350">
        <f>IF(ISNUMBER(AE350),'자료_거시'!$M332,"")</f>
        <v/>
      </c>
      <c r="AG350">
        <f>IF(ISNUMBER(AF350),IF(AF350&gt;$L$9,AE350,""),"")</f>
        <v/>
      </c>
    </row>
    <row r="351">
      <c r="P351">
        <f>IF(AND(ISNUMBER('자료_거시'!$A333),ISNUMBER('자료_거시'!$B333)),'자료_거시'!$B333,"")</f>
        <v/>
      </c>
      <c r="Q351">
        <f>IF(ISNUMBER(P351),'자료_거시'!$A333,"")</f>
        <v/>
      </c>
      <c r="R351">
        <f>IF(ISNUMBER(Q351),IF(Q351&gt;$L$5,P351,""),"")</f>
        <v/>
      </c>
      <c r="S351">
        <f>IF(ISNUMBER('자료_거시'!$E333),'자료_거시'!$E333,S350)</f>
        <v/>
      </c>
      <c r="T351">
        <f>IF(AND(ISNUMBER('자료_거시'!$D333),ISNUMBER('자료_거시'!$E333)),IFERROR('자료_거시'!$E333-INDEX($S$21:$S$4020,MATCH(EDATE('자료_거시'!$D333,-'설정'!$B$17),'자료_거시'!$D$3:INDEX('자료_거시'!$D$3:$D$4002,$K$6),1)),""),"")</f>
        <v/>
      </c>
      <c r="U351">
        <f>IF(ISNUMBER(T351),'자료_거시'!$D333,"")</f>
        <v/>
      </c>
      <c r="V351">
        <f>IF(ISNUMBER(U351),IF(U351&gt;$L$6,T351,""),"")</f>
        <v/>
      </c>
      <c r="W351">
        <f>IF(AND(ISNUMBER('자료_거시'!$G333),ISNUMBER('자료_거시'!$H333)),'자료_거시'!$H333,"")</f>
        <v/>
      </c>
      <c r="X351">
        <f>IF(ISNUMBER(W351),'자료_거시'!$G333,"")</f>
        <v/>
      </c>
      <c r="Y351">
        <f>IF(ISNUMBER(X351),IF(X351&gt;$L$7,W351,""),"")</f>
        <v/>
      </c>
      <c r="Z351">
        <f>IF(ISNUMBER('자료_거시'!$K333),'자료_거시'!$K333,Z350)</f>
        <v/>
      </c>
      <c r="AA351">
        <f>IF(AND(ISNUMBER('자료_거시'!$J333),ISNUMBER('자료_거시'!$K333)),IFERROR('자료_거시'!$K333/INDEX($Z$21:$Z$4020,MATCH(EDATE('자료_거시'!$J333,-'설정'!$B$17),'자료_거시'!$J$3:INDEX('자료_거시'!$J$3:$J$4002,$K$8),1))-1,""),"")</f>
        <v/>
      </c>
      <c r="AB351">
        <f>IF(ISNUMBER(AA351),'자료_거시'!$J333,"")</f>
        <v/>
      </c>
      <c r="AC351">
        <f>IF(ISNUMBER(AB351),IF(AB351&gt;$L$8,AA351,""),"")</f>
        <v/>
      </c>
      <c r="AD351">
        <f>IF(AND(ISNUMBER('자료_거시'!$M333),ISNUMBER('자료_거시'!$N333)),1,0)</f>
        <v/>
      </c>
      <c r="AE351">
        <f>IF(AND(ISNUMBER('자료_거시'!$M333),ISNUMBER('자료_거시'!$N333)),IF(AND(SUMIFS($AD$21:$AD$620,'자료_거시'!$M$3:$M$602,"&gt;"&amp;EDATE('자료_거시'!$M333,-'설정'!$B$17),'자료_거시'!$M$3:$M$602,"&lt;="&amp;'자료_거시'!$M333)=3,SUMIFS($AD$21:$AD$620,'자료_거시'!$M$3:$M$602,"&gt;"&amp;EDATE('자료_거시'!$M333,-12-'설정'!$B$17),'자료_거시'!$M$3:$M$602,"&lt;="&amp;EDATE('자료_거시'!$M333,-12))=3),IFERROR(SUMIFS('자료_거시'!$N$3:$N$602,'자료_거시'!$M$3:$M$602,"&gt;"&amp;EDATE('자료_거시'!$M333,-'설정'!$B$17),'자료_거시'!$M$3:$M$602,"&lt;="&amp;'자료_거시'!$M333)/SUMIFS('자료_거시'!$N$3:$N$602,'자료_거시'!$M$3:$M$602,"&gt;"&amp;EDATE('자료_거시'!$M333,-12-'설정'!$B$17),'자료_거시'!$M$3:$M$602,"&lt;="&amp;EDATE('자료_거시'!$M333,-12))-1,""),""),"")</f>
        <v/>
      </c>
      <c r="AF351">
        <f>IF(ISNUMBER(AE351),'자료_거시'!$M333,"")</f>
        <v/>
      </c>
      <c r="AG351">
        <f>IF(ISNUMBER(AF351),IF(AF351&gt;$L$9,AE351,""),"")</f>
        <v/>
      </c>
    </row>
    <row r="352">
      <c r="P352">
        <f>IF(AND(ISNUMBER('자료_거시'!$A334),ISNUMBER('자료_거시'!$B334)),'자료_거시'!$B334,"")</f>
        <v/>
      </c>
      <c r="Q352">
        <f>IF(ISNUMBER(P352),'자료_거시'!$A334,"")</f>
        <v/>
      </c>
      <c r="R352">
        <f>IF(ISNUMBER(Q352),IF(Q352&gt;$L$5,P352,""),"")</f>
        <v/>
      </c>
      <c r="S352">
        <f>IF(ISNUMBER('자료_거시'!$E334),'자료_거시'!$E334,S351)</f>
        <v/>
      </c>
      <c r="T352">
        <f>IF(AND(ISNUMBER('자료_거시'!$D334),ISNUMBER('자료_거시'!$E334)),IFERROR('자료_거시'!$E334-INDEX($S$21:$S$4020,MATCH(EDATE('자료_거시'!$D334,-'설정'!$B$17),'자료_거시'!$D$3:INDEX('자료_거시'!$D$3:$D$4002,$K$6),1)),""),"")</f>
        <v/>
      </c>
      <c r="U352">
        <f>IF(ISNUMBER(T352),'자료_거시'!$D334,"")</f>
        <v/>
      </c>
      <c r="V352">
        <f>IF(ISNUMBER(U352),IF(U352&gt;$L$6,T352,""),"")</f>
        <v/>
      </c>
      <c r="W352">
        <f>IF(AND(ISNUMBER('자료_거시'!$G334),ISNUMBER('자료_거시'!$H334)),'자료_거시'!$H334,"")</f>
        <v/>
      </c>
      <c r="X352">
        <f>IF(ISNUMBER(W352),'자료_거시'!$G334,"")</f>
        <v/>
      </c>
      <c r="Y352">
        <f>IF(ISNUMBER(X352),IF(X352&gt;$L$7,W352,""),"")</f>
        <v/>
      </c>
      <c r="Z352">
        <f>IF(ISNUMBER('자료_거시'!$K334),'자료_거시'!$K334,Z351)</f>
        <v/>
      </c>
      <c r="AA352">
        <f>IF(AND(ISNUMBER('자료_거시'!$J334),ISNUMBER('자료_거시'!$K334)),IFERROR('자료_거시'!$K334/INDEX($Z$21:$Z$4020,MATCH(EDATE('자료_거시'!$J334,-'설정'!$B$17),'자료_거시'!$J$3:INDEX('자료_거시'!$J$3:$J$4002,$K$8),1))-1,""),"")</f>
        <v/>
      </c>
      <c r="AB352">
        <f>IF(ISNUMBER(AA352),'자료_거시'!$J334,"")</f>
        <v/>
      </c>
      <c r="AC352">
        <f>IF(ISNUMBER(AB352),IF(AB352&gt;$L$8,AA352,""),"")</f>
        <v/>
      </c>
      <c r="AD352">
        <f>IF(AND(ISNUMBER('자료_거시'!$M334),ISNUMBER('자료_거시'!$N334)),1,0)</f>
        <v/>
      </c>
      <c r="AE352">
        <f>IF(AND(ISNUMBER('자료_거시'!$M334),ISNUMBER('자료_거시'!$N334)),IF(AND(SUMIFS($AD$21:$AD$620,'자료_거시'!$M$3:$M$602,"&gt;"&amp;EDATE('자료_거시'!$M334,-'설정'!$B$17),'자료_거시'!$M$3:$M$602,"&lt;="&amp;'자료_거시'!$M334)=3,SUMIFS($AD$21:$AD$620,'자료_거시'!$M$3:$M$602,"&gt;"&amp;EDATE('자료_거시'!$M334,-12-'설정'!$B$17),'자료_거시'!$M$3:$M$602,"&lt;="&amp;EDATE('자료_거시'!$M334,-12))=3),IFERROR(SUMIFS('자료_거시'!$N$3:$N$602,'자료_거시'!$M$3:$M$602,"&gt;"&amp;EDATE('자료_거시'!$M334,-'설정'!$B$17),'자료_거시'!$M$3:$M$602,"&lt;="&amp;'자료_거시'!$M334)/SUMIFS('자료_거시'!$N$3:$N$602,'자료_거시'!$M$3:$M$602,"&gt;"&amp;EDATE('자료_거시'!$M334,-12-'설정'!$B$17),'자료_거시'!$M$3:$M$602,"&lt;="&amp;EDATE('자료_거시'!$M334,-12))-1,""),""),"")</f>
        <v/>
      </c>
      <c r="AF352">
        <f>IF(ISNUMBER(AE352),'자료_거시'!$M334,"")</f>
        <v/>
      </c>
      <c r="AG352">
        <f>IF(ISNUMBER(AF352),IF(AF352&gt;$L$9,AE352,""),"")</f>
        <v/>
      </c>
    </row>
    <row r="353">
      <c r="P353">
        <f>IF(AND(ISNUMBER('자료_거시'!$A335),ISNUMBER('자료_거시'!$B335)),'자료_거시'!$B335,"")</f>
        <v/>
      </c>
      <c r="Q353">
        <f>IF(ISNUMBER(P353),'자료_거시'!$A335,"")</f>
        <v/>
      </c>
      <c r="R353">
        <f>IF(ISNUMBER(Q353),IF(Q353&gt;$L$5,P353,""),"")</f>
        <v/>
      </c>
      <c r="S353">
        <f>IF(ISNUMBER('자료_거시'!$E335),'자료_거시'!$E335,S352)</f>
        <v/>
      </c>
      <c r="T353">
        <f>IF(AND(ISNUMBER('자료_거시'!$D335),ISNUMBER('자료_거시'!$E335)),IFERROR('자료_거시'!$E335-INDEX($S$21:$S$4020,MATCH(EDATE('자료_거시'!$D335,-'설정'!$B$17),'자료_거시'!$D$3:INDEX('자료_거시'!$D$3:$D$4002,$K$6),1)),""),"")</f>
        <v/>
      </c>
      <c r="U353">
        <f>IF(ISNUMBER(T353),'자료_거시'!$D335,"")</f>
        <v/>
      </c>
      <c r="V353">
        <f>IF(ISNUMBER(U353),IF(U353&gt;$L$6,T353,""),"")</f>
        <v/>
      </c>
      <c r="W353">
        <f>IF(AND(ISNUMBER('자료_거시'!$G335),ISNUMBER('자료_거시'!$H335)),'자료_거시'!$H335,"")</f>
        <v/>
      </c>
      <c r="X353">
        <f>IF(ISNUMBER(W353),'자료_거시'!$G335,"")</f>
        <v/>
      </c>
      <c r="Y353">
        <f>IF(ISNUMBER(X353),IF(X353&gt;$L$7,W353,""),"")</f>
        <v/>
      </c>
      <c r="Z353">
        <f>IF(ISNUMBER('자료_거시'!$K335),'자료_거시'!$K335,Z352)</f>
        <v/>
      </c>
      <c r="AA353">
        <f>IF(AND(ISNUMBER('자료_거시'!$J335),ISNUMBER('자료_거시'!$K335)),IFERROR('자료_거시'!$K335/INDEX($Z$21:$Z$4020,MATCH(EDATE('자료_거시'!$J335,-'설정'!$B$17),'자료_거시'!$J$3:INDEX('자료_거시'!$J$3:$J$4002,$K$8),1))-1,""),"")</f>
        <v/>
      </c>
      <c r="AB353">
        <f>IF(ISNUMBER(AA353),'자료_거시'!$J335,"")</f>
        <v/>
      </c>
      <c r="AC353">
        <f>IF(ISNUMBER(AB353),IF(AB353&gt;$L$8,AA353,""),"")</f>
        <v/>
      </c>
      <c r="AD353">
        <f>IF(AND(ISNUMBER('자료_거시'!$M335),ISNUMBER('자료_거시'!$N335)),1,0)</f>
        <v/>
      </c>
      <c r="AE353">
        <f>IF(AND(ISNUMBER('자료_거시'!$M335),ISNUMBER('자료_거시'!$N335)),IF(AND(SUMIFS($AD$21:$AD$620,'자료_거시'!$M$3:$M$602,"&gt;"&amp;EDATE('자료_거시'!$M335,-'설정'!$B$17),'자료_거시'!$M$3:$M$602,"&lt;="&amp;'자료_거시'!$M335)=3,SUMIFS($AD$21:$AD$620,'자료_거시'!$M$3:$M$602,"&gt;"&amp;EDATE('자료_거시'!$M335,-12-'설정'!$B$17),'자료_거시'!$M$3:$M$602,"&lt;="&amp;EDATE('자료_거시'!$M335,-12))=3),IFERROR(SUMIFS('자료_거시'!$N$3:$N$602,'자료_거시'!$M$3:$M$602,"&gt;"&amp;EDATE('자료_거시'!$M335,-'설정'!$B$17),'자료_거시'!$M$3:$M$602,"&lt;="&amp;'자료_거시'!$M335)/SUMIFS('자료_거시'!$N$3:$N$602,'자료_거시'!$M$3:$M$602,"&gt;"&amp;EDATE('자료_거시'!$M335,-12-'설정'!$B$17),'자료_거시'!$M$3:$M$602,"&lt;="&amp;EDATE('자료_거시'!$M335,-12))-1,""),""),"")</f>
        <v/>
      </c>
      <c r="AF353">
        <f>IF(ISNUMBER(AE353),'자료_거시'!$M335,"")</f>
        <v/>
      </c>
      <c r="AG353">
        <f>IF(ISNUMBER(AF353),IF(AF353&gt;$L$9,AE353,""),"")</f>
        <v/>
      </c>
    </row>
    <row r="354">
      <c r="P354">
        <f>IF(AND(ISNUMBER('자료_거시'!$A336),ISNUMBER('자료_거시'!$B336)),'자료_거시'!$B336,"")</f>
        <v/>
      </c>
      <c r="Q354">
        <f>IF(ISNUMBER(P354),'자료_거시'!$A336,"")</f>
        <v/>
      </c>
      <c r="R354">
        <f>IF(ISNUMBER(Q354),IF(Q354&gt;$L$5,P354,""),"")</f>
        <v/>
      </c>
      <c r="S354">
        <f>IF(ISNUMBER('자료_거시'!$E336),'자료_거시'!$E336,S353)</f>
        <v/>
      </c>
      <c r="T354">
        <f>IF(AND(ISNUMBER('자료_거시'!$D336),ISNUMBER('자료_거시'!$E336)),IFERROR('자료_거시'!$E336-INDEX($S$21:$S$4020,MATCH(EDATE('자료_거시'!$D336,-'설정'!$B$17),'자료_거시'!$D$3:INDEX('자료_거시'!$D$3:$D$4002,$K$6),1)),""),"")</f>
        <v/>
      </c>
      <c r="U354">
        <f>IF(ISNUMBER(T354),'자료_거시'!$D336,"")</f>
        <v/>
      </c>
      <c r="V354">
        <f>IF(ISNUMBER(U354),IF(U354&gt;$L$6,T354,""),"")</f>
        <v/>
      </c>
      <c r="W354">
        <f>IF(AND(ISNUMBER('자료_거시'!$G336),ISNUMBER('자료_거시'!$H336)),'자료_거시'!$H336,"")</f>
        <v/>
      </c>
      <c r="X354">
        <f>IF(ISNUMBER(W354),'자료_거시'!$G336,"")</f>
        <v/>
      </c>
      <c r="Y354">
        <f>IF(ISNUMBER(X354),IF(X354&gt;$L$7,W354,""),"")</f>
        <v/>
      </c>
      <c r="Z354">
        <f>IF(ISNUMBER('자료_거시'!$K336),'자료_거시'!$K336,Z353)</f>
        <v/>
      </c>
      <c r="AA354">
        <f>IF(AND(ISNUMBER('자료_거시'!$J336),ISNUMBER('자료_거시'!$K336)),IFERROR('자료_거시'!$K336/INDEX($Z$21:$Z$4020,MATCH(EDATE('자료_거시'!$J336,-'설정'!$B$17),'자료_거시'!$J$3:INDEX('자료_거시'!$J$3:$J$4002,$K$8),1))-1,""),"")</f>
        <v/>
      </c>
      <c r="AB354">
        <f>IF(ISNUMBER(AA354),'자료_거시'!$J336,"")</f>
        <v/>
      </c>
      <c r="AC354">
        <f>IF(ISNUMBER(AB354),IF(AB354&gt;$L$8,AA354,""),"")</f>
        <v/>
      </c>
      <c r="AD354">
        <f>IF(AND(ISNUMBER('자료_거시'!$M336),ISNUMBER('자료_거시'!$N336)),1,0)</f>
        <v/>
      </c>
      <c r="AE354">
        <f>IF(AND(ISNUMBER('자료_거시'!$M336),ISNUMBER('자료_거시'!$N336)),IF(AND(SUMIFS($AD$21:$AD$620,'자료_거시'!$M$3:$M$602,"&gt;"&amp;EDATE('자료_거시'!$M336,-'설정'!$B$17),'자료_거시'!$M$3:$M$602,"&lt;="&amp;'자료_거시'!$M336)=3,SUMIFS($AD$21:$AD$620,'자료_거시'!$M$3:$M$602,"&gt;"&amp;EDATE('자료_거시'!$M336,-12-'설정'!$B$17),'자료_거시'!$M$3:$M$602,"&lt;="&amp;EDATE('자료_거시'!$M336,-12))=3),IFERROR(SUMIFS('자료_거시'!$N$3:$N$602,'자료_거시'!$M$3:$M$602,"&gt;"&amp;EDATE('자료_거시'!$M336,-'설정'!$B$17),'자료_거시'!$M$3:$M$602,"&lt;="&amp;'자료_거시'!$M336)/SUMIFS('자료_거시'!$N$3:$N$602,'자료_거시'!$M$3:$M$602,"&gt;"&amp;EDATE('자료_거시'!$M336,-12-'설정'!$B$17),'자료_거시'!$M$3:$M$602,"&lt;="&amp;EDATE('자료_거시'!$M336,-12))-1,""),""),"")</f>
        <v/>
      </c>
      <c r="AF354">
        <f>IF(ISNUMBER(AE354),'자료_거시'!$M336,"")</f>
        <v/>
      </c>
      <c r="AG354">
        <f>IF(ISNUMBER(AF354),IF(AF354&gt;$L$9,AE354,""),"")</f>
        <v/>
      </c>
    </row>
    <row r="355">
      <c r="P355">
        <f>IF(AND(ISNUMBER('자료_거시'!$A337),ISNUMBER('자료_거시'!$B337)),'자료_거시'!$B337,"")</f>
        <v/>
      </c>
      <c r="Q355">
        <f>IF(ISNUMBER(P355),'자료_거시'!$A337,"")</f>
        <v/>
      </c>
      <c r="R355">
        <f>IF(ISNUMBER(Q355),IF(Q355&gt;$L$5,P355,""),"")</f>
        <v/>
      </c>
      <c r="S355">
        <f>IF(ISNUMBER('자료_거시'!$E337),'자료_거시'!$E337,S354)</f>
        <v/>
      </c>
      <c r="T355">
        <f>IF(AND(ISNUMBER('자료_거시'!$D337),ISNUMBER('자료_거시'!$E337)),IFERROR('자료_거시'!$E337-INDEX($S$21:$S$4020,MATCH(EDATE('자료_거시'!$D337,-'설정'!$B$17),'자료_거시'!$D$3:INDEX('자료_거시'!$D$3:$D$4002,$K$6),1)),""),"")</f>
        <v/>
      </c>
      <c r="U355">
        <f>IF(ISNUMBER(T355),'자료_거시'!$D337,"")</f>
        <v/>
      </c>
      <c r="V355">
        <f>IF(ISNUMBER(U355),IF(U355&gt;$L$6,T355,""),"")</f>
        <v/>
      </c>
      <c r="W355">
        <f>IF(AND(ISNUMBER('자료_거시'!$G337),ISNUMBER('자료_거시'!$H337)),'자료_거시'!$H337,"")</f>
        <v/>
      </c>
      <c r="X355">
        <f>IF(ISNUMBER(W355),'자료_거시'!$G337,"")</f>
        <v/>
      </c>
      <c r="Y355">
        <f>IF(ISNUMBER(X355),IF(X355&gt;$L$7,W355,""),"")</f>
        <v/>
      </c>
      <c r="Z355">
        <f>IF(ISNUMBER('자료_거시'!$K337),'자료_거시'!$K337,Z354)</f>
        <v/>
      </c>
      <c r="AA355">
        <f>IF(AND(ISNUMBER('자료_거시'!$J337),ISNUMBER('자료_거시'!$K337)),IFERROR('자료_거시'!$K337/INDEX($Z$21:$Z$4020,MATCH(EDATE('자료_거시'!$J337,-'설정'!$B$17),'자료_거시'!$J$3:INDEX('자료_거시'!$J$3:$J$4002,$K$8),1))-1,""),"")</f>
        <v/>
      </c>
      <c r="AB355">
        <f>IF(ISNUMBER(AA355),'자료_거시'!$J337,"")</f>
        <v/>
      </c>
      <c r="AC355">
        <f>IF(ISNUMBER(AB355),IF(AB355&gt;$L$8,AA355,""),"")</f>
        <v/>
      </c>
      <c r="AD355">
        <f>IF(AND(ISNUMBER('자료_거시'!$M337),ISNUMBER('자료_거시'!$N337)),1,0)</f>
        <v/>
      </c>
      <c r="AE355">
        <f>IF(AND(ISNUMBER('자료_거시'!$M337),ISNUMBER('자료_거시'!$N337)),IF(AND(SUMIFS($AD$21:$AD$620,'자료_거시'!$M$3:$M$602,"&gt;"&amp;EDATE('자료_거시'!$M337,-'설정'!$B$17),'자료_거시'!$M$3:$M$602,"&lt;="&amp;'자료_거시'!$M337)=3,SUMIFS($AD$21:$AD$620,'자료_거시'!$M$3:$M$602,"&gt;"&amp;EDATE('자료_거시'!$M337,-12-'설정'!$B$17),'자료_거시'!$M$3:$M$602,"&lt;="&amp;EDATE('자료_거시'!$M337,-12))=3),IFERROR(SUMIFS('자료_거시'!$N$3:$N$602,'자료_거시'!$M$3:$M$602,"&gt;"&amp;EDATE('자료_거시'!$M337,-'설정'!$B$17),'자료_거시'!$M$3:$M$602,"&lt;="&amp;'자료_거시'!$M337)/SUMIFS('자료_거시'!$N$3:$N$602,'자료_거시'!$M$3:$M$602,"&gt;"&amp;EDATE('자료_거시'!$M337,-12-'설정'!$B$17),'자료_거시'!$M$3:$M$602,"&lt;="&amp;EDATE('자료_거시'!$M337,-12))-1,""),""),"")</f>
        <v/>
      </c>
      <c r="AF355">
        <f>IF(ISNUMBER(AE355),'자료_거시'!$M337,"")</f>
        <v/>
      </c>
      <c r="AG355">
        <f>IF(ISNUMBER(AF355),IF(AF355&gt;$L$9,AE355,""),"")</f>
        <v/>
      </c>
    </row>
    <row r="356">
      <c r="P356">
        <f>IF(AND(ISNUMBER('자료_거시'!$A338),ISNUMBER('자료_거시'!$B338)),'자료_거시'!$B338,"")</f>
        <v/>
      </c>
      <c r="Q356">
        <f>IF(ISNUMBER(P356),'자료_거시'!$A338,"")</f>
        <v/>
      </c>
      <c r="R356">
        <f>IF(ISNUMBER(Q356),IF(Q356&gt;$L$5,P356,""),"")</f>
        <v/>
      </c>
      <c r="S356">
        <f>IF(ISNUMBER('자료_거시'!$E338),'자료_거시'!$E338,S355)</f>
        <v/>
      </c>
      <c r="T356">
        <f>IF(AND(ISNUMBER('자료_거시'!$D338),ISNUMBER('자료_거시'!$E338)),IFERROR('자료_거시'!$E338-INDEX($S$21:$S$4020,MATCH(EDATE('자료_거시'!$D338,-'설정'!$B$17),'자료_거시'!$D$3:INDEX('자료_거시'!$D$3:$D$4002,$K$6),1)),""),"")</f>
        <v/>
      </c>
      <c r="U356">
        <f>IF(ISNUMBER(T356),'자료_거시'!$D338,"")</f>
        <v/>
      </c>
      <c r="V356">
        <f>IF(ISNUMBER(U356),IF(U356&gt;$L$6,T356,""),"")</f>
        <v/>
      </c>
      <c r="W356">
        <f>IF(AND(ISNUMBER('자료_거시'!$G338),ISNUMBER('자료_거시'!$H338)),'자료_거시'!$H338,"")</f>
        <v/>
      </c>
      <c r="X356">
        <f>IF(ISNUMBER(W356),'자료_거시'!$G338,"")</f>
        <v/>
      </c>
      <c r="Y356">
        <f>IF(ISNUMBER(X356),IF(X356&gt;$L$7,W356,""),"")</f>
        <v/>
      </c>
      <c r="Z356">
        <f>IF(ISNUMBER('자료_거시'!$K338),'자료_거시'!$K338,Z355)</f>
        <v/>
      </c>
      <c r="AA356">
        <f>IF(AND(ISNUMBER('자료_거시'!$J338),ISNUMBER('자료_거시'!$K338)),IFERROR('자료_거시'!$K338/INDEX($Z$21:$Z$4020,MATCH(EDATE('자료_거시'!$J338,-'설정'!$B$17),'자료_거시'!$J$3:INDEX('자료_거시'!$J$3:$J$4002,$K$8),1))-1,""),"")</f>
        <v/>
      </c>
      <c r="AB356">
        <f>IF(ISNUMBER(AA356),'자료_거시'!$J338,"")</f>
        <v/>
      </c>
      <c r="AC356">
        <f>IF(ISNUMBER(AB356),IF(AB356&gt;$L$8,AA356,""),"")</f>
        <v/>
      </c>
      <c r="AD356">
        <f>IF(AND(ISNUMBER('자료_거시'!$M338),ISNUMBER('자료_거시'!$N338)),1,0)</f>
        <v/>
      </c>
      <c r="AE356">
        <f>IF(AND(ISNUMBER('자료_거시'!$M338),ISNUMBER('자료_거시'!$N338)),IF(AND(SUMIFS($AD$21:$AD$620,'자료_거시'!$M$3:$M$602,"&gt;"&amp;EDATE('자료_거시'!$M338,-'설정'!$B$17),'자료_거시'!$M$3:$M$602,"&lt;="&amp;'자료_거시'!$M338)=3,SUMIFS($AD$21:$AD$620,'자료_거시'!$M$3:$M$602,"&gt;"&amp;EDATE('자료_거시'!$M338,-12-'설정'!$B$17),'자료_거시'!$M$3:$M$602,"&lt;="&amp;EDATE('자료_거시'!$M338,-12))=3),IFERROR(SUMIFS('자료_거시'!$N$3:$N$602,'자료_거시'!$M$3:$M$602,"&gt;"&amp;EDATE('자료_거시'!$M338,-'설정'!$B$17),'자료_거시'!$M$3:$M$602,"&lt;="&amp;'자료_거시'!$M338)/SUMIFS('자료_거시'!$N$3:$N$602,'자료_거시'!$M$3:$M$602,"&gt;"&amp;EDATE('자료_거시'!$M338,-12-'설정'!$B$17),'자료_거시'!$M$3:$M$602,"&lt;="&amp;EDATE('자료_거시'!$M338,-12))-1,""),""),"")</f>
        <v/>
      </c>
      <c r="AF356">
        <f>IF(ISNUMBER(AE356),'자료_거시'!$M338,"")</f>
        <v/>
      </c>
      <c r="AG356">
        <f>IF(ISNUMBER(AF356),IF(AF356&gt;$L$9,AE356,""),"")</f>
        <v/>
      </c>
    </row>
    <row r="357">
      <c r="P357">
        <f>IF(AND(ISNUMBER('자료_거시'!$A339),ISNUMBER('자료_거시'!$B339)),'자료_거시'!$B339,"")</f>
        <v/>
      </c>
      <c r="Q357">
        <f>IF(ISNUMBER(P357),'자료_거시'!$A339,"")</f>
        <v/>
      </c>
      <c r="R357">
        <f>IF(ISNUMBER(Q357),IF(Q357&gt;$L$5,P357,""),"")</f>
        <v/>
      </c>
      <c r="S357">
        <f>IF(ISNUMBER('자료_거시'!$E339),'자료_거시'!$E339,S356)</f>
        <v/>
      </c>
      <c r="T357">
        <f>IF(AND(ISNUMBER('자료_거시'!$D339),ISNUMBER('자료_거시'!$E339)),IFERROR('자료_거시'!$E339-INDEX($S$21:$S$4020,MATCH(EDATE('자료_거시'!$D339,-'설정'!$B$17),'자료_거시'!$D$3:INDEX('자료_거시'!$D$3:$D$4002,$K$6),1)),""),"")</f>
        <v/>
      </c>
      <c r="U357">
        <f>IF(ISNUMBER(T357),'자료_거시'!$D339,"")</f>
        <v/>
      </c>
      <c r="V357">
        <f>IF(ISNUMBER(U357),IF(U357&gt;$L$6,T357,""),"")</f>
        <v/>
      </c>
      <c r="W357">
        <f>IF(AND(ISNUMBER('자료_거시'!$G339),ISNUMBER('자료_거시'!$H339)),'자료_거시'!$H339,"")</f>
        <v/>
      </c>
      <c r="X357">
        <f>IF(ISNUMBER(W357),'자료_거시'!$G339,"")</f>
        <v/>
      </c>
      <c r="Y357">
        <f>IF(ISNUMBER(X357),IF(X357&gt;$L$7,W357,""),"")</f>
        <v/>
      </c>
      <c r="Z357">
        <f>IF(ISNUMBER('자료_거시'!$K339),'자료_거시'!$K339,Z356)</f>
        <v/>
      </c>
      <c r="AA357">
        <f>IF(AND(ISNUMBER('자료_거시'!$J339),ISNUMBER('자료_거시'!$K339)),IFERROR('자료_거시'!$K339/INDEX($Z$21:$Z$4020,MATCH(EDATE('자료_거시'!$J339,-'설정'!$B$17),'자료_거시'!$J$3:INDEX('자료_거시'!$J$3:$J$4002,$K$8),1))-1,""),"")</f>
        <v/>
      </c>
      <c r="AB357">
        <f>IF(ISNUMBER(AA357),'자료_거시'!$J339,"")</f>
        <v/>
      </c>
      <c r="AC357">
        <f>IF(ISNUMBER(AB357),IF(AB357&gt;$L$8,AA357,""),"")</f>
        <v/>
      </c>
      <c r="AD357">
        <f>IF(AND(ISNUMBER('자료_거시'!$M339),ISNUMBER('자료_거시'!$N339)),1,0)</f>
        <v/>
      </c>
      <c r="AE357">
        <f>IF(AND(ISNUMBER('자료_거시'!$M339),ISNUMBER('자료_거시'!$N339)),IF(AND(SUMIFS($AD$21:$AD$620,'자료_거시'!$M$3:$M$602,"&gt;"&amp;EDATE('자료_거시'!$M339,-'설정'!$B$17),'자료_거시'!$M$3:$M$602,"&lt;="&amp;'자료_거시'!$M339)=3,SUMIFS($AD$21:$AD$620,'자료_거시'!$M$3:$M$602,"&gt;"&amp;EDATE('자료_거시'!$M339,-12-'설정'!$B$17),'자료_거시'!$M$3:$M$602,"&lt;="&amp;EDATE('자료_거시'!$M339,-12))=3),IFERROR(SUMIFS('자료_거시'!$N$3:$N$602,'자료_거시'!$M$3:$M$602,"&gt;"&amp;EDATE('자료_거시'!$M339,-'설정'!$B$17),'자료_거시'!$M$3:$M$602,"&lt;="&amp;'자료_거시'!$M339)/SUMIFS('자료_거시'!$N$3:$N$602,'자료_거시'!$M$3:$M$602,"&gt;"&amp;EDATE('자료_거시'!$M339,-12-'설정'!$B$17),'자료_거시'!$M$3:$M$602,"&lt;="&amp;EDATE('자료_거시'!$M339,-12))-1,""),""),"")</f>
        <v/>
      </c>
      <c r="AF357">
        <f>IF(ISNUMBER(AE357),'자료_거시'!$M339,"")</f>
        <v/>
      </c>
      <c r="AG357">
        <f>IF(ISNUMBER(AF357),IF(AF357&gt;$L$9,AE357,""),"")</f>
        <v/>
      </c>
    </row>
    <row r="358">
      <c r="P358">
        <f>IF(AND(ISNUMBER('자료_거시'!$A340),ISNUMBER('자료_거시'!$B340)),'자료_거시'!$B340,"")</f>
        <v/>
      </c>
      <c r="Q358">
        <f>IF(ISNUMBER(P358),'자료_거시'!$A340,"")</f>
        <v/>
      </c>
      <c r="R358">
        <f>IF(ISNUMBER(Q358),IF(Q358&gt;$L$5,P358,""),"")</f>
        <v/>
      </c>
      <c r="S358">
        <f>IF(ISNUMBER('자료_거시'!$E340),'자료_거시'!$E340,S357)</f>
        <v/>
      </c>
      <c r="T358">
        <f>IF(AND(ISNUMBER('자료_거시'!$D340),ISNUMBER('자료_거시'!$E340)),IFERROR('자료_거시'!$E340-INDEX($S$21:$S$4020,MATCH(EDATE('자료_거시'!$D340,-'설정'!$B$17),'자료_거시'!$D$3:INDEX('자료_거시'!$D$3:$D$4002,$K$6),1)),""),"")</f>
        <v/>
      </c>
      <c r="U358">
        <f>IF(ISNUMBER(T358),'자료_거시'!$D340,"")</f>
        <v/>
      </c>
      <c r="V358">
        <f>IF(ISNUMBER(U358),IF(U358&gt;$L$6,T358,""),"")</f>
        <v/>
      </c>
      <c r="W358">
        <f>IF(AND(ISNUMBER('자료_거시'!$G340),ISNUMBER('자료_거시'!$H340)),'자료_거시'!$H340,"")</f>
        <v/>
      </c>
      <c r="X358">
        <f>IF(ISNUMBER(W358),'자료_거시'!$G340,"")</f>
        <v/>
      </c>
      <c r="Y358">
        <f>IF(ISNUMBER(X358),IF(X358&gt;$L$7,W358,""),"")</f>
        <v/>
      </c>
      <c r="Z358">
        <f>IF(ISNUMBER('자료_거시'!$K340),'자료_거시'!$K340,Z357)</f>
        <v/>
      </c>
      <c r="AA358">
        <f>IF(AND(ISNUMBER('자료_거시'!$J340),ISNUMBER('자료_거시'!$K340)),IFERROR('자료_거시'!$K340/INDEX($Z$21:$Z$4020,MATCH(EDATE('자료_거시'!$J340,-'설정'!$B$17),'자료_거시'!$J$3:INDEX('자료_거시'!$J$3:$J$4002,$K$8),1))-1,""),"")</f>
        <v/>
      </c>
      <c r="AB358">
        <f>IF(ISNUMBER(AA358),'자료_거시'!$J340,"")</f>
        <v/>
      </c>
      <c r="AC358">
        <f>IF(ISNUMBER(AB358),IF(AB358&gt;$L$8,AA358,""),"")</f>
        <v/>
      </c>
      <c r="AD358">
        <f>IF(AND(ISNUMBER('자료_거시'!$M340),ISNUMBER('자료_거시'!$N340)),1,0)</f>
        <v/>
      </c>
      <c r="AE358">
        <f>IF(AND(ISNUMBER('자료_거시'!$M340),ISNUMBER('자료_거시'!$N340)),IF(AND(SUMIFS($AD$21:$AD$620,'자료_거시'!$M$3:$M$602,"&gt;"&amp;EDATE('자료_거시'!$M340,-'설정'!$B$17),'자료_거시'!$M$3:$M$602,"&lt;="&amp;'자료_거시'!$M340)=3,SUMIFS($AD$21:$AD$620,'자료_거시'!$M$3:$M$602,"&gt;"&amp;EDATE('자료_거시'!$M340,-12-'설정'!$B$17),'자료_거시'!$M$3:$M$602,"&lt;="&amp;EDATE('자료_거시'!$M340,-12))=3),IFERROR(SUMIFS('자료_거시'!$N$3:$N$602,'자료_거시'!$M$3:$M$602,"&gt;"&amp;EDATE('자료_거시'!$M340,-'설정'!$B$17),'자료_거시'!$M$3:$M$602,"&lt;="&amp;'자료_거시'!$M340)/SUMIFS('자료_거시'!$N$3:$N$602,'자료_거시'!$M$3:$M$602,"&gt;"&amp;EDATE('자료_거시'!$M340,-12-'설정'!$B$17),'자료_거시'!$M$3:$M$602,"&lt;="&amp;EDATE('자료_거시'!$M340,-12))-1,""),""),"")</f>
        <v/>
      </c>
      <c r="AF358">
        <f>IF(ISNUMBER(AE358),'자료_거시'!$M340,"")</f>
        <v/>
      </c>
      <c r="AG358">
        <f>IF(ISNUMBER(AF358),IF(AF358&gt;$L$9,AE358,""),"")</f>
        <v/>
      </c>
    </row>
    <row r="359">
      <c r="P359">
        <f>IF(AND(ISNUMBER('자료_거시'!$A341),ISNUMBER('자료_거시'!$B341)),'자료_거시'!$B341,"")</f>
        <v/>
      </c>
      <c r="Q359">
        <f>IF(ISNUMBER(P359),'자료_거시'!$A341,"")</f>
        <v/>
      </c>
      <c r="R359">
        <f>IF(ISNUMBER(Q359),IF(Q359&gt;$L$5,P359,""),"")</f>
        <v/>
      </c>
      <c r="S359">
        <f>IF(ISNUMBER('자료_거시'!$E341),'자료_거시'!$E341,S358)</f>
        <v/>
      </c>
      <c r="T359">
        <f>IF(AND(ISNUMBER('자료_거시'!$D341),ISNUMBER('자료_거시'!$E341)),IFERROR('자료_거시'!$E341-INDEX($S$21:$S$4020,MATCH(EDATE('자료_거시'!$D341,-'설정'!$B$17),'자료_거시'!$D$3:INDEX('자료_거시'!$D$3:$D$4002,$K$6),1)),""),"")</f>
        <v/>
      </c>
      <c r="U359">
        <f>IF(ISNUMBER(T359),'자료_거시'!$D341,"")</f>
        <v/>
      </c>
      <c r="V359">
        <f>IF(ISNUMBER(U359),IF(U359&gt;$L$6,T359,""),"")</f>
        <v/>
      </c>
      <c r="W359">
        <f>IF(AND(ISNUMBER('자료_거시'!$G341),ISNUMBER('자료_거시'!$H341)),'자료_거시'!$H341,"")</f>
        <v/>
      </c>
      <c r="X359">
        <f>IF(ISNUMBER(W359),'자료_거시'!$G341,"")</f>
        <v/>
      </c>
      <c r="Y359">
        <f>IF(ISNUMBER(X359),IF(X359&gt;$L$7,W359,""),"")</f>
        <v/>
      </c>
      <c r="Z359">
        <f>IF(ISNUMBER('자료_거시'!$K341),'자료_거시'!$K341,Z358)</f>
        <v/>
      </c>
      <c r="AA359">
        <f>IF(AND(ISNUMBER('자료_거시'!$J341),ISNUMBER('자료_거시'!$K341)),IFERROR('자료_거시'!$K341/INDEX($Z$21:$Z$4020,MATCH(EDATE('자료_거시'!$J341,-'설정'!$B$17),'자료_거시'!$J$3:INDEX('자료_거시'!$J$3:$J$4002,$K$8),1))-1,""),"")</f>
        <v/>
      </c>
      <c r="AB359">
        <f>IF(ISNUMBER(AA359),'자료_거시'!$J341,"")</f>
        <v/>
      </c>
      <c r="AC359">
        <f>IF(ISNUMBER(AB359),IF(AB359&gt;$L$8,AA359,""),"")</f>
        <v/>
      </c>
      <c r="AD359">
        <f>IF(AND(ISNUMBER('자료_거시'!$M341),ISNUMBER('자료_거시'!$N341)),1,0)</f>
        <v/>
      </c>
      <c r="AE359">
        <f>IF(AND(ISNUMBER('자료_거시'!$M341),ISNUMBER('자료_거시'!$N341)),IF(AND(SUMIFS($AD$21:$AD$620,'자료_거시'!$M$3:$M$602,"&gt;"&amp;EDATE('자료_거시'!$M341,-'설정'!$B$17),'자료_거시'!$M$3:$M$602,"&lt;="&amp;'자료_거시'!$M341)=3,SUMIFS($AD$21:$AD$620,'자료_거시'!$M$3:$M$602,"&gt;"&amp;EDATE('자료_거시'!$M341,-12-'설정'!$B$17),'자료_거시'!$M$3:$M$602,"&lt;="&amp;EDATE('자료_거시'!$M341,-12))=3),IFERROR(SUMIFS('자료_거시'!$N$3:$N$602,'자료_거시'!$M$3:$M$602,"&gt;"&amp;EDATE('자료_거시'!$M341,-'설정'!$B$17),'자료_거시'!$M$3:$M$602,"&lt;="&amp;'자료_거시'!$M341)/SUMIFS('자료_거시'!$N$3:$N$602,'자료_거시'!$M$3:$M$602,"&gt;"&amp;EDATE('자료_거시'!$M341,-12-'설정'!$B$17),'자료_거시'!$M$3:$M$602,"&lt;="&amp;EDATE('자료_거시'!$M341,-12))-1,""),""),"")</f>
        <v/>
      </c>
      <c r="AF359">
        <f>IF(ISNUMBER(AE359),'자료_거시'!$M341,"")</f>
        <v/>
      </c>
      <c r="AG359">
        <f>IF(ISNUMBER(AF359),IF(AF359&gt;$L$9,AE359,""),"")</f>
        <v/>
      </c>
    </row>
    <row r="360">
      <c r="P360">
        <f>IF(AND(ISNUMBER('자료_거시'!$A342),ISNUMBER('자료_거시'!$B342)),'자료_거시'!$B342,"")</f>
        <v/>
      </c>
      <c r="Q360">
        <f>IF(ISNUMBER(P360),'자료_거시'!$A342,"")</f>
        <v/>
      </c>
      <c r="R360">
        <f>IF(ISNUMBER(Q360),IF(Q360&gt;$L$5,P360,""),"")</f>
        <v/>
      </c>
      <c r="S360">
        <f>IF(ISNUMBER('자료_거시'!$E342),'자료_거시'!$E342,S359)</f>
        <v/>
      </c>
      <c r="T360">
        <f>IF(AND(ISNUMBER('자료_거시'!$D342),ISNUMBER('자료_거시'!$E342)),IFERROR('자료_거시'!$E342-INDEX($S$21:$S$4020,MATCH(EDATE('자료_거시'!$D342,-'설정'!$B$17),'자료_거시'!$D$3:INDEX('자료_거시'!$D$3:$D$4002,$K$6),1)),""),"")</f>
        <v/>
      </c>
      <c r="U360">
        <f>IF(ISNUMBER(T360),'자료_거시'!$D342,"")</f>
        <v/>
      </c>
      <c r="V360">
        <f>IF(ISNUMBER(U360),IF(U360&gt;$L$6,T360,""),"")</f>
        <v/>
      </c>
      <c r="W360">
        <f>IF(AND(ISNUMBER('자료_거시'!$G342),ISNUMBER('자료_거시'!$H342)),'자료_거시'!$H342,"")</f>
        <v/>
      </c>
      <c r="X360">
        <f>IF(ISNUMBER(W360),'자료_거시'!$G342,"")</f>
        <v/>
      </c>
      <c r="Y360">
        <f>IF(ISNUMBER(X360),IF(X360&gt;$L$7,W360,""),"")</f>
        <v/>
      </c>
      <c r="Z360">
        <f>IF(ISNUMBER('자료_거시'!$K342),'자료_거시'!$K342,Z359)</f>
        <v/>
      </c>
      <c r="AA360">
        <f>IF(AND(ISNUMBER('자료_거시'!$J342),ISNUMBER('자료_거시'!$K342)),IFERROR('자료_거시'!$K342/INDEX($Z$21:$Z$4020,MATCH(EDATE('자료_거시'!$J342,-'설정'!$B$17),'자료_거시'!$J$3:INDEX('자료_거시'!$J$3:$J$4002,$K$8),1))-1,""),"")</f>
        <v/>
      </c>
      <c r="AB360">
        <f>IF(ISNUMBER(AA360),'자료_거시'!$J342,"")</f>
        <v/>
      </c>
      <c r="AC360">
        <f>IF(ISNUMBER(AB360),IF(AB360&gt;$L$8,AA360,""),"")</f>
        <v/>
      </c>
      <c r="AD360">
        <f>IF(AND(ISNUMBER('자료_거시'!$M342),ISNUMBER('자료_거시'!$N342)),1,0)</f>
        <v/>
      </c>
      <c r="AE360">
        <f>IF(AND(ISNUMBER('자료_거시'!$M342),ISNUMBER('자료_거시'!$N342)),IF(AND(SUMIFS($AD$21:$AD$620,'자료_거시'!$M$3:$M$602,"&gt;"&amp;EDATE('자료_거시'!$M342,-'설정'!$B$17),'자료_거시'!$M$3:$M$602,"&lt;="&amp;'자료_거시'!$M342)=3,SUMIFS($AD$21:$AD$620,'자료_거시'!$M$3:$M$602,"&gt;"&amp;EDATE('자료_거시'!$M342,-12-'설정'!$B$17),'자료_거시'!$M$3:$M$602,"&lt;="&amp;EDATE('자료_거시'!$M342,-12))=3),IFERROR(SUMIFS('자료_거시'!$N$3:$N$602,'자료_거시'!$M$3:$M$602,"&gt;"&amp;EDATE('자료_거시'!$M342,-'설정'!$B$17),'자료_거시'!$M$3:$M$602,"&lt;="&amp;'자료_거시'!$M342)/SUMIFS('자료_거시'!$N$3:$N$602,'자료_거시'!$M$3:$M$602,"&gt;"&amp;EDATE('자료_거시'!$M342,-12-'설정'!$B$17),'자료_거시'!$M$3:$M$602,"&lt;="&amp;EDATE('자료_거시'!$M342,-12))-1,""),""),"")</f>
        <v/>
      </c>
      <c r="AF360">
        <f>IF(ISNUMBER(AE360),'자료_거시'!$M342,"")</f>
        <v/>
      </c>
      <c r="AG360">
        <f>IF(ISNUMBER(AF360),IF(AF360&gt;$L$9,AE360,""),"")</f>
        <v/>
      </c>
    </row>
    <row r="361">
      <c r="P361">
        <f>IF(AND(ISNUMBER('자료_거시'!$A343),ISNUMBER('자료_거시'!$B343)),'자료_거시'!$B343,"")</f>
        <v/>
      </c>
      <c r="Q361">
        <f>IF(ISNUMBER(P361),'자료_거시'!$A343,"")</f>
        <v/>
      </c>
      <c r="R361">
        <f>IF(ISNUMBER(Q361),IF(Q361&gt;$L$5,P361,""),"")</f>
        <v/>
      </c>
      <c r="S361">
        <f>IF(ISNUMBER('자료_거시'!$E343),'자료_거시'!$E343,S360)</f>
        <v/>
      </c>
      <c r="T361">
        <f>IF(AND(ISNUMBER('자료_거시'!$D343),ISNUMBER('자료_거시'!$E343)),IFERROR('자료_거시'!$E343-INDEX($S$21:$S$4020,MATCH(EDATE('자료_거시'!$D343,-'설정'!$B$17),'자료_거시'!$D$3:INDEX('자료_거시'!$D$3:$D$4002,$K$6),1)),""),"")</f>
        <v/>
      </c>
      <c r="U361">
        <f>IF(ISNUMBER(T361),'자료_거시'!$D343,"")</f>
        <v/>
      </c>
      <c r="V361">
        <f>IF(ISNUMBER(U361),IF(U361&gt;$L$6,T361,""),"")</f>
        <v/>
      </c>
      <c r="W361">
        <f>IF(AND(ISNUMBER('자료_거시'!$G343),ISNUMBER('자료_거시'!$H343)),'자료_거시'!$H343,"")</f>
        <v/>
      </c>
      <c r="X361">
        <f>IF(ISNUMBER(W361),'자료_거시'!$G343,"")</f>
        <v/>
      </c>
      <c r="Y361">
        <f>IF(ISNUMBER(X361),IF(X361&gt;$L$7,W361,""),"")</f>
        <v/>
      </c>
      <c r="Z361">
        <f>IF(ISNUMBER('자료_거시'!$K343),'자료_거시'!$K343,Z360)</f>
        <v/>
      </c>
      <c r="AA361">
        <f>IF(AND(ISNUMBER('자료_거시'!$J343),ISNUMBER('자료_거시'!$K343)),IFERROR('자료_거시'!$K343/INDEX($Z$21:$Z$4020,MATCH(EDATE('자료_거시'!$J343,-'설정'!$B$17),'자료_거시'!$J$3:INDEX('자료_거시'!$J$3:$J$4002,$K$8),1))-1,""),"")</f>
        <v/>
      </c>
      <c r="AB361">
        <f>IF(ISNUMBER(AA361),'자료_거시'!$J343,"")</f>
        <v/>
      </c>
      <c r="AC361">
        <f>IF(ISNUMBER(AB361),IF(AB361&gt;$L$8,AA361,""),"")</f>
        <v/>
      </c>
      <c r="AD361">
        <f>IF(AND(ISNUMBER('자료_거시'!$M343),ISNUMBER('자료_거시'!$N343)),1,0)</f>
        <v/>
      </c>
      <c r="AE361">
        <f>IF(AND(ISNUMBER('자료_거시'!$M343),ISNUMBER('자료_거시'!$N343)),IF(AND(SUMIFS($AD$21:$AD$620,'자료_거시'!$M$3:$M$602,"&gt;"&amp;EDATE('자료_거시'!$M343,-'설정'!$B$17),'자료_거시'!$M$3:$M$602,"&lt;="&amp;'자료_거시'!$M343)=3,SUMIFS($AD$21:$AD$620,'자료_거시'!$M$3:$M$602,"&gt;"&amp;EDATE('자료_거시'!$M343,-12-'설정'!$B$17),'자료_거시'!$M$3:$M$602,"&lt;="&amp;EDATE('자료_거시'!$M343,-12))=3),IFERROR(SUMIFS('자료_거시'!$N$3:$N$602,'자료_거시'!$M$3:$M$602,"&gt;"&amp;EDATE('자료_거시'!$M343,-'설정'!$B$17),'자료_거시'!$M$3:$M$602,"&lt;="&amp;'자료_거시'!$M343)/SUMIFS('자료_거시'!$N$3:$N$602,'자료_거시'!$M$3:$M$602,"&gt;"&amp;EDATE('자료_거시'!$M343,-12-'설정'!$B$17),'자료_거시'!$M$3:$M$602,"&lt;="&amp;EDATE('자료_거시'!$M343,-12))-1,""),""),"")</f>
        <v/>
      </c>
      <c r="AF361">
        <f>IF(ISNUMBER(AE361),'자료_거시'!$M343,"")</f>
        <v/>
      </c>
      <c r="AG361">
        <f>IF(ISNUMBER(AF361),IF(AF361&gt;$L$9,AE361,""),"")</f>
        <v/>
      </c>
    </row>
    <row r="362">
      <c r="P362">
        <f>IF(AND(ISNUMBER('자료_거시'!$A344),ISNUMBER('자료_거시'!$B344)),'자료_거시'!$B344,"")</f>
        <v/>
      </c>
      <c r="Q362">
        <f>IF(ISNUMBER(P362),'자료_거시'!$A344,"")</f>
        <v/>
      </c>
      <c r="R362">
        <f>IF(ISNUMBER(Q362),IF(Q362&gt;$L$5,P362,""),"")</f>
        <v/>
      </c>
      <c r="S362">
        <f>IF(ISNUMBER('자료_거시'!$E344),'자료_거시'!$E344,S361)</f>
        <v/>
      </c>
      <c r="T362">
        <f>IF(AND(ISNUMBER('자료_거시'!$D344),ISNUMBER('자료_거시'!$E344)),IFERROR('자료_거시'!$E344-INDEX($S$21:$S$4020,MATCH(EDATE('자료_거시'!$D344,-'설정'!$B$17),'자료_거시'!$D$3:INDEX('자료_거시'!$D$3:$D$4002,$K$6),1)),""),"")</f>
        <v/>
      </c>
      <c r="U362">
        <f>IF(ISNUMBER(T362),'자료_거시'!$D344,"")</f>
        <v/>
      </c>
      <c r="V362">
        <f>IF(ISNUMBER(U362),IF(U362&gt;$L$6,T362,""),"")</f>
        <v/>
      </c>
      <c r="W362">
        <f>IF(AND(ISNUMBER('자료_거시'!$G344),ISNUMBER('자료_거시'!$H344)),'자료_거시'!$H344,"")</f>
        <v/>
      </c>
      <c r="X362">
        <f>IF(ISNUMBER(W362),'자료_거시'!$G344,"")</f>
        <v/>
      </c>
      <c r="Y362">
        <f>IF(ISNUMBER(X362),IF(X362&gt;$L$7,W362,""),"")</f>
        <v/>
      </c>
      <c r="Z362">
        <f>IF(ISNUMBER('자료_거시'!$K344),'자료_거시'!$K344,Z361)</f>
        <v/>
      </c>
      <c r="AA362">
        <f>IF(AND(ISNUMBER('자료_거시'!$J344),ISNUMBER('자료_거시'!$K344)),IFERROR('자료_거시'!$K344/INDEX($Z$21:$Z$4020,MATCH(EDATE('자료_거시'!$J344,-'설정'!$B$17),'자료_거시'!$J$3:INDEX('자료_거시'!$J$3:$J$4002,$K$8),1))-1,""),"")</f>
        <v/>
      </c>
      <c r="AB362">
        <f>IF(ISNUMBER(AA362),'자료_거시'!$J344,"")</f>
        <v/>
      </c>
      <c r="AC362">
        <f>IF(ISNUMBER(AB362),IF(AB362&gt;$L$8,AA362,""),"")</f>
        <v/>
      </c>
      <c r="AD362">
        <f>IF(AND(ISNUMBER('자료_거시'!$M344),ISNUMBER('자료_거시'!$N344)),1,0)</f>
        <v/>
      </c>
      <c r="AE362">
        <f>IF(AND(ISNUMBER('자료_거시'!$M344),ISNUMBER('자료_거시'!$N344)),IF(AND(SUMIFS($AD$21:$AD$620,'자료_거시'!$M$3:$M$602,"&gt;"&amp;EDATE('자료_거시'!$M344,-'설정'!$B$17),'자료_거시'!$M$3:$M$602,"&lt;="&amp;'자료_거시'!$M344)=3,SUMIFS($AD$21:$AD$620,'자료_거시'!$M$3:$M$602,"&gt;"&amp;EDATE('자료_거시'!$M344,-12-'설정'!$B$17),'자료_거시'!$M$3:$M$602,"&lt;="&amp;EDATE('자료_거시'!$M344,-12))=3),IFERROR(SUMIFS('자료_거시'!$N$3:$N$602,'자료_거시'!$M$3:$M$602,"&gt;"&amp;EDATE('자료_거시'!$M344,-'설정'!$B$17),'자료_거시'!$M$3:$M$602,"&lt;="&amp;'자료_거시'!$M344)/SUMIFS('자료_거시'!$N$3:$N$602,'자료_거시'!$M$3:$M$602,"&gt;"&amp;EDATE('자료_거시'!$M344,-12-'설정'!$B$17),'자료_거시'!$M$3:$M$602,"&lt;="&amp;EDATE('자료_거시'!$M344,-12))-1,""),""),"")</f>
        <v/>
      </c>
      <c r="AF362">
        <f>IF(ISNUMBER(AE362),'자료_거시'!$M344,"")</f>
        <v/>
      </c>
      <c r="AG362">
        <f>IF(ISNUMBER(AF362),IF(AF362&gt;$L$9,AE362,""),"")</f>
        <v/>
      </c>
    </row>
    <row r="363">
      <c r="P363">
        <f>IF(AND(ISNUMBER('자료_거시'!$A345),ISNUMBER('자료_거시'!$B345)),'자료_거시'!$B345,"")</f>
        <v/>
      </c>
      <c r="Q363">
        <f>IF(ISNUMBER(P363),'자료_거시'!$A345,"")</f>
        <v/>
      </c>
      <c r="R363">
        <f>IF(ISNUMBER(Q363),IF(Q363&gt;$L$5,P363,""),"")</f>
        <v/>
      </c>
      <c r="S363">
        <f>IF(ISNUMBER('자료_거시'!$E345),'자료_거시'!$E345,S362)</f>
        <v/>
      </c>
      <c r="T363">
        <f>IF(AND(ISNUMBER('자료_거시'!$D345),ISNUMBER('자료_거시'!$E345)),IFERROR('자료_거시'!$E345-INDEX($S$21:$S$4020,MATCH(EDATE('자료_거시'!$D345,-'설정'!$B$17),'자료_거시'!$D$3:INDEX('자료_거시'!$D$3:$D$4002,$K$6),1)),""),"")</f>
        <v/>
      </c>
      <c r="U363">
        <f>IF(ISNUMBER(T363),'자료_거시'!$D345,"")</f>
        <v/>
      </c>
      <c r="V363">
        <f>IF(ISNUMBER(U363),IF(U363&gt;$L$6,T363,""),"")</f>
        <v/>
      </c>
      <c r="W363">
        <f>IF(AND(ISNUMBER('자료_거시'!$G345),ISNUMBER('자료_거시'!$H345)),'자료_거시'!$H345,"")</f>
        <v/>
      </c>
      <c r="X363">
        <f>IF(ISNUMBER(W363),'자료_거시'!$G345,"")</f>
        <v/>
      </c>
      <c r="Y363">
        <f>IF(ISNUMBER(X363),IF(X363&gt;$L$7,W363,""),"")</f>
        <v/>
      </c>
      <c r="Z363">
        <f>IF(ISNUMBER('자료_거시'!$K345),'자료_거시'!$K345,Z362)</f>
        <v/>
      </c>
      <c r="AA363">
        <f>IF(AND(ISNUMBER('자료_거시'!$J345),ISNUMBER('자료_거시'!$K345)),IFERROR('자료_거시'!$K345/INDEX($Z$21:$Z$4020,MATCH(EDATE('자료_거시'!$J345,-'설정'!$B$17),'자료_거시'!$J$3:INDEX('자료_거시'!$J$3:$J$4002,$K$8),1))-1,""),"")</f>
        <v/>
      </c>
      <c r="AB363">
        <f>IF(ISNUMBER(AA363),'자료_거시'!$J345,"")</f>
        <v/>
      </c>
      <c r="AC363">
        <f>IF(ISNUMBER(AB363),IF(AB363&gt;$L$8,AA363,""),"")</f>
        <v/>
      </c>
      <c r="AD363">
        <f>IF(AND(ISNUMBER('자료_거시'!$M345),ISNUMBER('자료_거시'!$N345)),1,0)</f>
        <v/>
      </c>
      <c r="AE363">
        <f>IF(AND(ISNUMBER('자료_거시'!$M345),ISNUMBER('자료_거시'!$N345)),IF(AND(SUMIFS($AD$21:$AD$620,'자료_거시'!$M$3:$M$602,"&gt;"&amp;EDATE('자료_거시'!$M345,-'설정'!$B$17),'자료_거시'!$M$3:$M$602,"&lt;="&amp;'자료_거시'!$M345)=3,SUMIFS($AD$21:$AD$620,'자료_거시'!$M$3:$M$602,"&gt;"&amp;EDATE('자료_거시'!$M345,-12-'설정'!$B$17),'자료_거시'!$M$3:$M$602,"&lt;="&amp;EDATE('자료_거시'!$M345,-12))=3),IFERROR(SUMIFS('자료_거시'!$N$3:$N$602,'자료_거시'!$M$3:$M$602,"&gt;"&amp;EDATE('자료_거시'!$M345,-'설정'!$B$17),'자료_거시'!$M$3:$M$602,"&lt;="&amp;'자료_거시'!$M345)/SUMIFS('자료_거시'!$N$3:$N$602,'자료_거시'!$M$3:$M$602,"&gt;"&amp;EDATE('자료_거시'!$M345,-12-'설정'!$B$17),'자료_거시'!$M$3:$M$602,"&lt;="&amp;EDATE('자료_거시'!$M345,-12))-1,""),""),"")</f>
        <v/>
      </c>
      <c r="AF363">
        <f>IF(ISNUMBER(AE363),'자료_거시'!$M345,"")</f>
        <v/>
      </c>
      <c r="AG363">
        <f>IF(ISNUMBER(AF363),IF(AF363&gt;$L$9,AE363,""),"")</f>
        <v/>
      </c>
    </row>
    <row r="364">
      <c r="P364">
        <f>IF(AND(ISNUMBER('자료_거시'!$A346),ISNUMBER('자료_거시'!$B346)),'자료_거시'!$B346,"")</f>
        <v/>
      </c>
      <c r="Q364">
        <f>IF(ISNUMBER(P364),'자료_거시'!$A346,"")</f>
        <v/>
      </c>
      <c r="R364">
        <f>IF(ISNUMBER(Q364),IF(Q364&gt;$L$5,P364,""),"")</f>
        <v/>
      </c>
      <c r="S364">
        <f>IF(ISNUMBER('자료_거시'!$E346),'자료_거시'!$E346,S363)</f>
        <v/>
      </c>
      <c r="T364">
        <f>IF(AND(ISNUMBER('자료_거시'!$D346),ISNUMBER('자료_거시'!$E346)),IFERROR('자료_거시'!$E346-INDEX($S$21:$S$4020,MATCH(EDATE('자료_거시'!$D346,-'설정'!$B$17),'자료_거시'!$D$3:INDEX('자료_거시'!$D$3:$D$4002,$K$6),1)),""),"")</f>
        <v/>
      </c>
      <c r="U364">
        <f>IF(ISNUMBER(T364),'자료_거시'!$D346,"")</f>
        <v/>
      </c>
      <c r="V364">
        <f>IF(ISNUMBER(U364),IF(U364&gt;$L$6,T364,""),"")</f>
        <v/>
      </c>
      <c r="W364">
        <f>IF(AND(ISNUMBER('자료_거시'!$G346),ISNUMBER('자료_거시'!$H346)),'자료_거시'!$H346,"")</f>
        <v/>
      </c>
      <c r="X364">
        <f>IF(ISNUMBER(W364),'자료_거시'!$G346,"")</f>
        <v/>
      </c>
      <c r="Y364">
        <f>IF(ISNUMBER(X364),IF(X364&gt;$L$7,W364,""),"")</f>
        <v/>
      </c>
      <c r="Z364">
        <f>IF(ISNUMBER('자료_거시'!$K346),'자료_거시'!$K346,Z363)</f>
        <v/>
      </c>
      <c r="AA364">
        <f>IF(AND(ISNUMBER('자료_거시'!$J346),ISNUMBER('자료_거시'!$K346)),IFERROR('자료_거시'!$K346/INDEX($Z$21:$Z$4020,MATCH(EDATE('자료_거시'!$J346,-'설정'!$B$17),'자료_거시'!$J$3:INDEX('자료_거시'!$J$3:$J$4002,$K$8),1))-1,""),"")</f>
        <v/>
      </c>
      <c r="AB364">
        <f>IF(ISNUMBER(AA364),'자료_거시'!$J346,"")</f>
        <v/>
      </c>
      <c r="AC364">
        <f>IF(ISNUMBER(AB364),IF(AB364&gt;$L$8,AA364,""),"")</f>
        <v/>
      </c>
      <c r="AD364">
        <f>IF(AND(ISNUMBER('자료_거시'!$M346),ISNUMBER('자료_거시'!$N346)),1,0)</f>
        <v/>
      </c>
      <c r="AE364">
        <f>IF(AND(ISNUMBER('자료_거시'!$M346),ISNUMBER('자료_거시'!$N346)),IF(AND(SUMIFS($AD$21:$AD$620,'자료_거시'!$M$3:$M$602,"&gt;"&amp;EDATE('자료_거시'!$M346,-'설정'!$B$17),'자료_거시'!$M$3:$M$602,"&lt;="&amp;'자료_거시'!$M346)=3,SUMIFS($AD$21:$AD$620,'자료_거시'!$M$3:$M$602,"&gt;"&amp;EDATE('자료_거시'!$M346,-12-'설정'!$B$17),'자료_거시'!$M$3:$M$602,"&lt;="&amp;EDATE('자료_거시'!$M346,-12))=3),IFERROR(SUMIFS('자료_거시'!$N$3:$N$602,'자료_거시'!$M$3:$M$602,"&gt;"&amp;EDATE('자료_거시'!$M346,-'설정'!$B$17),'자료_거시'!$M$3:$M$602,"&lt;="&amp;'자료_거시'!$M346)/SUMIFS('자료_거시'!$N$3:$N$602,'자료_거시'!$M$3:$M$602,"&gt;"&amp;EDATE('자료_거시'!$M346,-12-'설정'!$B$17),'자료_거시'!$M$3:$M$602,"&lt;="&amp;EDATE('자료_거시'!$M346,-12))-1,""),""),"")</f>
        <v/>
      </c>
      <c r="AF364">
        <f>IF(ISNUMBER(AE364),'자료_거시'!$M346,"")</f>
        <v/>
      </c>
      <c r="AG364">
        <f>IF(ISNUMBER(AF364),IF(AF364&gt;$L$9,AE364,""),"")</f>
        <v/>
      </c>
    </row>
    <row r="365">
      <c r="P365">
        <f>IF(AND(ISNUMBER('자료_거시'!$A347),ISNUMBER('자료_거시'!$B347)),'자료_거시'!$B347,"")</f>
        <v/>
      </c>
      <c r="Q365">
        <f>IF(ISNUMBER(P365),'자료_거시'!$A347,"")</f>
        <v/>
      </c>
      <c r="R365">
        <f>IF(ISNUMBER(Q365),IF(Q365&gt;$L$5,P365,""),"")</f>
        <v/>
      </c>
      <c r="S365">
        <f>IF(ISNUMBER('자료_거시'!$E347),'자료_거시'!$E347,S364)</f>
        <v/>
      </c>
      <c r="T365">
        <f>IF(AND(ISNUMBER('자료_거시'!$D347),ISNUMBER('자료_거시'!$E347)),IFERROR('자료_거시'!$E347-INDEX($S$21:$S$4020,MATCH(EDATE('자료_거시'!$D347,-'설정'!$B$17),'자료_거시'!$D$3:INDEX('자료_거시'!$D$3:$D$4002,$K$6),1)),""),"")</f>
        <v/>
      </c>
      <c r="U365">
        <f>IF(ISNUMBER(T365),'자료_거시'!$D347,"")</f>
        <v/>
      </c>
      <c r="V365">
        <f>IF(ISNUMBER(U365),IF(U365&gt;$L$6,T365,""),"")</f>
        <v/>
      </c>
      <c r="W365">
        <f>IF(AND(ISNUMBER('자료_거시'!$G347),ISNUMBER('자료_거시'!$H347)),'자료_거시'!$H347,"")</f>
        <v/>
      </c>
      <c r="X365">
        <f>IF(ISNUMBER(W365),'자료_거시'!$G347,"")</f>
        <v/>
      </c>
      <c r="Y365">
        <f>IF(ISNUMBER(X365),IF(X365&gt;$L$7,W365,""),"")</f>
        <v/>
      </c>
      <c r="Z365">
        <f>IF(ISNUMBER('자료_거시'!$K347),'자료_거시'!$K347,Z364)</f>
        <v/>
      </c>
      <c r="AA365">
        <f>IF(AND(ISNUMBER('자료_거시'!$J347),ISNUMBER('자료_거시'!$K347)),IFERROR('자료_거시'!$K347/INDEX($Z$21:$Z$4020,MATCH(EDATE('자료_거시'!$J347,-'설정'!$B$17),'자료_거시'!$J$3:INDEX('자료_거시'!$J$3:$J$4002,$K$8),1))-1,""),"")</f>
        <v/>
      </c>
      <c r="AB365">
        <f>IF(ISNUMBER(AA365),'자료_거시'!$J347,"")</f>
        <v/>
      </c>
      <c r="AC365">
        <f>IF(ISNUMBER(AB365),IF(AB365&gt;$L$8,AA365,""),"")</f>
        <v/>
      </c>
      <c r="AD365">
        <f>IF(AND(ISNUMBER('자료_거시'!$M347),ISNUMBER('자료_거시'!$N347)),1,0)</f>
        <v/>
      </c>
      <c r="AE365">
        <f>IF(AND(ISNUMBER('자료_거시'!$M347),ISNUMBER('자료_거시'!$N347)),IF(AND(SUMIFS($AD$21:$AD$620,'자료_거시'!$M$3:$M$602,"&gt;"&amp;EDATE('자료_거시'!$M347,-'설정'!$B$17),'자료_거시'!$M$3:$M$602,"&lt;="&amp;'자료_거시'!$M347)=3,SUMIFS($AD$21:$AD$620,'자료_거시'!$M$3:$M$602,"&gt;"&amp;EDATE('자료_거시'!$M347,-12-'설정'!$B$17),'자료_거시'!$M$3:$M$602,"&lt;="&amp;EDATE('자료_거시'!$M347,-12))=3),IFERROR(SUMIFS('자료_거시'!$N$3:$N$602,'자료_거시'!$M$3:$M$602,"&gt;"&amp;EDATE('자료_거시'!$M347,-'설정'!$B$17),'자료_거시'!$M$3:$M$602,"&lt;="&amp;'자료_거시'!$M347)/SUMIFS('자료_거시'!$N$3:$N$602,'자료_거시'!$M$3:$M$602,"&gt;"&amp;EDATE('자료_거시'!$M347,-12-'설정'!$B$17),'자료_거시'!$M$3:$M$602,"&lt;="&amp;EDATE('자료_거시'!$M347,-12))-1,""),""),"")</f>
        <v/>
      </c>
      <c r="AF365">
        <f>IF(ISNUMBER(AE365),'자료_거시'!$M347,"")</f>
        <v/>
      </c>
      <c r="AG365">
        <f>IF(ISNUMBER(AF365),IF(AF365&gt;$L$9,AE365,""),"")</f>
        <v/>
      </c>
    </row>
    <row r="366">
      <c r="P366">
        <f>IF(AND(ISNUMBER('자료_거시'!$A348),ISNUMBER('자료_거시'!$B348)),'자료_거시'!$B348,"")</f>
        <v/>
      </c>
      <c r="Q366">
        <f>IF(ISNUMBER(P366),'자료_거시'!$A348,"")</f>
        <v/>
      </c>
      <c r="R366">
        <f>IF(ISNUMBER(Q366),IF(Q366&gt;$L$5,P366,""),"")</f>
        <v/>
      </c>
      <c r="S366">
        <f>IF(ISNUMBER('자료_거시'!$E348),'자료_거시'!$E348,S365)</f>
        <v/>
      </c>
      <c r="T366">
        <f>IF(AND(ISNUMBER('자료_거시'!$D348),ISNUMBER('자료_거시'!$E348)),IFERROR('자료_거시'!$E348-INDEX($S$21:$S$4020,MATCH(EDATE('자료_거시'!$D348,-'설정'!$B$17),'자료_거시'!$D$3:INDEX('자료_거시'!$D$3:$D$4002,$K$6),1)),""),"")</f>
        <v/>
      </c>
      <c r="U366">
        <f>IF(ISNUMBER(T366),'자료_거시'!$D348,"")</f>
        <v/>
      </c>
      <c r="V366">
        <f>IF(ISNUMBER(U366),IF(U366&gt;$L$6,T366,""),"")</f>
        <v/>
      </c>
      <c r="W366">
        <f>IF(AND(ISNUMBER('자료_거시'!$G348),ISNUMBER('자료_거시'!$H348)),'자료_거시'!$H348,"")</f>
        <v/>
      </c>
      <c r="X366">
        <f>IF(ISNUMBER(W366),'자료_거시'!$G348,"")</f>
        <v/>
      </c>
      <c r="Y366">
        <f>IF(ISNUMBER(X366),IF(X366&gt;$L$7,W366,""),"")</f>
        <v/>
      </c>
      <c r="Z366">
        <f>IF(ISNUMBER('자료_거시'!$K348),'자료_거시'!$K348,Z365)</f>
        <v/>
      </c>
      <c r="AA366">
        <f>IF(AND(ISNUMBER('자료_거시'!$J348),ISNUMBER('자료_거시'!$K348)),IFERROR('자료_거시'!$K348/INDEX($Z$21:$Z$4020,MATCH(EDATE('자료_거시'!$J348,-'설정'!$B$17),'자료_거시'!$J$3:INDEX('자료_거시'!$J$3:$J$4002,$K$8),1))-1,""),"")</f>
        <v/>
      </c>
      <c r="AB366">
        <f>IF(ISNUMBER(AA366),'자료_거시'!$J348,"")</f>
        <v/>
      </c>
      <c r="AC366">
        <f>IF(ISNUMBER(AB366),IF(AB366&gt;$L$8,AA366,""),"")</f>
        <v/>
      </c>
      <c r="AD366">
        <f>IF(AND(ISNUMBER('자료_거시'!$M348),ISNUMBER('자료_거시'!$N348)),1,0)</f>
        <v/>
      </c>
      <c r="AE366">
        <f>IF(AND(ISNUMBER('자료_거시'!$M348),ISNUMBER('자료_거시'!$N348)),IF(AND(SUMIFS($AD$21:$AD$620,'자료_거시'!$M$3:$M$602,"&gt;"&amp;EDATE('자료_거시'!$M348,-'설정'!$B$17),'자료_거시'!$M$3:$M$602,"&lt;="&amp;'자료_거시'!$M348)=3,SUMIFS($AD$21:$AD$620,'자료_거시'!$M$3:$M$602,"&gt;"&amp;EDATE('자료_거시'!$M348,-12-'설정'!$B$17),'자료_거시'!$M$3:$M$602,"&lt;="&amp;EDATE('자료_거시'!$M348,-12))=3),IFERROR(SUMIFS('자료_거시'!$N$3:$N$602,'자료_거시'!$M$3:$M$602,"&gt;"&amp;EDATE('자료_거시'!$M348,-'설정'!$B$17),'자료_거시'!$M$3:$M$602,"&lt;="&amp;'자료_거시'!$M348)/SUMIFS('자료_거시'!$N$3:$N$602,'자료_거시'!$M$3:$M$602,"&gt;"&amp;EDATE('자료_거시'!$M348,-12-'설정'!$B$17),'자료_거시'!$M$3:$M$602,"&lt;="&amp;EDATE('자료_거시'!$M348,-12))-1,""),""),"")</f>
        <v/>
      </c>
      <c r="AF366">
        <f>IF(ISNUMBER(AE366),'자료_거시'!$M348,"")</f>
        <v/>
      </c>
      <c r="AG366">
        <f>IF(ISNUMBER(AF366),IF(AF366&gt;$L$9,AE366,""),"")</f>
        <v/>
      </c>
    </row>
    <row r="367">
      <c r="P367">
        <f>IF(AND(ISNUMBER('자료_거시'!$A349),ISNUMBER('자료_거시'!$B349)),'자료_거시'!$B349,"")</f>
        <v/>
      </c>
      <c r="Q367">
        <f>IF(ISNUMBER(P367),'자료_거시'!$A349,"")</f>
        <v/>
      </c>
      <c r="R367">
        <f>IF(ISNUMBER(Q367),IF(Q367&gt;$L$5,P367,""),"")</f>
        <v/>
      </c>
      <c r="S367">
        <f>IF(ISNUMBER('자료_거시'!$E349),'자료_거시'!$E349,S366)</f>
        <v/>
      </c>
      <c r="T367">
        <f>IF(AND(ISNUMBER('자료_거시'!$D349),ISNUMBER('자료_거시'!$E349)),IFERROR('자료_거시'!$E349-INDEX($S$21:$S$4020,MATCH(EDATE('자료_거시'!$D349,-'설정'!$B$17),'자료_거시'!$D$3:INDEX('자료_거시'!$D$3:$D$4002,$K$6),1)),""),"")</f>
        <v/>
      </c>
      <c r="U367">
        <f>IF(ISNUMBER(T367),'자료_거시'!$D349,"")</f>
        <v/>
      </c>
      <c r="V367">
        <f>IF(ISNUMBER(U367),IF(U367&gt;$L$6,T367,""),"")</f>
        <v/>
      </c>
      <c r="W367">
        <f>IF(AND(ISNUMBER('자료_거시'!$G349),ISNUMBER('자료_거시'!$H349)),'자료_거시'!$H349,"")</f>
        <v/>
      </c>
      <c r="X367">
        <f>IF(ISNUMBER(W367),'자료_거시'!$G349,"")</f>
        <v/>
      </c>
      <c r="Y367">
        <f>IF(ISNUMBER(X367),IF(X367&gt;$L$7,W367,""),"")</f>
        <v/>
      </c>
      <c r="Z367">
        <f>IF(ISNUMBER('자료_거시'!$K349),'자료_거시'!$K349,Z366)</f>
        <v/>
      </c>
      <c r="AA367">
        <f>IF(AND(ISNUMBER('자료_거시'!$J349),ISNUMBER('자료_거시'!$K349)),IFERROR('자료_거시'!$K349/INDEX($Z$21:$Z$4020,MATCH(EDATE('자료_거시'!$J349,-'설정'!$B$17),'자료_거시'!$J$3:INDEX('자료_거시'!$J$3:$J$4002,$K$8),1))-1,""),"")</f>
        <v/>
      </c>
      <c r="AB367">
        <f>IF(ISNUMBER(AA367),'자료_거시'!$J349,"")</f>
        <v/>
      </c>
      <c r="AC367">
        <f>IF(ISNUMBER(AB367),IF(AB367&gt;$L$8,AA367,""),"")</f>
        <v/>
      </c>
      <c r="AD367">
        <f>IF(AND(ISNUMBER('자료_거시'!$M349),ISNUMBER('자료_거시'!$N349)),1,0)</f>
        <v/>
      </c>
      <c r="AE367">
        <f>IF(AND(ISNUMBER('자료_거시'!$M349),ISNUMBER('자료_거시'!$N349)),IF(AND(SUMIFS($AD$21:$AD$620,'자료_거시'!$M$3:$M$602,"&gt;"&amp;EDATE('자료_거시'!$M349,-'설정'!$B$17),'자료_거시'!$M$3:$M$602,"&lt;="&amp;'자료_거시'!$M349)=3,SUMIFS($AD$21:$AD$620,'자료_거시'!$M$3:$M$602,"&gt;"&amp;EDATE('자료_거시'!$M349,-12-'설정'!$B$17),'자료_거시'!$M$3:$M$602,"&lt;="&amp;EDATE('자료_거시'!$M349,-12))=3),IFERROR(SUMIFS('자료_거시'!$N$3:$N$602,'자료_거시'!$M$3:$M$602,"&gt;"&amp;EDATE('자료_거시'!$M349,-'설정'!$B$17),'자료_거시'!$M$3:$M$602,"&lt;="&amp;'자료_거시'!$M349)/SUMIFS('자료_거시'!$N$3:$N$602,'자료_거시'!$M$3:$M$602,"&gt;"&amp;EDATE('자료_거시'!$M349,-12-'설정'!$B$17),'자료_거시'!$M$3:$M$602,"&lt;="&amp;EDATE('자료_거시'!$M349,-12))-1,""),""),"")</f>
        <v/>
      </c>
      <c r="AF367">
        <f>IF(ISNUMBER(AE367),'자료_거시'!$M349,"")</f>
        <v/>
      </c>
      <c r="AG367">
        <f>IF(ISNUMBER(AF367),IF(AF367&gt;$L$9,AE367,""),"")</f>
        <v/>
      </c>
    </row>
    <row r="368">
      <c r="P368">
        <f>IF(AND(ISNUMBER('자료_거시'!$A350),ISNUMBER('자료_거시'!$B350)),'자료_거시'!$B350,"")</f>
        <v/>
      </c>
      <c r="Q368">
        <f>IF(ISNUMBER(P368),'자료_거시'!$A350,"")</f>
        <v/>
      </c>
      <c r="R368">
        <f>IF(ISNUMBER(Q368),IF(Q368&gt;$L$5,P368,""),"")</f>
        <v/>
      </c>
      <c r="S368">
        <f>IF(ISNUMBER('자료_거시'!$E350),'자료_거시'!$E350,S367)</f>
        <v/>
      </c>
      <c r="T368">
        <f>IF(AND(ISNUMBER('자료_거시'!$D350),ISNUMBER('자료_거시'!$E350)),IFERROR('자료_거시'!$E350-INDEX($S$21:$S$4020,MATCH(EDATE('자료_거시'!$D350,-'설정'!$B$17),'자료_거시'!$D$3:INDEX('자료_거시'!$D$3:$D$4002,$K$6),1)),""),"")</f>
        <v/>
      </c>
      <c r="U368">
        <f>IF(ISNUMBER(T368),'자료_거시'!$D350,"")</f>
        <v/>
      </c>
      <c r="V368">
        <f>IF(ISNUMBER(U368),IF(U368&gt;$L$6,T368,""),"")</f>
        <v/>
      </c>
      <c r="W368">
        <f>IF(AND(ISNUMBER('자료_거시'!$G350),ISNUMBER('자료_거시'!$H350)),'자료_거시'!$H350,"")</f>
        <v/>
      </c>
      <c r="X368">
        <f>IF(ISNUMBER(W368),'자료_거시'!$G350,"")</f>
        <v/>
      </c>
      <c r="Y368">
        <f>IF(ISNUMBER(X368),IF(X368&gt;$L$7,W368,""),"")</f>
        <v/>
      </c>
      <c r="Z368">
        <f>IF(ISNUMBER('자료_거시'!$K350),'자료_거시'!$K350,Z367)</f>
        <v/>
      </c>
      <c r="AA368">
        <f>IF(AND(ISNUMBER('자료_거시'!$J350),ISNUMBER('자료_거시'!$K350)),IFERROR('자료_거시'!$K350/INDEX($Z$21:$Z$4020,MATCH(EDATE('자료_거시'!$J350,-'설정'!$B$17),'자료_거시'!$J$3:INDEX('자료_거시'!$J$3:$J$4002,$K$8),1))-1,""),"")</f>
        <v/>
      </c>
      <c r="AB368">
        <f>IF(ISNUMBER(AA368),'자료_거시'!$J350,"")</f>
        <v/>
      </c>
      <c r="AC368">
        <f>IF(ISNUMBER(AB368),IF(AB368&gt;$L$8,AA368,""),"")</f>
        <v/>
      </c>
      <c r="AD368">
        <f>IF(AND(ISNUMBER('자료_거시'!$M350),ISNUMBER('자료_거시'!$N350)),1,0)</f>
        <v/>
      </c>
      <c r="AE368">
        <f>IF(AND(ISNUMBER('자료_거시'!$M350),ISNUMBER('자료_거시'!$N350)),IF(AND(SUMIFS($AD$21:$AD$620,'자료_거시'!$M$3:$M$602,"&gt;"&amp;EDATE('자료_거시'!$M350,-'설정'!$B$17),'자료_거시'!$M$3:$M$602,"&lt;="&amp;'자료_거시'!$M350)=3,SUMIFS($AD$21:$AD$620,'자료_거시'!$M$3:$M$602,"&gt;"&amp;EDATE('자료_거시'!$M350,-12-'설정'!$B$17),'자료_거시'!$M$3:$M$602,"&lt;="&amp;EDATE('자료_거시'!$M350,-12))=3),IFERROR(SUMIFS('자료_거시'!$N$3:$N$602,'자료_거시'!$M$3:$M$602,"&gt;"&amp;EDATE('자료_거시'!$M350,-'설정'!$B$17),'자료_거시'!$M$3:$M$602,"&lt;="&amp;'자료_거시'!$M350)/SUMIFS('자료_거시'!$N$3:$N$602,'자료_거시'!$M$3:$M$602,"&gt;"&amp;EDATE('자료_거시'!$M350,-12-'설정'!$B$17),'자료_거시'!$M$3:$M$602,"&lt;="&amp;EDATE('자료_거시'!$M350,-12))-1,""),""),"")</f>
        <v/>
      </c>
      <c r="AF368">
        <f>IF(ISNUMBER(AE368),'자료_거시'!$M350,"")</f>
        <v/>
      </c>
      <c r="AG368">
        <f>IF(ISNUMBER(AF368),IF(AF368&gt;$L$9,AE368,""),"")</f>
        <v/>
      </c>
    </row>
    <row r="369">
      <c r="P369">
        <f>IF(AND(ISNUMBER('자료_거시'!$A351),ISNUMBER('자료_거시'!$B351)),'자료_거시'!$B351,"")</f>
        <v/>
      </c>
      <c r="Q369">
        <f>IF(ISNUMBER(P369),'자료_거시'!$A351,"")</f>
        <v/>
      </c>
      <c r="R369">
        <f>IF(ISNUMBER(Q369),IF(Q369&gt;$L$5,P369,""),"")</f>
        <v/>
      </c>
      <c r="S369">
        <f>IF(ISNUMBER('자료_거시'!$E351),'자료_거시'!$E351,S368)</f>
        <v/>
      </c>
      <c r="T369">
        <f>IF(AND(ISNUMBER('자료_거시'!$D351),ISNUMBER('자료_거시'!$E351)),IFERROR('자료_거시'!$E351-INDEX($S$21:$S$4020,MATCH(EDATE('자료_거시'!$D351,-'설정'!$B$17),'자료_거시'!$D$3:INDEX('자료_거시'!$D$3:$D$4002,$K$6),1)),""),"")</f>
        <v/>
      </c>
      <c r="U369">
        <f>IF(ISNUMBER(T369),'자료_거시'!$D351,"")</f>
        <v/>
      </c>
      <c r="V369">
        <f>IF(ISNUMBER(U369),IF(U369&gt;$L$6,T369,""),"")</f>
        <v/>
      </c>
      <c r="W369">
        <f>IF(AND(ISNUMBER('자료_거시'!$G351),ISNUMBER('자료_거시'!$H351)),'자료_거시'!$H351,"")</f>
        <v/>
      </c>
      <c r="X369">
        <f>IF(ISNUMBER(W369),'자료_거시'!$G351,"")</f>
        <v/>
      </c>
      <c r="Y369">
        <f>IF(ISNUMBER(X369),IF(X369&gt;$L$7,W369,""),"")</f>
        <v/>
      </c>
      <c r="Z369">
        <f>IF(ISNUMBER('자료_거시'!$K351),'자료_거시'!$K351,Z368)</f>
        <v/>
      </c>
      <c r="AA369">
        <f>IF(AND(ISNUMBER('자료_거시'!$J351),ISNUMBER('자료_거시'!$K351)),IFERROR('자료_거시'!$K351/INDEX($Z$21:$Z$4020,MATCH(EDATE('자료_거시'!$J351,-'설정'!$B$17),'자료_거시'!$J$3:INDEX('자료_거시'!$J$3:$J$4002,$K$8),1))-1,""),"")</f>
        <v/>
      </c>
      <c r="AB369">
        <f>IF(ISNUMBER(AA369),'자료_거시'!$J351,"")</f>
        <v/>
      </c>
      <c r="AC369">
        <f>IF(ISNUMBER(AB369),IF(AB369&gt;$L$8,AA369,""),"")</f>
        <v/>
      </c>
      <c r="AD369">
        <f>IF(AND(ISNUMBER('자료_거시'!$M351),ISNUMBER('자료_거시'!$N351)),1,0)</f>
        <v/>
      </c>
      <c r="AE369">
        <f>IF(AND(ISNUMBER('자료_거시'!$M351),ISNUMBER('자료_거시'!$N351)),IF(AND(SUMIFS($AD$21:$AD$620,'자료_거시'!$M$3:$M$602,"&gt;"&amp;EDATE('자료_거시'!$M351,-'설정'!$B$17),'자료_거시'!$M$3:$M$602,"&lt;="&amp;'자료_거시'!$M351)=3,SUMIFS($AD$21:$AD$620,'자료_거시'!$M$3:$M$602,"&gt;"&amp;EDATE('자료_거시'!$M351,-12-'설정'!$B$17),'자료_거시'!$M$3:$M$602,"&lt;="&amp;EDATE('자료_거시'!$M351,-12))=3),IFERROR(SUMIFS('자료_거시'!$N$3:$N$602,'자료_거시'!$M$3:$M$602,"&gt;"&amp;EDATE('자료_거시'!$M351,-'설정'!$B$17),'자료_거시'!$M$3:$M$602,"&lt;="&amp;'자료_거시'!$M351)/SUMIFS('자료_거시'!$N$3:$N$602,'자료_거시'!$M$3:$M$602,"&gt;"&amp;EDATE('자료_거시'!$M351,-12-'설정'!$B$17),'자료_거시'!$M$3:$M$602,"&lt;="&amp;EDATE('자료_거시'!$M351,-12))-1,""),""),"")</f>
        <v/>
      </c>
      <c r="AF369">
        <f>IF(ISNUMBER(AE369),'자료_거시'!$M351,"")</f>
        <v/>
      </c>
      <c r="AG369">
        <f>IF(ISNUMBER(AF369),IF(AF369&gt;$L$9,AE369,""),"")</f>
        <v/>
      </c>
    </row>
    <row r="370">
      <c r="P370">
        <f>IF(AND(ISNUMBER('자료_거시'!$A352),ISNUMBER('자료_거시'!$B352)),'자료_거시'!$B352,"")</f>
        <v/>
      </c>
      <c r="Q370">
        <f>IF(ISNUMBER(P370),'자료_거시'!$A352,"")</f>
        <v/>
      </c>
      <c r="R370">
        <f>IF(ISNUMBER(Q370),IF(Q370&gt;$L$5,P370,""),"")</f>
        <v/>
      </c>
      <c r="S370">
        <f>IF(ISNUMBER('자료_거시'!$E352),'자료_거시'!$E352,S369)</f>
        <v/>
      </c>
      <c r="T370">
        <f>IF(AND(ISNUMBER('자료_거시'!$D352),ISNUMBER('자료_거시'!$E352)),IFERROR('자료_거시'!$E352-INDEX($S$21:$S$4020,MATCH(EDATE('자료_거시'!$D352,-'설정'!$B$17),'자료_거시'!$D$3:INDEX('자료_거시'!$D$3:$D$4002,$K$6),1)),""),"")</f>
        <v/>
      </c>
      <c r="U370">
        <f>IF(ISNUMBER(T370),'자료_거시'!$D352,"")</f>
        <v/>
      </c>
      <c r="V370">
        <f>IF(ISNUMBER(U370),IF(U370&gt;$L$6,T370,""),"")</f>
        <v/>
      </c>
      <c r="W370">
        <f>IF(AND(ISNUMBER('자료_거시'!$G352),ISNUMBER('자료_거시'!$H352)),'자료_거시'!$H352,"")</f>
        <v/>
      </c>
      <c r="X370">
        <f>IF(ISNUMBER(W370),'자료_거시'!$G352,"")</f>
        <v/>
      </c>
      <c r="Y370">
        <f>IF(ISNUMBER(X370),IF(X370&gt;$L$7,W370,""),"")</f>
        <v/>
      </c>
      <c r="Z370">
        <f>IF(ISNUMBER('자료_거시'!$K352),'자료_거시'!$K352,Z369)</f>
        <v/>
      </c>
      <c r="AA370">
        <f>IF(AND(ISNUMBER('자료_거시'!$J352),ISNUMBER('자료_거시'!$K352)),IFERROR('자료_거시'!$K352/INDEX($Z$21:$Z$4020,MATCH(EDATE('자료_거시'!$J352,-'설정'!$B$17),'자료_거시'!$J$3:INDEX('자료_거시'!$J$3:$J$4002,$K$8),1))-1,""),"")</f>
        <v/>
      </c>
      <c r="AB370">
        <f>IF(ISNUMBER(AA370),'자료_거시'!$J352,"")</f>
        <v/>
      </c>
      <c r="AC370">
        <f>IF(ISNUMBER(AB370),IF(AB370&gt;$L$8,AA370,""),"")</f>
        <v/>
      </c>
      <c r="AD370">
        <f>IF(AND(ISNUMBER('자료_거시'!$M352),ISNUMBER('자료_거시'!$N352)),1,0)</f>
        <v/>
      </c>
      <c r="AE370">
        <f>IF(AND(ISNUMBER('자료_거시'!$M352),ISNUMBER('자료_거시'!$N352)),IF(AND(SUMIFS($AD$21:$AD$620,'자료_거시'!$M$3:$M$602,"&gt;"&amp;EDATE('자료_거시'!$M352,-'설정'!$B$17),'자료_거시'!$M$3:$M$602,"&lt;="&amp;'자료_거시'!$M352)=3,SUMIFS($AD$21:$AD$620,'자료_거시'!$M$3:$M$602,"&gt;"&amp;EDATE('자료_거시'!$M352,-12-'설정'!$B$17),'자료_거시'!$M$3:$M$602,"&lt;="&amp;EDATE('자료_거시'!$M352,-12))=3),IFERROR(SUMIFS('자료_거시'!$N$3:$N$602,'자료_거시'!$M$3:$M$602,"&gt;"&amp;EDATE('자료_거시'!$M352,-'설정'!$B$17),'자료_거시'!$M$3:$M$602,"&lt;="&amp;'자료_거시'!$M352)/SUMIFS('자료_거시'!$N$3:$N$602,'자료_거시'!$M$3:$M$602,"&gt;"&amp;EDATE('자료_거시'!$M352,-12-'설정'!$B$17),'자료_거시'!$M$3:$M$602,"&lt;="&amp;EDATE('자료_거시'!$M352,-12))-1,""),""),"")</f>
        <v/>
      </c>
      <c r="AF370">
        <f>IF(ISNUMBER(AE370),'자료_거시'!$M352,"")</f>
        <v/>
      </c>
      <c r="AG370">
        <f>IF(ISNUMBER(AF370),IF(AF370&gt;$L$9,AE370,""),"")</f>
        <v/>
      </c>
    </row>
    <row r="371">
      <c r="P371">
        <f>IF(AND(ISNUMBER('자료_거시'!$A353),ISNUMBER('자료_거시'!$B353)),'자료_거시'!$B353,"")</f>
        <v/>
      </c>
      <c r="Q371">
        <f>IF(ISNUMBER(P371),'자료_거시'!$A353,"")</f>
        <v/>
      </c>
      <c r="R371">
        <f>IF(ISNUMBER(Q371),IF(Q371&gt;$L$5,P371,""),"")</f>
        <v/>
      </c>
      <c r="S371">
        <f>IF(ISNUMBER('자료_거시'!$E353),'자료_거시'!$E353,S370)</f>
        <v/>
      </c>
      <c r="T371">
        <f>IF(AND(ISNUMBER('자료_거시'!$D353),ISNUMBER('자료_거시'!$E353)),IFERROR('자료_거시'!$E353-INDEX($S$21:$S$4020,MATCH(EDATE('자료_거시'!$D353,-'설정'!$B$17),'자료_거시'!$D$3:INDEX('자료_거시'!$D$3:$D$4002,$K$6),1)),""),"")</f>
        <v/>
      </c>
      <c r="U371">
        <f>IF(ISNUMBER(T371),'자료_거시'!$D353,"")</f>
        <v/>
      </c>
      <c r="V371">
        <f>IF(ISNUMBER(U371),IF(U371&gt;$L$6,T371,""),"")</f>
        <v/>
      </c>
      <c r="W371">
        <f>IF(AND(ISNUMBER('자료_거시'!$G353),ISNUMBER('자료_거시'!$H353)),'자료_거시'!$H353,"")</f>
        <v/>
      </c>
      <c r="X371">
        <f>IF(ISNUMBER(W371),'자료_거시'!$G353,"")</f>
        <v/>
      </c>
      <c r="Y371">
        <f>IF(ISNUMBER(X371),IF(X371&gt;$L$7,W371,""),"")</f>
        <v/>
      </c>
      <c r="Z371">
        <f>IF(ISNUMBER('자료_거시'!$K353),'자료_거시'!$K353,Z370)</f>
        <v/>
      </c>
      <c r="AA371">
        <f>IF(AND(ISNUMBER('자료_거시'!$J353),ISNUMBER('자료_거시'!$K353)),IFERROR('자료_거시'!$K353/INDEX($Z$21:$Z$4020,MATCH(EDATE('자료_거시'!$J353,-'설정'!$B$17),'자료_거시'!$J$3:INDEX('자료_거시'!$J$3:$J$4002,$K$8),1))-1,""),"")</f>
        <v/>
      </c>
      <c r="AB371">
        <f>IF(ISNUMBER(AA371),'자료_거시'!$J353,"")</f>
        <v/>
      </c>
      <c r="AC371">
        <f>IF(ISNUMBER(AB371),IF(AB371&gt;$L$8,AA371,""),"")</f>
        <v/>
      </c>
      <c r="AD371">
        <f>IF(AND(ISNUMBER('자료_거시'!$M353),ISNUMBER('자료_거시'!$N353)),1,0)</f>
        <v/>
      </c>
      <c r="AE371">
        <f>IF(AND(ISNUMBER('자료_거시'!$M353),ISNUMBER('자료_거시'!$N353)),IF(AND(SUMIFS($AD$21:$AD$620,'자료_거시'!$M$3:$M$602,"&gt;"&amp;EDATE('자료_거시'!$M353,-'설정'!$B$17),'자료_거시'!$M$3:$M$602,"&lt;="&amp;'자료_거시'!$M353)=3,SUMIFS($AD$21:$AD$620,'자료_거시'!$M$3:$M$602,"&gt;"&amp;EDATE('자료_거시'!$M353,-12-'설정'!$B$17),'자료_거시'!$M$3:$M$602,"&lt;="&amp;EDATE('자료_거시'!$M353,-12))=3),IFERROR(SUMIFS('자료_거시'!$N$3:$N$602,'자료_거시'!$M$3:$M$602,"&gt;"&amp;EDATE('자료_거시'!$M353,-'설정'!$B$17),'자료_거시'!$M$3:$M$602,"&lt;="&amp;'자료_거시'!$M353)/SUMIFS('자료_거시'!$N$3:$N$602,'자료_거시'!$M$3:$M$602,"&gt;"&amp;EDATE('자료_거시'!$M353,-12-'설정'!$B$17),'자료_거시'!$M$3:$M$602,"&lt;="&amp;EDATE('자료_거시'!$M353,-12))-1,""),""),"")</f>
        <v/>
      </c>
      <c r="AF371">
        <f>IF(ISNUMBER(AE371),'자료_거시'!$M353,"")</f>
        <v/>
      </c>
      <c r="AG371">
        <f>IF(ISNUMBER(AF371),IF(AF371&gt;$L$9,AE371,""),"")</f>
        <v/>
      </c>
    </row>
    <row r="372">
      <c r="P372">
        <f>IF(AND(ISNUMBER('자료_거시'!$A354),ISNUMBER('자료_거시'!$B354)),'자료_거시'!$B354,"")</f>
        <v/>
      </c>
      <c r="Q372">
        <f>IF(ISNUMBER(P372),'자료_거시'!$A354,"")</f>
        <v/>
      </c>
      <c r="R372">
        <f>IF(ISNUMBER(Q372),IF(Q372&gt;$L$5,P372,""),"")</f>
        <v/>
      </c>
      <c r="S372">
        <f>IF(ISNUMBER('자료_거시'!$E354),'자료_거시'!$E354,S371)</f>
        <v/>
      </c>
      <c r="T372">
        <f>IF(AND(ISNUMBER('자료_거시'!$D354),ISNUMBER('자료_거시'!$E354)),IFERROR('자료_거시'!$E354-INDEX($S$21:$S$4020,MATCH(EDATE('자료_거시'!$D354,-'설정'!$B$17),'자료_거시'!$D$3:INDEX('자료_거시'!$D$3:$D$4002,$K$6),1)),""),"")</f>
        <v/>
      </c>
      <c r="U372">
        <f>IF(ISNUMBER(T372),'자료_거시'!$D354,"")</f>
        <v/>
      </c>
      <c r="V372">
        <f>IF(ISNUMBER(U372),IF(U372&gt;$L$6,T372,""),"")</f>
        <v/>
      </c>
      <c r="W372">
        <f>IF(AND(ISNUMBER('자료_거시'!$G354),ISNUMBER('자료_거시'!$H354)),'자료_거시'!$H354,"")</f>
        <v/>
      </c>
      <c r="X372">
        <f>IF(ISNUMBER(W372),'자료_거시'!$G354,"")</f>
        <v/>
      </c>
      <c r="Y372">
        <f>IF(ISNUMBER(X372),IF(X372&gt;$L$7,W372,""),"")</f>
        <v/>
      </c>
      <c r="Z372">
        <f>IF(ISNUMBER('자료_거시'!$K354),'자료_거시'!$K354,Z371)</f>
        <v/>
      </c>
      <c r="AA372">
        <f>IF(AND(ISNUMBER('자료_거시'!$J354),ISNUMBER('자료_거시'!$K354)),IFERROR('자료_거시'!$K354/INDEX($Z$21:$Z$4020,MATCH(EDATE('자료_거시'!$J354,-'설정'!$B$17),'자료_거시'!$J$3:INDEX('자료_거시'!$J$3:$J$4002,$K$8),1))-1,""),"")</f>
        <v/>
      </c>
      <c r="AB372">
        <f>IF(ISNUMBER(AA372),'자료_거시'!$J354,"")</f>
        <v/>
      </c>
      <c r="AC372">
        <f>IF(ISNUMBER(AB372),IF(AB372&gt;$L$8,AA372,""),"")</f>
        <v/>
      </c>
      <c r="AD372">
        <f>IF(AND(ISNUMBER('자료_거시'!$M354),ISNUMBER('자료_거시'!$N354)),1,0)</f>
        <v/>
      </c>
      <c r="AE372">
        <f>IF(AND(ISNUMBER('자료_거시'!$M354),ISNUMBER('자료_거시'!$N354)),IF(AND(SUMIFS($AD$21:$AD$620,'자료_거시'!$M$3:$M$602,"&gt;"&amp;EDATE('자료_거시'!$M354,-'설정'!$B$17),'자료_거시'!$M$3:$M$602,"&lt;="&amp;'자료_거시'!$M354)=3,SUMIFS($AD$21:$AD$620,'자료_거시'!$M$3:$M$602,"&gt;"&amp;EDATE('자료_거시'!$M354,-12-'설정'!$B$17),'자료_거시'!$M$3:$M$602,"&lt;="&amp;EDATE('자료_거시'!$M354,-12))=3),IFERROR(SUMIFS('자료_거시'!$N$3:$N$602,'자료_거시'!$M$3:$M$602,"&gt;"&amp;EDATE('자료_거시'!$M354,-'설정'!$B$17),'자료_거시'!$M$3:$M$602,"&lt;="&amp;'자료_거시'!$M354)/SUMIFS('자료_거시'!$N$3:$N$602,'자료_거시'!$M$3:$M$602,"&gt;"&amp;EDATE('자료_거시'!$M354,-12-'설정'!$B$17),'자료_거시'!$M$3:$M$602,"&lt;="&amp;EDATE('자료_거시'!$M354,-12))-1,""),""),"")</f>
        <v/>
      </c>
      <c r="AF372">
        <f>IF(ISNUMBER(AE372),'자료_거시'!$M354,"")</f>
        <v/>
      </c>
      <c r="AG372">
        <f>IF(ISNUMBER(AF372),IF(AF372&gt;$L$9,AE372,""),"")</f>
        <v/>
      </c>
    </row>
    <row r="373">
      <c r="P373">
        <f>IF(AND(ISNUMBER('자료_거시'!$A355),ISNUMBER('자료_거시'!$B355)),'자료_거시'!$B355,"")</f>
        <v/>
      </c>
      <c r="Q373">
        <f>IF(ISNUMBER(P373),'자료_거시'!$A355,"")</f>
        <v/>
      </c>
      <c r="R373">
        <f>IF(ISNUMBER(Q373),IF(Q373&gt;$L$5,P373,""),"")</f>
        <v/>
      </c>
      <c r="S373">
        <f>IF(ISNUMBER('자료_거시'!$E355),'자료_거시'!$E355,S372)</f>
        <v/>
      </c>
      <c r="T373">
        <f>IF(AND(ISNUMBER('자료_거시'!$D355),ISNUMBER('자료_거시'!$E355)),IFERROR('자료_거시'!$E355-INDEX($S$21:$S$4020,MATCH(EDATE('자료_거시'!$D355,-'설정'!$B$17),'자료_거시'!$D$3:INDEX('자료_거시'!$D$3:$D$4002,$K$6),1)),""),"")</f>
        <v/>
      </c>
      <c r="U373">
        <f>IF(ISNUMBER(T373),'자료_거시'!$D355,"")</f>
        <v/>
      </c>
      <c r="V373">
        <f>IF(ISNUMBER(U373),IF(U373&gt;$L$6,T373,""),"")</f>
        <v/>
      </c>
      <c r="W373">
        <f>IF(AND(ISNUMBER('자료_거시'!$G355),ISNUMBER('자료_거시'!$H355)),'자료_거시'!$H355,"")</f>
        <v/>
      </c>
      <c r="X373">
        <f>IF(ISNUMBER(W373),'자료_거시'!$G355,"")</f>
        <v/>
      </c>
      <c r="Y373">
        <f>IF(ISNUMBER(X373),IF(X373&gt;$L$7,W373,""),"")</f>
        <v/>
      </c>
      <c r="Z373">
        <f>IF(ISNUMBER('자료_거시'!$K355),'자료_거시'!$K355,Z372)</f>
        <v/>
      </c>
      <c r="AA373">
        <f>IF(AND(ISNUMBER('자료_거시'!$J355),ISNUMBER('자료_거시'!$K355)),IFERROR('자료_거시'!$K355/INDEX($Z$21:$Z$4020,MATCH(EDATE('자료_거시'!$J355,-'설정'!$B$17),'자료_거시'!$J$3:INDEX('자료_거시'!$J$3:$J$4002,$K$8),1))-1,""),"")</f>
        <v/>
      </c>
      <c r="AB373">
        <f>IF(ISNUMBER(AA373),'자료_거시'!$J355,"")</f>
        <v/>
      </c>
      <c r="AC373">
        <f>IF(ISNUMBER(AB373),IF(AB373&gt;$L$8,AA373,""),"")</f>
        <v/>
      </c>
      <c r="AD373">
        <f>IF(AND(ISNUMBER('자료_거시'!$M355),ISNUMBER('자료_거시'!$N355)),1,0)</f>
        <v/>
      </c>
      <c r="AE373">
        <f>IF(AND(ISNUMBER('자료_거시'!$M355),ISNUMBER('자료_거시'!$N355)),IF(AND(SUMIFS($AD$21:$AD$620,'자료_거시'!$M$3:$M$602,"&gt;"&amp;EDATE('자료_거시'!$M355,-'설정'!$B$17),'자료_거시'!$M$3:$M$602,"&lt;="&amp;'자료_거시'!$M355)=3,SUMIFS($AD$21:$AD$620,'자료_거시'!$M$3:$M$602,"&gt;"&amp;EDATE('자료_거시'!$M355,-12-'설정'!$B$17),'자료_거시'!$M$3:$M$602,"&lt;="&amp;EDATE('자료_거시'!$M355,-12))=3),IFERROR(SUMIFS('자료_거시'!$N$3:$N$602,'자료_거시'!$M$3:$M$602,"&gt;"&amp;EDATE('자료_거시'!$M355,-'설정'!$B$17),'자료_거시'!$M$3:$M$602,"&lt;="&amp;'자료_거시'!$M355)/SUMIFS('자료_거시'!$N$3:$N$602,'자료_거시'!$M$3:$M$602,"&gt;"&amp;EDATE('자료_거시'!$M355,-12-'설정'!$B$17),'자료_거시'!$M$3:$M$602,"&lt;="&amp;EDATE('자료_거시'!$M355,-12))-1,""),""),"")</f>
        <v/>
      </c>
      <c r="AF373">
        <f>IF(ISNUMBER(AE373),'자료_거시'!$M355,"")</f>
        <v/>
      </c>
      <c r="AG373">
        <f>IF(ISNUMBER(AF373),IF(AF373&gt;$L$9,AE373,""),"")</f>
        <v/>
      </c>
    </row>
    <row r="374">
      <c r="P374">
        <f>IF(AND(ISNUMBER('자료_거시'!$A356),ISNUMBER('자료_거시'!$B356)),'자료_거시'!$B356,"")</f>
        <v/>
      </c>
      <c r="Q374">
        <f>IF(ISNUMBER(P374),'자료_거시'!$A356,"")</f>
        <v/>
      </c>
      <c r="R374">
        <f>IF(ISNUMBER(Q374),IF(Q374&gt;$L$5,P374,""),"")</f>
        <v/>
      </c>
      <c r="S374">
        <f>IF(ISNUMBER('자료_거시'!$E356),'자료_거시'!$E356,S373)</f>
        <v/>
      </c>
      <c r="T374">
        <f>IF(AND(ISNUMBER('자료_거시'!$D356),ISNUMBER('자료_거시'!$E356)),IFERROR('자료_거시'!$E356-INDEX($S$21:$S$4020,MATCH(EDATE('자료_거시'!$D356,-'설정'!$B$17),'자료_거시'!$D$3:INDEX('자료_거시'!$D$3:$D$4002,$K$6),1)),""),"")</f>
        <v/>
      </c>
      <c r="U374">
        <f>IF(ISNUMBER(T374),'자료_거시'!$D356,"")</f>
        <v/>
      </c>
      <c r="V374">
        <f>IF(ISNUMBER(U374),IF(U374&gt;$L$6,T374,""),"")</f>
        <v/>
      </c>
      <c r="W374">
        <f>IF(AND(ISNUMBER('자료_거시'!$G356),ISNUMBER('자료_거시'!$H356)),'자료_거시'!$H356,"")</f>
        <v/>
      </c>
      <c r="X374">
        <f>IF(ISNUMBER(W374),'자료_거시'!$G356,"")</f>
        <v/>
      </c>
      <c r="Y374">
        <f>IF(ISNUMBER(X374),IF(X374&gt;$L$7,W374,""),"")</f>
        <v/>
      </c>
      <c r="Z374">
        <f>IF(ISNUMBER('자료_거시'!$K356),'자료_거시'!$K356,Z373)</f>
        <v/>
      </c>
      <c r="AA374">
        <f>IF(AND(ISNUMBER('자료_거시'!$J356),ISNUMBER('자료_거시'!$K356)),IFERROR('자료_거시'!$K356/INDEX($Z$21:$Z$4020,MATCH(EDATE('자료_거시'!$J356,-'설정'!$B$17),'자료_거시'!$J$3:INDEX('자료_거시'!$J$3:$J$4002,$K$8),1))-1,""),"")</f>
        <v/>
      </c>
      <c r="AB374">
        <f>IF(ISNUMBER(AA374),'자료_거시'!$J356,"")</f>
        <v/>
      </c>
      <c r="AC374">
        <f>IF(ISNUMBER(AB374),IF(AB374&gt;$L$8,AA374,""),"")</f>
        <v/>
      </c>
      <c r="AD374">
        <f>IF(AND(ISNUMBER('자료_거시'!$M356),ISNUMBER('자료_거시'!$N356)),1,0)</f>
        <v/>
      </c>
      <c r="AE374">
        <f>IF(AND(ISNUMBER('자료_거시'!$M356),ISNUMBER('자료_거시'!$N356)),IF(AND(SUMIFS($AD$21:$AD$620,'자료_거시'!$M$3:$M$602,"&gt;"&amp;EDATE('자료_거시'!$M356,-'설정'!$B$17),'자료_거시'!$M$3:$M$602,"&lt;="&amp;'자료_거시'!$M356)=3,SUMIFS($AD$21:$AD$620,'자료_거시'!$M$3:$M$602,"&gt;"&amp;EDATE('자료_거시'!$M356,-12-'설정'!$B$17),'자료_거시'!$M$3:$M$602,"&lt;="&amp;EDATE('자료_거시'!$M356,-12))=3),IFERROR(SUMIFS('자료_거시'!$N$3:$N$602,'자료_거시'!$M$3:$M$602,"&gt;"&amp;EDATE('자료_거시'!$M356,-'설정'!$B$17),'자료_거시'!$M$3:$M$602,"&lt;="&amp;'자료_거시'!$M356)/SUMIFS('자료_거시'!$N$3:$N$602,'자료_거시'!$M$3:$M$602,"&gt;"&amp;EDATE('자료_거시'!$M356,-12-'설정'!$B$17),'자료_거시'!$M$3:$M$602,"&lt;="&amp;EDATE('자료_거시'!$M356,-12))-1,""),""),"")</f>
        <v/>
      </c>
      <c r="AF374">
        <f>IF(ISNUMBER(AE374),'자료_거시'!$M356,"")</f>
        <v/>
      </c>
      <c r="AG374">
        <f>IF(ISNUMBER(AF374),IF(AF374&gt;$L$9,AE374,""),"")</f>
        <v/>
      </c>
    </row>
    <row r="375">
      <c r="P375">
        <f>IF(AND(ISNUMBER('자료_거시'!$A357),ISNUMBER('자료_거시'!$B357)),'자료_거시'!$B357,"")</f>
        <v/>
      </c>
      <c r="Q375">
        <f>IF(ISNUMBER(P375),'자료_거시'!$A357,"")</f>
        <v/>
      </c>
      <c r="R375">
        <f>IF(ISNUMBER(Q375),IF(Q375&gt;$L$5,P375,""),"")</f>
        <v/>
      </c>
      <c r="S375">
        <f>IF(ISNUMBER('자료_거시'!$E357),'자료_거시'!$E357,S374)</f>
        <v/>
      </c>
      <c r="T375">
        <f>IF(AND(ISNUMBER('자료_거시'!$D357),ISNUMBER('자료_거시'!$E357)),IFERROR('자료_거시'!$E357-INDEX($S$21:$S$4020,MATCH(EDATE('자료_거시'!$D357,-'설정'!$B$17),'자료_거시'!$D$3:INDEX('자료_거시'!$D$3:$D$4002,$K$6),1)),""),"")</f>
        <v/>
      </c>
      <c r="U375">
        <f>IF(ISNUMBER(T375),'자료_거시'!$D357,"")</f>
        <v/>
      </c>
      <c r="V375">
        <f>IF(ISNUMBER(U375),IF(U375&gt;$L$6,T375,""),"")</f>
        <v/>
      </c>
      <c r="W375">
        <f>IF(AND(ISNUMBER('자료_거시'!$G357),ISNUMBER('자료_거시'!$H357)),'자료_거시'!$H357,"")</f>
        <v/>
      </c>
      <c r="X375">
        <f>IF(ISNUMBER(W375),'자료_거시'!$G357,"")</f>
        <v/>
      </c>
      <c r="Y375">
        <f>IF(ISNUMBER(X375),IF(X375&gt;$L$7,W375,""),"")</f>
        <v/>
      </c>
      <c r="Z375">
        <f>IF(ISNUMBER('자료_거시'!$K357),'자료_거시'!$K357,Z374)</f>
        <v/>
      </c>
      <c r="AA375">
        <f>IF(AND(ISNUMBER('자료_거시'!$J357),ISNUMBER('자료_거시'!$K357)),IFERROR('자료_거시'!$K357/INDEX($Z$21:$Z$4020,MATCH(EDATE('자료_거시'!$J357,-'설정'!$B$17),'자료_거시'!$J$3:INDEX('자료_거시'!$J$3:$J$4002,$K$8),1))-1,""),"")</f>
        <v/>
      </c>
      <c r="AB375">
        <f>IF(ISNUMBER(AA375),'자료_거시'!$J357,"")</f>
        <v/>
      </c>
      <c r="AC375">
        <f>IF(ISNUMBER(AB375),IF(AB375&gt;$L$8,AA375,""),"")</f>
        <v/>
      </c>
      <c r="AD375">
        <f>IF(AND(ISNUMBER('자료_거시'!$M357),ISNUMBER('자료_거시'!$N357)),1,0)</f>
        <v/>
      </c>
      <c r="AE375">
        <f>IF(AND(ISNUMBER('자료_거시'!$M357),ISNUMBER('자료_거시'!$N357)),IF(AND(SUMIFS($AD$21:$AD$620,'자료_거시'!$M$3:$M$602,"&gt;"&amp;EDATE('자료_거시'!$M357,-'설정'!$B$17),'자료_거시'!$M$3:$M$602,"&lt;="&amp;'자료_거시'!$M357)=3,SUMIFS($AD$21:$AD$620,'자료_거시'!$M$3:$M$602,"&gt;"&amp;EDATE('자료_거시'!$M357,-12-'설정'!$B$17),'자료_거시'!$M$3:$M$602,"&lt;="&amp;EDATE('자료_거시'!$M357,-12))=3),IFERROR(SUMIFS('자료_거시'!$N$3:$N$602,'자료_거시'!$M$3:$M$602,"&gt;"&amp;EDATE('자료_거시'!$M357,-'설정'!$B$17),'자료_거시'!$M$3:$M$602,"&lt;="&amp;'자료_거시'!$M357)/SUMIFS('자료_거시'!$N$3:$N$602,'자료_거시'!$M$3:$M$602,"&gt;"&amp;EDATE('자료_거시'!$M357,-12-'설정'!$B$17),'자료_거시'!$M$3:$M$602,"&lt;="&amp;EDATE('자료_거시'!$M357,-12))-1,""),""),"")</f>
        <v/>
      </c>
      <c r="AF375">
        <f>IF(ISNUMBER(AE375),'자료_거시'!$M357,"")</f>
        <v/>
      </c>
      <c r="AG375">
        <f>IF(ISNUMBER(AF375),IF(AF375&gt;$L$9,AE375,""),"")</f>
        <v/>
      </c>
    </row>
    <row r="376">
      <c r="P376">
        <f>IF(AND(ISNUMBER('자료_거시'!$A358),ISNUMBER('자료_거시'!$B358)),'자료_거시'!$B358,"")</f>
        <v/>
      </c>
      <c r="Q376">
        <f>IF(ISNUMBER(P376),'자료_거시'!$A358,"")</f>
        <v/>
      </c>
      <c r="R376">
        <f>IF(ISNUMBER(Q376),IF(Q376&gt;$L$5,P376,""),"")</f>
        <v/>
      </c>
      <c r="S376">
        <f>IF(ISNUMBER('자료_거시'!$E358),'자료_거시'!$E358,S375)</f>
        <v/>
      </c>
      <c r="T376">
        <f>IF(AND(ISNUMBER('자료_거시'!$D358),ISNUMBER('자료_거시'!$E358)),IFERROR('자료_거시'!$E358-INDEX($S$21:$S$4020,MATCH(EDATE('자료_거시'!$D358,-'설정'!$B$17),'자료_거시'!$D$3:INDEX('자료_거시'!$D$3:$D$4002,$K$6),1)),""),"")</f>
        <v/>
      </c>
      <c r="U376">
        <f>IF(ISNUMBER(T376),'자료_거시'!$D358,"")</f>
        <v/>
      </c>
      <c r="V376">
        <f>IF(ISNUMBER(U376),IF(U376&gt;$L$6,T376,""),"")</f>
        <v/>
      </c>
      <c r="W376">
        <f>IF(AND(ISNUMBER('자료_거시'!$G358),ISNUMBER('자료_거시'!$H358)),'자료_거시'!$H358,"")</f>
        <v/>
      </c>
      <c r="X376">
        <f>IF(ISNUMBER(W376),'자료_거시'!$G358,"")</f>
        <v/>
      </c>
      <c r="Y376">
        <f>IF(ISNUMBER(X376),IF(X376&gt;$L$7,W376,""),"")</f>
        <v/>
      </c>
      <c r="Z376">
        <f>IF(ISNUMBER('자료_거시'!$K358),'자료_거시'!$K358,Z375)</f>
        <v/>
      </c>
      <c r="AA376">
        <f>IF(AND(ISNUMBER('자료_거시'!$J358),ISNUMBER('자료_거시'!$K358)),IFERROR('자료_거시'!$K358/INDEX($Z$21:$Z$4020,MATCH(EDATE('자료_거시'!$J358,-'설정'!$B$17),'자료_거시'!$J$3:INDEX('자료_거시'!$J$3:$J$4002,$K$8),1))-1,""),"")</f>
        <v/>
      </c>
      <c r="AB376">
        <f>IF(ISNUMBER(AA376),'자료_거시'!$J358,"")</f>
        <v/>
      </c>
      <c r="AC376">
        <f>IF(ISNUMBER(AB376),IF(AB376&gt;$L$8,AA376,""),"")</f>
        <v/>
      </c>
      <c r="AD376">
        <f>IF(AND(ISNUMBER('자료_거시'!$M358),ISNUMBER('자료_거시'!$N358)),1,0)</f>
        <v/>
      </c>
      <c r="AE376">
        <f>IF(AND(ISNUMBER('자료_거시'!$M358),ISNUMBER('자료_거시'!$N358)),IF(AND(SUMIFS($AD$21:$AD$620,'자료_거시'!$M$3:$M$602,"&gt;"&amp;EDATE('자료_거시'!$M358,-'설정'!$B$17),'자료_거시'!$M$3:$M$602,"&lt;="&amp;'자료_거시'!$M358)=3,SUMIFS($AD$21:$AD$620,'자료_거시'!$M$3:$M$602,"&gt;"&amp;EDATE('자료_거시'!$M358,-12-'설정'!$B$17),'자료_거시'!$M$3:$M$602,"&lt;="&amp;EDATE('자료_거시'!$M358,-12))=3),IFERROR(SUMIFS('자료_거시'!$N$3:$N$602,'자료_거시'!$M$3:$M$602,"&gt;"&amp;EDATE('자료_거시'!$M358,-'설정'!$B$17),'자료_거시'!$M$3:$M$602,"&lt;="&amp;'자료_거시'!$M358)/SUMIFS('자료_거시'!$N$3:$N$602,'자료_거시'!$M$3:$M$602,"&gt;"&amp;EDATE('자료_거시'!$M358,-12-'설정'!$B$17),'자료_거시'!$M$3:$M$602,"&lt;="&amp;EDATE('자료_거시'!$M358,-12))-1,""),""),"")</f>
        <v/>
      </c>
      <c r="AF376">
        <f>IF(ISNUMBER(AE376),'자료_거시'!$M358,"")</f>
        <v/>
      </c>
      <c r="AG376">
        <f>IF(ISNUMBER(AF376),IF(AF376&gt;$L$9,AE376,""),"")</f>
        <v/>
      </c>
    </row>
    <row r="377">
      <c r="P377">
        <f>IF(AND(ISNUMBER('자료_거시'!$A359),ISNUMBER('자료_거시'!$B359)),'자료_거시'!$B359,"")</f>
        <v/>
      </c>
      <c r="Q377">
        <f>IF(ISNUMBER(P377),'자료_거시'!$A359,"")</f>
        <v/>
      </c>
      <c r="R377">
        <f>IF(ISNUMBER(Q377),IF(Q377&gt;$L$5,P377,""),"")</f>
        <v/>
      </c>
      <c r="S377">
        <f>IF(ISNUMBER('자료_거시'!$E359),'자료_거시'!$E359,S376)</f>
        <v/>
      </c>
      <c r="T377">
        <f>IF(AND(ISNUMBER('자료_거시'!$D359),ISNUMBER('자료_거시'!$E359)),IFERROR('자료_거시'!$E359-INDEX($S$21:$S$4020,MATCH(EDATE('자료_거시'!$D359,-'설정'!$B$17),'자료_거시'!$D$3:INDEX('자료_거시'!$D$3:$D$4002,$K$6),1)),""),"")</f>
        <v/>
      </c>
      <c r="U377">
        <f>IF(ISNUMBER(T377),'자료_거시'!$D359,"")</f>
        <v/>
      </c>
      <c r="V377">
        <f>IF(ISNUMBER(U377),IF(U377&gt;$L$6,T377,""),"")</f>
        <v/>
      </c>
      <c r="W377">
        <f>IF(AND(ISNUMBER('자료_거시'!$G359),ISNUMBER('자료_거시'!$H359)),'자료_거시'!$H359,"")</f>
        <v/>
      </c>
      <c r="X377">
        <f>IF(ISNUMBER(W377),'자료_거시'!$G359,"")</f>
        <v/>
      </c>
      <c r="Y377">
        <f>IF(ISNUMBER(X377),IF(X377&gt;$L$7,W377,""),"")</f>
        <v/>
      </c>
      <c r="Z377">
        <f>IF(ISNUMBER('자료_거시'!$K359),'자료_거시'!$K359,Z376)</f>
        <v/>
      </c>
      <c r="AA377">
        <f>IF(AND(ISNUMBER('자료_거시'!$J359),ISNUMBER('자료_거시'!$K359)),IFERROR('자료_거시'!$K359/INDEX($Z$21:$Z$4020,MATCH(EDATE('자료_거시'!$J359,-'설정'!$B$17),'자료_거시'!$J$3:INDEX('자료_거시'!$J$3:$J$4002,$K$8),1))-1,""),"")</f>
        <v/>
      </c>
      <c r="AB377">
        <f>IF(ISNUMBER(AA377),'자료_거시'!$J359,"")</f>
        <v/>
      </c>
      <c r="AC377">
        <f>IF(ISNUMBER(AB377),IF(AB377&gt;$L$8,AA377,""),"")</f>
        <v/>
      </c>
      <c r="AD377">
        <f>IF(AND(ISNUMBER('자료_거시'!$M359),ISNUMBER('자료_거시'!$N359)),1,0)</f>
        <v/>
      </c>
      <c r="AE377">
        <f>IF(AND(ISNUMBER('자료_거시'!$M359),ISNUMBER('자료_거시'!$N359)),IF(AND(SUMIFS($AD$21:$AD$620,'자료_거시'!$M$3:$M$602,"&gt;"&amp;EDATE('자료_거시'!$M359,-'설정'!$B$17),'자료_거시'!$M$3:$M$602,"&lt;="&amp;'자료_거시'!$M359)=3,SUMIFS($AD$21:$AD$620,'자료_거시'!$M$3:$M$602,"&gt;"&amp;EDATE('자료_거시'!$M359,-12-'설정'!$B$17),'자료_거시'!$M$3:$M$602,"&lt;="&amp;EDATE('자료_거시'!$M359,-12))=3),IFERROR(SUMIFS('자료_거시'!$N$3:$N$602,'자료_거시'!$M$3:$M$602,"&gt;"&amp;EDATE('자료_거시'!$M359,-'설정'!$B$17),'자료_거시'!$M$3:$M$602,"&lt;="&amp;'자료_거시'!$M359)/SUMIFS('자료_거시'!$N$3:$N$602,'자료_거시'!$M$3:$M$602,"&gt;"&amp;EDATE('자료_거시'!$M359,-12-'설정'!$B$17),'자료_거시'!$M$3:$M$602,"&lt;="&amp;EDATE('자료_거시'!$M359,-12))-1,""),""),"")</f>
        <v/>
      </c>
      <c r="AF377">
        <f>IF(ISNUMBER(AE377),'자료_거시'!$M359,"")</f>
        <v/>
      </c>
      <c r="AG377">
        <f>IF(ISNUMBER(AF377),IF(AF377&gt;$L$9,AE377,""),"")</f>
        <v/>
      </c>
    </row>
    <row r="378">
      <c r="P378">
        <f>IF(AND(ISNUMBER('자료_거시'!$A360),ISNUMBER('자료_거시'!$B360)),'자료_거시'!$B360,"")</f>
        <v/>
      </c>
      <c r="Q378">
        <f>IF(ISNUMBER(P378),'자료_거시'!$A360,"")</f>
        <v/>
      </c>
      <c r="R378">
        <f>IF(ISNUMBER(Q378),IF(Q378&gt;$L$5,P378,""),"")</f>
        <v/>
      </c>
      <c r="S378">
        <f>IF(ISNUMBER('자료_거시'!$E360),'자료_거시'!$E360,S377)</f>
        <v/>
      </c>
      <c r="T378">
        <f>IF(AND(ISNUMBER('자료_거시'!$D360),ISNUMBER('자료_거시'!$E360)),IFERROR('자료_거시'!$E360-INDEX($S$21:$S$4020,MATCH(EDATE('자료_거시'!$D360,-'설정'!$B$17),'자료_거시'!$D$3:INDEX('자료_거시'!$D$3:$D$4002,$K$6),1)),""),"")</f>
        <v/>
      </c>
      <c r="U378">
        <f>IF(ISNUMBER(T378),'자료_거시'!$D360,"")</f>
        <v/>
      </c>
      <c r="V378">
        <f>IF(ISNUMBER(U378),IF(U378&gt;$L$6,T378,""),"")</f>
        <v/>
      </c>
      <c r="W378">
        <f>IF(AND(ISNUMBER('자료_거시'!$G360),ISNUMBER('자료_거시'!$H360)),'자료_거시'!$H360,"")</f>
        <v/>
      </c>
      <c r="X378">
        <f>IF(ISNUMBER(W378),'자료_거시'!$G360,"")</f>
        <v/>
      </c>
      <c r="Y378">
        <f>IF(ISNUMBER(X378),IF(X378&gt;$L$7,W378,""),"")</f>
        <v/>
      </c>
      <c r="Z378">
        <f>IF(ISNUMBER('자료_거시'!$K360),'자료_거시'!$K360,Z377)</f>
        <v/>
      </c>
      <c r="AA378">
        <f>IF(AND(ISNUMBER('자료_거시'!$J360),ISNUMBER('자료_거시'!$K360)),IFERROR('자료_거시'!$K360/INDEX($Z$21:$Z$4020,MATCH(EDATE('자료_거시'!$J360,-'설정'!$B$17),'자료_거시'!$J$3:INDEX('자료_거시'!$J$3:$J$4002,$K$8),1))-1,""),"")</f>
        <v/>
      </c>
      <c r="AB378">
        <f>IF(ISNUMBER(AA378),'자료_거시'!$J360,"")</f>
        <v/>
      </c>
      <c r="AC378">
        <f>IF(ISNUMBER(AB378),IF(AB378&gt;$L$8,AA378,""),"")</f>
        <v/>
      </c>
      <c r="AD378">
        <f>IF(AND(ISNUMBER('자료_거시'!$M360),ISNUMBER('자료_거시'!$N360)),1,0)</f>
        <v/>
      </c>
      <c r="AE378">
        <f>IF(AND(ISNUMBER('자료_거시'!$M360),ISNUMBER('자료_거시'!$N360)),IF(AND(SUMIFS($AD$21:$AD$620,'자료_거시'!$M$3:$M$602,"&gt;"&amp;EDATE('자료_거시'!$M360,-'설정'!$B$17),'자료_거시'!$M$3:$M$602,"&lt;="&amp;'자료_거시'!$M360)=3,SUMIFS($AD$21:$AD$620,'자료_거시'!$M$3:$M$602,"&gt;"&amp;EDATE('자료_거시'!$M360,-12-'설정'!$B$17),'자료_거시'!$M$3:$M$602,"&lt;="&amp;EDATE('자료_거시'!$M360,-12))=3),IFERROR(SUMIFS('자료_거시'!$N$3:$N$602,'자료_거시'!$M$3:$M$602,"&gt;"&amp;EDATE('자료_거시'!$M360,-'설정'!$B$17),'자료_거시'!$M$3:$M$602,"&lt;="&amp;'자료_거시'!$M360)/SUMIFS('자료_거시'!$N$3:$N$602,'자료_거시'!$M$3:$M$602,"&gt;"&amp;EDATE('자료_거시'!$M360,-12-'설정'!$B$17),'자료_거시'!$M$3:$M$602,"&lt;="&amp;EDATE('자료_거시'!$M360,-12))-1,""),""),"")</f>
        <v/>
      </c>
      <c r="AF378">
        <f>IF(ISNUMBER(AE378),'자료_거시'!$M360,"")</f>
        <v/>
      </c>
      <c r="AG378">
        <f>IF(ISNUMBER(AF378),IF(AF378&gt;$L$9,AE378,""),"")</f>
        <v/>
      </c>
    </row>
    <row r="379">
      <c r="P379">
        <f>IF(AND(ISNUMBER('자료_거시'!$A361),ISNUMBER('자료_거시'!$B361)),'자료_거시'!$B361,"")</f>
        <v/>
      </c>
      <c r="Q379">
        <f>IF(ISNUMBER(P379),'자료_거시'!$A361,"")</f>
        <v/>
      </c>
      <c r="R379">
        <f>IF(ISNUMBER(Q379),IF(Q379&gt;$L$5,P379,""),"")</f>
        <v/>
      </c>
      <c r="S379">
        <f>IF(ISNUMBER('자료_거시'!$E361),'자료_거시'!$E361,S378)</f>
        <v/>
      </c>
      <c r="T379">
        <f>IF(AND(ISNUMBER('자료_거시'!$D361),ISNUMBER('자료_거시'!$E361)),IFERROR('자료_거시'!$E361-INDEX($S$21:$S$4020,MATCH(EDATE('자료_거시'!$D361,-'설정'!$B$17),'자료_거시'!$D$3:INDEX('자료_거시'!$D$3:$D$4002,$K$6),1)),""),"")</f>
        <v/>
      </c>
      <c r="U379">
        <f>IF(ISNUMBER(T379),'자료_거시'!$D361,"")</f>
        <v/>
      </c>
      <c r="V379">
        <f>IF(ISNUMBER(U379),IF(U379&gt;$L$6,T379,""),"")</f>
        <v/>
      </c>
      <c r="W379">
        <f>IF(AND(ISNUMBER('자료_거시'!$G361),ISNUMBER('자료_거시'!$H361)),'자료_거시'!$H361,"")</f>
        <v/>
      </c>
      <c r="X379">
        <f>IF(ISNUMBER(W379),'자료_거시'!$G361,"")</f>
        <v/>
      </c>
      <c r="Y379">
        <f>IF(ISNUMBER(X379),IF(X379&gt;$L$7,W379,""),"")</f>
        <v/>
      </c>
      <c r="Z379">
        <f>IF(ISNUMBER('자료_거시'!$K361),'자료_거시'!$K361,Z378)</f>
        <v/>
      </c>
      <c r="AA379">
        <f>IF(AND(ISNUMBER('자료_거시'!$J361),ISNUMBER('자료_거시'!$K361)),IFERROR('자료_거시'!$K361/INDEX($Z$21:$Z$4020,MATCH(EDATE('자료_거시'!$J361,-'설정'!$B$17),'자료_거시'!$J$3:INDEX('자료_거시'!$J$3:$J$4002,$K$8),1))-1,""),"")</f>
        <v/>
      </c>
      <c r="AB379">
        <f>IF(ISNUMBER(AA379),'자료_거시'!$J361,"")</f>
        <v/>
      </c>
      <c r="AC379">
        <f>IF(ISNUMBER(AB379),IF(AB379&gt;$L$8,AA379,""),"")</f>
        <v/>
      </c>
      <c r="AD379">
        <f>IF(AND(ISNUMBER('자료_거시'!$M361),ISNUMBER('자료_거시'!$N361)),1,0)</f>
        <v/>
      </c>
      <c r="AE379">
        <f>IF(AND(ISNUMBER('자료_거시'!$M361),ISNUMBER('자료_거시'!$N361)),IF(AND(SUMIFS($AD$21:$AD$620,'자료_거시'!$M$3:$M$602,"&gt;"&amp;EDATE('자료_거시'!$M361,-'설정'!$B$17),'자료_거시'!$M$3:$M$602,"&lt;="&amp;'자료_거시'!$M361)=3,SUMIFS($AD$21:$AD$620,'자료_거시'!$M$3:$M$602,"&gt;"&amp;EDATE('자료_거시'!$M361,-12-'설정'!$B$17),'자료_거시'!$M$3:$M$602,"&lt;="&amp;EDATE('자료_거시'!$M361,-12))=3),IFERROR(SUMIFS('자료_거시'!$N$3:$N$602,'자료_거시'!$M$3:$M$602,"&gt;"&amp;EDATE('자료_거시'!$M361,-'설정'!$B$17),'자료_거시'!$M$3:$M$602,"&lt;="&amp;'자료_거시'!$M361)/SUMIFS('자료_거시'!$N$3:$N$602,'자료_거시'!$M$3:$M$602,"&gt;"&amp;EDATE('자료_거시'!$M361,-12-'설정'!$B$17),'자료_거시'!$M$3:$M$602,"&lt;="&amp;EDATE('자료_거시'!$M361,-12))-1,""),""),"")</f>
        <v/>
      </c>
      <c r="AF379">
        <f>IF(ISNUMBER(AE379),'자료_거시'!$M361,"")</f>
        <v/>
      </c>
      <c r="AG379">
        <f>IF(ISNUMBER(AF379),IF(AF379&gt;$L$9,AE379,""),"")</f>
        <v/>
      </c>
    </row>
    <row r="380">
      <c r="P380">
        <f>IF(AND(ISNUMBER('자료_거시'!$A362),ISNUMBER('자료_거시'!$B362)),'자료_거시'!$B362,"")</f>
        <v/>
      </c>
      <c r="Q380">
        <f>IF(ISNUMBER(P380),'자료_거시'!$A362,"")</f>
        <v/>
      </c>
      <c r="R380">
        <f>IF(ISNUMBER(Q380),IF(Q380&gt;$L$5,P380,""),"")</f>
        <v/>
      </c>
      <c r="S380">
        <f>IF(ISNUMBER('자료_거시'!$E362),'자료_거시'!$E362,S379)</f>
        <v/>
      </c>
      <c r="T380">
        <f>IF(AND(ISNUMBER('자료_거시'!$D362),ISNUMBER('자료_거시'!$E362)),IFERROR('자료_거시'!$E362-INDEX($S$21:$S$4020,MATCH(EDATE('자료_거시'!$D362,-'설정'!$B$17),'자료_거시'!$D$3:INDEX('자료_거시'!$D$3:$D$4002,$K$6),1)),""),"")</f>
        <v/>
      </c>
      <c r="U380">
        <f>IF(ISNUMBER(T380),'자료_거시'!$D362,"")</f>
        <v/>
      </c>
      <c r="V380">
        <f>IF(ISNUMBER(U380),IF(U380&gt;$L$6,T380,""),"")</f>
        <v/>
      </c>
      <c r="W380">
        <f>IF(AND(ISNUMBER('자료_거시'!$G362),ISNUMBER('자료_거시'!$H362)),'자료_거시'!$H362,"")</f>
        <v/>
      </c>
      <c r="X380">
        <f>IF(ISNUMBER(W380),'자료_거시'!$G362,"")</f>
        <v/>
      </c>
      <c r="Y380">
        <f>IF(ISNUMBER(X380),IF(X380&gt;$L$7,W380,""),"")</f>
        <v/>
      </c>
      <c r="Z380">
        <f>IF(ISNUMBER('자료_거시'!$K362),'자료_거시'!$K362,Z379)</f>
        <v/>
      </c>
      <c r="AA380">
        <f>IF(AND(ISNUMBER('자료_거시'!$J362),ISNUMBER('자료_거시'!$K362)),IFERROR('자료_거시'!$K362/INDEX($Z$21:$Z$4020,MATCH(EDATE('자료_거시'!$J362,-'설정'!$B$17),'자료_거시'!$J$3:INDEX('자료_거시'!$J$3:$J$4002,$K$8),1))-1,""),"")</f>
        <v/>
      </c>
      <c r="AB380">
        <f>IF(ISNUMBER(AA380),'자료_거시'!$J362,"")</f>
        <v/>
      </c>
      <c r="AC380">
        <f>IF(ISNUMBER(AB380),IF(AB380&gt;$L$8,AA380,""),"")</f>
        <v/>
      </c>
      <c r="AD380">
        <f>IF(AND(ISNUMBER('자료_거시'!$M362),ISNUMBER('자료_거시'!$N362)),1,0)</f>
        <v/>
      </c>
      <c r="AE380">
        <f>IF(AND(ISNUMBER('자료_거시'!$M362),ISNUMBER('자료_거시'!$N362)),IF(AND(SUMIFS($AD$21:$AD$620,'자료_거시'!$M$3:$M$602,"&gt;"&amp;EDATE('자료_거시'!$M362,-'설정'!$B$17),'자료_거시'!$M$3:$M$602,"&lt;="&amp;'자료_거시'!$M362)=3,SUMIFS($AD$21:$AD$620,'자료_거시'!$M$3:$M$602,"&gt;"&amp;EDATE('자료_거시'!$M362,-12-'설정'!$B$17),'자료_거시'!$M$3:$M$602,"&lt;="&amp;EDATE('자료_거시'!$M362,-12))=3),IFERROR(SUMIFS('자료_거시'!$N$3:$N$602,'자료_거시'!$M$3:$M$602,"&gt;"&amp;EDATE('자료_거시'!$M362,-'설정'!$B$17),'자료_거시'!$M$3:$M$602,"&lt;="&amp;'자료_거시'!$M362)/SUMIFS('자료_거시'!$N$3:$N$602,'자료_거시'!$M$3:$M$602,"&gt;"&amp;EDATE('자료_거시'!$M362,-12-'설정'!$B$17),'자료_거시'!$M$3:$M$602,"&lt;="&amp;EDATE('자료_거시'!$M362,-12))-1,""),""),"")</f>
        <v/>
      </c>
      <c r="AF380">
        <f>IF(ISNUMBER(AE380),'자료_거시'!$M362,"")</f>
        <v/>
      </c>
      <c r="AG380">
        <f>IF(ISNUMBER(AF380),IF(AF380&gt;$L$9,AE380,""),"")</f>
        <v/>
      </c>
    </row>
    <row r="381">
      <c r="P381">
        <f>IF(AND(ISNUMBER('자료_거시'!$A363),ISNUMBER('자료_거시'!$B363)),'자료_거시'!$B363,"")</f>
        <v/>
      </c>
      <c r="Q381">
        <f>IF(ISNUMBER(P381),'자료_거시'!$A363,"")</f>
        <v/>
      </c>
      <c r="R381">
        <f>IF(ISNUMBER(Q381),IF(Q381&gt;$L$5,P381,""),"")</f>
        <v/>
      </c>
      <c r="S381">
        <f>IF(ISNUMBER('자료_거시'!$E363),'자료_거시'!$E363,S380)</f>
        <v/>
      </c>
      <c r="T381">
        <f>IF(AND(ISNUMBER('자료_거시'!$D363),ISNUMBER('자료_거시'!$E363)),IFERROR('자료_거시'!$E363-INDEX($S$21:$S$4020,MATCH(EDATE('자료_거시'!$D363,-'설정'!$B$17),'자료_거시'!$D$3:INDEX('자료_거시'!$D$3:$D$4002,$K$6),1)),""),"")</f>
        <v/>
      </c>
      <c r="U381">
        <f>IF(ISNUMBER(T381),'자료_거시'!$D363,"")</f>
        <v/>
      </c>
      <c r="V381">
        <f>IF(ISNUMBER(U381),IF(U381&gt;$L$6,T381,""),"")</f>
        <v/>
      </c>
      <c r="W381">
        <f>IF(AND(ISNUMBER('자료_거시'!$G363),ISNUMBER('자료_거시'!$H363)),'자료_거시'!$H363,"")</f>
        <v/>
      </c>
      <c r="X381">
        <f>IF(ISNUMBER(W381),'자료_거시'!$G363,"")</f>
        <v/>
      </c>
      <c r="Y381">
        <f>IF(ISNUMBER(X381),IF(X381&gt;$L$7,W381,""),"")</f>
        <v/>
      </c>
      <c r="Z381">
        <f>IF(ISNUMBER('자료_거시'!$K363),'자료_거시'!$K363,Z380)</f>
        <v/>
      </c>
      <c r="AA381">
        <f>IF(AND(ISNUMBER('자료_거시'!$J363),ISNUMBER('자료_거시'!$K363)),IFERROR('자료_거시'!$K363/INDEX($Z$21:$Z$4020,MATCH(EDATE('자료_거시'!$J363,-'설정'!$B$17),'자료_거시'!$J$3:INDEX('자료_거시'!$J$3:$J$4002,$K$8),1))-1,""),"")</f>
        <v/>
      </c>
      <c r="AB381">
        <f>IF(ISNUMBER(AA381),'자료_거시'!$J363,"")</f>
        <v/>
      </c>
      <c r="AC381">
        <f>IF(ISNUMBER(AB381),IF(AB381&gt;$L$8,AA381,""),"")</f>
        <v/>
      </c>
      <c r="AD381">
        <f>IF(AND(ISNUMBER('자료_거시'!$M363),ISNUMBER('자료_거시'!$N363)),1,0)</f>
        <v/>
      </c>
      <c r="AE381">
        <f>IF(AND(ISNUMBER('자료_거시'!$M363),ISNUMBER('자료_거시'!$N363)),IF(AND(SUMIFS($AD$21:$AD$620,'자료_거시'!$M$3:$M$602,"&gt;"&amp;EDATE('자료_거시'!$M363,-'설정'!$B$17),'자료_거시'!$M$3:$M$602,"&lt;="&amp;'자료_거시'!$M363)=3,SUMIFS($AD$21:$AD$620,'자료_거시'!$M$3:$M$602,"&gt;"&amp;EDATE('자료_거시'!$M363,-12-'설정'!$B$17),'자료_거시'!$M$3:$M$602,"&lt;="&amp;EDATE('자료_거시'!$M363,-12))=3),IFERROR(SUMIFS('자료_거시'!$N$3:$N$602,'자료_거시'!$M$3:$M$602,"&gt;"&amp;EDATE('자료_거시'!$M363,-'설정'!$B$17),'자료_거시'!$M$3:$M$602,"&lt;="&amp;'자료_거시'!$M363)/SUMIFS('자료_거시'!$N$3:$N$602,'자료_거시'!$M$3:$M$602,"&gt;"&amp;EDATE('자료_거시'!$M363,-12-'설정'!$B$17),'자료_거시'!$M$3:$M$602,"&lt;="&amp;EDATE('자료_거시'!$M363,-12))-1,""),""),"")</f>
        <v/>
      </c>
      <c r="AF381">
        <f>IF(ISNUMBER(AE381),'자료_거시'!$M363,"")</f>
        <v/>
      </c>
      <c r="AG381">
        <f>IF(ISNUMBER(AF381),IF(AF381&gt;$L$9,AE381,""),"")</f>
        <v/>
      </c>
    </row>
    <row r="382">
      <c r="P382">
        <f>IF(AND(ISNUMBER('자료_거시'!$A364),ISNUMBER('자료_거시'!$B364)),'자료_거시'!$B364,"")</f>
        <v/>
      </c>
      <c r="Q382">
        <f>IF(ISNUMBER(P382),'자료_거시'!$A364,"")</f>
        <v/>
      </c>
      <c r="R382">
        <f>IF(ISNUMBER(Q382),IF(Q382&gt;$L$5,P382,""),"")</f>
        <v/>
      </c>
      <c r="S382">
        <f>IF(ISNUMBER('자료_거시'!$E364),'자료_거시'!$E364,S381)</f>
        <v/>
      </c>
      <c r="T382">
        <f>IF(AND(ISNUMBER('자료_거시'!$D364),ISNUMBER('자료_거시'!$E364)),IFERROR('자료_거시'!$E364-INDEX($S$21:$S$4020,MATCH(EDATE('자료_거시'!$D364,-'설정'!$B$17),'자료_거시'!$D$3:INDEX('자료_거시'!$D$3:$D$4002,$K$6),1)),""),"")</f>
        <v/>
      </c>
      <c r="U382">
        <f>IF(ISNUMBER(T382),'자료_거시'!$D364,"")</f>
        <v/>
      </c>
      <c r="V382">
        <f>IF(ISNUMBER(U382),IF(U382&gt;$L$6,T382,""),"")</f>
        <v/>
      </c>
      <c r="W382">
        <f>IF(AND(ISNUMBER('자료_거시'!$G364),ISNUMBER('자료_거시'!$H364)),'자료_거시'!$H364,"")</f>
        <v/>
      </c>
      <c r="X382">
        <f>IF(ISNUMBER(W382),'자료_거시'!$G364,"")</f>
        <v/>
      </c>
      <c r="Y382">
        <f>IF(ISNUMBER(X382),IF(X382&gt;$L$7,W382,""),"")</f>
        <v/>
      </c>
      <c r="Z382">
        <f>IF(ISNUMBER('자료_거시'!$K364),'자료_거시'!$K364,Z381)</f>
        <v/>
      </c>
      <c r="AA382">
        <f>IF(AND(ISNUMBER('자료_거시'!$J364),ISNUMBER('자료_거시'!$K364)),IFERROR('자료_거시'!$K364/INDEX($Z$21:$Z$4020,MATCH(EDATE('자료_거시'!$J364,-'설정'!$B$17),'자료_거시'!$J$3:INDEX('자료_거시'!$J$3:$J$4002,$K$8),1))-1,""),"")</f>
        <v/>
      </c>
      <c r="AB382">
        <f>IF(ISNUMBER(AA382),'자료_거시'!$J364,"")</f>
        <v/>
      </c>
      <c r="AC382">
        <f>IF(ISNUMBER(AB382),IF(AB382&gt;$L$8,AA382,""),"")</f>
        <v/>
      </c>
      <c r="AD382">
        <f>IF(AND(ISNUMBER('자료_거시'!$M364),ISNUMBER('자료_거시'!$N364)),1,0)</f>
        <v/>
      </c>
      <c r="AE382">
        <f>IF(AND(ISNUMBER('자료_거시'!$M364),ISNUMBER('자료_거시'!$N364)),IF(AND(SUMIFS($AD$21:$AD$620,'자료_거시'!$M$3:$M$602,"&gt;"&amp;EDATE('자료_거시'!$M364,-'설정'!$B$17),'자료_거시'!$M$3:$M$602,"&lt;="&amp;'자료_거시'!$M364)=3,SUMIFS($AD$21:$AD$620,'자료_거시'!$M$3:$M$602,"&gt;"&amp;EDATE('자료_거시'!$M364,-12-'설정'!$B$17),'자료_거시'!$M$3:$M$602,"&lt;="&amp;EDATE('자료_거시'!$M364,-12))=3),IFERROR(SUMIFS('자료_거시'!$N$3:$N$602,'자료_거시'!$M$3:$M$602,"&gt;"&amp;EDATE('자료_거시'!$M364,-'설정'!$B$17),'자료_거시'!$M$3:$M$602,"&lt;="&amp;'자료_거시'!$M364)/SUMIFS('자료_거시'!$N$3:$N$602,'자료_거시'!$M$3:$M$602,"&gt;"&amp;EDATE('자료_거시'!$M364,-12-'설정'!$B$17),'자료_거시'!$M$3:$M$602,"&lt;="&amp;EDATE('자료_거시'!$M364,-12))-1,""),""),"")</f>
        <v/>
      </c>
      <c r="AF382">
        <f>IF(ISNUMBER(AE382),'자료_거시'!$M364,"")</f>
        <v/>
      </c>
      <c r="AG382">
        <f>IF(ISNUMBER(AF382),IF(AF382&gt;$L$9,AE382,""),"")</f>
        <v/>
      </c>
    </row>
    <row r="383">
      <c r="P383">
        <f>IF(AND(ISNUMBER('자료_거시'!$A365),ISNUMBER('자료_거시'!$B365)),'자료_거시'!$B365,"")</f>
        <v/>
      </c>
      <c r="Q383">
        <f>IF(ISNUMBER(P383),'자료_거시'!$A365,"")</f>
        <v/>
      </c>
      <c r="R383">
        <f>IF(ISNUMBER(Q383),IF(Q383&gt;$L$5,P383,""),"")</f>
        <v/>
      </c>
      <c r="S383">
        <f>IF(ISNUMBER('자료_거시'!$E365),'자료_거시'!$E365,S382)</f>
        <v/>
      </c>
      <c r="T383">
        <f>IF(AND(ISNUMBER('자료_거시'!$D365),ISNUMBER('자료_거시'!$E365)),IFERROR('자료_거시'!$E365-INDEX($S$21:$S$4020,MATCH(EDATE('자료_거시'!$D365,-'설정'!$B$17),'자료_거시'!$D$3:INDEX('자료_거시'!$D$3:$D$4002,$K$6),1)),""),"")</f>
        <v/>
      </c>
      <c r="U383">
        <f>IF(ISNUMBER(T383),'자료_거시'!$D365,"")</f>
        <v/>
      </c>
      <c r="V383">
        <f>IF(ISNUMBER(U383),IF(U383&gt;$L$6,T383,""),"")</f>
        <v/>
      </c>
      <c r="W383">
        <f>IF(AND(ISNUMBER('자료_거시'!$G365),ISNUMBER('자료_거시'!$H365)),'자료_거시'!$H365,"")</f>
        <v/>
      </c>
      <c r="X383">
        <f>IF(ISNUMBER(W383),'자료_거시'!$G365,"")</f>
        <v/>
      </c>
      <c r="Y383">
        <f>IF(ISNUMBER(X383),IF(X383&gt;$L$7,W383,""),"")</f>
        <v/>
      </c>
      <c r="Z383">
        <f>IF(ISNUMBER('자료_거시'!$K365),'자료_거시'!$K365,Z382)</f>
        <v/>
      </c>
      <c r="AA383">
        <f>IF(AND(ISNUMBER('자료_거시'!$J365),ISNUMBER('자료_거시'!$K365)),IFERROR('자료_거시'!$K365/INDEX($Z$21:$Z$4020,MATCH(EDATE('자료_거시'!$J365,-'설정'!$B$17),'자료_거시'!$J$3:INDEX('자료_거시'!$J$3:$J$4002,$K$8),1))-1,""),"")</f>
        <v/>
      </c>
      <c r="AB383">
        <f>IF(ISNUMBER(AA383),'자료_거시'!$J365,"")</f>
        <v/>
      </c>
      <c r="AC383">
        <f>IF(ISNUMBER(AB383),IF(AB383&gt;$L$8,AA383,""),"")</f>
        <v/>
      </c>
      <c r="AD383">
        <f>IF(AND(ISNUMBER('자료_거시'!$M365),ISNUMBER('자료_거시'!$N365)),1,0)</f>
        <v/>
      </c>
      <c r="AE383">
        <f>IF(AND(ISNUMBER('자료_거시'!$M365),ISNUMBER('자료_거시'!$N365)),IF(AND(SUMIFS($AD$21:$AD$620,'자료_거시'!$M$3:$M$602,"&gt;"&amp;EDATE('자료_거시'!$M365,-'설정'!$B$17),'자료_거시'!$M$3:$M$602,"&lt;="&amp;'자료_거시'!$M365)=3,SUMIFS($AD$21:$AD$620,'자료_거시'!$M$3:$M$602,"&gt;"&amp;EDATE('자료_거시'!$M365,-12-'설정'!$B$17),'자료_거시'!$M$3:$M$602,"&lt;="&amp;EDATE('자료_거시'!$M365,-12))=3),IFERROR(SUMIFS('자료_거시'!$N$3:$N$602,'자료_거시'!$M$3:$M$602,"&gt;"&amp;EDATE('자료_거시'!$M365,-'설정'!$B$17),'자료_거시'!$M$3:$M$602,"&lt;="&amp;'자료_거시'!$M365)/SUMIFS('자료_거시'!$N$3:$N$602,'자료_거시'!$M$3:$M$602,"&gt;"&amp;EDATE('자료_거시'!$M365,-12-'설정'!$B$17),'자료_거시'!$M$3:$M$602,"&lt;="&amp;EDATE('자료_거시'!$M365,-12))-1,""),""),"")</f>
        <v/>
      </c>
      <c r="AF383">
        <f>IF(ISNUMBER(AE383),'자료_거시'!$M365,"")</f>
        <v/>
      </c>
      <c r="AG383">
        <f>IF(ISNUMBER(AF383),IF(AF383&gt;$L$9,AE383,""),"")</f>
        <v/>
      </c>
    </row>
    <row r="384">
      <c r="P384">
        <f>IF(AND(ISNUMBER('자료_거시'!$A366),ISNUMBER('자료_거시'!$B366)),'자료_거시'!$B366,"")</f>
        <v/>
      </c>
      <c r="Q384">
        <f>IF(ISNUMBER(P384),'자료_거시'!$A366,"")</f>
        <v/>
      </c>
      <c r="R384">
        <f>IF(ISNUMBER(Q384),IF(Q384&gt;$L$5,P384,""),"")</f>
        <v/>
      </c>
      <c r="S384">
        <f>IF(ISNUMBER('자료_거시'!$E366),'자료_거시'!$E366,S383)</f>
        <v/>
      </c>
      <c r="T384">
        <f>IF(AND(ISNUMBER('자료_거시'!$D366),ISNUMBER('자료_거시'!$E366)),IFERROR('자료_거시'!$E366-INDEX($S$21:$S$4020,MATCH(EDATE('자료_거시'!$D366,-'설정'!$B$17),'자료_거시'!$D$3:INDEX('자료_거시'!$D$3:$D$4002,$K$6),1)),""),"")</f>
        <v/>
      </c>
      <c r="U384">
        <f>IF(ISNUMBER(T384),'자료_거시'!$D366,"")</f>
        <v/>
      </c>
      <c r="V384">
        <f>IF(ISNUMBER(U384),IF(U384&gt;$L$6,T384,""),"")</f>
        <v/>
      </c>
      <c r="W384">
        <f>IF(AND(ISNUMBER('자료_거시'!$G366),ISNUMBER('자료_거시'!$H366)),'자료_거시'!$H366,"")</f>
        <v/>
      </c>
      <c r="X384">
        <f>IF(ISNUMBER(W384),'자료_거시'!$G366,"")</f>
        <v/>
      </c>
      <c r="Y384">
        <f>IF(ISNUMBER(X384),IF(X384&gt;$L$7,W384,""),"")</f>
        <v/>
      </c>
      <c r="Z384">
        <f>IF(ISNUMBER('자료_거시'!$K366),'자료_거시'!$K366,Z383)</f>
        <v/>
      </c>
      <c r="AA384">
        <f>IF(AND(ISNUMBER('자료_거시'!$J366),ISNUMBER('자료_거시'!$K366)),IFERROR('자료_거시'!$K366/INDEX($Z$21:$Z$4020,MATCH(EDATE('자료_거시'!$J366,-'설정'!$B$17),'자료_거시'!$J$3:INDEX('자료_거시'!$J$3:$J$4002,$K$8),1))-1,""),"")</f>
        <v/>
      </c>
      <c r="AB384">
        <f>IF(ISNUMBER(AA384),'자료_거시'!$J366,"")</f>
        <v/>
      </c>
      <c r="AC384">
        <f>IF(ISNUMBER(AB384),IF(AB384&gt;$L$8,AA384,""),"")</f>
        <v/>
      </c>
      <c r="AD384">
        <f>IF(AND(ISNUMBER('자료_거시'!$M366),ISNUMBER('자료_거시'!$N366)),1,0)</f>
        <v/>
      </c>
      <c r="AE384">
        <f>IF(AND(ISNUMBER('자료_거시'!$M366),ISNUMBER('자료_거시'!$N366)),IF(AND(SUMIFS($AD$21:$AD$620,'자료_거시'!$M$3:$M$602,"&gt;"&amp;EDATE('자료_거시'!$M366,-'설정'!$B$17),'자료_거시'!$M$3:$M$602,"&lt;="&amp;'자료_거시'!$M366)=3,SUMIFS($AD$21:$AD$620,'자료_거시'!$M$3:$M$602,"&gt;"&amp;EDATE('자료_거시'!$M366,-12-'설정'!$B$17),'자료_거시'!$M$3:$M$602,"&lt;="&amp;EDATE('자료_거시'!$M366,-12))=3),IFERROR(SUMIFS('자료_거시'!$N$3:$N$602,'자료_거시'!$M$3:$M$602,"&gt;"&amp;EDATE('자료_거시'!$M366,-'설정'!$B$17),'자료_거시'!$M$3:$M$602,"&lt;="&amp;'자료_거시'!$M366)/SUMIFS('자료_거시'!$N$3:$N$602,'자료_거시'!$M$3:$M$602,"&gt;"&amp;EDATE('자료_거시'!$M366,-12-'설정'!$B$17),'자료_거시'!$M$3:$M$602,"&lt;="&amp;EDATE('자료_거시'!$M366,-12))-1,""),""),"")</f>
        <v/>
      </c>
      <c r="AF384">
        <f>IF(ISNUMBER(AE384),'자료_거시'!$M366,"")</f>
        <v/>
      </c>
      <c r="AG384">
        <f>IF(ISNUMBER(AF384),IF(AF384&gt;$L$9,AE384,""),"")</f>
        <v/>
      </c>
    </row>
    <row r="385">
      <c r="P385">
        <f>IF(AND(ISNUMBER('자료_거시'!$A367),ISNUMBER('자료_거시'!$B367)),'자료_거시'!$B367,"")</f>
        <v/>
      </c>
      <c r="Q385">
        <f>IF(ISNUMBER(P385),'자료_거시'!$A367,"")</f>
        <v/>
      </c>
      <c r="R385">
        <f>IF(ISNUMBER(Q385),IF(Q385&gt;$L$5,P385,""),"")</f>
        <v/>
      </c>
      <c r="S385">
        <f>IF(ISNUMBER('자료_거시'!$E367),'자료_거시'!$E367,S384)</f>
        <v/>
      </c>
      <c r="T385">
        <f>IF(AND(ISNUMBER('자료_거시'!$D367),ISNUMBER('자료_거시'!$E367)),IFERROR('자료_거시'!$E367-INDEX($S$21:$S$4020,MATCH(EDATE('자료_거시'!$D367,-'설정'!$B$17),'자료_거시'!$D$3:INDEX('자료_거시'!$D$3:$D$4002,$K$6),1)),""),"")</f>
        <v/>
      </c>
      <c r="U385">
        <f>IF(ISNUMBER(T385),'자료_거시'!$D367,"")</f>
        <v/>
      </c>
      <c r="V385">
        <f>IF(ISNUMBER(U385),IF(U385&gt;$L$6,T385,""),"")</f>
        <v/>
      </c>
      <c r="W385">
        <f>IF(AND(ISNUMBER('자료_거시'!$G367),ISNUMBER('자료_거시'!$H367)),'자료_거시'!$H367,"")</f>
        <v/>
      </c>
      <c r="X385">
        <f>IF(ISNUMBER(W385),'자료_거시'!$G367,"")</f>
        <v/>
      </c>
      <c r="Y385">
        <f>IF(ISNUMBER(X385),IF(X385&gt;$L$7,W385,""),"")</f>
        <v/>
      </c>
      <c r="Z385">
        <f>IF(ISNUMBER('자료_거시'!$K367),'자료_거시'!$K367,Z384)</f>
        <v/>
      </c>
      <c r="AA385">
        <f>IF(AND(ISNUMBER('자료_거시'!$J367),ISNUMBER('자료_거시'!$K367)),IFERROR('자료_거시'!$K367/INDEX($Z$21:$Z$4020,MATCH(EDATE('자료_거시'!$J367,-'설정'!$B$17),'자료_거시'!$J$3:INDEX('자료_거시'!$J$3:$J$4002,$K$8),1))-1,""),"")</f>
        <v/>
      </c>
      <c r="AB385">
        <f>IF(ISNUMBER(AA385),'자료_거시'!$J367,"")</f>
        <v/>
      </c>
      <c r="AC385">
        <f>IF(ISNUMBER(AB385),IF(AB385&gt;$L$8,AA385,""),"")</f>
        <v/>
      </c>
      <c r="AD385">
        <f>IF(AND(ISNUMBER('자료_거시'!$M367),ISNUMBER('자료_거시'!$N367)),1,0)</f>
        <v/>
      </c>
      <c r="AE385">
        <f>IF(AND(ISNUMBER('자료_거시'!$M367),ISNUMBER('자료_거시'!$N367)),IF(AND(SUMIFS($AD$21:$AD$620,'자료_거시'!$M$3:$M$602,"&gt;"&amp;EDATE('자료_거시'!$M367,-'설정'!$B$17),'자료_거시'!$M$3:$M$602,"&lt;="&amp;'자료_거시'!$M367)=3,SUMIFS($AD$21:$AD$620,'자료_거시'!$M$3:$M$602,"&gt;"&amp;EDATE('자료_거시'!$M367,-12-'설정'!$B$17),'자료_거시'!$M$3:$M$602,"&lt;="&amp;EDATE('자료_거시'!$M367,-12))=3),IFERROR(SUMIFS('자료_거시'!$N$3:$N$602,'자료_거시'!$M$3:$M$602,"&gt;"&amp;EDATE('자료_거시'!$M367,-'설정'!$B$17),'자료_거시'!$M$3:$M$602,"&lt;="&amp;'자료_거시'!$M367)/SUMIFS('자료_거시'!$N$3:$N$602,'자료_거시'!$M$3:$M$602,"&gt;"&amp;EDATE('자료_거시'!$M367,-12-'설정'!$B$17),'자료_거시'!$M$3:$M$602,"&lt;="&amp;EDATE('자료_거시'!$M367,-12))-1,""),""),"")</f>
        <v/>
      </c>
      <c r="AF385">
        <f>IF(ISNUMBER(AE385),'자료_거시'!$M367,"")</f>
        <v/>
      </c>
      <c r="AG385">
        <f>IF(ISNUMBER(AF385),IF(AF385&gt;$L$9,AE385,""),"")</f>
        <v/>
      </c>
    </row>
    <row r="386">
      <c r="P386">
        <f>IF(AND(ISNUMBER('자료_거시'!$A368),ISNUMBER('자료_거시'!$B368)),'자료_거시'!$B368,"")</f>
        <v/>
      </c>
      <c r="Q386">
        <f>IF(ISNUMBER(P386),'자료_거시'!$A368,"")</f>
        <v/>
      </c>
      <c r="R386">
        <f>IF(ISNUMBER(Q386),IF(Q386&gt;$L$5,P386,""),"")</f>
        <v/>
      </c>
      <c r="S386">
        <f>IF(ISNUMBER('자료_거시'!$E368),'자료_거시'!$E368,S385)</f>
        <v/>
      </c>
      <c r="T386">
        <f>IF(AND(ISNUMBER('자료_거시'!$D368),ISNUMBER('자료_거시'!$E368)),IFERROR('자료_거시'!$E368-INDEX($S$21:$S$4020,MATCH(EDATE('자료_거시'!$D368,-'설정'!$B$17),'자료_거시'!$D$3:INDEX('자료_거시'!$D$3:$D$4002,$K$6),1)),""),"")</f>
        <v/>
      </c>
      <c r="U386">
        <f>IF(ISNUMBER(T386),'자료_거시'!$D368,"")</f>
        <v/>
      </c>
      <c r="V386">
        <f>IF(ISNUMBER(U386),IF(U386&gt;$L$6,T386,""),"")</f>
        <v/>
      </c>
      <c r="W386">
        <f>IF(AND(ISNUMBER('자료_거시'!$G368),ISNUMBER('자료_거시'!$H368)),'자료_거시'!$H368,"")</f>
        <v/>
      </c>
      <c r="X386">
        <f>IF(ISNUMBER(W386),'자료_거시'!$G368,"")</f>
        <v/>
      </c>
      <c r="Y386">
        <f>IF(ISNUMBER(X386),IF(X386&gt;$L$7,W386,""),"")</f>
        <v/>
      </c>
      <c r="Z386">
        <f>IF(ISNUMBER('자료_거시'!$K368),'자료_거시'!$K368,Z385)</f>
        <v/>
      </c>
      <c r="AA386">
        <f>IF(AND(ISNUMBER('자료_거시'!$J368),ISNUMBER('자료_거시'!$K368)),IFERROR('자료_거시'!$K368/INDEX($Z$21:$Z$4020,MATCH(EDATE('자료_거시'!$J368,-'설정'!$B$17),'자료_거시'!$J$3:INDEX('자료_거시'!$J$3:$J$4002,$K$8),1))-1,""),"")</f>
        <v/>
      </c>
      <c r="AB386">
        <f>IF(ISNUMBER(AA386),'자료_거시'!$J368,"")</f>
        <v/>
      </c>
      <c r="AC386">
        <f>IF(ISNUMBER(AB386),IF(AB386&gt;$L$8,AA386,""),"")</f>
        <v/>
      </c>
      <c r="AD386">
        <f>IF(AND(ISNUMBER('자료_거시'!$M368),ISNUMBER('자료_거시'!$N368)),1,0)</f>
        <v/>
      </c>
      <c r="AE386">
        <f>IF(AND(ISNUMBER('자료_거시'!$M368),ISNUMBER('자료_거시'!$N368)),IF(AND(SUMIFS($AD$21:$AD$620,'자료_거시'!$M$3:$M$602,"&gt;"&amp;EDATE('자료_거시'!$M368,-'설정'!$B$17),'자료_거시'!$M$3:$M$602,"&lt;="&amp;'자료_거시'!$M368)=3,SUMIFS($AD$21:$AD$620,'자료_거시'!$M$3:$M$602,"&gt;"&amp;EDATE('자료_거시'!$M368,-12-'설정'!$B$17),'자료_거시'!$M$3:$M$602,"&lt;="&amp;EDATE('자료_거시'!$M368,-12))=3),IFERROR(SUMIFS('자료_거시'!$N$3:$N$602,'자료_거시'!$M$3:$M$602,"&gt;"&amp;EDATE('자료_거시'!$M368,-'설정'!$B$17),'자료_거시'!$M$3:$M$602,"&lt;="&amp;'자료_거시'!$M368)/SUMIFS('자료_거시'!$N$3:$N$602,'자료_거시'!$M$3:$M$602,"&gt;"&amp;EDATE('자료_거시'!$M368,-12-'설정'!$B$17),'자료_거시'!$M$3:$M$602,"&lt;="&amp;EDATE('자료_거시'!$M368,-12))-1,""),""),"")</f>
        <v/>
      </c>
      <c r="AF386">
        <f>IF(ISNUMBER(AE386),'자료_거시'!$M368,"")</f>
        <v/>
      </c>
      <c r="AG386">
        <f>IF(ISNUMBER(AF386),IF(AF386&gt;$L$9,AE386,""),"")</f>
        <v/>
      </c>
    </row>
    <row r="387">
      <c r="P387">
        <f>IF(AND(ISNUMBER('자료_거시'!$A369),ISNUMBER('자료_거시'!$B369)),'자료_거시'!$B369,"")</f>
        <v/>
      </c>
      <c r="Q387">
        <f>IF(ISNUMBER(P387),'자료_거시'!$A369,"")</f>
        <v/>
      </c>
      <c r="R387">
        <f>IF(ISNUMBER(Q387),IF(Q387&gt;$L$5,P387,""),"")</f>
        <v/>
      </c>
      <c r="S387">
        <f>IF(ISNUMBER('자료_거시'!$E369),'자료_거시'!$E369,S386)</f>
        <v/>
      </c>
      <c r="T387">
        <f>IF(AND(ISNUMBER('자료_거시'!$D369),ISNUMBER('자료_거시'!$E369)),IFERROR('자료_거시'!$E369-INDEX($S$21:$S$4020,MATCH(EDATE('자료_거시'!$D369,-'설정'!$B$17),'자료_거시'!$D$3:INDEX('자료_거시'!$D$3:$D$4002,$K$6),1)),""),"")</f>
        <v/>
      </c>
      <c r="U387">
        <f>IF(ISNUMBER(T387),'자료_거시'!$D369,"")</f>
        <v/>
      </c>
      <c r="V387">
        <f>IF(ISNUMBER(U387),IF(U387&gt;$L$6,T387,""),"")</f>
        <v/>
      </c>
      <c r="W387">
        <f>IF(AND(ISNUMBER('자료_거시'!$G369),ISNUMBER('자료_거시'!$H369)),'자료_거시'!$H369,"")</f>
        <v/>
      </c>
      <c r="X387">
        <f>IF(ISNUMBER(W387),'자료_거시'!$G369,"")</f>
        <v/>
      </c>
      <c r="Y387">
        <f>IF(ISNUMBER(X387),IF(X387&gt;$L$7,W387,""),"")</f>
        <v/>
      </c>
      <c r="Z387">
        <f>IF(ISNUMBER('자료_거시'!$K369),'자료_거시'!$K369,Z386)</f>
        <v/>
      </c>
      <c r="AA387">
        <f>IF(AND(ISNUMBER('자료_거시'!$J369),ISNUMBER('자료_거시'!$K369)),IFERROR('자료_거시'!$K369/INDEX($Z$21:$Z$4020,MATCH(EDATE('자료_거시'!$J369,-'설정'!$B$17),'자료_거시'!$J$3:INDEX('자료_거시'!$J$3:$J$4002,$K$8),1))-1,""),"")</f>
        <v/>
      </c>
      <c r="AB387">
        <f>IF(ISNUMBER(AA387),'자료_거시'!$J369,"")</f>
        <v/>
      </c>
      <c r="AC387">
        <f>IF(ISNUMBER(AB387),IF(AB387&gt;$L$8,AA387,""),"")</f>
        <v/>
      </c>
      <c r="AD387">
        <f>IF(AND(ISNUMBER('자료_거시'!$M369),ISNUMBER('자료_거시'!$N369)),1,0)</f>
        <v/>
      </c>
      <c r="AE387">
        <f>IF(AND(ISNUMBER('자료_거시'!$M369),ISNUMBER('자료_거시'!$N369)),IF(AND(SUMIFS($AD$21:$AD$620,'자료_거시'!$M$3:$M$602,"&gt;"&amp;EDATE('자료_거시'!$M369,-'설정'!$B$17),'자료_거시'!$M$3:$M$602,"&lt;="&amp;'자료_거시'!$M369)=3,SUMIFS($AD$21:$AD$620,'자료_거시'!$M$3:$M$602,"&gt;"&amp;EDATE('자료_거시'!$M369,-12-'설정'!$B$17),'자료_거시'!$M$3:$M$602,"&lt;="&amp;EDATE('자료_거시'!$M369,-12))=3),IFERROR(SUMIFS('자료_거시'!$N$3:$N$602,'자료_거시'!$M$3:$M$602,"&gt;"&amp;EDATE('자료_거시'!$M369,-'설정'!$B$17),'자료_거시'!$M$3:$M$602,"&lt;="&amp;'자료_거시'!$M369)/SUMIFS('자료_거시'!$N$3:$N$602,'자료_거시'!$M$3:$M$602,"&gt;"&amp;EDATE('자료_거시'!$M369,-12-'설정'!$B$17),'자료_거시'!$M$3:$M$602,"&lt;="&amp;EDATE('자료_거시'!$M369,-12))-1,""),""),"")</f>
        <v/>
      </c>
      <c r="AF387">
        <f>IF(ISNUMBER(AE387),'자료_거시'!$M369,"")</f>
        <v/>
      </c>
      <c r="AG387">
        <f>IF(ISNUMBER(AF387),IF(AF387&gt;$L$9,AE387,""),"")</f>
        <v/>
      </c>
    </row>
    <row r="388">
      <c r="P388">
        <f>IF(AND(ISNUMBER('자료_거시'!$A370),ISNUMBER('자료_거시'!$B370)),'자료_거시'!$B370,"")</f>
        <v/>
      </c>
      <c r="Q388">
        <f>IF(ISNUMBER(P388),'자료_거시'!$A370,"")</f>
        <v/>
      </c>
      <c r="R388">
        <f>IF(ISNUMBER(Q388),IF(Q388&gt;$L$5,P388,""),"")</f>
        <v/>
      </c>
      <c r="S388">
        <f>IF(ISNUMBER('자료_거시'!$E370),'자료_거시'!$E370,S387)</f>
        <v/>
      </c>
      <c r="T388">
        <f>IF(AND(ISNUMBER('자료_거시'!$D370),ISNUMBER('자료_거시'!$E370)),IFERROR('자료_거시'!$E370-INDEX($S$21:$S$4020,MATCH(EDATE('자료_거시'!$D370,-'설정'!$B$17),'자료_거시'!$D$3:INDEX('자료_거시'!$D$3:$D$4002,$K$6),1)),""),"")</f>
        <v/>
      </c>
      <c r="U388">
        <f>IF(ISNUMBER(T388),'자료_거시'!$D370,"")</f>
        <v/>
      </c>
      <c r="V388">
        <f>IF(ISNUMBER(U388),IF(U388&gt;$L$6,T388,""),"")</f>
        <v/>
      </c>
      <c r="W388">
        <f>IF(AND(ISNUMBER('자료_거시'!$G370),ISNUMBER('자료_거시'!$H370)),'자료_거시'!$H370,"")</f>
        <v/>
      </c>
      <c r="X388">
        <f>IF(ISNUMBER(W388),'자료_거시'!$G370,"")</f>
        <v/>
      </c>
      <c r="Y388">
        <f>IF(ISNUMBER(X388),IF(X388&gt;$L$7,W388,""),"")</f>
        <v/>
      </c>
      <c r="Z388">
        <f>IF(ISNUMBER('자료_거시'!$K370),'자료_거시'!$K370,Z387)</f>
        <v/>
      </c>
      <c r="AA388">
        <f>IF(AND(ISNUMBER('자료_거시'!$J370),ISNUMBER('자료_거시'!$K370)),IFERROR('자료_거시'!$K370/INDEX($Z$21:$Z$4020,MATCH(EDATE('자료_거시'!$J370,-'설정'!$B$17),'자료_거시'!$J$3:INDEX('자료_거시'!$J$3:$J$4002,$K$8),1))-1,""),"")</f>
        <v/>
      </c>
      <c r="AB388">
        <f>IF(ISNUMBER(AA388),'자료_거시'!$J370,"")</f>
        <v/>
      </c>
      <c r="AC388">
        <f>IF(ISNUMBER(AB388),IF(AB388&gt;$L$8,AA388,""),"")</f>
        <v/>
      </c>
      <c r="AD388">
        <f>IF(AND(ISNUMBER('자료_거시'!$M370),ISNUMBER('자료_거시'!$N370)),1,0)</f>
        <v/>
      </c>
      <c r="AE388">
        <f>IF(AND(ISNUMBER('자료_거시'!$M370),ISNUMBER('자료_거시'!$N370)),IF(AND(SUMIFS($AD$21:$AD$620,'자료_거시'!$M$3:$M$602,"&gt;"&amp;EDATE('자료_거시'!$M370,-'설정'!$B$17),'자료_거시'!$M$3:$M$602,"&lt;="&amp;'자료_거시'!$M370)=3,SUMIFS($AD$21:$AD$620,'자료_거시'!$M$3:$M$602,"&gt;"&amp;EDATE('자료_거시'!$M370,-12-'설정'!$B$17),'자료_거시'!$M$3:$M$602,"&lt;="&amp;EDATE('자료_거시'!$M370,-12))=3),IFERROR(SUMIFS('자료_거시'!$N$3:$N$602,'자료_거시'!$M$3:$M$602,"&gt;"&amp;EDATE('자료_거시'!$M370,-'설정'!$B$17),'자료_거시'!$M$3:$M$602,"&lt;="&amp;'자료_거시'!$M370)/SUMIFS('자료_거시'!$N$3:$N$602,'자료_거시'!$M$3:$M$602,"&gt;"&amp;EDATE('자료_거시'!$M370,-12-'설정'!$B$17),'자료_거시'!$M$3:$M$602,"&lt;="&amp;EDATE('자료_거시'!$M370,-12))-1,""),""),"")</f>
        <v/>
      </c>
      <c r="AF388">
        <f>IF(ISNUMBER(AE388),'자료_거시'!$M370,"")</f>
        <v/>
      </c>
      <c r="AG388">
        <f>IF(ISNUMBER(AF388),IF(AF388&gt;$L$9,AE388,""),"")</f>
        <v/>
      </c>
    </row>
    <row r="389">
      <c r="P389">
        <f>IF(AND(ISNUMBER('자료_거시'!$A371),ISNUMBER('자료_거시'!$B371)),'자료_거시'!$B371,"")</f>
        <v/>
      </c>
      <c r="Q389">
        <f>IF(ISNUMBER(P389),'자료_거시'!$A371,"")</f>
        <v/>
      </c>
      <c r="R389">
        <f>IF(ISNUMBER(Q389),IF(Q389&gt;$L$5,P389,""),"")</f>
        <v/>
      </c>
      <c r="S389">
        <f>IF(ISNUMBER('자료_거시'!$E371),'자료_거시'!$E371,S388)</f>
        <v/>
      </c>
      <c r="T389">
        <f>IF(AND(ISNUMBER('자료_거시'!$D371),ISNUMBER('자료_거시'!$E371)),IFERROR('자료_거시'!$E371-INDEX($S$21:$S$4020,MATCH(EDATE('자료_거시'!$D371,-'설정'!$B$17),'자료_거시'!$D$3:INDEX('자료_거시'!$D$3:$D$4002,$K$6),1)),""),"")</f>
        <v/>
      </c>
      <c r="U389">
        <f>IF(ISNUMBER(T389),'자료_거시'!$D371,"")</f>
        <v/>
      </c>
      <c r="V389">
        <f>IF(ISNUMBER(U389),IF(U389&gt;$L$6,T389,""),"")</f>
        <v/>
      </c>
      <c r="W389">
        <f>IF(AND(ISNUMBER('자료_거시'!$G371),ISNUMBER('자료_거시'!$H371)),'자료_거시'!$H371,"")</f>
        <v/>
      </c>
      <c r="X389">
        <f>IF(ISNUMBER(W389),'자료_거시'!$G371,"")</f>
        <v/>
      </c>
      <c r="Y389">
        <f>IF(ISNUMBER(X389),IF(X389&gt;$L$7,W389,""),"")</f>
        <v/>
      </c>
      <c r="Z389">
        <f>IF(ISNUMBER('자료_거시'!$K371),'자료_거시'!$K371,Z388)</f>
        <v/>
      </c>
      <c r="AA389">
        <f>IF(AND(ISNUMBER('자료_거시'!$J371),ISNUMBER('자료_거시'!$K371)),IFERROR('자료_거시'!$K371/INDEX($Z$21:$Z$4020,MATCH(EDATE('자료_거시'!$J371,-'설정'!$B$17),'자료_거시'!$J$3:INDEX('자료_거시'!$J$3:$J$4002,$K$8),1))-1,""),"")</f>
        <v/>
      </c>
      <c r="AB389">
        <f>IF(ISNUMBER(AA389),'자료_거시'!$J371,"")</f>
        <v/>
      </c>
      <c r="AC389">
        <f>IF(ISNUMBER(AB389),IF(AB389&gt;$L$8,AA389,""),"")</f>
        <v/>
      </c>
      <c r="AD389">
        <f>IF(AND(ISNUMBER('자료_거시'!$M371),ISNUMBER('자료_거시'!$N371)),1,0)</f>
        <v/>
      </c>
      <c r="AE389">
        <f>IF(AND(ISNUMBER('자료_거시'!$M371),ISNUMBER('자료_거시'!$N371)),IF(AND(SUMIFS($AD$21:$AD$620,'자료_거시'!$M$3:$M$602,"&gt;"&amp;EDATE('자료_거시'!$M371,-'설정'!$B$17),'자료_거시'!$M$3:$M$602,"&lt;="&amp;'자료_거시'!$M371)=3,SUMIFS($AD$21:$AD$620,'자료_거시'!$M$3:$M$602,"&gt;"&amp;EDATE('자료_거시'!$M371,-12-'설정'!$B$17),'자료_거시'!$M$3:$M$602,"&lt;="&amp;EDATE('자료_거시'!$M371,-12))=3),IFERROR(SUMIFS('자료_거시'!$N$3:$N$602,'자료_거시'!$M$3:$M$602,"&gt;"&amp;EDATE('자료_거시'!$M371,-'설정'!$B$17),'자료_거시'!$M$3:$M$602,"&lt;="&amp;'자료_거시'!$M371)/SUMIFS('자료_거시'!$N$3:$N$602,'자료_거시'!$M$3:$M$602,"&gt;"&amp;EDATE('자료_거시'!$M371,-12-'설정'!$B$17),'자료_거시'!$M$3:$M$602,"&lt;="&amp;EDATE('자료_거시'!$M371,-12))-1,""),""),"")</f>
        <v/>
      </c>
      <c r="AF389">
        <f>IF(ISNUMBER(AE389),'자료_거시'!$M371,"")</f>
        <v/>
      </c>
      <c r="AG389">
        <f>IF(ISNUMBER(AF389),IF(AF389&gt;$L$9,AE389,""),"")</f>
        <v/>
      </c>
    </row>
    <row r="390">
      <c r="P390">
        <f>IF(AND(ISNUMBER('자료_거시'!$A372),ISNUMBER('자료_거시'!$B372)),'자료_거시'!$B372,"")</f>
        <v/>
      </c>
      <c r="Q390">
        <f>IF(ISNUMBER(P390),'자료_거시'!$A372,"")</f>
        <v/>
      </c>
      <c r="R390">
        <f>IF(ISNUMBER(Q390),IF(Q390&gt;$L$5,P390,""),"")</f>
        <v/>
      </c>
      <c r="S390">
        <f>IF(ISNUMBER('자료_거시'!$E372),'자료_거시'!$E372,S389)</f>
        <v/>
      </c>
      <c r="T390">
        <f>IF(AND(ISNUMBER('자료_거시'!$D372),ISNUMBER('자료_거시'!$E372)),IFERROR('자료_거시'!$E372-INDEX($S$21:$S$4020,MATCH(EDATE('자료_거시'!$D372,-'설정'!$B$17),'자료_거시'!$D$3:INDEX('자료_거시'!$D$3:$D$4002,$K$6),1)),""),"")</f>
        <v/>
      </c>
      <c r="U390">
        <f>IF(ISNUMBER(T390),'자료_거시'!$D372,"")</f>
        <v/>
      </c>
      <c r="V390">
        <f>IF(ISNUMBER(U390),IF(U390&gt;$L$6,T390,""),"")</f>
        <v/>
      </c>
      <c r="W390">
        <f>IF(AND(ISNUMBER('자료_거시'!$G372),ISNUMBER('자료_거시'!$H372)),'자료_거시'!$H372,"")</f>
        <v/>
      </c>
      <c r="X390">
        <f>IF(ISNUMBER(W390),'자료_거시'!$G372,"")</f>
        <v/>
      </c>
      <c r="Y390">
        <f>IF(ISNUMBER(X390),IF(X390&gt;$L$7,W390,""),"")</f>
        <v/>
      </c>
      <c r="Z390">
        <f>IF(ISNUMBER('자료_거시'!$K372),'자료_거시'!$K372,Z389)</f>
        <v/>
      </c>
      <c r="AA390">
        <f>IF(AND(ISNUMBER('자료_거시'!$J372),ISNUMBER('자료_거시'!$K372)),IFERROR('자료_거시'!$K372/INDEX($Z$21:$Z$4020,MATCH(EDATE('자료_거시'!$J372,-'설정'!$B$17),'자료_거시'!$J$3:INDEX('자료_거시'!$J$3:$J$4002,$K$8),1))-1,""),"")</f>
        <v/>
      </c>
      <c r="AB390">
        <f>IF(ISNUMBER(AA390),'자료_거시'!$J372,"")</f>
        <v/>
      </c>
      <c r="AC390">
        <f>IF(ISNUMBER(AB390),IF(AB390&gt;$L$8,AA390,""),"")</f>
        <v/>
      </c>
      <c r="AD390">
        <f>IF(AND(ISNUMBER('자료_거시'!$M372),ISNUMBER('자료_거시'!$N372)),1,0)</f>
        <v/>
      </c>
      <c r="AE390">
        <f>IF(AND(ISNUMBER('자료_거시'!$M372),ISNUMBER('자료_거시'!$N372)),IF(AND(SUMIFS($AD$21:$AD$620,'자료_거시'!$M$3:$M$602,"&gt;"&amp;EDATE('자료_거시'!$M372,-'설정'!$B$17),'자료_거시'!$M$3:$M$602,"&lt;="&amp;'자료_거시'!$M372)=3,SUMIFS($AD$21:$AD$620,'자료_거시'!$M$3:$M$602,"&gt;"&amp;EDATE('자료_거시'!$M372,-12-'설정'!$B$17),'자료_거시'!$M$3:$M$602,"&lt;="&amp;EDATE('자료_거시'!$M372,-12))=3),IFERROR(SUMIFS('자료_거시'!$N$3:$N$602,'자료_거시'!$M$3:$M$602,"&gt;"&amp;EDATE('자료_거시'!$M372,-'설정'!$B$17),'자료_거시'!$M$3:$M$602,"&lt;="&amp;'자료_거시'!$M372)/SUMIFS('자료_거시'!$N$3:$N$602,'자료_거시'!$M$3:$M$602,"&gt;"&amp;EDATE('자료_거시'!$M372,-12-'설정'!$B$17),'자료_거시'!$M$3:$M$602,"&lt;="&amp;EDATE('자료_거시'!$M372,-12))-1,""),""),"")</f>
        <v/>
      </c>
      <c r="AF390">
        <f>IF(ISNUMBER(AE390),'자료_거시'!$M372,"")</f>
        <v/>
      </c>
      <c r="AG390">
        <f>IF(ISNUMBER(AF390),IF(AF390&gt;$L$9,AE390,""),"")</f>
        <v/>
      </c>
    </row>
    <row r="391">
      <c r="P391">
        <f>IF(AND(ISNUMBER('자료_거시'!$A373),ISNUMBER('자료_거시'!$B373)),'자료_거시'!$B373,"")</f>
        <v/>
      </c>
      <c r="Q391">
        <f>IF(ISNUMBER(P391),'자료_거시'!$A373,"")</f>
        <v/>
      </c>
      <c r="R391">
        <f>IF(ISNUMBER(Q391),IF(Q391&gt;$L$5,P391,""),"")</f>
        <v/>
      </c>
      <c r="S391">
        <f>IF(ISNUMBER('자료_거시'!$E373),'자료_거시'!$E373,S390)</f>
        <v/>
      </c>
      <c r="T391">
        <f>IF(AND(ISNUMBER('자료_거시'!$D373),ISNUMBER('자료_거시'!$E373)),IFERROR('자료_거시'!$E373-INDEX($S$21:$S$4020,MATCH(EDATE('자료_거시'!$D373,-'설정'!$B$17),'자료_거시'!$D$3:INDEX('자료_거시'!$D$3:$D$4002,$K$6),1)),""),"")</f>
        <v/>
      </c>
      <c r="U391">
        <f>IF(ISNUMBER(T391),'자료_거시'!$D373,"")</f>
        <v/>
      </c>
      <c r="V391">
        <f>IF(ISNUMBER(U391),IF(U391&gt;$L$6,T391,""),"")</f>
        <v/>
      </c>
      <c r="W391">
        <f>IF(AND(ISNUMBER('자료_거시'!$G373),ISNUMBER('자료_거시'!$H373)),'자료_거시'!$H373,"")</f>
        <v/>
      </c>
      <c r="X391">
        <f>IF(ISNUMBER(W391),'자료_거시'!$G373,"")</f>
        <v/>
      </c>
      <c r="Y391">
        <f>IF(ISNUMBER(X391),IF(X391&gt;$L$7,W391,""),"")</f>
        <v/>
      </c>
      <c r="Z391">
        <f>IF(ISNUMBER('자료_거시'!$K373),'자료_거시'!$K373,Z390)</f>
        <v/>
      </c>
      <c r="AA391">
        <f>IF(AND(ISNUMBER('자료_거시'!$J373),ISNUMBER('자료_거시'!$K373)),IFERROR('자료_거시'!$K373/INDEX($Z$21:$Z$4020,MATCH(EDATE('자료_거시'!$J373,-'설정'!$B$17),'자료_거시'!$J$3:INDEX('자료_거시'!$J$3:$J$4002,$K$8),1))-1,""),"")</f>
        <v/>
      </c>
      <c r="AB391">
        <f>IF(ISNUMBER(AA391),'자료_거시'!$J373,"")</f>
        <v/>
      </c>
      <c r="AC391">
        <f>IF(ISNUMBER(AB391),IF(AB391&gt;$L$8,AA391,""),"")</f>
        <v/>
      </c>
      <c r="AD391">
        <f>IF(AND(ISNUMBER('자료_거시'!$M373),ISNUMBER('자료_거시'!$N373)),1,0)</f>
        <v/>
      </c>
      <c r="AE391">
        <f>IF(AND(ISNUMBER('자료_거시'!$M373),ISNUMBER('자료_거시'!$N373)),IF(AND(SUMIFS($AD$21:$AD$620,'자료_거시'!$M$3:$M$602,"&gt;"&amp;EDATE('자료_거시'!$M373,-'설정'!$B$17),'자료_거시'!$M$3:$M$602,"&lt;="&amp;'자료_거시'!$M373)=3,SUMIFS($AD$21:$AD$620,'자료_거시'!$M$3:$M$602,"&gt;"&amp;EDATE('자료_거시'!$M373,-12-'설정'!$B$17),'자료_거시'!$M$3:$M$602,"&lt;="&amp;EDATE('자료_거시'!$M373,-12))=3),IFERROR(SUMIFS('자료_거시'!$N$3:$N$602,'자료_거시'!$M$3:$M$602,"&gt;"&amp;EDATE('자료_거시'!$M373,-'설정'!$B$17),'자료_거시'!$M$3:$M$602,"&lt;="&amp;'자료_거시'!$M373)/SUMIFS('자료_거시'!$N$3:$N$602,'자료_거시'!$M$3:$M$602,"&gt;"&amp;EDATE('자료_거시'!$M373,-12-'설정'!$B$17),'자료_거시'!$M$3:$M$602,"&lt;="&amp;EDATE('자료_거시'!$M373,-12))-1,""),""),"")</f>
        <v/>
      </c>
      <c r="AF391">
        <f>IF(ISNUMBER(AE391),'자료_거시'!$M373,"")</f>
        <v/>
      </c>
      <c r="AG391">
        <f>IF(ISNUMBER(AF391),IF(AF391&gt;$L$9,AE391,""),"")</f>
        <v/>
      </c>
    </row>
    <row r="392">
      <c r="P392">
        <f>IF(AND(ISNUMBER('자료_거시'!$A374),ISNUMBER('자료_거시'!$B374)),'자료_거시'!$B374,"")</f>
        <v/>
      </c>
      <c r="Q392">
        <f>IF(ISNUMBER(P392),'자료_거시'!$A374,"")</f>
        <v/>
      </c>
      <c r="R392">
        <f>IF(ISNUMBER(Q392),IF(Q392&gt;$L$5,P392,""),"")</f>
        <v/>
      </c>
      <c r="S392">
        <f>IF(ISNUMBER('자료_거시'!$E374),'자료_거시'!$E374,S391)</f>
        <v/>
      </c>
      <c r="T392">
        <f>IF(AND(ISNUMBER('자료_거시'!$D374),ISNUMBER('자료_거시'!$E374)),IFERROR('자료_거시'!$E374-INDEX($S$21:$S$4020,MATCH(EDATE('자료_거시'!$D374,-'설정'!$B$17),'자료_거시'!$D$3:INDEX('자료_거시'!$D$3:$D$4002,$K$6),1)),""),"")</f>
        <v/>
      </c>
      <c r="U392">
        <f>IF(ISNUMBER(T392),'자료_거시'!$D374,"")</f>
        <v/>
      </c>
      <c r="V392">
        <f>IF(ISNUMBER(U392),IF(U392&gt;$L$6,T392,""),"")</f>
        <v/>
      </c>
      <c r="W392">
        <f>IF(AND(ISNUMBER('자료_거시'!$G374),ISNUMBER('자료_거시'!$H374)),'자료_거시'!$H374,"")</f>
        <v/>
      </c>
      <c r="X392">
        <f>IF(ISNUMBER(W392),'자료_거시'!$G374,"")</f>
        <v/>
      </c>
      <c r="Y392">
        <f>IF(ISNUMBER(X392),IF(X392&gt;$L$7,W392,""),"")</f>
        <v/>
      </c>
      <c r="Z392">
        <f>IF(ISNUMBER('자료_거시'!$K374),'자료_거시'!$K374,Z391)</f>
        <v/>
      </c>
      <c r="AA392">
        <f>IF(AND(ISNUMBER('자료_거시'!$J374),ISNUMBER('자료_거시'!$K374)),IFERROR('자료_거시'!$K374/INDEX($Z$21:$Z$4020,MATCH(EDATE('자료_거시'!$J374,-'설정'!$B$17),'자료_거시'!$J$3:INDEX('자료_거시'!$J$3:$J$4002,$K$8),1))-1,""),"")</f>
        <v/>
      </c>
      <c r="AB392">
        <f>IF(ISNUMBER(AA392),'자료_거시'!$J374,"")</f>
        <v/>
      </c>
      <c r="AC392">
        <f>IF(ISNUMBER(AB392),IF(AB392&gt;$L$8,AA392,""),"")</f>
        <v/>
      </c>
      <c r="AD392">
        <f>IF(AND(ISNUMBER('자료_거시'!$M374),ISNUMBER('자료_거시'!$N374)),1,0)</f>
        <v/>
      </c>
      <c r="AE392">
        <f>IF(AND(ISNUMBER('자료_거시'!$M374),ISNUMBER('자료_거시'!$N374)),IF(AND(SUMIFS($AD$21:$AD$620,'자료_거시'!$M$3:$M$602,"&gt;"&amp;EDATE('자료_거시'!$M374,-'설정'!$B$17),'자료_거시'!$M$3:$M$602,"&lt;="&amp;'자료_거시'!$M374)=3,SUMIFS($AD$21:$AD$620,'자료_거시'!$M$3:$M$602,"&gt;"&amp;EDATE('자료_거시'!$M374,-12-'설정'!$B$17),'자료_거시'!$M$3:$M$602,"&lt;="&amp;EDATE('자료_거시'!$M374,-12))=3),IFERROR(SUMIFS('자료_거시'!$N$3:$N$602,'자료_거시'!$M$3:$M$602,"&gt;"&amp;EDATE('자료_거시'!$M374,-'설정'!$B$17),'자료_거시'!$M$3:$M$602,"&lt;="&amp;'자료_거시'!$M374)/SUMIFS('자료_거시'!$N$3:$N$602,'자료_거시'!$M$3:$M$602,"&gt;"&amp;EDATE('자료_거시'!$M374,-12-'설정'!$B$17),'자료_거시'!$M$3:$M$602,"&lt;="&amp;EDATE('자료_거시'!$M374,-12))-1,""),""),"")</f>
        <v/>
      </c>
      <c r="AF392">
        <f>IF(ISNUMBER(AE392),'자료_거시'!$M374,"")</f>
        <v/>
      </c>
      <c r="AG392">
        <f>IF(ISNUMBER(AF392),IF(AF392&gt;$L$9,AE392,""),"")</f>
        <v/>
      </c>
    </row>
    <row r="393">
      <c r="P393">
        <f>IF(AND(ISNUMBER('자료_거시'!$A375),ISNUMBER('자료_거시'!$B375)),'자료_거시'!$B375,"")</f>
        <v/>
      </c>
      <c r="Q393">
        <f>IF(ISNUMBER(P393),'자료_거시'!$A375,"")</f>
        <v/>
      </c>
      <c r="R393">
        <f>IF(ISNUMBER(Q393),IF(Q393&gt;$L$5,P393,""),"")</f>
        <v/>
      </c>
      <c r="S393">
        <f>IF(ISNUMBER('자료_거시'!$E375),'자료_거시'!$E375,S392)</f>
        <v/>
      </c>
      <c r="T393">
        <f>IF(AND(ISNUMBER('자료_거시'!$D375),ISNUMBER('자료_거시'!$E375)),IFERROR('자료_거시'!$E375-INDEX($S$21:$S$4020,MATCH(EDATE('자료_거시'!$D375,-'설정'!$B$17),'자료_거시'!$D$3:INDEX('자료_거시'!$D$3:$D$4002,$K$6),1)),""),"")</f>
        <v/>
      </c>
      <c r="U393">
        <f>IF(ISNUMBER(T393),'자료_거시'!$D375,"")</f>
        <v/>
      </c>
      <c r="V393">
        <f>IF(ISNUMBER(U393),IF(U393&gt;$L$6,T393,""),"")</f>
        <v/>
      </c>
      <c r="W393">
        <f>IF(AND(ISNUMBER('자료_거시'!$G375),ISNUMBER('자료_거시'!$H375)),'자료_거시'!$H375,"")</f>
        <v/>
      </c>
      <c r="X393">
        <f>IF(ISNUMBER(W393),'자료_거시'!$G375,"")</f>
        <v/>
      </c>
      <c r="Y393">
        <f>IF(ISNUMBER(X393),IF(X393&gt;$L$7,W393,""),"")</f>
        <v/>
      </c>
      <c r="Z393">
        <f>IF(ISNUMBER('자료_거시'!$K375),'자료_거시'!$K375,Z392)</f>
        <v/>
      </c>
      <c r="AA393">
        <f>IF(AND(ISNUMBER('자료_거시'!$J375),ISNUMBER('자료_거시'!$K375)),IFERROR('자료_거시'!$K375/INDEX($Z$21:$Z$4020,MATCH(EDATE('자료_거시'!$J375,-'설정'!$B$17),'자료_거시'!$J$3:INDEX('자료_거시'!$J$3:$J$4002,$K$8),1))-1,""),"")</f>
        <v/>
      </c>
      <c r="AB393">
        <f>IF(ISNUMBER(AA393),'자료_거시'!$J375,"")</f>
        <v/>
      </c>
      <c r="AC393">
        <f>IF(ISNUMBER(AB393),IF(AB393&gt;$L$8,AA393,""),"")</f>
        <v/>
      </c>
      <c r="AD393">
        <f>IF(AND(ISNUMBER('자료_거시'!$M375),ISNUMBER('자료_거시'!$N375)),1,0)</f>
        <v/>
      </c>
      <c r="AE393">
        <f>IF(AND(ISNUMBER('자료_거시'!$M375),ISNUMBER('자료_거시'!$N375)),IF(AND(SUMIFS($AD$21:$AD$620,'자료_거시'!$M$3:$M$602,"&gt;"&amp;EDATE('자료_거시'!$M375,-'설정'!$B$17),'자료_거시'!$M$3:$M$602,"&lt;="&amp;'자료_거시'!$M375)=3,SUMIFS($AD$21:$AD$620,'자료_거시'!$M$3:$M$602,"&gt;"&amp;EDATE('자료_거시'!$M375,-12-'설정'!$B$17),'자료_거시'!$M$3:$M$602,"&lt;="&amp;EDATE('자료_거시'!$M375,-12))=3),IFERROR(SUMIFS('자료_거시'!$N$3:$N$602,'자료_거시'!$M$3:$M$602,"&gt;"&amp;EDATE('자료_거시'!$M375,-'설정'!$B$17),'자료_거시'!$M$3:$M$602,"&lt;="&amp;'자료_거시'!$M375)/SUMIFS('자료_거시'!$N$3:$N$602,'자료_거시'!$M$3:$M$602,"&gt;"&amp;EDATE('자료_거시'!$M375,-12-'설정'!$B$17),'자료_거시'!$M$3:$M$602,"&lt;="&amp;EDATE('자료_거시'!$M375,-12))-1,""),""),"")</f>
        <v/>
      </c>
      <c r="AF393">
        <f>IF(ISNUMBER(AE393),'자료_거시'!$M375,"")</f>
        <v/>
      </c>
      <c r="AG393">
        <f>IF(ISNUMBER(AF393),IF(AF393&gt;$L$9,AE393,""),"")</f>
        <v/>
      </c>
    </row>
    <row r="394">
      <c r="P394">
        <f>IF(AND(ISNUMBER('자료_거시'!$A376),ISNUMBER('자료_거시'!$B376)),'자료_거시'!$B376,"")</f>
        <v/>
      </c>
      <c r="Q394">
        <f>IF(ISNUMBER(P394),'자료_거시'!$A376,"")</f>
        <v/>
      </c>
      <c r="R394">
        <f>IF(ISNUMBER(Q394),IF(Q394&gt;$L$5,P394,""),"")</f>
        <v/>
      </c>
      <c r="S394">
        <f>IF(ISNUMBER('자료_거시'!$E376),'자료_거시'!$E376,S393)</f>
        <v/>
      </c>
      <c r="T394">
        <f>IF(AND(ISNUMBER('자료_거시'!$D376),ISNUMBER('자료_거시'!$E376)),IFERROR('자료_거시'!$E376-INDEX($S$21:$S$4020,MATCH(EDATE('자료_거시'!$D376,-'설정'!$B$17),'자료_거시'!$D$3:INDEX('자료_거시'!$D$3:$D$4002,$K$6),1)),""),"")</f>
        <v/>
      </c>
      <c r="U394">
        <f>IF(ISNUMBER(T394),'자료_거시'!$D376,"")</f>
        <v/>
      </c>
      <c r="V394">
        <f>IF(ISNUMBER(U394),IF(U394&gt;$L$6,T394,""),"")</f>
        <v/>
      </c>
      <c r="W394">
        <f>IF(AND(ISNUMBER('자료_거시'!$G376),ISNUMBER('자료_거시'!$H376)),'자료_거시'!$H376,"")</f>
        <v/>
      </c>
      <c r="X394">
        <f>IF(ISNUMBER(W394),'자료_거시'!$G376,"")</f>
        <v/>
      </c>
      <c r="Y394">
        <f>IF(ISNUMBER(X394),IF(X394&gt;$L$7,W394,""),"")</f>
        <v/>
      </c>
      <c r="Z394">
        <f>IF(ISNUMBER('자료_거시'!$K376),'자료_거시'!$K376,Z393)</f>
        <v/>
      </c>
      <c r="AA394">
        <f>IF(AND(ISNUMBER('자료_거시'!$J376),ISNUMBER('자료_거시'!$K376)),IFERROR('자료_거시'!$K376/INDEX($Z$21:$Z$4020,MATCH(EDATE('자료_거시'!$J376,-'설정'!$B$17),'자료_거시'!$J$3:INDEX('자료_거시'!$J$3:$J$4002,$K$8),1))-1,""),"")</f>
        <v/>
      </c>
      <c r="AB394">
        <f>IF(ISNUMBER(AA394),'자료_거시'!$J376,"")</f>
        <v/>
      </c>
      <c r="AC394">
        <f>IF(ISNUMBER(AB394),IF(AB394&gt;$L$8,AA394,""),"")</f>
        <v/>
      </c>
      <c r="AD394">
        <f>IF(AND(ISNUMBER('자료_거시'!$M376),ISNUMBER('자료_거시'!$N376)),1,0)</f>
        <v/>
      </c>
      <c r="AE394">
        <f>IF(AND(ISNUMBER('자료_거시'!$M376),ISNUMBER('자료_거시'!$N376)),IF(AND(SUMIFS($AD$21:$AD$620,'자료_거시'!$M$3:$M$602,"&gt;"&amp;EDATE('자료_거시'!$M376,-'설정'!$B$17),'자료_거시'!$M$3:$M$602,"&lt;="&amp;'자료_거시'!$M376)=3,SUMIFS($AD$21:$AD$620,'자료_거시'!$M$3:$M$602,"&gt;"&amp;EDATE('자료_거시'!$M376,-12-'설정'!$B$17),'자료_거시'!$M$3:$M$602,"&lt;="&amp;EDATE('자료_거시'!$M376,-12))=3),IFERROR(SUMIFS('자료_거시'!$N$3:$N$602,'자료_거시'!$M$3:$M$602,"&gt;"&amp;EDATE('자료_거시'!$M376,-'설정'!$B$17),'자료_거시'!$M$3:$M$602,"&lt;="&amp;'자료_거시'!$M376)/SUMIFS('자료_거시'!$N$3:$N$602,'자료_거시'!$M$3:$M$602,"&gt;"&amp;EDATE('자료_거시'!$M376,-12-'설정'!$B$17),'자료_거시'!$M$3:$M$602,"&lt;="&amp;EDATE('자료_거시'!$M376,-12))-1,""),""),"")</f>
        <v/>
      </c>
      <c r="AF394">
        <f>IF(ISNUMBER(AE394),'자료_거시'!$M376,"")</f>
        <v/>
      </c>
      <c r="AG394">
        <f>IF(ISNUMBER(AF394),IF(AF394&gt;$L$9,AE394,""),"")</f>
        <v/>
      </c>
    </row>
    <row r="395">
      <c r="P395">
        <f>IF(AND(ISNUMBER('자료_거시'!$A377),ISNUMBER('자료_거시'!$B377)),'자료_거시'!$B377,"")</f>
        <v/>
      </c>
      <c r="Q395">
        <f>IF(ISNUMBER(P395),'자료_거시'!$A377,"")</f>
        <v/>
      </c>
      <c r="R395">
        <f>IF(ISNUMBER(Q395),IF(Q395&gt;$L$5,P395,""),"")</f>
        <v/>
      </c>
      <c r="S395">
        <f>IF(ISNUMBER('자료_거시'!$E377),'자료_거시'!$E377,S394)</f>
        <v/>
      </c>
      <c r="T395">
        <f>IF(AND(ISNUMBER('자료_거시'!$D377),ISNUMBER('자료_거시'!$E377)),IFERROR('자료_거시'!$E377-INDEX($S$21:$S$4020,MATCH(EDATE('자료_거시'!$D377,-'설정'!$B$17),'자료_거시'!$D$3:INDEX('자료_거시'!$D$3:$D$4002,$K$6),1)),""),"")</f>
        <v/>
      </c>
      <c r="U395">
        <f>IF(ISNUMBER(T395),'자료_거시'!$D377,"")</f>
        <v/>
      </c>
      <c r="V395">
        <f>IF(ISNUMBER(U395),IF(U395&gt;$L$6,T395,""),"")</f>
        <v/>
      </c>
      <c r="W395">
        <f>IF(AND(ISNUMBER('자료_거시'!$G377),ISNUMBER('자료_거시'!$H377)),'자료_거시'!$H377,"")</f>
        <v/>
      </c>
      <c r="X395">
        <f>IF(ISNUMBER(W395),'자료_거시'!$G377,"")</f>
        <v/>
      </c>
      <c r="Y395">
        <f>IF(ISNUMBER(X395),IF(X395&gt;$L$7,W395,""),"")</f>
        <v/>
      </c>
      <c r="Z395">
        <f>IF(ISNUMBER('자료_거시'!$K377),'자료_거시'!$K377,Z394)</f>
        <v/>
      </c>
      <c r="AA395">
        <f>IF(AND(ISNUMBER('자료_거시'!$J377),ISNUMBER('자료_거시'!$K377)),IFERROR('자료_거시'!$K377/INDEX($Z$21:$Z$4020,MATCH(EDATE('자료_거시'!$J377,-'설정'!$B$17),'자료_거시'!$J$3:INDEX('자료_거시'!$J$3:$J$4002,$K$8),1))-1,""),"")</f>
        <v/>
      </c>
      <c r="AB395">
        <f>IF(ISNUMBER(AA395),'자료_거시'!$J377,"")</f>
        <v/>
      </c>
      <c r="AC395">
        <f>IF(ISNUMBER(AB395),IF(AB395&gt;$L$8,AA395,""),"")</f>
        <v/>
      </c>
      <c r="AD395">
        <f>IF(AND(ISNUMBER('자료_거시'!$M377),ISNUMBER('자료_거시'!$N377)),1,0)</f>
        <v/>
      </c>
      <c r="AE395">
        <f>IF(AND(ISNUMBER('자료_거시'!$M377),ISNUMBER('자료_거시'!$N377)),IF(AND(SUMIFS($AD$21:$AD$620,'자료_거시'!$M$3:$M$602,"&gt;"&amp;EDATE('자료_거시'!$M377,-'설정'!$B$17),'자료_거시'!$M$3:$M$602,"&lt;="&amp;'자료_거시'!$M377)=3,SUMIFS($AD$21:$AD$620,'자료_거시'!$M$3:$M$602,"&gt;"&amp;EDATE('자료_거시'!$M377,-12-'설정'!$B$17),'자료_거시'!$M$3:$M$602,"&lt;="&amp;EDATE('자료_거시'!$M377,-12))=3),IFERROR(SUMIFS('자료_거시'!$N$3:$N$602,'자료_거시'!$M$3:$M$602,"&gt;"&amp;EDATE('자료_거시'!$M377,-'설정'!$B$17),'자료_거시'!$M$3:$M$602,"&lt;="&amp;'자료_거시'!$M377)/SUMIFS('자료_거시'!$N$3:$N$602,'자료_거시'!$M$3:$M$602,"&gt;"&amp;EDATE('자료_거시'!$M377,-12-'설정'!$B$17),'자료_거시'!$M$3:$M$602,"&lt;="&amp;EDATE('자료_거시'!$M377,-12))-1,""),""),"")</f>
        <v/>
      </c>
      <c r="AF395">
        <f>IF(ISNUMBER(AE395),'자료_거시'!$M377,"")</f>
        <v/>
      </c>
      <c r="AG395">
        <f>IF(ISNUMBER(AF395),IF(AF395&gt;$L$9,AE395,""),"")</f>
        <v/>
      </c>
    </row>
    <row r="396">
      <c r="P396">
        <f>IF(AND(ISNUMBER('자료_거시'!$A378),ISNUMBER('자료_거시'!$B378)),'자료_거시'!$B378,"")</f>
        <v/>
      </c>
      <c r="Q396">
        <f>IF(ISNUMBER(P396),'자료_거시'!$A378,"")</f>
        <v/>
      </c>
      <c r="R396">
        <f>IF(ISNUMBER(Q396),IF(Q396&gt;$L$5,P396,""),"")</f>
        <v/>
      </c>
      <c r="S396">
        <f>IF(ISNUMBER('자료_거시'!$E378),'자료_거시'!$E378,S395)</f>
        <v/>
      </c>
      <c r="T396">
        <f>IF(AND(ISNUMBER('자료_거시'!$D378),ISNUMBER('자료_거시'!$E378)),IFERROR('자료_거시'!$E378-INDEX($S$21:$S$4020,MATCH(EDATE('자료_거시'!$D378,-'설정'!$B$17),'자료_거시'!$D$3:INDEX('자료_거시'!$D$3:$D$4002,$K$6),1)),""),"")</f>
        <v/>
      </c>
      <c r="U396">
        <f>IF(ISNUMBER(T396),'자료_거시'!$D378,"")</f>
        <v/>
      </c>
      <c r="V396">
        <f>IF(ISNUMBER(U396),IF(U396&gt;$L$6,T396,""),"")</f>
        <v/>
      </c>
      <c r="W396">
        <f>IF(AND(ISNUMBER('자료_거시'!$G378),ISNUMBER('자료_거시'!$H378)),'자료_거시'!$H378,"")</f>
        <v/>
      </c>
      <c r="X396">
        <f>IF(ISNUMBER(W396),'자료_거시'!$G378,"")</f>
        <v/>
      </c>
      <c r="Y396">
        <f>IF(ISNUMBER(X396),IF(X396&gt;$L$7,W396,""),"")</f>
        <v/>
      </c>
      <c r="Z396">
        <f>IF(ISNUMBER('자료_거시'!$K378),'자료_거시'!$K378,Z395)</f>
        <v/>
      </c>
      <c r="AA396">
        <f>IF(AND(ISNUMBER('자료_거시'!$J378),ISNUMBER('자료_거시'!$K378)),IFERROR('자료_거시'!$K378/INDEX($Z$21:$Z$4020,MATCH(EDATE('자료_거시'!$J378,-'설정'!$B$17),'자료_거시'!$J$3:INDEX('자료_거시'!$J$3:$J$4002,$K$8),1))-1,""),"")</f>
        <v/>
      </c>
      <c r="AB396">
        <f>IF(ISNUMBER(AA396),'자료_거시'!$J378,"")</f>
        <v/>
      </c>
      <c r="AC396">
        <f>IF(ISNUMBER(AB396),IF(AB396&gt;$L$8,AA396,""),"")</f>
        <v/>
      </c>
      <c r="AD396">
        <f>IF(AND(ISNUMBER('자료_거시'!$M378),ISNUMBER('자료_거시'!$N378)),1,0)</f>
        <v/>
      </c>
      <c r="AE396">
        <f>IF(AND(ISNUMBER('자료_거시'!$M378),ISNUMBER('자료_거시'!$N378)),IF(AND(SUMIFS($AD$21:$AD$620,'자료_거시'!$M$3:$M$602,"&gt;"&amp;EDATE('자료_거시'!$M378,-'설정'!$B$17),'자료_거시'!$M$3:$M$602,"&lt;="&amp;'자료_거시'!$M378)=3,SUMIFS($AD$21:$AD$620,'자료_거시'!$M$3:$M$602,"&gt;"&amp;EDATE('자료_거시'!$M378,-12-'설정'!$B$17),'자료_거시'!$M$3:$M$602,"&lt;="&amp;EDATE('자료_거시'!$M378,-12))=3),IFERROR(SUMIFS('자료_거시'!$N$3:$N$602,'자료_거시'!$M$3:$M$602,"&gt;"&amp;EDATE('자료_거시'!$M378,-'설정'!$B$17),'자료_거시'!$M$3:$M$602,"&lt;="&amp;'자료_거시'!$M378)/SUMIFS('자료_거시'!$N$3:$N$602,'자료_거시'!$M$3:$M$602,"&gt;"&amp;EDATE('자료_거시'!$M378,-12-'설정'!$B$17),'자료_거시'!$M$3:$M$602,"&lt;="&amp;EDATE('자료_거시'!$M378,-12))-1,""),""),"")</f>
        <v/>
      </c>
      <c r="AF396">
        <f>IF(ISNUMBER(AE396),'자료_거시'!$M378,"")</f>
        <v/>
      </c>
      <c r="AG396">
        <f>IF(ISNUMBER(AF396),IF(AF396&gt;$L$9,AE396,""),"")</f>
        <v/>
      </c>
    </row>
    <row r="397">
      <c r="P397">
        <f>IF(AND(ISNUMBER('자료_거시'!$A379),ISNUMBER('자료_거시'!$B379)),'자료_거시'!$B379,"")</f>
        <v/>
      </c>
      <c r="Q397">
        <f>IF(ISNUMBER(P397),'자료_거시'!$A379,"")</f>
        <v/>
      </c>
      <c r="R397">
        <f>IF(ISNUMBER(Q397),IF(Q397&gt;$L$5,P397,""),"")</f>
        <v/>
      </c>
      <c r="S397">
        <f>IF(ISNUMBER('자료_거시'!$E379),'자료_거시'!$E379,S396)</f>
        <v/>
      </c>
      <c r="T397">
        <f>IF(AND(ISNUMBER('자료_거시'!$D379),ISNUMBER('자료_거시'!$E379)),IFERROR('자료_거시'!$E379-INDEX($S$21:$S$4020,MATCH(EDATE('자료_거시'!$D379,-'설정'!$B$17),'자료_거시'!$D$3:INDEX('자료_거시'!$D$3:$D$4002,$K$6),1)),""),"")</f>
        <v/>
      </c>
      <c r="U397">
        <f>IF(ISNUMBER(T397),'자료_거시'!$D379,"")</f>
        <v/>
      </c>
      <c r="V397">
        <f>IF(ISNUMBER(U397),IF(U397&gt;$L$6,T397,""),"")</f>
        <v/>
      </c>
      <c r="W397">
        <f>IF(AND(ISNUMBER('자료_거시'!$G379),ISNUMBER('자료_거시'!$H379)),'자료_거시'!$H379,"")</f>
        <v/>
      </c>
      <c r="X397">
        <f>IF(ISNUMBER(W397),'자료_거시'!$G379,"")</f>
        <v/>
      </c>
      <c r="Y397">
        <f>IF(ISNUMBER(X397),IF(X397&gt;$L$7,W397,""),"")</f>
        <v/>
      </c>
      <c r="Z397">
        <f>IF(ISNUMBER('자료_거시'!$K379),'자료_거시'!$K379,Z396)</f>
        <v/>
      </c>
      <c r="AA397">
        <f>IF(AND(ISNUMBER('자료_거시'!$J379),ISNUMBER('자료_거시'!$K379)),IFERROR('자료_거시'!$K379/INDEX($Z$21:$Z$4020,MATCH(EDATE('자료_거시'!$J379,-'설정'!$B$17),'자료_거시'!$J$3:INDEX('자료_거시'!$J$3:$J$4002,$K$8),1))-1,""),"")</f>
        <v/>
      </c>
      <c r="AB397">
        <f>IF(ISNUMBER(AA397),'자료_거시'!$J379,"")</f>
        <v/>
      </c>
      <c r="AC397">
        <f>IF(ISNUMBER(AB397),IF(AB397&gt;$L$8,AA397,""),"")</f>
        <v/>
      </c>
      <c r="AD397">
        <f>IF(AND(ISNUMBER('자료_거시'!$M379),ISNUMBER('자료_거시'!$N379)),1,0)</f>
        <v/>
      </c>
      <c r="AE397">
        <f>IF(AND(ISNUMBER('자료_거시'!$M379),ISNUMBER('자료_거시'!$N379)),IF(AND(SUMIFS($AD$21:$AD$620,'자료_거시'!$M$3:$M$602,"&gt;"&amp;EDATE('자료_거시'!$M379,-'설정'!$B$17),'자료_거시'!$M$3:$M$602,"&lt;="&amp;'자료_거시'!$M379)=3,SUMIFS($AD$21:$AD$620,'자료_거시'!$M$3:$M$602,"&gt;"&amp;EDATE('자료_거시'!$M379,-12-'설정'!$B$17),'자료_거시'!$M$3:$M$602,"&lt;="&amp;EDATE('자료_거시'!$M379,-12))=3),IFERROR(SUMIFS('자료_거시'!$N$3:$N$602,'자료_거시'!$M$3:$M$602,"&gt;"&amp;EDATE('자료_거시'!$M379,-'설정'!$B$17),'자료_거시'!$M$3:$M$602,"&lt;="&amp;'자료_거시'!$M379)/SUMIFS('자료_거시'!$N$3:$N$602,'자료_거시'!$M$3:$M$602,"&gt;"&amp;EDATE('자료_거시'!$M379,-12-'설정'!$B$17),'자료_거시'!$M$3:$M$602,"&lt;="&amp;EDATE('자료_거시'!$M379,-12))-1,""),""),"")</f>
        <v/>
      </c>
      <c r="AF397">
        <f>IF(ISNUMBER(AE397),'자료_거시'!$M379,"")</f>
        <v/>
      </c>
      <c r="AG397">
        <f>IF(ISNUMBER(AF397),IF(AF397&gt;$L$9,AE397,""),"")</f>
        <v/>
      </c>
    </row>
    <row r="398">
      <c r="P398">
        <f>IF(AND(ISNUMBER('자료_거시'!$A380),ISNUMBER('자료_거시'!$B380)),'자료_거시'!$B380,"")</f>
        <v/>
      </c>
      <c r="Q398">
        <f>IF(ISNUMBER(P398),'자료_거시'!$A380,"")</f>
        <v/>
      </c>
      <c r="R398">
        <f>IF(ISNUMBER(Q398),IF(Q398&gt;$L$5,P398,""),"")</f>
        <v/>
      </c>
      <c r="S398">
        <f>IF(ISNUMBER('자료_거시'!$E380),'자료_거시'!$E380,S397)</f>
        <v/>
      </c>
      <c r="T398">
        <f>IF(AND(ISNUMBER('자료_거시'!$D380),ISNUMBER('자료_거시'!$E380)),IFERROR('자료_거시'!$E380-INDEX($S$21:$S$4020,MATCH(EDATE('자료_거시'!$D380,-'설정'!$B$17),'자료_거시'!$D$3:INDEX('자료_거시'!$D$3:$D$4002,$K$6),1)),""),"")</f>
        <v/>
      </c>
      <c r="U398">
        <f>IF(ISNUMBER(T398),'자료_거시'!$D380,"")</f>
        <v/>
      </c>
      <c r="V398">
        <f>IF(ISNUMBER(U398),IF(U398&gt;$L$6,T398,""),"")</f>
        <v/>
      </c>
      <c r="W398">
        <f>IF(AND(ISNUMBER('자료_거시'!$G380),ISNUMBER('자료_거시'!$H380)),'자료_거시'!$H380,"")</f>
        <v/>
      </c>
      <c r="X398">
        <f>IF(ISNUMBER(W398),'자료_거시'!$G380,"")</f>
        <v/>
      </c>
      <c r="Y398">
        <f>IF(ISNUMBER(X398),IF(X398&gt;$L$7,W398,""),"")</f>
        <v/>
      </c>
      <c r="Z398">
        <f>IF(ISNUMBER('자료_거시'!$K380),'자료_거시'!$K380,Z397)</f>
        <v/>
      </c>
      <c r="AA398">
        <f>IF(AND(ISNUMBER('자료_거시'!$J380),ISNUMBER('자료_거시'!$K380)),IFERROR('자료_거시'!$K380/INDEX($Z$21:$Z$4020,MATCH(EDATE('자료_거시'!$J380,-'설정'!$B$17),'자료_거시'!$J$3:INDEX('자료_거시'!$J$3:$J$4002,$K$8),1))-1,""),"")</f>
        <v/>
      </c>
      <c r="AB398">
        <f>IF(ISNUMBER(AA398),'자료_거시'!$J380,"")</f>
        <v/>
      </c>
      <c r="AC398">
        <f>IF(ISNUMBER(AB398),IF(AB398&gt;$L$8,AA398,""),"")</f>
        <v/>
      </c>
      <c r="AD398">
        <f>IF(AND(ISNUMBER('자료_거시'!$M380),ISNUMBER('자료_거시'!$N380)),1,0)</f>
        <v/>
      </c>
      <c r="AE398">
        <f>IF(AND(ISNUMBER('자료_거시'!$M380),ISNUMBER('자료_거시'!$N380)),IF(AND(SUMIFS($AD$21:$AD$620,'자료_거시'!$M$3:$M$602,"&gt;"&amp;EDATE('자료_거시'!$M380,-'설정'!$B$17),'자료_거시'!$M$3:$M$602,"&lt;="&amp;'자료_거시'!$M380)=3,SUMIFS($AD$21:$AD$620,'자료_거시'!$M$3:$M$602,"&gt;"&amp;EDATE('자료_거시'!$M380,-12-'설정'!$B$17),'자료_거시'!$M$3:$M$602,"&lt;="&amp;EDATE('자료_거시'!$M380,-12))=3),IFERROR(SUMIFS('자료_거시'!$N$3:$N$602,'자료_거시'!$M$3:$M$602,"&gt;"&amp;EDATE('자료_거시'!$M380,-'설정'!$B$17),'자료_거시'!$M$3:$M$602,"&lt;="&amp;'자료_거시'!$M380)/SUMIFS('자료_거시'!$N$3:$N$602,'자료_거시'!$M$3:$M$602,"&gt;"&amp;EDATE('자료_거시'!$M380,-12-'설정'!$B$17),'자료_거시'!$M$3:$M$602,"&lt;="&amp;EDATE('자료_거시'!$M380,-12))-1,""),""),"")</f>
        <v/>
      </c>
      <c r="AF398">
        <f>IF(ISNUMBER(AE398),'자료_거시'!$M380,"")</f>
        <v/>
      </c>
      <c r="AG398">
        <f>IF(ISNUMBER(AF398),IF(AF398&gt;$L$9,AE398,""),"")</f>
        <v/>
      </c>
    </row>
    <row r="399">
      <c r="P399">
        <f>IF(AND(ISNUMBER('자료_거시'!$A381),ISNUMBER('자료_거시'!$B381)),'자료_거시'!$B381,"")</f>
        <v/>
      </c>
      <c r="Q399">
        <f>IF(ISNUMBER(P399),'자료_거시'!$A381,"")</f>
        <v/>
      </c>
      <c r="R399">
        <f>IF(ISNUMBER(Q399),IF(Q399&gt;$L$5,P399,""),"")</f>
        <v/>
      </c>
      <c r="S399">
        <f>IF(ISNUMBER('자료_거시'!$E381),'자료_거시'!$E381,S398)</f>
        <v/>
      </c>
      <c r="T399">
        <f>IF(AND(ISNUMBER('자료_거시'!$D381),ISNUMBER('자료_거시'!$E381)),IFERROR('자료_거시'!$E381-INDEX($S$21:$S$4020,MATCH(EDATE('자료_거시'!$D381,-'설정'!$B$17),'자료_거시'!$D$3:INDEX('자료_거시'!$D$3:$D$4002,$K$6),1)),""),"")</f>
        <v/>
      </c>
      <c r="U399">
        <f>IF(ISNUMBER(T399),'자료_거시'!$D381,"")</f>
        <v/>
      </c>
      <c r="V399">
        <f>IF(ISNUMBER(U399),IF(U399&gt;$L$6,T399,""),"")</f>
        <v/>
      </c>
      <c r="W399">
        <f>IF(AND(ISNUMBER('자료_거시'!$G381),ISNUMBER('자료_거시'!$H381)),'자료_거시'!$H381,"")</f>
        <v/>
      </c>
      <c r="X399">
        <f>IF(ISNUMBER(W399),'자료_거시'!$G381,"")</f>
        <v/>
      </c>
      <c r="Y399">
        <f>IF(ISNUMBER(X399),IF(X399&gt;$L$7,W399,""),"")</f>
        <v/>
      </c>
      <c r="Z399">
        <f>IF(ISNUMBER('자료_거시'!$K381),'자료_거시'!$K381,Z398)</f>
        <v/>
      </c>
      <c r="AA399">
        <f>IF(AND(ISNUMBER('자료_거시'!$J381),ISNUMBER('자료_거시'!$K381)),IFERROR('자료_거시'!$K381/INDEX($Z$21:$Z$4020,MATCH(EDATE('자료_거시'!$J381,-'설정'!$B$17),'자료_거시'!$J$3:INDEX('자료_거시'!$J$3:$J$4002,$K$8),1))-1,""),"")</f>
        <v/>
      </c>
      <c r="AB399">
        <f>IF(ISNUMBER(AA399),'자료_거시'!$J381,"")</f>
        <v/>
      </c>
      <c r="AC399">
        <f>IF(ISNUMBER(AB399),IF(AB399&gt;$L$8,AA399,""),"")</f>
        <v/>
      </c>
      <c r="AD399">
        <f>IF(AND(ISNUMBER('자료_거시'!$M381),ISNUMBER('자료_거시'!$N381)),1,0)</f>
        <v/>
      </c>
      <c r="AE399">
        <f>IF(AND(ISNUMBER('자료_거시'!$M381),ISNUMBER('자료_거시'!$N381)),IF(AND(SUMIFS($AD$21:$AD$620,'자료_거시'!$M$3:$M$602,"&gt;"&amp;EDATE('자료_거시'!$M381,-'설정'!$B$17),'자료_거시'!$M$3:$M$602,"&lt;="&amp;'자료_거시'!$M381)=3,SUMIFS($AD$21:$AD$620,'자료_거시'!$M$3:$M$602,"&gt;"&amp;EDATE('자료_거시'!$M381,-12-'설정'!$B$17),'자료_거시'!$M$3:$M$602,"&lt;="&amp;EDATE('자료_거시'!$M381,-12))=3),IFERROR(SUMIFS('자료_거시'!$N$3:$N$602,'자료_거시'!$M$3:$M$602,"&gt;"&amp;EDATE('자료_거시'!$M381,-'설정'!$B$17),'자료_거시'!$M$3:$M$602,"&lt;="&amp;'자료_거시'!$M381)/SUMIFS('자료_거시'!$N$3:$N$602,'자료_거시'!$M$3:$M$602,"&gt;"&amp;EDATE('자료_거시'!$M381,-12-'설정'!$B$17),'자료_거시'!$M$3:$M$602,"&lt;="&amp;EDATE('자료_거시'!$M381,-12))-1,""),""),"")</f>
        <v/>
      </c>
      <c r="AF399">
        <f>IF(ISNUMBER(AE399),'자료_거시'!$M381,"")</f>
        <v/>
      </c>
      <c r="AG399">
        <f>IF(ISNUMBER(AF399),IF(AF399&gt;$L$9,AE399,""),"")</f>
        <v/>
      </c>
    </row>
    <row r="400">
      <c r="P400">
        <f>IF(AND(ISNUMBER('자료_거시'!$A382),ISNUMBER('자료_거시'!$B382)),'자료_거시'!$B382,"")</f>
        <v/>
      </c>
      <c r="Q400">
        <f>IF(ISNUMBER(P400),'자료_거시'!$A382,"")</f>
        <v/>
      </c>
      <c r="R400">
        <f>IF(ISNUMBER(Q400),IF(Q400&gt;$L$5,P400,""),"")</f>
        <v/>
      </c>
      <c r="S400">
        <f>IF(ISNUMBER('자료_거시'!$E382),'자료_거시'!$E382,S399)</f>
        <v/>
      </c>
      <c r="T400">
        <f>IF(AND(ISNUMBER('자료_거시'!$D382),ISNUMBER('자료_거시'!$E382)),IFERROR('자료_거시'!$E382-INDEX($S$21:$S$4020,MATCH(EDATE('자료_거시'!$D382,-'설정'!$B$17),'자료_거시'!$D$3:INDEX('자료_거시'!$D$3:$D$4002,$K$6),1)),""),"")</f>
        <v/>
      </c>
      <c r="U400">
        <f>IF(ISNUMBER(T400),'자료_거시'!$D382,"")</f>
        <v/>
      </c>
      <c r="V400">
        <f>IF(ISNUMBER(U400),IF(U400&gt;$L$6,T400,""),"")</f>
        <v/>
      </c>
      <c r="W400">
        <f>IF(AND(ISNUMBER('자료_거시'!$G382),ISNUMBER('자료_거시'!$H382)),'자료_거시'!$H382,"")</f>
        <v/>
      </c>
      <c r="X400">
        <f>IF(ISNUMBER(W400),'자료_거시'!$G382,"")</f>
        <v/>
      </c>
      <c r="Y400">
        <f>IF(ISNUMBER(X400),IF(X400&gt;$L$7,W400,""),"")</f>
        <v/>
      </c>
      <c r="Z400">
        <f>IF(ISNUMBER('자료_거시'!$K382),'자료_거시'!$K382,Z399)</f>
        <v/>
      </c>
      <c r="AA400">
        <f>IF(AND(ISNUMBER('자료_거시'!$J382),ISNUMBER('자료_거시'!$K382)),IFERROR('자료_거시'!$K382/INDEX($Z$21:$Z$4020,MATCH(EDATE('자료_거시'!$J382,-'설정'!$B$17),'자료_거시'!$J$3:INDEX('자료_거시'!$J$3:$J$4002,$K$8),1))-1,""),"")</f>
        <v/>
      </c>
      <c r="AB400">
        <f>IF(ISNUMBER(AA400),'자료_거시'!$J382,"")</f>
        <v/>
      </c>
      <c r="AC400">
        <f>IF(ISNUMBER(AB400),IF(AB400&gt;$L$8,AA400,""),"")</f>
        <v/>
      </c>
      <c r="AD400">
        <f>IF(AND(ISNUMBER('자료_거시'!$M382),ISNUMBER('자료_거시'!$N382)),1,0)</f>
        <v/>
      </c>
      <c r="AE400">
        <f>IF(AND(ISNUMBER('자료_거시'!$M382),ISNUMBER('자료_거시'!$N382)),IF(AND(SUMIFS($AD$21:$AD$620,'자료_거시'!$M$3:$M$602,"&gt;"&amp;EDATE('자료_거시'!$M382,-'설정'!$B$17),'자료_거시'!$M$3:$M$602,"&lt;="&amp;'자료_거시'!$M382)=3,SUMIFS($AD$21:$AD$620,'자료_거시'!$M$3:$M$602,"&gt;"&amp;EDATE('자료_거시'!$M382,-12-'설정'!$B$17),'자료_거시'!$M$3:$M$602,"&lt;="&amp;EDATE('자료_거시'!$M382,-12))=3),IFERROR(SUMIFS('자료_거시'!$N$3:$N$602,'자료_거시'!$M$3:$M$602,"&gt;"&amp;EDATE('자료_거시'!$M382,-'설정'!$B$17),'자료_거시'!$M$3:$M$602,"&lt;="&amp;'자료_거시'!$M382)/SUMIFS('자료_거시'!$N$3:$N$602,'자료_거시'!$M$3:$M$602,"&gt;"&amp;EDATE('자료_거시'!$M382,-12-'설정'!$B$17),'자료_거시'!$M$3:$M$602,"&lt;="&amp;EDATE('자료_거시'!$M382,-12))-1,""),""),"")</f>
        <v/>
      </c>
      <c r="AF400">
        <f>IF(ISNUMBER(AE400),'자료_거시'!$M382,"")</f>
        <v/>
      </c>
      <c r="AG400">
        <f>IF(ISNUMBER(AF400),IF(AF400&gt;$L$9,AE400,""),"")</f>
        <v/>
      </c>
    </row>
    <row r="401">
      <c r="P401">
        <f>IF(AND(ISNUMBER('자료_거시'!$A383),ISNUMBER('자료_거시'!$B383)),'자료_거시'!$B383,"")</f>
        <v/>
      </c>
      <c r="Q401">
        <f>IF(ISNUMBER(P401),'자료_거시'!$A383,"")</f>
        <v/>
      </c>
      <c r="R401">
        <f>IF(ISNUMBER(Q401),IF(Q401&gt;$L$5,P401,""),"")</f>
        <v/>
      </c>
      <c r="S401">
        <f>IF(ISNUMBER('자료_거시'!$E383),'자료_거시'!$E383,S400)</f>
        <v/>
      </c>
      <c r="T401">
        <f>IF(AND(ISNUMBER('자료_거시'!$D383),ISNUMBER('자료_거시'!$E383)),IFERROR('자료_거시'!$E383-INDEX($S$21:$S$4020,MATCH(EDATE('자료_거시'!$D383,-'설정'!$B$17),'자료_거시'!$D$3:INDEX('자료_거시'!$D$3:$D$4002,$K$6),1)),""),"")</f>
        <v/>
      </c>
      <c r="U401">
        <f>IF(ISNUMBER(T401),'자료_거시'!$D383,"")</f>
        <v/>
      </c>
      <c r="V401">
        <f>IF(ISNUMBER(U401),IF(U401&gt;$L$6,T401,""),"")</f>
        <v/>
      </c>
      <c r="W401">
        <f>IF(AND(ISNUMBER('자료_거시'!$G383),ISNUMBER('자료_거시'!$H383)),'자료_거시'!$H383,"")</f>
        <v/>
      </c>
      <c r="X401">
        <f>IF(ISNUMBER(W401),'자료_거시'!$G383,"")</f>
        <v/>
      </c>
      <c r="Y401">
        <f>IF(ISNUMBER(X401),IF(X401&gt;$L$7,W401,""),"")</f>
        <v/>
      </c>
      <c r="Z401">
        <f>IF(ISNUMBER('자료_거시'!$K383),'자료_거시'!$K383,Z400)</f>
        <v/>
      </c>
      <c r="AA401">
        <f>IF(AND(ISNUMBER('자료_거시'!$J383),ISNUMBER('자료_거시'!$K383)),IFERROR('자료_거시'!$K383/INDEX($Z$21:$Z$4020,MATCH(EDATE('자료_거시'!$J383,-'설정'!$B$17),'자료_거시'!$J$3:INDEX('자료_거시'!$J$3:$J$4002,$K$8),1))-1,""),"")</f>
        <v/>
      </c>
      <c r="AB401">
        <f>IF(ISNUMBER(AA401),'자료_거시'!$J383,"")</f>
        <v/>
      </c>
      <c r="AC401">
        <f>IF(ISNUMBER(AB401),IF(AB401&gt;$L$8,AA401,""),"")</f>
        <v/>
      </c>
      <c r="AD401">
        <f>IF(AND(ISNUMBER('자료_거시'!$M383),ISNUMBER('자료_거시'!$N383)),1,0)</f>
        <v/>
      </c>
      <c r="AE401">
        <f>IF(AND(ISNUMBER('자료_거시'!$M383),ISNUMBER('자료_거시'!$N383)),IF(AND(SUMIFS($AD$21:$AD$620,'자료_거시'!$M$3:$M$602,"&gt;"&amp;EDATE('자료_거시'!$M383,-'설정'!$B$17),'자료_거시'!$M$3:$M$602,"&lt;="&amp;'자료_거시'!$M383)=3,SUMIFS($AD$21:$AD$620,'자료_거시'!$M$3:$M$602,"&gt;"&amp;EDATE('자료_거시'!$M383,-12-'설정'!$B$17),'자료_거시'!$M$3:$M$602,"&lt;="&amp;EDATE('자료_거시'!$M383,-12))=3),IFERROR(SUMIFS('자료_거시'!$N$3:$N$602,'자료_거시'!$M$3:$M$602,"&gt;"&amp;EDATE('자료_거시'!$M383,-'설정'!$B$17),'자료_거시'!$M$3:$M$602,"&lt;="&amp;'자료_거시'!$M383)/SUMIFS('자료_거시'!$N$3:$N$602,'자료_거시'!$M$3:$M$602,"&gt;"&amp;EDATE('자료_거시'!$M383,-12-'설정'!$B$17),'자료_거시'!$M$3:$M$602,"&lt;="&amp;EDATE('자료_거시'!$M383,-12))-1,""),""),"")</f>
        <v/>
      </c>
      <c r="AF401">
        <f>IF(ISNUMBER(AE401),'자료_거시'!$M383,"")</f>
        <v/>
      </c>
      <c r="AG401">
        <f>IF(ISNUMBER(AF401),IF(AF401&gt;$L$9,AE401,""),"")</f>
        <v/>
      </c>
    </row>
    <row r="402">
      <c r="P402">
        <f>IF(AND(ISNUMBER('자료_거시'!$A384),ISNUMBER('자료_거시'!$B384)),'자료_거시'!$B384,"")</f>
        <v/>
      </c>
      <c r="Q402">
        <f>IF(ISNUMBER(P402),'자료_거시'!$A384,"")</f>
        <v/>
      </c>
      <c r="R402">
        <f>IF(ISNUMBER(Q402),IF(Q402&gt;$L$5,P402,""),"")</f>
        <v/>
      </c>
      <c r="S402">
        <f>IF(ISNUMBER('자료_거시'!$E384),'자료_거시'!$E384,S401)</f>
        <v/>
      </c>
      <c r="T402">
        <f>IF(AND(ISNUMBER('자료_거시'!$D384),ISNUMBER('자료_거시'!$E384)),IFERROR('자료_거시'!$E384-INDEX($S$21:$S$4020,MATCH(EDATE('자료_거시'!$D384,-'설정'!$B$17),'자료_거시'!$D$3:INDEX('자료_거시'!$D$3:$D$4002,$K$6),1)),""),"")</f>
        <v/>
      </c>
      <c r="U402">
        <f>IF(ISNUMBER(T402),'자료_거시'!$D384,"")</f>
        <v/>
      </c>
      <c r="V402">
        <f>IF(ISNUMBER(U402),IF(U402&gt;$L$6,T402,""),"")</f>
        <v/>
      </c>
      <c r="W402">
        <f>IF(AND(ISNUMBER('자료_거시'!$G384),ISNUMBER('자료_거시'!$H384)),'자료_거시'!$H384,"")</f>
        <v/>
      </c>
      <c r="X402">
        <f>IF(ISNUMBER(W402),'자료_거시'!$G384,"")</f>
        <v/>
      </c>
      <c r="Y402">
        <f>IF(ISNUMBER(X402),IF(X402&gt;$L$7,W402,""),"")</f>
        <v/>
      </c>
      <c r="Z402">
        <f>IF(ISNUMBER('자료_거시'!$K384),'자료_거시'!$K384,Z401)</f>
        <v/>
      </c>
      <c r="AA402">
        <f>IF(AND(ISNUMBER('자료_거시'!$J384),ISNUMBER('자료_거시'!$K384)),IFERROR('자료_거시'!$K384/INDEX($Z$21:$Z$4020,MATCH(EDATE('자료_거시'!$J384,-'설정'!$B$17),'자료_거시'!$J$3:INDEX('자료_거시'!$J$3:$J$4002,$K$8),1))-1,""),"")</f>
        <v/>
      </c>
      <c r="AB402">
        <f>IF(ISNUMBER(AA402),'자료_거시'!$J384,"")</f>
        <v/>
      </c>
      <c r="AC402">
        <f>IF(ISNUMBER(AB402),IF(AB402&gt;$L$8,AA402,""),"")</f>
        <v/>
      </c>
      <c r="AD402">
        <f>IF(AND(ISNUMBER('자료_거시'!$M384),ISNUMBER('자료_거시'!$N384)),1,0)</f>
        <v/>
      </c>
      <c r="AE402">
        <f>IF(AND(ISNUMBER('자료_거시'!$M384),ISNUMBER('자료_거시'!$N384)),IF(AND(SUMIFS($AD$21:$AD$620,'자료_거시'!$M$3:$M$602,"&gt;"&amp;EDATE('자료_거시'!$M384,-'설정'!$B$17),'자료_거시'!$M$3:$M$602,"&lt;="&amp;'자료_거시'!$M384)=3,SUMIFS($AD$21:$AD$620,'자료_거시'!$M$3:$M$602,"&gt;"&amp;EDATE('자료_거시'!$M384,-12-'설정'!$B$17),'자료_거시'!$M$3:$M$602,"&lt;="&amp;EDATE('자료_거시'!$M384,-12))=3),IFERROR(SUMIFS('자료_거시'!$N$3:$N$602,'자료_거시'!$M$3:$M$602,"&gt;"&amp;EDATE('자료_거시'!$M384,-'설정'!$B$17),'자료_거시'!$M$3:$M$602,"&lt;="&amp;'자료_거시'!$M384)/SUMIFS('자료_거시'!$N$3:$N$602,'자료_거시'!$M$3:$M$602,"&gt;"&amp;EDATE('자료_거시'!$M384,-12-'설정'!$B$17),'자료_거시'!$M$3:$M$602,"&lt;="&amp;EDATE('자료_거시'!$M384,-12))-1,""),""),"")</f>
        <v/>
      </c>
      <c r="AF402">
        <f>IF(ISNUMBER(AE402),'자료_거시'!$M384,"")</f>
        <v/>
      </c>
      <c r="AG402">
        <f>IF(ISNUMBER(AF402),IF(AF402&gt;$L$9,AE402,""),"")</f>
        <v/>
      </c>
    </row>
    <row r="403">
      <c r="P403">
        <f>IF(AND(ISNUMBER('자료_거시'!$A385),ISNUMBER('자료_거시'!$B385)),'자료_거시'!$B385,"")</f>
        <v/>
      </c>
      <c r="Q403">
        <f>IF(ISNUMBER(P403),'자료_거시'!$A385,"")</f>
        <v/>
      </c>
      <c r="R403">
        <f>IF(ISNUMBER(Q403),IF(Q403&gt;$L$5,P403,""),"")</f>
        <v/>
      </c>
      <c r="S403">
        <f>IF(ISNUMBER('자료_거시'!$E385),'자료_거시'!$E385,S402)</f>
        <v/>
      </c>
      <c r="T403">
        <f>IF(AND(ISNUMBER('자료_거시'!$D385),ISNUMBER('자료_거시'!$E385)),IFERROR('자료_거시'!$E385-INDEX($S$21:$S$4020,MATCH(EDATE('자료_거시'!$D385,-'설정'!$B$17),'자료_거시'!$D$3:INDEX('자료_거시'!$D$3:$D$4002,$K$6),1)),""),"")</f>
        <v/>
      </c>
      <c r="U403">
        <f>IF(ISNUMBER(T403),'자료_거시'!$D385,"")</f>
        <v/>
      </c>
      <c r="V403">
        <f>IF(ISNUMBER(U403),IF(U403&gt;$L$6,T403,""),"")</f>
        <v/>
      </c>
      <c r="W403">
        <f>IF(AND(ISNUMBER('자료_거시'!$G385),ISNUMBER('자료_거시'!$H385)),'자료_거시'!$H385,"")</f>
        <v/>
      </c>
      <c r="X403">
        <f>IF(ISNUMBER(W403),'자료_거시'!$G385,"")</f>
        <v/>
      </c>
      <c r="Y403">
        <f>IF(ISNUMBER(X403),IF(X403&gt;$L$7,W403,""),"")</f>
        <v/>
      </c>
      <c r="Z403">
        <f>IF(ISNUMBER('자료_거시'!$K385),'자료_거시'!$K385,Z402)</f>
        <v/>
      </c>
      <c r="AA403">
        <f>IF(AND(ISNUMBER('자료_거시'!$J385),ISNUMBER('자료_거시'!$K385)),IFERROR('자료_거시'!$K385/INDEX($Z$21:$Z$4020,MATCH(EDATE('자료_거시'!$J385,-'설정'!$B$17),'자료_거시'!$J$3:INDEX('자료_거시'!$J$3:$J$4002,$K$8),1))-1,""),"")</f>
        <v/>
      </c>
      <c r="AB403">
        <f>IF(ISNUMBER(AA403),'자료_거시'!$J385,"")</f>
        <v/>
      </c>
      <c r="AC403">
        <f>IF(ISNUMBER(AB403),IF(AB403&gt;$L$8,AA403,""),"")</f>
        <v/>
      </c>
      <c r="AD403">
        <f>IF(AND(ISNUMBER('자료_거시'!$M385),ISNUMBER('자료_거시'!$N385)),1,0)</f>
        <v/>
      </c>
      <c r="AE403">
        <f>IF(AND(ISNUMBER('자료_거시'!$M385),ISNUMBER('자료_거시'!$N385)),IF(AND(SUMIFS($AD$21:$AD$620,'자료_거시'!$M$3:$M$602,"&gt;"&amp;EDATE('자료_거시'!$M385,-'설정'!$B$17),'자료_거시'!$M$3:$M$602,"&lt;="&amp;'자료_거시'!$M385)=3,SUMIFS($AD$21:$AD$620,'자료_거시'!$M$3:$M$602,"&gt;"&amp;EDATE('자료_거시'!$M385,-12-'설정'!$B$17),'자료_거시'!$M$3:$M$602,"&lt;="&amp;EDATE('자료_거시'!$M385,-12))=3),IFERROR(SUMIFS('자료_거시'!$N$3:$N$602,'자료_거시'!$M$3:$M$602,"&gt;"&amp;EDATE('자료_거시'!$M385,-'설정'!$B$17),'자료_거시'!$M$3:$M$602,"&lt;="&amp;'자료_거시'!$M385)/SUMIFS('자료_거시'!$N$3:$N$602,'자료_거시'!$M$3:$M$602,"&gt;"&amp;EDATE('자료_거시'!$M385,-12-'설정'!$B$17),'자료_거시'!$M$3:$M$602,"&lt;="&amp;EDATE('자료_거시'!$M385,-12))-1,""),""),"")</f>
        <v/>
      </c>
      <c r="AF403">
        <f>IF(ISNUMBER(AE403),'자료_거시'!$M385,"")</f>
        <v/>
      </c>
      <c r="AG403">
        <f>IF(ISNUMBER(AF403),IF(AF403&gt;$L$9,AE403,""),"")</f>
        <v/>
      </c>
    </row>
    <row r="404">
      <c r="P404">
        <f>IF(AND(ISNUMBER('자료_거시'!$A386),ISNUMBER('자료_거시'!$B386)),'자료_거시'!$B386,"")</f>
        <v/>
      </c>
      <c r="Q404">
        <f>IF(ISNUMBER(P404),'자료_거시'!$A386,"")</f>
        <v/>
      </c>
      <c r="R404">
        <f>IF(ISNUMBER(Q404),IF(Q404&gt;$L$5,P404,""),"")</f>
        <v/>
      </c>
      <c r="S404">
        <f>IF(ISNUMBER('자료_거시'!$E386),'자료_거시'!$E386,S403)</f>
        <v/>
      </c>
      <c r="T404">
        <f>IF(AND(ISNUMBER('자료_거시'!$D386),ISNUMBER('자료_거시'!$E386)),IFERROR('자료_거시'!$E386-INDEX($S$21:$S$4020,MATCH(EDATE('자료_거시'!$D386,-'설정'!$B$17),'자료_거시'!$D$3:INDEX('자료_거시'!$D$3:$D$4002,$K$6),1)),""),"")</f>
        <v/>
      </c>
      <c r="U404">
        <f>IF(ISNUMBER(T404),'자료_거시'!$D386,"")</f>
        <v/>
      </c>
      <c r="V404">
        <f>IF(ISNUMBER(U404),IF(U404&gt;$L$6,T404,""),"")</f>
        <v/>
      </c>
      <c r="W404">
        <f>IF(AND(ISNUMBER('자료_거시'!$G386),ISNUMBER('자료_거시'!$H386)),'자료_거시'!$H386,"")</f>
        <v/>
      </c>
      <c r="X404">
        <f>IF(ISNUMBER(W404),'자료_거시'!$G386,"")</f>
        <v/>
      </c>
      <c r="Y404">
        <f>IF(ISNUMBER(X404),IF(X404&gt;$L$7,W404,""),"")</f>
        <v/>
      </c>
      <c r="Z404">
        <f>IF(ISNUMBER('자료_거시'!$K386),'자료_거시'!$K386,Z403)</f>
        <v/>
      </c>
      <c r="AA404">
        <f>IF(AND(ISNUMBER('자료_거시'!$J386),ISNUMBER('자료_거시'!$K386)),IFERROR('자료_거시'!$K386/INDEX($Z$21:$Z$4020,MATCH(EDATE('자료_거시'!$J386,-'설정'!$B$17),'자료_거시'!$J$3:INDEX('자료_거시'!$J$3:$J$4002,$K$8),1))-1,""),"")</f>
        <v/>
      </c>
      <c r="AB404">
        <f>IF(ISNUMBER(AA404),'자료_거시'!$J386,"")</f>
        <v/>
      </c>
      <c r="AC404">
        <f>IF(ISNUMBER(AB404),IF(AB404&gt;$L$8,AA404,""),"")</f>
        <v/>
      </c>
      <c r="AD404">
        <f>IF(AND(ISNUMBER('자료_거시'!$M386),ISNUMBER('자료_거시'!$N386)),1,0)</f>
        <v/>
      </c>
      <c r="AE404">
        <f>IF(AND(ISNUMBER('자료_거시'!$M386),ISNUMBER('자료_거시'!$N386)),IF(AND(SUMIFS($AD$21:$AD$620,'자료_거시'!$M$3:$M$602,"&gt;"&amp;EDATE('자료_거시'!$M386,-'설정'!$B$17),'자료_거시'!$M$3:$M$602,"&lt;="&amp;'자료_거시'!$M386)=3,SUMIFS($AD$21:$AD$620,'자료_거시'!$M$3:$M$602,"&gt;"&amp;EDATE('자료_거시'!$M386,-12-'설정'!$B$17),'자료_거시'!$M$3:$M$602,"&lt;="&amp;EDATE('자료_거시'!$M386,-12))=3),IFERROR(SUMIFS('자료_거시'!$N$3:$N$602,'자료_거시'!$M$3:$M$602,"&gt;"&amp;EDATE('자료_거시'!$M386,-'설정'!$B$17),'자료_거시'!$M$3:$M$602,"&lt;="&amp;'자료_거시'!$M386)/SUMIFS('자료_거시'!$N$3:$N$602,'자료_거시'!$M$3:$M$602,"&gt;"&amp;EDATE('자료_거시'!$M386,-12-'설정'!$B$17),'자료_거시'!$M$3:$M$602,"&lt;="&amp;EDATE('자료_거시'!$M386,-12))-1,""),""),"")</f>
        <v/>
      </c>
      <c r="AF404">
        <f>IF(ISNUMBER(AE404),'자료_거시'!$M386,"")</f>
        <v/>
      </c>
      <c r="AG404">
        <f>IF(ISNUMBER(AF404),IF(AF404&gt;$L$9,AE404,""),"")</f>
        <v/>
      </c>
    </row>
    <row r="405">
      <c r="P405">
        <f>IF(AND(ISNUMBER('자료_거시'!$A387),ISNUMBER('자료_거시'!$B387)),'자료_거시'!$B387,"")</f>
        <v/>
      </c>
      <c r="Q405">
        <f>IF(ISNUMBER(P405),'자료_거시'!$A387,"")</f>
        <v/>
      </c>
      <c r="R405">
        <f>IF(ISNUMBER(Q405),IF(Q405&gt;$L$5,P405,""),"")</f>
        <v/>
      </c>
      <c r="S405">
        <f>IF(ISNUMBER('자료_거시'!$E387),'자료_거시'!$E387,S404)</f>
        <v/>
      </c>
      <c r="T405">
        <f>IF(AND(ISNUMBER('자료_거시'!$D387),ISNUMBER('자료_거시'!$E387)),IFERROR('자료_거시'!$E387-INDEX($S$21:$S$4020,MATCH(EDATE('자료_거시'!$D387,-'설정'!$B$17),'자료_거시'!$D$3:INDEX('자료_거시'!$D$3:$D$4002,$K$6),1)),""),"")</f>
        <v/>
      </c>
      <c r="U405">
        <f>IF(ISNUMBER(T405),'자료_거시'!$D387,"")</f>
        <v/>
      </c>
      <c r="V405">
        <f>IF(ISNUMBER(U405),IF(U405&gt;$L$6,T405,""),"")</f>
        <v/>
      </c>
      <c r="W405">
        <f>IF(AND(ISNUMBER('자료_거시'!$G387),ISNUMBER('자료_거시'!$H387)),'자료_거시'!$H387,"")</f>
        <v/>
      </c>
      <c r="X405">
        <f>IF(ISNUMBER(W405),'자료_거시'!$G387,"")</f>
        <v/>
      </c>
      <c r="Y405">
        <f>IF(ISNUMBER(X405),IF(X405&gt;$L$7,W405,""),"")</f>
        <v/>
      </c>
      <c r="Z405">
        <f>IF(ISNUMBER('자료_거시'!$K387),'자료_거시'!$K387,Z404)</f>
        <v/>
      </c>
      <c r="AA405">
        <f>IF(AND(ISNUMBER('자료_거시'!$J387),ISNUMBER('자료_거시'!$K387)),IFERROR('자료_거시'!$K387/INDEX($Z$21:$Z$4020,MATCH(EDATE('자료_거시'!$J387,-'설정'!$B$17),'자료_거시'!$J$3:INDEX('자료_거시'!$J$3:$J$4002,$K$8),1))-1,""),"")</f>
        <v/>
      </c>
      <c r="AB405">
        <f>IF(ISNUMBER(AA405),'자료_거시'!$J387,"")</f>
        <v/>
      </c>
      <c r="AC405">
        <f>IF(ISNUMBER(AB405),IF(AB405&gt;$L$8,AA405,""),"")</f>
        <v/>
      </c>
      <c r="AD405">
        <f>IF(AND(ISNUMBER('자료_거시'!$M387),ISNUMBER('자료_거시'!$N387)),1,0)</f>
        <v/>
      </c>
      <c r="AE405">
        <f>IF(AND(ISNUMBER('자료_거시'!$M387),ISNUMBER('자료_거시'!$N387)),IF(AND(SUMIFS($AD$21:$AD$620,'자료_거시'!$M$3:$M$602,"&gt;"&amp;EDATE('자료_거시'!$M387,-'설정'!$B$17),'자료_거시'!$M$3:$M$602,"&lt;="&amp;'자료_거시'!$M387)=3,SUMIFS($AD$21:$AD$620,'자료_거시'!$M$3:$M$602,"&gt;"&amp;EDATE('자료_거시'!$M387,-12-'설정'!$B$17),'자료_거시'!$M$3:$M$602,"&lt;="&amp;EDATE('자료_거시'!$M387,-12))=3),IFERROR(SUMIFS('자료_거시'!$N$3:$N$602,'자료_거시'!$M$3:$M$602,"&gt;"&amp;EDATE('자료_거시'!$M387,-'설정'!$B$17),'자료_거시'!$M$3:$M$602,"&lt;="&amp;'자료_거시'!$M387)/SUMIFS('자료_거시'!$N$3:$N$602,'자료_거시'!$M$3:$M$602,"&gt;"&amp;EDATE('자료_거시'!$M387,-12-'설정'!$B$17),'자료_거시'!$M$3:$M$602,"&lt;="&amp;EDATE('자료_거시'!$M387,-12))-1,""),""),"")</f>
        <v/>
      </c>
      <c r="AF405">
        <f>IF(ISNUMBER(AE405),'자료_거시'!$M387,"")</f>
        <v/>
      </c>
      <c r="AG405">
        <f>IF(ISNUMBER(AF405),IF(AF405&gt;$L$9,AE405,""),"")</f>
        <v/>
      </c>
    </row>
    <row r="406">
      <c r="P406">
        <f>IF(AND(ISNUMBER('자료_거시'!$A388),ISNUMBER('자료_거시'!$B388)),'자료_거시'!$B388,"")</f>
        <v/>
      </c>
      <c r="Q406">
        <f>IF(ISNUMBER(P406),'자료_거시'!$A388,"")</f>
        <v/>
      </c>
      <c r="R406">
        <f>IF(ISNUMBER(Q406),IF(Q406&gt;$L$5,P406,""),"")</f>
        <v/>
      </c>
      <c r="S406">
        <f>IF(ISNUMBER('자료_거시'!$E388),'자료_거시'!$E388,S405)</f>
        <v/>
      </c>
      <c r="T406">
        <f>IF(AND(ISNUMBER('자료_거시'!$D388),ISNUMBER('자료_거시'!$E388)),IFERROR('자료_거시'!$E388-INDEX($S$21:$S$4020,MATCH(EDATE('자료_거시'!$D388,-'설정'!$B$17),'자료_거시'!$D$3:INDEX('자료_거시'!$D$3:$D$4002,$K$6),1)),""),"")</f>
        <v/>
      </c>
      <c r="U406">
        <f>IF(ISNUMBER(T406),'자료_거시'!$D388,"")</f>
        <v/>
      </c>
      <c r="V406">
        <f>IF(ISNUMBER(U406),IF(U406&gt;$L$6,T406,""),"")</f>
        <v/>
      </c>
      <c r="W406">
        <f>IF(AND(ISNUMBER('자료_거시'!$G388),ISNUMBER('자료_거시'!$H388)),'자료_거시'!$H388,"")</f>
        <v/>
      </c>
      <c r="X406">
        <f>IF(ISNUMBER(W406),'자료_거시'!$G388,"")</f>
        <v/>
      </c>
      <c r="Y406">
        <f>IF(ISNUMBER(X406),IF(X406&gt;$L$7,W406,""),"")</f>
        <v/>
      </c>
      <c r="Z406">
        <f>IF(ISNUMBER('자료_거시'!$K388),'자료_거시'!$K388,Z405)</f>
        <v/>
      </c>
      <c r="AA406">
        <f>IF(AND(ISNUMBER('자료_거시'!$J388),ISNUMBER('자료_거시'!$K388)),IFERROR('자료_거시'!$K388/INDEX($Z$21:$Z$4020,MATCH(EDATE('자료_거시'!$J388,-'설정'!$B$17),'자료_거시'!$J$3:INDEX('자료_거시'!$J$3:$J$4002,$K$8),1))-1,""),"")</f>
        <v/>
      </c>
      <c r="AB406">
        <f>IF(ISNUMBER(AA406),'자료_거시'!$J388,"")</f>
        <v/>
      </c>
      <c r="AC406">
        <f>IF(ISNUMBER(AB406),IF(AB406&gt;$L$8,AA406,""),"")</f>
        <v/>
      </c>
      <c r="AD406">
        <f>IF(AND(ISNUMBER('자료_거시'!$M388),ISNUMBER('자료_거시'!$N388)),1,0)</f>
        <v/>
      </c>
      <c r="AE406">
        <f>IF(AND(ISNUMBER('자료_거시'!$M388),ISNUMBER('자료_거시'!$N388)),IF(AND(SUMIFS($AD$21:$AD$620,'자료_거시'!$M$3:$M$602,"&gt;"&amp;EDATE('자료_거시'!$M388,-'설정'!$B$17),'자료_거시'!$M$3:$M$602,"&lt;="&amp;'자료_거시'!$M388)=3,SUMIFS($AD$21:$AD$620,'자료_거시'!$M$3:$M$602,"&gt;"&amp;EDATE('자료_거시'!$M388,-12-'설정'!$B$17),'자료_거시'!$M$3:$M$602,"&lt;="&amp;EDATE('자료_거시'!$M388,-12))=3),IFERROR(SUMIFS('자료_거시'!$N$3:$N$602,'자료_거시'!$M$3:$M$602,"&gt;"&amp;EDATE('자료_거시'!$M388,-'설정'!$B$17),'자료_거시'!$M$3:$M$602,"&lt;="&amp;'자료_거시'!$M388)/SUMIFS('자료_거시'!$N$3:$N$602,'자료_거시'!$M$3:$M$602,"&gt;"&amp;EDATE('자료_거시'!$M388,-12-'설정'!$B$17),'자료_거시'!$M$3:$M$602,"&lt;="&amp;EDATE('자료_거시'!$M388,-12))-1,""),""),"")</f>
        <v/>
      </c>
      <c r="AF406">
        <f>IF(ISNUMBER(AE406),'자료_거시'!$M388,"")</f>
        <v/>
      </c>
      <c r="AG406">
        <f>IF(ISNUMBER(AF406),IF(AF406&gt;$L$9,AE406,""),"")</f>
        <v/>
      </c>
    </row>
    <row r="407">
      <c r="P407">
        <f>IF(AND(ISNUMBER('자료_거시'!$A389),ISNUMBER('자료_거시'!$B389)),'자료_거시'!$B389,"")</f>
        <v/>
      </c>
      <c r="Q407">
        <f>IF(ISNUMBER(P407),'자료_거시'!$A389,"")</f>
        <v/>
      </c>
      <c r="R407">
        <f>IF(ISNUMBER(Q407),IF(Q407&gt;$L$5,P407,""),"")</f>
        <v/>
      </c>
      <c r="S407">
        <f>IF(ISNUMBER('자료_거시'!$E389),'자료_거시'!$E389,S406)</f>
        <v/>
      </c>
      <c r="T407">
        <f>IF(AND(ISNUMBER('자료_거시'!$D389),ISNUMBER('자료_거시'!$E389)),IFERROR('자료_거시'!$E389-INDEX($S$21:$S$4020,MATCH(EDATE('자료_거시'!$D389,-'설정'!$B$17),'자료_거시'!$D$3:INDEX('자료_거시'!$D$3:$D$4002,$K$6),1)),""),"")</f>
        <v/>
      </c>
      <c r="U407">
        <f>IF(ISNUMBER(T407),'자료_거시'!$D389,"")</f>
        <v/>
      </c>
      <c r="V407">
        <f>IF(ISNUMBER(U407),IF(U407&gt;$L$6,T407,""),"")</f>
        <v/>
      </c>
      <c r="W407">
        <f>IF(AND(ISNUMBER('자료_거시'!$G389),ISNUMBER('자료_거시'!$H389)),'자료_거시'!$H389,"")</f>
        <v/>
      </c>
      <c r="X407">
        <f>IF(ISNUMBER(W407),'자료_거시'!$G389,"")</f>
        <v/>
      </c>
      <c r="Y407">
        <f>IF(ISNUMBER(X407),IF(X407&gt;$L$7,W407,""),"")</f>
        <v/>
      </c>
      <c r="Z407">
        <f>IF(ISNUMBER('자료_거시'!$K389),'자료_거시'!$K389,Z406)</f>
        <v/>
      </c>
      <c r="AA407">
        <f>IF(AND(ISNUMBER('자료_거시'!$J389),ISNUMBER('자료_거시'!$K389)),IFERROR('자료_거시'!$K389/INDEX($Z$21:$Z$4020,MATCH(EDATE('자료_거시'!$J389,-'설정'!$B$17),'자료_거시'!$J$3:INDEX('자료_거시'!$J$3:$J$4002,$K$8),1))-1,""),"")</f>
        <v/>
      </c>
      <c r="AB407">
        <f>IF(ISNUMBER(AA407),'자료_거시'!$J389,"")</f>
        <v/>
      </c>
      <c r="AC407">
        <f>IF(ISNUMBER(AB407),IF(AB407&gt;$L$8,AA407,""),"")</f>
        <v/>
      </c>
      <c r="AD407">
        <f>IF(AND(ISNUMBER('자료_거시'!$M389),ISNUMBER('자료_거시'!$N389)),1,0)</f>
        <v/>
      </c>
      <c r="AE407">
        <f>IF(AND(ISNUMBER('자료_거시'!$M389),ISNUMBER('자료_거시'!$N389)),IF(AND(SUMIFS($AD$21:$AD$620,'자료_거시'!$M$3:$M$602,"&gt;"&amp;EDATE('자료_거시'!$M389,-'설정'!$B$17),'자료_거시'!$M$3:$M$602,"&lt;="&amp;'자료_거시'!$M389)=3,SUMIFS($AD$21:$AD$620,'자료_거시'!$M$3:$M$602,"&gt;"&amp;EDATE('자료_거시'!$M389,-12-'설정'!$B$17),'자료_거시'!$M$3:$M$602,"&lt;="&amp;EDATE('자료_거시'!$M389,-12))=3),IFERROR(SUMIFS('자료_거시'!$N$3:$N$602,'자료_거시'!$M$3:$M$602,"&gt;"&amp;EDATE('자료_거시'!$M389,-'설정'!$B$17),'자료_거시'!$M$3:$M$602,"&lt;="&amp;'자료_거시'!$M389)/SUMIFS('자료_거시'!$N$3:$N$602,'자료_거시'!$M$3:$M$602,"&gt;"&amp;EDATE('자료_거시'!$M389,-12-'설정'!$B$17),'자료_거시'!$M$3:$M$602,"&lt;="&amp;EDATE('자료_거시'!$M389,-12))-1,""),""),"")</f>
        <v/>
      </c>
      <c r="AF407">
        <f>IF(ISNUMBER(AE407),'자료_거시'!$M389,"")</f>
        <v/>
      </c>
      <c r="AG407">
        <f>IF(ISNUMBER(AF407),IF(AF407&gt;$L$9,AE407,""),"")</f>
        <v/>
      </c>
    </row>
    <row r="408">
      <c r="P408">
        <f>IF(AND(ISNUMBER('자료_거시'!$A390),ISNUMBER('자료_거시'!$B390)),'자료_거시'!$B390,"")</f>
        <v/>
      </c>
      <c r="Q408">
        <f>IF(ISNUMBER(P408),'자료_거시'!$A390,"")</f>
        <v/>
      </c>
      <c r="R408">
        <f>IF(ISNUMBER(Q408),IF(Q408&gt;$L$5,P408,""),"")</f>
        <v/>
      </c>
      <c r="S408">
        <f>IF(ISNUMBER('자료_거시'!$E390),'자료_거시'!$E390,S407)</f>
        <v/>
      </c>
      <c r="T408">
        <f>IF(AND(ISNUMBER('자료_거시'!$D390),ISNUMBER('자료_거시'!$E390)),IFERROR('자료_거시'!$E390-INDEX($S$21:$S$4020,MATCH(EDATE('자료_거시'!$D390,-'설정'!$B$17),'자료_거시'!$D$3:INDEX('자료_거시'!$D$3:$D$4002,$K$6),1)),""),"")</f>
        <v/>
      </c>
      <c r="U408">
        <f>IF(ISNUMBER(T408),'자료_거시'!$D390,"")</f>
        <v/>
      </c>
      <c r="V408">
        <f>IF(ISNUMBER(U408),IF(U408&gt;$L$6,T408,""),"")</f>
        <v/>
      </c>
      <c r="W408">
        <f>IF(AND(ISNUMBER('자료_거시'!$G390),ISNUMBER('자료_거시'!$H390)),'자료_거시'!$H390,"")</f>
        <v/>
      </c>
      <c r="X408">
        <f>IF(ISNUMBER(W408),'자료_거시'!$G390,"")</f>
        <v/>
      </c>
      <c r="Y408">
        <f>IF(ISNUMBER(X408),IF(X408&gt;$L$7,W408,""),"")</f>
        <v/>
      </c>
      <c r="Z408">
        <f>IF(ISNUMBER('자료_거시'!$K390),'자료_거시'!$K390,Z407)</f>
        <v/>
      </c>
      <c r="AA408">
        <f>IF(AND(ISNUMBER('자료_거시'!$J390),ISNUMBER('자료_거시'!$K390)),IFERROR('자료_거시'!$K390/INDEX($Z$21:$Z$4020,MATCH(EDATE('자료_거시'!$J390,-'설정'!$B$17),'자료_거시'!$J$3:INDEX('자료_거시'!$J$3:$J$4002,$K$8),1))-1,""),"")</f>
        <v/>
      </c>
      <c r="AB408">
        <f>IF(ISNUMBER(AA408),'자료_거시'!$J390,"")</f>
        <v/>
      </c>
      <c r="AC408">
        <f>IF(ISNUMBER(AB408),IF(AB408&gt;$L$8,AA408,""),"")</f>
        <v/>
      </c>
      <c r="AD408">
        <f>IF(AND(ISNUMBER('자료_거시'!$M390),ISNUMBER('자료_거시'!$N390)),1,0)</f>
        <v/>
      </c>
      <c r="AE408">
        <f>IF(AND(ISNUMBER('자료_거시'!$M390),ISNUMBER('자료_거시'!$N390)),IF(AND(SUMIFS($AD$21:$AD$620,'자료_거시'!$M$3:$M$602,"&gt;"&amp;EDATE('자료_거시'!$M390,-'설정'!$B$17),'자료_거시'!$M$3:$M$602,"&lt;="&amp;'자료_거시'!$M390)=3,SUMIFS($AD$21:$AD$620,'자료_거시'!$M$3:$M$602,"&gt;"&amp;EDATE('자료_거시'!$M390,-12-'설정'!$B$17),'자료_거시'!$M$3:$M$602,"&lt;="&amp;EDATE('자료_거시'!$M390,-12))=3),IFERROR(SUMIFS('자료_거시'!$N$3:$N$602,'자료_거시'!$M$3:$M$602,"&gt;"&amp;EDATE('자료_거시'!$M390,-'설정'!$B$17),'자료_거시'!$M$3:$M$602,"&lt;="&amp;'자료_거시'!$M390)/SUMIFS('자료_거시'!$N$3:$N$602,'자료_거시'!$M$3:$M$602,"&gt;"&amp;EDATE('자료_거시'!$M390,-12-'설정'!$B$17),'자료_거시'!$M$3:$M$602,"&lt;="&amp;EDATE('자료_거시'!$M390,-12))-1,""),""),"")</f>
        <v/>
      </c>
      <c r="AF408">
        <f>IF(ISNUMBER(AE408),'자료_거시'!$M390,"")</f>
        <v/>
      </c>
      <c r="AG408">
        <f>IF(ISNUMBER(AF408),IF(AF408&gt;$L$9,AE408,""),"")</f>
        <v/>
      </c>
    </row>
    <row r="409">
      <c r="P409">
        <f>IF(AND(ISNUMBER('자료_거시'!$A391),ISNUMBER('자료_거시'!$B391)),'자료_거시'!$B391,"")</f>
        <v/>
      </c>
      <c r="Q409">
        <f>IF(ISNUMBER(P409),'자료_거시'!$A391,"")</f>
        <v/>
      </c>
      <c r="R409">
        <f>IF(ISNUMBER(Q409),IF(Q409&gt;$L$5,P409,""),"")</f>
        <v/>
      </c>
      <c r="S409">
        <f>IF(ISNUMBER('자료_거시'!$E391),'자료_거시'!$E391,S408)</f>
        <v/>
      </c>
      <c r="T409">
        <f>IF(AND(ISNUMBER('자료_거시'!$D391),ISNUMBER('자료_거시'!$E391)),IFERROR('자료_거시'!$E391-INDEX($S$21:$S$4020,MATCH(EDATE('자료_거시'!$D391,-'설정'!$B$17),'자료_거시'!$D$3:INDEX('자료_거시'!$D$3:$D$4002,$K$6),1)),""),"")</f>
        <v/>
      </c>
      <c r="U409">
        <f>IF(ISNUMBER(T409),'자료_거시'!$D391,"")</f>
        <v/>
      </c>
      <c r="V409">
        <f>IF(ISNUMBER(U409),IF(U409&gt;$L$6,T409,""),"")</f>
        <v/>
      </c>
      <c r="W409">
        <f>IF(AND(ISNUMBER('자료_거시'!$G391),ISNUMBER('자료_거시'!$H391)),'자료_거시'!$H391,"")</f>
        <v/>
      </c>
      <c r="X409">
        <f>IF(ISNUMBER(W409),'자료_거시'!$G391,"")</f>
        <v/>
      </c>
      <c r="Y409">
        <f>IF(ISNUMBER(X409),IF(X409&gt;$L$7,W409,""),"")</f>
        <v/>
      </c>
      <c r="Z409">
        <f>IF(ISNUMBER('자료_거시'!$K391),'자료_거시'!$K391,Z408)</f>
        <v/>
      </c>
      <c r="AA409">
        <f>IF(AND(ISNUMBER('자료_거시'!$J391),ISNUMBER('자료_거시'!$K391)),IFERROR('자료_거시'!$K391/INDEX($Z$21:$Z$4020,MATCH(EDATE('자료_거시'!$J391,-'설정'!$B$17),'자료_거시'!$J$3:INDEX('자료_거시'!$J$3:$J$4002,$K$8),1))-1,""),"")</f>
        <v/>
      </c>
      <c r="AB409">
        <f>IF(ISNUMBER(AA409),'자료_거시'!$J391,"")</f>
        <v/>
      </c>
      <c r="AC409">
        <f>IF(ISNUMBER(AB409),IF(AB409&gt;$L$8,AA409,""),"")</f>
        <v/>
      </c>
      <c r="AD409">
        <f>IF(AND(ISNUMBER('자료_거시'!$M391),ISNUMBER('자료_거시'!$N391)),1,0)</f>
        <v/>
      </c>
      <c r="AE409">
        <f>IF(AND(ISNUMBER('자료_거시'!$M391),ISNUMBER('자료_거시'!$N391)),IF(AND(SUMIFS($AD$21:$AD$620,'자료_거시'!$M$3:$M$602,"&gt;"&amp;EDATE('자료_거시'!$M391,-'설정'!$B$17),'자료_거시'!$M$3:$M$602,"&lt;="&amp;'자료_거시'!$M391)=3,SUMIFS($AD$21:$AD$620,'자료_거시'!$M$3:$M$602,"&gt;"&amp;EDATE('자료_거시'!$M391,-12-'설정'!$B$17),'자료_거시'!$M$3:$M$602,"&lt;="&amp;EDATE('자료_거시'!$M391,-12))=3),IFERROR(SUMIFS('자료_거시'!$N$3:$N$602,'자료_거시'!$M$3:$M$602,"&gt;"&amp;EDATE('자료_거시'!$M391,-'설정'!$B$17),'자료_거시'!$M$3:$M$602,"&lt;="&amp;'자료_거시'!$M391)/SUMIFS('자료_거시'!$N$3:$N$602,'자료_거시'!$M$3:$M$602,"&gt;"&amp;EDATE('자료_거시'!$M391,-12-'설정'!$B$17),'자료_거시'!$M$3:$M$602,"&lt;="&amp;EDATE('자료_거시'!$M391,-12))-1,""),""),"")</f>
        <v/>
      </c>
      <c r="AF409">
        <f>IF(ISNUMBER(AE409),'자료_거시'!$M391,"")</f>
        <v/>
      </c>
      <c r="AG409">
        <f>IF(ISNUMBER(AF409),IF(AF409&gt;$L$9,AE409,""),"")</f>
        <v/>
      </c>
    </row>
    <row r="410">
      <c r="P410">
        <f>IF(AND(ISNUMBER('자료_거시'!$A392),ISNUMBER('자료_거시'!$B392)),'자료_거시'!$B392,"")</f>
        <v/>
      </c>
      <c r="Q410">
        <f>IF(ISNUMBER(P410),'자료_거시'!$A392,"")</f>
        <v/>
      </c>
      <c r="R410">
        <f>IF(ISNUMBER(Q410),IF(Q410&gt;$L$5,P410,""),"")</f>
        <v/>
      </c>
      <c r="S410">
        <f>IF(ISNUMBER('자료_거시'!$E392),'자료_거시'!$E392,S409)</f>
        <v/>
      </c>
      <c r="T410">
        <f>IF(AND(ISNUMBER('자료_거시'!$D392),ISNUMBER('자료_거시'!$E392)),IFERROR('자료_거시'!$E392-INDEX($S$21:$S$4020,MATCH(EDATE('자료_거시'!$D392,-'설정'!$B$17),'자료_거시'!$D$3:INDEX('자료_거시'!$D$3:$D$4002,$K$6),1)),""),"")</f>
        <v/>
      </c>
      <c r="U410">
        <f>IF(ISNUMBER(T410),'자료_거시'!$D392,"")</f>
        <v/>
      </c>
      <c r="V410">
        <f>IF(ISNUMBER(U410),IF(U410&gt;$L$6,T410,""),"")</f>
        <v/>
      </c>
      <c r="W410">
        <f>IF(AND(ISNUMBER('자료_거시'!$G392),ISNUMBER('자료_거시'!$H392)),'자료_거시'!$H392,"")</f>
        <v/>
      </c>
      <c r="X410">
        <f>IF(ISNUMBER(W410),'자료_거시'!$G392,"")</f>
        <v/>
      </c>
      <c r="Y410">
        <f>IF(ISNUMBER(X410),IF(X410&gt;$L$7,W410,""),"")</f>
        <v/>
      </c>
      <c r="Z410">
        <f>IF(ISNUMBER('자료_거시'!$K392),'자료_거시'!$K392,Z409)</f>
        <v/>
      </c>
      <c r="AA410">
        <f>IF(AND(ISNUMBER('자료_거시'!$J392),ISNUMBER('자료_거시'!$K392)),IFERROR('자료_거시'!$K392/INDEX($Z$21:$Z$4020,MATCH(EDATE('자료_거시'!$J392,-'설정'!$B$17),'자료_거시'!$J$3:INDEX('자료_거시'!$J$3:$J$4002,$K$8),1))-1,""),"")</f>
        <v/>
      </c>
      <c r="AB410">
        <f>IF(ISNUMBER(AA410),'자료_거시'!$J392,"")</f>
        <v/>
      </c>
      <c r="AC410">
        <f>IF(ISNUMBER(AB410),IF(AB410&gt;$L$8,AA410,""),"")</f>
        <v/>
      </c>
      <c r="AD410">
        <f>IF(AND(ISNUMBER('자료_거시'!$M392),ISNUMBER('자료_거시'!$N392)),1,0)</f>
        <v/>
      </c>
      <c r="AE410">
        <f>IF(AND(ISNUMBER('자료_거시'!$M392),ISNUMBER('자료_거시'!$N392)),IF(AND(SUMIFS($AD$21:$AD$620,'자료_거시'!$M$3:$M$602,"&gt;"&amp;EDATE('자료_거시'!$M392,-'설정'!$B$17),'자료_거시'!$M$3:$M$602,"&lt;="&amp;'자료_거시'!$M392)=3,SUMIFS($AD$21:$AD$620,'자료_거시'!$M$3:$M$602,"&gt;"&amp;EDATE('자료_거시'!$M392,-12-'설정'!$B$17),'자료_거시'!$M$3:$M$602,"&lt;="&amp;EDATE('자료_거시'!$M392,-12))=3),IFERROR(SUMIFS('자료_거시'!$N$3:$N$602,'자료_거시'!$M$3:$M$602,"&gt;"&amp;EDATE('자료_거시'!$M392,-'설정'!$B$17),'자료_거시'!$M$3:$M$602,"&lt;="&amp;'자료_거시'!$M392)/SUMIFS('자료_거시'!$N$3:$N$602,'자료_거시'!$M$3:$M$602,"&gt;"&amp;EDATE('자료_거시'!$M392,-12-'설정'!$B$17),'자료_거시'!$M$3:$M$602,"&lt;="&amp;EDATE('자료_거시'!$M392,-12))-1,""),""),"")</f>
        <v/>
      </c>
      <c r="AF410">
        <f>IF(ISNUMBER(AE410),'자료_거시'!$M392,"")</f>
        <v/>
      </c>
      <c r="AG410">
        <f>IF(ISNUMBER(AF410),IF(AF410&gt;$L$9,AE410,""),"")</f>
        <v/>
      </c>
    </row>
    <row r="411">
      <c r="P411">
        <f>IF(AND(ISNUMBER('자료_거시'!$A393),ISNUMBER('자료_거시'!$B393)),'자료_거시'!$B393,"")</f>
        <v/>
      </c>
      <c r="Q411">
        <f>IF(ISNUMBER(P411),'자료_거시'!$A393,"")</f>
        <v/>
      </c>
      <c r="R411">
        <f>IF(ISNUMBER(Q411),IF(Q411&gt;$L$5,P411,""),"")</f>
        <v/>
      </c>
      <c r="S411">
        <f>IF(ISNUMBER('자료_거시'!$E393),'자료_거시'!$E393,S410)</f>
        <v/>
      </c>
      <c r="T411">
        <f>IF(AND(ISNUMBER('자료_거시'!$D393),ISNUMBER('자료_거시'!$E393)),IFERROR('자료_거시'!$E393-INDEX($S$21:$S$4020,MATCH(EDATE('자료_거시'!$D393,-'설정'!$B$17),'자료_거시'!$D$3:INDEX('자료_거시'!$D$3:$D$4002,$K$6),1)),""),"")</f>
        <v/>
      </c>
      <c r="U411">
        <f>IF(ISNUMBER(T411),'자료_거시'!$D393,"")</f>
        <v/>
      </c>
      <c r="V411">
        <f>IF(ISNUMBER(U411),IF(U411&gt;$L$6,T411,""),"")</f>
        <v/>
      </c>
      <c r="W411">
        <f>IF(AND(ISNUMBER('자료_거시'!$G393),ISNUMBER('자료_거시'!$H393)),'자료_거시'!$H393,"")</f>
        <v/>
      </c>
      <c r="X411">
        <f>IF(ISNUMBER(W411),'자료_거시'!$G393,"")</f>
        <v/>
      </c>
      <c r="Y411">
        <f>IF(ISNUMBER(X411),IF(X411&gt;$L$7,W411,""),"")</f>
        <v/>
      </c>
      <c r="Z411">
        <f>IF(ISNUMBER('자료_거시'!$K393),'자료_거시'!$K393,Z410)</f>
        <v/>
      </c>
      <c r="AA411">
        <f>IF(AND(ISNUMBER('자료_거시'!$J393),ISNUMBER('자료_거시'!$K393)),IFERROR('자료_거시'!$K393/INDEX($Z$21:$Z$4020,MATCH(EDATE('자료_거시'!$J393,-'설정'!$B$17),'자료_거시'!$J$3:INDEX('자료_거시'!$J$3:$J$4002,$K$8),1))-1,""),"")</f>
        <v/>
      </c>
      <c r="AB411">
        <f>IF(ISNUMBER(AA411),'자료_거시'!$J393,"")</f>
        <v/>
      </c>
      <c r="AC411">
        <f>IF(ISNUMBER(AB411),IF(AB411&gt;$L$8,AA411,""),"")</f>
        <v/>
      </c>
      <c r="AD411">
        <f>IF(AND(ISNUMBER('자료_거시'!$M393),ISNUMBER('자료_거시'!$N393)),1,0)</f>
        <v/>
      </c>
      <c r="AE411">
        <f>IF(AND(ISNUMBER('자료_거시'!$M393),ISNUMBER('자료_거시'!$N393)),IF(AND(SUMIFS($AD$21:$AD$620,'자료_거시'!$M$3:$M$602,"&gt;"&amp;EDATE('자료_거시'!$M393,-'설정'!$B$17),'자료_거시'!$M$3:$M$602,"&lt;="&amp;'자료_거시'!$M393)=3,SUMIFS($AD$21:$AD$620,'자료_거시'!$M$3:$M$602,"&gt;"&amp;EDATE('자료_거시'!$M393,-12-'설정'!$B$17),'자료_거시'!$M$3:$M$602,"&lt;="&amp;EDATE('자료_거시'!$M393,-12))=3),IFERROR(SUMIFS('자료_거시'!$N$3:$N$602,'자료_거시'!$M$3:$M$602,"&gt;"&amp;EDATE('자료_거시'!$M393,-'설정'!$B$17),'자료_거시'!$M$3:$M$602,"&lt;="&amp;'자료_거시'!$M393)/SUMIFS('자료_거시'!$N$3:$N$602,'자료_거시'!$M$3:$M$602,"&gt;"&amp;EDATE('자료_거시'!$M393,-12-'설정'!$B$17),'자료_거시'!$M$3:$M$602,"&lt;="&amp;EDATE('자료_거시'!$M393,-12))-1,""),""),"")</f>
        <v/>
      </c>
      <c r="AF411">
        <f>IF(ISNUMBER(AE411),'자료_거시'!$M393,"")</f>
        <v/>
      </c>
      <c r="AG411">
        <f>IF(ISNUMBER(AF411),IF(AF411&gt;$L$9,AE411,""),"")</f>
        <v/>
      </c>
    </row>
    <row r="412">
      <c r="P412">
        <f>IF(AND(ISNUMBER('자료_거시'!$A394),ISNUMBER('자료_거시'!$B394)),'자료_거시'!$B394,"")</f>
        <v/>
      </c>
      <c r="Q412">
        <f>IF(ISNUMBER(P412),'자료_거시'!$A394,"")</f>
        <v/>
      </c>
      <c r="R412">
        <f>IF(ISNUMBER(Q412),IF(Q412&gt;$L$5,P412,""),"")</f>
        <v/>
      </c>
      <c r="S412">
        <f>IF(ISNUMBER('자료_거시'!$E394),'자료_거시'!$E394,S411)</f>
        <v/>
      </c>
      <c r="T412">
        <f>IF(AND(ISNUMBER('자료_거시'!$D394),ISNUMBER('자료_거시'!$E394)),IFERROR('자료_거시'!$E394-INDEX($S$21:$S$4020,MATCH(EDATE('자료_거시'!$D394,-'설정'!$B$17),'자료_거시'!$D$3:INDEX('자료_거시'!$D$3:$D$4002,$K$6),1)),""),"")</f>
        <v/>
      </c>
      <c r="U412">
        <f>IF(ISNUMBER(T412),'자료_거시'!$D394,"")</f>
        <v/>
      </c>
      <c r="V412">
        <f>IF(ISNUMBER(U412),IF(U412&gt;$L$6,T412,""),"")</f>
        <v/>
      </c>
      <c r="W412">
        <f>IF(AND(ISNUMBER('자료_거시'!$G394),ISNUMBER('자료_거시'!$H394)),'자료_거시'!$H394,"")</f>
        <v/>
      </c>
      <c r="X412">
        <f>IF(ISNUMBER(W412),'자료_거시'!$G394,"")</f>
        <v/>
      </c>
      <c r="Y412">
        <f>IF(ISNUMBER(X412),IF(X412&gt;$L$7,W412,""),"")</f>
        <v/>
      </c>
      <c r="Z412">
        <f>IF(ISNUMBER('자료_거시'!$K394),'자료_거시'!$K394,Z411)</f>
        <v/>
      </c>
      <c r="AA412">
        <f>IF(AND(ISNUMBER('자료_거시'!$J394),ISNUMBER('자료_거시'!$K394)),IFERROR('자료_거시'!$K394/INDEX($Z$21:$Z$4020,MATCH(EDATE('자료_거시'!$J394,-'설정'!$B$17),'자료_거시'!$J$3:INDEX('자료_거시'!$J$3:$J$4002,$K$8),1))-1,""),"")</f>
        <v/>
      </c>
      <c r="AB412">
        <f>IF(ISNUMBER(AA412),'자료_거시'!$J394,"")</f>
        <v/>
      </c>
      <c r="AC412">
        <f>IF(ISNUMBER(AB412),IF(AB412&gt;$L$8,AA412,""),"")</f>
        <v/>
      </c>
      <c r="AD412">
        <f>IF(AND(ISNUMBER('자료_거시'!$M394),ISNUMBER('자료_거시'!$N394)),1,0)</f>
        <v/>
      </c>
      <c r="AE412">
        <f>IF(AND(ISNUMBER('자료_거시'!$M394),ISNUMBER('자료_거시'!$N394)),IF(AND(SUMIFS($AD$21:$AD$620,'자료_거시'!$M$3:$M$602,"&gt;"&amp;EDATE('자료_거시'!$M394,-'설정'!$B$17),'자료_거시'!$M$3:$M$602,"&lt;="&amp;'자료_거시'!$M394)=3,SUMIFS($AD$21:$AD$620,'자료_거시'!$M$3:$M$602,"&gt;"&amp;EDATE('자료_거시'!$M394,-12-'설정'!$B$17),'자료_거시'!$M$3:$M$602,"&lt;="&amp;EDATE('자료_거시'!$M394,-12))=3),IFERROR(SUMIFS('자료_거시'!$N$3:$N$602,'자료_거시'!$M$3:$M$602,"&gt;"&amp;EDATE('자료_거시'!$M394,-'설정'!$B$17),'자료_거시'!$M$3:$M$602,"&lt;="&amp;'자료_거시'!$M394)/SUMIFS('자료_거시'!$N$3:$N$602,'자료_거시'!$M$3:$M$602,"&gt;"&amp;EDATE('자료_거시'!$M394,-12-'설정'!$B$17),'자료_거시'!$M$3:$M$602,"&lt;="&amp;EDATE('자료_거시'!$M394,-12))-1,""),""),"")</f>
        <v/>
      </c>
      <c r="AF412">
        <f>IF(ISNUMBER(AE412),'자료_거시'!$M394,"")</f>
        <v/>
      </c>
      <c r="AG412">
        <f>IF(ISNUMBER(AF412),IF(AF412&gt;$L$9,AE412,""),"")</f>
        <v/>
      </c>
    </row>
    <row r="413">
      <c r="P413">
        <f>IF(AND(ISNUMBER('자료_거시'!$A395),ISNUMBER('자료_거시'!$B395)),'자료_거시'!$B395,"")</f>
        <v/>
      </c>
      <c r="Q413">
        <f>IF(ISNUMBER(P413),'자료_거시'!$A395,"")</f>
        <v/>
      </c>
      <c r="R413">
        <f>IF(ISNUMBER(Q413),IF(Q413&gt;$L$5,P413,""),"")</f>
        <v/>
      </c>
      <c r="S413">
        <f>IF(ISNUMBER('자료_거시'!$E395),'자료_거시'!$E395,S412)</f>
        <v/>
      </c>
      <c r="T413">
        <f>IF(AND(ISNUMBER('자료_거시'!$D395),ISNUMBER('자료_거시'!$E395)),IFERROR('자료_거시'!$E395-INDEX($S$21:$S$4020,MATCH(EDATE('자료_거시'!$D395,-'설정'!$B$17),'자료_거시'!$D$3:INDEX('자료_거시'!$D$3:$D$4002,$K$6),1)),""),"")</f>
        <v/>
      </c>
      <c r="U413">
        <f>IF(ISNUMBER(T413),'자료_거시'!$D395,"")</f>
        <v/>
      </c>
      <c r="V413">
        <f>IF(ISNUMBER(U413),IF(U413&gt;$L$6,T413,""),"")</f>
        <v/>
      </c>
      <c r="W413">
        <f>IF(AND(ISNUMBER('자료_거시'!$G395),ISNUMBER('자료_거시'!$H395)),'자료_거시'!$H395,"")</f>
        <v/>
      </c>
      <c r="X413">
        <f>IF(ISNUMBER(W413),'자료_거시'!$G395,"")</f>
        <v/>
      </c>
      <c r="Y413">
        <f>IF(ISNUMBER(X413),IF(X413&gt;$L$7,W413,""),"")</f>
        <v/>
      </c>
      <c r="Z413">
        <f>IF(ISNUMBER('자료_거시'!$K395),'자료_거시'!$K395,Z412)</f>
        <v/>
      </c>
      <c r="AA413">
        <f>IF(AND(ISNUMBER('자료_거시'!$J395),ISNUMBER('자료_거시'!$K395)),IFERROR('자료_거시'!$K395/INDEX($Z$21:$Z$4020,MATCH(EDATE('자료_거시'!$J395,-'설정'!$B$17),'자료_거시'!$J$3:INDEX('자료_거시'!$J$3:$J$4002,$K$8),1))-1,""),"")</f>
        <v/>
      </c>
      <c r="AB413">
        <f>IF(ISNUMBER(AA413),'자료_거시'!$J395,"")</f>
        <v/>
      </c>
      <c r="AC413">
        <f>IF(ISNUMBER(AB413),IF(AB413&gt;$L$8,AA413,""),"")</f>
        <v/>
      </c>
      <c r="AD413">
        <f>IF(AND(ISNUMBER('자료_거시'!$M395),ISNUMBER('자료_거시'!$N395)),1,0)</f>
        <v/>
      </c>
      <c r="AE413">
        <f>IF(AND(ISNUMBER('자료_거시'!$M395),ISNUMBER('자료_거시'!$N395)),IF(AND(SUMIFS($AD$21:$AD$620,'자료_거시'!$M$3:$M$602,"&gt;"&amp;EDATE('자료_거시'!$M395,-'설정'!$B$17),'자료_거시'!$M$3:$M$602,"&lt;="&amp;'자료_거시'!$M395)=3,SUMIFS($AD$21:$AD$620,'자료_거시'!$M$3:$M$602,"&gt;"&amp;EDATE('자료_거시'!$M395,-12-'설정'!$B$17),'자료_거시'!$M$3:$M$602,"&lt;="&amp;EDATE('자료_거시'!$M395,-12))=3),IFERROR(SUMIFS('자료_거시'!$N$3:$N$602,'자료_거시'!$M$3:$M$602,"&gt;"&amp;EDATE('자료_거시'!$M395,-'설정'!$B$17),'자료_거시'!$M$3:$M$602,"&lt;="&amp;'자료_거시'!$M395)/SUMIFS('자료_거시'!$N$3:$N$602,'자료_거시'!$M$3:$M$602,"&gt;"&amp;EDATE('자료_거시'!$M395,-12-'설정'!$B$17),'자료_거시'!$M$3:$M$602,"&lt;="&amp;EDATE('자료_거시'!$M395,-12))-1,""),""),"")</f>
        <v/>
      </c>
      <c r="AF413">
        <f>IF(ISNUMBER(AE413),'자료_거시'!$M395,"")</f>
        <v/>
      </c>
      <c r="AG413">
        <f>IF(ISNUMBER(AF413),IF(AF413&gt;$L$9,AE413,""),"")</f>
        <v/>
      </c>
    </row>
    <row r="414">
      <c r="P414">
        <f>IF(AND(ISNUMBER('자료_거시'!$A396),ISNUMBER('자료_거시'!$B396)),'자료_거시'!$B396,"")</f>
        <v/>
      </c>
      <c r="Q414">
        <f>IF(ISNUMBER(P414),'자료_거시'!$A396,"")</f>
        <v/>
      </c>
      <c r="R414">
        <f>IF(ISNUMBER(Q414),IF(Q414&gt;$L$5,P414,""),"")</f>
        <v/>
      </c>
      <c r="S414">
        <f>IF(ISNUMBER('자료_거시'!$E396),'자료_거시'!$E396,S413)</f>
        <v/>
      </c>
      <c r="T414">
        <f>IF(AND(ISNUMBER('자료_거시'!$D396),ISNUMBER('자료_거시'!$E396)),IFERROR('자료_거시'!$E396-INDEX($S$21:$S$4020,MATCH(EDATE('자료_거시'!$D396,-'설정'!$B$17),'자료_거시'!$D$3:INDEX('자료_거시'!$D$3:$D$4002,$K$6),1)),""),"")</f>
        <v/>
      </c>
      <c r="U414">
        <f>IF(ISNUMBER(T414),'자료_거시'!$D396,"")</f>
        <v/>
      </c>
      <c r="V414">
        <f>IF(ISNUMBER(U414),IF(U414&gt;$L$6,T414,""),"")</f>
        <v/>
      </c>
      <c r="W414">
        <f>IF(AND(ISNUMBER('자료_거시'!$G396),ISNUMBER('자료_거시'!$H396)),'자료_거시'!$H396,"")</f>
        <v/>
      </c>
      <c r="X414">
        <f>IF(ISNUMBER(W414),'자료_거시'!$G396,"")</f>
        <v/>
      </c>
      <c r="Y414">
        <f>IF(ISNUMBER(X414),IF(X414&gt;$L$7,W414,""),"")</f>
        <v/>
      </c>
      <c r="Z414">
        <f>IF(ISNUMBER('자료_거시'!$K396),'자료_거시'!$K396,Z413)</f>
        <v/>
      </c>
      <c r="AA414">
        <f>IF(AND(ISNUMBER('자료_거시'!$J396),ISNUMBER('자료_거시'!$K396)),IFERROR('자료_거시'!$K396/INDEX($Z$21:$Z$4020,MATCH(EDATE('자료_거시'!$J396,-'설정'!$B$17),'자료_거시'!$J$3:INDEX('자료_거시'!$J$3:$J$4002,$K$8),1))-1,""),"")</f>
        <v/>
      </c>
      <c r="AB414">
        <f>IF(ISNUMBER(AA414),'자료_거시'!$J396,"")</f>
        <v/>
      </c>
      <c r="AC414">
        <f>IF(ISNUMBER(AB414),IF(AB414&gt;$L$8,AA414,""),"")</f>
        <v/>
      </c>
      <c r="AD414">
        <f>IF(AND(ISNUMBER('자료_거시'!$M396),ISNUMBER('자료_거시'!$N396)),1,0)</f>
        <v/>
      </c>
      <c r="AE414">
        <f>IF(AND(ISNUMBER('자료_거시'!$M396),ISNUMBER('자료_거시'!$N396)),IF(AND(SUMIFS($AD$21:$AD$620,'자료_거시'!$M$3:$M$602,"&gt;"&amp;EDATE('자료_거시'!$M396,-'설정'!$B$17),'자료_거시'!$M$3:$M$602,"&lt;="&amp;'자료_거시'!$M396)=3,SUMIFS($AD$21:$AD$620,'자료_거시'!$M$3:$M$602,"&gt;"&amp;EDATE('자료_거시'!$M396,-12-'설정'!$B$17),'자료_거시'!$M$3:$M$602,"&lt;="&amp;EDATE('자료_거시'!$M396,-12))=3),IFERROR(SUMIFS('자료_거시'!$N$3:$N$602,'자료_거시'!$M$3:$M$602,"&gt;"&amp;EDATE('자료_거시'!$M396,-'설정'!$B$17),'자료_거시'!$M$3:$M$602,"&lt;="&amp;'자료_거시'!$M396)/SUMIFS('자료_거시'!$N$3:$N$602,'자료_거시'!$M$3:$M$602,"&gt;"&amp;EDATE('자료_거시'!$M396,-12-'설정'!$B$17),'자료_거시'!$M$3:$M$602,"&lt;="&amp;EDATE('자료_거시'!$M396,-12))-1,""),""),"")</f>
        <v/>
      </c>
      <c r="AF414">
        <f>IF(ISNUMBER(AE414),'자료_거시'!$M396,"")</f>
        <v/>
      </c>
      <c r="AG414">
        <f>IF(ISNUMBER(AF414),IF(AF414&gt;$L$9,AE414,""),"")</f>
        <v/>
      </c>
    </row>
    <row r="415">
      <c r="P415">
        <f>IF(AND(ISNUMBER('자료_거시'!$A397),ISNUMBER('자료_거시'!$B397)),'자료_거시'!$B397,"")</f>
        <v/>
      </c>
      <c r="Q415">
        <f>IF(ISNUMBER(P415),'자료_거시'!$A397,"")</f>
        <v/>
      </c>
      <c r="R415">
        <f>IF(ISNUMBER(Q415),IF(Q415&gt;$L$5,P415,""),"")</f>
        <v/>
      </c>
      <c r="S415">
        <f>IF(ISNUMBER('자료_거시'!$E397),'자료_거시'!$E397,S414)</f>
        <v/>
      </c>
      <c r="T415">
        <f>IF(AND(ISNUMBER('자료_거시'!$D397),ISNUMBER('자료_거시'!$E397)),IFERROR('자료_거시'!$E397-INDEX($S$21:$S$4020,MATCH(EDATE('자료_거시'!$D397,-'설정'!$B$17),'자료_거시'!$D$3:INDEX('자료_거시'!$D$3:$D$4002,$K$6),1)),""),"")</f>
        <v/>
      </c>
      <c r="U415">
        <f>IF(ISNUMBER(T415),'자료_거시'!$D397,"")</f>
        <v/>
      </c>
      <c r="V415">
        <f>IF(ISNUMBER(U415),IF(U415&gt;$L$6,T415,""),"")</f>
        <v/>
      </c>
      <c r="W415">
        <f>IF(AND(ISNUMBER('자료_거시'!$G397),ISNUMBER('자료_거시'!$H397)),'자료_거시'!$H397,"")</f>
        <v/>
      </c>
      <c r="X415">
        <f>IF(ISNUMBER(W415),'자료_거시'!$G397,"")</f>
        <v/>
      </c>
      <c r="Y415">
        <f>IF(ISNUMBER(X415),IF(X415&gt;$L$7,W415,""),"")</f>
        <v/>
      </c>
      <c r="Z415">
        <f>IF(ISNUMBER('자료_거시'!$K397),'자료_거시'!$K397,Z414)</f>
        <v/>
      </c>
      <c r="AA415">
        <f>IF(AND(ISNUMBER('자료_거시'!$J397),ISNUMBER('자료_거시'!$K397)),IFERROR('자료_거시'!$K397/INDEX($Z$21:$Z$4020,MATCH(EDATE('자료_거시'!$J397,-'설정'!$B$17),'자료_거시'!$J$3:INDEX('자료_거시'!$J$3:$J$4002,$K$8),1))-1,""),"")</f>
        <v/>
      </c>
      <c r="AB415">
        <f>IF(ISNUMBER(AA415),'자료_거시'!$J397,"")</f>
        <v/>
      </c>
      <c r="AC415">
        <f>IF(ISNUMBER(AB415),IF(AB415&gt;$L$8,AA415,""),"")</f>
        <v/>
      </c>
      <c r="AD415">
        <f>IF(AND(ISNUMBER('자료_거시'!$M397),ISNUMBER('자료_거시'!$N397)),1,0)</f>
        <v/>
      </c>
      <c r="AE415">
        <f>IF(AND(ISNUMBER('자료_거시'!$M397),ISNUMBER('자료_거시'!$N397)),IF(AND(SUMIFS($AD$21:$AD$620,'자료_거시'!$M$3:$M$602,"&gt;"&amp;EDATE('자료_거시'!$M397,-'설정'!$B$17),'자료_거시'!$M$3:$M$602,"&lt;="&amp;'자료_거시'!$M397)=3,SUMIFS($AD$21:$AD$620,'자료_거시'!$M$3:$M$602,"&gt;"&amp;EDATE('자료_거시'!$M397,-12-'설정'!$B$17),'자료_거시'!$M$3:$M$602,"&lt;="&amp;EDATE('자료_거시'!$M397,-12))=3),IFERROR(SUMIFS('자료_거시'!$N$3:$N$602,'자료_거시'!$M$3:$M$602,"&gt;"&amp;EDATE('자료_거시'!$M397,-'설정'!$B$17),'자료_거시'!$M$3:$M$602,"&lt;="&amp;'자료_거시'!$M397)/SUMIFS('자료_거시'!$N$3:$N$602,'자료_거시'!$M$3:$M$602,"&gt;"&amp;EDATE('자료_거시'!$M397,-12-'설정'!$B$17),'자료_거시'!$M$3:$M$602,"&lt;="&amp;EDATE('자료_거시'!$M397,-12))-1,""),""),"")</f>
        <v/>
      </c>
      <c r="AF415">
        <f>IF(ISNUMBER(AE415),'자료_거시'!$M397,"")</f>
        <v/>
      </c>
      <c r="AG415">
        <f>IF(ISNUMBER(AF415),IF(AF415&gt;$L$9,AE415,""),"")</f>
        <v/>
      </c>
    </row>
    <row r="416">
      <c r="P416">
        <f>IF(AND(ISNUMBER('자료_거시'!$A398),ISNUMBER('자료_거시'!$B398)),'자료_거시'!$B398,"")</f>
        <v/>
      </c>
      <c r="Q416">
        <f>IF(ISNUMBER(P416),'자료_거시'!$A398,"")</f>
        <v/>
      </c>
      <c r="R416">
        <f>IF(ISNUMBER(Q416),IF(Q416&gt;$L$5,P416,""),"")</f>
        <v/>
      </c>
      <c r="S416">
        <f>IF(ISNUMBER('자료_거시'!$E398),'자료_거시'!$E398,S415)</f>
        <v/>
      </c>
      <c r="T416">
        <f>IF(AND(ISNUMBER('자료_거시'!$D398),ISNUMBER('자료_거시'!$E398)),IFERROR('자료_거시'!$E398-INDEX($S$21:$S$4020,MATCH(EDATE('자료_거시'!$D398,-'설정'!$B$17),'자료_거시'!$D$3:INDEX('자료_거시'!$D$3:$D$4002,$K$6),1)),""),"")</f>
        <v/>
      </c>
      <c r="U416">
        <f>IF(ISNUMBER(T416),'자료_거시'!$D398,"")</f>
        <v/>
      </c>
      <c r="V416">
        <f>IF(ISNUMBER(U416),IF(U416&gt;$L$6,T416,""),"")</f>
        <v/>
      </c>
      <c r="W416">
        <f>IF(AND(ISNUMBER('자료_거시'!$G398),ISNUMBER('자료_거시'!$H398)),'자료_거시'!$H398,"")</f>
        <v/>
      </c>
      <c r="X416">
        <f>IF(ISNUMBER(W416),'자료_거시'!$G398,"")</f>
        <v/>
      </c>
      <c r="Y416">
        <f>IF(ISNUMBER(X416),IF(X416&gt;$L$7,W416,""),"")</f>
        <v/>
      </c>
      <c r="Z416">
        <f>IF(ISNUMBER('자료_거시'!$K398),'자료_거시'!$K398,Z415)</f>
        <v/>
      </c>
      <c r="AA416">
        <f>IF(AND(ISNUMBER('자료_거시'!$J398),ISNUMBER('자료_거시'!$K398)),IFERROR('자료_거시'!$K398/INDEX($Z$21:$Z$4020,MATCH(EDATE('자료_거시'!$J398,-'설정'!$B$17),'자료_거시'!$J$3:INDEX('자료_거시'!$J$3:$J$4002,$K$8),1))-1,""),"")</f>
        <v/>
      </c>
      <c r="AB416">
        <f>IF(ISNUMBER(AA416),'자료_거시'!$J398,"")</f>
        <v/>
      </c>
      <c r="AC416">
        <f>IF(ISNUMBER(AB416),IF(AB416&gt;$L$8,AA416,""),"")</f>
        <v/>
      </c>
      <c r="AD416">
        <f>IF(AND(ISNUMBER('자료_거시'!$M398),ISNUMBER('자료_거시'!$N398)),1,0)</f>
        <v/>
      </c>
      <c r="AE416">
        <f>IF(AND(ISNUMBER('자료_거시'!$M398),ISNUMBER('자료_거시'!$N398)),IF(AND(SUMIFS($AD$21:$AD$620,'자료_거시'!$M$3:$M$602,"&gt;"&amp;EDATE('자료_거시'!$M398,-'설정'!$B$17),'자료_거시'!$M$3:$M$602,"&lt;="&amp;'자료_거시'!$M398)=3,SUMIFS($AD$21:$AD$620,'자료_거시'!$M$3:$M$602,"&gt;"&amp;EDATE('자료_거시'!$M398,-12-'설정'!$B$17),'자료_거시'!$M$3:$M$602,"&lt;="&amp;EDATE('자료_거시'!$M398,-12))=3),IFERROR(SUMIFS('자료_거시'!$N$3:$N$602,'자료_거시'!$M$3:$M$602,"&gt;"&amp;EDATE('자료_거시'!$M398,-'설정'!$B$17),'자료_거시'!$M$3:$M$602,"&lt;="&amp;'자료_거시'!$M398)/SUMIFS('자료_거시'!$N$3:$N$602,'자료_거시'!$M$3:$M$602,"&gt;"&amp;EDATE('자료_거시'!$M398,-12-'설정'!$B$17),'자료_거시'!$M$3:$M$602,"&lt;="&amp;EDATE('자료_거시'!$M398,-12))-1,""),""),"")</f>
        <v/>
      </c>
      <c r="AF416">
        <f>IF(ISNUMBER(AE416),'자료_거시'!$M398,"")</f>
        <v/>
      </c>
      <c r="AG416">
        <f>IF(ISNUMBER(AF416),IF(AF416&gt;$L$9,AE416,""),"")</f>
        <v/>
      </c>
    </row>
    <row r="417">
      <c r="P417">
        <f>IF(AND(ISNUMBER('자료_거시'!$A399),ISNUMBER('자료_거시'!$B399)),'자료_거시'!$B399,"")</f>
        <v/>
      </c>
      <c r="Q417">
        <f>IF(ISNUMBER(P417),'자료_거시'!$A399,"")</f>
        <v/>
      </c>
      <c r="R417">
        <f>IF(ISNUMBER(Q417),IF(Q417&gt;$L$5,P417,""),"")</f>
        <v/>
      </c>
      <c r="S417">
        <f>IF(ISNUMBER('자료_거시'!$E399),'자료_거시'!$E399,S416)</f>
        <v/>
      </c>
      <c r="T417">
        <f>IF(AND(ISNUMBER('자료_거시'!$D399),ISNUMBER('자료_거시'!$E399)),IFERROR('자료_거시'!$E399-INDEX($S$21:$S$4020,MATCH(EDATE('자료_거시'!$D399,-'설정'!$B$17),'자료_거시'!$D$3:INDEX('자료_거시'!$D$3:$D$4002,$K$6),1)),""),"")</f>
        <v/>
      </c>
      <c r="U417">
        <f>IF(ISNUMBER(T417),'자료_거시'!$D399,"")</f>
        <v/>
      </c>
      <c r="V417">
        <f>IF(ISNUMBER(U417),IF(U417&gt;$L$6,T417,""),"")</f>
        <v/>
      </c>
      <c r="W417">
        <f>IF(AND(ISNUMBER('자료_거시'!$G399),ISNUMBER('자료_거시'!$H399)),'자료_거시'!$H399,"")</f>
        <v/>
      </c>
      <c r="X417">
        <f>IF(ISNUMBER(W417),'자료_거시'!$G399,"")</f>
        <v/>
      </c>
      <c r="Y417">
        <f>IF(ISNUMBER(X417),IF(X417&gt;$L$7,W417,""),"")</f>
        <v/>
      </c>
      <c r="Z417">
        <f>IF(ISNUMBER('자료_거시'!$K399),'자료_거시'!$K399,Z416)</f>
        <v/>
      </c>
      <c r="AA417">
        <f>IF(AND(ISNUMBER('자료_거시'!$J399),ISNUMBER('자료_거시'!$K399)),IFERROR('자료_거시'!$K399/INDEX($Z$21:$Z$4020,MATCH(EDATE('자료_거시'!$J399,-'설정'!$B$17),'자료_거시'!$J$3:INDEX('자료_거시'!$J$3:$J$4002,$K$8),1))-1,""),"")</f>
        <v/>
      </c>
      <c r="AB417">
        <f>IF(ISNUMBER(AA417),'자료_거시'!$J399,"")</f>
        <v/>
      </c>
      <c r="AC417">
        <f>IF(ISNUMBER(AB417),IF(AB417&gt;$L$8,AA417,""),"")</f>
        <v/>
      </c>
      <c r="AD417">
        <f>IF(AND(ISNUMBER('자료_거시'!$M399),ISNUMBER('자료_거시'!$N399)),1,0)</f>
        <v/>
      </c>
      <c r="AE417">
        <f>IF(AND(ISNUMBER('자료_거시'!$M399),ISNUMBER('자료_거시'!$N399)),IF(AND(SUMIFS($AD$21:$AD$620,'자료_거시'!$M$3:$M$602,"&gt;"&amp;EDATE('자료_거시'!$M399,-'설정'!$B$17),'자료_거시'!$M$3:$M$602,"&lt;="&amp;'자료_거시'!$M399)=3,SUMIFS($AD$21:$AD$620,'자료_거시'!$M$3:$M$602,"&gt;"&amp;EDATE('자료_거시'!$M399,-12-'설정'!$B$17),'자료_거시'!$M$3:$M$602,"&lt;="&amp;EDATE('자료_거시'!$M399,-12))=3),IFERROR(SUMIFS('자료_거시'!$N$3:$N$602,'자료_거시'!$M$3:$M$602,"&gt;"&amp;EDATE('자료_거시'!$M399,-'설정'!$B$17),'자료_거시'!$M$3:$M$602,"&lt;="&amp;'자료_거시'!$M399)/SUMIFS('자료_거시'!$N$3:$N$602,'자료_거시'!$M$3:$M$602,"&gt;"&amp;EDATE('자료_거시'!$M399,-12-'설정'!$B$17),'자료_거시'!$M$3:$M$602,"&lt;="&amp;EDATE('자료_거시'!$M399,-12))-1,""),""),"")</f>
        <v/>
      </c>
      <c r="AF417">
        <f>IF(ISNUMBER(AE417),'자료_거시'!$M399,"")</f>
        <v/>
      </c>
      <c r="AG417">
        <f>IF(ISNUMBER(AF417),IF(AF417&gt;$L$9,AE417,""),"")</f>
        <v/>
      </c>
    </row>
    <row r="418">
      <c r="P418">
        <f>IF(AND(ISNUMBER('자료_거시'!$A400),ISNUMBER('자료_거시'!$B400)),'자료_거시'!$B400,"")</f>
        <v/>
      </c>
      <c r="Q418">
        <f>IF(ISNUMBER(P418),'자료_거시'!$A400,"")</f>
        <v/>
      </c>
      <c r="R418">
        <f>IF(ISNUMBER(Q418),IF(Q418&gt;$L$5,P418,""),"")</f>
        <v/>
      </c>
      <c r="S418">
        <f>IF(ISNUMBER('자료_거시'!$E400),'자료_거시'!$E400,S417)</f>
        <v/>
      </c>
      <c r="T418">
        <f>IF(AND(ISNUMBER('자료_거시'!$D400),ISNUMBER('자료_거시'!$E400)),IFERROR('자료_거시'!$E400-INDEX($S$21:$S$4020,MATCH(EDATE('자료_거시'!$D400,-'설정'!$B$17),'자료_거시'!$D$3:INDEX('자료_거시'!$D$3:$D$4002,$K$6),1)),""),"")</f>
        <v/>
      </c>
      <c r="U418">
        <f>IF(ISNUMBER(T418),'자료_거시'!$D400,"")</f>
        <v/>
      </c>
      <c r="V418">
        <f>IF(ISNUMBER(U418),IF(U418&gt;$L$6,T418,""),"")</f>
        <v/>
      </c>
      <c r="W418">
        <f>IF(AND(ISNUMBER('자료_거시'!$G400),ISNUMBER('자료_거시'!$H400)),'자료_거시'!$H400,"")</f>
        <v/>
      </c>
      <c r="X418">
        <f>IF(ISNUMBER(W418),'자료_거시'!$G400,"")</f>
        <v/>
      </c>
      <c r="Y418">
        <f>IF(ISNUMBER(X418),IF(X418&gt;$L$7,W418,""),"")</f>
        <v/>
      </c>
      <c r="Z418">
        <f>IF(ISNUMBER('자료_거시'!$K400),'자료_거시'!$K400,Z417)</f>
        <v/>
      </c>
      <c r="AA418">
        <f>IF(AND(ISNUMBER('자료_거시'!$J400),ISNUMBER('자료_거시'!$K400)),IFERROR('자료_거시'!$K400/INDEX($Z$21:$Z$4020,MATCH(EDATE('자료_거시'!$J400,-'설정'!$B$17),'자료_거시'!$J$3:INDEX('자료_거시'!$J$3:$J$4002,$K$8),1))-1,""),"")</f>
        <v/>
      </c>
      <c r="AB418">
        <f>IF(ISNUMBER(AA418),'자료_거시'!$J400,"")</f>
        <v/>
      </c>
      <c r="AC418">
        <f>IF(ISNUMBER(AB418),IF(AB418&gt;$L$8,AA418,""),"")</f>
        <v/>
      </c>
      <c r="AD418">
        <f>IF(AND(ISNUMBER('자료_거시'!$M400),ISNUMBER('자료_거시'!$N400)),1,0)</f>
        <v/>
      </c>
      <c r="AE418">
        <f>IF(AND(ISNUMBER('자료_거시'!$M400),ISNUMBER('자료_거시'!$N400)),IF(AND(SUMIFS($AD$21:$AD$620,'자료_거시'!$M$3:$M$602,"&gt;"&amp;EDATE('자료_거시'!$M400,-'설정'!$B$17),'자료_거시'!$M$3:$M$602,"&lt;="&amp;'자료_거시'!$M400)=3,SUMIFS($AD$21:$AD$620,'자료_거시'!$M$3:$M$602,"&gt;"&amp;EDATE('자료_거시'!$M400,-12-'설정'!$B$17),'자료_거시'!$M$3:$M$602,"&lt;="&amp;EDATE('자료_거시'!$M400,-12))=3),IFERROR(SUMIFS('자료_거시'!$N$3:$N$602,'자료_거시'!$M$3:$M$602,"&gt;"&amp;EDATE('자료_거시'!$M400,-'설정'!$B$17),'자료_거시'!$M$3:$M$602,"&lt;="&amp;'자료_거시'!$M400)/SUMIFS('자료_거시'!$N$3:$N$602,'자료_거시'!$M$3:$M$602,"&gt;"&amp;EDATE('자료_거시'!$M400,-12-'설정'!$B$17),'자료_거시'!$M$3:$M$602,"&lt;="&amp;EDATE('자료_거시'!$M400,-12))-1,""),""),"")</f>
        <v/>
      </c>
      <c r="AF418">
        <f>IF(ISNUMBER(AE418),'자료_거시'!$M400,"")</f>
        <v/>
      </c>
      <c r="AG418">
        <f>IF(ISNUMBER(AF418),IF(AF418&gt;$L$9,AE418,""),"")</f>
        <v/>
      </c>
    </row>
    <row r="419">
      <c r="P419">
        <f>IF(AND(ISNUMBER('자료_거시'!$A401),ISNUMBER('자료_거시'!$B401)),'자료_거시'!$B401,"")</f>
        <v/>
      </c>
      <c r="Q419">
        <f>IF(ISNUMBER(P419),'자료_거시'!$A401,"")</f>
        <v/>
      </c>
      <c r="R419">
        <f>IF(ISNUMBER(Q419),IF(Q419&gt;$L$5,P419,""),"")</f>
        <v/>
      </c>
      <c r="S419">
        <f>IF(ISNUMBER('자료_거시'!$E401),'자료_거시'!$E401,S418)</f>
        <v/>
      </c>
      <c r="T419">
        <f>IF(AND(ISNUMBER('자료_거시'!$D401),ISNUMBER('자료_거시'!$E401)),IFERROR('자료_거시'!$E401-INDEX($S$21:$S$4020,MATCH(EDATE('자료_거시'!$D401,-'설정'!$B$17),'자료_거시'!$D$3:INDEX('자료_거시'!$D$3:$D$4002,$K$6),1)),""),"")</f>
        <v/>
      </c>
      <c r="U419">
        <f>IF(ISNUMBER(T419),'자료_거시'!$D401,"")</f>
        <v/>
      </c>
      <c r="V419">
        <f>IF(ISNUMBER(U419),IF(U419&gt;$L$6,T419,""),"")</f>
        <v/>
      </c>
      <c r="W419">
        <f>IF(AND(ISNUMBER('자료_거시'!$G401),ISNUMBER('자료_거시'!$H401)),'자료_거시'!$H401,"")</f>
        <v/>
      </c>
      <c r="X419">
        <f>IF(ISNUMBER(W419),'자료_거시'!$G401,"")</f>
        <v/>
      </c>
      <c r="Y419">
        <f>IF(ISNUMBER(X419),IF(X419&gt;$L$7,W419,""),"")</f>
        <v/>
      </c>
      <c r="Z419">
        <f>IF(ISNUMBER('자료_거시'!$K401),'자료_거시'!$K401,Z418)</f>
        <v/>
      </c>
      <c r="AA419">
        <f>IF(AND(ISNUMBER('자료_거시'!$J401),ISNUMBER('자료_거시'!$K401)),IFERROR('자료_거시'!$K401/INDEX($Z$21:$Z$4020,MATCH(EDATE('자료_거시'!$J401,-'설정'!$B$17),'자료_거시'!$J$3:INDEX('자료_거시'!$J$3:$J$4002,$K$8),1))-1,""),"")</f>
        <v/>
      </c>
      <c r="AB419">
        <f>IF(ISNUMBER(AA419),'자료_거시'!$J401,"")</f>
        <v/>
      </c>
      <c r="AC419">
        <f>IF(ISNUMBER(AB419),IF(AB419&gt;$L$8,AA419,""),"")</f>
        <v/>
      </c>
      <c r="AD419">
        <f>IF(AND(ISNUMBER('자료_거시'!$M401),ISNUMBER('자료_거시'!$N401)),1,0)</f>
        <v/>
      </c>
      <c r="AE419">
        <f>IF(AND(ISNUMBER('자료_거시'!$M401),ISNUMBER('자료_거시'!$N401)),IF(AND(SUMIFS($AD$21:$AD$620,'자료_거시'!$M$3:$M$602,"&gt;"&amp;EDATE('자료_거시'!$M401,-'설정'!$B$17),'자료_거시'!$M$3:$M$602,"&lt;="&amp;'자료_거시'!$M401)=3,SUMIFS($AD$21:$AD$620,'자료_거시'!$M$3:$M$602,"&gt;"&amp;EDATE('자료_거시'!$M401,-12-'설정'!$B$17),'자료_거시'!$M$3:$M$602,"&lt;="&amp;EDATE('자료_거시'!$M401,-12))=3),IFERROR(SUMIFS('자료_거시'!$N$3:$N$602,'자료_거시'!$M$3:$M$602,"&gt;"&amp;EDATE('자료_거시'!$M401,-'설정'!$B$17),'자료_거시'!$M$3:$M$602,"&lt;="&amp;'자료_거시'!$M401)/SUMIFS('자료_거시'!$N$3:$N$602,'자료_거시'!$M$3:$M$602,"&gt;"&amp;EDATE('자료_거시'!$M401,-12-'설정'!$B$17),'자료_거시'!$M$3:$M$602,"&lt;="&amp;EDATE('자료_거시'!$M401,-12))-1,""),""),"")</f>
        <v/>
      </c>
      <c r="AF419">
        <f>IF(ISNUMBER(AE419),'자료_거시'!$M401,"")</f>
        <v/>
      </c>
      <c r="AG419">
        <f>IF(ISNUMBER(AF419),IF(AF419&gt;$L$9,AE419,""),"")</f>
        <v/>
      </c>
    </row>
    <row r="420">
      <c r="P420">
        <f>IF(AND(ISNUMBER('자료_거시'!$A402),ISNUMBER('자료_거시'!$B402)),'자료_거시'!$B402,"")</f>
        <v/>
      </c>
      <c r="Q420">
        <f>IF(ISNUMBER(P420),'자료_거시'!$A402,"")</f>
        <v/>
      </c>
      <c r="R420">
        <f>IF(ISNUMBER(Q420),IF(Q420&gt;$L$5,P420,""),"")</f>
        <v/>
      </c>
      <c r="S420">
        <f>IF(ISNUMBER('자료_거시'!$E402),'자료_거시'!$E402,S419)</f>
        <v/>
      </c>
      <c r="T420">
        <f>IF(AND(ISNUMBER('자료_거시'!$D402),ISNUMBER('자료_거시'!$E402)),IFERROR('자료_거시'!$E402-INDEX($S$21:$S$4020,MATCH(EDATE('자료_거시'!$D402,-'설정'!$B$17),'자료_거시'!$D$3:INDEX('자료_거시'!$D$3:$D$4002,$K$6),1)),""),"")</f>
        <v/>
      </c>
      <c r="U420">
        <f>IF(ISNUMBER(T420),'자료_거시'!$D402,"")</f>
        <v/>
      </c>
      <c r="V420">
        <f>IF(ISNUMBER(U420),IF(U420&gt;$L$6,T420,""),"")</f>
        <v/>
      </c>
      <c r="W420">
        <f>IF(AND(ISNUMBER('자료_거시'!$G402),ISNUMBER('자료_거시'!$H402)),'자료_거시'!$H402,"")</f>
        <v/>
      </c>
      <c r="X420">
        <f>IF(ISNUMBER(W420),'자료_거시'!$G402,"")</f>
        <v/>
      </c>
      <c r="Y420">
        <f>IF(ISNUMBER(X420),IF(X420&gt;$L$7,W420,""),"")</f>
        <v/>
      </c>
      <c r="Z420">
        <f>IF(ISNUMBER('자료_거시'!$K402),'자료_거시'!$K402,Z419)</f>
        <v/>
      </c>
      <c r="AA420">
        <f>IF(AND(ISNUMBER('자료_거시'!$J402),ISNUMBER('자료_거시'!$K402)),IFERROR('자료_거시'!$K402/INDEX($Z$21:$Z$4020,MATCH(EDATE('자료_거시'!$J402,-'설정'!$B$17),'자료_거시'!$J$3:INDEX('자료_거시'!$J$3:$J$4002,$K$8),1))-1,""),"")</f>
        <v/>
      </c>
      <c r="AB420">
        <f>IF(ISNUMBER(AA420),'자료_거시'!$J402,"")</f>
        <v/>
      </c>
      <c r="AC420">
        <f>IF(ISNUMBER(AB420),IF(AB420&gt;$L$8,AA420,""),"")</f>
        <v/>
      </c>
      <c r="AD420">
        <f>IF(AND(ISNUMBER('자료_거시'!$M402),ISNUMBER('자료_거시'!$N402)),1,0)</f>
        <v/>
      </c>
      <c r="AE420">
        <f>IF(AND(ISNUMBER('자료_거시'!$M402),ISNUMBER('자료_거시'!$N402)),IF(AND(SUMIFS($AD$21:$AD$620,'자료_거시'!$M$3:$M$602,"&gt;"&amp;EDATE('자료_거시'!$M402,-'설정'!$B$17),'자료_거시'!$M$3:$M$602,"&lt;="&amp;'자료_거시'!$M402)=3,SUMIFS($AD$21:$AD$620,'자료_거시'!$M$3:$M$602,"&gt;"&amp;EDATE('자료_거시'!$M402,-12-'설정'!$B$17),'자료_거시'!$M$3:$M$602,"&lt;="&amp;EDATE('자료_거시'!$M402,-12))=3),IFERROR(SUMIFS('자료_거시'!$N$3:$N$602,'자료_거시'!$M$3:$M$602,"&gt;"&amp;EDATE('자료_거시'!$M402,-'설정'!$B$17),'자료_거시'!$M$3:$M$602,"&lt;="&amp;'자료_거시'!$M402)/SUMIFS('자료_거시'!$N$3:$N$602,'자료_거시'!$M$3:$M$602,"&gt;"&amp;EDATE('자료_거시'!$M402,-12-'설정'!$B$17),'자료_거시'!$M$3:$M$602,"&lt;="&amp;EDATE('자료_거시'!$M402,-12))-1,""),""),"")</f>
        <v/>
      </c>
      <c r="AF420">
        <f>IF(ISNUMBER(AE420),'자료_거시'!$M402,"")</f>
        <v/>
      </c>
      <c r="AG420">
        <f>IF(ISNUMBER(AF420),IF(AF420&gt;$L$9,AE420,""),"")</f>
        <v/>
      </c>
    </row>
    <row r="421">
      <c r="P421">
        <f>IF(AND(ISNUMBER('자료_거시'!$A403),ISNUMBER('자료_거시'!$B403)),'자료_거시'!$B403,"")</f>
        <v/>
      </c>
      <c r="Q421">
        <f>IF(ISNUMBER(P421),'자료_거시'!$A403,"")</f>
        <v/>
      </c>
      <c r="R421">
        <f>IF(ISNUMBER(Q421),IF(Q421&gt;$L$5,P421,""),"")</f>
        <v/>
      </c>
      <c r="S421">
        <f>IF(ISNUMBER('자료_거시'!$E403),'자료_거시'!$E403,S420)</f>
        <v/>
      </c>
      <c r="T421">
        <f>IF(AND(ISNUMBER('자료_거시'!$D403),ISNUMBER('자료_거시'!$E403)),IFERROR('자료_거시'!$E403-INDEX($S$21:$S$4020,MATCH(EDATE('자료_거시'!$D403,-'설정'!$B$17),'자료_거시'!$D$3:INDEX('자료_거시'!$D$3:$D$4002,$K$6),1)),""),"")</f>
        <v/>
      </c>
      <c r="U421">
        <f>IF(ISNUMBER(T421),'자료_거시'!$D403,"")</f>
        <v/>
      </c>
      <c r="V421">
        <f>IF(ISNUMBER(U421),IF(U421&gt;$L$6,T421,""),"")</f>
        <v/>
      </c>
      <c r="W421">
        <f>IF(AND(ISNUMBER('자료_거시'!$G403),ISNUMBER('자료_거시'!$H403)),'자료_거시'!$H403,"")</f>
        <v/>
      </c>
      <c r="X421">
        <f>IF(ISNUMBER(W421),'자료_거시'!$G403,"")</f>
        <v/>
      </c>
      <c r="Y421">
        <f>IF(ISNUMBER(X421),IF(X421&gt;$L$7,W421,""),"")</f>
        <v/>
      </c>
      <c r="Z421">
        <f>IF(ISNUMBER('자료_거시'!$K403),'자료_거시'!$K403,Z420)</f>
        <v/>
      </c>
      <c r="AA421">
        <f>IF(AND(ISNUMBER('자료_거시'!$J403),ISNUMBER('자료_거시'!$K403)),IFERROR('자료_거시'!$K403/INDEX($Z$21:$Z$4020,MATCH(EDATE('자료_거시'!$J403,-'설정'!$B$17),'자료_거시'!$J$3:INDEX('자료_거시'!$J$3:$J$4002,$K$8),1))-1,""),"")</f>
        <v/>
      </c>
      <c r="AB421">
        <f>IF(ISNUMBER(AA421),'자료_거시'!$J403,"")</f>
        <v/>
      </c>
      <c r="AC421">
        <f>IF(ISNUMBER(AB421),IF(AB421&gt;$L$8,AA421,""),"")</f>
        <v/>
      </c>
      <c r="AD421">
        <f>IF(AND(ISNUMBER('자료_거시'!$M403),ISNUMBER('자료_거시'!$N403)),1,0)</f>
        <v/>
      </c>
      <c r="AE421">
        <f>IF(AND(ISNUMBER('자료_거시'!$M403),ISNUMBER('자료_거시'!$N403)),IF(AND(SUMIFS($AD$21:$AD$620,'자료_거시'!$M$3:$M$602,"&gt;"&amp;EDATE('자료_거시'!$M403,-'설정'!$B$17),'자료_거시'!$M$3:$M$602,"&lt;="&amp;'자료_거시'!$M403)=3,SUMIFS($AD$21:$AD$620,'자료_거시'!$M$3:$M$602,"&gt;"&amp;EDATE('자료_거시'!$M403,-12-'설정'!$B$17),'자료_거시'!$M$3:$M$602,"&lt;="&amp;EDATE('자료_거시'!$M403,-12))=3),IFERROR(SUMIFS('자료_거시'!$N$3:$N$602,'자료_거시'!$M$3:$M$602,"&gt;"&amp;EDATE('자료_거시'!$M403,-'설정'!$B$17),'자료_거시'!$M$3:$M$602,"&lt;="&amp;'자료_거시'!$M403)/SUMIFS('자료_거시'!$N$3:$N$602,'자료_거시'!$M$3:$M$602,"&gt;"&amp;EDATE('자료_거시'!$M403,-12-'설정'!$B$17),'자료_거시'!$M$3:$M$602,"&lt;="&amp;EDATE('자료_거시'!$M403,-12))-1,""),""),"")</f>
        <v/>
      </c>
      <c r="AF421">
        <f>IF(ISNUMBER(AE421),'자료_거시'!$M403,"")</f>
        <v/>
      </c>
      <c r="AG421">
        <f>IF(ISNUMBER(AF421),IF(AF421&gt;$L$9,AE421,""),"")</f>
        <v/>
      </c>
    </row>
    <row r="422">
      <c r="P422">
        <f>IF(AND(ISNUMBER('자료_거시'!$A404),ISNUMBER('자료_거시'!$B404)),'자료_거시'!$B404,"")</f>
        <v/>
      </c>
      <c r="Q422">
        <f>IF(ISNUMBER(P422),'자료_거시'!$A404,"")</f>
        <v/>
      </c>
      <c r="R422">
        <f>IF(ISNUMBER(Q422),IF(Q422&gt;$L$5,P422,""),"")</f>
        <v/>
      </c>
      <c r="S422">
        <f>IF(ISNUMBER('자료_거시'!$E404),'자료_거시'!$E404,S421)</f>
        <v/>
      </c>
      <c r="T422">
        <f>IF(AND(ISNUMBER('자료_거시'!$D404),ISNUMBER('자료_거시'!$E404)),IFERROR('자료_거시'!$E404-INDEX($S$21:$S$4020,MATCH(EDATE('자료_거시'!$D404,-'설정'!$B$17),'자료_거시'!$D$3:INDEX('자료_거시'!$D$3:$D$4002,$K$6),1)),""),"")</f>
        <v/>
      </c>
      <c r="U422">
        <f>IF(ISNUMBER(T422),'자료_거시'!$D404,"")</f>
        <v/>
      </c>
      <c r="V422">
        <f>IF(ISNUMBER(U422),IF(U422&gt;$L$6,T422,""),"")</f>
        <v/>
      </c>
      <c r="W422">
        <f>IF(AND(ISNUMBER('자료_거시'!$G404),ISNUMBER('자료_거시'!$H404)),'자료_거시'!$H404,"")</f>
        <v/>
      </c>
      <c r="X422">
        <f>IF(ISNUMBER(W422),'자료_거시'!$G404,"")</f>
        <v/>
      </c>
      <c r="Y422">
        <f>IF(ISNUMBER(X422),IF(X422&gt;$L$7,W422,""),"")</f>
        <v/>
      </c>
      <c r="Z422">
        <f>IF(ISNUMBER('자료_거시'!$K404),'자료_거시'!$K404,Z421)</f>
        <v/>
      </c>
      <c r="AA422">
        <f>IF(AND(ISNUMBER('자료_거시'!$J404),ISNUMBER('자료_거시'!$K404)),IFERROR('자료_거시'!$K404/INDEX($Z$21:$Z$4020,MATCH(EDATE('자료_거시'!$J404,-'설정'!$B$17),'자료_거시'!$J$3:INDEX('자료_거시'!$J$3:$J$4002,$K$8),1))-1,""),"")</f>
        <v/>
      </c>
      <c r="AB422">
        <f>IF(ISNUMBER(AA422),'자료_거시'!$J404,"")</f>
        <v/>
      </c>
      <c r="AC422">
        <f>IF(ISNUMBER(AB422),IF(AB422&gt;$L$8,AA422,""),"")</f>
        <v/>
      </c>
      <c r="AD422">
        <f>IF(AND(ISNUMBER('자료_거시'!$M404),ISNUMBER('자료_거시'!$N404)),1,0)</f>
        <v/>
      </c>
      <c r="AE422">
        <f>IF(AND(ISNUMBER('자료_거시'!$M404),ISNUMBER('자료_거시'!$N404)),IF(AND(SUMIFS($AD$21:$AD$620,'자료_거시'!$M$3:$M$602,"&gt;"&amp;EDATE('자료_거시'!$M404,-'설정'!$B$17),'자료_거시'!$M$3:$M$602,"&lt;="&amp;'자료_거시'!$M404)=3,SUMIFS($AD$21:$AD$620,'자료_거시'!$M$3:$M$602,"&gt;"&amp;EDATE('자료_거시'!$M404,-12-'설정'!$B$17),'자료_거시'!$M$3:$M$602,"&lt;="&amp;EDATE('자료_거시'!$M404,-12))=3),IFERROR(SUMIFS('자료_거시'!$N$3:$N$602,'자료_거시'!$M$3:$M$602,"&gt;"&amp;EDATE('자료_거시'!$M404,-'설정'!$B$17),'자료_거시'!$M$3:$M$602,"&lt;="&amp;'자료_거시'!$M404)/SUMIFS('자료_거시'!$N$3:$N$602,'자료_거시'!$M$3:$M$602,"&gt;"&amp;EDATE('자료_거시'!$M404,-12-'설정'!$B$17),'자료_거시'!$M$3:$M$602,"&lt;="&amp;EDATE('자료_거시'!$M404,-12))-1,""),""),"")</f>
        <v/>
      </c>
      <c r="AF422">
        <f>IF(ISNUMBER(AE422),'자료_거시'!$M404,"")</f>
        <v/>
      </c>
      <c r="AG422">
        <f>IF(ISNUMBER(AF422),IF(AF422&gt;$L$9,AE422,""),"")</f>
        <v/>
      </c>
    </row>
    <row r="423">
      <c r="P423">
        <f>IF(AND(ISNUMBER('자료_거시'!$A405),ISNUMBER('자료_거시'!$B405)),'자료_거시'!$B405,"")</f>
        <v/>
      </c>
      <c r="Q423">
        <f>IF(ISNUMBER(P423),'자료_거시'!$A405,"")</f>
        <v/>
      </c>
      <c r="R423">
        <f>IF(ISNUMBER(Q423),IF(Q423&gt;$L$5,P423,""),"")</f>
        <v/>
      </c>
      <c r="S423">
        <f>IF(ISNUMBER('자료_거시'!$E405),'자료_거시'!$E405,S422)</f>
        <v/>
      </c>
      <c r="T423">
        <f>IF(AND(ISNUMBER('자료_거시'!$D405),ISNUMBER('자료_거시'!$E405)),IFERROR('자료_거시'!$E405-INDEX($S$21:$S$4020,MATCH(EDATE('자료_거시'!$D405,-'설정'!$B$17),'자료_거시'!$D$3:INDEX('자료_거시'!$D$3:$D$4002,$K$6),1)),""),"")</f>
        <v/>
      </c>
      <c r="U423">
        <f>IF(ISNUMBER(T423),'자료_거시'!$D405,"")</f>
        <v/>
      </c>
      <c r="V423">
        <f>IF(ISNUMBER(U423),IF(U423&gt;$L$6,T423,""),"")</f>
        <v/>
      </c>
      <c r="W423">
        <f>IF(AND(ISNUMBER('자료_거시'!$G405),ISNUMBER('자료_거시'!$H405)),'자료_거시'!$H405,"")</f>
        <v/>
      </c>
      <c r="X423">
        <f>IF(ISNUMBER(W423),'자료_거시'!$G405,"")</f>
        <v/>
      </c>
      <c r="Y423">
        <f>IF(ISNUMBER(X423),IF(X423&gt;$L$7,W423,""),"")</f>
        <v/>
      </c>
      <c r="Z423">
        <f>IF(ISNUMBER('자료_거시'!$K405),'자료_거시'!$K405,Z422)</f>
        <v/>
      </c>
      <c r="AA423">
        <f>IF(AND(ISNUMBER('자료_거시'!$J405),ISNUMBER('자료_거시'!$K405)),IFERROR('자료_거시'!$K405/INDEX($Z$21:$Z$4020,MATCH(EDATE('자료_거시'!$J405,-'설정'!$B$17),'자료_거시'!$J$3:INDEX('자료_거시'!$J$3:$J$4002,$K$8),1))-1,""),"")</f>
        <v/>
      </c>
      <c r="AB423">
        <f>IF(ISNUMBER(AA423),'자료_거시'!$J405,"")</f>
        <v/>
      </c>
      <c r="AC423">
        <f>IF(ISNUMBER(AB423),IF(AB423&gt;$L$8,AA423,""),"")</f>
        <v/>
      </c>
      <c r="AD423">
        <f>IF(AND(ISNUMBER('자료_거시'!$M405),ISNUMBER('자료_거시'!$N405)),1,0)</f>
        <v/>
      </c>
      <c r="AE423">
        <f>IF(AND(ISNUMBER('자료_거시'!$M405),ISNUMBER('자료_거시'!$N405)),IF(AND(SUMIFS($AD$21:$AD$620,'자료_거시'!$M$3:$M$602,"&gt;"&amp;EDATE('자료_거시'!$M405,-'설정'!$B$17),'자료_거시'!$M$3:$M$602,"&lt;="&amp;'자료_거시'!$M405)=3,SUMIFS($AD$21:$AD$620,'자료_거시'!$M$3:$M$602,"&gt;"&amp;EDATE('자료_거시'!$M405,-12-'설정'!$B$17),'자료_거시'!$M$3:$M$602,"&lt;="&amp;EDATE('자료_거시'!$M405,-12))=3),IFERROR(SUMIFS('자료_거시'!$N$3:$N$602,'자료_거시'!$M$3:$M$602,"&gt;"&amp;EDATE('자료_거시'!$M405,-'설정'!$B$17),'자료_거시'!$M$3:$M$602,"&lt;="&amp;'자료_거시'!$M405)/SUMIFS('자료_거시'!$N$3:$N$602,'자료_거시'!$M$3:$M$602,"&gt;"&amp;EDATE('자료_거시'!$M405,-12-'설정'!$B$17),'자료_거시'!$M$3:$M$602,"&lt;="&amp;EDATE('자료_거시'!$M405,-12))-1,""),""),"")</f>
        <v/>
      </c>
      <c r="AF423">
        <f>IF(ISNUMBER(AE423),'자료_거시'!$M405,"")</f>
        <v/>
      </c>
      <c r="AG423">
        <f>IF(ISNUMBER(AF423),IF(AF423&gt;$L$9,AE423,""),"")</f>
        <v/>
      </c>
    </row>
    <row r="424">
      <c r="P424">
        <f>IF(AND(ISNUMBER('자료_거시'!$A406),ISNUMBER('자료_거시'!$B406)),'자료_거시'!$B406,"")</f>
        <v/>
      </c>
      <c r="Q424">
        <f>IF(ISNUMBER(P424),'자료_거시'!$A406,"")</f>
        <v/>
      </c>
      <c r="R424">
        <f>IF(ISNUMBER(Q424),IF(Q424&gt;$L$5,P424,""),"")</f>
        <v/>
      </c>
      <c r="S424">
        <f>IF(ISNUMBER('자료_거시'!$E406),'자료_거시'!$E406,S423)</f>
        <v/>
      </c>
      <c r="T424">
        <f>IF(AND(ISNUMBER('자료_거시'!$D406),ISNUMBER('자료_거시'!$E406)),IFERROR('자료_거시'!$E406-INDEX($S$21:$S$4020,MATCH(EDATE('자료_거시'!$D406,-'설정'!$B$17),'자료_거시'!$D$3:INDEX('자료_거시'!$D$3:$D$4002,$K$6),1)),""),"")</f>
        <v/>
      </c>
      <c r="U424">
        <f>IF(ISNUMBER(T424),'자료_거시'!$D406,"")</f>
        <v/>
      </c>
      <c r="V424">
        <f>IF(ISNUMBER(U424),IF(U424&gt;$L$6,T424,""),"")</f>
        <v/>
      </c>
      <c r="W424">
        <f>IF(AND(ISNUMBER('자료_거시'!$G406),ISNUMBER('자료_거시'!$H406)),'자료_거시'!$H406,"")</f>
        <v/>
      </c>
      <c r="X424">
        <f>IF(ISNUMBER(W424),'자료_거시'!$G406,"")</f>
        <v/>
      </c>
      <c r="Y424">
        <f>IF(ISNUMBER(X424),IF(X424&gt;$L$7,W424,""),"")</f>
        <v/>
      </c>
      <c r="Z424">
        <f>IF(ISNUMBER('자료_거시'!$K406),'자료_거시'!$K406,Z423)</f>
        <v/>
      </c>
      <c r="AA424">
        <f>IF(AND(ISNUMBER('자료_거시'!$J406),ISNUMBER('자료_거시'!$K406)),IFERROR('자료_거시'!$K406/INDEX($Z$21:$Z$4020,MATCH(EDATE('자료_거시'!$J406,-'설정'!$B$17),'자료_거시'!$J$3:INDEX('자료_거시'!$J$3:$J$4002,$K$8),1))-1,""),"")</f>
        <v/>
      </c>
      <c r="AB424">
        <f>IF(ISNUMBER(AA424),'자료_거시'!$J406,"")</f>
        <v/>
      </c>
      <c r="AC424">
        <f>IF(ISNUMBER(AB424),IF(AB424&gt;$L$8,AA424,""),"")</f>
        <v/>
      </c>
      <c r="AD424">
        <f>IF(AND(ISNUMBER('자료_거시'!$M406),ISNUMBER('자료_거시'!$N406)),1,0)</f>
        <v/>
      </c>
      <c r="AE424">
        <f>IF(AND(ISNUMBER('자료_거시'!$M406),ISNUMBER('자료_거시'!$N406)),IF(AND(SUMIFS($AD$21:$AD$620,'자료_거시'!$M$3:$M$602,"&gt;"&amp;EDATE('자료_거시'!$M406,-'설정'!$B$17),'자료_거시'!$M$3:$M$602,"&lt;="&amp;'자료_거시'!$M406)=3,SUMIFS($AD$21:$AD$620,'자료_거시'!$M$3:$M$602,"&gt;"&amp;EDATE('자료_거시'!$M406,-12-'설정'!$B$17),'자료_거시'!$M$3:$M$602,"&lt;="&amp;EDATE('자료_거시'!$M406,-12))=3),IFERROR(SUMIFS('자료_거시'!$N$3:$N$602,'자료_거시'!$M$3:$M$602,"&gt;"&amp;EDATE('자료_거시'!$M406,-'설정'!$B$17),'자료_거시'!$M$3:$M$602,"&lt;="&amp;'자료_거시'!$M406)/SUMIFS('자료_거시'!$N$3:$N$602,'자료_거시'!$M$3:$M$602,"&gt;"&amp;EDATE('자료_거시'!$M406,-12-'설정'!$B$17),'자료_거시'!$M$3:$M$602,"&lt;="&amp;EDATE('자료_거시'!$M406,-12))-1,""),""),"")</f>
        <v/>
      </c>
      <c r="AF424">
        <f>IF(ISNUMBER(AE424),'자료_거시'!$M406,"")</f>
        <v/>
      </c>
      <c r="AG424">
        <f>IF(ISNUMBER(AF424),IF(AF424&gt;$L$9,AE424,""),"")</f>
        <v/>
      </c>
    </row>
    <row r="425">
      <c r="P425">
        <f>IF(AND(ISNUMBER('자료_거시'!$A407),ISNUMBER('자료_거시'!$B407)),'자료_거시'!$B407,"")</f>
        <v/>
      </c>
      <c r="Q425">
        <f>IF(ISNUMBER(P425),'자료_거시'!$A407,"")</f>
        <v/>
      </c>
      <c r="R425">
        <f>IF(ISNUMBER(Q425),IF(Q425&gt;$L$5,P425,""),"")</f>
        <v/>
      </c>
      <c r="S425">
        <f>IF(ISNUMBER('자료_거시'!$E407),'자료_거시'!$E407,S424)</f>
        <v/>
      </c>
      <c r="T425">
        <f>IF(AND(ISNUMBER('자료_거시'!$D407),ISNUMBER('자료_거시'!$E407)),IFERROR('자료_거시'!$E407-INDEX($S$21:$S$4020,MATCH(EDATE('자료_거시'!$D407,-'설정'!$B$17),'자료_거시'!$D$3:INDEX('자료_거시'!$D$3:$D$4002,$K$6),1)),""),"")</f>
        <v/>
      </c>
      <c r="U425">
        <f>IF(ISNUMBER(T425),'자료_거시'!$D407,"")</f>
        <v/>
      </c>
      <c r="V425">
        <f>IF(ISNUMBER(U425),IF(U425&gt;$L$6,T425,""),"")</f>
        <v/>
      </c>
      <c r="W425">
        <f>IF(AND(ISNUMBER('자료_거시'!$G407),ISNUMBER('자료_거시'!$H407)),'자료_거시'!$H407,"")</f>
        <v/>
      </c>
      <c r="X425">
        <f>IF(ISNUMBER(W425),'자료_거시'!$G407,"")</f>
        <v/>
      </c>
      <c r="Y425">
        <f>IF(ISNUMBER(X425),IF(X425&gt;$L$7,W425,""),"")</f>
        <v/>
      </c>
      <c r="Z425">
        <f>IF(ISNUMBER('자료_거시'!$K407),'자료_거시'!$K407,Z424)</f>
        <v/>
      </c>
      <c r="AA425">
        <f>IF(AND(ISNUMBER('자료_거시'!$J407),ISNUMBER('자료_거시'!$K407)),IFERROR('자료_거시'!$K407/INDEX($Z$21:$Z$4020,MATCH(EDATE('자료_거시'!$J407,-'설정'!$B$17),'자료_거시'!$J$3:INDEX('자료_거시'!$J$3:$J$4002,$K$8),1))-1,""),"")</f>
        <v/>
      </c>
      <c r="AB425">
        <f>IF(ISNUMBER(AA425),'자료_거시'!$J407,"")</f>
        <v/>
      </c>
      <c r="AC425">
        <f>IF(ISNUMBER(AB425),IF(AB425&gt;$L$8,AA425,""),"")</f>
        <v/>
      </c>
      <c r="AD425">
        <f>IF(AND(ISNUMBER('자료_거시'!$M407),ISNUMBER('자료_거시'!$N407)),1,0)</f>
        <v/>
      </c>
      <c r="AE425">
        <f>IF(AND(ISNUMBER('자료_거시'!$M407),ISNUMBER('자료_거시'!$N407)),IF(AND(SUMIFS($AD$21:$AD$620,'자료_거시'!$M$3:$M$602,"&gt;"&amp;EDATE('자료_거시'!$M407,-'설정'!$B$17),'자료_거시'!$M$3:$M$602,"&lt;="&amp;'자료_거시'!$M407)=3,SUMIFS($AD$21:$AD$620,'자료_거시'!$M$3:$M$602,"&gt;"&amp;EDATE('자료_거시'!$M407,-12-'설정'!$B$17),'자료_거시'!$M$3:$M$602,"&lt;="&amp;EDATE('자료_거시'!$M407,-12))=3),IFERROR(SUMIFS('자료_거시'!$N$3:$N$602,'자료_거시'!$M$3:$M$602,"&gt;"&amp;EDATE('자료_거시'!$M407,-'설정'!$B$17),'자료_거시'!$M$3:$M$602,"&lt;="&amp;'자료_거시'!$M407)/SUMIFS('자료_거시'!$N$3:$N$602,'자료_거시'!$M$3:$M$602,"&gt;"&amp;EDATE('자료_거시'!$M407,-12-'설정'!$B$17),'자료_거시'!$M$3:$M$602,"&lt;="&amp;EDATE('자료_거시'!$M407,-12))-1,""),""),"")</f>
        <v/>
      </c>
      <c r="AF425">
        <f>IF(ISNUMBER(AE425),'자료_거시'!$M407,"")</f>
        <v/>
      </c>
      <c r="AG425">
        <f>IF(ISNUMBER(AF425),IF(AF425&gt;$L$9,AE425,""),"")</f>
        <v/>
      </c>
    </row>
    <row r="426">
      <c r="P426">
        <f>IF(AND(ISNUMBER('자료_거시'!$A408),ISNUMBER('자료_거시'!$B408)),'자료_거시'!$B408,"")</f>
        <v/>
      </c>
      <c r="Q426">
        <f>IF(ISNUMBER(P426),'자료_거시'!$A408,"")</f>
        <v/>
      </c>
      <c r="R426">
        <f>IF(ISNUMBER(Q426),IF(Q426&gt;$L$5,P426,""),"")</f>
        <v/>
      </c>
      <c r="S426">
        <f>IF(ISNUMBER('자료_거시'!$E408),'자료_거시'!$E408,S425)</f>
        <v/>
      </c>
      <c r="T426">
        <f>IF(AND(ISNUMBER('자료_거시'!$D408),ISNUMBER('자료_거시'!$E408)),IFERROR('자료_거시'!$E408-INDEX($S$21:$S$4020,MATCH(EDATE('자료_거시'!$D408,-'설정'!$B$17),'자료_거시'!$D$3:INDEX('자료_거시'!$D$3:$D$4002,$K$6),1)),""),"")</f>
        <v/>
      </c>
      <c r="U426">
        <f>IF(ISNUMBER(T426),'자료_거시'!$D408,"")</f>
        <v/>
      </c>
      <c r="V426">
        <f>IF(ISNUMBER(U426),IF(U426&gt;$L$6,T426,""),"")</f>
        <v/>
      </c>
      <c r="W426">
        <f>IF(AND(ISNUMBER('자료_거시'!$G408),ISNUMBER('자료_거시'!$H408)),'자료_거시'!$H408,"")</f>
        <v/>
      </c>
      <c r="X426">
        <f>IF(ISNUMBER(W426),'자료_거시'!$G408,"")</f>
        <v/>
      </c>
      <c r="Y426">
        <f>IF(ISNUMBER(X426),IF(X426&gt;$L$7,W426,""),"")</f>
        <v/>
      </c>
      <c r="Z426">
        <f>IF(ISNUMBER('자료_거시'!$K408),'자료_거시'!$K408,Z425)</f>
        <v/>
      </c>
      <c r="AA426">
        <f>IF(AND(ISNUMBER('자료_거시'!$J408),ISNUMBER('자료_거시'!$K408)),IFERROR('자료_거시'!$K408/INDEX($Z$21:$Z$4020,MATCH(EDATE('자료_거시'!$J408,-'설정'!$B$17),'자료_거시'!$J$3:INDEX('자료_거시'!$J$3:$J$4002,$K$8),1))-1,""),"")</f>
        <v/>
      </c>
      <c r="AB426">
        <f>IF(ISNUMBER(AA426),'자료_거시'!$J408,"")</f>
        <v/>
      </c>
      <c r="AC426">
        <f>IF(ISNUMBER(AB426),IF(AB426&gt;$L$8,AA426,""),"")</f>
        <v/>
      </c>
      <c r="AD426">
        <f>IF(AND(ISNUMBER('자료_거시'!$M408),ISNUMBER('자료_거시'!$N408)),1,0)</f>
        <v/>
      </c>
      <c r="AE426">
        <f>IF(AND(ISNUMBER('자료_거시'!$M408),ISNUMBER('자료_거시'!$N408)),IF(AND(SUMIFS($AD$21:$AD$620,'자료_거시'!$M$3:$M$602,"&gt;"&amp;EDATE('자료_거시'!$M408,-'설정'!$B$17),'자료_거시'!$M$3:$M$602,"&lt;="&amp;'자료_거시'!$M408)=3,SUMIFS($AD$21:$AD$620,'자료_거시'!$M$3:$M$602,"&gt;"&amp;EDATE('자료_거시'!$M408,-12-'설정'!$B$17),'자료_거시'!$M$3:$M$602,"&lt;="&amp;EDATE('자료_거시'!$M408,-12))=3),IFERROR(SUMIFS('자료_거시'!$N$3:$N$602,'자료_거시'!$M$3:$M$602,"&gt;"&amp;EDATE('자료_거시'!$M408,-'설정'!$B$17),'자료_거시'!$M$3:$M$602,"&lt;="&amp;'자료_거시'!$M408)/SUMIFS('자료_거시'!$N$3:$N$602,'자료_거시'!$M$3:$M$602,"&gt;"&amp;EDATE('자료_거시'!$M408,-12-'설정'!$B$17),'자료_거시'!$M$3:$M$602,"&lt;="&amp;EDATE('자료_거시'!$M408,-12))-1,""),""),"")</f>
        <v/>
      </c>
      <c r="AF426">
        <f>IF(ISNUMBER(AE426),'자료_거시'!$M408,"")</f>
        <v/>
      </c>
      <c r="AG426">
        <f>IF(ISNUMBER(AF426),IF(AF426&gt;$L$9,AE426,""),"")</f>
        <v/>
      </c>
    </row>
    <row r="427">
      <c r="P427">
        <f>IF(AND(ISNUMBER('자료_거시'!$A409),ISNUMBER('자료_거시'!$B409)),'자료_거시'!$B409,"")</f>
        <v/>
      </c>
      <c r="Q427">
        <f>IF(ISNUMBER(P427),'자료_거시'!$A409,"")</f>
        <v/>
      </c>
      <c r="R427">
        <f>IF(ISNUMBER(Q427),IF(Q427&gt;$L$5,P427,""),"")</f>
        <v/>
      </c>
      <c r="S427">
        <f>IF(ISNUMBER('자료_거시'!$E409),'자료_거시'!$E409,S426)</f>
        <v/>
      </c>
      <c r="T427">
        <f>IF(AND(ISNUMBER('자료_거시'!$D409),ISNUMBER('자료_거시'!$E409)),IFERROR('자료_거시'!$E409-INDEX($S$21:$S$4020,MATCH(EDATE('자료_거시'!$D409,-'설정'!$B$17),'자료_거시'!$D$3:INDEX('자료_거시'!$D$3:$D$4002,$K$6),1)),""),"")</f>
        <v/>
      </c>
      <c r="U427">
        <f>IF(ISNUMBER(T427),'자료_거시'!$D409,"")</f>
        <v/>
      </c>
      <c r="V427">
        <f>IF(ISNUMBER(U427),IF(U427&gt;$L$6,T427,""),"")</f>
        <v/>
      </c>
      <c r="W427">
        <f>IF(AND(ISNUMBER('자료_거시'!$G409),ISNUMBER('자료_거시'!$H409)),'자료_거시'!$H409,"")</f>
        <v/>
      </c>
      <c r="X427">
        <f>IF(ISNUMBER(W427),'자료_거시'!$G409,"")</f>
        <v/>
      </c>
      <c r="Y427">
        <f>IF(ISNUMBER(X427),IF(X427&gt;$L$7,W427,""),"")</f>
        <v/>
      </c>
      <c r="Z427">
        <f>IF(ISNUMBER('자료_거시'!$K409),'자료_거시'!$K409,Z426)</f>
        <v/>
      </c>
      <c r="AA427">
        <f>IF(AND(ISNUMBER('자료_거시'!$J409),ISNUMBER('자료_거시'!$K409)),IFERROR('자료_거시'!$K409/INDEX($Z$21:$Z$4020,MATCH(EDATE('자료_거시'!$J409,-'설정'!$B$17),'자료_거시'!$J$3:INDEX('자료_거시'!$J$3:$J$4002,$K$8),1))-1,""),"")</f>
        <v/>
      </c>
      <c r="AB427">
        <f>IF(ISNUMBER(AA427),'자료_거시'!$J409,"")</f>
        <v/>
      </c>
      <c r="AC427">
        <f>IF(ISNUMBER(AB427),IF(AB427&gt;$L$8,AA427,""),"")</f>
        <v/>
      </c>
      <c r="AD427">
        <f>IF(AND(ISNUMBER('자료_거시'!$M409),ISNUMBER('자료_거시'!$N409)),1,0)</f>
        <v/>
      </c>
      <c r="AE427">
        <f>IF(AND(ISNUMBER('자료_거시'!$M409),ISNUMBER('자료_거시'!$N409)),IF(AND(SUMIFS($AD$21:$AD$620,'자료_거시'!$M$3:$M$602,"&gt;"&amp;EDATE('자료_거시'!$M409,-'설정'!$B$17),'자료_거시'!$M$3:$M$602,"&lt;="&amp;'자료_거시'!$M409)=3,SUMIFS($AD$21:$AD$620,'자료_거시'!$M$3:$M$602,"&gt;"&amp;EDATE('자료_거시'!$M409,-12-'설정'!$B$17),'자료_거시'!$M$3:$M$602,"&lt;="&amp;EDATE('자료_거시'!$M409,-12))=3),IFERROR(SUMIFS('자료_거시'!$N$3:$N$602,'자료_거시'!$M$3:$M$602,"&gt;"&amp;EDATE('자료_거시'!$M409,-'설정'!$B$17),'자료_거시'!$M$3:$M$602,"&lt;="&amp;'자료_거시'!$M409)/SUMIFS('자료_거시'!$N$3:$N$602,'자료_거시'!$M$3:$M$602,"&gt;"&amp;EDATE('자료_거시'!$M409,-12-'설정'!$B$17),'자료_거시'!$M$3:$M$602,"&lt;="&amp;EDATE('자료_거시'!$M409,-12))-1,""),""),"")</f>
        <v/>
      </c>
      <c r="AF427">
        <f>IF(ISNUMBER(AE427),'자료_거시'!$M409,"")</f>
        <v/>
      </c>
      <c r="AG427">
        <f>IF(ISNUMBER(AF427),IF(AF427&gt;$L$9,AE427,""),"")</f>
        <v/>
      </c>
    </row>
    <row r="428">
      <c r="P428">
        <f>IF(AND(ISNUMBER('자료_거시'!$A410),ISNUMBER('자료_거시'!$B410)),'자료_거시'!$B410,"")</f>
        <v/>
      </c>
      <c r="Q428">
        <f>IF(ISNUMBER(P428),'자료_거시'!$A410,"")</f>
        <v/>
      </c>
      <c r="R428">
        <f>IF(ISNUMBER(Q428),IF(Q428&gt;$L$5,P428,""),"")</f>
        <v/>
      </c>
      <c r="S428">
        <f>IF(ISNUMBER('자료_거시'!$E410),'자료_거시'!$E410,S427)</f>
        <v/>
      </c>
      <c r="T428">
        <f>IF(AND(ISNUMBER('자료_거시'!$D410),ISNUMBER('자료_거시'!$E410)),IFERROR('자료_거시'!$E410-INDEX($S$21:$S$4020,MATCH(EDATE('자료_거시'!$D410,-'설정'!$B$17),'자료_거시'!$D$3:INDEX('자료_거시'!$D$3:$D$4002,$K$6),1)),""),"")</f>
        <v/>
      </c>
      <c r="U428">
        <f>IF(ISNUMBER(T428),'자료_거시'!$D410,"")</f>
        <v/>
      </c>
      <c r="V428">
        <f>IF(ISNUMBER(U428),IF(U428&gt;$L$6,T428,""),"")</f>
        <v/>
      </c>
      <c r="W428">
        <f>IF(AND(ISNUMBER('자료_거시'!$G410),ISNUMBER('자료_거시'!$H410)),'자료_거시'!$H410,"")</f>
        <v/>
      </c>
      <c r="X428">
        <f>IF(ISNUMBER(W428),'자료_거시'!$G410,"")</f>
        <v/>
      </c>
      <c r="Y428">
        <f>IF(ISNUMBER(X428),IF(X428&gt;$L$7,W428,""),"")</f>
        <v/>
      </c>
      <c r="Z428">
        <f>IF(ISNUMBER('자료_거시'!$K410),'자료_거시'!$K410,Z427)</f>
        <v/>
      </c>
      <c r="AA428">
        <f>IF(AND(ISNUMBER('자료_거시'!$J410),ISNUMBER('자료_거시'!$K410)),IFERROR('자료_거시'!$K410/INDEX($Z$21:$Z$4020,MATCH(EDATE('자료_거시'!$J410,-'설정'!$B$17),'자료_거시'!$J$3:INDEX('자료_거시'!$J$3:$J$4002,$K$8),1))-1,""),"")</f>
        <v/>
      </c>
      <c r="AB428">
        <f>IF(ISNUMBER(AA428),'자료_거시'!$J410,"")</f>
        <v/>
      </c>
      <c r="AC428">
        <f>IF(ISNUMBER(AB428),IF(AB428&gt;$L$8,AA428,""),"")</f>
        <v/>
      </c>
      <c r="AD428">
        <f>IF(AND(ISNUMBER('자료_거시'!$M410),ISNUMBER('자료_거시'!$N410)),1,0)</f>
        <v/>
      </c>
      <c r="AE428">
        <f>IF(AND(ISNUMBER('자료_거시'!$M410),ISNUMBER('자료_거시'!$N410)),IF(AND(SUMIFS($AD$21:$AD$620,'자료_거시'!$M$3:$M$602,"&gt;"&amp;EDATE('자료_거시'!$M410,-'설정'!$B$17),'자료_거시'!$M$3:$M$602,"&lt;="&amp;'자료_거시'!$M410)=3,SUMIFS($AD$21:$AD$620,'자료_거시'!$M$3:$M$602,"&gt;"&amp;EDATE('자료_거시'!$M410,-12-'설정'!$B$17),'자료_거시'!$M$3:$M$602,"&lt;="&amp;EDATE('자료_거시'!$M410,-12))=3),IFERROR(SUMIFS('자료_거시'!$N$3:$N$602,'자료_거시'!$M$3:$M$602,"&gt;"&amp;EDATE('자료_거시'!$M410,-'설정'!$B$17),'자료_거시'!$M$3:$M$602,"&lt;="&amp;'자료_거시'!$M410)/SUMIFS('자료_거시'!$N$3:$N$602,'자료_거시'!$M$3:$M$602,"&gt;"&amp;EDATE('자료_거시'!$M410,-12-'설정'!$B$17),'자료_거시'!$M$3:$M$602,"&lt;="&amp;EDATE('자료_거시'!$M410,-12))-1,""),""),"")</f>
        <v/>
      </c>
      <c r="AF428">
        <f>IF(ISNUMBER(AE428),'자료_거시'!$M410,"")</f>
        <v/>
      </c>
      <c r="AG428">
        <f>IF(ISNUMBER(AF428),IF(AF428&gt;$L$9,AE428,""),"")</f>
        <v/>
      </c>
    </row>
    <row r="429">
      <c r="P429">
        <f>IF(AND(ISNUMBER('자료_거시'!$A411),ISNUMBER('자료_거시'!$B411)),'자료_거시'!$B411,"")</f>
        <v/>
      </c>
      <c r="Q429">
        <f>IF(ISNUMBER(P429),'자료_거시'!$A411,"")</f>
        <v/>
      </c>
      <c r="R429">
        <f>IF(ISNUMBER(Q429),IF(Q429&gt;$L$5,P429,""),"")</f>
        <v/>
      </c>
      <c r="S429">
        <f>IF(ISNUMBER('자료_거시'!$E411),'자료_거시'!$E411,S428)</f>
        <v/>
      </c>
      <c r="T429">
        <f>IF(AND(ISNUMBER('자료_거시'!$D411),ISNUMBER('자료_거시'!$E411)),IFERROR('자료_거시'!$E411-INDEX($S$21:$S$4020,MATCH(EDATE('자료_거시'!$D411,-'설정'!$B$17),'자료_거시'!$D$3:INDEX('자료_거시'!$D$3:$D$4002,$K$6),1)),""),"")</f>
        <v/>
      </c>
      <c r="U429">
        <f>IF(ISNUMBER(T429),'자료_거시'!$D411,"")</f>
        <v/>
      </c>
      <c r="V429">
        <f>IF(ISNUMBER(U429),IF(U429&gt;$L$6,T429,""),"")</f>
        <v/>
      </c>
      <c r="W429">
        <f>IF(AND(ISNUMBER('자료_거시'!$G411),ISNUMBER('자료_거시'!$H411)),'자료_거시'!$H411,"")</f>
        <v/>
      </c>
      <c r="X429">
        <f>IF(ISNUMBER(W429),'자료_거시'!$G411,"")</f>
        <v/>
      </c>
      <c r="Y429">
        <f>IF(ISNUMBER(X429),IF(X429&gt;$L$7,W429,""),"")</f>
        <v/>
      </c>
      <c r="Z429">
        <f>IF(ISNUMBER('자료_거시'!$K411),'자료_거시'!$K411,Z428)</f>
        <v/>
      </c>
      <c r="AA429">
        <f>IF(AND(ISNUMBER('자료_거시'!$J411),ISNUMBER('자료_거시'!$K411)),IFERROR('자료_거시'!$K411/INDEX($Z$21:$Z$4020,MATCH(EDATE('자료_거시'!$J411,-'설정'!$B$17),'자료_거시'!$J$3:INDEX('자료_거시'!$J$3:$J$4002,$K$8),1))-1,""),"")</f>
        <v/>
      </c>
      <c r="AB429">
        <f>IF(ISNUMBER(AA429),'자료_거시'!$J411,"")</f>
        <v/>
      </c>
      <c r="AC429">
        <f>IF(ISNUMBER(AB429),IF(AB429&gt;$L$8,AA429,""),"")</f>
        <v/>
      </c>
      <c r="AD429">
        <f>IF(AND(ISNUMBER('자료_거시'!$M411),ISNUMBER('자료_거시'!$N411)),1,0)</f>
        <v/>
      </c>
      <c r="AE429">
        <f>IF(AND(ISNUMBER('자료_거시'!$M411),ISNUMBER('자료_거시'!$N411)),IF(AND(SUMIFS($AD$21:$AD$620,'자료_거시'!$M$3:$M$602,"&gt;"&amp;EDATE('자료_거시'!$M411,-'설정'!$B$17),'자료_거시'!$M$3:$M$602,"&lt;="&amp;'자료_거시'!$M411)=3,SUMIFS($AD$21:$AD$620,'자료_거시'!$M$3:$M$602,"&gt;"&amp;EDATE('자료_거시'!$M411,-12-'설정'!$B$17),'자료_거시'!$M$3:$M$602,"&lt;="&amp;EDATE('자료_거시'!$M411,-12))=3),IFERROR(SUMIFS('자료_거시'!$N$3:$N$602,'자료_거시'!$M$3:$M$602,"&gt;"&amp;EDATE('자료_거시'!$M411,-'설정'!$B$17),'자료_거시'!$M$3:$M$602,"&lt;="&amp;'자료_거시'!$M411)/SUMIFS('자료_거시'!$N$3:$N$602,'자료_거시'!$M$3:$M$602,"&gt;"&amp;EDATE('자료_거시'!$M411,-12-'설정'!$B$17),'자료_거시'!$M$3:$M$602,"&lt;="&amp;EDATE('자료_거시'!$M411,-12))-1,""),""),"")</f>
        <v/>
      </c>
      <c r="AF429">
        <f>IF(ISNUMBER(AE429),'자료_거시'!$M411,"")</f>
        <v/>
      </c>
      <c r="AG429">
        <f>IF(ISNUMBER(AF429),IF(AF429&gt;$L$9,AE429,""),"")</f>
        <v/>
      </c>
    </row>
    <row r="430">
      <c r="P430">
        <f>IF(AND(ISNUMBER('자료_거시'!$A412),ISNUMBER('자료_거시'!$B412)),'자료_거시'!$B412,"")</f>
        <v/>
      </c>
      <c r="Q430">
        <f>IF(ISNUMBER(P430),'자료_거시'!$A412,"")</f>
        <v/>
      </c>
      <c r="R430">
        <f>IF(ISNUMBER(Q430),IF(Q430&gt;$L$5,P430,""),"")</f>
        <v/>
      </c>
      <c r="S430">
        <f>IF(ISNUMBER('자료_거시'!$E412),'자료_거시'!$E412,S429)</f>
        <v/>
      </c>
      <c r="T430">
        <f>IF(AND(ISNUMBER('자료_거시'!$D412),ISNUMBER('자료_거시'!$E412)),IFERROR('자료_거시'!$E412-INDEX($S$21:$S$4020,MATCH(EDATE('자료_거시'!$D412,-'설정'!$B$17),'자료_거시'!$D$3:INDEX('자료_거시'!$D$3:$D$4002,$K$6),1)),""),"")</f>
        <v/>
      </c>
      <c r="U430">
        <f>IF(ISNUMBER(T430),'자료_거시'!$D412,"")</f>
        <v/>
      </c>
      <c r="V430">
        <f>IF(ISNUMBER(U430),IF(U430&gt;$L$6,T430,""),"")</f>
        <v/>
      </c>
      <c r="W430">
        <f>IF(AND(ISNUMBER('자료_거시'!$G412),ISNUMBER('자료_거시'!$H412)),'자료_거시'!$H412,"")</f>
        <v/>
      </c>
      <c r="X430">
        <f>IF(ISNUMBER(W430),'자료_거시'!$G412,"")</f>
        <v/>
      </c>
      <c r="Y430">
        <f>IF(ISNUMBER(X430),IF(X430&gt;$L$7,W430,""),"")</f>
        <v/>
      </c>
      <c r="Z430">
        <f>IF(ISNUMBER('자료_거시'!$K412),'자료_거시'!$K412,Z429)</f>
        <v/>
      </c>
      <c r="AA430">
        <f>IF(AND(ISNUMBER('자료_거시'!$J412),ISNUMBER('자료_거시'!$K412)),IFERROR('자료_거시'!$K412/INDEX($Z$21:$Z$4020,MATCH(EDATE('자료_거시'!$J412,-'설정'!$B$17),'자료_거시'!$J$3:INDEX('자료_거시'!$J$3:$J$4002,$K$8),1))-1,""),"")</f>
        <v/>
      </c>
      <c r="AB430">
        <f>IF(ISNUMBER(AA430),'자료_거시'!$J412,"")</f>
        <v/>
      </c>
      <c r="AC430">
        <f>IF(ISNUMBER(AB430),IF(AB430&gt;$L$8,AA430,""),"")</f>
        <v/>
      </c>
      <c r="AD430">
        <f>IF(AND(ISNUMBER('자료_거시'!$M412),ISNUMBER('자료_거시'!$N412)),1,0)</f>
        <v/>
      </c>
      <c r="AE430">
        <f>IF(AND(ISNUMBER('자료_거시'!$M412),ISNUMBER('자료_거시'!$N412)),IF(AND(SUMIFS($AD$21:$AD$620,'자료_거시'!$M$3:$M$602,"&gt;"&amp;EDATE('자료_거시'!$M412,-'설정'!$B$17),'자료_거시'!$M$3:$M$602,"&lt;="&amp;'자료_거시'!$M412)=3,SUMIFS($AD$21:$AD$620,'자료_거시'!$M$3:$M$602,"&gt;"&amp;EDATE('자료_거시'!$M412,-12-'설정'!$B$17),'자료_거시'!$M$3:$M$602,"&lt;="&amp;EDATE('자료_거시'!$M412,-12))=3),IFERROR(SUMIFS('자료_거시'!$N$3:$N$602,'자료_거시'!$M$3:$M$602,"&gt;"&amp;EDATE('자료_거시'!$M412,-'설정'!$B$17),'자료_거시'!$M$3:$M$602,"&lt;="&amp;'자료_거시'!$M412)/SUMIFS('자료_거시'!$N$3:$N$602,'자료_거시'!$M$3:$M$602,"&gt;"&amp;EDATE('자료_거시'!$M412,-12-'설정'!$B$17),'자료_거시'!$M$3:$M$602,"&lt;="&amp;EDATE('자료_거시'!$M412,-12))-1,""),""),"")</f>
        <v/>
      </c>
      <c r="AF430">
        <f>IF(ISNUMBER(AE430),'자료_거시'!$M412,"")</f>
        <v/>
      </c>
      <c r="AG430">
        <f>IF(ISNUMBER(AF430),IF(AF430&gt;$L$9,AE430,""),"")</f>
        <v/>
      </c>
    </row>
    <row r="431">
      <c r="P431">
        <f>IF(AND(ISNUMBER('자료_거시'!$A413),ISNUMBER('자료_거시'!$B413)),'자료_거시'!$B413,"")</f>
        <v/>
      </c>
      <c r="Q431">
        <f>IF(ISNUMBER(P431),'자료_거시'!$A413,"")</f>
        <v/>
      </c>
      <c r="R431">
        <f>IF(ISNUMBER(Q431),IF(Q431&gt;$L$5,P431,""),"")</f>
        <v/>
      </c>
      <c r="S431">
        <f>IF(ISNUMBER('자료_거시'!$E413),'자료_거시'!$E413,S430)</f>
        <v/>
      </c>
      <c r="T431">
        <f>IF(AND(ISNUMBER('자료_거시'!$D413),ISNUMBER('자료_거시'!$E413)),IFERROR('자료_거시'!$E413-INDEX($S$21:$S$4020,MATCH(EDATE('자료_거시'!$D413,-'설정'!$B$17),'자료_거시'!$D$3:INDEX('자료_거시'!$D$3:$D$4002,$K$6),1)),""),"")</f>
        <v/>
      </c>
      <c r="U431">
        <f>IF(ISNUMBER(T431),'자료_거시'!$D413,"")</f>
        <v/>
      </c>
      <c r="V431">
        <f>IF(ISNUMBER(U431),IF(U431&gt;$L$6,T431,""),"")</f>
        <v/>
      </c>
      <c r="W431">
        <f>IF(AND(ISNUMBER('자료_거시'!$G413),ISNUMBER('자료_거시'!$H413)),'자료_거시'!$H413,"")</f>
        <v/>
      </c>
      <c r="X431">
        <f>IF(ISNUMBER(W431),'자료_거시'!$G413,"")</f>
        <v/>
      </c>
      <c r="Y431">
        <f>IF(ISNUMBER(X431),IF(X431&gt;$L$7,W431,""),"")</f>
        <v/>
      </c>
      <c r="Z431">
        <f>IF(ISNUMBER('자료_거시'!$K413),'자료_거시'!$K413,Z430)</f>
        <v/>
      </c>
      <c r="AA431">
        <f>IF(AND(ISNUMBER('자료_거시'!$J413),ISNUMBER('자료_거시'!$K413)),IFERROR('자료_거시'!$K413/INDEX($Z$21:$Z$4020,MATCH(EDATE('자료_거시'!$J413,-'설정'!$B$17),'자료_거시'!$J$3:INDEX('자료_거시'!$J$3:$J$4002,$K$8),1))-1,""),"")</f>
        <v/>
      </c>
      <c r="AB431">
        <f>IF(ISNUMBER(AA431),'자료_거시'!$J413,"")</f>
        <v/>
      </c>
      <c r="AC431">
        <f>IF(ISNUMBER(AB431),IF(AB431&gt;$L$8,AA431,""),"")</f>
        <v/>
      </c>
      <c r="AD431">
        <f>IF(AND(ISNUMBER('자료_거시'!$M413),ISNUMBER('자료_거시'!$N413)),1,0)</f>
        <v/>
      </c>
      <c r="AE431">
        <f>IF(AND(ISNUMBER('자료_거시'!$M413),ISNUMBER('자료_거시'!$N413)),IF(AND(SUMIFS($AD$21:$AD$620,'자료_거시'!$M$3:$M$602,"&gt;"&amp;EDATE('자료_거시'!$M413,-'설정'!$B$17),'자료_거시'!$M$3:$M$602,"&lt;="&amp;'자료_거시'!$M413)=3,SUMIFS($AD$21:$AD$620,'자료_거시'!$M$3:$M$602,"&gt;"&amp;EDATE('자료_거시'!$M413,-12-'설정'!$B$17),'자료_거시'!$M$3:$M$602,"&lt;="&amp;EDATE('자료_거시'!$M413,-12))=3),IFERROR(SUMIFS('자료_거시'!$N$3:$N$602,'자료_거시'!$M$3:$M$602,"&gt;"&amp;EDATE('자료_거시'!$M413,-'설정'!$B$17),'자료_거시'!$M$3:$M$602,"&lt;="&amp;'자료_거시'!$M413)/SUMIFS('자료_거시'!$N$3:$N$602,'자료_거시'!$M$3:$M$602,"&gt;"&amp;EDATE('자료_거시'!$M413,-12-'설정'!$B$17),'자료_거시'!$M$3:$M$602,"&lt;="&amp;EDATE('자료_거시'!$M413,-12))-1,""),""),"")</f>
        <v/>
      </c>
      <c r="AF431">
        <f>IF(ISNUMBER(AE431),'자료_거시'!$M413,"")</f>
        <v/>
      </c>
      <c r="AG431">
        <f>IF(ISNUMBER(AF431),IF(AF431&gt;$L$9,AE431,""),"")</f>
        <v/>
      </c>
    </row>
    <row r="432">
      <c r="P432">
        <f>IF(AND(ISNUMBER('자료_거시'!$A414),ISNUMBER('자료_거시'!$B414)),'자료_거시'!$B414,"")</f>
        <v/>
      </c>
      <c r="Q432">
        <f>IF(ISNUMBER(P432),'자료_거시'!$A414,"")</f>
        <v/>
      </c>
      <c r="R432">
        <f>IF(ISNUMBER(Q432),IF(Q432&gt;$L$5,P432,""),"")</f>
        <v/>
      </c>
      <c r="S432">
        <f>IF(ISNUMBER('자료_거시'!$E414),'자료_거시'!$E414,S431)</f>
        <v/>
      </c>
      <c r="T432">
        <f>IF(AND(ISNUMBER('자료_거시'!$D414),ISNUMBER('자료_거시'!$E414)),IFERROR('자료_거시'!$E414-INDEX($S$21:$S$4020,MATCH(EDATE('자료_거시'!$D414,-'설정'!$B$17),'자료_거시'!$D$3:INDEX('자료_거시'!$D$3:$D$4002,$K$6),1)),""),"")</f>
        <v/>
      </c>
      <c r="U432">
        <f>IF(ISNUMBER(T432),'자료_거시'!$D414,"")</f>
        <v/>
      </c>
      <c r="V432">
        <f>IF(ISNUMBER(U432),IF(U432&gt;$L$6,T432,""),"")</f>
        <v/>
      </c>
      <c r="W432">
        <f>IF(AND(ISNUMBER('자료_거시'!$G414),ISNUMBER('자료_거시'!$H414)),'자료_거시'!$H414,"")</f>
        <v/>
      </c>
      <c r="X432">
        <f>IF(ISNUMBER(W432),'자료_거시'!$G414,"")</f>
        <v/>
      </c>
      <c r="Y432">
        <f>IF(ISNUMBER(X432),IF(X432&gt;$L$7,W432,""),"")</f>
        <v/>
      </c>
      <c r="Z432">
        <f>IF(ISNUMBER('자료_거시'!$K414),'자료_거시'!$K414,Z431)</f>
        <v/>
      </c>
      <c r="AA432">
        <f>IF(AND(ISNUMBER('자료_거시'!$J414),ISNUMBER('자료_거시'!$K414)),IFERROR('자료_거시'!$K414/INDEX($Z$21:$Z$4020,MATCH(EDATE('자료_거시'!$J414,-'설정'!$B$17),'자료_거시'!$J$3:INDEX('자료_거시'!$J$3:$J$4002,$K$8),1))-1,""),"")</f>
        <v/>
      </c>
      <c r="AB432">
        <f>IF(ISNUMBER(AA432),'자료_거시'!$J414,"")</f>
        <v/>
      </c>
      <c r="AC432">
        <f>IF(ISNUMBER(AB432),IF(AB432&gt;$L$8,AA432,""),"")</f>
        <v/>
      </c>
      <c r="AD432">
        <f>IF(AND(ISNUMBER('자료_거시'!$M414),ISNUMBER('자료_거시'!$N414)),1,0)</f>
        <v/>
      </c>
      <c r="AE432">
        <f>IF(AND(ISNUMBER('자료_거시'!$M414),ISNUMBER('자료_거시'!$N414)),IF(AND(SUMIFS($AD$21:$AD$620,'자료_거시'!$M$3:$M$602,"&gt;"&amp;EDATE('자료_거시'!$M414,-'설정'!$B$17),'자료_거시'!$M$3:$M$602,"&lt;="&amp;'자료_거시'!$M414)=3,SUMIFS($AD$21:$AD$620,'자료_거시'!$M$3:$M$602,"&gt;"&amp;EDATE('자료_거시'!$M414,-12-'설정'!$B$17),'자료_거시'!$M$3:$M$602,"&lt;="&amp;EDATE('자료_거시'!$M414,-12))=3),IFERROR(SUMIFS('자료_거시'!$N$3:$N$602,'자료_거시'!$M$3:$M$602,"&gt;"&amp;EDATE('자료_거시'!$M414,-'설정'!$B$17),'자료_거시'!$M$3:$M$602,"&lt;="&amp;'자료_거시'!$M414)/SUMIFS('자료_거시'!$N$3:$N$602,'자료_거시'!$M$3:$M$602,"&gt;"&amp;EDATE('자료_거시'!$M414,-12-'설정'!$B$17),'자료_거시'!$M$3:$M$602,"&lt;="&amp;EDATE('자료_거시'!$M414,-12))-1,""),""),"")</f>
        <v/>
      </c>
      <c r="AF432">
        <f>IF(ISNUMBER(AE432),'자료_거시'!$M414,"")</f>
        <v/>
      </c>
      <c r="AG432">
        <f>IF(ISNUMBER(AF432),IF(AF432&gt;$L$9,AE432,""),"")</f>
        <v/>
      </c>
    </row>
    <row r="433">
      <c r="P433">
        <f>IF(AND(ISNUMBER('자료_거시'!$A415),ISNUMBER('자료_거시'!$B415)),'자료_거시'!$B415,"")</f>
        <v/>
      </c>
      <c r="Q433">
        <f>IF(ISNUMBER(P433),'자료_거시'!$A415,"")</f>
        <v/>
      </c>
      <c r="R433">
        <f>IF(ISNUMBER(Q433),IF(Q433&gt;$L$5,P433,""),"")</f>
        <v/>
      </c>
      <c r="S433">
        <f>IF(ISNUMBER('자료_거시'!$E415),'자료_거시'!$E415,S432)</f>
        <v/>
      </c>
      <c r="T433">
        <f>IF(AND(ISNUMBER('자료_거시'!$D415),ISNUMBER('자료_거시'!$E415)),IFERROR('자료_거시'!$E415-INDEX($S$21:$S$4020,MATCH(EDATE('자료_거시'!$D415,-'설정'!$B$17),'자료_거시'!$D$3:INDEX('자료_거시'!$D$3:$D$4002,$K$6),1)),""),"")</f>
        <v/>
      </c>
      <c r="U433">
        <f>IF(ISNUMBER(T433),'자료_거시'!$D415,"")</f>
        <v/>
      </c>
      <c r="V433">
        <f>IF(ISNUMBER(U433),IF(U433&gt;$L$6,T433,""),"")</f>
        <v/>
      </c>
      <c r="W433">
        <f>IF(AND(ISNUMBER('자료_거시'!$G415),ISNUMBER('자료_거시'!$H415)),'자료_거시'!$H415,"")</f>
        <v/>
      </c>
      <c r="X433">
        <f>IF(ISNUMBER(W433),'자료_거시'!$G415,"")</f>
        <v/>
      </c>
      <c r="Y433">
        <f>IF(ISNUMBER(X433),IF(X433&gt;$L$7,W433,""),"")</f>
        <v/>
      </c>
      <c r="Z433">
        <f>IF(ISNUMBER('자료_거시'!$K415),'자료_거시'!$K415,Z432)</f>
        <v/>
      </c>
      <c r="AA433">
        <f>IF(AND(ISNUMBER('자료_거시'!$J415),ISNUMBER('자료_거시'!$K415)),IFERROR('자료_거시'!$K415/INDEX($Z$21:$Z$4020,MATCH(EDATE('자료_거시'!$J415,-'설정'!$B$17),'자료_거시'!$J$3:INDEX('자료_거시'!$J$3:$J$4002,$K$8),1))-1,""),"")</f>
        <v/>
      </c>
      <c r="AB433">
        <f>IF(ISNUMBER(AA433),'자료_거시'!$J415,"")</f>
        <v/>
      </c>
      <c r="AC433">
        <f>IF(ISNUMBER(AB433),IF(AB433&gt;$L$8,AA433,""),"")</f>
        <v/>
      </c>
      <c r="AD433">
        <f>IF(AND(ISNUMBER('자료_거시'!$M415),ISNUMBER('자료_거시'!$N415)),1,0)</f>
        <v/>
      </c>
      <c r="AE433">
        <f>IF(AND(ISNUMBER('자료_거시'!$M415),ISNUMBER('자료_거시'!$N415)),IF(AND(SUMIFS($AD$21:$AD$620,'자료_거시'!$M$3:$M$602,"&gt;"&amp;EDATE('자료_거시'!$M415,-'설정'!$B$17),'자료_거시'!$M$3:$M$602,"&lt;="&amp;'자료_거시'!$M415)=3,SUMIFS($AD$21:$AD$620,'자료_거시'!$M$3:$M$602,"&gt;"&amp;EDATE('자료_거시'!$M415,-12-'설정'!$B$17),'자료_거시'!$M$3:$M$602,"&lt;="&amp;EDATE('자료_거시'!$M415,-12))=3),IFERROR(SUMIFS('자료_거시'!$N$3:$N$602,'자료_거시'!$M$3:$M$602,"&gt;"&amp;EDATE('자료_거시'!$M415,-'설정'!$B$17),'자료_거시'!$M$3:$M$602,"&lt;="&amp;'자료_거시'!$M415)/SUMIFS('자료_거시'!$N$3:$N$602,'자료_거시'!$M$3:$M$602,"&gt;"&amp;EDATE('자료_거시'!$M415,-12-'설정'!$B$17),'자료_거시'!$M$3:$M$602,"&lt;="&amp;EDATE('자료_거시'!$M415,-12))-1,""),""),"")</f>
        <v/>
      </c>
      <c r="AF433">
        <f>IF(ISNUMBER(AE433),'자료_거시'!$M415,"")</f>
        <v/>
      </c>
      <c r="AG433">
        <f>IF(ISNUMBER(AF433),IF(AF433&gt;$L$9,AE433,""),"")</f>
        <v/>
      </c>
    </row>
    <row r="434">
      <c r="P434">
        <f>IF(AND(ISNUMBER('자료_거시'!$A416),ISNUMBER('자료_거시'!$B416)),'자료_거시'!$B416,"")</f>
        <v/>
      </c>
      <c r="Q434">
        <f>IF(ISNUMBER(P434),'자료_거시'!$A416,"")</f>
        <v/>
      </c>
      <c r="R434">
        <f>IF(ISNUMBER(Q434),IF(Q434&gt;$L$5,P434,""),"")</f>
        <v/>
      </c>
      <c r="S434">
        <f>IF(ISNUMBER('자료_거시'!$E416),'자료_거시'!$E416,S433)</f>
        <v/>
      </c>
      <c r="T434">
        <f>IF(AND(ISNUMBER('자료_거시'!$D416),ISNUMBER('자료_거시'!$E416)),IFERROR('자료_거시'!$E416-INDEX($S$21:$S$4020,MATCH(EDATE('자료_거시'!$D416,-'설정'!$B$17),'자료_거시'!$D$3:INDEX('자료_거시'!$D$3:$D$4002,$K$6),1)),""),"")</f>
        <v/>
      </c>
      <c r="U434">
        <f>IF(ISNUMBER(T434),'자료_거시'!$D416,"")</f>
        <v/>
      </c>
      <c r="V434">
        <f>IF(ISNUMBER(U434),IF(U434&gt;$L$6,T434,""),"")</f>
        <v/>
      </c>
      <c r="W434">
        <f>IF(AND(ISNUMBER('자료_거시'!$G416),ISNUMBER('자료_거시'!$H416)),'자료_거시'!$H416,"")</f>
        <v/>
      </c>
      <c r="X434">
        <f>IF(ISNUMBER(W434),'자료_거시'!$G416,"")</f>
        <v/>
      </c>
      <c r="Y434">
        <f>IF(ISNUMBER(X434),IF(X434&gt;$L$7,W434,""),"")</f>
        <v/>
      </c>
      <c r="Z434">
        <f>IF(ISNUMBER('자료_거시'!$K416),'자료_거시'!$K416,Z433)</f>
        <v/>
      </c>
      <c r="AA434">
        <f>IF(AND(ISNUMBER('자료_거시'!$J416),ISNUMBER('자료_거시'!$K416)),IFERROR('자료_거시'!$K416/INDEX($Z$21:$Z$4020,MATCH(EDATE('자료_거시'!$J416,-'설정'!$B$17),'자료_거시'!$J$3:INDEX('자료_거시'!$J$3:$J$4002,$K$8),1))-1,""),"")</f>
        <v/>
      </c>
      <c r="AB434">
        <f>IF(ISNUMBER(AA434),'자료_거시'!$J416,"")</f>
        <v/>
      </c>
      <c r="AC434">
        <f>IF(ISNUMBER(AB434),IF(AB434&gt;$L$8,AA434,""),"")</f>
        <v/>
      </c>
      <c r="AD434">
        <f>IF(AND(ISNUMBER('자료_거시'!$M416),ISNUMBER('자료_거시'!$N416)),1,0)</f>
        <v/>
      </c>
      <c r="AE434">
        <f>IF(AND(ISNUMBER('자료_거시'!$M416),ISNUMBER('자료_거시'!$N416)),IF(AND(SUMIFS($AD$21:$AD$620,'자료_거시'!$M$3:$M$602,"&gt;"&amp;EDATE('자료_거시'!$M416,-'설정'!$B$17),'자료_거시'!$M$3:$M$602,"&lt;="&amp;'자료_거시'!$M416)=3,SUMIFS($AD$21:$AD$620,'자료_거시'!$M$3:$M$602,"&gt;"&amp;EDATE('자료_거시'!$M416,-12-'설정'!$B$17),'자료_거시'!$M$3:$M$602,"&lt;="&amp;EDATE('자료_거시'!$M416,-12))=3),IFERROR(SUMIFS('자료_거시'!$N$3:$N$602,'자료_거시'!$M$3:$M$602,"&gt;"&amp;EDATE('자료_거시'!$M416,-'설정'!$B$17),'자료_거시'!$M$3:$M$602,"&lt;="&amp;'자료_거시'!$M416)/SUMIFS('자료_거시'!$N$3:$N$602,'자료_거시'!$M$3:$M$602,"&gt;"&amp;EDATE('자료_거시'!$M416,-12-'설정'!$B$17),'자료_거시'!$M$3:$M$602,"&lt;="&amp;EDATE('자료_거시'!$M416,-12))-1,""),""),"")</f>
        <v/>
      </c>
      <c r="AF434">
        <f>IF(ISNUMBER(AE434),'자료_거시'!$M416,"")</f>
        <v/>
      </c>
      <c r="AG434">
        <f>IF(ISNUMBER(AF434),IF(AF434&gt;$L$9,AE434,""),"")</f>
        <v/>
      </c>
    </row>
    <row r="435">
      <c r="P435">
        <f>IF(AND(ISNUMBER('자료_거시'!$A417),ISNUMBER('자료_거시'!$B417)),'자료_거시'!$B417,"")</f>
        <v/>
      </c>
      <c r="Q435">
        <f>IF(ISNUMBER(P435),'자료_거시'!$A417,"")</f>
        <v/>
      </c>
      <c r="R435">
        <f>IF(ISNUMBER(Q435),IF(Q435&gt;$L$5,P435,""),"")</f>
        <v/>
      </c>
      <c r="S435">
        <f>IF(ISNUMBER('자료_거시'!$E417),'자료_거시'!$E417,S434)</f>
        <v/>
      </c>
      <c r="T435">
        <f>IF(AND(ISNUMBER('자료_거시'!$D417),ISNUMBER('자료_거시'!$E417)),IFERROR('자료_거시'!$E417-INDEX($S$21:$S$4020,MATCH(EDATE('자료_거시'!$D417,-'설정'!$B$17),'자료_거시'!$D$3:INDEX('자료_거시'!$D$3:$D$4002,$K$6),1)),""),"")</f>
        <v/>
      </c>
      <c r="U435">
        <f>IF(ISNUMBER(T435),'자료_거시'!$D417,"")</f>
        <v/>
      </c>
      <c r="V435">
        <f>IF(ISNUMBER(U435),IF(U435&gt;$L$6,T435,""),"")</f>
        <v/>
      </c>
      <c r="W435">
        <f>IF(AND(ISNUMBER('자료_거시'!$G417),ISNUMBER('자료_거시'!$H417)),'자료_거시'!$H417,"")</f>
        <v/>
      </c>
      <c r="X435">
        <f>IF(ISNUMBER(W435),'자료_거시'!$G417,"")</f>
        <v/>
      </c>
      <c r="Y435">
        <f>IF(ISNUMBER(X435),IF(X435&gt;$L$7,W435,""),"")</f>
        <v/>
      </c>
      <c r="Z435">
        <f>IF(ISNUMBER('자료_거시'!$K417),'자료_거시'!$K417,Z434)</f>
        <v/>
      </c>
      <c r="AA435">
        <f>IF(AND(ISNUMBER('자료_거시'!$J417),ISNUMBER('자료_거시'!$K417)),IFERROR('자료_거시'!$K417/INDEX($Z$21:$Z$4020,MATCH(EDATE('자료_거시'!$J417,-'설정'!$B$17),'자료_거시'!$J$3:INDEX('자료_거시'!$J$3:$J$4002,$K$8),1))-1,""),"")</f>
        <v/>
      </c>
      <c r="AB435">
        <f>IF(ISNUMBER(AA435),'자료_거시'!$J417,"")</f>
        <v/>
      </c>
      <c r="AC435">
        <f>IF(ISNUMBER(AB435),IF(AB435&gt;$L$8,AA435,""),"")</f>
        <v/>
      </c>
      <c r="AD435">
        <f>IF(AND(ISNUMBER('자료_거시'!$M417),ISNUMBER('자료_거시'!$N417)),1,0)</f>
        <v/>
      </c>
      <c r="AE435">
        <f>IF(AND(ISNUMBER('자료_거시'!$M417),ISNUMBER('자료_거시'!$N417)),IF(AND(SUMIFS($AD$21:$AD$620,'자료_거시'!$M$3:$M$602,"&gt;"&amp;EDATE('자료_거시'!$M417,-'설정'!$B$17),'자료_거시'!$M$3:$M$602,"&lt;="&amp;'자료_거시'!$M417)=3,SUMIFS($AD$21:$AD$620,'자료_거시'!$M$3:$M$602,"&gt;"&amp;EDATE('자료_거시'!$M417,-12-'설정'!$B$17),'자료_거시'!$M$3:$M$602,"&lt;="&amp;EDATE('자료_거시'!$M417,-12))=3),IFERROR(SUMIFS('자료_거시'!$N$3:$N$602,'자료_거시'!$M$3:$M$602,"&gt;"&amp;EDATE('자료_거시'!$M417,-'설정'!$B$17),'자료_거시'!$M$3:$M$602,"&lt;="&amp;'자료_거시'!$M417)/SUMIFS('자료_거시'!$N$3:$N$602,'자료_거시'!$M$3:$M$602,"&gt;"&amp;EDATE('자료_거시'!$M417,-12-'설정'!$B$17),'자료_거시'!$M$3:$M$602,"&lt;="&amp;EDATE('자료_거시'!$M417,-12))-1,""),""),"")</f>
        <v/>
      </c>
      <c r="AF435">
        <f>IF(ISNUMBER(AE435),'자료_거시'!$M417,"")</f>
        <v/>
      </c>
      <c r="AG435">
        <f>IF(ISNUMBER(AF435),IF(AF435&gt;$L$9,AE435,""),"")</f>
        <v/>
      </c>
    </row>
    <row r="436">
      <c r="P436">
        <f>IF(AND(ISNUMBER('자료_거시'!$A418),ISNUMBER('자료_거시'!$B418)),'자료_거시'!$B418,"")</f>
        <v/>
      </c>
      <c r="Q436">
        <f>IF(ISNUMBER(P436),'자료_거시'!$A418,"")</f>
        <v/>
      </c>
      <c r="R436">
        <f>IF(ISNUMBER(Q436),IF(Q436&gt;$L$5,P436,""),"")</f>
        <v/>
      </c>
      <c r="S436">
        <f>IF(ISNUMBER('자료_거시'!$E418),'자료_거시'!$E418,S435)</f>
        <v/>
      </c>
      <c r="T436">
        <f>IF(AND(ISNUMBER('자료_거시'!$D418),ISNUMBER('자료_거시'!$E418)),IFERROR('자료_거시'!$E418-INDEX($S$21:$S$4020,MATCH(EDATE('자료_거시'!$D418,-'설정'!$B$17),'자료_거시'!$D$3:INDEX('자료_거시'!$D$3:$D$4002,$K$6),1)),""),"")</f>
        <v/>
      </c>
      <c r="U436">
        <f>IF(ISNUMBER(T436),'자료_거시'!$D418,"")</f>
        <v/>
      </c>
      <c r="V436">
        <f>IF(ISNUMBER(U436),IF(U436&gt;$L$6,T436,""),"")</f>
        <v/>
      </c>
      <c r="W436">
        <f>IF(AND(ISNUMBER('자료_거시'!$G418),ISNUMBER('자료_거시'!$H418)),'자료_거시'!$H418,"")</f>
        <v/>
      </c>
      <c r="X436">
        <f>IF(ISNUMBER(W436),'자료_거시'!$G418,"")</f>
        <v/>
      </c>
      <c r="Y436">
        <f>IF(ISNUMBER(X436),IF(X436&gt;$L$7,W436,""),"")</f>
        <v/>
      </c>
      <c r="Z436">
        <f>IF(ISNUMBER('자료_거시'!$K418),'자료_거시'!$K418,Z435)</f>
        <v/>
      </c>
      <c r="AA436">
        <f>IF(AND(ISNUMBER('자료_거시'!$J418),ISNUMBER('자료_거시'!$K418)),IFERROR('자료_거시'!$K418/INDEX($Z$21:$Z$4020,MATCH(EDATE('자료_거시'!$J418,-'설정'!$B$17),'자료_거시'!$J$3:INDEX('자료_거시'!$J$3:$J$4002,$K$8),1))-1,""),"")</f>
        <v/>
      </c>
      <c r="AB436">
        <f>IF(ISNUMBER(AA436),'자료_거시'!$J418,"")</f>
        <v/>
      </c>
      <c r="AC436">
        <f>IF(ISNUMBER(AB436),IF(AB436&gt;$L$8,AA436,""),"")</f>
        <v/>
      </c>
      <c r="AD436">
        <f>IF(AND(ISNUMBER('자료_거시'!$M418),ISNUMBER('자료_거시'!$N418)),1,0)</f>
        <v/>
      </c>
      <c r="AE436">
        <f>IF(AND(ISNUMBER('자료_거시'!$M418),ISNUMBER('자료_거시'!$N418)),IF(AND(SUMIFS($AD$21:$AD$620,'자료_거시'!$M$3:$M$602,"&gt;"&amp;EDATE('자료_거시'!$M418,-'설정'!$B$17),'자료_거시'!$M$3:$M$602,"&lt;="&amp;'자료_거시'!$M418)=3,SUMIFS($AD$21:$AD$620,'자료_거시'!$M$3:$M$602,"&gt;"&amp;EDATE('자료_거시'!$M418,-12-'설정'!$B$17),'자료_거시'!$M$3:$M$602,"&lt;="&amp;EDATE('자료_거시'!$M418,-12))=3),IFERROR(SUMIFS('자료_거시'!$N$3:$N$602,'자료_거시'!$M$3:$M$602,"&gt;"&amp;EDATE('자료_거시'!$M418,-'설정'!$B$17),'자료_거시'!$M$3:$M$602,"&lt;="&amp;'자료_거시'!$M418)/SUMIFS('자료_거시'!$N$3:$N$602,'자료_거시'!$M$3:$M$602,"&gt;"&amp;EDATE('자료_거시'!$M418,-12-'설정'!$B$17),'자료_거시'!$M$3:$M$602,"&lt;="&amp;EDATE('자료_거시'!$M418,-12))-1,""),""),"")</f>
        <v/>
      </c>
      <c r="AF436">
        <f>IF(ISNUMBER(AE436),'자료_거시'!$M418,"")</f>
        <v/>
      </c>
      <c r="AG436">
        <f>IF(ISNUMBER(AF436),IF(AF436&gt;$L$9,AE436,""),"")</f>
        <v/>
      </c>
    </row>
    <row r="437">
      <c r="P437">
        <f>IF(AND(ISNUMBER('자료_거시'!$A419),ISNUMBER('자료_거시'!$B419)),'자료_거시'!$B419,"")</f>
        <v/>
      </c>
      <c r="Q437">
        <f>IF(ISNUMBER(P437),'자료_거시'!$A419,"")</f>
        <v/>
      </c>
      <c r="R437">
        <f>IF(ISNUMBER(Q437),IF(Q437&gt;$L$5,P437,""),"")</f>
        <v/>
      </c>
      <c r="S437">
        <f>IF(ISNUMBER('자료_거시'!$E419),'자료_거시'!$E419,S436)</f>
        <v/>
      </c>
      <c r="T437">
        <f>IF(AND(ISNUMBER('자료_거시'!$D419),ISNUMBER('자료_거시'!$E419)),IFERROR('자료_거시'!$E419-INDEX($S$21:$S$4020,MATCH(EDATE('자료_거시'!$D419,-'설정'!$B$17),'자료_거시'!$D$3:INDEX('자료_거시'!$D$3:$D$4002,$K$6),1)),""),"")</f>
        <v/>
      </c>
      <c r="U437">
        <f>IF(ISNUMBER(T437),'자료_거시'!$D419,"")</f>
        <v/>
      </c>
      <c r="V437">
        <f>IF(ISNUMBER(U437),IF(U437&gt;$L$6,T437,""),"")</f>
        <v/>
      </c>
      <c r="W437">
        <f>IF(AND(ISNUMBER('자료_거시'!$G419),ISNUMBER('자료_거시'!$H419)),'자료_거시'!$H419,"")</f>
        <v/>
      </c>
      <c r="X437">
        <f>IF(ISNUMBER(W437),'자료_거시'!$G419,"")</f>
        <v/>
      </c>
      <c r="Y437">
        <f>IF(ISNUMBER(X437),IF(X437&gt;$L$7,W437,""),"")</f>
        <v/>
      </c>
      <c r="Z437">
        <f>IF(ISNUMBER('자료_거시'!$K419),'자료_거시'!$K419,Z436)</f>
        <v/>
      </c>
      <c r="AA437">
        <f>IF(AND(ISNUMBER('자료_거시'!$J419),ISNUMBER('자료_거시'!$K419)),IFERROR('자료_거시'!$K419/INDEX($Z$21:$Z$4020,MATCH(EDATE('자료_거시'!$J419,-'설정'!$B$17),'자료_거시'!$J$3:INDEX('자료_거시'!$J$3:$J$4002,$K$8),1))-1,""),"")</f>
        <v/>
      </c>
      <c r="AB437">
        <f>IF(ISNUMBER(AA437),'자료_거시'!$J419,"")</f>
        <v/>
      </c>
      <c r="AC437">
        <f>IF(ISNUMBER(AB437),IF(AB437&gt;$L$8,AA437,""),"")</f>
        <v/>
      </c>
      <c r="AD437">
        <f>IF(AND(ISNUMBER('자료_거시'!$M419),ISNUMBER('자료_거시'!$N419)),1,0)</f>
        <v/>
      </c>
      <c r="AE437">
        <f>IF(AND(ISNUMBER('자료_거시'!$M419),ISNUMBER('자료_거시'!$N419)),IF(AND(SUMIFS($AD$21:$AD$620,'자료_거시'!$M$3:$M$602,"&gt;"&amp;EDATE('자료_거시'!$M419,-'설정'!$B$17),'자료_거시'!$M$3:$M$602,"&lt;="&amp;'자료_거시'!$M419)=3,SUMIFS($AD$21:$AD$620,'자료_거시'!$M$3:$M$602,"&gt;"&amp;EDATE('자료_거시'!$M419,-12-'설정'!$B$17),'자료_거시'!$M$3:$M$602,"&lt;="&amp;EDATE('자료_거시'!$M419,-12))=3),IFERROR(SUMIFS('자료_거시'!$N$3:$N$602,'자료_거시'!$M$3:$M$602,"&gt;"&amp;EDATE('자료_거시'!$M419,-'설정'!$B$17),'자료_거시'!$M$3:$M$602,"&lt;="&amp;'자료_거시'!$M419)/SUMIFS('자료_거시'!$N$3:$N$602,'자료_거시'!$M$3:$M$602,"&gt;"&amp;EDATE('자료_거시'!$M419,-12-'설정'!$B$17),'자료_거시'!$M$3:$M$602,"&lt;="&amp;EDATE('자료_거시'!$M419,-12))-1,""),""),"")</f>
        <v/>
      </c>
      <c r="AF437">
        <f>IF(ISNUMBER(AE437),'자료_거시'!$M419,"")</f>
        <v/>
      </c>
      <c r="AG437">
        <f>IF(ISNUMBER(AF437),IF(AF437&gt;$L$9,AE437,""),"")</f>
        <v/>
      </c>
    </row>
    <row r="438">
      <c r="P438">
        <f>IF(AND(ISNUMBER('자료_거시'!$A420),ISNUMBER('자료_거시'!$B420)),'자료_거시'!$B420,"")</f>
        <v/>
      </c>
      <c r="Q438">
        <f>IF(ISNUMBER(P438),'자료_거시'!$A420,"")</f>
        <v/>
      </c>
      <c r="R438">
        <f>IF(ISNUMBER(Q438),IF(Q438&gt;$L$5,P438,""),"")</f>
        <v/>
      </c>
      <c r="S438">
        <f>IF(ISNUMBER('자료_거시'!$E420),'자료_거시'!$E420,S437)</f>
        <v/>
      </c>
      <c r="T438">
        <f>IF(AND(ISNUMBER('자료_거시'!$D420),ISNUMBER('자료_거시'!$E420)),IFERROR('자료_거시'!$E420-INDEX($S$21:$S$4020,MATCH(EDATE('자료_거시'!$D420,-'설정'!$B$17),'자료_거시'!$D$3:INDEX('자료_거시'!$D$3:$D$4002,$K$6),1)),""),"")</f>
        <v/>
      </c>
      <c r="U438">
        <f>IF(ISNUMBER(T438),'자료_거시'!$D420,"")</f>
        <v/>
      </c>
      <c r="V438">
        <f>IF(ISNUMBER(U438),IF(U438&gt;$L$6,T438,""),"")</f>
        <v/>
      </c>
      <c r="W438">
        <f>IF(AND(ISNUMBER('자료_거시'!$G420),ISNUMBER('자료_거시'!$H420)),'자료_거시'!$H420,"")</f>
        <v/>
      </c>
      <c r="X438">
        <f>IF(ISNUMBER(W438),'자료_거시'!$G420,"")</f>
        <v/>
      </c>
      <c r="Y438">
        <f>IF(ISNUMBER(X438),IF(X438&gt;$L$7,W438,""),"")</f>
        <v/>
      </c>
      <c r="Z438">
        <f>IF(ISNUMBER('자료_거시'!$K420),'자료_거시'!$K420,Z437)</f>
        <v/>
      </c>
      <c r="AA438">
        <f>IF(AND(ISNUMBER('자료_거시'!$J420),ISNUMBER('자료_거시'!$K420)),IFERROR('자료_거시'!$K420/INDEX($Z$21:$Z$4020,MATCH(EDATE('자료_거시'!$J420,-'설정'!$B$17),'자료_거시'!$J$3:INDEX('자료_거시'!$J$3:$J$4002,$K$8),1))-1,""),"")</f>
        <v/>
      </c>
      <c r="AB438">
        <f>IF(ISNUMBER(AA438),'자료_거시'!$J420,"")</f>
        <v/>
      </c>
      <c r="AC438">
        <f>IF(ISNUMBER(AB438),IF(AB438&gt;$L$8,AA438,""),"")</f>
        <v/>
      </c>
      <c r="AD438">
        <f>IF(AND(ISNUMBER('자료_거시'!$M420),ISNUMBER('자료_거시'!$N420)),1,0)</f>
        <v/>
      </c>
      <c r="AE438">
        <f>IF(AND(ISNUMBER('자료_거시'!$M420),ISNUMBER('자료_거시'!$N420)),IF(AND(SUMIFS($AD$21:$AD$620,'자료_거시'!$M$3:$M$602,"&gt;"&amp;EDATE('자료_거시'!$M420,-'설정'!$B$17),'자료_거시'!$M$3:$M$602,"&lt;="&amp;'자료_거시'!$M420)=3,SUMIFS($AD$21:$AD$620,'자료_거시'!$M$3:$M$602,"&gt;"&amp;EDATE('자료_거시'!$M420,-12-'설정'!$B$17),'자료_거시'!$M$3:$M$602,"&lt;="&amp;EDATE('자료_거시'!$M420,-12))=3),IFERROR(SUMIFS('자료_거시'!$N$3:$N$602,'자료_거시'!$M$3:$M$602,"&gt;"&amp;EDATE('자료_거시'!$M420,-'설정'!$B$17),'자료_거시'!$M$3:$M$602,"&lt;="&amp;'자료_거시'!$M420)/SUMIFS('자료_거시'!$N$3:$N$602,'자료_거시'!$M$3:$M$602,"&gt;"&amp;EDATE('자료_거시'!$M420,-12-'설정'!$B$17),'자료_거시'!$M$3:$M$602,"&lt;="&amp;EDATE('자료_거시'!$M420,-12))-1,""),""),"")</f>
        <v/>
      </c>
      <c r="AF438">
        <f>IF(ISNUMBER(AE438),'자료_거시'!$M420,"")</f>
        <v/>
      </c>
      <c r="AG438">
        <f>IF(ISNUMBER(AF438),IF(AF438&gt;$L$9,AE438,""),"")</f>
        <v/>
      </c>
    </row>
    <row r="439">
      <c r="P439">
        <f>IF(AND(ISNUMBER('자료_거시'!$A421),ISNUMBER('자료_거시'!$B421)),'자료_거시'!$B421,"")</f>
        <v/>
      </c>
      <c r="Q439">
        <f>IF(ISNUMBER(P439),'자료_거시'!$A421,"")</f>
        <v/>
      </c>
      <c r="R439">
        <f>IF(ISNUMBER(Q439),IF(Q439&gt;$L$5,P439,""),"")</f>
        <v/>
      </c>
      <c r="S439">
        <f>IF(ISNUMBER('자료_거시'!$E421),'자료_거시'!$E421,S438)</f>
        <v/>
      </c>
      <c r="T439">
        <f>IF(AND(ISNUMBER('자료_거시'!$D421),ISNUMBER('자료_거시'!$E421)),IFERROR('자료_거시'!$E421-INDEX($S$21:$S$4020,MATCH(EDATE('자료_거시'!$D421,-'설정'!$B$17),'자료_거시'!$D$3:INDEX('자료_거시'!$D$3:$D$4002,$K$6),1)),""),"")</f>
        <v/>
      </c>
      <c r="U439">
        <f>IF(ISNUMBER(T439),'자료_거시'!$D421,"")</f>
        <v/>
      </c>
      <c r="V439">
        <f>IF(ISNUMBER(U439),IF(U439&gt;$L$6,T439,""),"")</f>
        <v/>
      </c>
      <c r="W439">
        <f>IF(AND(ISNUMBER('자료_거시'!$G421),ISNUMBER('자료_거시'!$H421)),'자료_거시'!$H421,"")</f>
        <v/>
      </c>
      <c r="X439">
        <f>IF(ISNUMBER(W439),'자료_거시'!$G421,"")</f>
        <v/>
      </c>
      <c r="Y439">
        <f>IF(ISNUMBER(X439),IF(X439&gt;$L$7,W439,""),"")</f>
        <v/>
      </c>
      <c r="Z439">
        <f>IF(ISNUMBER('자료_거시'!$K421),'자료_거시'!$K421,Z438)</f>
        <v/>
      </c>
      <c r="AA439">
        <f>IF(AND(ISNUMBER('자료_거시'!$J421),ISNUMBER('자료_거시'!$K421)),IFERROR('자료_거시'!$K421/INDEX($Z$21:$Z$4020,MATCH(EDATE('자료_거시'!$J421,-'설정'!$B$17),'자료_거시'!$J$3:INDEX('자료_거시'!$J$3:$J$4002,$K$8),1))-1,""),"")</f>
        <v/>
      </c>
      <c r="AB439">
        <f>IF(ISNUMBER(AA439),'자료_거시'!$J421,"")</f>
        <v/>
      </c>
      <c r="AC439">
        <f>IF(ISNUMBER(AB439),IF(AB439&gt;$L$8,AA439,""),"")</f>
        <v/>
      </c>
      <c r="AD439">
        <f>IF(AND(ISNUMBER('자료_거시'!$M421),ISNUMBER('자료_거시'!$N421)),1,0)</f>
        <v/>
      </c>
      <c r="AE439">
        <f>IF(AND(ISNUMBER('자료_거시'!$M421),ISNUMBER('자료_거시'!$N421)),IF(AND(SUMIFS($AD$21:$AD$620,'자료_거시'!$M$3:$M$602,"&gt;"&amp;EDATE('자료_거시'!$M421,-'설정'!$B$17),'자료_거시'!$M$3:$M$602,"&lt;="&amp;'자료_거시'!$M421)=3,SUMIFS($AD$21:$AD$620,'자료_거시'!$M$3:$M$602,"&gt;"&amp;EDATE('자료_거시'!$M421,-12-'설정'!$B$17),'자료_거시'!$M$3:$M$602,"&lt;="&amp;EDATE('자료_거시'!$M421,-12))=3),IFERROR(SUMIFS('자료_거시'!$N$3:$N$602,'자료_거시'!$M$3:$M$602,"&gt;"&amp;EDATE('자료_거시'!$M421,-'설정'!$B$17),'자료_거시'!$M$3:$M$602,"&lt;="&amp;'자료_거시'!$M421)/SUMIFS('자료_거시'!$N$3:$N$602,'자료_거시'!$M$3:$M$602,"&gt;"&amp;EDATE('자료_거시'!$M421,-12-'설정'!$B$17),'자료_거시'!$M$3:$M$602,"&lt;="&amp;EDATE('자료_거시'!$M421,-12))-1,""),""),"")</f>
        <v/>
      </c>
      <c r="AF439">
        <f>IF(ISNUMBER(AE439),'자료_거시'!$M421,"")</f>
        <v/>
      </c>
      <c r="AG439">
        <f>IF(ISNUMBER(AF439),IF(AF439&gt;$L$9,AE439,""),"")</f>
        <v/>
      </c>
    </row>
    <row r="440">
      <c r="P440">
        <f>IF(AND(ISNUMBER('자료_거시'!$A422),ISNUMBER('자료_거시'!$B422)),'자료_거시'!$B422,"")</f>
        <v/>
      </c>
      <c r="Q440">
        <f>IF(ISNUMBER(P440),'자료_거시'!$A422,"")</f>
        <v/>
      </c>
      <c r="R440">
        <f>IF(ISNUMBER(Q440),IF(Q440&gt;$L$5,P440,""),"")</f>
        <v/>
      </c>
      <c r="S440">
        <f>IF(ISNUMBER('자료_거시'!$E422),'자료_거시'!$E422,S439)</f>
        <v/>
      </c>
      <c r="T440">
        <f>IF(AND(ISNUMBER('자료_거시'!$D422),ISNUMBER('자료_거시'!$E422)),IFERROR('자료_거시'!$E422-INDEX($S$21:$S$4020,MATCH(EDATE('자료_거시'!$D422,-'설정'!$B$17),'자료_거시'!$D$3:INDEX('자료_거시'!$D$3:$D$4002,$K$6),1)),""),"")</f>
        <v/>
      </c>
      <c r="U440">
        <f>IF(ISNUMBER(T440),'자료_거시'!$D422,"")</f>
        <v/>
      </c>
      <c r="V440">
        <f>IF(ISNUMBER(U440),IF(U440&gt;$L$6,T440,""),"")</f>
        <v/>
      </c>
      <c r="W440">
        <f>IF(AND(ISNUMBER('자료_거시'!$G422),ISNUMBER('자료_거시'!$H422)),'자료_거시'!$H422,"")</f>
        <v/>
      </c>
      <c r="X440">
        <f>IF(ISNUMBER(W440),'자료_거시'!$G422,"")</f>
        <v/>
      </c>
      <c r="Y440">
        <f>IF(ISNUMBER(X440),IF(X440&gt;$L$7,W440,""),"")</f>
        <v/>
      </c>
      <c r="Z440">
        <f>IF(ISNUMBER('자료_거시'!$K422),'자료_거시'!$K422,Z439)</f>
        <v/>
      </c>
      <c r="AA440">
        <f>IF(AND(ISNUMBER('자료_거시'!$J422),ISNUMBER('자료_거시'!$K422)),IFERROR('자료_거시'!$K422/INDEX($Z$21:$Z$4020,MATCH(EDATE('자료_거시'!$J422,-'설정'!$B$17),'자료_거시'!$J$3:INDEX('자료_거시'!$J$3:$J$4002,$K$8),1))-1,""),"")</f>
        <v/>
      </c>
      <c r="AB440">
        <f>IF(ISNUMBER(AA440),'자료_거시'!$J422,"")</f>
        <v/>
      </c>
      <c r="AC440">
        <f>IF(ISNUMBER(AB440),IF(AB440&gt;$L$8,AA440,""),"")</f>
        <v/>
      </c>
      <c r="AD440">
        <f>IF(AND(ISNUMBER('자료_거시'!$M422),ISNUMBER('자료_거시'!$N422)),1,0)</f>
        <v/>
      </c>
      <c r="AE440">
        <f>IF(AND(ISNUMBER('자료_거시'!$M422),ISNUMBER('자료_거시'!$N422)),IF(AND(SUMIFS($AD$21:$AD$620,'자료_거시'!$M$3:$M$602,"&gt;"&amp;EDATE('자료_거시'!$M422,-'설정'!$B$17),'자료_거시'!$M$3:$M$602,"&lt;="&amp;'자료_거시'!$M422)=3,SUMIFS($AD$21:$AD$620,'자료_거시'!$M$3:$M$602,"&gt;"&amp;EDATE('자료_거시'!$M422,-12-'설정'!$B$17),'자료_거시'!$M$3:$M$602,"&lt;="&amp;EDATE('자료_거시'!$M422,-12))=3),IFERROR(SUMIFS('자료_거시'!$N$3:$N$602,'자료_거시'!$M$3:$M$602,"&gt;"&amp;EDATE('자료_거시'!$M422,-'설정'!$B$17),'자료_거시'!$M$3:$M$602,"&lt;="&amp;'자료_거시'!$M422)/SUMIFS('자료_거시'!$N$3:$N$602,'자료_거시'!$M$3:$M$602,"&gt;"&amp;EDATE('자료_거시'!$M422,-12-'설정'!$B$17),'자료_거시'!$M$3:$M$602,"&lt;="&amp;EDATE('자료_거시'!$M422,-12))-1,""),""),"")</f>
        <v/>
      </c>
      <c r="AF440">
        <f>IF(ISNUMBER(AE440),'자료_거시'!$M422,"")</f>
        <v/>
      </c>
      <c r="AG440">
        <f>IF(ISNUMBER(AF440),IF(AF440&gt;$L$9,AE440,""),"")</f>
        <v/>
      </c>
    </row>
    <row r="441">
      <c r="P441">
        <f>IF(AND(ISNUMBER('자료_거시'!$A423),ISNUMBER('자료_거시'!$B423)),'자료_거시'!$B423,"")</f>
        <v/>
      </c>
      <c r="Q441">
        <f>IF(ISNUMBER(P441),'자료_거시'!$A423,"")</f>
        <v/>
      </c>
      <c r="R441">
        <f>IF(ISNUMBER(Q441),IF(Q441&gt;$L$5,P441,""),"")</f>
        <v/>
      </c>
      <c r="S441">
        <f>IF(ISNUMBER('자료_거시'!$E423),'자료_거시'!$E423,S440)</f>
        <v/>
      </c>
      <c r="T441">
        <f>IF(AND(ISNUMBER('자료_거시'!$D423),ISNUMBER('자료_거시'!$E423)),IFERROR('자료_거시'!$E423-INDEX($S$21:$S$4020,MATCH(EDATE('자료_거시'!$D423,-'설정'!$B$17),'자료_거시'!$D$3:INDEX('자료_거시'!$D$3:$D$4002,$K$6),1)),""),"")</f>
        <v/>
      </c>
      <c r="U441">
        <f>IF(ISNUMBER(T441),'자료_거시'!$D423,"")</f>
        <v/>
      </c>
      <c r="V441">
        <f>IF(ISNUMBER(U441),IF(U441&gt;$L$6,T441,""),"")</f>
        <v/>
      </c>
      <c r="W441">
        <f>IF(AND(ISNUMBER('자료_거시'!$G423),ISNUMBER('자료_거시'!$H423)),'자료_거시'!$H423,"")</f>
        <v/>
      </c>
      <c r="X441">
        <f>IF(ISNUMBER(W441),'자료_거시'!$G423,"")</f>
        <v/>
      </c>
      <c r="Y441">
        <f>IF(ISNUMBER(X441),IF(X441&gt;$L$7,W441,""),"")</f>
        <v/>
      </c>
      <c r="Z441">
        <f>IF(ISNUMBER('자료_거시'!$K423),'자료_거시'!$K423,Z440)</f>
        <v/>
      </c>
      <c r="AA441">
        <f>IF(AND(ISNUMBER('자료_거시'!$J423),ISNUMBER('자료_거시'!$K423)),IFERROR('자료_거시'!$K423/INDEX($Z$21:$Z$4020,MATCH(EDATE('자료_거시'!$J423,-'설정'!$B$17),'자료_거시'!$J$3:INDEX('자료_거시'!$J$3:$J$4002,$K$8),1))-1,""),"")</f>
        <v/>
      </c>
      <c r="AB441">
        <f>IF(ISNUMBER(AA441),'자료_거시'!$J423,"")</f>
        <v/>
      </c>
      <c r="AC441">
        <f>IF(ISNUMBER(AB441),IF(AB441&gt;$L$8,AA441,""),"")</f>
        <v/>
      </c>
      <c r="AD441">
        <f>IF(AND(ISNUMBER('자료_거시'!$M423),ISNUMBER('자료_거시'!$N423)),1,0)</f>
        <v/>
      </c>
      <c r="AE441">
        <f>IF(AND(ISNUMBER('자료_거시'!$M423),ISNUMBER('자료_거시'!$N423)),IF(AND(SUMIFS($AD$21:$AD$620,'자료_거시'!$M$3:$M$602,"&gt;"&amp;EDATE('자료_거시'!$M423,-'설정'!$B$17),'자료_거시'!$M$3:$M$602,"&lt;="&amp;'자료_거시'!$M423)=3,SUMIFS($AD$21:$AD$620,'자료_거시'!$M$3:$M$602,"&gt;"&amp;EDATE('자료_거시'!$M423,-12-'설정'!$B$17),'자료_거시'!$M$3:$M$602,"&lt;="&amp;EDATE('자료_거시'!$M423,-12))=3),IFERROR(SUMIFS('자료_거시'!$N$3:$N$602,'자료_거시'!$M$3:$M$602,"&gt;"&amp;EDATE('자료_거시'!$M423,-'설정'!$B$17),'자료_거시'!$M$3:$M$602,"&lt;="&amp;'자료_거시'!$M423)/SUMIFS('자료_거시'!$N$3:$N$602,'자료_거시'!$M$3:$M$602,"&gt;"&amp;EDATE('자료_거시'!$M423,-12-'설정'!$B$17),'자료_거시'!$M$3:$M$602,"&lt;="&amp;EDATE('자료_거시'!$M423,-12))-1,""),""),"")</f>
        <v/>
      </c>
      <c r="AF441">
        <f>IF(ISNUMBER(AE441),'자료_거시'!$M423,"")</f>
        <v/>
      </c>
      <c r="AG441">
        <f>IF(ISNUMBER(AF441),IF(AF441&gt;$L$9,AE441,""),"")</f>
        <v/>
      </c>
    </row>
    <row r="442">
      <c r="P442">
        <f>IF(AND(ISNUMBER('자료_거시'!$A424),ISNUMBER('자료_거시'!$B424)),'자료_거시'!$B424,"")</f>
        <v/>
      </c>
      <c r="Q442">
        <f>IF(ISNUMBER(P442),'자료_거시'!$A424,"")</f>
        <v/>
      </c>
      <c r="R442">
        <f>IF(ISNUMBER(Q442),IF(Q442&gt;$L$5,P442,""),"")</f>
        <v/>
      </c>
      <c r="S442">
        <f>IF(ISNUMBER('자료_거시'!$E424),'자료_거시'!$E424,S441)</f>
        <v/>
      </c>
      <c r="T442">
        <f>IF(AND(ISNUMBER('자료_거시'!$D424),ISNUMBER('자료_거시'!$E424)),IFERROR('자료_거시'!$E424-INDEX($S$21:$S$4020,MATCH(EDATE('자료_거시'!$D424,-'설정'!$B$17),'자료_거시'!$D$3:INDEX('자료_거시'!$D$3:$D$4002,$K$6),1)),""),"")</f>
        <v/>
      </c>
      <c r="U442">
        <f>IF(ISNUMBER(T442),'자료_거시'!$D424,"")</f>
        <v/>
      </c>
      <c r="V442">
        <f>IF(ISNUMBER(U442),IF(U442&gt;$L$6,T442,""),"")</f>
        <v/>
      </c>
      <c r="W442">
        <f>IF(AND(ISNUMBER('자료_거시'!$G424),ISNUMBER('자료_거시'!$H424)),'자료_거시'!$H424,"")</f>
        <v/>
      </c>
      <c r="X442">
        <f>IF(ISNUMBER(W442),'자료_거시'!$G424,"")</f>
        <v/>
      </c>
      <c r="Y442">
        <f>IF(ISNUMBER(X442),IF(X442&gt;$L$7,W442,""),"")</f>
        <v/>
      </c>
      <c r="Z442">
        <f>IF(ISNUMBER('자료_거시'!$K424),'자료_거시'!$K424,Z441)</f>
        <v/>
      </c>
      <c r="AA442">
        <f>IF(AND(ISNUMBER('자료_거시'!$J424),ISNUMBER('자료_거시'!$K424)),IFERROR('자료_거시'!$K424/INDEX($Z$21:$Z$4020,MATCH(EDATE('자료_거시'!$J424,-'설정'!$B$17),'자료_거시'!$J$3:INDEX('자료_거시'!$J$3:$J$4002,$K$8),1))-1,""),"")</f>
        <v/>
      </c>
      <c r="AB442">
        <f>IF(ISNUMBER(AA442),'자료_거시'!$J424,"")</f>
        <v/>
      </c>
      <c r="AC442">
        <f>IF(ISNUMBER(AB442),IF(AB442&gt;$L$8,AA442,""),"")</f>
        <v/>
      </c>
      <c r="AD442">
        <f>IF(AND(ISNUMBER('자료_거시'!$M424),ISNUMBER('자료_거시'!$N424)),1,0)</f>
        <v/>
      </c>
      <c r="AE442">
        <f>IF(AND(ISNUMBER('자료_거시'!$M424),ISNUMBER('자료_거시'!$N424)),IF(AND(SUMIFS($AD$21:$AD$620,'자료_거시'!$M$3:$M$602,"&gt;"&amp;EDATE('자료_거시'!$M424,-'설정'!$B$17),'자료_거시'!$M$3:$M$602,"&lt;="&amp;'자료_거시'!$M424)=3,SUMIFS($AD$21:$AD$620,'자료_거시'!$M$3:$M$602,"&gt;"&amp;EDATE('자료_거시'!$M424,-12-'설정'!$B$17),'자료_거시'!$M$3:$M$602,"&lt;="&amp;EDATE('자료_거시'!$M424,-12))=3),IFERROR(SUMIFS('자료_거시'!$N$3:$N$602,'자료_거시'!$M$3:$M$602,"&gt;"&amp;EDATE('자료_거시'!$M424,-'설정'!$B$17),'자료_거시'!$M$3:$M$602,"&lt;="&amp;'자료_거시'!$M424)/SUMIFS('자료_거시'!$N$3:$N$602,'자료_거시'!$M$3:$M$602,"&gt;"&amp;EDATE('자료_거시'!$M424,-12-'설정'!$B$17),'자료_거시'!$M$3:$M$602,"&lt;="&amp;EDATE('자료_거시'!$M424,-12))-1,""),""),"")</f>
        <v/>
      </c>
      <c r="AF442">
        <f>IF(ISNUMBER(AE442),'자료_거시'!$M424,"")</f>
        <v/>
      </c>
      <c r="AG442">
        <f>IF(ISNUMBER(AF442),IF(AF442&gt;$L$9,AE442,""),"")</f>
        <v/>
      </c>
    </row>
    <row r="443">
      <c r="P443">
        <f>IF(AND(ISNUMBER('자료_거시'!$A425),ISNUMBER('자료_거시'!$B425)),'자료_거시'!$B425,"")</f>
        <v/>
      </c>
      <c r="Q443">
        <f>IF(ISNUMBER(P443),'자료_거시'!$A425,"")</f>
        <v/>
      </c>
      <c r="R443">
        <f>IF(ISNUMBER(Q443),IF(Q443&gt;$L$5,P443,""),"")</f>
        <v/>
      </c>
      <c r="S443">
        <f>IF(ISNUMBER('자료_거시'!$E425),'자료_거시'!$E425,S442)</f>
        <v/>
      </c>
      <c r="T443">
        <f>IF(AND(ISNUMBER('자료_거시'!$D425),ISNUMBER('자료_거시'!$E425)),IFERROR('자료_거시'!$E425-INDEX($S$21:$S$4020,MATCH(EDATE('자료_거시'!$D425,-'설정'!$B$17),'자료_거시'!$D$3:INDEX('자료_거시'!$D$3:$D$4002,$K$6),1)),""),"")</f>
        <v/>
      </c>
      <c r="U443">
        <f>IF(ISNUMBER(T443),'자료_거시'!$D425,"")</f>
        <v/>
      </c>
      <c r="V443">
        <f>IF(ISNUMBER(U443),IF(U443&gt;$L$6,T443,""),"")</f>
        <v/>
      </c>
      <c r="W443">
        <f>IF(AND(ISNUMBER('자료_거시'!$G425),ISNUMBER('자료_거시'!$H425)),'자료_거시'!$H425,"")</f>
        <v/>
      </c>
      <c r="X443">
        <f>IF(ISNUMBER(W443),'자료_거시'!$G425,"")</f>
        <v/>
      </c>
      <c r="Y443">
        <f>IF(ISNUMBER(X443),IF(X443&gt;$L$7,W443,""),"")</f>
        <v/>
      </c>
      <c r="Z443">
        <f>IF(ISNUMBER('자료_거시'!$K425),'자료_거시'!$K425,Z442)</f>
        <v/>
      </c>
      <c r="AA443">
        <f>IF(AND(ISNUMBER('자료_거시'!$J425),ISNUMBER('자료_거시'!$K425)),IFERROR('자료_거시'!$K425/INDEX($Z$21:$Z$4020,MATCH(EDATE('자료_거시'!$J425,-'설정'!$B$17),'자료_거시'!$J$3:INDEX('자료_거시'!$J$3:$J$4002,$K$8),1))-1,""),"")</f>
        <v/>
      </c>
      <c r="AB443">
        <f>IF(ISNUMBER(AA443),'자료_거시'!$J425,"")</f>
        <v/>
      </c>
      <c r="AC443">
        <f>IF(ISNUMBER(AB443),IF(AB443&gt;$L$8,AA443,""),"")</f>
        <v/>
      </c>
      <c r="AD443">
        <f>IF(AND(ISNUMBER('자료_거시'!$M425),ISNUMBER('자료_거시'!$N425)),1,0)</f>
        <v/>
      </c>
      <c r="AE443">
        <f>IF(AND(ISNUMBER('자료_거시'!$M425),ISNUMBER('자료_거시'!$N425)),IF(AND(SUMIFS($AD$21:$AD$620,'자료_거시'!$M$3:$M$602,"&gt;"&amp;EDATE('자료_거시'!$M425,-'설정'!$B$17),'자료_거시'!$M$3:$M$602,"&lt;="&amp;'자료_거시'!$M425)=3,SUMIFS($AD$21:$AD$620,'자료_거시'!$M$3:$M$602,"&gt;"&amp;EDATE('자료_거시'!$M425,-12-'설정'!$B$17),'자료_거시'!$M$3:$M$602,"&lt;="&amp;EDATE('자료_거시'!$M425,-12))=3),IFERROR(SUMIFS('자료_거시'!$N$3:$N$602,'자료_거시'!$M$3:$M$602,"&gt;"&amp;EDATE('자료_거시'!$M425,-'설정'!$B$17),'자료_거시'!$M$3:$M$602,"&lt;="&amp;'자료_거시'!$M425)/SUMIFS('자료_거시'!$N$3:$N$602,'자료_거시'!$M$3:$M$602,"&gt;"&amp;EDATE('자료_거시'!$M425,-12-'설정'!$B$17),'자료_거시'!$M$3:$M$602,"&lt;="&amp;EDATE('자료_거시'!$M425,-12))-1,""),""),"")</f>
        <v/>
      </c>
      <c r="AF443">
        <f>IF(ISNUMBER(AE443),'자료_거시'!$M425,"")</f>
        <v/>
      </c>
      <c r="AG443">
        <f>IF(ISNUMBER(AF443),IF(AF443&gt;$L$9,AE443,""),"")</f>
        <v/>
      </c>
    </row>
    <row r="444">
      <c r="P444">
        <f>IF(AND(ISNUMBER('자료_거시'!$A426),ISNUMBER('자료_거시'!$B426)),'자료_거시'!$B426,"")</f>
        <v/>
      </c>
      <c r="Q444">
        <f>IF(ISNUMBER(P444),'자료_거시'!$A426,"")</f>
        <v/>
      </c>
      <c r="R444">
        <f>IF(ISNUMBER(Q444),IF(Q444&gt;$L$5,P444,""),"")</f>
        <v/>
      </c>
      <c r="S444">
        <f>IF(ISNUMBER('자료_거시'!$E426),'자료_거시'!$E426,S443)</f>
        <v/>
      </c>
      <c r="T444">
        <f>IF(AND(ISNUMBER('자료_거시'!$D426),ISNUMBER('자료_거시'!$E426)),IFERROR('자료_거시'!$E426-INDEX($S$21:$S$4020,MATCH(EDATE('자료_거시'!$D426,-'설정'!$B$17),'자료_거시'!$D$3:INDEX('자료_거시'!$D$3:$D$4002,$K$6),1)),""),"")</f>
        <v/>
      </c>
      <c r="U444">
        <f>IF(ISNUMBER(T444),'자료_거시'!$D426,"")</f>
        <v/>
      </c>
      <c r="V444">
        <f>IF(ISNUMBER(U444),IF(U444&gt;$L$6,T444,""),"")</f>
        <v/>
      </c>
      <c r="W444">
        <f>IF(AND(ISNUMBER('자료_거시'!$G426),ISNUMBER('자료_거시'!$H426)),'자료_거시'!$H426,"")</f>
        <v/>
      </c>
      <c r="X444">
        <f>IF(ISNUMBER(W444),'자료_거시'!$G426,"")</f>
        <v/>
      </c>
      <c r="Y444">
        <f>IF(ISNUMBER(X444),IF(X444&gt;$L$7,W444,""),"")</f>
        <v/>
      </c>
      <c r="Z444">
        <f>IF(ISNUMBER('자료_거시'!$K426),'자료_거시'!$K426,Z443)</f>
        <v/>
      </c>
      <c r="AA444">
        <f>IF(AND(ISNUMBER('자료_거시'!$J426),ISNUMBER('자료_거시'!$K426)),IFERROR('자료_거시'!$K426/INDEX($Z$21:$Z$4020,MATCH(EDATE('자료_거시'!$J426,-'설정'!$B$17),'자료_거시'!$J$3:INDEX('자료_거시'!$J$3:$J$4002,$K$8),1))-1,""),"")</f>
        <v/>
      </c>
      <c r="AB444">
        <f>IF(ISNUMBER(AA444),'자료_거시'!$J426,"")</f>
        <v/>
      </c>
      <c r="AC444">
        <f>IF(ISNUMBER(AB444),IF(AB444&gt;$L$8,AA444,""),"")</f>
        <v/>
      </c>
      <c r="AD444">
        <f>IF(AND(ISNUMBER('자료_거시'!$M426),ISNUMBER('자료_거시'!$N426)),1,0)</f>
        <v/>
      </c>
      <c r="AE444">
        <f>IF(AND(ISNUMBER('자료_거시'!$M426),ISNUMBER('자료_거시'!$N426)),IF(AND(SUMIFS($AD$21:$AD$620,'자료_거시'!$M$3:$M$602,"&gt;"&amp;EDATE('자료_거시'!$M426,-'설정'!$B$17),'자료_거시'!$M$3:$M$602,"&lt;="&amp;'자료_거시'!$M426)=3,SUMIFS($AD$21:$AD$620,'자료_거시'!$M$3:$M$602,"&gt;"&amp;EDATE('자료_거시'!$M426,-12-'설정'!$B$17),'자료_거시'!$M$3:$M$602,"&lt;="&amp;EDATE('자료_거시'!$M426,-12))=3),IFERROR(SUMIFS('자료_거시'!$N$3:$N$602,'자료_거시'!$M$3:$M$602,"&gt;"&amp;EDATE('자료_거시'!$M426,-'설정'!$B$17),'자료_거시'!$M$3:$M$602,"&lt;="&amp;'자료_거시'!$M426)/SUMIFS('자료_거시'!$N$3:$N$602,'자료_거시'!$M$3:$M$602,"&gt;"&amp;EDATE('자료_거시'!$M426,-12-'설정'!$B$17),'자료_거시'!$M$3:$M$602,"&lt;="&amp;EDATE('자료_거시'!$M426,-12))-1,""),""),"")</f>
        <v/>
      </c>
      <c r="AF444">
        <f>IF(ISNUMBER(AE444),'자료_거시'!$M426,"")</f>
        <v/>
      </c>
      <c r="AG444">
        <f>IF(ISNUMBER(AF444),IF(AF444&gt;$L$9,AE444,""),"")</f>
        <v/>
      </c>
    </row>
    <row r="445">
      <c r="P445">
        <f>IF(AND(ISNUMBER('자료_거시'!$A427),ISNUMBER('자료_거시'!$B427)),'자료_거시'!$B427,"")</f>
        <v/>
      </c>
      <c r="Q445">
        <f>IF(ISNUMBER(P445),'자료_거시'!$A427,"")</f>
        <v/>
      </c>
      <c r="R445">
        <f>IF(ISNUMBER(Q445),IF(Q445&gt;$L$5,P445,""),"")</f>
        <v/>
      </c>
      <c r="S445">
        <f>IF(ISNUMBER('자료_거시'!$E427),'자료_거시'!$E427,S444)</f>
        <v/>
      </c>
      <c r="T445">
        <f>IF(AND(ISNUMBER('자료_거시'!$D427),ISNUMBER('자료_거시'!$E427)),IFERROR('자료_거시'!$E427-INDEX($S$21:$S$4020,MATCH(EDATE('자료_거시'!$D427,-'설정'!$B$17),'자료_거시'!$D$3:INDEX('자료_거시'!$D$3:$D$4002,$K$6),1)),""),"")</f>
        <v/>
      </c>
      <c r="U445">
        <f>IF(ISNUMBER(T445),'자료_거시'!$D427,"")</f>
        <v/>
      </c>
      <c r="V445">
        <f>IF(ISNUMBER(U445),IF(U445&gt;$L$6,T445,""),"")</f>
        <v/>
      </c>
      <c r="W445">
        <f>IF(AND(ISNUMBER('자료_거시'!$G427),ISNUMBER('자료_거시'!$H427)),'자료_거시'!$H427,"")</f>
        <v/>
      </c>
      <c r="X445">
        <f>IF(ISNUMBER(W445),'자료_거시'!$G427,"")</f>
        <v/>
      </c>
      <c r="Y445">
        <f>IF(ISNUMBER(X445),IF(X445&gt;$L$7,W445,""),"")</f>
        <v/>
      </c>
      <c r="Z445">
        <f>IF(ISNUMBER('자료_거시'!$K427),'자료_거시'!$K427,Z444)</f>
        <v/>
      </c>
      <c r="AA445">
        <f>IF(AND(ISNUMBER('자료_거시'!$J427),ISNUMBER('자료_거시'!$K427)),IFERROR('자료_거시'!$K427/INDEX($Z$21:$Z$4020,MATCH(EDATE('자료_거시'!$J427,-'설정'!$B$17),'자료_거시'!$J$3:INDEX('자료_거시'!$J$3:$J$4002,$K$8),1))-1,""),"")</f>
        <v/>
      </c>
      <c r="AB445">
        <f>IF(ISNUMBER(AA445),'자료_거시'!$J427,"")</f>
        <v/>
      </c>
      <c r="AC445">
        <f>IF(ISNUMBER(AB445),IF(AB445&gt;$L$8,AA445,""),"")</f>
        <v/>
      </c>
      <c r="AD445">
        <f>IF(AND(ISNUMBER('자료_거시'!$M427),ISNUMBER('자료_거시'!$N427)),1,0)</f>
        <v/>
      </c>
      <c r="AE445">
        <f>IF(AND(ISNUMBER('자료_거시'!$M427),ISNUMBER('자료_거시'!$N427)),IF(AND(SUMIFS($AD$21:$AD$620,'자료_거시'!$M$3:$M$602,"&gt;"&amp;EDATE('자료_거시'!$M427,-'설정'!$B$17),'자료_거시'!$M$3:$M$602,"&lt;="&amp;'자료_거시'!$M427)=3,SUMIFS($AD$21:$AD$620,'자료_거시'!$M$3:$M$602,"&gt;"&amp;EDATE('자료_거시'!$M427,-12-'설정'!$B$17),'자료_거시'!$M$3:$M$602,"&lt;="&amp;EDATE('자료_거시'!$M427,-12))=3),IFERROR(SUMIFS('자료_거시'!$N$3:$N$602,'자료_거시'!$M$3:$M$602,"&gt;"&amp;EDATE('자료_거시'!$M427,-'설정'!$B$17),'자료_거시'!$M$3:$M$602,"&lt;="&amp;'자료_거시'!$M427)/SUMIFS('자료_거시'!$N$3:$N$602,'자료_거시'!$M$3:$M$602,"&gt;"&amp;EDATE('자료_거시'!$M427,-12-'설정'!$B$17),'자료_거시'!$M$3:$M$602,"&lt;="&amp;EDATE('자료_거시'!$M427,-12))-1,""),""),"")</f>
        <v/>
      </c>
      <c r="AF445">
        <f>IF(ISNUMBER(AE445),'자료_거시'!$M427,"")</f>
        <v/>
      </c>
      <c r="AG445">
        <f>IF(ISNUMBER(AF445),IF(AF445&gt;$L$9,AE445,""),"")</f>
        <v/>
      </c>
    </row>
    <row r="446">
      <c r="P446">
        <f>IF(AND(ISNUMBER('자료_거시'!$A428),ISNUMBER('자료_거시'!$B428)),'자료_거시'!$B428,"")</f>
        <v/>
      </c>
      <c r="Q446">
        <f>IF(ISNUMBER(P446),'자료_거시'!$A428,"")</f>
        <v/>
      </c>
      <c r="R446">
        <f>IF(ISNUMBER(Q446),IF(Q446&gt;$L$5,P446,""),"")</f>
        <v/>
      </c>
      <c r="S446">
        <f>IF(ISNUMBER('자료_거시'!$E428),'자료_거시'!$E428,S445)</f>
        <v/>
      </c>
      <c r="T446">
        <f>IF(AND(ISNUMBER('자료_거시'!$D428),ISNUMBER('자료_거시'!$E428)),IFERROR('자료_거시'!$E428-INDEX($S$21:$S$4020,MATCH(EDATE('자료_거시'!$D428,-'설정'!$B$17),'자료_거시'!$D$3:INDEX('자료_거시'!$D$3:$D$4002,$K$6),1)),""),"")</f>
        <v/>
      </c>
      <c r="U446">
        <f>IF(ISNUMBER(T446),'자료_거시'!$D428,"")</f>
        <v/>
      </c>
      <c r="V446">
        <f>IF(ISNUMBER(U446),IF(U446&gt;$L$6,T446,""),"")</f>
        <v/>
      </c>
      <c r="W446">
        <f>IF(AND(ISNUMBER('자료_거시'!$G428),ISNUMBER('자료_거시'!$H428)),'자료_거시'!$H428,"")</f>
        <v/>
      </c>
      <c r="X446">
        <f>IF(ISNUMBER(W446),'자료_거시'!$G428,"")</f>
        <v/>
      </c>
      <c r="Y446">
        <f>IF(ISNUMBER(X446),IF(X446&gt;$L$7,W446,""),"")</f>
        <v/>
      </c>
      <c r="Z446">
        <f>IF(ISNUMBER('자료_거시'!$K428),'자료_거시'!$K428,Z445)</f>
        <v/>
      </c>
      <c r="AA446">
        <f>IF(AND(ISNUMBER('자료_거시'!$J428),ISNUMBER('자료_거시'!$K428)),IFERROR('자료_거시'!$K428/INDEX($Z$21:$Z$4020,MATCH(EDATE('자료_거시'!$J428,-'설정'!$B$17),'자료_거시'!$J$3:INDEX('자료_거시'!$J$3:$J$4002,$K$8),1))-1,""),"")</f>
        <v/>
      </c>
      <c r="AB446">
        <f>IF(ISNUMBER(AA446),'자료_거시'!$J428,"")</f>
        <v/>
      </c>
      <c r="AC446">
        <f>IF(ISNUMBER(AB446),IF(AB446&gt;$L$8,AA446,""),"")</f>
        <v/>
      </c>
      <c r="AD446">
        <f>IF(AND(ISNUMBER('자료_거시'!$M428),ISNUMBER('자료_거시'!$N428)),1,0)</f>
        <v/>
      </c>
      <c r="AE446">
        <f>IF(AND(ISNUMBER('자료_거시'!$M428),ISNUMBER('자료_거시'!$N428)),IF(AND(SUMIFS($AD$21:$AD$620,'자료_거시'!$M$3:$M$602,"&gt;"&amp;EDATE('자료_거시'!$M428,-'설정'!$B$17),'자료_거시'!$M$3:$M$602,"&lt;="&amp;'자료_거시'!$M428)=3,SUMIFS($AD$21:$AD$620,'자료_거시'!$M$3:$M$602,"&gt;"&amp;EDATE('자료_거시'!$M428,-12-'설정'!$B$17),'자료_거시'!$M$3:$M$602,"&lt;="&amp;EDATE('자료_거시'!$M428,-12))=3),IFERROR(SUMIFS('자료_거시'!$N$3:$N$602,'자료_거시'!$M$3:$M$602,"&gt;"&amp;EDATE('자료_거시'!$M428,-'설정'!$B$17),'자료_거시'!$M$3:$M$602,"&lt;="&amp;'자료_거시'!$M428)/SUMIFS('자료_거시'!$N$3:$N$602,'자료_거시'!$M$3:$M$602,"&gt;"&amp;EDATE('자료_거시'!$M428,-12-'설정'!$B$17),'자료_거시'!$M$3:$M$602,"&lt;="&amp;EDATE('자료_거시'!$M428,-12))-1,""),""),"")</f>
        <v/>
      </c>
      <c r="AF446">
        <f>IF(ISNUMBER(AE446),'자료_거시'!$M428,"")</f>
        <v/>
      </c>
      <c r="AG446">
        <f>IF(ISNUMBER(AF446),IF(AF446&gt;$L$9,AE446,""),"")</f>
        <v/>
      </c>
    </row>
    <row r="447">
      <c r="P447">
        <f>IF(AND(ISNUMBER('자료_거시'!$A429),ISNUMBER('자료_거시'!$B429)),'자료_거시'!$B429,"")</f>
        <v/>
      </c>
      <c r="Q447">
        <f>IF(ISNUMBER(P447),'자료_거시'!$A429,"")</f>
        <v/>
      </c>
      <c r="R447">
        <f>IF(ISNUMBER(Q447),IF(Q447&gt;$L$5,P447,""),"")</f>
        <v/>
      </c>
      <c r="S447">
        <f>IF(ISNUMBER('자료_거시'!$E429),'자료_거시'!$E429,S446)</f>
        <v/>
      </c>
      <c r="T447">
        <f>IF(AND(ISNUMBER('자료_거시'!$D429),ISNUMBER('자료_거시'!$E429)),IFERROR('자료_거시'!$E429-INDEX($S$21:$S$4020,MATCH(EDATE('자료_거시'!$D429,-'설정'!$B$17),'자료_거시'!$D$3:INDEX('자료_거시'!$D$3:$D$4002,$K$6),1)),""),"")</f>
        <v/>
      </c>
      <c r="U447">
        <f>IF(ISNUMBER(T447),'자료_거시'!$D429,"")</f>
        <v/>
      </c>
      <c r="V447">
        <f>IF(ISNUMBER(U447),IF(U447&gt;$L$6,T447,""),"")</f>
        <v/>
      </c>
      <c r="W447">
        <f>IF(AND(ISNUMBER('자료_거시'!$G429),ISNUMBER('자료_거시'!$H429)),'자료_거시'!$H429,"")</f>
        <v/>
      </c>
      <c r="X447">
        <f>IF(ISNUMBER(W447),'자료_거시'!$G429,"")</f>
        <v/>
      </c>
      <c r="Y447">
        <f>IF(ISNUMBER(X447),IF(X447&gt;$L$7,W447,""),"")</f>
        <v/>
      </c>
      <c r="Z447">
        <f>IF(ISNUMBER('자료_거시'!$K429),'자료_거시'!$K429,Z446)</f>
        <v/>
      </c>
      <c r="AA447">
        <f>IF(AND(ISNUMBER('자료_거시'!$J429),ISNUMBER('자료_거시'!$K429)),IFERROR('자료_거시'!$K429/INDEX($Z$21:$Z$4020,MATCH(EDATE('자료_거시'!$J429,-'설정'!$B$17),'자료_거시'!$J$3:INDEX('자료_거시'!$J$3:$J$4002,$K$8),1))-1,""),"")</f>
        <v/>
      </c>
      <c r="AB447">
        <f>IF(ISNUMBER(AA447),'자료_거시'!$J429,"")</f>
        <v/>
      </c>
      <c r="AC447">
        <f>IF(ISNUMBER(AB447),IF(AB447&gt;$L$8,AA447,""),"")</f>
        <v/>
      </c>
      <c r="AD447">
        <f>IF(AND(ISNUMBER('자료_거시'!$M429),ISNUMBER('자료_거시'!$N429)),1,0)</f>
        <v/>
      </c>
      <c r="AE447">
        <f>IF(AND(ISNUMBER('자료_거시'!$M429),ISNUMBER('자료_거시'!$N429)),IF(AND(SUMIFS($AD$21:$AD$620,'자료_거시'!$M$3:$M$602,"&gt;"&amp;EDATE('자료_거시'!$M429,-'설정'!$B$17),'자료_거시'!$M$3:$M$602,"&lt;="&amp;'자료_거시'!$M429)=3,SUMIFS($AD$21:$AD$620,'자료_거시'!$M$3:$M$602,"&gt;"&amp;EDATE('자료_거시'!$M429,-12-'설정'!$B$17),'자료_거시'!$M$3:$M$602,"&lt;="&amp;EDATE('자료_거시'!$M429,-12))=3),IFERROR(SUMIFS('자료_거시'!$N$3:$N$602,'자료_거시'!$M$3:$M$602,"&gt;"&amp;EDATE('자료_거시'!$M429,-'설정'!$B$17),'자료_거시'!$M$3:$M$602,"&lt;="&amp;'자료_거시'!$M429)/SUMIFS('자료_거시'!$N$3:$N$602,'자료_거시'!$M$3:$M$602,"&gt;"&amp;EDATE('자료_거시'!$M429,-12-'설정'!$B$17),'자료_거시'!$M$3:$M$602,"&lt;="&amp;EDATE('자료_거시'!$M429,-12))-1,""),""),"")</f>
        <v/>
      </c>
      <c r="AF447">
        <f>IF(ISNUMBER(AE447),'자료_거시'!$M429,"")</f>
        <v/>
      </c>
      <c r="AG447">
        <f>IF(ISNUMBER(AF447),IF(AF447&gt;$L$9,AE447,""),"")</f>
        <v/>
      </c>
    </row>
    <row r="448">
      <c r="P448">
        <f>IF(AND(ISNUMBER('자료_거시'!$A430),ISNUMBER('자료_거시'!$B430)),'자료_거시'!$B430,"")</f>
        <v/>
      </c>
      <c r="Q448">
        <f>IF(ISNUMBER(P448),'자료_거시'!$A430,"")</f>
        <v/>
      </c>
      <c r="R448">
        <f>IF(ISNUMBER(Q448),IF(Q448&gt;$L$5,P448,""),"")</f>
        <v/>
      </c>
      <c r="S448">
        <f>IF(ISNUMBER('자료_거시'!$E430),'자료_거시'!$E430,S447)</f>
        <v/>
      </c>
      <c r="T448">
        <f>IF(AND(ISNUMBER('자료_거시'!$D430),ISNUMBER('자료_거시'!$E430)),IFERROR('자료_거시'!$E430-INDEX($S$21:$S$4020,MATCH(EDATE('자료_거시'!$D430,-'설정'!$B$17),'자료_거시'!$D$3:INDEX('자료_거시'!$D$3:$D$4002,$K$6),1)),""),"")</f>
        <v/>
      </c>
      <c r="U448">
        <f>IF(ISNUMBER(T448),'자료_거시'!$D430,"")</f>
        <v/>
      </c>
      <c r="V448">
        <f>IF(ISNUMBER(U448),IF(U448&gt;$L$6,T448,""),"")</f>
        <v/>
      </c>
      <c r="W448">
        <f>IF(AND(ISNUMBER('자료_거시'!$G430),ISNUMBER('자료_거시'!$H430)),'자료_거시'!$H430,"")</f>
        <v/>
      </c>
      <c r="X448">
        <f>IF(ISNUMBER(W448),'자료_거시'!$G430,"")</f>
        <v/>
      </c>
      <c r="Y448">
        <f>IF(ISNUMBER(X448),IF(X448&gt;$L$7,W448,""),"")</f>
        <v/>
      </c>
      <c r="Z448">
        <f>IF(ISNUMBER('자료_거시'!$K430),'자료_거시'!$K430,Z447)</f>
        <v/>
      </c>
      <c r="AA448">
        <f>IF(AND(ISNUMBER('자료_거시'!$J430),ISNUMBER('자료_거시'!$K430)),IFERROR('자료_거시'!$K430/INDEX($Z$21:$Z$4020,MATCH(EDATE('자료_거시'!$J430,-'설정'!$B$17),'자료_거시'!$J$3:INDEX('자료_거시'!$J$3:$J$4002,$K$8),1))-1,""),"")</f>
        <v/>
      </c>
      <c r="AB448">
        <f>IF(ISNUMBER(AA448),'자료_거시'!$J430,"")</f>
        <v/>
      </c>
      <c r="AC448">
        <f>IF(ISNUMBER(AB448),IF(AB448&gt;$L$8,AA448,""),"")</f>
        <v/>
      </c>
      <c r="AD448">
        <f>IF(AND(ISNUMBER('자료_거시'!$M430),ISNUMBER('자료_거시'!$N430)),1,0)</f>
        <v/>
      </c>
      <c r="AE448">
        <f>IF(AND(ISNUMBER('자료_거시'!$M430),ISNUMBER('자료_거시'!$N430)),IF(AND(SUMIFS($AD$21:$AD$620,'자료_거시'!$M$3:$M$602,"&gt;"&amp;EDATE('자료_거시'!$M430,-'설정'!$B$17),'자료_거시'!$M$3:$M$602,"&lt;="&amp;'자료_거시'!$M430)=3,SUMIFS($AD$21:$AD$620,'자료_거시'!$M$3:$M$602,"&gt;"&amp;EDATE('자료_거시'!$M430,-12-'설정'!$B$17),'자료_거시'!$M$3:$M$602,"&lt;="&amp;EDATE('자료_거시'!$M430,-12))=3),IFERROR(SUMIFS('자료_거시'!$N$3:$N$602,'자료_거시'!$M$3:$M$602,"&gt;"&amp;EDATE('자료_거시'!$M430,-'설정'!$B$17),'자료_거시'!$M$3:$M$602,"&lt;="&amp;'자료_거시'!$M430)/SUMIFS('자료_거시'!$N$3:$N$602,'자료_거시'!$M$3:$M$602,"&gt;"&amp;EDATE('자료_거시'!$M430,-12-'설정'!$B$17),'자료_거시'!$M$3:$M$602,"&lt;="&amp;EDATE('자료_거시'!$M430,-12))-1,""),""),"")</f>
        <v/>
      </c>
      <c r="AF448">
        <f>IF(ISNUMBER(AE448),'자료_거시'!$M430,"")</f>
        <v/>
      </c>
      <c r="AG448">
        <f>IF(ISNUMBER(AF448),IF(AF448&gt;$L$9,AE448,""),"")</f>
        <v/>
      </c>
    </row>
    <row r="449">
      <c r="P449">
        <f>IF(AND(ISNUMBER('자료_거시'!$A431),ISNUMBER('자료_거시'!$B431)),'자료_거시'!$B431,"")</f>
        <v/>
      </c>
      <c r="Q449">
        <f>IF(ISNUMBER(P449),'자료_거시'!$A431,"")</f>
        <v/>
      </c>
      <c r="R449">
        <f>IF(ISNUMBER(Q449),IF(Q449&gt;$L$5,P449,""),"")</f>
        <v/>
      </c>
      <c r="S449">
        <f>IF(ISNUMBER('자료_거시'!$E431),'자료_거시'!$E431,S448)</f>
        <v/>
      </c>
      <c r="T449">
        <f>IF(AND(ISNUMBER('자료_거시'!$D431),ISNUMBER('자료_거시'!$E431)),IFERROR('자료_거시'!$E431-INDEX($S$21:$S$4020,MATCH(EDATE('자료_거시'!$D431,-'설정'!$B$17),'자료_거시'!$D$3:INDEX('자료_거시'!$D$3:$D$4002,$K$6),1)),""),"")</f>
        <v/>
      </c>
      <c r="U449">
        <f>IF(ISNUMBER(T449),'자료_거시'!$D431,"")</f>
        <v/>
      </c>
      <c r="V449">
        <f>IF(ISNUMBER(U449),IF(U449&gt;$L$6,T449,""),"")</f>
        <v/>
      </c>
      <c r="W449">
        <f>IF(AND(ISNUMBER('자료_거시'!$G431),ISNUMBER('자료_거시'!$H431)),'자료_거시'!$H431,"")</f>
        <v/>
      </c>
      <c r="X449">
        <f>IF(ISNUMBER(W449),'자료_거시'!$G431,"")</f>
        <v/>
      </c>
      <c r="Y449">
        <f>IF(ISNUMBER(X449),IF(X449&gt;$L$7,W449,""),"")</f>
        <v/>
      </c>
      <c r="Z449">
        <f>IF(ISNUMBER('자료_거시'!$K431),'자료_거시'!$K431,Z448)</f>
        <v/>
      </c>
      <c r="AA449">
        <f>IF(AND(ISNUMBER('자료_거시'!$J431),ISNUMBER('자료_거시'!$K431)),IFERROR('자료_거시'!$K431/INDEX($Z$21:$Z$4020,MATCH(EDATE('자료_거시'!$J431,-'설정'!$B$17),'자료_거시'!$J$3:INDEX('자료_거시'!$J$3:$J$4002,$K$8),1))-1,""),"")</f>
        <v/>
      </c>
      <c r="AB449">
        <f>IF(ISNUMBER(AA449),'자료_거시'!$J431,"")</f>
        <v/>
      </c>
      <c r="AC449">
        <f>IF(ISNUMBER(AB449),IF(AB449&gt;$L$8,AA449,""),"")</f>
        <v/>
      </c>
      <c r="AD449">
        <f>IF(AND(ISNUMBER('자료_거시'!$M431),ISNUMBER('자료_거시'!$N431)),1,0)</f>
        <v/>
      </c>
      <c r="AE449">
        <f>IF(AND(ISNUMBER('자료_거시'!$M431),ISNUMBER('자료_거시'!$N431)),IF(AND(SUMIFS($AD$21:$AD$620,'자료_거시'!$M$3:$M$602,"&gt;"&amp;EDATE('자료_거시'!$M431,-'설정'!$B$17),'자료_거시'!$M$3:$M$602,"&lt;="&amp;'자료_거시'!$M431)=3,SUMIFS($AD$21:$AD$620,'자료_거시'!$M$3:$M$602,"&gt;"&amp;EDATE('자료_거시'!$M431,-12-'설정'!$B$17),'자료_거시'!$M$3:$M$602,"&lt;="&amp;EDATE('자료_거시'!$M431,-12))=3),IFERROR(SUMIFS('자료_거시'!$N$3:$N$602,'자료_거시'!$M$3:$M$602,"&gt;"&amp;EDATE('자료_거시'!$M431,-'설정'!$B$17),'자료_거시'!$M$3:$M$602,"&lt;="&amp;'자료_거시'!$M431)/SUMIFS('자료_거시'!$N$3:$N$602,'자료_거시'!$M$3:$M$602,"&gt;"&amp;EDATE('자료_거시'!$M431,-12-'설정'!$B$17),'자료_거시'!$M$3:$M$602,"&lt;="&amp;EDATE('자료_거시'!$M431,-12))-1,""),""),"")</f>
        <v/>
      </c>
      <c r="AF449">
        <f>IF(ISNUMBER(AE449),'자료_거시'!$M431,"")</f>
        <v/>
      </c>
      <c r="AG449">
        <f>IF(ISNUMBER(AF449),IF(AF449&gt;$L$9,AE449,""),"")</f>
        <v/>
      </c>
    </row>
    <row r="450">
      <c r="P450">
        <f>IF(AND(ISNUMBER('자료_거시'!$A432),ISNUMBER('자료_거시'!$B432)),'자료_거시'!$B432,"")</f>
        <v/>
      </c>
      <c r="Q450">
        <f>IF(ISNUMBER(P450),'자료_거시'!$A432,"")</f>
        <v/>
      </c>
      <c r="R450">
        <f>IF(ISNUMBER(Q450),IF(Q450&gt;$L$5,P450,""),"")</f>
        <v/>
      </c>
      <c r="S450">
        <f>IF(ISNUMBER('자료_거시'!$E432),'자료_거시'!$E432,S449)</f>
        <v/>
      </c>
      <c r="T450">
        <f>IF(AND(ISNUMBER('자료_거시'!$D432),ISNUMBER('자료_거시'!$E432)),IFERROR('자료_거시'!$E432-INDEX($S$21:$S$4020,MATCH(EDATE('자료_거시'!$D432,-'설정'!$B$17),'자료_거시'!$D$3:INDEX('자료_거시'!$D$3:$D$4002,$K$6),1)),""),"")</f>
        <v/>
      </c>
      <c r="U450">
        <f>IF(ISNUMBER(T450),'자료_거시'!$D432,"")</f>
        <v/>
      </c>
      <c r="V450">
        <f>IF(ISNUMBER(U450),IF(U450&gt;$L$6,T450,""),"")</f>
        <v/>
      </c>
      <c r="W450">
        <f>IF(AND(ISNUMBER('자료_거시'!$G432),ISNUMBER('자료_거시'!$H432)),'자료_거시'!$H432,"")</f>
        <v/>
      </c>
      <c r="X450">
        <f>IF(ISNUMBER(W450),'자료_거시'!$G432,"")</f>
        <v/>
      </c>
      <c r="Y450">
        <f>IF(ISNUMBER(X450),IF(X450&gt;$L$7,W450,""),"")</f>
        <v/>
      </c>
      <c r="Z450">
        <f>IF(ISNUMBER('자료_거시'!$K432),'자료_거시'!$K432,Z449)</f>
        <v/>
      </c>
      <c r="AA450">
        <f>IF(AND(ISNUMBER('자료_거시'!$J432),ISNUMBER('자료_거시'!$K432)),IFERROR('자료_거시'!$K432/INDEX($Z$21:$Z$4020,MATCH(EDATE('자료_거시'!$J432,-'설정'!$B$17),'자료_거시'!$J$3:INDEX('자료_거시'!$J$3:$J$4002,$K$8),1))-1,""),"")</f>
        <v/>
      </c>
      <c r="AB450">
        <f>IF(ISNUMBER(AA450),'자료_거시'!$J432,"")</f>
        <v/>
      </c>
      <c r="AC450">
        <f>IF(ISNUMBER(AB450),IF(AB450&gt;$L$8,AA450,""),"")</f>
        <v/>
      </c>
      <c r="AD450">
        <f>IF(AND(ISNUMBER('자료_거시'!$M432),ISNUMBER('자료_거시'!$N432)),1,0)</f>
        <v/>
      </c>
      <c r="AE450">
        <f>IF(AND(ISNUMBER('자료_거시'!$M432),ISNUMBER('자료_거시'!$N432)),IF(AND(SUMIFS($AD$21:$AD$620,'자료_거시'!$M$3:$M$602,"&gt;"&amp;EDATE('자료_거시'!$M432,-'설정'!$B$17),'자료_거시'!$M$3:$M$602,"&lt;="&amp;'자료_거시'!$M432)=3,SUMIFS($AD$21:$AD$620,'자료_거시'!$M$3:$M$602,"&gt;"&amp;EDATE('자료_거시'!$M432,-12-'설정'!$B$17),'자료_거시'!$M$3:$M$602,"&lt;="&amp;EDATE('자료_거시'!$M432,-12))=3),IFERROR(SUMIFS('자료_거시'!$N$3:$N$602,'자료_거시'!$M$3:$M$602,"&gt;"&amp;EDATE('자료_거시'!$M432,-'설정'!$B$17),'자료_거시'!$M$3:$M$602,"&lt;="&amp;'자료_거시'!$M432)/SUMIFS('자료_거시'!$N$3:$N$602,'자료_거시'!$M$3:$M$602,"&gt;"&amp;EDATE('자료_거시'!$M432,-12-'설정'!$B$17),'자료_거시'!$M$3:$M$602,"&lt;="&amp;EDATE('자료_거시'!$M432,-12))-1,""),""),"")</f>
        <v/>
      </c>
      <c r="AF450">
        <f>IF(ISNUMBER(AE450),'자료_거시'!$M432,"")</f>
        <v/>
      </c>
      <c r="AG450">
        <f>IF(ISNUMBER(AF450),IF(AF450&gt;$L$9,AE450,""),"")</f>
        <v/>
      </c>
    </row>
    <row r="451">
      <c r="P451">
        <f>IF(AND(ISNUMBER('자료_거시'!$A433),ISNUMBER('자료_거시'!$B433)),'자료_거시'!$B433,"")</f>
        <v/>
      </c>
      <c r="Q451">
        <f>IF(ISNUMBER(P451),'자료_거시'!$A433,"")</f>
        <v/>
      </c>
      <c r="R451">
        <f>IF(ISNUMBER(Q451),IF(Q451&gt;$L$5,P451,""),"")</f>
        <v/>
      </c>
      <c r="S451">
        <f>IF(ISNUMBER('자료_거시'!$E433),'자료_거시'!$E433,S450)</f>
        <v/>
      </c>
      <c r="T451">
        <f>IF(AND(ISNUMBER('자료_거시'!$D433),ISNUMBER('자료_거시'!$E433)),IFERROR('자료_거시'!$E433-INDEX($S$21:$S$4020,MATCH(EDATE('자료_거시'!$D433,-'설정'!$B$17),'자료_거시'!$D$3:INDEX('자료_거시'!$D$3:$D$4002,$K$6),1)),""),"")</f>
        <v/>
      </c>
      <c r="U451">
        <f>IF(ISNUMBER(T451),'자료_거시'!$D433,"")</f>
        <v/>
      </c>
      <c r="V451">
        <f>IF(ISNUMBER(U451),IF(U451&gt;$L$6,T451,""),"")</f>
        <v/>
      </c>
      <c r="W451">
        <f>IF(AND(ISNUMBER('자료_거시'!$G433),ISNUMBER('자료_거시'!$H433)),'자료_거시'!$H433,"")</f>
        <v/>
      </c>
      <c r="X451">
        <f>IF(ISNUMBER(W451),'자료_거시'!$G433,"")</f>
        <v/>
      </c>
      <c r="Y451">
        <f>IF(ISNUMBER(X451),IF(X451&gt;$L$7,W451,""),"")</f>
        <v/>
      </c>
      <c r="Z451">
        <f>IF(ISNUMBER('자료_거시'!$K433),'자료_거시'!$K433,Z450)</f>
        <v/>
      </c>
      <c r="AA451">
        <f>IF(AND(ISNUMBER('자료_거시'!$J433),ISNUMBER('자료_거시'!$K433)),IFERROR('자료_거시'!$K433/INDEX($Z$21:$Z$4020,MATCH(EDATE('자료_거시'!$J433,-'설정'!$B$17),'자료_거시'!$J$3:INDEX('자료_거시'!$J$3:$J$4002,$K$8),1))-1,""),"")</f>
        <v/>
      </c>
      <c r="AB451">
        <f>IF(ISNUMBER(AA451),'자료_거시'!$J433,"")</f>
        <v/>
      </c>
      <c r="AC451">
        <f>IF(ISNUMBER(AB451),IF(AB451&gt;$L$8,AA451,""),"")</f>
        <v/>
      </c>
      <c r="AD451">
        <f>IF(AND(ISNUMBER('자료_거시'!$M433),ISNUMBER('자료_거시'!$N433)),1,0)</f>
        <v/>
      </c>
      <c r="AE451">
        <f>IF(AND(ISNUMBER('자료_거시'!$M433),ISNUMBER('자료_거시'!$N433)),IF(AND(SUMIFS($AD$21:$AD$620,'자료_거시'!$M$3:$M$602,"&gt;"&amp;EDATE('자료_거시'!$M433,-'설정'!$B$17),'자료_거시'!$M$3:$M$602,"&lt;="&amp;'자료_거시'!$M433)=3,SUMIFS($AD$21:$AD$620,'자료_거시'!$M$3:$M$602,"&gt;"&amp;EDATE('자료_거시'!$M433,-12-'설정'!$B$17),'자료_거시'!$M$3:$M$602,"&lt;="&amp;EDATE('자료_거시'!$M433,-12))=3),IFERROR(SUMIFS('자료_거시'!$N$3:$N$602,'자료_거시'!$M$3:$M$602,"&gt;"&amp;EDATE('자료_거시'!$M433,-'설정'!$B$17),'자료_거시'!$M$3:$M$602,"&lt;="&amp;'자료_거시'!$M433)/SUMIFS('자료_거시'!$N$3:$N$602,'자료_거시'!$M$3:$M$602,"&gt;"&amp;EDATE('자료_거시'!$M433,-12-'설정'!$B$17),'자료_거시'!$M$3:$M$602,"&lt;="&amp;EDATE('자료_거시'!$M433,-12))-1,""),""),"")</f>
        <v/>
      </c>
      <c r="AF451">
        <f>IF(ISNUMBER(AE451),'자료_거시'!$M433,"")</f>
        <v/>
      </c>
      <c r="AG451">
        <f>IF(ISNUMBER(AF451),IF(AF451&gt;$L$9,AE451,""),"")</f>
        <v/>
      </c>
    </row>
    <row r="452">
      <c r="P452">
        <f>IF(AND(ISNUMBER('자료_거시'!$A434),ISNUMBER('자료_거시'!$B434)),'자료_거시'!$B434,"")</f>
        <v/>
      </c>
      <c r="Q452">
        <f>IF(ISNUMBER(P452),'자료_거시'!$A434,"")</f>
        <v/>
      </c>
      <c r="R452">
        <f>IF(ISNUMBER(Q452),IF(Q452&gt;$L$5,P452,""),"")</f>
        <v/>
      </c>
      <c r="S452">
        <f>IF(ISNUMBER('자료_거시'!$E434),'자료_거시'!$E434,S451)</f>
        <v/>
      </c>
      <c r="T452">
        <f>IF(AND(ISNUMBER('자료_거시'!$D434),ISNUMBER('자료_거시'!$E434)),IFERROR('자료_거시'!$E434-INDEX($S$21:$S$4020,MATCH(EDATE('자료_거시'!$D434,-'설정'!$B$17),'자료_거시'!$D$3:INDEX('자료_거시'!$D$3:$D$4002,$K$6),1)),""),"")</f>
        <v/>
      </c>
      <c r="U452">
        <f>IF(ISNUMBER(T452),'자료_거시'!$D434,"")</f>
        <v/>
      </c>
      <c r="V452">
        <f>IF(ISNUMBER(U452),IF(U452&gt;$L$6,T452,""),"")</f>
        <v/>
      </c>
      <c r="W452">
        <f>IF(AND(ISNUMBER('자료_거시'!$G434),ISNUMBER('자료_거시'!$H434)),'자료_거시'!$H434,"")</f>
        <v/>
      </c>
      <c r="X452">
        <f>IF(ISNUMBER(W452),'자료_거시'!$G434,"")</f>
        <v/>
      </c>
      <c r="Y452">
        <f>IF(ISNUMBER(X452),IF(X452&gt;$L$7,W452,""),"")</f>
        <v/>
      </c>
      <c r="Z452">
        <f>IF(ISNUMBER('자료_거시'!$K434),'자료_거시'!$K434,Z451)</f>
        <v/>
      </c>
      <c r="AA452">
        <f>IF(AND(ISNUMBER('자료_거시'!$J434),ISNUMBER('자료_거시'!$K434)),IFERROR('자료_거시'!$K434/INDEX($Z$21:$Z$4020,MATCH(EDATE('자료_거시'!$J434,-'설정'!$B$17),'자료_거시'!$J$3:INDEX('자료_거시'!$J$3:$J$4002,$K$8),1))-1,""),"")</f>
        <v/>
      </c>
      <c r="AB452">
        <f>IF(ISNUMBER(AA452),'자료_거시'!$J434,"")</f>
        <v/>
      </c>
      <c r="AC452">
        <f>IF(ISNUMBER(AB452),IF(AB452&gt;$L$8,AA452,""),"")</f>
        <v/>
      </c>
      <c r="AD452">
        <f>IF(AND(ISNUMBER('자료_거시'!$M434),ISNUMBER('자료_거시'!$N434)),1,0)</f>
        <v/>
      </c>
      <c r="AE452">
        <f>IF(AND(ISNUMBER('자료_거시'!$M434),ISNUMBER('자료_거시'!$N434)),IF(AND(SUMIFS($AD$21:$AD$620,'자료_거시'!$M$3:$M$602,"&gt;"&amp;EDATE('자료_거시'!$M434,-'설정'!$B$17),'자료_거시'!$M$3:$M$602,"&lt;="&amp;'자료_거시'!$M434)=3,SUMIFS($AD$21:$AD$620,'자료_거시'!$M$3:$M$602,"&gt;"&amp;EDATE('자료_거시'!$M434,-12-'설정'!$B$17),'자료_거시'!$M$3:$M$602,"&lt;="&amp;EDATE('자료_거시'!$M434,-12))=3),IFERROR(SUMIFS('자료_거시'!$N$3:$N$602,'자료_거시'!$M$3:$M$602,"&gt;"&amp;EDATE('자료_거시'!$M434,-'설정'!$B$17),'자료_거시'!$M$3:$M$602,"&lt;="&amp;'자료_거시'!$M434)/SUMIFS('자료_거시'!$N$3:$N$602,'자료_거시'!$M$3:$M$602,"&gt;"&amp;EDATE('자료_거시'!$M434,-12-'설정'!$B$17),'자료_거시'!$M$3:$M$602,"&lt;="&amp;EDATE('자료_거시'!$M434,-12))-1,""),""),"")</f>
        <v/>
      </c>
      <c r="AF452">
        <f>IF(ISNUMBER(AE452),'자료_거시'!$M434,"")</f>
        <v/>
      </c>
      <c r="AG452">
        <f>IF(ISNUMBER(AF452),IF(AF452&gt;$L$9,AE452,""),"")</f>
        <v/>
      </c>
    </row>
    <row r="453">
      <c r="P453">
        <f>IF(AND(ISNUMBER('자료_거시'!$A435),ISNUMBER('자료_거시'!$B435)),'자료_거시'!$B435,"")</f>
        <v/>
      </c>
      <c r="Q453">
        <f>IF(ISNUMBER(P453),'자료_거시'!$A435,"")</f>
        <v/>
      </c>
      <c r="R453">
        <f>IF(ISNUMBER(Q453),IF(Q453&gt;$L$5,P453,""),"")</f>
        <v/>
      </c>
      <c r="S453">
        <f>IF(ISNUMBER('자료_거시'!$E435),'자료_거시'!$E435,S452)</f>
        <v/>
      </c>
      <c r="T453">
        <f>IF(AND(ISNUMBER('자료_거시'!$D435),ISNUMBER('자료_거시'!$E435)),IFERROR('자료_거시'!$E435-INDEX($S$21:$S$4020,MATCH(EDATE('자료_거시'!$D435,-'설정'!$B$17),'자료_거시'!$D$3:INDEX('자료_거시'!$D$3:$D$4002,$K$6),1)),""),"")</f>
        <v/>
      </c>
      <c r="U453">
        <f>IF(ISNUMBER(T453),'자료_거시'!$D435,"")</f>
        <v/>
      </c>
      <c r="V453">
        <f>IF(ISNUMBER(U453),IF(U453&gt;$L$6,T453,""),"")</f>
        <v/>
      </c>
      <c r="W453">
        <f>IF(AND(ISNUMBER('자료_거시'!$G435),ISNUMBER('자료_거시'!$H435)),'자료_거시'!$H435,"")</f>
        <v/>
      </c>
      <c r="X453">
        <f>IF(ISNUMBER(W453),'자료_거시'!$G435,"")</f>
        <v/>
      </c>
      <c r="Y453">
        <f>IF(ISNUMBER(X453),IF(X453&gt;$L$7,W453,""),"")</f>
        <v/>
      </c>
      <c r="Z453">
        <f>IF(ISNUMBER('자료_거시'!$K435),'자료_거시'!$K435,Z452)</f>
        <v/>
      </c>
      <c r="AA453">
        <f>IF(AND(ISNUMBER('자료_거시'!$J435),ISNUMBER('자료_거시'!$K435)),IFERROR('자료_거시'!$K435/INDEX($Z$21:$Z$4020,MATCH(EDATE('자료_거시'!$J435,-'설정'!$B$17),'자료_거시'!$J$3:INDEX('자료_거시'!$J$3:$J$4002,$K$8),1))-1,""),"")</f>
        <v/>
      </c>
      <c r="AB453">
        <f>IF(ISNUMBER(AA453),'자료_거시'!$J435,"")</f>
        <v/>
      </c>
      <c r="AC453">
        <f>IF(ISNUMBER(AB453),IF(AB453&gt;$L$8,AA453,""),"")</f>
        <v/>
      </c>
      <c r="AD453">
        <f>IF(AND(ISNUMBER('자료_거시'!$M435),ISNUMBER('자료_거시'!$N435)),1,0)</f>
        <v/>
      </c>
      <c r="AE453">
        <f>IF(AND(ISNUMBER('자료_거시'!$M435),ISNUMBER('자료_거시'!$N435)),IF(AND(SUMIFS($AD$21:$AD$620,'자료_거시'!$M$3:$M$602,"&gt;"&amp;EDATE('자료_거시'!$M435,-'설정'!$B$17),'자료_거시'!$M$3:$M$602,"&lt;="&amp;'자료_거시'!$M435)=3,SUMIFS($AD$21:$AD$620,'자료_거시'!$M$3:$M$602,"&gt;"&amp;EDATE('자료_거시'!$M435,-12-'설정'!$B$17),'자료_거시'!$M$3:$M$602,"&lt;="&amp;EDATE('자료_거시'!$M435,-12))=3),IFERROR(SUMIFS('자료_거시'!$N$3:$N$602,'자료_거시'!$M$3:$M$602,"&gt;"&amp;EDATE('자료_거시'!$M435,-'설정'!$B$17),'자료_거시'!$M$3:$M$602,"&lt;="&amp;'자료_거시'!$M435)/SUMIFS('자료_거시'!$N$3:$N$602,'자료_거시'!$M$3:$M$602,"&gt;"&amp;EDATE('자료_거시'!$M435,-12-'설정'!$B$17),'자료_거시'!$M$3:$M$602,"&lt;="&amp;EDATE('자료_거시'!$M435,-12))-1,""),""),"")</f>
        <v/>
      </c>
      <c r="AF453">
        <f>IF(ISNUMBER(AE453),'자료_거시'!$M435,"")</f>
        <v/>
      </c>
      <c r="AG453">
        <f>IF(ISNUMBER(AF453),IF(AF453&gt;$L$9,AE453,""),"")</f>
        <v/>
      </c>
    </row>
    <row r="454">
      <c r="P454">
        <f>IF(AND(ISNUMBER('자료_거시'!$A436),ISNUMBER('자료_거시'!$B436)),'자료_거시'!$B436,"")</f>
        <v/>
      </c>
      <c r="Q454">
        <f>IF(ISNUMBER(P454),'자료_거시'!$A436,"")</f>
        <v/>
      </c>
      <c r="R454">
        <f>IF(ISNUMBER(Q454),IF(Q454&gt;$L$5,P454,""),"")</f>
        <v/>
      </c>
      <c r="S454">
        <f>IF(ISNUMBER('자료_거시'!$E436),'자료_거시'!$E436,S453)</f>
        <v/>
      </c>
      <c r="T454">
        <f>IF(AND(ISNUMBER('자료_거시'!$D436),ISNUMBER('자료_거시'!$E436)),IFERROR('자료_거시'!$E436-INDEX($S$21:$S$4020,MATCH(EDATE('자료_거시'!$D436,-'설정'!$B$17),'자료_거시'!$D$3:INDEX('자료_거시'!$D$3:$D$4002,$K$6),1)),""),"")</f>
        <v/>
      </c>
      <c r="U454">
        <f>IF(ISNUMBER(T454),'자료_거시'!$D436,"")</f>
        <v/>
      </c>
      <c r="V454">
        <f>IF(ISNUMBER(U454),IF(U454&gt;$L$6,T454,""),"")</f>
        <v/>
      </c>
      <c r="W454">
        <f>IF(AND(ISNUMBER('자료_거시'!$G436),ISNUMBER('자료_거시'!$H436)),'자료_거시'!$H436,"")</f>
        <v/>
      </c>
      <c r="X454">
        <f>IF(ISNUMBER(W454),'자료_거시'!$G436,"")</f>
        <v/>
      </c>
      <c r="Y454">
        <f>IF(ISNUMBER(X454),IF(X454&gt;$L$7,W454,""),"")</f>
        <v/>
      </c>
      <c r="Z454">
        <f>IF(ISNUMBER('자료_거시'!$K436),'자료_거시'!$K436,Z453)</f>
        <v/>
      </c>
      <c r="AA454">
        <f>IF(AND(ISNUMBER('자료_거시'!$J436),ISNUMBER('자료_거시'!$K436)),IFERROR('자료_거시'!$K436/INDEX($Z$21:$Z$4020,MATCH(EDATE('자료_거시'!$J436,-'설정'!$B$17),'자료_거시'!$J$3:INDEX('자료_거시'!$J$3:$J$4002,$K$8),1))-1,""),"")</f>
        <v/>
      </c>
      <c r="AB454">
        <f>IF(ISNUMBER(AA454),'자료_거시'!$J436,"")</f>
        <v/>
      </c>
      <c r="AC454">
        <f>IF(ISNUMBER(AB454),IF(AB454&gt;$L$8,AA454,""),"")</f>
        <v/>
      </c>
      <c r="AD454">
        <f>IF(AND(ISNUMBER('자료_거시'!$M436),ISNUMBER('자료_거시'!$N436)),1,0)</f>
        <v/>
      </c>
      <c r="AE454">
        <f>IF(AND(ISNUMBER('자료_거시'!$M436),ISNUMBER('자료_거시'!$N436)),IF(AND(SUMIFS($AD$21:$AD$620,'자료_거시'!$M$3:$M$602,"&gt;"&amp;EDATE('자료_거시'!$M436,-'설정'!$B$17),'자료_거시'!$M$3:$M$602,"&lt;="&amp;'자료_거시'!$M436)=3,SUMIFS($AD$21:$AD$620,'자료_거시'!$M$3:$M$602,"&gt;"&amp;EDATE('자료_거시'!$M436,-12-'설정'!$B$17),'자료_거시'!$M$3:$M$602,"&lt;="&amp;EDATE('자료_거시'!$M436,-12))=3),IFERROR(SUMIFS('자료_거시'!$N$3:$N$602,'자료_거시'!$M$3:$M$602,"&gt;"&amp;EDATE('자료_거시'!$M436,-'설정'!$B$17),'자료_거시'!$M$3:$M$602,"&lt;="&amp;'자료_거시'!$M436)/SUMIFS('자료_거시'!$N$3:$N$602,'자료_거시'!$M$3:$M$602,"&gt;"&amp;EDATE('자료_거시'!$M436,-12-'설정'!$B$17),'자료_거시'!$M$3:$M$602,"&lt;="&amp;EDATE('자료_거시'!$M436,-12))-1,""),""),"")</f>
        <v/>
      </c>
      <c r="AF454">
        <f>IF(ISNUMBER(AE454),'자료_거시'!$M436,"")</f>
        <v/>
      </c>
      <c r="AG454">
        <f>IF(ISNUMBER(AF454),IF(AF454&gt;$L$9,AE454,""),"")</f>
        <v/>
      </c>
    </row>
    <row r="455">
      <c r="P455">
        <f>IF(AND(ISNUMBER('자료_거시'!$A437),ISNUMBER('자료_거시'!$B437)),'자료_거시'!$B437,"")</f>
        <v/>
      </c>
      <c r="Q455">
        <f>IF(ISNUMBER(P455),'자료_거시'!$A437,"")</f>
        <v/>
      </c>
      <c r="R455">
        <f>IF(ISNUMBER(Q455),IF(Q455&gt;$L$5,P455,""),"")</f>
        <v/>
      </c>
      <c r="S455">
        <f>IF(ISNUMBER('자료_거시'!$E437),'자료_거시'!$E437,S454)</f>
        <v/>
      </c>
      <c r="T455">
        <f>IF(AND(ISNUMBER('자료_거시'!$D437),ISNUMBER('자료_거시'!$E437)),IFERROR('자료_거시'!$E437-INDEX($S$21:$S$4020,MATCH(EDATE('자료_거시'!$D437,-'설정'!$B$17),'자료_거시'!$D$3:INDEX('자료_거시'!$D$3:$D$4002,$K$6),1)),""),"")</f>
        <v/>
      </c>
      <c r="U455">
        <f>IF(ISNUMBER(T455),'자료_거시'!$D437,"")</f>
        <v/>
      </c>
      <c r="V455">
        <f>IF(ISNUMBER(U455),IF(U455&gt;$L$6,T455,""),"")</f>
        <v/>
      </c>
      <c r="W455">
        <f>IF(AND(ISNUMBER('자료_거시'!$G437),ISNUMBER('자료_거시'!$H437)),'자료_거시'!$H437,"")</f>
        <v/>
      </c>
      <c r="X455">
        <f>IF(ISNUMBER(W455),'자료_거시'!$G437,"")</f>
        <v/>
      </c>
      <c r="Y455">
        <f>IF(ISNUMBER(X455),IF(X455&gt;$L$7,W455,""),"")</f>
        <v/>
      </c>
      <c r="Z455">
        <f>IF(ISNUMBER('자료_거시'!$K437),'자료_거시'!$K437,Z454)</f>
        <v/>
      </c>
      <c r="AA455">
        <f>IF(AND(ISNUMBER('자료_거시'!$J437),ISNUMBER('자료_거시'!$K437)),IFERROR('자료_거시'!$K437/INDEX($Z$21:$Z$4020,MATCH(EDATE('자료_거시'!$J437,-'설정'!$B$17),'자료_거시'!$J$3:INDEX('자료_거시'!$J$3:$J$4002,$K$8),1))-1,""),"")</f>
        <v/>
      </c>
      <c r="AB455">
        <f>IF(ISNUMBER(AA455),'자료_거시'!$J437,"")</f>
        <v/>
      </c>
      <c r="AC455">
        <f>IF(ISNUMBER(AB455),IF(AB455&gt;$L$8,AA455,""),"")</f>
        <v/>
      </c>
      <c r="AD455">
        <f>IF(AND(ISNUMBER('자료_거시'!$M437),ISNUMBER('자료_거시'!$N437)),1,0)</f>
        <v/>
      </c>
      <c r="AE455">
        <f>IF(AND(ISNUMBER('자료_거시'!$M437),ISNUMBER('자료_거시'!$N437)),IF(AND(SUMIFS($AD$21:$AD$620,'자료_거시'!$M$3:$M$602,"&gt;"&amp;EDATE('자료_거시'!$M437,-'설정'!$B$17),'자료_거시'!$M$3:$M$602,"&lt;="&amp;'자료_거시'!$M437)=3,SUMIFS($AD$21:$AD$620,'자료_거시'!$M$3:$M$602,"&gt;"&amp;EDATE('자료_거시'!$M437,-12-'설정'!$B$17),'자료_거시'!$M$3:$M$602,"&lt;="&amp;EDATE('자료_거시'!$M437,-12))=3),IFERROR(SUMIFS('자료_거시'!$N$3:$N$602,'자료_거시'!$M$3:$M$602,"&gt;"&amp;EDATE('자료_거시'!$M437,-'설정'!$B$17),'자료_거시'!$M$3:$M$602,"&lt;="&amp;'자료_거시'!$M437)/SUMIFS('자료_거시'!$N$3:$N$602,'자료_거시'!$M$3:$M$602,"&gt;"&amp;EDATE('자료_거시'!$M437,-12-'설정'!$B$17),'자료_거시'!$M$3:$M$602,"&lt;="&amp;EDATE('자료_거시'!$M437,-12))-1,""),""),"")</f>
        <v/>
      </c>
      <c r="AF455">
        <f>IF(ISNUMBER(AE455),'자료_거시'!$M437,"")</f>
        <v/>
      </c>
      <c r="AG455">
        <f>IF(ISNUMBER(AF455),IF(AF455&gt;$L$9,AE455,""),"")</f>
        <v/>
      </c>
    </row>
    <row r="456">
      <c r="P456">
        <f>IF(AND(ISNUMBER('자료_거시'!$A438),ISNUMBER('자료_거시'!$B438)),'자료_거시'!$B438,"")</f>
        <v/>
      </c>
      <c r="Q456">
        <f>IF(ISNUMBER(P456),'자료_거시'!$A438,"")</f>
        <v/>
      </c>
      <c r="R456">
        <f>IF(ISNUMBER(Q456),IF(Q456&gt;$L$5,P456,""),"")</f>
        <v/>
      </c>
      <c r="S456">
        <f>IF(ISNUMBER('자료_거시'!$E438),'자료_거시'!$E438,S455)</f>
        <v/>
      </c>
      <c r="T456">
        <f>IF(AND(ISNUMBER('자료_거시'!$D438),ISNUMBER('자료_거시'!$E438)),IFERROR('자료_거시'!$E438-INDEX($S$21:$S$4020,MATCH(EDATE('자료_거시'!$D438,-'설정'!$B$17),'자료_거시'!$D$3:INDEX('자료_거시'!$D$3:$D$4002,$K$6),1)),""),"")</f>
        <v/>
      </c>
      <c r="U456">
        <f>IF(ISNUMBER(T456),'자료_거시'!$D438,"")</f>
        <v/>
      </c>
      <c r="V456">
        <f>IF(ISNUMBER(U456),IF(U456&gt;$L$6,T456,""),"")</f>
        <v/>
      </c>
      <c r="W456">
        <f>IF(AND(ISNUMBER('자료_거시'!$G438),ISNUMBER('자료_거시'!$H438)),'자료_거시'!$H438,"")</f>
        <v/>
      </c>
      <c r="X456">
        <f>IF(ISNUMBER(W456),'자료_거시'!$G438,"")</f>
        <v/>
      </c>
      <c r="Y456">
        <f>IF(ISNUMBER(X456),IF(X456&gt;$L$7,W456,""),"")</f>
        <v/>
      </c>
      <c r="Z456">
        <f>IF(ISNUMBER('자료_거시'!$K438),'자료_거시'!$K438,Z455)</f>
        <v/>
      </c>
      <c r="AA456">
        <f>IF(AND(ISNUMBER('자료_거시'!$J438),ISNUMBER('자료_거시'!$K438)),IFERROR('자료_거시'!$K438/INDEX($Z$21:$Z$4020,MATCH(EDATE('자료_거시'!$J438,-'설정'!$B$17),'자료_거시'!$J$3:INDEX('자료_거시'!$J$3:$J$4002,$K$8),1))-1,""),"")</f>
        <v/>
      </c>
      <c r="AB456">
        <f>IF(ISNUMBER(AA456),'자료_거시'!$J438,"")</f>
        <v/>
      </c>
      <c r="AC456">
        <f>IF(ISNUMBER(AB456),IF(AB456&gt;$L$8,AA456,""),"")</f>
        <v/>
      </c>
      <c r="AD456">
        <f>IF(AND(ISNUMBER('자료_거시'!$M438),ISNUMBER('자료_거시'!$N438)),1,0)</f>
        <v/>
      </c>
      <c r="AE456">
        <f>IF(AND(ISNUMBER('자료_거시'!$M438),ISNUMBER('자료_거시'!$N438)),IF(AND(SUMIFS($AD$21:$AD$620,'자료_거시'!$M$3:$M$602,"&gt;"&amp;EDATE('자료_거시'!$M438,-'설정'!$B$17),'자료_거시'!$M$3:$M$602,"&lt;="&amp;'자료_거시'!$M438)=3,SUMIFS($AD$21:$AD$620,'자료_거시'!$M$3:$M$602,"&gt;"&amp;EDATE('자료_거시'!$M438,-12-'설정'!$B$17),'자료_거시'!$M$3:$M$602,"&lt;="&amp;EDATE('자료_거시'!$M438,-12))=3),IFERROR(SUMIFS('자료_거시'!$N$3:$N$602,'자료_거시'!$M$3:$M$602,"&gt;"&amp;EDATE('자료_거시'!$M438,-'설정'!$B$17),'자료_거시'!$M$3:$M$602,"&lt;="&amp;'자료_거시'!$M438)/SUMIFS('자료_거시'!$N$3:$N$602,'자료_거시'!$M$3:$M$602,"&gt;"&amp;EDATE('자료_거시'!$M438,-12-'설정'!$B$17),'자료_거시'!$M$3:$M$602,"&lt;="&amp;EDATE('자료_거시'!$M438,-12))-1,""),""),"")</f>
        <v/>
      </c>
      <c r="AF456">
        <f>IF(ISNUMBER(AE456),'자료_거시'!$M438,"")</f>
        <v/>
      </c>
      <c r="AG456">
        <f>IF(ISNUMBER(AF456),IF(AF456&gt;$L$9,AE456,""),"")</f>
        <v/>
      </c>
    </row>
    <row r="457">
      <c r="P457">
        <f>IF(AND(ISNUMBER('자료_거시'!$A439),ISNUMBER('자료_거시'!$B439)),'자료_거시'!$B439,"")</f>
        <v/>
      </c>
      <c r="Q457">
        <f>IF(ISNUMBER(P457),'자료_거시'!$A439,"")</f>
        <v/>
      </c>
      <c r="R457">
        <f>IF(ISNUMBER(Q457),IF(Q457&gt;$L$5,P457,""),"")</f>
        <v/>
      </c>
      <c r="S457">
        <f>IF(ISNUMBER('자료_거시'!$E439),'자료_거시'!$E439,S456)</f>
        <v/>
      </c>
      <c r="T457">
        <f>IF(AND(ISNUMBER('자료_거시'!$D439),ISNUMBER('자료_거시'!$E439)),IFERROR('자료_거시'!$E439-INDEX($S$21:$S$4020,MATCH(EDATE('자료_거시'!$D439,-'설정'!$B$17),'자료_거시'!$D$3:INDEX('자료_거시'!$D$3:$D$4002,$K$6),1)),""),"")</f>
        <v/>
      </c>
      <c r="U457">
        <f>IF(ISNUMBER(T457),'자료_거시'!$D439,"")</f>
        <v/>
      </c>
      <c r="V457">
        <f>IF(ISNUMBER(U457),IF(U457&gt;$L$6,T457,""),"")</f>
        <v/>
      </c>
      <c r="W457">
        <f>IF(AND(ISNUMBER('자료_거시'!$G439),ISNUMBER('자료_거시'!$H439)),'자료_거시'!$H439,"")</f>
        <v/>
      </c>
      <c r="X457">
        <f>IF(ISNUMBER(W457),'자료_거시'!$G439,"")</f>
        <v/>
      </c>
      <c r="Y457">
        <f>IF(ISNUMBER(X457),IF(X457&gt;$L$7,W457,""),"")</f>
        <v/>
      </c>
      <c r="Z457">
        <f>IF(ISNUMBER('자료_거시'!$K439),'자료_거시'!$K439,Z456)</f>
        <v/>
      </c>
      <c r="AA457">
        <f>IF(AND(ISNUMBER('자료_거시'!$J439),ISNUMBER('자료_거시'!$K439)),IFERROR('자료_거시'!$K439/INDEX($Z$21:$Z$4020,MATCH(EDATE('자료_거시'!$J439,-'설정'!$B$17),'자료_거시'!$J$3:INDEX('자료_거시'!$J$3:$J$4002,$K$8),1))-1,""),"")</f>
        <v/>
      </c>
      <c r="AB457">
        <f>IF(ISNUMBER(AA457),'자료_거시'!$J439,"")</f>
        <v/>
      </c>
      <c r="AC457">
        <f>IF(ISNUMBER(AB457),IF(AB457&gt;$L$8,AA457,""),"")</f>
        <v/>
      </c>
      <c r="AD457">
        <f>IF(AND(ISNUMBER('자료_거시'!$M439),ISNUMBER('자료_거시'!$N439)),1,0)</f>
        <v/>
      </c>
      <c r="AE457">
        <f>IF(AND(ISNUMBER('자료_거시'!$M439),ISNUMBER('자료_거시'!$N439)),IF(AND(SUMIFS($AD$21:$AD$620,'자료_거시'!$M$3:$M$602,"&gt;"&amp;EDATE('자료_거시'!$M439,-'설정'!$B$17),'자료_거시'!$M$3:$M$602,"&lt;="&amp;'자료_거시'!$M439)=3,SUMIFS($AD$21:$AD$620,'자료_거시'!$M$3:$M$602,"&gt;"&amp;EDATE('자료_거시'!$M439,-12-'설정'!$B$17),'자료_거시'!$M$3:$M$602,"&lt;="&amp;EDATE('자료_거시'!$M439,-12))=3),IFERROR(SUMIFS('자료_거시'!$N$3:$N$602,'자료_거시'!$M$3:$M$602,"&gt;"&amp;EDATE('자료_거시'!$M439,-'설정'!$B$17),'자료_거시'!$M$3:$M$602,"&lt;="&amp;'자료_거시'!$M439)/SUMIFS('자료_거시'!$N$3:$N$602,'자료_거시'!$M$3:$M$602,"&gt;"&amp;EDATE('자료_거시'!$M439,-12-'설정'!$B$17),'자료_거시'!$M$3:$M$602,"&lt;="&amp;EDATE('자료_거시'!$M439,-12))-1,""),""),"")</f>
        <v/>
      </c>
      <c r="AF457">
        <f>IF(ISNUMBER(AE457),'자료_거시'!$M439,"")</f>
        <v/>
      </c>
      <c r="AG457">
        <f>IF(ISNUMBER(AF457),IF(AF457&gt;$L$9,AE457,""),"")</f>
        <v/>
      </c>
    </row>
    <row r="458">
      <c r="P458">
        <f>IF(AND(ISNUMBER('자료_거시'!$A440),ISNUMBER('자료_거시'!$B440)),'자료_거시'!$B440,"")</f>
        <v/>
      </c>
      <c r="Q458">
        <f>IF(ISNUMBER(P458),'자료_거시'!$A440,"")</f>
        <v/>
      </c>
      <c r="R458">
        <f>IF(ISNUMBER(Q458),IF(Q458&gt;$L$5,P458,""),"")</f>
        <v/>
      </c>
      <c r="S458">
        <f>IF(ISNUMBER('자료_거시'!$E440),'자료_거시'!$E440,S457)</f>
        <v/>
      </c>
      <c r="T458">
        <f>IF(AND(ISNUMBER('자료_거시'!$D440),ISNUMBER('자료_거시'!$E440)),IFERROR('자료_거시'!$E440-INDEX($S$21:$S$4020,MATCH(EDATE('자료_거시'!$D440,-'설정'!$B$17),'자료_거시'!$D$3:INDEX('자료_거시'!$D$3:$D$4002,$K$6),1)),""),"")</f>
        <v/>
      </c>
      <c r="U458">
        <f>IF(ISNUMBER(T458),'자료_거시'!$D440,"")</f>
        <v/>
      </c>
      <c r="V458">
        <f>IF(ISNUMBER(U458),IF(U458&gt;$L$6,T458,""),"")</f>
        <v/>
      </c>
      <c r="W458">
        <f>IF(AND(ISNUMBER('자료_거시'!$G440),ISNUMBER('자료_거시'!$H440)),'자료_거시'!$H440,"")</f>
        <v/>
      </c>
      <c r="X458">
        <f>IF(ISNUMBER(W458),'자료_거시'!$G440,"")</f>
        <v/>
      </c>
      <c r="Y458">
        <f>IF(ISNUMBER(X458),IF(X458&gt;$L$7,W458,""),"")</f>
        <v/>
      </c>
      <c r="Z458">
        <f>IF(ISNUMBER('자료_거시'!$K440),'자료_거시'!$K440,Z457)</f>
        <v/>
      </c>
      <c r="AA458">
        <f>IF(AND(ISNUMBER('자료_거시'!$J440),ISNUMBER('자료_거시'!$K440)),IFERROR('자료_거시'!$K440/INDEX($Z$21:$Z$4020,MATCH(EDATE('자료_거시'!$J440,-'설정'!$B$17),'자료_거시'!$J$3:INDEX('자료_거시'!$J$3:$J$4002,$K$8),1))-1,""),"")</f>
        <v/>
      </c>
      <c r="AB458">
        <f>IF(ISNUMBER(AA458),'자료_거시'!$J440,"")</f>
        <v/>
      </c>
      <c r="AC458">
        <f>IF(ISNUMBER(AB458),IF(AB458&gt;$L$8,AA458,""),"")</f>
        <v/>
      </c>
      <c r="AD458">
        <f>IF(AND(ISNUMBER('자료_거시'!$M440),ISNUMBER('자료_거시'!$N440)),1,0)</f>
        <v/>
      </c>
      <c r="AE458">
        <f>IF(AND(ISNUMBER('자료_거시'!$M440),ISNUMBER('자료_거시'!$N440)),IF(AND(SUMIFS($AD$21:$AD$620,'자료_거시'!$M$3:$M$602,"&gt;"&amp;EDATE('자료_거시'!$M440,-'설정'!$B$17),'자료_거시'!$M$3:$M$602,"&lt;="&amp;'자료_거시'!$M440)=3,SUMIFS($AD$21:$AD$620,'자료_거시'!$M$3:$M$602,"&gt;"&amp;EDATE('자료_거시'!$M440,-12-'설정'!$B$17),'자료_거시'!$M$3:$M$602,"&lt;="&amp;EDATE('자료_거시'!$M440,-12))=3),IFERROR(SUMIFS('자료_거시'!$N$3:$N$602,'자료_거시'!$M$3:$M$602,"&gt;"&amp;EDATE('자료_거시'!$M440,-'설정'!$B$17),'자료_거시'!$M$3:$M$602,"&lt;="&amp;'자료_거시'!$M440)/SUMIFS('자료_거시'!$N$3:$N$602,'자료_거시'!$M$3:$M$602,"&gt;"&amp;EDATE('자료_거시'!$M440,-12-'설정'!$B$17),'자료_거시'!$M$3:$M$602,"&lt;="&amp;EDATE('자료_거시'!$M440,-12))-1,""),""),"")</f>
        <v/>
      </c>
      <c r="AF458">
        <f>IF(ISNUMBER(AE458),'자료_거시'!$M440,"")</f>
        <v/>
      </c>
      <c r="AG458">
        <f>IF(ISNUMBER(AF458),IF(AF458&gt;$L$9,AE458,""),"")</f>
        <v/>
      </c>
    </row>
    <row r="459">
      <c r="P459">
        <f>IF(AND(ISNUMBER('자료_거시'!$A441),ISNUMBER('자료_거시'!$B441)),'자료_거시'!$B441,"")</f>
        <v/>
      </c>
      <c r="Q459">
        <f>IF(ISNUMBER(P459),'자료_거시'!$A441,"")</f>
        <v/>
      </c>
      <c r="R459">
        <f>IF(ISNUMBER(Q459),IF(Q459&gt;$L$5,P459,""),"")</f>
        <v/>
      </c>
      <c r="S459">
        <f>IF(ISNUMBER('자료_거시'!$E441),'자료_거시'!$E441,S458)</f>
        <v/>
      </c>
      <c r="T459">
        <f>IF(AND(ISNUMBER('자료_거시'!$D441),ISNUMBER('자료_거시'!$E441)),IFERROR('자료_거시'!$E441-INDEX($S$21:$S$4020,MATCH(EDATE('자료_거시'!$D441,-'설정'!$B$17),'자료_거시'!$D$3:INDEX('자료_거시'!$D$3:$D$4002,$K$6),1)),""),"")</f>
        <v/>
      </c>
      <c r="U459">
        <f>IF(ISNUMBER(T459),'자료_거시'!$D441,"")</f>
        <v/>
      </c>
      <c r="V459">
        <f>IF(ISNUMBER(U459),IF(U459&gt;$L$6,T459,""),"")</f>
        <v/>
      </c>
      <c r="W459">
        <f>IF(AND(ISNUMBER('자료_거시'!$G441),ISNUMBER('자료_거시'!$H441)),'자료_거시'!$H441,"")</f>
        <v/>
      </c>
      <c r="X459">
        <f>IF(ISNUMBER(W459),'자료_거시'!$G441,"")</f>
        <v/>
      </c>
      <c r="Y459">
        <f>IF(ISNUMBER(X459),IF(X459&gt;$L$7,W459,""),"")</f>
        <v/>
      </c>
      <c r="Z459">
        <f>IF(ISNUMBER('자료_거시'!$K441),'자료_거시'!$K441,Z458)</f>
        <v/>
      </c>
      <c r="AA459">
        <f>IF(AND(ISNUMBER('자료_거시'!$J441),ISNUMBER('자료_거시'!$K441)),IFERROR('자료_거시'!$K441/INDEX($Z$21:$Z$4020,MATCH(EDATE('자료_거시'!$J441,-'설정'!$B$17),'자료_거시'!$J$3:INDEX('자료_거시'!$J$3:$J$4002,$K$8),1))-1,""),"")</f>
        <v/>
      </c>
      <c r="AB459">
        <f>IF(ISNUMBER(AA459),'자료_거시'!$J441,"")</f>
        <v/>
      </c>
      <c r="AC459">
        <f>IF(ISNUMBER(AB459),IF(AB459&gt;$L$8,AA459,""),"")</f>
        <v/>
      </c>
      <c r="AD459">
        <f>IF(AND(ISNUMBER('자료_거시'!$M441),ISNUMBER('자료_거시'!$N441)),1,0)</f>
        <v/>
      </c>
      <c r="AE459">
        <f>IF(AND(ISNUMBER('자료_거시'!$M441),ISNUMBER('자료_거시'!$N441)),IF(AND(SUMIFS($AD$21:$AD$620,'자료_거시'!$M$3:$M$602,"&gt;"&amp;EDATE('자료_거시'!$M441,-'설정'!$B$17),'자료_거시'!$M$3:$M$602,"&lt;="&amp;'자료_거시'!$M441)=3,SUMIFS($AD$21:$AD$620,'자료_거시'!$M$3:$M$602,"&gt;"&amp;EDATE('자료_거시'!$M441,-12-'설정'!$B$17),'자료_거시'!$M$3:$M$602,"&lt;="&amp;EDATE('자료_거시'!$M441,-12))=3),IFERROR(SUMIFS('자료_거시'!$N$3:$N$602,'자료_거시'!$M$3:$M$602,"&gt;"&amp;EDATE('자료_거시'!$M441,-'설정'!$B$17),'자료_거시'!$M$3:$M$602,"&lt;="&amp;'자료_거시'!$M441)/SUMIFS('자료_거시'!$N$3:$N$602,'자료_거시'!$M$3:$M$602,"&gt;"&amp;EDATE('자료_거시'!$M441,-12-'설정'!$B$17),'자료_거시'!$M$3:$M$602,"&lt;="&amp;EDATE('자료_거시'!$M441,-12))-1,""),""),"")</f>
        <v/>
      </c>
      <c r="AF459">
        <f>IF(ISNUMBER(AE459),'자료_거시'!$M441,"")</f>
        <v/>
      </c>
      <c r="AG459">
        <f>IF(ISNUMBER(AF459),IF(AF459&gt;$L$9,AE459,""),"")</f>
        <v/>
      </c>
    </row>
    <row r="460">
      <c r="P460">
        <f>IF(AND(ISNUMBER('자료_거시'!$A442),ISNUMBER('자료_거시'!$B442)),'자료_거시'!$B442,"")</f>
        <v/>
      </c>
      <c r="Q460">
        <f>IF(ISNUMBER(P460),'자료_거시'!$A442,"")</f>
        <v/>
      </c>
      <c r="R460">
        <f>IF(ISNUMBER(Q460),IF(Q460&gt;$L$5,P460,""),"")</f>
        <v/>
      </c>
      <c r="S460">
        <f>IF(ISNUMBER('자료_거시'!$E442),'자료_거시'!$E442,S459)</f>
        <v/>
      </c>
      <c r="T460">
        <f>IF(AND(ISNUMBER('자료_거시'!$D442),ISNUMBER('자료_거시'!$E442)),IFERROR('자료_거시'!$E442-INDEX($S$21:$S$4020,MATCH(EDATE('자료_거시'!$D442,-'설정'!$B$17),'자료_거시'!$D$3:INDEX('자료_거시'!$D$3:$D$4002,$K$6),1)),""),"")</f>
        <v/>
      </c>
      <c r="U460">
        <f>IF(ISNUMBER(T460),'자료_거시'!$D442,"")</f>
        <v/>
      </c>
      <c r="V460">
        <f>IF(ISNUMBER(U460),IF(U460&gt;$L$6,T460,""),"")</f>
        <v/>
      </c>
      <c r="W460">
        <f>IF(AND(ISNUMBER('자료_거시'!$G442),ISNUMBER('자료_거시'!$H442)),'자료_거시'!$H442,"")</f>
        <v/>
      </c>
      <c r="X460">
        <f>IF(ISNUMBER(W460),'자료_거시'!$G442,"")</f>
        <v/>
      </c>
      <c r="Y460">
        <f>IF(ISNUMBER(X460),IF(X460&gt;$L$7,W460,""),"")</f>
        <v/>
      </c>
      <c r="Z460">
        <f>IF(ISNUMBER('자료_거시'!$K442),'자료_거시'!$K442,Z459)</f>
        <v/>
      </c>
      <c r="AA460">
        <f>IF(AND(ISNUMBER('자료_거시'!$J442),ISNUMBER('자료_거시'!$K442)),IFERROR('자료_거시'!$K442/INDEX($Z$21:$Z$4020,MATCH(EDATE('자료_거시'!$J442,-'설정'!$B$17),'자료_거시'!$J$3:INDEX('자료_거시'!$J$3:$J$4002,$K$8),1))-1,""),"")</f>
        <v/>
      </c>
      <c r="AB460">
        <f>IF(ISNUMBER(AA460),'자료_거시'!$J442,"")</f>
        <v/>
      </c>
      <c r="AC460">
        <f>IF(ISNUMBER(AB460),IF(AB460&gt;$L$8,AA460,""),"")</f>
        <v/>
      </c>
      <c r="AD460">
        <f>IF(AND(ISNUMBER('자료_거시'!$M442),ISNUMBER('자료_거시'!$N442)),1,0)</f>
        <v/>
      </c>
      <c r="AE460">
        <f>IF(AND(ISNUMBER('자료_거시'!$M442),ISNUMBER('자료_거시'!$N442)),IF(AND(SUMIFS($AD$21:$AD$620,'자료_거시'!$M$3:$M$602,"&gt;"&amp;EDATE('자료_거시'!$M442,-'설정'!$B$17),'자료_거시'!$M$3:$M$602,"&lt;="&amp;'자료_거시'!$M442)=3,SUMIFS($AD$21:$AD$620,'자료_거시'!$M$3:$M$602,"&gt;"&amp;EDATE('자료_거시'!$M442,-12-'설정'!$B$17),'자료_거시'!$M$3:$M$602,"&lt;="&amp;EDATE('자료_거시'!$M442,-12))=3),IFERROR(SUMIFS('자료_거시'!$N$3:$N$602,'자료_거시'!$M$3:$M$602,"&gt;"&amp;EDATE('자료_거시'!$M442,-'설정'!$B$17),'자료_거시'!$M$3:$M$602,"&lt;="&amp;'자료_거시'!$M442)/SUMIFS('자료_거시'!$N$3:$N$602,'자료_거시'!$M$3:$M$602,"&gt;"&amp;EDATE('자료_거시'!$M442,-12-'설정'!$B$17),'자료_거시'!$M$3:$M$602,"&lt;="&amp;EDATE('자료_거시'!$M442,-12))-1,""),""),"")</f>
        <v/>
      </c>
      <c r="AF460">
        <f>IF(ISNUMBER(AE460),'자료_거시'!$M442,"")</f>
        <v/>
      </c>
      <c r="AG460">
        <f>IF(ISNUMBER(AF460),IF(AF460&gt;$L$9,AE460,""),"")</f>
        <v/>
      </c>
    </row>
    <row r="461">
      <c r="P461">
        <f>IF(AND(ISNUMBER('자료_거시'!$A443),ISNUMBER('자료_거시'!$B443)),'자료_거시'!$B443,"")</f>
        <v/>
      </c>
      <c r="Q461">
        <f>IF(ISNUMBER(P461),'자료_거시'!$A443,"")</f>
        <v/>
      </c>
      <c r="R461">
        <f>IF(ISNUMBER(Q461),IF(Q461&gt;$L$5,P461,""),"")</f>
        <v/>
      </c>
      <c r="S461">
        <f>IF(ISNUMBER('자료_거시'!$E443),'자료_거시'!$E443,S460)</f>
        <v/>
      </c>
      <c r="T461">
        <f>IF(AND(ISNUMBER('자료_거시'!$D443),ISNUMBER('자료_거시'!$E443)),IFERROR('자료_거시'!$E443-INDEX($S$21:$S$4020,MATCH(EDATE('자료_거시'!$D443,-'설정'!$B$17),'자료_거시'!$D$3:INDEX('자료_거시'!$D$3:$D$4002,$K$6),1)),""),"")</f>
        <v/>
      </c>
      <c r="U461">
        <f>IF(ISNUMBER(T461),'자료_거시'!$D443,"")</f>
        <v/>
      </c>
      <c r="V461">
        <f>IF(ISNUMBER(U461),IF(U461&gt;$L$6,T461,""),"")</f>
        <v/>
      </c>
      <c r="W461">
        <f>IF(AND(ISNUMBER('자료_거시'!$G443),ISNUMBER('자료_거시'!$H443)),'자료_거시'!$H443,"")</f>
        <v/>
      </c>
      <c r="X461">
        <f>IF(ISNUMBER(W461),'자료_거시'!$G443,"")</f>
        <v/>
      </c>
      <c r="Y461">
        <f>IF(ISNUMBER(X461),IF(X461&gt;$L$7,W461,""),"")</f>
        <v/>
      </c>
      <c r="Z461">
        <f>IF(ISNUMBER('자료_거시'!$K443),'자료_거시'!$K443,Z460)</f>
        <v/>
      </c>
      <c r="AA461">
        <f>IF(AND(ISNUMBER('자료_거시'!$J443),ISNUMBER('자료_거시'!$K443)),IFERROR('자료_거시'!$K443/INDEX($Z$21:$Z$4020,MATCH(EDATE('자료_거시'!$J443,-'설정'!$B$17),'자료_거시'!$J$3:INDEX('자료_거시'!$J$3:$J$4002,$K$8),1))-1,""),"")</f>
        <v/>
      </c>
      <c r="AB461">
        <f>IF(ISNUMBER(AA461),'자료_거시'!$J443,"")</f>
        <v/>
      </c>
      <c r="AC461">
        <f>IF(ISNUMBER(AB461),IF(AB461&gt;$L$8,AA461,""),"")</f>
        <v/>
      </c>
      <c r="AD461">
        <f>IF(AND(ISNUMBER('자료_거시'!$M443),ISNUMBER('자료_거시'!$N443)),1,0)</f>
        <v/>
      </c>
      <c r="AE461">
        <f>IF(AND(ISNUMBER('자료_거시'!$M443),ISNUMBER('자료_거시'!$N443)),IF(AND(SUMIFS($AD$21:$AD$620,'자료_거시'!$M$3:$M$602,"&gt;"&amp;EDATE('자료_거시'!$M443,-'설정'!$B$17),'자료_거시'!$M$3:$M$602,"&lt;="&amp;'자료_거시'!$M443)=3,SUMIFS($AD$21:$AD$620,'자료_거시'!$M$3:$M$602,"&gt;"&amp;EDATE('자료_거시'!$M443,-12-'설정'!$B$17),'자료_거시'!$M$3:$M$602,"&lt;="&amp;EDATE('자료_거시'!$M443,-12))=3),IFERROR(SUMIFS('자료_거시'!$N$3:$N$602,'자료_거시'!$M$3:$M$602,"&gt;"&amp;EDATE('자료_거시'!$M443,-'설정'!$B$17),'자료_거시'!$M$3:$M$602,"&lt;="&amp;'자료_거시'!$M443)/SUMIFS('자료_거시'!$N$3:$N$602,'자료_거시'!$M$3:$M$602,"&gt;"&amp;EDATE('자료_거시'!$M443,-12-'설정'!$B$17),'자료_거시'!$M$3:$M$602,"&lt;="&amp;EDATE('자료_거시'!$M443,-12))-1,""),""),"")</f>
        <v/>
      </c>
      <c r="AF461">
        <f>IF(ISNUMBER(AE461),'자료_거시'!$M443,"")</f>
        <v/>
      </c>
      <c r="AG461">
        <f>IF(ISNUMBER(AF461),IF(AF461&gt;$L$9,AE461,""),"")</f>
        <v/>
      </c>
    </row>
    <row r="462">
      <c r="P462">
        <f>IF(AND(ISNUMBER('자료_거시'!$A444),ISNUMBER('자료_거시'!$B444)),'자료_거시'!$B444,"")</f>
        <v/>
      </c>
      <c r="Q462">
        <f>IF(ISNUMBER(P462),'자료_거시'!$A444,"")</f>
        <v/>
      </c>
      <c r="R462">
        <f>IF(ISNUMBER(Q462),IF(Q462&gt;$L$5,P462,""),"")</f>
        <v/>
      </c>
      <c r="S462">
        <f>IF(ISNUMBER('자료_거시'!$E444),'자료_거시'!$E444,S461)</f>
        <v/>
      </c>
      <c r="T462">
        <f>IF(AND(ISNUMBER('자료_거시'!$D444),ISNUMBER('자료_거시'!$E444)),IFERROR('자료_거시'!$E444-INDEX($S$21:$S$4020,MATCH(EDATE('자료_거시'!$D444,-'설정'!$B$17),'자료_거시'!$D$3:INDEX('자료_거시'!$D$3:$D$4002,$K$6),1)),""),"")</f>
        <v/>
      </c>
      <c r="U462">
        <f>IF(ISNUMBER(T462),'자료_거시'!$D444,"")</f>
        <v/>
      </c>
      <c r="V462">
        <f>IF(ISNUMBER(U462),IF(U462&gt;$L$6,T462,""),"")</f>
        <v/>
      </c>
      <c r="W462">
        <f>IF(AND(ISNUMBER('자료_거시'!$G444),ISNUMBER('자료_거시'!$H444)),'자료_거시'!$H444,"")</f>
        <v/>
      </c>
      <c r="X462">
        <f>IF(ISNUMBER(W462),'자료_거시'!$G444,"")</f>
        <v/>
      </c>
      <c r="Y462">
        <f>IF(ISNUMBER(X462),IF(X462&gt;$L$7,W462,""),"")</f>
        <v/>
      </c>
      <c r="Z462">
        <f>IF(ISNUMBER('자료_거시'!$K444),'자료_거시'!$K444,Z461)</f>
        <v/>
      </c>
      <c r="AA462">
        <f>IF(AND(ISNUMBER('자료_거시'!$J444),ISNUMBER('자료_거시'!$K444)),IFERROR('자료_거시'!$K444/INDEX($Z$21:$Z$4020,MATCH(EDATE('자료_거시'!$J444,-'설정'!$B$17),'자료_거시'!$J$3:INDEX('자료_거시'!$J$3:$J$4002,$K$8),1))-1,""),"")</f>
        <v/>
      </c>
      <c r="AB462">
        <f>IF(ISNUMBER(AA462),'자료_거시'!$J444,"")</f>
        <v/>
      </c>
      <c r="AC462">
        <f>IF(ISNUMBER(AB462),IF(AB462&gt;$L$8,AA462,""),"")</f>
        <v/>
      </c>
      <c r="AD462">
        <f>IF(AND(ISNUMBER('자료_거시'!$M444),ISNUMBER('자료_거시'!$N444)),1,0)</f>
        <v/>
      </c>
      <c r="AE462">
        <f>IF(AND(ISNUMBER('자료_거시'!$M444),ISNUMBER('자료_거시'!$N444)),IF(AND(SUMIFS($AD$21:$AD$620,'자료_거시'!$M$3:$M$602,"&gt;"&amp;EDATE('자료_거시'!$M444,-'설정'!$B$17),'자료_거시'!$M$3:$M$602,"&lt;="&amp;'자료_거시'!$M444)=3,SUMIFS($AD$21:$AD$620,'자료_거시'!$M$3:$M$602,"&gt;"&amp;EDATE('자료_거시'!$M444,-12-'설정'!$B$17),'자료_거시'!$M$3:$M$602,"&lt;="&amp;EDATE('자료_거시'!$M444,-12))=3),IFERROR(SUMIFS('자료_거시'!$N$3:$N$602,'자료_거시'!$M$3:$M$602,"&gt;"&amp;EDATE('자료_거시'!$M444,-'설정'!$B$17),'자료_거시'!$M$3:$M$602,"&lt;="&amp;'자료_거시'!$M444)/SUMIFS('자료_거시'!$N$3:$N$602,'자료_거시'!$M$3:$M$602,"&gt;"&amp;EDATE('자료_거시'!$M444,-12-'설정'!$B$17),'자료_거시'!$M$3:$M$602,"&lt;="&amp;EDATE('자료_거시'!$M444,-12))-1,""),""),"")</f>
        <v/>
      </c>
      <c r="AF462">
        <f>IF(ISNUMBER(AE462),'자료_거시'!$M444,"")</f>
        <v/>
      </c>
      <c r="AG462">
        <f>IF(ISNUMBER(AF462),IF(AF462&gt;$L$9,AE462,""),"")</f>
        <v/>
      </c>
    </row>
    <row r="463">
      <c r="P463">
        <f>IF(AND(ISNUMBER('자료_거시'!$A445),ISNUMBER('자료_거시'!$B445)),'자료_거시'!$B445,"")</f>
        <v/>
      </c>
      <c r="Q463">
        <f>IF(ISNUMBER(P463),'자료_거시'!$A445,"")</f>
        <v/>
      </c>
      <c r="R463">
        <f>IF(ISNUMBER(Q463),IF(Q463&gt;$L$5,P463,""),"")</f>
        <v/>
      </c>
      <c r="S463">
        <f>IF(ISNUMBER('자료_거시'!$E445),'자료_거시'!$E445,S462)</f>
        <v/>
      </c>
      <c r="T463">
        <f>IF(AND(ISNUMBER('자료_거시'!$D445),ISNUMBER('자료_거시'!$E445)),IFERROR('자료_거시'!$E445-INDEX($S$21:$S$4020,MATCH(EDATE('자료_거시'!$D445,-'설정'!$B$17),'자료_거시'!$D$3:INDEX('자료_거시'!$D$3:$D$4002,$K$6),1)),""),"")</f>
        <v/>
      </c>
      <c r="U463">
        <f>IF(ISNUMBER(T463),'자료_거시'!$D445,"")</f>
        <v/>
      </c>
      <c r="V463">
        <f>IF(ISNUMBER(U463),IF(U463&gt;$L$6,T463,""),"")</f>
        <v/>
      </c>
      <c r="W463">
        <f>IF(AND(ISNUMBER('자료_거시'!$G445),ISNUMBER('자료_거시'!$H445)),'자료_거시'!$H445,"")</f>
        <v/>
      </c>
      <c r="X463">
        <f>IF(ISNUMBER(W463),'자료_거시'!$G445,"")</f>
        <v/>
      </c>
      <c r="Y463">
        <f>IF(ISNUMBER(X463),IF(X463&gt;$L$7,W463,""),"")</f>
        <v/>
      </c>
      <c r="Z463">
        <f>IF(ISNUMBER('자료_거시'!$K445),'자료_거시'!$K445,Z462)</f>
        <v/>
      </c>
      <c r="AA463">
        <f>IF(AND(ISNUMBER('자료_거시'!$J445),ISNUMBER('자료_거시'!$K445)),IFERROR('자료_거시'!$K445/INDEX($Z$21:$Z$4020,MATCH(EDATE('자료_거시'!$J445,-'설정'!$B$17),'자료_거시'!$J$3:INDEX('자료_거시'!$J$3:$J$4002,$K$8),1))-1,""),"")</f>
        <v/>
      </c>
      <c r="AB463">
        <f>IF(ISNUMBER(AA463),'자료_거시'!$J445,"")</f>
        <v/>
      </c>
      <c r="AC463">
        <f>IF(ISNUMBER(AB463),IF(AB463&gt;$L$8,AA463,""),"")</f>
        <v/>
      </c>
      <c r="AD463">
        <f>IF(AND(ISNUMBER('자료_거시'!$M445),ISNUMBER('자료_거시'!$N445)),1,0)</f>
        <v/>
      </c>
      <c r="AE463">
        <f>IF(AND(ISNUMBER('자료_거시'!$M445),ISNUMBER('자료_거시'!$N445)),IF(AND(SUMIFS($AD$21:$AD$620,'자료_거시'!$M$3:$M$602,"&gt;"&amp;EDATE('자료_거시'!$M445,-'설정'!$B$17),'자료_거시'!$M$3:$M$602,"&lt;="&amp;'자료_거시'!$M445)=3,SUMIFS($AD$21:$AD$620,'자료_거시'!$M$3:$M$602,"&gt;"&amp;EDATE('자료_거시'!$M445,-12-'설정'!$B$17),'자료_거시'!$M$3:$M$602,"&lt;="&amp;EDATE('자료_거시'!$M445,-12))=3),IFERROR(SUMIFS('자료_거시'!$N$3:$N$602,'자료_거시'!$M$3:$M$602,"&gt;"&amp;EDATE('자료_거시'!$M445,-'설정'!$B$17),'자료_거시'!$M$3:$M$602,"&lt;="&amp;'자료_거시'!$M445)/SUMIFS('자료_거시'!$N$3:$N$602,'자료_거시'!$M$3:$M$602,"&gt;"&amp;EDATE('자료_거시'!$M445,-12-'설정'!$B$17),'자료_거시'!$M$3:$M$602,"&lt;="&amp;EDATE('자료_거시'!$M445,-12))-1,""),""),"")</f>
        <v/>
      </c>
      <c r="AF463">
        <f>IF(ISNUMBER(AE463),'자료_거시'!$M445,"")</f>
        <v/>
      </c>
      <c r="AG463">
        <f>IF(ISNUMBER(AF463),IF(AF463&gt;$L$9,AE463,""),"")</f>
        <v/>
      </c>
    </row>
    <row r="464">
      <c r="P464">
        <f>IF(AND(ISNUMBER('자료_거시'!$A446),ISNUMBER('자료_거시'!$B446)),'자료_거시'!$B446,"")</f>
        <v/>
      </c>
      <c r="Q464">
        <f>IF(ISNUMBER(P464),'자료_거시'!$A446,"")</f>
        <v/>
      </c>
      <c r="R464">
        <f>IF(ISNUMBER(Q464),IF(Q464&gt;$L$5,P464,""),"")</f>
        <v/>
      </c>
      <c r="S464">
        <f>IF(ISNUMBER('자료_거시'!$E446),'자료_거시'!$E446,S463)</f>
        <v/>
      </c>
      <c r="T464">
        <f>IF(AND(ISNUMBER('자료_거시'!$D446),ISNUMBER('자료_거시'!$E446)),IFERROR('자료_거시'!$E446-INDEX($S$21:$S$4020,MATCH(EDATE('자료_거시'!$D446,-'설정'!$B$17),'자료_거시'!$D$3:INDEX('자료_거시'!$D$3:$D$4002,$K$6),1)),""),"")</f>
        <v/>
      </c>
      <c r="U464">
        <f>IF(ISNUMBER(T464),'자료_거시'!$D446,"")</f>
        <v/>
      </c>
      <c r="V464">
        <f>IF(ISNUMBER(U464),IF(U464&gt;$L$6,T464,""),"")</f>
        <v/>
      </c>
      <c r="W464">
        <f>IF(AND(ISNUMBER('자료_거시'!$G446),ISNUMBER('자료_거시'!$H446)),'자료_거시'!$H446,"")</f>
        <v/>
      </c>
      <c r="X464">
        <f>IF(ISNUMBER(W464),'자료_거시'!$G446,"")</f>
        <v/>
      </c>
      <c r="Y464">
        <f>IF(ISNUMBER(X464),IF(X464&gt;$L$7,W464,""),"")</f>
        <v/>
      </c>
      <c r="Z464">
        <f>IF(ISNUMBER('자료_거시'!$K446),'자료_거시'!$K446,Z463)</f>
        <v/>
      </c>
      <c r="AA464">
        <f>IF(AND(ISNUMBER('자료_거시'!$J446),ISNUMBER('자료_거시'!$K446)),IFERROR('자료_거시'!$K446/INDEX($Z$21:$Z$4020,MATCH(EDATE('자료_거시'!$J446,-'설정'!$B$17),'자료_거시'!$J$3:INDEX('자료_거시'!$J$3:$J$4002,$K$8),1))-1,""),"")</f>
        <v/>
      </c>
      <c r="AB464">
        <f>IF(ISNUMBER(AA464),'자료_거시'!$J446,"")</f>
        <v/>
      </c>
      <c r="AC464">
        <f>IF(ISNUMBER(AB464),IF(AB464&gt;$L$8,AA464,""),"")</f>
        <v/>
      </c>
      <c r="AD464">
        <f>IF(AND(ISNUMBER('자료_거시'!$M446),ISNUMBER('자료_거시'!$N446)),1,0)</f>
        <v/>
      </c>
      <c r="AE464">
        <f>IF(AND(ISNUMBER('자료_거시'!$M446),ISNUMBER('자료_거시'!$N446)),IF(AND(SUMIFS($AD$21:$AD$620,'자료_거시'!$M$3:$M$602,"&gt;"&amp;EDATE('자료_거시'!$M446,-'설정'!$B$17),'자료_거시'!$M$3:$M$602,"&lt;="&amp;'자료_거시'!$M446)=3,SUMIFS($AD$21:$AD$620,'자료_거시'!$M$3:$M$602,"&gt;"&amp;EDATE('자료_거시'!$M446,-12-'설정'!$B$17),'자료_거시'!$M$3:$M$602,"&lt;="&amp;EDATE('자료_거시'!$M446,-12))=3),IFERROR(SUMIFS('자료_거시'!$N$3:$N$602,'자료_거시'!$M$3:$M$602,"&gt;"&amp;EDATE('자료_거시'!$M446,-'설정'!$B$17),'자료_거시'!$M$3:$M$602,"&lt;="&amp;'자료_거시'!$M446)/SUMIFS('자료_거시'!$N$3:$N$602,'자료_거시'!$M$3:$M$602,"&gt;"&amp;EDATE('자료_거시'!$M446,-12-'설정'!$B$17),'자료_거시'!$M$3:$M$602,"&lt;="&amp;EDATE('자료_거시'!$M446,-12))-1,""),""),"")</f>
        <v/>
      </c>
      <c r="AF464">
        <f>IF(ISNUMBER(AE464),'자료_거시'!$M446,"")</f>
        <v/>
      </c>
      <c r="AG464">
        <f>IF(ISNUMBER(AF464),IF(AF464&gt;$L$9,AE464,""),"")</f>
        <v/>
      </c>
    </row>
    <row r="465">
      <c r="P465">
        <f>IF(AND(ISNUMBER('자료_거시'!$A447),ISNUMBER('자료_거시'!$B447)),'자료_거시'!$B447,"")</f>
        <v/>
      </c>
      <c r="Q465">
        <f>IF(ISNUMBER(P465),'자료_거시'!$A447,"")</f>
        <v/>
      </c>
      <c r="R465">
        <f>IF(ISNUMBER(Q465),IF(Q465&gt;$L$5,P465,""),"")</f>
        <v/>
      </c>
      <c r="S465">
        <f>IF(ISNUMBER('자료_거시'!$E447),'자료_거시'!$E447,S464)</f>
        <v/>
      </c>
      <c r="T465">
        <f>IF(AND(ISNUMBER('자료_거시'!$D447),ISNUMBER('자료_거시'!$E447)),IFERROR('자료_거시'!$E447-INDEX($S$21:$S$4020,MATCH(EDATE('자료_거시'!$D447,-'설정'!$B$17),'자료_거시'!$D$3:INDEX('자료_거시'!$D$3:$D$4002,$K$6),1)),""),"")</f>
        <v/>
      </c>
      <c r="U465">
        <f>IF(ISNUMBER(T465),'자료_거시'!$D447,"")</f>
        <v/>
      </c>
      <c r="V465">
        <f>IF(ISNUMBER(U465),IF(U465&gt;$L$6,T465,""),"")</f>
        <v/>
      </c>
      <c r="W465">
        <f>IF(AND(ISNUMBER('자료_거시'!$G447),ISNUMBER('자료_거시'!$H447)),'자료_거시'!$H447,"")</f>
        <v/>
      </c>
      <c r="X465">
        <f>IF(ISNUMBER(W465),'자료_거시'!$G447,"")</f>
        <v/>
      </c>
      <c r="Y465">
        <f>IF(ISNUMBER(X465),IF(X465&gt;$L$7,W465,""),"")</f>
        <v/>
      </c>
      <c r="Z465">
        <f>IF(ISNUMBER('자료_거시'!$K447),'자료_거시'!$K447,Z464)</f>
        <v/>
      </c>
      <c r="AA465">
        <f>IF(AND(ISNUMBER('자료_거시'!$J447),ISNUMBER('자료_거시'!$K447)),IFERROR('자료_거시'!$K447/INDEX($Z$21:$Z$4020,MATCH(EDATE('자료_거시'!$J447,-'설정'!$B$17),'자료_거시'!$J$3:INDEX('자료_거시'!$J$3:$J$4002,$K$8),1))-1,""),"")</f>
        <v/>
      </c>
      <c r="AB465">
        <f>IF(ISNUMBER(AA465),'자료_거시'!$J447,"")</f>
        <v/>
      </c>
      <c r="AC465">
        <f>IF(ISNUMBER(AB465),IF(AB465&gt;$L$8,AA465,""),"")</f>
        <v/>
      </c>
      <c r="AD465">
        <f>IF(AND(ISNUMBER('자료_거시'!$M447),ISNUMBER('자료_거시'!$N447)),1,0)</f>
        <v/>
      </c>
      <c r="AE465">
        <f>IF(AND(ISNUMBER('자료_거시'!$M447),ISNUMBER('자료_거시'!$N447)),IF(AND(SUMIFS($AD$21:$AD$620,'자료_거시'!$M$3:$M$602,"&gt;"&amp;EDATE('자료_거시'!$M447,-'설정'!$B$17),'자료_거시'!$M$3:$M$602,"&lt;="&amp;'자료_거시'!$M447)=3,SUMIFS($AD$21:$AD$620,'자료_거시'!$M$3:$M$602,"&gt;"&amp;EDATE('자료_거시'!$M447,-12-'설정'!$B$17),'자료_거시'!$M$3:$M$602,"&lt;="&amp;EDATE('자료_거시'!$M447,-12))=3),IFERROR(SUMIFS('자료_거시'!$N$3:$N$602,'자료_거시'!$M$3:$M$602,"&gt;"&amp;EDATE('자료_거시'!$M447,-'설정'!$B$17),'자료_거시'!$M$3:$M$602,"&lt;="&amp;'자료_거시'!$M447)/SUMIFS('자료_거시'!$N$3:$N$602,'자료_거시'!$M$3:$M$602,"&gt;"&amp;EDATE('자료_거시'!$M447,-12-'설정'!$B$17),'자료_거시'!$M$3:$M$602,"&lt;="&amp;EDATE('자료_거시'!$M447,-12))-1,""),""),"")</f>
        <v/>
      </c>
      <c r="AF465">
        <f>IF(ISNUMBER(AE465),'자료_거시'!$M447,"")</f>
        <v/>
      </c>
      <c r="AG465">
        <f>IF(ISNUMBER(AF465),IF(AF465&gt;$L$9,AE465,""),"")</f>
        <v/>
      </c>
    </row>
    <row r="466">
      <c r="P466">
        <f>IF(AND(ISNUMBER('자료_거시'!$A448),ISNUMBER('자료_거시'!$B448)),'자료_거시'!$B448,"")</f>
        <v/>
      </c>
      <c r="Q466">
        <f>IF(ISNUMBER(P466),'자료_거시'!$A448,"")</f>
        <v/>
      </c>
      <c r="R466">
        <f>IF(ISNUMBER(Q466),IF(Q466&gt;$L$5,P466,""),"")</f>
        <v/>
      </c>
      <c r="S466">
        <f>IF(ISNUMBER('자료_거시'!$E448),'자료_거시'!$E448,S465)</f>
        <v/>
      </c>
      <c r="T466">
        <f>IF(AND(ISNUMBER('자료_거시'!$D448),ISNUMBER('자료_거시'!$E448)),IFERROR('자료_거시'!$E448-INDEX($S$21:$S$4020,MATCH(EDATE('자료_거시'!$D448,-'설정'!$B$17),'자료_거시'!$D$3:INDEX('자료_거시'!$D$3:$D$4002,$K$6),1)),""),"")</f>
        <v/>
      </c>
      <c r="U466">
        <f>IF(ISNUMBER(T466),'자료_거시'!$D448,"")</f>
        <v/>
      </c>
      <c r="V466">
        <f>IF(ISNUMBER(U466),IF(U466&gt;$L$6,T466,""),"")</f>
        <v/>
      </c>
      <c r="W466">
        <f>IF(AND(ISNUMBER('자료_거시'!$G448),ISNUMBER('자료_거시'!$H448)),'자료_거시'!$H448,"")</f>
        <v/>
      </c>
      <c r="X466">
        <f>IF(ISNUMBER(W466),'자료_거시'!$G448,"")</f>
        <v/>
      </c>
      <c r="Y466">
        <f>IF(ISNUMBER(X466),IF(X466&gt;$L$7,W466,""),"")</f>
        <v/>
      </c>
      <c r="Z466">
        <f>IF(ISNUMBER('자료_거시'!$K448),'자료_거시'!$K448,Z465)</f>
        <v/>
      </c>
      <c r="AA466">
        <f>IF(AND(ISNUMBER('자료_거시'!$J448),ISNUMBER('자료_거시'!$K448)),IFERROR('자료_거시'!$K448/INDEX($Z$21:$Z$4020,MATCH(EDATE('자료_거시'!$J448,-'설정'!$B$17),'자료_거시'!$J$3:INDEX('자료_거시'!$J$3:$J$4002,$K$8),1))-1,""),"")</f>
        <v/>
      </c>
      <c r="AB466">
        <f>IF(ISNUMBER(AA466),'자료_거시'!$J448,"")</f>
        <v/>
      </c>
      <c r="AC466">
        <f>IF(ISNUMBER(AB466),IF(AB466&gt;$L$8,AA466,""),"")</f>
        <v/>
      </c>
      <c r="AD466">
        <f>IF(AND(ISNUMBER('자료_거시'!$M448),ISNUMBER('자료_거시'!$N448)),1,0)</f>
        <v/>
      </c>
      <c r="AE466">
        <f>IF(AND(ISNUMBER('자료_거시'!$M448),ISNUMBER('자료_거시'!$N448)),IF(AND(SUMIFS($AD$21:$AD$620,'자료_거시'!$M$3:$M$602,"&gt;"&amp;EDATE('자료_거시'!$M448,-'설정'!$B$17),'자료_거시'!$M$3:$M$602,"&lt;="&amp;'자료_거시'!$M448)=3,SUMIFS($AD$21:$AD$620,'자료_거시'!$M$3:$M$602,"&gt;"&amp;EDATE('자료_거시'!$M448,-12-'설정'!$B$17),'자료_거시'!$M$3:$M$602,"&lt;="&amp;EDATE('자료_거시'!$M448,-12))=3),IFERROR(SUMIFS('자료_거시'!$N$3:$N$602,'자료_거시'!$M$3:$M$602,"&gt;"&amp;EDATE('자료_거시'!$M448,-'설정'!$B$17),'자료_거시'!$M$3:$M$602,"&lt;="&amp;'자료_거시'!$M448)/SUMIFS('자료_거시'!$N$3:$N$602,'자료_거시'!$M$3:$M$602,"&gt;"&amp;EDATE('자료_거시'!$M448,-12-'설정'!$B$17),'자료_거시'!$M$3:$M$602,"&lt;="&amp;EDATE('자료_거시'!$M448,-12))-1,""),""),"")</f>
        <v/>
      </c>
      <c r="AF466">
        <f>IF(ISNUMBER(AE466),'자료_거시'!$M448,"")</f>
        <v/>
      </c>
      <c r="AG466">
        <f>IF(ISNUMBER(AF466),IF(AF466&gt;$L$9,AE466,""),"")</f>
        <v/>
      </c>
    </row>
    <row r="467">
      <c r="P467">
        <f>IF(AND(ISNUMBER('자료_거시'!$A449),ISNUMBER('자료_거시'!$B449)),'자료_거시'!$B449,"")</f>
        <v/>
      </c>
      <c r="Q467">
        <f>IF(ISNUMBER(P467),'자료_거시'!$A449,"")</f>
        <v/>
      </c>
      <c r="R467">
        <f>IF(ISNUMBER(Q467),IF(Q467&gt;$L$5,P467,""),"")</f>
        <v/>
      </c>
      <c r="S467">
        <f>IF(ISNUMBER('자료_거시'!$E449),'자료_거시'!$E449,S466)</f>
        <v/>
      </c>
      <c r="T467">
        <f>IF(AND(ISNUMBER('자료_거시'!$D449),ISNUMBER('자료_거시'!$E449)),IFERROR('자료_거시'!$E449-INDEX($S$21:$S$4020,MATCH(EDATE('자료_거시'!$D449,-'설정'!$B$17),'자료_거시'!$D$3:INDEX('자료_거시'!$D$3:$D$4002,$K$6),1)),""),"")</f>
        <v/>
      </c>
      <c r="U467">
        <f>IF(ISNUMBER(T467),'자료_거시'!$D449,"")</f>
        <v/>
      </c>
      <c r="V467">
        <f>IF(ISNUMBER(U467),IF(U467&gt;$L$6,T467,""),"")</f>
        <v/>
      </c>
      <c r="W467">
        <f>IF(AND(ISNUMBER('자료_거시'!$G449),ISNUMBER('자료_거시'!$H449)),'자료_거시'!$H449,"")</f>
        <v/>
      </c>
      <c r="X467">
        <f>IF(ISNUMBER(W467),'자료_거시'!$G449,"")</f>
        <v/>
      </c>
      <c r="Y467">
        <f>IF(ISNUMBER(X467),IF(X467&gt;$L$7,W467,""),"")</f>
        <v/>
      </c>
      <c r="Z467">
        <f>IF(ISNUMBER('자료_거시'!$K449),'자료_거시'!$K449,Z466)</f>
        <v/>
      </c>
      <c r="AA467">
        <f>IF(AND(ISNUMBER('자료_거시'!$J449),ISNUMBER('자료_거시'!$K449)),IFERROR('자료_거시'!$K449/INDEX($Z$21:$Z$4020,MATCH(EDATE('자료_거시'!$J449,-'설정'!$B$17),'자료_거시'!$J$3:INDEX('자료_거시'!$J$3:$J$4002,$K$8),1))-1,""),"")</f>
        <v/>
      </c>
      <c r="AB467">
        <f>IF(ISNUMBER(AA467),'자료_거시'!$J449,"")</f>
        <v/>
      </c>
      <c r="AC467">
        <f>IF(ISNUMBER(AB467),IF(AB467&gt;$L$8,AA467,""),"")</f>
        <v/>
      </c>
      <c r="AD467">
        <f>IF(AND(ISNUMBER('자료_거시'!$M449),ISNUMBER('자료_거시'!$N449)),1,0)</f>
        <v/>
      </c>
      <c r="AE467">
        <f>IF(AND(ISNUMBER('자료_거시'!$M449),ISNUMBER('자료_거시'!$N449)),IF(AND(SUMIFS($AD$21:$AD$620,'자료_거시'!$M$3:$M$602,"&gt;"&amp;EDATE('자료_거시'!$M449,-'설정'!$B$17),'자료_거시'!$M$3:$M$602,"&lt;="&amp;'자료_거시'!$M449)=3,SUMIFS($AD$21:$AD$620,'자료_거시'!$M$3:$M$602,"&gt;"&amp;EDATE('자료_거시'!$M449,-12-'설정'!$B$17),'자료_거시'!$M$3:$M$602,"&lt;="&amp;EDATE('자료_거시'!$M449,-12))=3),IFERROR(SUMIFS('자료_거시'!$N$3:$N$602,'자료_거시'!$M$3:$M$602,"&gt;"&amp;EDATE('자료_거시'!$M449,-'설정'!$B$17),'자료_거시'!$M$3:$M$602,"&lt;="&amp;'자료_거시'!$M449)/SUMIFS('자료_거시'!$N$3:$N$602,'자료_거시'!$M$3:$M$602,"&gt;"&amp;EDATE('자료_거시'!$M449,-12-'설정'!$B$17),'자료_거시'!$M$3:$M$602,"&lt;="&amp;EDATE('자료_거시'!$M449,-12))-1,""),""),"")</f>
        <v/>
      </c>
      <c r="AF467">
        <f>IF(ISNUMBER(AE467),'자료_거시'!$M449,"")</f>
        <v/>
      </c>
      <c r="AG467">
        <f>IF(ISNUMBER(AF467),IF(AF467&gt;$L$9,AE467,""),"")</f>
        <v/>
      </c>
    </row>
    <row r="468">
      <c r="P468">
        <f>IF(AND(ISNUMBER('자료_거시'!$A450),ISNUMBER('자료_거시'!$B450)),'자료_거시'!$B450,"")</f>
        <v/>
      </c>
      <c r="Q468">
        <f>IF(ISNUMBER(P468),'자료_거시'!$A450,"")</f>
        <v/>
      </c>
      <c r="R468">
        <f>IF(ISNUMBER(Q468),IF(Q468&gt;$L$5,P468,""),"")</f>
        <v/>
      </c>
      <c r="S468">
        <f>IF(ISNUMBER('자료_거시'!$E450),'자료_거시'!$E450,S467)</f>
        <v/>
      </c>
      <c r="T468">
        <f>IF(AND(ISNUMBER('자료_거시'!$D450),ISNUMBER('자료_거시'!$E450)),IFERROR('자료_거시'!$E450-INDEX($S$21:$S$4020,MATCH(EDATE('자료_거시'!$D450,-'설정'!$B$17),'자료_거시'!$D$3:INDEX('자료_거시'!$D$3:$D$4002,$K$6),1)),""),"")</f>
        <v/>
      </c>
      <c r="U468">
        <f>IF(ISNUMBER(T468),'자료_거시'!$D450,"")</f>
        <v/>
      </c>
      <c r="V468">
        <f>IF(ISNUMBER(U468),IF(U468&gt;$L$6,T468,""),"")</f>
        <v/>
      </c>
      <c r="W468">
        <f>IF(AND(ISNUMBER('자료_거시'!$G450),ISNUMBER('자료_거시'!$H450)),'자료_거시'!$H450,"")</f>
        <v/>
      </c>
      <c r="X468">
        <f>IF(ISNUMBER(W468),'자료_거시'!$G450,"")</f>
        <v/>
      </c>
      <c r="Y468">
        <f>IF(ISNUMBER(X468),IF(X468&gt;$L$7,W468,""),"")</f>
        <v/>
      </c>
      <c r="Z468">
        <f>IF(ISNUMBER('자료_거시'!$K450),'자료_거시'!$K450,Z467)</f>
        <v/>
      </c>
      <c r="AA468">
        <f>IF(AND(ISNUMBER('자료_거시'!$J450),ISNUMBER('자료_거시'!$K450)),IFERROR('자료_거시'!$K450/INDEX($Z$21:$Z$4020,MATCH(EDATE('자료_거시'!$J450,-'설정'!$B$17),'자료_거시'!$J$3:INDEX('자료_거시'!$J$3:$J$4002,$K$8),1))-1,""),"")</f>
        <v/>
      </c>
      <c r="AB468">
        <f>IF(ISNUMBER(AA468),'자료_거시'!$J450,"")</f>
        <v/>
      </c>
      <c r="AC468">
        <f>IF(ISNUMBER(AB468),IF(AB468&gt;$L$8,AA468,""),"")</f>
        <v/>
      </c>
      <c r="AD468">
        <f>IF(AND(ISNUMBER('자료_거시'!$M450),ISNUMBER('자료_거시'!$N450)),1,0)</f>
        <v/>
      </c>
      <c r="AE468">
        <f>IF(AND(ISNUMBER('자료_거시'!$M450),ISNUMBER('자료_거시'!$N450)),IF(AND(SUMIFS($AD$21:$AD$620,'자료_거시'!$M$3:$M$602,"&gt;"&amp;EDATE('자료_거시'!$M450,-'설정'!$B$17),'자료_거시'!$M$3:$M$602,"&lt;="&amp;'자료_거시'!$M450)=3,SUMIFS($AD$21:$AD$620,'자료_거시'!$M$3:$M$602,"&gt;"&amp;EDATE('자료_거시'!$M450,-12-'설정'!$B$17),'자료_거시'!$M$3:$M$602,"&lt;="&amp;EDATE('자료_거시'!$M450,-12))=3),IFERROR(SUMIFS('자료_거시'!$N$3:$N$602,'자료_거시'!$M$3:$M$602,"&gt;"&amp;EDATE('자료_거시'!$M450,-'설정'!$B$17),'자료_거시'!$M$3:$M$602,"&lt;="&amp;'자료_거시'!$M450)/SUMIFS('자료_거시'!$N$3:$N$602,'자료_거시'!$M$3:$M$602,"&gt;"&amp;EDATE('자료_거시'!$M450,-12-'설정'!$B$17),'자료_거시'!$M$3:$M$602,"&lt;="&amp;EDATE('자료_거시'!$M450,-12))-1,""),""),"")</f>
        <v/>
      </c>
      <c r="AF468">
        <f>IF(ISNUMBER(AE468),'자료_거시'!$M450,"")</f>
        <v/>
      </c>
      <c r="AG468">
        <f>IF(ISNUMBER(AF468),IF(AF468&gt;$L$9,AE468,""),"")</f>
        <v/>
      </c>
    </row>
    <row r="469">
      <c r="P469">
        <f>IF(AND(ISNUMBER('자료_거시'!$A451),ISNUMBER('자료_거시'!$B451)),'자료_거시'!$B451,"")</f>
        <v/>
      </c>
      <c r="Q469">
        <f>IF(ISNUMBER(P469),'자료_거시'!$A451,"")</f>
        <v/>
      </c>
      <c r="R469">
        <f>IF(ISNUMBER(Q469),IF(Q469&gt;$L$5,P469,""),"")</f>
        <v/>
      </c>
      <c r="S469">
        <f>IF(ISNUMBER('자료_거시'!$E451),'자료_거시'!$E451,S468)</f>
        <v/>
      </c>
      <c r="T469">
        <f>IF(AND(ISNUMBER('자료_거시'!$D451),ISNUMBER('자료_거시'!$E451)),IFERROR('자료_거시'!$E451-INDEX($S$21:$S$4020,MATCH(EDATE('자료_거시'!$D451,-'설정'!$B$17),'자료_거시'!$D$3:INDEX('자료_거시'!$D$3:$D$4002,$K$6),1)),""),"")</f>
        <v/>
      </c>
      <c r="U469">
        <f>IF(ISNUMBER(T469),'자료_거시'!$D451,"")</f>
        <v/>
      </c>
      <c r="V469">
        <f>IF(ISNUMBER(U469),IF(U469&gt;$L$6,T469,""),"")</f>
        <v/>
      </c>
      <c r="W469">
        <f>IF(AND(ISNUMBER('자료_거시'!$G451),ISNUMBER('자료_거시'!$H451)),'자료_거시'!$H451,"")</f>
        <v/>
      </c>
      <c r="X469">
        <f>IF(ISNUMBER(W469),'자료_거시'!$G451,"")</f>
        <v/>
      </c>
      <c r="Y469">
        <f>IF(ISNUMBER(X469),IF(X469&gt;$L$7,W469,""),"")</f>
        <v/>
      </c>
      <c r="Z469">
        <f>IF(ISNUMBER('자료_거시'!$K451),'자료_거시'!$K451,Z468)</f>
        <v/>
      </c>
      <c r="AA469">
        <f>IF(AND(ISNUMBER('자료_거시'!$J451),ISNUMBER('자료_거시'!$K451)),IFERROR('자료_거시'!$K451/INDEX($Z$21:$Z$4020,MATCH(EDATE('자료_거시'!$J451,-'설정'!$B$17),'자료_거시'!$J$3:INDEX('자료_거시'!$J$3:$J$4002,$K$8),1))-1,""),"")</f>
        <v/>
      </c>
      <c r="AB469">
        <f>IF(ISNUMBER(AA469),'자료_거시'!$J451,"")</f>
        <v/>
      </c>
      <c r="AC469">
        <f>IF(ISNUMBER(AB469),IF(AB469&gt;$L$8,AA469,""),"")</f>
        <v/>
      </c>
      <c r="AD469">
        <f>IF(AND(ISNUMBER('자료_거시'!$M451),ISNUMBER('자료_거시'!$N451)),1,0)</f>
        <v/>
      </c>
      <c r="AE469">
        <f>IF(AND(ISNUMBER('자료_거시'!$M451),ISNUMBER('자료_거시'!$N451)),IF(AND(SUMIFS($AD$21:$AD$620,'자료_거시'!$M$3:$M$602,"&gt;"&amp;EDATE('자료_거시'!$M451,-'설정'!$B$17),'자료_거시'!$M$3:$M$602,"&lt;="&amp;'자료_거시'!$M451)=3,SUMIFS($AD$21:$AD$620,'자료_거시'!$M$3:$M$602,"&gt;"&amp;EDATE('자료_거시'!$M451,-12-'설정'!$B$17),'자료_거시'!$M$3:$M$602,"&lt;="&amp;EDATE('자료_거시'!$M451,-12))=3),IFERROR(SUMIFS('자료_거시'!$N$3:$N$602,'자료_거시'!$M$3:$M$602,"&gt;"&amp;EDATE('자료_거시'!$M451,-'설정'!$B$17),'자료_거시'!$M$3:$M$602,"&lt;="&amp;'자료_거시'!$M451)/SUMIFS('자료_거시'!$N$3:$N$602,'자료_거시'!$M$3:$M$602,"&gt;"&amp;EDATE('자료_거시'!$M451,-12-'설정'!$B$17),'자료_거시'!$M$3:$M$602,"&lt;="&amp;EDATE('자료_거시'!$M451,-12))-1,""),""),"")</f>
        <v/>
      </c>
      <c r="AF469">
        <f>IF(ISNUMBER(AE469),'자료_거시'!$M451,"")</f>
        <v/>
      </c>
      <c r="AG469">
        <f>IF(ISNUMBER(AF469),IF(AF469&gt;$L$9,AE469,""),"")</f>
        <v/>
      </c>
    </row>
    <row r="470">
      <c r="P470">
        <f>IF(AND(ISNUMBER('자료_거시'!$A452),ISNUMBER('자료_거시'!$B452)),'자료_거시'!$B452,"")</f>
        <v/>
      </c>
      <c r="Q470">
        <f>IF(ISNUMBER(P470),'자료_거시'!$A452,"")</f>
        <v/>
      </c>
      <c r="R470">
        <f>IF(ISNUMBER(Q470),IF(Q470&gt;$L$5,P470,""),"")</f>
        <v/>
      </c>
      <c r="S470">
        <f>IF(ISNUMBER('자료_거시'!$E452),'자료_거시'!$E452,S469)</f>
        <v/>
      </c>
      <c r="T470">
        <f>IF(AND(ISNUMBER('자료_거시'!$D452),ISNUMBER('자료_거시'!$E452)),IFERROR('자료_거시'!$E452-INDEX($S$21:$S$4020,MATCH(EDATE('자료_거시'!$D452,-'설정'!$B$17),'자료_거시'!$D$3:INDEX('자료_거시'!$D$3:$D$4002,$K$6),1)),""),"")</f>
        <v/>
      </c>
      <c r="U470">
        <f>IF(ISNUMBER(T470),'자료_거시'!$D452,"")</f>
        <v/>
      </c>
      <c r="V470">
        <f>IF(ISNUMBER(U470),IF(U470&gt;$L$6,T470,""),"")</f>
        <v/>
      </c>
      <c r="W470">
        <f>IF(AND(ISNUMBER('자료_거시'!$G452),ISNUMBER('자료_거시'!$H452)),'자료_거시'!$H452,"")</f>
        <v/>
      </c>
      <c r="X470">
        <f>IF(ISNUMBER(W470),'자료_거시'!$G452,"")</f>
        <v/>
      </c>
      <c r="Y470">
        <f>IF(ISNUMBER(X470),IF(X470&gt;$L$7,W470,""),"")</f>
        <v/>
      </c>
      <c r="Z470">
        <f>IF(ISNUMBER('자료_거시'!$K452),'자료_거시'!$K452,Z469)</f>
        <v/>
      </c>
      <c r="AA470">
        <f>IF(AND(ISNUMBER('자료_거시'!$J452),ISNUMBER('자료_거시'!$K452)),IFERROR('자료_거시'!$K452/INDEX($Z$21:$Z$4020,MATCH(EDATE('자료_거시'!$J452,-'설정'!$B$17),'자료_거시'!$J$3:INDEX('자료_거시'!$J$3:$J$4002,$K$8),1))-1,""),"")</f>
        <v/>
      </c>
      <c r="AB470">
        <f>IF(ISNUMBER(AA470),'자료_거시'!$J452,"")</f>
        <v/>
      </c>
      <c r="AC470">
        <f>IF(ISNUMBER(AB470),IF(AB470&gt;$L$8,AA470,""),"")</f>
        <v/>
      </c>
      <c r="AD470">
        <f>IF(AND(ISNUMBER('자료_거시'!$M452),ISNUMBER('자료_거시'!$N452)),1,0)</f>
        <v/>
      </c>
      <c r="AE470">
        <f>IF(AND(ISNUMBER('자료_거시'!$M452),ISNUMBER('자료_거시'!$N452)),IF(AND(SUMIFS($AD$21:$AD$620,'자료_거시'!$M$3:$M$602,"&gt;"&amp;EDATE('자료_거시'!$M452,-'설정'!$B$17),'자료_거시'!$M$3:$M$602,"&lt;="&amp;'자료_거시'!$M452)=3,SUMIFS($AD$21:$AD$620,'자료_거시'!$M$3:$M$602,"&gt;"&amp;EDATE('자료_거시'!$M452,-12-'설정'!$B$17),'자료_거시'!$M$3:$M$602,"&lt;="&amp;EDATE('자료_거시'!$M452,-12))=3),IFERROR(SUMIFS('자료_거시'!$N$3:$N$602,'자료_거시'!$M$3:$M$602,"&gt;"&amp;EDATE('자료_거시'!$M452,-'설정'!$B$17),'자료_거시'!$M$3:$M$602,"&lt;="&amp;'자료_거시'!$M452)/SUMIFS('자료_거시'!$N$3:$N$602,'자료_거시'!$M$3:$M$602,"&gt;"&amp;EDATE('자료_거시'!$M452,-12-'설정'!$B$17),'자료_거시'!$M$3:$M$602,"&lt;="&amp;EDATE('자료_거시'!$M452,-12))-1,""),""),"")</f>
        <v/>
      </c>
      <c r="AF470">
        <f>IF(ISNUMBER(AE470),'자료_거시'!$M452,"")</f>
        <v/>
      </c>
      <c r="AG470">
        <f>IF(ISNUMBER(AF470),IF(AF470&gt;$L$9,AE470,""),"")</f>
        <v/>
      </c>
    </row>
    <row r="471">
      <c r="P471">
        <f>IF(AND(ISNUMBER('자료_거시'!$A453),ISNUMBER('자료_거시'!$B453)),'자료_거시'!$B453,"")</f>
        <v/>
      </c>
      <c r="Q471">
        <f>IF(ISNUMBER(P471),'자료_거시'!$A453,"")</f>
        <v/>
      </c>
      <c r="R471">
        <f>IF(ISNUMBER(Q471),IF(Q471&gt;$L$5,P471,""),"")</f>
        <v/>
      </c>
      <c r="S471">
        <f>IF(ISNUMBER('자료_거시'!$E453),'자료_거시'!$E453,S470)</f>
        <v/>
      </c>
      <c r="T471">
        <f>IF(AND(ISNUMBER('자료_거시'!$D453),ISNUMBER('자료_거시'!$E453)),IFERROR('자료_거시'!$E453-INDEX($S$21:$S$4020,MATCH(EDATE('자료_거시'!$D453,-'설정'!$B$17),'자료_거시'!$D$3:INDEX('자료_거시'!$D$3:$D$4002,$K$6),1)),""),"")</f>
        <v/>
      </c>
      <c r="U471">
        <f>IF(ISNUMBER(T471),'자료_거시'!$D453,"")</f>
        <v/>
      </c>
      <c r="V471">
        <f>IF(ISNUMBER(U471),IF(U471&gt;$L$6,T471,""),"")</f>
        <v/>
      </c>
      <c r="W471">
        <f>IF(AND(ISNUMBER('자료_거시'!$G453),ISNUMBER('자료_거시'!$H453)),'자료_거시'!$H453,"")</f>
        <v/>
      </c>
      <c r="X471">
        <f>IF(ISNUMBER(W471),'자료_거시'!$G453,"")</f>
        <v/>
      </c>
      <c r="Y471">
        <f>IF(ISNUMBER(X471),IF(X471&gt;$L$7,W471,""),"")</f>
        <v/>
      </c>
      <c r="Z471">
        <f>IF(ISNUMBER('자료_거시'!$K453),'자료_거시'!$K453,Z470)</f>
        <v/>
      </c>
      <c r="AA471">
        <f>IF(AND(ISNUMBER('자료_거시'!$J453),ISNUMBER('자료_거시'!$K453)),IFERROR('자료_거시'!$K453/INDEX($Z$21:$Z$4020,MATCH(EDATE('자료_거시'!$J453,-'설정'!$B$17),'자료_거시'!$J$3:INDEX('자료_거시'!$J$3:$J$4002,$K$8),1))-1,""),"")</f>
        <v/>
      </c>
      <c r="AB471">
        <f>IF(ISNUMBER(AA471),'자료_거시'!$J453,"")</f>
        <v/>
      </c>
      <c r="AC471">
        <f>IF(ISNUMBER(AB471),IF(AB471&gt;$L$8,AA471,""),"")</f>
        <v/>
      </c>
      <c r="AD471">
        <f>IF(AND(ISNUMBER('자료_거시'!$M453),ISNUMBER('자료_거시'!$N453)),1,0)</f>
        <v/>
      </c>
      <c r="AE471">
        <f>IF(AND(ISNUMBER('자료_거시'!$M453),ISNUMBER('자료_거시'!$N453)),IF(AND(SUMIFS($AD$21:$AD$620,'자료_거시'!$M$3:$M$602,"&gt;"&amp;EDATE('자료_거시'!$M453,-'설정'!$B$17),'자료_거시'!$M$3:$M$602,"&lt;="&amp;'자료_거시'!$M453)=3,SUMIFS($AD$21:$AD$620,'자료_거시'!$M$3:$M$602,"&gt;"&amp;EDATE('자료_거시'!$M453,-12-'설정'!$B$17),'자료_거시'!$M$3:$M$602,"&lt;="&amp;EDATE('자료_거시'!$M453,-12))=3),IFERROR(SUMIFS('자료_거시'!$N$3:$N$602,'자료_거시'!$M$3:$M$602,"&gt;"&amp;EDATE('자료_거시'!$M453,-'설정'!$B$17),'자료_거시'!$M$3:$M$602,"&lt;="&amp;'자료_거시'!$M453)/SUMIFS('자료_거시'!$N$3:$N$602,'자료_거시'!$M$3:$M$602,"&gt;"&amp;EDATE('자료_거시'!$M453,-12-'설정'!$B$17),'자료_거시'!$M$3:$M$602,"&lt;="&amp;EDATE('자료_거시'!$M453,-12))-1,""),""),"")</f>
        <v/>
      </c>
      <c r="AF471">
        <f>IF(ISNUMBER(AE471),'자료_거시'!$M453,"")</f>
        <v/>
      </c>
      <c r="AG471">
        <f>IF(ISNUMBER(AF471),IF(AF471&gt;$L$9,AE471,""),"")</f>
        <v/>
      </c>
    </row>
    <row r="472">
      <c r="P472">
        <f>IF(AND(ISNUMBER('자료_거시'!$A454),ISNUMBER('자료_거시'!$B454)),'자료_거시'!$B454,"")</f>
        <v/>
      </c>
      <c r="Q472">
        <f>IF(ISNUMBER(P472),'자료_거시'!$A454,"")</f>
        <v/>
      </c>
      <c r="R472">
        <f>IF(ISNUMBER(Q472),IF(Q472&gt;$L$5,P472,""),"")</f>
        <v/>
      </c>
      <c r="S472">
        <f>IF(ISNUMBER('자료_거시'!$E454),'자료_거시'!$E454,S471)</f>
        <v/>
      </c>
      <c r="T472">
        <f>IF(AND(ISNUMBER('자료_거시'!$D454),ISNUMBER('자료_거시'!$E454)),IFERROR('자료_거시'!$E454-INDEX($S$21:$S$4020,MATCH(EDATE('자료_거시'!$D454,-'설정'!$B$17),'자료_거시'!$D$3:INDEX('자료_거시'!$D$3:$D$4002,$K$6),1)),""),"")</f>
        <v/>
      </c>
      <c r="U472">
        <f>IF(ISNUMBER(T472),'자료_거시'!$D454,"")</f>
        <v/>
      </c>
      <c r="V472">
        <f>IF(ISNUMBER(U472),IF(U472&gt;$L$6,T472,""),"")</f>
        <v/>
      </c>
      <c r="W472">
        <f>IF(AND(ISNUMBER('자료_거시'!$G454),ISNUMBER('자료_거시'!$H454)),'자료_거시'!$H454,"")</f>
        <v/>
      </c>
      <c r="X472">
        <f>IF(ISNUMBER(W472),'자료_거시'!$G454,"")</f>
        <v/>
      </c>
      <c r="Y472">
        <f>IF(ISNUMBER(X472),IF(X472&gt;$L$7,W472,""),"")</f>
        <v/>
      </c>
      <c r="Z472">
        <f>IF(ISNUMBER('자료_거시'!$K454),'자료_거시'!$K454,Z471)</f>
        <v/>
      </c>
      <c r="AA472">
        <f>IF(AND(ISNUMBER('자료_거시'!$J454),ISNUMBER('자료_거시'!$K454)),IFERROR('자료_거시'!$K454/INDEX($Z$21:$Z$4020,MATCH(EDATE('자료_거시'!$J454,-'설정'!$B$17),'자료_거시'!$J$3:INDEX('자료_거시'!$J$3:$J$4002,$K$8),1))-1,""),"")</f>
        <v/>
      </c>
      <c r="AB472">
        <f>IF(ISNUMBER(AA472),'자료_거시'!$J454,"")</f>
        <v/>
      </c>
      <c r="AC472">
        <f>IF(ISNUMBER(AB472),IF(AB472&gt;$L$8,AA472,""),"")</f>
        <v/>
      </c>
      <c r="AD472">
        <f>IF(AND(ISNUMBER('자료_거시'!$M454),ISNUMBER('자료_거시'!$N454)),1,0)</f>
        <v/>
      </c>
      <c r="AE472">
        <f>IF(AND(ISNUMBER('자료_거시'!$M454),ISNUMBER('자료_거시'!$N454)),IF(AND(SUMIFS($AD$21:$AD$620,'자료_거시'!$M$3:$M$602,"&gt;"&amp;EDATE('자료_거시'!$M454,-'설정'!$B$17),'자료_거시'!$M$3:$M$602,"&lt;="&amp;'자료_거시'!$M454)=3,SUMIFS($AD$21:$AD$620,'자료_거시'!$M$3:$M$602,"&gt;"&amp;EDATE('자료_거시'!$M454,-12-'설정'!$B$17),'자료_거시'!$M$3:$M$602,"&lt;="&amp;EDATE('자료_거시'!$M454,-12))=3),IFERROR(SUMIFS('자료_거시'!$N$3:$N$602,'자료_거시'!$M$3:$M$602,"&gt;"&amp;EDATE('자료_거시'!$M454,-'설정'!$B$17),'자료_거시'!$M$3:$M$602,"&lt;="&amp;'자료_거시'!$M454)/SUMIFS('자료_거시'!$N$3:$N$602,'자료_거시'!$M$3:$M$602,"&gt;"&amp;EDATE('자료_거시'!$M454,-12-'설정'!$B$17),'자료_거시'!$M$3:$M$602,"&lt;="&amp;EDATE('자료_거시'!$M454,-12))-1,""),""),"")</f>
        <v/>
      </c>
      <c r="AF472">
        <f>IF(ISNUMBER(AE472),'자료_거시'!$M454,"")</f>
        <v/>
      </c>
      <c r="AG472">
        <f>IF(ISNUMBER(AF472),IF(AF472&gt;$L$9,AE472,""),"")</f>
        <v/>
      </c>
    </row>
    <row r="473">
      <c r="P473">
        <f>IF(AND(ISNUMBER('자료_거시'!$A455),ISNUMBER('자료_거시'!$B455)),'자료_거시'!$B455,"")</f>
        <v/>
      </c>
      <c r="Q473">
        <f>IF(ISNUMBER(P473),'자료_거시'!$A455,"")</f>
        <v/>
      </c>
      <c r="R473">
        <f>IF(ISNUMBER(Q473),IF(Q473&gt;$L$5,P473,""),"")</f>
        <v/>
      </c>
      <c r="S473">
        <f>IF(ISNUMBER('자료_거시'!$E455),'자료_거시'!$E455,S472)</f>
        <v/>
      </c>
      <c r="T473">
        <f>IF(AND(ISNUMBER('자료_거시'!$D455),ISNUMBER('자료_거시'!$E455)),IFERROR('자료_거시'!$E455-INDEX($S$21:$S$4020,MATCH(EDATE('자료_거시'!$D455,-'설정'!$B$17),'자료_거시'!$D$3:INDEX('자료_거시'!$D$3:$D$4002,$K$6),1)),""),"")</f>
        <v/>
      </c>
      <c r="U473">
        <f>IF(ISNUMBER(T473),'자료_거시'!$D455,"")</f>
        <v/>
      </c>
      <c r="V473">
        <f>IF(ISNUMBER(U473),IF(U473&gt;$L$6,T473,""),"")</f>
        <v/>
      </c>
      <c r="W473">
        <f>IF(AND(ISNUMBER('자료_거시'!$G455),ISNUMBER('자료_거시'!$H455)),'자료_거시'!$H455,"")</f>
        <v/>
      </c>
      <c r="X473">
        <f>IF(ISNUMBER(W473),'자료_거시'!$G455,"")</f>
        <v/>
      </c>
      <c r="Y473">
        <f>IF(ISNUMBER(X473),IF(X473&gt;$L$7,W473,""),"")</f>
        <v/>
      </c>
      <c r="Z473">
        <f>IF(ISNUMBER('자료_거시'!$K455),'자료_거시'!$K455,Z472)</f>
        <v/>
      </c>
      <c r="AA473">
        <f>IF(AND(ISNUMBER('자료_거시'!$J455),ISNUMBER('자료_거시'!$K455)),IFERROR('자료_거시'!$K455/INDEX($Z$21:$Z$4020,MATCH(EDATE('자료_거시'!$J455,-'설정'!$B$17),'자료_거시'!$J$3:INDEX('자료_거시'!$J$3:$J$4002,$K$8),1))-1,""),"")</f>
        <v/>
      </c>
      <c r="AB473">
        <f>IF(ISNUMBER(AA473),'자료_거시'!$J455,"")</f>
        <v/>
      </c>
      <c r="AC473">
        <f>IF(ISNUMBER(AB473),IF(AB473&gt;$L$8,AA473,""),"")</f>
        <v/>
      </c>
      <c r="AD473">
        <f>IF(AND(ISNUMBER('자료_거시'!$M455),ISNUMBER('자료_거시'!$N455)),1,0)</f>
        <v/>
      </c>
      <c r="AE473">
        <f>IF(AND(ISNUMBER('자료_거시'!$M455),ISNUMBER('자료_거시'!$N455)),IF(AND(SUMIFS($AD$21:$AD$620,'자료_거시'!$M$3:$M$602,"&gt;"&amp;EDATE('자료_거시'!$M455,-'설정'!$B$17),'자료_거시'!$M$3:$M$602,"&lt;="&amp;'자료_거시'!$M455)=3,SUMIFS($AD$21:$AD$620,'자료_거시'!$M$3:$M$602,"&gt;"&amp;EDATE('자료_거시'!$M455,-12-'설정'!$B$17),'자료_거시'!$M$3:$M$602,"&lt;="&amp;EDATE('자료_거시'!$M455,-12))=3),IFERROR(SUMIFS('자료_거시'!$N$3:$N$602,'자료_거시'!$M$3:$M$602,"&gt;"&amp;EDATE('자료_거시'!$M455,-'설정'!$B$17),'자료_거시'!$M$3:$M$602,"&lt;="&amp;'자료_거시'!$M455)/SUMIFS('자료_거시'!$N$3:$N$602,'자료_거시'!$M$3:$M$602,"&gt;"&amp;EDATE('자료_거시'!$M455,-12-'설정'!$B$17),'자료_거시'!$M$3:$M$602,"&lt;="&amp;EDATE('자료_거시'!$M455,-12))-1,""),""),"")</f>
        <v/>
      </c>
      <c r="AF473">
        <f>IF(ISNUMBER(AE473),'자료_거시'!$M455,"")</f>
        <v/>
      </c>
      <c r="AG473">
        <f>IF(ISNUMBER(AF473),IF(AF473&gt;$L$9,AE473,""),"")</f>
        <v/>
      </c>
    </row>
    <row r="474">
      <c r="P474">
        <f>IF(AND(ISNUMBER('자료_거시'!$A456),ISNUMBER('자료_거시'!$B456)),'자료_거시'!$B456,"")</f>
        <v/>
      </c>
      <c r="Q474">
        <f>IF(ISNUMBER(P474),'자료_거시'!$A456,"")</f>
        <v/>
      </c>
      <c r="R474">
        <f>IF(ISNUMBER(Q474),IF(Q474&gt;$L$5,P474,""),"")</f>
        <v/>
      </c>
      <c r="S474">
        <f>IF(ISNUMBER('자료_거시'!$E456),'자료_거시'!$E456,S473)</f>
        <v/>
      </c>
      <c r="T474">
        <f>IF(AND(ISNUMBER('자료_거시'!$D456),ISNUMBER('자료_거시'!$E456)),IFERROR('자료_거시'!$E456-INDEX($S$21:$S$4020,MATCH(EDATE('자료_거시'!$D456,-'설정'!$B$17),'자료_거시'!$D$3:INDEX('자료_거시'!$D$3:$D$4002,$K$6),1)),""),"")</f>
        <v/>
      </c>
      <c r="U474">
        <f>IF(ISNUMBER(T474),'자료_거시'!$D456,"")</f>
        <v/>
      </c>
      <c r="V474">
        <f>IF(ISNUMBER(U474),IF(U474&gt;$L$6,T474,""),"")</f>
        <v/>
      </c>
      <c r="W474">
        <f>IF(AND(ISNUMBER('자료_거시'!$G456),ISNUMBER('자료_거시'!$H456)),'자료_거시'!$H456,"")</f>
        <v/>
      </c>
      <c r="X474">
        <f>IF(ISNUMBER(W474),'자료_거시'!$G456,"")</f>
        <v/>
      </c>
      <c r="Y474">
        <f>IF(ISNUMBER(X474),IF(X474&gt;$L$7,W474,""),"")</f>
        <v/>
      </c>
      <c r="Z474">
        <f>IF(ISNUMBER('자료_거시'!$K456),'자료_거시'!$K456,Z473)</f>
        <v/>
      </c>
      <c r="AA474">
        <f>IF(AND(ISNUMBER('자료_거시'!$J456),ISNUMBER('자료_거시'!$K456)),IFERROR('자료_거시'!$K456/INDEX($Z$21:$Z$4020,MATCH(EDATE('자료_거시'!$J456,-'설정'!$B$17),'자료_거시'!$J$3:INDEX('자료_거시'!$J$3:$J$4002,$K$8),1))-1,""),"")</f>
        <v/>
      </c>
      <c r="AB474">
        <f>IF(ISNUMBER(AA474),'자료_거시'!$J456,"")</f>
        <v/>
      </c>
      <c r="AC474">
        <f>IF(ISNUMBER(AB474),IF(AB474&gt;$L$8,AA474,""),"")</f>
        <v/>
      </c>
      <c r="AD474">
        <f>IF(AND(ISNUMBER('자료_거시'!$M456),ISNUMBER('자료_거시'!$N456)),1,0)</f>
        <v/>
      </c>
      <c r="AE474">
        <f>IF(AND(ISNUMBER('자료_거시'!$M456),ISNUMBER('자료_거시'!$N456)),IF(AND(SUMIFS($AD$21:$AD$620,'자료_거시'!$M$3:$M$602,"&gt;"&amp;EDATE('자료_거시'!$M456,-'설정'!$B$17),'자료_거시'!$M$3:$M$602,"&lt;="&amp;'자료_거시'!$M456)=3,SUMIFS($AD$21:$AD$620,'자료_거시'!$M$3:$M$602,"&gt;"&amp;EDATE('자료_거시'!$M456,-12-'설정'!$B$17),'자료_거시'!$M$3:$M$602,"&lt;="&amp;EDATE('자료_거시'!$M456,-12))=3),IFERROR(SUMIFS('자료_거시'!$N$3:$N$602,'자료_거시'!$M$3:$M$602,"&gt;"&amp;EDATE('자료_거시'!$M456,-'설정'!$B$17),'자료_거시'!$M$3:$M$602,"&lt;="&amp;'자료_거시'!$M456)/SUMIFS('자료_거시'!$N$3:$N$602,'자료_거시'!$M$3:$M$602,"&gt;"&amp;EDATE('자료_거시'!$M456,-12-'설정'!$B$17),'자료_거시'!$M$3:$M$602,"&lt;="&amp;EDATE('자료_거시'!$M456,-12))-1,""),""),"")</f>
        <v/>
      </c>
      <c r="AF474">
        <f>IF(ISNUMBER(AE474),'자료_거시'!$M456,"")</f>
        <v/>
      </c>
      <c r="AG474">
        <f>IF(ISNUMBER(AF474),IF(AF474&gt;$L$9,AE474,""),"")</f>
        <v/>
      </c>
    </row>
    <row r="475">
      <c r="P475">
        <f>IF(AND(ISNUMBER('자료_거시'!$A457),ISNUMBER('자료_거시'!$B457)),'자료_거시'!$B457,"")</f>
        <v/>
      </c>
      <c r="Q475">
        <f>IF(ISNUMBER(P475),'자료_거시'!$A457,"")</f>
        <v/>
      </c>
      <c r="R475">
        <f>IF(ISNUMBER(Q475),IF(Q475&gt;$L$5,P475,""),"")</f>
        <v/>
      </c>
      <c r="S475">
        <f>IF(ISNUMBER('자료_거시'!$E457),'자료_거시'!$E457,S474)</f>
        <v/>
      </c>
      <c r="T475">
        <f>IF(AND(ISNUMBER('자료_거시'!$D457),ISNUMBER('자료_거시'!$E457)),IFERROR('자료_거시'!$E457-INDEX($S$21:$S$4020,MATCH(EDATE('자료_거시'!$D457,-'설정'!$B$17),'자료_거시'!$D$3:INDEX('자료_거시'!$D$3:$D$4002,$K$6),1)),""),"")</f>
        <v/>
      </c>
      <c r="U475">
        <f>IF(ISNUMBER(T475),'자료_거시'!$D457,"")</f>
        <v/>
      </c>
      <c r="V475">
        <f>IF(ISNUMBER(U475),IF(U475&gt;$L$6,T475,""),"")</f>
        <v/>
      </c>
      <c r="W475">
        <f>IF(AND(ISNUMBER('자료_거시'!$G457),ISNUMBER('자료_거시'!$H457)),'자료_거시'!$H457,"")</f>
        <v/>
      </c>
      <c r="X475">
        <f>IF(ISNUMBER(W475),'자료_거시'!$G457,"")</f>
        <v/>
      </c>
      <c r="Y475">
        <f>IF(ISNUMBER(X475),IF(X475&gt;$L$7,W475,""),"")</f>
        <v/>
      </c>
      <c r="Z475">
        <f>IF(ISNUMBER('자료_거시'!$K457),'자료_거시'!$K457,Z474)</f>
        <v/>
      </c>
      <c r="AA475">
        <f>IF(AND(ISNUMBER('자료_거시'!$J457),ISNUMBER('자료_거시'!$K457)),IFERROR('자료_거시'!$K457/INDEX($Z$21:$Z$4020,MATCH(EDATE('자료_거시'!$J457,-'설정'!$B$17),'자료_거시'!$J$3:INDEX('자료_거시'!$J$3:$J$4002,$K$8),1))-1,""),"")</f>
        <v/>
      </c>
      <c r="AB475">
        <f>IF(ISNUMBER(AA475),'자료_거시'!$J457,"")</f>
        <v/>
      </c>
      <c r="AC475">
        <f>IF(ISNUMBER(AB475),IF(AB475&gt;$L$8,AA475,""),"")</f>
        <v/>
      </c>
      <c r="AD475">
        <f>IF(AND(ISNUMBER('자료_거시'!$M457),ISNUMBER('자료_거시'!$N457)),1,0)</f>
        <v/>
      </c>
      <c r="AE475">
        <f>IF(AND(ISNUMBER('자료_거시'!$M457),ISNUMBER('자료_거시'!$N457)),IF(AND(SUMIFS($AD$21:$AD$620,'자료_거시'!$M$3:$M$602,"&gt;"&amp;EDATE('자료_거시'!$M457,-'설정'!$B$17),'자료_거시'!$M$3:$M$602,"&lt;="&amp;'자료_거시'!$M457)=3,SUMIFS($AD$21:$AD$620,'자료_거시'!$M$3:$M$602,"&gt;"&amp;EDATE('자료_거시'!$M457,-12-'설정'!$B$17),'자료_거시'!$M$3:$M$602,"&lt;="&amp;EDATE('자료_거시'!$M457,-12))=3),IFERROR(SUMIFS('자료_거시'!$N$3:$N$602,'자료_거시'!$M$3:$M$602,"&gt;"&amp;EDATE('자료_거시'!$M457,-'설정'!$B$17),'자료_거시'!$M$3:$M$602,"&lt;="&amp;'자료_거시'!$M457)/SUMIFS('자료_거시'!$N$3:$N$602,'자료_거시'!$M$3:$M$602,"&gt;"&amp;EDATE('자료_거시'!$M457,-12-'설정'!$B$17),'자료_거시'!$M$3:$M$602,"&lt;="&amp;EDATE('자료_거시'!$M457,-12))-1,""),""),"")</f>
        <v/>
      </c>
      <c r="AF475">
        <f>IF(ISNUMBER(AE475),'자료_거시'!$M457,"")</f>
        <v/>
      </c>
      <c r="AG475">
        <f>IF(ISNUMBER(AF475),IF(AF475&gt;$L$9,AE475,""),"")</f>
        <v/>
      </c>
    </row>
    <row r="476">
      <c r="P476">
        <f>IF(AND(ISNUMBER('자료_거시'!$A458),ISNUMBER('자료_거시'!$B458)),'자료_거시'!$B458,"")</f>
        <v/>
      </c>
      <c r="Q476">
        <f>IF(ISNUMBER(P476),'자료_거시'!$A458,"")</f>
        <v/>
      </c>
      <c r="R476">
        <f>IF(ISNUMBER(Q476),IF(Q476&gt;$L$5,P476,""),"")</f>
        <v/>
      </c>
      <c r="S476">
        <f>IF(ISNUMBER('자료_거시'!$E458),'자료_거시'!$E458,S475)</f>
        <v/>
      </c>
      <c r="T476">
        <f>IF(AND(ISNUMBER('자료_거시'!$D458),ISNUMBER('자료_거시'!$E458)),IFERROR('자료_거시'!$E458-INDEX($S$21:$S$4020,MATCH(EDATE('자료_거시'!$D458,-'설정'!$B$17),'자료_거시'!$D$3:INDEX('자료_거시'!$D$3:$D$4002,$K$6),1)),""),"")</f>
        <v/>
      </c>
      <c r="U476">
        <f>IF(ISNUMBER(T476),'자료_거시'!$D458,"")</f>
        <v/>
      </c>
      <c r="V476">
        <f>IF(ISNUMBER(U476),IF(U476&gt;$L$6,T476,""),"")</f>
        <v/>
      </c>
      <c r="W476">
        <f>IF(AND(ISNUMBER('자료_거시'!$G458),ISNUMBER('자료_거시'!$H458)),'자료_거시'!$H458,"")</f>
        <v/>
      </c>
      <c r="X476">
        <f>IF(ISNUMBER(W476),'자료_거시'!$G458,"")</f>
        <v/>
      </c>
      <c r="Y476">
        <f>IF(ISNUMBER(X476),IF(X476&gt;$L$7,W476,""),"")</f>
        <v/>
      </c>
      <c r="Z476">
        <f>IF(ISNUMBER('자료_거시'!$K458),'자료_거시'!$K458,Z475)</f>
        <v/>
      </c>
      <c r="AA476">
        <f>IF(AND(ISNUMBER('자료_거시'!$J458),ISNUMBER('자료_거시'!$K458)),IFERROR('자료_거시'!$K458/INDEX($Z$21:$Z$4020,MATCH(EDATE('자료_거시'!$J458,-'설정'!$B$17),'자료_거시'!$J$3:INDEX('자료_거시'!$J$3:$J$4002,$K$8),1))-1,""),"")</f>
        <v/>
      </c>
      <c r="AB476">
        <f>IF(ISNUMBER(AA476),'자료_거시'!$J458,"")</f>
        <v/>
      </c>
      <c r="AC476">
        <f>IF(ISNUMBER(AB476),IF(AB476&gt;$L$8,AA476,""),"")</f>
        <v/>
      </c>
      <c r="AD476">
        <f>IF(AND(ISNUMBER('자료_거시'!$M458),ISNUMBER('자료_거시'!$N458)),1,0)</f>
        <v/>
      </c>
      <c r="AE476">
        <f>IF(AND(ISNUMBER('자료_거시'!$M458),ISNUMBER('자료_거시'!$N458)),IF(AND(SUMIFS($AD$21:$AD$620,'자료_거시'!$M$3:$M$602,"&gt;"&amp;EDATE('자료_거시'!$M458,-'설정'!$B$17),'자료_거시'!$M$3:$M$602,"&lt;="&amp;'자료_거시'!$M458)=3,SUMIFS($AD$21:$AD$620,'자료_거시'!$M$3:$M$602,"&gt;"&amp;EDATE('자료_거시'!$M458,-12-'설정'!$B$17),'자료_거시'!$M$3:$M$602,"&lt;="&amp;EDATE('자료_거시'!$M458,-12))=3),IFERROR(SUMIFS('자료_거시'!$N$3:$N$602,'자료_거시'!$M$3:$M$602,"&gt;"&amp;EDATE('자료_거시'!$M458,-'설정'!$B$17),'자료_거시'!$M$3:$M$602,"&lt;="&amp;'자료_거시'!$M458)/SUMIFS('자료_거시'!$N$3:$N$602,'자료_거시'!$M$3:$M$602,"&gt;"&amp;EDATE('자료_거시'!$M458,-12-'설정'!$B$17),'자료_거시'!$M$3:$M$602,"&lt;="&amp;EDATE('자료_거시'!$M458,-12))-1,""),""),"")</f>
        <v/>
      </c>
      <c r="AF476">
        <f>IF(ISNUMBER(AE476),'자료_거시'!$M458,"")</f>
        <v/>
      </c>
      <c r="AG476">
        <f>IF(ISNUMBER(AF476),IF(AF476&gt;$L$9,AE476,""),"")</f>
        <v/>
      </c>
    </row>
    <row r="477">
      <c r="P477">
        <f>IF(AND(ISNUMBER('자료_거시'!$A459),ISNUMBER('자료_거시'!$B459)),'자료_거시'!$B459,"")</f>
        <v/>
      </c>
      <c r="Q477">
        <f>IF(ISNUMBER(P477),'자료_거시'!$A459,"")</f>
        <v/>
      </c>
      <c r="R477">
        <f>IF(ISNUMBER(Q477),IF(Q477&gt;$L$5,P477,""),"")</f>
        <v/>
      </c>
      <c r="S477">
        <f>IF(ISNUMBER('자료_거시'!$E459),'자료_거시'!$E459,S476)</f>
        <v/>
      </c>
      <c r="T477">
        <f>IF(AND(ISNUMBER('자료_거시'!$D459),ISNUMBER('자료_거시'!$E459)),IFERROR('자료_거시'!$E459-INDEX($S$21:$S$4020,MATCH(EDATE('자료_거시'!$D459,-'설정'!$B$17),'자료_거시'!$D$3:INDEX('자료_거시'!$D$3:$D$4002,$K$6),1)),""),"")</f>
        <v/>
      </c>
      <c r="U477">
        <f>IF(ISNUMBER(T477),'자료_거시'!$D459,"")</f>
        <v/>
      </c>
      <c r="V477">
        <f>IF(ISNUMBER(U477),IF(U477&gt;$L$6,T477,""),"")</f>
        <v/>
      </c>
      <c r="W477">
        <f>IF(AND(ISNUMBER('자료_거시'!$G459),ISNUMBER('자료_거시'!$H459)),'자료_거시'!$H459,"")</f>
        <v/>
      </c>
      <c r="X477">
        <f>IF(ISNUMBER(W477),'자료_거시'!$G459,"")</f>
        <v/>
      </c>
      <c r="Y477">
        <f>IF(ISNUMBER(X477),IF(X477&gt;$L$7,W477,""),"")</f>
        <v/>
      </c>
      <c r="Z477">
        <f>IF(ISNUMBER('자료_거시'!$K459),'자료_거시'!$K459,Z476)</f>
        <v/>
      </c>
      <c r="AA477">
        <f>IF(AND(ISNUMBER('자료_거시'!$J459),ISNUMBER('자료_거시'!$K459)),IFERROR('자료_거시'!$K459/INDEX($Z$21:$Z$4020,MATCH(EDATE('자료_거시'!$J459,-'설정'!$B$17),'자료_거시'!$J$3:INDEX('자료_거시'!$J$3:$J$4002,$K$8),1))-1,""),"")</f>
        <v/>
      </c>
      <c r="AB477">
        <f>IF(ISNUMBER(AA477),'자료_거시'!$J459,"")</f>
        <v/>
      </c>
      <c r="AC477">
        <f>IF(ISNUMBER(AB477),IF(AB477&gt;$L$8,AA477,""),"")</f>
        <v/>
      </c>
      <c r="AD477">
        <f>IF(AND(ISNUMBER('자료_거시'!$M459),ISNUMBER('자료_거시'!$N459)),1,0)</f>
        <v/>
      </c>
      <c r="AE477">
        <f>IF(AND(ISNUMBER('자료_거시'!$M459),ISNUMBER('자료_거시'!$N459)),IF(AND(SUMIFS($AD$21:$AD$620,'자료_거시'!$M$3:$M$602,"&gt;"&amp;EDATE('자료_거시'!$M459,-'설정'!$B$17),'자료_거시'!$M$3:$M$602,"&lt;="&amp;'자료_거시'!$M459)=3,SUMIFS($AD$21:$AD$620,'자료_거시'!$M$3:$M$602,"&gt;"&amp;EDATE('자료_거시'!$M459,-12-'설정'!$B$17),'자료_거시'!$M$3:$M$602,"&lt;="&amp;EDATE('자료_거시'!$M459,-12))=3),IFERROR(SUMIFS('자료_거시'!$N$3:$N$602,'자료_거시'!$M$3:$M$602,"&gt;"&amp;EDATE('자료_거시'!$M459,-'설정'!$B$17),'자료_거시'!$M$3:$M$602,"&lt;="&amp;'자료_거시'!$M459)/SUMIFS('자료_거시'!$N$3:$N$602,'자료_거시'!$M$3:$M$602,"&gt;"&amp;EDATE('자료_거시'!$M459,-12-'설정'!$B$17),'자료_거시'!$M$3:$M$602,"&lt;="&amp;EDATE('자료_거시'!$M459,-12))-1,""),""),"")</f>
        <v/>
      </c>
      <c r="AF477">
        <f>IF(ISNUMBER(AE477),'자료_거시'!$M459,"")</f>
        <v/>
      </c>
      <c r="AG477">
        <f>IF(ISNUMBER(AF477),IF(AF477&gt;$L$9,AE477,""),"")</f>
        <v/>
      </c>
    </row>
    <row r="478">
      <c r="P478">
        <f>IF(AND(ISNUMBER('자료_거시'!$A460),ISNUMBER('자료_거시'!$B460)),'자료_거시'!$B460,"")</f>
        <v/>
      </c>
      <c r="Q478">
        <f>IF(ISNUMBER(P478),'자료_거시'!$A460,"")</f>
        <v/>
      </c>
      <c r="R478">
        <f>IF(ISNUMBER(Q478),IF(Q478&gt;$L$5,P478,""),"")</f>
        <v/>
      </c>
      <c r="S478">
        <f>IF(ISNUMBER('자료_거시'!$E460),'자료_거시'!$E460,S477)</f>
        <v/>
      </c>
      <c r="T478">
        <f>IF(AND(ISNUMBER('자료_거시'!$D460),ISNUMBER('자료_거시'!$E460)),IFERROR('자료_거시'!$E460-INDEX($S$21:$S$4020,MATCH(EDATE('자료_거시'!$D460,-'설정'!$B$17),'자료_거시'!$D$3:INDEX('자료_거시'!$D$3:$D$4002,$K$6),1)),""),"")</f>
        <v/>
      </c>
      <c r="U478">
        <f>IF(ISNUMBER(T478),'자료_거시'!$D460,"")</f>
        <v/>
      </c>
      <c r="V478">
        <f>IF(ISNUMBER(U478),IF(U478&gt;$L$6,T478,""),"")</f>
        <v/>
      </c>
      <c r="W478">
        <f>IF(AND(ISNUMBER('자료_거시'!$G460),ISNUMBER('자료_거시'!$H460)),'자료_거시'!$H460,"")</f>
        <v/>
      </c>
      <c r="X478">
        <f>IF(ISNUMBER(W478),'자료_거시'!$G460,"")</f>
        <v/>
      </c>
      <c r="Y478">
        <f>IF(ISNUMBER(X478),IF(X478&gt;$L$7,W478,""),"")</f>
        <v/>
      </c>
      <c r="Z478">
        <f>IF(ISNUMBER('자료_거시'!$K460),'자료_거시'!$K460,Z477)</f>
        <v/>
      </c>
      <c r="AA478">
        <f>IF(AND(ISNUMBER('자료_거시'!$J460),ISNUMBER('자료_거시'!$K460)),IFERROR('자료_거시'!$K460/INDEX($Z$21:$Z$4020,MATCH(EDATE('자료_거시'!$J460,-'설정'!$B$17),'자료_거시'!$J$3:INDEX('자료_거시'!$J$3:$J$4002,$K$8),1))-1,""),"")</f>
        <v/>
      </c>
      <c r="AB478">
        <f>IF(ISNUMBER(AA478),'자료_거시'!$J460,"")</f>
        <v/>
      </c>
      <c r="AC478">
        <f>IF(ISNUMBER(AB478),IF(AB478&gt;$L$8,AA478,""),"")</f>
        <v/>
      </c>
      <c r="AD478">
        <f>IF(AND(ISNUMBER('자료_거시'!$M460),ISNUMBER('자료_거시'!$N460)),1,0)</f>
        <v/>
      </c>
      <c r="AE478">
        <f>IF(AND(ISNUMBER('자료_거시'!$M460),ISNUMBER('자료_거시'!$N460)),IF(AND(SUMIFS($AD$21:$AD$620,'자료_거시'!$M$3:$M$602,"&gt;"&amp;EDATE('자료_거시'!$M460,-'설정'!$B$17),'자료_거시'!$M$3:$M$602,"&lt;="&amp;'자료_거시'!$M460)=3,SUMIFS($AD$21:$AD$620,'자료_거시'!$M$3:$M$602,"&gt;"&amp;EDATE('자료_거시'!$M460,-12-'설정'!$B$17),'자료_거시'!$M$3:$M$602,"&lt;="&amp;EDATE('자료_거시'!$M460,-12))=3),IFERROR(SUMIFS('자료_거시'!$N$3:$N$602,'자료_거시'!$M$3:$M$602,"&gt;"&amp;EDATE('자료_거시'!$M460,-'설정'!$B$17),'자료_거시'!$M$3:$M$602,"&lt;="&amp;'자료_거시'!$M460)/SUMIFS('자료_거시'!$N$3:$N$602,'자료_거시'!$M$3:$M$602,"&gt;"&amp;EDATE('자료_거시'!$M460,-12-'설정'!$B$17),'자료_거시'!$M$3:$M$602,"&lt;="&amp;EDATE('자료_거시'!$M460,-12))-1,""),""),"")</f>
        <v/>
      </c>
      <c r="AF478">
        <f>IF(ISNUMBER(AE478),'자료_거시'!$M460,"")</f>
        <v/>
      </c>
      <c r="AG478">
        <f>IF(ISNUMBER(AF478),IF(AF478&gt;$L$9,AE478,""),"")</f>
        <v/>
      </c>
    </row>
    <row r="479">
      <c r="P479">
        <f>IF(AND(ISNUMBER('자료_거시'!$A461),ISNUMBER('자료_거시'!$B461)),'자료_거시'!$B461,"")</f>
        <v/>
      </c>
      <c r="Q479">
        <f>IF(ISNUMBER(P479),'자료_거시'!$A461,"")</f>
        <v/>
      </c>
      <c r="R479">
        <f>IF(ISNUMBER(Q479),IF(Q479&gt;$L$5,P479,""),"")</f>
        <v/>
      </c>
      <c r="S479">
        <f>IF(ISNUMBER('자료_거시'!$E461),'자료_거시'!$E461,S478)</f>
        <v/>
      </c>
      <c r="T479">
        <f>IF(AND(ISNUMBER('자료_거시'!$D461),ISNUMBER('자료_거시'!$E461)),IFERROR('자료_거시'!$E461-INDEX($S$21:$S$4020,MATCH(EDATE('자료_거시'!$D461,-'설정'!$B$17),'자료_거시'!$D$3:INDEX('자료_거시'!$D$3:$D$4002,$K$6),1)),""),"")</f>
        <v/>
      </c>
      <c r="U479">
        <f>IF(ISNUMBER(T479),'자료_거시'!$D461,"")</f>
        <v/>
      </c>
      <c r="V479">
        <f>IF(ISNUMBER(U479),IF(U479&gt;$L$6,T479,""),"")</f>
        <v/>
      </c>
      <c r="W479">
        <f>IF(AND(ISNUMBER('자료_거시'!$G461),ISNUMBER('자료_거시'!$H461)),'자료_거시'!$H461,"")</f>
        <v/>
      </c>
      <c r="X479">
        <f>IF(ISNUMBER(W479),'자료_거시'!$G461,"")</f>
        <v/>
      </c>
      <c r="Y479">
        <f>IF(ISNUMBER(X479),IF(X479&gt;$L$7,W479,""),"")</f>
        <v/>
      </c>
      <c r="Z479">
        <f>IF(ISNUMBER('자료_거시'!$K461),'자료_거시'!$K461,Z478)</f>
        <v/>
      </c>
      <c r="AA479">
        <f>IF(AND(ISNUMBER('자료_거시'!$J461),ISNUMBER('자료_거시'!$K461)),IFERROR('자료_거시'!$K461/INDEX($Z$21:$Z$4020,MATCH(EDATE('자료_거시'!$J461,-'설정'!$B$17),'자료_거시'!$J$3:INDEX('자료_거시'!$J$3:$J$4002,$K$8),1))-1,""),"")</f>
        <v/>
      </c>
      <c r="AB479">
        <f>IF(ISNUMBER(AA479),'자료_거시'!$J461,"")</f>
        <v/>
      </c>
      <c r="AC479">
        <f>IF(ISNUMBER(AB479),IF(AB479&gt;$L$8,AA479,""),"")</f>
        <v/>
      </c>
      <c r="AD479">
        <f>IF(AND(ISNUMBER('자료_거시'!$M461),ISNUMBER('자료_거시'!$N461)),1,0)</f>
        <v/>
      </c>
      <c r="AE479">
        <f>IF(AND(ISNUMBER('자료_거시'!$M461),ISNUMBER('자료_거시'!$N461)),IF(AND(SUMIFS($AD$21:$AD$620,'자료_거시'!$M$3:$M$602,"&gt;"&amp;EDATE('자료_거시'!$M461,-'설정'!$B$17),'자료_거시'!$M$3:$M$602,"&lt;="&amp;'자료_거시'!$M461)=3,SUMIFS($AD$21:$AD$620,'자료_거시'!$M$3:$M$602,"&gt;"&amp;EDATE('자료_거시'!$M461,-12-'설정'!$B$17),'자료_거시'!$M$3:$M$602,"&lt;="&amp;EDATE('자료_거시'!$M461,-12))=3),IFERROR(SUMIFS('자료_거시'!$N$3:$N$602,'자료_거시'!$M$3:$M$602,"&gt;"&amp;EDATE('자료_거시'!$M461,-'설정'!$B$17),'자료_거시'!$M$3:$M$602,"&lt;="&amp;'자료_거시'!$M461)/SUMIFS('자료_거시'!$N$3:$N$602,'자료_거시'!$M$3:$M$602,"&gt;"&amp;EDATE('자료_거시'!$M461,-12-'설정'!$B$17),'자료_거시'!$M$3:$M$602,"&lt;="&amp;EDATE('자료_거시'!$M461,-12))-1,""),""),"")</f>
        <v/>
      </c>
      <c r="AF479">
        <f>IF(ISNUMBER(AE479),'자료_거시'!$M461,"")</f>
        <v/>
      </c>
      <c r="AG479">
        <f>IF(ISNUMBER(AF479),IF(AF479&gt;$L$9,AE479,""),"")</f>
        <v/>
      </c>
    </row>
    <row r="480">
      <c r="P480">
        <f>IF(AND(ISNUMBER('자료_거시'!$A462),ISNUMBER('자료_거시'!$B462)),'자료_거시'!$B462,"")</f>
        <v/>
      </c>
      <c r="Q480">
        <f>IF(ISNUMBER(P480),'자료_거시'!$A462,"")</f>
        <v/>
      </c>
      <c r="R480">
        <f>IF(ISNUMBER(Q480),IF(Q480&gt;$L$5,P480,""),"")</f>
        <v/>
      </c>
      <c r="S480">
        <f>IF(ISNUMBER('자료_거시'!$E462),'자료_거시'!$E462,S479)</f>
        <v/>
      </c>
      <c r="T480">
        <f>IF(AND(ISNUMBER('자료_거시'!$D462),ISNUMBER('자료_거시'!$E462)),IFERROR('자료_거시'!$E462-INDEX($S$21:$S$4020,MATCH(EDATE('자료_거시'!$D462,-'설정'!$B$17),'자료_거시'!$D$3:INDEX('자료_거시'!$D$3:$D$4002,$K$6),1)),""),"")</f>
        <v/>
      </c>
      <c r="U480">
        <f>IF(ISNUMBER(T480),'자료_거시'!$D462,"")</f>
        <v/>
      </c>
      <c r="V480">
        <f>IF(ISNUMBER(U480),IF(U480&gt;$L$6,T480,""),"")</f>
        <v/>
      </c>
      <c r="W480">
        <f>IF(AND(ISNUMBER('자료_거시'!$G462),ISNUMBER('자료_거시'!$H462)),'자료_거시'!$H462,"")</f>
        <v/>
      </c>
      <c r="X480">
        <f>IF(ISNUMBER(W480),'자료_거시'!$G462,"")</f>
        <v/>
      </c>
      <c r="Y480">
        <f>IF(ISNUMBER(X480),IF(X480&gt;$L$7,W480,""),"")</f>
        <v/>
      </c>
      <c r="Z480">
        <f>IF(ISNUMBER('자료_거시'!$K462),'자료_거시'!$K462,Z479)</f>
        <v/>
      </c>
      <c r="AA480">
        <f>IF(AND(ISNUMBER('자료_거시'!$J462),ISNUMBER('자료_거시'!$K462)),IFERROR('자료_거시'!$K462/INDEX($Z$21:$Z$4020,MATCH(EDATE('자료_거시'!$J462,-'설정'!$B$17),'자료_거시'!$J$3:INDEX('자료_거시'!$J$3:$J$4002,$K$8),1))-1,""),"")</f>
        <v/>
      </c>
      <c r="AB480">
        <f>IF(ISNUMBER(AA480),'자료_거시'!$J462,"")</f>
        <v/>
      </c>
      <c r="AC480">
        <f>IF(ISNUMBER(AB480),IF(AB480&gt;$L$8,AA480,""),"")</f>
        <v/>
      </c>
      <c r="AD480">
        <f>IF(AND(ISNUMBER('자료_거시'!$M462),ISNUMBER('자료_거시'!$N462)),1,0)</f>
        <v/>
      </c>
      <c r="AE480">
        <f>IF(AND(ISNUMBER('자료_거시'!$M462),ISNUMBER('자료_거시'!$N462)),IF(AND(SUMIFS($AD$21:$AD$620,'자료_거시'!$M$3:$M$602,"&gt;"&amp;EDATE('자료_거시'!$M462,-'설정'!$B$17),'자료_거시'!$M$3:$M$602,"&lt;="&amp;'자료_거시'!$M462)=3,SUMIFS($AD$21:$AD$620,'자료_거시'!$M$3:$M$602,"&gt;"&amp;EDATE('자료_거시'!$M462,-12-'설정'!$B$17),'자료_거시'!$M$3:$M$602,"&lt;="&amp;EDATE('자료_거시'!$M462,-12))=3),IFERROR(SUMIFS('자료_거시'!$N$3:$N$602,'자료_거시'!$M$3:$M$602,"&gt;"&amp;EDATE('자료_거시'!$M462,-'설정'!$B$17),'자료_거시'!$M$3:$M$602,"&lt;="&amp;'자료_거시'!$M462)/SUMIFS('자료_거시'!$N$3:$N$602,'자료_거시'!$M$3:$M$602,"&gt;"&amp;EDATE('자료_거시'!$M462,-12-'설정'!$B$17),'자료_거시'!$M$3:$M$602,"&lt;="&amp;EDATE('자료_거시'!$M462,-12))-1,""),""),"")</f>
        <v/>
      </c>
      <c r="AF480">
        <f>IF(ISNUMBER(AE480),'자료_거시'!$M462,"")</f>
        <v/>
      </c>
      <c r="AG480">
        <f>IF(ISNUMBER(AF480),IF(AF480&gt;$L$9,AE480,""),"")</f>
        <v/>
      </c>
    </row>
    <row r="481">
      <c r="P481">
        <f>IF(AND(ISNUMBER('자료_거시'!$A463),ISNUMBER('자료_거시'!$B463)),'자료_거시'!$B463,"")</f>
        <v/>
      </c>
      <c r="Q481">
        <f>IF(ISNUMBER(P481),'자료_거시'!$A463,"")</f>
        <v/>
      </c>
      <c r="R481">
        <f>IF(ISNUMBER(Q481),IF(Q481&gt;$L$5,P481,""),"")</f>
        <v/>
      </c>
      <c r="S481">
        <f>IF(ISNUMBER('자료_거시'!$E463),'자료_거시'!$E463,S480)</f>
        <v/>
      </c>
      <c r="T481">
        <f>IF(AND(ISNUMBER('자료_거시'!$D463),ISNUMBER('자료_거시'!$E463)),IFERROR('자료_거시'!$E463-INDEX($S$21:$S$4020,MATCH(EDATE('자료_거시'!$D463,-'설정'!$B$17),'자료_거시'!$D$3:INDEX('자료_거시'!$D$3:$D$4002,$K$6),1)),""),"")</f>
        <v/>
      </c>
      <c r="U481">
        <f>IF(ISNUMBER(T481),'자료_거시'!$D463,"")</f>
        <v/>
      </c>
      <c r="V481">
        <f>IF(ISNUMBER(U481),IF(U481&gt;$L$6,T481,""),"")</f>
        <v/>
      </c>
      <c r="W481">
        <f>IF(AND(ISNUMBER('자료_거시'!$G463),ISNUMBER('자료_거시'!$H463)),'자료_거시'!$H463,"")</f>
        <v/>
      </c>
      <c r="X481">
        <f>IF(ISNUMBER(W481),'자료_거시'!$G463,"")</f>
        <v/>
      </c>
      <c r="Y481">
        <f>IF(ISNUMBER(X481),IF(X481&gt;$L$7,W481,""),"")</f>
        <v/>
      </c>
      <c r="Z481">
        <f>IF(ISNUMBER('자료_거시'!$K463),'자료_거시'!$K463,Z480)</f>
        <v/>
      </c>
      <c r="AA481">
        <f>IF(AND(ISNUMBER('자료_거시'!$J463),ISNUMBER('자료_거시'!$K463)),IFERROR('자료_거시'!$K463/INDEX($Z$21:$Z$4020,MATCH(EDATE('자료_거시'!$J463,-'설정'!$B$17),'자료_거시'!$J$3:INDEX('자료_거시'!$J$3:$J$4002,$K$8),1))-1,""),"")</f>
        <v/>
      </c>
      <c r="AB481">
        <f>IF(ISNUMBER(AA481),'자료_거시'!$J463,"")</f>
        <v/>
      </c>
      <c r="AC481">
        <f>IF(ISNUMBER(AB481),IF(AB481&gt;$L$8,AA481,""),"")</f>
        <v/>
      </c>
      <c r="AD481">
        <f>IF(AND(ISNUMBER('자료_거시'!$M463),ISNUMBER('자료_거시'!$N463)),1,0)</f>
        <v/>
      </c>
      <c r="AE481">
        <f>IF(AND(ISNUMBER('자료_거시'!$M463),ISNUMBER('자료_거시'!$N463)),IF(AND(SUMIFS($AD$21:$AD$620,'자료_거시'!$M$3:$M$602,"&gt;"&amp;EDATE('자료_거시'!$M463,-'설정'!$B$17),'자료_거시'!$M$3:$M$602,"&lt;="&amp;'자료_거시'!$M463)=3,SUMIFS($AD$21:$AD$620,'자료_거시'!$M$3:$M$602,"&gt;"&amp;EDATE('자료_거시'!$M463,-12-'설정'!$B$17),'자료_거시'!$M$3:$M$602,"&lt;="&amp;EDATE('자료_거시'!$M463,-12))=3),IFERROR(SUMIFS('자료_거시'!$N$3:$N$602,'자료_거시'!$M$3:$M$602,"&gt;"&amp;EDATE('자료_거시'!$M463,-'설정'!$B$17),'자료_거시'!$M$3:$M$602,"&lt;="&amp;'자료_거시'!$M463)/SUMIFS('자료_거시'!$N$3:$N$602,'자료_거시'!$M$3:$M$602,"&gt;"&amp;EDATE('자료_거시'!$M463,-12-'설정'!$B$17),'자료_거시'!$M$3:$M$602,"&lt;="&amp;EDATE('자료_거시'!$M463,-12))-1,""),""),"")</f>
        <v/>
      </c>
      <c r="AF481">
        <f>IF(ISNUMBER(AE481),'자료_거시'!$M463,"")</f>
        <v/>
      </c>
      <c r="AG481">
        <f>IF(ISNUMBER(AF481),IF(AF481&gt;$L$9,AE481,""),"")</f>
        <v/>
      </c>
    </row>
    <row r="482">
      <c r="P482">
        <f>IF(AND(ISNUMBER('자료_거시'!$A464),ISNUMBER('자료_거시'!$B464)),'자료_거시'!$B464,"")</f>
        <v/>
      </c>
      <c r="Q482">
        <f>IF(ISNUMBER(P482),'자료_거시'!$A464,"")</f>
        <v/>
      </c>
      <c r="R482">
        <f>IF(ISNUMBER(Q482),IF(Q482&gt;$L$5,P482,""),"")</f>
        <v/>
      </c>
      <c r="S482">
        <f>IF(ISNUMBER('자료_거시'!$E464),'자료_거시'!$E464,S481)</f>
        <v/>
      </c>
      <c r="T482">
        <f>IF(AND(ISNUMBER('자료_거시'!$D464),ISNUMBER('자료_거시'!$E464)),IFERROR('자료_거시'!$E464-INDEX($S$21:$S$4020,MATCH(EDATE('자료_거시'!$D464,-'설정'!$B$17),'자료_거시'!$D$3:INDEX('자료_거시'!$D$3:$D$4002,$K$6),1)),""),"")</f>
        <v/>
      </c>
      <c r="U482">
        <f>IF(ISNUMBER(T482),'자료_거시'!$D464,"")</f>
        <v/>
      </c>
      <c r="V482">
        <f>IF(ISNUMBER(U482),IF(U482&gt;$L$6,T482,""),"")</f>
        <v/>
      </c>
      <c r="W482">
        <f>IF(AND(ISNUMBER('자료_거시'!$G464),ISNUMBER('자료_거시'!$H464)),'자료_거시'!$H464,"")</f>
        <v/>
      </c>
      <c r="X482">
        <f>IF(ISNUMBER(W482),'자료_거시'!$G464,"")</f>
        <v/>
      </c>
      <c r="Y482">
        <f>IF(ISNUMBER(X482),IF(X482&gt;$L$7,W482,""),"")</f>
        <v/>
      </c>
      <c r="Z482">
        <f>IF(ISNUMBER('자료_거시'!$K464),'자료_거시'!$K464,Z481)</f>
        <v/>
      </c>
      <c r="AA482">
        <f>IF(AND(ISNUMBER('자료_거시'!$J464),ISNUMBER('자료_거시'!$K464)),IFERROR('자료_거시'!$K464/INDEX($Z$21:$Z$4020,MATCH(EDATE('자료_거시'!$J464,-'설정'!$B$17),'자료_거시'!$J$3:INDEX('자료_거시'!$J$3:$J$4002,$K$8),1))-1,""),"")</f>
        <v/>
      </c>
      <c r="AB482">
        <f>IF(ISNUMBER(AA482),'자료_거시'!$J464,"")</f>
        <v/>
      </c>
      <c r="AC482">
        <f>IF(ISNUMBER(AB482),IF(AB482&gt;$L$8,AA482,""),"")</f>
        <v/>
      </c>
      <c r="AD482">
        <f>IF(AND(ISNUMBER('자료_거시'!$M464),ISNUMBER('자료_거시'!$N464)),1,0)</f>
        <v/>
      </c>
      <c r="AE482">
        <f>IF(AND(ISNUMBER('자료_거시'!$M464),ISNUMBER('자료_거시'!$N464)),IF(AND(SUMIFS($AD$21:$AD$620,'자료_거시'!$M$3:$M$602,"&gt;"&amp;EDATE('자료_거시'!$M464,-'설정'!$B$17),'자료_거시'!$M$3:$M$602,"&lt;="&amp;'자료_거시'!$M464)=3,SUMIFS($AD$21:$AD$620,'자료_거시'!$M$3:$M$602,"&gt;"&amp;EDATE('자료_거시'!$M464,-12-'설정'!$B$17),'자료_거시'!$M$3:$M$602,"&lt;="&amp;EDATE('자료_거시'!$M464,-12))=3),IFERROR(SUMIFS('자료_거시'!$N$3:$N$602,'자료_거시'!$M$3:$M$602,"&gt;"&amp;EDATE('자료_거시'!$M464,-'설정'!$B$17),'자료_거시'!$M$3:$M$602,"&lt;="&amp;'자료_거시'!$M464)/SUMIFS('자료_거시'!$N$3:$N$602,'자료_거시'!$M$3:$M$602,"&gt;"&amp;EDATE('자료_거시'!$M464,-12-'설정'!$B$17),'자료_거시'!$M$3:$M$602,"&lt;="&amp;EDATE('자료_거시'!$M464,-12))-1,""),""),"")</f>
        <v/>
      </c>
      <c r="AF482">
        <f>IF(ISNUMBER(AE482),'자료_거시'!$M464,"")</f>
        <v/>
      </c>
      <c r="AG482">
        <f>IF(ISNUMBER(AF482),IF(AF482&gt;$L$9,AE482,""),"")</f>
        <v/>
      </c>
    </row>
    <row r="483">
      <c r="P483">
        <f>IF(AND(ISNUMBER('자료_거시'!$A465),ISNUMBER('자료_거시'!$B465)),'자료_거시'!$B465,"")</f>
        <v/>
      </c>
      <c r="Q483">
        <f>IF(ISNUMBER(P483),'자료_거시'!$A465,"")</f>
        <v/>
      </c>
      <c r="R483">
        <f>IF(ISNUMBER(Q483),IF(Q483&gt;$L$5,P483,""),"")</f>
        <v/>
      </c>
      <c r="S483">
        <f>IF(ISNUMBER('자료_거시'!$E465),'자료_거시'!$E465,S482)</f>
        <v/>
      </c>
      <c r="T483">
        <f>IF(AND(ISNUMBER('자료_거시'!$D465),ISNUMBER('자료_거시'!$E465)),IFERROR('자료_거시'!$E465-INDEX($S$21:$S$4020,MATCH(EDATE('자료_거시'!$D465,-'설정'!$B$17),'자료_거시'!$D$3:INDEX('자료_거시'!$D$3:$D$4002,$K$6),1)),""),"")</f>
        <v/>
      </c>
      <c r="U483">
        <f>IF(ISNUMBER(T483),'자료_거시'!$D465,"")</f>
        <v/>
      </c>
      <c r="V483">
        <f>IF(ISNUMBER(U483),IF(U483&gt;$L$6,T483,""),"")</f>
        <v/>
      </c>
      <c r="W483">
        <f>IF(AND(ISNUMBER('자료_거시'!$G465),ISNUMBER('자료_거시'!$H465)),'자료_거시'!$H465,"")</f>
        <v/>
      </c>
      <c r="X483">
        <f>IF(ISNUMBER(W483),'자료_거시'!$G465,"")</f>
        <v/>
      </c>
      <c r="Y483">
        <f>IF(ISNUMBER(X483),IF(X483&gt;$L$7,W483,""),"")</f>
        <v/>
      </c>
      <c r="Z483">
        <f>IF(ISNUMBER('자료_거시'!$K465),'자료_거시'!$K465,Z482)</f>
        <v/>
      </c>
      <c r="AA483">
        <f>IF(AND(ISNUMBER('자료_거시'!$J465),ISNUMBER('자료_거시'!$K465)),IFERROR('자료_거시'!$K465/INDEX($Z$21:$Z$4020,MATCH(EDATE('자료_거시'!$J465,-'설정'!$B$17),'자료_거시'!$J$3:INDEX('자료_거시'!$J$3:$J$4002,$K$8),1))-1,""),"")</f>
        <v/>
      </c>
      <c r="AB483">
        <f>IF(ISNUMBER(AA483),'자료_거시'!$J465,"")</f>
        <v/>
      </c>
      <c r="AC483">
        <f>IF(ISNUMBER(AB483),IF(AB483&gt;$L$8,AA483,""),"")</f>
        <v/>
      </c>
      <c r="AD483">
        <f>IF(AND(ISNUMBER('자료_거시'!$M465),ISNUMBER('자료_거시'!$N465)),1,0)</f>
        <v/>
      </c>
      <c r="AE483">
        <f>IF(AND(ISNUMBER('자료_거시'!$M465),ISNUMBER('자료_거시'!$N465)),IF(AND(SUMIFS($AD$21:$AD$620,'자료_거시'!$M$3:$M$602,"&gt;"&amp;EDATE('자료_거시'!$M465,-'설정'!$B$17),'자료_거시'!$M$3:$M$602,"&lt;="&amp;'자료_거시'!$M465)=3,SUMIFS($AD$21:$AD$620,'자료_거시'!$M$3:$M$602,"&gt;"&amp;EDATE('자료_거시'!$M465,-12-'설정'!$B$17),'자료_거시'!$M$3:$M$602,"&lt;="&amp;EDATE('자료_거시'!$M465,-12))=3),IFERROR(SUMIFS('자료_거시'!$N$3:$N$602,'자료_거시'!$M$3:$M$602,"&gt;"&amp;EDATE('자료_거시'!$M465,-'설정'!$B$17),'자료_거시'!$M$3:$M$602,"&lt;="&amp;'자료_거시'!$M465)/SUMIFS('자료_거시'!$N$3:$N$602,'자료_거시'!$M$3:$M$602,"&gt;"&amp;EDATE('자료_거시'!$M465,-12-'설정'!$B$17),'자료_거시'!$M$3:$M$602,"&lt;="&amp;EDATE('자료_거시'!$M465,-12))-1,""),""),"")</f>
        <v/>
      </c>
      <c r="AF483">
        <f>IF(ISNUMBER(AE483),'자료_거시'!$M465,"")</f>
        <v/>
      </c>
      <c r="AG483">
        <f>IF(ISNUMBER(AF483),IF(AF483&gt;$L$9,AE483,""),"")</f>
        <v/>
      </c>
    </row>
    <row r="484">
      <c r="P484">
        <f>IF(AND(ISNUMBER('자료_거시'!$A466),ISNUMBER('자료_거시'!$B466)),'자료_거시'!$B466,"")</f>
        <v/>
      </c>
      <c r="Q484">
        <f>IF(ISNUMBER(P484),'자료_거시'!$A466,"")</f>
        <v/>
      </c>
      <c r="R484">
        <f>IF(ISNUMBER(Q484),IF(Q484&gt;$L$5,P484,""),"")</f>
        <v/>
      </c>
      <c r="S484">
        <f>IF(ISNUMBER('자료_거시'!$E466),'자료_거시'!$E466,S483)</f>
        <v/>
      </c>
      <c r="T484">
        <f>IF(AND(ISNUMBER('자료_거시'!$D466),ISNUMBER('자료_거시'!$E466)),IFERROR('자료_거시'!$E466-INDEX($S$21:$S$4020,MATCH(EDATE('자료_거시'!$D466,-'설정'!$B$17),'자료_거시'!$D$3:INDEX('자료_거시'!$D$3:$D$4002,$K$6),1)),""),"")</f>
        <v/>
      </c>
      <c r="U484">
        <f>IF(ISNUMBER(T484),'자료_거시'!$D466,"")</f>
        <v/>
      </c>
      <c r="V484">
        <f>IF(ISNUMBER(U484),IF(U484&gt;$L$6,T484,""),"")</f>
        <v/>
      </c>
      <c r="W484">
        <f>IF(AND(ISNUMBER('자료_거시'!$G466),ISNUMBER('자료_거시'!$H466)),'자료_거시'!$H466,"")</f>
        <v/>
      </c>
      <c r="X484">
        <f>IF(ISNUMBER(W484),'자료_거시'!$G466,"")</f>
        <v/>
      </c>
      <c r="Y484">
        <f>IF(ISNUMBER(X484),IF(X484&gt;$L$7,W484,""),"")</f>
        <v/>
      </c>
      <c r="Z484">
        <f>IF(ISNUMBER('자료_거시'!$K466),'자료_거시'!$K466,Z483)</f>
        <v/>
      </c>
      <c r="AA484">
        <f>IF(AND(ISNUMBER('자료_거시'!$J466),ISNUMBER('자료_거시'!$K466)),IFERROR('자료_거시'!$K466/INDEX($Z$21:$Z$4020,MATCH(EDATE('자료_거시'!$J466,-'설정'!$B$17),'자료_거시'!$J$3:INDEX('자료_거시'!$J$3:$J$4002,$K$8),1))-1,""),"")</f>
        <v/>
      </c>
      <c r="AB484">
        <f>IF(ISNUMBER(AA484),'자료_거시'!$J466,"")</f>
        <v/>
      </c>
      <c r="AC484">
        <f>IF(ISNUMBER(AB484),IF(AB484&gt;$L$8,AA484,""),"")</f>
        <v/>
      </c>
      <c r="AD484">
        <f>IF(AND(ISNUMBER('자료_거시'!$M466),ISNUMBER('자료_거시'!$N466)),1,0)</f>
        <v/>
      </c>
      <c r="AE484">
        <f>IF(AND(ISNUMBER('자료_거시'!$M466),ISNUMBER('자료_거시'!$N466)),IF(AND(SUMIFS($AD$21:$AD$620,'자료_거시'!$M$3:$M$602,"&gt;"&amp;EDATE('자료_거시'!$M466,-'설정'!$B$17),'자료_거시'!$M$3:$M$602,"&lt;="&amp;'자료_거시'!$M466)=3,SUMIFS($AD$21:$AD$620,'자료_거시'!$M$3:$M$602,"&gt;"&amp;EDATE('자료_거시'!$M466,-12-'설정'!$B$17),'자료_거시'!$M$3:$M$602,"&lt;="&amp;EDATE('자료_거시'!$M466,-12))=3),IFERROR(SUMIFS('자료_거시'!$N$3:$N$602,'자료_거시'!$M$3:$M$602,"&gt;"&amp;EDATE('자료_거시'!$M466,-'설정'!$B$17),'자료_거시'!$M$3:$M$602,"&lt;="&amp;'자료_거시'!$M466)/SUMIFS('자료_거시'!$N$3:$N$602,'자료_거시'!$M$3:$M$602,"&gt;"&amp;EDATE('자료_거시'!$M466,-12-'설정'!$B$17),'자료_거시'!$M$3:$M$602,"&lt;="&amp;EDATE('자료_거시'!$M466,-12))-1,""),""),"")</f>
        <v/>
      </c>
      <c r="AF484">
        <f>IF(ISNUMBER(AE484),'자료_거시'!$M466,"")</f>
        <v/>
      </c>
      <c r="AG484">
        <f>IF(ISNUMBER(AF484),IF(AF484&gt;$L$9,AE484,""),"")</f>
        <v/>
      </c>
    </row>
    <row r="485">
      <c r="P485">
        <f>IF(AND(ISNUMBER('자료_거시'!$A467),ISNUMBER('자료_거시'!$B467)),'자료_거시'!$B467,"")</f>
        <v/>
      </c>
      <c r="Q485">
        <f>IF(ISNUMBER(P485),'자료_거시'!$A467,"")</f>
        <v/>
      </c>
      <c r="R485">
        <f>IF(ISNUMBER(Q485),IF(Q485&gt;$L$5,P485,""),"")</f>
        <v/>
      </c>
      <c r="S485">
        <f>IF(ISNUMBER('자료_거시'!$E467),'자료_거시'!$E467,S484)</f>
        <v/>
      </c>
      <c r="T485">
        <f>IF(AND(ISNUMBER('자료_거시'!$D467),ISNUMBER('자료_거시'!$E467)),IFERROR('자료_거시'!$E467-INDEX($S$21:$S$4020,MATCH(EDATE('자료_거시'!$D467,-'설정'!$B$17),'자료_거시'!$D$3:INDEX('자료_거시'!$D$3:$D$4002,$K$6),1)),""),"")</f>
        <v/>
      </c>
      <c r="U485">
        <f>IF(ISNUMBER(T485),'자료_거시'!$D467,"")</f>
        <v/>
      </c>
      <c r="V485">
        <f>IF(ISNUMBER(U485),IF(U485&gt;$L$6,T485,""),"")</f>
        <v/>
      </c>
      <c r="W485">
        <f>IF(AND(ISNUMBER('자료_거시'!$G467),ISNUMBER('자료_거시'!$H467)),'자료_거시'!$H467,"")</f>
        <v/>
      </c>
      <c r="X485">
        <f>IF(ISNUMBER(W485),'자료_거시'!$G467,"")</f>
        <v/>
      </c>
      <c r="Y485">
        <f>IF(ISNUMBER(X485),IF(X485&gt;$L$7,W485,""),"")</f>
        <v/>
      </c>
      <c r="Z485">
        <f>IF(ISNUMBER('자료_거시'!$K467),'자료_거시'!$K467,Z484)</f>
        <v/>
      </c>
      <c r="AA485">
        <f>IF(AND(ISNUMBER('자료_거시'!$J467),ISNUMBER('자료_거시'!$K467)),IFERROR('자료_거시'!$K467/INDEX($Z$21:$Z$4020,MATCH(EDATE('자료_거시'!$J467,-'설정'!$B$17),'자료_거시'!$J$3:INDEX('자료_거시'!$J$3:$J$4002,$K$8),1))-1,""),"")</f>
        <v/>
      </c>
      <c r="AB485">
        <f>IF(ISNUMBER(AA485),'자료_거시'!$J467,"")</f>
        <v/>
      </c>
      <c r="AC485">
        <f>IF(ISNUMBER(AB485),IF(AB485&gt;$L$8,AA485,""),"")</f>
        <v/>
      </c>
      <c r="AD485">
        <f>IF(AND(ISNUMBER('자료_거시'!$M467),ISNUMBER('자료_거시'!$N467)),1,0)</f>
        <v/>
      </c>
      <c r="AE485">
        <f>IF(AND(ISNUMBER('자료_거시'!$M467),ISNUMBER('자료_거시'!$N467)),IF(AND(SUMIFS($AD$21:$AD$620,'자료_거시'!$M$3:$M$602,"&gt;"&amp;EDATE('자료_거시'!$M467,-'설정'!$B$17),'자료_거시'!$M$3:$M$602,"&lt;="&amp;'자료_거시'!$M467)=3,SUMIFS($AD$21:$AD$620,'자료_거시'!$M$3:$M$602,"&gt;"&amp;EDATE('자료_거시'!$M467,-12-'설정'!$B$17),'자료_거시'!$M$3:$M$602,"&lt;="&amp;EDATE('자료_거시'!$M467,-12))=3),IFERROR(SUMIFS('자료_거시'!$N$3:$N$602,'자료_거시'!$M$3:$M$602,"&gt;"&amp;EDATE('자료_거시'!$M467,-'설정'!$B$17),'자료_거시'!$M$3:$M$602,"&lt;="&amp;'자료_거시'!$M467)/SUMIFS('자료_거시'!$N$3:$N$602,'자료_거시'!$M$3:$M$602,"&gt;"&amp;EDATE('자료_거시'!$M467,-12-'설정'!$B$17),'자료_거시'!$M$3:$M$602,"&lt;="&amp;EDATE('자료_거시'!$M467,-12))-1,""),""),"")</f>
        <v/>
      </c>
      <c r="AF485">
        <f>IF(ISNUMBER(AE485),'자료_거시'!$M467,"")</f>
        <v/>
      </c>
      <c r="AG485">
        <f>IF(ISNUMBER(AF485),IF(AF485&gt;$L$9,AE485,""),"")</f>
        <v/>
      </c>
    </row>
    <row r="486">
      <c r="P486">
        <f>IF(AND(ISNUMBER('자료_거시'!$A468),ISNUMBER('자료_거시'!$B468)),'자료_거시'!$B468,"")</f>
        <v/>
      </c>
      <c r="Q486">
        <f>IF(ISNUMBER(P486),'자료_거시'!$A468,"")</f>
        <v/>
      </c>
      <c r="R486">
        <f>IF(ISNUMBER(Q486),IF(Q486&gt;$L$5,P486,""),"")</f>
        <v/>
      </c>
      <c r="S486">
        <f>IF(ISNUMBER('자료_거시'!$E468),'자료_거시'!$E468,S485)</f>
        <v/>
      </c>
      <c r="T486">
        <f>IF(AND(ISNUMBER('자료_거시'!$D468),ISNUMBER('자료_거시'!$E468)),IFERROR('자료_거시'!$E468-INDEX($S$21:$S$4020,MATCH(EDATE('자료_거시'!$D468,-'설정'!$B$17),'자료_거시'!$D$3:INDEX('자료_거시'!$D$3:$D$4002,$K$6),1)),""),"")</f>
        <v/>
      </c>
      <c r="U486">
        <f>IF(ISNUMBER(T486),'자료_거시'!$D468,"")</f>
        <v/>
      </c>
      <c r="V486">
        <f>IF(ISNUMBER(U486),IF(U486&gt;$L$6,T486,""),"")</f>
        <v/>
      </c>
      <c r="W486">
        <f>IF(AND(ISNUMBER('자료_거시'!$G468),ISNUMBER('자료_거시'!$H468)),'자료_거시'!$H468,"")</f>
        <v/>
      </c>
      <c r="X486">
        <f>IF(ISNUMBER(W486),'자료_거시'!$G468,"")</f>
        <v/>
      </c>
      <c r="Y486">
        <f>IF(ISNUMBER(X486),IF(X486&gt;$L$7,W486,""),"")</f>
        <v/>
      </c>
      <c r="Z486">
        <f>IF(ISNUMBER('자료_거시'!$K468),'자료_거시'!$K468,Z485)</f>
        <v/>
      </c>
      <c r="AA486">
        <f>IF(AND(ISNUMBER('자료_거시'!$J468),ISNUMBER('자료_거시'!$K468)),IFERROR('자료_거시'!$K468/INDEX($Z$21:$Z$4020,MATCH(EDATE('자료_거시'!$J468,-'설정'!$B$17),'자료_거시'!$J$3:INDEX('자료_거시'!$J$3:$J$4002,$K$8),1))-1,""),"")</f>
        <v/>
      </c>
      <c r="AB486">
        <f>IF(ISNUMBER(AA486),'자료_거시'!$J468,"")</f>
        <v/>
      </c>
      <c r="AC486">
        <f>IF(ISNUMBER(AB486),IF(AB486&gt;$L$8,AA486,""),"")</f>
        <v/>
      </c>
      <c r="AD486">
        <f>IF(AND(ISNUMBER('자료_거시'!$M468),ISNUMBER('자료_거시'!$N468)),1,0)</f>
        <v/>
      </c>
      <c r="AE486">
        <f>IF(AND(ISNUMBER('자료_거시'!$M468),ISNUMBER('자료_거시'!$N468)),IF(AND(SUMIFS($AD$21:$AD$620,'자료_거시'!$M$3:$M$602,"&gt;"&amp;EDATE('자료_거시'!$M468,-'설정'!$B$17),'자료_거시'!$M$3:$M$602,"&lt;="&amp;'자료_거시'!$M468)=3,SUMIFS($AD$21:$AD$620,'자료_거시'!$M$3:$M$602,"&gt;"&amp;EDATE('자료_거시'!$M468,-12-'설정'!$B$17),'자료_거시'!$M$3:$M$602,"&lt;="&amp;EDATE('자료_거시'!$M468,-12))=3),IFERROR(SUMIFS('자료_거시'!$N$3:$N$602,'자료_거시'!$M$3:$M$602,"&gt;"&amp;EDATE('자료_거시'!$M468,-'설정'!$B$17),'자료_거시'!$M$3:$M$602,"&lt;="&amp;'자료_거시'!$M468)/SUMIFS('자료_거시'!$N$3:$N$602,'자료_거시'!$M$3:$M$602,"&gt;"&amp;EDATE('자료_거시'!$M468,-12-'설정'!$B$17),'자료_거시'!$M$3:$M$602,"&lt;="&amp;EDATE('자료_거시'!$M468,-12))-1,""),""),"")</f>
        <v/>
      </c>
      <c r="AF486">
        <f>IF(ISNUMBER(AE486),'자료_거시'!$M468,"")</f>
        <v/>
      </c>
      <c r="AG486">
        <f>IF(ISNUMBER(AF486),IF(AF486&gt;$L$9,AE486,""),"")</f>
        <v/>
      </c>
    </row>
    <row r="487">
      <c r="P487">
        <f>IF(AND(ISNUMBER('자료_거시'!$A469),ISNUMBER('자료_거시'!$B469)),'자료_거시'!$B469,"")</f>
        <v/>
      </c>
      <c r="Q487">
        <f>IF(ISNUMBER(P487),'자료_거시'!$A469,"")</f>
        <v/>
      </c>
      <c r="R487">
        <f>IF(ISNUMBER(Q487),IF(Q487&gt;$L$5,P487,""),"")</f>
        <v/>
      </c>
      <c r="S487">
        <f>IF(ISNUMBER('자료_거시'!$E469),'자료_거시'!$E469,S486)</f>
        <v/>
      </c>
      <c r="T487">
        <f>IF(AND(ISNUMBER('자료_거시'!$D469),ISNUMBER('자료_거시'!$E469)),IFERROR('자료_거시'!$E469-INDEX($S$21:$S$4020,MATCH(EDATE('자료_거시'!$D469,-'설정'!$B$17),'자료_거시'!$D$3:INDEX('자료_거시'!$D$3:$D$4002,$K$6),1)),""),"")</f>
        <v/>
      </c>
      <c r="U487">
        <f>IF(ISNUMBER(T487),'자료_거시'!$D469,"")</f>
        <v/>
      </c>
      <c r="V487">
        <f>IF(ISNUMBER(U487),IF(U487&gt;$L$6,T487,""),"")</f>
        <v/>
      </c>
      <c r="W487">
        <f>IF(AND(ISNUMBER('자료_거시'!$G469),ISNUMBER('자료_거시'!$H469)),'자료_거시'!$H469,"")</f>
        <v/>
      </c>
      <c r="X487">
        <f>IF(ISNUMBER(W487),'자료_거시'!$G469,"")</f>
        <v/>
      </c>
      <c r="Y487">
        <f>IF(ISNUMBER(X487),IF(X487&gt;$L$7,W487,""),"")</f>
        <v/>
      </c>
      <c r="Z487">
        <f>IF(ISNUMBER('자료_거시'!$K469),'자료_거시'!$K469,Z486)</f>
        <v/>
      </c>
      <c r="AA487">
        <f>IF(AND(ISNUMBER('자료_거시'!$J469),ISNUMBER('자료_거시'!$K469)),IFERROR('자료_거시'!$K469/INDEX($Z$21:$Z$4020,MATCH(EDATE('자료_거시'!$J469,-'설정'!$B$17),'자료_거시'!$J$3:INDEX('자료_거시'!$J$3:$J$4002,$K$8),1))-1,""),"")</f>
        <v/>
      </c>
      <c r="AB487">
        <f>IF(ISNUMBER(AA487),'자료_거시'!$J469,"")</f>
        <v/>
      </c>
      <c r="AC487">
        <f>IF(ISNUMBER(AB487),IF(AB487&gt;$L$8,AA487,""),"")</f>
        <v/>
      </c>
      <c r="AD487">
        <f>IF(AND(ISNUMBER('자료_거시'!$M469),ISNUMBER('자료_거시'!$N469)),1,0)</f>
        <v/>
      </c>
      <c r="AE487">
        <f>IF(AND(ISNUMBER('자료_거시'!$M469),ISNUMBER('자료_거시'!$N469)),IF(AND(SUMIFS($AD$21:$AD$620,'자료_거시'!$M$3:$M$602,"&gt;"&amp;EDATE('자료_거시'!$M469,-'설정'!$B$17),'자료_거시'!$M$3:$M$602,"&lt;="&amp;'자료_거시'!$M469)=3,SUMIFS($AD$21:$AD$620,'자료_거시'!$M$3:$M$602,"&gt;"&amp;EDATE('자료_거시'!$M469,-12-'설정'!$B$17),'자료_거시'!$M$3:$M$602,"&lt;="&amp;EDATE('자료_거시'!$M469,-12))=3),IFERROR(SUMIFS('자료_거시'!$N$3:$N$602,'자료_거시'!$M$3:$M$602,"&gt;"&amp;EDATE('자료_거시'!$M469,-'설정'!$B$17),'자료_거시'!$M$3:$M$602,"&lt;="&amp;'자료_거시'!$M469)/SUMIFS('자료_거시'!$N$3:$N$602,'자료_거시'!$M$3:$M$602,"&gt;"&amp;EDATE('자료_거시'!$M469,-12-'설정'!$B$17),'자료_거시'!$M$3:$M$602,"&lt;="&amp;EDATE('자료_거시'!$M469,-12))-1,""),""),"")</f>
        <v/>
      </c>
      <c r="AF487">
        <f>IF(ISNUMBER(AE487),'자료_거시'!$M469,"")</f>
        <v/>
      </c>
      <c r="AG487">
        <f>IF(ISNUMBER(AF487),IF(AF487&gt;$L$9,AE487,""),"")</f>
        <v/>
      </c>
    </row>
    <row r="488">
      <c r="P488">
        <f>IF(AND(ISNUMBER('자료_거시'!$A470),ISNUMBER('자료_거시'!$B470)),'자료_거시'!$B470,"")</f>
        <v/>
      </c>
      <c r="Q488">
        <f>IF(ISNUMBER(P488),'자료_거시'!$A470,"")</f>
        <v/>
      </c>
      <c r="R488">
        <f>IF(ISNUMBER(Q488),IF(Q488&gt;$L$5,P488,""),"")</f>
        <v/>
      </c>
      <c r="S488">
        <f>IF(ISNUMBER('자료_거시'!$E470),'자료_거시'!$E470,S487)</f>
        <v/>
      </c>
      <c r="T488">
        <f>IF(AND(ISNUMBER('자료_거시'!$D470),ISNUMBER('자료_거시'!$E470)),IFERROR('자료_거시'!$E470-INDEX($S$21:$S$4020,MATCH(EDATE('자료_거시'!$D470,-'설정'!$B$17),'자료_거시'!$D$3:INDEX('자료_거시'!$D$3:$D$4002,$K$6),1)),""),"")</f>
        <v/>
      </c>
      <c r="U488">
        <f>IF(ISNUMBER(T488),'자료_거시'!$D470,"")</f>
        <v/>
      </c>
      <c r="V488">
        <f>IF(ISNUMBER(U488),IF(U488&gt;$L$6,T488,""),"")</f>
        <v/>
      </c>
      <c r="W488">
        <f>IF(AND(ISNUMBER('자료_거시'!$G470),ISNUMBER('자료_거시'!$H470)),'자료_거시'!$H470,"")</f>
        <v/>
      </c>
      <c r="X488">
        <f>IF(ISNUMBER(W488),'자료_거시'!$G470,"")</f>
        <v/>
      </c>
      <c r="Y488">
        <f>IF(ISNUMBER(X488),IF(X488&gt;$L$7,W488,""),"")</f>
        <v/>
      </c>
      <c r="Z488">
        <f>IF(ISNUMBER('자료_거시'!$K470),'자료_거시'!$K470,Z487)</f>
        <v/>
      </c>
      <c r="AA488">
        <f>IF(AND(ISNUMBER('자료_거시'!$J470),ISNUMBER('자료_거시'!$K470)),IFERROR('자료_거시'!$K470/INDEX($Z$21:$Z$4020,MATCH(EDATE('자료_거시'!$J470,-'설정'!$B$17),'자료_거시'!$J$3:INDEX('자료_거시'!$J$3:$J$4002,$K$8),1))-1,""),"")</f>
        <v/>
      </c>
      <c r="AB488">
        <f>IF(ISNUMBER(AA488),'자료_거시'!$J470,"")</f>
        <v/>
      </c>
      <c r="AC488">
        <f>IF(ISNUMBER(AB488),IF(AB488&gt;$L$8,AA488,""),"")</f>
        <v/>
      </c>
      <c r="AD488">
        <f>IF(AND(ISNUMBER('자료_거시'!$M470),ISNUMBER('자료_거시'!$N470)),1,0)</f>
        <v/>
      </c>
      <c r="AE488">
        <f>IF(AND(ISNUMBER('자료_거시'!$M470),ISNUMBER('자료_거시'!$N470)),IF(AND(SUMIFS($AD$21:$AD$620,'자료_거시'!$M$3:$M$602,"&gt;"&amp;EDATE('자료_거시'!$M470,-'설정'!$B$17),'자료_거시'!$M$3:$M$602,"&lt;="&amp;'자료_거시'!$M470)=3,SUMIFS($AD$21:$AD$620,'자료_거시'!$M$3:$M$602,"&gt;"&amp;EDATE('자료_거시'!$M470,-12-'설정'!$B$17),'자료_거시'!$M$3:$M$602,"&lt;="&amp;EDATE('자료_거시'!$M470,-12))=3),IFERROR(SUMIFS('자료_거시'!$N$3:$N$602,'자료_거시'!$M$3:$M$602,"&gt;"&amp;EDATE('자료_거시'!$M470,-'설정'!$B$17),'자료_거시'!$M$3:$M$602,"&lt;="&amp;'자료_거시'!$M470)/SUMIFS('자료_거시'!$N$3:$N$602,'자료_거시'!$M$3:$M$602,"&gt;"&amp;EDATE('자료_거시'!$M470,-12-'설정'!$B$17),'자료_거시'!$M$3:$M$602,"&lt;="&amp;EDATE('자료_거시'!$M470,-12))-1,""),""),"")</f>
        <v/>
      </c>
      <c r="AF488">
        <f>IF(ISNUMBER(AE488),'자료_거시'!$M470,"")</f>
        <v/>
      </c>
      <c r="AG488">
        <f>IF(ISNUMBER(AF488),IF(AF488&gt;$L$9,AE488,""),"")</f>
        <v/>
      </c>
    </row>
    <row r="489">
      <c r="P489">
        <f>IF(AND(ISNUMBER('자료_거시'!$A471),ISNUMBER('자료_거시'!$B471)),'자료_거시'!$B471,"")</f>
        <v/>
      </c>
      <c r="Q489">
        <f>IF(ISNUMBER(P489),'자료_거시'!$A471,"")</f>
        <v/>
      </c>
      <c r="R489">
        <f>IF(ISNUMBER(Q489),IF(Q489&gt;$L$5,P489,""),"")</f>
        <v/>
      </c>
      <c r="S489">
        <f>IF(ISNUMBER('자료_거시'!$E471),'자료_거시'!$E471,S488)</f>
        <v/>
      </c>
      <c r="T489">
        <f>IF(AND(ISNUMBER('자료_거시'!$D471),ISNUMBER('자료_거시'!$E471)),IFERROR('자료_거시'!$E471-INDEX($S$21:$S$4020,MATCH(EDATE('자료_거시'!$D471,-'설정'!$B$17),'자료_거시'!$D$3:INDEX('자료_거시'!$D$3:$D$4002,$K$6),1)),""),"")</f>
        <v/>
      </c>
      <c r="U489">
        <f>IF(ISNUMBER(T489),'자료_거시'!$D471,"")</f>
        <v/>
      </c>
      <c r="V489">
        <f>IF(ISNUMBER(U489),IF(U489&gt;$L$6,T489,""),"")</f>
        <v/>
      </c>
      <c r="W489">
        <f>IF(AND(ISNUMBER('자료_거시'!$G471),ISNUMBER('자료_거시'!$H471)),'자료_거시'!$H471,"")</f>
        <v/>
      </c>
      <c r="X489">
        <f>IF(ISNUMBER(W489),'자료_거시'!$G471,"")</f>
        <v/>
      </c>
      <c r="Y489">
        <f>IF(ISNUMBER(X489),IF(X489&gt;$L$7,W489,""),"")</f>
        <v/>
      </c>
      <c r="Z489">
        <f>IF(ISNUMBER('자료_거시'!$K471),'자료_거시'!$K471,Z488)</f>
        <v/>
      </c>
      <c r="AA489">
        <f>IF(AND(ISNUMBER('자료_거시'!$J471),ISNUMBER('자료_거시'!$K471)),IFERROR('자료_거시'!$K471/INDEX($Z$21:$Z$4020,MATCH(EDATE('자료_거시'!$J471,-'설정'!$B$17),'자료_거시'!$J$3:INDEX('자료_거시'!$J$3:$J$4002,$K$8),1))-1,""),"")</f>
        <v/>
      </c>
      <c r="AB489">
        <f>IF(ISNUMBER(AA489),'자료_거시'!$J471,"")</f>
        <v/>
      </c>
      <c r="AC489">
        <f>IF(ISNUMBER(AB489),IF(AB489&gt;$L$8,AA489,""),"")</f>
        <v/>
      </c>
      <c r="AD489">
        <f>IF(AND(ISNUMBER('자료_거시'!$M471),ISNUMBER('자료_거시'!$N471)),1,0)</f>
        <v/>
      </c>
      <c r="AE489">
        <f>IF(AND(ISNUMBER('자료_거시'!$M471),ISNUMBER('자료_거시'!$N471)),IF(AND(SUMIFS($AD$21:$AD$620,'자료_거시'!$M$3:$M$602,"&gt;"&amp;EDATE('자료_거시'!$M471,-'설정'!$B$17),'자료_거시'!$M$3:$M$602,"&lt;="&amp;'자료_거시'!$M471)=3,SUMIFS($AD$21:$AD$620,'자료_거시'!$M$3:$M$602,"&gt;"&amp;EDATE('자료_거시'!$M471,-12-'설정'!$B$17),'자료_거시'!$M$3:$M$602,"&lt;="&amp;EDATE('자료_거시'!$M471,-12))=3),IFERROR(SUMIFS('자료_거시'!$N$3:$N$602,'자료_거시'!$M$3:$M$602,"&gt;"&amp;EDATE('자료_거시'!$M471,-'설정'!$B$17),'자료_거시'!$M$3:$M$602,"&lt;="&amp;'자료_거시'!$M471)/SUMIFS('자료_거시'!$N$3:$N$602,'자료_거시'!$M$3:$M$602,"&gt;"&amp;EDATE('자료_거시'!$M471,-12-'설정'!$B$17),'자료_거시'!$M$3:$M$602,"&lt;="&amp;EDATE('자료_거시'!$M471,-12))-1,""),""),"")</f>
        <v/>
      </c>
      <c r="AF489">
        <f>IF(ISNUMBER(AE489),'자료_거시'!$M471,"")</f>
        <v/>
      </c>
      <c r="AG489">
        <f>IF(ISNUMBER(AF489),IF(AF489&gt;$L$9,AE489,""),"")</f>
        <v/>
      </c>
    </row>
    <row r="490">
      <c r="P490">
        <f>IF(AND(ISNUMBER('자료_거시'!$A472),ISNUMBER('자료_거시'!$B472)),'자료_거시'!$B472,"")</f>
        <v/>
      </c>
      <c r="Q490">
        <f>IF(ISNUMBER(P490),'자료_거시'!$A472,"")</f>
        <v/>
      </c>
      <c r="R490">
        <f>IF(ISNUMBER(Q490),IF(Q490&gt;$L$5,P490,""),"")</f>
        <v/>
      </c>
      <c r="S490">
        <f>IF(ISNUMBER('자료_거시'!$E472),'자료_거시'!$E472,S489)</f>
        <v/>
      </c>
      <c r="T490">
        <f>IF(AND(ISNUMBER('자료_거시'!$D472),ISNUMBER('자료_거시'!$E472)),IFERROR('자료_거시'!$E472-INDEX($S$21:$S$4020,MATCH(EDATE('자료_거시'!$D472,-'설정'!$B$17),'자료_거시'!$D$3:INDEX('자료_거시'!$D$3:$D$4002,$K$6),1)),""),"")</f>
        <v/>
      </c>
      <c r="U490">
        <f>IF(ISNUMBER(T490),'자료_거시'!$D472,"")</f>
        <v/>
      </c>
      <c r="V490">
        <f>IF(ISNUMBER(U490),IF(U490&gt;$L$6,T490,""),"")</f>
        <v/>
      </c>
      <c r="W490">
        <f>IF(AND(ISNUMBER('자료_거시'!$G472),ISNUMBER('자료_거시'!$H472)),'자료_거시'!$H472,"")</f>
        <v/>
      </c>
      <c r="X490">
        <f>IF(ISNUMBER(W490),'자료_거시'!$G472,"")</f>
        <v/>
      </c>
      <c r="Y490">
        <f>IF(ISNUMBER(X490),IF(X490&gt;$L$7,W490,""),"")</f>
        <v/>
      </c>
      <c r="Z490">
        <f>IF(ISNUMBER('자료_거시'!$K472),'자료_거시'!$K472,Z489)</f>
        <v/>
      </c>
      <c r="AA490">
        <f>IF(AND(ISNUMBER('자료_거시'!$J472),ISNUMBER('자료_거시'!$K472)),IFERROR('자료_거시'!$K472/INDEX($Z$21:$Z$4020,MATCH(EDATE('자료_거시'!$J472,-'설정'!$B$17),'자료_거시'!$J$3:INDEX('자료_거시'!$J$3:$J$4002,$K$8),1))-1,""),"")</f>
        <v/>
      </c>
      <c r="AB490">
        <f>IF(ISNUMBER(AA490),'자료_거시'!$J472,"")</f>
        <v/>
      </c>
      <c r="AC490">
        <f>IF(ISNUMBER(AB490),IF(AB490&gt;$L$8,AA490,""),"")</f>
        <v/>
      </c>
      <c r="AD490">
        <f>IF(AND(ISNUMBER('자료_거시'!$M472),ISNUMBER('자료_거시'!$N472)),1,0)</f>
        <v/>
      </c>
      <c r="AE490">
        <f>IF(AND(ISNUMBER('자료_거시'!$M472),ISNUMBER('자료_거시'!$N472)),IF(AND(SUMIFS($AD$21:$AD$620,'자료_거시'!$M$3:$M$602,"&gt;"&amp;EDATE('자료_거시'!$M472,-'설정'!$B$17),'자료_거시'!$M$3:$M$602,"&lt;="&amp;'자료_거시'!$M472)=3,SUMIFS($AD$21:$AD$620,'자료_거시'!$M$3:$M$602,"&gt;"&amp;EDATE('자료_거시'!$M472,-12-'설정'!$B$17),'자료_거시'!$M$3:$M$602,"&lt;="&amp;EDATE('자료_거시'!$M472,-12))=3),IFERROR(SUMIFS('자료_거시'!$N$3:$N$602,'자료_거시'!$M$3:$M$602,"&gt;"&amp;EDATE('자료_거시'!$M472,-'설정'!$B$17),'자료_거시'!$M$3:$M$602,"&lt;="&amp;'자료_거시'!$M472)/SUMIFS('자료_거시'!$N$3:$N$602,'자료_거시'!$M$3:$M$602,"&gt;"&amp;EDATE('자료_거시'!$M472,-12-'설정'!$B$17),'자료_거시'!$M$3:$M$602,"&lt;="&amp;EDATE('자료_거시'!$M472,-12))-1,""),""),"")</f>
        <v/>
      </c>
      <c r="AF490">
        <f>IF(ISNUMBER(AE490),'자료_거시'!$M472,"")</f>
        <v/>
      </c>
      <c r="AG490">
        <f>IF(ISNUMBER(AF490),IF(AF490&gt;$L$9,AE490,""),"")</f>
        <v/>
      </c>
    </row>
    <row r="491">
      <c r="P491">
        <f>IF(AND(ISNUMBER('자료_거시'!$A473),ISNUMBER('자료_거시'!$B473)),'자료_거시'!$B473,"")</f>
        <v/>
      </c>
      <c r="Q491">
        <f>IF(ISNUMBER(P491),'자료_거시'!$A473,"")</f>
        <v/>
      </c>
      <c r="R491">
        <f>IF(ISNUMBER(Q491),IF(Q491&gt;$L$5,P491,""),"")</f>
        <v/>
      </c>
      <c r="S491">
        <f>IF(ISNUMBER('자료_거시'!$E473),'자료_거시'!$E473,S490)</f>
        <v/>
      </c>
      <c r="T491">
        <f>IF(AND(ISNUMBER('자료_거시'!$D473),ISNUMBER('자료_거시'!$E473)),IFERROR('자료_거시'!$E473-INDEX($S$21:$S$4020,MATCH(EDATE('자료_거시'!$D473,-'설정'!$B$17),'자료_거시'!$D$3:INDEX('자료_거시'!$D$3:$D$4002,$K$6),1)),""),"")</f>
        <v/>
      </c>
      <c r="U491">
        <f>IF(ISNUMBER(T491),'자료_거시'!$D473,"")</f>
        <v/>
      </c>
      <c r="V491">
        <f>IF(ISNUMBER(U491),IF(U491&gt;$L$6,T491,""),"")</f>
        <v/>
      </c>
      <c r="W491">
        <f>IF(AND(ISNUMBER('자료_거시'!$G473),ISNUMBER('자료_거시'!$H473)),'자료_거시'!$H473,"")</f>
        <v/>
      </c>
      <c r="X491">
        <f>IF(ISNUMBER(W491),'자료_거시'!$G473,"")</f>
        <v/>
      </c>
      <c r="Y491">
        <f>IF(ISNUMBER(X491),IF(X491&gt;$L$7,W491,""),"")</f>
        <v/>
      </c>
      <c r="Z491">
        <f>IF(ISNUMBER('자료_거시'!$K473),'자료_거시'!$K473,Z490)</f>
        <v/>
      </c>
      <c r="AA491">
        <f>IF(AND(ISNUMBER('자료_거시'!$J473),ISNUMBER('자료_거시'!$K473)),IFERROR('자료_거시'!$K473/INDEX($Z$21:$Z$4020,MATCH(EDATE('자료_거시'!$J473,-'설정'!$B$17),'자료_거시'!$J$3:INDEX('자료_거시'!$J$3:$J$4002,$K$8),1))-1,""),"")</f>
        <v/>
      </c>
      <c r="AB491">
        <f>IF(ISNUMBER(AA491),'자료_거시'!$J473,"")</f>
        <v/>
      </c>
      <c r="AC491">
        <f>IF(ISNUMBER(AB491),IF(AB491&gt;$L$8,AA491,""),"")</f>
        <v/>
      </c>
      <c r="AD491">
        <f>IF(AND(ISNUMBER('자료_거시'!$M473),ISNUMBER('자료_거시'!$N473)),1,0)</f>
        <v/>
      </c>
      <c r="AE491">
        <f>IF(AND(ISNUMBER('자료_거시'!$M473),ISNUMBER('자료_거시'!$N473)),IF(AND(SUMIFS($AD$21:$AD$620,'자료_거시'!$M$3:$M$602,"&gt;"&amp;EDATE('자료_거시'!$M473,-'설정'!$B$17),'자료_거시'!$M$3:$M$602,"&lt;="&amp;'자료_거시'!$M473)=3,SUMIFS($AD$21:$AD$620,'자료_거시'!$M$3:$M$602,"&gt;"&amp;EDATE('자료_거시'!$M473,-12-'설정'!$B$17),'자료_거시'!$M$3:$M$602,"&lt;="&amp;EDATE('자료_거시'!$M473,-12))=3),IFERROR(SUMIFS('자료_거시'!$N$3:$N$602,'자료_거시'!$M$3:$M$602,"&gt;"&amp;EDATE('자료_거시'!$M473,-'설정'!$B$17),'자료_거시'!$M$3:$M$602,"&lt;="&amp;'자료_거시'!$M473)/SUMIFS('자료_거시'!$N$3:$N$602,'자료_거시'!$M$3:$M$602,"&gt;"&amp;EDATE('자료_거시'!$M473,-12-'설정'!$B$17),'자료_거시'!$M$3:$M$602,"&lt;="&amp;EDATE('자료_거시'!$M473,-12))-1,""),""),"")</f>
        <v/>
      </c>
      <c r="AF491">
        <f>IF(ISNUMBER(AE491),'자료_거시'!$M473,"")</f>
        <v/>
      </c>
      <c r="AG491">
        <f>IF(ISNUMBER(AF491),IF(AF491&gt;$L$9,AE491,""),"")</f>
        <v/>
      </c>
    </row>
    <row r="492">
      <c r="P492">
        <f>IF(AND(ISNUMBER('자료_거시'!$A474),ISNUMBER('자료_거시'!$B474)),'자료_거시'!$B474,"")</f>
        <v/>
      </c>
      <c r="Q492">
        <f>IF(ISNUMBER(P492),'자료_거시'!$A474,"")</f>
        <v/>
      </c>
      <c r="R492">
        <f>IF(ISNUMBER(Q492),IF(Q492&gt;$L$5,P492,""),"")</f>
        <v/>
      </c>
      <c r="S492">
        <f>IF(ISNUMBER('자료_거시'!$E474),'자료_거시'!$E474,S491)</f>
        <v/>
      </c>
      <c r="T492">
        <f>IF(AND(ISNUMBER('자료_거시'!$D474),ISNUMBER('자료_거시'!$E474)),IFERROR('자료_거시'!$E474-INDEX($S$21:$S$4020,MATCH(EDATE('자료_거시'!$D474,-'설정'!$B$17),'자료_거시'!$D$3:INDEX('자료_거시'!$D$3:$D$4002,$K$6),1)),""),"")</f>
        <v/>
      </c>
      <c r="U492">
        <f>IF(ISNUMBER(T492),'자료_거시'!$D474,"")</f>
        <v/>
      </c>
      <c r="V492">
        <f>IF(ISNUMBER(U492),IF(U492&gt;$L$6,T492,""),"")</f>
        <v/>
      </c>
      <c r="W492">
        <f>IF(AND(ISNUMBER('자료_거시'!$G474),ISNUMBER('자료_거시'!$H474)),'자료_거시'!$H474,"")</f>
        <v/>
      </c>
      <c r="X492">
        <f>IF(ISNUMBER(W492),'자료_거시'!$G474,"")</f>
        <v/>
      </c>
      <c r="Y492">
        <f>IF(ISNUMBER(X492),IF(X492&gt;$L$7,W492,""),"")</f>
        <v/>
      </c>
      <c r="Z492">
        <f>IF(ISNUMBER('자료_거시'!$K474),'자료_거시'!$K474,Z491)</f>
        <v/>
      </c>
      <c r="AA492">
        <f>IF(AND(ISNUMBER('자료_거시'!$J474),ISNUMBER('자료_거시'!$K474)),IFERROR('자료_거시'!$K474/INDEX($Z$21:$Z$4020,MATCH(EDATE('자료_거시'!$J474,-'설정'!$B$17),'자료_거시'!$J$3:INDEX('자료_거시'!$J$3:$J$4002,$K$8),1))-1,""),"")</f>
        <v/>
      </c>
      <c r="AB492">
        <f>IF(ISNUMBER(AA492),'자료_거시'!$J474,"")</f>
        <v/>
      </c>
      <c r="AC492">
        <f>IF(ISNUMBER(AB492),IF(AB492&gt;$L$8,AA492,""),"")</f>
        <v/>
      </c>
      <c r="AD492">
        <f>IF(AND(ISNUMBER('자료_거시'!$M474),ISNUMBER('자료_거시'!$N474)),1,0)</f>
        <v/>
      </c>
      <c r="AE492">
        <f>IF(AND(ISNUMBER('자료_거시'!$M474),ISNUMBER('자료_거시'!$N474)),IF(AND(SUMIFS($AD$21:$AD$620,'자료_거시'!$M$3:$M$602,"&gt;"&amp;EDATE('자료_거시'!$M474,-'설정'!$B$17),'자료_거시'!$M$3:$M$602,"&lt;="&amp;'자료_거시'!$M474)=3,SUMIFS($AD$21:$AD$620,'자료_거시'!$M$3:$M$602,"&gt;"&amp;EDATE('자료_거시'!$M474,-12-'설정'!$B$17),'자료_거시'!$M$3:$M$602,"&lt;="&amp;EDATE('자료_거시'!$M474,-12))=3),IFERROR(SUMIFS('자료_거시'!$N$3:$N$602,'자료_거시'!$M$3:$M$602,"&gt;"&amp;EDATE('자료_거시'!$M474,-'설정'!$B$17),'자료_거시'!$M$3:$M$602,"&lt;="&amp;'자료_거시'!$M474)/SUMIFS('자료_거시'!$N$3:$N$602,'자료_거시'!$M$3:$M$602,"&gt;"&amp;EDATE('자료_거시'!$M474,-12-'설정'!$B$17),'자료_거시'!$M$3:$M$602,"&lt;="&amp;EDATE('자료_거시'!$M474,-12))-1,""),""),"")</f>
        <v/>
      </c>
      <c r="AF492">
        <f>IF(ISNUMBER(AE492),'자료_거시'!$M474,"")</f>
        <v/>
      </c>
      <c r="AG492">
        <f>IF(ISNUMBER(AF492),IF(AF492&gt;$L$9,AE492,""),"")</f>
        <v/>
      </c>
    </row>
    <row r="493">
      <c r="P493">
        <f>IF(AND(ISNUMBER('자료_거시'!$A475),ISNUMBER('자료_거시'!$B475)),'자료_거시'!$B475,"")</f>
        <v/>
      </c>
      <c r="Q493">
        <f>IF(ISNUMBER(P493),'자료_거시'!$A475,"")</f>
        <v/>
      </c>
      <c r="R493">
        <f>IF(ISNUMBER(Q493),IF(Q493&gt;$L$5,P493,""),"")</f>
        <v/>
      </c>
      <c r="S493">
        <f>IF(ISNUMBER('자료_거시'!$E475),'자료_거시'!$E475,S492)</f>
        <v/>
      </c>
      <c r="T493">
        <f>IF(AND(ISNUMBER('자료_거시'!$D475),ISNUMBER('자료_거시'!$E475)),IFERROR('자료_거시'!$E475-INDEX($S$21:$S$4020,MATCH(EDATE('자료_거시'!$D475,-'설정'!$B$17),'자료_거시'!$D$3:INDEX('자료_거시'!$D$3:$D$4002,$K$6),1)),""),"")</f>
        <v/>
      </c>
      <c r="U493">
        <f>IF(ISNUMBER(T493),'자료_거시'!$D475,"")</f>
        <v/>
      </c>
      <c r="V493">
        <f>IF(ISNUMBER(U493),IF(U493&gt;$L$6,T493,""),"")</f>
        <v/>
      </c>
      <c r="W493">
        <f>IF(AND(ISNUMBER('자료_거시'!$G475),ISNUMBER('자료_거시'!$H475)),'자료_거시'!$H475,"")</f>
        <v/>
      </c>
      <c r="X493">
        <f>IF(ISNUMBER(W493),'자료_거시'!$G475,"")</f>
        <v/>
      </c>
      <c r="Y493">
        <f>IF(ISNUMBER(X493),IF(X493&gt;$L$7,W493,""),"")</f>
        <v/>
      </c>
      <c r="Z493">
        <f>IF(ISNUMBER('자료_거시'!$K475),'자료_거시'!$K475,Z492)</f>
        <v/>
      </c>
      <c r="AA493">
        <f>IF(AND(ISNUMBER('자료_거시'!$J475),ISNUMBER('자료_거시'!$K475)),IFERROR('자료_거시'!$K475/INDEX($Z$21:$Z$4020,MATCH(EDATE('자료_거시'!$J475,-'설정'!$B$17),'자료_거시'!$J$3:INDEX('자료_거시'!$J$3:$J$4002,$K$8),1))-1,""),"")</f>
        <v/>
      </c>
      <c r="AB493">
        <f>IF(ISNUMBER(AA493),'자료_거시'!$J475,"")</f>
        <v/>
      </c>
      <c r="AC493">
        <f>IF(ISNUMBER(AB493),IF(AB493&gt;$L$8,AA493,""),"")</f>
        <v/>
      </c>
      <c r="AD493">
        <f>IF(AND(ISNUMBER('자료_거시'!$M475),ISNUMBER('자료_거시'!$N475)),1,0)</f>
        <v/>
      </c>
      <c r="AE493">
        <f>IF(AND(ISNUMBER('자료_거시'!$M475),ISNUMBER('자료_거시'!$N475)),IF(AND(SUMIFS($AD$21:$AD$620,'자료_거시'!$M$3:$M$602,"&gt;"&amp;EDATE('자료_거시'!$M475,-'설정'!$B$17),'자료_거시'!$M$3:$M$602,"&lt;="&amp;'자료_거시'!$M475)=3,SUMIFS($AD$21:$AD$620,'자료_거시'!$M$3:$M$602,"&gt;"&amp;EDATE('자료_거시'!$M475,-12-'설정'!$B$17),'자료_거시'!$M$3:$M$602,"&lt;="&amp;EDATE('자료_거시'!$M475,-12))=3),IFERROR(SUMIFS('자료_거시'!$N$3:$N$602,'자료_거시'!$M$3:$M$602,"&gt;"&amp;EDATE('자료_거시'!$M475,-'설정'!$B$17),'자료_거시'!$M$3:$M$602,"&lt;="&amp;'자료_거시'!$M475)/SUMIFS('자료_거시'!$N$3:$N$602,'자료_거시'!$M$3:$M$602,"&gt;"&amp;EDATE('자료_거시'!$M475,-12-'설정'!$B$17),'자료_거시'!$M$3:$M$602,"&lt;="&amp;EDATE('자료_거시'!$M475,-12))-1,""),""),"")</f>
        <v/>
      </c>
      <c r="AF493">
        <f>IF(ISNUMBER(AE493),'자료_거시'!$M475,"")</f>
        <v/>
      </c>
      <c r="AG493">
        <f>IF(ISNUMBER(AF493),IF(AF493&gt;$L$9,AE493,""),"")</f>
        <v/>
      </c>
    </row>
    <row r="494">
      <c r="P494">
        <f>IF(AND(ISNUMBER('자료_거시'!$A476),ISNUMBER('자료_거시'!$B476)),'자료_거시'!$B476,"")</f>
        <v/>
      </c>
      <c r="Q494">
        <f>IF(ISNUMBER(P494),'자료_거시'!$A476,"")</f>
        <v/>
      </c>
      <c r="R494">
        <f>IF(ISNUMBER(Q494),IF(Q494&gt;$L$5,P494,""),"")</f>
        <v/>
      </c>
      <c r="S494">
        <f>IF(ISNUMBER('자료_거시'!$E476),'자료_거시'!$E476,S493)</f>
        <v/>
      </c>
      <c r="T494">
        <f>IF(AND(ISNUMBER('자료_거시'!$D476),ISNUMBER('자료_거시'!$E476)),IFERROR('자료_거시'!$E476-INDEX($S$21:$S$4020,MATCH(EDATE('자료_거시'!$D476,-'설정'!$B$17),'자료_거시'!$D$3:INDEX('자료_거시'!$D$3:$D$4002,$K$6),1)),""),"")</f>
        <v/>
      </c>
      <c r="U494">
        <f>IF(ISNUMBER(T494),'자료_거시'!$D476,"")</f>
        <v/>
      </c>
      <c r="V494">
        <f>IF(ISNUMBER(U494),IF(U494&gt;$L$6,T494,""),"")</f>
        <v/>
      </c>
      <c r="W494">
        <f>IF(AND(ISNUMBER('자료_거시'!$G476),ISNUMBER('자료_거시'!$H476)),'자료_거시'!$H476,"")</f>
        <v/>
      </c>
      <c r="X494">
        <f>IF(ISNUMBER(W494),'자료_거시'!$G476,"")</f>
        <v/>
      </c>
      <c r="Y494">
        <f>IF(ISNUMBER(X494),IF(X494&gt;$L$7,W494,""),"")</f>
        <v/>
      </c>
      <c r="Z494">
        <f>IF(ISNUMBER('자료_거시'!$K476),'자료_거시'!$K476,Z493)</f>
        <v/>
      </c>
      <c r="AA494">
        <f>IF(AND(ISNUMBER('자료_거시'!$J476),ISNUMBER('자료_거시'!$K476)),IFERROR('자료_거시'!$K476/INDEX($Z$21:$Z$4020,MATCH(EDATE('자료_거시'!$J476,-'설정'!$B$17),'자료_거시'!$J$3:INDEX('자료_거시'!$J$3:$J$4002,$K$8),1))-1,""),"")</f>
        <v/>
      </c>
      <c r="AB494">
        <f>IF(ISNUMBER(AA494),'자료_거시'!$J476,"")</f>
        <v/>
      </c>
      <c r="AC494">
        <f>IF(ISNUMBER(AB494),IF(AB494&gt;$L$8,AA494,""),"")</f>
        <v/>
      </c>
      <c r="AD494">
        <f>IF(AND(ISNUMBER('자료_거시'!$M476),ISNUMBER('자료_거시'!$N476)),1,0)</f>
        <v/>
      </c>
      <c r="AE494">
        <f>IF(AND(ISNUMBER('자료_거시'!$M476),ISNUMBER('자료_거시'!$N476)),IF(AND(SUMIFS($AD$21:$AD$620,'자료_거시'!$M$3:$M$602,"&gt;"&amp;EDATE('자료_거시'!$M476,-'설정'!$B$17),'자료_거시'!$M$3:$M$602,"&lt;="&amp;'자료_거시'!$M476)=3,SUMIFS($AD$21:$AD$620,'자료_거시'!$M$3:$M$602,"&gt;"&amp;EDATE('자료_거시'!$M476,-12-'설정'!$B$17),'자료_거시'!$M$3:$M$602,"&lt;="&amp;EDATE('자료_거시'!$M476,-12))=3),IFERROR(SUMIFS('자료_거시'!$N$3:$N$602,'자료_거시'!$M$3:$M$602,"&gt;"&amp;EDATE('자료_거시'!$M476,-'설정'!$B$17),'자료_거시'!$M$3:$M$602,"&lt;="&amp;'자료_거시'!$M476)/SUMIFS('자료_거시'!$N$3:$N$602,'자료_거시'!$M$3:$M$602,"&gt;"&amp;EDATE('자료_거시'!$M476,-12-'설정'!$B$17),'자료_거시'!$M$3:$M$602,"&lt;="&amp;EDATE('자료_거시'!$M476,-12))-1,""),""),"")</f>
        <v/>
      </c>
      <c r="AF494">
        <f>IF(ISNUMBER(AE494),'자료_거시'!$M476,"")</f>
        <v/>
      </c>
      <c r="AG494">
        <f>IF(ISNUMBER(AF494),IF(AF494&gt;$L$9,AE494,""),"")</f>
        <v/>
      </c>
    </row>
    <row r="495">
      <c r="P495">
        <f>IF(AND(ISNUMBER('자료_거시'!$A477),ISNUMBER('자료_거시'!$B477)),'자료_거시'!$B477,"")</f>
        <v/>
      </c>
      <c r="Q495">
        <f>IF(ISNUMBER(P495),'자료_거시'!$A477,"")</f>
        <v/>
      </c>
      <c r="R495">
        <f>IF(ISNUMBER(Q495),IF(Q495&gt;$L$5,P495,""),"")</f>
        <v/>
      </c>
      <c r="S495">
        <f>IF(ISNUMBER('자료_거시'!$E477),'자료_거시'!$E477,S494)</f>
        <v/>
      </c>
      <c r="T495">
        <f>IF(AND(ISNUMBER('자료_거시'!$D477),ISNUMBER('자료_거시'!$E477)),IFERROR('자료_거시'!$E477-INDEX($S$21:$S$4020,MATCH(EDATE('자료_거시'!$D477,-'설정'!$B$17),'자료_거시'!$D$3:INDEX('자료_거시'!$D$3:$D$4002,$K$6),1)),""),"")</f>
        <v/>
      </c>
      <c r="U495">
        <f>IF(ISNUMBER(T495),'자료_거시'!$D477,"")</f>
        <v/>
      </c>
      <c r="V495">
        <f>IF(ISNUMBER(U495),IF(U495&gt;$L$6,T495,""),"")</f>
        <v/>
      </c>
      <c r="W495">
        <f>IF(AND(ISNUMBER('자료_거시'!$G477),ISNUMBER('자료_거시'!$H477)),'자료_거시'!$H477,"")</f>
        <v/>
      </c>
      <c r="X495">
        <f>IF(ISNUMBER(W495),'자료_거시'!$G477,"")</f>
        <v/>
      </c>
      <c r="Y495">
        <f>IF(ISNUMBER(X495),IF(X495&gt;$L$7,W495,""),"")</f>
        <v/>
      </c>
      <c r="Z495">
        <f>IF(ISNUMBER('자료_거시'!$K477),'자료_거시'!$K477,Z494)</f>
        <v/>
      </c>
      <c r="AA495">
        <f>IF(AND(ISNUMBER('자료_거시'!$J477),ISNUMBER('자료_거시'!$K477)),IFERROR('자료_거시'!$K477/INDEX($Z$21:$Z$4020,MATCH(EDATE('자료_거시'!$J477,-'설정'!$B$17),'자료_거시'!$J$3:INDEX('자료_거시'!$J$3:$J$4002,$K$8),1))-1,""),"")</f>
        <v/>
      </c>
      <c r="AB495">
        <f>IF(ISNUMBER(AA495),'자료_거시'!$J477,"")</f>
        <v/>
      </c>
      <c r="AC495">
        <f>IF(ISNUMBER(AB495),IF(AB495&gt;$L$8,AA495,""),"")</f>
        <v/>
      </c>
      <c r="AD495">
        <f>IF(AND(ISNUMBER('자료_거시'!$M477),ISNUMBER('자료_거시'!$N477)),1,0)</f>
        <v/>
      </c>
      <c r="AE495">
        <f>IF(AND(ISNUMBER('자료_거시'!$M477),ISNUMBER('자료_거시'!$N477)),IF(AND(SUMIFS($AD$21:$AD$620,'자료_거시'!$M$3:$M$602,"&gt;"&amp;EDATE('자료_거시'!$M477,-'설정'!$B$17),'자료_거시'!$M$3:$M$602,"&lt;="&amp;'자료_거시'!$M477)=3,SUMIFS($AD$21:$AD$620,'자료_거시'!$M$3:$M$602,"&gt;"&amp;EDATE('자료_거시'!$M477,-12-'설정'!$B$17),'자료_거시'!$M$3:$M$602,"&lt;="&amp;EDATE('자료_거시'!$M477,-12))=3),IFERROR(SUMIFS('자료_거시'!$N$3:$N$602,'자료_거시'!$M$3:$M$602,"&gt;"&amp;EDATE('자료_거시'!$M477,-'설정'!$B$17),'자료_거시'!$M$3:$M$602,"&lt;="&amp;'자료_거시'!$M477)/SUMIFS('자료_거시'!$N$3:$N$602,'자료_거시'!$M$3:$M$602,"&gt;"&amp;EDATE('자료_거시'!$M477,-12-'설정'!$B$17),'자료_거시'!$M$3:$M$602,"&lt;="&amp;EDATE('자료_거시'!$M477,-12))-1,""),""),"")</f>
        <v/>
      </c>
      <c r="AF495">
        <f>IF(ISNUMBER(AE495),'자료_거시'!$M477,"")</f>
        <v/>
      </c>
      <c r="AG495">
        <f>IF(ISNUMBER(AF495),IF(AF495&gt;$L$9,AE495,""),"")</f>
        <v/>
      </c>
    </row>
    <row r="496">
      <c r="P496">
        <f>IF(AND(ISNUMBER('자료_거시'!$A478),ISNUMBER('자료_거시'!$B478)),'자료_거시'!$B478,"")</f>
        <v/>
      </c>
      <c r="Q496">
        <f>IF(ISNUMBER(P496),'자료_거시'!$A478,"")</f>
        <v/>
      </c>
      <c r="R496">
        <f>IF(ISNUMBER(Q496),IF(Q496&gt;$L$5,P496,""),"")</f>
        <v/>
      </c>
      <c r="S496">
        <f>IF(ISNUMBER('자료_거시'!$E478),'자료_거시'!$E478,S495)</f>
        <v/>
      </c>
      <c r="T496">
        <f>IF(AND(ISNUMBER('자료_거시'!$D478),ISNUMBER('자료_거시'!$E478)),IFERROR('자료_거시'!$E478-INDEX($S$21:$S$4020,MATCH(EDATE('자료_거시'!$D478,-'설정'!$B$17),'자료_거시'!$D$3:INDEX('자료_거시'!$D$3:$D$4002,$K$6),1)),""),"")</f>
        <v/>
      </c>
      <c r="U496">
        <f>IF(ISNUMBER(T496),'자료_거시'!$D478,"")</f>
        <v/>
      </c>
      <c r="V496">
        <f>IF(ISNUMBER(U496),IF(U496&gt;$L$6,T496,""),"")</f>
        <v/>
      </c>
      <c r="W496">
        <f>IF(AND(ISNUMBER('자료_거시'!$G478),ISNUMBER('자료_거시'!$H478)),'자료_거시'!$H478,"")</f>
        <v/>
      </c>
      <c r="X496">
        <f>IF(ISNUMBER(W496),'자료_거시'!$G478,"")</f>
        <v/>
      </c>
      <c r="Y496">
        <f>IF(ISNUMBER(X496),IF(X496&gt;$L$7,W496,""),"")</f>
        <v/>
      </c>
      <c r="Z496">
        <f>IF(ISNUMBER('자료_거시'!$K478),'자료_거시'!$K478,Z495)</f>
        <v/>
      </c>
      <c r="AA496">
        <f>IF(AND(ISNUMBER('자료_거시'!$J478),ISNUMBER('자료_거시'!$K478)),IFERROR('자료_거시'!$K478/INDEX($Z$21:$Z$4020,MATCH(EDATE('자료_거시'!$J478,-'설정'!$B$17),'자료_거시'!$J$3:INDEX('자료_거시'!$J$3:$J$4002,$K$8),1))-1,""),"")</f>
        <v/>
      </c>
      <c r="AB496">
        <f>IF(ISNUMBER(AA496),'자료_거시'!$J478,"")</f>
        <v/>
      </c>
      <c r="AC496">
        <f>IF(ISNUMBER(AB496),IF(AB496&gt;$L$8,AA496,""),"")</f>
        <v/>
      </c>
      <c r="AD496">
        <f>IF(AND(ISNUMBER('자료_거시'!$M478),ISNUMBER('자료_거시'!$N478)),1,0)</f>
        <v/>
      </c>
      <c r="AE496">
        <f>IF(AND(ISNUMBER('자료_거시'!$M478),ISNUMBER('자료_거시'!$N478)),IF(AND(SUMIFS($AD$21:$AD$620,'자료_거시'!$M$3:$M$602,"&gt;"&amp;EDATE('자료_거시'!$M478,-'설정'!$B$17),'자료_거시'!$M$3:$M$602,"&lt;="&amp;'자료_거시'!$M478)=3,SUMIFS($AD$21:$AD$620,'자료_거시'!$M$3:$M$602,"&gt;"&amp;EDATE('자료_거시'!$M478,-12-'설정'!$B$17),'자료_거시'!$M$3:$M$602,"&lt;="&amp;EDATE('자료_거시'!$M478,-12))=3),IFERROR(SUMIFS('자료_거시'!$N$3:$N$602,'자료_거시'!$M$3:$M$602,"&gt;"&amp;EDATE('자료_거시'!$M478,-'설정'!$B$17),'자료_거시'!$M$3:$M$602,"&lt;="&amp;'자료_거시'!$M478)/SUMIFS('자료_거시'!$N$3:$N$602,'자료_거시'!$M$3:$M$602,"&gt;"&amp;EDATE('자료_거시'!$M478,-12-'설정'!$B$17),'자료_거시'!$M$3:$M$602,"&lt;="&amp;EDATE('자료_거시'!$M478,-12))-1,""),""),"")</f>
        <v/>
      </c>
      <c r="AF496">
        <f>IF(ISNUMBER(AE496),'자료_거시'!$M478,"")</f>
        <v/>
      </c>
      <c r="AG496">
        <f>IF(ISNUMBER(AF496),IF(AF496&gt;$L$9,AE496,""),"")</f>
        <v/>
      </c>
    </row>
    <row r="497">
      <c r="P497">
        <f>IF(AND(ISNUMBER('자료_거시'!$A479),ISNUMBER('자료_거시'!$B479)),'자료_거시'!$B479,"")</f>
        <v/>
      </c>
      <c r="Q497">
        <f>IF(ISNUMBER(P497),'자료_거시'!$A479,"")</f>
        <v/>
      </c>
      <c r="R497">
        <f>IF(ISNUMBER(Q497),IF(Q497&gt;$L$5,P497,""),"")</f>
        <v/>
      </c>
      <c r="S497">
        <f>IF(ISNUMBER('자료_거시'!$E479),'자료_거시'!$E479,S496)</f>
        <v/>
      </c>
      <c r="T497">
        <f>IF(AND(ISNUMBER('자료_거시'!$D479),ISNUMBER('자료_거시'!$E479)),IFERROR('자료_거시'!$E479-INDEX($S$21:$S$4020,MATCH(EDATE('자료_거시'!$D479,-'설정'!$B$17),'자료_거시'!$D$3:INDEX('자료_거시'!$D$3:$D$4002,$K$6),1)),""),"")</f>
        <v/>
      </c>
      <c r="U497">
        <f>IF(ISNUMBER(T497),'자료_거시'!$D479,"")</f>
        <v/>
      </c>
      <c r="V497">
        <f>IF(ISNUMBER(U497),IF(U497&gt;$L$6,T497,""),"")</f>
        <v/>
      </c>
      <c r="W497">
        <f>IF(AND(ISNUMBER('자료_거시'!$G479),ISNUMBER('자료_거시'!$H479)),'자료_거시'!$H479,"")</f>
        <v/>
      </c>
      <c r="X497">
        <f>IF(ISNUMBER(W497),'자료_거시'!$G479,"")</f>
        <v/>
      </c>
      <c r="Y497">
        <f>IF(ISNUMBER(X497),IF(X497&gt;$L$7,W497,""),"")</f>
        <v/>
      </c>
      <c r="Z497">
        <f>IF(ISNUMBER('자료_거시'!$K479),'자료_거시'!$K479,Z496)</f>
        <v/>
      </c>
      <c r="AA497">
        <f>IF(AND(ISNUMBER('자료_거시'!$J479),ISNUMBER('자료_거시'!$K479)),IFERROR('자료_거시'!$K479/INDEX($Z$21:$Z$4020,MATCH(EDATE('자료_거시'!$J479,-'설정'!$B$17),'자료_거시'!$J$3:INDEX('자료_거시'!$J$3:$J$4002,$K$8),1))-1,""),"")</f>
        <v/>
      </c>
      <c r="AB497">
        <f>IF(ISNUMBER(AA497),'자료_거시'!$J479,"")</f>
        <v/>
      </c>
      <c r="AC497">
        <f>IF(ISNUMBER(AB497),IF(AB497&gt;$L$8,AA497,""),"")</f>
        <v/>
      </c>
      <c r="AD497">
        <f>IF(AND(ISNUMBER('자료_거시'!$M479),ISNUMBER('자료_거시'!$N479)),1,0)</f>
        <v/>
      </c>
      <c r="AE497">
        <f>IF(AND(ISNUMBER('자료_거시'!$M479),ISNUMBER('자료_거시'!$N479)),IF(AND(SUMIFS($AD$21:$AD$620,'자료_거시'!$M$3:$M$602,"&gt;"&amp;EDATE('자료_거시'!$M479,-'설정'!$B$17),'자료_거시'!$M$3:$M$602,"&lt;="&amp;'자료_거시'!$M479)=3,SUMIFS($AD$21:$AD$620,'자료_거시'!$M$3:$M$602,"&gt;"&amp;EDATE('자료_거시'!$M479,-12-'설정'!$B$17),'자료_거시'!$M$3:$M$602,"&lt;="&amp;EDATE('자료_거시'!$M479,-12))=3),IFERROR(SUMIFS('자료_거시'!$N$3:$N$602,'자료_거시'!$M$3:$M$602,"&gt;"&amp;EDATE('자료_거시'!$M479,-'설정'!$B$17),'자료_거시'!$M$3:$M$602,"&lt;="&amp;'자료_거시'!$M479)/SUMIFS('자료_거시'!$N$3:$N$602,'자료_거시'!$M$3:$M$602,"&gt;"&amp;EDATE('자료_거시'!$M479,-12-'설정'!$B$17),'자료_거시'!$M$3:$M$602,"&lt;="&amp;EDATE('자료_거시'!$M479,-12))-1,""),""),"")</f>
        <v/>
      </c>
      <c r="AF497">
        <f>IF(ISNUMBER(AE497),'자료_거시'!$M479,"")</f>
        <v/>
      </c>
      <c r="AG497">
        <f>IF(ISNUMBER(AF497),IF(AF497&gt;$L$9,AE497,""),"")</f>
        <v/>
      </c>
    </row>
    <row r="498">
      <c r="P498">
        <f>IF(AND(ISNUMBER('자료_거시'!$A480),ISNUMBER('자료_거시'!$B480)),'자료_거시'!$B480,"")</f>
        <v/>
      </c>
      <c r="Q498">
        <f>IF(ISNUMBER(P498),'자료_거시'!$A480,"")</f>
        <v/>
      </c>
      <c r="R498">
        <f>IF(ISNUMBER(Q498),IF(Q498&gt;$L$5,P498,""),"")</f>
        <v/>
      </c>
      <c r="S498">
        <f>IF(ISNUMBER('자료_거시'!$E480),'자료_거시'!$E480,S497)</f>
        <v/>
      </c>
      <c r="T498">
        <f>IF(AND(ISNUMBER('자료_거시'!$D480),ISNUMBER('자료_거시'!$E480)),IFERROR('자료_거시'!$E480-INDEX($S$21:$S$4020,MATCH(EDATE('자료_거시'!$D480,-'설정'!$B$17),'자료_거시'!$D$3:INDEX('자료_거시'!$D$3:$D$4002,$K$6),1)),""),"")</f>
        <v/>
      </c>
      <c r="U498">
        <f>IF(ISNUMBER(T498),'자료_거시'!$D480,"")</f>
        <v/>
      </c>
      <c r="V498">
        <f>IF(ISNUMBER(U498),IF(U498&gt;$L$6,T498,""),"")</f>
        <v/>
      </c>
      <c r="W498">
        <f>IF(AND(ISNUMBER('자료_거시'!$G480),ISNUMBER('자료_거시'!$H480)),'자료_거시'!$H480,"")</f>
        <v/>
      </c>
      <c r="X498">
        <f>IF(ISNUMBER(W498),'자료_거시'!$G480,"")</f>
        <v/>
      </c>
      <c r="Y498">
        <f>IF(ISNUMBER(X498),IF(X498&gt;$L$7,W498,""),"")</f>
        <v/>
      </c>
      <c r="Z498">
        <f>IF(ISNUMBER('자료_거시'!$K480),'자료_거시'!$K480,Z497)</f>
        <v/>
      </c>
      <c r="AA498">
        <f>IF(AND(ISNUMBER('자료_거시'!$J480),ISNUMBER('자료_거시'!$K480)),IFERROR('자료_거시'!$K480/INDEX($Z$21:$Z$4020,MATCH(EDATE('자료_거시'!$J480,-'설정'!$B$17),'자료_거시'!$J$3:INDEX('자료_거시'!$J$3:$J$4002,$K$8),1))-1,""),"")</f>
        <v/>
      </c>
      <c r="AB498">
        <f>IF(ISNUMBER(AA498),'자료_거시'!$J480,"")</f>
        <v/>
      </c>
      <c r="AC498">
        <f>IF(ISNUMBER(AB498),IF(AB498&gt;$L$8,AA498,""),"")</f>
        <v/>
      </c>
      <c r="AD498">
        <f>IF(AND(ISNUMBER('자료_거시'!$M480),ISNUMBER('자료_거시'!$N480)),1,0)</f>
        <v/>
      </c>
      <c r="AE498">
        <f>IF(AND(ISNUMBER('자료_거시'!$M480),ISNUMBER('자료_거시'!$N480)),IF(AND(SUMIFS($AD$21:$AD$620,'자료_거시'!$M$3:$M$602,"&gt;"&amp;EDATE('자료_거시'!$M480,-'설정'!$B$17),'자료_거시'!$M$3:$M$602,"&lt;="&amp;'자료_거시'!$M480)=3,SUMIFS($AD$21:$AD$620,'자료_거시'!$M$3:$M$602,"&gt;"&amp;EDATE('자료_거시'!$M480,-12-'설정'!$B$17),'자료_거시'!$M$3:$M$602,"&lt;="&amp;EDATE('자료_거시'!$M480,-12))=3),IFERROR(SUMIFS('자료_거시'!$N$3:$N$602,'자료_거시'!$M$3:$M$602,"&gt;"&amp;EDATE('자료_거시'!$M480,-'설정'!$B$17),'자료_거시'!$M$3:$M$602,"&lt;="&amp;'자료_거시'!$M480)/SUMIFS('자료_거시'!$N$3:$N$602,'자료_거시'!$M$3:$M$602,"&gt;"&amp;EDATE('자료_거시'!$M480,-12-'설정'!$B$17),'자료_거시'!$M$3:$M$602,"&lt;="&amp;EDATE('자료_거시'!$M480,-12))-1,""),""),"")</f>
        <v/>
      </c>
      <c r="AF498">
        <f>IF(ISNUMBER(AE498),'자료_거시'!$M480,"")</f>
        <v/>
      </c>
      <c r="AG498">
        <f>IF(ISNUMBER(AF498),IF(AF498&gt;$L$9,AE498,""),"")</f>
        <v/>
      </c>
    </row>
    <row r="499">
      <c r="P499">
        <f>IF(AND(ISNUMBER('자료_거시'!$A481),ISNUMBER('자료_거시'!$B481)),'자료_거시'!$B481,"")</f>
        <v/>
      </c>
      <c r="Q499">
        <f>IF(ISNUMBER(P499),'자료_거시'!$A481,"")</f>
        <v/>
      </c>
      <c r="R499">
        <f>IF(ISNUMBER(Q499),IF(Q499&gt;$L$5,P499,""),"")</f>
        <v/>
      </c>
      <c r="S499">
        <f>IF(ISNUMBER('자료_거시'!$E481),'자료_거시'!$E481,S498)</f>
        <v/>
      </c>
      <c r="T499">
        <f>IF(AND(ISNUMBER('자료_거시'!$D481),ISNUMBER('자료_거시'!$E481)),IFERROR('자료_거시'!$E481-INDEX($S$21:$S$4020,MATCH(EDATE('자료_거시'!$D481,-'설정'!$B$17),'자료_거시'!$D$3:INDEX('자료_거시'!$D$3:$D$4002,$K$6),1)),""),"")</f>
        <v/>
      </c>
      <c r="U499">
        <f>IF(ISNUMBER(T499),'자료_거시'!$D481,"")</f>
        <v/>
      </c>
      <c r="V499">
        <f>IF(ISNUMBER(U499),IF(U499&gt;$L$6,T499,""),"")</f>
        <v/>
      </c>
      <c r="W499">
        <f>IF(AND(ISNUMBER('자료_거시'!$G481),ISNUMBER('자료_거시'!$H481)),'자료_거시'!$H481,"")</f>
        <v/>
      </c>
      <c r="X499">
        <f>IF(ISNUMBER(W499),'자료_거시'!$G481,"")</f>
        <v/>
      </c>
      <c r="Y499">
        <f>IF(ISNUMBER(X499),IF(X499&gt;$L$7,W499,""),"")</f>
        <v/>
      </c>
      <c r="Z499">
        <f>IF(ISNUMBER('자료_거시'!$K481),'자료_거시'!$K481,Z498)</f>
        <v/>
      </c>
      <c r="AA499">
        <f>IF(AND(ISNUMBER('자료_거시'!$J481),ISNUMBER('자료_거시'!$K481)),IFERROR('자료_거시'!$K481/INDEX($Z$21:$Z$4020,MATCH(EDATE('자료_거시'!$J481,-'설정'!$B$17),'자료_거시'!$J$3:INDEX('자료_거시'!$J$3:$J$4002,$K$8),1))-1,""),"")</f>
        <v/>
      </c>
      <c r="AB499">
        <f>IF(ISNUMBER(AA499),'자료_거시'!$J481,"")</f>
        <v/>
      </c>
      <c r="AC499">
        <f>IF(ISNUMBER(AB499),IF(AB499&gt;$L$8,AA499,""),"")</f>
        <v/>
      </c>
      <c r="AD499">
        <f>IF(AND(ISNUMBER('자료_거시'!$M481),ISNUMBER('자료_거시'!$N481)),1,0)</f>
        <v/>
      </c>
      <c r="AE499">
        <f>IF(AND(ISNUMBER('자료_거시'!$M481),ISNUMBER('자료_거시'!$N481)),IF(AND(SUMIFS($AD$21:$AD$620,'자료_거시'!$M$3:$M$602,"&gt;"&amp;EDATE('자료_거시'!$M481,-'설정'!$B$17),'자료_거시'!$M$3:$M$602,"&lt;="&amp;'자료_거시'!$M481)=3,SUMIFS($AD$21:$AD$620,'자료_거시'!$M$3:$M$602,"&gt;"&amp;EDATE('자료_거시'!$M481,-12-'설정'!$B$17),'자료_거시'!$M$3:$M$602,"&lt;="&amp;EDATE('자료_거시'!$M481,-12))=3),IFERROR(SUMIFS('자료_거시'!$N$3:$N$602,'자료_거시'!$M$3:$M$602,"&gt;"&amp;EDATE('자료_거시'!$M481,-'설정'!$B$17),'자료_거시'!$M$3:$M$602,"&lt;="&amp;'자료_거시'!$M481)/SUMIFS('자료_거시'!$N$3:$N$602,'자료_거시'!$M$3:$M$602,"&gt;"&amp;EDATE('자료_거시'!$M481,-12-'설정'!$B$17),'자료_거시'!$M$3:$M$602,"&lt;="&amp;EDATE('자료_거시'!$M481,-12))-1,""),""),"")</f>
        <v/>
      </c>
      <c r="AF499">
        <f>IF(ISNUMBER(AE499),'자료_거시'!$M481,"")</f>
        <v/>
      </c>
      <c r="AG499">
        <f>IF(ISNUMBER(AF499),IF(AF499&gt;$L$9,AE499,""),"")</f>
        <v/>
      </c>
    </row>
    <row r="500">
      <c r="P500">
        <f>IF(AND(ISNUMBER('자료_거시'!$A482),ISNUMBER('자료_거시'!$B482)),'자료_거시'!$B482,"")</f>
        <v/>
      </c>
      <c r="Q500">
        <f>IF(ISNUMBER(P500),'자료_거시'!$A482,"")</f>
        <v/>
      </c>
      <c r="R500">
        <f>IF(ISNUMBER(Q500),IF(Q500&gt;$L$5,P500,""),"")</f>
        <v/>
      </c>
      <c r="S500">
        <f>IF(ISNUMBER('자료_거시'!$E482),'자료_거시'!$E482,S499)</f>
        <v/>
      </c>
      <c r="T500">
        <f>IF(AND(ISNUMBER('자료_거시'!$D482),ISNUMBER('자료_거시'!$E482)),IFERROR('자료_거시'!$E482-INDEX($S$21:$S$4020,MATCH(EDATE('자료_거시'!$D482,-'설정'!$B$17),'자료_거시'!$D$3:INDEX('자료_거시'!$D$3:$D$4002,$K$6),1)),""),"")</f>
        <v/>
      </c>
      <c r="U500">
        <f>IF(ISNUMBER(T500),'자료_거시'!$D482,"")</f>
        <v/>
      </c>
      <c r="V500">
        <f>IF(ISNUMBER(U500),IF(U500&gt;$L$6,T500,""),"")</f>
        <v/>
      </c>
      <c r="W500">
        <f>IF(AND(ISNUMBER('자료_거시'!$G482),ISNUMBER('자료_거시'!$H482)),'자료_거시'!$H482,"")</f>
        <v/>
      </c>
      <c r="X500">
        <f>IF(ISNUMBER(W500),'자료_거시'!$G482,"")</f>
        <v/>
      </c>
      <c r="Y500">
        <f>IF(ISNUMBER(X500),IF(X500&gt;$L$7,W500,""),"")</f>
        <v/>
      </c>
      <c r="Z500">
        <f>IF(ISNUMBER('자료_거시'!$K482),'자료_거시'!$K482,Z499)</f>
        <v/>
      </c>
      <c r="AA500">
        <f>IF(AND(ISNUMBER('자료_거시'!$J482),ISNUMBER('자료_거시'!$K482)),IFERROR('자료_거시'!$K482/INDEX($Z$21:$Z$4020,MATCH(EDATE('자료_거시'!$J482,-'설정'!$B$17),'자료_거시'!$J$3:INDEX('자료_거시'!$J$3:$J$4002,$K$8),1))-1,""),"")</f>
        <v/>
      </c>
      <c r="AB500">
        <f>IF(ISNUMBER(AA500),'자료_거시'!$J482,"")</f>
        <v/>
      </c>
      <c r="AC500">
        <f>IF(ISNUMBER(AB500),IF(AB500&gt;$L$8,AA500,""),"")</f>
        <v/>
      </c>
      <c r="AD500">
        <f>IF(AND(ISNUMBER('자료_거시'!$M482),ISNUMBER('자료_거시'!$N482)),1,0)</f>
        <v/>
      </c>
      <c r="AE500">
        <f>IF(AND(ISNUMBER('자료_거시'!$M482),ISNUMBER('자료_거시'!$N482)),IF(AND(SUMIFS($AD$21:$AD$620,'자료_거시'!$M$3:$M$602,"&gt;"&amp;EDATE('자료_거시'!$M482,-'설정'!$B$17),'자료_거시'!$M$3:$M$602,"&lt;="&amp;'자료_거시'!$M482)=3,SUMIFS($AD$21:$AD$620,'자료_거시'!$M$3:$M$602,"&gt;"&amp;EDATE('자료_거시'!$M482,-12-'설정'!$B$17),'자료_거시'!$M$3:$M$602,"&lt;="&amp;EDATE('자료_거시'!$M482,-12))=3),IFERROR(SUMIFS('자료_거시'!$N$3:$N$602,'자료_거시'!$M$3:$M$602,"&gt;"&amp;EDATE('자료_거시'!$M482,-'설정'!$B$17),'자료_거시'!$M$3:$M$602,"&lt;="&amp;'자료_거시'!$M482)/SUMIFS('자료_거시'!$N$3:$N$602,'자료_거시'!$M$3:$M$602,"&gt;"&amp;EDATE('자료_거시'!$M482,-12-'설정'!$B$17),'자료_거시'!$M$3:$M$602,"&lt;="&amp;EDATE('자료_거시'!$M482,-12))-1,""),""),"")</f>
        <v/>
      </c>
      <c r="AF500">
        <f>IF(ISNUMBER(AE500),'자료_거시'!$M482,"")</f>
        <v/>
      </c>
      <c r="AG500">
        <f>IF(ISNUMBER(AF500),IF(AF500&gt;$L$9,AE500,""),"")</f>
        <v/>
      </c>
    </row>
    <row r="501">
      <c r="P501">
        <f>IF(AND(ISNUMBER('자료_거시'!$A483),ISNUMBER('자료_거시'!$B483)),'자료_거시'!$B483,"")</f>
        <v/>
      </c>
      <c r="Q501">
        <f>IF(ISNUMBER(P501),'자료_거시'!$A483,"")</f>
        <v/>
      </c>
      <c r="R501">
        <f>IF(ISNUMBER(Q501),IF(Q501&gt;$L$5,P501,""),"")</f>
        <v/>
      </c>
      <c r="S501">
        <f>IF(ISNUMBER('자료_거시'!$E483),'자료_거시'!$E483,S500)</f>
        <v/>
      </c>
      <c r="T501">
        <f>IF(AND(ISNUMBER('자료_거시'!$D483),ISNUMBER('자료_거시'!$E483)),IFERROR('자료_거시'!$E483-INDEX($S$21:$S$4020,MATCH(EDATE('자료_거시'!$D483,-'설정'!$B$17),'자료_거시'!$D$3:INDEX('자료_거시'!$D$3:$D$4002,$K$6),1)),""),"")</f>
        <v/>
      </c>
      <c r="U501">
        <f>IF(ISNUMBER(T501),'자료_거시'!$D483,"")</f>
        <v/>
      </c>
      <c r="V501">
        <f>IF(ISNUMBER(U501),IF(U501&gt;$L$6,T501,""),"")</f>
        <v/>
      </c>
      <c r="W501">
        <f>IF(AND(ISNUMBER('자료_거시'!$G483),ISNUMBER('자료_거시'!$H483)),'자료_거시'!$H483,"")</f>
        <v/>
      </c>
      <c r="X501">
        <f>IF(ISNUMBER(W501),'자료_거시'!$G483,"")</f>
        <v/>
      </c>
      <c r="Y501">
        <f>IF(ISNUMBER(X501),IF(X501&gt;$L$7,W501,""),"")</f>
        <v/>
      </c>
      <c r="Z501">
        <f>IF(ISNUMBER('자료_거시'!$K483),'자료_거시'!$K483,Z500)</f>
        <v/>
      </c>
      <c r="AA501">
        <f>IF(AND(ISNUMBER('자료_거시'!$J483),ISNUMBER('자료_거시'!$K483)),IFERROR('자료_거시'!$K483/INDEX($Z$21:$Z$4020,MATCH(EDATE('자료_거시'!$J483,-'설정'!$B$17),'자료_거시'!$J$3:INDEX('자료_거시'!$J$3:$J$4002,$K$8),1))-1,""),"")</f>
        <v/>
      </c>
      <c r="AB501">
        <f>IF(ISNUMBER(AA501),'자료_거시'!$J483,"")</f>
        <v/>
      </c>
      <c r="AC501">
        <f>IF(ISNUMBER(AB501),IF(AB501&gt;$L$8,AA501,""),"")</f>
        <v/>
      </c>
      <c r="AD501">
        <f>IF(AND(ISNUMBER('자료_거시'!$M483),ISNUMBER('자료_거시'!$N483)),1,0)</f>
        <v/>
      </c>
      <c r="AE501">
        <f>IF(AND(ISNUMBER('자료_거시'!$M483),ISNUMBER('자료_거시'!$N483)),IF(AND(SUMIFS($AD$21:$AD$620,'자료_거시'!$M$3:$M$602,"&gt;"&amp;EDATE('자료_거시'!$M483,-'설정'!$B$17),'자료_거시'!$M$3:$M$602,"&lt;="&amp;'자료_거시'!$M483)=3,SUMIFS($AD$21:$AD$620,'자료_거시'!$M$3:$M$602,"&gt;"&amp;EDATE('자료_거시'!$M483,-12-'설정'!$B$17),'자료_거시'!$M$3:$M$602,"&lt;="&amp;EDATE('자료_거시'!$M483,-12))=3),IFERROR(SUMIFS('자료_거시'!$N$3:$N$602,'자료_거시'!$M$3:$M$602,"&gt;"&amp;EDATE('자료_거시'!$M483,-'설정'!$B$17),'자료_거시'!$M$3:$M$602,"&lt;="&amp;'자료_거시'!$M483)/SUMIFS('자료_거시'!$N$3:$N$602,'자료_거시'!$M$3:$M$602,"&gt;"&amp;EDATE('자료_거시'!$M483,-12-'설정'!$B$17),'자료_거시'!$M$3:$M$602,"&lt;="&amp;EDATE('자료_거시'!$M483,-12))-1,""),""),"")</f>
        <v/>
      </c>
      <c r="AF501">
        <f>IF(ISNUMBER(AE501),'자료_거시'!$M483,"")</f>
        <v/>
      </c>
      <c r="AG501">
        <f>IF(ISNUMBER(AF501),IF(AF501&gt;$L$9,AE501,""),"")</f>
        <v/>
      </c>
    </row>
    <row r="502">
      <c r="P502">
        <f>IF(AND(ISNUMBER('자료_거시'!$A484),ISNUMBER('자료_거시'!$B484)),'자료_거시'!$B484,"")</f>
        <v/>
      </c>
      <c r="Q502">
        <f>IF(ISNUMBER(P502),'자료_거시'!$A484,"")</f>
        <v/>
      </c>
      <c r="R502">
        <f>IF(ISNUMBER(Q502),IF(Q502&gt;$L$5,P502,""),"")</f>
        <v/>
      </c>
      <c r="S502">
        <f>IF(ISNUMBER('자료_거시'!$E484),'자료_거시'!$E484,S501)</f>
        <v/>
      </c>
      <c r="T502">
        <f>IF(AND(ISNUMBER('자료_거시'!$D484),ISNUMBER('자료_거시'!$E484)),IFERROR('자료_거시'!$E484-INDEX($S$21:$S$4020,MATCH(EDATE('자료_거시'!$D484,-'설정'!$B$17),'자료_거시'!$D$3:INDEX('자료_거시'!$D$3:$D$4002,$K$6),1)),""),"")</f>
        <v/>
      </c>
      <c r="U502">
        <f>IF(ISNUMBER(T502),'자료_거시'!$D484,"")</f>
        <v/>
      </c>
      <c r="V502">
        <f>IF(ISNUMBER(U502),IF(U502&gt;$L$6,T502,""),"")</f>
        <v/>
      </c>
      <c r="W502">
        <f>IF(AND(ISNUMBER('자료_거시'!$G484),ISNUMBER('자료_거시'!$H484)),'자료_거시'!$H484,"")</f>
        <v/>
      </c>
      <c r="X502">
        <f>IF(ISNUMBER(W502),'자료_거시'!$G484,"")</f>
        <v/>
      </c>
      <c r="Y502">
        <f>IF(ISNUMBER(X502),IF(X502&gt;$L$7,W502,""),"")</f>
        <v/>
      </c>
      <c r="Z502">
        <f>IF(ISNUMBER('자료_거시'!$K484),'자료_거시'!$K484,Z501)</f>
        <v/>
      </c>
      <c r="AA502">
        <f>IF(AND(ISNUMBER('자료_거시'!$J484),ISNUMBER('자료_거시'!$K484)),IFERROR('자료_거시'!$K484/INDEX($Z$21:$Z$4020,MATCH(EDATE('자료_거시'!$J484,-'설정'!$B$17),'자료_거시'!$J$3:INDEX('자료_거시'!$J$3:$J$4002,$K$8),1))-1,""),"")</f>
        <v/>
      </c>
      <c r="AB502">
        <f>IF(ISNUMBER(AA502),'자료_거시'!$J484,"")</f>
        <v/>
      </c>
      <c r="AC502">
        <f>IF(ISNUMBER(AB502),IF(AB502&gt;$L$8,AA502,""),"")</f>
        <v/>
      </c>
      <c r="AD502">
        <f>IF(AND(ISNUMBER('자료_거시'!$M484),ISNUMBER('자료_거시'!$N484)),1,0)</f>
        <v/>
      </c>
      <c r="AE502">
        <f>IF(AND(ISNUMBER('자료_거시'!$M484),ISNUMBER('자료_거시'!$N484)),IF(AND(SUMIFS($AD$21:$AD$620,'자료_거시'!$M$3:$M$602,"&gt;"&amp;EDATE('자료_거시'!$M484,-'설정'!$B$17),'자료_거시'!$M$3:$M$602,"&lt;="&amp;'자료_거시'!$M484)=3,SUMIFS($AD$21:$AD$620,'자료_거시'!$M$3:$M$602,"&gt;"&amp;EDATE('자료_거시'!$M484,-12-'설정'!$B$17),'자료_거시'!$M$3:$M$602,"&lt;="&amp;EDATE('자료_거시'!$M484,-12))=3),IFERROR(SUMIFS('자료_거시'!$N$3:$N$602,'자료_거시'!$M$3:$M$602,"&gt;"&amp;EDATE('자료_거시'!$M484,-'설정'!$B$17),'자료_거시'!$M$3:$M$602,"&lt;="&amp;'자료_거시'!$M484)/SUMIFS('자료_거시'!$N$3:$N$602,'자료_거시'!$M$3:$M$602,"&gt;"&amp;EDATE('자료_거시'!$M484,-12-'설정'!$B$17),'자료_거시'!$M$3:$M$602,"&lt;="&amp;EDATE('자료_거시'!$M484,-12))-1,""),""),"")</f>
        <v/>
      </c>
      <c r="AF502">
        <f>IF(ISNUMBER(AE502),'자료_거시'!$M484,"")</f>
        <v/>
      </c>
      <c r="AG502">
        <f>IF(ISNUMBER(AF502),IF(AF502&gt;$L$9,AE502,""),"")</f>
        <v/>
      </c>
    </row>
    <row r="503">
      <c r="P503">
        <f>IF(AND(ISNUMBER('자료_거시'!$A485),ISNUMBER('자료_거시'!$B485)),'자료_거시'!$B485,"")</f>
        <v/>
      </c>
      <c r="Q503">
        <f>IF(ISNUMBER(P503),'자료_거시'!$A485,"")</f>
        <v/>
      </c>
      <c r="R503">
        <f>IF(ISNUMBER(Q503),IF(Q503&gt;$L$5,P503,""),"")</f>
        <v/>
      </c>
      <c r="S503">
        <f>IF(ISNUMBER('자료_거시'!$E485),'자료_거시'!$E485,S502)</f>
        <v/>
      </c>
      <c r="T503">
        <f>IF(AND(ISNUMBER('자료_거시'!$D485),ISNUMBER('자료_거시'!$E485)),IFERROR('자료_거시'!$E485-INDEX($S$21:$S$4020,MATCH(EDATE('자료_거시'!$D485,-'설정'!$B$17),'자료_거시'!$D$3:INDEX('자료_거시'!$D$3:$D$4002,$K$6),1)),""),"")</f>
        <v/>
      </c>
      <c r="U503">
        <f>IF(ISNUMBER(T503),'자료_거시'!$D485,"")</f>
        <v/>
      </c>
      <c r="V503">
        <f>IF(ISNUMBER(U503),IF(U503&gt;$L$6,T503,""),"")</f>
        <v/>
      </c>
      <c r="W503">
        <f>IF(AND(ISNUMBER('자료_거시'!$G485),ISNUMBER('자료_거시'!$H485)),'자료_거시'!$H485,"")</f>
        <v/>
      </c>
      <c r="X503">
        <f>IF(ISNUMBER(W503),'자료_거시'!$G485,"")</f>
        <v/>
      </c>
      <c r="Y503">
        <f>IF(ISNUMBER(X503),IF(X503&gt;$L$7,W503,""),"")</f>
        <v/>
      </c>
      <c r="Z503">
        <f>IF(ISNUMBER('자료_거시'!$K485),'자료_거시'!$K485,Z502)</f>
        <v/>
      </c>
      <c r="AA503">
        <f>IF(AND(ISNUMBER('자료_거시'!$J485),ISNUMBER('자료_거시'!$K485)),IFERROR('자료_거시'!$K485/INDEX($Z$21:$Z$4020,MATCH(EDATE('자료_거시'!$J485,-'설정'!$B$17),'자료_거시'!$J$3:INDEX('자료_거시'!$J$3:$J$4002,$K$8),1))-1,""),"")</f>
        <v/>
      </c>
      <c r="AB503">
        <f>IF(ISNUMBER(AA503),'자료_거시'!$J485,"")</f>
        <v/>
      </c>
      <c r="AC503">
        <f>IF(ISNUMBER(AB503),IF(AB503&gt;$L$8,AA503,""),"")</f>
        <v/>
      </c>
      <c r="AD503">
        <f>IF(AND(ISNUMBER('자료_거시'!$M485),ISNUMBER('자료_거시'!$N485)),1,0)</f>
        <v/>
      </c>
      <c r="AE503">
        <f>IF(AND(ISNUMBER('자료_거시'!$M485),ISNUMBER('자료_거시'!$N485)),IF(AND(SUMIFS($AD$21:$AD$620,'자료_거시'!$M$3:$M$602,"&gt;"&amp;EDATE('자료_거시'!$M485,-'설정'!$B$17),'자료_거시'!$M$3:$M$602,"&lt;="&amp;'자료_거시'!$M485)=3,SUMIFS($AD$21:$AD$620,'자료_거시'!$M$3:$M$602,"&gt;"&amp;EDATE('자료_거시'!$M485,-12-'설정'!$B$17),'자료_거시'!$M$3:$M$602,"&lt;="&amp;EDATE('자료_거시'!$M485,-12))=3),IFERROR(SUMIFS('자료_거시'!$N$3:$N$602,'자료_거시'!$M$3:$M$602,"&gt;"&amp;EDATE('자료_거시'!$M485,-'설정'!$B$17),'자료_거시'!$M$3:$M$602,"&lt;="&amp;'자료_거시'!$M485)/SUMIFS('자료_거시'!$N$3:$N$602,'자료_거시'!$M$3:$M$602,"&gt;"&amp;EDATE('자료_거시'!$M485,-12-'설정'!$B$17),'자료_거시'!$M$3:$M$602,"&lt;="&amp;EDATE('자료_거시'!$M485,-12))-1,""),""),"")</f>
        <v/>
      </c>
      <c r="AF503">
        <f>IF(ISNUMBER(AE503),'자료_거시'!$M485,"")</f>
        <v/>
      </c>
      <c r="AG503">
        <f>IF(ISNUMBER(AF503),IF(AF503&gt;$L$9,AE503,""),"")</f>
        <v/>
      </c>
    </row>
    <row r="504">
      <c r="P504">
        <f>IF(AND(ISNUMBER('자료_거시'!$A486),ISNUMBER('자료_거시'!$B486)),'자료_거시'!$B486,"")</f>
        <v/>
      </c>
      <c r="Q504">
        <f>IF(ISNUMBER(P504),'자료_거시'!$A486,"")</f>
        <v/>
      </c>
      <c r="R504">
        <f>IF(ISNUMBER(Q504),IF(Q504&gt;$L$5,P504,""),"")</f>
        <v/>
      </c>
      <c r="S504">
        <f>IF(ISNUMBER('자료_거시'!$E486),'자료_거시'!$E486,S503)</f>
        <v/>
      </c>
      <c r="T504">
        <f>IF(AND(ISNUMBER('자료_거시'!$D486),ISNUMBER('자료_거시'!$E486)),IFERROR('자료_거시'!$E486-INDEX($S$21:$S$4020,MATCH(EDATE('자료_거시'!$D486,-'설정'!$B$17),'자료_거시'!$D$3:INDEX('자료_거시'!$D$3:$D$4002,$K$6),1)),""),"")</f>
        <v/>
      </c>
      <c r="U504">
        <f>IF(ISNUMBER(T504),'자료_거시'!$D486,"")</f>
        <v/>
      </c>
      <c r="V504">
        <f>IF(ISNUMBER(U504),IF(U504&gt;$L$6,T504,""),"")</f>
        <v/>
      </c>
      <c r="W504">
        <f>IF(AND(ISNUMBER('자료_거시'!$G486),ISNUMBER('자료_거시'!$H486)),'자료_거시'!$H486,"")</f>
        <v/>
      </c>
      <c r="X504">
        <f>IF(ISNUMBER(W504),'자료_거시'!$G486,"")</f>
        <v/>
      </c>
      <c r="Y504">
        <f>IF(ISNUMBER(X504),IF(X504&gt;$L$7,W504,""),"")</f>
        <v/>
      </c>
      <c r="Z504">
        <f>IF(ISNUMBER('자료_거시'!$K486),'자료_거시'!$K486,Z503)</f>
        <v/>
      </c>
      <c r="AA504">
        <f>IF(AND(ISNUMBER('자료_거시'!$J486),ISNUMBER('자료_거시'!$K486)),IFERROR('자료_거시'!$K486/INDEX($Z$21:$Z$4020,MATCH(EDATE('자료_거시'!$J486,-'설정'!$B$17),'자료_거시'!$J$3:INDEX('자료_거시'!$J$3:$J$4002,$K$8),1))-1,""),"")</f>
        <v/>
      </c>
      <c r="AB504">
        <f>IF(ISNUMBER(AA504),'자료_거시'!$J486,"")</f>
        <v/>
      </c>
      <c r="AC504">
        <f>IF(ISNUMBER(AB504),IF(AB504&gt;$L$8,AA504,""),"")</f>
        <v/>
      </c>
      <c r="AD504">
        <f>IF(AND(ISNUMBER('자료_거시'!$M486),ISNUMBER('자료_거시'!$N486)),1,0)</f>
        <v/>
      </c>
      <c r="AE504">
        <f>IF(AND(ISNUMBER('자료_거시'!$M486),ISNUMBER('자료_거시'!$N486)),IF(AND(SUMIFS($AD$21:$AD$620,'자료_거시'!$M$3:$M$602,"&gt;"&amp;EDATE('자료_거시'!$M486,-'설정'!$B$17),'자료_거시'!$M$3:$M$602,"&lt;="&amp;'자료_거시'!$M486)=3,SUMIFS($AD$21:$AD$620,'자료_거시'!$M$3:$M$602,"&gt;"&amp;EDATE('자료_거시'!$M486,-12-'설정'!$B$17),'자료_거시'!$M$3:$M$602,"&lt;="&amp;EDATE('자료_거시'!$M486,-12))=3),IFERROR(SUMIFS('자료_거시'!$N$3:$N$602,'자료_거시'!$M$3:$M$602,"&gt;"&amp;EDATE('자료_거시'!$M486,-'설정'!$B$17),'자료_거시'!$M$3:$M$602,"&lt;="&amp;'자료_거시'!$M486)/SUMIFS('자료_거시'!$N$3:$N$602,'자료_거시'!$M$3:$M$602,"&gt;"&amp;EDATE('자료_거시'!$M486,-12-'설정'!$B$17),'자료_거시'!$M$3:$M$602,"&lt;="&amp;EDATE('자료_거시'!$M486,-12))-1,""),""),"")</f>
        <v/>
      </c>
      <c r="AF504">
        <f>IF(ISNUMBER(AE504),'자료_거시'!$M486,"")</f>
        <v/>
      </c>
      <c r="AG504">
        <f>IF(ISNUMBER(AF504),IF(AF504&gt;$L$9,AE504,""),"")</f>
        <v/>
      </c>
    </row>
    <row r="505">
      <c r="P505">
        <f>IF(AND(ISNUMBER('자료_거시'!$A487),ISNUMBER('자료_거시'!$B487)),'자료_거시'!$B487,"")</f>
        <v/>
      </c>
      <c r="Q505">
        <f>IF(ISNUMBER(P505),'자료_거시'!$A487,"")</f>
        <v/>
      </c>
      <c r="R505">
        <f>IF(ISNUMBER(Q505),IF(Q505&gt;$L$5,P505,""),"")</f>
        <v/>
      </c>
      <c r="S505">
        <f>IF(ISNUMBER('자료_거시'!$E487),'자료_거시'!$E487,S504)</f>
        <v/>
      </c>
      <c r="T505">
        <f>IF(AND(ISNUMBER('자료_거시'!$D487),ISNUMBER('자료_거시'!$E487)),IFERROR('자료_거시'!$E487-INDEX($S$21:$S$4020,MATCH(EDATE('자료_거시'!$D487,-'설정'!$B$17),'자료_거시'!$D$3:INDEX('자료_거시'!$D$3:$D$4002,$K$6),1)),""),"")</f>
        <v/>
      </c>
      <c r="U505">
        <f>IF(ISNUMBER(T505),'자료_거시'!$D487,"")</f>
        <v/>
      </c>
      <c r="V505">
        <f>IF(ISNUMBER(U505),IF(U505&gt;$L$6,T505,""),"")</f>
        <v/>
      </c>
      <c r="W505">
        <f>IF(AND(ISNUMBER('자료_거시'!$G487),ISNUMBER('자료_거시'!$H487)),'자료_거시'!$H487,"")</f>
        <v/>
      </c>
      <c r="X505">
        <f>IF(ISNUMBER(W505),'자료_거시'!$G487,"")</f>
        <v/>
      </c>
      <c r="Y505">
        <f>IF(ISNUMBER(X505),IF(X505&gt;$L$7,W505,""),"")</f>
        <v/>
      </c>
      <c r="Z505">
        <f>IF(ISNUMBER('자료_거시'!$K487),'자료_거시'!$K487,Z504)</f>
        <v/>
      </c>
      <c r="AA505">
        <f>IF(AND(ISNUMBER('자료_거시'!$J487),ISNUMBER('자료_거시'!$K487)),IFERROR('자료_거시'!$K487/INDEX($Z$21:$Z$4020,MATCH(EDATE('자료_거시'!$J487,-'설정'!$B$17),'자료_거시'!$J$3:INDEX('자료_거시'!$J$3:$J$4002,$K$8),1))-1,""),"")</f>
        <v/>
      </c>
      <c r="AB505">
        <f>IF(ISNUMBER(AA505),'자료_거시'!$J487,"")</f>
        <v/>
      </c>
      <c r="AC505">
        <f>IF(ISNUMBER(AB505),IF(AB505&gt;$L$8,AA505,""),"")</f>
        <v/>
      </c>
      <c r="AD505">
        <f>IF(AND(ISNUMBER('자료_거시'!$M487),ISNUMBER('자료_거시'!$N487)),1,0)</f>
        <v/>
      </c>
      <c r="AE505">
        <f>IF(AND(ISNUMBER('자료_거시'!$M487),ISNUMBER('자료_거시'!$N487)),IF(AND(SUMIFS($AD$21:$AD$620,'자료_거시'!$M$3:$M$602,"&gt;"&amp;EDATE('자료_거시'!$M487,-'설정'!$B$17),'자료_거시'!$M$3:$M$602,"&lt;="&amp;'자료_거시'!$M487)=3,SUMIFS($AD$21:$AD$620,'자료_거시'!$M$3:$M$602,"&gt;"&amp;EDATE('자료_거시'!$M487,-12-'설정'!$B$17),'자료_거시'!$M$3:$M$602,"&lt;="&amp;EDATE('자료_거시'!$M487,-12))=3),IFERROR(SUMIFS('자료_거시'!$N$3:$N$602,'자료_거시'!$M$3:$M$602,"&gt;"&amp;EDATE('자료_거시'!$M487,-'설정'!$B$17),'자료_거시'!$M$3:$M$602,"&lt;="&amp;'자료_거시'!$M487)/SUMIFS('자료_거시'!$N$3:$N$602,'자료_거시'!$M$3:$M$602,"&gt;"&amp;EDATE('자료_거시'!$M487,-12-'설정'!$B$17),'자료_거시'!$M$3:$M$602,"&lt;="&amp;EDATE('자료_거시'!$M487,-12))-1,""),""),"")</f>
        <v/>
      </c>
      <c r="AF505">
        <f>IF(ISNUMBER(AE505),'자료_거시'!$M487,"")</f>
        <v/>
      </c>
      <c r="AG505">
        <f>IF(ISNUMBER(AF505),IF(AF505&gt;$L$9,AE505,""),"")</f>
        <v/>
      </c>
    </row>
    <row r="506">
      <c r="P506">
        <f>IF(AND(ISNUMBER('자료_거시'!$A488),ISNUMBER('자료_거시'!$B488)),'자료_거시'!$B488,"")</f>
        <v/>
      </c>
      <c r="Q506">
        <f>IF(ISNUMBER(P506),'자료_거시'!$A488,"")</f>
        <v/>
      </c>
      <c r="R506">
        <f>IF(ISNUMBER(Q506),IF(Q506&gt;$L$5,P506,""),"")</f>
        <v/>
      </c>
      <c r="S506">
        <f>IF(ISNUMBER('자료_거시'!$E488),'자료_거시'!$E488,S505)</f>
        <v/>
      </c>
      <c r="T506">
        <f>IF(AND(ISNUMBER('자료_거시'!$D488),ISNUMBER('자료_거시'!$E488)),IFERROR('자료_거시'!$E488-INDEX($S$21:$S$4020,MATCH(EDATE('자료_거시'!$D488,-'설정'!$B$17),'자료_거시'!$D$3:INDEX('자료_거시'!$D$3:$D$4002,$K$6),1)),""),"")</f>
        <v/>
      </c>
      <c r="U506">
        <f>IF(ISNUMBER(T506),'자료_거시'!$D488,"")</f>
        <v/>
      </c>
      <c r="V506">
        <f>IF(ISNUMBER(U506),IF(U506&gt;$L$6,T506,""),"")</f>
        <v/>
      </c>
      <c r="W506">
        <f>IF(AND(ISNUMBER('자료_거시'!$G488),ISNUMBER('자료_거시'!$H488)),'자료_거시'!$H488,"")</f>
        <v/>
      </c>
      <c r="X506">
        <f>IF(ISNUMBER(W506),'자료_거시'!$G488,"")</f>
        <v/>
      </c>
      <c r="Y506">
        <f>IF(ISNUMBER(X506),IF(X506&gt;$L$7,W506,""),"")</f>
        <v/>
      </c>
      <c r="Z506">
        <f>IF(ISNUMBER('자료_거시'!$K488),'자료_거시'!$K488,Z505)</f>
        <v/>
      </c>
      <c r="AA506">
        <f>IF(AND(ISNUMBER('자료_거시'!$J488),ISNUMBER('자료_거시'!$K488)),IFERROR('자료_거시'!$K488/INDEX($Z$21:$Z$4020,MATCH(EDATE('자료_거시'!$J488,-'설정'!$B$17),'자료_거시'!$J$3:INDEX('자료_거시'!$J$3:$J$4002,$K$8),1))-1,""),"")</f>
        <v/>
      </c>
      <c r="AB506">
        <f>IF(ISNUMBER(AA506),'자료_거시'!$J488,"")</f>
        <v/>
      </c>
      <c r="AC506">
        <f>IF(ISNUMBER(AB506),IF(AB506&gt;$L$8,AA506,""),"")</f>
        <v/>
      </c>
      <c r="AD506">
        <f>IF(AND(ISNUMBER('자료_거시'!$M488),ISNUMBER('자료_거시'!$N488)),1,0)</f>
        <v/>
      </c>
      <c r="AE506">
        <f>IF(AND(ISNUMBER('자료_거시'!$M488),ISNUMBER('자료_거시'!$N488)),IF(AND(SUMIFS($AD$21:$AD$620,'자료_거시'!$M$3:$M$602,"&gt;"&amp;EDATE('자료_거시'!$M488,-'설정'!$B$17),'자료_거시'!$M$3:$M$602,"&lt;="&amp;'자료_거시'!$M488)=3,SUMIFS($AD$21:$AD$620,'자료_거시'!$M$3:$M$602,"&gt;"&amp;EDATE('자료_거시'!$M488,-12-'설정'!$B$17),'자료_거시'!$M$3:$M$602,"&lt;="&amp;EDATE('자료_거시'!$M488,-12))=3),IFERROR(SUMIFS('자료_거시'!$N$3:$N$602,'자료_거시'!$M$3:$M$602,"&gt;"&amp;EDATE('자료_거시'!$M488,-'설정'!$B$17),'자료_거시'!$M$3:$M$602,"&lt;="&amp;'자료_거시'!$M488)/SUMIFS('자료_거시'!$N$3:$N$602,'자료_거시'!$M$3:$M$602,"&gt;"&amp;EDATE('자료_거시'!$M488,-12-'설정'!$B$17),'자료_거시'!$M$3:$M$602,"&lt;="&amp;EDATE('자료_거시'!$M488,-12))-1,""),""),"")</f>
        <v/>
      </c>
      <c r="AF506">
        <f>IF(ISNUMBER(AE506),'자료_거시'!$M488,"")</f>
        <v/>
      </c>
      <c r="AG506">
        <f>IF(ISNUMBER(AF506),IF(AF506&gt;$L$9,AE506,""),"")</f>
        <v/>
      </c>
    </row>
    <row r="507">
      <c r="P507">
        <f>IF(AND(ISNUMBER('자료_거시'!$A489),ISNUMBER('자료_거시'!$B489)),'자료_거시'!$B489,"")</f>
        <v/>
      </c>
      <c r="Q507">
        <f>IF(ISNUMBER(P507),'자료_거시'!$A489,"")</f>
        <v/>
      </c>
      <c r="R507">
        <f>IF(ISNUMBER(Q507),IF(Q507&gt;$L$5,P507,""),"")</f>
        <v/>
      </c>
      <c r="S507">
        <f>IF(ISNUMBER('자료_거시'!$E489),'자료_거시'!$E489,S506)</f>
        <v/>
      </c>
      <c r="T507">
        <f>IF(AND(ISNUMBER('자료_거시'!$D489),ISNUMBER('자료_거시'!$E489)),IFERROR('자료_거시'!$E489-INDEX($S$21:$S$4020,MATCH(EDATE('자료_거시'!$D489,-'설정'!$B$17),'자료_거시'!$D$3:INDEX('자료_거시'!$D$3:$D$4002,$K$6),1)),""),"")</f>
        <v/>
      </c>
      <c r="U507">
        <f>IF(ISNUMBER(T507),'자료_거시'!$D489,"")</f>
        <v/>
      </c>
      <c r="V507">
        <f>IF(ISNUMBER(U507),IF(U507&gt;$L$6,T507,""),"")</f>
        <v/>
      </c>
      <c r="W507">
        <f>IF(AND(ISNUMBER('자료_거시'!$G489),ISNUMBER('자료_거시'!$H489)),'자료_거시'!$H489,"")</f>
        <v/>
      </c>
      <c r="X507">
        <f>IF(ISNUMBER(W507),'자료_거시'!$G489,"")</f>
        <v/>
      </c>
      <c r="Y507">
        <f>IF(ISNUMBER(X507),IF(X507&gt;$L$7,W507,""),"")</f>
        <v/>
      </c>
      <c r="Z507">
        <f>IF(ISNUMBER('자료_거시'!$K489),'자료_거시'!$K489,Z506)</f>
        <v/>
      </c>
      <c r="AA507">
        <f>IF(AND(ISNUMBER('자료_거시'!$J489),ISNUMBER('자료_거시'!$K489)),IFERROR('자료_거시'!$K489/INDEX($Z$21:$Z$4020,MATCH(EDATE('자료_거시'!$J489,-'설정'!$B$17),'자료_거시'!$J$3:INDEX('자료_거시'!$J$3:$J$4002,$K$8),1))-1,""),"")</f>
        <v/>
      </c>
      <c r="AB507">
        <f>IF(ISNUMBER(AA507),'자료_거시'!$J489,"")</f>
        <v/>
      </c>
      <c r="AC507">
        <f>IF(ISNUMBER(AB507),IF(AB507&gt;$L$8,AA507,""),"")</f>
        <v/>
      </c>
      <c r="AD507">
        <f>IF(AND(ISNUMBER('자료_거시'!$M489),ISNUMBER('자료_거시'!$N489)),1,0)</f>
        <v/>
      </c>
      <c r="AE507">
        <f>IF(AND(ISNUMBER('자료_거시'!$M489),ISNUMBER('자료_거시'!$N489)),IF(AND(SUMIFS($AD$21:$AD$620,'자료_거시'!$M$3:$M$602,"&gt;"&amp;EDATE('자료_거시'!$M489,-'설정'!$B$17),'자료_거시'!$M$3:$M$602,"&lt;="&amp;'자료_거시'!$M489)=3,SUMIFS($AD$21:$AD$620,'자료_거시'!$M$3:$M$602,"&gt;"&amp;EDATE('자료_거시'!$M489,-12-'설정'!$B$17),'자료_거시'!$M$3:$M$602,"&lt;="&amp;EDATE('자료_거시'!$M489,-12))=3),IFERROR(SUMIFS('자료_거시'!$N$3:$N$602,'자료_거시'!$M$3:$M$602,"&gt;"&amp;EDATE('자료_거시'!$M489,-'설정'!$B$17),'자료_거시'!$M$3:$M$602,"&lt;="&amp;'자료_거시'!$M489)/SUMIFS('자료_거시'!$N$3:$N$602,'자료_거시'!$M$3:$M$602,"&gt;"&amp;EDATE('자료_거시'!$M489,-12-'설정'!$B$17),'자료_거시'!$M$3:$M$602,"&lt;="&amp;EDATE('자료_거시'!$M489,-12))-1,""),""),"")</f>
        <v/>
      </c>
      <c r="AF507">
        <f>IF(ISNUMBER(AE507),'자료_거시'!$M489,"")</f>
        <v/>
      </c>
      <c r="AG507">
        <f>IF(ISNUMBER(AF507),IF(AF507&gt;$L$9,AE507,""),"")</f>
        <v/>
      </c>
    </row>
    <row r="508">
      <c r="P508">
        <f>IF(AND(ISNUMBER('자료_거시'!$A490),ISNUMBER('자료_거시'!$B490)),'자료_거시'!$B490,"")</f>
        <v/>
      </c>
      <c r="Q508">
        <f>IF(ISNUMBER(P508),'자료_거시'!$A490,"")</f>
        <v/>
      </c>
      <c r="R508">
        <f>IF(ISNUMBER(Q508),IF(Q508&gt;$L$5,P508,""),"")</f>
        <v/>
      </c>
      <c r="S508">
        <f>IF(ISNUMBER('자료_거시'!$E490),'자료_거시'!$E490,S507)</f>
        <v/>
      </c>
      <c r="T508">
        <f>IF(AND(ISNUMBER('자료_거시'!$D490),ISNUMBER('자료_거시'!$E490)),IFERROR('자료_거시'!$E490-INDEX($S$21:$S$4020,MATCH(EDATE('자료_거시'!$D490,-'설정'!$B$17),'자료_거시'!$D$3:INDEX('자료_거시'!$D$3:$D$4002,$K$6),1)),""),"")</f>
        <v/>
      </c>
      <c r="U508">
        <f>IF(ISNUMBER(T508),'자료_거시'!$D490,"")</f>
        <v/>
      </c>
      <c r="V508">
        <f>IF(ISNUMBER(U508),IF(U508&gt;$L$6,T508,""),"")</f>
        <v/>
      </c>
      <c r="W508">
        <f>IF(AND(ISNUMBER('자료_거시'!$G490),ISNUMBER('자료_거시'!$H490)),'자료_거시'!$H490,"")</f>
        <v/>
      </c>
      <c r="X508">
        <f>IF(ISNUMBER(W508),'자료_거시'!$G490,"")</f>
        <v/>
      </c>
      <c r="Y508">
        <f>IF(ISNUMBER(X508),IF(X508&gt;$L$7,W508,""),"")</f>
        <v/>
      </c>
      <c r="Z508">
        <f>IF(ISNUMBER('자료_거시'!$K490),'자료_거시'!$K490,Z507)</f>
        <v/>
      </c>
      <c r="AA508">
        <f>IF(AND(ISNUMBER('자료_거시'!$J490),ISNUMBER('자료_거시'!$K490)),IFERROR('자료_거시'!$K490/INDEX($Z$21:$Z$4020,MATCH(EDATE('자료_거시'!$J490,-'설정'!$B$17),'자료_거시'!$J$3:INDEX('자료_거시'!$J$3:$J$4002,$K$8),1))-1,""),"")</f>
        <v/>
      </c>
      <c r="AB508">
        <f>IF(ISNUMBER(AA508),'자료_거시'!$J490,"")</f>
        <v/>
      </c>
      <c r="AC508">
        <f>IF(ISNUMBER(AB508),IF(AB508&gt;$L$8,AA508,""),"")</f>
        <v/>
      </c>
      <c r="AD508">
        <f>IF(AND(ISNUMBER('자료_거시'!$M490),ISNUMBER('자료_거시'!$N490)),1,0)</f>
        <v/>
      </c>
      <c r="AE508">
        <f>IF(AND(ISNUMBER('자료_거시'!$M490),ISNUMBER('자료_거시'!$N490)),IF(AND(SUMIFS($AD$21:$AD$620,'자료_거시'!$M$3:$M$602,"&gt;"&amp;EDATE('자료_거시'!$M490,-'설정'!$B$17),'자료_거시'!$M$3:$M$602,"&lt;="&amp;'자료_거시'!$M490)=3,SUMIFS($AD$21:$AD$620,'자료_거시'!$M$3:$M$602,"&gt;"&amp;EDATE('자료_거시'!$M490,-12-'설정'!$B$17),'자료_거시'!$M$3:$M$602,"&lt;="&amp;EDATE('자료_거시'!$M490,-12))=3),IFERROR(SUMIFS('자료_거시'!$N$3:$N$602,'자료_거시'!$M$3:$M$602,"&gt;"&amp;EDATE('자료_거시'!$M490,-'설정'!$B$17),'자료_거시'!$M$3:$M$602,"&lt;="&amp;'자료_거시'!$M490)/SUMIFS('자료_거시'!$N$3:$N$602,'자료_거시'!$M$3:$M$602,"&gt;"&amp;EDATE('자료_거시'!$M490,-12-'설정'!$B$17),'자료_거시'!$M$3:$M$602,"&lt;="&amp;EDATE('자료_거시'!$M490,-12))-1,""),""),"")</f>
        <v/>
      </c>
      <c r="AF508">
        <f>IF(ISNUMBER(AE508),'자료_거시'!$M490,"")</f>
        <v/>
      </c>
      <c r="AG508">
        <f>IF(ISNUMBER(AF508),IF(AF508&gt;$L$9,AE508,""),"")</f>
        <v/>
      </c>
    </row>
    <row r="509">
      <c r="P509">
        <f>IF(AND(ISNUMBER('자료_거시'!$A491),ISNUMBER('자료_거시'!$B491)),'자료_거시'!$B491,"")</f>
        <v/>
      </c>
      <c r="Q509">
        <f>IF(ISNUMBER(P509),'자료_거시'!$A491,"")</f>
        <v/>
      </c>
      <c r="R509">
        <f>IF(ISNUMBER(Q509),IF(Q509&gt;$L$5,P509,""),"")</f>
        <v/>
      </c>
      <c r="S509">
        <f>IF(ISNUMBER('자료_거시'!$E491),'자료_거시'!$E491,S508)</f>
        <v/>
      </c>
      <c r="T509">
        <f>IF(AND(ISNUMBER('자료_거시'!$D491),ISNUMBER('자료_거시'!$E491)),IFERROR('자료_거시'!$E491-INDEX($S$21:$S$4020,MATCH(EDATE('자료_거시'!$D491,-'설정'!$B$17),'자료_거시'!$D$3:INDEX('자료_거시'!$D$3:$D$4002,$K$6),1)),""),"")</f>
        <v/>
      </c>
      <c r="U509">
        <f>IF(ISNUMBER(T509),'자료_거시'!$D491,"")</f>
        <v/>
      </c>
      <c r="V509">
        <f>IF(ISNUMBER(U509),IF(U509&gt;$L$6,T509,""),"")</f>
        <v/>
      </c>
      <c r="W509">
        <f>IF(AND(ISNUMBER('자료_거시'!$G491),ISNUMBER('자료_거시'!$H491)),'자료_거시'!$H491,"")</f>
        <v/>
      </c>
      <c r="X509">
        <f>IF(ISNUMBER(W509),'자료_거시'!$G491,"")</f>
        <v/>
      </c>
      <c r="Y509">
        <f>IF(ISNUMBER(X509),IF(X509&gt;$L$7,W509,""),"")</f>
        <v/>
      </c>
      <c r="Z509">
        <f>IF(ISNUMBER('자료_거시'!$K491),'자료_거시'!$K491,Z508)</f>
        <v/>
      </c>
      <c r="AA509">
        <f>IF(AND(ISNUMBER('자료_거시'!$J491),ISNUMBER('자료_거시'!$K491)),IFERROR('자료_거시'!$K491/INDEX($Z$21:$Z$4020,MATCH(EDATE('자료_거시'!$J491,-'설정'!$B$17),'자료_거시'!$J$3:INDEX('자료_거시'!$J$3:$J$4002,$K$8),1))-1,""),"")</f>
        <v/>
      </c>
      <c r="AB509">
        <f>IF(ISNUMBER(AA509),'자료_거시'!$J491,"")</f>
        <v/>
      </c>
      <c r="AC509">
        <f>IF(ISNUMBER(AB509),IF(AB509&gt;$L$8,AA509,""),"")</f>
        <v/>
      </c>
      <c r="AD509">
        <f>IF(AND(ISNUMBER('자료_거시'!$M491),ISNUMBER('자료_거시'!$N491)),1,0)</f>
        <v/>
      </c>
      <c r="AE509">
        <f>IF(AND(ISNUMBER('자료_거시'!$M491),ISNUMBER('자료_거시'!$N491)),IF(AND(SUMIFS($AD$21:$AD$620,'자료_거시'!$M$3:$M$602,"&gt;"&amp;EDATE('자료_거시'!$M491,-'설정'!$B$17),'자료_거시'!$M$3:$M$602,"&lt;="&amp;'자료_거시'!$M491)=3,SUMIFS($AD$21:$AD$620,'자료_거시'!$M$3:$M$602,"&gt;"&amp;EDATE('자료_거시'!$M491,-12-'설정'!$B$17),'자료_거시'!$M$3:$M$602,"&lt;="&amp;EDATE('자료_거시'!$M491,-12))=3),IFERROR(SUMIFS('자료_거시'!$N$3:$N$602,'자료_거시'!$M$3:$M$602,"&gt;"&amp;EDATE('자료_거시'!$M491,-'설정'!$B$17),'자료_거시'!$M$3:$M$602,"&lt;="&amp;'자료_거시'!$M491)/SUMIFS('자료_거시'!$N$3:$N$602,'자료_거시'!$M$3:$M$602,"&gt;"&amp;EDATE('자료_거시'!$M491,-12-'설정'!$B$17),'자료_거시'!$M$3:$M$602,"&lt;="&amp;EDATE('자료_거시'!$M491,-12))-1,""),""),"")</f>
        <v/>
      </c>
      <c r="AF509">
        <f>IF(ISNUMBER(AE509),'자료_거시'!$M491,"")</f>
        <v/>
      </c>
      <c r="AG509">
        <f>IF(ISNUMBER(AF509),IF(AF509&gt;$L$9,AE509,""),"")</f>
        <v/>
      </c>
    </row>
    <row r="510">
      <c r="P510">
        <f>IF(AND(ISNUMBER('자료_거시'!$A492),ISNUMBER('자료_거시'!$B492)),'자료_거시'!$B492,"")</f>
        <v/>
      </c>
      <c r="Q510">
        <f>IF(ISNUMBER(P510),'자료_거시'!$A492,"")</f>
        <v/>
      </c>
      <c r="R510">
        <f>IF(ISNUMBER(Q510),IF(Q510&gt;$L$5,P510,""),"")</f>
        <v/>
      </c>
      <c r="S510">
        <f>IF(ISNUMBER('자료_거시'!$E492),'자료_거시'!$E492,S509)</f>
        <v/>
      </c>
      <c r="T510">
        <f>IF(AND(ISNUMBER('자료_거시'!$D492),ISNUMBER('자료_거시'!$E492)),IFERROR('자료_거시'!$E492-INDEX($S$21:$S$4020,MATCH(EDATE('자료_거시'!$D492,-'설정'!$B$17),'자료_거시'!$D$3:INDEX('자료_거시'!$D$3:$D$4002,$K$6),1)),""),"")</f>
        <v/>
      </c>
      <c r="U510">
        <f>IF(ISNUMBER(T510),'자료_거시'!$D492,"")</f>
        <v/>
      </c>
      <c r="V510">
        <f>IF(ISNUMBER(U510),IF(U510&gt;$L$6,T510,""),"")</f>
        <v/>
      </c>
      <c r="W510">
        <f>IF(AND(ISNUMBER('자료_거시'!$G492),ISNUMBER('자료_거시'!$H492)),'자료_거시'!$H492,"")</f>
        <v/>
      </c>
      <c r="X510">
        <f>IF(ISNUMBER(W510),'자료_거시'!$G492,"")</f>
        <v/>
      </c>
      <c r="Y510">
        <f>IF(ISNUMBER(X510),IF(X510&gt;$L$7,W510,""),"")</f>
        <v/>
      </c>
      <c r="Z510">
        <f>IF(ISNUMBER('자료_거시'!$K492),'자료_거시'!$K492,Z509)</f>
        <v/>
      </c>
      <c r="AA510">
        <f>IF(AND(ISNUMBER('자료_거시'!$J492),ISNUMBER('자료_거시'!$K492)),IFERROR('자료_거시'!$K492/INDEX($Z$21:$Z$4020,MATCH(EDATE('자료_거시'!$J492,-'설정'!$B$17),'자료_거시'!$J$3:INDEX('자료_거시'!$J$3:$J$4002,$K$8),1))-1,""),"")</f>
        <v/>
      </c>
      <c r="AB510">
        <f>IF(ISNUMBER(AA510),'자료_거시'!$J492,"")</f>
        <v/>
      </c>
      <c r="AC510">
        <f>IF(ISNUMBER(AB510),IF(AB510&gt;$L$8,AA510,""),"")</f>
        <v/>
      </c>
      <c r="AD510">
        <f>IF(AND(ISNUMBER('자료_거시'!$M492),ISNUMBER('자료_거시'!$N492)),1,0)</f>
        <v/>
      </c>
      <c r="AE510">
        <f>IF(AND(ISNUMBER('자료_거시'!$M492),ISNUMBER('자료_거시'!$N492)),IF(AND(SUMIFS($AD$21:$AD$620,'자료_거시'!$M$3:$M$602,"&gt;"&amp;EDATE('자료_거시'!$M492,-'설정'!$B$17),'자료_거시'!$M$3:$M$602,"&lt;="&amp;'자료_거시'!$M492)=3,SUMIFS($AD$21:$AD$620,'자료_거시'!$M$3:$M$602,"&gt;"&amp;EDATE('자료_거시'!$M492,-12-'설정'!$B$17),'자료_거시'!$M$3:$M$602,"&lt;="&amp;EDATE('자료_거시'!$M492,-12))=3),IFERROR(SUMIFS('자료_거시'!$N$3:$N$602,'자료_거시'!$M$3:$M$602,"&gt;"&amp;EDATE('자료_거시'!$M492,-'설정'!$B$17),'자료_거시'!$M$3:$M$602,"&lt;="&amp;'자료_거시'!$M492)/SUMIFS('자료_거시'!$N$3:$N$602,'자료_거시'!$M$3:$M$602,"&gt;"&amp;EDATE('자료_거시'!$M492,-12-'설정'!$B$17),'자료_거시'!$M$3:$M$602,"&lt;="&amp;EDATE('자료_거시'!$M492,-12))-1,""),""),"")</f>
        <v/>
      </c>
      <c r="AF510">
        <f>IF(ISNUMBER(AE510),'자료_거시'!$M492,"")</f>
        <v/>
      </c>
      <c r="AG510">
        <f>IF(ISNUMBER(AF510),IF(AF510&gt;$L$9,AE510,""),"")</f>
        <v/>
      </c>
    </row>
    <row r="511">
      <c r="P511">
        <f>IF(AND(ISNUMBER('자료_거시'!$A493),ISNUMBER('자료_거시'!$B493)),'자료_거시'!$B493,"")</f>
        <v/>
      </c>
      <c r="Q511">
        <f>IF(ISNUMBER(P511),'자료_거시'!$A493,"")</f>
        <v/>
      </c>
      <c r="R511">
        <f>IF(ISNUMBER(Q511),IF(Q511&gt;$L$5,P511,""),"")</f>
        <v/>
      </c>
      <c r="S511">
        <f>IF(ISNUMBER('자료_거시'!$E493),'자료_거시'!$E493,S510)</f>
        <v/>
      </c>
      <c r="T511">
        <f>IF(AND(ISNUMBER('자료_거시'!$D493),ISNUMBER('자료_거시'!$E493)),IFERROR('자료_거시'!$E493-INDEX($S$21:$S$4020,MATCH(EDATE('자료_거시'!$D493,-'설정'!$B$17),'자료_거시'!$D$3:INDEX('자료_거시'!$D$3:$D$4002,$K$6),1)),""),"")</f>
        <v/>
      </c>
      <c r="U511">
        <f>IF(ISNUMBER(T511),'자료_거시'!$D493,"")</f>
        <v/>
      </c>
      <c r="V511">
        <f>IF(ISNUMBER(U511),IF(U511&gt;$L$6,T511,""),"")</f>
        <v/>
      </c>
      <c r="W511">
        <f>IF(AND(ISNUMBER('자료_거시'!$G493),ISNUMBER('자료_거시'!$H493)),'자료_거시'!$H493,"")</f>
        <v/>
      </c>
      <c r="X511">
        <f>IF(ISNUMBER(W511),'자료_거시'!$G493,"")</f>
        <v/>
      </c>
      <c r="Y511">
        <f>IF(ISNUMBER(X511),IF(X511&gt;$L$7,W511,""),"")</f>
        <v/>
      </c>
      <c r="Z511">
        <f>IF(ISNUMBER('자료_거시'!$K493),'자료_거시'!$K493,Z510)</f>
        <v/>
      </c>
      <c r="AA511">
        <f>IF(AND(ISNUMBER('자료_거시'!$J493),ISNUMBER('자료_거시'!$K493)),IFERROR('자료_거시'!$K493/INDEX($Z$21:$Z$4020,MATCH(EDATE('자료_거시'!$J493,-'설정'!$B$17),'자료_거시'!$J$3:INDEX('자료_거시'!$J$3:$J$4002,$K$8),1))-1,""),"")</f>
        <v/>
      </c>
      <c r="AB511">
        <f>IF(ISNUMBER(AA511),'자료_거시'!$J493,"")</f>
        <v/>
      </c>
      <c r="AC511">
        <f>IF(ISNUMBER(AB511),IF(AB511&gt;$L$8,AA511,""),"")</f>
        <v/>
      </c>
      <c r="AD511">
        <f>IF(AND(ISNUMBER('자료_거시'!$M493),ISNUMBER('자료_거시'!$N493)),1,0)</f>
        <v/>
      </c>
      <c r="AE511">
        <f>IF(AND(ISNUMBER('자료_거시'!$M493),ISNUMBER('자료_거시'!$N493)),IF(AND(SUMIFS($AD$21:$AD$620,'자료_거시'!$M$3:$M$602,"&gt;"&amp;EDATE('자료_거시'!$M493,-'설정'!$B$17),'자료_거시'!$M$3:$M$602,"&lt;="&amp;'자료_거시'!$M493)=3,SUMIFS($AD$21:$AD$620,'자료_거시'!$M$3:$M$602,"&gt;"&amp;EDATE('자료_거시'!$M493,-12-'설정'!$B$17),'자료_거시'!$M$3:$M$602,"&lt;="&amp;EDATE('자료_거시'!$M493,-12))=3),IFERROR(SUMIFS('자료_거시'!$N$3:$N$602,'자료_거시'!$M$3:$M$602,"&gt;"&amp;EDATE('자료_거시'!$M493,-'설정'!$B$17),'자료_거시'!$M$3:$M$602,"&lt;="&amp;'자료_거시'!$M493)/SUMIFS('자료_거시'!$N$3:$N$602,'자료_거시'!$M$3:$M$602,"&gt;"&amp;EDATE('자료_거시'!$M493,-12-'설정'!$B$17),'자료_거시'!$M$3:$M$602,"&lt;="&amp;EDATE('자료_거시'!$M493,-12))-1,""),""),"")</f>
        <v/>
      </c>
      <c r="AF511">
        <f>IF(ISNUMBER(AE511),'자료_거시'!$M493,"")</f>
        <v/>
      </c>
      <c r="AG511">
        <f>IF(ISNUMBER(AF511),IF(AF511&gt;$L$9,AE511,""),"")</f>
        <v/>
      </c>
    </row>
    <row r="512">
      <c r="P512">
        <f>IF(AND(ISNUMBER('자료_거시'!$A494),ISNUMBER('자료_거시'!$B494)),'자료_거시'!$B494,"")</f>
        <v/>
      </c>
      <c r="Q512">
        <f>IF(ISNUMBER(P512),'자료_거시'!$A494,"")</f>
        <v/>
      </c>
      <c r="R512">
        <f>IF(ISNUMBER(Q512),IF(Q512&gt;$L$5,P512,""),"")</f>
        <v/>
      </c>
      <c r="S512">
        <f>IF(ISNUMBER('자료_거시'!$E494),'자료_거시'!$E494,S511)</f>
        <v/>
      </c>
      <c r="T512">
        <f>IF(AND(ISNUMBER('자료_거시'!$D494),ISNUMBER('자료_거시'!$E494)),IFERROR('자료_거시'!$E494-INDEX($S$21:$S$4020,MATCH(EDATE('자료_거시'!$D494,-'설정'!$B$17),'자료_거시'!$D$3:INDEX('자료_거시'!$D$3:$D$4002,$K$6),1)),""),"")</f>
        <v/>
      </c>
      <c r="U512">
        <f>IF(ISNUMBER(T512),'자료_거시'!$D494,"")</f>
        <v/>
      </c>
      <c r="V512">
        <f>IF(ISNUMBER(U512),IF(U512&gt;$L$6,T512,""),"")</f>
        <v/>
      </c>
      <c r="W512">
        <f>IF(AND(ISNUMBER('자료_거시'!$G494),ISNUMBER('자료_거시'!$H494)),'자료_거시'!$H494,"")</f>
        <v/>
      </c>
      <c r="X512">
        <f>IF(ISNUMBER(W512),'자료_거시'!$G494,"")</f>
        <v/>
      </c>
      <c r="Y512">
        <f>IF(ISNUMBER(X512),IF(X512&gt;$L$7,W512,""),"")</f>
        <v/>
      </c>
      <c r="Z512">
        <f>IF(ISNUMBER('자료_거시'!$K494),'자료_거시'!$K494,Z511)</f>
        <v/>
      </c>
      <c r="AA512">
        <f>IF(AND(ISNUMBER('자료_거시'!$J494),ISNUMBER('자료_거시'!$K494)),IFERROR('자료_거시'!$K494/INDEX($Z$21:$Z$4020,MATCH(EDATE('자료_거시'!$J494,-'설정'!$B$17),'자료_거시'!$J$3:INDEX('자료_거시'!$J$3:$J$4002,$K$8),1))-1,""),"")</f>
        <v/>
      </c>
      <c r="AB512">
        <f>IF(ISNUMBER(AA512),'자료_거시'!$J494,"")</f>
        <v/>
      </c>
      <c r="AC512">
        <f>IF(ISNUMBER(AB512),IF(AB512&gt;$L$8,AA512,""),"")</f>
        <v/>
      </c>
      <c r="AD512">
        <f>IF(AND(ISNUMBER('자료_거시'!$M494),ISNUMBER('자료_거시'!$N494)),1,0)</f>
        <v/>
      </c>
      <c r="AE512">
        <f>IF(AND(ISNUMBER('자료_거시'!$M494),ISNUMBER('자료_거시'!$N494)),IF(AND(SUMIFS($AD$21:$AD$620,'자료_거시'!$M$3:$M$602,"&gt;"&amp;EDATE('자료_거시'!$M494,-'설정'!$B$17),'자료_거시'!$M$3:$M$602,"&lt;="&amp;'자료_거시'!$M494)=3,SUMIFS($AD$21:$AD$620,'자료_거시'!$M$3:$M$602,"&gt;"&amp;EDATE('자료_거시'!$M494,-12-'설정'!$B$17),'자료_거시'!$M$3:$M$602,"&lt;="&amp;EDATE('자료_거시'!$M494,-12))=3),IFERROR(SUMIFS('자료_거시'!$N$3:$N$602,'자료_거시'!$M$3:$M$602,"&gt;"&amp;EDATE('자료_거시'!$M494,-'설정'!$B$17),'자료_거시'!$M$3:$M$602,"&lt;="&amp;'자료_거시'!$M494)/SUMIFS('자료_거시'!$N$3:$N$602,'자료_거시'!$M$3:$M$602,"&gt;"&amp;EDATE('자료_거시'!$M494,-12-'설정'!$B$17),'자료_거시'!$M$3:$M$602,"&lt;="&amp;EDATE('자료_거시'!$M494,-12))-1,""),""),"")</f>
        <v/>
      </c>
      <c r="AF512">
        <f>IF(ISNUMBER(AE512),'자료_거시'!$M494,"")</f>
        <v/>
      </c>
      <c r="AG512">
        <f>IF(ISNUMBER(AF512),IF(AF512&gt;$L$9,AE512,""),"")</f>
        <v/>
      </c>
    </row>
    <row r="513">
      <c r="P513">
        <f>IF(AND(ISNUMBER('자료_거시'!$A495),ISNUMBER('자료_거시'!$B495)),'자료_거시'!$B495,"")</f>
        <v/>
      </c>
      <c r="Q513">
        <f>IF(ISNUMBER(P513),'자료_거시'!$A495,"")</f>
        <v/>
      </c>
      <c r="R513">
        <f>IF(ISNUMBER(Q513),IF(Q513&gt;$L$5,P513,""),"")</f>
        <v/>
      </c>
      <c r="S513">
        <f>IF(ISNUMBER('자료_거시'!$E495),'자료_거시'!$E495,S512)</f>
        <v/>
      </c>
      <c r="T513">
        <f>IF(AND(ISNUMBER('자료_거시'!$D495),ISNUMBER('자료_거시'!$E495)),IFERROR('자료_거시'!$E495-INDEX($S$21:$S$4020,MATCH(EDATE('자료_거시'!$D495,-'설정'!$B$17),'자료_거시'!$D$3:INDEX('자료_거시'!$D$3:$D$4002,$K$6),1)),""),"")</f>
        <v/>
      </c>
      <c r="U513">
        <f>IF(ISNUMBER(T513),'자료_거시'!$D495,"")</f>
        <v/>
      </c>
      <c r="V513">
        <f>IF(ISNUMBER(U513),IF(U513&gt;$L$6,T513,""),"")</f>
        <v/>
      </c>
      <c r="W513">
        <f>IF(AND(ISNUMBER('자료_거시'!$G495),ISNUMBER('자료_거시'!$H495)),'자료_거시'!$H495,"")</f>
        <v/>
      </c>
      <c r="X513">
        <f>IF(ISNUMBER(W513),'자료_거시'!$G495,"")</f>
        <v/>
      </c>
      <c r="Y513">
        <f>IF(ISNUMBER(X513),IF(X513&gt;$L$7,W513,""),"")</f>
        <v/>
      </c>
      <c r="Z513">
        <f>IF(ISNUMBER('자료_거시'!$K495),'자료_거시'!$K495,Z512)</f>
        <v/>
      </c>
      <c r="AA513">
        <f>IF(AND(ISNUMBER('자료_거시'!$J495),ISNUMBER('자료_거시'!$K495)),IFERROR('자료_거시'!$K495/INDEX($Z$21:$Z$4020,MATCH(EDATE('자료_거시'!$J495,-'설정'!$B$17),'자료_거시'!$J$3:INDEX('자료_거시'!$J$3:$J$4002,$K$8),1))-1,""),"")</f>
        <v/>
      </c>
      <c r="AB513">
        <f>IF(ISNUMBER(AA513),'자료_거시'!$J495,"")</f>
        <v/>
      </c>
      <c r="AC513">
        <f>IF(ISNUMBER(AB513),IF(AB513&gt;$L$8,AA513,""),"")</f>
        <v/>
      </c>
      <c r="AD513">
        <f>IF(AND(ISNUMBER('자료_거시'!$M495),ISNUMBER('자료_거시'!$N495)),1,0)</f>
        <v/>
      </c>
      <c r="AE513">
        <f>IF(AND(ISNUMBER('자료_거시'!$M495),ISNUMBER('자료_거시'!$N495)),IF(AND(SUMIFS($AD$21:$AD$620,'자료_거시'!$M$3:$M$602,"&gt;"&amp;EDATE('자료_거시'!$M495,-'설정'!$B$17),'자료_거시'!$M$3:$M$602,"&lt;="&amp;'자료_거시'!$M495)=3,SUMIFS($AD$21:$AD$620,'자료_거시'!$M$3:$M$602,"&gt;"&amp;EDATE('자료_거시'!$M495,-12-'설정'!$B$17),'자료_거시'!$M$3:$M$602,"&lt;="&amp;EDATE('자료_거시'!$M495,-12))=3),IFERROR(SUMIFS('자료_거시'!$N$3:$N$602,'자료_거시'!$M$3:$M$602,"&gt;"&amp;EDATE('자료_거시'!$M495,-'설정'!$B$17),'자료_거시'!$M$3:$M$602,"&lt;="&amp;'자료_거시'!$M495)/SUMIFS('자료_거시'!$N$3:$N$602,'자료_거시'!$M$3:$M$602,"&gt;"&amp;EDATE('자료_거시'!$M495,-12-'설정'!$B$17),'자료_거시'!$M$3:$M$602,"&lt;="&amp;EDATE('자료_거시'!$M495,-12))-1,""),""),"")</f>
        <v/>
      </c>
      <c r="AF513">
        <f>IF(ISNUMBER(AE513),'자료_거시'!$M495,"")</f>
        <v/>
      </c>
      <c r="AG513">
        <f>IF(ISNUMBER(AF513),IF(AF513&gt;$L$9,AE513,""),"")</f>
        <v/>
      </c>
    </row>
    <row r="514">
      <c r="P514">
        <f>IF(AND(ISNUMBER('자료_거시'!$A496),ISNUMBER('자료_거시'!$B496)),'자료_거시'!$B496,"")</f>
        <v/>
      </c>
      <c r="Q514">
        <f>IF(ISNUMBER(P514),'자료_거시'!$A496,"")</f>
        <v/>
      </c>
      <c r="R514">
        <f>IF(ISNUMBER(Q514),IF(Q514&gt;$L$5,P514,""),"")</f>
        <v/>
      </c>
      <c r="S514">
        <f>IF(ISNUMBER('자료_거시'!$E496),'자료_거시'!$E496,S513)</f>
        <v/>
      </c>
      <c r="T514">
        <f>IF(AND(ISNUMBER('자료_거시'!$D496),ISNUMBER('자료_거시'!$E496)),IFERROR('자료_거시'!$E496-INDEX($S$21:$S$4020,MATCH(EDATE('자료_거시'!$D496,-'설정'!$B$17),'자료_거시'!$D$3:INDEX('자료_거시'!$D$3:$D$4002,$K$6),1)),""),"")</f>
        <v/>
      </c>
      <c r="U514">
        <f>IF(ISNUMBER(T514),'자료_거시'!$D496,"")</f>
        <v/>
      </c>
      <c r="V514">
        <f>IF(ISNUMBER(U514),IF(U514&gt;$L$6,T514,""),"")</f>
        <v/>
      </c>
      <c r="W514">
        <f>IF(AND(ISNUMBER('자료_거시'!$G496),ISNUMBER('자료_거시'!$H496)),'자료_거시'!$H496,"")</f>
        <v/>
      </c>
      <c r="X514">
        <f>IF(ISNUMBER(W514),'자료_거시'!$G496,"")</f>
        <v/>
      </c>
      <c r="Y514">
        <f>IF(ISNUMBER(X514),IF(X514&gt;$L$7,W514,""),"")</f>
        <v/>
      </c>
      <c r="Z514">
        <f>IF(ISNUMBER('자료_거시'!$K496),'자료_거시'!$K496,Z513)</f>
        <v/>
      </c>
      <c r="AA514">
        <f>IF(AND(ISNUMBER('자료_거시'!$J496),ISNUMBER('자료_거시'!$K496)),IFERROR('자료_거시'!$K496/INDEX($Z$21:$Z$4020,MATCH(EDATE('자료_거시'!$J496,-'설정'!$B$17),'자료_거시'!$J$3:INDEX('자료_거시'!$J$3:$J$4002,$K$8),1))-1,""),"")</f>
        <v/>
      </c>
      <c r="AB514">
        <f>IF(ISNUMBER(AA514),'자료_거시'!$J496,"")</f>
        <v/>
      </c>
      <c r="AC514">
        <f>IF(ISNUMBER(AB514),IF(AB514&gt;$L$8,AA514,""),"")</f>
        <v/>
      </c>
      <c r="AD514">
        <f>IF(AND(ISNUMBER('자료_거시'!$M496),ISNUMBER('자료_거시'!$N496)),1,0)</f>
        <v/>
      </c>
      <c r="AE514">
        <f>IF(AND(ISNUMBER('자료_거시'!$M496),ISNUMBER('자료_거시'!$N496)),IF(AND(SUMIFS($AD$21:$AD$620,'자료_거시'!$M$3:$M$602,"&gt;"&amp;EDATE('자료_거시'!$M496,-'설정'!$B$17),'자료_거시'!$M$3:$M$602,"&lt;="&amp;'자료_거시'!$M496)=3,SUMIFS($AD$21:$AD$620,'자료_거시'!$M$3:$M$602,"&gt;"&amp;EDATE('자료_거시'!$M496,-12-'설정'!$B$17),'자료_거시'!$M$3:$M$602,"&lt;="&amp;EDATE('자료_거시'!$M496,-12))=3),IFERROR(SUMIFS('자료_거시'!$N$3:$N$602,'자료_거시'!$M$3:$M$602,"&gt;"&amp;EDATE('자료_거시'!$M496,-'설정'!$B$17),'자료_거시'!$M$3:$M$602,"&lt;="&amp;'자료_거시'!$M496)/SUMIFS('자료_거시'!$N$3:$N$602,'자료_거시'!$M$3:$M$602,"&gt;"&amp;EDATE('자료_거시'!$M496,-12-'설정'!$B$17),'자료_거시'!$M$3:$M$602,"&lt;="&amp;EDATE('자료_거시'!$M496,-12))-1,""),""),"")</f>
        <v/>
      </c>
      <c r="AF514">
        <f>IF(ISNUMBER(AE514),'자료_거시'!$M496,"")</f>
        <v/>
      </c>
      <c r="AG514">
        <f>IF(ISNUMBER(AF514),IF(AF514&gt;$L$9,AE514,""),"")</f>
        <v/>
      </c>
    </row>
    <row r="515">
      <c r="P515">
        <f>IF(AND(ISNUMBER('자료_거시'!$A497),ISNUMBER('자료_거시'!$B497)),'자료_거시'!$B497,"")</f>
        <v/>
      </c>
      <c r="Q515">
        <f>IF(ISNUMBER(P515),'자료_거시'!$A497,"")</f>
        <v/>
      </c>
      <c r="R515">
        <f>IF(ISNUMBER(Q515),IF(Q515&gt;$L$5,P515,""),"")</f>
        <v/>
      </c>
      <c r="S515">
        <f>IF(ISNUMBER('자료_거시'!$E497),'자료_거시'!$E497,S514)</f>
        <v/>
      </c>
      <c r="T515">
        <f>IF(AND(ISNUMBER('자료_거시'!$D497),ISNUMBER('자료_거시'!$E497)),IFERROR('자료_거시'!$E497-INDEX($S$21:$S$4020,MATCH(EDATE('자료_거시'!$D497,-'설정'!$B$17),'자료_거시'!$D$3:INDEX('자료_거시'!$D$3:$D$4002,$K$6),1)),""),"")</f>
        <v/>
      </c>
      <c r="U515">
        <f>IF(ISNUMBER(T515),'자료_거시'!$D497,"")</f>
        <v/>
      </c>
      <c r="V515">
        <f>IF(ISNUMBER(U515),IF(U515&gt;$L$6,T515,""),"")</f>
        <v/>
      </c>
      <c r="W515">
        <f>IF(AND(ISNUMBER('자료_거시'!$G497),ISNUMBER('자료_거시'!$H497)),'자료_거시'!$H497,"")</f>
        <v/>
      </c>
      <c r="X515">
        <f>IF(ISNUMBER(W515),'자료_거시'!$G497,"")</f>
        <v/>
      </c>
      <c r="Y515">
        <f>IF(ISNUMBER(X515),IF(X515&gt;$L$7,W515,""),"")</f>
        <v/>
      </c>
      <c r="Z515">
        <f>IF(ISNUMBER('자료_거시'!$K497),'자료_거시'!$K497,Z514)</f>
        <v/>
      </c>
      <c r="AA515">
        <f>IF(AND(ISNUMBER('자료_거시'!$J497),ISNUMBER('자료_거시'!$K497)),IFERROR('자료_거시'!$K497/INDEX($Z$21:$Z$4020,MATCH(EDATE('자료_거시'!$J497,-'설정'!$B$17),'자료_거시'!$J$3:INDEX('자료_거시'!$J$3:$J$4002,$K$8),1))-1,""),"")</f>
        <v/>
      </c>
      <c r="AB515">
        <f>IF(ISNUMBER(AA515),'자료_거시'!$J497,"")</f>
        <v/>
      </c>
      <c r="AC515">
        <f>IF(ISNUMBER(AB515),IF(AB515&gt;$L$8,AA515,""),"")</f>
        <v/>
      </c>
      <c r="AD515">
        <f>IF(AND(ISNUMBER('자료_거시'!$M497),ISNUMBER('자료_거시'!$N497)),1,0)</f>
        <v/>
      </c>
      <c r="AE515">
        <f>IF(AND(ISNUMBER('자료_거시'!$M497),ISNUMBER('자료_거시'!$N497)),IF(AND(SUMIFS($AD$21:$AD$620,'자료_거시'!$M$3:$M$602,"&gt;"&amp;EDATE('자료_거시'!$M497,-'설정'!$B$17),'자료_거시'!$M$3:$M$602,"&lt;="&amp;'자료_거시'!$M497)=3,SUMIFS($AD$21:$AD$620,'자료_거시'!$M$3:$M$602,"&gt;"&amp;EDATE('자료_거시'!$M497,-12-'설정'!$B$17),'자료_거시'!$M$3:$M$602,"&lt;="&amp;EDATE('자료_거시'!$M497,-12))=3),IFERROR(SUMIFS('자료_거시'!$N$3:$N$602,'자료_거시'!$M$3:$M$602,"&gt;"&amp;EDATE('자료_거시'!$M497,-'설정'!$B$17),'자료_거시'!$M$3:$M$602,"&lt;="&amp;'자료_거시'!$M497)/SUMIFS('자료_거시'!$N$3:$N$602,'자료_거시'!$M$3:$M$602,"&gt;"&amp;EDATE('자료_거시'!$M497,-12-'설정'!$B$17),'자료_거시'!$M$3:$M$602,"&lt;="&amp;EDATE('자료_거시'!$M497,-12))-1,""),""),"")</f>
        <v/>
      </c>
      <c r="AF515">
        <f>IF(ISNUMBER(AE515),'자료_거시'!$M497,"")</f>
        <v/>
      </c>
      <c r="AG515">
        <f>IF(ISNUMBER(AF515),IF(AF515&gt;$L$9,AE515,""),"")</f>
        <v/>
      </c>
    </row>
    <row r="516">
      <c r="P516">
        <f>IF(AND(ISNUMBER('자료_거시'!$A498),ISNUMBER('자료_거시'!$B498)),'자료_거시'!$B498,"")</f>
        <v/>
      </c>
      <c r="Q516">
        <f>IF(ISNUMBER(P516),'자료_거시'!$A498,"")</f>
        <v/>
      </c>
      <c r="R516">
        <f>IF(ISNUMBER(Q516),IF(Q516&gt;$L$5,P516,""),"")</f>
        <v/>
      </c>
      <c r="S516">
        <f>IF(ISNUMBER('자료_거시'!$E498),'자료_거시'!$E498,S515)</f>
        <v/>
      </c>
      <c r="T516">
        <f>IF(AND(ISNUMBER('자료_거시'!$D498),ISNUMBER('자료_거시'!$E498)),IFERROR('자료_거시'!$E498-INDEX($S$21:$S$4020,MATCH(EDATE('자료_거시'!$D498,-'설정'!$B$17),'자료_거시'!$D$3:INDEX('자료_거시'!$D$3:$D$4002,$K$6),1)),""),"")</f>
        <v/>
      </c>
      <c r="U516">
        <f>IF(ISNUMBER(T516),'자료_거시'!$D498,"")</f>
        <v/>
      </c>
      <c r="V516">
        <f>IF(ISNUMBER(U516),IF(U516&gt;$L$6,T516,""),"")</f>
        <v/>
      </c>
      <c r="W516">
        <f>IF(AND(ISNUMBER('자료_거시'!$G498),ISNUMBER('자료_거시'!$H498)),'자료_거시'!$H498,"")</f>
        <v/>
      </c>
      <c r="X516">
        <f>IF(ISNUMBER(W516),'자료_거시'!$G498,"")</f>
        <v/>
      </c>
      <c r="Y516">
        <f>IF(ISNUMBER(X516),IF(X516&gt;$L$7,W516,""),"")</f>
        <v/>
      </c>
      <c r="Z516">
        <f>IF(ISNUMBER('자료_거시'!$K498),'자료_거시'!$K498,Z515)</f>
        <v/>
      </c>
      <c r="AA516">
        <f>IF(AND(ISNUMBER('자료_거시'!$J498),ISNUMBER('자료_거시'!$K498)),IFERROR('자료_거시'!$K498/INDEX($Z$21:$Z$4020,MATCH(EDATE('자료_거시'!$J498,-'설정'!$B$17),'자료_거시'!$J$3:INDEX('자료_거시'!$J$3:$J$4002,$K$8),1))-1,""),"")</f>
        <v/>
      </c>
      <c r="AB516">
        <f>IF(ISNUMBER(AA516),'자료_거시'!$J498,"")</f>
        <v/>
      </c>
      <c r="AC516">
        <f>IF(ISNUMBER(AB516),IF(AB516&gt;$L$8,AA516,""),"")</f>
        <v/>
      </c>
      <c r="AD516">
        <f>IF(AND(ISNUMBER('자료_거시'!$M498),ISNUMBER('자료_거시'!$N498)),1,0)</f>
        <v/>
      </c>
      <c r="AE516">
        <f>IF(AND(ISNUMBER('자료_거시'!$M498),ISNUMBER('자료_거시'!$N498)),IF(AND(SUMIFS($AD$21:$AD$620,'자료_거시'!$M$3:$M$602,"&gt;"&amp;EDATE('자료_거시'!$M498,-'설정'!$B$17),'자료_거시'!$M$3:$M$602,"&lt;="&amp;'자료_거시'!$M498)=3,SUMIFS($AD$21:$AD$620,'자료_거시'!$M$3:$M$602,"&gt;"&amp;EDATE('자료_거시'!$M498,-12-'설정'!$B$17),'자료_거시'!$M$3:$M$602,"&lt;="&amp;EDATE('자료_거시'!$M498,-12))=3),IFERROR(SUMIFS('자료_거시'!$N$3:$N$602,'자료_거시'!$M$3:$M$602,"&gt;"&amp;EDATE('자료_거시'!$M498,-'설정'!$B$17),'자료_거시'!$M$3:$M$602,"&lt;="&amp;'자료_거시'!$M498)/SUMIFS('자료_거시'!$N$3:$N$602,'자료_거시'!$M$3:$M$602,"&gt;"&amp;EDATE('자료_거시'!$M498,-12-'설정'!$B$17),'자료_거시'!$M$3:$M$602,"&lt;="&amp;EDATE('자료_거시'!$M498,-12))-1,""),""),"")</f>
        <v/>
      </c>
      <c r="AF516">
        <f>IF(ISNUMBER(AE516),'자료_거시'!$M498,"")</f>
        <v/>
      </c>
      <c r="AG516">
        <f>IF(ISNUMBER(AF516),IF(AF516&gt;$L$9,AE516,""),"")</f>
        <v/>
      </c>
    </row>
    <row r="517">
      <c r="P517">
        <f>IF(AND(ISNUMBER('자료_거시'!$A499),ISNUMBER('자료_거시'!$B499)),'자료_거시'!$B499,"")</f>
        <v/>
      </c>
      <c r="Q517">
        <f>IF(ISNUMBER(P517),'자료_거시'!$A499,"")</f>
        <v/>
      </c>
      <c r="R517">
        <f>IF(ISNUMBER(Q517),IF(Q517&gt;$L$5,P517,""),"")</f>
        <v/>
      </c>
      <c r="S517">
        <f>IF(ISNUMBER('자료_거시'!$E499),'자료_거시'!$E499,S516)</f>
        <v/>
      </c>
      <c r="T517">
        <f>IF(AND(ISNUMBER('자료_거시'!$D499),ISNUMBER('자료_거시'!$E499)),IFERROR('자료_거시'!$E499-INDEX($S$21:$S$4020,MATCH(EDATE('자료_거시'!$D499,-'설정'!$B$17),'자료_거시'!$D$3:INDEX('자료_거시'!$D$3:$D$4002,$K$6),1)),""),"")</f>
        <v/>
      </c>
      <c r="U517">
        <f>IF(ISNUMBER(T517),'자료_거시'!$D499,"")</f>
        <v/>
      </c>
      <c r="V517">
        <f>IF(ISNUMBER(U517),IF(U517&gt;$L$6,T517,""),"")</f>
        <v/>
      </c>
      <c r="W517">
        <f>IF(AND(ISNUMBER('자료_거시'!$G499),ISNUMBER('자료_거시'!$H499)),'자료_거시'!$H499,"")</f>
        <v/>
      </c>
      <c r="X517">
        <f>IF(ISNUMBER(W517),'자료_거시'!$G499,"")</f>
        <v/>
      </c>
      <c r="Y517">
        <f>IF(ISNUMBER(X517),IF(X517&gt;$L$7,W517,""),"")</f>
        <v/>
      </c>
      <c r="Z517">
        <f>IF(ISNUMBER('자료_거시'!$K499),'자료_거시'!$K499,Z516)</f>
        <v/>
      </c>
      <c r="AA517">
        <f>IF(AND(ISNUMBER('자료_거시'!$J499),ISNUMBER('자료_거시'!$K499)),IFERROR('자료_거시'!$K499/INDEX($Z$21:$Z$4020,MATCH(EDATE('자료_거시'!$J499,-'설정'!$B$17),'자료_거시'!$J$3:INDEX('자료_거시'!$J$3:$J$4002,$K$8),1))-1,""),"")</f>
        <v/>
      </c>
      <c r="AB517">
        <f>IF(ISNUMBER(AA517),'자료_거시'!$J499,"")</f>
        <v/>
      </c>
      <c r="AC517">
        <f>IF(ISNUMBER(AB517),IF(AB517&gt;$L$8,AA517,""),"")</f>
        <v/>
      </c>
      <c r="AD517">
        <f>IF(AND(ISNUMBER('자료_거시'!$M499),ISNUMBER('자료_거시'!$N499)),1,0)</f>
        <v/>
      </c>
      <c r="AE517">
        <f>IF(AND(ISNUMBER('자료_거시'!$M499),ISNUMBER('자료_거시'!$N499)),IF(AND(SUMIFS($AD$21:$AD$620,'자료_거시'!$M$3:$M$602,"&gt;"&amp;EDATE('자료_거시'!$M499,-'설정'!$B$17),'자료_거시'!$M$3:$M$602,"&lt;="&amp;'자료_거시'!$M499)=3,SUMIFS($AD$21:$AD$620,'자료_거시'!$M$3:$M$602,"&gt;"&amp;EDATE('자료_거시'!$M499,-12-'설정'!$B$17),'자료_거시'!$M$3:$M$602,"&lt;="&amp;EDATE('자료_거시'!$M499,-12))=3),IFERROR(SUMIFS('자료_거시'!$N$3:$N$602,'자료_거시'!$M$3:$M$602,"&gt;"&amp;EDATE('자료_거시'!$M499,-'설정'!$B$17),'자료_거시'!$M$3:$M$602,"&lt;="&amp;'자료_거시'!$M499)/SUMIFS('자료_거시'!$N$3:$N$602,'자료_거시'!$M$3:$M$602,"&gt;"&amp;EDATE('자료_거시'!$M499,-12-'설정'!$B$17),'자료_거시'!$M$3:$M$602,"&lt;="&amp;EDATE('자료_거시'!$M499,-12))-1,""),""),"")</f>
        <v/>
      </c>
      <c r="AF517">
        <f>IF(ISNUMBER(AE517),'자료_거시'!$M499,"")</f>
        <v/>
      </c>
      <c r="AG517">
        <f>IF(ISNUMBER(AF517),IF(AF517&gt;$L$9,AE517,""),"")</f>
        <v/>
      </c>
    </row>
    <row r="518">
      <c r="P518">
        <f>IF(AND(ISNUMBER('자료_거시'!$A500),ISNUMBER('자료_거시'!$B500)),'자료_거시'!$B500,"")</f>
        <v/>
      </c>
      <c r="Q518">
        <f>IF(ISNUMBER(P518),'자료_거시'!$A500,"")</f>
        <v/>
      </c>
      <c r="R518">
        <f>IF(ISNUMBER(Q518),IF(Q518&gt;$L$5,P518,""),"")</f>
        <v/>
      </c>
      <c r="S518">
        <f>IF(ISNUMBER('자료_거시'!$E500),'자료_거시'!$E500,S517)</f>
        <v/>
      </c>
      <c r="T518">
        <f>IF(AND(ISNUMBER('자료_거시'!$D500),ISNUMBER('자료_거시'!$E500)),IFERROR('자료_거시'!$E500-INDEX($S$21:$S$4020,MATCH(EDATE('자료_거시'!$D500,-'설정'!$B$17),'자료_거시'!$D$3:INDEX('자료_거시'!$D$3:$D$4002,$K$6),1)),""),"")</f>
        <v/>
      </c>
      <c r="U518">
        <f>IF(ISNUMBER(T518),'자료_거시'!$D500,"")</f>
        <v/>
      </c>
      <c r="V518">
        <f>IF(ISNUMBER(U518),IF(U518&gt;$L$6,T518,""),"")</f>
        <v/>
      </c>
      <c r="W518">
        <f>IF(AND(ISNUMBER('자료_거시'!$G500),ISNUMBER('자료_거시'!$H500)),'자료_거시'!$H500,"")</f>
        <v/>
      </c>
      <c r="X518">
        <f>IF(ISNUMBER(W518),'자료_거시'!$G500,"")</f>
        <v/>
      </c>
      <c r="Y518">
        <f>IF(ISNUMBER(X518),IF(X518&gt;$L$7,W518,""),"")</f>
        <v/>
      </c>
      <c r="Z518">
        <f>IF(ISNUMBER('자료_거시'!$K500),'자료_거시'!$K500,Z517)</f>
        <v/>
      </c>
      <c r="AA518">
        <f>IF(AND(ISNUMBER('자료_거시'!$J500),ISNUMBER('자료_거시'!$K500)),IFERROR('자료_거시'!$K500/INDEX($Z$21:$Z$4020,MATCH(EDATE('자료_거시'!$J500,-'설정'!$B$17),'자료_거시'!$J$3:INDEX('자료_거시'!$J$3:$J$4002,$K$8),1))-1,""),"")</f>
        <v/>
      </c>
      <c r="AB518">
        <f>IF(ISNUMBER(AA518),'자료_거시'!$J500,"")</f>
        <v/>
      </c>
      <c r="AC518">
        <f>IF(ISNUMBER(AB518),IF(AB518&gt;$L$8,AA518,""),"")</f>
        <v/>
      </c>
      <c r="AD518">
        <f>IF(AND(ISNUMBER('자료_거시'!$M500),ISNUMBER('자료_거시'!$N500)),1,0)</f>
        <v/>
      </c>
      <c r="AE518">
        <f>IF(AND(ISNUMBER('자료_거시'!$M500),ISNUMBER('자료_거시'!$N500)),IF(AND(SUMIFS($AD$21:$AD$620,'자료_거시'!$M$3:$M$602,"&gt;"&amp;EDATE('자료_거시'!$M500,-'설정'!$B$17),'자료_거시'!$M$3:$M$602,"&lt;="&amp;'자료_거시'!$M500)=3,SUMIFS($AD$21:$AD$620,'자료_거시'!$M$3:$M$602,"&gt;"&amp;EDATE('자료_거시'!$M500,-12-'설정'!$B$17),'자료_거시'!$M$3:$M$602,"&lt;="&amp;EDATE('자료_거시'!$M500,-12))=3),IFERROR(SUMIFS('자료_거시'!$N$3:$N$602,'자료_거시'!$M$3:$M$602,"&gt;"&amp;EDATE('자료_거시'!$M500,-'설정'!$B$17),'자료_거시'!$M$3:$M$602,"&lt;="&amp;'자료_거시'!$M500)/SUMIFS('자료_거시'!$N$3:$N$602,'자료_거시'!$M$3:$M$602,"&gt;"&amp;EDATE('자료_거시'!$M500,-12-'설정'!$B$17),'자료_거시'!$M$3:$M$602,"&lt;="&amp;EDATE('자료_거시'!$M500,-12))-1,""),""),"")</f>
        <v/>
      </c>
      <c r="AF518">
        <f>IF(ISNUMBER(AE518),'자료_거시'!$M500,"")</f>
        <v/>
      </c>
      <c r="AG518">
        <f>IF(ISNUMBER(AF518),IF(AF518&gt;$L$9,AE518,""),"")</f>
        <v/>
      </c>
    </row>
    <row r="519">
      <c r="P519">
        <f>IF(AND(ISNUMBER('자료_거시'!$A501),ISNUMBER('자료_거시'!$B501)),'자료_거시'!$B501,"")</f>
        <v/>
      </c>
      <c r="Q519">
        <f>IF(ISNUMBER(P519),'자료_거시'!$A501,"")</f>
        <v/>
      </c>
      <c r="R519">
        <f>IF(ISNUMBER(Q519),IF(Q519&gt;$L$5,P519,""),"")</f>
        <v/>
      </c>
      <c r="S519">
        <f>IF(ISNUMBER('자료_거시'!$E501),'자료_거시'!$E501,S518)</f>
        <v/>
      </c>
      <c r="T519">
        <f>IF(AND(ISNUMBER('자료_거시'!$D501),ISNUMBER('자료_거시'!$E501)),IFERROR('자료_거시'!$E501-INDEX($S$21:$S$4020,MATCH(EDATE('자료_거시'!$D501,-'설정'!$B$17),'자료_거시'!$D$3:INDEX('자료_거시'!$D$3:$D$4002,$K$6),1)),""),"")</f>
        <v/>
      </c>
      <c r="U519">
        <f>IF(ISNUMBER(T519),'자료_거시'!$D501,"")</f>
        <v/>
      </c>
      <c r="V519">
        <f>IF(ISNUMBER(U519),IF(U519&gt;$L$6,T519,""),"")</f>
        <v/>
      </c>
      <c r="W519">
        <f>IF(AND(ISNUMBER('자료_거시'!$G501),ISNUMBER('자료_거시'!$H501)),'자료_거시'!$H501,"")</f>
        <v/>
      </c>
      <c r="X519">
        <f>IF(ISNUMBER(W519),'자료_거시'!$G501,"")</f>
        <v/>
      </c>
      <c r="Y519">
        <f>IF(ISNUMBER(X519),IF(X519&gt;$L$7,W519,""),"")</f>
        <v/>
      </c>
      <c r="Z519">
        <f>IF(ISNUMBER('자료_거시'!$K501),'자료_거시'!$K501,Z518)</f>
        <v/>
      </c>
      <c r="AA519">
        <f>IF(AND(ISNUMBER('자료_거시'!$J501),ISNUMBER('자료_거시'!$K501)),IFERROR('자료_거시'!$K501/INDEX($Z$21:$Z$4020,MATCH(EDATE('자료_거시'!$J501,-'설정'!$B$17),'자료_거시'!$J$3:INDEX('자료_거시'!$J$3:$J$4002,$K$8),1))-1,""),"")</f>
        <v/>
      </c>
      <c r="AB519">
        <f>IF(ISNUMBER(AA519),'자료_거시'!$J501,"")</f>
        <v/>
      </c>
      <c r="AC519">
        <f>IF(ISNUMBER(AB519),IF(AB519&gt;$L$8,AA519,""),"")</f>
        <v/>
      </c>
      <c r="AD519">
        <f>IF(AND(ISNUMBER('자료_거시'!$M501),ISNUMBER('자료_거시'!$N501)),1,0)</f>
        <v/>
      </c>
      <c r="AE519">
        <f>IF(AND(ISNUMBER('자료_거시'!$M501),ISNUMBER('자료_거시'!$N501)),IF(AND(SUMIFS($AD$21:$AD$620,'자료_거시'!$M$3:$M$602,"&gt;"&amp;EDATE('자료_거시'!$M501,-'설정'!$B$17),'자료_거시'!$M$3:$M$602,"&lt;="&amp;'자료_거시'!$M501)=3,SUMIFS($AD$21:$AD$620,'자료_거시'!$M$3:$M$602,"&gt;"&amp;EDATE('자료_거시'!$M501,-12-'설정'!$B$17),'자료_거시'!$M$3:$M$602,"&lt;="&amp;EDATE('자료_거시'!$M501,-12))=3),IFERROR(SUMIFS('자료_거시'!$N$3:$N$602,'자료_거시'!$M$3:$M$602,"&gt;"&amp;EDATE('자료_거시'!$M501,-'설정'!$B$17),'자료_거시'!$M$3:$M$602,"&lt;="&amp;'자료_거시'!$M501)/SUMIFS('자료_거시'!$N$3:$N$602,'자료_거시'!$M$3:$M$602,"&gt;"&amp;EDATE('자료_거시'!$M501,-12-'설정'!$B$17),'자료_거시'!$M$3:$M$602,"&lt;="&amp;EDATE('자료_거시'!$M501,-12))-1,""),""),"")</f>
        <v/>
      </c>
      <c r="AF519">
        <f>IF(ISNUMBER(AE519),'자료_거시'!$M501,"")</f>
        <v/>
      </c>
      <c r="AG519">
        <f>IF(ISNUMBER(AF519),IF(AF519&gt;$L$9,AE519,""),"")</f>
        <v/>
      </c>
    </row>
    <row r="520">
      <c r="P520">
        <f>IF(AND(ISNUMBER('자료_거시'!$A502),ISNUMBER('자료_거시'!$B502)),'자료_거시'!$B502,"")</f>
        <v/>
      </c>
      <c r="Q520">
        <f>IF(ISNUMBER(P520),'자료_거시'!$A502,"")</f>
        <v/>
      </c>
      <c r="R520">
        <f>IF(ISNUMBER(Q520),IF(Q520&gt;$L$5,P520,""),"")</f>
        <v/>
      </c>
      <c r="S520">
        <f>IF(ISNUMBER('자료_거시'!$E502),'자료_거시'!$E502,S519)</f>
        <v/>
      </c>
      <c r="T520">
        <f>IF(AND(ISNUMBER('자료_거시'!$D502),ISNUMBER('자료_거시'!$E502)),IFERROR('자료_거시'!$E502-INDEX($S$21:$S$4020,MATCH(EDATE('자료_거시'!$D502,-'설정'!$B$17),'자료_거시'!$D$3:INDEX('자료_거시'!$D$3:$D$4002,$K$6),1)),""),"")</f>
        <v/>
      </c>
      <c r="U520">
        <f>IF(ISNUMBER(T520),'자료_거시'!$D502,"")</f>
        <v/>
      </c>
      <c r="V520">
        <f>IF(ISNUMBER(U520),IF(U520&gt;$L$6,T520,""),"")</f>
        <v/>
      </c>
      <c r="W520">
        <f>IF(AND(ISNUMBER('자료_거시'!$G502),ISNUMBER('자료_거시'!$H502)),'자료_거시'!$H502,"")</f>
        <v/>
      </c>
      <c r="X520">
        <f>IF(ISNUMBER(W520),'자료_거시'!$G502,"")</f>
        <v/>
      </c>
      <c r="Y520">
        <f>IF(ISNUMBER(X520),IF(X520&gt;$L$7,W520,""),"")</f>
        <v/>
      </c>
      <c r="Z520">
        <f>IF(ISNUMBER('자료_거시'!$K502),'자료_거시'!$K502,Z519)</f>
        <v/>
      </c>
      <c r="AA520">
        <f>IF(AND(ISNUMBER('자료_거시'!$J502),ISNUMBER('자료_거시'!$K502)),IFERROR('자료_거시'!$K502/INDEX($Z$21:$Z$4020,MATCH(EDATE('자료_거시'!$J502,-'설정'!$B$17),'자료_거시'!$J$3:INDEX('자료_거시'!$J$3:$J$4002,$K$8),1))-1,""),"")</f>
        <v/>
      </c>
      <c r="AB520">
        <f>IF(ISNUMBER(AA520),'자료_거시'!$J502,"")</f>
        <v/>
      </c>
      <c r="AC520">
        <f>IF(ISNUMBER(AB520),IF(AB520&gt;$L$8,AA520,""),"")</f>
        <v/>
      </c>
      <c r="AD520">
        <f>IF(AND(ISNUMBER('자료_거시'!$M502),ISNUMBER('자료_거시'!$N502)),1,0)</f>
        <v/>
      </c>
      <c r="AE520">
        <f>IF(AND(ISNUMBER('자료_거시'!$M502),ISNUMBER('자료_거시'!$N502)),IF(AND(SUMIFS($AD$21:$AD$620,'자료_거시'!$M$3:$M$602,"&gt;"&amp;EDATE('자료_거시'!$M502,-'설정'!$B$17),'자료_거시'!$M$3:$M$602,"&lt;="&amp;'자료_거시'!$M502)=3,SUMIFS($AD$21:$AD$620,'자료_거시'!$M$3:$M$602,"&gt;"&amp;EDATE('자료_거시'!$M502,-12-'설정'!$B$17),'자료_거시'!$M$3:$M$602,"&lt;="&amp;EDATE('자료_거시'!$M502,-12))=3),IFERROR(SUMIFS('자료_거시'!$N$3:$N$602,'자료_거시'!$M$3:$M$602,"&gt;"&amp;EDATE('자료_거시'!$M502,-'설정'!$B$17),'자료_거시'!$M$3:$M$602,"&lt;="&amp;'자료_거시'!$M502)/SUMIFS('자료_거시'!$N$3:$N$602,'자료_거시'!$M$3:$M$602,"&gt;"&amp;EDATE('자료_거시'!$M502,-12-'설정'!$B$17),'자료_거시'!$M$3:$M$602,"&lt;="&amp;EDATE('자료_거시'!$M502,-12))-1,""),""),"")</f>
        <v/>
      </c>
      <c r="AF520">
        <f>IF(ISNUMBER(AE520),'자료_거시'!$M502,"")</f>
        <v/>
      </c>
      <c r="AG520">
        <f>IF(ISNUMBER(AF520),IF(AF520&gt;$L$9,AE520,""),"")</f>
        <v/>
      </c>
    </row>
    <row r="521">
      <c r="P521">
        <f>IF(AND(ISNUMBER('자료_거시'!$A503),ISNUMBER('자료_거시'!$B503)),'자료_거시'!$B503,"")</f>
        <v/>
      </c>
      <c r="Q521">
        <f>IF(ISNUMBER(P521),'자료_거시'!$A503,"")</f>
        <v/>
      </c>
      <c r="R521">
        <f>IF(ISNUMBER(Q521),IF(Q521&gt;$L$5,P521,""),"")</f>
        <v/>
      </c>
      <c r="S521">
        <f>IF(ISNUMBER('자료_거시'!$E503),'자료_거시'!$E503,S520)</f>
        <v/>
      </c>
      <c r="T521">
        <f>IF(AND(ISNUMBER('자료_거시'!$D503),ISNUMBER('자료_거시'!$E503)),IFERROR('자료_거시'!$E503-INDEX($S$21:$S$4020,MATCH(EDATE('자료_거시'!$D503,-'설정'!$B$17),'자료_거시'!$D$3:INDEX('자료_거시'!$D$3:$D$4002,$K$6),1)),""),"")</f>
        <v/>
      </c>
      <c r="U521">
        <f>IF(ISNUMBER(T521),'자료_거시'!$D503,"")</f>
        <v/>
      </c>
      <c r="V521">
        <f>IF(ISNUMBER(U521),IF(U521&gt;$L$6,T521,""),"")</f>
        <v/>
      </c>
      <c r="W521">
        <f>IF(AND(ISNUMBER('자료_거시'!$G503),ISNUMBER('자료_거시'!$H503)),'자료_거시'!$H503,"")</f>
        <v/>
      </c>
      <c r="X521">
        <f>IF(ISNUMBER(W521),'자료_거시'!$G503,"")</f>
        <v/>
      </c>
      <c r="Y521">
        <f>IF(ISNUMBER(X521),IF(X521&gt;$L$7,W521,""),"")</f>
        <v/>
      </c>
      <c r="Z521">
        <f>IF(ISNUMBER('자료_거시'!$K503),'자료_거시'!$K503,Z520)</f>
        <v/>
      </c>
      <c r="AA521">
        <f>IF(AND(ISNUMBER('자료_거시'!$J503),ISNUMBER('자료_거시'!$K503)),IFERROR('자료_거시'!$K503/INDEX($Z$21:$Z$4020,MATCH(EDATE('자료_거시'!$J503,-'설정'!$B$17),'자료_거시'!$J$3:INDEX('자료_거시'!$J$3:$J$4002,$K$8),1))-1,""),"")</f>
        <v/>
      </c>
      <c r="AB521">
        <f>IF(ISNUMBER(AA521),'자료_거시'!$J503,"")</f>
        <v/>
      </c>
      <c r="AC521">
        <f>IF(ISNUMBER(AB521),IF(AB521&gt;$L$8,AA521,""),"")</f>
        <v/>
      </c>
      <c r="AD521">
        <f>IF(AND(ISNUMBER('자료_거시'!$M503),ISNUMBER('자료_거시'!$N503)),1,0)</f>
        <v/>
      </c>
      <c r="AE521">
        <f>IF(AND(ISNUMBER('자료_거시'!$M503),ISNUMBER('자료_거시'!$N503)),IF(AND(SUMIFS($AD$21:$AD$620,'자료_거시'!$M$3:$M$602,"&gt;"&amp;EDATE('자료_거시'!$M503,-'설정'!$B$17),'자료_거시'!$M$3:$M$602,"&lt;="&amp;'자료_거시'!$M503)=3,SUMIFS($AD$21:$AD$620,'자료_거시'!$M$3:$M$602,"&gt;"&amp;EDATE('자료_거시'!$M503,-12-'설정'!$B$17),'자료_거시'!$M$3:$M$602,"&lt;="&amp;EDATE('자료_거시'!$M503,-12))=3),IFERROR(SUMIFS('자료_거시'!$N$3:$N$602,'자료_거시'!$M$3:$M$602,"&gt;"&amp;EDATE('자료_거시'!$M503,-'설정'!$B$17),'자료_거시'!$M$3:$M$602,"&lt;="&amp;'자료_거시'!$M503)/SUMIFS('자료_거시'!$N$3:$N$602,'자료_거시'!$M$3:$M$602,"&gt;"&amp;EDATE('자료_거시'!$M503,-12-'설정'!$B$17),'자료_거시'!$M$3:$M$602,"&lt;="&amp;EDATE('자료_거시'!$M503,-12))-1,""),""),"")</f>
        <v/>
      </c>
      <c r="AF521">
        <f>IF(ISNUMBER(AE521),'자료_거시'!$M503,"")</f>
        <v/>
      </c>
      <c r="AG521">
        <f>IF(ISNUMBER(AF521),IF(AF521&gt;$L$9,AE521,""),"")</f>
        <v/>
      </c>
    </row>
    <row r="522">
      <c r="P522">
        <f>IF(AND(ISNUMBER('자료_거시'!$A504),ISNUMBER('자료_거시'!$B504)),'자료_거시'!$B504,"")</f>
        <v/>
      </c>
      <c r="Q522">
        <f>IF(ISNUMBER(P522),'자료_거시'!$A504,"")</f>
        <v/>
      </c>
      <c r="R522">
        <f>IF(ISNUMBER(Q522),IF(Q522&gt;$L$5,P522,""),"")</f>
        <v/>
      </c>
      <c r="S522">
        <f>IF(ISNUMBER('자료_거시'!$E504),'자료_거시'!$E504,S521)</f>
        <v/>
      </c>
      <c r="T522">
        <f>IF(AND(ISNUMBER('자료_거시'!$D504),ISNUMBER('자료_거시'!$E504)),IFERROR('자료_거시'!$E504-INDEX($S$21:$S$4020,MATCH(EDATE('자료_거시'!$D504,-'설정'!$B$17),'자료_거시'!$D$3:INDEX('자료_거시'!$D$3:$D$4002,$K$6),1)),""),"")</f>
        <v/>
      </c>
      <c r="U522">
        <f>IF(ISNUMBER(T522),'자료_거시'!$D504,"")</f>
        <v/>
      </c>
      <c r="V522">
        <f>IF(ISNUMBER(U522),IF(U522&gt;$L$6,T522,""),"")</f>
        <v/>
      </c>
      <c r="W522">
        <f>IF(AND(ISNUMBER('자료_거시'!$G504),ISNUMBER('자료_거시'!$H504)),'자료_거시'!$H504,"")</f>
        <v/>
      </c>
      <c r="X522">
        <f>IF(ISNUMBER(W522),'자료_거시'!$G504,"")</f>
        <v/>
      </c>
      <c r="Y522">
        <f>IF(ISNUMBER(X522),IF(X522&gt;$L$7,W522,""),"")</f>
        <v/>
      </c>
      <c r="Z522">
        <f>IF(ISNUMBER('자료_거시'!$K504),'자료_거시'!$K504,Z521)</f>
        <v/>
      </c>
      <c r="AA522">
        <f>IF(AND(ISNUMBER('자료_거시'!$J504),ISNUMBER('자료_거시'!$K504)),IFERROR('자료_거시'!$K504/INDEX($Z$21:$Z$4020,MATCH(EDATE('자료_거시'!$J504,-'설정'!$B$17),'자료_거시'!$J$3:INDEX('자료_거시'!$J$3:$J$4002,$K$8),1))-1,""),"")</f>
        <v/>
      </c>
      <c r="AB522">
        <f>IF(ISNUMBER(AA522),'자료_거시'!$J504,"")</f>
        <v/>
      </c>
      <c r="AC522">
        <f>IF(ISNUMBER(AB522),IF(AB522&gt;$L$8,AA522,""),"")</f>
        <v/>
      </c>
      <c r="AD522">
        <f>IF(AND(ISNUMBER('자료_거시'!$M504),ISNUMBER('자료_거시'!$N504)),1,0)</f>
        <v/>
      </c>
      <c r="AE522">
        <f>IF(AND(ISNUMBER('자료_거시'!$M504),ISNUMBER('자료_거시'!$N504)),IF(AND(SUMIFS($AD$21:$AD$620,'자료_거시'!$M$3:$M$602,"&gt;"&amp;EDATE('자료_거시'!$M504,-'설정'!$B$17),'자료_거시'!$M$3:$M$602,"&lt;="&amp;'자료_거시'!$M504)=3,SUMIFS($AD$21:$AD$620,'자료_거시'!$M$3:$M$602,"&gt;"&amp;EDATE('자료_거시'!$M504,-12-'설정'!$B$17),'자료_거시'!$M$3:$M$602,"&lt;="&amp;EDATE('자료_거시'!$M504,-12))=3),IFERROR(SUMIFS('자료_거시'!$N$3:$N$602,'자료_거시'!$M$3:$M$602,"&gt;"&amp;EDATE('자료_거시'!$M504,-'설정'!$B$17),'자료_거시'!$M$3:$M$602,"&lt;="&amp;'자료_거시'!$M504)/SUMIFS('자료_거시'!$N$3:$N$602,'자료_거시'!$M$3:$M$602,"&gt;"&amp;EDATE('자료_거시'!$M504,-12-'설정'!$B$17),'자료_거시'!$M$3:$M$602,"&lt;="&amp;EDATE('자료_거시'!$M504,-12))-1,""),""),"")</f>
        <v/>
      </c>
      <c r="AF522">
        <f>IF(ISNUMBER(AE522),'자료_거시'!$M504,"")</f>
        <v/>
      </c>
      <c r="AG522">
        <f>IF(ISNUMBER(AF522),IF(AF522&gt;$L$9,AE522,""),"")</f>
        <v/>
      </c>
    </row>
    <row r="523">
      <c r="P523">
        <f>IF(AND(ISNUMBER('자료_거시'!$A505),ISNUMBER('자료_거시'!$B505)),'자료_거시'!$B505,"")</f>
        <v/>
      </c>
      <c r="Q523">
        <f>IF(ISNUMBER(P523),'자료_거시'!$A505,"")</f>
        <v/>
      </c>
      <c r="R523">
        <f>IF(ISNUMBER(Q523),IF(Q523&gt;$L$5,P523,""),"")</f>
        <v/>
      </c>
      <c r="S523">
        <f>IF(ISNUMBER('자료_거시'!$E505),'자료_거시'!$E505,S522)</f>
        <v/>
      </c>
      <c r="T523">
        <f>IF(AND(ISNUMBER('자료_거시'!$D505),ISNUMBER('자료_거시'!$E505)),IFERROR('자료_거시'!$E505-INDEX($S$21:$S$4020,MATCH(EDATE('자료_거시'!$D505,-'설정'!$B$17),'자료_거시'!$D$3:INDEX('자료_거시'!$D$3:$D$4002,$K$6),1)),""),"")</f>
        <v/>
      </c>
      <c r="U523">
        <f>IF(ISNUMBER(T523),'자료_거시'!$D505,"")</f>
        <v/>
      </c>
      <c r="V523">
        <f>IF(ISNUMBER(U523),IF(U523&gt;$L$6,T523,""),"")</f>
        <v/>
      </c>
      <c r="W523">
        <f>IF(AND(ISNUMBER('자료_거시'!$G505),ISNUMBER('자료_거시'!$H505)),'자료_거시'!$H505,"")</f>
        <v/>
      </c>
      <c r="X523">
        <f>IF(ISNUMBER(W523),'자료_거시'!$G505,"")</f>
        <v/>
      </c>
      <c r="Y523">
        <f>IF(ISNUMBER(X523),IF(X523&gt;$L$7,W523,""),"")</f>
        <v/>
      </c>
      <c r="Z523">
        <f>IF(ISNUMBER('자료_거시'!$K505),'자료_거시'!$K505,Z522)</f>
        <v/>
      </c>
      <c r="AA523">
        <f>IF(AND(ISNUMBER('자료_거시'!$J505),ISNUMBER('자료_거시'!$K505)),IFERROR('자료_거시'!$K505/INDEX($Z$21:$Z$4020,MATCH(EDATE('자료_거시'!$J505,-'설정'!$B$17),'자료_거시'!$J$3:INDEX('자료_거시'!$J$3:$J$4002,$K$8),1))-1,""),"")</f>
        <v/>
      </c>
      <c r="AB523">
        <f>IF(ISNUMBER(AA523),'자료_거시'!$J505,"")</f>
        <v/>
      </c>
      <c r="AC523">
        <f>IF(ISNUMBER(AB523),IF(AB523&gt;$L$8,AA523,""),"")</f>
        <v/>
      </c>
      <c r="AD523">
        <f>IF(AND(ISNUMBER('자료_거시'!$M505),ISNUMBER('자료_거시'!$N505)),1,0)</f>
        <v/>
      </c>
      <c r="AE523">
        <f>IF(AND(ISNUMBER('자료_거시'!$M505),ISNUMBER('자료_거시'!$N505)),IF(AND(SUMIFS($AD$21:$AD$620,'자료_거시'!$M$3:$M$602,"&gt;"&amp;EDATE('자료_거시'!$M505,-'설정'!$B$17),'자료_거시'!$M$3:$M$602,"&lt;="&amp;'자료_거시'!$M505)=3,SUMIFS($AD$21:$AD$620,'자료_거시'!$M$3:$M$602,"&gt;"&amp;EDATE('자료_거시'!$M505,-12-'설정'!$B$17),'자료_거시'!$M$3:$M$602,"&lt;="&amp;EDATE('자료_거시'!$M505,-12))=3),IFERROR(SUMIFS('자료_거시'!$N$3:$N$602,'자료_거시'!$M$3:$M$602,"&gt;"&amp;EDATE('자료_거시'!$M505,-'설정'!$B$17),'자료_거시'!$M$3:$M$602,"&lt;="&amp;'자료_거시'!$M505)/SUMIFS('자료_거시'!$N$3:$N$602,'자료_거시'!$M$3:$M$602,"&gt;"&amp;EDATE('자료_거시'!$M505,-12-'설정'!$B$17),'자료_거시'!$M$3:$M$602,"&lt;="&amp;EDATE('자료_거시'!$M505,-12))-1,""),""),"")</f>
        <v/>
      </c>
      <c r="AF523">
        <f>IF(ISNUMBER(AE523),'자료_거시'!$M505,"")</f>
        <v/>
      </c>
      <c r="AG523">
        <f>IF(ISNUMBER(AF523),IF(AF523&gt;$L$9,AE523,""),"")</f>
        <v/>
      </c>
    </row>
    <row r="524">
      <c r="P524">
        <f>IF(AND(ISNUMBER('자료_거시'!$A506),ISNUMBER('자료_거시'!$B506)),'자료_거시'!$B506,"")</f>
        <v/>
      </c>
      <c r="Q524">
        <f>IF(ISNUMBER(P524),'자료_거시'!$A506,"")</f>
        <v/>
      </c>
      <c r="R524">
        <f>IF(ISNUMBER(Q524),IF(Q524&gt;$L$5,P524,""),"")</f>
        <v/>
      </c>
      <c r="S524">
        <f>IF(ISNUMBER('자료_거시'!$E506),'자료_거시'!$E506,S523)</f>
        <v/>
      </c>
      <c r="T524">
        <f>IF(AND(ISNUMBER('자료_거시'!$D506),ISNUMBER('자료_거시'!$E506)),IFERROR('자료_거시'!$E506-INDEX($S$21:$S$4020,MATCH(EDATE('자료_거시'!$D506,-'설정'!$B$17),'자료_거시'!$D$3:INDEX('자료_거시'!$D$3:$D$4002,$K$6),1)),""),"")</f>
        <v/>
      </c>
      <c r="U524">
        <f>IF(ISNUMBER(T524),'자료_거시'!$D506,"")</f>
        <v/>
      </c>
      <c r="V524">
        <f>IF(ISNUMBER(U524),IF(U524&gt;$L$6,T524,""),"")</f>
        <v/>
      </c>
      <c r="W524">
        <f>IF(AND(ISNUMBER('자료_거시'!$G506),ISNUMBER('자료_거시'!$H506)),'자료_거시'!$H506,"")</f>
        <v/>
      </c>
      <c r="X524">
        <f>IF(ISNUMBER(W524),'자료_거시'!$G506,"")</f>
        <v/>
      </c>
      <c r="Y524">
        <f>IF(ISNUMBER(X524),IF(X524&gt;$L$7,W524,""),"")</f>
        <v/>
      </c>
      <c r="Z524">
        <f>IF(ISNUMBER('자료_거시'!$K506),'자료_거시'!$K506,Z523)</f>
        <v/>
      </c>
      <c r="AA524">
        <f>IF(AND(ISNUMBER('자료_거시'!$J506),ISNUMBER('자료_거시'!$K506)),IFERROR('자료_거시'!$K506/INDEX($Z$21:$Z$4020,MATCH(EDATE('자료_거시'!$J506,-'설정'!$B$17),'자료_거시'!$J$3:INDEX('자료_거시'!$J$3:$J$4002,$K$8),1))-1,""),"")</f>
        <v/>
      </c>
      <c r="AB524">
        <f>IF(ISNUMBER(AA524),'자료_거시'!$J506,"")</f>
        <v/>
      </c>
      <c r="AC524">
        <f>IF(ISNUMBER(AB524),IF(AB524&gt;$L$8,AA524,""),"")</f>
        <v/>
      </c>
      <c r="AD524">
        <f>IF(AND(ISNUMBER('자료_거시'!$M506),ISNUMBER('자료_거시'!$N506)),1,0)</f>
        <v/>
      </c>
      <c r="AE524">
        <f>IF(AND(ISNUMBER('자료_거시'!$M506),ISNUMBER('자료_거시'!$N506)),IF(AND(SUMIFS($AD$21:$AD$620,'자료_거시'!$M$3:$M$602,"&gt;"&amp;EDATE('자료_거시'!$M506,-'설정'!$B$17),'자료_거시'!$M$3:$M$602,"&lt;="&amp;'자료_거시'!$M506)=3,SUMIFS($AD$21:$AD$620,'자료_거시'!$M$3:$M$602,"&gt;"&amp;EDATE('자료_거시'!$M506,-12-'설정'!$B$17),'자료_거시'!$M$3:$M$602,"&lt;="&amp;EDATE('자료_거시'!$M506,-12))=3),IFERROR(SUMIFS('자료_거시'!$N$3:$N$602,'자료_거시'!$M$3:$M$602,"&gt;"&amp;EDATE('자료_거시'!$M506,-'설정'!$B$17),'자료_거시'!$M$3:$M$602,"&lt;="&amp;'자료_거시'!$M506)/SUMIFS('자료_거시'!$N$3:$N$602,'자료_거시'!$M$3:$M$602,"&gt;"&amp;EDATE('자료_거시'!$M506,-12-'설정'!$B$17),'자료_거시'!$M$3:$M$602,"&lt;="&amp;EDATE('자료_거시'!$M506,-12))-1,""),""),"")</f>
        <v/>
      </c>
      <c r="AF524">
        <f>IF(ISNUMBER(AE524),'자료_거시'!$M506,"")</f>
        <v/>
      </c>
      <c r="AG524">
        <f>IF(ISNUMBER(AF524),IF(AF524&gt;$L$9,AE524,""),"")</f>
        <v/>
      </c>
    </row>
    <row r="525">
      <c r="P525">
        <f>IF(AND(ISNUMBER('자료_거시'!$A507),ISNUMBER('자료_거시'!$B507)),'자료_거시'!$B507,"")</f>
        <v/>
      </c>
      <c r="Q525">
        <f>IF(ISNUMBER(P525),'자료_거시'!$A507,"")</f>
        <v/>
      </c>
      <c r="R525">
        <f>IF(ISNUMBER(Q525),IF(Q525&gt;$L$5,P525,""),"")</f>
        <v/>
      </c>
      <c r="S525">
        <f>IF(ISNUMBER('자료_거시'!$E507),'자료_거시'!$E507,S524)</f>
        <v/>
      </c>
      <c r="T525">
        <f>IF(AND(ISNUMBER('자료_거시'!$D507),ISNUMBER('자료_거시'!$E507)),IFERROR('자료_거시'!$E507-INDEX($S$21:$S$4020,MATCH(EDATE('자료_거시'!$D507,-'설정'!$B$17),'자료_거시'!$D$3:INDEX('자료_거시'!$D$3:$D$4002,$K$6),1)),""),"")</f>
        <v/>
      </c>
      <c r="U525">
        <f>IF(ISNUMBER(T525),'자료_거시'!$D507,"")</f>
        <v/>
      </c>
      <c r="V525">
        <f>IF(ISNUMBER(U525),IF(U525&gt;$L$6,T525,""),"")</f>
        <v/>
      </c>
      <c r="W525">
        <f>IF(AND(ISNUMBER('자료_거시'!$G507),ISNUMBER('자료_거시'!$H507)),'자료_거시'!$H507,"")</f>
        <v/>
      </c>
      <c r="X525">
        <f>IF(ISNUMBER(W525),'자료_거시'!$G507,"")</f>
        <v/>
      </c>
      <c r="Y525">
        <f>IF(ISNUMBER(X525),IF(X525&gt;$L$7,W525,""),"")</f>
        <v/>
      </c>
      <c r="Z525">
        <f>IF(ISNUMBER('자료_거시'!$K507),'자료_거시'!$K507,Z524)</f>
        <v/>
      </c>
      <c r="AA525">
        <f>IF(AND(ISNUMBER('자료_거시'!$J507),ISNUMBER('자료_거시'!$K507)),IFERROR('자료_거시'!$K507/INDEX($Z$21:$Z$4020,MATCH(EDATE('자료_거시'!$J507,-'설정'!$B$17),'자료_거시'!$J$3:INDEX('자료_거시'!$J$3:$J$4002,$K$8),1))-1,""),"")</f>
        <v/>
      </c>
      <c r="AB525">
        <f>IF(ISNUMBER(AA525),'자료_거시'!$J507,"")</f>
        <v/>
      </c>
      <c r="AC525">
        <f>IF(ISNUMBER(AB525),IF(AB525&gt;$L$8,AA525,""),"")</f>
        <v/>
      </c>
      <c r="AD525">
        <f>IF(AND(ISNUMBER('자료_거시'!$M507),ISNUMBER('자료_거시'!$N507)),1,0)</f>
        <v/>
      </c>
      <c r="AE525">
        <f>IF(AND(ISNUMBER('자료_거시'!$M507),ISNUMBER('자료_거시'!$N507)),IF(AND(SUMIFS($AD$21:$AD$620,'자료_거시'!$M$3:$M$602,"&gt;"&amp;EDATE('자료_거시'!$M507,-'설정'!$B$17),'자료_거시'!$M$3:$M$602,"&lt;="&amp;'자료_거시'!$M507)=3,SUMIFS($AD$21:$AD$620,'자료_거시'!$M$3:$M$602,"&gt;"&amp;EDATE('자료_거시'!$M507,-12-'설정'!$B$17),'자료_거시'!$M$3:$M$602,"&lt;="&amp;EDATE('자료_거시'!$M507,-12))=3),IFERROR(SUMIFS('자료_거시'!$N$3:$N$602,'자료_거시'!$M$3:$M$602,"&gt;"&amp;EDATE('자료_거시'!$M507,-'설정'!$B$17),'자료_거시'!$M$3:$M$602,"&lt;="&amp;'자료_거시'!$M507)/SUMIFS('자료_거시'!$N$3:$N$602,'자료_거시'!$M$3:$M$602,"&gt;"&amp;EDATE('자료_거시'!$M507,-12-'설정'!$B$17),'자료_거시'!$M$3:$M$602,"&lt;="&amp;EDATE('자료_거시'!$M507,-12))-1,""),""),"")</f>
        <v/>
      </c>
      <c r="AF525">
        <f>IF(ISNUMBER(AE525),'자료_거시'!$M507,"")</f>
        <v/>
      </c>
      <c r="AG525">
        <f>IF(ISNUMBER(AF525),IF(AF525&gt;$L$9,AE525,""),"")</f>
        <v/>
      </c>
    </row>
    <row r="526">
      <c r="P526">
        <f>IF(AND(ISNUMBER('자료_거시'!$A508),ISNUMBER('자료_거시'!$B508)),'자료_거시'!$B508,"")</f>
        <v/>
      </c>
      <c r="Q526">
        <f>IF(ISNUMBER(P526),'자료_거시'!$A508,"")</f>
        <v/>
      </c>
      <c r="R526">
        <f>IF(ISNUMBER(Q526),IF(Q526&gt;$L$5,P526,""),"")</f>
        <v/>
      </c>
      <c r="S526">
        <f>IF(ISNUMBER('자료_거시'!$E508),'자료_거시'!$E508,S525)</f>
        <v/>
      </c>
      <c r="T526">
        <f>IF(AND(ISNUMBER('자료_거시'!$D508),ISNUMBER('자료_거시'!$E508)),IFERROR('자료_거시'!$E508-INDEX($S$21:$S$4020,MATCH(EDATE('자료_거시'!$D508,-'설정'!$B$17),'자료_거시'!$D$3:INDEX('자료_거시'!$D$3:$D$4002,$K$6),1)),""),"")</f>
        <v/>
      </c>
      <c r="U526">
        <f>IF(ISNUMBER(T526),'자료_거시'!$D508,"")</f>
        <v/>
      </c>
      <c r="V526">
        <f>IF(ISNUMBER(U526),IF(U526&gt;$L$6,T526,""),"")</f>
        <v/>
      </c>
      <c r="W526">
        <f>IF(AND(ISNUMBER('자료_거시'!$G508),ISNUMBER('자료_거시'!$H508)),'자료_거시'!$H508,"")</f>
        <v/>
      </c>
      <c r="X526">
        <f>IF(ISNUMBER(W526),'자료_거시'!$G508,"")</f>
        <v/>
      </c>
      <c r="Y526">
        <f>IF(ISNUMBER(X526),IF(X526&gt;$L$7,W526,""),"")</f>
        <v/>
      </c>
      <c r="Z526">
        <f>IF(ISNUMBER('자료_거시'!$K508),'자료_거시'!$K508,Z525)</f>
        <v/>
      </c>
      <c r="AA526">
        <f>IF(AND(ISNUMBER('자료_거시'!$J508),ISNUMBER('자료_거시'!$K508)),IFERROR('자료_거시'!$K508/INDEX($Z$21:$Z$4020,MATCH(EDATE('자료_거시'!$J508,-'설정'!$B$17),'자료_거시'!$J$3:INDEX('자료_거시'!$J$3:$J$4002,$K$8),1))-1,""),"")</f>
        <v/>
      </c>
      <c r="AB526">
        <f>IF(ISNUMBER(AA526),'자료_거시'!$J508,"")</f>
        <v/>
      </c>
      <c r="AC526">
        <f>IF(ISNUMBER(AB526),IF(AB526&gt;$L$8,AA526,""),"")</f>
        <v/>
      </c>
      <c r="AD526">
        <f>IF(AND(ISNUMBER('자료_거시'!$M508),ISNUMBER('자료_거시'!$N508)),1,0)</f>
        <v/>
      </c>
      <c r="AE526">
        <f>IF(AND(ISNUMBER('자료_거시'!$M508),ISNUMBER('자료_거시'!$N508)),IF(AND(SUMIFS($AD$21:$AD$620,'자료_거시'!$M$3:$M$602,"&gt;"&amp;EDATE('자료_거시'!$M508,-'설정'!$B$17),'자료_거시'!$M$3:$M$602,"&lt;="&amp;'자료_거시'!$M508)=3,SUMIFS($AD$21:$AD$620,'자료_거시'!$M$3:$M$602,"&gt;"&amp;EDATE('자료_거시'!$M508,-12-'설정'!$B$17),'자료_거시'!$M$3:$M$602,"&lt;="&amp;EDATE('자료_거시'!$M508,-12))=3),IFERROR(SUMIFS('자료_거시'!$N$3:$N$602,'자료_거시'!$M$3:$M$602,"&gt;"&amp;EDATE('자료_거시'!$M508,-'설정'!$B$17),'자료_거시'!$M$3:$M$602,"&lt;="&amp;'자료_거시'!$M508)/SUMIFS('자료_거시'!$N$3:$N$602,'자료_거시'!$M$3:$M$602,"&gt;"&amp;EDATE('자료_거시'!$M508,-12-'설정'!$B$17),'자료_거시'!$M$3:$M$602,"&lt;="&amp;EDATE('자료_거시'!$M508,-12))-1,""),""),"")</f>
        <v/>
      </c>
      <c r="AF526">
        <f>IF(ISNUMBER(AE526),'자료_거시'!$M508,"")</f>
        <v/>
      </c>
      <c r="AG526">
        <f>IF(ISNUMBER(AF526),IF(AF526&gt;$L$9,AE526,""),"")</f>
        <v/>
      </c>
    </row>
    <row r="527">
      <c r="P527">
        <f>IF(AND(ISNUMBER('자료_거시'!$A509),ISNUMBER('자료_거시'!$B509)),'자료_거시'!$B509,"")</f>
        <v/>
      </c>
      <c r="Q527">
        <f>IF(ISNUMBER(P527),'자료_거시'!$A509,"")</f>
        <v/>
      </c>
      <c r="R527">
        <f>IF(ISNUMBER(Q527),IF(Q527&gt;$L$5,P527,""),"")</f>
        <v/>
      </c>
      <c r="S527">
        <f>IF(ISNUMBER('자료_거시'!$E509),'자료_거시'!$E509,S526)</f>
        <v/>
      </c>
      <c r="T527">
        <f>IF(AND(ISNUMBER('자료_거시'!$D509),ISNUMBER('자료_거시'!$E509)),IFERROR('자료_거시'!$E509-INDEX($S$21:$S$4020,MATCH(EDATE('자료_거시'!$D509,-'설정'!$B$17),'자료_거시'!$D$3:INDEX('자료_거시'!$D$3:$D$4002,$K$6),1)),""),"")</f>
        <v/>
      </c>
      <c r="U527">
        <f>IF(ISNUMBER(T527),'자료_거시'!$D509,"")</f>
        <v/>
      </c>
      <c r="V527">
        <f>IF(ISNUMBER(U527),IF(U527&gt;$L$6,T527,""),"")</f>
        <v/>
      </c>
      <c r="W527">
        <f>IF(AND(ISNUMBER('자료_거시'!$G509),ISNUMBER('자료_거시'!$H509)),'자료_거시'!$H509,"")</f>
        <v/>
      </c>
      <c r="X527">
        <f>IF(ISNUMBER(W527),'자료_거시'!$G509,"")</f>
        <v/>
      </c>
      <c r="Y527">
        <f>IF(ISNUMBER(X527),IF(X527&gt;$L$7,W527,""),"")</f>
        <v/>
      </c>
      <c r="Z527">
        <f>IF(ISNUMBER('자료_거시'!$K509),'자료_거시'!$K509,Z526)</f>
        <v/>
      </c>
      <c r="AA527">
        <f>IF(AND(ISNUMBER('자료_거시'!$J509),ISNUMBER('자료_거시'!$K509)),IFERROR('자료_거시'!$K509/INDEX($Z$21:$Z$4020,MATCH(EDATE('자료_거시'!$J509,-'설정'!$B$17),'자료_거시'!$J$3:INDEX('자료_거시'!$J$3:$J$4002,$K$8),1))-1,""),"")</f>
        <v/>
      </c>
      <c r="AB527">
        <f>IF(ISNUMBER(AA527),'자료_거시'!$J509,"")</f>
        <v/>
      </c>
      <c r="AC527">
        <f>IF(ISNUMBER(AB527),IF(AB527&gt;$L$8,AA527,""),"")</f>
        <v/>
      </c>
      <c r="AD527">
        <f>IF(AND(ISNUMBER('자료_거시'!$M509),ISNUMBER('자료_거시'!$N509)),1,0)</f>
        <v/>
      </c>
      <c r="AE527">
        <f>IF(AND(ISNUMBER('자료_거시'!$M509),ISNUMBER('자료_거시'!$N509)),IF(AND(SUMIFS($AD$21:$AD$620,'자료_거시'!$M$3:$M$602,"&gt;"&amp;EDATE('자료_거시'!$M509,-'설정'!$B$17),'자료_거시'!$M$3:$M$602,"&lt;="&amp;'자료_거시'!$M509)=3,SUMIFS($AD$21:$AD$620,'자료_거시'!$M$3:$M$602,"&gt;"&amp;EDATE('자료_거시'!$M509,-12-'설정'!$B$17),'자료_거시'!$M$3:$M$602,"&lt;="&amp;EDATE('자료_거시'!$M509,-12))=3),IFERROR(SUMIFS('자료_거시'!$N$3:$N$602,'자료_거시'!$M$3:$M$602,"&gt;"&amp;EDATE('자료_거시'!$M509,-'설정'!$B$17),'자료_거시'!$M$3:$M$602,"&lt;="&amp;'자료_거시'!$M509)/SUMIFS('자료_거시'!$N$3:$N$602,'자료_거시'!$M$3:$M$602,"&gt;"&amp;EDATE('자료_거시'!$M509,-12-'설정'!$B$17),'자료_거시'!$M$3:$M$602,"&lt;="&amp;EDATE('자료_거시'!$M509,-12))-1,""),""),"")</f>
        <v/>
      </c>
      <c r="AF527">
        <f>IF(ISNUMBER(AE527),'자료_거시'!$M509,"")</f>
        <v/>
      </c>
      <c r="AG527">
        <f>IF(ISNUMBER(AF527),IF(AF527&gt;$L$9,AE527,""),"")</f>
        <v/>
      </c>
    </row>
    <row r="528">
      <c r="P528">
        <f>IF(AND(ISNUMBER('자료_거시'!$A510),ISNUMBER('자료_거시'!$B510)),'자료_거시'!$B510,"")</f>
        <v/>
      </c>
      <c r="Q528">
        <f>IF(ISNUMBER(P528),'자료_거시'!$A510,"")</f>
        <v/>
      </c>
      <c r="R528">
        <f>IF(ISNUMBER(Q528),IF(Q528&gt;$L$5,P528,""),"")</f>
        <v/>
      </c>
      <c r="S528">
        <f>IF(ISNUMBER('자료_거시'!$E510),'자료_거시'!$E510,S527)</f>
        <v/>
      </c>
      <c r="T528">
        <f>IF(AND(ISNUMBER('자료_거시'!$D510),ISNUMBER('자료_거시'!$E510)),IFERROR('자료_거시'!$E510-INDEX($S$21:$S$4020,MATCH(EDATE('자료_거시'!$D510,-'설정'!$B$17),'자료_거시'!$D$3:INDEX('자료_거시'!$D$3:$D$4002,$K$6),1)),""),"")</f>
        <v/>
      </c>
      <c r="U528">
        <f>IF(ISNUMBER(T528),'자료_거시'!$D510,"")</f>
        <v/>
      </c>
      <c r="V528">
        <f>IF(ISNUMBER(U528),IF(U528&gt;$L$6,T528,""),"")</f>
        <v/>
      </c>
      <c r="W528">
        <f>IF(AND(ISNUMBER('자료_거시'!$G510),ISNUMBER('자료_거시'!$H510)),'자료_거시'!$H510,"")</f>
        <v/>
      </c>
      <c r="X528">
        <f>IF(ISNUMBER(W528),'자료_거시'!$G510,"")</f>
        <v/>
      </c>
      <c r="Y528">
        <f>IF(ISNUMBER(X528),IF(X528&gt;$L$7,W528,""),"")</f>
        <v/>
      </c>
      <c r="Z528">
        <f>IF(ISNUMBER('자료_거시'!$K510),'자료_거시'!$K510,Z527)</f>
        <v/>
      </c>
      <c r="AA528">
        <f>IF(AND(ISNUMBER('자료_거시'!$J510),ISNUMBER('자료_거시'!$K510)),IFERROR('자료_거시'!$K510/INDEX($Z$21:$Z$4020,MATCH(EDATE('자료_거시'!$J510,-'설정'!$B$17),'자료_거시'!$J$3:INDEX('자료_거시'!$J$3:$J$4002,$K$8),1))-1,""),"")</f>
        <v/>
      </c>
      <c r="AB528">
        <f>IF(ISNUMBER(AA528),'자료_거시'!$J510,"")</f>
        <v/>
      </c>
      <c r="AC528">
        <f>IF(ISNUMBER(AB528),IF(AB528&gt;$L$8,AA528,""),"")</f>
        <v/>
      </c>
      <c r="AD528">
        <f>IF(AND(ISNUMBER('자료_거시'!$M510),ISNUMBER('자료_거시'!$N510)),1,0)</f>
        <v/>
      </c>
      <c r="AE528">
        <f>IF(AND(ISNUMBER('자료_거시'!$M510),ISNUMBER('자료_거시'!$N510)),IF(AND(SUMIFS($AD$21:$AD$620,'자료_거시'!$M$3:$M$602,"&gt;"&amp;EDATE('자료_거시'!$M510,-'설정'!$B$17),'자료_거시'!$M$3:$M$602,"&lt;="&amp;'자료_거시'!$M510)=3,SUMIFS($AD$21:$AD$620,'자료_거시'!$M$3:$M$602,"&gt;"&amp;EDATE('자료_거시'!$M510,-12-'설정'!$B$17),'자료_거시'!$M$3:$M$602,"&lt;="&amp;EDATE('자료_거시'!$M510,-12))=3),IFERROR(SUMIFS('자료_거시'!$N$3:$N$602,'자료_거시'!$M$3:$M$602,"&gt;"&amp;EDATE('자료_거시'!$M510,-'설정'!$B$17),'자료_거시'!$M$3:$M$602,"&lt;="&amp;'자료_거시'!$M510)/SUMIFS('자료_거시'!$N$3:$N$602,'자료_거시'!$M$3:$M$602,"&gt;"&amp;EDATE('자료_거시'!$M510,-12-'설정'!$B$17),'자료_거시'!$M$3:$M$602,"&lt;="&amp;EDATE('자료_거시'!$M510,-12))-1,""),""),"")</f>
        <v/>
      </c>
      <c r="AF528">
        <f>IF(ISNUMBER(AE528),'자료_거시'!$M510,"")</f>
        <v/>
      </c>
      <c r="AG528">
        <f>IF(ISNUMBER(AF528),IF(AF528&gt;$L$9,AE528,""),"")</f>
        <v/>
      </c>
    </row>
    <row r="529">
      <c r="P529">
        <f>IF(AND(ISNUMBER('자료_거시'!$A511),ISNUMBER('자료_거시'!$B511)),'자료_거시'!$B511,"")</f>
        <v/>
      </c>
      <c r="Q529">
        <f>IF(ISNUMBER(P529),'자료_거시'!$A511,"")</f>
        <v/>
      </c>
      <c r="R529">
        <f>IF(ISNUMBER(Q529),IF(Q529&gt;$L$5,P529,""),"")</f>
        <v/>
      </c>
      <c r="S529">
        <f>IF(ISNUMBER('자료_거시'!$E511),'자료_거시'!$E511,S528)</f>
        <v/>
      </c>
      <c r="T529">
        <f>IF(AND(ISNUMBER('자료_거시'!$D511),ISNUMBER('자료_거시'!$E511)),IFERROR('자료_거시'!$E511-INDEX($S$21:$S$4020,MATCH(EDATE('자료_거시'!$D511,-'설정'!$B$17),'자료_거시'!$D$3:INDEX('자료_거시'!$D$3:$D$4002,$K$6),1)),""),"")</f>
        <v/>
      </c>
      <c r="U529">
        <f>IF(ISNUMBER(T529),'자료_거시'!$D511,"")</f>
        <v/>
      </c>
      <c r="V529">
        <f>IF(ISNUMBER(U529),IF(U529&gt;$L$6,T529,""),"")</f>
        <v/>
      </c>
      <c r="W529">
        <f>IF(AND(ISNUMBER('자료_거시'!$G511),ISNUMBER('자료_거시'!$H511)),'자료_거시'!$H511,"")</f>
        <v/>
      </c>
      <c r="X529">
        <f>IF(ISNUMBER(W529),'자료_거시'!$G511,"")</f>
        <v/>
      </c>
      <c r="Y529">
        <f>IF(ISNUMBER(X529),IF(X529&gt;$L$7,W529,""),"")</f>
        <v/>
      </c>
      <c r="Z529">
        <f>IF(ISNUMBER('자료_거시'!$K511),'자료_거시'!$K511,Z528)</f>
        <v/>
      </c>
      <c r="AA529">
        <f>IF(AND(ISNUMBER('자료_거시'!$J511),ISNUMBER('자료_거시'!$K511)),IFERROR('자료_거시'!$K511/INDEX($Z$21:$Z$4020,MATCH(EDATE('자료_거시'!$J511,-'설정'!$B$17),'자료_거시'!$J$3:INDEX('자료_거시'!$J$3:$J$4002,$K$8),1))-1,""),"")</f>
        <v/>
      </c>
      <c r="AB529">
        <f>IF(ISNUMBER(AA529),'자료_거시'!$J511,"")</f>
        <v/>
      </c>
      <c r="AC529">
        <f>IF(ISNUMBER(AB529),IF(AB529&gt;$L$8,AA529,""),"")</f>
        <v/>
      </c>
      <c r="AD529">
        <f>IF(AND(ISNUMBER('자료_거시'!$M511),ISNUMBER('자료_거시'!$N511)),1,0)</f>
        <v/>
      </c>
      <c r="AE529">
        <f>IF(AND(ISNUMBER('자료_거시'!$M511),ISNUMBER('자료_거시'!$N511)),IF(AND(SUMIFS($AD$21:$AD$620,'자료_거시'!$M$3:$M$602,"&gt;"&amp;EDATE('자료_거시'!$M511,-'설정'!$B$17),'자료_거시'!$M$3:$M$602,"&lt;="&amp;'자료_거시'!$M511)=3,SUMIFS($AD$21:$AD$620,'자료_거시'!$M$3:$M$602,"&gt;"&amp;EDATE('자료_거시'!$M511,-12-'설정'!$B$17),'자료_거시'!$M$3:$M$602,"&lt;="&amp;EDATE('자료_거시'!$M511,-12))=3),IFERROR(SUMIFS('자료_거시'!$N$3:$N$602,'자료_거시'!$M$3:$M$602,"&gt;"&amp;EDATE('자료_거시'!$M511,-'설정'!$B$17),'자료_거시'!$M$3:$M$602,"&lt;="&amp;'자료_거시'!$M511)/SUMIFS('자료_거시'!$N$3:$N$602,'자료_거시'!$M$3:$M$602,"&gt;"&amp;EDATE('자료_거시'!$M511,-12-'설정'!$B$17),'자료_거시'!$M$3:$M$602,"&lt;="&amp;EDATE('자료_거시'!$M511,-12))-1,""),""),"")</f>
        <v/>
      </c>
      <c r="AF529">
        <f>IF(ISNUMBER(AE529),'자료_거시'!$M511,"")</f>
        <v/>
      </c>
      <c r="AG529">
        <f>IF(ISNUMBER(AF529),IF(AF529&gt;$L$9,AE529,""),"")</f>
        <v/>
      </c>
    </row>
    <row r="530">
      <c r="P530">
        <f>IF(AND(ISNUMBER('자료_거시'!$A512),ISNUMBER('자료_거시'!$B512)),'자료_거시'!$B512,"")</f>
        <v/>
      </c>
      <c r="Q530">
        <f>IF(ISNUMBER(P530),'자료_거시'!$A512,"")</f>
        <v/>
      </c>
      <c r="R530">
        <f>IF(ISNUMBER(Q530),IF(Q530&gt;$L$5,P530,""),"")</f>
        <v/>
      </c>
      <c r="S530">
        <f>IF(ISNUMBER('자료_거시'!$E512),'자료_거시'!$E512,S529)</f>
        <v/>
      </c>
      <c r="T530">
        <f>IF(AND(ISNUMBER('자료_거시'!$D512),ISNUMBER('자료_거시'!$E512)),IFERROR('자료_거시'!$E512-INDEX($S$21:$S$4020,MATCH(EDATE('자료_거시'!$D512,-'설정'!$B$17),'자료_거시'!$D$3:INDEX('자료_거시'!$D$3:$D$4002,$K$6),1)),""),"")</f>
        <v/>
      </c>
      <c r="U530">
        <f>IF(ISNUMBER(T530),'자료_거시'!$D512,"")</f>
        <v/>
      </c>
      <c r="V530">
        <f>IF(ISNUMBER(U530),IF(U530&gt;$L$6,T530,""),"")</f>
        <v/>
      </c>
      <c r="W530">
        <f>IF(AND(ISNUMBER('자료_거시'!$G512),ISNUMBER('자료_거시'!$H512)),'자료_거시'!$H512,"")</f>
        <v/>
      </c>
      <c r="X530">
        <f>IF(ISNUMBER(W530),'자료_거시'!$G512,"")</f>
        <v/>
      </c>
      <c r="Y530">
        <f>IF(ISNUMBER(X530),IF(X530&gt;$L$7,W530,""),"")</f>
        <v/>
      </c>
      <c r="Z530">
        <f>IF(ISNUMBER('자료_거시'!$K512),'자료_거시'!$K512,Z529)</f>
        <v/>
      </c>
      <c r="AA530">
        <f>IF(AND(ISNUMBER('자료_거시'!$J512),ISNUMBER('자료_거시'!$K512)),IFERROR('자료_거시'!$K512/INDEX($Z$21:$Z$4020,MATCH(EDATE('자료_거시'!$J512,-'설정'!$B$17),'자료_거시'!$J$3:INDEX('자료_거시'!$J$3:$J$4002,$K$8),1))-1,""),"")</f>
        <v/>
      </c>
      <c r="AB530">
        <f>IF(ISNUMBER(AA530),'자료_거시'!$J512,"")</f>
        <v/>
      </c>
      <c r="AC530">
        <f>IF(ISNUMBER(AB530),IF(AB530&gt;$L$8,AA530,""),"")</f>
        <v/>
      </c>
      <c r="AD530">
        <f>IF(AND(ISNUMBER('자료_거시'!$M512),ISNUMBER('자료_거시'!$N512)),1,0)</f>
        <v/>
      </c>
      <c r="AE530">
        <f>IF(AND(ISNUMBER('자료_거시'!$M512),ISNUMBER('자료_거시'!$N512)),IF(AND(SUMIFS($AD$21:$AD$620,'자료_거시'!$M$3:$M$602,"&gt;"&amp;EDATE('자료_거시'!$M512,-'설정'!$B$17),'자료_거시'!$M$3:$M$602,"&lt;="&amp;'자료_거시'!$M512)=3,SUMIFS($AD$21:$AD$620,'자료_거시'!$M$3:$M$602,"&gt;"&amp;EDATE('자료_거시'!$M512,-12-'설정'!$B$17),'자료_거시'!$M$3:$M$602,"&lt;="&amp;EDATE('자료_거시'!$M512,-12))=3),IFERROR(SUMIFS('자료_거시'!$N$3:$N$602,'자료_거시'!$M$3:$M$602,"&gt;"&amp;EDATE('자료_거시'!$M512,-'설정'!$B$17),'자료_거시'!$M$3:$M$602,"&lt;="&amp;'자료_거시'!$M512)/SUMIFS('자료_거시'!$N$3:$N$602,'자료_거시'!$M$3:$M$602,"&gt;"&amp;EDATE('자료_거시'!$M512,-12-'설정'!$B$17),'자료_거시'!$M$3:$M$602,"&lt;="&amp;EDATE('자료_거시'!$M512,-12))-1,""),""),"")</f>
        <v/>
      </c>
      <c r="AF530">
        <f>IF(ISNUMBER(AE530),'자료_거시'!$M512,"")</f>
        <v/>
      </c>
      <c r="AG530">
        <f>IF(ISNUMBER(AF530),IF(AF530&gt;$L$9,AE530,""),"")</f>
        <v/>
      </c>
    </row>
    <row r="531">
      <c r="P531">
        <f>IF(AND(ISNUMBER('자료_거시'!$A513),ISNUMBER('자료_거시'!$B513)),'자료_거시'!$B513,"")</f>
        <v/>
      </c>
      <c r="Q531">
        <f>IF(ISNUMBER(P531),'자료_거시'!$A513,"")</f>
        <v/>
      </c>
      <c r="R531">
        <f>IF(ISNUMBER(Q531),IF(Q531&gt;$L$5,P531,""),"")</f>
        <v/>
      </c>
      <c r="S531">
        <f>IF(ISNUMBER('자료_거시'!$E513),'자료_거시'!$E513,S530)</f>
        <v/>
      </c>
      <c r="T531">
        <f>IF(AND(ISNUMBER('자료_거시'!$D513),ISNUMBER('자료_거시'!$E513)),IFERROR('자료_거시'!$E513-INDEX($S$21:$S$4020,MATCH(EDATE('자료_거시'!$D513,-'설정'!$B$17),'자료_거시'!$D$3:INDEX('자료_거시'!$D$3:$D$4002,$K$6),1)),""),"")</f>
        <v/>
      </c>
      <c r="U531">
        <f>IF(ISNUMBER(T531),'자료_거시'!$D513,"")</f>
        <v/>
      </c>
      <c r="V531">
        <f>IF(ISNUMBER(U531),IF(U531&gt;$L$6,T531,""),"")</f>
        <v/>
      </c>
      <c r="W531">
        <f>IF(AND(ISNUMBER('자료_거시'!$G513),ISNUMBER('자료_거시'!$H513)),'자료_거시'!$H513,"")</f>
        <v/>
      </c>
      <c r="X531">
        <f>IF(ISNUMBER(W531),'자료_거시'!$G513,"")</f>
        <v/>
      </c>
      <c r="Y531">
        <f>IF(ISNUMBER(X531),IF(X531&gt;$L$7,W531,""),"")</f>
        <v/>
      </c>
      <c r="Z531">
        <f>IF(ISNUMBER('자료_거시'!$K513),'자료_거시'!$K513,Z530)</f>
        <v/>
      </c>
      <c r="AA531">
        <f>IF(AND(ISNUMBER('자료_거시'!$J513),ISNUMBER('자료_거시'!$K513)),IFERROR('자료_거시'!$K513/INDEX($Z$21:$Z$4020,MATCH(EDATE('자료_거시'!$J513,-'설정'!$B$17),'자료_거시'!$J$3:INDEX('자료_거시'!$J$3:$J$4002,$K$8),1))-1,""),"")</f>
        <v/>
      </c>
      <c r="AB531">
        <f>IF(ISNUMBER(AA531),'자료_거시'!$J513,"")</f>
        <v/>
      </c>
      <c r="AC531">
        <f>IF(ISNUMBER(AB531),IF(AB531&gt;$L$8,AA531,""),"")</f>
        <v/>
      </c>
      <c r="AD531">
        <f>IF(AND(ISNUMBER('자료_거시'!$M513),ISNUMBER('자료_거시'!$N513)),1,0)</f>
        <v/>
      </c>
      <c r="AE531">
        <f>IF(AND(ISNUMBER('자료_거시'!$M513),ISNUMBER('자료_거시'!$N513)),IF(AND(SUMIFS($AD$21:$AD$620,'자료_거시'!$M$3:$M$602,"&gt;"&amp;EDATE('자료_거시'!$M513,-'설정'!$B$17),'자료_거시'!$M$3:$M$602,"&lt;="&amp;'자료_거시'!$M513)=3,SUMIFS($AD$21:$AD$620,'자료_거시'!$M$3:$M$602,"&gt;"&amp;EDATE('자료_거시'!$M513,-12-'설정'!$B$17),'자료_거시'!$M$3:$M$602,"&lt;="&amp;EDATE('자료_거시'!$M513,-12))=3),IFERROR(SUMIFS('자료_거시'!$N$3:$N$602,'자료_거시'!$M$3:$M$602,"&gt;"&amp;EDATE('자료_거시'!$M513,-'설정'!$B$17),'자료_거시'!$M$3:$M$602,"&lt;="&amp;'자료_거시'!$M513)/SUMIFS('자료_거시'!$N$3:$N$602,'자료_거시'!$M$3:$M$602,"&gt;"&amp;EDATE('자료_거시'!$M513,-12-'설정'!$B$17),'자료_거시'!$M$3:$M$602,"&lt;="&amp;EDATE('자료_거시'!$M513,-12))-1,""),""),"")</f>
        <v/>
      </c>
      <c r="AF531">
        <f>IF(ISNUMBER(AE531),'자료_거시'!$M513,"")</f>
        <v/>
      </c>
      <c r="AG531">
        <f>IF(ISNUMBER(AF531),IF(AF531&gt;$L$9,AE531,""),"")</f>
        <v/>
      </c>
    </row>
    <row r="532">
      <c r="P532">
        <f>IF(AND(ISNUMBER('자료_거시'!$A514),ISNUMBER('자료_거시'!$B514)),'자료_거시'!$B514,"")</f>
        <v/>
      </c>
      <c r="Q532">
        <f>IF(ISNUMBER(P532),'자료_거시'!$A514,"")</f>
        <v/>
      </c>
      <c r="R532">
        <f>IF(ISNUMBER(Q532),IF(Q532&gt;$L$5,P532,""),"")</f>
        <v/>
      </c>
      <c r="S532">
        <f>IF(ISNUMBER('자료_거시'!$E514),'자료_거시'!$E514,S531)</f>
        <v/>
      </c>
      <c r="T532">
        <f>IF(AND(ISNUMBER('자료_거시'!$D514),ISNUMBER('자료_거시'!$E514)),IFERROR('자료_거시'!$E514-INDEX($S$21:$S$4020,MATCH(EDATE('자료_거시'!$D514,-'설정'!$B$17),'자료_거시'!$D$3:INDEX('자료_거시'!$D$3:$D$4002,$K$6),1)),""),"")</f>
        <v/>
      </c>
      <c r="U532">
        <f>IF(ISNUMBER(T532),'자료_거시'!$D514,"")</f>
        <v/>
      </c>
      <c r="V532">
        <f>IF(ISNUMBER(U532),IF(U532&gt;$L$6,T532,""),"")</f>
        <v/>
      </c>
      <c r="W532">
        <f>IF(AND(ISNUMBER('자료_거시'!$G514),ISNUMBER('자료_거시'!$H514)),'자료_거시'!$H514,"")</f>
        <v/>
      </c>
      <c r="X532">
        <f>IF(ISNUMBER(W532),'자료_거시'!$G514,"")</f>
        <v/>
      </c>
      <c r="Y532">
        <f>IF(ISNUMBER(X532),IF(X532&gt;$L$7,W532,""),"")</f>
        <v/>
      </c>
      <c r="Z532">
        <f>IF(ISNUMBER('자료_거시'!$K514),'자료_거시'!$K514,Z531)</f>
        <v/>
      </c>
      <c r="AA532">
        <f>IF(AND(ISNUMBER('자료_거시'!$J514),ISNUMBER('자료_거시'!$K514)),IFERROR('자료_거시'!$K514/INDEX($Z$21:$Z$4020,MATCH(EDATE('자료_거시'!$J514,-'설정'!$B$17),'자료_거시'!$J$3:INDEX('자료_거시'!$J$3:$J$4002,$K$8),1))-1,""),"")</f>
        <v/>
      </c>
      <c r="AB532">
        <f>IF(ISNUMBER(AA532),'자료_거시'!$J514,"")</f>
        <v/>
      </c>
      <c r="AC532">
        <f>IF(ISNUMBER(AB532),IF(AB532&gt;$L$8,AA532,""),"")</f>
        <v/>
      </c>
      <c r="AD532">
        <f>IF(AND(ISNUMBER('자료_거시'!$M514),ISNUMBER('자료_거시'!$N514)),1,0)</f>
        <v/>
      </c>
      <c r="AE532">
        <f>IF(AND(ISNUMBER('자료_거시'!$M514),ISNUMBER('자료_거시'!$N514)),IF(AND(SUMIFS($AD$21:$AD$620,'자료_거시'!$M$3:$M$602,"&gt;"&amp;EDATE('자료_거시'!$M514,-'설정'!$B$17),'자료_거시'!$M$3:$M$602,"&lt;="&amp;'자료_거시'!$M514)=3,SUMIFS($AD$21:$AD$620,'자료_거시'!$M$3:$M$602,"&gt;"&amp;EDATE('자료_거시'!$M514,-12-'설정'!$B$17),'자료_거시'!$M$3:$M$602,"&lt;="&amp;EDATE('자료_거시'!$M514,-12))=3),IFERROR(SUMIFS('자료_거시'!$N$3:$N$602,'자료_거시'!$M$3:$M$602,"&gt;"&amp;EDATE('자료_거시'!$M514,-'설정'!$B$17),'자료_거시'!$M$3:$M$602,"&lt;="&amp;'자료_거시'!$M514)/SUMIFS('자료_거시'!$N$3:$N$602,'자료_거시'!$M$3:$M$602,"&gt;"&amp;EDATE('자료_거시'!$M514,-12-'설정'!$B$17),'자료_거시'!$M$3:$M$602,"&lt;="&amp;EDATE('자료_거시'!$M514,-12))-1,""),""),"")</f>
        <v/>
      </c>
      <c r="AF532">
        <f>IF(ISNUMBER(AE532),'자료_거시'!$M514,"")</f>
        <v/>
      </c>
      <c r="AG532">
        <f>IF(ISNUMBER(AF532),IF(AF532&gt;$L$9,AE532,""),"")</f>
        <v/>
      </c>
    </row>
    <row r="533">
      <c r="P533">
        <f>IF(AND(ISNUMBER('자료_거시'!$A515),ISNUMBER('자료_거시'!$B515)),'자료_거시'!$B515,"")</f>
        <v/>
      </c>
      <c r="Q533">
        <f>IF(ISNUMBER(P533),'자료_거시'!$A515,"")</f>
        <v/>
      </c>
      <c r="R533">
        <f>IF(ISNUMBER(Q533),IF(Q533&gt;$L$5,P533,""),"")</f>
        <v/>
      </c>
      <c r="S533">
        <f>IF(ISNUMBER('자료_거시'!$E515),'자료_거시'!$E515,S532)</f>
        <v/>
      </c>
      <c r="T533">
        <f>IF(AND(ISNUMBER('자료_거시'!$D515),ISNUMBER('자료_거시'!$E515)),IFERROR('자료_거시'!$E515-INDEX($S$21:$S$4020,MATCH(EDATE('자료_거시'!$D515,-'설정'!$B$17),'자료_거시'!$D$3:INDEX('자료_거시'!$D$3:$D$4002,$K$6),1)),""),"")</f>
        <v/>
      </c>
      <c r="U533">
        <f>IF(ISNUMBER(T533),'자료_거시'!$D515,"")</f>
        <v/>
      </c>
      <c r="V533">
        <f>IF(ISNUMBER(U533),IF(U533&gt;$L$6,T533,""),"")</f>
        <v/>
      </c>
      <c r="W533">
        <f>IF(AND(ISNUMBER('자료_거시'!$G515),ISNUMBER('자료_거시'!$H515)),'자료_거시'!$H515,"")</f>
        <v/>
      </c>
      <c r="X533">
        <f>IF(ISNUMBER(W533),'자료_거시'!$G515,"")</f>
        <v/>
      </c>
      <c r="Y533">
        <f>IF(ISNUMBER(X533),IF(X533&gt;$L$7,W533,""),"")</f>
        <v/>
      </c>
      <c r="Z533">
        <f>IF(ISNUMBER('자료_거시'!$K515),'자료_거시'!$K515,Z532)</f>
        <v/>
      </c>
      <c r="AA533">
        <f>IF(AND(ISNUMBER('자료_거시'!$J515),ISNUMBER('자료_거시'!$K515)),IFERROR('자료_거시'!$K515/INDEX($Z$21:$Z$4020,MATCH(EDATE('자료_거시'!$J515,-'설정'!$B$17),'자료_거시'!$J$3:INDEX('자료_거시'!$J$3:$J$4002,$K$8),1))-1,""),"")</f>
        <v/>
      </c>
      <c r="AB533">
        <f>IF(ISNUMBER(AA533),'자료_거시'!$J515,"")</f>
        <v/>
      </c>
      <c r="AC533">
        <f>IF(ISNUMBER(AB533),IF(AB533&gt;$L$8,AA533,""),"")</f>
        <v/>
      </c>
      <c r="AD533">
        <f>IF(AND(ISNUMBER('자료_거시'!$M515),ISNUMBER('자료_거시'!$N515)),1,0)</f>
        <v/>
      </c>
      <c r="AE533">
        <f>IF(AND(ISNUMBER('자료_거시'!$M515),ISNUMBER('자료_거시'!$N515)),IF(AND(SUMIFS($AD$21:$AD$620,'자료_거시'!$M$3:$M$602,"&gt;"&amp;EDATE('자료_거시'!$M515,-'설정'!$B$17),'자료_거시'!$M$3:$M$602,"&lt;="&amp;'자료_거시'!$M515)=3,SUMIFS($AD$21:$AD$620,'자료_거시'!$M$3:$M$602,"&gt;"&amp;EDATE('자료_거시'!$M515,-12-'설정'!$B$17),'자료_거시'!$M$3:$M$602,"&lt;="&amp;EDATE('자료_거시'!$M515,-12))=3),IFERROR(SUMIFS('자료_거시'!$N$3:$N$602,'자료_거시'!$M$3:$M$602,"&gt;"&amp;EDATE('자료_거시'!$M515,-'설정'!$B$17),'자료_거시'!$M$3:$M$602,"&lt;="&amp;'자료_거시'!$M515)/SUMIFS('자료_거시'!$N$3:$N$602,'자료_거시'!$M$3:$M$602,"&gt;"&amp;EDATE('자료_거시'!$M515,-12-'설정'!$B$17),'자료_거시'!$M$3:$M$602,"&lt;="&amp;EDATE('자료_거시'!$M515,-12))-1,""),""),"")</f>
        <v/>
      </c>
      <c r="AF533">
        <f>IF(ISNUMBER(AE533),'자료_거시'!$M515,"")</f>
        <v/>
      </c>
      <c r="AG533">
        <f>IF(ISNUMBER(AF533),IF(AF533&gt;$L$9,AE533,""),"")</f>
        <v/>
      </c>
    </row>
    <row r="534">
      <c r="P534">
        <f>IF(AND(ISNUMBER('자료_거시'!$A516),ISNUMBER('자료_거시'!$B516)),'자료_거시'!$B516,"")</f>
        <v/>
      </c>
      <c r="Q534">
        <f>IF(ISNUMBER(P534),'자료_거시'!$A516,"")</f>
        <v/>
      </c>
      <c r="R534">
        <f>IF(ISNUMBER(Q534),IF(Q534&gt;$L$5,P534,""),"")</f>
        <v/>
      </c>
      <c r="S534">
        <f>IF(ISNUMBER('자료_거시'!$E516),'자료_거시'!$E516,S533)</f>
        <v/>
      </c>
      <c r="T534">
        <f>IF(AND(ISNUMBER('자료_거시'!$D516),ISNUMBER('자료_거시'!$E516)),IFERROR('자료_거시'!$E516-INDEX($S$21:$S$4020,MATCH(EDATE('자료_거시'!$D516,-'설정'!$B$17),'자료_거시'!$D$3:INDEX('자료_거시'!$D$3:$D$4002,$K$6),1)),""),"")</f>
        <v/>
      </c>
      <c r="U534">
        <f>IF(ISNUMBER(T534),'자료_거시'!$D516,"")</f>
        <v/>
      </c>
      <c r="V534">
        <f>IF(ISNUMBER(U534),IF(U534&gt;$L$6,T534,""),"")</f>
        <v/>
      </c>
      <c r="W534">
        <f>IF(AND(ISNUMBER('자료_거시'!$G516),ISNUMBER('자료_거시'!$H516)),'자료_거시'!$H516,"")</f>
        <v/>
      </c>
      <c r="X534">
        <f>IF(ISNUMBER(W534),'자료_거시'!$G516,"")</f>
        <v/>
      </c>
      <c r="Y534">
        <f>IF(ISNUMBER(X534),IF(X534&gt;$L$7,W534,""),"")</f>
        <v/>
      </c>
      <c r="Z534">
        <f>IF(ISNUMBER('자료_거시'!$K516),'자료_거시'!$K516,Z533)</f>
        <v/>
      </c>
      <c r="AA534">
        <f>IF(AND(ISNUMBER('자료_거시'!$J516),ISNUMBER('자료_거시'!$K516)),IFERROR('자료_거시'!$K516/INDEX($Z$21:$Z$4020,MATCH(EDATE('자료_거시'!$J516,-'설정'!$B$17),'자료_거시'!$J$3:INDEX('자료_거시'!$J$3:$J$4002,$K$8),1))-1,""),"")</f>
        <v/>
      </c>
      <c r="AB534">
        <f>IF(ISNUMBER(AA534),'자료_거시'!$J516,"")</f>
        <v/>
      </c>
      <c r="AC534">
        <f>IF(ISNUMBER(AB534),IF(AB534&gt;$L$8,AA534,""),"")</f>
        <v/>
      </c>
      <c r="AD534">
        <f>IF(AND(ISNUMBER('자료_거시'!$M516),ISNUMBER('자료_거시'!$N516)),1,0)</f>
        <v/>
      </c>
      <c r="AE534">
        <f>IF(AND(ISNUMBER('자료_거시'!$M516),ISNUMBER('자료_거시'!$N516)),IF(AND(SUMIFS($AD$21:$AD$620,'자료_거시'!$M$3:$M$602,"&gt;"&amp;EDATE('자료_거시'!$M516,-'설정'!$B$17),'자료_거시'!$M$3:$M$602,"&lt;="&amp;'자료_거시'!$M516)=3,SUMIFS($AD$21:$AD$620,'자료_거시'!$M$3:$M$602,"&gt;"&amp;EDATE('자료_거시'!$M516,-12-'설정'!$B$17),'자료_거시'!$M$3:$M$602,"&lt;="&amp;EDATE('자료_거시'!$M516,-12))=3),IFERROR(SUMIFS('자료_거시'!$N$3:$N$602,'자료_거시'!$M$3:$M$602,"&gt;"&amp;EDATE('자료_거시'!$M516,-'설정'!$B$17),'자료_거시'!$M$3:$M$602,"&lt;="&amp;'자료_거시'!$M516)/SUMIFS('자료_거시'!$N$3:$N$602,'자료_거시'!$M$3:$M$602,"&gt;"&amp;EDATE('자료_거시'!$M516,-12-'설정'!$B$17),'자료_거시'!$M$3:$M$602,"&lt;="&amp;EDATE('자료_거시'!$M516,-12))-1,""),""),"")</f>
        <v/>
      </c>
      <c r="AF534">
        <f>IF(ISNUMBER(AE534),'자료_거시'!$M516,"")</f>
        <v/>
      </c>
      <c r="AG534">
        <f>IF(ISNUMBER(AF534),IF(AF534&gt;$L$9,AE534,""),"")</f>
        <v/>
      </c>
    </row>
    <row r="535">
      <c r="P535">
        <f>IF(AND(ISNUMBER('자료_거시'!$A517),ISNUMBER('자료_거시'!$B517)),'자료_거시'!$B517,"")</f>
        <v/>
      </c>
      <c r="Q535">
        <f>IF(ISNUMBER(P535),'자료_거시'!$A517,"")</f>
        <v/>
      </c>
      <c r="R535">
        <f>IF(ISNUMBER(Q535),IF(Q535&gt;$L$5,P535,""),"")</f>
        <v/>
      </c>
      <c r="S535">
        <f>IF(ISNUMBER('자료_거시'!$E517),'자료_거시'!$E517,S534)</f>
        <v/>
      </c>
      <c r="T535">
        <f>IF(AND(ISNUMBER('자료_거시'!$D517),ISNUMBER('자료_거시'!$E517)),IFERROR('자료_거시'!$E517-INDEX($S$21:$S$4020,MATCH(EDATE('자료_거시'!$D517,-'설정'!$B$17),'자료_거시'!$D$3:INDEX('자료_거시'!$D$3:$D$4002,$K$6),1)),""),"")</f>
        <v/>
      </c>
      <c r="U535">
        <f>IF(ISNUMBER(T535),'자료_거시'!$D517,"")</f>
        <v/>
      </c>
      <c r="V535">
        <f>IF(ISNUMBER(U535),IF(U535&gt;$L$6,T535,""),"")</f>
        <v/>
      </c>
      <c r="W535">
        <f>IF(AND(ISNUMBER('자료_거시'!$G517),ISNUMBER('자료_거시'!$H517)),'자료_거시'!$H517,"")</f>
        <v/>
      </c>
      <c r="X535">
        <f>IF(ISNUMBER(W535),'자료_거시'!$G517,"")</f>
        <v/>
      </c>
      <c r="Y535">
        <f>IF(ISNUMBER(X535),IF(X535&gt;$L$7,W535,""),"")</f>
        <v/>
      </c>
      <c r="Z535">
        <f>IF(ISNUMBER('자료_거시'!$K517),'자료_거시'!$K517,Z534)</f>
        <v/>
      </c>
      <c r="AA535">
        <f>IF(AND(ISNUMBER('자료_거시'!$J517),ISNUMBER('자료_거시'!$K517)),IFERROR('자료_거시'!$K517/INDEX($Z$21:$Z$4020,MATCH(EDATE('자료_거시'!$J517,-'설정'!$B$17),'자료_거시'!$J$3:INDEX('자료_거시'!$J$3:$J$4002,$K$8),1))-1,""),"")</f>
        <v/>
      </c>
      <c r="AB535">
        <f>IF(ISNUMBER(AA535),'자료_거시'!$J517,"")</f>
        <v/>
      </c>
      <c r="AC535">
        <f>IF(ISNUMBER(AB535),IF(AB535&gt;$L$8,AA535,""),"")</f>
        <v/>
      </c>
      <c r="AD535">
        <f>IF(AND(ISNUMBER('자료_거시'!$M517),ISNUMBER('자료_거시'!$N517)),1,0)</f>
        <v/>
      </c>
      <c r="AE535">
        <f>IF(AND(ISNUMBER('자료_거시'!$M517),ISNUMBER('자료_거시'!$N517)),IF(AND(SUMIFS($AD$21:$AD$620,'자료_거시'!$M$3:$M$602,"&gt;"&amp;EDATE('자료_거시'!$M517,-'설정'!$B$17),'자료_거시'!$M$3:$M$602,"&lt;="&amp;'자료_거시'!$M517)=3,SUMIFS($AD$21:$AD$620,'자료_거시'!$M$3:$M$602,"&gt;"&amp;EDATE('자료_거시'!$M517,-12-'설정'!$B$17),'자료_거시'!$M$3:$M$602,"&lt;="&amp;EDATE('자료_거시'!$M517,-12))=3),IFERROR(SUMIFS('자료_거시'!$N$3:$N$602,'자료_거시'!$M$3:$M$602,"&gt;"&amp;EDATE('자료_거시'!$M517,-'설정'!$B$17),'자료_거시'!$M$3:$M$602,"&lt;="&amp;'자료_거시'!$M517)/SUMIFS('자료_거시'!$N$3:$N$602,'자료_거시'!$M$3:$M$602,"&gt;"&amp;EDATE('자료_거시'!$M517,-12-'설정'!$B$17),'자료_거시'!$M$3:$M$602,"&lt;="&amp;EDATE('자료_거시'!$M517,-12))-1,""),""),"")</f>
        <v/>
      </c>
      <c r="AF535">
        <f>IF(ISNUMBER(AE535),'자료_거시'!$M517,"")</f>
        <v/>
      </c>
      <c r="AG535">
        <f>IF(ISNUMBER(AF535),IF(AF535&gt;$L$9,AE535,""),"")</f>
        <v/>
      </c>
    </row>
    <row r="536">
      <c r="P536">
        <f>IF(AND(ISNUMBER('자료_거시'!$A518),ISNUMBER('자료_거시'!$B518)),'자료_거시'!$B518,"")</f>
        <v/>
      </c>
      <c r="Q536">
        <f>IF(ISNUMBER(P536),'자료_거시'!$A518,"")</f>
        <v/>
      </c>
      <c r="R536">
        <f>IF(ISNUMBER(Q536),IF(Q536&gt;$L$5,P536,""),"")</f>
        <v/>
      </c>
      <c r="S536">
        <f>IF(ISNUMBER('자료_거시'!$E518),'자료_거시'!$E518,S535)</f>
        <v/>
      </c>
      <c r="T536">
        <f>IF(AND(ISNUMBER('자료_거시'!$D518),ISNUMBER('자료_거시'!$E518)),IFERROR('자료_거시'!$E518-INDEX($S$21:$S$4020,MATCH(EDATE('자료_거시'!$D518,-'설정'!$B$17),'자료_거시'!$D$3:INDEX('자료_거시'!$D$3:$D$4002,$K$6),1)),""),"")</f>
        <v/>
      </c>
      <c r="U536">
        <f>IF(ISNUMBER(T536),'자료_거시'!$D518,"")</f>
        <v/>
      </c>
      <c r="V536">
        <f>IF(ISNUMBER(U536),IF(U536&gt;$L$6,T536,""),"")</f>
        <v/>
      </c>
      <c r="W536">
        <f>IF(AND(ISNUMBER('자료_거시'!$G518),ISNUMBER('자료_거시'!$H518)),'자료_거시'!$H518,"")</f>
        <v/>
      </c>
      <c r="X536">
        <f>IF(ISNUMBER(W536),'자료_거시'!$G518,"")</f>
        <v/>
      </c>
      <c r="Y536">
        <f>IF(ISNUMBER(X536),IF(X536&gt;$L$7,W536,""),"")</f>
        <v/>
      </c>
      <c r="Z536">
        <f>IF(ISNUMBER('자료_거시'!$K518),'자료_거시'!$K518,Z535)</f>
        <v/>
      </c>
      <c r="AA536">
        <f>IF(AND(ISNUMBER('자료_거시'!$J518),ISNUMBER('자료_거시'!$K518)),IFERROR('자료_거시'!$K518/INDEX($Z$21:$Z$4020,MATCH(EDATE('자료_거시'!$J518,-'설정'!$B$17),'자료_거시'!$J$3:INDEX('자료_거시'!$J$3:$J$4002,$K$8),1))-1,""),"")</f>
        <v/>
      </c>
      <c r="AB536">
        <f>IF(ISNUMBER(AA536),'자료_거시'!$J518,"")</f>
        <v/>
      </c>
      <c r="AC536">
        <f>IF(ISNUMBER(AB536),IF(AB536&gt;$L$8,AA536,""),"")</f>
        <v/>
      </c>
      <c r="AD536">
        <f>IF(AND(ISNUMBER('자료_거시'!$M518),ISNUMBER('자료_거시'!$N518)),1,0)</f>
        <v/>
      </c>
      <c r="AE536">
        <f>IF(AND(ISNUMBER('자료_거시'!$M518),ISNUMBER('자료_거시'!$N518)),IF(AND(SUMIFS($AD$21:$AD$620,'자료_거시'!$M$3:$M$602,"&gt;"&amp;EDATE('자료_거시'!$M518,-'설정'!$B$17),'자료_거시'!$M$3:$M$602,"&lt;="&amp;'자료_거시'!$M518)=3,SUMIFS($AD$21:$AD$620,'자료_거시'!$M$3:$M$602,"&gt;"&amp;EDATE('자료_거시'!$M518,-12-'설정'!$B$17),'자료_거시'!$M$3:$M$602,"&lt;="&amp;EDATE('자료_거시'!$M518,-12))=3),IFERROR(SUMIFS('자료_거시'!$N$3:$N$602,'자료_거시'!$M$3:$M$602,"&gt;"&amp;EDATE('자료_거시'!$M518,-'설정'!$B$17),'자료_거시'!$M$3:$M$602,"&lt;="&amp;'자료_거시'!$M518)/SUMIFS('자료_거시'!$N$3:$N$602,'자료_거시'!$M$3:$M$602,"&gt;"&amp;EDATE('자료_거시'!$M518,-12-'설정'!$B$17),'자료_거시'!$M$3:$M$602,"&lt;="&amp;EDATE('자료_거시'!$M518,-12))-1,""),""),"")</f>
        <v/>
      </c>
      <c r="AF536">
        <f>IF(ISNUMBER(AE536),'자료_거시'!$M518,"")</f>
        <v/>
      </c>
      <c r="AG536">
        <f>IF(ISNUMBER(AF536),IF(AF536&gt;$L$9,AE536,""),"")</f>
        <v/>
      </c>
    </row>
    <row r="537">
      <c r="P537">
        <f>IF(AND(ISNUMBER('자료_거시'!$A519),ISNUMBER('자료_거시'!$B519)),'자료_거시'!$B519,"")</f>
        <v/>
      </c>
      <c r="Q537">
        <f>IF(ISNUMBER(P537),'자료_거시'!$A519,"")</f>
        <v/>
      </c>
      <c r="R537">
        <f>IF(ISNUMBER(Q537),IF(Q537&gt;$L$5,P537,""),"")</f>
        <v/>
      </c>
      <c r="S537">
        <f>IF(ISNUMBER('자료_거시'!$E519),'자료_거시'!$E519,S536)</f>
        <v/>
      </c>
      <c r="T537">
        <f>IF(AND(ISNUMBER('자료_거시'!$D519),ISNUMBER('자료_거시'!$E519)),IFERROR('자료_거시'!$E519-INDEX($S$21:$S$4020,MATCH(EDATE('자료_거시'!$D519,-'설정'!$B$17),'자료_거시'!$D$3:INDEX('자료_거시'!$D$3:$D$4002,$K$6),1)),""),"")</f>
        <v/>
      </c>
      <c r="U537">
        <f>IF(ISNUMBER(T537),'자료_거시'!$D519,"")</f>
        <v/>
      </c>
      <c r="V537">
        <f>IF(ISNUMBER(U537),IF(U537&gt;$L$6,T537,""),"")</f>
        <v/>
      </c>
      <c r="W537">
        <f>IF(AND(ISNUMBER('자료_거시'!$G519),ISNUMBER('자료_거시'!$H519)),'자료_거시'!$H519,"")</f>
        <v/>
      </c>
      <c r="X537">
        <f>IF(ISNUMBER(W537),'자료_거시'!$G519,"")</f>
        <v/>
      </c>
      <c r="Y537">
        <f>IF(ISNUMBER(X537),IF(X537&gt;$L$7,W537,""),"")</f>
        <v/>
      </c>
      <c r="Z537">
        <f>IF(ISNUMBER('자료_거시'!$K519),'자료_거시'!$K519,Z536)</f>
        <v/>
      </c>
      <c r="AA537">
        <f>IF(AND(ISNUMBER('자료_거시'!$J519),ISNUMBER('자료_거시'!$K519)),IFERROR('자료_거시'!$K519/INDEX($Z$21:$Z$4020,MATCH(EDATE('자료_거시'!$J519,-'설정'!$B$17),'자료_거시'!$J$3:INDEX('자료_거시'!$J$3:$J$4002,$K$8),1))-1,""),"")</f>
        <v/>
      </c>
      <c r="AB537">
        <f>IF(ISNUMBER(AA537),'자료_거시'!$J519,"")</f>
        <v/>
      </c>
      <c r="AC537">
        <f>IF(ISNUMBER(AB537),IF(AB537&gt;$L$8,AA537,""),"")</f>
        <v/>
      </c>
      <c r="AD537">
        <f>IF(AND(ISNUMBER('자료_거시'!$M519),ISNUMBER('자료_거시'!$N519)),1,0)</f>
        <v/>
      </c>
      <c r="AE537">
        <f>IF(AND(ISNUMBER('자료_거시'!$M519),ISNUMBER('자료_거시'!$N519)),IF(AND(SUMIFS($AD$21:$AD$620,'자료_거시'!$M$3:$M$602,"&gt;"&amp;EDATE('자료_거시'!$M519,-'설정'!$B$17),'자료_거시'!$M$3:$M$602,"&lt;="&amp;'자료_거시'!$M519)=3,SUMIFS($AD$21:$AD$620,'자료_거시'!$M$3:$M$602,"&gt;"&amp;EDATE('자료_거시'!$M519,-12-'설정'!$B$17),'자료_거시'!$M$3:$M$602,"&lt;="&amp;EDATE('자료_거시'!$M519,-12))=3),IFERROR(SUMIFS('자료_거시'!$N$3:$N$602,'자료_거시'!$M$3:$M$602,"&gt;"&amp;EDATE('자료_거시'!$M519,-'설정'!$B$17),'자료_거시'!$M$3:$M$602,"&lt;="&amp;'자료_거시'!$M519)/SUMIFS('자료_거시'!$N$3:$N$602,'자료_거시'!$M$3:$M$602,"&gt;"&amp;EDATE('자료_거시'!$M519,-12-'설정'!$B$17),'자료_거시'!$M$3:$M$602,"&lt;="&amp;EDATE('자료_거시'!$M519,-12))-1,""),""),"")</f>
        <v/>
      </c>
      <c r="AF537">
        <f>IF(ISNUMBER(AE537),'자료_거시'!$M519,"")</f>
        <v/>
      </c>
      <c r="AG537">
        <f>IF(ISNUMBER(AF537),IF(AF537&gt;$L$9,AE537,""),"")</f>
        <v/>
      </c>
    </row>
    <row r="538">
      <c r="P538">
        <f>IF(AND(ISNUMBER('자료_거시'!$A520),ISNUMBER('자료_거시'!$B520)),'자료_거시'!$B520,"")</f>
        <v/>
      </c>
      <c r="Q538">
        <f>IF(ISNUMBER(P538),'자료_거시'!$A520,"")</f>
        <v/>
      </c>
      <c r="R538">
        <f>IF(ISNUMBER(Q538),IF(Q538&gt;$L$5,P538,""),"")</f>
        <v/>
      </c>
      <c r="S538">
        <f>IF(ISNUMBER('자료_거시'!$E520),'자료_거시'!$E520,S537)</f>
        <v/>
      </c>
      <c r="T538">
        <f>IF(AND(ISNUMBER('자료_거시'!$D520),ISNUMBER('자료_거시'!$E520)),IFERROR('자료_거시'!$E520-INDEX($S$21:$S$4020,MATCH(EDATE('자료_거시'!$D520,-'설정'!$B$17),'자료_거시'!$D$3:INDEX('자료_거시'!$D$3:$D$4002,$K$6),1)),""),"")</f>
        <v/>
      </c>
      <c r="U538">
        <f>IF(ISNUMBER(T538),'자료_거시'!$D520,"")</f>
        <v/>
      </c>
      <c r="V538">
        <f>IF(ISNUMBER(U538),IF(U538&gt;$L$6,T538,""),"")</f>
        <v/>
      </c>
      <c r="W538">
        <f>IF(AND(ISNUMBER('자료_거시'!$G520),ISNUMBER('자료_거시'!$H520)),'자료_거시'!$H520,"")</f>
        <v/>
      </c>
      <c r="X538">
        <f>IF(ISNUMBER(W538),'자료_거시'!$G520,"")</f>
        <v/>
      </c>
      <c r="Y538">
        <f>IF(ISNUMBER(X538),IF(X538&gt;$L$7,W538,""),"")</f>
        <v/>
      </c>
      <c r="Z538">
        <f>IF(ISNUMBER('자료_거시'!$K520),'자료_거시'!$K520,Z537)</f>
        <v/>
      </c>
      <c r="AA538">
        <f>IF(AND(ISNUMBER('자료_거시'!$J520),ISNUMBER('자료_거시'!$K520)),IFERROR('자료_거시'!$K520/INDEX($Z$21:$Z$4020,MATCH(EDATE('자료_거시'!$J520,-'설정'!$B$17),'자료_거시'!$J$3:INDEX('자료_거시'!$J$3:$J$4002,$K$8),1))-1,""),"")</f>
        <v/>
      </c>
      <c r="AB538">
        <f>IF(ISNUMBER(AA538),'자료_거시'!$J520,"")</f>
        <v/>
      </c>
      <c r="AC538">
        <f>IF(ISNUMBER(AB538),IF(AB538&gt;$L$8,AA538,""),"")</f>
        <v/>
      </c>
      <c r="AD538">
        <f>IF(AND(ISNUMBER('자료_거시'!$M520),ISNUMBER('자료_거시'!$N520)),1,0)</f>
        <v/>
      </c>
      <c r="AE538">
        <f>IF(AND(ISNUMBER('자료_거시'!$M520),ISNUMBER('자료_거시'!$N520)),IF(AND(SUMIFS($AD$21:$AD$620,'자료_거시'!$M$3:$M$602,"&gt;"&amp;EDATE('자료_거시'!$M520,-'설정'!$B$17),'자료_거시'!$M$3:$M$602,"&lt;="&amp;'자료_거시'!$M520)=3,SUMIFS($AD$21:$AD$620,'자료_거시'!$M$3:$M$602,"&gt;"&amp;EDATE('자료_거시'!$M520,-12-'설정'!$B$17),'자료_거시'!$M$3:$M$602,"&lt;="&amp;EDATE('자료_거시'!$M520,-12))=3),IFERROR(SUMIFS('자료_거시'!$N$3:$N$602,'자료_거시'!$M$3:$M$602,"&gt;"&amp;EDATE('자료_거시'!$M520,-'설정'!$B$17),'자료_거시'!$M$3:$M$602,"&lt;="&amp;'자료_거시'!$M520)/SUMIFS('자료_거시'!$N$3:$N$602,'자료_거시'!$M$3:$M$602,"&gt;"&amp;EDATE('자료_거시'!$M520,-12-'설정'!$B$17),'자료_거시'!$M$3:$M$602,"&lt;="&amp;EDATE('자료_거시'!$M520,-12))-1,""),""),"")</f>
        <v/>
      </c>
      <c r="AF538">
        <f>IF(ISNUMBER(AE538),'자료_거시'!$M520,"")</f>
        <v/>
      </c>
      <c r="AG538">
        <f>IF(ISNUMBER(AF538),IF(AF538&gt;$L$9,AE538,""),"")</f>
        <v/>
      </c>
    </row>
    <row r="539">
      <c r="P539">
        <f>IF(AND(ISNUMBER('자료_거시'!$A521),ISNUMBER('자료_거시'!$B521)),'자료_거시'!$B521,"")</f>
        <v/>
      </c>
      <c r="Q539">
        <f>IF(ISNUMBER(P539),'자료_거시'!$A521,"")</f>
        <v/>
      </c>
      <c r="R539">
        <f>IF(ISNUMBER(Q539),IF(Q539&gt;$L$5,P539,""),"")</f>
        <v/>
      </c>
      <c r="S539">
        <f>IF(ISNUMBER('자료_거시'!$E521),'자료_거시'!$E521,S538)</f>
        <v/>
      </c>
      <c r="T539">
        <f>IF(AND(ISNUMBER('자료_거시'!$D521),ISNUMBER('자료_거시'!$E521)),IFERROR('자료_거시'!$E521-INDEX($S$21:$S$4020,MATCH(EDATE('자료_거시'!$D521,-'설정'!$B$17),'자료_거시'!$D$3:INDEX('자료_거시'!$D$3:$D$4002,$K$6),1)),""),"")</f>
        <v/>
      </c>
      <c r="U539">
        <f>IF(ISNUMBER(T539),'자료_거시'!$D521,"")</f>
        <v/>
      </c>
      <c r="V539">
        <f>IF(ISNUMBER(U539),IF(U539&gt;$L$6,T539,""),"")</f>
        <v/>
      </c>
      <c r="W539">
        <f>IF(AND(ISNUMBER('자료_거시'!$G521),ISNUMBER('자료_거시'!$H521)),'자료_거시'!$H521,"")</f>
        <v/>
      </c>
      <c r="X539">
        <f>IF(ISNUMBER(W539),'자료_거시'!$G521,"")</f>
        <v/>
      </c>
      <c r="Y539">
        <f>IF(ISNUMBER(X539),IF(X539&gt;$L$7,W539,""),"")</f>
        <v/>
      </c>
      <c r="Z539">
        <f>IF(ISNUMBER('자료_거시'!$K521),'자료_거시'!$K521,Z538)</f>
        <v/>
      </c>
      <c r="AA539">
        <f>IF(AND(ISNUMBER('자료_거시'!$J521),ISNUMBER('자료_거시'!$K521)),IFERROR('자료_거시'!$K521/INDEX($Z$21:$Z$4020,MATCH(EDATE('자료_거시'!$J521,-'설정'!$B$17),'자료_거시'!$J$3:INDEX('자료_거시'!$J$3:$J$4002,$K$8),1))-1,""),"")</f>
        <v/>
      </c>
      <c r="AB539">
        <f>IF(ISNUMBER(AA539),'자료_거시'!$J521,"")</f>
        <v/>
      </c>
      <c r="AC539">
        <f>IF(ISNUMBER(AB539),IF(AB539&gt;$L$8,AA539,""),"")</f>
        <v/>
      </c>
      <c r="AD539">
        <f>IF(AND(ISNUMBER('자료_거시'!$M521),ISNUMBER('자료_거시'!$N521)),1,0)</f>
        <v/>
      </c>
      <c r="AE539">
        <f>IF(AND(ISNUMBER('자료_거시'!$M521),ISNUMBER('자료_거시'!$N521)),IF(AND(SUMIFS($AD$21:$AD$620,'자료_거시'!$M$3:$M$602,"&gt;"&amp;EDATE('자료_거시'!$M521,-'설정'!$B$17),'자료_거시'!$M$3:$M$602,"&lt;="&amp;'자료_거시'!$M521)=3,SUMIFS($AD$21:$AD$620,'자료_거시'!$M$3:$M$602,"&gt;"&amp;EDATE('자료_거시'!$M521,-12-'설정'!$B$17),'자료_거시'!$M$3:$M$602,"&lt;="&amp;EDATE('자료_거시'!$M521,-12))=3),IFERROR(SUMIFS('자료_거시'!$N$3:$N$602,'자료_거시'!$M$3:$M$602,"&gt;"&amp;EDATE('자료_거시'!$M521,-'설정'!$B$17),'자료_거시'!$M$3:$M$602,"&lt;="&amp;'자료_거시'!$M521)/SUMIFS('자료_거시'!$N$3:$N$602,'자료_거시'!$M$3:$M$602,"&gt;"&amp;EDATE('자료_거시'!$M521,-12-'설정'!$B$17),'자료_거시'!$M$3:$M$602,"&lt;="&amp;EDATE('자료_거시'!$M521,-12))-1,""),""),"")</f>
        <v/>
      </c>
      <c r="AF539">
        <f>IF(ISNUMBER(AE539),'자료_거시'!$M521,"")</f>
        <v/>
      </c>
      <c r="AG539">
        <f>IF(ISNUMBER(AF539),IF(AF539&gt;$L$9,AE539,""),"")</f>
        <v/>
      </c>
    </row>
    <row r="540">
      <c r="P540">
        <f>IF(AND(ISNUMBER('자료_거시'!$A522),ISNUMBER('자료_거시'!$B522)),'자료_거시'!$B522,"")</f>
        <v/>
      </c>
      <c r="Q540">
        <f>IF(ISNUMBER(P540),'자료_거시'!$A522,"")</f>
        <v/>
      </c>
      <c r="R540">
        <f>IF(ISNUMBER(Q540),IF(Q540&gt;$L$5,P540,""),"")</f>
        <v/>
      </c>
      <c r="S540">
        <f>IF(ISNUMBER('자료_거시'!$E522),'자료_거시'!$E522,S539)</f>
        <v/>
      </c>
      <c r="T540">
        <f>IF(AND(ISNUMBER('자료_거시'!$D522),ISNUMBER('자료_거시'!$E522)),IFERROR('자료_거시'!$E522-INDEX($S$21:$S$4020,MATCH(EDATE('자료_거시'!$D522,-'설정'!$B$17),'자료_거시'!$D$3:INDEX('자료_거시'!$D$3:$D$4002,$K$6),1)),""),"")</f>
        <v/>
      </c>
      <c r="U540">
        <f>IF(ISNUMBER(T540),'자료_거시'!$D522,"")</f>
        <v/>
      </c>
      <c r="V540">
        <f>IF(ISNUMBER(U540),IF(U540&gt;$L$6,T540,""),"")</f>
        <v/>
      </c>
      <c r="W540">
        <f>IF(AND(ISNUMBER('자료_거시'!$G522),ISNUMBER('자료_거시'!$H522)),'자료_거시'!$H522,"")</f>
        <v/>
      </c>
      <c r="X540">
        <f>IF(ISNUMBER(W540),'자료_거시'!$G522,"")</f>
        <v/>
      </c>
      <c r="Y540">
        <f>IF(ISNUMBER(X540),IF(X540&gt;$L$7,W540,""),"")</f>
        <v/>
      </c>
      <c r="Z540">
        <f>IF(ISNUMBER('자료_거시'!$K522),'자료_거시'!$K522,Z539)</f>
        <v/>
      </c>
      <c r="AA540">
        <f>IF(AND(ISNUMBER('자료_거시'!$J522),ISNUMBER('자료_거시'!$K522)),IFERROR('자료_거시'!$K522/INDEX($Z$21:$Z$4020,MATCH(EDATE('자료_거시'!$J522,-'설정'!$B$17),'자료_거시'!$J$3:INDEX('자료_거시'!$J$3:$J$4002,$K$8),1))-1,""),"")</f>
        <v/>
      </c>
      <c r="AB540">
        <f>IF(ISNUMBER(AA540),'자료_거시'!$J522,"")</f>
        <v/>
      </c>
      <c r="AC540">
        <f>IF(ISNUMBER(AB540),IF(AB540&gt;$L$8,AA540,""),"")</f>
        <v/>
      </c>
      <c r="AD540">
        <f>IF(AND(ISNUMBER('자료_거시'!$M522),ISNUMBER('자료_거시'!$N522)),1,0)</f>
        <v/>
      </c>
      <c r="AE540">
        <f>IF(AND(ISNUMBER('자료_거시'!$M522),ISNUMBER('자료_거시'!$N522)),IF(AND(SUMIFS($AD$21:$AD$620,'자료_거시'!$M$3:$M$602,"&gt;"&amp;EDATE('자료_거시'!$M522,-'설정'!$B$17),'자료_거시'!$M$3:$M$602,"&lt;="&amp;'자료_거시'!$M522)=3,SUMIFS($AD$21:$AD$620,'자료_거시'!$M$3:$M$602,"&gt;"&amp;EDATE('자료_거시'!$M522,-12-'설정'!$B$17),'자료_거시'!$M$3:$M$602,"&lt;="&amp;EDATE('자료_거시'!$M522,-12))=3),IFERROR(SUMIFS('자료_거시'!$N$3:$N$602,'자료_거시'!$M$3:$M$602,"&gt;"&amp;EDATE('자료_거시'!$M522,-'설정'!$B$17),'자료_거시'!$M$3:$M$602,"&lt;="&amp;'자료_거시'!$M522)/SUMIFS('자료_거시'!$N$3:$N$602,'자료_거시'!$M$3:$M$602,"&gt;"&amp;EDATE('자료_거시'!$M522,-12-'설정'!$B$17),'자료_거시'!$M$3:$M$602,"&lt;="&amp;EDATE('자료_거시'!$M522,-12))-1,""),""),"")</f>
        <v/>
      </c>
      <c r="AF540">
        <f>IF(ISNUMBER(AE540),'자료_거시'!$M522,"")</f>
        <v/>
      </c>
      <c r="AG540">
        <f>IF(ISNUMBER(AF540),IF(AF540&gt;$L$9,AE540,""),"")</f>
        <v/>
      </c>
    </row>
    <row r="541">
      <c r="P541">
        <f>IF(AND(ISNUMBER('자료_거시'!$A523),ISNUMBER('자료_거시'!$B523)),'자료_거시'!$B523,"")</f>
        <v/>
      </c>
      <c r="Q541">
        <f>IF(ISNUMBER(P541),'자료_거시'!$A523,"")</f>
        <v/>
      </c>
      <c r="R541">
        <f>IF(ISNUMBER(Q541),IF(Q541&gt;$L$5,P541,""),"")</f>
        <v/>
      </c>
      <c r="S541">
        <f>IF(ISNUMBER('자료_거시'!$E523),'자료_거시'!$E523,S540)</f>
        <v/>
      </c>
      <c r="T541">
        <f>IF(AND(ISNUMBER('자료_거시'!$D523),ISNUMBER('자료_거시'!$E523)),IFERROR('자료_거시'!$E523-INDEX($S$21:$S$4020,MATCH(EDATE('자료_거시'!$D523,-'설정'!$B$17),'자료_거시'!$D$3:INDEX('자료_거시'!$D$3:$D$4002,$K$6),1)),""),"")</f>
        <v/>
      </c>
      <c r="U541">
        <f>IF(ISNUMBER(T541),'자료_거시'!$D523,"")</f>
        <v/>
      </c>
      <c r="V541">
        <f>IF(ISNUMBER(U541),IF(U541&gt;$L$6,T541,""),"")</f>
        <v/>
      </c>
      <c r="W541">
        <f>IF(AND(ISNUMBER('자료_거시'!$G523),ISNUMBER('자료_거시'!$H523)),'자료_거시'!$H523,"")</f>
        <v/>
      </c>
      <c r="X541">
        <f>IF(ISNUMBER(W541),'자료_거시'!$G523,"")</f>
        <v/>
      </c>
      <c r="Y541">
        <f>IF(ISNUMBER(X541),IF(X541&gt;$L$7,W541,""),"")</f>
        <v/>
      </c>
      <c r="Z541">
        <f>IF(ISNUMBER('자료_거시'!$K523),'자료_거시'!$K523,Z540)</f>
        <v/>
      </c>
      <c r="AA541">
        <f>IF(AND(ISNUMBER('자료_거시'!$J523),ISNUMBER('자료_거시'!$K523)),IFERROR('자료_거시'!$K523/INDEX($Z$21:$Z$4020,MATCH(EDATE('자료_거시'!$J523,-'설정'!$B$17),'자료_거시'!$J$3:INDEX('자료_거시'!$J$3:$J$4002,$K$8),1))-1,""),"")</f>
        <v/>
      </c>
      <c r="AB541">
        <f>IF(ISNUMBER(AA541),'자료_거시'!$J523,"")</f>
        <v/>
      </c>
      <c r="AC541">
        <f>IF(ISNUMBER(AB541),IF(AB541&gt;$L$8,AA541,""),"")</f>
        <v/>
      </c>
      <c r="AD541">
        <f>IF(AND(ISNUMBER('자료_거시'!$M523),ISNUMBER('자료_거시'!$N523)),1,0)</f>
        <v/>
      </c>
      <c r="AE541">
        <f>IF(AND(ISNUMBER('자료_거시'!$M523),ISNUMBER('자료_거시'!$N523)),IF(AND(SUMIFS($AD$21:$AD$620,'자료_거시'!$M$3:$M$602,"&gt;"&amp;EDATE('자료_거시'!$M523,-'설정'!$B$17),'자료_거시'!$M$3:$M$602,"&lt;="&amp;'자료_거시'!$M523)=3,SUMIFS($AD$21:$AD$620,'자료_거시'!$M$3:$M$602,"&gt;"&amp;EDATE('자료_거시'!$M523,-12-'설정'!$B$17),'자료_거시'!$M$3:$M$602,"&lt;="&amp;EDATE('자료_거시'!$M523,-12))=3),IFERROR(SUMIFS('자료_거시'!$N$3:$N$602,'자료_거시'!$M$3:$M$602,"&gt;"&amp;EDATE('자료_거시'!$M523,-'설정'!$B$17),'자료_거시'!$M$3:$M$602,"&lt;="&amp;'자료_거시'!$M523)/SUMIFS('자료_거시'!$N$3:$N$602,'자료_거시'!$M$3:$M$602,"&gt;"&amp;EDATE('자료_거시'!$M523,-12-'설정'!$B$17),'자료_거시'!$M$3:$M$602,"&lt;="&amp;EDATE('자료_거시'!$M523,-12))-1,""),""),"")</f>
        <v/>
      </c>
      <c r="AF541">
        <f>IF(ISNUMBER(AE541),'자료_거시'!$M523,"")</f>
        <v/>
      </c>
      <c r="AG541">
        <f>IF(ISNUMBER(AF541),IF(AF541&gt;$L$9,AE541,""),"")</f>
        <v/>
      </c>
    </row>
    <row r="542">
      <c r="P542">
        <f>IF(AND(ISNUMBER('자료_거시'!$A524),ISNUMBER('자료_거시'!$B524)),'자료_거시'!$B524,"")</f>
        <v/>
      </c>
      <c r="Q542">
        <f>IF(ISNUMBER(P542),'자료_거시'!$A524,"")</f>
        <v/>
      </c>
      <c r="R542">
        <f>IF(ISNUMBER(Q542),IF(Q542&gt;$L$5,P542,""),"")</f>
        <v/>
      </c>
      <c r="S542">
        <f>IF(ISNUMBER('자료_거시'!$E524),'자료_거시'!$E524,S541)</f>
        <v/>
      </c>
      <c r="T542">
        <f>IF(AND(ISNUMBER('자료_거시'!$D524),ISNUMBER('자료_거시'!$E524)),IFERROR('자료_거시'!$E524-INDEX($S$21:$S$4020,MATCH(EDATE('자료_거시'!$D524,-'설정'!$B$17),'자료_거시'!$D$3:INDEX('자료_거시'!$D$3:$D$4002,$K$6),1)),""),"")</f>
        <v/>
      </c>
      <c r="U542">
        <f>IF(ISNUMBER(T542),'자료_거시'!$D524,"")</f>
        <v/>
      </c>
      <c r="V542">
        <f>IF(ISNUMBER(U542),IF(U542&gt;$L$6,T542,""),"")</f>
        <v/>
      </c>
      <c r="W542">
        <f>IF(AND(ISNUMBER('자료_거시'!$G524),ISNUMBER('자료_거시'!$H524)),'자료_거시'!$H524,"")</f>
        <v/>
      </c>
      <c r="X542">
        <f>IF(ISNUMBER(W542),'자료_거시'!$G524,"")</f>
        <v/>
      </c>
      <c r="Y542">
        <f>IF(ISNUMBER(X542),IF(X542&gt;$L$7,W542,""),"")</f>
        <v/>
      </c>
      <c r="Z542">
        <f>IF(ISNUMBER('자료_거시'!$K524),'자료_거시'!$K524,Z541)</f>
        <v/>
      </c>
      <c r="AA542">
        <f>IF(AND(ISNUMBER('자료_거시'!$J524),ISNUMBER('자료_거시'!$K524)),IFERROR('자료_거시'!$K524/INDEX($Z$21:$Z$4020,MATCH(EDATE('자료_거시'!$J524,-'설정'!$B$17),'자료_거시'!$J$3:INDEX('자료_거시'!$J$3:$J$4002,$K$8),1))-1,""),"")</f>
        <v/>
      </c>
      <c r="AB542">
        <f>IF(ISNUMBER(AA542),'자료_거시'!$J524,"")</f>
        <v/>
      </c>
      <c r="AC542">
        <f>IF(ISNUMBER(AB542),IF(AB542&gt;$L$8,AA542,""),"")</f>
        <v/>
      </c>
      <c r="AD542">
        <f>IF(AND(ISNUMBER('자료_거시'!$M524),ISNUMBER('자료_거시'!$N524)),1,0)</f>
        <v/>
      </c>
      <c r="AE542">
        <f>IF(AND(ISNUMBER('자료_거시'!$M524),ISNUMBER('자료_거시'!$N524)),IF(AND(SUMIFS($AD$21:$AD$620,'자료_거시'!$M$3:$M$602,"&gt;"&amp;EDATE('자료_거시'!$M524,-'설정'!$B$17),'자료_거시'!$M$3:$M$602,"&lt;="&amp;'자료_거시'!$M524)=3,SUMIFS($AD$21:$AD$620,'자료_거시'!$M$3:$M$602,"&gt;"&amp;EDATE('자료_거시'!$M524,-12-'설정'!$B$17),'자료_거시'!$M$3:$M$602,"&lt;="&amp;EDATE('자료_거시'!$M524,-12))=3),IFERROR(SUMIFS('자료_거시'!$N$3:$N$602,'자료_거시'!$M$3:$M$602,"&gt;"&amp;EDATE('자료_거시'!$M524,-'설정'!$B$17),'자료_거시'!$M$3:$M$602,"&lt;="&amp;'자료_거시'!$M524)/SUMIFS('자료_거시'!$N$3:$N$602,'자료_거시'!$M$3:$M$602,"&gt;"&amp;EDATE('자료_거시'!$M524,-12-'설정'!$B$17),'자료_거시'!$M$3:$M$602,"&lt;="&amp;EDATE('자료_거시'!$M524,-12))-1,""),""),"")</f>
        <v/>
      </c>
      <c r="AF542">
        <f>IF(ISNUMBER(AE542),'자료_거시'!$M524,"")</f>
        <v/>
      </c>
      <c r="AG542">
        <f>IF(ISNUMBER(AF542),IF(AF542&gt;$L$9,AE542,""),"")</f>
        <v/>
      </c>
    </row>
    <row r="543">
      <c r="P543">
        <f>IF(AND(ISNUMBER('자료_거시'!$A525),ISNUMBER('자료_거시'!$B525)),'자료_거시'!$B525,"")</f>
        <v/>
      </c>
      <c r="Q543">
        <f>IF(ISNUMBER(P543),'자료_거시'!$A525,"")</f>
        <v/>
      </c>
      <c r="R543">
        <f>IF(ISNUMBER(Q543),IF(Q543&gt;$L$5,P543,""),"")</f>
        <v/>
      </c>
      <c r="S543">
        <f>IF(ISNUMBER('자료_거시'!$E525),'자료_거시'!$E525,S542)</f>
        <v/>
      </c>
      <c r="T543">
        <f>IF(AND(ISNUMBER('자료_거시'!$D525),ISNUMBER('자료_거시'!$E525)),IFERROR('자료_거시'!$E525-INDEX($S$21:$S$4020,MATCH(EDATE('자료_거시'!$D525,-'설정'!$B$17),'자료_거시'!$D$3:INDEX('자료_거시'!$D$3:$D$4002,$K$6),1)),""),"")</f>
        <v/>
      </c>
      <c r="U543">
        <f>IF(ISNUMBER(T543),'자료_거시'!$D525,"")</f>
        <v/>
      </c>
      <c r="V543">
        <f>IF(ISNUMBER(U543),IF(U543&gt;$L$6,T543,""),"")</f>
        <v/>
      </c>
      <c r="W543">
        <f>IF(AND(ISNUMBER('자료_거시'!$G525),ISNUMBER('자료_거시'!$H525)),'자료_거시'!$H525,"")</f>
        <v/>
      </c>
      <c r="X543">
        <f>IF(ISNUMBER(W543),'자료_거시'!$G525,"")</f>
        <v/>
      </c>
      <c r="Y543">
        <f>IF(ISNUMBER(X543),IF(X543&gt;$L$7,W543,""),"")</f>
        <v/>
      </c>
      <c r="Z543">
        <f>IF(ISNUMBER('자료_거시'!$K525),'자료_거시'!$K525,Z542)</f>
        <v/>
      </c>
      <c r="AA543">
        <f>IF(AND(ISNUMBER('자료_거시'!$J525),ISNUMBER('자료_거시'!$K525)),IFERROR('자료_거시'!$K525/INDEX($Z$21:$Z$4020,MATCH(EDATE('자료_거시'!$J525,-'설정'!$B$17),'자료_거시'!$J$3:INDEX('자료_거시'!$J$3:$J$4002,$K$8),1))-1,""),"")</f>
        <v/>
      </c>
      <c r="AB543">
        <f>IF(ISNUMBER(AA543),'자료_거시'!$J525,"")</f>
        <v/>
      </c>
      <c r="AC543">
        <f>IF(ISNUMBER(AB543),IF(AB543&gt;$L$8,AA543,""),"")</f>
        <v/>
      </c>
      <c r="AD543">
        <f>IF(AND(ISNUMBER('자료_거시'!$M525),ISNUMBER('자료_거시'!$N525)),1,0)</f>
        <v/>
      </c>
      <c r="AE543">
        <f>IF(AND(ISNUMBER('자료_거시'!$M525),ISNUMBER('자료_거시'!$N525)),IF(AND(SUMIFS($AD$21:$AD$620,'자료_거시'!$M$3:$M$602,"&gt;"&amp;EDATE('자료_거시'!$M525,-'설정'!$B$17),'자료_거시'!$M$3:$M$602,"&lt;="&amp;'자료_거시'!$M525)=3,SUMIFS($AD$21:$AD$620,'자료_거시'!$M$3:$M$602,"&gt;"&amp;EDATE('자료_거시'!$M525,-12-'설정'!$B$17),'자료_거시'!$M$3:$M$602,"&lt;="&amp;EDATE('자료_거시'!$M525,-12))=3),IFERROR(SUMIFS('자료_거시'!$N$3:$N$602,'자료_거시'!$M$3:$M$602,"&gt;"&amp;EDATE('자료_거시'!$M525,-'설정'!$B$17),'자료_거시'!$M$3:$M$602,"&lt;="&amp;'자료_거시'!$M525)/SUMIFS('자료_거시'!$N$3:$N$602,'자료_거시'!$M$3:$M$602,"&gt;"&amp;EDATE('자료_거시'!$M525,-12-'설정'!$B$17),'자료_거시'!$M$3:$M$602,"&lt;="&amp;EDATE('자료_거시'!$M525,-12))-1,""),""),"")</f>
        <v/>
      </c>
      <c r="AF543">
        <f>IF(ISNUMBER(AE543),'자료_거시'!$M525,"")</f>
        <v/>
      </c>
      <c r="AG543">
        <f>IF(ISNUMBER(AF543),IF(AF543&gt;$L$9,AE543,""),"")</f>
        <v/>
      </c>
    </row>
    <row r="544">
      <c r="P544">
        <f>IF(AND(ISNUMBER('자료_거시'!$A526),ISNUMBER('자료_거시'!$B526)),'자료_거시'!$B526,"")</f>
        <v/>
      </c>
      <c r="Q544">
        <f>IF(ISNUMBER(P544),'자료_거시'!$A526,"")</f>
        <v/>
      </c>
      <c r="R544">
        <f>IF(ISNUMBER(Q544),IF(Q544&gt;$L$5,P544,""),"")</f>
        <v/>
      </c>
      <c r="S544">
        <f>IF(ISNUMBER('자료_거시'!$E526),'자료_거시'!$E526,S543)</f>
        <v/>
      </c>
      <c r="T544">
        <f>IF(AND(ISNUMBER('자료_거시'!$D526),ISNUMBER('자료_거시'!$E526)),IFERROR('자료_거시'!$E526-INDEX($S$21:$S$4020,MATCH(EDATE('자료_거시'!$D526,-'설정'!$B$17),'자료_거시'!$D$3:INDEX('자료_거시'!$D$3:$D$4002,$K$6),1)),""),"")</f>
        <v/>
      </c>
      <c r="U544">
        <f>IF(ISNUMBER(T544),'자료_거시'!$D526,"")</f>
        <v/>
      </c>
      <c r="V544">
        <f>IF(ISNUMBER(U544),IF(U544&gt;$L$6,T544,""),"")</f>
        <v/>
      </c>
      <c r="W544">
        <f>IF(AND(ISNUMBER('자료_거시'!$G526),ISNUMBER('자료_거시'!$H526)),'자료_거시'!$H526,"")</f>
        <v/>
      </c>
      <c r="X544">
        <f>IF(ISNUMBER(W544),'자료_거시'!$G526,"")</f>
        <v/>
      </c>
      <c r="Y544">
        <f>IF(ISNUMBER(X544),IF(X544&gt;$L$7,W544,""),"")</f>
        <v/>
      </c>
      <c r="Z544">
        <f>IF(ISNUMBER('자료_거시'!$K526),'자료_거시'!$K526,Z543)</f>
        <v/>
      </c>
      <c r="AA544">
        <f>IF(AND(ISNUMBER('자료_거시'!$J526),ISNUMBER('자료_거시'!$K526)),IFERROR('자료_거시'!$K526/INDEX($Z$21:$Z$4020,MATCH(EDATE('자료_거시'!$J526,-'설정'!$B$17),'자료_거시'!$J$3:INDEX('자료_거시'!$J$3:$J$4002,$K$8),1))-1,""),"")</f>
        <v/>
      </c>
      <c r="AB544">
        <f>IF(ISNUMBER(AA544),'자료_거시'!$J526,"")</f>
        <v/>
      </c>
      <c r="AC544">
        <f>IF(ISNUMBER(AB544),IF(AB544&gt;$L$8,AA544,""),"")</f>
        <v/>
      </c>
      <c r="AD544">
        <f>IF(AND(ISNUMBER('자료_거시'!$M526),ISNUMBER('자료_거시'!$N526)),1,0)</f>
        <v/>
      </c>
      <c r="AE544">
        <f>IF(AND(ISNUMBER('자료_거시'!$M526),ISNUMBER('자료_거시'!$N526)),IF(AND(SUMIFS($AD$21:$AD$620,'자료_거시'!$M$3:$M$602,"&gt;"&amp;EDATE('자료_거시'!$M526,-'설정'!$B$17),'자료_거시'!$M$3:$M$602,"&lt;="&amp;'자료_거시'!$M526)=3,SUMIFS($AD$21:$AD$620,'자료_거시'!$M$3:$M$602,"&gt;"&amp;EDATE('자료_거시'!$M526,-12-'설정'!$B$17),'자료_거시'!$M$3:$M$602,"&lt;="&amp;EDATE('자료_거시'!$M526,-12))=3),IFERROR(SUMIFS('자료_거시'!$N$3:$N$602,'자료_거시'!$M$3:$M$602,"&gt;"&amp;EDATE('자료_거시'!$M526,-'설정'!$B$17),'자료_거시'!$M$3:$M$602,"&lt;="&amp;'자료_거시'!$M526)/SUMIFS('자료_거시'!$N$3:$N$602,'자료_거시'!$M$3:$M$602,"&gt;"&amp;EDATE('자료_거시'!$M526,-12-'설정'!$B$17),'자료_거시'!$M$3:$M$602,"&lt;="&amp;EDATE('자료_거시'!$M526,-12))-1,""),""),"")</f>
        <v/>
      </c>
      <c r="AF544">
        <f>IF(ISNUMBER(AE544),'자료_거시'!$M526,"")</f>
        <v/>
      </c>
      <c r="AG544">
        <f>IF(ISNUMBER(AF544),IF(AF544&gt;$L$9,AE544,""),"")</f>
        <v/>
      </c>
    </row>
    <row r="545">
      <c r="P545">
        <f>IF(AND(ISNUMBER('자료_거시'!$A527),ISNUMBER('자료_거시'!$B527)),'자료_거시'!$B527,"")</f>
        <v/>
      </c>
      <c r="Q545">
        <f>IF(ISNUMBER(P545),'자료_거시'!$A527,"")</f>
        <v/>
      </c>
      <c r="R545">
        <f>IF(ISNUMBER(Q545),IF(Q545&gt;$L$5,P545,""),"")</f>
        <v/>
      </c>
      <c r="S545">
        <f>IF(ISNUMBER('자료_거시'!$E527),'자료_거시'!$E527,S544)</f>
        <v/>
      </c>
      <c r="T545">
        <f>IF(AND(ISNUMBER('자료_거시'!$D527),ISNUMBER('자료_거시'!$E527)),IFERROR('자료_거시'!$E527-INDEX($S$21:$S$4020,MATCH(EDATE('자료_거시'!$D527,-'설정'!$B$17),'자료_거시'!$D$3:INDEX('자료_거시'!$D$3:$D$4002,$K$6),1)),""),"")</f>
        <v/>
      </c>
      <c r="U545">
        <f>IF(ISNUMBER(T545),'자료_거시'!$D527,"")</f>
        <v/>
      </c>
      <c r="V545">
        <f>IF(ISNUMBER(U545),IF(U545&gt;$L$6,T545,""),"")</f>
        <v/>
      </c>
      <c r="W545">
        <f>IF(AND(ISNUMBER('자료_거시'!$G527),ISNUMBER('자료_거시'!$H527)),'자료_거시'!$H527,"")</f>
        <v/>
      </c>
      <c r="X545">
        <f>IF(ISNUMBER(W545),'자료_거시'!$G527,"")</f>
        <v/>
      </c>
      <c r="Y545">
        <f>IF(ISNUMBER(X545),IF(X545&gt;$L$7,W545,""),"")</f>
        <v/>
      </c>
      <c r="Z545">
        <f>IF(ISNUMBER('자료_거시'!$K527),'자료_거시'!$K527,Z544)</f>
        <v/>
      </c>
      <c r="AA545">
        <f>IF(AND(ISNUMBER('자료_거시'!$J527),ISNUMBER('자료_거시'!$K527)),IFERROR('자료_거시'!$K527/INDEX($Z$21:$Z$4020,MATCH(EDATE('자료_거시'!$J527,-'설정'!$B$17),'자료_거시'!$J$3:INDEX('자료_거시'!$J$3:$J$4002,$K$8),1))-1,""),"")</f>
        <v/>
      </c>
      <c r="AB545">
        <f>IF(ISNUMBER(AA545),'자료_거시'!$J527,"")</f>
        <v/>
      </c>
      <c r="AC545">
        <f>IF(ISNUMBER(AB545),IF(AB545&gt;$L$8,AA545,""),"")</f>
        <v/>
      </c>
      <c r="AD545">
        <f>IF(AND(ISNUMBER('자료_거시'!$M527),ISNUMBER('자료_거시'!$N527)),1,0)</f>
        <v/>
      </c>
      <c r="AE545">
        <f>IF(AND(ISNUMBER('자료_거시'!$M527),ISNUMBER('자료_거시'!$N527)),IF(AND(SUMIFS($AD$21:$AD$620,'자료_거시'!$M$3:$M$602,"&gt;"&amp;EDATE('자료_거시'!$M527,-'설정'!$B$17),'자료_거시'!$M$3:$M$602,"&lt;="&amp;'자료_거시'!$M527)=3,SUMIFS($AD$21:$AD$620,'자료_거시'!$M$3:$M$602,"&gt;"&amp;EDATE('자료_거시'!$M527,-12-'설정'!$B$17),'자료_거시'!$M$3:$M$602,"&lt;="&amp;EDATE('자료_거시'!$M527,-12))=3),IFERROR(SUMIFS('자료_거시'!$N$3:$N$602,'자료_거시'!$M$3:$M$602,"&gt;"&amp;EDATE('자료_거시'!$M527,-'설정'!$B$17),'자료_거시'!$M$3:$M$602,"&lt;="&amp;'자료_거시'!$M527)/SUMIFS('자료_거시'!$N$3:$N$602,'자료_거시'!$M$3:$M$602,"&gt;"&amp;EDATE('자료_거시'!$M527,-12-'설정'!$B$17),'자료_거시'!$M$3:$M$602,"&lt;="&amp;EDATE('자료_거시'!$M527,-12))-1,""),""),"")</f>
        <v/>
      </c>
      <c r="AF545">
        <f>IF(ISNUMBER(AE545),'자료_거시'!$M527,"")</f>
        <v/>
      </c>
      <c r="AG545">
        <f>IF(ISNUMBER(AF545),IF(AF545&gt;$L$9,AE545,""),"")</f>
        <v/>
      </c>
    </row>
    <row r="546">
      <c r="P546">
        <f>IF(AND(ISNUMBER('자료_거시'!$A528),ISNUMBER('자료_거시'!$B528)),'자료_거시'!$B528,"")</f>
        <v/>
      </c>
      <c r="Q546">
        <f>IF(ISNUMBER(P546),'자료_거시'!$A528,"")</f>
        <v/>
      </c>
      <c r="R546">
        <f>IF(ISNUMBER(Q546),IF(Q546&gt;$L$5,P546,""),"")</f>
        <v/>
      </c>
      <c r="S546">
        <f>IF(ISNUMBER('자료_거시'!$E528),'자료_거시'!$E528,S545)</f>
        <v/>
      </c>
      <c r="T546">
        <f>IF(AND(ISNUMBER('자료_거시'!$D528),ISNUMBER('자료_거시'!$E528)),IFERROR('자료_거시'!$E528-INDEX($S$21:$S$4020,MATCH(EDATE('자료_거시'!$D528,-'설정'!$B$17),'자료_거시'!$D$3:INDEX('자료_거시'!$D$3:$D$4002,$K$6),1)),""),"")</f>
        <v/>
      </c>
      <c r="U546">
        <f>IF(ISNUMBER(T546),'자료_거시'!$D528,"")</f>
        <v/>
      </c>
      <c r="V546">
        <f>IF(ISNUMBER(U546),IF(U546&gt;$L$6,T546,""),"")</f>
        <v/>
      </c>
      <c r="W546">
        <f>IF(AND(ISNUMBER('자료_거시'!$G528),ISNUMBER('자료_거시'!$H528)),'자료_거시'!$H528,"")</f>
        <v/>
      </c>
      <c r="X546">
        <f>IF(ISNUMBER(W546),'자료_거시'!$G528,"")</f>
        <v/>
      </c>
      <c r="Y546">
        <f>IF(ISNUMBER(X546),IF(X546&gt;$L$7,W546,""),"")</f>
        <v/>
      </c>
      <c r="Z546">
        <f>IF(ISNUMBER('자료_거시'!$K528),'자료_거시'!$K528,Z545)</f>
        <v/>
      </c>
      <c r="AA546">
        <f>IF(AND(ISNUMBER('자료_거시'!$J528),ISNUMBER('자료_거시'!$K528)),IFERROR('자료_거시'!$K528/INDEX($Z$21:$Z$4020,MATCH(EDATE('자료_거시'!$J528,-'설정'!$B$17),'자료_거시'!$J$3:INDEX('자료_거시'!$J$3:$J$4002,$K$8),1))-1,""),"")</f>
        <v/>
      </c>
      <c r="AB546">
        <f>IF(ISNUMBER(AA546),'자료_거시'!$J528,"")</f>
        <v/>
      </c>
      <c r="AC546">
        <f>IF(ISNUMBER(AB546),IF(AB546&gt;$L$8,AA546,""),"")</f>
        <v/>
      </c>
      <c r="AD546">
        <f>IF(AND(ISNUMBER('자료_거시'!$M528),ISNUMBER('자료_거시'!$N528)),1,0)</f>
        <v/>
      </c>
      <c r="AE546">
        <f>IF(AND(ISNUMBER('자료_거시'!$M528),ISNUMBER('자료_거시'!$N528)),IF(AND(SUMIFS($AD$21:$AD$620,'자료_거시'!$M$3:$M$602,"&gt;"&amp;EDATE('자료_거시'!$M528,-'설정'!$B$17),'자료_거시'!$M$3:$M$602,"&lt;="&amp;'자료_거시'!$M528)=3,SUMIFS($AD$21:$AD$620,'자료_거시'!$M$3:$M$602,"&gt;"&amp;EDATE('자료_거시'!$M528,-12-'설정'!$B$17),'자료_거시'!$M$3:$M$602,"&lt;="&amp;EDATE('자료_거시'!$M528,-12))=3),IFERROR(SUMIFS('자료_거시'!$N$3:$N$602,'자료_거시'!$M$3:$M$602,"&gt;"&amp;EDATE('자료_거시'!$M528,-'설정'!$B$17),'자료_거시'!$M$3:$M$602,"&lt;="&amp;'자료_거시'!$M528)/SUMIFS('자료_거시'!$N$3:$N$602,'자료_거시'!$M$3:$M$602,"&gt;"&amp;EDATE('자료_거시'!$M528,-12-'설정'!$B$17),'자료_거시'!$M$3:$M$602,"&lt;="&amp;EDATE('자료_거시'!$M528,-12))-1,""),""),"")</f>
        <v/>
      </c>
      <c r="AF546">
        <f>IF(ISNUMBER(AE546),'자료_거시'!$M528,"")</f>
        <v/>
      </c>
      <c r="AG546">
        <f>IF(ISNUMBER(AF546),IF(AF546&gt;$L$9,AE546,""),"")</f>
        <v/>
      </c>
    </row>
    <row r="547">
      <c r="P547">
        <f>IF(AND(ISNUMBER('자료_거시'!$A529),ISNUMBER('자료_거시'!$B529)),'자료_거시'!$B529,"")</f>
        <v/>
      </c>
      <c r="Q547">
        <f>IF(ISNUMBER(P547),'자료_거시'!$A529,"")</f>
        <v/>
      </c>
      <c r="R547">
        <f>IF(ISNUMBER(Q547),IF(Q547&gt;$L$5,P547,""),"")</f>
        <v/>
      </c>
      <c r="S547">
        <f>IF(ISNUMBER('자료_거시'!$E529),'자료_거시'!$E529,S546)</f>
        <v/>
      </c>
      <c r="T547">
        <f>IF(AND(ISNUMBER('자료_거시'!$D529),ISNUMBER('자료_거시'!$E529)),IFERROR('자료_거시'!$E529-INDEX($S$21:$S$4020,MATCH(EDATE('자료_거시'!$D529,-'설정'!$B$17),'자료_거시'!$D$3:INDEX('자료_거시'!$D$3:$D$4002,$K$6),1)),""),"")</f>
        <v/>
      </c>
      <c r="U547">
        <f>IF(ISNUMBER(T547),'자료_거시'!$D529,"")</f>
        <v/>
      </c>
      <c r="V547">
        <f>IF(ISNUMBER(U547),IF(U547&gt;$L$6,T547,""),"")</f>
        <v/>
      </c>
      <c r="W547">
        <f>IF(AND(ISNUMBER('자료_거시'!$G529),ISNUMBER('자료_거시'!$H529)),'자료_거시'!$H529,"")</f>
        <v/>
      </c>
      <c r="X547">
        <f>IF(ISNUMBER(W547),'자료_거시'!$G529,"")</f>
        <v/>
      </c>
      <c r="Y547">
        <f>IF(ISNUMBER(X547),IF(X547&gt;$L$7,W547,""),"")</f>
        <v/>
      </c>
      <c r="Z547">
        <f>IF(ISNUMBER('자료_거시'!$K529),'자료_거시'!$K529,Z546)</f>
        <v/>
      </c>
      <c r="AA547">
        <f>IF(AND(ISNUMBER('자료_거시'!$J529),ISNUMBER('자료_거시'!$K529)),IFERROR('자료_거시'!$K529/INDEX($Z$21:$Z$4020,MATCH(EDATE('자료_거시'!$J529,-'설정'!$B$17),'자료_거시'!$J$3:INDEX('자료_거시'!$J$3:$J$4002,$K$8),1))-1,""),"")</f>
        <v/>
      </c>
      <c r="AB547">
        <f>IF(ISNUMBER(AA547),'자료_거시'!$J529,"")</f>
        <v/>
      </c>
      <c r="AC547">
        <f>IF(ISNUMBER(AB547),IF(AB547&gt;$L$8,AA547,""),"")</f>
        <v/>
      </c>
      <c r="AD547">
        <f>IF(AND(ISNUMBER('자료_거시'!$M529),ISNUMBER('자료_거시'!$N529)),1,0)</f>
        <v/>
      </c>
      <c r="AE547">
        <f>IF(AND(ISNUMBER('자료_거시'!$M529),ISNUMBER('자료_거시'!$N529)),IF(AND(SUMIFS($AD$21:$AD$620,'자료_거시'!$M$3:$M$602,"&gt;"&amp;EDATE('자료_거시'!$M529,-'설정'!$B$17),'자료_거시'!$M$3:$M$602,"&lt;="&amp;'자료_거시'!$M529)=3,SUMIFS($AD$21:$AD$620,'자료_거시'!$M$3:$M$602,"&gt;"&amp;EDATE('자료_거시'!$M529,-12-'설정'!$B$17),'자료_거시'!$M$3:$M$602,"&lt;="&amp;EDATE('자료_거시'!$M529,-12))=3),IFERROR(SUMIFS('자료_거시'!$N$3:$N$602,'자료_거시'!$M$3:$M$602,"&gt;"&amp;EDATE('자료_거시'!$M529,-'설정'!$B$17),'자료_거시'!$M$3:$M$602,"&lt;="&amp;'자료_거시'!$M529)/SUMIFS('자료_거시'!$N$3:$N$602,'자료_거시'!$M$3:$M$602,"&gt;"&amp;EDATE('자료_거시'!$M529,-12-'설정'!$B$17),'자료_거시'!$M$3:$M$602,"&lt;="&amp;EDATE('자료_거시'!$M529,-12))-1,""),""),"")</f>
        <v/>
      </c>
      <c r="AF547">
        <f>IF(ISNUMBER(AE547),'자료_거시'!$M529,"")</f>
        <v/>
      </c>
      <c r="AG547">
        <f>IF(ISNUMBER(AF547),IF(AF547&gt;$L$9,AE547,""),"")</f>
        <v/>
      </c>
    </row>
    <row r="548">
      <c r="P548">
        <f>IF(AND(ISNUMBER('자료_거시'!$A530),ISNUMBER('자료_거시'!$B530)),'자료_거시'!$B530,"")</f>
        <v/>
      </c>
      <c r="Q548">
        <f>IF(ISNUMBER(P548),'자료_거시'!$A530,"")</f>
        <v/>
      </c>
      <c r="R548">
        <f>IF(ISNUMBER(Q548),IF(Q548&gt;$L$5,P548,""),"")</f>
        <v/>
      </c>
      <c r="S548">
        <f>IF(ISNUMBER('자료_거시'!$E530),'자료_거시'!$E530,S547)</f>
        <v/>
      </c>
      <c r="T548">
        <f>IF(AND(ISNUMBER('자료_거시'!$D530),ISNUMBER('자료_거시'!$E530)),IFERROR('자료_거시'!$E530-INDEX($S$21:$S$4020,MATCH(EDATE('자료_거시'!$D530,-'설정'!$B$17),'자료_거시'!$D$3:INDEX('자료_거시'!$D$3:$D$4002,$K$6),1)),""),"")</f>
        <v/>
      </c>
      <c r="U548">
        <f>IF(ISNUMBER(T548),'자료_거시'!$D530,"")</f>
        <v/>
      </c>
      <c r="V548">
        <f>IF(ISNUMBER(U548),IF(U548&gt;$L$6,T548,""),"")</f>
        <v/>
      </c>
      <c r="W548">
        <f>IF(AND(ISNUMBER('자료_거시'!$G530),ISNUMBER('자료_거시'!$H530)),'자료_거시'!$H530,"")</f>
        <v/>
      </c>
      <c r="X548">
        <f>IF(ISNUMBER(W548),'자료_거시'!$G530,"")</f>
        <v/>
      </c>
      <c r="Y548">
        <f>IF(ISNUMBER(X548),IF(X548&gt;$L$7,W548,""),"")</f>
        <v/>
      </c>
      <c r="Z548">
        <f>IF(ISNUMBER('자료_거시'!$K530),'자료_거시'!$K530,Z547)</f>
        <v/>
      </c>
      <c r="AA548">
        <f>IF(AND(ISNUMBER('자료_거시'!$J530),ISNUMBER('자료_거시'!$K530)),IFERROR('자료_거시'!$K530/INDEX($Z$21:$Z$4020,MATCH(EDATE('자료_거시'!$J530,-'설정'!$B$17),'자료_거시'!$J$3:INDEX('자료_거시'!$J$3:$J$4002,$K$8),1))-1,""),"")</f>
        <v/>
      </c>
      <c r="AB548">
        <f>IF(ISNUMBER(AA548),'자료_거시'!$J530,"")</f>
        <v/>
      </c>
      <c r="AC548">
        <f>IF(ISNUMBER(AB548),IF(AB548&gt;$L$8,AA548,""),"")</f>
        <v/>
      </c>
      <c r="AD548">
        <f>IF(AND(ISNUMBER('자료_거시'!$M530),ISNUMBER('자료_거시'!$N530)),1,0)</f>
        <v/>
      </c>
      <c r="AE548">
        <f>IF(AND(ISNUMBER('자료_거시'!$M530),ISNUMBER('자료_거시'!$N530)),IF(AND(SUMIFS($AD$21:$AD$620,'자료_거시'!$M$3:$M$602,"&gt;"&amp;EDATE('자료_거시'!$M530,-'설정'!$B$17),'자료_거시'!$M$3:$M$602,"&lt;="&amp;'자료_거시'!$M530)=3,SUMIFS($AD$21:$AD$620,'자료_거시'!$M$3:$M$602,"&gt;"&amp;EDATE('자료_거시'!$M530,-12-'설정'!$B$17),'자료_거시'!$M$3:$M$602,"&lt;="&amp;EDATE('자료_거시'!$M530,-12))=3),IFERROR(SUMIFS('자료_거시'!$N$3:$N$602,'자료_거시'!$M$3:$M$602,"&gt;"&amp;EDATE('자료_거시'!$M530,-'설정'!$B$17),'자료_거시'!$M$3:$M$602,"&lt;="&amp;'자료_거시'!$M530)/SUMIFS('자료_거시'!$N$3:$N$602,'자료_거시'!$M$3:$M$602,"&gt;"&amp;EDATE('자료_거시'!$M530,-12-'설정'!$B$17),'자료_거시'!$M$3:$M$602,"&lt;="&amp;EDATE('자료_거시'!$M530,-12))-1,""),""),"")</f>
        <v/>
      </c>
      <c r="AF548">
        <f>IF(ISNUMBER(AE548),'자료_거시'!$M530,"")</f>
        <v/>
      </c>
      <c r="AG548">
        <f>IF(ISNUMBER(AF548),IF(AF548&gt;$L$9,AE548,""),"")</f>
        <v/>
      </c>
    </row>
    <row r="549">
      <c r="P549">
        <f>IF(AND(ISNUMBER('자료_거시'!$A531),ISNUMBER('자료_거시'!$B531)),'자료_거시'!$B531,"")</f>
        <v/>
      </c>
      <c r="Q549">
        <f>IF(ISNUMBER(P549),'자료_거시'!$A531,"")</f>
        <v/>
      </c>
      <c r="R549">
        <f>IF(ISNUMBER(Q549),IF(Q549&gt;$L$5,P549,""),"")</f>
        <v/>
      </c>
      <c r="S549">
        <f>IF(ISNUMBER('자료_거시'!$E531),'자료_거시'!$E531,S548)</f>
        <v/>
      </c>
      <c r="T549">
        <f>IF(AND(ISNUMBER('자료_거시'!$D531),ISNUMBER('자료_거시'!$E531)),IFERROR('자료_거시'!$E531-INDEX($S$21:$S$4020,MATCH(EDATE('자료_거시'!$D531,-'설정'!$B$17),'자료_거시'!$D$3:INDEX('자료_거시'!$D$3:$D$4002,$K$6),1)),""),"")</f>
        <v/>
      </c>
      <c r="U549">
        <f>IF(ISNUMBER(T549),'자료_거시'!$D531,"")</f>
        <v/>
      </c>
      <c r="V549">
        <f>IF(ISNUMBER(U549),IF(U549&gt;$L$6,T549,""),"")</f>
        <v/>
      </c>
      <c r="W549">
        <f>IF(AND(ISNUMBER('자료_거시'!$G531),ISNUMBER('자료_거시'!$H531)),'자료_거시'!$H531,"")</f>
        <v/>
      </c>
      <c r="X549">
        <f>IF(ISNUMBER(W549),'자료_거시'!$G531,"")</f>
        <v/>
      </c>
      <c r="Y549">
        <f>IF(ISNUMBER(X549),IF(X549&gt;$L$7,W549,""),"")</f>
        <v/>
      </c>
      <c r="Z549">
        <f>IF(ISNUMBER('자료_거시'!$K531),'자료_거시'!$K531,Z548)</f>
        <v/>
      </c>
      <c r="AA549">
        <f>IF(AND(ISNUMBER('자료_거시'!$J531),ISNUMBER('자료_거시'!$K531)),IFERROR('자료_거시'!$K531/INDEX($Z$21:$Z$4020,MATCH(EDATE('자료_거시'!$J531,-'설정'!$B$17),'자료_거시'!$J$3:INDEX('자료_거시'!$J$3:$J$4002,$K$8),1))-1,""),"")</f>
        <v/>
      </c>
      <c r="AB549">
        <f>IF(ISNUMBER(AA549),'자료_거시'!$J531,"")</f>
        <v/>
      </c>
      <c r="AC549">
        <f>IF(ISNUMBER(AB549),IF(AB549&gt;$L$8,AA549,""),"")</f>
        <v/>
      </c>
      <c r="AD549">
        <f>IF(AND(ISNUMBER('자료_거시'!$M531),ISNUMBER('자료_거시'!$N531)),1,0)</f>
        <v/>
      </c>
      <c r="AE549">
        <f>IF(AND(ISNUMBER('자료_거시'!$M531),ISNUMBER('자료_거시'!$N531)),IF(AND(SUMIFS($AD$21:$AD$620,'자료_거시'!$M$3:$M$602,"&gt;"&amp;EDATE('자료_거시'!$M531,-'설정'!$B$17),'자료_거시'!$M$3:$M$602,"&lt;="&amp;'자료_거시'!$M531)=3,SUMIFS($AD$21:$AD$620,'자료_거시'!$M$3:$M$602,"&gt;"&amp;EDATE('자료_거시'!$M531,-12-'설정'!$B$17),'자료_거시'!$M$3:$M$602,"&lt;="&amp;EDATE('자료_거시'!$M531,-12))=3),IFERROR(SUMIFS('자료_거시'!$N$3:$N$602,'자료_거시'!$M$3:$M$602,"&gt;"&amp;EDATE('자료_거시'!$M531,-'설정'!$B$17),'자료_거시'!$M$3:$M$602,"&lt;="&amp;'자료_거시'!$M531)/SUMIFS('자료_거시'!$N$3:$N$602,'자료_거시'!$M$3:$M$602,"&gt;"&amp;EDATE('자료_거시'!$M531,-12-'설정'!$B$17),'자료_거시'!$M$3:$M$602,"&lt;="&amp;EDATE('자료_거시'!$M531,-12))-1,""),""),"")</f>
        <v/>
      </c>
      <c r="AF549">
        <f>IF(ISNUMBER(AE549),'자료_거시'!$M531,"")</f>
        <v/>
      </c>
      <c r="AG549">
        <f>IF(ISNUMBER(AF549),IF(AF549&gt;$L$9,AE549,""),"")</f>
        <v/>
      </c>
    </row>
    <row r="550">
      <c r="P550">
        <f>IF(AND(ISNUMBER('자료_거시'!$A532),ISNUMBER('자료_거시'!$B532)),'자료_거시'!$B532,"")</f>
        <v/>
      </c>
      <c r="Q550">
        <f>IF(ISNUMBER(P550),'자료_거시'!$A532,"")</f>
        <v/>
      </c>
      <c r="R550">
        <f>IF(ISNUMBER(Q550),IF(Q550&gt;$L$5,P550,""),"")</f>
        <v/>
      </c>
      <c r="S550">
        <f>IF(ISNUMBER('자료_거시'!$E532),'자료_거시'!$E532,S549)</f>
        <v/>
      </c>
      <c r="T550">
        <f>IF(AND(ISNUMBER('자료_거시'!$D532),ISNUMBER('자료_거시'!$E532)),IFERROR('자료_거시'!$E532-INDEX($S$21:$S$4020,MATCH(EDATE('자료_거시'!$D532,-'설정'!$B$17),'자료_거시'!$D$3:INDEX('자료_거시'!$D$3:$D$4002,$K$6),1)),""),"")</f>
        <v/>
      </c>
      <c r="U550">
        <f>IF(ISNUMBER(T550),'자료_거시'!$D532,"")</f>
        <v/>
      </c>
      <c r="V550">
        <f>IF(ISNUMBER(U550),IF(U550&gt;$L$6,T550,""),"")</f>
        <v/>
      </c>
      <c r="W550">
        <f>IF(AND(ISNUMBER('자료_거시'!$G532),ISNUMBER('자료_거시'!$H532)),'자료_거시'!$H532,"")</f>
        <v/>
      </c>
      <c r="X550">
        <f>IF(ISNUMBER(W550),'자료_거시'!$G532,"")</f>
        <v/>
      </c>
      <c r="Y550">
        <f>IF(ISNUMBER(X550),IF(X550&gt;$L$7,W550,""),"")</f>
        <v/>
      </c>
      <c r="Z550">
        <f>IF(ISNUMBER('자료_거시'!$K532),'자료_거시'!$K532,Z549)</f>
        <v/>
      </c>
      <c r="AA550">
        <f>IF(AND(ISNUMBER('자료_거시'!$J532),ISNUMBER('자료_거시'!$K532)),IFERROR('자료_거시'!$K532/INDEX($Z$21:$Z$4020,MATCH(EDATE('자료_거시'!$J532,-'설정'!$B$17),'자료_거시'!$J$3:INDEX('자료_거시'!$J$3:$J$4002,$K$8),1))-1,""),"")</f>
        <v/>
      </c>
      <c r="AB550">
        <f>IF(ISNUMBER(AA550),'자료_거시'!$J532,"")</f>
        <v/>
      </c>
      <c r="AC550">
        <f>IF(ISNUMBER(AB550),IF(AB550&gt;$L$8,AA550,""),"")</f>
        <v/>
      </c>
      <c r="AD550">
        <f>IF(AND(ISNUMBER('자료_거시'!$M532),ISNUMBER('자료_거시'!$N532)),1,0)</f>
        <v/>
      </c>
      <c r="AE550">
        <f>IF(AND(ISNUMBER('자료_거시'!$M532),ISNUMBER('자료_거시'!$N532)),IF(AND(SUMIFS($AD$21:$AD$620,'자료_거시'!$M$3:$M$602,"&gt;"&amp;EDATE('자료_거시'!$M532,-'설정'!$B$17),'자료_거시'!$M$3:$M$602,"&lt;="&amp;'자료_거시'!$M532)=3,SUMIFS($AD$21:$AD$620,'자료_거시'!$M$3:$M$602,"&gt;"&amp;EDATE('자료_거시'!$M532,-12-'설정'!$B$17),'자료_거시'!$M$3:$M$602,"&lt;="&amp;EDATE('자료_거시'!$M532,-12))=3),IFERROR(SUMIFS('자료_거시'!$N$3:$N$602,'자료_거시'!$M$3:$M$602,"&gt;"&amp;EDATE('자료_거시'!$M532,-'설정'!$B$17),'자료_거시'!$M$3:$M$602,"&lt;="&amp;'자료_거시'!$M532)/SUMIFS('자료_거시'!$N$3:$N$602,'자료_거시'!$M$3:$M$602,"&gt;"&amp;EDATE('자료_거시'!$M532,-12-'설정'!$B$17),'자료_거시'!$M$3:$M$602,"&lt;="&amp;EDATE('자료_거시'!$M532,-12))-1,""),""),"")</f>
        <v/>
      </c>
      <c r="AF550">
        <f>IF(ISNUMBER(AE550),'자료_거시'!$M532,"")</f>
        <v/>
      </c>
      <c r="AG550">
        <f>IF(ISNUMBER(AF550),IF(AF550&gt;$L$9,AE550,""),"")</f>
        <v/>
      </c>
    </row>
    <row r="551">
      <c r="P551">
        <f>IF(AND(ISNUMBER('자료_거시'!$A533),ISNUMBER('자료_거시'!$B533)),'자료_거시'!$B533,"")</f>
        <v/>
      </c>
      <c r="Q551">
        <f>IF(ISNUMBER(P551),'자료_거시'!$A533,"")</f>
        <v/>
      </c>
      <c r="R551">
        <f>IF(ISNUMBER(Q551),IF(Q551&gt;$L$5,P551,""),"")</f>
        <v/>
      </c>
      <c r="S551">
        <f>IF(ISNUMBER('자료_거시'!$E533),'자료_거시'!$E533,S550)</f>
        <v/>
      </c>
      <c r="T551">
        <f>IF(AND(ISNUMBER('자료_거시'!$D533),ISNUMBER('자료_거시'!$E533)),IFERROR('자료_거시'!$E533-INDEX($S$21:$S$4020,MATCH(EDATE('자료_거시'!$D533,-'설정'!$B$17),'자료_거시'!$D$3:INDEX('자료_거시'!$D$3:$D$4002,$K$6),1)),""),"")</f>
        <v/>
      </c>
      <c r="U551">
        <f>IF(ISNUMBER(T551),'자료_거시'!$D533,"")</f>
        <v/>
      </c>
      <c r="V551">
        <f>IF(ISNUMBER(U551),IF(U551&gt;$L$6,T551,""),"")</f>
        <v/>
      </c>
      <c r="W551">
        <f>IF(AND(ISNUMBER('자료_거시'!$G533),ISNUMBER('자료_거시'!$H533)),'자료_거시'!$H533,"")</f>
        <v/>
      </c>
      <c r="X551">
        <f>IF(ISNUMBER(W551),'자료_거시'!$G533,"")</f>
        <v/>
      </c>
      <c r="Y551">
        <f>IF(ISNUMBER(X551),IF(X551&gt;$L$7,W551,""),"")</f>
        <v/>
      </c>
      <c r="Z551">
        <f>IF(ISNUMBER('자료_거시'!$K533),'자료_거시'!$K533,Z550)</f>
        <v/>
      </c>
      <c r="AA551">
        <f>IF(AND(ISNUMBER('자료_거시'!$J533),ISNUMBER('자료_거시'!$K533)),IFERROR('자료_거시'!$K533/INDEX($Z$21:$Z$4020,MATCH(EDATE('자료_거시'!$J533,-'설정'!$B$17),'자료_거시'!$J$3:INDEX('자료_거시'!$J$3:$J$4002,$K$8),1))-1,""),"")</f>
        <v/>
      </c>
      <c r="AB551">
        <f>IF(ISNUMBER(AA551),'자료_거시'!$J533,"")</f>
        <v/>
      </c>
      <c r="AC551">
        <f>IF(ISNUMBER(AB551),IF(AB551&gt;$L$8,AA551,""),"")</f>
        <v/>
      </c>
      <c r="AD551">
        <f>IF(AND(ISNUMBER('자료_거시'!$M533),ISNUMBER('자료_거시'!$N533)),1,0)</f>
        <v/>
      </c>
      <c r="AE551">
        <f>IF(AND(ISNUMBER('자료_거시'!$M533),ISNUMBER('자료_거시'!$N533)),IF(AND(SUMIFS($AD$21:$AD$620,'자료_거시'!$M$3:$M$602,"&gt;"&amp;EDATE('자료_거시'!$M533,-'설정'!$B$17),'자료_거시'!$M$3:$M$602,"&lt;="&amp;'자료_거시'!$M533)=3,SUMIFS($AD$21:$AD$620,'자료_거시'!$M$3:$M$602,"&gt;"&amp;EDATE('자료_거시'!$M533,-12-'설정'!$B$17),'자료_거시'!$M$3:$M$602,"&lt;="&amp;EDATE('자료_거시'!$M533,-12))=3),IFERROR(SUMIFS('자료_거시'!$N$3:$N$602,'자료_거시'!$M$3:$M$602,"&gt;"&amp;EDATE('자료_거시'!$M533,-'설정'!$B$17),'자료_거시'!$M$3:$M$602,"&lt;="&amp;'자료_거시'!$M533)/SUMIFS('자료_거시'!$N$3:$N$602,'자료_거시'!$M$3:$M$602,"&gt;"&amp;EDATE('자료_거시'!$M533,-12-'설정'!$B$17),'자료_거시'!$M$3:$M$602,"&lt;="&amp;EDATE('자료_거시'!$M533,-12))-1,""),""),"")</f>
        <v/>
      </c>
      <c r="AF551">
        <f>IF(ISNUMBER(AE551),'자료_거시'!$M533,"")</f>
        <v/>
      </c>
      <c r="AG551">
        <f>IF(ISNUMBER(AF551),IF(AF551&gt;$L$9,AE551,""),"")</f>
        <v/>
      </c>
    </row>
    <row r="552">
      <c r="P552">
        <f>IF(AND(ISNUMBER('자료_거시'!$A534),ISNUMBER('자료_거시'!$B534)),'자료_거시'!$B534,"")</f>
        <v/>
      </c>
      <c r="Q552">
        <f>IF(ISNUMBER(P552),'자료_거시'!$A534,"")</f>
        <v/>
      </c>
      <c r="R552">
        <f>IF(ISNUMBER(Q552),IF(Q552&gt;$L$5,P552,""),"")</f>
        <v/>
      </c>
      <c r="S552">
        <f>IF(ISNUMBER('자료_거시'!$E534),'자료_거시'!$E534,S551)</f>
        <v/>
      </c>
      <c r="T552">
        <f>IF(AND(ISNUMBER('자료_거시'!$D534),ISNUMBER('자료_거시'!$E534)),IFERROR('자료_거시'!$E534-INDEX($S$21:$S$4020,MATCH(EDATE('자료_거시'!$D534,-'설정'!$B$17),'자료_거시'!$D$3:INDEX('자료_거시'!$D$3:$D$4002,$K$6),1)),""),"")</f>
        <v/>
      </c>
      <c r="U552">
        <f>IF(ISNUMBER(T552),'자료_거시'!$D534,"")</f>
        <v/>
      </c>
      <c r="V552">
        <f>IF(ISNUMBER(U552),IF(U552&gt;$L$6,T552,""),"")</f>
        <v/>
      </c>
      <c r="W552">
        <f>IF(AND(ISNUMBER('자료_거시'!$G534),ISNUMBER('자료_거시'!$H534)),'자료_거시'!$H534,"")</f>
        <v/>
      </c>
      <c r="X552">
        <f>IF(ISNUMBER(W552),'자료_거시'!$G534,"")</f>
        <v/>
      </c>
      <c r="Y552">
        <f>IF(ISNUMBER(X552),IF(X552&gt;$L$7,W552,""),"")</f>
        <v/>
      </c>
      <c r="Z552">
        <f>IF(ISNUMBER('자료_거시'!$K534),'자료_거시'!$K534,Z551)</f>
        <v/>
      </c>
      <c r="AA552">
        <f>IF(AND(ISNUMBER('자료_거시'!$J534),ISNUMBER('자료_거시'!$K534)),IFERROR('자료_거시'!$K534/INDEX($Z$21:$Z$4020,MATCH(EDATE('자료_거시'!$J534,-'설정'!$B$17),'자료_거시'!$J$3:INDEX('자료_거시'!$J$3:$J$4002,$K$8),1))-1,""),"")</f>
        <v/>
      </c>
      <c r="AB552">
        <f>IF(ISNUMBER(AA552),'자료_거시'!$J534,"")</f>
        <v/>
      </c>
      <c r="AC552">
        <f>IF(ISNUMBER(AB552),IF(AB552&gt;$L$8,AA552,""),"")</f>
        <v/>
      </c>
      <c r="AD552">
        <f>IF(AND(ISNUMBER('자료_거시'!$M534),ISNUMBER('자료_거시'!$N534)),1,0)</f>
        <v/>
      </c>
      <c r="AE552">
        <f>IF(AND(ISNUMBER('자료_거시'!$M534),ISNUMBER('자료_거시'!$N534)),IF(AND(SUMIFS($AD$21:$AD$620,'자료_거시'!$M$3:$M$602,"&gt;"&amp;EDATE('자료_거시'!$M534,-'설정'!$B$17),'자료_거시'!$M$3:$M$602,"&lt;="&amp;'자료_거시'!$M534)=3,SUMIFS($AD$21:$AD$620,'자료_거시'!$M$3:$M$602,"&gt;"&amp;EDATE('자료_거시'!$M534,-12-'설정'!$B$17),'자료_거시'!$M$3:$M$602,"&lt;="&amp;EDATE('자료_거시'!$M534,-12))=3),IFERROR(SUMIFS('자료_거시'!$N$3:$N$602,'자료_거시'!$M$3:$M$602,"&gt;"&amp;EDATE('자료_거시'!$M534,-'설정'!$B$17),'자료_거시'!$M$3:$M$602,"&lt;="&amp;'자료_거시'!$M534)/SUMIFS('자료_거시'!$N$3:$N$602,'자료_거시'!$M$3:$M$602,"&gt;"&amp;EDATE('자료_거시'!$M534,-12-'설정'!$B$17),'자료_거시'!$M$3:$M$602,"&lt;="&amp;EDATE('자료_거시'!$M534,-12))-1,""),""),"")</f>
        <v/>
      </c>
      <c r="AF552">
        <f>IF(ISNUMBER(AE552),'자료_거시'!$M534,"")</f>
        <v/>
      </c>
      <c r="AG552">
        <f>IF(ISNUMBER(AF552),IF(AF552&gt;$L$9,AE552,""),"")</f>
        <v/>
      </c>
    </row>
    <row r="553">
      <c r="P553">
        <f>IF(AND(ISNUMBER('자료_거시'!$A535),ISNUMBER('자료_거시'!$B535)),'자료_거시'!$B535,"")</f>
        <v/>
      </c>
      <c r="Q553">
        <f>IF(ISNUMBER(P553),'자료_거시'!$A535,"")</f>
        <v/>
      </c>
      <c r="R553">
        <f>IF(ISNUMBER(Q553),IF(Q553&gt;$L$5,P553,""),"")</f>
        <v/>
      </c>
      <c r="S553">
        <f>IF(ISNUMBER('자료_거시'!$E535),'자료_거시'!$E535,S552)</f>
        <v/>
      </c>
      <c r="T553">
        <f>IF(AND(ISNUMBER('자료_거시'!$D535),ISNUMBER('자료_거시'!$E535)),IFERROR('자료_거시'!$E535-INDEX($S$21:$S$4020,MATCH(EDATE('자료_거시'!$D535,-'설정'!$B$17),'자료_거시'!$D$3:INDEX('자료_거시'!$D$3:$D$4002,$K$6),1)),""),"")</f>
        <v/>
      </c>
      <c r="U553">
        <f>IF(ISNUMBER(T553),'자료_거시'!$D535,"")</f>
        <v/>
      </c>
      <c r="V553">
        <f>IF(ISNUMBER(U553),IF(U553&gt;$L$6,T553,""),"")</f>
        <v/>
      </c>
      <c r="W553">
        <f>IF(AND(ISNUMBER('자료_거시'!$G535),ISNUMBER('자료_거시'!$H535)),'자료_거시'!$H535,"")</f>
        <v/>
      </c>
      <c r="X553">
        <f>IF(ISNUMBER(W553),'자료_거시'!$G535,"")</f>
        <v/>
      </c>
      <c r="Y553">
        <f>IF(ISNUMBER(X553),IF(X553&gt;$L$7,W553,""),"")</f>
        <v/>
      </c>
      <c r="Z553">
        <f>IF(ISNUMBER('자료_거시'!$K535),'자료_거시'!$K535,Z552)</f>
        <v/>
      </c>
      <c r="AA553">
        <f>IF(AND(ISNUMBER('자료_거시'!$J535),ISNUMBER('자료_거시'!$K535)),IFERROR('자료_거시'!$K535/INDEX($Z$21:$Z$4020,MATCH(EDATE('자료_거시'!$J535,-'설정'!$B$17),'자료_거시'!$J$3:INDEX('자료_거시'!$J$3:$J$4002,$K$8),1))-1,""),"")</f>
        <v/>
      </c>
      <c r="AB553">
        <f>IF(ISNUMBER(AA553),'자료_거시'!$J535,"")</f>
        <v/>
      </c>
      <c r="AC553">
        <f>IF(ISNUMBER(AB553),IF(AB553&gt;$L$8,AA553,""),"")</f>
        <v/>
      </c>
      <c r="AD553">
        <f>IF(AND(ISNUMBER('자료_거시'!$M535),ISNUMBER('자료_거시'!$N535)),1,0)</f>
        <v/>
      </c>
      <c r="AE553">
        <f>IF(AND(ISNUMBER('자료_거시'!$M535),ISNUMBER('자료_거시'!$N535)),IF(AND(SUMIFS($AD$21:$AD$620,'자료_거시'!$M$3:$M$602,"&gt;"&amp;EDATE('자료_거시'!$M535,-'설정'!$B$17),'자료_거시'!$M$3:$M$602,"&lt;="&amp;'자료_거시'!$M535)=3,SUMIFS($AD$21:$AD$620,'자료_거시'!$M$3:$M$602,"&gt;"&amp;EDATE('자료_거시'!$M535,-12-'설정'!$B$17),'자료_거시'!$M$3:$M$602,"&lt;="&amp;EDATE('자료_거시'!$M535,-12))=3),IFERROR(SUMIFS('자료_거시'!$N$3:$N$602,'자료_거시'!$M$3:$M$602,"&gt;"&amp;EDATE('자료_거시'!$M535,-'설정'!$B$17),'자료_거시'!$M$3:$M$602,"&lt;="&amp;'자료_거시'!$M535)/SUMIFS('자료_거시'!$N$3:$N$602,'자료_거시'!$M$3:$M$602,"&gt;"&amp;EDATE('자료_거시'!$M535,-12-'설정'!$B$17),'자료_거시'!$M$3:$M$602,"&lt;="&amp;EDATE('자료_거시'!$M535,-12))-1,""),""),"")</f>
        <v/>
      </c>
      <c r="AF553">
        <f>IF(ISNUMBER(AE553),'자료_거시'!$M535,"")</f>
        <v/>
      </c>
      <c r="AG553">
        <f>IF(ISNUMBER(AF553),IF(AF553&gt;$L$9,AE553,""),"")</f>
        <v/>
      </c>
    </row>
    <row r="554">
      <c r="P554">
        <f>IF(AND(ISNUMBER('자료_거시'!$A536),ISNUMBER('자료_거시'!$B536)),'자료_거시'!$B536,"")</f>
        <v/>
      </c>
      <c r="Q554">
        <f>IF(ISNUMBER(P554),'자료_거시'!$A536,"")</f>
        <v/>
      </c>
      <c r="R554">
        <f>IF(ISNUMBER(Q554),IF(Q554&gt;$L$5,P554,""),"")</f>
        <v/>
      </c>
      <c r="S554">
        <f>IF(ISNUMBER('자료_거시'!$E536),'자료_거시'!$E536,S553)</f>
        <v/>
      </c>
      <c r="T554">
        <f>IF(AND(ISNUMBER('자료_거시'!$D536),ISNUMBER('자료_거시'!$E536)),IFERROR('자료_거시'!$E536-INDEX($S$21:$S$4020,MATCH(EDATE('자료_거시'!$D536,-'설정'!$B$17),'자료_거시'!$D$3:INDEX('자료_거시'!$D$3:$D$4002,$K$6),1)),""),"")</f>
        <v/>
      </c>
      <c r="U554">
        <f>IF(ISNUMBER(T554),'자료_거시'!$D536,"")</f>
        <v/>
      </c>
      <c r="V554">
        <f>IF(ISNUMBER(U554),IF(U554&gt;$L$6,T554,""),"")</f>
        <v/>
      </c>
      <c r="W554">
        <f>IF(AND(ISNUMBER('자료_거시'!$G536),ISNUMBER('자료_거시'!$H536)),'자료_거시'!$H536,"")</f>
        <v/>
      </c>
      <c r="X554">
        <f>IF(ISNUMBER(W554),'자료_거시'!$G536,"")</f>
        <v/>
      </c>
      <c r="Y554">
        <f>IF(ISNUMBER(X554),IF(X554&gt;$L$7,W554,""),"")</f>
        <v/>
      </c>
      <c r="Z554">
        <f>IF(ISNUMBER('자료_거시'!$K536),'자료_거시'!$K536,Z553)</f>
        <v/>
      </c>
      <c r="AA554">
        <f>IF(AND(ISNUMBER('자료_거시'!$J536),ISNUMBER('자료_거시'!$K536)),IFERROR('자료_거시'!$K536/INDEX($Z$21:$Z$4020,MATCH(EDATE('자료_거시'!$J536,-'설정'!$B$17),'자료_거시'!$J$3:INDEX('자료_거시'!$J$3:$J$4002,$K$8),1))-1,""),"")</f>
        <v/>
      </c>
      <c r="AB554">
        <f>IF(ISNUMBER(AA554),'자료_거시'!$J536,"")</f>
        <v/>
      </c>
      <c r="AC554">
        <f>IF(ISNUMBER(AB554),IF(AB554&gt;$L$8,AA554,""),"")</f>
        <v/>
      </c>
      <c r="AD554">
        <f>IF(AND(ISNUMBER('자료_거시'!$M536),ISNUMBER('자료_거시'!$N536)),1,0)</f>
        <v/>
      </c>
      <c r="AE554">
        <f>IF(AND(ISNUMBER('자료_거시'!$M536),ISNUMBER('자료_거시'!$N536)),IF(AND(SUMIFS($AD$21:$AD$620,'자료_거시'!$M$3:$M$602,"&gt;"&amp;EDATE('자료_거시'!$M536,-'설정'!$B$17),'자료_거시'!$M$3:$M$602,"&lt;="&amp;'자료_거시'!$M536)=3,SUMIFS($AD$21:$AD$620,'자료_거시'!$M$3:$M$602,"&gt;"&amp;EDATE('자료_거시'!$M536,-12-'설정'!$B$17),'자료_거시'!$M$3:$M$602,"&lt;="&amp;EDATE('자료_거시'!$M536,-12))=3),IFERROR(SUMIFS('자료_거시'!$N$3:$N$602,'자료_거시'!$M$3:$M$602,"&gt;"&amp;EDATE('자료_거시'!$M536,-'설정'!$B$17),'자료_거시'!$M$3:$M$602,"&lt;="&amp;'자료_거시'!$M536)/SUMIFS('자료_거시'!$N$3:$N$602,'자료_거시'!$M$3:$M$602,"&gt;"&amp;EDATE('자료_거시'!$M536,-12-'설정'!$B$17),'자료_거시'!$M$3:$M$602,"&lt;="&amp;EDATE('자료_거시'!$M536,-12))-1,""),""),"")</f>
        <v/>
      </c>
      <c r="AF554">
        <f>IF(ISNUMBER(AE554),'자료_거시'!$M536,"")</f>
        <v/>
      </c>
      <c r="AG554">
        <f>IF(ISNUMBER(AF554),IF(AF554&gt;$L$9,AE554,""),"")</f>
        <v/>
      </c>
    </row>
    <row r="555">
      <c r="P555">
        <f>IF(AND(ISNUMBER('자료_거시'!$A537),ISNUMBER('자료_거시'!$B537)),'자료_거시'!$B537,"")</f>
        <v/>
      </c>
      <c r="Q555">
        <f>IF(ISNUMBER(P555),'자료_거시'!$A537,"")</f>
        <v/>
      </c>
      <c r="R555">
        <f>IF(ISNUMBER(Q555),IF(Q555&gt;$L$5,P555,""),"")</f>
        <v/>
      </c>
      <c r="S555">
        <f>IF(ISNUMBER('자료_거시'!$E537),'자료_거시'!$E537,S554)</f>
        <v/>
      </c>
      <c r="T555">
        <f>IF(AND(ISNUMBER('자료_거시'!$D537),ISNUMBER('자료_거시'!$E537)),IFERROR('자료_거시'!$E537-INDEX($S$21:$S$4020,MATCH(EDATE('자료_거시'!$D537,-'설정'!$B$17),'자료_거시'!$D$3:INDEX('자료_거시'!$D$3:$D$4002,$K$6),1)),""),"")</f>
        <v/>
      </c>
      <c r="U555">
        <f>IF(ISNUMBER(T555),'자료_거시'!$D537,"")</f>
        <v/>
      </c>
      <c r="V555">
        <f>IF(ISNUMBER(U555),IF(U555&gt;$L$6,T555,""),"")</f>
        <v/>
      </c>
      <c r="W555">
        <f>IF(AND(ISNUMBER('자료_거시'!$G537),ISNUMBER('자료_거시'!$H537)),'자료_거시'!$H537,"")</f>
        <v/>
      </c>
      <c r="X555">
        <f>IF(ISNUMBER(W555),'자료_거시'!$G537,"")</f>
        <v/>
      </c>
      <c r="Y555">
        <f>IF(ISNUMBER(X555),IF(X555&gt;$L$7,W555,""),"")</f>
        <v/>
      </c>
      <c r="Z555">
        <f>IF(ISNUMBER('자료_거시'!$K537),'자료_거시'!$K537,Z554)</f>
        <v/>
      </c>
      <c r="AA555">
        <f>IF(AND(ISNUMBER('자료_거시'!$J537),ISNUMBER('자료_거시'!$K537)),IFERROR('자료_거시'!$K537/INDEX($Z$21:$Z$4020,MATCH(EDATE('자료_거시'!$J537,-'설정'!$B$17),'자료_거시'!$J$3:INDEX('자료_거시'!$J$3:$J$4002,$K$8),1))-1,""),"")</f>
        <v/>
      </c>
      <c r="AB555">
        <f>IF(ISNUMBER(AA555),'자료_거시'!$J537,"")</f>
        <v/>
      </c>
      <c r="AC555">
        <f>IF(ISNUMBER(AB555),IF(AB555&gt;$L$8,AA555,""),"")</f>
        <v/>
      </c>
      <c r="AD555">
        <f>IF(AND(ISNUMBER('자료_거시'!$M537),ISNUMBER('자료_거시'!$N537)),1,0)</f>
        <v/>
      </c>
      <c r="AE555">
        <f>IF(AND(ISNUMBER('자료_거시'!$M537),ISNUMBER('자료_거시'!$N537)),IF(AND(SUMIFS($AD$21:$AD$620,'자료_거시'!$M$3:$M$602,"&gt;"&amp;EDATE('자료_거시'!$M537,-'설정'!$B$17),'자료_거시'!$M$3:$M$602,"&lt;="&amp;'자료_거시'!$M537)=3,SUMIFS($AD$21:$AD$620,'자료_거시'!$M$3:$M$602,"&gt;"&amp;EDATE('자료_거시'!$M537,-12-'설정'!$B$17),'자료_거시'!$M$3:$M$602,"&lt;="&amp;EDATE('자료_거시'!$M537,-12))=3),IFERROR(SUMIFS('자료_거시'!$N$3:$N$602,'자료_거시'!$M$3:$M$602,"&gt;"&amp;EDATE('자료_거시'!$M537,-'설정'!$B$17),'자료_거시'!$M$3:$M$602,"&lt;="&amp;'자료_거시'!$M537)/SUMIFS('자료_거시'!$N$3:$N$602,'자료_거시'!$M$3:$M$602,"&gt;"&amp;EDATE('자료_거시'!$M537,-12-'설정'!$B$17),'자료_거시'!$M$3:$M$602,"&lt;="&amp;EDATE('자료_거시'!$M537,-12))-1,""),""),"")</f>
        <v/>
      </c>
      <c r="AF555">
        <f>IF(ISNUMBER(AE555),'자료_거시'!$M537,"")</f>
        <v/>
      </c>
      <c r="AG555">
        <f>IF(ISNUMBER(AF555),IF(AF555&gt;$L$9,AE555,""),"")</f>
        <v/>
      </c>
    </row>
    <row r="556">
      <c r="P556">
        <f>IF(AND(ISNUMBER('자료_거시'!$A538),ISNUMBER('자료_거시'!$B538)),'자료_거시'!$B538,"")</f>
        <v/>
      </c>
      <c r="Q556">
        <f>IF(ISNUMBER(P556),'자료_거시'!$A538,"")</f>
        <v/>
      </c>
      <c r="R556">
        <f>IF(ISNUMBER(Q556),IF(Q556&gt;$L$5,P556,""),"")</f>
        <v/>
      </c>
      <c r="S556">
        <f>IF(ISNUMBER('자료_거시'!$E538),'자료_거시'!$E538,S555)</f>
        <v/>
      </c>
      <c r="T556">
        <f>IF(AND(ISNUMBER('자료_거시'!$D538),ISNUMBER('자료_거시'!$E538)),IFERROR('자료_거시'!$E538-INDEX($S$21:$S$4020,MATCH(EDATE('자료_거시'!$D538,-'설정'!$B$17),'자료_거시'!$D$3:INDEX('자료_거시'!$D$3:$D$4002,$K$6),1)),""),"")</f>
        <v/>
      </c>
      <c r="U556">
        <f>IF(ISNUMBER(T556),'자료_거시'!$D538,"")</f>
        <v/>
      </c>
      <c r="V556">
        <f>IF(ISNUMBER(U556),IF(U556&gt;$L$6,T556,""),"")</f>
        <v/>
      </c>
      <c r="W556">
        <f>IF(AND(ISNUMBER('자료_거시'!$G538),ISNUMBER('자료_거시'!$H538)),'자료_거시'!$H538,"")</f>
        <v/>
      </c>
      <c r="X556">
        <f>IF(ISNUMBER(W556),'자료_거시'!$G538,"")</f>
        <v/>
      </c>
      <c r="Y556">
        <f>IF(ISNUMBER(X556),IF(X556&gt;$L$7,W556,""),"")</f>
        <v/>
      </c>
      <c r="Z556">
        <f>IF(ISNUMBER('자료_거시'!$K538),'자료_거시'!$K538,Z555)</f>
        <v/>
      </c>
      <c r="AA556">
        <f>IF(AND(ISNUMBER('자료_거시'!$J538),ISNUMBER('자료_거시'!$K538)),IFERROR('자료_거시'!$K538/INDEX($Z$21:$Z$4020,MATCH(EDATE('자료_거시'!$J538,-'설정'!$B$17),'자료_거시'!$J$3:INDEX('자료_거시'!$J$3:$J$4002,$K$8),1))-1,""),"")</f>
        <v/>
      </c>
      <c r="AB556">
        <f>IF(ISNUMBER(AA556),'자료_거시'!$J538,"")</f>
        <v/>
      </c>
      <c r="AC556">
        <f>IF(ISNUMBER(AB556),IF(AB556&gt;$L$8,AA556,""),"")</f>
        <v/>
      </c>
      <c r="AD556">
        <f>IF(AND(ISNUMBER('자료_거시'!$M538),ISNUMBER('자료_거시'!$N538)),1,0)</f>
        <v/>
      </c>
      <c r="AE556">
        <f>IF(AND(ISNUMBER('자료_거시'!$M538),ISNUMBER('자료_거시'!$N538)),IF(AND(SUMIFS($AD$21:$AD$620,'자료_거시'!$M$3:$M$602,"&gt;"&amp;EDATE('자료_거시'!$M538,-'설정'!$B$17),'자료_거시'!$M$3:$M$602,"&lt;="&amp;'자료_거시'!$M538)=3,SUMIFS($AD$21:$AD$620,'자료_거시'!$M$3:$M$602,"&gt;"&amp;EDATE('자료_거시'!$M538,-12-'설정'!$B$17),'자료_거시'!$M$3:$M$602,"&lt;="&amp;EDATE('자료_거시'!$M538,-12))=3),IFERROR(SUMIFS('자료_거시'!$N$3:$N$602,'자료_거시'!$M$3:$M$602,"&gt;"&amp;EDATE('자료_거시'!$M538,-'설정'!$B$17),'자료_거시'!$M$3:$M$602,"&lt;="&amp;'자료_거시'!$M538)/SUMIFS('자료_거시'!$N$3:$N$602,'자료_거시'!$M$3:$M$602,"&gt;"&amp;EDATE('자료_거시'!$M538,-12-'설정'!$B$17),'자료_거시'!$M$3:$M$602,"&lt;="&amp;EDATE('자료_거시'!$M538,-12))-1,""),""),"")</f>
        <v/>
      </c>
      <c r="AF556">
        <f>IF(ISNUMBER(AE556),'자료_거시'!$M538,"")</f>
        <v/>
      </c>
      <c r="AG556">
        <f>IF(ISNUMBER(AF556),IF(AF556&gt;$L$9,AE556,""),"")</f>
        <v/>
      </c>
    </row>
    <row r="557">
      <c r="P557">
        <f>IF(AND(ISNUMBER('자료_거시'!$A539),ISNUMBER('자료_거시'!$B539)),'자료_거시'!$B539,"")</f>
        <v/>
      </c>
      <c r="Q557">
        <f>IF(ISNUMBER(P557),'자료_거시'!$A539,"")</f>
        <v/>
      </c>
      <c r="R557">
        <f>IF(ISNUMBER(Q557),IF(Q557&gt;$L$5,P557,""),"")</f>
        <v/>
      </c>
      <c r="S557">
        <f>IF(ISNUMBER('자료_거시'!$E539),'자료_거시'!$E539,S556)</f>
        <v/>
      </c>
      <c r="T557">
        <f>IF(AND(ISNUMBER('자료_거시'!$D539),ISNUMBER('자료_거시'!$E539)),IFERROR('자료_거시'!$E539-INDEX($S$21:$S$4020,MATCH(EDATE('자료_거시'!$D539,-'설정'!$B$17),'자료_거시'!$D$3:INDEX('자료_거시'!$D$3:$D$4002,$K$6),1)),""),"")</f>
        <v/>
      </c>
      <c r="U557">
        <f>IF(ISNUMBER(T557),'자료_거시'!$D539,"")</f>
        <v/>
      </c>
      <c r="V557">
        <f>IF(ISNUMBER(U557),IF(U557&gt;$L$6,T557,""),"")</f>
        <v/>
      </c>
      <c r="W557">
        <f>IF(AND(ISNUMBER('자료_거시'!$G539),ISNUMBER('자료_거시'!$H539)),'자료_거시'!$H539,"")</f>
        <v/>
      </c>
      <c r="X557">
        <f>IF(ISNUMBER(W557),'자료_거시'!$G539,"")</f>
        <v/>
      </c>
      <c r="Y557">
        <f>IF(ISNUMBER(X557),IF(X557&gt;$L$7,W557,""),"")</f>
        <v/>
      </c>
      <c r="Z557">
        <f>IF(ISNUMBER('자료_거시'!$K539),'자료_거시'!$K539,Z556)</f>
        <v/>
      </c>
      <c r="AA557">
        <f>IF(AND(ISNUMBER('자료_거시'!$J539),ISNUMBER('자료_거시'!$K539)),IFERROR('자료_거시'!$K539/INDEX($Z$21:$Z$4020,MATCH(EDATE('자료_거시'!$J539,-'설정'!$B$17),'자료_거시'!$J$3:INDEX('자료_거시'!$J$3:$J$4002,$K$8),1))-1,""),"")</f>
        <v/>
      </c>
      <c r="AB557">
        <f>IF(ISNUMBER(AA557),'자료_거시'!$J539,"")</f>
        <v/>
      </c>
      <c r="AC557">
        <f>IF(ISNUMBER(AB557),IF(AB557&gt;$L$8,AA557,""),"")</f>
        <v/>
      </c>
      <c r="AD557">
        <f>IF(AND(ISNUMBER('자료_거시'!$M539),ISNUMBER('자료_거시'!$N539)),1,0)</f>
        <v/>
      </c>
      <c r="AE557">
        <f>IF(AND(ISNUMBER('자료_거시'!$M539),ISNUMBER('자료_거시'!$N539)),IF(AND(SUMIFS($AD$21:$AD$620,'자료_거시'!$M$3:$M$602,"&gt;"&amp;EDATE('자료_거시'!$M539,-'설정'!$B$17),'자료_거시'!$M$3:$M$602,"&lt;="&amp;'자료_거시'!$M539)=3,SUMIFS($AD$21:$AD$620,'자료_거시'!$M$3:$M$602,"&gt;"&amp;EDATE('자료_거시'!$M539,-12-'설정'!$B$17),'자료_거시'!$M$3:$M$602,"&lt;="&amp;EDATE('자료_거시'!$M539,-12))=3),IFERROR(SUMIFS('자료_거시'!$N$3:$N$602,'자료_거시'!$M$3:$M$602,"&gt;"&amp;EDATE('자료_거시'!$M539,-'설정'!$B$17),'자료_거시'!$M$3:$M$602,"&lt;="&amp;'자료_거시'!$M539)/SUMIFS('자료_거시'!$N$3:$N$602,'자료_거시'!$M$3:$M$602,"&gt;"&amp;EDATE('자료_거시'!$M539,-12-'설정'!$B$17),'자료_거시'!$M$3:$M$602,"&lt;="&amp;EDATE('자료_거시'!$M539,-12))-1,""),""),"")</f>
        <v/>
      </c>
      <c r="AF557">
        <f>IF(ISNUMBER(AE557),'자료_거시'!$M539,"")</f>
        <v/>
      </c>
      <c r="AG557">
        <f>IF(ISNUMBER(AF557),IF(AF557&gt;$L$9,AE557,""),"")</f>
        <v/>
      </c>
    </row>
    <row r="558">
      <c r="P558">
        <f>IF(AND(ISNUMBER('자료_거시'!$A540),ISNUMBER('자료_거시'!$B540)),'자료_거시'!$B540,"")</f>
        <v/>
      </c>
      <c r="Q558">
        <f>IF(ISNUMBER(P558),'자료_거시'!$A540,"")</f>
        <v/>
      </c>
      <c r="R558">
        <f>IF(ISNUMBER(Q558),IF(Q558&gt;$L$5,P558,""),"")</f>
        <v/>
      </c>
      <c r="S558">
        <f>IF(ISNUMBER('자료_거시'!$E540),'자료_거시'!$E540,S557)</f>
        <v/>
      </c>
      <c r="T558">
        <f>IF(AND(ISNUMBER('자료_거시'!$D540),ISNUMBER('자료_거시'!$E540)),IFERROR('자료_거시'!$E540-INDEX($S$21:$S$4020,MATCH(EDATE('자료_거시'!$D540,-'설정'!$B$17),'자료_거시'!$D$3:INDEX('자료_거시'!$D$3:$D$4002,$K$6),1)),""),"")</f>
        <v/>
      </c>
      <c r="U558">
        <f>IF(ISNUMBER(T558),'자료_거시'!$D540,"")</f>
        <v/>
      </c>
      <c r="V558">
        <f>IF(ISNUMBER(U558),IF(U558&gt;$L$6,T558,""),"")</f>
        <v/>
      </c>
      <c r="W558">
        <f>IF(AND(ISNUMBER('자료_거시'!$G540),ISNUMBER('자료_거시'!$H540)),'자료_거시'!$H540,"")</f>
        <v/>
      </c>
      <c r="X558">
        <f>IF(ISNUMBER(W558),'자료_거시'!$G540,"")</f>
        <v/>
      </c>
      <c r="Y558">
        <f>IF(ISNUMBER(X558),IF(X558&gt;$L$7,W558,""),"")</f>
        <v/>
      </c>
      <c r="Z558">
        <f>IF(ISNUMBER('자료_거시'!$K540),'자료_거시'!$K540,Z557)</f>
        <v/>
      </c>
      <c r="AA558">
        <f>IF(AND(ISNUMBER('자료_거시'!$J540),ISNUMBER('자료_거시'!$K540)),IFERROR('자료_거시'!$K540/INDEX($Z$21:$Z$4020,MATCH(EDATE('자료_거시'!$J540,-'설정'!$B$17),'자료_거시'!$J$3:INDEX('자료_거시'!$J$3:$J$4002,$K$8),1))-1,""),"")</f>
        <v/>
      </c>
      <c r="AB558">
        <f>IF(ISNUMBER(AA558),'자료_거시'!$J540,"")</f>
        <v/>
      </c>
      <c r="AC558">
        <f>IF(ISNUMBER(AB558),IF(AB558&gt;$L$8,AA558,""),"")</f>
        <v/>
      </c>
      <c r="AD558">
        <f>IF(AND(ISNUMBER('자료_거시'!$M540),ISNUMBER('자료_거시'!$N540)),1,0)</f>
        <v/>
      </c>
      <c r="AE558">
        <f>IF(AND(ISNUMBER('자료_거시'!$M540),ISNUMBER('자료_거시'!$N540)),IF(AND(SUMIFS($AD$21:$AD$620,'자료_거시'!$M$3:$M$602,"&gt;"&amp;EDATE('자료_거시'!$M540,-'설정'!$B$17),'자료_거시'!$M$3:$M$602,"&lt;="&amp;'자료_거시'!$M540)=3,SUMIFS($AD$21:$AD$620,'자료_거시'!$M$3:$M$602,"&gt;"&amp;EDATE('자료_거시'!$M540,-12-'설정'!$B$17),'자료_거시'!$M$3:$M$602,"&lt;="&amp;EDATE('자료_거시'!$M540,-12))=3),IFERROR(SUMIFS('자료_거시'!$N$3:$N$602,'자료_거시'!$M$3:$M$602,"&gt;"&amp;EDATE('자료_거시'!$M540,-'설정'!$B$17),'자료_거시'!$M$3:$M$602,"&lt;="&amp;'자료_거시'!$M540)/SUMIFS('자료_거시'!$N$3:$N$602,'자료_거시'!$M$3:$M$602,"&gt;"&amp;EDATE('자료_거시'!$M540,-12-'설정'!$B$17),'자료_거시'!$M$3:$M$602,"&lt;="&amp;EDATE('자료_거시'!$M540,-12))-1,""),""),"")</f>
        <v/>
      </c>
      <c r="AF558">
        <f>IF(ISNUMBER(AE558),'자료_거시'!$M540,"")</f>
        <v/>
      </c>
      <c r="AG558">
        <f>IF(ISNUMBER(AF558),IF(AF558&gt;$L$9,AE558,""),"")</f>
        <v/>
      </c>
    </row>
    <row r="559">
      <c r="P559">
        <f>IF(AND(ISNUMBER('자료_거시'!$A541),ISNUMBER('자료_거시'!$B541)),'자료_거시'!$B541,"")</f>
        <v/>
      </c>
      <c r="Q559">
        <f>IF(ISNUMBER(P559),'자료_거시'!$A541,"")</f>
        <v/>
      </c>
      <c r="R559">
        <f>IF(ISNUMBER(Q559),IF(Q559&gt;$L$5,P559,""),"")</f>
        <v/>
      </c>
      <c r="S559">
        <f>IF(ISNUMBER('자료_거시'!$E541),'자료_거시'!$E541,S558)</f>
        <v/>
      </c>
      <c r="T559">
        <f>IF(AND(ISNUMBER('자료_거시'!$D541),ISNUMBER('자료_거시'!$E541)),IFERROR('자료_거시'!$E541-INDEX($S$21:$S$4020,MATCH(EDATE('자료_거시'!$D541,-'설정'!$B$17),'자료_거시'!$D$3:INDEX('자료_거시'!$D$3:$D$4002,$K$6),1)),""),"")</f>
        <v/>
      </c>
      <c r="U559">
        <f>IF(ISNUMBER(T559),'자료_거시'!$D541,"")</f>
        <v/>
      </c>
      <c r="V559">
        <f>IF(ISNUMBER(U559),IF(U559&gt;$L$6,T559,""),"")</f>
        <v/>
      </c>
      <c r="W559">
        <f>IF(AND(ISNUMBER('자료_거시'!$G541),ISNUMBER('자료_거시'!$H541)),'자료_거시'!$H541,"")</f>
        <v/>
      </c>
      <c r="X559">
        <f>IF(ISNUMBER(W559),'자료_거시'!$G541,"")</f>
        <v/>
      </c>
      <c r="Y559">
        <f>IF(ISNUMBER(X559),IF(X559&gt;$L$7,W559,""),"")</f>
        <v/>
      </c>
      <c r="Z559">
        <f>IF(ISNUMBER('자료_거시'!$K541),'자료_거시'!$K541,Z558)</f>
        <v/>
      </c>
      <c r="AA559">
        <f>IF(AND(ISNUMBER('자료_거시'!$J541),ISNUMBER('자료_거시'!$K541)),IFERROR('자료_거시'!$K541/INDEX($Z$21:$Z$4020,MATCH(EDATE('자료_거시'!$J541,-'설정'!$B$17),'자료_거시'!$J$3:INDEX('자료_거시'!$J$3:$J$4002,$K$8),1))-1,""),"")</f>
        <v/>
      </c>
      <c r="AB559">
        <f>IF(ISNUMBER(AA559),'자료_거시'!$J541,"")</f>
        <v/>
      </c>
      <c r="AC559">
        <f>IF(ISNUMBER(AB559),IF(AB559&gt;$L$8,AA559,""),"")</f>
        <v/>
      </c>
      <c r="AD559">
        <f>IF(AND(ISNUMBER('자료_거시'!$M541),ISNUMBER('자료_거시'!$N541)),1,0)</f>
        <v/>
      </c>
      <c r="AE559">
        <f>IF(AND(ISNUMBER('자료_거시'!$M541),ISNUMBER('자료_거시'!$N541)),IF(AND(SUMIFS($AD$21:$AD$620,'자료_거시'!$M$3:$M$602,"&gt;"&amp;EDATE('자료_거시'!$M541,-'설정'!$B$17),'자료_거시'!$M$3:$M$602,"&lt;="&amp;'자료_거시'!$M541)=3,SUMIFS($AD$21:$AD$620,'자료_거시'!$M$3:$M$602,"&gt;"&amp;EDATE('자료_거시'!$M541,-12-'설정'!$B$17),'자료_거시'!$M$3:$M$602,"&lt;="&amp;EDATE('자료_거시'!$M541,-12))=3),IFERROR(SUMIFS('자료_거시'!$N$3:$N$602,'자료_거시'!$M$3:$M$602,"&gt;"&amp;EDATE('자료_거시'!$M541,-'설정'!$B$17),'자료_거시'!$M$3:$M$602,"&lt;="&amp;'자료_거시'!$M541)/SUMIFS('자료_거시'!$N$3:$N$602,'자료_거시'!$M$3:$M$602,"&gt;"&amp;EDATE('자료_거시'!$M541,-12-'설정'!$B$17),'자료_거시'!$M$3:$M$602,"&lt;="&amp;EDATE('자료_거시'!$M541,-12))-1,""),""),"")</f>
        <v/>
      </c>
      <c r="AF559">
        <f>IF(ISNUMBER(AE559),'자료_거시'!$M541,"")</f>
        <v/>
      </c>
      <c r="AG559">
        <f>IF(ISNUMBER(AF559),IF(AF559&gt;$L$9,AE559,""),"")</f>
        <v/>
      </c>
    </row>
    <row r="560">
      <c r="P560">
        <f>IF(AND(ISNUMBER('자료_거시'!$A542),ISNUMBER('자료_거시'!$B542)),'자료_거시'!$B542,"")</f>
        <v/>
      </c>
      <c r="Q560">
        <f>IF(ISNUMBER(P560),'자료_거시'!$A542,"")</f>
        <v/>
      </c>
      <c r="R560">
        <f>IF(ISNUMBER(Q560),IF(Q560&gt;$L$5,P560,""),"")</f>
        <v/>
      </c>
      <c r="S560">
        <f>IF(ISNUMBER('자료_거시'!$E542),'자료_거시'!$E542,S559)</f>
        <v/>
      </c>
      <c r="T560">
        <f>IF(AND(ISNUMBER('자료_거시'!$D542),ISNUMBER('자료_거시'!$E542)),IFERROR('자료_거시'!$E542-INDEX($S$21:$S$4020,MATCH(EDATE('자료_거시'!$D542,-'설정'!$B$17),'자료_거시'!$D$3:INDEX('자료_거시'!$D$3:$D$4002,$K$6),1)),""),"")</f>
        <v/>
      </c>
      <c r="U560">
        <f>IF(ISNUMBER(T560),'자료_거시'!$D542,"")</f>
        <v/>
      </c>
      <c r="V560">
        <f>IF(ISNUMBER(U560),IF(U560&gt;$L$6,T560,""),"")</f>
        <v/>
      </c>
      <c r="W560">
        <f>IF(AND(ISNUMBER('자료_거시'!$G542),ISNUMBER('자료_거시'!$H542)),'자료_거시'!$H542,"")</f>
        <v/>
      </c>
      <c r="X560">
        <f>IF(ISNUMBER(W560),'자료_거시'!$G542,"")</f>
        <v/>
      </c>
      <c r="Y560">
        <f>IF(ISNUMBER(X560),IF(X560&gt;$L$7,W560,""),"")</f>
        <v/>
      </c>
      <c r="Z560">
        <f>IF(ISNUMBER('자료_거시'!$K542),'자료_거시'!$K542,Z559)</f>
        <v/>
      </c>
      <c r="AA560">
        <f>IF(AND(ISNUMBER('자료_거시'!$J542),ISNUMBER('자료_거시'!$K542)),IFERROR('자료_거시'!$K542/INDEX($Z$21:$Z$4020,MATCH(EDATE('자료_거시'!$J542,-'설정'!$B$17),'자료_거시'!$J$3:INDEX('자료_거시'!$J$3:$J$4002,$K$8),1))-1,""),"")</f>
        <v/>
      </c>
      <c r="AB560">
        <f>IF(ISNUMBER(AA560),'자료_거시'!$J542,"")</f>
        <v/>
      </c>
      <c r="AC560">
        <f>IF(ISNUMBER(AB560),IF(AB560&gt;$L$8,AA560,""),"")</f>
        <v/>
      </c>
      <c r="AD560">
        <f>IF(AND(ISNUMBER('자료_거시'!$M542),ISNUMBER('자료_거시'!$N542)),1,0)</f>
        <v/>
      </c>
      <c r="AE560">
        <f>IF(AND(ISNUMBER('자료_거시'!$M542),ISNUMBER('자료_거시'!$N542)),IF(AND(SUMIFS($AD$21:$AD$620,'자료_거시'!$M$3:$M$602,"&gt;"&amp;EDATE('자료_거시'!$M542,-'설정'!$B$17),'자료_거시'!$M$3:$M$602,"&lt;="&amp;'자료_거시'!$M542)=3,SUMIFS($AD$21:$AD$620,'자료_거시'!$M$3:$M$602,"&gt;"&amp;EDATE('자료_거시'!$M542,-12-'설정'!$B$17),'자료_거시'!$M$3:$M$602,"&lt;="&amp;EDATE('자료_거시'!$M542,-12))=3),IFERROR(SUMIFS('자료_거시'!$N$3:$N$602,'자료_거시'!$M$3:$M$602,"&gt;"&amp;EDATE('자료_거시'!$M542,-'설정'!$B$17),'자료_거시'!$M$3:$M$602,"&lt;="&amp;'자료_거시'!$M542)/SUMIFS('자료_거시'!$N$3:$N$602,'자료_거시'!$M$3:$M$602,"&gt;"&amp;EDATE('자료_거시'!$M542,-12-'설정'!$B$17),'자료_거시'!$M$3:$M$602,"&lt;="&amp;EDATE('자료_거시'!$M542,-12))-1,""),""),"")</f>
        <v/>
      </c>
      <c r="AF560">
        <f>IF(ISNUMBER(AE560),'자료_거시'!$M542,"")</f>
        <v/>
      </c>
      <c r="AG560">
        <f>IF(ISNUMBER(AF560),IF(AF560&gt;$L$9,AE560,""),"")</f>
        <v/>
      </c>
    </row>
    <row r="561">
      <c r="P561">
        <f>IF(AND(ISNUMBER('자료_거시'!$A543),ISNUMBER('자료_거시'!$B543)),'자료_거시'!$B543,"")</f>
        <v/>
      </c>
      <c r="Q561">
        <f>IF(ISNUMBER(P561),'자료_거시'!$A543,"")</f>
        <v/>
      </c>
      <c r="R561">
        <f>IF(ISNUMBER(Q561),IF(Q561&gt;$L$5,P561,""),"")</f>
        <v/>
      </c>
      <c r="S561">
        <f>IF(ISNUMBER('자료_거시'!$E543),'자료_거시'!$E543,S560)</f>
        <v/>
      </c>
      <c r="T561">
        <f>IF(AND(ISNUMBER('자료_거시'!$D543),ISNUMBER('자료_거시'!$E543)),IFERROR('자료_거시'!$E543-INDEX($S$21:$S$4020,MATCH(EDATE('자료_거시'!$D543,-'설정'!$B$17),'자료_거시'!$D$3:INDEX('자료_거시'!$D$3:$D$4002,$K$6),1)),""),"")</f>
        <v/>
      </c>
      <c r="U561">
        <f>IF(ISNUMBER(T561),'자료_거시'!$D543,"")</f>
        <v/>
      </c>
      <c r="V561">
        <f>IF(ISNUMBER(U561),IF(U561&gt;$L$6,T561,""),"")</f>
        <v/>
      </c>
      <c r="W561">
        <f>IF(AND(ISNUMBER('자료_거시'!$G543),ISNUMBER('자료_거시'!$H543)),'자료_거시'!$H543,"")</f>
        <v/>
      </c>
      <c r="X561">
        <f>IF(ISNUMBER(W561),'자료_거시'!$G543,"")</f>
        <v/>
      </c>
      <c r="Y561">
        <f>IF(ISNUMBER(X561),IF(X561&gt;$L$7,W561,""),"")</f>
        <v/>
      </c>
      <c r="Z561">
        <f>IF(ISNUMBER('자료_거시'!$K543),'자료_거시'!$K543,Z560)</f>
        <v/>
      </c>
      <c r="AA561">
        <f>IF(AND(ISNUMBER('자료_거시'!$J543),ISNUMBER('자료_거시'!$K543)),IFERROR('자료_거시'!$K543/INDEX($Z$21:$Z$4020,MATCH(EDATE('자료_거시'!$J543,-'설정'!$B$17),'자료_거시'!$J$3:INDEX('자료_거시'!$J$3:$J$4002,$K$8),1))-1,""),"")</f>
        <v/>
      </c>
      <c r="AB561">
        <f>IF(ISNUMBER(AA561),'자료_거시'!$J543,"")</f>
        <v/>
      </c>
      <c r="AC561">
        <f>IF(ISNUMBER(AB561),IF(AB561&gt;$L$8,AA561,""),"")</f>
        <v/>
      </c>
      <c r="AD561">
        <f>IF(AND(ISNUMBER('자료_거시'!$M543),ISNUMBER('자료_거시'!$N543)),1,0)</f>
        <v/>
      </c>
      <c r="AE561">
        <f>IF(AND(ISNUMBER('자료_거시'!$M543),ISNUMBER('자료_거시'!$N543)),IF(AND(SUMIFS($AD$21:$AD$620,'자료_거시'!$M$3:$M$602,"&gt;"&amp;EDATE('자료_거시'!$M543,-'설정'!$B$17),'자료_거시'!$M$3:$M$602,"&lt;="&amp;'자료_거시'!$M543)=3,SUMIFS($AD$21:$AD$620,'자료_거시'!$M$3:$M$602,"&gt;"&amp;EDATE('자료_거시'!$M543,-12-'설정'!$B$17),'자료_거시'!$M$3:$M$602,"&lt;="&amp;EDATE('자료_거시'!$M543,-12))=3),IFERROR(SUMIFS('자료_거시'!$N$3:$N$602,'자료_거시'!$M$3:$M$602,"&gt;"&amp;EDATE('자료_거시'!$M543,-'설정'!$B$17),'자료_거시'!$M$3:$M$602,"&lt;="&amp;'자료_거시'!$M543)/SUMIFS('자료_거시'!$N$3:$N$602,'자료_거시'!$M$3:$M$602,"&gt;"&amp;EDATE('자료_거시'!$M543,-12-'설정'!$B$17),'자료_거시'!$M$3:$M$602,"&lt;="&amp;EDATE('자료_거시'!$M543,-12))-1,""),""),"")</f>
        <v/>
      </c>
      <c r="AF561">
        <f>IF(ISNUMBER(AE561),'자료_거시'!$M543,"")</f>
        <v/>
      </c>
      <c r="AG561">
        <f>IF(ISNUMBER(AF561),IF(AF561&gt;$L$9,AE561,""),"")</f>
        <v/>
      </c>
    </row>
    <row r="562">
      <c r="P562">
        <f>IF(AND(ISNUMBER('자료_거시'!$A544),ISNUMBER('자료_거시'!$B544)),'자료_거시'!$B544,"")</f>
        <v/>
      </c>
      <c r="Q562">
        <f>IF(ISNUMBER(P562),'자료_거시'!$A544,"")</f>
        <v/>
      </c>
      <c r="R562">
        <f>IF(ISNUMBER(Q562),IF(Q562&gt;$L$5,P562,""),"")</f>
        <v/>
      </c>
      <c r="S562">
        <f>IF(ISNUMBER('자료_거시'!$E544),'자료_거시'!$E544,S561)</f>
        <v/>
      </c>
      <c r="T562">
        <f>IF(AND(ISNUMBER('자료_거시'!$D544),ISNUMBER('자료_거시'!$E544)),IFERROR('자료_거시'!$E544-INDEX($S$21:$S$4020,MATCH(EDATE('자료_거시'!$D544,-'설정'!$B$17),'자료_거시'!$D$3:INDEX('자료_거시'!$D$3:$D$4002,$K$6),1)),""),"")</f>
        <v/>
      </c>
      <c r="U562">
        <f>IF(ISNUMBER(T562),'자료_거시'!$D544,"")</f>
        <v/>
      </c>
      <c r="V562">
        <f>IF(ISNUMBER(U562),IF(U562&gt;$L$6,T562,""),"")</f>
        <v/>
      </c>
      <c r="W562">
        <f>IF(AND(ISNUMBER('자료_거시'!$G544),ISNUMBER('자료_거시'!$H544)),'자료_거시'!$H544,"")</f>
        <v/>
      </c>
      <c r="X562">
        <f>IF(ISNUMBER(W562),'자료_거시'!$G544,"")</f>
        <v/>
      </c>
      <c r="Y562">
        <f>IF(ISNUMBER(X562),IF(X562&gt;$L$7,W562,""),"")</f>
        <v/>
      </c>
      <c r="Z562">
        <f>IF(ISNUMBER('자료_거시'!$K544),'자료_거시'!$K544,Z561)</f>
        <v/>
      </c>
      <c r="AA562">
        <f>IF(AND(ISNUMBER('자료_거시'!$J544),ISNUMBER('자료_거시'!$K544)),IFERROR('자료_거시'!$K544/INDEX($Z$21:$Z$4020,MATCH(EDATE('자료_거시'!$J544,-'설정'!$B$17),'자료_거시'!$J$3:INDEX('자료_거시'!$J$3:$J$4002,$K$8),1))-1,""),"")</f>
        <v/>
      </c>
      <c r="AB562">
        <f>IF(ISNUMBER(AA562),'자료_거시'!$J544,"")</f>
        <v/>
      </c>
      <c r="AC562">
        <f>IF(ISNUMBER(AB562),IF(AB562&gt;$L$8,AA562,""),"")</f>
        <v/>
      </c>
      <c r="AD562">
        <f>IF(AND(ISNUMBER('자료_거시'!$M544),ISNUMBER('자료_거시'!$N544)),1,0)</f>
        <v/>
      </c>
      <c r="AE562">
        <f>IF(AND(ISNUMBER('자료_거시'!$M544),ISNUMBER('자료_거시'!$N544)),IF(AND(SUMIFS($AD$21:$AD$620,'자료_거시'!$M$3:$M$602,"&gt;"&amp;EDATE('자료_거시'!$M544,-'설정'!$B$17),'자료_거시'!$M$3:$M$602,"&lt;="&amp;'자료_거시'!$M544)=3,SUMIFS($AD$21:$AD$620,'자료_거시'!$M$3:$M$602,"&gt;"&amp;EDATE('자료_거시'!$M544,-12-'설정'!$B$17),'자료_거시'!$M$3:$M$602,"&lt;="&amp;EDATE('자료_거시'!$M544,-12))=3),IFERROR(SUMIFS('자료_거시'!$N$3:$N$602,'자료_거시'!$M$3:$M$602,"&gt;"&amp;EDATE('자료_거시'!$M544,-'설정'!$B$17),'자료_거시'!$M$3:$M$602,"&lt;="&amp;'자료_거시'!$M544)/SUMIFS('자료_거시'!$N$3:$N$602,'자료_거시'!$M$3:$M$602,"&gt;"&amp;EDATE('자료_거시'!$M544,-12-'설정'!$B$17),'자료_거시'!$M$3:$M$602,"&lt;="&amp;EDATE('자료_거시'!$M544,-12))-1,""),""),"")</f>
        <v/>
      </c>
      <c r="AF562">
        <f>IF(ISNUMBER(AE562),'자료_거시'!$M544,"")</f>
        <v/>
      </c>
      <c r="AG562">
        <f>IF(ISNUMBER(AF562),IF(AF562&gt;$L$9,AE562,""),"")</f>
        <v/>
      </c>
    </row>
    <row r="563">
      <c r="P563">
        <f>IF(AND(ISNUMBER('자료_거시'!$A545),ISNUMBER('자료_거시'!$B545)),'자료_거시'!$B545,"")</f>
        <v/>
      </c>
      <c r="Q563">
        <f>IF(ISNUMBER(P563),'자료_거시'!$A545,"")</f>
        <v/>
      </c>
      <c r="R563">
        <f>IF(ISNUMBER(Q563),IF(Q563&gt;$L$5,P563,""),"")</f>
        <v/>
      </c>
      <c r="S563">
        <f>IF(ISNUMBER('자료_거시'!$E545),'자료_거시'!$E545,S562)</f>
        <v/>
      </c>
      <c r="T563">
        <f>IF(AND(ISNUMBER('자료_거시'!$D545),ISNUMBER('자료_거시'!$E545)),IFERROR('자료_거시'!$E545-INDEX($S$21:$S$4020,MATCH(EDATE('자료_거시'!$D545,-'설정'!$B$17),'자료_거시'!$D$3:INDEX('자료_거시'!$D$3:$D$4002,$K$6),1)),""),"")</f>
        <v/>
      </c>
      <c r="U563">
        <f>IF(ISNUMBER(T563),'자료_거시'!$D545,"")</f>
        <v/>
      </c>
      <c r="V563">
        <f>IF(ISNUMBER(U563),IF(U563&gt;$L$6,T563,""),"")</f>
        <v/>
      </c>
      <c r="W563">
        <f>IF(AND(ISNUMBER('자료_거시'!$G545),ISNUMBER('자료_거시'!$H545)),'자료_거시'!$H545,"")</f>
        <v/>
      </c>
      <c r="X563">
        <f>IF(ISNUMBER(W563),'자료_거시'!$G545,"")</f>
        <v/>
      </c>
      <c r="Y563">
        <f>IF(ISNUMBER(X563),IF(X563&gt;$L$7,W563,""),"")</f>
        <v/>
      </c>
      <c r="Z563">
        <f>IF(ISNUMBER('자료_거시'!$K545),'자료_거시'!$K545,Z562)</f>
        <v/>
      </c>
      <c r="AA563">
        <f>IF(AND(ISNUMBER('자료_거시'!$J545),ISNUMBER('자료_거시'!$K545)),IFERROR('자료_거시'!$K545/INDEX($Z$21:$Z$4020,MATCH(EDATE('자료_거시'!$J545,-'설정'!$B$17),'자료_거시'!$J$3:INDEX('자료_거시'!$J$3:$J$4002,$K$8),1))-1,""),"")</f>
        <v/>
      </c>
      <c r="AB563">
        <f>IF(ISNUMBER(AA563),'자료_거시'!$J545,"")</f>
        <v/>
      </c>
      <c r="AC563">
        <f>IF(ISNUMBER(AB563),IF(AB563&gt;$L$8,AA563,""),"")</f>
        <v/>
      </c>
      <c r="AD563">
        <f>IF(AND(ISNUMBER('자료_거시'!$M545),ISNUMBER('자료_거시'!$N545)),1,0)</f>
        <v/>
      </c>
      <c r="AE563">
        <f>IF(AND(ISNUMBER('자료_거시'!$M545),ISNUMBER('자료_거시'!$N545)),IF(AND(SUMIFS($AD$21:$AD$620,'자료_거시'!$M$3:$M$602,"&gt;"&amp;EDATE('자료_거시'!$M545,-'설정'!$B$17),'자료_거시'!$M$3:$M$602,"&lt;="&amp;'자료_거시'!$M545)=3,SUMIFS($AD$21:$AD$620,'자료_거시'!$M$3:$M$602,"&gt;"&amp;EDATE('자료_거시'!$M545,-12-'설정'!$B$17),'자료_거시'!$M$3:$M$602,"&lt;="&amp;EDATE('자료_거시'!$M545,-12))=3),IFERROR(SUMIFS('자료_거시'!$N$3:$N$602,'자료_거시'!$M$3:$M$602,"&gt;"&amp;EDATE('자료_거시'!$M545,-'설정'!$B$17),'자료_거시'!$M$3:$M$602,"&lt;="&amp;'자료_거시'!$M545)/SUMIFS('자료_거시'!$N$3:$N$602,'자료_거시'!$M$3:$M$602,"&gt;"&amp;EDATE('자료_거시'!$M545,-12-'설정'!$B$17),'자료_거시'!$M$3:$M$602,"&lt;="&amp;EDATE('자료_거시'!$M545,-12))-1,""),""),"")</f>
        <v/>
      </c>
      <c r="AF563">
        <f>IF(ISNUMBER(AE563),'자료_거시'!$M545,"")</f>
        <v/>
      </c>
      <c r="AG563">
        <f>IF(ISNUMBER(AF563),IF(AF563&gt;$L$9,AE563,""),"")</f>
        <v/>
      </c>
    </row>
    <row r="564">
      <c r="P564">
        <f>IF(AND(ISNUMBER('자료_거시'!$A546),ISNUMBER('자료_거시'!$B546)),'자료_거시'!$B546,"")</f>
        <v/>
      </c>
      <c r="Q564">
        <f>IF(ISNUMBER(P564),'자료_거시'!$A546,"")</f>
        <v/>
      </c>
      <c r="R564">
        <f>IF(ISNUMBER(Q564),IF(Q564&gt;$L$5,P564,""),"")</f>
        <v/>
      </c>
      <c r="S564">
        <f>IF(ISNUMBER('자료_거시'!$E546),'자료_거시'!$E546,S563)</f>
        <v/>
      </c>
      <c r="T564">
        <f>IF(AND(ISNUMBER('자료_거시'!$D546),ISNUMBER('자료_거시'!$E546)),IFERROR('자료_거시'!$E546-INDEX($S$21:$S$4020,MATCH(EDATE('자료_거시'!$D546,-'설정'!$B$17),'자료_거시'!$D$3:INDEX('자료_거시'!$D$3:$D$4002,$K$6),1)),""),"")</f>
        <v/>
      </c>
      <c r="U564">
        <f>IF(ISNUMBER(T564),'자료_거시'!$D546,"")</f>
        <v/>
      </c>
      <c r="V564">
        <f>IF(ISNUMBER(U564),IF(U564&gt;$L$6,T564,""),"")</f>
        <v/>
      </c>
      <c r="W564">
        <f>IF(AND(ISNUMBER('자료_거시'!$G546),ISNUMBER('자료_거시'!$H546)),'자료_거시'!$H546,"")</f>
        <v/>
      </c>
      <c r="X564">
        <f>IF(ISNUMBER(W564),'자료_거시'!$G546,"")</f>
        <v/>
      </c>
      <c r="Y564">
        <f>IF(ISNUMBER(X564),IF(X564&gt;$L$7,W564,""),"")</f>
        <v/>
      </c>
      <c r="Z564">
        <f>IF(ISNUMBER('자료_거시'!$K546),'자료_거시'!$K546,Z563)</f>
        <v/>
      </c>
      <c r="AA564">
        <f>IF(AND(ISNUMBER('자료_거시'!$J546),ISNUMBER('자료_거시'!$K546)),IFERROR('자료_거시'!$K546/INDEX($Z$21:$Z$4020,MATCH(EDATE('자료_거시'!$J546,-'설정'!$B$17),'자료_거시'!$J$3:INDEX('자료_거시'!$J$3:$J$4002,$K$8),1))-1,""),"")</f>
        <v/>
      </c>
      <c r="AB564">
        <f>IF(ISNUMBER(AA564),'자료_거시'!$J546,"")</f>
        <v/>
      </c>
      <c r="AC564">
        <f>IF(ISNUMBER(AB564),IF(AB564&gt;$L$8,AA564,""),"")</f>
        <v/>
      </c>
      <c r="AD564">
        <f>IF(AND(ISNUMBER('자료_거시'!$M546),ISNUMBER('자료_거시'!$N546)),1,0)</f>
        <v/>
      </c>
      <c r="AE564">
        <f>IF(AND(ISNUMBER('자료_거시'!$M546),ISNUMBER('자료_거시'!$N546)),IF(AND(SUMIFS($AD$21:$AD$620,'자료_거시'!$M$3:$M$602,"&gt;"&amp;EDATE('자료_거시'!$M546,-'설정'!$B$17),'자료_거시'!$M$3:$M$602,"&lt;="&amp;'자료_거시'!$M546)=3,SUMIFS($AD$21:$AD$620,'자료_거시'!$M$3:$M$602,"&gt;"&amp;EDATE('자료_거시'!$M546,-12-'설정'!$B$17),'자료_거시'!$M$3:$M$602,"&lt;="&amp;EDATE('자료_거시'!$M546,-12))=3),IFERROR(SUMIFS('자료_거시'!$N$3:$N$602,'자료_거시'!$M$3:$M$602,"&gt;"&amp;EDATE('자료_거시'!$M546,-'설정'!$B$17),'자료_거시'!$M$3:$M$602,"&lt;="&amp;'자료_거시'!$M546)/SUMIFS('자료_거시'!$N$3:$N$602,'자료_거시'!$M$3:$M$602,"&gt;"&amp;EDATE('자료_거시'!$M546,-12-'설정'!$B$17),'자료_거시'!$M$3:$M$602,"&lt;="&amp;EDATE('자료_거시'!$M546,-12))-1,""),""),"")</f>
        <v/>
      </c>
      <c r="AF564">
        <f>IF(ISNUMBER(AE564),'자료_거시'!$M546,"")</f>
        <v/>
      </c>
      <c r="AG564">
        <f>IF(ISNUMBER(AF564),IF(AF564&gt;$L$9,AE564,""),"")</f>
        <v/>
      </c>
    </row>
    <row r="565">
      <c r="P565">
        <f>IF(AND(ISNUMBER('자료_거시'!$A547),ISNUMBER('자료_거시'!$B547)),'자료_거시'!$B547,"")</f>
        <v/>
      </c>
      <c r="Q565">
        <f>IF(ISNUMBER(P565),'자료_거시'!$A547,"")</f>
        <v/>
      </c>
      <c r="R565">
        <f>IF(ISNUMBER(Q565),IF(Q565&gt;$L$5,P565,""),"")</f>
        <v/>
      </c>
      <c r="S565">
        <f>IF(ISNUMBER('자료_거시'!$E547),'자료_거시'!$E547,S564)</f>
        <v/>
      </c>
      <c r="T565">
        <f>IF(AND(ISNUMBER('자료_거시'!$D547),ISNUMBER('자료_거시'!$E547)),IFERROR('자료_거시'!$E547-INDEX($S$21:$S$4020,MATCH(EDATE('자료_거시'!$D547,-'설정'!$B$17),'자료_거시'!$D$3:INDEX('자료_거시'!$D$3:$D$4002,$K$6),1)),""),"")</f>
        <v/>
      </c>
      <c r="U565">
        <f>IF(ISNUMBER(T565),'자료_거시'!$D547,"")</f>
        <v/>
      </c>
      <c r="V565">
        <f>IF(ISNUMBER(U565),IF(U565&gt;$L$6,T565,""),"")</f>
        <v/>
      </c>
      <c r="W565">
        <f>IF(AND(ISNUMBER('자료_거시'!$G547),ISNUMBER('자료_거시'!$H547)),'자료_거시'!$H547,"")</f>
        <v/>
      </c>
      <c r="X565">
        <f>IF(ISNUMBER(W565),'자료_거시'!$G547,"")</f>
        <v/>
      </c>
      <c r="Y565">
        <f>IF(ISNUMBER(X565),IF(X565&gt;$L$7,W565,""),"")</f>
        <v/>
      </c>
      <c r="Z565">
        <f>IF(ISNUMBER('자료_거시'!$K547),'자료_거시'!$K547,Z564)</f>
        <v/>
      </c>
      <c r="AA565">
        <f>IF(AND(ISNUMBER('자료_거시'!$J547),ISNUMBER('자료_거시'!$K547)),IFERROR('자료_거시'!$K547/INDEX($Z$21:$Z$4020,MATCH(EDATE('자료_거시'!$J547,-'설정'!$B$17),'자료_거시'!$J$3:INDEX('자료_거시'!$J$3:$J$4002,$K$8),1))-1,""),"")</f>
        <v/>
      </c>
      <c r="AB565">
        <f>IF(ISNUMBER(AA565),'자료_거시'!$J547,"")</f>
        <v/>
      </c>
      <c r="AC565">
        <f>IF(ISNUMBER(AB565),IF(AB565&gt;$L$8,AA565,""),"")</f>
        <v/>
      </c>
      <c r="AD565">
        <f>IF(AND(ISNUMBER('자료_거시'!$M547),ISNUMBER('자료_거시'!$N547)),1,0)</f>
        <v/>
      </c>
      <c r="AE565">
        <f>IF(AND(ISNUMBER('자료_거시'!$M547),ISNUMBER('자료_거시'!$N547)),IF(AND(SUMIFS($AD$21:$AD$620,'자료_거시'!$M$3:$M$602,"&gt;"&amp;EDATE('자료_거시'!$M547,-'설정'!$B$17),'자료_거시'!$M$3:$M$602,"&lt;="&amp;'자료_거시'!$M547)=3,SUMIFS($AD$21:$AD$620,'자료_거시'!$M$3:$M$602,"&gt;"&amp;EDATE('자료_거시'!$M547,-12-'설정'!$B$17),'자료_거시'!$M$3:$M$602,"&lt;="&amp;EDATE('자료_거시'!$M547,-12))=3),IFERROR(SUMIFS('자료_거시'!$N$3:$N$602,'자료_거시'!$M$3:$M$602,"&gt;"&amp;EDATE('자료_거시'!$M547,-'설정'!$B$17),'자료_거시'!$M$3:$M$602,"&lt;="&amp;'자료_거시'!$M547)/SUMIFS('자료_거시'!$N$3:$N$602,'자료_거시'!$M$3:$M$602,"&gt;"&amp;EDATE('자료_거시'!$M547,-12-'설정'!$B$17),'자료_거시'!$M$3:$M$602,"&lt;="&amp;EDATE('자료_거시'!$M547,-12))-1,""),""),"")</f>
        <v/>
      </c>
      <c r="AF565">
        <f>IF(ISNUMBER(AE565),'자료_거시'!$M547,"")</f>
        <v/>
      </c>
      <c r="AG565">
        <f>IF(ISNUMBER(AF565),IF(AF565&gt;$L$9,AE565,""),"")</f>
        <v/>
      </c>
    </row>
    <row r="566">
      <c r="P566">
        <f>IF(AND(ISNUMBER('자료_거시'!$A548),ISNUMBER('자료_거시'!$B548)),'자료_거시'!$B548,"")</f>
        <v/>
      </c>
      <c r="Q566">
        <f>IF(ISNUMBER(P566),'자료_거시'!$A548,"")</f>
        <v/>
      </c>
      <c r="R566">
        <f>IF(ISNUMBER(Q566),IF(Q566&gt;$L$5,P566,""),"")</f>
        <v/>
      </c>
      <c r="S566">
        <f>IF(ISNUMBER('자료_거시'!$E548),'자료_거시'!$E548,S565)</f>
        <v/>
      </c>
      <c r="T566">
        <f>IF(AND(ISNUMBER('자료_거시'!$D548),ISNUMBER('자료_거시'!$E548)),IFERROR('자료_거시'!$E548-INDEX($S$21:$S$4020,MATCH(EDATE('자료_거시'!$D548,-'설정'!$B$17),'자료_거시'!$D$3:INDEX('자료_거시'!$D$3:$D$4002,$K$6),1)),""),"")</f>
        <v/>
      </c>
      <c r="U566">
        <f>IF(ISNUMBER(T566),'자료_거시'!$D548,"")</f>
        <v/>
      </c>
      <c r="V566">
        <f>IF(ISNUMBER(U566),IF(U566&gt;$L$6,T566,""),"")</f>
        <v/>
      </c>
      <c r="W566">
        <f>IF(AND(ISNUMBER('자료_거시'!$G548),ISNUMBER('자료_거시'!$H548)),'자료_거시'!$H548,"")</f>
        <v/>
      </c>
      <c r="X566">
        <f>IF(ISNUMBER(W566),'자료_거시'!$G548,"")</f>
        <v/>
      </c>
      <c r="Y566">
        <f>IF(ISNUMBER(X566),IF(X566&gt;$L$7,W566,""),"")</f>
        <v/>
      </c>
      <c r="Z566">
        <f>IF(ISNUMBER('자료_거시'!$K548),'자료_거시'!$K548,Z565)</f>
        <v/>
      </c>
      <c r="AA566">
        <f>IF(AND(ISNUMBER('자료_거시'!$J548),ISNUMBER('자료_거시'!$K548)),IFERROR('자료_거시'!$K548/INDEX($Z$21:$Z$4020,MATCH(EDATE('자료_거시'!$J548,-'설정'!$B$17),'자료_거시'!$J$3:INDEX('자료_거시'!$J$3:$J$4002,$K$8),1))-1,""),"")</f>
        <v/>
      </c>
      <c r="AB566">
        <f>IF(ISNUMBER(AA566),'자료_거시'!$J548,"")</f>
        <v/>
      </c>
      <c r="AC566">
        <f>IF(ISNUMBER(AB566),IF(AB566&gt;$L$8,AA566,""),"")</f>
        <v/>
      </c>
      <c r="AD566">
        <f>IF(AND(ISNUMBER('자료_거시'!$M548),ISNUMBER('자료_거시'!$N548)),1,0)</f>
        <v/>
      </c>
      <c r="AE566">
        <f>IF(AND(ISNUMBER('자료_거시'!$M548),ISNUMBER('자료_거시'!$N548)),IF(AND(SUMIFS($AD$21:$AD$620,'자료_거시'!$M$3:$M$602,"&gt;"&amp;EDATE('자료_거시'!$M548,-'설정'!$B$17),'자료_거시'!$M$3:$M$602,"&lt;="&amp;'자료_거시'!$M548)=3,SUMIFS($AD$21:$AD$620,'자료_거시'!$M$3:$M$602,"&gt;"&amp;EDATE('자료_거시'!$M548,-12-'설정'!$B$17),'자료_거시'!$M$3:$M$602,"&lt;="&amp;EDATE('자료_거시'!$M548,-12))=3),IFERROR(SUMIFS('자료_거시'!$N$3:$N$602,'자료_거시'!$M$3:$M$602,"&gt;"&amp;EDATE('자료_거시'!$M548,-'설정'!$B$17),'자료_거시'!$M$3:$M$602,"&lt;="&amp;'자료_거시'!$M548)/SUMIFS('자료_거시'!$N$3:$N$602,'자료_거시'!$M$3:$M$602,"&gt;"&amp;EDATE('자료_거시'!$M548,-12-'설정'!$B$17),'자료_거시'!$M$3:$M$602,"&lt;="&amp;EDATE('자료_거시'!$M548,-12))-1,""),""),"")</f>
        <v/>
      </c>
      <c r="AF566">
        <f>IF(ISNUMBER(AE566),'자료_거시'!$M548,"")</f>
        <v/>
      </c>
      <c r="AG566">
        <f>IF(ISNUMBER(AF566),IF(AF566&gt;$L$9,AE566,""),"")</f>
        <v/>
      </c>
    </row>
    <row r="567">
      <c r="P567">
        <f>IF(AND(ISNUMBER('자료_거시'!$A549),ISNUMBER('자료_거시'!$B549)),'자료_거시'!$B549,"")</f>
        <v/>
      </c>
      <c r="Q567">
        <f>IF(ISNUMBER(P567),'자료_거시'!$A549,"")</f>
        <v/>
      </c>
      <c r="R567">
        <f>IF(ISNUMBER(Q567),IF(Q567&gt;$L$5,P567,""),"")</f>
        <v/>
      </c>
      <c r="S567">
        <f>IF(ISNUMBER('자료_거시'!$E549),'자료_거시'!$E549,S566)</f>
        <v/>
      </c>
      <c r="T567">
        <f>IF(AND(ISNUMBER('자료_거시'!$D549),ISNUMBER('자료_거시'!$E549)),IFERROR('자료_거시'!$E549-INDEX($S$21:$S$4020,MATCH(EDATE('자료_거시'!$D549,-'설정'!$B$17),'자료_거시'!$D$3:INDEX('자료_거시'!$D$3:$D$4002,$K$6),1)),""),"")</f>
        <v/>
      </c>
      <c r="U567">
        <f>IF(ISNUMBER(T567),'자료_거시'!$D549,"")</f>
        <v/>
      </c>
      <c r="V567">
        <f>IF(ISNUMBER(U567),IF(U567&gt;$L$6,T567,""),"")</f>
        <v/>
      </c>
      <c r="W567">
        <f>IF(AND(ISNUMBER('자료_거시'!$G549),ISNUMBER('자료_거시'!$H549)),'자료_거시'!$H549,"")</f>
        <v/>
      </c>
      <c r="X567">
        <f>IF(ISNUMBER(W567),'자료_거시'!$G549,"")</f>
        <v/>
      </c>
      <c r="Y567">
        <f>IF(ISNUMBER(X567),IF(X567&gt;$L$7,W567,""),"")</f>
        <v/>
      </c>
      <c r="Z567">
        <f>IF(ISNUMBER('자료_거시'!$K549),'자료_거시'!$K549,Z566)</f>
        <v/>
      </c>
      <c r="AA567">
        <f>IF(AND(ISNUMBER('자료_거시'!$J549),ISNUMBER('자료_거시'!$K549)),IFERROR('자료_거시'!$K549/INDEX($Z$21:$Z$4020,MATCH(EDATE('자료_거시'!$J549,-'설정'!$B$17),'자료_거시'!$J$3:INDEX('자료_거시'!$J$3:$J$4002,$K$8),1))-1,""),"")</f>
        <v/>
      </c>
      <c r="AB567">
        <f>IF(ISNUMBER(AA567),'자료_거시'!$J549,"")</f>
        <v/>
      </c>
      <c r="AC567">
        <f>IF(ISNUMBER(AB567),IF(AB567&gt;$L$8,AA567,""),"")</f>
        <v/>
      </c>
      <c r="AD567">
        <f>IF(AND(ISNUMBER('자료_거시'!$M549),ISNUMBER('자료_거시'!$N549)),1,0)</f>
        <v/>
      </c>
      <c r="AE567">
        <f>IF(AND(ISNUMBER('자료_거시'!$M549),ISNUMBER('자료_거시'!$N549)),IF(AND(SUMIFS($AD$21:$AD$620,'자료_거시'!$M$3:$M$602,"&gt;"&amp;EDATE('자료_거시'!$M549,-'설정'!$B$17),'자료_거시'!$M$3:$M$602,"&lt;="&amp;'자료_거시'!$M549)=3,SUMIFS($AD$21:$AD$620,'자료_거시'!$M$3:$M$602,"&gt;"&amp;EDATE('자료_거시'!$M549,-12-'설정'!$B$17),'자료_거시'!$M$3:$M$602,"&lt;="&amp;EDATE('자료_거시'!$M549,-12))=3),IFERROR(SUMIFS('자료_거시'!$N$3:$N$602,'자료_거시'!$M$3:$M$602,"&gt;"&amp;EDATE('자료_거시'!$M549,-'설정'!$B$17),'자료_거시'!$M$3:$M$602,"&lt;="&amp;'자료_거시'!$M549)/SUMIFS('자료_거시'!$N$3:$N$602,'자료_거시'!$M$3:$M$602,"&gt;"&amp;EDATE('자료_거시'!$M549,-12-'설정'!$B$17),'자료_거시'!$M$3:$M$602,"&lt;="&amp;EDATE('자료_거시'!$M549,-12))-1,""),""),"")</f>
        <v/>
      </c>
      <c r="AF567">
        <f>IF(ISNUMBER(AE567),'자료_거시'!$M549,"")</f>
        <v/>
      </c>
      <c r="AG567">
        <f>IF(ISNUMBER(AF567),IF(AF567&gt;$L$9,AE567,""),"")</f>
        <v/>
      </c>
    </row>
    <row r="568">
      <c r="P568">
        <f>IF(AND(ISNUMBER('자료_거시'!$A550),ISNUMBER('자료_거시'!$B550)),'자료_거시'!$B550,"")</f>
        <v/>
      </c>
      <c r="Q568">
        <f>IF(ISNUMBER(P568),'자료_거시'!$A550,"")</f>
        <v/>
      </c>
      <c r="R568">
        <f>IF(ISNUMBER(Q568),IF(Q568&gt;$L$5,P568,""),"")</f>
        <v/>
      </c>
      <c r="S568">
        <f>IF(ISNUMBER('자료_거시'!$E550),'자료_거시'!$E550,S567)</f>
        <v/>
      </c>
      <c r="T568">
        <f>IF(AND(ISNUMBER('자료_거시'!$D550),ISNUMBER('자료_거시'!$E550)),IFERROR('자료_거시'!$E550-INDEX($S$21:$S$4020,MATCH(EDATE('자료_거시'!$D550,-'설정'!$B$17),'자료_거시'!$D$3:INDEX('자료_거시'!$D$3:$D$4002,$K$6),1)),""),"")</f>
        <v/>
      </c>
      <c r="U568">
        <f>IF(ISNUMBER(T568),'자료_거시'!$D550,"")</f>
        <v/>
      </c>
      <c r="V568">
        <f>IF(ISNUMBER(U568),IF(U568&gt;$L$6,T568,""),"")</f>
        <v/>
      </c>
      <c r="W568">
        <f>IF(AND(ISNUMBER('자료_거시'!$G550),ISNUMBER('자료_거시'!$H550)),'자료_거시'!$H550,"")</f>
        <v/>
      </c>
      <c r="X568">
        <f>IF(ISNUMBER(W568),'자료_거시'!$G550,"")</f>
        <v/>
      </c>
      <c r="Y568">
        <f>IF(ISNUMBER(X568),IF(X568&gt;$L$7,W568,""),"")</f>
        <v/>
      </c>
      <c r="Z568">
        <f>IF(ISNUMBER('자료_거시'!$K550),'자료_거시'!$K550,Z567)</f>
        <v/>
      </c>
      <c r="AA568">
        <f>IF(AND(ISNUMBER('자료_거시'!$J550),ISNUMBER('자료_거시'!$K550)),IFERROR('자료_거시'!$K550/INDEX($Z$21:$Z$4020,MATCH(EDATE('자료_거시'!$J550,-'설정'!$B$17),'자료_거시'!$J$3:INDEX('자료_거시'!$J$3:$J$4002,$K$8),1))-1,""),"")</f>
        <v/>
      </c>
      <c r="AB568">
        <f>IF(ISNUMBER(AA568),'자료_거시'!$J550,"")</f>
        <v/>
      </c>
      <c r="AC568">
        <f>IF(ISNUMBER(AB568),IF(AB568&gt;$L$8,AA568,""),"")</f>
        <v/>
      </c>
      <c r="AD568">
        <f>IF(AND(ISNUMBER('자료_거시'!$M550),ISNUMBER('자료_거시'!$N550)),1,0)</f>
        <v/>
      </c>
      <c r="AE568">
        <f>IF(AND(ISNUMBER('자료_거시'!$M550),ISNUMBER('자료_거시'!$N550)),IF(AND(SUMIFS($AD$21:$AD$620,'자료_거시'!$M$3:$M$602,"&gt;"&amp;EDATE('자료_거시'!$M550,-'설정'!$B$17),'자료_거시'!$M$3:$M$602,"&lt;="&amp;'자료_거시'!$M550)=3,SUMIFS($AD$21:$AD$620,'자료_거시'!$M$3:$M$602,"&gt;"&amp;EDATE('자료_거시'!$M550,-12-'설정'!$B$17),'자료_거시'!$M$3:$M$602,"&lt;="&amp;EDATE('자료_거시'!$M550,-12))=3),IFERROR(SUMIFS('자료_거시'!$N$3:$N$602,'자료_거시'!$M$3:$M$602,"&gt;"&amp;EDATE('자료_거시'!$M550,-'설정'!$B$17),'자료_거시'!$M$3:$M$602,"&lt;="&amp;'자료_거시'!$M550)/SUMIFS('자료_거시'!$N$3:$N$602,'자료_거시'!$M$3:$M$602,"&gt;"&amp;EDATE('자료_거시'!$M550,-12-'설정'!$B$17),'자료_거시'!$M$3:$M$602,"&lt;="&amp;EDATE('자료_거시'!$M550,-12))-1,""),""),"")</f>
        <v/>
      </c>
      <c r="AF568">
        <f>IF(ISNUMBER(AE568),'자료_거시'!$M550,"")</f>
        <v/>
      </c>
      <c r="AG568">
        <f>IF(ISNUMBER(AF568),IF(AF568&gt;$L$9,AE568,""),"")</f>
        <v/>
      </c>
    </row>
    <row r="569">
      <c r="P569">
        <f>IF(AND(ISNUMBER('자료_거시'!$A551),ISNUMBER('자료_거시'!$B551)),'자료_거시'!$B551,"")</f>
        <v/>
      </c>
      <c r="Q569">
        <f>IF(ISNUMBER(P569),'자료_거시'!$A551,"")</f>
        <v/>
      </c>
      <c r="R569">
        <f>IF(ISNUMBER(Q569),IF(Q569&gt;$L$5,P569,""),"")</f>
        <v/>
      </c>
      <c r="S569">
        <f>IF(ISNUMBER('자료_거시'!$E551),'자료_거시'!$E551,S568)</f>
        <v/>
      </c>
      <c r="T569">
        <f>IF(AND(ISNUMBER('자료_거시'!$D551),ISNUMBER('자료_거시'!$E551)),IFERROR('자료_거시'!$E551-INDEX($S$21:$S$4020,MATCH(EDATE('자료_거시'!$D551,-'설정'!$B$17),'자료_거시'!$D$3:INDEX('자료_거시'!$D$3:$D$4002,$K$6),1)),""),"")</f>
        <v/>
      </c>
      <c r="U569">
        <f>IF(ISNUMBER(T569),'자료_거시'!$D551,"")</f>
        <v/>
      </c>
      <c r="V569">
        <f>IF(ISNUMBER(U569),IF(U569&gt;$L$6,T569,""),"")</f>
        <v/>
      </c>
      <c r="W569">
        <f>IF(AND(ISNUMBER('자료_거시'!$G551),ISNUMBER('자료_거시'!$H551)),'자료_거시'!$H551,"")</f>
        <v/>
      </c>
      <c r="X569">
        <f>IF(ISNUMBER(W569),'자료_거시'!$G551,"")</f>
        <v/>
      </c>
      <c r="Y569">
        <f>IF(ISNUMBER(X569),IF(X569&gt;$L$7,W569,""),"")</f>
        <v/>
      </c>
      <c r="Z569">
        <f>IF(ISNUMBER('자료_거시'!$K551),'자료_거시'!$K551,Z568)</f>
        <v/>
      </c>
      <c r="AA569">
        <f>IF(AND(ISNUMBER('자료_거시'!$J551),ISNUMBER('자료_거시'!$K551)),IFERROR('자료_거시'!$K551/INDEX($Z$21:$Z$4020,MATCH(EDATE('자료_거시'!$J551,-'설정'!$B$17),'자료_거시'!$J$3:INDEX('자료_거시'!$J$3:$J$4002,$K$8),1))-1,""),"")</f>
        <v/>
      </c>
      <c r="AB569">
        <f>IF(ISNUMBER(AA569),'자료_거시'!$J551,"")</f>
        <v/>
      </c>
      <c r="AC569">
        <f>IF(ISNUMBER(AB569),IF(AB569&gt;$L$8,AA569,""),"")</f>
        <v/>
      </c>
      <c r="AD569">
        <f>IF(AND(ISNUMBER('자료_거시'!$M551),ISNUMBER('자료_거시'!$N551)),1,0)</f>
        <v/>
      </c>
      <c r="AE569">
        <f>IF(AND(ISNUMBER('자료_거시'!$M551),ISNUMBER('자료_거시'!$N551)),IF(AND(SUMIFS($AD$21:$AD$620,'자료_거시'!$M$3:$M$602,"&gt;"&amp;EDATE('자료_거시'!$M551,-'설정'!$B$17),'자료_거시'!$M$3:$M$602,"&lt;="&amp;'자료_거시'!$M551)=3,SUMIFS($AD$21:$AD$620,'자료_거시'!$M$3:$M$602,"&gt;"&amp;EDATE('자료_거시'!$M551,-12-'설정'!$B$17),'자료_거시'!$M$3:$M$602,"&lt;="&amp;EDATE('자료_거시'!$M551,-12))=3),IFERROR(SUMIFS('자료_거시'!$N$3:$N$602,'자료_거시'!$M$3:$M$602,"&gt;"&amp;EDATE('자료_거시'!$M551,-'설정'!$B$17),'자료_거시'!$M$3:$M$602,"&lt;="&amp;'자료_거시'!$M551)/SUMIFS('자료_거시'!$N$3:$N$602,'자료_거시'!$M$3:$M$602,"&gt;"&amp;EDATE('자료_거시'!$M551,-12-'설정'!$B$17),'자료_거시'!$M$3:$M$602,"&lt;="&amp;EDATE('자료_거시'!$M551,-12))-1,""),""),"")</f>
        <v/>
      </c>
      <c r="AF569">
        <f>IF(ISNUMBER(AE569),'자료_거시'!$M551,"")</f>
        <v/>
      </c>
      <c r="AG569">
        <f>IF(ISNUMBER(AF569),IF(AF569&gt;$L$9,AE569,""),"")</f>
        <v/>
      </c>
    </row>
    <row r="570">
      <c r="P570">
        <f>IF(AND(ISNUMBER('자료_거시'!$A552),ISNUMBER('자료_거시'!$B552)),'자료_거시'!$B552,"")</f>
        <v/>
      </c>
      <c r="Q570">
        <f>IF(ISNUMBER(P570),'자료_거시'!$A552,"")</f>
        <v/>
      </c>
      <c r="R570">
        <f>IF(ISNUMBER(Q570),IF(Q570&gt;$L$5,P570,""),"")</f>
        <v/>
      </c>
      <c r="S570">
        <f>IF(ISNUMBER('자료_거시'!$E552),'자료_거시'!$E552,S569)</f>
        <v/>
      </c>
      <c r="T570">
        <f>IF(AND(ISNUMBER('자료_거시'!$D552),ISNUMBER('자료_거시'!$E552)),IFERROR('자료_거시'!$E552-INDEX($S$21:$S$4020,MATCH(EDATE('자료_거시'!$D552,-'설정'!$B$17),'자료_거시'!$D$3:INDEX('자료_거시'!$D$3:$D$4002,$K$6),1)),""),"")</f>
        <v/>
      </c>
      <c r="U570">
        <f>IF(ISNUMBER(T570),'자료_거시'!$D552,"")</f>
        <v/>
      </c>
      <c r="V570">
        <f>IF(ISNUMBER(U570),IF(U570&gt;$L$6,T570,""),"")</f>
        <v/>
      </c>
      <c r="W570">
        <f>IF(AND(ISNUMBER('자료_거시'!$G552),ISNUMBER('자료_거시'!$H552)),'자료_거시'!$H552,"")</f>
        <v/>
      </c>
      <c r="X570">
        <f>IF(ISNUMBER(W570),'자료_거시'!$G552,"")</f>
        <v/>
      </c>
      <c r="Y570">
        <f>IF(ISNUMBER(X570),IF(X570&gt;$L$7,W570,""),"")</f>
        <v/>
      </c>
      <c r="Z570">
        <f>IF(ISNUMBER('자료_거시'!$K552),'자료_거시'!$K552,Z569)</f>
        <v/>
      </c>
      <c r="AA570">
        <f>IF(AND(ISNUMBER('자료_거시'!$J552),ISNUMBER('자료_거시'!$K552)),IFERROR('자료_거시'!$K552/INDEX($Z$21:$Z$4020,MATCH(EDATE('자료_거시'!$J552,-'설정'!$B$17),'자료_거시'!$J$3:INDEX('자료_거시'!$J$3:$J$4002,$K$8),1))-1,""),"")</f>
        <v/>
      </c>
      <c r="AB570">
        <f>IF(ISNUMBER(AA570),'자료_거시'!$J552,"")</f>
        <v/>
      </c>
      <c r="AC570">
        <f>IF(ISNUMBER(AB570),IF(AB570&gt;$L$8,AA570,""),"")</f>
        <v/>
      </c>
      <c r="AD570">
        <f>IF(AND(ISNUMBER('자료_거시'!$M552),ISNUMBER('자료_거시'!$N552)),1,0)</f>
        <v/>
      </c>
      <c r="AE570">
        <f>IF(AND(ISNUMBER('자료_거시'!$M552),ISNUMBER('자료_거시'!$N552)),IF(AND(SUMIFS($AD$21:$AD$620,'자료_거시'!$M$3:$M$602,"&gt;"&amp;EDATE('자료_거시'!$M552,-'설정'!$B$17),'자료_거시'!$M$3:$M$602,"&lt;="&amp;'자료_거시'!$M552)=3,SUMIFS($AD$21:$AD$620,'자료_거시'!$M$3:$M$602,"&gt;"&amp;EDATE('자료_거시'!$M552,-12-'설정'!$B$17),'자료_거시'!$M$3:$M$602,"&lt;="&amp;EDATE('자료_거시'!$M552,-12))=3),IFERROR(SUMIFS('자료_거시'!$N$3:$N$602,'자료_거시'!$M$3:$M$602,"&gt;"&amp;EDATE('자료_거시'!$M552,-'설정'!$B$17),'자료_거시'!$M$3:$M$602,"&lt;="&amp;'자료_거시'!$M552)/SUMIFS('자료_거시'!$N$3:$N$602,'자료_거시'!$M$3:$M$602,"&gt;"&amp;EDATE('자료_거시'!$M552,-12-'설정'!$B$17),'자료_거시'!$M$3:$M$602,"&lt;="&amp;EDATE('자료_거시'!$M552,-12))-1,""),""),"")</f>
        <v/>
      </c>
      <c r="AF570">
        <f>IF(ISNUMBER(AE570),'자료_거시'!$M552,"")</f>
        <v/>
      </c>
      <c r="AG570">
        <f>IF(ISNUMBER(AF570),IF(AF570&gt;$L$9,AE570,""),"")</f>
        <v/>
      </c>
    </row>
    <row r="571">
      <c r="P571">
        <f>IF(AND(ISNUMBER('자료_거시'!$A553),ISNUMBER('자료_거시'!$B553)),'자료_거시'!$B553,"")</f>
        <v/>
      </c>
      <c r="Q571">
        <f>IF(ISNUMBER(P571),'자료_거시'!$A553,"")</f>
        <v/>
      </c>
      <c r="R571">
        <f>IF(ISNUMBER(Q571),IF(Q571&gt;$L$5,P571,""),"")</f>
        <v/>
      </c>
      <c r="S571">
        <f>IF(ISNUMBER('자료_거시'!$E553),'자료_거시'!$E553,S570)</f>
        <v/>
      </c>
      <c r="T571">
        <f>IF(AND(ISNUMBER('자료_거시'!$D553),ISNUMBER('자료_거시'!$E553)),IFERROR('자료_거시'!$E553-INDEX($S$21:$S$4020,MATCH(EDATE('자료_거시'!$D553,-'설정'!$B$17),'자료_거시'!$D$3:INDEX('자료_거시'!$D$3:$D$4002,$K$6),1)),""),"")</f>
        <v/>
      </c>
      <c r="U571">
        <f>IF(ISNUMBER(T571),'자료_거시'!$D553,"")</f>
        <v/>
      </c>
      <c r="V571">
        <f>IF(ISNUMBER(U571),IF(U571&gt;$L$6,T571,""),"")</f>
        <v/>
      </c>
      <c r="W571">
        <f>IF(AND(ISNUMBER('자료_거시'!$G553),ISNUMBER('자료_거시'!$H553)),'자료_거시'!$H553,"")</f>
        <v/>
      </c>
      <c r="X571">
        <f>IF(ISNUMBER(W571),'자료_거시'!$G553,"")</f>
        <v/>
      </c>
      <c r="Y571">
        <f>IF(ISNUMBER(X571),IF(X571&gt;$L$7,W571,""),"")</f>
        <v/>
      </c>
      <c r="Z571">
        <f>IF(ISNUMBER('자료_거시'!$K553),'자료_거시'!$K553,Z570)</f>
        <v/>
      </c>
      <c r="AA571">
        <f>IF(AND(ISNUMBER('자료_거시'!$J553),ISNUMBER('자료_거시'!$K553)),IFERROR('자료_거시'!$K553/INDEX($Z$21:$Z$4020,MATCH(EDATE('자료_거시'!$J553,-'설정'!$B$17),'자료_거시'!$J$3:INDEX('자료_거시'!$J$3:$J$4002,$K$8),1))-1,""),"")</f>
        <v/>
      </c>
      <c r="AB571">
        <f>IF(ISNUMBER(AA571),'자료_거시'!$J553,"")</f>
        <v/>
      </c>
      <c r="AC571">
        <f>IF(ISNUMBER(AB571),IF(AB571&gt;$L$8,AA571,""),"")</f>
        <v/>
      </c>
      <c r="AD571">
        <f>IF(AND(ISNUMBER('자료_거시'!$M553),ISNUMBER('자료_거시'!$N553)),1,0)</f>
        <v/>
      </c>
      <c r="AE571">
        <f>IF(AND(ISNUMBER('자료_거시'!$M553),ISNUMBER('자료_거시'!$N553)),IF(AND(SUMIFS($AD$21:$AD$620,'자료_거시'!$M$3:$M$602,"&gt;"&amp;EDATE('자료_거시'!$M553,-'설정'!$B$17),'자료_거시'!$M$3:$M$602,"&lt;="&amp;'자료_거시'!$M553)=3,SUMIFS($AD$21:$AD$620,'자료_거시'!$M$3:$M$602,"&gt;"&amp;EDATE('자료_거시'!$M553,-12-'설정'!$B$17),'자료_거시'!$M$3:$M$602,"&lt;="&amp;EDATE('자료_거시'!$M553,-12))=3),IFERROR(SUMIFS('자료_거시'!$N$3:$N$602,'자료_거시'!$M$3:$M$602,"&gt;"&amp;EDATE('자료_거시'!$M553,-'설정'!$B$17),'자료_거시'!$M$3:$M$602,"&lt;="&amp;'자료_거시'!$M553)/SUMIFS('자료_거시'!$N$3:$N$602,'자료_거시'!$M$3:$M$602,"&gt;"&amp;EDATE('자료_거시'!$M553,-12-'설정'!$B$17),'자료_거시'!$M$3:$M$602,"&lt;="&amp;EDATE('자료_거시'!$M553,-12))-1,""),""),"")</f>
        <v/>
      </c>
      <c r="AF571">
        <f>IF(ISNUMBER(AE571),'자료_거시'!$M553,"")</f>
        <v/>
      </c>
      <c r="AG571">
        <f>IF(ISNUMBER(AF571),IF(AF571&gt;$L$9,AE571,""),"")</f>
        <v/>
      </c>
    </row>
    <row r="572">
      <c r="P572">
        <f>IF(AND(ISNUMBER('자료_거시'!$A554),ISNUMBER('자료_거시'!$B554)),'자료_거시'!$B554,"")</f>
        <v/>
      </c>
      <c r="Q572">
        <f>IF(ISNUMBER(P572),'자료_거시'!$A554,"")</f>
        <v/>
      </c>
      <c r="R572">
        <f>IF(ISNUMBER(Q572),IF(Q572&gt;$L$5,P572,""),"")</f>
        <v/>
      </c>
      <c r="S572">
        <f>IF(ISNUMBER('자료_거시'!$E554),'자료_거시'!$E554,S571)</f>
        <v/>
      </c>
      <c r="T572">
        <f>IF(AND(ISNUMBER('자료_거시'!$D554),ISNUMBER('자료_거시'!$E554)),IFERROR('자료_거시'!$E554-INDEX($S$21:$S$4020,MATCH(EDATE('자료_거시'!$D554,-'설정'!$B$17),'자료_거시'!$D$3:INDEX('자료_거시'!$D$3:$D$4002,$K$6),1)),""),"")</f>
        <v/>
      </c>
      <c r="U572">
        <f>IF(ISNUMBER(T572),'자료_거시'!$D554,"")</f>
        <v/>
      </c>
      <c r="V572">
        <f>IF(ISNUMBER(U572),IF(U572&gt;$L$6,T572,""),"")</f>
        <v/>
      </c>
      <c r="W572">
        <f>IF(AND(ISNUMBER('자료_거시'!$G554),ISNUMBER('자료_거시'!$H554)),'자료_거시'!$H554,"")</f>
        <v/>
      </c>
      <c r="X572">
        <f>IF(ISNUMBER(W572),'자료_거시'!$G554,"")</f>
        <v/>
      </c>
      <c r="Y572">
        <f>IF(ISNUMBER(X572),IF(X572&gt;$L$7,W572,""),"")</f>
        <v/>
      </c>
      <c r="Z572">
        <f>IF(ISNUMBER('자료_거시'!$K554),'자료_거시'!$K554,Z571)</f>
        <v/>
      </c>
      <c r="AA572">
        <f>IF(AND(ISNUMBER('자료_거시'!$J554),ISNUMBER('자료_거시'!$K554)),IFERROR('자료_거시'!$K554/INDEX($Z$21:$Z$4020,MATCH(EDATE('자료_거시'!$J554,-'설정'!$B$17),'자료_거시'!$J$3:INDEX('자료_거시'!$J$3:$J$4002,$K$8),1))-1,""),"")</f>
        <v/>
      </c>
      <c r="AB572">
        <f>IF(ISNUMBER(AA572),'자료_거시'!$J554,"")</f>
        <v/>
      </c>
      <c r="AC572">
        <f>IF(ISNUMBER(AB572),IF(AB572&gt;$L$8,AA572,""),"")</f>
        <v/>
      </c>
      <c r="AD572">
        <f>IF(AND(ISNUMBER('자료_거시'!$M554),ISNUMBER('자료_거시'!$N554)),1,0)</f>
        <v/>
      </c>
      <c r="AE572">
        <f>IF(AND(ISNUMBER('자료_거시'!$M554),ISNUMBER('자료_거시'!$N554)),IF(AND(SUMIFS($AD$21:$AD$620,'자료_거시'!$M$3:$M$602,"&gt;"&amp;EDATE('자료_거시'!$M554,-'설정'!$B$17),'자료_거시'!$M$3:$M$602,"&lt;="&amp;'자료_거시'!$M554)=3,SUMIFS($AD$21:$AD$620,'자료_거시'!$M$3:$M$602,"&gt;"&amp;EDATE('자료_거시'!$M554,-12-'설정'!$B$17),'자료_거시'!$M$3:$M$602,"&lt;="&amp;EDATE('자료_거시'!$M554,-12))=3),IFERROR(SUMIFS('자료_거시'!$N$3:$N$602,'자료_거시'!$M$3:$M$602,"&gt;"&amp;EDATE('자료_거시'!$M554,-'설정'!$B$17),'자료_거시'!$M$3:$M$602,"&lt;="&amp;'자료_거시'!$M554)/SUMIFS('자료_거시'!$N$3:$N$602,'자료_거시'!$M$3:$M$602,"&gt;"&amp;EDATE('자료_거시'!$M554,-12-'설정'!$B$17),'자료_거시'!$M$3:$M$602,"&lt;="&amp;EDATE('자료_거시'!$M554,-12))-1,""),""),"")</f>
        <v/>
      </c>
      <c r="AF572">
        <f>IF(ISNUMBER(AE572),'자료_거시'!$M554,"")</f>
        <v/>
      </c>
      <c r="AG572">
        <f>IF(ISNUMBER(AF572),IF(AF572&gt;$L$9,AE572,""),"")</f>
        <v/>
      </c>
    </row>
    <row r="573">
      <c r="P573">
        <f>IF(AND(ISNUMBER('자료_거시'!$A555),ISNUMBER('자료_거시'!$B555)),'자료_거시'!$B555,"")</f>
        <v/>
      </c>
      <c r="Q573">
        <f>IF(ISNUMBER(P573),'자료_거시'!$A555,"")</f>
        <v/>
      </c>
      <c r="R573">
        <f>IF(ISNUMBER(Q573),IF(Q573&gt;$L$5,P573,""),"")</f>
        <v/>
      </c>
      <c r="S573">
        <f>IF(ISNUMBER('자료_거시'!$E555),'자료_거시'!$E555,S572)</f>
        <v/>
      </c>
      <c r="T573">
        <f>IF(AND(ISNUMBER('자료_거시'!$D555),ISNUMBER('자료_거시'!$E555)),IFERROR('자료_거시'!$E555-INDEX($S$21:$S$4020,MATCH(EDATE('자료_거시'!$D555,-'설정'!$B$17),'자료_거시'!$D$3:INDEX('자료_거시'!$D$3:$D$4002,$K$6),1)),""),"")</f>
        <v/>
      </c>
      <c r="U573">
        <f>IF(ISNUMBER(T573),'자료_거시'!$D555,"")</f>
        <v/>
      </c>
      <c r="V573">
        <f>IF(ISNUMBER(U573),IF(U573&gt;$L$6,T573,""),"")</f>
        <v/>
      </c>
      <c r="W573">
        <f>IF(AND(ISNUMBER('자료_거시'!$G555),ISNUMBER('자료_거시'!$H555)),'자료_거시'!$H555,"")</f>
        <v/>
      </c>
      <c r="X573">
        <f>IF(ISNUMBER(W573),'자료_거시'!$G555,"")</f>
        <v/>
      </c>
      <c r="Y573">
        <f>IF(ISNUMBER(X573),IF(X573&gt;$L$7,W573,""),"")</f>
        <v/>
      </c>
      <c r="Z573">
        <f>IF(ISNUMBER('자료_거시'!$K555),'자료_거시'!$K555,Z572)</f>
        <v/>
      </c>
      <c r="AA573">
        <f>IF(AND(ISNUMBER('자료_거시'!$J555),ISNUMBER('자료_거시'!$K555)),IFERROR('자료_거시'!$K555/INDEX($Z$21:$Z$4020,MATCH(EDATE('자료_거시'!$J555,-'설정'!$B$17),'자료_거시'!$J$3:INDEX('자료_거시'!$J$3:$J$4002,$K$8),1))-1,""),"")</f>
        <v/>
      </c>
      <c r="AB573">
        <f>IF(ISNUMBER(AA573),'자료_거시'!$J555,"")</f>
        <v/>
      </c>
      <c r="AC573">
        <f>IF(ISNUMBER(AB573),IF(AB573&gt;$L$8,AA573,""),"")</f>
        <v/>
      </c>
      <c r="AD573">
        <f>IF(AND(ISNUMBER('자료_거시'!$M555),ISNUMBER('자료_거시'!$N555)),1,0)</f>
        <v/>
      </c>
      <c r="AE573">
        <f>IF(AND(ISNUMBER('자료_거시'!$M555),ISNUMBER('자료_거시'!$N555)),IF(AND(SUMIFS($AD$21:$AD$620,'자료_거시'!$M$3:$M$602,"&gt;"&amp;EDATE('자료_거시'!$M555,-'설정'!$B$17),'자료_거시'!$M$3:$M$602,"&lt;="&amp;'자료_거시'!$M555)=3,SUMIFS($AD$21:$AD$620,'자료_거시'!$M$3:$M$602,"&gt;"&amp;EDATE('자료_거시'!$M555,-12-'설정'!$B$17),'자료_거시'!$M$3:$M$602,"&lt;="&amp;EDATE('자료_거시'!$M555,-12))=3),IFERROR(SUMIFS('자료_거시'!$N$3:$N$602,'자료_거시'!$M$3:$M$602,"&gt;"&amp;EDATE('자료_거시'!$M555,-'설정'!$B$17),'자료_거시'!$M$3:$M$602,"&lt;="&amp;'자료_거시'!$M555)/SUMIFS('자료_거시'!$N$3:$N$602,'자료_거시'!$M$3:$M$602,"&gt;"&amp;EDATE('자료_거시'!$M555,-12-'설정'!$B$17),'자료_거시'!$M$3:$M$602,"&lt;="&amp;EDATE('자료_거시'!$M555,-12))-1,""),""),"")</f>
        <v/>
      </c>
      <c r="AF573">
        <f>IF(ISNUMBER(AE573),'자료_거시'!$M555,"")</f>
        <v/>
      </c>
      <c r="AG573">
        <f>IF(ISNUMBER(AF573),IF(AF573&gt;$L$9,AE573,""),"")</f>
        <v/>
      </c>
    </row>
    <row r="574">
      <c r="P574">
        <f>IF(AND(ISNUMBER('자료_거시'!$A556),ISNUMBER('자료_거시'!$B556)),'자료_거시'!$B556,"")</f>
        <v/>
      </c>
      <c r="Q574">
        <f>IF(ISNUMBER(P574),'자료_거시'!$A556,"")</f>
        <v/>
      </c>
      <c r="R574">
        <f>IF(ISNUMBER(Q574),IF(Q574&gt;$L$5,P574,""),"")</f>
        <v/>
      </c>
      <c r="S574">
        <f>IF(ISNUMBER('자료_거시'!$E556),'자료_거시'!$E556,S573)</f>
        <v/>
      </c>
      <c r="T574">
        <f>IF(AND(ISNUMBER('자료_거시'!$D556),ISNUMBER('자료_거시'!$E556)),IFERROR('자료_거시'!$E556-INDEX($S$21:$S$4020,MATCH(EDATE('자료_거시'!$D556,-'설정'!$B$17),'자료_거시'!$D$3:INDEX('자료_거시'!$D$3:$D$4002,$K$6),1)),""),"")</f>
        <v/>
      </c>
      <c r="U574">
        <f>IF(ISNUMBER(T574),'자료_거시'!$D556,"")</f>
        <v/>
      </c>
      <c r="V574">
        <f>IF(ISNUMBER(U574),IF(U574&gt;$L$6,T574,""),"")</f>
        <v/>
      </c>
      <c r="W574">
        <f>IF(AND(ISNUMBER('자료_거시'!$G556),ISNUMBER('자료_거시'!$H556)),'자료_거시'!$H556,"")</f>
        <v/>
      </c>
      <c r="X574">
        <f>IF(ISNUMBER(W574),'자료_거시'!$G556,"")</f>
        <v/>
      </c>
      <c r="Y574">
        <f>IF(ISNUMBER(X574),IF(X574&gt;$L$7,W574,""),"")</f>
        <v/>
      </c>
      <c r="Z574">
        <f>IF(ISNUMBER('자료_거시'!$K556),'자료_거시'!$K556,Z573)</f>
        <v/>
      </c>
      <c r="AA574">
        <f>IF(AND(ISNUMBER('자료_거시'!$J556),ISNUMBER('자료_거시'!$K556)),IFERROR('자료_거시'!$K556/INDEX($Z$21:$Z$4020,MATCH(EDATE('자료_거시'!$J556,-'설정'!$B$17),'자료_거시'!$J$3:INDEX('자료_거시'!$J$3:$J$4002,$K$8),1))-1,""),"")</f>
        <v/>
      </c>
      <c r="AB574">
        <f>IF(ISNUMBER(AA574),'자료_거시'!$J556,"")</f>
        <v/>
      </c>
      <c r="AC574">
        <f>IF(ISNUMBER(AB574),IF(AB574&gt;$L$8,AA574,""),"")</f>
        <v/>
      </c>
      <c r="AD574">
        <f>IF(AND(ISNUMBER('자료_거시'!$M556),ISNUMBER('자료_거시'!$N556)),1,0)</f>
        <v/>
      </c>
      <c r="AE574">
        <f>IF(AND(ISNUMBER('자료_거시'!$M556),ISNUMBER('자료_거시'!$N556)),IF(AND(SUMIFS($AD$21:$AD$620,'자료_거시'!$M$3:$M$602,"&gt;"&amp;EDATE('자료_거시'!$M556,-'설정'!$B$17),'자료_거시'!$M$3:$M$602,"&lt;="&amp;'자료_거시'!$M556)=3,SUMIFS($AD$21:$AD$620,'자료_거시'!$M$3:$M$602,"&gt;"&amp;EDATE('자료_거시'!$M556,-12-'설정'!$B$17),'자료_거시'!$M$3:$M$602,"&lt;="&amp;EDATE('자료_거시'!$M556,-12))=3),IFERROR(SUMIFS('자료_거시'!$N$3:$N$602,'자료_거시'!$M$3:$M$602,"&gt;"&amp;EDATE('자료_거시'!$M556,-'설정'!$B$17),'자료_거시'!$M$3:$M$602,"&lt;="&amp;'자료_거시'!$M556)/SUMIFS('자료_거시'!$N$3:$N$602,'자료_거시'!$M$3:$M$602,"&gt;"&amp;EDATE('자료_거시'!$M556,-12-'설정'!$B$17),'자료_거시'!$M$3:$M$602,"&lt;="&amp;EDATE('자료_거시'!$M556,-12))-1,""),""),"")</f>
        <v/>
      </c>
      <c r="AF574">
        <f>IF(ISNUMBER(AE574),'자료_거시'!$M556,"")</f>
        <v/>
      </c>
      <c r="AG574">
        <f>IF(ISNUMBER(AF574),IF(AF574&gt;$L$9,AE574,""),"")</f>
        <v/>
      </c>
    </row>
    <row r="575">
      <c r="P575">
        <f>IF(AND(ISNUMBER('자료_거시'!$A557),ISNUMBER('자료_거시'!$B557)),'자료_거시'!$B557,"")</f>
        <v/>
      </c>
      <c r="Q575">
        <f>IF(ISNUMBER(P575),'자료_거시'!$A557,"")</f>
        <v/>
      </c>
      <c r="R575">
        <f>IF(ISNUMBER(Q575),IF(Q575&gt;$L$5,P575,""),"")</f>
        <v/>
      </c>
      <c r="S575">
        <f>IF(ISNUMBER('자료_거시'!$E557),'자료_거시'!$E557,S574)</f>
        <v/>
      </c>
      <c r="T575">
        <f>IF(AND(ISNUMBER('자료_거시'!$D557),ISNUMBER('자료_거시'!$E557)),IFERROR('자료_거시'!$E557-INDEX($S$21:$S$4020,MATCH(EDATE('자료_거시'!$D557,-'설정'!$B$17),'자료_거시'!$D$3:INDEX('자료_거시'!$D$3:$D$4002,$K$6),1)),""),"")</f>
        <v/>
      </c>
      <c r="U575">
        <f>IF(ISNUMBER(T575),'자료_거시'!$D557,"")</f>
        <v/>
      </c>
      <c r="V575">
        <f>IF(ISNUMBER(U575),IF(U575&gt;$L$6,T575,""),"")</f>
        <v/>
      </c>
      <c r="W575">
        <f>IF(AND(ISNUMBER('자료_거시'!$G557),ISNUMBER('자료_거시'!$H557)),'자료_거시'!$H557,"")</f>
        <v/>
      </c>
      <c r="X575">
        <f>IF(ISNUMBER(W575),'자료_거시'!$G557,"")</f>
        <v/>
      </c>
      <c r="Y575">
        <f>IF(ISNUMBER(X575),IF(X575&gt;$L$7,W575,""),"")</f>
        <v/>
      </c>
      <c r="Z575">
        <f>IF(ISNUMBER('자료_거시'!$K557),'자료_거시'!$K557,Z574)</f>
        <v/>
      </c>
      <c r="AA575">
        <f>IF(AND(ISNUMBER('자료_거시'!$J557),ISNUMBER('자료_거시'!$K557)),IFERROR('자료_거시'!$K557/INDEX($Z$21:$Z$4020,MATCH(EDATE('자료_거시'!$J557,-'설정'!$B$17),'자료_거시'!$J$3:INDEX('자료_거시'!$J$3:$J$4002,$K$8),1))-1,""),"")</f>
        <v/>
      </c>
      <c r="AB575">
        <f>IF(ISNUMBER(AA575),'자료_거시'!$J557,"")</f>
        <v/>
      </c>
      <c r="AC575">
        <f>IF(ISNUMBER(AB575),IF(AB575&gt;$L$8,AA575,""),"")</f>
        <v/>
      </c>
      <c r="AD575">
        <f>IF(AND(ISNUMBER('자료_거시'!$M557),ISNUMBER('자료_거시'!$N557)),1,0)</f>
        <v/>
      </c>
      <c r="AE575">
        <f>IF(AND(ISNUMBER('자료_거시'!$M557),ISNUMBER('자료_거시'!$N557)),IF(AND(SUMIFS($AD$21:$AD$620,'자료_거시'!$M$3:$M$602,"&gt;"&amp;EDATE('자료_거시'!$M557,-'설정'!$B$17),'자료_거시'!$M$3:$M$602,"&lt;="&amp;'자료_거시'!$M557)=3,SUMIFS($AD$21:$AD$620,'자료_거시'!$M$3:$M$602,"&gt;"&amp;EDATE('자료_거시'!$M557,-12-'설정'!$B$17),'자료_거시'!$M$3:$M$602,"&lt;="&amp;EDATE('자료_거시'!$M557,-12))=3),IFERROR(SUMIFS('자료_거시'!$N$3:$N$602,'자료_거시'!$M$3:$M$602,"&gt;"&amp;EDATE('자료_거시'!$M557,-'설정'!$B$17),'자료_거시'!$M$3:$M$602,"&lt;="&amp;'자료_거시'!$M557)/SUMIFS('자료_거시'!$N$3:$N$602,'자료_거시'!$M$3:$M$602,"&gt;"&amp;EDATE('자료_거시'!$M557,-12-'설정'!$B$17),'자료_거시'!$M$3:$M$602,"&lt;="&amp;EDATE('자료_거시'!$M557,-12))-1,""),""),"")</f>
        <v/>
      </c>
      <c r="AF575">
        <f>IF(ISNUMBER(AE575),'자료_거시'!$M557,"")</f>
        <v/>
      </c>
      <c r="AG575">
        <f>IF(ISNUMBER(AF575),IF(AF575&gt;$L$9,AE575,""),"")</f>
        <v/>
      </c>
    </row>
    <row r="576">
      <c r="P576">
        <f>IF(AND(ISNUMBER('자료_거시'!$A558),ISNUMBER('자료_거시'!$B558)),'자료_거시'!$B558,"")</f>
        <v/>
      </c>
      <c r="Q576">
        <f>IF(ISNUMBER(P576),'자료_거시'!$A558,"")</f>
        <v/>
      </c>
      <c r="R576">
        <f>IF(ISNUMBER(Q576),IF(Q576&gt;$L$5,P576,""),"")</f>
        <v/>
      </c>
      <c r="S576">
        <f>IF(ISNUMBER('자료_거시'!$E558),'자료_거시'!$E558,S575)</f>
        <v/>
      </c>
      <c r="T576">
        <f>IF(AND(ISNUMBER('자료_거시'!$D558),ISNUMBER('자료_거시'!$E558)),IFERROR('자료_거시'!$E558-INDEX($S$21:$S$4020,MATCH(EDATE('자료_거시'!$D558,-'설정'!$B$17),'자료_거시'!$D$3:INDEX('자료_거시'!$D$3:$D$4002,$K$6),1)),""),"")</f>
        <v/>
      </c>
      <c r="U576">
        <f>IF(ISNUMBER(T576),'자료_거시'!$D558,"")</f>
        <v/>
      </c>
      <c r="V576">
        <f>IF(ISNUMBER(U576),IF(U576&gt;$L$6,T576,""),"")</f>
        <v/>
      </c>
      <c r="W576">
        <f>IF(AND(ISNUMBER('자료_거시'!$G558),ISNUMBER('자료_거시'!$H558)),'자료_거시'!$H558,"")</f>
        <v/>
      </c>
      <c r="X576">
        <f>IF(ISNUMBER(W576),'자료_거시'!$G558,"")</f>
        <v/>
      </c>
      <c r="Y576">
        <f>IF(ISNUMBER(X576),IF(X576&gt;$L$7,W576,""),"")</f>
        <v/>
      </c>
      <c r="Z576">
        <f>IF(ISNUMBER('자료_거시'!$K558),'자료_거시'!$K558,Z575)</f>
        <v/>
      </c>
      <c r="AA576">
        <f>IF(AND(ISNUMBER('자료_거시'!$J558),ISNUMBER('자료_거시'!$K558)),IFERROR('자료_거시'!$K558/INDEX($Z$21:$Z$4020,MATCH(EDATE('자료_거시'!$J558,-'설정'!$B$17),'자료_거시'!$J$3:INDEX('자료_거시'!$J$3:$J$4002,$K$8),1))-1,""),"")</f>
        <v/>
      </c>
      <c r="AB576">
        <f>IF(ISNUMBER(AA576),'자료_거시'!$J558,"")</f>
        <v/>
      </c>
      <c r="AC576">
        <f>IF(ISNUMBER(AB576),IF(AB576&gt;$L$8,AA576,""),"")</f>
        <v/>
      </c>
      <c r="AD576">
        <f>IF(AND(ISNUMBER('자료_거시'!$M558),ISNUMBER('자료_거시'!$N558)),1,0)</f>
        <v/>
      </c>
      <c r="AE576">
        <f>IF(AND(ISNUMBER('자료_거시'!$M558),ISNUMBER('자료_거시'!$N558)),IF(AND(SUMIFS($AD$21:$AD$620,'자료_거시'!$M$3:$M$602,"&gt;"&amp;EDATE('자료_거시'!$M558,-'설정'!$B$17),'자료_거시'!$M$3:$M$602,"&lt;="&amp;'자료_거시'!$M558)=3,SUMIFS($AD$21:$AD$620,'자료_거시'!$M$3:$M$602,"&gt;"&amp;EDATE('자료_거시'!$M558,-12-'설정'!$B$17),'자료_거시'!$M$3:$M$602,"&lt;="&amp;EDATE('자료_거시'!$M558,-12))=3),IFERROR(SUMIFS('자료_거시'!$N$3:$N$602,'자료_거시'!$M$3:$M$602,"&gt;"&amp;EDATE('자료_거시'!$M558,-'설정'!$B$17),'자료_거시'!$M$3:$M$602,"&lt;="&amp;'자료_거시'!$M558)/SUMIFS('자료_거시'!$N$3:$N$602,'자료_거시'!$M$3:$M$602,"&gt;"&amp;EDATE('자료_거시'!$M558,-12-'설정'!$B$17),'자료_거시'!$M$3:$M$602,"&lt;="&amp;EDATE('자료_거시'!$M558,-12))-1,""),""),"")</f>
        <v/>
      </c>
      <c r="AF576">
        <f>IF(ISNUMBER(AE576),'자료_거시'!$M558,"")</f>
        <v/>
      </c>
      <c r="AG576">
        <f>IF(ISNUMBER(AF576),IF(AF576&gt;$L$9,AE576,""),"")</f>
        <v/>
      </c>
    </row>
    <row r="577">
      <c r="P577">
        <f>IF(AND(ISNUMBER('자료_거시'!$A559),ISNUMBER('자료_거시'!$B559)),'자료_거시'!$B559,"")</f>
        <v/>
      </c>
      <c r="Q577">
        <f>IF(ISNUMBER(P577),'자료_거시'!$A559,"")</f>
        <v/>
      </c>
      <c r="R577">
        <f>IF(ISNUMBER(Q577),IF(Q577&gt;$L$5,P577,""),"")</f>
        <v/>
      </c>
      <c r="S577">
        <f>IF(ISNUMBER('자료_거시'!$E559),'자료_거시'!$E559,S576)</f>
        <v/>
      </c>
      <c r="T577">
        <f>IF(AND(ISNUMBER('자료_거시'!$D559),ISNUMBER('자료_거시'!$E559)),IFERROR('자료_거시'!$E559-INDEX($S$21:$S$4020,MATCH(EDATE('자료_거시'!$D559,-'설정'!$B$17),'자료_거시'!$D$3:INDEX('자료_거시'!$D$3:$D$4002,$K$6),1)),""),"")</f>
        <v/>
      </c>
      <c r="U577">
        <f>IF(ISNUMBER(T577),'자료_거시'!$D559,"")</f>
        <v/>
      </c>
      <c r="V577">
        <f>IF(ISNUMBER(U577),IF(U577&gt;$L$6,T577,""),"")</f>
        <v/>
      </c>
      <c r="W577">
        <f>IF(AND(ISNUMBER('자료_거시'!$G559),ISNUMBER('자료_거시'!$H559)),'자료_거시'!$H559,"")</f>
        <v/>
      </c>
      <c r="X577">
        <f>IF(ISNUMBER(W577),'자료_거시'!$G559,"")</f>
        <v/>
      </c>
      <c r="Y577">
        <f>IF(ISNUMBER(X577),IF(X577&gt;$L$7,W577,""),"")</f>
        <v/>
      </c>
      <c r="Z577">
        <f>IF(ISNUMBER('자료_거시'!$K559),'자료_거시'!$K559,Z576)</f>
        <v/>
      </c>
      <c r="AA577">
        <f>IF(AND(ISNUMBER('자료_거시'!$J559),ISNUMBER('자료_거시'!$K559)),IFERROR('자료_거시'!$K559/INDEX($Z$21:$Z$4020,MATCH(EDATE('자료_거시'!$J559,-'설정'!$B$17),'자료_거시'!$J$3:INDEX('자료_거시'!$J$3:$J$4002,$K$8),1))-1,""),"")</f>
        <v/>
      </c>
      <c r="AB577">
        <f>IF(ISNUMBER(AA577),'자료_거시'!$J559,"")</f>
        <v/>
      </c>
      <c r="AC577">
        <f>IF(ISNUMBER(AB577),IF(AB577&gt;$L$8,AA577,""),"")</f>
        <v/>
      </c>
      <c r="AD577">
        <f>IF(AND(ISNUMBER('자료_거시'!$M559),ISNUMBER('자료_거시'!$N559)),1,0)</f>
        <v/>
      </c>
      <c r="AE577">
        <f>IF(AND(ISNUMBER('자료_거시'!$M559),ISNUMBER('자료_거시'!$N559)),IF(AND(SUMIFS($AD$21:$AD$620,'자료_거시'!$M$3:$M$602,"&gt;"&amp;EDATE('자료_거시'!$M559,-'설정'!$B$17),'자료_거시'!$M$3:$M$602,"&lt;="&amp;'자료_거시'!$M559)=3,SUMIFS($AD$21:$AD$620,'자료_거시'!$M$3:$M$602,"&gt;"&amp;EDATE('자료_거시'!$M559,-12-'설정'!$B$17),'자료_거시'!$M$3:$M$602,"&lt;="&amp;EDATE('자료_거시'!$M559,-12))=3),IFERROR(SUMIFS('자료_거시'!$N$3:$N$602,'자료_거시'!$M$3:$M$602,"&gt;"&amp;EDATE('자료_거시'!$M559,-'설정'!$B$17),'자료_거시'!$M$3:$M$602,"&lt;="&amp;'자료_거시'!$M559)/SUMIFS('자료_거시'!$N$3:$N$602,'자료_거시'!$M$3:$M$602,"&gt;"&amp;EDATE('자료_거시'!$M559,-12-'설정'!$B$17),'자료_거시'!$M$3:$M$602,"&lt;="&amp;EDATE('자료_거시'!$M559,-12))-1,""),""),"")</f>
        <v/>
      </c>
      <c r="AF577">
        <f>IF(ISNUMBER(AE577),'자료_거시'!$M559,"")</f>
        <v/>
      </c>
      <c r="AG577">
        <f>IF(ISNUMBER(AF577),IF(AF577&gt;$L$9,AE577,""),"")</f>
        <v/>
      </c>
    </row>
    <row r="578">
      <c r="P578">
        <f>IF(AND(ISNUMBER('자료_거시'!$A560),ISNUMBER('자료_거시'!$B560)),'자료_거시'!$B560,"")</f>
        <v/>
      </c>
      <c r="Q578">
        <f>IF(ISNUMBER(P578),'자료_거시'!$A560,"")</f>
        <v/>
      </c>
      <c r="R578">
        <f>IF(ISNUMBER(Q578),IF(Q578&gt;$L$5,P578,""),"")</f>
        <v/>
      </c>
      <c r="S578">
        <f>IF(ISNUMBER('자료_거시'!$E560),'자료_거시'!$E560,S577)</f>
        <v/>
      </c>
      <c r="T578">
        <f>IF(AND(ISNUMBER('자료_거시'!$D560),ISNUMBER('자료_거시'!$E560)),IFERROR('자료_거시'!$E560-INDEX($S$21:$S$4020,MATCH(EDATE('자료_거시'!$D560,-'설정'!$B$17),'자료_거시'!$D$3:INDEX('자료_거시'!$D$3:$D$4002,$K$6),1)),""),"")</f>
        <v/>
      </c>
      <c r="U578">
        <f>IF(ISNUMBER(T578),'자료_거시'!$D560,"")</f>
        <v/>
      </c>
      <c r="V578">
        <f>IF(ISNUMBER(U578),IF(U578&gt;$L$6,T578,""),"")</f>
        <v/>
      </c>
      <c r="W578">
        <f>IF(AND(ISNUMBER('자료_거시'!$G560),ISNUMBER('자료_거시'!$H560)),'자료_거시'!$H560,"")</f>
        <v/>
      </c>
      <c r="X578">
        <f>IF(ISNUMBER(W578),'자료_거시'!$G560,"")</f>
        <v/>
      </c>
      <c r="Y578">
        <f>IF(ISNUMBER(X578),IF(X578&gt;$L$7,W578,""),"")</f>
        <v/>
      </c>
      <c r="Z578">
        <f>IF(ISNUMBER('자료_거시'!$K560),'자료_거시'!$K560,Z577)</f>
        <v/>
      </c>
      <c r="AA578">
        <f>IF(AND(ISNUMBER('자료_거시'!$J560),ISNUMBER('자료_거시'!$K560)),IFERROR('자료_거시'!$K560/INDEX($Z$21:$Z$4020,MATCH(EDATE('자료_거시'!$J560,-'설정'!$B$17),'자료_거시'!$J$3:INDEX('자료_거시'!$J$3:$J$4002,$K$8),1))-1,""),"")</f>
        <v/>
      </c>
      <c r="AB578">
        <f>IF(ISNUMBER(AA578),'자료_거시'!$J560,"")</f>
        <v/>
      </c>
      <c r="AC578">
        <f>IF(ISNUMBER(AB578),IF(AB578&gt;$L$8,AA578,""),"")</f>
        <v/>
      </c>
      <c r="AD578">
        <f>IF(AND(ISNUMBER('자료_거시'!$M560),ISNUMBER('자료_거시'!$N560)),1,0)</f>
        <v/>
      </c>
      <c r="AE578">
        <f>IF(AND(ISNUMBER('자료_거시'!$M560),ISNUMBER('자료_거시'!$N560)),IF(AND(SUMIFS($AD$21:$AD$620,'자료_거시'!$M$3:$M$602,"&gt;"&amp;EDATE('자료_거시'!$M560,-'설정'!$B$17),'자료_거시'!$M$3:$M$602,"&lt;="&amp;'자료_거시'!$M560)=3,SUMIFS($AD$21:$AD$620,'자료_거시'!$M$3:$M$602,"&gt;"&amp;EDATE('자료_거시'!$M560,-12-'설정'!$B$17),'자료_거시'!$M$3:$M$602,"&lt;="&amp;EDATE('자료_거시'!$M560,-12))=3),IFERROR(SUMIFS('자료_거시'!$N$3:$N$602,'자료_거시'!$M$3:$M$602,"&gt;"&amp;EDATE('자료_거시'!$M560,-'설정'!$B$17),'자료_거시'!$M$3:$M$602,"&lt;="&amp;'자료_거시'!$M560)/SUMIFS('자료_거시'!$N$3:$N$602,'자료_거시'!$M$3:$M$602,"&gt;"&amp;EDATE('자료_거시'!$M560,-12-'설정'!$B$17),'자료_거시'!$M$3:$M$602,"&lt;="&amp;EDATE('자료_거시'!$M560,-12))-1,""),""),"")</f>
        <v/>
      </c>
      <c r="AF578">
        <f>IF(ISNUMBER(AE578),'자료_거시'!$M560,"")</f>
        <v/>
      </c>
      <c r="AG578">
        <f>IF(ISNUMBER(AF578),IF(AF578&gt;$L$9,AE578,""),"")</f>
        <v/>
      </c>
    </row>
    <row r="579">
      <c r="P579">
        <f>IF(AND(ISNUMBER('자료_거시'!$A561),ISNUMBER('자료_거시'!$B561)),'자료_거시'!$B561,"")</f>
        <v/>
      </c>
      <c r="Q579">
        <f>IF(ISNUMBER(P579),'자료_거시'!$A561,"")</f>
        <v/>
      </c>
      <c r="R579">
        <f>IF(ISNUMBER(Q579),IF(Q579&gt;$L$5,P579,""),"")</f>
        <v/>
      </c>
      <c r="S579">
        <f>IF(ISNUMBER('자료_거시'!$E561),'자료_거시'!$E561,S578)</f>
        <v/>
      </c>
      <c r="T579">
        <f>IF(AND(ISNUMBER('자료_거시'!$D561),ISNUMBER('자료_거시'!$E561)),IFERROR('자료_거시'!$E561-INDEX($S$21:$S$4020,MATCH(EDATE('자료_거시'!$D561,-'설정'!$B$17),'자료_거시'!$D$3:INDEX('자료_거시'!$D$3:$D$4002,$K$6),1)),""),"")</f>
        <v/>
      </c>
      <c r="U579">
        <f>IF(ISNUMBER(T579),'자료_거시'!$D561,"")</f>
        <v/>
      </c>
      <c r="V579">
        <f>IF(ISNUMBER(U579),IF(U579&gt;$L$6,T579,""),"")</f>
        <v/>
      </c>
      <c r="W579">
        <f>IF(AND(ISNUMBER('자료_거시'!$G561),ISNUMBER('자료_거시'!$H561)),'자료_거시'!$H561,"")</f>
        <v/>
      </c>
      <c r="X579">
        <f>IF(ISNUMBER(W579),'자료_거시'!$G561,"")</f>
        <v/>
      </c>
      <c r="Y579">
        <f>IF(ISNUMBER(X579),IF(X579&gt;$L$7,W579,""),"")</f>
        <v/>
      </c>
      <c r="Z579">
        <f>IF(ISNUMBER('자료_거시'!$K561),'자료_거시'!$K561,Z578)</f>
        <v/>
      </c>
      <c r="AA579">
        <f>IF(AND(ISNUMBER('자료_거시'!$J561),ISNUMBER('자료_거시'!$K561)),IFERROR('자료_거시'!$K561/INDEX($Z$21:$Z$4020,MATCH(EDATE('자료_거시'!$J561,-'설정'!$B$17),'자료_거시'!$J$3:INDEX('자료_거시'!$J$3:$J$4002,$K$8),1))-1,""),"")</f>
        <v/>
      </c>
      <c r="AB579">
        <f>IF(ISNUMBER(AA579),'자료_거시'!$J561,"")</f>
        <v/>
      </c>
      <c r="AC579">
        <f>IF(ISNUMBER(AB579),IF(AB579&gt;$L$8,AA579,""),"")</f>
        <v/>
      </c>
      <c r="AD579">
        <f>IF(AND(ISNUMBER('자료_거시'!$M561),ISNUMBER('자료_거시'!$N561)),1,0)</f>
        <v/>
      </c>
      <c r="AE579">
        <f>IF(AND(ISNUMBER('자료_거시'!$M561),ISNUMBER('자료_거시'!$N561)),IF(AND(SUMIFS($AD$21:$AD$620,'자료_거시'!$M$3:$M$602,"&gt;"&amp;EDATE('자료_거시'!$M561,-'설정'!$B$17),'자료_거시'!$M$3:$M$602,"&lt;="&amp;'자료_거시'!$M561)=3,SUMIFS($AD$21:$AD$620,'자료_거시'!$M$3:$M$602,"&gt;"&amp;EDATE('자료_거시'!$M561,-12-'설정'!$B$17),'자료_거시'!$M$3:$M$602,"&lt;="&amp;EDATE('자료_거시'!$M561,-12))=3),IFERROR(SUMIFS('자료_거시'!$N$3:$N$602,'자료_거시'!$M$3:$M$602,"&gt;"&amp;EDATE('자료_거시'!$M561,-'설정'!$B$17),'자료_거시'!$M$3:$M$602,"&lt;="&amp;'자료_거시'!$M561)/SUMIFS('자료_거시'!$N$3:$N$602,'자료_거시'!$M$3:$M$602,"&gt;"&amp;EDATE('자료_거시'!$M561,-12-'설정'!$B$17),'자료_거시'!$M$3:$M$602,"&lt;="&amp;EDATE('자료_거시'!$M561,-12))-1,""),""),"")</f>
        <v/>
      </c>
      <c r="AF579">
        <f>IF(ISNUMBER(AE579),'자료_거시'!$M561,"")</f>
        <v/>
      </c>
      <c r="AG579">
        <f>IF(ISNUMBER(AF579),IF(AF579&gt;$L$9,AE579,""),"")</f>
        <v/>
      </c>
    </row>
    <row r="580">
      <c r="P580">
        <f>IF(AND(ISNUMBER('자료_거시'!$A562),ISNUMBER('자료_거시'!$B562)),'자료_거시'!$B562,"")</f>
        <v/>
      </c>
      <c r="Q580">
        <f>IF(ISNUMBER(P580),'자료_거시'!$A562,"")</f>
        <v/>
      </c>
      <c r="R580">
        <f>IF(ISNUMBER(Q580),IF(Q580&gt;$L$5,P580,""),"")</f>
        <v/>
      </c>
      <c r="S580">
        <f>IF(ISNUMBER('자료_거시'!$E562),'자료_거시'!$E562,S579)</f>
        <v/>
      </c>
      <c r="T580">
        <f>IF(AND(ISNUMBER('자료_거시'!$D562),ISNUMBER('자료_거시'!$E562)),IFERROR('자료_거시'!$E562-INDEX($S$21:$S$4020,MATCH(EDATE('자료_거시'!$D562,-'설정'!$B$17),'자료_거시'!$D$3:INDEX('자료_거시'!$D$3:$D$4002,$K$6),1)),""),"")</f>
        <v/>
      </c>
      <c r="U580">
        <f>IF(ISNUMBER(T580),'자료_거시'!$D562,"")</f>
        <v/>
      </c>
      <c r="V580">
        <f>IF(ISNUMBER(U580),IF(U580&gt;$L$6,T580,""),"")</f>
        <v/>
      </c>
      <c r="W580">
        <f>IF(AND(ISNUMBER('자료_거시'!$G562),ISNUMBER('자료_거시'!$H562)),'자료_거시'!$H562,"")</f>
        <v/>
      </c>
      <c r="X580">
        <f>IF(ISNUMBER(W580),'자료_거시'!$G562,"")</f>
        <v/>
      </c>
      <c r="Y580">
        <f>IF(ISNUMBER(X580),IF(X580&gt;$L$7,W580,""),"")</f>
        <v/>
      </c>
      <c r="Z580">
        <f>IF(ISNUMBER('자료_거시'!$K562),'자료_거시'!$K562,Z579)</f>
        <v/>
      </c>
      <c r="AA580">
        <f>IF(AND(ISNUMBER('자료_거시'!$J562),ISNUMBER('자료_거시'!$K562)),IFERROR('자료_거시'!$K562/INDEX($Z$21:$Z$4020,MATCH(EDATE('자료_거시'!$J562,-'설정'!$B$17),'자료_거시'!$J$3:INDEX('자료_거시'!$J$3:$J$4002,$K$8),1))-1,""),"")</f>
        <v/>
      </c>
      <c r="AB580">
        <f>IF(ISNUMBER(AA580),'자료_거시'!$J562,"")</f>
        <v/>
      </c>
      <c r="AC580">
        <f>IF(ISNUMBER(AB580),IF(AB580&gt;$L$8,AA580,""),"")</f>
        <v/>
      </c>
      <c r="AD580">
        <f>IF(AND(ISNUMBER('자료_거시'!$M562),ISNUMBER('자료_거시'!$N562)),1,0)</f>
        <v/>
      </c>
      <c r="AE580">
        <f>IF(AND(ISNUMBER('자료_거시'!$M562),ISNUMBER('자료_거시'!$N562)),IF(AND(SUMIFS($AD$21:$AD$620,'자료_거시'!$M$3:$M$602,"&gt;"&amp;EDATE('자료_거시'!$M562,-'설정'!$B$17),'자료_거시'!$M$3:$M$602,"&lt;="&amp;'자료_거시'!$M562)=3,SUMIFS($AD$21:$AD$620,'자료_거시'!$M$3:$M$602,"&gt;"&amp;EDATE('자료_거시'!$M562,-12-'설정'!$B$17),'자료_거시'!$M$3:$M$602,"&lt;="&amp;EDATE('자료_거시'!$M562,-12))=3),IFERROR(SUMIFS('자료_거시'!$N$3:$N$602,'자료_거시'!$M$3:$M$602,"&gt;"&amp;EDATE('자료_거시'!$M562,-'설정'!$B$17),'자료_거시'!$M$3:$M$602,"&lt;="&amp;'자료_거시'!$M562)/SUMIFS('자료_거시'!$N$3:$N$602,'자료_거시'!$M$3:$M$602,"&gt;"&amp;EDATE('자료_거시'!$M562,-12-'설정'!$B$17),'자료_거시'!$M$3:$M$602,"&lt;="&amp;EDATE('자료_거시'!$M562,-12))-1,""),""),"")</f>
        <v/>
      </c>
      <c r="AF580">
        <f>IF(ISNUMBER(AE580),'자료_거시'!$M562,"")</f>
        <v/>
      </c>
      <c r="AG580">
        <f>IF(ISNUMBER(AF580),IF(AF580&gt;$L$9,AE580,""),"")</f>
        <v/>
      </c>
    </row>
    <row r="581">
      <c r="P581">
        <f>IF(AND(ISNUMBER('자료_거시'!$A563),ISNUMBER('자료_거시'!$B563)),'자료_거시'!$B563,"")</f>
        <v/>
      </c>
      <c r="Q581">
        <f>IF(ISNUMBER(P581),'자료_거시'!$A563,"")</f>
        <v/>
      </c>
      <c r="R581">
        <f>IF(ISNUMBER(Q581),IF(Q581&gt;$L$5,P581,""),"")</f>
        <v/>
      </c>
      <c r="S581">
        <f>IF(ISNUMBER('자료_거시'!$E563),'자료_거시'!$E563,S580)</f>
        <v/>
      </c>
      <c r="T581">
        <f>IF(AND(ISNUMBER('자료_거시'!$D563),ISNUMBER('자료_거시'!$E563)),IFERROR('자료_거시'!$E563-INDEX($S$21:$S$4020,MATCH(EDATE('자료_거시'!$D563,-'설정'!$B$17),'자료_거시'!$D$3:INDEX('자료_거시'!$D$3:$D$4002,$K$6),1)),""),"")</f>
        <v/>
      </c>
      <c r="U581">
        <f>IF(ISNUMBER(T581),'자료_거시'!$D563,"")</f>
        <v/>
      </c>
      <c r="V581">
        <f>IF(ISNUMBER(U581),IF(U581&gt;$L$6,T581,""),"")</f>
        <v/>
      </c>
      <c r="W581">
        <f>IF(AND(ISNUMBER('자료_거시'!$G563),ISNUMBER('자료_거시'!$H563)),'자료_거시'!$H563,"")</f>
        <v/>
      </c>
      <c r="X581">
        <f>IF(ISNUMBER(W581),'자료_거시'!$G563,"")</f>
        <v/>
      </c>
      <c r="Y581">
        <f>IF(ISNUMBER(X581),IF(X581&gt;$L$7,W581,""),"")</f>
        <v/>
      </c>
      <c r="Z581">
        <f>IF(ISNUMBER('자료_거시'!$K563),'자료_거시'!$K563,Z580)</f>
        <v/>
      </c>
      <c r="AA581">
        <f>IF(AND(ISNUMBER('자료_거시'!$J563),ISNUMBER('자료_거시'!$K563)),IFERROR('자료_거시'!$K563/INDEX($Z$21:$Z$4020,MATCH(EDATE('자료_거시'!$J563,-'설정'!$B$17),'자료_거시'!$J$3:INDEX('자료_거시'!$J$3:$J$4002,$K$8),1))-1,""),"")</f>
        <v/>
      </c>
      <c r="AB581">
        <f>IF(ISNUMBER(AA581),'자료_거시'!$J563,"")</f>
        <v/>
      </c>
      <c r="AC581">
        <f>IF(ISNUMBER(AB581),IF(AB581&gt;$L$8,AA581,""),"")</f>
        <v/>
      </c>
      <c r="AD581">
        <f>IF(AND(ISNUMBER('자료_거시'!$M563),ISNUMBER('자료_거시'!$N563)),1,0)</f>
        <v/>
      </c>
      <c r="AE581">
        <f>IF(AND(ISNUMBER('자료_거시'!$M563),ISNUMBER('자료_거시'!$N563)),IF(AND(SUMIFS($AD$21:$AD$620,'자료_거시'!$M$3:$M$602,"&gt;"&amp;EDATE('자료_거시'!$M563,-'설정'!$B$17),'자료_거시'!$M$3:$M$602,"&lt;="&amp;'자료_거시'!$M563)=3,SUMIFS($AD$21:$AD$620,'자료_거시'!$M$3:$M$602,"&gt;"&amp;EDATE('자료_거시'!$M563,-12-'설정'!$B$17),'자료_거시'!$M$3:$M$602,"&lt;="&amp;EDATE('자료_거시'!$M563,-12))=3),IFERROR(SUMIFS('자료_거시'!$N$3:$N$602,'자료_거시'!$M$3:$M$602,"&gt;"&amp;EDATE('자료_거시'!$M563,-'설정'!$B$17),'자료_거시'!$M$3:$M$602,"&lt;="&amp;'자료_거시'!$M563)/SUMIFS('자료_거시'!$N$3:$N$602,'자료_거시'!$M$3:$M$602,"&gt;"&amp;EDATE('자료_거시'!$M563,-12-'설정'!$B$17),'자료_거시'!$M$3:$M$602,"&lt;="&amp;EDATE('자료_거시'!$M563,-12))-1,""),""),"")</f>
        <v/>
      </c>
      <c r="AF581">
        <f>IF(ISNUMBER(AE581),'자료_거시'!$M563,"")</f>
        <v/>
      </c>
      <c r="AG581">
        <f>IF(ISNUMBER(AF581),IF(AF581&gt;$L$9,AE581,""),"")</f>
        <v/>
      </c>
    </row>
    <row r="582">
      <c r="P582">
        <f>IF(AND(ISNUMBER('자료_거시'!$A564),ISNUMBER('자료_거시'!$B564)),'자료_거시'!$B564,"")</f>
        <v/>
      </c>
      <c r="Q582">
        <f>IF(ISNUMBER(P582),'자료_거시'!$A564,"")</f>
        <v/>
      </c>
      <c r="R582">
        <f>IF(ISNUMBER(Q582),IF(Q582&gt;$L$5,P582,""),"")</f>
        <v/>
      </c>
      <c r="S582">
        <f>IF(ISNUMBER('자료_거시'!$E564),'자료_거시'!$E564,S581)</f>
        <v/>
      </c>
      <c r="T582">
        <f>IF(AND(ISNUMBER('자료_거시'!$D564),ISNUMBER('자료_거시'!$E564)),IFERROR('자료_거시'!$E564-INDEX($S$21:$S$4020,MATCH(EDATE('자료_거시'!$D564,-'설정'!$B$17),'자료_거시'!$D$3:INDEX('자료_거시'!$D$3:$D$4002,$K$6),1)),""),"")</f>
        <v/>
      </c>
      <c r="U582">
        <f>IF(ISNUMBER(T582),'자료_거시'!$D564,"")</f>
        <v/>
      </c>
      <c r="V582">
        <f>IF(ISNUMBER(U582),IF(U582&gt;$L$6,T582,""),"")</f>
        <v/>
      </c>
      <c r="W582">
        <f>IF(AND(ISNUMBER('자료_거시'!$G564),ISNUMBER('자료_거시'!$H564)),'자료_거시'!$H564,"")</f>
        <v/>
      </c>
      <c r="X582">
        <f>IF(ISNUMBER(W582),'자료_거시'!$G564,"")</f>
        <v/>
      </c>
      <c r="Y582">
        <f>IF(ISNUMBER(X582),IF(X582&gt;$L$7,W582,""),"")</f>
        <v/>
      </c>
      <c r="Z582">
        <f>IF(ISNUMBER('자료_거시'!$K564),'자료_거시'!$K564,Z581)</f>
        <v/>
      </c>
      <c r="AA582">
        <f>IF(AND(ISNUMBER('자료_거시'!$J564),ISNUMBER('자료_거시'!$K564)),IFERROR('자료_거시'!$K564/INDEX($Z$21:$Z$4020,MATCH(EDATE('자료_거시'!$J564,-'설정'!$B$17),'자료_거시'!$J$3:INDEX('자료_거시'!$J$3:$J$4002,$K$8),1))-1,""),"")</f>
        <v/>
      </c>
      <c r="AB582">
        <f>IF(ISNUMBER(AA582),'자료_거시'!$J564,"")</f>
        <v/>
      </c>
      <c r="AC582">
        <f>IF(ISNUMBER(AB582),IF(AB582&gt;$L$8,AA582,""),"")</f>
        <v/>
      </c>
      <c r="AD582">
        <f>IF(AND(ISNUMBER('자료_거시'!$M564),ISNUMBER('자료_거시'!$N564)),1,0)</f>
        <v/>
      </c>
      <c r="AE582">
        <f>IF(AND(ISNUMBER('자료_거시'!$M564),ISNUMBER('자료_거시'!$N564)),IF(AND(SUMIFS($AD$21:$AD$620,'자료_거시'!$M$3:$M$602,"&gt;"&amp;EDATE('자료_거시'!$M564,-'설정'!$B$17),'자료_거시'!$M$3:$M$602,"&lt;="&amp;'자료_거시'!$M564)=3,SUMIFS($AD$21:$AD$620,'자료_거시'!$M$3:$M$602,"&gt;"&amp;EDATE('자료_거시'!$M564,-12-'설정'!$B$17),'자료_거시'!$M$3:$M$602,"&lt;="&amp;EDATE('자료_거시'!$M564,-12))=3),IFERROR(SUMIFS('자료_거시'!$N$3:$N$602,'자료_거시'!$M$3:$M$602,"&gt;"&amp;EDATE('자료_거시'!$M564,-'설정'!$B$17),'자료_거시'!$M$3:$M$602,"&lt;="&amp;'자료_거시'!$M564)/SUMIFS('자료_거시'!$N$3:$N$602,'자료_거시'!$M$3:$M$602,"&gt;"&amp;EDATE('자료_거시'!$M564,-12-'설정'!$B$17),'자료_거시'!$M$3:$M$602,"&lt;="&amp;EDATE('자료_거시'!$M564,-12))-1,""),""),"")</f>
        <v/>
      </c>
      <c r="AF582">
        <f>IF(ISNUMBER(AE582),'자료_거시'!$M564,"")</f>
        <v/>
      </c>
      <c r="AG582">
        <f>IF(ISNUMBER(AF582),IF(AF582&gt;$L$9,AE582,""),"")</f>
        <v/>
      </c>
    </row>
    <row r="583">
      <c r="P583">
        <f>IF(AND(ISNUMBER('자료_거시'!$A565),ISNUMBER('자료_거시'!$B565)),'자료_거시'!$B565,"")</f>
        <v/>
      </c>
      <c r="Q583">
        <f>IF(ISNUMBER(P583),'자료_거시'!$A565,"")</f>
        <v/>
      </c>
      <c r="R583">
        <f>IF(ISNUMBER(Q583),IF(Q583&gt;$L$5,P583,""),"")</f>
        <v/>
      </c>
      <c r="S583">
        <f>IF(ISNUMBER('자료_거시'!$E565),'자료_거시'!$E565,S582)</f>
        <v/>
      </c>
      <c r="T583">
        <f>IF(AND(ISNUMBER('자료_거시'!$D565),ISNUMBER('자료_거시'!$E565)),IFERROR('자료_거시'!$E565-INDEX($S$21:$S$4020,MATCH(EDATE('자료_거시'!$D565,-'설정'!$B$17),'자료_거시'!$D$3:INDEX('자료_거시'!$D$3:$D$4002,$K$6),1)),""),"")</f>
        <v/>
      </c>
      <c r="U583">
        <f>IF(ISNUMBER(T583),'자료_거시'!$D565,"")</f>
        <v/>
      </c>
      <c r="V583">
        <f>IF(ISNUMBER(U583),IF(U583&gt;$L$6,T583,""),"")</f>
        <v/>
      </c>
      <c r="W583">
        <f>IF(AND(ISNUMBER('자료_거시'!$G565),ISNUMBER('자료_거시'!$H565)),'자료_거시'!$H565,"")</f>
        <v/>
      </c>
      <c r="X583">
        <f>IF(ISNUMBER(W583),'자료_거시'!$G565,"")</f>
        <v/>
      </c>
      <c r="Y583">
        <f>IF(ISNUMBER(X583),IF(X583&gt;$L$7,W583,""),"")</f>
        <v/>
      </c>
      <c r="Z583">
        <f>IF(ISNUMBER('자료_거시'!$K565),'자료_거시'!$K565,Z582)</f>
        <v/>
      </c>
      <c r="AA583">
        <f>IF(AND(ISNUMBER('자료_거시'!$J565),ISNUMBER('자료_거시'!$K565)),IFERROR('자료_거시'!$K565/INDEX($Z$21:$Z$4020,MATCH(EDATE('자료_거시'!$J565,-'설정'!$B$17),'자료_거시'!$J$3:INDEX('자료_거시'!$J$3:$J$4002,$K$8),1))-1,""),"")</f>
        <v/>
      </c>
      <c r="AB583">
        <f>IF(ISNUMBER(AA583),'자료_거시'!$J565,"")</f>
        <v/>
      </c>
      <c r="AC583">
        <f>IF(ISNUMBER(AB583),IF(AB583&gt;$L$8,AA583,""),"")</f>
        <v/>
      </c>
      <c r="AD583">
        <f>IF(AND(ISNUMBER('자료_거시'!$M565),ISNUMBER('자료_거시'!$N565)),1,0)</f>
        <v/>
      </c>
      <c r="AE583">
        <f>IF(AND(ISNUMBER('자료_거시'!$M565),ISNUMBER('자료_거시'!$N565)),IF(AND(SUMIFS($AD$21:$AD$620,'자료_거시'!$M$3:$M$602,"&gt;"&amp;EDATE('자료_거시'!$M565,-'설정'!$B$17),'자료_거시'!$M$3:$M$602,"&lt;="&amp;'자료_거시'!$M565)=3,SUMIFS($AD$21:$AD$620,'자료_거시'!$M$3:$M$602,"&gt;"&amp;EDATE('자료_거시'!$M565,-12-'설정'!$B$17),'자료_거시'!$M$3:$M$602,"&lt;="&amp;EDATE('자료_거시'!$M565,-12))=3),IFERROR(SUMIFS('자료_거시'!$N$3:$N$602,'자료_거시'!$M$3:$M$602,"&gt;"&amp;EDATE('자료_거시'!$M565,-'설정'!$B$17),'자료_거시'!$M$3:$M$602,"&lt;="&amp;'자료_거시'!$M565)/SUMIFS('자료_거시'!$N$3:$N$602,'자료_거시'!$M$3:$M$602,"&gt;"&amp;EDATE('자료_거시'!$M565,-12-'설정'!$B$17),'자료_거시'!$M$3:$M$602,"&lt;="&amp;EDATE('자료_거시'!$M565,-12))-1,""),""),"")</f>
        <v/>
      </c>
      <c r="AF583">
        <f>IF(ISNUMBER(AE583),'자료_거시'!$M565,"")</f>
        <v/>
      </c>
      <c r="AG583">
        <f>IF(ISNUMBER(AF583),IF(AF583&gt;$L$9,AE583,""),"")</f>
        <v/>
      </c>
    </row>
    <row r="584">
      <c r="P584">
        <f>IF(AND(ISNUMBER('자료_거시'!$A566),ISNUMBER('자료_거시'!$B566)),'자료_거시'!$B566,"")</f>
        <v/>
      </c>
      <c r="Q584">
        <f>IF(ISNUMBER(P584),'자료_거시'!$A566,"")</f>
        <v/>
      </c>
      <c r="R584">
        <f>IF(ISNUMBER(Q584),IF(Q584&gt;$L$5,P584,""),"")</f>
        <v/>
      </c>
      <c r="S584">
        <f>IF(ISNUMBER('자료_거시'!$E566),'자료_거시'!$E566,S583)</f>
        <v/>
      </c>
      <c r="T584">
        <f>IF(AND(ISNUMBER('자료_거시'!$D566),ISNUMBER('자료_거시'!$E566)),IFERROR('자료_거시'!$E566-INDEX($S$21:$S$4020,MATCH(EDATE('자료_거시'!$D566,-'설정'!$B$17),'자료_거시'!$D$3:INDEX('자료_거시'!$D$3:$D$4002,$K$6),1)),""),"")</f>
        <v/>
      </c>
      <c r="U584">
        <f>IF(ISNUMBER(T584),'자료_거시'!$D566,"")</f>
        <v/>
      </c>
      <c r="V584">
        <f>IF(ISNUMBER(U584),IF(U584&gt;$L$6,T584,""),"")</f>
        <v/>
      </c>
      <c r="W584">
        <f>IF(AND(ISNUMBER('자료_거시'!$G566),ISNUMBER('자료_거시'!$H566)),'자료_거시'!$H566,"")</f>
        <v/>
      </c>
      <c r="X584">
        <f>IF(ISNUMBER(W584),'자료_거시'!$G566,"")</f>
        <v/>
      </c>
      <c r="Y584">
        <f>IF(ISNUMBER(X584),IF(X584&gt;$L$7,W584,""),"")</f>
        <v/>
      </c>
      <c r="Z584">
        <f>IF(ISNUMBER('자료_거시'!$K566),'자료_거시'!$K566,Z583)</f>
        <v/>
      </c>
      <c r="AA584">
        <f>IF(AND(ISNUMBER('자료_거시'!$J566),ISNUMBER('자료_거시'!$K566)),IFERROR('자료_거시'!$K566/INDEX($Z$21:$Z$4020,MATCH(EDATE('자료_거시'!$J566,-'설정'!$B$17),'자료_거시'!$J$3:INDEX('자료_거시'!$J$3:$J$4002,$K$8),1))-1,""),"")</f>
        <v/>
      </c>
      <c r="AB584">
        <f>IF(ISNUMBER(AA584),'자료_거시'!$J566,"")</f>
        <v/>
      </c>
      <c r="AC584">
        <f>IF(ISNUMBER(AB584),IF(AB584&gt;$L$8,AA584,""),"")</f>
        <v/>
      </c>
      <c r="AD584">
        <f>IF(AND(ISNUMBER('자료_거시'!$M566),ISNUMBER('자료_거시'!$N566)),1,0)</f>
        <v/>
      </c>
      <c r="AE584">
        <f>IF(AND(ISNUMBER('자료_거시'!$M566),ISNUMBER('자료_거시'!$N566)),IF(AND(SUMIFS($AD$21:$AD$620,'자료_거시'!$M$3:$M$602,"&gt;"&amp;EDATE('자료_거시'!$M566,-'설정'!$B$17),'자료_거시'!$M$3:$M$602,"&lt;="&amp;'자료_거시'!$M566)=3,SUMIFS($AD$21:$AD$620,'자료_거시'!$M$3:$M$602,"&gt;"&amp;EDATE('자료_거시'!$M566,-12-'설정'!$B$17),'자료_거시'!$M$3:$M$602,"&lt;="&amp;EDATE('자료_거시'!$M566,-12))=3),IFERROR(SUMIFS('자료_거시'!$N$3:$N$602,'자료_거시'!$M$3:$M$602,"&gt;"&amp;EDATE('자료_거시'!$M566,-'설정'!$B$17),'자료_거시'!$M$3:$M$602,"&lt;="&amp;'자료_거시'!$M566)/SUMIFS('자료_거시'!$N$3:$N$602,'자료_거시'!$M$3:$M$602,"&gt;"&amp;EDATE('자료_거시'!$M566,-12-'설정'!$B$17),'자료_거시'!$M$3:$M$602,"&lt;="&amp;EDATE('자료_거시'!$M566,-12))-1,""),""),"")</f>
        <v/>
      </c>
      <c r="AF584">
        <f>IF(ISNUMBER(AE584),'자료_거시'!$M566,"")</f>
        <v/>
      </c>
      <c r="AG584">
        <f>IF(ISNUMBER(AF584),IF(AF584&gt;$L$9,AE584,""),"")</f>
        <v/>
      </c>
    </row>
    <row r="585">
      <c r="P585">
        <f>IF(AND(ISNUMBER('자료_거시'!$A567),ISNUMBER('자료_거시'!$B567)),'자료_거시'!$B567,"")</f>
        <v/>
      </c>
      <c r="Q585">
        <f>IF(ISNUMBER(P585),'자료_거시'!$A567,"")</f>
        <v/>
      </c>
      <c r="R585">
        <f>IF(ISNUMBER(Q585),IF(Q585&gt;$L$5,P585,""),"")</f>
        <v/>
      </c>
      <c r="S585">
        <f>IF(ISNUMBER('자료_거시'!$E567),'자료_거시'!$E567,S584)</f>
        <v/>
      </c>
      <c r="T585">
        <f>IF(AND(ISNUMBER('자료_거시'!$D567),ISNUMBER('자료_거시'!$E567)),IFERROR('자료_거시'!$E567-INDEX($S$21:$S$4020,MATCH(EDATE('자료_거시'!$D567,-'설정'!$B$17),'자료_거시'!$D$3:INDEX('자료_거시'!$D$3:$D$4002,$K$6),1)),""),"")</f>
        <v/>
      </c>
      <c r="U585">
        <f>IF(ISNUMBER(T585),'자료_거시'!$D567,"")</f>
        <v/>
      </c>
      <c r="V585">
        <f>IF(ISNUMBER(U585),IF(U585&gt;$L$6,T585,""),"")</f>
        <v/>
      </c>
      <c r="W585">
        <f>IF(AND(ISNUMBER('자료_거시'!$G567),ISNUMBER('자료_거시'!$H567)),'자료_거시'!$H567,"")</f>
        <v/>
      </c>
      <c r="X585">
        <f>IF(ISNUMBER(W585),'자료_거시'!$G567,"")</f>
        <v/>
      </c>
      <c r="Y585">
        <f>IF(ISNUMBER(X585),IF(X585&gt;$L$7,W585,""),"")</f>
        <v/>
      </c>
      <c r="Z585">
        <f>IF(ISNUMBER('자료_거시'!$K567),'자료_거시'!$K567,Z584)</f>
        <v/>
      </c>
      <c r="AA585">
        <f>IF(AND(ISNUMBER('자료_거시'!$J567),ISNUMBER('자료_거시'!$K567)),IFERROR('자료_거시'!$K567/INDEX($Z$21:$Z$4020,MATCH(EDATE('자료_거시'!$J567,-'설정'!$B$17),'자료_거시'!$J$3:INDEX('자료_거시'!$J$3:$J$4002,$K$8),1))-1,""),"")</f>
        <v/>
      </c>
      <c r="AB585">
        <f>IF(ISNUMBER(AA585),'자료_거시'!$J567,"")</f>
        <v/>
      </c>
      <c r="AC585">
        <f>IF(ISNUMBER(AB585),IF(AB585&gt;$L$8,AA585,""),"")</f>
        <v/>
      </c>
      <c r="AD585">
        <f>IF(AND(ISNUMBER('자료_거시'!$M567),ISNUMBER('자료_거시'!$N567)),1,0)</f>
        <v/>
      </c>
      <c r="AE585">
        <f>IF(AND(ISNUMBER('자료_거시'!$M567),ISNUMBER('자료_거시'!$N567)),IF(AND(SUMIFS($AD$21:$AD$620,'자료_거시'!$M$3:$M$602,"&gt;"&amp;EDATE('자료_거시'!$M567,-'설정'!$B$17),'자료_거시'!$M$3:$M$602,"&lt;="&amp;'자료_거시'!$M567)=3,SUMIFS($AD$21:$AD$620,'자료_거시'!$M$3:$M$602,"&gt;"&amp;EDATE('자료_거시'!$M567,-12-'설정'!$B$17),'자료_거시'!$M$3:$M$602,"&lt;="&amp;EDATE('자료_거시'!$M567,-12))=3),IFERROR(SUMIFS('자료_거시'!$N$3:$N$602,'자료_거시'!$M$3:$M$602,"&gt;"&amp;EDATE('자료_거시'!$M567,-'설정'!$B$17),'자료_거시'!$M$3:$M$602,"&lt;="&amp;'자료_거시'!$M567)/SUMIFS('자료_거시'!$N$3:$N$602,'자료_거시'!$M$3:$M$602,"&gt;"&amp;EDATE('자료_거시'!$M567,-12-'설정'!$B$17),'자료_거시'!$M$3:$M$602,"&lt;="&amp;EDATE('자료_거시'!$M567,-12))-1,""),""),"")</f>
        <v/>
      </c>
      <c r="AF585">
        <f>IF(ISNUMBER(AE585),'자료_거시'!$M567,"")</f>
        <v/>
      </c>
      <c r="AG585">
        <f>IF(ISNUMBER(AF585),IF(AF585&gt;$L$9,AE585,""),"")</f>
        <v/>
      </c>
    </row>
    <row r="586">
      <c r="P586">
        <f>IF(AND(ISNUMBER('자료_거시'!$A568),ISNUMBER('자료_거시'!$B568)),'자료_거시'!$B568,"")</f>
        <v/>
      </c>
      <c r="Q586">
        <f>IF(ISNUMBER(P586),'자료_거시'!$A568,"")</f>
        <v/>
      </c>
      <c r="R586">
        <f>IF(ISNUMBER(Q586),IF(Q586&gt;$L$5,P586,""),"")</f>
        <v/>
      </c>
      <c r="S586">
        <f>IF(ISNUMBER('자료_거시'!$E568),'자료_거시'!$E568,S585)</f>
        <v/>
      </c>
      <c r="T586">
        <f>IF(AND(ISNUMBER('자료_거시'!$D568),ISNUMBER('자료_거시'!$E568)),IFERROR('자료_거시'!$E568-INDEX($S$21:$S$4020,MATCH(EDATE('자료_거시'!$D568,-'설정'!$B$17),'자료_거시'!$D$3:INDEX('자료_거시'!$D$3:$D$4002,$K$6),1)),""),"")</f>
        <v/>
      </c>
      <c r="U586">
        <f>IF(ISNUMBER(T586),'자료_거시'!$D568,"")</f>
        <v/>
      </c>
      <c r="V586">
        <f>IF(ISNUMBER(U586),IF(U586&gt;$L$6,T586,""),"")</f>
        <v/>
      </c>
      <c r="W586">
        <f>IF(AND(ISNUMBER('자료_거시'!$G568),ISNUMBER('자료_거시'!$H568)),'자료_거시'!$H568,"")</f>
        <v/>
      </c>
      <c r="X586">
        <f>IF(ISNUMBER(W586),'자료_거시'!$G568,"")</f>
        <v/>
      </c>
      <c r="Y586">
        <f>IF(ISNUMBER(X586),IF(X586&gt;$L$7,W586,""),"")</f>
        <v/>
      </c>
      <c r="Z586">
        <f>IF(ISNUMBER('자료_거시'!$K568),'자료_거시'!$K568,Z585)</f>
        <v/>
      </c>
      <c r="AA586">
        <f>IF(AND(ISNUMBER('자료_거시'!$J568),ISNUMBER('자료_거시'!$K568)),IFERROR('자료_거시'!$K568/INDEX($Z$21:$Z$4020,MATCH(EDATE('자료_거시'!$J568,-'설정'!$B$17),'자료_거시'!$J$3:INDEX('자료_거시'!$J$3:$J$4002,$K$8),1))-1,""),"")</f>
        <v/>
      </c>
      <c r="AB586">
        <f>IF(ISNUMBER(AA586),'자료_거시'!$J568,"")</f>
        <v/>
      </c>
      <c r="AC586">
        <f>IF(ISNUMBER(AB586),IF(AB586&gt;$L$8,AA586,""),"")</f>
        <v/>
      </c>
      <c r="AD586">
        <f>IF(AND(ISNUMBER('자료_거시'!$M568),ISNUMBER('자료_거시'!$N568)),1,0)</f>
        <v/>
      </c>
      <c r="AE586">
        <f>IF(AND(ISNUMBER('자료_거시'!$M568),ISNUMBER('자료_거시'!$N568)),IF(AND(SUMIFS($AD$21:$AD$620,'자료_거시'!$M$3:$M$602,"&gt;"&amp;EDATE('자료_거시'!$M568,-'설정'!$B$17),'자료_거시'!$M$3:$M$602,"&lt;="&amp;'자료_거시'!$M568)=3,SUMIFS($AD$21:$AD$620,'자료_거시'!$M$3:$M$602,"&gt;"&amp;EDATE('자료_거시'!$M568,-12-'설정'!$B$17),'자료_거시'!$M$3:$M$602,"&lt;="&amp;EDATE('자료_거시'!$M568,-12))=3),IFERROR(SUMIFS('자료_거시'!$N$3:$N$602,'자료_거시'!$M$3:$M$602,"&gt;"&amp;EDATE('자료_거시'!$M568,-'설정'!$B$17),'자료_거시'!$M$3:$M$602,"&lt;="&amp;'자료_거시'!$M568)/SUMIFS('자료_거시'!$N$3:$N$602,'자료_거시'!$M$3:$M$602,"&gt;"&amp;EDATE('자료_거시'!$M568,-12-'설정'!$B$17),'자료_거시'!$M$3:$M$602,"&lt;="&amp;EDATE('자료_거시'!$M568,-12))-1,""),""),"")</f>
        <v/>
      </c>
      <c r="AF586">
        <f>IF(ISNUMBER(AE586),'자료_거시'!$M568,"")</f>
        <v/>
      </c>
      <c r="AG586">
        <f>IF(ISNUMBER(AF586),IF(AF586&gt;$L$9,AE586,""),"")</f>
        <v/>
      </c>
    </row>
    <row r="587">
      <c r="P587">
        <f>IF(AND(ISNUMBER('자료_거시'!$A569),ISNUMBER('자료_거시'!$B569)),'자료_거시'!$B569,"")</f>
        <v/>
      </c>
      <c r="Q587">
        <f>IF(ISNUMBER(P587),'자료_거시'!$A569,"")</f>
        <v/>
      </c>
      <c r="R587">
        <f>IF(ISNUMBER(Q587),IF(Q587&gt;$L$5,P587,""),"")</f>
        <v/>
      </c>
      <c r="S587">
        <f>IF(ISNUMBER('자료_거시'!$E569),'자료_거시'!$E569,S586)</f>
        <v/>
      </c>
      <c r="T587">
        <f>IF(AND(ISNUMBER('자료_거시'!$D569),ISNUMBER('자료_거시'!$E569)),IFERROR('자료_거시'!$E569-INDEX($S$21:$S$4020,MATCH(EDATE('자료_거시'!$D569,-'설정'!$B$17),'자료_거시'!$D$3:INDEX('자료_거시'!$D$3:$D$4002,$K$6),1)),""),"")</f>
        <v/>
      </c>
      <c r="U587">
        <f>IF(ISNUMBER(T587),'자료_거시'!$D569,"")</f>
        <v/>
      </c>
      <c r="V587">
        <f>IF(ISNUMBER(U587),IF(U587&gt;$L$6,T587,""),"")</f>
        <v/>
      </c>
      <c r="W587">
        <f>IF(AND(ISNUMBER('자료_거시'!$G569),ISNUMBER('자료_거시'!$H569)),'자료_거시'!$H569,"")</f>
        <v/>
      </c>
      <c r="X587">
        <f>IF(ISNUMBER(W587),'자료_거시'!$G569,"")</f>
        <v/>
      </c>
      <c r="Y587">
        <f>IF(ISNUMBER(X587),IF(X587&gt;$L$7,W587,""),"")</f>
        <v/>
      </c>
      <c r="Z587">
        <f>IF(ISNUMBER('자료_거시'!$K569),'자료_거시'!$K569,Z586)</f>
        <v/>
      </c>
      <c r="AA587">
        <f>IF(AND(ISNUMBER('자료_거시'!$J569),ISNUMBER('자료_거시'!$K569)),IFERROR('자료_거시'!$K569/INDEX($Z$21:$Z$4020,MATCH(EDATE('자료_거시'!$J569,-'설정'!$B$17),'자료_거시'!$J$3:INDEX('자료_거시'!$J$3:$J$4002,$K$8),1))-1,""),"")</f>
        <v/>
      </c>
      <c r="AB587">
        <f>IF(ISNUMBER(AA587),'자료_거시'!$J569,"")</f>
        <v/>
      </c>
      <c r="AC587">
        <f>IF(ISNUMBER(AB587),IF(AB587&gt;$L$8,AA587,""),"")</f>
        <v/>
      </c>
      <c r="AD587">
        <f>IF(AND(ISNUMBER('자료_거시'!$M569),ISNUMBER('자료_거시'!$N569)),1,0)</f>
        <v/>
      </c>
      <c r="AE587">
        <f>IF(AND(ISNUMBER('자료_거시'!$M569),ISNUMBER('자료_거시'!$N569)),IF(AND(SUMIFS($AD$21:$AD$620,'자료_거시'!$M$3:$M$602,"&gt;"&amp;EDATE('자료_거시'!$M569,-'설정'!$B$17),'자료_거시'!$M$3:$M$602,"&lt;="&amp;'자료_거시'!$M569)=3,SUMIFS($AD$21:$AD$620,'자료_거시'!$M$3:$M$602,"&gt;"&amp;EDATE('자료_거시'!$M569,-12-'설정'!$B$17),'자료_거시'!$M$3:$M$602,"&lt;="&amp;EDATE('자료_거시'!$M569,-12))=3),IFERROR(SUMIFS('자료_거시'!$N$3:$N$602,'자료_거시'!$M$3:$M$602,"&gt;"&amp;EDATE('자료_거시'!$M569,-'설정'!$B$17),'자료_거시'!$M$3:$M$602,"&lt;="&amp;'자료_거시'!$M569)/SUMIFS('자료_거시'!$N$3:$N$602,'자료_거시'!$M$3:$M$602,"&gt;"&amp;EDATE('자료_거시'!$M569,-12-'설정'!$B$17),'자료_거시'!$M$3:$M$602,"&lt;="&amp;EDATE('자료_거시'!$M569,-12))-1,""),""),"")</f>
        <v/>
      </c>
      <c r="AF587">
        <f>IF(ISNUMBER(AE587),'자료_거시'!$M569,"")</f>
        <v/>
      </c>
      <c r="AG587">
        <f>IF(ISNUMBER(AF587),IF(AF587&gt;$L$9,AE587,""),"")</f>
        <v/>
      </c>
    </row>
    <row r="588">
      <c r="P588">
        <f>IF(AND(ISNUMBER('자료_거시'!$A570),ISNUMBER('자료_거시'!$B570)),'자료_거시'!$B570,"")</f>
        <v/>
      </c>
      <c r="Q588">
        <f>IF(ISNUMBER(P588),'자료_거시'!$A570,"")</f>
        <v/>
      </c>
      <c r="R588">
        <f>IF(ISNUMBER(Q588),IF(Q588&gt;$L$5,P588,""),"")</f>
        <v/>
      </c>
      <c r="S588">
        <f>IF(ISNUMBER('자료_거시'!$E570),'자료_거시'!$E570,S587)</f>
        <v/>
      </c>
      <c r="T588">
        <f>IF(AND(ISNUMBER('자료_거시'!$D570),ISNUMBER('자료_거시'!$E570)),IFERROR('자료_거시'!$E570-INDEX($S$21:$S$4020,MATCH(EDATE('자료_거시'!$D570,-'설정'!$B$17),'자료_거시'!$D$3:INDEX('자료_거시'!$D$3:$D$4002,$K$6),1)),""),"")</f>
        <v/>
      </c>
      <c r="U588">
        <f>IF(ISNUMBER(T588),'자료_거시'!$D570,"")</f>
        <v/>
      </c>
      <c r="V588">
        <f>IF(ISNUMBER(U588),IF(U588&gt;$L$6,T588,""),"")</f>
        <v/>
      </c>
      <c r="W588">
        <f>IF(AND(ISNUMBER('자료_거시'!$G570),ISNUMBER('자료_거시'!$H570)),'자료_거시'!$H570,"")</f>
        <v/>
      </c>
      <c r="X588">
        <f>IF(ISNUMBER(W588),'자료_거시'!$G570,"")</f>
        <v/>
      </c>
      <c r="Y588">
        <f>IF(ISNUMBER(X588),IF(X588&gt;$L$7,W588,""),"")</f>
        <v/>
      </c>
      <c r="Z588">
        <f>IF(ISNUMBER('자료_거시'!$K570),'자료_거시'!$K570,Z587)</f>
        <v/>
      </c>
      <c r="AA588">
        <f>IF(AND(ISNUMBER('자료_거시'!$J570),ISNUMBER('자료_거시'!$K570)),IFERROR('자료_거시'!$K570/INDEX($Z$21:$Z$4020,MATCH(EDATE('자료_거시'!$J570,-'설정'!$B$17),'자료_거시'!$J$3:INDEX('자료_거시'!$J$3:$J$4002,$K$8),1))-1,""),"")</f>
        <v/>
      </c>
      <c r="AB588">
        <f>IF(ISNUMBER(AA588),'자료_거시'!$J570,"")</f>
        <v/>
      </c>
      <c r="AC588">
        <f>IF(ISNUMBER(AB588),IF(AB588&gt;$L$8,AA588,""),"")</f>
        <v/>
      </c>
      <c r="AD588">
        <f>IF(AND(ISNUMBER('자료_거시'!$M570),ISNUMBER('자료_거시'!$N570)),1,0)</f>
        <v/>
      </c>
      <c r="AE588">
        <f>IF(AND(ISNUMBER('자료_거시'!$M570),ISNUMBER('자료_거시'!$N570)),IF(AND(SUMIFS($AD$21:$AD$620,'자료_거시'!$M$3:$M$602,"&gt;"&amp;EDATE('자료_거시'!$M570,-'설정'!$B$17),'자료_거시'!$M$3:$M$602,"&lt;="&amp;'자료_거시'!$M570)=3,SUMIFS($AD$21:$AD$620,'자료_거시'!$M$3:$M$602,"&gt;"&amp;EDATE('자료_거시'!$M570,-12-'설정'!$B$17),'자료_거시'!$M$3:$M$602,"&lt;="&amp;EDATE('자료_거시'!$M570,-12))=3),IFERROR(SUMIFS('자료_거시'!$N$3:$N$602,'자료_거시'!$M$3:$M$602,"&gt;"&amp;EDATE('자료_거시'!$M570,-'설정'!$B$17),'자료_거시'!$M$3:$M$602,"&lt;="&amp;'자료_거시'!$M570)/SUMIFS('자료_거시'!$N$3:$N$602,'자료_거시'!$M$3:$M$602,"&gt;"&amp;EDATE('자료_거시'!$M570,-12-'설정'!$B$17),'자료_거시'!$M$3:$M$602,"&lt;="&amp;EDATE('자료_거시'!$M570,-12))-1,""),""),"")</f>
        <v/>
      </c>
      <c r="AF588">
        <f>IF(ISNUMBER(AE588),'자료_거시'!$M570,"")</f>
        <v/>
      </c>
      <c r="AG588">
        <f>IF(ISNUMBER(AF588),IF(AF588&gt;$L$9,AE588,""),"")</f>
        <v/>
      </c>
    </row>
    <row r="589">
      <c r="P589">
        <f>IF(AND(ISNUMBER('자료_거시'!$A571),ISNUMBER('자료_거시'!$B571)),'자료_거시'!$B571,"")</f>
        <v/>
      </c>
      <c r="Q589">
        <f>IF(ISNUMBER(P589),'자료_거시'!$A571,"")</f>
        <v/>
      </c>
      <c r="R589">
        <f>IF(ISNUMBER(Q589),IF(Q589&gt;$L$5,P589,""),"")</f>
        <v/>
      </c>
      <c r="S589">
        <f>IF(ISNUMBER('자료_거시'!$E571),'자료_거시'!$E571,S588)</f>
        <v/>
      </c>
      <c r="T589">
        <f>IF(AND(ISNUMBER('자료_거시'!$D571),ISNUMBER('자료_거시'!$E571)),IFERROR('자료_거시'!$E571-INDEX($S$21:$S$4020,MATCH(EDATE('자료_거시'!$D571,-'설정'!$B$17),'자료_거시'!$D$3:INDEX('자료_거시'!$D$3:$D$4002,$K$6),1)),""),"")</f>
        <v/>
      </c>
      <c r="U589">
        <f>IF(ISNUMBER(T589),'자료_거시'!$D571,"")</f>
        <v/>
      </c>
      <c r="V589">
        <f>IF(ISNUMBER(U589),IF(U589&gt;$L$6,T589,""),"")</f>
        <v/>
      </c>
      <c r="W589">
        <f>IF(AND(ISNUMBER('자료_거시'!$G571),ISNUMBER('자료_거시'!$H571)),'자료_거시'!$H571,"")</f>
        <v/>
      </c>
      <c r="X589">
        <f>IF(ISNUMBER(W589),'자료_거시'!$G571,"")</f>
        <v/>
      </c>
      <c r="Y589">
        <f>IF(ISNUMBER(X589),IF(X589&gt;$L$7,W589,""),"")</f>
        <v/>
      </c>
      <c r="Z589">
        <f>IF(ISNUMBER('자료_거시'!$K571),'자료_거시'!$K571,Z588)</f>
        <v/>
      </c>
      <c r="AA589">
        <f>IF(AND(ISNUMBER('자료_거시'!$J571),ISNUMBER('자료_거시'!$K571)),IFERROR('자료_거시'!$K571/INDEX($Z$21:$Z$4020,MATCH(EDATE('자료_거시'!$J571,-'설정'!$B$17),'자료_거시'!$J$3:INDEX('자료_거시'!$J$3:$J$4002,$K$8),1))-1,""),"")</f>
        <v/>
      </c>
      <c r="AB589">
        <f>IF(ISNUMBER(AA589),'자료_거시'!$J571,"")</f>
        <v/>
      </c>
      <c r="AC589">
        <f>IF(ISNUMBER(AB589),IF(AB589&gt;$L$8,AA589,""),"")</f>
        <v/>
      </c>
      <c r="AD589">
        <f>IF(AND(ISNUMBER('자료_거시'!$M571),ISNUMBER('자료_거시'!$N571)),1,0)</f>
        <v/>
      </c>
      <c r="AE589">
        <f>IF(AND(ISNUMBER('자료_거시'!$M571),ISNUMBER('자료_거시'!$N571)),IF(AND(SUMIFS($AD$21:$AD$620,'자료_거시'!$M$3:$M$602,"&gt;"&amp;EDATE('자료_거시'!$M571,-'설정'!$B$17),'자료_거시'!$M$3:$M$602,"&lt;="&amp;'자료_거시'!$M571)=3,SUMIFS($AD$21:$AD$620,'자료_거시'!$M$3:$M$602,"&gt;"&amp;EDATE('자료_거시'!$M571,-12-'설정'!$B$17),'자료_거시'!$M$3:$M$602,"&lt;="&amp;EDATE('자료_거시'!$M571,-12))=3),IFERROR(SUMIFS('자료_거시'!$N$3:$N$602,'자료_거시'!$M$3:$M$602,"&gt;"&amp;EDATE('자료_거시'!$M571,-'설정'!$B$17),'자료_거시'!$M$3:$M$602,"&lt;="&amp;'자료_거시'!$M571)/SUMIFS('자료_거시'!$N$3:$N$602,'자료_거시'!$M$3:$M$602,"&gt;"&amp;EDATE('자료_거시'!$M571,-12-'설정'!$B$17),'자료_거시'!$M$3:$M$602,"&lt;="&amp;EDATE('자료_거시'!$M571,-12))-1,""),""),"")</f>
        <v/>
      </c>
      <c r="AF589">
        <f>IF(ISNUMBER(AE589),'자료_거시'!$M571,"")</f>
        <v/>
      </c>
      <c r="AG589">
        <f>IF(ISNUMBER(AF589),IF(AF589&gt;$L$9,AE589,""),"")</f>
        <v/>
      </c>
    </row>
    <row r="590">
      <c r="P590">
        <f>IF(AND(ISNUMBER('자료_거시'!$A572),ISNUMBER('자료_거시'!$B572)),'자료_거시'!$B572,"")</f>
        <v/>
      </c>
      <c r="Q590">
        <f>IF(ISNUMBER(P590),'자료_거시'!$A572,"")</f>
        <v/>
      </c>
      <c r="R590">
        <f>IF(ISNUMBER(Q590),IF(Q590&gt;$L$5,P590,""),"")</f>
        <v/>
      </c>
      <c r="S590">
        <f>IF(ISNUMBER('자료_거시'!$E572),'자료_거시'!$E572,S589)</f>
        <v/>
      </c>
      <c r="T590">
        <f>IF(AND(ISNUMBER('자료_거시'!$D572),ISNUMBER('자료_거시'!$E572)),IFERROR('자료_거시'!$E572-INDEX($S$21:$S$4020,MATCH(EDATE('자료_거시'!$D572,-'설정'!$B$17),'자료_거시'!$D$3:INDEX('자료_거시'!$D$3:$D$4002,$K$6),1)),""),"")</f>
        <v/>
      </c>
      <c r="U590">
        <f>IF(ISNUMBER(T590),'자료_거시'!$D572,"")</f>
        <v/>
      </c>
      <c r="V590">
        <f>IF(ISNUMBER(U590),IF(U590&gt;$L$6,T590,""),"")</f>
        <v/>
      </c>
      <c r="W590">
        <f>IF(AND(ISNUMBER('자료_거시'!$G572),ISNUMBER('자료_거시'!$H572)),'자료_거시'!$H572,"")</f>
        <v/>
      </c>
      <c r="X590">
        <f>IF(ISNUMBER(W590),'자료_거시'!$G572,"")</f>
        <v/>
      </c>
      <c r="Y590">
        <f>IF(ISNUMBER(X590),IF(X590&gt;$L$7,W590,""),"")</f>
        <v/>
      </c>
      <c r="Z590">
        <f>IF(ISNUMBER('자료_거시'!$K572),'자료_거시'!$K572,Z589)</f>
        <v/>
      </c>
      <c r="AA590">
        <f>IF(AND(ISNUMBER('자료_거시'!$J572),ISNUMBER('자료_거시'!$K572)),IFERROR('자료_거시'!$K572/INDEX($Z$21:$Z$4020,MATCH(EDATE('자료_거시'!$J572,-'설정'!$B$17),'자료_거시'!$J$3:INDEX('자료_거시'!$J$3:$J$4002,$K$8),1))-1,""),"")</f>
        <v/>
      </c>
      <c r="AB590">
        <f>IF(ISNUMBER(AA590),'자료_거시'!$J572,"")</f>
        <v/>
      </c>
      <c r="AC590">
        <f>IF(ISNUMBER(AB590),IF(AB590&gt;$L$8,AA590,""),"")</f>
        <v/>
      </c>
      <c r="AD590">
        <f>IF(AND(ISNUMBER('자료_거시'!$M572),ISNUMBER('자료_거시'!$N572)),1,0)</f>
        <v/>
      </c>
      <c r="AE590">
        <f>IF(AND(ISNUMBER('자료_거시'!$M572),ISNUMBER('자료_거시'!$N572)),IF(AND(SUMIFS($AD$21:$AD$620,'자료_거시'!$M$3:$M$602,"&gt;"&amp;EDATE('자료_거시'!$M572,-'설정'!$B$17),'자료_거시'!$M$3:$M$602,"&lt;="&amp;'자료_거시'!$M572)=3,SUMIFS($AD$21:$AD$620,'자료_거시'!$M$3:$M$602,"&gt;"&amp;EDATE('자료_거시'!$M572,-12-'설정'!$B$17),'자료_거시'!$M$3:$M$602,"&lt;="&amp;EDATE('자료_거시'!$M572,-12))=3),IFERROR(SUMIFS('자료_거시'!$N$3:$N$602,'자료_거시'!$M$3:$M$602,"&gt;"&amp;EDATE('자료_거시'!$M572,-'설정'!$B$17),'자료_거시'!$M$3:$M$602,"&lt;="&amp;'자료_거시'!$M572)/SUMIFS('자료_거시'!$N$3:$N$602,'자료_거시'!$M$3:$M$602,"&gt;"&amp;EDATE('자료_거시'!$M572,-12-'설정'!$B$17),'자료_거시'!$M$3:$M$602,"&lt;="&amp;EDATE('자료_거시'!$M572,-12))-1,""),""),"")</f>
        <v/>
      </c>
      <c r="AF590">
        <f>IF(ISNUMBER(AE590),'자료_거시'!$M572,"")</f>
        <v/>
      </c>
      <c r="AG590">
        <f>IF(ISNUMBER(AF590),IF(AF590&gt;$L$9,AE590,""),"")</f>
        <v/>
      </c>
    </row>
    <row r="591">
      <c r="P591">
        <f>IF(AND(ISNUMBER('자료_거시'!$A573),ISNUMBER('자료_거시'!$B573)),'자료_거시'!$B573,"")</f>
        <v/>
      </c>
      <c r="Q591">
        <f>IF(ISNUMBER(P591),'자료_거시'!$A573,"")</f>
        <v/>
      </c>
      <c r="R591">
        <f>IF(ISNUMBER(Q591),IF(Q591&gt;$L$5,P591,""),"")</f>
        <v/>
      </c>
      <c r="S591">
        <f>IF(ISNUMBER('자료_거시'!$E573),'자료_거시'!$E573,S590)</f>
        <v/>
      </c>
      <c r="T591">
        <f>IF(AND(ISNUMBER('자료_거시'!$D573),ISNUMBER('자료_거시'!$E573)),IFERROR('자료_거시'!$E573-INDEX($S$21:$S$4020,MATCH(EDATE('자료_거시'!$D573,-'설정'!$B$17),'자료_거시'!$D$3:INDEX('자료_거시'!$D$3:$D$4002,$K$6),1)),""),"")</f>
        <v/>
      </c>
      <c r="U591">
        <f>IF(ISNUMBER(T591),'자료_거시'!$D573,"")</f>
        <v/>
      </c>
      <c r="V591">
        <f>IF(ISNUMBER(U591),IF(U591&gt;$L$6,T591,""),"")</f>
        <v/>
      </c>
      <c r="W591">
        <f>IF(AND(ISNUMBER('자료_거시'!$G573),ISNUMBER('자료_거시'!$H573)),'자료_거시'!$H573,"")</f>
        <v/>
      </c>
      <c r="X591">
        <f>IF(ISNUMBER(W591),'자료_거시'!$G573,"")</f>
        <v/>
      </c>
      <c r="Y591">
        <f>IF(ISNUMBER(X591),IF(X591&gt;$L$7,W591,""),"")</f>
        <v/>
      </c>
      <c r="Z591">
        <f>IF(ISNUMBER('자료_거시'!$K573),'자료_거시'!$K573,Z590)</f>
        <v/>
      </c>
      <c r="AA591">
        <f>IF(AND(ISNUMBER('자료_거시'!$J573),ISNUMBER('자료_거시'!$K573)),IFERROR('자료_거시'!$K573/INDEX($Z$21:$Z$4020,MATCH(EDATE('자료_거시'!$J573,-'설정'!$B$17),'자료_거시'!$J$3:INDEX('자료_거시'!$J$3:$J$4002,$K$8),1))-1,""),"")</f>
        <v/>
      </c>
      <c r="AB591">
        <f>IF(ISNUMBER(AA591),'자료_거시'!$J573,"")</f>
        <v/>
      </c>
      <c r="AC591">
        <f>IF(ISNUMBER(AB591),IF(AB591&gt;$L$8,AA591,""),"")</f>
        <v/>
      </c>
      <c r="AD591">
        <f>IF(AND(ISNUMBER('자료_거시'!$M573),ISNUMBER('자료_거시'!$N573)),1,0)</f>
        <v/>
      </c>
      <c r="AE591">
        <f>IF(AND(ISNUMBER('자료_거시'!$M573),ISNUMBER('자료_거시'!$N573)),IF(AND(SUMIFS($AD$21:$AD$620,'자료_거시'!$M$3:$M$602,"&gt;"&amp;EDATE('자료_거시'!$M573,-'설정'!$B$17),'자료_거시'!$M$3:$M$602,"&lt;="&amp;'자료_거시'!$M573)=3,SUMIFS($AD$21:$AD$620,'자료_거시'!$M$3:$M$602,"&gt;"&amp;EDATE('자료_거시'!$M573,-12-'설정'!$B$17),'자료_거시'!$M$3:$M$602,"&lt;="&amp;EDATE('자료_거시'!$M573,-12))=3),IFERROR(SUMIFS('자료_거시'!$N$3:$N$602,'자료_거시'!$M$3:$M$602,"&gt;"&amp;EDATE('자료_거시'!$M573,-'설정'!$B$17),'자료_거시'!$M$3:$M$602,"&lt;="&amp;'자료_거시'!$M573)/SUMIFS('자료_거시'!$N$3:$N$602,'자료_거시'!$M$3:$M$602,"&gt;"&amp;EDATE('자료_거시'!$M573,-12-'설정'!$B$17),'자료_거시'!$M$3:$M$602,"&lt;="&amp;EDATE('자료_거시'!$M573,-12))-1,""),""),"")</f>
        <v/>
      </c>
      <c r="AF591">
        <f>IF(ISNUMBER(AE591),'자료_거시'!$M573,"")</f>
        <v/>
      </c>
      <c r="AG591">
        <f>IF(ISNUMBER(AF591),IF(AF591&gt;$L$9,AE591,""),"")</f>
        <v/>
      </c>
    </row>
    <row r="592">
      <c r="P592">
        <f>IF(AND(ISNUMBER('자료_거시'!$A574),ISNUMBER('자료_거시'!$B574)),'자료_거시'!$B574,"")</f>
        <v/>
      </c>
      <c r="Q592">
        <f>IF(ISNUMBER(P592),'자료_거시'!$A574,"")</f>
        <v/>
      </c>
      <c r="R592">
        <f>IF(ISNUMBER(Q592),IF(Q592&gt;$L$5,P592,""),"")</f>
        <v/>
      </c>
      <c r="S592">
        <f>IF(ISNUMBER('자료_거시'!$E574),'자료_거시'!$E574,S591)</f>
        <v/>
      </c>
      <c r="T592">
        <f>IF(AND(ISNUMBER('자료_거시'!$D574),ISNUMBER('자료_거시'!$E574)),IFERROR('자료_거시'!$E574-INDEX($S$21:$S$4020,MATCH(EDATE('자료_거시'!$D574,-'설정'!$B$17),'자료_거시'!$D$3:INDEX('자료_거시'!$D$3:$D$4002,$K$6),1)),""),"")</f>
        <v/>
      </c>
      <c r="U592">
        <f>IF(ISNUMBER(T592),'자료_거시'!$D574,"")</f>
        <v/>
      </c>
      <c r="V592">
        <f>IF(ISNUMBER(U592),IF(U592&gt;$L$6,T592,""),"")</f>
        <v/>
      </c>
      <c r="W592">
        <f>IF(AND(ISNUMBER('자료_거시'!$G574),ISNUMBER('자료_거시'!$H574)),'자료_거시'!$H574,"")</f>
        <v/>
      </c>
      <c r="X592">
        <f>IF(ISNUMBER(W592),'자료_거시'!$G574,"")</f>
        <v/>
      </c>
      <c r="Y592">
        <f>IF(ISNUMBER(X592),IF(X592&gt;$L$7,W592,""),"")</f>
        <v/>
      </c>
      <c r="Z592">
        <f>IF(ISNUMBER('자료_거시'!$K574),'자료_거시'!$K574,Z591)</f>
        <v/>
      </c>
      <c r="AA592">
        <f>IF(AND(ISNUMBER('자료_거시'!$J574),ISNUMBER('자료_거시'!$K574)),IFERROR('자료_거시'!$K574/INDEX($Z$21:$Z$4020,MATCH(EDATE('자료_거시'!$J574,-'설정'!$B$17),'자료_거시'!$J$3:INDEX('자료_거시'!$J$3:$J$4002,$K$8),1))-1,""),"")</f>
        <v/>
      </c>
      <c r="AB592">
        <f>IF(ISNUMBER(AA592),'자료_거시'!$J574,"")</f>
        <v/>
      </c>
      <c r="AC592">
        <f>IF(ISNUMBER(AB592),IF(AB592&gt;$L$8,AA592,""),"")</f>
        <v/>
      </c>
      <c r="AD592">
        <f>IF(AND(ISNUMBER('자료_거시'!$M574),ISNUMBER('자료_거시'!$N574)),1,0)</f>
        <v/>
      </c>
      <c r="AE592">
        <f>IF(AND(ISNUMBER('자료_거시'!$M574),ISNUMBER('자료_거시'!$N574)),IF(AND(SUMIFS($AD$21:$AD$620,'자료_거시'!$M$3:$M$602,"&gt;"&amp;EDATE('자료_거시'!$M574,-'설정'!$B$17),'자료_거시'!$M$3:$M$602,"&lt;="&amp;'자료_거시'!$M574)=3,SUMIFS($AD$21:$AD$620,'자료_거시'!$M$3:$M$602,"&gt;"&amp;EDATE('자료_거시'!$M574,-12-'설정'!$B$17),'자료_거시'!$M$3:$M$602,"&lt;="&amp;EDATE('자료_거시'!$M574,-12))=3),IFERROR(SUMIFS('자료_거시'!$N$3:$N$602,'자료_거시'!$M$3:$M$602,"&gt;"&amp;EDATE('자료_거시'!$M574,-'설정'!$B$17),'자료_거시'!$M$3:$M$602,"&lt;="&amp;'자료_거시'!$M574)/SUMIFS('자료_거시'!$N$3:$N$602,'자료_거시'!$M$3:$M$602,"&gt;"&amp;EDATE('자료_거시'!$M574,-12-'설정'!$B$17),'자료_거시'!$M$3:$M$602,"&lt;="&amp;EDATE('자료_거시'!$M574,-12))-1,""),""),"")</f>
        <v/>
      </c>
      <c r="AF592">
        <f>IF(ISNUMBER(AE592),'자료_거시'!$M574,"")</f>
        <v/>
      </c>
      <c r="AG592">
        <f>IF(ISNUMBER(AF592),IF(AF592&gt;$L$9,AE592,""),"")</f>
        <v/>
      </c>
    </row>
    <row r="593">
      <c r="P593">
        <f>IF(AND(ISNUMBER('자료_거시'!$A575),ISNUMBER('자료_거시'!$B575)),'자료_거시'!$B575,"")</f>
        <v/>
      </c>
      <c r="Q593">
        <f>IF(ISNUMBER(P593),'자료_거시'!$A575,"")</f>
        <v/>
      </c>
      <c r="R593">
        <f>IF(ISNUMBER(Q593),IF(Q593&gt;$L$5,P593,""),"")</f>
        <v/>
      </c>
      <c r="S593">
        <f>IF(ISNUMBER('자료_거시'!$E575),'자료_거시'!$E575,S592)</f>
        <v/>
      </c>
      <c r="T593">
        <f>IF(AND(ISNUMBER('자료_거시'!$D575),ISNUMBER('자료_거시'!$E575)),IFERROR('자료_거시'!$E575-INDEX($S$21:$S$4020,MATCH(EDATE('자료_거시'!$D575,-'설정'!$B$17),'자료_거시'!$D$3:INDEX('자료_거시'!$D$3:$D$4002,$K$6),1)),""),"")</f>
        <v/>
      </c>
      <c r="U593">
        <f>IF(ISNUMBER(T593),'자료_거시'!$D575,"")</f>
        <v/>
      </c>
      <c r="V593">
        <f>IF(ISNUMBER(U593),IF(U593&gt;$L$6,T593,""),"")</f>
        <v/>
      </c>
      <c r="W593">
        <f>IF(AND(ISNUMBER('자료_거시'!$G575),ISNUMBER('자료_거시'!$H575)),'자료_거시'!$H575,"")</f>
        <v/>
      </c>
      <c r="X593">
        <f>IF(ISNUMBER(W593),'자료_거시'!$G575,"")</f>
        <v/>
      </c>
      <c r="Y593">
        <f>IF(ISNUMBER(X593),IF(X593&gt;$L$7,W593,""),"")</f>
        <v/>
      </c>
      <c r="Z593">
        <f>IF(ISNUMBER('자료_거시'!$K575),'자료_거시'!$K575,Z592)</f>
        <v/>
      </c>
      <c r="AA593">
        <f>IF(AND(ISNUMBER('자료_거시'!$J575),ISNUMBER('자료_거시'!$K575)),IFERROR('자료_거시'!$K575/INDEX($Z$21:$Z$4020,MATCH(EDATE('자료_거시'!$J575,-'설정'!$B$17),'자료_거시'!$J$3:INDEX('자료_거시'!$J$3:$J$4002,$K$8),1))-1,""),"")</f>
        <v/>
      </c>
      <c r="AB593">
        <f>IF(ISNUMBER(AA593),'자료_거시'!$J575,"")</f>
        <v/>
      </c>
      <c r="AC593">
        <f>IF(ISNUMBER(AB593),IF(AB593&gt;$L$8,AA593,""),"")</f>
        <v/>
      </c>
      <c r="AD593">
        <f>IF(AND(ISNUMBER('자료_거시'!$M575),ISNUMBER('자료_거시'!$N575)),1,0)</f>
        <v/>
      </c>
      <c r="AE593">
        <f>IF(AND(ISNUMBER('자료_거시'!$M575),ISNUMBER('자료_거시'!$N575)),IF(AND(SUMIFS($AD$21:$AD$620,'자료_거시'!$M$3:$M$602,"&gt;"&amp;EDATE('자료_거시'!$M575,-'설정'!$B$17),'자료_거시'!$M$3:$M$602,"&lt;="&amp;'자료_거시'!$M575)=3,SUMIFS($AD$21:$AD$620,'자료_거시'!$M$3:$M$602,"&gt;"&amp;EDATE('자료_거시'!$M575,-12-'설정'!$B$17),'자료_거시'!$M$3:$M$602,"&lt;="&amp;EDATE('자료_거시'!$M575,-12))=3),IFERROR(SUMIFS('자료_거시'!$N$3:$N$602,'자료_거시'!$M$3:$M$602,"&gt;"&amp;EDATE('자료_거시'!$M575,-'설정'!$B$17),'자료_거시'!$M$3:$M$602,"&lt;="&amp;'자료_거시'!$M575)/SUMIFS('자료_거시'!$N$3:$N$602,'자료_거시'!$M$3:$M$602,"&gt;"&amp;EDATE('자료_거시'!$M575,-12-'설정'!$B$17),'자료_거시'!$M$3:$M$602,"&lt;="&amp;EDATE('자료_거시'!$M575,-12))-1,""),""),"")</f>
        <v/>
      </c>
      <c r="AF593">
        <f>IF(ISNUMBER(AE593),'자료_거시'!$M575,"")</f>
        <v/>
      </c>
      <c r="AG593">
        <f>IF(ISNUMBER(AF593),IF(AF593&gt;$L$9,AE593,""),"")</f>
        <v/>
      </c>
    </row>
    <row r="594">
      <c r="P594">
        <f>IF(AND(ISNUMBER('자료_거시'!$A576),ISNUMBER('자료_거시'!$B576)),'자료_거시'!$B576,"")</f>
        <v/>
      </c>
      <c r="Q594">
        <f>IF(ISNUMBER(P594),'자료_거시'!$A576,"")</f>
        <v/>
      </c>
      <c r="R594">
        <f>IF(ISNUMBER(Q594),IF(Q594&gt;$L$5,P594,""),"")</f>
        <v/>
      </c>
      <c r="S594">
        <f>IF(ISNUMBER('자료_거시'!$E576),'자료_거시'!$E576,S593)</f>
        <v/>
      </c>
      <c r="T594">
        <f>IF(AND(ISNUMBER('자료_거시'!$D576),ISNUMBER('자료_거시'!$E576)),IFERROR('자료_거시'!$E576-INDEX($S$21:$S$4020,MATCH(EDATE('자료_거시'!$D576,-'설정'!$B$17),'자료_거시'!$D$3:INDEX('자료_거시'!$D$3:$D$4002,$K$6),1)),""),"")</f>
        <v/>
      </c>
      <c r="U594">
        <f>IF(ISNUMBER(T594),'자료_거시'!$D576,"")</f>
        <v/>
      </c>
      <c r="V594">
        <f>IF(ISNUMBER(U594),IF(U594&gt;$L$6,T594,""),"")</f>
        <v/>
      </c>
      <c r="W594">
        <f>IF(AND(ISNUMBER('자료_거시'!$G576),ISNUMBER('자료_거시'!$H576)),'자료_거시'!$H576,"")</f>
        <v/>
      </c>
      <c r="X594">
        <f>IF(ISNUMBER(W594),'자료_거시'!$G576,"")</f>
        <v/>
      </c>
      <c r="Y594">
        <f>IF(ISNUMBER(X594),IF(X594&gt;$L$7,W594,""),"")</f>
        <v/>
      </c>
      <c r="Z594">
        <f>IF(ISNUMBER('자료_거시'!$K576),'자료_거시'!$K576,Z593)</f>
        <v/>
      </c>
      <c r="AA594">
        <f>IF(AND(ISNUMBER('자료_거시'!$J576),ISNUMBER('자료_거시'!$K576)),IFERROR('자료_거시'!$K576/INDEX($Z$21:$Z$4020,MATCH(EDATE('자료_거시'!$J576,-'설정'!$B$17),'자료_거시'!$J$3:INDEX('자료_거시'!$J$3:$J$4002,$K$8),1))-1,""),"")</f>
        <v/>
      </c>
      <c r="AB594">
        <f>IF(ISNUMBER(AA594),'자료_거시'!$J576,"")</f>
        <v/>
      </c>
      <c r="AC594">
        <f>IF(ISNUMBER(AB594),IF(AB594&gt;$L$8,AA594,""),"")</f>
        <v/>
      </c>
      <c r="AD594">
        <f>IF(AND(ISNUMBER('자료_거시'!$M576),ISNUMBER('자료_거시'!$N576)),1,0)</f>
        <v/>
      </c>
      <c r="AE594">
        <f>IF(AND(ISNUMBER('자료_거시'!$M576),ISNUMBER('자료_거시'!$N576)),IF(AND(SUMIFS($AD$21:$AD$620,'자료_거시'!$M$3:$M$602,"&gt;"&amp;EDATE('자료_거시'!$M576,-'설정'!$B$17),'자료_거시'!$M$3:$M$602,"&lt;="&amp;'자료_거시'!$M576)=3,SUMIFS($AD$21:$AD$620,'자료_거시'!$M$3:$M$602,"&gt;"&amp;EDATE('자료_거시'!$M576,-12-'설정'!$B$17),'자료_거시'!$M$3:$M$602,"&lt;="&amp;EDATE('자료_거시'!$M576,-12))=3),IFERROR(SUMIFS('자료_거시'!$N$3:$N$602,'자료_거시'!$M$3:$M$602,"&gt;"&amp;EDATE('자료_거시'!$M576,-'설정'!$B$17),'자료_거시'!$M$3:$M$602,"&lt;="&amp;'자료_거시'!$M576)/SUMIFS('자료_거시'!$N$3:$N$602,'자료_거시'!$M$3:$M$602,"&gt;"&amp;EDATE('자료_거시'!$M576,-12-'설정'!$B$17),'자료_거시'!$M$3:$M$602,"&lt;="&amp;EDATE('자료_거시'!$M576,-12))-1,""),""),"")</f>
        <v/>
      </c>
      <c r="AF594">
        <f>IF(ISNUMBER(AE594),'자료_거시'!$M576,"")</f>
        <v/>
      </c>
      <c r="AG594">
        <f>IF(ISNUMBER(AF594),IF(AF594&gt;$L$9,AE594,""),"")</f>
        <v/>
      </c>
    </row>
    <row r="595">
      <c r="P595">
        <f>IF(AND(ISNUMBER('자료_거시'!$A577),ISNUMBER('자료_거시'!$B577)),'자료_거시'!$B577,"")</f>
        <v/>
      </c>
      <c r="Q595">
        <f>IF(ISNUMBER(P595),'자료_거시'!$A577,"")</f>
        <v/>
      </c>
      <c r="R595">
        <f>IF(ISNUMBER(Q595),IF(Q595&gt;$L$5,P595,""),"")</f>
        <v/>
      </c>
      <c r="S595">
        <f>IF(ISNUMBER('자료_거시'!$E577),'자료_거시'!$E577,S594)</f>
        <v/>
      </c>
      <c r="T595">
        <f>IF(AND(ISNUMBER('자료_거시'!$D577),ISNUMBER('자료_거시'!$E577)),IFERROR('자료_거시'!$E577-INDEX($S$21:$S$4020,MATCH(EDATE('자료_거시'!$D577,-'설정'!$B$17),'자료_거시'!$D$3:INDEX('자료_거시'!$D$3:$D$4002,$K$6),1)),""),"")</f>
        <v/>
      </c>
      <c r="U595">
        <f>IF(ISNUMBER(T595),'자료_거시'!$D577,"")</f>
        <v/>
      </c>
      <c r="V595">
        <f>IF(ISNUMBER(U595),IF(U595&gt;$L$6,T595,""),"")</f>
        <v/>
      </c>
      <c r="W595">
        <f>IF(AND(ISNUMBER('자료_거시'!$G577),ISNUMBER('자료_거시'!$H577)),'자료_거시'!$H577,"")</f>
        <v/>
      </c>
      <c r="X595">
        <f>IF(ISNUMBER(W595),'자료_거시'!$G577,"")</f>
        <v/>
      </c>
      <c r="Y595">
        <f>IF(ISNUMBER(X595),IF(X595&gt;$L$7,W595,""),"")</f>
        <v/>
      </c>
      <c r="Z595">
        <f>IF(ISNUMBER('자료_거시'!$K577),'자료_거시'!$K577,Z594)</f>
        <v/>
      </c>
      <c r="AA595">
        <f>IF(AND(ISNUMBER('자료_거시'!$J577),ISNUMBER('자료_거시'!$K577)),IFERROR('자료_거시'!$K577/INDEX($Z$21:$Z$4020,MATCH(EDATE('자료_거시'!$J577,-'설정'!$B$17),'자료_거시'!$J$3:INDEX('자료_거시'!$J$3:$J$4002,$K$8),1))-1,""),"")</f>
        <v/>
      </c>
      <c r="AB595">
        <f>IF(ISNUMBER(AA595),'자료_거시'!$J577,"")</f>
        <v/>
      </c>
      <c r="AC595">
        <f>IF(ISNUMBER(AB595),IF(AB595&gt;$L$8,AA595,""),"")</f>
        <v/>
      </c>
      <c r="AD595">
        <f>IF(AND(ISNUMBER('자료_거시'!$M577),ISNUMBER('자료_거시'!$N577)),1,0)</f>
        <v/>
      </c>
      <c r="AE595">
        <f>IF(AND(ISNUMBER('자료_거시'!$M577),ISNUMBER('자료_거시'!$N577)),IF(AND(SUMIFS($AD$21:$AD$620,'자료_거시'!$M$3:$M$602,"&gt;"&amp;EDATE('자료_거시'!$M577,-'설정'!$B$17),'자료_거시'!$M$3:$M$602,"&lt;="&amp;'자료_거시'!$M577)=3,SUMIFS($AD$21:$AD$620,'자료_거시'!$M$3:$M$602,"&gt;"&amp;EDATE('자료_거시'!$M577,-12-'설정'!$B$17),'자료_거시'!$M$3:$M$602,"&lt;="&amp;EDATE('자료_거시'!$M577,-12))=3),IFERROR(SUMIFS('자료_거시'!$N$3:$N$602,'자료_거시'!$M$3:$M$602,"&gt;"&amp;EDATE('자료_거시'!$M577,-'설정'!$B$17),'자료_거시'!$M$3:$M$602,"&lt;="&amp;'자료_거시'!$M577)/SUMIFS('자료_거시'!$N$3:$N$602,'자료_거시'!$M$3:$M$602,"&gt;"&amp;EDATE('자료_거시'!$M577,-12-'설정'!$B$17),'자료_거시'!$M$3:$M$602,"&lt;="&amp;EDATE('자료_거시'!$M577,-12))-1,""),""),"")</f>
        <v/>
      </c>
      <c r="AF595">
        <f>IF(ISNUMBER(AE595),'자료_거시'!$M577,"")</f>
        <v/>
      </c>
      <c r="AG595">
        <f>IF(ISNUMBER(AF595),IF(AF595&gt;$L$9,AE595,""),"")</f>
        <v/>
      </c>
    </row>
    <row r="596">
      <c r="P596">
        <f>IF(AND(ISNUMBER('자료_거시'!$A578),ISNUMBER('자료_거시'!$B578)),'자료_거시'!$B578,"")</f>
        <v/>
      </c>
      <c r="Q596">
        <f>IF(ISNUMBER(P596),'자료_거시'!$A578,"")</f>
        <v/>
      </c>
      <c r="R596">
        <f>IF(ISNUMBER(Q596),IF(Q596&gt;$L$5,P596,""),"")</f>
        <v/>
      </c>
      <c r="S596">
        <f>IF(ISNUMBER('자료_거시'!$E578),'자료_거시'!$E578,S595)</f>
        <v/>
      </c>
      <c r="T596">
        <f>IF(AND(ISNUMBER('자료_거시'!$D578),ISNUMBER('자료_거시'!$E578)),IFERROR('자료_거시'!$E578-INDEX($S$21:$S$4020,MATCH(EDATE('자료_거시'!$D578,-'설정'!$B$17),'자료_거시'!$D$3:INDEX('자료_거시'!$D$3:$D$4002,$K$6),1)),""),"")</f>
        <v/>
      </c>
      <c r="U596">
        <f>IF(ISNUMBER(T596),'자료_거시'!$D578,"")</f>
        <v/>
      </c>
      <c r="V596">
        <f>IF(ISNUMBER(U596),IF(U596&gt;$L$6,T596,""),"")</f>
        <v/>
      </c>
      <c r="W596">
        <f>IF(AND(ISNUMBER('자료_거시'!$G578),ISNUMBER('자료_거시'!$H578)),'자료_거시'!$H578,"")</f>
        <v/>
      </c>
      <c r="X596">
        <f>IF(ISNUMBER(W596),'자료_거시'!$G578,"")</f>
        <v/>
      </c>
      <c r="Y596">
        <f>IF(ISNUMBER(X596),IF(X596&gt;$L$7,W596,""),"")</f>
        <v/>
      </c>
      <c r="Z596">
        <f>IF(ISNUMBER('자료_거시'!$K578),'자료_거시'!$K578,Z595)</f>
        <v/>
      </c>
      <c r="AA596">
        <f>IF(AND(ISNUMBER('자료_거시'!$J578),ISNUMBER('자료_거시'!$K578)),IFERROR('자료_거시'!$K578/INDEX($Z$21:$Z$4020,MATCH(EDATE('자료_거시'!$J578,-'설정'!$B$17),'자료_거시'!$J$3:INDEX('자료_거시'!$J$3:$J$4002,$K$8),1))-1,""),"")</f>
        <v/>
      </c>
      <c r="AB596">
        <f>IF(ISNUMBER(AA596),'자료_거시'!$J578,"")</f>
        <v/>
      </c>
      <c r="AC596">
        <f>IF(ISNUMBER(AB596),IF(AB596&gt;$L$8,AA596,""),"")</f>
        <v/>
      </c>
      <c r="AD596">
        <f>IF(AND(ISNUMBER('자료_거시'!$M578),ISNUMBER('자료_거시'!$N578)),1,0)</f>
        <v/>
      </c>
      <c r="AE596">
        <f>IF(AND(ISNUMBER('자료_거시'!$M578),ISNUMBER('자료_거시'!$N578)),IF(AND(SUMIFS($AD$21:$AD$620,'자료_거시'!$M$3:$M$602,"&gt;"&amp;EDATE('자료_거시'!$M578,-'설정'!$B$17),'자료_거시'!$M$3:$M$602,"&lt;="&amp;'자료_거시'!$M578)=3,SUMIFS($AD$21:$AD$620,'자료_거시'!$M$3:$M$602,"&gt;"&amp;EDATE('자료_거시'!$M578,-12-'설정'!$B$17),'자료_거시'!$M$3:$M$602,"&lt;="&amp;EDATE('자료_거시'!$M578,-12))=3),IFERROR(SUMIFS('자료_거시'!$N$3:$N$602,'자료_거시'!$M$3:$M$602,"&gt;"&amp;EDATE('자료_거시'!$M578,-'설정'!$B$17),'자료_거시'!$M$3:$M$602,"&lt;="&amp;'자료_거시'!$M578)/SUMIFS('자료_거시'!$N$3:$N$602,'자료_거시'!$M$3:$M$602,"&gt;"&amp;EDATE('자료_거시'!$M578,-12-'설정'!$B$17),'자료_거시'!$M$3:$M$602,"&lt;="&amp;EDATE('자료_거시'!$M578,-12))-1,""),""),"")</f>
        <v/>
      </c>
      <c r="AF596">
        <f>IF(ISNUMBER(AE596),'자료_거시'!$M578,"")</f>
        <v/>
      </c>
      <c r="AG596">
        <f>IF(ISNUMBER(AF596),IF(AF596&gt;$L$9,AE596,""),"")</f>
        <v/>
      </c>
    </row>
    <row r="597">
      <c r="P597">
        <f>IF(AND(ISNUMBER('자료_거시'!$A579),ISNUMBER('자료_거시'!$B579)),'자료_거시'!$B579,"")</f>
        <v/>
      </c>
      <c r="Q597">
        <f>IF(ISNUMBER(P597),'자료_거시'!$A579,"")</f>
        <v/>
      </c>
      <c r="R597">
        <f>IF(ISNUMBER(Q597),IF(Q597&gt;$L$5,P597,""),"")</f>
        <v/>
      </c>
      <c r="S597">
        <f>IF(ISNUMBER('자료_거시'!$E579),'자료_거시'!$E579,S596)</f>
        <v/>
      </c>
      <c r="T597">
        <f>IF(AND(ISNUMBER('자료_거시'!$D579),ISNUMBER('자료_거시'!$E579)),IFERROR('자료_거시'!$E579-INDEX($S$21:$S$4020,MATCH(EDATE('자료_거시'!$D579,-'설정'!$B$17),'자료_거시'!$D$3:INDEX('자료_거시'!$D$3:$D$4002,$K$6),1)),""),"")</f>
        <v/>
      </c>
      <c r="U597">
        <f>IF(ISNUMBER(T597),'자료_거시'!$D579,"")</f>
        <v/>
      </c>
      <c r="V597">
        <f>IF(ISNUMBER(U597),IF(U597&gt;$L$6,T597,""),"")</f>
        <v/>
      </c>
      <c r="W597">
        <f>IF(AND(ISNUMBER('자료_거시'!$G579),ISNUMBER('자료_거시'!$H579)),'자료_거시'!$H579,"")</f>
        <v/>
      </c>
      <c r="X597">
        <f>IF(ISNUMBER(W597),'자료_거시'!$G579,"")</f>
        <v/>
      </c>
      <c r="Y597">
        <f>IF(ISNUMBER(X597),IF(X597&gt;$L$7,W597,""),"")</f>
        <v/>
      </c>
      <c r="Z597">
        <f>IF(ISNUMBER('자료_거시'!$K579),'자료_거시'!$K579,Z596)</f>
        <v/>
      </c>
      <c r="AA597">
        <f>IF(AND(ISNUMBER('자료_거시'!$J579),ISNUMBER('자료_거시'!$K579)),IFERROR('자료_거시'!$K579/INDEX($Z$21:$Z$4020,MATCH(EDATE('자료_거시'!$J579,-'설정'!$B$17),'자료_거시'!$J$3:INDEX('자료_거시'!$J$3:$J$4002,$K$8),1))-1,""),"")</f>
        <v/>
      </c>
      <c r="AB597">
        <f>IF(ISNUMBER(AA597),'자료_거시'!$J579,"")</f>
        <v/>
      </c>
      <c r="AC597">
        <f>IF(ISNUMBER(AB597),IF(AB597&gt;$L$8,AA597,""),"")</f>
        <v/>
      </c>
      <c r="AD597">
        <f>IF(AND(ISNUMBER('자료_거시'!$M579),ISNUMBER('자료_거시'!$N579)),1,0)</f>
        <v/>
      </c>
      <c r="AE597">
        <f>IF(AND(ISNUMBER('자료_거시'!$M579),ISNUMBER('자료_거시'!$N579)),IF(AND(SUMIFS($AD$21:$AD$620,'자료_거시'!$M$3:$M$602,"&gt;"&amp;EDATE('자료_거시'!$M579,-'설정'!$B$17),'자료_거시'!$M$3:$M$602,"&lt;="&amp;'자료_거시'!$M579)=3,SUMIFS($AD$21:$AD$620,'자료_거시'!$M$3:$M$602,"&gt;"&amp;EDATE('자료_거시'!$M579,-12-'설정'!$B$17),'자료_거시'!$M$3:$M$602,"&lt;="&amp;EDATE('자료_거시'!$M579,-12))=3),IFERROR(SUMIFS('자료_거시'!$N$3:$N$602,'자료_거시'!$M$3:$M$602,"&gt;"&amp;EDATE('자료_거시'!$M579,-'설정'!$B$17),'자료_거시'!$M$3:$M$602,"&lt;="&amp;'자료_거시'!$M579)/SUMIFS('자료_거시'!$N$3:$N$602,'자료_거시'!$M$3:$M$602,"&gt;"&amp;EDATE('자료_거시'!$M579,-12-'설정'!$B$17),'자료_거시'!$M$3:$M$602,"&lt;="&amp;EDATE('자료_거시'!$M579,-12))-1,""),""),"")</f>
        <v/>
      </c>
      <c r="AF597">
        <f>IF(ISNUMBER(AE597),'자료_거시'!$M579,"")</f>
        <v/>
      </c>
      <c r="AG597">
        <f>IF(ISNUMBER(AF597),IF(AF597&gt;$L$9,AE597,""),"")</f>
        <v/>
      </c>
    </row>
    <row r="598">
      <c r="P598">
        <f>IF(AND(ISNUMBER('자료_거시'!$A580),ISNUMBER('자료_거시'!$B580)),'자료_거시'!$B580,"")</f>
        <v/>
      </c>
      <c r="Q598">
        <f>IF(ISNUMBER(P598),'자료_거시'!$A580,"")</f>
        <v/>
      </c>
      <c r="R598">
        <f>IF(ISNUMBER(Q598),IF(Q598&gt;$L$5,P598,""),"")</f>
        <v/>
      </c>
      <c r="S598">
        <f>IF(ISNUMBER('자료_거시'!$E580),'자료_거시'!$E580,S597)</f>
        <v/>
      </c>
      <c r="T598">
        <f>IF(AND(ISNUMBER('자료_거시'!$D580),ISNUMBER('자료_거시'!$E580)),IFERROR('자료_거시'!$E580-INDEX($S$21:$S$4020,MATCH(EDATE('자료_거시'!$D580,-'설정'!$B$17),'자료_거시'!$D$3:INDEX('자료_거시'!$D$3:$D$4002,$K$6),1)),""),"")</f>
        <v/>
      </c>
      <c r="U598">
        <f>IF(ISNUMBER(T598),'자료_거시'!$D580,"")</f>
        <v/>
      </c>
      <c r="V598">
        <f>IF(ISNUMBER(U598),IF(U598&gt;$L$6,T598,""),"")</f>
        <v/>
      </c>
      <c r="W598">
        <f>IF(AND(ISNUMBER('자료_거시'!$G580),ISNUMBER('자료_거시'!$H580)),'자료_거시'!$H580,"")</f>
        <v/>
      </c>
      <c r="X598">
        <f>IF(ISNUMBER(W598),'자료_거시'!$G580,"")</f>
        <v/>
      </c>
      <c r="Y598">
        <f>IF(ISNUMBER(X598),IF(X598&gt;$L$7,W598,""),"")</f>
        <v/>
      </c>
      <c r="Z598">
        <f>IF(ISNUMBER('자료_거시'!$K580),'자료_거시'!$K580,Z597)</f>
        <v/>
      </c>
      <c r="AA598">
        <f>IF(AND(ISNUMBER('자료_거시'!$J580),ISNUMBER('자료_거시'!$K580)),IFERROR('자료_거시'!$K580/INDEX($Z$21:$Z$4020,MATCH(EDATE('자료_거시'!$J580,-'설정'!$B$17),'자료_거시'!$J$3:INDEX('자료_거시'!$J$3:$J$4002,$K$8),1))-1,""),"")</f>
        <v/>
      </c>
      <c r="AB598">
        <f>IF(ISNUMBER(AA598),'자료_거시'!$J580,"")</f>
        <v/>
      </c>
      <c r="AC598">
        <f>IF(ISNUMBER(AB598),IF(AB598&gt;$L$8,AA598,""),"")</f>
        <v/>
      </c>
      <c r="AD598">
        <f>IF(AND(ISNUMBER('자료_거시'!$M580),ISNUMBER('자료_거시'!$N580)),1,0)</f>
        <v/>
      </c>
      <c r="AE598">
        <f>IF(AND(ISNUMBER('자료_거시'!$M580),ISNUMBER('자료_거시'!$N580)),IF(AND(SUMIFS($AD$21:$AD$620,'자료_거시'!$M$3:$M$602,"&gt;"&amp;EDATE('자료_거시'!$M580,-'설정'!$B$17),'자료_거시'!$M$3:$M$602,"&lt;="&amp;'자료_거시'!$M580)=3,SUMIFS($AD$21:$AD$620,'자료_거시'!$M$3:$M$602,"&gt;"&amp;EDATE('자료_거시'!$M580,-12-'설정'!$B$17),'자료_거시'!$M$3:$M$602,"&lt;="&amp;EDATE('자료_거시'!$M580,-12))=3),IFERROR(SUMIFS('자료_거시'!$N$3:$N$602,'자료_거시'!$M$3:$M$602,"&gt;"&amp;EDATE('자료_거시'!$M580,-'설정'!$B$17),'자료_거시'!$M$3:$M$602,"&lt;="&amp;'자료_거시'!$M580)/SUMIFS('자료_거시'!$N$3:$N$602,'자료_거시'!$M$3:$M$602,"&gt;"&amp;EDATE('자료_거시'!$M580,-12-'설정'!$B$17),'자료_거시'!$M$3:$M$602,"&lt;="&amp;EDATE('자료_거시'!$M580,-12))-1,""),""),"")</f>
        <v/>
      </c>
      <c r="AF598">
        <f>IF(ISNUMBER(AE598),'자료_거시'!$M580,"")</f>
        <v/>
      </c>
      <c r="AG598">
        <f>IF(ISNUMBER(AF598),IF(AF598&gt;$L$9,AE598,""),"")</f>
        <v/>
      </c>
    </row>
    <row r="599">
      <c r="P599">
        <f>IF(AND(ISNUMBER('자료_거시'!$A581),ISNUMBER('자료_거시'!$B581)),'자료_거시'!$B581,"")</f>
        <v/>
      </c>
      <c r="Q599">
        <f>IF(ISNUMBER(P599),'자료_거시'!$A581,"")</f>
        <v/>
      </c>
      <c r="R599">
        <f>IF(ISNUMBER(Q599),IF(Q599&gt;$L$5,P599,""),"")</f>
        <v/>
      </c>
      <c r="S599">
        <f>IF(ISNUMBER('자료_거시'!$E581),'자료_거시'!$E581,S598)</f>
        <v/>
      </c>
      <c r="T599">
        <f>IF(AND(ISNUMBER('자료_거시'!$D581),ISNUMBER('자료_거시'!$E581)),IFERROR('자료_거시'!$E581-INDEX($S$21:$S$4020,MATCH(EDATE('자료_거시'!$D581,-'설정'!$B$17),'자료_거시'!$D$3:INDEX('자료_거시'!$D$3:$D$4002,$K$6),1)),""),"")</f>
        <v/>
      </c>
      <c r="U599">
        <f>IF(ISNUMBER(T599),'자료_거시'!$D581,"")</f>
        <v/>
      </c>
      <c r="V599">
        <f>IF(ISNUMBER(U599),IF(U599&gt;$L$6,T599,""),"")</f>
        <v/>
      </c>
      <c r="W599">
        <f>IF(AND(ISNUMBER('자료_거시'!$G581),ISNUMBER('자료_거시'!$H581)),'자료_거시'!$H581,"")</f>
        <v/>
      </c>
      <c r="X599">
        <f>IF(ISNUMBER(W599),'자료_거시'!$G581,"")</f>
        <v/>
      </c>
      <c r="Y599">
        <f>IF(ISNUMBER(X599),IF(X599&gt;$L$7,W599,""),"")</f>
        <v/>
      </c>
      <c r="Z599">
        <f>IF(ISNUMBER('자료_거시'!$K581),'자료_거시'!$K581,Z598)</f>
        <v/>
      </c>
      <c r="AA599">
        <f>IF(AND(ISNUMBER('자료_거시'!$J581),ISNUMBER('자료_거시'!$K581)),IFERROR('자료_거시'!$K581/INDEX($Z$21:$Z$4020,MATCH(EDATE('자료_거시'!$J581,-'설정'!$B$17),'자료_거시'!$J$3:INDEX('자료_거시'!$J$3:$J$4002,$K$8),1))-1,""),"")</f>
        <v/>
      </c>
      <c r="AB599">
        <f>IF(ISNUMBER(AA599),'자료_거시'!$J581,"")</f>
        <v/>
      </c>
      <c r="AC599">
        <f>IF(ISNUMBER(AB599),IF(AB599&gt;$L$8,AA599,""),"")</f>
        <v/>
      </c>
      <c r="AD599">
        <f>IF(AND(ISNUMBER('자료_거시'!$M581),ISNUMBER('자료_거시'!$N581)),1,0)</f>
        <v/>
      </c>
      <c r="AE599">
        <f>IF(AND(ISNUMBER('자료_거시'!$M581),ISNUMBER('자료_거시'!$N581)),IF(AND(SUMIFS($AD$21:$AD$620,'자료_거시'!$M$3:$M$602,"&gt;"&amp;EDATE('자료_거시'!$M581,-'설정'!$B$17),'자료_거시'!$M$3:$M$602,"&lt;="&amp;'자료_거시'!$M581)=3,SUMIFS($AD$21:$AD$620,'자료_거시'!$M$3:$M$602,"&gt;"&amp;EDATE('자료_거시'!$M581,-12-'설정'!$B$17),'자료_거시'!$M$3:$M$602,"&lt;="&amp;EDATE('자료_거시'!$M581,-12))=3),IFERROR(SUMIFS('자료_거시'!$N$3:$N$602,'자료_거시'!$M$3:$M$602,"&gt;"&amp;EDATE('자료_거시'!$M581,-'설정'!$B$17),'자료_거시'!$M$3:$M$602,"&lt;="&amp;'자료_거시'!$M581)/SUMIFS('자료_거시'!$N$3:$N$602,'자료_거시'!$M$3:$M$602,"&gt;"&amp;EDATE('자료_거시'!$M581,-12-'설정'!$B$17),'자료_거시'!$M$3:$M$602,"&lt;="&amp;EDATE('자료_거시'!$M581,-12))-1,""),""),"")</f>
        <v/>
      </c>
      <c r="AF599">
        <f>IF(ISNUMBER(AE599),'자료_거시'!$M581,"")</f>
        <v/>
      </c>
      <c r="AG599">
        <f>IF(ISNUMBER(AF599),IF(AF599&gt;$L$9,AE599,""),"")</f>
        <v/>
      </c>
    </row>
    <row r="600">
      <c r="P600">
        <f>IF(AND(ISNUMBER('자료_거시'!$A582),ISNUMBER('자료_거시'!$B582)),'자료_거시'!$B582,"")</f>
        <v/>
      </c>
      <c r="Q600">
        <f>IF(ISNUMBER(P600),'자료_거시'!$A582,"")</f>
        <v/>
      </c>
      <c r="R600">
        <f>IF(ISNUMBER(Q600),IF(Q600&gt;$L$5,P600,""),"")</f>
        <v/>
      </c>
      <c r="S600">
        <f>IF(ISNUMBER('자료_거시'!$E582),'자료_거시'!$E582,S599)</f>
        <v/>
      </c>
      <c r="T600">
        <f>IF(AND(ISNUMBER('자료_거시'!$D582),ISNUMBER('자료_거시'!$E582)),IFERROR('자료_거시'!$E582-INDEX($S$21:$S$4020,MATCH(EDATE('자료_거시'!$D582,-'설정'!$B$17),'자료_거시'!$D$3:INDEX('자료_거시'!$D$3:$D$4002,$K$6),1)),""),"")</f>
        <v/>
      </c>
      <c r="U600">
        <f>IF(ISNUMBER(T600),'자료_거시'!$D582,"")</f>
        <v/>
      </c>
      <c r="V600">
        <f>IF(ISNUMBER(U600),IF(U600&gt;$L$6,T600,""),"")</f>
        <v/>
      </c>
      <c r="W600">
        <f>IF(AND(ISNUMBER('자료_거시'!$G582),ISNUMBER('자료_거시'!$H582)),'자료_거시'!$H582,"")</f>
        <v/>
      </c>
      <c r="X600">
        <f>IF(ISNUMBER(W600),'자료_거시'!$G582,"")</f>
        <v/>
      </c>
      <c r="Y600">
        <f>IF(ISNUMBER(X600),IF(X600&gt;$L$7,W600,""),"")</f>
        <v/>
      </c>
      <c r="Z600">
        <f>IF(ISNUMBER('자료_거시'!$K582),'자료_거시'!$K582,Z599)</f>
        <v/>
      </c>
      <c r="AA600">
        <f>IF(AND(ISNUMBER('자료_거시'!$J582),ISNUMBER('자료_거시'!$K582)),IFERROR('자료_거시'!$K582/INDEX($Z$21:$Z$4020,MATCH(EDATE('자료_거시'!$J582,-'설정'!$B$17),'자료_거시'!$J$3:INDEX('자료_거시'!$J$3:$J$4002,$K$8),1))-1,""),"")</f>
        <v/>
      </c>
      <c r="AB600">
        <f>IF(ISNUMBER(AA600),'자료_거시'!$J582,"")</f>
        <v/>
      </c>
      <c r="AC600">
        <f>IF(ISNUMBER(AB600),IF(AB600&gt;$L$8,AA600,""),"")</f>
        <v/>
      </c>
      <c r="AD600">
        <f>IF(AND(ISNUMBER('자료_거시'!$M582),ISNUMBER('자료_거시'!$N582)),1,0)</f>
        <v/>
      </c>
      <c r="AE600">
        <f>IF(AND(ISNUMBER('자료_거시'!$M582),ISNUMBER('자료_거시'!$N582)),IF(AND(SUMIFS($AD$21:$AD$620,'자료_거시'!$M$3:$M$602,"&gt;"&amp;EDATE('자료_거시'!$M582,-'설정'!$B$17),'자료_거시'!$M$3:$M$602,"&lt;="&amp;'자료_거시'!$M582)=3,SUMIFS($AD$21:$AD$620,'자료_거시'!$M$3:$M$602,"&gt;"&amp;EDATE('자료_거시'!$M582,-12-'설정'!$B$17),'자료_거시'!$M$3:$M$602,"&lt;="&amp;EDATE('자료_거시'!$M582,-12))=3),IFERROR(SUMIFS('자료_거시'!$N$3:$N$602,'자료_거시'!$M$3:$M$602,"&gt;"&amp;EDATE('자료_거시'!$M582,-'설정'!$B$17),'자료_거시'!$M$3:$M$602,"&lt;="&amp;'자료_거시'!$M582)/SUMIFS('자료_거시'!$N$3:$N$602,'자료_거시'!$M$3:$M$602,"&gt;"&amp;EDATE('자료_거시'!$M582,-12-'설정'!$B$17),'자료_거시'!$M$3:$M$602,"&lt;="&amp;EDATE('자료_거시'!$M582,-12))-1,""),""),"")</f>
        <v/>
      </c>
      <c r="AF600">
        <f>IF(ISNUMBER(AE600),'자료_거시'!$M582,"")</f>
        <v/>
      </c>
      <c r="AG600">
        <f>IF(ISNUMBER(AF600),IF(AF600&gt;$L$9,AE600,""),"")</f>
        <v/>
      </c>
    </row>
    <row r="601">
      <c r="P601">
        <f>IF(AND(ISNUMBER('자료_거시'!$A583),ISNUMBER('자료_거시'!$B583)),'자료_거시'!$B583,"")</f>
        <v/>
      </c>
      <c r="Q601">
        <f>IF(ISNUMBER(P601),'자료_거시'!$A583,"")</f>
        <v/>
      </c>
      <c r="R601">
        <f>IF(ISNUMBER(Q601),IF(Q601&gt;$L$5,P601,""),"")</f>
        <v/>
      </c>
      <c r="S601">
        <f>IF(ISNUMBER('자료_거시'!$E583),'자료_거시'!$E583,S600)</f>
        <v/>
      </c>
      <c r="T601">
        <f>IF(AND(ISNUMBER('자료_거시'!$D583),ISNUMBER('자료_거시'!$E583)),IFERROR('자료_거시'!$E583-INDEX($S$21:$S$4020,MATCH(EDATE('자료_거시'!$D583,-'설정'!$B$17),'자료_거시'!$D$3:INDEX('자료_거시'!$D$3:$D$4002,$K$6),1)),""),"")</f>
        <v/>
      </c>
      <c r="U601">
        <f>IF(ISNUMBER(T601),'자료_거시'!$D583,"")</f>
        <v/>
      </c>
      <c r="V601">
        <f>IF(ISNUMBER(U601),IF(U601&gt;$L$6,T601,""),"")</f>
        <v/>
      </c>
      <c r="W601">
        <f>IF(AND(ISNUMBER('자료_거시'!$G583),ISNUMBER('자료_거시'!$H583)),'자료_거시'!$H583,"")</f>
        <v/>
      </c>
      <c r="X601">
        <f>IF(ISNUMBER(W601),'자료_거시'!$G583,"")</f>
        <v/>
      </c>
      <c r="Y601">
        <f>IF(ISNUMBER(X601),IF(X601&gt;$L$7,W601,""),"")</f>
        <v/>
      </c>
      <c r="Z601">
        <f>IF(ISNUMBER('자료_거시'!$K583),'자료_거시'!$K583,Z600)</f>
        <v/>
      </c>
      <c r="AA601">
        <f>IF(AND(ISNUMBER('자료_거시'!$J583),ISNUMBER('자료_거시'!$K583)),IFERROR('자료_거시'!$K583/INDEX($Z$21:$Z$4020,MATCH(EDATE('자료_거시'!$J583,-'설정'!$B$17),'자료_거시'!$J$3:INDEX('자료_거시'!$J$3:$J$4002,$K$8),1))-1,""),"")</f>
        <v/>
      </c>
      <c r="AB601">
        <f>IF(ISNUMBER(AA601),'자료_거시'!$J583,"")</f>
        <v/>
      </c>
      <c r="AC601">
        <f>IF(ISNUMBER(AB601),IF(AB601&gt;$L$8,AA601,""),"")</f>
        <v/>
      </c>
      <c r="AD601">
        <f>IF(AND(ISNUMBER('자료_거시'!$M583),ISNUMBER('자료_거시'!$N583)),1,0)</f>
        <v/>
      </c>
      <c r="AE601">
        <f>IF(AND(ISNUMBER('자료_거시'!$M583),ISNUMBER('자료_거시'!$N583)),IF(AND(SUMIFS($AD$21:$AD$620,'자료_거시'!$M$3:$M$602,"&gt;"&amp;EDATE('자료_거시'!$M583,-'설정'!$B$17),'자료_거시'!$M$3:$M$602,"&lt;="&amp;'자료_거시'!$M583)=3,SUMIFS($AD$21:$AD$620,'자료_거시'!$M$3:$M$602,"&gt;"&amp;EDATE('자료_거시'!$M583,-12-'설정'!$B$17),'자료_거시'!$M$3:$M$602,"&lt;="&amp;EDATE('자료_거시'!$M583,-12))=3),IFERROR(SUMIFS('자료_거시'!$N$3:$N$602,'자료_거시'!$M$3:$M$602,"&gt;"&amp;EDATE('자료_거시'!$M583,-'설정'!$B$17),'자료_거시'!$M$3:$M$602,"&lt;="&amp;'자료_거시'!$M583)/SUMIFS('자료_거시'!$N$3:$N$602,'자료_거시'!$M$3:$M$602,"&gt;"&amp;EDATE('자료_거시'!$M583,-12-'설정'!$B$17),'자료_거시'!$M$3:$M$602,"&lt;="&amp;EDATE('자료_거시'!$M583,-12))-1,""),""),"")</f>
        <v/>
      </c>
      <c r="AF601">
        <f>IF(ISNUMBER(AE601),'자료_거시'!$M583,"")</f>
        <v/>
      </c>
      <c r="AG601">
        <f>IF(ISNUMBER(AF601),IF(AF601&gt;$L$9,AE601,""),"")</f>
        <v/>
      </c>
    </row>
    <row r="602">
      <c r="P602">
        <f>IF(AND(ISNUMBER('자료_거시'!$A584),ISNUMBER('자료_거시'!$B584)),'자료_거시'!$B584,"")</f>
        <v/>
      </c>
      <c r="Q602">
        <f>IF(ISNUMBER(P602),'자료_거시'!$A584,"")</f>
        <v/>
      </c>
      <c r="R602">
        <f>IF(ISNUMBER(Q602),IF(Q602&gt;$L$5,P602,""),"")</f>
        <v/>
      </c>
      <c r="S602">
        <f>IF(ISNUMBER('자료_거시'!$E584),'자료_거시'!$E584,S601)</f>
        <v/>
      </c>
      <c r="T602">
        <f>IF(AND(ISNUMBER('자료_거시'!$D584),ISNUMBER('자료_거시'!$E584)),IFERROR('자료_거시'!$E584-INDEX($S$21:$S$4020,MATCH(EDATE('자료_거시'!$D584,-'설정'!$B$17),'자료_거시'!$D$3:INDEX('자료_거시'!$D$3:$D$4002,$K$6),1)),""),"")</f>
        <v/>
      </c>
      <c r="U602">
        <f>IF(ISNUMBER(T602),'자료_거시'!$D584,"")</f>
        <v/>
      </c>
      <c r="V602">
        <f>IF(ISNUMBER(U602),IF(U602&gt;$L$6,T602,""),"")</f>
        <v/>
      </c>
      <c r="W602">
        <f>IF(AND(ISNUMBER('자료_거시'!$G584),ISNUMBER('자료_거시'!$H584)),'자료_거시'!$H584,"")</f>
        <v/>
      </c>
      <c r="X602">
        <f>IF(ISNUMBER(W602),'자료_거시'!$G584,"")</f>
        <v/>
      </c>
      <c r="Y602">
        <f>IF(ISNUMBER(X602),IF(X602&gt;$L$7,W602,""),"")</f>
        <v/>
      </c>
      <c r="Z602">
        <f>IF(ISNUMBER('자료_거시'!$K584),'자료_거시'!$K584,Z601)</f>
        <v/>
      </c>
      <c r="AA602">
        <f>IF(AND(ISNUMBER('자료_거시'!$J584),ISNUMBER('자료_거시'!$K584)),IFERROR('자료_거시'!$K584/INDEX($Z$21:$Z$4020,MATCH(EDATE('자료_거시'!$J584,-'설정'!$B$17),'자료_거시'!$J$3:INDEX('자료_거시'!$J$3:$J$4002,$K$8),1))-1,""),"")</f>
        <v/>
      </c>
      <c r="AB602">
        <f>IF(ISNUMBER(AA602),'자료_거시'!$J584,"")</f>
        <v/>
      </c>
      <c r="AC602">
        <f>IF(ISNUMBER(AB602),IF(AB602&gt;$L$8,AA602,""),"")</f>
        <v/>
      </c>
      <c r="AD602">
        <f>IF(AND(ISNUMBER('자료_거시'!$M584),ISNUMBER('자료_거시'!$N584)),1,0)</f>
        <v/>
      </c>
      <c r="AE602">
        <f>IF(AND(ISNUMBER('자료_거시'!$M584),ISNUMBER('자료_거시'!$N584)),IF(AND(SUMIFS($AD$21:$AD$620,'자료_거시'!$M$3:$M$602,"&gt;"&amp;EDATE('자료_거시'!$M584,-'설정'!$B$17),'자료_거시'!$M$3:$M$602,"&lt;="&amp;'자료_거시'!$M584)=3,SUMIFS($AD$21:$AD$620,'자료_거시'!$M$3:$M$602,"&gt;"&amp;EDATE('자료_거시'!$M584,-12-'설정'!$B$17),'자료_거시'!$M$3:$M$602,"&lt;="&amp;EDATE('자료_거시'!$M584,-12))=3),IFERROR(SUMIFS('자료_거시'!$N$3:$N$602,'자료_거시'!$M$3:$M$602,"&gt;"&amp;EDATE('자료_거시'!$M584,-'설정'!$B$17),'자료_거시'!$M$3:$M$602,"&lt;="&amp;'자료_거시'!$M584)/SUMIFS('자료_거시'!$N$3:$N$602,'자료_거시'!$M$3:$M$602,"&gt;"&amp;EDATE('자료_거시'!$M584,-12-'설정'!$B$17),'자료_거시'!$M$3:$M$602,"&lt;="&amp;EDATE('자료_거시'!$M584,-12))-1,""),""),"")</f>
        <v/>
      </c>
      <c r="AF602">
        <f>IF(ISNUMBER(AE602),'자료_거시'!$M584,"")</f>
        <v/>
      </c>
      <c r="AG602">
        <f>IF(ISNUMBER(AF602),IF(AF602&gt;$L$9,AE602,""),"")</f>
        <v/>
      </c>
    </row>
    <row r="603">
      <c r="P603">
        <f>IF(AND(ISNUMBER('자료_거시'!$A585),ISNUMBER('자료_거시'!$B585)),'자료_거시'!$B585,"")</f>
        <v/>
      </c>
      <c r="Q603">
        <f>IF(ISNUMBER(P603),'자료_거시'!$A585,"")</f>
        <v/>
      </c>
      <c r="R603">
        <f>IF(ISNUMBER(Q603),IF(Q603&gt;$L$5,P603,""),"")</f>
        <v/>
      </c>
      <c r="S603">
        <f>IF(ISNUMBER('자료_거시'!$E585),'자료_거시'!$E585,S602)</f>
        <v/>
      </c>
      <c r="T603">
        <f>IF(AND(ISNUMBER('자료_거시'!$D585),ISNUMBER('자료_거시'!$E585)),IFERROR('자료_거시'!$E585-INDEX($S$21:$S$4020,MATCH(EDATE('자료_거시'!$D585,-'설정'!$B$17),'자료_거시'!$D$3:INDEX('자료_거시'!$D$3:$D$4002,$K$6),1)),""),"")</f>
        <v/>
      </c>
      <c r="U603">
        <f>IF(ISNUMBER(T603),'자료_거시'!$D585,"")</f>
        <v/>
      </c>
      <c r="V603">
        <f>IF(ISNUMBER(U603),IF(U603&gt;$L$6,T603,""),"")</f>
        <v/>
      </c>
      <c r="W603">
        <f>IF(AND(ISNUMBER('자료_거시'!$G585),ISNUMBER('자료_거시'!$H585)),'자료_거시'!$H585,"")</f>
        <v/>
      </c>
      <c r="X603">
        <f>IF(ISNUMBER(W603),'자료_거시'!$G585,"")</f>
        <v/>
      </c>
      <c r="Y603">
        <f>IF(ISNUMBER(X603),IF(X603&gt;$L$7,W603,""),"")</f>
        <v/>
      </c>
      <c r="Z603">
        <f>IF(ISNUMBER('자료_거시'!$K585),'자료_거시'!$K585,Z602)</f>
        <v/>
      </c>
      <c r="AA603">
        <f>IF(AND(ISNUMBER('자료_거시'!$J585),ISNUMBER('자료_거시'!$K585)),IFERROR('자료_거시'!$K585/INDEX($Z$21:$Z$4020,MATCH(EDATE('자료_거시'!$J585,-'설정'!$B$17),'자료_거시'!$J$3:INDEX('자료_거시'!$J$3:$J$4002,$K$8),1))-1,""),"")</f>
        <v/>
      </c>
      <c r="AB603">
        <f>IF(ISNUMBER(AA603),'자료_거시'!$J585,"")</f>
        <v/>
      </c>
      <c r="AC603">
        <f>IF(ISNUMBER(AB603),IF(AB603&gt;$L$8,AA603,""),"")</f>
        <v/>
      </c>
      <c r="AD603">
        <f>IF(AND(ISNUMBER('자료_거시'!$M585),ISNUMBER('자료_거시'!$N585)),1,0)</f>
        <v/>
      </c>
      <c r="AE603">
        <f>IF(AND(ISNUMBER('자료_거시'!$M585),ISNUMBER('자료_거시'!$N585)),IF(AND(SUMIFS($AD$21:$AD$620,'자료_거시'!$M$3:$M$602,"&gt;"&amp;EDATE('자료_거시'!$M585,-'설정'!$B$17),'자료_거시'!$M$3:$M$602,"&lt;="&amp;'자료_거시'!$M585)=3,SUMIFS($AD$21:$AD$620,'자료_거시'!$M$3:$M$602,"&gt;"&amp;EDATE('자료_거시'!$M585,-12-'설정'!$B$17),'자료_거시'!$M$3:$M$602,"&lt;="&amp;EDATE('자료_거시'!$M585,-12))=3),IFERROR(SUMIFS('자료_거시'!$N$3:$N$602,'자료_거시'!$M$3:$M$602,"&gt;"&amp;EDATE('자료_거시'!$M585,-'설정'!$B$17),'자료_거시'!$M$3:$M$602,"&lt;="&amp;'자료_거시'!$M585)/SUMIFS('자료_거시'!$N$3:$N$602,'자료_거시'!$M$3:$M$602,"&gt;"&amp;EDATE('자료_거시'!$M585,-12-'설정'!$B$17),'자료_거시'!$M$3:$M$602,"&lt;="&amp;EDATE('자료_거시'!$M585,-12))-1,""),""),"")</f>
        <v/>
      </c>
      <c r="AF603">
        <f>IF(ISNUMBER(AE603),'자료_거시'!$M585,"")</f>
        <v/>
      </c>
      <c r="AG603">
        <f>IF(ISNUMBER(AF603),IF(AF603&gt;$L$9,AE603,""),"")</f>
        <v/>
      </c>
    </row>
    <row r="604">
      <c r="P604">
        <f>IF(AND(ISNUMBER('자료_거시'!$A586),ISNUMBER('자료_거시'!$B586)),'자료_거시'!$B586,"")</f>
        <v/>
      </c>
      <c r="Q604">
        <f>IF(ISNUMBER(P604),'자료_거시'!$A586,"")</f>
        <v/>
      </c>
      <c r="R604">
        <f>IF(ISNUMBER(Q604),IF(Q604&gt;$L$5,P604,""),"")</f>
        <v/>
      </c>
      <c r="S604">
        <f>IF(ISNUMBER('자료_거시'!$E586),'자료_거시'!$E586,S603)</f>
        <v/>
      </c>
      <c r="T604">
        <f>IF(AND(ISNUMBER('자료_거시'!$D586),ISNUMBER('자료_거시'!$E586)),IFERROR('자료_거시'!$E586-INDEX($S$21:$S$4020,MATCH(EDATE('자료_거시'!$D586,-'설정'!$B$17),'자료_거시'!$D$3:INDEX('자료_거시'!$D$3:$D$4002,$K$6),1)),""),"")</f>
        <v/>
      </c>
      <c r="U604">
        <f>IF(ISNUMBER(T604),'자료_거시'!$D586,"")</f>
        <v/>
      </c>
      <c r="V604">
        <f>IF(ISNUMBER(U604),IF(U604&gt;$L$6,T604,""),"")</f>
        <v/>
      </c>
      <c r="W604">
        <f>IF(AND(ISNUMBER('자료_거시'!$G586),ISNUMBER('자료_거시'!$H586)),'자료_거시'!$H586,"")</f>
        <v/>
      </c>
      <c r="X604">
        <f>IF(ISNUMBER(W604),'자료_거시'!$G586,"")</f>
        <v/>
      </c>
      <c r="Y604">
        <f>IF(ISNUMBER(X604),IF(X604&gt;$L$7,W604,""),"")</f>
        <v/>
      </c>
      <c r="Z604">
        <f>IF(ISNUMBER('자료_거시'!$K586),'자료_거시'!$K586,Z603)</f>
        <v/>
      </c>
      <c r="AA604">
        <f>IF(AND(ISNUMBER('자료_거시'!$J586),ISNUMBER('자료_거시'!$K586)),IFERROR('자료_거시'!$K586/INDEX($Z$21:$Z$4020,MATCH(EDATE('자료_거시'!$J586,-'설정'!$B$17),'자료_거시'!$J$3:INDEX('자료_거시'!$J$3:$J$4002,$K$8),1))-1,""),"")</f>
        <v/>
      </c>
      <c r="AB604">
        <f>IF(ISNUMBER(AA604),'자료_거시'!$J586,"")</f>
        <v/>
      </c>
      <c r="AC604">
        <f>IF(ISNUMBER(AB604),IF(AB604&gt;$L$8,AA604,""),"")</f>
        <v/>
      </c>
      <c r="AD604">
        <f>IF(AND(ISNUMBER('자료_거시'!$M586),ISNUMBER('자료_거시'!$N586)),1,0)</f>
        <v/>
      </c>
      <c r="AE604">
        <f>IF(AND(ISNUMBER('자료_거시'!$M586),ISNUMBER('자료_거시'!$N586)),IF(AND(SUMIFS($AD$21:$AD$620,'자료_거시'!$M$3:$M$602,"&gt;"&amp;EDATE('자료_거시'!$M586,-'설정'!$B$17),'자료_거시'!$M$3:$M$602,"&lt;="&amp;'자료_거시'!$M586)=3,SUMIFS($AD$21:$AD$620,'자료_거시'!$M$3:$M$602,"&gt;"&amp;EDATE('자료_거시'!$M586,-12-'설정'!$B$17),'자료_거시'!$M$3:$M$602,"&lt;="&amp;EDATE('자료_거시'!$M586,-12))=3),IFERROR(SUMIFS('자료_거시'!$N$3:$N$602,'자료_거시'!$M$3:$M$602,"&gt;"&amp;EDATE('자료_거시'!$M586,-'설정'!$B$17),'자료_거시'!$M$3:$M$602,"&lt;="&amp;'자료_거시'!$M586)/SUMIFS('자료_거시'!$N$3:$N$602,'자료_거시'!$M$3:$M$602,"&gt;"&amp;EDATE('자료_거시'!$M586,-12-'설정'!$B$17),'자료_거시'!$M$3:$M$602,"&lt;="&amp;EDATE('자료_거시'!$M586,-12))-1,""),""),"")</f>
        <v/>
      </c>
      <c r="AF604">
        <f>IF(ISNUMBER(AE604),'자료_거시'!$M586,"")</f>
        <v/>
      </c>
      <c r="AG604">
        <f>IF(ISNUMBER(AF604),IF(AF604&gt;$L$9,AE604,""),"")</f>
        <v/>
      </c>
    </row>
    <row r="605">
      <c r="P605">
        <f>IF(AND(ISNUMBER('자료_거시'!$A587),ISNUMBER('자료_거시'!$B587)),'자료_거시'!$B587,"")</f>
        <v/>
      </c>
      <c r="Q605">
        <f>IF(ISNUMBER(P605),'자료_거시'!$A587,"")</f>
        <v/>
      </c>
      <c r="R605">
        <f>IF(ISNUMBER(Q605),IF(Q605&gt;$L$5,P605,""),"")</f>
        <v/>
      </c>
      <c r="S605">
        <f>IF(ISNUMBER('자료_거시'!$E587),'자료_거시'!$E587,S604)</f>
        <v/>
      </c>
      <c r="T605">
        <f>IF(AND(ISNUMBER('자료_거시'!$D587),ISNUMBER('자료_거시'!$E587)),IFERROR('자료_거시'!$E587-INDEX($S$21:$S$4020,MATCH(EDATE('자료_거시'!$D587,-'설정'!$B$17),'자료_거시'!$D$3:INDEX('자료_거시'!$D$3:$D$4002,$K$6),1)),""),"")</f>
        <v/>
      </c>
      <c r="U605">
        <f>IF(ISNUMBER(T605),'자료_거시'!$D587,"")</f>
        <v/>
      </c>
      <c r="V605">
        <f>IF(ISNUMBER(U605),IF(U605&gt;$L$6,T605,""),"")</f>
        <v/>
      </c>
      <c r="W605">
        <f>IF(AND(ISNUMBER('자료_거시'!$G587),ISNUMBER('자료_거시'!$H587)),'자료_거시'!$H587,"")</f>
        <v/>
      </c>
      <c r="X605">
        <f>IF(ISNUMBER(W605),'자료_거시'!$G587,"")</f>
        <v/>
      </c>
      <c r="Y605">
        <f>IF(ISNUMBER(X605),IF(X605&gt;$L$7,W605,""),"")</f>
        <v/>
      </c>
      <c r="Z605">
        <f>IF(ISNUMBER('자료_거시'!$K587),'자료_거시'!$K587,Z604)</f>
        <v/>
      </c>
      <c r="AA605">
        <f>IF(AND(ISNUMBER('자료_거시'!$J587),ISNUMBER('자료_거시'!$K587)),IFERROR('자료_거시'!$K587/INDEX($Z$21:$Z$4020,MATCH(EDATE('자료_거시'!$J587,-'설정'!$B$17),'자료_거시'!$J$3:INDEX('자료_거시'!$J$3:$J$4002,$K$8),1))-1,""),"")</f>
        <v/>
      </c>
      <c r="AB605">
        <f>IF(ISNUMBER(AA605),'자료_거시'!$J587,"")</f>
        <v/>
      </c>
      <c r="AC605">
        <f>IF(ISNUMBER(AB605),IF(AB605&gt;$L$8,AA605,""),"")</f>
        <v/>
      </c>
      <c r="AD605">
        <f>IF(AND(ISNUMBER('자료_거시'!$M587),ISNUMBER('자료_거시'!$N587)),1,0)</f>
        <v/>
      </c>
      <c r="AE605">
        <f>IF(AND(ISNUMBER('자료_거시'!$M587),ISNUMBER('자료_거시'!$N587)),IF(AND(SUMIFS($AD$21:$AD$620,'자료_거시'!$M$3:$M$602,"&gt;"&amp;EDATE('자료_거시'!$M587,-'설정'!$B$17),'자료_거시'!$M$3:$M$602,"&lt;="&amp;'자료_거시'!$M587)=3,SUMIFS($AD$21:$AD$620,'자료_거시'!$M$3:$M$602,"&gt;"&amp;EDATE('자료_거시'!$M587,-12-'설정'!$B$17),'자료_거시'!$M$3:$M$602,"&lt;="&amp;EDATE('자료_거시'!$M587,-12))=3),IFERROR(SUMIFS('자료_거시'!$N$3:$N$602,'자료_거시'!$M$3:$M$602,"&gt;"&amp;EDATE('자료_거시'!$M587,-'설정'!$B$17),'자료_거시'!$M$3:$M$602,"&lt;="&amp;'자료_거시'!$M587)/SUMIFS('자료_거시'!$N$3:$N$602,'자료_거시'!$M$3:$M$602,"&gt;"&amp;EDATE('자료_거시'!$M587,-12-'설정'!$B$17),'자료_거시'!$M$3:$M$602,"&lt;="&amp;EDATE('자료_거시'!$M587,-12))-1,""),""),"")</f>
        <v/>
      </c>
      <c r="AF605">
        <f>IF(ISNUMBER(AE605),'자료_거시'!$M587,"")</f>
        <v/>
      </c>
      <c r="AG605">
        <f>IF(ISNUMBER(AF605),IF(AF605&gt;$L$9,AE605,""),"")</f>
        <v/>
      </c>
    </row>
    <row r="606">
      <c r="P606">
        <f>IF(AND(ISNUMBER('자료_거시'!$A588),ISNUMBER('자료_거시'!$B588)),'자료_거시'!$B588,"")</f>
        <v/>
      </c>
      <c r="Q606">
        <f>IF(ISNUMBER(P606),'자료_거시'!$A588,"")</f>
        <v/>
      </c>
      <c r="R606">
        <f>IF(ISNUMBER(Q606),IF(Q606&gt;$L$5,P606,""),"")</f>
        <v/>
      </c>
      <c r="S606">
        <f>IF(ISNUMBER('자료_거시'!$E588),'자료_거시'!$E588,S605)</f>
        <v/>
      </c>
      <c r="T606">
        <f>IF(AND(ISNUMBER('자료_거시'!$D588),ISNUMBER('자료_거시'!$E588)),IFERROR('자료_거시'!$E588-INDEX($S$21:$S$4020,MATCH(EDATE('자료_거시'!$D588,-'설정'!$B$17),'자료_거시'!$D$3:INDEX('자료_거시'!$D$3:$D$4002,$K$6),1)),""),"")</f>
        <v/>
      </c>
      <c r="U606">
        <f>IF(ISNUMBER(T606),'자료_거시'!$D588,"")</f>
        <v/>
      </c>
      <c r="V606">
        <f>IF(ISNUMBER(U606),IF(U606&gt;$L$6,T606,""),"")</f>
        <v/>
      </c>
      <c r="W606">
        <f>IF(AND(ISNUMBER('자료_거시'!$G588),ISNUMBER('자료_거시'!$H588)),'자료_거시'!$H588,"")</f>
        <v/>
      </c>
      <c r="X606">
        <f>IF(ISNUMBER(W606),'자료_거시'!$G588,"")</f>
        <v/>
      </c>
      <c r="Y606">
        <f>IF(ISNUMBER(X606),IF(X606&gt;$L$7,W606,""),"")</f>
        <v/>
      </c>
      <c r="Z606">
        <f>IF(ISNUMBER('자료_거시'!$K588),'자료_거시'!$K588,Z605)</f>
        <v/>
      </c>
      <c r="AA606">
        <f>IF(AND(ISNUMBER('자료_거시'!$J588),ISNUMBER('자료_거시'!$K588)),IFERROR('자료_거시'!$K588/INDEX($Z$21:$Z$4020,MATCH(EDATE('자료_거시'!$J588,-'설정'!$B$17),'자료_거시'!$J$3:INDEX('자료_거시'!$J$3:$J$4002,$K$8),1))-1,""),"")</f>
        <v/>
      </c>
      <c r="AB606">
        <f>IF(ISNUMBER(AA606),'자료_거시'!$J588,"")</f>
        <v/>
      </c>
      <c r="AC606">
        <f>IF(ISNUMBER(AB606),IF(AB606&gt;$L$8,AA606,""),"")</f>
        <v/>
      </c>
      <c r="AD606">
        <f>IF(AND(ISNUMBER('자료_거시'!$M588),ISNUMBER('자료_거시'!$N588)),1,0)</f>
        <v/>
      </c>
      <c r="AE606">
        <f>IF(AND(ISNUMBER('자료_거시'!$M588),ISNUMBER('자료_거시'!$N588)),IF(AND(SUMIFS($AD$21:$AD$620,'자료_거시'!$M$3:$M$602,"&gt;"&amp;EDATE('자료_거시'!$M588,-'설정'!$B$17),'자료_거시'!$M$3:$M$602,"&lt;="&amp;'자료_거시'!$M588)=3,SUMIFS($AD$21:$AD$620,'자료_거시'!$M$3:$M$602,"&gt;"&amp;EDATE('자료_거시'!$M588,-12-'설정'!$B$17),'자료_거시'!$M$3:$M$602,"&lt;="&amp;EDATE('자료_거시'!$M588,-12))=3),IFERROR(SUMIFS('자료_거시'!$N$3:$N$602,'자료_거시'!$M$3:$M$602,"&gt;"&amp;EDATE('자료_거시'!$M588,-'설정'!$B$17),'자료_거시'!$M$3:$M$602,"&lt;="&amp;'자료_거시'!$M588)/SUMIFS('자료_거시'!$N$3:$N$602,'자료_거시'!$M$3:$M$602,"&gt;"&amp;EDATE('자료_거시'!$M588,-12-'설정'!$B$17),'자료_거시'!$M$3:$M$602,"&lt;="&amp;EDATE('자료_거시'!$M588,-12))-1,""),""),"")</f>
        <v/>
      </c>
      <c r="AF606">
        <f>IF(ISNUMBER(AE606),'자료_거시'!$M588,"")</f>
        <v/>
      </c>
      <c r="AG606">
        <f>IF(ISNUMBER(AF606),IF(AF606&gt;$L$9,AE606,""),"")</f>
        <v/>
      </c>
    </row>
    <row r="607">
      <c r="P607">
        <f>IF(AND(ISNUMBER('자료_거시'!$A589),ISNUMBER('자료_거시'!$B589)),'자료_거시'!$B589,"")</f>
        <v/>
      </c>
      <c r="Q607">
        <f>IF(ISNUMBER(P607),'자료_거시'!$A589,"")</f>
        <v/>
      </c>
      <c r="R607">
        <f>IF(ISNUMBER(Q607),IF(Q607&gt;$L$5,P607,""),"")</f>
        <v/>
      </c>
      <c r="S607">
        <f>IF(ISNUMBER('자료_거시'!$E589),'자료_거시'!$E589,S606)</f>
        <v/>
      </c>
      <c r="T607">
        <f>IF(AND(ISNUMBER('자료_거시'!$D589),ISNUMBER('자료_거시'!$E589)),IFERROR('자료_거시'!$E589-INDEX($S$21:$S$4020,MATCH(EDATE('자료_거시'!$D589,-'설정'!$B$17),'자료_거시'!$D$3:INDEX('자료_거시'!$D$3:$D$4002,$K$6),1)),""),"")</f>
        <v/>
      </c>
      <c r="U607">
        <f>IF(ISNUMBER(T607),'자료_거시'!$D589,"")</f>
        <v/>
      </c>
      <c r="V607">
        <f>IF(ISNUMBER(U607),IF(U607&gt;$L$6,T607,""),"")</f>
        <v/>
      </c>
      <c r="W607">
        <f>IF(AND(ISNUMBER('자료_거시'!$G589),ISNUMBER('자료_거시'!$H589)),'자료_거시'!$H589,"")</f>
        <v/>
      </c>
      <c r="X607">
        <f>IF(ISNUMBER(W607),'자료_거시'!$G589,"")</f>
        <v/>
      </c>
      <c r="Y607">
        <f>IF(ISNUMBER(X607),IF(X607&gt;$L$7,W607,""),"")</f>
        <v/>
      </c>
      <c r="Z607">
        <f>IF(ISNUMBER('자료_거시'!$K589),'자료_거시'!$K589,Z606)</f>
        <v/>
      </c>
      <c r="AA607">
        <f>IF(AND(ISNUMBER('자료_거시'!$J589),ISNUMBER('자료_거시'!$K589)),IFERROR('자료_거시'!$K589/INDEX($Z$21:$Z$4020,MATCH(EDATE('자료_거시'!$J589,-'설정'!$B$17),'자료_거시'!$J$3:INDEX('자료_거시'!$J$3:$J$4002,$K$8),1))-1,""),"")</f>
        <v/>
      </c>
      <c r="AB607">
        <f>IF(ISNUMBER(AA607),'자료_거시'!$J589,"")</f>
        <v/>
      </c>
      <c r="AC607">
        <f>IF(ISNUMBER(AB607),IF(AB607&gt;$L$8,AA607,""),"")</f>
        <v/>
      </c>
      <c r="AD607">
        <f>IF(AND(ISNUMBER('자료_거시'!$M589),ISNUMBER('자료_거시'!$N589)),1,0)</f>
        <v/>
      </c>
      <c r="AE607">
        <f>IF(AND(ISNUMBER('자료_거시'!$M589),ISNUMBER('자료_거시'!$N589)),IF(AND(SUMIFS($AD$21:$AD$620,'자료_거시'!$M$3:$M$602,"&gt;"&amp;EDATE('자료_거시'!$M589,-'설정'!$B$17),'자료_거시'!$M$3:$M$602,"&lt;="&amp;'자료_거시'!$M589)=3,SUMIFS($AD$21:$AD$620,'자료_거시'!$M$3:$M$602,"&gt;"&amp;EDATE('자료_거시'!$M589,-12-'설정'!$B$17),'자료_거시'!$M$3:$M$602,"&lt;="&amp;EDATE('자료_거시'!$M589,-12))=3),IFERROR(SUMIFS('자료_거시'!$N$3:$N$602,'자료_거시'!$M$3:$M$602,"&gt;"&amp;EDATE('자료_거시'!$M589,-'설정'!$B$17),'자료_거시'!$M$3:$M$602,"&lt;="&amp;'자료_거시'!$M589)/SUMIFS('자료_거시'!$N$3:$N$602,'자료_거시'!$M$3:$M$602,"&gt;"&amp;EDATE('자료_거시'!$M589,-12-'설정'!$B$17),'자료_거시'!$M$3:$M$602,"&lt;="&amp;EDATE('자료_거시'!$M589,-12))-1,""),""),"")</f>
        <v/>
      </c>
      <c r="AF607">
        <f>IF(ISNUMBER(AE607),'자료_거시'!$M589,"")</f>
        <v/>
      </c>
      <c r="AG607">
        <f>IF(ISNUMBER(AF607),IF(AF607&gt;$L$9,AE607,""),"")</f>
        <v/>
      </c>
    </row>
    <row r="608">
      <c r="P608">
        <f>IF(AND(ISNUMBER('자료_거시'!$A590),ISNUMBER('자료_거시'!$B590)),'자료_거시'!$B590,"")</f>
        <v/>
      </c>
      <c r="Q608">
        <f>IF(ISNUMBER(P608),'자료_거시'!$A590,"")</f>
        <v/>
      </c>
      <c r="R608">
        <f>IF(ISNUMBER(Q608),IF(Q608&gt;$L$5,P608,""),"")</f>
        <v/>
      </c>
      <c r="S608">
        <f>IF(ISNUMBER('자료_거시'!$E590),'자료_거시'!$E590,S607)</f>
        <v/>
      </c>
      <c r="T608">
        <f>IF(AND(ISNUMBER('자료_거시'!$D590),ISNUMBER('자료_거시'!$E590)),IFERROR('자료_거시'!$E590-INDEX($S$21:$S$4020,MATCH(EDATE('자료_거시'!$D590,-'설정'!$B$17),'자료_거시'!$D$3:INDEX('자료_거시'!$D$3:$D$4002,$K$6),1)),""),"")</f>
        <v/>
      </c>
      <c r="U608">
        <f>IF(ISNUMBER(T608),'자료_거시'!$D590,"")</f>
        <v/>
      </c>
      <c r="V608">
        <f>IF(ISNUMBER(U608),IF(U608&gt;$L$6,T608,""),"")</f>
        <v/>
      </c>
      <c r="W608">
        <f>IF(AND(ISNUMBER('자료_거시'!$G590),ISNUMBER('자료_거시'!$H590)),'자료_거시'!$H590,"")</f>
        <v/>
      </c>
      <c r="X608">
        <f>IF(ISNUMBER(W608),'자료_거시'!$G590,"")</f>
        <v/>
      </c>
      <c r="Y608">
        <f>IF(ISNUMBER(X608),IF(X608&gt;$L$7,W608,""),"")</f>
        <v/>
      </c>
      <c r="Z608">
        <f>IF(ISNUMBER('자료_거시'!$K590),'자료_거시'!$K590,Z607)</f>
        <v/>
      </c>
      <c r="AA608">
        <f>IF(AND(ISNUMBER('자료_거시'!$J590),ISNUMBER('자료_거시'!$K590)),IFERROR('자료_거시'!$K590/INDEX($Z$21:$Z$4020,MATCH(EDATE('자료_거시'!$J590,-'설정'!$B$17),'자료_거시'!$J$3:INDEX('자료_거시'!$J$3:$J$4002,$K$8),1))-1,""),"")</f>
        <v/>
      </c>
      <c r="AB608">
        <f>IF(ISNUMBER(AA608),'자료_거시'!$J590,"")</f>
        <v/>
      </c>
      <c r="AC608">
        <f>IF(ISNUMBER(AB608),IF(AB608&gt;$L$8,AA608,""),"")</f>
        <v/>
      </c>
      <c r="AD608">
        <f>IF(AND(ISNUMBER('자료_거시'!$M590),ISNUMBER('자료_거시'!$N590)),1,0)</f>
        <v/>
      </c>
      <c r="AE608">
        <f>IF(AND(ISNUMBER('자료_거시'!$M590),ISNUMBER('자료_거시'!$N590)),IF(AND(SUMIFS($AD$21:$AD$620,'자료_거시'!$M$3:$M$602,"&gt;"&amp;EDATE('자료_거시'!$M590,-'설정'!$B$17),'자료_거시'!$M$3:$M$602,"&lt;="&amp;'자료_거시'!$M590)=3,SUMIFS($AD$21:$AD$620,'자료_거시'!$M$3:$M$602,"&gt;"&amp;EDATE('자료_거시'!$M590,-12-'설정'!$B$17),'자료_거시'!$M$3:$M$602,"&lt;="&amp;EDATE('자료_거시'!$M590,-12))=3),IFERROR(SUMIFS('자료_거시'!$N$3:$N$602,'자료_거시'!$M$3:$M$602,"&gt;"&amp;EDATE('자료_거시'!$M590,-'설정'!$B$17),'자료_거시'!$M$3:$M$602,"&lt;="&amp;'자료_거시'!$M590)/SUMIFS('자료_거시'!$N$3:$N$602,'자료_거시'!$M$3:$M$602,"&gt;"&amp;EDATE('자료_거시'!$M590,-12-'설정'!$B$17),'자료_거시'!$M$3:$M$602,"&lt;="&amp;EDATE('자료_거시'!$M590,-12))-1,""),""),"")</f>
        <v/>
      </c>
      <c r="AF608">
        <f>IF(ISNUMBER(AE608),'자료_거시'!$M590,"")</f>
        <v/>
      </c>
      <c r="AG608">
        <f>IF(ISNUMBER(AF608),IF(AF608&gt;$L$9,AE608,""),"")</f>
        <v/>
      </c>
    </row>
    <row r="609">
      <c r="P609">
        <f>IF(AND(ISNUMBER('자료_거시'!$A591),ISNUMBER('자료_거시'!$B591)),'자료_거시'!$B591,"")</f>
        <v/>
      </c>
      <c r="Q609">
        <f>IF(ISNUMBER(P609),'자료_거시'!$A591,"")</f>
        <v/>
      </c>
      <c r="R609">
        <f>IF(ISNUMBER(Q609),IF(Q609&gt;$L$5,P609,""),"")</f>
        <v/>
      </c>
      <c r="S609">
        <f>IF(ISNUMBER('자료_거시'!$E591),'자료_거시'!$E591,S608)</f>
        <v/>
      </c>
      <c r="T609">
        <f>IF(AND(ISNUMBER('자료_거시'!$D591),ISNUMBER('자료_거시'!$E591)),IFERROR('자료_거시'!$E591-INDEX($S$21:$S$4020,MATCH(EDATE('자료_거시'!$D591,-'설정'!$B$17),'자료_거시'!$D$3:INDEX('자료_거시'!$D$3:$D$4002,$K$6),1)),""),"")</f>
        <v/>
      </c>
      <c r="U609">
        <f>IF(ISNUMBER(T609),'자료_거시'!$D591,"")</f>
        <v/>
      </c>
      <c r="V609">
        <f>IF(ISNUMBER(U609),IF(U609&gt;$L$6,T609,""),"")</f>
        <v/>
      </c>
      <c r="W609">
        <f>IF(AND(ISNUMBER('자료_거시'!$G591),ISNUMBER('자료_거시'!$H591)),'자료_거시'!$H591,"")</f>
        <v/>
      </c>
      <c r="X609">
        <f>IF(ISNUMBER(W609),'자료_거시'!$G591,"")</f>
        <v/>
      </c>
      <c r="Y609">
        <f>IF(ISNUMBER(X609),IF(X609&gt;$L$7,W609,""),"")</f>
        <v/>
      </c>
      <c r="Z609">
        <f>IF(ISNUMBER('자료_거시'!$K591),'자료_거시'!$K591,Z608)</f>
        <v/>
      </c>
      <c r="AA609">
        <f>IF(AND(ISNUMBER('자료_거시'!$J591),ISNUMBER('자료_거시'!$K591)),IFERROR('자료_거시'!$K591/INDEX($Z$21:$Z$4020,MATCH(EDATE('자료_거시'!$J591,-'설정'!$B$17),'자료_거시'!$J$3:INDEX('자료_거시'!$J$3:$J$4002,$K$8),1))-1,""),"")</f>
        <v/>
      </c>
      <c r="AB609">
        <f>IF(ISNUMBER(AA609),'자료_거시'!$J591,"")</f>
        <v/>
      </c>
      <c r="AC609">
        <f>IF(ISNUMBER(AB609),IF(AB609&gt;$L$8,AA609,""),"")</f>
        <v/>
      </c>
      <c r="AD609">
        <f>IF(AND(ISNUMBER('자료_거시'!$M591),ISNUMBER('자료_거시'!$N591)),1,0)</f>
        <v/>
      </c>
      <c r="AE609">
        <f>IF(AND(ISNUMBER('자료_거시'!$M591),ISNUMBER('자료_거시'!$N591)),IF(AND(SUMIFS($AD$21:$AD$620,'자료_거시'!$M$3:$M$602,"&gt;"&amp;EDATE('자료_거시'!$M591,-'설정'!$B$17),'자료_거시'!$M$3:$M$602,"&lt;="&amp;'자료_거시'!$M591)=3,SUMIFS($AD$21:$AD$620,'자료_거시'!$M$3:$M$602,"&gt;"&amp;EDATE('자료_거시'!$M591,-12-'설정'!$B$17),'자료_거시'!$M$3:$M$602,"&lt;="&amp;EDATE('자료_거시'!$M591,-12))=3),IFERROR(SUMIFS('자료_거시'!$N$3:$N$602,'자료_거시'!$M$3:$M$602,"&gt;"&amp;EDATE('자료_거시'!$M591,-'설정'!$B$17),'자료_거시'!$M$3:$M$602,"&lt;="&amp;'자료_거시'!$M591)/SUMIFS('자료_거시'!$N$3:$N$602,'자료_거시'!$M$3:$M$602,"&gt;"&amp;EDATE('자료_거시'!$M591,-12-'설정'!$B$17),'자료_거시'!$M$3:$M$602,"&lt;="&amp;EDATE('자료_거시'!$M591,-12))-1,""),""),"")</f>
        <v/>
      </c>
      <c r="AF609">
        <f>IF(ISNUMBER(AE609),'자료_거시'!$M591,"")</f>
        <v/>
      </c>
      <c r="AG609">
        <f>IF(ISNUMBER(AF609),IF(AF609&gt;$L$9,AE609,""),"")</f>
        <v/>
      </c>
    </row>
    <row r="610">
      <c r="P610">
        <f>IF(AND(ISNUMBER('자료_거시'!$A592),ISNUMBER('자료_거시'!$B592)),'자료_거시'!$B592,"")</f>
        <v/>
      </c>
      <c r="Q610">
        <f>IF(ISNUMBER(P610),'자료_거시'!$A592,"")</f>
        <v/>
      </c>
      <c r="R610">
        <f>IF(ISNUMBER(Q610),IF(Q610&gt;$L$5,P610,""),"")</f>
        <v/>
      </c>
      <c r="S610">
        <f>IF(ISNUMBER('자료_거시'!$E592),'자료_거시'!$E592,S609)</f>
        <v/>
      </c>
      <c r="T610">
        <f>IF(AND(ISNUMBER('자료_거시'!$D592),ISNUMBER('자료_거시'!$E592)),IFERROR('자료_거시'!$E592-INDEX($S$21:$S$4020,MATCH(EDATE('자료_거시'!$D592,-'설정'!$B$17),'자료_거시'!$D$3:INDEX('자료_거시'!$D$3:$D$4002,$K$6),1)),""),"")</f>
        <v/>
      </c>
      <c r="U610">
        <f>IF(ISNUMBER(T610),'자료_거시'!$D592,"")</f>
        <v/>
      </c>
      <c r="V610">
        <f>IF(ISNUMBER(U610),IF(U610&gt;$L$6,T610,""),"")</f>
        <v/>
      </c>
      <c r="W610">
        <f>IF(AND(ISNUMBER('자료_거시'!$G592),ISNUMBER('자료_거시'!$H592)),'자료_거시'!$H592,"")</f>
        <v/>
      </c>
      <c r="X610">
        <f>IF(ISNUMBER(W610),'자료_거시'!$G592,"")</f>
        <v/>
      </c>
      <c r="Y610">
        <f>IF(ISNUMBER(X610),IF(X610&gt;$L$7,W610,""),"")</f>
        <v/>
      </c>
      <c r="Z610">
        <f>IF(ISNUMBER('자료_거시'!$K592),'자료_거시'!$K592,Z609)</f>
        <v/>
      </c>
      <c r="AA610">
        <f>IF(AND(ISNUMBER('자료_거시'!$J592),ISNUMBER('자료_거시'!$K592)),IFERROR('자료_거시'!$K592/INDEX($Z$21:$Z$4020,MATCH(EDATE('자료_거시'!$J592,-'설정'!$B$17),'자료_거시'!$J$3:INDEX('자료_거시'!$J$3:$J$4002,$K$8),1))-1,""),"")</f>
        <v/>
      </c>
      <c r="AB610">
        <f>IF(ISNUMBER(AA610),'자료_거시'!$J592,"")</f>
        <v/>
      </c>
      <c r="AC610">
        <f>IF(ISNUMBER(AB610),IF(AB610&gt;$L$8,AA610,""),"")</f>
        <v/>
      </c>
      <c r="AD610">
        <f>IF(AND(ISNUMBER('자료_거시'!$M592),ISNUMBER('자료_거시'!$N592)),1,0)</f>
        <v/>
      </c>
      <c r="AE610">
        <f>IF(AND(ISNUMBER('자료_거시'!$M592),ISNUMBER('자료_거시'!$N592)),IF(AND(SUMIFS($AD$21:$AD$620,'자료_거시'!$M$3:$M$602,"&gt;"&amp;EDATE('자료_거시'!$M592,-'설정'!$B$17),'자료_거시'!$M$3:$M$602,"&lt;="&amp;'자료_거시'!$M592)=3,SUMIFS($AD$21:$AD$620,'자료_거시'!$M$3:$M$602,"&gt;"&amp;EDATE('자료_거시'!$M592,-12-'설정'!$B$17),'자료_거시'!$M$3:$M$602,"&lt;="&amp;EDATE('자료_거시'!$M592,-12))=3),IFERROR(SUMIFS('자료_거시'!$N$3:$N$602,'자료_거시'!$M$3:$M$602,"&gt;"&amp;EDATE('자료_거시'!$M592,-'설정'!$B$17),'자료_거시'!$M$3:$M$602,"&lt;="&amp;'자료_거시'!$M592)/SUMIFS('자료_거시'!$N$3:$N$602,'자료_거시'!$M$3:$M$602,"&gt;"&amp;EDATE('자료_거시'!$M592,-12-'설정'!$B$17),'자료_거시'!$M$3:$M$602,"&lt;="&amp;EDATE('자료_거시'!$M592,-12))-1,""),""),"")</f>
        <v/>
      </c>
      <c r="AF610">
        <f>IF(ISNUMBER(AE610),'자료_거시'!$M592,"")</f>
        <v/>
      </c>
      <c r="AG610">
        <f>IF(ISNUMBER(AF610),IF(AF610&gt;$L$9,AE610,""),"")</f>
        <v/>
      </c>
    </row>
    <row r="611">
      <c r="P611">
        <f>IF(AND(ISNUMBER('자료_거시'!$A593),ISNUMBER('자료_거시'!$B593)),'자료_거시'!$B593,"")</f>
        <v/>
      </c>
      <c r="Q611">
        <f>IF(ISNUMBER(P611),'자료_거시'!$A593,"")</f>
        <v/>
      </c>
      <c r="R611">
        <f>IF(ISNUMBER(Q611),IF(Q611&gt;$L$5,P611,""),"")</f>
        <v/>
      </c>
      <c r="S611">
        <f>IF(ISNUMBER('자료_거시'!$E593),'자료_거시'!$E593,S610)</f>
        <v/>
      </c>
      <c r="T611">
        <f>IF(AND(ISNUMBER('자료_거시'!$D593),ISNUMBER('자료_거시'!$E593)),IFERROR('자료_거시'!$E593-INDEX($S$21:$S$4020,MATCH(EDATE('자료_거시'!$D593,-'설정'!$B$17),'자료_거시'!$D$3:INDEX('자료_거시'!$D$3:$D$4002,$K$6),1)),""),"")</f>
        <v/>
      </c>
      <c r="U611">
        <f>IF(ISNUMBER(T611),'자료_거시'!$D593,"")</f>
        <v/>
      </c>
      <c r="V611">
        <f>IF(ISNUMBER(U611),IF(U611&gt;$L$6,T611,""),"")</f>
        <v/>
      </c>
      <c r="W611">
        <f>IF(AND(ISNUMBER('자료_거시'!$G593),ISNUMBER('자료_거시'!$H593)),'자료_거시'!$H593,"")</f>
        <v/>
      </c>
      <c r="X611">
        <f>IF(ISNUMBER(W611),'자료_거시'!$G593,"")</f>
        <v/>
      </c>
      <c r="Y611">
        <f>IF(ISNUMBER(X611),IF(X611&gt;$L$7,W611,""),"")</f>
        <v/>
      </c>
      <c r="Z611">
        <f>IF(ISNUMBER('자료_거시'!$K593),'자료_거시'!$K593,Z610)</f>
        <v/>
      </c>
      <c r="AA611">
        <f>IF(AND(ISNUMBER('자료_거시'!$J593),ISNUMBER('자료_거시'!$K593)),IFERROR('자료_거시'!$K593/INDEX($Z$21:$Z$4020,MATCH(EDATE('자료_거시'!$J593,-'설정'!$B$17),'자료_거시'!$J$3:INDEX('자료_거시'!$J$3:$J$4002,$K$8),1))-1,""),"")</f>
        <v/>
      </c>
      <c r="AB611">
        <f>IF(ISNUMBER(AA611),'자료_거시'!$J593,"")</f>
        <v/>
      </c>
      <c r="AC611">
        <f>IF(ISNUMBER(AB611),IF(AB611&gt;$L$8,AA611,""),"")</f>
        <v/>
      </c>
      <c r="AD611">
        <f>IF(AND(ISNUMBER('자료_거시'!$M593),ISNUMBER('자료_거시'!$N593)),1,0)</f>
        <v/>
      </c>
      <c r="AE611">
        <f>IF(AND(ISNUMBER('자료_거시'!$M593),ISNUMBER('자료_거시'!$N593)),IF(AND(SUMIFS($AD$21:$AD$620,'자료_거시'!$M$3:$M$602,"&gt;"&amp;EDATE('자료_거시'!$M593,-'설정'!$B$17),'자료_거시'!$M$3:$M$602,"&lt;="&amp;'자료_거시'!$M593)=3,SUMIFS($AD$21:$AD$620,'자료_거시'!$M$3:$M$602,"&gt;"&amp;EDATE('자료_거시'!$M593,-12-'설정'!$B$17),'자료_거시'!$M$3:$M$602,"&lt;="&amp;EDATE('자료_거시'!$M593,-12))=3),IFERROR(SUMIFS('자료_거시'!$N$3:$N$602,'자료_거시'!$M$3:$M$602,"&gt;"&amp;EDATE('자료_거시'!$M593,-'설정'!$B$17),'자료_거시'!$M$3:$M$602,"&lt;="&amp;'자료_거시'!$M593)/SUMIFS('자료_거시'!$N$3:$N$602,'자료_거시'!$M$3:$M$602,"&gt;"&amp;EDATE('자료_거시'!$M593,-12-'설정'!$B$17),'자료_거시'!$M$3:$M$602,"&lt;="&amp;EDATE('자료_거시'!$M593,-12))-1,""),""),"")</f>
        <v/>
      </c>
      <c r="AF611">
        <f>IF(ISNUMBER(AE611),'자료_거시'!$M593,"")</f>
        <v/>
      </c>
      <c r="AG611">
        <f>IF(ISNUMBER(AF611),IF(AF611&gt;$L$9,AE611,""),"")</f>
        <v/>
      </c>
    </row>
    <row r="612">
      <c r="P612">
        <f>IF(AND(ISNUMBER('자료_거시'!$A594),ISNUMBER('자료_거시'!$B594)),'자료_거시'!$B594,"")</f>
        <v/>
      </c>
      <c r="Q612">
        <f>IF(ISNUMBER(P612),'자료_거시'!$A594,"")</f>
        <v/>
      </c>
      <c r="R612">
        <f>IF(ISNUMBER(Q612),IF(Q612&gt;$L$5,P612,""),"")</f>
        <v/>
      </c>
      <c r="S612">
        <f>IF(ISNUMBER('자료_거시'!$E594),'자료_거시'!$E594,S611)</f>
        <v/>
      </c>
      <c r="T612">
        <f>IF(AND(ISNUMBER('자료_거시'!$D594),ISNUMBER('자료_거시'!$E594)),IFERROR('자료_거시'!$E594-INDEX($S$21:$S$4020,MATCH(EDATE('자료_거시'!$D594,-'설정'!$B$17),'자료_거시'!$D$3:INDEX('자료_거시'!$D$3:$D$4002,$K$6),1)),""),"")</f>
        <v/>
      </c>
      <c r="U612">
        <f>IF(ISNUMBER(T612),'자료_거시'!$D594,"")</f>
        <v/>
      </c>
      <c r="V612">
        <f>IF(ISNUMBER(U612),IF(U612&gt;$L$6,T612,""),"")</f>
        <v/>
      </c>
      <c r="W612">
        <f>IF(AND(ISNUMBER('자료_거시'!$G594),ISNUMBER('자료_거시'!$H594)),'자료_거시'!$H594,"")</f>
        <v/>
      </c>
      <c r="X612">
        <f>IF(ISNUMBER(W612),'자료_거시'!$G594,"")</f>
        <v/>
      </c>
      <c r="Y612">
        <f>IF(ISNUMBER(X612),IF(X612&gt;$L$7,W612,""),"")</f>
        <v/>
      </c>
      <c r="Z612">
        <f>IF(ISNUMBER('자료_거시'!$K594),'자료_거시'!$K594,Z611)</f>
        <v/>
      </c>
      <c r="AA612">
        <f>IF(AND(ISNUMBER('자료_거시'!$J594),ISNUMBER('자료_거시'!$K594)),IFERROR('자료_거시'!$K594/INDEX($Z$21:$Z$4020,MATCH(EDATE('자료_거시'!$J594,-'설정'!$B$17),'자료_거시'!$J$3:INDEX('자료_거시'!$J$3:$J$4002,$K$8),1))-1,""),"")</f>
        <v/>
      </c>
      <c r="AB612">
        <f>IF(ISNUMBER(AA612),'자료_거시'!$J594,"")</f>
        <v/>
      </c>
      <c r="AC612">
        <f>IF(ISNUMBER(AB612),IF(AB612&gt;$L$8,AA612,""),"")</f>
        <v/>
      </c>
      <c r="AD612">
        <f>IF(AND(ISNUMBER('자료_거시'!$M594),ISNUMBER('자료_거시'!$N594)),1,0)</f>
        <v/>
      </c>
      <c r="AE612">
        <f>IF(AND(ISNUMBER('자료_거시'!$M594),ISNUMBER('자료_거시'!$N594)),IF(AND(SUMIFS($AD$21:$AD$620,'자료_거시'!$M$3:$M$602,"&gt;"&amp;EDATE('자료_거시'!$M594,-'설정'!$B$17),'자료_거시'!$M$3:$M$602,"&lt;="&amp;'자료_거시'!$M594)=3,SUMIFS($AD$21:$AD$620,'자료_거시'!$M$3:$M$602,"&gt;"&amp;EDATE('자료_거시'!$M594,-12-'설정'!$B$17),'자료_거시'!$M$3:$M$602,"&lt;="&amp;EDATE('자료_거시'!$M594,-12))=3),IFERROR(SUMIFS('자료_거시'!$N$3:$N$602,'자료_거시'!$M$3:$M$602,"&gt;"&amp;EDATE('자료_거시'!$M594,-'설정'!$B$17),'자료_거시'!$M$3:$M$602,"&lt;="&amp;'자료_거시'!$M594)/SUMIFS('자료_거시'!$N$3:$N$602,'자료_거시'!$M$3:$M$602,"&gt;"&amp;EDATE('자료_거시'!$M594,-12-'설정'!$B$17),'자료_거시'!$M$3:$M$602,"&lt;="&amp;EDATE('자료_거시'!$M594,-12))-1,""),""),"")</f>
        <v/>
      </c>
      <c r="AF612">
        <f>IF(ISNUMBER(AE612),'자료_거시'!$M594,"")</f>
        <v/>
      </c>
      <c r="AG612">
        <f>IF(ISNUMBER(AF612),IF(AF612&gt;$L$9,AE612,""),"")</f>
        <v/>
      </c>
    </row>
    <row r="613">
      <c r="P613">
        <f>IF(AND(ISNUMBER('자료_거시'!$A595),ISNUMBER('자료_거시'!$B595)),'자료_거시'!$B595,"")</f>
        <v/>
      </c>
      <c r="Q613">
        <f>IF(ISNUMBER(P613),'자료_거시'!$A595,"")</f>
        <v/>
      </c>
      <c r="R613">
        <f>IF(ISNUMBER(Q613),IF(Q613&gt;$L$5,P613,""),"")</f>
        <v/>
      </c>
      <c r="S613">
        <f>IF(ISNUMBER('자료_거시'!$E595),'자료_거시'!$E595,S612)</f>
        <v/>
      </c>
      <c r="T613">
        <f>IF(AND(ISNUMBER('자료_거시'!$D595),ISNUMBER('자료_거시'!$E595)),IFERROR('자료_거시'!$E595-INDEX($S$21:$S$4020,MATCH(EDATE('자료_거시'!$D595,-'설정'!$B$17),'자료_거시'!$D$3:INDEX('자료_거시'!$D$3:$D$4002,$K$6),1)),""),"")</f>
        <v/>
      </c>
      <c r="U613">
        <f>IF(ISNUMBER(T613),'자료_거시'!$D595,"")</f>
        <v/>
      </c>
      <c r="V613">
        <f>IF(ISNUMBER(U613),IF(U613&gt;$L$6,T613,""),"")</f>
        <v/>
      </c>
      <c r="W613">
        <f>IF(AND(ISNUMBER('자료_거시'!$G595),ISNUMBER('자료_거시'!$H595)),'자료_거시'!$H595,"")</f>
        <v/>
      </c>
      <c r="X613">
        <f>IF(ISNUMBER(W613),'자료_거시'!$G595,"")</f>
        <v/>
      </c>
      <c r="Y613">
        <f>IF(ISNUMBER(X613),IF(X613&gt;$L$7,W613,""),"")</f>
        <v/>
      </c>
      <c r="Z613">
        <f>IF(ISNUMBER('자료_거시'!$K595),'자료_거시'!$K595,Z612)</f>
        <v/>
      </c>
      <c r="AA613">
        <f>IF(AND(ISNUMBER('자료_거시'!$J595),ISNUMBER('자료_거시'!$K595)),IFERROR('자료_거시'!$K595/INDEX($Z$21:$Z$4020,MATCH(EDATE('자료_거시'!$J595,-'설정'!$B$17),'자료_거시'!$J$3:INDEX('자료_거시'!$J$3:$J$4002,$K$8),1))-1,""),"")</f>
        <v/>
      </c>
      <c r="AB613">
        <f>IF(ISNUMBER(AA613),'자료_거시'!$J595,"")</f>
        <v/>
      </c>
      <c r="AC613">
        <f>IF(ISNUMBER(AB613),IF(AB613&gt;$L$8,AA613,""),"")</f>
        <v/>
      </c>
      <c r="AD613">
        <f>IF(AND(ISNUMBER('자료_거시'!$M595),ISNUMBER('자료_거시'!$N595)),1,0)</f>
        <v/>
      </c>
      <c r="AE613">
        <f>IF(AND(ISNUMBER('자료_거시'!$M595),ISNUMBER('자료_거시'!$N595)),IF(AND(SUMIFS($AD$21:$AD$620,'자료_거시'!$M$3:$M$602,"&gt;"&amp;EDATE('자료_거시'!$M595,-'설정'!$B$17),'자료_거시'!$M$3:$M$602,"&lt;="&amp;'자료_거시'!$M595)=3,SUMIFS($AD$21:$AD$620,'자료_거시'!$M$3:$M$602,"&gt;"&amp;EDATE('자료_거시'!$M595,-12-'설정'!$B$17),'자료_거시'!$M$3:$M$602,"&lt;="&amp;EDATE('자료_거시'!$M595,-12))=3),IFERROR(SUMIFS('자료_거시'!$N$3:$N$602,'자료_거시'!$M$3:$M$602,"&gt;"&amp;EDATE('자료_거시'!$M595,-'설정'!$B$17),'자료_거시'!$M$3:$M$602,"&lt;="&amp;'자료_거시'!$M595)/SUMIFS('자료_거시'!$N$3:$N$602,'자료_거시'!$M$3:$M$602,"&gt;"&amp;EDATE('자료_거시'!$M595,-12-'설정'!$B$17),'자료_거시'!$M$3:$M$602,"&lt;="&amp;EDATE('자료_거시'!$M595,-12))-1,""),""),"")</f>
        <v/>
      </c>
      <c r="AF613">
        <f>IF(ISNUMBER(AE613),'자료_거시'!$M595,"")</f>
        <v/>
      </c>
      <c r="AG613">
        <f>IF(ISNUMBER(AF613),IF(AF613&gt;$L$9,AE613,""),"")</f>
        <v/>
      </c>
    </row>
    <row r="614">
      <c r="P614">
        <f>IF(AND(ISNUMBER('자료_거시'!$A596),ISNUMBER('자료_거시'!$B596)),'자료_거시'!$B596,"")</f>
        <v/>
      </c>
      <c r="Q614">
        <f>IF(ISNUMBER(P614),'자료_거시'!$A596,"")</f>
        <v/>
      </c>
      <c r="R614">
        <f>IF(ISNUMBER(Q614),IF(Q614&gt;$L$5,P614,""),"")</f>
        <v/>
      </c>
      <c r="S614">
        <f>IF(ISNUMBER('자료_거시'!$E596),'자료_거시'!$E596,S613)</f>
        <v/>
      </c>
      <c r="T614">
        <f>IF(AND(ISNUMBER('자료_거시'!$D596),ISNUMBER('자료_거시'!$E596)),IFERROR('자료_거시'!$E596-INDEX($S$21:$S$4020,MATCH(EDATE('자료_거시'!$D596,-'설정'!$B$17),'자료_거시'!$D$3:INDEX('자료_거시'!$D$3:$D$4002,$K$6),1)),""),"")</f>
        <v/>
      </c>
      <c r="U614">
        <f>IF(ISNUMBER(T614),'자료_거시'!$D596,"")</f>
        <v/>
      </c>
      <c r="V614">
        <f>IF(ISNUMBER(U614),IF(U614&gt;$L$6,T614,""),"")</f>
        <v/>
      </c>
      <c r="W614">
        <f>IF(AND(ISNUMBER('자료_거시'!$G596),ISNUMBER('자료_거시'!$H596)),'자료_거시'!$H596,"")</f>
        <v/>
      </c>
      <c r="X614">
        <f>IF(ISNUMBER(W614),'자료_거시'!$G596,"")</f>
        <v/>
      </c>
      <c r="Y614">
        <f>IF(ISNUMBER(X614),IF(X614&gt;$L$7,W614,""),"")</f>
        <v/>
      </c>
      <c r="Z614">
        <f>IF(ISNUMBER('자료_거시'!$K596),'자료_거시'!$K596,Z613)</f>
        <v/>
      </c>
      <c r="AA614">
        <f>IF(AND(ISNUMBER('자료_거시'!$J596),ISNUMBER('자료_거시'!$K596)),IFERROR('자료_거시'!$K596/INDEX($Z$21:$Z$4020,MATCH(EDATE('자료_거시'!$J596,-'설정'!$B$17),'자료_거시'!$J$3:INDEX('자료_거시'!$J$3:$J$4002,$K$8),1))-1,""),"")</f>
        <v/>
      </c>
      <c r="AB614">
        <f>IF(ISNUMBER(AA614),'자료_거시'!$J596,"")</f>
        <v/>
      </c>
      <c r="AC614">
        <f>IF(ISNUMBER(AB614),IF(AB614&gt;$L$8,AA614,""),"")</f>
        <v/>
      </c>
      <c r="AD614">
        <f>IF(AND(ISNUMBER('자료_거시'!$M596),ISNUMBER('자료_거시'!$N596)),1,0)</f>
        <v/>
      </c>
      <c r="AE614">
        <f>IF(AND(ISNUMBER('자료_거시'!$M596),ISNUMBER('자료_거시'!$N596)),IF(AND(SUMIFS($AD$21:$AD$620,'자료_거시'!$M$3:$M$602,"&gt;"&amp;EDATE('자료_거시'!$M596,-'설정'!$B$17),'자료_거시'!$M$3:$M$602,"&lt;="&amp;'자료_거시'!$M596)=3,SUMIFS($AD$21:$AD$620,'자료_거시'!$M$3:$M$602,"&gt;"&amp;EDATE('자료_거시'!$M596,-12-'설정'!$B$17),'자료_거시'!$M$3:$M$602,"&lt;="&amp;EDATE('자료_거시'!$M596,-12))=3),IFERROR(SUMIFS('자료_거시'!$N$3:$N$602,'자료_거시'!$M$3:$M$602,"&gt;"&amp;EDATE('자료_거시'!$M596,-'설정'!$B$17),'자료_거시'!$M$3:$M$602,"&lt;="&amp;'자료_거시'!$M596)/SUMIFS('자료_거시'!$N$3:$N$602,'자료_거시'!$M$3:$M$602,"&gt;"&amp;EDATE('자료_거시'!$M596,-12-'설정'!$B$17),'자료_거시'!$M$3:$M$602,"&lt;="&amp;EDATE('자료_거시'!$M596,-12))-1,""),""),"")</f>
        <v/>
      </c>
      <c r="AF614">
        <f>IF(ISNUMBER(AE614),'자료_거시'!$M596,"")</f>
        <v/>
      </c>
      <c r="AG614">
        <f>IF(ISNUMBER(AF614),IF(AF614&gt;$L$9,AE614,""),"")</f>
        <v/>
      </c>
    </row>
    <row r="615">
      <c r="P615">
        <f>IF(AND(ISNUMBER('자료_거시'!$A597),ISNUMBER('자료_거시'!$B597)),'자료_거시'!$B597,"")</f>
        <v/>
      </c>
      <c r="Q615">
        <f>IF(ISNUMBER(P615),'자료_거시'!$A597,"")</f>
        <v/>
      </c>
      <c r="R615">
        <f>IF(ISNUMBER(Q615),IF(Q615&gt;$L$5,P615,""),"")</f>
        <v/>
      </c>
      <c r="S615">
        <f>IF(ISNUMBER('자료_거시'!$E597),'자료_거시'!$E597,S614)</f>
        <v/>
      </c>
      <c r="T615">
        <f>IF(AND(ISNUMBER('자료_거시'!$D597),ISNUMBER('자료_거시'!$E597)),IFERROR('자료_거시'!$E597-INDEX($S$21:$S$4020,MATCH(EDATE('자료_거시'!$D597,-'설정'!$B$17),'자료_거시'!$D$3:INDEX('자료_거시'!$D$3:$D$4002,$K$6),1)),""),"")</f>
        <v/>
      </c>
      <c r="U615">
        <f>IF(ISNUMBER(T615),'자료_거시'!$D597,"")</f>
        <v/>
      </c>
      <c r="V615">
        <f>IF(ISNUMBER(U615),IF(U615&gt;$L$6,T615,""),"")</f>
        <v/>
      </c>
      <c r="W615">
        <f>IF(AND(ISNUMBER('자료_거시'!$G597),ISNUMBER('자료_거시'!$H597)),'자료_거시'!$H597,"")</f>
        <v/>
      </c>
      <c r="X615">
        <f>IF(ISNUMBER(W615),'자료_거시'!$G597,"")</f>
        <v/>
      </c>
      <c r="Y615">
        <f>IF(ISNUMBER(X615),IF(X615&gt;$L$7,W615,""),"")</f>
        <v/>
      </c>
      <c r="Z615">
        <f>IF(ISNUMBER('자료_거시'!$K597),'자료_거시'!$K597,Z614)</f>
        <v/>
      </c>
      <c r="AA615">
        <f>IF(AND(ISNUMBER('자료_거시'!$J597),ISNUMBER('자료_거시'!$K597)),IFERROR('자료_거시'!$K597/INDEX($Z$21:$Z$4020,MATCH(EDATE('자료_거시'!$J597,-'설정'!$B$17),'자료_거시'!$J$3:INDEX('자료_거시'!$J$3:$J$4002,$K$8),1))-1,""),"")</f>
        <v/>
      </c>
      <c r="AB615">
        <f>IF(ISNUMBER(AA615),'자료_거시'!$J597,"")</f>
        <v/>
      </c>
      <c r="AC615">
        <f>IF(ISNUMBER(AB615),IF(AB615&gt;$L$8,AA615,""),"")</f>
        <v/>
      </c>
      <c r="AD615">
        <f>IF(AND(ISNUMBER('자료_거시'!$M597),ISNUMBER('자료_거시'!$N597)),1,0)</f>
        <v/>
      </c>
      <c r="AE615">
        <f>IF(AND(ISNUMBER('자료_거시'!$M597),ISNUMBER('자료_거시'!$N597)),IF(AND(SUMIFS($AD$21:$AD$620,'자료_거시'!$M$3:$M$602,"&gt;"&amp;EDATE('자료_거시'!$M597,-'설정'!$B$17),'자료_거시'!$M$3:$M$602,"&lt;="&amp;'자료_거시'!$M597)=3,SUMIFS($AD$21:$AD$620,'자료_거시'!$M$3:$M$602,"&gt;"&amp;EDATE('자료_거시'!$M597,-12-'설정'!$B$17),'자료_거시'!$M$3:$M$602,"&lt;="&amp;EDATE('자료_거시'!$M597,-12))=3),IFERROR(SUMIFS('자료_거시'!$N$3:$N$602,'자료_거시'!$M$3:$M$602,"&gt;"&amp;EDATE('자료_거시'!$M597,-'설정'!$B$17),'자료_거시'!$M$3:$M$602,"&lt;="&amp;'자료_거시'!$M597)/SUMIFS('자료_거시'!$N$3:$N$602,'자료_거시'!$M$3:$M$602,"&gt;"&amp;EDATE('자료_거시'!$M597,-12-'설정'!$B$17),'자료_거시'!$M$3:$M$602,"&lt;="&amp;EDATE('자료_거시'!$M597,-12))-1,""),""),"")</f>
        <v/>
      </c>
      <c r="AF615">
        <f>IF(ISNUMBER(AE615),'자료_거시'!$M597,"")</f>
        <v/>
      </c>
      <c r="AG615">
        <f>IF(ISNUMBER(AF615),IF(AF615&gt;$L$9,AE615,""),"")</f>
        <v/>
      </c>
    </row>
    <row r="616">
      <c r="P616">
        <f>IF(AND(ISNUMBER('자료_거시'!$A598),ISNUMBER('자료_거시'!$B598)),'자료_거시'!$B598,"")</f>
        <v/>
      </c>
      <c r="Q616">
        <f>IF(ISNUMBER(P616),'자료_거시'!$A598,"")</f>
        <v/>
      </c>
      <c r="R616">
        <f>IF(ISNUMBER(Q616),IF(Q616&gt;$L$5,P616,""),"")</f>
        <v/>
      </c>
      <c r="S616">
        <f>IF(ISNUMBER('자료_거시'!$E598),'자료_거시'!$E598,S615)</f>
        <v/>
      </c>
      <c r="T616">
        <f>IF(AND(ISNUMBER('자료_거시'!$D598),ISNUMBER('자료_거시'!$E598)),IFERROR('자료_거시'!$E598-INDEX($S$21:$S$4020,MATCH(EDATE('자료_거시'!$D598,-'설정'!$B$17),'자료_거시'!$D$3:INDEX('자료_거시'!$D$3:$D$4002,$K$6),1)),""),"")</f>
        <v/>
      </c>
      <c r="U616">
        <f>IF(ISNUMBER(T616),'자료_거시'!$D598,"")</f>
        <v/>
      </c>
      <c r="V616">
        <f>IF(ISNUMBER(U616),IF(U616&gt;$L$6,T616,""),"")</f>
        <v/>
      </c>
      <c r="W616">
        <f>IF(AND(ISNUMBER('자료_거시'!$G598),ISNUMBER('자료_거시'!$H598)),'자료_거시'!$H598,"")</f>
        <v/>
      </c>
      <c r="X616">
        <f>IF(ISNUMBER(W616),'자료_거시'!$G598,"")</f>
        <v/>
      </c>
      <c r="Y616">
        <f>IF(ISNUMBER(X616),IF(X616&gt;$L$7,W616,""),"")</f>
        <v/>
      </c>
      <c r="Z616">
        <f>IF(ISNUMBER('자료_거시'!$K598),'자료_거시'!$K598,Z615)</f>
        <v/>
      </c>
      <c r="AA616">
        <f>IF(AND(ISNUMBER('자료_거시'!$J598),ISNUMBER('자료_거시'!$K598)),IFERROR('자료_거시'!$K598/INDEX($Z$21:$Z$4020,MATCH(EDATE('자료_거시'!$J598,-'설정'!$B$17),'자료_거시'!$J$3:INDEX('자료_거시'!$J$3:$J$4002,$K$8),1))-1,""),"")</f>
        <v/>
      </c>
      <c r="AB616">
        <f>IF(ISNUMBER(AA616),'자료_거시'!$J598,"")</f>
        <v/>
      </c>
      <c r="AC616">
        <f>IF(ISNUMBER(AB616),IF(AB616&gt;$L$8,AA616,""),"")</f>
        <v/>
      </c>
      <c r="AD616">
        <f>IF(AND(ISNUMBER('자료_거시'!$M598),ISNUMBER('자료_거시'!$N598)),1,0)</f>
        <v/>
      </c>
      <c r="AE616">
        <f>IF(AND(ISNUMBER('자료_거시'!$M598),ISNUMBER('자료_거시'!$N598)),IF(AND(SUMIFS($AD$21:$AD$620,'자료_거시'!$M$3:$M$602,"&gt;"&amp;EDATE('자료_거시'!$M598,-'설정'!$B$17),'자료_거시'!$M$3:$M$602,"&lt;="&amp;'자료_거시'!$M598)=3,SUMIFS($AD$21:$AD$620,'자료_거시'!$M$3:$M$602,"&gt;"&amp;EDATE('자료_거시'!$M598,-12-'설정'!$B$17),'자료_거시'!$M$3:$M$602,"&lt;="&amp;EDATE('자료_거시'!$M598,-12))=3),IFERROR(SUMIFS('자료_거시'!$N$3:$N$602,'자료_거시'!$M$3:$M$602,"&gt;"&amp;EDATE('자료_거시'!$M598,-'설정'!$B$17),'자료_거시'!$M$3:$M$602,"&lt;="&amp;'자료_거시'!$M598)/SUMIFS('자료_거시'!$N$3:$N$602,'자료_거시'!$M$3:$M$602,"&gt;"&amp;EDATE('자료_거시'!$M598,-12-'설정'!$B$17),'자료_거시'!$M$3:$M$602,"&lt;="&amp;EDATE('자료_거시'!$M598,-12))-1,""),""),"")</f>
        <v/>
      </c>
      <c r="AF616">
        <f>IF(ISNUMBER(AE616),'자료_거시'!$M598,"")</f>
        <v/>
      </c>
      <c r="AG616">
        <f>IF(ISNUMBER(AF616),IF(AF616&gt;$L$9,AE616,""),"")</f>
        <v/>
      </c>
    </row>
    <row r="617">
      <c r="P617">
        <f>IF(AND(ISNUMBER('자료_거시'!$A599),ISNUMBER('자료_거시'!$B599)),'자료_거시'!$B599,"")</f>
        <v/>
      </c>
      <c r="Q617">
        <f>IF(ISNUMBER(P617),'자료_거시'!$A599,"")</f>
        <v/>
      </c>
      <c r="R617">
        <f>IF(ISNUMBER(Q617),IF(Q617&gt;$L$5,P617,""),"")</f>
        <v/>
      </c>
      <c r="S617">
        <f>IF(ISNUMBER('자료_거시'!$E599),'자료_거시'!$E599,S616)</f>
        <v/>
      </c>
      <c r="T617">
        <f>IF(AND(ISNUMBER('자료_거시'!$D599),ISNUMBER('자료_거시'!$E599)),IFERROR('자료_거시'!$E599-INDEX($S$21:$S$4020,MATCH(EDATE('자료_거시'!$D599,-'설정'!$B$17),'자료_거시'!$D$3:INDEX('자료_거시'!$D$3:$D$4002,$K$6),1)),""),"")</f>
        <v/>
      </c>
      <c r="U617">
        <f>IF(ISNUMBER(T617),'자료_거시'!$D599,"")</f>
        <v/>
      </c>
      <c r="V617">
        <f>IF(ISNUMBER(U617),IF(U617&gt;$L$6,T617,""),"")</f>
        <v/>
      </c>
      <c r="W617">
        <f>IF(AND(ISNUMBER('자료_거시'!$G599),ISNUMBER('자료_거시'!$H599)),'자료_거시'!$H599,"")</f>
        <v/>
      </c>
      <c r="X617">
        <f>IF(ISNUMBER(W617),'자료_거시'!$G599,"")</f>
        <v/>
      </c>
      <c r="Y617">
        <f>IF(ISNUMBER(X617),IF(X617&gt;$L$7,W617,""),"")</f>
        <v/>
      </c>
      <c r="Z617">
        <f>IF(ISNUMBER('자료_거시'!$K599),'자료_거시'!$K599,Z616)</f>
        <v/>
      </c>
      <c r="AA617">
        <f>IF(AND(ISNUMBER('자료_거시'!$J599),ISNUMBER('자료_거시'!$K599)),IFERROR('자료_거시'!$K599/INDEX($Z$21:$Z$4020,MATCH(EDATE('자료_거시'!$J599,-'설정'!$B$17),'자료_거시'!$J$3:INDEX('자료_거시'!$J$3:$J$4002,$K$8),1))-1,""),"")</f>
        <v/>
      </c>
      <c r="AB617">
        <f>IF(ISNUMBER(AA617),'자료_거시'!$J599,"")</f>
        <v/>
      </c>
      <c r="AC617">
        <f>IF(ISNUMBER(AB617),IF(AB617&gt;$L$8,AA617,""),"")</f>
        <v/>
      </c>
      <c r="AD617">
        <f>IF(AND(ISNUMBER('자료_거시'!$M599),ISNUMBER('자료_거시'!$N599)),1,0)</f>
        <v/>
      </c>
      <c r="AE617">
        <f>IF(AND(ISNUMBER('자료_거시'!$M599),ISNUMBER('자료_거시'!$N599)),IF(AND(SUMIFS($AD$21:$AD$620,'자료_거시'!$M$3:$M$602,"&gt;"&amp;EDATE('자료_거시'!$M599,-'설정'!$B$17),'자료_거시'!$M$3:$M$602,"&lt;="&amp;'자료_거시'!$M599)=3,SUMIFS($AD$21:$AD$620,'자료_거시'!$M$3:$M$602,"&gt;"&amp;EDATE('자료_거시'!$M599,-12-'설정'!$B$17),'자료_거시'!$M$3:$M$602,"&lt;="&amp;EDATE('자료_거시'!$M599,-12))=3),IFERROR(SUMIFS('자료_거시'!$N$3:$N$602,'자료_거시'!$M$3:$M$602,"&gt;"&amp;EDATE('자료_거시'!$M599,-'설정'!$B$17),'자료_거시'!$M$3:$M$602,"&lt;="&amp;'자료_거시'!$M599)/SUMIFS('자료_거시'!$N$3:$N$602,'자료_거시'!$M$3:$M$602,"&gt;"&amp;EDATE('자료_거시'!$M599,-12-'설정'!$B$17),'자료_거시'!$M$3:$M$602,"&lt;="&amp;EDATE('자료_거시'!$M599,-12))-1,""),""),"")</f>
        <v/>
      </c>
      <c r="AF617">
        <f>IF(ISNUMBER(AE617),'자료_거시'!$M599,"")</f>
        <v/>
      </c>
      <c r="AG617">
        <f>IF(ISNUMBER(AF617),IF(AF617&gt;$L$9,AE617,""),"")</f>
        <v/>
      </c>
    </row>
    <row r="618">
      <c r="P618">
        <f>IF(AND(ISNUMBER('자료_거시'!$A600),ISNUMBER('자료_거시'!$B600)),'자료_거시'!$B600,"")</f>
        <v/>
      </c>
      <c r="Q618">
        <f>IF(ISNUMBER(P618),'자료_거시'!$A600,"")</f>
        <v/>
      </c>
      <c r="R618">
        <f>IF(ISNUMBER(Q618),IF(Q618&gt;$L$5,P618,""),"")</f>
        <v/>
      </c>
      <c r="S618">
        <f>IF(ISNUMBER('자료_거시'!$E600),'자료_거시'!$E600,S617)</f>
        <v/>
      </c>
      <c r="T618">
        <f>IF(AND(ISNUMBER('자료_거시'!$D600),ISNUMBER('자료_거시'!$E600)),IFERROR('자료_거시'!$E600-INDEX($S$21:$S$4020,MATCH(EDATE('자료_거시'!$D600,-'설정'!$B$17),'자료_거시'!$D$3:INDEX('자료_거시'!$D$3:$D$4002,$K$6),1)),""),"")</f>
        <v/>
      </c>
      <c r="U618">
        <f>IF(ISNUMBER(T618),'자료_거시'!$D600,"")</f>
        <v/>
      </c>
      <c r="V618">
        <f>IF(ISNUMBER(U618),IF(U618&gt;$L$6,T618,""),"")</f>
        <v/>
      </c>
      <c r="W618">
        <f>IF(AND(ISNUMBER('자료_거시'!$G600),ISNUMBER('자료_거시'!$H600)),'자료_거시'!$H600,"")</f>
        <v/>
      </c>
      <c r="X618">
        <f>IF(ISNUMBER(W618),'자료_거시'!$G600,"")</f>
        <v/>
      </c>
      <c r="Y618">
        <f>IF(ISNUMBER(X618),IF(X618&gt;$L$7,W618,""),"")</f>
        <v/>
      </c>
      <c r="Z618">
        <f>IF(ISNUMBER('자료_거시'!$K600),'자료_거시'!$K600,Z617)</f>
        <v/>
      </c>
      <c r="AA618">
        <f>IF(AND(ISNUMBER('자료_거시'!$J600),ISNUMBER('자료_거시'!$K600)),IFERROR('자료_거시'!$K600/INDEX($Z$21:$Z$4020,MATCH(EDATE('자료_거시'!$J600,-'설정'!$B$17),'자료_거시'!$J$3:INDEX('자료_거시'!$J$3:$J$4002,$K$8),1))-1,""),"")</f>
        <v/>
      </c>
      <c r="AB618">
        <f>IF(ISNUMBER(AA618),'자료_거시'!$J600,"")</f>
        <v/>
      </c>
      <c r="AC618">
        <f>IF(ISNUMBER(AB618),IF(AB618&gt;$L$8,AA618,""),"")</f>
        <v/>
      </c>
      <c r="AD618">
        <f>IF(AND(ISNUMBER('자료_거시'!$M600),ISNUMBER('자료_거시'!$N600)),1,0)</f>
        <v/>
      </c>
      <c r="AE618">
        <f>IF(AND(ISNUMBER('자료_거시'!$M600),ISNUMBER('자료_거시'!$N600)),IF(AND(SUMIFS($AD$21:$AD$620,'자료_거시'!$M$3:$M$602,"&gt;"&amp;EDATE('자료_거시'!$M600,-'설정'!$B$17),'자료_거시'!$M$3:$M$602,"&lt;="&amp;'자료_거시'!$M600)=3,SUMIFS($AD$21:$AD$620,'자료_거시'!$M$3:$M$602,"&gt;"&amp;EDATE('자료_거시'!$M600,-12-'설정'!$B$17),'자료_거시'!$M$3:$M$602,"&lt;="&amp;EDATE('자료_거시'!$M600,-12))=3),IFERROR(SUMIFS('자료_거시'!$N$3:$N$602,'자료_거시'!$M$3:$M$602,"&gt;"&amp;EDATE('자료_거시'!$M600,-'설정'!$B$17),'자료_거시'!$M$3:$M$602,"&lt;="&amp;'자료_거시'!$M600)/SUMIFS('자료_거시'!$N$3:$N$602,'자료_거시'!$M$3:$M$602,"&gt;"&amp;EDATE('자료_거시'!$M600,-12-'설정'!$B$17),'자료_거시'!$M$3:$M$602,"&lt;="&amp;EDATE('자료_거시'!$M600,-12))-1,""),""),"")</f>
        <v/>
      </c>
      <c r="AF618">
        <f>IF(ISNUMBER(AE618),'자료_거시'!$M600,"")</f>
        <v/>
      </c>
      <c r="AG618">
        <f>IF(ISNUMBER(AF618),IF(AF618&gt;$L$9,AE618,""),"")</f>
        <v/>
      </c>
    </row>
    <row r="619">
      <c r="P619">
        <f>IF(AND(ISNUMBER('자료_거시'!$A601),ISNUMBER('자료_거시'!$B601)),'자료_거시'!$B601,"")</f>
        <v/>
      </c>
      <c r="Q619">
        <f>IF(ISNUMBER(P619),'자료_거시'!$A601,"")</f>
        <v/>
      </c>
      <c r="R619">
        <f>IF(ISNUMBER(Q619),IF(Q619&gt;$L$5,P619,""),"")</f>
        <v/>
      </c>
      <c r="S619">
        <f>IF(ISNUMBER('자료_거시'!$E601),'자료_거시'!$E601,S618)</f>
        <v/>
      </c>
      <c r="T619">
        <f>IF(AND(ISNUMBER('자료_거시'!$D601),ISNUMBER('자료_거시'!$E601)),IFERROR('자료_거시'!$E601-INDEX($S$21:$S$4020,MATCH(EDATE('자료_거시'!$D601,-'설정'!$B$17),'자료_거시'!$D$3:INDEX('자료_거시'!$D$3:$D$4002,$K$6),1)),""),"")</f>
        <v/>
      </c>
      <c r="U619">
        <f>IF(ISNUMBER(T619),'자료_거시'!$D601,"")</f>
        <v/>
      </c>
      <c r="V619">
        <f>IF(ISNUMBER(U619),IF(U619&gt;$L$6,T619,""),"")</f>
        <v/>
      </c>
      <c r="W619">
        <f>IF(AND(ISNUMBER('자료_거시'!$G601),ISNUMBER('자료_거시'!$H601)),'자료_거시'!$H601,"")</f>
        <v/>
      </c>
      <c r="X619">
        <f>IF(ISNUMBER(W619),'자료_거시'!$G601,"")</f>
        <v/>
      </c>
      <c r="Y619">
        <f>IF(ISNUMBER(X619),IF(X619&gt;$L$7,W619,""),"")</f>
        <v/>
      </c>
      <c r="Z619">
        <f>IF(ISNUMBER('자료_거시'!$K601),'자료_거시'!$K601,Z618)</f>
        <v/>
      </c>
      <c r="AA619">
        <f>IF(AND(ISNUMBER('자료_거시'!$J601),ISNUMBER('자료_거시'!$K601)),IFERROR('자료_거시'!$K601/INDEX($Z$21:$Z$4020,MATCH(EDATE('자료_거시'!$J601,-'설정'!$B$17),'자료_거시'!$J$3:INDEX('자료_거시'!$J$3:$J$4002,$K$8),1))-1,""),"")</f>
        <v/>
      </c>
      <c r="AB619">
        <f>IF(ISNUMBER(AA619),'자료_거시'!$J601,"")</f>
        <v/>
      </c>
      <c r="AC619">
        <f>IF(ISNUMBER(AB619),IF(AB619&gt;$L$8,AA619,""),"")</f>
        <v/>
      </c>
      <c r="AD619">
        <f>IF(AND(ISNUMBER('자료_거시'!$M601),ISNUMBER('자료_거시'!$N601)),1,0)</f>
        <v/>
      </c>
      <c r="AE619">
        <f>IF(AND(ISNUMBER('자료_거시'!$M601),ISNUMBER('자료_거시'!$N601)),IF(AND(SUMIFS($AD$21:$AD$620,'자료_거시'!$M$3:$M$602,"&gt;"&amp;EDATE('자료_거시'!$M601,-'설정'!$B$17),'자료_거시'!$M$3:$M$602,"&lt;="&amp;'자료_거시'!$M601)=3,SUMIFS($AD$21:$AD$620,'자료_거시'!$M$3:$M$602,"&gt;"&amp;EDATE('자료_거시'!$M601,-12-'설정'!$B$17),'자료_거시'!$M$3:$M$602,"&lt;="&amp;EDATE('자료_거시'!$M601,-12))=3),IFERROR(SUMIFS('자료_거시'!$N$3:$N$602,'자료_거시'!$M$3:$M$602,"&gt;"&amp;EDATE('자료_거시'!$M601,-'설정'!$B$17),'자료_거시'!$M$3:$M$602,"&lt;="&amp;'자료_거시'!$M601)/SUMIFS('자료_거시'!$N$3:$N$602,'자료_거시'!$M$3:$M$602,"&gt;"&amp;EDATE('자료_거시'!$M601,-12-'설정'!$B$17),'자료_거시'!$M$3:$M$602,"&lt;="&amp;EDATE('자료_거시'!$M601,-12))-1,""),""),"")</f>
        <v/>
      </c>
      <c r="AF619">
        <f>IF(ISNUMBER(AE619),'자료_거시'!$M601,"")</f>
        <v/>
      </c>
      <c r="AG619">
        <f>IF(ISNUMBER(AF619),IF(AF619&gt;$L$9,AE619,""),"")</f>
        <v/>
      </c>
    </row>
    <row r="620">
      <c r="P620">
        <f>IF(AND(ISNUMBER('자료_거시'!$A602),ISNUMBER('자료_거시'!$B602)),'자료_거시'!$B602,"")</f>
        <v/>
      </c>
      <c r="Q620">
        <f>IF(ISNUMBER(P620),'자료_거시'!$A602,"")</f>
        <v/>
      </c>
      <c r="R620">
        <f>IF(ISNUMBER(Q620),IF(Q620&gt;$L$5,P620,""),"")</f>
        <v/>
      </c>
      <c r="S620">
        <f>IF(ISNUMBER('자료_거시'!$E602),'자료_거시'!$E602,S619)</f>
        <v/>
      </c>
      <c r="T620">
        <f>IF(AND(ISNUMBER('자료_거시'!$D602),ISNUMBER('자료_거시'!$E602)),IFERROR('자료_거시'!$E602-INDEX($S$21:$S$4020,MATCH(EDATE('자료_거시'!$D602,-'설정'!$B$17),'자료_거시'!$D$3:INDEX('자료_거시'!$D$3:$D$4002,$K$6),1)),""),"")</f>
        <v/>
      </c>
      <c r="U620">
        <f>IF(ISNUMBER(T620),'자료_거시'!$D602,"")</f>
        <v/>
      </c>
      <c r="V620">
        <f>IF(ISNUMBER(U620),IF(U620&gt;$L$6,T620,""),"")</f>
        <v/>
      </c>
      <c r="W620">
        <f>IF(AND(ISNUMBER('자료_거시'!$G602),ISNUMBER('자료_거시'!$H602)),'자료_거시'!$H602,"")</f>
        <v/>
      </c>
      <c r="X620">
        <f>IF(ISNUMBER(W620),'자료_거시'!$G602,"")</f>
        <v/>
      </c>
      <c r="Y620">
        <f>IF(ISNUMBER(X620),IF(X620&gt;$L$7,W620,""),"")</f>
        <v/>
      </c>
      <c r="Z620">
        <f>IF(ISNUMBER('자료_거시'!$K602),'자료_거시'!$K602,Z619)</f>
        <v/>
      </c>
      <c r="AA620">
        <f>IF(AND(ISNUMBER('자료_거시'!$J602),ISNUMBER('자료_거시'!$K602)),IFERROR('자료_거시'!$K602/INDEX($Z$21:$Z$4020,MATCH(EDATE('자료_거시'!$J602,-'설정'!$B$17),'자료_거시'!$J$3:INDEX('자료_거시'!$J$3:$J$4002,$K$8),1))-1,""),"")</f>
        <v/>
      </c>
      <c r="AB620">
        <f>IF(ISNUMBER(AA620),'자료_거시'!$J602,"")</f>
        <v/>
      </c>
      <c r="AC620">
        <f>IF(ISNUMBER(AB620),IF(AB620&gt;$L$8,AA620,""),"")</f>
        <v/>
      </c>
      <c r="AD620">
        <f>IF(AND(ISNUMBER('자료_거시'!$M602),ISNUMBER('자료_거시'!$N602)),1,0)</f>
        <v/>
      </c>
      <c r="AE620">
        <f>IF(AND(ISNUMBER('자료_거시'!$M602),ISNUMBER('자료_거시'!$N602)),IF(AND(SUMIFS($AD$21:$AD$620,'자료_거시'!$M$3:$M$602,"&gt;"&amp;EDATE('자료_거시'!$M602,-'설정'!$B$17),'자료_거시'!$M$3:$M$602,"&lt;="&amp;'자료_거시'!$M602)=3,SUMIFS($AD$21:$AD$620,'자료_거시'!$M$3:$M$602,"&gt;"&amp;EDATE('자료_거시'!$M602,-12-'설정'!$B$17),'자료_거시'!$M$3:$M$602,"&lt;="&amp;EDATE('자료_거시'!$M602,-12))=3),IFERROR(SUMIFS('자료_거시'!$N$3:$N$602,'자료_거시'!$M$3:$M$602,"&gt;"&amp;EDATE('자료_거시'!$M602,-'설정'!$B$17),'자료_거시'!$M$3:$M$602,"&lt;="&amp;'자료_거시'!$M602)/SUMIFS('자료_거시'!$N$3:$N$602,'자료_거시'!$M$3:$M$602,"&gt;"&amp;EDATE('자료_거시'!$M602,-12-'설정'!$B$17),'자료_거시'!$M$3:$M$602,"&lt;="&amp;EDATE('자료_거시'!$M602,-12))-1,""),""),"")</f>
        <v/>
      </c>
      <c r="AF620">
        <f>IF(ISNUMBER(AE620),'자료_거시'!$M602,"")</f>
        <v/>
      </c>
      <c r="AG620">
        <f>IF(ISNUMBER(AF620),IF(AF620&gt;$L$9,AE620,""),"")</f>
        <v/>
      </c>
    </row>
    <row r="621">
      <c r="S621">
        <f>IF(ISNUMBER('자료_거시'!$E603),'자료_거시'!$E603,S620)</f>
        <v/>
      </c>
      <c r="T621">
        <f>IF(AND(ISNUMBER('자료_거시'!$D603),ISNUMBER('자료_거시'!$E603)),IFERROR('자료_거시'!$E603-INDEX($S$21:$S$4020,MATCH(EDATE('자료_거시'!$D603,-'설정'!$B$17),'자료_거시'!$D$3:INDEX('자료_거시'!$D$3:$D$4002,$K$6),1)),""),"")</f>
        <v/>
      </c>
      <c r="U621">
        <f>IF(ISNUMBER(T621),'자료_거시'!$D603,"")</f>
        <v/>
      </c>
      <c r="V621">
        <f>IF(ISNUMBER(U621),IF(U621&gt;$L$6,T621,""),"")</f>
        <v/>
      </c>
      <c r="W621">
        <f>IF(AND(ISNUMBER('자료_거시'!$G603),ISNUMBER('자료_거시'!$H603)),'자료_거시'!$H603,"")</f>
        <v/>
      </c>
      <c r="X621">
        <f>IF(ISNUMBER(W621),'자료_거시'!$G603,"")</f>
        <v/>
      </c>
      <c r="Y621">
        <f>IF(ISNUMBER(X621),IF(X621&gt;$L$7,W621,""),"")</f>
        <v/>
      </c>
      <c r="Z621">
        <f>IF(ISNUMBER('자료_거시'!$K603),'자료_거시'!$K603,Z620)</f>
        <v/>
      </c>
      <c r="AA621">
        <f>IF(AND(ISNUMBER('자료_거시'!$J603),ISNUMBER('자료_거시'!$K603)),IFERROR('자료_거시'!$K603/INDEX($Z$21:$Z$4020,MATCH(EDATE('자료_거시'!$J603,-'설정'!$B$17),'자료_거시'!$J$3:INDEX('자료_거시'!$J$3:$J$4002,$K$8),1))-1,""),"")</f>
        <v/>
      </c>
      <c r="AB621">
        <f>IF(ISNUMBER(AA621),'자료_거시'!$J603,"")</f>
        <v/>
      </c>
      <c r="AC621">
        <f>IF(ISNUMBER(AB621),IF(AB621&gt;$L$8,AA621,""),"")</f>
        <v/>
      </c>
    </row>
    <row r="622">
      <c r="S622">
        <f>IF(ISNUMBER('자료_거시'!$E604),'자료_거시'!$E604,S621)</f>
        <v/>
      </c>
      <c r="T622">
        <f>IF(AND(ISNUMBER('자료_거시'!$D604),ISNUMBER('자료_거시'!$E604)),IFERROR('자료_거시'!$E604-INDEX($S$21:$S$4020,MATCH(EDATE('자료_거시'!$D604,-'설정'!$B$17),'자료_거시'!$D$3:INDEX('자료_거시'!$D$3:$D$4002,$K$6),1)),""),"")</f>
        <v/>
      </c>
      <c r="U622">
        <f>IF(ISNUMBER(T622),'자료_거시'!$D604,"")</f>
        <v/>
      </c>
      <c r="V622">
        <f>IF(ISNUMBER(U622),IF(U622&gt;$L$6,T622,""),"")</f>
        <v/>
      </c>
      <c r="W622">
        <f>IF(AND(ISNUMBER('자료_거시'!$G604),ISNUMBER('자료_거시'!$H604)),'자료_거시'!$H604,"")</f>
        <v/>
      </c>
      <c r="X622">
        <f>IF(ISNUMBER(W622),'자료_거시'!$G604,"")</f>
        <v/>
      </c>
      <c r="Y622">
        <f>IF(ISNUMBER(X622),IF(X622&gt;$L$7,W622,""),"")</f>
        <v/>
      </c>
      <c r="Z622">
        <f>IF(ISNUMBER('자료_거시'!$K604),'자료_거시'!$K604,Z621)</f>
        <v/>
      </c>
      <c r="AA622">
        <f>IF(AND(ISNUMBER('자료_거시'!$J604),ISNUMBER('자료_거시'!$K604)),IFERROR('자료_거시'!$K604/INDEX($Z$21:$Z$4020,MATCH(EDATE('자료_거시'!$J604,-'설정'!$B$17),'자료_거시'!$J$3:INDEX('자료_거시'!$J$3:$J$4002,$K$8),1))-1,""),"")</f>
        <v/>
      </c>
      <c r="AB622">
        <f>IF(ISNUMBER(AA622),'자료_거시'!$J604,"")</f>
        <v/>
      </c>
      <c r="AC622">
        <f>IF(ISNUMBER(AB622),IF(AB622&gt;$L$8,AA622,""),"")</f>
        <v/>
      </c>
    </row>
    <row r="623">
      <c r="S623">
        <f>IF(ISNUMBER('자료_거시'!$E605),'자료_거시'!$E605,S622)</f>
        <v/>
      </c>
      <c r="T623">
        <f>IF(AND(ISNUMBER('자료_거시'!$D605),ISNUMBER('자료_거시'!$E605)),IFERROR('자료_거시'!$E605-INDEX($S$21:$S$4020,MATCH(EDATE('자료_거시'!$D605,-'설정'!$B$17),'자료_거시'!$D$3:INDEX('자료_거시'!$D$3:$D$4002,$K$6),1)),""),"")</f>
        <v/>
      </c>
      <c r="U623">
        <f>IF(ISNUMBER(T623),'자료_거시'!$D605,"")</f>
        <v/>
      </c>
      <c r="V623">
        <f>IF(ISNUMBER(U623),IF(U623&gt;$L$6,T623,""),"")</f>
        <v/>
      </c>
      <c r="W623">
        <f>IF(AND(ISNUMBER('자료_거시'!$G605),ISNUMBER('자료_거시'!$H605)),'자료_거시'!$H605,"")</f>
        <v/>
      </c>
      <c r="X623">
        <f>IF(ISNUMBER(W623),'자료_거시'!$G605,"")</f>
        <v/>
      </c>
      <c r="Y623">
        <f>IF(ISNUMBER(X623),IF(X623&gt;$L$7,W623,""),"")</f>
        <v/>
      </c>
      <c r="Z623">
        <f>IF(ISNUMBER('자료_거시'!$K605),'자료_거시'!$K605,Z622)</f>
        <v/>
      </c>
      <c r="AA623">
        <f>IF(AND(ISNUMBER('자료_거시'!$J605),ISNUMBER('자료_거시'!$K605)),IFERROR('자료_거시'!$K605/INDEX($Z$21:$Z$4020,MATCH(EDATE('자료_거시'!$J605,-'설정'!$B$17),'자료_거시'!$J$3:INDEX('자료_거시'!$J$3:$J$4002,$K$8),1))-1,""),"")</f>
        <v/>
      </c>
      <c r="AB623">
        <f>IF(ISNUMBER(AA623),'자료_거시'!$J605,"")</f>
        <v/>
      </c>
      <c r="AC623">
        <f>IF(ISNUMBER(AB623),IF(AB623&gt;$L$8,AA623,""),"")</f>
        <v/>
      </c>
    </row>
    <row r="624">
      <c r="S624">
        <f>IF(ISNUMBER('자료_거시'!$E606),'자료_거시'!$E606,S623)</f>
        <v/>
      </c>
      <c r="T624">
        <f>IF(AND(ISNUMBER('자료_거시'!$D606),ISNUMBER('자료_거시'!$E606)),IFERROR('자료_거시'!$E606-INDEX($S$21:$S$4020,MATCH(EDATE('자료_거시'!$D606,-'설정'!$B$17),'자료_거시'!$D$3:INDEX('자료_거시'!$D$3:$D$4002,$K$6),1)),""),"")</f>
        <v/>
      </c>
      <c r="U624">
        <f>IF(ISNUMBER(T624),'자료_거시'!$D606,"")</f>
        <v/>
      </c>
      <c r="V624">
        <f>IF(ISNUMBER(U624),IF(U624&gt;$L$6,T624,""),"")</f>
        <v/>
      </c>
      <c r="W624">
        <f>IF(AND(ISNUMBER('자료_거시'!$G606),ISNUMBER('자료_거시'!$H606)),'자료_거시'!$H606,"")</f>
        <v/>
      </c>
      <c r="X624">
        <f>IF(ISNUMBER(W624),'자료_거시'!$G606,"")</f>
        <v/>
      </c>
      <c r="Y624">
        <f>IF(ISNUMBER(X624),IF(X624&gt;$L$7,W624,""),"")</f>
        <v/>
      </c>
      <c r="Z624">
        <f>IF(ISNUMBER('자료_거시'!$K606),'자료_거시'!$K606,Z623)</f>
        <v/>
      </c>
      <c r="AA624">
        <f>IF(AND(ISNUMBER('자료_거시'!$J606),ISNUMBER('자료_거시'!$K606)),IFERROR('자료_거시'!$K606/INDEX($Z$21:$Z$4020,MATCH(EDATE('자료_거시'!$J606,-'설정'!$B$17),'자료_거시'!$J$3:INDEX('자료_거시'!$J$3:$J$4002,$K$8),1))-1,""),"")</f>
        <v/>
      </c>
      <c r="AB624">
        <f>IF(ISNUMBER(AA624),'자료_거시'!$J606,"")</f>
        <v/>
      </c>
      <c r="AC624">
        <f>IF(ISNUMBER(AB624),IF(AB624&gt;$L$8,AA624,""),"")</f>
        <v/>
      </c>
    </row>
    <row r="625">
      <c r="S625">
        <f>IF(ISNUMBER('자료_거시'!$E607),'자료_거시'!$E607,S624)</f>
        <v/>
      </c>
      <c r="T625">
        <f>IF(AND(ISNUMBER('자료_거시'!$D607),ISNUMBER('자료_거시'!$E607)),IFERROR('자료_거시'!$E607-INDEX($S$21:$S$4020,MATCH(EDATE('자료_거시'!$D607,-'설정'!$B$17),'자료_거시'!$D$3:INDEX('자료_거시'!$D$3:$D$4002,$K$6),1)),""),"")</f>
        <v/>
      </c>
      <c r="U625">
        <f>IF(ISNUMBER(T625),'자료_거시'!$D607,"")</f>
        <v/>
      </c>
      <c r="V625">
        <f>IF(ISNUMBER(U625),IF(U625&gt;$L$6,T625,""),"")</f>
        <v/>
      </c>
      <c r="W625">
        <f>IF(AND(ISNUMBER('자료_거시'!$G607),ISNUMBER('자료_거시'!$H607)),'자료_거시'!$H607,"")</f>
        <v/>
      </c>
      <c r="X625">
        <f>IF(ISNUMBER(W625),'자료_거시'!$G607,"")</f>
        <v/>
      </c>
      <c r="Y625">
        <f>IF(ISNUMBER(X625),IF(X625&gt;$L$7,W625,""),"")</f>
        <v/>
      </c>
      <c r="Z625">
        <f>IF(ISNUMBER('자료_거시'!$K607),'자료_거시'!$K607,Z624)</f>
        <v/>
      </c>
      <c r="AA625">
        <f>IF(AND(ISNUMBER('자료_거시'!$J607),ISNUMBER('자료_거시'!$K607)),IFERROR('자료_거시'!$K607/INDEX($Z$21:$Z$4020,MATCH(EDATE('자료_거시'!$J607,-'설정'!$B$17),'자료_거시'!$J$3:INDEX('자료_거시'!$J$3:$J$4002,$K$8),1))-1,""),"")</f>
        <v/>
      </c>
      <c r="AB625">
        <f>IF(ISNUMBER(AA625),'자료_거시'!$J607,"")</f>
        <v/>
      </c>
      <c r="AC625">
        <f>IF(ISNUMBER(AB625),IF(AB625&gt;$L$8,AA625,""),"")</f>
        <v/>
      </c>
    </row>
    <row r="626">
      <c r="S626">
        <f>IF(ISNUMBER('자료_거시'!$E608),'자료_거시'!$E608,S625)</f>
        <v/>
      </c>
      <c r="T626">
        <f>IF(AND(ISNUMBER('자료_거시'!$D608),ISNUMBER('자료_거시'!$E608)),IFERROR('자료_거시'!$E608-INDEX($S$21:$S$4020,MATCH(EDATE('자료_거시'!$D608,-'설정'!$B$17),'자료_거시'!$D$3:INDEX('자료_거시'!$D$3:$D$4002,$K$6),1)),""),"")</f>
        <v/>
      </c>
      <c r="U626">
        <f>IF(ISNUMBER(T626),'자료_거시'!$D608,"")</f>
        <v/>
      </c>
      <c r="V626">
        <f>IF(ISNUMBER(U626),IF(U626&gt;$L$6,T626,""),"")</f>
        <v/>
      </c>
      <c r="W626">
        <f>IF(AND(ISNUMBER('자료_거시'!$G608),ISNUMBER('자료_거시'!$H608)),'자료_거시'!$H608,"")</f>
        <v/>
      </c>
      <c r="X626">
        <f>IF(ISNUMBER(W626),'자료_거시'!$G608,"")</f>
        <v/>
      </c>
      <c r="Y626">
        <f>IF(ISNUMBER(X626),IF(X626&gt;$L$7,W626,""),"")</f>
        <v/>
      </c>
      <c r="Z626">
        <f>IF(ISNUMBER('자료_거시'!$K608),'자료_거시'!$K608,Z625)</f>
        <v/>
      </c>
      <c r="AA626">
        <f>IF(AND(ISNUMBER('자료_거시'!$J608),ISNUMBER('자료_거시'!$K608)),IFERROR('자료_거시'!$K608/INDEX($Z$21:$Z$4020,MATCH(EDATE('자료_거시'!$J608,-'설정'!$B$17),'자료_거시'!$J$3:INDEX('자료_거시'!$J$3:$J$4002,$K$8),1))-1,""),"")</f>
        <v/>
      </c>
      <c r="AB626">
        <f>IF(ISNUMBER(AA626),'자료_거시'!$J608,"")</f>
        <v/>
      </c>
      <c r="AC626">
        <f>IF(ISNUMBER(AB626),IF(AB626&gt;$L$8,AA626,""),"")</f>
        <v/>
      </c>
    </row>
    <row r="627">
      <c r="S627">
        <f>IF(ISNUMBER('자료_거시'!$E609),'자료_거시'!$E609,S626)</f>
        <v/>
      </c>
      <c r="T627">
        <f>IF(AND(ISNUMBER('자료_거시'!$D609),ISNUMBER('자료_거시'!$E609)),IFERROR('자료_거시'!$E609-INDEX($S$21:$S$4020,MATCH(EDATE('자료_거시'!$D609,-'설정'!$B$17),'자료_거시'!$D$3:INDEX('자료_거시'!$D$3:$D$4002,$K$6),1)),""),"")</f>
        <v/>
      </c>
      <c r="U627">
        <f>IF(ISNUMBER(T627),'자료_거시'!$D609,"")</f>
        <v/>
      </c>
      <c r="V627">
        <f>IF(ISNUMBER(U627),IF(U627&gt;$L$6,T627,""),"")</f>
        <v/>
      </c>
      <c r="W627">
        <f>IF(AND(ISNUMBER('자료_거시'!$G609),ISNUMBER('자료_거시'!$H609)),'자료_거시'!$H609,"")</f>
        <v/>
      </c>
      <c r="X627">
        <f>IF(ISNUMBER(W627),'자료_거시'!$G609,"")</f>
        <v/>
      </c>
      <c r="Y627">
        <f>IF(ISNUMBER(X627),IF(X627&gt;$L$7,W627,""),"")</f>
        <v/>
      </c>
      <c r="Z627">
        <f>IF(ISNUMBER('자료_거시'!$K609),'자료_거시'!$K609,Z626)</f>
        <v/>
      </c>
      <c r="AA627">
        <f>IF(AND(ISNUMBER('자료_거시'!$J609),ISNUMBER('자료_거시'!$K609)),IFERROR('자료_거시'!$K609/INDEX($Z$21:$Z$4020,MATCH(EDATE('자료_거시'!$J609,-'설정'!$B$17),'자료_거시'!$J$3:INDEX('자료_거시'!$J$3:$J$4002,$K$8),1))-1,""),"")</f>
        <v/>
      </c>
      <c r="AB627">
        <f>IF(ISNUMBER(AA627),'자료_거시'!$J609,"")</f>
        <v/>
      </c>
      <c r="AC627">
        <f>IF(ISNUMBER(AB627),IF(AB627&gt;$L$8,AA627,""),"")</f>
        <v/>
      </c>
    </row>
    <row r="628">
      <c r="S628">
        <f>IF(ISNUMBER('자료_거시'!$E610),'자료_거시'!$E610,S627)</f>
        <v/>
      </c>
      <c r="T628">
        <f>IF(AND(ISNUMBER('자료_거시'!$D610),ISNUMBER('자료_거시'!$E610)),IFERROR('자료_거시'!$E610-INDEX($S$21:$S$4020,MATCH(EDATE('자료_거시'!$D610,-'설정'!$B$17),'자료_거시'!$D$3:INDEX('자료_거시'!$D$3:$D$4002,$K$6),1)),""),"")</f>
        <v/>
      </c>
      <c r="U628">
        <f>IF(ISNUMBER(T628),'자료_거시'!$D610,"")</f>
        <v/>
      </c>
      <c r="V628">
        <f>IF(ISNUMBER(U628),IF(U628&gt;$L$6,T628,""),"")</f>
        <v/>
      </c>
      <c r="W628">
        <f>IF(AND(ISNUMBER('자료_거시'!$G610),ISNUMBER('자료_거시'!$H610)),'자료_거시'!$H610,"")</f>
        <v/>
      </c>
      <c r="X628">
        <f>IF(ISNUMBER(W628),'자료_거시'!$G610,"")</f>
        <v/>
      </c>
      <c r="Y628">
        <f>IF(ISNUMBER(X628),IF(X628&gt;$L$7,W628,""),"")</f>
        <v/>
      </c>
      <c r="Z628">
        <f>IF(ISNUMBER('자료_거시'!$K610),'자료_거시'!$K610,Z627)</f>
        <v/>
      </c>
      <c r="AA628">
        <f>IF(AND(ISNUMBER('자료_거시'!$J610),ISNUMBER('자료_거시'!$K610)),IFERROR('자료_거시'!$K610/INDEX($Z$21:$Z$4020,MATCH(EDATE('자료_거시'!$J610,-'설정'!$B$17),'자료_거시'!$J$3:INDEX('자료_거시'!$J$3:$J$4002,$K$8),1))-1,""),"")</f>
        <v/>
      </c>
      <c r="AB628">
        <f>IF(ISNUMBER(AA628),'자료_거시'!$J610,"")</f>
        <v/>
      </c>
      <c r="AC628">
        <f>IF(ISNUMBER(AB628),IF(AB628&gt;$L$8,AA628,""),"")</f>
        <v/>
      </c>
    </row>
    <row r="629">
      <c r="S629">
        <f>IF(ISNUMBER('자료_거시'!$E611),'자료_거시'!$E611,S628)</f>
        <v/>
      </c>
      <c r="T629">
        <f>IF(AND(ISNUMBER('자료_거시'!$D611),ISNUMBER('자료_거시'!$E611)),IFERROR('자료_거시'!$E611-INDEX($S$21:$S$4020,MATCH(EDATE('자료_거시'!$D611,-'설정'!$B$17),'자료_거시'!$D$3:INDEX('자료_거시'!$D$3:$D$4002,$K$6),1)),""),"")</f>
        <v/>
      </c>
      <c r="U629">
        <f>IF(ISNUMBER(T629),'자료_거시'!$D611,"")</f>
        <v/>
      </c>
      <c r="V629">
        <f>IF(ISNUMBER(U629),IF(U629&gt;$L$6,T629,""),"")</f>
        <v/>
      </c>
      <c r="W629">
        <f>IF(AND(ISNUMBER('자료_거시'!$G611),ISNUMBER('자료_거시'!$H611)),'자료_거시'!$H611,"")</f>
        <v/>
      </c>
      <c r="X629">
        <f>IF(ISNUMBER(W629),'자료_거시'!$G611,"")</f>
        <v/>
      </c>
      <c r="Y629">
        <f>IF(ISNUMBER(X629),IF(X629&gt;$L$7,W629,""),"")</f>
        <v/>
      </c>
      <c r="Z629">
        <f>IF(ISNUMBER('자료_거시'!$K611),'자료_거시'!$K611,Z628)</f>
        <v/>
      </c>
      <c r="AA629">
        <f>IF(AND(ISNUMBER('자료_거시'!$J611),ISNUMBER('자료_거시'!$K611)),IFERROR('자료_거시'!$K611/INDEX($Z$21:$Z$4020,MATCH(EDATE('자료_거시'!$J611,-'설정'!$B$17),'자료_거시'!$J$3:INDEX('자료_거시'!$J$3:$J$4002,$K$8),1))-1,""),"")</f>
        <v/>
      </c>
      <c r="AB629">
        <f>IF(ISNUMBER(AA629),'자료_거시'!$J611,"")</f>
        <v/>
      </c>
      <c r="AC629">
        <f>IF(ISNUMBER(AB629),IF(AB629&gt;$L$8,AA629,""),"")</f>
        <v/>
      </c>
    </row>
    <row r="630">
      <c r="S630">
        <f>IF(ISNUMBER('자료_거시'!$E612),'자료_거시'!$E612,S629)</f>
        <v/>
      </c>
      <c r="T630">
        <f>IF(AND(ISNUMBER('자료_거시'!$D612),ISNUMBER('자료_거시'!$E612)),IFERROR('자료_거시'!$E612-INDEX($S$21:$S$4020,MATCH(EDATE('자료_거시'!$D612,-'설정'!$B$17),'자료_거시'!$D$3:INDEX('자료_거시'!$D$3:$D$4002,$K$6),1)),""),"")</f>
        <v/>
      </c>
      <c r="U630">
        <f>IF(ISNUMBER(T630),'자료_거시'!$D612,"")</f>
        <v/>
      </c>
      <c r="V630">
        <f>IF(ISNUMBER(U630),IF(U630&gt;$L$6,T630,""),"")</f>
        <v/>
      </c>
      <c r="W630">
        <f>IF(AND(ISNUMBER('자료_거시'!$G612),ISNUMBER('자료_거시'!$H612)),'자료_거시'!$H612,"")</f>
        <v/>
      </c>
      <c r="X630">
        <f>IF(ISNUMBER(W630),'자료_거시'!$G612,"")</f>
        <v/>
      </c>
      <c r="Y630">
        <f>IF(ISNUMBER(X630),IF(X630&gt;$L$7,W630,""),"")</f>
        <v/>
      </c>
      <c r="Z630">
        <f>IF(ISNUMBER('자료_거시'!$K612),'자료_거시'!$K612,Z629)</f>
        <v/>
      </c>
      <c r="AA630">
        <f>IF(AND(ISNUMBER('자료_거시'!$J612),ISNUMBER('자료_거시'!$K612)),IFERROR('자료_거시'!$K612/INDEX($Z$21:$Z$4020,MATCH(EDATE('자료_거시'!$J612,-'설정'!$B$17),'자료_거시'!$J$3:INDEX('자료_거시'!$J$3:$J$4002,$K$8),1))-1,""),"")</f>
        <v/>
      </c>
      <c r="AB630">
        <f>IF(ISNUMBER(AA630),'자료_거시'!$J612,"")</f>
        <v/>
      </c>
      <c r="AC630">
        <f>IF(ISNUMBER(AB630),IF(AB630&gt;$L$8,AA630,""),"")</f>
        <v/>
      </c>
    </row>
    <row r="631">
      <c r="S631">
        <f>IF(ISNUMBER('자료_거시'!$E613),'자료_거시'!$E613,S630)</f>
        <v/>
      </c>
      <c r="T631">
        <f>IF(AND(ISNUMBER('자료_거시'!$D613),ISNUMBER('자료_거시'!$E613)),IFERROR('자료_거시'!$E613-INDEX($S$21:$S$4020,MATCH(EDATE('자료_거시'!$D613,-'설정'!$B$17),'자료_거시'!$D$3:INDEX('자료_거시'!$D$3:$D$4002,$K$6),1)),""),"")</f>
        <v/>
      </c>
      <c r="U631">
        <f>IF(ISNUMBER(T631),'자료_거시'!$D613,"")</f>
        <v/>
      </c>
      <c r="V631">
        <f>IF(ISNUMBER(U631),IF(U631&gt;$L$6,T631,""),"")</f>
        <v/>
      </c>
      <c r="W631">
        <f>IF(AND(ISNUMBER('자료_거시'!$G613),ISNUMBER('자료_거시'!$H613)),'자료_거시'!$H613,"")</f>
        <v/>
      </c>
      <c r="X631">
        <f>IF(ISNUMBER(W631),'자료_거시'!$G613,"")</f>
        <v/>
      </c>
      <c r="Y631">
        <f>IF(ISNUMBER(X631),IF(X631&gt;$L$7,W631,""),"")</f>
        <v/>
      </c>
      <c r="Z631">
        <f>IF(ISNUMBER('자료_거시'!$K613),'자료_거시'!$K613,Z630)</f>
        <v/>
      </c>
      <c r="AA631">
        <f>IF(AND(ISNUMBER('자료_거시'!$J613),ISNUMBER('자료_거시'!$K613)),IFERROR('자료_거시'!$K613/INDEX($Z$21:$Z$4020,MATCH(EDATE('자료_거시'!$J613,-'설정'!$B$17),'자료_거시'!$J$3:INDEX('자료_거시'!$J$3:$J$4002,$K$8),1))-1,""),"")</f>
        <v/>
      </c>
      <c r="AB631">
        <f>IF(ISNUMBER(AA631),'자료_거시'!$J613,"")</f>
        <v/>
      </c>
      <c r="AC631">
        <f>IF(ISNUMBER(AB631),IF(AB631&gt;$L$8,AA631,""),"")</f>
        <v/>
      </c>
    </row>
    <row r="632">
      <c r="S632">
        <f>IF(ISNUMBER('자료_거시'!$E614),'자료_거시'!$E614,S631)</f>
        <v/>
      </c>
      <c r="T632">
        <f>IF(AND(ISNUMBER('자료_거시'!$D614),ISNUMBER('자료_거시'!$E614)),IFERROR('자료_거시'!$E614-INDEX($S$21:$S$4020,MATCH(EDATE('자료_거시'!$D614,-'설정'!$B$17),'자료_거시'!$D$3:INDEX('자료_거시'!$D$3:$D$4002,$K$6),1)),""),"")</f>
        <v/>
      </c>
      <c r="U632">
        <f>IF(ISNUMBER(T632),'자료_거시'!$D614,"")</f>
        <v/>
      </c>
      <c r="V632">
        <f>IF(ISNUMBER(U632),IF(U632&gt;$L$6,T632,""),"")</f>
        <v/>
      </c>
      <c r="W632">
        <f>IF(AND(ISNUMBER('자료_거시'!$G614),ISNUMBER('자료_거시'!$H614)),'자료_거시'!$H614,"")</f>
        <v/>
      </c>
      <c r="X632">
        <f>IF(ISNUMBER(W632),'자료_거시'!$G614,"")</f>
        <v/>
      </c>
      <c r="Y632">
        <f>IF(ISNUMBER(X632),IF(X632&gt;$L$7,W632,""),"")</f>
        <v/>
      </c>
      <c r="Z632">
        <f>IF(ISNUMBER('자료_거시'!$K614),'자료_거시'!$K614,Z631)</f>
        <v/>
      </c>
      <c r="AA632">
        <f>IF(AND(ISNUMBER('자료_거시'!$J614),ISNUMBER('자료_거시'!$K614)),IFERROR('자료_거시'!$K614/INDEX($Z$21:$Z$4020,MATCH(EDATE('자료_거시'!$J614,-'설정'!$B$17),'자료_거시'!$J$3:INDEX('자료_거시'!$J$3:$J$4002,$K$8),1))-1,""),"")</f>
        <v/>
      </c>
      <c r="AB632">
        <f>IF(ISNUMBER(AA632),'자료_거시'!$J614,"")</f>
        <v/>
      </c>
      <c r="AC632">
        <f>IF(ISNUMBER(AB632),IF(AB632&gt;$L$8,AA632,""),"")</f>
        <v/>
      </c>
    </row>
    <row r="633">
      <c r="S633">
        <f>IF(ISNUMBER('자료_거시'!$E615),'자료_거시'!$E615,S632)</f>
        <v/>
      </c>
      <c r="T633">
        <f>IF(AND(ISNUMBER('자료_거시'!$D615),ISNUMBER('자료_거시'!$E615)),IFERROR('자료_거시'!$E615-INDEX($S$21:$S$4020,MATCH(EDATE('자료_거시'!$D615,-'설정'!$B$17),'자료_거시'!$D$3:INDEX('자료_거시'!$D$3:$D$4002,$K$6),1)),""),"")</f>
        <v/>
      </c>
      <c r="U633">
        <f>IF(ISNUMBER(T633),'자료_거시'!$D615,"")</f>
        <v/>
      </c>
      <c r="V633">
        <f>IF(ISNUMBER(U633),IF(U633&gt;$L$6,T633,""),"")</f>
        <v/>
      </c>
      <c r="W633">
        <f>IF(AND(ISNUMBER('자료_거시'!$G615),ISNUMBER('자료_거시'!$H615)),'자료_거시'!$H615,"")</f>
        <v/>
      </c>
      <c r="X633">
        <f>IF(ISNUMBER(W633),'자료_거시'!$G615,"")</f>
        <v/>
      </c>
      <c r="Y633">
        <f>IF(ISNUMBER(X633),IF(X633&gt;$L$7,W633,""),"")</f>
        <v/>
      </c>
      <c r="Z633">
        <f>IF(ISNUMBER('자료_거시'!$K615),'자료_거시'!$K615,Z632)</f>
        <v/>
      </c>
      <c r="AA633">
        <f>IF(AND(ISNUMBER('자료_거시'!$J615),ISNUMBER('자료_거시'!$K615)),IFERROR('자료_거시'!$K615/INDEX($Z$21:$Z$4020,MATCH(EDATE('자료_거시'!$J615,-'설정'!$B$17),'자료_거시'!$J$3:INDEX('자료_거시'!$J$3:$J$4002,$K$8),1))-1,""),"")</f>
        <v/>
      </c>
      <c r="AB633">
        <f>IF(ISNUMBER(AA633),'자료_거시'!$J615,"")</f>
        <v/>
      </c>
      <c r="AC633">
        <f>IF(ISNUMBER(AB633),IF(AB633&gt;$L$8,AA633,""),"")</f>
        <v/>
      </c>
    </row>
    <row r="634">
      <c r="S634">
        <f>IF(ISNUMBER('자료_거시'!$E616),'자료_거시'!$E616,S633)</f>
        <v/>
      </c>
      <c r="T634">
        <f>IF(AND(ISNUMBER('자료_거시'!$D616),ISNUMBER('자료_거시'!$E616)),IFERROR('자료_거시'!$E616-INDEX($S$21:$S$4020,MATCH(EDATE('자료_거시'!$D616,-'설정'!$B$17),'자료_거시'!$D$3:INDEX('자료_거시'!$D$3:$D$4002,$K$6),1)),""),"")</f>
        <v/>
      </c>
      <c r="U634">
        <f>IF(ISNUMBER(T634),'자료_거시'!$D616,"")</f>
        <v/>
      </c>
      <c r="V634">
        <f>IF(ISNUMBER(U634),IF(U634&gt;$L$6,T634,""),"")</f>
        <v/>
      </c>
      <c r="W634">
        <f>IF(AND(ISNUMBER('자료_거시'!$G616),ISNUMBER('자료_거시'!$H616)),'자료_거시'!$H616,"")</f>
        <v/>
      </c>
      <c r="X634">
        <f>IF(ISNUMBER(W634),'자료_거시'!$G616,"")</f>
        <v/>
      </c>
      <c r="Y634">
        <f>IF(ISNUMBER(X634),IF(X634&gt;$L$7,W634,""),"")</f>
        <v/>
      </c>
      <c r="Z634">
        <f>IF(ISNUMBER('자료_거시'!$K616),'자료_거시'!$K616,Z633)</f>
        <v/>
      </c>
      <c r="AA634">
        <f>IF(AND(ISNUMBER('자료_거시'!$J616),ISNUMBER('자료_거시'!$K616)),IFERROR('자료_거시'!$K616/INDEX($Z$21:$Z$4020,MATCH(EDATE('자료_거시'!$J616,-'설정'!$B$17),'자료_거시'!$J$3:INDEX('자료_거시'!$J$3:$J$4002,$K$8),1))-1,""),"")</f>
        <v/>
      </c>
      <c r="AB634">
        <f>IF(ISNUMBER(AA634),'자료_거시'!$J616,"")</f>
        <v/>
      </c>
      <c r="AC634">
        <f>IF(ISNUMBER(AB634),IF(AB634&gt;$L$8,AA634,""),"")</f>
        <v/>
      </c>
    </row>
    <row r="635">
      <c r="S635">
        <f>IF(ISNUMBER('자료_거시'!$E617),'자료_거시'!$E617,S634)</f>
        <v/>
      </c>
      <c r="T635">
        <f>IF(AND(ISNUMBER('자료_거시'!$D617),ISNUMBER('자료_거시'!$E617)),IFERROR('자료_거시'!$E617-INDEX($S$21:$S$4020,MATCH(EDATE('자료_거시'!$D617,-'설정'!$B$17),'자료_거시'!$D$3:INDEX('자료_거시'!$D$3:$D$4002,$K$6),1)),""),"")</f>
        <v/>
      </c>
      <c r="U635">
        <f>IF(ISNUMBER(T635),'자료_거시'!$D617,"")</f>
        <v/>
      </c>
      <c r="V635">
        <f>IF(ISNUMBER(U635),IF(U635&gt;$L$6,T635,""),"")</f>
        <v/>
      </c>
      <c r="W635">
        <f>IF(AND(ISNUMBER('자료_거시'!$G617),ISNUMBER('자료_거시'!$H617)),'자료_거시'!$H617,"")</f>
        <v/>
      </c>
      <c r="X635">
        <f>IF(ISNUMBER(W635),'자료_거시'!$G617,"")</f>
        <v/>
      </c>
      <c r="Y635">
        <f>IF(ISNUMBER(X635),IF(X635&gt;$L$7,W635,""),"")</f>
        <v/>
      </c>
      <c r="Z635">
        <f>IF(ISNUMBER('자료_거시'!$K617),'자료_거시'!$K617,Z634)</f>
        <v/>
      </c>
      <c r="AA635">
        <f>IF(AND(ISNUMBER('자료_거시'!$J617),ISNUMBER('자료_거시'!$K617)),IFERROR('자료_거시'!$K617/INDEX($Z$21:$Z$4020,MATCH(EDATE('자료_거시'!$J617,-'설정'!$B$17),'자료_거시'!$J$3:INDEX('자료_거시'!$J$3:$J$4002,$K$8),1))-1,""),"")</f>
        <v/>
      </c>
      <c r="AB635">
        <f>IF(ISNUMBER(AA635),'자료_거시'!$J617,"")</f>
        <v/>
      </c>
      <c r="AC635">
        <f>IF(ISNUMBER(AB635),IF(AB635&gt;$L$8,AA635,""),"")</f>
        <v/>
      </c>
    </row>
    <row r="636">
      <c r="S636">
        <f>IF(ISNUMBER('자료_거시'!$E618),'자료_거시'!$E618,S635)</f>
        <v/>
      </c>
      <c r="T636">
        <f>IF(AND(ISNUMBER('자료_거시'!$D618),ISNUMBER('자료_거시'!$E618)),IFERROR('자료_거시'!$E618-INDEX($S$21:$S$4020,MATCH(EDATE('자료_거시'!$D618,-'설정'!$B$17),'자료_거시'!$D$3:INDEX('자료_거시'!$D$3:$D$4002,$K$6),1)),""),"")</f>
        <v/>
      </c>
      <c r="U636">
        <f>IF(ISNUMBER(T636),'자료_거시'!$D618,"")</f>
        <v/>
      </c>
      <c r="V636">
        <f>IF(ISNUMBER(U636),IF(U636&gt;$L$6,T636,""),"")</f>
        <v/>
      </c>
      <c r="W636">
        <f>IF(AND(ISNUMBER('자료_거시'!$G618),ISNUMBER('자료_거시'!$H618)),'자료_거시'!$H618,"")</f>
        <v/>
      </c>
      <c r="X636">
        <f>IF(ISNUMBER(W636),'자료_거시'!$G618,"")</f>
        <v/>
      </c>
      <c r="Y636">
        <f>IF(ISNUMBER(X636),IF(X636&gt;$L$7,W636,""),"")</f>
        <v/>
      </c>
      <c r="Z636">
        <f>IF(ISNUMBER('자료_거시'!$K618),'자료_거시'!$K618,Z635)</f>
        <v/>
      </c>
      <c r="AA636">
        <f>IF(AND(ISNUMBER('자료_거시'!$J618),ISNUMBER('자료_거시'!$K618)),IFERROR('자료_거시'!$K618/INDEX($Z$21:$Z$4020,MATCH(EDATE('자료_거시'!$J618,-'설정'!$B$17),'자료_거시'!$J$3:INDEX('자료_거시'!$J$3:$J$4002,$K$8),1))-1,""),"")</f>
        <v/>
      </c>
      <c r="AB636">
        <f>IF(ISNUMBER(AA636),'자료_거시'!$J618,"")</f>
        <v/>
      </c>
      <c r="AC636">
        <f>IF(ISNUMBER(AB636),IF(AB636&gt;$L$8,AA636,""),"")</f>
        <v/>
      </c>
    </row>
    <row r="637">
      <c r="S637">
        <f>IF(ISNUMBER('자료_거시'!$E619),'자료_거시'!$E619,S636)</f>
        <v/>
      </c>
      <c r="T637">
        <f>IF(AND(ISNUMBER('자료_거시'!$D619),ISNUMBER('자료_거시'!$E619)),IFERROR('자료_거시'!$E619-INDEX($S$21:$S$4020,MATCH(EDATE('자료_거시'!$D619,-'설정'!$B$17),'자료_거시'!$D$3:INDEX('자료_거시'!$D$3:$D$4002,$K$6),1)),""),"")</f>
        <v/>
      </c>
      <c r="U637">
        <f>IF(ISNUMBER(T637),'자료_거시'!$D619,"")</f>
        <v/>
      </c>
      <c r="V637">
        <f>IF(ISNUMBER(U637),IF(U637&gt;$L$6,T637,""),"")</f>
        <v/>
      </c>
      <c r="W637">
        <f>IF(AND(ISNUMBER('자료_거시'!$G619),ISNUMBER('자료_거시'!$H619)),'자료_거시'!$H619,"")</f>
        <v/>
      </c>
      <c r="X637">
        <f>IF(ISNUMBER(W637),'자료_거시'!$G619,"")</f>
        <v/>
      </c>
      <c r="Y637">
        <f>IF(ISNUMBER(X637),IF(X637&gt;$L$7,W637,""),"")</f>
        <v/>
      </c>
      <c r="Z637">
        <f>IF(ISNUMBER('자료_거시'!$K619),'자료_거시'!$K619,Z636)</f>
        <v/>
      </c>
      <c r="AA637">
        <f>IF(AND(ISNUMBER('자료_거시'!$J619),ISNUMBER('자료_거시'!$K619)),IFERROR('자료_거시'!$K619/INDEX($Z$21:$Z$4020,MATCH(EDATE('자료_거시'!$J619,-'설정'!$B$17),'자료_거시'!$J$3:INDEX('자료_거시'!$J$3:$J$4002,$K$8),1))-1,""),"")</f>
        <v/>
      </c>
      <c r="AB637">
        <f>IF(ISNUMBER(AA637),'자료_거시'!$J619,"")</f>
        <v/>
      </c>
      <c r="AC637">
        <f>IF(ISNUMBER(AB637),IF(AB637&gt;$L$8,AA637,""),"")</f>
        <v/>
      </c>
    </row>
    <row r="638">
      <c r="S638">
        <f>IF(ISNUMBER('자료_거시'!$E620),'자료_거시'!$E620,S637)</f>
        <v/>
      </c>
      <c r="T638">
        <f>IF(AND(ISNUMBER('자료_거시'!$D620),ISNUMBER('자료_거시'!$E620)),IFERROR('자료_거시'!$E620-INDEX($S$21:$S$4020,MATCH(EDATE('자료_거시'!$D620,-'설정'!$B$17),'자료_거시'!$D$3:INDEX('자료_거시'!$D$3:$D$4002,$K$6),1)),""),"")</f>
        <v/>
      </c>
      <c r="U638">
        <f>IF(ISNUMBER(T638),'자료_거시'!$D620,"")</f>
        <v/>
      </c>
      <c r="V638">
        <f>IF(ISNUMBER(U638),IF(U638&gt;$L$6,T638,""),"")</f>
        <v/>
      </c>
      <c r="W638">
        <f>IF(AND(ISNUMBER('자료_거시'!$G620),ISNUMBER('자료_거시'!$H620)),'자료_거시'!$H620,"")</f>
        <v/>
      </c>
      <c r="X638">
        <f>IF(ISNUMBER(W638),'자료_거시'!$G620,"")</f>
        <v/>
      </c>
      <c r="Y638">
        <f>IF(ISNUMBER(X638),IF(X638&gt;$L$7,W638,""),"")</f>
        <v/>
      </c>
      <c r="Z638">
        <f>IF(ISNUMBER('자료_거시'!$K620),'자료_거시'!$K620,Z637)</f>
        <v/>
      </c>
      <c r="AA638">
        <f>IF(AND(ISNUMBER('자료_거시'!$J620),ISNUMBER('자료_거시'!$K620)),IFERROR('자료_거시'!$K620/INDEX($Z$21:$Z$4020,MATCH(EDATE('자료_거시'!$J620,-'설정'!$B$17),'자료_거시'!$J$3:INDEX('자료_거시'!$J$3:$J$4002,$K$8),1))-1,""),"")</f>
        <v/>
      </c>
      <c r="AB638">
        <f>IF(ISNUMBER(AA638),'자료_거시'!$J620,"")</f>
        <v/>
      </c>
      <c r="AC638">
        <f>IF(ISNUMBER(AB638),IF(AB638&gt;$L$8,AA638,""),"")</f>
        <v/>
      </c>
    </row>
    <row r="639">
      <c r="S639">
        <f>IF(ISNUMBER('자료_거시'!$E621),'자료_거시'!$E621,S638)</f>
        <v/>
      </c>
      <c r="T639">
        <f>IF(AND(ISNUMBER('자료_거시'!$D621),ISNUMBER('자료_거시'!$E621)),IFERROR('자료_거시'!$E621-INDEX($S$21:$S$4020,MATCH(EDATE('자료_거시'!$D621,-'설정'!$B$17),'자료_거시'!$D$3:INDEX('자료_거시'!$D$3:$D$4002,$K$6),1)),""),"")</f>
        <v/>
      </c>
      <c r="U639">
        <f>IF(ISNUMBER(T639),'자료_거시'!$D621,"")</f>
        <v/>
      </c>
      <c r="V639">
        <f>IF(ISNUMBER(U639),IF(U639&gt;$L$6,T639,""),"")</f>
        <v/>
      </c>
      <c r="W639">
        <f>IF(AND(ISNUMBER('자료_거시'!$G621),ISNUMBER('자료_거시'!$H621)),'자료_거시'!$H621,"")</f>
        <v/>
      </c>
      <c r="X639">
        <f>IF(ISNUMBER(W639),'자료_거시'!$G621,"")</f>
        <v/>
      </c>
      <c r="Y639">
        <f>IF(ISNUMBER(X639),IF(X639&gt;$L$7,W639,""),"")</f>
        <v/>
      </c>
      <c r="Z639">
        <f>IF(ISNUMBER('자료_거시'!$K621),'자료_거시'!$K621,Z638)</f>
        <v/>
      </c>
      <c r="AA639">
        <f>IF(AND(ISNUMBER('자료_거시'!$J621),ISNUMBER('자료_거시'!$K621)),IFERROR('자료_거시'!$K621/INDEX($Z$21:$Z$4020,MATCH(EDATE('자료_거시'!$J621,-'설정'!$B$17),'자료_거시'!$J$3:INDEX('자료_거시'!$J$3:$J$4002,$K$8),1))-1,""),"")</f>
        <v/>
      </c>
      <c r="AB639">
        <f>IF(ISNUMBER(AA639),'자료_거시'!$J621,"")</f>
        <v/>
      </c>
      <c r="AC639">
        <f>IF(ISNUMBER(AB639),IF(AB639&gt;$L$8,AA639,""),"")</f>
        <v/>
      </c>
    </row>
    <row r="640">
      <c r="S640">
        <f>IF(ISNUMBER('자료_거시'!$E622),'자료_거시'!$E622,S639)</f>
        <v/>
      </c>
      <c r="T640">
        <f>IF(AND(ISNUMBER('자료_거시'!$D622),ISNUMBER('자료_거시'!$E622)),IFERROR('자료_거시'!$E622-INDEX($S$21:$S$4020,MATCH(EDATE('자료_거시'!$D622,-'설정'!$B$17),'자료_거시'!$D$3:INDEX('자료_거시'!$D$3:$D$4002,$K$6),1)),""),"")</f>
        <v/>
      </c>
      <c r="U640">
        <f>IF(ISNUMBER(T640),'자료_거시'!$D622,"")</f>
        <v/>
      </c>
      <c r="V640">
        <f>IF(ISNUMBER(U640),IF(U640&gt;$L$6,T640,""),"")</f>
        <v/>
      </c>
      <c r="W640">
        <f>IF(AND(ISNUMBER('자료_거시'!$G622),ISNUMBER('자료_거시'!$H622)),'자료_거시'!$H622,"")</f>
        <v/>
      </c>
      <c r="X640">
        <f>IF(ISNUMBER(W640),'자료_거시'!$G622,"")</f>
        <v/>
      </c>
      <c r="Y640">
        <f>IF(ISNUMBER(X640),IF(X640&gt;$L$7,W640,""),"")</f>
        <v/>
      </c>
      <c r="Z640">
        <f>IF(ISNUMBER('자료_거시'!$K622),'자료_거시'!$K622,Z639)</f>
        <v/>
      </c>
      <c r="AA640">
        <f>IF(AND(ISNUMBER('자료_거시'!$J622),ISNUMBER('자료_거시'!$K622)),IFERROR('자료_거시'!$K622/INDEX($Z$21:$Z$4020,MATCH(EDATE('자료_거시'!$J622,-'설정'!$B$17),'자료_거시'!$J$3:INDEX('자료_거시'!$J$3:$J$4002,$K$8),1))-1,""),"")</f>
        <v/>
      </c>
      <c r="AB640">
        <f>IF(ISNUMBER(AA640),'자료_거시'!$J622,"")</f>
        <v/>
      </c>
      <c r="AC640">
        <f>IF(ISNUMBER(AB640),IF(AB640&gt;$L$8,AA640,""),"")</f>
        <v/>
      </c>
    </row>
    <row r="641">
      <c r="S641">
        <f>IF(ISNUMBER('자료_거시'!$E623),'자료_거시'!$E623,S640)</f>
        <v/>
      </c>
      <c r="T641">
        <f>IF(AND(ISNUMBER('자료_거시'!$D623),ISNUMBER('자료_거시'!$E623)),IFERROR('자료_거시'!$E623-INDEX($S$21:$S$4020,MATCH(EDATE('자료_거시'!$D623,-'설정'!$B$17),'자료_거시'!$D$3:INDEX('자료_거시'!$D$3:$D$4002,$K$6),1)),""),"")</f>
        <v/>
      </c>
      <c r="U641">
        <f>IF(ISNUMBER(T641),'자료_거시'!$D623,"")</f>
        <v/>
      </c>
      <c r="V641">
        <f>IF(ISNUMBER(U641),IF(U641&gt;$L$6,T641,""),"")</f>
        <v/>
      </c>
      <c r="W641">
        <f>IF(AND(ISNUMBER('자료_거시'!$G623),ISNUMBER('자료_거시'!$H623)),'자료_거시'!$H623,"")</f>
        <v/>
      </c>
      <c r="X641">
        <f>IF(ISNUMBER(W641),'자료_거시'!$G623,"")</f>
        <v/>
      </c>
      <c r="Y641">
        <f>IF(ISNUMBER(X641),IF(X641&gt;$L$7,W641,""),"")</f>
        <v/>
      </c>
      <c r="Z641">
        <f>IF(ISNUMBER('자료_거시'!$K623),'자료_거시'!$K623,Z640)</f>
        <v/>
      </c>
      <c r="AA641">
        <f>IF(AND(ISNUMBER('자료_거시'!$J623),ISNUMBER('자료_거시'!$K623)),IFERROR('자료_거시'!$K623/INDEX($Z$21:$Z$4020,MATCH(EDATE('자료_거시'!$J623,-'설정'!$B$17),'자료_거시'!$J$3:INDEX('자료_거시'!$J$3:$J$4002,$K$8),1))-1,""),"")</f>
        <v/>
      </c>
      <c r="AB641">
        <f>IF(ISNUMBER(AA641),'자료_거시'!$J623,"")</f>
        <v/>
      </c>
      <c r="AC641">
        <f>IF(ISNUMBER(AB641),IF(AB641&gt;$L$8,AA641,""),"")</f>
        <v/>
      </c>
    </row>
    <row r="642">
      <c r="S642">
        <f>IF(ISNUMBER('자료_거시'!$E624),'자료_거시'!$E624,S641)</f>
        <v/>
      </c>
      <c r="T642">
        <f>IF(AND(ISNUMBER('자료_거시'!$D624),ISNUMBER('자료_거시'!$E624)),IFERROR('자료_거시'!$E624-INDEX($S$21:$S$4020,MATCH(EDATE('자료_거시'!$D624,-'설정'!$B$17),'자료_거시'!$D$3:INDEX('자료_거시'!$D$3:$D$4002,$K$6),1)),""),"")</f>
        <v/>
      </c>
      <c r="U642">
        <f>IF(ISNUMBER(T642),'자료_거시'!$D624,"")</f>
        <v/>
      </c>
      <c r="V642">
        <f>IF(ISNUMBER(U642),IF(U642&gt;$L$6,T642,""),"")</f>
        <v/>
      </c>
      <c r="W642">
        <f>IF(AND(ISNUMBER('자료_거시'!$G624),ISNUMBER('자료_거시'!$H624)),'자료_거시'!$H624,"")</f>
        <v/>
      </c>
      <c r="X642">
        <f>IF(ISNUMBER(W642),'자료_거시'!$G624,"")</f>
        <v/>
      </c>
      <c r="Y642">
        <f>IF(ISNUMBER(X642),IF(X642&gt;$L$7,W642,""),"")</f>
        <v/>
      </c>
      <c r="Z642">
        <f>IF(ISNUMBER('자료_거시'!$K624),'자료_거시'!$K624,Z641)</f>
        <v/>
      </c>
      <c r="AA642">
        <f>IF(AND(ISNUMBER('자료_거시'!$J624),ISNUMBER('자료_거시'!$K624)),IFERROR('자료_거시'!$K624/INDEX($Z$21:$Z$4020,MATCH(EDATE('자료_거시'!$J624,-'설정'!$B$17),'자료_거시'!$J$3:INDEX('자료_거시'!$J$3:$J$4002,$K$8),1))-1,""),"")</f>
        <v/>
      </c>
      <c r="AB642">
        <f>IF(ISNUMBER(AA642),'자료_거시'!$J624,"")</f>
        <v/>
      </c>
      <c r="AC642">
        <f>IF(ISNUMBER(AB642),IF(AB642&gt;$L$8,AA642,""),"")</f>
        <v/>
      </c>
    </row>
    <row r="643">
      <c r="S643">
        <f>IF(ISNUMBER('자료_거시'!$E625),'자료_거시'!$E625,S642)</f>
        <v/>
      </c>
      <c r="T643">
        <f>IF(AND(ISNUMBER('자료_거시'!$D625),ISNUMBER('자료_거시'!$E625)),IFERROR('자료_거시'!$E625-INDEX($S$21:$S$4020,MATCH(EDATE('자료_거시'!$D625,-'설정'!$B$17),'자료_거시'!$D$3:INDEX('자료_거시'!$D$3:$D$4002,$K$6),1)),""),"")</f>
        <v/>
      </c>
      <c r="U643">
        <f>IF(ISNUMBER(T643),'자료_거시'!$D625,"")</f>
        <v/>
      </c>
      <c r="V643">
        <f>IF(ISNUMBER(U643),IF(U643&gt;$L$6,T643,""),"")</f>
        <v/>
      </c>
      <c r="W643">
        <f>IF(AND(ISNUMBER('자료_거시'!$G625),ISNUMBER('자료_거시'!$H625)),'자료_거시'!$H625,"")</f>
        <v/>
      </c>
      <c r="X643">
        <f>IF(ISNUMBER(W643),'자료_거시'!$G625,"")</f>
        <v/>
      </c>
      <c r="Y643">
        <f>IF(ISNUMBER(X643),IF(X643&gt;$L$7,W643,""),"")</f>
        <v/>
      </c>
      <c r="Z643">
        <f>IF(ISNUMBER('자료_거시'!$K625),'자료_거시'!$K625,Z642)</f>
        <v/>
      </c>
      <c r="AA643">
        <f>IF(AND(ISNUMBER('자료_거시'!$J625),ISNUMBER('자료_거시'!$K625)),IFERROR('자료_거시'!$K625/INDEX($Z$21:$Z$4020,MATCH(EDATE('자료_거시'!$J625,-'설정'!$B$17),'자료_거시'!$J$3:INDEX('자료_거시'!$J$3:$J$4002,$K$8),1))-1,""),"")</f>
        <v/>
      </c>
      <c r="AB643">
        <f>IF(ISNUMBER(AA643),'자료_거시'!$J625,"")</f>
        <v/>
      </c>
      <c r="AC643">
        <f>IF(ISNUMBER(AB643),IF(AB643&gt;$L$8,AA643,""),"")</f>
        <v/>
      </c>
    </row>
    <row r="644">
      <c r="S644">
        <f>IF(ISNUMBER('자료_거시'!$E626),'자료_거시'!$E626,S643)</f>
        <v/>
      </c>
      <c r="T644">
        <f>IF(AND(ISNUMBER('자료_거시'!$D626),ISNUMBER('자료_거시'!$E626)),IFERROR('자료_거시'!$E626-INDEX($S$21:$S$4020,MATCH(EDATE('자료_거시'!$D626,-'설정'!$B$17),'자료_거시'!$D$3:INDEX('자료_거시'!$D$3:$D$4002,$K$6),1)),""),"")</f>
        <v/>
      </c>
      <c r="U644">
        <f>IF(ISNUMBER(T644),'자료_거시'!$D626,"")</f>
        <v/>
      </c>
      <c r="V644">
        <f>IF(ISNUMBER(U644),IF(U644&gt;$L$6,T644,""),"")</f>
        <v/>
      </c>
      <c r="W644">
        <f>IF(AND(ISNUMBER('자료_거시'!$G626),ISNUMBER('자료_거시'!$H626)),'자료_거시'!$H626,"")</f>
        <v/>
      </c>
      <c r="X644">
        <f>IF(ISNUMBER(W644),'자료_거시'!$G626,"")</f>
        <v/>
      </c>
      <c r="Y644">
        <f>IF(ISNUMBER(X644),IF(X644&gt;$L$7,W644,""),"")</f>
        <v/>
      </c>
      <c r="Z644">
        <f>IF(ISNUMBER('자료_거시'!$K626),'자료_거시'!$K626,Z643)</f>
        <v/>
      </c>
      <c r="AA644">
        <f>IF(AND(ISNUMBER('자료_거시'!$J626),ISNUMBER('자료_거시'!$K626)),IFERROR('자료_거시'!$K626/INDEX($Z$21:$Z$4020,MATCH(EDATE('자료_거시'!$J626,-'설정'!$B$17),'자료_거시'!$J$3:INDEX('자료_거시'!$J$3:$J$4002,$K$8),1))-1,""),"")</f>
        <v/>
      </c>
      <c r="AB644">
        <f>IF(ISNUMBER(AA644),'자료_거시'!$J626,"")</f>
        <v/>
      </c>
      <c r="AC644">
        <f>IF(ISNUMBER(AB644),IF(AB644&gt;$L$8,AA644,""),"")</f>
        <v/>
      </c>
    </row>
    <row r="645">
      <c r="S645">
        <f>IF(ISNUMBER('자료_거시'!$E627),'자료_거시'!$E627,S644)</f>
        <v/>
      </c>
      <c r="T645">
        <f>IF(AND(ISNUMBER('자료_거시'!$D627),ISNUMBER('자료_거시'!$E627)),IFERROR('자료_거시'!$E627-INDEX($S$21:$S$4020,MATCH(EDATE('자료_거시'!$D627,-'설정'!$B$17),'자료_거시'!$D$3:INDEX('자료_거시'!$D$3:$D$4002,$K$6),1)),""),"")</f>
        <v/>
      </c>
      <c r="U645">
        <f>IF(ISNUMBER(T645),'자료_거시'!$D627,"")</f>
        <v/>
      </c>
      <c r="V645">
        <f>IF(ISNUMBER(U645),IF(U645&gt;$L$6,T645,""),"")</f>
        <v/>
      </c>
      <c r="W645">
        <f>IF(AND(ISNUMBER('자료_거시'!$G627),ISNUMBER('자료_거시'!$H627)),'자료_거시'!$H627,"")</f>
        <v/>
      </c>
      <c r="X645">
        <f>IF(ISNUMBER(W645),'자료_거시'!$G627,"")</f>
        <v/>
      </c>
      <c r="Y645">
        <f>IF(ISNUMBER(X645),IF(X645&gt;$L$7,W645,""),"")</f>
        <v/>
      </c>
      <c r="Z645">
        <f>IF(ISNUMBER('자료_거시'!$K627),'자료_거시'!$K627,Z644)</f>
        <v/>
      </c>
      <c r="AA645">
        <f>IF(AND(ISNUMBER('자료_거시'!$J627),ISNUMBER('자료_거시'!$K627)),IFERROR('자료_거시'!$K627/INDEX($Z$21:$Z$4020,MATCH(EDATE('자료_거시'!$J627,-'설정'!$B$17),'자료_거시'!$J$3:INDEX('자료_거시'!$J$3:$J$4002,$K$8),1))-1,""),"")</f>
        <v/>
      </c>
      <c r="AB645">
        <f>IF(ISNUMBER(AA645),'자료_거시'!$J627,"")</f>
        <v/>
      </c>
      <c r="AC645">
        <f>IF(ISNUMBER(AB645),IF(AB645&gt;$L$8,AA645,""),"")</f>
        <v/>
      </c>
    </row>
    <row r="646">
      <c r="S646">
        <f>IF(ISNUMBER('자료_거시'!$E628),'자료_거시'!$E628,S645)</f>
        <v/>
      </c>
      <c r="T646">
        <f>IF(AND(ISNUMBER('자료_거시'!$D628),ISNUMBER('자료_거시'!$E628)),IFERROR('자료_거시'!$E628-INDEX($S$21:$S$4020,MATCH(EDATE('자료_거시'!$D628,-'설정'!$B$17),'자료_거시'!$D$3:INDEX('자료_거시'!$D$3:$D$4002,$K$6),1)),""),"")</f>
        <v/>
      </c>
      <c r="U646">
        <f>IF(ISNUMBER(T646),'자료_거시'!$D628,"")</f>
        <v/>
      </c>
      <c r="V646">
        <f>IF(ISNUMBER(U646),IF(U646&gt;$L$6,T646,""),"")</f>
        <v/>
      </c>
      <c r="W646">
        <f>IF(AND(ISNUMBER('자료_거시'!$G628),ISNUMBER('자료_거시'!$H628)),'자료_거시'!$H628,"")</f>
        <v/>
      </c>
      <c r="X646">
        <f>IF(ISNUMBER(W646),'자료_거시'!$G628,"")</f>
        <v/>
      </c>
      <c r="Y646">
        <f>IF(ISNUMBER(X646),IF(X646&gt;$L$7,W646,""),"")</f>
        <v/>
      </c>
      <c r="Z646">
        <f>IF(ISNUMBER('자료_거시'!$K628),'자료_거시'!$K628,Z645)</f>
        <v/>
      </c>
      <c r="AA646">
        <f>IF(AND(ISNUMBER('자료_거시'!$J628),ISNUMBER('자료_거시'!$K628)),IFERROR('자료_거시'!$K628/INDEX($Z$21:$Z$4020,MATCH(EDATE('자료_거시'!$J628,-'설정'!$B$17),'자료_거시'!$J$3:INDEX('자료_거시'!$J$3:$J$4002,$K$8),1))-1,""),"")</f>
        <v/>
      </c>
      <c r="AB646">
        <f>IF(ISNUMBER(AA646),'자료_거시'!$J628,"")</f>
        <v/>
      </c>
      <c r="AC646">
        <f>IF(ISNUMBER(AB646),IF(AB646&gt;$L$8,AA646,""),"")</f>
        <v/>
      </c>
    </row>
    <row r="647">
      <c r="S647">
        <f>IF(ISNUMBER('자료_거시'!$E629),'자료_거시'!$E629,S646)</f>
        <v/>
      </c>
      <c r="T647">
        <f>IF(AND(ISNUMBER('자료_거시'!$D629),ISNUMBER('자료_거시'!$E629)),IFERROR('자료_거시'!$E629-INDEX($S$21:$S$4020,MATCH(EDATE('자료_거시'!$D629,-'설정'!$B$17),'자료_거시'!$D$3:INDEX('자료_거시'!$D$3:$D$4002,$K$6),1)),""),"")</f>
        <v/>
      </c>
      <c r="U647">
        <f>IF(ISNUMBER(T647),'자료_거시'!$D629,"")</f>
        <v/>
      </c>
      <c r="V647">
        <f>IF(ISNUMBER(U647),IF(U647&gt;$L$6,T647,""),"")</f>
        <v/>
      </c>
      <c r="W647">
        <f>IF(AND(ISNUMBER('자료_거시'!$G629),ISNUMBER('자료_거시'!$H629)),'자료_거시'!$H629,"")</f>
        <v/>
      </c>
      <c r="X647">
        <f>IF(ISNUMBER(W647),'자료_거시'!$G629,"")</f>
        <v/>
      </c>
      <c r="Y647">
        <f>IF(ISNUMBER(X647),IF(X647&gt;$L$7,W647,""),"")</f>
        <v/>
      </c>
      <c r="Z647">
        <f>IF(ISNUMBER('자료_거시'!$K629),'자료_거시'!$K629,Z646)</f>
        <v/>
      </c>
      <c r="AA647">
        <f>IF(AND(ISNUMBER('자료_거시'!$J629),ISNUMBER('자료_거시'!$K629)),IFERROR('자료_거시'!$K629/INDEX($Z$21:$Z$4020,MATCH(EDATE('자료_거시'!$J629,-'설정'!$B$17),'자료_거시'!$J$3:INDEX('자료_거시'!$J$3:$J$4002,$K$8),1))-1,""),"")</f>
        <v/>
      </c>
      <c r="AB647">
        <f>IF(ISNUMBER(AA647),'자료_거시'!$J629,"")</f>
        <v/>
      </c>
      <c r="AC647">
        <f>IF(ISNUMBER(AB647),IF(AB647&gt;$L$8,AA647,""),"")</f>
        <v/>
      </c>
    </row>
    <row r="648">
      <c r="S648">
        <f>IF(ISNUMBER('자료_거시'!$E630),'자료_거시'!$E630,S647)</f>
        <v/>
      </c>
      <c r="T648">
        <f>IF(AND(ISNUMBER('자료_거시'!$D630),ISNUMBER('자료_거시'!$E630)),IFERROR('자료_거시'!$E630-INDEX($S$21:$S$4020,MATCH(EDATE('자료_거시'!$D630,-'설정'!$B$17),'자료_거시'!$D$3:INDEX('자료_거시'!$D$3:$D$4002,$K$6),1)),""),"")</f>
        <v/>
      </c>
      <c r="U648">
        <f>IF(ISNUMBER(T648),'자료_거시'!$D630,"")</f>
        <v/>
      </c>
      <c r="V648">
        <f>IF(ISNUMBER(U648),IF(U648&gt;$L$6,T648,""),"")</f>
        <v/>
      </c>
      <c r="W648">
        <f>IF(AND(ISNUMBER('자료_거시'!$G630),ISNUMBER('자료_거시'!$H630)),'자료_거시'!$H630,"")</f>
        <v/>
      </c>
      <c r="X648">
        <f>IF(ISNUMBER(W648),'자료_거시'!$G630,"")</f>
        <v/>
      </c>
      <c r="Y648">
        <f>IF(ISNUMBER(X648),IF(X648&gt;$L$7,W648,""),"")</f>
        <v/>
      </c>
      <c r="Z648">
        <f>IF(ISNUMBER('자료_거시'!$K630),'자료_거시'!$K630,Z647)</f>
        <v/>
      </c>
      <c r="AA648">
        <f>IF(AND(ISNUMBER('자료_거시'!$J630),ISNUMBER('자료_거시'!$K630)),IFERROR('자료_거시'!$K630/INDEX($Z$21:$Z$4020,MATCH(EDATE('자료_거시'!$J630,-'설정'!$B$17),'자료_거시'!$J$3:INDEX('자료_거시'!$J$3:$J$4002,$K$8),1))-1,""),"")</f>
        <v/>
      </c>
      <c r="AB648">
        <f>IF(ISNUMBER(AA648),'자료_거시'!$J630,"")</f>
        <v/>
      </c>
      <c r="AC648">
        <f>IF(ISNUMBER(AB648),IF(AB648&gt;$L$8,AA648,""),"")</f>
        <v/>
      </c>
    </row>
    <row r="649">
      <c r="S649">
        <f>IF(ISNUMBER('자료_거시'!$E631),'자료_거시'!$E631,S648)</f>
        <v/>
      </c>
      <c r="T649">
        <f>IF(AND(ISNUMBER('자료_거시'!$D631),ISNUMBER('자료_거시'!$E631)),IFERROR('자료_거시'!$E631-INDEX($S$21:$S$4020,MATCH(EDATE('자료_거시'!$D631,-'설정'!$B$17),'자료_거시'!$D$3:INDEX('자료_거시'!$D$3:$D$4002,$K$6),1)),""),"")</f>
        <v/>
      </c>
      <c r="U649">
        <f>IF(ISNUMBER(T649),'자료_거시'!$D631,"")</f>
        <v/>
      </c>
      <c r="V649">
        <f>IF(ISNUMBER(U649),IF(U649&gt;$L$6,T649,""),"")</f>
        <v/>
      </c>
      <c r="W649">
        <f>IF(AND(ISNUMBER('자료_거시'!$G631),ISNUMBER('자료_거시'!$H631)),'자료_거시'!$H631,"")</f>
        <v/>
      </c>
      <c r="X649">
        <f>IF(ISNUMBER(W649),'자료_거시'!$G631,"")</f>
        <v/>
      </c>
      <c r="Y649">
        <f>IF(ISNUMBER(X649),IF(X649&gt;$L$7,W649,""),"")</f>
        <v/>
      </c>
      <c r="Z649">
        <f>IF(ISNUMBER('자료_거시'!$K631),'자료_거시'!$K631,Z648)</f>
        <v/>
      </c>
      <c r="AA649">
        <f>IF(AND(ISNUMBER('자료_거시'!$J631),ISNUMBER('자료_거시'!$K631)),IFERROR('자료_거시'!$K631/INDEX($Z$21:$Z$4020,MATCH(EDATE('자료_거시'!$J631,-'설정'!$B$17),'자료_거시'!$J$3:INDEX('자료_거시'!$J$3:$J$4002,$K$8),1))-1,""),"")</f>
        <v/>
      </c>
      <c r="AB649">
        <f>IF(ISNUMBER(AA649),'자료_거시'!$J631,"")</f>
        <v/>
      </c>
      <c r="AC649">
        <f>IF(ISNUMBER(AB649),IF(AB649&gt;$L$8,AA649,""),"")</f>
        <v/>
      </c>
    </row>
    <row r="650">
      <c r="S650">
        <f>IF(ISNUMBER('자료_거시'!$E632),'자료_거시'!$E632,S649)</f>
        <v/>
      </c>
      <c r="T650">
        <f>IF(AND(ISNUMBER('자료_거시'!$D632),ISNUMBER('자료_거시'!$E632)),IFERROR('자료_거시'!$E632-INDEX($S$21:$S$4020,MATCH(EDATE('자료_거시'!$D632,-'설정'!$B$17),'자료_거시'!$D$3:INDEX('자료_거시'!$D$3:$D$4002,$K$6),1)),""),"")</f>
        <v/>
      </c>
      <c r="U650">
        <f>IF(ISNUMBER(T650),'자료_거시'!$D632,"")</f>
        <v/>
      </c>
      <c r="V650">
        <f>IF(ISNUMBER(U650),IF(U650&gt;$L$6,T650,""),"")</f>
        <v/>
      </c>
      <c r="W650">
        <f>IF(AND(ISNUMBER('자료_거시'!$G632),ISNUMBER('자료_거시'!$H632)),'자료_거시'!$H632,"")</f>
        <v/>
      </c>
      <c r="X650">
        <f>IF(ISNUMBER(W650),'자료_거시'!$G632,"")</f>
        <v/>
      </c>
      <c r="Y650">
        <f>IF(ISNUMBER(X650),IF(X650&gt;$L$7,W650,""),"")</f>
        <v/>
      </c>
      <c r="Z650">
        <f>IF(ISNUMBER('자료_거시'!$K632),'자료_거시'!$K632,Z649)</f>
        <v/>
      </c>
      <c r="AA650">
        <f>IF(AND(ISNUMBER('자료_거시'!$J632),ISNUMBER('자료_거시'!$K632)),IFERROR('자료_거시'!$K632/INDEX($Z$21:$Z$4020,MATCH(EDATE('자료_거시'!$J632,-'설정'!$B$17),'자료_거시'!$J$3:INDEX('자료_거시'!$J$3:$J$4002,$K$8),1))-1,""),"")</f>
        <v/>
      </c>
      <c r="AB650">
        <f>IF(ISNUMBER(AA650),'자료_거시'!$J632,"")</f>
        <v/>
      </c>
      <c r="AC650">
        <f>IF(ISNUMBER(AB650),IF(AB650&gt;$L$8,AA650,""),"")</f>
        <v/>
      </c>
    </row>
    <row r="651">
      <c r="S651">
        <f>IF(ISNUMBER('자료_거시'!$E633),'자료_거시'!$E633,S650)</f>
        <v/>
      </c>
      <c r="T651">
        <f>IF(AND(ISNUMBER('자료_거시'!$D633),ISNUMBER('자료_거시'!$E633)),IFERROR('자료_거시'!$E633-INDEX($S$21:$S$4020,MATCH(EDATE('자료_거시'!$D633,-'설정'!$B$17),'자료_거시'!$D$3:INDEX('자료_거시'!$D$3:$D$4002,$K$6),1)),""),"")</f>
        <v/>
      </c>
      <c r="U651">
        <f>IF(ISNUMBER(T651),'자료_거시'!$D633,"")</f>
        <v/>
      </c>
      <c r="V651">
        <f>IF(ISNUMBER(U651),IF(U651&gt;$L$6,T651,""),"")</f>
        <v/>
      </c>
      <c r="W651">
        <f>IF(AND(ISNUMBER('자료_거시'!$G633),ISNUMBER('자료_거시'!$H633)),'자료_거시'!$H633,"")</f>
        <v/>
      </c>
      <c r="X651">
        <f>IF(ISNUMBER(W651),'자료_거시'!$G633,"")</f>
        <v/>
      </c>
      <c r="Y651">
        <f>IF(ISNUMBER(X651),IF(X651&gt;$L$7,W651,""),"")</f>
        <v/>
      </c>
      <c r="Z651">
        <f>IF(ISNUMBER('자료_거시'!$K633),'자료_거시'!$K633,Z650)</f>
        <v/>
      </c>
      <c r="AA651">
        <f>IF(AND(ISNUMBER('자료_거시'!$J633),ISNUMBER('자료_거시'!$K633)),IFERROR('자료_거시'!$K633/INDEX($Z$21:$Z$4020,MATCH(EDATE('자료_거시'!$J633,-'설정'!$B$17),'자료_거시'!$J$3:INDEX('자료_거시'!$J$3:$J$4002,$K$8),1))-1,""),"")</f>
        <v/>
      </c>
      <c r="AB651">
        <f>IF(ISNUMBER(AA651),'자료_거시'!$J633,"")</f>
        <v/>
      </c>
      <c r="AC651">
        <f>IF(ISNUMBER(AB651),IF(AB651&gt;$L$8,AA651,""),"")</f>
        <v/>
      </c>
    </row>
    <row r="652">
      <c r="S652">
        <f>IF(ISNUMBER('자료_거시'!$E634),'자료_거시'!$E634,S651)</f>
        <v/>
      </c>
      <c r="T652">
        <f>IF(AND(ISNUMBER('자료_거시'!$D634),ISNUMBER('자료_거시'!$E634)),IFERROR('자료_거시'!$E634-INDEX($S$21:$S$4020,MATCH(EDATE('자료_거시'!$D634,-'설정'!$B$17),'자료_거시'!$D$3:INDEX('자료_거시'!$D$3:$D$4002,$K$6),1)),""),"")</f>
        <v/>
      </c>
      <c r="U652">
        <f>IF(ISNUMBER(T652),'자료_거시'!$D634,"")</f>
        <v/>
      </c>
      <c r="V652">
        <f>IF(ISNUMBER(U652),IF(U652&gt;$L$6,T652,""),"")</f>
        <v/>
      </c>
      <c r="W652">
        <f>IF(AND(ISNUMBER('자료_거시'!$G634),ISNUMBER('자료_거시'!$H634)),'자료_거시'!$H634,"")</f>
        <v/>
      </c>
      <c r="X652">
        <f>IF(ISNUMBER(W652),'자료_거시'!$G634,"")</f>
        <v/>
      </c>
      <c r="Y652">
        <f>IF(ISNUMBER(X652),IF(X652&gt;$L$7,W652,""),"")</f>
        <v/>
      </c>
      <c r="Z652">
        <f>IF(ISNUMBER('자료_거시'!$K634),'자료_거시'!$K634,Z651)</f>
        <v/>
      </c>
      <c r="AA652">
        <f>IF(AND(ISNUMBER('자료_거시'!$J634),ISNUMBER('자료_거시'!$K634)),IFERROR('자료_거시'!$K634/INDEX($Z$21:$Z$4020,MATCH(EDATE('자료_거시'!$J634,-'설정'!$B$17),'자료_거시'!$J$3:INDEX('자료_거시'!$J$3:$J$4002,$K$8),1))-1,""),"")</f>
        <v/>
      </c>
      <c r="AB652">
        <f>IF(ISNUMBER(AA652),'자료_거시'!$J634,"")</f>
        <v/>
      </c>
      <c r="AC652">
        <f>IF(ISNUMBER(AB652),IF(AB652&gt;$L$8,AA652,""),"")</f>
        <v/>
      </c>
    </row>
    <row r="653">
      <c r="S653">
        <f>IF(ISNUMBER('자료_거시'!$E635),'자료_거시'!$E635,S652)</f>
        <v/>
      </c>
      <c r="T653">
        <f>IF(AND(ISNUMBER('자료_거시'!$D635),ISNUMBER('자료_거시'!$E635)),IFERROR('자료_거시'!$E635-INDEX($S$21:$S$4020,MATCH(EDATE('자료_거시'!$D635,-'설정'!$B$17),'자료_거시'!$D$3:INDEX('자료_거시'!$D$3:$D$4002,$K$6),1)),""),"")</f>
        <v/>
      </c>
      <c r="U653">
        <f>IF(ISNUMBER(T653),'자료_거시'!$D635,"")</f>
        <v/>
      </c>
      <c r="V653">
        <f>IF(ISNUMBER(U653),IF(U653&gt;$L$6,T653,""),"")</f>
        <v/>
      </c>
      <c r="W653">
        <f>IF(AND(ISNUMBER('자료_거시'!$G635),ISNUMBER('자료_거시'!$H635)),'자료_거시'!$H635,"")</f>
        <v/>
      </c>
      <c r="X653">
        <f>IF(ISNUMBER(W653),'자료_거시'!$G635,"")</f>
        <v/>
      </c>
      <c r="Y653">
        <f>IF(ISNUMBER(X653),IF(X653&gt;$L$7,W653,""),"")</f>
        <v/>
      </c>
      <c r="Z653">
        <f>IF(ISNUMBER('자료_거시'!$K635),'자료_거시'!$K635,Z652)</f>
        <v/>
      </c>
      <c r="AA653">
        <f>IF(AND(ISNUMBER('자료_거시'!$J635),ISNUMBER('자료_거시'!$K635)),IFERROR('자료_거시'!$K635/INDEX($Z$21:$Z$4020,MATCH(EDATE('자료_거시'!$J635,-'설정'!$B$17),'자료_거시'!$J$3:INDEX('자료_거시'!$J$3:$J$4002,$K$8),1))-1,""),"")</f>
        <v/>
      </c>
      <c r="AB653">
        <f>IF(ISNUMBER(AA653),'자료_거시'!$J635,"")</f>
        <v/>
      </c>
      <c r="AC653">
        <f>IF(ISNUMBER(AB653),IF(AB653&gt;$L$8,AA653,""),"")</f>
        <v/>
      </c>
    </row>
    <row r="654">
      <c r="S654">
        <f>IF(ISNUMBER('자료_거시'!$E636),'자료_거시'!$E636,S653)</f>
        <v/>
      </c>
      <c r="T654">
        <f>IF(AND(ISNUMBER('자료_거시'!$D636),ISNUMBER('자료_거시'!$E636)),IFERROR('자료_거시'!$E636-INDEX($S$21:$S$4020,MATCH(EDATE('자료_거시'!$D636,-'설정'!$B$17),'자료_거시'!$D$3:INDEX('자료_거시'!$D$3:$D$4002,$K$6),1)),""),"")</f>
        <v/>
      </c>
      <c r="U654">
        <f>IF(ISNUMBER(T654),'자료_거시'!$D636,"")</f>
        <v/>
      </c>
      <c r="V654">
        <f>IF(ISNUMBER(U654),IF(U654&gt;$L$6,T654,""),"")</f>
        <v/>
      </c>
      <c r="W654">
        <f>IF(AND(ISNUMBER('자료_거시'!$G636),ISNUMBER('자료_거시'!$H636)),'자료_거시'!$H636,"")</f>
        <v/>
      </c>
      <c r="X654">
        <f>IF(ISNUMBER(W654),'자료_거시'!$G636,"")</f>
        <v/>
      </c>
      <c r="Y654">
        <f>IF(ISNUMBER(X654),IF(X654&gt;$L$7,W654,""),"")</f>
        <v/>
      </c>
      <c r="Z654">
        <f>IF(ISNUMBER('자료_거시'!$K636),'자료_거시'!$K636,Z653)</f>
        <v/>
      </c>
      <c r="AA654">
        <f>IF(AND(ISNUMBER('자료_거시'!$J636),ISNUMBER('자료_거시'!$K636)),IFERROR('자료_거시'!$K636/INDEX($Z$21:$Z$4020,MATCH(EDATE('자료_거시'!$J636,-'설정'!$B$17),'자료_거시'!$J$3:INDEX('자료_거시'!$J$3:$J$4002,$K$8),1))-1,""),"")</f>
        <v/>
      </c>
      <c r="AB654">
        <f>IF(ISNUMBER(AA654),'자료_거시'!$J636,"")</f>
        <v/>
      </c>
      <c r="AC654">
        <f>IF(ISNUMBER(AB654),IF(AB654&gt;$L$8,AA654,""),"")</f>
        <v/>
      </c>
    </row>
    <row r="655">
      <c r="S655">
        <f>IF(ISNUMBER('자료_거시'!$E637),'자료_거시'!$E637,S654)</f>
        <v/>
      </c>
      <c r="T655">
        <f>IF(AND(ISNUMBER('자료_거시'!$D637),ISNUMBER('자료_거시'!$E637)),IFERROR('자료_거시'!$E637-INDEX($S$21:$S$4020,MATCH(EDATE('자료_거시'!$D637,-'설정'!$B$17),'자료_거시'!$D$3:INDEX('자료_거시'!$D$3:$D$4002,$K$6),1)),""),"")</f>
        <v/>
      </c>
      <c r="U655">
        <f>IF(ISNUMBER(T655),'자료_거시'!$D637,"")</f>
        <v/>
      </c>
      <c r="V655">
        <f>IF(ISNUMBER(U655),IF(U655&gt;$L$6,T655,""),"")</f>
        <v/>
      </c>
      <c r="W655">
        <f>IF(AND(ISNUMBER('자료_거시'!$G637),ISNUMBER('자료_거시'!$H637)),'자료_거시'!$H637,"")</f>
        <v/>
      </c>
      <c r="X655">
        <f>IF(ISNUMBER(W655),'자료_거시'!$G637,"")</f>
        <v/>
      </c>
      <c r="Y655">
        <f>IF(ISNUMBER(X655),IF(X655&gt;$L$7,W655,""),"")</f>
        <v/>
      </c>
      <c r="Z655">
        <f>IF(ISNUMBER('자료_거시'!$K637),'자료_거시'!$K637,Z654)</f>
        <v/>
      </c>
      <c r="AA655">
        <f>IF(AND(ISNUMBER('자료_거시'!$J637),ISNUMBER('자료_거시'!$K637)),IFERROR('자료_거시'!$K637/INDEX($Z$21:$Z$4020,MATCH(EDATE('자료_거시'!$J637,-'설정'!$B$17),'자료_거시'!$J$3:INDEX('자료_거시'!$J$3:$J$4002,$K$8),1))-1,""),"")</f>
        <v/>
      </c>
      <c r="AB655">
        <f>IF(ISNUMBER(AA655),'자료_거시'!$J637,"")</f>
        <v/>
      </c>
      <c r="AC655">
        <f>IF(ISNUMBER(AB655),IF(AB655&gt;$L$8,AA655,""),"")</f>
        <v/>
      </c>
    </row>
    <row r="656">
      <c r="S656">
        <f>IF(ISNUMBER('자료_거시'!$E638),'자료_거시'!$E638,S655)</f>
        <v/>
      </c>
      <c r="T656">
        <f>IF(AND(ISNUMBER('자료_거시'!$D638),ISNUMBER('자료_거시'!$E638)),IFERROR('자료_거시'!$E638-INDEX($S$21:$S$4020,MATCH(EDATE('자료_거시'!$D638,-'설정'!$B$17),'자료_거시'!$D$3:INDEX('자료_거시'!$D$3:$D$4002,$K$6),1)),""),"")</f>
        <v/>
      </c>
      <c r="U656">
        <f>IF(ISNUMBER(T656),'자료_거시'!$D638,"")</f>
        <v/>
      </c>
      <c r="V656">
        <f>IF(ISNUMBER(U656),IF(U656&gt;$L$6,T656,""),"")</f>
        <v/>
      </c>
      <c r="W656">
        <f>IF(AND(ISNUMBER('자료_거시'!$G638),ISNUMBER('자료_거시'!$H638)),'자료_거시'!$H638,"")</f>
        <v/>
      </c>
      <c r="X656">
        <f>IF(ISNUMBER(W656),'자료_거시'!$G638,"")</f>
        <v/>
      </c>
      <c r="Y656">
        <f>IF(ISNUMBER(X656),IF(X656&gt;$L$7,W656,""),"")</f>
        <v/>
      </c>
      <c r="Z656">
        <f>IF(ISNUMBER('자료_거시'!$K638),'자료_거시'!$K638,Z655)</f>
        <v/>
      </c>
      <c r="AA656">
        <f>IF(AND(ISNUMBER('자료_거시'!$J638),ISNUMBER('자료_거시'!$K638)),IFERROR('자료_거시'!$K638/INDEX($Z$21:$Z$4020,MATCH(EDATE('자료_거시'!$J638,-'설정'!$B$17),'자료_거시'!$J$3:INDEX('자료_거시'!$J$3:$J$4002,$K$8),1))-1,""),"")</f>
        <v/>
      </c>
      <c r="AB656">
        <f>IF(ISNUMBER(AA656),'자료_거시'!$J638,"")</f>
        <v/>
      </c>
      <c r="AC656">
        <f>IF(ISNUMBER(AB656),IF(AB656&gt;$L$8,AA656,""),"")</f>
        <v/>
      </c>
    </row>
    <row r="657">
      <c r="S657">
        <f>IF(ISNUMBER('자료_거시'!$E639),'자료_거시'!$E639,S656)</f>
        <v/>
      </c>
      <c r="T657">
        <f>IF(AND(ISNUMBER('자료_거시'!$D639),ISNUMBER('자료_거시'!$E639)),IFERROR('자료_거시'!$E639-INDEX($S$21:$S$4020,MATCH(EDATE('자료_거시'!$D639,-'설정'!$B$17),'자료_거시'!$D$3:INDEX('자료_거시'!$D$3:$D$4002,$K$6),1)),""),"")</f>
        <v/>
      </c>
      <c r="U657">
        <f>IF(ISNUMBER(T657),'자료_거시'!$D639,"")</f>
        <v/>
      </c>
      <c r="V657">
        <f>IF(ISNUMBER(U657),IF(U657&gt;$L$6,T657,""),"")</f>
        <v/>
      </c>
      <c r="W657">
        <f>IF(AND(ISNUMBER('자료_거시'!$G639),ISNUMBER('자료_거시'!$H639)),'자료_거시'!$H639,"")</f>
        <v/>
      </c>
      <c r="X657">
        <f>IF(ISNUMBER(W657),'자료_거시'!$G639,"")</f>
        <v/>
      </c>
      <c r="Y657">
        <f>IF(ISNUMBER(X657),IF(X657&gt;$L$7,W657,""),"")</f>
        <v/>
      </c>
      <c r="Z657">
        <f>IF(ISNUMBER('자료_거시'!$K639),'자료_거시'!$K639,Z656)</f>
        <v/>
      </c>
      <c r="AA657">
        <f>IF(AND(ISNUMBER('자료_거시'!$J639),ISNUMBER('자료_거시'!$K639)),IFERROR('자료_거시'!$K639/INDEX($Z$21:$Z$4020,MATCH(EDATE('자료_거시'!$J639,-'설정'!$B$17),'자료_거시'!$J$3:INDEX('자료_거시'!$J$3:$J$4002,$K$8),1))-1,""),"")</f>
        <v/>
      </c>
      <c r="AB657">
        <f>IF(ISNUMBER(AA657),'자료_거시'!$J639,"")</f>
        <v/>
      </c>
      <c r="AC657">
        <f>IF(ISNUMBER(AB657),IF(AB657&gt;$L$8,AA657,""),"")</f>
        <v/>
      </c>
    </row>
    <row r="658">
      <c r="S658">
        <f>IF(ISNUMBER('자료_거시'!$E640),'자료_거시'!$E640,S657)</f>
        <v/>
      </c>
      <c r="T658">
        <f>IF(AND(ISNUMBER('자료_거시'!$D640),ISNUMBER('자료_거시'!$E640)),IFERROR('자료_거시'!$E640-INDEX($S$21:$S$4020,MATCH(EDATE('자료_거시'!$D640,-'설정'!$B$17),'자료_거시'!$D$3:INDEX('자료_거시'!$D$3:$D$4002,$K$6),1)),""),"")</f>
        <v/>
      </c>
      <c r="U658">
        <f>IF(ISNUMBER(T658),'자료_거시'!$D640,"")</f>
        <v/>
      </c>
      <c r="V658">
        <f>IF(ISNUMBER(U658),IF(U658&gt;$L$6,T658,""),"")</f>
        <v/>
      </c>
      <c r="W658">
        <f>IF(AND(ISNUMBER('자료_거시'!$G640),ISNUMBER('자료_거시'!$H640)),'자료_거시'!$H640,"")</f>
        <v/>
      </c>
      <c r="X658">
        <f>IF(ISNUMBER(W658),'자료_거시'!$G640,"")</f>
        <v/>
      </c>
      <c r="Y658">
        <f>IF(ISNUMBER(X658),IF(X658&gt;$L$7,W658,""),"")</f>
        <v/>
      </c>
      <c r="Z658">
        <f>IF(ISNUMBER('자료_거시'!$K640),'자료_거시'!$K640,Z657)</f>
        <v/>
      </c>
      <c r="AA658">
        <f>IF(AND(ISNUMBER('자료_거시'!$J640),ISNUMBER('자료_거시'!$K640)),IFERROR('자료_거시'!$K640/INDEX($Z$21:$Z$4020,MATCH(EDATE('자료_거시'!$J640,-'설정'!$B$17),'자료_거시'!$J$3:INDEX('자료_거시'!$J$3:$J$4002,$K$8),1))-1,""),"")</f>
        <v/>
      </c>
      <c r="AB658">
        <f>IF(ISNUMBER(AA658),'자료_거시'!$J640,"")</f>
        <v/>
      </c>
      <c r="AC658">
        <f>IF(ISNUMBER(AB658),IF(AB658&gt;$L$8,AA658,""),"")</f>
        <v/>
      </c>
    </row>
    <row r="659">
      <c r="S659">
        <f>IF(ISNUMBER('자료_거시'!$E641),'자료_거시'!$E641,S658)</f>
        <v/>
      </c>
      <c r="T659">
        <f>IF(AND(ISNUMBER('자료_거시'!$D641),ISNUMBER('자료_거시'!$E641)),IFERROR('자료_거시'!$E641-INDEX($S$21:$S$4020,MATCH(EDATE('자료_거시'!$D641,-'설정'!$B$17),'자료_거시'!$D$3:INDEX('자료_거시'!$D$3:$D$4002,$K$6),1)),""),"")</f>
        <v/>
      </c>
      <c r="U659">
        <f>IF(ISNUMBER(T659),'자료_거시'!$D641,"")</f>
        <v/>
      </c>
      <c r="V659">
        <f>IF(ISNUMBER(U659),IF(U659&gt;$L$6,T659,""),"")</f>
        <v/>
      </c>
      <c r="W659">
        <f>IF(AND(ISNUMBER('자료_거시'!$G641),ISNUMBER('자료_거시'!$H641)),'자료_거시'!$H641,"")</f>
        <v/>
      </c>
      <c r="X659">
        <f>IF(ISNUMBER(W659),'자료_거시'!$G641,"")</f>
        <v/>
      </c>
      <c r="Y659">
        <f>IF(ISNUMBER(X659),IF(X659&gt;$L$7,W659,""),"")</f>
        <v/>
      </c>
      <c r="Z659">
        <f>IF(ISNUMBER('자료_거시'!$K641),'자료_거시'!$K641,Z658)</f>
        <v/>
      </c>
      <c r="AA659">
        <f>IF(AND(ISNUMBER('자료_거시'!$J641),ISNUMBER('자료_거시'!$K641)),IFERROR('자료_거시'!$K641/INDEX($Z$21:$Z$4020,MATCH(EDATE('자료_거시'!$J641,-'설정'!$B$17),'자료_거시'!$J$3:INDEX('자료_거시'!$J$3:$J$4002,$K$8),1))-1,""),"")</f>
        <v/>
      </c>
      <c r="AB659">
        <f>IF(ISNUMBER(AA659),'자료_거시'!$J641,"")</f>
        <v/>
      </c>
      <c r="AC659">
        <f>IF(ISNUMBER(AB659),IF(AB659&gt;$L$8,AA659,""),"")</f>
        <v/>
      </c>
    </row>
    <row r="660">
      <c r="S660">
        <f>IF(ISNUMBER('자료_거시'!$E642),'자료_거시'!$E642,S659)</f>
        <v/>
      </c>
      <c r="T660">
        <f>IF(AND(ISNUMBER('자료_거시'!$D642),ISNUMBER('자료_거시'!$E642)),IFERROR('자료_거시'!$E642-INDEX($S$21:$S$4020,MATCH(EDATE('자료_거시'!$D642,-'설정'!$B$17),'자료_거시'!$D$3:INDEX('자료_거시'!$D$3:$D$4002,$K$6),1)),""),"")</f>
        <v/>
      </c>
      <c r="U660">
        <f>IF(ISNUMBER(T660),'자료_거시'!$D642,"")</f>
        <v/>
      </c>
      <c r="V660">
        <f>IF(ISNUMBER(U660),IF(U660&gt;$L$6,T660,""),"")</f>
        <v/>
      </c>
      <c r="W660">
        <f>IF(AND(ISNUMBER('자료_거시'!$G642),ISNUMBER('자료_거시'!$H642)),'자료_거시'!$H642,"")</f>
        <v/>
      </c>
      <c r="X660">
        <f>IF(ISNUMBER(W660),'자료_거시'!$G642,"")</f>
        <v/>
      </c>
      <c r="Y660">
        <f>IF(ISNUMBER(X660),IF(X660&gt;$L$7,W660,""),"")</f>
        <v/>
      </c>
      <c r="Z660">
        <f>IF(ISNUMBER('자료_거시'!$K642),'자료_거시'!$K642,Z659)</f>
        <v/>
      </c>
      <c r="AA660">
        <f>IF(AND(ISNUMBER('자료_거시'!$J642),ISNUMBER('자료_거시'!$K642)),IFERROR('자료_거시'!$K642/INDEX($Z$21:$Z$4020,MATCH(EDATE('자료_거시'!$J642,-'설정'!$B$17),'자료_거시'!$J$3:INDEX('자료_거시'!$J$3:$J$4002,$K$8),1))-1,""),"")</f>
        <v/>
      </c>
      <c r="AB660">
        <f>IF(ISNUMBER(AA660),'자료_거시'!$J642,"")</f>
        <v/>
      </c>
      <c r="AC660">
        <f>IF(ISNUMBER(AB660),IF(AB660&gt;$L$8,AA660,""),"")</f>
        <v/>
      </c>
    </row>
    <row r="661">
      <c r="S661">
        <f>IF(ISNUMBER('자료_거시'!$E643),'자료_거시'!$E643,S660)</f>
        <v/>
      </c>
      <c r="T661">
        <f>IF(AND(ISNUMBER('자료_거시'!$D643),ISNUMBER('자료_거시'!$E643)),IFERROR('자료_거시'!$E643-INDEX($S$21:$S$4020,MATCH(EDATE('자료_거시'!$D643,-'설정'!$B$17),'자료_거시'!$D$3:INDEX('자료_거시'!$D$3:$D$4002,$K$6),1)),""),"")</f>
        <v/>
      </c>
      <c r="U661">
        <f>IF(ISNUMBER(T661),'자료_거시'!$D643,"")</f>
        <v/>
      </c>
      <c r="V661">
        <f>IF(ISNUMBER(U661),IF(U661&gt;$L$6,T661,""),"")</f>
        <v/>
      </c>
      <c r="W661">
        <f>IF(AND(ISNUMBER('자료_거시'!$G643),ISNUMBER('자료_거시'!$H643)),'자료_거시'!$H643,"")</f>
        <v/>
      </c>
      <c r="X661">
        <f>IF(ISNUMBER(W661),'자료_거시'!$G643,"")</f>
        <v/>
      </c>
      <c r="Y661">
        <f>IF(ISNUMBER(X661),IF(X661&gt;$L$7,W661,""),"")</f>
        <v/>
      </c>
      <c r="Z661">
        <f>IF(ISNUMBER('자료_거시'!$K643),'자료_거시'!$K643,Z660)</f>
        <v/>
      </c>
      <c r="AA661">
        <f>IF(AND(ISNUMBER('자료_거시'!$J643),ISNUMBER('자료_거시'!$K643)),IFERROR('자료_거시'!$K643/INDEX($Z$21:$Z$4020,MATCH(EDATE('자료_거시'!$J643,-'설정'!$B$17),'자료_거시'!$J$3:INDEX('자료_거시'!$J$3:$J$4002,$K$8),1))-1,""),"")</f>
        <v/>
      </c>
      <c r="AB661">
        <f>IF(ISNUMBER(AA661),'자료_거시'!$J643,"")</f>
        <v/>
      </c>
      <c r="AC661">
        <f>IF(ISNUMBER(AB661),IF(AB661&gt;$L$8,AA661,""),"")</f>
        <v/>
      </c>
    </row>
    <row r="662">
      <c r="S662">
        <f>IF(ISNUMBER('자료_거시'!$E644),'자료_거시'!$E644,S661)</f>
        <v/>
      </c>
      <c r="T662">
        <f>IF(AND(ISNUMBER('자료_거시'!$D644),ISNUMBER('자료_거시'!$E644)),IFERROR('자료_거시'!$E644-INDEX($S$21:$S$4020,MATCH(EDATE('자료_거시'!$D644,-'설정'!$B$17),'자료_거시'!$D$3:INDEX('자료_거시'!$D$3:$D$4002,$K$6),1)),""),"")</f>
        <v/>
      </c>
      <c r="U662">
        <f>IF(ISNUMBER(T662),'자료_거시'!$D644,"")</f>
        <v/>
      </c>
      <c r="V662">
        <f>IF(ISNUMBER(U662),IF(U662&gt;$L$6,T662,""),"")</f>
        <v/>
      </c>
      <c r="W662">
        <f>IF(AND(ISNUMBER('자료_거시'!$G644),ISNUMBER('자료_거시'!$H644)),'자료_거시'!$H644,"")</f>
        <v/>
      </c>
      <c r="X662">
        <f>IF(ISNUMBER(W662),'자료_거시'!$G644,"")</f>
        <v/>
      </c>
      <c r="Y662">
        <f>IF(ISNUMBER(X662),IF(X662&gt;$L$7,W662,""),"")</f>
        <v/>
      </c>
      <c r="Z662">
        <f>IF(ISNUMBER('자료_거시'!$K644),'자료_거시'!$K644,Z661)</f>
        <v/>
      </c>
      <c r="AA662">
        <f>IF(AND(ISNUMBER('자료_거시'!$J644),ISNUMBER('자료_거시'!$K644)),IFERROR('자료_거시'!$K644/INDEX($Z$21:$Z$4020,MATCH(EDATE('자료_거시'!$J644,-'설정'!$B$17),'자료_거시'!$J$3:INDEX('자료_거시'!$J$3:$J$4002,$K$8),1))-1,""),"")</f>
        <v/>
      </c>
      <c r="AB662">
        <f>IF(ISNUMBER(AA662),'자료_거시'!$J644,"")</f>
        <v/>
      </c>
      <c r="AC662">
        <f>IF(ISNUMBER(AB662),IF(AB662&gt;$L$8,AA662,""),"")</f>
        <v/>
      </c>
    </row>
    <row r="663">
      <c r="S663">
        <f>IF(ISNUMBER('자료_거시'!$E645),'자료_거시'!$E645,S662)</f>
        <v/>
      </c>
      <c r="T663">
        <f>IF(AND(ISNUMBER('자료_거시'!$D645),ISNUMBER('자료_거시'!$E645)),IFERROR('자료_거시'!$E645-INDEX($S$21:$S$4020,MATCH(EDATE('자료_거시'!$D645,-'설정'!$B$17),'자료_거시'!$D$3:INDEX('자료_거시'!$D$3:$D$4002,$K$6),1)),""),"")</f>
        <v/>
      </c>
      <c r="U663">
        <f>IF(ISNUMBER(T663),'자료_거시'!$D645,"")</f>
        <v/>
      </c>
      <c r="V663">
        <f>IF(ISNUMBER(U663),IF(U663&gt;$L$6,T663,""),"")</f>
        <v/>
      </c>
      <c r="W663">
        <f>IF(AND(ISNUMBER('자료_거시'!$G645),ISNUMBER('자료_거시'!$H645)),'자료_거시'!$H645,"")</f>
        <v/>
      </c>
      <c r="X663">
        <f>IF(ISNUMBER(W663),'자료_거시'!$G645,"")</f>
        <v/>
      </c>
      <c r="Y663">
        <f>IF(ISNUMBER(X663),IF(X663&gt;$L$7,W663,""),"")</f>
        <v/>
      </c>
      <c r="Z663">
        <f>IF(ISNUMBER('자료_거시'!$K645),'자료_거시'!$K645,Z662)</f>
        <v/>
      </c>
      <c r="AA663">
        <f>IF(AND(ISNUMBER('자료_거시'!$J645),ISNUMBER('자료_거시'!$K645)),IFERROR('자료_거시'!$K645/INDEX($Z$21:$Z$4020,MATCH(EDATE('자료_거시'!$J645,-'설정'!$B$17),'자료_거시'!$J$3:INDEX('자료_거시'!$J$3:$J$4002,$K$8),1))-1,""),"")</f>
        <v/>
      </c>
      <c r="AB663">
        <f>IF(ISNUMBER(AA663),'자료_거시'!$J645,"")</f>
        <v/>
      </c>
      <c r="AC663">
        <f>IF(ISNUMBER(AB663),IF(AB663&gt;$L$8,AA663,""),"")</f>
        <v/>
      </c>
    </row>
    <row r="664">
      <c r="S664">
        <f>IF(ISNUMBER('자료_거시'!$E646),'자료_거시'!$E646,S663)</f>
        <v/>
      </c>
      <c r="T664">
        <f>IF(AND(ISNUMBER('자료_거시'!$D646),ISNUMBER('자료_거시'!$E646)),IFERROR('자료_거시'!$E646-INDEX($S$21:$S$4020,MATCH(EDATE('자료_거시'!$D646,-'설정'!$B$17),'자료_거시'!$D$3:INDEX('자료_거시'!$D$3:$D$4002,$K$6),1)),""),"")</f>
        <v/>
      </c>
      <c r="U664">
        <f>IF(ISNUMBER(T664),'자료_거시'!$D646,"")</f>
        <v/>
      </c>
      <c r="V664">
        <f>IF(ISNUMBER(U664),IF(U664&gt;$L$6,T664,""),"")</f>
        <v/>
      </c>
      <c r="W664">
        <f>IF(AND(ISNUMBER('자료_거시'!$G646),ISNUMBER('자료_거시'!$H646)),'자료_거시'!$H646,"")</f>
        <v/>
      </c>
      <c r="X664">
        <f>IF(ISNUMBER(W664),'자료_거시'!$G646,"")</f>
        <v/>
      </c>
      <c r="Y664">
        <f>IF(ISNUMBER(X664),IF(X664&gt;$L$7,W664,""),"")</f>
        <v/>
      </c>
      <c r="Z664">
        <f>IF(ISNUMBER('자료_거시'!$K646),'자료_거시'!$K646,Z663)</f>
        <v/>
      </c>
      <c r="AA664">
        <f>IF(AND(ISNUMBER('자료_거시'!$J646),ISNUMBER('자료_거시'!$K646)),IFERROR('자료_거시'!$K646/INDEX($Z$21:$Z$4020,MATCH(EDATE('자료_거시'!$J646,-'설정'!$B$17),'자료_거시'!$J$3:INDEX('자료_거시'!$J$3:$J$4002,$K$8),1))-1,""),"")</f>
        <v/>
      </c>
      <c r="AB664">
        <f>IF(ISNUMBER(AA664),'자료_거시'!$J646,"")</f>
        <v/>
      </c>
      <c r="AC664">
        <f>IF(ISNUMBER(AB664),IF(AB664&gt;$L$8,AA664,""),"")</f>
        <v/>
      </c>
    </row>
    <row r="665">
      <c r="S665">
        <f>IF(ISNUMBER('자료_거시'!$E647),'자료_거시'!$E647,S664)</f>
        <v/>
      </c>
      <c r="T665">
        <f>IF(AND(ISNUMBER('자료_거시'!$D647),ISNUMBER('자료_거시'!$E647)),IFERROR('자료_거시'!$E647-INDEX($S$21:$S$4020,MATCH(EDATE('자료_거시'!$D647,-'설정'!$B$17),'자료_거시'!$D$3:INDEX('자료_거시'!$D$3:$D$4002,$K$6),1)),""),"")</f>
        <v/>
      </c>
      <c r="U665">
        <f>IF(ISNUMBER(T665),'자료_거시'!$D647,"")</f>
        <v/>
      </c>
      <c r="V665">
        <f>IF(ISNUMBER(U665),IF(U665&gt;$L$6,T665,""),"")</f>
        <v/>
      </c>
      <c r="W665">
        <f>IF(AND(ISNUMBER('자료_거시'!$G647),ISNUMBER('자료_거시'!$H647)),'자료_거시'!$H647,"")</f>
        <v/>
      </c>
      <c r="X665">
        <f>IF(ISNUMBER(W665),'자료_거시'!$G647,"")</f>
        <v/>
      </c>
      <c r="Y665">
        <f>IF(ISNUMBER(X665),IF(X665&gt;$L$7,W665,""),"")</f>
        <v/>
      </c>
      <c r="Z665">
        <f>IF(ISNUMBER('자료_거시'!$K647),'자료_거시'!$K647,Z664)</f>
        <v/>
      </c>
      <c r="AA665">
        <f>IF(AND(ISNUMBER('자료_거시'!$J647),ISNUMBER('자료_거시'!$K647)),IFERROR('자료_거시'!$K647/INDEX($Z$21:$Z$4020,MATCH(EDATE('자료_거시'!$J647,-'설정'!$B$17),'자료_거시'!$J$3:INDEX('자료_거시'!$J$3:$J$4002,$K$8),1))-1,""),"")</f>
        <v/>
      </c>
      <c r="AB665">
        <f>IF(ISNUMBER(AA665),'자료_거시'!$J647,"")</f>
        <v/>
      </c>
      <c r="AC665">
        <f>IF(ISNUMBER(AB665),IF(AB665&gt;$L$8,AA665,""),"")</f>
        <v/>
      </c>
    </row>
    <row r="666">
      <c r="S666">
        <f>IF(ISNUMBER('자료_거시'!$E648),'자료_거시'!$E648,S665)</f>
        <v/>
      </c>
      <c r="T666">
        <f>IF(AND(ISNUMBER('자료_거시'!$D648),ISNUMBER('자료_거시'!$E648)),IFERROR('자료_거시'!$E648-INDEX($S$21:$S$4020,MATCH(EDATE('자료_거시'!$D648,-'설정'!$B$17),'자료_거시'!$D$3:INDEX('자료_거시'!$D$3:$D$4002,$K$6),1)),""),"")</f>
        <v/>
      </c>
      <c r="U666">
        <f>IF(ISNUMBER(T666),'자료_거시'!$D648,"")</f>
        <v/>
      </c>
      <c r="V666">
        <f>IF(ISNUMBER(U666),IF(U666&gt;$L$6,T666,""),"")</f>
        <v/>
      </c>
      <c r="W666">
        <f>IF(AND(ISNUMBER('자료_거시'!$G648),ISNUMBER('자료_거시'!$H648)),'자료_거시'!$H648,"")</f>
        <v/>
      </c>
      <c r="X666">
        <f>IF(ISNUMBER(W666),'자료_거시'!$G648,"")</f>
        <v/>
      </c>
      <c r="Y666">
        <f>IF(ISNUMBER(X666),IF(X666&gt;$L$7,W666,""),"")</f>
        <v/>
      </c>
      <c r="Z666">
        <f>IF(ISNUMBER('자료_거시'!$K648),'자료_거시'!$K648,Z665)</f>
        <v/>
      </c>
      <c r="AA666">
        <f>IF(AND(ISNUMBER('자료_거시'!$J648),ISNUMBER('자료_거시'!$K648)),IFERROR('자료_거시'!$K648/INDEX($Z$21:$Z$4020,MATCH(EDATE('자료_거시'!$J648,-'설정'!$B$17),'자료_거시'!$J$3:INDEX('자료_거시'!$J$3:$J$4002,$K$8),1))-1,""),"")</f>
        <v/>
      </c>
      <c r="AB666">
        <f>IF(ISNUMBER(AA666),'자료_거시'!$J648,"")</f>
        <v/>
      </c>
      <c r="AC666">
        <f>IF(ISNUMBER(AB666),IF(AB666&gt;$L$8,AA666,""),"")</f>
        <v/>
      </c>
    </row>
    <row r="667">
      <c r="S667">
        <f>IF(ISNUMBER('자료_거시'!$E649),'자료_거시'!$E649,S666)</f>
        <v/>
      </c>
      <c r="T667">
        <f>IF(AND(ISNUMBER('자료_거시'!$D649),ISNUMBER('자료_거시'!$E649)),IFERROR('자료_거시'!$E649-INDEX($S$21:$S$4020,MATCH(EDATE('자료_거시'!$D649,-'설정'!$B$17),'자료_거시'!$D$3:INDEX('자료_거시'!$D$3:$D$4002,$K$6),1)),""),"")</f>
        <v/>
      </c>
      <c r="U667">
        <f>IF(ISNUMBER(T667),'자료_거시'!$D649,"")</f>
        <v/>
      </c>
      <c r="V667">
        <f>IF(ISNUMBER(U667),IF(U667&gt;$L$6,T667,""),"")</f>
        <v/>
      </c>
      <c r="W667">
        <f>IF(AND(ISNUMBER('자료_거시'!$G649),ISNUMBER('자료_거시'!$H649)),'자료_거시'!$H649,"")</f>
        <v/>
      </c>
      <c r="X667">
        <f>IF(ISNUMBER(W667),'자료_거시'!$G649,"")</f>
        <v/>
      </c>
      <c r="Y667">
        <f>IF(ISNUMBER(X667),IF(X667&gt;$L$7,W667,""),"")</f>
        <v/>
      </c>
      <c r="Z667">
        <f>IF(ISNUMBER('자료_거시'!$K649),'자료_거시'!$K649,Z666)</f>
        <v/>
      </c>
      <c r="AA667">
        <f>IF(AND(ISNUMBER('자료_거시'!$J649),ISNUMBER('자료_거시'!$K649)),IFERROR('자료_거시'!$K649/INDEX($Z$21:$Z$4020,MATCH(EDATE('자료_거시'!$J649,-'설정'!$B$17),'자료_거시'!$J$3:INDEX('자료_거시'!$J$3:$J$4002,$K$8),1))-1,""),"")</f>
        <v/>
      </c>
      <c r="AB667">
        <f>IF(ISNUMBER(AA667),'자료_거시'!$J649,"")</f>
        <v/>
      </c>
      <c r="AC667">
        <f>IF(ISNUMBER(AB667),IF(AB667&gt;$L$8,AA667,""),"")</f>
        <v/>
      </c>
    </row>
    <row r="668">
      <c r="S668">
        <f>IF(ISNUMBER('자료_거시'!$E650),'자료_거시'!$E650,S667)</f>
        <v/>
      </c>
      <c r="T668">
        <f>IF(AND(ISNUMBER('자료_거시'!$D650),ISNUMBER('자료_거시'!$E650)),IFERROR('자료_거시'!$E650-INDEX($S$21:$S$4020,MATCH(EDATE('자료_거시'!$D650,-'설정'!$B$17),'자료_거시'!$D$3:INDEX('자료_거시'!$D$3:$D$4002,$K$6),1)),""),"")</f>
        <v/>
      </c>
      <c r="U668">
        <f>IF(ISNUMBER(T668),'자료_거시'!$D650,"")</f>
        <v/>
      </c>
      <c r="V668">
        <f>IF(ISNUMBER(U668),IF(U668&gt;$L$6,T668,""),"")</f>
        <v/>
      </c>
      <c r="W668">
        <f>IF(AND(ISNUMBER('자료_거시'!$G650),ISNUMBER('자료_거시'!$H650)),'자료_거시'!$H650,"")</f>
        <v/>
      </c>
      <c r="X668">
        <f>IF(ISNUMBER(W668),'자료_거시'!$G650,"")</f>
        <v/>
      </c>
      <c r="Y668">
        <f>IF(ISNUMBER(X668),IF(X668&gt;$L$7,W668,""),"")</f>
        <v/>
      </c>
      <c r="Z668">
        <f>IF(ISNUMBER('자료_거시'!$K650),'자료_거시'!$K650,Z667)</f>
        <v/>
      </c>
      <c r="AA668">
        <f>IF(AND(ISNUMBER('자료_거시'!$J650),ISNUMBER('자료_거시'!$K650)),IFERROR('자료_거시'!$K650/INDEX($Z$21:$Z$4020,MATCH(EDATE('자료_거시'!$J650,-'설정'!$B$17),'자료_거시'!$J$3:INDEX('자료_거시'!$J$3:$J$4002,$K$8),1))-1,""),"")</f>
        <v/>
      </c>
      <c r="AB668">
        <f>IF(ISNUMBER(AA668),'자료_거시'!$J650,"")</f>
        <v/>
      </c>
      <c r="AC668">
        <f>IF(ISNUMBER(AB668),IF(AB668&gt;$L$8,AA668,""),"")</f>
        <v/>
      </c>
    </row>
    <row r="669">
      <c r="S669">
        <f>IF(ISNUMBER('자료_거시'!$E651),'자료_거시'!$E651,S668)</f>
        <v/>
      </c>
      <c r="T669">
        <f>IF(AND(ISNUMBER('자료_거시'!$D651),ISNUMBER('자료_거시'!$E651)),IFERROR('자료_거시'!$E651-INDEX($S$21:$S$4020,MATCH(EDATE('자료_거시'!$D651,-'설정'!$B$17),'자료_거시'!$D$3:INDEX('자료_거시'!$D$3:$D$4002,$K$6),1)),""),"")</f>
        <v/>
      </c>
      <c r="U669">
        <f>IF(ISNUMBER(T669),'자료_거시'!$D651,"")</f>
        <v/>
      </c>
      <c r="V669">
        <f>IF(ISNUMBER(U669),IF(U669&gt;$L$6,T669,""),"")</f>
        <v/>
      </c>
      <c r="W669">
        <f>IF(AND(ISNUMBER('자료_거시'!$G651),ISNUMBER('자료_거시'!$H651)),'자료_거시'!$H651,"")</f>
        <v/>
      </c>
      <c r="X669">
        <f>IF(ISNUMBER(W669),'자료_거시'!$G651,"")</f>
        <v/>
      </c>
      <c r="Y669">
        <f>IF(ISNUMBER(X669),IF(X669&gt;$L$7,W669,""),"")</f>
        <v/>
      </c>
      <c r="Z669">
        <f>IF(ISNUMBER('자료_거시'!$K651),'자료_거시'!$K651,Z668)</f>
        <v/>
      </c>
      <c r="AA669">
        <f>IF(AND(ISNUMBER('자료_거시'!$J651),ISNUMBER('자료_거시'!$K651)),IFERROR('자료_거시'!$K651/INDEX($Z$21:$Z$4020,MATCH(EDATE('자료_거시'!$J651,-'설정'!$B$17),'자료_거시'!$J$3:INDEX('자료_거시'!$J$3:$J$4002,$K$8),1))-1,""),"")</f>
        <v/>
      </c>
      <c r="AB669">
        <f>IF(ISNUMBER(AA669),'자료_거시'!$J651,"")</f>
        <v/>
      </c>
      <c r="AC669">
        <f>IF(ISNUMBER(AB669),IF(AB669&gt;$L$8,AA669,""),"")</f>
        <v/>
      </c>
    </row>
    <row r="670">
      <c r="S670">
        <f>IF(ISNUMBER('자료_거시'!$E652),'자료_거시'!$E652,S669)</f>
        <v/>
      </c>
      <c r="T670">
        <f>IF(AND(ISNUMBER('자료_거시'!$D652),ISNUMBER('자료_거시'!$E652)),IFERROR('자료_거시'!$E652-INDEX($S$21:$S$4020,MATCH(EDATE('자료_거시'!$D652,-'설정'!$B$17),'자료_거시'!$D$3:INDEX('자료_거시'!$D$3:$D$4002,$K$6),1)),""),"")</f>
        <v/>
      </c>
      <c r="U670">
        <f>IF(ISNUMBER(T670),'자료_거시'!$D652,"")</f>
        <v/>
      </c>
      <c r="V670">
        <f>IF(ISNUMBER(U670),IF(U670&gt;$L$6,T670,""),"")</f>
        <v/>
      </c>
      <c r="W670">
        <f>IF(AND(ISNUMBER('자료_거시'!$G652),ISNUMBER('자료_거시'!$H652)),'자료_거시'!$H652,"")</f>
        <v/>
      </c>
      <c r="X670">
        <f>IF(ISNUMBER(W670),'자료_거시'!$G652,"")</f>
        <v/>
      </c>
      <c r="Y670">
        <f>IF(ISNUMBER(X670),IF(X670&gt;$L$7,W670,""),"")</f>
        <v/>
      </c>
      <c r="Z670">
        <f>IF(ISNUMBER('자료_거시'!$K652),'자료_거시'!$K652,Z669)</f>
        <v/>
      </c>
      <c r="AA670">
        <f>IF(AND(ISNUMBER('자료_거시'!$J652),ISNUMBER('자료_거시'!$K652)),IFERROR('자료_거시'!$K652/INDEX($Z$21:$Z$4020,MATCH(EDATE('자료_거시'!$J652,-'설정'!$B$17),'자료_거시'!$J$3:INDEX('자료_거시'!$J$3:$J$4002,$K$8),1))-1,""),"")</f>
        <v/>
      </c>
      <c r="AB670">
        <f>IF(ISNUMBER(AA670),'자료_거시'!$J652,"")</f>
        <v/>
      </c>
      <c r="AC670">
        <f>IF(ISNUMBER(AB670),IF(AB670&gt;$L$8,AA670,""),"")</f>
        <v/>
      </c>
    </row>
    <row r="671">
      <c r="S671">
        <f>IF(ISNUMBER('자료_거시'!$E653),'자료_거시'!$E653,S670)</f>
        <v/>
      </c>
      <c r="T671">
        <f>IF(AND(ISNUMBER('자료_거시'!$D653),ISNUMBER('자료_거시'!$E653)),IFERROR('자료_거시'!$E653-INDEX($S$21:$S$4020,MATCH(EDATE('자료_거시'!$D653,-'설정'!$B$17),'자료_거시'!$D$3:INDEX('자료_거시'!$D$3:$D$4002,$K$6),1)),""),"")</f>
        <v/>
      </c>
      <c r="U671">
        <f>IF(ISNUMBER(T671),'자료_거시'!$D653,"")</f>
        <v/>
      </c>
      <c r="V671">
        <f>IF(ISNUMBER(U671),IF(U671&gt;$L$6,T671,""),"")</f>
        <v/>
      </c>
      <c r="W671">
        <f>IF(AND(ISNUMBER('자료_거시'!$G653),ISNUMBER('자료_거시'!$H653)),'자료_거시'!$H653,"")</f>
        <v/>
      </c>
      <c r="X671">
        <f>IF(ISNUMBER(W671),'자료_거시'!$G653,"")</f>
        <v/>
      </c>
      <c r="Y671">
        <f>IF(ISNUMBER(X671),IF(X671&gt;$L$7,W671,""),"")</f>
        <v/>
      </c>
      <c r="Z671">
        <f>IF(ISNUMBER('자료_거시'!$K653),'자료_거시'!$K653,Z670)</f>
        <v/>
      </c>
      <c r="AA671">
        <f>IF(AND(ISNUMBER('자료_거시'!$J653),ISNUMBER('자료_거시'!$K653)),IFERROR('자료_거시'!$K653/INDEX($Z$21:$Z$4020,MATCH(EDATE('자료_거시'!$J653,-'설정'!$B$17),'자료_거시'!$J$3:INDEX('자료_거시'!$J$3:$J$4002,$K$8),1))-1,""),"")</f>
        <v/>
      </c>
      <c r="AB671">
        <f>IF(ISNUMBER(AA671),'자료_거시'!$J653,"")</f>
        <v/>
      </c>
      <c r="AC671">
        <f>IF(ISNUMBER(AB671),IF(AB671&gt;$L$8,AA671,""),"")</f>
        <v/>
      </c>
    </row>
    <row r="672">
      <c r="S672">
        <f>IF(ISNUMBER('자료_거시'!$E654),'자료_거시'!$E654,S671)</f>
        <v/>
      </c>
      <c r="T672">
        <f>IF(AND(ISNUMBER('자료_거시'!$D654),ISNUMBER('자료_거시'!$E654)),IFERROR('자료_거시'!$E654-INDEX($S$21:$S$4020,MATCH(EDATE('자료_거시'!$D654,-'설정'!$B$17),'자료_거시'!$D$3:INDEX('자료_거시'!$D$3:$D$4002,$K$6),1)),""),"")</f>
        <v/>
      </c>
      <c r="U672">
        <f>IF(ISNUMBER(T672),'자료_거시'!$D654,"")</f>
        <v/>
      </c>
      <c r="V672">
        <f>IF(ISNUMBER(U672),IF(U672&gt;$L$6,T672,""),"")</f>
        <v/>
      </c>
      <c r="W672">
        <f>IF(AND(ISNUMBER('자료_거시'!$G654),ISNUMBER('자료_거시'!$H654)),'자료_거시'!$H654,"")</f>
        <v/>
      </c>
      <c r="X672">
        <f>IF(ISNUMBER(W672),'자료_거시'!$G654,"")</f>
        <v/>
      </c>
      <c r="Y672">
        <f>IF(ISNUMBER(X672),IF(X672&gt;$L$7,W672,""),"")</f>
        <v/>
      </c>
      <c r="Z672">
        <f>IF(ISNUMBER('자료_거시'!$K654),'자료_거시'!$K654,Z671)</f>
        <v/>
      </c>
      <c r="AA672">
        <f>IF(AND(ISNUMBER('자료_거시'!$J654),ISNUMBER('자료_거시'!$K654)),IFERROR('자료_거시'!$K654/INDEX($Z$21:$Z$4020,MATCH(EDATE('자료_거시'!$J654,-'설정'!$B$17),'자료_거시'!$J$3:INDEX('자료_거시'!$J$3:$J$4002,$K$8),1))-1,""),"")</f>
        <v/>
      </c>
      <c r="AB672">
        <f>IF(ISNUMBER(AA672),'자료_거시'!$J654,"")</f>
        <v/>
      </c>
      <c r="AC672">
        <f>IF(ISNUMBER(AB672),IF(AB672&gt;$L$8,AA672,""),"")</f>
        <v/>
      </c>
    </row>
    <row r="673">
      <c r="S673">
        <f>IF(ISNUMBER('자료_거시'!$E655),'자료_거시'!$E655,S672)</f>
        <v/>
      </c>
      <c r="T673">
        <f>IF(AND(ISNUMBER('자료_거시'!$D655),ISNUMBER('자료_거시'!$E655)),IFERROR('자료_거시'!$E655-INDEX($S$21:$S$4020,MATCH(EDATE('자료_거시'!$D655,-'설정'!$B$17),'자료_거시'!$D$3:INDEX('자료_거시'!$D$3:$D$4002,$K$6),1)),""),"")</f>
        <v/>
      </c>
      <c r="U673">
        <f>IF(ISNUMBER(T673),'자료_거시'!$D655,"")</f>
        <v/>
      </c>
      <c r="V673">
        <f>IF(ISNUMBER(U673),IF(U673&gt;$L$6,T673,""),"")</f>
        <v/>
      </c>
      <c r="W673">
        <f>IF(AND(ISNUMBER('자료_거시'!$G655),ISNUMBER('자료_거시'!$H655)),'자료_거시'!$H655,"")</f>
        <v/>
      </c>
      <c r="X673">
        <f>IF(ISNUMBER(W673),'자료_거시'!$G655,"")</f>
        <v/>
      </c>
      <c r="Y673">
        <f>IF(ISNUMBER(X673),IF(X673&gt;$L$7,W673,""),"")</f>
        <v/>
      </c>
      <c r="Z673">
        <f>IF(ISNUMBER('자료_거시'!$K655),'자료_거시'!$K655,Z672)</f>
        <v/>
      </c>
      <c r="AA673">
        <f>IF(AND(ISNUMBER('자료_거시'!$J655),ISNUMBER('자료_거시'!$K655)),IFERROR('자료_거시'!$K655/INDEX($Z$21:$Z$4020,MATCH(EDATE('자료_거시'!$J655,-'설정'!$B$17),'자료_거시'!$J$3:INDEX('자료_거시'!$J$3:$J$4002,$K$8),1))-1,""),"")</f>
        <v/>
      </c>
      <c r="AB673">
        <f>IF(ISNUMBER(AA673),'자료_거시'!$J655,"")</f>
        <v/>
      </c>
      <c r="AC673">
        <f>IF(ISNUMBER(AB673),IF(AB673&gt;$L$8,AA673,""),"")</f>
        <v/>
      </c>
    </row>
    <row r="674">
      <c r="S674">
        <f>IF(ISNUMBER('자료_거시'!$E656),'자료_거시'!$E656,S673)</f>
        <v/>
      </c>
      <c r="T674">
        <f>IF(AND(ISNUMBER('자료_거시'!$D656),ISNUMBER('자료_거시'!$E656)),IFERROR('자료_거시'!$E656-INDEX($S$21:$S$4020,MATCH(EDATE('자료_거시'!$D656,-'설정'!$B$17),'자료_거시'!$D$3:INDEX('자료_거시'!$D$3:$D$4002,$K$6),1)),""),"")</f>
        <v/>
      </c>
      <c r="U674">
        <f>IF(ISNUMBER(T674),'자료_거시'!$D656,"")</f>
        <v/>
      </c>
      <c r="V674">
        <f>IF(ISNUMBER(U674),IF(U674&gt;$L$6,T674,""),"")</f>
        <v/>
      </c>
      <c r="W674">
        <f>IF(AND(ISNUMBER('자료_거시'!$G656),ISNUMBER('자료_거시'!$H656)),'자료_거시'!$H656,"")</f>
        <v/>
      </c>
      <c r="X674">
        <f>IF(ISNUMBER(W674),'자료_거시'!$G656,"")</f>
        <v/>
      </c>
      <c r="Y674">
        <f>IF(ISNUMBER(X674),IF(X674&gt;$L$7,W674,""),"")</f>
        <v/>
      </c>
      <c r="Z674">
        <f>IF(ISNUMBER('자료_거시'!$K656),'자료_거시'!$K656,Z673)</f>
        <v/>
      </c>
      <c r="AA674">
        <f>IF(AND(ISNUMBER('자료_거시'!$J656),ISNUMBER('자료_거시'!$K656)),IFERROR('자료_거시'!$K656/INDEX($Z$21:$Z$4020,MATCH(EDATE('자료_거시'!$J656,-'설정'!$B$17),'자료_거시'!$J$3:INDEX('자료_거시'!$J$3:$J$4002,$K$8),1))-1,""),"")</f>
        <v/>
      </c>
      <c r="AB674">
        <f>IF(ISNUMBER(AA674),'자료_거시'!$J656,"")</f>
        <v/>
      </c>
      <c r="AC674">
        <f>IF(ISNUMBER(AB674),IF(AB674&gt;$L$8,AA674,""),"")</f>
        <v/>
      </c>
    </row>
    <row r="675">
      <c r="S675">
        <f>IF(ISNUMBER('자료_거시'!$E657),'자료_거시'!$E657,S674)</f>
        <v/>
      </c>
      <c r="T675">
        <f>IF(AND(ISNUMBER('자료_거시'!$D657),ISNUMBER('자료_거시'!$E657)),IFERROR('자료_거시'!$E657-INDEX($S$21:$S$4020,MATCH(EDATE('자료_거시'!$D657,-'설정'!$B$17),'자료_거시'!$D$3:INDEX('자료_거시'!$D$3:$D$4002,$K$6),1)),""),"")</f>
        <v/>
      </c>
      <c r="U675">
        <f>IF(ISNUMBER(T675),'자료_거시'!$D657,"")</f>
        <v/>
      </c>
      <c r="V675">
        <f>IF(ISNUMBER(U675),IF(U675&gt;$L$6,T675,""),"")</f>
        <v/>
      </c>
      <c r="W675">
        <f>IF(AND(ISNUMBER('자료_거시'!$G657),ISNUMBER('자료_거시'!$H657)),'자료_거시'!$H657,"")</f>
        <v/>
      </c>
      <c r="X675">
        <f>IF(ISNUMBER(W675),'자료_거시'!$G657,"")</f>
        <v/>
      </c>
      <c r="Y675">
        <f>IF(ISNUMBER(X675),IF(X675&gt;$L$7,W675,""),"")</f>
        <v/>
      </c>
      <c r="Z675">
        <f>IF(ISNUMBER('자료_거시'!$K657),'자료_거시'!$K657,Z674)</f>
        <v/>
      </c>
      <c r="AA675">
        <f>IF(AND(ISNUMBER('자료_거시'!$J657),ISNUMBER('자료_거시'!$K657)),IFERROR('자료_거시'!$K657/INDEX($Z$21:$Z$4020,MATCH(EDATE('자료_거시'!$J657,-'설정'!$B$17),'자료_거시'!$J$3:INDEX('자료_거시'!$J$3:$J$4002,$K$8),1))-1,""),"")</f>
        <v/>
      </c>
      <c r="AB675">
        <f>IF(ISNUMBER(AA675),'자료_거시'!$J657,"")</f>
        <v/>
      </c>
      <c r="AC675">
        <f>IF(ISNUMBER(AB675),IF(AB675&gt;$L$8,AA675,""),"")</f>
        <v/>
      </c>
    </row>
    <row r="676">
      <c r="S676">
        <f>IF(ISNUMBER('자료_거시'!$E658),'자료_거시'!$E658,S675)</f>
        <v/>
      </c>
      <c r="T676">
        <f>IF(AND(ISNUMBER('자료_거시'!$D658),ISNUMBER('자료_거시'!$E658)),IFERROR('자료_거시'!$E658-INDEX($S$21:$S$4020,MATCH(EDATE('자료_거시'!$D658,-'설정'!$B$17),'자료_거시'!$D$3:INDEX('자료_거시'!$D$3:$D$4002,$K$6),1)),""),"")</f>
        <v/>
      </c>
      <c r="U676">
        <f>IF(ISNUMBER(T676),'자료_거시'!$D658,"")</f>
        <v/>
      </c>
      <c r="V676">
        <f>IF(ISNUMBER(U676),IF(U676&gt;$L$6,T676,""),"")</f>
        <v/>
      </c>
      <c r="W676">
        <f>IF(AND(ISNUMBER('자료_거시'!$G658),ISNUMBER('자료_거시'!$H658)),'자료_거시'!$H658,"")</f>
        <v/>
      </c>
      <c r="X676">
        <f>IF(ISNUMBER(W676),'자료_거시'!$G658,"")</f>
        <v/>
      </c>
      <c r="Y676">
        <f>IF(ISNUMBER(X676),IF(X676&gt;$L$7,W676,""),"")</f>
        <v/>
      </c>
      <c r="Z676">
        <f>IF(ISNUMBER('자료_거시'!$K658),'자료_거시'!$K658,Z675)</f>
        <v/>
      </c>
      <c r="AA676">
        <f>IF(AND(ISNUMBER('자료_거시'!$J658),ISNUMBER('자료_거시'!$K658)),IFERROR('자료_거시'!$K658/INDEX($Z$21:$Z$4020,MATCH(EDATE('자료_거시'!$J658,-'설정'!$B$17),'자료_거시'!$J$3:INDEX('자료_거시'!$J$3:$J$4002,$K$8),1))-1,""),"")</f>
        <v/>
      </c>
      <c r="AB676">
        <f>IF(ISNUMBER(AA676),'자료_거시'!$J658,"")</f>
        <v/>
      </c>
      <c r="AC676">
        <f>IF(ISNUMBER(AB676),IF(AB676&gt;$L$8,AA676,""),"")</f>
        <v/>
      </c>
    </row>
    <row r="677">
      <c r="S677">
        <f>IF(ISNUMBER('자료_거시'!$E659),'자료_거시'!$E659,S676)</f>
        <v/>
      </c>
      <c r="T677">
        <f>IF(AND(ISNUMBER('자료_거시'!$D659),ISNUMBER('자료_거시'!$E659)),IFERROR('자료_거시'!$E659-INDEX($S$21:$S$4020,MATCH(EDATE('자료_거시'!$D659,-'설정'!$B$17),'자료_거시'!$D$3:INDEX('자료_거시'!$D$3:$D$4002,$K$6),1)),""),"")</f>
        <v/>
      </c>
      <c r="U677">
        <f>IF(ISNUMBER(T677),'자료_거시'!$D659,"")</f>
        <v/>
      </c>
      <c r="V677">
        <f>IF(ISNUMBER(U677),IF(U677&gt;$L$6,T677,""),"")</f>
        <v/>
      </c>
      <c r="W677">
        <f>IF(AND(ISNUMBER('자료_거시'!$G659),ISNUMBER('자료_거시'!$H659)),'자료_거시'!$H659,"")</f>
        <v/>
      </c>
      <c r="X677">
        <f>IF(ISNUMBER(W677),'자료_거시'!$G659,"")</f>
        <v/>
      </c>
      <c r="Y677">
        <f>IF(ISNUMBER(X677),IF(X677&gt;$L$7,W677,""),"")</f>
        <v/>
      </c>
      <c r="Z677">
        <f>IF(ISNUMBER('자료_거시'!$K659),'자료_거시'!$K659,Z676)</f>
        <v/>
      </c>
      <c r="AA677">
        <f>IF(AND(ISNUMBER('자료_거시'!$J659),ISNUMBER('자료_거시'!$K659)),IFERROR('자료_거시'!$K659/INDEX($Z$21:$Z$4020,MATCH(EDATE('자료_거시'!$J659,-'설정'!$B$17),'자료_거시'!$J$3:INDEX('자료_거시'!$J$3:$J$4002,$K$8),1))-1,""),"")</f>
        <v/>
      </c>
      <c r="AB677">
        <f>IF(ISNUMBER(AA677),'자료_거시'!$J659,"")</f>
        <v/>
      </c>
      <c r="AC677">
        <f>IF(ISNUMBER(AB677),IF(AB677&gt;$L$8,AA677,""),"")</f>
        <v/>
      </c>
    </row>
    <row r="678">
      <c r="S678">
        <f>IF(ISNUMBER('자료_거시'!$E660),'자료_거시'!$E660,S677)</f>
        <v/>
      </c>
      <c r="T678">
        <f>IF(AND(ISNUMBER('자료_거시'!$D660),ISNUMBER('자료_거시'!$E660)),IFERROR('자료_거시'!$E660-INDEX($S$21:$S$4020,MATCH(EDATE('자료_거시'!$D660,-'설정'!$B$17),'자료_거시'!$D$3:INDEX('자료_거시'!$D$3:$D$4002,$K$6),1)),""),"")</f>
        <v/>
      </c>
      <c r="U678">
        <f>IF(ISNUMBER(T678),'자료_거시'!$D660,"")</f>
        <v/>
      </c>
      <c r="V678">
        <f>IF(ISNUMBER(U678),IF(U678&gt;$L$6,T678,""),"")</f>
        <v/>
      </c>
      <c r="W678">
        <f>IF(AND(ISNUMBER('자료_거시'!$G660),ISNUMBER('자료_거시'!$H660)),'자료_거시'!$H660,"")</f>
        <v/>
      </c>
      <c r="X678">
        <f>IF(ISNUMBER(W678),'자료_거시'!$G660,"")</f>
        <v/>
      </c>
      <c r="Y678">
        <f>IF(ISNUMBER(X678),IF(X678&gt;$L$7,W678,""),"")</f>
        <v/>
      </c>
      <c r="Z678">
        <f>IF(ISNUMBER('자료_거시'!$K660),'자료_거시'!$K660,Z677)</f>
        <v/>
      </c>
      <c r="AA678">
        <f>IF(AND(ISNUMBER('자료_거시'!$J660),ISNUMBER('자료_거시'!$K660)),IFERROR('자료_거시'!$K660/INDEX($Z$21:$Z$4020,MATCH(EDATE('자료_거시'!$J660,-'설정'!$B$17),'자료_거시'!$J$3:INDEX('자료_거시'!$J$3:$J$4002,$K$8),1))-1,""),"")</f>
        <v/>
      </c>
      <c r="AB678">
        <f>IF(ISNUMBER(AA678),'자료_거시'!$J660,"")</f>
        <v/>
      </c>
      <c r="AC678">
        <f>IF(ISNUMBER(AB678),IF(AB678&gt;$L$8,AA678,""),"")</f>
        <v/>
      </c>
    </row>
    <row r="679">
      <c r="S679">
        <f>IF(ISNUMBER('자료_거시'!$E661),'자료_거시'!$E661,S678)</f>
        <v/>
      </c>
      <c r="T679">
        <f>IF(AND(ISNUMBER('자료_거시'!$D661),ISNUMBER('자료_거시'!$E661)),IFERROR('자료_거시'!$E661-INDEX($S$21:$S$4020,MATCH(EDATE('자료_거시'!$D661,-'설정'!$B$17),'자료_거시'!$D$3:INDEX('자료_거시'!$D$3:$D$4002,$K$6),1)),""),"")</f>
        <v/>
      </c>
      <c r="U679">
        <f>IF(ISNUMBER(T679),'자료_거시'!$D661,"")</f>
        <v/>
      </c>
      <c r="V679">
        <f>IF(ISNUMBER(U679),IF(U679&gt;$L$6,T679,""),"")</f>
        <v/>
      </c>
      <c r="W679">
        <f>IF(AND(ISNUMBER('자료_거시'!$G661),ISNUMBER('자료_거시'!$H661)),'자료_거시'!$H661,"")</f>
        <v/>
      </c>
      <c r="X679">
        <f>IF(ISNUMBER(W679),'자료_거시'!$G661,"")</f>
        <v/>
      </c>
      <c r="Y679">
        <f>IF(ISNUMBER(X679),IF(X679&gt;$L$7,W679,""),"")</f>
        <v/>
      </c>
      <c r="Z679">
        <f>IF(ISNUMBER('자료_거시'!$K661),'자료_거시'!$K661,Z678)</f>
        <v/>
      </c>
      <c r="AA679">
        <f>IF(AND(ISNUMBER('자료_거시'!$J661),ISNUMBER('자료_거시'!$K661)),IFERROR('자료_거시'!$K661/INDEX($Z$21:$Z$4020,MATCH(EDATE('자료_거시'!$J661,-'설정'!$B$17),'자료_거시'!$J$3:INDEX('자료_거시'!$J$3:$J$4002,$K$8),1))-1,""),"")</f>
        <v/>
      </c>
      <c r="AB679">
        <f>IF(ISNUMBER(AA679),'자료_거시'!$J661,"")</f>
        <v/>
      </c>
      <c r="AC679">
        <f>IF(ISNUMBER(AB679),IF(AB679&gt;$L$8,AA679,""),"")</f>
        <v/>
      </c>
    </row>
    <row r="680">
      <c r="S680">
        <f>IF(ISNUMBER('자료_거시'!$E662),'자료_거시'!$E662,S679)</f>
        <v/>
      </c>
      <c r="T680">
        <f>IF(AND(ISNUMBER('자료_거시'!$D662),ISNUMBER('자료_거시'!$E662)),IFERROR('자료_거시'!$E662-INDEX($S$21:$S$4020,MATCH(EDATE('자료_거시'!$D662,-'설정'!$B$17),'자료_거시'!$D$3:INDEX('자료_거시'!$D$3:$D$4002,$K$6),1)),""),"")</f>
        <v/>
      </c>
      <c r="U680">
        <f>IF(ISNUMBER(T680),'자료_거시'!$D662,"")</f>
        <v/>
      </c>
      <c r="V680">
        <f>IF(ISNUMBER(U680),IF(U680&gt;$L$6,T680,""),"")</f>
        <v/>
      </c>
      <c r="W680">
        <f>IF(AND(ISNUMBER('자료_거시'!$G662),ISNUMBER('자료_거시'!$H662)),'자료_거시'!$H662,"")</f>
        <v/>
      </c>
      <c r="X680">
        <f>IF(ISNUMBER(W680),'자료_거시'!$G662,"")</f>
        <v/>
      </c>
      <c r="Y680">
        <f>IF(ISNUMBER(X680),IF(X680&gt;$L$7,W680,""),"")</f>
        <v/>
      </c>
      <c r="Z680">
        <f>IF(ISNUMBER('자료_거시'!$K662),'자료_거시'!$K662,Z679)</f>
        <v/>
      </c>
      <c r="AA680">
        <f>IF(AND(ISNUMBER('자료_거시'!$J662),ISNUMBER('자료_거시'!$K662)),IFERROR('자료_거시'!$K662/INDEX($Z$21:$Z$4020,MATCH(EDATE('자료_거시'!$J662,-'설정'!$B$17),'자료_거시'!$J$3:INDEX('자료_거시'!$J$3:$J$4002,$K$8),1))-1,""),"")</f>
        <v/>
      </c>
      <c r="AB680">
        <f>IF(ISNUMBER(AA680),'자료_거시'!$J662,"")</f>
        <v/>
      </c>
      <c r="AC680">
        <f>IF(ISNUMBER(AB680),IF(AB680&gt;$L$8,AA680,""),"")</f>
        <v/>
      </c>
    </row>
    <row r="681">
      <c r="S681">
        <f>IF(ISNUMBER('자료_거시'!$E663),'자료_거시'!$E663,S680)</f>
        <v/>
      </c>
      <c r="T681">
        <f>IF(AND(ISNUMBER('자료_거시'!$D663),ISNUMBER('자료_거시'!$E663)),IFERROR('자료_거시'!$E663-INDEX($S$21:$S$4020,MATCH(EDATE('자료_거시'!$D663,-'설정'!$B$17),'자료_거시'!$D$3:INDEX('자료_거시'!$D$3:$D$4002,$K$6),1)),""),"")</f>
        <v/>
      </c>
      <c r="U681">
        <f>IF(ISNUMBER(T681),'자료_거시'!$D663,"")</f>
        <v/>
      </c>
      <c r="V681">
        <f>IF(ISNUMBER(U681),IF(U681&gt;$L$6,T681,""),"")</f>
        <v/>
      </c>
      <c r="W681">
        <f>IF(AND(ISNUMBER('자료_거시'!$G663),ISNUMBER('자료_거시'!$H663)),'자료_거시'!$H663,"")</f>
        <v/>
      </c>
      <c r="X681">
        <f>IF(ISNUMBER(W681),'자료_거시'!$G663,"")</f>
        <v/>
      </c>
      <c r="Y681">
        <f>IF(ISNUMBER(X681),IF(X681&gt;$L$7,W681,""),"")</f>
        <v/>
      </c>
      <c r="Z681">
        <f>IF(ISNUMBER('자료_거시'!$K663),'자료_거시'!$K663,Z680)</f>
        <v/>
      </c>
      <c r="AA681">
        <f>IF(AND(ISNUMBER('자료_거시'!$J663),ISNUMBER('자료_거시'!$K663)),IFERROR('자료_거시'!$K663/INDEX($Z$21:$Z$4020,MATCH(EDATE('자료_거시'!$J663,-'설정'!$B$17),'자료_거시'!$J$3:INDEX('자료_거시'!$J$3:$J$4002,$K$8),1))-1,""),"")</f>
        <v/>
      </c>
      <c r="AB681">
        <f>IF(ISNUMBER(AA681),'자료_거시'!$J663,"")</f>
        <v/>
      </c>
      <c r="AC681">
        <f>IF(ISNUMBER(AB681),IF(AB681&gt;$L$8,AA681,""),"")</f>
        <v/>
      </c>
    </row>
    <row r="682">
      <c r="S682">
        <f>IF(ISNUMBER('자료_거시'!$E664),'자료_거시'!$E664,S681)</f>
        <v/>
      </c>
      <c r="T682">
        <f>IF(AND(ISNUMBER('자료_거시'!$D664),ISNUMBER('자료_거시'!$E664)),IFERROR('자료_거시'!$E664-INDEX($S$21:$S$4020,MATCH(EDATE('자료_거시'!$D664,-'설정'!$B$17),'자료_거시'!$D$3:INDEX('자료_거시'!$D$3:$D$4002,$K$6),1)),""),"")</f>
        <v/>
      </c>
      <c r="U682">
        <f>IF(ISNUMBER(T682),'자료_거시'!$D664,"")</f>
        <v/>
      </c>
      <c r="V682">
        <f>IF(ISNUMBER(U682),IF(U682&gt;$L$6,T682,""),"")</f>
        <v/>
      </c>
      <c r="W682">
        <f>IF(AND(ISNUMBER('자료_거시'!$G664),ISNUMBER('자료_거시'!$H664)),'자료_거시'!$H664,"")</f>
        <v/>
      </c>
      <c r="X682">
        <f>IF(ISNUMBER(W682),'자료_거시'!$G664,"")</f>
        <v/>
      </c>
      <c r="Y682">
        <f>IF(ISNUMBER(X682),IF(X682&gt;$L$7,W682,""),"")</f>
        <v/>
      </c>
      <c r="Z682">
        <f>IF(ISNUMBER('자료_거시'!$K664),'자료_거시'!$K664,Z681)</f>
        <v/>
      </c>
      <c r="AA682">
        <f>IF(AND(ISNUMBER('자료_거시'!$J664),ISNUMBER('자료_거시'!$K664)),IFERROR('자료_거시'!$K664/INDEX($Z$21:$Z$4020,MATCH(EDATE('자료_거시'!$J664,-'설정'!$B$17),'자료_거시'!$J$3:INDEX('자료_거시'!$J$3:$J$4002,$K$8),1))-1,""),"")</f>
        <v/>
      </c>
      <c r="AB682">
        <f>IF(ISNUMBER(AA682),'자료_거시'!$J664,"")</f>
        <v/>
      </c>
      <c r="AC682">
        <f>IF(ISNUMBER(AB682),IF(AB682&gt;$L$8,AA682,""),"")</f>
        <v/>
      </c>
    </row>
    <row r="683">
      <c r="S683">
        <f>IF(ISNUMBER('자료_거시'!$E665),'자료_거시'!$E665,S682)</f>
        <v/>
      </c>
      <c r="T683">
        <f>IF(AND(ISNUMBER('자료_거시'!$D665),ISNUMBER('자료_거시'!$E665)),IFERROR('자료_거시'!$E665-INDEX($S$21:$S$4020,MATCH(EDATE('자료_거시'!$D665,-'설정'!$B$17),'자료_거시'!$D$3:INDEX('자료_거시'!$D$3:$D$4002,$K$6),1)),""),"")</f>
        <v/>
      </c>
      <c r="U683">
        <f>IF(ISNUMBER(T683),'자료_거시'!$D665,"")</f>
        <v/>
      </c>
      <c r="V683">
        <f>IF(ISNUMBER(U683),IF(U683&gt;$L$6,T683,""),"")</f>
        <v/>
      </c>
      <c r="W683">
        <f>IF(AND(ISNUMBER('자료_거시'!$G665),ISNUMBER('자료_거시'!$H665)),'자료_거시'!$H665,"")</f>
        <v/>
      </c>
      <c r="X683">
        <f>IF(ISNUMBER(W683),'자료_거시'!$G665,"")</f>
        <v/>
      </c>
      <c r="Y683">
        <f>IF(ISNUMBER(X683),IF(X683&gt;$L$7,W683,""),"")</f>
        <v/>
      </c>
      <c r="Z683">
        <f>IF(ISNUMBER('자료_거시'!$K665),'자료_거시'!$K665,Z682)</f>
        <v/>
      </c>
      <c r="AA683">
        <f>IF(AND(ISNUMBER('자료_거시'!$J665),ISNUMBER('자료_거시'!$K665)),IFERROR('자료_거시'!$K665/INDEX($Z$21:$Z$4020,MATCH(EDATE('자료_거시'!$J665,-'설정'!$B$17),'자료_거시'!$J$3:INDEX('자료_거시'!$J$3:$J$4002,$K$8),1))-1,""),"")</f>
        <v/>
      </c>
      <c r="AB683">
        <f>IF(ISNUMBER(AA683),'자료_거시'!$J665,"")</f>
        <v/>
      </c>
      <c r="AC683">
        <f>IF(ISNUMBER(AB683),IF(AB683&gt;$L$8,AA683,""),"")</f>
        <v/>
      </c>
    </row>
    <row r="684">
      <c r="S684">
        <f>IF(ISNUMBER('자료_거시'!$E666),'자료_거시'!$E666,S683)</f>
        <v/>
      </c>
      <c r="T684">
        <f>IF(AND(ISNUMBER('자료_거시'!$D666),ISNUMBER('자료_거시'!$E666)),IFERROR('자료_거시'!$E666-INDEX($S$21:$S$4020,MATCH(EDATE('자료_거시'!$D666,-'설정'!$B$17),'자료_거시'!$D$3:INDEX('자료_거시'!$D$3:$D$4002,$K$6),1)),""),"")</f>
        <v/>
      </c>
      <c r="U684">
        <f>IF(ISNUMBER(T684),'자료_거시'!$D666,"")</f>
        <v/>
      </c>
      <c r="V684">
        <f>IF(ISNUMBER(U684),IF(U684&gt;$L$6,T684,""),"")</f>
        <v/>
      </c>
      <c r="W684">
        <f>IF(AND(ISNUMBER('자료_거시'!$G666),ISNUMBER('자료_거시'!$H666)),'자료_거시'!$H666,"")</f>
        <v/>
      </c>
      <c r="X684">
        <f>IF(ISNUMBER(W684),'자료_거시'!$G666,"")</f>
        <v/>
      </c>
      <c r="Y684">
        <f>IF(ISNUMBER(X684),IF(X684&gt;$L$7,W684,""),"")</f>
        <v/>
      </c>
      <c r="Z684">
        <f>IF(ISNUMBER('자료_거시'!$K666),'자료_거시'!$K666,Z683)</f>
        <v/>
      </c>
      <c r="AA684">
        <f>IF(AND(ISNUMBER('자료_거시'!$J666),ISNUMBER('자료_거시'!$K666)),IFERROR('자료_거시'!$K666/INDEX($Z$21:$Z$4020,MATCH(EDATE('자료_거시'!$J666,-'설정'!$B$17),'자료_거시'!$J$3:INDEX('자료_거시'!$J$3:$J$4002,$K$8),1))-1,""),"")</f>
        <v/>
      </c>
      <c r="AB684">
        <f>IF(ISNUMBER(AA684),'자료_거시'!$J666,"")</f>
        <v/>
      </c>
      <c r="AC684">
        <f>IF(ISNUMBER(AB684),IF(AB684&gt;$L$8,AA684,""),"")</f>
        <v/>
      </c>
    </row>
    <row r="685">
      <c r="S685">
        <f>IF(ISNUMBER('자료_거시'!$E667),'자료_거시'!$E667,S684)</f>
        <v/>
      </c>
      <c r="T685">
        <f>IF(AND(ISNUMBER('자료_거시'!$D667),ISNUMBER('자료_거시'!$E667)),IFERROR('자료_거시'!$E667-INDEX($S$21:$S$4020,MATCH(EDATE('자료_거시'!$D667,-'설정'!$B$17),'자료_거시'!$D$3:INDEX('자료_거시'!$D$3:$D$4002,$K$6),1)),""),"")</f>
        <v/>
      </c>
      <c r="U685">
        <f>IF(ISNUMBER(T685),'자료_거시'!$D667,"")</f>
        <v/>
      </c>
      <c r="V685">
        <f>IF(ISNUMBER(U685),IF(U685&gt;$L$6,T685,""),"")</f>
        <v/>
      </c>
      <c r="W685">
        <f>IF(AND(ISNUMBER('자료_거시'!$G667),ISNUMBER('자료_거시'!$H667)),'자료_거시'!$H667,"")</f>
        <v/>
      </c>
      <c r="X685">
        <f>IF(ISNUMBER(W685),'자료_거시'!$G667,"")</f>
        <v/>
      </c>
      <c r="Y685">
        <f>IF(ISNUMBER(X685),IF(X685&gt;$L$7,W685,""),"")</f>
        <v/>
      </c>
      <c r="Z685">
        <f>IF(ISNUMBER('자료_거시'!$K667),'자료_거시'!$K667,Z684)</f>
        <v/>
      </c>
      <c r="AA685">
        <f>IF(AND(ISNUMBER('자료_거시'!$J667),ISNUMBER('자료_거시'!$K667)),IFERROR('자료_거시'!$K667/INDEX($Z$21:$Z$4020,MATCH(EDATE('자료_거시'!$J667,-'설정'!$B$17),'자료_거시'!$J$3:INDEX('자료_거시'!$J$3:$J$4002,$K$8),1))-1,""),"")</f>
        <v/>
      </c>
      <c r="AB685">
        <f>IF(ISNUMBER(AA685),'자료_거시'!$J667,"")</f>
        <v/>
      </c>
      <c r="AC685">
        <f>IF(ISNUMBER(AB685),IF(AB685&gt;$L$8,AA685,""),"")</f>
        <v/>
      </c>
    </row>
    <row r="686">
      <c r="S686">
        <f>IF(ISNUMBER('자료_거시'!$E668),'자료_거시'!$E668,S685)</f>
        <v/>
      </c>
      <c r="T686">
        <f>IF(AND(ISNUMBER('자료_거시'!$D668),ISNUMBER('자료_거시'!$E668)),IFERROR('자료_거시'!$E668-INDEX($S$21:$S$4020,MATCH(EDATE('자료_거시'!$D668,-'설정'!$B$17),'자료_거시'!$D$3:INDEX('자료_거시'!$D$3:$D$4002,$K$6),1)),""),"")</f>
        <v/>
      </c>
      <c r="U686">
        <f>IF(ISNUMBER(T686),'자료_거시'!$D668,"")</f>
        <v/>
      </c>
      <c r="V686">
        <f>IF(ISNUMBER(U686),IF(U686&gt;$L$6,T686,""),"")</f>
        <v/>
      </c>
      <c r="W686">
        <f>IF(AND(ISNUMBER('자료_거시'!$G668),ISNUMBER('자료_거시'!$H668)),'자료_거시'!$H668,"")</f>
        <v/>
      </c>
      <c r="X686">
        <f>IF(ISNUMBER(W686),'자료_거시'!$G668,"")</f>
        <v/>
      </c>
      <c r="Y686">
        <f>IF(ISNUMBER(X686),IF(X686&gt;$L$7,W686,""),"")</f>
        <v/>
      </c>
      <c r="Z686">
        <f>IF(ISNUMBER('자료_거시'!$K668),'자료_거시'!$K668,Z685)</f>
        <v/>
      </c>
      <c r="AA686">
        <f>IF(AND(ISNUMBER('자료_거시'!$J668),ISNUMBER('자료_거시'!$K668)),IFERROR('자료_거시'!$K668/INDEX($Z$21:$Z$4020,MATCH(EDATE('자료_거시'!$J668,-'설정'!$B$17),'자료_거시'!$J$3:INDEX('자료_거시'!$J$3:$J$4002,$K$8),1))-1,""),"")</f>
        <v/>
      </c>
      <c r="AB686">
        <f>IF(ISNUMBER(AA686),'자료_거시'!$J668,"")</f>
        <v/>
      </c>
      <c r="AC686">
        <f>IF(ISNUMBER(AB686),IF(AB686&gt;$L$8,AA686,""),"")</f>
        <v/>
      </c>
    </row>
    <row r="687">
      <c r="S687">
        <f>IF(ISNUMBER('자료_거시'!$E669),'자료_거시'!$E669,S686)</f>
        <v/>
      </c>
      <c r="T687">
        <f>IF(AND(ISNUMBER('자료_거시'!$D669),ISNUMBER('자료_거시'!$E669)),IFERROR('자료_거시'!$E669-INDEX($S$21:$S$4020,MATCH(EDATE('자료_거시'!$D669,-'설정'!$B$17),'자료_거시'!$D$3:INDEX('자료_거시'!$D$3:$D$4002,$K$6),1)),""),"")</f>
        <v/>
      </c>
      <c r="U687">
        <f>IF(ISNUMBER(T687),'자료_거시'!$D669,"")</f>
        <v/>
      </c>
      <c r="V687">
        <f>IF(ISNUMBER(U687),IF(U687&gt;$L$6,T687,""),"")</f>
        <v/>
      </c>
      <c r="W687">
        <f>IF(AND(ISNUMBER('자료_거시'!$G669),ISNUMBER('자료_거시'!$H669)),'자료_거시'!$H669,"")</f>
        <v/>
      </c>
      <c r="X687">
        <f>IF(ISNUMBER(W687),'자료_거시'!$G669,"")</f>
        <v/>
      </c>
      <c r="Y687">
        <f>IF(ISNUMBER(X687),IF(X687&gt;$L$7,W687,""),"")</f>
        <v/>
      </c>
      <c r="Z687">
        <f>IF(ISNUMBER('자료_거시'!$K669),'자료_거시'!$K669,Z686)</f>
        <v/>
      </c>
      <c r="AA687">
        <f>IF(AND(ISNUMBER('자료_거시'!$J669),ISNUMBER('자료_거시'!$K669)),IFERROR('자료_거시'!$K669/INDEX($Z$21:$Z$4020,MATCH(EDATE('자료_거시'!$J669,-'설정'!$B$17),'자료_거시'!$J$3:INDEX('자료_거시'!$J$3:$J$4002,$K$8),1))-1,""),"")</f>
        <v/>
      </c>
      <c r="AB687">
        <f>IF(ISNUMBER(AA687),'자료_거시'!$J669,"")</f>
        <v/>
      </c>
      <c r="AC687">
        <f>IF(ISNUMBER(AB687),IF(AB687&gt;$L$8,AA687,""),"")</f>
        <v/>
      </c>
    </row>
    <row r="688">
      <c r="S688">
        <f>IF(ISNUMBER('자료_거시'!$E670),'자료_거시'!$E670,S687)</f>
        <v/>
      </c>
      <c r="T688">
        <f>IF(AND(ISNUMBER('자료_거시'!$D670),ISNUMBER('자료_거시'!$E670)),IFERROR('자료_거시'!$E670-INDEX($S$21:$S$4020,MATCH(EDATE('자료_거시'!$D670,-'설정'!$B$17),'자료_거시'!$D$3:INDEX('자료_거시'!$D$3:$D$4002,$K$6),1)),""),"")</f>
        <v/>
      </c>
      <c r="U688">
        <f>IF(ISNUMBER(T688),'자료_거시'!$D670,"")</f>
        <v/>
      </c>
      <c r="V688">
        <f>IF(ISNUMBER(U688),IF(U688&gt;$L$6,T688,""),"")</f>
        <v/>
      </c>
      <c r="W688">
        <f>IF(AND(ISNUMBER('자료_거시'!$G670),ISNUMBER('자료_거시'!$H670)),'자료_거시'!$H670,"")</f>
        <v/>
      </c>
      <c r="X688">
        <f>IF(ISNUMBER(W688),'자료_거시'!$G670,"")</f>
        <v/>
      </c>
      <c r="Y688">
        <f>IF(ISNUMBER(X688),IF(X688&gt;$L$7,W688,""),"")</f>
        <v/>
      </c>
      <c r="Z688">
        <f>IF(ISNUMBER('자료_거시'!$K670),'자료_거시'!$K670,Z687)</f>
        <v/>
      </c>
      <c r="AA688">
        <f>IF(AND(ISNUMBER('자료_거시'!$J670),ISNUMBER('자료_거시'!$K670)),IFERROR('자료_거시'!$K670/INDEX($Z$21:$Z$4020,MATCH(EDATE('자료_거시'!$J670,-'설정'!$B$17),'자료_거시'!$J$3:INDEX('자료_거시'!$J$3:$J$4002,$K$8),1))-1,""),"")</f>
        <v/>
      </c>
      <c r="AB688">
        <f>IF(ISNUMBER(AA688),'자료_거시'!$J670,"")</f>
        <v/>
      </c>
      <c r="AC688">
        <f>IF(ISNUMBER(AB688),IF(AB688&gt;$L$8,AA688,""),"")</f>
        <v/>
      </c>
    </row>
    <row r="689">
      <c r="S689">
        <f>IF(ISNUMBER('자료_거시'!$E671),'자료_거시'!$E671,S688)</f>
        <v/>
      </c>
      <c r="T689">
        <f>IF(AND(ISNUMBER('자료_거시'!$D671),ISNUMBER('자료_거시'!$E671)),IFERROR('자료_거시'!$E671-INDEX($S$21:$S$4020,MATCH(EDATE('자료_거시'!$D671,-'설정'!$B$17),'자료_거시'!$D$3:INDEX('자료_거시'!$D$3:$D$4002,$K$6),1)),""),"")</f>
        <v/>
      </c>
      <c r="U689">
        <f>IF(ISNUMBER(T689),'자료_거시'!$D671,"")</f>
        <v/>
      </c>
      <c r="V689">
        <f>IF(ISNUMBER(U689),IF(U689&gt;$L$6,T689,""),"")</f>
        <v/>
      </c>
      <c r="W689">
        <f>IF(AND(ISNUMBER('자료_거시'!$G671),ISNUMBER('자료_거시'!$H671)),'자료_거시'!$H671,"")</f>
        <v/>
      </c>
      <c r="X689">
        <f>IF(ISNUMBER(W689),'자료_거시'!$G671,"")</f>
        <v/>
      </c>
      <c r="Y689">
        <f>IF(ISNUMBER(X689),IF(X689&gt;$L$7,W689,""),"")</f>
        <v/>
      </c>
      <c r="Z689">
        <f>IF(ISNUMBER('자료_거시'!$K671),'자료_거시'!$K671,Z688)</f>
        <v/>
      </c>
      <c r="AA689">
        <f>IF(AND(ISNUMBER('자료_거시'!$J671),ISNUMBER('자료_거시'!$K671)),IFERROR('자료_거시'!$K671/INDEX($Z$21:$Z$4020,MATCH(EDATE('자료_거시'!$J671,-'설정'!$B$17),'자료_거시'!$J$3:INDEX('자료_거시'!$J$3:$J$4002,$K$8),1))-1,""),"")</f>
        <v/>
      </c>
      <c r="AB689">
        <f>IF(ISNUMBER(AA689),'자료_거시'!$J671,"")</f>
        <v/>
      </c>
      <c r="AC689">
        <f>IF(ISNUMBER(AB689),IF(AB689&gt;$L$8,AA689,""),"")</f>
        <v/>
      </c>
    </row>
    <row r="690">
      <c r="S690">
        <f>IF(ISNUMBER('자료_거시'!$E672),'자료_거시'!$E672,S689)</f>
        <v/>
      </c>
      <c r="T690">
        <f>IF(AND(ISNUMBER('자료_거시'!$D672),ISNUMBER('자료_거시'!$E672)),IFERROR('자료_거시'!$E672-INDEX($S$21:$S$4020,MATCH(EDATE('자료_거시'!$D672,-'설정'!$B$17),'자료_거시'!$D$3:INDEX('자료_거시'!$D$3:$D$4002,$K$6),1)),""),"")</f>
        <v/>
      </c>
      <c r="U690">
        <f>IF(ISNUMBER(T690),'자료_거시'!$D672,"")</f>
        <v/>
      </c>
      <c r="V690">
        <f>IF(ISNUMBER(U690),IF(U690&gt;$L$6,T690,""),"")</f>
        <v/>
      </c>
      <c r="W690">
        <f>IF(AND(ISNUMBER('자료_거시'!$G672),ISNUMBER('자료_거시'!$H672)),'자료_거시'!$H672,"")</f>
        <v/>
      </c>
      <c r="X690">
        <f>IF(ISNUMBER(W690),'자료_거시'!$G672,"")</f>
        <v/>
      </c>
      <c r="Y690">
        <f>IF(ISNUMBER(X690),IF(X690&gt;$L$7,W690,""),"")</f>
        <v/>
      </c>
      <c r="Z690">
        <f>IF(ISNUMBER('자료_거시'!$K672),'자료_거시'!$K672,Z689)</f>
        <v/>
      </c>
      <c r="AA690">
        <f>IF(AND(ISNUMBER('자료_거시'!$J672),ISNUMBER('자료_거시'!$K672)),IFERROR('자료_거시'!$K672/INDEX($Z$21:$Z$4020,MATCH(EDATE('자료_거시'!$J672,-'설정'!$B$17),'자료_거시'!$J$3:INDEX('자료_거시'!$J$3:$J$4002,$K$8),1))-1,""),"")</f>
        <v/>
      </c>
      <c r="AB690">
        <f>IF(ISNUMBER(AA690),'자료_거시'!$J672,"")</f>
        <v/>
      </c>
      <c r="AC690">
        <f>IF(ISNUMBER(AB690),IF(AB690&gt;$L$8,AA690,""),"")</f>
        <v/>
      </c>
    </row>
    <row r="691">
      <c r="S691">
        <f>IF(ISNUMBER('자료_거시'!$E673),'자료_거시'!$E673,S690)</f>
        <v/>
      </c>
      <c r="T691">
        <f>IF(AND(ISNUMBER('자료_거시'!$D673),ISNUMBER('자료_거시'!$E673)),IFERROR('자료_거시'!$E673-INDEX($S$21:$S$4020,MATCH(EDATE('자료_거시'!$D673,-'설정'!$B$17),'자료_거시'!$D$3:INDEX('자료_거시'!$D$3:$D$4002,$K$6),1)),""),"")</f>
        <v/>
      </c>
      <c r="U691">
        <f>IF(ISNUMBER(T691),'자료_거시'!$D673,"")</f>
        <v/>
      </c>
      <c r="V691">
        <f>IF(ISNUMBER(U691),IF(U691&gt;$L$6,T691,""),"")</f>
        <v/>
      </c>
      <c r="W691">
        <f>IF(AND(ISNUMBER('자료_거시'!$G673),ISNUMBER('자료_거시'!$H673)),'자료_거시'!$H673,"")</f>
        <v/>
      </c>
      <c r="X691">
        <f>IF(ISNUMBER(W691),'자료_거시'!$G673,"")</f>
        <v/>
      </c>
      <c r="Y691">
        <f>IF(ISNUMBER(X691),IF(X691&gt;$L$7,W691,""),"")</f>
        <v/>
      </c>
      <c r="Z691">
        <f>IF(ISNUMBER('자료_거시'!$K673),'자료_거시'!$K673,Z690)</f>
        <v/>
      </c>
      <c r="AA691">
        <f>IF(AND(ISNUMBER('자료_거시'!$J673),ISNUMBER('자료_거시'!$K673)),IFERROR('자료_거시'!$K673/INDEX($Z$21:$Z$4020,MATCH(EDATE('자료_거시'!$J673,-'설정'!$B$17),'자료_거시'!$J$3:INDEX('자료_거시'!$J$3:$J$4002,$K$8),1))-1,""),"")</f>
        <v/>
      </c>
      <c r="AB691">
        <f>IF(ISNUMBER(AA691),'자료_거시'!$J673,"")</f>
        <v/>
      </c>
      <c r="AC691">
        <f>IF(ISNUMBER(AB691),IF(AB691&gt;$L$8,AA691,""),"")</f>
        <v/>
      </c>
    </row>
    <row r="692">
      <c r="S692">
        <f>IF(ISNUMBER('자료_거시'!$E674),'자료_거시'!$E674,S691)</f>
        <v/>
      </c>
      <c r="T692">
        <f>IF(AND(ISNUMBER('자료_거시'!$D674),ISNUMBER('자료_거시'!$E674)),IFERROR('자료_거시'!$E674-INDEX($S$21:$S$4020,MATCH(EDATE('자료_거시'!$D674,-'설정'!$B$17),'자료_거시'!$D$3:INDEX('자료_거시'!$D$3:$D$4002,$K$6),1)),""),"")</f>
        <v/>
      </c>
      <c r="U692">
        <f>IF(ISNUMBER(T692),'자료_거시'!$D674,"")</f>
        <v/>
      </c>
      <c r="V692">
        <f>IF(ISNUMBER(U692),IF(U692&gt;$L$6,T692,""),"")</f>
        <v/>
      </c>
      <c r="W692">
        <f>IF(AND(ISNUMBER('자료_거시'!$G674),ISNUMBER('자료_거시'!$H674)),'자료_거시'!$H674,"")</f>
        <v/>
      </c>
      <c r="X692">
        <f>IF(ISNUMBER(W692),'자료_거시'!$G674,"")</f>
        <v/>
      </c>
      <c r="Y692">
        <f>IF(ISNUMBER(X692),IF(X692&gt;$L$7,W692,""),"")</f>
        <v/>
      </c>
      <c r="Z692">
        <f>IF(ISNUMBER('자료_거시'!$K674),'자료_거시'!$K674,Z691)</f>
        <v/>
      </c>
      <c r="AA692">
        <f>IF(AND(ISNUMBER('자료_거시'!$J674),ISNUMBER('자료_거시'!$K674)),IFERROR('자료_거시'!$K674/INDEX($Z$21:$Z$4020,MATCH(EDATE('자료_거시'!$J674,-'설정'!$B$17),'자료_거시'!$J$3:INDEX('자료_거시'!$J$3:$J$4002,$K$8),1))-1,""),"")</f>
        <v/>
      </c>
      <c r="AB692">
        <f>IF(ISNUMBER(AA692),'자료_거시'!$J674,"")</f>
        <v/>
      </c>
      <c r="AC692">
        <f>IF(ISNUMBER(AB692),IF(AB692&gt;$L$8,AA692,""),"")</f>
        <v/>
      </c>
    </row>
    <row r="693">
      <c r="S693">
        <f>IF(ISNUMBER('자료_거시'!$E675),'자료_거시'!$E675,S692)</f>
        <v/>
      </c>
      <c r="T693">
        <f>IF(AND(ISNUMBER('자료_거시'!$D675),ISNUMBER('자료_거시'!$E675)),IFERROR('자료_거시'!$E675-INDEX($S$21:$S$4020,MATCH(EDATE('자료_거시'!$D675,-'설정'!$B$17),'자료_거시'!$D$3:INDEX('자료_거시'!$D$3:$D$4002,$K$6),1)),""),"")</f>
        <v/>
      </c>
      <c r="U693">
        <f>IF(ISNUMBER(T693),'자료_거시'!$D675,"")</f>
        <v/>
      </c>
      <c r="V693">
        <f>IF(ISNUMBER(U693),IF(U693&gt;$L$6,T693,""),"")</f>
        <v/>
      </c>
      <c r="W693">
        <f>IF(AND(ISNUMBER('자료_거시'!$G675),ISNUMBER('자료_거시'!$H675)),'자료_거시'!$H675,"")</f>
        <v/>
      </c>
      <c r="X693">
        <f>IF(ISNUMBER(W693),'자료_거시'!$G675,"")</f>
        <v/>
      </c>
      <c r="Y693">
        <f>IF(ISNUMBER(X693),IF(X693&gt;$L$7,W693,""),"")</f>
        <v/>
      </c>
      <c r="Z693">
        <f>IF(ISNUMBER('자료_거시'!$K675),'자료_거시'!$K675,Z692)</f>
        <v/>
      </c>
      <c r="AA693">
        <f>IF(AND(ISNUMBER('자료_거시'!$J675),ISNUMBER('자료_거시'!$K675)),IFERROR('자료_거시'!$K675/INDEX($Z$21:$Z$4020,MATCH(EDATE('자료_거시'!$J675,-'설정'!$B$17),'자료_거시'!$J$3:INDEX('자료_거시'!$J$3:$J$4002,$K$8),1))-1,""),"")</f>
        <v/>
      </c>
      <c r="AB693">
        <f>IF(ISNUMBER(AA693),'자료_거시'!$J675,"")</f>
        <v/>
      </c>
      <c r="AC693">
        <f>IF(ISNUMBER(AB693),IF(AB693&gt;$L$8,AA693,""),"")</f>
        <v/>
      </c>
    </row>
    <row r="694">
      <c r="S694">
        <f>IF(ISNUMBER('자료_거시'!$E676),'자료_거시'!$E676,S693)</f>
        <v/>
      </c>
      <c r="T694">
        <f>IF(AND(ISNUMBER('자료_거시'!$D676),ISNUMBER('자료_거시'!$E676)),IFERROR('자료_거시'!$E676-INDEX($S$21:$S$4020,MATCH(EDATE('자료_거시'!$D676,-'설정'!$B$17),'자료_거시'!$D$3:INDEX('자료_거시'!$D$3:$D$4002,$K$6),1)),""),"")</f>
        <v/>
      </c>
      <c r="U694">
        <f>IF(ISNUMBER(T694),'자료_거시'!$D676,"")</f>
        <v/>
      </c>
      <c r="V694">
        <f>IF(ISNUMBER(U694),IF(U694&gt;$L$6,T694,""),"")</f>
        <v/>
      </c>
      <c r="W694">
        <f>IF(AND(ISNUMBER('자료_거시'!$G676),ISNUMBER('자료_거시'!$H676)),'자료_거시'!$H676,"")</f>
        <v/>
      </c>
      <c r="X694">
        <f>IF(ISNUMBER(W694),'자료_거시'!$G676,"")</f>
        <v/>
      </c>
      <c r="Y694">
        <f>IF(ISNUMBER(X694),IF(X694&gt;$L$7,W694,""),"")</f>
        <v/>
      </c>
      <c r="Z694">
        <f>IF(ISNUMBER('자료_거시'!$K676),'자료_거시'!$K676,Z693)</f>
        <v/>
      </c>
      <c r="AA694">
        <f>IF(AND(ISNUMBER('자료_거시'!$J676),ISNUMBER('자료_거시'!$K676)),IFERROR('자료_거시'!$K676/INDEX($Z$21:$Z$4020,MATCH(EDATE('자료_거시'!$J676,-'설정'!$B$17),'자료_거시'!$J$3:INDEX('자료_거시'!$J$3:$J$4002,$K$8),1))-1,""),"")</f>
        <v/>
      </c>
      <c r="AB694">
        <f>IF(ISNUMBER(AA694),'자료_거시'!$J676,"")</f>
        <v/>
      </c>
      <c r="AC694">
        <f>IF(ISNUMBER(AB694),IF(AB694&gt;$L$8,AA694,""),"")</f>
        <v/>
      </c>
    </row>
    <row r="695">
      <c r="S695">
        <f>IF(ISNUMBER('자료_거시'!$E677),'자료_거시'!$E677,S694)</f>
        <v/>
      </c>
      <c r="T695">
        <f>IF(AND(ISNUMBER('자료_거시'!$D677),ISNUMBER('자료_거시'!$E677)),IFERROR('자료_거시'!$E677-INDEX($S$21:$S$4020,MATCH(EDATE('자료_거시'!$D677,-'설정'!$B$17),'자료_거시'!$D$3:INDEX('자료_거시'!$D$3:$D$4002,$K$6),1)),""),"")</f>
        <v/>
      </c>
      <c r="U695">
        <f>IF(ISNUMBER(T695),'자료_거시'!$D677,"")</f>
        <v/>
      </c>
      <c r="V695">
        <f>IF(ISNUMBER(U695),IF(U695&gt;$L$6,T695,""),"")</f>
        <v/>
      </c>
      <c r="W695">
        <f>IF(AND(ISNUMBER('자료_거시'!$G677),ISNUMBER('자료_거시'!$H677)),'자료_거시'!$H677,"")</f>
        <v/>
      </c>
      <c r="X695">
        <f>IF(ISNUMBER(W695),'자료_거시'!$G677,"")</f>
        <v/>
      </c>
      <c r="Y695">
        <f>IF(ISNUMBER(X695),IF(X695&gt;$L$7,W695,""),"")</f>
        <v/>
      </c>
      <c r="Z695">
        <f>IF(ISNUMBER('자료_거시'!$K677),'자료_거시'!$K677,Z694)</f>
        <v/>
      </c>
      <c r="AA695">
        <f>IF(AND(ISNUMBER('자료_거시'!$J677),ISNUMBER('자료_거시'!$K677)),IFERROR('자료_거시'!$K677/INDEX($Z$21:$Z$4020,MATCH(EDATE('자료_거시'!$J677,-'설정'!$B$17),'자료_거시'!$J$3:INDEX('자료_거시'!$J$3:$J$4002,$K$8),1))-1,""),"")</f>
        <v/>
      </c>
      <c r="AB695">
        <f>IF(ISNUMBER(AA695),'자료_거시'!$J677,"")</f>
        <v/>
      </c>
      <c r="AC695">
        <f>IF(ISNUMBER(AB695),IF(AB695&gt;$L$8,AA695,""),"")</f>
        <v/>
      </c>
    </row>
    <row r="696">
      <c r="S696">
        <f>IF(ISNUMBER('자료_거시'!$E678),'자료_거시'!$E678,S695)</f>
        <v/>
      </c>
      <c r="T696">
        <f>IF(AND(ISNUMBER('자료_거시'!$D678),ISNUMBER('자료_거시'!$E678)),IFERROR('자료_거시'!$E678-INDEX($S$21:$S$4020,MATCH(EDATE('자료_거시'!$D678,-'설정'!$B$17),'자료_거시'!$D$3:INDEX('자료_거시'!$D$3:$D$4002,$K$6),1)),""),"")</f>
        <v/>
      </c>
      <c r="U696">
        <f>IF(ISNUMBER(T696),'자료_거시'!$D678,"")</f>
        <v/>
      </c>
      <c r="V696">
        <f>IF(ISNUMBER(U696),IF(U696&gt;$L$6,T696,""),"")</f>
        <v/>
      </c>
      <c r="W696">
        <f>IF(AND(ISNUMBER('자료_거시'!$G678),ISNUMBER('자료_거시'!$H678)),'자료_거시'!$H678,"")</f>
        <v/>
      </c>
      <c r="X696">
        <f>IF(ISNUMBER(W696),'자료_거시'!$G678,"")</f>
        <v/>
      </c>
      <c r="Y696">
        <f>IF(ISNUMBER(X696),IF(X696&gt;$L$7,W696,""),"")</f>
        <v/>
      </c>
      <c r="Z696">
        <f>IF(ISNUMBER('자료_거시'!$K678),'자료_거시'!$K678,Z695)</f>
        <v/>
      </c>
      <c r="AA696">
        <f>IF(AND(ISNUMBER('자료_거시'!$J678),ISNUMBER('자료_거시'!$K678)),IFERROR('자료_거시'!$K678/INDEX($Z$21:$Z$4020,MATCH(EDATE('자료_거시'!$J678,-'설정'!$B$17),'자료_거시'!$J$3:INDEX('자료_거시'!$J$3:$J$4002,$K$8),1))-1,""),"")</f>
        <v/>
      </c>
      <c r="AB696">
        <f>IF(ISNUMBER(AA696),'자료_거시'!$J678,"")</f>
        <v/>
      </c>
      <c r="AC696">
        <f>IF(ISNUMBER(AB696),IF(AB696&gt;$L$8,AA696,""),"")</f>
        <v/>
      </c>
    </row>
    <row r="697">
      <c r="S697">
        <f>IF(ISNUMBER('자료_거시'!$E679),'자료_거시'!$E679,S696)</f>
        <v/>
      </c>
      <c r="T697">
        <f>IF(AND(ISNUMBER('자료_거시'!$D679),ISNUMBER('자료_거시'!$E679)),IFERROR('자료_거시'!$E679-INDEX($S$21:$S$4020,MATCH(EDATE('자료_거시'!$D679,-'설정'!$B$17),'자료_거시'!$D$3:INDEX('자료_거시'!$D$3:$D$4002,$K$6),1)),""),"")</f>
        <v/>
      </c>
      <c r="U697">
        <f>IF(ISNUMBER(T697),'자료_거시'!$D679,"")</f>
        <v/>
      </c>
      <c r="V697">
        <f>IF(ISNUMBER(U697),IF(U697&gt;$L$6,T697,""),"")</f>
        <v/>
      </c>
      <c r="W697">
        <f>IF(AND(ISNUMBER('자료_거시'!$G679),ISNUMBER('자료_거시'!$H679)),'자료_거시'!$H679,"")</f>
        <v/>
      </c>
      <c r="X697">
        <f>IF(ISNUMBER(W697),'자료_거시'!$G679,"")</f>
        <v/>
      </c>
      <c r="Y697">
        <f>IF(ISNUMBER(X697),IF(X697&gt;$L$7,W697,""),"")</f>
        <v/>
      </c>
      <c r="Z697">
        <f>IF(ISNUMBER('자료_거시'!$K679),'자료_거시'!$K679,Z696)</f>
        <v/>
      </c>
      <c r="AA697">
        <f>IF(AND(ISNUMBER('자료_거시'!$J679),ISNUMBER('자료_거시'!$K679)),IFERROR('자료_거시'!$K679/INDEX($Z$21:$Z$4020,MATCH(EDATE('자료_거시'!$J679,-'설정'!$B$17),'자료_거시'!$J$3:INDEX('자료_거시'!$J$3:$J$4002,$K$8),1))-1,""),"")</f>
        <v/>
      </c>
      <c r="AB697">
        <f>IF(ISNUMBER(AA697),'자료_거시'!$J679,"")</f>
        <v/>
      </c>
      <c r="AC697">
        <f>IF(ISNUMBER(AB697),IF(AB697&gt;$L$8,AA697,""),"")</f>
        <v/>
      </c>
    </row>
    <row r="698">
      <c r="S698">
        <f>IF(ISNUMBER('자료_거시'!$E680),'자료_거시'!$E680,S697)</f>
        <v/>
      </c>
      <c r="T698">
        <f>IF(AND(ISNUMBER('자료_거시'!$D680),ISNUMBER('자료_거시'!$E680)),IFERROR('자료_거시'!$E680-INDEX($S$21:$S$4020,MATCH(EDATE('자료_거시'!$D680,-'설정'!$B$17),'자료_거시'!$D$3:INDEX('자료_거시'!$D$3:$D$4002,$K$6),1)),""),"")</f>
        <v/>
      </c>
      <c r="U698">
        <f>IF(ISNUMBER(T698),'자료_거시'!$D680,"")</f>
        <v/>
      </c>
      <c r="V698">
        <f>IF(ISNUMBER(U698),IF(U698&gt;$L$6,T698,""),"")</f>
        <v/>
      </c>
      <c r="W698">
        <f>IF(AND(ISNUMBER('자료_거시'!$G680),ISNUMBER('자료_거시'!$H680)),'자료_거시'!$H680,"")</f>
        <v/>
      </c>
      <c r="X698">
        <f>IF(ISNUMBER(W698),'자료_거시'!$G680,"")</f>
        <v/>
      </c>
      <c r="Y698">
        <f>IF(ISNUMBER(X698),IF(X698&gt;$L$7,W698,""),"")</f>
        <v/>
      </c>
      <c r="Z698">
        <f>IF(ISNUMBER('자료_거시'!$K680),'자료_거시'!$K680,Z697)</f>
        <v/>
      </c>
      <c r="AA698">
        <f>IF(AND(ISNUMBER('자료_거시'!$J680),ISNUMBER('자료_거시'!$K680)),IFERROR('자료_거시'!$K680/INDEX($Z$21:$Z$4020,MATCH(EDATE('자료_거시'!$J680,-'설정'!$B$17),'자료_거시'!$J$3:INDEX('자료_거시'!$J$3:$J$4002,$K$8),1))-1,""),"")</f>
        <v/>
      </c>
      <c r="AB698">
        <f>IF(ISNUMBER(AA698),'자료_거시'!$J680,"")</f>
        <v/>
      </c>
      <c r="AC698">
        <f>IF(ISNUMBER(AB698),IF(AB698&gt;$L$8,AA698,""),"")</f>
        <v/>
      </c>
    </row>
    <row r="699">
      <c r="S699">
        <f>IF(ISNUMBER('자료_거시'!$E681),'자료_거시'!$E681,S698)</f>
        <v/>
      </c>
      <c r="T699">
        <f>IF(AND(ISNUMBER('자료_거시'!$D681),ISNUMBER('자료_거시'!$E681)),IFERROR('자료_거시'!$E681-INDEX($S$21:$S$4020,MATCH(EDATE('자료_거시'!$D681,-'설정'!$B$17),'자료_거시'!$D$3:INDEX('자료_거시'!$D$3:$D$4002,$K$6),1)),""),"")</f>
        <v/>
      </c>
      <c r="U699">
        <f>IF(ISNUMBER(T699),'자료_거시'!$D681,"")</f>
        <v/>
      </c>
      <c r="V699">
        <f>IF(ISNUMBER(U699),IF(U699&gt;$L$6,T699,""),"")</f>
        <v/>
      </c>
      <c r="W699">
        <f>IF(AND(ISNUMBER('자료_거시'!$G681),ISNUMBER('자료_거시'!$H681)),'자료_거시'!$H681,"")</f>
        <v/>
      </c>
      <c r="X699">
        <f>IF(ISNUMBER(W699),'자료_거시'!$G681,"")</f>
        <v/>
      </c>
      <c r="Y699">
        <f>IF(ISNUMBER(X699),IF(X699&gt;$L$7,W699,""),"")</f>
        <v/>
      </c>
      <c r="Z699">
        <f>IF(ISNUMBER('자료_거시'!$K681),'자료_거시'!$K681,Z698)</f>
        <v/>
      </c>
      <c r="AA699">
        <f>IF(AND(ISNUMBER('자료_거시'!$J681),ISNUMBER('자료_거시'!$K681)),IFERROR('자료_거시'!$K681/INDEX($Z$21:$Z$4020,MATCH(EDATE('자료_거시'!$J681,-'설정'!$B$17),'자료_거시'!$J$3:INDEX('자료_거시'!$J$3:$J$4002,$K$8),1))-1,""),"")</f>
        <v/>
      </c>
      <c r="AB699">
        <f>IF(ISNUMBER(AA699),'자료_거시'!$J681,"")</f>
        <v/>
      </c>
      <c r="AC699">
        <f>IF(ISNUMBER(AB699),IF(AB699&gt;$L$8,AA699,""),"")</f>
        <v/>
      </c>
    </row>
    <row r="700">
      <c r="S700">
        <f>IF(ISNUMBER('자료_거시'!$E682),'자료_거시'!$E682,S699)</f>
        <v/>
      </c>
      <c r="T700">
        <f>IF(AND(ISNUMBER('자료_거시'!$D682),ISNUMBER('자료_거시'!$E682)),IFERROR('자료_거시'!$E682-INDEX($S$21:$S$4020,MATCH(EDATE('자료_거시'!$D682,-'설정'!$B$17),'자료_거시'!$D$3:INDEX('자료_거시'!$D$3:$D$4002,$K$6),1)),""),"")</f>
        <v/>
      </c>
      <c r="U700">
        <f>IF(ISNUMBER(T700),'자료_거시'!$D682,"")</f>
        <v/>
      </c>
      <c r="V700">
        <f>IF(ISNUMBER(U700),IF(U700&gt;$L$6,T700,""),"")</f>
        <v/>
      </c>
      <c r="W700">
        <f>IF(AND(ISNUMBER('자료_거시'!$G682),ISNUMBER('자료_거시'!$H682)),'자료_거시'!$H682,"")</f>
        <v/>
      </c>
      <c r="X700">
        <f>IF(ISNUMBER(W700),'자료_거시'!$G682,"")</f>
        <v/>
      </c>
      <c r="Y700">
        <f>IF(ISNUMBER(X700),IF(X700&gt;$L$7,W700,""),"")</f>
        <v/>
      </c>
      <c r="Z700">
        <f>IF(ISNUMBER('자료_거시'!$K682),'자료_거시'!$K682,Z699)</f>
        <v/>
      </c>
      <c r="AA700">
        <f>IF(AND(ISNUMBER('자료_거시'!$J682),ISNUMBER('자료_거시'!$K682)),IFERROR('자료_거시'!$K682/INDEX($Z$21:$Z$4020,MATCH(EDATE('자료_거시'!$J682,-'설정'!$B$17),'자료_거시'!$J$3:INDEX('자료_거시'!$J$3:$J$4002,$K$8),1))-1,""),"")</f>
        <v/>
      </c>
      <c r="AB700">
        <f>IF(ISNUMBER(AA700),'자료_거시'!$J682,"")</f>
        <v/>
      </c>
      <c r="AC700">
        <f>IF(ISNUMBER(AB700),IF(AB700&gt;$L$8,AA700,""),"")</f>
        <v/>
      </c>
    </row>
    <row r="701">
      <c r="S701">
        <f>IF(ISNUMBER('자료_거시'!$E683),'자료_거시'!$E683,S700)</f>
        <v/>
      </c>
      <c r="T701">
        <f>IF(AND(ISNUMBER('자료_거시'!$D683),ISNUMBER('자료_거시'!$E683)),IFERROR('자료_거시'!$E683-INDEX($S$21:$S$4020,MATCH(EDATE('자료_거시'!$D683,-'설정'!$B$17),'자료_거시'!$D$3:INDEX('자료_거시'!$D$3:$D$4002,$K$6),1)),""),"")</f>
        <v/>
      </c>
      <c r="U701">
        <f>IF(ISNUMBER(T701),'자료_거시'!$D683,"")</f>
        <v/>
      </c>
      <c r="V701">
        <f>IF(ISNUMBER(U701),IF(U701&gt;$L$6,T701,""),"")</f>
        <v/>
      </c>
      <c r="W701">
        <f>IF(AND(ISNUMBER('자료_거시'!$G683),ISNUMBER('자료_거시'!$H683)),'자료_거시'!$H683,"")</f>
        <v/>
      </c>
      <c r="X701">
        <f>IF(ISNUMBER(W701),'자료_거시'!$G683,"")</f>
        <v/>
      </c>
      <c r="Y701">
        <f>IF(ISNUMBER(X701),IF(X701&gt;$L$7,W701,""),"")</f>
        <v/>
      </c>
      <c r="Z701">
        <f>IF(ISNUMBER('자료_거시'!$K683),'자료_거시'!$K683,Z700)</f>
        <v/>
      </c>
      <c r="AA701">
        <f>IF(AND(ISNUMBER('자료_거시'!$J683),ISNUMBER('자료_거시'!$K683)),IFERROR('자료_거시'!$K683/INDEX($Z$21:$Z$4020,MATCH(EDATE('자료_거시'!$J683,-'설정'!$B$17),'자료_거시'!$J$3:INDEX('자료_거시'!$J$3:$J$4002,$K$8),1))-1,""),"")</f>
        <v/>
      </c>
      <c r="AB701">
        <f>IF(ISNUMBER(AA701),'자료_거시'!$J683,"")</f>
        <v/>
      </c>
      <c r="AC701">
        <f>IF(ISNUMBER(AB701),IF(AB701&gt;$L$8,AA701,""),"")</f>
        <v/>
      </c>
    </row>
    <row r="702">
      <c r="S702">
        <f>IF(ISNUMBER('자료_거시'!$E684),'자료_거시'!$E684,S701)</f>
        <v/>
      </c>
      <c r="T702">
        <f>IF(AND(ISNUMBER('자료_거시'!$D684),ISNUMBER('자료_거시'!$E684)),IFERROR('자료_거시'!$E684-INDEX($S$21:$S$4020,MATCH(EDATE('자료_거시'!$D684,-'설정'!$B$17),'자료_거시'!$D$3:INDEX('자료_거시'!$D$3:$D$4002,$K$6),1)),""),"")</f>
        <v/>
      </c>
      <c r="U702">
        <f>IF(ISNUMBER(T702),'자료_거시'!$D684,"")</f>
        <v/>
      </c>
      <c r="V702">
        <f>IF(ISNUMBER(U702),IF(U702&gt;$L$6,T702,""),"")</f>
        <v/>
      </c>
      <c r="W702">
        <f>IF(AND(ISNUMBER('자료_거시'!$G684),ISNUMBER('자료_거시'!$H684)),'자료_거시'!$H684,"")</f>
        <v/>
      </c>
      <c r="X702">
        <f>IF(ISNUMBER(W702),'자료_거시'!$G684,"")</f>
        <v/>
      </c>
      <c r="Y702">
        <f>IF(ISNUMBER(X702),IF(X702&gt;$L$7,W702,""),"")</f>
        <v/>
      </c>
      <c r="Z702">
        <f>IF(ISNUMBER('자료_거시'!$K684),'자료_거시'!$K684,Z701)</f>
        <v/>
      </c>
      <c r="AA702">
        <f>IF(AND(ISNUMBER('자료_거시'!$J684),ISNUMBER('자료_거시'!$K684)),IFERROR('자료_거시'!$K684/INDEX($Z$21:$Z$4020,MATCH(EDATE('자료_거시'!$J684,-'설정'!$B$17),'자료_거시'!$J$3:INDEX('자료_거시'!$J$3:$J$4002,$K$8),1))-1,""),"")</f>
        <v/>
      </c>
      <c r="AB702">
        <f>IF(ISNUMBER(AA702),'자료_거시'!$J684,"")</f>
        <v/>
      </c>
      <c r="AC702">
        <f>IF(ISNUMBER(AB702),IF(AB702&gt;$L$8,AA702,""),"")</f>
        <v/>
      </c>
    </row>
    <row r="703">
      <c r="S703">
        <f>IF(ISNUMBER('자료_거시'!$E685),'자료_거시'!$E685,S702)</f>
        <v/>
      </c>
      <c r="T703">
        <f>IF(AND(ISNUMBER('자료_거시'!$D685),ISNUMBER('자료_거시'!$E685)),IFERROR('자료_거시'!$E685-INDEX($S$21:$S$4020,MATCH(EDATE('자료_거시'!$D685,-'설정'!$B$17),'자료_거시'!$D$3:INDEX('자료_거시'!$D$3:$D$4002,$K$6),1)),""),"")</f>
        <v/>
      </c>
      <c r="U703">
        <f>IF(ISNUMBER(T703),'자료_거시'!$D685,"")</f>
        <v/>
      </c>
      <c r="V703">
        <f>IF(ISNUMBER(U703),IF(U703&gt;$L$6,T703,""),"")</f>
        <v/>
      </c>
      <c r="W703">
        <f>IF(AND(ISNUMBER('자료_거시'!$G685),ISNUMBER('자료_거시'!$H685)),'자료_거시'!$H685,"")</f>
        <v/>
      </c>
      <c r="X703">
        <f>IF(ISNUMBER(W703),'자료_거시'!$G685,"")</f>
        <v/>
      </c>
      <c r="Y703">
        <f>IF(ISNUMBER(X703),IF(X703&gt;$L$7,W703,""),"")</f>
        <v/>
      </c>
      <c r="Z703">
        <f>IF(ISNUMBER('자료_거시'!$K685),'자료_거시'!$K685,Z702)</f>
        <v/>
      </c>
      <c r="AA703">
        <f>IF(AND(ISNUMBER('자료_거시'!$J685),ISNUMBER('자료_거시'!$K685)),IFERROR('자료_거시'!$K685/INDEX($Z$21:$Z$4020,MATCH(EDATE('자료_거시'!$J685,-'설정'!$B$17),'자료_거시'!$J$3:INDEX('자료_거시'!$J$3:$J$4002,$K$8),1))-1,""),"")</f>
        <v/>
      </c>
      <c r="AB703">
        <f>IF(ISNUMBER(AA703),'자료_거시'!$J685,"")</f>
        <v/>
      </c>
      <c r="AC703">
        <f>IF(ISNUMBER(AB703),IF(AB703&gt;$L$8,AA703,""),"")</f>
        <v/>
      </c>
    </row>
    <row r="704">
      <c r="S704">
        <f>IF(ISNUMBER('자료_거시'!$E686),'자료_거시'!$E686,S703)</f>
        <v/>
      </c>
      <c r="T704">
        <f>IF(AND(ISNUMBER('자료_거시'!$D686),ISNUMBER('자료_거시'!$E686)),IFERROR('자료_거시'!$E686-INDEX($S$21:$S$4020,MATCH(EDATE('자료_거시'!$D686,-'설정'!$B$17),'자료_거시'!$D$3:INDEX('자료_거시'!$D$3:$D$4002,$K$6),1)),""),"")</f>
        <v/>
      </c>
      <c r="U704">
        <f>IF(ISNUMBER(T704),'자료_거시'!$D686,"")</f>
        <v/>
      </c>
      <c r="V704">
        <f>IF(ISNUMBER(U704),IF(U704&gt;$L$6,T704,""),"")</f>
        <v/>
      </c>
      <c r="W704">
        <f>IF(AND(ISNUMBER('자료_거시'!$G686),ISNUMBER('자료_거시'!$H686)),'자료_거시'!$H686,"")</f>
        <v/>
      </c>
      <c r="X704">
        <f>IF(ISNUMBER(W704),'자료_거시'!$G686,"")</f>
        <v/>
      </c>
      <c r="Y704">
        <f>IF(ISNUMBER(X704),IF(X704&gt;$L$7,W704,""),"")</f>
        <v/>
      </c>
      <c r="Z704">
        <f>IF(ISNUMBER('자료_거시'!$K686),'자료_거시'!$K686,Z703)</f>
        <v/>
      </c>
      <c r="AA704">
        <f>IF(AND(ISNUMBER('자료_거시'!$J686),ISNUMBER('자료_거시'!$K686)),IFERROR('자료_거시'!$K686/INDEX($Z$21:$Z$4020,MATCH(EDATE('자료_거시'!$J686,-'설정'!$B$17),'자료_거시'!$J$3:INDEX('자료_거시'!$J$3:$J$4002,$K$8),1))-1,""),"")</f>
        <v/>
      </c>
      <c r="AB704">
        <f>IF(ISNUMBER(AA704),'자료_거시'!$J686,"")</f>
        <v/>
      </c>
      <c r="AC704">
        <f>IF(ISNUMBER(AB704),IF(AB704&gt;$L$8,AA704,""),"")</f>
        <v/>
      </c>
    </row>
    <row r="705">
      <c r="S705">
        <f>IF(ISNUMBER('자료_거시'!$E687),'자료_거시'!$E687,S704)</f>
        <v/>
      </c>
      <c r="T705">
        <f>IF(AND(ISNUMBER('자료_거시'!$D687),ISNUMBER('자료_거시'!$E687)),IFERROR('자료_거시'!$E687-INDEX($S$21:$S$4020,MATCH(EDATE('자료_거시'!$D687,-'설정'!$B$17),'자료_거시'!$D$3:INDEX('자료_거시'!$D$3:$D$4002,$K$6),1)),""),"")</f>
        <v/>
      </c>
      <c r="U705">
        <f>IF(ISNUMBER(T705),'자료_거시'!$D687,"")</f>
        <v/>
      </c>
      <c r="V705">
        <f>IF(ISNUMBER(U705),IF(U705&gt;$L$6,T705,""),"")</f>
        <v/>
      </c>
      <c r="W705">
        <f>IF(AND(ISNUMBER('자료_거시'!$G687),ISNUMBER('자료_거시'!$H687)),'자료_거시'!$H687,"")</f>
        <v/>
      </c>
      <c r="X705">
        <f>IF(ISNUMBER(W705),'자료_거시'!$G687,"")</f>
        <v/>
      </c>
      <c r="Y705">
        <f>IF(ISNUMBER(X705),IF(X705&gt;$L$7,W705,""),"")</f>
        <v/>
      </c>
      <c r="Z705">
        <f>IF(ISNUMBER('자료_거시'!$K687),'자료_거시'!$K687,Z704)</f>
        <v/>
      </c>
      <c r="AA705">
        <f>IF(AND(ISNUMBER('자료_거시'!$J687),ISNUMBER('자료_거시'!$K687)),IFERROR('자료_거시'!$K687/INDEX($Z$21:$Z$4020,MATCH(EDATE('자료_거시'!$J687,-'설정'!$B$17),'자료_거시'!$J$3:INDEX('자료_거시'!$J$3:$J$4002,$K$8),1))-1,""),"")</f>
        <v/>
      </c>
      <c r="AB705">
        <f>IF(ISNUMBER(AA705),'자료_거시'!$J687,"")</f>
        <v/>
      </c>
      <c r="AC705">
        <f>IF(ISNUMBER(AB705),IF(AB705&gt;$L$8,AA705,""),"")</f>
        <v/>
      </c>
    </row>
    <row r="706">
      <c r="S706">
        <f>IF(ISNUMBER('자료_거시'!$E688),'자료_거시'!$E688,S705)</f>
        <v/>
      </c>
      <c r="T706">
        <f>IF(AND(ISNUMBER('자료_거시'!$D688),ISNUMBER('자료_거시'!$E688)),IFERROR('자료_거시'!$E688-INDEX($S$21:$S$4020,MATCH(EDATE('자료_거시'!$D688,-'설정'!$B$17),'자료_거시'!$D$3:INDEX('자료_거시'!$D$3:$D$4002,$K$6),1)),""),"")</f>
        <v/>
      </c>
      <c r="U706">
        <f>IF(ISNUMBER(T706),'자료_거시'!$D688,"")</f>
        <v/>
      </c>
      <c r="V706">
        <f>IF(ISNUMBER(U706),IF(U706&gt;$L$6,T706,""),"")</f>
        <v/>
      </c>
      <c r="W706">
        <f>IF(AND(ISNUMBER('자료_거시'!$G688),ISNUMBER('자료_거시'!$H688)),'자료_거시'!$H688,"")</f>
        <v/>
      </c>
      <c r="X706">
        <f>IF(ISNUMBER(W706),'자료_거시'!$G688,"")</f>
        <v/>
      </c>
      <c r="Y706">
        <f>IF(ISNUMBER(X706),IF(X706&gt;$L$7,W706,""),"")</f>
        <v/>
      </c>
      <c r="Z706">
        <f>IF(ISNUMBER('자료_거시'!$K688),'자료_거시'!$K688,Z705)</f>
        <v/>
      </c>
      <c r="AA706">
        <f>IF(AND(ISNUMBER('자료_거시'!$J688),ISNUMBER('자료_거시'!$K688)),IFERROR('자료_거시'!$K688/INDEX($Z$21:$Z$4020,MATCH(EDATE('자료_거시'!$J688,-'설정'!$B$17),'자료_거시'!$J$3:INDEX('자료_거시'!$J$3:$J$4002,$K$8),1))-1,""),"")</f>
        <v/>
      </c>
      <c r="AB706">
        <f>IF(ISNUMBER(AA706),'자료_거시'!$J688,"")</f>
        <v/>
      </c>
      <c r="AC706">
        <f>IF(ISNUMBER(AB706),IF(AB706&gt;$L$8,AA706,""),"")</f>
        <v/>
      </c>
    </row>
    <row r="707">
      <c r="S707">
        <f>IF(ISNUMBER('자료_거시'!$E689),'자료_거시'!$E689,S706)</f>
        <v/>
      </c>
      <c r="T707">
        <f>IF(AND(ISNUMBER('자료_거시'!$D689),ISNUMBER('자료_거시'!$E689)),IFERROR('자료_거시'!$E689-INDEX($S$21:$S$4020,MATCH(EDATE('자료_거시'!$D689,-'설정'!$B$17),'자료_거시'!$D$3:INDEX('자료_거시'!$D$3:$D$4002,$K$6),1)),""),"")</f>
        <v/>
      </c>
      <c r="U707">
        <f>IF(ISNUMBER(T707),'자료_거시'!$D689,"")</f>
        <v/>
      </c>
      <c r="V707">
        <f>IF(ISNUMBER(U707),IF(U707&gt;$L$6,T707,""),"")</f>
        <v/>
      </c>
      <c r="W707">
        <f>IF(AND(ISNUMBER('자료_거시'!$G689),ISNUMBER('자료_거시'!$H689)),'자료_거시'!$H689,"")</f>
        <v/>
      </c>
      <c r="X707">
        <f>IF(ISNUMBER(W707),'자료_거시'!$G689,"")</f>
        <v/>
      </c>
      <c r="Y707">
        <f>IF(ISNUMBER(X707),IF(X707&gt;$L$7,W707,""),"")</f>
        <v/>
      </c>
      <c r="Z707">
        <f>IF(ISNUMBER('자료_거시'!$K689),'자료_거시'!$K689,Z706)</f>
        <v/>
      </c>
      <c r="AA707">
        <f>IF(AND(ISNUMBER('자료_거시'!$J689),ISNUMBER('자료_거시'!$K689)),IFERROR('자료_거시'!$K689/INDEX($Z$21:$Z$4020,MATCH(EDATE('자료_거시'!$J689,-'설정'!$B$17),'자료_거시'!$J$3:INDEX('자료_거시'!$J$3:$J$4002,$K$8),1))-1,""),"")</f>
        <v/>
      </c>
      <c r="AB707">
        <f>IF(ISNUMBER(AA707),'자료_거시'!$J689,"")</f>
        <v/>
      </c>
      <c r="AC707">
        <f>IF(ISNUMBER(AB707),IF(AB707&gt;$L$8,AA707,""),"")</f>
        <v/>
      </c>
    </row>
    <row r="708">
      <c r="S708">
        <f>IF(ISNUMBER('자료_거시'!$E690),'자료_거시'!$E690,S707)</f>
        <v/>
      </c>
      <c r="T708">
        <f>IF(AND(ISNUMBER('자료_거시'!$D690),ISNUMBER('자료_거시'!$E690)),IFERROR('자료_거시'!$E690-INDEX($S$21:$S$4020,MATCH(EDATE('자료_거시'!$D690,-'설정'!$B$17),'자료_거시'!$D$3:INDEX('자료_거시'!$D$3:$D$4002,$K$6),1)),""),"")</f>
        <v/>
      </c>
      <c r="U708">
        <f>IF(ISNUMBER(T708),'자료_거시'!$D690,"")</f>
        <v/>
      </c>
      <c r="V708">
        <f>IF(ISNUMBER(U708),IF(U708&gt;$L$6,T708,""),"")</f>
        <v/>
      </c>
      <c r="W708">
        <f>IF(AND(ISNUMBER('자료_거시'!$G690),ISNUMBER('자료_거시'!$H690)),'자료_거시'!$H690,"")</f>
        <v/>
      </c>
      <c r="X708">
        <f>IF(ISNUMBER(W708),'자료_거시'!$G690,"")</f>
        <v/>
      </c>
      <c r="Y708">
        <f>IF(ISNUMBER(X708),IF(X708&gt;$L$7,W708,""),"")</f>
        <v/>
      </c>
      <c r="Z708">
        <f>IF(ISNUMBER('자료_거시'!$K690),'자료_거시'!$K690,Z707)</f>
        <v/>
      </c>
      <c r="AA708">
        <f>IF(AND(ISNUMBER('자료_거시'!$J690),ISNUMBER('자료_거시'!$K690)),IFERROR('자료_거시'!$K690/INDEX($Z$21:$Z$4020,MATCH(EDATE('자료_거시'!$J690,-'설정'!$B$17),'자료_거시'!$J$3:INDEX('자료_거시'!$J$3:$J$4002,$K$8),1))-1,""),"")</f>
        <v/>
      </c>
      <c r="AB708">
        <f>IF(ISNUMBER(AA708),'자료_거시'!$J690,"")</f>
        <v/>
      </c>
      <c r="AC708">
        <f>IF(ISNUMBER(AB708),IF(AB708&gt;$L$8,AA708,""),"")</f>
        <v/>
      </c>
    </row>
    <row r="709">
      <c r="S709">
        <f>IF(ISNUMBER('자료_거시'!$E691),'자료_거시'!$E691,S708)</f>
        <v/>
      </c>
      <c r="T709">
        <f>IF(AND(ISNUMBER('자료_거시'!$D691),ISNUMBER('자료_거시'!$E691)),IFERROR('자료_거시'!$E691-INDEX($S$21:$S$4020,MATCH(EDATE('자료_거시'!$D691,-'설정'!$B$17),'자료_거시'!$D$3:INDEX('자료_거시'!$D$3:$D$4002,$K$6),1)),""),"")</f>
        <v/>
      </c>
      <c r="U709">
        <f>IF(ISNUMBER(T709),'자료_거시'!$D691,"")</f>
        <v/>
      </c>
      <c r="V709">
        <f>IF(ISNUMBER(U709),IF(U709&gt;$L$6,T709,""),"")</f>
        <v/>
      </c>
      <c r="W709">
        <f>IF(AND(ISNUMBER('자료_거시'!$G691),ISNUMBER('자료_거시'!$H691)),'자료_거시'!$H691,"")</f>
        <v/>
      </c>
      <c r="X709">
        <f>IF(ISNUMBER(W709),'자료_거시'!$G691,"")</f>
        <v/>
      </c>
      <c r="Y709">
        <f>IF(ISNUMBER(X709),IF(X709&gt;$L$7,W709,""),"")</f>
        <v/>
      </c>
      <c r="Z709">
        <f>IF(ISNUMBER('자료_거시'!$K691),'자료_거시'!$K691,Z708)</f>
        <v/>
      </c>
      <c r="AA709">
        <f>IF(AND(ISNUMBER('자료_거시'!$J691),ISNUMBER('자료_거시'!$K691)),IFERROR('자료_거시'!$K691/INDEX($Z$21:$Z$4020,MATCH(EDATE('자료_거시'!$J691,-'설정'!$B$17),'자료_거시'!$J$3:INDEX('자료_거시'!$J$3:$J$4002,$K$8),1))-1,""),"")</f>
        <v/>
      </c>
      <c r="AB709">
        <f>IF(ISNUMBER(AA709),'자료_거시'!$J691,"")</f>
        <v/>
      </c>
      <c r="AC709">
        <f>IF(ISNUMBER(AB709),IF(AB709&gt;$L$8,AA709,""),"")</f>
        <v/>
      </c>
    </row>
    <row r="710">
      <c r="S710">
        <f>IF(ISNUMBER('자료_거시'!$E692),'자료_거시'!$E692,S709)</f>
        <v/>
      </c>
      <c r="T710">
        <f>IF(AND(ISNUMBER('자료_거시'!$D692),ISNUMBER('자료_거시'!$E692)),IFERROR('자료_거시'!$E692-INDEX($S$21:$S$4020,MATCH(EDATE('자료_거시'!$D692,-'설정'!$B$17),'자료_거시'!$D$3:INDEX('자료_거시'!$D$3:$D$4002,$K$6),1)),""),"")</f>
        <v/>
      </c>
      <c r="U710">
        <f>IF(ISNUMBER(T710),'자료_거시'!$D692,"")</f>
        <v/>
      </c>
      <c r="V710">
        <f>IF(ISNUMBER(U710),IF(U710&gt;$L$6,T710,""),"")</f>
        <v/>
      </c>
      <c r="W710">
        <f>IF(AND(ISNUMBER('자료_거시'!$G692),ISNUMBER('자료_거시'!$H692)),'자료_거시'!$H692,"")</f>
        <v/>
      </c>
      <c r="X710">
        <f>IF(ISNUMBER(W710),'자료_거시'!$G692,"")</f>
        <v/>
      </c>
      <c r="Y710">
        <f>IF(ISNUMBER(X710),IF(X710&gt;$L$7,W710,""),"")</f>
        <v/>
      </c>
      <c r="Z710">
        <f>IF(ISNUMBER('자료_거시'!$K692),'자료_거시'!$K692,Z709)</f>
        <v/>
      </c>
      <c r="AA710">
        <f>IF(AND(ISNUMBER('자료_거시'!$J692),ISNUMBER('자료_거시'!$K692)),IFERROR('자료_거시'!$K692/INDEX($Z$21:$Z$4020,MATCH(EDATE('자료_거시'!$J692,-'설정'!$B$17),'자료_거시'!$J$3:INDEX('자료_거시'!$J$3:$J$4002,$K$8),1))-1,""),"")</f>
        <v/>
      </c>
      <c r="AB710">
        <f>IF(ISNUMBER(AA710),'자료_거시'!$J692,"")</f>
        <v/>
      </c>
      <c r="AC710">
        <f>IF(ISNUMBER(AB710),IF(AB710&gt;$L$8,AA710,""),"")</f>
        <v/>
      </c>
    </row>
    <row r="711">
      <c r="S711">
        <f>IF(ISNUMBER('자료_거시'!$E693),'자료_거시'!$E693,S710)</f>
        <v/>
      </c>
      <c r="T711">
        <f>IF(AND(ISNUMBER('자료_거시'!$D693),ISNUMBER('자료_거시'!$E693)),IFERROR('자료_거시'!$E693-INDEX($S$21:$S$4020,MATCH(EDATE('자료_거시'!$D693,-'설정'!$B$17),'자료_거시'!$D$3:INDEX('자료_거시'!$D$3:$D$4002,$K$6),1)),""),"")</f>
        <v/>
      </c>
      <c r="U711">
        <f>IF(ISNUMBER(T711),'자료_거시'!$D693,"")</f>
        <v/>
      </c>
      <c r="V711">
        <f>IF(ISNUMBER(U711),IF(U711&gt;$L$6,T711,""),"")</f>
        <v/>
      </c>
      <c r="W711">
        <f>IF(AND(ISNUMBER('자료_거시'!$G693),ISNUMBER('자료_거시'!$H693)),'자료_거시'!$H693,"")</f>
        <v/>
      </c>
      <c r="X711">
        <f>IF(ISNUMBER(W711),'자료_거시'!$G693,"")</f>
        <v/>
      </c>
      <c r="Y711">
        <f>IF(ISNUMBER(X711),IF(X711&gt;$L$7,W711,""),"")</f>
        <v/>
      </c>
      <c r="Z711">
        <f>IF(ISNUMBER('자료_거시'!$K693),'자료_거시'!$K693,Z710)</f>
        <v/>
      </c>
      <c r="AA711">
        <f>IF(AND(ISNUMBER('자료_거시'!$J693),ISNUMBER('자료_거시'!$K693)),IFERROR('자료_거시'!$K693/INDEX($Z$21:$Z$4020,MATCH(EDATE('자료_거시'!$J693,-'설정'!$B$17),'자료_거시'!$J$3:INDEX('자료_거시'!$J$3:$J$4002,$K$8),1))-1,""),"")</f>
        <v/>
      </c>
      <c r="AB711">
        <f>IF(ISNUMBER(AA711),'자료_거시'!$J693,"")</f>
        <v/>
      </c>
      <c r="AC711">
        <f>IF(ISNUMBER(AB711),IF(AB711&gt;$L$8,AA711,""),"")</f>
        <v/>
      </c>
    </row>
    <row r="712">
      <c r="S712">
        <f>IF(ISNUMBER('자료_거시'!$E694),'자료_거시'!$E694,S711)</f>
        <v/>
      </c>
      <c r="T712">
        <f>IF(AND(ISNUMBER('자료_거시'!$D694),ISNUMBER('자료_거시'!$E694)),IFERROR('자료_거시'!$E694-INDEX($S$21:$S$4020,MATCH(EDATE('자료_거시'!$D694,-'설정'!$B$17),'자료_거시'!$D$3:INDEX('자료_거시'!$D$3:$D$4002,$K$6),1)),""),"")</f>
        <v/>
      </c>
      <c r="U712">
        <f>IF(ISNUMBER(T712),'자료_거시'!$D694,"")</f>
        <v/>
      </c>
      <c r="V712">
        <f>IF(ISNUMBER(U712),IF(U712&gt;$L$6,T712,""),"")</f>
        <v/>
      </c>
      <c r="W712">
        <f>IF(AND(ISNUMBER('자료_거시'!$G694),ISNUMBER('자료_거시'!$H694)),'자료_거시'!$H694,"")</f>
        <v/>
      </c>
      <c r="X712">
        <f>IF(ISNUMBER(W712),'자료_거시'!$G694,"")</f>
        <v/>
      </c>
      <c r="Y712">
        <f>IF(ISNUMBER(X712),IF(X712&gt;$L$7,W712,""),"")</f>
        <v/>
      </c>
      <c r="Z712">
        <f>IF(ISNUMBER('자료_거시'!$K694),'자료_거시'!$K694,Z711)</f>
        <v/>
      </c>
      <c r="AA712">
        <f>IF(AND(ISNUMBER('자료_거시'!$J694),ISNUMBER('자료_거시'!$K694)),IFERROR('자료_거시'!$K694/INDEX($Z$21:$Z$4020,MATCH(EDATE('자료_거시'!$J694,-'설정'!$B$17),'자료_거시'!$J$3:INDEX('자료_거시'!$J$3:$J$4002,$K$8),1))-1,""),"")</f>
        <v/>
      </c>
      <c r="AB712">
        <f>IF(ISNUMBER(AA712),'자료_거시'!$J694,"")</f>
        <v/>
      </c>
      <c r="AC712">
        <f>IF(ISNUMBER(AB712),IF(AB712&gt;$L$8,AA712,""),"")</f>
        <v/>
      </c>
    </row>
    <row r="713">
      <c r="S713">
        <f>IF(ISNUMBER('자료_거시'!$E695),'자료_거시'!$E695,S712)</f>
        <v/>
      </c>
      <c r="T713">
        <f>IF(AND(ISNUMBER('자료_거시'!$D695),ISNUMBER('자료_거시'!$E695)),IFERROR('자료_거시'!$E695-INDEX($S$21:$S$4020,MATCH(EDATE('자료_거시'!$D695,-'설정'!$B$17),'자료_거시'!$D$3:INDEX('자료_거시'!$D$3:$D$4002,$K$6),1)),""),"")</f>
        <v/>
      </c>
      <c r="U713">
        <f>IF(ISNUMBER(T713),'자료_거시'!$D695,"")</f>
        <v/>
      </c>
      <c r="V713">
        <f>IF(ISNUMBER(U713),IF(U713&gt;$L$6,T713,""),"")</f>
        <v/>
      </c>
      <c r="W713">
        <f>IF(AND(ISNUMBER('자료_거시'!$G695),ISNUMBER('자료_거시'!$H695)),'자료_거시'!$H695,"")</f>
        <v/>
      </c>
      <c r="X713">
        <f>IF(ISNUMBER(W713),'자료_거시'!$G695,"")</f>
        <v/>
      </c>
      <c r="Y713">
        <f>IF(ISNUMBER(X713),IF(X713&gt;$L$7,W713,""),"")</f>
        <v/>
      </c>
      <c r="Z713">
        <f>IF(ISNUMBER('자료_거시'!$K695),'자료_거시'!$K695,Z712)</f>
        <v/>
      </c>
      <c r="AA713">
        <f>IF(AND(ISNUMBER('자료_거시'!$J695),ISNUMBER('자료_거시'!$K695)),IFERROR('자료_거시'!$K695/INDEX($Z$21:$Z$4020,MATCH(EDATE('자료_거시'!$J695,-'설정'!$B$17),'자료_거시'!$J$3:INDEX('자료_거시'!$J$3:$J$4002,$K$8),1))-1,""),"")</f>
        <v/>
      </c>
      <c r="AB713">
        <f>IF(ISNUMBER(AA713),'자료_거시'!$J695,"")</f>
        <v/>
      </c>
      <c r="AC713">
        <f>IF(ISNUMBER(AB713),IF(AB713&gt;$L$8,AA713,""),"")</f>
        <v/>
      </c>
    </row>
    <row r="714">
      <c r="S714">
        <f>IF(ISNUMBER('자료_거시'!$E696),'자료_거시'!$E696,S713)</f>
        <v/>
      </c>
      <c r="T714">
        <f>IF(AND(ISNUMBER('자료_거시'!$D696),ISNUMBER('자료_거시'!$E696)),IFERROR('자료_거시'!$E696-INDEX($S$21:$S$4020,MATCH(EDATE('자료_거시'!$D696,-'설정'!$B$17),'자료_거시'!$D$3:INDEX('자료_거시'!$D$3:$D$4002,$K$6),1)),""),"")</f>
        <v/>
      </c>
      <c r="U714">
        <f>IF(ISNUMBER(T714),'자료_거시'!$D696,"")</f>
        <v/>
      </c>
      <c r="V714">
        <f>IF(ISNUMBER(U714),IF(U714&gt;$L$6,T714,""),"")</f>
        <v/>
      </c>
      <c r="W714">
        <f>IF(AND(ISNUMBER('자료_거시'!$G696),ISNUMBER('자료_거시'!$H696)),'자료_거시'!$H696,"")</f>
        <v/>
      </c>
      <c r="X714">
        <f>IF(ISNUMBER(W714),'자료_거시'!$G696,"")</f>
        <v/>
      </c>
      <c r="Y714">
        <f>IF(ISNUMBER(X714),IF(X714&gt;$L$7,W714,""),"")</f>
        <v/>
      </c>
      <c r="Z714">
        <f>IF(ISNUMBER('자료_거시'!$K696),'자료_거시'!$K696,Z713)</f>
        <v/>
      </c>
      <c r="AA714">
        <f>IF(AND(ISNUMBER('자료_거시'!$J696),ISNUMBER('자료_거시'!$K696)),IFERROR('자료_거시'!$K696/INDEX($Z$21:$Z$4020,MATCH(EDATE('자료_거시'!$J696,-'설정'!$B$17),'자료_거시'!$J$3:INDEX('자료_거시'!$J$3:$J$4002,$K$8),1))-1,""),"")</f>
        <v/>
      </c>
      <c r="AB714">
        <f>IF(ISNUMBER(AA714),'자료_거시'!$J696,"")</f>
        <v/>
      </c>
      <c r="AC714">
        <f>IF(ISNUMBER(AB714),IF(AB714&gt;$L$8,AA714,""),"")</f>
        <v/>
      </c>
    </row>
    <row r="715">
      <c r="S715">
        <f>IF(ISNUMBER('자료_거시'!$E697),'자료_거시'!$E697,S714)</f>
        <v/>
      </c>
      <c r="T715">
        <f>IF(AND(ISNUMBER('자료_거시'!$D697),ISNUMBER('자료_거시'!$E697)),IFERROR('자료_거시'!$E697-INDEX($S$21:$S$4020,MATCH(EDATE('자료_거시'!$D697,-'설정'!$B$17),'자료_거시'!$D$3:INDEX('자료_거시'!$D$3:$D$4002,$K$6),1)),""),"")</f>
        <v/>
      </c>
      <c r="U715">
        <f>IF(ISNUMBER(T715),'자료_거시'!$D697,"")</f>
        <v/>
      </c>
      <c r="V715">
        <f>IF(ISNUMBER(U715),IF(U715&gt;$L$6,T715,""),"")</f>
        <v/>
      </c>
      <c r="W715">
        <f>IF(AND(ISNUMBER('자료_거시'!$G697),ISNUMBER('자료_거시'!$H697)),'자료_거시'!$H697,"")</f>
        <v/>
      </c>
      <c r="X715">
        <f>IF(ISNUMBER(W715),'자료_거시'!$G697,"")</f>
        <v/>
      </c>
      <c r="Y715">
        <f>IF(ISNUMBER(X715),IF(X715&gt;$L$7,W715,""),"")</f>
        <v/>
      </c>
      <c r="Z715">
        <f>IF(ISNUMBER('자료_거시'!$K697),'자료_거시'!$K697,Z714)</f>
        <v/>
      </c>
      <c r="AA715">
        <f>IF(AND(ISNUMBER('자료_거시'!$J697),ISNUMBER('자료_거시'!$K697)),IFERROR('자료_거시'!$K697/INDEX($Z$21:$Z$4020,MATCH(EDATE('자료_거시'!$J697,-'설정'!$B$17),'자료_거시'!$J$3:INDEX('자료_거시'!$J$3:$J$4002,$K$8),1))-1,""),"")</f>
        <v/>
      </c>
      <c r="AB715">
        <f>IF(ISNUMBER(AA715),'자료_거시'!$J697,"")</f>
        <v/>
      </c>
      <c r="AC715">
        <f>IF(ISNUMBER(AB715),IF(AB715&gt;$L$8,AA715,""),"")</f>
        <v/>
      </c>
    </row>
    <row r="716">
      <c r="S716">
        <f>IF(ISNUMBER('자료_거시'!$E698),'자료_거시'!$E698,S715)</f>
        <v/>
      </c>
      <c r="T716">
        <f>IF(AND(ISNUMBER('자료_거시'!$D698),ISNUMBER('자료_거시'!$E698)),IFERROR('자료_거시'!$E698-INDEX($S$21:$S$4020,MATCH(EDATE('자료_거시'!$D698,-'설정'!$B$17),'자료_거시'!$D$3:INDEX('자료_거시'!$D$3:$D$4002,$K$6),1)),""),"")</f>
        <v/>
      </c>
      <c r="U716">
        <f>IF(ISNUMBER(T716),'자료_거시'!$D698,"")</f>
        <v/>
      </c>
      <c r="V716">
        <f>IF(ISNUMBER(U716),IF(U716&gt;$L$6,T716,""),"")</f>
        <v/>
      </c>
      <c r="W716">
        <f>IF(AND(ISNUMBER('자료_거시'!$G698),ISNUMBER('자료_거시'!$H698)),'자료_거시'!$H698,"")</f>
        <v/>
      </c>
      <c r="X716">
        <f>IF(ISNUMBER(W716),'자료_거시'!$G698,"")</f>
        <v/>
      </c>
      <c r="Y716">
        <f>IF(ISNUMBER(X716),IF(X716&gt;$L$7,W716,""),"")</f>
        <v/>
      </c>
      <c r="Z716">
        <f>IF(ISNUMBER('자료_거시'!$K698),'자료_거시'!$K698,Z715)</f>
        <v/>
      </c>
      <c r="AA716">
        <f>IF(AND(ISNUMBER('자료_거시'!$J698),ISNUMBER('자료_거시'!$K698)),IFERROR('자료_거시'!$K698/INDEX($Z$21:$Z$4020,MATCH(EDATE('자료_거시'!$J698,-'설정'!$B$17),'자료_거시'!$J$3:INDEX('자료_거시'!$J$3:$J$4002,$K$8),1))-1,""),"")</f>
        <v/>
      </c>
      <c r="AB716">
        <f>IF(ISNUMBER(AA716),'자료_거시'!$J698,"")</f>
        <v/>
      </c>
      <c r="AC716">
        <f>IF(ISNUMBER(AB716),IF(AB716&gt;$L$8,AA716,""),"")</f>
        <v/>
      </c>
    </row>
    <row r="717">
      <c r="S717">
        <f>IF(ISNUMBER('자료_거시'!$E699),'자료_거시'!$E699,S716)</f>
        <v/>
      </c>
      <c r="T717">
        <f>IF(AND(ISNUMBER('자료_거시'!$D699),ISNUMBER('자료_거시'!$E699)),IFERROR('자료_거시'!$E699-INDEX($S$21:$S$4020,MATCH(EDATE('자료_거시'!$D699,-'설정'!$B$17),'자료_거시'!$D$3:INDEX('자료_거시'!$D$3:$D$4002,$K$6),1)),""),"")</f>
        <v/>
      </c>
      <c r="U717">
        <f>IF(ISNUMBER(T717),'자료_거시'!$D699,"")</f>
        <v/>
      </c>
      <c r="V717">
        <f>IF(ISNUMBER(U717),IF(U717&gt;$L$6,T717,""),"")</f>
        <v/>
      </c>
      <c r="W717">
        <f>IF(AND(ISNUMBER('자료_거시'!$G699),ISNUMBER('자료_거시'!$H699)),'자료_거시'!$H699,"")</f>
        <v/>
      </c>
      <c r="X717">
        <f>IF(ISNUMBER(W717),'자료_거시'!$G699,"")</f>
        <v/>
      </c>
      <c r="Y717">
        <f>IF(ISNUMBER(X717),IF(X717&gt;$L$7,W717,""),"")</f>
        <v/>
      </c>
      <c r="Z717">
        <f>IF(ISNUMBER('자료_거시'!$K699),'자료_거시'!$K699,Z716)</f>
        <v/>
      </c>
      <c r="AA717">
        <f>IF(AND(ISNUMBER('자료_거시'!$J699),ISNUMBER('자료_거시'!$K699)),IFERROR('자료_거시'!$K699/INDEX($Z$21:$Z$4020,MATCH(EDATE('자료_거시'!$J699,-'설정'!$B$17),'자료_거시'!$J$3:INDEX('자료_거시'!$J$3:$J$4002,$K$8),1))-1,""),"")</f>
        <v/>
      </c>
      <c r="AB717">
        <f>IF(ISNUMBER(AA717),'자료_거시'!$J699,"")</f>
        <v/>
      </c>
      <c r="AC717">
        <f>IF(ISNUMBER(AB717),IF(AB717&gt;$L$8,AA717,""),"")</f>
        <v/>
      </c>
    </row>
    <row r="718">
      <c r="S718">
        <f>IF(ISNUMBER('자료_거시'!$E700),'자료_거시'!$E700,S717)</f>
        <v/>
      </c>
      <c r="T718">
        <f>IF(AND(ISNUMBER('자료_거시'!$D700),ISNUMBER('자료_거시'!$E700)),IFERROR('자료_거시'!$E700-INDEX($S$21:$S$4020,MATCH(EDATE('자료_거시'!$D700,-'설정'!$B$17),'자료_거시'!$D$3:INDEX('자료_거시'!$D$3:$D$4002,$K$6),1)),""),"")</f>
        <v/>
      </c>
      <c r="U718">
        <f>IF(ISNUMBER(T718),'자료_거시'!$D700,"")</f>
        <v/>
      </c>
      <c r="V718">
        <f>IF(ISNUMBER(U718),IF(U718&gt;$L$6,T718,""),"")</f>
        <v/>
      </c>
      <c r="W718">
        <f>IF(AND(ISNUMBER('자료_거시'!$G700),ISNUMBER('자료_거시'!$H700)),'자료_거시'!$H700,"")</f>
        <v/>
      </c>
      <c r="X718">
        <f>IF(ISNUMBER(W718),'자료_거시'!$G700,"")</f>
        <v/>
      </c>
      <c r="Y718">
        <f>IF(ISNUMBER(X718),IF(X718&gt;$L$7,W718,""),"")</f>
        <v/>
      </c>
      <c r="Z718">
        <f>IF(ISNUMBER('자료_거시'!$K700),'자료_거시'!$K700,Z717)</f>
        <v/>
      </c>
      <c r="AA718">
        <f>IF(AND(ISNUMBER('자료_거시'!$J700),ISNUMBER('자료_거시'!$K700)),IFERROR('자료_거시'!$K700/INDEX($Z$21:$Z$4020,MATCH(EDATE('자료_거시'!$J700,-'설정'!$B$17),'자료_거시'!$J$3:INDEX('자료_거시'!$J$3:$J$4002,$K$8),1))-1,""),"")</f>
        <v/>
      </c>
      <c r="AB718">
        <f>IF(ISNUMBER(AA718),'자료_거시'!$J700,"")</f>
        <v/>
      </c>
      <c r="AC718">
        <f>IF(ISNUMBER(AB718),IF(AB718&gt;$L$8,AA718,""),"")</f>
        <v/>
      </c>
    </row>
    <row r="719">
      <c r="S719">
        <f>IF(ISNUMBER('자료_거시'!$E701),'자료_거시'!$E701,S718)</f>
        <v/>
      </c>
      <c r="T719">
        <f>IF(AND(ISNUMBER('자료_거시'!$D701),ISNUMBER('자료_거시'!$E701)),IFERROR('자료_거시'!$E701-INDEX($S$21:$S$4020,MATCH(EDATE('자료_거시'!$D701,-'설정'!$B$17),'자료_거시'!$D$3:INDEX('자료_거시'!$D$3:$D$4002,$K$6),1)),""),"")</f>
        <v/>
      </c>
      <c r="U719">
        <f>IF(ISNUMBER(T719),'자료_거시'!$D701,"")</f>
        <v/>
      </c>
      <c r="V719">
        <f>IF(ISNUMBER(U719),IF(U719&gt;$L$6,T719,""),"")</f>
        <v/>
      </c>
      <c r="W719">
        <f>IF(AND(ISNUMBER('자료_거시'!$G701),ISNUMBER('자료_거시'!$H701)),'자료_거시'!$H701,"")</f>
        <v/>
      </c>
      <c r="X719">
        <f>IF(ISNUMBER(W719),'자료_거시'!$G701,"")</f>
        <v/>
      </c>
      <c r="Y719">
        <f>IF(ISNUMBER(X719),IF(X719&gt;$L$7,W719,""),"")</f>
        <v/>
      </c>
      <c r="Z719">
        <f>IF(ISNUMBER('자료_거시'!$K701),'자료_거시'!$K701,Z718)</f>
        <v/>
      </c>
      <c r="AA719">
        <f>IF(AND(ISNUMBER('자료_거시'!$J701),ISNUMBER('자료_거시'!$K701)),IFERROR('자료_거시'!$K701/INDEX($Z$21:$Z$4020,MATCH(EDATE('자료_거시'!$J701,-'설정'!$B$17),'자료_거시'!$J$3:INDEX('자료_거시'!$J$3:$J$4002,$K$8),1))-1,""),"")</f>
        <v/>
      </c>
      <c r="AB719">
        <f>IF(ISNUMBER(AA719),'자료_거시'!$J701,"")</f>
        <v/>
      </c>
      <c r="AC719">
        <f>IF(ISNUMBER(AB719),IF(AB719&gt;$L$8,AA719,""),"")</f>
        <v/>
      </c>
    </row>
    <row r="720">
      <c r="S720">
        <f>IF(ISNUMBER('자료_거시'!$E702),'자료_거시'!$E702,S719)</f>
        <v/>
      </c>
      <c r="T720">
        <f>IF(AND(ISNUMBER('자료_거시'!$D702),ISNUMBER('자료_거시'!$E702)),IFERROR('자료_거시'!$E702-INDEX($S$21:$S$4020,MATCH(EDATE('자료_거시'!$D702,-'설정'!$B$17),'자료_거시'!$D$3:INDEX('자료_거시'!$D$3:$D$4002,$K$6),1)),""),"")</f>
        <v/>
      </c>
      <c r="U720">
        <f>IF(ISNUMBER(T720),'자료_거시'!$D702,"")</f>
        <v/>
      </c>
      <c r="V720">
        <f>IF(ISNUMBER(U720),IF(U720&gt;$L$6,T720,""),"")</f>
        <v/>
      </c>
      <c r="W720">
        <f>IF(AND(ISNUMBER('자료_거시'!$G702),ISNUMBER('자료_거시'!$H702)),'자료_거시'!$H702,"")</f>
        <v/>
      </c>
      <c r="X720">
        <f>IF(ISNUMBER(W720),'자료_거시'!$G702,"")</f>
        <v/>
      </c>
      <c r="Y720">
        <f>IF(ISNUMBER(X720),IF(X720&gt;$L$7,W720,""),"")</f>
        <v/>
      </c>
      <c r="Z720">
        <f>IF(ISNUMBER('자료_거시'!$K702),'자료_거시'!$K702,Z719)</f>
        <v/>
      </c>
      <c r="AA720">
        <f>IF(AND(ISNUMBER('자료_거시'!$J702),ISNUMBER('자료_거시'!$K702)),IFERROR('자료_거시'!$K702/INDEX($Z$21:$Z$4020,MATCH(EDATE('자료_거시'!$J702,-'설정'!$B$17),'자료_거시'!$J$3:INDEX('자료_거시'!$J$3:$J$4002,$K$8),1))-1,""),"")</f>
        <v/>
      </c>
      <c r="AB720">
        <f>IF(ISNUMBER(AA720),'자료_거시'!$J702,"")</f>
        <v/>
      </c>
      <c r="AC720">
        <f>IF(ISNUMBER(AB720),IF(AB720&gt;$L$8,AA720,""),"")</f>
        <v/>
      </c>
    </row>
    <row r="721">
      <c r="S721">
        <f>IF(ISNUMBER('자료_거시'!$E703),'자료_거시'!$E703,S720)</f>
        <v/>
      </c>
      <c r="T721">
        <f>IF(AND(ISNUMBER('자료_거시'!$D703),ISNUMBER('자료_거시'!$E703)),IFERROR('자료_거시'!$E703-INDEX($S$21:$S$4020,MATCH(EDATE('자료_거시'!$D703,-'설정'!$B$17),'자료_거시'!$D$3:INDEX('자료_거시'!$D$3:$D$4002,$K$6),1)),""),"")</f>
        <v/>
      </c>
      <c r="U721">
        <f>IF(ISNUMBER(T721),'자료_거시'!$D703,"")</f>
        <v/>
      </c>
      <c r="V721">
        <f>IF(ISNUMBER(U721),IF(U721&gt;$L$6,T721,""),"")</f>
        <v/>
      </c>
      <c r="W721">
        <f>IF(AND(ISNUMBER('자료_거시'!$G703),ISNUMBER('자료_거시'!$H703)),'자료_거시'!$H703,"")</f>
        <v/>
      </c>
      <c r="X721">
        <f>IF(ISNUMBER(W721),'자료_거시'!$G703,"")</f>
        <v/>
      </c>
      <c r="Y721">
        <f>IF(ISNUMBER(X721),IF(X721&gt;$L$7,W721,""),"")</f>
        <v/>
      </c>
      <c r="Z721">
        <f>IF(ISNUMBER('자료_거시'!$K703),'자료_거시'!$K703,Z720)</f>
        <v/>
      </c>
      <c r="AA721">
        <f>IF(AND(ISNUMBER('자료_거시'!$J703),ISNUMBER('자료_거시'!$K703)),IFERROR('자료_거시'!$K703/INDEX($Z$21:$Z$4020,MATCH(EDATE('자료_거시'!$J703,-'설정'!$B$17),'자료_거시'!$J$3:INDEX('자료_거시'!$J$3:$J$4002,$K$8),1))-1,""),"")</f>
        <v/>
      </c>
      <c r="AB721">
        <f>IF(ISNUMBER(AA721),'자료_거시'!$J703,"")</f>
        <v/>
      </c>
      <c r="AC721">
        <f>IF(ISNUMBER(AB721),IF(AB721&gt;$L$8,AA721,""),"")</f>
        <v/>
      </c>
    </row>
    <row r="722">
      <c r="S722">
        <f>IF(ISNUMBER('자료_거시'!$E704),'자료_거시'!$E704,S721)</f>
        <v/>
      </c>
      <c r="T722">
        <f>IF(AND(ISNUMBER('자료_거시'!$D704),ISNUMBER('자료_거시'!$E704)),IFERROR('자료_거시'!$E704-INDEX($S$21:$S$4020,MATCH(EDATE('자료_거시'!$D704,-'설정'!$B$17),'자료_거시'!$D$3:INDEX('자료_거시'!$D$3:$D$4002,$K$6),1)),""),"")</f>
        <v/>
      </c>
      <c r="U722">
        <f>IF(ISNUMBER(T722),'자료_거시'!$D704,"")</f>
        <v/>
      </c>
      <c r="V722">
        <f>IF(ISNUMBER(U722),IF(U722&gt;$L$6,T722,""),"")</f>
        <v/>
      </c>
      <c r="W722">
        <f>IF(AND(ISNUMBER('자료_거시'!$G704),ISNUMBER('자료_거시'!$H704)),'자료_거시'!$H704,"")</f>
        <v/>
      </c>
      <c r="X722">
        <f>IF(ISNUMBER(W722),'자료_거시'!$G704,"")</f>
        <v/>
      </c>
      <c r="Y722">
        <f>IF(ISNUMBER(X722),IF(X722&gt;$L$7,W722,""),"")</f>
        <v/>
      </c>
      <c r="Z722">
        <f>IF(ISNUMBER('자료_거시'!$K704),'자료_거시'!$K704,Z721)</f>
        <v/>
      </c>
      <c r="AA722">
        <f>IF(AND(ISNUMBER('자료_거시'!$J704),ISNUMBER('자료_거시'!$K704)),IFERROR('자료_거시'!$K704/INDEX($Z$21:$Z$4020,MATCH(EDATE('자료_거시'!$J704,-'설정'!$B$17),'자료_거시'!$J$3:INDEX('자료_거시'!$J$3:$J$4002,$K$8),1))-1,""),"")</f>
        <v/>
      </c>
      <c r="AB722">
        <f>IF(ISNUMBER(AA722),'자료_거시'!$J704,"")</f>
        <v/>
      </c>
      <c r="AC722">
        <f>IF(ISNUMBER(AB722),IF(AB722&gt;$L$8,AA722,""),"")</f>
        <v/>
      </c>
    </row>
    <row r="723">
      <c r="S723">
        <f>IF(ISNUMBER('자료_거시'!$E705),'자료_거시'!$E705,S722)</f>
        <v/>
      </c>
      <c r="T723">
        <f>IF(AND(ISNUMBER('자료_거시'!$D705),ISNUMBER('자료_거시'!$E705)),IFERROR('자료_거시'!$E705-INDEX($S$21:$S$4020,MATCH(EDATE('자료_거시'!$D705,-'설정'!$B$17),'자료_거시'!$D$3:INDEX('자료_거시'!$D$3:$D$4002,$K$6),1)),""),"")</f>
        <v/>
      </c>
      <c r="U723">
        <f>IF(ISNUMBER(T723),'자료_거시'!$D705,"")</f>
        <v/>
      </c>
      <c r="V723">
        <f>IF(ISNUMBER(U723),IF(U723&gt;$L$6,T723,""),"")</f>
        <v/>
      </c>
      <c r="W723">
        <f>IF(AND(ISNUMBER('자료_거시'!$G705),ISNUMBER('자료_거시'!$H705)),'자료_거시'!$H705,"")</f>
        <v/>
      </c>
      <c r="X723">
        <f>IF(ISNUMBER(W723),'자료_거시'!$G705,"")</f>
        <v/>
      </c>
      <c r="Y723">
        <f>IF(ISNUMBER(X723),IF(X723&gt;$L$7,W723,""),"")</f>
        <v/>
      </c>
      <c r="Z723">
        <f>IF(ISNUMBER('자료_거시'!$K705),'자료_거시'!$K705,Z722)</f>
        <v/>
      </c>
      <c r="AA723">
        <f>IF(AND(ISNUMBER('자료_거시'!$J705),ISNUMBER('자료_거시'!$K705)),IFERROR('자료_거시'!$K705/INDEX($Z$21:$Z$4020,MATCH(EDATE('자료_거시'!$J705,-'설정'!$B$17),'자료_거시'!$J$3:INDEX('자료_거시'!$J$3:$J$4002,$K$8),1))-1,""),"")</f>
        <v/>
      </c>
      <c r="AB723">
        <f>IF(ISNUMBER(AA723),'자료_거시'!$J705,"")</f>
        <v/>
      </c>
      <c r="AC723">
        <f>IF(ISNUMBER(AB723),IF(AB723&gt;$L$8,AA723,""),"")</f>
        <v/>
      </c>
    </row>
    <row r="724">
      <c r="S724">
        <f>IF(ISNUMBER('자료_거시'!$E706),'자료_거시'!$E706,S723)</f>
        <v/>
      </c>
      <c r="T724">
        <f>IF(AND(ISNUMBER('자료_거시'!$D706),ISNUMBER('자료_거시'!$E706)),IFERROR('자료_거시'!$E706-INDEX($S$21:$S$4020,MATCH(EDATE('자료_거시'!$D706,-'설정'!$B$17),'자료_거시'!$D$3:INDEX('자료_거시'!$D$3:$D$4002,$K$6),1)),""),"")</f>
        <v/>
      </c>
      <c r="U724">
        <f>IF(ISNUMBER(T724),'자료_거시'!$D706,"")</f>
        <v/>
      </c>
      <c r="V724">
        <f>IF(ISNUMBER(U724),IF(U724&gt;$L$6,T724,""),"")</f>
        <v/>
      </c>
      <c r="W724">
        <f>IF(AND(ISNUMBER('자료_거시'!$G706),ISNUMBER('자료_거시'!$H706)),'자료_거시'!$H706,"")</f>
        <v/>
      </c>
      <c r="X724">
        <f>IF(ISNUMBER(W724),'자료_거시'!$G706,"")</f>
        <v/>
      </c>
      <c r="Y724">
        <f>IF(ISNUMBER(X724),IF(X724&gt;$L$7,W724,""),"")</f>
        <v/>
      </c>
      <c r="Z724">
        <f>IF(ISNUMBER('자료_거시'!$K706),'자료_거시'!$K706,Z723)</f>
        <v/>
      </c>
      <c r="AA724">
        <f>IF(AND(ISNUMBER('자료_거시'!$J706),ISNUMBER('자료_거시'!$K706)),IFERROR('자료_거시'!$K706/INDEX($Z$21:$Z$4020,MATCH(EDATE('자료_거시'!$J706,-'설정'!$B$17),'자료_거시'!$J$3:INDEX('자료_거시'!$J$3:$J$4002,$K$8),1))-1,""),"")</f>
        <v/>
      </c>
      <c r="AB724">
        <f>IF(ISNUMBER(AA724),'자료_거시'!$J706,"")</f>
        <v/>
      </c>
      <c r="AC724">
        <f>IF(ISNUMBER(AB724),IF(AB724&gt;$L$8,AA724,""),"")</f>
        <v/>
      </c>
    </row>
    <row r="725">
      <c r="S725">
        <f>IF(ISNUMBER('자료_거시'!$E707),'자료_거시'!$E707,S724)</f>
        <v/>
      </c>
      <c r="T725">
        <f>IF(AND(ISNUMBER('자료_거시'!$D707),ISNUMBER('자료_거시'!$E707)),IFERROR('자료_거시'!$E707-INDEX($S$21:$S$4020,MATCH(EDATE('자료_거시'!$D707,-'설정'!$B$17),'자료_거시'!$D$3:INDEX('자료_거시'!$D$3:$D$4002,$K$6),1)),""),"")</f>
        <v/>
      </c>
      <c r="U725">
        <f>IF(ISNUMBER(T725),'자료_거시'!$D707,"")</f>
        <v/>
      </c>
      <c r="V725">
        <f>IF(ISNUMBER(U725),IF(U725&gt;$L$6,T725,""),"")</f>
        <v/>
      </c>
      <c r="W725">
        <f>IF(AND(ISNUMBER('자료_거시'!$G707),ISNUMBER('자료_거시'!$H707)),'자료_거시'!$H707,"")</f>
        <v/>
      </c>
      <c r="X725">
        <f>IF(ISNUMBER(W725),'자료_거시'!$G707,"")</f>
        <v/>
      </c>
      <c r="Y725">
        <f>IF(ISNUMBER(X725),IF(X725&gt;$L$7,W725,""),"")</f>
        <v/>
      </c>
      <c r="Z725">
        <f>IF(ISNUMBER('자료_거시'!$K707),'자료_거시'!$K707,Z724)</f>
        <v/>
      </c>
      <c r="AA725">
        <f>IF(AND(ISNUMBER('자료_거시'!$J707),ISNUMBER('자료_거시'!$K707)),IFERROR('자료_거시'!$K707/INDEX($Z$21:$Z$4020,MATCH(EDATE('자료_거시'!$J707,-'설정'!$B$17),'자료_거시'!$J$3:INDEX('자료_거시'!$J$3:$J$4002,$K$8),1))-1,""),"")</f>
        <v/>
      </c>
      <c r="AB725">
        <f>IF(ISNUMBER(AA725),'자료_거시'!$J707,"")</f>
        <v/>
      </c>
      <c r="AC725">
        <f>IF(ISNUMBER(AB725),IF(AB725&gt;$L$8,AA725,""),"")</f>
        <v/>
      </c>
    </row>
    <row r="726">
      <c r="S726">
        <f>IF(ISNUMBER('자료_거시'!$E708),'자료_거시'!$E708,S725)</f>
        <v/>
      </c>
      <c r="T726">
        <f>IF(AND(ISNUMBER('자료_거시'!$D708),ISNUMBER('자료_거시'!$E708)),IFERROR('자료_거시'!$E708-INDEX($S$21:$S$4020,MATCH(EDATE('자료_거시'!$D708,-'설정'!$B$17),'자료_거시'!$D$3:INDEX('자료_거시'!$D$3:$D$4002,$K$6),1)),""),"")</f>
        <v/>
      </c>
      <c r="U726">
        <f>IF(ISNUMBER(T726),'자료_거시'!$D708,"")</f>
        <v/>
      </c>
      <c r="V726">
        <f>IF(ISNUMBER(U726),IF(U726&gt;$L$6,T726,""),"")</f>
        <v/>
      </c>
      <c r="W726">
        <f>IF(AND(ISNUMBER('자료_거시'!$G708),ISNUMBER('자료_거시'!$H708)),'자료_거시'!$H708,"")</f>
        <v/>
      </c>
      <c r="X726">
        <f>IF(ISNUMBER(W726),'자료_거시'!$G708,"")</f>
        <v/>
      </c>
      <c r="Y726">
        <f>IF(ISNUMBER(X726),IF(X726&gt;$L$7,W726,""),"")</f>
        <v/>
      </c>
      <c r="Z726">
        <f>IF(ISNUMBER('자료_거시'!$K708),'자료_거시'!$K708,Z725)</f>
        <v/>
      </c>
      <c r="AA726">
        <f>IF(AND(ISNUMBER('자료_거시'!$J708),ISNUMBER('자료_거시'!$K708)),IFERROR('자료_거시'!$K708/INDEX($Z$21:$Z$4020,MATCH(EDATE('자료_거시'!$J708,-'설정'!$B$17),'자료_거시'!$J$3:INDEX('자료_거시'!$J$3:$J$4002,$K$8),1))-1,""),"")</f>
        <v/>
      </c>
      <c r="AB726">
        <f>IF(ISNUMBER(AA726),'자료_거시'!$J708,"")</f>
        <v/>
      </c>
      <c r="AC726">
        <f>IF(ISNUMBER(AB726),IF(AB726&gt;$L$8,AA726,""),"")</f>
        <v/>
      </c>
    </row>
    <row r="727">
      <c r="S727">
        <f>IF(ISNUMBER('자료_거시'!$E709),'자료_거시'!$E709,S726)</f>
        <v/>
      </c>
      <c r="T727">
        <f>IF(AND(ISNUMBER('자료_거시'!$D709),ISNUMBER('자료_거시'!$E709)),IFERROR('자료_거시'!$E709-INDEX($S$21:$S$4020,MATCH(EDATE('자료_거시'!$D709,-'설정'!$B$17),'자료_거시'!$D$3:INDEX('자료_거시'!$D$3:$D$4002,$K$6),1)),""),"")</f>
        <v/>
      </c>
      <c r="U727">
        <f>IF(ISNUMBER(T727),'자료_거시'!$D709,"")</f>
        <v/>
      </c>
      <c r="V727">
        <f>IF(ISNUMBER(U727),IF(U727&gt;$L$6,T727,""),"")</f>
        <v/>
      </c>
      <c r="W727">
        <f>IF(AND(ISNUMBER('자료_거시'!$G709),ISNUMBER('자료_거시'!$H709)),'자료_거시'!$H709,"")</f>
        <v/>
      </c>
      <c r="X727">
        <f>IF(ISNUMBER(W727),'자료_거시'!$G709,"")</f>
        <v/>
      </c>
      <c r="Y727">
        <f>IF(ISNUMBER(X727),IF(X727&gt;$L$7,W727,""),"")</f>
        <v/>
      </c>
      <c r="Z727">
        <f>IF(ISNUMBER('자료_거시'!$K709),'자료_거시'!$K709,Z726)</f>
        <v/>
      </c>
      <c r="AA727">
        <f>IF(AND(ISNUMBER('자료_거시'!$J709),ISNUMBER('자료_거시'!$K709)),IFERROR('자료_거시'!$K709/INDEX($Z$21:$Z$4020,MATCH(EDATE('자료_거시'!$J709,-'설정'!$B$17),'자료_거시'!$J$3:INDEX('자료_거시'!$J$3:$J$4002,$K$8),1))-1,""),"")</f>
        <v/>
      </c>
      <c r="AB727">
        <f>IF(ISNUMBER(AA727),'자료_거시'!$J709,"")</f>
        <v/>
      </c>
      <c r="AC727">
        <f>IF(ISNUMBER(AB727),IF(AB727&gt;$L$8,AA727,""),"")</f>
        <v/>
      </c>
    </row>
    <row r="728">
      <c r="S728">
        <f>IF(ISNUMBER('자료_거시'!$E710),'자료_거시'!$E710,S727)</f>
        <v/>
      </c>
      <c r="T728">
        <f>IF(AND(ISNUMBER('자료_거시'!$D710),ISNUMBER('자료_거시'!$E710)),IFERROR('자료_거시'!$E710-INDEX($S$21:$S$4020,MATCH(EDATE('자료_거시'!$D710,-'설정'!$B$17),'자료_거시'!$D$3:INDEX('자료_거시'!$D$3:$D$4002,$K$6),1)),""),"")</f>
        <v/>
      </c>
      <c r="U728">
        <f>IF(ISNUMBER(T728),'자료_거시'!$D710,"")</f>
        <v/>
      </c>
      <c r="V728">
        <f>IF(ISNUMBER(U728),IF(U728&gt;$L$6,T728,""),"")</f>
        <v/>
      </c>
      <c r="W728">
        <f>IF(AND(ISNUMBER('자료_거시'!$G710),ISNUMBER('자료_거시'!$H710)),'자료_거시'!$H710,"")</f>
        <v/>
      </c>
      <c r="X728">
        <f>IF(ISNUMBER(W728),'자료_거시'!$G710,"")</f>
        <v/>
      </c>
      <c r="Y728">
        <f>IF(ISNUMBER(X728),IF(X728&gt;$L$7,W728,""),"")</f>
        <v/>
      </c>
      <c r="Z728">
        <f>IF(ISNUMBER('자료_거시'!$K710),'자료_거시'!$K710,Z727)</f>
        <v/>
      </c>
      <c r="AA728">
        <f>IF(AND(ISNUMBER('자료_거시'!$J710),ISNUMBER('자료_거시'!$K710)),IFERROR('자료_거시'!$K710/INDEX($Z$21:$Z$4020,MATCH(EDATE('자료_거시'!$J710,-'설정'!$B$17),'자료_거시'!$J$3:INDEX('자료_거시'!$J$3:$J$4002,$K$8),1))-1,""),"")</f>
        <v/>
      </c>
      <c r="AB728">
        <f>IF(ISNUMBER(AA728),'자료_거시'!$J710,"")</f>
        <v/>
      </c>
      <c r="AC728">
        <f>IF(ISNUMBER(AB728),IF(AB728&gt;$L$8,AA728,""),"")</f>
        <v/>
      </c>
    </row>
    <row r="729">
      <c r="S729">
        <f>IF(ISNUMBER('자료_거시'!$E711),'자료_거시'!$E711,S728)</f>
        <v/>
      </c>
      <c r="T729">
        <f>IF(AND(ISNUMBER('자료_거시'!$D711),ISNUMBER('자료_거시'!$E711)),IFERROR('자료_거시'!$E711-INDEX($S$21:$S$4020,MATCH(EDATE('자료_거시'!$D711,-'설정'!$B$17),'자료_거시'!$D$3:INDEX('자료_거시'!$D$3:$D$4002,$K$6),1)),""),"")</f>
        <v/>
      </c>
      <c r="U729">
        <f>IF(ISNUMBER(T729),'자료_거시'!$D711,"")</f>
        <v/>
      </c>
      <c r="V729">
        <f>IF(ISNUMBER(U729),IF(U729&gt;$L$6,T729,""),"")</f>
        <v/>
      </c>
      <c r="W729">
        <f>IF(AND(ISNUMBER('자료_거시'!$G711),ISNUMBER('자료_거시'!$H711)),'자료_거시'!$H711,"")</f>
        <v/>
      </c>
      <c r="X729">
        <f>IF(ISNUMBER(W729),'자료_거시'!$G711,"")</f>
        <v/>
      </c>
      <c r="Y729">
        <f>IF(ISNUMBER(X729),IF(X729&gt;$L$7,W729,""),"")</f>
        <v/>
      </c>
      <c r="Z729">
        <f>IF(ISNUMBER('자료_거시'!$K711),'자료_거시'!$K711,Z728)</f>
        <v/>
      </c>
      <c r="AA729">
        <f>IF(AND(ISNUMBER('자료_거시'!$J711),ISNUMBER('자료_거시'!$K711)),IFERROR('자료_거시'!$K711/INDEX($Z$21:$Z$4020,MATCH(EDATE('자료_거시'!$J711,-'설정'!$B$17),'자료_거시'!$J$3:INDEX('자료_거시'!$J$3:$J$4002,$K$8),1))-1,""),"")</f>
        <v/>
      </c>
      <c r="AB729">
        <f>IF(ISNUMBER(AA729),'자료_거시'!$J711,"")</f>
        <v/>
      </c>
      <c r="AC729">
        <f>IF(ISNUMBER(AB729),IF(AB729&gt;$L$8,AA729,""),"")</f>
        <v/>
      </c>
    </row>
    <row r="730">
      <c r="S730">
        <f>IF(ISNUMBER('자료_거시'!$E712),'자료_거시'!$E712,S729)</f>
        <v/>
      </c>
      <c r="T730">
        <f>IF(AND(ISNUMBER('자료_거시'!$D712),ISNUMBER('자료_거시'!$E712)),IFERROR('자료_거시'!$E712-INDEX($S$21:$S$4020,MATCH(EDATE('자료_거시'!$D712,-'설정'!$B$17),'자료_거시'!$D$3:INDEX('자료_거시'!$D$3:$D$4002,$K$6),1)),""),"")</f>
        <v/>
      </c>
      <c r="U730">
        <f>IF(ISNUMBER(T730),'자료_거시'!$D712,"")</f>
        <v/>
      </c>
      <c r="V730">
        <f>IF(ISNUMBER(U730),IF(U730&gt;$L$6,T730,""),"")</f>
        <v/>
      </c>
      <c r="W730">
        <f>IF(AND(ISNUMBER('자료_거시'!$G712),ISNUMBER('자료_거시'!$H712)),'자료_거시'!$H712,"")</f>
        <v/>
      </c>
      <c r="X730">
        <f>IF(ISNUMBER(W730),'자료_거시'!$G712,"")</f>
        <v/>
      </c>
      <c r="Y730">
        <f>IF(ISNUMBER(X730),IF(X730&gt;$L$7,W730,""),"")</f>
        <v/>
      </c>
      <c r="Z730">
        <f>IF(ISNUMBER('자료_거시'!$K712),'자료_거시'!$K712,Z729)</f>
        <v/>
      </c>
      <c r="AA730">
        <f>IF(AND(ISNUMBER('자료_거시'!$J712),ISNUMBER('자료_거시'!$K712)),IFERROR('자료_거시'!$K712/INDEX($Z$21:$Z$4020,MATCH(EDATE('자료_거시'!$J712,-'설정'!$B$17),'자료_거시'!$J$3:INDEX('자료_거시'!$J$3:$J$4002,$K$8),1))-1,""),"")</f>
        <v/>
      </c>
      <c r="AB730">
        <f>IF(ISNUMBER(AA730),'자료_거시'!$J712,"")</f>
        <v/>
      </c>
      <c r="AC730">
        <f>IF(ISNUMBER(AB730),IF(AB730&gt;$L$8,AA730,""),"")</f>
        <v/>
      </c>
    </row>
    <row r="731">
      <c r="S731">
        <f>IF(ISNUMBER('자료_거시'!$E713),'자료_거시'!$E713,S730)</f>
        <v/>
      </c>
      <c r="T731">
        <f>IF(AND(ISNUMBER('자료_거시'!$D713),ISNUMBER('자료_거시'!$E713)),IFERROR('자료_거시'!$E713-INDEX($S$21:$S$4020,MATCH(EDATE('자료_거시'!$D713,-'설정'!$B$17),'자료_거시'!$D$3:INDEX('자료_거시'!$D$3:$D$4002,$K$6),1)),""),"")</f>
        <v/>
      </c>
      <c r="U731">
        <f>IF(ISNUMBER(T731),'자료_거시'!$D713,"")</f>
        <v/>
      </c>
      <c r="V731">
        <f>IF(ISNUMBER(U731),IF(U731&gt;$L$6,T731,""),"")</f>
        <v/>
      </c>
      <c r="W731">
        <f>IF(AND(ISNUMBER('자료_거시'!$G713),ISNUMBER('자료_거시'!$H713)),'자료_거시'!$H713,"")</f>
        <v/>
      </c>
      <c r="X731">
        <f>IF(ISNUMBER(W731),'자료_거시'!$G713,"")</f>
        <v/>
      </c>
      <c r="Y731">
        <f>IF(ISNUMBER(X731),IF(X731&gt;$L$7,W731,""),"")</f>
        <v/>
      </c>
      <c r="Z731">
        <f>IF(ISNUMBER('자료_거시'!$K713),'자료_거시'!$K713,Z730)</f>
        <v/>
      </c>
      <c r="AA731">
        <f>IF(AND(ISNUMBER('자료_거시'!$J713),ISNUMBER('자료_거시'!$K713)),IFERROR('자료_거시'!$K713/INDEX($Z$21:$Z$4020,MATCH(EDATE('자료_거시'!$J713,-'설정'!$B$17),'자료_거시'!$J$3:INDEX('자료_거시'!$J$3:$J$4002,$K$8),1))-1,""),"")</f>
        <v/>
      </c>
      <c r="AB731">
        <f>IF(ISNUMBER(AA731),'자료_거시'!$J713,"")</f>
        <v/>
      </c>
      <c r="AC731">
        <f>IF(ISNUMBER(AB731),IF(AB731&gt;$L$8,AA731,""),"")</f>
        <v/>
      </c>
    </row>
    <row r="732">
      <c r="S732">
        <f>IF(ISNUMBER('자료_거시'!$E714),'자료_거시'!$E714,S731)</f>
        <v/>
      </c>
      <c r="T732">
        <f>IF(AND(ISNUMBER('자료_거시'!$D714),ISNUMBER('자료_거시'!$E714)),IFERROR('자료_거시'!$E714-INDEX($S$21:$S$4020,MATCH(EDATE('자료_거시'!$D714,-'설정'!$B$17),'자료_거시'!$D$3:INDEX('자료_거시'!$D$3:$D$4002,$K$6),1)),""),"")</f>
        <v/>
      </c>
      <c r="U732">
        <f>IF(ISNUMBER(T732),'자료_거시'!$D714,"")</f>
        <v/>
      </c>
      <c r="V732">
        <f>IF(ISNUMBER(U732),IF(U732&gt;$L$6,T732,""),"")</f>
        <v/>
      </c>
      <c r="W732">
        <f>IF(AND(ISNUMBER('자료_거시'!$G714),ISNUMBER('자료_거시'!$H714)),'자료_거시'!$H714,"")</f>
        <v/>
      </c>
      <c r="X732">
        <f>IF(ISNUMBER(W732),'자료_거시'!$G714,"")</f>
        <v/>
      </c>
      <c r="Y732">
        <f>IF(ISNUMBER(X732),IF(X732&gt;$L$7,W732,""),"")</f>
        <v/>
      </c>
      <c r="Z732">
        <f>IF(ISNUMBER('자료_거시'!$K714),'자료_거시'!$K714,Z731)</f>
        <v/>
      </c>
      <c r="AA732">
        <f>IF(AND(ISNUMBER('자료_거시'!$J714),ISNUMBER('자료_거시'!$K714)),IFERROR('자료_거시'!$K714/INDEX($Z$21:$Z$4020,MATCH(EDATE('자료_거시'!$J714,-'설정'!$B$17),'자료_거시'!$J$3:INDEX('자료_거시'!$J$3:$J$4002,$K$8),1))-1,""),"")</f>
        <v/>
      </c>
      <c r="AB732">
        <f>IF(ISNUMBER(AA732),'자료_거시'!$J714,"")</f>
        <v/>
      </c>
      <c r="AC732">
        <f>IF(ISNUMBER(AB732),IF(AB732&gt;$L$8,AA732,""),"")</f>
        <v/>
      </c>
    </row>
    <row r="733">
      <c r="S733">
        <f>IF(ISNUMBER('자료_거시'!$E715),'자료_거시'!$E715,S732)</f>
        <v/>
      </c>
      <c r="T733">
        <f>IF(AND(ISNUMBER('자료_거시'!$D715),ISNUMBER('자료_거시'!$E715)),IFERROR('자료_거시'!$E715-INDEX($S$21:$S$4020,MATCH(EDATE('자료_거시'!$D715,-'설정'!$B$17),'자료_거시'!$D$3:INDEX('자료_거시'!$D$3:$D$4002,$K$6),1)),""),"")</f>
        <v/>
      </c>
      <c r="U733">
        <f>IF(ISNUMBER(T733),'자료_거시'!$D715,"")</f>
        <v/>
      </c>
      <c r="V733">
        <f>IF(ISNUMBER(U733),IF(U733&gt;$L$6,T733,""),"")</f>
        <v/>
      </c>
      <c r="W733">
        <f>IF(AND(ISNUMBER('자료_거시'!$G715),ISNUMBER('자료_거시'!$H715)),'자료_거시'!$H715,"")</f>
        <v/>
      </c>
      <c r="X733">
        <f>IF(ISNUMBER(W733),'자료_거시'!$G715,"")</f>
        <v/>
      </c>
      <c r="Y733">
        <f>IF(ISNUMBER(X733),IF(X733&gt;$L$7,W733,""),"")</f>
        <v/>
      </c>
      <c r="Z733">
        <f>IF(ISNUMBER('자료_거시'!$K715),'자료_거시'!$K715,Z732)</f>
        <v/>
      </c>
      <c r="AA733">
        <f>IF(AND(ISNUMBER('자료_거시'!$J715),ISNUMBER('자료_거시'!$K715)),IFERROR('자료_거시'!$K715/INDEX($Z$21:$Z$4020,MATCH(EDATE('자료_거시'!$J715,-'설정'!$B$17),'자료_거시'!$J$3:INDEX('자료_거시'!$J$3:$J$4002,$K$8),1))-1,""),"")</f>
        <v/>
      </c>
      <c r="AB733">
        <f>IF(ISNUMBER(AA733),'자료_거시'!$J715,"")</f>
        <v/>
      </c>
      <c r="AC733">
        <f>IF(ISNUMBER(AB733),IF(AB733&gt;$L$8,AA733,""),"")</f>
        <v/>
      </c>
    </row>
    <row r="734">
      <c r="S734">
        <f>IF(ISNUMBER('자료_거시'!$E716),'자료_거시'!$E716,S733)</f>
        <v/>
      </c>
      <c r="T734">
        <f>IF(AND(ISNUMBER('자료_거시'!$D716),ISNUMBER('자료_거시'!$E716)),IFERROR('자료_거시'!$E716-INDEX($S$21:$S$4020,MATCH(EDATE('자료_거시'!$D716,-'설정'!$B$17),'자료_거시'!$D$3:INDEX('자료_거시'!$D$3:$D$4002,$K$6),1)),""),"")</f>
        <v/>
      </c>
      <c r="U734">
        <f>IF(ISNUMBER(T734),'자료_거시'!$D716,"")</f>
        <v/>
      </c>
      <c r="V734">
        <f>IF(ISNUMBER(U734),IF(U734&gt;$L$6,T734,""),"")</f>
        <v/>
      </c>
      <c r="W734">
        <f>IF(AND(ISNUMBER('자료_거시'!$G716),ISNUMBER('자료_거시'!$H716)),'자료_거시'!$H716,"")</f>
        <v/>
      </c>
      <c r="X734">
        <f>IF(ISNUMBER(W734),'자료_거시'!$G716,"")</f>
        <v/>
      </c>
      <c r="Y734">
        <f>IF(ISNUMBER(X734),IF(X734&gt;$L$7,W734,""),"")</f>
        <v/>
      </c>
      <c r="Z734">
        <f>IF(ISNUMBER('자료_거시'!$K716),'자료_거시'!$K716,Z733)</f>
        <v/>
      </c>
      <c r="AA734">
        <f>IF(AND(ISNUMBER('자료_거시'!$J716),ISNUMBER('자료_거시'!$K716)),IFERROR('자료_거시'!$K716/INDEX($Z$21:$Z$4020,MATCH(EDATE('자료_거시'!$J716,-'설정'!$B$17),'자료_거시'!$J$3:INDEX('자료_거시'!$J$3:$J$4002,$K$8),1))-1,""),"")</f>
        <v/>
      </c>
      <c r="AB734">
        <f>IF(ISNUMBER(AA734),'자료_거시'!$J716,"")</f>
        <v/>
      </c>
      <c r="AC734">
        <f>IF(ISNUMBER(AB734),IF(AB734&gt;$L$8,AA734,""),"")</f>
        <v/>
      </c>
    </row>
    <row r="735">
      <c r="S735">
        <f>IF(ISNUMBER('자료_거시'!$E717),'자료_거시'!$E717,S734)</f>
        <v/>
      </c>
      <c r="T735">
        <f>IF(AND(ISNUMBER('자료_거시'!$D717),ISNUMBER('자료_거시'!$E717)),IFERROR('자료_거시'!$E717-INDEX($S$21:$S$4020,MATCH(EDATE('자료_거시'!$D717,-'설정'!$B$17),'자료_거시'!$D$3:INDEX('자료_거시'!$D$3:$D$4002,$K$6),1)),""),"")</f>
        <v/>
      </c>
      <c r="U735">
        <f>IF(ISNUMBER(T735),'자료_거시'!$D717,"")</f>
        <v/>
      </c>
      <c r="V735">
        <f>IF(ISNUMBER(U735),IF(U735&gt;$L$6,T735,""),"")</f>
        <v/>
      </c>
      <c r="W735">
        <f>IF(AND(ISNUMBER('자료_거시'!$G717),ISNUMBER('자료_거시'!$H717)),'자료_거시'!$H717,"")</f>
        <v/>
      </c>
      <c r="X735">
        <f>IF(ISNUMBER(W735),'자료_거시'!$G717,"")</f>
        <v/>
      </c>
      <c r="Y735">
        <f>IF(ISNUMBER(X735),IF(X735&gt;$L$7,W735,""),"")</f>
        <v/>
      </c>
      <c r="Z735">
        <f>IF(ISNUMBER('자료_거시'!$K717),'자료_거시'!$K717,Z734)</f>
        <v/>
      </c>
      <c r="AA735">
        <f>IF(AND(ISNUMBER('자료_거시'!$J717),ISNUMBER('자료_거시'!$K717)),IFERROR('자료_거시'!$K717/INDEX($Z$21:$Z$4020,MATCH(EDATE('자료_거시'!$J717,-'설정'!$B$17),'자료_거시'!$J$3:INDEX('자료_거시'!$J$3:$J$4002,$K$8),1))-1,""),"")</f>
        <v/>
      </c>
      <c r="AB735">
        <f>IF(ISNUMBER(AA735),'자료_거시'!$J717,"")</f>
        <v/>
      </c>
      <c r="AC735">
        <f>IF(ISNUMBER(AB735),IF(AB735&gt;$L$8,AA735,""),"")</f>
        <v/>
      </c>
    </row>
    <row r="736">
      <c r="S736">
        <f>IF(ISNUMBER('자료_거시'!$E718),'자료_거시'!$E718,S735)</f>
        <v/>
      </c>
      <c r="T736">
        <f>IF(AND(ISNUMBER('자료_거시'!$D718),ISNUMBER('자료_거시'!$E718)),IFERROR('자료_거시'!$E718-INDEX($S$21:$S$4020,MATCH(EDATE('자료_거시'!$D718,-'설정'!$B$17),'자료_거시'!$D$3:INDEX('자료_거시'!$D$3:$D$4002,$K$6),1)),""),"")</f>
        <v/>
      </c>
      <c r="U736">
        <f>IF(ISNUMBER(T736),'자료_거시'!$D718,"")</f>
        <v/>
      </c>
      <c r="V736">
        <f>IF(ISNUMBER(U736),IF(U736&gt;$L$6,T736,""),"")</f>
        <v/>
      </c>
      <c r="W736">
        <f>IF(AND(ISNUMBER('자료_거시'!$G718),ISNUMBER('자료_거시'!$H718)),'자료_거시'!$H718,"")</f>
        <v/>
      </c>
      <c r="X736">
        <f>IF(ISNUMBER(W736),'자료_거시'!$G718,"")</f>
        <v/>
      </c>
      <c r="Y736">
        <f>IF(ISNUMBER(X736),IF(X736&gt;$L$7,W736,""),"")</f>
        <v/>
      </c>
      <c r="Z736">
        <f>IF(ISNUMBER('자료_거시'!$K718),'자료_거시'!$K718,Z735)</f>
        <v/>
      </c>
      <c r="AA736">
        <f>IF(AND(ISNUMBER('자료_거시'!$J718),ISNUMBER('자료_거시'!$K718)),IFERROR('자료_거시'!$K718/INDEX($Z$21:$Z$4020,MATCH(EDATE('자료_거시'!$J718,-'설정'!$B$17),'자료_거시'!$J$3:INDEX('자료_거시'!$J$3:$J$4002,$K$8),1))-1,""),"")</f>
        <v/>
      </c>
      <c r="AB736">
        <f>IF(ISNUMBER(AA736),'자료_거시'!$J718,"")</f>
        <v/>
      </c>
      <c r="AC736">
        <f>IF(ISNUMBER(AB736),IF(AB736&gt;$L$8,AA736,""),"")</f>
        <v/>
      </c>
    </row>
    <row r="737">
      <c r="S737">
        <f>IF(ISNUMBER('자료_거시'!$E719),'자료_거시'!$E719,S736)</f>
        <v/>
      </c>
      <c r="T737">
        <f>IF(AND(ISNUMBER('자료_거시'!$D719),ISNUMBER('자료_거시'!$E719)),IFERROR('자료_거시'!$E719-INDEX($S$21:$S$4020,MATCH(EDATE('자료_거시'!$D719,-'설정'!$B$17),'자료_거시'!$D$3:INDEX('자료_거시'!$D$3:$D$4002,$K$6),1)),""),"")</f>
        <v/>
      </c>
      <c r="U737">
        <f>IF(ISNUMBER(T737),'자료_거시'!$D719,"")</f>
        <v/>
      </c>
      <c r="V737">
        <f>IF(ISNUMBER(U737),IF(U737&gt;$L$6,T737,""),"")</f>
        <v/>
      </c>
      <c r="W737">
        <f>IF(AND(ISNUMBER('자료_거시'!$G719),ISNUMBER('자료_거시'!$H719)),'자료_거시'!$H719,"")</f>
        <v/>
      </c>
      <c r="X737">
        <f>IF(ISNUMBER(W737),'자료_거시'!$G719,"")</f>
        <v/>
      </c>
      <c r="Y737">
        <f>IF(ISNUMBER(X737),IF(X737&gt;$L$7,W737,""),"")</f>
        <v/>
      </c>
      <c r="Z737">
        <f>IF(ISNUMBER('자료_거시'!$K719),'자료_거시'!$K719,Z736)</f>
        <v/>
      </c>
      <c r="AA737">
        <f>IF(AND(ISNUMBER('자료_거시'!$J719),ISNUMBER('자료_거시'!$K719)),IFERROR('자료_거시'!$K719/INDEX($Z$21:$Z$4020,MATCH(EDATE('자료_거시'!$J719,-'설정'!$B$17),'자료_거시'!$J$3:INDEX('자료_거시'!$J$3:$J$4002,$K$8),1))-1,""),"")</f>
        <v/>
      </c>
      <c r="AB737">
        <f>IF(ISNUMBER(AA737),'자료_거시'!$J719,"")</f>
        <v/>
      </c>
      <c r="AC737">
        <f>IF(ISNUMBER(AB737),IF(AB737&gt;$L$8,AA737,""),"")</f>
        <v/>
      </c>
    </row>
    <row r="738">
      <c r="S738">
        <f>IF(ISNUMBER('자료_거시'!$E720),'자료_거시'!$E720,S737)</f>
        <v/>
      </c>
      <c r="T738">
        <f>IF(AND(ISNUMBER('자료_거시'!$D720),ISNUMBER('자료_거시'!$E720)),IFERROR('자료_거시'!$E720-INDEX($S$21:$S$4020,MATCH(EDATE('자료_거시'!$D720,-'설정'!$B$17),'자료_거시'!$D$3:INDEX('자료_거시'!$D$3:$D$4002,$K$6),1)),""),"")</f>
        <v/>
      </c>
      <c r="U738">
        <f>IF(ISNUMBER(T738),'자료_거시'!$D720,"")</f>
        <v/>
      </c>
      <c r="V738">
        <f>IF(ISNUMBER(U738),IF(U738&gt;$L$6,T738,""),"")</f>
        <v/>
      </c>
      <c r="W738">
        <f>IF(AND(ISNUMBER('자료_거시'!$G720),ISNUMBER('자료_거시'!$H720)),'자료_거시'!$H720,"")</f>
        <v/>
      </c>
      <c r="X738">
        <f>IF(ISNUMBER(W738),'자료_거시'!$G720,"")</f>
        <v/>
      </c>
      <c r="Y738">
        <f>IF(ISNUMBER(X738),IF(X738&gt;$L$7,W738,""),"")</f>
        <v/>
      </c>
      <c r="Z738">
        <f>IF(ISNUMBER('자료_거시'!$K720),'자료_거시'!$K720,Z737)</f>
        <v/>
      </c>
      <c r="AA738">
        <f>IF(AND(ISNUMBER('자료_거시'!$J720),ISNUMBER('자료_거시'!$K720)),IFERROR('자료_거시'!$K720/INDEX($Z$21:$Z$4020,MATCH(EDATE('자료_거시'!$J720,-'설정'!$B$17),'자료_거시'!$J$3:INDEX('자료_거시'!$J$3:$J$4002,$K$8),1))-1,""),"")</f>
        <v/>
      </c>
      <c r="AB738">
        <f>IF(ISNUMBER(AA738),'자료_거시'!$J720,"")</f>
        <v/>
      </c>
      <c r="AC738">
        <f>IF(ISNUMBER(AB738),IF(AB738&gt;$L$8,AA738,""),"")</f>
        <v/>
      </c>
    </row>
    <row r="739">
      <c r="S739">
        <f>IF(ISNUMBER('자료_거시'!$E721),'자료_거시'!$E721,S738)</f>
        <v/>
      </c>
      <c r="T739">
        <f>IF(AND(ISNUMBER('자료_거시'!$D721),ISNUMBER('자료_거시'!$E721)),IFERROR('자료_거시'!$E721-INDEX($S$21:$S$4020,MATCH(EDATE('자료_거시'!$D721,-'설정'!$B$17),'자료_거시'!$D$3:INDEX('자료_거시'!$D$3:$D$4002,$K$6),1)),""),"")</f>
        <v/>
      </c>
      <c r="U739">
        <f>IF(ISNUMBER(T739),'자료_거시'!$D721,"")</f>
        <v/>
      </c>
      <c r="V739">
        <f>IF(ISNUMBER(U739),IF(U739&gt;$L$6,T739,""),"")</f>
        <v/>
      </c>
      <c r="W739">
        <f>IF(AND(ISNUMBER('자료_거시'!$G721),ISNUMBER('자료_거시'!$H721)),'자료_거시'!$H721,"")</f>
        <v/>
      </c>
      <c r="X739">
        <f>IF(ISNUMBER(W739),'자료_거시'!$G721,"")</f>
        <v/>
      </c>
      <c r="Y739">
        <f>IF(ISNUMBER(X739),IF(X739&gt;$L$7,W739,""),"")</f>
        <v/>
      </c>
      <c r="Z739">
        <f>IF(ISNUMBER('자료_거시'!$K721),'자료_거시'!$K721,Z738)</f>
        <v/>
      </c>
      <c r="AA739">
        <f>IF(AND(ISNUMBER('자료_거시'!$J721),ISNUMBER('자료_거시'!$K721)),IFERROR('자료_거시'!$K721/INDEX($Z$21:$Z$4020,MATCH(EDATE('자료_거시'!$J721,-'설정'!$B$17),'자료_거시'!$J$3:INDEX('자료_거시'!$J$3:$J$4002,$K$8),1))-1,""),"")</f>
        <v/>
      </c>
      <c r="AB739">
        <f>IF(ISNUMBER(AA739),'자료_거시'!$J721,"")</f>
        <v/>
      </c>
      <c r="AC739">
        <f>IF(ISNUMBER(AB739),IF(AB739&gt;$L$8,AA739,""),"")</f>
        <v/>
      </c>
    </row>
    <row r="740">
      <c r="S740">
        <f>IF(ISNUMBER('자료_거시'!$E722),'자료_거시'!$E722,S739)</f>
        <v/>
      </c>
      <c r="T740">
        <f>IF(AND(ISNUMBER('자료_거시'!$D722),ISNUMBER('자료_거시'!$E722)),IFERROR('자료_거시'!$E722-INDEX($S$21:$S$4020,MATCH(EDATE('자료_거시'!$D722,-'설정'!$B$17),'자료_거시'!$D$3:INDEX('자료_거시'!$D$3:$D$4002,$K$6),1)),""),"")</f>
        <v/>
      </c>
      <c r="U740">
        <f>IF(ISNUMBER(T740),'자료_거시'!$D722,"")</f>
        <v/>
      </c>
      <c r="V740">
        <f>IF(ISNUMBER(U740),IF(U740&gt;$L$6,T740,""),"")</f>
        <v/>
      </c>
      <c r="W740">
        <f>IF(AND(ISNUMBER('자료_거시'!$G722),ISNUMBER('자료_거시'!$H722)),'자료_거시'!$H722,"")</f>
        <v/>
      </c>
      <c r="X740">
        <f>IF(ISNUMBER(W740),'자료_거시'!$G722,"")</f>
        <v/>
      </c>
      <c r="Y740">
        <f>IF(ISNUMBER(X740),IF(X740&gt;$L$7,W740,""),"")</f>
        <v/>
      </c>
      <c r="Z740">
        <f>IF(ISNUMBER('자료_거시'!$K722),'자료_거시'!$K722,Z739)</f>
        <v/>
      </c>
      <c r="AA740">
        <f>IF(AND(ISNUMBER('자료_거시'!$J722),ISNUMBER('자료_거시'!$K722)),IFERROR('자료_거시'!$K722/INDEX($Z$21:$Z$4020,MATCH(EDATE('자료_거시'!$J722,-'설정'!$B$17),'자료_거시'!$J$3:INDEX('자료_거시'!$J$3:$J$4002,$K$8),1))-1,""),"")</f>
        <v/>
      </c>
      <c r="AB740">
        <f>IF(ISNUMBER(AA740),'자료_거시'!$J722,"")</f>
        <v/>
      </c>
      <c r="AC740">
        <f>IF(ISNUMBER(AB740),IF(AB740&gt;$L$8,AA740,""),"")</f>
        <v/>
      </c>
    </row>
    <row r="741">
      <c r="S741">
        <f>IF(ISNUMBER('자료_거시'!$E723),'자료_거시'!$E723,S740)</f>
        <v/>
      </c>
      <c r="T741">
        <f>IF(AND(ISNUMBER('자료_거시'!$D723),ISNUMBER('자료_거시'!$E723)),IFERROR('자료_거시'!$E723-INDEX($S$21:$S$4020,MATCH(EDATE('자료_거시'!$D723,-'설정'!$B$17),'자료_거시'!$D$3:INDEX('자료_거시'!$D$3:$D$4002,$K$6),1)),""),"")</f>
        <v/>
      </c>
      <c r="U741">
        <f>IF(ISNUMBER(T741),'자료_거시'!$D723,"")</f>
        <v/>
      </c>
      <c r="V741">
        <f>IF(ISNUMBER(U741),IF(U741&gt;$L$6,T741,""),"")</f>
        <v/>
      </c>
      <c r="W741">
        <f>IF(AND(ISNUMBER('자료_거시'!$G723),ISNUMBER('자료_거시'!$H723)),'자료_거시'!$H723,"")</f>
        <v/>
      </c>
      <c r="X741">
        <f>IF(ISNUMBER(W741),'자료_거시'!$G723,"")</f>
        <v/>
      </c>
      <c r="Y741">
        <f>IF(ISNUMBER(X741),IF(X741&gt;$L$7,W741,""),"")</f>
        <v/>
      </c>
      <c r="Z741">
        <f>IF(ISNUMBER('자료_거시'!$K723),'자료_거시'!$K723,Z740)</f>
        <v/>
      </c>
      <c r="AA741">
        <f>IF(AND(ISNUMBER('자료_거시'!$J723),ISNUMBER('자료_거시'!$K723)),IFERROR('자료_거시'!$K723/INDEX($Z$21:$Z$4020,MATCH(EDATE('자료_거시'!$J723,-'설정'!$B$17),'자료_거시'!$J$3:INDEX('자료_거시'!$J$3:$J$4002,$K$8),1))-1,""),"")</f>
        <v/>
      </c>
      <c r="AB741">
        <f>IF(ISNUMBER(AA741),'자료_거시'!$J723,"")</f>
        <v/>
      </c>
      <c r="AC741">
        <f>IF(ISNUMBER(AB741),IF(AB741&gt;$L$8,AA741,""),"")</f>
        <v/>
      </c>
    </row>
    <row r="742">
      <c r="S742">
        <f>IF(ISNUMBER('자료_거시'!$E724),'자료_거시'!$E724,S741)</f>
        <v/>
      </c>
      <c r="T742">
        <f>IF(AND(ISNUMBER('자료_거시'!$D724),ISNUMBER('자료_거시'!$E724)),IFERROR('자료_거시'!$E724-INDEX($S$21:$S$4020,MATCH(EDATE('자료_거시'!$D724,-'설정'!$B$17),'자료_거시'!$D$3:INDEX('자료_거시'!$D$3:$D$4002,$K$6),1)),""),"")</f>
        <v/>
      </c>
      <c r="U742">
        <f>IF(ISNUMBER(T742),'자료_거시'!$D724,"")</f>
        <v/>
      </c>
      <c r="V742">
        <f>IF(ISNUMBER(U742),IF(U742&gt;$L$6,T742,""),"")</f>
        <v/>
      </c>
      <c r="W742">
        <f>IF(AND(ISNUMBER('자료_거시'!$G724),ISNUMBER('자료_거시'!$H724)),'자료_거시'!$H724,"")</f>
        <v/>
      </c>
      <c r="X742">
        <f>IF(ISNUMBER(W742),'자료_거시'!$G724,"")</f>
        <v/>
      </c>
      <c r="Y742">
        <f>IF(ISNUMBER(X742),IF(X742&gt;$L$7,W742,""),"")</f>
        <v/>
      </c>
      <c r="Z742">
        <f>IF(ISNUMBER('자료_거시'!$K724),'자료_거시'!$K724,Z741)</f>
        <v/>
      </c>
      <c r="AA742">
        <f>IF(AND(ISNUMBER('자료_거시'!$J724),ISNUMBER('자료_거시'!$K724)),IFERROR('자료_거시'!$K724/INDEX($Z$21:$Z$4020,MATCH(EDATE('자료_거시'!$J724,-'설정'!$B$17),'자료_거시'!$J$3:INDEX('자료_거시'!$J$3:$J$4002,$K$8),1))-1,""),"")</f>
        <v/>
      </c>
      <c r="AB742">
        <f>IF(ISNUMBER(AA742),'자료_거시'!$J724,"")</f>
        <v/>
      </c>
      <c r="AC742">
        <f>IF(ISNUMBER(AB742),IF(AB742&gt;$L$8,AA742,""),"")</f>
        <v/>
      </c>
    </row>
    <row r="743">
      <c r="S743">
        <f>IF(ISNUMBER('자료_거시'!$E725),'자료_거시'!$E725,S742)</f>
        <v/>
      </c>
      <c r="T743">
        <f>IF(AND(ISNUMBER('자료_거시'!$D725),ISNUMBER('자료_거시'!$E725)),IFERROR('자료_거시'!$E725-INDEX($S$21:$S$4020,MATCH(EDATE('자료_거시'!$D725,-'설정'!$B$17),'자료_거시'!$D$3:INDEX('자료_거시'!$D$3:$D$4002,$K$6),1)),""),"")</f>
        <v/>
      </c>
      <c r="U743">
        <f>IF(ISNUMBER(T743),'자료_거시'!$D725,"")</f>
        <v/>
      </c>
      <c r="V743">
        <f>IF(ISNUMBER(U743),IF(U743&gt;$L$6,T743,""),"")</f>
        <v/>
      </c>
      <c r="W743">
        <f>IF(AND(ISNUMBER('자료_거시'!$G725),ISNUMBER('자료_거시'!$H725)),'자료_거시'!$H725,"")</f>
        <v/>
      </c>
      <c r="X743">
        <f>IF(ISNUMBER(W743),'자료_거시'!$G725,"")</f>
        <v/>
      </c>
      <c r="Y743">
        <f>IF(ISNUMBER(X743),IF(X743&gt;$L$7,W743,""),"")</f>
        <v/>
      </c>
      <c r="Z743">
        <f>IF(ISNUMBER('자료_거시'!$K725),'자료_거시'!$K725,Z742)</f>
        <v/>
      </c>
      <c r="AA743">
        <f>IF(AND(ISNUMBER('자료_거시'!$J725),ISNUMBER('자료_거시'!$K725)),IFERROR('자료_거시'!$K725/INDEX($Z$21:$Z$4020,MATCH(EDATE('자료_거시'!$J725,-'설정'!$B$17),'자료_거시'!$J$3:INDEX('자료_거시'!$J$3:$J$4002,$K$8),1))-1,""),"")</f>
        <v/>
      </c>
      <c r="AB743">
        <f>IF(ISNUMBER(AA743),'자료_거시'!$J725,"")</f>
        <v/>
      </c>
      <c r="AC743">
        <f>IF(ISNUMBER(AB743),IF(AB743&gt;$L$8,AA743,""),"")</f>
        <v/>
      </c>
    </row>
    <row r="744">
      <c r="S744">
        <f>IF(ISNUMBER('자료_거시'!$E726),'자료_거시'!$E726,S743)</f>
        <v/>
      </c>
      <c r="T744">
        <f>IF(AND(ISNUMBER('자료_거시'!$D726),ISNUMBER('자료_거시'!$E726)),IFERROR('자료_거시'!$E726-INDEX($S$21:$S$4020,MATCH(EDATE('자료_거시'!$D726,-'설정'!$B$17),'자료_거시'!$D$3:INDEX('자료_거시'!$D$3:$D$4002,$K$6),1)),""),"")</f>
        <v/>
      </c>
      <c r="U744">
        <f>IF(ISNUMBER(T744),'자료_거시'!$D726,"")</f>
        <v/>
      </c>
      <c r="V744">
        <f>IF(ISNUMBER(U744),IF(U744&gt;$L$6,T744,""),"")</f>
        <v/>
      </c>
      <c r="W744">
        <f>IF(AND(ISNUMBER('자료_거시'!$G726),ISNUMBER('자료_거시'!$H726)),'자료_거시'!$H726,"")</f>
        <v/>
      </c>
      <c r="X744">
        <f>IF(ISNUMBER(W744),'자료_거시'!$G726,"")</f>
        <v/>
      </c>
      <c r="Y744">
        <f>IF(ISNUMBER(X744),IF(X744&gt;$L$7,W744,""),"")</f>
        <v/>
      </c>
      <c r="Z744">
        <f>IF(ISNUMBER('자료_거시'!$K726),'자료_거시'!$K726,Z743)</f>
        <v/>
      </c>
      <c r="AA744">
        <f>IF(AND(ISNUMBER('자료_거시'!$J726),ISNUMBER('자료_거시'!$K726)),IFERROR('자료_거시'!$K726/INDEX($Z$21:$Z$4020,MATCH(EDATE('자료_거시'!$J726,-'설정'!$B$17),'자료_거시'!$J$3:INDEX('자료_거시'!$J$3:$J$4002,$K$8),1))-1,""),"")</f>
        <v/>
      </c>
      <c r="AB744">
        <f>IF(ISNUMBER(AA744),'자료_거시'!$J726,"")</f>
        <v/>
      </c>
      <c r="AC744">
        <f>IF(ISNUMBER(AB744),IF(AB744&gt;$L$8,AA744,""),"")</f>
        <v/>
      </c>
    </row>
    <row r="745">
      <c r="S745">
        <f>IF(ISNUMBER('자료_거시'!$E727),'자료_거시'!$E727,S744)</f>
        <v/>
      </c>
      <c r="T745">
        <f>IF(AND(ISNUMBER('자료_거시'!$D727),ISNUMBER('자료_거시'!$E727)),IFERROR('자료_거시'!$E727-INDEX($S$21:$S$4020,MATCH(EDATE('자료_거시'!$D727,-'설정'!$B$17),'자료_거시'!$D$3:INDEX('자료_거시'!$D$3:$D$4002,$K$6),1)),""),"")</f>
        <v/>
      </c>
      <c r="U745">
        <f>IF(ISNUMBER(T745),'자료_거시'!$D727,"")</f>
        <v/>
      </c>
      <c r="V745">
        <f>IF(ISNUMBER(U745),IF(U745&gt;$L$6,T745,""),"")</f>
        <v/>
      </c>
      <c r="W745">
        <f>IF(AND(ISNUMBER('자료_거시'!$G727),ISNUMBER('자료_거시'!$H727)),'자료_거시'!$H727,"")</f>
        <v/>
      </c>
      <c r="X745">
        <f>IF(ISNUMBER(W745),'자료_거시'!$G727,"")</f>
        <v/>
      </c>
      <c r="Y745">
        <f>IF(ISNUMBER(X745),IF(X745&gt;$L$7,W745,""),"")</f>
        <v/>
      </c>
      <c r="Z745">
        <f>IF(ISNUMBER('자료_거시'!$K727),'자료_거시'!$K727,Z744)</f>
        <v/>
      </c>
      <c r="AA745">
        <f>IF(AND(ISNUMBER('자료_거시'!$J727),ISNUMBER('자료_거시'!$K727)),IFERROR('자료_거시'!$K727/INDEX($Z$21:$Z$4020,MATCH(EDATE('자료_거시'!$J727,-'설정'!$B$17),'자료_거시'!$J$3:INDEX('자료_거시'!$J$3:$J$4002,$K$8),1))-1,""),"")</f>
        <v/>
      </c>
      <c r="AB745">
        <f>IF(ISNUMBER(AA745),'자료_거시'!$J727,"")</f>
        <v/>
      </c>
      <c r="AC745">
        <f>IF(ISNUMBER(AB745),IF(AB745&gt;$L$8,AA745,""),"")</f>
        <v/>
      </c>
    </row>
    <row r="746">
      <c r="S746">
        <f>IF(ISNUMBER('자료_거시'!$E728),'자료_거시'!$E728,S745)</f>
        <v/>
      </c>
      <c r="T746">
        <f>IF(AND(ISNUMBER('자료_거시'!$D728),ISNUMBER('자료_거시'!$E728)),IFERROR('자료_거시'!$E728-INDEX($S$21:$S$4020,MATCH(EDATE('자료_거시'!$D728,-'설정'!$B$17),'자료_거시'!$D$3:INDEX('자료_거시'!$D$3:$D$4002,$K$6),1)),""),"")</f>
        <v/>
      </c>
      <c r="U746">
        <f>IF(ISNUMBER(T746),'자료_거시'!$D728,"")</f>
        <v/>
      </c>
      <c r="V746">
        <f>IF(ISNUMBER(U746),IF(U746&gt;$L$6,T746,""),"")</f>
        <v/>
      </c>
      <c r="W746">
        <f>IF(AND(ISNUMBER('자료_거시'!$G728),ISNUMBER('자료_거시'!$H728)),'자료_거시'!$H728,"")</f>
        <v/>
      </c>
      <c r="X746">
        <f>IF(ISNUMBER(W746),'자료_거시'!$G728,"")</f>
        <v/>
      </c>
      <c r="Y746">
        <f>IF(ISNUMBER(X746),IF(X746&gt;$L$7,W746,""),"")</f>
        <v/>
      </c>
      <c r="Z746">
        <f>IF(ISNUMBER('자료_거시'!$K728),'자료_거시'!$K728,Z745)</f>
        <v/>
      </c>
      <c r="AA746">
        <f>IF(AND(ISNUMBER('자료_거시'!$J728),ISNUMBER('자료_거시'!$K728)),IFERROR('자료_거시'!$K728/INDEX($Z$21:$Z$4020,MATCH(EDATE('자료_거시'!$J728,-'설정'!$B$17),'자료_거시'!$J$3:INDEX('자료_거시'!$J$3:$J$4002,$K$8),1))-1,""),"")</f>
        <v/>
      </c>
      <c r="AB746">
        <f>IF(ISNUMBER(AA746),'자료_거시'!$J728,"")</f>
        <v/>
      </c>
      <c r="AC746">
        <f>IF(ISNUMBER(AB746),IF(AB746&gt;$L$8,AA746,""),"")</f>
        <v/>
      </c>
    </row>
    <row r="747">
      <c r="S747">
        <f>IF(ISNUMBER('자료_거시'!$E729),'자료_거시'!$E729,S746)</f>
        <v/>
      </c>
      <c r="T747">
        <f>IF(AND(ISNUMBER('자료_거시'!$D729),ISNUMBER('자료_거시'!$E729)),IFERROR('자료_거시'!$E729-INDEX($S$21:$S$4020,MATCH(EDATE('자료_거시'!$D729,-'설정'!$B$17),'자료_거시'!$D$3:INDEX('자료_거시'!$D$3:$D$4002,$K$6),1)),""),"")</f>
        <v/>
      </c>
      <c r="U747">
        <f>IF(ISNUMBER(T747),'자료_거시'!$D729,"")</f>
        <v/>
      </c>
      <c r="V747">
        <f>IF(ISNUMBER(U747),IF(U747&gt;$L$6,T747,""),"")</f>
        <v/>
      </c>
      <c r="W747">
        <f>IF(AND(ISNUMBER('자료_거시'!$G729),ISNUMBER('자료_거시'!$H729)),'자료_거시'!$H729,"")</f>
        <v/>
      </c>
      <c r="X747">
        <f>IF(ISNUMBER(W747),'자료_거시'!$G729,"")</f>
        <v/>
      </c>
      <c r="Y747">
        <f>IF(ISNUMBER(X747),IF(X747&gt;$L$7,W747,""),"")</f>
        <v/>
      </c>
      <c r="Z747">
        <f>IF(ISNUMBER('자료_거시'!$K729),'자료_거시'!$K729,Z746)</f>
        <v/>
      </c>
      <c r="AA747">
        <f>IF(AND(ISNUMBER('자료_거시'!$J729),ISNUMBER('자료_거시'!$K729)),IFERROR('자료_거시'!$K729/INDEX($Z$21:$Z$4020,MATCH(EDATE('자료_거시'!$J729,-'설정'!$B$17),'자료_거시'!$J$3:INDEX('자료_거시'!$J$3:$J$4002,$K$8),1))-1,""),"")</f>
        <v/>
      </c>
      <c r="AB747">
        <f>IF(ISNUMBER(AA747),'자료_거시'!$J729,"")</f>
        <v/>
      </c>
      <c r="AC747">
        <f>IF(ISNUMBER(AB747),IF(AB747&gt;$L$8,AA747,""),"")</f>
        <v/>
      </c>
    </row>
    <row r="748">
      <c r="S748">
        <f>IF(ISNUMBER('자료_거시'!$E730),'자료_거시'!$E730,S747)</f>
        <v/>
      </c>
      <c r="T748">
        <f>IF(AND(ISNUMBER('자료_거시'!$D730),ISNUMBER('자료_거시'!$E730)),IFERROR('자료_거시'!$E730-INDEX($S$21:$S$4020,MATCH(EDATE('자료_거시'!$D730,-'설정'!$B$17),'자료_거시'!$D$3:INDEX('자료_거시'!$D$3:$D$4002,$K$6),1)),""),"")</f>
        <v/>
      </c>
      <c r="U748">
        <f>IF(ISNUMBER(T748),'자료_거시'!$D730,"")</f>
        <v/>
      </c>
      <c r="V748">
        <f>IF(ISNUMBER(U748),IF(U748&gt;$L$6,T748,""),"")</f>
        <v/>
      </c>
      <c r="W748">
        <f>IF(AND(ISNUMBER('자료_거시'!$G730),ISNUMBER('자료_거시'!$H730)),'자료_거시'!$H730,"")</f>
        <v/>
      </c>
      <c r="X748">
        <f>IF(ISNUMBER(W748),'자료_거시'!$G730,"")</f>
        <v/>
      </c>
      <c r="Y748">
        <f>IF(ISNUMBER(X748),IF(X748&gt;$L$7,W748,""),"")</f>
        <v/>
      </c>
      <c r="Z748">
        <f>IF(ISNUMBER('자료_거시'!$K730),'자료_거시'!$K730,Z747)</f>
        <v/>
      </c>
      <c r="AA748">
        <f>IF(AND(ISNUMBER('자료_거시'!$J730),ISNUMBER('자료_거시'!$K730)),IFERROR('자료_거시'!$K730/INDEX($Z$21:$Z$4020,MATCH(EDATE('자료_거시'!$J730,-'설정'!$B$17),'자료_거시'!$J$3:INDEX('자료_거시'!$J$3:$J$4002,$K$8),1))-1,""),"")</f>
        <v/>
      </c>
      <c r="AB748">
        <f>IF(ISNUMBER(AA748),'자료_거시'!$J730,"")</f>
        <v/>
      </c>
      <c r="AC748">
        <f>IF(ISNUMBER(AB748),IF(AB748&gt;$L$8,AA748,""),"")</f>
        <v/>
      </c>
    </row>
    <row r="749">
      <c r="S749">
        <f>IF(ISNUMBER('자료_거시'!$E731),'자료_거시'!$E731,S748)</f>
        <v/>
      </c>
      <c r="T749">
        <f>IF(AND(ISNUMBER('자료_거시'!$D731),ISNUMBER('자료_거시'!$E731)),IFERROR('자료_거시'!$E731-INDEX($S$21:$S$4020,MATCH(EDATE('자료_거시'!$D731,-'설정'!$B$17),'자료_거시'!$D$3:INDEX('자료_거시'!$D$3:$D$4002,$K$6),1)),""),"")</f>
        <v/>
      </c>
      <c r="U749">
        <f>IF(ISNUMBER(T749),'자료_거시'!$D731,"")</f>
        <v/>
      </c>
      <c r="V749">
        <f>IF(ISNUMBER(U749),IF(U749&gt;$L$6,T749,""),"")</f>
        <v/>
      </c>
      <c r="W749">
        <f>IF(AND(ISNUMBER('자료_거시'!$G731),ISNUMBER('자료_거시'!$H731)),'자료_거시'!$H731,"")</f>
        <v/>
      </c>
      <c r="X749">
        <f>IF(ISNUMBER(W749),'자료_거시'!$G731,"")</f>
        <v/>
      </c>
      <c r="Y749">
        <f>IF(ISNUMBER(X749),IF(X749&gt;$L$7,W749,""),"")</f>
        <v/>
      </c>
      <c r="Z749">
        <f>IF(ISNUMBER('자료_거시'!$K731),'자료_거시'!$K731,Z748)</f>
        <v/>
      </c>
      <c r="AA749">
        <f>IF(AND(ISNUMBER('자료_거시'!$J731),ISNUMBER('자료_거시'!$K731)),IFERROR('자료_거시'!$K731/INDEX($Z$21:$Z$4020,MATCH(EDATE('자료_거시'!$J731,-'설정'!$B$17),'자료_거시'!$J$3:INDEX('자료_거시'!$J$3:$J$4002,$K$8),1))-1,""),"")</f>
        <v/>
      </c>
      <c r="AB749">
        <f>IF(ISNUMBER(AA749),'자료_거시'!$J731,"")</f>
        <v/>
      </c>
      <c r="AC749">
        <f>IF(ISNUMBER(AB749),IF(AB749&gt;$L$8,AA749,""),"")</f>
        <v/>
      </c>
    </row>
    <row r="750">
      <c r="S750">
        <f>IF(ISNUMBER('자료_거시'!$E732),'자료_거시'!$E732,S749)</f>
        <v/>
      </c>
      <c r="T750">
        <f>IF(AND(ISNUMBER('자료_거시'!$D732),ISNUMBER('자료_거시'!$E732)),IFERROR('자료_거시'!$E732-INDEX($S$21:$S$4020,MATCH(EDATE('자료_거시'!$D732,-'설정'!$B$17),'자료_거시'!$D$3:INDEX('자료_거시'!$D$3:$D$4002,$K$6),1)),""),"")</f>
        <v/>
      </c>
      <c r="U750">
        <f>IF(ISNUMBER(T750),'자료_거시'!$D732,"")</f>
        <v/>
      </c>
      <c r="V750">
        <f>IF(ISNUMBER(U750),IF(U750&gt;$L$6,T750,""),"")</f>
        <v/>
      </c>
      <c r="W750">
        <f>IF(AND(ISNUMBER('자료_거시'!$G732),ISNUMBER('자료_거시'!$H732)),'자료_거시'!$H732,"")</f>
        <v/>
      </c>
      <c r="X750">
        <f>IF(ISNUMBER(W750),'자료_거시'!$G732,"")</f>
        <v/>
      </c>
      <c r="Y750">
        <f>IF(ISNUMBER(X750),IF(X750&gt;$L$7,W750,""),"")</f>
        <v/>
      </c>
      <c r="Z750">
        <f>IF(ISNUMBER('자료_거시'!$K732),'자료_거시'!$K732,Z749)</f>
        <v/>
      </c>
      <c r="AA750">
        <f>IF(AND(ISNUMBER('자료_거시'!$J732),ISNUMBER('자료_거시'!$K732)),IFERROR('자료_거시'!$K732/INDEX($Z$21:$Z$4020,MATCH(EDATE('자료_거시'!$J732,-'설정'!$B$17),'자료_거시'!$J$3:INDEX('자료_거시'!$J$3:$J$4002,$K$8),1))-1,""),"")</f>
        <v/>
      </c>
      <c r="AB750">
        <f>IF(ISNUMBER(AA750),'자료_거시'!$J732,"")</f>
        <v/>
      </c>
      <c r="AC750">
        <f>IF(ISNUMBER(AB750),IF(AB750&gt;$L$8,AA750,""),"")</f>
        <v/>
      </c>
    </row>
    <row r="751">
      <c r="S751">
        <f>IF(ISNUMBER('자료_거시'!$E733),'자료_거시'!$E733,S750)</f>
        <v/>
      </c>
      <c r="T751">
        <f>IF(AND(ISNUMBER('자료_거시'!$D733),ISNUMBER('자료_거시'!$E733)),IFERROR('자료_거시'!$E733-INDEX($S$21:$S$4020,MATCH(EDATE('자료_거시'!$D733,-'설정'!$B$17),'자료_거시'!$D$3:INDEX('자료_거시'!$D$3:$D$4002,$K$6),1)),""),"")</f>
        <v/>
      </c>
      <c r="U751">
        <f>IF(ISNUMBER(T751),'자료_거시'!$D733,"")</f>
        <v/>
      </c>
      <c r="V751">
        <f>IF(ISNUMBER(U751),IF(U751&gt;$L$6,T751,""),"")</f>
        <v/>
      </c>
      <c r="W751">
        <f>IF(AND(ISNUMBER('자료_거시'!$G733),ISNUMBER('자료_거시'!$H733)),'자료_거시'!$H733,"")</f>
        <v/>
      </c>
      <c r="X751">
        <f>IF(ISNUMBER(W751),'자료_거시'!$G733,"")</f>
        <v/>
      </c>
      <c r="Y751">
        <f>IF(ISNUMBER(X751),IF(X751&gt;$L$7,W751,""),"")</f>
        <v/>
      </c>
      <c r="Z751">
        <f>IF(ISNUMBER('자료_거시'!$K733),'자료_거시'!$K733,Z750)</f>
        <v/>
      </c>
      <c r="AA751">
        <f>IF(AND(ISNUMBER('자료_거시'!$J733),ISNUMBER('자료_거시'!$K733)),IFERROR('자료_거시'!$K733/INDEX($Z$21:$Z$4020,MATCH(EDATE('자료_거시'!$J733,-'설정'!$B$17),'자료_거시'!$J$3:INDEX('자료_거시'!$J$3:$J$4002,$K$8),1))-1,""),"")</f>
        <v/>
      </c>
      <c r="AB751">
        <f>IF(ISNUMBER(AA751),'자료_거시'!$J733,"")</f>
        <v/>
      </c>
      <c r="AC751">
        <f>IF(ISNUMBER(AB751),IF(AB751&gt;$L$8,AA751,""),"")</f>
        <v/>
      </c>
    </row>
    <row r="752">
      <c r="S752">
        <f>IF(ISNUMBER('자료_거시'!$E734),'자료_거시'!$E734,S751)</f>
        <v/>
      </c>
      <c r="T752">
        <f>IF(AND(ISNUMBER('자료_거시'!$D734),ISNUMBER('자료_거시'!$E734)),IFERROR('자료_거시'!$E734-INDEX($S$21:$S$4020,MATCH(EDATE('자료_거시'!$D734,-'설정'!$B$17),'자료_거시'!$D$3:INDEX('자료_거시'!$D$3:$D$4002,$K$6),1)),""),"")</f>
        <v/>
      </c>
      <c r="U752">
        <f>IF(ISNUMBER(T752),'자료_거시'!$D734,"")</f>
        <v/>
      </c>
      <c r="V752">
        <f>IF(ISNUMBER(U752),IF(U752&gt;$L$6,T752,""),"")</f>
        <v/>
      </c>
      <c r="W752">
        <f>IF(AND(ISNUMBER('자료_거시'!$G734),ISNUMBER('자료_거시'!$H734)),'자료_거시'!$H734,"")</f>
        <v/>
      </c>
      <c r="X752">
        <f>IF(ISNUMBER(W752),'자료_거시'!$G734,"")</f>
        <v/>
      </c>
      <c r="Y752">
        <f>IF(ISNUMBER(X752),IF(X752&gt;$L$7,W752,""),"")</f>
        <v/>
      </c>
      <c r="Z752">
        <f>IF(ISNUMBER('자료_거시'!$K734),'자료_거시'!$K734,Z751)</f>
        <v/>
      </c>
      <c r="AA752">
        <f>IF(AND(ISNUMBER('자료_거시'!$J734),ISNUMBER('자료_거시'!$K734)),IFERROR('자료_거시'!$K734/INDEX($Z$21:$Z$4020,MATCH(EDATE('자료_거시'!$J734,-'설정'!$B$17),'자료_거시'!$J$3:INDEX('자료_거시'!$J$3:$J$4002,$K$8),1))-1,""),"")</f>
        <v/>
      </c>
      <c r="AB752">
        <f>IF(ISNUMBER(AA752),'자료_거시'!$J734,"")</f>
        <v/>
      </c>
      <c r="AC752">
        <f>IF(ISNUMBER(AB752),IF(AB752&gt;$L$8,AA752,""),"")</f>
        <v/>
      </c>
    </row>
    <row r="753">
      <c r="S753">
        <f>IF(ISNUMBER('자료_거시'!$E735),'자료_거시'!$E735,S752)</f>
        <v/>
      </c>
      <c r="T753">
        <f>IF(AND(ISNUMBER('자료_거시'!$D735),ISNUMBER('자료_거시'!$E735)),IFERROR('자료_거시'!$E735-INDEX($S$21:$S$4020,MATCH(EDATE('자료_거시'!$D735,-'설정'!$B$17),'자료_거시'!$D$3:INDEX('자료_거시'!$D$3:$D$4002,$K$6),1)),""),"")</f>
        <v/>
      </c>
      <c r="U753">
        <f>IF(ISNUMBER(T753),'자료_거시'!$D735,"")</f>
        <v/>
      </c>
      <c r="V753">
        <f>IF(ISNUMBER(U753),IF(U753&gt;$L$6,T753,""),"")</f>
        <v/>
      </c>
      <c r="W753">
        <f>IF(AND(ISNUMBER('자료_거시'!$G735),ISNUMBER('자료_거시'!$H735)),'자료_거시'!$H735,"")</f>
        <v/>
      </c>
      <c r="X753">
        <f>IF(ISNUMBER(W753),'자료_거시'!$G735,"")</f>
        <v/>
      </c>
      <c r="Y753">
        <f>IF(ISNUMBER(X753),IF(X753&gt;$L$7,W753,""),"")</f>
        <v/>
      </c>
      <c r="Z753">
        <f>IF(ISNUMBER('자료_거시'!$K735),'자료_거시'!$K735,Z752)</f>
        <v/>
      </c>
      <c r="AA753">
        <f>IF(AND(ISNUMBER('자료_거시'!$J735),ISNUMBER('자료_거시'!$K735)),IFERROR('자료_거시'!$K735/INDEX($Z$21:$Z$4020,MATCH(EDATE('자료_거시'!$J735,-'설정'!$B$17),'자료_거시'!$J$3:INDEX('자료_거시'!$J$3:$J$4002,$K$8),1))-1,""),"")</f>
        <v/>
      </c>
      <c r="AB753">
        <f>IF(ISNUMBER(AA753),'자료_거시'!$J735,"")</f>
        <v/>
      </c>
      <c r="AC753">
        <f>IF(ISNUMBER(AB753),IF(AB753&gt;$L$8,AA753,""),"")</f>
        <v/>
      </c>
    </row>
    <row r="754">
      <c r="S754">
        <f>IF(ISNUMBER('자료_거시'!$E736),'자료_거시'!$E736,S753)</f>
        <v/>
      </c>
      <c r="T754">
        <f>IF(AND(ISNUMBER('자료_거시'!$D736),ISNUMBER('자료_거시'!$E736)),IFERROR('자료_거시'!$E736-INDEX($S$21:$S$4020,MATCH(EDATE('자료_거시'!$D736,-'설정'!$B$17),'자료_거시'!$D$3:INDEX('자료_거시'!$D$3:$D$4002,$K$6),1)),""),"")</f>
        <v/>
      </c>
      <c r="U754">
        <f>IF(ISNUMBER(T754),'자료_거시'!$D736,"")</f>
        <v/>
      </c>
      <c r="V754">
        <f>IF(ISNUMBER(U754),IF(U754&gt;$L$6,T754,""),"")</f>
        <v/>
      </c>
      <c r="W754">
        <f>IF(AND(ISNUMBER('자료_거시'!$G736),ISNUMBER('자료_거시'!$H736)),'자료_거시'!$H736,"")</f>
        <v/>
      </c>
      <c r="X754">
        <f>IF(ISNUMBER(W754),'자료_거시'!$G736,"")</f>
        <v/>
      </c>
      <c r="Y754">
        <f>IF(ISNUMBER(X754),IF(X754&gt;$L$7,W754,""),"")</f>
        <v/>
      </c>
      <c r="Z754">
        <f>IF(ISNUMBER('자료_거시'!$K736),'자료_거시'!$K736,Z753)</f>
        <v/>
      </c>
      <c r="AA754">
        <f>IF(AND(ISNUMBER('자료_거시'!$J736),ISNUMBER('자료_거시'!$K736)),IFERROR('자료_거시'!$K736/INDEX($Z$21:$Z$4020,MATCH(EDATE('자료_거시'!$J736,-'설정'!$B$17),'자료_거시'!$J$3:INDEX('자료_거시'!$J$3:$J$4002,$K$8),1))-1,""),"")</f>
        <v/>
      </c>
      <c r="AB754">
        <f>IF(ISNUMBER(AA754),'자료_거시'!$J736,"")</f>
        <v/>
      </c>
      <c r="AC754">
        <f>IF(ISNUMBER(AB754),IF(AB754&gt;$L$8,AA754,""),"")</f>
        <v/>
      </c>
    </row>
    <row r="755">
      <c r="S755">
        <f>IF(ISNUMBER('자료_거시'!$E737),'자료_거시'!$E737,S754)</f>
        <v/>
      </c>
      <c r="T755">
        <f>IF(AND(ISNUMBER('자료_거시'!$D737),ISNUMBER('자료_거시'!$E737)),IFERROR('자료_거시'!$E737-INDEX($S$21:$S$4020,MATCH(EDATE('자료_거시'!$D737,-'설정'!$B$17),'자료_거시'!$D$3:INDEX('자료_거시'!$D$3:$D$4002,$K$6),1)),""),"")</f>
        <v/>
      </c>
      <c r="U755">
        <f>IF(ISNUMBER(T755),'자료_거시'!$D737,"")</f>
        <v/>
      </c>
      <c r="V755">
        <f>IF(ISNUMBER(U755),IF(U755&gt;$L$6,T755,""),"")</f>
        <v/>
      </c>
      <c r="W755">
        <f>IF(AND(ISNUMBER('자료_거시'!$G737),ISNUMBER('자료_거시'!$H737)),'자료_거시'!$H737,"")</f>
        <v/>
      </c>
      <c r="X755">
        <f>IF(ISNUMBER(W755),'자료_거시'!$G737,"")</f>
        <v/>
      </c>
      <c r="Y755">
        <f>IF(ISNUMBER(X755),IF(X755&gt;$L$7,W755,""),"")</f>
        <v/>
      </c>
      <c r="Z755">
        <f>IF(ISNUMBER('자료_거시'!$K737),'자료_거시'!$K737,Z754)</f>
        <v/>
      </c>
      <c r="AA755">
        <f>IF(AND(ISNUMBER('자료_거시'!$J737),ISNUMBER('자료_거시'!$K737)),IFERROR('자료_거시'!$K737/INDEX($Z$21:$Z$4020,MATCH(EDATE('자료_거시'!$J737,-'설정'!$B$17),'자료_거시'!$J$3:INDEX('자료_거시'!$J$3:$J$4002,$K$8),1))-1,""),"")</f>
        <v/>
      </c>
      <c r="AB755">
        <f>IF(ISNUMBER(AA755),'자료_거시'!$J737,"")</f>
        <v/>
      </c>
      <c r="AC755">
        <f>IF(ISNUMBER(AB755),IF(AB755&gt;$L$8,AA755,""),"")</f>
        <v/>
      </c>
    </row>
    <row r="756">
      <c r="S756">
        <f>IF(ISNUMBER('자료_거시'!$E738),'자료_거시'!$E738,S755)</f>
        <v/>
      </c>
      <c r="T756">
        <f>IF(AND(ISNUMBER('자료_거시'!$D738),ISNUMBER('자료_거시'!$E738)),IFERROR('자료_거시'!$E738-INDEX($S$21:$S$4020,MATCH(EDATE('자료_거시'!$D738,-'설정'!$B$17),'자료_거시'!$D$3:INDEX('자료_거시'!$D$3:$D$4002,$K$6),1)),""),"")</f>
        <v/>
      </c>
      <c r="U756">
        <f>IF(ISNUMBER(T756),'자료_거시'!$D738,"")</f>
        <v/>
      </c>
      <c r="V756">
        <f>IF(ISNUMBER(U756),IF(U756&gt;$L$6,T756,""),"")</f>
        <v/>
      </c>
      <c r="W756">
        <f>IF(AND(ISNUMBER('자료_거시'!$G738),ISNUMBER('자료_거시'!$H738)),'자료_거시'!$H738,"")</f>
        <v/>
      </c>
      <c r="X756">
        <f>IF(ISNUMBER(W756),'자료_거시'!$G738,"")</f>
        <v/>
      </c>
      <c r="Y756">
        <f>IF(ISNUMBER(X756),IF(X756&gt;$L$7,W756,""),"")</f>
        <v/>
      </c>
      <c r="Z756">
        <f>IF(ISNUMBER('자료_거시'!$K738),'자료_거시'!$K738,Z755)</f>
        <v/>
      </c>
      <c r="AA756">
        <f>IF(AND(ISNUMBER('자료_거시'!$J738),ISNUMBER('자료_거시'!$K738)),IFERROR('자료_거시'!$K738/INDEX($Z$21:$Z$4020,MATCH(EDATE('자료_거시'!$J738,-'설정'!$B$17),'자료_거시'!$J$3:INDEX('자료_거시'!$J$3:$J$4002,$K$8),1))-1,""),"")</f>
        <v/>
      </c>
      <c r="AB756">
        <f>IF(ISNUMBER(AA756),'자료_거시'!$J738,"")</f>
        <v/>
      </c>
      <c r="AC756">
        <f>IF(ISNUMBER(AB756),IF(AB756&gt;$L$8,AA756,""),"")</f>
        <v/>
      </c>
    </row>
    <row r="757">
      <c r="S757">
        <f>IF(ISNUMBER('자료_거시'!$E739),'자료_거시'!$E739,S756)</f>
        <v/>
      </c>
      <c r="T757">
        <f>IF(AND(ISNUMBER('자료_거시'!$D739),ISNUMBER('자료_거시'!$E739)),IFERROR('자료_거시'!$E739-INDEX($S$21:$S$4020,MATCH(EDATE('자료_거시'!$D739,-'설정'!$B$17),'자료_거시'!$D$3:INDEX('자료_거시'!$D$3:$D$4002,$K$6),1)),""),"")</f>
        <v/>
      </c>
      <c r="U757">
        <f>IF(ISNUMBER(T757),'자료_거시'!$D739,"")</f>
        <v/>
      </c>
      <c r="V757">
        <f>IF(ISNUMBER(U757),IF(U757&gt;$L$6,T757,""),"")</f>
        <v/>
      </c>
      <c r="W757">
        <f>IF(AND(ISNUMBER('자료_거시'!$G739),ISNUMBER('자료_거시'!$H739)),'자료_거시'!$H739,"")</f>
        <v/>
      </c>
      <c r="X757">
        <f>IF(ISNUMBER(W757),'자료_거시'!$G739,"")</f>
        <v/>
      </c>
      <c r="Y757">
        <f>IF(ISNUMBER(X757),IF(X757&gt;$L$7,W757,""),"")</f>
        <v/>
      </c>
      <c r="Z757">
        <f>IF(ISNUMBER('자료_거시'!$K739),'자료_거시'!$K739,Z756)</f>
        <v/>
      </c>
      <c r="AA757">
        <f>IF(AND(ISNUMBER('자료_거시'!$J739),ISNUMBER('자료_거시'!$K739)),IFERROR('자료_거시'!$K739/INDEX($Z$21:$Z$4020,MATCH(EDATE('자료_거시'!$J739,-'설정'!$B$17),'자료_거시'!$J$3:INDEX('자료_거시'!$J$3:$J$4002,$K$8),1))-1,""),"")</f>
        <v/>
      </c>
      <c r="AB757">
        <f>IF(ISNUMBER(AA757),'자료_거시'!$J739,"")</f>
        <v/>
      </c>
      <c r="AC757">
        <f>IF(ISNUMBER(AB757),IF(AB757&gt;$L$8,AA757,""),"")</f>
        <v/>
      </c>
    </row>
    <row r="758">
      <c r="S758">
        <f>IF(ISNUMBER('자료_거시'!$E740),'자료_거시'!$E740,S757)</f>
        <v/>
      </c>
      <c r="T758">
        <f>IF(AND(ISNUMBER('자료_거시'!$D740),ISNUMBER('자료_거시'!$E740)),IFERROR('자료_거시'!$E740-INDEX($S$21:$S$4020,MATCH(EDATE('자료_거시'!$D740,-'설정'!$B$17),'자료_거시'!$D$3:INDEX('자료_거시'!$D$3:$D$4002,$K$6),1)),""),"")</f>
        <v/>
      </c>
      <c r="U758">
        <f>IF(ISNUMBER(T758),'자료_거시'!$D740,"")</f>
        <v/>
      </c>
      <c r="V758">
        <f>IF(ISNUMBER(U758),IF(U758&gt;$L$6,T758,""),"")</f>
        <v/>
      </c>
      <c r="W758">
        <f>IF(AND(ISNUMBER('자료_거시'!$G740),ISNUMBER('자료_거시'!$H740)),'자료_거시'!$H740,"")</f>
        <v/>
      </c>
      <c r="X758">
        <f>IF(ISNUMBER(W758),'자료_거시'!$G740,"")</f>
        <v/>
      </c>
      <c r="Y758">
        <f>IF(ISNUMBER(X758),IF(X758&gt;$L$7,W758,""),"")</f>
        <v/>
      </c>
      <c r="Z758">
        <f>IF(ISNUMBER('자료_거시'!$K740),'자료_거시'!$K740,Z757)</f>
        <v/>
      </c>
      <c r="AA758">
        <f>IF(AND(ISNUMBER('자료_거시'!$J740),ISNUMBER('자료_거시'!$K740)),IFERROR('자료_거시'!$K740/INDEX($Z$21:$Z$4020,MATCH(EDATE('자료_거시'!$J740,-'설정'!$B$17),'자료_거시'!$J$3:INDEX('자료_거시'!$J$3:$J$4002,$K$8),1))-1,""),"")</f>
        <v/>
      </c>
      <c r="AB758">
        <f>IF(ISNUMBER(AA758),'자료_거시'!$J740,"")</f>
        <v/>
      </c>
      <c r="AC758">
        <f>IF(ISNUMBER(AB758),IF(AB758&gt;$L$8,AA758,""),"")</f>
        <v/>
      </c>
    </row>
    <row r="759">
      <c r="S759">
        <f>IF(ISNUMBER('자료_거시'!$E741),'자료_거시'!$E741,S758)</f>
        <v/>
      </c>
      <c r="T759">
        <f>IF(AND(ISNUMBER('자료_거시'!$D741),ISNUMBER('자료_거시'!$E741)),IFERROR('자료_거시'!$E741-INDEX($S$21:$S$4020,MATCH(EDATE('자료_거시'!$D741,-'설정'!$B$17),'자료_거시'!$D$3:INDEX('자료_거시'!$D$3:$D$4002,$K$6),1)),""),"")</f>
        <v/>
      </c>
      <c r="U759">
        <f>IF(ISNUMBER(T759),'자료_거시'!$D741,"")</f>
        <v/>
      </c>
      <c r="V759">
        <f>IF(ISNUMBER(U759),IF(U759&gt;$L$6,T759,""),"")</f>
        <v/>
      </c>
      <c r="W759">
        <f>IF(AND(ISNUMBER('자료_거시'!$G741),ISNUMBER('자료_거시'!$H741)),'자료_거시'!$H741,"")</f>
        <v/>
      </c>
      <c r="X759">
        <f>IF(ISNUMBER(W759),'자료_거시'!$G741,"")</f>
        <v/>
      </c>
      <c r="Y759">
        <f>IF(ISNUMBER(X759),IF(X759&gt;$L$7,W759,""),"")</f>
        <v/>
      </c>
      <c r="Z759">
        <f>IF(ISNUMBER('자료_거시'!$K741),'자료_거시'!$K741,Z758)</f>
        <v/>
      </c>
      <c r="AA759">
        <f>IF(AND(ISNUMBER('자료_거시'!$J741),ISNUMBER('자료_거시'!$K741)),IFERROR('자료_거시'!$K741/INDEX($Z$21:$Z$4020,MATCH(EDATE('자료_거시'!$J741,-'설정'!$B$17),'자료_거시'!$J$3:INDEX('자료_거시'!$J$3:$J$4002,$K$8),1))-1,""),"")</f>
        <v/>
      </c>
      <c r="AB759">
        <f>IF(ISNUMBER(AA759),'자료_거시'!$J741,"")</f>
        <v/>
      </c>
      <c r="AC759">
        <f>IF(ISNUMBER(AB759),IF(AB759&gt;$L$8,AA759,""),"")</f>
        <v/>
      </c>
    </row>
    <row r="760">
      <c r="S760">
        <f>IF(ISNUMBER('자료_거시'!$E742),'자료_거시'!$E742,S759)</f>
        <v/>
      </c>
      <c r="T760">
        <f>IF(AND(ISNUMBER('자료_거시'!$D742),ISNUMBER('자료_거시'!$E742)),IFERROR('자료_거시'!$E742-INDEX($S$21:$S$4020,MATCH(EDATE('자료_거시'!$D742,-'설정'!$B$17),'자료_거시'!$D$3:INDEX('자료_거시'!$D$3:$D$4002,$K$6),1)),""),"")</f>
        <v/>
      </c>
      <c r="U760">
        <f>IF(ISNUMBER(T760),'자료_거시'!$D742,"")</f>
        <v/>
      </c>
      <c r="V760">
        <f>IF(ISNUMBER(U760),IF(U760&gt;$L$6,T760,""),"")</f>
        <v/>
      </c>
      <c r="W760">
        <f>IF(AND(ISNUMBER('자료_거시'!$G742),ISNUMBER('자료_거시'!$H742)),'자료_거시'!$H742,"")</f>
        <v/>
      </c>
      <c r="X760">
        <f>IF(ISNUMBER(W760),'자료_거시'!$G742,"")</f>
        <v/>
      </c>
      <c r="Y760">
        <f>IF(ISNUMBER(X760),IF(X760&gt;$L$7,W760,""),"")</f>
        <v/>
      </c>
      <c r="Z760">
        <f>IF(ISNUMBER('자료_거시'!$K742),'자료_거시'!$K742,Z759)</f>
        <v/>
      </c>
      <c r="AA760">
        <f>IF(AND(ISNUMBER('자료_거시'!$J742),ISNUMBER('자료_거시'!$K742)),IFERROR('자료_거시'!$K742/INDEX($Z$21:$Z$4020,MATCH(EDATE('자료_거시'!$J742,-'설정'!$B$17),'자료_거시'!$J$3:INDEX('자료_거시'!$J$3:$J$4002,$K$8),1))-1,""),"")</f>
        <v/>
      </c>
      <c r="AB760">
        <f>IF(ISNUMBER(AA760),'자료_거시'!$J742,"")</f>
        <v/>
      </c>
      <c r="AC760">
        <f>IF(ISNUMBER(AB760),IF(AB760&gt;$L$8,AA760,""),"")</f>
        <v/>
      </c>
    </row>
    <row r="761">
      <c r="S761">
        <f>IF(ISNUMBER('자료_거시'!$E743),'자료_거시'!$E743,S760)</f>
        <v/>
      </c>
      <c r="T761">
        <f>IF(AND(ISNUMBER('자료_거시'!$D743),ISNUMBER('자료_거시'!$E743)),IFERROR('자료_거시'!$E743-INDEX($S$21:$S$4020,MATCH(EDATE('자료_거시'!$D743,-'설정'!$B$17),'자료_거시'!$D$3:INDEX('자료_거시'!$D$3:$D$4002,$K$6),1)),""),"")</f>
        <v/>
      </c>
      <c r="U761">
        <f>IF(ISNUMBER(T761),'자료_거시'!$D743,"")</f>
        <v/>
      </c>
      <c r="V761">
        <f>IF(ISNUMBER(U761),IF(U761&gt;$L$6,T761,""),"")</f>
        <v/>
      </c>
      <c r="W761">
        <f>IF(AND(ISNUMBER('자료_거시'!$G743),ISNUMBER('자료_거시'!$H743)),'자료_거시'!$H743,"")</f>
        <v/>
      </c>
      <c r="X761">
        <f>IF(ISNUMBER(W761),'자료_거시'!$G743,"")</f>
        <v/>
      </c>
      <c r="Y761">
        <f>IF(ISNUMBER(X761),IF(X761&gt;$L$7,W761,""),"")</f>
        <v/>
      </c>
      <c r="Z761">
        <f>IF(ISNUMBER('자료_거시'!$K743),'자료_거시'!$K743,Z760)</f>
        <v/>
      </c>
      <c r="AA761">
        <f>IF(AND(ISNUMBER('자료_거시'!$J743),ISNUMBER('자료_거시'!$K743)),IFERROR('자료_거시'!$K743/INDEX($Z$21:$Z$4020,MATCH(EDATE('자료_거시'!$J743,-'설정'!$B$17),'자료_거시'!$J$3:INDEX('자료_거시'!$J$3:$J$4002,$K$8),1))-1,""),"")</f>
        <v/>
      </c>
      <c r="AB761">
        <f>IF(ISNUMBER(AA761),'자료_거시'!$J743,"")</f>
        <v/>
      </c>
      <c r="AC761">
        <f>IF(ISNUMBER(AB761),IF(AB761&gt;$L$8,AA761,""),"")</f>
        <v/>
      </c>
    </row>
    <row r="762">
      <c r="S762">
        <f>IF(ISNUMBER('자료_거시'!$E744),'자료_거시'!$E744,S761)</f>
        <v/>
      </c>
      <c r="T762">
        <f>IF(AND(ISNUMBER('자료_거시'!$D744),ISNUMBER('자료_거시'!$E744)),IFERROR('자료_거시'!$E744-INDEX($S$21:$S$4020,MATCH(EDATE('자료_거시'!$D744,-'설정'!$B$17),'자료_거시'!$D$3:INDEX('자료_거시'!$D$3:$D$4002,$K$6),1)),""),"")</f>
        <v/>
      </c>
      <c r="U762">
        <f>IF(ISNUMBER(T762),'자료_거시'!$D744,"")</f>
        <v/>
      </c>
      <c r="V762">
        <f>IF(ISNUMBER(U762),IF(U762&gt;$L$6,T762,""),"")</f>
        <v/>
      </c>
      <c r="W762">
        <f>IF(AND(ISNUMBER('자료_거시'!$G744),ISNUMBER('자료_거시'!$H744)),'자료_거시'!$H744,"")</f>
        <v/>
      </c>
      <c r="X762">
        <f>IF(ISNUMBER(W762),'자료_거시'!$G744,"")</f>
        <v/>
      </c>
      <c r="Y762">
        <f>IF(ISNUMBER(X762),IF(X762&gt;$L$7,W762,""),"")</f>
        <v/>
      </c>
      <c r="Z762">
        <f>IF(ISNUMBER('자료_거시'!$K744),'자료_거시'!$K744,Z761)</f>
        <v/>
      </c>
      <c r="AA762">
        <f>IF(AND(ISNUMBER('자료_거시'!$J744),ISNUMBER('자료_거시'!$K744)),IFERROR('자료_거시'!$K744/INDEX($Z$21:$Z$4020,MATCH(EDATE('자료_거시'!$J744,-'설정'!$B$17),'자료_거시'!$J$3:INDEX('자료_거시'!$J$3:$J$4002,$K$8),1))-1,""),"")</f>
        <v/>
      </c>
      <c r="AB762">
        <f>IF(ISNUMBER(AA762),'자료_거시'!$J744,"")</f>
        <v/>
      </c>
      <c r="AC762">
        <f>IF(ISNUMBER(AB762),IF(AB762&gt;$L$8,AA762,""),"")</f>
        <v/>
      </c>
    </row>
    <row r="763">
      <c r="S763">
        <f>IF(ISNUMBER('자료_거시'!$E745),'자료_거시'!$E745,S762)</f>
        <v/>
      </c>
      <c r="T763">
        <f>IF(AND(ISNUMBER('자료_거시'!$D745),ISNUMBER('자료_거시'!$E745)),IFERROR('자료_거시'!$E745-INDEX($S$21:$S$4020,MATCH(EDATE('자료_거시'!$D745,-'설정'!$B$17),'자료_거시'!$D$3:INDEX('자료_거시'!$D$3:$D$4002,$K$6),1)),""),"")</f>
        <v/>
      </c>
      <c r="U763">
        <f>IF(ISNUMBER(T763),'자료_거시'!$D745,"")</f>
        <v/>
      </c>
      <c r="V763">
        <f>IF(ISNUMBER(U763),IF(U763&gt;$L$6,T763,""),"")</f>
        <v/>
      </c>
      <c r="W763">
        <f>IF(AND(ISNUMBER('자료_거시'!$G745),ISNUMBER('자료_거시'!$H745)),'자료_거시'!$H745,"")</f>
        <v/>
      </c>
      <c r="X763">
        <f>IF(ISNUMBER(W763),'자료_거시'!$G745,"")</f>
        <v/>
      </c>
      <c r="Y763">
        <f>IF(ISNUMBER(X763),IF(X763&gt;$L$7,W763,""),"")</f>
        <v/>
      </c>
      <c r="Z763">
        <f>IF(ISNUMBER('자료_거시'!$K745),'자료_거시'!$K745,Z762)</f>
        <v/>
      </c>
      <c r="AA763">
        <f>IF(AND(ISNUMBER('자료_거시'!$J745),ISNUMBER('자료_거시'!$K745)),IFERROR('자료_거시'!$K745/INDEX($Z$21:$Z$4020,MATCH(EDATE('자료_거시'!$J745,-'설정'!$B$17),'자료_거시'!$J$3:INDEX('자료_거시'!$J$3:$J$4002,$K$8),1))-1,""),"")</f>
        <v/>
      </c>
      <c r="AB763">
        <f>IF(ISNUMBER(AA763),'자료_거시'!$J745,"")</f>
        <v/>
      </c>
      <c r="AC763">
        <f>IF(ISNUMBER(AB763),IF(AB763&gt;$L$8,AA763,""),"")</f>
        <v/>
      </c>
    </row>
    <row r="764">
      <c r="S764">
        <f>IF(ISNUMBER('자료_거시'!$E746),'자료_거시'!$E746,S763)</f>
        <v/>
      </c>
      <c r="T764">
        <f>IF(AND(ISNUMBER('자료_거시'!$D746),ISNUMBER('자료_거시'!$E746)),IFERROR('자료_거시'!$E746-INDEX($S$21:$S$4020,MATCH(EDATE('자료_거시'!$D746,-'설정'!$B$17),'자료_거시'!$D$3:INDEX('자료_거시'!$D$3:$D$4002,$K$6),1)),""),"")</f>
        <v/>
      </c>
      <c r="U764">
        <f>IF(ISNUMBER(T764),'자료_거시'!$D746,"")</f>
        <v/>
      </c>
      <c r="V764">
        <f>IF(ISNUMBER(U764),IF(U764&gt;$L$6,T764,""),"")</f>
        <v/>
      </c>
      <c r="W764">
        <f>IF(AND(ISNUMBER('자료_거시'!$G746),ISNUMBER('자료_거시'!$H746)),'자료_거시'!$H746,"")</f>
        <v/>
      </c>
      <c r="X764">
        <f>IF(ISNUMBER(W764),'자료_거시'!$G746,"")</f>
        <v/>
      </c>
      <c r="Y764">
        <f>IF(ISNUMBER(X764),IF(X764&gt;$L$7,W764,""),"")</f>
        <v/>
      </c>
      <c r="Z764">
        <f>IF(ISNUMBER('자료_거시'!$K746),'자료_거시'!$K746,Z763)</f>
        <v/>
      </c>
      <c r="AA764">
        <f>IF(AND(ISNUMBER('자료_거시'!$J746),ISNUMBER('자료_거시'!$K746)),IFERROR('자료_거시'!$K746/INDEX($Z$21:$Z$4020,MATCH(EDATE('자료_거시'!$J746,-'설정'!$B$17),'자료_거시'!$J$3:INDEX('자료_거시'!$J$3:$J$4002,$K$8),1))-1,""),"")</f>
        <v/>
      </c>
      <c r="AB764">
        <f>IF(ISNUMBER(AA764),'자료_거시'!$J746,"")</f>
        <v/>
      </c>
      <c r="AC764">
        <f>IF(ISNUMBER(AB764),IF(AB764&gt;$L$8,AA764,""),"")</f>
        <v/>
      </c>
    </row>
    <row r="765">
      <c r="S765">
        <f>IF(ISNUMBER('자료_거시'!$E747),'자료_거시'!$E747,S764)</f>
        <v/>
      </c>
      <c r="T765">
        <f>IF(AND(ISNUMBER('자료_거시'!$D747),ISNUMBER('자료_거시'!$E747)),IFERROR('자료_거시'!$E747-INDEX($S$21:$S$4020,MATCH(EDATE('자료_거시'!$D747,-'설정'!$B$17),'자료_거시'!$D$3:INDEX('자료_거시'!$D$3:$D$4002,$K$6),1)),""),"")</f>
        <v/>
      </c>
      <c r="U765">
        <f>IF(ISNUMBER(T765),'자료_거시'!$D747,"")</f>
        <v/>
      </c>
      <c r="V765">
        <f>IF(ISNUMBER(U765),IF(U765&gt;$L$6,T765,""),"")</f>
        <v/>
      </c>
      <c r="W765">
        <f>IF(AND(ISNUMBER('자료_거시'!$G747),ISNUMBER('자료_거시'!$H747)),'자료_거시'!$H747,"")</f>
        <v/>
      </c>
      <c r="X765">
        <f>IF(ISNUMBER(W765),'자료_거시'!$G747,"")</f>
        <v/>
      </c>
      <c r="Y765">
        <f>IF(ISNUMBER(X765),IF(X765&gt;$L$7,W765,""),"")</f>
        <v/>
      </c>
      <c r="Z765">
        <f>IF(ISNUMBER('자료_거시'!$K747),'자료_거시'!$K747,Z764)</f>
        <v/>
      </c>
      <c r="AA765">
        <f>IF(AND(ISNUMBER('자료_거시'!$J747),ISNUMBER('자료_거시'!$K747)),IFERROR('자료_거시'!$K747/INDEX($Z$21:$Z$4020,MATCH(EDATE('자료_거시'!$J747,-'설정'!$B$17),'자료_거시'!$J$3:INDEX('자료_거시'!$J$3:$J$4002,$K$8),1))-1,""),"")</f>
        <v/>
      </c>
      <c r="AB765">
        <f>IF(ISNUMBER(AA765),'자료_거시'!$J747,"")</f>
        <v/>
      </c>
      <c r="AC765">
        <f>IF(ISNUMBER(AB765),IF(AB765&gt;$L$8,AA765,""),"")</f>
        <v/>
      </c>
    </row>
    <row r="766">
      <c r="S766">
        <f>IF(ISNUMBER('자료_거시'!$E748),'자료_거시'!$E748,S765)</f>
        <v/>
      </c>
      <c r="T766">
        <f>IF(AND(ISNUMBER('자료_거시'!$D748),ISNUMBER('자료_거시'!$E748)),IFERROR('자료_거시'!$E748-INDEX($S$21:$S$4020,MATCH(EDATE('자료_거시'!$D748,-'설정'!$B$17),'자료_거시'!$D$3:INDEX('자료_거시'!$D$3:$D$4002,$K$6),1)),""),"")</f>
        <v/>
      </c>
      <c r="U766">
        <f>IF(ISNUMBER(T766),'자료_거시'!$D748,"")</f>
        <v/>
      </c>
      <c r="V766">
        <f>IF(ISNUMBER(U766),IF(U766&gt;$L$6,T766,""),"")</f>
        <v/>
      </c>
      <c r="W766">
        <f>IF(AND(ISNUMBER('자료_거시'!$G748),ISNUMBER('자료_거시'!$H748)),'자료_거시'!$H748,"")</f>
        <v/>
      </c>
      <c r="X766">
        <f>IF(ISNUMBER(W766),'자료_거시'!$G748,"")</f>
        <v/>
      </c>
      <c r="Y766">
        <f>IF(ISNUMBER(X766),IF(X766&gt;$L$7,W766,""),"")</f>
        <v/>
      </c>
      <c r="Z766">
        <f>IF(ISNUMBER('자료_거시'!$K748),'자료_거시'!$K748,Z765)</f>
        <v/>
      </c>
      <c r="AA766">
        <f>IF(AND(ISNUMBER('자료_거시'!$J748),ISNUMBER('자료_거시'!$K748)),IFERROR('자료_거시'!$K748/INDEX($Z$21:$Z$4020,MATCH(EDATE('자료_거시'!$J748,-'설정'!$B$17),'자료_거시'!$J$3:INDEX('자료_거시'!$J$3:$J$4002,$K$8),1))-1,""),"")</f>
        <v/>
      </c>
      <c r="AB766">
        <f>IF(ISNUMBER(AA766),'자료_거시'!$J748,"")</f>
        <v/>
      </c>
      <c r="AC766">
        <f>IF(ISNUMBER(AB766),IF(AB766&gt;$L$8,AA766,""),"")</f>
        <v/>
      </c>
    </row>
    <row r="767">
      <c r="S767">
        <f>IF(ISNUMBER('자료_거시'!$E749),'자료_거시'!$E749,S766)</f>
        <v/>
      </c>
      <c r="T767">
        <f>IF(AND(ISNUMBER('자료_거시'!$D749),ISNUMBER('자료_거시'!$E749)),IFERROR('자료_거시'!$E749-INDEX($S$21:$S$4020,MATCH(EDATE('자료_거시'!$D749,-'설정'!$B$17),'자료_거시'!$D$3:INDEX('자료_거시'!$D$3:$D$4002,$K$6),1)),""),"")</f>
        <v/>
      </c>
      <c r="U767">
        <f>IF(ISNUMBER(T767),'자료_거시'!$D749,"")</f>
        <v/>
      </c>
      <c r="V767">
        <f>IF(ISNUMBER(U767),IF(U767&gt;$L$6,T767,""),"")</f>
        <v/>
      </c>
      <c r="W767">
        <f>IF(AND(ISNUMBER('자료_거시'!$G749),ISNUMBER('자료_거시'!$H749)),'자료_거시'!$H749,"")</f>
        <v/>
      </c>
      <c r="X767">
        <f>IF(ISNUMBER(W767),'자료_거시'!$G749,"")</f>
        <v/>
      </c>
      <c r="Y767">
        <f>IF(ISNUMBER(X767),IF(X767&gt;$L$7,W767,""),"")</f>
        <v/>
      </c>
      <c r="Z767">
        <f>IF(ISNUMBER('자료_거시'!$K749),'자료_거시'!$K749,Z766)</f>
        <v/>
      </c>
      <c r="AA767">
        <f>IF(AND(ISNUMBER('자료_거시'!$J749),ISNUMBER('자료_거시'!$K749)),IFERROR('자료_거시'!$K749/INDEX($Z$21:$Z$4020,MATCH(EDATE('자료_거시'!$J749,-'설정'!$B$17),'자료_거시'!$J$3:INDEX('자료_거시'!$J$3:$J$4002,$K$8),1))-1,""),"")</f>
        <v/>
      </c>
      <c r="AB767">
        <f>IF(ISNUMBER(AA767),'자료_거시'!$J749,"")</f>
        <v/>
      </c>
      <c r="AC767">
        <f>IF(ISNUMBER(AB767),IF(AB767&gt;$L$8,AA767,""),"")</f>
        <v/>
      </c>
    </row>
    <row r="768">
      <c r="S768">
        <f>IF(ISNUMBER('자료_거시'!$E750),'자료_거시'!$E750,S767)</f>
        <v/>
      </c>
      <c r="T768">
        <f>IF(AND(ISNUMBER('자료_거시'!$D750),ISNUMBER('자료_거시'!$E750)),IFERROR('자료_거시'!$E750-INDEX($S$21:$S$4020,MATCH(EDATE('자료_거시'!$D750,-'설정'!$B$17),'자료_거시'!$D$3:INDEX('자료_거시'!$D$3:$D$4002,$K$6),1)),""),"")</f>
        <v/>
      </c>
      <c r="U768">
        <f>IF(ISNUMBER(T768),'자료_거시'!$D750,"")</f>
        <v/>
      </c>
      <c r="V768">
        <f>IF(ISNUMBER(U768),IF(U768&gt;$L$6,T768,""),"")</f>
        <v/>
      </c>
      <c r="W768">
        <f>IF(AND(ISNUMBER('자료_거시'!$G750),ISNUMBER('자료_거시'!$H750)),'자료_거시'!$H750,"")</f>
        <v/>
      </c>
      <c r="X768">
        <f>IF(ISNUMBER(W768),'자료_거시'!$G750,"")</f>
        <v/>
      </c>
      <c r="Y768">
        <f>IF(ISNUMBER(X768),IF(X768&gt;$L$7,W768,""),"")</f>
        <v/>
      </c>
      <c r="Z768">
        <f>IF(ISNUMBER('자료_거시'!$K750),'자료_거시'!$K750,Z767)</f>
        <v/>
      </c>
      <c r="AA768">
        <f>IF(AND(ISNUMBER('자료_거시'!$J750),ISNUMBER('자료_거시'!$K750)),IFERROR('자료_거시'!$K750/INDEX($Z$21:$Z$4020,MATCH(EDATE('자료_거시'!$J750,-'설정'!$B$17),'자료_거시'!$J$3:INDEX('자료_거시'!$J$3:$J$4002,$K$8),1))-1,""),"")</f>
        <v/>
      </c>
      <c r="AB768">
        <f>IF(ISNUMBER(AA768),'자료_거시'!$J750,"")</f>
        <v/>
      </c>
      <c r="AC768">
        <f>IF(ISNUMBER(AB768),IF(AB768&gt;$L$8,AA768,""),"")</f>
        <v/>
      </c>
    </row>
    <row r="769">
      <c r="S769">
        <f>IF(ISNUMBER('자료_거시'!$E751),'자료_거시'!$E751,S768)</f>
        <v/>
      </c>
      <c r="T769">
        <f>IF(AND(ISNUMBER('자료_거시'!$D751),ISNUMBER('자료_거시'!$E751)),IFERROR('자료_거시'!$E751-INDEX($S$21:$S$4020,MATCH(EDATE('자료_거시'!$D751,-'설정'!$B$17),'자료_거시'!$D$3:INDEX('자료_거시'!$D$3:$D$4002,$K$6),1)),""),"")</f>
        <v/>
      </c>
      <c r="U769">
        <f>IF(ISNUMBER(T769),'자료_거시'!$D751,"")</f>
        <v/>
      </c>
      <c r="V769">
        <f>IF(ISNUMBER(U769),IF(U769&gt;$L$6,T769,""),"")</f>
        <v/>
      </c>
      <c r="W769">
        <f>IF(AND(ISNUMBER('자료_거시'!$G751),ISNUMBER('자료_거시'!$H751)),'자료_거시'!$H751,"")</f>
        <v/>
      </c>
      <c r="X769">
        <f>IF(ISNUMBER(W769),'자료_거시'!$G751,"")</f>
        <v/>
      </c>
      <c r="Y769">
        <f>IF(ISNUMBER(X769),IF(X769&gt;$L$7,W769,""),"")</f>
        <v/>
      </c>
      <c r="Z769">
        <f>IF(ISNUMBER('자료_거시'!$K751),'자료_거시'!$K751,Z768)</f>
        <v/>
      </c>
      <c r="AA769">
        <f>IF(AND(ISNUMBER('자료_거시'!$J751),ISNUMBER('자료_거시'!$K751)),IFERROR('자료_거시'!$K751/INDEX($Z$21:$Z$4020,MATCH(EDATE('자료_거시'!$J751,-'설정'!$B$17),'자료_거시'!$J$3:INDEX('자료_거시'!$J$3:$J$4002,$K$8),1))-1,""),"")</f>
        <v/>
      </c>
      <c r="AB769">
        <f>IF(ISNUMBER(AA769),'자료_거시'!$J751,"")</f>
        <v/>
      </c>
      <c r="AC769">
        <f>IF(ISNUMBER(AB769),IF(AB769&gt;$L$8,AA769,""),"")</f>
        <v/>
      </c>
    </row>
    <row r="770">
      <c r="S770">
        <f>IF(ISNUMBER('자료_거시'!$E752),'자료_거시'!$E752,S769)</f>
        <v/>
      </c>
      <c r="T770">
        <f>IF(AND(ISNUMBER('자료_거시'!$D752),ISNUMBER('자료_거시'!$E752)),IFERROR('자료_거시'!$E752-INDEX($S$21:$S$4020,MATCH(EDATE('자료_거시'!$D752,-'설정'!$B$17),'자료_거시'!$D$3:INDEX('자료_거시'!$D$3:$D$4002,$K$6),1)),""),"")</f>
        <v/>
      </c>
      <c r="U770">
        <f>IF(ISNUMBER(T770),'자료_거시'!$D752,"")</f>
        <v/>
      </c>
      <c r="V770">
        <f>IF(ISNUMBER(U770),IF(U770&gt;$L$6,T770,""),"")</f>
        <v/>
      </c>
      <c r="W770">
        <f>IF(AND(ISNUMBER('자료_거시'!$G752),ISNUMBER('자료_거시'!$H752)),'자료_거시'!$H752,"")</f>
        <v/>
      </c>
      <c r="X770">
        <f>IF(ISNUMBER(W770),'자료_거시'!$G752,"")</f>
        <v/>
      </c>
      <c r="Y770">
        <f>IF(ISNUMBER(X770),IF(X770&gt;$L$7,W770,""),"")</f>
        <v/>
      </c>
      <c r="Z770">
        <f>IF(ISNUMBER('자료_거시'!$K752),'자료_거시'!$K752,Z769)</f>
        <v/>
      </c>
      <c r="AA770">
        <f>IF(AND(ISNUMBER('자료_거시'!$J752),ISNUMBER('자료_거시'!$K752)),IFERROR('자료_거시'!$K752/INDEX($Z$21:$Z$4020,MATCH(EDATE('자료_거시'!$J752,-'설정'!$B$17),'자료_거시'!$J$3:INDEX('자료_거시'!$J$3:$J$4002,$K$8),1))-1,""),"")</f>
        <v/>
      </c>
      <c r="AB770">
        <f>IF(ISNUMBER(AA770),'자료_거시'!$J752,"")</f>
        <v/>
      </c>
      <c r="AC770">
        <f>IF(ISNUMBER(AB770),IF(AB770&gt;$L$8,AA770,""),"")</f>
        <v/>
      </c>
    </row>
    <row r="771">
      <c r="S771">
        <f>IF(ISNUMBER('자료_거시'!$E753),'자료_거시'!$E753,S770)</f>
        <v/>
      </c>
      <c r="T771">
        <f>IF(AND(ISNUMBER('자료_거시'!$D753),ISNUMBER('자료_거시'!$E753)),IFERROR('자료_거시'!$E753-INDEX($S$21:$S$4020,MATCH(EDATE('자료_거시'!$D753,-'설정'!$B$17),'자료_거시'!$D$3:INDEX('자료_거시'!$D$3:$D$4002,$K$6),1)),""),"")</f>
        <v/>
      </c>
      <c r="U771">
        <f>IF(ISNUMBER(T771),'자료_거시'!$D753,"")</f>
        <v/>
      </c>
      <c r="V771">
        <f>IF(ISNUMBER(U771),IF(U771&gt;$L$6,T771,""),"")</f>
        <v/>
      </c>
      <c r="W771">
        <f>IF(AND(ISNUMBER('자료_거시'!$G753),ISNUMBER('자료_거시'!$H753)),'자료_거시'!$H753,"")</f>
        <v/>
      </c>
      <c r="X771">
        <f>IF(ISNUMBER(W771),'자료_거시'!$G753,"")</f>
        <v/>
      </c>
      <c r="Y771">
        <f>IF(ISNUMBER(X771),IF(X771&gt;$L$7,W771,""),"")</f>
        <v/>
      </c>
      <c r="Z771">
        <f>IF(ISNUMBER('자료_거시'!$K753),'자료_거시'!$K753,Z770)</f>
        <v/>
      </c>
      <c r="AA771">
        <f>IF(AND(ISNUMBER('자료_거시'!$J753),ISNUMBER('자료_거시'!$K753)),IFERROR('자료_거시'!$K753/INDEX($Z$21:$Z$4020,MATCH(EDATE('자료_거시'!$J753,-'설정'!$B$17),'자료_거시'!$J$3:INDEX('자료_거시'!$J$3:$J$4002,$K$8),1))-1,""),"")</f>
        <v/>
      </c>
      <c r="AB771">
        <f>IF(ISNUMBER(AA771),'자료_거시'!$J753,"")</f>
        <v/>
      </c>
      <c r="AC771">
        <f>IF(ISNUMBER(AB771),IF(AB771&gt;$L$8,AA771,""),"")</f>
        <v/>
      </c>
    </row>
    <row r="772">
      <c r="S772">
        <f>IF(ISNUMBER('자료_거시'!$E754),'자료_거시'!$E754,S771)</f>
        <v/>
      </c>
      <c r="T772">
        <f>IF(AND(ISNUMBER('자료_거시'!$D754),ISNUMBER('자료_거시'!$E754)),IFERROR('자료_거시'!$E754-INDEX($S$21:$S$4020,MATCH(EDATE('자료_거시'!$D754,-'설정'!$B$17),'자료_거시'!$D$3:INDEX('자료_거시'!$D$3:$D$4002,$K$6),1)),""),"")</f>
        <v/>
      </c>
      <c r="U772">
        <f>IF(ISNUMBER(T772),'자료_거시'!$D754,"")</f>
        <v/>
      </c>
      <c r="V772">
        <f>IF(ISNUMBER(U772),IF(U772&gt;$L$6,T772,""),"")</f>
        <v/>
      </c>
      <c r="W772">
        <f>IF(AND(ISNUMBER('자료_거시'!$G754),ISNUMBER('자료_거시'!$H754)),'자료_거시'!$H754,"")</f>
        <v/>
      </c>
      <c r="X772">
        <f>IF(ISNUMBER(W772),'자료_거시'!$G754,"")</f>
        <v/>
      </c>
      <c r="Y772">
        <f>IF(ISNUMBER(X772),IF(X772&gt;$L$7,W772,""),"")</f>
        <v/>
      </c>
      <c r="Z772">
        <f>IF(ISNUMBER('자료_거시'!$K754),'자료_거시'!$K754,Z771)</f>
        <v/>
      </c>
      <c r="AA772">
        <f>IF(AND(ISNUMBER('자료_거시'!$J754),ISNUMBER('자료_거시'!$K754)),IFERROR('자료_거시'!$K754/INDEX($Z$21:$Z$4020,MATCH(EDATE('자료_거시'!$J754,-'설정'!$B$17),'자료_거시'!$J$3:INDEX('자료_거시'!$J$3:$J$4002,$K$8),1))-1,""),"")</f>
        <v/>
      </c>
      <c r="AB772">
        <f>IF(ISNUMBER(AA772),'자료_거시'!$J754,"")</f>
        <v/>
      </c>
      <c r="AC772">
        <f>IF(ISNUMBER(AB772),IF(AB772&gt;$L$8,AA772,""),"")</f>
        <v/>
      </c>
    </row>
    <row r="773">
      <c r="S773">
        <f>IF(ISNUMBER('자료_거시'!$E755),'자료_거시'!$E755,S772)</f>
        <v/>
      </c>
      <c r="T773">
        <f>IF(AND(ISNUMBER('자료_거시'!$D755),ISNUMBER('자료_거시'!$E755)),IFERROR('자료_거시'!$E755-INDEX($S$21:$S$4020,MATCH(EDATE('자료_거시'!$D755,-'설정'!$B$17),'자료_거시'!$D$3:INDEX('자료_거시'!$D$3:$D$4002,$K$6),1)),""),"")</f>
        <v/>
      </c>
      <c r="U773">
        <f>IF(ISNUMBER(T773),'자료_거시'!$D755,"")</f>
        <v/>
      </c>
      <c r="V773">
        <f>IF(ISNUMBER(U773),IF(U773&gt;$L$6,T773,""),"")</f>
        <v/>
      </c>
      <c r="W773">
        <f>IF(AND(ISNUMBER('자료_거시'!$G755),ISNUMBER('자료_거시'!$H755)),'자료_거시'!$H755,"")</f>
        <v/>
      </c>
      <c r="X773">
        <f>IF(ISNUMBER(W773),'자료_거시'!$G755,"")</f>
        <v/>
      </c>
      <c r="Y773">
        <f>IF(ISNUMBER(X773),IF(X773&gt;$L$7,W773,""),"")</f>
        <v/>
      </c>
      <c r="Z773">
        <f>IF(ISNUMBER('자료_거시'!$K755),'자료_거시'!$K755,Z772)</f>
        <v/>
      </c>
      <c r="AA773">
        <f>IF(AND(ISNUMBER('자료_거시'!$J755),ISNUMBER('자료_거시'!$K755)),IFERROR('자료_거시'!$K755/INDEX($Z$21:$Z$4020,MATCH(EDATE('자료_거시'!$J755,-'설정'!$B$17),'자료_거시'!$J$3:INDEX('자료_거시'!$J$3:$J$4002,$K$8),1))-1,""),"")</f>
        <v/>
      </c>
      <c r="AB773">
        <f>IF(ISNUMBER(AA773),'자료_거시'!$J755,"")</f>
        <v/>
      </c>
      <c r="AC773">
        <f>IF(ISNUMBER(AB773),IF(AB773&gt;$L$8,AA773,""),"")</f>
        <v/>
      </c>
    </row>
    <row r="774">
      <c r="S774">
        <f>IF(ISNUMBER('자료_거시'!$E756),'자료_거시'!$E756,S773)</f>
        <v/>
      </c>
      <c r="T774">
        <f>IF(AND(ISNUMBER('자료_거시'!$D756),ISNUMBER('자료_거시'!$E756)),IFERROR('자료_거시'!$E756-INDEX($S$21:$S$4020,MATCH(EDATE('자료_거시'!$D756,-'설정'!$B$17),'자료_거시'!$D$3:INDEX('자료_거시'!$D$3:$D$4002,$K$6),1)),""),"")</f>
        <v/>
      </c>
      <c r="U774">
        <f>IF(ISNUMBER(T774),'자료_거시'!$D756,"")</f>
        <v/>
      </c>
      <c r="V774">
        <f>IF(ISNUMBER(U774),IF(U774&gt;$L$6,T774,""),"")</f>
        <v/>
      </c>
      <c r="W774">
        <f>IF(AND(ISNUMBER('자료_거시'!$G756),ISNUMBER('자료_거시'!$H756)),'자료_거시'!$H756,"")</f>
        <v/>
      </c>
      <c r="X774">
        <f>IF(ISNUMBER(W774),'자료_거시'!$G756,"")</f>
        <v/>
      </c>
      <c r="Y774">
        <f>IF(ISNUMBER(X774),IF(X774&gt;$L$7,W774,""),"")</f>
        <v/>
      </c>
      <c r="Z774">
        <f>IF(ISNUMBER('자료_거시'!$K756),'자료_거시'!$K756,Z773)</f>
        <v/>
      </c>
      <c r="AA774">
        <f>IF(AND(ISNUMBER('자료_거시'!$J756),ISNUMBER('자료_거시'!$K756)),IFERROR('자료_거시'!$K756/INDEX($Z$21:$Z$4020,MATCH(EDATE('자료_거시'!$J756,-'설정'!$B$17),'자료_거시'!$J$3:INDEX('자료_거시'!$J$3:$J$4002,$K$8),1))-1,""),"")</f>
        <v/>
      </c>
      <c r="AB774">
        <f>IF(ISNUMBER(AA774),'자료_거시'!$J756,"")</f>
        <v/>
      </c>
      <c r="AC774">
        <f>IF(ISNUMBER(AB774),IF(AB774&gt;$L$8,AA774,""),"")</f>
        <v/>
      </c>
    </row>
    <row r="775">
      <c r="S775">
        <f>IF(ISNUMBER('자료_거시'!$E757),'자료_거시'!$E757,S774)</f>
        <v/>
      </c>
      <c r="T775">
        <f>IF(AND(ISNUMBER('자료_거시'!$D757),ISNUMBER('자료_거시'!$E757)),IFERROR('자료_거시'!$E757-INDEX($S$21:$S$4020,MATCH(EDATE('자료_거시'!$D757,-'설정'!$B$17),'자료_거시'!$D$3:INDEX('자료_거시'!$D$3:$D$4002,$K$6),1)),""),"")</f>
        <v/>
      </c>
      <c r="U775">
        <f>IF(ISNUMBER(T775),'자료_거시'!$D757,"")</f>
        <v/>
      </c>
      <c r="V775">
        <f>IF(ISNUMBER(U775),IF(U775&gt;$L$6,T775,""),"")</f>
        <v/>
      </c>
      <c r="W775">
        <f>IF(AND(ISNUMBER('자료_거시'!$G757),ISNUMBER('자료_거시'!$H757)),'자료_거시'!$H757,"")</f>
        <v/>
      </c>
      <c r="X775">
        <f>IF(ISNUMBER(W775),'자료_거시'!$G757,"")</f>
        <v/>
      </c>
      <c r="Y775">
        <f>IF(ISNUMBER(X775),IF(X775&gt;$L$7,W775,""),"")</f>
        <v/>
      </c>
      <c r="Z775">
        <f>IF(ISNUMBER('자료_거시'!$K757),'자료_거시'!$K757,Z774)</f>
        <v/>
      </c>
      <c r="AA775">
        <f>IF(AND(ISNUMBER('자료_거시'!$J757),ISNUMBER('자료_거시'!$K757)),IFERROR('자료_거시'!$K757/INDEX($Z$21:$Z$4020,MATCH(EDATE('자료_거시'!$J757,-'설정'!$B$17),'자료_거시'!$J$3:INDEX('자료_거시'!$J$3:$J$4002,$K$8),1))-1,""),"")</f>
        <v/>
      </c>
      <c r="AB775">
        <f>IF(ISNUMBER(AA775),'자료_거시'!$J757,"")</f>
        <v/>
      </c>
      <c r="AC775">
        <f>IF(ISNUMBER(AB775),IF(AB775&gt;$L$8,AA775,""),"")</f>
        <v/>
      </c>
    </row>
    <row r="776">
      <c r="S776">
        <f>IF(ISNUMBER('자료_거시'!$E758),'자료_거시'!$E758,S775)</f>
        <v/>
      </c>
      <c r="T776">
        <f>IF(AND(ISNUMBER('자료_거시'!$D758),ISNUMBER('자료_거시'!$E758)),IFERROR('자료_거시'!$E758-INDEX($S$21:$S$4020,MATCH(EDATE('자료_거시'!$D758,-'설정'!$B$17),'자료_거시'!$D$3:INDEX('자료_거시'!$D$3:$D$4002,$K$6),1)),""),"")</f>
        <v/>
      </c>
      <c r="U776">
        <f>IF(ISNUMBER(T776),'자료_거시'!$D758,"")</f>
        <v/>
      </c>
      <c r="V776">
        <f>IF(ISNUMBER(U776),IF(U776&gt;$L$6,T776,""),"")</f>
        <v/>
      </c>
      <c r="W776">
        <f>IF(AND(ISNUMBER('자료_거시'!$G758),ISNUMBER('자료_거시'!$H758)),'자료_거시'!$H758,"")</f>
        <v/>
      </c>
      <c r="X776">
        <f>IF(ISNUMBER(W776),'자료_거시'!$G758,"")</f>
        <v/>
      </c>
      <c r="Y776">
        <f>IF(ISNUMBER(X776),IF(X776&gt;$L$7,W776,""),"")</f>
        <v/>
      </c>
      <c r="Z776">
        <f>IF(ISNUMBER('자료_거시'!$K758),'자료_거시'!$K758,Z775)</f>
        <v/>
      </c>
      <c r="AA776">
        <f>IF(AND(ISNUMBER('자료_거시'!$J758),ISNUMBER('자료_거시'!$K758)),IFERROR('자료_거시'!$K758/INDEX($Z$21:$Z$4020,MATCH(EDATE('자료_거시'!$J758,-'설정'!$B$17),'자료_거시'!$J$3:INDEX('자료_거시'!$J$3:$J$4002,$K$8),1))-1,""),"")</f>
        <v/>
      </c>
      <c r="AB776">
        <f>IF(ISNUMBER(AA776),'자료_거시'!$J758,"")</f>
        <v/>
      </c>
      <c r="AC776">
        <f>IF(ISNUMBER(AB776),IF(AB776&gt;$L$8,AA776,""),"")</f>
        <v/>
      </c>
    </row>
    <row r="777">
      <c r="S777">
        <f>IF(ISNUMBER('자료_거시'!$E759),'자료_거시'!$E759,S776)</f>
        <v/>
      </c>
      <c r="T777">
        <f>IF(AND(ISNUMBER('자료_거시'!$D759),ISNUMBER('자료_거시'!$E759)),IFERROR('자료_거시'!$E759-INDEX($S$21:$S$4020,MATCH(EDATE('자료_거시'!$D759,-'설정'!$B$17),'자료_거시'!$D$3:INDEX('자료_거시'!$D$3:$D$4002,$K$6),1)),""),"")</f>
        <v/>
      </c>
      <c r="U777">
        <f>IF(ISNUMBER(T777),'자료_거시'!$D759,"")</f>
        <v/>
      </c>
      <c r="V777">
        <f>IF(ISNUMBER(U777),IF(U777&gt;$L$6,T777,""),"")</f>
        <v/>
      </c>
      <c r="W777">
        <f>IF(AND(ISNUMBER('자료_거시'!$G759),ISNUMBER('자료_거시'!$H759)),'자료_거시'!$H759,"")</f>
        <v/>
      </c>
      <c r="X777">
        <f>IF(ISNUMBER(W777),'자료_거시'!$G759,"")</f>
        <v/>
      </c>
      <c r="Y777">
        <f>IF(ISNUMBER(X777),IF(X777&gt;$L$7,W777,""),"")</f>
        <v/>
      </c>
      <c r="Z777">
        <f>IF(ISNUMBER('자료_거시'!$K759),'자료_거시'!$K759,Z776)</f>
        <v/>
      </c>
      <c r="AA777">
        <f>IF(AND(ISNUMBER('자료_거시'!$J759),ISNUMBER('자료_거시'!$K759)),IFERROR('자료_거시'!$K759/INDEX($Z$21:$Z$4020,MATCH(EDATE('자료_거시'!$J759,-'설정'!$B$17),'자료_거시'!$J$3:INDEX('자료_거시'!$J$3:$J$4002,$K$8),1))-1,""),"")</f>
        <v/>
      </c>
      <c r="AB777">
        <f>IF(ISNUMBER(AA777),'자료_거시'!$J759,"")</f>
        <v/>
      </c>
      <c r="AC777">
        <f>IF(ISNUMBER(AB777),IF(AB777&gt;$L$8,AA777,""),"")</f>
        <v/>
      </c>
    </row>
    <row r="778">
      <c r="S778">
        <f>IF(ISNUMBER('자료_거시'!$E760),'자료_거시'!$E760,S777)</f>
        <v/>
      </c>
      <c r="T778">
        <f>IF(AND(ISNUMBER('자료_거시'!$D760),ISNUMBER('자료_거시'!$E760)),IFERROR('자료_거시'!$E760-INDEX($S$21:$S$4020,MATCH(EDATE('자료_거시'!$D760,-'설정'!$B$17),'자료_거시'!$D$3:INDEX('자료_거시'!$D$3:$D$4002,$K$6),1)),""),"")</f>
        <v/>
      </c>
      <c r="U778">
        <f>IF(ISNUMBER(T778),'자료_거시'!$D760,"")</f>
        <v/>
      </c>
      <c r="V778">
        <f>IF(ISNUMBER(U778),IF(U778&gt;$L$6,T778,""),"")</f>
        <v/>
      </c>
      <c r="W778">
        <f>IF(AND(ISNUMBER('자료_거시'!$G760),ISNUMBER('자료_거시'!$H760)),'자료_거시'!$H760,"")</f>
        <v/>
      </c>
      <c r="X778">
        <f>IF(ISNUMBER(W778),'자료_거시'!$G760,"")</f>
        <v/>
      </c>
      <c r="Y778">
        <f>IF(ISNUMBER(X778),IF(X778&gt;$L$7,W778,""),"")</f>
        <v/>
      </c>
      <c r="Z778">
        <f>IF(ISNUMBER('자료_거시'!$K760),'자료_거시'!$K760,Z777)</f>
        <v/>
      </c>
      <c r="AA778">
        <f>IF(AND(ISNUMBER('자료_거시'!$J760),ISNUMBER('자료_거시'!$K760)),IFERROR('자료_거시'!$K760/INDEX($Z$21:$Z$4020,MATCH(EDATE('자료_거시'!$J760,-'설정'!$B$17),'자료_거시'!$J$3:INDEX('자료_거시'!$J$3:$J$4002,$K$8),1))-1,""),"")</f>
        <v/>
      </c>
      <c r="AB778">
        <f>IF(ISNUMBER(AA778),'자료_거시'!$J760,"")</f>
        <v/>
      </c>
      <c r="AC778">
        <f>IF(ISNUMBER(AB778),IF(AB778&gt;$L$8,AA778,""),"")</f>
        <v/>
      </c>
    </row>
    <row r="779">
      <c r="S779">
        <f>IF(ISNUMBER('자료_거시'!$E761),'자료_거시'!$E761,S778)</f>
        <v/>
      </c>
      <c r="T779">
        <f>IF(AND(ISNUMBER('자료_거시'!$D761),ISNUMBER('자료_거시'!$E761)),IFERROR('자료_거시'!$E761-INDEX($S$21:$S$4020,MATCH(EDATE('자료_거시'!$D761,-'설정'!$B$17),'자료_거시'!$D$3:INDEX('자료_거시'!$D$3:$D$4002,$K$6),1)),""),"")</f>
        <v/>
      </c>
      <c r="U779">
        <f>IF(ISNUMBER(T779),'자료_거시'!$D761,"")</f>
        <v/>
      </c>
      <c r="V779">
        <f>IF(ISNUMBER(U779),IF(U779&gt;$L$6,T779,""),"")</f>
        <v/>
      </c>
      <c r="W779">
        <f>IF(AND(ISNUMBER('자료_거시'!$G761),ISNUMBER('자료_거시'!$H761)),'자료_거시'!$H761,"")</f>
        <v/>
      </c>
      <c r="X779">
        <f>IF(ISNUMBER(W779),'자료_거시'!$G761,"")</f>
        <v/>
      </c>
      <c r="Y779">
        <f>IF(ISNUMBER(X779),IF(X779&gt;$L$7,W779,""),"")</f>
        <v/>
      </c>
      <c r="Z779">
        <f>IF(ISNUMBER('자료_거시'!$K761),'자료_거시'!$K761,Z778)</f>
        <v/>
      </c>
      <c r="AA779">
        <f>IF(AND(ISNUMBER('자료_거시'!$J761),ISNUMBER('자료_거시'!$K761)),IFERROR('자료_거시'!$K761/INDEX($Z$21:$Z$4020,MATCH(EDATE('자료_거시'!$J761,-'설정'!$B$17),'자료_거시'!$J$3:INDEX('자료_거시'!$J$3:$J$4002,$K$8),1))-1,""),"")</f>
        <v/>
      </c>
      <c r="AB779">
        <f>IF(ISNUMBER(AA779),'자료_거시'!$J761,"")</f>
        <v/>
      </c>
      <c r="AC779">
        <f>IF(ISNUMBER(AB779),IF(AB779&gt;$L$8,AA779,""),"")</f>
        <v/>
      </c>
    </row>
    <row r="780">
      <c r="S780">
        <f>IF(ISNUMBER('자료_거시'!$E762),'자료_거시'!$E762,S779)</f>
        <v/>
      </c>
      <c r="T780">
        <f>IF(AND(ISNUMBER('자료_거시'!$D762),ISNUMBER('자료_거시'!$E762)),IFERROR('자료_거시'!$E762-INDEX($S$21:$S$4020,MATCH(EDATE('자료_거시'!$D762,-'설정'!$B$17),'자료_거시'!$D$3:INDEX('자료_거시'!$D$3:$D$4002,$K$6),1)),""),"")</f>
        <v/>
      </c>
      <c r="U780">
        <f>IF(ISNUMBER(T780),'자료_거시'!$D762,"")</f>
        <v/>
      </c>
      <c r="V780">
        <f>IF(ISNUMBER(U780),IF(U780&gt;$L$6,T780,""),"")</f>
        <v/>
      </c>
      <c r="W780">
        <f>IF(AND(ISNUMBER('자료_거시'!$G762),ISNUMBER('자료_거시'!$H762)),'자료_거시'!$H762,"")</f>
        <v/>
      </c>
      <c r="X780">
        <f>IF(ISNUMBER(W780),'자료_거시'!$G762,"")</f>
        <v/>
      </c>
      <c r="Y780">
        <f>IF(ISNUMBER(X780),IF(X780&gt;$L$7,W780,""),"")</f>
        <v/>
      </c>
      <c r="Z780">
        <f>IF(ISNUMBER('자료_거시'!$K762),'자료_거시'!$K762,Z779)</f>
        <v/>
      </c>
      <c r="AA780">
        <f>IF(AND(ISNUMBER('자료_거시'!$J762),ISNUMBER('자료_거시'!$K762)),IFERROR('자료_거시'!$K762/INDEX($Z$21:$Z$4020,MATCH(EDATE('자료_거시'!$J762,-'설정'!$B$17),'자료_거시'!$J$3:INDEX('자료_거시'!$J$3:$J$4002,$K$8),1))-1,""),"")</f>
        <v/>
      </c>
      <c r="AB780">
        <f>IF(ISNUMBER(AA780),'자료_거시'!$J762,"")</f>
        <v/>
      </c>
      <c r="AC780">
        <f>IF(ISNUMBER(AB780),IF(AB780&gt;$L$8,AA780,""),"")</f>
        <v/>
      </c>
    </row>
    <row r="781">
      <c r="S781">
        <f>IF(ISNUMBER('자료_거시'!$E763),'자료_거시'!$E763,S780)</f>
        <v/>
      </c>
      <c r="T781">
        <f>IF(AND(ISNUMBER('자료_거시'!$D763),ISNUMBER('자료_거시'!$E763)),IFERROR('자료_거시'!$E763-INDEX($S$21:$S$4020,MATCH(EDATE('자료_거시'!$D763,-'설정'!$B$17),'자료_거시'!$D$3:INDEX('자료_거시'!$D$3:$D$4002,$K$6),1)),""),"")</f>
        <v/>
      </c>
      <c r="U781">
        <f>IF(ISNUMBER(T781),'자료_거시'!$D763,"")</f>
        <v/>
      </c>
      <c r="V781">
        <f>IF(ISNUMBER(U781),IF(U781&gt;$L$6,T781,""),"")</f>
        <v/>
      </c>
      <c r="W781">
        <f>IF(AND(ISNUMBER('자료_거시'!$G763),ISNUMBER('자료_거시'!$H763)),'자료_거시'!$H763,"")</f>
        <v/>
      </c>
      <c r="X781">
        <f>IF(ISNUMBER(W781),'자료_거시'!$G763,"")</f>
        <v/>
      </c>
      <c r="Y781">
        <f>IF(ISNUMBER(X781),IF(X781&gt;$L$7,W781,""),"")</f>
        <v/>
      </c>
      <c r="Z781">
        <f>IF(ISNUMBER('자료_거시'!$K763),'자료_거시'!$K763,Z780)</f>
        <v/>
      </c>
      <c r="AA781">
        <f>IF(AND(ISNUMBER('자료_거시'!$J763),ISNUMBER('자료_거시'!$K763)),IFERROR('자료_거시'!$K763/INDEX($Z$21:$Z$4020,MATCH(EDATE('자료_거시'!$J763,-'설정'!$B$17),'자료_거시'!$J$3:INDEX('자료_거시'!$J$3:$J$4002,$K$8),1))-1,""),"")</f>
        <v/>
      </c>
      <c r="AB781">
        <f>IF(ISNUMBER(AA781),'자료_거시'!$J763,"")</f>
        <v/>
      </c>
      <c r="AC781">
        <f>IF(ISNUMBER(AB781),IF(AB781&gt;$L$8,AA781,""),"")</f>
        <v/>
      </c>
    </row>
    <row r="782">
      <c r="S782">
        <f>IF(ISNUMBER('자료_거시'!$E764),'자료_거시'!$E764,S781)</f>
        <v/>
      </c>
      <c r="T782">
        <f>IF(AND(ISNUMBER('자료_거시'!$D764),ISNUMBER('자료_거시'!$E764)),IFERROR('자료_거시'!$E764-INDEX($S$21:$S$4020,MATCH(EDATE('자료_거시'!$D764,-'설정'!$B$17),'자료_거시'!$D$3:INDEX('자료_거시'!$D$3:$D$4002,$K$6),1)),""),"")</f>
        <v/>
      </c>
      <c r="U782">
        <f>IF(ISNUMBER(T782),'자료_거시'!$D764,"")</f>
        <v/>
      </c>
      <c r="V782">
        <f>IF(ISNUMBER(U782),IF(U782&gt;$L$6,T782,""),"")</f>
        <v/>
      </c>
      <c r="W782">
        <f>IF(AND(ISNUMBER('자료_거시'!$G764),ISNUMBER('자료_거시'!$H764)),'자료_거시'!$H764,"")</f>
        <v/>
      </c>
      <c r="X782">
        <f>IF(ISNUMBER(W782),'자료_거시'!$G764,"")</f>
        <v/>
      </c>
      <c r="Y782">
        <f>IF(ISNUMBER(X782),IF(X782&gt;$L$7,W782,""),"")</f>
        <v/>
      </c>
      <c r="Z782">
        <f>IF(ISNUMBER('자료_거시'!$K764),'자료_거시'!$K764,Z781)</f>
        <v/>
      </c>
      <c r="AA782">
        <f>IF(AND(ISNUMBER('자료_거시'!$J764),ISNUMBER('자료_거시'!$K764)),IFERROR('자료_거시'!$K764/INDEX($Z$21:$Z$4020,MATCH(EDATE('자료_거시'!$J764,-'설정'!$B$17),'자료_거시'!$J$3:INDEX('자료_거시'!$J$3:$J$4002,$K$8),1))-1,""),"")</f>
        <v/>
      </c>
      <c r="AB782">
        <f>IF(ISNUMBER(AA782),'자료_거시'!$J764,"")</f>
        <v/>
      </c>
      <c r="AC782">
        <f>IF(ISNUMBER(AB782),IF(AB782&gt;$L$8,AA782,""),"")</f>
        <v/>
      </c>
    </row>
    <row r="783">
      <c r="S783">
        <f>IF(ISNUMBER('자료_거시'!$E765),'자료_거시'!$E765,S782)</f>
        <v/>
      </c>
      <c r="T783">
        <f>IF(AND(ISNUMBER('자료_거시'!$D765),ISNUMBER('자료_거시'!$E765)),IFERROR('자료_거시'!$E765-INDEX($S$21:$S$4020,MATCH(EDATE('자료_거시'!$D765,-'설정'!$B$17),'자료_거시'!$D$3:INDEX('자료_거시'!$D$3:$D$4002,$K$6),1)),""),"")</f>
        <v/>
      </c>
      <c r="U783">
        <f>IF(ISNUMBER(T783),'자료_거시'!$D765,"")</f>
        <v/>
      </c>
      <c r="V783">
        <f>IF(ISNUMBER(U783),IF(U783&gt;$L$6,T783,""),"")</f>
        <v/>
      </c>
      <c r="W783">
        <f>IF(AND(ISNUMBER('자료_거시'!$G765),ISNUMBER('자료_거시'!$H765)),'자료_거시'!$H765,"")</f>
        <v/>
      </c>
      <c r="X783">
        <f>IF(ISNUMBER(W783),'자료_거시'!$G765,"")</f>
        <v/>
      </c>
      <c r="Y783">
        <f>IF(ISNUMBER(X783),IF(X783&gt;$L$7,W783,""),"")</f>
        <v/>
      </c>
      <c r="Z783">
        <f>IF(ISNUMBER('자료_거시'!$K765),'자료_거시'!$K765,Z782)</f>
        <v/>
      </c>
      <c r="AA783">
        <f>IF(AND(ISNUMBER('자료_거시'!$J765),ISNUMBER('자료_거시'!$K765)),IFERROR('자료_거시'!$K765/INDEX($Z$21:$Z$4020,MATCH(EDATE('자료_거시'!$J765,-'설정'!$B$17),'자료_거시'!$J$3:INDEX('자료_거시'!$J$3:$J$4002,$K$8),1))-1,""),"")</f>
        <v/>
      </c>
      <c r="AB783">
        <f>IF(ISNUMBER(AA783),'자료_거시'!$J765,"")</f>
        <v/>
      </c>
      <c r="AC783">
        <f>IF(ISNUMBER(AB783),IF(AB783&gt;$L$8,AA783,""),"")</f>
        <v/>
      </c>
    </row>
    <row r="784">
      <c r="S784">
        <f>IF(ISNUMBER('자료_거시'!$E766),'자료_거시'!$E766,S783)</f>
        <v/>
      </c>
      <c r="T784">
        <f>IF(AND(ISNUMBER('자료_거시'!$D766),ISNUMBER('자료_거시'!$E766)),IFERROR('자료_거시'!$E766-INDEX($S$21:$S$4020,MATCH(EDATE('자료_거시'!$D766,-'설정'!$B$17),'자료_거시'!$D$3:INDEX('자료_거시'!$D$3:$D$4002,$K$6),1)),""),"")</f>
        <v/>
      </c>
      <c r="U784">
        <f>IF(ISNUMBER(T784),'자료_거시'!$D766,"")</f>
        <v/>
      </c>
      <c r="V784">
        <f>IF(ISNUMBER(U784),IF(U784&gt;$L$6,T784,""),"")</f>
        <v/>
      </c>
      <c r="W784">
        <f>IF(AND(ISNUMBER('자료_거시'!$G766),ISNUMBER('자료_거시'!$H766)),'자료_거시'!$H766,"")</f>
        <v/>
      </c>
      <c r="X784">
        <f>IF(ISNUMBER(W784),'자료_거시'!$G766,"")</f>
        <v/>
      </c>
      <c r="Y784">
        <f>IF(ISNUMBER(X784),IF(X784&gt;$L$7,W784,""),"")</f>
        <v/>
      </c>
      <c r="Z784">
        <f>IF(ISNUMBER('자료_거시'!$K766),'자료_거시'!$K766,Z783)</f>
        <v/>
      </c>
      <c r="AA784">
        <f>IF(AND(ISNUMBER('자료_거시'!$J766),ISNUMBER('자료_거시'!$K766)),IFERROR('자료_거시'!$K766/INDEX($Z$21:$Z$4020,MATCH(EDATE('자료_거시'!$J766,-'설정'!$B$17),'자료_거시'!$J$3:INDEX('자료_거시'!$J$3:$J$4002,$K$8),1))-1,""),"")</f>
        <v/>
      </c>
      <c r="AB784">
        <f>IF(ISNUMBER(AA784),'자료_거시'!$J766,"")</f>
        <v/>
      </c>
      <c r="AC784">
        <f>IF(ISNUMBER(AB784),IF(AB784&gt;$L$8,AA784,""),"")</f>
        <v/>
      </c>
    </row>
    <row r="785">
      <c r="S785">
        <f>IF(ISNUMBER('자료_거시'!$E767),'자료_거시'!$E767,S784)</f>
        <v/>
      </c>
      <c r="T785">
        <f>IF(AND(ISNUMBER('자료_거시'!$D767),ISNUMBER('자료_거시'!$E767)),IFERROR('자료_거시'!$E767-INDEX($S$21:$S$4020,MATCH(EDATE('자료_거시'!$D767,-'설정'!$B$17),'자료_거시'!$D$3:INDEX('자료_거시'!$D$3:$D$4002,$K$6),1)),""),"")</f>
        <v/>
      </c>
      <c r="U785">
        <f>IF(ISNUMBER(T785),'자료_거시'!$D767,"")</f>
        <v/>
      </c>
      <c r="V785">
        <f>IF(ISNUMBER(U785),IF(U785&gt;$L$6,T785,""),"")</f>
        <v/>
      </c>
      <c r="W785">
        <f>IF(AND(ISNUMBER('자료_거시'!$G767),ISNUMBER('자료_거시'!$H767)),'자료_거시'!$H767,"")</f>
        <v/>
      </c>
      <c r="X785">
        <f>IF(ISNUMBER(W785),'자료_거시'!$G767,"")</f>
        <v/>
      </c>
      <c r="Y785">
        <f>IF(ISNUMBER(X785),IF(X785&gt;$L$7,W785,""),"")</f>
        <v/>
      </c>
      <c r="Z785">
        <f>IF(ISNUMBER('자료_거시'!$K767),'자료_거시'!$K767,Z784)</f>
        <v/>
      </c>
      <c r="AA785">
        <f>IF(AND(ISNUMBER('자료_거시'!$J767),ISNUMBER('자료_거시'!$K767)),IFERROR('자료_거시'!$K767/INDEX($Z$21:$Z$4020,MATCH(EDATE('자료_거시'!$J767,-'설정'!$B$17),'자료_거시'!$J$3:INDEX('자료_거시'!$J$3:$J$4002,$K$8),1))-1,""),"")</f>
        <v/>
      </c>
      <c r="AB785">
        <f>IF(ISNUMBER(AA785),'자료_거시'!$J767,"")</f>
        <v/>
      </c>
      <c r="AC785">
        <f>IF(ISNUMBER(AB785),IF(AB785&gt;$L$8,AA785,""),"")</f>
        <v/>
      </c>
    </row>
    <row r="786">
      <c r="S786">
        <f>IF(ISNUMBER('자료_거시'!$E768),'자료_거시'!$E768,S785)</f>
        <v/>
      </c>
      <c r="T786">
        <f>IF(AND(ISNUMBER('자료_거시'!$D768),ISNUMBER('자료_거시'!$E768)),IFERROR('자료_거시'!$E768-INDEX($S$21:$S$4020,MATCH(EDATE('자료_거시'!$D768,-'설정'!$B$17),'자료_거시'!$D$3:INDEX('자료_거시'!$D$3:$D$4002,$K$6),1)),""),"")</f>
        <v/>
      </c>
      <c r="U786">
        <f>IF(ISNUMBER(T786),'자료_거시'!$D768,"")</f>
        <v/>
      </c>
      <c r="V786">
        <f>IF(ISNUMBER(U786),IF(U786&gt;$L$6,T786,""),"")</f>
        <v/>
      </c>
      <c r="W786">
        <f>IF(AND(ISNUMBER('자료_거시'!$G768),ISNUMBER('자료_거시'!$H768)),'자료_거시'!$H768,"")</f>
        <v/>
      </c>
      <c r="X786">
        <f>IF(ISNUMBER(W786),'자료_거시'!$G768,"")</f>
        <v/>
      </c>
      <c r="Y786">
        <f>IF(ISNUMBER(X786),IF(X786&gt;$L$7,W786,""),"")</f>
        <v/>
      </c>
      <c r="Z786">
        <f>IF(ISNUMBER('자료_거시'!$K768),'자료_거시'!$K768,Z785)</f>
        <v/>
      </c>
      <c r="AA786">
        <f>IF(AND(ISNUMBER('자료_거시'!$J768),ISNUMBER('자료_거시'!$K768)),IFERROR('자료_거시'!$K768/INDEX($Z$21:$Z$4020,MATCH(EDATE('자료_거시'!$J768,-'설정'!$B$17),'자료_거시'!$J$3:INDEX('자료_거시'!$J$3:$J$4002,$K$8),1))-1,""),"")</f>
        <v/>
      </c>
      <c r="AB786">
        <f>IF(ISNUMBER(AA786),'자료_거시'!$J768,"")</f>
        <v/>
      </c>
      <c r="AC786">
        <f>IF(ISNUMBER(AB786),IF(AB786&gt;$L$8,AA786,""),"")</f>
        <v/>
      </c>
    </row>
    <row r="787">
      <c r="S787">
        <f>IF(ISNUMBER('자료_거시'!$E769),'자료_거시'!$E769,S786)</f>
        <v/>
      </c>
      <c r="T787">
        <f>IF(AND(ISNUMBER('자료_거시'!$D769),ISNUMBER('자료_거시'!$E769)),IFERROR('자료_거시'!$E769-INDEX($S$21:$S$4020,MATCH(EDATE('자료_거시'!$D769,-'설정'!$B$17),'자료_거시'!$D$3:INDEX('자료_거시'!$D$3:$D$4002,$K$6),1)),""),"")</f>
        <v/>
      </c>
      <c r="U787">
        <f>IF(ISNUMBER(T787),'자료_거시'!$D769,"")</f>
        <v/>
      </c>
      <c r="V787">
        <f>IF(ISNUMBER(U787),IF(U787&gt;$L$6,T787,""),"")</f>
        <v/>
      </c>
      <c r="W787">
        <f>IF(AND(ISNUMBER('자료_거시'!$G769),ISNUMBER('자료_거시'!$H769)),'자료_거시'!$H769,"")</f>
        <v/>
      </c>
      <c r="X787">
        <f>IF(ISNUMBER(W787),'자료_거시'!$G769,"")</f>
        <v/>
      </c>
      <c r="Y787">
        <f>IF(ISNUMBER(X787),IF(X787&gt;$L$7,W787,""),"")</f>
        <v/>
      </c>
      <c r="Z787">
        <f>IF(ISNUMBER('자료_거시'!$K769),'자료_거시'!$K769,Z786)</f>
        <v/>
      </c>
      <c r="AA787">
        <f>IF(AND(ISNUMBER('자료_거시'!$J769),ISNUMBER('자료_거시'!$K769)),IFERROR('자료_거시'!$K769/INDEX($Z$21:$Z$4020,MATCH(EDATE('자료_거시'!$J769,-'설정'!$B$17),'자료_거시'!$J$3:INDEX('자료_거시'!$J$3:$J$4002,$K$8),1))-1,""),"")</f>
        <v/>
      </c>
      <c r="AB787">
        <f>IF(ISNUMBER(AA787),'자료_거시'!$J769,"")</f>
        <v/>
      </c>
      <c r="AC787">
        <f>IF(ISNUMBER(AB787),IF(AB787&gt;$L$8,AA787,""),"")</f>
        <v/>
      </c>
    </row>
    <row r="788">
      <c r="S788">
        <f>IF(ISNUMBER('자료_거시'!$E770),'자료_거시'!$E770,S787)</f>
        <v/>
      </c>
      <c r="T788">
        <f>IF(AND(ISNUMBER('자료_거시'!$D770),ISNUMBER('자료_거시'!$E770)),IFERROR('자료_거시'!$E770-INDEX($S$21:$S$4020,MATCH(EDATE('자료_거시'!$D770,-'설정'!$B$17),'자료_거시'!$D$3:INDEX('자료_거시'!$D$3:$D$4002,$K$6),1)),""),"")</f>
        <v/>
      </c>
      <c r="U788">
        <f>IF(ISNUMBER(T788),'자료_거시'!$D770,"")</f>
        <v/>
      </c>
      <c r="V788">
        <f>IF(ISNUMBER(U788),IF(U788&gt;$L$6,T788,""),"")</f>
        <v/>
      </c>
      <c r="W788">
        <f>IF(AND(ISNUMBER('자료_거시'!$G770),ISNUMBER('자료_거시'!$H770)),'자료_거시'!$H770,"")</f>
        <v/>
      </c>
      <c r="X788">
        <f>IF(ISNUMBER(W788),'자료_거시'!$G770,"")</f>
        <v/>
      </c>
      <c r="Y788">
        <f>IF(ISNUMBER(X788),IF(X788&gt;$L$7,W788,""),"")</f>
        <v/>
      </c>
      <c r="Z788">
        <f>IF(ISNUMBER('자료_거시'!$K770),'자료_거시'!$K770,Z787)</f>
        <v/>
      </c>
      <c r="AA788">
        <f>IF(AND(ISNUMBER('자료_거시'!$J770),ISNUMBER('자료_거시'!$K770)),IFERROR('자료_거시'!$K770/INDEX($Z$21:$Z$4020,MATCH(EDATE('자료_거시'!$J770,-'설정'!$B$17),'자료_거시'!$J$3:INDEX('자료_거시'!$J$3:$J$4002,$K$8),1))-1,""),"")</f>
        <v/>
      </c>
      <c r="AB788">
        <f>IF(ISNUMBER(AA788),'자료_거시'!$J770,"")</f>
        <v/>
      </c>
      <c r="AC788">
        <f>IF(ISNUMBER(AB788),IF(AB788&gt;$L$8,AA788,""),"")</f>
        <v/>
      </c>
    </row>
    <row r="789">
      <c r="S789">
        <f>IF(ISNUMBER('자료_거시'!$E771),'자료_거시'!$E771,S788)</f>
        <v/>
      </c>
      <c r="T789">
        <f>IF(AND(ISNUMBER('자료_거시'!$D771),ISNUMBER('자료_거시'!$E771)),IFERROR('자료_거시'!$E771-INDEX($S$21:$S$4020,MATCH(EDATE('자료_거시'!$D771,-'설정'!$B$17),'자료_거시'!$D$3:INDEX('자료_거시'!$D$3:$D$4002,$K$6),1)),""),"")</f>
        <v/>
      </c>
      <c r="U789">
        <f>IF(ISNUMBER(T789),'자료_거시'!$D771,"")</f>
        <v/>
      </c>
      <c r="V789">
        <f>IF(ISNUMBER(U789),IF(U789&gt;$L$6,T789,""),"")</f>
        <v/>
      </c>
      <c r="W789">
        <f>IF(AND(ISNUMBER('자료_거시'!$G771),ISNUMBER('자료_거시'!$H771)),'자료_거시'!$H771,"")</f>
        <v/>
      </c>
      <c r="X789">
        <f>IF(ISNUMBER(W789),'자료_거시'!$G771,"")</f>
        <v/>
      </c>
      <c r="Y789">
        <f>IF(ISNUMBER(X789),IF(X789&gt;$L$7,W789,""),"")</f>
        <v/>
      </c>
      <c r="Z789">
        <f>IF(ISNUMBER('자료_거시'!$K771),'자료_거시'!$K771,Z788)</f>
        <v/>
      </c>
      <c r="AA789">
        <f>IF(AND(ISNUMBER('자료_거시'!$J771),ISNUMBER('자료_거시'!$K771)),IFERROR('자료_거시'!$K771/INDEX($Z$21:$Z$4020,MATCH(EDATE('자료_거시'!$J771,-'설정'!$B$17),'자료_거시'!$J$3:INDEX('자료_거시'!$J$3:$J$4002,$K$8),1))-1,""),"")</f>
        <v/>
      </c>
      <c r="AB789">
        <f>IF(ISNUMBER(AA789),'자료_거시'!$J771,"")</f>
        <v/>
      </c>
      <c r="AC789">
        <f>IF(ISNUMBER(AB789),IF(AB789&gt;$L$8,AA789,""),"")</f>
        <v/>
      </c>
    </row>
    <row r="790">
      <c r="S790">
        <f>IF(ISNUMBER('자료_거시'!$E772),'자료_거시'!$E772,S789)</f>
        <v/>
      </c>
      <c r="T790">
        <f>IF(AND(ISNUMBER('자료_거시'!$D772),ISNUMBER('자료_거시'!$E772)),IFERROR('자료_거시'!$E772-INDEX($S$21:$S$4020,MATCH(EDATE('자료_거시'!$D772,-'설정'!$B$17),'자료_거시'!$D$3:INDEX('자료_거시'!$D$3:$D$4002,$K$6),1)),""),"")</f>
        <v/>
      </c>
      <c r="U790">
        <f>IF(ISNUMBER(T790),'자료_거시'!$D772,"")</f>
        <v/>
      </c>
      <c r="V790">
        <f>IF(ISNUMBER(U790),IF(U790&gt;$L$6,T790,""),"")</f>
        <v/>
      </c>
      <c r="W790">
        <f>IF(AND(ISNUMBER('자료_거시'!$G772),ISNUMBER('자료_거시'!$H772)),'자료_거시'!$H772,"")</f>
        <v/>
      </c>
      <c r="X790">
        <f>IF(ISNUMBER(W790),'자료_거시'!$G772,"")</f>
        <v/>
      </c>
      <c r="Y790">
        <f>IF(ISNUMBER(X790),IF(X790&gt;$L$7,W790,""),"")</f>
        <v/>
      </c>
      <c r="Z790">
        <f>IF(ISNUMBER('자료_거시'!$K772),'자료_거시'!$K772,Z789)</f>
        <v/>
      </c>
      <c r="AA790">
        <f>IF(AND(ISNUMBER('자료_거시'!$J772),ISNUMBER('자료_거시'!$K772)),IFERROR('자료_거시'!$K772/INDEX($Z$21:$Z$4020,MATCH(EDATE('자료_거시'!$J772,-'설정'!$B$17),'자료_거시'!$J$3:INDEX('자료_거시'!$J$3:$J$4002,$K$8),1))-1,""),"")</f>
        <v/>
      </c>
      <c r="AB790">
        <f>IF(ISNUMBER(AA790),'자료_거시'!$J772,"")</f>
        <v/>
      </c>
      <c r="AC790">
        <f>IF(ISNUMBER(AB790),IF(AB790&gt;$L$8,AA790,""),"")</f>
        <v/>
      </c>
    </row>
    <row r="791">
      <c r="S791">
        <f>IF(ISNUMBER('자료_거시'!$E773),'자료_거시'!$E773,S790)</f>
        <v/>
      </c>
      <c r="T791">
        <f>IF(AND(ISNUMBER('자료_거시'!$D773),ISNUMBER('자료_거시'!$E773)),IFERROR('자료_거시'!$E773-INDEX($S$21:$S$4020,MATCH(EDATE('자료_거시'!$D773,-'설정'!$B$17),'자료_거시'!$D$3:INDEX('자료_거시'!$D$3:$D$4002,$K$6),1)),""),"")</f>
        <v/>
      </c>
      <c r="U791">
        <f>IF(ISNUMBER(T791),'자료_거시'!$D773,"")</f>
        <v/>
      </c>
      <c r="V791">
        <f>IF(ISNUMBER(U791),IF(U791&gt;$L$6,T791,""),"")</f>
        <v/>
      </c>
      <c r="W791">
        <f>IF(AND(ISNUMBER('자료_거시'!$G773),ISNUMBER('자료_거시'!$H773)),'자료_거시'!$H773,"")</f>
        <v/>
      </c>
      <c r="X791">
        <f>IF(ISNUMBER(W791),'자료_거시'!$G773,"")</f>
        <v/>
      </c>
      <c r="Y791">
        <f>IF(ISNUMBER(X791),IF(X791&gt;$L$7,W791,""),"")</f>
        <v/>
      </c>
      <c r="Z791">
        <f>IF(ISNUMBER('자료_거시'!$K773),'자료_거시'!$K773,Z790)</f>
        <v/>
      </c>
      <c r="AA791">
        <f>IF(AND(ISNUMBER('자료_거시'!$J773),ISNUMBER('자료_거시'!$K773)),IFERROR('자료_거시'!$K773/INDEX($Z$21:$Z$4020,MATCH(EDATE('자료_거시'!$J773,-'설정'!$B$17),'자료_거시'!$J$3:INDEX('자료_거시'!$J$3:$J$4002,$K$8),1))-1,""),"")</f>
        <v/>
      </c>
      <c r="AB791">
        <f>IF(ISNUMBER(AA791),'자료_거시'!$J773,"")</f>
        <v/>
      </c>
      <c r="AC791">
        <f>IF(ISNUMBER(AB791),IF(AB791&gt;$L$8,AA791,""),"")</f>
        <v/>
      </c>
    </row>
    <row r="792">
      <c r="S792">
        <f>IF(ISNUMBER('자료_거시'!$E774),'자료_거시'!$E774,S791)</f>
        <v/>
      </c>
      <c r="T792">
        <f>IF(AND(ISNUMBER('자료_거시'!$D774),ISNUMBER('자료_거시'!$E774)),IFERROR('자료_거시'!$E774-INDEX($S$21:$S$4020,MATCH(EDATE('자료_거시'!$D774,-'설정'!$B$17),'자료_거시'!$D$3:INDEX('자료_거시'!$D$3:$D$4002,$K$6),1)),""),"")</f>
        <v/>
      </c>
      <c r="U792">
        <f>IF(ISNUMBER(T792),'자료_거시'!$D774,"")</f>
        <v/>
      </c>
      <c r="V792">
        <f>IF(ISNUMBER(U792),IF(U792&gt;$L$6,T792,""),"")</f>
        <v/>
      </c>
      <c r="W792">
        <f>IF(AND(ISNUMBER('자료_거시'!$G774),ISNUMBER('자료_거시'!$H774)),'자료_거시'!$H774,"")</f>
        <v/>
      </c>
      <c r="X792">
        <f>IF(ISNUMBER(W792),'자료_거시'!$G774,"")</f>
        <v/>
      </c>
      <c r="Y792">
        <f>IF(ISNUMBER(X792),IF(X792&gt;$L$7,W792,""),"")</f>
        <v/>
      </c>
      <c r="Z792">
        <f>IF(ISNUMBER('자료_거시'!$K774),'자료_거시'!$K774,Z791)</f>
        <v/>
      </c>
      <c r="AA792">
        <f>IF(AND(ISNUMBER('자료_거시'!$J774),ISNUMBER('자료_거시'!$K774)),IFERROR('자료_거시'!$K774/INDEX($Z$21:$Z$4020,MATCH(EDATE('자료_거시'!$J774,-'설정'!$B$17),'자료_거시'!$J$3:INDEX('자료_거시'!$J$3:$J$4002,$K$8),1))-1,""),"")</f>
        <v/>
      </c>
      <c r="AB792">
        <f>IF(ISNUMBER(AA792),'자료_거시'!$J774,"")</f>
        <v/>
      </c>
      <c r="AC792">
        <f>IF(ISNUMBER(AB792),IF(AB792&gt;$L$8,AA792,""),"")</f>
        <v/>
      </c>
    </row>
    <row r="793">
      <c r="S793">
        <f>IF(ISNUMBER('자료_거시'!$E775),'자료_거시'!$E775,S792)</f>
        <v/>
      </c>
      <c r="T793">
        <f>IF(AND(ISNUMBER('자료_거시'!$D775),ISNUMBER('자료_거시'!$E775)),IFERROR('자료_거시'!$E775-INDEX($S$21:$S$4020,MATCH(EDATE('자료_거시'!$D775,-'설정'!$B$17),'자료_거시'!$D$3:INDEX('자료_거시'!$D$3:$D$4002,$K$6),1)),""),"")</f>
        <v/>
      </c>
      <c r="U793">
        <f>IF(ISNUMBER(T793),'자료_거시'!$D775,"")</f>
        <v/>
      </c>
      <c r="V793">
        <f>IF(ISNUMBER(U793),IF(U793&gt;$L$6,T793,""),"")</f>
        <v/>
      </c>
      <c r="W793">
        <f>IF(AND(ISNUMBER('자료_거시'!$G775),ISNUMBER('자료_거시'!$H775)),'자료_거시'!$H775,"")</f>
        <v/>
      </c>
      <c r="X793">
        <f>IF(ISNUMBER(W793),'자료_거시'!$G775,"")</f>
        <v/>
      </c>
      <c r="Y793">
        <f>IF(ISNUMBER(X793),IF(X793&gt;$L$7,W793,""),"")</f>
        <v/>
      </c>
      <c r="Z793">
        <f>IF(ISNUMBER('자료_거시'!$K775),'자료_거시'!$K775,Z792)</f>
        <v/>
      </c>
      <c r="AA793">
        <f>IF(AND(ISNUMBER('자료_거시'!$J775),ISNUMBER('자료_거시'!$K775)),IFERROR('자료_거시'!$K775/INDEX($Z$21:$Z$4020,MATCH(EDATE('자료_거시'!$J775,-'설정'!$B$17),'자료_거시'!$J$3:INDEX('자료_거시'!$J$3:$J$4002,$K$8),1))-1,""),"")</f>
        <v/>
      </c>
      <c r="AB793">
        <f>IF(ISNUMBER(AA793),'자료_거시'!$J775,"")</f>
        <v/>
      </c>
      <c r="AC793">
        <f>IF(ISNUMBER(AB793),IF(AB793&gt;$L$8,AA793,""),"")</f>
        <v/>
      </c>
    </row>
    <row r="794">
      <c r="S794">
        <f>IF(ISNUMBER('자료_거시'!$E776),'자료_거시'!$E776,S793)</f>
        <v/>
      </c>
      <c r="T794">
        <f>IF(AND(ISNUMBER('자료_거시'!$D776),ISNUMBER('자료_거시'!$E776)),IFERROR('자료_거시'!$E776-INDEX($S$21:$S$4020,MATCH(EDATE('자료_거시'!$D776,-'설정'!$B$17),'자료_거시'!$D$3:INDEX('자료_거시'!$D$3:$D$4002,$K$6),1)),""),"")</f>
        <v/>
      </c>
      <c r="U794">
        <f>IF(ISNUMBER(T794),'자료_거시'!$D776,"")</f>
        <v/>
      </c>
      <c r="V794">
        <f>IF(ISNUMBER(U794),IF(U794&gt;$L$6,T794,""),"")</f>
        <v/>
      </c>
      <c r="W794">
        <f>IF(AND(ISNUMBER('자료_거시'!$G776),ISNUMBER('자료_거시'!$H776)),'자료_거시'!$H776,"")</f>
        <v/>
      </c>
      <c r="X794">
        <f>IF(ISNUMBER(W794),'자료_거시'!$G776,"")</f>
        <v/>
      </c>
      <c r="Y794">
        <f>IF(ISNUMBER(X794),IF(X794&gt;$L$7,W794,""),"")</f>
        <v/>
      </c>
      <c r="Z794">
        <f>IF(ISNUMBER('자료_거시'!$K776),'자료_거시'!$K776,Z793)</f>
        <v/>
      </c>
      <c r="AA794">
        <f>IF(AND(ISNUMBER('자료_거시'!$J776),ISNUMBER('자료_거시'!$K776)),IFERROR('자료_거시'!$K776/INDEX($Z$21:$Z$4020,MATCH(EDATE('자료_거시'!$J776,-'설정'!$B$17),'자료_거시'!$J$3:INDEX('자료_거시'!$J$3:$J$4002,$K$8),1))-1,""),"")</f>
        <v/>
      </c>
      <c r="AB794">
        <f>IF(ISNUMBER(AA794),'자료_거시'!$J776,"")</f>
        <v/>
      </c>
      <c r="AC794">
        <f>IF(ISNUMBER(AB794),IF(AB794&gt;$L$8,AA794,""),"")</f>
        <v/>
      </c>
    </row>
    <row r="795">
      <c r="S795">
        <f>IF(ISNUMBER('자료_거시'!$E777),'자료_거시'!$E777,S794)</f>
        <v/>
      </c>
      <c r="T795">
        <f>IF(AND(ISNUMBER('자료_거시'!$D777),ISNUMBER('자료_거시'!$E777)),IFERROR('자료_거시'!$E777-INDEX($S$21:$S$4020,MATCH(EDATE('자료_거시'!$D777,-'설정'!$B$17),'자료_거시'!$D$3:INDEX('자료_거시'!$D$3:$D$4002,$K$6),1)),""),"")</f>
        <v/>
      </c>
      <c r="U795">
        <f>IF(ISNUMBER(T795),'자료_거시'!$D777,"")</f>
        <v/>
      </c>
      <c r="V795">
        <f>IF(ISNUMBER(U795),IF(U795&gt;$L$6,T795,""),"")</f>
        <v/>
      </c>
      <c r="W795">
        <f>IF(AND(ISNUMBER('자료_거시'!$G777),ISNUMBER('자료_거시'!$H777)),'자료_거시'!$H777,"")</f>
        <v/>
      </c>
      <c r="X795">
        <f>IF(ISNUMBER(W795),'자료_거시'!$G777,"")</f>
        <v/>
      </c>
      <c r="Y795">
        <f>IF(ISNUMBER(X795),IF(X795&gt;$L$7,W795,""),"")</f>
        <v/>
      </c>
      <c r="Z795">
        <f>IF(ISNUMBER('자료_거시'!$K777),'자료_거시'!$K777,Z794)</f>
        <v/>
      </c>
      <c r="AA795">
        <f>IF(AND(ISNUMBER('자료_거시'!$J777),ISNUMBER('자료_거시'!$K777)),IFERROR('자료_거시'!$K777/INDEX($Z$21:$Z$4020,MATCH(EDATE('자료_거시'!$J777,-'설정'!$B$17),'자료_거시'!$J$3:INDEX('자료_거시'!$J$3:$J$4002,$K$8),1))-1,""),"")</f>
        <v/>
      </c>
      <c r="AB795">
        <f>IF(ISNUMBER(AA795),'자료_거시'!$J777,"")</f>
        <v/>
      </c>
      <c r="AC795">
        <f>IF(ISNUMBER(AB795),IF(AB795&gt;$L$8,AA795,""),"")</f>
        <v/>
      </c>
    </row>
    <row r="796">
      <c r="S796">
        <f>IF(ISNUMBER('자료_거시'!$E778),'자료_거시'!$E778,S795)</f>
        <v/>
      </c>
      <c r="T796">
        <f>IF(AND(ISNUMBER('자료_거시'!$D778),ISNUMBER('자료_거시'!$E778)),IFERROR('자료_거시'!$E778-INDEX($S$21:$S$4020,MATCH(EDATE('자료_거시'!$D778,-'설정'!$B$17),'자료_거시'!$D$3:INDEX('자료_거시'!$D$3:$D$4002,$K$6),1)),""),"")</f>
        <v/>
      </c>
      <c r="U796">
        <f>IF(ISNUMBER(T796),'자료_거시'!$D778,"")</f>
        <v/>
      </c>
      <c r="V796">
        <f>IF(ISNUMBER(U796),IF(U796&gt;$L$6,T796,""),"")</f>
        <v/>
      </c>
      <c r="W796">
        <f>IF(AND(ISNUMBER('자료_거시'!$G778),ISNUMBER('자료_거시'!$H778)),'자료_거시'!$H778,"")</f>
        <v/>
      </c>
      <c r="X796">
        <f>IF(ISNUMBER(W796),'자료_거시'!$G778,"")</f>
        <v/>
      </c>
      <c r="Y796">
        <f>IF(ISNUMBER(X796),IF(X796&gt;$L$7,W796,""),"")</f>
        <v/>
      </c>
      <c r="Z796">
        <f>IF(ISNUMBER('자료_거시'!$K778),'자료_거시'!$K778,Z795)</f>
        <v/>
      </c>
      <c r="AA796">
        <f>IF(AND(ISNUMBER('자료_거시'!$J778),ISNUMBER('자료_거시'!$K778)),IFERROR('자료_거시'!$K778/INDEX($Z$21:$Z$4020,MATCH(EDATE('자료_거시'!$J778,-'설정'!$B$17),'자료_거시'!$J$3:INDEX('자료_거시'!$J$3:$J$4002,$K$8),1))-1,""),"")</f>
        <v/>
      </c>
      <c r="AB796">
        <f>IF(ISNUMBER(AA796),'자료_거시'!$J778,"")</f>
        <v/>
      </c>
      <c r="AC796">
        <f>IF(ISNUMBER(AB796),IF(AB796&gt;$L$8,AA796,""),"")</f>
        <v/>
      </c>
    </row>
    <row r="797">
      <c r="S797">
        <f>IF(ISNUMBER('자료_거시'!$E779),'자료_거시'!$E779,S796)</f>
        <v/>
      </c>
      <c r="T797">
        <f>IF(AND(ISNUMBER('자료_거시'!$D779),ISNUMBER('자료_거시'!$E779)),IFERROR('자료_거시'!$E779-INDEX($S$21:$S$4020,MATCH(EDATE('자료_거시'!$D779,-'설정'!$B$17),'자료_거시'!$D$3:INDEX('자료_거시'!$D$3:$D$4002,$K$6),1)),""),"")</f>
        <v/>
      </c>
      <c r="U797">
        <f>IF(ISNUMBER(T797),'자료_거시'!$D779,"")</f>
        <v/>
      </c>
      <c r="V797">
        <f>IF(ISNUMBER(U797),IF(U797&gt;$L$6,T797,""),"")</f>
        <v/>
      </c>
      <c r="W797">
        <f>IF(AND(ISNUMBER('자료_거시'!$G779),ISNUMBER('자료_거시'!$H779)),'자료_거시'!$H779,"")</f>
        <v/>
      </c>
      <c r="X797">
        <f>IF(ISNUMBER(W797),'자료_거시'!$G779,"")</f>
        <v/>
      </c>
      <c r="Y797">
        <f>IF(ISNUMBER(X797),IF(X797&gt;$L$7,W797,""),"")</f>
        <v/>
      </c>
      <c r="Z797">
        <f>IF(ISNUMBER('자료_거시'!$K779),'자료_거시'!$K779,Z796)</f>
        <v/>
      </c>
      <c r="AA797">
        <f>IF(AND(ISNUMBER('자료_거시'!$J779),ISNUMBER('자료_거시'!$K779)),IFERROR('자료_거시'!$K779/INDEX($Z$21:$Z$4020,MATCH(EDATE('자료_거시'!$J779,-'설정'!$B$17),'자료_거시'!$J$3:INDEX('자료_거시'!$J$3:$J$4002,$K$8),1))-1,""),"")</f>
        <v/>
      </c>
      <c r="AB797">
        <f>IF(ISNUMBER(AA797),'자료_거시'!$J779,"")</f>
        <v/>
      </c>
      <c r="AC797">
        <f>IF(ISNUMBER(AB797),IF(AB797&gt;$L$8,AA797,""),"")</f>
        <v/>
      </c>
    </row>
    <row r="798">
      <c r="S798">
        <f>IF(ISNUMBER('자료_거시'!$E780),'자료_거시'!$E780,S797)</f>
        <v/>
      </c>
      <c r="T798">
        <f>IF(AND(ISNUMBER('자료_거시'!$D780),ISNUMBER('자료_거시'!$E780)),IFERROR('자료_거시'!$E780-INDEX($S$21:$S$4020,MATCH(EDATE('자료_거시'!$D780,-'설정'!$B$17),'자료_거시'!$D$3:INDEX('자료_거시'!$D$3:$D$4002,$K$6),1)),""),"")</f>
        <v/>
      </c>
      <c r="U798">
        <f>IF(ISNUMBER(T798),'자료_거시'!$D780,"")</f>
        <v/>
      </c>
      <c r="V798">
        <f>IF(ISNUMBER(U798),IF(U798&gt;$L$6,T798,""),"")</f>
        <v/>
      </c>
      <c r="W798">
        <f>IF(AND(ISNUMBER('자료_거시'!$G780),ISNUMBER('자료_거시'!$H780)),'자료_거시'!$H780,"")</f>
        <v/>
      </c>
      <c r="X798">
        <f>IF(ISNUMBER(W798),'자료_거시'!$G780,"")</f>
        <v/>
      </c>
      <c r="Y798">
        <f>IF(ISNUMBER(X798),IF(X798&gt;$L$7,W798,""),"")</f>
        <v/>
      </c>
      <c r="Z798">
        <f>IF(ISNUMBER('자료_거시'!$K780),'자료_거시'!$K780,Z797)</f>
        <v/>
      </c>
      <c r="AA798">
        <f>IF(AND(ISNUMBER('자료_거시'!$J780),ISNUMBER('자료_거시'!$K780)),IFERROR('자료_거시'!$K780/INDEX($Z$21:$Z$4020,MATCH(EDATE('자료_거시'!$J780,-'설정'!$B$17),'자료_거시'!$J$3:INDEX('자료_거시'!$J$3:$J$4002,$K$8),1))-1,""),"")</f>
        <v/>
      </c>
      <c r="AB798">
        <f>IF(ISNUMBER(AA798),'자료_거시'!$J780,"")</f>
        <v/>
      </c>
      <c r="AC798">
        <f>IF(ISNUMBER(AB798),IF(AB798&gt;$L$8,AA798,""),"")</f>
        <v/>
      </c>
    </row>
    <row r="799">
      <c r="S799">
        <f>IF(ISNUMBER('자료_거시'!$E781),'자료_거시'!$E781,S798)</f>
        <v/>
      </c>
      <c r="T799">
        <f>IF(AND(ISNUMBER('자료_거시'!$D781),ISNUMBER('자료_거시'!$E781)),IFERROR('자료_거시'!$E781-INDEX($S$21:$S$4020,MATCH(EDATE('자료_거시'!$D781,-'설정'!$B$17),'자료_거시'!$D$3:INDEX('자료_거시'!$D$3:$D$4002,$K$6),1)),""),"")</f>
        <v/>
      </c>
      <c r="U799">
        <f>IF(ISNUMBER(T799),'자료_거시'!$D781,"")</f>
        <v/>
      </c>
      <c r="V799">
        <f>IF(ISNUMBER(U799),IF(U799&gt;$L$6,T799,""),"")</f>
        <v/>
      </c>
      <c r="W799">
        <f>IF(AND(ISNUMBER('자료_거시'!$G781),ISNUMBER('자료_거시'!$H781)),'자료_거시'!$H781,"")</f>
        <v/>
      </c>
      <c r="X799">
        <f>IF(ISNUMBER(W799),'자료_거시'!$G781,"")</f>
        <v/>
      </c>
      <c r="Y799">
        <f>IF(ISNUMBER(X799),IF(X799&gt;$L$7,W799,""),"")</f>
        <v/>
      </c>
      <c r="Z799">
        <f>IF(ISNUMBER('자료_거시'!$K781),'자료_거시'!$K781,Z798)</f>
        <v/>
      </c>
      <c r="AA799">
        <f>IF(AND(ISNUMBER('자료_거시'!$J781),ISNUMBER('자료_거시'!$K781)),IFERROR('자료_거시'!$K781/INDEX($Z$21:$Z$4020,MATCH(EDATE('자료_거시'!$J781,-'설정'!$B$17),'자료_거시'!$J$3:INDEX('자료_거시'!$J$3:$J$4002,$K$8),1))-1,""),"")</f>
        <v/>
      </c>
      <c r="AB799">
        <f>IF(ISNUMBER(AA799),'자료_거시'!$J781,"")</f>
        <v/>
      </c>
      <c r="AC799">
        <f>IF(ISNUMBER(AB799),IF(AB799&gt;$L$8,AA799,""),"")</f>
        <v/>
      </c>
    </row>
    <row r="800">
      <c r="S800">
        <f>IF(ISNUMBER('자료_거시'!$E782),'자료_거시'!$E782,S799)</f>
        <v/>
      </c>
      <c r="T800">
        <f>IF(AND(ISNUMBER('자료_거시'!$D782),ISNUMBER('자료_거시'!$E782)),IFERROR('자료_거시'!$E782-INDEX($S$21:$S$4020,MATCH(EDATE('자료_거시'!$D782,-'설정'!$B$17),'자료_거시'!$D$3:INDEX('자료_거시'!$D$3:$D$4002,$K$6),1)),""),"")</f>
        <v/>
      </c>
      <c r="U800">
        <f>IF(ISNUMBER(T800),'자료_거시'!$D782,"")</f>
        <v/>
      </c>
      <c r="V800">
        <f>IF(ISNUMBER(U800),IF(U800&gt;$L$6,T800,""),"")</f>
        <v/>
      </c>
      <c r="W800">
        <f>IF(AND(ISNUMBER('자료_거시'!$G782),ISNUMBER('자료_거시'!$H782)),'자료_거시'!$H782,"")</f>
        <v/>
      </c>
      <c r="X800">
        <f>IF(ISNUMBER(W800),'자료_거시'!$G782,"")</f>
        <v/>
      </c>
      <c r="Y800">
        <f>IF(ISNUMBER(X800),IF(X800&gt;$L$7,W800,""),"")</f>
        <v/>
      </c>
      <c r="Z800">
        <f>IF(ISNUMBER('자료_거시'!$K782),'자료_거시'!$K782,Z799)</f>
        <v/>
      </c>
      <c r="AA800">
        <f>IF(AND(ISNUMBER('자료_거시'!$J782),ISNUMBER('자료_거시'!$K782)),IFERROR('자료_거시'!$K782/INDEX($Z$21:$Z$4020,MATCH(EDATE('자료_거시'!$J782,-'설정'!$B$17),'자료_거시'!$J$3:INDEX('자료_거시'!$J$3:$J$4002,$K$8),1))-1,""),"")</f>
        <v/>
      </c>
      <c r="AB800">
        <f>IF(ISNUMBER(AA800),'자료_거시'!$J782,"")</f>
        <v/>
      </c>
      <c r="AC800">
        <f>IF(ISNUMBER(AB800),IF(AB800&gt;$L$8,AA800,""),"")</f>
        <v/>
      </c>
    </row>
    <row r="801">
      <c r="S801">
        <f>IF(ISNUMBER('자료_거시'!$E783),'자료_거시'!$E783,S800)</f>
        <v/>
      </c>
      <c r="T801">
        <f>IF(AND(ISNUMBER('자료_거시'!$D783),ISNUMBER('자료_거시'!$E783)),IFERROR('자료_거시'!$E783-INDEX($S$21:$S$4020,MATCH(EDATE('자료_거시'!$D783,-'설정'!$B$17),'자료_거시'!$D$3:INDEX('자료_거시'!$D$3:$D$4002,$K$6),1)),""),"")</f>
        <v/>
      </c>
      <c r="U801">
        <f>IF(ISNUMBER(T801),'자료_거시'!$D783,"")</f>
        <v/>
      </c>
      <c r="V801">
        <f>IF(ISNUMBER(U801),IF(U801&gt;$L$6,T801,""),"")</f>
        <v/>
      </c>
      <c r="W801">
        <f>IF(AND(ISNUMBER('자료_거시'!$G783),ISNUMBER('자료_거시'!$H783)),'자료_거시'!$H783,"")</f>
        <v/>
      </c>
      <c r="X801">
        <f>IF(ISNUMBER(W801),'자료_거시'!$G783,"")</f>
        <v/>
      </c>
      <c r="Y801">
        <f>IF(ISNUMBER(X801),IF(X801&gt;$L$7,W801,""),"")</f>
        <v/>
      </c>
      <c r="Z801">
        <f>IF(ISNUMBER('자료_거시'!$K783),'자료_거시'!$K783,Z800)</f>
        <v/>
      </c>
      <c r="AA801">
        <f>IF(AND(ISNUMBER('자료_거시'!$J783),ISNUMBER('자료_거시'!$K783)),IFERROR('자료_거시'!$K783/INDEX($Z$21:$Z$4020,MATCH(EDATE('자료_거시'!$J783,-'설정'!$B$17),'자료_거시'!$J$3:INDEX('자료_거시'!$J$3:$J$4002,$K$8),1))-1,""),"")</f>
        <v/>
      </c>
      <c r="AB801">
        <f>IF(ISNUMBER(AA801),'자료_거시'!$J783,"")</f>
        <v/>
      </c>
      <c r="AC801">
        <f>IF(ISNUMBER(AB801),IF(AB801&gt;$L$8,AA801,""),"")</f>
        <v/>
      </c>
    </row>
    <row r="802">
      <c r="S802">
        <f>IF(ISNUMBER('자료_거시'!$E784),'자료_거시'!$E784,S801)</f>
        <v/>
      </c>
      <c r="T802">
        <f>IF(AND(ISNUMBER('자료_거시'!$D784),ISNUMBER('자료_거시'!$E784)),IFERROR('자료_거시'!$E784-INDEX($S$21:$S$4020,MATCH(EDATE('자료_거시'!$D784,-'설정'!$B$17),'자료_거시'!$D$3:INDEX('자료_거시'!$D$3:$D$4002,$K$6),1)),""),"")</f>
        <v/>
      </c>
      <c r="U802">
        <f>IF(ISNUMBER(T802),'자료_거시'!$D784,"")</f>
        <v/>
      </c>
      <c r="V802">
        <f>IF(ISNUMBER(U802),IF(U802&gt;$L$6,T802,""),"")</f>
        <v/>
      </c>
      <c r="W802">
        <f>IF(AND(ISNUMBER('자료_거시'!$G784),ISNUMBER('자료_거시'!$H784)),'자료_거시'!$H784,"")</f>
        <v/>
      </c>
      <c r="X802">
        <f>IF(ISNUMBER(W802),'자료_거시'!$G784,"")</f>
        <v/>
      </c>
      <c r="Y802">
        <f>IF(ISNUMBER(X802),IF(X802&gt;$L$7,W802,""),"")</f>
        <v/>
      </c>
      <c r="Z802">
        <f>IF(ISNUMBER('자료_거시'!$K784),'자료_거시'!$K784,Z801)</f>
        <v/>
      </c>
      <c r="AA802">
        <f>IF(AND(ISNUMBER('자료_거시'!$J784),ISNUMBER('자료_거시'!$K784)),IFERROR('자료_거시'!$K784/INDEX($Z$21:$Z$4020,MATCH(EDATE('자료_거시'!$J784,-'설정'!$B$17),'자료_거시'!$J$3:INDEX('자료_거시'!$J$3:$J$4002,$K$8),1))-1,""),"")</f>
        <v/>
      </c>
      <c r="AB802">
        <f>IF(ISNUMBER(AA802),'자료_거시'!$J784,"")</f>
        <v/>
      </c>
      <c r="AC802">
        <f>IF(ISNUMBER(AB802),IF(AB802&gt;$L$8,AA802,""),"")</f>
        <v/>
      </c>
    </row>
    <row r="803">
      <c r="S803">
        <f>IF(ISNUMBER('자료_거시'!$E785),'자료_거시'!$E785,S802)</f>
        <v/>
      </c>
      <c r="T803">
        <f>IF(AND(ISNUMBER('자료_거시'!$D785),ISNUMBER('자료_거시'!$E785)),IFERROR('자료_거시'!$E785-INDEX($S$21:$S$4020,MATCH(EDATE('자료_거시'!$D785,-'설정'!$B$17),'자료_거시'!$D$3:INDEX('자료_거시'!$D$3:$D$4002,$K$6),1)),""),"")</f>
        <v/>
      </c>
      <c r="U803">
        <f>IF(ISNUMBER(T803),'자료_거시'!$D785,"")</f>
        <v/>
      </c>
      <c r="V803">
        <f>IF(ISNUMBER(U803),IF(U803&gt;$L$6,T803,""),"")</f>
        <v/>
      </c>
      <c r="W803">
        <f>IF(AND(ISNUMBER('자료_거시'!$G785),ISNUMBER('자료_거시'!$H785)),'자료_거시'!$H785,"")</f>
        <v/>
      </c>
      <c r="X803">
        <f>IF(ISNUMBER(W803),'자료_거시'!$G785,"")</f>
        <v/>
      </c>
      <c r="Y803">
        <f>IF(ISNUMBER(X803),IF(X803&gt;$L$7,W803,""),"")</f>
        <v/>
      </c>
      <c r="Z803">
        <f>IF(ISNUMBER('자료_거시'!$K785),'자료_거시'!$K785,Z802)</f>
        <v/>
      </c>
      <c r="AA803">
        <f>IF(AND(ISNUMBER('자료_거시'!$J785),ISNUMBER('자료_거시'!$K785)),IFERROR('자료_거시'!$K785/INDEX($Z$21:$Z$4020,MATCH(EDATE('자료_거시'!$J785,-'설정'!$B$17),'자료_거시'!$J$3:INDEX('자료_거시'!$J$3:$J$4002,$K$8),1))-1,""),"")</f>
        <v/>
      </c>
      <c r="AB803">
        <f>IF(ISNUMBER(AA803),'자료_거시'!$J785,"")</f>
        <v/>
      </c>
      <c r="AC803">
        <f>IF(ISNUMBER(AB803),IF(AB803&gt;$L$8,AA803,""),"")</f>
        <v/>
      </c>
    </row>
    <row r="804">
      <c r="S804">
        <f>IF(ISNUMBER('자료_거시'!$E786),'자료_거시'!$E786,S803)</f>
        <v/>
      </c>
      <c r="T804">
        <f>IF(AND(ISNUMBER('자료_거시'!$D786),ISNUMBER('자료_거시'!$E786)),IFERROR('자료_거시'!$E786-INDEX($S$21:$S$4020,MATCH(EDATE('자료_거시'!$D786,-'설정'!$B$17),'자료_거시'!$D$3:INDEX('자료_거시'!$D$3:$D$4002,$K$6),1)),""),"")</f>
        <v/>
      </c>
      <c r="U804">
        <f>IF(ISNUMBER(T804),'자료_거시'!$D786,"")</f>
        <v/>
      </c>
      <c r="V804">
        <f>IF(ISNUMBER(U804),IF(U804&gt;$L$6,T804,""),"")</f>
        <v/>
      </c>
      <c r="W804">
        <f>IF(AND(ISNUMBER('자료_거시'!$G786),ISNUMBER('자료_거시'!$H786)),'자료_거시'!$H786,"")</f>
        <v/>
      </c>
      <c r="X804">
        <f>IF(ISNUMBER(W804),'자료_거시'!$G786,"")</f>
        <v/>
      </c>
      <c r="Y804">
        <f>IF(ISNUMBER(X804),IF(X804&gt;$L$7,W804,""),"")</f>
        <v/>
      </c>
      <c r="Z804">
        <f>IF(ISNUMBER('자료_거시'!$K786),'자료_거시'!$K786,Z803)</f>
        <v/>
      </c>
      <c r="AA804">
        <f>IF(AND(ISNUMBER('자료_거시'!$J786),ISNUMBER('자료_거시'!$K786)),IFERROR('자료_거시'!$K786/INDEX($Z$21:$Z$4020,MATCH(EDATE('자료_거시'!$J786,-'설정'!$B$17),'자료_거시'!$J$3:INDEX('자료_거시'!$J$3:$J$4002,$K$8),1))-1,""),"")</f>
        <v/>
      </c>
      <c r="AB804">
        <f>IF(ISNUMBER(AA804),'자료_거시'!$J786,"")</f>
        <v/>
      </c>
      <c r="AC804">
        <f>IF(ISNUMBER(AB804),IF(AB804&gt;$L$8,AA804,""),"")</f>
        <v/>
      </c>
    </row>
    <row r="805">
      <c r="S805">
        <f>IF(ISNUMBER('자료_거시'!$E787),'자료_거시'!$E787,S804)</f>
        <v/>
      </c>
      <c r="T805">
        <f>IF(AND(ISNUMBER('자료_거시'!$D787),ISNUMBER('자료_거시'!$E787)),IFERROR('자료_거시'!$E787-INDEX($S$21:$S$4020,MATCH(EDATE('자료_거시'!$D787,-'설정'!$B$17),'자료_거시'!$D$3:INDEX('자료_거시'!$D$3:$D$4002,$K$6),1)),""),"")</f>
        <v/>
      </c>
      <c r="U805">
        <f>IF(ISNUMBER(T805),'자료_거시'!$D787,"")</f>
        <v/>
      </c>
      <c r="V805">
        <f>IF(ISNUMBER(U805),IF(U805&gt;$L$6,T805,""),"")</f>
        <v/>
      </c>
      <c r="W805">
        <f>IF(AND(ISNUMBER('자료_거시'!$G787),ISNUMBER('자료_거시'!$H787)),'자료_거시'!$H787,"")</f>
        <v/>
      </c>
      <c r="X805">
        <f>IF(ISNUMBER(W805),'자료_거시'!$G787,"")</f>
        <v/>
      </c>
      <c r="Y805">
        <f>IF(ISNUMBER(X805),IF(X805&gt;$L$7,W805,""),"")</f>
        <v/>
      </c>
      <c r="Z805">
        <f>IF(ISNUMBER('자료_거시'!$K787),'자료_거시'!$K787,Z804)</f>
        <v/>
      </c>
      <c r="AA805">
        <f>IF(AND(ISNUMBER('자료_거시'!$J787),ISNUMBER('자료_거시'!$K787)),IFERROR('자료_거시'!$K787/INDEX($Z$21:$Z$4020,MATCH(EDATE('자료_거시'!$J787,-'설정'!$B$17),'자료_거시'!$J$3:INDEX('자료_거시'!$J$3:$J$4002,$K$8),1))-1,""),"")</f>
        <v/>
      </c>
      <c r="AB805">
        <f>IF(ISNUMBER(AA805),'자료_거시'!$J787,"")</f>
        <v/>
      </c>
      <c r="AC805">
        <f>IF(ISNUMBER(AB805),IF(AB805&gt;$L$8,AA805,""),"")</f>
        <v/>
      </c>
    </row>
    <row r="806">
      <c r="S806">
        <f>IF(ISNUMBER('자료_거시'!$E788),'자료_거시'!$E788,S805)</f>
        <v/>
      </c>
      <c r="T806">
        <f>IF(AND(ISNUMBER('자료_거시'!$D788),ISNUMBER('자료_거시'!$E788)),IFERROR('자료_거시'!$E788-INDEX($S$21:$S$4020,MATCH(EDATE('자료_거시'!$D788,-'설정'!$B$17),'자료_거시'!$D$3:INDEX('자료_거시'!$D$3:$D$4002,$K$6),1)),""),"")</f>
        <v/>
      </c>
      <c r="U806">
        <f>IF(ISNUMBER(T806),'자료_거시'!$D788,"")</f>
        <v/>
      </c>
      <c r="V806">
        <f>IF(ISNUMBER(U806),IF(U806&gt;$L$6,T806,""),"")</f>
        <v/>
      </c>
      <c r="W806">
        <f>IF(AND(ISNUMBER('자료_거시'!$G788),ISNUMBER('자료_거시'!$H788)),'자료_거시'!$H788,"")</f>
        <v/>
      </c>
      <c r="X806">
        <f>IF(ISNUMBER(W806),'자료_거시'!$G788,"")</f>
        <v/>
      </c>
      <c r="Y806">
        <f>IF(ISNUMBER(X806),IF(X806&gt;$L$7,W806,""),"")</f>
        <v/>
      </c>
      <c r="Z806">
        <f>IF(ISNUMBER('자료_거시'!$K788),'자료_거시'!$K788,Z805)</f>
        <v/>
      </c>
      <c r="AA806">
        <f>IF(AND(ISNUMBER('자료_거시'!$J788),ISNUMBER('자료_거시'!$K788)),IFERROR('자료_거시'!$K788/INDEX($Z$21:$Z$4020,MATCH(EDATE('자료_거시'!$J788,-'설정'!$B$17),'자료_거시'!$J$3:INDEX('자료_거시'!$J$3:$J$4002,$K$8),1))-1,""),"")</f>
        <v/>
      </c>
      <c r="AB806">
        <f>IF(ISNUMBER(AA806),'자료_거시'!$J788,"")</f>
        <v/>
      </c>
      <c r="AC806">
        <f>IF(ISNUMBER(AB806),IF(AB806&gt;$L$8,AA806,""),"")</f>
        <v/>
      </c>
    </row>
    <row r="807">
      <c r="S807">
        <f>IF(ISNUMBER('자료_거시'!$E789),'자료_거시'!$E789,S806)</f>
        <v/>
      </c>
      <c r="T807">
        <f>IF(AND(ISNUMBER('자료_거시'!$D789),ISNUMBER('자료_거시'!$E789)),IFERROR('자료_거시'!$E789-INDEX($S$21:$S$4020,MATCH(EDATE('자료_거시'!$D789,-'설정'!$B$17),'자료_거시'!$D$3:INDEX('자료_거시'!$D$3:$D$4002,$K$6),1)),""),"")</f>
        <v/>
      </c>
      <c r="U807">
        <f>IF(ISNUMBER(T807),'자료_거시'!$D789,"")</f>
        <v/>
      </c>
      <c r="V807">
        <f>IF(ISNUMBER(U807),IF(U807&gt;$L$6,T807,""),"")</f>
        <v/>
      </c>
      <c r="W807">
        <f>IF(AND(ISNUMBER('자료_거시'!$G789),ISNUMBER('자료_거시'!$H789)),'자료_거시'!$H789,"")</f>
        <v/>
      </c>
      <c r="X807">
        <f>IF(ISNUMBER(W807),'자료_거시'!$G789,"")</f>
        <v/>
      </c>
      <c r="Y807">
        <f>IF(ISNUMBER(X807),IF(X807&gt;$L$7,W807,""),"")</f>
        <v/>
      </c>
      <c r="Z807">
        <f>IF(ISNUMBER('자료_거시'!$K789),'자료_거시'!$K789,Z806)</f>
        <v/>
      </c>
      <c r="AA807">
        <f>IF(AND(ISNUMBER('자료_거시'!$J789),ISNUMBER('자료_거시'!$K789)),IFERROR('자료_거시'!$K789/INDEX($Z$21:$Z$4020,MATCH(EDATE('자료_거시'!$J789,-'설정'!$B$17),'자료_거시'!$J$3:INDEX('자료_거시'!$J$3:$J$4002,$K$8),1))-1,""),"")</f>
        <v/>
      </c>
      <c r="AB807">
        <f>IF(ISNUMBER(AA807),'자료_거시'!$J789,"")</f>
        <v/>
      </c>
      <c r="AC807">
        <f>IF(ISNUMBER(AB807),IF(AB807&gt;$L$8,AA807,""),"")</f>
        <v/>
      </c>
    </row>
    <row r="808">
      <c r="S808">
        <f>IF(ISNUMBER('자료_거시'!$E790),'자료_거시'!$E790,S807)</f>
        <v/>
      </c>
      <c r="T808">
        <f>IF(AND(ISNUMBER('자료_거시'!$D790),ISNUMBER('자료_거시'!$E790)),IFERROR('자료_거시'!$E790-INDEX($S$21:$S$4020,MATCH(EDATE('자료_거시'!$D790,-'설정'!$B$17),'자료_거시'!$D$3:INDEX('자료_거시'!$D$3:$D$4002,$K$6),1)),""),"")</f>
        <v/>
      </c>
      <c r="U808">
        <f>IF(ISNUMBER(T808),'자료_거시'!$D790,"")</f>
        <v/>
      </c>
      <c r="V808">
        <f>IF(ISNUMBER(U808),IF(U808&gt;$L$6,T808,""),"")</f>
        <v/>
      </c>
      <c r="W808">
        <f>IF(AND(ISNUMBER('자료_거시'!$G790),ISNUMBER('자료_거시'!$H790)),'자료_거시'!$H790,"")</f>
        <v/>
      </c>
      <c r="X808">
        <f>IF(ISNUMBER(W808),'자료_거시'!$G790,"")</f>
        <v/>
      </c>
      <c r="Y808">
        <f>IF(ISNUMBER(X808),IF(X808&gt;$L$7,W808,""),"")</f>
        <v/>
      </c>
      <c r="Z808">
        <f>IF(ISNUMBER('자료_거시'!$K790),'자료_거시'!$K790,Z807)</f>
        <v/>
      </c>
      <c r="AA808">
        <f>IF(AND(ISNUMBER('자료_거시'!$J790),ISNUMBER('자료_거시'!$K790)),IFERROR('자료_거시'!$K790/INDEX($Z$21:$Z$4020,MATCH(EDATE('자료_거시'!$J790,-'설정'!$B$17),'자료_거시'!$J$3:INDEX('자료_거시'!$J$3:$J$4002,$K$8),1))-1,""),"")</f>
        <v/>
      </c>
      <c r="AB808">
        <f>IF(ISNUMBER(AA808),'자료_거시'!$J790,"")</f>
        <v/>
      </c>
      <c r="AC808">
        <f>IF(ISNUMBER(AB808),IF(AB808&gt;$L$8,AA808,""),"")</f>
        <v/>
      </c>
    </row>
    <row r="809">
      <c r="S809">
        <f>IF(ISNUMBER('자료_거시'!$E791),'자료_거시'!$E791,S808)</f>
        <v/>
      </c>
      <c r="T809">
        <f>IF(AND(ISNUMBER('자료_거시'!$D791),ISNUMBER('자료_거시'!$E791)),IFERROR('자료_거시'!$E791-INDEX($S$21:$S$4020,MATCH(EDATE('자료_거시'!$D791,-'설정'!$B$17),'자료_거시'!$D$3:INDEX('자료_거시'!$D$3:$D$4002,$K$6),1)),""),"")</f>
        <v/>
      </c>
      <c r="U809">
        <f>IF(ISNUMBER(T809),'자료_거시'!$D791,"")</f>
        <v/>
      </c>
      <c r="V809">
        <f>IF(ISNUMBER(U809),IF(U809&gt;$L$6,T809,""),"")</f>
        <v/>
      </c>
      <c r="W809">
        <f>IF(AND(ISNUMBER('자료_거시'!$G791),ISNUMBER('자료_거시'!$H791)),'자료_거시'!$H791,"")</f>
        <v/>
      </c>
      <c r="X809">
        <f>IF(ISNUMBER(W809),'자료_거시'!$G791,"")</f>
        <v/>
      </c>
      <c r="Y809">
        <f>IF(ISNUMBER(X809),IF(X809&gt;$L$7,W809,""),"")</f>
        <v/>
      </c>
      <c r="Z809">
        <f>IF(ISNUMBER('자료_거시'!$K791),'자료_거시'!$K791,Z808)</f>
        <v/>
      </c>
      <c r="AA809">
        <f>IF(AND(ISNUMBER('자료_거시'!$J791),ISNUMBER('자료_거시'!$K791)),IFERROR('자료_거시'!$K791/INDEX($Z$21:$Z$4020,MATCH(EDATE('자료_거시'!$J791,-'설정'!$B$17),'자료_거시'!$J$3:INDEX('자료_거시'!$J$3:$J$4002,$K$8),1))-1,""),"")</f>
        <v/>
      </c>
      <c r="AB809">
        <f>IF(ISNUMBER(AA809),'자료_거시'!$J791,"")</f>
        <v/>
      </c>
      <c r="AC809">
        <f>IF(ISNUMBER(AB809),IF(AB809&gt;$L$8,AA809,""),"")</f>
        <v/>
      </c>
    </row>
    <row r="810">
      <c r="S810">
        <f>IF(ISNUMBER('자료_거시'!$E792),'자료_거시'!$E792,S809)</f>
        <v/>
      </c>
      <c r="T810">
        <f>IF(AND(ISNUMBER('자료_거시'!$D792),ISNUMBER('자료_거시'!$E792)),IFERROR('자료_거시'!$E792-INDEX($S$21:$S$4020,MATCH(EDATE('자료_거시'!$D792,-'설정'!$B$17),'자료_거시'!$D$3:INDEX('자료_거시'!$D$3:$D$4002,$K$6),1)),""),"")</f>
        <v/>
      </c>
      <c r="U810">
        <f>IF(ISNUMBER(T810),'자료_거시'!$D792,"")</f>
        <v/>
      </c>
      <c r="V810">
        <f>IF(ISNUMBER(U810),IF(U810&gt;$L$6,T810,""),"")</f>
        <v/>
      </c>
      <c r="W810">
        <f>IF(AND(ISNUMBER('자료_거시'!$G792),ISNUMBER('자료_거시'!$H792)),'자료_거시'!$H792,"")</f>
        <v/>
      </c>
      <c r="X810">
        <f>IF(ISNUMBER(W810),'자료_거시'!$G792,"")</f>
        <v/>
      </c>
      <c r="Y810">
        <f>IF(ISNUMBER(X810),IF(X810&gt;$L$7,W810,""),"")</f>
        <v/>
      </c>
      <c r="Z810">
        <f>IF(ISNUMBER('자료_거시'!$K792),'자료_거시'!$K792,Z809)</f>
        <v/>
      </c>
      <c r="AA810">
        <f>IF(AND(ISNUMBER('자료_거시'!$J792),ISNUMBER('자료_거시'!$K792)),IFERROR('자료_거시'!$K792/INDEX($Z$21:$Z$4020,MATCH(EDATE('자료_거시'!$J792,-'설정'!$B$17),'자료_거시'!$J$3:INDEX('자료_거시'!$J$3:$J$4002,$K$8),1))-1,""),"")</f>
        <v/>
      </c>
      <c r="AB810">
        <f>IF(ISNUMBER(AA810),'자료_거시'!$J792,"")</f>
        <v/>
      </c>
      <c r="AC810">
        <f>IF(ISNUMBER(AB810),IF(AB810&gt;$L$8,AA810,""),"")</f>
        <v/>
      </c>
    </row>
    <row r="811">
      <c r="S811">
        <f>IF(ISNUMBER('자료_거시'!$E793),'자료_거시'!$E793,S810)</f>
        <v/>
      </c>
      <c r="T811">
        <f>IF(AND(ISNUMBER('자료_거시'!$D793),ISNUMBER('자료_거시'!$E793)),IFERROR('자료_거시'!$E793-INDEX($S$21:$S$4020,MATCH(EDATE('자료_거시'!$D793,-'설정'!$B$17),'자료_거시'!$D$3:INDEX('자료_거시'!$D$3:$D$4002,$K$6),1)),""),"")</f>
        <v/>
      </c>
      <c r="U811">
        <f>IF(ISNUMBER(T811),'자료_거시'!$D793,"")</f>
        <v/>
      </c>
      <c r="V811">
        <f>IF(ISNUMBER(U811),IF(U811&gt;$L$6,T811,""),"")</f>
        <v/>
      </c>
      <c r="W811">
        <f>IF(AND(ISNUMBER('자료_거시'!$G793),ISNUMBER('자료_거시'!$H793)),'자료_거시'!$H793,"")</f>
        <v/>
      </c>
      <c r="X811">
        <f>IF(ISNUMBER(W811),'자료_거시'!$G793,"")</f>
        <v/>
      </c>
      <c r="Y811">
        <f>IF(ISNUMBER(X811),IF(X811&gt;$L$7,W811,""),"")</f>
        <v/>
      </c>
      <c r="Z811">
        <f>IF(ISNUMBER('자료_거시'!$K793),'자료_거시'!$K793,Z810)</f>
        <v/>
      </c>
      <c r="AA811">
        <f>IF(AND(ISNUMBER('자료_거시'!$J793),ISNUMBER('자료_거시'!$K793)),IFERROR('자료_거시'!$K793/INDEX($Z$21:$Z$4020,MATCH(EDATE('자료_거시'!$J793,-'설정'!$B$17),'자료_거시'!$J$3:INDEX('자료_거시'!$J$3:$J$4002,$K$8),1))-1,""),"")</f>
        <v/>
      </c>
      <c r="AB811">
        <f>IF(ISNUMBER(AA811),'자료_거시'!$J793,"")</f>
        <v/>
      </c>
      <c r="AC811">
        <f>IF(ISNUMBER(AB811),IF(AB811&gt;$L$8,AA811,""),"")</f>
        <v/>
      </c>
    </row>
    <row r="812">
      <c r="S812">
        <f>IF(ISNUMBER('자료_거시'!$E794),'자료_거시'!$E794,S811)</f>
        <v/>
      </c>
      <c r="T812">
        <f>IF(AND(ISNUMBER('자료_거시'!$D794),ISNUMBER('자료_거시'!$E794)),IFERROR('자료_거시'!$E794-INDEX($S$21:$S$4020,MATCH(EDATE('자료_거시'!$D794,-'설정'!$B$17),'자료_거시'!$D$3:INDEX('자료_거시'!$D$3:$D$4002,$K$6),1)),""),"")</f>
        <v/>
      </c>
      <c r="U812">
        <f>IF(ISNUMBER(T812),'자료_거시'!$D794,"")</f>
        <v/>
      </c>
      <c r="V812">
        <f>IF(ISNUMBER(U812),IF(U812&gt;$L$6,T812,""),"")</f>
        <v/>
      </c>
      <c r="W812">
        <f>IF(AND(ISNUMBER('자료_거시'!$G794),ISNUMBER('자료_거시'!$H794)),'자료_거시'!$H794,"")</f>
        <v/>
      </c>
      <c r="X812">
        <f>IF(ISNUMBER(W812),'자료_거시'!$G794,"")</f>
        <v/>
      </c>
      <c r="Y812">
        <f>IF(ISNUMBER(X812),IF(X812&gt;$L$7,W812,""),"")</f>
        <v/>
      </c>
      <c r="Z812">
        <f>IF(ISNUMBER('자료_거시'!$K794),'자료_거시'!$K794,Z811)</f>
        <v/>
      </c>
      <c r="AA812">
        <f>IF(AND(ISNUMBER('자료_거시'!$J794),ISNUMBER('자료_거시'!$K794)),IFERROR('자료_거시'!$K794/INDEX($Z$21:$Z$4020,MATCH(EDATE('자료_거시'!$J794,-'설정'!$B$17),'자료_거시'!$J$3:INDEX('자료_거시'!$J$3:$J$4002,$K$8),1))-1,""),"")</f>
        <v/>
      </c>
      <c r="AB812">
        <f>IF(ISNUMBER(AA812),'자료_거시'!$J794,"")</f>
        <v/>
      </c>
      <c r="AC812">
        <f>IF(ISNUMBER(AB812),IF(AB812&gt;$L$8,AA812,""),"")</f>
        <v/>
      </c>
    </row>
    <row r="813">
      <c r="S813">
        <f>IF(ISNUMBER('자료_거시'!$E795),'자료_거시'!$E795,S812)</f>
        <v/>
      </c>
      <c r="T813">
        <f>IF(AND(ISNUMBER('자료_거시'!$D795),ISNUMBER('자료_거시'!$E795)),IFERROR('자료_거시'!$E795-INDEX($S$21:$S$4020,MATCH(EDATE('자료_거시'!$D795,-'설정'!$B$17),'자료_거시'!$D$3:INDEX('자료_거시'!$D$3:$D$4002,$K$6),1)),""),"")</f>
        <v/>
      </c>
      <c r="U813">
        <f>IF(ISNUMBER(T813),'자료_거시'!$D795,"")</f>
        <v/>
      </c>
      <c r="V813">
        <f>IF(ISNUMBER(U813),IF(U813&gt;$L$6,T813,""),"")</f>
        <v/>
      </c>
      <c r="W813">
        <f>IF(AND(ISNUMBER('자료_거시'!$G795),ISNUMBER('자료_거시'!$H795)),'자료_거시'!$H795,"")</f>
        <v/>
      </c>
      <c r="X813">
        <f>IF(ISNUMBER(W813),'자료_거시'!$G795,"")</f>
        <v/>
      </c>
      <c r="Y813">
        <f>IF(ISNUMBER(X813),IF(X813&gt;$L$7,W813,""),"")</f>
        <v/>
      </c>
      <c r="Z813">
        <f>IF(ISNUMBER('자료_거시'!$K795),'자료_거시'!$K795,Z812)</f>
        <v/>
      </c>
      <c r="AA813">
        <f>IF(AND(ISNUMBER('자료_거시'!$J795),ISNUMBER('자료_거시'!$K795)),IFERROR('자료_거시'!$K795/INDEX($Z$21:$Z$4020,MATCH(EDATE('자료_거시'!$J795,-'설정'!$B$17),'자료_거시'!$J$3:INDEX('자료_거시'!$J$3:$J$4002,$K$8),1))-1,""),"")</f>
        <v/>
      </c>
      <c r="AB813">
        <f>IF(ISNUMBER(AA813),'자료_거시'!$J795,"")</f>
        <v/>
      </c>
      <c r="AC813">
        <f>IF(ISNUMBER(AB813),IF(AB813&gt;$L$8,AA813,""),"")</f>
        <v/>
      </c>
    </row>
    <row r="814">
      <c r="S814">
        <f>IF(ISNUMBER('자료_거시'!$E796),'자료_거시'!$E796,S813)</f>
        <v/>
      </c>
      <c r="T814">
        <f>IF(AND(ISNUMBER('자료_거시'!$D796),ISNUMBER('자료_거시'!$E796)),IFERROR('자료_거시'!$E796-INDEX($S$21:$S$4020,MATCH(EDATE('자료_거시'!$D796,-'설정'!$B$17),'자료_거시'!$D$3:INDEX('자료_거시'!$D$3:$D$4002,$K$6),1)),""),"")</f>
        <v/>
      </c>
      <c r="U814">
        <f>IF(ISNUMBER(T814),'자료_거시'!$D796,"")</f>
        <v/>
      </c>
      <c r="V814">
        <f>IF(ISNUMBER(U814),IF(U814&gt;$L$6,T814,""),"")</f>
        <v/>
      </c>
      <c r="W814">
        <f>IF(AND(ISNUMBER('자료_거시'!$G796),ISNUMBER('자료_거시'!$H796)),'자료_거시'!$H796,"")</f>
        <v/>
      </c>
      <c r="X814">
        <f>IF(ISNUMBER(W814),'자료_거시'!$G796,"")</f>
        <v/>
      </c>
      <c r="Y814">
        <f>IF(ISNUMBER(X814),IF(X814&gt;$L$7,W814,""),"")</f>
        <v/>
      </c>
      <c r="Z814">
        <f>IF(ISNUMBER('자료_거시'!$K796),'자료_거시'!$K796,Z813)</f>
        <v/>
      </c>
      <c r="AA814">
        <f>IF(AND(ISNUMBER('자료_거시'!$J796),ISNUMBER('자료_거시'!$K796)),IFERROR('자료_거시'!$K796/INDEX($Z$21:$Z$4020,MATCH(EDATE('자료_거시'!$J796,-'설정'!$B$17),'자료_거시'!$J$3:INDEX('자료_거시'!$J$3:$J$4002,$K$8),1))-1,""),"")</f>
        <v/>
      </c>
      <c r="AB814">
        <f>IF(ISNUMBER(AA814),'자료_거시'!$J796,"")</f>
        <v/>
      </c>
      <c r="AC814">
        <f>IF(ISNUMBER(AB814),IF(AB814&gt;$L$8,AA814,""),"")</f>
        <v/>
      </c>
    </row>
    <row r="815">
      <c r="S815">
        <f>IF(ISNUMBER('자료_거시'!$E797),'자료_거시'!$E797,S814)</f>
        <v/>
      </c>
      <c r="T815">
        <f>IF(AND(ISNUMBER('자료_거시'!$D797),ISNUMBER('자료_거시'!$E797)),IFERROR('자료_거시'!$E797-INDEX($S$21:$S$4020,MATCH(EDATE('자료_거시'!$D797,-'설정'!$B$17),'자료_거시'!$D$3:INDEX('자료_거시'!$D$3:$D$4002,$K$6),1)),""),"")</f>
        <v/>
      </c>
      <c r="U815">
        <f>IF(ISNUMBER(T815),'자료_거시'!$D797,"")</f>
        <v/>
      </c>
      <c r="V815">
        <f>IF(ISNUMBER(U815),IF(U815&gt;$L$6,T815,""),"")</f>
        <v/>
      </c>
      <c r="W815">
        <f>IF(AND(ISNUMBER('자료_거시'!$G797),ISNUMBER('자료_거시'!$H797)),'자료_거시'!$H797,"")</f>
        <v/>
      </c>
      <c r="X815">
        <f>IF(ISNUMBER(W815),'자료_거시'!$G797,"")</f>
        <v/>
      </c>
      <c r="Y815">
        <f>IF(ISNUMBER(X815),IF(X815&gt;$L$7,W815,""),"")</f>
        <v/>
      </c>
      <c r="Z815">
        <f>IF(ISNUMBER('자료_거시'!$K797),'자료_거시'!$K797,Z814)</f>
        <v/>
      </c>
      <c r="AA815">
        <f>IF(AND(ISNUMBER('자료_거시'!$J797),ISNUMBER('자료_거시'!$K797)),IFERROR('자료_거시'!$K797/INDEX($Z$21:$Z$4020,MATCH(EDATE('자료_거시'!$J797,-'설정'!$B$17),'자료_거시'!$J$3:INDEX('자료_거시'!$J$3:$J$4002,$K$8),1))-1,""),"")</f>
        <v/>
      </c>
      <c r="AB815">
        <f>IF(ISNUMBER(AA815),'자료_거시'!$J797,"")</f>
        <v/>
      </c>
      <c r="AC815">
        <f>IF(ISNUMBER(AB815),IF(AB815&gt;$L$8,AA815,""),"")</f>
        <v/>
      </c>
    </row>
    <row r="816">
      <c r="S816">
        <f>IF(ISNUMBER('자료_거시'!$E798),'자료_거시'!$E798,S815)</f>
        <v/>
      </c>
      <c r="T816">
        <f>IF(AND(ISNUMBER('자료_거시'!$D798),ISNUMBER('자료_거시'!$E798)),IFERROR('자료_거시'!$E798-INDEX($S$21:$S$4020,MATCH(EDATE('자료_거시'!$D798,-'설정'!$B$17),'자료_거시'!$D$3:INDEX('자료_거시'!$D$3:$D$4002,$K$6),1)),""),"")</f>
        <v/>
      </c>
      <c r="U816">
        <f>IF(ISNUMBER(T816),'자료_거시'!$D798,"")</f>
        <v/>
      </c>
      <c r="V816">
        <f>IF(ISNUMBER(U816),IF(U816&gt;$L$6,T816,""),"")</f>
        <v/>
      </c>
      <c r="W816">
        <f>IF(AND(ISNUMBER('자료_거시'!$G798),ISNUMBER('자료_거시'!$H798)),'자료_거시'!$H798,"")</f>
        <v/>
      </c>
      <c r="X816">
        <f>IF(ISNUMBER(W816),'자료_거시'!$G798,"")</f>
        <v/>
      </c>
      <c r="Y816">
        <f>IF(ISNUMBER(X816),IF(X816&gt;$L$7,W816,""),"")</f>
        <v/>
      </c>
      <c r="Z816">
        <f>IF(ISNUMBER('자료_거시'!$K798),'자료_거시'!$K798,Z815)</f>
        <v/>
      </c>
      <c r="AA816">
        <f>IF(AND(ISNUMBER('자료_거시'!$J798),ISNUMBER('자료_거시'!$K798)),IFERROR('자료_거시'!$K798/INDEX($Z$21:$Z$4020,MATCH(EDATE('자료_거시'!$J798,-'설정'!$B$17),'자료_거시'!$J$3:INDEX('자료_거시'!$J$3:$J$4002,$K$8),1))-1,""),"")</f>
        <v/>
      </c>
      <c r="AB816">
        <f>IF(ISNUMBER(AA816),'자료_거시'!$J798,"")</f>
        <v/>
      </c>
      <c r="AC816">
        <f>IF(ISNUMBER(AB816),IF(AB816&gt;$L$8,AA816,""),"")</f>
        <v/>
      </c>
    </row>
    <row r="817">
      <c r="S817">
        <f>IF(ISNUMBER('자료_거시'!$E799),'자료_거시'!$E799,S816)</f>
        <v/>
      </c>
      <c r="T817">
        <f>IF(AND(ISNUMBER('자료_거시'!$D799),ISNUMBER('자료_거시'!$E799)),IFERROR('자료_거시'!$E799-INDEX($S$21:$S$4020,MATCH(EDATE('자료_거시'!$D799,-'설정'!$B$17),'자료_거시'!$D$3:INDEX('자료_거시'!$D$3:$D$4002,$K$6),1)),""),"")</f>
        <v/>
      </c>
      <c r="U817">
        <f>IF(ISNUMBER(T817),'자료_거시'!$D799,"")</f>
        <v/>
      </c>
      <c r="V817">
        <f>IF(ISNUMBER(U817),IF(U817&gt;$L$6,T817,""),"")</f>
        <v/>
      </c>
      <c r="W817">
        <f>IF(AND(ISNUMBER('자료_거시'!$G799),ISNUMBER('자료_거시'!$H799)),'자료_거시'!$H799,"")</f>
        <v/>
      </c>
      <c r="X817">
        <f>IF(ISNUMBER(W817),'자료_거시'!$G799,"")</f>
        <v/>
      </c>
      <c r="Y817">
        <f>IF(ISNUMBER(X817),IF(X817&gt;$L$7,W817,""),"")</f>
        <v/>
      </c>
      <c r="Z817">
        <f>IF(ISNUMBER('자료_거시'!$K799),'자료_거시'!$K799,Z816)</f>
        <v/>
      </c>
      <c r="AA817">
        <f>IF(AND(ISNUMBER('자료_거시'!$J799),ISNUMBER('자료_거시'!$K799)),IFERROR('자료_거시'!$K799/INDEX($Z$21:$Z$4020,MATCH(EDATE('자료_거시'!$J799,-'설정'!$B$17),'자료_거시'!$J$3:INDEX('자료_거시'!$J$3:$J$4002,$K$8),1))-1,""),"")</f>
        <v/>
      </c>
      <c r="AB817">
        <f>IF(ISNUMBER(AA817),'자료_거시'!$J799,"")</f>
        <v/>
      </c>
      <c r="AC817">
        <f>IF(ISNUMBER(AB817),IF(AB817&gt;$L$8,AA817,""),"")</f>
        <v/>
      </c>
    </row>
    <row r="818">
      <c r="S818">
        <f>IF(ISNUMBER('자료_거시'!$E800),'자료_거시'!$E800,S817)</f>
        <v/>
      </c>
      <c r="T818">
        <f>IF(AND(ISNUMBER('자료_거시'!$D800),ISNUMBER('자료_거시'!$E800)),IFERROR('자료_거시'!$E800-INDEX($S$21:$S$4020,MATCH(EDATE('자료_거시'!$D800,-'설정'!$B$17),'자료_거시'!$D$3:INDEX('자료_거시'!$D$3:$D$4002,$K$6),1)),""),"")</f>
        <v/>
      </c>
      <c r="U818">
        <f>IF(ISNUMBER(T818),'자료_거시'!$D800,"")</f>
        <v/>
      </c>
      <c r="V818">
        <f>IF(ISNUMBER(U818),IF(U818&gt;$L$6,T818,""),"")</f>
        <v/>
      </c>
      <c r="W818">
        <f>IF(AND(ISNUMBER('자료_거시'!$G800),ISNUMBER('자료_거시'!$H800)),'자료_거시'!$H800,"")</f>
        <v/>
      </c>
      <c r="X818">
        <f>IF(ISNUMBER(W818),'자료_거시'!$G800,"")</f>
        <v/>
      </c>
      <c r="Y818">
        <f>IF(ISNUMBER(X818),IF(X818&gt;$L$7,W818,""),"")</f>
        <v/>
      </c>
      <c r="Z818">
        <f>IF(ISNUMBER('자료_거시'!$K800),'자료_거시'!$K800,Z817)</f>
        <v/>
      </c>
      <c r="AA818">
        <f>IF(AND(ISNUMBER('자료_거시'!$J800),ISNUMBER('자료_거시'!$K800)),IFERROR('자료_거시'!$K800/INDEX($Z$21:$Z$4020,MATCH(EDATE('자료_거시'!$J800,-'설정'!$B$17),'자료_거시'!$J$3:INDEX('자료_거시'!$J$3:$J$4002,$K$8),1))-1,""),"")</f>
        <v/>
      </c>
      <c r="AB818">
        <f>IF(ISNUMBER(AA818),'자료_거시'!$J800,"")</f>
        <v/>
      </c>
      <c r="AC818">
        <f>IF(ISNUMBER(AB818),IF(AB818&gt;$L$8,AA818,""),"")</f>
        <v/>
      </c>
    </row>
    <row r="819">
      <c r="S819">
        <f>IF(ISNUMBER('자료_거시'!$E801),'자료_거시'!$E801,S818)</f>
        <v/>
      </c>
      <c r="T819">
        <f>IF(AND(ISNUMBER('자료_거시'!$D801),ISNUMBER('자료_거시'!$E801)),IFERROR('자료_거시'!$E801-INDEX($S$21:$S$4020,MATCH(EDATE('자료_거시'!$D801,-'설정'!$B$17),'자료_거시'!$D$3:INDEX('자료_거시'!$D$3:$D$4002,$K$6),1)),""),"")</f>
        <v/>
      </c>
      <c r="U819">
        <f>IF(ISNUMBER(T819),'자료_거시'!$D801,"")</f>
        <v/>
      </c>
      <c r="V819">
        <f>IF(ISNUMBER(U819),IF(U819&gt;$L$6,T819,""),"")</f>
        <v/>
      </c>
      <c r="W819">
        <f>IF(AND(ISNUMBER('자료_거시'!$G801),ISNUMBER('자료_거시'!$H801)),'자료_거시'!$H801,"")</f>
        <v/>
      </c>
      <c r="X819">
        <f>IF(ISNUMBER(W819),'자료_거시'!$G801,"")</f>
        <v/>
      </c>
      <c r="Y819">
        <f>IF(ISNUMBER(X819),IF(X819&gt;$L$7,W819,""),"")</f>
        <v/>
      </c>
      <c r="Z819">
        <f>IF(ISNUMBER('자료_거시'!$K801),'자료_거시'!$K801,Z818)</f>
        <v/>
      </c>
      <c r="AA819">
        <f>IF(AND(ISNUMBER('자료_거시'!$J801),ISNUMBER('자료_거시'!$K801)),IFERROR('자료_거시'!$K801/INDEX($Z$21:$Z$4020,MATCH(EDATE('자료_거시'!$J801,-'설정'!$B$17),'자료_거시'!$J$3:INDEX('자료_거시'!$J$3:$J$4002,$K$8),1))-1,""),"")</f>
        <v/>
      </c>
      <c r="AB819">
        <f>IF(ISNUMBER(AA819),'자료_거시'!$J801,"")</f>
        <v/>
      </c>
      <c r="AC819">
        <f>IF(ISNUMBER(AB819),IF(AB819&gt;$L$8,AA819,""),"")</f>
        <v/>
      </c>
    </row>
    <row r="820">
      <c r="S820">
        <f>IF(ISNUMBER('자료_거시'!$E802),'자료_거시'!$E802,S819)</f>
        <v/>
      </c>
      <c r="T820">
        <f>IF(AND(ISNUMBER('자료_거시'!$D802),ISNUMBER('자료_거시'!$E802)),IFERROR('자료_거시'!$E802-INDEX($S$21:$S$4020,MATCH(EDATE('자료_거시'!$D802,-'설정'!$B$17),'자료_거시'!$D$3:INDEX('자료_거시'!$D$3:$D$4002,$K$6),1)),""),"")</f>
        <v/>
      </c>
      <c r="U820">
        <f>IF(ISNUMBER(T820),'자료_거시'!$D802,"")</f>
        <v/>
      </c>
      <c r="V820">
        <f>IF(ISNUMBER(U820),IF(U820&gt;$L$6,T820,""),"")</f>
        <v/>
      </c>
      <c r="W820">
        <f>IF(AND(ISNUMBER('자료_거시'!$G802),ISNUMBER('자료_거시'!$H802)),'자료_거시'!$H802,"")</f>
        <v/>
      </c>
      <c r="X820">
        <f>IF(ISNUMBER(W820),'자료_거시'!$G802,"")</f>
        <v/>
      </c>
      <c r="Y820">
        <f>IF(ISNUMBER(X820),IF(X820&gt;$L$7,W820,""),"")</f>
        <v/>
      </c>
      <c r="Z820">
        <f>IF(ISNUMBER('자료_거시'!$K802),'자료_거시'!$K802,Z819)</f>
        <v/>
      </c>
      <c r="AA820">
        <f>IF(AND(ISNUMBER('자료_거시'!$J802),ISNUMBER('자료_거시'!$K802)),IFERROR('자료_거시'!$K802/INDEX($Z$21:$Z$4020,MATCH(EDATE('자료_거시'!$J802,-'설정'!$B$17),'자료_거시'!$J$3:INDEX('자료_거시'!$J$3:$J$4002,$K$8),1))-1,""),"")</f>
        <v/>
      </c>
      <c r="AB820">
        <f>IF(ISNUMBER(AA820),'자료_거시'!$J802,"")</f>
        <v/>
      </c>
      <c r="AC820">
        <f>IF(ISNUMBER(AB820),IF(AB820&gt;$L$8,AA820,""),"")</f>
        <v/>
      </c>
    </row>
    <row r="821">
      <c r="S821">
        <f>IF(ISNUMBER('자료_거시'!$E803),'자료_거시'!$E803,S820)</f>
        <v/>
      </c>
      <c r="T821">
        <f>IF(AND(ISNUMBER('자료_거시'!$D803),ISNUMBER('자료_거시'!$E803)),IFERROR('자료_거시'!$E803-INDEX($S$21:$S$4020,MATCH(EDATE('자료_거시'!$D803,-'설정'!$B$17),'자료_거시'!$D$3:INDEX('자료_거시'!$D$3:$D$4002,$K$6),1)),""),"")</f>
        <v/>
      </c>
      <c r="U821">
        <f>IF(ISNUMBER(T821),'자료_거시'!$D803,"")</f>
        <v/>
      </c>
      <c r="V821">
        <f>IF(ISNUMBER(U821),IF(U821&gt;$L$6,T821,""),"")</f>
        <v/>
      </c>
      <c r="W821">
        <f>IF(AND(ISNUMBER('자료_거시'!$G803),ISNUMBER('자료_거시'!$H803)),'자료_거시'!$H803,"")</f>
        <v/>
      </c>
      <c r="X821">
        <f>IF(ISNUMBER(W821),'자료_거시'!$G803,"")</f>
        <v/>
      </c>
      <c r="Y821">
        <f>IF(ISNUMBER(X821),IF(X821&gt;$L$7,W821,""),"")</f>
        <v/>
      </c>
      <c r="Z821">
        <f>IF(ISNUMBER('자료_거시'!$K803),'자료_거시'!$K803,Z820)</f>
        <v/>
      </c>
      <c r="AA821">
        <f>IF(AND(ISNUMBER('자료_거시'!$J803),ISNUMBER('자료_거시'!$K803)),IFERROR('자료_거시'!$K803/INDEX($Z$21:$Z$4020,MATCH(EDATE('자료_거시'!$J803,-'설정'!$B$17),'자료_거시'!$J$3:INDEX('자료_거시'!$J$3:$J$4002,$K$8),1))-1,""),"")</f>
        <v/>
      </c>
      <c r="AB821">
        <f>IF(ISNUMBER(AA821),'자료_거시'!$J803,"")</f>
        <v/>
      </c>
      <c r="AC821">
        <f>IF(ISNUMBER(AB821),IF(AB821&gt;$L$8,AA821,""),"")</f>
        <v/>
      </c>
    </row>
    <row r="822">
      <c r="S822">
        <f>IF(ISNUMBER('자료_거시'!$E804),'자료_거시'!$E804,S821)</f>
        <v/>
      </c>
      <c r="T822">
        <f>IF(AND(ISNUMBER('자료_거시'!$D804),ISNUMBER('자료_거시'!$E804)),IFERROR('자료_거시'!$E804-INDEX($S$21:$S$4020,MATCH(EDATE('자료_거시'!$D804,-'설정'!$B$17),'자료_거시'!$D$3:INDEX('자료_거시'!$D$3:$D$4002,$K$6),1)),""),"")</f>
        <v/>
      </c>
      <c r="U822">
        <f>IF(ISNUMBER(T822),'자료_거시'!$D804,"")</f>
        <v/>
      </c>
      <c r="V822">
        <f>IF(ISNUMBER(U822),IF(U822&gt;$L$6,T822,""),"")</f>
        <v/>
      </c>
      <c r="W822">
        <f>IF(AND(ISNUMBER('자료_거시'!$G804),ISNUMBER('자료_거시'!$H804)),'자료_거시'!$H804,"")</f>
        <v/>
      </c>
      <c r="X822">
        <f>IF(ISNUMBER(W822),'자료_거시'!$G804,"")</f>
        <v/>
      </c>
      <c r="Y822">
        <f>IF(ISNUMBER(X822),IF(X822&gt;$L$7,W822,""),"")</f>
        <v/>
      </c>
      <c r="Z822">
        <f>IF(ISNUMBER('자료_거시'!$K804),'자료_거시'!$K804,Z821)</f>
        <v/>
      </c>
      <c r="AA822">
        <f>IF(AND(ISNUMBER('자료_거시'!$J804),ISNUMBER('자료_거시'!$K804)),IFERROR('자료_거시'!$K804/INDEX($Z$21:$Z$4020,MATCH(EDATE('자료_거시'!$J804,-'설정'!$B$17),'자료_거시'!$J$3:INDEX('자료_거시'!$J$3:$J$4002,$K$8),1))-1,""),"")</f>
        <v/>
      </c>
      <c r="AB822">
        <f>IF(ISNUMBER(AA822),'자료_거시'!$J804,"")</f>
        <v/>
      </c>
      <c r="AC822">
        <f>IF(ISNUMBER(AB822),IF(AB822&gt;$L$8,AA822,""),"")</f>
        <v/>
      </c>
    </row>
    <row r="823">
      <c r="S823">
        <f>IF(ISNUMBER('자료_거시'!$E805),'자료_거시'!$E805,S822)</f>
        <v/>
      </c>
      <c r="T823">
        <f>IF(AND(ISNUMBER('자료_거시'!$D805),ISNUMBER('자료_거시'!$E805)),IFERROR('자료_거시'!$E805-INDEX($S$21:$S$4020,MATCH(EDATE('자료_거시'!$D805,-'설정'!$B$17),'자료_거시'!$D$3:INDEX('자료_거시'!$D$3:$D$4002,$K$6),1)),""),"")</f>
        <v/>
      </c>
      <c r="U823">
        <f>IF(ISNUMBER(T823),'자료_거시'!$D805,"")</f>
        <v/>
      </c>
      <c r="V823">
        <f>IF(ISNUMBER(U823),IF(U823&gt;$L$6,T823,""),"")</f>
        <v/>
      </c>
      <c r="W823">
        <f>IF(AND(ISNUMBER('자료_거시'!$G805),ISNUMBER('자료_거시'!$H805)),'자료_거시'!$H805,"")</f>
        <v/>
      </c>
      <c r="X823">
        <f>IF(ISNUMBER(W823),'자료_거시'!$G805,"")</f>
        <v/>
      </c>
      <c r="Y823">
        <f>IF(ISNUMBER(X823),IF(X823&gt;$L$7,W823,""),"")</f>
        <v/>
      </c>
      <c r="Z823">
        <f>IF(ISNUMBER('자료_거시'!$K805),'자료_거시'!$K805,Z822)</f>
        <v/>
      </c>
      <c r="AA823">
        <f>IF(AND(ISNUMBER('자료_거시'!$J805),ISNUMBER('자료_거시'!$K805)),IFERROR('자료_거시'!$K805/INDEX($Z$21:$Z$4020,MATCH(EDATE('자료_거시'!$J805,-'설정'!$B$17),'자료_거시'!$J$3:INDEX('자료_거시'!$J$3:$J$4002,$K$8),1))-1,""),"")</f>
        <v/>
      </c>
      <c r="AB823">
        <f>IF(ISNUMBER(AA823),'자료_거시'!$J805,"")</f>
        <v/>
      </c>
      <c r="AC823">
        <f>IF(ISNUMBER(AB823),IF(AB823&gt;$L$8,AA823,""),"")</f>
        <v/>
      </c>
    </row>
    <row r="824">
      <c r="S824">
        <f>IF(ISNUMBER('자료_거시'!$E806),'자료_거시'!$E806,S823)</f>
        <v/>
      </c>
      <c r="T824">
        <f>IF(AND(ISNUMBER('자료_거시'!$D806),ISNUMBER('자료_거시'!$E806)),IFERROR('자료_거시'!$E806-INDEX($S$21:$S$4020,MATCH(EDATE('자료_거시'!$D806,-'설정'!$B$17),'자료_거시'!$D$3:INDEX('자료_거시'!$D$3:$D$4002,$K$6),1)),""),"")</f>
        <v/>
      </c>
      <c r="U824">
        <f>IF(ISNUMBER(T824),'자료_거시'!$D806,"")</f>
        <v/>
      </c>
      <c r="V824">
        <f>IF(ISNUMBER(U824),IF(U824&gt;$L$6,T824,""),"")</f>
        <v/>
      </c>
      <c r="W824">
        <f>IF(AND(ISNUMBER('자료_거시'!$G806),ISNUMBER('자료_거시'!$H806)),'자료_거시'!$H806,"")</f>
        <v/>
      </c>
      <c r="X824">
        <f>IF(ISNUMBER(W824),'자료_거시'!$G806,"")</f>
        <v/>
      </c>
      <c r="Y824">
        <f>IF(ISNUMBER(X824),IF(X824&gt;$L$7,W824,""),"")</f>
        <v/>
      </c>
      <c r="Z824">
        <f>IF(ISNUMBER('자료_거시'!$K806),'자료_거시'!$K806,Z823)</f>
        <v/>
      </c>
      <c r="AA824">
        <f>IF(AND(ISNUMBER('자료_거시'!$J806),ISNUMBER('자료_거시'!$K806)),IFERROR('자료_거시'!$K806/INDEX($Z$21:$Z$4020,MATCH(EDATE('자료_거시'!$J806,-'설정'!$B$17),'자료_거시'!$J$3:INDEX('자료_거시'!$J$3:$J$4002,$K$8),1))-1,""),"")</f>
        <v/>
      </c>
      <c r="AB824">
        <f>IF(ISNUMBER(AA824),'자료_거시'!$J806,"")</f>
        <v/>
      </c>
      <c r="AC824">
        <f>IF(ISNUMBER(AB824),IF(AB824&gt;$L$8,AA824,""),"")</f>
        <v/>
      </c>
    </row>
    <row r="825">
      <c r="S825">
        <f>IF(ISNUMBER('자료_거시'!$E807),'자료_거시'!$E807,S824)</f>
        <v/>
      </c>
      <c r="T825">
        <f>IF(AND(ISNUMBER('자료_거시'!$D807),ISNUMBER('자료_거시'!$E807)),IFERROR('자료_거시'!$E807-INDEX($S$21:$S$4020,MATCH(EDATE('자료_거시'!$D807,-'설정'!$B$17),'자료_거시'!$D$3:INDEX('자료_거시'!$D$3:$D$4002,$K$6),1)),""),"")</f>
        <v/>
      </c>
      <c r="U825">
        <f>IF(ISNUMBER(T825),'자료_거시'!$D807,"")</f>
        <v/>
      </c>
      <c r="V825">
        <f>IF(ISNUMBER(U825),IF(U825&gt;$L$6,T825,""),"")</f>
        <v/>
      </c>
      <c r="W825">
        <f>IF(AND(ISNUMBER('자료_거시'!$G807),ISNUMBER('자료_거시'!$H807)),'자료_거시'!$H807,"")</f>
        <v/>
      </c>
      <c r="X825">
        <f>IF(ISNUMBER(W825),'자료_거시'!$G807,"")</f>
        <v/>
      </c>
      <c r="Y825">
        <f>IF(ISNUMBER(X825),IF(X825&gt;$L$7,W825,""),"")</f>
        <v/>
      </c>
      <c r="Z825">
        <f>IF(ISNUMBER('자료_거시'!$K807),'자료_거시'!$K807,Z824)</f>
        <v/>
      </c>
      <c r="AA825">
        <f>IF(AND(ISNUMBER('자료_거시'!$J807),ISNUMBER('자료_거시'!$K807)),IFERROR('자료_거시'!$K807/INDEX($Z$21:$Z$4020,MATCH(EDATE('자료_거시'!$J807,-'설정'!$B$17),'자료_거시'!$J$3:INDEX('자료_거시'!$J$3:$J$4002,$K$8),1))-1,""),"")</f>
        <v/>
      </c>
      <c r="AB825">
        <f>IF(ISNUMBER(AA825),'자료_거시'!$J807,"")</f>
        <v/>
      </c>
      <c r="AC825">
        <f>IF(ISNUMBER(AB825),IF(AB825&gt;$L$8,AA825,""),"")</f>
        <v/>
      </c>
    </row>
    <row r="826">
      <c r="S826">
        <f>IF(ISNUMBER('자료_거시'!$E808),'자료_거시'!$E808,S825)</f>
        <v/>
      </c>
      <c r="T826">
        <f>IF(AND(ISNUMBER('자료_거시'!$D808),ISNUMBER('자료_거시'!$E808)),IFERROR('자료_거시'!$E808-INDEX($S$21:$S$4020,MATCH(EDATE('자료_거시'!$D808,-'설정'!$B$17),'자료_거시'!$D$3:INDEX('자료_거시'!$D$3:$D$4002,$K$6),1)),""),"")</f>
        <v/>
      </c>
      <c r="U826">
        <f>IF(ISNUMBER(T826),'자료_거시'!$D808,"")</f>
        <v/>
      </c>
      <c r="V826">
        <f>IF(ISNUMBER(U826),IF(U826&gt;$L$6,T826,""),"")</f>
        <v/>
      </c>
      <c r="W826">
        <f>IF(AND(ISNUMBER('자료_거시'!$G808),ISNUMBER('자료_거시'!$H808)),'자료_거시'!$H808,"")</f>
        <v/>
      </c>
      <c r="X826">
        <f>IF(ISNUMBER(W826),'자료_거시'!$G808,"")</f>
        <v/>
      </c>
      <c r="Y826">
        <f>IF(ISNUMBER(X826),IF(X826&gt;$L$7,W826,""),"")</f>
        <v/>
      </c>
      <c r="Z826">
        <f>IF(ISNUMBER('자료_거시'!$K808),'자료_거시'!$K808,Z825)</f>
        <v/>
      </c>
      <c r="AA826">
        <f>IF(AND(ISNUMBER('자료_거시'!$J808),ISNUMBER('자료_거시'!$K808)),IFERROR('자료_거시'!$K808/INDEX($Z$21:$Z$4020,MATCH(EDATE('자료_거시'!$J808,-'설정'!$B$17),'자료_거시'!$J$3:INDEX('자료_거시'!$J$3:$J$4002,$K$8),1))-1,""),"")</f>
        <v/>
      </c>
      <c r="AB826">
        <f>IF(ISNUMBER(AA826),'자료_거시'!$J808,"")</f>
        <v/>
      </c>
      <c r="AC826">
        <f>IF(ISNUMBER(AB826),IF(AB826&gt;$L$8,AA826,""),"")</f>
        <v/>
      </c>
    </row>
    <row r="827">
      <c r="S827">
        <f>IF(ISNUMBER('자료_거시'!$E809),'자료_거시'!$E809,S826)</f>
        <v/>
      </c>
      <c r="T827">
        <f>IF(AND(ISNUMBER('자료_거시'!$D809),ISNUMBER('자료_거시'!$E809)),IFERROR('자료_거시'!$E809-INDEX($S$21:$S$4020,MATCH(EDATE('자료_거시'!$D809,-'설정'!$B$17),'자료_거시'!$D$3:INDEX('자료_거시'!$D$3:$D$4002,$K$6),1)),""),"")</f>
        <v/>
      </c>
      <c r="U827">
        <f>IF(ISNUMBER(T827),'자료_거시'!$D809,"")</f>
        <v/>
      </c>
      <c r="V827">
        <f>IF(ISNUMBER(U827),IF(U827&gt;$L$6,T827,""),"")</f>
        <v/>
      </c>
      <c r="W827">
        <f>IF(AND(ISNUMBER('자료_거시'!$G809),ISNUMBER('자료_거시'!$H809)),'자료_거시'!$H809,"")</f>
        <v/>
      </c>
      <c r="X827">
        <f>IF(ISNUMBER(W827),'자료_거시'!$G809,"")</f>
        <v/>
      </c>
      <c r="Y827">
        <f>IF(ISNUMBER(X827),IF(X827&gt;$L$7,W827,""),"")</f>
        <v/>
      </c>
      <c r="Z827">
        <f>IF(ISNUMBER('자료_거시'!$K809),'자료_거시'!$K809,Z826)</f>
        <v/>
      </c>
      <c r="AA827">
        <f>IF(AND(ISNUMBER('자료_거시'!$J809),ISNUMBER('자료_거시'!$K809)),IFERROR('자료_거시'!$K809/INDEX($Z$21:$Z$4020,MATCH(EDATE('자료_거시'!$J809,-'설정'!$B$17),'자료_거시'!$J$3:INDEX('자료_거시'!$J$3:$J$4002,$K$8),1))-1,""),"")</f>
        <v/>
      </c>
      <c r="AB827">
        <f>IF(ISNUMBER(AA827),'자료_거시'!$J809,"")</f>
        <v/>
      </c>
      <c r="AC827">
        <f>IF(ISNUMBER(AB827),IF(AB827&gt;$L$8,AA827,""),"")</f>
        <v/>
      </c>
    </row>
    <row r="828">
      <c r="S828">
        <f>IF(ISNUMBER('자료_거시'!$E810),'자료_거시'!$E810,S827)</f>
        <v/>
      </c>
      <c r="T828">
        <f>IF(AND(ISNUMBER('자료_거시'!$D810),ISNUMBER('자료_거시'!$E810)),IFERROR('자료_거시'!$E810-INDEX($S$21:$S$4020,MATCH(EDATE('자료_거시'!$D810,-'설정'!$B$17),'자료_거시'!$D$3:INDEX('자료_거시'!$D$3:$D$4002,$K$6),1)),""),"")</f>
        <v/>
      </c>
      <c r="U828">
        <f>IF(ISNUMBER(T828),'자료_거시'!$D810,"")</f>
        <v/>
      </c>
      <c r="V828">
        <f>IF(ISNUMBER(U828),IF(U828&gt;$L$6,T828,""),"")</f>
        <v/>
      </c>
      <c r="W828">
        <f>IF(AND(ISNUMBER('자료_거시'!$G810),ISNUMBER('자료_거시'!$H810)),'자료_거시'!$H810,"")</f>
        <v/>
      </c>
      <c r="X828">
        <f>IF(ISNUMBER(W828),'자료_거시'!$G810,"")</f>
        <v/>
      </c>
      <c r="Y828">
        <f>IF(ISNUMBER(X828),IF(X828&gt;$L$7,W828,""),"")</f>
        <v/>
      </c>
      <c r="Z828">
        <f>IF(ISNUMBER('자료_거시'!$K810),'자료_거시'!$K810,Z827)</f>
        <v/>
      </c>
      <c r="AA828">
        <f>IF(AND(ISNUMBER('자료_거시'!$J810),ISNUMBER('자료_거시'!$K810)),IFERROR('자료_거시'!$K810/INDEX($Z$21:$Z$4020,MATCH(EDATE('자료_거시'!$J810,-'설정'!$B$17),'자료_거시'!$J$3:INDEX('자료_거시'!$J$3:$J$4002,$K$8),1))-1,""),"")</f>
        <v/>
      </c>
      <c r="AB828">
        <f>IF(ISNUMBER(AA828),'자료_거시'!$J810,"")</f>
        <v/>
      </c>
      <c r="AC828">
        <f>IF(ISNUMBER(AB828),IF(AB828&gt;$L$8,AA828,""),"")</f>
        <v/>
      </c>
    </row>
    <row r="829">
      <c r="S829">
        <f>IF(ISNUMBER('자료_거시'!$E811),'자료_거시'!$E811,S828)</f>
        <v/>
      </c>
      <c r="T829">
        <f>IF(AND(ISNUMBER('자료_거시'!$D811),ISNUMBER('자료_거시'!$E811)),IFERROR('자료_거시'!$E811-INDEX($S$21:$S$4020,MATCH(EDATE('자료_거시'!$D811,-'설정'!$B$17),'자료_거시'!$D$3:INDEX('자료_거시'!$D$3:$D$4002,$K$6),1)),""),"")</f>
        <v/>
      </c>
      <c r="U829">
        <f>IF(ISNUMBER(T829),'자료_거시'!$D811,"")</f>
        <v/>
      </c>
      <c r="V829">
        <f>IF(ISNUMBER(U829),IF(U829&gt;$L$6,T829,""),"")</f>
        <v/>
      </c>
      <c r="W829">
        <f>IF(AND(ISNUMBER('자료_거시'!$G811),ISNUMBER('자료_거시'!$H811)),'자료_거시'!$H811,"")</f>
        <v/>
      </c>
      <c r="X829">
        <f>IF(ISNUMBER(W829),'자료_거시'!$G811,"")</f>
        <v/>
      </c>
      <c r="Y829">
        <f>IF(ISNUMBER(X829),IF(X829&gt;$L$7,W829,""),"")</f>
        <v/>
      </c>
      <c r="Z829">
        <f>IF(ISNUMBER('자료_거시'!$K811),'자료_거시'!$K811,Z828)</f>
        <v/>
      </c>
      <c r="AA829">
        <f>IF(AND(ISNUMBER('자료_거시'!$J811),ISNUMBER('자료_거시'!$K811)),IFERROR('자료_거시'!$K811/INDEX($Z$21:$Z$4020,MATCH(EDATE('자료_거시'!$J811,-'설정'!$B$17),'자료_거시'!$J$3:INDEX('자료_거시'!$J$3:$J$4002,$K$8),1))-1,""),"")</f>
        <v/>
      </c>
      <c r="AB829">
        <f>IF(ISNUMBER(AA829),'자료_거시'!$J811,"")</f>
        <v/>
      </c>
      <c r="AC829">
        <f>IF(ISNUMBER(AB829),IF(AB829&gt;$L$8,AA829,""),"")</f>
        <v/>
      </c>
    </row>
    <row r="830">
      <c r="S830">
        <f>IF(ISNUMBER('자료_거시'!$E812),'자료_거시'!$E812,S829)</f>
        <v/>
      </c>
      <c r="T830">
        <f>IF(AND(ISNUMBER('자료_거시'!$D812),ISNUMBER('자료_거시'!$E812)),IFERROR('자료_거시'!$E812-INDEX($S$21:$S$4020,MATCH(EDATE('자료_거시'!$D812,-'설정'!$B$17),'자료_거시'!$D$3:INDEX('자료_거시'!$D$3:$D$4002,$K$6),1)),""),"")</f>
        <v/>
      </c>
      <c r="U830">
        <f>IF(ISNUMBER(T830),'자료_거시'!$D812,"")</f>
        <v/>
      </c>
      <c r="V830">
        <f>IF(ISNUMBER(U830),IF(U830&gt;$L$6,T830,""),"")</f>
        <v/>
      </c>
      <c r="W830">
        <f>IF(AND(ISNUMBER('자료_거시'!$G812),ISNUMBER('자료_거시'!$H812)),'자료_거시'!$H812,"")</f>
        <v/>
      </c>
      <c r="X830">
        <f>IF(ISNUMBER(W830),'자료_거시'!$G812,"")</f>
        <v/>
      </c>
      <c r="Y830">
        <f>IF(ISNUMBER(X830),IF(X830&gt;$L$7,W830,""),"")</f>
        <v/>
      </c>
      <c r="Z830">
        <f>IF(ISNUMBER('자료_거시'!$K812),'자료_거시'!$K812,Z829)</f>
        <v/>
      </c>
      <c r="AA830">
        <f>IF(AND(ISNUMBER('자료_거시'!$J812),ISNUMBER('자료_거시'!$K812)),IFERROR('자료_거시'!$K812/INDEX($Z$21:$Z$4020,MATCH(EDATE('자료_거시'!$J812,-'설정'!$B$17),'자료_거시'!$J$3:INDEX('자료_거시'!$J$3:$J$4002,$K$8),1))-1,""),"")</f>
        <v/>
      </c>
      <c r="AB830">
        <f>IF(ISNUMBER(AA830),'자료_거시'!$J812,"")</f>
        <v/>
      </c>
      <c r="AC830">
        <f>IF(ISNUMBER(AB830),IF(AB830&gt;$L$8,AA830,""),"")</f>
        <v/>
      </c>
    </row>
    <row r="831">
      <c r="S831">
        <f>IF(ISNUMBER('자료_거시'!$E813),'자료_거시'!$E813,S830)</f>
        <v/>
      </c>
      <c r="T831">
        <f>IF(AND(ISNUMBER('자료_거시'!$D813),ISNUMBER('자료_거시'!$E813)),IFERROR('자료_거시'!$E813-INDEX($S$21:$S$4020,MATCH(EDATE('자료_거시'!$D813,-'설정'!$B$17),'자료_거시'!$D$3:INDEX('자료_거시'!$D$3:$D$4002,$K$6),1)),""),"")</f>
        <v/>
      </c>
      <c r="U831">
        <f>IF(ISNUMBER(T831),'자료_거시'!$D813,"")</f>
        <v/>
      </c>
      <c r="V831">
        <f>IF(ISNUMBER(U831),IF(U831&gt;$L$6,T831,""),"")</f>
        <v/>
      </c>
      <c r="W831">
        <f>IF(AND(ISNUMBER('자료_거시'!$G813),ISNUMBER('자료_거시'!$H813)),'자료_거시'!$H813,"")</f>
        <v/>
      </c>
      <c r="X831">
        <f>IF(ISNUMBER(W831),'자료_거시'!$G813,"")</f>
        <v/>
      </c>
      <c r="Y831">
        <f>IF(ISNUMBER(X831),IF(X831&gt;$L$7,W831,""),"")</f>
        <v/>
      </c>
      <c r="Z831">
        <f>IF(ISNUMBER('자료_거시'!$K813),'자료_거시'!$K813,Z830)</f>
        <v/>
      </c>
      <c r="AA831">
        <f>IF(AND(ISNUMBER('자료_거시'!$J813),ISNUMBER('자료_거시'!$K813)),IFERROR('자료_거시'!$K813/INDEX($Z$21:$Z$4020,MATCH(EDATE('자료_거시'!$J813,-'설정'!$B$17),'자료_거시'!$J$3:INDEX('자료_거시'!$J$3:$J$4002,$K$8),1))-1,""),"")</f>
        <v/>
      </c>
      <c r="AB831">
        <f>IF(ISNUMBER(AA831),'자료_거시'!$J813,"")</f>
        <v/>
      </c>
      <c r="AC831">
        <f>IF(ISNUMBER(AB831),IF(AB831&gt;$L$8,AA831,""),"")</f>
        <v/>
      </c>
    </row>
    <row r="832">
      <c r="S832">
        <f>IF(ISNUMBER('자료_거시'!$E814),'자료_거시'!$E814,S831)</f>
        <v/>
      </c>
      <c r="T832">
        <f>IF(AND(ISNUMBER('자료_거시'!$D814),ISNUMBER('자료_거시'!$E814)),IFERROR('자료_거시'!$E814-INDEX($S$21:$S$4020,MATCH(EDATE('자료_거시'!$D814,-'설정'!$B$17),'자료_거시'!$D$3:INDEX('자료_거시'!$D$3:$D$4002,$K$6),1)),""),"")</f>
        <v/>
      </c>
      <c r="U832">
        <f>IF(ISNUMBER(T832),'자료_거시'!$D814,"")</f>
        <v/>
      </c>
      <c r="V832">
        <f>IF(ISNUMBER(U832),IF(U832&gt;$L$6,T832,""),"")</f>
        <v/>
      </c>
      <c r="W832">
        <f>IF(AND(ISNUMBER('자료_거시'!$G814),ISNUMBER('자료_거시'!$H814)),'자료_거시'!$H814,"")</f>
        <v/>
      </c>
      <c r="X832">
        <f>IF(ISNUMBER(W832),'자료_거시'!$G814,"")</f>
        <v/>
      </c>
      <c r="Y832">
        <f>IF(ISNUMBER(X832),IF(X832&gt;$L$7,W832,""),"")</f>
        <v/>
      </c>
      <c r="Z832">
        <f>IF(ISNUMBER('자료_거시'!$K814),'자료_거시'!$K814,Z831)</f>
        <v/>
      </c>
      <c r="AA832">
        <f>IF(AND(ISNUMBER('자료_거시'!$J814),ISNUMBER('자료_거시'!$K814)),IFERROR('자료_거시'!$K814/INDEX($Z$21:$Z$4020,MATCH(EDATE('자료_거시'!$J814,-'설정'!$B$17),'자료_거시'!$J$3:INDEX('자료_거시'!$J$3:$J$4002,$K$8),1))-1,""),"")</f>
        <v/>
      </c>
      <c r="AB832">
        <f>IF(ISNUMBER(AA832),'자료_거시'!$J814,"")</f>
        <v/>
      </c>
      <c r="AC832">
        <f>IF(ISNUMBER(AB832),IF(AB832&gt;$L$8,AA832,""),"")</f>
        <v/>
      </c>
    </row>
    <row r="833">
      <c r="S833">
        <f>IF(ISNUMBER('자료_거시'!$E815),'자료_거시'!$E815,S832)</f>
        <v/>
      </c>
      <c r="T833">
        <f>IF(AND(ISNUMBER('자료_거시'!$D815),ISNUMBER('자료_거시'!$E815)),IFERROR('자료_거시'!$E815-INDEX($S$21:$S$4020,MATCH(EDATE('자료_거시'!$D815,-'설정'!$B$17),'자료_거시'!$D$3:INDEX('자료_거시'!$D$3:$D$4002,$K$6),1)),""),"")</f>
        <v/>
      </c>
      <c r="U833">
        <f>IF(ISNUMBER(T833),'자료_거시'!$D815,"")</f>
        <v/>
      </c>
      <c r="V833">
        <f>IF(ISNUMBER(U833),IF(U833&gt;$L$6,T833,""),"")</f>
        <v/>
      </c>
      <c r="W833">
        <f>IF(AND(ISNUMBER('자료_거시'!$G815),ISNUMBER('자료_거시'!$H815)),'자료_거시'!$H815,"")</f>
        <v/>
      </c>
      <c r="X833">
        <f>IF(ISNUMBER(W833),'자료_거시'!$G815,"")</f>
        <v/>
      </c>
      <c r="Y833">
        <f>IF(ISNUMBER(X833),IF(X833&gt;$L$7,W833,""),"")</f>
        <v/>
      </c>
      <c r="Z833">
        <f>IF(ISNUMBER('자료_거시'!$K815),'자료_거시'!$K815,Z832)</f>
        <v/>
      </c>
      <c r="AA833">
        <f>IF(AND(ISNUMBER('자료_거시'!$J815),ISNUMBER('자료_거시'!$K815)),IFERROR('자료_거시'!$K815/INDEX($Z$21:$Z$4020,MATCH(EDATE('자료_거시'!$J815,-'설정'!$B$17),'자료_거시'!$J$3:INDEX('자료_거시'!$J$3:$J$4002,$K$8),1))-1,""),"")</f>
        <v/>
      </c>
      <c r="AB833">
        <f>IF(ISNUMBER(AA833),'자료_거시'!$J815,"")</f>
        <v/>
      </c>
      <c r="AC833">
        <f>IF(ISNUMBER(AB833),IF(AB833&gt;$L$8,AA833,""),"")</f>
        <v/>
      </c>
    </row>
    <row r="834">
      <c r="S834">
        <f>IF(ISNUMBER('자료_거시'!$E816),'자료_거시'!$E816,S833)</f>
        <v/>
      </c>
      <c r="T834">
        <f>IF(AND(ISNUMBER('자료_거시'!$D816),ISNUMBER('자료_거시'!$E816)),IFERROR('자료_거시'!$E816-INDEX($S$21:$S$4020,MATCH(EDATE('자료_거시'!$D816,-'설정'!$B$17),'자료_거시'!$D$3:INDEX('자료_거시'!$D$3:$D$4002,$K$6),1)),""),"")</f>
        <v/>
      </c>
      <c r="U834">
        <f>IF(ISNUMBER(T834),'자료_거시'!$D816,"")</f>
        <v/>
      </c>
      <c r="V834">
        <f>IF(ISNUMBER(U834),IF(U834&gt;$L$6,T834,""),"")</f>
        <v/>
      </c>
      <c r="W834">
        <f>IF(AND(ISNUMBER('자료_거시'!$G816),ISNUMBER('자료_거시'!$H816)),'자료_거시'!$H816,"")</f>
        <v/>
      </c>
      <c r="X834">
        <f>IF(ISNUMBER(W834),'자료_거시'!$G816,"")</f>
        <v/>
      </c>
      <c r="Y834">
        <f>IF(ISNUMBER(X834),IF(X834&gt;$L$7,W834,""),"")</f>
        <v/>
      </c>
      <c r="Z834">
        <f>IF(ISNUMBER('자료_거시'!$K816),'자료_거시'!$K816,Z833)</f>
        <v/>
      </c>
      <c r="AA834">
        <f>IF(AND(ISNUMBER('자료_거시'!$J816),ISNUMBER('자료_거시'!$K816)),IFERROR('자료_거시'!$K816/INDEX($Z$21:$Z$4020,MATCH(EDATE('자료_거시'!$J816,-'설정'!$B$17),'자료_거시'!$J$3:INDEX('자료_거시'!$J$3:$J$4002,$K$8),1))-1,""),"")</f>
        <v/>
      </c>
      <c r="AB834">
        <f>IF(ISNUMBER(AA834),'자료_거시'!$J816,"")</f>
        <v/>
      </c>
      <c r="AC834">
        <f>IF(ISNUMBER(AB834),IF(AB834&gt;$L$8,AA834,""),"")</f>
        <v/>
      </c>
    </row>
    <row r="835">
      <c r="S835">
        <f>IF(ISNUMBER('자료_거시'!$E817),'자료_거시'!$E817,S834)</f>
        <v/>
      </c>
      <c r="T835">
        <f>IF(AND(ISNUMBER('자료_거시'!$D817),ISNUMBER('자료_거시'!$E817)),IFERROR('자료_거시'!$E817-INDEX($S$21:$S$4020,MATCH(EDATE('자료_거시'!$D817,-'설정'!$B$17),'자료_거시'!$D$3:INDEX('자료_거시'!$D$3:$D$4002,$K$6),1)),""),"")</f>
        <v/>
      </c>
      <c r="U835">
        <f>IF(ISNUMBER(T835),'자료_거시'!$D817,"")</f>
        <v/>
      </c>
      <c r="V835">
        <f>IF(ISNUMBER(U835),IF(U835&gt;$L$6,T835,""),"")</f>
        <v/>
      </c>
      <c r="W835">
        <f>IF(AND(ISNUMBER('자료_거시'!$G817),ISNUMBER('자료_거시'!$H817)),'자료_거시'!$H817,"")</f>
        <v/>
      </c>
      <c r="X835">
        <f>IF(ISNUMBER(W835),'자료_거시'!$G817,"")</f>
        <v/>
      </c>
      <c r="Y835">
        <f>IF(ISNUMBER(X835),IF(X835&gt;$L$7,W835,""),"")</f>
        <v/>
      </c>
      <c r="Z835">
        <f>IF(ISNUMBER('자료_거시'!$K817),'자료_거시'!$K817,Z834)</f>
        <v/>
      </c>
      <c r="AA835">
        <f>IF(AND(ISNUMBER('자료_거시'!$J817),ISNUMBER('자료_거시'!$K817)),IFERROR('자료_거시'!$K817/INDEX($Z$21:$Z$4020,MATCH(EDATE('자료_거시'!$J817,-'설정'!$B$17),'자료_거시'!$J$3:INDEX('자료_거시'!$J$3:$J$4002,$K$8),1))-1,""),"")</f>
        <v/>
      </c>
      <c r="AB835">
        <f>IF(ISNUMBER(AA835),'자료_거시'!$J817,"")</f>
        <v/>
      </c>
      <c r="AC835">
        <f>IF(ISNUMBER(AB835),IF(AB835&gt;$L$8,AA835,""),"")</f>
        <v/>
      </c>
    </row>
    <row r="836">
      <c r="S836">
        <f>IF(ISNUMBER('자료_거시'!$E818),'자료_거시'!$E818,S835)</f>
        <v/>
      </c>
      <c r="T836">
        <f>IF(AND(ISNUMBER('자료_거시'!$D818),ISNUMBER('자료_거시'!$E818)),IFERROR('자료_거시'!$E818-INDEX($S$21:$S$4020,MATCH(EDATE('자료_거시'!$D818,-'설정'!$B$17),'자료_거시'!$D$3:INDEX('자료_거시'!$D$3:$D$4002,$K$6),1)),""),"")</f>
        <v/>
      </c>
      <c r="U836">
        <f>IF(ISNUMBER(T836),'자료_거시'!$D818,"")</f>
        <v/>
      </c>
      <c r="V836">
        <f>IF(ISNUMBER(U836),IF(U836&gt;$L$6,T836,""),"")</f>
        <v/>
      </c>
      <c r="W836">
        <f>IF(AND(ISNUMBER('자료_거시'!$G818),ISNUMBER('자료_거시'!$H818)),'자료_거시'!$H818,"")</f>
        <v/>
      </c>
      <c r="X836">
        <f>IF(ISNUMBER(W836),'자료_거시'!$G818,"")</f>
        <v/>
      </c>
      <c r="Y836">
        <f>IF(ISNUMBER(X836),IF(X836&gt;$L$7,W836,""),"")</f>
        <v/>
      </c>
      <c r="Z836">
        <f>IF(ISNUMBER('자료_거시'!$K818),'자료_거시'!$K818,Z835)</f>
        <v/>
      </c>
      <c r="AA836">
        <f>IF(AND(ISNUMBER('자료_거시'!$J818),ISNUMBER('자료_거시'!$K818)),IFERROR('자료_거시'!$K818/INDEX($Z$21:$Z$4020,MATCH(EDATE('자료_거시'!$J818,-'설정'!$B$17),'자료_거시'!$J$3:INDEX('자료_거시'!$J$3:$J$4002,$K$8),1))-1,""),"")</f>
        <v/>
      </c>
      <c r="AB836">
        <f>IF(ISNUMBER(AA836),'자료_거시'!$J818,"")</f>
        <v/>
      </c>
      <c r="AC836">
        <f>IF(ISNUMBER(AB836),IF(AB836&gt;$L$8,AA836,""),"")</f>
        <v/>
      </c>
    </row>
    <row r="837">
      <c r="S837">
        <f>IF(ISNUMBER('자료_거시'!$E819),'자료_거시'!$E819,S836)</f>
        <v/>
      </c>
      <c r="T837">
        <f>IF(AND(ISNUMBER('자료_거시'!$D819),ISNUMBER('자료_거시'!$E819)),IFERROR('자료_거시'!$E819-INDEX($S$21:$S$4020,MATCH(EDATE('자료_거시'!$D819,-'설정'!$B$17),'자료_거시'!$D$3:INDEX('자료_거시'!$D$3:$D$4002,$K$6),1)),""),"")</f>
        <v/>
      </c>
      <c r="U837">
        <f>IF(ISNUMBER(T837),'자료_거시'!$D819,"")</f>
        <v/>
      </c>
      <c r="V837">
        <f>IF(ISNUMBER(U837),IF(U837&gt;$L$6,T837,""),"")</f>
        <v/>
      </c>
      <c r="W837">
        <f>IF(AND(ISNUMBER('자료_거시'!$G819),ISNUMBER('자료_거시'!$H819)),'자료_거시'!$H819,"")</f>
        <v/>
      </c>
      <c r="X837">
        <f>IF(ISNUMBER(W837),'자료_거시'!$G819,"")</f>
        <v/>
      </c>
      <c r="Y837">
        <f>IF(ISNUMBER(X837),IF(X837&gt;$L$7,W837,""),"")</f>
        <v/>
      </c>
      <c r="Z837">
        <f>IF(ISNUMBER('자료_거시'!$K819),'자료_거시'!$K819,Z836)</f>
        <v/>
      </c>
      <c r="AA837">
        <f>IF(AND(ISNUMBER('자료_거시'!$J819),ISNUMBER('자료_거시'!$K819)),IFERROR('자료_거시'!$K819/INDEX($Z$21:$Z$4020,MATCH(EDATE('자료_거시'!$J819,-'설정'!$B$17),'자료_거시'!$J$3:INDEX('자료_거시'!$J$3:$J$4002,$K$8),1))-1,""),"")</f>
        <v/>
      </c>
      <c r="AB837">
        <f>IF(ISNUMBER(AA837),'자료_거시'!$J819,"")</f>
        <v/>
      </c>
      <c r="AC837">
        <f>IF(ISNUMBER(AB837),IF(AB837&gt;$L$8,AA837,""),"")</f>
        <v/>
      </c>
    </row>
    <row r="838">
      <c r="S838">
        <f>IF(ISNUMBER('자료_거시'!$E820),'자료_거시'!$E820,S837)</f>
        <v/>
      </c>
      <c r="T838">
        <f>IF(AND(ISNUMBER('자료_거시'!$D820),ISNUMBER('자료_거시'!$E820)),IFERROR('자료_거시'!$E820-INDEX($S$21:$S$4020,MATCH(EDATE('자료_거시'!$D820,-'설정'!$B$17),'자료_거시'!$D$3:INDEX('자료_거시'!$D$3:$D$4002,$K$6),1)),""),"")</f>
        <v/>
      </c>
      <c r="U838">
        <f>IF(ISNUMBER(T838),'자료_거시'!$D820,"")</f>
        <v/>
      </c>
      <c r="V838">
        <f>IF(ISNUMBER(U838),IF(U838&gt;$L$6,T838,""),"")</f>
        <v/>
      </c>
      <c r="W838">
        <f>IF(AND(ISNUMBER('자료_거시'!$G820),ISNUMBER('자료_거시'!$H820)),'자료_거시'!$H820,"")</f>
        <v/>
      </c>
      <c r="X838">
        <f>IF(ISNUMBER(W838),'자료_거시'!$G820,"")</f>
        <v/>
      </c>
      <c r="Y838">
        <f>IF(ISNUMBER(X838),IF(X838&gt;$L$7,W838,""),"")</f>
        <v/>
      </c>
      <c r="Z838">
        <f>IF(ISNUMBER('자료_거시'!$K820),'자료_거시'!$K820,Z837)</f>
        <v/>
      </c>
      <c r="AA838">
        <f>IF(AND(ISNUMBER('자료_거시'!$J820),ISNUMBER('자료_거시'!$K820)),IFERROR('자료_거시'!$K820/INDEX($Z$21:$Z$4020,MATCH(EDATE('자료_거시'!$J820,-'설정'!$B$17),'자료_거시'!$J$3:INDEX('자료_거시'!$J$3:$J$4002,$K$8),1))-1,""),"")</f>
        <v/>
      </c>
      <c r="AB838">
        <f>IF(ISNUMBER(AA838),'자료_거시'!$J820,"")</f>
        <v/>
      </c>
      <c r="AC838">
        <f>IF(ISNUMBER(AB838),IF(AB838&gt;$L$8,AA838,""),"")</f>
        <v/>
      </c>
    </row>
    <row r="839">
      <c r="S839">
        <f>IF(ISNUMBER('자료_거시'!$E821),'자료_거시'!$E821,S838)</f>
        <v/>
      </c>
      <c r="T839">
        <f>IF(AND(ISNUMBER('자료_거시'!$D821),ISNUMBER('자료_거시'!$E821)),IFERROR('자료_거시'!$E821-INDEX($S$21:$S$4020,MATCH(EDATE('자료_거시'!$D821,-'설정'!$B$17),'자료_거시'!$D$3:INDEX('자료_거시'!$D$3:$D$4002,$K$6),1)),""),"")</f>
        <v/>
      </c>
      <c r="U839">
        <f>IF(ISNUMBER(T839),'자료_거시'!$D821,"")</f>
        <v/>
      </c>
      <c r="V839">
        <f>IF(ISNUMBER(U839),IF(U839&gt;$L$6,T839,""),"")</f>
        <v/>
      </c>
      <c r="W839">
        <f>IF(AND(ISNUMBER('자료_거시'!$G821),ISNUMBER('자료_거시'!$H821)),'자료_거시'!$H821,"")</f>
        <v/>
      </c>
      <c r="X839">
        <f>IF(ISNUMBER(W839),'자료_거시'!$G821,"")</f>
        <v/>
      </c>
      <c r="Y839">
        <f>IF(ISNUMBER(X839),IF(X839&gt;$L$7,W839,""),"")</f>
        <v/>
      </c>
      <c r="Z839">
        <f>IF(ISNUMBER('자료_거시'!$K821),'자료_거시'!$K821,Z838)</f>
        <v/>
      </c>
      <c r="AA839">
        <f>IF(AND(ISNUMBER('자료_거시'!$J821),ISNUMBER('자료_거시'!$K821)),IFERROR('자료_거시'!$K821/INDEX($Z$21:$Z$4020,MATCH(EDATE('자료_거시'!$J821,-'설정'!$B$17),'자료_거시'!$J$3:INDEX('자료_거시'!$J$3:$J$4002,$K$8),1))-1,""),"")</f>
        <v/>
      </c>
      <c r="AB839">
        <f>IF(ISNUMBER(AA839),'자료_거시'!$J821,"")</f>
        <v/>
      </c>
      <c r="AC839">
        <f>IF(ISNUMBER(AB839),IF(AB839&gt;$L$8,AA839,""),"")</f>
        <v/>
      </c>
    </row>
    <row r="840">
      <c r="S840">
        <f>IF(ISNUMBER('자료_거시'!$E822),'자료_거시'!$E822,S839)</f>
        <v/>
      </c>
      <c r="T840">
        <f>IF(AND(ISNUMBER('자료_거시'!$D822),ISNUMBER('자료_거시'!$E822)),IFERROR('자료_거시'!$E822-INDEX($S$21:$S$4020,MATCH(EDATE('자료_거시'!$D822,-'설정'!$B$17),'자료_거시'!$D$3:INDEX('자료_거시'!$D$3:$D$4002,$K$6),1)),""),"")</f>
        <v/>
      </c>
      <c r="U840">
        <f>IF(ISNUMBER(T840),'자료_거시'!$D822,"")</f>
        <v/>
      </c>
      <c r="V840">
        <f>IF(ISNUMBER(U840),IF(U840&gt;$L$6,T840,""),"")</f>
        <v/>
      </c>
      <c r="W840">
        <f>IF(AND(ISNUMBER('자료_거시'!$G822),ISNUMBER('자료_거시'!$H822)),'자료_거시'!$H822,"")</f>
        <v/>
      </c>
      <c r="X840">
        <f>IF(ISNUMBER(W840),'자료_거시'!$G822,"")</f>
        <v/>
      </c>
      <c r="Y840">
        <f>IF(ISNUMBER(X840),IF(X840&gt;$L$7,W840,""),"")</f>
        <v/>
      </c>
      <c r="Z840">
        <f>IF(ISNUMBER('자료_거시'!$K822),'자료_거시'!$K822,Z839)</f>
        <v/>
      </c>
      <c r="AA840">
        <f>IF(AND(ISNUMBER('자료_거시'!$J822),ISNUMBER('자료_거시'!$K822)),IFERROR('자료_거시'!$K822/INDEX($Z$21:$Z$4020,MATCH(EDATE('자료_거시'!$J822,-'설정'!$B$17),'자료_거시'!$J$3:INDEX('자료_거시'!$J$3:$J$4002,$K$8),1))-1,""),"")</f>
        <v/>
      </c>
      <c r="AB840">
        <f>IF(ISNUMBER(AA840),'자료_거시'!$J822,"")</f>
        <v/>
      </c>
      <c r="AC840">
        <f>IF(ISNUMBER(AB840),IF(AB840&gt;$L$8,AA840,""),"")</f>
        <v/>
      </c>
    </row>
    <row r="841">
      <c r="S841">
        <f>IF(ISNUMBER('자료_거시'!$E823),'자료_거시'!$E823,S840)</f>
        <v/>
      </c>
      <c r="T841">
        <f>IF(AND(ISNUMBER('자료_거시'!$D823),ISNUMBER('자료_거시'!$E823)),IFERROR('자료_거시'!$E823-INDEX($S$21:$S$4020,MATCH(EDATE('자료_거시'!$D823,-'설정'!$B$17),'자료_거시'!$D$3:INDEX('자료_거시'!$D$3:$D$4002,$K$6),1)),""),"")</f>
        <v/>
      </c>
      <c r="U841">
        <f>IF(ISNUMBER(T841),'자료_거시'!$D823,"")</f>
        <v/>
      </c>
      <c r="V841">
        <f>IF(ISNUMBER(U841),IF(U841&gt;$L$6,T841,""),"")</f>
        <v/>
      </c>
      <c r="W841">
        <f>IF(AND(ISNUMBER('자료_거시'!$G823),ISNUMBER('자료_거시'!$H823)),'자료_거시'!$H823,"")</f>
        <v/>
      </c>
      <c r="X841">
        <f>IF(ISNUMBER(W841),'자료_거시'!$G823,"")</f>
        <v/>
      </c>
      <c r="Y841">
        <f>IF(ISNUMBER(X841),IF(X841&gt;$L$7,W841,""),"")</f>
        <v/>
      </c>
      <c r="Z841">
        <f>IF(ISNUMBER('자료_거시'!$K823),'자료_거시'!$K823,Z840)</f>
        <v/>
      </c>
      <c r="AA841">
        <f>IF(AND(ISNUMBER('자료_거시'!$J823),ISNUMBER('자료_거시'!$K823)),IFERROR('자료_거시'!$K823/INDEX($Z$21:$Z$4020,MATCH(EDATE('자료_거시'!$J823,-'설정'!$B$17),'자료_거시'!$J$3:INDEX('자료_거시'!$J$3:$J$4002,$K$8),1))-1,""),"")</f>
        <v/>
      </c>
      <c r="AB841">
        <f>IF(ISNUMBER(AA841),'자료_거시'!$J823,"")</f>
        <v/>
      </c>
      <c r="AC841">
        <f>IF(ISNUMBER(AB841),IF(AB841&gt;$L$8,AA841,""),"")</f>
        <v/>
      </c>
    </row>
    <row r="842">
      <c r="S842">
        <f>IF(ISNUMBER('자료_거시'!$E824),'자료_거시'!$E824,S841)</f>
        <v/>
      </c>
      <c r="T842">
        <f>IF(AND(ISNUMBER('자료_거시'!$D824),ISNUMBER('자료_거시'!$E824)),IFERROR('자료_거시'!$E824-INDEX($S$21:$S$4020,MATCH(EDATE('자료_거시'!$D824,-'설정'!$B$17),'자료_거시'!$D$3:INDEX('자료_거시'!$D$3:$D$4002,$K$6),1)),""),"")</f>
        <v/>
      </c>
      <c r="U842">
        <f>IF(ISNUMBER(T842),'자료_거시'!$D824,"")</f>
        <v/>
      </c>
      <c r="V842">
        <f>IF(ISNUMBER(U842),IF(U842&gt;$L$6,T842,""),"")</f>
        <v/>
      </c>
      <c r="W842">
        <f>IF(AND(ISNUMBER('자료_거시'!$G824),ISNUMBER('자료_거시'!$H824)),'자료_거시'!$H824,"")</f>
        <v/>
      </c>
      <c r="X842">
        <f>IF(ISNUMBER(W842),'자료_거시'!$G824,"")</f>
        <v/>
      </c>
      <c r="Y842">
        <f>IF(ISNUMBER(X842),IF(X842&gt;$L$7,W842,""),"")</f>
        <v/>
      </c>
      <c r="Z842">
        <f>IF(ISNUMBER('자료_거시'!$K824),'자료_거시'!$K824,Z841)</f>
        <v/>
      </c>
      <c r="AA842">
        <f>IF(AND(ISNUMBER('자료_거시'!$J824),ISNUMBER('자료_거시'!$K824)),IFERROR('자료_거시'!$K824/INDEX($Z$21:$Z$4020,MATCH(EDATE('자료_거시'!$J824,-'설정'!$B$17),'자료_거시'!$J$3:INDEX('자료_거시'!$J$3:$J$4002,$K$8),1))-1,""),"")</f>
        <v/>
      </c>
      <c r="AB842">
        <f>IF(ISNUMBER(AA842),'자료_거시'!$J824,"")</f>
        <v/>
      </c>
      <c r="AC842">
        <f>IF(ISNUMBER(AB842),IF(AB842&gt;$L$8,AA842,""),"")</f>
        <v/>
      </c>
    </row>
    <row r="843">
      <c r="S843">
        <f>IF(ISNUMBER('자료_거시'!$E825),'자료_거시'!$E825,S842)</f>
        <v/>
      </c>
      <c r="T843">
        <f>IF(AND(ISNUMBER('자료_거시'!$D825),ISNUMBER('자료_거시'!$E825)),IFERROR('자료_거시'!$E825-INDEX($S$21:$S$4020,MATCH(EDATE('자료_거시'!$D825,-'설정'!$B$17),'자료_거시'!$D$3:INDEX('자료_거시'!$D$3:$D$4002,$K$6),1)),""),"")</f>
        <v/>
      </c>
      <c r="U843">
        <f>IF(ISNUMBER(T843),'자료_거시'!$D825,"")</f>
        <v/>
      </c>
      <c r="V843">
        <f>IF(ISNUMBER(U843),IF(U843&gt;$L$6,T843,""),"")</f>
        <v/>
      </c>
      <c r="W843">
        <f>IF(AND(ISNUMBER('자료_거시'!$G825),ISNUMBER('자료_거시'!$H825)),'자료_거시'!$H825,"")</f>
        <v/>
      </c>
      <c r="X843">
        <f>IF(ISNUMBER(W843),'자료_거시'!$G825,"")</f>
        <v/>
      </c>
      <c r="Y843">
        <f>IF(ISNUMBER(X843),IF(X843&gt;$L$7,W843,""),"")</f>
        <v/>
      </c>
      <c r="Z843">
        <f>IF(ISNUMBER('자료_거시'!$K825),'자료_거시'!$K825,Z842)</f>
        <v/>
      </c>
      <c r="AA843">
        <f>IF(AND(ISNUMBER('자료_거시'!$J825),ISNUMBER('자료_거시'!$K825)),IFERROR('자료_거시'!$K825/INDEX($Z$21:$Z$4020,MATCH(EDATE('자료_거시'!$J825,-'설정'!$B$17),'자료_거시'!$J$3:INDEX('자료_거시'!$J$3:$J$4002,$K$8),1))-1,""),"")</f>
        <v/>
      </c>
      <c r="AB843">
        <f>IF(ISNUMBER(AA843),'자료_거시'!$J825,"")</f>
        <v/>
      </c>
      <c r="AC843">
        <f>IF(ISNUMBER(AB843),IF(AB843&gt;$L$8,AA843,""),"")</f>
        <v/>
      </c>
    </row>
    <row r="844">
      <c r="S844">
        <f>IF(ISNUMBER('자료_거시'!$E826),'자료_거시'!$E826,S843)</f>
        <v/>
      </c>
      <c r="T844">
        <f>IF(AND(ISNUMBER('자료_거시'!$D826),ISNUMBER('자료_거시'!$E826)),IFERROR('자료_거시'!$E826-INDEX($S$21:$S$4020,MATCH(EDATE('자료_거시'!$D826,-'설정'!$B$17),'자료_거시'!$D$3:INDEX('자료_거시'!$D$3:$D$4002,$K$6),1)),""),"")</f>
        <v/>
      </c>
      <c r="U844">
        <f>IF(ISNUMBER(T844),'자료_거시'!$D826,"")</f>
        <v/>
      </c>
      <c r="V844">
        <f>IF(ISNUMBER(U844),IF(U844&gt;$L$6,T844,""),"")</f>
        <v/>
      </c>
      <c r="W844">
        <f>IF(AND(ISNUMBER('자료_거시'!$G826),ISNUMBER('자료_거시'!$H826)),'자료_거시'!$H826,"")</f>
        <v/>
      </c>
      <c r="X844">
        <f>IF(ISNUMBER(W844),'자료_거시'!$G826,"")</f>
        <v/>
      </c>
      <c r="Y844">
        <f>IF(ISNUMBER(X844),IF(X844&gt;$L$7,W844,""),"")</f>
        <v/>
      </c>
      <c r="Z844">
        <f>IF(ISNUMBER('자료_거시'!$K826),'자료_거시'!$K826,Z843)</f>
        <v/>
      </c>
      <c r="AA844">
        <f>IF(AND(ISNUMBER('자료_거시'!$J826),ISNUMBER('자료_거시'!$K826)),IFERROR('자료_거시'!$K826/INDEX($Z$21:$Z$4020,MATCH(EDATE('자료_거시'!$J826,-'설정'!$B$17),'자료_거시'!$J$3:INDEX('자료_거시'!$J$3:$J$4002,$K$8),1))-1,""),"")</f>
        <v/>
      </c>
      <c r="AB844">
        <f>IF(ISNUMBER(AA844),'자료_거시'!$J826,"")</f>
        <v/>
      </c>
      <c r="AC844">
        <f>IF(ISNUMBER(AB844),IF(AB844&gt;$L$8,AA844,""),"")</f>
        <v/>
      </c>
    </row>
    <row r="845">
      <c r="S845">
        <f>IF(ISNUMBER('자료_거시'!$E827),'자료_거시'!$E827,S844)</f>
        <v/>
      </c>
      <c r="T845">
        <f>IF(AND(ISNUMBER('자료_거시'!$D827),ISNUMBER('자료_거시'!$E827)),IFERROR('자료_거시'!$E827-INDEX($S$21:$S$4020,MATCH(EDATE('자료_거시'!$D827,-'설정'!$B$17),'자료_거시'!$D$3:INDEX('자료_거시'!$D$3:$D$4002,$K$6),1)),""),"")</f>
        <v/>
      </c>
      <c r="U845">
        <f>IF(ISNUMBER(T845),'자료_거시'!$D827,"")</f>
        <v/>
      </c>
      <c r="V845">
        <f>IF(ISNUMBER(U845),IF(U845&gt;$L$6,T845,""),"")</f>
        <v/>
      </c>
      <c r="W845">
        <f>IF(AND(ISNUMBER('자료_거시'!$G827),ISNUMBER('자료_거시'!$H827)),'자료_거시'!$H827,"")</f>
        <v/>
      </c>
      <c r="X845">
        <f>IF(ISNUMBER(W845),'자료_거시'!$G827,"")</f>
        <v/>
      </c>
      <c r="Y845">
        <f>IF(ISNUMBER(X845),IF(X845&gt;$L$7,W845,""),"")</f>
        <v/>
      </c>
      <c r="Z845">
        <f>IF(ISNUMBER('자료_거시'!$K827),'자료_거시'!$K827,Z844)</f>
        <v/>
      </c>
      <c r="AA845">
        <f>IF(AND(ISNUMBER('자료_거시'!$J827),ISNUMBER('자료_거시'!$K827)),IFERROR('자료_거시'!$K827/INDEX($Z$21:$Z$4020,MATCH(EDATE('자료_거시'!$J827,-'설정'!$B$17),'자료_거시'!$J$3:INDEX('자료_거시'!$J$3:$J$4002,$K$8),1))-1,""),"")</f>
        <v/>
      </c>
      <c r="AB845">
        <f>IF(ISNUMBER(AA845),'자료_거시'!$J827,"")</f>
        <v/>
      </c>
      <c r="AC845">
        <f>IF(ISNUMBER(AB845),IF(AB845&gt;$L$8,AA845,""),"")</f>
        <v/>
      </c>
    </row>
    <row r="846">
      <c r="S846">
        <f>IF(ISNUMBER('자료_거시'!$E828),'자료_거시'!$E828,S845)</f>
        <v/>
      </c>
      <c r="T846">
        <f>IF(AND(ISNUMBER('자료_거시'!$D828),ISNUMBER('자료_거시'!$E828)),IFERROR('자료_거시'!$E828-INDEX($S$21:$S$4020,MATCH(EDATE('자료_거시'!$D828,-'설정'!$B$17),'자료_거시'!$D$3:INDEX('자료_거시'!$D$3:$D$4002,$K$6),1)),""),"")</f>
        <v/>
      </c>
      <c r="U846">
        <f>IF(ISNUMBER(T846),'자료_거시'!$D828,"")</f>
        <v/>
      </c>
      <c r="V846">
        <f>IF(ISNUMBER(U846),IF(U846&gt;$L$6,T846,""),"")</f>
        <v/>
      </c>
      <c r="W846">
        <f>IF(AND(ISNUMBER('자료_거시'!$G828),ISNUMBER('자료_거시'!$H828)),'자료_거시'!$H828,"")</f>
        <v/>
      </c>
      <c r="X846">
        <f>IF(ISNUMBER(W846),'자료_거시'!$G828,"")</f>
        <v/>
      </c>
      <c r="Y846">
        <f>IF(ISNUMBER(X846),IF(X846&gt;$L$7,W846,""),"")</f>
        <v/>
      </c>
      <c r="Z846">
        <f>IF(ISNUMBER('자료_거시'!$K828),'자료_거시'!$K828,Z845)</f>
        <v/>
      </c>
      <c r="AA846">
        <f>IF(AND(ISNUMBER('자료_거시'!$J828),ISNUMBER('자료_거시'!$K828)),IFERROR('자료_거시'!$K828/INDEX($Z$21:$Z$4020,MATCH(EDATE('자료_거시'!$J828,-'설정'!$B$17),'자료_거시'!$J$3:INDEX('자료_거시'!$J$3:$J$4002,$K$8),1))-1,""),"")</f>
        <v/>
      </c>
      <c r="AB846">
        <f>IF(ISNUMBER(AA846),'자료_거시'!$J828,"")</f>
        <v/>
      </c>
      <c r="AC846">
        <f>IF(ISNUMBER(AB846),IF(AB846&gt;$L$8,AA846,""),"")</f>
        <v/>
      </c>
    </row>
    <row r="847">
      <c r="S847">
        <f>IF(ISNUMBER('자료_거시'!$E829),'자료_거시'!$E829,S846)</f>
        <v/>
      </c>
      <c r="T847">
        <f>IF(AND(ISNUMBER('자료_거시'!$D829),ISNUMBER('자료_거시'!$E829)),IFERROR('자료_거시'!$E829-INDEX($S$21:$S$4020,MATCH(EDATE('자료_거시'!$D829,-'설정'!$B$17),'자료_거시'!$D$3:INDEX('자료_거시'!$D$3:$D$4002,$K$6),1)),""),"")</f>
        <v/>
      </c>
      <c r="U847">
        <f>IF(ISNUMBER(T847),'자료_거시'!$D829,"")</f>
        <v/>
      </c>
      <c r="V847">
        <f>IF(ISNUMBER(U847),IF(U847&gt;$L$6,T847,""),"")</f>
        <v/>
      </c>
      <c r="W847">
        <f>IF(AND(ISNUMBER('자료_거시'!$G829),ISNUMBER('자료_거시'!$H829)),'자료_거시'!$H829,"")</f>
        <v/>
      </c>
      <c r="X847">
        <f>IF(ISNUMBER(W847),'자료_거시'!$G829,"")</f>
        <v/>
      </c>
      <c r="Y847">
        <f>IF(ISNUMBER(X847),IF(X847&gt;$L$7,W847,""),"")</f>
        <v/>
      </c>
      <c r="Z847">
        <f>IF(ISNUMBER('자료_거시'!$K829),'자료_거시'!$K829,Z846)</f>
        <v/>
      </c>
      <c r="AA847">
        <f>IF(AND(ISNUMBER('자료_거시'!$J829),ISNUMBER('자료_거시'!$K829)),IFERROR('자료_거시'!$K829/INDEX($Z$21:$Z$4020,MATCH(EDATE('자료_거시'!$J829,-'설정'!$B$17),'자료_거시'!$J$3:INDEX('자료_거시'!$J$3:$J$4002,$K$8),1))-1,""),"")</f>
        <v/>
      </c>
      <c r="AB847">
        <f>IF(ISNUMBER(AA847),'자료_거시'!$J829,"")</f>
        <v/>
      </c>
      <c r="AC847">
        <f>IF(ISNUMBER(AB847),IF(AB847&gt;$L$8,AA847,""),"")</f>
        <v/>
      </c>
    </row>
    <row r="848">
      <c r="S848">
        <f>IF(ISNUMBER('자료_거시'!$E830),'자료_거시'!$E830,S847)</f>
        <v/>
      </c>
      <c r="T848">
        <f>IF(AND(ISNUMBER('자료_거시'!$D830),ISNUMBER('자료_거시'!$E830)),IFERROR('자료_거시'!$E830-INDEX($S$21:$S$4020,MATCH(EDATE('자료_거시'!$D830,-'설정'!$B$17),'자료_거시'!$D$3:INDEX('자료_거시'!$D$3:$D$4002,$K$6),1)),""),"")</f>
        <v/>
      </c>
      <c r="U848">
        <f>IF(ISNUMBER(T848),'자료_거시'!$D830,"")</f>
        <v/>
      </c>
      <c r="V848">
        <f>IF(ISNUMBER(U848),IF(U848&gt;$L$6,T848,""),"")</f>
        <v/>
      </c>
      <c r="W848">
        <f>IF(AND(ISNUMBER('자료_거시'!$G830),ISNUMBER('자료_거시'!$H830)),'자료_거시'!$H830,"")</f>
        <v/>
      </c>
      <c r="X848">
        <f>IF(ISNUMBER(W848),'자료_거시'!$G830,"")</f>
        <v/>
      </c>
      <c r="Y848">
        <f>IF(ISNUMBER(X848),IF(X848&gt;$L$7,W848,""),"")</f>
        <v/>
      </c>
      <c r="Z848">
        <f>IF(ISNUMBER('자료_거시'!$K830),'자료_거시'!$K830,Z847)</f>
        <v/>
      </c>
      <c r="AA848">
        <f>IF(AND(ISNUMBER('자료_거시'!$J830),ISNUMBER('자료_거시'!$K830)),IFERROR('자료_거시'!$K830/INDEX($Z$21:$Z$4020,MATCH(EDATE('자료_거시'!$J830,-'설정'!$B$17),'자료_거시'!$J$3:INDEX('자료_거시'!$J$3:$J$4002,$K$8),1))-1,""),"")</f>
        <v/>
      </c>
      <c r="AB848">
        <f>IF(ISNUMBER(AA848),'자료_거시'!$J830,"")</f>
        <v/>
      </c>
      <c r="AC848">
        <f>IF(ISNUMBER(AB848),IF(AB848&gt;$L$8,AA848,""),"")</f>
        <v/>
      </c>
    </row>
    <row r="849">
      <c r="S849">
        <f>IF(ISNUMBER('자료_거시'!$E831),'자료_거시'!$E831,S848)</f>
        <v/>
      </c>
      <c r="T849">
        <f>IF(AND(ISNUMBER('자료_거시'!$D831),ISNUMBER('자료_거시'!$E831)),IFERROR('자료_거시'!$E831-INDEX($S$21:$S$4020,MATCH(EDATE('자료_거시'!$D831,-'설정'!$B$17),'자료_거시'!$D$3:INDEX('자료_거시'!$D$3:$D$4002,$K$6),1)),""),"")</f>
        <v/>
      </c>
      <c r="U849">
        <f>IF(ISNUMBER(T849),'자료_거시'!$D831,"")</f>
        <v/>
      </c>
      <c r="V849">
        <f>IF(ISNUMBER(U849),IF(U849&gt;$L$6,T849,""),"")</f>
        <v/>
      </c>
      <c r="W849">
        <f>IF(AND(ISNUMBER('자료_거시'!$G831),ISNUMBER('자료_거시'!$H831)),'자료_거시'!$H831,"")</f>
        <v/>
      </c>
      <c r="X849">
        <f>IF(ISNUMBER(W849),'자료_거시'!$G831,"")</f>
        <v/>
      </c>
      <c r="Y849">
        <f>IF(ISNUMBER(X849),IF(X849&gt;$L$7,W849,""),"")</f>
        <v/>
      </c>
      <c r="Z849">
        <f>IF(ISNUMBER('자료_거시'!$K831),'자료_거시'!$K831,Z848)</f>
        <v/>
      </c>
      <c r="AA849">
        <f>IF(AND(ISNUMBER('자료_거시'!$J831),ISNUMBER('자료_거시'!$K831)),IFERROR('자료_거시'!$K831/INDEX($Z$21:$Z$4020,MATCH(EDATE('자료_거시'!$J831,-'설정'!$B$17),'자료_거시'!$J$3:INDEX('자료_거시'!$J$3:$J$4002,$K$8),1))-1,""),"")</f>
        <v/>
      </c>
      <c r="AB849">
        <f>IF(ISNUMBER(AA849),'자료_거시'!$J831,"")</f>
        <v/>
      </c>
      <c r="AC849">
        <f>IF(ISNUMBER(AB849),IF(AB849&gt;$L$8,AA849,""),"")</f>
        <v/>
      </c>
    </row>
    <row r="850">
      <c r="S850">
        <f>IF(ISNUMBER('자료_거시'!$E832),'자료_거시'!$E832,S849)</f>
        <v/>
      </c>
      <c r="T850">
        <f>IF(AND(ISNUMBER('자료_거시'!$D832),ISNUMBER('자료_거시'!$E832)),IFERROR('자료_거시'!$E832-INDEX($S$21:$S$4020,MATCH(EDATE('자료_거시'!$D832,-'설정'!$B$17),'자료_거시'!$D$3:INDEX('자료_거시'!$D$3:$D$4002,$K$6),1)),""),"")</f>
        <v/>
      </c>
      <c r="U850">
        <f>IF(ISNUMBER(T850),'자료_거시'!$D832,"")</f>
        <v/>
      </c>
      <c r="V850">
        <f>IF(ISNUMBER(U850),IF(U850&gt;$L$6,T850,""),"")</f>
        <v/>
      </c>
      <c r="W850">
        <f>IF(AND(ISNUMBER('자료_거시'!$G832),ISNUMBER('자료_거시'!$H832)),'자료_거시'!$H832,"")</f>
        <v/>
      </c>
      <c r="X850">
        <f>IF(ISNUMBER(W850),'자료_거시'!$G832,"")</f>
        <v/>
      </c>
      <c r="Y850">
        <f>IF(ISNUMBER(X850),IF(X850&gt;$L$7,W850,""),"")</f>
        <v/>
      </c>
      <c r="Z850">
        <f>IF(ISNUMBER('자료_거시'!$K832),'자료_거시'!$K832,Z849)</f>
        <v/>
      </c>
      <c r="AA850">
        <f>IF(AND(ISNUMBER('자료_거시'!$J832),ISNUMBER('자료_거시'!$K832)),IFERROR('자료_거시'!$K832/INDEX($Z$21:$Z$4020,MATCH(EDATE('자료_거시'!$J832,-'설정'!$B$17),'자료_거시'!$J$3:INDEX('자료_거시'!$J$3:$J$4002,$K$8),1))-1,""),"")</f>
        <v/>
      </c>
      <c r="AB850">
        <f>IF(ISNUMBER(AA850),'자료_거시'!$J832,"")</f>
        <v/>
      </c>
      <c r="AC850">
        <f>IF(ISNUMBER(AB850),IF(AB850&gt;$L$8,AA850,""),"")</f>
        <v/>
      </c>
    </row>
    <row r="851">
      <c r="S851">
        <f>IF(ISNUMBER('자료_거시'!$E833),'자료_거시'!$E833,S850)</f>
        <v/>
      </c>
      <c r="T851">
        <f>IF(AND(ISNUMBER('자료_거시'!$D833),ISNUMBER('자료_거시'!$E833)),IFERROR('자료_거시'!$E833-INDEX($S$21:$S$4020,MATCH(EDATE('자료_거시'!$D833,-'설정'!$B$17),'자료_거시'!$D$3:INDEX('자료_거시'!$D$3:$D$4002,$K$6),1)),""),"")</f>
        <v/>
      </c>
      <c r="U851">
        <f>IF(ISNUMBER(T851),'자료_거시'!$D833,"")</f>
        <v/>
      </c>
      <c r="V851">
        <f>IF(ISNUMBER(U851),IF(U851&gt;$L$6,T851,""),"")</f>
        <v/>
      </c>
      <c r="W851">
        <f>IF(AND(ISNUMBER('자료_거시'!$G833),ISNUMBER('자료_거시'!$H833)),'자료_거시'!$H833,"")</f>
        <v/>
      </c>
      <c r="X851">
        <f>IF(ISNUMBER(W851),'자료_거시'!$G833,"")</f>
        <v/>
      </c>
      <c r="Y851">
        <f>IF(ISNUMBER(X851),IF(X851&gt;$L$7,W851,""),"")</f>
        <v/>
      </c>
      <c r="Z851">
        <f>IF(ISNUMBER('자료_거시'!$K833),'자료_거시'!$K833,Z850)</f>
        <v/>
      </c>
      <c r="AA851">
        <f>IF(AND(ISNUMBER('자료_거시'!$J833),ISNUMBER('자료_거시'!$K833)),IFERROR('자료_거시'!$K833/INDEX($Z$21:$Z$4020,MATCH(EDATE('자료_거시'!$J833,-'설정'!$B$17),'자료_거시'!$J$3:INDEX('자료_거시'!$J$3:$J$4002,$K$8),1))-1,""),"")</f>
        <v/>
      </c>
      <c r="AB851">
        <f>IF(ISNUMBER(AA851),'자료_거시'!$J833,"")</f>
        <v/>
      </c>
      <c r="AC851">
        <f>IF(ISNUMBER(AB851),IF(AB851&gt;$L$8,AA851,""),"")</f>
        <v/>
      </c>
    </row>
    <row r="852">
      <c r="S852">
        <f>IF(ISNUMBER('자료_거시'!$E834),'자료_거시'!$E834,S851)</f>
        <v/>
      </c>
      <c r="T852">
        <f>IF(AND(ISNUMBER('자료_거시'!$D834),ISNUMBER('자료_거시'!$E834)),IFERROR('자료_거시'!$E834-INDEX($S$21:$S$4020,MATCH(EDATE('자료_거시'!$D834,-'설정'!$B$17),'자료_거시'!$D$3:INDEX('자료_거시'!$D$3:$D$4002,$K$6),1)),""),"")</f>
        <v/>
      </c>
      <c r="U852">
        <f>IF(ISNUMBER(T852),'자료_거시'!$D834,"")</f>
        <v/>
      </c>
      <c r="V852">
        <f>IF(ISNUMBER(U852),IF(U852&gt;$L$6,T852,""),"")</f>
        <v/>
      </c>
      <c r="W852">
        <f>IF(AND(ISNUMBER('자료_거시'!$G834),ISNUMBER('자료_거시'!$H834)),'자료_거시'!$H834,"")</f>
        <v/>
      </c>
      <c r="X852">
        <f>IF(ISNUMBER(W852),'자료_거시'!$G834,"")</f>
        <v/>
      </c>
      <c r="Y852">
        <f>IF(ISNUMBER(X852),IF(X852&gt;$L$7,W852,""),"")</f>
        <v/>
      </c>
      <c r="Z852">
        <f>IF(ISNUMBER('자료_거시'!$K834),'자료_거시'!$K834,Z851)</f>
        <v/>
      </c>
      <c r="AA852">
        <f>IF(AND(ISNUMBER('자료_거시'!$J834),ISNUMBER('자료_거시'!$K834)),IFERROR('자료_거시'!$K834/INDEX($Z$21:$Z$4020,MATCH(EDATE('자료_거시'!$J834,-'설정'!$B$17),'자료_거시'!$J$3:INDEX('자료_거시'!$J$3:$J$4002,$K$8),1))-1,""),"")</f>
        <v/>
      </c>
      <c r="AB852">
        <f>IF(ISNUMBER(AA852),'자료_거시'!$J834,"")</f>
        <v/>
      </c>
      <c r="AC852">
        <f>IF(ISNUMBER(AB852),IF(AB852&gt;$L$8,AA852,""),"")</f>
        <v/>
      </c>
    </row>
    <row r="853">
      <c r="S853">
        <f>IF(ISNUMBER('자료_거시'!$E835),'자료_거시'!$E835,S852)</f>
        <v/>
      </c>
      <c r="T853">
        <f>IF(AND(ISNUMBER('자료_거시'!$D835),ISNUMBER('자료_거시'!$E835)),IFERROR('자료_거시'!$E835-INDEX($S$21:$S$4020,MATCH(EDATE('자료_거시'!$D835,-'설정'!$B$17),'자료_거시'!$D$3:INDEX('자료_거시'!$D$3:$D$4002,$K$6),1)),""),"")</f>
        <v/>
      </c>
      <c r="U853">
        <f>IF(ISNUMBER(T853),'자료_거시'!$D835,"")</f>
        <v/>
      </c>
      <c r="V853">
        <f>IF(ISNUMBER(U853),IF(U853&gt;$L$6,T853,""),"")</f>
        <v/>
      </c>
      <c r="W853">
        <f>IF(AND(ISNUMBER('자료_거시'!$G835),ISNUMBER('자료_거시'!$H835)),'자료_거시'!$H835,"")</f>
        <v/>
      </c>
      <c r="X853">
        <f>IF(ISNUMBER(W853),'자료_거시'!$G835,"")</f>
        <v/>
      </c>
      <c r="Y853">
        <f>IF(ISNUMBER(X853),IF(X853&gt;$L$7,W853,""),"")</f>
        <v/>
      </c>
      <c r="Z853">
        <f>IF(ISNUMBER('자료_거시'!$K835),'자료_거시'!$K835,Z852)</f>
        <v/>
      </c>
      <c r="AA853">
        <f>IF(AND(ISNUMBER('자료_거시'!$J835),ISNUMBER('자료_거시'!$K835)),IFERROR('자료_거시'!$K835/INDEX($Z$21:$Z$4020,MATCH(EDATE('자료_거시'!$J835,-'설정'!$B$17),'자료_거시'!$J$3:INDEX('자료_거시'!$J$3:$J$4002,$K$8),1))-1,""),"")</f>
        <v/>
      </c>
      <c r="AB853">
        <f>IF(ISNUMBER(AA853),'자료_거시'!$J835,"")</f>
        <v/>
      </c>
      <c r="AC853">
        <f>IF(ISNUMBER(AB853),IF(AB853&gt;$L$8,AA853,""),"")</f>
        <v/>
      </c>
    </row>
    <row r="854">
      <c r="S854">
        <f>IF(ISNUMBER('자료_거시'!$E836),'자료_거시'!$E836,S853)</f>
        <v/>
      </c>
      <c r="T854">
        <f>IF(AND(ISNUMBER('자료_거시'!$D836),ISNUMBER('자료_거시'!$E836)),IFERROR('자료_거시'!$E836-INDEX($S$21:$S$4020,MATCH(EDATE('자료_거시'!$D836,-'설정'!$B$17),'자료_거시'!$D$3:INDEX('자료_거시'!$D$3:$D$4002,$K$6),1)),""),"")</f>
        <v/>
      </c>
      <c r="U854">
        <f>IF(ISNUMBER(T854),'자료_거시'!$D836,"")</f>
        <v/>
      </c>
      <c r="V854">
        <f>IF(ISNUMBER(U854),IF(U854&gt;$L$6,T854,""),"")</f>
        <v/>
      </c>
      <c r="W854">
        <f>IF(AND(ISNUMBER('자료_거시'!$G836),ISNUMBER('자료_거시'!$H836)),'자료_거시'!$H836,"")</f>
        <v/>
      </c>
      <c r="X854">
        <f>IF(ISNUMBER(W854),'자료_거시'!$G836,"")</f>
        <v/>
      </c>
      <c r="Y854">
        <f>IF(ISNUMBER(X854),IF(X854&gt;$L$7,W854,""),"")</f>
        <v/>
      </c>
      <c r="Z854">
        <f>IF(ISNUMBER('자료_거시'!$K836),'자료_거시'!$K836,Z853)</f>
        <v/>
      </c>
      <c r="AA854">
        <f>IF(AND(ISNUMBER('자료_거시'!$J836),ISNUMBER('자료_거시'!$K836)),IFERROR('자료_거시'!$K836/INDEX($Z$21:$Z$4020,MATCH(EDATE('자료_거시'!$J836,-'설정'!$B$17),'자료_거시'!$J$3:INDEX('자료_거시'!$J$3:$J$4002,$K$8),1))-1,""),"")</f>
        <v/>
      </c>
      <c r="AB854">
        <f>IF(ISNUMBER(AA854),'자료_거시'!$J836,"")</f>
        <v/>
      </c>
      <c r="AC854">
        <f>IF(ISNUMBER(AB854),IF(AB854&gt;$L$8,AA854,""),"")</f>
        <v/>
      </c>
    </row>
    <row r="855">
      <c r="S855">
        <f>IF(ISNUMBER('자료_거시'!$E837),'자료_거시'!$E837,S854)</f>
        <v/>
      </c>
      <c r="T855">
        <f>IF(AND(ISNUMBER('자료_거시'!$D837),ISNUMBER('자료_거시'!$E837)),IFERROR('자료_거시'!$E837-INDEX($S$21:$S$4020,MATCH(EDATE('자료_거시'!$D837,-'설정'!$B$17),'자료_거시'!$D$3:INDEX('자료_거시'!$D$3:$D$4002,$K$6),1)),""),"")</f>
        <v/>
      </c>
      <c r="U855">
        <f>IF(ISNUMBER(T855),'자료_거시'!$D837,"")</f>
        <v/>
      </c>
      <c r="V855">
        <f>IF(ISNUMBER(U855),IF(U855&gt;$L$6,T855,""),"")</f>
        <v/>
      </c>
      <c r="W855">
        <f>IF(AND(ISNUMBER('자료_거시'!$G837),ISNUMBER('자료_거시'!$H837)),'자료_거시'!$H837,"")</f>
        <v/>
      </c>
      <c r="X855">
        <f>IF(ISNUMBER(W855),'자료_거시'!$G837,"")</f>
        <v/>
      </c>
      <c r="Y855">
        <f>IF(ISNUMBER(X855),IF(X855&gt;$L$7,W855,""),"")</f>
        <v/>
      </c>
      <c r="Z855">
        <f>IF(ISNUMBER('자료_거시'!$K837),'자료_거시'!$K837,Z854)</f>
        <v/>
      </c>
      <c r="AA855">
        <f>IF(AND(ISNUMBER('자료_거시'!$J837),ISNUMBER('자료_거시'!$K837)),IFERROR('자료_거시'!$K837/INDEX($Z$21:$Z$4020,MATCH(EDATE('자료_거시'!$J837,-'설정'!$B$17),'자료_거시'!$J$3:INDEX('자료_거시'!$J$3:$J$4002,$K$8),1))-1,""),"")</f>
        <v/>
      </c>
      <c r="AB855">
        <f>IF(ISNUMBER(AA855),'자료_거시'!$J837,"")</f>
        <v/>
      </c>
      <c r="AC855">
        <f>IF(ISNUMBER(AB855),IF(AB855&gt;$L$8,AA855,""),"")</f>
        <v/>
      </c>
    </row>
    <row r="856">
      <c r="S856">
        <f>IF(ISNUMBER('자료_거시'!$E838),'자료_거시'!$E838,S855)</f>
        <v/>
      </c>
      <c r="T856">
        <f>IF(AND(ISNUMBER('자료_거시'!$D838),ISNUMBER('자료_거시'!$E838)),IFERROR('자료_거시'!$E838-INDEX($S$21:$S$4020,MATCH(EDATE('자료_거시'!$D838,-'설정'!$B$17),'자료_거시'!$D$3:INDEX('자료_거시'!$D$3:$D$4002,$K$6),1)),""),"")</f>
        <v/>
      </c>
      <c r="U856">
        <f>IF(ISNUMBER(T856),'자료_거시'!$D838,"")</f>
        <v/>
      </c>
      <c r="V856">
        <f>IF(ISNUMBER(U856),IF(U856&gt;$L$6,T856,""),"")</f>
        <v/>
      </c>
      <c r="W856">
        <f>IF(AND(ISNUMBER('자료_거시'!$G838),ISNUMBER('자료_거시'!$H838)),'자료_거시'!$H838,"")</f>
        <v/>
      </c>
      <c r="X856">
        <f>IF(ISNUMBER(W856),'자료_거시'!$G838,"")</f>
        <v/>
      </c>
      <c r="Y856">
        <f>IF(ISNUMBER(X856),IF(X856&gt;$L$7,W856,""),"")</f>
        <v/>
      </c>
      <c r="Z856">
        <f>IF(ISNUMBER('자료_거시'!$K838),'자료_거시'!$K838,Z855)</f>
        <v/>
      </c>
      <c r="AA856">
        <f>IF(AND(ISNUMBER('자료_거시'!$J838),ISNUMBER('자료_거시'!$K838)),IFERROR('자료_거시'!$K838/INDEX($Z$21:$Z$4020,MATCH(EDATE('자료_거시'!$J838,-'설정'!$B$17),'자료_거시'!$J$3:INDEX('자료_거시'!$J$3:$J$4002,$K$8),1))-1,""),"")</f>
        <v/>
      </c>
      <c r="AB856">
        <f>IF(ISNUMBER(AA856),'자료_거시'!$J838,"")</f>
        <v/>
      </c>
      <c r="AC856">
        <f>IF(ISNUMBER(AB856),IF(AB856&gt;$L$8,AA856,""),"")</f>
        <v/>
      </c>
    </row>
    <row r="857">
      <c r="S857">
        <f>IF(ISNUMBER('자료_거시'!$E839),'자료_거시'!$E839,S856)</f>
        <v/>
      </c>
      <c r="T857">
        <f>IF(AND(ISNUMBER('자료_거시'!$D839),ISNUMBER('자료_거시'!$E839)),IFERROR('자료_거시'!$E839-INDEX($S$21:$S$4020,MATCH(EDATE('자료_거시'!$D839,-'설정'!$B$17),'자료_거시'!$D$3:INDEX('자료_거시'!$D$3:$D$4002,$K$6),1)),""),"")</f>
        <v/>
      </c>
      <c r="U857">
        <f>IF(ISNUMBER(T857),'자료_거시'!$D839,"")</f>
        <v/>
      </c>
      <c r="V857">
        <f>IF(ISNUMBER(U857),IF(U857&gt;$L$6,T857,""),"")</f>
        <v/>
      </c>
      <c r="W857">
        <f>IF(AND(ISNUMBER('자료_거시'!$G839),ISNUMBER('자료_거시'!$H839)),'자료_거시'!$H839,"")</f>
        <v/>
      </c>
      <c r="X857">
        <f>IF(ISNUMBER(W857),'자료_거시'!$G839,"")</f>
        <v/>
      </c>
      <c r="Y857">
        <f>IF(ISNUMBER(X857),IF(X857&gt;$L$7,W857,""),"")</f>
        <v/>
      </c>
      <c r="Z857">
        <f>IF(ISNUMBER('자료_거시'!$K839),'자료_거시'!$K839,Z856)</f>
        <v/>
      </c>
      <c r="AA857">
        <f>IF(AND(ISNUMBER('자료_거시'!$J839),ISNUMBER('자료_거시'!$K839)),IFERROR('자료_거시'!$K839/INDEX($Z$21:$Z$4020,MATCH(EDATE('자료_거시'!$J839,-'설정'!$B$17),'자료_거시'!$J$3:INDEX('자료_거시'!$J$3:$J$4002,$K$8),1))-1,""),"")</f>
        <v/>
      </c>
      <c r="AB857">
        <f>IF(ISNUMBER(AA857),'자료_거시'!$J839,"")</f>
        <v/>
      </c>
      <c r="AC857">
        <f>IF(ISNUMBER(AB857),IF(AB857&gt;$L$8,AA857,""),"")</f>
        <v/>
      </c>
    </row>
    <row r="858">
      <c r="S858">
        <f>IF(ISNUMBER('자료_거시'!$E840),'자료_거시'!$E840,S857)</f>
        <v/>
      </c>
      <c r="T858">
        <f>IF(AND(ISNUMBER('자료_거시'!$D840),ISNUMBER('자료_거시'!$E840)),IFERROR('자료_거시'!$E840-INDEX($S$21:$S$4020,MATCH(EDATE('자료_거시'!$D840,-'설정'!$B$17),'자료_거시'!$D$3:INDEX('자료_거시'!$D$3:$D$4002,$K$6),1)),""),"")</f>
        <v/>
      </c>
      <c r="U858">
        <f>IF(ISNUMBER(T858),'자료_거시'!$D840,"")</f>
        <v/>
      </c>
      <c r="V858">
        <f>IF(ISNUMBER(U858),IF(U858&gt;$L$6,T858,""),"")</f>
        <v/>
      </c>
      <c r="W858">
        <f>IF(AND(ISNUMBER('자료_거시'!$G840),ISNUMBER('자료_거시'!$H840)),'자료_거시'!$H840,"")</f>
        <v/>
      </c>
      <c r="X858">
        <f>IF(ISNUMBER(W858),'자료_거시'!$G840,"")</f>
        <v/>
      </c>
      <c r="Y858">
        <f>IF(ISNUMBER(X858),IF(X858&gt;$L$7,W858,""),"")</f>
        <v/>
      </c>
      <c r="Z858">
        <f>IF(ISNUMBER('자료_거시'!$K840),'자료_거시'!$K840,Z857)</f>
        <v/>
      </c>
      <c r="AA858">
        <f>IF(AND(ISNUMBER('자료_거시'!$J840),ISNUMBER('자료_거시'!$K840)),IFERROR('자료_거시'!$K840/INDEX($Z$21:$Z$4020,MATCH(EDATE('자료_거시'!$J840,-'설정'!$B$17),'자료_거시'!$J$3:INDEX('자료_거시'!$J$3:$J$4002,$K$8),1))-1,""),"")</f>
        <v/>
      </c>
      <c r="AB858">
        <f>IF(ISNUMBER(AA858),'자료_거시'!$J840,"")</f>
        <v/>
      </c>
      <c r="AC858">
        <f>IF(ISNUMBER(AB858),IF(AB858&gt;$L$8,AA858,""),"")</f>
        <v/>
      </c>
    </row>
    <row r="859">
      <c r="S859">
        <f>IF(ISNUMBER('자료_거시'!$E841),'자료_거시'!$E841,S858)</f>
        <v/>
      </c>
      <c r="T859">
        <f>IF(AND(ISNUMBER('자료_거시'!$D841),ISNUMBER('자료_거시'!$E841)),IFERROR('자료_거시'!$E841-INDEX($S$21:$S$4020,MATCH(EDATE('자료_거시'!$D841,-'설정'!$B$17),'자료_거시'!$D$3:INDEX('자료_거시'!$D$3:$D$4002,$K$6),1)),""),"")</f>
        <v/>
      </c>
      <c r="U859">
        <f>IF(ISNUMBER(T859),'자료_거시'!$D841,"")</f>
        <v/>
      </c>
      <c r="V859">
        <f>IF(ISNUMBER(U859),IF(U859&gt;$L$6,T859,""),"")</f>
        <v/>
      </c>
      <c r="W859">
        <f>IF(AND(ISNUMBER('자료_거시'!$G841),ISNUMBER('자료_거시'!$H841)),'자료_거시'!$H841,"")</f>
        <v/>
      </c>
      <c r="X859">
        <f>IF(ISNUMBER(W859),'자료_거시'!$G841,"")</f>
        <v/>
      </c>
      <c r="Y859">
        <f>IF(ISNUMBER(X859),IF(X859&gt;$L$7,W859,""),"")</f>
        <v/>
      </c>
      <c r="Z859">
        <f>IF(ISNUMBER('자료_거시'!$K841),'자료_거시'!$K841,Z858)</f>
        <v/>
      </c>
      <c r="AA859">
        <f>IF(AND(ISNUMBER('자료_거시'!$J841),ISNUMBER('자료_거시'!$K841)),IFERROR('자료_거시'!$K841/INDEX($Z$21:$Z$4020,MATCH(EDATE('자료_거시'!$J841,-'설정'!$B$17),'자료_거시'!$J$3:INDEX('자료_거시'!$J$3:$J$4002,$K$8),1))-1,""),"")</f>
        <v/>
      </c>
      <c r="AB859">
        <f>IF(ISNUMBER(AA859),'자료_거시'!$J841,"")</f>
        <v/>
      </c>
      <c r="AC859">
        <f>IF(ISNUMBER(AB859),IF(AB859&gt;$L$8,AA859,""),"")</f>
        <v/>
      </c>
    </row>
    <row r="860">
      <c r="S860">
        <f>IF(ISNUMBER('자료_거시'!$E842),'자료_거시'!$E842,S859)</f>
        <v/>
      </c>
      <c r="T860">
        <f>IF(AND(ISNUMBER('자료_거시'!$D842),ISNUMBER('자료_거시'!$E842)),IFERROR('자료_거시'!$E842-INDEX($S$21:$S$4020,MATCH(EDATE('자료_거시'!$D842,-'설정'!$B$17),'자료_거시'!$D$3:INDEX('자료_거시'!$D$3:$D$4002,$K$6),1)),""),"")</f>
        <v/>
      </c>
      <c r="U860">
        <f>IF(ISNUMBER(T860),'자료_거시'!$D842,"")</f>
        <v/>
      </c>
      <c r="V860">
        <f>IF(ISNUMBER(U860),IF(U860&gt;$L$6,T860,""),"")</f>
        <v/>
      </c>
      <c r="W860">
        <f>IF(AND(ISNUMBER('자료_거시'!$G842),ISNUMBER('자료_거시'!$H842)),'자료_거시'!$H842,"")</f>
        <v/>
      </c>
      <c r="X860">
        <f>IF(ISNUMBER(W860),'자료_거시'!$G842,"")</f>
        <v/>
      </c>
      <c r="Y860">
        <f>IF(ISNUMBER(X860),IF(X860&gt;$L$7,W860,""),"")</f>
        <v/>
      </c>
      <c r="Z860">
        <f>IF(ISNUMBER('자료_거시'!$K842),'자료_거시'!$K842,Z859)</f>
        <v/>
      </c>
      <c r="AA860">
        <f>IF(AND(ISNUMBER('자료_거시'!$J842),ISNUMBER('자료_거시'!$K842)),IFERROR('자료_거시'!$K842/INDEX($Z$21:$Z$4020,MATCH(EDATE('자료_거시'!$J842,-'설정'!$B$17),'자료_거시'!$J$3:INDEX('자료_거시'!$J$3:$J$4002,$K$8),1))-1,""),"")</f>
        <v/>
      </c>
      <c r="AB860">
        <f>IF(ISNUMBER(AA860),'자료_거시'!$J842,"")</f>
        <v/>
      </c>
      <c r="AC860">
        <f>IF(ISNUMBER(AB860),IF(AB860&gt;$L$8,AA860,""),"")</f>
        <v/>
      </c>
    </row>
    <row r="861">
      <c r="S861">
        <f>IF(ISNUMBER('자료_거시'!$E843),'자료_거시'!$E843,S860)</f>
        <v/>
      </c>
      <c r="T861">
        <f>IF(AND(ISNUMBER('자료_거시'!$D843),ISNUMBER('자료_거시'!$E843)),IFERROR('자료_거시'!$E843-INDEX($S$21:$S$4020,MATCH(EDATE('자료_거시'!$D843,-'설정'!$B$17),'자료_거시'!$D$3:INDEX('자료_거시'!$D$3:$D$4002,$K$6),1)),""),"")</f>
        <v/>
      </c>
      <c r="U861">
        <f>IF(ISNUMBER(T861),'자료_거시'!$D843,"")</f>
        <v/>
      </c>
      <c r="V861">
        <f>IF(ISNUMBER(U861),IF(U861&gt;$L$6,T861,""),"")</f>
        <v/>
      </c>
      <c r="W861">
        <f>IF(AND(ISNUMBER('자료_거시'!$G843),ISNUMBER('자료_거시'!$H843)),'자료_거시'!$H843,"")</f>
        <v/>
      </c>
      <c r="X861">
        <f>IF(ISNUMBER(W861),'자료_거시'!$G843,"")</f>
        <v/>
      </c>
      <c r="Y861">
        <f>IF(ISNUMBER(X861),IF(X861&gt;$L$7,W861,""),"")</f>
        <v/>
      </c>
      <c r="Z861">
        <f>IF(ISNUMBER('자료_거시'!$K843),'자료_거시'!$K843,Z860)</f>
        <v/>
      </c>
      <c r="AA861">
        <f>IF(AND(ISNUMBER('자료_거시'!$J843),ISNUMBER('자료_거시'!$K843)),IFERROR('자료_거시'!$K843/INDEX($Z$21:$Z$4020,MATCH(EDATE('자료_거시'!$J843,-'설정'!$B$17),'자료_거시'!$J$3:INDEX('자료_거시'!$J$3:$J$4002,$K$8),1))-1,""),"")</f>
        <v/>
      </c>
      <c r="AB861">
        <f>IF(ISNUMBER(AA861),'자료_거시'!$J843,"")</f>
        <v/>
      </c>
      <c r="AC861">
        <f>IF(ISNUMBER(AB861),IF(AB861&gt;$L$8,AA861,""),"")</f>
        <v/>
      </c>
    </row>
    <row r="862">
      <c r="S862">
        <f>IF(ISNUMBER('자료_거시'!$E844),'자료_거시'!$E844,S861)</f>
        <v/>
      </c>
      <c r="T862">
        <f>IF(AND(ISNUMBER('자료_거시'!$D844),ISNUMBER('자료_거시'!$E844)),IFERROR('자료_거시'!$E844-INDEX($S$21:$S$4020,MATCH(EDATE('자료_거시'!$D844,-'설정'!$B$17),'자료_거시'!$D$3:INDEX('자료_거시'!$D$3:$D$4002,$K$6),1)),""),"")</f>
        <v/>
      </c>
      <c r="U862">
        <f>IF(ISNUMBER(T862),'자료_거시'!$D844,"")</f>
        <v/>
      </c>
      <c r="V862">
        <f>IF(ISNUMBER(U862),IF(U862&gt;$L$6,T862,""),"")</f>
        <v/>
      </c>
      <c r="W862">
        <f>IF(AND(ISNUMBER('자료_거시'!$G844),ISNUMBER('자료_거시'!$H844)),'자료_거시'!$H844,"")</f>
        <v/>
      </c>
      <c r="X862">
        <f>IF(ISNUMBER(W862),'자료_거시'!$G844,"")</f>
        <v/>
      </c>
      <c r="Y862">
        <f>IF(ISNUMBER(X862),IF(X862&gt;$L$7,W862,""),"")</f>
        <v/>
      </c>
      <c r="Z862">
        <f>IF(ISNUMBER('자료_거시'!$K844),'자료_거시'!$K844,Z861)</f>
        <v/>
      </c>
      <c r="AA862">
        <f>IF(AND(ISNUMBER('자료_거시'!$J844),ISNUMBER('자료_거시'!$K844)),IFERROR('자료_거시'!$K844/INDEX($Z$21:$Z$4020,MATCH(EDATE('자료_거시'!$J844,-'설정'!$B$17),'자료_거시'!$J$3:INDEX('자료_거시'!$J$3:$J$4002,$K$8),1))-1,""),"")</f>
        <v/>
      </c>
      <c r="AB862">
        <f>IF(ISNUMBER(AA862),'자료_거시'!$J844,"")</f>
        <v/>
      </c>
      <c r="AC862">
        <f>IF(ISNUMBER(AB862),IF(AB862&gt;$L$8,AA862,""),"")</f>
        <v/>
      </c>
    </row>
    <row r="863">
      <c r="S863">
        <f>IF(ISNUMBER('자료_거시'!$E845),'자료_거시'!$E845,S862)</f>
        <v/>
      </c>
      <c r="T863">
        <f>IF(AND(ISNUMBER('자료_거시'!$D845),ISNUMBER('자료_거시'!$E845)),IFERROR('자료_거시'!$E845-INDEX($S$21:$S$4020,MATCH(EDATE('자료_거시'!$D845,-'설정'!$B$17),'자료_거시'!$D$3:INDEX('자료_거시'!$D$3:$D$4002,$K$6),1)),""),"")</f>
        <v/>
      </c>
      <c r="U863">
        <f>IF(ISNUMBER(T863),'자료_거시'!$D845,"")</f>
        <v/>
      </c>
      <c r="V863">
        <f>IF(ISNUMBER(U863),IF(U863&gt;$L$6,T863,""),"")</f>
        <v/>
      </c>
      <c r="W863">
        <f>IF(AND(ISNUMBER('자료_거시'!$G845),ISNUMBER('자료_거시'!$H845)),'자료_거시'!$H845,"")</f>
        <v/>
      </c>
      <c r="X863">
        <f>IF(ISNUMBER(W863),'자료_거시'!$G845,"")</f>
        <v/>
      </c>
      <c r="Y863">
        <f>IF(ISNUMBER(X863),IF(X863&gt;$L$7,W863,""),"")</f>
        <v/>
      </c>
      <c r="Z863">
        <f>IF(ISNUMBER('자료_거시'!$K845),'자료_거시'!$K845,Z862)</f>
        <v/>
      </c>
      <c r="AA863">
        <f>IF(AND(ISNUMBER('자료_거시'!$J845),ISNUMBER('자료_거시'!$K845)),IFERROR('자료_거시'!$K845/INDEX($Z$21:$Z$4020,MATCH(EDATE('자료_거시'!$J845,-'설정'!$B$17),'자료_거시'!$J$3:INDEX('자료_거시'!$J$3:$J$4002,$K$8),1))-1,""),"")</f>
        <v/>
      </c>
      <c r="AB863">
        <f>IF(ISNUMBER(AA863),'자료_거시'!$J845,"")</f>
        <v/>
      </c>
      <c r="AC863">
        <f>IF(ISNUMBER(AB863),IF(AB863&gt;$L$8,AA863,""),"")</f>
        <v/>
      </c>
    </row>
    <row r="864">
      <c r="S864">
        <f>IF(ISNUMBER('자료_거시'!$E846),'자료_거시'!$E846,S863)</f>
        <v/>
      </c>
      <c r="T864">
        <f>IF(AND(ISNUMBER('자료_거시'!$D846),ISNUMBER('자료_거시'!$E846)),IFERROR('자료_거시'!$E846-INDEX($S$21:$S$4020,MATCH(EDATE('자료_거시'!$D846,-'설정'!$B$17),'자료_거시'!$D$3:INDEX('자료_거시'!$D$3:$D$4002,$K$6),1)),""),"")</f>
        <v/>
      </c>
      <c r="U864">
        <f>IF(ISNUMBER(T864),'자료_거시'!$D846,"")</f>
        <v/>
      </c>
      <c r="V864">
        <f>IF(ISNUMBER(U864),IF(U864&gt;$L$6,T864,""),"")</f>
        <v/>
      </c>
      <c r="W864">
        <f>IF(AND(ISNUMBER('자료_거시'!$G846),ISNUMBER('자료_거시'!$H846)),'자료_거시'!$H846,"")</f>
        <v/>
      </c>
      <c r="X864">
        <f>IF(ISNUMBER(W864),'자료_거시'!$G846,"")</f>
        <v/>
      </c>
      <c r="Y864">
        <f>IF(ISNUMBER(X864),IF(X864&gt;$L$7,W864,""),"")</f>
        <v/>
      </c>
      <c r="Z864">
        <f>IF(ISNUMBER('자료_거시'!$K846),'자료_거시'!$K846,Z863)</f>
        <v/>
      </c>
      <c r="AA864">
        <f>IF(AND(ISNUMBER('자료_거시'!$J846),ISNUMBER('자료_거시'!$K846)),IFERROR('자료_거시'!$K846/INDEX($Z$21:$Z$4020,MATCH(EDATE('자료_거시'!$J846,-'설정'!$B$17),'자료_거시'!$J$3:INDEX('자료_거시'!$J$3:$J$4002,$K$8),1))-1,""),"")</f>
        <v/>
      </c>
      <c r="AB864">
        <f>IF(ISNUMBER(AA864),'자료_거시'!$J846,"")</f>
        <v/>
      </c>
      <c r="AC864">
        <f>IF(ISNUMBER(AB864),IF(AB864&gt;$L$8,AA864,""),"")</f>
        <v/>
      </c>
    </row>
    <row r="865">
      <c r="S865">
        <f>IF(ISNUMBER('자료_거시'!$E847),'자료_거시'!$E847,S864)</f>
        <v/>
      </c>
      <c r="T865">
        <f>IF(AND(ISNUMBER('자료_거시'!$D847),ISNUMBER('자료_거시'!$E847)),IFERROR('자료_거시'!$E847-INDEX($S$21:$S$4020,MATCH(EDATE('자료_거시'!$D847,-'설정'!$B$17),'자료_거시'!$D$3:INDEX('자료_거시'!$D$3:$D$4002,$K$6),1)),""),"")</f>
        <v/>
      </c>
      <c r="U865">
        <f>IF(ISNUMBER(T865),'자료_거시'!$D847,"")</f>
        <v/>
      </c>
      <c r="V865">
        <f>IF(ISNUMBER(U865),IF(U865&gt;$L$6,T865,""),"")</f>
        <v/>
      </c>
      <c r="W865">
        <f>IF(AND(ISNUMBER('자료_거시'!$G847),ISNUMBER('자료_거시'!$H847)),'자료_거시'!$H847,"")</f>
        <v/>
      </c>
      <c r="X865">
        <f>IF(ISNUMBER(W865),'자료_거시'!$G847,"")</f>
        <v/>
      </c>
      <c r="Y865">
        <f>IF(ISNUMBER(X865),IF(X865&gt;$L$7,W865,""),"")</f>
        <v/>
      </c>
      <c r="Z865">
        <f>IF(ISNUMBER('자료_거시'!$K847),'자료_거시'!$K847,Z864)</f>
        <v/>
      </c>
      <c r="AA865">
        <f>IF(AND(ISNUMBER('자료_거시'!$J847),ISNUMBER('자료_거시'!$K847)),IFERROR('자료_거시'!$K847/INDEX($Z$21:$Z$4020,MATCH(EDATE('자료_거시'!$J847,-'설정'!$B$17),'자료_거시'!$J$3:INDEX('자료_거시'!$J$3:$J$4002,$K$8),1))-1,""),"")</f>
        <v/>
      </c>
      <c r="AB865">
        <f>IF(ISNUMBER(AA865),'자료_거시'!$J847,"")</f>
        <v/>
      </c>
      <c r="AC865">
        <f>IF(ISNUMBER(AB865),IF(AB865&gt;$L$8,AA865,""),"")</f>
        <v/>
      </c>
    </row>
    <row r="866">
      <c r="S866">
        <f>IF(ISNUMBER('자료_거시'!$E848),'자료_거시'!$E848,S865)</f>
        <v/>
      </c>
      <c r="T866">
        <f>IF(AND(ISNUMBER('자료_거시'!$D848),ISNUMBER('자료_거시'!$E848)),IFERROR('자료_거시'!$E848-INDEX($S$21:$S$4020,MATCH(EDATE('자료_거시'!$D848,-'설정'!$B$17),'자료_거시'!$D$3:INDEX('자료_거시'!$D$3:$D$4002,$K$6),1)),""),"")</f>
        <v/>
      </c>
      <c r="U866">
        <f>IF(ISNUMBER(T866),'자료_거시'!$D848,"")</f>
        <v/>
      </c>
      <c r="V866">
        <f>IF(ISNUMBER(U866),IF(U866&gt;$L$6,T866,""),"")</f>
        <v/>
      </c>
      <c r="W866">
        <f>IF(AND(ISNUMBER('자료_거시'!$G848),ISNUMBER('자료_거시'!$H848)),'자료_거시'!$H848,"")</f>
        <v/>
      </c>
      <c r="X866">
        <f>IF(ISNUMBER(W866),'자료_거시'!$G848,"")</f>
        <v/>
      </c>
      <c r="Y866">
        <f>IF(ISNUMBER(X866),IF(X866&gt;$L$7,W866,""),"")</f>
        <v/>
      </c>
      <c r="Z866">
        <f>IF(ISNUMBER('자료_거시'!$K848),'자료_거시'!$K848,Z865)</f>
        <v/>
      </c>
      <c r="AA866">
        <f>IF(AND(ISNUMBER('자료_거시'!$J848),ISNUMBER('자료_거시'!$K848)),IFERROR('자료_거시'!$K848/INDEX($Z$21:$Z$4020,MATCH(EDATE('자료_거시'!$J848,-'설정'!$B$17),'자료_거시'!$J$3:INDEX('자료_거시'!$J$3:$J$4002,$K$8),1))-1,""),"")</f>
        <v/>
      </c>
      <c r="AB866">
        <f>IF(ISNUMBER(AA866),'자료_거시'!$J848,"")</f>
        <v/>
      </c>
      <c r="AC866">
        <f>IF(ISNUMBER(AB866),IF(AB866&gt;$L$8,AA866,""),"")</f>
        <v/>
      </c>
    </row>
    <row r="867">
      <c r="S867">
        <f>IF(ISNUMBER('자료_거시'!$E849),'자료_거시'!$E849,S866)</f>
        <v/>
      </c>
      <c r="T867">
        <f>IF(AND(ISNUMBER('자료_거시'!$D849),ISNUMBER('자료_거시'!$E849)),IFERROR('자료_거시'!$E849-INDEX($S$21:$S$4020,MATCH(EDATE('자료_거시'!$D849,-'설정'!$B$17),'자료_거시'!$D$3:INDEX('자료_거시'!$D$3:$D$4002,$K$6),1)),""),"")</f>
        <v/>
      </c>
      <c r="U867">
        <f>IF(ISNUMBER(T867),'자료_거시'!$D849,"")</f>
        <v/>
      </c>
      <c r="V867">
        <f>IF(ISNUMBER(U867),IF(U867&gt;$L$6,T867,""),"")</f>
        <v/>
      </c>
      <c r="W867">
        <f>IF(AND(ISNUMBER('자료_거시'!$G849),ISNUMBER('자료_거시'!$H849)),'자료_거시'!$H849,"")</f>
        <v/>
      </c>
      <c r="X867">
        <f>IF(ISNUMBER(W867),'자료_거시'!$G849,"")</f>
        <v/>
      </c>
      <c r="Y867">
        <f>IF(ISNUMBER(X867),IF(X867&gt;$L$7,W867,""),"")</f>
        <v/>
      </c>
      <c r="Z867">
        <f>IF(ISNUMBER('자료_거시'!$K849),'자료_거시'!$K849,Z866)</f>
        <v/>
      </c>
      <c r="AA867">
        <f>IF(AND(ISNUMBER('자료_거시'!$J849),ISNUMBER('자료_거시'!$K849)),IFERROR('자료_거시'!$K849/INDEX($Z$21:$Z$4020,MATCH(EDATE('자료_거시'!$J849,-'설정'!$B$17),'자료_거시'!$J$3:INDEX('자료_거시'!$J$3:$J$4002,$K$8),1))-1,""),"")</f>
        <v/>
      </c>
      <c r="AB867">
        <f>IF(ISNUMBER(AA867),'자료_거시'!$J849,"")</f>
        <v/>
      </c>
      <c r="AC867">
        <f>IF(ISNUMBER(AB867),IF(AB867&gt;$L$8,AA867,""),"")</f>
        <v/>
      </c>
    </row>
    <row r="868">
      <c r="S868">
        <f>IF(ISNUMBER('자료_거시'!$E850),'자료_거시'!$E850,S867)</f>
        <v/>
      </c>
      <c r="T868">
        <f>IF(AND(ISNUMBER('자료_거시'!$D850),ISNUMBER('자료_거시'!$E850)),IFERROR('자료_거시'!$E850-INDEX($S$21:$S$4020,MATCH(EDATE('자료_거시'!$D850,-'설정'!$B$17),'자료_거시'!$D$3:INDEX('자료_거시'!$D$3:$D$4002,$K$6),1)),""),"")</f>
        <v/>
      </c>
      <c r="U868">
        <f>IF(ISNUMBER(T868),'자료_거시'!$D850,"")</f>
        <v/>
      </c>
      <c r="V868">
        <f>IF(ISNUMBER(U868),IF(U868&gt;$L$6,T868,""),"")</f>
        <v/>
      </c>
      <c r="W868">
        <f>IF(AND(ISNUMBER('자료_거시'!$G850),ISNUMBER('자료_거시'!$H850)),'자료_거시'!$H850,"")</f>
        <v/>
      </c>
      <c r="X868">
        <f>IF(ISNUMBER(W868),'자료_거시'!$G850,"")</f>
        <v/>
      </c>
      <c r="Y868">
        <f>IF(ISNUMBER(X868),IF(X868&gt;$L$7,W868,""),"")</f>
        <v/>
      </c>
      <c r="Z868">
        <f>IF(ISNUMBER('자료_거시'!$K850),'자료_거시'!$K850,Z867)</f>
        <v/>
      </c>
      <c r="AA868">
        <f>IF(AND(ISNUMBER('자료_거시'!$J850),ISNUMBER('자료_거시'!$K850)),IFERROR('자료_거시'!$K850/INDEX($Z$21:$Z$4020,MATCH(EDATE('자료_거시'!$J850,-'설정'!$B$17),'자료_거시'!$J$3:INDEX('자료_거시'!$J$3:$J$4002,$K$8),1))-1,""),"")</f>
        <v/>
      </c>
      <c r="AB868">
        <f>IF(ISNUMBER(AA868),'자료_거시'!$J850,"")</f>
        <v/>
      </c>
      <c r="AC868">
        <f>IF(ISNUMBER(AB868),IF(AB868&gt;$L$8,AA868,""),"")</f>
        <v/>
      </c>
    </row>
    <row r="869">
      <c r="S869">
        <f>IF(ISNUMBER('자료_거시'!$E851),'자료_거시'!$E851,S868)</f>
        <v/>
      </c>
      <c r="T869">
        <f>IF(AND(ISNUMBER('자료_거시'!$D851),ISNUMBER('자료_거시'!$E851)),IFERROR('자료_거시'!$E851-INDEX($S$21:$S$4020,MATCH(EDATE('자료_거시'!$D851,-'설정'!$B$17),'자료_거시'!$D$3:INDEX('자료_거시'!$D$3:$D$4002,$K$6),1)),""),"")</f>
        <v/>
      </c>
      <c r="U869">
        <f>IF(ISNUMBER(T869),'자료_거시'!$D851,"")</f>
        <v/>
      </c>
      <c r="V869">
        <f>IF(ISNUMBER(U869),IF(U869&gt;$L$6,T869,""),"")</f>
        <v/>
      </c>
      <c r="W869">
        <f>IF(AND(ISNUMBER('자료_거시'!$G851),ISNUMBER('자료_거시'!$H851)),'자료_거시'!$H851,"")</f>
        <v/>
      </c>
      <c r="X869">
        <f>IF(ISNUMBER(W869),'자료_거시'!$G851,"")</f>
        <v/>
      </c>
      <c r="Y869">
        <f>IF(ISNUMBER(X869),IF(X869&gt;$L$7,W869,""),"")</f>
        <v/>
      </c>
      <c r="Z869">
        <f>IF(ISNUMBER('자료_거시'!$K851),'자료_거시'!$K851,Z868)</f>
        <v/>
      </c>
      <c r="AA869">
        <f>IF(AND(ISNUMBER('자료_거시'!$J851),ISNUMBER('자료_거시'!$K851)),IFERROR('자료_거시'!$K851/INDEX($Z$21:$Z$4020,MATCH(EDATE('자료_거시'!$J851,-'설정'!$B$17),'자료_거시'!$J$3:INDEX('자료_거시'!$J$3:$J$4002,$K$8),1))-1,""),"")</f>
        <v/>
      </c>
      <c r="AB869">
        <f>IF(ISNUMBER(AA869),'자료_거시'!$J851,"")</f>
        <v/>
      </c>
      <c r="AC869">
        <f>IF(ISNUMBER(AB869),IF(AB869&gt;$L$8,AA869,""),"")</f>
        <v/>
      </c>
    </row>
    <row r="870">
      <c r="S870">
        <f>IF(ISNUMBER('자료_거시'!$E852),'자료_거시'!$E852,S869)</f>
        <v/>
      </c>
      <c r="T870">
        <f>IF(AND(ISNUMBER('자료_거시'!$D852),ISNUMBER('자료_거시'!$E852)),IFERROR('자료_거시'!$E852-INDEX($S$21:$S$4020,MATCH(EDATE('자료_거시'!$D852,-'설정'!$B$17),'자료_거시'!$D$3:INDEX('자료_거시'!$D$3:$D$4002,$K$6),1)),""),"")</f>
        <v/>
      </c>
      <c r="U870">
        <f>IF(ISNUMBER(T870),'자료_거시'!$D852,"")</f>
        <v/>
      </c>
      <c r="V870">
        <f>IF(ISNUMBER(U870),IF(U870&gt;$L$6,T870,""),"")</f>
        <v/>
      </c>
      <c r="W870">
        <f>IF(AND(ISNUMBER('자료_거시'!$G852),ISNUMBER('자료_거시'!$H852)),'자료_거시'!$H852,"")</f>
        <v/>
      </c>
      <c r="X870">
        <f>IF(ISNUMBER(W870),'자료_거시'!$G852,"")</f>
        <v/>
      </c>
      <c r="Y870">
        <f>IF(ISNUMBER(X870),IF(X870&gt;$L$7,W870,""),"")</f>
        <v/>
      </c>
      <c r="Z870">
        <f>IF(ISNUMBER('자료_거시'!$K852),'자료_거시'!$K852,Z869)</f>
        <v/>
      </c>
      <c r="AA870">
        <f>IF(AND(ISNUMBER('자료_거시'!$J852),ISNUMBER('자료_거시'!$K852)),IFERROR('자료_거시'!$K852/INDEX($Z$21:$Z$4020,MATCH(EDATE('자료_거시'!$J852,-'설정'!$B$17),'자료_거시'!$J$3:INDEX('자료_거시'!$J$3:$J$4002,$K$8),1))-1,""),"")</f>
        <v/>
      </c>
      <c r="AB870">
        <f>IF(ISNUMBER(AA870),'자료_거시'!$J852,"")</f>
        <v/>
      </c>
      <c r="AC870">
        <f>IF(ISNUMBER(AB870),IF(AB870&gt;$L$8,AA870,""),"")</f>
        <v/>
      </c>
    </row>
    <row r="871">
      <c r="S871">
        <f>IF(ISNUMBER('자료_거시'!$E853),'자료_거시'!$E853,S870)</f>
        <v/>
      </c>
      <c r="T871">
        <f>IF(AND(ISNUMBER('자료_거시'!$D853),ISNUMBER('자료_거시'!$E853)),IFERROR('자료_거시'!$E853-INDEX($S$21:$S$4020,MATCH(EDATE('자료_거시'!$D853,-'설정'!$B$17),'자료_거시'!$D$3:INDEX('자료_거시'!$D$3:$D$4002,$K$6),1)),""),"")</f>
        <v/>
      </c>
      <c r="U871">
        <f>IF(ISNUMBER(T871),'자료_거시'!$D853,"")</f>
        <v/>
      </c>
      <c r="V871">
        <f>IF(ISNUMBER(U871),IF(U871&gt;$L$6,T871,""),"")</f>
        <v/>
      </c>
      <c r="W871">
        <f>IF(AND(ISNUMBER('자료_거시'!$G853),ISNUMBER('자료_거시'!$H853)),'자료_거시'!$H853,"")</f>
        <v/>
      </c>
      <c r="X871">
        <f>IF(ISNUMBER(W871),'자료_거시'!$G853,"")</f>
        <v/>
      </c>
      <c r="Y871">
        <f>IF(ISNUMBER(X871),IF(X871&gt;$L$7,W871,""),"")</f>
        <v/>
      </c>
      <c r="Z871">
        <f>IF(ISNUMBER('자료_거시'!$K853),'자료_거시'!$K853,Z870)</f>
        <v/>
      </c>
      <c r="AA871">
        <f>IF(AND(ISNUMBER('자료_거시'!$J853),ISNUMBER('자료_거시'!$K853)),IFERROR('자료_거시'!$K853/INDEX($Z$21:$Z$4020,MATCH(EDATE('자료_거시'!$J853,-'설정'!$B$17),'자료_거시'!$J$3:INDEX('자료_거시'!$J$3:$J$4002,$K$8),1))-1,""),"")</f>
        <v/>
      </c>
      <c r="AB871">
        <f>IF(ISNUMBER(AA871),'자료_거시'!$J853,"")</f>
        <v/>
      </c>
      <c r="AC871">
        <f>IF(ISNUMBER(AB871),IF(AB871&gt;$L$8,AA871,""),"")</f>
        <v/>
      </c>
    </row>
    <row r="872">
      <c r="S872">
        <f>IF(ISNUMBER('자료_거시'!$E854),'자료_거시'!$E854,S871)</f>
        <v/>
      </c>
      <c r="T872">
        <f>IF(AND(ISNUMBER('자료_거시'!$D854),ISNUMBER('자료_거시'!$E854)),IFERROR('자료_거시'!$E854-INDEX($S$21:$S$4020,MATCH(EDATE('자료_거시'!$D854,-'설정'!$B$17),'자료_거시'!$D$3:INDEX('자료_거시'!$D$3:$D$4002,$K$6),1)),""),"")</f>
        <v/>
      </c>
      <c r="U872">
        <f>IF(ISNUMBER(T872),'자료_거시'!$D854,"")</f>
        <v/>
      </c>
      <c r="V872">
        <f>IF(ISNUMBER(U872),IF(U872&gt;$L$6,T872,""),"")</f>
        <v/>
      </c>
      <c r="W872">
        <f>IF(AND(ISNUMBER('자료_거시'!$G854),ISNUMBER('자료_거시'!$H854)),'자료_거시'!$H854,"")</f>
        <v/>
      </c>
      <c r="X872">
        <f>IF(ISNUMBER(W872),'자료_거시'!$G854,"")</f>
        <v/>
      </c>
      <c r="Y872">
        <f>IF(ISNUMBER(X872),IF(X872&gt;$L$7,W872,""),"")</f>
        <v/>
      </c>
      <c r="Z872">
        <f>IF(ISNUMBER('자료_거시'!$K854),'자료_거시'!$K854,Z871)</f>
        <v/>
      </c>
      <c r="AA872">
        <f>IF(AND(ISNUMBER('자료_거시'!$J854),ISNUMBER('자료_거시'!$K854)),IFERROR('자료_거시'!$K854/INDEX($Z$21:$Z$4020,MATCH(EDATE('자료_거시'!$J854,-'설정'!$B$17),'자료_거시'!$J$3:INDEX('자료_거시'!$J$3:$J$4002,$K$8),1))-1,""),"")</f>
        <v/>
      </c>
      <c r="AB872">
        <f>IF(ISNUMBER(AA872),'자료_거시'!$J854,"")</f>
        <v/>
      </c>
      <c r="AC872">
        <f>IF(ISNUMBER(AB872),IF(AB872&gt;$L$8,AA872,""),"")</f>
        <v/>
      </c>
    </row>
    <row r="873">
      <c r="S873">
        <f>IF(ISNUMBER('자료_거시'!$E855),'자료_거시'!$E855,S872)</f>
        <v/>
      </c>
      <c r="T873">
        <f>IF(AND(ISNUMBER('자료_거시'!$D855),ISNUMBER('자료_거시'!$E855)),IFERROR('자료_거시'!$E855-INDEX($S$21:$S$4020,MATCH(EDATE('자료_거시'!$D855,-'설정'!$B$17),'자료_거시'!$D$3:INDEX('자료_거시'!$D$3:$D$4002,$K$6),1)),""),"")</f>
        <v/>
      </c>
      <c r="U873">
        <f>IF(ISNUMBER(T873),'자료_거시'!$D855,"")</f>
        <v/>
      </c>
      <c r="V873">
        <f>IF(ISNUMBER(U873),IF(U873&gt;$L$6,T873,""),"")</f>
        <v/>
      </c>
      <c r="W873">
        <f>IF(AND(ISNUMBER('자료_거시'!$G855),ISNUMBER('자료_거시'!$H855)),'자료_거시'!$H855,"")</f>
        <v/>
      </c>
      <c r="X873">
        <f>IF(ISNUMBER(W873),'자료_거시'!$G855,"")</f>
        <v/>
      </c>
      <c r="Y873">
        <f>IF(ISNUMBER(X873),IF(X873&gt;$L$7,W873,""),"")</f>
        <v/>
      </c>
      <c r="Z873">
        <f>IF(ISNUMBER('자료_거시'!$K855),'자료_거시'!$K855,Z872)</f>
        <v/>
      </c>
      <c r="AA873">
        <f>IF(AND(ISNUMBER('자료_거시'!$J855),ISNUMBER('자료_거시'!$K855)),IFERROR('자료_거시'!$K855/INDEX($Z$21:$Z$4020,MATCH(EDATE('자료_거시'!$J855,-'설정'!$B$17),'자료_거시'!$J$3:INDEX('자료_거시'!$J$3:$J$4002,$K$8),1))-1,""),"")</f>
        <v/>
      </c>
      <c r="AB873">
        <f>IF(ISNUMBER(AA873),'자료_거시'!$J855,"")</f>
        <v/>
      </c>
      <c r="AC873">
        <f>IF(ISNUMBER(AB873),IF(AB873&gt;$L$8,AA873,""),"")</f>
        <v/>
      </c>
    </row>
    <row r="874">
      <c r="S874">
        <f>IF(ISNUMBER('자료_거시'!$E856),'자료_거시'!$E856,S873)</f>
        <v/>
      </c>
      <c r="T874">
        <f>IF(AND(ISNUMBER('자료_거시'!$D856),ISNUMBER('자료_거시'!$E856)),IFERROR('자료_거시'!$E856-INDEX($S$21:$S$4020,MATCH(EDATE('자료_거시'!$D856,-'설정'!$B$17),'자료_거시'!$D$3:INDEX('자료_거시'!$D$3:$D$4002,$K$6),1)),""),"")</f>
        <v/>
      </c>
      <c r="U874">
        <f>IF(ISNUMBER(T874),'자료_거시'!$D856,"")</f>
        <v/>
      </c>
      <c r="V874">
        <f>IF(ISNUMBER(U874),IF(U874&gt;$L$6,T874,""),"")</f>
        <v/>
      </c>
      <c r="W874">
        <f>IF(AND(ISNUMBER('자료_거시'!$G856),ISNUMBER('자료_거시'!$H856)),'자료_거시'!$H856,"")</f>
        <v/>
      </c>
      <c r="X874">
        <f>IF(ISNUMBER(W874),'자료_거시'!$G856,"")</f>
        <v/>
      </c>
      <c r="Y874">
        <f>IF(ISNUMBER(X874),IF(X874&gt;$L$7,W874,""),"")</f>
        <v/>
      </c>
      <c r="Z874">
        <f>IF(ISNUMBER('자료_거시'!$K856),'자료_거시'!$K856,Z873)</f>
        <v/>
      </c>
      <c r="AA874">
        <f>IF(AND(ISNUMBER('자료_거시'!$J856),ISNUMBER('자료_거시'!$K856)),IFERROR('자료_거시'!$K856/INDEX($Z$21:$Z$4020,MATCH(EDATE('자료_거시'!$J856,-'설정'!$B$17),'자료_거시'!$J$3:INDEX('자료_거시'!$J$3:$J$4002,$K$8),1))-1,""),"")</f>
        <v/>
      </c>
      <c r="AB874">
        <f>IF(ISNUMBER(AA874),'자료_거시'!$J856,"")</f>
        <v/>
      </c>
      <c r="AC874">
        <f>IF(ISNUMBER(AB874),IF(AB874&gt;$L$8,AA874,""),"")</f>
        <v/>
      </c>
    </row>
    <row r="875">
      <c r="S875">
        <f>IF(ISNUMBER('자료_거시'!$E857),'자료_거시'!$E857,S874)</f>
        <v/>
      </c>
      <c r="T875">
        <f>IF(AND(ISNUMBER('자료_거시'!$D857),ISNUMBER('자료_거시'!$E857)),IFERROR('자료_거시'!$E857-INDEX($S$21:$S$4020,MATCH(EDATE('자료_거시'!$D857,-'설정'!$B$17),'자료_거시'!$D$3:INDEX('자료_거시'!$D$3:$D$4002,$K$6),1)),""),"")</f>
        <v/>
      </c>
      <c r="U875">
        <f>IF(ISNUMBER(T875),'자료_거시'!$D857,"")</f>
        <v/>
      </c>
      <c r="V875">
        <f>IF(ISNUMBER(U875),IF(U875&gt;$L$6,T875,""),"")</f>
        <v/>
      </c>
      <c r="W875">
        <f>IF(AND(ISNUMBER('자료_거시'!$G857),ISNUMBER('자료_거시'!$H857)),'자료_거시'!$H857,"")</f>
        <v/>
      </c>
      <c r="X875">
        <f>IF(ISNUMBER(W875),'자료_거시'!$G857,"")</f>
        <v/>
      </c>
      <c r="Y875">
        <f>IF(ISNUMBER(X875),IF(X875&gt;$L$7,W875,""),"")</f>
        <v/>
      </c>
      <c r="Z875">
        <f>IF(ISNUMBER('자료_거시'!$K857),'자료_거시'!$K857,Z874)</f>
        <v/>
      </c>
      <c r="AA875">
        <f>IF(AND(ISNUMBER('자료_거시'!$J857),ISNUMBER('자료_거시'!$K857)),IFERROR('자료_거시'!$K857/INDEX($Z$21:$Z$4020,MATCH(EDATE('자료_거시'!$J857,-'설정'!$B$17),'자료_거시'!$J$3:INDEX('자료_거시'!$J$3:$J$4002,$K$8),1))-1,""),"")</f>
        <v/>
      </c>
      <c r="AB875">
        <f>IF(ISNUMBER(AA875),'자료_거시'!$J857,"")</f>
        <v/>
      </c>
      <c r="AC875">
        <f>IF(ISNUMBER(AB875),IF(AB875&gt;$L$8,AA875,""),"")</f>
        <v/>
      </c>
    </row>
    <row r="876">
      <c r="S876">
        <f>IF(ISNUMBER('자료_거시'!$E858),'자료_거시'!$E858,S875)</f>
        <v/>
      </c>
      <c r="T876">
        <f>IF(AND(ISNUMBER('자료_거시'!$D858),ISNUMBER('자료_거시'!$E858)),IFERROR('자료_거시'!$E858-INDEX($S$21:$S$4020,MATCH(EDATE('자료_거시'!$D858,-'설정'!$B$17),'자료_거시'!$D$3:INDEX('자료_거시'!$D$3:$D$4002,$K$6),1)),""),"")</f>
        <v/>
      </c>
      <c r="U876">
        <f>IF(ISNUMBER(T876),'자료_거시'!$D858,"")</f>
        <v/>
      </c>
      <c r="V876">
        <f>IF(ISNUMBER(U876),IF(U876&gt;$L$6,T876,""),"")</f>
        <v/>
      </c>
      <c r="W876">
        <f>IF(AND(ISNUMBER('자료_거시'!$G858),ISNUMBER('자료_거시'!$H858)),'자료_거시'!$H858,"")</f>
        <v/>
      </c>
      <c r="X876">
        <f>IF(ISNUMBER(W876),'자료_거시'!$G858,"")</f>
        <v/>
      </c>
      <c r="Y876">
        <f>IF(ISNUMBER(X876),IF(X876&gt;$L$7,W876,""),"")</f>
        <v/>
      </c>
      <c r="Z876">
        <f>IF(ISNUMBER('자료_거시'!$K858),'자료_거시'!$K858,Z875)</f>
        <v/>
      </c>
      <c r="AA876">
        <f>IF(AND(ISNUMBER('자료_거시'!$J858),ISNUMBER('자료_거시'!$K858)),IFERROR('자료_거시'!$K858/INDEX($Z$21:$Z$4020,MATCH(EDATE('자료_거시'!$J858,-'설정'!$B$17),'자료_거시'!$J$3:INDEX('자료_거시'!$J$3:$J$4002,$K$8),1))-1,""),"")</f>
        <v/>
      </c>
      <c r="AB876">
        <f>IF(ISNUMBER(AA876),'자료_거시'!$J858,"")</f>
        <v/>
      </c>
      <c r="AC876">
        <f>IF(ISNUMBER(AB876),IF(AB876&gt;$L$8,AA876,""),"")</f>
        <v/>
      </c>
    </row>
    <row r="877">
      <c r="S877">
        <f>IF(ISNUMBER('자료_거시'!$E859),'자료_거시'!$E859,S876)</f>
        <v/>
      </c>
      <c r="T877">
        <f>IF(AND(ISNUMBER('자료_거시'!$D859),ISNUMBER('자료_거시'!$E859)),IFERROR('자료_거시'!$E859-INDEX($S$21:$S$4020,MATCH(EDATE('자료_거시'!$D859,-'설정'!$B$17),'자료_거시'!$D$3:INDEX('자료_거시'!$D$3:$D$4002,$K$6),1)),""),"")</f>
        <v/>
      </c>
      <c r="U877">
        <f>IF(ISNUMBER(T877),'자료_거시'!$D859,"")</f>
        <v/>
      </c>
      <c r="V877">
        <f>IF(ISNUMBER(U877),IF(U877&gt;$L$6,T877,""),"")</f>
        <v/>
      </c>
      <c r="W877">
        <f>IF(AND(ISNUMBER('자료_거시'!$G859),ISNUMBER('자료_거시'!$H859)),'자료_거시'!$H859,"")</f>
        <v/>
      </c>
      <c r="X877">
        <f>IF(ISNUMBER(W877),'자료_거시'!$G859,"")</f>
        <v/>
      </c>
      <c r="Y877">
        <f>IF(ISNUMBER(X877),IF(X877&gt;$L$7,W877,""),"")</f>
        <v/>
      </c>
      <c r="Z877">
        <f>IF(ISNUMBER('자료_거시'!$K859),'자료_거시'!$K859,Z876)</f>
        <v/>
      </c>
      <c r="AA877">
        <f>IF(AND(ISNUMBER('자료_거시'!$J859),ISNUMBER('자료_거시'!$K859)),IFERROR('자료_거시'!$K859/INDEX($Z$21:$Z$4020,MATCH(EDATE('자료_거시'!$J859,-'설정'!$B$17),'자료_거시'!$J$3:INDEX('자료_거시'!$J$3:$J$4002,$K$8),1))-1,""),"")</f>
        <v/>
      </c>
      <c r="AB877">
        <f>IF(ISNUMBER(AA877),'자료_거시'!$J859,"")</f>
        <v/>
      </c>
      <c r="AC877">
        <f>IF(ISNUMBER(AB877),IF(AB877&gt;$L$8,AA877,""),"")</f>
        <v/>
      </c>
    </row>
    <row r="878">
      <c r="S878">
        <f>IF(ISNUMBER('자료_거시'!$E860),'자료_거시'!$E860,S877)</f>
        <v/>
      </c>
      <c r="T878">
        <f>IF(AND(ISNUMBER('자료_거시'!$D860),ISNUMBER('자료_거시'!$E860)),IFERROR('자료_거시'!$E860-INDEX($S$21:$S$4020,MATCH(EDATE('자료_거시'!$D860,-'설정'!$B$17),'자료_거시'!$D$3:INDEX('자료_거시'!$D$3:$D$4002,$K$6),1)),""),"")</f>
        <v/>
      </c>
      <c r="U878">
        <f>IF(ISNUMBER(T878),'자료_거시'!$D860,"")</f>
        <v/>
      </c>
      <c r="V878">
        <f>IF(ISNUMBER(U878),IF(U878&gt;$L$6,T878,""),"")</f>
        <v/>
      </c>
      <c r="W878">
        <f>IF(AND(ISNUMBER('자료_거시'!$G860),ISNUMBER('자료_거시'!$H860)),'자료_거시'!$H860,"")</f>
        <v/>
      </c>
      <c r="X878">
        <f>IF(ISNUMBER(W878),'자료_거시'!$G860,"")</f>
        <v/>
      </c>
      <c r="Y878">
        <f>IF(ISNUMBER(X878),IF(X878&gt;$L$7,W878,""),"")</f>
        <v/>
      </c>
      <c r="Z878">
        <f>IF(ISNUMBER('자료_거시'!$K860),'자료_거시'!$K860,Z877)</f>
        <v/>
      </c>
      <c r="AA878">
        <f>IF(AND(ISNUMBER('자료_거시'!$J860),ISNUMBER('자료_거시'!$K860)),IFERROR('자료_거시'!$K860/INDEX($Z$21:$Z$4020,MATCH(EDATE('자료_거시'!$J860,-'설정'!$B$17),'자료_거시'!$J$3:INDEX('자료_거시'!$J$3:$J$4002,$K$8),1))-1,""),"")</f>
        <v/>
      </c>
      <c r="AB878">
        <f>IF(ISNUMBER(AA878),'자료_거시'!$J860,"")</f>
        <v/>
      </c>
      <c r="AC878">
        <f>IF(ISNUMBER(AB878),IF(AB878&gt;$L$8,AA878,""),"")</f>
        <v/>
      </c>
    </row>
    <row r="879">
      <c r="S879">
        <f>IF(ISNUMBER('자료_거시'!$E861),'자료_거시'!$E861,S878)</f>
        <v/>
      </c>
      <c r="T879">
        <f>IF(AND(ISNUMBER('자료_거시'!$D861),ISNUMBER('자료_거시'!$E861)),IFERROR('자료_거시'!$E861-INDEX($S$21:$S$4020,MATCH(EDATE('자료_거시'!$D861,-'설정'!$B$17),'자료_거시'!$D$3:INDEX('자료_거시'!$D$3:$D$4002,$K$6),1)),""),"")</f>
        <v/>
      </c>
      <c r="U879">
        <f>IF(ISNUMBER(T879),'자료_거시'!$D861,"")</f>
        <v/>
      </c>
      <c r="V879">
        <f>IF(ISNUMBER(U879),IF(U879&gt;$L$6,T879,""),"")</f>
        <v/>
      </c>
      <c r="W879">
        <f>IF(AND(ISNUMBER('자료_거시'!$G861),ISNUMBER('자료_거시'!$H861)),'자료_거시'!$H861,"")</f>
        <v/>
      </c>
      <c r="X879">
        <f>IF(ISNUMBER(W879),'자료_거시'!$G861,"")</f>
        <v/>
      </c>
      <c r="Y879">
        <f>IF(ISNUMBER(X879),IF(X879&gt;$L$7,W879,""),"")</f>
        <v/>
      </c>
      <c r="Z879">
        <f>IF(ISNUMBER('자료_거시'!$K861),'자료_거시'!$K861,Z878)</f>
        <v/>
      </c>
      <c r="AA879">
        <f>IF(AND(ISNUMBER('자료_거시'!$J861),ISNUMBER('자료_거시'!$K861)),IFERROR('자료_거시'!$K861/INDEX($Z$21:$Z$4020,MATCH(EDATE('자료_거시'!$J861,-'설정'!$B$17),'자료_거시'!$J$3:INDEX('자료_거시'!$J$3:$J$4002,$K$8),1))-1,""),"")</f>
        <v/>
      </c>
      <c r="AB879">
        <f>IF(ISNUMBER(AA879),'자료_거시'!$J861,"")</f>
        <v/>
      </c>
      <c r="AC879">
        <f>IF(ISNUMBER(AB879),IF(AB879&gt;$L$8,AA879,""),"")</f>
        <v/>
      </c>
    </row>
    <row r="880">
      <c r="S880">
        <f>IF(ISNUMBER('자료_거시'!$E862),'자료_거시'!$E862,S879)</f>
        <v/>
      </c>
      <c r="T880">
        <f>IF(AND(ISNUMBER('자료_거시'!$D862),ISNUMBER('자료_거시'!$E862)),IFERROR('자료_거시'!$E862-INDEX($S$21:$S$4020,MATCH(EDATE('자료_거시'!$D862,-'설정'!$B$17),'자료_거시'!$D$3:INDEX('자료_거시'!$D$3:$D$4002,$K$6),1)),""),"")</f>
        <v/>
      </c>
      <c r="U880">
        <f>IF(ISNUMBER(T880),'자료_거시'!$D862,"")</f>
        <v/>
      </c>
      <c r="V880">
        <f>IF(ISNUMBER(U880),IF(U880&gt;$L$6,T880,""),"")</f>
        <v/>
      </c>
      <c r="W880">
        <f>IF(AND(ISNUMBER('자료_거시'!$G862),ISNUMBER('자료_거시'!$H862)),'자료_거시'!$H862,"")</f>
        <v/>
      </c>
      <c r="X880">
        <f>IF(ISNUMBER(W880),'자료_거시'!$G862,"")</f>
        <v/>
      </c>
      <c r="Y880">
        <f>IF(ISNUMBER(X880),IF(X880&gt;$L$7,W880,""),"")</f>
        <v/>
      </c>
      <c r="Z880">
        <f>IF(ISNUMBER('자료_거시'!$K862),'자료_거시'!$K862,Z879)</f>
        <v/>
      </c>
      <c r="AA880">
        <f>IF(AND(ISNUMBER('자료_거시'!$J862),ISNUMBER('자료_거시'!$K862)),IFERROR('자료_거시'!$K862/INDEX($Z$21:$Z$4020,MATCH(EDATE('자료_거시'!$J862,-'설정'!$B$17),'자료_거시'!$J$3:INDEX('자료_거시'!$J$3:$J$4002,$K$8),1))-1,""),"")</f>
        <v/>
      </c>
      <c r="AB880">
        <f>IF(ISNUMBER(AA880),'자료_거시'!$J862,"")</f>
        <v/>
      </c>
      <c r="AC880">
        <f>IF(ISNUMBER(AB880),IF(AB880&gt;$L$8,AA880,""),"")</f>
        <v/>
      </c>
    </row>
    <row r="881">
      <c r="S881">
        <f>IF(ISNUMBER('자료_거시'!$E863),'자료_거시'!$E863,S880)</f>
        <v/>
      </c>
      <c r="T881">
        <f>IF(AND(ISNUMBER('자료_거시'!$D863),ISNUMBER('자료_거시'!$E863)),IFERROR('자료_거시'!$E863-INDEX($S$21:$S$4020,MATCH(EDATE('자료_거시'!$D863,-'설정'!$B$17),'자료_거시'!$D$3:INDEX('자료_거시'!$D$3:$D$4002,$K$6),1)),""),"")</f>
        <v/>
      </c>
      <c r="U881">
        <f>IF(ISNUMBER(T881),'자료_거시'!$D863,"")</f>
        <v/>
      </c>
      <c r="V881">
        <f>IF(ISNUMBER(U881),IF(U881&gt;$L$6,T881,""),"")</f>
        <v/>
      </c>
      <c r="W881">
        <f>IF(AND(ISNUMBER('자료_거시'!$G863),ISNUMBER('자료_거시'!$H863)),'자료_거시'!$H863,"")</f>
        <v/>
      </c>
      <c r="X881">
        <f>IF(ISNUMBER(W881),'자료_거시'!$G863,"")</f>
        <v/>
      </c>
      <c r="Y881">
        <f>IF(ISNUMBER(X881),IF(X881&gt;$L$7,W881,""),"")</f>
        <v/>
      </c>
      <c r="Z881">
        <f>IF(ISNUMBER('자료_거시'!$K863),'자료_거시'!$K863,Z880)</f>
        <v/>
      </c>
      <c r="AA881">
        <f>IF(AND(ISNUMBER('자료_거시'!$J863),ISNUMBER('자료_거시'!$K863)),IFERROR('자료_거시'!$K863/INDEX($Z$21:$Z$4020,MATCH(EDATE('자료_거시'!$J863,-'설정'!$B$17),'자료_거시'!$J$3:INDEX('자료_거시'!$J$3:$J$4002,$K$8),1))-1,""),"")</f>
        <v/>
      </c>
      <c r="AB881">
        <f>IF(ISNUMBER(AA881),'자료_거시'!$J863,"")</f>
        <v/>
      </c>
      <c r="AC881">
        <f>IF(ISNUMBER(AB881),IF(AB881&gt;$L$8,AA881,""),"")</f>
        <v/>
      </c>
    </row>
    <row r="882">
      <c r="S882">
        <f>IF(ISNUMBER('자료_거시'!$E864),'자료_거시'!$E864,S881)</f>
        <v/>
      </c>
      <c r="T882">
        <f>IF(AND(ISNUMBER('자료_거시'!$D864),ISNUMBER('자료_거시'!$E864)),IFERROR('자료_거시'!$E864-INDEX($S$21:$S$4020,MATCH(EDATE('자료_거시'!$D864,-'설정'!$B$17),'자료_거시'!$D$3:INDEX('자료_거시'!$D$3:$D$4002,$K$6),1)),""),"")</f>
        <v/>
      </c>
      <c r="U882">
        <f>IF(ISNUMBER(T882),'자료_거시'!$D864,"")</f>
        <v/>
      </c>
      <c r="V882">
        <f>IF(ISNUMBER(U882),IF(U882&gt;$L$6,T882,""),"")</f>
        <v/>
      </c>
      <c r="W882">
        <f>IF(AND(ISNUMBER('자료_거시'!$G864),ISNUMBER('자료_거시'!$H864)),'자료_거시'!$H864,"")</f>
        <v/>
      </c>
      <c r="X882">
        <f>IF(ISNUMBER(W882),'자료_거시'!$G864,"")</f>
        <v/>
      </c>
      <c r="Y882">
        <f>IF(ISNUMBER(X882),IF(X882&gt;$L$7,W882,""),"")</f>
        <v/>
      </c>
      <c r="Z882">
        <f>IF(ISNUMBER('자료_거시'!$K864),'자료_거시'!$K864,Z881)</f>
        <v/>
      </c>
      <c r="AA882">
        <f>IF(AND(ISNUMBER('자료_거시'!$J864),ISNUMBER('자료_거시'!$K864)),IFERROR('자료_거시'!$K864/INDEX($Z$21:$Z$4020,MATCH(EDATE('자료_거시'!$J864,-'설정'!$B$17),'자료_거시'!$J$3:INDEX('자료_거시'!$J$3:$J$4002,$K$8),1))-1,""),"")</f>
        <v/>
      </c>
      <c r="AB882">
        <f>IF(ISNUMBER(AA882),'자료_거시'!$J864,"")</f>
        <v/>
      </c>
      <c r="AC882">
        <f>IF(ISNUMBER(AB882),IF(AB882&gt;$L$8,AA882,""),"")</f>
        <v/>
      </c>
    </row>
    <row r="883">
      <c r="S883">
        <f>IF(ISNUMBER('자료_거시'!$E865),'자료_거시'!$E865,S882)</f>
        <v/>
      </c>
      <c r="T883">
        <f>IF(AND(ISNUMBER('자료_거시'!$D865),ISNUMBER('자료_거시'!$E865)),IFERROR('자료_거시'!$E865-INDEX($S$21:$S$4020,MATCH(EDATE('자료_거시'!$D865,-'설정'!$B$17),'자료_거시'!$D$3:INDEX('자료_거시'!$D$3:$D$4002,$K$6),1)),""),"")</f>
        <v/>
      </c>
      <c r="U883">
        <f>IF(ISNUMBER(T883),'자료_거시'!$D865,"")</f>
        <v/>
      </c>
      <c r="V883">
        <f>IF(ISNUMBER(U883),IF(U883&gt;$L$6,T883,""),"")</f>
        <v/>
      </c>
      <c r="W883">
        <f>IF(AND(ISNUMBER('자료_거시'!$G865),ISNUMBER('자료_거시'!$H865)),'자료_거시'!$H865,"")</f>
        <v/>
      </c>
      <c r="X883">
        <f>IF(ISNUMBER(W883),'자료_거시'!$G865,"")</f>
        <v/>
      </c>
      <c r="Y883">
        <f>IF(ISNUMBER(X883),IF(X883&gt;$L$7,W883,""),"")</f>
        <v/>
      </c>
      <c r="Z883">
        <f>IF(ISNUMBER('자료_거시'!$K865),'자료_거시'!$K865,Z882)</f>
        <v/>
      </c>
      <c r="AA883">
        <f>IF(AND(ISNUMBER('자료_거시'!$J865),ISNUMBER('자료_거시'!$K865)),IFERROR('자료_거시'!$K865/INDEX($Z$21:$Z$4020,MATCH(EDATE('자료_거시'!$J865,-'설정'!$B$17),'자료_거시'!$J$3:INDEX('자료_거시'!$J$3:$J$4002,$K$8),1))-1,""),"")</f>
        <v/>
      </c>
      <c r="AB883">
        <f>IF(ISNUMBER(AA883),'자료_거시'!$J865,"")</f>
        <v/>
      </c>
      <c r="AC883">
        <f>IF(ISNUMBER(AB883),IF(AB883&gt;$L$8,AA883,""),"")</f>
        <v/>
      </c>
    </row>
    <row r="884">
      <c r="S884">
        <f>IF(ISNUMBER('자료_거시'!$E866),'자료_거시'!$E866,S883)</f>
        <v/>
      </c>
      <c r="T884">
        <f>IF(AND(ISNUMBER('자료_거시'!$D866),ISNUMBER('자료_거시'!$E866)),IFERROR('자료_거시'!$E866-INDEX($S$21:$S$4020,MATCH(EDATE('자료_거시'!$D866,-'설정'!$B$17),'자료_거시'!$D$3:INDEX('자료_거시'!$D$3:$D$4002,$K$6),1)),""),"")</f>
        <v/>
      </c>
      <c r="U884">
        <f>IF(ISNUMBER(T884),'자료_거시'!$D866,"")</f>
        <v/>
      </c>
      <c r="V884">
        <f>IF(ISNUMBER(U884),IF(U884&gt;$L$6,T884,""),"")</f>
        <v/>
      </c>
      <c r="W884">
        <f>IF(AND(ISNUMBER('자료_거시'!$G866),ISNUMBER('자료_거시'!$H866)),'자료_거시'!$H866,"")</f>
        <v/>
      </c>
      <c r="X884">
        <f>IF(ISNUMBER(W884),'자료_거시'!$G866,"")</f>
        <v/>
      </c>
      <c r="Y884">
        <f>IF(ISNUMBER(X884),IF(X884&gt;$L$7,W884,""),"")</f>
        <v/>
      </c>
      <c r="Z884">
        <f>IF(ISNUMBER('자료_거시'!$K866),'자료_거시'!$K866,Z883)</f>
        <v/>
      </c>
      <c r="AA884">
        <f>IF(AND(ISNUMBER('자료_거시'!$J866),ISNUMBER('자료_거시'!$K866)),IFERROR('자료_거시'!$K866/INDEX($Z$21:$Z$4020,MATCH(EDATE('자료_거시'!$J866,-'설정'!$B$17),'자료_거시'!$J$3:INDEX('자료_거시'!$J$3:$J$4002,$K$8),1))-1,""),"")</f>
        <v/>
      </c>
      <c r="AB884">
        <f>IF(ISNUMBER(AA884),'자료_거시'!$J866,"")</f>
        <v/>
      </c>
      <c r="AC884">
        <f>IF(ISNUMBER(AB884),IF(AB884&gt;$L$8,AA884,""),"")</f>
        <v/>
      </c>
    </row>
    <row r="885">
      <c r="S885">
        <f>IF(ISNUMBER('자료_거시'!$E867),'자료_거시'!$E867,S884)</f>
        <v/>
      </c>
      <c r="T885">
        <f>IF(AND(ISNUMBER('자료_거시'!$D867),ISNUMBER('자료_거시'!$E867)),IFERROR('자료_거시'!$E867-INDEX($S$21:$S$4020,MATCH(EDATE('자료_거시'!$D867,-'설정'!$B$17),'자료_거시'!$D$3:INDEX('자료_거시'!$D$3:$D$4002,$K$6),1)),""),"")</f>
        <v/>
      </c>
      <c r="U885">
        <f>IF(ISNUMBER(T885),'자료_거시'!$D867,"")</f>
        <v/>
      </c>
      <c r="V885">
        <f>IF(ISNUMBER(U885),IF(U885&gt;$L$6,T885,""),"")</f>
        <v/>
      </c>
      <c r="W885">
        <f>IF(AND(ISNUMBER('자료_거시'!$G867),ISNUMBER('자료_거시'!$H867)),'자료_거시'!$H867,"")</f>
        <v/>
      </c>
      <c r="X885">
        <f>IF(ISNUMBER(W885),'자료_거시'!$G867,"")</f>
        <v/>
      </c>
      <c r="Y885">
        <f>IF(ISNUMBER(X885),IF(X885&gt;$L$7,W885,""),"")</f>
        <v/>
      </c>
      <c r="Z885">
        <f>IF(ISNUMBER('자료_거시'!$K867),'자료_거시'!$K867,Z884)</f>
        <v/>
      </c>
      <c r="AA885">
        <f>IF(AND(ISNUMBER('자료_거시'!$J867),ISNUMBER('자료_거시'!$K867)),IFERROR('자료_거시'!$K867/INDEX($Z$21:$Z$4020,MATCH(EDATE('자료_거시'!$J867,-'설정'!$B$17),'자료_거시'!$J$3:INDEX('자료_거시'!$J$3:$J$4002,$K$8),1))-1,""),"")</f>
        <v/>
      </c>
      <c r="AB885">
        <f>IF(ISNUMBER(AA885),'자료_거시'!$J867,"")</f>
        <v/>
      </c>
      <c r="AC885">
        <f>IF(ISNUMBER(AB885),IF(AB885&gt;$L$8,AA885,""),"")</f>
        <v/>
      </c>
    </row>
    <row r="886">
      <c r="S886">
        <f>IF(ISNUMBER('자료_거시'!$E868),'자료_거시'!$E868,S885)</f>
        <v/>
      </c>
      <c r="T886">
        <f>IF(AND(ISNUMBER('자료_거시'!$D868),ISNUMBER('자료_거시'!$E868)),IFERROR('자료_거시'!$E868-INDEX($S$21:$S$4020,MATCH(EDATE('자료_거시'!$D868,-'설정'!$B$17),'자료_거시'!$D$3:INDEX('자료_거시'!$D$3:$D$4002,$K$6),1)),""),"")</f>
        <v/>
      </c>
      <c r="U886">
        <f>IF(ISNUMBER(T886),'자료_거시'!$D868,"")</f>
        <v/>
      </c>
      <c r="V886">
        <f>IF(ISNUMBER(U886),IF(U886&gt;$L$6,T886,""),"")</f>
        <v/>
      </c>
      <c r="W886">
        <f>IF(AND(ISNUMBER('자료_거시'!$G868),ISNUMBER('자료_거시'!$H868)),'자료_거시'!$H868,"")</f>
        <v/>
      </c>
      <c r="X886">
        <f>IF(ISNUMBER(W886),'자료_거시'!$G868,"")</f>
        <v/>
      </c>
      <c r="Y886">
        <f>IF(ISNUMBER(X886),IF(X886&gt;$L$7,W886,""),"")</f>
        <v/>
      </c>
      <c r="Z886">
        <f>IF(ISNUMBER('자료_거시'!$K868),'자료_거시'!$K868,Z885)</f>
        <v/>
      </c>
      <c r="AA886">
        <f>IF(AND(ISNUMBER('자료_거시'!$J868),ISNUMBER('자료_거시'!$K868)),IFERROR('자료_거시'!$K868/INDEX($Z$21:$Z$4020,MATCH(EDATE('자료_거시'!$J868,-'설정'!$B$17),'자료_거시'!$J$3:INDEX('자료_거시'!$J$3:$J$4002,$K$8),1))-1,""),"")</f>
        <v/>
      </c>
      <c r="AB886">
        <f>IF(ISNUMBER(AA886),'자료_거시'!$J868,"")</f>
        <v/>
      </c>
      <c r="AC886">
        <f>IF(ISNUMBER(AB886),IF(AB886&gt;$L$8,AA886,""),"")</f>
        <v/>
      </c>
    </row>
    <row r="887">
      <c r="S887">
        <f>IF(ISNUMBER('자료_거시'!$E869),'자료_거시'!$E869,S886)</f>
        <v/>
      </c>
      <c r="T887">
        <f>IF(AND(ISNUMBER('자료_거시'!$D869),ISNUMBER('자료_거시'!$E869)),IFERROR('자료_거시'!$E869-INDEX($S$21:$S$4020,MATCH(EDATE('자료_거시'!$D869,-'설정'!$B$17),'자료_거시'!$D$3:INDEX('자료_거시'!$D$3:$D$4002,$K$6),1)),""),"")</f>
        <v/>
      </c>
      <c r="U887">
        <f>IF(ISNUMBER(T887),'자료_거시'!$D869,"")</f>
        <v/>
      </c>
      <c r="V887">
        <f>IF(ISNUMBER(U887),IF(U887&gt;$L$6,T887,""),"")</f>
        <v/>
      </c>
      <c r="W887">
        <f>IF(AND(ISNUMBER('자료_거시'!$G869),ISNUMBER('자료_거시'!$H869)),'자료_거시'!$H869,"")</f>
        <v/>
      </c>
      <c r="X887">
        <f>IF(ISNUMBER(W887),'자료_거시'!$G869,"")</f>
        <v/>
      </c>
      <c r="Y887">
        <f>IF(ISNUMBER(X887),IF(X887&gt;$L$7,W887,""),"")</f>
        <v/>
      </c>
      <c r="Z887">
        <f>IF(ISNUMBER('자료_거시'!$K869),'자료_거시'!$K869,Z886)</f>
        <v/>
      </c>
      <c r="AA887">
        <f>IF(AND(ISNUMBER('자료_거시'!$J869),ISNUMBER('자료_거시'!$K869)),IFERROR('자료_거시'!$K869/INDEX($Z$21:$Z$4020,MATCH(EDATE('자료_거시'!$J869,-'설정'!$B$17),'자료_거시'!$J$3:INDEX('자료_거시'!$J$3:$J$4002,$K$8),1))-1,""),"")</f>
        <v/>
      </c>
      <c r="AB887">
        <f>IF(ISNUMBER(AA887),'자료_거시'!$J869,"")</f>
        <v/>
      </c>
      <c r="AC887">
        <f>IF(ISNUMBER(AB887),IF(AB887&gt;$L$8,AA887,""),"")</f>
        <v/>
      </c>
    </row>
    <row r="888">
      <c r="S888">
        <f>IF(ISNUMBER('자료_거시'!$E870),'자료_거시'!$E870,S887)</f>
        <v/>
      </c>
      <c r="T888">
        <f>IF(AND(ISNUMBER('자료_거시'!$D870),ISNUMBER('자료_거시'!$E870)),IFERROR('자료_거시'!$E870-INDEX($S$21:$S$4020,MATCH(EDATE('자료_거시'!$D870,-'설정'!$B$17),'자료_거시'!$D$3:INDEX('자료_거시'!$D$3:$D$4002,$K$6),1)),""),"")</f>
        <v/>
      </c>
      <c r="U888">
        <f>IF(ISNUMBER(T888),'자료_거시'!$D870,"")</f>
        <v/>
      </c>
      <c r="V888">
        <f>IF(ISNUMBER(U888),IF(U888&gt;$L$6,T888,""),"")</f>
        <v/>
      </c>
      <c r="W888">
        <f>IF(AND(ISNUMBER('자료_거시'!$G870),ISNUMBER('자료_거시'!$H870)),'자료_거시'!$H870,"")</f>
        <v/>
      </c>
      <c r="X888">
        <f>IF(ISNUMBER(W888),'자료_거시'!$G870,"")</f>
        <v/>
      </c>
      <c r="Y888">
        <f>IF(ISNUMBER(X888),IF(X888&gt;$L$7,W888,""),"")</f>
        <v/>
      </c>
      <c r="Z888">
        <f>IF(ISNUMBER('자료_거시'!$K870),'자료_거시'!$K870,Z887)</f>
        <v/>
      </c>
      <c r="AA888">
        <f>IF(AND(ISNUMBER('자료_거시'!$J870),ISNUMBER('자료_거시'!$K870)),IFERROR('자료_거시'!$K870/INDEX($Z$21:$Z$4020,MATCH(EDATE('자료_거시'!$J870,-'설정'!$B$17),'자료_거시'!$J$3:INDEX('자료_거시'!$J$3:$J$4002,$K$8),1))-1,""),"")</f>
        <v/>
      </c>
      <c r="AB888">
        <f>IF(ISNUMBER(AA888),'자료_거시'!$J870,"")</f>
        <v/>
      </c>
      <c r="AC888">
        <f>IF(ISNUMBER(AB888),IF(AB888&gt;$L$8,AA888,""),"")</f>
        <v/>
      </c>
    </row>
    <row r="889">
      <c r="S889">
        <f>IF(ISNUMBER('자료_거시'!$E871),'자료_거시'!$E871,S888)</f>
        <v/>
      </c>
      <c r="T889">
        <f>IF(AND(ISNUMBER('자료_거시'!$D871),ISNUMBER('자료_거시'!$E871)),IFERROR('자료_거시'!$E871-INDEX($S$21:$S$4020,MATCH(EDATE('자료_거시'!$D871,-'설정'!$B$17),'자료_거시'!$D$3:INDEX('자료_거시'!$D$3:$D$4002,$K$6),1)),""),"")</f>
        <v/>
      </c>
      <c r="U889">
        <f>IF(ISNUMBER(T889),'자료_거시'!$D871,"")</f>
        <v/>
      </c>
      <c r="V889">
        <f>IF(ISNUMBER(U889),IF(U889&gt;$L$6,T889,""),"")</f>
        <v/>
      </c>
      <c r="W889">
        <f>IF(AND(ISNUMBER('자료_거시'!$G871),ISNUMBER('자료_거시'!$H871)),'자료_거시'!$H871,"")</f>
        <v/>
      </c>
      <c r="X889">
        <f>IF(ISNUMBER(W889),'자료_거시'!$G871,"")</f>
        <v/>
      </c>
      <c r="Y889">
        <f>IF(ISNUMBER(X889),IF(X889&gt;$L$7,W889,""),"")</f>
        <v/>
      </c>
      <c r="Z889">
        <f>IF(ISNUMBER('자료_거시'!$K871),'자료_거시'!$K871,Z888)</f>
        <v/>
      </c>
      <c r="AA889">
        <f>IF(AND(ISNUMBER('자료_거시'!$J871),ISNUMBER('자료_거시'!$K871)),IFERROR('자료_거시'!$K871/INDEX($Z$21:$Z$4020,MATCH(EDATE('자료_거시'!$J871,-'설정'!$B$17),'자료_거시'!$J$3:INDEX('자료_거시'!$J$3:$J$4002,$K$8),1))-1,""),"")</f>
        <v/>
      </c>
      <c r="AB889">
        <f>IF(ISNUMBER(AA889),'자료_거시'!$J871,"")</f>
        <v/>
      </c>
      <c r="AC889">
        <f>IF(ISNUMBER(AB889),IF(AB889&gt;$L$8,AA889,""),"")</f>
        <v/>
      </c>
    </row>
    <row r="890">
      <c r="S890">
        <f>IF(ISNUMBER('자료_거시'!$E872),'자료_거시'!$E872,S889)</f>
        <v/>
      </c>
      <c r="T890">
        <f>IF(AND(ISNUMBER('자료_거시'!$D872),ISNUMBER('자료_거시'!$E872)),IFERROR('자료_거시'!$E872-INDEX($S$21:$S$4020,MATCH(EDATE('자료_거시'!$D872,-'설정'!$B$17),'자료_거시'!$D$3:INDEX('자료_거시'!$D$3:$D$4002,$K$6),1)),""),"")</f>
        <v/>
      </c>
      <c r="U890">
        <f>IF(ISNUMBER(T890),'자료_거시'!$D872,"")</f>
        <v/>
      </c>
      <c r="V890">
        <f>IF(ISNUMBER(U890),IF(U890&gt;$L$6,T890,""),"")</f>
        <v/>
      </c>
      <c r="W890">
        <f>IF(AND(ISNUMBER('자료_거시'!$G872),ISNUMBER('자료_거시'!$H872)),'자료_거시'!$H872,"")</f>
        <v/>
      </c>
      <c r="X890">
        <f>IF(ISNUMBER(W890),'자료_거시'!$G872,"")</f>
        <v/>
      </c>
      <c r="Y890">
        <f>IF(ISNUMBER(X890),IF(X890&gt;$L$7,W890,""),"")</f>
        <v/>
      </c>
      <c r="Z890">
        <f>IF(ISNUMBER('자료_거시'!$K872),'자료_거시'!$K872,Z889)</f>
        <v/>
      </c>
      <c r="AA890">
        <f>IF(AND(ISNUMBER('자료_거시'!$J872),ISNUMBER('자료_거시'!$K872)),IFERROR('자료_거시'!$K872/INDEX($Z$21:$Z$4020,MATCH(EDATE('자료_거시'!$J872,-'설정'!$B$17),'자료_거시'!$J$3:INDEX('자료_거시'!$J$3:$J$4002,$K$8),1))-1,""),"")</f>
        <v/>
      </c>
      <c r="AB890">
        <f>IF(ISNUMBER(AA890),'자료_거시'!$J872,"")</f>
        <v/>
      </c>
      <c r="AC890">
        <f>IF(ISNUMBER(AB890),IF(AB890&gt;$L$8,AA890,""),"")</f>
        <v/>
      </c>
    </row>
    <row r="891">
      <c r="S891">
        <f>IF(ISNUMBER('자료_거시'!$E873),'자료_거시'!$E873,S890)</f>
        <v/>
      </c>
      <c r="T891">
        <f>IF(AND(ISNUMBER('자료_거시'!$D873),ISNUMBER('자료_거시'!$E873)),IFERROR('자료_거시'!$E873-INDEX($S$21:$S$4020,MATCH(EDATE('자료_거시'!$D873,-'설정'!$B$17),'자료_거시'!$D$3:INDEX('자료_거시'!$D$3:$D$4002,$K$6),1)),""),"")</f>
        <v/>
      </c>
      <c r="U891">
        <f>IF(ISNUMBER(T891),'자료_거시'!$D873,"")</f>
        <v/>
      </c>
      <c r="V891">
        <f>IF(ISNUMBER(U891),IF(U891&gt;$L$6,T891,""),"")</f>
        <v/>
      </c>
      <c r="W891">
        <f>IF(AND(ISNUMBER('자료_거시'!$G873),ISNUMBER('자료_거시'!$H873)),'자료_거시'!$H873,"")</f>
        <v/>
      </c>
      <c r="X891">
        <f>IF(ISNUMBER(W891),'자료_거시'!$G873,"")</f>
        <v/>
      </c>
      <c r="Y891">
        <f>IF(ISNUMBER(X891),IF(X891&gt;$L$7,W891,""),"")</f>
        <v/>
      </c>
      <c r="Z891">
        <f>IF(ISNUMBER('자료_거시'!$K873),'자료_거시'!$K873,Z890)</f>
        <v/>
      </c>
      <c r="AA891">
        <f>IF(AND(ISNUMBER('자료_거시'!$J873),ISNUMBER('자료_거시'!$K873)),IFERROR('자료_거시'!$K873/INDEX($Z$21:$Z$4020,MATCH(EDATE('자료_거시'!$J873,-'설정'!$B$17),'자료_거시'!$J$3:INDEX('자료_거시'!$J$3:$J$4002,$K$8),1))-1,""),"")</f>
        <v/>
      </c>
      <c r="AB891">
        <f>IF(ISNUMBER(AA891),'자료_거시'!$J873,"")</f>
        <v/>
      </c>
      <c r="AC891">
        <f>IF(ISNUMBER(AB891),IF(AB891&gt;$L$8,AA891,""),"")</f>
        <v/>
      </c>
    </row>
    <row r="892">
      <c r="S892">
        <f>IF(ISNUMBER('자료_거시'!$E874),'자료_거시'!$E874,S891)</f>
        <v/>
      </c>
      <c r="T892">
        <f>IF(AND(ISNUMBER('자료_거시'!$D874),ISNUMBER('자료_거시'!$E874)),IFERROR('자료_거시'!$E874-INDEX($S$21:$S$4020,MATCH(EDATE('자료_거시'!$D874,-'설정'!$B$17),'자료_거시'!$D$3:INDEX('자료_거시'!$D$3:$D$4002,$K$6),1)),""),"")</f>
        <v/>
      </c>
      <c r="U892">
        <f>IF(ISNUMBER(T892),'자료_거시'!$D874,"")</f>
        <v/>
      </c>
      <c r="V892">
        <f>IF(ISNUMBER(U892),IF(U892&gt;$L$6,T892,""),"")</f>
        <v/>
      </c>
      <c r="W892">
        <f>IF(AND(ISNUMBER('자료_거시'!$G874),ISNUMBER('자료_거시'!$H874)),'자료_거시'!$H874,"")</f>
        <v/>
      </c>
      <c r="X892">
        <f>IF(ISNUMBER(W892),'자료_거시'!$G874,"")</f>
        <v/>
      </c>
      <c r="Y892">
        <f>IF(ISNUMBER(X892),IF(X892&gt;$L$7,W892,""),"")</f>
        <v/>
      </c>
      <c r="Z892">
        <f>IF(ISNUMBER('자료_거시'!$K874),'자료_거시'!$K874,Z891)</f>
        <v/>
      </c>
      <c r="AA892">
        <f>IF(AND(ISNUMBER('자료_거시'!$J874),ISNUMBER('자료_거시'!$K874)),IFERROR('자료_거시'!$K874/INDEX($Z$21:$Z$4020,MATCH(EDATE('자료_거시'!$J874,-'설정'!$B$17),'자료_거시'!$J$3:INDEX('자료_거시'!$J$3:$J$4002,$K$8),1))-1,""),"")</f>
        <v/>
      </c>
      <c r="AB892">
        <f>IF(ISNUMBER(AA892),'자료_거시'!$J874,"")</f>
        <v/>
      </c>
      <c r="AC892">
        <f>IF(ISNUMBER(AB892),IF(AB892&gt;$L$8,AA892,""),"")</f>
        <v/>
      </c>
    </row>
    <row r="893">
      <c r="S893">
        <f>IF(ISNUMBER('자료_거시'!$E875),'자료_거시'!$E875,S892)</f>
        <v/>
      </c>
      <c r="T893">
        <f>IF(AND(ISNUMBER('자료_거시'!$D875),ISNUMBER('자료_거시'!$E875)),IFERROR('자료_거시'!$E875-INDEX($S$21:$S$4020,MATCH(EDATE('자료_거시'!$D875,-'설정'!$B$17),'자료_거시'!$D$3:INDEX('자료_거시'!$D$3:$D$4002,$K$6),1)),""),"")</f>
        <v/>
      </c>
      <c r="U893">
        <f>IF(ISNUMBER(T893),'자료_거시'!$D875,"")</f>
        <v/>
      </c>
      <c r="V893">
        <f>IF(ISNUMBER(U893),IF(U893&gt;$L$6,T893,""),"")</f>
        <v/>
      </c>
      <c r="W893">
        <f>IF(AND(ISNUMBER('자료_거시'!$G875),ISNUMBER('자료_거시'!$H875)),'자료_거시'!$H875,"")</f>
        <v/>
      </c>
      <c r="X893">
        <f>IF(ISNUMBER(W893),'자료_거시'!$G875,"")</f>
        <v/>
      </c>
      <c r="Y893">
        <f>IF(ISNUMBER(X893),IF(X893&gt;$L$7,W893,""),"")</f>
        <v/>
      </c>
      <c r="Z893">
        <f>IF(ISNUMBER('자료_거시'!$K875),'자료_거시'!$K875,Z892)</f>
        <v/>
      </c>
      <c r="AA893">
        <f>IF(AND(ISNUMBER('자료_거시'!$J875),ISNUMBER('자료_거시'!$K875)),IFERROR('자료_거시'!$K875/INDEX($Z$21:$Z$4020,MATCH(EDATE('자료_거시'!$J875,-'설정'!$B$17),'자료_거시'!$J$3:INDEX('자료_거시'!$J$3:$J$4002,$K$8),1))-1,""),"")</f>
        <v/>
      </c>
      <c r="AB893">
        <f>IF(ISNUMBER(AA893),'자료_거시'!$J875,"")</f>
        <v/>
      </c>
      <c r="AC893">
        <f>IF(ISNUMBER(AB893),IF(AB893&gt;$L$8,AA893,""),"")</f>
        <v/>
      </c>
    </row>
    <row r="894">
      <c r="S894">
        <f>IF(ISNUMBER('자료_거시'!$E876),'자료_거시'!$E876,S893)</f>
        <v/>
      </c>
      <c r="T894">
        <f>IF(AND(ISNUMBER('자료_거시'!$D876),ISNUMBER('자료_거시'!$E876)),IFERROR('자료_거시'!$E876-INDEX($S$21:$S$4020,MATCH(EDATE('자료_거시'!$D876,-'설정'!$B$17),'자료_거시'!$D$3:INDEX('자료_거시'!$D$3:$D$4002,$K$6),1)),""),"")</f>
        <v/>
      </c>
      <c r="U894">
        <f>IF(ISNUMBER(T894),'자료_거시'!$D876,"")</f>
        <v/>
      </c>
      <c r="V894">
        <f>IF(ISNUMBER(U894),IF(U894&gt;$L$6,T894,""),"")</f>
        <v/>
      </c>
      <c r="W894">
        <f>IF(AND(ISNUMBER('자료_거시'!$G876),ISNUMBER('자료_거시'!$H876)),'자료_거시'!$H876,"")</f>
        <v/>
      </c>
      <c r="X894">
        <f>IF(ISNUMBER(W894),'자료_거시'!$G876,"")</f>
        <v/>
      </c>
      <c r="Y894">
        <f>IF(ISNUMBER(X894),IF(X894&gt;$L$7,W894,""),"")</f>
        <v/>
      </c>
      <c r="Z894">
        <f>IF(ISNUMBER('자료_거시'!$K876),'자료_거시'!$K876,Z893)</f>
        <v/>
      </c>
      <c r="AA894">
        <f>IF(AND(ISNUMBER('자료_거시'!$J876),ISNUMBER('자료_거시'!$K876)),IFERROR('자료_거시'!$K876/INDEX($Z$21:$Z$4020,MATCH(EDATE('자료_거시'!$J876,-'설정'!$B$17),'자료_거시'!$J$3:INDEX('자료_거시'!$J$3:$J$4002,$K$8),1))-1,""),"")</f>
        <v/>
      </c>
      <c r="AB894">
        <f>IF(ISNUMBER(AA894),'자료_거시'!$J876,"")</f>
        <v/>
      </c>
      <c r="AC894">
        <f>IF(ISNUMBER(AB894),IF(AB894&gt;$L$8,AA894,""),"")</f>
        <v/>
      </c>
    </row>
    <row r="895">
      <c r="S895">
        <f>IF(ISNUMBER('자료_거시'!$E877),'자료_거시'!$E877,S894)</f>
        <v/>
      </c>
      <c r="T895">
        <f>IF(AND(ISNUMBER('자료_거시'!$D877),ISNUMBER('자료_거시'!$E877)),IFERROR('자료_거시'!$E877-INDEX($S$21:$S$4020,MATCH(EDATE('자료_거시'!$D877,-'설정'!$B$17),'자료_거시'!$D$3:INDEX('자료_거시'!$D$3:$D$4002,$K$6),1)),""),"")</f>
        <v/>
      </c>
      <c r="U895">
        <f>IF(ISNUMBER(T895),'자료_거시'!$D877,"")</f>
        <v/>
      </c>
      <c r="V895">
        <f>IF(ISNUMBER(U895),IF(U895&gt;$L$6,T895,""),"")</f>
        <v/>
      </c>
      <c r="W895">
        <f>IF(AND(ISNUMBER('자료_거시'!$G877),ISNUMBER('자료_거시'!$H877)),'자료_거시'!$H877,"")</f>
        <v/>
      </c>
      <c r="X895">
        <f>IF(ISNUMBER(W895),'자료_거시'!$G877,"")</f>
        <v/>
      </c>
      <c r="Y895">
        <f>IF(ISNUMBER(X895),IF(X895&gt;$L$7,W895,""),"")</f>
        <v/>
      </c>
      <c r="Z895">
        <f>IF(ISNUMBER('자료_거시'!$K877),'자료_거시'!$K877,Z894)</f>
        <v/>
      </c>
      <c r="AA895">
        <f>IF(AND(ISNUMBER('자료_거시'!$J877),ISNUMBER('자료_거시'!$K877)),IFERROR('자료_거시'!$K877/INDEX($Z$21:$Z$4020,MATCH(EDATE('자료_거시'!$J877,-'설정'!$B$17),'자료_거시'!$J$3:INDEX('자료_거시'!$J$3:$J$4002,$K$8),1))-1,""),"")</f>
        <v/>
      </c>
      <c r="AB895">
        <f>IF(ISNUMBER(AA895),'자료_거시'!$J877,"")</f>
        <v/>
      </c>
      <c r="AC895">
        <f>IF(ISNUMBER(AB895),IF(AB895&gt;$L$8,AA895,""),"")</f>
        <v/>
      </c>
    </row>
    <row r="896">
      <c r="S896">
        <f>IF(ISNUMBER('자료_거시'!$E878),'자료_거시'!$E878,S895)</f>
        <v/>
      </c>
      <c r="T896">
        <f>IF(AND(ISNUMBER('자료_거시'!$D878),ISNUMBER('자료_거시'!$E878)),IFERROR('자료_거시'!$E878-INDEX($S$21:$S$4020,MATCH(EDATE('자료_거시'!$D878,-'설정'!$B$17),'자료_거시'!$D$3:INDEX('자료_거시'!$D$3:$D$4002,$K$6),1)),""),"")</f>
        <v/>
      </c>
      <c r="U896">
        <f>IF(ISNUMBER(T896),'자료_거시'!$D878,"")</f>
        <v/>
      </c>
      <c r="V896">
        <f>IF(ISNUMBER(U896),IF(U896&gt;$L$6,T896,""),"")</f>
        <v/>
      </c>
      <c r="W896">
        <f>IF(AND(ISNUMBER('자료_거시'!$G878),ISNUMBER('자료_거시'!$H878)),'자료_거시'!$H878,"")</f>
        <v/>
      </c>
      <c r="X896">
        <f>IF(ISNUMBER(W896),'자료_거시'!$G878,"")</f>
        <v/>
      </c>
      <c r="Y896">
        <f>IF(ISNUMBER(X896),IF(X896&gt;$L$7,W896,""),"")</f>
        <v/>
      </c>
      <c r="Z896">
        <f>IF(ISNUMBER('자료_거시'!$K878),'자료_거시'!$K878,Z895)</f>
        <v/>
      </c>
      <c r="AA896">
        <f>IF(AND(ISNUMBER('자료_거시'!$J878),ISNUMBER('자료_거시'!$K878)),IFERROR('자료_거시'!$K878/INDEX($Z$21:$Z$4020,MATCH(EDATE('자료_거시'!$J878,-'설정'!$B$17),'자료_거시'!$J$3:INDEX('자료_거시'!$J$3:$J$4002,$K$8),1))-1,""),"")</f>
        <v/>
      </c>
      <c r="AB896">
        <f>IF(ISNUMBER(AA896),'자료_거시'!$J878,"")</f>
        <v/>
      </c>
      <c r="AC896">
        <f>IF(ISNUMBER(AB896),IF(AB896&gt;$L$8,AA896,""),"")</f>
        <v/>
      </c>
    </row>
    <row r="897">
      <c r="S897">
        <f>IF(ISNUMBER('자료_거시'!$E879),'자료_거시'!$E879,S896)</f>
        <v/>
      </c>
      <c r="T897">
        <f>IF(AND(ISNUMBER('자료_거시'!$D879),ISNUMBER('자료_거시'!$E879)),IFERROR('자료_거시'!$E879-INDEX($S$21:$S$4020,MATCH(EDATE('자료_거시'!$D879,-'설정'!$B$17),'자료_거시'!$D$3:INDEX('자료_거시'!$D$3:$D$4002,$K$6),1)),""),"")</f>
        <v/>
      </c>
      <c r="U897">
        <f>IF(ISNUMBER(T897),'자료_거시'!$D879,"")</f>
        <v/>
      </c>
      <c r="V897">
        <f>IF(ISNUMBER(U897),IF(U897&gt;$L$6,T897,""),"")</f>
        <v/>
      </c>
      <c r="W897">
        <f>IF(AND(ISNUMBER('자료_거시'!$G879),ISNUMBER('자료_거시'!$H879)),'자료_거시'!$H879,"")</f>
        <v/>
      </c>
      <c r="X897">
        <f>IF(ISNUMBER(W897),'자료_거시'!$G879,"")</f>
        <v/>
      </c>
      <c r="Y897">
        <f>IF(ISNUMBER(X897),IF(X897&gt;$L$7,W897,""),"")</f>
        <v/>
      </c>
      <c r="Z897">
        <f>IF(ISNUMBER('자료_거시'!$K879),'자료_거시'!$K879,Z896)</f>
        <v/>
      </c>
      <c r="AA897">
        <f>IF(AND(ISNUMBER('자료_거시'!$J879),ISNUMBER('자료_거시'!$K879)),IFERROR('자료_거시'!$K879/INDEX($Z$21:$Z$4020,MATCH(EDATE('자료_거시'!$J879,-'설정'!$B$17),'자료_거시'!$J$3:INDEX('자료_거시'!$J$3:$J$4002,$K$8),1))-1,""),"")</f>
        <v/>
      </c>
      <c r="AB897">
        <f>IF(ISNUMBER(AA897),'자료_거시'!$J879,"")</f>
        <v/>
      </c>
      <c r="AC897">
        <f>IF(ISNUMBER(AB897),IF(AB897&gt;$L$8,AA897,""),"")</f>
        <v/>
      </c>
    </row>
    <row r="898">
      <c r="S898">
        <f>IF(ISNUMBER('자료_거시'!$E880),'자료_거시'!$E880,S897)</f>
        <v/>
      </c>
      <c r="T898">
        <f>IF(AND(ISNUMBER('자료_거시'!$D880),ISNUMBER('자료_거시'!$E880)),IFERROR('자료_거시'!$E880-INDEX($S$21:$S$4020,MATCH(EDATE('자료_거시'!$D880,-'설정'!$B$17),'자료_거시'!$D$3:INDEX('자료_거시'!$D$3:$D$4002,$K$6),1)),""),"")</f>
        <v/>
      </c>
      <c r="U898">
        <f>IF(ISNUMBER(T898),'자료_거시'!$D880,"")</f>
        <v/>
      </c>
      <c r="V898">
        <f>IF(ISNUMBER(U898),IF(U898&gt;$L$6,T898,""),"")</f>
        <v/>
      </c>
      <c r="W898">
        <f>IF(AND(ISNUMBER('자료_거시'!$G880),ISNUMBER('자료_거시'!$H880)),'자료_거시'!$H880,"")</f>
        <v/>
      </c>
      <c r="X898">
        <f>IF(ISNUMBER(W898),'자료_거시'!$G880,"")</f>
        <v/>
      </c>
      <c r="Y898">
        <f>IF(ISNUMBER(X898),IF(X898&gt;$L$7,W898,""),"")</f>
        <v/>
      </c>
      <c r="Z898">
        <f>IF(ISNUMBER('자료_거시'!$K880),'자료_거시'!$K880,Z897)</f>
        <v/>
      </c>
      <c r="AA898">
        <f>IF(AND(ISNUMBER('자료_거시'!$J880),ISNUMBER('자료_거시'!$K880)),IFERROR('자료_거시'!$K880/INDEX($Z$21:$Z$4020,MATCH(EDATE('자료_거시'!$J880,-'설정'!$B$17),'자료_거시'!$J$3:INDEX('자료_거시'!$J$3:$J$4002,$K$8),1))-1,""),"")</f>
        <v/>
      </c>
      <c r="AB898">
        <f>IF(ISNUMBER(AA898),'자료_거시'!$J880,"")</f>
        <v/>
      </c>
      <c r="AC898">
        <f>IF(ISNUMBER(AB898),IF(AB898&gt;$L$8,AA898,""),"")</f>
        <v/>
      </c>
    </row>
    <row r="899">
      <c r="S899">
        <f>IF(ISNUMBER('자료_거시'!$E881),'자료_거시'!$E881,S898)</f>
        <v/>
      </c>
      <c r="T899">
        <f>IF(AND(ISNUMBER('자료_거시'!$D881),ISNUMBER('자료_거시'!$E881)),IFERROR('자료_거시'!$E881-INDEX($S$21:$S$4020,MATCH(EDATE('자료_거시'!$D881,-'설정'!$B$17),'자료_거시'!$D$3:INDEX('자료_거시'!$D$3:$D$4002,$K$6),1)),""),"")</f>
        <v/>
      </c>
      <c r="U899">
        <f>IF(ISNUMBER(T899),'자료_거시'!$D881,"")</f>
        <v/>
      </c>
      <c r="V899">
        <f>IF(ISNUMBER(U899),IF(U899&gt;$L$6,T899,""),"")</f>
        <v/>
      </c>
      <c r="W899">
        <f>IF(AND(ISNUMBER('자료_거시'!$G881),ISNUMBER('자료_거시'!$H881)),'자료_거시'!$H881,"")</f>
        <v/>
      </c>
      <c r="X899">
        <f>IF(ISNUMBER(W899),'자료_거시'!$G881,"")</f>
        <v/>
      </c>
      <c r="Y899">
        <f>IF(ISNUMBER(X899),IF(X899&gt;$L$7,W899,""),"")</f>
        <v/>
      </c>
      <c r="Z899">
        <f>IF(ISNUMBER('자료_거시'!$K881),'자료_거시'!$K881,Z898)</f>
        <v/>
      </c>
      <c r="AA899">
        <f>IF(AND(ISNUMBER('자료_거시'!$J881),ISNUMBER('자료_거시'!$K881)),IFERROR('자료_거시'!$K881/INDEX($Z$21:$Z$4020,MATCH(EDATE('자료_거시'!$J881,-'설정'!$B$17),'자료_거시'!$J$3:INDEX('자료_거시'!$J$3:$J$4002,$K$8),1))-1,""),"")</f>
        <v/>
      </c>
      <c r="AB899">
        <f>IF(ISNUMBER(AA899),'자료_거시'!$J881,"")</f>
        <v/>
      </c>
      <c r="AC899">
        <f>IF(ISNUMBER(AB899),IF(AB899&gt;$L$8,AA899,""),"")</f>
        <v/>
      </c>
    </row>
    <row r="900">
      <c r="S900">
        <f>IF(ISNUMBER('자료_거시'!$E882),'자료_거시'!$E882,S899)</f>
        <v/>
      </c>
      <c r="T900">
        <f>IF(AND(ISNUMBER('자료_거시'!$D882),ISNUMBER('자료_거시'!$E882)),IFERROR('자료_거시'!$E882-INDEX($S$21:$S$4020,MATCH(EDATE('자료_거시'!$D882,-'설정'!$B$17),'자료_거시'!$D$3:INDEX('자료_거시'!$D$3:$D$4002,$K$6),1)),""),"")</f>
        <v/>
      </c>
      <c r="U900">
        <f>IF(ISNUMBER(T900),'자료_거시'!$D882,"")</f>
        <v/>
      </c>
      <c r="V900">
        <f>IF(ISNUMBER(U900),IF(U900&gt;$L$6,T900,""),"")</f>
        <v/>
      </c>
      <c r="W900">
        <f>IF(AND(ISNUMBER('자료_거시'!$G882),ISNUMBER('자료_거시'!$H882)),'자료_거시'!$H882,"")</f>
        <v/>
      </c>
      <c r="X900">
        <f>IF(ISNUMBER(W900),'자료_거시'!$G882,"")</f>
        <v/>
      </c>
      <c r="Y900">
        <f>IF(ISNUMBER(X900),IF(X900&gt;$L$7,W900,""),"")</f>
        <v/>
      </c>
      <c r="Z900">
        <f>IF(ISNUMBER('자료_거시'!$K882),'자료_거시'!$K882,Z899)</f>
        <v/>
      </c>
      <c r="AA900">
        <f>IF(AND(ISNUMBER('자료_거시'!$J882),ISNUMBER('자료_거시'!$K882)),IFERROR('자료_거시'!$K882/INDEX($Z$21:$Z$4020,MATCH(EDATE('자료_거시'!$J882,-'설정'!$B$17),'자료_거시'!$J$3:INDEX('자료_거시'!$J$3:$J$4002,$K$8),1))-1,""),"")</f>
        <v/>
      </c>
      <c r="AB900">
        <f>IF(ISNUMBER(AA900),'자료_거시'!$J882,"")</f>
        <v/>
      </c>
      <c r="AC900">
        <f>IF(ISNUMBER(AB900),IF(AB900&gt;$L$8,AA900,""),"")</f>
        <v/>
      </c>
    </row>
    <row r="901">
      <c r="S901">
        <f>IF(ISNUMBER('자료_거시'!$E883),'자료_거시'!$E883,S900)</f>
        <v/>
      </c>
      <c r="T901">
        <f>IF(AND(ISNUMBER('자료_거시'!$D883),ISNUMBER('자료_거시'!$E883)),IFERROR('자료_거시'!$E883-INDEX($S$21:$S$4020,MATCH(EDATE('자료_거시'!$D883,-'설정'!$B$17),'자료_거시'!$D$3:INDEX('자료_거시'!$D$3:$D$4002,$K$6),1)),""),"")</f>
        <v/>
      </c>
      <c r="U901">
        <f>IF(ISNUMBER(T901),'자료_거시'!$D883,"")</f>
        <v/>
      </c>
      <c r="V901">
        <f>IF(ISNUMBER(U901),IF(U901&gt;$L$6,T901,""),"")</f>
        <v/>
      </c>
      <c r="W901">
        <f>IF(AND(ISNUMBER('자료_거시'!$G883),ISNUMBER('자료_거시'!$H883)),'자료_거시'!$H883,"")</f>
        <v/>
      </c>
      <c r="X901">
        <f>IF(ISNUMBER(W901),'자료_거시'!$G883,"")</f>
        <v/>
      </c>
      <c r="Y901">
        <f>IF(ISNUMBER(X901),IF(X901&gt;$L$7,W901,""),"")</f>
        <v/>
      </c>
      <c r="Z901">
        <f>IF(ISNUMBER('자료_거시'!$K883),'자료_거시'!$K883,Z900)</f>
        <v/>
      </c>
      <c r="AA901">
        <f>IF(AND(ISNUMBER('자료_거시'!$J883),ISNUMBER('자료_거시'!$K883)),IFERROR('자료_거시'!$K883/INDEX($Z$21:$Z$4020,MATCH(EDATE('자료_거시'!$J883,-'설정'!$B$17),'자료_거시'!$J$3:INDEX('자료_거시'!$J$3:$J$4002,$K$8),1))-1,""),"")</f>
        <v/>
      </c>
      <c r="AB901">
        <f>IF(ISNUMBER(AA901),'자료_거시'!$J883,"")</f>
        <v/>
      </c>
      <c r="AC901">
        <f>IF(ISNUMBER(AB901),IF(AB901&gt;$L$8,AA901,""),"")</f>
        <v/>
      </c>
    </row>
    <row r="902">
      <c r="S902">
        <f>IF(ISNUMBER('자료_거시'!$E884),'자료_거시'!$E884,S901)</f>
        <v/>
      </c>
      <c r="T902">
        <f>IF(AND(ISNUMBER('자료_거시'!$D884),ISNUMBER('자료_거시'!$E884)),IFERROR('자료_거시'!$E884-INDEX($S$21:$S$4020,MATCH(EDATE('자료_거시'!$D884,-'설정'!$B$17),'자료_거시'!$D$3:INDEX('자료_거시'!$D$3:$D$4002,$K$6),1)),""),"")</f>
        <v/>
      </c>
      <c r="U902">
        <f>IF(ISNUMBER(T902),'자료_거시'!$D884,"")</f>
        <v/>
      </c>
      <c r="V902">
        <f>IF(ISNUMBER(U902),IF(U902&gt;$L$6,T902,""),"")</f>
        <v/>
      </c>
      <c r="W902">
        <f>IF(AND(ISNUMBER('자료_거시'!$G884),ISNUMBER('자료_거시'!$H884)),'자료_거시'!$H884,"")</f>
        <v/>
      </c>
      <c r="X902">
        <f>IF(ISNUMBER(W902),'자료_거시'!$G884,"")</f>
        <v/>
      </c>
      <c r="Y902">
        <f>IF(ISNUMBER(X902),IF(X902&gt;$L$7,W902,""),"")</f>
        <v/>
      </c>
      <c r="Z902">
        <f>IF(ISNUMBER('자료_거시'!$K884),'자료_거시'!$K884,Z901)</f>
        <v/>
      </c>
      <c r="AA902">
        <f>IF(AND(ISNUMBER('자료_거시'!$J884),ISNUMBER('자료_거시'!$K884)),IFERROR('자료_거시'!$K884/INDEX($Z$21:$Z$4020,MATCH(EDATE('자료_거시'!$J884,-'설정'!$B$17),'자료_거시'!$J$3:INDEX('자료_거시'!$J$3:$J$4002,$K$8),1))-1,""),"")</f>
        <v/>
      </c>
      <c r="AB902">
        <f>IF(ISNUMBER(AA902),'자료_거시'!$J884,"")</f>
        <v/>
      </c>
      <c r="AC902">
        <f>IF(ISNUMBER(AB902),IF(AB902&gt;$L$8,AA902,""),"")</f>
        <v/>
      </c>
    </row>
    <row r="903">
      <c r="S903">
        <f>IF(ISNUMBER('자료_거시'!$E885),'자료_거시'!$E885,S902)</f>
        <v/>
      </c>
      <c r="T903">
        <f>IF(AND(ISNUMBER('자료_거시'!$D885),ISNUMBER('자료_거시'!$E885)),IFERROR('자료_거시'!$E885-INDEX($S$21:$S$4020,MATCH(EDATE('자료_거시'!$D885,-'설정'!$B$17),'자료_거시'!$D$3:INDEX('자료_거시'!$D$3:$D$4002,$K$6),1)),""),"")</f>
        <v/>
      </c>
      <c r="U903">
        <f>IF(ISNUMBER(T903),'자료_거시'!$D885,"")</f>
        <v/>
      </c>
      <c r="V903">
        <f>IF(ISNUMBER(U903),IF(U903&gt;$L$6,T903,""),"")</f>
        <v/>
      </c>
      <c r="W903">
        <f>IF(AND(ISNUMBER('자료_거시'!$G885),ISNUMBER('자료_거시'!$H885)),'자료_거시'!$H885,"")</f>
        <v/>
      </c>
      <c r="X903">
        <f>IF(ISNUMBER(W903),'자료_거시'!$G885,"")</f>
        <v/>
      </c>
      <c r="Y903">
        <f>IF(ISNUMBER(X903),IF(X903&gt;$L$7,W903,""),"")</f>
        <v/>
      </c>
      <c r="Z903">
        <f>IF(ISNUMBER('자료_거시'!$K885),'자료_거시'!$K885,Z902)</f>
        <v/>
      </c>
      <c r="AA903">
        <f>IF(AND(ISNUMBER('자료_거시'!$J885),ISNUMBER('자료_거시'!$K885)),IFERROR('자료_거시'!$K885/INDEX($Z$21:$Z$4020,MATCH(EDATE('자료_거시'!$J885,-'설정'!$B$17),'자료_거시'!$J$3:INDEX('자료_거시'!$J$3:$J$4002,$K$8),1))-1,""),"")</f>
        <v/>
      </c>
      <c r="AB903">
        <f>IF(ISNUMBER(AA903),'자료_거시'!$J885,"")</f>
        <v/>
      </c>
      <c r="AC903">
        <f>IF(ISNUMBER(AB903),IF(AB903&gt;$L$8,AA903,""),"")</f>
        <v/>
      </c>
    </row>
    <row r="904">
      <c r="S904">
        <f>IF(ISNUMBER('자료_거시'!$E886),'자료_거시'!$E886,S903)</f>
        <v/>
      </c>
      <c r="T904">
        <f>IF(AND(ISNUMBER('자료_거시'!$D886),ISNUMBER('자료_거시'!$E886)),IFERROR('자료_거시'!$E886-INDEX($S$21:$S$4020,MATCH(EDATE('자료_거시'!$D886,-'설정'!$B$17),'자료_거시'!$D$3:INDEX('자료_거시'!$D$3:$D$4002,$K$6),1)),""),"")</f>
        <v/>
      </c>
      <c r="U904">
        <f>IF(ISNUMBER(T904),'자료_거시'!$D886,"")</f>
        <v/>
      </c>
      <c r="V904">
        <f>IF(ISNUMBER(U904),IF(U904&gt;$L$6,T904,""),"")</f>
        <v/>
      </c>
      <c r="W904">
        <f>IF(AND(ISNUMBER('자료_거시'!$G886),ISNUMBER('자료_거시'!$H886)),'자료_거시'!$H886,"")</f>
        <v/>
      </c>
      <c r="X904">
        <f>IF(ISNUMBER(W904),'자료_거시'!$G886,"")</f>
        <v/>
      </c>
      <c r="Y904">
        <f>IF(ISNUMBER(X904),IF(X904&gt;$L$7,W904,""),"")</f>
        <v/>
      </c>
      <c r="Z904">
        <f>IF(ISNUMBER('자료_거시'!$K886),'자료_거시'!$K886,Z903)</f>
        <v/>
      </c>
      <c r="AA904">
        <f>IF(AND(ISNUMBER('자료_거시'!$J886),ISNUMBER('자료_거시'!$K886)),IFERROR('자료_거시'!$K886/INDEX($Z$21:$Z$4020,MATCH(EDATE('자료_거시'!$J886,-'설정'!$B$17),'자료_거시'!$J$3:INDEX('자료_거시'!$J$3:$J$4002,$K$8),1))-1,""),"")</f>
        <v/>
      </c>
      <c r="AB904">
        <f>IF(ISNUMBER(AA904),'자료_거시'!$J886,"")</f>
        <v/>
      </c>
      <c r="AC904">
        <f>IF(ISNUMBER(AB904),IF(AB904&gt;$L$8,AA904,""),"")</f>
        <v/>
      </c>
    </row>
    <row r="905">
      <c r="S905">
        <f>IF(ISNUMBER('자료_거시'!$E887),'자료_거시'!$E887,S904)</f>
        <v/>
      </c>
      <c r="T905">
        <f>IF(AND(ISNUMBER('자료_거시'!$D887),ISNUMBER('자료_거시'!$E887)),IFERROR('자료_거시'!$E887-INDEX($S$21:$S$4020,MATCH(EDATE('자료_거시'!$D887,-'설정'!$B$17),'자료_거시'!$D$3:INDEX('자료_거시'!$D$3:$D$4002,$K$6),1)),""),"")</f>
        <v/>
      </c>
      <c r="U905">
        <f>IF(ISNUMBER(T905),'자료_거시'!$D887,"")</f>
        <v/>
      </c>
      <c r="V905">
        <f>IF(ISNUMBER(U905),IF(U905&gt;$L$6,T905,""),"")</f>
        <v/>
      </c>
      <c r="W905">
        <f>IF(AND(ISNUMBER('자료_거시'!$G887),ISNUMBER('자료_거시'!$H887)),'자료_거시'!$H887,"")</f>
        <v/>
      </c>
      <c r="X905">
        <f>IF(ISNUMBER(W905),'자료_거시'!$G887,"")</f>
        <v/>
      </c>
      <c r="Y905">
        <f>IF(ISNUMBER(X905),IF(X905&gt;$L$7,W905,""),"")</f>
        <v/>
      </c>
      <c r="Z905">
        <f>IF(ISNUMBER('자료_거시'!$K887),'자료_거시'!$K887,Z904)</f>
        <v/>
      </c>
      <c r="AA905">
        <f>IF(AND(ISNUMBER('자료_거시'!$J887),ISNUMBER('자료_거시'!$K887)),IFERROR('자료_거시'!$K887/INDEX($Z$21:$Z$4020,MATCH(EDATE('자료_거시'!$J887,-'설정'!$B$17),'자료_거시'!$J$3:INDEX('자료_거시'!$J$3:$J$4002,$K$8),1))-1,""),"")</f>
        <v/>
      </c>
      <c r="AB905">
        <f>IF(ISNUMBER(AA905),'자료_거시'!$J887,"")</f>
        <v/>
      </c>
      <c r="AC905">
        <f>IF(ISNUMBER(AB905),IF(AB905&gt;$L$8,AA905,""),"")</f>
        <v/>
      </c>
    </row>
    <row r="906">
      <c r="S906">
        <f>IF(ISNUMBER('자료_거시'!$E888),'자료_거시'!$E888,S905)</f>
        <v/>
      </c>
      <c r="T906">
        <f>IF(AND(ISNUMBER('자료_거시'!$D888),ISNUMBER('자료_거시'!$E888)),IFERROR('자료_거시'!$E888-INDEX($S$21:$S$4020,MATCH(EDATE('자료_거시'!$D888,-'설정'!$B$17),'자료_거시'!$D$3:INDEX('자료_거시'!$D$3:$D$4002,$K$6),1)),""),"")</f>
        <v/>
      </c>
      <c r="U906">
        <f>IF(ISNUMBER(T906),'자료_거시'!$D888,"")</f>
        <v/>
      </c>
      <c r="V906">
        <f>IF(ISNUMBER(U906),IF(U906&gt;$L$6,T906,""),"")</f>
        <v/>
      </c>
      <c r="W906">
        <f>IF(AND(ISNUMBER('자료_거시'!$G888),ISNUMBER('자료_거시'!$H888)),'자료_거시'!$H888,"")</f>
        <v/>
      </c>
      <c r="X906">
        <f>IF(ISNUMBER(W906),'자료_거시'!$G888,"")</f>
        <v/>
      </c>
      <c r="Y906">
        <f>IF(ISNUMBER(X906),IF(X906&gt;$L$7,W906,""),"")</f>
        <v/>
      </c>
      <c r="Z906">
        <f>IF(ISNUMBER('자료_거시'!$K888),'자료_거시'!$K888,Z905)</f>
        <v/>
      </c>
      <c r="AA906">
        <f>IF(AND(ISNUMBER('자료_거시'!$J888),ISNUMBER('자료_거시'!$K888)),IFERROR('자료_거시'!$K888/INDEX($Z$21:$Z$4020,MATCH(EDATE('자료_거시'!$J888,-'설정'!$B$17),'자료_거시'!$J$3:INDEX('자료_거시'!$J$3:$J$4002,$K$8),1))-1,""),"")</f>
        <v/>
      </c>
      <c r="AB906">
        <f>IF(ISNUMBER(AA906),'자료_거시'!$J888,"")</f>
        <v/>
      </c>
      <c r="AC906">
        <f>IF(ISNUMBER(AB906),IF(AB906&gt;$L$8,AA906,""),"")</f>
        <v/>
      </c>
    </row>
    <row r="907">
      <c r="S907">
        <f>IF(ISNUMBER('자료_거시'!$E889),'자료_거시'!$E889,S906)</f>
        <v/>
      </c>
      <c r="T907">
        <f>IF(AND(ISNUMBER('자료_거시'!$D889),ISNUMBER('자료_거시'!$E889)),IFERROR('자료_거시'!$E889-INDEX($S$21:$S$4020,MATCH(EDATE('자료_거시'!$D889,-'설정'!$B$17),'자료_거시'!$D$3:INDEX('자료_거시'!$D$3:$D$4002,$K$6),1)),""),"")</f>
        <v/>
      </c>
      <c r="U907">
        <f>IF(ISNUMBER(T907),'자료_거시'!$D889,"")</f>
        <v/>
      </c>
      <c r="V907">
        <f>IF(ISNUMBER(U907),IF(U907&gt;$L$6,T907,""),"")</f>
        <v/>
      </c>
      <c r="W907">
        <f>IF(AND(ISNUMBER('자료_거시'!$G889),ISNUMBER('자료_거시'!$H889)),'자료_거시'!$H889,"")</f>
        <v/>
      </c>
      <c r="X907">
        <f>IF(ISNUMBER(W907),'자료_거시'!$G889,"")</f>
        <v/>
      </c>
      <c r="Y907">
        <f>IF(ISNUMBER(X907),IF(X907&gt;$L$7,W907,""),"")</f>
        <v/>
      </c>
      <c r="Z907">
        <f>IF(ISNUMBER('자료_거시'!$K889),'자료_거시'!$K889,Z906)</f>
        <v/>
      </c>
      <c r="AA907">
        <f>IF(AND(ISNUMBER('자료_거시'!$J889),ISNUMBER('자료_거시'!$K889)),IFERROR('자료_거시'!$K889/INDEX($Z$21:$Z$4020,MATCH(EDATE('자료_거시'!$J889,-'설정'!$B$17),'자료_거시'!$J$3:INDEX('자료_거시'!$J$3:$J$4002,$K$8),1))-1,""),"")</f>
        <v/>
      </c>
      <c r="AB907">
        <f>IF(ISNUMBER(AA907),'자료_거시'!$J889,"")</f>
        <v/>
      </c>
      <c r="AC907">
        <f>IF(ISNUMBER(AB907),IF(AB907&gt;$L$8,AA907,""),"")</f>
        <v/>
      </c>
    </row>
    <row r="908">
      <c r="S908">
        <f>IF(ISNUMBER('자료_거시'!$E890),'자료_거시'!$E890,S907)</f>
        <v/>
      </c>
      <c r="T908">
        <f>IF(AND(ISNUMBER('자료_거시'!$D890),ISNUMBER('자료_거시'!$E890)),IFERROR('자료_거시'!$E890-INDEX($S$21:$S$4020,MATCH(EDATE('자료_거시'!$D890,-'설정'!$B$17),'자료_거시'!$D$3:INDEX('자료_거시'!$D$3:$D$4002,$K$6),1)),""),"")</f>
        <v/>
      </c>
      <c r="U908">
        <f>IF(ISNUMBER(T908),'자료_거시'!$D890,"")</f>
        <v/>
      </c>
      <c r="V908">
        <f>IF(ISNUMBER(U908),IF(U908&gt;$L$6,T908,""),"")</f>
        <v/>
      </c>
      <c r="W908">
        <f>IF(AND(ISNUMBER('자료_거시'!$G890),ISNUMBER('자료_거시'!$H890)),'자료_거시'!$H890,"")</f>
        <v/>
      </c>
      <c r="X908">
        <f>IF(ISNUMBER(W908),'자료_거시'!$G890,"")</f>
        <v/>
      </c>
      <c r="Y908">
        <f>IF(ISNUMBER(X908),IF(X908&gt;$L$7,W908,""),"")</f>
        <v/>
      </c>
      <c r="Z908">
        <f>IF(ISNUMBER('자료_거시'!$K890),'자료_거시'!$K890,Z907)</f>
        <v/>
      </c>
      <c r="AA908">
        <f>IF(AND(ISNUMBER('자료_거시'!$J890),ISNUMBER('자료_거시'!$K890)),IFERROR('자료_거시'!$K890/INDEX($Z$21:$Z$4020,MATCH(EDATE('자료_거시'!$J890,-'설정'!$B$17),'자료_거시'!$J$3:INDEX('자료_거시'!$J$3:$J$4002,$K$8),1))-1,""),"")</f>
        <v/>
      </c>
      <c r="AB908">
        <f>IF(ISNUMBER(AA908),'자료_거시'!$J890,"")</f>
        <v/>
      </c>
      <c r="AC908">
        <f>IF(ISNUMBER(AB908),IF(AB908&gt;$L$8,AA908,""),"")</f>
        <v/>
      </c>
    </row>
    <row r="909">
      <c r="S909">
        <f>IF(ISNUMBER('자료_거시'!$E891),'자료_거시'!$E891,S908)</f>
        <v/>
      </c>
      <c r="T909">
        <f>IF(AND(ISNUMBER('자료_거시'!$D891),ISNUMBER('자료_거시'!$E891)),IFERROR('자료_거시'!$E891-INDEX($S$21:$S$4020,MATCH(EDATE('자료_거시'!$D891,-'설정'!$B$17),'자료_거시'!$D$3:INDEX('자료_거시'!$D$3:$D$4002,$K$6),1)),""),"")</f>
        <v/>
      </c>
      <c r="U909">
        <f>IF(ISNUMBER(T909),'자료_거시'!$D891,"")</f>
        <v/>
      </c>
      <c r="V909">
        <f>IF(ISNUMBER(U909),IF(U909&gt;$L$6,T909,""),"")</f>
        <v/>
      </c>
      <c r="W909">
        <f>IF(AND(ISNUMBER('자료_거시'!$G891),ISNUMBER('자료_거시'!$H891)),'자료_거시'!$H891,"")</f>
        <v/>
      </c>
      <c r="X909">
        <f>IF(ISNUMBER(W909),'자료_거시'!$G891,"")</f>
        <v/>
      </c>
      <c r="Y909">
        <f>IF(ISNUMBER(X909),IF(X909&gt;$L$7,W909,""),"")</f>
        <v/>
      </c>
      <c r="Z909">
        <f>IF(ISNUMBER('자료_거시'!$K891),'자료_거시'!$K891,Z908)</f>
        <v/>
      </c>
      <c r="AA909">
        <f>IF(AND(ISNUMBER('자료_거시'!$J891),ISNUMBER('자료_거시'!$K891)),IFERROR('자료_거시'!$K891/INDEX($Z$21:$Z$4020,MATCH(EDATE('자료_거시'!$J891,-'설정'!$B$17),'자료_거시'!$J$3:INDEX('자료_거시'!$J$3:$J$4002,$K$8),1))-1,""),"")</f>
        <v/>
      </c>
      <c r="AB909">
        <f>IF(ISNUMBER(AA909),'자료_거시'!$J891,"")</f>
        <v/>
      </c>
      <c r="AC909">
        <f>IF(ISNUMBER(AB909),IF(AB909&gt;$L$8,AA909,""),"")</f>
        <v/>
      </c>
    </row>
    <row r="910">
      <c r="S910">
        <f>IF(ISNUMBER('자료_거시'!$E892),'자료_거시'!$E892,S909)</f>
        <v/>
      </c>
      <c r="T910">
        <f>IF(AND(ISNUMBER('자료_거시'!$D892),ISNUMBER('자료_거시'!$E892)),IFERROR('자료_거시'!$E892-INDEX($S$21:$S$4020,MATCH(EDATE('자료_거시'!$D892,-'설정'!$B$17),'자료_거시'!$D$3:INDEX('자료_거시'!$D$3:$D$4002,$K$6),1)),""),"")</f>
        <v/>
      </c>
      <c r="U910">
        <f>IF(ISNUMBER(T910),'자료_거시'!$D892,"")</f>
        <v/>
      </c>
      <c r="V910">
        <f>IF(ISNUMBER(U910),IF(U910&gt;$L$6,T910,""),"")</f>
        <v/>
      </c>
      <c r="W910">
        <f>IF(AND(ISNUMBER('자료_거시'!$G892),ISNUMBER('자료_거시'!$H892)),'자료_거시'!$H892,"")</f>
        <v/>
      </c>
      <c r="X910">
        <f>IF(ISNUMBER(W910),'자료_거시'!$G892,"")</f>
        <v/>
      </c>
      <c r="Y910">
        <f>IF(ISNUMBER(X910),IF(X910&gt;$L$7,W910,""),"")</f>
        <v/>
      </c>
      <c r="Z910">
        <f>IF(ISNUMBER('자료_거시'!$K892),'자료_거시'!$K892,Z909)</f>
        <v/>
      </c>
      <c r="AA910">
        <f>IF(AND(ISNUMBER('자료_거시'!$J892),ISNUMBER('자료_거시'!$K892)),IFERROR('자료_거시'!$K892/INDEX($Z$21:$Z$4020,MATCH(EDATE('자료_거시'!$J892,-'설정'!$B$17),'자료_거시'!$J$3:INDEX('자료_거시'!$J$3:$J$4002,$K$8),1))-1,""),"")</f>
        <v/>
      </c>
      <c r="AB910">
        <f>IF(ISNUMBER(AA910),'자료_거시'!$J892,"")</f>
        <v/>
      </c>
      <c r="AC910">
        <f>IF(ISNUMBER(AB910),IF(AB910&gt;$L$8,AA910,""),"")</f>
        <v/>
      </c>
    </row>
    <row r="911">
      <c r="S911">
        <f>IF(ISNUMBER('자료_거시'!$E893),'자료_거시'!$E893,S910)</f>
        <v/>
      </c>
      <c r="T911">
        <f>IF(AND(ISNUMBER('자료_거시'!$D893),ISNUMBER('자료_거시'!$E893)),IFERROR('자료_거시'!$E893-INDEX($S$21:$S$4020,MATCH(EDATE('자료_거시'!$D893,-'설정'!$B$17),'자료_거시'!$D$3:INDEX('자료_거시'!$D$3:$D$4002,$K$6),1)),""),"")</f>
        <v/>
      </c>
      <c r="U911">
        <f>IF(ISNUMBER(T911),'자료_거시'!$D893,"")</f>
        <v/>
      </c>
      <c r="V911">
        <f>IF(ISNUMBER(U911),IF(U911&gt;$L$6,T911,""),"")</f>
        <v/>
      </c>
      <c r="W911">
        <f>IF(AND(ISNUMBER('자료_거시'!$G893),ISNUMBER('자료_거시'!$H893)),'자료_거시'!$H893,"")</f>
        <v/>
      </c>
      <c r="X911">
        <f>IF(ISNUMBER(W911),'자료_거시'!$G893,"")</f>
        <v/>
      </c>
      <c r="Y911">
        <f>IF(ISNUMBER(X911),IF(X911&gt;$L$7,W911,""),"")</f>
        <v/>
      </c>
      <c r="Z911">
        <f>IF(ISNUMBER('자료_거시'!$K893),'자료_거시'!$K893,Z910)</f>
        <v/>
      </c>
      <c r="AA911">
        <f>IF(AND(ISNUMBER('자료_거시'!$J893),ISNUMBER('자료_거시'!$K893)),IFERROR('자료_거시'!$K893/INDEX($Z$21:$Z$4020,MATCH(EDATE('자료_거시'!$J893,-'설정'!$B$17),'자료_거시'!$J$3:INDEX('자료_거시'!$J$3:$J$4002,$K$8),1))-1,""),"")</f>
        <v/>
      </c>
      <c r="AB911">
        <f>IF(ISNUMBER(AA911),'자료_거시'!$J893,"")</f>
        <v/>
      </c>
      <c r="AC911">
        <f>IF(ISNUMBER(AB911),IF(AB911&gt;$L$8,AA911,""),"")</f>
        <v/>
      </c>
    </row>
    <row r="912">
      <c r="S912">
        <f>IF(ISNUMBER('자료_거시'!$E894),'자료_거시'!$E894,S911)</f>
        <v/>
      </c>
      <c r="T912">
        <f>IF(AND(ISNUMBER('자료_거시'!$D894),ISNUMBER('자료_거시'!$E894)),IFERROR('자료_거시'!$E894-INDEX($S$21:$S$4020,MATCH(EDATE('자료_거시'!$D894,-'설정'!$B$17),'자료_거시'!$D$3:INDEX('자료_거시'!$D$3:$D$4002,$K$6),1)),""),"")</f>
        <v/>
      </c>
      <c r="U912">
        <f>IF(ISNUMBER(T912),'자료_거시'!$D894,"")</f>
        <v/>
      </c>
      <c r="V912">
        <f>IF(ISNUMBER(U912),IF(U912&gt;$L$6,T912,""),"")</f>
        <v/>
      </c>
      <c r="W912">
        <f>IF(AND(ISNUMBER('자료_거시'!$G894),ISNUMBER('자료_거시'!$H894)),'자료_거시'!$H894,"")</f>
        <v/>
      </c>
      <c r="X912">
        <f>IF(ISNUMBER(W912),'자료_거시'!$G894,"")</f>
        <v/>
      </c>
      <c r="Y912">
        <f>IF(ISNUMBER(X912),IF(X912&gt;$L$7,W912,""),"")</f>
        <v/>
      </c>
      <c r="Z912">
        <f>IF(ISNUMBER('자료_거시'!$K894),'자료_거시'!$K894,Z911)</f>
        <v/>
      </c>
      <c r="AA912">
        <f>IF(AND(ISNUMBER('자료_거시'!$J894),ISNUMBER('자료_거시'!$K894)),IFERROR('자료_거시'!$K894/INDEX($Z$21:$Z$4020,MATCH(EDATE('자료_거시'!$J894,-'설정'!$B$17),'자료_거시'!$J$3:INDEX('자료_거시'!$J$3:$J$4002,$K$8),1))-1,""),"")</f>
        <v/>
      </c>
      <c r="AB912">
        <f>IF(ISNUMBER(AA912),'자료_거시'!$J894,"")</f>
        <v/>
      </c>
      <c r="AC912">
        <f>IF(ISNUMBER(AB912),IF(AB912&gt;$L$8,AA912,""),"")</f>
        <v/>
      </c>
    </row>
    <row r="913">
      <c r="S913">
        <f>IF(ISNUMBER('자료_거시'!$E895),'자료_거시'!$E895,S912)</f>
        <v/>
      </c>
      <c r="T913">
        <f>IF(AND(ISNUMBER('자료_거시'!$D895),ISNUMBER('자료_거시'!$E895)),IFERROR('자료_거시'!$E895-INDEX($S$21:$S$4020,MATCH(EDATE('자료_거시'!$D895,-'설정'!$B$17),'자료_거시'!$D$3:INDEX('자료_거시'!$D$3:$D$4002,$K$6),1)),""),"")</f>
        <v/>
      </c>
      <c r="U913">
        <f>IF(ISNUMBER(T913),'자료_거시'!$D895,"")</f>
        <v/>
      </c>
      <c r="V913">
        <f>IF(ISNUMBER(U913),IF(U913&gt;$L$6,T913,""),"")</f>
        <v/>
      </c>
      <c r="W913">
        <f>IF(AND(ISNUMBER('자료_거시'!$G895),ISNUMBER('자료_거시'!$H895)),'자료_거시'!$H895,"")</f>
        <v/>
      </c>
      <c r="X913">
        <f>IF(ISNUMBER(W913),'자료_거시'!$G895,"")</f>
        <v/>
      </c>
      <c r="Y913">
        <f>IF(ISNUMBER(X913),IF(X913&gt;$L$7,W913,""),"")</f>
        <v/>
      </c>
      <c r="Z913">
        <f>IF(ISNUMBER('자료_거시'!$K895),'자료_거시'!$K895,Z912)</f>
        <v/>
      </c>
      <c r="AA913">
        <f>IF(AND(ISNUMBER('자료_거시'!$J895),ISNUMBER('자료_거시'!$K895)),IFERROR('자료_거시'!$K895/INDEX($Z$21:$Z$4020,MATCH(EDATE('자료_거시'!$J895,-'설정'!$B$17),'자료_거시'!$J$3:INDEX('자료_거시'!$J$3:$J$4002,$K$8),1))-1,""),"")</f>
        <v/>
      </c>
      <c r="AB913">
        <f>IF(ISNUMBER(AA913),'자료_거시'!$J895,"")</f>
        <v/>
      </c>
      <c r="AC913">
        <f>IF(ISNUMBER(AB913),IF(AB913&gt;$L$8,AA913,""),"")</f>
        <v/>
      </c>
    </row>
    <row r="914">
      <c r="S914">
        <f>IF(ISNUMBER('자료_거시'!$E896),'자료_거시'!$E896,S913)</f>
        <v/>
      </c>
      <c r="T914">
        <f>IF(AND(ISNUMBER('자료_거시'!$D896),ISNUMBER('자료_거시'!$E896)),IFERROR('자료_거시'!$E896-INDEX($S$21:$S$4020,MATCH(EDATE('자료_거시'!$D896,-'설정'!$B$17),'자료_거시'!$D$3:INDEX('자료_거시'!$D$3:$D$4002,$K$6),1)),""),"")</f>
        <v/>
      </c>
      <c r="U914">
        <f>IF(ISNUMBER(T914),'자료_거시'!$D896,"")</f>
        <v/>
      </c>
      <c r="V914">
        <f>IF(ISNUMBER(U914),IF(U914&gt;$L$6,T914,""),"")</f>
        <v/>
      </c>
      <c r="W914">
        <f>IF(AND(ISNUMBER('자료_거시'!$G896),ISNUMBER('자료_거시'!$H896)),'자료_거시'!$H896,"")</f>
        <v/>
      </c>
      <c r="X914">
        <f>IF(ISNUMBER(W914),'자료_거시'!$G896,"")</f>
        <v/>
      </c>
      <c r="Y914">
        <f>IF(ISNUMBER(X914),IF(X914&gt;$L$7,W914,""),"")</f>
        <v/>
      </c>
      <c r="Z914">
        <f>IF(ISNUMBER('자료_거시'!$K896),'자료_거시'!$K896,Z913)</f>
        <v/>
      </c>
      <c r="AA914">
        <f>IF(AND(ISNUMBER('자료_거시'!$J896),ISNUMBER('자료_거시'!$K896)),IFERROR('자료_거시'!$K896/INDEX($Z$21:$Z$4020,MATCH(EDATE('자료_거시'!$J896,-'설정'!$B$17),'자료_거시'!$J$3:INDEX('자료_거시'!$J$3:$J$4002,$K$8),1))-1,""),"")</f>
        <v/>
      </c>
      <c r="AB914">
        <f>IF(ISNUMBER(AA914),'자료_거시'!$J896,"")</f>
        <v/>
      </c>
      <c r="AC914">
        <f>IF(ISNUMBER(AB914),IF(AB914&gt;$L$8,AA914,""),"")</f>
        <v/>
      </c>
    </row>
    <row r="915">
      <c r="S915">
        <f>IF(ISNUMBER('자료_거시'!$E897),'자료_거시'!$E897,S914)</f>
        <v/>
      </c>
      <c r="T915">
        <f>IF(AND(ISNUMBER('자료_거시'!$D897),ISNUMBER('자료_거시'!$E897)),IFERROR('자료_거시'!$E897-INDEX($S$21:$S$4020,MATCH(EDATE('자료_거시'!$D897,-'설정'!$B$17),'자료_거시'!$D$3:INDEX('자료_거시'!$D$3:$D$4002,$K$6),1)),""),"")</f>
        <v/>
      </c>
      <c r="U915">
        <f>IF(ISNUMBER(T915),'자료_거시'!$D897,"")</f>
        <v/>
      </c>
      <c r="V915">
        <f>IF(ISNUMBER(U915),IF(U915&gt;$L$6,T915,""),"")</f>
        <v/>
      </c>
      <c r="W915">
        <f>IF(AND(ISNUMBER('자료_거시'!$G897),ISNUMBER('자료_거시'!$H897)),'자료_거시'!$H897,"")</f>
        <v/>
      </c>
      <c r="X915">
        <f>IF(ISNUMBER(W915),'자료_거시'!$G897,"")</f>
        <v/>
      </c>
      <c r="Y915">
        <f>IF(ISNUMBER(X915),IF(X915&gt;$L$7,W915,""),"")</f>
        <v/>
      </c>
      <c r="Z915">
        <f>IF(ISNUMBER('자료_거시'!$K897),'자료_거시'!$K897,Z914)</f>
        <v/>
      </c>
      <c r="AA915">
        <f>IF(AND(ISNUMBER('자료_거시'!$J897),ISNUMBER('자료_거시'!$K897)),IFERROR('자료_거시'!$K897/INDEX($Z$21:$Z$4020,MATCH(EDATE('자료_거시'!$J897,-'설정'!$B$17),'자료_거시'!$J$3:INDEX('자료_거시'!$J$3:$J$4002,$K$8),1))-1,""),"")</f>
        <v/>
      </c>
      <c r="AB915">
        <f>IF(ISNUMBER(AA915),'자료_거시'!$J897,"")</f>
        <v/>
      </c>
      <c r="AC915">
        <f>IF(ISNUMBER(AB915),IF(AB915&gt;$L$8,AA915,""),"")</f>
        <v/>
      </c>
    </row>
    <row r="916">
      <c r="S916">
        <f>IF(ISNUMBER('자료_거시'!$E898),'자료_거시'!$E898,S915)</f>
        <v/>
      </c>
      <c r="T916">
        <f>IF(AND(ISNUMBER('자료_거시'!$D898),ISNUMBER('자료_거시'!$E898)),IFERROR('자료_거시'!$E898-INDEX($S$21:$S$4020,MATCH(EDATE('자료_거시'!$D898,-'설정'!$B$17),'자료_거시'!$D$3:INDEX('자료_거시'!$D$3:$D$4002,$K$6),1)),""),"")</f>
        <v/>
      </c>
      <c r="U916">
        <f>IF(ISNUMBER(T916),'자료_거시'!$D898,"")</f>
        <v/>
      </c>
      <c r="V916">
        <f>IF(ISNUMBER(U916),IF(U916&gt;$L$6,T916,""),"")</f>
        <v/>
      </c>
      <c r="W916">
        <f>IF(AND(ISNUMBER('자료_거시'!$G898),ISNUMBER('자료_거시'!$H898)),'자료_거시'!$H898,"")</f>
        <v/>
      </c>
      <c r="X916">
        <f>IF(ISNUMBER(W916),'자료_거시'!$G898,"")</f>
        <v/>
      </c>
      <c r="Y916">
        <f>IF(ISNUMBER(X916),IF(X916&gt;$L$7,W916,""),"")</f>
        <v/>
      </c>
      <c r="Z916">
        <f>IF(ISNUMBER('자료_거시'!$K898),'자료_거시'!$K898,Z915)</f>
        <v/>
      </c>
      <c r="AA916">
        <f>IF(AND(ISNUMBER('자료_거시'!$J898),ISNUMBER('자료_거시'!$K898)),IFERROR('자료_거시'!$K898/INDEX($Z$21:$Z$4020,MATCH(EDATE('자료_거시'!$J898,-'설정'!$B$17),'자료_거시'!$J$3:INDEX('자료_거시'!$J$3:$J$4002,$K$8),1))-1,""),"")</f>
        <v/>
      </c>
      <c r="AB916">
        <f>IF(ISNUMBER(AA916),'자료_거시'!$J898,"")</f>
        <v/>
      </c>
      <c r="AC916">
        <f>IF(ISNUMBER(AB916),IF(AB916&gt;$L$8,AA916,""),"")</f>
        <v/>
      </c>
    </row>
    <row r="917">
      <c r="S917">
        <f>IF(ISNUMBER('자료_거시'!$E899),'자료_거시'!$E899,S916)</f>
        <v/>
      </c>
      <c r="T917">
        <f>IF(AND(ISNUMBER('자료_거시'!$D899),ISNUMBER('자료_거시'!$E899)),IFERROR('자료_거시'!$E899-INDEX($S$21:$S$4020,MATCH(EDATE('자료_거시'!$D899,-'설정'!$B$17),'자료_거시'!$D$3:INDEX('자료_거시'!$D$3:$D$4002,$K$6),1)),""),"")</f>
        <v/>
      </c>
      <c r="U917">
        <f>IF(ISNUMBER(T917),'자료_거시'!$D899,"")</f>
        <v/>
      </c>
      <c r="V917">
        <f>IF(ISNUMBER(U917),IF(U917&gt;$L$6,T917,""),"")</f>
        <v/>
      </c>
      <c r="W917">
        <f>IF(AND(ISNUMBER('자료_거시'!$G899),ISNUMBER('자료_거시'!$H899)),'자료_거시'!$H899,"")</f>
        <v/>
      </c>
      <c r="X917">
        <f>IF(ISNUMBER(W917),'자료_거시'!$G899,"")</f>
        <v/>
      </c>
      <c r="Y917">
        <f>IF(ISNUMBER(X917),IF(X917&gt;$L$7,W917,""),"")</f>
        <v/>
      </c>
      <c r="Z917">
        <f>IF(ISNUMBER('자료_거시'!$K899),'자료_거시'!$K899,Z916)</f>
        <v/>
      </c>
      <c r="AA917">
        <f>IF(AND(ISNUMBER('자료_거시'!$J899),ISNUMBER('자료_거시'!$K899)),IFERROR('자료_거시'!$K899/INDEX($Z$21:$Z$4020,MATCH(EDATE('자료_거시'!$J899,-'설정'!$B$17),'자료_거시'!$J$3:INDEX('자료_거시'!$J$3:$J$4002,$K$8),1))-1,""),"")</f>
        <v/>
      </c>
      <c r="AB917">
        <f>IF(ISNUMBER(AA917),'자료_거시'!$J899,"")</f>
        <v/>
      </c>
      <c r="AC917">
        <f>IF(ISNUMBER(AB917),IF(AB917&gt;$L$8,AA917,""),"")</f>
        <v/>
      </c>
    </row>
    <row r="918">
      <c r="S918">
        <f>IF(ISNUMBER('자료_거시'!$E900),'자료_거시'!$E900,S917)</f>
        <v/>
      </c>
      <c r="T918">
        <f>IF(AND(ISNUMBER('자료_거시'!$D900),ISNUMBER('자료_거시'!$E900)),IFERROR('자료_거시'!$E900-INDEX($S$21:$S$4020,MATCH(EDATE('자료_거시'!$D900,-'설정'!$B$17),'자료_거시'!$D$3:INDEX('자료_거시'!$D$3:$D$4002,$K$6),1)),""),"")</f>
        <v/>
      </c>
      <c r="U918">
        <f>IF(ISNUMBER(T918),'자료_거시'!$D900,"")</f>
        <v/>
      </c>
      <c r="V918">
        <f>IF(ISNUMBER(U918),IF(U918&gt;$L$6,T918,""),"")</f>
        <v/>
      </c>
      <c r="W918">
        <f>IF(AND(ISNUMBER('자료_거시'!$G900),ISNUMBER('자료_거시'!$H900)),'자료_거시'!$H900,"")</f>
        <v/>
      </c>
      <c r="X918">
        <f>IF(ISNUMBER(W918),'자료_거시'!$G900,"")</f>
        <v/>
      </c>
      <c r="Y918">
        <f>IF(ISNUMBER(X918),IF(X918&gt;$L$7,W918,""),"")</f>
        <v/>
      </c>
      <c r="Z918">
        <f>IF(ISNUMBER('자료_거시'!$K900),'자료_거시'!$K900,Z917)</f>
        <v/>
      </c>
      <c r="AA918">
        <f>IF(AND(ISNUMBER('자료_거시'!$J900),ISNUMBER('자료_거시'!$K900)),IFERROR('자료_거시'!$K900/INDEX($Z$21:$Z$4020,MATCH(EDATE('자료_거시'!$J900,-'설정'!$B$17),'자료_거시'!$J$3:INDEX('자료_거시'!$J$3:$J$4002,$K$8),1))-1,""),"")</f>
        <v/>
      </c>
      <c r="AB918">
        <f>IF(ISNUMBER(AA918),'자료_거시'!$J900,"")</f>
        <v/>
      </c>
      <c r="AC918">
        <f>IF(ISNUMBER(AB918),IF(AB918&gt;$L$8,AA918,""),"")</f>
        <v/>
      </c>
    </row>
    <row r="919">
      <c r="S919">
        <f>IF(ISNUMBER('자료_거시'!$E901),'자료_거시'!$E901,S918)</f>
        <v/>
      </c>
      <c r="T919">
        <f>IF(AND(ISNUMBER('자료_거시'!$D901),ISNUMBER('자료_거시'!$E901)),IFERROR('자료_거시'!$E901-INDEX($S$21:$S$4020,MATCH(EDATE('자료_거시'!$D901,-'설정'!$B$17),'자료_거시'!$D$3:INDEX('자료_거시'!$D$3:$D$4002,$K$6),1)),""),"")</f>
        <v/>
      </c>
      <c r="U919">
        <f>IF(ISNUMBER(T919),'자료_거시'!$D901,"")</f>
        <v/>
      </c>
      <c r="V919">
        <f>IF(ISNUMBER(U919),IF(U919&gt;$L$6,T919,""),"")</f>
        <v/>
      </c>
      <c r="W919">
        <f>IF(AND(ISNUMBER('자료_거시'!$G901),ISNUMBER('자료_거시'!$H901)),'자료_거시'!$H901,"")</f>
        <v/>
      </c>
      <c r="X919">
        <f>IF(ISNUMBER(W919),'자료_거시'!$G901,"")</f>
        <v/>
      </c>
      <c r="Y919">
        <f>IF(ISNUMBER(X919),IF(X919&gt;$L$7,W919,""),"")</f>
        <v/>
      </c>
      <c r="Z919">
        <f>IF(ISNUMBER('자료_거시'!$K901),'자료_거시'!$K901,Z918)</f>
        <v/>
      </c>
      <c r="AA919">
        <f>IF(AND(ISNUMBER('자료_거시'!$J901),ISNUMBER('자료_거시'!$K901)),IFERROR('자료_거시'!$K901/INDEX($Z$21:$Z$4020,MATCH(EDATE('자료_거시'!$J901,-'설정'!$B$17),'자료_거시'!$J$3:INDEX('자료_거시'!$J$3:$J$4002,$K$8),1))-1,""),"")</f>
        <v/>
      </c>
      <c r="AB919">
        <f>IF(ISNUMBER(AA919),'자료_거시'!$J901,"")</f>
        <v/>
      </c>
      <c r="AC919">
        <f>IF(ISNUMBER(AB919),IF(AB919&gt;$L$8,AA919,""),"")</f>
        <v/>
      </c>
    </row>
    <row r="920">
      <c r="S920">
        <f>IF(ISNUMBER('자료_거시'!$E902),'자료_거시'!$E902,S919)</f>
        <v/>
      </c>
      <c r="T920">
        <f>IF(AND(ISNUMBER('자료_거시'!$D902),ISNUMBER('자료_거시'!$E902)),IFERROR('자료_거시'!$E902-INDEX($S$21:$S$4020,MATCH(EDATE('자료_거시'!$D902,-'설정'!$B$17),'자료_거시'!$D$3:INDEX('자료_거시'!$D$3:$D$4002,$K$6),1)),""),"")</f>
        <v/>
      </c>
      <c r="U920">
        <f>IF(ISNUMBER(T920),'자료_거시'!$D902,"")</f>
        <v/>
      </c>
      <c r="V920">
        <f>IF(ISNUMBER(U920),IF(U920&gt;$L$6,T920,""),"")</f>
        <v/>
      </c>
      <c r="W920">
        <f>IF(AND(ISNUMBER('자료_거시'!$G902),ISNUMBER('자료_거시'!$H902)),'자료_거시'!$H902,"")</f>
        <v/>
      </c>
      <c r="X920">
        <f>IF(ISNUMBER(W920),'자료_거시'!$G902,"")</f>
        <v/>
      </c>
      <c r="Y920">
        <f>IF(ISNUMBER(X920),IF(X920&gt;$L$7,W920,""),"")</f>
        <v/>
      </c>
      <c r="Z920">
        <f>IF(ISNUMBER('자료_거시'!$K902),'자료_거시'!$K902,Z919)</f>
        <v/>
      </c>
      <c r="AA920">
        <f>IF(AND(ISNUMBER('자료_거시'!$J902),ISNUMBER('자료_거시'!$K902)),IFERROR('자료_거시'!$K902/INDEX($Z$21:$Z$4020,MATCH(EDATE('자료_거시'!$J902,-'설정'!$B$17),'자료_거시'!$J$3:INDEX('자료_거시'!$J$3:$J$4002,$K$8),1))-1,""),"")</f>
        <v/>
      </c>
      <c r="AB920">
        <f>IF(ISNUMBER(AA920),'자료_거시'!$J902,"")</f>
        <v/>
      </c>
      <c r="AC920">
        <f>IF(ISNUMBER(AB920),IF(AB920&gt;$L$8,AA920,""),"")</f>
        <v/>
      </c>
    </row>
    <row r="921">
      <c r="S921">
        <f>IF(ISNUMBER('자료_거시'!$E903),'자료_거시'!$E903,S920)</f>
        <v/>
      </c>
      <c r="T921">
        <f>IF(AND(ISNUMBER('자료_거시'!$D903),ISNUMBER('자료_거시'!$E903)),IFERROR('자료_거시'!$E903-INDEX($S$21:$S$4020,MATCH(EDATE('자료_거시'!$D903,-'설정'!$B$17),'자료_거시'!$D$3:INDEX('자료_거시'!$D$3:$D$4002,$K$6),1)),""),"")</f>
        <v/>
      </c>
      <c r="U921">
        <f>IF(ISNUMBER(T921),'자료_거시'!$D903,"")</f>
        <v/>
      </c>
      <c r="V921">
        <f>IF(ISNUMBER(U921),IF(U921&gt;$L$6,T921,""),"")</f>
        <v/>
      </c>
      <c r="W921">
        <f>IF(AND(ISNUMBER('자료_거시'!$G903),ISNUMBER('자료_거시'!$H903)),'자료_거시'!$H903,"")</f>
        <v/>
      </c>
      <c r="X921">
        <f>IF(ISNUMBER(W921),'자료_거시'!$G903,"")</f>
        <v/>
      </c>
      <c r="Y921">
        <f>IF(ISNUMBER(X921),IF(X921&gt;$L$7,W921,""),"")</f>
        <v/>
      </c>
      <c r="Z921">
        <f>IF(ISNUMBER('자료_거시'!$K903),'자료_거시'!$K903,Z920)</f>
        <v/>
      </c>
      <c r="AA921">
        <f>IF(AND(ISNUMBER('자료_거시'!$J903),ISNUMBER('자료_거시'!$K903)),IFERROR('자료_거시'!$K903/INDEX($Z$21:$Z$4020,MATCH(EDATE('자료_거시'!$J903,-'설정'!$B$17),'자료_거시'!$J$3:INDEX('자료_거시'!$J$3:$J$4002,$K$8),1))-1,""),"")</f>
        <v/>
      </c>
      <c r="AB921">
        <f>IF(ISNUMBER(AA921),'자료_거시'!$J903,"")</f>
        <v/>
      </c>
      <c r="AC921">
        <f>IF(ISNUMBER(AB921),IF(AB921&gt;$L$8,AA921,""),"")</f>
        <v/>
      </c>
    </row>
    <row r="922">
      <c r="S922">
        <f>IF(ISNUMBER('자료_거시'!$E904),'자료_거시'!$E904,S921)</f>
        <v/>
      </c>
      <c r="T922">
        <f>IF(AND(ISNUMBER('자료_거시'!$D904),ISNUMBER('자료_거시'!$E904)),IFERROR('자료_거시'!$E904-INDEX($S$21:$S$4020,MATCH(EDATE('자료_거시'!$D904,-'설정'!$B$17),'자료_거시'!$D$3:INDEX('자료_거시'!$D$3:$D$4002,$K$6),1)),""),"")</f>
        <v/>
      </c>
      <c r="U922">
        <f>IF(ISNUMBER(T922),'자료_거시'!$D904,"")</f>
        <v/>
      </c>
      <c r="V922">
        <f>IF(ISNUMBER(U922),IF(U922&gt;$L$6,T922,""),"")</f>
        <v/>
      </c>
      <c r="W922">
        <f>IF(AND(ISNUMBER('자료_거시'!$G904),ISNUMBER('자료_거시'!$H904)),'자료_거시'!$H904,"")</f>
        <v/>
      </c>
      <c r="X922">
        <f>IF(ISNUMBER(W922),'자료_거시'!$G904,"")</f>
        <v/>
      </c>
      <c r="Y922">
        <f>IF(ISNUMBER(X922),IF(X922&gt;$L$7,W922,""),"")</f>
        <v/>
      </c>
      <c r="Z922">
        <f>IF(ISNUMBER('자료_거시'!$K904),'자료_거시'!$K904,Z921)</f>
        <v/>
      </c>
      <c r="AA922">
        <f>IF(AND(ISNUMBER('자료_거시'!$J904),ISNUMBER('자료_거시'!$K904)),IFERROR('자료_거시'!$K904/INDEX($Z$21:$Z$4020,MATCH(EDATE('자료_거시'!$J904,-'설정'!$B$17),'자료_거시'!$J$3:INDEX('자료_거시'!$J$3:$J$4002,$K$8),1))-1,""),"")</f>
        <v/>
      </c>
      <c r="AB922">
        <f>IF(ISNUMBER(AA922),'자료_거시'!$J904,"")</f>
        <v/>
      </c>
      <c r="AC922">
        <f>IF(ISNUMBER(AB922),IF(AB922&gt;$L$8,AA922,""),"")</f>
        <v/>
      </c>
    </row>
    <row r="923">
      <c r="S923">
        <f>IF(ISNUMBER('자료_거시'!$E905),'자료_거시'!$E905,S922)</f>
        <v/>
      </c>
      <c r="T923">
        <f>IF(AND(ISNUMBER('자료_거시'!$D905),ISNUMBER('자료_거시'!$E905)),IFERROR('자료_거시'!$E905-INDEX($S$21:$S$4020,MATCH(EDATE('자료_거시'!$D905,-'설정'!$B$17),'자료_거시'!$D$3:INDEX('자료_거시'!$D$3:$D$4002,$K$6),1)),""),"")</f>
        <v/>
      </c>
      <c r="U923">
        <f>IF(ISNUMBER(T923),'자료_거시'!$D905,"")</f>
        <v/>
      </c>
      <c r="V923">
        <f>IF(ISNUMBER(U923),IF(U923&gt;$L$6,T923,""),"")</f>
        <v/>
      </c>
      <c r="W923">
        <f>IF(AND(ISNUMBER('자료_거시'!$G905),ISNUMBER('자료_거시'!$H905)),'자료_거시'!$H905,"")</f>
        <v/>
      </c>
      <c r="X923">
        <f>IF(ISNUMBER(W923),'자료_거시'!$G905,"")</f>
        <v/>
      </c>
      <c r="Y923">
        <f>IF(ISNUMBER(X923),IF(X923&gt;$L$7,W923,""),"")</f>
        <v/>
      </c>
      <c r="Z923">
        <f>IF(ISNUMBER('자료_거시'!$K905),'자료_거시'!$K905,Z922)</f>
        <v/>
      </c>
      <c r="AA923">
        <f>IF(AND(ISNUMBER('자료_거시'!$J905),ISNUMBER('자료_거시'!$K905)),IFERROR('자료_거시'!$K905/INDEX($Z$21:$Z$4020,MATCH(EDATE('자료_거시'!$J905,-'설정'!$B$17),'자료_거시'!$J$3:INDEX('자료_거시'!$J$3:$J$4002,$K$8),1))-1,""),"")</f>
        <v/>
      </c>
      <c r="AB923">
        <f>IF(ISNUMBER(AA923),'자료_거시'!$J905,"")</f>
        <v/>
      </c>
      <c r="AC923">
        <f>IF(ISNUMBER(AB923),IF(AB923&gt;$L$8,AA923,""),"")</f>
        <v/>
      </c>
    </row>
    <row r="924">
      <c r="S924">
        <f>IF(ISNUMBER('자료_거시'!$E906),'자료_거시'!$E906,S923)</f>
        <v/>
      </c>
      <c r="T924">
        <f>IF(AND(ISNUMBER('자료_거시'!$D906),ISNUMBER('자료_거시'!$E906)),IFERROR('자료_거시'!$E906-INDEX($S$21:$S$4020,MATCH(EDATE('자료_거시'!$D906,-'설정'!$B$17),'자료_거시'!$D$3:INDEX('자료_거시'!$D$3:$D$4002,$K$6),1)),""),"")</f>
        <v/>
      </c>
      <c r="U924">
        <f>IF(ISNUMBER(T924),'자료_거시'!$D906,"")</f>
        <v/>
      </c>
      <c r="V924">
        <f>IF(ISNUMBER(U924),IF(U924&gt;$L$6,T924,""),"")</f>
        <v/>
      </c>
      <c r="W924">
        <f>IF(AND(ISNUMBER('자료_거시'!$G906),ISNUMBER('자료_거시'!$H906)),'자료_거시'!$H906,"")</f>
        <v/>
      </c>
      <c r="X924">
        <f>IF(ISNUMBER(W924),'자료_거시'!$G906,"")</f>
        <v/>
      </c>
      <c r="Y924">
        <f>IF(ISNUMBER(X924),IF(X924&gt;$L$7,W924,""),"")</f>
        <v/>
      </c>
      <c r="Z924">
        <f>IF(ISNUMBER('자료_거시'!$K906),'자료_거시'!$K906,Z923)</f>
        <v/>
      </c>
      <c r="AA924">
        <f>IF(AND(ISNUMBER('자료_거시'!$J906),ISNUMBER('자료_거시'!$K906)),IFERROR('자료_거시'!$K906/INDEX($Z$21:$Z$4020,MATCH(EDATE('자료_거시'!$J906,-'설정'!$B$17),'자료_거시'!$J$3:INDEX('자료_거시'!$J$3:$J$4002,$K$8),1))-1,""),"")</f>
        <v/>
      </c>
      <c r="AB924">
        <f>IF(ISNUMBER(AA924),'자료_거시'!$J906,"")</f>
        <v/>
      </c>
      <c r="AC924">
        <f>IF(ISNUMBER(AB924),IF(AB924&gt;$L$8,AA924,""),"")</f>
        <v/>
      </c>
    </row>
    <row r="925">
      <c r="S925">
        <f>IF(ISNUMBER('자료_거시'!$E907),'자료_거시'!$E907,S924)</f>
        <v/>
      </c>
      <c r="T925">
        <f>IF(AND(ISNUMBER('자료_거시'!$D907),ISNUMBER('자료_거시'!$E907)),IFERROR('자료_거시'!$E907-INDEX($S$21:$S$4020,MATCH(EDATE('자료_거시'!$D907,-'설정'!$B$17),'자료_거시'!$D$3:INDEX('자료_거시'!$D$3:$D$4002,$K$6),1)),""),"")</f>
        <v/>
      </c>
      <c r="U925">
        <f>IF(ISNUMBER(T925),'자료_거시'!$D907,"")</f>
        <v/>
      </c>
      <c r="V925">
        <f>IF(ISNUMBER(U925),IF(U925&gt;$L$6,T925,""),"")</f>
        <v/>
      </c>
      <c r="W925">
        <f>IF(AND(ISNUMBER('자료_거시'!$G907),ISNUMBER('자료_거시'!$H907)),'자료_거시'!$H907,"")</f>
        <v/>
      </c>
      <c r="X925">
        <f>IF(ISNUMBER(W925),'자료_거시'!$G907,"")</f>
        <v/>
      </c>
      <c r="Y925">
        <f>IF(ISNUMBER(X925),IF(X925&gt;$L$7,W925,""),"")</f>
        <v/>
      </c>
      <c r="Z925">
        <f>IF(ISNUMBER('자료_거시'!$K907),'자료_거시'!$K907,Z924)</f>
        <v/>
      </c>
      <c r="AA925">
        <f>IF(AND(ISNUMBER('자료_거시'!$J907),ISNUMBER('자료_거시'!$K907)),IFERROR('자료_거시'!$K907/INDEX($Z$21:$Z$4020,MATCH(EDATE('자료_거시'!$J907,-'설정'!$B$17),'자료_거시'!$J$3:INDEX('자료_거시'!$J$3:$J$4002,$K$8),1))-1,""),"")</f>
        <v/>
      </c>
      <c r="AB925">
        <f>IF(ISNUMBER(AA925),'자료_거시'!$J907,"")</f>
        <v/>
      </c>
      <c r="AC925">
        <f>IF(ISNUMBER(AB925),IF(AB925&gt;$L$8,AA925,""),"")</f>
        <v/>
      </c>
    </row>
    <row r="926">
      <c r="S926">
        <f>IF(ISNUMBER('자료_거시'!$E908),'자료_거시'!$E908,S925)</f>
        <v/>
      </c>
      <c r="T926">
        <f>IF(AND(ISNUMBER('자료_거시'!$D908),ISNUMBER('자료_거시'!$E908)),IFERROR('자료_거시'!$E908-INDEX($S$21:$S$4020,MATCH(EDATE('자료_거시'!$D908,-'설정'!$B$17),'자료_거시'!$D$3:INDEX('자료_거시'!$D$3:$D$4002,$K$6),1)),""),"")</f>
        <v/>
      </c>
      <c r="U926">
        <f>IF(ISNUMBER(T926),'자료_거시'!$D908,"")</f>
        <v/>
      </c>
      <c r="V926">
        <f>IF(ISNUMBER(U926),IF(U926&gt;$L$6,T926,""),"")</f>
        <v/>
      </c>
      <c r="W926">
        <f>IF(AND(ISNUMBER('자료_거시'!$G908),ISNUMBER('자료_거시'!$H908)),'자료_거시'!$H908,"")</f>
        <v/>
      </c>
      <c r="X926">
        <f>IF(ISNUMBER(W926),'자료_거시'!$G908,"")</f>
        <v/>
      </c>
      <c r="Y926">
        <f>IF(ISNUMBER(X926),IF(X926&gt;$L$7,W926,""),"")</f>
        <v/>
      </c>
      <c r="Z926">
        <f>IF(ISNUMBER('자료_거시'!$K908),'자료_거시'!$K908,Z925)</f>
        <v/>
      </c>
      <c r="AA926">
        <f>IF(AND(ISNUMBER('자료_거시'!$J908),ISNUMBER('자료_거시'!$K908)),IFERROR('자료_거시'!$K908/INDEX($Z$21:$Z$4020,MATCH(EDATE('자료_거시'!$J908,-'설정'!$B$17),'자료_거시'!$J$3:INDEX('자료_거시'!$J$3:$J$4002,$K$8),1))-1,""),"")</f>
        <v/>
      </c>
      <c r="AB926">
        <f>IF(ISNUMBER(AA926),'자료_거시'!$J908,"")</f>
        <v/>
      </c>
      <c r="AC926">
        <f>IF(ISNUMBER(AB926),IF(AB926&gt;$L$8,AA926,""),"")</f>
        <v/>
      </c>
    </row>
    <row r="927">
      <c r="S927">
        <f>IF(ISNUMBER('자료_거시'!$E909),'자료_거시'!$E909,S926)</f>
        <v/>
      </c>
      <c r="T927">
        <f>IF(AND(ISNUMBER('자료_거시'!$D909),ISNUMBER('자료_거시'!$E909)),IFERROR('자료_거시'!$E909-INDEX($S$21:$S$4020,MATCH(EDATE('자료_거시'!$D909,-'설정'!$B$17),'자료_거시'!$D$3:INDEX('자료_거시'!$D$3:$D$4002,$K$6),1)),""),"")</f>
        <v/>
      </c>
      <c r="U927">
        <f>IF(ISNUMBER(T927),'자료_거시'!$D909,"")</f>
        <v/>
      </c>
      <c r="V927">
        <f>IF(ISNUMBER(U927),IF(U927&gt;$L$6,T927,""),"")</f>
        <v/>
      </c>
      <c r="W927">
        <f>IF(AND(ISNUMBER('자료_거시'!$G909),ISNUMBER('자료_거시'!$H909)),'자료_거시'!$H909,"")</f>
        <v/>
      </c>
      <c r="X927">
        <f>IF(ISNUMBER(W927),'자료_거시'!$G909,"")</f>
        <v/>
      </c>
      <c r="Y927">
        <f>IF(ISNUMBER(X927),IF(X927&gt;$L$7,W927,""),"")</f>
        <v/>
      </c>
      <c r="Z927">
        <f>IF(ISNUMBER('자료_거시'!$K909),'자료_거시'!$K909,Z926)</f>
        <v/>
      </c>
      <c r="AA927">
        <f>IF(AND(ISNUMBER('자료_거시'!$J909),ISNUMBER('자료_거시'!$K909)),IFERROR('자료_거시'!$K909/INDEX($Z$21:$Z$4020,MATCH(EDATE('자료_거시'!$J909,-'설정'!$B$17),'자료_거시'!$J$3:INDEX('자료_거시'!$J$3:$J$4002,$K$8),1))-1,""),"")</f>
        <v/>
      </c>
      <c r="AB927">
        <f>IF(ISNUMBER(AA927),'자료_거시'!$J909,"")</f>
        <v/>
      </c>
      <c r="AC927">
        <f>IF(ISNUMBER(AB927),IF(AB927&gt;$L$8,AA927,""),"")</f>
        <v/>
      </c>
    </row>
    <row r="928">
      <c r="S928">
        <f>IF(ISNUMBER('자료_거시'!$E910),'자료_거시'!$E910,S927)</f>
        <v/>
      </c>
      <c r="T928">
        <f>IF(AND(ISNUMBER('자료_거시'!$D910),ISNUMBER('자료_거시'!$E910)),IFERROR('자료_거시'!$E910-INDEX($S$21:$S$4020,MATCH(EDATE('자료_거시'!$D910,-'설정'!$B$17),'자료_거시'!$D$3:INDEX('자료_거시'!$D$3:$D$4002,$K$6),1)),""),"")</f>
        <v/>
      </c>
      <c r="U928">
        <f>IF(ISNUMBER(T928),'자료_거시'!$D910,"")</f>
        <v/>
      </c>
      <c r="V928">
        <f>IF(ISNUMBER(U928),IF(U928&gt;$L$6,T928,""),"")</f>
        <v/>
      </c>
      <c r="W928">
        <f>IF(AND(ISNUMBER('자료_거시'!$G910),ISNUMBER('자료_거시'!$H910)),'자료_거시'!$H910,"")</f>
        <v/>
      </c>
      <c r="X928">
        <f>IF(ISNUMBER(W928),'자료_거시'!$G910,"")</f>
        <v/>
      </c>
      <c r="Y928">
        <f>IF(ISNUMBER(X928),IF(X928&gt;$L$7,W928,""),"")</f>
        <v/>
      </c>
      <c r="Z928">
        <f>IF(ISNUMBER('자료_거시'!$K910),'자료_거시'!$K910,Z927)</f>
        <v/>
      </c>
      <c r="AA928">
        <f>IF(AND(ISNUMBER('자료_거시'!$J910),ISNUMBER('자료_거시'!$K910)),IFERROR('자료_거시'!$K910/INDEX($Z$21:$Z$4020,MATCH(EDATE('자료_거시'!$J910,-'설정'!$B$17),'자료_거시'!$J$3:INDEX('자료_거시'!$J$3:$J$4002,$K$8),1))-1,""),"")</f>
        <v/>
      </c>
      <c r="AB928">
        <f>IF(ISNUMBER(AA928),'자료_거시'!$J910,"")</f>
        <v/>
      </c>
      <c r="AC928">
        <f>IF(ISNUMBER(AB928),IF(AB928&gt;$L$8,AA928,""),"")</f>
        <v/>
      </c>
    </row>
    <row r="929">
      <c r="S929">
        <f>IF(ISNUMBER('자료_거시'!$E911),'자료_거시'!$E911,S928)</f>
        <v/>
      </c>
      <c r="T929">
        <f>IF(AND(ISNUMBER('자료_거시'!$D911),ISNUMBER('자료_거시'!$E911)),IFERROR('자료_거시'!$E911-INDEX($S$21:$S$4020,MATCH(EDATE('자료_거시'!$D911,-'설정'!$B$17),'자료_거시'!$D$3:INDEX('자료_거시'!$D$3:$D$4002,$K$6),1)),""),"")</f>
        <v/>
      </c>
      <c r="U929">
        <f>IF(ISNUMBER(T929),'자료_거시'!$D911,"")</f>
        <v/>
      </c>
      <c r="V929">
        <f>IF(ISNUMBER(U929),IF(U929&gt;$L$6,T929,""),"")</f>
        <v/>
      </c>
      <c r="W929">
        <f>IF(AND(ISNUMBER('자료_거시'!$G911),ISNUMBER('자료_거시'!$H911)),'자료_거시'!$H911,"")</f>
        <v/>
      </c>
      <c r="X929">
        <f>IF(ISNUMBER(W929),'자료_거시'!$G911,"")</f>
        <v/>
      </c>
      <c r="Y929">
        <f>IF(ISNUMBER(X929),IF(X929&gt;$L$7,W929,""),"")</f>
        <v/>
      </c>
      <c r="Z929">
        <f>IF(ISNUMBER('자료_거시'!$K911),'자료_거시'!$K911,Z928)</f>
        <v/>
      </c>
      <c r="AA929">
        <f>IF(AND(ISNUMBER('자료_거시'!$J911),ISNUMBER('자료_거시'!$K911)),IFERROR('자료_거시'!$K911/INDEX($Z$21:$Z$4020,MATCH(EDATE('자료_거시'!$J911,-'설정'!$B$17),'자료_거시'!$J$3:INDEX('자료_거시'!$J$3:$J$4002,$K$8),1))-1,""),"")</f>
        <v/>
      </c>
      <c r="AB929">
        <f>IF(ISNUMBER(AA929),'자료_거시'!$J911,"")</f>
        <v/>
      </c>
      <c r="AC929">
        <f>IF(ISNUMBER(AB929),IF(AB929&gt;$L$8,AA929,""),"")</f>
        <v/>
      </c>
    </row>
    <row r="930">
      <c r="S930">
        <f>IF(ISNUMBER('자료_거시'!$E912),'자료_거시'!$E912,S929)</f>
        <v/>
      </c>
      <c r="T930">
        <f>IF(AND(ISNUMBER('자료_거시'!$D912),ISNUMBER('자료_거시'!$E912)),IFERROR('자료_거시'!$E912-INDEX($S$21:$S$4020,MATCH(EDATE('자료_거시'!$D912,-'설정'!$B$17),'자료_거시'!$D$3:INDEX('자료_거시'!$D$3:$D$4002,$K$6),1)),""),"")</f>
        <v/>
      </c>
      <c r="U930">
        <f>IF(ISNUMBER(T930),'자료_거시'!$D912,"")</f>
        <v/>
      </c>
      <c r="V930">
        <f>IF(ISNUMBER(U930),IF(U930&gt;$L$6,T930,""),"")</f>
        <v/>
      </c>
      <c r="W930">
        <f>IF(AND(ISNUMBER('자료_거시'!$G912),ISNUMBER('자료_거시'!$H912)),'자료_거시'!$H912,"")</f>
        <v/>
      </c>
      <c r="X930">
        <f>IF(ISNUMBER(W930),'자료_거시'!$G912,"")</f>
        <v/>
      </c>
      <c r="Y930">
        <f>IF(ISNUMBER(X930),IF(X930&gt;$L$7,W930,""),"")</f>
        <v/>
      </c>
      <c r="Z930">
        <f>IF(ISNUMBER('자료_거시'!$K912),'자료_거시'!$K912,Z929)</f>
        <v/>
      </c>
      <c r="AA930">
        <f>IF(AND(ISNUMBER('자료_거시'!$J912),ISNUMBER('자료_거시'!$K912)),IFERROR('자료_거시'!$K912/INDEX($Z$21:$Z$4020,MATCH(EDATE('자료_거시'!$J912,-'설정'!$B$17),'자료_거시'!$J$3:INDEX('자료_거시'!$J$3:$J$4002,$K$8),1))-1,""),"")</f>
        <v/>
      </c>
      <c r="AB930">
        <f>IF(ISNUMBER(AA930),'자료_거시'!$J912,"")</f>
        <v/>
      </c>
      <c r="AC930">
        <f>IF(ISNUMBER(AB930),IF(AB930&gt;$L$8,AA930,""),"")</f>
        <v/>
      </c>
    </row>
    <row r="931">
      <c r="S931">
        <f>IF(ISNUMBER('자료_거시'!$E913),'자료_거시'!$E913,S930)</f>
        <v/>
      </c>
      <c r="T931">
        <f>IF(AND(ISNUMBER('자료_거시'!$D913),ISNUMBER('자료_거시'!$E913)),IFERROR('자료_거시'!$E913-INDEX($S$21:$S$4020,MATCH(EDATE('자료_거시'!$D913,-'설정'!$B$17),'자료_거시'!$D$3:INDEX('자료_거시'!$D$3:$D$4002,$K$6),1)),""),"")</f>
        <v/>
      </c>
      <c r="U931">
        <f>IF(ISNUMBER(T931),'자료_거시'!$D913,"")</f>
        <v/>
      </c>
      <c r="V931">
        <f>IF(ISNUMBER(U931),IF(U931&gt;$L$6,T931,""),"")</f>
        <v/>
      </c>
      <c r="W931">
        <f>IF(AND(ISNUMBER('자료_거시'!$G913),ISNUMBER('자료_거시'!$H913)),'자료_거시'!$H913,"")</f>
        <v/>
      </c>
      <c r="X931">
        <f>IF(ISNUMBER(W931),'자료_거시'!$G913,"")</f>
        <v/>
      </c>
      <c r="Y931">
        <f>IF(ISNUMBER(X931),IF(X931&gt;$L$7,W931,""),"")</f>
        <v/>
      </c>
      <c r="Z931">
        <f>IF(ISNUMBER('자료_거시'!$K913),'자료_거시'!$K913,Z930)</f>
        <v/>
      </c>
      <c r="AA931">
        <f>IF(AND(ISNUMBER('자료_거시'!$J913),ISNUMBER('자료_거시'!$K913)),IFERROR('자료_거시'!$K913/INDEX($Z$21:$Z$4020,MATCH(EDATE('자료_거시'!$J913,-'설정'!$B$17),'자료_거시'!$J$3:INDEX('자료_거시'!$J$3:$J$4002,$K$8),1))-1,""),"")</f>
        <v/>
      </c>
      <c r="AB931">
        <f>IF(ISNUMBER(AA931),'자료_거시'!$J913,"")</f>
        <v/>
      </c>
      <c r="AC931">
        <f>IF(ISNUMBER(AB931),IF(AB931&gt;$L$8,AA931,""),"")</f>
        <v/>
      </c>
    </row>
    <row r="932">
      <c r="S932">
        <f>IF(ISNUMBER('자료_거시'!$E914),'자료_거시'!$E914,S931)</f>
        <v/>
      </c>
      <c r="T932">
        <f>IF(AND(ISNUMBER('자료_거시'!$D914),ISNUMBER('자료_거시'!$E914)),IFERROR('자료_거시'!$E914-INDEX($S$21:$S$4020,MATCH(EDATE('자료_거시'!$D914,-'설정'!$B$17),'자료_거시'!$D$3:INDEX('자료_거시'!$D$3:$D$4002,$K$6),1)),""),"")</f>
        <v/>
      </c>
      <c r="U932">
        <f>IF(ISNUMBER(T932),'자료_거시'!$D914,"")</f>
        <v/>
      </c>
      <c r="V932">
        <f>IF(ISNUMBER(U932),IF(U932&gt;$L$6,T932,""),"")</f>
        <v/>
      </c>
      <c r="W932">
        <f>IF(AND(ISNUMBER('자료_거시'!$G914),ISNUMBER('자료_거시'!$H914)),'자료_거시'!$H914,"")</f>
        <v/>
      </c>
      <c r="X932">
        <f>IF(ISNUMBER(W932),'자료_거시'!$G914,"")</f>
        <v/>
      </c>
      <c r="Y932">
        <f>IF(ISNUMBER(X932),IF(X932&gt;$L$7,W932,""),"")</f>
        <v/>
      </c>
      <c r="Z932">
        <f>IF(ISNUMBER('자료_거시'!$K914),'자료_거시'!$K914,Z931)</f>
        <v/>
      </c>
      <c r="AA932">
        <f>IF(AND(ISNUMBER('자료_거시'!$J914),ISNUMBER('자료_거시'!$K914)),IFERROR('자료_거시'!$K914/INDEX($Z$21:$Z$4020,MATCH(EDATE('자료_거시'!$J914,-'설정'!$B$17),'자료_거시'!$J$3:INDEX('자료_거시'!$J$3:$J$4002,$K$8),1))-1,""),"")</f>
        <v/>
      </c>
      <c r="AB932">
        <f>IF(ISNUMBER(AA932),'자료_거시'!$J914,"")</f>
        <v/>
      </c>
      <c r="AC932">
        <f>IF(ISNUMBER(AB932),IF(AB932&gt;$L$8,AA932,""),"")</f>
        <v/>
      </c>
    </row>
    <row r="933">
      <c r="S933">
        <f>IF(ISNUMBER('자료_거시'!$E915),'자료_거시'!$E915,S932)</f>
        <v/>
      </c>
      <c r="T933">
        <f>IF(AND(ISNUMBER('자료_거시'!$D915),ISNUMBER('자료_거시'!$E915)),IFERROR('자료_거시'!$E915-INDEX($S$21:$S$4020,MATCH(EDATE('자료_거시'!$D915,-'설정'!$B$17),'자료_거시'!$D$3:INDEX('자료_거시'!$D$3:$D$4002,$K$6),1)),""),"")</f>
        <v/>
      </c>
      <c r="U933">
        <f>IF(ISNUMBER(T933),'자료_거시'!$D915,"")</f>
        <v/>
      </c>
      <c r="V933">
        <f>IF(ISNUMBER(U933),IF(U933&gt;$L$6,T933,""),"")</f>
        <v/>
      </c>
      <c r="W933">
        <f>IF(AND(ISNUMBER('자료_거시'!$G915),ISNUMBER('자료_거시'!$H915)),'자료_거시'!$H915,"")</f>
        <v/>
      </c>
      <c r="X933">
        <f>IF(ISNUMBER(W933),'자료_거시'!$G915,"")</f>
        <v/>
      </c>
      <c r="Y933">
        <f>IF(ISNUMBER(X933),IF(X933&gt;$L$7,W933,""),"")</f>
        <v/>
      </c>
      <c r="Z933">
        <f>IF(ISNUMBER('자료_거시'!$K915),'자료_거시'!$K915,Z932)</f>
        <v/>
      </c>
      <c r="AA933">
        <f>IF(AND(ISNUMBER('자료_거시'!$J915),ISNUMBER('자료_거시'!$K915)),IFERROR('자료_거시'!$K915/INDEX($Z$21:$Z$4020,MATCH(EDATE('자료_거시'!$J915,-'설정'!$B$17),'자료_거시'!$J$3:INDEX('자료_거시'!$J$3:$J$4002,$K$8),1))-1,""),"")</f>
        <v/>
      </c>
      <c r="AB933">
        <f>IF(ISNUMBER(AA933),'자료_거시'!$J915,"")</f>
        <v/>
      </c>
      <c r="AC933">
        <f>IF(ISNUMBER(AB933),IF(AB933&gt;$L$8,AA933,""),"")</f>
        <v/>
      </c>
    </row>
    <row r="934">
      <c r="S934">
        <f>IF(ISNUMBER('자료_거시'!$E916),'자료_거시'!$E916,S933)</f>
        <v/>
      </c>
      <c r="T934">
        <f>IF(AND(ISNUMBER('자료_거시'!$D916),ISNUMBER('자료_거시'!$E916)),IFERROR('자료_거시'!$E916-INDEX($S$21:$S$4020,MATCH(EDATE('자료_거시'!$D916,-'설정'!$B$17),'자료_거시'!$D$3:INDEX('자료_거시'!$D$3:$D$4002,$K$6),1)),""),"")</f>
        <v/>
      </c>
      <c r="U934">
        <f>IF(ISNUMBER(T934),'자료_거시'!$D916,"")</f>
        <v/>
      </c>
      <c r="V934">
        <f>IF(ISNUMBER(U934),IF(U934&gt;$L$6,T934,""),"")</f>
        <v/>
      </c>
      <c r="W934">
        <f>IF(AND(ISNUMBER('자료_거시'!$G916),ISNUMBER('자료_거시'!$H916)),'자료_거시'!$H916,"")</f>
        <v/>
      </c>
      <c r="X934">
        <f>IF(ISNUMBER(W934),'자료_거시'!$G916,"")</f>
        <v/>
      </c>
      <c r="Y934">
        <f>IF(ISNUMBER(X934),IF(X934&gt;$L$7,W934,""),"")</f>
        <v/>
      </c>
      <c r="Z934">
        <f>IF(ISNUMBER('자료_거시'!$K916),'자료_거시'!$K916,Z933)</f>
        <v/>
      </c>
      <c r="AA934">
        <f>IF(AND(ISNUMBER('자료_거시'!$J916),ISNUMBER('자료_거시'!$K916)),IFERROR('자료_거시'!$K916/INDEX($Z$21:$Z$4020,MATCH(EDATE('자료_거시'!$J916,-'설정'!$B$17),'자료_거시'!$J$3:INDEX('자료_거시'!$J$3:$J$4002,$K$8),1))-1,""),"")</f>
        <v/>
      </c>
      <c r="AB934">
        <f>IF(ISNUMBER(AA934),'자료_거시'!$J916,"")</f>
        <v/>
      </c>
      <c r="AC934">
        <f>IF(ISNUMBER(AB934),IF(AB934&gt;$L$8,AA934,""),"")</f>
        <v/>
      </c>
    </row>
    <row r="935">
      <c r="S935">
        <f>IF(ISNUMBER('자료_거시'!$E917),'자료_거시'!$E917,S934)</f>
        <v/>
      </c>
      <c r="T935">
        <f>IF(AND(ISNUMBER('자료_거시'!$D917),ISNUMBER('자료_거시'!$E917)),IFERROR('자료_거시'!$E917-INDEX($S$21:$S$4020,MATCH(EDATE('자료_거시'!$D917,-'설정'!$B$17),'자료_거시'!$D$3:INDEX('자료_거시'!$D$3:$D$4002,$K$6),1)),""),"")</f>
        <v/>
      </c>
      <c r="U935">
        <f>IF(ISNUMBER(T935),'자료_거시'!$D917,"")</f>
        <v/>
      </c>
      <c r="V935">
        <f>IF(ISNUMBER(U935),IF(U935&gt;$L$6,T935,""),"")</f>
        <v/>
      </c>
      <c r="W935">
        <f>IF(AND(ISNUMBER('자료_거시'!$G917),ISNUMBER('자료_거시'!$H917)),'자료_거시'!$H917,"")</f>
        <v/>
      </c>
      <c r="X935">
        <f>IF(ISNUMBER(W935),'자료_거시'!$G917,"")</f>
        <v/>
      </c>
      <c r="Y935">
        <f>IF(ISNUMBER(X935),IF(X935&gt;$L$7,W935,""),"")</f>
        <v/>
      </c>
      <c r="Z935">
        <f>IF(ISNUMBER('자료_거시'!$K917),'자료_거시'!$K917,Z934)</f>
        <v/>
      </c>
      <c r="AA935">
        <f>IF(AND(ISNUMBER('자료_거시'!$J917),ISNUMBER('자료_거시'!$K917)),IFERROR('자료_거시'!$K917/INDEX($Z$21:$Z$4020,MATCH(EDATE('자료_거시'!$J917,-'설정'!$B$17),'자료_거시'!$J$3:INDEX('자료_거시'!$J$3:$J$4002,$K$8),1))-1,""),"")</f>
        <v/>
      </c>
      <c r="AB935">
        <f>IF(ISNUMBER(AA935),'자료_거시'!$J917,"")</f>
        <v/>
      </c>
      <c r="AC935">
        <f>IF(ISNUMBER(AB935),IF(AB935&gt;$L$8,AA935,""),"")</f>
        <v/>
      </c>
    </row>
    <row r="936">
      <c r="S936">
        <f>IF(ISNUMBER('자료_거시'!$E918),'자료_거시'!$E918,S935)</f>
        <v/>
      </c>
      <c r="T936">
        <f>IF(AND(ISNUMBER('자료_거시'!$D918),ISNUMBER('자료_거시'!$E918)),IFERROR('자료_거시'!$E918-INDEX($S$21:$S$4020,MATCH(EDATE('자료_거시'!$D918,-'설정'!$B$17),'자료_거시'!$D$3:INDEX('자료_거시'!$D$3:$D$4002,$K$6),1)),""),"")</f>
        <v/>
      </c>
      <c r="U936">
        <f>IF(ISNUMBER(T936),'자료_거시'!$D918,"")</f>
        <v/>
      </c>
      <c r="V936">
        <f>IF(ISNUMBER(U936),IF(U936&gt;$L$6,T936,""),"")</f>
        <v/>
      </c>
      <c r="W936">
        <f>IF(AND(ISNUMBER('자료_거시'!$G918),ISNUMBER('자료_거시'!$H918)),'자료_거시'!$H918,"")</f>
        <v/>
      </c>
      <c r="X936">
        <f>IF(ISNUMBER(W936),'자료_거시'!$G918,"")</f>
        <v/>
      </c>
      <c r="Y936">
        <f>IF(ISNUMBER(X936),IF(X936&gt;$L$7,W936,""),"")</f>
        <v/>
      </c>
      <c r="Z936">
        <f>IF(ISNUMBER('자료_거시'!$K918),'자료_거시'!$K918,Z935)</f>
        <v/>
      </c>
      <c r="AA936">
        <f>IF(AND(ISNUMBER('자료_거시'!$J918),ISNUMBER('자료_거시'!$K918)),IFERROR('자료_거시'!$K918/INDEX($Z$21:$Z$4020,MATCH(EDATE('자료_거시'!$J918,-'설정'!$B$17),'자료_거시'!$J$3:INDEX('자료_거시'!$J$3:$J$4002,$K$8),1))-1,""),"")</f>
        <v/>
      </c>
      <c r="AB936">
        <f>IF(ISNUMBER(AA936),'자료_거시'!$J918,"")</f>
        <v/>
      </c>
      <c r="AC936">
        <f>IF(ISNUMBER(AB936),IF(AB936&gt;$L$8,AA936,""),"")</f>
        <v/>
      </c>
    </row>
    <row r="937">
      <c r="S937">
        <f>IF(ISNUMBER('자료_거시'!$E919),'자료_거시'!$E919,S936)</f>
        <v/>
      </c>
      <c r="T937">
        <f>IF(AND(ISNUMBER('자료_거시'!$D919),ISNUMBER('자료_거시'!$E919)),IFERROR('자료_거시'!$E919-INDEX($S$21:$S$4020,MATCH(EDATE('자료_거시'!$D919,-'설정'!$B$17),'자료_거시'!$D$3:INDEX('자료_거시'!$D$3:$D$4002,$K$6),1)),""),"")</f>
        <v/>
      </c>
      <c r="U937">
        <f>IF(ISNUMBER(T937),'자료_거시'!$D919,"")</f>
        <v/>
      </c>
      <c r="V937">
        <f>IF(ISNUMBER(U937),IF(U937&gt;$L$6,T937,""),"")</f>
        <v/>
      </c>
      <c r="W937">
        <f>IF(AND(ISNUMBER('자료_거시'!$G919),ISNUMBER('자료_거시'!$H919)),'자료_거시'!$H919,"")</f>
        <v/>
      </c>
      <c r="X937">
        <f>IF(ISNUMBER(W937),'자료_거시'!$G919,"")</f>
        <v/>
      </c>
      <c r="Y937">
        <f>IF(ISNUMBER(X937),IF(X937&gt;$L$7,W937,""),"")</f>
        <v/>
      </c>
      <c r="Z937">
        <f>IF(ISNUMBER('자료_거시'!$K919),'자료_거시'!$K919,Z936)</f>
        <v/>
      </c>
      <c r="AA937">
        <f>IF(AND(ISNUMBER('자료_거시'!$J919),ISNUMBER('자료_거시'!$K919)),IFERROR('자료_거시'!$K919/INDEX($Z$21:$Z$4020,MATCH(EDATE('자료_거시'!$J919,-'설정'!$B$17),'자료_거시'!$J$3:INDEX('자료_거시'!$J$3:$J$4002,$K$8),1))-1,""),"")</f>
        <v/>
      </c>
      <c r="AB937">
        <f>IF(ISNUMBER(AA937),'자료_거시'!$J919,"")</f>
        <v/>
      </c>
      <c r="AC937">
        <f>IF(ISNUMBER(AB937),IF(AB937&gt;$L$8,AA937,""),"")</f>
        <v/>
      </c>
    </row>
    <row r="938">
      <c r="S938">
        <f>IF(ISNUMBER('자료_거시'!$E920),'자료_거시'!$E920,S937)</f>
        <v/>
      </c>
      <c r="T938">
        <f>IF(AND(ISNUMBER('자료_거시'!$D920),ISNUMBER('자료_거시'!$E920)),IFERROR('자료_거시'!$E920-INDEX($S$21:$S$4020,MATCH(EDATE('자료_거시'!$D920,-'설정'!$B$17),'자료_거시'!$D$3:INDEX('자료_거시'!$D$3:$D$4002,$K$6),1)),""),"")</f>
        <v/>
      </c>
      <c r="U938">
        <f>IF(ISNUMBER(T938),'자료_거시'!$D920,"")</f>
        <v/>
      </c>
      <c r="V938">
        <f>IF(ISNUMBER(U938),IF(U938&gt;$L$6,T938,""),"")</f>
        <v/>
      </c>
      <c r="W938">
        <f>IF(AND(ISNUMBER('자료_거시'!$G920),ISNUMBER('자료_거시'!$H920)),'자료_거시'!$H920,"")</f>
        <v/>
      </c>
      <c r="X938">
        <f>IF(ISNUMBER(W938),'자료_거시'!$G920,"")</f>
        <v/>
      </c>
      <c r="Y938">
        <f>IF(ISNUMBER(X938),IF(X938&gt;$L$7,W938,""),"")</f>
        <v/>
      </c>
      <c r="Z938">
        <f>IF(ISNUMBER('자료_거시'!$K920),'자료_거시'!$K920,Z937)</f>
        <v/>
      </c>
      <c r="AA938">
        <f>IF(AND(ISNUMBER('자료_거시'!$J920),ISNUMBER('자료_거시'!$K920)),IFERROR('자료_거시'!$K920/INDEX($Z$21:$Z$4020,MATCH(EDATE('자료_거시'!$J920,-'설정'!$B$17),'자료_거시'!$J$3:INDEX('자료_거시'!$J$3:$J$4002,$K$8),1))-1,""),"")</f>
        <v/>
      </c>
      <c r="AB938">
        <f>IF(ISNUMBER(AA938),'자료_거시'!$J920,"")</f>
        <v/>
      </c>
      <c r="AC938">
        <f>IF(ISNUMBER(AB938),IF(AB938&gt;$L$8,AA938,""),"")</f>
        <v/>
      </c>
    </row>
    <row r="939">
      <c r="S939">
        <f>IF(ISNUMBER('자료_거시'!$E921),'자료_거시'!$E921,S938)</f>
        <v/>
      </c>
      <c r="T939">
        <f>IF(AND(ISNUMBER('자료_거시'!$D921),ISNUMBER('자료_거시'!$E921)),IFERROR('자료_거시'!$E921-INDEX($S$21:$S$4020,MATCH(EDATE('자료_거시'!$D921,-'설정'!$B$17),'자료_거시'!$D$3:INDEX('자료_거시'!$D$3:$D$4002,$K$6),1)),""),"")</f>
        <v/>
      </c>
      <c r="U939">
        <f>IF(ISNUMBER(T939),'자료_거시'!$D921,"")</f>
        <v/>
      </c>
      <c r="V939">
        <f>IF(ISNUMBER(U939),IF(U939&gt;$L$6,T939,""),"")</f>
        <v/>
      </c>
      <c r="W939">
        <f>IF(AND(ISNUMBER('자료_거시'!$G921),ISNUMBER('자료_거시'!$H921)),'자료_거시'!$H921,"")</f>
        <v/>
      </c>
      <c r="X939">
        <f>IF(ISNUMBER(W939),'자료_거시'!$G921,"")</f>
        <v/>
      </c>
      <c r="Y939">
        <f>IF(ISNUMBER(X939),IF(X939&gt;$L$7,W939,""),"")</f>
        <v/>
      </c>
      <c r="Z939">
        <f>IF(ISNUMBER('자료_거시'!$K921),'자료_거시'!$K921,Z938)</f>
        <v/>
      </c>
      <c r="AA939">
        <f>IF(AND(ISNUMBER('자료_거시'!$J921),ISNUMBER('자료_거시'!$K921)),IFERROR('자료_거시'!$K921/INDEX($Z$21:$Z$4020,MATCH(EDATE('자료_거시'!$J921,-'설정'!$B$17),'자료_거시'!$J$3:INDEX('자료_거시'!$J$3:$J$4002,$K$8),1))-1,""),"")</f>
        <v/>
      </c>
      <c r="AB939">
        <f>IF(ISNUMBER(AA939),'자료_거시'!$J921,"")</f>
        <v/>
      </c>
      <c r="AC939">
        <f>IF(ISNUMBER(AB939),IF(AB939&gt;$L$8,AA939,""),"")</f>
        <v/>
      </c>
    </row>
    <row r="940">
      <c r="S940">
        <f>IF(ISNUMBER('자료_거시'!$E922),'자료_거시'!$E922,S939)</f>
        <v/>
      </c>
      <c r="T940">
        <f>IF(AND(ISNUMBER('자료_거시'!$D922),ISNUMBER('자료_거시'!$E922)),IFERROR('자료_거시'!$E922-INDEX($S$21:$S$4020,MATCH(EDATE('자료_거시'!$D922,-'설정'!$B$17),'자료_거시'!$D$3:INDEX('자료_거시'!$D$3:$D$4002,$K$6),1)),""),"")</f>
        <v/>
      </c>
      <c r="U940">
        <f>IF(ISNUMBER(T940),'자료_거시'!$D922,"")</f>
        <v/>
      </c>
      <c r="V940">
        <f>IF(ISNUMBER(U940),IF(U940&gt;$L$6,T940,""),"")</f>
        <v/>
      </c>
      <c r="W940">
        <f>IF(AND(ISNUMBER('자료_거시'!$G922),ISNUMBER('자료_거시'!$H922)),'자료_거시'!$H922,"")</f>
        <v/>
      </c>
      <c r="X940">
        <f>IF(ISNUMBER(W940),'자료_거시'!$G922,"")</f>
        <v/>
      </c>
      <c r="Y940">
        <f>IF(ISNUMBER(X940),IF(X940&gt;$L$7,W940,""),"")</f>
        <v/>
      </c>
      <c r="Z940">
        <f>IF(ISNUMBER('자료_거시'!$K922),'자료_거시'!$K922,Z939)</f>
        <v/>
      </c>
      <c r="AA940">
        <f>IF(AND(ISNUMBER('자료_거시'!$J922),ISNUMBER('자료_거시'!$K922)),IFERROR('자료_거시'!$K922/INDEX($Z$21:$Z$4020,MATCH(EDATE('자료_거시'!$J922,-'설정'!$B$17),'자료_거시'!$J$3:INDEX('자료_거시'!$J$3:$J$4002,$K$8),1))-1,""),"")</f>
        <v/>
      </c>
      <c r="AB940">
        <f>IF(ISNUMBER(AA940),'자료_거시'!$J922,"")</f>
        <v/>
      </c>
      <c r="AC940">
        <f>IF(ISNUMBER(AB940),IF(AB940&gt;$L$8,AA940,""),"")</f>
        <v/>
      </c>
    </row>
    <row r="941">
      <c r="S941">
        <f>IF(ISNUMBER('자료_거시'!$E923),'자료_거시'!$E923,S940)</f>
        <v/>
      </c>
      <c r="T941">
        <f>IF(AND(ISNUMBER('자료_거시'!$D923),ISNUMBER('자료_거시'!$E923)),IFERROR('자료_거시'!$E923-INDEX($S$21:$S$4020,MATCH(EDATE('자료_거시'!$D923,-'설정'!$B$17),'자료_거시'!$D$3:INDEX('자료_거시'!$D$3:$D$4002,$K$6),1)),""),"")</f>
        <v/>
      </c>
      <c r="U941">
        <f>IF(ISNUMBER(T941),'자료_거시'!$D923,"")</f>
        <v/>
      </c>
      <c r="V941">
        <f>IF(ISNUMBER(U941),IF(U941&gt;$L$6,T941,""),"")</f>
        <v/>
      </c>
      <c r="W941">
        <f>IF(AND(ISNUMBER('자료_거시'!$G923),ISNUMBER('자료_거시'!$H923)),'자료_거시'!$H923,"")</f>
        <v/>
      </c>
      <c r="X941">
        <f>IF(ISNUMBER(W941),'자료_거시'!$G923,"")</f>
        <v/>
      </c>
      <c r="Y941">
        <f>IF(ISNUMBER(X941),IF(X941&gt;$L$7,W941,""),"")</f>
        <v/>
      </c>
      <c r="Z941">
        <f>IF(ISNUMBER('자료_거시'!$K923),'자료_거시'!$K923,Z940)</f>
        <v/>
      </c>
      <c r="AA941">
        <f>IF(AND(ISNUMBER('자료_거시'!$J923),ISNUMBER('자료_거시'!$K923)),IFERROR('자료_거시'!$K923/INDEX($Z$21:$Z$4020,MATCH(EDATE('자료_거시'!$J923,-'설정'!$B$17),'자료_거시'!$J$3:INDEX('자료_거시'!$J$3:$J$4002,$K$8),1))-1,""),"")</f>
        <v/>
      </c>
      <c r="AB941">
        <f>IF(ISNUMBER(AA941),'자료_거시'!$J923,"")</f>
        <v/>
      </c>
      <c r="AC941">
        <f>IF(ISNUMBER(AB941),IF(AB941&gt;$L$8,AA941,""),"")</f>
        <v/>
      </c>
    </row>
    <row r="942">
      <c r="S942">
        <f>IF(ISNUMBER('자료_거시'!$E924),'자료_거시'!$E924,S941)</f>
        <v/>
      </c>
      <c r="T942">
        <f>IF(AND(ISNUMBER('자료_거시'!$D924),ISNUMBER('자료_거시'!$E924)),IFERROR('자료_거시'!$E924-INDEX($S$21:$S$4020,MATCH(EDATE('자료_거시'!$D924,-'설정'!$B$17),'자료_거시'!$D$3:INDEX('자료_거시'!$D$3:$D$4002,$K$6),1)),""),"")</f>
        <v/>
      </c>
      <c r="U942">
        <f>IF(ISNUMBER(T942),'자료_거시'!$D924,"")</f>
        <v/>
      </c>
      <c r="V942">
        <f>IF(ISNUMBER(U942),IF(U942&gt;$L$6,T942,""),"")</f>
        <v/>
      </c>
      <c r="W942">
        <f>IF(AND(ISNUMBER('자료_거시'!$G924),ISNUMBER('자료_거시'!$H924)),'자료_거시'!$H924,"")</f>
        <v/>
      </c>
      <c r="X942">
        <f>IF(ISNUMBER(W942),'자료_거시'!$G924,"")</f>
        <v/>
      </c>
      <c r="Y942">
        <f>IF(ISNUMBER(X942),IF(X942&gt;$L$7,W942,""),"")</f>
        <v/>
      </c>
      <c r="Z942">
        <f>IF(ISNUMBER('자료_거시'!$K924),'자료_거시'!$K924,Z941)</f>
        <v/>
      </c>
      <c r="AA942">
        <f>IF(AND(ISNUMBER('자료_거시'!$J924),ISNUMBER('자료_거시'!$K924)),IFERROR('자료_거시'!$K924/INDEX($Z$21:$Z$4020,MATCH(EDATE('자료_거시'!$J924,-'설정'!$B$17),'자료_거시'!$J$3:INDEX('자료_거시'!$J$3:$J$4002,$K$8),1))-1,""),"")</f>
        <v/>
      </c>
      <c r="AB942">
        <f>IF(ISNUMBER(AA942),'자료_거시'!$J924,"")</f>
        <v/>
      </c>
      <c r="AC942">
        <f>IF(ISNUMBER(AB942),IF(AB942&gt;$L$8,AA942,""),"")</f>
        <v/>
      </c>
    </row>
    <row r="943">
      <c r="S943">
        <f>IF(ISNUMBER('자료_거시'!$E925),'자료_거시'!$E925,S942)</f>
        <v/>
      </c>
      <c r="T943">
        <f>IF(AND(ISNUMBER('자료_거시'!$D925),ISNUMBER('자료_거시'!$E925)),IFERROR('자료_거시'!$E925-INDEX($S$21:$S$4020,MATCH(EDATE('자료_거시'!$D925,-'설정'!$B$17),'자료_거시'!$D$3:INDEX('자료_거시'!$D$3:$D$4002,$K$6),1)),""),"")</f>
        <v/>
      </c>
      <c r="U943">
        <f>IF(ISNUMBER(T943),'자료_거시'!$D925,"")</f>
        <v/>
      </c>
      <c r="V943">
        <f>IF(ISNUMBER(U943),IF(U943&gt;$L$6,T943,""),"")</f>
        <v/>
      </c>
      <c r="W943">
        <f>IF(AND(ISNUMBER('자료_거시'!$G925),ISNUMBER('자료_거시'!$H925)),'자료_거시'!$H925,"")</f>
        <v/>
      </c>
      <c r="X943">
        <f>IF(ISNUMBER(W943),'자료_거시'!$G925,"")</f>
        <v/>
      </c>
      <c r="Y943">
        <f>IF(ISNUMBER(X943),IF(X943&gt;$L$7,W943,""),"")</f>
        <v/>
      </c>
      <c r="Z943">
        <f>IF(ISNUMBER('자료_거시'!$K925),'자료_거시'!$K925,Z942)</f>
        <v/>
      </c>
      <c r="AA943">
        <f>IF(AND(ISNUMBER('자료_거시'!$J925),ISNUMBER('자료_거시'!$K925)),IFERROR('자료_거시'!$K925/INDEX($Z$21:$Z$4020,MATCH(EDATE('자료_거시'!$J925,-'설정'!$B$17),'자료_거시'!$J$3:INDEX('자료_거시'!$J$3:$J$4002,$K$8),1))-1,""),"")</f>
        <v/>
      </c>
      <c r="AB943">
        <f>IF(ISNUMBER(AA943),'자료_거시'!$J925,"")</f>
        <v/>
      </c>
      <c r="AC943">
        <f>IF(ISNUMBER(AB943),IF(AB943&gt;$L$8,AA943,""),"")</f>
        <v/>
      </c>
    </row>
    <row r="944">
      <c r="S944">
        <f>IF(ISNUMBER('자료_거시'!$E926),'자료_거시'!$E926,S943)</f>
        <v/>
      </c>
      <c r="T944">
        <f>IF(AND(ISNUMBER('자료_거시'!$D926),ISNUMBER('자료_거시'!$E926)),IFERROR('자료_거시'!$E926-INDEX($S$21:$S$4020,MATCH(EDATE('자료_거시'!$D926,-'설정'!$B$17),'자료_거시'!$D$3:INDEX('자료_거시'!$D$3:$D$4002,$K$6),1)),""),"")</f>
        <v/>
      </c>
      <c r="U944">
        <f>IF(ISNUMBER(T944),'자료_거시'!$D926,"")</f>
        <v/>
      </c>
      <c r="V944">
        <f>IF(ISNUMBER(U944),IF(U944&gt;$L$6,T944,""),"")</f>
        <v/>
      </c>
      <c r="W944">
        <f>IF(AND(ISNUMBER('자료_거시'!$G926),ISNUMBER('자료_거시'!$H926)),'자료_거시'!$H926,"")</f>
        <v/>
      </c>
      <c r="X944">
        <f>IF(ISNUMBER(W944),'자료_거시'!$G926,"")</f>
        <v/>
      </c>
      <c r="Y944">
        <f>IF(ISNUMBER(X944),IF(X944&gt;$L$7,W944,""),"")</f>
        <v/>
      </c>
      <c r="Z944">
        <f>IF(ISNUMBER('자료_거시'!$K926),'자료_거시'!$K926,Z943)</f>
        <v/>
      </c>
      <c r="AA944">
        <f>IF(AND(ISNUMBER('자료_거시'!$J926),ISNUMBER('자료_거시'!$K926)),IFERROR('자료_거시'!$K926/INDEX($Z$21:$Z$4020,MATCH(EDATE('자료_거시'!$J926,-'설정'!$B$17),'자료_거시'!$J$3:INDEX('자료_거시'!$J$3:$J$4002,$K$8),1))-1,""),"")</f>
        <v/>
      </c>
      <c r="AB944">
        <f>IF(ISNUMBER(AA944),'자료_거시'!$J926,"")</f>
        <v/>
      </c>
      <c r="AC944">
        <f>IF(ISNUMBER(AB944),IF(AB944&gt;$L$8,AA944,""),"")</f>
        <v/>
      </c>
    </row>
    <row r="945">
      <c r="S945">
        <f>IF(ISNUMBER('자료_거시'!$E927),'자료_거시'!$E927,S944)</f>
        <v/>
      </c>
      <c r="T945">
        <f>IF(AND(ISNUMBER('자료_거시'!$D927),ISNUMBER('자료_거시'!$E927)),IFERROR('자료_거시'!$E927-INDEX($S$21:$S$4020,MATCH(EDATE('자료_거시'!$D927,-'설정'!$B$17),'자료_거시'!$D$3:INDEX('자료_거시'!$D$3:$D$4002,$K$6),1)),""),"")</f>
        <v/>
      </c>
      <c r="U945">
        <f>IF(ISNUMBER(T945),'자료_거시'!$D927,"")</f>
        <v/>
      </c>
      <c r="V945">
        <f>IF(ISNUMBER(U945),IF(U945&gt;$L$6,T945,""),"")</f>
        <v/>
      </c>
      <c r="W945">
        <f>IF(AND(ISNUMBER('자료_거시'!$G927),ISNUMBER('자료_거시'!$H927)),'자료_거시'!$H927,"")</f>
        <v/>
      </c>
      <c r="X945">
        <f>IF(ISNUMBER(W945),'자료_거시'!$G927,"")</f>
        <v/>
      </c>
      <c r="Y945">
        <f>IF(ISNUMBER(X945),IF(X945&gt;$L$7,W945,""),"")</f>
        <v/>
      </c>
      <c r="Z945">
        <f>IF(ISNUMBER('자료_거시'!$K927),'자료_거시'!$K927,Z944)</f>
        <v/>
      </c>
      <c r="AA945">
        <f>IF(AND(ISNUMBER('자료_거시'!$J927),ISNUMBER('자료_거시'!$K927)),IFERROR('자료_거시'!$K927/INDEX($Z$21:$Z$4020,MATCH(EDATE('자료_거시'!$J927,-'설정'!$B$17),'자료_거시'!$J$3:INDEX('자료_거시'!$J$3:$J$4002,$K$8),1))-1,""),"")</f>
        <v/>
      </c>
      <c r="AB945">
        <f>IF(ISNUMBER(AA945),'자료_거시'!$J927,"")</f>
        <v/>
      </c>
      <c r="AC945">
        <f>IF(ISNUMBER(AB945),IF(AB945&gt;$L$8,AA945,""),"")</f>
        <v/>
      </c>
    </row>
    <row r="946">
      <c r="S946">
        <f>IF(ISNUMBER('자료_거시'!$E928),'자료_거시'!$E928,S945)</f>
        <v/>
      </c>
      <c r="T946">
        <f>IF(AND(ISNUMBER('자료_거시'!$D928),ISNUMBER('자료_거시'!$E928)),IFERROR('자료_거시'!$E928-INDEX($S$21:$S$4020,MATCH(EDATE('자료_거시'!$D928,-'설정'!$B$17),'자료_거시'!$D$3:INDEX('자료_거시'!$D$3:$D$4002,$K$6),1)),""),"")</f>
        <v/>
      </c>
      <c r="U946">
        <f>IF(ISNUMBER(T946),'자료_거시'!$D928,"")</f>
        <v/>
      </c>
      <c r="V946">
        <f>IF(ISNUMBER(U946),IF(U946&gt;$L$6,T946,""),"")</f>
        <v/>
      </c>
      <c r="W946">
        <f>IF(AND(ISNUMBER('자료_거시'!$G928),ISNUMBER('자료_거시'!$H928)),'자료_거시'!$H928,"")</f>
        <v/>
      </c>
      <c r="X946">
        <f>IF(ISNUMBER(W946),'자료_거시'!$G928,"")</f>
        <v/>
      </c>
      <c r="Y946">
        <f>IF(ISNUMBER(X946),IF(X946&gt;$L$7,W946,""),"")</f>
        <v/>
      </c>
      <c r="Z946">
        <f>IF(ISNUMBER('자료_거시'!$K928),'자료_거시'!$K928,Z945)</f>
        <v/>
      </c>
      <c r="AA946">
        <f>IF(AND(ISNUMBER('자료_거시'!$J928),ISNUMBER('자료_거시'!$K928)),IFERROR('자료_거시'!$K928/INDEX($Z$21:$Z$4020,MATCH(EDATE('자료_거시'!$J928,-'설정'!$B$17),'자료_거시'!$J$3:INDEX('자료_거시'!$J$3:$J$4002,$K$8),1))-1,""),"")</f>
        <v/>
      </c>
      <c r="AB946">
        <f>IF(ISNUMBER(AA946),'자료_거시'!$J928,"")</f>
        <v/>
      </c>
      <c r="AC946">
        <f>IF(ISNUMBER(AB946),IF(AB946&gt;$L$8,AA946,""),"")</f>
        <v/>
      </c>
    </row>
    <row r="947">
      <c r="S947">
        <f>IF(ISNUMBER('자료_거시'!$E929),'자료_거시'!$E929,S946)</f>
        <v/>
      </c>
      <c r="T947">
        <f>IF(AND(ISNUMBER('자료_거시'!$D929),ISNUMBER('자료_거시'!$E929)),IFERROR('자료_거시'!$E929-INDEX($S$21:$S$4020,MATCH(EDATE('자료_거시'!$D929,-'설정'!$B$17),'자료_거시'!$D$3:INDEX('자료_거시'!$D$3:$D$4002,$K$6),1)),""),"")</f>
        <v/>
      </c>
      <c r="U947">
        <f>IF(ISNUMBER(T947),'자료_거시'!$D929,"")</f>
        <v/>
      </c>
      <c r="V947">
        <f>IF(ISNUMBER(U947),IF(U947&gt;$L$6,T947,""),"")</f>
        <v/>
      </c>
      <c r="W947">
        <f>IF(AND(ISNUMBER('자료_거시'!$G929),ISNUMBER('자료_거시'!$H929)),'자료_거시'!$H929,"")</f>
        <v/>
      </c>
      <c r="X947">
        <f>IF(ISNUMBER(W947),'자료_거시'!$G929,"")</f>
        <v/>
      </c>
      <c r="Y947">
        <f>IF(ISNUMBER(X947),IF(X947&gt;$L$7,W947,""),"")</f>
        <v/>
      </c>
      <c r="Z947">
        <f>IF(ISNUMBER('자료_거시'!$K929),'자료_거시'!$K929,Z946)</f>
        <v/>
      </c>
      <c r="AA947">
        <f>IF(AND(ISNUMBER('자료_거시'!$J929),ISNUMBER('자료_거시'!$K929)),IFERROR('자료_거시'!$K929/INDEX($Z$21:$Z$4020,MATCH(EDATE('자료_거시'!$J929,-'설정'!$B$17),'자료_거시'!$J$3:INDEX('자료_거시'!$J$3:$J$4002,$K$8),1))-1,""),"")</f>
        <v/>
      </c>
      <c r="AB947">
        <f>IF(ISNUMBER(AA947),'자료_거시'!$J929,"")</f>
        <v/>
      </c>
      <c r="AC947">
        <f>IF(ISNUMBER(AB947),IF(AB947&gt;$L$8,AA947,""),"")</f>
        <v/>
      </c>
    </row>
    <row r="948">
      <c r="S948">
        <f>IF(ISNUMBER('자료_거시'!$E930),'자료_거시'!$E930,S947)</f>
        <v/>
      </c>
      <c r="T948">
        <f>IF(AND(ISNUMBER('자료_거시'!$D930),ISNUMBER('자료_거시'!$E930)),IFERROR('자료_거시'!$E930-INDEX($S$21:$S$4020,MATCH(EDATE('자료_거시'!$D930,-'설정'!$B$17),'자료_거시'!$D$3:INDEX('자료_거시'!$D$3:$D$4002,$K$6),1)),""),"")</f>
        <v/>
      </c>
      <c r="U948">
        <f>IF(ISNUMBER(T948),'자료_거시'!$D930,"")</f>
        <v/>
      </c>
      <c r="V948">
        <f>IF(ISNUMBER(U948),IF(U948&gt;$L$6,T948,""),"")</f>
        <v/>
      </c>
      <c r="W948">
        <f>IF(AND(ISNUMBER('자료_거시'!$G930),ISNUMBER('자료_거시'!$H930)),'자료_거시'!$H930,"")</f>
        <v/>
      </c>
      <c r="X948">
        <f>IF(ISNUMBER(W948),'자료_거시'!$G930,"")</f>
        <v/>
      </c>
      <c r="Y948">
        <f>IF(ISNUMBER(X948),IF(X948&gt;$L$7,W948,""),"")</f>
        <v/>
      </c>
      <c r="Z948">
        <f>IF(ISNUMBER('자료_거시'!$K930),'자료_거시'!$K930,Z947)</f>
        <v/>
      </c>
      <c r="AA948">
        <f>IF(AND(ISNUMBER('자료_거시'!$J930),ISNUMBER('자료_거시'!$K930)),IFERROR('자료_거시'!$K930/INDEX($Z$21:$Z$4020,MATCH(EDATE('자료_거시'!$J930,-'설정'!$B$17),'자료_거시'!$J$3:INDEX('자료_거시'!$J$3:$J$4002,$K$8),1))-1,""),"")</f>
        <v/>
      </c>
      <c r="AB948">
        <f>IF(ISNUMBER(AA948),'자료_거시'!$J930,"")</f>
        <v/>
      </c>
      <c r="AC948">
        <f>IF(ISNUMBER(AB948),IF(AB948&gt;$L$8,AA948,""),"")</f>
        <v/>
      </c>
    </row>
    <row r="949">
      <c r="S949">
        <f>IF(ISNUMBER('자료_거시'!$E931),'자료_거시'!$E931,S948)</f>
        <v/>
      </c>
      <c r="T949">
        <f>IF(AND(ISNUMBER('자료_거시'!$D931),ISNUMBER('자료_거시'!$E931)),IFERROR('자료_거시'!$E931-INDEX($S$21:$S$4020,MATCH(EDATE('자료_거시'!$D931,-'설정'!$B$17),'자료_거시'!$D$3:INDEX('자료_거시'!$D$3:$D$4002,$K$6),1)),""),"")</f>
        <v/>
      </c>
      <c r="U949">
        <f>IF(ISNUMBER(T949),'자료_거시'!$D931,"")</f>
        <v/>
      </c>
      <c r="V949">
        <f>IF(ISNUMBER(U949),IF(U949&gt;$L$6,T949,""),"")</f>
        <v/>
      </c>
      <c r="W949">
        <f>IF(AND(ISNUMBER('자료_거시'!$G931),ISNUMBER('자료_거시'!$H931)),'자료_거시'!$H931,"")</f>
        <v/>
      </c>
      <c r="X949">
        <f>IF(ISNUMBER(W949),'자료_거시'!$G931,"")</f>
        <v/>
      </c>
      <c r="Y949">
        <f>IF(ISNUMBER(X949),IF(X949&gt;$L$7,W949,""),"")</f>
        <v/>
      </c>
      <c r="Z949">
        <f>IF(ISNUMBER('자료_거시'!$K931),'자료_거시'!$K931,Z948)</f>
        <v/>
      </c>
      <c r="AA949">
        <f>IF(AND(ISNUMBER('자료_거시'!$J931),ISNUMBER('자료_거시'!$K931)),IFERROR('자료_거시'!$K931/INDEX($Z$21:$Z$4020,MATCH(EDATE('자료_거시'!$J931,-'설정'!$B$17),'자료_거시'!$J$3:INDEX('자료_거시'!$J$3:$J$4002,$K$8),1))-1,""),"")</f>
        <v/>
      </c>
      <c r="AB949">
        <f>IF(ISNUMBER(AA949),'자료_거시'!$J931,"")</f>
        <v/>
      </c>
      <c r="AC949">
        <f>IF(ISNUMBER(AB949),IF(AB949&gt;$L$8,AA949,""),"")</f>
        <v/>
      </c>
    </row>
    <row r="950">
      <c r="S950">
        <f>IF(ISNUMBER('자료_거시'!$E932),'자료_거시'!$E932,S949)</f>
        <v/>
      </c>
      <c r="T950">
        <f>IF(AND(ISNUMBER('자료_거시'!$D932),ISNUMBER('자료_거시'!$E932)),IFERROR('자료_거시'!$E932-INDEX($S$21:$S$4020,MATCH(EDATE('자료_거시'!$D932,-'설정'!$B$17),'자료_거시'!$D$3:INDEX('자료_거시'!$D$3:$D$4002,$K$6),1)),""),"")</f>
        <v/>
      </c>
      <c r="U950">
        <f>IF(ISNUMBER(T950),'자료_거시'!$D932,"")</f>
        <v/>
      </c>
      <c r="V950">
        <f>IF(ISNUMBER(U950),IF(U950&gt;$L$6,T950,""),"")</f>
        <v/>
      </c>
      <c r="W950">
        <f>IF(AND(ISNUMBER('자료_거시'!$G932),ISNUMBER('자료_거시'!$H932)),'자료_거시'!$H932,"")</f>
        <v/>
      </c>
      <c r="X950">
        <f>IF(ISNUMBER(W950),'자료_거시'!$G932,"")</f>
        <v/>
      </c>
      <c r="Y950">
        <f>IF(ISNUMBER(X950),IF(X950&gt;$L$7,W950,""),"")</f>
        <v/>
      </c>
      <c r="Z950">
        <f>IF(ISNUMBER('자료_거시'!$K932),'자료_거시'!$K932,Z949)</f>
        <v/>
      </c>
      <c r="AA950">
        <f>IF(AND(ISNUMBER('자료_거시'!$J932),ISNUMBER('자료_거시'!$K932)),IFERROR('자료_거시'!$K932/INDEX($Z$21:$Z$4020,MATCH(EDATE('자료_거시'!$J932,-'설정'!$B$17),'자료_거시'!$J$3:INDEX('자료_거시'!$J$3:$J$4002,$K$8),1))-1,""),"")</f>
        <v/>
      </c>
      <c r="AB950">
        <f>IF(ISNUMBER(AA950),'자료_거시'!$J932,"")</f>
        <v/>
      </c>
      <c r="AC950">
        <f>IF(ISNUMBER(AB950),IF(AB950&gt;$L$8,AA950,""),"")</f>
        <v/>
      </c>
    </row>
    <row r="951">
      <c r="S951">
        <f>IF(ISNUMBER('자료_거시'!$E933),'자료_거시'!$E933,S950)</f>
        <v/>
      </c>
      <c r="T951">
        <f>IF(AND(ISNUMBER('자료_거시'!$D933),ISNUMBER('자료_거시'!$E933)),IFERROR('자료_거시'!$E933-INDEX($S$21:$S$4020,MATCH(EDATE('자료_거시'!$D933,-'설정'!$B$17),'자료_거시'!$D$3:INDEX('자료_거시'!$D$3:$D$4002,$K$6),1)),""),"")</f>
        <v/>
      </c>
      <c r="U951">
        <f>IF(ISNUMBER(T951),'자료_거시'!$D933,"")</f>
        <v/>
      </c>
      <c r="V951">
        <f>IF(ISNUMBER(U951),IF(U951&gt;$L$6,T951,""),"")</f>
        <v/>
      </c>
      <c r="W951">
        <f>IF(AND(ISNUMBER('자료_거시'!$G933),ISNUMBER('자료_거시'!$H933)),'자료_거시'!$H933,"")</f>
        <v/>
      </c>
      <c r="X951">
        <f>IF(ISNUMBER(W951),'자료_거시'!$G933,"")</f>
        <v/>
      </c>
      <c r="Y951">
        <f>IF(ISNUMBER(X951),IF(X951&gt;$L$7,W951,""),"")</f>
        <v/>
      </c>
      <c r="Z951">
        <f>IF(ISNUMBER('자료_거시'!$K933),'자료_거시'!$K933,Z950)</f>
        <v/>
      </c>
      <c r="AA951">
        <f>IF(AND(ISNUMBER('자료_거시'!$J933),ISNUMBER('자료_거시'!$K933)),IFERROR('자료_거시'!$K933/INDEX($Z$21:$Z$4020,MATCH(EDATE('자료_거시'!$J933,-'설정'!$B$17),'자료_거시'!$J$3:INDEX('자료_거시'!$J$3:$J$4002,$K$8),1))-1,""),"")</f>
        <v/>
      </c>
      <c r="AB951">
        <f>IF(ISNUMBER(AA951),'자료_거시'!$J933,"")</f>
        <v/>
      </c>
      <c r="AC951">
        <f>IF(ISNUMBER(AB951),IF(AB951&gt;$L$8,AA951,""),"")</f>
        <v/>
      </c>
    </row>
    <row r="952">
      <c r="S952">
        <f>IF(ISNUMBER('자료_거시'!$E934),'자료_거시'!$E934,S951)</f>
        <v/>
      </c>
      <c r="T952">
        <f>IF(AND(ISNUMBER('자료_거시'!$D934),ISNUMBER('자료_거시'!$E934)),IFERROR('자료_거시'!$E934-INDEX($S$21:$S$4020,MATCH(EDATE('자료_거시'!$D934,-'설정'!$B$17),'자료_거시'!$D$3:INDEX('자료_거시'!$D$3:$D$4002,$K$6),1)),""),"")</f>
        <v/>
      </c>
      <c r="U952">
        <f>IF(ISNUMBER(T952),'자료_거시'!$D934,"")</f>
        <v/>
      </c>
      <c r="V952">
        <f>IF(ISNUMBER(U952),IF(U952&gt;$L$6,T952,""),"")</f>
        <v/>
      </c>
      <c r="W952">
        <f>IF(AND(ISNUMBER('자료_거시'!$G934),ISNUMBER('자료_거시'!$H934)),'자료_거시'!$H934,"")</f>
        <v/>
      </c>
      <c r="X952">
        <f>IF(ISNUMBER(W952),'자료_거시'!$G934,"")</f>
        <v/>
      </c>
      <c r="Y952">
        <f>IF(ISNUMBER(X952),IF(X952&gt;$L$7,W952,""),"")</f>
        <v/>
      </c>
      <c r="Z952">
        <f>IF(ISNUMBER('자료_거시'!$K934),'자료_거시'!$K934,Z951)</f>
        <v/>
      </c>
      <c r="AA952">
        <f>IF(AND(ISNUMBER('자료_거시'!$J934),ISNUMBER('자료_거시'!$K934)),IFERROR('자료_거시'!$K934/INDEX($Z$21:$Z$4020,MATCH(EDATE('자료_거시'!$J934,-'설정'!$B$17),'자료_거시'!$J$3:INDEX('자료_거시'!$J$3:$J$4002,$K$8),1))-1,""),"")</f>
        <v/>
      </c>
      <c r="AB952">
        <f>IF(ISNUMBER(AA952),'자료_거시'!$J934,"")</f>
        <v/>
      </c>
      <c r="AC952">
        <f>IF(ISNUMBER(AB952),IF(AB952&gt;$L$8,AA952,""),"")</f>
        <v/>
      </c>
    </row>
    <row r="953">
      <c r="S953">
        <f>IF(ISNUMBER('자료_거시'!$E935),'자료_거시'!$E935,S952)</f>
        <v/>
      </c>
      <c r="T953">
        <f>IF(AND(ISNUMBER('자료_거시'!$D935),ISNUMBER('자료_거시'!$E935)),IFERROR('자료_거시'!$E935-INDEX($S$21:$S$4020,MATCH(EDATE('자료_거시'!$D935,-'설정'!$B$17),'자료_거시'!$D$3:INDEX('자료_거시'!$D$3:$D$4002,$K$6),1)),""),"")</f>
        <v/>
      </c>
      <c r="U953">
        <f>IF(ISNUMBER(T953),'자료_거시'!$D935,"")</f>
        <v/>
      </c>
      <c r="V953">
        <f>IF(ISNUMBER(U953),IF(U953&gt;$L$6,T953,""),"")</f>
        <v/>
      </c>
      <c r="W953">
        <f>IF(AND(ISNUMBER('자료_거시'!$G935),ISNUMBER('자료_거시'!$H935)),'자료_거시'!$H935,"")</f>
        <v/>
      </c>
      <c r="X953">
        <f>IF(ISNUMBER(W953),'자료_거시'!$G935,"")</f>
        <v/>
      </c>
      <c r="Y953">
        <f>IF(ISNUMBER(X953),IF(X953&gt;$L$7,W953,""),"")</f>
        <v/>
      </c>
      <c r="Z953">
        <f>IF(ISNUMBER('자료_거시'!$K935),'자료_거시'!$K935,Z952)</f>
        <v/>
      </c>
      <c r="AA953">
        <f>IF(AND(ISNUMBER('자료_거시'!$J935),ISNUMBER('자료_거시'!$K935)),IFERROR('자료_거시'!$K935/INDEX($Z$21:$Z$4020,MATCH(EDATE('자료_거시'!$J935,-'설정'!$B$17),'자료_거시'!$J$3:INDEX('자료_거시'!$J$3:$J$4002,$K$8),1))-1,""),"")</f>
        <v/>
      </c>
      <c r="AB953">
        <f>IF(ISNUMBER(AA953),'자료_거시'!$J935,"")</f>
        <v/>
      </c>
      <c r="AC953">
        <f>IF(ISNUMBER(AB953),IF(AB953&gt;$L$8,AA953,""),"")</f>
        <v/>
      </c>
    </row>
    <row r="954">
      <c r="S954">
        <f>IF(ISNUMBER('자료_거시'!$E936),'자료_거시'!$E936,S953)</f>
        <v/>
      </c>
      <c r="T954">
        <f>IF(AND(ISNUMBER('자료_거시'!$D936),ISNUMBER('자료_거시'!$E936)),IFERROR('자료_거시'!$E936-INDEX($S$21:$S$4020,MATCH(EDATE('자료_거시'!$D936,-'설정'!$B$17),'자료_거시'!$D$3:INDEX('자료_거시'!$D$3:$D$4002,$K$6),1)),""),"")</f>
        <v/>
      </c>
      <c r="U954">
        <f>IF(ISNUMBER(T954),'자료_거시'!$D936,"")</f>
        <v/>
      </c>
      <c r="V954">
        <f>IF(ISNUMBER(U954),IF(U954&gt;$L$6,T954,""),"")</f>
        <v/>
      </c>
      <c r="W954">
        <f>IF(AND(ISNUMBER('자료_거시'!$G936),ISNUMBER('자료_거시'!$H936)),'자료_거시'!$H936,"")</f>
        <v/>
      </c>
      <c r="X954">
        <f>IF(ISNUMBER(W954),'자료_거시'!$G936,"")</f>
        <v/>
      </c>
      <c r="Y954">
        <f>IF(ISNUMBER(X954),IF(X954&gt;$L$7,W954,""),"")</f>
        <v/>
      </c>
      <c r="Z954">
        <f>IF(ISNUMBER('자료_거시'!$K936),'자료_거시'!$K936,Z953)</f>
        <v/>
      </c>
      <c r="AA954">
        <f>IF(AND(ISNUMBER('자료_거시'!$J936),ISNUMBER('자료_거시'!$K936)),IFERROR('자료_거시'!$K936/INDEX($Z$21:$Z$4020,MATCH(EDATE('자료_거시'!$J936,-'설정'!$B$17),'자료_거시'!$J$3:INDEX('자료_거시'!$J$3:$J$4002,$K$8),1))-1,""),"")</f>
        <v/>
      </c>
      <c r="AB954">
        <f>IF(ISNUMBER(AA954),'자료_거시'!$J936,"")</f>
        <v/>
      </c>
      <c r="AC954">
        <f>IF(ISNUMBER(AB954),IF(AB954&gt;$L$8,AA954,""),"")</f>
        <v/>
      </c>
    </row>
    <row r="955">
      <c r="S955">
        <f>IF(ISNUMBER('자료_거시'!$E937),'자료_거시'!$E937,S954)</f>
        <v/>
      </c>
      <c r="T955">
        <f>IF(AND(ISNUMBER('자료_거시'!$D937),ISNUMBER('자료_거시'!$E937)),IFERROR('자료_거시'!$E937-INDEX($S$21:$S$4020,MATCH(EDATE('자료_거시'!$D937,-'설정'!$B$17),'자료_거시'!$D$3:INDEX('자료_거시'!$D$3:$D$4002,$K$6),1)),""),"")</f>
        <v/>
      </c>
      <c r="U955">
        <f>IF(ISNUMBER(T955),'자료_거시'!$D937,"")</f>
        <v/>
      </c>
      <c r="V955">
        <f>IF(ISNUMBER(U955),IF(U955&gt;$L$6,T955,""),"")</f>
        <v/>
      </c>
      <c r="W955">
        <f>IF(AND(ISNUMBER('자료_거시'!$G937),ISNUMBER('자료_거시'!$H937)),'자료_거시'!$H937,"")</f>
        <v/>
      </c>
      <c r="X955">
        <f>IF(ISNUMBER(W955),'자료_거시'!$G937,"")</f>
        <v/>
      </c>
      <c r="Y955">
        <f>IF(ISNUMBER(X955),IF(X955&gt;$L$7,W955,""),"")</f>
        <v/>
      </c>
      <c r="Z955">
        <f>IF(ISNUMBER('자료_거시'!$K937),'자료_거시'!$K937,Z954)</f>
        <v/>
      </c>
      <c r="AA955">
        <f>IF(AND(ISNUMBER('자료_거시'!$J937),ISNUMBER('자료_거시'!$K937)),IFERROR('자료_거시'!$K937/INDEX($Z$21:$Z$4020,MATCH(EDATE('자료_거시'!$J937,-'설정'!$B$17),'자료_거시'!$J$3:INDEX('자료_거시'!$J$3:$J$4002,$K$8),1))-1,""),"")</f>
        <v/>
      </c>
      <c r="AB955">
        <f>IF(ISNUMBER(AA955),'자료_거시'!$J937,"")</f>
        <v/>
      </c>
      <c r="AC955">
        <f>IF(ISNUMBER(AB955),IF(AB955&gt;$L$8,AA955,""),"")</f>
        <v/>
      </c>
    </row>
    <row r="956">
      <c r="S956">
        <f>IF(ISNUMBER('자료_거시'!$E938),'자료_거시'!$E938,S955)</f>
        <v/>
      </c>
      <c r="T956">
        <f>IF(AND(ISNUMBER('자료_거시'!$D938),ISNUMBER('자료_거시'!$E938)),IFERROR('자료_거시'!$E938-INDEX($S$21:$S$4020,MATCH(EDATE('자료_거시'!$D938,-'설정'!$B$17),'자료_거시'!$D$3:INDEX('자료_거시'!$D$3:$D$4002,$K$6),1)),""),"")</f>
        <v/>
      </c>
      <c r="U956">
        <f>IF(ISNUMBER(T956),'자료_거시'!$D938,"")</f>
        <v/>
      </c>
      <c r="V956">
        <f>IF(ISNUMBER(U956),IF(U956&gt;$L$6,T956,""),"")</f>
        <v/>
      </c>
      <c r="W956">
        <f>IF(AND(ISNUMBER('자료_거시'!$G938),ISNUMBER('자료_거시'!$H938)),'자료_거시'!$H938,"")</f>
        <v/>
      </c>
      <c r="X956">
        <f>IF(ISNUMBER(W956),'자료_거시'!$G938,"")</f>
        <v/>
      </c>
      <c r="Y956">
        <f>IF(ISNUMBER(X956),IF(X956&gt;$L$7,W956,""),"")</f>
        <v/>
      </c>
      <c r="Z956">
        <f>IF(ISNUMBER('자료_거시'!$K938),'자료_거시'!$K938,Z955)</f>
        <v/>
      </c>
      <c r="AA956">
        <f>IF(AND(ISNUMBER('자료_거시'!$J938),ISNUMBER('자료_거시'!$K938)),IFERROR('자료_거시'!$K938/INDEX($Z$21:$Z$4020,MATCH(EDATE('자료_거시'!$J938,-'설정'!$B$17),'자료_거시'!$J$3:INDEX('자료_거시'!$J$3:$J$4002,$K$8),1))-1,""),"")</f>
        <v/>
      </c>
      <c r="AB956">
        <f>IF(ISNUMBER(AA956),'자료_거시'!$J938,"")</f>
        <v/>
      </c>
      <c r="AC956">
        <f>IF(ISNUMBER(AB956),IF(AB956&gt;$L$8,AA956,""),"")</f>
        <v/>
      </c>
    </row>
    <row r="957">
      <c r="S957">
        <f>IF(ISNUMBER('자료_거시'!$E939),'자료_거시'!$E939,S956)</f>
        <v/>
      </c>
      <c r="T957">
        <f>IF(AND(ISNUMBER('자료_거시'!$D939),ISNUMBER('자료_거시'!$E939)),IFERROR('자료_거시'!$E939-INDEX($S$21:$S$4020,MATCH(EDATE('자료_거시'!$D939,-'설정'!$B$17),'자료_거시'!$D$3:INDEX('자료_거시'!$D$3:$D$4002,$K$6),1)),""),"")</f>
        <v/>
      </c>
      <c r="U957">
        <f>IF(ISNUMBER(T957),'자료_거시'!$D939,"")</f>
        <v/>
      </c>
      <c r="V957">
        <f>IF(ISNUMBER(U957),IF(U957&gt;$L$6,T957,""),"")</f>
        <v/>
      </c>
      <c r="W957">
        <f>IF(AND(ISNUMBER('자료_거시'!$G939),ISNUMBER('자료_거시'!$H939)),'자료_거시'!$H939,"")</f>
        <v/>
      </c>
      <c r="X957">
        <f>IF(ISNUMBER(W957),'자료_거시'!$G939,"")</f>
        <v/>
      </c>
      <c r="Y957">
        <f>IF(ISNUMBER(X957),IF(X957&gt;$L$7,W957,""),"")</f>
        <v/>
      </c>
      <c r="Z957">
        <f>IF(ISNUMBER('자료_거시'!$K939),'자료_거시'!$K939,Z956)</f>
        <v/>
      </c>
      <c r="AA957">
        <f>IF(AND(ISNUMBER('자료_거시'!$J939),ISNUMBER('자료_거시'!$K939)),IFERROR('자료_거시'!$K939/INDEX($Z$21:$Z$4020,MATCH(EDATE('자료_거시'!$J939,-'설정'!$B$17),'자료_거시'!$J$3:INDEX('자료_거시'!$J$3:$J$4002,$K$8),1))-1,""),"")</f>
        <v/>
      </c>
      <c r="AB957">
        <f>IF(ISNUMBER(AA957),'자료_거시'!$J939,"")</f>
        <v/>
      </c>
      <c r="AC957">
        <f>IF(ISNUMBER(AB957),IF(AB957&gt;$L$8,AA957,""),"")</f>
        <v/>
      </c>
    </row>
    <row r="958">
      <c r="S958">
        <f>IF(ISNUMBER('자료_거시'!$E940),'자료_거시'!$E940,S957)</f>
        <v/>
      </c>
      <c r="T958">
        <f>IF(AND(ISNUMBER('자료_거시'!$D940),ISNUMBER('자료_거시'!$E940)),IFERROR('자료_거시'!$E940-INDEX($S$21:$S$4020,MATCH(EDATE('자료_거시'!$D940,-'설정'!$B$17),'자료_거시'!$D$3:INDEX('자료_거시'!$D$3:$D$4002,$K$6),1)),""),"")</f>
        <v/>
      </c>
      <c r="U958">
        <f>IF(ISNUMBER(T958),'자료_거시'!$D940,"")</f>
        <v/>
      </c>
      <c r="V958">
        <f>IF(ISNUMBER(U958),IF(U958&gt;$L$6,T958,""),"")</f>
        <v/>
      </c>
      <c r="W958">
        <f>IF(AND(ISNUMBER('자료_거시'!$G940),ISNUMBER('자료_거시'!$H940)),'자료_거시'!$H940,"")</f>
        <v/>
      </c>
      <c r="X958">
        <f>IF(ISNUMBER(W958),'자료_거시'!$G940,"")</f>
        <v/>
      </c>
      <c r="Y958">
        <f>IF(ISNUMBER(X958),IF(X958&gt;$L$7,W958,""),"")</f>
        <v/>
      </c>
      <c r="Z958">
        <f>IF(ISNUMBER('자료_거시'!$K940),'자료_거시'!$K940,Z957)</f>
        <v/>
      </c>
      <c r="AA958">
        <f>IF(AND(ISNUMBER('자료_거시'!$J940),ISNUMBER('자료_거시'!$K940)),IFERROR('자료_거시'!$K940/INDEX($Z$21:$Z$4020,MATCH(EDATE('자료_거시'!$J940,-'설정'!$B$17),'자료_거시'!$J$3:INDEX('자료_거시'!$J$3:$J$4002,$K$8),1))-1,""),"")</f>
        <v/>
      </c>
      <c r="AB958">
        <f>IF(ISNUMBER(AA958),'자료_거시'!$J940,"")</f>
        <v/>
      </c>
      <c r="AC958">
        <f>IF(ISNUMBER(AB958),IF(AB958&gt;$L$8,AA958,""),"")</f>
        <v/>
      </c>
    </row>
    <row r="959">
      <c r="S959">
        <f>IF(ISNUMBER('자료_거시'!$E941),'자료_거시'!$E941,S958)</f>
        <v/>
      </c>
      <c r="T959">
        <f>IF(AND(ISNUMBER('자료_거시'!$D941),ISNUMBER('자료_거시'!$E941)),IFERROR('자료_거시'!$E941-INDEX($S$21:$S$4020,MATCH(EDATE('자료_거시'!$D941,-'설정'!$B$17),'자료_거시'!$D$3:INDEX('자료_거시'!$D$3:$D$4002,$K$6),1)),""),"")</f>
        <v/>
      </c>
      <c r="U959">
        <f>IF(ISNUMBER(T959),'자료_거시'!$D941,"")</f>
        <v/>
      </c>
      <c r="V959">
        <f>IF(ISNUMBER(U959),IF(U959&gt;$L$6,T959,""),"")</f>
        <v/>
      </c>
      <c r="W959">
        <f>IF(AND(ISNUMBER('자료_거시'!$G941),ISNUMBER('자료_거시'!$H941)),'자료_거시'!$H941,"")</f>
        <v/>
      </c>
      <c r="X959">
        <f>IF(ISNUMBER(W959),'자료_거시'!$G941,"")</f>
        <v/>
      </c>
      <c r="Y959">
        <f>IF(ISNUMBER(X959),IF(X959&gt;$L$7,W959,""),"")</f>
        <v/>
      </c>
      <c r="Z959">
        <f>IF(ISNUMBER('자료_거시'!$K941),'자료_거시'!$K941,Z958)</f>
        <v/>
      </c>
      <c r="AA959">
        <f>IF(AND(ISNUMBER('자료_거시'!$J941),ISNUMBER('자료_거시'!$K941)),IFERROR('자료_거시'!$K941/INDEX($Z$21:$Z$4020,MATCH(EDATE('자료_거시'!$J941,-'설정'!$B$17),'자료_거시'!$J$3:INDEX('자료_거시'!$J$3:$J$4002,$K$8),1))-1,""),"")</f>
        <v/>
      </c>
      <c r="AB959">
        <f>IF(ISNUMBER(AA959),'자료_거시'!$J941,"")</f>
        <v/>
      </c>
      <c r="AC959">
        <f>IF(ISNUMBER(AB959),IF(AB959&gt;$L$8,AA959,""),"")</f>
        <v/>
      </c>
    </row>
    <row r="960">
      <c r="S960">
        <f>IF(ISNUMBER('자료_거시'!$E942),'자료_거시'!$E942,S959)</f>
        <v/>
      </c>
      <c r="T960">
        <f>IF(AND(ISNUMBER('자료_거시'!$D942),ISNUMBER('자료_거시'!$E942)),IFERROR('자료_거시'!$E942-INDEX($S$21:$S$4020,MATCH(EDATE('자료_거시'!$D942,-'설정'!$B$17),'자료_거시'!$D$3:INDEX('자료_거시'!$D$3:$D$4002,$K$6),1)),""),"")</f>
        <v/>
      </c>
      <c r="U960">
        <f>IF(ISNUMBER(T960),'자료_거시'!$D942,"")</f>
        <v/>
      </c>
      <c r="V960">
        <f>IF(ISNUMBER(U960),IF(U960&gt;$L$6,T960,""),"")</f>
        <v/>
      </c>
      <c r="W960">
        <f>IF(AND(ISNUMBER('자료_거시'!$G942),ISNUMBER('자료_거시'!$H942)),'자료_거시'!$H942,"")</f>
        <v/>
      </c>
      <c r="X960">
        <f>IF(ISNUMBER(W960),'자료_거시'!$G942,"")</f>
        <v/>
      </c>
      <c r="Y960">
        <f>IF(ISNUMBER(X960),IF(X960&gt;$L$7,W960,""),"")</f>
        <v/>
      </c>
      <c r="Z960">
        <f>IF(ISNUMBER('자료_거시'!$K942),'자료_거시'!$K942,Z959)</f>
        <v/>
      </c>
      <c r="AA960">
        <f>IF(AND(ISNUMBER('자료_거시'!$J942),ISNUMBER('자료_거시'!$K942)),IFERROR('자료_거시'!$K942/INDEX($Z$21:$Z$4020,MATCH(EDATE('자료_거시'!$J942,-'설정'!$B$17),'자료_거시'!$J$3:INDEX('자료_거시'!$J$3:$J$4002,$K$8),1))-1,""),"")</f>
        <v/>
      </c>
      <c r="AB960">
        <f>IF(ISNUMBER(AA960),'자료_거시'!$J942,"")</f>
        <v/>
      </c>
      <c r="AC960">
        <f>IF(ISNUMBER(AB960),IF(AB960&gt;$L$8,AA960,""),"")</f>
        <v/>
      </c>
    </row>
    <row r="961">
      <c r="S961">
        <f>IF(ISNUMBER('자료_거시'!$E943),'자료_거시'!$E943,S960)</f>
        <v/>
      </c>
      <c r="T961">
        <f>IF(AND(ISNUMBER('자료_거시'!$D943),ISNUMBER('자료_거시'!$E943)),IFERROR('자료_거시'!$E943-INDEX($S$21:$S$4020,MATCH(EDATE('자료_거시'!$D943,-'설정'!$B$17),'자료_거시'!$D$3:INDEX('자료_거시'!$D$3:$D$4002,$K$6),1)),""),"")</f>
        <v/>
      </c>
      <c r="U961">
        <f>IF(ISNUMBER(T961),'자료_거시'!$D943,"")</f>
        <v/>
      </c>
      <c r="V961">
        <f>IF(ISNUMBER(U961),IF(U961&gt;$L$6,T961,""),"")</f>
        <v/>
      </c>
      <c r="W961">
        <f>IF(AND(ISNUMBER('자료_거시'!$G943),ISNUMBER('자료_거시'!$H943)),'자료_거시'!$H943,"")</f>
        <v/>
      </c>
      <c r="X961">
        <f>IF(ISNUMBER(W961),'자료_거시'!$G943,"")</f>
        <v/>
      </c>
      <c r="Y961">
        <f>IF(ISNUMBER(X961),IF(X961&gt;$L$7,W961,""),"")</f>
        <v/>
      </c>
      <c r="Z961">
        <f>IF(ISNUMBER('자료_거시'!$K943),'자료_거시'!$K943,Z960)</f>
        <v/>
      </c>
      <c r="AA961">
        <f>IF(AND(ISNUMBER('자료_거시'!$J943),ISNUMBER('자료_거시'!$K943)),IFERROR('자료_거시'!$K943/INDEX($Z$21:$Z$4020,MATCH(EDATE('자료_거시'!$J943,-'설정'!$B$17),'자료_거시'!$J$3:INDEX('자료_거시'!$J$3:$J$4002,$K$8),1))-1,""),"")</f>
        <v/>
      </c>
      <c r="AB961">
        <f>IF(ISNUMBER(AA961),'자료_거시'!$J943,"")</f>
        <v/>
      </c>
      <c r="AC961">
        <f>IF(ISNUMBER(AB961),IF(AB961&gt;$L$8,AA961,""),"")</f>
        <v/>
      </c>
    </row>
    <row r="962">
      <c r="S962">
        <f>IF(ISNUMBER('자료_거시'!$E944),'자료_거시'!$E944,S961)</f>
        <v/>
      </c>
      <c r="T962">
        <f>IF(AND(ISNUMBER('자료_거시'!$D944),ISNUMBER('자료_거시'!$E944)),IFERROR('자료_거시'!$E944-INDEX($S$21:$S$4020,MATCH(EDATE('자료_거시'!$D944,-'설정'!$B$17),'자료_거시'!$D$3:INDEX('자료_거시'!$D$3:$D$4002,$K$6),1)),""),"")</f>
        <v/>
      </c>
      <c r="U962">
        <f>IF(ISNUMBER(T962),'자료_거시'!$D944,"")</f>
        <v/>
      </c>
      <c r="V962">
        <f>IF(ISNUMBER(U962),IF(U962&gt;$L$6,T962,""),"")</f>
        <v/>
      </c>
      <c r="W962">
        <f>IF(AND(ISNUMBER('자료_거시'!$G944),ISNUMBER('자료_거시'!$H944)),'자료_거시'!$H944,"")</f>
        <v/>
      </c>
      <c r="X962">
        <f>IF(ISNUMBER(W962),'자료_거시'!$G944,"")</f>
        <v/>
      </c>
      <c r="Y962">
        <f>IF(ISNUMBER(X962),IF(X962&gt;$L$7,W962,""),"")</f>
        <v/>
      </c>
      <c r="Z962">
        <f>IF(ISNUMBER('자료_거시'!$K944),'자료_거시'!$K944,Z961)</f>
        <v/>
      </c>
      <c r="AA962">
        <f>IF(AND(ISNUMBER('자료_거시'!$J944),ISNUMBER('자료_거시'!$K944)),IFERROR('자료_거시'!$K944/INDEX($Z$21:$Z$4020,MATCH(EDATE('자료_거시'!$J944,-'설정'!$B$17),'자료_거시'!$J$3:INDEX('자료_거시'!$J$3:$J$4002,$K$8),1))-1,""),"")</f>
        <v/>
      </c>
      <c r="AB962">
        <f>IF(ISNUMBER(AA962),'자료_거시'!$J944,"")</f>
        <v/>
      </c>
      <c r="AC962">
        <f>IF(ISNUMBER(AB962),IF(AB962&gt;$L$8,AA962,""),"")</f>
        <v/>
      </c>
    </row>
    <row r="963">
      <c r="S963">
        <f>IF(ISNUMBER('자료_거시'!$E945),'자료_거시'!$E945,S962)</f>
        <v/>
      </c>
      <c r="T963">
        <f>IF(AND(ISNUMBER('자료_거시'!$D945),ISNUMBER('자료_거시'!$E945)),IFERROR('자료_거시'!$E945-INDEX($S$21:$S$4020,MATCH(EDATE('자료_거시'!$D945,-'설정'!$B$17),'자료_거시'!$D$3:INDEX('자료_거시'!$D$3:$D$4002,$K$6),1)),""),"")</f>
        <v/>
      </c>
      <c r="U963">
        <f>IF(ISNUMBER(T963),'자료_거시'!$D945,"")</f>
        <v/>
      </c>
      <c r="V963">
        <f>IF(ISNUMBER(U963),IF(U963&gt;$L$6,T963,""),"")</f>
        <v/>
      </c>
      <c r="W963">
        <f>IF(AND(ISNUMBER('자료_거시'!$G945),ISNUMBER('자료_거시'!$H945)),'자료_거시'!$H945,"")</f>
        <v/>
      </c>
      <c r="X963">
        <f>IF(ISNUMBER(W963),'자료_거시'!$G945,"")</f>
        <v/>
      </c>
      <c r="Y963">
        <f>IF(ISNUMBER(X963),IF(X963&gt;$L$7,W963,""),"")</f>
        <v/>
      </c>
      <c r="Z963">
        <f>IF(ISNUMBER('자료_거시'!$K945),'자료_거시'!$K945,Z962)</f>
        <v/>
      </c>
      <c r="AA963">
        <f>IF(AND(ISNUMBER('자료_거시'!$J945),ISNUMBER('자료_거시'!$K945)),IFERROR('자료_거시'!$K945/INDEX($Z$21:$Z$4020,MATCH(EDATE('자료_거시'!$J945,-'설정'!$B$17),'자료_거시'!$J$3:INDEX('자료_거시'!$J$3:$J$4002,$K$8),1))-1,""),"")</f>
        <v/>
      </c>
      <c r="AB963">
        <f>IF(ISNUMBER(AA963),'자료_거시'!$J945,"")</f>
        <v/>
      </c>
      <c r="AC963">
        <f>IF(ISNUMBER(AB963),IF(AB963&gt;$L$8,AA963,""),"")</f>
        <v/>
      </c>
    </row>
    <row r="964">
      <c r="S964">
        <f>IF(ISNUMBER('자료_거시'!$E946),'자료_거시'!$E946,S963)</f>
        <v/>
      </c>
      <c r="T964">
        <f>IF(AND(ISNUMBER('자료_거시'!$D946),ISNUMBER('자료_거시'!$E946)),IFERROR('자료_거시'!$E946-INDEX($S$21:$S$4020,MATCH(EDATE('자료_거시'!$D946,-'설정'!$B$17),'자료_거시'!$D$3:INDEX('자료_거시'!$D$3:$D$4002,$K$6),1)),""),"")</f>
        <v/>
      </c>
      <c r="U964">
        <f>IF(ISNUMBER(T964),'자료_거시'!$D946,"")</f>
        <v/>
      </c>
      <c r="V964">
        <f>IF(ISNUMBER(U964),IF(U964&gt;$L$6,T964,""),"")</f>
        <v/>
      </c>
      <c r="W964">
        <f>IF(AND(ISNUMBER('자료_거시'!$G946),ISNUMBER('자료_거시'!$H946)),'자료_거시'!$H946,"")</f>
        <v/>
      </c>
      <c r="X964">
        <f>IF(ISNUMBER(W964),'자료_거시'!$G946,"")</f>
        <v/>
      </c>
      <c r="Y964">
        <f>IF(ISNUMBER(X964),IF(X964&gt;$L$7,W964,""),"")</f>
        <v/>
      </c>
      <c r="Z964">
        <f>IF(ISNUMBER('자료_거시'!$K946),'자료_거시'!$K946,Z963)</f>
        <v/>
      </c>
      <c r="AA964">
        <f>IF(AND(ISNUMBER('자료_거시'!$J946),ISNUMBER('자료_거시'!$K946)),IFERROR('자료_거시'!$K946/INDEX($Z$21:$Z$4020,MATCH(EDATE('자료_거시'!$J946,-'설정'!$B$17),'자료_거시'!$J$3:INDEX('자료_거시'!$J$3:$J$4002,$K$8),1))-1,""),"")</f>
        <v/>
      </c>
      <c r="AB964">
        <f>IF(ISNUMBER(AA964),'자료_거시'!$J946,"")</f>
        <v/>
      </c>
      <c r="AC964">
        <f>IF(ISNUMBER(AB964),IF(AB964&gt;$L$8,AA964,""),"")</f>
        <v/>
      </c>
    </row>
    <row r="965">
      <c r="S965">
        <f>IF(ISNUMBER('자료_거시'!$E947),'자료_거시'!$E947,S964)</f>
        <v/>
      </c>
      <c r="T965">
        <f>IF(AND(ISNUMBER('자료_거시'!$D947),ISNUMBER('자료_거시'!$E947)),IFERROR('자료_거시'!$E947-INDEX($S$21:$S$4020,MATCH(EDATE('자료_거시'!$D947,-'설정'!$B$17),'자료_거시'!$D$3:INDEX('자료_거시'!$D$3:$D$4002,$K$6),1)),""),"")</f>
        <v/>
      </c>
      <c r="U965">
        <f>IF(ISNUMBER(T965),'자료_거시'!$D947,"")</f>
        <v/>
      </c>
      <c r="V965">
        <f>IF(ISNUMBER(U965),IF(U965&gt;$L$6,T965,""),"")</f>
        <v/>
      </c>
      <c r="W965">
        <f>IF(AND(ISNUMBER('자료_거시'!$G947),ISNUMBER('자료_거시'!$H947)),'자료_거시'!$H947,"")</f>
        <v/>
      </c>
      <c r="X965">
        <f>IF(ISNUMBER(W965),'자료_거시'!$G947,"")</f>
        <v/>
      </c>
      <c r="Y965">
        <f>IF(ISNUMBER(X965),IF(X965&gt;$L$7,W965,""),"")</f>
        <v/>
      </c>
      <c r="Z965">
        <f>IF(ISNUMBER('자료_거시'!$K947),'자료_거시'!$K947,Z964)</f>
        <v/>
      </c>
      <c r="AA965">
        <f>IF(AND(ISNUMBER('자료_거시'!$J947),ISNUMBER('자료_거시'!$K947)),IFERROR('자료_거시'!$K947/INDEX($Z$21:$Z$4020,MATCH(EDATE('자료_거시'!$J947,-'설정'!$B$17),'자료_거시'!$J$3:INDEX('자료_거시'!$J$3:$J$4002,$K$8),1))-1,""),"")</f>
        <v/>
      </c>
      <c r="AB965">
        <f>IF(ISNUMBER(AA965),'자료_거시'!$J947,"")</f>
        <v/>
      </c>
      <c r="AC965">
        <f>IF(ISNUMBER(AB965),IF(AB965&gt;$L$8,AA965,""),"")</f>
        <v/>
      </c>
    </row>
    <row r="966">
      <c r="S966">
        <f>IF(ISNUMBER('자료_거시'!$E948),'자료_거시'!$E948,S965)</f>
        <v/>
      </c>
      <c r="T966">
        <f>IF(AND(ISNUMBER('자료_거시'!$D948),ISNUMBER('자료_거시'!$E948)),IFERROR('자료_거시'!$E948-INDEX($S$21:$S$4020,MATCH(EDATE('자료_거시'!$D948,-'설정'!$B$17),'자료_거시'!$D$3:INDEX('자료_거시'!$D$3:$D$4002,$K$6),1)),""),"")</f>
        <v/>
      </c>
      <c r="U966">
        <f>IF(ISNUMBER(T966),'자료_거시'!$D948,"")</f>
        <v/>
      </c>
      <c r="V966">
        <f>IF(ISNUMBER(U966),IF(U966&gt;$L$6,T966,""),"")</f>
        <v/>
      </c>
      <c r="W966">
        <f>IF(AND(ISNUMBER('자료_거시'!$G948),ISNUMBER('자료_거시'!$H948)),'자료_거시'!$H948,"")</f>
        <v/>
      </c>
      <c r="X966">
        <f>IF(ISNUMBER(W966),'자료_거시'!$G948,"")</f>
        <v/>
      </c>
      <c r="Y966">
        <f>IF(ISNUMBER(X966),IF(X966&gt;$L$7,W966,""),"")</f>
        <v/>
      </c>
      <c r="Z966">
        <f>IF(ISNUMBER('자료_거시'!$K948),'자료_거시'!$K948,Z965)</f>
        <v/>
      </c>
      <c r="AA966">
        <f>IF(AND(ISNUMBER('자료_거시'!$J948),ISNUMBER('자료_거시'!$K948)),IFERROR('자료_거시'!$K948/INDEX($Z$21:$Z$4020,MATCH(EDATE('자료_거시'!$J948,-'설정'!$B$17),'자료_거시'!$J$3:INDEX('자료_거시'!$J$3:$J$4002,$K$8),1))-1,""),"")</f>
        <v/>
      </c>
      <c r="AB966">
        <f>IF(ISNUMBER(AA966),'자료_거시'!$J948,"")</f>
        <v/>
      </c>
      <c r="AC966">
        <f>IF(ISNUMBER(AB966),IF(AB966&gt;$L$8,AA966,""),"")</f>
        <v/>
      </c>
    </row>
    <row r="967">
      <c r="S967">
        <f>IF(ISNUMBER('자료_거시'!$E949),'자료_거시'!$E949,S966)</f>
        <v/>
      </c>
      <c r="T967">
        <f>IF(AND(ISNUMBER('자료_거시'!$D949),ISNUMBER('자료_거시'!$E949)),IFERROR('자료_거시'!$E949-INDEX($S$21:$S$4020,MATCH(EDATE('자료_거시'!$D949,-'설정'!$B$17),'자료_거시'!$D$3:INDEX('자료_거시'!$D$3:$D$4002,$K$6),1)),""),"")</f>
        <v/>
      </c>
      <c r="U967">
        <f>IF(ISNUMBER(T967),'자료_거시'!$D949,"")</f>
        <v/>
      </c>
      <c r="V967">
        <f>IF(ISNUMBER(U967),IF(U967&gt;$L$6,T967,""),"")</f>
        <v/>
      </c>
      <c r="W967">
        <f>IF(AND(ISNUMBER('자료_거시'!$G949),ISNUMBER('자료_거시'!$H949)),'자료_거시'!$H949,"")</f>
        <v/>
      </c>
      <c r="X967">
        <f>IF(ISNUMBER(W967),'자료_거시'!$G949,"")</f>
        <v/>
      </c>
      <c r="Y967">
        <f>IF(ISNUMBER(X967),IF(X967&gt;$L$7,W967,""),"")</f>
        <v/>
      </c>
      <c r="Z967">
        <f>IF(ISNUMBER('자료_거시'!$K949),'자료_거시'!$K949,Z966)</f>
        <v/>
      </c>
      <c r="AA967">
        <f>IF(AND(ISNUMBER('자료_거시'!$J949),ISNUMBER('자료_거시'!$K949)),IFERROR('자료_거시'!$K949/INDEX($Z$21:$Z$4020,MATCH(EDATE('자료_거시'!$J949,-'설정'!$B$17),'자료_거시'!$J$3:INDEX('자료_거시'!$J$3:$J$4002,$K$8),1))-1,""),"")</f>
        <v/>
      </c>
      <c r="AB967">
        <f>IF(ISNUMBER(AA967),'자료_거시'!$J949,"")</f>
        <v/>
      </c>
      <c r="AC967">
        <f>IF(ISNUMBER(AB967),IF(AB967&gt;$L$8,AA967,""),"")</f>
        <v/>
      </c>
    </row>
    <row r="968">
      <c r="S968">
        <f>IF(ISNUMBER('자료_거시'!$E950),'자료_거시'!$E950,S967)</f>
        <v/>
      </c>
      <c r="T968">
        <f>IF(AND(ISNUMBER('자료_거시'!$D950),ISNUMBER('자료_거시'!$E950)),IFERROR('자료_거시'!$E950-INDEX($S$21:$S$4020,MATCH(EDATE('자료_거시'!$D950,-'설정'!$B$17),'자료_거시'!$D$3:INDEX('자료_거시'!$D$3:$D$4002,$K$6),1)),""),"")</f>
        <v/>
      </c>
      <c r="U968">
        <f>IF(ISNUMBER(T968),'자료_거시'!$D950,"")</f>
        <v/>
      </c>
      <c r="V968">
        <f>IF(ISNUMBER(U968),IF(U968&gt;$L$6,T968,""),"")</f>
        <v/>
      </c>
      <c r="W968">
        <f>IF(AND(ISNUMBER('자료_거시'!$G950),ISNUMBER('자료_거시'!$H950)),'자료_거시'!$H950,"")</f>
        <v/>
      </c>
      <c r="X968">
        <f>IF(ISNUMBER(W968),'자료_거시'!$G950,"")</f>
        <v/>
      </c>
      <c r="Y968">
        <f>IF(ISNUMBER(X968),IF(X968&gt;$L$7,W968,""),"")</f>
        <v/>
      </c>
      <c r="Z968">
        <f>IF(ISNUMBER('자료_거시'!$K950),'자료_거시'!$K950,Z967)</f>
        <v/>
      </c>
      <c r="AA968">
        <f>IF(AND(ISNUMBER('자료_거시'!$J950),ISNUMBER('자료_거시'!$K950)),IFERROR('자료_거시'!$K950/INDEX($Z$21:$Z$4020,MATCH(EDATE('자료_거시'!$J950,-'설정'!$B$17),'자료_거시'!$J$3:INDEX('자료_거시'!$J$3:$J$4002,$K$8),1))-1,""),"")</f>
        <v/>
      </c>
      <c r="AB968">
        <f>IF(ISNUMBER(AA968),'자료_거시'!$J950,"")</f>
        <v/>
      </c>
      <c r="AC968">
        <f>IF(ISNUMBER(AB968),IF(AB968&gt;$L$8,AA968,""),"")</f>
        <v/>
      </c>
    </row>
    <row r="969">
      <c r="S969">
        <f>IF(ISNUMBER('자료_거시'!$E951),'자료_거시'!$E951,S968)</f>
        <v/>
      </c>
      <c r="T969">
        <f>IF(AND(ISNUMBER('자료_거시'!$D951),ISNUMBER('자료_거시'!$E951)),IFERROR('자료_거시'!$E951-INDEX($S$21:$S$4020,MATCH(EDATE('자료_거시'!$D951,-'설정'!$B$17),'자료_거시'!$D$3:INDEX('자료_거시'!$D$3:$D$4002,$K$6),1)),""),"")</f>
        <v/>
      </c>
      <c r="U969">
        <f>IF(ISNUMBER(T969),'자료_거시'!$D951,"")</f>
        <v/>
      </c>
      <c r="V969">
        <f>IF(ISNUMBER(U969),IF(U969&gt;$L$6,T969,""),"")</f>
        <v/>
      </c>
      <c r="W969">
        <f>IF(AND(ISNUMBER('자료_거시'!$G951),ISNUMBER('자료_거시'!$H951)),'자료_거시'!$H951,"")</f>
        <v/>
      </c>
      <c r="X969">
        <f>IF(ISNUMBER(W969),'자료_거시'!$G951,"")</f>
        <v/>
      </c>
      <c r="Y969">
        <f>IF(ISNUMBER(X969),IF(X969&gt;$L$7,W969,""),"")</f>
        <v/>
      </c>
      <c r="Z969">
        <f>IF(ISNUMBER('자료_거시'!$K951),'자료_거시'!$K951,Z968)</f>
        <v/>
      </c>
      <c r="AA969">
        <f>IF(AND(ISNUMBER('자료_거시'!$J951),ISNUMBER('자료_거시'!$K951)),IFERROR('자료_거시'!$K951/INDEX($Z$21:$Z$4020,MATCH(EDATE('자료_거시'!$J951,-'설정'!$B$17),'자료_거시'!$J$3:INDEX('자료_거시'!$J$3:$J$4002,$K$8),1))-1,""),"")</f>
        <v/>
      </c>
      <c r="AB969">
        <f>IF(ISNUMBER(AA969),'자료_거시'!$J951,"")</f>
        <v/>
      </c>
      <c r="AC969">
        <f>IF(ISNUMBER(AB969),IF(AB969&gt;$L$8,AA969,""),"")</f>
        <v/>
      </c>
    </row>
    <row r="970">
      <c r="S970">
        <f>IF(ISNUMBER('자료_거시'!$E952),'자료_거시'!$E952,S969)</f>
        <v/>
      </c>
      <c r="T970">
        <f>IF(AND(ISNUMBER('자료_거시'!$D952),ISNUMBER('자료_거시'!$E952)),IFERROR('자료_거시'!$E952-INDEX($S$21:$S$4020,MATCH(EDATE('자료_거시'!$D952,-'설정'!$B$17),'자료_거시'!$D$3:INDEX('자료_거시'!$D$3:$D$4002,$K$6),1)),""),"")</f>
        <v/>
      </c>
      <c r="U970">
        <f>IF(ISNUMBER(T970),'자료_거시'!$D952,"")</f>
        <v/>
      </c>
      <c r="V970">
        <f>IF(ISNUMBER(U970),IF(U970&gt;$L$6,T970,""),"")</f>
        <v/>
      </c>
      <c r="W970">
        <f>IF(AND(ISNUMBER('자료_거시'!$G952),ISNUMBER('자료_거시'!$H952)),'자료_거시'!$H952,"")</f>
        <v/>
      </c>
      <c r="X970">
        <f>IF(ISNUMBER(W970),'자료_거시'!$G952,"")</f>
        <v/>
      </c>
      <c r="Y970">
        <f>IF(ISNUMBER(X970),IF(X970&gt;$L$7,W970,""),"")</f>
        <v/>
      </c>
      <c r="Z970">
        <f>IF(ISNUMBER('자료_거시'!$K952),'자료_거시'!$K952,Z969)</f>
        <v/>
      </c>
      <c r="AA970">
        <f>IF(AND(ISNUMBER('자료_거시'!$J952),ISNUMBER('자료_거시'!$K952)),IFERROR('자료_거시'!$K952/INDEX($Z$21:$Z$4020,MATCH(EDATE('자료_거시'!$J952,-'설정'!$B$17),'자료_거시'!$J$3:INDEX('자료_거시'!$J$3:$J$4002,$K$8),1))-1,""),"")</f>
        <v/>
      </c>
      <c r="AB970">
        <f>IF(ISNUMBER(AA970),'자료_거시'!$J952,"")</f>
        <v/>
      </c>
      <c r="AC970">
        <f>IF(ISNUMBER(AB970),IF(AB970&gt;$L$8,AA970,""),"")</f>
        <v/>
      </c>
    </row>
    <row r="971">
      <c r="S971">
        <f>IF(ISNUMBER('자료_거시'!$E953),'자료_거시'!$E953,S970)</f>
        <v/>
      </c>
      <c r="T971">
        <f>IF(AND(ISNUMBER('자료_거시'!$D953),ISNUMBER('자료_거시'!$E953)),IFERROR('자료_거시'!$E953-INDEX($S$21:$S$4020,MATCH(EDATE('자료_거시'!$D953,-'설정'!$B$17),'자료_거시'!$D$3:INDEX('자료_거시'!$D$3:$D$4002,$K$6),1)),""),"")</f>
        <v/>
      </c>
      <c r="U971">
        <f>IF(ISNUMBER(T971),'자료_거시'!$D953,"")</f>
        <v/>
      </c>
      <c r="V971">
        <f>IF(ISNUMBER(U971),IF(U971&gt;$L$6,T971,""),"")</f>
        <v/>
      </c>
      <c r="W971">
        <f>IF(AND(ISNUMBER('자료_거시'!$G953),ISNUMBER('자료_거시'!$H953)),'자료_거시'!$H953,"")</f>
        <v/>
      </c>
      <c r="X971">
        <f>IF(ISNUMBER(W971),'자료_거시'!$G953,"")</f>
        <v/>
      </c>
      <c r="Y971">
        <f>IF(ISNUMBER(X971),IF(X971&gt;$L$7,W971,""),"")</f>
        <v/>
      </c>
      <c r="Z971">
        <f>IF(ISNUMBER('자료_거시'!$K953),'자료_거시'!$K953,Z970)</f>
        <v/>
      </c>
      <c r="AA971">
        <f>IF(AND(ISNUMBER('자료_거시'!$J953),ISNUMBER('자료_거시'!$K953)),IFERROR('자료_거시'!$K953/INDEX($Z$21:$Z$4020,MATCH(EDATE('자료_거시'!$J953,-'설정'!$B$17),'자료_거시'!$J$3:INDEX('자료_거시'!$J$3:$J$4002,$K$8),1))-1,""),"")</f>
        <v/>
      </c>
      <c r="AB971">
        <f>IF(ISNUMBER(AA971),'자료_거시'!$J953,"")</f>
        <v/>
      </c>
      <c r="AC971">
        <f>IF(ISNUMBER(AB971),IF(AB971&gt;$L$8,AA971,""),"")</f>
        <v/>
      </c>
    </row>
    <row r="972">
      <c r="S972">
        <f>IF(ISNUMBER('자료_거시'!$E954),'자료_거시'!$E954,S971)</f>
        <v/>
      </c>
      <c r="T972">
        <f>IF(AND(ISNUMBER('자료_거시'!$D954),ISNUMBER('자료_거시'!$E954)),IFERROR('자료_거시'!$E954-INDEX($S$21:$S$4020,MATCH(EDATE('자료_거시'!$D954,-'설정'!$B$17),'자료_거시'!$D$3:INDEX('자료_거시'!$D$3:$D$4002,$K$6),1)),""),"")</f>
        <v/>
      </c>
      <c r="U972">
        <f>IF(ISNUMBER(T972),'자료_거시'!$D954,"")</f>
        <v/>
      </c>
      <c r="V972">
        <f>IF(ISNUMBER(U972),IF(U972&gt;$L$6,T972,""),"")</f>
        <v/>
      </c>
      <c r="W972">
        <f>IF(AND(ISNUMBER('자료_거시'!$G954),ISNUMBER('자료_거시'!$H954)),'자료_거시'!$H954,"")</f>
        <v/>
      </c>
      <c r="X972">
        <f>IF(ISNUMBER(W972),'자료_거시'!$G954,"")</f>
        <v/>
      </c>
      <c r="Y972">
        <f>IF(ISNUMBER(X972),IF(X972&gt;$L$7,W972,""),"")</f>
        <v/>
      </c>
      <c r="Z972">
        <f>IF(ISNUMBER('자료_거시'!$K954),'자료_거시'!$K954,Z971)</f>
        <v/>
      </c>
      <c r="AA972">
        <f>IF(AND(ISNUMBER('자료_거시'!$J954),ISNUMBER('자료_거시'!$K954)),IFERROR('자료_거시'!$K954/INDEX($Z$21:$Z$4020,MATCH(EDATE('자료_거시'!$J954,-'설정'!$B$17),'자료_거시'!$J$3:INDEX('자료_거시'!$J$3:$J$4002,$K$8),1))-1,""),"")</f>
        <v/>
      </c>
      <c r="AB972">
        <f>IF(ISNUMBER(AA972),'자료_거시'!$J954,"")</f>
        <v/>
      </c>
      <c r="AC972">
        <f>IF(ISNUMBER(AB972),IF(AB972&gt;$L$8,AA972,""),"")</f>
        <v/>
      </c>
    </row>
    <row r="973">
      <c r="S973">
        <f>IF(ISNUMBER('자료_거시'!$E955),'자료_거시'!$E955,S972)</f>
        <v/>
      </c>
      <c r="T973">
        <f>IF(AND(ISNUMBER('자료_거시'!$D955),ISNUMBER('자료_거시'!$E955)),IFERROR('자료_거시'!$E955-INDEX($S$21:$S$4020,MATCH(EDATE('자료_거시'!$D955,-'설정'!$B$17),'자료_거시'!$D$3:INDEX('자료_거시'!$D$3:$D$4002,$K$6),1)),""),"")</f>
        <v/>
      </c>
      <c r="U973">
        <f>IF(ISNUMBER(T973),'자료_거시'!$D955,"")</f>
        <v/>
      </c>
      <c r="V973">
        <f>IF(ISNUMBER(U973),IF(U973&gt;$L$6,T973,""),"")</f>
        <v/>
      </c>
      <c r="W973">
        <f>IF(AND(ISNUMBER('자료_거시'!$G955),ISNUMBER('자료_거시'!$H955)),'자료_거시'!$H955,"")</f>
        <v/>
      </c>
      <c r="X973">
        <f>IF(ISNUMBER(W973),'자료_거시'!$G955,"")</f>
        <v/>
      </c>
      <c r="Y973">
        <f>IF(ISNUMBER(X973),IF(X973&gt;$L$7,W973,""),"")</f>
        <v/>
      </c>
      <c r="Z973">
        <f>IF(ISNUMBER('자료_거시'!$K955),'자료_거시'!$K955,Z972)</f>
        <v/>
      </c>
      <c r="AA973">
        <f>IF(AND(ISNUMBER('자료_거시'!$J955),ISNUMBER('자료_거시'!$K955)),IFERROR('자료_거시'!$K955/INDEX($Z$21:$Z$4020,MATCH(EDATE('자료_거시'!$J955,-'설정'!$B$17),'자료_거시'!$J$3:INDEX('자료_거시'!$J$3:$J$4002,$K$8),1))-1,""),"")</f>
        <v/>
      </c>
      <c r="AB973">
        <f>IF(ISNUMBER(AA973),'자료_거시'!$J955,"")</f>
        <v/>
      </c>
      <c r="AC973">
        <f>IF(ISNUMBER(AB973),IF(AB973&gt;$L$8,AA973,""),"")</f>
        <v/>
      </c>
    </row>
    <row r="974">
      <c r="S974">
        <f>IF(ISNUMBER('자료_거시'!$E956),'자료_거시'!$E956,S973)</f>
        <v/>
      </c>
      <c r="T974">
        <f>IF(AND(ISNUMBER('자료_거시'!$D956),ISNUMBER('자료_거시'!$E956)),IFERROR('자료_거시'!$E956-INDEX($S$21:$S$4020,MATCH(EDATE('자료_거시'!$D956,-'설정'!$B$17),'자료_거시'!$D$3:INDEX('자료_거시'!$D$3:$D$4002,$K$6),1)),""),"")</f>
        <v/>
      </c>
      <c r="U974">
        <f>IF(ISNUMBER(T974),'자료_거시'!$D956,"")</f>
        <v/>
      </c>
      <c r="V974">
        <f>IF(ISNUMBER(U974),IF(U974&gt;$L$6,T974,""),"")</f>
        <v/>
      </c>
      <c r="W974">
        <f>IF(AND(ISNUMBER('자료_거시'!$G956),ISNUMBER('자료_거시'!$H956)),'자료_거시'!$H956,"")</f>
        <v/>
      </c>
      <c r="X974">
        <f>IF(ISNUMBER(W974),'자료_거시'!$G956,"")</f>
        <v/>
      </c>
      <c r="Y974">
        <f>IF(ISNUMBER(X974),IF(X974&gt;$L$7,W974,""),"")</f>
        <v/>
      </c>
      <c r="Z974">
        <f>IF(ISNUMBER('자료_거시'!$K956),'자료_거시'!$K956,Z973)</f>
        <v/>
      </c>
      <c r="AA974">
        <f>IF(AND(ISNUMBER('자료_거시'!$J956),ISNUMBER('자료_거시'!$K956)),IFERROR('자료_거시'!$K956/INDEX($Z$21:$Z$4020,MATCH(EDATE('자료_거시'!$J956,-'설정'!$B$17),'자료_거시'!$J$3:INDEX('자료_거시'!$J$3:$J$4002,$K$8),1))-1,""),"")</f>
        <v/>
      </c>
      <c r="AB974">
        <f>IF(ISNUMBER(AA974),'자료_거시'!$J956,"")</f>
        <v/>
      </c>
      <c r="AC974">
        <f>IF(ISNUMBER(AB974),IF(AB974&gt;$L$8,AA974,""),"")</f>
        <v/>
      </c>
    </row>
    <row r="975">
      <c r="S975">
        <f>IF(ISNUMBER('자료_거시'!$E957),'자료_거시'!$E957,S974)</f>
        <v/>
      </c>
      <c r="T975">
        <f>IF(AND(ISNUMBER('자료_거시'!$D957),ISNUMBER('자료_거시'!$E957)),IFERROR('자료_거시'!$E957-INDEX($S$21:$S$4020,MATCH(EDATE('자료_거시'!$D957,-'설정'!$B$17),'자료_거시'!$D$3:INDEX('자료_거시'!$D$3:$D$4002,$K$6),1)),""),"")</f>
        <v/>
      </c>
      <c r="U975">
        <f>IF(ISNUMBER(T975),'자료_거시'!$D957,"")</f>
        <v/>
      </c>
      <c r="V975">
        <f>IF(ISNUMBER(U975),IF(U975&gt;$L$6,T975,""),"")</f>
        <v/>
      </c>
      <c r="W975">
        <f>IF(AND(ISNUMBER('자료_거시'!$G957),ISNUMBER('자료_거시'!$H957)),'자료_거시'!$H957,"")</f>
        <v/>
      </c>
      <c r="X975">
        <f>IF(ISNUMBER(W975),'자료_거시'!$G957,"")</f>
        <v/>
      </c>
      <c r="Y975">
        <f>IF(ISNUMBER(X975),IF(X975&gt;$L$7,W975,""),"")</f>
        <v/>
      </c>
      <c r="Z975">
        <f>IF(ISNUMBER('자료_거시'!$K957),'자료_거시'!$K957,Z974)</f>
        <v/>
      </c>
      <c r="AA975">
        <f>IF(AND(ISNUMBER('자료_거시'!$J957),ISNUMBER('자료_거시'!$K957)),IFERROR('자료_거시'!$K957/INDEX($Z$21:$Z$4020,MATCH(EDATE('자료_거시'!$J957,-'설정'!$B$17),'자료_거시'!$J$3:INDEX('자료_거시'!$J$3:$J$4002,$K$8),1))-1,""),"")</f>
        <v/>
      </c>
      <c r="AB975">
        <f>IF(ISNUMBER(AA975),'자료_거시'!$J957,"")</f>
        <v/>
      </c>
      <c r="AC975">
        <f>IF(ISNUMBER(AB975),IF(AB975&gt;$L$8,AA975,""),"")</f>
        <v/>
      </c>
    </row>
    <row r="976">
      <c r="S976">
        <f>IF(ISNUMBER('자료_거시'!$E958),'자료_거시'!$E958,S975)</f>
        <v/>
      </c>
      <c r="T976">
        <f>IF(AND(ISNUMBER('자료_거시'!$D958),ISNUMBER('자료_거시'!$E958)),IFERROR('자료_거시'!$E958-INDEX($S$21:$S$4020,MATCH(EDATE('자료_거시'!$D958,-'설정'!$B$17),'자료_거시'!$D$3:INDEX('자료_거시'!$D$3:$D$4002,$K$6),1)),""),"")</f>
        <v/>
      </c>
      <c r="U976">
        <f>IF(ISNUMBER(T976),'자료_거시'!$D958,"")</f>
        <v/>
      </c>
      <c r="V976">
        <f>IF(ISNUMBER(U976),IF(U976&gt;$L$6,T976,""),"")</f>
        <v/>
      </c>
      <c r="W976">
        <f>IF(AND(ISNUMBER('자료_거시'!$G958),ISNUMBER('자료_거시'!$H958)),'자료_거시'!$H958,"")</f>
        <v/>
      </c>
      <c r="X976">
        <f>IF(ISNUMBER(W976),'자료_거시'!$G958,"")</f>
        <v/>
      </c>
      <c r="Y976">
        <f>IF(ISNUMBER(X976),IF(X976&gt;$L$7,W976,""),"")</f>
        <v/>
      </c>
      <c r="Z976">
        <f>IF(ISNUMBER('자료_거시'!$K958),'자료_거시'!$K958,Z975)</f>
        <v/>
      </c>
      <c r="AA976">
        <f>IF(AND(ISNUMBER('자료_거시'!$J958),ISNUMBER('자료_거시'!$K958)),IFERROR('자료_거시'!$K958/INDEX($Z$21:$Z$4020,MATCH(EDATE('자료_거시'!$J958,-'설정'!$B$17),'자료_거시'!$J$3:INDEX('자료_거시'!$J$3:$J$4002,$K$8),1))-1,""),"")</f>
        <v/>
      </c>
      <c r="AB976">
        <f>IF(ISNUMBER(AA976),'자료_거시'!$J958,"")</f>
        <v/>
      </c>
      <c r="AC976">
        <f>IF(ISNUMBER(AB976),IF(AB976&gt;$L$8,AA976,""),"")</f>
        <v/>
      </c>
    </row>
    <row r="977">
      <c r="S977">
        <f>IF(ISNUMBER('자료_거시'!$E959),'자료_거시'!$E959,S976)</f>
        <v/>
      </c>
      <c r="T977">
        <f>IF(AND(ISNUMBER('자료_거시'!$D959),ISNUMBER('자료_거시'!$E959)),IFERROR('자료_거시'!$E959-INDEX($S$21:$S$4020,MATCH(EDATE('자료_거시'!$D959,-'설정'!$B$17),'자료_거시'!$D$3:INDEX('자료_거시'!$D$3:$D$4002,$K$6),1)),""),"")</f>
        <v/>
      </c>
      <c r="U977">
        <f>IF(ISNUMBER(T977),'자료_거시'!$D959,"")</f>
        <v/>
      </c>
      <c r="V977">
        <f>IF(ISNUMBER(U977),IF(U977&gt;$L$6,T977,""),"")</f>
        <v/>
      </c>
      <c r="W977">
        <f>IF(AND(ISNUMBER('자료_거시'!$G959),ISNUMBER('자료_거시'!$H959)),'자료_거시'!$H959,"")</f>
        <v/>
      </c>
      <c r="X977">
        <f>IF(ISNUMBER(W977),'자료_거시'!$G959,"")</f>
        <v/>
      </c>
      <c r="Y977">
        <f>IF(ISNUMBER(X977),IF(X977&gt;$L$7,W977,""),"")</f>
        <v/>
      </c>
      <c r="Z977">
        <f>IF(ISNUMBER('자료_거시'!$K959),'자료_거시'!$K959,Z976)</f>
        <v/>
      </c>
      <c r="AA977">
        <f>IF(AND(ISNUMBER('자료_거시'!$J959),ISNUMBER('자료_거시'!$K959)),IFERROR('자료_거시'!$K959/INDEX($Z$21:$Z$4020,MATCH(EDATE('자료_거시'!$J959,-'설정'!$B$17),'자료_거시'!$J$3:INDEX('자료_거시'!$J$3:$J$4002,$K$8),1))-1,""),"")</f>
        <v/>
      </c>
      <c r="AB977">
        <f>IF(ISNUMBER(AA977),'자료_거시'!$J959,"")</f>
        <v/>
      </c>
      <c r="AC977">
        <f>IF(ISNUMBER(AB977),IF(AB977&gt;$L$8,AA977,""),"")</f>
        <v/>
      </c>
    </row>
    <row r="978">
      <c r="S978">
        <f>IF(ISNUMBER('자료_거시'!$E960),'자료_거시'!$E960,S977)</f>
        <v/>
      </c>
      <c r="T978">
        <f>IF(AND(ISNUMBER('자료_거시'!$D960),ISNUMBER('자료_거시'!$E960)),IFERROR('자료_거시'!$E960-INDEX($S$21:$S$4020,MATCH(EDATE('자료_거시'!$D960,-'설정'!$B$17),'자료_거시'!$D$3:INDEX('자료_거시'!$D$3:$D$4002,$K$6),1)),""),"")</f>
        <v/>
      </c>
      <c r="U978">
        <f>IF(ISNUMBER(T978),'자료_거시'!$D960,"")</f>
        <v/>
      </c>
      <c r="V978">
        <f>IF(ISNUMBER(U978),IF(U978&gt;$L$6,T978,""),"")</f>
        <v/>
      </c>
      <c r="W978">
        <f>IF(AND(ISNUMBER('자료_거시'!$G960),ISNUMBER('자료_거시'!$H960)),'자료_거시'!$H960,"")</f>
        <v/>
      </c>
      <c r="X978">
        <f>IF(ISNUMBER(W978),'자료_거시'!$G960,"")</f>
        <v/>
      </c>
      <c r="Y978">
        <f>IF(ISNUMBER(X978),IF(X978&gt;$L$7,W978,""),"")</f>
        <v/>
      </c>
      <c r="Z978">
        <f>IF(ISNUMBER('자료_거시'!$K960),'자료_거시'!$K960,Z977)</f>
        <v/>
      </c>
      <c r="AA978">
        <f>IF(AND(ISNUMBER('자료_거시'!$J960),ISNUMBER('자료_거시'!$K960)),IFERROR('자료_거시'!$K960/INDEX($Z$21:$Z$4020,MATCH(EDATE('자료_거시'!$J960,-'설정'!$B$17),'자료_거시'!$J$3:INDEX('자료_거시'!$J$3:$J$4002,$K$8),1))-1,""),"")</f>
        <v/>
      </c>
      <c r="AB978">
        <f>IF(ISNUMBER(AA978),'자료_거시'!$J960,"")</f>
        <v/>
      </c>
      <c r="AC978">
        <f>IF(ISNUMBER(AB978),IF(AB978&gt;$L$8,AA978,""),"")</f>
        <v/>
      </c>
    </row>
    <row r="979">
      <c r="S979">
        <f>IF(ISNUMBER('자료_거시'!$E961),'자료_거시'!$E961,S978)</f>
        <v/>
      </c>
      <c r="T979">
        <f>IF(AND(ISNUMBER('자료_거시'!$D961),ISNUMBER('자료_거시'!$E961)),IFERROR('자료_거시'!$E961-INDEX($S$21:$S$4020,MATCH(EDATE('자료_거시'!$D961,-'설정'!$B$17),'자료_거시'!$D$3:INDEX('자료_거시'!$D$3:$D$4002,$K$6),1)),""),"")</f>
        <v/>
      </c>
      <c r="U979">
        <f>IF(ISNUMBER(T979),'자료_거시'!$D961,"")</f>
        <v/>
      </c>
      <c r="V979">
        <f>IF(ISNUMBER(U979),IF(U979&gt;$L$6,T979,""),"")</f>
        <v/>
      </c>
      <c r="W979">
        <f>IF(AND(ISNUMBER('자료_거시'!$G961),ISNUMBER('자료_거시'!$H961)),'자료_거시'!$H961,"")</f>
        <v/>
      </c>
      <c r="X979">
        <f>IF(ISNUMBER(W979),'자료_거시'!$G961,"")</f>
        <v/>
      </c>
      <c r="Y979">
        <f>IF(ISNUMBER(X979),IF(X979&gt;$L$7,W979,""),"")</f>
        <v/>
      </c>
      <c r="Z979">
        <f>IF(ISNUMBER('자료_거시'!$K961),'자료_거시'!$K961,Z978)</f>
        <v/>
      </c>
      <c r="AA979">
        <f>IF(AND(ISNUMBER('자료_거시'!$J961),ISNUMBER('자료_거시'!$K961)),IFERROR('자료_거시'!$K961/INDEX($Z$21:$Z$4020,MATCH(EDATE('자료_거시'!$J961,-'설정'!$B$17),'자료_거시'!$J$3:INDEX('자료_거시'!$J$3:$J$4002,$K$8),1))-1,""),"")</f>
        <v/>
      </c>
      <c r="AB979">
        <f>IF(ISNUMBER(AA979),'자료_거시'!$J961,"")</f>
        <v/>
      </c>
      <c r="AC979">
        <f>IF(ISNUMBER(AB979),IF(AB979&gt;$L$8,AA979,""),"")</f>
        <v/>
      </c>
    </row>
    <row r="980">
      <c r="S980">
        <f>IF(ISNUMBER('자료_거시'!$E962),'자료_거시'!$E962,S979)</f>
        <v/>
      </c>
      <c r="T980">
        <f>IF(AND(ISNUMBER('자료_거시'!$D962),ISNUMBER('자료_거시'!$E962)),IFERROR('자료_거시'!$E962-INDEX($S$21:$S$4020,MATCH(EDATE('자료_거시'!$D962,-'설정'!$B$17),'자료_거시'!$D$3:INDEX('자료_거시'!$D$3:$D$4002,$K$6),1)),""),"")</f>
        <v/>
      </c>
      <c r="U980">
        <f>IF(ISNUMBER(T980),'자료_거시'!$D962,"")</f>
        <v/>
      </c>
      <c r="V980">
        <f>IF(ISNUMBER(U980),IF(U980&gt;$L$6,T980,""),"")</f>
        <v/>
      </c>
      <c r="W980">
        <f>IF(AND(ISNUMBER('자료_거시'!$G962),ISNUMBER('자료_거시'!$H962)),'자료_거시'!$H962,"")</f>
        <v/>
      </c>
      <c r="X980">
        <f>IF(ISNUMBER(W980),'자료_거시'!$G962,"")</f>
        <v/>
      </c>
      <c r="Y980">
        <f>IF(ISNUMBER(X980),IF(X980&gt;$L$7,W980,""),"")</f>
        <v/>
      </c>
      <c r="Z980">
        <f>IF(ISNUMBER('자료_거시'!$K962),'자료_거시'!$K962,Z979)</f>
        <v/>
      </c>
      <c r="AA980">
        <f>IF(AND(ISNUMBER('자료_거시'!$J962),ISNUMBER('자료_거시'!$K962)),IFERROR('자료_거시'!$K962/INDEX($Z$21:$Z$4020,MATCH(EDATE('자료_거시'!$J962,-'설정'!$B$17),'자료_거시'!$J$3:INDEX('자료_거시'!$J$3:$J$4002,$K$8),1))-1,""),"")</f>
        <v/>
      </c>
      <c r="AB980">
        <f>IF(ISNUMBER(AA980),'자료_거시'!$J962,"")</f>
        <v/>
      </c>
      <c r="AC980">
        <f>IF(ISNUMBER(AB980),IF(AB980&gt;$L$8,AA980,""),"")</f>
        <v/>
      </c>
    </row>
    <row r="981">
      <c r="S981">
        <f>IF(ISNUMBER('자료_거시'!$E963),'자료_거시'!$E963,S980)</f>
        <v/>
      </c>
      <c r="T981">
        <f>IF(AND(ISNUMBER('자료_거시'!$D963),ISNUMBER('자료_거시'!$E963)),IFERROR('자료_거시'!$E963-INDEX($S$21:$S$4020,MATCH(EDATE('자료_거시'!$D963,-'설정'!$B$17),'자료_거시'!$D$3:INDEX('자료_거시'!$D$3:$D$4002,$K$6),1)),""),"")</f>
        <v/>
      </c>
      <c r="U981">
        <f>IF(ISNUMBER(T981),'자료_거시'!$D963,"")</f>
        <v/>
      </c>
      <c r="V981">
        <f>IF(ISNUMBER(U981),IF(U981&gt;$L$6,T981,""),"")</f>
        <v/>
      </c>
      <c r="W981">
        <f>IF(AND(ISNUMBER('자료_거시'!$G963),ISNUMBER('자료_거시'!$H963)),'자료_거시'!$H963,"")</f>
        <v/>
      </c>
      <c r="X981">
        <f>IF(ISNUMBER(W981),'자료_거시'!$G963,"")</f>
        <v/>
      </c>
      <c r="Y981">
        <f>IF(ISNUMBER(X981),IF(X981&gt;$L$7,W981,""),"")</f>
        <v/>
      </c>
      <c r="Z981">
        <f>IF(ISNUMBER('자료_거시'!$K963),'자료_거시'!$K963,Z980)</f>
        <v/>
      </c>
      <c r="AA981">
        <f>IF(AND(ISNUMBER('자료_거시'!$J963),ISNUMBER('자료_거시'!$K963)),IFERROR('자료_거시'!$K963/INDEX($Z$21:$Z$4020,MATCH(EDATE('자료_거시'!$J963,-'설정'!$B$17),'자료_거시'!$J$3:INDEX('자료_거시'!$J$3:$J$4002,$K$8),1))-1,""),"")</f>
        <v/>
      </c>
      <c r="AB981">
        <f>IF(ISNUMBER(AA981),'자료_거시'!$J963,"")</f>
        <v/>
      </c>
      <c r="AC981">
        <f>IF(ISNUMBER(AB981),IF(AB981&gt;$L$8,AA981,""),"")</f>
        <v/>
      </c>
    </row>
    <row r="982">
      <c r="S982">
        <f>IF(ISNUMBER('자료_거시'!$E964),'자료_거시'!$E964,S981)</f>
        <v/>
      </c>
      <c r="T982">
        <f>IF(AND(ISNUMBER('자료_거시'!$D964),ISNUMBER('자료_거시'!$E964)),IFERROR('자료_거시'!$E964-INDEX($S$21:$S$4020,MATCH(EDATE('자료_거시'!$D964,-'설정'!$B$17),'자료_거시'!$D$3:INDEX('자료_거시'!$D$3:$D$4002,$K$6),1)),""),"")</f>
        <v/>
      </c>
      <c r="U982">
        <f>IF(ISNUMBER(T982),'자료_거시'!$D964,"")</f>
        <v/>
      </c>
      <c r="V982">
        <f>IF(ISNUMBER(U982),IF(U982&gt;$L$6,T982,""),"")</f>
        <v/>
      </c>
      <c r="W982">
        <f>IF(AND(ISNUMBER('자료_거시'!$G964),ISNUMBER('자료_거시'!$H964)),'자료_거시'!$H964,"")</f>
        <v/>
      </c>
      <c r="X982">
        <f>IF(ISNUMBER(W982),'자료_거시'!$G964,"")</f>
        <v/>
      </c>
      <c r="Y982">
        <f>IF(ISNUMBER(X982),IF(X982&gt;$L$7,W982,""),"")</f>
        <v/>
      </c>
      <c r="Z982">
        <f>IF(ISNUMBER('자료_거시'!$K964),'자료_거시'!$K964,Z981)</f>
        <v/>
      </c>
      <c r="AA982">
        <f>IF(AND(ISNUMBER('자료_거시'!$J964),ISNUMBER('자료_거시'!$K964)),IFERROR('자료_거시'!$K964/INDEX($Z$21:$Z$4020,MATCH(EDATE('자료_거시'!$J964,-'설정'!$B$17),'자료_거시'!$J$3:INDEX('자료_거시'!$J$3:$J$4002,$K$8),1))-1,""),"")</f>
        <v/>
      </c>
      <c r="AB982">
        <f>IF(ISNUMBER(AA982),'자료_거시'!$J964,"")</f>
        <v/>
      </c>
      <c r="AC982">
        <f>IF(ISNUMBER(AB982),IF(AB982&gt;$L$8,AA982,""),"")</f>
        <v/>
      </c>
    </row>
    <row r="983">
      <c r="S983">
        <f>IF(ISNUMBER('자료_거시'!$E965),'자료_거시'!$E965,S982)</f>
        <v/>
      </c>
      <c r="T983">
        <f>IF(AND(ISNUMBER('자료_거시'!$D965),ISNUMBER('자료_거시'!$E965)),IFERROR('자료_거시'!$E965-INDEX($S$21:$S$4020,MATCH(EDATE('자료_거시'!$D965,-'설정'!$B$17),'자료_거시'!$D$3:INDEX('자료_거시'!$D$3:$D$4002,$K$6),1)),""),"")</f>
        <v/>
      </c>
      <c r="U983">
        <f>IF(ISNUMBER(T983),'자료_거시'!$D965,"")</f>
        <v/>
      </c>
      <c r="V983">
        <f>IF(ISNUMBER(U983),IF(U983&gt;$L$6,T983,""),"")</f>
        <v/>
      </c>
      <c r="W983">
        <f>IF(AND(ISNUMBER('자료_거시'!$G965),ISNUMBER('자료_거시'!$H965)),'자료_거시'!$H965,"")</f>
        <v/>
      </c>
      <c r="X983">
        <f>IF(ISNUMBER(W983),'자료_거시'!$G965,"")</f>
        <v/>
      </c>
      <c r="Y983">
        <f>IF(ISNUMBER(X983),IF(X983&gt;$L$7,W983,""),"")</f>
        <v/>
      </c>
      <c r="Z983">
        <f>IF(ISNUMBER('자료_거시'!$K965),'자료_거시'!$K965,Z982)</f>
        <v/>
      </c>
      <c r="AA983">
        <f>IF(AND(ISNUMBER('자료_거시'!$J965),ISNUMBER('자료_거시'!$K965)),IFERROR('자료_거시'!$K965/INDEX($Z$21:$Z$4020,MATCH(EDATE('자료_거시'!$J965,-'설정'!$B$17),'자료_거시'!$J$3:INDEX('자료_거시'!$J$3:$J$4002,$K$8),1))-1,""),"")</f>
        <v/>
      </c>
      <c r="AB983">
        <f>IF(ISNUMBER(AA983),'자료_거시'!$J965,"")</f>
        <v/>
      </c>
      <c r="AC983">
        <f>IF(ISNUMBER(AB983),IF(AB983&gt;$L$8,AA983,""),"")</f>
        <v/>
      </c>
    </row>
    <row r="984">
      <c r="S984">
        <f>IF(ISNUMBER('자료_거시'!$E966),'자료_거시'!$E966,S983)</f>
        <v/>
      </c>
      <c r="T984">
        <f>IF(AND(ISNUMBER('자료_거시'!$D966),ISNUMBER('자료_거시'!$E966)),IFERROR('자료_거시'!$E966-INDEX($S$21:$S$4020,MATCH(EDATE('자료_거시'!$D966,-'설정'!$B$17),'자료_거시'!$D$3:INDEX('자료_거시'!$D$3:$D$4002,$K$6),1)),""),"")</f>
        <v/>
      </c>
      <c r="U984">
        <f>IF(ISNUMBER(T984),'자료_거시'!$D966,"")</f>
        <v/>
      </c>
      <c r="V984">
        <f>IF(ISNUMBER(U984),IF(U984&gt;$L$6,T984,""),"")</f>
        <v/>
      </c>
      <c r="W984">
        <f>IF(AND(ISNUMBER('자료_거시'!$G966),ISNUMBER('자료_거시'!$H966)),'자료_거시'!$H966,"")</f>
        <v/>
      </c>
      <c r="X984">
        <f>IF(ISNUMBER(W984),'자료_거시'!$G966,"")</f>
        <v/>
      </c>
      <c r="Y984">
        <f>IF(ISNUMBER(X984),IF(X984&gt;$L$7,W984,""),"")</f>
        <v/>
      </c>
      <c r="Z984">
        <f>IF(ISNUMBER('자료_거시'!$K966),'자료_거시'!$K966,Z983)</f>
        <v/>
      </c>
      <c r="AA984">
        <f>IF(AND(ISNUMBER('자료_거시'!$J966),ISNUMBER('자료_거시'!$K966)),IFERROR('자료_거시'!$K966/INDEX($Z$21:$Z$4020,MATCH(EDATE('자료_거시'!$J966,-'설정'!$B$17),'자료_거시'!$J$3:INDEX('자료_거시'!$J$3:$J$4002,$K$8),1))-1,""),"")</f>
        <v/>
      </c>
      <c r="AB984">
        <f>IF(ISNUMBER(AA984),'자료_거시'!$J966,"")</f>
        <v/>
      </c>
      <c r="AC984">
        <f>IF(ISNUMBER(AB984),IF(AB984&gt;$L$8,AA984,""),"")</f>
        <v/>
      </c>
    </row>
    <row r="985">
      <c r="S985">
        <f>IF(ISNUMBER('자료_거시'!$E967),'자료_거시'!$E967,S984)</f>
        <v/>
      </c>
      <c r="T985">
        <f>IF(AND(ISNUMBER('자료_거시'!$D967),ISNUMBER('자료_거시'!$E967)),IFERROR('자료_거시'!$E967-INDEX($S$21:$S$4020,MATCH(EDATE('자료_거시'!$D967,-'설정'!$B$17),'자료_거시'!$D$3:INDEX('자료_거시'!$D$3:$D$4002,$K$6),1)),""),"")</f>
        <v/>
      </c>
      <c r="U985">
        <f>IF(ISNUMBER(T985),'자료_거시'!$D967,"")</f>
        <v/>
      </c>
      <c r="V985">
        <f>IF(ISNUMBER(U985),IF(U985&gt;$L$6,T985,""),"")</f>
        <v/>
      </c>
      <c r="W985">
        <f>IF(AND(ISNUMBER('자료_거시'!$G967),ISNUMBER('자료_거시'!$H967)),'자료_거시'!$H967,"")</f>
        <v/>
      </c>
      <c r="X985">
        <f>IF(ISNUMBER(W985),'자료_거시'!$G967,"")</f>
        <v/>
      </c>
      <c r="Y985">
        <f>IF(ISNUMBER(X985),IF(X985&gt;$L$7,W985,""),"")</f>
        <v/>
      </c>
      <c r="Z985">
        <f>IF(ISNUMBER('자료_거시'!$K967),'자료_거시'!$K967,Z984)</f>
        <v/>
      </c>
      <c r="AA985">
        <f>IF(AND(ISNUMBER('자료_거시'!$J967),ISNUMBER('자료_거시'!$K967)),IFERROR('자료_거시'!$K967/INDEX($Z$21:$Z$4020,MATCH(EDATE('자료_거시'!$J967,-'설정'!$B$17),'자료_거시'!$J$3:INDEX('자료_거시'!$J$3:$J$4002,$K$8),1))-1,""),"")</f>
        <v/>
      </c>
      <c r="AB985">
        <f>IF(ISNUMBER(AA985),'자료_거시'!$J967,"")</f>
        <v/>
      </c>
      <c r="AC985">
        <f>IF(ISNUMBER(AB985),IF(AB985&gt;$L$8,AA985,""),"")</f>
        <v/>
      </c>
    </row>
    <row r="986">
      <c r="S986">
        <f>IF(ISNUMBER('자료_거시'!$E968),'자료_거시'!$E968,S985)</f>
        <v/>
      </c>
      <c r="T986">
        <f>IF(AND(ISNUMBER('자료_거시'!$D968),ISNUMBER('자료_거시'!$E968)),IFERROR('자료_거시'!$E968-INDEX($S$21:$S$4020,MATCH(EDATE('자료_거시'!$D968,-'설정'!$B$17),'자료_거시'!$D$3:INDEX('자료_거시'!$D$3:$D$4002,$K$6),1)),""),"")</f>
        <v/>
      </c>
      <c r="U986">
        <f>IF(ISNUMBER(T986),'자료_거시'!$D968,"")</f>
        <v/>
      </c>
      <c r="V986">
        <f>IF(ISNUMBER(U986),IF(U986&gt;$L$6,T986,""),"")</f>
        <v/>
      </c>
      <c r="W986">
        <f>IF(AND(ISNUMBER('자료_거시'!$G968),ISNUMBER('자료_거시'!$H968)),'자료_거시'!$H968,"")</f>
        <v/>
      </c>
      <c r="X986">
        <f>IF(ISNUMBER(W986),'자료_거시'!$G968,"")</f>
        <v/>
      </c>
      <c r="Y986">
        <f>IF(ISNUMBER(X986),IF(X986&gt;$L$7,W986,""),"")</f>
        <v/>
      </c>
      <c r="Z986">
        <f>IF(ISNUMBER('자료_거시'!$K968),'자료_거시'!$K968,Z985)</f>
        <v/>
      </c>
      <c r="AA986">
        <f>IF(AND(ISNUMBER('자료_거시'!$J968),ISNUMBER('자료_거시'!$K968)),IFERROR('자료_거시'!$K968/INDEX($Z$21:$Z$4020,MATCH(EDATE('자료_거시'!$J968,-'설정'!$B$17),'자료_거시'!$J$3:INDEX('자료_거시'!$J$3:$J$4002,$K$8),1))-1,""),"")</f>
        <v/>
      </c>
      <c r="AB986">
        <f>IF(ISNUMBER(AA986),'자료_거시'!$J968,"")</f>
        <v/>
      </c>
      <c r="AC986">
        <f>IF(ISNUMBER(AB986),IF(AB986&gt;$L$8,AA986,""),"")</f>
        <v/>
      </c>
    </row>
    <row r="987">
      <c r="S987">
        <f>IF(ISNUMBER('자료_거시'!$E969),'자료_거시'!$E969,S986)</f>
        <v/>
      </c>
      <c r="T987">
        <f>IF(AND(ISNUMBER('자료_거시'!$D969),ISNUMBER('자료_거시'!$E969)),IFERROR('자료_거시'!$E969-INDEX($S$21:$S$4020,MATCH(EDATE('자료_거시'!$D969,-'설정'!$B$17),'자료_거시'!$D$3:INDEX('자료_거시'!$D$3:$D$4002,$K$6),1)),""),"")</f>
        <v/>
      </c>
      <c r="U987">
        <f>IF(ISNUMBER(T987),'자료_거시'!$D969,"")</f>
        <v/>
      </c>
      <c r="V987">
        <f>IF(ISNUMBER(U987),IF(U987&gt;$L$6,T987,""),"")</f>
        <v/>
      </c>
      <c r="W987">
        <f>IF(AND(ISNUMBER('자료_거시'!$G969),ISNUMBER('자료_거시'!$H969)),'자료_거시'!$H969,"")</f>
        <v/>
      </c>
      <c r="X987">
        <f>IF(ISNUMBER(W987),'자료_거시'!$G969,"")</f>
        <v/>
      </c>
      <c r="Y987">
        <f>IF(ISNUMBER(X987),IF(X987&gt;$L$7,W987,""),"")</f>
        <v/>
      </c>
      <c r="Z987">
        <f>IF(ISNUMBER('자료_거시'!$K969),'자료_거시'!$K969,Z986)</f>
        <v/>
      </c>
      <c r="AA987">
        <f>IF(AND(ISNUMBER('자료_거시'!$J969),ISNUMBER('자료_거시'!$K969)),IFERROR('자료_거시'!$K969/INDEX($Z$21:$Z$4020,MATCH(EDATE('자료_거시'!$J969,-'설정'!$B$17),'자료_거시'!$J$3:INDEX('자료_거시'!$J$3:$J$4002,$K$8),1))-1,""),"")</f>
        <v/>
      </c>
      <c r="AB987">
        <f>IF(ISNUMBER(AA987),'자료_거시'!$J969,"")</f>
        <v/>
      </c>
      <c r="AC987">
        <f>IF(ISNUMBER(AB987),IF(AB987&gt;$L$8,AA987,""),"")</f>
        <v/>
      </c>
    </row>
    <row r="988">
      <c r="S988">
        <f>IF(ISNUMBER('자료_거시'!$E970),'자료_거시'!$E970,S987)</f>
        <v/>
      </c>
      <c r="T988">
        <f>IF(AND(ISNUMBER('자료_거시'!$D970),ISNUMBER('자료_거시'!$E970)),IFERROR('자료_거시'!$E970-INDEX($S$21:$S$4020,MATCH(EDATE('자료_거시'!$D970,-'설정'!$B$17),'자료_거시'!$D$3:INDEX('자료_거시'!$D$3:$D$4002,$K$6),1)),""),"")</f>
        <v/>
      </c>
      <c r="U988">
        <f>IF(ISNUMBER(T988),'자료_거시'!$D970,"")</f>
        <v/>
      </c>
      <c r="V988">
        <f>IF(ISNUMBER(U988),IF(U988&gt;$L$6,T988,""),"")</f>
        <v/>
      </c>
      <c r="W988">
        <f>IF(AND(ISNUMBER('자료_거시'!$G970),ISNUMBER('자료_거시'!$H970)),'자료_거시'!$H970,"")</f>
        <v/>
      </c>
      <c r="X988">
        <f>IF(ISNUMBER(W988),'자료_거시'!$G970,"")</f>
        <v/>
      </c>
      <c r="Y988">
        <f>IF(ISNUMBER(X988),IF(X988&gt;$L$7,W988,""),"")</f>
        <v/>
      </c>
      <c r="Z988">
        <f>IF(ISNUMBER('자료_거시'!$K970),'자료_거시'!$K970,Z987)</f>
        <v/>
      </c>
      <c r="AA988">
        <f>IF(AND(ISNUMBER('자료_거시'!$J970),ISNUMBER('자료_거시'!$K970)),IFERROR('자료_거시'!$K970/INDEX($Z$21:$Z$4020,MATCH(EDATE('자료_거시'!$J970,-'설정'!$B$17),'자료_거시'!$J$3:INDEX('자료_거시'!$J$3:$J$4002,$K$8),1))-1,""),"")</f>
        <v/>
      </c>
      <c r="AB988">
        <f>IF(ISNUMBER(AA988),'자료_거시'!$J970,"")</f>
        <v/>
      </c>
      <c r="AC988">
        <f>IF(ISNUMBER(AB988),IF(AB988&gt;$L$8,AA988,""),"")</f>
        <v/>
      </c>
    </row>
    <row r="989">
      <c r="S989">
        <f>IF(ISNUMBER('자료_거시'!$E971),'자료_거시'!$E971,S988)</f>
        <v/>
      </c>
      <c r="T989">
        <f>IF(AND(ISNUMBER('자료_거시'!$D971),ISNUMBER('자료_거시'!$E971)),IFERROR('자료_거시'!$E971-INDEX($S$21:$S$4020,MATCH(EDATE('자료_거시'!$D971,-'설정'!$B$17),'자료_거시'!$D$3:INDEX('자료_거시'!$D$3:$D$4002,$K$6),1)),""),"")</f>
        <v/>
      </c>
      <c r="U989">
        <f>IF(ISNUMBER(T989),'자료_거시'!$D971,"")</f>
        <v/>
      </c>
      <c r="V989">
        <f>IF(ISNUMBER(U989),IF(U989&gt;$L$6,T989,""),"")</f>
        <v/>
      </c>
      <c r="W989">
        <f>IF(AND(ISNUMBER('자료_거시'!$G971),ISNUMBER('자료_거시'!$H971)),'자료_거시'!$H971,"")</f>
        <v/>
      </c>
      <c r="X989">
        <f>IF(ISNUMBER(W989),'자료_거시'!$G971,"")</f>
        <v/>
      </c>
      <c r="Y989">
        <f>IF(ISNUMBER(X989),IF(X989&gt;$L$7,W989,""),"")</f>
        <v/>
      </c>
      <c r="Z989">
        <f>IF(ISNUMBER('자료_거시'!$K971),'자료_거시'!$K971,Z988)</f>
        <v/>
      </c>
      <c r="AA989">
        <f>IF(AND(ISNUMBER('자료_거시'!$J971),ISNUMBER('자료_거시'!$K971)),IFERROR('자료_거시'!$K971/INDEX($Z$21:$Z$4020,MATCH(EDATE('자료_거시'!$J971,-'설정'!$B$17),'자료_거시'!$J$3:INDEX('자료_거시'!$J$3:$J$4002,$K$8),1))-1,""),"")</f>
        <v/>
      </c>
      <c r="AB989">
        <f>IF(ISNUMBER(AA989),'자료_거시'!$J971,"")</f>
        <v/>
      </c>
      <c r="AC989">
        <f>IF(ISNUMBER(AB989),IF(AB989&gt;$L$8,AA989,""),"")</f>
        <v/>
      </c>
    </row>
    <row r="990">
      <c r="S990">
        <f>IF(ISNUMBER('자료_거시'!$E972),'자료_거시'!$E972,S989)</f>
        <v/>
      </c>
      <c r="T990">
        <f>IF(AND(ISNUMBER('자료_거시'!$D972),ISNUMBER('자료_거시'!$E972)),IFERROR('자료_거시'!$E972-INDEX($S$21:$S$4020,MATCH(EDATE('자료_거시'!$D972,-'설정'!$B$17),'자료_거시'!$D$3:INDEX('자료_거시'!$D$3:$D$4002,$K$6),1)),""),"")</f>
        <v/>
      </c>
      <c r="U990">
        <f>IF(ISNUMBER(T990),'자료_거시'!$D972,"")</f>
        <v/>
      </c>
      <c r="V990">
        <f>IF(ISNUMBER(U990),IF(U990&gt;$L$6,T990,""),"")</f>
        <v/>
      </c>
      <c r="W990">
        <f>IF(AND(ISNUMBER('자료_거시'!$G972),ISNUMBER('자료_거시'!$H972)),'자료_거시'!$H972,"")</f>
        <v/>
      </c>
      <c r="X990">
        <f>IF(ISNUMBER(W990),'자료_거시'!$G972,"")</f>
        <v/>
      </c>
      <c r="Y990">
        <f>IF(ISNUMBER(X990),IF(X990&gt;$L$7,W990,""),"")</f>
        <v/>
      </c>
      <c r="Z990">
        <f>IF(ISNUMBER('자료_거시'!$K972),'자료_거시'!$K972,Z989)</f>
        <v/>
      </c>
      <c r="AA990">
        <f>IF(AND(ISNUMBER('자료_거시'!$J972),ISNUMBER('자료_거시'!$K972)),IFERROR('자료_거시'!$K972/INDEX($Z$21:$Z$4020,MATCH(EDATE('자료_거시'!$J972,-'설정'!$B$17),'자료_거시'!$J$3:INDEX('자료_거시'!$J$3:$J$4002,$K$8),1))-1,""),"")</f>
        <v/>
      </c>
      <c r="AB990">
        <f>IF(ISNUMBER(AA990),'자료_거시'!$J972,"")</f>
        <v/>
      </c>
      <c r="AC990">
        <f>IF(ISNUMBER(AB990),IF(AB990&gt;$L$8,AA990,""),"")</f>
        <v/>
      </c>
    </row>
    <row r="991">
      <c r="S991">
        <f>IF(ISNUMBER('자료_거시'!$E973),'자료_거시'!$E973,S990)</f>
        <v/>
      </c>
      <c r="T991">
        <f>IF(AND(ISNUMBER('자료_거시'!$D973),ISNUMBER('자료_거시'!$E973)),IFERROR('자료_거시'!$E973-INDEX($S$21:$S$4020,MATCH(EDATE('자료_거시'!$D973,-'설정'!$B$17),'자료_거시'!$D$3:INDEX('자료_거시'!$D$3:$D$4002,$K$6),1)),""),"")</f>
        <v/>
      </c>
      <c r="U991">
        <f>IF(ISNUMBER(T991),'자료_거시'!$D973,"")</f>
        <v/>
      </c>
      <c r="V991">
        <f>IF(ISNUMBER(U991),IF(U991&gt;$L$6,T991,""),"")</f>
        <v/>
      </c>
      <c r="W991">
        <f>IF(AND(ISNUMBER('자료_거시'!$G973),ISNUMBER('자료_거시'!$H973)),'자료_거시'!$H973,"")</f>
        <v/>
      </c>
      <c r="X991">
        <f>IF(ISNUMBER(W991),'자료_거시'!$G973,"")</f>
        <v/>
      </c>
      <c r="Y991">
        <f>IF(ISNUMBER(X991),IF(X991&gt;$L$7,W991,""),"")</f>
        <v/>
      </c>
      <c r="Z991">
        <f>IF(ISNUMBER('자료_거시'!$K973),'자료_거시'!$K973,Z990)</f>
        <v/>
      </c>
      <c r="AA991">
        <f>IF(AND(ISNUMBER('자료_거시'!$J973),ISNUMBER('자료_거시'!$K973)),IFERROR('자료_거시'!$K973/INDEX($Z$21:$Z$4020,MATCH(EDATE('자료_거시'!$J973,-'설정'!$B$17),'자료_거시'!$J$3:INDEX('자료_거시'!$J$3:$J$4002,$K$8),1))-1,""),"")</f>
        <v/>
      </c>
      <c r="AB991">
        <f>IF(ISNUMBER(AA991),'자료_거시'!$J973,"")</f>
        <v/>
      </c>
      <c r="AC991">
        <f>IF(ISNUMBER(AB991),IF(AB991&gt;$L$8,AA991,""),"")</f>
        <v/>
      </c>
    </row>
    <row r="992">
      <c r="S992">
        <f>IF(ISNUMBER('자료_거시'!$E974),'자료_거시'!$E974,S991)</f>
        <v/>
      </c>
      <c r="T992">
        <f>IF(AND(ISNUMBER('자료_거시'!$D974),ISNUMBER('자료_거시'!$E974)),IFERROR('자료_거시'!$E974-INDEX($S$21:$S$4020,MATCH(EDATE('자료_거시'!$D974,-'설정'!$B$17),'자료_거시'!$D$3:INDEX('자료_거시'!$D$3:$D$4002,$K$6),1)),""),"")</f>
        <v/>
      </c>
      <c r="U992">
        <f>IF(ISNUMBER(T992),'자료_거시'!$D974,"")</f>
        <v/>
      </c>
      <c r="V992">
        <f>IF(ISNUMBER(U992),IF(U992&gt;$L$6,T992,""),"")</f>
        <v/>
      </c>
      <c r="W992">
        <f>IF(AND(ISNUMBER('자료_거시'!$G974),ISNUMBER('자료_거시'!$H974)),'자료_거시'!$H974,"")</f>
        <v/>
      </c>
      <c r="X992">
        <f>IF(ISNUMBER(W992),'자료_거시'!$G974,"")</f>
        <v/>
      </c>
      <c r="Y992">
        <f>IF(ISNUMBER(X992),IF(X992&gt;$L$7,W992,""),"")</f>
        <v/>
      </c>
      <c r="Z992">
        <f>IF(ISNUMBER('자료_거시'!$K974),'자료_거시'!$K974,Z991)</f>
        <v/>
      </c>
      <c r="AA992">
        <f>IF(AND(ISNUMBER('자료_거시'!$J974),ISNUMBER('자료_거시'!$K974)),IFERROR('자료_거시'!$K974/INDEX($Z$21:$Z$4020,MATCH(EDATE('자료_거시'!$J974,-'설정'!$B$17),'자료_거시'!$J$3:INDEX('자료_거시'!$J$3:$J$4002,$K$8),1))-1,""),"")</f>
        <v/>
      </c>
      <c r="AB992">
        <f>IF(ISNUMBER(AA992),'자료_거시'!$J974,"")</f>
        <v/>
      </c>
      <c r="AC992">
        <f>IF(ISNUMBER(AB992),IF(AB992&gt;$L$8,AA992,""),"")</f>
        <v/>
      </c>
    </row>
    <row r="993">
      <c r="S993">
        <f>IF(ISNUMBER('자료_거시'!$E975),'자료_거시'!$E975,S992)</f>
        <v/>
      </c>
      <c r="T993">
        <f>IF(AND(ISNUMBER('자료_거시'!$D975),ISNUMBER('자료_거시'!$E975)),IFERROR('자료_거시'!$E975-INDEX($S$21:$S$4020,MATCH(EDATE('자료_거시'!$D975,-'설정'!$B$17),'자료_거시'!$D$3:INDEX('자료_거시'!$D$3:$D$4002,$K$6),1)),""),"")</f>
        <v/>
      </c>
      <c r="U993">
        <f>IF(ISNUMBER(T993),'자료_거시'!$D975,"")</f>
        <v/>
      </c>
      <c r="V993">
        <f>IF(ISNUMBER(U993),IF(U993&gt;$L$6,T993,""),"")</f>
        <v/>
      </c>
      <c r="W993">
        <f>IF(AND(ISNUMBER('자료_거시'!$G975),ISNUMBER('자료_거시'!$H975)),'자료_거시'!$H975,"")</f>
        <v/>
      </c>
      <c r="X993">
        <f>IF(ISNUMBER(W993),'자료_거시'!$G975,"")</f>
        <v/>
      </c>
      <c r="Y993">
        <f>IF(ISNUMBER(X993),IF(X993&gt;$L$7,W993,""),"")</f>
        <v/>
      </c>
      <c r="Z993">
        <f>IF(ISNUMBER('자료_거시'!$K975),'자료_거시'!$K975,Z992)</f>
        <v/>
      </c>
      <c r="AA993">
        <f>IF(AND(ISNUMBER('자료_거시'!$J975),ISNUMBER('자료_거시'!$K975)),IFERROR('자료_거시'!$K975/INDEX($Z$21:$Z$4020,MATCH(EDATE('자료_거시'!$J975,-'설정'!$B$17),'자료_거시'!$J$3:INDEX('자료_거시'!$J$3:$J$4002,$K$8),1))-1,""),"")</f>
        <v/>
      </c>
      <c r="AB993">
        <f>IF(ISNUMBER(AA993),'자료_거시'!$J975,"")</f>
        <v/>
      </c>
      <c r="AC993">
        <f>IF(ISNUMBER(AB993),IF(AB993&gt;$L$8,AA993,""),"")</f>
        <v/>
      </c>
    </row>
    <row r="994">
      <c r="S994">
        <f>IF(ISNUMBER('자료_거시'!$E976),'자료_거시'!$E976,S993)</f>
        <v/>
      </c>
      <c r="T994">
        <f>IF(AND(ISNUMBER('자료_거시'!$D976),ISNUMBER('자료_거시'!$E976)),IFERROR('자료_거시'!$E976-INDEX($S$21:$S$4020,MATCH(EDATE('자료_거시'!$D976,-'설정'!$B$17),'자료_거시'!$D$3:INDEX('자료_거시'!$D$3:$D$4002,$K$6),1)),""),"")</f>
        <v/>
      </c>
      <c r="U994">
        <f>IF(ISNUMBER(T994),'자료_거시'!$D976,"")</f>
        <v/>
      </c>
      <c r="V994">
        <f>IF(ISNUMBER(U994),IF(U994&gt;$L$6,T994,""),"")</f>
        <v/>
      </c>
      <c r="W994">
        <f>IF(AND(ISNUMBER('자료_거시'!$G976),ISNUMBER('자료_거시'!$H976)),'자료_거시'!$H976,"")</f>
        <v/>
      </c>
      <c r="X994">
        <f>IF(ISNUMBER(W994),'자료_거시'!$G976,"")</f>
        <v/>
      </c>
      <c r="Y994">
        <f>IF(ISNUMBER(X994),IF(X994&gt;$L$7,W994,""),"")</f>
        <v/>
      </c>
      <c r="Z994">
        <f>IF(ISNUMBER('자료_거시'!$K976),'자료_거시'!$K976,Z993)</f>
        <v/>
      </c>
      <c r="AA994">
        <f>IF(AND(ISNUMBER('자료_거시'!$J976),ISNUMBER('자료_거시'!$K976)),IFERROR('자료_거시'!$K976/INDEX($Z$21:$Z$4020,MATCH(EDATE('자료_거시'!$J976,-'설정'!$B$17),'자료_거시'!$J$3:INDEX('자료_거시'!$J$3:$J$4002,$K$8),1))-1,""),"")</f>
        <v/>
      </c>
      <c r="AB994">
        <f>IF(ISNUMBER(AA994),'자료_거시'!$J976,"")</f>
        <v/>
      </c>
      <c r="AC994">
        <f>IF(ISNUMBER(AB994),IF(AB994&gt;$L$8,AA994,""),"")</f>
        <v/>
      </c>
    </row>
    <row r="995">
      <c r="S995">
        <f>IF(ISNUMBER('자료_거시'!$E977),'자료_거시'!$E977,S994)</f>
        <v/>
      </c>
      <c r="T995">
        <f>IF(AND(ISNUMBER('자료_거시'!$D977),ISNUMBER('자료_거시'!$E977)),IFERROR('자료_거시'!$E977-INDEX($S$21:$S$4020,MATCH(EDATE('자료_거시'!$D977,-'설정'!$B$17),'자료_거시'!$D$3:INDEX('자료_거시'!$D$3:$D$4002,$K$6),1)),""),"")</f>
        <v/>
      </c>
      <c r="U995">
        <f>IF(ISNUMBER(T995),'자료_거시'!$D977,"")</f>
        <v/>
      </c>
      <c r="V995">
        <f>IF(ISNUMBER(U995),IF(U995&gt;$L$6,T995,""),"")</f>
        <v/>
      </c>
      <c r="W995">
        <f>IF(AND(ISNUMBER('자료_거시'!$G977),ISNUMBER('자료_거시'!$H977)),'자료_거시'!$H977,"")</f>
        <v/>
      </c>
      <c r="X995">
        <f>IF(ISNUMBER(W995),'자료_거시'!$G977,"")</f>
        <v/>
      </c>
      <c r="Y995">
        <f>IF(ISNUMBER(X995),IF(X995&gt;$L$7,W995,""),"")</f>
        <v/>
      </c>
      <c r="Z995">
        <f>IF(ISNUMBER('자료_거시'!$K977),'자료_거시'!$K977,Z994)</f>
        <v/>
      </c>
      <c r="AA995">
        <f>IF(AND(ISNUMBER('자료_거시'!$J977),ISNUMBER('자료_거시'!$K977)),IFERROR('자료_거시'!$K977/INDEX($Z$21:$Z$4020,MATCH(EDATE('자료_거시'!$J977,-'설정'!$B$17),'자료_거시'!$J$3:INDEX('자료_거시'!$J$3:$J$4002,$K$8),1))-1,""),"")</f>
        <v/>
      </c>
      <c r="AB995">
        <f>IF(ISNUMBER(AA995),'자료_거시'!$J977,"")</f>
        <v/>
      </c>
      <c r="AC995">
        <f>IF(ISNUMBER(AB995),IF(AB995&gt;$L$8,AA995,""),"")</f>
        <v/>
      </c>
    </row>
    <row r="996">
      <c r="S996">
        <f>IF(ISNUMBER('자료_거시'!$E978),'자료_거시'!$E978,S995)</f>
        <v/>
      </c>
      <c r="T996">
        <f>IF(AND(ISNUMBER('자료_거시'!$D978),ISNUMBER('자료_거시'!$E978)),IFERROR('자료_거시'!$E978-INDEX($S$21:$S$4020,MATCH(EDATE('자료_거시'!$D978,-'설정'!$B$17),'자료_거시'!$D$3:INDEX('자료_거시'!$D$3:$D$4002,$K$6),1)),""),"")</f>
        <v/>
      </c>
      <c r="U996">
        <f>IF(ISNUMBER(T996),'자료_거시'!$D978,"")</f>
        <v/>
      </c>
      <c r="V996">
        <f>IF(ISNUMBER(U996),IF(U996&gt;$L$6,T996,""),"")</f>
        <v/>
      </c>
      <c r="W996">
        <f>IF(AND(ISNUMBER('자료_거시'!$G978),ISNUMBER('자료_거시'!$H978)),'자료_거시'!$H978,"")</f>
        <v/>
      </c>
      <c r="X996">
        <f>IF(ISNUMBER(W996),'자료_거시'!$G978,"")</f>
        <v/>
      </c>
      <c r="Y996">
        <f>IF(ISNUMBER(X996),IF(X996&gt;$L$7,W996,""),"")</f>
        <v/>
      </c>
      <c r="Z996">
        <f>IF(ISNUMBER('자료_거시'!$K978),'자료_거시'!$K978,Z995)</f>
        <v/>
      </c>
      <c r="AA996">
        <f>IF(AND(ISNUMBER('자료_거시'!$J978),ISNUMBER('자료_거시'!$K978)),IFERROR('자료_거시'!$K978/INDEX($Z$21:$Z$4020,MATCH(EDATE('자료_거시'!$J978,-'설정'!$B$17),'자료_거시'!$J$3:INDEX('자료_거시'!$J$3:$J$4002,$K$8),1))-1,""),"")</f>
        <v/>
      </c>
      <c r="AB996">
        <f>IF(ISNUMBER(AA996),'자료_거시'!$J978,"")</f>
        <v/>
      </c>
      <c r="AC996">
        <f>IF(ISNUMBER(AB996),IF(AB996&gt;$L$8,AA996,""),"")</f>
        <v/>
      </c>
    </row>
    <row r="997">
      <c r="S997">
        <f>IF(ISNUMBER('자료_거시'!$E979),'자료_거시'!$E979,S996)</f>
        <v/>
      </c>
      <c r="T997">
        <f>IF(AND(ISNUMBER('자료_거시'!$D979),ISNUMBER('자료_거시'!$E979)),IFERROR('자료_거시'!$E979-INDEX($S$21:$S$4020,MATCH(EDATE('자료_거시'!$D979,-'설정'!$B$17),'자료_거시'!$D$3:INDEX('자료_거시'!$D$3:$D$4002,$K$6),1)),""),"")</f>
        <v/>
      </c>
      <c r="U997">
        <f>IF(ISNUMBER(T997),'자료_거시'!$D979,"")</f>
        <v/>
      </c>
      <c r="V997">
        <f>IF(ISNUMBER(U997),IF(U997&gt;$L$6,T997,""),"")</f>
        <v/>
      </c>
      <c r="W997">
        <f>IF(AND(ISNUMBER('자료_거시'!$G979),ISNUMBER('자료_거시'!$H979)),'자료_거시'!$H979,"")</f>
        <v/>
      </c>
      <c r="X997">
        <f>IF(ISNUMBER(W997),'자료_거시'!$G979,"")</f>
        <v/>
      </c>
      <c r="Y997">
        <f>IF(ISNUMBER(X997),IF(X997&gt;$L$7,W997,""),"")</f>
        <v/>
      </c>
      <c r="Z997">
        <f>IF(ISNUMBER('자료_거시'!$K979),'자료_거시'!$K979,Z996)</f>
        <v/>
      </c>
      <c r="AA997">
        <f>IF(AND(ISNUMBER('자료_거시'!$J979),ISNUMBER('자료_거시'!$K979)),IFERROR('자료_거시'!$K979/INDEX($Z$21:$Z$4020,MATCH(EDATE('자료_거시'!$J979,-'설정'!$B$17),'자료_거시'!$J$3:INDEX('자료_거시'!$J$3:$J$4002,$K$8),1))-1,""),"")</f>
        <v/>
      </c>
      <c r="AB997">
        <f>IF(ISNUMBER(AA997),'자료_거시'!$J979,"")</f>
        <v/>
      </c>
      <c r="AC997">
        <f>IF(ISNUMBER(AB997),IF(AB997&gt;$L$8,AA997,""),"")</f>
        <v/>
      </c>
    </row>
    <row r="998">
      <c r="S998">
        <f>IF(ISNUMBER('자료_거시'!$E980),'자료_거시'!$E980,S997)</f>
        <v/>
      </c>
      <c r="T998">
        <f>IF(AND(ISNUMBER('자료_거시'!$D980),ISNUMBER('자료_거시'!$E980)),IFERROR('자료_거시'!$E980-INDEX($S$21:$S$4020,MATCH(EDATE('자료_거시'!$D980,-'설정'!$B$17),'자료_거시'!$D$3:INDEX('자료_거시'!$D$3:$D$4002,$K$6),1)),""),"")</f>
        <v/>
      </c>
      <c r="U998">
        <f>IF(ISNUMBER(T998),'자료_거시'!$D980,"")</f>
        <v/>
      </c>
      <c r="V998">
        <f>IF(ISNUMBER(U998),IF(U998&gt;$L$6,T998,""),"")</f>
        <v/>
      </c>
      <c r="W998">
        <f>IF(AND(ISNUMBER('자료_거시'!$G980),ISNUMBER('자료_거시'!$H980)),'자료_거시'!$H980,"")</f>
        <v/>
      </c>
      <c r="X998">
        <f>IF(ISNUMBER(W998),'자료_거시'!$G980,"")</f>
        <v/>
      </c>
      <c r="Y998">
        <f>IF(ISNUMBER(X998),IF(X998&gt;$L$7,W998,""),"")</f>
        <v/>
      </c>
      <c r="Z998">
        <f>IF(ISNUMBER('자료_거시'!$K980),'자료_거시'!$K980,Z997)</f>
        <v/>
      </c>
      <c r="AA998">
        <f>IF(AND(ISNUMBER('자료_거시'!$J980),ISNUMBER('자료_거시'!$K980)),IFERROR('자료_거시'!$K980/INDEX($Z$21:$Z$4020,MATCH(EDATE('자료_거시'!$J980,-'설정'!$B$17),'자료_거시'!$J$3:INDEX('자료_거시'!$J$3:$J$4002,$K$8),1))-1,""),"")</f>
        <v/>
      </c>
      <c r="AB998">
        <f>IF(ISNUMBER(AA998),'자료_거시'!$J980,"")</f>
        <v/>
      </c>
      <c r="AC998">
        <f>IF(ISNUMBER(AB998),IF(AB998&gt;$L$8,AA998,""),"")</f>
        <v/>
      </c>
    </row>
    <row r="999">
      <c r="S999">
        <f>IF(ISNUMBER('자료_거시'!$E981),'자료_거시'!$E981,S998)</f>
        <v/>
      </c>
      <c r="T999">
        <f>IF(AND(ISNUMBER('자료_거시'!$D981),ISNUMBER('자료_거시'!$E981)),IFERROR('자료_거시'!$E981-INDEX($S$21:$S$4020,MATCH(EDATE('자료_거시'!$D981,-'설정'!$B$17),'자료_거시'!$D$3:INDEX('자료_거시'!$D$3:$D$4002,$K$6),1)),""),"")</f>
        <v/>
      </c>
      <c r="U999">
        <f>IF(ISNUMBER(T999),'자료_거시'!$D981,"")</f>
        <v/>
      </c>
      <c r="V999">
        <f>IF(ISNUMBER(U999),IF(U999&gt;$L$6,T999,""),"")</f>
        <v/>
      </c>
      <c r="W999">
        <f>IF(AND(ISNUMBER('자료_거시'!$G981),ISNUMBER('자료_거시'!$H981)),'자료_거시'!$H981,"")</f>
        <v/>
      </c>
      <c r="X999">
        <f>IF(ISNUMBER(W999),'자료_거시'!$G981,"")</f>
        <v/>
      </c>
      <c r="Y999">
        <f>IF(ISNUMBER(X999),IF(X999&gt;$L$7,W999,""),"")</f>
        <v/>
      </c>
      <c r="Z999">
        <f>IF(ISNUMBER('자료_거시'!$K981),'자료_거시'!$K981,Z998)</f>
        <v/>
      </c>
      <c r="AA999">
        <f>IF(AND(ISNUMBER('자료_거시'!$J981),ISNUMBER('자료_거시'!$K981)),IFERROR('자료_거시'!$K981/INDEX($Z$21:$Z$4020,MATCH(EDATE('자료_거시'!$J981,-'설정'!$B$17),'자료_거시'!$J$3:INDEX('자료_거시'!$J$3:$J$4002,$K$8),1))-1,""),"")</f>
        <v/>
      </c>
      <c r="AB999">
        <f>IF(ISNUMBER(AA999),'자료_거시'!$J981,"")</f>
        <v/>
      </c>
      <c r="AC999">
        <f>IF(ISNUMBER(AB999),IF(AB999&gt;$L$8,AA999,""),"")</f>
        <v/>
      </c>
    </row>
    <row r="1000">
      <c r="S1000">
        <f>IF(ISNUMBER('자료_거시'!$E982),'자료_거시'!$E982,S999)</f>
        <v/>
      </c>
      <c r="T1000">
        <f>IF(AND(ISNUMBER('자료_거시'!$D982),ISNUMBER('자료_거시'!$E982)),IFERROR('자료_거시'!$E982-INDEX($S$21:$S$4020,MATCH(EDATE('자료_거시'!$D982,-'설정'!$B$17),'자료_거시'!$D$3:INDEX('자료_거시'!$D$3:$D$4002,$K$6),1)),""),"")</f>
        <v/>
      </c>
      <c r="U1000">
        <f>IF(ISNUMBER(T1000),'자료_거시'!$D982,"")</f>
        <v/>
      </c>
      <c r="V1000">
        <f>IF(ISNUMBER(U1000),IF(U1000&gt;$L$6,T1000,""),"")</f>
        <v/>
      </c>
      <c r="W1000">
        <f>IF(AND(ISNUMBER('자료_거시'!$G982),ISNUMBER('자료_거시'!$H982)),'자료_거시'!$H982,"")</f>
        <v/>
      </c>
      <c r="X1000">
        <f>IF(ISNUMBER(W1000),'자료_거시'!$G982,"")</f>
        <v/>
      </c>
      <c r="Y1000">
        <f>IF(ISNUMBER(X1000),IF(X1000&gt;$L$7,W1000,""),"")</f>
        <v/>
      </c>
      <c r="Z1000">
        <f>IF(ISNUMBER('자료_거시'!$K982),'자료_거시'!$K982,Z999)</f>
        <v/>
      </c>
      <c r="AA1000">
        <f>IF(AND(ISNUMBER('자료_거시'!$J982),ISNUMBER('자료_거시'!$K982)),IFERROR('자료_거시'!$K982/INDEX($Z$21:$Z$4020,MATCH(EDATE('자료_거시'!$J982,-'설정'!$B$17),'자료_거시'!$J$3:INDEX('자료_거시'!$J$3:$J$4002,$K$8),1))-1,""),"")</f>
        <v/>
      </c>
      <c r="AB1000">
        <f>IF(ISNUMBER(AA1000),'자료_거시'!$J982,"")</f>
        <v/>
      </c>
      <c r="AC1000">
        <f>IF(ISNUMBER(AB1000),IF(AB1000&gt;$L$8,AA1000,""),"")</f>
        <v/>
      </c>
    </row>
    <row r="1001">
      <c r="S1001">
        <f>IF(ISNUMBER('자료_거시'!$E983),'자료_거시'!$E983,S1000)</f>
        <v/>
      </c>
      <c r="T1001">
        <f>IF(AND(ISNUMBER('자료_거시'!$D983),ISNUMBER('자료_거시'!$E983)),IFERROR('자료_거시'!$E983-INDEX($S$21:$S$4020,MATCH(EDATE('자료_거시'!$D983,-'설정'!$B$17),'자료_거시'!$D$3:INDEX('자료_거시'!$D$3:$D$4002,$K$6),1)),""),"")</f>
        <v/>
      </c>
      <c r="U1001">
        <f>IF(ISNUMBER(T1001),'자료_거시'!$D983,"")</f>
        <v/>
      </c>
      <c r="V1001">
        <f>IF(ISNUMBER(U1001),IF(U1001&gt;$L$6,T1001,""),"")</f>
        <v/>
      </c>
      <c r="W1001">
        <f>IF(AND(ISNUMBER('자료_거시'!$G983),ISNUMBER('자료_거시'!$H983)),'자료_거시'!$H983,"")</f>
        <v/>
      </c>
      <c r="X1001">
        <f>IF(ISNUMBER(W1001),'자료_거시'!$G983,"")</f>
        <v/>
      </c>
      <c r="Y1001">
        <f>IF(ISNUMBER(X1001),IF(X1001&gt;$L$7,W1001,""),"")</f>
        <v/>
      </c>
      <c r="Z1001">
        <f>IF(ISNUMBER('자료_거시'!$K983),'자료_거시'!$K983,Z1000)</f>
        <v/>
      </c>
      <c r="AA1001">
        <f>IF(AND(ISNUMBER('자료_거시'!$J983),ISNUMBER('자료_거시'!$K983)),IFERROR('자료_거시'!$K983/INDEX($Z$21:$Z$4020,MATCH(EDATE('자료_거시'!$J983,-'설정'!$B$17),'자료_거시'!$J$3:INDEX('자료_거시'!$J$3:$J$4002,$K$8),1))-1,""),"")</f>
        <v/>
      </c>
      <c r="AB1001">
        <f>IF(ISNUMBER(AA1001),'자료_거시'!$J983,"")</f>
        <v/>
      </c>
      <c r="AC1001">
        <f>IF(ISNUMBER(AB1001),IF(AB1001&gt;$L$8,AA1001,""),"")</f>
        <v/>
      </c>
    </row>
    <row r="1002">
      <c r="S1002">
        <f>IF(ISNUMBER('자료_거시'!$E984),'자료_거시'!$E984,S1001)</f>
        <v/>
      </c>
      <c r="T1002">
        <f>IF(AND(ISNUMBER('자료_거시'!$D984),ISNUMBER('자료_거시'!$E984)),IFERROR('자료_거시'!$E984-INDEX($S$21:$S$4020,MATCH(EDATE('자료_거시'!$D984,-'설정'!$B$17),'자료_거시'!$D$3:INDEX('자료_거시'!$D$3:$D$4002,$K$6),1)),""),"")</f>
        <v/>
      </c>
      <c r="U1002">
        <f>IF(ISNUMBER(T1002),'자료_거시'!$D984,"")</f>
        <v/>
      </c>
      <c r="V1002">
        <f>IF(ISNUMBER(U1002),IF(U1002&gt;$L$6,T1002,""),"")</f>
        <v/>
      </c>
      <c r="W1002">
        <f>IF(AND(ISNUMBER('자료_거시'!$G984),ISNUMBER('자료_거시'!$H984)),'자료_거시'!$H984,"")</f>
        <v/>
      </c>
      <c r="X1002">
        <f>IF(ISNUMBER(W1002),'자료_거시'!$G984,"")</f>
        <v/>
      </c>
      <c r="Y1002">
        <f>IF(ISNUMBER(X1002),IF(X1002&gt;$L$7,W1002,""),"")</f>
        <v/>
      </c>
      <c r="Z1002">
        <f>IF(ISNUMBER('자료_거시'!$K984),'자료_거시'!$K984,Z1001)</f>
        <v/>
      </c>
      <c r="AA1002">
        <f>IF(AND(ISNUMBER('자료_거시'!$J984),ISNUMBER('자료_거시'!$K984)),IFERROR('자료_거시'!$K984/INDEX($Z$21:$Z$4020,MATCH(EDATE('자료_거시'!$J984,-'설정'!$B$17),'자료_거시'!$J$3:INDEX('자료_거시'!$J$3:$J$4002,$K$8),1))-1,""),"")</f>
        <v/>
      </c>
      <c r="AB1002">
        <f>IF(ISNUMBER(AA1002),'자료_거시'!$J984,"")</f>
        <v/>
      </c>
      <c r="AC1002">
        <f>IF(ISNUMBER(AB1002),IF(AB1002&gt;$L$8,AA1002,""),"")</f>
        <v/>
      </c>
    </row>
    <row r="1003">
      <c r="S1003">
        <f>IF(ISNUMBER('자료_거시'!$E985),'자료_거시'!$E985,S1002)</f>
        <v/>
      </c>
      <c r="T1003">
        <f>IF(AND(ISNUMBER('자료_거시'!$D985),ISNUMBER('자료_거시'!$E985)),IFERROR('자료_거시'!$E985-INDEX($S$21:$S$4020,MATCH(EDATE('자료_거시'!$D985,-'설정'!$B$17),'자료_거시'!$D$3:INDEX('자료_거시'!$D$3:$D$4002,$K$6),1)),""),"")</f>
        <v/>
      </c>
      <c r="U1003">
        <f>IF(ISNUMBER(T1003),'자료_거시'!$D985,"")</f>
        <v/>
      </c>
      <c r="V1003">
        <f>IF(ISNUMBER(U1003),IF(U1003&gt;$L$6,T1003,""),"")</f>
        <v/>
      </c>
      <c r="W1003">
        <f>IF(AND(ISNUMBER('자료_거시'!$G985),ISNUMBER('자료_거시'!$H985)),'자료_거시'!$H985,"")</f>
        <v/>
      </c>
      <c r="X1003">
        <f>IF(ISNUMBER(W1003),'자료_거시'!$G985,"")</f>
        <v/>
      </c>
      <c r="Y1003">
        <f>IF(ISNUMBER(X1003),IF(X1003&gt;$L$7,W1003,""),"")</f>
        <v/>
      </c>
      <c r="Z1003">
        <f>IF(ISNUMBER('자료_거시'!$K985),'자료_거시'!$K985,Z1002)</f>
        <v/>
      </c>
      <c r="AA1003">
        <f>IF(AND(ISNUMBER('자료_거시'!$J985),ISNUMBER('자료_거시'!$K985)),IFERROR('자료_거시'!$K985/INDEX($Z$21:$Z$4020,MATCH(EDATE('자료_거시'!$J985,-'설정'!$B$17),'자료_거시'!$J$3:INDEX('자료_거시'!$J$3:$J$4002,$K$8),1))-1,""),"")</f>
        <v/>
      </c>
      <c r="AB1003">
        <f>IF(ISNUMBER(AA1003),'자료_거시'!$J985,"")</f>
        <v/>
      </c>
      <c r="AC1003">
        <f>IF(ISNUMBER(AB1003),IF(AB1003&gt;$L$8,AA1003,""),"")</f>
        <v/>
      </c>
    </row>
    <row r="1004">
      <c r="S1004">
        <f>IF(ISNUMBER('자료_거시'!$E986),'자료_거시'!$E986,S1003)</f>
        <v/>
      </c>
      <c r="T1004">
        <f>IF(AND(ISNUMBER('자료_거시'!$D986),ISNUMBER('자료_거시'!$E986)),IFERROR('자료_거시'!$E986-INDEX($S$21:$S$4020,MATCH(EDATE('자료_거시'!$D986,-'설정'!$B$17),'자료_거시'!$D$3:INDEX('자료_거시'!$D$3:$D$4002,$K$6),1)),""),"")</f>
        <v/>
      </c>
      <c r="U1004">
        <f>IF(ISNUMBER(T1004),'자료_거시'!$D986,"")</f>
        <v/>
      </c>
      <c r="V1004">
        <f>IF(ISNUMBER(U1004),IF(U1004&gt;$L$6,T1004,""),"")</f>
        <v/>
      </c>
      <c r="W1004">
        <f>IF(AND(ISNUMBER('자료_거시'!$G986),ISNUMBER('자료_거시'!$H986)),'자료_거시'!$H986,"")</f>
        <v/>
      </c>
      <c r="X1004">
        <f>IF(ISNUMBER(W1004),'자료_거시'!$G986,"")</f>
        <v/>
      </c>
      <c r="Y1004">
        <f>IF(ISNUMBER(X1004),IF(X1004&gt;$L$7,W1004,""),"")</f>
        <v/>
      </c>
      <c r="Z1004">
        <f>IF(ISNUMBER('자료_거시'!$K986),'자료_거시'!$K986,Z1003)</f>
        <v/>
      </c>
      <c r="AA1004">
        <f>IF(AND(ISNUMBER('자료_거시'!$J986),ISNUMBER('자료_거시'!$K986)),IFERROR('자료_거시'!$K986/INDEX($Z$21:$Z$4020,MATCH(EDATE('자료_거시'!$J986,-'설정'!$B$17),'자료_거시'!$J$3:INDEX('자료_거시'!$J$3:$J$4002,$K$8),1))-1,""),"")</f>
        <v/>
      </c>
      <c r="AB1004">
        <f>IF(ISNUMBER(AA1004),'자료_거시'!$J986,"")</f>
        <v/>
      </c>
      <c r="AC1004">
        <f>IF(ISNUMBER(AB1004),IF(AB1004&gt;$L$8,AA1004,""),"")</f>
        <v/>
      </c>
    </row>
    <row r="1005">
      <c r="S1005">
        <f>IF(ISNUMBER('자료_거시'!$E987),'자료_거시'!$E987,S1004)</f>
        <v/>
      </c>
      <c r="T1005">
        <f>IF(AND(ISNUMBER('자료_거시'!$D987),ISNUMBER('자료_거시'!$E987)),IFERROR('자료_거시'!$E987-INDEX($S$21:$S$4020,MATCH(EDATE('자료_거시'!$D987,-'설정'!$B$17),'자료_거시'!$D$3:INDEX('자료_거시'!$D$3:$D$4002,$K$6),1)),""),"")</f>
        <v/>
      </c>
      <c r="U1005">
        <f>IF(ISNUMBER(T1005),'자료_거시'!$D987,"")</f>
        <v/>
      </c>
      <c r="V1005">
        <f>IF(ISNUMBER(U1005),IF(U1005&gt;$L$6,T1005,""),"")</f>
        <v/>
      </c>
      <c r="W1005">
        <f>IF(AND(ISNUMBER('자료_거시'!$G987),ISNUMBER('자료_거시'!$H987)),'자료_거시'!$H987,"")</f>
        <v/>
      </c>
      <c r="X1005">
        <f>IF(ISNUMBER(W1005),'자료_거시'!$G987,"")</f>
        <v/>
      </c>
      <c r="Y1005">
        <f>IF(ISNUMBER(X1005),IF(X1005&gt;$L$7,W1005,""),"")</f>
        <v/>
      </c>
      <c r="Z1005">
        <f>IF(ISNUMBER('자료_거시'!$K987),'자료_거시'!$K987,Z1004)</f>
        <v/>
      </c>
      <c r="AA1005">
        <f>IF(AND(ISNUMBER('자료_거시'!$J987),ISNUMBER('자료_거시'!$K987)),IFERROR('자료_거시'!$K987/INDEX($Z$21:$Z$4020,MATCH(EDATE('자료_거시'!$J987,-'설정'!$B$17),'자료_거시'!$J$3:INDEX('자료_거시'!$J$3:$J$4002,$K$8),1))-1,""),"")</f>
        <v/>
      </c>
      <c r="AB1005">
        <f>IF(ISNUMBER(AA1005),'자료_거시'!$J987,"")</f>
        <v/>
      </c>
      <c r="AC1005">
        <f>IF(ISNUMBER(AB1005),IF(AB1005&gt;$L$8,AA1005,""),"")</f>
        <v/>
      </c>
    </row>
    <row r="1006">
      <c r="S1006">
        <f>IF(ISNUMBER('자료_거시'!$E988),'자료_거시'!$E988,S1005)</f>
        <v/>
      </c>
      <c r="T1006">
        <f>IF(AND(ISNUMBER('자료_거시'!$D988),ISNUMBER('자료_거시'!$E988)),IFERROR('자료_거시'!$E988-INDEX($S$21:$S$4020,MATCH(EDATE('자료_거시'!$D988,-'설정'!$B$17),'자료_거시'!$D$3:INDEX('자료_거시'!$D$3:$D$4002,$K$6),1)),""),"")</f>
        <v/>
      </c>
      <c r="U1006">
        <f>IF(ISNUMBER(T1006),'자료_거시'!$D988,"")</f>
        <v/>
      </c>
      <c r="V1006">
        <f>IF(ISNUMBER(U1006),IF(U1006&gt;$L$6,T1006,""),"")</f>
        <v/>
      </c>
      <c r="W1006">
        <f>IF(AND(ISNUMBER('자료_거시'!$G988),ISNUMBER('자료_거시'!$H988)),'자료_거시'!$H988,"")</f>
        <v/>
      </c>
      <c r="X1006">
        <f>IF(ISNUMBER(W1006),'자료_거시'!$G988,"")</f>
        <v/>
      </c>
      <c r="Y1006">
        <f>IF(ISNUMBER(X1006),IF(X1006&gt;$L$7,W1006,""),"")</f>
        <v/>
      </c>
      <c r="Z1006">
        <f>IF(ISNUMBER('자료_거시'!$K988),'자료_거시'!$K988,Z1005)</f>
        <v/>
      </c>
      <c r="AA1006">
        <f>IF(AND(ISNUMBER('자료_거시'!$J988),ISNUMBER('자료_거시'!$K988)),IFERROR('자료_거시'!$K988/INDEX($Z$21:$Z$4020,MATCH(EDATE('자료_거시'!$J988,-'설정'!$B$17),'자료_거시'!$J$3:INDEX('자료_거시'!$J$3:$J$4002,$K$8),1))-1,""),"")</f>
        <v/>
      </c>
      <c r="AB1006">
        <f>IF(ISNUMBER(AA1006),'자료_거시'!$J988,"")</f>
        <v/>
      </c>
      <c r="AC1006">
        <f>IF(ISNUMBER(AB1006),IF(AB1006&gt;$L$8,AA1006,""),"")</f>
        <v/>
      </c>
    </row>
    <row r="1007">
      <c r="S1007">
        <f>IF(ISNUMBER('자료_거시'!$E989),'자료_거시'!$E989,S1006)</f>
        <v/>
      </c>
      <c r="T1007">
        <f>IF(AND(ISNUMBER('자료_거시'!$D989),ISNUMBER('자료_거시'!$E989)),IFERROR('자료_거시'!$E989-INDEX($S$21:$S$4020,MATCH(EDATE('자료_거시'!$D989,-'설정'!$B$17),'자료_거시'!$D$3:INDEX('자료_거시'!$D$3:$D$4002,$K$6),1)),""),"")</f>
        <v/>
      </c>
      <c r="U1007">
        <f>IF(ISNUMBER(T1007),'자료_거시'!$D989,"")</f>
        <v/>
      </c>
      <c r="V1007">
        <f>IF(ISNUMBER(U1007),IF(U1007&gt;$L$6,T1007,""),"")</f>
        <v/>
      </c>
      <c r="W1007">
        <f>IF(AND(ISNUMBER('자료_거시'!$G989),ISNUMBER('자료_거시'!$H989)),'자료_거시'!$H989,"")</f>
        <v/>
      </c>
      <c r="X1007">
        <f>IF(ISNUMBER(W1007),'자료_거시'!$G989,"")</f>
        <v/>
      </c>
      <c r="Y1007">
        <f>IF(ISNUMBER(X1007),IF(X1007&gt;$L$7,W1007,""),"")</f>
        <v/>
      </c>
      <c r="Z1007">
        <f>IF(ISNUMBER('자료_거시'!$K989),'자료_거시'!$K989,Z1006)</f>
        <v/>
      </c>
      <c r="AA1007">
        <f>IF(AND(ISNUMBER('자료_거시'!$J989),ISNUMBER('자료_거시'!$K989)),IFERROR('자료_거시'!$K989/INDEX($Z$21:$Z$4020,MATCH(EDATE('자료_거시'!$J989,-'설정'!$B$17),'자료_거시'!$J$3:INDEX('자료_거시'!$J$3:$J$4002,$K$8),1))-1,""),"")</f>
        <v/>
      </c>
      <c r="AB1007">
        <f>IF(ISNUMBER(AA1007),'자료_거시'!$J989,"")</f>
        <v/>
      </c>
      <c r="AC1007">
        <f>IF(ISNUMBER(AB1007),IF(AB1007&gt;$L$8,AA1007,""),"")</f>
        <v/>
      </c>
    </row>
    <row r="1008">
      <c r="S1008">
        <f>IF(ISNUMBER('자료_거시'!$E990),'자료_거시'!$E990,S1007)</f>
        <v/>
      </c>
      <c r="T1008">
        <f>IF(AND(ISNUMBER('자료_거시'!$D990),ISNUMBER('자료_거시'!$E990)),IFERROR('자료_거시'!$E990-INDEX($S$21:$S$4020,MATCH(EDATE('자료_거시'!$D990,-'설정'!$B$17),'자료_거시'!$D$3:INDEX('자료_거시'!$D$3:$D$4002,$K$6),1)),""),"")</f>
        <v/>
      </c>
      <c r="U1008">
        <f>IF(ISNUMBER(T1008),'자료_거시'!$D990,"")</f>
        <v/>
      </c>
      <c r="V1008">
        <f>IF(ISNUMBER(U1008),IF(U1008&gt;$L$6,T1008,""),"")</f>
        <v/>
      </c>
      <c r="W1008">
        <f>IF(AND(ISNUMBER('자료_거시'!$G990),ISNUMBER('자료_거시'!$H990)),'자료_거시'!$H990,"")</f>
        <v/>
      </c>
      <c r="X1008">
        <f>IF(ISNUMBER(W1008),'자료_거시'!$G990,"")</f>
        <v/>
      </c>
      <c r="Y1008">
        <f>IF(ISNUMBER(X1008),IF(X1008&gt;$L$7,W1008,""),"")</f>
        <v/>
      </c>
      <c r="Z1008">
        <f>IF(ISNUMBER('자료_거시'!$K990),'자료_거시'!$K990,Z1007)</f>
        <v/>
      </c>
      <c r="AA1008">
        <f>IF(AND(ISNUMBER('자료_거시'!$J990),ISNUMBER('자료_거시'!$K990)),IFERROR('자료_거시'!$K990/INDEX($Z$21:$Z$4020,MATCH(EDATE('자료_거시'!$J990,-'설정'!$B$17),'자료_거시'!$J$3:INDEX('자료_거시'!$J$3:$J$4002,$K$8),1))-1,""),"")</f>
        <v/>
      </c>
      <c r="AB1008">
        <f>IF(ISNUMBER(AA1008),'자료_거시'!$J990,"")</f>
        <v/>
      </c>
      <c r="AC1008">
        <f>IF(ISNUMBER(AB1008),IF(AB1008&gt;$L$8,AA1008,""),"")</f>
        <v/>
      </c>
    </row>
    <row r="1009">
      <c r="S1009">
        <f>IF(ISNUMBER('자료_거시'!$E991),'자료_거시'!$E991,S1008)</f>
        <v/>
      </c>
      <c r="T1009">
        <f>IF(AND(ISNUMBER('자료_거시'!$D991),ISNUMBER('자료_거시'!$E991)),IFERROR('자료_거시'!$E991-INDEX($S$21:$S$4020,MATCH(EDATE('자료_거시'!$D991,-'설정'!$B$17),'자료_거시'!$D$3:INDEX('자료_거시'!$D$3:$D$4002,$K$6),1)),""),"")</f>
        <v/>
      </c>
      <c r="U1009">
        <f>IF(ISNUMBER(T1009),'자료_거시'!$D991,"")</f>
        <v/>
      </c>
      <c r="V1009">
        <f>IF(ISNUMBER(U1009),IF(U1009&gt;$L$6,T1009,""),"")</f>
        <v/>
      </c>
      <c r="W1009">
        <f>IF(AND(ISNUMBER('자료_거시'!$G991),ISNUMBER('자료_거시'!$H991)),'자료_거시'!$H991,"")</f>
        <v/>
      </c>
      <c r="X1009">
        <f>IF(ISNUMBER(W1009),'자료_거시'!$G991,"")</f>
        <v/>
      </c>
      <c r="Y1009">
        <f>IF(ISNUMBER(X1009),IF(X1009&gt;$L$7,W1009,""),"")</f>
        <v/>
      </c>
      <c r="Z1009">
        <f>IF(ISNUMBER('자료_거시'!$K991),'자료_거시'!$K991,Z1008)</f>
        <v/>
      </c>
      <c r="AA1009">
        <f>IF(AND(ISNUMBER('자료_거시'!$J991),ISNUMBER('자료_거시'!$K991)),IFERROR('자료_거시'!$K991/INDEX($Z$21:$Z$4020,MATCH(EDATE('자료_거시'!$J991,-'설정'!$B$17),'자료_거시'!$J$3:INDEX('자료_거시'!$J$3:$J$4002,$K$8),1))-1,""),"")</f>
        <v/>
      </c>
      <c r="AB1009">
        <f>IF(ISNUMBER(AA1009),'자료_거시'!$J991,"")</f>
        <v/>
      </c>
      <c r="AC1009">
        <f>IF(ISNUMBER(AB1009),IF(AB1009&gt;$L$8,AA1009,""),"")</f>
        <v/>
      </c>
    </row>
    <row r="1010">
      <c r="S1010">
        <f>IF(ISNUMBER('자료_거시'!$E992),'자료_거시'!$E992,S1009)</f>
        <v/>
      </c>
      <c r="T1010">
        <f>IF(AND(ISNUMBER('자료_거시'!$D992),ISNUMBER('자료_거시'!$E992)),IFERROR('자료_거시'!$E992-INDEX($S$21:$S$4020,MATCH(EDATE('자료_거시'!$D992,-'설정'!$B$17),'자료_거시'!$D$3:INDEX('자료_거시'!$D$3:$D$4002,$K$6),1)),""),"")</f>
        <v/>
      </c>
      <c r="U1010">
        <f>IF(ISNUMBER(T1010),'자료_거시'!$D992,"")</f>
        <v/>
      </c>
      <c r="V1010">
        <f>IF(ISNUMBER(U1010),IF(U1010&gt;$L$6,T1010,""),"")</f>
        <v/>
      </c>
      <c r="W1010">
        <f>IF(AND(ISNUMBER('자료_거시'!$G992),ISNUMBER('자료_거시'!$H992)),'자료_거시'!$H992,"")</f>
        <v/>
      </c>
      <c r="X1010">
        <f>IF(ISNUMBER(W1010),'자료_거시'!$G992,"")</f>
        <v/>
      </c>
      <c r="Y1010">
        <f>IF(ISNUMBER(X1010),IF(X1010&gt;$L$7,W1010,""),"")</f>
        <v/>
      </c>
      <c r="Z1010">
        <f>IF(ISNUMBER('자료_거시'!$K992),'자료_거시'!$K992,Z1009)</f>
        <v/>
      </c>
      <c r="AA1010">
        <f>IF(AND(ISNUMBER('자료_거시'!$J992),ISNUMBER('자료_거시'!$K992)),IFERROR('자료_거시'!$K992/INDEX($Z$21:$Z$4020,MATCH(EDATE('자료_거시'!$J992,-'설정'!$B$17),'자료_거시'!$J$3:INDEX('자료_거시'!$J$3:$J$4002,$K$8),1))-1,""),"")</f>
        <v/>
      </c>
      <c r="AB1010">
        <f>IF(ISNUMBER(AA1010),'자료_거시'!$J992,"")</f>
        <v/>
      </c>
      <c r="AC1010">
        <f>IF(ISNUMBER(AB1010),IF(AB1010&gt;$L$8,AA1010,""),"")</f>
        <v/>
      </c>
    </row>
    <row r="1011">
      <c r="S1011">
        <f>IF(ISNUMBER('자료_거시'!$E993),'자료_거시'!$E993,S1010)</f>
        <v/>
      </c>
      <c r="T1011">
        <f>IF(AND(ISNUMBER('자료_거시'!$D993),ISNUMBER('자료_거시'!$E993)),IFERROR('자료_거시'!$E993-INDEX($S$21:$S$4020,MATCH(EDATE('자료_거시'!$D993,-'설정'!$B$17),'자료_거시'!$D$3:INDEX('자료_거시'!$D$3:$D$4002,$K$6),1)),""),"")</f>
        <v/>
      </c>
      <c r="U1011">
        <f>IF(ISNUMBER(T1011),'자료_거시'!$D993,"")</f>
        <v/>
      </c>
      <c r="V1011">
        <f>IF(ISNUMBER(U1011),IF(U1011&gt;$L$6,T1011,""),"")</f>
        <v/>
      </c>
      <c r="W1011">
        <f>IF(AND(ISNUMBER('자료_거시'!$G993),ISNUMBER('자료_거시'!$H993)),'자료_거시'!$H993,"")</f>
        <v/>
      </c>
      <c r="X1011">
        <f>IF(ISNUMBER(W1011),'자료_거시'!$G993,"")</f>
        <v/>
      </c>
      <c r="Y1011">
        <f>IF(ISNUMBER(X1011),IF(X1011&gt;$L$7,W1011,""),"")</f>
        <v/>
      </c>
      <c r="Z1011">
        <f>IF(ISNUMBER('자료_거시'!$K993),'자료_거시'!$K993,Z1010)</f>
        <v/>
      </c>
      <c r="AA1011">
        <f>IF(AND(ISNUMBER('자료_거시'!$J993),ISNUMBER('자료_거시'!$K993)),IFERROR('자료_거시'!$K993/INDEX($Z$21:$Z$4020,MATCH(EDATE('자료_거시'!$J993,-'설정'!$B$17),'자료_거시'!$J$3:INDEX('자료_거시'!$J$3:$J$4002,$K$8),1))-1,""),"")</f>
        <v/>
      </c>
      <c r="AB1011">
        <f>IF(ISNUMBER(AA1011),'자료_거시'!$J993,"")</f>
        <v/>
      </c>
      <c r="AC1011">
        <f>IF(ISNUMBER(AB1011),IF(AB1011&gt;$L$8,AA1011,""),"")</f>
        <v/>
      </c>
    </row>
    <row r="1012">
      <c r="S1012">
        <f>IF(ISNUMBER('자료_거시'!$E994),'자료_거시'!$E994,S1011)</f>
        <v/>
      </c>
      <c r="T1012">
        <f>IF(AND(ISNUMBER('자료_거시'!$D994),ISNUMBER('자료_거시'!$E994)),IFERROR('자료_거시'!$E994-INDEX($S$21:$S$4020,MATCH(EDATE('자료_거시'!$D994,-'설정'!$B$17),'자료_거시'!$D$3:INDEX('자료_거시'!$D$3:$D$4002,$K$6),1)),""),"")</f>
        <v/>
      </c>
      <c r="U1012">
        <f>IF(ISNUMBER(T1012),'자료_거시'!$D994,"")</f>
        <v/>
      </c>
      <c r="V1012">
        <f>IF(ISNUMBER(U1012),IF(U1012&gt;$L$6,T1012,""),"")</f>
        <v/>
      </c>
      <c r="W1012">
        <f>IF(AND(ISNUMBER('자료_거시'!$G994),ISNUMBER('자료_거시'!$H994)),'자료_거시'!$H994,"")</f>
        <v/>
      </c>
      <c r="X1012">
        <f>IF(ISNUMBER(W1012),'자료_거시'!$G994,"")</f>
        <v/>
      </c>
      <c r="Y1012">
        <f>IF(ISNUMBER(X1012),IF(X1012&gt;$L$7,W1012,""),"")</f>
        <v/>
      </c>
      <c r="Z1012">
        <f>IF(ISNUMBER('자료_거시'!$K994),'자료_거시'!$K994,Z1011)</f>
        <v/>
      </c>
      <c r="AA1012">
        <f>IF(AND(ISNUMBER('자료_거시'!$J994),ISNUMBER('자료_거시'!$K994)),IFERROR('자료_거시'!$K994/INDEX($Z$21:$Z$4020,MATCH(EDATE('자료_거시'!$J994,-'설정'!$B$17),'자료_거시'!$J$3:INDEX('자료_거시'!$J$3:$J$4002,$K$8),1))-1,""),"")</f>
        <v/>
      </c>
      <c r="AB1012">
        <f>IF(ISNUMBER(AA1012),'자료_거시'!$J994,"")</f>
        <v/>
      </c>
      <c r="AC1012">
        <f>IF(ISNUMBER(AB1012),IF(AB1012&gt;$L$8,AA1012,""),"")</f>
        <v/>
      </c>
    </row>
    <row r="1013">
      <c r="S1013">
        <f>IF(ISNUMBER('자료_거시'!$E995),'자료_거시'!$E995,S1012)</f>
        <v/>
      </c>
      <c r="T1013">
        <f>IF(AND(ISNUMBER('자료_거시'!$D995),ISNUMBER('자료_거시'!$E995)),IFERROR('자료_거시'!$E995-INDEX($S$21:$S$4020,MATCH(EDATE('자료_거시'!$D995,-'설정'!$B$17),'자료_거시'!$D$3:INDEX('자료_거시'!$D$3:$D$4002,$K$6),1)),""),"")</f>
        <v/>
      </c>
      <c r="U1013">
        <f>IF(ISNUMBER(T1013),'자료_거시'!$D995,"")</f>
        <v/>
      </c>
      <c r="V1013">
        <f>IF(ISNUMBER(U1013),IF(U1013&gt;$L$6,T1013,""),"")</f>
        <v/>
      </c>
      <c r="W1013">
        <f>IF(AND(ISNUMBER('자료_거시'!$G995),ISNUMBER('자료_거시'!$H995)),'자료_거시'!$H995,"")</f>
        <v/>
      </c>
      <c r="X1013">
        <f>IF(ISNUMBER(W1013),'자료_거시'!$G995,"")</f>
        <v/>
      </c>
      <c r="Y1013">
        <f>IF(ISNUMBER(X1013),IF(X1013&gt;$L$7,W1013,""),"")</f>
        <v/>
      </c>
      <c r="Z1013">
        <f>IF(ISNUMBER('자료_거시'!$K995),'자료_거시'!$K995,Z1012)</f>
        <v/>
      </c>
      <c r="AA1013">
        <f>IF(AND(ISNUMBER('자료_거시'!$J995),ISNUMBER('자료_거시'!$K995)),IFERROR('자료_거시'!$K995/INDEX($Z$21:$Z$4020,MATCH(EDATE('자료_거시'!$J995,-'설정'!$B$17),'자료_거시'!$J$3:INDEX('자료_거시'!$J$3:$J$4002,$K$8),1))-1,""),"")</f>
        <v/>
      </c>
      <c r="AB1013">
        <f>IF(ISNUMBER(AA1013),'자료_거시'!$J995,"")</f>
        <v/>
      </c>
      <c r="AC1013">
        <f>IF(ISNUMBER(AB1013),IF(AB1013&gt;$L$8,AA1013,""),"")</f>
        <v/>
      </c>
    </row>
    <row r="1014">
      <c r="S1014">
        <f>IF(ISNUMBER('자료_거시'!$E996),'자료_거시'!$E996,S1013)</f>
        <v/>
      </c>
      <c r="T1014">
        <f>IF(AND(ISNUMBER('자료_거시'!$D996),ISNUMBER('자료_거시'!$E996)),IFERROR('자료_거시'!$E996-INDEX($S$21:$S$4020,MATCH(EDATE('자료_거시'!$D996,-'설정'!$B$17),'자료_거시'!$D$3:INDEX('자료_거시'!$D$3:$D$4002,$K$6),1)),""),"")</f>
        <v/>
      </c>
      <c r="U1014">
        <f>IF(ISNUMBER(T1014),'자료_거시'!$D996,"")</f>
        <v/>
      </c>
      <c r="V1014">
        <f>IF(ISNUMBER(U1014),IF(U1014&gt;$L$6,T1014,""),"")</f>
        <v/>
      </c>
      <c r="W1014">
        <f>IF(AND(ISNUMBER('자료_거시'!$G996),ISNUMBER('자료_거시'!$H996)),'자료_거시'!$H996,"")</f>
        <v/>
      </c>
      <c r="X1014">
        <f>IF(ISNUMBER(W1014),'자료_거시'!$G996,"")</f>
        <v/>
      </c>
      <c r="Y1014">
        <f>IF(ISNUMBER(X1014),IF(X1014&gt;$L$7,W1014,""),"")</f>
        <v/>
      </c>
      <c r="Z1014">
        <f>IF(ISNUMBER('자료_거시'!$K996),'자료_거시'!$K996,Z1013)</f>
        <v/>
      </c>
      <c r="AA1014">
        <f>IF(AND(ISNUMBER('자료_거시'!$J996),ISNUMBER('자료_거시'!$K996)),IFERROR('자료_거시'!$K996/INDEX($Z$21:$Z$4020,MATCH(EDATE('자료_거시'!$J996,-'설정'!$B$17),'자료_거시'!$J$3:INDEX('자료_거시'!$J$3:$J$4002,$K$8),1))-1,""),"")</f>
        <v/>
      </c>
      <c r="AB1014">
        <f>IF(ISNUMBER(AA1014),'자료_거시'!$J996,"")</f>
        <v/>
      </c>
      <c r="AC1014">
        <f>IF(ISNUMBER(AB1014),IF(AB1014&gt;$L$8,AA1014,""),"")</f>
        <v/>
      </c>
    </row>
    <row r="1015">
      <c r="S1015">
        <f>IF(ISNUMBER('자료_거시'!$E997),'자료_거시'!$E997,S1014)</f>
        <v/>
      </c>
      <c r="T1015">
        <f>IF(AND(ISNUMBER('자료_거시'!$D997),ISNUMBER('자료_거시'!$E997)),IFERROR('자료_거시'!$E997-INDEX($S$21:$S$4020,MATCH(EDATE('자료_거시'!$D997,-'설정'!$B$17),'자료_거시'!$D$3:INDEX('자료_거시'!$D$3:$D$4002,$K$6),1)),""),"")</f>
        <v/>
      </c>
      <c r="U1015">
        <f>IF(ISNUMBER(T1015),'자료_거시'!$D997,"")</f>
        <v/>
      </c>
      <c r="V1015">
        <f>IF(ISNUMBER(U1015),IF(U1015&gt;$L$6,T1015,""),"")</f>
        <v/>
      </c>
      <c r="W1015">
        <f>IF(AND(ISNUMBER('자료_거시'!$G997),ISNUMBER('자료_거시'!$H997)),'자료_거시'!$H997,"")</f>
        <v/>
      </c>
      <c r="X1015">
        <f>IF(ISNUMBER(W1015),'자료_거시'!$G997,"")</f>
        <v/>
      </c>
      <c r="Y1015">
        <f>IF(ISNUMBER(X1015),IF(X1015&gt;$L$7,W1015,""),"")</f>
        <v/>
      </c>
      <c r="Z1015">
        <f>IF(ISNUMBER('자료_거시'!$K997),'자료_거시'!$K997,Z1014)</f>
        <v/>
      </c>
      <c r="AA1015">
        <f>IF(AND(ISNUMBER('자료_거시'!$J997),ISNUMBER('자료_거시'!$K997)),IFERROR('자료_거시'!$K997/INDEX($Z$21:$Z$4020,MATCH(EDATE('자료_거시'!$J997,-'설정'!$B$17),'자료_거시'!$J$3:INDEX('자료_거시'!$J$3:$J$4002,$K$8),1))-1,""),"")</f>
        <v/>
      </c>
      <c r="AB1015">
        <f>IF(ISNUMBER(AA1015),'자료_거시'!$J997,"")</f>
        <v/>
      </c>
      <c r="AC1015">
        <f>IF(ISNUMBER(AB1015),IF(AB1015&gt;$L$8,AA1015,""),"")</f>
        <v/>
      </c>
    </row>
    <row r="1016">
      <c r="S1016">
        <f>IF(ISNUMBER('자료_거시'!$E998),'자료_거시'!$E998,S1015)</f>
        <v/>
      </c>
      <c r="T1016">
        <f>IF(AND(ISNUMBER('자료_거시'!$D998),ISNUMBER('자료_거시'!$E998)),IFERROR('자료_거시'!$E998-INDEX($S$21:$S$4020,MATCH(EDATE('자료_거시'!$D998,-'설정'!$B$17),'자료_거시'!$D$3:INDEX('자료_거시'!$D$3:$D$4002,$K$6),1)),""),"")</f>
        <v/>
      </c>
      <c r="U1016">
        <f>IF(ISNUMBER(T1016),'자료_거시'!$D998,"")</f>
        <v/>
      </c>
      <c r="V1016">
        <f>IF(ISNUMBER(U1016),IF(U1016&gt;$L$6,T1016,""),"")</f>
        <v/>
      </c>
      <c r="W1016">
        <f>IF(AND(ISNUMBER('자료_거시'!$G998),ISNUMBER('자료_거시'!$H998)),'자료_거시'!$H998,"")</f>
        <v/>
      </c>
      <c r="X1016">
        <f>IF(ISNUMBER(W1016),'자료_거시'!$G998,"")</f>
        <v/>
      </c>
      <c r="Y1016">
        <f>IF(ISNUMBER(X1016),IF(X1016&gt;$L$7,W1016,""),"")</f>
        <v/>
      </c>
      <c r="Z1016">
        <f>IF(ISNUMBER('자료_거시'!$K998),'자료_거시'!$K998,Z1015)</f>
        <v/>
      </c>
      <c r="AA1016">
        <f>IF(AND(ISNUMBER('자료_거시'!$J998),ISNUMBER('자료_거시'!$K998)),IFERROR('자료_거시'!$K998/INDEX($Z$21:$Z$4020,MATCH(EDATE('자료_거시'!$J998,-'설정'!$B$17),'자료_거시'!$J$3:INDEX('자료_거시'!$J$3:$J$4002,$K$8),1))-1,""),"")</f>
        <v/>
      </c>
      <c r="AB1016">
        <f>IF(ISNUMBER(AA1016),'자료_거시'!$J998,"")</f>
        <v/>
      </c>
      <c r="AC1016">
        <f>IF(ISNUMBER(AB1016),IF(AB1016&gt;$L$8,AA1016,""),"")</f>
        <v/>
      </c>
    </row>
    <row r="1017">
      <c r="S1017">
        <f>IF(ISNUMBER('자료_거시'!$E999),'자료_거시'!$E999,S1016)</f>
        <v/>
      </c>
      <c r="T1017">
        <f>IF(AND(ISNUMBER('자료_거시'!$D999),ISNUMBER('자료_거시'!$E999)),IFERROR('자료_거시'!$E999-INDEX($S$21:$S$4020,MATCH(EDATE('자료_거시'!$D999,-'설정'!$B$17),'자료_거시'!$D$3:INDEX('자료_거시'!$D$3:$D$4002,$K$6),1)),""),"")</f>
        <v/>
      </c>
      <c r="U1017">
        <f>IF(ISNUMBER(T1017),'자료_거시'!$D999,"")</f>
        <v/>
      </c>
      <c r="V1017">
        <f>IF(ISNUMBER(U1017),IF(U1017&gt;$L$6,T1017,""),"")</f>
        <v/>
      </c>
      <c r="W1017">
        <f>IF(AND(ISNUMBER('자료_거시'!$G999),ISNUMBER('자료_거시'!$H999)),'자료_거시'!$H999,"")</f>
        <v/>
      </c>
      <c r="X1017">
        <f>IF(ISNUMBER(W1017),'자료_거시'!$G999,"")</f>
        <v/>
      </c>
      <c r="Y1017">
        <f>IF(ISNUMBER(X1017),IF(X1017&gt;$L$7,W1017,""),"")</f>
        <v/>
      </c>
      <c r="Z1017">
        <f>IF(ISNUMBER('자료_거시'!$K999),'자료_거시'!$K999,Z1016)</f>
        <v/>
      </c>
      <c r="AA1017">
        <f>IF(AND(ISNUMBER('자료_거시'!$J999),ISNUMBER('자료_거시'!$K999)),IFERROR('자료_거시'!$K999/INDEX($Z$21:$Z$4020,MATCH(EDATE('자료_거시'!$J999,-'설정'!$B$17),'자료_거시'!$J$3:INDEX('자료_거시'!$J$3:$J$4002,$K$8),1))-1,""),"")</f>
        <v/>
      </c>
      <c r="AB1017">
        <f>IF(ISNUMBER(AA1017),'자료_거시'!$J999,"")</f>
        <v/>
      </c>
      <c r="AC1017">
        <f>IF(ISNUMBER(AB1017),IF(AB1017&gt;$L$8,AA1017,""),"")</f>
        <v/>
      </c>
    </row>
    <row r="1018">
      <c r="S1018">
        <f>IF(ISNUMBER('자료_거시'!$E1000),'자료_거시'!$E1000,S1017)</f>
        <v/>
      </c>
      <c r="T1018">
        <f>IF(AND(ISNUMBER('자료_거시'!$D1000),ISNUMBER('자료_거시'!$E1000)),IFERROR('자료_거시'!$E1000-INDEX($S$21:$S$4020,MATCH(EDATE('자료_거시'!$D1000,-'설정'!$B$17),'자료_거시'!$D$3:INDEX('자료_거시'!$D$3:$D$4002,$K$6),1)),""),"")</f>
        <v/>
      </c>
      <c r="U1018">
        <f>IF(ISNUMBER(T1018),'자료_거시'!$D1000,"")</f>
        <v/>
      </c>
      <c r="V1018">
        <f>IF(ISNUMBER(U1018),IF(U1018&gt;$L$6,T1018,""),"")</f>
        <v/>
      </c>
      <c r="W1018">
        <f>IF(AND(ISNUMBER('자료_거시'!$G1000),ISNUMBER('자료_거시'!$H1000)),'자료_거시'!$H1000,"")</f>
        <v/>
      </c>
      <c r="X1018">
        <f>IF(ISNUMBER(W1018),'자료_거시'!$G1000,"")</f>
        <v/>
      </c>
      <c r="Y1018">
        <f>IF(ISNUMBER(X1018),IF(X1018&gt;$L$7,W1018,""),"")</f>
        <v/>
      </c>
      <c r="Z1018">
        <f>IF(ISNUMBER('자료_거시'!$K1000),'자료_거시'!$K1000,Z1017)</f>
        <v/>
      </c>
      <c r="AA1018">
        <f>IF(AND(ISNUMBER('자료_거시'!$J1000),ISNUMBER('자료_거시'!$K1000)),IFERROR('자료_거시'!$K1000/INDEX($Z$21:$Z$4020,MATCH(EDATE('자료_거시'!$J1000,-'설정'!$B$17),'자료_거시'!$J$3:INDEX('자료_거시'!$J$3:$J$4002,$K$8),1))-1,""),"")</f>
        <v/>
      </c>
      <c r="AB1018">
        <f>IF(ISNUMBER(AA1018),'자료_거시'!$J1000,"")</f>
        <v/>
      </c>
      <c r="AC1018">
        <f>IF(ISNUMBER(AB1018),IF(AB1018&gt;$L$8,AA1018,""),"")</f>
        <v/>
      </c>
    </row>
    <row r="1019">
      <c r="S1019">
        <f>IF(ISNUMBER('자료_거시'!$E1001),'자료_거시'!$E1001,S1018)</f>
        <v/>
      </c>
      <c r="T1019">
        <f>IF(AND(ISNUMBER('자료_거시'!$D1001),ISNUMBER('자료_거시'!$E1001)),IFERROR('자료_거시'!$E1001-INDEX($S$21:$S$4020,MATCH(EDATE('자료_거시'!$D1001,-'설정'!$B$17),'자료_거시'!$D$3:INDEX('자료_거시'!$D$3:$D$4002,$K$6),1)),""),"")</f>
        <v/>
      </c>
      <c r="U1019">
        <f>IF(ISNUMBER(T1019),'자료_거시'!$D1001,"")</f>
        <v/>
      </c>
      <c r="V1019">
        <f>IF(ISNUMBER(U1019),IF(U1019&gt;$L$6,T1019,""),"")</f>
        <v/>
      </c>
      <c r="W1019">
        <f>IF(AND(ISNUMBER('자료_거시'!$G1001),ISNUMBER('자료_거시'!$H1001)),'자료_거시'!$H1001,"")</f>
        <v/>
      </c>
      <c r="X1019">
        <f>IF(ISNUMBER(W1019),'자료_거시'!$G1001,"")</f>
        <v/>
      </c>
      <c r="Y1019">
        <f>IF(ISNUMBER(X1019),IF(X1019&gt;$L$7,W1019,""),"")</f>
        <v/>
      </c>
      <c r="Z1019">
        <f>IF(ISNUMBER('자료_거시'!$K1001),'자료_거시'!$K1001,Z1018)</f>
        <v/>
      </c>
      <c r="AA1019">
        <f>IF(AND(ISNUMBER('자료_거시'!$J1001),ISNUMBER('자료_거시'!$K1001)),IFERROR('자료_거시'!$K1001/INDEX($Z$21:$Z$4020,MATCH(EDATE('자료_거시'!$J1001,-'설정'!$B$17),'자료_거시'!$J$3:INDEX('자료_거시'!$J$3:$J$4002,$K$8),1))-1,""),"")</f>
        <v/>
      </c>
      <c r="AB1019">
        <f>IF(ISNUMBER(AA1019),'자료_거시'!$J1001,"")</f>
        <v/>
      </c>
      <c r="AC1019">
        <f>IF(ISNUMBER(AB1019),IF(AB1019&gt;$L$8,AA1019,""),"")</f>
        <v/>
      </c>
    </row>
    <row r="1020">
      <c r="S1020">
        <f>IF(ISNUMBER('자료_거시'!$E1002),'자료_거시'!$E1002,S1019)</f>
        <v/>
      </c>
      <c r="T1020">
        <f>IF(AND(ISNUMBER('자료_거시'!$D1002),ISNUMBER('자료_거시'!$E1002)),IFERROR('자료_거시'!$E1002-INDEX($S$21:$S$4020,MATCH(EDATE('자료_거시'!$D1002,-'설정'!$B$17),'자료_거시'!$D$3:INDEX('자료_거시'!$D$3:$D$4002,$K$6),1)),""),"")</f>
        <v/>
      </c>
      <c r="U1020">
        <f>IF(ISNUMBER(T1020),'자료_거시'!$D1002,"")</f>
        <v/>
      </c>
      <c r="V1020">
        <f>IF(ISNUMBER(U1020),IF(U1020&gt;$L$6,T1020,""),"")</f>
        <v/>
      </c>
      <c r="W1020">
        <f>IF(AND(ISNUMBER('자료_거시'!$G1002),ISNUMBER('자료_거시'!$H1002)),'자료_거시'!$H1002,"")</f>
        <v/>
      </c>
      <c r="X1020">
        <f>IF(ISNUMBER(W1020),'자료_거시'!$G1002,"")</f>
        <v/>
      </c>
      <c r="Y1020">
        <f>IF(ISNUMBER(X1020),IF(X1020&gt;$L$7,W1020,""),"")</f>
        <v/>
      </c>
      <c r="Z1020">
        <f>IF(ISNUMBER('자료_거시'!$K1002),'자료_거시'!$K1002,Z1019)</f>
        <v/>
      </c>
      <c r="AA1020">
        <f>IF(AND(ISNUMBER('자료_거시'!$J1002),ISNUMBER('자료_거시'!$K1002)),IFERROR('자료_거시'!$K1002/INDEX($Z$21:$Z$4020,MATCH(EDATE('자료_거시'!$J1002,-'설정'!$B$17),'자료_거시'!$J$3:INDEX('자료_거시'!$J$3:$J$4002,$K$8),1))-1,""),"")</f>
        <v/>
      </c>
      <c r="AB1020">
        <f>IF(ISNUMBER(AA1020),'자료_거시'!$J1002,"")</f>
        <v/>
      </c>
      <c r="AC1020">
        <f>IF(ISNUMBER(AB1020),IF(AB1020&gt;$L$8,AA1020,""),"")</f>
        <v/>
      </c>
    </row>
    <row r="1021">
      <c r="S1021">
        <f>IF(ISNUMBER('자료_거시'!$E1003),'자료_거시'!$E1003,S1020)</f>
        <v/>
      </c>
      <c r="T1021">
        <f>IF(AND(ISNUMBER('자료_거시'!$D1003),ISNUMBER('자료_거시'!$E1003)),IFERROR('자료_거시'!$E1003-INDEX($S$21:$S$4020,MATCH(EDATE('자료_거시'!$D1003,-'설정'!$B$17),'자료_거시'!$D$3:INDEX('자료_거시'!$D$3:$D$4002,$K$6),1)),""),"")</f>
        <v/>
      </c>
      <c r="U1021">
        <f>IF(ISNUMBER(T1021),'자료_거시'!$D1003,"")</f>
        <v/>
      </c>
      <c r="V1021">
        <f>IF(ISNUMBER(U1021),IF(U1021&gt;$L$6,T1021,""),"")</f>
        <v/>
      </c>
      <c r="W1021">
        <f>IF(AND(ISNUMBER('자료_거시'!$G1003),ISNUMBER('자료_거시'!$H1003)),'자료_거시'!$H1003,"")</f>
        <v/>
      </c>
      <c r="X1021">
        <f>IF(ISNUMBER(W1021),'자료_거시'!$G1003,"")</f>
        <v/>
      </c>
      <c r="Y1021">
        <f>IF(ISNUMBER(X1021),IF(X1021&gt;$L$7,W1021,""),"")</f>
        <v/>
      </c>
      <c r="Z1021">
        <f>IF(ISNUMBER('자료_거시'!$K1003),'자료_거시'!$K1003,Z1020)</f>
        <v/>
      </c>
      <c r="AA1021">
        <f>IF(AND(ISNUMBER('자료_거시'!$J1003),ISNUMBER('자료_거시'!$K1003)),IFERROR('자료_거시'!$K1003/INDEX($Z$21:$Z$4020,MATCH(EDATE('자료_거시'!$J1003,-'설정'!$B$17),'자료_거시'!$J$3:INDEX('자료_거시'!$J$3:$J$4002,$K$8),1))-1,""),"")</f>
        <v/>
      </c>
      <c r="AB1021">
        <f>IF(ISNUMBER(AA1021),'자료_거시'!$J1003,"")</f>
        <v/>
      </c>
      <c r="AC1021">
        <f>IF(ISNUMBER(AB1021),IF(AB1021&gt;$L$8,AA1021,""),"")</f>
        <v/>
      </c>
    </row>
    <row r="1022">
      <c r="S1022">
        <f>IF(ISNUMBER('자료_거시'!$E1004),'자료_거시'!$E1004,S1021)</f>
        <v/>
      </c>
      <c r="T1022">
        <f>IF(AND(ISNUMBER('자료_거시'!$D1004),ISNUMBER('자료_거시'!$E1004)),IFERROR('자료_거시'!$E1004-INDEX($S$21:$S$4020,MATCH(EDATE('자료_거시'!$D1004,-'설정'!$B$17),'자료_거시'!$D$3:INDEX('자료_거시'!$D$3:$D$4002,$K$6),1)),""),"")</f>
        <v/>
      </c>
      <c r="U1022">
        <f>IF(ISNUMBER(T1022),'자료_거시'!$D1004,"")</f>
        <v/>
      </c>
      <c r="V1022">
        <f>IF(ISNUMBER(U1022),IF(U1022&gt;$L$6,T1022,""),"")</f>
        <v/>
      </c>
      <c r="W1022">
        <f>IF(AND(ISNUMBER('자료_거시'!$G1004),ISNUMBER('자료_거시'!$H1004)),'자료_거시'!$H1004,"")</f>
        <v/>
      </c>
      <c r="X1022">
        <f>IF(ISNUMBER(W1022),'자료_거시'!$G1004,"")</f>
        <v/>
      </c>
      <c r="Y1022">
        <f>IF(ISNUMBER(X1022),IF(X1022&gt;$L$7,W1022,""),"")</f>
        <v/>
      </c>
      <c r="Z1022">
        <f>IF(ISNUMBER('자료_거시'!$K1004),'자료_거시'!$K1004,Z1021)</f>
        <v/>
      </c>
      <c r="AA1022">
        <f>IF(AND(ISNUMBER('자료_거시'!$J1004),ISNUMBER('자료_거시'!$K1004)),IFERROR('자료_거시'!$K1004/INDEX($Z$21:$Z$4020,MATCH(EDATE('자료_거시'!$J1004,-'설정'!$B$17),'자료_거시'!$J$3:INDEX('자료_거시'!$J$3:$J$4002,$K$8),1))-1,""),"")</f>
        <v/>
      </c>
      <c r="AB1022">
        <f>IF(ISNUMBER(AA1022),'자료_거시'!$J1004,"")</f>
        <v/>
      </c>
      <c r="AC1022">
        <f>IF(ISNUMBER(AB1022),IF(AB1022&gt;$L$8,AA1022,""),"")</f>
        <v/>
      </c>
    </row>
    <row r="1023">
      <c r="S1023">
        <f>IF(ISNUMBER('자료_거시'!$E1005),'자료_거시'!$E1005,S1022)</f>
        <v/>
      </c>
      <c r="T1023">
        <f>IF(AND(ISNUMBER('자료_거시'!$D1005),ISNUMBER('자료_거시'!$E1005)),IFERROR('자료_거시'!$E1005-INDEX($S$21:$S$4020,MATCH(EDATE('자료_거시'!$D1005,-'설정'!$B$17),'자료_거시'!$D$3:INDEX('자료_거시'!$D$3:$D$4002,$K$6),1)),""),"")</f>
        <v/>
      </c>
      <c r="U1023">
        <f>IF(ISNUMBER(T1023),'자료_거시'!$D1005,"")</f>
        <v/>
      </c>
      <c r="V1023">
        <f>IF(ISNUMBER(U1023),IF(U1023&gt;$L$6,T1023,""),"")</f>
        <v/>
      </c>
      <c r="W1023">
        <f>IF(AND(ISNUMBER('자료_거시'!$G1005),ISNUMBER('자료_거시'!$H1005)),'자료_거시'!$H1005,"")</f>
        <v/>
      </c>
      <c r="X1023">
        <f>IF(ISNUMBER(W1023),'자료_거시'!$G1005,"")</f>
        <v/>
      </c>
      <c r="Y1023">
        <f>IF(ISNUMBER(X1023),IF(X1023&gt;$L$7,W1023,""),"")</f>
        <v/>
      </c>
      <c r="Z1023">
        <f>IF(ISNUMBER('자료_거시'!$K1005),'자료_거시'!$K1005,Z1022)</f>
        <v/>
      </c>
      <c r="AA1023">
        <f>IF(AND(ISNUMBER('자료_거시'!$J1005),ISNUMBER('자료_거시'!$K1005)),IFERROR('자료_거시'!$K1005/INDEX($Z$21:$Z$4020,MATCH(EDATE('자료_거시'!$J1005,-'설정'!$B$17),'자료_거시'!$J$3:INDEX('자료_거시'!$J$3:$J$4002,$K$8),1))-1,""),"")</f>
        <v/>
      </c>
      <c r="AB1023">
        <f>IF(ISNUMBER(AA1023),'자료_거시'!$J1005,"")</f>
        <v/>
      </c>
      <c r="AC1023">
        <f>IF(ISNUMBER(AB1023),IF(AB1023&gt;$L$8,AA1023,""),"")</f>
        <v/>
      </c>
    </row>
    <row r="1024">
      <c r="S1024">
        <f>IF(ISNUMBER('자료_거시'!$E1006),'자료_거시'!$E1006,S1023)</f>
        <v/>
      </c>
      <c r="T1024">
        <f>IF(AND(ISNUMBER('자료_거시'!$D1006),ISNUMBER('자료_거시'!$E1006)),IFERROR('자료_거시'!$E1006-INDEX($S$21:$S$4020,MATCH(EDATE('자료_거시'!$D1006,-'설정'!$B$17),'자료_거시'!$D$3:INDEX('자료_거시'!$D$3:$D$4002,$K$6),1)),""),"")</f>
        <v/>
      </c>
      <c r="U1024">
        <f>IF(ISNUMBER(T1024),'자료_거시'!$D1006,"")</f>
        <v/>
      </c>
      <c r="V1024">
        <f>IF(ISNUMBER(U1024),IF(U1024&gt;$L$6,T1024,""),"")</f>
        <v/>
      </c>
      <c r="W1024">
        <f>IF(AND(ISNUMBER('자료_거시'!$G1006),ISNUMBER('자료_거시'!$H1006)),'자료_거시'!$H1006,"")</f>
        <v/>
      </c>
      <c r="X1024">
        <f>IF(ISNUMBER(W1024),'자료_거시'!$G1006,"")</f>
        <v/>
      </c>
      <c r="Y1024">
        <f>IF(ISNUMBER(X1024),IF(X1024&gt;$L$7,W1024,""),"")</f>
        <v/>
      </c>
      <c r="Z1024">
        <f>IF(ISNUMBER('자료_거시'!$K1006),'자료_거시'!$K1006,Z1023)</f>
        <v/>
      </c>
      <c r="AA1024">
        <f>IF(AND(ISNUMBER('자료_거시'!$J1006),ISNUMBER('자료_거시'!$K1006)),IFERROR('자료_거시'!$K1006/INDEX($Z$21:$Z$4020,MATCH(EDATE('자료_거시'!$J1006,-'설정'!$B$17),'자료_거시'!$J$3:INDEX('자료_거시'!$J$3:$J$4002,$K$8),1))-1,""),"")</f>
        <v/>
      </c>
      <c r="AB1024">
        <f>IF(ISNUMBER(AA1024),'자료_거시'!$J1006,"")</f>
        <v/>
      </c>
      <c r="AC1024">
        <f>IF(ISNUMBER(AB1024),IF(AB1024&gt;$L$8,AA1024,""),"")</f>
        <v/>
      </c>
    </row>
    <row r="1025">
      <c r="S1025">
        <f>IF(ISNUMBER('자료_거시'!$E1007),'자료_거시'!$E1007,S1024)</f>
        <v/>
      </c>
      <c r="T1025">
        <f>IF(AND(ISNUMBER('자료_거시'!$D1007),ISNUMBER('자료_거시'!$E1007)),IFERROR('자료_거시'!$E1007-INDEX($S$21:$S$4020,MATCH(EDATE('자료_거시'!$D1007,-'설정'!$B$17),'자료_거시'!$D$3:INDEX('자료_거시'!$D$3:$D$4002,$K$6),1)),""),"")</f>
        <v/>
      </c>
      <c r="U1025">
        <f>IF(ISNUMBER(T1025),'자료_거시'!$D1007,"")</f>
        <v/>
      </c>
      <c r="V1025">
        <f>IF(ISNUMBER(U1025),IF(U1025&gt;$L$6,T1025,""),"")</f>
        <v/>
      </c>
      <c r="W1025">
        <f>IF(AND(ISNUMBER('자료_거시'!$G1007),ISNUMBER('자료_거시'!$H1007)),'자료_거시'!$H1007,"")</f>
        <v/>
      </c>
      <c r="X1025">
        <f>IF(ISNUMBER(W1025),'자료_거시'!$G1007,"")</f>
        <v/>
      </c>
      <c r="Y1025">
        <f>IF(ISNUMBER(X1025),IF(X1025&gt;$L$7,W1025,""),"")</f>
        <v/>
      </c>
      <c r="Z1025">
        <f>IF(ISNUMBER('자료_거시'!$K1007),'자료_거시'!$K1007,Z1024)</f>
        <v/>
      </c>
      <c r="AA1025">
        <f>IF(AND(ISNUMBER('자료_거시'!$J1007),ISNUMBER('자료_거시'!$K1007)),IFERROR('자료_거시'!$K1007/INDEX($Z$21:$Z$4020,MATCH(EDATE('자료_거시'!$J1007,-'설정'!$B$17),'자료_거시'!$J$3:INDEX('자료_거시'!$J$3:$J$4002,$K$8),1))-1,""),"")</f>
        <v/>
      </c>
      <c r="AB1025">
        <f>IF(ISNUMBER(AA1025),'자료_거시'!$J1007,"")</f>
        <v/>
      </c>
      <c r="AC1025">
        <f>IF(ISNUMBER(AB1025),IF(AB1025&gt;$L$8,AA1025,""),"")</f>
        <v/>
      </c>
    </row>
    <row r="1026">
      <c r="S1026">
        <f>IF(ISNUMBER('자료_거시'!$E1008),'자료_거시'!$E1008,S1025)</f>
        <v/>
      </c>
      <c r="T1026">
        <f>IF(AND(ISNUMBER('자료_거시'!$D1008),ISNUMBER('자료_거시'!$E1008)),IFERROR('자료_거시'!$E1008-INDEX($S$21:$S$4020,MATCH(EDATE('자료_거시'!$D1008,-'설정'!$B$17),'자료_거시'!$D$3:INDEX('자료_거시'!$D$3:$D$4002,$K$6),1)),""),"")</f>
        <v/>
      </c>
      <c r="U1026">
        <f>IF(ISNUMBER(T1026),'자료_거시'!$D1008,"")</f>
        <v/>
      </c>
      <c r="V1026">
        <f>IF(ISNUMBER(U1026),IF(U1026&gt;$L$6,T1026,""),"")</f>
        <v/>
      </c>
      <c r="W1026">
        <f>IF(AND(ISNUMBER('자료_거시'!$G1008),ISNUMBER('자료_거시'!$H1008)),'자료_거시'!$H1008,"")</f>
        <v/>
      </c>
      <c r="X1026">
        <f>IF(ISNUMBER(W1026),'자료_거시'!$G1008,"")</f>
        <v/>
      </c>
      <c r="Y1026">
        <f>IF(ISNUMBER(X1026),IF(X1026&gt;$L$7,W1026,""),"")</f>
        <v/>
      </c>
      <c r="Z1026">
        <f>IF(ISNUMBER('자료_거시'!$K1008),'자료_거시'!$K1008,Z1025)</f>
        <v/>
      </c>
      <c r="AA1026">
        <f>IF(AND(ISNUMBER('자료_거시'!$J1008),ISNUMBER('자료_거시'!$K1008)),IFERROR('자료_거시'!$K1008/INDEX($Z$21:$Z$4020,MATCH(EDATE('자료_거시'!$J1008,-'설정'!$B$17),'자료_거시'!$J$3:INDEX('자료_거시'!$J$3:$J$4002,$K$8),1))-1,""),"")</f>
        <v/>
      </c>
      <c r="AB1026">
        <f>IF(ISNUMBER(AA1026),'자료_거시'!$J1008,"")</f>
        <v/>
      </c>
      <c r="AC1026">
        <f>IF(ISNUMBER(AB1026),IF(AB1026&gt;$L$8,AA1026,""),"")</f>
        <v/>
      </c>
    </row>
    <row r="1027">
      <c r="S1027">
        <f>IF(ISNUMBER('자료_거시'!$E1009),'자료_거시'!$E1009,S1026)</f>
        <v/>
      </c>
      <c r="T1027">
        <f>IF(AND(ISNUMBER('자료_거시'!$D1009),ISNUMBER('자료_거시'!$E1009)),IFERROR('자료_거시'!$E1009-INDEX($S$21:$S$4020,MATCH(EDATE('자료_거시'!$D1009,-'설정'!$B$17),'자료_거시'!$D$3:INDEX('자료_거시'!$D$3:$D$4002,$K$6),1)),""),"")</f>
        <v/>
      </c>
      <c r="U1027">
        <f>IF(ISNUMBER(T1027),'자료_거시'!$D1009,"")</f>
        <v/>
      </c>
      <c r="V1027">
        <f>IF(ISNUMBER(U1027),IF(U1027&gt;$L$6,T1027,""),"")</f>
        <v/>
      </c>
      <c r="W1027">
        <f>IF(AND(ISNUMBER('자료_거시'!$G1009),ISNUMBER('자료_거시'!$H1009)),'자료_거시'!$H1009,"")</f>
        <v/>
      </c>
      <c r="X1027">
        <f>IF(ISNUMBER(W1027),'자료_거시'!$G1009,"")</f>
        <v/>
      </c>
      <c r="Y1027">
        <f>IF(ISNUMBER(X1027),IF(X1027&gt;$L$7,W1027,""),"")</f>
        <v/>
      </c>
      <c r="Z1027">
        <f>IF(ISNUMBER('자료_거시'!$K1009),'자료_거시'!$K1009,Z1026)</f>
        <v/>
      </c>
      <c r="AA1027">
        <f>IF(AND(ISNUMBER('자료_거시'!$J1009),ISNUMBER('자료_거시'!$K1009)),IFERROR('자료_거시'!$K1009/INDEX($Z$21:$Z$4020,MATCH(EDATE('자료_거시'!$J1009,-'설정'!$B$17),'자료_거시'!$J$3:INDEX('자료_거시'!$J$3:$J$4002,$K$8),1))-1,""),"")</f>
        <v/>
      </c>
      <c r="AB1027">
        <f>IF(ISNUMBER(AA1027),'자료_거시'!$J1009,"")</f>
        <v/>
      </c>
      <c r="AC1027">
        <f>IF(ISNUMBER(AB1027),IF(AB1027&gt;$L$8,AA1027,""),"")</f>
        <v/>
      </c>
    </row>
    <row r="1028">
      <c r="S1028">
        <f>IF(ISNUMBER('자료_거시'!$E1010),'자료_거시'!$E1010,S1027)</f>
        <v/>
      </c>
      <c r="T1028">
        <f>IF(AND(ISNUMBER('자료_거시'!$D1010),ISNUMBER('자료_거시'!$E1010)),IFERROR('자료_거시'!$E1010-INDEX($S$21:$S$4020,MATCH(EDATE('자료_거시'!$D1010,-'설정'!$B$17),'자료_거시'!$D$3:INDEX('자료_거시'!$D$3:$D$4002,$K$6),1)),""),"")</f>
        <v/>
      </c>
      <c r="U1028">
        <f>IF(ISNUMBER(T1028),'자료_거시'!$D1010,"")</f>
        <v/>
      </c>
      <c r="V1028">
        <f>IF(ISNUMBER(U1028),IF(U1028&gt;$L$6,T1028,""),"")</f>
        <v/>
      </c>
      <c r="W1028">
        <f>IF(AND(ISNUMBER('자료_거시'!$G1010),ISNUMBER('자료_거시'!$H1010)),'자료_거시'!$H1010,"")</f>
        <v/>
      </c>
      <c r="X1028">
        <f>IF(ISNUMBER(W1028),'자료_거시'!$G1010,"")</f>
        <v/>
      </c>
      <c r="Y1028">
        <f>IF(ISNUMBER(X1028),IF(X1028&gt;$L$7,W1028,""),"")</f>
        <v/>
      </c>
      <c r="Z1028">
        <f>IF(ISNUMBER('자료_거시'!$K1010),'자료_거시'!$K1010,Z1027)</f>
        <v/>
      </c>
      <c r="AA1028">
        <f>IF(AND(ISNUMBER('자료_거시'!$J1010),ISNUMBER('자료_거시'!$K1010)),IFERROR('자료_거시'!$K1010/INDEX($Z$21:$Z$4020,MATCH(EDATE('자료_거시'!$J1010,-'설정'!$B$17),'자료_거시'!$J$3:INDEX('자료_거시'!$J$3:$J$4002,$K$8),1))-1,""),"")</f>
        <v/>
      </c>
      <c r="AB1028">
        <f>IF(ISNUMBER(AA1028),'자료_거시'!$J1010,"")</f>
        <v/>
      </c>
      <c r="AC1028">
        <f>IF(ISNUMBER(AB1028),IF(AB1028&gt;$L$8,AA1028,""),"")</f>
        <v/>
      </c>
    </row>
    <row r="1029">
      <c r="S1029">
        <f>IF(ISNUMBER('자료_거시'!$E1011),'자료_거시'!$E1011,S1028)</f>
        <v/>
      </c>
      <c r="T1029">
        <f>IF(AND(ISNUMBER('자료_거시'!$D1011),ISNUMBER('자료_거시'!$E1011)),IFERROR('자료_거시'!$E1011-INDEX($S$21:$S$4020,MATCH(EDATE('자료_거시'!$D1011,-'설정'!$B$17),'자료_거시'!$D$3:INDEX('자료_거시'!$D$3:$D$4002,$K$6),1)),""),"")</f>
        <v/>
      </c>
      <c r="U1029">
        <f>IF(ISNUMBER(T1029),'자료_거시'!$D1011,"")</f>
        <v/>
      </c>
      <c r="V1029">
        <f>IF(ISNUMBER(U1029),IF(U1029&gt;$L$6,T1029,""),"")</f>
        <v/>
      </c>
      <c r="W1029">
        <f>IF(AND(ISNUMBER('자료_거시'!$G1011),ISNUMBER('자료_거시'!$H1011)),'자료_거시'!$H1011,"")</f>
        <v/>
      </c>
      <c r="X1029">
        <f>IF(ISNUMBER(W1029),'자료_거시'!$G1011,"")</f>
        <v/>
      </c>
      <c r="Y1029">
        <f>IF(ISNUMBER(X1029),IF(X1029&gt;$L$7,W1029,""),"")</f>
        <v/>
      </c>
      <c r="Z1029">
        <f>IF(ISNUMBER('자료_거시'!$K1011),'자료_거시'!$K1011,Z1028)</f>
        <v/>
      </c>
      <c r="AA1029">
        <f>IF(AND(ISNUMBER('자료_거시'!$J1011),ISNUMBER('자료_거시'!$K1011)),IFERROR('자료_거시'!$K1011/INDEX($Z$21:$Z$4020,MATCH(EDATE('자료_거시'!$J1011,-'설정'!$B$17),'자료_거시'!$J$3:INDEX('자료_거시'!$J$3:$J$4002,$K$8),1))-1,""),"")</f>
        <v/>
      </c>
      <c r="AB1029">
        <f>IF(ISNUMBER(AA1029),'자료_거시'!$J1011,"")</f>
        <v/>
      </c>
      <c r="AC1029">
        <f>IF(ISNUMBER(AB1029),IF(AB1029&gt;$L$8,AA1029,""),"")</f>
        <v/>
      </c>
    </row>
    <row r="1030">
      <c r="S1030">
        <f>IF(ISNUMBER('자료_거시'!$E1012),'자료_거시'!$E1012,S1029)</f>
        <v/>
      </c>
      <c r="T1030">
        <f>IF(AND(ISNUMBER('자료_거시'!$D1012),ISNUMBER('자료_거시'!$E1012)),IFERROR('자료_거시'!$E1012-INDEX($S$21:$S$4020,MATCH(EDATE('자료_거시'!$D1012,-'설정'!$B$17),'자료_거시'!$D$3:INDEX('자료_거시'!$D$3:$D$4002,$K$6),1)),""),"")</f>
        <v/>
      </c>
      <c r="U1030">
        <f>IF(ISNUMBER(T1030),'자료_거시'!$D1012,"")</f>
        <v/>
      </c>
      <c r="V1030">
        <f>IF(ISNUMBER(U1030),IF(U1030&gt;$L$6,T1030,""),"")</f>
        <v/>
      </c>
      <c r="W1030">
        <f>IF(AND(ISNUMBER('자료_거시'!$G1012),ISNUMBER('자료_거시'!$H1012)),'자료_거시'!$H1012,"")</f>
        <v/>
      </c>
      <c r="X1030">
        <f>IF(ISNUMBER(W1030),'자료_거시'!$G1012,"")</f>
        <v/>
      </c>
      <c r="Y1030">
        <f>IF(ISNUMBER(X1030),IF(X1030&gt;$L$7,W1030,""),"")</f>
        <v/>
      </c>
      <c r="Z1030">
        <f>IF(ISNUMBER('자료_거시'!$K1012),'자료_거시'!$K1012,Z1029)</f>
        <v/>
      </c>
      <c r="AA1030">
        <f>IF(AND(ISNUMBER('자료_거시'!$J1012),ISNUMBER('자료_거시'!$K1012)),IFERROR('자료_거시'!$K1012/INDEX($Z$21:$Z$4020,MATCH(EDATE('자료_거시'!$J1012,-'설정'!$B$17),'자료_거시'!$J$3:INDEX('자료_거시'!$J$3:$J$4002,$K$8),1))-1,""),"")</f>
        <v/>
      </c>
      <c r="AB1030">
        <f>IF(ISNUMBER(AA1030),'자료_거시'!$J1012,"")</f>
        <v/>
      </c>
      <c r="AC1030">
        <f>IF(ISNUMBER(AB1030),IF(AB1030&gt;$L$8,AA1030,""),"")</f>
        <v/>
      </c>
    </row>
    <row r="1031">
      <c r="S1031">
        <f>IF(ISNUMBER('자료_거시'!$E1013),'자료_거시'!$E1013,S1030)</f>
        <v/>
      </c>
      <c r="T1031">
        <f>IF(AND(ISNUMBER('자료_거시'!$D1013),ISNUMBER('자료_거시'!$E1013)),IFERROR('자료_거시'!$E1013-INDEX($S$21:$S$4020,MATCH(EDATE('자료_거시'!$D1013,-'설정'!$B$17),'자료_거시'!$D$3:INDEX('자료_거시'!$D$3:$D$4002,$K$6),1)),""),"")</f>
        <v/>
      </c>
      <c r="U1031">
        <f>IF(ISNUMBER(T1031),'자료_거시'!$D1013,"")</f>
        <v/>
      </c>
      <c r="V1031">
        <f>IF(ISNUMBER(U1031),IF(U1031&gt;$L$6,T1031,""),"")</f>
        <v/>
      </c>
      <c r="W1031">
        <f>IF(AND(ISNUMBER('자료_거시'!$G1013),ISNUMBER('자료_거시'!$H1013)),'자료_거시'!$H1013,"")</f>
        <v/>
      </c>
      <c r="X1031">
        <f>IF(ISNUMBER(W1031),'자료_거시'!$G1013,"")</f>
        <v/>
      </c>
      <c r="Y1031">
        <f>IF(ISNUMBER(X1031),IF(X1031&gt;$L$7,W1031,""),"")</f>
        <v/>
      </c>
      <c r="Z1031">
        <f>IF(ISNUMBER('자료_거시'!$K1013),'자료_거시'!$K1013,Z1030)</f>
        <v/>
      </c>
      <c r="AA1031">
        <f>IF(AND(ISNUMBER('자료_거시'!$J1013),ISNUMBER('자료_거시'!$K1013)),IFERROR('자료_거시'!$K1013/INDEX($Z$21:$Z$4020,MATCH(EDATE('자료_거시'!$J1013,-'설정'!$B$17),'자료_거시'!$J$3:INDEX('자료_거시'!$J$3:$J$4002,$K$8),1))-1,""),"")</f>
        <v/>
      </c>
      <c r="AB1031">
        <f>IF(ISNUMBER(AA1031),'자료_거시'!$J1013,"")</f>
        <v/>
      </c>
      <c r="AC1031">
        <f>IF(ISNUMBER(AB1031),IF(AB1031&gt;$L$8,AA1031,""),"")</f>
        <v/>
      </c>
    </row>
    <row r="1032">
      <c r="S1032">
        <f>IF(ISNUMBER('자료_거시'!$E1014),'자료_거시'!$E1014,S1031)</f>
        <v/>
      </c>
      <c r="T1032">
        <f>IF(AND(ISNUMBER('자료_거시'!$D1014),ISNUMBER('자료_거시'!$E1014)),IFERROR('자료_거시'!$E1014-INDEX($S$21:$S$4020,MATCH(EDATE('자료_거시'!$D1014,-'설정'!$B$17),'자료_거시'!$D$3:INDEX('자료_거시'!$D$3:$D$4002,$K$6),1)),""),"")</f>
        <v/>
      </c>
      <c r="U1032">
        <f>IF(ISNUMBER(T1032),'자료_거시'!$D1014,"")</f>
        <v/>
      </c>
      <c r="V1032">
        <f>IF(ISNUMBER(U1032),IF(U1032&gt;$L$6,T1032,""),"")</f>
        <v/>
      </c>
      <c r="W1032">
        <f>IF(AND(ISNUMBER('자료_거시'!$G1014),ISNUMBER('자료_거시'!$H1014)),'자료_거시'!$H1014,"")</f>
        <v/>
      </c>
      <c r="X1032">
        <f>IF(ISNUMBER(W1032),'자료_거시'!$G1014,"")</f>
        <v/>
      </c>
      <c r="Y1032">
        <f>IF(ISNUMBER(X1032),IF(X1032&gt;$L$7,W1032,""),"")</f>
        <v/>
      </c>
      <c r="Z1032">
        <f>IF(ISNUMBER('자료_거시'!$K1014),'자료_거시'!$K1014,Z1031)</f>
        <v/>
      </c>
      <c r="AA1032">
        <f>IF(AND(ISNUMBER('자료_거시'!$J1014),ISNUMBER('자료_거시'!$K1014)),IFERROR('자료_거시'!$K1014/INDEX($Z$21:$Z$4020,MATCH(EDATE('자료_거시'!$J1014,-'설정'!$B$17),'자료_거시'!$J$3:INDEX('자료_거시'!$J$3:$J$4002,$K$8),1))-1,""),"")</f>
        <v/>
      </c>
      <c r="AB1032">
        <f>IF(ISNUMBER(AA1032),'자료_거시'!$J1014,"")</f>
        <v/>
      </c>
      <c r="AC1032">
        <f>IF(ISNUMBER(AB1032),IF(AB1032&gt;$L$8,AA1032,""),"")</f>
        <v/>
      </c>
    </row>
    <row r="1033">
      <c r="S1033">
        <f>IF(ISNUMBER('자료_거시'!$E1015),'자료_거시'!$E1015,S1032)</f>
        <v/>
      </c>
      <c r="T1033">
        <f>IF(AND(ISNUMBER('자료_거시'!$D1015),ISNUMBER('자료_거시'!$E1015)),IFERROR('자료_거시'!$E1015-INDEX($S$21:$S$4020,MATCH(EDATE('자료_거시'!$D1015,-'설정'!$B$17),'자료_거시'!$D$3:INDEX('자료_거시'!$D$3:$D$4002,$K$6),1)),""),"")</f>
        <v/>
      </c>
      <c r="U1033">
        <f>IF(ISNUMBER(T1033),'자료_거시'!$D1015,"")</f>
        <v/>
      </c>
      <c r="V1033">
        <f>IF(ISNUMBER(U1033),IF(U1033&gt;$L$6,T1033,""),"")</f>
        <v/>
      </c>
      <c r="W1033">
        <f>IF(AND(ISNUMBER('자료_거시'!$G1015),ISNUMBER('자료_거시'!$H1015)),'자료_거시'!$H1015,"")</f>
        <v/>
      </c>
      <c r="X1033">
        <f>IF(ISNUMBER(W1033),'자료_거시'!$G1015,"")</f>
        <v/>
      </c>
      <c r="Y1033">
        <f>IF(ISNUMBER(X1033),IF(X1033&gt;$L$7,W1033,""),"")</f>
        <v/>
      </c>
      <c r="Z1033">
        <f>IF(ISNUMBER('자료_거시'!$K1015),'자료_거시'!$K1015,Z1032)</f>
        <v/>
      </c>
      <c r="AA1033">
        <f>IF(AND(ISNUMBER('자료_거시'!$J1015),ISNUMBER('자료_거시'!$K1015)),IFERROR('자료_거시'!$K1015/INDEX($Z$21:$Z$4020,MATCH(EDATE('자료_거시'!$J1015,-'설정'!$B$17),'자료_거시'!$J$3:INDEX('자료_거시'!$J$3:$J$4002,$K$8),1))-1,""),"")</f>
        <v/>
      </c>
      <c r="AB1033">
        <f>IF(ISNUMBER(AA1033),'자료_거시'!$J1015,"")</f>
        <v/>
      </c>
      <c r="AC1033">
        <f>IF(ISNUMBER(AB1033),IF(AB1033&gt;$L$8,AA1033,""),"")</f>
        <v/>
      </c>
    </row>
    <row r="1034">
      <c r="S1034">
        <f>IF(ISNUMBER('자료_거시'!$E1016),'자료_거시'!$E1016,S1033)</f>
        <v/>
      </c>
      <c r="T1034">
        <f>IF(AND(ISNUMBER('자료_거시'!$D1016),ISNUMBER('자료_거시'!$E1016)),IFERROR('자료_거시'!$E1016-INDEX($S$21:$S$4020,MATCH(EDATE('자료_거시'!$D1016,-'설정'!$B$17),'자료_거시'!$D$3:INDEX('자료_거시'!$D$3:$D$4002,$K$6),1)),""),"")</f>
        <v/>
      </c>
      <c r="U1034">
        <f>IF(ISNUMBER(T1034),'자료_거시'!$D1016,"")</f>
        <v/>
      </c>
      <c r="V1034">
        <f>IF(ISNUMBER(U1034),IF(U1034&gt;$L$6,T1034,""),"")</f>
        <v/>
      </c>
      <c r="W1034">
        <f>IF(AND(ISNUMBER('자료_거시'!$G1016),ISNUMBER('자료_거시'!$H1016)),'자료_거시'!$H1016,"")</f>
        <v/>
      </c>
      <c r="X1034">
        <f>IF(ISNUMBER(W1034),'자료_거시'!$G1016,"")</f>
        <v/>
      </c>
      <c r="Y1034">
        <f>IF(ISNUMBER(X1034),IF(X1034&gt;$L$7,W1034,""),"")</f>
        <v/>
      </c>
      <c r="Z1034">
        <f>IF(ISNUMBER('자료_거시'!$K1016),'자료_거시'!$K1016,Z1033)</f>
        <v/>
      </c>
      <c r="AA1034">
        <f>IF(AND(ISNUMBER('자료_거시'!$J1016),ISNUMBER('자료_거시'!$K1016)),IFERROR('자료_거시'!$K1016/INDEX($Z$21:$Z$4020,MATCH(EDATE('자료_거시'!$J1016,-'설정'!$B$17),'자료_거시'!$J$3:INDEX('자료_거시'!$J$3:$J$4002,$K$8),1))-1,""),"")</f>
        <v/>
      </c>
      <c r="AB1034">
        <f>IF(ISNUMBER(AA1034),'자료_거시'!$J1016,"")</f>
        <v/>
      </c>
      <c r="AC1034">
        <f>IF(ISNUMBER(AB1034),IF(AB1034&gt;$L$8,AA1034,""),"")</f>
        <v/>
      </c>
    </row>
    <row r="1035">
      <c r="S1035">
        <f>IF(ISNUMBER('자료_거시'!$E1017),'자료_거시'!$E1017,S1034)</f>
        <v/>
      </c>
      <c r="T1035">
        <f>IF(AND(ISNUMBER('자료_거시'!$D1017),ISNUMBER('자료_거시'!$E1017)),IFERROR('자료_거시'!$E1017-INDEX($S$21:$S$4020,MATCH(EDATE('자료_거시'!$D1017,-'설정'!$B$17),'자료_거시'!$D$3:INDEX('자료_거시'!$D$3:$D$4002,$K$6),1)),""),"")</f>
        <v/>
      </c>
      <c r="U1035">
        <f>IF(ISNUMBER(T1035),'자료_거시'!$D1017,"")</f>
        <v/>
      </c>
      <c r="V1035">
        <f>IF(ISNUMBER(U1035),IF(U1035&gt;$L$6,T1035,""),"")</f>
        <v/>
      </c>
      <c r="W1035">
        <f>IF(AND(ISNUMBER('자료_거시'!$G1017),ISNUMBER('자료_거시'!$H1017)),'자료_거시'!$H1017,"")</f>
        <v/>
      </c>
      <c r="X1035">
        <f>IF(ISNUMBER(W1035),'자료_거시'!$G1017,"")</f>
        <v/>
      </c>
      <c r="Y1035">
        <f>IF(ISNUMBER(X1035),IF(X1035&gt;$L$7,W1035,""),"")</f>
        <v/>
      </c>
      <c r="Z1035">
        <f>IF(ISNUMBER('자료_거시'!$K1017),'자료_거시'!$K1017,Z1034)</f>
        <v/>
      </c>
      <c r="AA1035">
        <f>IF(AND(ISNUMBER('자료_거시'!$J1017),ISNUMBER('자료_거시'!$K1017)),IFERROR('자료_거시'!$K1017/INDEX($Z$21:$Z$4020,MATCH(EDATE('자료_거시'!$J1017,-'설정'!$B$17),'자료_거시'!$J$3:INDEX('자료_거시'!$J$3:$J$4002,$K$8),1))-1,""),"")</f>
        <v/>
      </c>
      <c r="AB1035">
        <f>IF(ISNUMBER(AA1035),'자료_거시'!$J1017,"")</f>
        <v/>
      </c>
      <c r="AC1035">
        <f>IF(ISNUMBER(AB1035),IF(AB1035&gt;$L$8,AA1035,""),"")</f>
        <v/>
      </c>
    </row>
    <row r="1036">
      <c r="S1036">
        <f>IF(ISNUMBER('자료_거시'!$E1018),'자료_거시'!$E1018,S1035)</f>
        <v/>
      </c>
      <c r="T1036">
        <f>IF(AND(ISNUMBER('자료_거시'!$D1018),ISNUMBER('자료_거시'!$E1018)),IFERROR('자료_거시'!$E1018-INDEX($S$21:$S$4020,MATCH(EDATE('자료_거시'!$D1018,-'설정'!$B$17),'자료_거시'!$D$3:INDEX('자료_거시'!$D$3:$D$4002,$K$6),1)),""),"")</f>
        <v/>
      </c>
      <c r="U1036">
        <f>IF(ISNUMBER(T1036),'자료_거시'!$D1018,"")</f>
        <v/>
      </c>
      <c r="V1036">
        <f>IF(ISNUMBER(U1036),IF(U1036&gt;$L$6,T1036,""),"")</f>
        <v/>
      </c>
      <c r="W1036">
        <f>IF(AND(ISNUMBER('자료_거시'!$G1018),ISNUMBER('자료_거시'!$H1018)),'자료_거시'!$H1018,"")</f>
        <v/>
      </c>
      <c r="X1036">
        <f>IF(ISNUMBER(W1036),'자료_거시'!$G1018,"")</f>
        <v/>
      </c>
      <c r="Y1036">
        <f>IF(ISNUMBER(X1036),IF(X1036&gt;$L$7,W1036,""),"")</f>
        <v/>
      </c>
      <c r="Z1036">
        <f>IF(ISNUMBER('자료_거시'!$K1018),'자료_거시'!$K1018,Z1035)</f>
        <v/>
      </c>
      <c r="AA1036">
        <f>IF(AND(ISNUMBER('자료_거시'!$J1018),ISNUMBER('자료_거시'!$K1018)),IFERROR('자료_거시'!$K1018/INDEX($Z$21:$Z$4020,MATCH(EDATE('자료_거시'!$J1018,-'설정'!$B$17),'자료_거시'!$J$3:INDEX('자료_거시'!$J$3:$J$4002,$K$8),1))-1,""),"")</f>
        <v/>
      </c>
      <c r="AB1036">
        <f>IF(ISNUMBER(AA1036),'자료_거시'!$J1018,"")</f>
        <v/>
      </c>
      <c r="AC1036">
        <f>IF(ISNUMBER(AB1036),IF(AB1036&gt;$L$8,AA1036,""),"")</f>
        <v/>
      </c>
    </row>
    <row r="1037">
      <c r="S1037">
        <f>IF(ISNUMBER('자료_거시'!$E1019),'자료_거시'!$E1019,S1036)</f>
        <v/>
      </c>
      <c r="T1037">
        <f>IF(AND(ISNUMBER('자료_거시'!$D1019),ISNUMBER('자료_거시'!$E1019)),IFERROR('자료_거시'!$E1019-INDEX($S$21:$S$4020,MATCH(EDATE('자료_거시'!$D1019,-'설정'!$B$17),'자료_거시'!$D$3:INDEX('자료_거시'!$D$3:$D$4002,$K$6),1)),""),"")</f>
        <v/>
      </c>
      <c r="U1037">
        <f>IF(ISNUMBER(T1037),'자료_거시'!$D1019,"")</f>
        <v/>
      </c>
      <c r="V1037">
        <f>IF(ISNUMBER(U1037),IF(U1037&gt;$L$6,T1037,""),"")</f>
        <v/>
      </c>
      <c r="W1037">
        <f>IF(AND(ISNUMBER('자료_거시'!$G1019),ISNUMBER('자료_거시'!$H1019)),'자료_거시'!$H1019,"")</f>
        <v/>
      </c>
      <c r="X1037">
        <f>IF(ISNUMBER(W1037),'자료_거시'!$G1019,"")</f>
        <v/>
      </c>
      <c r="Y1037">
        <f>IF(ISNUMBER(X1037),IF(X1037&gt;$L$7,W1037,""),"")</f>
        <v/>
      </c>
      <c r="Z1037">
        <f>IF(ISNUMBER('자료_거시'!$K1019),'자료_거시'!$K1019,Z1036)</f>
        <v/>
      </c>
      <c r="AA1037">
        <f>IF(AND(ISNUMBER('자료_거시'!$J1019),ISNUMBER('자료_거시'!$K1019)),IFERROR('자료_거시'!$K1019/INDEX($Z$21:$Z$4020,MATCH(EDATE('자료_거시'!$J1019,-'설정'!$B$17),'자료_거시'!$J$3:INDEX('자료_거시'!$J$3:$J$4002,$K$8),1))-1,""),"")</f>
        <v/>
      </c>
      <c r="AB1037">
        <f>IF(ISNUMBER(AA1037),'자료_거시'!$J1019,"")</f>
        <v/>
      </c>
      <c r="AC1037">
        <f>IF(ISNUMBER(AB1037),IF(AB1037&gt;$L$8,AA1037,""),"")</f>
        <v/>
      </c>
    </row>
    <row r="1038">
      <c r="S1038">
        <f>IF(ISNUMBER('자료_거시'!$E1020),'자료_거시'!$E1020,S1037)</f>
        <v/>
      </c>
      <c r="T1038">
        <f>IF(AND(ISNUMBER('자료_거시'!$D1020),ISNUMBER('자료_거시'!$E1020)),IFERROR('자료_거시'!$E1020-INDEX($S$21:$S$4020,MATCH(EDATE('자료_거시'!$D1020,-'설정'!$B$17),'자료_거시'!$D$3:INDEX('자료_거시'!$D$3:$D$4002,$K$6),1)),""),"")</f>
        <v/>
      </c>
      <c r="U1038">
        <f>IF(ISNUMBER(T1038),'자료_거시'!$D1020,"")</f>
        <v/>
      </c>
      <c r="V1038">
        <f>IF(ISNUMBER(U1038),IF(U1038&gt;$L$6,T1038,""),"")</f>
        <v/>
      </c>
      <c r="W1038">
        <f>IF(AND(ISNUMBER('자료_거시'!$G1020),ISNUMBER('자료_거시'!$H1020)),'자료_거시'!$H1020,"")</f>
        <v/>
      </c>
      <c r="X1038">
        <f>IF(ISNUMBER(W1038),'자료_거시'!$G1020,"")</f>
        <v/>
      </c>
      <c r="Y1038">
        <f>IF(ISNUMBER(X1038),IF(X1038&gt;$L$7,W1038,""),"")</f>
        <v/>
      </c>
      <c r="Z1038">
        <f>IF(ISNUMBER('자료_거시'!$K1020),'자료_거시'!$K1020,Z1037)</f>
        <v/>
      </c>
      <c r="AA1038">
        <f>IF(AND(ISNUMBER('자료_거시'!$J1020),ISNUMBER('자료_거시'!$K1020)),IFERROR('자료_거시'!$K1020/INDEX($Z$21:$Z$4020,MATCH(EDATE('자료_거시'!$J1020,-'설정'!$B$17),'자료_거시'!$J$3:INDEX('자료_거시'!$J$3:$J$4002,$K$8),1))-1,""),"")</f>
        <v/>
      </c>
      <c r="AB1038">
        <f>IF(ISNUMBER(AA1038),'자료_거시'!$J1020,"")</f>
        <v/>
      </c>
      <c r="AC1038">
        <f>IF(ISNUMBER(AB1038),IF(AB1038&gt;$L$8,AA1038,""),"")</f>
        <v/>
      </c>
    </row>
    <row r="1039">
      <c r="S1039">
        <f>IF(ISNUMBER('자료_거시'!$E1021),'자료_거시'!$E1021,S1038)</f>
        <v/>
      </c>
      <c r="T1039">
        <f>IF(AND(ISNUMBER('자료_거시'!$D1021),ISNUMBER('자료_거시'!$E1021)),IFERROR('자료_거시'!$E1021-INDEX($S$21:$S$4020,MATCH(EDATE('자료_거시'!$D1021,-'설정'!$B$17),'자료_거시'!$D$3:INDEX('자료_거시'!$D$3:$D$4002,$K$6),1)),""),"")</f>
        <v/>
      </c>
      <c r="U1039">
        <f>IF(ISNUMBER(T1039),'자료_거시'!$D1021,"")</f>
        <v/>
      </c>
      <c r="V1039">
        <f>IF(ISNUMBER(U1039),IF(U1039&gt;$L$6,T1039,""),"")</f>
        <v/>
      </c>
      <c r="W1039">
        <f>IF(AND(ISNUMBER('자료_거시'!$G1021),ISNUMBER('자료_거시'!$H1021)),'자료_거시'!$H1021,"")</f>
        <v/>
      </c>
      <c r="X1039">
        <f>IF(ISNUMBER(W1039),'자료_거시'!$G1021,"")</f>
        <v/>
      </c>
      <c r="Y1039">
        <f>IF(ISNUMBER(X1039),IF(X1039&gt;$L$7,W1039,""),"")</f>
        <v/>
      </c>
      <c r="Z1039">
        <f>IF(ISNUMBER('자료_거시'!$K1021),'자료_거시'!$K1021,Z1038)</f>
        <v/>
      </c>
      <c r="AA1039">
        <f>IF(AND(ISNUMBER('자료_거시'!$J1021),ISNUMBER('자료_거시'!$K1021)),IFERROR('자료_거시'!$K1021/INDEX($Z$21:$Z$4020,MATCH(EDATE('자료_거시'!$J1021,-'설정'!$B$17),'자료_거시'!$J$3:INDEX('자료_거시'!$J$3:$J$4002,$K$8),1))-1,""),"")</f>
        <v/>
      </c>
      <c r="AB1039">
        <f>IF(ISNUMBER(AA1039),'자료_거시'!$J1021,"")</f>
        <v/>
      </c>
      <c r="AC1039">
        <f>IF(ISNUMBER(AB1039),IF(AB1039&gt;$L$8,AA1039,""),"")</f>
        <v/>
      </c>
    </row>
    <row r="1040">
      <c r="S1040">
        <f>IF(ISNUMBER('자료_거시'!$E1022),'자료_거시'!$E1022,S1039)</f>
        <v/>
      </c>
      <c r="T1040">
        <f>IF(AND(ISNUMBER('자료_거시'!$D1022),ISNUMBER('자료_거시'!$E1022)),IFERROR('자료_거시'!$E1022-INDEX($S$21:$S$4020,MATCH(EDATE('자료_거시'!$D1022,-'설정'!$B$17),'자료_거시'!$D$3:INDEX('자료_거시'!$D$3:$D$4002,$K$6),1)),""),"")</f>
        <v/>
      </c>
      <c r="U1040">
        <f>IF(ISNUMBER(T1040),'자료_거시'!$D1022,"")</f>
        <v/>
      </c>
      <c r="V1040">
        <f>IF(ISNUMBER(U1040),IF(U1040&gt;$L$6,T1040,""),"")</f>
        <v/>
      </c>
      <c r="W1040">
        <f>IF(AND(ISNUMBER('자료_거시'!$G1022),ISNUMBER('자료_거시'!$H1022)),'자료_거시'!$H1022,"")</f>
        <v/>
      </c>
      <c r="X1040">
        <f>IF(ISNUMBER(W1040),'자료_거시'!$G1022,"")</f>
        <v/>
      </c>
      <c r="Y1040">
        <f>IF(ISNUMBER(X1040),IF(X1040&gt;$L$7,W1040,""),"")</f>
        <v/>
      </c>
      <c r="Z1040">
        <f>IF(ISNUMBER('자료_거시'!$K1022),'자료_거시'!$K1022,Z1039)</f>
        <v/>
      </c>
      <c r="AA1040">
        <f>IF(AND(ISNUMBER('자료_거시'!$J1022),ISNUMBER('자료_거시'!$K1022)),IFERROR('자료_거시'!$K1022/INDEX($Z$21:$Z$4020,MATCH(EDATE('자료_거시'!$J1022,-'설정'!$B$17),'자료_거시'!$J$3:INDEX('자료_거시'!$J$3:$J$4002,$K$8),1))-1,""),"")</f>
        <v/>
      </c>
      <c r="AB1040">
        <f>IF(ISNUMBER(AA1040),'자료_거시'!$J1022,"")</f>
        <v/>
      </c>
      <c r="AC1040">
        <f>IF(ISNUMBER(AB1040),IF(AB1040&gt;$L$8,AA1040,""),"")</f>
        <v/>
      </c>
    </row>
    <row r="1041">
      <c r="S1041">
        <f>IF(ISNUMBER('자료_거시'!$E1023),'자료_거시'!$E1023,S1040)</f>
        <v/>
      </c>
      <c r="T1041">
        <f>IF(AND(ISNUMBER('자료_거시'!$D1023),ISNUMBER('자료_거시'!$E1023)),IFERROR('자료_거시'!$E1023-INDEX($S$21:$S$4020,MATCH(EDATE('자료_거시'!$D1023,-'설정'!$B$17),'자료_거시'!$D$3:INDEX('자료_거시'!$D$3:$D$4002,$K$6),1)),""),"")</f>
        <v/>
      </c>
      <c r="U1041">
        <f>IF(ISNUMBER(T1041),'자료_거시'!$D1023,"")</f>
        <v/>
      </c>
      <c r="V1041">
        <f>IF(ISNUMBER(U1041),IF(U1041&gt;$L$6,T1041,""),"")</f>
        <v/>
      </c>
      <c r="W1041">
        <f>IF(AND(ISNUMBER('자료_거시'!$G1023),ISNUMBER('자료_거시'!$H1023)),'자료_거시'!$H1023,"")</f>
        <v/>
      </c>
      <c r="X1041">
        <f>IF(ISNUMBER(W1041),'자료_거시'!$G1023,"")</f>
        <v/>
      </c>
      <c r="Y1041">
        <f>IF(ISNUMBER(X1041),IF(X1041&gt;$L$7,W1041,""),"")</f>
        <v/>
      </c>
      <c r="Z1041">
        <f>IF(ISNUMBER('자료_거시'!$K1023),'자료_거시'!$K1023,Z1040)</f>
        <v/>
      </c>
      <c r="AA1041">
        <f>IF(AND(ISNUMBER('자료_거시'!$J1023),ISNUMBER('자료_거시'!$K1023)),IFERROR('자료_거시'!$K1023/INDEX($Z$21:$Z$4020,MATCH(EDATE('자료_거시'!$J1023,-'설정'!$B$17),'자료_거시'!$J$3:INDEX('자료_거시'!$J$3:$J$4002,$K$8),1))-1,""),"")</f>
        <v/>
      </c>
      <c r="AB1041">
        <f>IF(ISNUMBER(AA1041),'자료_거시'!$J1023,"")</f>
        <v/>
      </c>
      <c r="AC1041">
        <f>IF(ISNUMBER(AB1041),IF(AB1041&gt;$L$8,AA1041,""),"")</f>
        <v/>
      </c>
    </row>
    <row r="1042">
      <c r="S1042">
        <f>IF(ISNUMBER('자료_거시'!$E1024),'자료_거시'!$E1024,S1041)</f>
        <v/>
      </c>
      <c r="T1042">
        <f>IF(AND(ISNUMBER('자료_거시'!$D1024),ISNUMBER('자료_거시'!$E1024)),IFERROR('자료_거시'!$E1024-INDEX($S$21:$S$4020,MATCH(EDATE('자료_거시'!$D1024,-'설정'!$B$17),'자료_거시'!$D$3:INDEX('자료_거시'!$D$3:$D$4002,$K$6),1)),""),"")</f>
        <v/>
      </c>
      <c r="U1042">
        <f>IF(ISNUMBER(T1042),'자료_거시'!$D1024,"")</f>
        <v/>
      </c>
      <c r="V1042">
        <f>IF(ISNUMBER(U1042),IF(U1042&gt;$L$6,T1042,""),"")</f>
        <v/>
      </c>
      <c r="W1042">
        <f>IF(AND(ISNUMBER('자료_거시'!$G1024),ISNUMBER('자료_거시'!$H1024)),'자료_거시'!$H1024,"")</f>
        <v/>
      </c>
      <c r="X1042">
        <f>IF(ISNUMBER(W1042),'자료_거시'!$G1024,"")</f>
        <v/>
      </c>
      <c r="Y1042">
        <f>IF(ISNUMBER(X1042),IF(X1042&gt;$L$7,W1042,""),"")</f>
        <v/>
      </c>
      <c r="Z1042">
        <f>IF(ISNUMBER('자료_거시'!$K1024),'자료_거시'!$K1024,Z1041)</f>
        <v/>
      </c>
      <c r="AA1042">
        <f>IF(AND(ISNUMBER('자료_거시'!$J1024),ISNUMBER('자료_거시'!$K1024)),IFERROR('자료_거시'!$K1024/INDEX($Z$21:$Z$4020,MATCH(EDATE('자료_거시'!$J1024,-'설정'!$B$17),'자료_거시'!$J$3:INDEX('자료_거시'!$J$3:$J$4002,$K$8),1))-1,""),"")</f>
        <v/>
      </c>
      <c r="AB1042">
        <f>IF(ISNUMBER(AA1042),'자료_거시'!$J1024,"")</f>
        <v/>
      </c>
      <c r="AC1042">
        <f>IF(ISNUMBER(AB1042),IF(AB1042&gt;$L$8,AA1042,""),"")</f>
        <v/>
      </c>
    </row>
    <row r="1043">
      <c r="S1043">
        <f>IF(ISNUMBER('자료_거시'!$E1025),'자료_거시'!$E1025,S1042)</f>
        <v/>
      </c>
      <c r="T1043">
        <f>IF(AND(ISNUMBER('자료_거시'!$D1025),ISNUMBER('자료_거시'!$E1025)),IFERROR('자료_거시'!$E1025-INDEX($S$21:$S$4020,MATCH(EDATE('자료_거시'!$D1025,-'설정'!$B$17),'자료_거시'!$D$3:INDEX('자료_거시'!$D$3:$D$4002,$K$6),1)),""),"")</f>
        <v/>
      </c>
      <c r="U1043">
        <f>IF(ISNUMBER(T1043),'자료_거시'!$D1025,"")</f>
        <v/>
      </c>
      <c r="V1043">
        <f>IF(ISNUMBER(U1043),IF(U1043&gt;$L$6,T1043,""),"")</f>
        <v/>
      </c>
      <c r="W1043">
        <f>IF(AND(ISNUMBER('자료_거시'!$G1025),ISNUMBER('자료_거시'!$H1025)),'자료_거시'!$H1025,"")</f>
        <v/>
      </c>
      <c r="X1043">
        <f>IF(ISNUMBER(W1043),'자료_거시'!$G1025,"")</f>
        <v/>
      </c>
      <c r="Y1043">
        <f>IF(ISNUMBER(X1043),IF(X1043&gt;$L$7,W1043,""),"")</f>
        <v/>
      </c>
      <c r="Z1043">
        <f>IF(ISNUMBER('자료_거시'!$K1025),'자료_거시'!$K1025,Z1042)</f>
        <v/>
      </c>
      <c r="AA1043">
        <f>IF(AND(ISNUMBER('자료_거시'!$J1025),ISNUMBER('자료_거시'!$K1025)),IFERROR('자료_거시'!$K1025/INDEX($Z$21:$Z$4020,MATCH(EDATE('자료_거시'!$J1025,-'설정'!$B$17),'자료_거시'!$J$3:INDEX('자료_거시'!$J$3:$J$4002,$K$8),1))-1,""),"")</f>
        <v/>
      </c>
      <c r="AB1043">
        <f>IF(ISNUMBER(AA1043),'자료_거시'!$J1025,"")</f>
        <v/>
      </c>
      <c r="AC1043">
        <f>IF(ISNUMBER(AB1043),IF(AB1043&gt;$L$8,AA1043,""),"")</f>
        <v/>
      </c>
    </row>
    <row r="1044">
      <c r="S1044">
        <f>IF(ISNUMBER('자료_거시'!$E1026),'자료_거시'!$E1026,S1043)</f>
        <v/>
      </c>
      <c r="T1044">
        <f>IF(AND(ISNUMBER('자료_거시'!$D1026),ISNUMBER('자료_거시'!$E1026)),IFERROR('자료_거시'!$E1026-INDEX($S$21:$S$4020,MATCH(EDATE('자료_거시'!$D1026,-'설정'!$B$17),'자료_거시'!$D$3:INDEX('자료_거시'!$D$3:$D$4002,$K$6),1)),""),"")</f>
        <v/>
      </c>
      <c r="U1044">
        <f>IF(ISNUMBER(T1044),'자료_거시'!$D1026,"")</f>
        <v/>
      </c>
      <c r="V1044">
        <f>IF(ISNUMBER(U1044),IF(U1044&gt;$L$6,T1044,""),"")</f>
        <v/>
      </c>
      <c r="W1044">
        <f>IF(AND(ISNUMBER('자료_거시'!$G1026),ISNUMBER('자료_거시'!$H1026)),'자료_거시'!$H1026,"")</f>
        <v/>
      </c>
      <c r="X1044">
        <f>IF(ISNUMBER(W1044),'자료_거시'!$G1026,"")</f>
        <v/>
      </c>
      <c r="Y1044">
        <f>IF(ISNUMBER(X1044),IF(X1044&gt;$L$7,W1044,""),"")</f>
        <v/>
      </c>
      <c r="Z1044">
        <f>IF(ISNUMBER('자료_거시'!$K1026),'자료_거시'!$K1026,Z1043)</f>
        <v/>
      </c>
      <c r="AA1044">
        <f>IF(AND(ISNUMBER('자료_거시'!$J1026),ISNUMBER('자료_거시'!$K1026)),IFERROR('자료_거시'!$K1026/INDEX($Z$21:$Z$4020,MATCH(EDATE('자료_거시'!$J1026,-'설정'!$B$17),'자료_거시'!$J$3:INDEX('자료_거시'!$J$3:$J$4002,$K$8),1))-1,""),"")</f>
        <v/>
      </c>
      <c r="AB1044">
        <f>IF(ISNUMBER(AA1044),'자료_거시'!$J1026,"")</f>
        <v/>
      </c>
      <c r="AC1044">
        <f>IF(ISNUMBER(AB1044),IF(AB1044&gt;$L$8,AA1044,""),"")</f>
        <v/>
      </c>
    </row>
    <row r="1045">
      <c r="S1045">
        <f>IF(ISNUMBER('자료_거시'!$E1027),'자료_거시'!$E1027,S1044)</f>
        <v/>
      </c>
      <c r="T1045">
        <f>IF(AND(ISNUMBER('자료_거시'!$D1027),ISNUMBER('자료_거시'!$E1027)),IFERROR('자료_거시'!$E1027-INDEX($S$21:$S$4020,MATCH(EDATE('자료_거시'!$D1027,-'설정'!$B$17),'자료_거시'!$D$3:INDEX('자료_거시'!$D$3:$D$4002,$K$6),1)),""),"")</f>
        <v/>
      </c>
      <c r="U1045">
        <f>IF(ISNUMBER(T1045),'자료_거시'!$D1027,"")</f>
        <v/>
      </c>
      <c r="V1045">
        <f>IF(ISNUMBER(U1045),IF(U1045&gt;$L$6,T1045,""),"")</f>
        <v/>
      </c>
      <c r="W1045">
        <f>IF(AND(ISNUMBER('자료_거시'!$G1027),ISNUMBER('자료_거시'!$H1027)),'자료_거시'!$H1027,"")</f>
        <v/>
      </c>
      <c r="X1045">
        <f>IF(ISNUMBER(W1045),'자료_거시'!$G1027,"")</f>
        <v/>
      </c>
      <c r="Y1045">
        <f>IF(ISNUMBER(X1045),IF(X1045&gt;$L$7,W1045,""),"")</f>
        <v/>
      </c>
      <c r="Z1045">
        <f>IF(ISNUMBER('자료_거시'!$K1027),'자료_거시'!$K1027,Z1044)</f>
        <v/>
      </c>
      <c r="AA1045">
        <f>IF(AND(ISNUMBER('자료_거시'!$J1027),ISNUMBER('자료_거시'!$K1027)),IFERROR('자료_거시'!$K1027/INDEX($Z$21:$Z$4020,MATCH(EDATE('자료_거시'!$J1027,-'설정'!$B$17),'자료_거시'!$J$3:INDEX('자료_거시'!$J$3:$J$4002,$K$8),1))-1,""),"")</f>
        <v/>
      </c>
      <c r="AB1045">
        <f>IF(ISNUMBER(AA1045),'자료_거시'!$J1027,"")</f>
        <v/>
      </c>
      <c r="AC1045">
        <f>IF(ISNUMBER(AB1045),IF(AB1045&gt;$L$8,AA1045,""),"")</f>
        <v/>
      </c>
    </row>
    <row r="1046">
      <c r="S1046">
        <f>IF(ISNUMBER('자료_거시'!$E1028),'자료_거시'!$E1028,S1045)</f>
        <v/>
      </c>
      <c r="T1046">
        <f>IF(AND(ISNUMBER('자료_거시'!$D1028),ISNUMBER('자료_거시'!$E1028)),IFERROR('자료_거시'!$E1028-INDEX($S$21:$S$4020,MATCH(EDATE('자료_거시'!$D1028,-'설정'!$B$17),'자료_거시'!$D$3:INDEX('자료_거시'!$D$3:$D$4002,$K$6),1)),""),"")</f>
        <v/>
      </c>
      <c r="U1046">
        <f>IF(ISNUMBER(T1046),'자료_거시'!$D1028,"")</f>
        <v/>
      </c>
      <c r="V1046">
        <f>IF(ISNUMBER(U1046),IF(U1046&gt;$L$6,T1046,""),"")</f>
        <v/>
      </c>
      <c r="W1046">
        <f>IF(AND(ISNUMBER('자료_거시'!$G1028),ISNUMBER('자료_거시'!$H1028)),'자료_거시'!$H1028,"")</f>
        <v/>
      </c>
      <c r="X1046">
        <f>IF(ISNUMBER(W1046),'자료_거시'!$G1028,"")</f>
        <v/>
      </c>
      <c r="Y1046">
        <f>IF(ISNUMBER(X1046),IF(X1046&gt;$L$7,W1046,""),"")</f>
        <v/>
      </c>
      <c r="Z1046">
        <f>IF(ISNUMBER('자료_거시'!$K1028),'자료_거시'!$K1028,Z1045)</f>
        <v/>
      </c>
      <c r="AA1046">
        <f>IF(AND(ISNUMBER('자료_거시'!$J1028),ISNUMBER('자료_거시'!$K1028)),IFERROR('자료_거시'!$K1028/INDEX($Z$21:$Z$4020,MATCH(EDATE('자료_거시'!$J1028,-'설정'!$B$17),'자료_거시'!$J$3:INDEX('자료_거시'!$J$3:$J$4002,$K$8),1))-1,""),"")</f>
        <v/>
      </c>
      <c r="AB1046">
        <f>IF(ISNUMBER(AA1046),'자료_거시'!$J1028,"")</f>
        <v/>
      </c>
      <c r="AC1046">
        <f>IF(ISNUMBER(AB1046),IF(AB1046&gt;$L$8,AA1046,""),"")</f>
        <v/>
      </c>
    </row>
    <row r="1047">
      <c r="S1047">
        <f>IF(ISNUMBER('자료_거시'!$E1029),'자료_거시'!$E1029,S1046)</f>
        <v/>
      </c>
      <c r="T1047">
        <f>IF(AND(ISNUMBER('자료_거시'!$D1029),ISNUMBER('자료_거시'!$E1029)),IFERROR('자료_거시'!$E1029-INDEX($S$21:$S$4020,MATCH(EDATE('자료_거시'!$D1029,-'설정'!$B$17),'자료_거시'!$D$3:INDEX('자료_거시'!$D$3:$D$4002,$K$6),1)),""),"")</f>
        <v/>
      </c>
      <c r="U1047">
        <f>IF(ISNUMBER(T1047),'자료_거시'!$D1029,"")</f>
        <v/>
      </c>
      <c r="V1047">
        <f>IF(ISNUMBER(U1047),IF(U1047&gt;$L$6,T1047,""),"")</f>
        <v/>
      </c>
      <c r="W1047">
        <f>IF(AND(ISNUMBER('자료_거시'!$G1029),ISNUMBER('자료_거시'!$H1029)),'자료_거시'!$H1029,"")</f>
        <v/>
      </c>
      <c r="X1047">
        <f>IF(ISNUMBER(W1047),'자료_거시'!$G1029,"")</f>
        <v/>
      </c>
      <c r="Y1047">
        <f>IF(ISNUMBER(X1047),IF(X1047&gt;$L$7,W1047,""),"")</f>
        <v/>
      </c>
      <c r="Z1047">
        <f>IF(ISNUMBER('자료_거시'!$K1029),'자료_거시'!$K1029,Z1046)</f>
        <v/>
      </c>
      <c r="AA1047">
        <f>IF(AND(ISNUMBER('자료_거시'!$J1029),ISNUMBER('자료_거시'!$K1029)),IFERROR('자료_거시'!$K1029/INDEX($Z$21:$Z$4020,MATCH(EDATE('자료_거시'!$J1029,-'설정'!$B$17),'자료_거시'!$J$3:INDEX('자료_거시'!$J$3:$J$4002,$K$8),1))-1,""),"")</f>
        <v/>
      </c>
      <c r="AB1047">
        <f>IF(ISNUMBER(AA1047),'자료_거시'!$J1029,"")</f>
        <v/>
      </c>
      <c r="AC1047">
        <f>IF(ISNUMBER(AB1047),IF(AB1047&gt;$L$8,AA1047,""),"")</f>
        <v/>
      </c>
    </row>
    <row r="1048">
      <c r="S1048">
        <f>IF(ISNUMBER('자료_거시'!$E1030),'자료_거시'!$E1030,S1047)</f>
        <v/>
      </c>
      <c r="T1048">
        <f>IF(AND(ISNUMBER('자료_거시'!$D1030),ISNUMBER('자료_거시'!$E1030)),IFERROR('자료_거시'!$E1030-INDEX($S$21:$S$4020,MATCH(EDATE('자료_거시'!$D1030,-'설정'!$B$17),'자료_거시'!$D$3:INDEX('자료_거시'!$D$3:$D$4002,$K$6),1)),""),"")</f>
        <v/>
      </c>
      <c r="U1048">
        <f>IF(ISNUMBER(T1048),'자료_거시'!$D1030,"")</f>
        <v/>
      </c>
      <c r="V1048">
        <f>IF(ISNUMBER(U1048),IF(U1048&gt;$L$6,T1048,""),"")</f>
        <v/>
      </c>
      <c r="W1048">
        <f>IF(AND(ISNUMBER('자료_거시'!$G1030),ISNUMBER('자료_거시'!$H1030)),'자료_거시'!$H1030,"")</f>
        <v/>
      </c>
      <c r="X1048">
        <f>IF(ISNUMBER(W1048),'자료_거시'!$G1030,"")</f>
        <v/>
      </c>
      <c r="Y1048">
        <f>IF(ISNUMBER(X1048),IF(X1048&gt;$L$7,W1048,""),"")</f>
        <v/>
      </c>
      <c r="Z1048">
        <f>IF(ISNUMBER('자료_거시'!$K1030),'자료_거시'!$K1030,Z1047)</f>
        <v/>
      </c>
      <c r="AA1048">
        <f>IF(AND(ISNUMBER('자료_거시'!$J1030),ISNUMBER('자료_거시'!$K1030)),IFERROR('자료_거시'!$K1030/INDEX($Z$21:$Z$4020,MATCH(EDATE('자료_거시'!$J1030,-'설정'!$B$17),'자료_거시'!$J$3:INDEX('자료_거시'!$J$3:$J$4002,$K$8),1))-1,""),"")</f>
        <v/>
      </c>
      <c r="AB1048">
        <f>IF(ISNUMBER(AA1048),'자료_거시'!$J1030,"")</f>
        <v/>
      </c>
      <c r="AC1048">
        <f>IF(ISNUMBER(AB1048),IF(AB1048&gt;$L$8,AA1048,""),"")</f>
        <v/>
      </c>
    </row>
    <row r="1049">
      <c r="S1049">
        <f>IF(ISNUMBER('자료_거시'!$E1031),'자료_거시'!$E1031,S1048)</f>
        <v/>
      </c>
      <c r="T1049">
        <f>IF(AND(ISNUMBER('자료_거시'!$D1031),ISNUMBER('자료_거시'!$E1031)),IFERROR('자료_거시'!$E1031-INDEX($S$21:$S$4020,MATCH(EDATE('자료_거시'!$D1031,-'설정'!$B$17),'자료_거시'!$D$3:INDEX('자료_거시'!$D$3:$D$4002,$K$6),1)),""),"")</f>
        <v/>
      </c>
      <c r="U1049">
        <f>IF(ISNUMBER(T1049),'자료_거시'!$D1031,"")</f>
        <v/>
      </c>
      <c r="V1049">
        <f>IF(ISNUMBER(U1049),IF(U1049&gt;$L$6,T1049,""),"")</f>
        <v/>
      </c>
      <c r="W1049">
        <f>IF(AND(ISNUMBER('자료_거시'!$G1031),ISNUMBER('자료_거시'!$H1031)),'자료_거시'!$H1031,"")</f>
        <v/>
      </c>
      <c r="X1049">
        <f>IF(ISNUMBER(W1049),'자료_거시'!$G1031,"")</f>
        <v/>
      </c>
      <c r="Y1049">
        <f>IF(ISNUMBER(X1049),IF(X1049&gt;$L$7,W1049,""),"")</f>
        <v/>
      </c>
      <c r="Z1049">
        <f>IF(ISNUMBER('자료_거시'!$K1031),'자료_거시'!$K1031,Z1048)</f>
        <v/>
      </c>
      <c r="AA1049">
        <f>IF(AND(ISNUMBER('자료_거시'!$J1031),ISNUMBER('자료_거시'!$K1031)),IFERROR('자료_거시'!$K1031/INDEX($Z$21:$Z$4020,MATCH(EDATE('자료_거시'!$J1031,-'설정'!$B$17),'자료_거시'!$J$3:INDEX('자료_거시'!$J$3:$J$4002,$K$8),1))-1,""),"")</f>
        <v/>
      </c>
      <c r="AB1049">
        <f>IF(ISNUMBER(AA1049),'자료_거시'!$J1031,"")</f>
        <v/>
      </c>
      <c r="AC1049">
        <f>IF(ISNUMBER(AB1049),IF(AB1049&gt;$L$8,AA1049,""),"")</f>
        <v/>
      </c>
    </row>
    <row r="1050">
      <c r="S1050">
        <f>IF(ISNUMBER('자료_거시'!$E1032),'자료_거시'!$E1032,S1049)</f>
        <v/>
      </c>
      <c r="T1050">
        <f>IF(AND(ISNUMBER('자료_거시'!$D1032),ISNUMBER('자료_거시'!$E1032)),IFERROR('자료_거시'!$E1032-INDEX($S$21:$S$4020,MATCH(EDATE('자료_거시'!$D1032,-'설정'!$B$17),'자료_거시'!$D$3:INDEX('자료_거시'!$D$3:$D$4002,$K$6),1)),""),"")</f>
        <v/>
      </c>
      <c r="U1050">
        <f>IF(ISNUMBER(T1050),'자료_거시'!$D1032,"")</f>
        <v/>
      </c>
      <c r="V1050">
        <f>IF(ISNUMBER(U1050),IF(U1050&gt;$L$6,T1050,""),"")</f>
        <v/>
      </c>
      <c r="W1050">
        <f>IF(AND(ISNUMBER('자료_거시'!$G1032),ISNUMBER('자료_거시'!$H1032)),'자료_거시'!$H1032,"")</f>
        <v/>
      </c>
      <c r="X1050">
        <f>IF(ISNUMBER(W1050),'자료_거시'!$G1032,"")</f>
        <v/>
      </c>
      <c r="Y1050">
        <f>IF(ISNUMBER(X1050),IF(X1050&gt;$L$7,W1050,""),"")</f>
        <v/>
      </c>
      <c r="Z1050">
        <f>IF(ISNUMBER('자료_거시'!$K1032),'자료_거시'!$K1032,Z1049)</f>
        <v/>
      </c>
      <c r="AA1050">
        <f>IF(AND(ISNUMBER('자료_거시'!$J1032),ISNUMBER('자료_거시'!$K1032)),IFERROR('자료_거시'!$K1032/INDEX($Z$21:$Z$4020,MATCH(EDATE('자료_거시'!$J1032,-'설정'!$B$17),'자료_거시'!$J$3:INDEX('자료_거시'!$J$3:$J$4002,$K$8),1))-1,""),"")</f>
        <v/>
      </c>
      <c r="AB1050">
        <f>IF(ISNUMBER(AA1050),'자료_거시'!$J1032,"")</f>
        <v/>
      </c>
      <c r="AC1050">
        <f>IF(ISNUMBER(AB1050),IF(AB1050&gt;$L$8,AA1050,""),"")</f>
        <v/>
      </c>
    </row>
    <row r="1051">
      <c r="S1051">
        <f>IF(ISNUMBER('자료_거시'!$E1033),'자료_거시'!$E1033,S1050)</f>
        <v/>
      </c>
      <c r="T1051">
        <f>IF(AND(ISNUMBER('자료_거시'!$D1033),ISNUMBER('자료_거시'!$E1033)),IFERROR('자료_거시'!$E1033-INDEX($S$21:$S$4020,MATCH(EDATE('자료_거시'!$D1033,-'설정'!$B$17),'자료_거시'!$D$3:INDEX('자료_거시'!$D$3:$D$4002,$K$6),1)),""),"")</f>
        <v/>
      </c>
      <c r="U1051">
        <f>IF(ISNUMBER(T1051),'자료_거시'!$D1033,"")</f>
        <v/>
      </c>
      <c r="V1051">
        <f>IF(ISNUMBER(U1051),IF(U1051&gt;$L$6,T1051,""),"")</f>
        <v/>
      </c>
      <c r="W1051">
        <f>IF(AND(ISNUMBER('자료_거시'!$G1033),ISNUMBER('자료_거시'!$H1033)),'자료_거시'!$H1033,"")</f>
        <v/>
      </c>
      <c r="X1051">
        <f>IF(ISNUMBER(W1051),'자료_거시'!$G1033,"")</f>
        <v/>
      </c>
      <c r="Y1051">
        <f>IF(ISNUMBER(X1051),IF(X1051&gt;$L$7,W1051,""),"")</f>
        <v/>
      </c>
      <c r="Z1051">
        <f>IF(ISNUMBER('자료_거시'!$K1033),'자료_거시'!$K1033,Z1050)</f>
        <v/>
      </c>
      <c r="AA1051">
        <f>IF(AND(ISNUMBER('자료_거시'!$J1033),ISNUMBER('자료_거시'!$K1033)),IFERROR('자료_거시'!$K1033/INDEX($Z$21:$Z$4020,MATCH(EDATE('자료_거시'!$J1033,-'설정'!$B$17),'자료_거시'!$J$3:INDEX('자료_거시'!$J$3:$J$4002,$K$8),1))-1,""),"")</f>
        <v/>
      </c>
      <c r="AB1051">
        <f>IF(ISNUMBER(AA1051),'자료_거시'!$J1033,"")</f>
        <v/>
      </c>
      <c r="AC1051">
        <f>IF(ISNUMBER(AB1051),IF(AB1051&gt;$L$8,AA1051,""),"")</f>
        <v/>
      </c>
    </row>
    <row r="1052">
      <c r="S1052">
        <f>IF(ISNUMBER('자료_거시'!$E1034),'자료_거시'!$E1034,S1051)</f>
        <v/>
      </c>
      <c r="T1052">
        <f>IF(AND(ISNUMBER('자료_거시'!$D1034),ISNUMBER('자료_거시'!$E1034)),IFERROR('자료_거시'!$E1034-INDEX($S$21:$S$4020,MATCH(EDATE('자료_거시'!$D1034,-'설정'!$B$17),'자료_거시'!$D$3:INDEX('자료_거시'!$D$3:$D$4002,$K$6),1)),""),"")</f>
        <v/>
      </c>
      <c r="U1052">
        <f>IF(ISNUMBER(T1052),'자료_거시'!$D1034,"")</f>
        <v/>
      </c>
      <c r="V1052">
        <f>IF(ISNUMBER(U1052),IF(U1052&gt;$L$6,T1052,""),"")</f>
        <v/>
      </c>
      <c r="W1052">
        <f>IF(AND(ISNUMBER('자료_거시'!$G1034),ISNUMBER('자료_거시'!$H1034)),'자료_거시'!$H1034,"")</f>
        <v/>
      </c>
      <c r="X1052">
        <f>IF(ISNUMBER(W1052),'자료_거시'!$G1034,"")</f>
        <v/>
      </c>
      <c r="Y1052">
        <f>IF(ISNUMBER(X1052),IF(X1052&gt;$L$7,W1052,""),"")</f>
        <v/>
      </c>
      <c r="Z1052">
        <f>IF(ISNUMBER('자료_거시'!$K1034),'자료_거시'!$K1034,Z1051)</f>
        <v/>
      </c>
      <c r="AA1052">
        <f>IF(AND(ISNUMBER('자료_거시'!$J1034),ISNUMBER('자료_거시'!$K1034)),IFERROR('자료_거시'!$K1034/INDEX($Z$21:$Z$4020,MATCH(EDATE('자료_거시'!$J1034,-'설정'!$B$17),'자료_거시'!$J$3:INDEX('자료_거시'!$J$3:$J$4002,$K$8),1))-1,""),"")</f>
        <v/>
      </c>
      <c r="AB1052">
        <f>IF(ISNUMBER(AA1052),'자료_거시'!$J1034,"")</f>
        <v/>
      </c>
      <c r="AC1052">
        <f>IF(ISNUMBER(AB1052),IF(AB1052&gt;$L$8,AA1052,""),"")</f>
        <v/>
      </c>
    </row>
    <row r="1053">
      <c r="S1053">
        <f>IF(ISNUMBER('자료_거시'!$E1035),'자료_거시'!$E1035,S1052)</f>
        <v/>
      </c>
      <c r="T1053">
        <f>IF(AND(ISNUMBER('자료_거시'!$D1035),ISNUMBER('자료_거시'!$E1035)),IFERROR('자료_거시'!$E1035-INDEX($S$21:$S$4020,MATCH(EDATE('자료_거시'!$D1035,-'설정'!$B$17),'자료_거시'!$D$3:INDEX('자료_거시'!$D$3:$D$4002,$K$6),1)),""),"")</f>
        <v/>
      </c>
      <c r="U1053">
        <f>IF(ISNUMBER(T1053),'자료_거시'!$D1035,"")</f>
        <v/>
      </c>
      <c r="V1053">
        <f>IF(ISNUMBER(U1053),IF(U1053&gt;$L$6,T1053,""),"")</f>
        <v/>
      </c>
      <c r="W1053">
        <f>IF(AND(ISNUMBER('자료_거시'!$G1035),ISNUMBER('자료_거시'!$H1035)),'자료_거시'!$H1035,"")</f>
        <v/>
      </c>
      <c r="X1053">
        <f>IF(ISNUMBER(W1053),'자료_거시'!$G1035,"")</f>
        <v/>
      </c>
      <c r="Y1053">
        <f>IF(ISNUMBER(X1053),IF(X1053&gt;$L$7,W1053,""),"")</f>
        <v/>
      </c>
      <c r="Z1053">
        <f>IF(ISNUMBER('자료_거시'!$K1035),'자료_거시'!$K1035,Z1052)</f>
        <v/>
      </c>
      <c r="AA1053">
        <f>IF(AND(ISNUMBER('자료_거시'!$J1035),ISNUMBER('자료_거시'!$K1035)),IFERROR('자료_거시'!$K1035/INDEX($Z$21:$Z$4020,MATCH(EDATE('자료_거시'!$J1035,-'설정'!$B$17),'자료_거시'!$J$3:INDEX('자료_거시'!$J$3:$J$4002,$K$8),1))-1,""),"")</f>
        <v/>
      </c>
      <c r="AB1053">
        <f>IF(ISNUMBER(AA1053),'자료_거시'!$J1035,"")</f>
        <v/>
      </c>
      <c r="AC1053">
        <f>IF(ISNUMBER(AB1053),IF(AB1053&gt;$L$8,AA1053,""),"")</f>
        <v/>
      </c>
    </row>
    <row r="1054">
      <c r="S1054">
        <f>IF(ISNUMBER('자료_거시'!$E1036),'자료_거시'!$E1036,S1053)</f>
        <v/>
      </c>
      <c r="T1054">
        <f>IF(AND(ISNUMBER('자료_거시'!$D1036),ISNUMBER('자료_거시'!$E1036)),IFERROR('자료_거시'!$E1036-INDEX($S$21:$S$4020,MATCH(EDATE('자료_거시'!$D1036,-'설정'!$B$17),'자료_거시'!$D$3:INDEX('자료_거시'!$D$3:$D$4002,$K$6),1)),""),"")</f>
        <v/>
      </c>
      <c r="U1054">
        <f>IF(ISNUMBER(T1054),'자료_거시'!$D1036,"")</f>
        <v/>
      </c>
      <c r="V1054">
        <f>IF(ISNUMBER(U1054),IF(U1054&gt;$L$6,T1054,""),"")</f>
        <v/>
      </c>
      <c r="W1054">
        <f>IF(AND(ISNUMBER('자료_거시'!$G1036),ISNUMBER('자료_거시'!$H1036)),'자료_거시'!$H1036,"")</f>
        <v/>
      </c>
      <c r="X1054">
        <f>IF(ISNUMBER(W1054),'자료_거시'!$G1036,"")</f>
        <v/>
      </c>
      <c r="Y1054">
        <f>IF(ISNUMBER(X1054),IF(X1054&gt;$L$7,W1054,""),"")</f>
        <v/>
      </c>
      <c r="Z1054">
        <f>IF(ISNUMBER('자료_거시'!$K1036),'자료_거시'!$K1036,Z1053)</f>
        <v/>
      </c>
      <c r="AA1054">
        <f>IF(AND(ISNUMBER('자료_거시'!$J1036),ISNUMBER('자료_거시'!$K1036)),IFERROR('자료_거시'!$K1036/INDEX($Z$21:$Z$4020,MATCH(EDATE('자료_거시'!$J1036,-'설정'!$B$17),'자료_거시'!$J$3:INDEX('자료_거시'!$J$3:$J$4002,$K$8),1))-1,""),"")</f>
        <v/>
      </c>
      <c r="AB1054">
        <f>IF(ISNUMBER(AA1054),'자료_거시'!$J1036,"")</f>
        <v/>
      </c>
      <c r="AC1054">
        <f>IF(ISNUMBER(AB1054),IF(AB1054&gt;$L$8,AA1054,""),"")</f>
        <v/>
      </c>
    </row>
    <row r="1055">
      <c r="S1055">
        <f>IF(ISNUMBER('자료_거시'!$E1037),'자료_거시'!$E1037,S1054)</f>
        <v/>
      </c>
      <c r="T1055">
        <f>IF(AND(ISNUMBER('자료_거시'!$D1037),ISNUMBER('자료_거시'!$E1037)),IFERROR('자료_거시'!$E1037-INDEX($S$21:$S$4020,MATCH(EDATE('자료_거시'!$D1037,-'설정'!$B$17),'자료_거시'!$D$3:INDEX('자료_거시'!$D$3:$D$4002,$K$6),1)),""),"")</f>
        <v/>
      </c>
      <c r="U1055">
        <f>IF(ISNUMBER(T1055),'자료_거시'!$D1037,"")</f>
        <v/>
      </c>
      <c r="V1055">
        <f>IF(ISNUMBER(U1055),IF(U1055&gt;$L$6,T1055,""),"")</f>
        <v/>
      </c>
      <c r="W1055">
        <f>IF(AND(ISNUMBER('자료_거시'!$G1037),ISNUMBER('자료_거시'!$H1037)),'자료_거시'!$H1037,"")</f>
        <v/>
      </c>
      <c r="X1055">
        <f>IF(ISNUMBER(W1055),'자료_거시'!$G1037,"")</f>
        <v/>
      </c>
      <c r="Y1055">
        <f>IF(ISNUMBER(X1055),IF(X1055&gt;$L$7,W1055,""),"")</f>
        <v/>
      </c>
      <c r="Z1055">
        <f>IF(ISNUMBER('자료_거시'!$K1037),'자료_거시'!$K1037,Z1054)</f>
        <v/>
      </c>
      <c r="AA1055">
        <f>IF(AND(ISNUMBER('자료_거시'!$J1037),ISNUMBER('자료_거시'!$K1037)),IFERROR('자료_거시'!$K1037/INDEX($Z$21:$Z$4020,MATCH(EDATE('자료_거시'!$J1037,-'설정'!$B$17),'자료_거시'!$J$3:INDEX('자료_거시'!$J$3:$J$4002,$K$8),1))-1,""),"")</f>
        <v/>
      </c>
      <c r="AB1055">
        <f>IF(ISNUMBER(AA1055),'자료_거시'!$J1037,"")</f>
        <v/>
      </c>
      <c r="AC1055">
        <f>IF(ISNUMBER(AB1055),IF(AB1055&gt;$L$8,AA1055,""),"")</f>
        <v/>
      </c>
    </row>
    <row r="1056">
      <c r="S1056">
        <f>IF(ISNUMBER('자료_거시'!$E1038),'자료_거시'!$E1038,S1055)</f>
        <v/>
      </c>
      <c r="T1056">
        <f>IF(AND(ISNUMBER('자료_거시'!$D1038),ISNUMBER('자료_거시'!$E1038)),IFERROR('자료_거시'!$E1038-INDEX($S$21:$S$4020,MATCH(EDATE('자료_거시'!$D1038,-'설정'!$B$17),'자료_거시'!$D$3:INDEX('자료_거시'!$D$3:$D$4002,$K$6),1)),""),"")</f>
        <v/>
      </c>
      <c r="U1056">
        <f>IF(ISNUMBER(T1056),'자료_거시'!$D1038,"")</f>
        <v/>
      </c>
      <c r="V1056">
        <f>IF(ISNUMBER(U1056),IF(U1056&gt;$L$6,T1056,""),"")</f>
        <v/>
      </c>
      <c r="W1056">
        <f>IF(AND(ISNUMBER('자료_거시'!$G1038),ISNUMBER('자료_거시'!$H1038)),'자료_거시'!$H1038,"")</f>
        <v/>
      </c>
      <c r="X1056">
        <f>IF(ISNUMBER(W1056),'자료_거시'!$G1038,"")</f>
        <v/>
      </c>
      <c r="Y1056">
        <f>IF(ISNUMBER(X1056),IF(X1056&gt;$L$7,W1056,""),"")</f>
        <v/>
      </c>
      <c r="Z1056">
        <f>IF(ISNUMBER('자료_거시'!$K1038),'자료_거시'!$K1038,Z1055)</f>
        <v/>
      </c>
      <c r="AA1056">
        <f>IF(AND(ISNUMBER('자료_거시'!$J1038),ISNUMBER('자료_거시'!$K1038)),IFERROR('자료_거시'!$K1038/INDEX($Z$21:$Z$4020,MATCH(EDATE('자료_거시'!$J1038,-'설정'!$B$17),'자료_거시'!$J$3:INDEX('자료_거시'!$J$3:$J$4002,$K$8),1))-1,""),"")</f>
        <v/>
      </c>
      <c r="AB1056">
        <f>IF(ISNUMBER(AA1056),'자료_거시'!$J1038,"")</f>
        <v/>
      </c>
      <c r="AC1056">
        <f>IF(ISNUMBER(AB1056),IF(AB1056&gt;$L$8,AA1056,""),"")</f>
        <v/>
      </c>
    </row>
    <row r="1057">
      <c r="S1057">
        <f>IF(ISNUMBER('자료_거시'!$E1039),'자료_거시'!$E1039,S1056)</f>
        <v/>
      </c>
      <c r="T1057">
        <f>IF(AND(ISNUMBER('자료_거시'!$D1039),ISNUMBER('자료_거시'!$E1039)),IFERROR('자료_거시'!$E1039-INDEX($S$21:$S$4020,MATCH(EDATE('자료_거시'!$D1039,-'설정'!$B$17),'자료_거시'!$D$3:INDEX('자료_거시'!$D$3:$D$4002,$K$6),1)),""),"")</f>
        <v/>
      </c>
      <c r="U1057">
        <f>IF(ISNUMBER(T1057),'자료_거시'!$D1039,"")</f>
        <v/>
      </c>
      <c r="V1057">
        <f>IF(ISNUMBER(U1057),IF(U1057&gt;$L$6,T1057,""),"")</f>
        <v/>
      </c>
      <c r="W1057">
        <f>IF(AND(ISNUMBER('자료_거시'!$G1039),ISNUMBER('자료_거시'!$H1039)),'자료_거시'!$H1039,"")</f>
        <v/>
      </c>
      <c r="X1057">
        <f>IF(ISNUMBER(W1057),'자료_거시'!$G1039,"")</f>
        <v/>
      </c>
      <c r="Y1057">
        <f>IF(ISNUMBER(X1057),IF(X1057&gt;$L$7,W1057,""),"")</f>
        <v/>
      </c>
      <c r="Z1057">
        <f>IF(ISNUMBER('자료_거시'!$K1039),'자료_거시'!$K1039,Z1056)</f>
        <v/>
      </c>
      <c r="AA1057">
        <f>IF(AND(ISNUMBER('자료_거시'!$J1039),ISNUMBER('자료_거시'!$K1039)),IFERROR('자료_거시'!$K1039/INDEX($Z$21:$Z$4020,MATCH(EDATE('자료_거시'!$J1039,-'설정'!$B$17),'자료_거시'!$J$3:INDEX('자료_거시'!$J$3:$J$4002,$K$8),1))-1,""),"")</f>
        <v/>
      </c>
      <c r="AB1057">
        <f>IF(ISNUMBER(AA1057),'자료_거시'!$J1039,"")</f>
        <v/>
      </c>
      <c r="AC1057">
        <f>IF(ISNUMBER(AB1057),IF(AB1057&gt;$L$8,AA1057,""),"")</f>
        <v/>
      </c>
    </row>
    <row r="1058">
      <c r="S1058">
        <f>IF(ISNUMBER('자료_거시'!$E1040),'자료_거시'!$E1040,S1057)</f>
        <v/>
      </c>
      <c r="T1058">
        <f>IF(AND(ISNUMBER('자료_거시'!$D1040),ISNUMBER('자료_거시'!$E1040)),IFERROR('자료_거시'!$E1040-INDEX($S$21:$S$4020,MATCH(EDATE('자료_거시'!$D1040,-'설정'!$B$17),'자료_거시'!$D$3:INDEX('자료_거시'!$D$3:$D$4002,$K$6),1)),""),"")</f>
        <v/>
      </c>
      <c r="U1058">
        <f>IF(ISNUMBER(T1058),'자료_거시'!$D1040,"")</f>
        <v/>
      </c>
      <c r="V1058">
        <f>IF(ISNUMBER(U1058),IF(U1058&gt;$L$6,T1058,""),"")</f>
        <v/>
      </c>
      <c r="W1058">
        <f>IF(AND(ISNUMBER('자료_거시'!$G1040),ISNUMBER('자료_거시'!$H1040)),'자료_거시'!$H1040,"")</f>
        <v/>
      </c>
      <c r="X1058">
        <f>IF(ISNUMBER(W1058),'자료_거시'!$G1040,"")</f>
        <v/>
      </c>
      <c r="Y1058">
        <f>IF(ISNUMBER(X1058),IF(X1058&gt;$L$7,W1058,""),"")</f>
        <v/>
      </c>
      <c r="Z1058">
        <f>IF(ISNUMBER('자료_거시'!$K1040),'자료_거시'!$K1040,Z1057)</f>
        <v/>
      </c>
      <c r="AA1058">
        <f>IF(AND(ISNUMBER('자료_거시'!$J1040),ISNUMBER('자료_거시'!$K1040)),IFERROR('자료_거시'!$K1040/INDEX($Z$21:$Z$4020,MATCH(EDATE('자료_거시'!$J1040,-'설정'!$B$17),'자료_거시'!$J$3:INDEX('자료_거시'!$J$3:$J$4002,$K$8),1))-1,""),"")</f>
        <v/>
      </c>
      <c r="AB1058">
        <f>IF(ISNUMBER(AA1058),'자료_거시'!$J1040,"")</f>
        <v/>
      </c>
      <c r="AC1058">
        <f>IF(ISNUMBER(AB1058),IF(AB1058&gt;$L$8,AA1058,""),"")</f>
        <v/>
      </c>
    </row>
    <row r="1059">
      <c r="S1059">
        <f>IF(ISNUMBER('자료_거시'!$E1041),'자료_거시'!$E1041,S1058)</f>
        <v/>
      </c>
      <c r="T1059">
        <f>IF(AND(ISNUMBER('자료_거시'!$D1041),ISNUMBER('자료_거시'!$E1041)),IFERROR('자료_거시'!$E1041-INDEX($S$21:$S$4020,MATCH(EDATE('자료_거시'!$D1041,-'설정'!$B$17),'자료_거시'!$D$3:INDEX('자료_거시'!$D$3:$D$4002,$K$6),1)),""),"")</f>
        <v/>
      </c>
      <c r="U1059">
        <f>IF(ISNUMBER(T1059),'자료_거시'!$D1041,"")</f>
        <v/>
      </c>
      <c r="V1059">
        <f>IF(ISNUMBER(U1059),IF(U1059&gt;$L$6,T1059,""),"")</f>
        <v/>
      </c>
      <c r="W1059">
        <f>IF(AND(ISNUMBER('자료_거시'!$G1041),ISNUMBER('자료_거시'!$H1041)),'자료_거시'!$H1041,"")</f>
        <v/>
      </c>
      <c r="X1059">
        <f>IF(ISNUMBER(W1059),'자료_거시'!$G1041,"")</f>
        <v/>
      </c>
      <c r="Y1059">
        <f>IF(ISNUMBER(X1059),IF(X1059&gt;$L$7,W1059,""),"")</f>
        <v/>
      </c>
      <c r="Z1059">
        <f>IF(ISNUMBER('자료_거시'!$K1041),'자료_거시'!$K1041,Z1058)</f>
        <v/>
      </c>
      <c r="AA1059">
        <f>IF(AND(ISNUMBER('자료_거시'!$J1041),ISNUMBER('자료_거시'!$K1041)),IFERROR('자료_거시'!$K1041/INDEX($Z$21:$Z$4020,MATCH(EDATE('자료_거시'!$J1041,-'설정'!$B$17),'자료_거시'!$J$3:INDEX('자료_거시'!$J$3:$J$4002,$K$8),1))-1,""),"")</f>
        <v/>
      </c>
      <c r="AB1059">
        <f>IF(ISNUMBER(AA1059),'자료_거시'!$J1041,"")</f>
        <v/>
      </c>
      <c r="AC1059">
        <f>IF(ISNUMBER(AB1059),IF(AB1059&gt;$L$8,AA1059,""),"")</f>
        <v/>
      </c>
    </row>
    <row r="1060">
      <c r="S1060">
        <f>IF(ISNUMBER('자료_거시'!$E1042),'자료_거시'!$E1042,S1059)</f>
        <v/>
      </c>
      <c r="T1060">
        <f>IF(AND(ISNUMBER('자료_거시'!$D1042),ISNUMBER('자료_거시'!$E1042)),IFERROR('자료_거시'!$E1042-INDEX($S$21:$S$4020,MATCH(EDATE('자료_거시'!$D1042,-'설정'!$B$17),'자료_거시'!$D$3:INDEX('자료_거시'!$D$3:$D$4002,$K$6),1)),""),"")</f>
        <v/>
      </c>
      <c r="U1060">
        <f>IF(ISNUMBER(T1060),'자료_거시'!$D1042,"")</f>
        <v/>
      </c>
      <c r="V1060">
        <f>IF(ISNUMBER(U1060),IF(U1060&gt;$L$6,T1060,""),"")</f>
        <v/>
      </c>
      <c r="W1060">
        <f>IF(AND(ISNUMBER('자료_거시'!$G1042),ISNUMBER('자료_거시'!$H1042)),'자료_거시'!$H1042,"")</f>
        <v/>
      </c>
      <c r="X1060">
        <f>IF(ISNUMBER(W1060),'자료_거시'!$G1042,"")</f>
        <v/>
      </c>
      <c r="Y1060">
        <f>IF(ISNUMBER(X1060),IF(X1060&gt;$L$7,W1060,""),"")</f>
        <v/>
      </c>
      <c r="Z1060">
        <f>IF(ISNUMBER('자료_거시'!$K1042),'자료_거시'!$K1042,Z1059)</f>
        <v/>
      </c>
      <c r="AA1060">
        <f>IF(AND(ISNUMBER('자료_거시'!$J1042),ISNUMBER('자료_거시'!$K1042)),IFERROR('자료_거시'!$K1042/INDEX($Z$21:$Z$4020,MATCH(EDATE('자료_거시'!$J1042,-'설정'!$B$17),'자료_거시'!$J$3:INDEX('자료_거시'!$J$3:$J$4002,$K$8),1))-1,""),"")</f>
        <v/>
      </c>
      <c r="AB1060">
        <f>IF(ISNUMBER(AA1060),'자료_거시'!$J1042,"")</f>
        <v/>
      </c>
      <c r="AC1060">
        <f>IF(ISNUMBER(AB1060),IF(AB1060&gt;$L$8,AA1060,""),"")</f>
        <v/>
      </c>
    </row>
    <row r="1061">
      <c r="S1061">
        <f>IF(ISNUMBER('자료_거시'!$E1043),'자료_거시'!$E1043,S1060)</f>
        <v/>
      </c>
      <c r="T1061">
        <f>IF(AND(ISNUMBER('자료_거시'!$D1043),ISNUMBER('자료_거시'!$E1043)),IFERROR('자료_거시'!$E1043-INDEX($S$21:$S$4020,MATCH(EDATE('자료_거시'!$D1043,-'설정'!$B$17),'자료_거시'!$D$3:INDEX('자료_거시'!$D$3:$D$4002,$K$6),1)),""),"")</f>
        <v/>
      </c>
      <c r="U1061">
        <f>IF(ISNUMBER(T1061),'자료_거시'!$D1043,"")</f>
        <v/>
      </c>
      <c r="V1061">
        <f>IF(ISNUMBER(U1061),IF(U1061&gt;$L$6,T1061,""),"")</f>
        <v/>
      </c>
      <c r="W1061">
        <f>IF(AND(ISNUMBER('자료_거시'!$G1043),ISNUMBER('자료_거시'!$H1043)),'자료_거시'!$H1043,"")</f>
        <v/>
      </c>
      <c r="X1061">
        <f>IF(ISNUMBER(W1061),'자료_거시'!$G1043,"")</f>
        <v/>
      </c>
      <c r="Y1061">
        <f>IF(ISNUMBER(X1061),IF(X1061&gt;$L$7,W1061,""),"")</f>
        <v/>
      </c>
      <c r="Z1061">
        <f>IF(ISNUMBER('자료_거시'!$K1043),'자료_거시'!$K1043,Z1060)</f>
        <v/>
      </c>
      <c r="AA1061">
        <f>IF(AND(ISNUMBER('자료_거시'!$J1043),ISNUMBER('자료_거시'!$K1043)),IFERROR('자료_거시'!$K1043/INDEX($Z$21:$Z$4020,MATCH(EDATE('자료_거시'!$J1043,-'설정'!$B$17),'자료_거시'!$J$3:INDEX('자료_거시'!$J$3:$J$4002,$K$8),1))-1,""),"")</f>
        <v/>
      </c>
      <c r="AB1061">
        <f>IF(ISNUMBER(AA1061),'자료_거시'!$J1043,"")</f>
        <v/>
      </c>
      <c r="AC1061">
        <f>IF(ISNUMBER(AB1061),IF(AB1061&gt;$L$8,AA1061,""),"")</f>
        <v/>
      </c>
    </row>
    <row r="1062">
      <c r="S1062">
        <f>IF(ISNUMBER('자료_거시'!$E1044),'자료_거시'!$E1044,S1061)</f>
        <v/>
      </c>
      <c r="T1062">
        <f>IF(AND(ISNUMBER('자료_거시'!$D1044),ISNUMBER('자료_거시'!$E1044)),IFERROR('자료_거시'!$E1044-INDEX($S$21:$S$4020,MATCH(EDATE('자료_거시'!$D1044,-'설정'!$B$17),'자료_거시'!$D$3:INDEX('자료_거시'!$D$3:$D$4002,$K$6),1)),""),"")</f>
        <v/>
      </c>
      <c r="U1062">
        <f>IF(ISNUMBER(T1062),'자료_거시'!$D1044,"")</f>
        <v/>
      </c>
      <c r="V1062">
        <f>IF(ISNUMBER(U1062),IF(U1062&gt;$L$6,T1062,""),"")</f>
        <v/>
      </c>
      <c r="W1062">
        <f>IF(AND(ISNUMBER('자료_거시'!$G1044),ISNUMBER('자료_거시'!$H1044)),'자료_거시'!$H1044,"")</f>
        <v/>
      </c>
      <c r="X1062">
        <f>IF(ISNUMBER(W1062),'자료_거시'!$G1044,"")</f>
        <v/>
      </c>
      <c r="Y1062">
        <f>IF(ISNUMBER(X1062),IF(X1062&gt;$L$7,W1062,""),"")</f>
        <v/>
      </c>
      <c r="Z1062">
        <f>IF(ISNUMBER('자료_거시'!$K1044),'자료_거시'!$K1044,Z1061)</f>
        <v/>
      </c>
      <c r="AA1062">
        <f>IF(AND(ISNUMBER('자료_거시'!$J1044),ISNUMBER('자료_거시'!$K1044)),IFERROR('자료_거시'!$K1044/INDEX($Z$21:$Z$4020,MATCH(EDATE('자료_거시'!$J1044,-'설정'!$B$17),'자료_거시'!$J$3:INDEX('자료_거시'!$J$3:$J$4002,$K$8),1))-1,""),"")</f>
        <v/>
      </c>
      <c r="AB1062">
        <f>IF(ISNUMBER(AA1062),'자료_거시'!$J1044,"")</f>
        <v/>
      </c>
      <c r="AC1062">
        <f>IF(ISNUMBER(AB1062),IF(AB1062&gt;$L$8,AA1062,""),"")</f>
        <v/>
      </c>
    </row>
    <row r="1063">
      <c r="S1063">
        <f>IF(ISNUMBER('자료_거시'!$E1045),'자료_거시'!$E1045,S1062)</f>
        <v/>
      </c>
      <c r="T1063">
        <f>IF(AND(ISNUMBER('자료_거시'!$D1045),ISNUMBER('자료_거시'!$E1045)),IFERROR('자료_거시'!$E1045-INDEX($S$21:$S$4020,MATCH(EDATE('자료_거시'!$D1045,-'설정'!$B$17),'자료_거시'!$D$3:INDEX('자료_거시'!$D$3:$D$4002,$K$6),1)),""),"")</f>
        <v/>
      </c>
      <c r="U1063">
        <f>IF(ISNUMBER(T1063),'자료_거시'!$D1045,"")</f>
        <v/>
      </c>
      <c r="V1063">
        <f>IF(ISNUMBER(U1063),IF(U1063&gt;$L$6,T1063,""),"")</f>
        <v/>
      </c>
      <c r="W1063">
        <f>IF(AND(ISNUMBER('자료_거시'!$G1045),ISNUMBER('자료_거시'!$H1045)),'자료_거시'!$H1045,"")</f>
        <v/>
      </c>
      <c r="X1063">
        <f>IF(ISNUMBER(W1063),'자료_거시'!$G1045,"")</f>
        <v/>
      </c>
      <c r="Y1063">
        <f>IF(ISNUMBER(X1063),IF(X1063&gt;$L$7,W1063,""),"")</f>
        <v/>
      </c>
      <c r="Z1063">
        <f>IF(ISNUMBER('자료_거시'!$K1045),'자료_거시'!$K1045,Z1062)</f>
        <v/>
      </c>
      <c r="AA1063">
        <f>IF(AND(ISNUMBER('자료_거시'!$J1045),ISNUMBER('자료_거시'!$K1045)),IFERROR('자료_거시'!$K1045/INDEX($Z$21:$Z$4020,MATCH(EDATE('자료_거시'!$J1045,-'설정'!$B$17),'자료_거시'!$J$3:INDEX('자료_거시'!$J$3:$J$4002,$K$8),1))-1,""),"")</f>
        <v/>
      </c>
      <c r="AB1063">
        <f>IF(ISNUMBER(AA1063),'자료_거시'!$J1045,"")</f>
        <v/>
      </c>
      <c r="AC1063">
        <f>IF(ISNUMBER(AB1063),IF(AB1063&gt;$L$8,AA1063,""),"")</f>
        <v/>
      </c>
    </row>
    <row r="1064">
      <c r="S1064">
        <f>IF(ISNUMBER('자료_거시'!$E1046),'자료_거시'!$E1046,S1063)</f>
        <v/>
      </c>
      <c r="T1064">
        <f>IF(AND(ISNUMBER('자료_거시'!$D1046),ISNUMBER('자료_거시'!$E1046)),IFERROR('자료_거시'!$E1046-INDEX($S$21:$S$4020,MATCH(EDATE('자료_거시'!$D1046,-'설정'!$B$17),'자료_거시'!$D$3:INDEX('자료_거시'!$D$3:$D$4002,$K$6),1)),""),"")</f>
        <v/>
      </c>
      <c r="U1064">
        <f>IF(ISNUMBER(T1064),'자료_거시'!$D1046,"")</f>
        <v/>
      </c>
      <c r="V1064">
        <f>IF(ISNUMBER(U1064),IF(U1064&gt;$L$6,T1064,""),"")</f>
        <v/>
      </c>
      <c r="W1064">
        <f>IF(AND(ISNUMBER('자료_거시'!$G1046),ISNUMBER('자료_거시'!$H1046)),'자료_거시'!$H1046,"")</f>
        <v/>
      </c>
      <c r="X1064">
        <f>IF(ISNUMBER(W1064),'자료_거시'!$G1046,"")</f>
        <v/>
      </c>
      <c r="Y1064">
        <f>IF(ISNUMBER(X1064),IF(X1064&gt;$L$7,W1064,""),"")</f>
        <v/>
      </c>
      <c r="Z1064">
        <f>IF(ISNUMBER('자료_거시'!$K1046),'자료_거시'!$K1046,Z1063)</f>
        <v/>
      </c>
      <c r="AA1064">
        <f>IF(AND(ISNUMBER('자료_거시'!$J1046),ISNUMBER('자료_거시'!$K1046)),IFERROR('자료_거시'!$K1046/INDEX($Z$21:$Z$4020,MATCH(EDATE('자료_거시'!$J1046,-'설정'!$B$17),'자료_거시'!$J$3:INDEX('자료_거시'!$J$3:$J$4002,$K$8),1))-1,""),"")</f>
        <v/>
      </c>
      <c r="AB1064">
        <f>IF(ISNUMBER(AA1064),'자료_거시'!$J1046,"")</f>
        <v/>
      </c>
      <c r="AC1064">
        <f>IF(ISNUMBER(AB1064),IF(AB1064&gt;$L$8,AA1064,""),"")</f>
        <v/>
      </c>
    </row>
    <row r="1065">
      <c r="S1065">
        <f>IF(ISNUMBER('자료_거시'!$E1047),'자료_거시'!$E1047,S1064)</f>
        <v/>
      </c>
      <c r="T1065">
        <f>IF(AND(ISNUMBER('자료_거시'!$D1047),ISNUMBER('자료_거시'!$E1047)),IFERROR('자료_거시'!$E1047-INDEX($S$21:$S$4020,MATCH(EDATE('자료_거시'!$D1047,-'설정'!$B$17),'자료_거시'!$D$3:INDEX('자료_거시'!$D$3:$D$4002,$K$6),1)),""),"")</f>
        <v/>
      </c>
      <c r="U1065">
        <f>IF(ISNUMBER(T1065),'자료_거시'!$D1047,"")</f>
        <v/>
      </c>
      <c r="V1065">
        <f>IF(ISNUMBER(U1065),IF(U1065&gt;$L$6,T1065,""),"")</f>
        <v/>
      </c>
      <c r="W1065">
        <f>IF(AND(ISNUMBER('자료_거시'!$G1047),ISNUMBER('자료_거시'!$H1047)),'자료_거시'!$H1047,"")</f>
        <v/>
      </c>
      <c r="X1065">
        <f>IF(ISNUMBER(W1065),'자료_거시'!$G1047,"")</f>
        <v/>
      </c>
      <c r="Y1065">
        <f>IF(ISNUMBER(X1065),IF(X1065&gt;$L$7,W1065,""),"")</f>
        <v/>
      </c>
      <c r="Z1065">
        <f>IF(ISNUMBER('자료_거시'!$K1047),'자료_거시'!$K1047,Z1064)</f>
        <v/>
      </c>
      <c r="AA1065">
        <f>IF(AND(ISNUMBER('자료_거시'!$J1047),ISNUMBER('자료_거시'!$K1047)),IFERROR('자료_거시'!$K1047/INDEX($Z$21:$Z$4020,MATCH(EDATE('자료_거시'!$J1047,-'설정'!$B$17),'자료_거시'!$J$3:INDEX('자료_거시'!$J$3:$J$4002,$K$8),1))-1,""),"")</f>
        <v/>
      </c>
      <c r="AB1065">
        <f>IF(ISNUMBER(AA1065),'자료_거시'!$J1047,"")</f>
        <v/>
      </c>
      <c r="AC1065">
        <f>IF(ISNUMBER(AB1065),IF(AB1065&gt;$L$8,AA1065,""),"")</f>
        <v/>
      </c>
    </row>
    <row r="1066">
      <c r="S1066">
        <f>IF(ISNUMBER('자료_거시'!$E1048),'자료_거시'!$E1048,S1065)</f>
        <v/>
      </c>
      <c r="T1066">
        <f>IF(AND(ISNUMBER('자료_거시'!$D1048),ISNUMBER('자료_거시'!$E1048)),IFERROR('자료_거시'!$E1048-INDEX($S$21:$S$4020,MATCH(EDATE('자료_거시'!$D1048,-'설정'!$B$17),'자료_거시'!$D$3:INDEX('자료_거시'!$D$3:$D$4002,$K$6),1)),""),"")</f>
        <v/>
      </c>
      <c r="U1066">
        <f>IF(ISNUMBER(T1066),'자료_거시'!$D1048,"")</f>
        <v/>
      </c>
      <c r="V1066">
        <f>IF(ISNUMBER(U1066),IF(U1066&gt;$L$6,T1066,""),"")</f>
        <v/>
      </c>
      <c r="W1066">
        <f>IF(AND(ISNUMBER('자료_거시'!$G1048),ISNUMBER('자료_거시'!$H1048)),'자료_거시'!$H1048,"")</f>
        <v/>
      </c>
      <c r="X1066">
        <f>IF(ISNUMBER(W1066),'자료_거시'!$G1048,"")</f>
        <v/>
      </c>
      <c r="Y1066">
        <f>IF(ISNUMBER(X1066),IF(X1066&gt;$L$7,W1066,""),"")</f>
        <v/>
      </c>
      <c r="Z1066">
        <f>IF(ISNUMBER('자료_거시'!$K1048),'자료_거시'!$K1048,Z1065)</f>
        <v/>
      </c>
      <c r="AA1066">
        <f>IF(AND(ISNUMBER('자료_거시'!$J1048),ISNUMBER('자료_거시'!$K1048)),IFERROR('자료_거시'!$K1048/INDEX($Z$21:$Z$4020,MATCH(EDATE('자료_거시'!$J1048,-'설정'!$B$17),'자료_거시'!$J$3:INDEX('자료_거시'!$J$3:$J$4002,$K$8),1))-1,""),"")</f>
        <v/>
      </c>
      <c r="AB1066">
        <f>IF(ISNUMBER(AA1066),'자료_거시'!$J1048,"")</f>
        <v/>
      </c>
      <c r="AC1066">
        <f>IF(ISNUMBER(AB1066),IF(AB1066&gt;$L$8,AA1066,""),"")</f>
        <v/>
      </c>
    </row>
    <row r="1067">
      <c r="S1067">
        <f>IF(ISNUMBER('자료_거시'!$E1049),'자료_거시'!$E1049,S1066)</f>
        <v/>
      </c>
      <c r="T1067">
        <f>IF(AND(ISNUMBER('자료_거시'!$D1049),ISNUMBER('자료_거시'!$E1049)),IFERROR('자료_거시'!$E1049-INDEX($S$21:$S$4020,MATCH(EDATE('자료_거시'!$D1049,-'설정'!$B$17),'자료_거시'!$D$3:INDEX('자료_거시'!$D$3:$D$4002,$K$6),1)),""),"")</f>
        <v/>
      </c>
      <c r="U1067">
        <f>IF(ISNUMBER(T1067),'자료_거시'!$D1049,"")</f>
        <v/>
      </c>
      <c r="V1067">
        <f>IF(ISNUMBER(U1067),IF(U1067&gt;$L$6,T1067,""),"")</f>
        <v/>
      </c>
      <c r="W1067">
        <f>IF(AND(ISNUMBER('자료_거시'!$G1049),ISNUMBER('자료_거시'!$H1049)),'자료_거시'!$H1049,"")</f>
        <v/>
      </c>
      <c r="X1067">
        <f>IF(ISNUMBER(W1067),'자료_거시'!$G1049,"")</f>
        <v/>
      </c>
      <c r="Y1067">
        <f>IF(ISNUMBER(X1067),IF(X1067&gt;$L$7,W1067,""),"")</f>
        <v/>
      </c>
      <c r="Z1067">
        <f>IF(ISNUMBER('자료_거시'!$K1049),'자료_거시'!$K1049,Z1066)</f>
        <v/>
      </c>
      <c r="AA1067">
        <f>IF(AND(ISNUMBER('자료_거시'!$J1049),ISNUMBER('자료_거시'!$K1049)),IFERROR('자료_거시'!$K1049/INDEX($Z$21:$Z$4020,MATCH(EDATE('자료_거시'!$J1049,-'설정'!$B$17),'자료_거시'!$J$3:INDEX('자료_거시'!$J$3:$J$4002,$K$8),1))-1,""),"")</f>
        <v/>
      </c>
      <c r="AB1067">
        <f>IF(ISNUMBER(AA1067),'자료_거시'!$J1049,"")</f>
        <v/>
      </c>
      <c r="AC1067">
        <f>IF(ISNUMBER(AB1067),IF(AB1067&gt;$L$8,AA1067,""),"")</f>
        <v/>
      </c>
    </row>
    <row r="1068">
      <c r="S1068">
        <f>IF(ISNUMBER('자료_거시'!$E1050),'자료_거시'!$E1050,S1067)</f>
        <v/>
      </c>
      <c r="T1068">
        <f>IF(AND(ISNUMBER('자료_거시'!$D1050),ISNUMBER('자료_거시'!$E1050)),IFERROR('자료_거시'!$E1050-INDEX($S$21:$S$4020,MATCH(EDATE('자료_거시'!$D1050,-'설정'!$B$17),'자료_거시'!$D$3:INDEX('자료_거시'!$D$3:$D$4002,$K$6),1)),""),"")</f>
        <v/>
      </c>
      <c r="U1068">
        <f>IF(ISNUMBER(T1068),'자료_거시'!$D1050,"")</f>
        <v/>
      </c>
      <c r="V1068">
        <f>IF(ISNUMBER(U1068),IF(U1068&gt;$L$6,T1068,""),"")</f>
        <v/>
      </c>
      <c r="W1068">
        <f>IF(AND(ISNUMBER('자료_거시'!$G1050),ISNUMBER('자료_거시'!$H1050)),'자료_거시'!$H1050,"")</f>
        <v/>
      </c>
      <c r="X1068">
        <f>IF(ISNUMBER(W1068),'자료_거시'!$G1050,"")</f>
        <v/>
      </c>
      <c r="Y1068">
        <f>IF(ISNUMBER(X1068),IF(X1068&gt;$L$7,W1068,""),"")</f>
        <v/>
      </c>
      <c r="Z1068">
        <f>IF(ISNUMBER('자료_거시'!$K1050),'자료_거시'!$K1050,Z1067)</f>
        <v/>
      </c>
      <c r="AA1068">
        <f>IF(AND(ISNUMBER('자료_거시'!$J1050),ISNUMBER('자료_거시'!$K1050)),IFERROR('자료_거시'!$K1050/INDEX($Z$21:$Z$4020,MATCH(EDATE('자료_거시'!$J1050,-'설정'!$B$17),'자료_거시'!$J$3:INDEX('자료_거시'!$J$3:$J$4002,$K$8),1))-1,""),"")</f>
        <v/>
      </c>
      <c r="AB1068">
        <f>IF(ISNUMBER(AA1068),'자료_거시'!$J1050,"")</f>
        <v/>
      </c>
      <c r="AC1068">
        <f>IF(ISNUMBER(AB1068),IF(AB1068&gt;$L$8,AA1068,""),"")</f>
        <v/>
      </c>
    </row>
    <row r="1069">
      <c r="S1069">
        <f>IF(ISNUMBER('자료_거시'!$E1051),'자료_거시'!$E1051,S1068)</f>
        <v/>
      </c>
      <c r="T1069">
        <f>IF(AND(ISNUMBER('자료_거시'!$D1051),ISNUMBER('자료_거시'!$E1051)),IFERROR('자료_거시'!$E1051-INDEX($S$21:$S$4020,MATCH(EDATE('자료_거시'!$D1051,-'설정'!$B$17),'자료_거시'!$D$3:INDEX('자료_거시'!$D$3:$D$4002,$K$6),1)),""),"")</f>
        <v/>
      </c>
      <c r="U1069">
        <f>IF(ISNUMBER(T1069),'자료_거시'!$D1051,"")</f>
        <v/>
      </c>
      <c r="V1069">
        <f>IF(ISNUMBER(U1069),IF(U1069&gt;$L$6,T1069,""),"")</f>
        <v/>
      </c>
      <c r="W1069">
        <f>IF(AND(ISNUMBER('자료_거시'!$G1051),ISNUMBER('자료_거시'!$H1051)),'자료_거시'!$H1051,"")</f>
        <v/>
      </c>
      <c r="X1069">
        <f>IF(ISNUMBER(W1069),'자료_거시'!$G1051,"")</f>
        <v/>
      </c>
      <c r="Y1069">
        <f>IF(ISNUMBER(X1069),IF(X1069&gt;$L$7,W1069,""),"")</f>
        <v/>
      </c>
      <c r="Z1069">
        <f>IF(ISNUMBER('자료_거시'!$K1051),'자료_거시'!$K1051,Z1068)</f>
        <v/>
      </c>
      <c r="AA1069">
        <f>IF(AND(ISNUMBER('자료_거시'!$J1051),ISNUMBER('자료_거시'!$K1051)),IFERROR('자료_거시'!$K1051/INDEX($Z$21:$Z$4020,MATCH(EDATE('자료_거시'!$J1051,-'설정'!$B$17),'자료_거시'!$J$3:INDEX('자료_거시'!$J$3:$J$4002,$K$8),1))-1,""),"")</f>
        <v/>
      </c>
      <c r="AB1069">
        <f>IF(ISNUMBER(AA1069),'자료_거시'!$J1051,"")</f>
        <v/>
      </c>
      <c r="AC1069">
        <f>IF(ISNUMBER(AB1069),IF(AB1069&gt;$L$8,AA1069,""),"")</f>
        <v/>
      </c>
    </row>
    <row r="1070">
      <c r="S1070">
        <f>IF(ISNUMBER('자료_거시'!$E1052),'자료_거시'!$E1052,S1069)</f>
        <v/>
      </c>
      <c r="T1070">
        <f>IF(AND(ISNUMBER('자료_거시'!$D1052),ISNUMBER('자료_거시'!$E1052)),IFERROR('자료_거시'!$E1052-INDEX($S$21:$S$4020,MATCH(EDATE('자료_거시'!$D1052,-'설정'!$B$17),'자료_거시'!$D$3:INDEX('자료_거시'!$D$3:$D$4002,$K$6),1)),""),"")</f>
        <v/>
      </c>
      <c r="U1070">
        <f>IF(ISNUMBER(T1070),'자료_거시'!$D1052,"")</f>
        <v/>
      </c>
      <c r="V1070">
        <f>IF(ISNUMBER(U1070),IF(U1070&gt;$L$6,T1070,""),"")</f>
        <v/>
      </c>
      <c r="W1070">
        <f>IF(AND(ISNUMBER('자료_거시'!$G1052),ISNUMBER('자료_거시'!$H1052)),'자료_거시'!$H1052,"")</f>
        <v/>
      </c>
      <c r="X1070">
        <f>IF(ISNUMBER(W1070),'자료_거시'!$G1052,"")</f>
        <v/>
      </c>
      <c r="Y1070">
        <f>IF(ISNUMBER(X1070),IF(X1070&gt;$L$7,W1070,""),"")</f>
        <v/>
      </c>
      <c r="Z1070">
        <f>IF(ISNUMBER('자료_거시'!$K1052),'자료_거시'!$K1052,Z1069)</f>
        <v/>
      </c>
      <c r="AA1070">
        <f>IF(AND(ISNUMBER('자료_거시'!$J1052),ISNUMBER('자료_거시'!$K1052)),IFERROR('자료_거시'!$K1052/INDEX($Z$21:$Z$4020,MATCH(EDATE('자료_거시'!$J1052,-'설정'!$B$17),'자료_거시'!$J$3:INDEX('자료_거시'!$J$3:$J$4002,$K$8),1))-1,""),"")</f>
        <v/>
      </c>
      <c r="AB1070">
        <f>IF(ISNUMBER(AA1070),'자료_거시'!$J1052,"")</f>
        <v/>
      </c>
      <c r="AC1070">
        <f>IF(ISNUMBER(AB1070),IF(AB1070&gt;$L$8,AA1070,""),"")</f>
        <v/>
      </c>
    </row>
    <row r="1071">
      <c r="S1071">
        <f>IF(ISNUMBER('자료_거시'!$E1053),'자료_거시'!$E1053,S1070)</f>
        <v/>
      </c>
      <c r="T1071">
        <f>IF(AND(ISNUMBER('자료_거시'!$D1053),ISNUMBER('자료_거시'!$E1053)),IFERROR('자료_거시'!$E1053-INDEX($S$21:$S$4020,MATCH(EDATE('자료_거시'!$D1053,-'설정'!$B$17),'자료_거시'!$D$3:INDEX('자료_거시'!$D$3:$D$4002,$K$6),1)),""),"")</f>
        <v/>
      </c>
      <c r="U1071">
        <f>IF(ISNUMBER(T1071),'자료_거시'!$D1053,"")</f>
        <v/>
      </c>
      <c r="V1071">
        <f>IF(ISNUMBER(U1071),IF(U1071&gt;$L$6,T1071,""),"")</f>
        <v/>
      </c>
      <c r="W1071">
        <f>IF(AND(ISNUMBER('자료_거시'!$G1053),ISNUMBER('자료_거시'!$H1053)),'자료_거시'!$H1053,"")</f>
        <v/>
      </c>
      <c r="X1071">
        <f>IF(ISNUMBER(W1071),'자료_거시'!$G1053,"")</f>
        <v/>
      </c>
      <c r="Y1071">
        <f>IF(ISNUMBER(X1071),IF(X1071&gt;$L$7,W1071,""),"")</f>
        <v/>
      </c>
      <c r="Z1071">
        <f>IF(ISNUMBER('자료_거시'!$K1053),'자료_거시'!$K1053,Z1070)</f>
        <v/>
      </c>
      <c r="AA1071">
        <f>IF(AND(ISNUMBER('자료_거시'!$J1053),ISNUMBER('자료_거시'!$K1053)),IFERROR('자료_거시'!$K1053/INDEX($Z$21:$Z$4020,MATCH(EDATE('자료_거시'!$J1053,-'설정'!$B$17),'자료_거시'!$J$3:INDEX('자료_거시'!$J$3:$J$4002,$K$8),1))-1,""),"")</f>
        <v/>
      </c>
      <c r="AB1071">
        <f>IF(ISNUMBER(AA1071),'자료_거시'!$J1053,"")</f>
        <v/>
      </c>
      <c r="AC1071">
        <f>IF(ISNUMBER(AB1071),IF(AB1071&gt;$L$8,AA1071,""),"")</f>
        <v/>
      </c>
    </row>
    <row r="1072">
      <c r="S1072">
        <f>IF(ISNUMBER('자료_거시'!$E1054),'자료_거시'!$E1054,S1071)</f>
        <v/>
      </c>
      <c r="T1072">
        <f>IF(AND(ISNUMBER('자료_거시'!$D1054),ISNUMBER('자료_거시'!$E1054)),IFERROR('자료_거시'!$E1054-INDEX($S$21:$S$4020,MATCH(EDATE('자료_거시'!$D1054,-'설정'!$B$17),'자료_거시'!$D$3:INDEX('자료_거시'!$D$3:$D$4002,$K$6),1)),""),"")</f>
        <v/>
      </c>
      <c r="U1072">
        <f>IF(ISNUMBER(T1072),'자료_거시'!$D1054,"")</f>
        <v/>
      </c>
      <c r="V1072">
        <f>IF(ISNUMBER(U1072),IF(U1072&gt;$L$6,T1072,""),"")</f>
        <v/>
      </c>
      <c r="W1072">
        <f>IF(AND(ISNUMBER('자료_거시'!$G1054),ISNUMBER('자료_거시'!$H1054)),'자료_거시'!$H1054,"")</f>
        <v/>
      </c>
      <c r="X1072">
        <f>IF(ISNUMBER(W1072),'자료_거시'!$G1054,"")</f>
        <v/>
      </c>
      <c r="Y1072">
        <f>IF(ISNUMBER(X1072),IF(X1072&gt;$L$7,W1072,""),"")</f>
        <v/>
      </c>
      <c r="Z1072">
        <f>IF(ISNUMBER('자료_거시'!$K1054),'자료_거시'!$K1054,Z1071)</f>
        <v/>
      </c>
      <c r="AA1072">
        <f>IF(AND(ISNUMBER('자료_거시'!$J1054),ISNUMBER('자료_거시'!$K1054)),IFERROR('자료_거시'!$K1054/INDEX($Z$21:$Z$4020,MATCH(EDATE('자료_거시'!$J1054,-'설정'!$B$17),'자료_거시'!$J$3:INDEX('자료_거시'!$J$3:$J$4002,$K$8),1))-1,""),"")</f>
        <v/>
      </c>
      <c r="AB1072">
        <f>IF(ISNUMBER(AA1072),'자료_거시'!$J1054,"")</f>
        <v/>
      </c>
      <c r="AC1072">
        <f>IF(ISNUMBER(AB1072),IF(AB1072&gt;$L$8,AA1072,""),"")</f>
        <v/>
      </c>
    </row>
    <row r="1073">
      <c r="S1073">
        <f>IF(ISNUMBER('자료_거시'!$E1055),'자료_거시'!$E1055,S1072)</f>
        <v/>
      </c>
      <c r="T1073">
        <f>IF(AND(ISNUMBER('자료_거시'!$D1055),ISNUMBER('자료_거시'!$E1055)),IFERROR('자료_거시'!$E1055-INDEX($S$21:$S$4020,MATCH(EDATE('자료_거시'!$D1055,-'설정'!$B$17),'자료_거시'!$D$3:INDEX('자료_거시'!$D$3:$D$4002,$K$6),1)),""),"")</f>
        <v/>
      </c>
      <c r="U1073">
        <f>IF(ISNUMBER(T1073),'자료_거시'!$D1055,"")</f>
        <v/>
      </c>
      <c r="V1073">
        <f>IF(ISNUMBER(U1073),IF(U1073&gt;$L$6,T1073,""),"")</f>
        <v/>
      </c>
      <c r="W1073">
        <f>IF(AND(ISNUMBER('자료_거시'!$G1055),ISNUMBER('자료_거시'!$H1055)),'자료_거시'!$H1055,"")</f>
        <v/>
      </c>
      <c r="X1073">
        <f>IF(ISNUMBER(W1073),'자료_거시'!$G1055,"")</f>
        <v/>
      </c>
      <c r="Y1073">
        <f>IF(ISNUMBER(X1073),IF(X1073&gt;$L$7,W1073,""),"")</f>
        <v/>
      </c>
      <c r="Z1073">
        <f>IF(ISNUMBER('자료_거시'!$K1055),'자료_거시'!$K1055,Z1072)</f>
        <v/>
      </c>
      <c r="AA1073">
        <f>IF(AND(ISNUMBER('자료_거시'!$J1055),ISNUMBER('자료_거시'!$K1055)),IFERROR('자료_거시'!$K1055/INDEX($Z$21:$Z$4020,MATCH(EDATE('자료_거시'!$J1055,-'설정'!$B$17),'자료_거시'!$J$3:INDEX('자료_거시'!$J$3:$J$4002,$K$8),1))-1,""),"")</f>
        <v/>
      </c>
      <c r="AB1073">
        <f>IF(ISNUMBER(AA1073),'자료_거시'!$J1055,"")</f>
        <v/>
      </c>
      <c r="AC1073">
        <f>IF(ISNUMBER(AB1073),IF(AB1073&gt;$L$8,AA1073,""),"")</f>
        <v/>
      </c>
    </row>
    <row r="1074">
      <c r="S1074">
        <f>IF(ISNUMBER('자료_거시'!$E1056),'자료_거시'!$E1056,S1073)</f>
        <v/>
      </c>
      <c r="T1074">
        <f>IF(AND(ISNUMBER('자료_거시'!$D1056),ISNUMBER('자료_거시'!$E1056)),IFERROR('자료_거시'!$E1056-INDEX($S$21:$S$4020,MATCH(EDATE('자료_거시'!$D1056,-'설정'!$B$17),'자료_거시'!$D$3:INDEX('자료_거시'!$D$3:$D$4002,$K$6),1)),""),"")</f>
        <v/>
      </c>
      <c r="U1074">
        <f>IF(ISNUMBER(T1074),'자료_거시'!$D1056,"")</f>
        <v/>
      </c>
      <c r="V1074">
        <f>IF(ISNUMBER(U1074),IF(U1074&gt;$L$6,T1074,""),"")</f>
        <v/>
      </c>
      <c r="W1074">
        <f>IF(AND(ISNUMBER('자료_거시'!$G1056),ISNUMBER('자료_거시'!$H1056)),'자료_거시'!$H1056,"")</f>
        <v/>
      </c>
      <c r="X1074">
        <f>IF(ISNUMBER(W1074),'자료_거시'!$G1056,"")</f>
        <v/>
      </c>
      <c r="Y1074">
        <f>IF(ISNUMBER(X1074),IF(X1074&gt;$L$7,W1074,""),"")</f>
        <v/>
      </c>
      <c r="Z1074">
        <f>IF(ISNUMBER('자료_거시'!$K1056),'자료_거시'!$K1056,Z1073)</f>
        <v/>
      </c>
      <c r="AA1074">
        <f>IF(AND(ISNUMBER('자료_거시'!$J1056),ISNUMBER('자료_거시'!$K1056)),IFERROR('자료_거시'!$K1056/INDEX($Z$21:$Z$4020,MATCH(EDATE('자료_거시'!$J1056,-'설정'!$B$17),'자료_거시'!$J$3:INDEX('자료_거시'!$J$3:$J$4002,$K$8),1))-1,""),"")</f>
        <v/>
      </c>
      <c r="AB1074">
        <f>IF(ISNUMBER(AA1074),'자료_거시'!$J1056,"")</f>
        <v/>
      </c>
      <c r="AC1074">
        <f>IF(ISNUMBER(AB1074),IF(AB1074&gt;$L$8,AA1074,""),"")</f>
        <v/>
      </c>
    </row>
    <row r="1075">
      <c r="S1075">
        <f>IF(ISNUMBER('자료_거시'!$E1057),'자료_거시'!$E1057,S1074)</f>
        <v/>
      </c>
      <c r="T1075">
        <f>IF(AND(ISNUMBER('자료_거시'!$D1057),ISNUMBER('자료_거시'!$E1057)),IFERROR('자료_거시'!$E1057-INDEX($S$21:$S$4020,MATCH(EDATE('자료_거시'!$D1057,-'설정'!$B$17),'자료_거시'!$D$3:INDEX('자료_거시'!$D$3:$D$4002,$K$6),1)),""),"")</f>
        <v/>
      </c>
      <c r="U1075">
        <f>IF(ISNUMBER(T1075),'자료_거시'!$D1057,"")</f>
        <v/>
      </c>
      <c r="V1075">
        <f>IF(ISNUMBER(U1075),IF(U1075&gt;$L$6,T1075,""),"")</f>
        <v/>
      </c>
      <c r="W1075">
        <f>IF(AND(ISNUMBER('자료_거시'!$G1057),ISNUMBER('자료_거시'!$H1057)),'자료_거시'!$H1057,"")</f>
        <v/>
      </c>
      <c r="X1075">
        <f>IF(ISNUMBER(W1075),'자료_거시'!$G1057,"")</f>
        <v/>
      </c>
      <c r="Y1075">
        <f>IF(ISNUMBER(X1075),IF(X1075&gt;$L$7,W1075,""),"")</f>
        <v/>
      </c>
      <c r="Z1075">
        <f>IF(ISNUMBER('자료_거시'!$K1057),'자료_거시'!$K1057,Z1074)</f>
        <v/>
      </c>
      <c r="AA1075">
        <f>IF(AND(ISNUMBER('자료_거시'!$J1057),ISNUMBER('자료_거시'!$K1057)),IFERROR('자료_거시'!$K1057/INDEX($Z$21:$Z$4020,MATCH(EDATE('자료_거시'!$J1057,-'설정'!$B$17),'자료_거시'!$J$3:INDEX('자료_거시'!$J$3:$J$4002,$K$8),1))-1,""),"")</f>
        <v/>
      </c>
      <c r="AB1075">
        <f>IF(ISNUMBER(AA1075),'자료_거시'!$J1057,"")</f>
        <v/>
      </c>
      <c r="AC1075">
        <f>IF(ISNUMBER(AB1075),IF(AB1075&gt;$L$8,AA1075,""),"")</f>
        <v/>
      </c>
    </row>
    <row r="1076">
      <c r="S1076">
        <f>IF(ISNUMBER('자료_거시'!$E1058),'자료_거시'!$E1058,S1075)</f>
        <v/>
      </c>
      <c r="T1076">
        <f>IF(AND(ISNUMBER('자료_거시'!$D1058),ISNUMBER('자료_거시'!$E1058)),IFERROR('자료_거시'!$E1058-INDEX($S$21:$S$4020,MATCH(EDATE('자료_거시'!$D1058,-'설정'!$B$17),'자료_거시'!$D$3:INDEX('자료_거시'!$D$3:$D$4002,$K$6),1)),""),"")</f>
        <v/>
      </c>
      <c r="U1076">
        <f>IF(ISNUMBER(T1076),'자료_거시'!$D1058,"")</f>
        <v/>
      </c>
      <c r="V1076">
        <f>IF(ISNUMBER(U1076),IF(U1076&gt;$L$6,T1076,""),"")</f>
        <v/>
      </c>
      <c r="W1076">
        <f>IF(AND(ISNUMBER('자료_거시'!$G1058),ISNUMBER('자료_거시'!$H1058)),'자료_거시'!$H1058,"")</f>
        <v/>
      </c>
      <c r="X1076">
        <f>IF(ISNUMBER(W1076),'자료_거시'!$G1058,"")</f>
        <v/>
      </c>
      <c r="Y1076">
        <f>IF(ISNUMBER(X1076),IF(X1076&gt;$L$7,W1076,""),"")</f>
        <v/>
      </c>
      <c r="Z1076">
        <f>IF(ISNUMBER('자료_거시'!$K1058),'자료_거시'!$K1058,Z1075)</f>
        <v/>
      </c>
      <c r="AA1076">
        <f>IF(AND(ISNUMBER('자료_거시'!$J1058),ISNUMBER('자료_거시'!$K1058)),IFERROR('자료_거시'!$K1058/INDEX($Z$21:$Z$4020,MATCH(EDATE('자료_거시'!$J1058,-'설정'!$B$17),'자료_거시'!$J$3:INDEX('자료_거시'!$J$3:$J$4002,$K$8),1))-1,""),"")</f>
        <v/>
      </c>
      <c r="AB1076">
        <f>IF(ISNUMBER(AA1076),'자료_거시'!$J1058,"")</f>
        <v/>
      </c>
      <c r="AC1076">
        <f>IF(ISNUMBER(AB1076),IF(AB1076&gt;$L$8,AA1076,""),"")</f>
        <v/>
      </c>
    </row>
    <row r="1077">
      <c r="S1077">
        <f>IF(ISNUMBER('자료_거시'!$E1059),'자료_거시'!$E1059,S1076)</f>
        <v/>
      </c>
      <c r="T1077">
        <f>IF(AND(ISNUMBER('자료_거시'!$D1059),ISNUMBER('자료_거시'!$E1059)),IFERROR('자료_거시'!$E1059-INDEX($S$21:$S$4020,MATCH(EDATE('자료_거시'!$D1059,-'설정'!$B$17),'자료_거시'!$D$3:INDEX('자료_거시'!$D$3:$D$4002,$K$6),1)),""),"")</f>
        <v/>
      </c>
      <c r="U1077">
        <f>IF(ISNUMBER(T1077),'자료_거시'!$D1059,"")</f>
        <v/>
      </c>
      <c r="V1077">
        <f>IF(ISNUMBER(U1077),IF(U1077&gt;$L$6,T1077,""),"")</f>
        <v/>
      </c>
      <c r="W1077">
        <f>IF(AND(ISNUMBER('자료_거시'!$G1059),ISNUMBER('자료_거시'!$H1059)),'자료_거시'!$H1059,"")</f>
        <v/>
      </c>
      <c r="X1077">
        <f>IF(ISNUMBER(W1077),'자료_거시'!$G1059,"")</f>
        <v/>
      </c>
      <c r="Y1077">
        <f>IF(ISNUMBER(X1077),IF(X1077&gt;$L$7,W1077,""),"")</f>
        <v/>
      </c>
      <c r="Z1077">
        <f>IF(ISNUMBER('자료_거시'!$K1059),'자료_거시'!$K1059,Z1076)</f>
        <v/>
      </c>
      <c r="AA1077">
        <f>IF(AND(ISNUMBER('자료_거시'!$J1059),ISNUMBER('자료_거시'!$K1059)),IFERROR('자료_거시'!$K1059/INDEX($Z$21:$Z$4020,MATCH(EDATE('자료_거시'!$J1059,-'설정'!$B$17),'자료_거시'!$J$3:INDEX('자료_거시'!$J$3:$J$4002,$K$8),1))-1,""),"")</f>
        <v/>
      </c>
      <c r="AB1077">
        <f>IF(ISNUMBER(AA1077),'자료_거시'!$J1059,"")</f>
        <v/>
      </c>
      <c r="AC1077">
        <f>IF(ISNUMBER(AB1077),IF(AB1077&gt;$L$8,AA1077,""),"")</f>
        <v/>
      </c>
    </row>
    <row r="1078">
      <c r="S1078">
        <f>IF(ISNUMBER('자료_거시'!$E1060),'자료_거시'!$E1060,S1077)</f>
        <v/>
      </c>
      <c r="T1078">
        <f>IF(AND(ISNUMBER('자료_거시'!$D1060),ISNUMBER('자료_거시'!$E1060)),IFERROR('자료_거시'!$E1060-INDEX($S$21:$S$4020,MATCH(EDATE('자료_거시'!$D1060,-'설정'!$B$17),'자료_거시'!$D$3:INDEX('자료_거시'!$D$3:$D$4002,$K$6),1)),""),"")</f>
        <v/>
      </c>
      <c r="U1078">
        <f>IF(ISNUMBER(T1078),'자료_거시'!$D1060,"")</f>
        <v/>
      </c>
      <c r="V1078">
        <f>IF(ISNUMBER(U1078),IF(U1078&gt;$L$6,T1078,""),"")</f>
        <v/>
      </c>
      <c r="W1078">
        <f>IF(AND(ISNUMBER('자료_거시'!$G1060),ISNUMBER('자료_거시'!$H1060)),'자료_거시'!$H1060,"")</f>
        <v/>
      </c>
      <c r="X1078">
        <f>IF(ISNUMBER(W1078),'자료_거시'!$G1060,"")</f>
        <v/>
      </c>
      <c r="Y1078">
        <f>IF(ISNUMBER(X1078),IF(X1078&gt;$L$7,W1078,""),"")</f>
        <v/>
      </c>
      <c r="Z1078">
        <f>IF(ISNUMBER('자료_거시'!$K1060),'자료_거시'!$K1060,Z1077)</f>
        <v/>
      </c>
      <c r="AA1078">
        <f>IF(AND(ISNUMBER('자료_거시'!$J1060),ISNUMBER('자료_거시'!$K1060)),IFERROR('자료_거시'!$K1060/INDEX($Z$21:$Z$4020,MATCH(EDATE('자료_거시'!$J1060,-'설정'!$B$17),'자료_거시'!$J$3:INDEX('자료_거시'!$J$3:$J$4002,$K$8),1))-1,""),"")</f>
        <v/>
      </c>
      <c r="AB1078">
        <f>IF(ISNUMBER(AA1078),'자료_거시'!$J1060,"")</f>
        <v/>
      </c>
      <c r="AC1078">
        <f>IF(ISNUMBER(AB1078),IF(AB1078&gt;$L$8,AA1078,""),"")</f>
        <v/>
      </c>
    </row>
    <row r="1079">
      <c r="S1079">
        <f>IF(ISNUMBER('자료_거시'!$E1061),'자료_거시'!$E1061,S1078)</f>
        <v/>
      </c>
      <c r="T1079">
        <f>IF(AND(ISNUMBER('자료_거시'!$D1061),ISNUMBER('자료_거시'!$E1061)),IFERROR('자료_거시'!$E1061-INDEX($S$21:$S$4020,MATCH(EDATE('자료_거시'!$D1061,-'설정'!$B$17),'자료_거시'!$D$3:INDEX('자료_거시'!$D$3:$D$4002,$K$6),1)),""),"")</f>
        <v/>
      </c>
      <c r="U1079">
        <f>IF(ISNUMBER(T1079),'자료_거시'!$D1061,"")</f>
        <v/>
      </c>
      <c r="V1079">
        <f>IF(ISNUMBER(U1079),IF(U1079&gt;$L$6,T1079,""),"")</f>
        <v/>
      </c>
      <c r="W1079">
        <f>IF(AND(ISNUMBER('자료_거시'!$G1061),ISNUMBER('자료_거시'!$H1061)),'자료_거시'!$H1061,"")</f>
        <v/>
      </c>
      <c r="X1079">
        <f>IF(ISNUMBER(W1079),'자료_거시'!$G1061,"")</f>
        <v/>
      </c>
      <c r="Y1079">
        <f>IF(ISNUMBER(X1079),IF(X1079&gt;$L$7,W1079,""),"")</f>
        <v/>
      </c>
      <c r="Z1079">
        <f>IF(ISNUMBER('자료_거시'!$K1061),'자료_거시'!$K1061,Z1078)</f>
        <v/>
      </c>
      <c r="AA1079">
        <f>IF(AND(ISNUMBER('자료_거시'!$J1061),ISNUMBER('자료_거시'!$K1061)),IFERROR('자료_거시'!$K1061/INDEX($Z$21:$Z$4020,MATCH(EDATE('자료_거시'!$J1061,-'설정'!$B$17),'자료_거시'!$J$3:INDEX('자료_거시'!$J$3:$J$4002,$K$8),1))-1,""),"")</f>
        <v/>
      </c>
      <c r="AB1079">
        <f>IF(ISNUMBER(AA1079),'자료_거시'!$J1061,"")</f>
        <v/>
      </c>
      <c r="AC1079">
        <f>IF(ISNUMBER(AB1079),IF(AB1079&gt;$L$8,AA1079,""),"")</f>
        <v/>
      </c>
    </row>
    <row r="1080">
      <c r="S1080">
        <f>IF(ISNUMBER('자료_거시'!$E1062),'자료_거시'!$E1062,S1079)</f>
        <v/>
      </c>
      <c r="T1080">
        <f>IF(AND(ISNUMBER('자료_거시'!$D1062),ISNUMBER('자료_거시'!$E1062)),IFERROR('자료_거시'!$E1062-INDEX($S$21:$S$4020,MATCH(EDATE('자료_거시'!$D1062,-'설정'!$B$17),'자료_거시'!$D$3:INDEX('자료_거시'!$D$3:$D$4002,$K$6),1)),""),"")</f>
        <v/>
      </c>
      <c r="U1080">
        <f>IF(ISNUMBER(T1080),'자료_거시'!$D1062,"")</f>
        <v/>
      </c>
      <c r="V1080">
        <f>IF(ISNUMBER(U1080),IF(U1080&gt;$L$6,T1080,""),"")</f>
        <v/>
      </c>
      <c r="W1080">
        <f>IF(AND(ISNUMBER('자료_거시'!$G1062),ISNUMBER('자료_거시'!$H1062)),'자료_거시'!$H1062,"")</f>
        <v/>
      </c>
      <c r="X1080">
        <f>IF(ISNUMBER(W1080),'자료_거시'!$G1062,"")</f>
        <v/>
      </c>
      <c r="Y1080">
        <f>IF(ISNUMBER(X1080),IF(X1080&gt;$L$7,W1080,""),"")</f>
        <v/>
      </c>
      <c r="Z1080">
        <f>IF(ISNUMBER('자료_거시'!$K1062),'자료_거시'!$K1062,Z1079)</f>
        <v/>
      </c>
      <c r="AA1080">
        <f>IF(AND(ISNUMBER('자료_거시'!$J1062),ISNUMBER('자료_거시'!$K1062)),IFERROR('자료_거시'!$K1062/INDEX($Z$21:$Z$4020,MATCH(EDATE('자료_거시'!$J1062,-'설정'!$B$17),'자료_거시'!$J$3:INDEX('자료_거시'!$J$3:$J$4002,$K$8),1))-1,""),"")</f>
        <v/>
      </c>
      <c r="AB1080">
        <f>IF(ISNUMBER(AA1080),'자료_거시'!$J1062,"")</f>
        <v/>
      </c>
      <c r="AC1080">
        <f>IF(ISNUMBER(AB1080),IF(AB1080&gt;$L$8,AA1080,""),"")</f>
        <v/>
      </c>
    </row>
    <row r="1081">
      <c r="S1081">
        <f>IF(ISNUMBER('자료_거시'!$E1063),'자료_거시'!$E1063,S1080)</f>
        <v/>
      </c>
      <c r="T1081">
        <f>IF(AND(ISNUMBER('자료_거시'!$D1063),ISNUMBER('자료_거시'!$E1063)),IFERROR('자료_거시'!$E1063-INDEX($S$21:$S$4020,MATCH(EDATE('자료_거시'!$D1063,-'설정'!$B$17),'자료_거시'!$D$3:INDEX('자료_거시'!$D$3:$D$4002,$K$6),1)),""),"")</f>
        <v/>
      </c>
      <c r="U1081">
        <f>IF(ISNUMBER(T1081),'자료_거시'!$D1063,"")</f>
        <v/>
      </c>
      <c r="V1081">
        <f>IF(ISNUMBER(U1081),IF(U1081&gt;$L$6,T1081,""),"")</f>
        <v/>
      </c>
      <c r="W1081">
        <f>IF(AND(ISNUMBER('자료_거시'!$G1063),ISNUMBER('자료_거시'!$H1063)),'자료_거시'!$H1063,"")</f>
        <v/>
      </c>
      <c r="X1081">
        <f>IF(ISNUMBER(W1081),'자료_거시'!$G1063,"")</f>
        <v/>
      </c>
      <c r="Y1081">
        <f>IF(ISNUMBER(X1081),IF(X1081&gt;$L$7,W1081,""),"")</f>
        <v/>
      </c>
      <c r="Z1081">
        <f>IF(ISNUMBER('자료_거시'!$K1063),'자료_거시'!$K1063,Z1080)</f>
        <v/>
      </c>
      <c r="AA1081">
        <f>IF(AND(ISNUMBER('자료_거시'!$J1063),ISNUMBER('자료_거시'!$K1063)),IFERROR('자료_거시'!$K1063/INDEX($Z$21:$Z$4020,MATCH(EDATE('자료_거시'!$J1063,-'설정'!$B$17),'자료_거시'!$J$3:INDEX('자료_거시'!$J$3:$J$4002,$K$8),1))-1,""),"")</f>
        <v/>
      </c>
      <c r="AB1081">
        <f>IF(ISNUMBER(AA1081),'자료_거시'!$J1063,"")</f>
        <v/>
      </c>
      <c r="AC1081">
        <f>IF(ISNUMBER(AB1081),IF(AB1081&gt;$L$8,AA1081,""),"")</f>
        <v/>
      </c>
    </row>
    <row r="1082">
      <c r="S1082">
        <f>IF(ISNUMBER('자료_거시'!$E1064),'자료_거시'!$E1064,S1081)</f>
        <v/>
      </c>
      <c r="T1082">
        <f>IF(AND(ISNUMBER('자료_거시'!$D1064),ISNUMBER('자료_거시'!$E1064)),IFERROR('자료_거시'!$E1064-INDEX($S$21:$S$4020,MATCH(EDATE('자료_거시'!$D1064,-'설정'!$B$17),'자료_거시'!$D$3:INDEX('자료_거시'!$D$3:$D$4002,$K$6),1)),""),"")</f>
        <v/>
      </c>
      <c r="U1082">
        <f>IF(ISNUMBER(T1082),'자료_거시'!$D1064,"")</f>
        <v/>
      </c>
      <c r="V1082">
        <f>IF(ISNUMBER(U1082),IF(U1082&gt;$L$6,T1082,""),"")</f>
        <v/>
      </c>
      <c r="W1082">
        <f>IF(AND(ISNUMBER('자료_거시'!$G1064),ISNUMBER('자료_거시'!$H1064)),'자료_거시'!$H1064,"")</f>
        <v/>
      </c>
      <c r="X1082">
        <f>IF(ISNUMBER(W1082),'자료_거시'!$G1064,"")</f>
        <v/>
      </c>
      <c r="Y1082">
        <f>IF(ISNUMBER(X1082),IF(X1082&gt;$L$7,W1082,""),"")</f>
        <v/>
      </c>
      <c r="Z1082">
        <f>IF(ISNUMBER('자료_거시'!$K1064),'자료_거시'!$K1064,Z1081)</f>
        <v/>
      </c>
      <c r="AA1082">
        <f>IF(AND(ISNUMBER('자료_거시'!$J1064),ISNUMBER('자료_거시'!$K1064)),IFERROR('자료_거시'!$K1064/INDEX($Z$21:$Z$4020,MATCH(EDATE('자료_거시'!$J1064,-'설정'!$B$17),'자료_거시'!$J$3:INDEX('자료_거시'!$J$3:$J$4002,$K$8),1))-1,""),"")</f>
        <v/>
      </c>
      <c r="AB1082">
        <f>IF(ISNUMBER(AA1082),'자료_거시'!$J1064,"")</f>
        <v/>
      </c>
      <c r="AC1082">
        <f>IF(ISNUMBER(AB1082),IF(AB1082&gt;$L$8,AA1082,""),"")</f>
        <v/>
      </c>
    </row>
    <row r="1083">
      <c r="S1083">
        <f>IF(ISNUMBER('자료_거시'!$E1065),'자료_거시'!$E1065,S1082)</f>
        <v/>
      </c>
      <c r="T1083">
        <f>IF(AND(ISNUMBER('자료_거시'!$D1065),ISNUMBER('자료_거시'!$E1065)),IFERROR('자료_거시'!$E1065-INDEX($S$21:$S$4020,MATCH(EDATE('자료_거시'!$D1065,-'설정'!$B$17),'자료_거시'!$D$3:INDEX('자료_거시'!$D$3:$D$4002,$K$6),1)),""),"")</f>
        <v/>
      </c>
      <c r="U1083">
        <f>IF(ISNUMBER(T1083),'자료_거시'!$D1065,"")</f>
        <v/>
      </c>
      <c r="V1083">
        <f>IF(ISNUMBER(U1083),IF(U1083&gt;$L$6,T1083,""),"")</f>
        <v/>
      </c>
      <c r="W1083">
        <f>IF(AND(ISNUMBER('자료_거시'!$G1065),ISNUMBER('자료_거시'!$H1065)),'자료_거시'!$H1065,"")</f>
        <v/>
      </c>
      <c r="X1083">
        <f>IF(ISNUMBER(W1083),'자료_거시'!$G1065,"")</f>
        <v/>
      </c>
      <c r="Y1083">
        <f>IF(ISNUMBER(X1083),IF(X1083&gt;$L$7,W1083,""),"")</f>
        <v/>
      </c>
      <c r="Z1083">
        <f>IF(ISNUMBER('자료_거시'!$K1065),'자료_거시'!$K1065,Z1082)</f>
        <v/>
      </c>
      <c r="AA1083">
        <f>IF(AND(ISNUMBER('자료_거시'!$J1065),ISNUMBER('자료_거시'!$K1065)),IFERROR('자료_거시'!$K1065/INDEX($Z$21:$Z$4020,MATCH(EDATE('자료_거시'!$J1065,-'설정'!$B$17),'자료_거시'!$J$3:INDEX('자료_거시'!$J$3:$J$4002,$K$8),1))-1,""),"")</f>
        <v/>
      </c>
      <c r="AB1083">
        <f>IF(ISNUMBER(AA1083),'자료_거시'!$J1065,"")</f>
        <v/>
      </c>
      <c r="AC1083">
        <f>IF(ISNUMBER(AB1083),IF(AB1083&gt;$L$8,AA1083,""),"")</f>
        <v/>
      </c>
    </row>
    <row r="1084">
      <c r="S1084">
        <f>IF(ISNUMBER('자료_거시'!$E1066),'자료_거시'!$E1066,S1083)</f>
        <v/>
      </c>
      <c r="T1084">
        <f>IF(AND(ISNUMBER('자료_거시'!$D1066),ISNUMBER('자료_거시'!$E1066)),IFERROR('자료_거시'!$E1066-INDEX($S$21:$S$4020,MATCH(EDATE('자료_거시'!$D1066,-'설정'!$B$17),'자료_거시'!$D$3:INDEX('자료_거시'!$D$3:$D$4002,$K$6),1)),""),"")</f>
        <v/>
      </c>
      <c r="U1084">
        <f>IF(ISNUMBER(T1084),'자료_거시'!$D1066,"")</f>
        <v/>
      </c>
      <c r="V1084">
        <f>IF(ISNUMBER(U1084),IF(U1084&gt;$L$6,T1084,""),"")</f>
        <v/>
      </c>
      <c r="W1084">
        <f>IF(AND(ISNUMBER('자료_거시'!$G1066),ISNUMBER('자료_거시'!$H1066)),'자료_거시'!$H1066,"")</f>
        <v/>
      </c>
      <c r="X1084">
        <f>IF(ISNUMBER(W1084),'자료_거시'!$G1066,"")</f>
        <v/>
      </c>
      <c r="Y1084">
        <f>IF(ISNUMBER(X1084),IF(X1084&gt;$L$7,W1084,""),"")</f>
        <v/>
      </c>
      <c r="Z1084">
        <f>IF(ISNUMBER('자료_거시'!$K1066),'자료_거시'!$K1066,Z1083)</f>
        <v/>
      </c>
      <c r="AA1084">
        <f>IF(AND(ISNUMBER('자료_거시'!$J1066),ISNUMBER('자료_거시'!$K1066)),IFERROR('자료_거시'!$K1066/INDEX($Z$21:$Z$4020,MATCH(EDATE('자료_거시'!$J1066,-'설정'!$B$17),'자료_거시'!$J$3:INDEX('자료_거시'!$J$3:$J$4002,$K$8),1))-1,""),"")</f>
        <v/>
      </c>
      <c r="AB1084">
        <f>IF(ISNUMBER(AA1084),'자료_거시'!$J1066,"")</f>
        <v/>
      </c>
      <c r="AC1084">
        <f>IF(ISNUMBER(AB1084),IF(AB1084&gt;$L$8,AA1084,""),"")</f>
        <v/>
      </c>
    </row>
    <row r="1085">
      <c r="S1085">
        <f>IF(ISNUMBER('자료_거시'!$E1067),'자료_거시'!$E1067,S1084)</f>
        <v/>
      </c>
      <c r="T1085">
        <f>IF(AND(ISNUMBER('자료_거시'!$D1067),ISNUMBER('자료_거시'!$E1067)),IFERROR('자료_거시'!$E1067-INDEX($S$21:$S$4020,MATCH(EDATE('자료_거시'!$D1067,-'설정'!$B$17),'자료_거시'!$D$3:INDEX('자료_거시'!$D$3:$D$4002,$K$6),1)),""),"")</f>
        <v/>
      </c>
      <c r="U1085">
        <f>IF(ISNUMBER(T1085),'자료_거시'!$D1067,"")</f>
        <v/>
      </c>
      <c r="V1085">
        <f>IF(ISNUMBER(U1085),IF(U1085&gt;$L$6,T1085,""),"")</f>
        <v/>
      </c>
      <c r="W1085">
        <f>IF(AND(ISNUMBER('자료_거시'!$G1067),ISNUMBER('자료_거시'!$H1067)),'자료_거시'!$H1067,"")</f>
        <v/>
      </c>
      <c r="X1085">
        <f>IF(ISNUMBER(W1085),'자료_거시'!$G1067,"")</f>
        <v/>
      </c>
      <c r="Y1085">
        <f>IF(ISNUMBER(X1085),IF(X1085&gt;$L$7,W1085,""),"")</f>
        <v/>
      </c>
      <c r="Z1085">
        <f>IF(ISNUMBER('자료_거시'!$K1067),'자료_거시'!$K1067,Z1084)</f>
        <v/>
      </c>
      <c r="AA1085">
        <f>IF(AND(ISNUMBER('자료_거시'!$J1067),ISNUMBER('자료_거시'!$K1067)),IFERROR('자료_거시'!$K1067/INDEX($Z$21:$Z$4020,MATCH(EDATE('자료_거시'!$J1067,-'설정'!$B$17),'자료_거시'!$J$3:INDEX('자료_거시'!$J$3:$J$4002,$K$8),1))-1,""),"")</f>
        <v/>
      </c>
      <c r="AB1085">
        <f>IF(ISNUMBER(AA1085),'자료_거시'!$J1067,"")</f>
        <v/>
      </c>
      <c r="AC1085">
        <f>IF(ISNUMBER(AB1085),IF(AB1085&gt;$L$8,AA1085,""),"")</f>
        <v/>
      </c>
    </row>
    <row r="1086">
      <c r="S1086">
        <f>IF(ISNUMBER('자료_거시'!$E1068),'자료_거시'!$E1068,S1085)</f>
        <v/>
      </c>
      <c r="T1086">
        <f>IF(AND(ISNUMBER('자료_거시'!$D1068),ISNUMBER('자료_거시'!$E1068)),IFERROR('자료_거시'!$E1068-INDEX($S$21:$S$4020,MATCH(EDATE('자료_거시'!$D1068,-'설정'!$B$17),'자료_거시'!$D$3:INDEX('자료_거시'!$D$3:$D$4002,$K$6),1)),""),"")</f>
        <v/>
      </c>
      <c r="U1086">
        <f>IF(ISNUMBER(T1086),'자료_거시'!$D1068,"")</f>
        <v/>
      </c>
      <c r="V1086">
        <f>IF(ISNUMBER(U1086),IF(U1086&gt;$L$6,T1086,""),"")</f>
        <v/>
      </c>
      <c r="W1086">
        <f>IF(AND(ISNUMBER('자료_거시'!$G1068),ISNUMBER('자료_거시'!$H1068)),'자료_거시'!$H1068,"")</f>
        <v/>
      </c>
      <c r="X1086">
        <f>IF(ISNUMBER(W1086),'자료_거시'!$G1068,"")</f>
        <v/>
      </c>
      <c r="Y1086">
        <f>IF(ISNUMBER(X1086),IF(X1086&gt;$L$7,W1086,""),"")</f>
        <v/>
      </c>
      <c r="Z1086">
        <f>IF(ISNUMBER('자료_거시'!$K1068),'자료_거시'!$K1068,Z1085)</f>
        <v/>
      </c>
      <c r="AA1086">
        <f>IF(AND(ISNUMBER('자료_거시'!$J1068),ISNUMBER('자료_거시'!$K1068)),IFERROR('자료_거시'!$K1068/INDEX($Z$21:$Z$4020,MATCH(EDATE('자료_거시'!$J1068,-'설정'!$B$17),'자료_거시'!$J$3:INDEX('자료_거시'!$J$3:$J$4002,$K$8),1))-1,""),"")</f>
        <v/>
      </c>
      <c r="AB1086">
        <f>IF(ISNUMBER(AA1086),'자료_거시'!$J1068,"")</f>
        <v/>
      </c>
      <c r="AC1086">
        <f>IF(ISNUMBER(AB1086),IF(AB1086&gt;$L$8,AA1086,""),"")</f>
        <v/>
      </c>
    </row>
    <row r="1087">
      <c r="S1087">
        <f>IF(ISNUMBER('자료_거시'!$E1069),'자료_거시'!$E1069,S1086)</f>
        <v/>
      </c>
      <c r="T1087">
        <f>IF(AND(ISNUMBER('자료_거시'!$D1069),ISNUMBER('자료_거시'!$E1069)),IFERROR('자료_거시'!$E1069-INDEX($S$21:$S$4020,MATCH(EDATE('자료_거시'!$D1069,-'설정'!$B$17),'자료_거시'!$D$3:INDEX('자료_거시'!$D$3:$D$4002,$K$6),1)),""),"")</f>
        <v/>
      </c>
      <c r="U1087">
        <f>IF(ISNUMBER(T1087),'자료_거시'!$D1069,"")</f>
        <v/>
      </c>
      <c r="V1087">
        <f>IF(ISNUMBER(U1087),IF(U1087&gt;$L$6,T1087,""),"")</f>
        <v/>
      </c>
      <c r="W1087">
        <f>IF(AND(ISNUMBER('자료_거시'!$G1069),ISNUMBER('자료_거시'!$H1069)),'자료_거시'!$H1069,"")</f>
        <v/>
      </c>
      <c r="X1087">
        <f>IF(ISNUMBER(W1087),'자료_거시'!$G1069,"")</f>
        <v/>
      </c>
      <c r="Y1087">
        <f>IF(ISNUMBER(X1087),IF(X1087&gt;$L$7,W1087,""),"")</f>
        <v/>
      </c>
      <c r="Z1087">
        <f>IF(ISNUMBER('자료_거시'!$K1069),'자료_거시'!$K1069,Z1086)</f>
        <v/>
      </c>
      <c r="AA1087">
        <f>IF(AND(ISNUMBER('자료_거시'!$J1069),ISNUMBER('자료_거시'!$K1069)),IFERROR('자료_거시'!$K1069/INDEX($Z$21:$Z$4020,MATCH(EDATE('자료_거시'!$J1069,-'설정'!$B$17),'자료_거시'!$J$3:INDEX('자료_거시'!$J$3:$J$4002,$K$8),1))-1,""),"")</f>
        <v/>
      </c>
      <c r="AB1087">
        <f>IF(ISNUMBER(AA1087),'자료_거시'!$J1069,"")</f>
        <v/>
      </c>
      <c r="AC1087">
        <f>IF(ISNUMBER(AB1087),IF(AB1087&gt;$L$8,AA1087,""),"")</f>
        <v/>
      </c>
    </row>
    <row r="1088">
      <c r="S1088">
        <f>IF(ISNUMBER('자료_거시'!$E1070),'자료_거시'!$E1070,S1087)</f>
        <v/>
      </c>
      <c r="T1088">
        <f>IF(AND(ISNUMBER('자료_거시'!$D1070),ISNUMBER('자료_거시'!$E1070)),IFERROR('자료_거시'!$E1070-INDEX($S$21:$S$4020,MATCH(EDATE('자료_거시'!$D1070,-'설정'!$B$17),'자료_거시'!$D$3:INDEX('자료_거시'!$D$3:$D$4002,$K$6),1)),""),"")</f>
        <v/>
      </c>
      <c r="U1088">
        <f>IF(ISNUMBER(T1088),'자료_거시'!$D1070,"")</f>
        <v/>
      </c>
      <c r="V1088">
        <f>IF(ISNUMBER(U1088),IF(U1088&gt;$L$6,T1088,""),"")</f>
        <v/>
      </c>
      <c r="W1088">
        <f>IF(AND(ISNUMBER('자료_거시'!$G1070),ISNUMBER('자료_거시'!$H1070)),'자료_거시'!$H1070,"")</f>
        <v/>
      </c>
      <c r="X1088">
        <f>IF(ISNUMBER(W1088),'자료_거시'!$G1070,"")</f>
        <v/>
      </c>
      <c r="Y1088">
        <f>IF(ISNUMBER(X1088),IF(X1088&gt;$L$7,W1088,""),"")</f>
        <v/>
      </c>
      <c r="Z1088">
        <f>IF(ISNUMBER('자료_거시'!$K1070),'자료_거시'!$K1070,Z1087)</f>
        <v/>
      </c>
      <c r="AA1088">
        <f>IF(AND(ISNUMBER('자료_거시'!$J1070),ISNUMBER('자료_거시'!$K1070)),IFERROR('자료_거시'!$K1070/INDEX($Z$21:$Z$4020,MATCH(EDATE('자료_거시'!$J1070,-'설정'!$B$17),'자료_거시'!$J$3:INDEX('자료_거시'!$J$3:$J$4002,$K$8),1))-1,""),"")</f>
        <v/>
      </c>
      <c r="AB1088">
        <f>IF(ISNUMBER(AA1088),'자료_거시'!$J1070,"")</f>
        <v/>
      </c>
      <c r="AC1088">
        <f>IF(ISNUMBER(AB1088),IF(AB1088&gt;$L$8,AA1088,""),"")</f>
        <v/>
      </c>
    </row>
    <row r="1089">
      <c r="S1089">
        <f>IF(ISNUMBER('자료_거시'!$E1071),'자료_거시'!$E1071,S1088)</f>
        <v/>
      </c>
      <c r="T1089">
        <f>IF(AND(ISNUMBER('자료_거시'!$D1071),ISNUMBER('자료_거시'!$E1071)),IFERROR('자료_거시'!$E1071-INDEX($S$21:$S$4020,MATCH(EDATE('자료_거시'!$D1071,-'설정'!$B$17),'자료_거시'!$D$3:INDEX('자료_거시'!$D$3:$D$4002,$K$6),1)),""),"")</f>
        <v/>
      </c>
      <c r="U1089">
        <f>IF(ISNUMBER(T1089),'자료_거시'!$D1071,"")</f>
        <v/>
      </c>
      <c r="V1089">
        <f>IF(ISNUMBER(U1089),IF(U1089&gt;$L$6,T1089,""),"")</f>
        <v/>
      </c>
      <c r="W1089">
        <f>IF(AND(ISNUMBER('자료_거시'!$G1071),ISNUMBER('자료_거시'!$H1071)),'자료_거시'!$H1071,"")</f>
        <v/>
      </c>
      <c r="X1089">
        <f>IF(ISNUMBER(W1089),'자료_거시'!$G1071,"")</f>
        <v/>
      </c>
      <c r="Y1089">
        <f>IF(ISNUMBER(X1089),IF(X1089&gt;$L$7,W1089,""),"")</f>
        <v/>
      </c>
      <c r="Z1089">
        <f>IF(ISNUMBER('자료_거시'!$K1071),'자료_거시'!$K1071,Z1088)</f>
        <v/>
      </c>
      <c r="AA1089">
        <f>IF(AND(ISNUMBER('자료_거시'!$J1071),ISNUMBER('자료_거시'!$K1071)),IFERROR('자료_거시'!$K1071/INDEX($Z$21:$Z$4020,MATCH(EDATE('자료_거시'!$J1071,-'설정'!$B$17),'자료_거시'!$J$3:INDEX('자료_거시'!$J$3:$J$4002,$K$8),1))-1,""),"")</f>
        <v/>
      </c>
      <c r="AB1089">
        <f>IF(ISNUMBER(AA1089),'자료_거시'!$J1071,"")</f>
        <v/>
      </c>
      <c r="AC1089">
        <f>IF(ISNUMBER(AB1089),IF(AB1089&gt;$L$8,AA1089,""),"")</f>
        <v/>
      </c>
    </row>
    <row r="1090">
      <c r="S1090">
        <f>IF(ISNUMBER('자료_거시'!$E1072),'자료_거시'!$E1072,S1089)</f>
        <v/>
      </c>
      <c r="T1090">
        <f>IF(AND(ISNUMBER('자료_거시'!$D1072),ISNUMBER('자료_거시'!$E1072)),IFERROR('자료_거시'!$E1072-INDEX($S$21:$S$4020,MATCH(EDATE('자료_거시'!$D1072,-'설정'!$B$17),'자료_거시'!$D$3:INDEX('자료_거시'!$D$3:$D$4002,$K$6),1)),""),"")</f>
        <v/>
      </c>
      <c r="U1090">
        <f>IF(ISNUMBER(T1090),'자료_거시'!$D1072,"")</f>
        <v/>
      </c>
      <c r="V1090">
        <f>IF(ISNUMBER(U1090),IF(U1090&gt;$L$6,T1090,""),"")</f>
        <v/>
      </c>
      <c r="W1090">
        <f>IF(AND(ISNUMBER('자료_거시'!$G1072),ISNUMBER('자료_거시'!$H1072)),'자료_거시'!$H1072,"")</f>
        <v/>
      </c>
      <c r="X1090">
        <f>IF(ISNUMBER(W1090),'자료_거시'!$G1072,"")</f>
        <v/>
      </c>
      <c r="Y1090">
        <f>IF(ISNUMBER(X1090),IF(X1090&gt;$L$7,W1090,""),"")</f>
        <v/>
      </c>
      <c r="Z1090">
        <f>IF(ISNUMBER('자료_거시'!$K1072),'자료_거시'!$K1072,Z1089)</f>
        <v/>
      </c>
      <c r="AA1090">
        <f>IF(AND(ISNUMBER('자료_거시'!$J1072),ISNUMBER('자료_거시'!$K1072)),IFERROR('자료_거시'!$K1072/INDEX($Z$21:$Z$4020,MATCH(EDATE('자료_거시'!$J1072,-'설정'!$B$17),'자료_거시'!$J$3:INDEX('자료_거시'!$J$3:$J$4002,$K$8),1))-1,""),"")</f>
        <v/>
      </c>
      <c r="AB1090">
        <f>IF(ISNUMBER(AA1090),'자료_거시'!$J1072,"")</f>
        <v/>
      </c>
      <c r="AC1090">
        <f>IF(ISNUMBER(AB1090),IF(AB1090&gt;$L$8,AA1090,""),"")</f>
        <v/>
      </c>
    </row>
    <row r="1091">
      <c r="S1091">
        <f>IF(ISNUMBER('자료_거시'!$E1073),'자료_거시'!$E1073,S1090)</f>
        <v/>
      </c>
      <c r="T1091">
        <f>IF(AND(ISNUMBER('자료_거시'!$D1073),ISNUMBER('자료_거시'!$E1073)),IFERROR('자료_거시'!$E1073-INDEX($S$21:$S$4020,MATCH(EDATE('자료_거시'!$D1073,-'설정'!$B$17),'자료_거시'!$D$3:INDEX('자료_거시'!$D$3:$D$4002,$K$6),1)),""),"")</f>
        <v/>
      </c>
      <c r="U1091">
        <f>IF(ISNUMBER(T1091),'자료_거시'!$D1073,"")</f>
        <v/>
      </c>
      <c r="V1091">
        <f>IF(ISNUMBER(U1091),IF(U1091&gt;$L$6,T1091,""),"")</f>
        <v/>
      </c>
      <c r="W1091">
        <f>IF(AND(ISNUMBER('자료_거시'!$G1073),ISNUMBER('자료_거시'!$H1073)),'자료_거시'!$H1073,"")</f>
        <v/>
      </c>
      <c r="X1091">
        <f>IF(ISNUMBER(W1091),'자료_거시'!$G1073,"")</f>
        <v/>
      </c>
      <c r="Y1091">
        <f>IF(ISNUMBER(X1091),IF(X1091&gt;$L$7,W1091,""),"")</f>
        <v/>
      </c>
      <c r="Z1091">
        <f>IF(ISNUMBER('자료_거시'!$K1073),'자료_거시'!$K1073,Z1090)</f>
        <v/>
      </c>
      <c r="AA1091">
        <f>IF(AND(ISNUMBER('자료_거시'!$J1073),ISNUMBER('자료_거시'!$K1073)),IFERROR('자료_거시'!$K1073/INDEX($Z$21:$Z$4020,MATCH(EDATE('자료_거시'!$J1073,-'설정'!$B$17),'자료_거시'!$J$3:INDEX('자료_거시'!$J$3:$J$4002,$K$8),1))-1,""),"")</f>
        <v/>
      </c>
      <c r="AB1091">
        <f>IF(ISNUMBER(AA1091),'자료_거시'!$J1073,"")</f>
        <v/>
      </c>
      <c r="AC1091">
        <f>IF(ISNUMBER(AB1091),IF(AB1091&gt;$L$8,AA1091,""),"")</f>
        <v/>
      </c>
    </row>
    <row r="1092">
      <c r="S1092">
        <f>IF(ISNUMBER('자료_거시'!$E1074),'자료_거시'!$E1074,S1091)</f>
        <v/>
      </c>
      <c r="T1092">
        <f>IF(AND(ISNUMBER('자료_거시'!$D1074),ISNUMBER('자료_거시'!$E1074)),IFERROR('자료_거시'!$E1074-INDEX($S$21:$S$4020,MATCH(EDATE('자료_거시'!$D1074,-'설정'!$B$17),'자료_거시'!$D$3:INDEX('자료_거시'!$D$3:$D$4002,$K$6),1)),""),"")</f>
        <v/>
      </c>
      <c r="U1092">
        <f>IF(ISNUMBER(T1092),'자료_거시'!$D1074,"")</f>
        <v/>
      </c>
      <c r="V1092">
        <f>IF(ISNUMBER(U1092),IF(U1092&gt;$L$6,T1092,""),"")</f>
        <v/>
      </c>
      <c r="W1092">
        <f>IF(AND(ISNUMBER('자료_거시'!$G1074),ISNUMBER('자료_거시'!$H1074)),'자료_거시'!$H1074,"")</f>
        <v/>
      </c>
      <c r="X1092">
        <f>IF(ISNUMBER(W1092),'자료_거시'!$G1074,"")</f>
        <v/>
      </c>
      <c r="Y1092">
        <f>IF(ISNUMBER(X1092),IF(X1092&gt;$L$7,W1092,""),"")</f>
        <v/>
      </c>
      <c r="Z1092">
        <f>IF(ISNUMBER('자료_거시'!$K1074),'자료_거시'!$K1074,Z1091)</f>
        <v/>
      </c>
      <c r="AA1092">
        <f>IF(AND(ISNUMBER('자료_거시'!$J1074),ISNUMBER('자료_거시'!$K1074)),IFERROR('자료_거시'!$K1074/INDEX($Z$21:$Z$4020,MATCH(EDATE('자료_거시'!$J1074,-'설정'!$B$17),'자료_거시'!$J$3:INDEX('자료_거시'!$J$3:$J$4002,$K$8),1))-1,""),"")</f>
        <v/>
      </c>
      <c r="AB1092">
        <f>IF(ISNUMBER(AA1092),'자료_거시'!$J1074,"")</f>
        <v/>
      </c>
      <c r="AC1092">
        <f>IF(ISNUMBER(AB1092),IF(AB1092&gt;$L$8,AA1092,""),"")</f>
        <v/>
      </c>
    </row>
    <row r="1093">
      <c r="S1093">
        <f>IF(ISNUMBER('자료_거시'!$E1075),'자료_거시'!$E1075,S1092)</f>
        <v/>
      </c>
      <c r="T1093">
        <f>IF(AND(ISNUMBER('자료_거시'!$D1075),ISNUMBER('자료_거시'!$E1075)),IFERROR('자료_거시'!$E1075-INDEX($S$21:$S$4020,MATCH(EDATE('자료_거시'!$D1075,-'설정'!$B$17),'자료_거시'!$D$3:INDEX('자료_거시'!$D$3:$D$4002,$K$6),1)),""),"")</f>
        <v/>
      </c>
      <c r="U1093">
        <f>IF(ISNUMBER(T1093),'자료_거시'!$D1075,"")</f>
        <v/>
      </c>
      <c r="V1093">
        <f>IF(ISNUMBER(U1093),IF(U1093&gt;$L$6,T1093,""),"")</f>
        <v/>
      </c>
      <c r="W1093">
        <f>IF(AND(ISNUMBER('자료_거시'!$G1075),ISNUMBER('자료_거시'!$H1075)),'자료_거시'!$H1075,"")</f>
        <v/>
      </c>
      <c r="X1093">
        <f>IF(ISNUMBER(W1093),'자료_거시'!$G1075,"")</f>
        <v/>
      </c>
      <c r="Y1093">
        <f>IF(ISNUMBER(X1093),IF(X1093&gt;$L$7,W1093,""),"")</f>
        <v/>
      </c>
      <c r="Z1093">
        <f>IF(ISNUMBER('자료_거시'!$K1075),'자료_거시'!$K1075,Z1092)</f>
        <v/>
      </c>
      <c r="AA1093">
        <f>IF(AND(ISNUMBER('자료_거시'!$J1075),ISNUMBER('자료_거시'!$K1075)),IFERROR('자료_거시'!$K1075/INDEX($Z$21:$Z$4020,MATCH(EDATE('자료_거시'!$J1075,-'설정'!$B$17),'자료_거시'!$J$3:INDEX('자료_거시'!$J$3:$J$4002,$K$8),1))-1,""),"")</f>
        <v/>
      </c>
      <c r="AB1093">
        <f>IF(ISNUMBER(AA1093),'자료_거시'!$J1075,"")</f>
        <v/>
      </c>
      <c r="AC1093">
        <f>IF(ISNUMBER(AB1093),IF(AB1093&gt;$L$8,AA1093,""),"")</f>
        <v/>
      </c>
    </row>
    <row r="1094">
      <c r="S1094">
        <f>IF(ISNUMBER('자료_거시'!$E1076),'자료_거시'!$E1076,S1093)</f>
        <v/>
      </c>
      <c r="T1094">
        <f>IF(AND(ISNUMBER('자료_거시'!$D1076),ISNUMBER('자료_거시'!$E1076)),IFERROR('자료_거시'!$E1076-INDEX($S$21:$S$4020,MATCH(EDATE('자료_거시'!$D1076,-'설정'!$B$17),'자료_거시'!$D$3:INDEX('자료_거시'!$D$3:$D$4002,$K$6),1)),""),"")</f>
        <v/>
      </c>
      <c r="U1094">
        <f>IF(ISNUMBER(T1094),'자료_거시'!$D1076,"")</f>
        <v/>
      </c>
      <c r="V1094">
        <f>IF(ISNUMBER(U1094),IF(U1094&gt;$L$6,T1094,""),"")</f>
        <v/>
      </c>
      <c r="W1094">
        <f>IF(AND(ISNUMBER('자료_거시'!$G1076),ISNUMBER('자료_거시'!$H1076)),'자료_거시'!$H1076,"")</f>
        <v/>
      </c>
      <c r="X1094">
        <f>IF(ISNUMBER(W1094),'자료_거시'!$G1076,"")</f>
        <v/>
      </c>
      <c r="Y1094">
        <f>IF(ISNUMBER(X1094),IF(X1094&gt;$L$7,W1094,""),"")</f>
        <v/>
      </c>
      <c r="Z1094">
        <f>IF(ISNUMBER('자료_거시'!$K1076),'자료_거시'!$K1076,Z1093)</f>
        <v/>
      </c>
      <c r="AA1094">
        <f>IF(AND(ISNUMBER('자료_거시'!$J1076),ISNUMBER('자료_거시'!$K1076)),IFERROR('자료_거시'!$K1076/INDEX($Z$21:$Z$4020,MATCH(EDATE('자료_거시'!$J1076,-'설정'!$B$17),'자료_거시'!$J$3:INDEX('자료_거시'!$J$3:$J$4002,$K$8),1))-1,""),"")</f>
        <v/>
      </c>
      <c r="AB1094">
        <f>IF(ISNUMBER(AA1094),'자료_거시'!$J1076,"")</f>
        <v/>
      </c>
      <c r="AC1094">
        <f>IF(ISNUMBER(AB1094),IF(AB1094&gt;$L$8,AA1094,""),"")</f>
        <v/>
      </c>
    </row>
    <row r="1095">
      <c r="S1095">
        <f>IF(ISNUMBER('자료_거시'!$E1077),'자료_거시'!$E1077,S1094)</f>
        <v/>
      </c>
      <c r="T1095">
        <f>IF(AND(ISNUMBER('자료_거시'!$D1077),ISNUMBER('자료_거시'!$E1077)),IFERROR('자료_거시'!$E1077-INDEX($S$21:$S$4020,MATCH(EDATE('자료_거시'!$D1077,-'설정'!$B$17),'자료_거시'!$D$3:INDEX('자료_거시'!$D$3:$D$4002,$K$6),1)),""),"")</f>
        <v/>
      </c>
      <c r="U1095">
        <f>IF(ISNUMBER(T1095),'자료_거시'!$D1077,"")</f>
        <v/>
      </c>
      <c r="V1095">
        <f>IF(ISNUMBER(U1095),IF(U1095&gt;$L$6,T1095,""),"")</f>
        <v/>
      </c>
      <c r="W1095">
        <f>IF(AND(ISNUMBER('자료_거시'!$G1077),ISNUMBER('자료_거시'!$H1077)),'자료_거시'!$H1077,"")</f>
        <v/>
      </c>
      <c r="X1095">
        <f>IF(ISNUMBER(W1095),'자료_거시'!$G1077,"")</f>
        <v/>
      </c>
      <c r="Y1095">
        <f>IF(ISNUMBER(X1095),IF(X1095&gt;$L$7,W1095,""),"")</f>
        <v/>
      </c>
      <c r="Z1095">
        <f>IF(ISNUMBER('자료_거시'!$K1077),'자료_거시'!$K1077,Z1094)</f>
        <v/>
      </c>
      <c r="AA1095">
        <f>IF(AND(ISNUMBER('자료_거시'!$J1077),ISNUMBER('자료_거시'!$K1077)),IFERROR('자료_거시'!$K1077/INDEX($Z$21:$Z$4020,MATCH(EDATE('자료_거시'!$J1077,-'설정'!$B$17),'자료_거시'!$J$3:INDEX('자료_거시'!$J$3:$J$4002,$K$8),1))-1,""),"")</f>
        <v/>
      </c>
      <c r="AB1095">
        <f>IF(ISNUMBER(AA1095),'자료_거시'!$J1077,"")</f>
        <v/>
      </c>
      <c r="AC1095">
        <f>IF(ISNUMBER(AB1095),IF(AB1095&gt;$L$8,AA1095,""),"")</f>
        <v/>
      </c>
    </row>
    <row r="1096">
      <c r="S1096">
        <f>IF(ISNUMBER('자료_거시'!$E1078),'자료_거시'!$E1078,S1095)</f>
        <v/>
      </c>
      <c r="T1096">
        <f>IF(AND(ISNUMBER('자료_거시'!$D1078),ISNUMBER('자료_거시'!$E1078)),IFERROR('자료_거시'!$E1078-INDEX($S$21:$S$4020,MATCH(EDATE('자료_거시'!$D1078,-'설정'!$B$17),'자료_거시'!$D$3:INDEX('자료_거시'!$D$3:$D$4002,$K$6),1)),""),"")</f>
        <v/>
      </c>
      <c r="U1096">
        <f>IF(ISNUMBER(T1096),'자료_거시'!$D1078,"")</f>
        <v/>
      </c>
      <c r="V1096">
        <f>IF(ISNUMBER(U1096),IF(U1096&gt;$L$6,T1096,""),"")</f>
        <v/>
      </c>
      <c r="W1096">
        <f>IF(AND(ISNUMBER('자료_거시'!$G1078),ISNUMBER('자료_거시'!$H1078)),'자료_거시'!$H1078,"")</f>
        <v/>
      </c>
      <c r="X1096">
        <f>IF(ISNUMBER(W1096),'자료_거시'!$G1078,"")</f>
        <v/>
      </c>
      <c r="Y1096">
        <f>IF(ISNUMBER(X1096),IF(X1096&gt;$L$7,W1096,""),"")</f>
        <v/>
      </c>
      <c r="Z1096">
        <f>IF(ISNUMBER('자료_거시'!$K1078),'자료_거시'!$K1078,Z1095)</f>
        <v/>
      </c>
      <c r="AA1096">
        <f>IF(AND(ISNUMBER('자료_거시'!$J1078),ISNUMBER('자료_거시'!$K1078)),IFERROR('자료_거시'!$K1078/INDEX($Z$21:$Z$4020,MATCH(EDATE('자료_거시'!$J1078,-'설정'!$B$17),'자료_거시'!$J$3:INDEX('자료_거시'!$J$3:$J$4002,$K$8),1))-1,""),"")</f>
        <v/>
      </c>
      <c r="AB1096">
        <f>IF(ISNUMBER(AA1096),'자료_거시'!$J1078,"")</f>
        <v/>
      </c>
      <c r="AC1096">
        <f>IF(ISNUMBER(AB1096),IF(AB1096&gt;$L$8,AA1096,""),"")</f>
        <v/>
      </c>
    </row>
    <row r="1097">
      <c r="S1097">
        <f>IF(ISNUMBER('자료_거시'!$E1079),'자료_거시'!$E1079,S1096)</f>
        <v/>
      </c>
      <c r="T1097">
        <f>IF(AND(ISNUMBER('자료_거시'!$D1079),ISNUMBER('자료_거시'!$E1079)),IFERROR('자료_거시'!$E1079-INDEX($S$21:$S$4020,MATCH(EDATE('자료_거시'!$D1079,-'설정'!$B$17),'자료_거시'!$D$3:INDEX('자료_거시'!$D$3:$D$4002,$K$6),1)),""),"")</f>
        <v/>
      </c>
      <c r="U1097">
        <f>IF(ISNUMBER(T1097),'자료_거시'!$D1079,"")</f>
        <v/>
      </c>
      <c r="V1097">
        <f>IF(ISNUMBER(U1097),IF(U1097&gt;$L$6,T1097,""),"")</f>
        <v/>
      </c>
      <c r="W1097">
        <f>IF(AND(ISNUMBER('자료_거시'!$G1079),ISNUMBER('자료_거시'!$H1079)),'자료_거시'!$H1079,"")</f>
        <v/>
      </c>
      <c r="X1097">
        <f>IF(ISNUMBER(W1097),'자료_거시'!$G1079,"")</f>
        <v/>
      </c>
      <c r="Y1097">
        <f>IF(ISNUMBER(X1097),IF(X1097&gt;$L$7,W1097,""),"")</f>
        <v/>
      </c>
      <c r="Z1097">
        <f>IF(ISNUMBER('자료_거시'!$K1079),'자료_거시'!$K1079,Z1096)</f>
        <v/>
      </c>
      <c r="AA1097">
        <f>IF(AND(ISNUMBER('자료_거시'!$J1079),ISNUMBER('자료_거시'!$K1079)),IFERROR('자료_거시'!$K1079/INDEX($Z$21:$Z$4020,MATCH(EDATE('자료_거시'!$J1079,-'설정'!$B$17),'자료_거시'!$J$3:INDEX('자료_거시'!$J$3:$J$4002,$K$8),1))-1,""),"")</f>
        <v/>
      </c>
      <c r="AB1097">
        <f>IF(ISNUMBER(AA1097),'자료_거시'!$J1079,"")</f>
        <v/>
      </c>
      <c r="AC1097">
        <f>IF(ISNUMBER(AB1097),IF(AB1097&gt;$L$8,AA1097,""),"")</f>
        <v/>
      </c>
    </row>
    <row r="1098">
      <c r="S1098">
        <f>IF(ISNUMBER('자료_거시'!$E1080),'자료_거시'!$E1080,S1097)</f>
        <v/>
      </c>
      <c r="T1098">
        <f>IF(AND(ISNUMBER('자료_거시'!$D1080),ISNUMBER('자료_거시'!$E1080)),IFERROR('자료_거시'!$E1080-INDEX($S$21:$S$4020,MATCH(EDATE('자료_거시'!$D1080,-'설정'!$B$17),'자료_거시'!$D$3:INDEX('자료_거시'!$D$3:$D$4002,$K$6),1)),""),"")</f>
        <v/>
      </c>
      <c r="U1098">
        <f>IF(ISNUMBER(T1098),'자료_거시'!$D1080,"")</f>
        <v/>
      </c>
      <c r="V1098">
        <f>IF(ISNUMBER(U1098),IF(U1098&gt;$L$6,T1098,""),"")</f>
        <v/>
      </c>
      <c r="W1098">
        <f>IF(AND(ISNUMBER('자료_거시'!$G1080),ISNUMBER('자료_거시'!$H1080)),'자료_거시'!$H1080,"")</f>
        <v/>
      </c>
      <c r="X1098">
        <f>IF(ISNUMBER(W1098),'자료_거시'!$G1080,"")</f>
        <v/>
      </c>
      <c r="Y1098">
        <f>IF(ISNUMBER(X1098),IF(X1098&gt;$L$7,W1098,""),"")</f>
        <v/>
      </c>
      <c r="Z1098">
        <f>IF(ISNUMBER('자료_거시'!$K1080),'자료_거시'!$K1080,Z1097)</f>
        <v/>
      </c>
      <c r="AA1098">
        <f>IF(AND(ISNUMBER('자료_거시'!$J1080),ISNUMBER('자료_거시'!$K1080)),IFERROR('자료_거시'!$K1080/INDEX($Z$21:$Z$4020,MATCH(EDATE('자료_거시'!$J1080,-'설정'!$B$17),'자료_거시'!$J$3:INDEX('자료_거시'!$J$3:$J$4002,$K$8),1))-1,""),"")</f>
        <v/>
      </c>
      <c r="AB1098">
        <f>IF(ISNUMBER(AA1098),'자료_거시'!$J1080,"")</f>
        <v/>
      </c>
      <c r="AC1098">
        <f>IF(ISNUMBER(AB1098),IF(AB1098&gt;$L$8,AA1098,""),"")</f>
        <v/>
      </c>
    </row>
    <row r="1099">
      <c r="S1099">
        <f>IF(ISNUMBER('자료_거시'!$E1081),'자료_거시'!$E1081,S1098)</f>
        <v/>
      </c>
      <c r="T1099">
        <f>IF(AND(ISNUMBER('자료_거시'!$D1081),ISNUMBER('자료_거시'!$E1081)),IFERROR('자료_거시'!$E1081-INDEX($S$21:$S$4020,MATCH(EDATE('자료_거시'!$D1081,-'설정'!$B$17),'자료_거시'!$D$3:INDEX('자료_거시'!$D$3:$D$4002,$K$6),1)),""),"")</f>
        <v/>
      </c>
      <c r="U1099">
        <f>IF(ISNUMBER(T1099),'자료_거시'!$D1081,"")</f>
        <v/>
      </c>
      <c r="V1099">
        <f>IF(ISNUMBER(U1099),IF(U1099&gt;$L$6,T1099,""),"")</f>
        <v/>
      </c>
      <c r="W1099">
        <f>IF(AND(ISNUMBER('자료_거시'!$G1081),ISNUMBER('자료_거시'!$H1081)),'자료_거시'!$H1081,"")</f>
        <v/>
      </c>
      <c r="X1099">
        <f>IF(ISNUMBER(W1099),'자료_거시'!$G1081,"")</f>
        <v/>
      </c>
      <c r="Y1099">
        <f>IF(ISNUMBER(X1099),IF(X1099&gt;$L$7,W1099,""),"")</f>
        <v/>
      </c>
      <c r="Z1099">
        <f>IF(ISNUMBER('자료_거시'!$K1081),'자료_거시'!$K1081,Z1098)</f>
        <v/>
      </c>
      <c r="AA1099">
        <f>IF(AND(ISNUMBER('자료_거시'!$J1081),ISNUMBER('자료_거시'!$K1081)),IFERROR('자료_거시'!$K1081/INDEX($Z$21:$Z$4020,MATCH(EDATE('자료_거시'!$J1081,-'설정'!$B$17),'자료_거시'!$J$3:INDEX('자료_거시'!$J$3:$J$4002,$K$8),1))-1,""),"")</f>
        <v/>
      </c>
      <c r="AB1099">
        <f>IF(ISNUMBER(AA1099),'자료_거시'!$J1081,"")</f>
        <v/>
      </c>
      <c r="AC1099">
        <f>IF(ISNUMBER(AB1099),IF(AB1099&gt;$L$8,AA1099,""),"")</f>
        <v/>
      </c>
    </row>
    <row r="1100">
      <c r="S1100">
        <f>IF(ISNUMBER('자료_거시'!$E1082),'자료_거시'!$E1082,S1099)</f>
        <v/>
      </c>
      <c r="T1100">
        <f>IF(AND(ISNUMBER('자료_거시'!$D1082),ISNUMBER('자료_거시'!$E1082)),IFERROR('자료_거시'!$E1082-INDEX($S$21:$S$4020,MATCH(EDATE('자료_거시'!$D1082,-'설정'!$B$17),'자료_거시'!$D$3:INDEX('자료_거시'!$D$3:$D$4002,$K$6),1)),""),"")</f>
        <v/>
      </c>
      <c r="U1100">
        <f>IF(ISNUMBER(T1100),'자료_거시'!$D1082,"")</f>
        <v/>
      </c>
      <c r="V1100">
        <f>IF(ISNUMBER(U1100),IF(U1100&gt;$L$6,T1100,""),"")</f>
        <v/>
      </c>
      <c r="W1100">
        <f>IF(AND(ISNUMBER('자료_거시'!$G1082),ISNUMBER('자료_거시'!$H1082)),'자료_거시'!$H1082,"")</f>
        <v/>
      </c>
      <c r="X1100">
        <f>IF(ISNUMBER(W1100),'자료_거시'!$G1082,"")</f>
        <v/>
      </c>
      <c r="Y1100">
        <f>IF(ISNUMBER(X1100),IF(X1100&gt;$L$7,W1100,""),"")</f>
        <v/>
      </c>
      <c r="Z1100">
        <f>IF(ISNUMBER('자료_거시'!$K1082),'자료_거시'!$K1082,Z1099)</f>
        <v/>
      </c>
      <c r="AA1100">
        <f>IF(AND(ISNUMBER('자료_거시'!$J1082),ISNUMBER('자료_거시'!$K1082)),IFERROR('자료_거시'!$K1082/INDEX($Z$21:$Z$4020,MATCH(EDATE('자료_거시'!$J1082,-'설정'!$B$17),'자료_거시'!$J$3:INDEX('자료_거시'!$J$3:$J$4002,$K$8),1))-1,""),"")</f>
        <v/>
      </c>
      <c r="AB1100">
        <f>IF(ISNUMBER(AA1100),'자료_거시'!$J1082,"")</f>
        <v/>
      </c>
      <c r="AC1100">
        <f>IF(ISNUMBER(AB1100),IF(AB1100&gt;$L$8,AA1100,""),"")</f>
        <v/>
      </c>
    </row>
    <row r="1101">
      <c r="S1101">
        <f>IF(ISNUMBER('자료_거시'!$E1083),'자료_거시'!$E1083,S1100)</f>
        <v/>
      </c>
      <c r="T1101">
        <f>IF(AND(ISNUMBER('자료_거시'!$D1083),ISNUMBER('자료_거시'!$E1083)),IFERROR('자료_거시'!$E1083-INDEX($S$21:$S$4020,MATCH(EDATE('자료_거시'!$D1083,-'설정'!$B$17),'자료_거시'!$D$3:INDEX('자료_거시'!$D$3:$D$4002,$K$6),1)),""),"")</f>
        <v/>
      </c>
      <c r="U1101">
        <f>IF(ISNUMBER(T1101),'자료_거시'!$D1083,"")</f>
        <v/>
      </c>
      <c r="V1101">
        <f>IF(ISNUMBER(U1101),IF(U1101&gt;$L$6,T1101,""),"")</f>
        <v/>
      </c>
      <c r="W1101">
        <f>IF(AND(ISNUMBER('자료_거시'!$G1083),ISNUMBER('자료_거시'!$H1083)),'자료_거시'!$H1083,"")</f>
        <v/>
      </c>
      <c r="X1101">
        <f>IF(ISNUMBER(W1101),'자료_거시'!$G1083,"")</f>
        <v/>
      </c>
      <c r="Y1101">
        <f>IF(ISNUMBER(X1101),IF(X1101&gt;$L$7,W1101,""),"")</f>
        <v/>
      </c>
      <c r="Z1101">
        <f>IF(ISNUMBER('자료_거시'!$K1083),'자료_거시'!$K1083,Z1100)</f>
        <v/>
      </c>
      <c r="AA1101">
        <f>IF(AND(ISNUMBER('자료_거시'!$J1083),ISNUMBER('자료_거시'!$K1083)),IFERROR('자료_거시'!$K1083/INDEX($Z$21:$Z$4020,MATCH(EDATE('자료_거시'!$J1083,-'설정'!$B$17),'자료_거시'!$J$3:INDEX('자료_거시'!$J$3:$J$4002,$K$8),1))-1,""),"")</f>
        <v/>
      </c>
      <c r="AB1101">
        <f>IF(ISNUMBER(AA1101),'자료_거시'!$J1083,"")</f>
        <v/>
      </c>
      <c r="AC1101">
        <f>IF(ISNUMBER(AB1101),IF(AB1101&gt;$L$8,AA1101,""),"")</f>
        <v/>
      </c>
    </row>
    <row r="1102">
      <c r="S1102">
        <f>IF(ISNUMBER('자료_거시'!$E1084),'자료_거시'!$E1084,S1101)</f>
        <v/>
      </c>
      <c r="T1102">
        <f>IF(AND(ISNUMBER('자료_거시'!$D1084),ISNUMBER('자료_거시'!$E1084)),IFERROR('자료_거시'!$E1084-INDEX($S$21:$S$4020,MATCH(EDATE('자료_거시'!$D1084,-'설정'!$B$17),'자료_거시'!$D$3:INDEX('자료_거시'!$D$3:$D$4002,$K$6),1)),""),"")</f>
        <v/>
      </c>
      <c r="U1102">
        <f>IF(ISNUMBER(T1102),'자료_거시'!$D1084,"")</f>
        <v/>
      </c>
      <c r="V1102">
        <f>IF(ISNUMBER(U1102),IF(U1102&gt;$L$6,T1102,""),"")</f>
        <v/>
      </c>
      <c r="W1102">
        <f>IF(AND(ISNUMBER('자료_거시'!$G1084),ISNUMBER('자료_거시'!$H1084)),'자료_거시'!$H1084,"")</f>
        <v/>
      </c>
      <c r="X1102">
        <f>IF(ISNUMBER(W1102),'자료_거시'!$G1084,"")</f>
        <v/>
      </c>
      <c r="Y1102">
        <f>IF(ISNUMBER(X1102),IF(X1102&gt;$L$7,W1102,""),"")</f>
        <v/>
      </c>
      <c r="Z1102">
        <f>IF(ISNUMBER('자료_거시'!$K1084),'자료_거시'!$K1084,Z1101)</f>
        <v/>
      </c>
      <c r="AA1102">
        <f>IF(AND(ISNUMBER('자료_거시'!$J1084),ISNUMBER('자료_거시'!$K1084)),IFERROR('자료_거시'!$K1084/INDEX($Z$21:$Z$4020,MATCH(EDATE('자료_거시'!$J1084,-'설정'!$B$17),'자료_거시'!$J$3:INDEX('자료_거시'!$J$3:$J$4002,$K$8),1))-1,""),"")</f>
        <v/>
      </c>
      <c r="AB1102">
        <f>IF(ISNUMBER(AA1102),'자료_거시'!$J1084,"")</f>
        <v/>
      </c>
      <c r="AC1102">
        <f>IF(ISNUMBER(AB1102),IF(AB1102&gt;$L$8,AA1102,""),"")</f>
        <v/>
      </c>
    </row>
    <row r="1103">
      <c r="S1103">
        <f>IF(ISNUMBER('자료_거시'!$E1085),'자료_거시'!$E1085,S1102)</f>
        <v/>
      </c>
      <c r="T1103">
        <f>IF(AND(ISNUMBER('자료_거시'!$D1085),ISNUMBER('자료_거시'!$E1085)),IFERROR('자료_거시'!$E1085-INDEX($S$21:$S$4020,MATCH(EDATE('자료_거시'!$D1085,-'설정'!$B$17),'자료_거시'!$D$3:INDEX('자료_거시'!$D$3:$D$4002,$K$6),1)),""),"")</f>
        <v/>
      </c>
      <c r="U1103">
        <f>IF(ISNUMBER(T1103),'자료_거시'!$D1085,"")</f>
        <v/>
      </c>
      <c r="V1103">
        <f>IF(ISNUMBER(U1103),IF(U1103&gt;$L$6,T1103,""),"")</f>
        <v/>
      </c>
      <c r="W1103">
        <f>IF(AND(ISNUMBER('자료_거시'!$G1085),ISNUMBER('자료_거시'!$H1085)),'자료_거시'!$H1085,"")</f>
        <v/>
      </c>
      <c r="X1103">
        <f>IF(ISNUMBER(W1103),'자료_거시'!$G1085,"")</f>
        <v/>
      </c>
      <c r="Y1103">
        <f>IF(ISNUMBER(X1103),IF(X1103&gt;$L$7,W1103,""),"")</f>
        <v/>
      </c>
      <c r="Z1103">
        <f>IF(ISNUMBER('자료_거시'!$K1085),'자료_거시'!$K1085,Z1102)</f>
        <v/>
      </c>
      <c r="AA1103">
        <f>IF(AND(ISNUMBER('자료_거시'!$J1085),ISNUMBER('자료_거시'!$K1085)),IFERROR('자료_거시'!$K1085/INDEX($Z$21:$Z$4020,MATCH(EDATE('자료_거시'!$J1085,-'설정'!$B$17),'자료_거시'!$J$3:INDEX('자료_거시'!$J$3:$J$4002,$K$8),1))-1,""),"")</f>
        <v/>
      </c>
      <c r="AB1103">
        <f>IF(ISNUMBER(AA1103),'자료_거시'!$J1085,"")</f>
        <v/>
      </c>
      <c r="AC1103">
        <f>IF(ISNUMBER(AB1103),IF(AB1103&gt;$L$8,AA1103,""),"")</f>
        <v/>
      </c>
    </row>
    <row r="1104">
      <c r="S1104">
        <f>IF(ISNUMBER('자료_거시'!$E1086),'자료_거시'!$E1086,S1103)</f>
        <v/>
      </c>
      <c r="T1104">
        <f>IF(AND(ISNUMBER('자료_거시'!$D1086),ISNUMBER('자료_거시'!$E1086)),IFERROR('자료_거시'!$E1086-INDEX($S$21:$S$4020,MATCH(EDATE('자료_거시'!$D1086,-'설정'!$B$17),'자료_거시'!$D$3:INDEX('자료_거시'!$D$3:$D$4002,$K$6),1)),""),"")</f>
        <v/>
      </c>
      <c r="U1104">
        <f>IF(ISNUMBER(T1104),'자료_거시'!$D1086,"")</f>
        <v/>
      </c>
      <c r="V1104">
        <f>IF(ISNUMBER(U1104),IF(U1104&gt;$L$6,T1104,""),"")</f>
        <v/>
      </c>
      <c r="W1104">
        <f>IF(AND(ISNUMBER('자료_거시'!$G1086),ISNUMBER('자료_거시'!$H1086)),'자료_거시'!$H1086,"")</f>
        <v/>
      </c>
      <c r="X1104">
        <f>IF(ISNUMBER(W1104),'자료_거시'!$G1086,"")</f>
        <v/>
      </c>
      <c r="Y1104">
        <f>IF(ISNUMBER(X1104),IF(X1104&gt;$L$7,W1104,""),"")</f>
        <v/>
      </c>
      <c r="Z1104">
        <f>IF(ISNUMBER('자료_거시'!$K1086),'자료_거시'!$K1086,Z1103)</f>
        <v/>
      </c>
      <c r="AA1104">
        <f>IF(AND(ISNUMBER('자료_거시'!$J1086),ISNUMBER('자료_거시'!$K1086)),IFERROR('자료_거시'!$K1086/INDEX($Z$21:$Z$4020,MATCH(EDATE('자료_거시'!$J1086,-'설정'!$B$17),'자료_거시'!$J$3:INDEX('자료_거시'!$J$3:$J$4002,$K$8),1))-1,""),"")</f>
        <v/>
      </c>
      <c r="AB1104">
        <f>IF(ISNUMBER(AA1104),'자료_거시'!$J1086,"")</f>
        <v/>
      </c>
      <c r="AC1104">
        <f>IF(ISNUMBER(AB1104),IF(AB1104&gt;$L$8,AA1104,""),"")</f>
        <v/>
      </c>
    </row>
    <row r="1105">
      <c r="S1105">
        <f>IF(ISNUMBER('자료_거시'!$E1087),'자료_거시'!$E1087,S1104)</f>
        <v/>
      </c>
      <c r="T1105">
        <f>IF(AND(ISNUMBER('자료_거시'!$D1087),ISNUMBER('자료_거시'!$E1087)),IFERROR('자료_거시'!$E1087-INDEX($S$21:$S$4020,MATCH(EDATE('자료_거시'!$D1087,-'설정'!$B$17),'자료_거시'!$D$3:INDEX('자료_거시'!$D$3:$D$4002,$K$6),1)),""),"")</f>
        <v/>
      </c>
      <c r="U1105">
        <f>IF(ISNUMBER(T1105),'자료_거시'!$D1087,"")</f>
        <v/>
      </c>
      <c r="V1105">
        <f>IF(ISNUMBER(U1105),IF(U1105&gt;$L$6,T1105,""),"")</f>
        <v/>
      </c>
      <c r="W1105">
        <f>IF(AND(ISNUMBER('자료_거시'!$G1087),ISNUMBER('자료_거시'!$H1087)),'자료_거시'!$H1087,"")</f>
        <v/>
      </c>
      <c r="X1105">
        <f>IF(ISNUMBER(W1105),'자료_거시'!$G1087,"")</f>
        <v/>
      </c>
      <c r="Y1105">
        <f>IF(ISNUMBER(X1105),IF(X1105&gt;$L$7,W1105,""),"")</f>
        <v/>
      </c>
      <c r="Z1105">
        <f>IF(ISNUMBER('자료_거시'!$K1087),'자료_거시'!$K1087,Z1104)</f>
        <v/>
      </c>
      <c r="AA1105">
        <f>IF(AND(ISNUMBER('자료_거시'!$J1087),ISNUMBER('자료_거시'!$K1087)),IFERROR('자료_거시'!$K1087/INDEX($Z$21:$Z$4020,MATCH(EDATE('자료_거시'!$J1087,-'설정'!$B$17),'자료_거시'!$J$3:INDEX('자료_거시'!$J$3:$J$4002,$K$8),1))-1,""),"")</f>
        <v/>
      </c>
      <c r="AB1105">
        <f>IF(ISNUMBER(AA1105),'자료_거시'!$J1087,"")</f>
        <v/>
      </c>
      <c r="AC1105">
        <f>IF(ISNUMBER(AB1105),IF(AB1105&gt;$L$8,AA1105,""),"")</f>
        <v/>
      </c>
    </row>
    <row r="1106">
      <c r="S1106">
        <f>IF(ISNUMBER('자료_거시'!$E1088),'자료_거시'!$E1088,S1105)</f>
        <v/>
      </c>
      <c r="T1106">
        <f>IF(AND(ISNUMBER('자료_거시'!$D1088),ISNUMBER('자료_거시'!$E1088)),IFERROR('자료_거시'!$E1088-INDEX($S$21:$S$4020,MATCH(EDATE('자료_거시'!$D1088,-'설정'!$B$17),'자료_거시'!$D$3:INDEX('자료_거시'!$D$3:$D$4002,$K$6),1)),""),"")</f>
        <v/>
      </c>
      <c r="U1106">
        <f>IF(ISNUMBER(T1106),'자료_거시'!$D1088,"")</f>
        <v/>
      </c>
      <c r="V1106">
        <f>IF(ISNUMBER(U1106),IF(U1106&gt;$L$6,T1106,""),"")</f>
        <v/>
      </c>
      <c r="W1106">
        <f>IF(AND(ISNUMBER('자료_거시'!$G1088),ISNUMBER('자료_거시'!$H1088)),'자료_거시'!$H1088,"")</f>
        <v/>
      </c>
      <c r="X1106">
        <f>IF(ISNUMBER(W1106),'자료_거시'!$G1088,"")</f>
        <v/>
      </c>
      <c r="Y1106">
        <f>IF(ISNUMBER(X1106),IF(X1106&gt;$L$7,W1106,""),"")</f>
        <v/>
      </c>
      <c r="Z1106">
        <f>IF(ISNUMBER('자료_거시'!$K1088),'자료_거시'!$K1088,Z1105)</f>
        <v/>
      </c>
      <c r="AA1106">
        <f>IF(AND(ISNUMBER('자료_거시'!$J1088),ISNUMBER('자료_거시'!$K1088)),IFERROR('자료_거시'!$K1088/INDEX($Z$21:$Z$4020,MATCH(EDATE('자료_거시'!$J1088,-'설정'!$B$17),'자료_거시'!$J$3:INDEX('자료_거시'!$J$3:$J$4002,$K$8),1))-1,""),"")</f>
        <v/>
      </c>
      <c r="AB1106">
        <f>IF(ISNUMBER(AA1106),'자료_거시'!$J1088,"")</f>
        <v/>
      </c>
      <c r="AC1106">
        <f>IF(ISNUMBER(AB1106),IF(AB1106&gt;$L$8,AA1106,""),"")</f>
        <v/>
      </c>
    </row>
    <row r="1107">
      <c r="S1107">
        <f>IF(ISNUMBER('자료_거시'!$E1089),'자료_거시'!$E1089,S1106)</f>
        <v/>
      </c>
      <c r="T1107">
        <f>IF(AND(ISNUMBER('자료_거시'!$D1089),ISNUMBER('자료_거시'!$E1089)),IFERROR('자료_거시'!$E1089-INDEX($S$21:$S$4020,MATCH(EDATE('자료_거시'!$D1089,-'설정'!$B$17),'자료_거시'!$D$3:INDEX('자료_거시'!$D$3:$D$4002,$K$6),1)),""),"")</f>
        <v/>
      </c>
      <c r="U1107">
        <f>IF(ISNUMBER(T1107),'자료_거시'!$D1089,"")</f>
        <v/>
      </c>
      <c r="V1107">
        <f>IF(ISNUMBER(U1107),IF(U1107&gt;$L$6,T1107,""),"")</f>
        <v/>
      </c>
      <c r="W1107">
        <f>IF(AND(ISNUMBER('자료_거시'!$G1089),ISNUMBER('자료_거시'!$H1089)),'자료_거시'!$H1089,"")</f>
        <v/>
      </c>
      <c r="X1107">
        <f>IF(ISNUMBER(W1107),'자료_거시'!$G1089,"")</f>
        <v/>
      </c>
      <c r="Y1107">
        <f>IF(ISNUMBER(X1107),IF(X1107&gt;$L$7,W1107,""),"")</f>
        <v/>
      </c>
      <c r="Z1107">
        <f>IF(ISNUMBER('자료_거시'!$K1089),'자료_거시'!$K1089,Z1106)</f>
        <v/>
      </c>
      <c r="AA1107">
        <f>IF(AND(ISNUMBER('자료_거시'!$J1089),ISNUMBER('자료_거시'!$K1089)),IFERROR('자료_거시'!$K1089/INDEX($Z$21:$Z$4020,MATCH(EDATE('자료_거시'!$J1089,-'설정'!$B$17),'자료_거시'!$J$3:INDEX('자료_거시'!$J$3:$J$4002,$K$8),1))-1,""),"")</f>
        <v/>
      </c>
      <c r="AB1107">
        <f>IF(ISNUMBER(AA1107),'자료_거시'!$J1089,"")</f>
        <v/>
      </c>
      <c r="AC1107">
        <f>IF(ISNUMBER(AB1107),IF(AB1107&gt;$L$8,AA1107,""),"")</f>
        <v/>
      </c>
    </row>
    <row r="1108">
      <c r="S1108">
        <f>IF(ISNUMBER('자료_거시'!$E1090),'자료_거시'!$E1090,S1107)</f>
        <v/>
      </c>
      <c r="T1108">
        <f>IF(AND(ISNUMBER('자료_거시'!$D1090),ISNUMBER('자료_거시'!$E1090)),IFERROR('자료_거시'!$E1090-INDEX($S$21:$S$4020,MATCH(EDATE('자료_거시'!$D1090,-'설정'!$B$17),'자료_거시'!$D$3:INDEX('자료_거시'!$D$3:$D$4002,$K$6),1)),""),"")</f>
        <v/>
      </c>
      <c r="U1108">
        <f>IF(ISNUMBER(T1108),'자료_거시'!$D1090,"")</f>
        <v/>
      </c>
      <c r="V1108">
        <f>IF(ISNUMBER(U1108),IF(U1108&gt;$L$6,T1108,""),"")</f>
        <v/>
      </c>
      <c r="W1108">
        <f>IF(AND(ISNUMBER('자료_거시'!$G1090),ISNUMBER('자료_거시'!$H1090)),'자료_거시'!$H1090,"")</f>
        <v/>
      </c>
      <c r="X1108">
        <f>IF(ISNUMBER(W1108),'자료_거시'!$G1090,"")</f>
        <v/>
      </c>
      <c r="Y1108">
        <f>IF(ISNUMBER(X1108),IF(X1108&gt;$L$7,W1108,""),"")</f>
        <v/>
      </c>
      <c r="Z1108">
        <f>IF(ISNUMBER('자료_거시'!$K1090),'자료_거시'!$K1090,Z1107)</f>
        <v/>
      </c>
      <c r="AA1108">
        <f>IF(AND(ISNUMBER('자료_거시'!$J1090),ISNUMBER('자료_거시'!$K1090)),IFERROR('자료_거시'!$K1090/INDEX($Z$21:$Z$4020,MATCH(EDATE('자료_거시'!$J1090,-'설정'!$B$17),'자료_거시'!$J$3:INDEX('자료_거시'!$J$3:$J$4002,$K$8),1))-1,""),"")</f>
        <v/>
      </c>
      <c r="AB1108">
        <f>IF(ISNUMBER(AA1108),'자료_거시'!$J1090,"")</f>
        <v/>
      </c>
      <c r="AC1108">
        <f>IF(ISNUMBER(AB1108),IF(AB1108&gt;$L$8,AA1108,""),"")</f>
        <v/>
      </c>
    </row>
    <row r="1109">
      <c r="S1109">
        <f>IF(ISNUMBER('자료_거시'!$E1091),'자료_거시'!$E1091,S1108)</f>
        <v/>
      </c>
      <c r="T1109">
        <f>IF(AND(ISNUMBER('자료_거시'!$D1091),ISNUMBER('자료_거시'!$E1091)),IFERROR('자료_거시'!$E1091-INDEX($S$21:$S$4020,MATCH(EDATE('자료_거시'!$D1091,-'설정'!$B$17),'자료_거시'!$D$3:INDEX('자료_거시'!$D$3:$D$4002,$K$6),1)),""),"")</f>
        <v/>
      </c>
      <c r="U1109">
        <f>IF(ISNUMBER(T1109),'자료_거시'!$D1091,"")</f>
        <v/>
      </c>
      <c r="V1109">
        <f>IF(ISNUMBER(U1109),IF(U1109&gt;$L$6,T1109,""),"")</f>
        <v/>
      </c>
      <c r="W1109">
        <f>IF(AND(ISNUMBER('자료_거시'!$G1091),ISNUMBER('자료_거시'!$H1091)),'자료_거시'!$H1091,"")</f>
        <v/>
      </c>
      <c r="X1109">
        <f>IF(ISNUMBER(W1109),'자료_거시'!$G1091,"")</f>
        <v/>
      </c>
      <c r="Y1109">
        <f>IF(ISNUMBER(X1109),IF(X1109&gt;$L$7,W1109,""),"")</f>
        <v/>
      </c>
      <c r="Z1109">
        <f>IF(ISNUMBER('자료_거시'!$K1091),'자료_거시'!$K1091,Z1108)</f>
        <v/>
      </c>
      <c r="AA1109">
        <f>IF(AND(ISNUMBER('자료_거시'!$J1091),ISNUMBER('자료_거시'!$K1091)),IFERROR('자료_거시'!$K1091/INDEX($Z$21:$Z$4020,MATCH(EDATE('자료_거시'!$J1091,-'설정'!$B$17),'자료_거시'!$J$3:INDEX('자료_거시'!$J$3:$J$4002,$K$8),1))-1,""),"")</f>
        <v/>
      </c>
      <c r="AB1109">
        <f>IF(ISNUMBER(AA1109),'자료_거시'!$J1091,"")</f>
        <v/>
      </c>
      <c r="AC1109">
        <f>IF(ISNUMBER(AB1109),IF(AB1109&gt;$L$8,AA1109,""),"")</f>
        <v/>
      </c>
    </row>
    <row r="1110">
      <c r="S1110">
        <f>IF(ISNUMBER('자료_거시'!$E1092),'자료_거시'!$E1092,S1109)</f>
        <v/>
      </c>
      <c r="T1110">
        <f>IF(AND(ISNUMBER('자료_거시'!$D1092),ISNUMBER('자료_거시'!$E1092)),IFERROR('자료_거시'!$E1092-INDEX($S$21:$S$4020,MATCH(EDATE('자료_거시'!$D1092,-'설정'!$B$17),'자료_거시'!$D$3:INDEX('자료_거시'!$D$3:$D$4002,$K$6),1)),""),"")</f>
        <v/>
      </c>
      <c r="U1110">
        <f>IF(ISNUMBER(T1110),'자료_거시'!$D1092,"")</f>
        <v/>
      </c>
      <c r="V1110">
        <f>IF(ISNUMBER(U1110),IF(U1110&gt;$L$6,T1110,""),"")</f>
        <v/>
      </c>
      <c r="W1110">
        <f>IF(AND(ISNUMBER('자료_거시'!$G1092),ISNUMBER('자료_거시'!$H1092)),'자료_거시'!$H1092,"")</f>
        <v/>
      </c>
      <c r="X1110">
        <f>IF(ISNUMBER(W1110),'자료_거시'!$G1092,"")</f>
        <v/>
      </c>
      <c r="Y1110">
        <f>IF(ISNUMBER(X1110),IF(X1110&gt;$L$7,W1110,""),"")</f>
        <v/>
      </c>
      <c r="Z1110">
        <f>IF(ISNUMBER('자료_거시'!$K1092),'자료_거시'!$K1092,Z1109)</f>
        <v/>
      </c>
      <c r="AA1110">
        <f>IF(AND(ISNUMBER('자료_거시'!$J1092),ISNUMBER('자료_거시'!$K1092)),IFERROR('자료_거시'!$K1092/INDEX($Z$21:$Z$4020,MATCH(EDATE('자료_거시'!$J1092,-'설정'!$B$17),'자료_거시'!$J$3:INDEX('자료_거시'!$J$3:$J$4002,$K$8),1))-1,""),"")</f>
        <v/>
      </c>
      <c r="AB1110">
        <f>IF(ISNUMBER(AA1110),'자료_거시'!$J1092,"")</f>
        <v/>
      </c>
      <c r="AC1110">
        <f>IF(ISNUMBER(AB1110),IF(AB1110&gt;$L$8,AA1110,""),"")</f>
        <v/>
      </c>
    </row>
    <row r="1111">
      <c r="S1111">
        <f>IF(ISNUMBER('자료_거시'!$E1093),'자료_거시'!$E1093,S1110)</f>
        <v/>
      </c>
      <c r="T1111">
        <f>IF(AND(ISNUMBER('자료_거시'!$D1093),ISNUMBER('자료_거시'!$E1093)),IFERROR('자료_거시'!$E1093-INDEX($S$21:$S$4020,MATCH(EDATE('자료_거시'!$D1093,-'설정'!$B$17),'자료_거시'!$D$3:INDEX('자료_거시'!$D$3:$D$4002,$K$6),1)),""),"")</f>
        <v/>
      </c>
      <c r="U1111">
        <f>IF(ISNUMBER(T1111),'자료_거시'!$D1093,"")</f>
        <v/>
      </c>
      <c r="V1111">
        <f>IF(ISNUMBER(U1111),IF(U1111&gt;$L$6,T1111,""),"")</f>
        <v/>
      </c>
      <c r="W1111">
        <f>IF(AND(ISNUMBER('자료_거시'!$G1093),ISNUMBER('자료_거시'!$H1093)),'자료_거시'!$H1093,"")</f>
        <v/>
      </c>
      <c r="X1111">
        <f>IF(ISNUMBER(W1111),'자료_거시'!$G1093,"")</f>
        <v/>
      </c>
      <c r="Y1111">
        <f>IF(ISNUMBER(X1111),IF(X1111&gt;$L$7,W1111,""),"")</f>
        <v/>
      </c>
      <c r="Z1111">
        <f>IF(ISNUMBER('자료_거시'!$K1093),'자료_거시'!$K1093,Z1110)</f>
        <v/>
      </c>
      <c r="AA1111">
        <f>IF(AND(ISNUMBER('자료_거시'!$J1093),ISNUMBER('자료_거시'!$K1093)),IFERROR('자료_거시'!$K1093/INDEX($Z$21:$Z$4020,MATCH(EDATE('자료_거시'!$J1093,-'설정'!$B$17),'자료_거시'!$J$3:INDEX('자료_거시'!$J$3:$J$4002,$K$8),1))-1,""),"")</f>
        <v/>
      </c>
      <c r="AB1111">
        <f>IF(ISNUMBER(AA1111),'자료_거시'!$J1093,"")</f>
        <v/>
      </c>
      <c r="AC1111">
        <f>IF(ISNUMBER(AB1111),IF(AB1111&gt;$L$8,AA1111,""),"")</f>
        <v/>
      </c>
    </row>
    <row r="1112">
      <c r="S1112">
        <f>IF(ISNUMBER('자료_거시'!$E1094),'자료_거시'!$E1094,S1111)</f>
        <v/>
      </c>
      <c r="T1112">
        <f>IF(AND(ISNUMBER('자료_거시'!$D1094),ISNUMBER('자료_거시'!$E1094)),IFERROR('자료_거시'!$E1094-INDEX($S$21:$S$4020,MATCH(EDATE('자료_거시'!$D1094,-'설정'!$B$17),'자료_거시'!$D$3:INDEX('자료_거시'!$D$3:$D$4002,$K$6),1)),""),"")</f>
        <v/>
      </c>
      <c r="U1112">
        <f>IF(ISNUMBER(T1112),'자료_거시'!$D1094,"")</f>
        <v/>
      </c>
      <c r="V1112">
        <f>IF(ISNUMBER(U1112),IF(U1112&gt;$L$6,T1112,""),"")</f>
        <v/>
      </c>
      <c r="W1112">
        <f>IF(AND(ISNUMBER('자료_거시'!$G1094),ISNUMBER('자료_거시'!$H1094)),'자료_거시'!$H1094,"")</f>
        <v/>
      </c>
      <c r="X1112">
        <f>IF(ISNUMBER(W1112),'자료_거시'!$G1094,"")</f>
        <v/>
      </c>
      <c r="Y1112">
        <f>IF(ISNUMBER(X1112),IF(X1112&gt;$L$7,W1112,""),"")</f>
        <v/>
      </c>
      <c r="Z1112">
        <f>IF(ISNUMBER('자료_거시'!$K1094),'자료_거시'!$K1094,Z1111)</f>
        <v/>
      </c>
      <c r="AA1112">
        <f>IF(AND(ISNUMBER('자료_거시'!$J1094),ISNUMBER('자료_거시'!$K1094)),IFERROR('자료_거시'!$K1094/INDEX($Z$21:$Z$4020,MATCH(EDATE('자료_거시'!$J1094,-'설정'!$B$17),'자료_거시'!$J$3:INDEX('자료_거시'!$J$3:$J$4002,$K$8),1))-1,""),"")</f>
        <v/>
      </c>
      <c r="AB1112">
        <f>IF(ISNUMBER(AA1112),'자료_거시'!$J1094,"")</f>
        <v/>
      </c>
      <c r="AC1112">
        <f>IF(ISNUMBER(AB1112),IF(AB1112&gt;$L$8,AA1112,""),"")</f>
        <v/>
      </c>
    </row>
    <row r="1113">
      <c r="S1113">
        <f>IF(ISNUMBER('자료_거시'!$E1095),'자료_거시'!$E1095,S1112)</f>
        <v/>
      </c>
      <c r="T1113">
        <f>IF(AND(ISNUMBER('자료_거시'!$D1095),ISNUMBER('자료_거시'!$E1095)),IFERROR('자료_거시'!$E1095-INDEX($S$21:$S$4020,MATCH(EDATE('자료_거시'!$D1095,-'설정'!$B$17),'자료_거시'!$D$3:INDEX('자료_거시'!$D$3:$D$4002,$K$6),1)),""),"")</f>
        <v/>
      </c>
      <c r="U1113">
        <f>IF(ISNUMBER(T1113),'자료_거시'!$D1095,"")</f>
        <v/>
      </c>
      <c r="V1113">
        <f>IF(ISNUMBER(U1113),IF(U1113&gt;$L$6,T1113,""),"")</f>
        <v/>
      </c>
      <c r="W1113">
        <f>IF(AND(ISNUMBER('자료_거시'!$G1095),ISNUMBER('자료_거시'!$H1095)),'자료_거시'!$H1095,"")</f>
        <v/>
      </c>
      <c r="X1113">
        <f>IF(ISNUMBER(W1113),'자료_거시'!$G1095,"")</f>
        <v/>
      </c>
      <c r="Y1113">
        <f>IF(ISNUMBER(X1113),IF(X1113&gt;$L$7,W1113,""),"")</f>
        <v/>
      </c>
      <c r="Z1113">
        <f>IF(ISNUMBER('자료_거시'!$K1095),'자료_거시'!$K1095,Z1112)</f>
        <v/>
      </c>
      <c r="AA1113">
        <f>IF(AND(ISNUMBER('자료_거시'!$J1095),ISNUMBER('자료_거시'!$K1095)),IFERROR('자료_거시'!$K1095/INDEX($Z$21:$Z$4020,MATCH(EDATE('자료_거시'!$J1095,-'설정'!$B$17),'자료_거시'!$J$3:INDEX('자료_거시'!$J$3:$J$4002,$K$8),1))-1,""),"")</f>
        <v/>
      </c>
      <c r="AB1113">
        <f>IF(ISNUMBER(AA1113),'자료_거시'!$J1095,"")</f>
        <v/>
      </c>
      <c r="AC1113">
        <f>IF(ISNUMBER(AB1113),IF(AB1113&gt;$L$8,AA1113,""),"")</f>
        <v/>
      </c>
    </row>
    <row r="1114">
      <c r="S1114">
        <f>IF(ISNUMBER('자료_거시'!$E1096),'자료_거시'!$E1096,S1113)</f>
        <v/>
      </c>
      <c r="T1114">
        <f>IF(AND(ISNUMBER('자료_거시'!$D1096),ISNUMBER('자료_거시'!$E1096)),IFERROR('자료_거시'!$E1096-INDEX($S$21:$S$4020,MATCH(EDATE('자료_거시'!$D1096,-'설정'!$B$17),'자료_거시'!$D$3:INDEX('자료_거시'!$D$3:$D$4002,$K$6),1)),""),"")</f>
        <v/>
      </c>
      <c r="U1114">
        <f>IF(ISNUMBER(T1114),'자료_거시'!$D1096,"")</f>
        <v/>
      </c>
      <c r="V1114">
        <f>IF(ISNUMBER(U1114),IF(U1114&gt;$L$6,T1114,""),"")</f>
        <v/>
      </c>
      <c r="W1114">
        <f>IF(AND(ISNUMBER('자료_거시'!$G1096),ISNUMBER('자료_거시'!$H1096)),'자료_거시'!$H1096,"")</f>
        <v/>
      </c>
      <c r="X1114">
        <f>IF(ISNUMBER(W1114),'자료_거시'!$G1096,"")</f>
        <v/>
      </c>
      <c r="Y1114">
        <f>IF(ISNUMBER(X1114),IF(X1114&gt;$L$7,W1114,""),"")</f>
        <v/>
      </c>
      <c r="Z1114">
        <f>IF(ISNUMBER('자료_거시'!$K1096),'자료_거시'!$K1096,Z1113)</f>
        <v/>
      </c>
      <c r="AA1114">
        <f>IF(AND(ISNUMBER('자료_거시'!$J1096),ISNUMBER('자료_거시'!$K1096)),IFERROR('자료_거시'!$K1096/INDEX($Z$21:$Z$4020,MATCH(EDATE('자료_거시'!$J1096,-'설정'!$B$17),'자료_거시'!$J$3:INDEX('자료_거시'!$J$3:$J$4002,$K$8),1))-1,""),"")</f>
        <v/>
      </c>
      <c r="AB1114">
        <f>IF(ISNUMBER(AA1114),'자료_거시'!$J1096,"")</f>
        <v/>
      </c>
      <c r="AC1114">
        <f>IF(ISNUMBER(AB1114),IF(AB1114&gt;$L$8,AA1114,""),"")</f>
        <v/>
      </c>
    </row>
    <row r="1115">
      <c r="S1115">
        <f>IF(ISNUMBER('자료_거시'!$E1097),'자료_거시'!$E1097,S1114)</f>
        <v/>
      </c>
      <c r="T1115">
        <f>IF(AND(ISNUMBER('자료_거시'!$D1097),ISNUMBER('자료_거시'!$E1097)),IFERROR('자료_거시'!$E1097-INDEX($S$21:$S$4020,MATCH(EDATE('자료_거시'!$D1097,-'설정'!$B$17),'자료_거시'!$D$3:INDEX('자료_거시'!$D$3:$D$4002,$K$6),1)),""),"")</f>
        <v/>
      </c>
      <c r="U1115">
        <f>IF(ISNUMBER(T1115),'자료_거시'!$D1097,"")</f>
        <v/>
      </c>
      <c r="V1115">
        <f>IF(ISNUMBER(U1115),IF(U1115&gt;$L$6,T1115,""),"")</f>
        <v/>
      </c>
      <c r="W1115">
        <f>IF(AND(ISNUMBER('자료_거시'!$G1097),ISNUMBER('자료_거시'!$H1097)),'자료_거시'!$H1097,"")</f>
        <v/>
      </c>
      <c r="X1115">
        <f>IF(ISNUMBER(W1115),'자료_거시'!$G1097,"")</f>
        <v/>
      </c>
      <c r="Y1115">
        <f>IF(ISNUMBER(X1115),IF(X1115&gt;$L$7,W1115,""),"")</f>
        <v/>
      </c>
      <c r="Z1115">
        <f>IF(ISNUMBER('자료_거시'!$K1097),'자료_거시'!$K1097,Z1114)</f>
        <v/>
      </c>
      <c r="AA1115">
        <f>IF(AND(ISNUMBER('자료_거시'!$J1097),ISNUMBER('자료_거시'!$K1097)),IFERROR('자료_거시'!$K1097/INDEX($Z$21:$Z$4020,MATCH(EDATE('자료_거시'!$J1097,-'설정'!$B$17),'자료_거시'!$J$3:INDEX('자료_거시'!$J$3:$J$4002,$K$8),1))-1,""),"")</f>
        <v/>
      </c>
      <c r="AB1115">
        <f>IF(ISNUMBER(AA1115),'자료_거시'!$J1097,"")</f>
        <v/>
      </c>
      <c r="AC1115">
        <f>IF(ISNUMBER(AB1115),IF(AB1115&gt;$L$8,AA1115,""),"")</f>
        <v/>
      </c>
    </row>
    <row r="1116">
      <c r="S1116">
        <f>IF(ISNUMBER('자료_거시'!$E1098),'자료_거시'!$E1098,S1115)</f>
        <v/>
      </c>
      <c r="T1116">
        <f>IF(AND(ISNUMBER('자료_거시'!$D1098),ISNUMBER('자료_거시'!$E1098)),IFERROR('자료_거시'!$E1098-INDEX($S$21:$S$4020,MATCH(EDATE('자료_거시'!$D1098,-'설정'!$B$17),'자료_거시'!$D$3:INDEX('자료_거시'!$D$3:$D$4002,$K$6),1)),""),"")</f>
        <v/>
      </c>
      <c r="U1116">
        <f>IF(ISNUMBER(T1116),'자료_거시'!$D1098,"")</f>
        <v/>
      </c>
      <c r="V1116">
        <f>IF(ISNUMBER(U1116),IF(U1116&gt;$L$6,T1116,""),"")</f>
        <v/>
      </c>
      <c r="W1116">
        <f>IF(AND(ISNUMBER('자료_거시'!$G1098),ISNUMBER('자료_거시'!$H1098)),'자료_거시'!$H1098,"")</f>
        <v/>
      </c>
      <c r="X1116">
        <f>IF(ISNUMBER(W1116),'자료_거시'!$G1098,"")</f>
        <v/>
      </c>
      <c r="Y1116">
        <f>IF(ISNUMBER(X1116),IF(X1116&gt;$L$7,W1116,""),"")</f>
        <v/>
      </c>
      <c r="Z1116">
        <f>IF(ISNUMBER('자료_거시'!$K1098),'자료_거시'!$K1098,Z1115)</f>
        <v/>
      </c>
      <c r="AA1116">
        <f>IF(AND(ISNUMBER('자료_거시'!$J1098),ISNUMBER('자료_거시'!$K1098)),IFERROR('자료_거시'!$K1098/INDEX($Z$21:$Z$4020,MATCH(EDATE('자료_거시'!$J1098,-'설정'!$B$17),'자료_거시'!$J$3:INDEX('자료_거시'!$J$3:$J$4002,$K$8),1))-1,""),"")</f>
        <v/>
      </c>
      <c r="AB1116">
        <f>IF(ISNUMBER(AA1116),'자료_거시'!$J1098,"")</f>
        <v/>
      </c>
      <c r="AC1116">
        <f>IF(ISNUMBER(AB1116),IF(AB1116&gt;$L$8,AA1116,""),"")</f>
        <v/>
      </c>
    </row>
    <row r="1117">
      <c r="S1117">
        <f>IF(ISNUMBER('자료_거시'!$E1099),'자료_거시'!$E1099,S1116)</f>
        <v/>
      </c>
      <c r="T1117">
        <f>IF(AND(ISNUMBER('자료_거시'!$D1099),ISNUMBER('자료_거시'!$E1099)),IFERROR('자료_거시'!$E1099-INDEX($S$21:$S$4020,MATCH(EDATE('자료_거시'!$D1099,-'설정'!$B$17),'자료_거시'!$D$3:INDEX('자료_거시'!$D$3:$D$4002,$K$6),1)),""),"")</f>
        <v/>
      </c>
      <c r="U1117">
        <f>IF(ISNUMBER(T1117),'자료_거시'!$D1099,"")</f>
        <v/>
      </c>
      <c r="V1117">
        <f>IF(ISNUMBER(U1117),IF(U1117&gt;$L$6,T1117,""),"")</f>
        <v/>
      </c>
      <c r="W1117">
        <f>IF(AND(ISNUMBER('자료_거시'!$G1099),ISNUMBER('자료_거시'!$H1099)),'자료_거시'!$H1099,"")</f>
        <v/>
      </c>
      <c r="X1117">
        <f>IF(ISNUMBER(W1117),'자료_거시'!$G1099,"")</f>
        <v/>
      </c>
      <c r="Y1117">
        <f>IF(ISNUMBER(X1117),IF(X1117&gt;$L$7,W1117,""),"")</f>
        <v/>
      </c>
      <c r="Z1117">
        <f>IF(ISNUMBER('자료_거시'!$K1099),'자료_거시'!$K1099,Z1116)</f>
        <v/>
      </c>
      <c r="AA1117">
        <f>IF(AND(ISNUMBER('자료_거시'!$J1099),ISNUMBER('자료_거시'!$K1099)),IFERROR('자료_거시'!$K1099/INDEX($Z$21:$Z$4020,MATCH(EDATE('자료_거시'!$J1099,-'설정'!$B$17),'자료_거시'!$J$3:INDEX('자료_거시'!$J$3:$J$4002,$K$8),1))-1,""),"")</f>
        <v/>
      </c>
      <c r="AB1117">
        <f>IF(ISNUMBER(AA1117),'자료_거시'!$J1099,"")</f>
        <v/>
      </c>
      <c r="AC1117">
        <f>IF(ISNUMBER(AB1117),IF(AB1117&gt;$L$8,AA1117,""),"")</f>
        <v/>
      </c>
    </row>
    <row r="1118">
      <c r="S1118">
        <f>IF(ISNUMBER('자료_거시'!$E1100),'자료_거시'!$E1100,S1117)</f>
        <v/>
      </c>
      <c r="T1118">
        <f>IF(AND(ISNUMBER('자료_거시'!$D1100),ISNUMBER('자료_거시'!$E1100)),IFERROR('자료_거시'!$E1100-INDEX($S$21:$S$4020,MATCH(EDATE('자료_거시'!$D1100,-'설정'!$B$17),'자료_거시'!$D$3:INDEX('자료_거시'!$D$3:$D$4002,$K$6),1)),""),"")</f>
        <v/>
      </c>
      <c r="U1118">
        <f>IF(ISNUMBER(T1118),'자료_거시'!$D1100,"")</f>
        <v/>
      </c>
      <c r="V1118">
        <f>IF(ISNUMBER(U1118),IF(U1118&gt;$L$6,T1118,""),"")</f>
        <v/>
      </c>
      <c r="W1118">
        <f>IF(AND(ISNUMBER('자료_거시'!$G1100),ISNUMBER('자료_거시'!$H1100)),'자료_거시'!$H1100,"")</f>
        <v/>
      </c>
      <c r="X1118">
        <f>IF(ISNUMBER(W1118),'자료_거시'!$G1100,"")</f>
        <v/>
      </c>
      <c r="Y1118">
        <f>IF(ISNUMBER(X1118),IF(X1118&gt;$L$7,W1118,""),"")</f>
        <v/>
      </c>
      <c r="Z1118">
        <f>IF(ISNUMBER('자료_거시'!$K1100),'자료_거시'!$K1100,Z1117)</f>
        <v/>
      </c>
      <c r="AA1118">
        <f>IF(AND(ISNUMBER('자료_거시'!$J1100),ISNUMBER('자료_거시'!$K1100)),IFERROR('자료_거시'!$K1100/INDEX($Z$21:$Z$4020,MATCH(EDATE('자료_거시'!$J1100,-'설정'!$B$17),'자료_거시'!$J$3:INDEX('자료_거시'!$J$3:$J$4002,$K$8),1))-1,""),"")</f>
        <v/>
      </c>
      <c r="AB1118">
        <f>IF(ISNUMBER(AA1118),'자료_거시'!$J1100,"")</f>
        <v/>
      </c>
      <c r="AC1118">
        <f>IF(ISNUMBER(AB1118),IF(AB1118&gt;$L$8,AA1118,""),"")</f>
        <v/>
      </c>
    </row>
    <row r="1119">
      <c r="S1119">
        <f>IF(ISNUMBER('자료_거시'!$E1101),'자료_거시'!$E1101,S1118)</f>
        <v/>
      </c>
      <c r="T1119">
        <f>IF(AND(ISNUMBER('자료_거시'!$D1101),ISNUMBER('자료_거시'!$E1101)),IFERROR('자료_거시'!$E1101-INDEX($S$21:$S$4020,MATCH(EDATE('자료_거시'!$D1101,-'설정'!$B$17),'자료_거시'!$D$3:INDEX('자료_거시'!$D$3:$D$4002,$K$6),1)),""),"")</f>
        <v/>
      </c>
      <c r="U1119">
        <f>IF(ISNUMBER(T1119),'자료_거시'!$D1101,"")</f>
        <v/>
      </c>
      <c r="V1119">
        <f>IF(ISNUMBER(U1119),IF(U1119&gt;$L$6,T1119,""),"")</f>
        <v/>
      </c>
      <c r="W1119">
        <f>IF(AND(ISNUMBER('자료_거시'!$G1101),ISNUMBER('자료_거시'!$H1101)),'자료_거시'!$H1101,"")</f>
        <v/>
      </c>
      <c r="X1119">
        <f>IF(ISNUMBER(W1119),'자료_거시'!$G1101,"")</f>
        <v/>
      </c>
      <c r="Y1119">
        <f>IF(ISNUMBER(X1119),IF(X1119&gt;$L$7,W1119,""),"")</f>
        <v/>
      </c>
      <c r="Z1119">
        <f>IF(ISNUMBER('자료_거시'!$K1101),'자료_거시'!$K1101,Z1118)</f>
        <v/>
      </c>
      <c r="AA1119">
        <f>IF(AND(ISNUMBER('자료_거시'!$J1101),ISNUMBER('자료_거시'!$K1101)),IFERROR('자료_거시'!$K1101/INDEX($Z$21:$Z$4020,MATCH(EDATE('자료_거시'!$J1101,-'설정'!$B$17),'자료_거시'!$J$3:INDEX('자료_거시'!$J$3:$J$4002,$K$8),1))-1,""),"")</f>
        <v/>
      </c>
      <c r="AB1119">
        <f>IF(ISNUMBER(AA1119),'자료_거시'!$J1101,"")</f>
        <v/>
      </c>
      <c r="AC1119">
        <f>IF(ISNUMBER(AB1119),IF(AB1119&gt;$L$8,AA1119,""),"")</f>
        <v/>
      </c>
    </row>
    <row r="1120">
      <c r="S1120">
        <f>IF(ISNUMBER('자료_거시'!$E1102),'자료_거시'!$E1102,S1119)</f>
        <v/>
      </c>
      <c r="T1120">
        <f>IF(AND(ISNUMBER('자료_거시'!$D1102),ISNUMBER('자료_거시'!$E1102)),IFERROR('자료_거시'!$E1102-INDEX($S$21:$S$4020,MATCH(EDATE('자료_거시'!$D1102,-'설정'!$B$17),'자료_거시'!$D$3:INDEX('자료_거시'!$D$3:$D$4002,$K$6),1)),""),"")</f>
        <v/>
      </c>
      <c r="U1120">
        <f>IF(ISNUMBER(T1120),'자료_거시'!$D1102,"")</f>
        <v/>
      </c>
      <c r="V1120">
        <f>IF(ISNUMBER(U1120),IF(U1120&gt;$L$6,T1120,""),"")</f>
        <v/>
      </c>
      <c r="W1120">
        <f>IF(AND(ISNUMBER('자료_거시'!$G1102),ISNUMBER('자료_거시'!$H1102)),'자료_거시'!$H1102,"")</f>
        <v/>
      </c>
      <c r="X1120">
        <f>IF(ISNUMBER(W1120),'자료_거시'!$G1102,"")</f>
        <v/>
      </c>
      <c r="Y1120">
        <f>IF(ISNUMBER(X1120),IF(X1120&gt;$L$7,W1120,""),"")</f>
        <v/>
      </c>
      <c r="Z1120">
        <f>IF(ISNUMBER('자료_거시'!$K1102),'자료_거시'!$K1102,Z1119)</f>
        <v/>
      </c>
      <c r="AA1120">
        <f>IF(AND(ISNUMBER('자료_거시'!$J1102),ISNUMBER('자료_거시'!$K1102)),IFERROR('자료_거시'!$K1102/INDEX($Z$21:$Z$4020,MATCH(EDATE('자료_거시'!$J1102,-'설정'!$B$17),'자료_거시'!$J$3:INDEX('자료_거시'!$J$3:$J$4002,$K$8),1))-1,""),"")</f>
        <v/>
      </c>
      <c r="AB1120">
        <f>IF(ISNUMBER(AA1120),'자료_거시'!$J1102,"")</f>
        <v/>
      </c>
      <c r="AC1120">
        <f>IF(ISNUMBER(AB1120),IF(AB1120&gt;$L$8,AA1120,""),"")</f>
        <v/>
      </c>
    </row>
    <row r="1121">
      <c r="S1121">
        <f>IF(ISNUMBER('자료_거시'!$E1103),'자료_거시'!$E1103,S1120)</f>
        <v/>
      </c>
      <c r="T1121">
        <f>IF(AND(ISNUMBER('자료_거시'!$D1103),ISNUMBER('자료_거시'!$E1103)),IFERROR('자료_거시'!$E1103-INDEX($S$21:$S$4020,MATCH(EDATE('자료_거시'!$D1103,-'설정'!$B$17),'자료_거시'!$D$3:INDEX('자료_거시'!$D$3:$D$4002,$K$6),1)),""),"")</f>
        <v/>
      </c>
      <c r="U1121">
        <f>IF(ISNUMBER(T1121),'자료_거시'!$D1103,"")</f>
        <v/>
      </c>
      <c r="V1121">
        <f>IF(ISNUMBER(U1121),IF(U1121&gt;$L$6,T1121,""),"")</f>
        <v/>
      </c>
      <c r="W1121">
        <f>IF(AND(ISNUMBER('자료_거시'!$G1103),ISNUMBER('자료_거시'!$H1103)),'자료_거시'!$H1103,"")</f>
        <v/>
      </c>
      <c r="X1121">
        <f>IF(ISNUMBER(W1121),'자료_거시'!$G1103,"")</f>
        <v/>
      </c>
      <c r="Y1121">
        <f>IF(ISNUMBER(X1121),IF(X1121&gt;$L$7,W1121,""),"")</f>
        <v/>
      </c>
      <c r="Z1121">
        <f>IF(ISNUMBER('자료_거시'!$K1103),'자료_거시'!$K1103,Z1120)</f>
        <v/>
      </c>
      <c r="AA1121">
        <f>IF(AND(ISNUMBER('자료_거시'!$J1103),ISNUMBER('자료_거시'!$K1103)),IFERROR('자료_거시'!$K1103/INDEX($Z$21:$Z$4020,MATCH(EDATE('자료_거시'!$J1103,-'설정'!$B$17),'자료_거시'!$J$3:INDEX('자료_거시'!$J$3:$J$4002,$K$8),1))-1,""),"")</f>
        <v/>
      </c>
      <c r="AB1121">
        <f>IF(ISNUMBER(AA1121),'자료_거시'!$J1103,"")</f>
        <v/>
      </c>
      <c r="AC1121">
        <f>IF(ISNUMBER(AB1121),IF(AB1121&gt;$L$8,AA1121,""),"")</f>
        <v/>
      </c>
    </row>
    <row r="1122">
      <c r="S1122">
        <f>IF(ISNUMBER('자료_거시'!$E1104),'자료_거시'!$E1104,S1121)</f>
        <v/>
      </c>
      <c r="T1122">
        <f>IF(AND(ISNUMBER('자료_거시'!$D1104),ISNUMBER('자료_거시'!$E1104)),IFERROR('자료_거시'!$E1104-INDEX($S$21:$S$4020,MATCH(EDATE('자료_거시'!$D1104,-'설정'!$B$17),'자료_거시'!$D$3:INDEX('자료_거시'!$D$3:$D$4002,$K$6),1)),""),"")</f>
        <v/>
      </c>
      <c r="U1122">
        <f>IF(ISNUMBER(T1122),'자료_거시'!$D1104,"")</f>
        <v/>
      </c>
      <c r="V1122">
        <f>IF(ISNUMBER(U1122),IF(U1122&gt;$L$6,T1122,""),"")</f>
        <v/>
      </c>
      <c r="W1122">
        <f>IF(AND(ISNUMBER('자료_거시'!$G1104),ISNUMBER('자료_거시'!$H1104)),'자료_거시'!$H1104,"")</f>
        <v/>
      </c>
      <c r="X1122">
        <f>IF(ISNUMBER(W1122),'자료_거시'!$G1104,"")</f>
        <v/>
      </c>
      <c r="Y1122">
        <f>IF(ISNUMBER(X1122),IF(X1122&gt;$L$7,W1122,""),"")</f>
        <v/>
      </c>
      <c r="Z1122">
        <f>IF(ISNUMBER('자료_거시'!$K1104),'자료_거시'!$K1104,Z1121)</f>
        <v/>
      </c>
      <c r="AA1122">
        <f>IF(AND(ISNUMBER('자료_거시'!$J1104),ISNUMBER('자료_거시'!$K1104)),IFERROR('자료_거시'!$K1104/INDEX($Z$21:$Z$4020,MATCH(EDATE('자료_거시'!$J1104,-'설정'!$B$17),'자료_거시'!$J$3:INDEX('자료_거시'!$J$3:$J$4002,$K$8),1))-1,""),"")</f>
        <v/>
      </c>
      <c r="AB1122">
        <f>IF(ISNUMBER(AA1122),'자료_거시'!$J1104,"")</f>
        <v/>
      </c>
      <c r="AC1122">
        <f>IF(ISNUMBER(AB1122),IF(AB1122&gt;$L$8,AA1122,""),"")</f>
        <v/>
      </c>
    </row>
    <row r="1123">
      <c r="S1123">
        <f>IF(ISNUMBER('자료_거시'!$E1105),'자료_거시'!$E1105,S1122)</f>
        <v/>
      </c>
      <c r="T1123">
        <f>IF(AND(ISNUMBER('자료_거시'!$D1105),ISNUMBER('자료_거시'!$E1105)),IFERROR('자료_거시'!$E1105-INDEX($S$21:$S$4020,MATCH(EDATE('자료_거시'!$D1105,-'설정'!$B$17),'자료_거시'!$D$3:INDEX('자료_거시'!$D$3:$D$4002,$K$6),1)),""),"")</f>
        <v/>
      </c>
      <c r="U1123">
        <f>IF(ISNUMBER(T1123),'자료_거시'!$D1105,"")</f>
        <v/>
      </c>
      <c r="V1123">
        <f>IF(ISNUMBER(U1123),IF(U1123&gt;$L$6,T1123,""),"")</f>
        <v/>
      </c>
      <c r="W1123">
        <f>IF(AND(ISNUMBER('자료_거시'!$G1105),ISNUMBER('자료_거시'!$H1105)),'자료_거시'!$H1105,"")</f>
        <v/>
      </c>
      <c r="X1123">
        <f>IF(ISNUMBER(W1123),'자료_거시'!$G1105,"")</f>
        <v/>
      </c>
      <c r="Y1123">
        <f>IF(ISNUMBER(X1123),IF(X1123&gt;$L$7,W1123,""),"")</f>
        <v/>
      </c>
      <c r="Z1123">
        <f>IF(ISNUMBER('자료_거시'!$K1105),'자료_거시'!$K1105,Z1122)</f>
        <v/>
      </c>
      <c r="AA1123">
        <f>IF(AND(ISNUMBER('자료_거시'!$J1105),ISNUMBER('자료_거시'!$K1105)),IFERROR('자료_거시'!$K1105/INDEX($Z$21:$Z$4020,MATCH(EDATE('자료_거시'!$J1105,-'설정'!$B$17),'자료_거시'!$J$3:INDEX('자료_거시'!$J$3:$J$4002,$K$8),1))-1,""),"")</f>
        <v/>
      </c>
      <c r="AB1123">
        <f>IF(ISNUMBER(AA1123),'자료_거시'!$J1105,"")</f>
        <v/>
      </c>
      <c r="AC1123">
        <f>IF(ISNUMBER(AB1123),IF(AB1123&gt;$L$8,AA1123,""),"")</f>
        <v/>
      </c>
    </row>
    <row r="1124">
      <c r="S1124">
        <f>IF(ISNUMBER('자료_거시'!$E1106),'자료_거시'!$E1106,S1123)</f>
        <v/>
      </c>
      <c r="T1124">
        <f>IF(AND(ISNUMBER('자료_거시'!$D1106),ISNUMBER('자료_거시'!$E1106)),IFERROR('자료_거시'!$E1106-INDEX($S$21:$S$4020,MATCH(EDATE('자료_거시'!$D1106,-'설정'!$B$17),'자료_거시'!$D$3:INDEX('자료_거시'!$D$3:$D$4002,$K$6),1)),""),"")</f>
        <v/>
      </c>
      <c r="U1124">
        <f>IF(ISNUMBER(T1124),'자료_거시'!$D1106,"")</f>
        <v/>
      </c>
      <c r="V1124">
        <f>IF(ISNUMBER(U1124),IF(U1124&gt;$L$6,T1124,""),"")</f>
        <v/>
      </c>
      <c r="W1124">
        <f>IF(AND(ISNUMBER('자료_거시'!$G1106),ISNUMBER('자료_거시'!$H1106)),'자료_거시'!$H1106,"")</f>
        <v/>
      </c>
      <c r="X1124">
        <f>IF(ISNUMBER(W1124),'자료_거시'!$G1106,"")</f>
        <v/>
      </c>
      <c r="Y1124">
        <f>IF(ISNUMBER(X1124),IF(X1124&gt;$L$7,W1124,""),"")</f>
        <v/>
      </c>
      <c r="Z1124">
        <f>IF(ISNUMBER('자료_거시'!$K1106),'자료_거시'!$K1106,Z1123)</f>
        <v/>
      </c>
      <c r="AA1124">
        <f>IF(AND(ISNUMBER('자료_거시'!$J1106),ISNUMBER('자료_거시'!$K1106)),IFERROR('자료_거시'!$K1106/INDEX($Z$21:$Z$4020,MATCH(EDATE('자료_거시'!$J1106,-'설정'!$B$17),'자료_거시'!$J$3:INDEX('자료_거시'!$J$3:$J$4002,$K$8),1))-1,""),"")</f>
        <v/>
      </c>
      <c r="AB1124">
        <f>IF(ISNUMBER(AA1124),'자료_거시'!$J1106,"")</f>
        <v/>
      </c>
      <c r="AC1124">
        <f>IF(ISNUMBER(AB1124),IF(AB1124&gt;$L$8,AA1124,""),"")</f>
        <v/>
      </c>
    </row>
    <row r="1125">
      <c r="S1125">
        <f>IF(ISNUMBER('자료_거시'!$E1107),'자료_거시'!$E1107,S1124)</f>
        <v/>
      </c>
      <c r="T1125">
        <f>IF(AND(ISNUMBER('자료_거시'!$D1107),ISNUMBER('자료_거시'!$E1107)),IFERROR('자료_거시'!$E1107-INDEX($S$21:$S$4020,MATCH(EDATE('자료_거시'!$D1107,-'설정'!$B$17),'자료_거시'!$D$3:INDEX('자료_거시'!$D$3:$D$4002,$K$6),1)),""),"")</f>
        <v/>
      </c>
      <c r="U1125">
        <f>IF(ISNUMBER(T1125),'자료_거시'!$D1107,"")</f>
        <v/>
      </c>
      <c r="V1125">
        <f>IF(ISNUMBER(U1125),IF(U1125&gt;$L$6,T1125,""),"")</f>
        <v/>
      </c>
      <c r="W1125">
        <f>IF(AND(ISNUMBER('자료_거시'!$G1107),ISNUMBER('자료_거시'!$H1107)),'자료_거시'!$H1107,"")</f>
        <v/>
      </c>
      <c r="X1125">
        <f>IF(ISNUMBER(W1125),'자료_거시'!$G1107,"")</f>
        <v/>
      </c>
      <c r="Y1125">
        <f>IF(ISNUMBER(X1125),IF(X1125&gt;$L$7,W1125,""),"")</f>
        <v/>
      </c>
      <c r="Z1125">
        <f>IF(ISNUMBER('자료_거시'!$K1107),'자료_거시'!$K1107,Z1124)</f>
        <v/>
      </c>
      <c r="AA1125">
        <f>IF(AND(ISNUMBER('자료_거시'!$J1107),ISNUMBER('자료_거시'!$K1107)),IFERROR('자료_거시'!$K1107/INDEX($Z$21:$Z$4020,MATCH(EDATE('자료_거시'!$J1107,-'설정'!$B$17),'자료_거시'!$J$3:INDEX('자료_거시'!$J$3:$J$4002,$K$8),1))-1,""),"")</f>
        <v/>
      </c>
      <c r="AB1125">
        <f>IF(ISNUMBER(AA1125),'자료_거시'!$J1107,"")</f>
        <v/>
      </c>
      <c r="AC1125">
        <f>IF(ISNUMBER(AB1125),IF(AB1125&gt;$L$8,AA1125,""),"")</f>
        <v/>
      </c>
    </row>
    <row r="1126">
      <c r="S1126">
        <f>IF(ISNUMBER('자료_거시'!$E1108),'자료_거시'!$E1108,S1125)</f>
        <v/>
      </c>
      <c r="T1126">
        <f>IF(AND(ISNUMBER('자료_거시'!$D1108),ISNUMBER('자료_거시'!$E1108)),IFERROR('자료_거시'!$E1108-INDEX($S$21:$S$4020,MATCH(EDATE('자료_거시'!$D1108,-'설정'!$B$17),'자료_거시'!$D$3:INDEX('자료_거시'!$D$3:$D$4002,$K$6),1)),""),"")</f>
        <v/>
      </c>
      <c r="U1126">
        <f>IF(ISNUMBER(T1126),'자료_거시'!$D1108,"")</f>
        <v/>
      </c>
      <c r="V1126">
        <f>IF(ISNUMBER(U1126),IF(U1126&gt;$L$6,T1126,""),"")</f>
        <v/>
      </c>
      <c r="W1126">
        <f>IF(AND(ISNUMBER('자료_거시'!$G1108),ISNUMBER('자료_거시'!$H1108)),'자료_거시'!$H1108,"")</f>
        <v/>
      </c>
      <c r="X1126">
        <f>IF(ISNUMBER(W1126),'자료_거시'!$G1108,"")</f>
        <v/>
      </c>
      <c r="Y1126">
        <f>IF(ISNUMBER(X1126),IF(X1126&gt;$L$7,W1126,""),"")</f>
        <v/>
      </c>
      <c r="Z1126">
        <f>IF(ISNUMBER('자료_거시'!$K1108),'자료_거시'!$K1108,Z1125)</f>
        <v/>
      </c>
      <c r="AA1126">
        <f>IF(AND(ISNUMBER('자료_거시'!$J1108),ISNUMBER('자료_거시'!$K1108)),IFERROR('자료_거시'!$K1108/INDEX($Z$21:$Z$4020,MATCH(EDATE('자료_거시'!$J1108,-'설정'!$B$17),'자료_거시'!$J$3:INDEX('자료_거시'!$J$3:$J$4002,$K$8),1))-1,""),"")</f>
        <v/>
      </c>
      <c r="AB1126">
        <f>IF(ISNUMBER(AA1126),'자료_거시'!$J1108,"")</f>
        <v/>
      </c>
      <c r="AC1126">
        <f>IF(ISNUMBER(AB1126),IF(AB1126&gt;$L$8,AA1126,""),"")</f>
        <v/>
      </c>
    </row>
    <row r="1127">
      <c r="S1127">
        <f>IF(ISNUMBER('자료_거시'!$E1109),'자료_거시'!$E1109,S1126)</f>
        <v/>
      </c>
      <c r="T1127">
        <f>IF(AND(ISNUMBER('자료_거시'!$D1109),ISNUMBER('자료_거시'!$E1109)),IFERROR('자료_거시'!$E1109-INDEX($S$21:$S$4020,MATCH(EDATE('자료_거시'!$D1109,-'설정'!$B$17),'자료_거시'!$D$3:INDEX('자료_거시'!$D$3:$D$4002,$K$6),1)),""),"")</f>
        <v/>
      </c>
      <c r="U1127">
        <f>IF(ISNUMBER(T1127),'자료_거시'!$D1109,"")</f>
        <v/>
      </c>
      <c r="V1127">
        <f>IF(ISNUMBER(U1127),IF(U1127&gt;$L$6,T1127,""),"")</f>
        <v/>
      </c>
      <c r="W1127">
        <f>IF(AND(ISNUMBER('자료_거시'!$G1109),ISNUMBER('자료_거시'!$H1109)),'자료_거시'!$H1109,"")</f>
        <v/>
      </c>
      <c r="X1127">
        <f>IF(ISNUMBER(W1127),'자료_거시'!$G1109,"")</f>
        <v/>
      </c>
      <c r="Y1127">
        <f>IF(ISNUMBER(X1127),IF(X1127&gt;$L$7,W1127,""),"")</f>
        <v/>
      </c>
      <c r="Z1127">
        <f>IF(ISNUMBER('자료_거시'!$K1109),'자료_거시'!$K1109,Z1126)</f>
        <v/>
      </c>
      <c r="AA1127">
        <f>IF(AND(ISNUMBER('자료_거시'!$J1109),ISNUMBER('자료_거시'!$K1109)),IFERROR('자료_거시'!$K1109/INDEX($Z$21:$Z$4020,MATCH(EDATE('자료_거시'!$J1109,-'설정'!$B$17),'자료_거시'!$J$3:INDEX('자료_거시'!$J$3:$J$4002,$K$8),1))-1,""),"")</f>
        <v/>
      </c>
      <c r="AB1127">
        <f>IF(ISNUMBER(AA1127),'자료_거시'!$J1109,"")</f>
        <v/>
      </c>
      <c r="AC1127">
        <f>IF(ISNUMBER(AB1127),IF(AB1127&gt;$L$8,AA1127,""),"")</f>
        <v/>
      </c>
    </row>
    <row r="1128">
      <c r="S1128">
        <f>IF(ISNUMBER('자료_거시'!$E1110),'자료_거시'!$E1110,S1127)</f>
        <v/>
      </c>
      <c r="T1128">
        <f>IF(AND(ISNUMBER('자료_거시'!$D1110),ISNUMBER('자료_거시'!$E1110)),IFERROR('자료_거시'!$E1110-INDEX($S$21:$S$4020,MATCH(EDATE('자료_거시'!$D1110,-'설정'!$B$17),'자료_거시'!$D$3:INDEX('자료_거시'!$D$3:$D$4002,$K$6),1)),""),"")</f>
        <v/>
      </c>
      <c r="U1128">
        <f>IF(ISNUMBER(T1128),'자료_거시'!$D1110,"")</f>
        <v/>
      </c>
      <c r="V1128">
        <f>IF(ISNUMBER(U1128),IF(U1128&gt;$L$6,T1128,""),"")</f>
        <v/>
      </c>
      <c r="W1128">
        <f>IF(AND(ISNUMBER('자료_거시'!$G1110),ISNUMBER('자료_거시'!$H1110)),'자료_거시'!$H1110,"")</f>
        <v/>
      </c>
      <c r="X1128">
        <f>IF(ISNUMBER(W1128),'자료_거시'!$G1110,"")</f>
        <v/>
      </c>
      <c r="Y1128">
        <f>IF(ISNUMBER(X1128),IF(X1128&gt;$L$7,W1128,""),"")</f>
        <v/>
      </c>
      <c r="Z1128">
        <f>IF(ISNUMBER('자료_거시'!$K1110),'자료_거시'!$K1110,Z1127)</f>
        <v/>
      </c>
      <c r="AA1128">
        <f>IF(AND(ISNUMBER('자료_거시'!$J1110),ISNUMBER('자료_거시'!$K1110)),IFERROR('자료_거시'!$K1110/INDEX($Z$21:$Z$4020,MATCH(EDATE('자료_거시'!$J1110,-'설정'!$B$17),'자료_거시'!$J$3:INDEX('자료_거시'!$J$3:$J$4002,$K$8),1))-1,""),"")</f>
        <v/>
      </c>
      <c r="AB1128">
        <f>IF(ISNUMBER(AA1128),'자료_거시'!$J1110,"")</f>
        <v/>
      </c>
      <c r="AC1128">
        <f>IF(ISNUMBER(AB1128),IF(AB1128&gt;$L$8,AA1128,""),"")</f>
        <v/>
      </c>
    </row>
    <row r="1129">
      <c r="S1129">
        <f>IF(ISNUMBER('자료_거시'!$E1111),'자료_거시'!$E1111,S1128)</f>
        <v/>
      </c>
      <c r="T1129">
        <f>IF(AND(ISNUMBER('자료_거시'!$D1111),ISNUMBER('자료_거시'!$E1111)),IFERROR('자료_거시'!$E1111-INDEX($S$21:$S$4020,MATCH(EDATE('자료_거시'!$D1111,-'설정'!$B$17),'자료_거시'!$D$3:INDEX('자료_거시'!$D$3:$D$4002,$K$6),1)),""),"")</f>
        <v/>
      </c>
      <c r="U1129">
        <f>IF(ISNUMBER(T1129),'자료_거시'!$D1111,"")</f>
        <v/>
      </c>
      <c r="V1129">
        <f>IF(ISNUMBER(U1129),IF(U1129&gt;$L$6,T1129,""),"")</f>
        <v/>
      </c>
      <c r="W1129">
        <f>IF(AND(ISNUMBER('자료_거시'!$G1111),ISNUMBER('자료_거시'!$H1111)),'자료_거시'!$H1111,"")</f>
        <v/>
      </c>
      <c r="X1129">
        <f>IF(ISNUMBER(W1129),'자료_거시'!$G1111,"")</f>
        <v/>
      </c>
      <c r="Y1129">
        <f>IF(ISNUMBER(X1129),IF(X1129&gt;$L$7,W1129,""),"")</f>
        <v/>
      </c>
      <c r="Z1129">
        <f>IF(ISNUMBER('자료_거시'!$K1111),'자료_거시'!$K1111,Z1128)</f>
        <v/>
      </c>
      <c r="AA1129">
        <f>IF(AND(ISNUMBER('자료_거시'!$J1111),ISNUMBER('자료_거시'!$K1111)),IFERROR('자료_거시'!$K1111/INDEX($Z$21:$Z$4020,MATCH(EDATE('자료_거시'!$J1111,-'설정'!$B$17),'자료_거시'!$J$3:INDEX('자료_거시'!$J$3:$J$4002,$K$8),1))-1,""),"")</f>
        <v/>
      </c>
      <c r="AB1129">
        <f>IF(ISNUMBER(AA1129),'자료_거시'!$J1111,"")</f>
        <v/>
      </c>
      <c r="AC1129">
        <f>IF(ISNUMBER(AB1129),IF(AB1129&gt;$L$8,AA1129,""),"")</f>
        <v/>
      </c>
    </row>
    <row r="1130">
      <c r="S1130">
        <f>IF(ISNUMBER('자료_거시'!$E1112),'자료_거시'!$E1112,S1129)</f>
        <v/>
      </c>
      <c r="T1130">
        <f>IF(AND(ISNUMBER('자료_거시'!$D1112),ISNUMBER('자료_거시'!$E1112)),IFERROR('자료_거시'!$E1112-INDEX($S$21:$S$4020,MATCH(EDATE('자료_거시'!$D1112,-'설정'!$B$17),'자료_거시'!$D$3:INDEX('자료_거시'!$D$3:$D$4002,$K$6),1)),""),"")</f>
        <v/>
      </c>
      <c r="U1130">
        <f>IF(ISNUMBER(T1130),'자료_거시'!$D1112,"")</f>
        <v/>
      </c>
      <c r="V1130">
        <f>IF(ISNUMBER(U1130),IF(U1130&gt;$L$6,T1130,""),"")</f>
        <v/>
      </c>
      <c r="W1130">
        <f>IF(AND(ISNUMBER('자료_거시'!$G1112),ISNUMBER('자료_거시'!$H1112)),'자료_거시'!$H1112,"")</f>
        <v/>
      </c>
      <c r="X1130">
        <f>IF(ISNUMBER(W1130),'자료_거시'!$G1112,"")</f>
        <v/>
      </c>
      <c r="Y1130">
        <f>IF(ISNUMBER(X1130),IF(X1130&gt;$L$7,W1130,""),"")</f>
        <v/>
      </c>
      <c r="Z1130">
        <f>IF(ISNUMBER('자료_거시'!$K1112),'자료_거시'!$K1112,Z1129)</f>
        <v/>
      </c>
      <c r="AA1130">
        <f>IF(AND(ISNUMBER('자료_거시'!$J1112),ISNUMBER('자료_거시'!$K1112)),IFERROR('자료_거시'!$K1112/INDEX($Z$21:$Z$4020,MATCH(EDATE('자료_거시'!$J1112,-'설정'!$B$17),'자료_거시'!$J$3:INDEX('자료_거시'!$J$3:$J$4002,$K$8),1))-1,""),"")</f>
        <v/>
      </c>
      <c r="AB1130">
        <f>IF(ISNUMBER(AA1130),'자료_거시'!$J1112,"")</f>
        <v/>
      </c>
      <c r="AC1130">
        <f>IF(ISNUMBER(AB1130),IF(AB1130&gt;$L$8,AA1130,""),"")</f>
        <v/>
      </c>
    </row>
    <row r="1131">
      <c r="S1131">
        <f>IF(ISNUMBER('자료_거시'!$E1113),'자료_거시'!$E1113,S1130)</f>
        <v/>
      </c>
      <c r="T1131">
        <f>IF(AND(ISNUMBER('자료_거시'!$D1113),ISNUMBER('자료_거시'!$E1113)),IFERROR('자료_거시'!$E1113-INDEX($S$21:$S$4020,MATCH(EDATE('자료_거시'!$D1113,-'설정'!$B$17),'자료_거시'!$D$3:INDEX('자료_거시'!$D$3:$D$4002,$K$6),1)),""),"")</f>
        <v/>
      </c>
      <c r="U1131">
        <f>IF(ISNUMBER(T1131),'자료_거시'!$D1113,"")</f>
        <v/>
      </c>
      <c r="V1131">
        <f>IF(ISNUMBER(U1131),IF(U1131&gt;$L$6,T1131,""),"")</f>
        <v/>
      </c>
      <c r="W1131">
        <f>IF(AND(ISNUMBER('자료_거시'!$G1113),ISNUMBER('자료_거시'!$H1113)),'자료_거시'!$H1113,"")</f>
        <v/>
      </c>
      <c r="X1131">
        <f>IF(ISNUMBER(W1131),'자료_거시'!$G1113,"")</f>
        <v/>
      </c>
      <c r="Y1131">
        <f>IF(ISNUMBER(X1131),IF(X1131&gt;$L$7,W1131,""),"")</f>
        <v/>
      </c>
      <c r="Z1131">
        <f>IF(ISNUMBER('자료_거시'!$K1113),'자료_거시'!$K1113,Z1130)</f>
        <v/>
      </c>
      <c r="AA1131">
        <f>IF(AND(ISNUMBER('자료_거시'!$J1113),ISNUMBER('자료_거시'!$K1113)),IFERROR('자료_거시'!$K1113/INDEX($Z$21:$Z$4020,MATCH(EDATE('자료_거시'!$J1113,-'설정'!$B$17),'자료_거시'!$J$3:INDEX('자료_거시'!$J$3:$J$4002,$K$8),1))-1,""),"")</f>
        <v/>
      </c>
      <c r="AB1131">
        <f>IF(ISNUMBER(AA1131),'자료_거시'!$J1113,"")</f>
        <v/>
      </c>
      <c r="AC1131">
        <f>IF(ISNUMBER(AB1131),IF(AB1131&gt;$L$8,AA1131,""),"")</f>
        <v/>
      </c>
    </row>
    <row r="1132">
      <c r="S1132">
        <f>IF(ISNUMBER('자료_거시'!$E1114),'자료_거시'!$E1114,S1131)</f>
        <v/>
      </c>
      <c r="T1132">
        <f>IF(AND(ISNUMBER('자료_거시'!$D1114),ISNUMBER('자료_거시'!$E1114)),IFERROR('자료_거시'!$E1114-INDEX($S$21:$S$4020,MATCH(EDATE('자료_거시'!$D1114,-'설정'!$B$17),'자료_거시'!$D$3:INDEX('자료_거시'!$D$3:$D$4002,$K$6),1)),""),"")</f>
        <v/>
      </c>
      <c r="U1132">
        <f>IF(ISNUMBER(T1132),'자료_거시'!$D1114,"")</f>
        <v/>
      </c>
      <c r="V1132">
        <f>IF(ISNUMBER(U1132),IF(U1132&gt;$L$6,T1132,""),"")</f>
        <v/>
      </c>
      <c r="W1132">
        <f>IF(AND(ISNUMBER('자료_거시'!$G1114),ISNUMBER('자료_거시'!$H1114)),'자료_거시'!$H1114,"")</f>
        <v/>
      </c>
      <c r="X1132">
        <f>IF(ISNUMBER(W1132),'자료_거시'!$G1114,"")</f>
        <v/>
      </c>
      <c r="Y1132">
        <f>IF(ISNUMBER(X1132),IF(X1132&gt;$L$7,W1132,""),"")</f>
        <v/>
      </c>
      <c r="Z1132">
        <f>IF(ISNUMBER('자료_거시'!$K1114),'자료_거시'!$K1114,Z1131)</f>
        <v/>
      </c>
      <c r="AA1132">
        <f>IF(AND(ISNUMBER('자료_거시'!$J1114),ISNUMBER('자료_거시'!$K1114)),IFERROR('자료_거시'!$K1114/INDEX($Z$21:$Z$4020,MATCH(EDATE('자료_거시'!$J1114,-'설정'!$B$17),'자료_거시'!$J$3:INDEX('자료_거시'!$J$3:$J$4002,$K$8),1))-1,""),"")</f>
        <v/>
      </c>
      <c r="AB1132">
        <f>IF(ISNUMBER(AA1132),'자료_거시'!$J1114,"")</f>
        <v/>
      </c>
      <c r="AC1132">
        <f>IF(ISNUMBER(AB1132),IF(AB1132&gt;$L$8,AA1132,""),"")</f>
        <v/>
      </c>
    </row>
    <row r="1133">
      <c r="S1133">
        <f>IF(ISNUMBER('자료_거시'!$E1115),'자료_거시'!$E1115,S1132)</f>
        <v/>
      </c>
      <c r="T1133">
        <f>IF(AND(ISNUMBER('자료_거시'!$D1115),ISNUMBER('자료_거시'!$E1115)),IFERROR('자료_거시'!$E1115-INDEX($S$21:$S$4020,MATCH(EDATE('자료_거시'!$D1115,-'설정'!$B$17),'자료_거시'!$D$3:INDEX('자료_거시'!$D$3:$D$4002,$K$6),1)),""),"")</f>
        <v/>
      </c>
      <c r="U1133">
        <f>IF(ISNUMBER(T1133),'자료_거시'!$D1115,"")</f>
        <v/>
      </c>
      <c r="V1133">
        <f>IF(ISNUMBER(U1133),IF(U1133&gt;$L$6,T1133,""),"")</f>
        <v/>
      </c>
      <c r="W1133">
        <f>IF(AND(ISNUMBER('자료_거시'!$G1115),ISNUMBER('자료_거시'!$H1115)),'자료_거시'!$H1115,"")</f>
        <v/>
      </c>
      <c r="X1133">
        <f>IF(ISNUMBER(W1133),'자료_거시'!$G1115,"")</f>
        <v/>
      </c>
      <c r="Y1133">
        <f>IF(ISNUMBER(X1133),IF(X1133&gt;$L$7,W1133,""),"")</f>
        <v/>
      </c>
      <c r="Z1133">
        <f>IF(ISNUMBER('자료_거시'!$K1115),'자료_거시'!$K1115,Z1132)</f>
        <v/>
      </c>
      <c r="AA1133">
        <f>IF(AND(ISNUMBER('자료_거시'!$J1115),ISNUMBER('자료_거시'!$K1115)),IFERROR('자료_거시'!$K1115/INDEX($Z$21:$Z$4020,MATCH(EDATE('자료_거시'!$J1115,-'설정'!$B$17),'자료_거시'!$J$3:INDEX('자료_거시'!$J$3:$J$4002,$K$8),1))-1,""),"")</f>
        <v/>
      </c>
      <c r="AB1133">
        <f>IF(ISNUMBER(AA1133),'자료_거시'!$J1115,"")</f>
        <v/>
      </c>
      <c r="AC1133">
        <f>IF(ISNUMBER(AB1133),IF(AB1133&gt;$L$8,AA1133,""),"")</f>
        <v/>
      </c>
    </row>
    <row r="1134">
      <c r="S1134">
        <f>IF(ISNUMBER('자료_거시'!$E1116),'자료_거시'!$E1116,S1133)</f>
        <v/>
      </c>
      <c r="T1134">
        <f>IF(AND(ISNUMBER('자료_거시'!$D1116),ISNUMBER('자료_거시'!$E1116)),IFERROR('자료_거시'!$E1116-INDEX($S$21:$S$4020,MATCH(EDATE('자료_거시'!$D1116,-'설정'!$B$17),'자료_거시'!$D$3:INDEX('자료_거시'!$D$3:$D$4002,$K$6),1)),""),"")</f>
        <v/>
      </c>
      <c r="U1134">
        <f>IF(ISNUMBER(T1134),'자료_거시'!$D1116,"")</f>
        <v/>
      </c>
      <c r="V1134">
        <f>IF(ISNUMBER(U1134),IF(U1134&gt;$L$6,T1134,""),"")</f>
        <v/>
      </c>
      <c r="W1134">
        <f>IF(AND(ISNUMBER('자료_거시'!$G1116),ISNUMBER('자료_거시'!$H1116)),'자료_거시'!$H1116,"")</f>
        <v/>
      </c>
      <c r="X1134">
        <f>IF(ISNUMBER(W1134),'자료_거시'!$G1116,"")</f>
        <v/>
      </c>
      <c r="Y1134">
        <f>IF(ISNUMBER(X1134),IF(X1134&gt;$L$7,W1134,""),"")</f>
        <v/>
      </c>
      <c r="Z1134">
        <f>IF(ISNUMBER('자료_거시'!$K1116),'자료_거시'!$K1116,Z1133)</f>
        <v/>
      </c>
      <c r="AA1134">
        <f>IF(AND(ISNUMBER('자료_거시'!$J1116),ISNUMBER('자료_거시'!$K1116)),IFERROR('자료_거시'!$K1116/INDEX($Z$21:$Z$4020,MATCH(EDATE('자료_거시'!$J1116,-'설정'!$B$17),'자료_거시'!$J$3:INDEX('자료_거시'!$J$3:$J$4002,$K$8),1))-1,""),"")</f>
        <v/>
      </c>
      <c r="AB1134">
        <f>IF(ISNUMBER(AA1134),'자료_거시'!$J1116,"")</f>
        <v/>
      </c>
      <c r="AC1134">
        <f>IF(ISNUMBER(AB1134),IF(AB1134&gt;$L$8,AA1134,""),"")</f>
        <v/>
      </c>
    </row>
    <row r="1135">
      <c r="S1135">
        <f>IF(ISNUMBER('자료_거시'!$E1117),'자료_거시'!$E1117,S1134)</f>
        <v/>
      </c>
      <c r="T1135">
        <f>IF(AND(ISNUMBER('자료_거시'!$D1117),ISNUMBER('자료_거시'!$E1117)),IFERROR('자료_거시'!$E1117-INDEX($S$21:$S$4020,MATCH(EDATE('자료_거시'!$D1117,-'설정'!$B$17),'자료_거시'!$D$3:INDEX('자료_거시'!$D$3:$D$4002,$K$6),1)),""),"")</f>
        <v/>
      </c>
      <c r="U1135">
        <f>IF(ISNUMBER(T1135),'자료_거시'!$D1117,"")</f>
        <v/>
      </c>
      <c r="V1135">
        <f>IF(ISNUMBER(U1135),IF(U1135&gt;$L$6,T1135,""),"")</f>
        <v/>
      </c>
      <c r="W1135">
        <f>IF(AND(ISNUMBER('자료_거시'!$G1117),ISNUMBER('자료_거시'!$H1117)),'자료_거시'!$H1117,"")</f>
        <v/>
      </c>
      <c r="X1135">
        <f>IF(ISNUMBER(W1135),'자료_거시'!$G1117,"")</f>
        <v/>
      </c>
      <c r="Y1135">
        <f>IF(ISNUMBER(X1135),IF(X1135&gt;$L$7,W1135,""),"")</f>
        <v/>
      </c>
      <c r="Z1135">
        <f>IF(ISNUMBER('자료_거시'!$K1117),'자료_거시'!$K1117,Z1134)</f>
        <v/>
      </c>
      <c r="AA1135">
        <f>IF(AND(ISNUMBER('자료_거시'!$J1117),ISNUMBER('자료_거시'!$K1117)),IFERROR('자료_거시'!$K1117/INDEX($Z$21:$Z$4020,MATCH(EDATE('자료_거시'!$J1117,-'설정'!$B$17),'자료_거시'!$J$3:INDEX('자료_거시'!$J$3:$J$4002,$K$8),1))-1,""),"")</f>
        <v/>
      </c>
      <c r="AB1135">
        <f>IF(ISNUMBER(AA1135),'자료_거시'!$J1117,"")</f>
        <v/>
      </c>
      <c r="AC1135">
        <f>IF(ISNUMBER(AB1135),IF(AB1135&gt;$L$8,AA1135,""),"")</f>
        <v/>
      </c>
    </row>
    <row r="1136">
      <c r="S1136">
        <f>IF(ISNUMBER('자료_거시'!$E1118),'자료_거시'!$E1118,S1135)</f>
        <v/>
      </c>
      <c r="T1136">
        <f>IF(AND(ISNUMBER('자료_거시'!$D1118),ISNUMBER('자료_거시'!$E1118)),IFERROR('자료_거시'!$E1118-INDEX($S$21:$S$4020,MATCH(EDATE('자료_거시'!$D1118,-'설정'!$B$17),'자료_거시'!$D$3:INDEX('자료_거시'!$D$3:$D$4002,$K$6),1)),""),"")</f>
        <v/>
      </c>
      <c r="U1136">
        <f>IF(ISNUMBER(T1136),'자료_거시'!$D1118,"")</f>
        <v/>
      </c>
      <c r="V1136">
        <f>IF(ISNUMBER(U1136),IF(U1136&gt;$L$6,T1136,""),"")</f>
        <v/>
      </c>
      <c r="W1136">
        <f>IF(AND(ISNUMBER('자료_거시'!$G1118),ISNUMBER('자료_거시'!$H1118)),'자료_거시'!$H1118,"")</f>
        <v/>
      </c>
      <c r="X1136">
        <f>IF(ISNUMBER(W1136),'자료_거시'!$G1118,"")</f>
        <v/>
      </c>
      <c r="Y1136">
        <f>IF(ISNUMBER(X1136),IF(X1136&gt;$L$7,W1136,""),"")</f>
        <v/>
      </c>
      <c r="Z1136">
        <f>IF(ISNUMBER('자료_거시'!$K1118),'자료_거시'!$K1118,Z1135)</f>
        <v/>
      </c>
      <c r="AA1136">
        <f>IF(AND(ISNUMBER('자료_거시'!$J1118),ISNUMBER('자료_거시'!$K1118)),IFERROR('자료_거시'!$K1118/INDEX($Z$21:$Z$4020,MATCH(EDATE('자료_거시'!$J1118,-'설정'!$B$17),'자료_거시'!$J$3:INDEX('자료_거시'!$J$3:$J$4002,$K$8),1))-1,""),"")</f>
        <v/>
      </c>
      <c r="AB1136">
        <f>IF(ISNUMBER(AA1136),'자료_거시'!$J1118,"")</f>
        <v/>
      </c>
      <c r="AC1136">
        <f>IF(ISNUMBER(AB1136),IF(AB1136&gt;$L$8,AA1136,""),"")</f>
        <v/>
      </c>
    </row>
    <row r="1137">
      <c r="S1137">
        <f>IF(ISNUMBER('자료_거시'!$E1119),'자료_거시'!$E1119,S1136)</f>
        <v/>
      </c>
      <c r="T1137">
        <f>IF(AND(ISNUMBER('자료_거시'!$D1119),ISNUMBER('자료_거시'!$E1119)),IFERROR('자료_거시'!$E1119-INDEX($S$21:$S$4020,MATCH(EDATE('자료_거시'!$D1119,-'설정'!$B$17),'자료_거시'!$D$3:INDEX('자료_거시'!$D$3:$D$4002,$K$6),1)),""),"")</f>
        <v/>
      </c>
      <c r="U1137">
        <f>IF(ISNUMBER(T1137),'자료_거시'!$D1119,"")</f>
        <v/>
      </c>
      <c r="V1137">
        <f>IF(ISNUMBER(U1137),IF(U1137&gt;$L$6,T1137,""),"")</f>
        <v/>
      </c>
      <c r="W1137">
        <f>IF(AND(ISNUMBER('자료_거시'!$G1119),ISNUMBER('자료_거시'!$H1119)),'자료_거시'!$H1119,"")</f>
        <v/>
      </c>
      <c r="X1137">
        <f>IF(ISNUMBER(W1137),'자료_거시'!$G1119,"")</f>
        <v/>
      </c>
      <c r="Y1137">
        <f>IF(ISNUMBER(X1137),IF(X1137&gt;$L$7,W1137,""),"")</f>
        <v/>
      </c>
      <c r="Z1137">
        <f>IF(ISNUMBER('자료_거시'!$K1119),'자료_거시'!$K1119,Z1136)</f>
        <v/>
      </c>
      <c r="AA1137">
        <f>IF(AND(ISNUMBER('자료_거시'!$J1119),ISNUMBER('자료_거시'!$K1119)),IFERROR('자료_거시'!$K1119/INDEX($Z$21:$Z$4020,MATCH(EDATE('자료_거시'!$J1119,-'설정'!$B$17),'자료_거시'!$J$3:INDEX('자료_거시'!$J$3:$J$4002,$K$8),1))-1,""),"")</f>
        <v/>
      </c>
      <c r="AB1137">
        <f>IF(ISNUMBER(AA1137),'자료_거시'!$J1119,"")</f>
        <v/>
      </c>
      <c r="AC1137">
        <f>IF(ISNUMBER(AB1137),IF(AB1137&gt;$L$8,AA1137,""),"")</f>
        <v/>
      </c>
    </row>
    <row r="1138">
      <c r="S1138">
        <f>IF(ISNUMBER('자료_거시'!$E1120),'자료_거시'!$E1120,S1137)</f>
        <v/>
      </c>
      <c r="T1138">
        <f>IF(AND(ISNUMBER('자료_거시'!$D1120),ISNUMBER('자료_거시'!$E1120)),IFERROR('자료_거시'!$E1120-INDEX($S$21:$S$4020,MATCH(EDATE('자료_거시'!$D1120,-'설정'!$B$17),'자료_거시'!$D$3:INDEX('자료_거시'!$D$3:$D$4002,$K$6),1)),""),"")</f>
        <v/>
      </c>
      <c r="U1138">
        <f>IF(ISNUMBER(T1138),'자료_거시'!$D1120,"")</f>
        <v/>
      </c>
      <c r="V1138">
        <f>IF(ISNUMBER(U1138),IF(U1138&gt;$L$6,T1138,""),"")</f>
        <v/>
      </c>
      <c r="W1138">
        <f>IF(AND(ISNUMBER('자료_거시'!$G1120),ISNUMBER('자료_거시'!$H1120)),'자료_거시'!$H1120,"")</f>
        <v/>
      </c>
      <c r="X1138">
        <f>IF(ISNUMBER(W1138),'자료_거시'!$G1120,"")</f>
        <v/>
      </c>
      <c r="Y1138">
        <f>IF(ISNUMBER(X1138),IF(X1138&gt;$L$7,W1138,""),"")</f>
        <v/>
      </c>
      <c r="Z1138">
        <f>IF(ISNUMBER('자료_거시'!$K1120),'자료_거시'!$K1120,Z1137)</f>
        <v/>
      </c>
      <c r="AA1138">
        <f>IF(AND(ISNUMBER('자료_거시'!$J1120),ISNUMBER('자료_거시'!$K1120)),IFERROR('자료_거시'!$K1120/INDEX($Z$21:$Z$4020,MATCH(EDATE('자료_거시'!$J1120,-'설정'!$B$17),'자료_거시'!$J$3:INDEX('자료_거시'!$J$3:$J$4002,$K$8),1))-1,""),"")</f>
        <v/>
      </c>
      <c r="AB1138">
        <f>IF(ISNUMBER(AA1138),'자료_거시'!$J1120,"")</f>
        <v/>
      </c>
      <c r="AC1138">
        <f>IF(ISNUMBER(AB1138),IF(AB1138&gt;$L$8,AA1138,""),"")</f>
        <v/>
      </c>
    </row>
    <row r="1139">
      <c r="S1139">
        <f>IF(ISNUMBER('자료_거시'!$E1121),'자료_거시'!$E1121,S1138)</f>
        <v/>
      </c>
      <c r="T1139">
        <f>IF(AND(ISNUMBER('자료_거시'!$D1121),ISNUMBER('자료_거시'!$E1121)),IFERROR('자료_거시'!$E1121-INDEX($S$21:$S$4020,MATCH(EDATE('자료_거시'!$D1121,-'설정'!$B$17),'자료_거시'!$D$3:INDEX('자료_거시'!$D$3:$D$4002,$K$6),1)),""),"")</f>
        <v/>
      </c>
      <c r="U1139">
        <f>IF(ISNUMBER(T1139),'자료_거시'!$D1121,"")</f>
        <v/>
      </c>
      <c r="V1139">
        <f>IF(ISNUMBER(U1139),IF(U1139&gt;$L$6,T1139,""),"")</f>
        <v/>
      </c>
      <c r="W1139">
        <f>IF(AND(ISNUMBER('자료_거시'!$G1121),ISNUMBER('자료_거시'!$H1121)),'자료_거시'!$H1121,"")</f>
        <v/>
      </c>
      <c r="X1139">
        <f>IF(ISNUMBER(W1139),'자료_거시'!$G1121,"")</f>
        <v/>
      </c>
      <c r="Y1139">
        <f>IF(ISNUMBER(X1139),IF(X1139&gt;$L$7,W1139,""),"")</f>
        <v/>
      </c>
      <c r="Z1139">
        <f>IF(ISNUMBER('자료_거시'!$K1121),'자료_거시'!$K1121,Z1138)</f>
        <v/>
      </c>
      <c r="AA1139">
        <f>IF(AND(ISNUMBER('자료_거시'!$J1121),ISNUMBER('자료_거시'!$K1121)),IFERROR('자료_거시'!$K1121/INDEX($Z$21:$Z$4020,MATCH(EDATE('자료_거시'!$J1121,-'설정'!$B$17),'자료_거시'!$J$3:INDEX('자료_거시'!$J$3:$J$4002,$K$8),1))-1,""),"")</f>
        <v/>
      </c>
      <c r="AB1139">
        <f>IF(ISNUMBER(AA1139),'자료_거시'!$J1121,"")</f>
        <v/>
      </c>
      <c r="AC1139">
        <f>IF(ISNUMBER(AB1139),IF(AB1139&gt;$L$8,AA1139,""),"")</f>
        <v/>
      </c>
    </row>
    <row r="1140">
      <c r="S1140">
        <f>IF(ISNUMBER('자료_거시'!$E1122),'자료_거시'!$E1122,S1139)</f>
        <v/>
      </c>
      <c r="T1140">
        <f>IF(AND(ISNUMBER('자료_거시'!$D1122),ISNUMBER('자료_거시'!$E1122)),IFERROR('자료_거시'!$E1122-INDEX($S$21:$S$4020,MATCH(EDATE('자료_거시'!$D1122,-'설정'!$B$17),'자료_거시'!$D$3:INDEX('자료_거시'!$D$3:$D$4002,$K$6),1)),""),"")</f>
        <v/>
      </c>
      <c r="U1140">
        <f>IF(ISNUMBER(T1140),'자료_거시'!$D1122,"")</f>
        <v/>
      </c>
      <c r="V1140">
        <f>IF(ISNUMBER(U1140),IF(U1140&gt;$L$6,T1140,""),"")</f>
        <v/>
      </c>
      <c r="W1140">
        <f>IF(AND(ISNUMBER('자료_거시'!$G1122),ISNUMBER('자료_거시'!$H1122)),'자료_거시'!$H1122,"")</f>
        <v/>
      </c>
      <c r="X1140">
        <f>IF(ISNUMBER(W1140),'자료_거시'!$G1122,"")</f>
        <v/>
      </c>
      <c r="Y1140">
        <f>IF(ISNUMBER(X1140),IF(X1140&gt;$L$7,W1140,""),"")</f>
        <v/>
      </c>
      <c r="Z1140">
        <f>IF(ISNUMBER('자료_거시'!$K1122),'자료_거시'!$K1122,Z1139)</f>
        <v/>
      </c>
      <c r="AA1140">
        <f>IF(AND(ISNUMBER('자료_거시'!$J1122),ISNUMBER('자료_거시'!$K1122)),IFERROR('자료_거시'!$K1122/INDEX($Z$21:$Z$4020,MATCH(EDATE('자료_거시'!$J1122,-'설정'!$B$17),'자료_거시'!$J$3:INDEX('자료_거시'!$J$3:$J$4002,$K$8),1))-1,""),"")</f>
        <v/>
      </c>
      <c r="AB1140">
        <f>IF(ISNUMBER(AA1140),'자료_거시'!$J1122,"")</f>
        <v/>
      </c>
      <c r="AC1140">
        <f>IF(ISNUMBER(AB1140),IF(AB1140&gt;$L$8,AA1140,""),"")</f>
        <v/>
      </c>
    </row>
    <row r="1141">
      <c r="S1141">
        <f>IF(ISNUMBER('자료_거시'!$E1123),'자료_거시'!$E1123,S1140)</f>
        <v/>
      </c>
      <c r="T1141">
        <f>IF(AND(ISNUMBER('자료_거시'!$D1123),ISNUMBER('자료_거시'!$E1123)),IFERROR('자료_거시'!$E1123-INDEX($S$21:$S$4020,MATCH(EDATE('자료_거시'!$D1123,-'설정'!$B$17),'자료_거시'!$D$3:INDEX('자료_거시'!$D$3:$D$4002,$K$6),1)),""),"")</f>
        <v/>
      </c>
      <c r="U1141">
        <f>IF(ISNUMBER(T1141),'자료_거시'!$D1123,"")</f>
        <v/>
      </c>
      <c r="V1141">
        <f>IF(ISNUMBER(U1141),IF(U1141&gt;$L$6,T1141,""),"")</f>
        <v/>
      </c>
      <c r="W1141">
        <f>IF(AND(ISNUMBER('자료_거시'!$G1123),ISNUMBER('자료_거시'!$H1123)),'자료_거시'!$H1123,"")</f>
        <v/>
      </c>
      <c r="X1141">
        <f>IF(ISNUMBER(W1141),'자료_거시'!$G1123,"")</f>
        <v/>
      </c>
      <c r="Y1141">
        <f>IF(ISNUMBER(X1141),IF(X1141&gt;$L$7,W1141,""),"")</f>
        <v/>
      </c>
      <c r="Z1141">
        <f>IF(ISNUMBER('자료_거시'!$K1123),'자료_거시'!$K1123,Z1140)</f>
        <v/>
      </c>
      <c r="AA1141">
        <f>IF(AND(ISNUMBER('자료_거시'!$J1123),ISNUMBER('자료_거시'!$K1123)),IFERROR('자료_거시'!$K1123/INDEX($Z$21:$Z$4020,MATCH(EDATE('자료_거시'!$J1123,-'설정'!$B$17),'자료_거시'!$J$3:INDEX('자료_거시'!$J$3:$J$4002,$K$8),1))-1,""),"")</f>
        <v/>
      </c>
      <c r="AB1141">
        <f>IF(ISNUMBER(AA1141),'자료_거시'!$J1123,"")</f>
        <v/>
      </c>
      <c r="AC1141">
        <f>IF(ISNUMBER(AB1141),IF(AB1141&gt;$L$8,AA1141,""),"")</f>
        <v/>
      </c>
    </row>
    <row r="1142">
      <c r="S1142">
        <f>IF(ISNUMBER('자료_거시'!$E1124),'자료_거시'!$E1124,S1141)</f>
        <v/>
      </c>
      <c r="T1142">
        <f>IF(AND(ISNUMBER('자료_거시'!$D1124),ISNUMBER('자료_거시'!$E1124)),IFERROR('자료_거시'!$E1124-INDEX($S$21:$S$4020,MATCH(EDATE('자료_거시'!$D1124,-'설정'!$B$17),'자료_거시'!$D$3:INDEX('자료_거시'!$D$3:$D$4002,$K$6),1)),""),"")</f>
        <v/>
      </c>
      <c r="U1142">
        <f>IF(ISNUMBER(T1142),'자료_거시'!$D1124,"")</f>
        <v/>
      </c>
      <c r="V1142">
        <f>IF(ISNUMBER(U1142),IF(U1142&gt;$L$6,T1142,""),"")</f>
        <v/>
      </c>
      <c r="W1142">
        <f>IF(AND(ISNUMBER('자료_거시'!$G1124),ISNUMBER('자료_거시'!$H1124)),'자료_거시'!$H1124,"")</f>
        <v/>
      </c>
      <c r="X1142">
        <f>IF(ISNUMBER(W1142),'자료_거시'!$G1124,"")</f>
        <v/>
      </c>
      <c r="Y1142">
        <f>IF(ISNUMBER(X1142),IF(X1142&gt;$L$7,W1142,""),"")</f>
        <v/>
      </c>
      <c r="Z1142">
        <f>IF(ISNUMBER('자료_거시'!$K1124),'자료_거시'!$K1124,Z1141)</f>
        <v/>
      </c>
      <c r="AA1142">
        <f>IF(AND(ISNUMBER('자료_거시'!$J1124),ISNUMBER('자료_거시'!$K1124)),IFERROR('자료_거시'!$K1124/INDEX($Z$21:$Z$4020,MATCH(EDATE('자료_거시'!$J1124,-'설정'!$B$17),'자료_거시'!$J$3:INDEX('자료_거시'!$J$3:$J$4002,$K$8),1))-1,""),"")</f>
        <v/>
      </c>
      <c r="AB1142">
        <f>IF(ISNUMBER(AA1142),'자료_거시'!$J1124,"")</f>
        <v/>
      </c>
      <c r="AC1142">
        <f>IF(ISNUMBER(AB1142),IF(AB1142&gt;$L$8,AA1142,""),"")</f>
        <v/>
      </c>
    </row>
    <row r="1143">
      <c r="S1143">
        <f>IF(ISNUMBER('자료_거시'!$E1125),'자료_거시'!$E1125,S1142)</f>
        <v/>
      </c>
      <c r="T1143">
        <f>IF(AND(ISNUMBER('자료_거시'!$D1125),ISNUMBER('자료_거시'!$E1125)),IFERROR('자료_거시'!$E1125-INDEX($S$21:$S$4020,MATCH(EDATE('자료_거시'!$D1125,-'설정'!$B$17),'자료_거시'!$D$3:INDEX('자료_거시'!$D$3:$D$4002,$K$6),1)),""),"")</f>
        <v/>
      </c>
      <c r="U1143">
        <f>IF(ISNUMBER(T1143),'자료_거시'!$D1125,"")</f>
        <v/>
      </c>
      <c r="V1143">
        <f>IF(ISNUMBER(U1143),IF(U1143&gt;$L$6,T1143,""),"")</f>
        <v/>
      </c>
      <c r="W1143">
        <f>IF(AND(ISNUMBER('자료_거시'!$G1125),ISNUMBER('자료_거시'!$H1125)),'자료_거시'!$H1125,"")</f>
        <v/>
      </c>
      <c r="X1143">
        <f>IF(ISNUMBER(W1143),'자료_거시'!$G1125,"")</f>
        <v/>
      </c>
      <c r="Y1143">
        <f>IF(ISNUMBER(X1143),IF(X1143&gt;$L$7,W1143,""),"")</f>
        <v/>
      </c>
      <c r="Z1143">
        <f>IF(ISNUMBER('자료_거시'!$K1125),'자료_거시'!$K1125,Z1142)</f>
        <v/>
      </c>
      <c r="AA1143">
        <f>IF(AND(ISNUMBER('자료_거시'!$J1125),ISNUMBER('자료_거시'!$K1125)),IFERROR('자료_거시'!$K1125/INDEX($Z$21:$Z$4020,MATCH(EDATE('자료_거시'!$J1125,-'설정'!$B$17),'자료_거시'!$J$3:INDEX('자료_거시'!$J$3:$J$4002,$K$8),1))-1,""),"")</f>
        <v/>
      </c>
      <c r="AB1143">
        <f>IF(ISNUMBER(AA1143),'자료_거시'!$J1125,"")</f>
        <v/>
      </c>
      <c r="AC1143">
        <f>IF(ISNUMBER(AB1143),IF(AB1143&gt;$L$8,AA1143,""),"")</f>
        <v/>
      </c>
    </row>
    <row r="1144">
      <c r="S1144">
        <f>IF(ISNUMBER('자료_거시'!$E1126),'자료_거시'!$E1126,S1143)</f>
        <v/>
      </c>
      <c r="T1144">
        <f>IF(AND(ISNUMBER('자료_거시'!$D1126),ISNUMBER('자료_거시'!$E1126)),IFERROR('자료_거시'!$E1126-INDEX($S$21:$S$4020,MATCH(EDATE('자료_거시'!$D1126,-'설정'!$B$17),'자료_거시'!$D$3:INDEX('자료_거시'!$D$3:$D$4002,$K$6),1)),""),"")</f>
        <v/>
      </c>
      <c r="U1144">
        <f>IF(ISNUMBER(T1144),'자료_거시'!$D1126,"")</f>
        <v/>
      </c>
      <c r="V1144">
        <f>IF(ISNUMBER(U1144),IF(U1144&gt;$L$6,T1144,""),"")</f>
        <v/>
      </c>
      <c r="W1144">
        <f>IF(AND(ISNUMBER('자료_거시'!$G1126),ISNUMBER('자료_거시'!$H1126)),'자료_거시'!$H1126,"")</f>
        <v/>
      </c>
      <c r="X1144">
        <f>IF(ISNUMBER(W1144),'자료_거시'!$G1126,"")</f>
        <v/>
      </c>
      <c r="Y1144">
        <f>IF(ISNUMBER(X1144),IF(X1144&gt;$L$7,W1144,""),"")</f>
        <v/>
      </c>
      <c r="Z1144">
        <f>IF(ISNUMBER('자료_거시'!$K1126),'자료_거시'!$K1126,Z1143)</f>
        <v/>
      </c>
      <c r="AA1144">
        <f>IF(AND(ISNUMBER('자료_거시'!$J1126),ISNUMBER('자료_거시'!$K1126)),IFERROR('자료_거시'!$K1126/INDEX($Z$21:$Z$4020,MATCH(EDATE('자료_거시'!$J1126,-'설정'!$B$17),'자료_거시'!$J$3:INDEX('자료_거시'!$J$3:$J$4002,$K$8),1))-1,""),"")</f>
        <v/>
      </c>
      <c r="AB1144">
        <f>IF(ISNUMBER(AA1144),'자료_거시'!$J1126,"")</f>
        <v/>
      </c>
      <c r="AC1144">
        <f>IF(ISNUMBER(AB1144),IF(AB1144&gt;$L$8,AA1144,""),"")</f>
        <v/>
      </c>
    </row>
    <row r="1145">
      <c r="S1145">
        <f>IF(ISNUMBER('자료_거시'!$E1127),'자료_거시'!$E1127,S1144)</f>
        <v/>
      </c>
      <c r="T1145">
        <f>IF(AND(ISNUMBER('자료_거시'!$D1127),ISNUMBER('자료_거시'!$E1127)),IFERROR('자료_거시'!$E1127-INDEX($S$21:$S$4020,MATCH(EDATE('자료_거시'!$D1127,-'설정'!$B$17),'자료_거시'!$D$3:INDEX('자료_거시'!$D$3:$D$4002,$K$6),1)),""),"")</f>
        <v/>
      </c>
      <c r="U1145">
        <f>IF(ISNUMBER(T1145),'자료_거시'!$D1127,"")</f>
        <v/>
      </c>
      <c r="V1145">
        <f>IF(ISNUMBER(U1145),IF(U1145&gt;$L$6,T1145,""),"")</f>
        <v/>
      </c>
      <c r="W1145">
        <f>IF(AND(ISNUMBER('자료_거시'!$G1127),ISNUMBER('자료_거시'!$H1127)),'자료_거시'!$H1127,"")</f>
        <v/>
      </c>
      <c r="X1145">
        <f>IF(ISNUMBER(W1145),'자료_거시'!$G1127,"")</f>
        <v/>
      </c>
      <c r="Y1145">
        <f>IF(ISNUMBER(X1145),IF(X1145&gt;$L$7,W1145,""),"")</f>
        <v/>
      </c>
      <c r="Z1145">
        <f>IF(ISNUMBER('자료_거시'!$K1127),'자료_거시'!$K1127,Z1144)</f>
        <v/>
      </c>
      <c r="AA1145">
        <f>IF(AND(ISNUMBER('자료_거시'!$J1127),ISNUMBER('자료_거시'!$K1127)),IFERROR('자료_거시'!$K1127/INDEX($Z$21:$Z$4020,MATCH(EDATE('자료_거시'!$J1127,-'설정'!$B$17),'자료_거시'!$J$3:INDEX('자료_거시'!$J$3:$J$4002,$K$8),1))-1,""),"")</f>
        <v/>
      </c>
      <c r="AB1145">
        <f>IF(ISNUMBER(AA1145),'자료_거시'!$J1127,"")</f>
        <v/>
      </c>
      <c r="AC1145">
        <f>IF(ISNUMBER(AB1145),IF(AB1145&gt;$L$8,AA1145,""),"")</f>
        <v/>
      </c>
    </row>
    <row r="1146">
      <c r="S1146">
        <f>IF(ISNUMBER('자료_거시'!$E1128),'자료_거시'!$E1128,S1145)</f>
        <v/>
      </c>
      <c r="T1146">
        <f>IF(AND(ISNUMBER('자료_거시'!$D1128),ISNUMBER('자료_거시'!$E1128)),IFERROR('자료_거시'!$E1128-INDEX($S$21:$S$4020,MATCH(EDATE('자료_거시'!$D1128,-'설정'!$B$17),'자료_거시'!$D$3:INDEX('자료_거시'!$D$3:$D$4002,$K$6),1)),""),"")</f>
        <v/>
      </c>
      <c r="U1146">
        <f>IF(ISNUMBER(T1146),'자료_거시'!$D1128,"")</f>
        <v/>
      </c>
      <c r="V1146">
        <f>IF(ISNUMBER(U1146),IF(U1146&gt;$L$6,T1146,""),"")</f>
        <v/>
      </c>
      <c r="W1146">
        <f>IF(AND(ISNUMBER('자료_거시'!$G1128),ISNUMBER('자료_거시'!$H1128)),'자료_거시'!$H1128,"")</f>
        <v/>
      </c>
      <c r="X1146">
        <f>IF(ISNUMBER(W1146),'자료_거시'!$G1128,"")</f>
        <v/>
      </c>
      <c r="Y1146">
        <f>IF(ISNUMBER(X1146),IF(X1146&gt;$L$7,W1146,""),"")</f>
        <v/>
      </c>
      <c r="Z1146">
        <f>IF(ISNUMBER('자료_거시'!$K1128),'자료_거시'!$K1128,Z1145)</f>
        <v/>
      </c>
      <c r="AA1146">
        <f>IF(AND(ISNUMBER('자료_거시'!$J1128),ISNUMBER('자료_거시'!$K1128)),IFERROR('자료_거시'!$K1128/INDEX($Z$21:$Z$4020,MATCH(EDATE('자료_거시'!$J1128,-'설정'!$B$17),'자료_거시'!$J$3:INDEX('자료_거시'!$J$3:$J$4002,$K$8),1))-1,""),"")</f>
        <v/>
      </c>
      <c r="AB1146">
        <f>IF(ISNUMBER(AA1146),'자료_거시'!$J1128,"")</f>
        <v/>
      </c>
      <c r="AC1146">
        <f>IF(ISNUMBER(AB1146),IF(AB1146&gt;$L$8,AA1146,""),"")</f>
        <v/>
      </c>
    </row>
    <row r="1147">
      <c r="S1147">
        <f>IF(ISNUMBER('자료_거시'!$E1129),'자료_거시'!$E1129,S1146)</f>
        <v/>
      </c>
      <c r="T1147">
        <f>IF(AND(ISNUMBER('자료_거시'!$D1129),ISNUMBER('자료_거시'!$E1129)),IFERROR('자료_거시'!$E1129-INDEX($S$21:$S$4020,MATCH(EDATE('자료_거시'!$D1129,-'설정'!$B$17),'자료_거시'!$D$3:INDEX('자료_거시'!$D$3:$D$4002,$K$6),1)),""),"")</f>
        <v/>
      </c>
      <c r="U1147">
        <f>IF(ISNUMBER(T1147),'자료_거시'!$D1129,"")</f>
        <v/>
      </c>
      <c r="V1147">
        <f>IF(ISNUMBER(U1147),IF(U1147&gt;$L$6,T1147,""),"")</f>
        <v/>
      </c>
      <c r="W1147">
        <f>IF(AND(ISNUMBER('자료_거시'!$G1129),ISNUMBER('자료_거시'!$H1129)),'자료_거시'!$H1129,"")</f>
        <v/>
      </c>
      <c r="X1147">
        <f>IF(ISNUMBER(W1147),'자료_거시'!$G1129,"")</f>
        <v/>
      </c>
      <c r="Y1147">
        <f>IF(ISNUMBER(X1147),IF(X1147&gt;$L$7,W1147,""),"")</f>
        <v/>
      </c>
      <c r="Z1147">
        <f>IF(ISNUMBER('자료_거시'!$K1129),'자료_거시'!$K1129,Z1146)</f>
        <v/>
      </c>
      <c r="AA1147">
        <f>IF(AND(ISNUMBER('자료_거시'!$J1129),ISNUMBER('자료_거시'!$K1129)),IFERROR('자료_거시'!$K1129/INDEX($Z$21:$Z$4020,MATCH(EDATE('자료_거시'!$J1129,-'설정'!$B$17),'자료_거시'!$J$3:INDEX('자료_거시'!$J$3:$J$4002,$K$8),1))-1,""),"")</f>
        <v/>
      </c>
      <c r="AB1147">
        <f>IF(ISNUMBER(AA1147),'자료_거시'!$J1129,"")</f>
        <v/>
      </c>
      <c r="AC1147">
        <f>IF(ISNUMBER(AB1147),IF(AB1147&gt;$L$8,AA1147,""),"")</f>
        <v/>
      </c>
    </row>
    <row r="1148">
      <c r="S1148">
        <f>IF(ISNUMBER('자료_거시'!$E1130),'자료_거시'!$E1130,S1147)</f>
        <v/>
      </c>
      <c r="T1148">
        <f>IF(AND(ISNUMBER('자료_거시'!$D1130),ISNUMBER('자료_거시'!$E1130)),IFERROR('자료_거시'!$E1130-INDEX($S$21:$S$4020,MATCH(EDATE('자료_거시'!$D1130,-'설정'!$B$17),'자료_거시'!$D$3:INDEX('자료_거시'!$D$3:$D$4002,$K$6),1)),""),"")</f>
        <v/>
      </c>
      <c r="U1148">
        <f>IF(ISNUMBER(T1148),'자료_거시'!$D1130,"")</f>
        <v/>
      </c>
      <c r="V1148">
        <f>IF(ISNUMBER(U1148),IF(U1148&gt;$L$6,T1148,""),"")</f>
        <v/>
      </c>
      <c r="W1148">
        <f>IF(AND(ISNUMBER('자료_거시'!$G1130),ISNUMBER('자료_거시'!$H1130)),'자료_거시'!$H1130,"")</f>
        <v/>
      </c>
      <c r="X1148">
        <f>IF(ISNUMBER(W1148),'자료_거시'!$G1130,"")</f>
        <v/>
      </c>
      <c r="Y1148">
        <f>IF(ISNUMBER(X1148),IF(X1148&gt;$L$7,W1148,""),"")</f>
        <v/>
      </c>
      <c r="Z1148">
        <f>IF(ISNUMBER('자료_거시'!$K1130),'자료_거시'!$K1130,Z1147)</f>
        <v/>
      </c>
      <c r="AA1148">
        <f>IF(AND(ISNUMBER('자료_거시'!$J1130),ISNUMBER('자료_거시'!$K1130)),IFERROR('자료_거시'!$K1130/INDEX($Z$21:$Z$4020,MATCH(EDATE('자료_거시'!$J1130,-'설정'!$B$17),'자료_거시'!$J$3:INDEX('자료_거시'!$J$3:$J$4002,$K$8),1))-1,""),"")</f>
        <v/>
      </c>
      <c r="AB1148">
        <f>IF(ISNUMBER(AA1148),'자료_거시'!$J1130,"")</f>
        <v/>
      </c>
      <c r="AC1148">
        <f>IF(ISNUMBER(AB1148),IF(AB1148&gt;$L$8,AA1148,""),"")</f>
        <v/>
      </c>
    </row>
    <row r="1149">
      <c r="S1149">
        <f>IF(ISNUMBER('자료_거시'!$E1131),'자료_거시'!$E1131,S1148)</f>
        <v/>
      </c>
      <c r="T1149">
        <f>IF(AND(ISNUMBER('자료_거시'!$D1131),ISNUMBER('자료_거시'!$E1131)),IFERROR('자료_거시'!$E1131-INDEX($S$21:$S$4020,MATCH(EDATE('자료_거시'!$D1131,-'설정'!$B$17),'자료_거시'!$D$3:INDEX('자료_거시'!$D$3:$D$4002,$K$6),1)),""),"")</f>
        <v/>
      </c>
      <c r="U1149">
        <f>IF(ISNUMBER(T1149),'자료_거시'!$D1131,"")</f>
        <v/>
      </c>
      <c r="V1149">
        <f>IF(ISNUMBER(U1149),IF(U1149&gt;$L$6,T1149,""),"")</f>
        <v/>
      </c>
      <c r="W1149">
        <f>IF(AND(ISNUMBER('자료_거시'!$G1131),ISNUMBER('자료_거시'!$H1131)),'자료_거시'!$H1131,"")</f>
        <v/>
      </c>
      <c r="X1149">
        <f>IF(ISNUMBER(W1149),'자료_거시'!$G1131,"")</f>
        <v/>
      </c>
      <c r="Y1149">
        <f>IF(ISNUMBER(X1149),IF(X1149&gt;$L$7,W1149,""),"")</f>
        <v/>
      </c>
      <c r="Z1149">
        <f>IF(ISNUMBER('자료_거시'!$K1131),'자료_거시'!$K1131,Z1148)</f>
        <v/>
      </c>
      <c r="AA1149">
        <f>IF(AND(ISNUMBER('자료_거시'!$J1131),ISNUMBER('자료_거시'!$K1131)),IFERROR('자료_거시'!$K1131/INDEX($Z$21:$Z$4020,MATCH(EDATE('자료_거시'!$J1131,-'설정'!$B$17),'자료_거시'!$J$3:INDEX('자료_거시'!$J$3:$J$4002,$K$8),1))-1,""),"")</f>
        <v/>
      </c>
      <c r="AB1149">
        <f>IF(ISNUMBER(AA1149),'자료_거시'!$J1131,"")</f>
        <v/>
      </c>
      <c r="AC1149">
        <f>IF(ISNUMBER(AB1149),IF(AB1149&gt;$L$8,AA1149,""),"")</f>
        <v/>
      </c>
    </row>
    <row r="1150">
      <c r="S1150">
        <f>IF(ISNUMBER('자료_거시'!$E1132),'자료_거시'!$E1132,S1149)</f>
        <v/>
      </c>
      <c r="T1150">
        <f>IF(AND(ISNUMBER('자료_거시'!$D1132),ISNUMBER('자료_거시'!$E1132)),IFERROR('자료_거시'!$E1132-INDEX($S$21:$S$4020,MATCH(EDATE('자료_거시'!$D1132,-'설정'!$B$17),'자료_거시'!$D$3:INDEX('자료_거시'!$D$3:$D$4002,$K$6),1)),""),"")</f>
        <v/>
      </c>
      <c r="U1150">
        <f>IF(ISNUMBER(T1150),'자료_거시'!$D1132,"")</f>
        <v/>
      </c>
      <c r="V1150">
        <f>IF(ISNUMBER(U1150),IF(U1150&gt;$L$6,T1150,""),"")</f>
        <v/>
      </c>
      <c r="W1150">
        <f>IF(AND(ISNUMBER('자료_거시'!$G1132),ISNUMBER('자료_거시'!$H1132)),'자료_거시'!$H1132,"")</f>
        <v/>
      </c>
      <c r="X1150">
        <f>IF(ISNUMBER(W1150),'자료_거시'!$G1132,"")</f>
        <v/>
      </c>
      <c r="Y1150">
        <f>IF(ISNUMBER(X1150),IF(X1150&gt;$L$7,W1150,""),"")</f>
        <v/>
      </c>
      <c r="Z1150">
        <f>IF(ISNUMBER('자료_거시'!$K1132),'자료_거시'!$K1132,Z1149)</f>
        <v/>
      </c>
      <c r="AA1150">
        <f>IF(AND(ISNUMBER('자료_거시'!$J1132),ISNUMBER('자료_거시'!$K1132)),IFERROR('자료_거시'!$K1132/INDEX($Z$21:$Z$4020,MATCH(EDATE('자료_거시'!$J1132,-'설정'!$B$17),'자료_거시'!$J$3:INDEX('자료_거시'!$J$3:$J$4002,$K$8),1))-1,""),"")</f>
        <v/>
      </c>
      <c r="AB1150">
        <f>IF(ISNUMBER(AA1150),'자료_거시'!$J1132,"")</f>
        <v/>
      </c>
      <c r="AC1150">
        <f>IF(ISNUMBER(AB1150),IF(AB1150&gt;$L$8,AA1150,""),"")</f>
        <v/>
      </c>
    </row>
    <row r="1151">
      <c r="S1151">
        <f>IF(ISNUMBER('자료_거시'!$E1133),'자료_거시'!$E1133,S1150)</f>
        <v/>
      </c>
      <c r="T1151">
        <f>IF(AND(ISNUMBER('자료_거시'!$D1133),ISNUMBER('자료_거시'!$E1133)),IFERROR('자료_거시'!$E1133-INDEX($S$21:$S$4020,MATCH(EDATE('자료_거시'!$D1133,-'설정'!$B$17),'자료_거시'!$D$3:INDEX('자료_거시'!$D$3:$D$4002,$K$6),1)),""),"")</f>
        <v/>
      </c>
      <c r="U1151">
        <f>IF(ISNUMBER(T1151),'자료_거시'!$D1133,"")</f>
        <v/>
      </c>
      <c r="V1151">
        <f>IF(ISNUMBER(U1151),IF(U1151&gt;$L$6,T1151,""),"")</f>
        <v/>
      </c>
      <c r="W1151">
        <f>IF(AND(ISNUMBER('자료_거시'!$G1133),ISNUMBER('자료_거시'!$H1133)),'자료_거시'!$H1133,"")</f>
        <v/>
      </c>
      <c r="X1151">
        <f>IF(ISNUMBER(W1151),'자료_거시'!$G1133,"")</f>
        <v/>
      </c>
      <c r="Y1151">
        <f>IF(ISNUMBER(X1151),IF(X1151&gt;$L$7,W1151,""),"")</f>
        <v/>
      </c>
      <c r="Z1151">
        <f>IF(ISNUMBER('자료_거시'!$K1133),'자료_거시'!$K1133,Z1150)</f>
        <v/>
      </c>
      <c r="AA1151">
        <f>IF(AND(ISNUMBER('자료_거시'!$J1133),ISNUMBER('자료_거시'!$K1133)),IFERROR('자료_거시'!$K1133/INDEX($Z$21:$Z$4020,MATCH(EDATE('자료_거시'!$J1133,-'설정'!$B$17),'자료_거시'!$J$3:INDEX('자료_거시'!$J$3:$J$4002,$K$8),1))-1,""),"")</f>
        <v/>
      </c>
      <c r="AB1151">
        <f>IF(ISNUMBER(AA1151),'자료_거시'!$J1133,"")</f>
        <v/>
      </c>
      <c r="AC1151">
        <f>IF(ISNUMBER(AB1151),IF(AB1151&gt;$L$8,AA1151,""),"")</f>
        <v/>
      </c>
    </row>
    <row r="1152">
      <c r="S1152">
        <f>IF(ISNUMBER('자료_거시'!$E1134),'자료_거시'!$E1134,S1151)</f>
        <v/>
      </c>
      <c r="T1152">
        <f>IF(AND(ISNUMBER('자료_거시'!$D1134),ISNUMBER('자료_거시'!$E1134)),IFERROR('자료_거시'!$E1134-INDEX($S$21:$S$4020,MATCH(EDATE('자료_거시'!$D1134,-'설정'!$B$17),'자료_거시'!$D$3:INDEX('자료_거시'!$D$3:$D$4002,$K$6),1)),""),"")</f>
        <v/>
      </c>
      <c r="U1152">
        <f>IF(ISNUMBER(T1152),'자료_거시'!$D1134,"")</f>
        <v/>
      </c>
      <c r="V1152">
        <f>IF(ISNUMBER(U1152),IF(U1152&gt;$L$6,T1152,""),"")</f>
        <v/>
      </c>
      <c r="W1152">
        <f>IF(AND(ISNUMBER('자료_거시'!$G1134),ISNUMBER('자료_거시'!$H1134)),'자료_거시'!$H1134,"")</f>
        <v/>
      </c>
      <c r="X1152">
        <f>IF(ISNUMBER(W1152),'자료_거시'!$G1134,"")</f>
        <v/>
      </c>
      <c r="Y1152">
        <f>IF(ISNUMBER(X1152),IF(X1152&gt;$L$7,W1152,""),"")</f>
        <v/>
      </c>
      <c r="Z1152">
        <f>IF(ISNUMBER('자료_거시'!$K1134),'자료_거시'!$K1134,Z1151)</f>
        <v/>
      </c>
      <c r="AA1152">
        <f>IF(AND(ISNUMBER('자료_거시'!$J1134),ISNUMBER('자료_거시'!$K1134)),IFERROR('자료_거시'!$K1134/INDEX($Z$21:$Z$4020,MATCH(EDATE('자료_거시'!$J1134,-'설정'!$B$17),'자료_거시'!$J$3:INDEX('자료_거시'!$J$3:$J$4002,$K$8),1))-1,""),"")</f>
        <v/>
      </c>
      <c r="AB1152">
        <f>IF(ISNUMBER(AA1152),'자료_거시'!$J1134,"")</f>
        <v/>
      </c>
      <c r="AC1152">
        <f>IF(ISNUMBER(AB1152),IF(AB1152&gt;$L$8,AA1152,""),"")</f>
        <v/>
      </c>
    </row>
    <row r="1153">
      <c r="S1153">
        <f>IF(ISNUMBER('자료_거시'!$E1135),'자료_거시'!$E1135,S1152)</f>
        <v/>
      </c>
      <c r="T1153">
        <f>IF(AND(ISNUMBER('자료_거시'!$D1135),ISNUMBER('자료_거시'!$E1135)),IFERROR('자료_거시'!$E1135-INDEX($S$21:$S$4020,MATCH(EDATE('자료_거시'!$D1135,-'설정'!$B$17),'자료_거시'!$D$3:INDEX('자료_거시'!$D$3:$D$4002,$K$6),1)),""),"")</f>
        <v/>
      </c>
      <c r="U1153">
        <f>IF(ISNUMBER(T1153),'자료_거시'!$D1135,"")</f>
        <v/>
      </c>
      <c r="V1153">
        <f>IF(ISNUMBER(U1153),IF(U1153&gt;$L$6,T1153,""),"")</f>
        <v/>
      </c>
      <c r="W1153">
        <f>IF(AND(ISNUMBER('자료_거시'!$G1135),ISNUMBER('자료_거시'!$H1135)),'자료_거시'!$H1135,"")</f>
        <v/>
      </c>
      <c r="X1153">
        <f>IF(ISNUMBER(W1153),'자료_거시'!$G1135,"")</f>
        <v/>
      </c>
      <c r="Y1153">
        <f>IF(ISNUMBER(X1153),IF(X1153&gt;$L$7,W1153,""),"")</f>
        <v/>
      </c>
      <c r="Z1153">
        <f>IF(ISNUMBER('자료_거시'!$K1135),'자료_거시'!$K1135,Z1152)</f>
        <v/>
      </c>
      <c r="AA1153">
        <f>IF(AND(ISNUMBER('자료_거시'!$J1135),ISNUMBER('자료_거시'!$K1135)),IFERROR('자료_거시'!$K1135/INDEX($Z$21:$Z$4020,MATCH(EDATE('자료_거시'!$J1135,-'설정'!$B$17),'자료_거시'!$J$3:INDEX('자료_거시'!$J$3:$J$4002,$K$8),1))-1,""),"")</f>
        <v/>
      </c>
      <c r="AB1153">
        <f>IF(ISNUMBER(AA1153),'자료_거시'!$J1135,"")</f>
        <v/>
      </c>
      <c r="AC1153">
        <f>IF(ISNUMBER(AB1153),IF(AB1153&gt;$L$8,AA1153,""),"")</f>
        <v/>
      </c>
    </row>
    <row r="1154">
      <c r="S1154">
        <f>IF(ISNUMBER('자료_거시'!$E1136),'자료_거시'!$E1136,S1153)</f>
        <v/>
      </c>
      <c r="T1154">
        <f>IF(AND(ISNUMBER('자료_거시'!$D1136),ISNUMBER('자료_거시'!$E1136)),IFERROR('자료_거시'!$E1136-INDEX($S$21:$S$4020,MATCH(EDATE('자료_거시'!$D1136,-'설정'!$B$17),'자료_거시'!$D$3:INDEX('자료_거시'!$D$3:$D$4002,$K$6),1)),""),"")</f>
        <v/>
      </c>
      <c r="U1154">
        <f>IF(ISNUMBER(T1154),'자료_거시'!$D1136,"")</f>
        <v/>
      </c>
      <c r="V1154">
        <f>IF(ISNUMBER(U1154),IF(U1154&gt;$L$6,T1154,""),"")</f>
        <v/>
      </c>
      <c r="W1154">
        <f>IF(AND(ISNUMBER('자료_거시'!$G1136),ISNUMBER('자료_거시'!$H1136)),'자료_거시'!$H1136,"")</f>
        <v/>
      </c>
      <c r="X1154">
        <f>IF(ISNUMBER(W1154),'자료_거시'!$G1136,"")</f>
        <v/>
      </c>
      <c r="Y1154">
        <f>IF(ISNUMBER(X1154),IF(X1154&gt;$L$7,W1154,""),"")</f>
        <v/>
      </c>
      <c r="Z1154">
        <f>IF(ISNUMBER('자료_거시'!$K1136),'자료_거시'!$K1136,Z1153)</f>
        <v/>
      </c>
      <c r="AA1154">
        <f>IF(AND(ISNUMBER('자료_거시'!$J1136),ISNUMBER('자료_거시'!$K1136)),IFERROR('자료_거시'!$K1136/INDEX($Z$21:$Z$4020,MATCH(EDATE('자료_거시'!$J1136,-'설정'!$B$17),'자료_거시'!$J$3:INDEX('자료_거시'!$J$3:$J$4002,$K$8),1))-1,""),"")</f>
        <v/>
      </c>
      <c r="AB1154">
        <f>IF(ISNUMBER(AA1154),'자료_거시'!$J1136,"")</f>
        <v/>
      </c>
      <c r="AC1154">
        <f>IF(ISNUMBER(AB1154),IF(AB1154&gt;$L$8,AA1154,""),"")</f>
        <v/>
      </c>
    </row>
    <row r="1155">
      <c r="S1155">
        <f>IF(ISNUMBER('자료_거시'!$E1137),'자료_거시'!$E1137,S1154)</f>
        <v/>
      </c>
      <c r="T1155">
        <f>IF(AND(ISNUMBER('자료_거시'!$D1137),ISNUMBER('자료_거시'!$E1137)),IFERROR('자료_거시'!$E1137-INDEX($S$21:$S$4020,MATCH(EDATE('자료_거시'!$D1137,-'설정'!$B$17),'자료_거시'!$D$3:INDEX('자료_거시'!$D$3:$D$4002,$K$6),1)),""),"")</f>
        <v/>
      </c>
      <c r="U1155">
        <f>IF(ISNUMBER(T1155),'자료_거시'!$D1137,"")</f>
        <v/>
      </c>
      <c r="V1155">
        <f>IF(ISNUMBER(U1155),IF(U1155&gt;$L$6,T1155,""),"")</f>
        <v/>
      </c>
      <c r="W1155">
        <f>IF(AND(ISNUMBER('자료_거시'!$G1137),ISNUMBER('자료_거시'!$H1137)),'자료_거시'!$H1137,"")</f>
        <v/>
      </c>
      <c r="X1155">
        <f>IF(ISNUMBER(W1155),'자료_거시'!$G1137,"")</f>
        <v/>
      </c>
      <c r="Y1155">
        <f>IF(ISNUMBER(X1155),IF(X1155&gt;$L$7,W1155,""),"")</f>
        <v/>
      </c>
      <c r="Z1155">
        <f>IF(ISNUMBER('자료_거시'!$K1137),'자료_거시'!$K1137,Z1154)</f>
        <v/>
      </c>
      <c r="AA1155">
        <f>IF(AND(ISNUMBER('자료_거시'!$J1137),ISNUMBER('자료_거시'!$K1137)),IFERROR('자료_거시'!$K1137/INDEX($Z$21:$Z$4020,MATCH(EDATE('자료_거시'!$J1137,-'설정'!$B$17),'자료_거시'!$J$3:INDEX('자료_거시'!$J$3:$J$4002,$K$8),1))-1,""),"")</f>
        <v/>
      </c>
      <c r="AB1155">
        <f>IF(ISNUMBER(AA1155),'자료_거시'!$J1137,"")</f>
        <v/>
      </c>
      <c r="AC1155">
        <f>IF(ISNUMBER(AB1155),IF(AB1155&gt;$L$8,AA1155,""),"")</f>
        <v/>
      </c>
    </row>
    <row r="1156">
      <c r="S1156">
        <f>IF(ISNUMBER('자료_거시'!$E1138),'자료_거시'!$E1138,S1155)</f>
        <v/>
      </c>
      <c r="T1156">
        <f>IF(AND(ISNUMBER('자료_거시'!$D1138),ISNUMBER('자료_거시'!$E1138)),IFERROR('자료_거시'!$E1138-INDEX($S$21:$S$4020,MATCH(EDATE('자료_거시'!$D1138,-'설정'!$B$17),'자료_거시'!$D$3:INDEX('자료_거시'!$D$3:$D$4002,$K$6),1)),""),"")</f>
        <v/>
      </c>
      <c r="U1156">
        <f>IF(ISNUMBER(T1156),'자료_거시'!$D1138,"")</f>
        <v/>
      </c>
      <c r="V1156">
        <f>IF(ISNUMBER(U1156),IF(U1156&gt;$L$6,T1156,""),"")</f>
        <v/>
      </c>
      <c r="W1156">
        <f>IF(AND(ISNUMBER('자료_거시'!$G1138),ISNUMBER('자료_거시'!$H1138)),'자료_거시'!$H1138,"")</f>
        <v/>
      </c>
      <c r="X1156">
        <f>IF(ISNUMBER(W1156),'자료_거시'!$G1138,"")</f>
        <v/>
      </c>
      <c r="Y1156">
        <f>IF(ISNUMBER(X1156),IF(X1156&gt;$L$7,W1156,""),"")</f>
        <v/>
      </c>
      <c r="Z1156">
        <f>IF(ISNUMBER('자료_거시'!$K1138),'자료_거시'!$K1138,Z1155)</f>
        <v/>
      </c>
      <c r="AA1156">
        <f>IF(AND(ISNUMBER('자료_거시'!$J1138),ISNUMBER('자료_거시'!$K1138)),IFERROR('자료_거시'!$K1138/INDEX($Z$21:$Z$4020,MATCH(EDATE('자료_거시'!$J1138,-'설정'!$B$17),'자료_거시'!$J$3:INDEX('자료_거시'!$J$3:$J$4002,$K$8),1))-1,""),"")</f>
        <v/>
      </c>
      <c r="AB1156">
        <f>IF(ISNUMBER(AA1156),'자료_거시'!$J1138,"")</f>
        <v/>
      </c>
      <c r="AC1156">
        <f>IF(ISNUMBER(AB1156),IF(AB1156&gt;$L$8,AA1156,""),"")</f>
        <v/>
      </c>
    </row>
    <row r="1157">
      <c r="S1157">
        <f>IF(ISNUMBER('자료_거시'!$E1139),'자료_거시'!$E1139,S1156)</f>
        <v/>
      </c>
      <c r="T1157">
        <f>IF(AND(ISNUMBER('자료_거시'!$D1139),ISNUMBER('자료_거시'!$E1139)),IFERROR('자료_거시'!$E1139-INDEX($S$21:$S$4020,MATCH(EDATE('자료_거시'!$D1139,-'설정'!$B$17),'자료_거시'!$D$3:INDEX('자료_거시'!$D$3:$D$4002,$K$6),1)),""),"")</f>
        <v/>
      </c>
      <c r="U1157">
        <f>IF(ISNUMBER(T1157),'자료_거시'!$D1139,"")</f>
        <v/>
      </c>
      <c r="V1157">
        <f>IF(ISNUMBER(U1157),IF(U1157&gt;$L$6,T1157,""),"")</f>
        <v/>
      </c>
      <c r="W1157">
        <f>IF(AND(ISNUMBER('자료_거시'!$G1139),ISNUMBER('자료_거시'!$H1139)),'자료_거시'!$H1139,"")</f>
        <v/>
      </c>
      <c r="X1157">
        <f>IF(ISNUMBER(W1157),'자료_거시'!$G1139,"")</f>
        <v/>
      </c>
      <c r="Y1157">
        <f>IF(ISNUMBER(X1157),IF(X1157&gt;$L$7,W1157,""),"")</f>
        <v/>
      </c>
      <c r="Z1157">
        <f>IF(ISNUMBER('자료_거시'!$K1139),'자료_거시'!$K1139,Z1156)</f>
        <v/>
      </c>
      <c r="AA1157">
        <f>IF(AND(ISNUMBER('자료_거시'!$J1139),ISNUMBER('자료_거시'!$K1139)),IFERROR('자료_거시'!$K1139/INDEX($Z$21:$Z$4020,MATCH(EDATE('자료_거시'!$J1139,-'설정'!$B$17),'자료_거시'!$J$3:INDEX('자료_거시'!$J$3:$J$4002,$K$8),1))-1,""),"")</f>
        <v/>
      </c>
      <c r="AB1157">
        <f>IF(ISNUMBER(AA1157),'자료_거시'!$J1139,"")</f>
        <v/>
      </c>
      <c r="AC1157">
        <f>IF(ISNUMBER(AB1157),IF(AB1157&gt;$L$8,AA1157,""),"")</f>
        <v/>
      </c>
    </row>
    <row r="1158">
      <c r="S1158">
        <f>IF(ISNUMBER('자료_거시'!$E1140),'자료_거시'!$E1140,S1157)</f>
        <v/>
      </c>
      <c r="T1158">
        <f>IF(AND(ISNUMBER('자료_거시'!$D1140),ISNUMBER('자료_거시'!$E1140)),IFERROR('자료_거시'!$E1140-INDEX($S$21:$S$4020,MATCH(EDATE('자료_거시'!$D1140,-'설정'!$B$17),'자료_거시'!$D$3:INDEX('자료_거시'!$D$3:$D$4002,$K$6),1)),""),"")</f>
        <v/>
      </c>
      <c r="U1158">
        <f>IF(ISNUMBER(T1158),'자료_거시'!$D1140,"")</f>
        <v/>
      </c>
      <c r="V1158">
        <f>IF(ISNUMBER(U1158),IF(U1158&gt;$L$6,T1158,""),"")</f>
        <v/>
      </c>
      <c r="W1158">
        <f>IF(AND(ISNUMBER('자료_거시'!$G1140),ISNUMBER('자료_거시'!$H1140)),'자료_거시'!$H1140,"")</f>
        <v/>
      </c>
      <c r="X1158">
        <f>IF(ISNUMBER(W1158),'자료_거시'!$G1140,"")</f>
        <v/>
      </c>
      <c r="Y1158">
        <f>IF(ISNUMBER(X1158),IF(X1158&gt;$L$7,W1158,""),"")</f>
        <v/>
      </c>
      <c r="Z1158">
        <f>IF(ISNUMBER('자료_거시'!$K1140),'자료_거시'!$K1140,Z1157)</f>
        <v/>
      </c>
      <c r="AA1158">
        <f>IF(AND(ISNUMBER('자료_거시'!$J1140),ISNUMBER('자료_거시'!$K1140)),IFERROR('자료_거시'!$K1140/INDEX($Z$21:$Z$4020,MATCH(EDATE('자료_거시'!$J1140,-'설정'!$B$17),'자료_거시'!$J$3:INDEX('자료_거시'!$J$3:$J$4002,$K$8),1))-1,""),"")</f>
        <v/>
      </c>
      <c r="AB1158">
        <f>IF(ISNUMBER(AA1158),'자료_거시'!$J1140,"")</f>
        <v/>
      </c>
      <c r="AC1158">
        <f>IF(ISNUMBER(AB1158),IF(AB1158&gt;$L$8,AA1158,""),"")</f>
        <v/>
      </c>
    </row>
    <row r="1159">
      <c r="S1159">
        <f>IF(ISNUMBER('자료_거시'!$E1141),'자료_거시'!$E1141,S1158)</f>
        <v/>
      </c>
      <c r="T1159">
        <f>IF(AND(ISNUMBER('자료_거시'!$D1141),ISNUMBER('자료_거시'!$E1141)),IFERROR('자료_거시'!$E1141-INDEX($S$21:$S$4020,MATCH(EDATE('자료_거시'!$D1141,-'설정'!$B$17),'자료_거시'!$D$3:INDEX('자료_거시'!$D$3:$D$4002,$K$6),1)),""),"")</f>
        <v/>
      </c>
      <c r="U1159">
        <f>IF(ISNUMBER(T1159),'자료_거시'!$D1141,"")</f>
        <v/>
      </c>
      <c r="V1159">
        <f>IF(ISNUMBER(U1159),IF(U1159&gt;$L$6,T1159,""),"")</f>
        <v/>
      </c>
      <c r="W1159">
        <f>IF(AND(ISNUMBER('자료_거시'!$G1141),ISNUMBER('자료_거시'!$H1141)),'자료_거시'!$H1141,"")</f>
        <v/>
      </c>
      <c r="X1159">
        <f>IF(ISNUMBER(W1159),'자료_거시'!$G1141,"")</f>
        <v/>
      </c>
      <c r="Y1159">
        <f>IF(ISNUMBER(X1159),IF(X1159&gt;$L$7,W1159,""),"")</f>
        <v/>
      </c>
      <c r="Z1159">
        <f>IF(ISNUMBER('자료_거시'!$K1141),'자료_거시'!$K1141,Z1158)</f>
        <v/>
      </c>
      <c r="AA1159">
        <f>IF(AND(ISNUMBER('자료_거시'!$J1141),ISNUMBER('자료_거시'!$K1141)),IFERROR('자료_거시'!$K1141/INDEX($Z$21:$Z$4020,MATCH(EDATE('자료_거시'!$J1141,-'설정'!$B$17),'자료_거시'!$J$3:INDEX('자료_거시'!$J$3:$J$4002,$K$8),1))-1,""),"")</f>
        <v/>
      </c>
      <c r="AB1159">
        <f>IF(ISNUMBER(AA1159),'자료_거시'!$J1141,"")</f>
        <v/>
      </c>
      <c r="AC1159">
        <f>IF(ISNUMBER(AB1159),IF(AB1159&gt;$L$8,AA1159,""),"")</f>
        <v/>
      </c>
    </row>
    <row r="1160">
      <c r="S1160">
        <f>IF(ISNUMBER('자료_거시'!$E1142),'자료_거시'!$E1142,S1159)</f>
        <v/>
      </c>
      <c r="T1160">
        <f>IF(AND(ISNUMBER('자료_거시'!$D1142),ISNUMBER('자료_거시'!$E1142)),IFERROR('자료_거시'!$E1142-INDEX($S$21:$S$4020,MATCH(EDATE('자료_거시'!$D1142,-'설정'!$B$17),'자료_거시'!$D$3:INDEX('자료_거시'!$D$3:$D$4002,$K$6),1)),""),"")</f>
        <v/>
      </c>
      <c r="U1160">
        <f>IF(ISNUMBER(T1160),'자료_거시'!$D1142,"")</f>
        <v/>
      </c>
      <c r="V1160">
        <f>IF(ISNUMBER(U1160),IF(U1160&gt;$L$6,T1160,""),"")</f>
        <v/>
      </c>
      <c r="W1160">
        <f>IF(AND(ISNUMBER('자료_거시'!$G1142),ISNUMBER('자료_거시'!$H1142)),'자료_거시'!$H1142,"")</f>
        <v/>
      </c>
      <c r="X1160">
        <f>IF(ISNUMBER(W1160),'자료_거시'!$G1142,"")</f>
        <v/>
      </c>
      <c r="Y1160">
        <f>IF(ISNUMBER(X1160),IF(X1160&gt;$L$7,W1160,""),"")</f>
        <v/>
      </c>
      <c r="Z1160">
        <f>IF(ISNUMBER('자료_거시'!$K1142),'자료_거시'!$K1142,Z1159)</f>
        <v/>
      </c>
      <c r="AA1160">
        <f>IF(AND(ISNUMBER('자료_거시'!$J1142),ISNUMBER('자료_거시'!$K1142)),IFERROR('자료_거시'!$K1142/INDEX($Z$21:$Z$4020,MATCH(EDATE('자료_거시'!$J1142,-'설정'!$B$17),'자료_거시'!$J$3:INDEX('자료_거시'!$J$3:$J$4002,$K$8),1))-1,""),"")</f>
        <v/>
      </c>
      <c r="AB1160">
        <f>IF(ISNUMBER(AA1160),'자료_거시'!$J1142,"")</f>
        <v/>
      </c>
      <c r="AC1160">
        <f>IF(ISNUMBER(AB1160),IF(AB1160&gt;$L$8,AA1160,""),"")</f>
        <v/>
      </c>
    </row>
    <row r="1161">
      <c r="S1161">
        <f>IF(ISNUMBER('자료_거시'!$E1143),'자료_거시'!$E1143,S1160)</f>
        <v/>
      </c>
      <c r="T1161">
        <f>IF(AND(ISNUMBER('자료_거시'!$D1143),ISNUMBER('자료_거시'!$E1143)),IFERROR('자료_거시'!$E1143-INDEX($S$21:$S$4020,MATCH(EDATE('자료_거시'!$D1143,-'설정'!$B$17),'자료_거시'!$D$3:INDEX('자료_거시'!$D$3:$D$4002,$K$6),1)),""),"")</f>
        <v/>
      </c>
      <c r="U1161">
        <f>IF(ISNUMBER(T1161),'자료_거시'!$D1143,"")</f>
        <v/>
      </c>
      <c r="V1161">
        <f>IF(ISNUMBER(U1161),IF(U1161&gt;$L$6,T1161,""),"")</f>
        <v/>
      </c>
      <c r="W1161">
        <f>IF(AND(ISNUMBER('자료_거시'!$G1143),ISNUMBER('자료_거시'!$H1143)),'자료_거시'!$H1143,"")</f>
        <v/>
      </c>
      <c r="X1161">
        <f>IF(ISNUMBER(W1161),'자료_거시'!$G1143,"")</f>
        <v/>
      </c>
      <c r="Y1161">
        <f>IF(ISNUMBER(X1161),IF(X1161&gt;$L$7,W1161,""),"")</f>
        <v/>
      </c>
      <c r="Z1161">
        <f>IF(ISNUMBER('자료_거시'!$K1143),'자료_거시'!$K1143,Z1160)</f>
        <v/>
      </c>
      <c r="AA1161">
        <f>IF(AND(ISNUMBER('자료_거시'!$J1143),ISNUMBER('자료_거시'!$K1143)),IFERROR('자료_거시'!$K1143/INDEX($Z$21:$Z$4020,MATCH(EDATE('자료_거시'!$J1143,-'설정'!$B$17),'자료_거시'!$J$3:INDEX('자료_거시'!$J$3:$J$4002,$K$8),1))-1,""),"")</f>
        <v/>
      </c>
      <c r="AB1161">
        <f>IF(ISNUMBER(AA1161),'자료_거시'!$J1143,"")</f>
        <v/>
      </c>
      <c r="AC1161">
        <f>IF(ISNUMBER(AB1161),IF(AB1161&gt;$L$8,AA1161,""),"")</f>
        <v/>
      </c>
    </row>
    <row r="1162">
      <c r="S1162">
        <f>IF(ISNUMBER('자료_거시'!$E1144),'자료_거시'!$E1144,S1161)</f>
        <v/>
      </c>
      <c r="T1162">
        <f>IF(AND(ISNUMBER('자료_거시'!$D1144),ISNUMBER('자료_거시'!$E1144)),IFERROR('자료_거시'!$E1144-INDEX($S$21:$S$4020,MATCH(EDATE('자료_거시'!$D1144,-'설정'!$B$17),'자료_거시'!$D$3:INDEX('자료_거시'!$D$3:$D$4002,$K$6),1)),""),"")</f>
        <v/>
      </c>
      <c r="U1162">
        <f>IF(ISNUMBER(T1162),'자료_거시'!$D1144,"")</f>
        <v/>
      </c>
      <c r="V1162">
        <f>IF(ISNUMBER(U1162),IF(U1162&gt;$L$6,T1162,""),"")</f>
        <v/>
      </c>
      <c r="W1162">
        <f>IF(AND(ISNUMBER('자료_거시'!$G1144),ISNUMBER('자료_거시'!$H1144)),'자료_거시'!$H1144,"")</f>
        <v/>
      </c>
      <c r="X1162">
        <f>IF(ISNUMBER(W1162),'자료_거시'!$G1144,"")</f>
        <v/>
      </c>
      <c r="Y1162">
        <f>IF(ISNUMBER(X1162),IF(X1162&gt;$L$7,W1162,""),"")</f>
        <v/>
      </c>
      <c r="Z1162">
        <f>IF(ISNUMBER('자료_거시'!$K1144),'자료_거시'!$K1144,Z1161)</f>
        <v/>
      </c>
      <c r="AA1162">
        <f>IF(AND(ISNUMBER('자료_거시'!$J1144),ISNUMBER('자료_거시'!$K1144)),IFERROR('자료_거시'!$K1144/INDEX($Z$21:$Z$4020,MATCH(EDATE('자료_거시'!$J1144,-'설정'!$B$17),'자료_거시'!$J$3:INDEX('자료_거시'!$J$3:$J$4002,$K$8),1))-1,""),"")</f>
        <v/>
      </c>
      <c r="AB1162">
        <f>IF(ISNUMBER(AA1162),'자료_거시'!$J1144,"")</f>
        <v/>
      </c>
      <c r="AC1162">
        <f>IF(ISNUMBER(AB1162),IF(AB1162&gt;$L$8,AA1162,""),"")</f>
        <v/>
      </c>
    </row>
    <row r="1163">
      <c r="S1163">
        <f>IF(ISNUMBER('자료_거시'!$E1145),'자료_거시'!$E1145,S1162)</f>
        <v/>
      </c>
      <c r="T1163">
        <f>IF(AND(ISNUMBER('자료_거시'!$D1145),ISNUMBER('자료_거시'!$E1145)),IFERROR('자료_거시'!$E1145-INDEX($S$21:$S$4020,MATCH(EDATE('자료_거시'!$D1145,-'설정'!$B$17),'자료_거시'!$D$3:INDEX('자료_거시'!$D$3:$D$4002,$K$6),1)),""),"")</f>
        <v/>
      </c>
      <c r="U1163">
        <f>IF(ISNUMBER(T1163),'자료_거시'!$D1145,"")</f>
        <v/>
      </c>
      <c r="V1163">
        <f>IF(ISNUMBER(U1163),IF(U1163&gt;$L$6,T1163,""),"")</f>
        <v/>
      </c>
      <c r="W1163">
        <f>IF(AND(ISNUMBER('자료_거시'!$G1145),ISNUMBER('자료_거시'!$H1145)),'자료_거시'!$H1145,"")</f>
        <v/>
      </c>
      <c r="X1163">
        <f>IF(ISNUMBER(W1163),'자료_거시'!$G1145,"")</f>
        <v/>
      </c>
      <c r="Y1163">
        <f>IF(ISNUMBER(X1163),IF(X1163&gt;$L$7,W1163,""),"")</f>
        <v/>
      </c>
      <c r="Z1163">
        <f>IF(ISNUMBER('자료_거시'!$K1145),'자료_거시'!$K1145,Z1162)</f>
        <v/>
      </c>
      <c r="AA1163">
        <f>IF(AND(ISNUMBER('자료_거시'!$J1145),ISNUMBER('자료_거시'!$K1145)),IFERROR('자료_거시'!$K1145/INDEX($Z$21:$Z$4020,MATCH(EDATE('자료_거시'!$J1145,-'설정'!$B$17),'자료_거시'!$J$3:INDEX('자료_거시'!$J$3:$J$4002,$K$8),1))-1,""),"")</f>
        <v/>
      </c>
      <c r="AB1163">
        <f>IF(ISNUMBER(AA1163),'자료_거시'!$J1145,"")</f>
        <v/>
      </c>
      <c r="AC1163">
        <f>IF(ISNUMBER(AB1163),IF(AB1163&gt;$L$8,AA1163,""),"")</f>
        <v/>
      </c>
    </row>
    <row r="1164">
      <c r="S1164">
        <f>IF(ISNUMBER('자료_거시'!$E1146),'자료_거시'!$E1146,S1163)</f>
        <v/>
      </c>
      <c r="T1164">
        <f>IF(AND(ISNUMBER('자료_거시'!$D1146),ISNUMBER('자료_거시'!$E1146)),IFERROR('자료_거시'!$E1146-INDEX($S$21:$S$4020,MATCH(EDATE('자료_거시'!$D1146,-'설정'!$B$17),'자료_거시'!$D$3:INDEX('자료_거시'!$D$3:$D$4002,$K$6),1)),""),"")</f>
        <v/>
      </c>
      <c r="U1164">
        <f>IF(ISNUMBER(T1164),'자료_거시'!$D1146,"")</f>
        <v/>
      </c>
      <c r="V1164">
        <f>IF(ISNUMBER(U1164),IF(U1164&gt;$L$6,T1164,""),"")</f>
        <v/>
      </c>
      <c r="W1164">
        <f>IF(AND(ISNUMBER('자료_거시'!$G1146),ISNUMBER('자료_거시'!$H1146)),'자료_거시'!$H1146,"")</f>
        <v/>
      </c>
      <c r="X1164">
        <f>IF(ISNUMBER(W1164),'자료_거시'!$G1146,"")</f>
        <v/>
      </c>
      <c r="Y1164">
        <f>IF(ISNUMBER(X1164),IF(X1164&gt;$L$7,W1164,""),"")</f>
        <v/>
      </c>
      <c r="Z1164">
        <f>IF(ISNUMBER('자료_거시'!$K1146),'자료_거시'!$K1146,Z1163)</f>
        <v/>
      </c>
      <c r="AA1164">
        <f>IF(AND(ISNUMBER('자료_거시'!$J1146),ISNUMBER('자료_거시'!$K1146)),IFERROR('자료_거시'!$K1146/INDEX($Z$21:$Z$4020,MATCH(EDATE('자료_거시'!$J1146,-'설정'!$B$17),'자료_거시'!$J$3:INDEX('자료_거시'!$J$3:$J$4002,$K$8),1))-1,""),"")</f>
        <v/>
      </c>
      <c r="AB1164">
        <f>IF(ISNUMBER(AA1164),'자료_거시'!$J1146,"")</f>
        <v/>
      </c>
      <c r="AC1164">
        <f>IF(ISNUMBER(AB1164),IF(AB1164&gt;$L$8,AA1164,""),"")</f>
        <v/>
      </c>
    </row>
    <row r="1165">
      <c r="S1165">
        <f>IF(ISNUMBER('자료_거시'!$E1147),'자료_거시'!$E1147,S1164)</f>
        <v/>
      </c>
      <c r="T1165">
        <f>IF(AND(ISNUMBER('자료_거시'!$D1147),ISNUMBER('자료_거시'!$E1147)),IFERROR('자료_거시'!$E1147-INDEX($S$21:$S$4020,MATCH(EDATE('자료_거시'!$D1147,-'설정'!$B$17),'자료_거시'!$D$3:INDEX('자료_거시'!$D$3:$D$4002,$K$6),1)),""),"")</f>
        <v/>
      </c>
      <c r="U1165">
        <f>IF(ISNUMBER(T1165),'자료_거시'!$D1147,"")</f>
        <v/>
      </c>
      <c r="V1165">
        <f>IF(ISNUMBER(U1165),IF(U1165&gt;$L$6,T1165,""),"")</f>
        <v/>
      </c>
      <c r="W1165">
        <f>IF(AND(ISNUMBER('자료_거시'!$G1147),ISNUMBER('자료_거시'!$H1147)),'자료_거시'!$H1147,"")</f>
        <v/>
      </c>
      <c r="X1165">
        <f>IF(ISNUMBER(W1165),'자료_거시'!$G1147,"")</f>
        <v/>
      </c>
      <c r="Y1165">
        <f>IF(ISNUMBER(X1165),IF(X1165&gt;$L$7,W1165,""),"")</f>
        <v/>
      </c>
      <c r="Z1165">
        <f>IF(ISNUMBER('자료_거시'!$K1147),'자료_거시'!$K1147,Z1164)</f>
        <v/>
      </c>
      <c r="AA1165">
        <f>IF(AND(ISNUMBER('자료_거시'!$J1147),ISNUMBER('자료_거시'!$K1147)),IFERROR('자료_거시'!$K1147/INDEX($Z$21:$Z$4020,MATCH(EDATE('자료_거시'!$J1147,-'설정'!$B$17),'자료_거시'!$J$3:INDEX('자료_거시'!$J$3:$J$4002,$K$8),1))-1,""),"")</f>
        <v/>
      </c>
      <c r="AB1165">
        <f>IF(ISNUMBER(AA1165),'자료_거시'!$J1147,"")</f>
        <v/>
      </c>
      <c r="AC1165">
        <f>IF(ISNUMBER(AB1165),IF(AB1165&gt;$L$8,AA1165,""),"")</f>
        <v/>
      </c>
    </row>
    <row r="1166">
      <c r="S1166">
        <f>IF(ISNUMBER('자료_거시'!$E1148),'자료_거시'!$E1148,S1165)</f>
        <v/>
      </c>
      <c r="T1166">
        <f>IF(AND(ISNUMBER('자료_거시'!$D1148),ISNUMBER('자료_거시'!$E1148)),IFERROR('자료_거시'!$E1148-INDEX($S$21:$S$4020,MATCH(EDATE('자료_거시'!$D1148,-'설정'!$B$17),'자료_거시'!$D$3:INDEX('자료_거시'!$D$3:$D$4002,$K$6),1)),""),"")</f>
        <v/>
      </c>
      <c r="U1166">
        <f>IF(ISNUMBER(T1166),'자료_거시'!$D1148,"")</f>
        <v/>
      </c>
      <c r="V1166">
        <f>IF(ISNUMBER(U1166),IF(U1166&gt;$L$6,T1166,""),"")</f>
        <v/>
      </c>
      <c r="W1166">
        <f>IF(AND(ISNUMBER('자료_거시'!$G1148),ISNUMBER('자료_거시'!$H1148)),'자료_거시'!$H1148,"")</f>
        <v/>
      </c>
      <c r="X1166">
        <f>IF(ISNUMBER(W1166),'자료_거시'!$G1148,"")</f>
        <v/>
      </c>
      <c r="Y1166">
        <f>IF(ISNUMBER(X1166),IF(X1166&gt;$L$7,W1166,""),"")</f>
        <v/>
      </c>
      <c r="Z1166">
        <f>IF(ISNUMBER('자료_거시'!$K1148),'자료_거시'!$K1148,Z1165)</f>
        <v/>
      </c>
      <c r="AA1166">
        <f>IF(AND(ISNUMBER('자료_거시'!$J1148),ISNUMBER('자료_거시'!$K1148)),IFERROR('자료_거시'!$K1148/INDEX($Z$21:$Z$4020,MATCH(EDATE('자료_거시'!$J1148,-'설정'!$B$17),'자료_거시'!$J$3:INDEX('자료_거시'!$J$3:$J$4002,$K$8),1))-1,""),"")</f>
        <v/>
      </c>
      <c r="AB1166">
        <f>IF(ISNUMBER(AA1166),'자료_거시'!$J1148,"")</f>
        <v/>
      </c>
      <c r="AC1166">
        <f>IF(ISNUMBER(AB1166),IF(AB1166&gt;$L$8,AA1166,""),"")</f>
        <v/>
      </c>
    </row>
    <row r="1167">
      <c r="S1167">
        <f>IF(ISNUMBER('자료_거시'!$E1149),'자료_거시'!$E1149,S1166)</f>
        <v/>
      </c>
      <c r="T1167">
        <f>IF(AND(ISNUMBER('자료_거시'!$D1149),ISNUMBER('자료_거시'!$E1149)),IFERROR('자료_거시'!$E1149-INDEX($S$21:$S$4020,MATCH(EDATE('자료_거시'!$D1149,-'설정'!$B$17),'자료_거시'!$D$3:INDEX('자료_거시'!$D$3:$D$4002,$K$6),1)),""),"")</f>
        <v/>
      </c>
      <c r="U1167">
        <f>IF(ISNUMBER(T1167),'자료_거시'!$D1149,"")</f>
        <v/>
      </c>
      <c r="V1167">
        <f>IF(ISNUMBER(U1167),IF(U1167&gt;$L$6,T1167,""),"")</f>
        <v/>
      </c>
      <c r="W1167">
        <f>IF(AND(ISNUMBER('자료_거시'!$G1149),ISNUMBER('자료_거시'!$H1149)),'자료_거시'!$H1149,"")</f>
        <v/>
      </c>
      <c r="X1167">
        <f>IF(ISNUMBER(W1167),'자료_거시'!$G1149,"")</f>
        <v/>
      </c>
      <c r="Y1167">
        <f>IF(ISNUMBER(X1167),IF(X1167&gt;$L$7,W1167,""),"")</f>
        <v/>
      </c>
      <c r="Z1167">
        <f>IF(ISNUMBER('자료_거시'!$K1149),'자료_거시'!$K1149,Z1166)</f>
        <v/>
      </c>
      <c r="AA1167">
        <f>IF(AND(ISNUMBER('자료_거시'!$J1149),ISNUMBER('자료_거시'!$K1149)),IFERROR('자료_거시'!$K1149/INDEX($Z$21:$Z$4020,MATCH(EDATE('자료_거시'!$J1149,-'설정'!$B$17),'자료_거시'!$J$3:INDEX('자료_거시'!$J$3:$J$4002,$K$8),1))-1,""),"")</f>
        <v/>
      </c>
      <c r="AB1167">
        <f>IF(ISNUMBER(AA1167),'자료_거시'!$J1149,"")</f>
        <v/>
      </c>
      <c r="AC1167">
        <f>IF(ISNUMBER(AB1167),IF(AB1167&gt;$L$8,AA1167,""),"")</f>
        <v/>
      </c>
    </row>
    <row r="1168">
      <c r="S1168">
        <f>IF(ISNUMBER('자료_거시'!$E1150),'자료_거시'!$E1150,S1167)</f>
        <v/>
      </c>
      <c r="T1168">
        <f>IF(AND(ISNUMBER('자료_거시'!$D1150),ISNUMBER('자료_거시'!$E1150)),IFERROR('자료_거시'!$E1150-INDEX($S$21:$S$4020,MATCH(EDATE('자료_거시'!$D1150,-'설정'!$B$17),'자료_거시'!$D$3:INDEX('자료_거시'!$D$3:$D$4002,$K$6),1)),""),"")</f>
        <v/>
      </c>
      <c r="U1168">
        <f>IF(ISNUMBER(T1168),'자료_거시'!$D1150,"")</f>
        <v/>
      </c>
      <c r="V1168">
        <f>IF(ISNUMBER(U1168),IF(U1168&gt;$L$6,T1168,""),"")</f>
        <v/>
      </c>
      <c r="W1168">
        <f>IF(AND(ISNUMBER('자료_거시'!$G1150),ISNUMBER('자료_거시'!$H1150)),'자료_거시'!$H1150,"")</f>
        <v/>
      </c>
      <c r="X1168">
        <f>IF(ISNUMBER(W1168),'자료_거시'!$G1150,"")</f>
        <v/>
      </c>
      <c r="Y1168">
        <f>IF(ISNUMBER(X1168),IF(X1168&gt;$L$7,W1168,""),"")</f>
        <v/>
      </c>
      <c r="Z1168">
        <f>IF(ISNUMBER('자료_거시'!$K1150),'자료_거시'!$K1150,Z1167)</f>
        <v/>
      </c>
      <c r="AA1168">
        <f>IF(AND(ISNUMBER('자료_거시'!$J1150),ISNUMBER('자료_거시'!$K1150)),IFERROR('자료_거시'!$K1150/INDEX($Z$21:$Z$4020,MATCH(EDATE('자료_거시'!$J1150,-'설정'!$B$17),'자료_거시'!$J$3:INDEX('자료_거시'!$J$3:$J$4002,$K$8),1))-1,""),"")</f>
        <v/>
      </c>
      <c r="AB1168">
        <f>IF(ISNUMBER(AA1168),'자료_거시'!$J1150,"")</f>
        <v/>
      </c>
      <c r="AC1168">
        <f>IF(ISNUMBER(AB1168),IF(AB1168&gt;$L$8,AA1168,""),"")</f>
        <v/>
      </c>
    </row>
    <row r="1169">
      <c r="S1169">
        <f>IF(ISNUMBER('자료_거시'!$E1151),'자료_거시'!$E1151,S1168)</f>
        <v/>
      </c>
      <c r="T1169">
        <f>IF(AND(ISNUMBER('자료_거시'!$D1151),ISNUMBER('자료_거시'!$E1151)),IFERROR('자료_거시'!$E1151-INDEX($S$21:$S$4020,MATCH(EDATE('자료_거시'!$D1151,-'설정'!$B$17),'자료_거시'!$D$3:INDEX('자료_거시'!$D$3:$D$4002,$K$6),1)),""),"")</f>
        <v/>
      </c>
      <c r="U1169">
        <f>IF(ISNUMBER(T1169),'자료_거시'!$D1151,"")</f>
        <v/>
      </c>
      <c r="V1169">
        <f>IF(ISNUMBER(U1169),IF(U1169&gt;$L$6,T1169,""),"")</f>
        <v/>
      </c>
      <c r="W1169">
        <f>IF(AND(ISNUMBER('자료_거시'!$G1151),ISNUMBER('자료_거시'!$H1151)),'자료_거시'!$H1151,"")</f>
        <v/>
      </c>
      <c r="X1169">
        <f>IF(ISNUMBER(W1169),'자료_거시'!$G1151,"")</f>
        <v/>
      </c>
      <c r="Y1169">
        <f>IF(ISNUMBER(X1169),IF(X1169&gt;$L$7,W1169,""),"")</f>
        <v/>
      </c>
      <c r="Z1169">
        <f>IF(ISNUMBER('자료_거시'!$K1151),'자료_거시'!$K1151,Z1168)</f>
        <v/>
      </c>
      <c r="AA1169">
        <f>IF(AND(ISNUMBER('자료_거시'!$J1151),ISNUMBER('자료_거시'!$K1151)),IFERROR('자료_거시'!$K1151/INDEX($Z$21:$Z$4020,MATCH(EDATE('자료_거시'!$J1151,-'설정'!$B$17),'자료_거시'!$J$3:INDEX('자료_거시'!$J$3:$J$4002,$K$8),1))-1,""),"")</f>
        <v/>
      </c>
      <c r="AB1169">
        <f>IF(ISNUMBER(AA1169),'자료_거시'!$J1151,"")</f>
        <v/>
      </c>
      <c r="AC1169">
        <f>IF(ISNUMBER(AB1169),IF(AB1169&gt;$L$8,AA1169,""),"")</f>
        <v/>
      </c>
    </row>
    <row r="1170">
      <c r="S1170">
        <f>IF(ISNUMBER('자료_거시'!$E1152),'자료_거시'!$E1152,S1169)</f>
        <v/>
      </c>
      <c r="T1170">
        <f>IF(AND(ISNUMBER('자료_거시'!$D1152),ISNUMBER('자료_거시'!$E1152)),IFERROR('자료_거시'!$E1152-INDEX($S$21:$S$4020,MATCH(EDATE('자료_거시'!$D1152,-'설정'!$B$17),'자료_거시'!$D$3:INDEX('자료_거시'!$D$3:$D$4002,$K$6),1)),""),"")</f>
        <v/>
      </c>
      <c r="U1170">
        <f>IF(ISNUMBER(T1170),'자료_거시'!$D1152,"")</f>
        <v/>
      </c>
      <c r="V1170">
        <f>IF(ISNUMBER(U1170),IF(U1170&gt;$L$6,T1170,""),"")</f>
        <v/>
      </c>
      <c r="W1170">
        <f>IF(AND(ISNUMBER('자료_거시'!$G1152),ISNUMBER('자료_거시'!$H1152)),'자료_거시'!$H1152,"")</f>
        <v/>
      </c>
      <c r="X1170">
        <f>IF(ISNUMBER(W1170),'자료_거시'!$G1152,"")</f>
        <v/>
      </c>
      <c r="Y1170">
        <f>IF(ISNUMBER(X1170),IF(X1170&gt;$L$7,W1170,""),"")</f>
        <v/>
      </c>
      <c r="Z1170">
        <f>IF(ISNUMBER('자료_거시'!$K1152),'자료_거시'!$K1152,Z1169)</f>
        <v/>
      </c>
      <c r="AA1170">
        <f>IF(AND(ISNUMBER('자료_거시'!$J1152),ISNUMBER('자료_거시'!$K1152)),IFERROR('자료_거시'!$K1152/INDEX($Z$21:$Z$4020,MATCH(EDATE('자료_거시'!$J1152,-'설정'!$B$17),'자료_거시'!$J$3:INDEX('자료_거시'!$J$3:$J$4002,$K$8),1))-1,""),"")</f>
        <v/>
      </c>
      <c r="AB1170">
        <f>IF(ISNUMBER(AA1170),'자료_거시'!$J1152,"")</f>
        <v/>
      </c>
      <c r="AC1170">
        <f>IF(ISNUMBER(AB1170),IF(AB1170&gt;$L$8,AA1170,""),"")</f>
        <v/>
      </c>
    </row>
    <row r="1171">
      <c r="S1171">
        <f>IF(ISNUMBER('자료_거시'!$E1153),'자료_거시'!$E1153,S1170)</f>
        <v/>
      </c>
      <c r="T1171">
        <f>IF(AND(ISNUMBER('자료_거시'!$D1153),ISNUMBER('자료_거시'!$E1153)),IFERROR('자료_거시'!$E1153-INDEX($S$21:$S$4020,MATCH(EDATE('자료_거시'!$D1153,-'설정'!$B$17),'자료_거시'!$D$3:INDEX('자료_거시'!$D$3:$D$4002,$K$6),1)),""),"")</f>
        <v/>
      </c>
      <c r="U1171">
        <f>IF(ISNUMBER(T1171),'자료_거시'!$D1153,"")</f>
        <v/>
      </c>
      <c r="V1171">
        <f>IF(ISNUMBER(U1171),IF(U1171&gt;$L$6,T1171,""),"")</f>
        <v/>
      </c>
      <c r="W1171">
        <f>IF(AND(ISNUMBER('자료_거시'!$G1153),ISNUMBER('자료_거시'!$H1153)),'자료_거시'!$H1153,"")</f>
        <v/>
      </c>
      <c r="X1171">
        <f>IF(ISNUMBER(W1171),'자료_거시'!$G1153,"")</f>
        <v/>
      </c>
      <c r="Y1171">
        <f>IF(ISNUMBER(X1171),IF(X1171&gt;$L$7,W1171,""),"")</f>
        <v/>
      </c>
      <c r="Z1171">
        <f>IF(ISNUMBER('자료_거시'!$K1153),'자료_거시'!$K1153,Z1170)</f>
        <v/>
      </c>
      <c r="AA1171">
        <f>IF(AND(ISNUMBER('자료_거시'!$J1153),ISNUMBER('자료_거시'!$K1153)),IFERROR('자료_거시'!$K1153/INDEX($Z$21:$Z$4020,MATCH(EDATE('자료_거시'!$J1153,-'설정'!$B$17),'자료_거시'!$J$3:INDEX('자료_거시'!$J$3:$J$4002,$K$8),1))-1,""),"")</f>
        <v/>
      </c>
      <c r="AB1171">
        <f>IF(ISNUMBER(AA1171),'자료_거시'!$J1153,"")</f>
        <v/>
      </c>
      <c r="AC1171">
        <f>IF(ISNUMBER(AB1171),IF(AB1171&gt;$L$8,AA1171,""),"")</f>
        <v/>
      </c>
    </row>
    <row r="1172">
      <c r="S1172">
        <f>IF(ISNUMBER('자료_거시'!$E1154),'자료_거시'!$E1154,S1171)</f>
        <v/>
      </c>
      <c r="T1172">
        <f>IF(AND(ISNUMBER('자료_거시'!$D1154),ISNUMBER('자료_거시'!$E1154)),IFERROR('자료_거시'!$E1154-INDEX($S$21:$S$4020,MATCH(EDATE('자료_거시'!$D1154,-'설정'!$B$17),'자료_거시'!$D$3:INDEX('자료_거시'!$D$3:$D$4002,$K$6),1)),""),"")</f>
        <v/>
      </c>
      <c r="U1172">
        <f>IF(ISNUMBER(T1172),'자료_거시'!$D1154,"")</f>
        <v/>
      </c>
      <c r="V1172">
        <f>IF(ISNUMBER(U1172),IF(U1172&gt;$L$6,T1172,""),"")</f>
        <v/>
      </c>
      <c r="W1172">
        <f>IF(AND(ISNUMBER('자료_거시'!$G1154),ISNUMBER('자료_거시'!$H1154)),'자료_거시'!$H1154,"")</f>
        <v/>
      </c>
      <c r="X1172">
        <f>IF(ISNUMBER(W1172),'자료_거시'!$G1154,"")</f>
        <v/>
      </c>
      <c r="Y1172">
        <f>IF(ISNUMBER(X1172),IF(X1172&gt;$L$7,W1172,""),"")</f>
        <v/>
      </c>
      <c r="Z1172">
        <f>IF(ISNUMBER('자료_거시'!$K1154),'자료_거시'!$K1154,Z1171)</f>
        <v/>
      </c>
      <c r="AA1172">
        <f>IF(AND(ISNUMBER('자료_거시'!$J1154),ISNUMBER('자료_거시'!$K1154)),IFERROR('자료_거시'!$K1154/INDEX($Z$21:$Z$4020,MATCH(EDATE('자료_거시'!$J1154,-'설정'!$B$17),'자료_거시'!$J$3:INDEX('자료_거시'!$J$3:$J$4002,$K$8),1))-1,""),"")</f>
        <v/>
      </c>
      <c r="AB1172">
        <f>IF(ISNUMBER(AA1172),'자료_거시'!$J1154,"")</f>
        <v/>
      </c>
      <c r="AC1172">
        <f>IF(ISNUMBER(AB1172),IF(AB1172&gt;$L$8,AA1172,""),"")</f>
        <v/>
      </c>
    </row>
    <row r="1173">
      <c r="S1173">
        <f>IF(ISNUMBER('자료_거시'!$E1155),'자료_거시'!$E1155,S1172)</f>
        <v/>
      </c>
      <c r="T1173">
        <f>IF(AND(ISNUMBER('자료_거시'!$D1155),ISNUMBER('자료_거시'!$E1155)),IFERROR('자료_거시'!$E1155-INDEX($S$21:$S$4020,MATCH(EDATE('자료_거시'!$D1155,-'설정'!$B$17),'자료_거시'!$D$3:INDEX('자료_거시'!$D$3:$D$4002,$K$6),1)),""),"")</f>
        <v/>
      </c>
      <c r="U1173">
        <f>IF(ISNUMBER(T1173),'자료_거시'!$D1155,"")</f>
        <v/>
      </c>
      <c r="V1173">
        <f>IF(ISNUMBER(U1173),IF(U1173&gt;$L$6,T1173,""),"")</f>
        <v/>
      </c>
      <c r="W1173">
        <f>IF(AND(ISNUMBER('자료_거시'!$G1155),ISNUMBER('자료_거시'!$H1155)),'자료_거시'!$H1155,"")</f>
        <v/>
      </c>
      <c r="X1173">
        <f>IF(ISNUMBER(W1173),'자료_거시'!$G1155,"")</f>
        <v/>
      </c>
      <c r="Y1173">
        <f>IF(ISNUMBER(X1173),IF(X1173&gt;$L$7,W1173,""),"")</f>
        <v/>
      </c>
      <c r="Z1173">
        <f>IF(ISNUMBER('자료_거시'!$K1155),'자료_거시'!$K1155,Z1172)</f>
        <v/>
      </c>
      <c r="AA1173">
        <f>IF(AND(ISNUMBER('자료_거시'!$J1155),ISNUMBER('자료_거시'!$K1155)),IFERROR('자료_거시'!$K1155/INDEX($Z$21:$Z$4020,MATCH(EDATE('자료_거시'!$J1155,-'설정'!$B$17),'자료_거시'!$J$3:INDEX('자료_거시'!$J$3:$J$4002,$K$8),1))-1,""),"")</f>
        <v/>
      </c>
      <c r="AB1173">
        <f>IF(ISNUMBER(AA1173),'자료_거시'!$J1155,"")</f>
        <v/>
      </c>
      <c r="AC1173">
        <f>IF(ISNUMBER(AB1173),IF(AB1173&gt;$L$8,AA1173,""),"")</f>
        <v/>
      </c>
    </row>
    <row r="1174">
      <c r="S1174">
        <f>IF(ISNUMBER('자료_거시'!$E1156),'자료_거시'!$E1156,S1173)</f>
        <v/>
      </c>
      <c r="T1174">
        <f>IF(AND(ISNUMBER('자료_거시'!$D1156),ISNUMBER('자료_거시'!$E1156)),IFERROR('자료_거시'!$E1156-INDEX($S$21:$S$4020,MATCH(EDATE('자료_거시'!$D1156,-'설정'!$B$17),'자료_거시'!$D$3:INDEX('자료_거시'!$D$3:$D$4002,$K$6),1)),""),"")</f>
        <v/>
      </c>
      <c r="U1174">
        <f>IF(ISNUMBER(T1174),'자료_거시'!$D1156,"")</f>
        <v/>
      </c>
      <c r="V1174">
        <f>IF(ISNUMBER(U1174),IF(U1174&gt;$L$6,T1174,""),"")</f>
        <v/>
      </c>
      <c r="W1174">
        <f>IF(AND(ISNUMBER('자료_거시'!$G1156),ISNUMBER('자료_거시'!$H1156)),'자료_거시'!$H1156,"")</f>
        <v/>
      </c>
      <c r="X1174">
        <f>IF(ISNUMBER(W1174),'자료_거시'!$G1156,"")</f>
        <v/>
      </c>
      <c r="Y1174">
        <f>IF(ISNUMBER(X1174),IF(X1174&gt;$L$7,W1174,""),"")</f>
        <v/>
      </c>
      <c r="Z1174">
        <f>IF(ISNUMBER('자료_거시'!$K1156),'자료_거시'!$K1156,Z1173)</f>
        <v/>
      </c>
      <c r="AA1174">
        <f>IF(AND(ISNUMBER('자료_거시'!$J1156),ISNUMBER('자료_거시'!$K1156)),IFERROR('자료_거시'!$K1156/INDEX($Z$21:$Z$4020,MATCH(EDATE('자료_거시'!$J1156,-'설정'!$B$17),'자료_거시'!$J$3:INDEX('자료_거시'!$J$3:$J$4002,$K$8),1))-1,""),"")</f>
        <v/>
      </c>
      <c r="AB1174">
        <f>IF(ISNUMBER(AA1174),'자료_거시'!$J1156,"")</f>
        <v/>
      </c>
      <c r="AC1174">
        <f>IF(ISNUMBER(AB1174),IF(AB1174&gt;$L$8,AA1174,""),"")</f>
        <v/>
      </c>
    </row>
    <row r="1175">
      <c r="S1175">
        <f>IF(ISNUMBER('자료_거시'!$E1157),'자료_거시'!$E1157,S1174)</f>
        <v/>
      </c>
      <c r="T1175">
        <f>IF(AND(ISNUMBER('자료_거시'!$D1157),ISNUMBER('자료_거시'!$E1157)),IFERROR('자료_거시'!$E1157-INDEX($S$21:$S$4020,MATCH(EDATE('자료_거시'!$D1157,-'설정'!$B$17),'자료_거시'!$D$3:INDEX('자료_거시'!$D$3:$D$4002,$K$6),1)),""),"")</f>
        <v/>
      </c>
      <c r="U1175">
        <f>IF(ISNUMBER(T1175),'자료_거시'!$D1157,"")</f>
        <v/>
      </c>
      <c r="V1175">
        <f>IF(ISNUMBER(U1175),IF(U1175&gt;$L$6,T1175,""),"")</f>
        <v/>
      </c>
      <c r="W1175">
        <f>IF(AND(ISNUMBER('자료_거시'!$G1157),ISNUMBER('자료_거시'!$H1157)),'자료_거시'!$H1157,"")</f>
        <v/>
      </c>
      <c r="X1175">
        <f>IF(ISNUMBER(W1175),'자료_거시'!$G1157,"")</f>
        <v/>
      </c>
      <c r="Y1175">
        <f>IF(ISNUMBER(X1175),IF(X1175&gt;$L$7,W1175,""),"")</f>
        <v/>
      </c>
      <c r="Z1175">
        <f>IF(ISNUMBER('자료_거시'!$K1157),'자료_거시'!$K1157,Z1174)</f>
        <v/>
      </c>
      <c r="AA1175">
        <f>IF(AND(ISNUMBER('자료_거시'!$J1157),ISNUMBER('자료_거시'!$K1157)),IFERROR('자료_거시'!$K1157/INDEX($Z$21:$Z$4020,MATCH(EDATE('자료_거시'!$J1157,-'설정'!$B$17),'자료_거시'!$J$3:INDEX('자료_거시'!$J$3:$J$4002,$K$8),1))-1,""),"")</f>
        <v/>
      </c>
      <c r="AB1175">
        <f>IF(ISNUMBER(AA1175),'자료_거시'!$J1157,"")</f>
        <v/>
      </c>
      <c r="AC1175">
        <f>IF(ISNUMBER(AB1175),IF(AB1175&gt;$L$8,AA1175,""),"")</f>
        <v/>
      </c>
    </row>
    <row r="1176">
      <c r="S1176">
        <f>IF(ISNUMBER('자료_거시'!$E1158),'자료_거시'!$E1158,S1175)</f>
        <v/>
      </c>
      <c r="T1176">
        <f>IF(AND(ISNUMBER('자료_거시'!$D1158),ISNUMBER('자료_거시'!$E1158)),IFERROR('자료_거시'!$E1158-INDEX($S$21:$S$4020,MATCH(EDATE('자료_거시'!$D1158,-'설정'!$B$17),'자료_거시'!$D$3:INDEX('자료_거시'!$D$3:$D$4002,$K$6),1)),""),"")</f>
        <v/>
      </c>
      <c r="U1176">
        <f>IF(ISNUMBER(T1176),'자료_거시'!$D1158,"")</f>
        <v/>
      </c>
      <c r="V1176">
        <f>IF(ISNUMBER(U1176),IF(U1176&gt;$L$6,T1176,""),"")</f>
        <v/>
      </c>
      <c r="W1176">
        <f>IF(AND(ISNUMBER('자료_거시'!$G1158),ISNUMBER('자료_거시'!$H1158)),'자료_거시'!$H1158,"")</f>
        <v/>
      </c>
      <c r="X1176">
        <f>IF(ISNUMBER(W1176),'자료_거시'!$G1158,"")</f>
        <v/>
      </c>
      <c r="Y1176">
        <f>IF(ISNUMBER(X1176),IF(X1176&gt;$L$7,W1176,""),"")</f>
        <v/>
      </c>
      <c r="Z1176">
        <f>IF(ISNUMBER('자료_거시'!$K1158),'자료_거시'!$K1158,Z1175)</f>
        <v/>
      </c>
      <c r="AA1176">
        <f>IF(AND(ISNUMBER('자료_거시'!$J1158),ISNUMBER('자료_거시'!$K1158)),IFERROR('자료_거시'!$K1158/INDEX($Z$21:$Z$4020,MATCH(EDATE('자료_거시'!$J1158,-'설정'!$B$17),'자료_거시'!$J$3:INDEX('자료_거시'!$J$3:$J$4002,$K$8),1))-1,""),"")</f>
        <v/>
      </c>
      <c r="AB1176">
        <f>IF(ISNUMBER(AA1176),'자료_거시'!$J1158,"")</f>
        <v/>
      </c>
      <c r="AC1176">
        <f>IF(ISNUMBER(AB1176),IF(AB1176&gt;$L$8,AA1176,""),"")</f>
        <v/>
      </c>
    </row>
    <row r="1177">
      <c r="S1177">
        <f>IF(ISNUMBER('자료_거시'!$E1159),'자료_거시'!$E1159,S1176)</f>
        <v/>
      </c>
      <c r="T1177">
        <f>IF(AND(ISNUMBER('자료_거시'!$D1159),ISNUMBER('자료_거시'!$E1159)),IFERROR('자료_거시'!$E1159-INDEX($S$21:$S$4020,MATCH(EDATE('자료_거시'!$D1159,-'설정'!$B$17),'자료_거시'!$D$3:INDEX('자료_거시'!$D$3:$D$4002,$K$6),1)),""),"")</f>
        <v/>
      </c>
      <c r="U1177">
        <f>IF(ISNUMBER(T1177),'자료_거시'!$D1159,"")</f>
        <v/>
      </c>
      <c r="V1177">
        <f>IF(ISNUMBER(U1177),IF(U1177&gt;$L$6,T1177,""),"")</f>
        <v/>
      </c>
      <c r="W1177">
        <f>IF(AND(ISNUMBER('자료_거시'!$G1159),ISNUMBER('자료_거시'!$H1159)),'자료_거시'!$H1159,"")</f>
        <v/>
      </c>
      <c r="X1177">
        <f>IF(ISNUMBER(W1177),'자료_거시'!$G1159,"")</f>
        <v/>
      </c>
      <c r="Y1177">
        <f>IF(ISNUMBER(X1177),IF(X1177&gt;$L$7,W1177,""),"")</f>
        <v/>
      </c>
      <c r="Z1177">
        <f>IF(ISNUMBER('자료_거시'!$K1159),'자료_거시'!$K1159,Z1176)</f>
        <v/>
      </c>
      <c r="AA1177">
        <f>IF(AND(ISNUMBER('자료_거시'!$J1159),ISNUMBER('자료_거시'!$K1159)),IFERROR('자료_거시'!$K1159/INDEX($Z$21:$Z$4020,MATCH(EDATE('자료_거시'!$J1159,-'설정'!$B$17),'자료_거시'!$J$3:INDEX('자료_거시'!$J$3:$J$4002,$K$8),1))-1,""),"")</f>
        <v/>
      </c>
      <c r="AB1177">
        <f>IF(ISNUMBER(AA1177),'자료_거시'!$J1159,"")</f>
        <v/>
      </c>
      <c r="AC1177">
        <f>IF(ISNUMBER(AB1177),IF(AB1177&gt;$L$8,AA1177,""),"")</f>
        <v/>
      </c>
    </row>
    <row r="1178">
      <c r="S1178">
        <f>IF(ISNUMBER('자료_거시'!$E1160),'자료_거시'!$E1160,S1177)</f>
        <v/>
      </c>
      <c r="T1178">
        <f>IF(AND(ISNUMBER('자료_거시'!$D1160),ISNUMBER('자료_거시'!$E1160)),IFERROR('자료_거시'!$E1160-INDEX($S$21:$S$4020,MATCH(EDATE('자료_거시'!$D1160,-'설정'!$B$17),'자료_거시'!$D$3:INDEX('자료_거시'!$D$3:$D$4002,$K$6),1)),""),"")</f>
        <v/>
      </c>
      <c r="U1178">
        <f>IF(ISNUMBER(T1178),'자료_거시'!$D1160,"")</f>
        <v/>
      </c>
      <c r="V1178">
        <f>IF(ISNUMBER(U1178),IF(U1178&gt;$L$6,T1178,""),"")</f>
        <v/>
      </c>
      <c r="W1178">
        <f>IF(AND(ISNUMBER('자료_거시'!$G1160),ISNUMBER('자료_거시'!$H1160)),'자료_거시'!$H1160,"")</f>
        <v/>
      </c>
      <c r="X1178">
        <f>IF(ISNUMBER(W1178),'자료_거시'!$G1160,"")</f>
        <v/>
      </c>
      <c r="Y1178">
        <f>IF(ISNUMBER(X1178),IF(X1178&gt;$L$7,W1178,""),"")</f>
        <v/>
      </c>
      <c r="Z1178">
        <f>IF(ISNUMBER('자료_거시'!$K1160),'자료_거시'!$K1160,Z1177)</f>
        <v/>
      </c>
      <c r="AA1178">
        <f>IF(AND(ISNUMBER('자료_거시'!$J1160),ISNUMBER('자료_거시'!$K1160)),IFERROR('자료_거시'!$K1160/INDEX($Z$21:$Z$4020,MATCH(EDATE('자료_거시'!$J1160,-'설정'!$B$17),'자료_거시'!$J$3:INDEX('자료_거시'!$J$3:$J$4002,$K$8),1))-1,""),"")</f>
        <v/>
      </c>
      <c r="AB1178">
        <f>IF(ISNUMBER(AA1178),'자료_거시'!$J1160,"")</f>
        <v/>
      </c>
      <c r="AC1178">
        <f>IF(ISNUMBER(AB1178),IF(AB1178&gt;$L$8,AA1178,""),"")</f>
        <v/>
      </c>
    </row>
    <row r="1179">
      <c r="S1179">
        <f>IF(ISNUMBER('자료_거시'!$E1161),'자료_거시'!$E1161,S1178)</f>
        <v/>
      </c>
      <c r="T1179">
        <f>IF(AND(ISNUMBER('자료_거시'!$D1161),ISNUMBER('자료_거시'!$E1161)),IFERROR('자료_거시'!$E1161-INDEX($S$21:$S$4020,MATCH(EDATE('자료_거시'!$D1161,-'설정'!$B$17),'자료_거시'!$D$3:INDEX('자료_거시'!$D$3:$D$4002,$K$6),1)),""),"")</f>
        <v/>
      </c>
      <c r="U1179">
        <f>IF(ISNUMBER(T1179),'자료_거시'!$D1161,"")</f>
        <v/>
      </c>
      <c r="V1179">
        <f>IF(ISNUMBER(U1179),IF(U1179&gt;$L$6,T1179,""),"")</f>
        <v/>
      </c>
      <c r="W1179">
        <f>IF(AND(ISNUMBER('자료_거시'!$G1161),ISNUMBER('자료_거시'!$H1161)),'자료_거시'!$H1161,"")</f>
        <v/>
      </c>
      <c r="X1179">
        <f>IF(ISNUMBER(W1179),'자료_거시'!$G1161,"")</f>
        <v/>
      </c>
      <c r="Y1179">
        <f>IF(ISNUMBER(X1179),IF(X1179&gt;$L$7,W1179,""),"")</f>
        <v/>
      </c>
      <c r="Z1179">
        <f>IF(ISNUMBER('자료_거시'!$K1161),'자료_거시'!$K1161,Z1178)</f>
        <v/>
      </c>
      <c r="AA1179">
        <f>IF(AND(ISNUMBER('자료_거시'!$J1161),ISNUMBER('자료_거시'!$K1161)),IFERROR('자료_거시'!$K1161/INDEX($Z$21:$Z$4020,MATCH(EDATE('자료_거시'!$J1161,-'설정'!$B$17),'자료_거시'!$J$3:INDEX('자료_거시'!$J$3:$J$4002,$K$8),1))-1,""),"")</f>
        <v/>
      </c>
      <c r="AB1179">
        <f>IF(ISNUMBER(AA1179),'자료_거시'!$J1161,"")</f>
        <v/>
      </c>
      <c r="AC1179">
        <f>IF(ISNUMBER(AB1179),IF(AB1179&gt;$L$8,AA1179,""),"")</f>
        <v/>
      </c>
    </row>
    <row r="1180">
      <c r="S1180">
        <f>IF(ISNUMBER('자료_거시'!$E1162),'자료_거시'!$E1162,S1179)</f>
        <v/>
      </c>
      <c r="T1180">
        <f>IF(AND(ISNUMBER('자료_거시'!$D1162),ISNUMBER('자료_거시'!$E1162)),IFERROR('자료_거시'!$E1162-INDEX($S$21:$S$4020,MATCH(EDATE('자료_거시'!$D1162,-'설정'!$B$17),'자료_거시'!$D$3:INDEX('자료_거시'!$D$3:$D$4002,$K$6),1)),""),"")</f>
        <v/>
      </c>
      <c r="U1180">
        <f>IF(ISNUMBER(T1180),'자료_거시'!$D1162,"")</f>
        <v/>
      </c>
      <c r="V1180">
        <f>IF(ISNUMBER(U1180),IF(U1180&gt;$L$6,T1180,""),"")</f>
        <v/>
      </c>
      <c r="W1180">
        <f>IF(AND(ISNUMBER('자료_거시'!$G1162),ISNUMBER('자료_거시'!$H1162)),'자료_거시'!$H1162,"")</f>
        <v/>
      </c>
      <c r="X1180">
        <f>IF(ISNUMBER(W1180),'자료_거시'!$G1162,"")</f>
        <v/>
      </c>
      <c r="Y1180">
        <f>IF(ISNUMBER(X1180),IF(X1180&gt;$L$7,W1180,""),"")</f>
        <v/>
      </c>
      <c r="Z1180">
        <f>IF(ISNUMBER('자료_거시'!$K1162),'자료_거시'!$K1162,Z1179)</f>
        <v/>
      </c>
      <c r="AA1180">
        <f>IF(AND(ISNUMBER('자료_거시'!$J1162),ISNUMBER('자료_거시'!$K1162)),IFERROR('자료_거시'!$K1162/INDEX($Z$21:$Z$4020,MATCH(EDATE('자료_거시'!$J1162,-'설정'!$B$17),'자료_거시'!$J$3:INDEX('자료_거시'!$J$3:$J$4002,$K$8),1))-1,""),"")</f>
        <v/>
      </c>
      <c r="AB1180">
        <f>IF(ISNUMBER(AA1180),'자료_거시'!$J1162,"")</f>
        <v/>
      </c>
      <c r="AC1180">
        <f>IF(ISNUMBER(AB1180),IF(AB1180&gt;$L$8,AA1180,""),"")</f>
        <v/>
      </c>
    </row>
    <row r="1181">
      <c r="S1181">
        <f>IF(ISNUMBER('자료_거시'!$E1163),'자료_거시'!$E1163,S1180)</f>
        <v/>
      </c>
      <c r="T1181">
        <f>IF(AND(ISNUMBER('자료_거시'!$D1163),ISNUMBER('자료_거시'!$E1163)),IFERROR('자료_거시'!$E1163-INDEX($S$21:$S$4020,MATCH(EDATE('자료_거시'!$D1163,-'설정'!$B$17),'자료_거시'!$D$3:INDEX('자료_거시'!$D$3:$D$4002,$K$6),1)),""),"")</f>
        <v/>
      </c>
      <c r="U1181">
        <f>IF(ISNUMBER(T1181),'자료_거시'!$D1163,"")</f>
        <v/>
      </c>
      <c r="V1181">
        <f>IF(ISNUMBER(U1181),IF(U1181&gt;$L$6,T1181,""),"")</f>
        <v/>
      </c>
      <c r="W1181">
        <f>IF(AND(ISNUMBER('자료_거시'!$G1163),ISNUMBER('자료_거시'!$H1163)),'자료_거시'!$H1163,"")</f>
        <v/>
      </c>
      <c r="X1181">
        <f>IF(ISNUMBER(W1181),'자료_거시'!$G1163,"")</f>
        <v/>
      </c>
      <c r="Y1181">
        <f>IF(ISNUMBER(X1181),IF(X1181&gt;$L$7,W1181,""),"")</f>
        <v/>
      </c>
      <c r="Z1181">
        <f>IF(ISNUMBER('자료_거시'!$K1163),'자료_거시'!$K1163,Z1180)</f>
        <v/>
      </c>
      <c r="AA1181">
        <f>IF(AND(ISNUMBER('자료_거시'!$J1163),ISNUMBER('자료_거시'!$K1163)),IFERROR('자료_거시'!$K1163/INDEX($Z$21:$Z$4020,MATCH(EDATE('자료_거시'!$J1163,-'설정'!$B$17),'자료_거시'!$J$3:INDEX('자료_거시'!$J$3:$J$4002,$K$8),1))-1,""),"")</f>
        <v/>
      </c>
      <c r="AB1181">
        <f>IF(ISNUMBER(AA1181),'자료_거시'!$J1163,"")</f>
        <v/>
      </c>
      <c r="AC1181">
        <f>IF(ISNUMBER(AB1181),IF(AB1181&gt;$L$8,AA1181,""),"")</f>
        <v/>
      </c>
    </row>
    <row r="1182">
      <c r="S1182">
        <f>IF(ISNUMBER('자료_거시'!$E1164),'자료_거시'!$E1164,S1181)</f>
        <v/>
      </c>
      <c r="T1182">
        <f>IF(AND(ISNUMBER('자료_거시'!$D1164),ISNUMBER('자료_거시'!$E1164)),IFERROR('자료_거시'!$E1164-INDEX($S$21:$S$4020,MATCH(EDATE('자료_거시'!$D1164,-'설정'!$B$17),'자료_거시'!$D$3:INDEX('자료_거시'!$D$3:$D$4002,$K$6),1)),""),"")</f>
        <v/>
      </c>
      <c r="U1182">
        <f>IF(ISNUMBER(T1182),'자료_거시'!$D1164,"")</f>
        <v/>
      </c>
      <c r="V1182">
        <f>IF(ISNUMBER(U1182),IF(U1182&gt;$L$6,T1182,""),"")</f>
        <v/>
      </c>
      <c r="W1182">
        <f>IF(AND(ISNUMBER('자료_거시'!$G1164),ISNUMBER('자료_거시'!$H1164)),'자료_거시'!$H1164,"")</f>
        <v/>
      </c>
      <c r="X1182">
        <f>IF(ISNUMBER(W1182),'자료_거시'!$G1164,"")</f>
        <v/>
      </c>
      <c r="Y1182">
        <f>IF(ISNUMBER(X1182),IF(X1182&gt;$L$7,W1182,""),"")</f>
        <v/>
      </c>
      <c r="Z1182">
        <f>IF(ISNUMBER('자료_거시'!$K1164),'자료_거시'!$K1164,Z1181)</f>
        <v/>
      </c>
      <c r="AA1182">
        <f>IF(AND(ISNUMBER('자료_거시'!$J1164),ISNUMBER('자료_거시'!$K1164)),IFERROR('자료_거시'!$K1164/INDEX($Z$21:$Z$4020,MATCH(EDATE('자료_거시'!$J1164,-'설정'!$B$17),'자료_거시'!$J$3:INDEX('자료_거시'!$J$3:$J$4002,$K$8),1))-1,""),"")</f>
        <v/>
      </c>
      <c r="AB1182">
        <f>IF(ISNUMBER(AA1182),'자료_거시'!$J1164,"")</f>
        <v/>
      </c>
      <c r="AC1182">
        <f>IF(ISNUMBER(AB1182),IF(AB1182&gt;$L$8,AA1182,""),"")</f>
        <v/>
      </c>
    </row>
    <row r="1183">
      <c r="S1183">
        <f>IF(ISNUMBER('자료_거시'!$E1165),'자료_거시'!$E1165,S1182)</f>
        <v/>
      </c>
      <c r="T1183">
        <f>IF(AND(ISNUMBER('자료_거시'!$D1165),ISNUMBER('자료_거시'!$E1165)),IFERROR('자료_거시'!$E1165-INDEX($S$21:$S$4020,MATCH(EDATE('자료_거시'!$D1165,-'설정'!$B$17),'자료_거시'!$D$3:INDEX('자료_거시'!$D$3:$D$4002,$K$6),1)),""),"")</f>
        <v/>
      </c>
      <c r="U1183">
        <f>IF(ISNUMBER(T1183),'자료_거시'!$D1165,"")</f>
        <v/>
      </c>
      <c r="V1183">
        <f>IF(ISNUMBER(U1183),IF(U1183&gt;$L$6,T1183,""),"")</f>
        <v/>
      </c>
      <c r="W1183">
        <f>IF(AND(ISNUMBER('자료_거시'!$G1165),ISNUMBER('자료_거시'!$H1165)),'자료_거시'!$H1165,"")</f>
        <v/>
      </c>
      <c r="X1183">
        <f>IF(ISNUMBER(W1183),'자료_거시'!$G1165,"")</f>
        <v/>
      </c>
      <c r="Y1183">
        <f>IF(ISNUMBER(X1183),IF(X1183&gt;$L$7,W1183,""),"")</f>
        <v/>
      </c>
      <c r="Z1183">
        <f>IF(ISNUMBER('자료_거시'!$K1165),'자료_거시'!$K1165,Z1182)</f>
        <v/>
      </c>
      <c r="AA1183">
        <f>IF(AND(ISNUMBER('자료_거시'!$J1165),ISNUMBER('자료_거시'!$K1165)),IFERROR('자료_거시'!$K1165/INDEX($Z$21:$Z$4020,MATCH(EDATE('자료_거시'!$J1165,-'설정'!$B$17),'자료_거시'!$J$3:INDEX('자료_거시'!$J$3:$J$4002,$K$8),1))-1,""),"")</f>
        <v/>
      </c>
      <c r="AB1183">
        <f>IF(ISNUMBER(AA1183),'자료_거시'!$J1165,"")</f>
        <v/>
      </c>
      <c r="AC1183">
        <f>IF(ISNUMBER(AB1183),IF(AB1183&gt;$L$8,AA1183,""),"")</f>
        <v/>
      </c>
    </row>
    <row r="1184">
      <c r="S1184">
        <f>IF(ISNUMBER('자료_거시'!$E1166),'자료_거시'!$E1166,S1183)</f>
        <v/>
      </c>
      <c r="T1184">
        <f>IF(AND(ISNUMBER('자료_거시'!$D1166),ISNUMBER('자료_거시'!$E1166)),IFERROR('자료_거시'!$E1166-INDEX($S$21:$S$4020,MATCH(EDATE('자료_거시'!$D1166,-'설정'!$B$17),'자료_거시'!$D$3:INDEX('자료_거시'!$D$3:$D$4002,$K$6),1)),""),"")</f>
        <v/>
      </c>
      <c r="U1184">
        <f>IF(ISNUMBER(T1184),'자료_거시'!$D1166,"")</f>
        <v/>
      </c>
      <c r="V1184">
        <f>IF(ISNUMBER(U1184),IF(U1184&gt;$L$6,T1184,""),"")</f>
        <v/>
      </c>
      <c r="W1184">
        <f>IF(AND(ISNUMBER('자료_거시'!$G1166),ISNUMBER('자료_거시'!$H1166)),'자료_거시'!$H1166,"")</f>
        <v/>
      </c>
      <c r="X1184">
        <f>IF(ISNUMBER(W1184),'자료_거시'!$G1166,"")</f>
        <v/>
      </c>
      <c r="Y1184">
        <f>IF(ISNUMBER(X1184),IF(X1184&gt;$L$7,W1184,""),"")</f>
        <v/>
      </c>
      <c r="Z1184">
        <f>IF(ISNUMBER('자료_거시'!$K1166),'자료_거시'!$K1166,Z1183)</f>
        <v/>
      </c>
      <c r="AA1184">
        <f>IF(AND(ISNUMBER('자료_거시'!$J1166),ISNUMBER('자료_거시'!$K1166)),IFERROR('자료_거시'!$K1166/INDEX($Z$21:$Z$4020,MATCH(EDATE('자료_거시'!$J1166,-'설정'!$B$17),'자료_거시'!$J$3:INDEX('자료_거시'!$J$3:$J$4002,$K$8),1))-1,""),"")</f>
        <v/>
      </c>
      <c r="AB1184">
        <f>IF(ISNUMBER(AA1184),'자료_거시'!$J1166,"")</f>
        <v/>
      </c>
      <c r="AC1184">
        <f>IF(ISNUMBER(AB1184),IF(AB1184&gt;$L$8,AA1184,""),"")</f>
        <v/>
      </c>
    </row>
    <row r="1185">
      <c r="S1185">
        <f>IF(ISNUMBER('자료_거시'!$E1167),'자료_거시'!$E1167,S1184)</f>
        <v/>
      </c>
      <c r="T1185">
        <f>IF(AND(ISNUMBER('자료_거시'!$D1167),ISNUMBER('자료_거시'!$E1167)),IFERROR('자료_거시'!$E1167-INDEX($S$21:$S$4020,MATCH(EDATE('자료_거시'!$D1167,-'설정'!$B$17),'자료_거시'!$D$3:INDEX('자료_거시'!$D$3:$D$4002,$K$6),1)),""),"")</f>
        <v/>
      </c>
      <c r="U1185">
        <f>IF(ISNUMBER(T1185),'자료_거시'!$D1167,"")</f>
        <v/>
      </c>
      <c r="V1185">
        <f>IF(ISNUMBER(U1185),IF(U1185&gt;$L$6,T1185,""),"")</f>
        <v/>
      </c>
      <c r="W1185">
        <f>IF(AND(ISNUMBER('자료_거시'!$G1167),ISNUMBER('자료_거시'!$H1167)),'자료_거시'!$H1167,"")</f>
        <v/>
      </c>
      <c r="X1185">
        <f>IF(ISNUMBER(W1185),'자료_거시'!$G1167,"")</f>
        <v/>
      </c>
      <c r="Y1185">
        <f>IF(ISNUMBER(X1185),IF(X1185&gt;$L$7,W1185,""),"")</f>
        <v/>
      </c>
      <c r="Z1185">
        <f>IF(ISNUMBER('자료_거시'!$K1167),'자료_거시'!$K1167,Z1184)</f>
        <v/>
      </c>
      <c r="AA1185">
        <f>IF(AND(ISNUMBER('자료_거시'!$J1167),ISNUMBER('자료_거시'!$K1167)),IFERROR('자료_거시'!$K1167/INDEX($Z$21:$Z$4020,MATCH(EDATE('자료_거시'!$J1167,-'설정'!$B$17),'자료_거시'!$J$3:INDEX('자료_거시'!$J$3:$J$4002,$K$8),1))-1,""),"")</f>
        <v/>
      </c>
      <c r="AB1185">
        <f>IF(ISNUMBER(AA1185),'자료_거시'!$J1167,"")</f>
        <v/>
      </c>
      <c r="AC1185">
        <f>IF(ISNUMBER(AB1185),IF(AB1185&gt;$L$8,AA1185,""),"")</f>
        <v/>
      </c>
    </row>
    <row r="1186">
      <c r="S1186">
        <f>IF(ISNUMBER('자료_거시'!$E1168),'자료_거시'!$E1168,S1185)</f>
        <v/>
      </c>
      <c r="T1186">
        <f>IF(AND(ISNUMBER('자료_거시'!$D1168),ISNUMBER('자료_거시'!$E1168)),IFERROR('자료_거시'!$E1168-INDEX($S$21:$S$4020,MATCH(EDATE('자료_거시'!$D1168,-'설정'!$B$17),'자료_거시'!$D$3:INDEX('자료_거시'!$D$3:$D$4002,$K$6),1)),""),"")</f>
        <v/>
      </c>
      <c r="U1186">
        <f>IF(ISNUMBER(T1186),'자료_거시'!$D1168,"")</f>
        <v/>
      </c>
      <c r="V1186">
        <f>IF(ISNUMBER(U1186),IF(U1186&gt;$L$6,T1186,""),"")</f>
        <v/>
      </c>
      <c r="W1186">
        <f>IF(AND(ISNUMBER('자료_거시'!$G1168),ISNUMBER('자료_거시'!$H1168)),'자료_거시'!$H1168,"")</f>
        <v/>
      </c>
      <c r="X1186">
        <f>IF(ISNUMBER(W1186),'자료_거시'!$G1168,"")</f>
        <v/>
      </c>
      <c r="Y1186">
        <f>IF(ISNUMBER(X1186),IF(X1186&gt;$L$7,W1186,""),"")</f>
        <v/>
      </c>
      <c r="Z1186">
        <f>IF(ISNUMBER('자료_거시'!$K1168),'자료_거시'!$K1168,Z1185)</f>
        <v/>
      </c>
      <c r="AA1186">
        <f>IF(AND(ISNUMBER('자료_거시'!$J1168),ISNUMBER('자료_거시'!$K1168)),IFERROR('자료_거시'!$K1168/INDEX($Z$21:$Z$4020,MATCH(EDATE('자료_거시'!$J1168,-'설정'!$B$17),'자료_거시'!$J$3:INDEX('자료_거시'!$J$3:$J$4002,$K$8),1))-1,""),"")</f>
        <v/>
      </c>
      <c r="AB1186">
        <f>IF(ISNUMBER(AA1186),'자료_거시'!$J1168,"")</f>
        <v/>
      </c>
      <c r="AC1186">
        <f>IF(ISNUMBER(AB1186),IF(AB1186&gt;$L$8,AA1186,""),"")</f>
        <v/>
      </c>
    </row>
    <row r="1187">
      <c r="S1187">
        <f>IF(ISNUMBER('자료_거시'!$E1169),'자료_거시'!$E1169,S1186)</f>
        <v/>
      </c>
      <c r="T1187">
        <f>IF(AND(ISNUMBER('자료_거시'!$D1169),ISNUMBER('자료_거시'!$E1169)),IFERROR('자료_거시'!$E1169-INDEX($S$21:$S$4020,MATCH(EDATE('자료_거시'!$D1169,-'설정'!$B$17),'자료_거시'!$D$3:INDEX('자료_거시'!$D$3:$D$4002,$K$6),1)),""),"")</f>
        <v/>
      </c>
      <c r="U1187">
        <f>IF(ISNUMBER(T1187),'자료_거시'!$D1169,"")</f>
        <v/>
      </c>
      <c r="V1187">
        <f>IF(ISNUMBER(U1187),IF(U1187&gt;$L$6,T1187,""),"")</f>
        <v/>
      </c>
      <c r="W1187">
        <f>IF(AND(ISNUMBER('자료_거시'!$G1169),ISNUMBER('자료_거시'!$H1169)),'자료_거시'!$H1169,"")</f>
        <v/>
      </c>
      <c r="X1187">
        <f>IF(ISNUMBER(W1187),'자료_거시'!$G1169,"")</f>
        <v/>
      </c>
      <c r="Y1187">
        <f>IF(ISNUMBER(X1187),IF(X1187&gt;$L$7,W1187,""),"")</f>
        <v/>
      </c>
      <c r="Z1187">
        <f>IF(ISNUMBER('자료_거시'!$K1169),'자료_거시'!$K1169,Z1186)</f>
        <v/>
      </c>
      <c r="AA1187">
        <f>IF(AND(ISNUMBER('자료_거시'!$J1169),ISNUMBER('자료_거시'!$K1169)),IFERROR('자료_거시'!$K1169/INDEX($Z$21:$Z$4020,MATCH(EDATE('자료_거시'!$J1169,-'설정'!$B$17),'자료_거시'!$J$3:INDEX('자료_거시'!$J$3:$J$4002,$K$8),1))-1,""),"")</f>
        <v/>
      </c>
      <c r="AB1187">
        <f>IF(ISNUMBER(AA1187),'자료_거시'!$J1169,"")</f>
        <v/>
      </c>
      <c r="AC1187">
        <f>IF(ISNUMBER(AB1187),IF(AB1187&gt;$L$8,AA1187,""),"")</f>
        <v/>
      </c>
    </row>
    <row r="1188">
      <c r="S1188">
        <f>IF(ISNUMBER('자료_거시'!$E1170),'자료_거시'!$E1170,S1187)</f>
        <v/>
      </c>
      <c r="T1188">
        <f>IF(AND(ISNUMBER('자료_거시'!$D1170),ISNUMBER('자료_거시'!$E1170)),IFERROR('자료_거시'!$E1170-INDEX($S$21:$S$4020,MATCH(EDATE('자료_거시'!$D1170,-'설정'!$B$17),'자료_거시'!$D$3:INDEX('자료_거시'!$D$3:$D$4002,$K$6),1)),""),"")</f>
        <v/>
      </c>
      <c r="U1188">
        <f>IF(ISNUMBER(T1188),'자료_거시'!$D1170,"")</f>
        <v/>
      </c>
      <c r="V1188">
        <f>IF(ISNUMBER(U1188),IF(U1188&gt;$L$6,T1188,""),"")</f>
        <v/>
      </c>
      <c r="W1188">
        <f>IF(AND(ISNUMBER('자료_거시'!$G1170),ISNUMBER('자료_거시'!$H1170)),'자료_거시'!$H1170,"")</f>
        <v/>
      </c>
      <c r="X1188">
        <f>IF(ISNUMBER(W1188),'자료_거시'!$G1170,"")</f>
        <v/>
      </c>
      <c r="Y1188">
        <f>IF(ISNUMBER(X1188),IF(X1188&gt;$L$7,W1188,""),"")</f>
        <v/>
      </c>
      <c r="Z1188">
        <f>IF(ISNUMBER('자료_거시'!$K1170),'자료_거시'!$K1170,Z1187)</f>
        <v/>
      </c>
      <c r="AA1188">
        <f>IF(AND(ISNUMBER('자료_거시'!$J1170),ISNUMBER('자료_거시'!$K1170)),IFERROR('자료_거시'!$K1170/INDEX($Z$21:$Z$4020,MATCH(EDATE('자료_거시'!$J1170,-'설정'!$B$17),'자료_거시'!$J$3:INDEX('자료_거시'!$J$3:$J$4002,$K$8),1))-1,""),"")</f>
        <v/>
      </c>
      <c r="AB1188">
        <f>IF(ISNUMBER(AA1188),'자료_거시'!$J1170,"")</f>
        <v/>
      </c>
      <c r="AC1188">
        <f>IF(ISNUMBER(AB1188),IF(AB1188&gt;$L$8,AA1188,""),"")</f>
        <v/>
      </c>
    </row>
    <row r="1189">
      <c r="S1189">
        <f>IF(ISNUMBER('자료_거시'!$E1171),'자료_거시'!$E1171,S1188)</f>
        <v/>
      </c>
      <c r="T1189">
        <f>IF(AND(ISNUMBER('자료_거시'!$D1171),ISNUMBER('자료_거시'!$E1171)),IFERROR('자료_거시'!$E1171-INDEX($S$21:$S$4020,MATCH(EDATE('자료_거시'!$D1171,-'설정'!$B$17),'자료_거시'!$D$3:INDEX('자료_거시'!$D$3:$D$4002,$K$6),1)),""),"")</f>
        <v/>
      </c>
      <c r="U1189">
        <f>IF(ISNUMBER(T1189),'자료_거시'!$D1171,"")</f>
        <v/>
      </c>
      <c r="V1189">
        <f>IF(ISNUMBER(U1189),IF(U1189&gt;$L$6,T1189,""),"")</f>
        <v/>
      </c>
      <c r="W1189">
        <f>IF(AND(ISNUMBER('자료_거시'!$G1171),ISNUMBER('자료_거시'!$H1171)),'자료_거시'!$H1171,"")</f>
        <v/>
      </c>
      <c r="X1189">
        <f>IF(ISNUMBER(W1189),'자료_거시'!$G1171,"")</f>
        <v/>
      </c>
      <c r="Y1189">
        <f>IF(ISNUMBER(X1189),IF(X1189&gt;$L$7,W1189,""),"")</f>
        <v/>
      </c>
      <c r="Z1189">
        <f>IF(ISNUMBER('자료_거시'!$K1171),'자료_거시'!$K1171,Z1188)</f>
        <v/>
      </c>
      <c r="AA1189">
        <f>IF(AND(ISNUMBER('자료_거시'!$J1171),ISNUMBER('자료_거시'!$K1171)),IFERROR('자료_거시'!$K1171/INDEX($Z$21:$Z$4020,MATCH(EDATE('자료_거시'!$J1171,-'설정'!$B$17),'자료_거시'!$J$3:INDEX('자료_거시'!$J$3:$J$4002,$K$8),1))-1,""),"")</f>
        <v/>
      </c>
      <c r="AB1189">
        <f>IF(ISNUMBER(AA1189),'자료_거시'!$J1171,"")</f>
        <v/>
      </c>
      <c r="AC1189">
        <f>IF(ISNUMBER(AB1189),IF(AB1189&gt;$L$8,AA1189,""),"")</f>
        <v/>
      </c>
    </row>
    <row r="1190">
      <c r="S1190">
        <f>IF(ISNUMBER('자료_거시'!$E1172),'자료_거시'!$E1172,S1189)</f>
        <v/>
      </c>
      <c r="T1190">
        <f>IF(AND(ISNUMBER('자료_거시'!$D1172),ISNUMBER('자료_거시'!$E1172)),IFERROR('자료_거시'!$E1172-INDEX($S$21:$S$4020,MATCH(EDATE('자료_거시'!$D1172,-'설정'!$B$17),'자료_거시'!$D$3:INDEX('자료_거시'!$D$3:$D$4002,$K$6),1)),""),"")</f>
        <v/>
      </c>
      <c r="U1190">
        <f>IF(ISNUMBER(T1190),'자료_거시'!$D1172,"")</f>
        <v/>
      </c>
      <c r="V1190">
        <f>IF(ISNUMBER(U1190),IF(U1190&gt;$L$6,T1190,""),"")</f>
        <v/>
      </c>
      <c r="W1190">
        <f>IF(AND(ISNUMBER('자료_거시'!$G1172),ISNUMBER('자료_거시'!$H1172)),'자료_거시'!$H1172,"")</f>
        <v/>
      </c>
      <c r="X1190">
        <f>IF(ISNUMBER(W1190),'자료_거시'!$G1172,"")</f>
        <v/>
      </c>
      <c r="Y1190">
        <f>IF(ISNUMBER(X1190),IF(X1190&gt;$L$7,W1190,""),"")</f>
        <v/>
      </c>
      <c r="Z1190">
        <f>IF(ISNUMBER('자료_거시'!$K1172),'자료_거시'!$K1172,Z1189)</f>
        <v/>
      </c>
      <c r="AA1190">
        <f>IF(AND(ISNUMBER('자료_거시'!$J1172),ISNUMBER('자료_거시'!$K1172)),IFERROR('자료_거시'!$K1172/INDEX($Z$21:$Z$4020,MATCH(EDATE('자료_거시'!$J1172,-'설정'!$B$17),'자료_거시'!$J$3:INDEX('자료_거시'!$J$3:$J$4002,$K$8),1))-1,""),"")</f>
        <v/>
      </c>
      <c r="AB1190">
        <f>IF(ISNUMBER(AA1190),'자료_거시'!$J1172,"")</f>
        <v/>
      </c>
      <c r="AC1190">
        <f>IF(ISNUMBER(AB1190),IF(AB1190&gt;$L$8,AA1190,""),"")</f>
        <v/>
      </c>
    </row>
    <row r="1191">
      <c r="S1191">
        <f>IF(ISNUMBER('자료_거시'!$E1173),'자료_거시'!$E1173,S1190)</f>
        <v/>
      </c>
      <c r="T1191">
        <f>IF(AND(ISNUMBER('자료_거시'!$D1173),ISNUMBER('자료_거시'!$E1173)),IFERROR('자료_거시'!$E1173-INDEX($S$21:$S$4020,MATCH(EDATE('자료_거시'!$D1173,-'설정'!$B$17),'자료_거시'!$D$3:INDEX('자료_거시'!$D$3:$D$4002,$K$6),1)),""),"")</f>
        <v/>
      </c>
      <c r="U1191">
        <f>IF(ISNUMBER(T1191),'자료_거시'!$D1173,"")</f>
        <v/>
      </c>
      <c r="V1191">
        <f>IF(ISNUMBER(U1191),IF(U1191&gt;$L$6,T1191,""),"")</f>
        <v/>
      </c>
      <c r="W1191">
        <f>IF(AND(ISNUMBER('자료_거시'!$G1173),ISNUMBER('자료_거시'!$H1173)),'자료_거시'!$H1173,"")</f>
        <v/>
      </c>
      <c r="X1191">
        <f>IF(ISNUMBER(W1191),'자료_거시'!$G1173,"")</f>
        <v/>
      </c>
      <c r="Y1191">
        <f>IF(ISNUMBER(X1191),IF(X1191&gt;$L$7,W1191,""),"")</f>
        <v/>
      </c>
      <c r="Z1191">
        <f>IF(ISNUMBER('자료_거시'!$K1173),'자료_거시'!$K1173,Z1190)</f>
        <v/>
      </c>
      <c r="AA1191">
        <f>IF(AND(ISNUMBER('자료_거시'!$J1173),ISNUMBER('자료_거시'!$K1173)),IFERROR('자료_거시'!$K1173/INDEX($Z$21:$Z$4020,MATCH(EDATE('자료_거시'!$J1173,-'설정'!$B$17),'자료_거시'!$J$3:INDEX('자료_거시'!$J$3:$J$4002,$K$8),1))-1,""),"")</f>
        <v/>
      </c>
      <c r="AB1191">
        <f>IF(ISNUMBER(AA1191),'자료_거시'!$J1173,"")</f>
        <v/>
      </c>
      <c r="AC1191">
        <f>IF(ISNUMBER(AB1191),IF(AB1191&gt;$L$8,AA1191,""),"")</f>
        <v/>
      </c>
    </row>
    <row r="1192">
      <c r="S1192">
        <f>IF(ISNUMBER('자료_거시'!$E1174),'자료_거시'!$E1174,S1191)</f>
        <v/>
      </c>
      <c r="T1192">
        <f>IF(AND(ISNUMBER('자료_거시'!$D1174),ISNUMBER('자료_거시'!$E1174)),IFERROR('자료_거시'!$E1174-INDEX($S$21:$S$4020,MATCH(EDATE('자료_거시'!$D1174,-'설정'!$B$17),'자료_거시'!$D$3:INDEX('자료_거시'!$D$3:$D$4002,$K$6),1)),""),"")</f>
        <v/>
      </c>
      <c r="U1192">
        <f>IF(ISNUMBER(T1192),'자료_거시'!$D1174,"")</f>
        <v/>
      </c>
      <c r="V1192">
        <f>IF(ISNUMBER(U1192),IF(U1192&gt;$L$6,T1192,""),"")</f>
        <v/>
      </c>
      <c r="W1192">
        <f>IF(AND(ISNUMBER('자료_거시'!$G1174),ISNUMBER('자료_거시'!$H1174)),'자료_거시'!$H1174,"")</f>
        <v/>
      </c>
      <c r="X1192">
        <f>IF(ISNUMBER(W1192),'자료_거시'!$G1174,"")</f>
        <v/>
      </c>
      <c r="Y1192">
        <f>IF(ISNUMBER(X1192),IF(X1192&gt;$L$7,W1192,""),"")</f>
        <v/>
      </c>
      <c r="Z1192">
        <f>IF(ISNUMBER('자료_거시'!$K1174),'자료_거시'!$K1174,Z1191)</f>
        <v/>
      </c>
      <c r="AA1192">
        <f>IF(AND(ISNUMBER('자료_거시'!$J1174),ISNUMBER('자료_거시'!$K1174)),IFERROR('자료_거시'!$K1174/INDEX($Z$21:$Z$4020,MATCH(EDATE('자료_거시'!$J1174,-'설정'!$B$17),'자료_거시'!$J$3:INDEX('자료_거시'!$J$3:$J$4002,$K$8),1))-1,""),"")</f>
        <v/>
      </c>
      <c r="AB1192">
        <f>IF(ISNUMBER(AA1192),'자료_거시'!$J1174,"")</f>
        <v/>
      </c>
      <c r="AC1192">
        <f>IF(ISNUMBER(AB1192),IF(AB1192&gt;$L$8,AA1192,""),"")</f>
        <v/>
      </c>
    </row>
    <row r="1193">
      <c r="S1193">
        <f>IF(ISNUMBER('자료_거시'!$E1175),'자료_거시'!$E1175,S1192)</f>
        <v/>
      </c>
      <c r="T1193">
        <f>IF(AND(ISNUMBER('자료_거시'!$D1175),ISNUMBER('자료_거시'!$E1175)),IFERROR('자료_거시'!$E1175-INDEX($S$21:$S$4020,MATCH(EDATE('자료_거시'!$D1175,-'설정'!$B$17),'자료_거시'!$D$3:INDEX('자료_거시'!$D$3:$D$4002,$K$6),1)),""),"")</f>
        <v/>
      </c>
      <c r="U1193">
        <f>IF(ISNUMBER(T1193),'자료_거시'!$D1175,"")</f>
        <v/>
      </c>
      <c r="V1193">
        <f>IF(ISNUMBER(U1193),IF(U1193&gt;$L$6,T1193,""),"")</f>
        <v/>
      </c>
      <c r="W1193">
        <f>IF(AND(ISNUMBER('자료_거시'!$G1175),ISNUMBER('자료_거시'!$H1175)),'자료_거시'!$H1175,"")</f>
        <v/>
      </c>
      <c r="X1193">
        <f>IF(ISNUMBER(W1193),'자료_거시'!$G1175,"")</f>
        <v/>
      </c>
      <c r="Y1193">
        <f>IF(ISNUMBER(X1193),IF(X1193&gt;$L$7,W1193,""),"")</f>
        <v/>
      </c>
      <c r="Z1193">
        <f>IF(ISNUMBER('자료_거시'!$K1175),'자료_거시'!$K1175,Z1192)</f>
        <v/>
      </c>
      <c r="AA1193">
        <f>IF(AND(ISNUMBER('자료_거시'!$J1175),ISNUMBER('자료_거시'!$K1175)),IFERROR('자료_거시'!$K1175/INDEX($Z$21:$Z$4020,MATCH(EDATE('자료_거시'!$J1175,-'설정'!$B$17),'자료_거시'!$J$3:INDEX('자료_거시'!$J$3:$J$4002,$K$8),1))-1,""),"")</f>
        <v/>
      </c>
      <c r="AB1193">
        <f>IF(ISNUMBER(AA1193),'자료_거시'!$J1175,"")</f>
        <v/>
      </c>
      <c r="AC1193">
        <f>IF(ISNUMBER(AB1193),IF(AB1193&gt;$L$8,AA1193,""),"")</f>
        <v/>
      </c>
    </row>
    <row r="1194">
      <c r="S1194">
        <f>IF(ISNUMBER('자료_거시'!$E1176),'자료_거시'!$E1176,S1193)</f>
        <v/>
      </c>
      <c r="T1194">
        <f>IF(AND(ISNUMBER('자료_거시'!$D1176),ISNUMBER('자료_거시'!$E1176)),IFERROR('자료_거시'!$E1176-INDEX($S$21:$S$4020,MATCH(EDATE('자료_거시'!$D1176,-'설정'!$B$17),'자료_거시'!$D$3:INDEX('자료_거시'!$D$3:$D$4002,$K$6),1)),""),"")</f>
        <v/>
      </c>
      <c r="U1194">
        <f>IF(ISNUMBER(T1194),'자료_거시'!$D1176,"")</f>
        <v/>
      </c>
      <c r="V1194">
        <f>IF(ISNUMBER(U1194),IF(U1194&gt;$L$6,T1194,""),"")</f>
        <v/>
      </c>
      <c r="W1194">
        <f>IF(AND(ISNUMBER('자료_거시'!$G1176),ISNUMBER('자료_거시'!$H1176)),'자료_거시'!$H1176,"")</f>
        <v/>
      </c>
      <c r="X1194">
        <f>IF(ISNUMBER(W1194),'자료_거시'!$G1176,"")</f>
        <v/>
      </c>
      <c r="Y1194">
        <f>IF(ISNUMBER(X1194),IF(X1194&gt;$L$7,W1194,""),"")</f>
        <v/>
      </c>
      <c r="Z1194">
        <f>IF(ISNUMBER('자료_거시'!$K1176),'자료_거시'!$K1176,Z1193)</f>
        <v/>
      </c>
      <c r="AA1194">
        <f>IF(AND(ISNUMBER('자료_거시'!$J1176),ISNUMBER('자료_거시'!$K1176)),IFERROR('자료_거시'!$K1176/INDEX($Z$21:$Z$4020,MATCH(EDATE('자료_거시'!$J1176,-'설정'!$B$17),'자료_거시'!$J$3:INDEX('자료_거시'!$J$3:$J$4002,$K$8),1))-1,""),"")</f>
        <v/>
      </c>
      <c r="AB1194">
        <f>IF(ISNUMBER(AA1194),'자료_거시'!$J1176,"")</f>
        <v/>
      </c>
      <c r="AC1194">
        <f>IF(ISNUMBER(AB1194),IF(AB1194&gt;$L$8,AA1194,""),"")</f>
        <v/>
      </c>
    </row>
    <row r="1195">
      <c r="S1195">
        <f>IF(ISNUMBER('자료_거시'!$E1177),'자료_거시'!$E1177,S1194)</f>
        <v/>
      </c>
      <c r="T1195">
        <f>IF(AND(ISNUMBER('자료_거시'!$D1177),ISNUMBER('자료_거시'!$E1177)),IFERROR('자료_거시'!$E1177-INDEX($S$21:$S$4020,MATCH(EDATE('자료_거시'!$D1177,-'설정'!$B$17),'자료_거시'!$D$3:INDEX('자료_거시'!$D$3:$D$4002,$K$6),1)),""),"")</f>
        <v/>
      </c>
      <c r="U1195">
        <f>IF(ISNUMBER(T1195),'자료_거시'!$D1177,"")</f>
        <v/>
      </c>
      <c r="V1195">
        <f>IF(ISNUMBER(U1195),IF(U1195&gt;$L$6,T1195,""),"")</f>
        <v/>
      </c>
      <c r="W1195">
        <f>IF(AND(ISNUMBER('자료_거시'!$G1177),ISNUMBER('자료_거시'!$H1177)),'자료_거시'!$H1177,"")</f>
        <v/>
      </c>
      <c r="X1195">
        <f>IF(ISNUMBER(W1195),'자료_거시'!$G1177,"")</f>
        <v/>
      </c>
      <c r="Y1195">
        <f>IF(ISNUMBER(X1195),IF(X1195&gt;$L$7,W1195,""),"")</f>
        <v/>
      </c>
      <c r="Z1195">
        <f>IF(ISNUMBER('자료_거시'!$K1177),'자료_거시'!$K1177,Z1194)</f>
        <v/>
      </c>
      <c r="AA1195">
        <f>IF(AND(ISNUMBER('자료_거시'!$J1177),ISNUMBER('자료_거시'!$K1177)),IFERROR('자료_거시'!$K1177/INDEX($Z$21:$Z$4020,MATCH(EDATE('자료_거시'!$J1177,-'설정'!$B$17),'자료_거시'!$J$3:INDEX('자료_거시'!$J$3:$J$4002,$K$8),1))-1,""),"")</f>
        <v/>
      </c>
      <c r="AB1195">
        <f>IF(ISNUMBER(AA1195),'자료_거시'!$J1177,"")</f>
        <v/>
      </c>
      <c r="AC1195">
        <f>IF(ISNUMBER(AB1195),IF(AB1195&gt;$L$8,AA1195,""),"")</f>
        <v/>
      </c>
    </row>
    <row r="1196">
      <c r="S1196">
        <f>IF(ISNUMBER('자료_거시'!$E1178),'자료_거시'!$E1178,S1195)</f>
        <v/>
      </c>
      <c r="T1196">
        <f>IF(AND(ISNUMBER('자료_거시'!$D1178),ISNUMBER('자료_거시'!$E1178)),IFERROR('자료_거시'!$E1178-INDEX($S$21:$S$4020,MATCH(EDATE('자료_거시'!$D1178,-'설정'!$B$17),'자료_거시'!$D$3:INDEX('자료_거시'!$D$3:$D$4002,$K$6),1)),""),"")</f>
        <v/>
      </c>
      <c r="U1196">
        <f>IF(ISNUMBER(T1196),'자료_거시'!$D1178,"")</f>
        <v/>
      </c>
      <c r="V1196">
        <f>IF(ISNUMBER(U1196),IF(U1196&gt;$L$6,T1196,""),"")</f>
        <v/>
      </c>
      <c r="W1196">
        <f>IF(AND(ISNUMBER('자료_거시'!$G1178),ISNUMBER('자료_거시'!$H1178)),'자료_거시'!$H1178,"")</f>
        <v/>
      </c>
      <c r="X1196">
        <f>IF(ISNUMBER(W1196),'자료_거시'!$G1178,"")</f>
        <v/>
      </c>
      <c r="Y1196">
        <f>IF(ISNUMBER(X1196),IF(X1196&gt;$L$7,W1196,""),"")</f>
        <v/>
      </c>
      <c r="Z1196">
        <f>IF(ISNUMBER('자료_거시'!$K1178),'자료_거시'!$K1178,Z1195)</f>
        <v/>
      </c>
      <c r="AA1196">
        <f>IF(AND(ISNUMBER('자료_거시'!$J1178),ISNUMBER('자료_거시'!$K1178)),IFERROR('자료_거시'!$K1178/INDEX($Z$21:$Z$4020,MATCH(EDATE('자료_거시'!$J1178,-'설정'!$B$17),'자료_거시'!$J$3:INDEX('자료_거시'!$J$3:$J$4002,$K$8),1))-1,""),"")</f>
        <v/>
      </c>
      <c r="AB1196">
        <f>IF(ISNUMBER(AA1196),'자료_거시'!$J1178,"")</f>
        <v/>
      </c>
      <c r="AC1196">
        <f>IF(ISNUMBER(AB1196),IF(AB1196&gt;$L$8,AA1196,""),"")</f>
        <v/>
      </c>
    </row>
    <row r="1197">
      <c r="S1197">
        <f>IF(ISNUMBER('자료_거시'!$E1179),'자료_거시'!$E1179,S1196)</f>
        <v/>
      </c>
      <c r="T1197">
        <f>IF(AND(ISNUMBER('자료_거시'!$D1179),ISNUMBER('자료_거시'!$E1179)),IFERROR('자료_거시'!$E1179-INDEX($S$21:$S$4020,MATCH(EDATE('자료_거시'!$D1179,-'설정'!$B$17),'자료_거시'!$D$3:INDEX('자료_거시'!$D$3:$D$4002,$K$6),1)),""),"")</f>
        <v/>
      </c>
      <c r="U1197">
        <f>IF(ISNUMBER(T1197),'자료_거시'!$D1179,"")</f>
        <v/>
      </c>
      <c r="V1197">
        <f>IF(ISNUMBER(U1197),IF(U1197&gt;$L$6,T1197,""),"")</f>
        <v/>
      </c>
      <c r="W1197">
        <f>IF(AND(ISNUMBER('자료_거시'!$G1179),ISNUMBER('자료_거시'!$H1179)),'자료_거시'!$H1179,"")</f>
        <v/>
      </c>
      <c r="X1197">
        <f>IF(ISNUMBER(W1197),'자료_거시'!$G1179,"")</f>
        <v/>
      </c>
      <c r="Y1197">
        <f>IF(ISNUMBER(X1197),IF(X1197&gt;$L$7,W1197,""),"")</f>
        <v/>
      </c>
      <c r="Z1197">
        <f>IF(ISNUMBER('자료_거시'!$K1179),'자료_거시'!$K1179,Z1196)</f>
        <v/>
      </c>
      <c r="AA1197">
        <f>IF(AND(ISNUMBER('자료_거시'!$J1179),ISNUMBER('자료_거시'!$K1179)),IFERROR('자료_거시'!$K1179/INDEX($Z$21:$Z$4020,MATCH(EDATE('자료_거시'!$J1179,-'설정'!$B$17),'자료_거시'!$J$3:INDEX('자료_거시'!$J$3:$J$4002,$K$8),1))-1,""),"")</f>
        <v/>
      </c>
      <c r="AB1197">
        <f>IF(ISNUMBER(AA1197),'자료_거시'!$J1179,"")</f>
        <v/>
      </c>
      <c r="AC1197">
        <f>IF(ISNUMBER(AB1197),IF(AB1197&gt;$L$8,AA1197,""),"")</f>
        <v/>
      </c>
    </row>
    <row r="1198">
      <c r="S1198">
        <f>IF(ISNUMBER('자료_거시'!$E1180),'자료_거시'!$E1180,S1197)</f>
        <v/>
      </c>
      <c r="T1198">
        <f>IF(AND(ISNUMBER('자료_거시'!$D1180),ISNUMBER('자료_거시'!$E1180)),IFERROR('자료_거시'!$E1180-INDEX($S$21:$S$4020,MATCH(EDATE('자료_거시'!$D1180,-'설정'!$B$17),'자료_거시'!$D$3:INDEX('자료_거시'!$D$3:$D$4002,$K$6),1)),""),"")</f>
        <v/>
      </c>
      <c r="U1198">
        <f>IF(ISNUMBER(T1198),'자료_거시'!$D1180,"")</f>
        <v/>
      </c>
      <c r="V1198">
        <f>IF(ISNUMBER(U1198),IF(U1198&gt;$L$6,T1198,""),"")</f>
        <v/>
      </c>
      <c r="W1198">
        <f>IF(AND(ISNUMBER('자료_거시'!$G1180),ISNUMBER('자료_거시'!$H1180)),'자료_거시'!$H1180,"")</f>
        <v/>
      </c>
      <c r="X1198">
        <f>IF(ISNUMBER(W1198),'자료_거시'!$G1180,"")</f>
        <v/>
      </c>
      <c r="Y1198">
        <f>IF(ISNUMBER(X1198),IF(X1198&gt;$L$7,W1198,""),"")</f>
        <v/>
      </c>
      <c r="Z1198">
        <f>IF(ISNUMBER('자료_거시'!$K1180),'자료_거시'!$K1180,Z1197)</f>
        <v/>
      </c>
      <c r="AA1198">
        <f>IF(AND(ISNUMBER('자료_거시'!$J1180),ISNUMBER('자료_거시'!$K1180)),IFERROR('자료_거시'!$K1180/INDEX($Z$21:$Z$4020,MATCH(EDATE('자료_거시'!$J1180,-'설정'!$B$17),'자료_거시'!$J$3:INDEX('자료_거시'!$J$3:$J$4002,$K$8),1))-1,""),"")</f>
        <v/>
      </c>
      <c r="AB1198">
        <f>IF(ISNUMBER(AA1198),'자료_거시'!$J1180,"")</f>
        <v/>
      </c>
      <c r="AC1198">
        <f>IF(ISNUMBER(AB1198),IF(AB1198&gt;$L$8,AA1198,""),"")</f>
        <v/>
      </c>
    </row>
    <row r="1199">
      <c r="S1199">
        <f>IF(ISNUMBER('자료_거시'!$E1181),'자료_거시'!$E1181,S1198)</f>
        <v/>
      </c>
      <c r="T1199">
        <f>IF(AND(ISNUMBER('자료_거시'!$D1181),ISNUMBER('자료_거시'!$E1181)),IFERROR('자료_거시'!$E1181-INDEX($S$21:$S$4020,MATCH(EDATE('자료_거시'!$D1181,-'설정'!$B$17),'자료_거시'!$D$3:INDEX('자료_거시'!$D$3:$D$4002,$K$6),1)),""),"")</f>
        <v/>
      </c>
      <c r="U1199">
        <f>IF(ISNUMBER(T1199),'자료_거시'!$D1181,"")</f>
        <v/>
      </c>
      <c r="V1199">
        <f>IF(ISNUMBER(U1199),IF(U1199&gt;$L$6,T1199,""),"")</f>
        <v/>
      </c>
      <c r="W1199">
        <f>IF(AND(ISNUMBER('자료_거시'!$G1181),ISNUMBER('자료_거시'!$H1181)),'자료_거시'!$H1181,"")</f>
        <v/>
      </c>
      <c r="X1199">
        <f>IF(ISNUMBER(W1199),'자료_거시'!$G1181,"")</f>
        <v/>
      </c>
      <c r="Y1199">
        <f>IF(ISNUMBER(X1199),IF(X1199&gt;$L$7,W1199,""),"")</f>
        <v/>
      </c>
      <c r="Z1199">
        <f>IF(ISNUMBER('자료_거시'!$K1181),'자료_거시'!$K1181,Z1198)</f>
        <v/>
      </c>
      <c r="AA1199">
        <f>IF(AND(ISNUMBER('자료_거시'!$J1181),ISNUMBER('자료_거시'!$K1181)),IFERROR('자료_거시'!$K1181/INDEX($Z$21:$Z$4020,MATCH(EDATE('자료_거시'!$J1181,-'설정'!$B$17),'자료_거시'!$J$3:INDEX('자료_거시'!$J$3:$J$4002,$K$8),1))-1,""),"")</f>
        <v/>
      </c>
      <c r="AB1199">
        <f>IF(ISNUMBER(AA1199),'자료_거시'!$J1181,"")</f>
        <v/>
      </c>
      <c r="AC1199">
        <f>IF(ISNUMBER(AB1199),IF(AB1199&gt;$L$8,AA1199,""),"")</f>
        <v/>
      </c>
    </row>
    <row r="1200">
      <c r="S1200">
        <f>IF(ISNUMBER('자료_거시'!$E1182),'자료_거시'!$E1182,S1199)</f>
        <v/>
      </c>
      <c r="T1200">
        <f>IF(AND(ISNUMBER('자료_거시'!$D1182),ISNUMBER('자료_거시'!$E1182)),IFERROR('자료_거시'!$E1182-INDEX($S$21:$S$4020,MATCH(EDATE('자료_거시'!$D1182,-'설정'!$B$17),'자료_거시'!$D$3:INDEX('자료_거시'!$D$3:$D$4002,$K$6),1)),""),"")</f>
        <v/>
      </c>
      <c r="U1200">
        <f>IF(ISNUMBER(T1200),'자료_거시'!$D1182,"")</f>
        <v/>
      </c>
      <c r="V1200">
        <f>IF(ISNUMBER(U1200),IF(U1200&gt;$L$6,T1200,""),"")</f>
        <v/>
      </c>
      <c r="W1200">
        <f>IF(AND(ISNUMBER('자료_거시'!$G1182),ISNUMBER('자료_거시'!$H1182)),'자료_거시'!$H1182,"")</f>
        <v/>
      </c>
      <c r="X1200">
        <f>IF(ISNUMBER(W1200),'자료_거시'!$G1182,"")</f>
        <v/>
      </c>
      <c r="Y1200">
        <f>IF(ISNUMBER(X1200),IF(X1200&gt;$L$7,W1200,""),"")</f>
        <v/>
      </c>
      <c r="Z1200">
        <f>IF(ISNUMBER('자료_거시'!$K1182),'자료_거시'!$K1182,Z1199)</f>
        <v/>
      </c>
      <c r="AA1200">
        <f>IF(AND(ISNUMBER('자료_거시'!$J1182),ISNUMBER('자료_거시'!$K1182)),IFERROR('자료_거시'!$K1182/INDEX($Z$21:$Z$4020,MATCH(EDATE('자료_거시'!$J1182,-'설정'!$B$17),'자료_거시'!$J$3:INDEX('자료_거시'!$J$3:$J$4002,$K$8),1))-1,""),"")</f>
        <v/>
      </c>
      <c r="AB1200">
        <f>IF(ISNUMBER(AA1200),'자료_거시'!$J1182,"")</f>
        <v/>
      </c>
      <c r="AC1200">
        <f>IF(ISNUMBER(AB1200),IF(AB1200&gt;$L$8,AA1200,""),"")</f>
        <v/>
      </c>
    </row>
    <row r="1201">
      <c r="S1201">
        <f>IF(ISNUMBER('자료_거시'!$E1183),'자료_거시'!$E1183,S1200)</f>
        <v/>
      </c>
      <c r="T1201">
        <f>IF(AND(ISNUMBER('자료_거시'!$D1183),ISNUMBER('자료_거시'!$E1183)),IFERROR('자료_거시'!$E1183-INDEX($S$21:$S$4020,MATCH(EDATE('자료_거시'!$D1183,-'설정'!$B$17),'자료_거시'!$D$3:INDEX('자료_거시'!$D$3:$D$4002,$K$6),1)),""),"")</f>
        <v/>
      </c>
      <c r="U1201">
        <f>IF(ISNUMBER(T1201),'자료_거시'!$D1183,"")</f>
        <v/>
      </c>
      <c r="V1201">
        <f>IF(ISNUMBER(U1201),IF(U1201&gt;$L$6,T1201,""),"")</f>
        <v/>
      </c>
      <c r="W1201">
        <f>IF(AND(ISNUMBER('자료_거시'!$G1183),ISNUMBER('자료_거시'!$H1183)),'자료_거시'!$H1183,"")</f>
        <v/>
      </c>
      <c r="X1201">
        <f>IF(ISNUMBER(W1201),'자료_거시'!$G1183,"")</f>
        <v/>
      </c>
      <c r="Y1201">
        <f>IF(ISNUMBER(X1201),IF(X1201&gt;$L$7,W1201,""),"")</f>
        <v/>
      </c>
      <c r="Z1201">
        <f>IF(ISNUMBER('자료_거시'!$K1183),'자료_거시'!$K1183,Z1200)</f>
        <v/>
      </c>
      <c r="AA1201">
        <f>IF(AND(ISNUMBER('자료_거시'!$J1183),ISNUMBER('자료_거시'!$K1183)),IFERROR('자료_거시'!$K1183/INDEX($Z$21:$Z$4020,MATCH(EDATE('자료_거시'!$J1183,-'설정'!$B$17),'자료_거시'!$J$3:INDEX('자료_거시'!$J$3:$J$4002,$K$8),1))-1,""),"")</f>
        <v/>
      </c>
      <c r="AB1201">
        <f>IF(ISNUMBER(AA1201),'자료_거시'!$J1183,"")</f>
        <v/>
      </c>
      <c r="AC1201">
        <f>IF(ISNUMBER(AB1201),IF(AB1201&gt;$L$8,AA1201,""),"")</f>
        <v/>
      </c>
    </row>
    <row r="1202">
      <c r="S1202">
        <f>IF(ISNUMBER('자료_거시'!$E1184),'자료_거시'!$E1184,S1201)</f>
        <v/>
      </c>
      <c r="T1202">
        <f>IF(AND(ISNUMBER('자료_거시'!$D1184),ISNUMBER('자료_거시'!$E1184)),IFERROR('자료_거시'!$E1184-INDEX($S$21:$S$4020,MATCH(EDATE('자료_거시'!$D1184,-'설정'!$B$17),'자료_거시'!$D$3:INDEX('자료_거시'!$D$3:$D$4002,$K$6),1)),""),"")</f>
        <v/>
      </c>
      <c r="U1202">
        <f>IF(ISNUMBER(T1202),'자료_거시'!$D1184,"")</f>
        <v/>
      </c>
      <c r="V1202">
        <f>IF(ISNUMBER(U1202),IF(U1202&gt;$L$6,T1202,""),"")</f>
        <v/>
      </c>
      <c r="W1202">
        <f>IF(AND(ISNUMBER('자료_거시'!$G1184),ISNUMBER('자료_거시'!$H1184)),'자료_거시'!$H1184,"")</f>
        <v/>
      </c>
      <c r="X1202">
        <f>IF(ISNUMBER(W1202),'자료_거시'!$G1184,"")</f>
        <v/>
      </c>
      <c r="Y1202">
        <f>IF(ISNUMBER(X1202),IF(X1202&gt;$L$7,W1202,""),"")</f>
        <v/>
      </c>
      <c r="Z1202">
        <f>IF(ISNUMBER('자료_거시'!$K1184),'자료_거시'!$K1184,Z1201)</f>
        <v/>
      </c>
      <c r="AA1202">
        <f>IF(AND(ISNUMBER('자료_거시'!$J1184),ISNUMBER('자료_거시'!$K1184)),IFERROR('자료_거시'!$K1184/INDEX($Z$21:$Z$4020,MATCH(EDATE('자료_거시'!$J1184,-'설정'!$B$17),'자료_거시'!$J$3:INDEX('자료_거시'!$J$3:$J$4002,$K$8),1))-1,""),"")</f>
        <v/>
      </c>
      <c r="AB1202">
        <f>IF(ISNUMBER(AA1202),'자료_거시'!$J1184,"")</f>
        <v/>
      </c>
      <c r="AC1202">
        <f>IF(ISNUMBER(AB1202),IF(AB1202&gt;$L$8,AA1202,""),"")</f>
        <v/>
      </c>
    </row>
    <row r="1203">
      <c r="S1203">
        <f>IF(ISNUMBER('자료_거시'!$E1185),'자료_거시'!$E1185,S1202)</f>
        <v/>
      </c>
      <c r="T1203">
        <f>IF(AND(ISNUMBER('자료_거시'!$D1185),ISNUMBER('자료_거시'!$E1185)),IFERROR('자료_거시'!$E1185-INDEX($S$21:$S$4020,MATCH(EDATE('자료_거시'!$D1185,-'설정'!$B$17),'자료_거시'!$D$3:INDEX('자료_거시'!$D$3:$D$4002,$K$6),1)),""),"")</f>
        <v/>
      </c>
      <c r="U1203">
        <f>IF(ISNUMBER(T1203),'자료_거시'!$D1185,"")</f>
        <v/>
      </c>
      <c r="V1203">
        <f>IF(ISNUMBER(U1203),IF(U1203&gt;$L$6,T1203,""),"")</f>
        <v/>
      </c>
      <c r="W1203">
        <f>IF(AND(ISNUMBER('자료_거시'!$G1185),ISNUMBER('자료_거시'!$H1185)),'자료_거시'!$H1185,"")</f>
        <v/>
      </c>
      <c r="X1203">
        <f>IF(ISNUMBER(W1203),'자료_거시'!$G1185,"")</f>
        <v/>
      </c>
      <c r="Y1203">
        <f>IF(ISNUMBER(X1203),IF(X1203&gt;$L$7,W1203,""),"")</f>
        <v/>
      </c>
      <c r="Z1203">
        <f>IF(ISNUMBER('자료_거시'!$K1185),'자료_거시'!$K1185,Z1202)</f>
        <v/>
      </c>
      <c r="AA1203">
        <f>IF(AND(ISNUMBER('자료_거시'!$J1185),ISNUMBER('자료_거시'!$K1185)),IFERROR('자료_거시'!$K1185/INDEX($Z$21:$Z$4020,MATCH(EDATE('자료_거시'!$J1185,-'설정'!$B$17),'자료_거시'!$J$3:INDEX('자료_거시'!$J$3:$J$4002,$K$8),1))-1,""),"")</f>
        <v/>
      </c>
      <c r="AB1203">
        <f>IF(ISNUMBER(AA1203),'자료_거시'!$J1185,"")</f>
        <v/>
      </c>
      <c r="AC1203">
        <f>IF(ISNUMBER(AB1203),IF(AB1203&gt;$L$8,AA1203,""),"")</f>
        <v/>
      </c>
    </row>
    <row r="1204">
      <c r="S1204">
        <f>IF(ISNUMBER('자료_거시'!$E1186),'자료_거시'!$E1186,S1203)</f>
        <v/>
      </c>
      <c r="T1204">
        <f>IF(AND(ISNUMBER('자료_거시'!$D1186),ISNUMBER('자료_거시'!$E1186)),IFERROR('자료_거시'!$E1186-INDEX($S$21:$S$4020,MATCH(EDATE('자료_거시'!$D1186,-'설정'!$B$17),'자료_거시'!$D$3:INDEX('자료_거시'!$D$3:$D$4002,$K$6),1)),""),"")</f>
        <v/>
      </c>
      <c r="U1204">
        <f>IF(ISNUMBER(T1204),'자료_거시'!$D1186,"")</f>
        <v/>
      </c>
      <c r="V1204">
        <f>IF(ISNUMBER(U1204),IF(U1204&gt;$L$6,T1204,""),"")</f>
        <v/>
      </c>
      <c r="W1204">
        <f>IF(AND(ISNUMBER('자료_거시'!$G1186),ISNUMBER('자료_거시'!$H1186)),'자료_거시'!$H1186,"")</f>
        <v/>
      </c>
      <c r="X1204">
        <f>IF(ISNUMBER(W1204),'자료_거시'!$G1186,"")</f>
        <v/>
      </c>
      <c r="Y1204">
        <f>IF(ISNUMBER(X1204),IF(X1204&gt;$L$7,W1204,""),"")</f>
        <v/>
      </c>
      <c r="Z1204">
        <f>IF(ISNUMBER('자료_거시'!$K1186),'자료_거시'!$K1186,Z1203)</f>
        <v/>
      </c>
      <c r="AA1204">
        <f>IF(AND(ISNUMBER('자료_거시'!$J1186),ISNUMBER('자료_거시'!$K1186)),IFERROR('자료_거시'!$K1186/INDEX($Z$21:$Z$4020,MATCH(EDATE('자료_거시'!$J1186,-'설정'!$B$17),'자료_거시'!$J$3:INDEX('자료_거시'!$J$3:$J$4002,$K$8),1))-1,""),"")</f>
        <v/>
      </c>
      <c r="AB1204">
        <f>IF(ISNUMBER(AA1204),'자료_거시'!$J1186,"")</f>
        <v/>
      </c>
      <c r="AC1204">
        <f>IF(ISNUMBER(AB1204),IF(AB1204&gt;$L$8,AA1204,""),"")</f>
        <v/>
      </c>
    </row>
    <row r="1205">
      <c r="S1205">
        <f>IF(ISNUMBER('자료_거시'!$E1187),'자료_거시'!$E1187,S1204)</f>
        <v/>
      </c>
      <c r="T1205">
        <f>IF(AND(ISNUMBER('자료_거시'!$D1187),ISNUMBER('자료_거시'!$E1187)),IFERROR('자료_거시'!$E1187-INDEX($S$21:$S$4020,MATCH(EDATE('자료_거시'!$D1187,-'설정'!$B$17),'자료_거시'!$D$3:INDEX('자료_거시'!$D$3:$D$4002,$K$6),1)),""),"")</f>
        <v/>
      </c>
      <c r="U1205">
        <f>IF(ISNUMBER(T1205),'자료_거시'!$D1187,"")</f>
        <v/>
      </c>
      <c r="V1205">
        <f>IF(ISNUMBER(U1205),IF(U1205&gt;$L$6,T1205,""),"")</f>
        <v/>
      </c>
      <c r="W1205">
        <f>IF(AND(ISNUMBER('자료_거시'!$G1187),ISNUMBER('자료_거시'!$H1187)),'자료_거시'!$H1187,"")</f>
        <v/>
      </c>
      <c r="X1205">
        <f>IF(ISNUMBER(W1205),'자료_거시'!$G1187,"")</f>
        <v/>
      </c>
      <c r="Y1205">
        <f>IF(ISNUMBER(X1205),IF(X1205&gt;$L$7,W1205,""),"")</f>
        <v/>
      </c>
      <c r="Z1205">
        <f>IF(ISNUMBER('자료_거시'!$K1187),'자료_거시'!$K1187,Z1204)</f>
        <v/>
      </c>
      <c r="AA1205">
        <f>IF(AND(ISNUMBER('자료_거시'!$J1187),ISNUMBER('자료_거시'!$K1187)),IFERROR('자료_거시'!$K1187/INDEX($Z$21:$Z$4020,MATCH(EDATE('자료_거시'!$J1187,-'설정'!$B$17),'자료_거시'!$J$3:INDEX('자료_거시'!$J$3:$J$4002,$K$8),1))-1,""),"")</f>
        <v/>
      </c>
      <c r="AB1205">
        <f>IF(ISNUMBER(AA1205),'자료_거시'!$J1187,"")</f>
        <v/>
      </c>
      <c r="AC1205">
        <f>IF(ISNUMBER(AB1205),IF(AB1205&gt;$L$8,AA1205,""),"")</f>
        <v/>
      </c>
    </row>
    <row r="1206">
      <c r="S1206">
        <f>IF(ISNUMBER('자료_거시'!$E1188),'자료_거시'!$E1188,S1205)</f>
        <v/>
      </c>
      <c r="T1206">
        <f>IF(AND(ISNUMBER('자료_거시'!$D1188),ISNUMBER('자료_거시'!$E1188)),IFERROR('자료_거시'!$E1188-INDEX($S$21:$S$4020,MATCH(EDATE('자료_거시'!$D1188,-'설정'!$B$17),'자료_거시'!$D$3:INDEX('자료_거시'!$D$3:$D$4002,$K$6),1)),""),"")</f>
        <v/>
      </c>
      <c r="U1206">
        <f>IF(ISNUMBER(T1206),'자료_거시'!$D1188,"")</f>
        <v/>
      </c>
      <c r="V1206">
        <f>IF(ISNUMBER(U1206),IF(U1206&gt;$L$6,T1206,""),"")</f>
        <v/>
      </c>
      <c r="W1206">
        <f>IF(AND(ISNUMBER('자료_거시'!$G1188),ISNUMBER('자료_거시'!$H1188)),'자료_거시'!$H1188,"")</f>
        <v/>
      </c>
      <c r="X1206">
        <f>IF(ISNUMBER(W1206),'자료_거시'!$G1188,"")</f>
        <v/>
      </c>
      <c r="Y1206">
        <f>IF(ISNUMBER(X1206),IF(X1206&gt;$L$7,W1206,""),"")</f>
        <v/>
      </c>
      <c r="Z1206">
        <f>IF(ISNUMBER('자료_거시'!$K1188),'자료_거시'!$K1188,Z1205)</f>
        <v/>
      </c>
      <c r="AA1206">
        <f>IF(AND(ISNUMBER('자료_거시'!$J1188),ISNUMBER('자료_거시'!$K1188)),IFERROR('자료_거시'!$K1188/INDEX($Z$21:$Z$4020,MATCH(EDATE('자료_거시'!$J1188,-'설정'!$B$17),'자료_거시'!$J$3:INDEX('자료_거시'!$J$3:$J$4002,$K$8),1))-1,""),"")</f>
        <v/>
      </c>
      <c r="AB1206">
        <f>IF(ISNUMBER(AA1206),'자료_거시'!$J1188,"")</f>
        <v/>
      </c>
      <c r="AC1206">
        <f>IF(ISNUMBER(AB1206),IF(AB1206&gt;$L$8,AA1206,""),"")</f>
        <v/>
      </c>
    </row>
    <row r="1207">
      <c r="S1207">
        <f>IF(ISNUMBER('자료_거시'!$E1189),'자료_거시'!$E1189,S1206)</f>
        <v/>
      </c>
      <c r="T1207">
        <f>IF(AND(ISNUMBER('자료_거시'!$D1189),ISNUMBER('자료_거시'!$E1189)),IFERROR('자료_거시'!$E1189-INDEX($S$21:$S$4020,MATCH(EDATE('자료_거시'!$D1189,-'설정'!$B$17),'자료_거시'!$D$3:INDEX('자료_거시'!$D$3:$D$4002,$K$6),1)),""),"")</f>
        <v/>
      </c>
      <c r="U1207">
        <f>IF(ISNUMBER(T1207),'자료_거시'!$D1189,"")</f>
        <v/>
      </c>
      <c r="V1207">
        <f>IF(ISNUMBER(U1207),IF(U1207&gt;$L$6,T1207,""),"")</f>
        <v/>
      </c>
      <c r="W1207">
        <f>IF(AND(ISNUMBER('자료_거시'!$G1189),ISNUMBER('자료_거시'!$H1189)),'자료_거시'!$H1189,"")</f>
        <v/>
      </c>
      <c r="X1207">
        <f>IF(ISNUMBER(W1207),'자료_거시'!$G1189,"")</f>
        <v/>
      </c>
      <c r="Y1207">
        <f>IF(ISNUMBER(X1207),IF(X1207&gt;$L$7,W1207,""),"")</f>
        <v/>
      </c>
      <c r="Z1207">
        <f>IF(ISNUMBER('자료_거시'!$K1189),'자료_거시'!$K1189,Z1206)</f>
        <v/>
      </c>
      <c r="AA1207">
        <f>IF(AND(ISNUMBER('자료_거시'!$J1189),ISNUMBER('자료_거시'!$K1189)),IFERROR('자료_거시'!$K1189/INDEX($Z$21:$Z$4020,MATCH(EDATE('자료_거시'!$J1189,-'설정'!$B$17),'자료_거시'!$J$3:INDEX('자료_거시'!$J$3:$J$4002,$K$8),1))-1,""),"")</f>
        <v/>
      </c>
      <c r="AB1207">
        <f>IF(ISNUMBER(AA1207),'자료_거시'!$J1189,"")</f>
        <v/>
      </c>
      <c r="AC1207">
        <f>IF(ISNUMBER(AB1207),IF(AB1207&gt;$L$8,AA1207,""),"")</f>
        <v/>
      </c>
    </row>
    <row r="1208">
      <c r="S1208">
        <f>IF(ISNUMBER('자료_거시'!$E1190),'자료_거시'!$E1190,S1207)</f>
        <v/>
      </c>
      <c r="T1208">
        <f>IF(AND(ISNUMBER('자료_거시'!$D1190),ISNUMBER('자료_거시'!$E1190)),IFERROR('자료_거시'!$E1190-INDEX($S$21:$S$4020,MATCH(EDATE('자료_거시'!$D1190,-'설정'!$B$17),'자료_거시'!$D$3:INDEX('자료_거시'!$D$3:$D$4002,$K$6),1)),""),"")</f>
        <v/>
      </c>
      <c r="U1208">
        <f>IF(ISNUMBER(T1208),'자료_거시'!$D1190,"")</f>
        <v/>
      </c>
      <c r="V1208">
        <f>IF(ISNUMBER(U1208),IF(U1208&gt;$L$6,T1208,""),"")</f>
        <v/>
      </c>
      <c r="W1208">
        <f>IF(AND(ISNUMBER('자료_거시'!$G1190),ISNUMBER('자료_거시'!$H1190)),'자료_거시'!$H1190,"")</f>
        <v/>
      </c>
      <c r="X1208">
        <f>IF(ISNUMBER(W1208),'자료_거시'!$G1190,"")</f>
        <v/>
      </c>
      <c r="Y1208">
        <f>IF(ISNUMBER(X1208),IF(X1208&gt;$L$7,W1208,""),"")</f>
        <v/>
      </c>
      <c r="Z1208">
        <f>IF(ISNUMBER('자료_거시'!$K1190),'자료_거시'!$K1190,Z1207)</f>
        <v/>
      </c>
      <c r="AA1208">
        <f>IF(AND(ISNUMBER('자료_거시'!$J1190),ISNUMBER('자료_거시'!$K1190)),IFERROR('자료_거시'!$K1190/INDEX($Z$21:$Z$4020,MATCH(EDATE('자료_거시'!$J1190,-'설정'!$B$17),'자료_거시'!$J$3:INDEX('자료_거시'!$J$3:$J$4002,$K$8),1))-1,""),"")</f>
        <v/>
      </c>
      <c r="AB1208">
        <f>IF(ISNUMBER(AA1208),'자료_거시'!$J1190,"")</f>
        <v/>
      </c>
      <c r="AC1208">
        <f>IF(ISNUMBER(AB1208),IF(AB1208&gt;$L$8,AA1208,""),"")</f>
        <v/>
      </c>
    </row>
    <row r="1209">
      <c r="S1209">
        <f>IF(ISNUMBER('자료_거시'!$E1191),'자료_거시'!$E1191,S1208)</f>
        <v/>
      </c>
      <c r="T1209">
        <f>IF(AND(ISNUMBER('자료_거시'!$D1191),ISNUMBER('자료_거시'!$E1191)),IFERROR('자료_거시'!$E1191-INDEX($S$21:$S$4020,MATCH(EDATE('자료_거시'!$D1191,-'설정'!$B$17),'자료_거시'!$D$3:INDEX('자료_거시'!$D$3:$D$4002,$K$6),1)),""),"")</f>
        <v/>
      </c>
      <c r="U1209">
        <f>IF(ISNUMBER(T1209),'자료_거시'!$D1191,"")</f>
        <v/>
      </c>
      <c r="V1209">
        <f>IF(ISNUMBER(U1209),IF(U1209&gt;$L$6,T1209,""),"")</f>
        <v/>
      </c>
      <c r="W1209">
        <f>IF(AND(ISNUMBER('자료_거시'!$G1191),ISNUMBER('자료_거시'!$H1191)),'자료_거시'!$H1191,"")</f>
        <v/>
      </c>
      <c r="X1209">
        <f>IF(ISNUMBER(W1209),'자료_거시'!$G1191,"")</f>
        <v/>
      </c>
      <c r="Y1209">
        <f>IF(ISNUMBER(X1209),IF(X1209&gt;$L$7,W1209,""),"")</f>
        <v/>
      </c>
      <c r="Z1209">
        <f>IF(ISNUMBER('자료_거시'!$K1191),'자료_거시'!$K1191,Z1208)</f>
        <v/>
      </c>
      <c r="AA1209">
        <f>IF(AND(ISNUMBER('자료_거시'!$J1191),ISNUMBER('자료_거시'!$K1191)),IFERROR('자료_거시'!$K1191/INDEX($Z$21:$Z$4020,MATCH(EDATE('자료_거시'!$J1191,-'설정'!$B$17),'자료_거시'!$J$3:INDEX('자료_거시'!$J$3:$J$4002,$K$8),1))-1,""),"")</f>
        <v/>
      </c>
      <c r="AB1209">
        <f>IF(ISNUMBER(AA1209),'자료_거시'!$J1191,"")</f>
        <v/>
      </c>
      <c r="AC1209">
        <f>IF(ISNUMBER(AB1209),IF(AB1209&gt;$L$8,AA1209,""),"")</f>
        <v/>
      </c>
    </row>
    <row r="1210">
      <c r="S1210">
        <f>IF(ISNUMBER('자료_거시'!$E1192),'자료_거시'!$E1192,S1209)</f>
        <v/>
      </c>
      <c r="T1210">
        <f>IF(AND(ISNUMBER('자료_거시'!$D1192),ISNUMBER('자료_거시'!$E1192)),IFERROR('자료_거시'!$E1192-INDEX($S$21:$S$4020,MATCH(EDATE('자료_거시'!$D1192,-'설정'!$B$17),'자료_거시'!$D$3:INDEX('자료_거시'!$D$3:$D$4002,$K$6),1)),""),"")</f>
        <v/>
      </c>
      <c r="U1210">
        <f>IF(ISNUMBER(T1210),'자료_거시'!$D1192,"")</f>
        <v/>
      </c>
      <c r="V1210">
        <f>IF(ISNUMBER(U1210),IF(U1210&gt;$L$6,T1210,""),"")</f>
        <v/>
      </c>
      <c r="W1210">
        <f>IF(AND(ISNUMBER('자료_거시'!$G1192),ISNUMBER('자료_거시'!$H1192)),'자료_거시'!$H1192,"")</f>
        <v/>
      </c>
      <c r="X1210">
        <f>IF(ISNUMBER(W1210),'자료_거시'!$G1192,"")</f>
        <v/>
      </c>
      <c r="Y1210">
        <f>IF(ISNUMBER(X1210),IF(X1210&gt;$L$7,W1210,""),"")</f>
        <v/>
      </c>
      <c r="Z1210">
        <f>IF(ISNUMBER('자료_거시'!$K1192),'자료_거시'!$K1192,Z1209)</f>
        <v/>
      </c>
      <c r="AA1210">
        <f>IF(AND(ISNUMBER('자료_거시'!$J1192),ISNUMBER('자료_거시'!$K1192)),IFERROR('자료_거시'!$K1192/INDEX($Z$21:$Z$4020,MATCH(EDATE('자료_거시'!$J1192,-'설정'!$B$17),'자료_거시'!$J$3:INDEX('자료_거시'!$J$3:$J$4002,$K$8),1))-1,""),"")</f>
        <v/>
      </c>
      <c r="AB1210">
        <f>IF(ISNUMBER(AA1210),'자료_거시'!$J1192,"")</f>
        <v/>
      </c>
      <c r="AC1210">
        <f>IF(ISNUMBER(AB1210),IF(AB1210&gt;$L$8,AA1210,""),"")</f>
        <v/>
      </c>
    </row>
    <row r="1211">
      <c r="S1211">
        <f>IF(ISNUMBER('자료_거시'!$E1193),'자료_거시'!$E1193,S1210)</f>
        <v/>
      </c>
      <c r="T1211">
        <f>IF(AND(ISNUMBER('자료_거시'!$D1193),ISNUMBER('자료_거시'!$E1193)),IFERROR('자료_거시'!$E1193-INDEX($S$21:$S$4020,MATCH(EDATE('자료_거시'!$D1193,-'설정'!$B$17),'자료_거시'!$D$3:INDEX('자료_거시'!$D$3:$D$4002,$K$6),1)),""),"")</f>
        <v/>
      </c>
      <c r="U1211">
        <f>IF(ISNUMBER(T1211),'자료_거시'!$D1193,"")</f>
        <v/>
      </c>
      <c r="V1211">
        <f>IF(ISNUMBER(U1211),IF(U1211&gt;$L$6,T1211,""),"")</f>
        <v/>
      </c>
      <c r="W1211">
        <f>IF(AND(ISNUMBER('자료_거시'!$G1193),ISNUMBER('자료_거시'!$H1193)),'자료_거시'!$H1193,"")</f>
        <v/>
      </c>
      <c r="X1211">
        <f>IF(ISNUMBER(W1211),'자료_거시'!$G1193,"")</f>
        <v/>
      </c>
      <c r="Y1211">
        <f>IF(ISNUMBER(X1211),IF(X1211&gt;$L$7,W1211,""),"")</f>
        <v/>
      </c>
      <c r="Z1211">
        <f>IF(ISNUMBER('자료_거시'!$K1193),'자료_거시'!$K1193,Z1210)</f>
        <v/>
      </c>
      <c r="AA1211">
        <f>IF(AND(ISNUMBER('자료_거시'!$J1193),ISNUMBER('자료_거시'!$K1193)),IFERROR('자료_거시'!$K1193/INDEX($Z$21:$Z$4020,MATCH(EDATE('자료_거시'!$J1193,-'설정'!$B$17),'자료_거시'!$J$3:INDEX('자료_거시'!$J$3:$J$4002,$K$8),1))-1,""),"")</f>
        <v/>
      </c>
      <c r="AB1211">
        <f>IF(ISNUMBER(AA1211),'자료_거시'!$J1193,"")</f>
        <v/>
      </c>
      <c r="AC1211">
        <f>IF(ISNUMBER(AB1211),IF(AB1211&gt;$L$8,AA1211,""),"")</f>
        <v/>
      </c>
    </row>
    <row r="1212">
      <c r="S1212">
        <f>IF(ISNUMBER('자료_거시'!$E1194),'자료_거시'!$E1194,S1211)</f>
        <v/>
      </c>
      <c r="T1212">
        <f>IF(AND(ISNUMBER('자료_거시'!$D1194),ISNUMBER('자료_거시'!$E1194)),IFERROR('자료_거시'!$E1194-INDEX($S$21:$S$4020,MATCH(EDATE('자료_거시'!$D1194,-'설정'!$B$17),'자료_거시'!$D$3:INDEX('자료_거시'!$D$3:$D$4002,$K$6),1)),""),"")</f>
        <v/>
      </c>
      <c r="U1212">
        <f>IF(ISNUMBER(T1212),'자료_거시'!$D1194,"")</f>
        <v/>
      </c>
      <c r="V1212">
        <f>IF(ISNUMBER(U1212),IF(U1212&gt;$L$6,T1212,""),"")</f>
        <v/>
      </c>
      <c r="W1212">
        <f>IF(AND(ISNUMBER('자료_거시'!$G1194),ISNUMBER('자료_거시'!$H1194)),'자료_거시'!$H1194,"")</f>
        <v/>
      </c>
      <c r="X1212">
        <f>IF(ISNUMBER(W1212),'자료_거시'!$G1194,"")</f>
        <v/>
      </c>
      <c r="Y1212">
        <f>IF(ISNUMBER(X1212),IF(X1212&gt;$L$7,W1212,""),"")</f>
        <v/>
      </c>
      <c r="Z1212">
        <f>IF(ISNUMBER('자료_거시'!$K1194),'자료_거시'!$K1194,Z1211)</f>
        <v/>
      </c>
      <c r="AA1212">
        <f>IF(AND(ISNUMBER('자료_거시'!$J1194),ISNUMBER('자료_거시'!$K1194)),IFERROR('자료_거시'!$K1194/INDEX($Z$21:$Z$4020,MATCH(EDATE('자료_거시'!$J1194,-'설정'!$B$17),'자료_거시'!$J$3:INDEX('자료_거시'!$J$3:$J$4002,$K$8),1))-1,""),"")</f>
        <v/>
      </c>
      <c r="AB1212">
        <f>IF(ISNUMBER(AA1212),'자료_거시'!$J1194,"")</f>
        <v/>
      </c>
      <c r="AC1212">
        <f>IF(ISNUMBER(AB1212),IF(AB1212&gt;$L$8,AA1212,""),"")</f>
        <v/>
      </c>
    </row>
    <row r="1213">
      <c r="S1213">
        <f>IF(ISNUMBER('자료_거시'!$E1195),'자료_거시'!$E1195,S1212)</f>
        <v/>
      </c>
      <c r="T1213">
        <f>IF(AND(ISNUMBER('자료_거시'!$D1195),ISNUMBER('자료_거시'!$E1195)),IFERROR('자료_거시'!$E1195-INDEX($S$21:$S$4020,MATCH(EDATE('자료_거시'!$D1195,-'설정'!$B$17),'자료_거시'!$D$3:INDEX('자료_거시'!$D$3:$D$4002,$K$6),1)),""),"")</f>
        <v/>
      </c>
      <c r="U1213">
        <f>IF(ISNUMBER(T1213),'자료_거시'!$D1195,"")</f>
        <v/>
      </c>
      <c r="V1213">
        <f>IF(ISNUMBER(U1213),IF(U1213&gt;$L$6,T1213,""),"")</f>
        <v/>
      </c>
      <c r="W1213">
        <f>IF(AND(ISNUMBER('자료_거시'!$G1195),ISNUMBER('자료_거시'!$H1195)),'자료_거시'!$H1195,"")</f>
        <v/>
      </c>
      <c r="X1213">
        <f>IF(ISNUMBER(W1213),'자료_거시'!$G1195,"")</f>
        <v/>
      </c>
      <c r="Y1213">
        <f>IF(ISNUMBER(X1213),IF(X1213&gt;$L$7,W1213,""),"")</f>
        <v/>
      </c>
      <c r="Z1213">
        <f>IF(ISNUMBER('자료_거시'!$K1195),'자료_거시'!$K1195,Z1212)</f>
        <v/>
      </c>
      <c r="AA1213">
        <f>IF(AND(ISNUMBER('자료_거시'!$J1195),ISNUMBER('자료_거시'!$K1195)),IFERROR('자료_거시'!$K1195/INDEX($Z$21:$Z$4020,MATCH(EDATE('자료_거시'!$J1195,-'설정'!$B$17),'자료_거시'!$J$3:INDEX('자료_거시'!$J$3:$J$4002,$K$8),1))-1,""),"")</f>
        <v/>
      </c>
      <c r="AB1213">
        <f>IF(ISNUMBER(AA1213),'자료_거시'!$J1195,"")</f>
        <v/>
      </c>
      <c r="AC1213">
        <f>IF(ISNUMBER(AB1213),IF(AB1213&gt;$L$8,AA1213,""),"")</f>
        <v/>
      </c>
    </row>
    <row r="1214">
      <c r="S1214">
        <f>IF(ISNUMBER('자료_거시'!$E1196),'자료_거시'!$E1196,S1213)</f>
        <v/>
      </c>
      <c r="T1214">
        <f>IF(AND(ISNUMBER('자료_거시'!$D1196),ISNUMBER('자료_거시'!$E1196)),IFERROR('자료_거시'!$E1196-INDEX($S$21:$S$4020,MATCH(EDATE('자료_거시'!$D1196,-'설정'!$B$17),'자료_거시'!$D$3:INDEX('자료_거시'!$D$3:$D$4002,$K$6),1)),""),"")</f>
        <v/>
      </c>
      <c r="U1214">
        <f>IF(ISNUMBER(T1214),'자료_거시'!$D1196,"")</f>
        <v/>
      </c>
      <c r="V1214">
        <f>IF(ISNUMBER(U1214),IF(U1214&gt;$L$6,T1214,""),"")</f>
        <v/>
      </c>
      <c r="W1214">
        <f>IF(AND(ISNUMBER('자료_거시'!$G1196),ISNUMBER('자료_거시'!$H1196)),'자료_거시'!$H1196,"")</f>
        <v/>
      </c>
      <c r="X1214">
        <f>IF(ISNUMBER(W1214),'자료_거시'!$G1196,"")</f>
        <v/>
      </c>
      <c r="Y1214">
        <f>IF(ISNUMBER(X1214),IF(X1214&gt;$L$7,W1214,""),"")</f>
        <v/>
      </c>
      <c r="Z1214">
        <f>IF(ISNUMBER('자료_거시'!$K1196),'자료_거시'!$K1196,Z1213)</f>
        <v/>
      </c>
      <c r="AA1214">
        <f>IF(AND(ISNUMBER('자료_거시'!$J1196),ISNUMBER('자료_거시'!$K1196)),IFERROR('자료_거시'!$K1196/INDEX($Z$21:$Z$4020,MATCH(EDATE('자료_거시'!$J1196,-'설정'!$B$17),'자료_거시'!$J$3:INDEX('자료_거시'!$J$3:$J$4002,$K$8),1))-1,""),"")</f>
        <v/>
      </c>
      <c r="AB1214">
        <f>IF(ISNUMBER(AA1214),'자료_거시'!$J1196,"")</f>
        <v/>
      </c>
      <c r="AC1214">
        <f>IF(ISNUMBER(AB1214),IF(AB1214&gt;$L$8,AA1214,""),"")</f>
        <v/>
      </c>
    </row>
    <row r="1215">
      <c r="S1215">
        <f>IF(ISNUMBER('자료_거시'!$E1197),'자료_거시'!$E1197,S1214)</f>
        <v/>
      </c>
      <c r="T1215">
        <f>IF(AND(ISNUMBER('자료_거시'!$D1197),ISNUMBER('자료_거시'!$E1197)),IFERROR('자료_거시'!$E1197-INDEX($S$21:$S$4020,MATCH(EDATE('자료_거시'!$D1197,-'설정'!$B$17),'자료_거시'!$D$3:INDEX('자료_거시'!$D$3:$D$4002,$K$6),1)),""),"")</f>
        <v/>
      </c>
      <c r="U1215">
        <f>IF(ISNUMBER(T1215),'자료_거시'!$D1197,"")</f>
        <v/>
      </c>
      <c r="V1215">
        <f>IF(ISNUMBER(U1215),IF(U1215&gt;$L$6,T1215,""),"")</f>
        <v/>
      </c>
      <c r="W1215">
        <f>IF(AND(ISNUMBER('자료_거시'!$G1197),ISNUMBER('자료_거시'!$H1197)),'자료_거시'!$H1197,"")</f>
        <v/>
      </c>
      <c r="X1215">
        <f>IF(ISNUMBER(W1215),'자료_거시'!$G1197,"")</f>
        <v/>
      </c>
      <c r="Y1215">
        <f>IF(ISNUMBER(X1215),IF(X1215&gt;$L$7,W1215,""),"")</f>
        <v/>
      </c>
      <c r="Z1215">
        <f>IF(ISNUMBER('자료_거시'!$K1197),'자료_거시'!$K1197,Z1214)</f>
        <v/>
      </c>
      <c r="AA1215">
        <f>IF(AND(ISNUMBER('자료_거시'!$J1197),ISNUMBER('자료_거시'!$K1197)),IFERROR('자료_거시'!$K1197/INDEX($Z$21:$Z$4020,MATCH(EDATE('자료_거시'!$J1197,-'설정'!$B$17),'자료_거시'!$J$3:INDEX('자료_거시'!$J$3:$J$4002,$K$8),1))-1,""),"")</f>
        <v/>
      </c>
      <c r="AB1215">
        <f>IF(ISNUMBER(AA1215),'자료_거시'!$J1197,"")</f>
        <v/>
      </c>
      <c r="AC1215">
        <f>IF(ISNUMBER(AB1215),IF(AB1215&gt;$L$8,AA1215,""),"")</f>
        <v/>
      </c>
    </row>
    <row r="1216">
      <c r="S1216">
        <f>IF(ISNUMBER('자료_거시'!$E1198),'자료_거시'!$E1198,S1215)</f>
        <v/>
      </c>
      <c r="T1216">
        <f>IF(AND(ISNUMBER('자료_거시'!$D1198),ISNUMBER('자료_거시'!$E1198)),IFERROR('자료_거시'!$E1198-INDEX($S$21:$S$4020,MATCH(EDATE('자료_거시'!$D1198,-'설정'!$B$17),'자료_거시'!$D$3:INDEX('자료_거시'!$D$3:$D$4002,$K$6),1)),""),"")</f>
        <v/>
      </c>
      <c r="U1216">
        <f>IF(ISNUMBER(T1216),'자료_거시'!$D1198,"")</f>
        <v/>
      </c>
      <c r="V1216">
        <f>IF(ISNUMBER(U1216),IF(U1216&gt;$L$6,T1216,""),"")</f>
        <v/>
      </c>
      <c r="W1216">
        <f>IF(AND(ISNUMBER('자료_거시'!$G1198),ISNUMBER('자료_거시'!$H1198)),'자료_거시'!$H1198,"")</f>
        <v/>
      </c>
      <c r="X1216">
        <f>IF(ISNUMBER(W1216),'자료_거시'!$G1198,"")</f>
        <v/>
      </c>
      <c r="Y1216">
        <f>IF(ISNUMBER(X1216),IF(X1216&gt;$L$7,W1216,""),"")</f>
        <v/>
      </c>
      <c r="Z1216">
        <f>IF(ISNUMBER('자료_거시'!$K1198),'자료_거시'!$K1198,Z1215)</f>
        <v/>
      </c>
      <c r="AA1216">
        <f>IF(AND(ISNUMBER('자료_거시'!$J1198),ISNUMBER('자료_거시'!$K1198)),IFERROR('자료_거시'!$K1198/INDEX($Z$21:$Z$4020,MATCH(EDATE('자료_거시'!$J1198,-'설정'!$B$17),'자료_거시'!$J$3:INDEX('자료_거시'!$J$3:$J$4002,$K$8),1))-1,""),"")</f>
        <v/>
      </c>
      <c r="AB1216">
        <f>IF(ISNUMBER(AA1216),'자료_거시'!$J1198,"")</f>
        <v/>
      </c>
      <c r="AC1216">
        <f>IF(ISNUMBER(AB1216),IF(AB1216&gt;$L$8,AA1216,""),"")</f>
        <v/>
      </c>
    </row>
    <row r="1217">
      <c r="S1217">
        <f>IF(ISNUMBER('자료_거시'!$E1199),'자료_거시'!$E1199,S1216)</f>
        <v/>
      </c>
      <c r="T1217">
        <f>IF(AND(ISNUMBER('자료_거시'!$D1199),ISNUMBER('자료_거시'!$E1199)),IFERROR('자료_거시'!$E1199-INDEX($S$21:$S$4020,MATCH(EDATE('자료_거시'!$D1199,-'설정'!$B$17),'자료_거시'!$D$3:INDEX('자료_거시'!$D$3:$D$4002,$K$6),1)),""),"")</f>
        <v/>
      </c>
      <c r="U1217">
        <f>IF(ISNUMBER(T1217),'자료_거시'!$D1199,"")</f>
        <v/>
      </c>
      <c r="V1217">
        <f>IF(ISNUMBER(U1217),IF(U1217&gt;$L$6,T1217,""),"")</f>
        <v/>
      </c>
      <c r="W1217">
        <f>IF(AND(ISNUMBER('자료_거시'!$G1199),ISNUMBER('자료_거시'!$H1199)),'자료_거시'!$H1199,"")</f>
        <v/>
      </c>
      <c r="X1217">
        <f>IF(ISNUMBER(W1217),'자료_거시'!$G1199,"")</f>
        <v/>
      </c>
      <c r="Y1217">
        <f>IF(ISNUMBER(X1217),IF(X1217&gt;$L$7,W1217,""),"")</f>
        <v/>
      </c>
      <c r="Z1217">
        <f>IF(ISNUMBER('자료_거시'!$K1199),'자료_거시'!$K1199,Z1216)</f>
        <v/>
      </c>
      <c r="AA1217">
        <f>IF(AND(ISNUMBER('자료_거시'!$J1199),ISNUMBER('자료_거시'!$K1199)),IFERROR('자료_거시'!$K1199/INDEX($Z$21:$Z$4020,MATCH(EDATE('자료_거시'!$J1199,-'설정'!$B$17),'자료_거시'!$J$3:INDEX('자료_거시'!$J$3:$J$4002,$K$8),1))-1,""),"")</f>
        <v/>
      </c>
      <c r="AB1217">
        <f>IF(ISNUMBER(AA1217),'자료_거시'!$J1199,"")</f>
        <v/>
      </c>
      <c r="AC1217">
        <f>IF(ISNUMBER(AB1217),IF(AB1217&gt;$L$8,AA1217,""),"")</f>
        <v/>
      </c>
    </row>
    <row r="1218">
      <c r="S1218">
        <f>IF(ISNUMBER('자료_거시'!$E1200),'자료_거시'!$E1200,S1217)</f>
        <v/>
      </c>
      <c r="T1218">
        <f>IF(AND(ISNUMBER('자료_거시'!$D1200),ISNUMBER('자료_거시'!$E1200)),IFERROR('자료_거시'!$E1200-INDEX($S$21:$S$4020,MATCH(EDATE('자료_거시'!$D1200,-'설정'!$B$17),'자료_거시'!$D$3:INDEX('자료_거시'!$D$3:$D$4002,$K$6),1)),""),"")</f>
        <v/>
      </c>
      <c r="U1218">
        <f>IF(ISNUMBER(T1218),'자료_거시'!$D1200,"")</f>
        <v/>
      </c>
      <c r="V1218">
        <f>IF(ISNUMBER(U1218),IF(U1218&gt;$L$6,T1218,""),"")</f>
        <v/>
      </c>
      <c r="W1218">
        <f>IF(AND(ISNUMBER('자료_거시'!$G1200),ISNUMBER('자료_거시'!$H1200)),'자료_거시'!$H1200,"")</f>
        <v/>
      </c>
      <c r="X1218">
        <f>IF(ISNUMBER(W1218),'자료_거시'!$G1200,"")</f>
        <v/>
      </c>
      <c r="Y1218">
        <f>IF(ISNUMBER(X1218),IF(X1218&gt;$L$7,W1218,""),"")</f>
        <v/>
      </c>
      <c r="Z1218">
        <f>IF(ISNUMBER('자료_거시'!$K1200),'자료_거시'!$K1200,Z1217)</f>
        <v/>
      </c>
      <c r="AA1218">
        <f>IF(AND(ISNUMBER('자료_거시'!$J1200),ISNUMBER('자료_거시'!$K1200)),IFERROR('자료_거시'!$K1200/INDEX($Z$21:$Z$4020,MATCH(EDATE('자료_거시'!$J1200,-'설정'!$B$17),'자료_거시'!$J$3:INDEX('자료_거시'!$J$3:$J$4002,$K$8),1))-1,""),"")</f>
        <v/>
      </c>
      <c r="AB1218">
        <f>IF(ISNUMBER(AA1218),'자료_거시'!$J1200,"")</f>
        <v/>
      </c>
      <c r="AC1218">
        <f>IF(ISNUMBER(AB1218),IF(AB1218&gt;$L$8,AA1218,""),"")</f>
        <v/>
      </c>
    </row>
    <row r="1219">
      <c r="S1219">
        <f>IF(ISNUMBER('자료_거시'!$E1201),'자료_거시'!$E1201,S1218)</f>
        <v/>
      </c>
      <c r="T1219">
        <f>IF(AND(ISNUMBER('자료_거시'!$D1201),ISNUMBER('자료_거시'!$E1201)),IFERROR('자료_거시'!$E1201-INDEX($S$21:$S$4020,MATCH(EDATE('자료_거시'!$D1201,-'설정'!$B$17),'자료_거시'!$D$3:INDEX('자료_거시'!$D$3:$D$4002,$K$6),1)),""),"")</f>
        <v/>
      </c>
      <c r="U1219">
        <f>IF(ISNUMBER(T1219),'자료_거시'!$D1201,"")</f>
        <v/>
      </c>
      <c r="V1219">
        <f>IF(ISNUMBER(U1219),IF(U1219&gt;$L$6,T1219,""),"")</f>
        <v/>
      </c>
      <c r="W1219">
        <f>IF(AND(ISNUMBER('자료_거시'!$G1201),ISNUMBER('자료_거시'!$H1201)),'자료_거시'!$H1201,"")</f>
        <v/>
      </c>
      <c r="X1219">
        <f>IF(ISNUMBER(W1219),'자료_거시'!$G1201,"")</f>
        <v/>
      </c>
      <c r="Y1219">
        <f>IF(ISNUMBER(X1219),IF(X1219&gt;$L$7,W1219,""),"")</f>
        <v/>
      </c>
      <c r="Z1219">
        <f>IF(ISNUMBER('자료_거시'!$K1201),'자료_거시'!$K1201,Z1218)</f>
        <v/>
      </c>
      <c r="AA1219">
        <f>IF(AND(ISNUMBER('자료_거시'!$J1201),ISNUMBER('자료_거시'!$K1201)),IFERROR('자료_거시'!$K1201/INDEX($Z$21:$Z$4020,MATCH(EDATE('자료_거시'!$J1201,-'설정'!$B$17),'자료_거시'!$J$3:INDEX('자료_거시'!$J$3:$J$4002,$K$8),1))-1,""),"")</f>
        <v/>
      </c>
      <c r="AB1219">
        <f>IF(ISNUMBER(AA1219),'자료_거시'!$J1201,"")</f>
        <v/>
      </c>
      <c r="AC1219">
        <f>IF(ISNUMBER(AB1219),IF(AB1219&gt;$L$8,AA1219,""),"")</f>
        <v/>
      </c>
    </row>
    <row r="1220">
      <c r="S1220">
        <f>IF(ISNUMBER('자료_거시'!$E1202),'자료_거시'!$E1202,S1219)</f>
        <v/>
      </c>
      <c r="T1220">
        <f>IF(AND(ISNUMBER('자료_거시'!$D1202),ISNUMBER('자료_거시'!$E1202)),IFERROR('자료_거시'!$E1202-INDEX($S$21:$S$4020,MATCH(EDATE('자료_거시'!$D1202,-'설정'!$B$17),'자료_거시'!$D$3:INDEX('자료_거시'!$D$3:$D$4002,$K$6),1)),""),"")</f>
        <v/>
      </c>
      <c r="U1220">
        <f>IF(ISNUMBER(T1220),'자료_거시'!$D1202,"")</f>
        <v/>
      </c>
      <c r="V1220">
        <f>IF(ISNUMBER(U1220),IF(U1220&gt;$L$6,T1220,""),"")</f>
        <v/>
      </c>
      <c r="W1220">
        <f>IF(AND(ISNUMBER('자료_거시'!$G1202),ISNUMBER('자료_거시'!$H1202)),'자료_거시'!$H1202,"")</f>
        <v/>
      </c>
      <c r="X1220">
        <f>IF(ISNUMBER(W1220),'자료_거시'!$G1202,"")</f>
        <v/>
      </c>
      <c r="Y1220">
        <f>IF(ISNUMBER(X1220),IF(X1220&gt;$L$7,W1220,""),"")</f>
        <v/>
      </c>
      <c r="Z1220">
        <f>IF(ISNUMBER('자료_거시'!$K1202),'자료_거시'!$K1202,Z1219)</f>
        <v/>
      </c>
      <c r="AA1220">
        <f>IF(AND(ISNUMBER('자료_거시'!$J1202),ISNUMBER('자료_거시'!$K1202)),IFERROR('자료_거시'!$K1202/INDEX($Z$21:$Z$4020,MATCH(EDATE('자료_거시'!$J1202,-'설정'!$B$17),'자료_거시'!$J$3:INDEX('자료_거시'!$J$3:$J$4002,$K$8),1))-1,""),"")</f>
        <v/>
      </c>
      <c r="AB1220">
        <f>IF(ISNUMBER(AA1220),'자료_거시'!$J1202,"")</f>
        <v/>
      </c>
      <c r="AC1220">
        <f>IF(ISNUMBER(AB1220),IF(AB1220&gt;$L$8,AA1220,""),"")</f>
        <v/>
      </c>
    </row>
    <row r="1221">
      <c r="S1221">
        <f>IF(ISNUMBER('자료_거시'!$E1203),'자료_거시'!$E1203,S1220)</f>
        <v/>
      </c>
      <c r="T1221">
        <f>IF(AND(ISNUMBER('자료_거시'!$D1203),ISNUMBER('자료_거시'!$E1203)),IFERROR('자료_거시'!$E1203-INDEX($S$21:$S$4020,MATCH(EDATE('자료_거시'!$D1203,-'설정'!$B$17),'자료_거시'!$D$3:INDEX('자료_거시'!$D$3:$D$4002,$K$6),1)),""),"")</f>
        <v/>
      </c>
      <c r="U1221">
        <f>IF(ISNUMBER(T1221),'자료_거시'!$D1203,"")</f>
        <v/>
      </c>
      <c r="V1221">
        <f>IF(ISNUMBER(U1221),IF(U1221&gt;$L$6,T1221,""),"")</f>
        <v/>
      </c>
      <c r="W1221">
        <f>IF(AND(ISNUMBER('자료_거시'!$G1203),ISNUMBER('자료_거시'!$H1203)),'자료_거시'!$H1203,"")</f>
        <v/>
      </c>
      <c r="X1221">
        <f>IF(ISNUMBER(W1221),'자료_거시'!$G1203,"")</f>
        <v/>
      </c>
      <c r="Y1221">
        <f>IF(ISNUMBER(X1221),IF(X1221&gt;$L$7,W1221,""),"")</f>
        <v/>
      </c>
      <c r="Z1221">
        <f>IF(ISNUMBER('자료_거시'!$K1203),'자료_거시'!$K1203,Z1220)</f>
        <v/>
      </c>
      <c r="AA1221">
        <f>IF(AND(ISNUMBER('자료_거시'!$J1203),ISNUMBER('자료_거시'!$K1203)),IFERROR('자료_거시'!$K1203/INDEX($Z$21:$Z$4020,MATCH(EDATE('자료_거시'!$J1203,-'설정'!$B$17),'자료_거시'!$J$3:INDEX('자료_거시'!$J$3:$J$4002,$K$8),1))-1,""),"")</f>
        <v/>
      </c>
      <c r="AB1221">
        <f>IF(ISNUMBER(AA1221),'자료_거시'!$J1203,"")</f>
        <v/>
      </c>
      <c r="AC1221">
        <f>IF(ISNUMBER(AB1221),IF(AB1221&gt;$L$8,AA1221,""),"")</f>
        <v/>
      </c>
    </row>
    <row r="1222">
      <c r="S1222">
        <f>IF(ISNUMBER('자료_거시'!$E1204),'자료_거시'!$E1204,S1221)</f>
        <v/>
      </c>
      <c r="T1222">
        <f>IF(AND(ISNUMBER('자료_거시'!$D1204),ISNUMBER('자료_거시'!$E1204)),IFERROR('자료_거시'!$E1204-INDEX($S$21:$S$4020,MATCH(EDATE('자료_거시'!$D1204,-'설정'!$B$17),'자료_거시'!$D$3:INDEX('자료_거시'!$D$3:$D$4002,$K$6),1)),""),"")</f>
        <v/>
      </c>
      <c r="U1222">
        <f>IF(ISNUMBER(T1222),'자료_거시'!$D1204,"")</f>
        <v/>
      </c>
      <c r="V1222">
        <f>IF(ISNUMBER(U1222),IF(U1222&gt;$L$6,T1222,""),"")</f>
        <v/>
      </c>
      <c r="W1222">
        <f>IF(AND(ISNUMBER('자료_거시'!$G1204),ISNUMBER('자료_거시'!$H1204)),'자료_거시'!$H1204,"")</f>
        <v/>
      </c>
      <c r="X1222">
        <f>IF(ISNUMBER(W1222),'자료_거시'!$G1204,"")</f>
        <v/>
      </c>
      <c r="Y1222">
        <f>IF(ISNUMBER(X1222),IF(X1222&gt;$L$7,W1222,""),"")</f>
        <v/>
      </c>
      <c r="Z1222">
        <f>IF(ISNUMBER('자료_거시'!$K1204),'자료_거시'!$K1204,Z1221)</f>
        <v/>
      </c>
      <c r="AA1222">
        <f>IF(AND(ISNUMBER('자료_거시'!$J1204),ISNUMBER('자료_거시'!$K1204)),IFERROR('자료_거시'!$K1204/INDEX($Z$21:$Z$4020,MATCH(EDATE('자료_거시'!$J1204,-'설정'!$B$17),'자료_거시'!$J$3:INDEX('자료_거시'!$J$3:$J$4002,$K$8),1))-1,""),"")</f>
        <v/>
      </c>
      <c r="AB1222">
        <f>IF(ISNUMBER(AA1222),'자료_거시'!$J1204,"")</f>
        <v/>
      </c>
      <c r="AC1222">
        <f>IF(ISNUMBER(AB1222),IF(AB1222&gt;$L$8,AA1222,""),"")</f>
        <v/>
      </c>
    </row>
    <row r="1223">
      <c r="S1223">
        <f>IF(ISNUMBER('자료_거시'!$E1205),'자료_거시'!$E1205,S1222)</f>
        <v/>
      </c>
      <c r="T1223">
        <f>IF(AND(ISNUMBER('자료_거시'!$D1205),ISNUMBER('자료_거시'!$E1205)),IFERROR('자료_거시'!$E1205-INDEX($S$21:$S$4020,MATCH(EDATE('자료_거시'!$D1205,-'설정'!$B$17),'자료_거시'!$D$3:INDEX('자료_거시'!$D$3:$D$4002,$K$6),1)),""),"")</f>
        <v/>
      </c>
      <c r="U1223">
        <f>IF(ISNUMBER(T1223),'자료_거시'!$D1205,"")</f>
        <v/>
      </c>
      <c r="V1223">
        <f>IF(ISNUMBER(U1223),IF(U1223&gt;$L$6,T1223,""),"")</f>
        <v/>
      </c>
      <c r="W1223">
        <f>IF(AND(ISNUMBER('자료_거시'!$G1205),ISNUMBER('자료_거시'!$H1205)),'자료_거시'!$H1205,"")</f>
        <v/>
      </c>
      <c r="X1223">
        <f>IF(ISNUMBER(W1223),'자료_거시'!$G1205,"")</f>
        <v/>
      </c>
      <c r="Y1223">
        <f>IF(ISNUMBER(X1223),IF(X1223&gt;$L$7,W1223,""),"")</f>
        <v/>
      </c>
      <c r="Z1223">
        <f>IF(ISNUMBER('자료_거시'!$K1205),'자료_거시'!$K1205,Z1222)</f>
        <v/>
      </c>
      <c r="AA1223">
        <f>IF(AND(ISNUMBER('자료_거시'!$J1205),ISNUMBER('자료_거시'!$K1205)),IFERROR('자료_거시'!$K1205/INDEX($Z$21:$Z$4020,MATCH(EDATE('자료_거시'!$J1205,-'설정'!$B$17),'자료_거시'!$J$3:INDEX('자료_거시'!$J$3:$J$4002,$K$8),1))-1,""),"")</f>
        <v/>
      </c>
      <c r="AB1223">
        <f>IF(ISNUMBER(AA1223),'자료_거시'!$J1205,"")</f>
        <v/>
      </c>
      <c r="AC1223">
        <f>IF(ISNUMBER(AB1223),IF(AB1223&gt;$L$8,AA1223,""),"")</f>
        <v/>
      </c>
    </row>
    <row r="1224">
      <c r="S1224">
        <f>IF(ISNUMBER('자료_거시'!$E1206),'자료_거시'!$E1206,S1223)</f>
        <v/>
      </c>
      <c r="T1224">
        <f>IF(AND(ISNUMBER('자료_거시'!$D1206),ISNUMBER('자료_거시'!$E1206)),IFERROR('자료_거시'!$E1206-INDEX($S$21:$S$4020,MATCH(EDATE('자료_거시'!$D1206,-'설정'!$B$17),'자료_거시'!$D$3:INDEX('자료_거시'!$D$3:$D$4002,$K$6),1)),""),"")</f>
        <v/>
      </c>
      <c r="U1224">
        <f>IF(ISNUMBER(T1224),'자료_거시'!$D1206,"")</f>
        <v/>
      </c>
      <c r="V1224">
        <f>IF(ISNUMBER(U1224),IF(U1224&gt;$L$6,T1224,""),"")</f>
        <v/>
      </c>
      <c r="W1224">
        <f>IF(AND(ISNUMBER('자료_거시'!$G1206),ISNUMBER('자료_거시'!$H1206)),'자료_거시'!$H1206,"")</f>
        <v/>
      </c>
      <c r="X1224">
        <f>IF(ISNUMBER(W1224),'자료_거시'!$G1206,"")</f>
        <v/>
      </c>
      <c r="Y1224">
        <f>IF(ISNUMBER(X1224),IF(X1224&gt;$L$7,W1224,""),"")</f>
        <v/>
      </c>
      <c r="Z1224">
        <f>IF(ISNUMBER('자료_거시'!$K1206),'자료_거시'!$K1206,Z1223)</f>
        <v/>
      </c>
      <c r="AA1224">
        <f>IF(AND(ISNUMBER('자료_거시'!$J1206),ISNUMBER('자료_거시'!$K1206)),IFERROR('자료_거시'!$K1206/INDEX($Z$21:$Z$4020,MATCH(EDATE('자료_거시'!$J1206,-'설정'!$B$17),'자료_거시'!$J$3:INDEX('자료_거시'!$J$3:$J$4002,$K$8),1))-1,""),"")</f>
        <v/>
      </c>
      <c r="AB1224">
        <f>IF(ISNUMBER(AA1224),'자료_거시'!$J1206,"")</f>
        <v/>
      </c>
      <c r="AC1224">
        <f>IF(ISNUMBER(AB1224),IF(AB1224&gt;$L$8,AA1224,""),"")</f>
        <v/>
      </c>
    </row>
    <row r="1225">
      <c r="S1225">
        <f>IF(ISNUMBER('자료_거시'!$E1207),'자료_거시'!$E1207,S1224)</f>
        <v/>
      </c>
      <c r="T1225">
        <f>IF(AND(ISNUMBER('자료_거시'!$D1207),ISNUMBER('자료_거시'!$E1207)),IFERROR('자료_거시'!$E1207-INDEX($S$21:$S$4020,MATCH(EDATE('자료_거시'!$D1207,-'설정'!$B$17),'자료_거시'!$D$3:INDEX('자료_거시'!$D$3:$D$4002,$K$6),1)),""),"")</f>
        <v/>
      </c>
      <c r="U1225">
        <f>IF(ISNUMBER(T1225),'자료_거시'!$D1207,"")</f>
        <v/>
      </c>
      <c r="V1225">
        <f>IF(ISNUMBER(U1225),IF(U1225&gt;$L$6,T1225,""),"")</f>
        <v/>
      </c>
      <c r="W1225">
        <f>IF(AND(ISNUMBER('자료_거시'!$G1207),ISNUMBER('자료_거시'!$H1207)),'자료_거시'!$H1207,"")</f>
        <v/>
      </c>
      <c r="X1225">
        <f>IF(ISNUMBER(W1225),'자료_거시'!$G1207,"")</f>
        <v/>
      </c>
      <c r="Y1225">
        <f>IF(ISNUMBER(X1225),IF(X1225&gt;$L$7,W1225,""),"")</f>
        <v/>
      </c>
      <c r="Z1225">
        <f>IF(ISNUMBER('자료_거시'!$K1207),'자료_거시'!$K1207,Z1224)</f>
        <v/>
      </c>
      <c r="AA1225">
        <f>IF(AND(ISNUMBER('자료_거시'!$J1207),ISNUMBER('자료_거시'!$K1207)),IFERROR('자료_거시'!$K1207/INDEX($Z$21:$Z$4020,MATCH(EDATE('자료_거시'!$J1207,-'설정'!$B$17),'자료_거시'!$J$3:INDEX('자료_거시'!$J$3:$J$4002,$K$8),1))-1,""),"")</f>
        <v/>
      </c>
      <c r="AB1225">
        <f>IF(ISNUMBER(AA1225),'자료_거시'!$J1207,"")</f>
        <v/>
      </c>
      <c r="AC1225">
        <f>IF(ISNUMBER(AB1225),IF(AB1225&gt;$L$8,AA1225,""),"")</f>
        <v/>
      </c>
    </row>
    <row r="1226">
      <c r="S1226">
        <f>IF(ISNUMBER('자료_거시'!$E1208),'자료_거시'!$E1208,S1225)</f>
        <v/>
      </c>
      <c r="T1226">
        <f>IF(AND(ISNUMBER('자료_거시'!$D1208),ISNUMBER('자료_거시'!$E1208)),IFERROR('자료_거시'!$E1208-INDEX($S$21:$S$4020,MATCH(EDATE('자료_거시'!$D1208,-'설정'!$B$17),'자료_거시'!$D$3:INDEX('자료_거시'!$D$3:$D$4002,$K$6),1)),""),"")</f>
        <v/>
      </c>
      <c r="U1226">
        <f>IF(ISNUMBER(T1226),'자료_거시'!$D1208,"")</f>
        <v/>
      </c>
      <c r="V1226">
        <f>IF(ISNUMBER(U1226),IF(U1226&gt;$L$6,T1226,""),"")</f>
        <v/>
      </c>
      <c r="W1226">
        <f>IF(AND(ISNUMBER('자료_거시'!$G1208),ISNUMBER('자료_거시'!$H1208)),'자료_거시'!$H1208,"")</f>
        <v/>
      </c>
      <c r="X1226">
        <f>IF(ISNUMBER(W1226),'자료_거시'!$G1208,"")</f>
        <v/>
      </c>
      <c r="Y1226">
        <f>IF(ISNUMBER(X1226),IF(X1226&gt;$L$7,W1226,""),"")</f>
        <v/>
      </c>
      <c r="Z1226">
        <f>IF(ISNUMBER('자료_거시'!$K1208),'자료_거시'!$K1208,Z1225)</f>
        <v/>
      </c>
      <c r="AA1226">
        <f>IF(AND(ISNUMBER('자료_거시'!$J1208),ISNUMBER('자료_거시'!$K1208)),IFERROR('자료_거시'!$K1208/INDEX($Z$21:$Z$4020,MATCH(EDATE('자료_거시'!$J1208,-'설정'!$B$17),'자료_거시'!$J$3:INDEX('자료_거시'!$J$3:$J$4002,$K$8),1))-1,""),"")</f>
        <v/>
      </c>
      <c r="AB1226">
        <f>IF(ISNUMBER(AA1226),'자료_거시'!$J1208,"")</f>
        <v/>
      </c>
      <c r="AC1226">
        <f>IF(ISNUMBER(AB1226),IF(AB1226&gt;$L$8,AA1226,""),"")</f>
        <v/>
      </c>
    </row>
    <row r="1227">
      <c r="S1227">
        <f>IF(ISNUMBER('자료_거시'!$E1209),'자료_거시'!$E1209,S1226)</f>
        <v/>
      </c>
      <c r="T1227">
        <f>IF(AND(ISNUMBER('자료_거시'!$D1209),ISNUMBER('자료_거시'!$E1209)),IFERROR('자료_거시'!$E1209-INDEX($S$21:$S$4020,MATCH(EDATE('자료_거시'!$D1209,-'설정'!$B$17),'자료_거시'!$D$3:INDEX('자료_거시'!$D$3:$D$4002,$K$6),1)),""),"")</f>
        <v/>
      </c>
      <c r="U1227">
        <f>IF(ISNUMBER(T1227),'자료_거시'!$D1209,"")</f>
        <v/>
      </c>
      <c r="V1227">
        <f>IF(ISNUMBER(U1227),IF(U1227&gt;$L$6,T1227,""),"")</f>
        <v/>
      </c>
      <c r="W1227">
        <f>IF(AND(ISNUMBER('자료_거시'!$G1209),ISNUMBER('자료_거시'!$H1209)),'자료_거시'!$H1209,"")</f>
        <v/>
      </c>
      <c r="X1227">
        <f>IF(ISNUMBER(W1227),'자료_거시'!$G1209,"")</f>
        <v/>
      </c>
      <c r="Y1227">
        <f>IF(ISNUMBER(X1227),IF(X1227&gt;$L$7,W1227,""),"")</f>
        <v/>
      </c>
      <c r="Z1227">
        <f>IF(ISNUMBER('자료_거시'!$K1209),'자료_거시'!$K1209,Z1226)</f>
        <v/>
      </c>
      <c r="AA1227">
        <f>IF(AND(ISNUMBER('자료_거시'!$J1209),ISNUMBER('자료_거시'!$K1209)),IFERROR('자료_거시'!$K1209/INDEX($Z$21:$Z$4020,MATCH(EDATE('자료_거시'!$J1209,-'설정'!$B$17),'자료_거시'!$J$3:INDEX('자료_거시'!$J$3:$J$4002,$K$8),1))-1,""),"")</f>
        <v/>
      </c>
      <c r="AB1227">
        <f>IF(ISNUMBER(AA1227),'자료_거시'!$J1209,"")</f>
        <v/>
      </c>
      <c r="AC1227">
        <f>IF(ISNUMBER(AB1227),IF(AB1227&gt;$L$8,AA1227,""),"")</f>
        <v/>
      </c>
    </row>
    <row r="1228">
      <c r="S1228">
        <f>IF(ISNUMBER('자료_거시'!$E1210),'자료_거시'!$E1210,S1227)</f>
        <v/>
      </c>
      <c r="T1228">
        <f>IF(AND(ISNUMBER('자료_거시'!$D1210),ISNUMBER('자료_거시'!$E1210)),IFERROR('자료_거시'!$E1210-INDEX($S$21:$S$4020,MATCH(EDATE('자료_거시'!$D1210,-'설정'!$B$17),'자료_거시'!$D$3:INDEX('자료_거시'!$D$3:$D$4002,$K$6),1)),""),"")</f>
        <v/>
      </c>
      <c r="U1228">
        <f>IF(ISNUMBER(T1228),'자료_거시'!$D1210,"")</f>
        <v/>
      </c>
      <c r="V1228">
        <f>IF(ISNUMBER(U1228),IF(U1228&gt;$L$6,T1228,""),"")</f>
        <v/>
      </c>
      <c r="W1228">
        <f>IF(AND(ISNUMBER('자료_거시'!$G1210),ISNUMBER('자료_거시'!$H1210)),'자료_거시'!$H1210,"")</f>
        <v/>
      </c>
      <c r="X1228">
        <f>IF(ISNUMBER(W1228),'자료_거시'!$G1210,"")</f>
        <v/>
      </c>
      <c r="Y1228">
        <f>IF(ISNUMBER(X1228),IF(X1228&gt;$L$7,W1228,""),"")</f>
        <v/>
      </c>
      <c r="Z1228">
        <f>IF(ISNUMBER('자료_거시'!$K1210),'자료_거시'!$K1210,Z1227)</f>
        <v/>
      </c>
      <c r="AA1228">
        <f>IF(AND(ISNUMBER('자료_거시'!$J1210),ISNUMBER('자료_거시'!$K1210)),IFERROR('자료_거시'!$K1210/INDEX($Z$21:$Z$4020,MATCH(EDATE('자료_거시'!$J1210,-'설정'!$B$17),'자료_거시'!$J$3:INDEX('자료_거시'!$J$3:$J$4002,$K$8),1))-1,""),"")</f>
        <v/>
      </c>
      <c r="AB1228">
        <f>IF(ISNUMBER(AA1228),'자료_거시'!$J1210,"")</f>
        <v/>
      </c>
      <c r="AC1228">
        <f>IF(ISNUMBER(AB1228),IF(AB1228&gt;$L$8,AA1228,""),"")</f>
        <v/>
      </c>
    </row>
    <row r="1229">
      <c r="S1229">
        <f>IF(ISNUMBER('자료_거시'!$E1211),'자료_거시'!$E1211,S1228)</f>
        <v/>
      </c>
      <c r="T1229">
        <f>IF(AND(ISNUMBER('자료_거시'!$D1211),ISNUMBER('자료_거시'!$E1211)),IFERROR('자료_거시'!$E1211-INDEX($S$21:$S$4020,MATCH(EDATE('자료_거시'!$D1211,-'설정'!$B$17),'자료_거시'!$D$3:INDEX('자료_거시'!$D$3:$D$4002,$K$6),1)),""),"")</f>
        <v/>
      </c>
      <c r="U1229">
        <f>IF(ISNUMBER(T1229),'자료_거시'!$D1211,"")</f>
        <v/>
      </c>
      <c r="V1229">
        <f>IF(ISNUMBER(U1229),IF(U1229&gt;$L$6,T1229,""),"")</f>
        <v/>
      </c>
      <c r="W1229">
        <f>IF(AND(ISNUMBER('자료_거시'!$G1211),ISNUMBER('자료_거시'!$H1211)),'자료_거시'!$H1211,"")</f>
        <v/>
      </c>
      <c r="X1229">
        <f>IF(ISNUMBER(W1229),'자료_거시'!$G1211,"")</f>
        <v/>
      </c>
      <c r="Y1229">
        <f>IF(ISNUMBER(X1229),IF(X1229&gt;$L$7,W1229,""),"")</f>
        <v/>
      </c>
      <c r="Z1229">
        <f>IF(ISNUMBER('자료_거시'!$K1211),'자료_거시'!$K1211,Z1228)</f>
        <v/>
      </c>
      <c r="AA1229">
        <f>IF(AND(ISNUMBER('자료_거시'!$J1211),ISNUMBER('자료_거시'!$K1211)),IFERROR('자료_거시'!$K1211/INDEX($Z$21:$Z$4020,MATCH(EDATE('자료_거시'!$J1211,-'설정'!$B$17),'자료_거시'!$J$3:INDEX('자료_거시'!$J$3:$J$4002,$K$8),1))-1,""),"")</f>
        <v/>
      </c>
      <c r="AB1229">
        <f>IF(ISNUMBER(AA1229),'자료_거시'!$J1211,"")</f>
        <v/>
      </c>
      <c r="AC1229">
        <f>IF(ISNUMBER(AB1229),IF(AB1229&gt;$L$8,AA1229,""),"")</f>
        <v/>
      </c>
    </row>
    <row r="1230">
      <c r="S1230">
        <f>IF(ISNUMBER('자료_거시'!$E1212),'자료_거시'!$E1212,S1229)</f>
        <v/>
      </c>
      <c r="T1230">
        <f>IF(AND(ISNUMBER('자료_거시'!$D1212),ISNUMBER('자료_거시'!$E1212)),IFERROR('자료_거시'!$E1212-INDEX($S$21:$S$4020,MATCH(EDATE('자료_거시'!$D1212,-'설정'!$B$17),'자료_거시'!$D$3:INDEX('자료_거시'!$D$3:$D$4002,$K$6),1)),""),"")</f>
        <v/>
      </c>
      <c r="U1230">
        <f>IF(ISNUMBER(T1230),'자료_거시'!$D1212,"")</f>
        <v/>
      </c>
      <c r="V1230">
        <f>IF(ISNUMBER(U1230),IF(U1230&gt;$L$6,T1230,""),"")</f>
        <v/>
      </c>
      <c r="W1230">
        <f>IF(AND(ISNUMBER('자료_거시'!$G1212),ISNUMBER('자료_거시'!$H1212)),'자료_거시'!$H1212,"")</f>
        <v/>
      </c>
      <c r="X1230">
        <f>IF(ISNUMBER(W1230),'자료_거시'!$G1212,"")</f>
        <v/>
      </c>
      <c r="Y1230">
        <f>IF(ISNUMBER(X1230),IF(X1230&gt;$L$7,W1230,""),"")</f>
        <v/>
      </c>
      <c r="Z1230">
        <f>IF(ISNUMBER('자료_거시'!$K1212),'자료_거시'!$K1212,Z1229)</f>
        <v/>
      </c>
      <c r="AA1230">
        <f>IF(AND(ISNUMBER('자료_거시'!$J1212),ISNUMBER('자료_거시'!$K1212)),IFERROR('자료_거시'!$K1212/INDEX($Z$21:$Z$4020,MATCH(EDATE('자료_거시'!$J1212,-'설정'!$B$17),'자료_거시'!$J$3:INDEX('자료_거시'!$J$3:$J$4002,$K$8),1))-1,""),"")</f>
        <v/>
      </c>
      <c r="AB1230">
        <f>IF(ISNUMBER(AA1230),'자료_거시'!$J1212,"")</f>
        <v/>
      </c>
      <c r="AC1230">
        <f>IF(ISNUMBER(AB1230),IF(AB1230&gt;$L$8,AA1230,""),"")</f>
        <v/>
      </c>
    </row>
    <row r="1231">
      <c r="S1231">
        <f>IF(ISNUMBER('자료_거시'!$E1213),'자료_거시'!$E1213,S1230)</f>
        <v/>
      </c>
      <c r="T1231">
        <f>IF(AND(ISNUMBER('자료_거시'!$D1213),ISNUMBER('자료_거시'!$E1213)),IFERROR('자료_거시'!$E1213-INDEX($S$21:$S$4020,MATCH(EDATE('자료_거시'!$D1213,-'설정'!$B$17),'자료_거시'!$D$3:INDEX('자료_거시'!$D$3:$D$4002,$K$6),1)),""),"")</f>
        <v/>
      </c>
      <c r="U1231">
        <f>IF(ISNUMBER(T1231),'자료_거시'!$D1213,"")</f>
        <v/>
      </c>
      <c r="V1231">
        <f>IF(ISNUMBER(U1231),IF(U1231&gt;$L$6,T1231,""),"")</f>
        <v/>
      </c>
      <c r="W1231">
        <f>IF(AND(ISNUMBER('자료_거시'!$G1213),ISNUMBER('자료_거시'!$H1213)),'자료_거시'!$H1213,"")</f>
        <v/>
      </c>
      <c r="X1231">
        <f>IF(ISNUMBER(W1231),'자료_거시'!$G1213,"")</f>
        <v/>
      </c>
      <c r="Y1231">
        <f>IF(ISNUMBER(X1231),IF(X1231&gt;$L$7,W1231,""),"")</f>
        <v/>
      </c>
      <c r="Z1231">
        <f>IF(ISNUMBER('자료_거시'!$K1213),'자료_거시'!$K1213,Z1230)</f>
        <v/>
      </c>
      <c r="AA1231">
        <f>IF(AND(ISNUMBER('자료_거시'!$J1213),ISNUMBER('자료_거시'!$K1213)),IFERROR('자료_거시'!$K1213/INDEX($Z$21:$Z$4020,MATCH(EDATE('자료_거시'!$J1213,-'설정'!$B$17),'자료_거시'!$J$3:INDEX('자료_거시'!$J$3:$J$4002,$K$8),1))-1,""),"")</f>
        <v/>
      </c>
      <c r="AB1231">
        <f>IF(ISNUMBER(AA1231),'자료_거시'!$J1213,"")</f>
        <v/>
      </c>
      <c r="AC1231">
        <f>IF(ISNUMBER(AB1231),IF(AB1231&gt;$L$8,AA1231,""),"")</f>
        <v/>
      </c>
    </row>
    <row r="1232">
      <c r="S1232">
        <f>IF(ISNUMBER('자료_거시'!$E1214),'자료_거시'!$E1214,S1231)</f>
        <v/>
      </c>
      <c r="T1232">
        <f>IF(AND(ISNUMBER('자료_거시'!$D1214),ISNUMBER('자료_거시'!$E1214)),IFERROR('자료_거시'!$E1214-INDEX($S$21:$S$4020,MATCH(EDATE('자료_거시'!$D1214,-'설정'!$B$17),'자료_거시'!$D$3:INDEX('자료_거시'!$D$3:$D$4002,$K$6),1)),""),"")</f>
        <v/>
      </c>
      <c r="U1232">
        <f>IF(ISNUMBER(T1232),'자료_거시'!$D1214,"")</f>
        <v/>
      </c>
      <c r="V1232">
        <f>IF(ISNUMBER(U1232),IF(U1232&gt;$L$6,T1232,""),"")</f>
        <v/>
      </c>
      <c r="W1232">
        <f>IF(AND(ISNUMBER('자료_거시'!$G1214),ISNUMBER('자료_거시'!$H1214)),'자료_거시'!$H1214,"")</f>
        <v/>
      </c>
      <c r="X1232">
        <f>IF(ISNUMBER(W1232),'자료_거시'!$G1214,"")</f>
        <v/>
      </c>
      <c r="Y1232">
        <f>IF(ISNUMBER(X1232),IF(X1232&gt;$L$7,W1232,""),"")</f>
        <v/>
      </c>
      <c r="Z1232">
        <f>IF(ISNUMBER('자료_거시'!$K1214),'자료_거시'!$K1214,Z1231)</f>
        <v/>
      </c>
      <c r="AA1232">
        <f>IF(AND(ISNUMBER('자료_거시'!$J1214),ISNUMBER('자료_거시'!$K1214)),IFERROR('자료_거시'!$K1214/INDEX($Z$21:$Z$4020,MATCH(EDATE('자료_거시'!$J1214,-'설정'!$B$17),'자료_거시'!$J$3:INDEX('자료_거시'!$J$3:$J$4002,$K$8),1))-1,""),"")</f>
        <v/>
      </c>
      <c r="AB1232">
        <f>IF(ISNUMBER(AA1232),'자료_거시'!$J1214,"")</f>
        <v/>
      </c>
      <c r="AC1232">
        <f>IF(ISNUMBER(AB1232),IF(AB1232&gt;$L$8,AA1232,""),"")</f>
        <v/>
      </c>
    </row>
    <row r="1233">
      <c r="S1233">
        <f>IF(ISNUMBER('자료_거시'!$E1215),'자료_거시'!$E1215,S1232)</f>
        <v/>
      </c>
      <c r="T1233">
        <f>IF(AND(ISNUMBER('자료_거시'!$D1215),ISNUMBER('자료_거시'!$E1215)),IFERROR('자료_거시'!$E1215-INDEX($S$21:$S$4020,MATCH(EDATE('자료_거시'!$D1215,-'설정'!$B$17),'자료_거시'!$D$3:INDEX('자료_거시'!$D$3:$D$4002,$K$6),1)),""),"")</f>
        <v/>
      </c>
      <c r="U1233">
        <f>IF(ISNUMBER(T1233),'자료_거시'!$D1215,"")</f>
        <v/>
      </c>
      <c r="V1233">
        <f>IF(ISNUMBER(U1233),IF(U1233&gt;$L$6,T1233,""),"")</f>
        <v/>
      </c>
      <c r="W1233">
        <f>IF(AND(ISNUMBER('자료_거시'!$G1215),ISNUMBER('자료_거시'!$H1215)),'자료_거시'!$H1215,"")</f>
        <v/>
      </c>
      <c r="X1233">
        <f>IF(ISNUMBER(W1233),'자료_거시'!$G1215,"")</f>
        <v/>
      </c>
      <c r="Y1233">
        <f>IF(ISNUMBER(X1233),IF(X1233&gt;$L$7,W1233,""),"")</f>
        <v/>
      </c>
      <c r="Z1233">
        <f>IF(ISNUMBER('자료_거시'!$K1215),'자료_거시'!$K1215,Z1232)</f>
        <v/>
      </c>
      <c r="AA1233">
        <f>IF(AND(ISNUMBER('자료_거시'!$J1215),ISNUMBER('자료_거시'!$K1215)),IFERROR('자료_거시'!$K1215/INDEX($Z$21:$Z$4020,MATCH(EDATE('자료_거시'!$J1215,-'설정'!$B$17),'자료_거시'!$J$3:INDEX('자료_거시'!$J$3:$J$4002,$K$8),1))-1,""),"")</f>
        <v/>
      </c>
      <c r="AB1233">
        <f>IF(ISNUMBER(AA1233),'자료_거시'!$J1215,"")</f>
        <v/>
      </c>
      <c r="AC1233">
        <f>IF(ISNUMBER(AB1233),IF(AB1233&gt;$L$8,AA1233,""),"")</f>
        <v/>
      </c>
    </row>
    <row r="1234">
      <c r="S1234">
        <f>IF(ISNUMBER('자료_거시'!$E1216),'자료_거시'!$E1216,S1233)</f>
        <v/>
      </c>
      <c r="T1234">
        <f>IF(AND(ISNUMBER('자료_거시'!$D1216),ISNUMBER('자료_거시'!$E1216)),IFERROR('자료_거시'!$E1216-INDEX($S$21:$S$4020,MATCH(EDATE('자료_거시'!$D1216,-'설정'!$B$17),'자료_거시'!$D$3:INDEX('자료_거시'!$D$3:$D$4002,$K$6),1)),""),"")</f>
        <v/>
      </c>
      <c r="U1234">
        <f>IF(ISNUMBER(T1234),'자료_거시'!$D1216,"")</f>
        <v/>
      </c>
      <c r="V1234">
        <f>IF(ISNUMBER(U1234),IF(U1234&gt;$L$6,T1234,""),"")</f>
        <v/>
      </c>
      <c r="W1234">
        <f>IF(AND(ISNUMBER('자료_거시'!$G1216),ISNUMBER('자료_거시'!$H1216)),'자료_거시'!$H1216,"")</f>
        <v/>
      </c>
      <c r="X1234">
        <f>IF(ISNUMBER(W1234),'자료_거시'!$G1216,"")</f>
        <v/>
      </c>
      <c r="Y1234">
        <f>IF(ISNUMBER(X1234),IF(X1234&gt;$L$7,W1234,""),"")</f>
        <v/>
      </c>
      <c r="Z1234">
        <f>IF(ISNUMBER('자료_거시'!$K1216),'자료_거시'!$K1216,Z1233)</f>
        <v/>
      </c>
      <c r="AA1234">
        <f>IF(AND(ISNUMBER('자료_거시'!$J1216),ISNUMBER('자료_거시'!$K1216)),IFERROR('자료_거시'!$K1216/INDEX($Z$21:$Z$4020,MATCH(EDATE('자료_거시'!$J1216,-'설정'!$B$17),'자료_거시'!$J$3:INDEX('자료_거시'!$J$3:$J$4002,$K$8),1))-1,""),"")</f>
        <v/>
      </c>
      <c r="AB1234">
        <f>IF(ISNUMBER(AA1234),'자료_거시'!$J1216,"")</f>
        <v/>
      </c>
      <c r="AC1234">
        <f>IF(ISNUMBER(AB1234),IF(AB1234&gt;$L$8,AA1234,""),"")</f>
        <v/>
      </c>
    </row>
    <row r="1235">
      <c r="S1235">
        <f>IF(ISNUMBER('자료_거시'!$E1217),'자료_거시'!$E1217,S1234)</f>
        <v/>
      </c>
      <c r="T1235">
        <f>IF(AND(ISNUMBER('자료_거시'!$D1217),ISNUMBER('자료_거시'!$E1217)),IFERROR('자료_거시'!$E1217-INDEX($S$21:$S$4020,MATCH(EDATE('자료_거시'!$D1217,-'설정'!$B$17),'자료_거시'!$D$3:INDEX('자료_거시'!$D$3:$D$4002,$K$6),1)),""),"")</f>
        <v/>
      </c>
      <c r="U1235">
        <f>IF(ISNUMBER(T1235),'자료_거시'!$D1217,"")</f>
        <v/>
      </c>
      <c r="V1235">
        <f>IF(ISNUMBER(U1235),IF(U1235&gt;$L$6,T1235,""),"")</f>
        <v/>
      </c>
      <c r="W1235">
        <f>IF(AND(ISNUMBER('자료_거시'!$G1217),ISNUMBER('자료_거시'!$H1217)),'자료_거시'!$H1217,"")</f>
        <v/>
      </c>
      <c r="X1235">
        <f>IF(ISNUMBER(W1235),'자료_거시'!$G1217,"")</f>
        <v/>
      </c>
      <c r="Y1235">
        <f>IF(ISNUMBER(X1235),IF(X1235&gt;$L$7,W1235,""),"")</f>
        <v/>
      </c>
      <c r="Z1235">
        <f>IF(ISNUMBER('자료_거시'!$K1217),'자료_거시'!$K1217,Z1234)</f>
        <v/>
      </c>
      <c r="AA1235">
        <f>IF(AND(ISNUMBER('자료_거시'!$J1217),ISNUMBER('자료_거시'!$K1217)),IFERROR('자료_거시'!$K1217/INDEX($Z$21:$Z$4020,MATCH(EDATE('자료_거시'!$J1217,-'설정'!$B$17),'자료_거시'!$J$3:INDEX('자료_거시'!$J$3:$J$4002,$K$8),1))-1,""),"")</f>
        <v/>
      </c>
      <c r="AB1235">
        <f>IF(ISNUMBER(AA1235),'자료_거시'!$J1217,"")</f>
        <v/>
      </c>
      <c r="AC1235">
        <f>IF(ISNUMBER(AB1235),IF(AB1235&gt;$L$8,AA1235,""),"")</f>
        <v/>
      </c>
    </row>
    <row r="1236">
      <c r="S1236">
        <f>IF(ISNUMBER('자료_거시'!$E1218),'자료_거시'!$E1218,S1235)</f>
        <v/>
      </c>
      <c r="T1236">
        <f>IF(AND(ISNUMBER('자료_거시'!$D1218),ISNUMBER('자료_거시'!$E1218)),IFERROR('자료_거시'!$E1218-INDEX($S$21:$S$4020,MATCH(EDATE('자료_거시'!$D1218,-'설정'!$B$17),'자료_거시'!$D$3:INDEX('자료_거시'!$D$3:$D$4002,$K$6),1)),""),"")</f>
        <v/>
      </c>
      <c r="U1236">
        <f>IF(ISNUMBER(T1236),'자료_거시'!$D1218,"")</f>
        <v/>
      </c>
      <c r="V1236">
        <f>IF(ISNUMBER(U1236),IF(U1236&gt;$L$6,T1236,""),"")</f>
        <v/>
      </c>
      <c r="W1236">
        <f>IF(AND(ISNUMBER('자료_거시'!$G1218),ISNUMBER('자료_거시'!$H1218)),'자료_거시'!$H1218,"")</f>
        <v/>
      </c>
      <c r="X1236">
        <f>IF(ISNUMBER(W1236),'자료_거시'!$G1218,"")</f>
        <v/>
      </c>
      <c r="Y1236">
        <f>IF(ISNUMBER(X1236),IF(X1236&gt;$L$7,W1236,""),"")</f>
        <v/>
      </c>
      <c r="Z1236">
        <f>IF(ISNUMBER('자료_거시'!$K1218),'자료_거시'!$K1218,Z1235)</f>
        <v/>
      </c>
      <c r="AA1236">
        <f>IF(AND(ISNUMBER('자료_거시'!$J1218),ISNUMBER('자료_거시'!$K1218)),IFERROR('자료_거시'!$K1218/INDEX($Z$21:$Z$4020,MATCH(EDATE('자료_거시'!$J1218,-'설정'!$B$17),'자료_거시'!$J$3:INDEX('자료_거시'!$J$3:$J$4002,$K$8),1))-1,""),"")</f>
        <v/>
      </c>
      <c r="AB1236">
        <f>IF(ISNUMBER(AA1236),'자료_거시'!$J1218,"")</f>
        <v/>
      </c>
      <c r="AC1236">
        <f>IF(ISNUMBER(AB1236),IF(AB1236&gt;$L$8,AA1236,""),"")</f>
        <v/>
      </c>
    </row>
    <row r="1237">
      <c r="S1237">
        <f>IF(ISNUMBER('자료_거시'!$E1219),'자료_거시'!$E1219,S1236)</f>
        <v/>
      </c>
      <c r="T1237">
        <f>IF(AND(ISNUMBER('자료_거시'!$D1219),ISNUMBER('자료_거시'!$E1219)),IFERROR('자료_거시'!$E1219-INDEX($S$21:$S$4020,MATCH(EDATE('자료_거시'!$D1219,-'설정'!$B$17),'자료_거시'!$D$3:INDEX('자료_거시'!$D$3:$D$4002,$K$6),1)),""),"")</f>
        <v/>
      </c>
      <c r="U1237">
        <f>IF(ISNUMBER(T1237),'자료_거시'!$D1219,"")</f>
        <v/>
      </c>
      <c r="V1237">
        <f>IF(ISNUMBER(U1237),IF(U1237&gt;$L$6,T1237,""),"")</f>
        <v/>
      </c>
      <c r="W1237">
        <f>IF(AND(ISNUMBER('자료_거시'!$G1219),ISNUMBER('자료_거시'!$H1219)),'자료_거시'!$H1219,"")</f>
        <v/>
      </c>
      <c r="X1237">
        <f>IF(ISNUMBER(W1237),'자료_거시'!$G1219,"")</f>
        <v/>
      </c>
      <c r="Y1237">
        <f>IF(ISNUMBER(X1237),IF(X1237&gt;$L$7,W1237,""),"")</f>
        <v/>
      </c>
      <c r="Z1237">
        <f>IF(ISNUMBER('자료_거시'!$K1219),'자료_거시'!$K1219,Z1236)</f>
        <v/>
      </c>
      <c r="AA1237">
        <f>IF(AND(ISNUMBER('자료_거시'!$J1219),ISNUMBER('자료_거시'!$K1219)),IFERROR('자료_거시'!$K1219/INDEX($Z$21:$Z$4020,MATCH(EDATE('자료_거시'!$J1219,-'설정'!$B$17),'자료_거시'!$J$3:INDEX('자료_거시'!$J$3:$J$4002,$K$8),1))-1,""),"")</f>
        <v/>
      </c>
      <c r="AB1237">
        <f>IF(ISNUMBER(AA1237),'자료_거시'!$J1219,"")</f>
        <v/>
      </c>
      <c r="AC1237">
        <f>IF(ISNUMBER(AB1237),IF(AB1237&gt;$L$8,AA1237,""),"")</f>
        <v/>
      </c>
    </row>
    <row r="1238">
      <c r="S1238">
        <f>IF(ISNUMBER('자료_거시'!$E1220),'자료_거시'!$E1220,S1237)</f>
        <v/>
      </c>
      <c r="T1238">
        <f>IF(AND(ISNUMBER('자료_거시'!$D1220),ISNUMBER('자료_거시'!$E1220)),IFERROR('자료_거시'!$E1220-INDEX($S$21:$S$4020,MATCH(EDATE('자료_거시'!$D1220,-'설정'!$B$17),'자료_거시'!$D$3:INDEX('자료_거시'!$D$3:$D$4002,$K$6),1)),""),"")</f>
        <v/>
      </c>
      <c r="U1238">
        <f>IF(ISNUMBER(T1238),'자료_거시'!$D1220,"")</f>
        <v/>
      </c>
      <c r="V1238">
        <f>IF(ISNUMBER(U1238),IF(U1238&gt;$L$6,T1238,""),"")</f>
        <v/>
      </c>
      <c r="W1238">
        <f>IF(AND(ISNUMBER('자료_거시'!$G1220),ISNUMBER('자료_거시'!$H1220)),'자료_거시'!$H1220,"")</f>
        <v/>
      </c>
      <c r="X1238">
        <f>IF(ISNUMBER(W1238),'자료_거시'!$G1220,"")</f>
        <v/>
      </c>
      <c r="Y1238">
        <f>IF(ISNUMBER(X1238),IF(X1238&gt;$L$7,W1238,""),"")</f>
        <v/>
      </c>
      <c r="Z1238">
        <f>IF(ISNUMBER('자료_거시'!$K1220),'자료_거시'!$K1220,Z1237)</f>
        <v/>
      </c>
      <c r="AA1238">
        <f>IF(AND(ISNUMBER('자료_거시'!$J1220),ISNUMBER('자료_거시'!$K1220)),IFERROR('자료_거시'!$K1220/INDEX($Z$21:$Z$4020,MATCH(EDATE('자료_거시'!$J1220,-'설정'!$B$17),'자료_거시'!$J$3:INDEX('자료_거시'!$J$3:$J$4002,$K$8),1))-1,""),"")</f>
        <v/>
      </c>
      <c r="AB1238">
        <f>IF(ISNUMBER(AA1238),'자료_거시'!$J1220,"")</f>
        <v/>
      </c>
      <c r="AC1238">
        <f>IF(ISNUMBER(AB1238),IF(AB1238&gt;$L$8,AA1238,""),"")</f>
        <v/>
      </c>
    </row>
    <row r="1239">
      <c r="S1239">
        <f>IF(ISNUMBER('자료_거시'!$E1221),'자료_거시'!$E1221,S1238)</f>
        <v/>
      </c>
      <c r="T1239">
        <f>IF(AND(ISNUMBER('자료_거시'!$D1221),ISNUMBER('자료_거시'!$E1221)),IFERROR('자료_거시'!$E1221-INDEX($S$21:$S$4020,MATCH(EDATE('자료_거시'!$D1221,-'설정'!$B$17),'자료_거시'!$D$3:INDEX('자료_거시'!$D$3:$D$4002,$K$6),1)),""),"")</f>
        <v/>
      </c>
      <c r="U1239">
        <f>IF(ISNUMBER(T1239),'자료_거시'!$D1221,"")</f>
        <v/>
      </c>
      <c r="V1239">
        <f>IF(ISNUMBER(U1239),IF(U1239&gt;$L$6,T1239,""),"")</f>
        <v/>
      </c>
      <c r="W1239">
        <f>IF(AND(ISNUMBER('자료_거시'!$G1221),ISNUMBER('자료_거시'!$H1221)),'자료_거시'!$H1221,"")</f>
        <v/>
      </c>
      <c r="X1239">
        <f>IF(ISNUMBER(W1239),'자료_거시'!$G1221,"")</f>
        <v/>
      </c>
      <c r="Y1239">
        <f>IF(ISNUMBER(X1239),IF(X1239&gt;$L$7,W1239,""),"")</f>
        <v/>
      </c>
      <c r="Z1239">
        <f>IF(ISNUMBER('자료_거시'!$K1221),'자료_거시'!$K1221,Z1238)</f>
        <v/>
      </c>
      <c r="AA1239">
        <f>IF(AND(ISNUMBER('자료_거시'!$J1221),ISNUMBER('자료_거시'!$K1221)),IFERROR('자료_거시'!$K1221/INDEX($Z$21:$Z$4020,MATCH(EDATE('자료_거시'!$J1221,-'설정'!$B$17),'자료_거시'!$J$3:INDEX('자료_거시'!$J$3:$J$4002,$K$8),1))-1,""),"")</f>
        <v/>
      </c>
      <c r="AB1239">
        <f>IF(ISNUMBER(AA1239),'자료_거시'!$J1221,"")</f>
        <v/>
      </c>
      <c r="AC1239">
        <f>IF(ISNUMBER(AB1239),IF(AB1239&gt;$L$8,AA1239,""),"")</f>
        <v/>
      </c>
    </row>
    <row r="1240">
      <c r="S1240">
        <f>IF(ISNUMBER('자료_거시'!$E1222),'자료_거시'!$E1222,S1239)</f>
        <v/>
      </c>
      <c r="T1240">
        <f>IF(AND(ISNUMBER('자료_거시'!$D1222),ISNUMBER('자료_거시'!$E1222)),IFERROR('자료_거시'!$E1222-INDEX($S$21:$S$4020,MATCH(EDATE('자료_거시'!$D1222,-'설정'!$B$17),'자료_거시'!$D$3:INDEX('자료_거시'!$D$3:$D$4002,$K$6),1)),""),"")</f>
        <v/>
      </c>
      <c r="U1240">
        <f>IF(ISNUMBER(T1240),'자료_거시'!$D1222,"")</f>
        <v/>
      </c>
      <c r="V1240">
        <f>IF(ISNUMBER(U1240),IF(U1240&gt;$L$6,T1240,""),"")</f>
        <v/>
      </c>
      <c r="W1240">
        <f>IF(AND(ISNUMBER('자료_거시'!$G1222),ISNUMBER('자료_거시'!$H1222)),'자료_거시'!$H1222,"")</f>
        <v/>
      </c>
      <c r="X1240">
        <f>IF(ISNUMBER(W1240),'자료_거시'!$G1222,"")</f>
        <v/>
      </c>
      <c r="Y1240">
        <f>IF(ISNUMBER(X1240),IF(X1240&gt;$L$7,W1240,""),"")</f>
        <v/>
      </c>
      <c r="Z1240">
        <f>IF(ISNUMBER('자료_거시'!$K1222),'자료_거시'!$K1222,Z1239)</f>
        <v/>
      </c>
      <c r="AA1240">
        <f>IF(AND(ISNUMBER('자료_거시'!$J1222),ISNUMBER('자료_거시'!$K1222)),IFERROR('자료_거시'!$K1222/INDEX($Z$21:$Z$4020,MATCH(EDATE('자료_거시'!$J1222,-'설정'!$B$17),'자료_거시'!$J$3:INDEX('자료_거시'!$J$3:$J$4002,$K$8),1))-1,""),"")</f>
        <v/>
      </c>
      <c r="AB1240">
        <f>IF(ISNUMBER(AA1240),'자료_거시'!$J1222,"")</f>
        <v/>
      </c>
      <c r="AC1240">
        <f>IF(ISNUMBER(AB1240),IF(AB1240&gt;$L$8,AA1240,""),"")</f>
        <v/>
      </c>
    </row>
    <row r="1241">
      <c r="S1241">
        <f>IF(ISNUMBER('자료_거시'!$E1223),'자료_거시'!$E1223,S1240)</f>
        <v/>
      </c>
      <c r="T1241">
        <f>IF(AND(ISNUMBER('자료_거시'!$D1223),ISNUMBER('자료_거시'!$E1223)),IFERROR('자료_거시'!$E1223-INDEX($S$21:$S$4020,MATCH(EDATE('자료_거시'!$D1223,-'설정'!$B$17),'자료_거시'!$D$3:INDEX('자료_거시'!$D$3:$D$4002,$K$6),1)),""),"")</f>
        <v/>
      </c>
      <c r="U1241">
        <f>IF(ISNUMBER(T1241),'자료_거시'!$D1223,"")</f>
        <v/>
      </c>
      <c r="V1241">
        <f>IF(ISNUMBER(U1241),IF(U1241&gt;$L$6,T1241,""),"")</f>
        <v/>
      </c>
      <c r="W1241">
        <f>IF(AND(ISNUMBER('자료_거시'!$G1223),ISNUMBER('자료_거시'!$H1223)),'자료_거시'!$H1223,"")</f>
        <v/>
      </c>
      <c r="X1241">
        <f>IF(ISNUMBER(W1241),'자료_거시'!$G1223,"")</f>
        <v/>
      </c>
      <c r="Y1241">
        <f>IF(ISNUMBER(X1241),IF(X1241&gt;$L$7,W1241,""),"")</f>
        <v/>
      </c>
      <c r="Z1241">
        <f>IF(ISNUMBER('자료_거시'!$K1223),'자료_거시'!$K1223,Z1240)</f>
        <v/>
      </c>
      <c r="AA1241">
        <f>IF(AND(ISNUMBER('자료_거시'!$J1223),ISNUMBER('자료_거시'!$K1223)),IFERROR('자료_거시'!$K1223/INDEX($Z$21:$Z$4020,MATCH(EDATE('자료_거시'!$J1223,-'설정'!$B$17),'자료_거시'!$J$3:INDEX('자료_거시'!$J$3:$J$4002,$K$8),1))-1,""),"")</f>
        <v/>
      </c>
      <c r="AB1241">
        <f>IF(ISNUMBER(AA1241),'자료_거시'!$J1223,"")</f>
        <v/>
      </c>
      <c r="AC1241">
        <f>IF(ISNUMBER(AB1241),IF(AB1241&gt;$L$8,AA1241,""),"")</f>
        <v/>
      </c>
    </row>
    <row r="1242">
      <c r="S1242">
        <f>IF(ISNUMBER('자료_거시'!$E1224),'자료_거시'!$E1224,S1241)</f>
        <v/>
      </c>
      <c r="T1242">
        <f>IF(AND(ISNUMBER('자료_거시'!$D1224),ISNUMBER('자료_거시'!$E1224)),IFERROR('자료_거시'!$E1224-INDEX($S$21:$S$4020,MATCH(EDATE('자료_거시'!$D1224,-'설정'!$B$17),'자료_거시'!$D$3:INDEX('자료_거시'!$D$3:$D$4002,$K$6),1)),""),"")</f>
        <v/>
      </c>
      <c r="U1242">
        <f>IF(ISNUMBER(T1242),'자료_거시'!$D1224,"")</f>
        <v/>
      </c>
      <c r="V1242">
        <f>IF(ISNUMBER(U1242),IF(U1242&gt;$L$6,T1242,""),"")</f>
        <v/>
      </c>
      <c r="W1242">
        <f>IF(AND(ISNUMBER('자료_거시'!$G1224),ISNUMBER('자료_거시'!$H1224)),'자료_거시'!$H1224,"")</f>
        <v/>
      </c>
      <c r="X1242">
        <f>IF(ISNUMBER(W1242),'자료_거시'!$G1224,"")</f>
        <v/>
      </c>
      <c r="Y1242">
        <f>IF(ISNUMBER(X1242),IF(X1242&gt;$L$7,W1242,""),"")</f>
        <v/>
      </c>
      <c r="Z1242">
        <f>IF(ISNUMBER('자료_거시'!$K1224),'자료_거시'!$K1224,Z1241)</f>
        <v/>
      </c>
      <c r="AA1242">
        <f>IF(AND(ISNUMBER('자료_거시'!$J1224),ISNUMBER('자료_거시'!$K1224)),IFERROR('자료_거시'!$K1224/INDEX($Z$21:$Z$4020,MATCH(EDATE('자료_거시'!$J1224,-'설정'!$B$17),'자료_거시'!$J$3:INDEX('자료_거시'!$J$3:$J$4002,$K$8),1))-1,""),"")</f>
        <v/>
      </c>
      <c r="AB1242">
        <f>IF(ISNUMBER(AA1242),'자료_거시'!$J1224,"")</f>
        <v/>
      </c>
      <c r="AC1242">
        <f>IF(ISNUMBER(AB1242),IF(AB1242&gt;$L$8,AA1242,""),"")</f>
        <v/>
      </c>
    </row>
    <row r="1243">
      <c r="S1243">
        <f>IF(ISNUMBER('자료_거시'!$E1225),'자료_거시'!$E1225,S1242)</f>
        <v/>
      </c>
      <c r="T1243">
        <f>IF(AND(ISNUMBER('자료_거시'!$D1225),ISNUMBER('자료_거시'!$E1225)),IFERROR('자료_거시'!$E1225-INDEX($S$21:$S$4020,MATCH(EDATE('자료_거시'!$D1225,-'설정'!$B$17),'자료_거시'!$D$3:INDEX('자료_거시'!$D$3:$D$4002,$K$6),1)),""),"")</f>
        <v/>
      </c>
      <c r="U1243">
        <f>IF(ISNUMBER(T1243),'자료_거시'!$D1225,"")</f>
        <v/>
      </c>
      <c r="V1243">
        <f>IF(ISNUMBER(U1243),IF(U1243&gt;$L$6,T1243,""),"")</f>
        <v/>
      </c>
      <c r="W1243">
        <f>IF(AND(ISNUMBER('자료_거시'!$G1225),ISNUMBER('자료_거시'!$H1225)),'자료_거시'!$H1225,"")</f>
        <v/>
      </c>
      <c r="X1243">
        <f>IF(ISNUMBER(W1243),'자료_거시'!$G1225,"")</f>
        <v/>
      </c>
      <c r="Y1243">
        <f>IF(ISNUMBER(X1243),IF(X1243&gt;$L$7,W1243,""),"")</f>
        <v/>
      </c>
      <c r="Z1243">
        <f>IF(ISNUMBER('자료_거시'!$K1225),'자료_거시'!$K1225,Z1242)</f>
        <v/>
      </c>
      <c r="AA1243">
        <f>IF(AND(ISNUMBER('자료_거시'!$J1225),ISNUMBER('자료_거시'!$K1225)),IFERROR('자료_거시'!$K1225/INDEX($Z$21:$Z$4020,MATCH(EDATE('자료_거시'!$J1225,-'설정'!$B$17),'자료_거시'!$J$3:INDEX('자료_거시'!$J$3:$J$4002,$K$8),1))-1,""),"")</f>
        <v/>
      </c>
      <c r="AB1243">
        <f>IF(ISNUMBER(AA1243),'자료_거시'!$J1225,"")</f>
        <v/>
      </c>
      <c r="AC1243">
        <f>IF(ISNUMBER(AB1243),IF(AB1243&gt;$L$8,AA1243,""),"")</f>
        <v/>
      </c>
    </row>
    <row r="1244">
      <c r="S1244">
        <f>IF(ISNUMBER('자료_거시'!$E1226),'자료_거시'!$E1226,S1243)</f>
        <v/>
      </c>
      <c r="T1244">
        <f>IF(AND(ISNUMBER('자료_거시'!$D1226),ISNUMBER('자료_거시'!$E1226)),IFERROR('자료_거시'!$E1226-INDEX($S$21:$S$4020,MATCH(EDATE('자료_거시'!$D1226,-'설정'!$B$17),'자료_거시'!$D$3:INDEX('자료_거시'!$D$3:$D$4002,$K$6),1)),""),"")</f>
        <v/>
      </c>
      <c r="U1244">
        <f>IF(ISNUMBER(T1244),'자료_거시'!$D1226,"")</f>
        <v/>
      </c>
      <c r="V1244">
        <f>IF(ISNUMBER(U1244),IF(U1244&gt;$L$6,T1244,""),"")</f>
        <v/>
      </c>
      <c r="W1244">
        <f>IF(AND(ISNUMBER('자료_거시'!$G1226),ISNUMBER('자료_거시'!$H1226)),'자료_거시'!$H1226,"")</f>
        <v/>
      </c>
      <c r="X1244">
        <f>IF(ISNUMBER(W1244),'자료_거시'!$G1226,"")</f>
        <v/>
      </c>
      <c r="Y1244">
        <f>IF(ISNUMBER(X1244),IF(X1244&gt;$L$7,W1244,""),"")</f>
        <v/>
      </c>
      <c r="Z1244">
        <f>IF(ISNUMBER('자료_거시'!$K1226),'자료_거시'!$K1226,Z1243)</f>
        <v/>
      </c>
      <c r="AA1244">
        <f>IF(AND(ISNUMBER('자료_거시'!$J1226),ISNUMBER('자료_거시'!$K1226)),IFERROR('자료_거시'!$K1226/INDEX($Z$21:$Z$4020,MATCH(EDATE('자료_거시'!$J1226,-'설정'!$B$17),'자료_거시'!$J$3:INDEX('자료_거시'!$J$3:$J$4002,$K$8),1))-1,""),"")</f>
        <v/>
      </c>
      <c r="AB1244">
        <f>IF(ISNUMBER(AA1244),'자료_거시'!$J1226,"")</f>
        <v/>
      </c>
      <c r="AC1244">
        <f>IF(ISNUMBER(AB1244),IF(AB1244&gt;$L$8,AA1244,""),"")</f>
        <v/>
      </c>
    </row>
    <row r="1245">
      <c r="S1245">
        <f>IF(ISNUMBER('자료_거시'!$E1227),'자료_거시'!$E1227,S1244)</f>
        <v/>
      </c>
      <c r="T1245">
        <f>IF(AND(ISNUMBER('자료_거시'!$D1227),ISNUMBER('자료_거시'!$E1227)),IFERROR('자료_거시'!$E1227-INDEX($S$21:$S$4020,MATCH(EDATE('자료_거시'!$D1227,-'설정'!$B$17),'자료_거시'!$D$3:INDEX('자료_거시'!$D$3:$D$4002,$K$6),1)),""),"")</f>
        <v/>
      </c>
      <c r="U1245">
        <f>IF(ISNUMBER(T1245),'자료_거시'!$D1227,"")</f>
        <v/>
      </c>
      <c r="V1245">
        <f>IF(ISNUMBER(U1245),IF(U1245&gt;$L$6,T1245,""),"")</f>
        <v/>
      </c>
      <c r="W1245">
        <f>IF(AND(ISNUMBER('자료_거시'!$G1227),ISNUMBER('자료_거시'!$H1227)),'자료_거시'!$H1227,"")</f>
        <v/>
      </c>
      <c r="X1245">
        <f>IF(ISNUMBER(W1245),'자료_거시'!$G1227,"")</f>
        <v/>
      </c>
      <c r="Y1245">
        <f>IF(ISNUMBER(X1245),IF(X1245&gt;$L$7,W1245,""),"")</f>
        <v/>
      </c>
      <c r="Z1245">
        <f>IF(ISNUMBER('자료_거시'!$K1227),'자료_거시'!$K1227,Z1244)</f>
        <v/>
      </c>
      <c r="AA1245">
        <f>IF(AND(ISNUMBER('자료_거시'!$J1227),ISNUMBER('자료_거시'!$K1227)),IFERROR('자료_거시'!$K1227/INDEX($Z$21:$Z$4020,MATCH(EDATE('자료_거시'!$J1227,-'설정'!$B$17),'자료_거시'!$J$3:INDEX('자료_거시'!$J$3:$J$4002,$K$8),1))-1,""),"")</f>
        <v/>
      </c>
      <c r="AB1245">
        <f>IF(ISNUMBER(AA1245),'자료_거시'!$J1227,"")</f>
        <v/>
      </c>
      <c r="AC1245">
        <f>IF(ISNUMBER(AB1245),IF(AB1245&gt;$L$8,AA1245,""),"")</f>
        <v/>
      </c>
    </row>
    <row r="1246">
      <c r="S1246">
        <f>IF(ISNUMBER('자료_거시'!$E1228),'자료_거시'!$E1228,S1245)</f>
        <v/>
      </c>
      <c r="T1246">
        <f>IF(AND(ISNUMBER('자료_거시'!$D1228),ISNUMBER('자료_거시'!$E1228)),IFERROR('자료_거시'!$E1228-INDEX($S$21:$S$4020,MATCH(EDATE('자료_거시'!$D1228,-'설정'!$B$17),'자료_거시'!$D$3:INDEX('자료_거시'!$D$3:$D$4002,$K$6),1)),""),"")</f>
        <v/>
      </c>
      <c r="U1246">
        <f>IF(ISNUMBER(T1246),'자료_거시'!$D1228,"")</f>
        <v/>
      </c>
      <c r="V1246">
        <f>IF(ISNUMBER(U1246),IF(U1246&gt;$L$6,T1246,""),"")</f>
        <v/>
      </c>
      <c r="W1246">
        <f>IF(AND(ISNUMBER('자료_거시'!$G1228),ISNUMBER('자료_거시'!$H1228)),'자료_거시'!$H1228,"")</f>
        <v/>
      </c>
      <c r="X1246">
        <f>IF(ISNUMBER(W1246),'자료_거시'!$G1228,"")</f>
        <v/>
      </c>
      <c r="Y1246">
        <f>IF(ISNUMBER(X1246),IF(X1246&gt;$L$7,W1246,""),"")</f>
        <v/>
      </c>
      <c r="Z1246">
        <f>IF(ISNUMBER('자료_거시'!$K1228),'자료_거시'!$K1228,Z1245)</f>
        <v/>
      </c>
      <c r="AA1246">
        <f>IF(AND(ISNUMBER('자료_거시'!$J1228),ISNUMBER('자료_거시'!$K1228)),IFERROR('자료_거시'!$K1228/INDEX($Z$21:$Z$4020,MATCH(EDATE('자료_거시'!$J1228,-'설정'!$B$17),'자료_거시'!$J$3:INDEX('자료_거시'!$J$3:$J$4002,$K$8),1))-1,""),"")</f>
        <v/>
      </c>
      <c r="AB1246">
        <f>IF(ISNUMBER(AA1246),'자료_거시'!$J1228,"")</f>
        <v/>
      </c>
      <c r="AC1246">
        <f>IF(ISNUMBER(AB1246),IF(AB1246&gt;$L$8,AA1246,""),"")</f>
        <v/>
      </c>
    </row>
    <row r="1247">
      <c r="S1247">
        <f>IF(ISNUMBER('자료_거시'!$E1229),'자료_거시'!$E1229,S1246)</f>
        <v/>
      </c>
      <c r="T1247">
        <f>IF(AND(ISNUMBER('자료_거시'!$D1229),ISNUMBER('자료_거시'!$E1229)),IFERROR('자료_거시'!$E1229-INDEX($S$21:$S$4020,MATCH(EDATE('자료_거시'!$D1229,-'설정'!$B$17),'자료_거시'!$D$3:INDEX('자료_거시'!$D$3:$D$4002,$K$6),1)),""),"")</f>
        <v/>
      </c>
      <c r="U1247">
        <f>IF(ISNUMBER(T1247),'자료_거시'!$D1229,"")</f>
        <v/>
      </c>
      <c r="V1247">
        <f>IF(ISNUMBER(U1247),IF(U1247&gt;$L$6,T1247,""),"")</f>
        <v/>
      </c>
      <c r="W1247">
        <f>IF(AND(ISNUMBER('자료_거시'!$G1229),ISNUMBER('자료_거시'!$H1229)),'자료_거시'!$H1229,"")</f>
        <v/>
      </c>
      <c r="X1247">
        <f>IF(ISNUMBER(W1247),'자료_거시'!$G1229,"")</f>
        <v/>
      </c>
      <c r="Y1247">
        <f>IF(ISNUMBER(X1247),IF(X1247&gt;$L$7,W1247,""),"")</f>
        <v/>
      </c>
      <c r="Z1247">
        <f>IF(ISNUMBER('자료_거시'!$K1229),'자료_거시'!$K1229,Z1246)</f>
        <v/>
      </c>
      <c r="AA1247">
        <f>IF(AND(ISNUMBER('자료_거시'!$J1229),ISNUMBER('자료_거시'!$K1229)),IFERROR('자료_거시'!$K1229/INDEX($Z$21:$Z$4020,MATCH(EDATE('자료_거시'!$J1229,-'설정'!$B$17),'자료_거시'!$J$3:INDEX('자료_거시'!$J$3:$J$4002,$K$8),1))-1,""),"")</f>
        <v/>
      </c>
      <c r="AB1247">
        <f>IF(ISNUMBER(AA1247),'자료_거시'!$J1229,"")</f>
        <v/>
      </c>
      <c r="AC1247">
        <f>IF(ISNUMBER(AB1247),IF(AB1247&gt;$L$8,AA1247,""),"")</f>
        <v/>
      </c>
    </row>
    <row r="1248">
      <c r="S1248">
        <f>IF(ISNUMBER('자료_거시'!$E1230),'자료_거시'!$E1230,S1247)</f>
        <v/>
      </c>
      <c r="T1248">
        <f>IF(AND(ISNUMBER('자료_거시'!$D1230),ISNUMBER('자료_거시'!$E1230)),IFERROR('자료_거시'!$E1230-INDEX($S$21:$S$4020,MATCH(EDATE('자료_거시'!$D1230,-'설정'!$B$17),'자료_거시'!$D$3:INDEX('자료_거시'!$D$3:$D$4002,$K$6),1)),""),"")</f>
        <v/>
      </c>
      <c r="U1248">
        <f>IF(ISNUMBER(T1248),'자료_거시'!$D1230,"")</f>
        <v/>
      </c>
      <c r="V1248">
        <f>IF(ISNUMBER(U1248),IF(U1248&gt;$L$6,T1248,""),"")</f>
        <v/>
      </c>
      <c r="W1248">
        <f>IF(AND(ISNUMBER('자료_거시'!$G1230),ISNUMBER('자료_거시'!$H1230)),'자료_거시'!$H1230,"")</f>
        <v/>
      </c>
      <c r="X1248">
        <f>IF(ISNUMBER(W1248),'자료_거시'!$G1230,"")</f>
        <v/>
      </c>
      <c r="Y1248">
        <f>IF(ISNUMBER(X1248),IF(X1248&gt;$L$7,W1248,""),"")</f>
        <v/>
      </c>
      <c r="Z1248">
        <f>IF(ISNUMBER('자료_거시'!$K1230),'자료_거시'!$K1230,Z1247)</f>
        <v/>
      </c>
      <c r="AA1248">
        <f>IF(AND(ISNUMBER('자료_거시'!$J1230),ISNUMBER('자료_거시'!$K1230)),IFERROR('자료_거시'!$K1230/INDEX($Z$21:$Z$4020,MATCH(EDATE('자료_거시'!$J1230,-'설정'!$B$17),'자료_거시'!$J$3:INDEX('자료_거시'!$J$3:$J$4002,$K$8),1))-1,""),"")</f>
        <v/>
      </c>
      <c r="AB1248">
        <f>IF(ISNUMBER(AA1248),'자료_거시'!$J1230,"")</f>
        <v/>
      </c>
      <c r="AC1248">
        <f>IF(ISNUMBER(AB1248),IF(AB1248&gt;$L$8,AA1248,""),"")</f>
        <v/>
      </c>
    </row>
    <row r="1249">
      <c r="S1249">
        <f>IF(ISNUMBER('자료_거시'!$E1231),'자료_거시'!$E1231,S1248)</f>
        <v/>
      </c>
      <c r="T1249">
        <f>IF(AND(ISNUMBER('자료_거시'!$D1231),ISNUMBER('자료_거시'!$E1231)),IFERROR('자료_거시'!$E1231-INDEX($S$21:$S$4020,MATCH(EDATE('자료_거시'!$D1231,-'설정'!$B$17),'자료_거시'!$D$3:INDEX('자료_거시'!$D$3:$D$4002,$K$6),1)),""),"")</f>
        <v/>
      </c>
      <c r="U1249">
        <f>IF(ISNUMBER(T1249),'자료_거시'!$D1231,"")</f>
        <v/>
      </c>
      <c r="V1249">
        <f>IF(ISNUMBER(U1249),IF(U1249&gt;$L$6,T1249,""),"")</f>
        <v/>
      </c>
      <c r="W1249">
        <f>IF(AND(ISNUMBER('자료_거시'!$G1231),ISNUMBER('자료_거시'!$H1231)),'자료_거시'!$H1231,"")</f>
        <v/>
      </c>
      <c r="X1249">
        <f>IF(ISNUMBER(W1249),'자료_거시'!$G1231,"")</f>
        <v/>
      </c>
      <c r="Y1249">
        <f>IF(ISNUMBER(X1249),IF(X1249&gt;$L$7,W1249,""),"")</f>
        <v/>
      </c>
      <c r="Z1249">
        <f>IF(ISNUMBER('자료_거시'!$K1231),'자료_거시'!$K1231,Z1248)</f>
        <v/>
      </c>
      <c r="AA1249">
        <f>IF(AND(ISNUMBER('자료_거시'!$J1231),ISNUMBER('자료_거시'!$K1231)),IFERROR('자료_거시'!$K1231/INDEX($Z$21:$Z$4020,MATCH(EDATE('자료_거시'!$J1231,-'설정'!$B$17),'자료_거시'!$J$3:INDEX('자료_거시'!$J$3:$J$4002,$K$8),1))-1,""),"")</f>
        <v/>
      </c>
      <c r="AB1249">
        <f>IF(ISNUMBER(AA1249),'자료_거시'!$J1231,"")</f>
        <v/>
      </c>
      <c r="AC1249">
        <f>IF(ISNUMBER(AB1249),IF(AB1249&gt;$L$8,AA1249,""),"")</f>
        <v/>
      </c>
    </row>
    <row r="1250">
      <c r="S1250">
        <f>IF(ISNUMBER('자료_거시'!$E1232),'자료_거시'!$E1232,S1249)</f>
        <v/>
      </c>
      <c r="T1250">
        <f>IF(AND(ISNUMBER('자료_거시'!$D1232),ISNUMBER('자료_거시'!$E1232)),IFERROR('자료_거시'!$E1232-INDEX($S$21:$S$4020,MATCH(EDATE('자료_거시'!$D1232,-'설정'!$B$17),'자료_거시'!$D$3:INDEX('자료_거시'!$D$3:$D$4002,$K$6),1)),""),"")</f>
        <v/>
      </c>
      <c r="U1250">
        <f>IF(ISNUMBER(T1250),'자료_거시'!$D1232,"")</f>
        <v/>
      </c>
      <c r="V1250">
        <f>IF(ISNUMBER(U1250),IF(U1250&gt;$L$6,T1250,""),"")</f>
        <v/>
      </c>
      <c r="W1250">
        <f>IF(AND(ISNUMBER('자료_거시'!$G1232),ISNUMBER('자료_거시'!$H1232)),'자료_거시'!$H1232,"")</f>
        <v/>
      </c>
      <c r="X1250">
        <f>IF(ISNUMBER(W1250),'자료_거시'!$G1232,"")</f>
        <v/>
      </c>
      <c r="Y1250">
        <f>IF(ISNUMBER(X1250),IF(X1250&gt;$L$7,W1250,""),"")</f>
        <v/>
      </c>
      <c r="Z1250">
        <f>IF(ISNUMBER('자료_거시'!$K1232),'자료_거시'!$K1232,Z1249)</f>
        <v/>
      </c>
      <c r="AA1250">
        <f>IF(AND(ISNUMBER('자료_거시'!$J1232),ISNUMBER('자료_거시'!$K1232)),IFERROR('자료_거시'!$K1232/INDEX($Z$21:$Z$4020,MATCH(EDATE('자료_거시'!$J1232,-'설정'!$B$17),'자료_거시'!$J$3:INDEX('자료_거시'!$J$3:$J$4002,$K$8),1))-1,""),"")</f>
        <v/>
      </c>
      <c r="AB1250">
        <f>IF(ISNUMBER(AA1250),'자료_거시'!$J1232,"")</f>
        <v/>
      </c>
      <c r="AC1250">
        <f>IF(ISNUMBER(AB1250),IF(AB1250&gt;$L$8,AA1250,""),"")</f>
        <v/>
      </c>
    </row>
    <row r="1251">
      <c r="S1251">
        <f>IF(ISNUMBER('자료_거시'!$E1233),'자료_거시'!$E1233,S1250)</f>
        <v/>
      </c>
      <c r="T1251">
        <f>IF(AND(ISNUMBER('자료_거시'!$D1233),ISNUMBER('자료_거시'!$E1233)),IFERROR('자료_거시'!$E1233-INDEX($S$21:$S$4020,MATCH(EDATE('자료_거시'!$D1233,-'설정'!$B$17),'자료_거시'!$D$3:INDEX('자료_거시'!$D$3:$D$4002,$K$6),1)),""),"")</f>
        <v/>
      </c>
      <c r="U1251">
        <f>IF(ISNUMBER(T1251),'자료_거시'!$D1233,"")</f>
        <v/>
      </c>
      <c r="V1251">
        <f>IF(ISNUMBER(U1251),IF(U1251&gt;$L$6,T1251,""),"")</f>
        <v/>
      </c>
      <c r="W1251">
        <f>IF(AND(ISNUMBER('자료_거시'!$G1233),ISNUMBER('자료_거시'!$H1233)),'자료_거시'!$H1233,"")</f>
        <v/>
      </c>
      <c r="X1251">
        <f>IF(ISNUMBER(W1251),'자료_거시'!$G1233,"")</f>
        <v/>
      </c>
      <c r="Y1251">
        <f>IF(ISNUMBER(X1251),IF(X1251&gt;$L$7,W1251,""),"")</f>
        <v/>
      </c>
      <c r="Z1251">
        <f>IF(ISNUMBER('자료_거시'!$K1233),'자료_거시'!$K1233,Z1250)</f>
        <v/>
      </c>
      <c r="AA1251">
        <f>IF(AND(ISNUMBER('자료_거시'!$J1233),ISNUMBER('자료_거시'!$K1233)),IFERROR('자료_거시'!$K1233/INDEX($Z$21:$Z$4020,MATCH(EDATE('자료_거시'!$J1233,-'설정'!$B$17),'자료_거시'!$J$3:INDEX('자료_거시'!$J$3:$J$4002,$K$8),1))-1,""),"")</f>
        <v/>
      </c>
      <c r="AB1251">
        <f>IF(ISNUMBER(AA1251),'자료_거시'!$J1233,"")</f>
        <v/>
      </c>
      <c r="AC1251">
        <f>IF(ISNUMBER(AB1251),IF(AB1251&gt;$L$8,AA1251,""),"")</f>
        <v/>
      </c>
    </row>
    <row r="1252">
      <c r="S1252">
        <f>IF(ISNUMBER('자료_거시'!$E1234),'자료_거시'!$E1234,S1251)</f>
        <v/>
      </c>
      <c r="T1252">
        <f>IF(AND(ISNUMBER('자료_거시'!$D1234),ISNUMBER('자료_거시'!$E1234)),IFERROR('자료_거시'!$E1234-INDEX($S$21:$S$4020,MATCH(EDATE('자료_거시'!$D1234,-'설정'!$B$17),'자료_거시'!$D$3:INDEX('자료_거시'!$D$3:$D$4002,$K$6),1)),""),"")</f>
        <v/>
      </c>
      <c r="U1252">
        <f>IF(ISNUMBER(T1252),'자료_거시'!$D1234,"")</f>
        <v/>
      </c>
      <c r="V1252">
        <f>IF(ISNUMBER(U1252),IF(U1252&gt;$L$6,T1252,""),"")</f>
        <v/>
      </c>
      <c r="W1252">
        <f>IF(AND(ISNUMBER('자료_거시'!$G1234),ISNUMBER('자료_거시'!$H1234)),'자료_거시'!$H1234,"")</f>
        <v/>
      </c>
      <c r="X1252">
        <f>IF(ISNUMBER(W1252),'자료_거시'!$G1234,"")</f>
        <v/>
      </c>
      <c r="Y1252">
        <f>IF(ISNUMBER(X1252),IF(X1252&gt;$L$7,W1252,""),"")</f>
        <v/>
      </c>
      <c r="Z1252">
        <f>IF(ISNUMBER('자료_거시'!$K1234),'자료_거시'!$K1234,Z1251)</f>
        <v/>
      </c>
      <c r="AA1252">
        <f>IF(AND(ISNUMBER('자료_거시'!$J1234),ISNUMBER('자료_거시'!$K1234)),IFERROR('자료_거시'!$K1234/INDEX($Z$21:$Z$4020,MATCH(EDATE('자료_거시'!$J1234,-'설정'!$B$17),'자료_거시'!$J$3:INDEX('자료_거시'!$J$3:$J$4002,$K$8),1))-1,""),"")</f>
        <v/>
      </c>
      <c r="AB1252">
        <f>IF(ISNUMBER(AA1252),'자료_거시'!$J1234,"")</f>
        <v/>
      </c>
      <c r="AC1252">
        <f>IF(ISNUMBER(AB1252),IF(AB1252&gt;$L$8,AA1252,""),"")</f>
        <v/>
      </c>
    </row>
    <row r="1253">
      <c r="S1253">
        <f>IF(ISNUMBER('자료_거시'!$E1235),'자료_거시'!$E1235,S1252)</f>
        <v/>
      </c>
      <c r="T1253">
        <f>IF(AND(ISNUMBER('자료_거시'!$D1235),ISNUMBER('자료_거시'!$E1235)),IFERROR('자료_거시'!$E1235-INDEX($S$21:$S$4020,MATCH(EDATE('자료_거시'!$D1235,-'설정'!$B$17),'자료_거시'!$D$3:INDEX('자료_거시'!$D$3:$D$4002,$K$6),1)),""),"")</f>
        <v/>
      </c>
      <c r="U1253">
        <f>IF(ISNUMBER(T1253),'자료_거시'!$D1235,"")</f>
        <v/>
      </c>
      <c r="V1253">
        <f>IF(ISNUMBER(U1253),IF(U1253&gt;$L$6,T1253,""),"")</f>
        <v/>
      </c>
      <c r="W1253">
        <f>IF(AND(ISNUMBER('자료_거시'!$G1235),ISNUMBER('자료_거시'!$H1235)),'자료_거시'!$H1235,"")</f>
        <v/>
      </c>
      <c r="X1253">
        <f>IF(ISNUMBER(W1253),'자료_거시'!$G1235,"")</f>
        <v/>
      </c>
      <c r="Y1253">
        <f>IF(ISNUMBER(X1253),IF(X1253&gt;$L$7,W1253,""),"")</f>
        <v/>
      </c>
      <c r="Z1253">
        <f>IF(ISNUMBER('자료_거시'!$K1235),'자료_거시'!$K1235,Z1252)</f>
        <v/>
      </c>
      <c r="AA1253">
        <f>IF(AND(ISNUMBER('자료_거시'!$J1235),ISNUMBER('자료_거시'!$K1235)),IFERROR('자료_거시'!$K1235/INDEX($Z$21:$Z$4020,MATCH(EDATE('자료_거시'!$J1235,-'설정'!$B$17),'자료_거시'!$J$3:INDEX('자료_거시'!$J$3:$J$4002,$K$8),1))-1,""),"")</f>
        <v/>
      </c>
      <c r="AB1253">
        <f>IF(ISNUMBER(AA1253),'자료_거시'!$J1235,"")</f>
        <v/>
      </c>
      <c r="AC1253">
        <f>IF(ISNUMBER(AB1253),IF(AB1253&gt;$L$8,AA1253,""),"")</f>
        <v/>
      </c>
    </row>
    <row r="1254">
      <c r="S1254">
        <f>IF(ISNUMBER('자료_거시'!$E1236),'자료_거시'!$E1236,S1253)</f>
        <v/>
      </c>
      <c r="T1254">
        <f>IF(AND(ISNUMBER('자료_거시'!$D1236),ISNUMBER('자료_거시'!$E1236)),IFERROR('자료_거시'!$E1236-INDEX($S$21:$S$4020,MATCH(EDATE('자료_거시'!$D1236,-'설정'!$B$17),'자료_거시'!$D$3:INDEX('자료_거시'!$D$3:$D$4002,$K$6),1)),""),"")</f>
        <v/>
      </c>
      <c r="U1254">
        <f>IF(ISNUMBER(T1254),'자료_거시'!$D1236,"")</f>
        <v/>
      </c>
      <c r="V1254">
        <f>IF(ISNUMBER(U1254),IF(U1254&gt;$L$6,T1254,""),"")</f>
        <v/>
      </c>
      <c r="W1254">
        <f>IF(AND(ISNUMBER('자료_거시'!$G1236),ISNUMBER('자료_거시'!$H1236)),'자료_거시'!$H1236,"")</f>
        <v/>
      </c>
      <c r="X1254">
        <f>IF(ISNUMBER(W1254),'자료_거시'!$G1236,"")</f>
        <v/>
      </c>
      <c r="Y1254">
        <f>IF(ISNUMBER(X1254),IF(X1254&gt;$L$7,W1254,""),"")</f>
        <v/>
      </c>
      <c r="Z1254">
        <f>IF(ISNUMBER('자료_거시'!$K1236),'자료_거시'!$K1236,Z1253)</f>
        <v/>
      </c>
      <c r="AA1254">
        <f>IF(AND(ISNUMBER('자료_거시'!$J1236),ISNUMBER('자료_거시'!$K1236)),IFERROR('자료_거시'!$K1236/INDEX($Z$21:$Z$4020,MATCH(EDATE('자료_거시'!$J1236,-'설정'!$B$17),'자료_거시'!$J$3:INDEX('자료_거시'!$J$3:$J$4002,$K$8),1))-1,""),"")</f>
        <v/>
      </c>
      <c r="AB1254">
        <f>IF(ISNUMBER(AA1254),'자료_거시'!$J1236,"")</f>
        <v/>
      </c>
      <c r="AC1254">
        <f>IF(ISNUMBER(AB1254),IF(AB1254&gt;$L$8,AA1254,""),"")</f>
        <v/>
      </c>
    </row>
    <row r="1255">
      <c r="S1255">
        <f>IF(ISNUMBER('자료_거시'!$E1237),'자료_거시'!$E1237,S1254)</f>
        <v/>
      </c>
      <c r="T1255">
        <f>IF(AND(ISNUMBER('자료_거시'!$D1237),ISNUMBER('자료_거시'!$E1237)),IFERROR('자료_거시'!$E1237-INDEX($S$21:$S$4020,MATCH(EDATE('자료_거시'!$D1237,-'설정'!$B$17),'자료_거시'!$D$3:INDEX('자료_거시'!$D$3:$D$4002,$K$6),1)),""),"")</f>
        <v/>
      </c>
      <c r="U1255">
        <f>IF(ISNUMBER(T1255),'자료_거시'!$D1237,"")</f>
        <v/>
      </c>
      <c r="V1255">
        <f>IF(ISNUMBER(U1255),IF(U1255&gt;$L$6,T1255,""),"")</f>
        <v/>
      </c>
      <c r="W1255">
        <f>IF(AND(ISNUMBER('자료_거시'!$G1237),ISNUMBER('자료_거시'!$H1237)),'자료_거시'!$H1237,"")</f>
        <v/>
      </c>
      <c r="X1255">
        <f>IF(ISNUMBER(W1255),'자료_거시'!$G1237,"")</f>
        <v/>
      </c>
      <c r="Y1255">
        <f>IF(ISNUMBER(X1255),IF(X1255&gt;$L$7,W1255,""),"")</f>
        <v/>
      </c>
      <c r="Z1255">
        <f>IF(ISNUMBER('자료_거시'!$K1237),'자료_거시'!$K1237,Z1254)</f>
        <v/>
      </c>
      <c r="AA1255">
        <f>IF(AND(ISNUMBER('자료_거시'!$J1237),ISNUMBER('자료_거시'!$K1237)),IFERROR('자료_거시'!$K1237/INDEX($Z$21:$Z$4020,MATCH(EDATE('자료_거시'!$J1237,-'설정'!$B$17),'자료_거시'!$J$3:INDEX('자료_거시'!$J$3:$J$4002,$K$8),1))-1,""),"")</f>
        <v/>
      </c>
      <c r="AB1255">
        <f>IF(ISNUMBER(AA1255),'자료_거시'!$J1237,"")</f>
        <v/>
      </c>
      <c r="AC1255">
        <f>IF(ISNUMBER(AB1255),IF(AB1255&gt;$L$8,AA1255,""),"")</f>
        <v/>
      </c>
    </row>
    <row r="1256">
      <c r="S1256">
        <f>IF(ISNUMBER('자료_거시'!$E1238),'자료_거시'!$E1238,S1255)</f>
        <v/>
      </c>
      <c r="T1256">
        <f>IF(AND(ISNUMBER('자료_거시'!$D1238),ISNUMBER('자료_거시'!$E1238)),IFERROR('자료_거시'!$E1238-INDEX($S$21:$S$4020,MATCH(EDATE('자료_거시'!$D1238,-'설정'!$B$17),'자료_거시'!$D$3:INDEX('자료_거시'!$D$3:$D$4002,$K$6),1)),""),"")</f>
        <v/>
      </c>
      <c r="U1256">
        <f>IF(ISNUMBER(T1256),'자료_거시'!$D1238,"")</f>
        <v/>
      </c>
      <c r="V1256">
        <f>IF(ISNUMBER(U1256),IF(U1256&gt;$L$6,T1256,""),"")</f>
        <v/>
      </c>
      <c r="W1256">
        <f>IF(AND(ISNUMBER('자료_거시'!$G1238),ISNUMBER('자료_거시'!$H1238)),'자료_거시'!$H1238,"")</f>
        <v/>
      </c>
      <c r="X1256">
        <f>IF(ISNUMBER(W1256),'자료_거시'!$G1238,"")</f>
        <v/>
      </c>
      <c r="Y1256">
        <f>IF(ISNUMBER(X1256),IF(X1256&gt;$L$7,W1256,""),"")</f>
        <v/>
      </c>
      <c r="Z1256">
        <f>IF(ISNUMBER('자료_거시'!$K1238),'자료_거시'!$K1238,Z1255)</f>
        <v/>
      </c>
      <c r="AA1256">
        <f>IF(AND(ISNUMBER('자료_거시'!$J1238),ISNUMBER('자료_거시'!$K1238)),IFERROR('자료_거시'!$K1238/INDEX($Z$21:$Z$4020,MATCH(EDATE('자료_거시'!$J1238,-'설정'!$B$17),'자료_거시'!$J$3:INDEX('자료_거시'!$J$3:$J$4002,$K$8),1))-1,""),"")</f>
        <v/>
      </c>
      <c r="AB1256">
        <f>IF(ISNUMBER(AA1256),'자료_거시'!$J1238,"")</f>
        <v/>
      </c>
      <c r="AC1256">
        <f>IF(ISNUMBER(AB1256),IF(AB1256&gt;$L$8,AA1256,""),"")</f>
        <v/>
      </c>
    </row>
    <row r="1257">
      <c r="S1257">
        <f>IF(ISNUMBER('자료_거시'!$E1239),'자료_거시'!$E1239,S1256)</f>
        <v/>
      </c>
      <c r="T1257">
        <f>IF(AND(ISNUMBER('자료_거시'!$D1239),ISNUMBER('자료_거시'!$E1239)),IFERROR('자료_거시'!$E1239-INDEX($S$21:$S$4020,MATCH(EDATE('자료_거시'!$D1239,-'설정'!$B$17),'자료_거시'!$D$3:INDEX('자료_거시'!$D$3:$D$4002,$K$6),1)),""),"")</f>
        <v/>
      </c>
      <c r="U1257">
        <f>IF(ISNUMBER(T1257),'자료_거시'!$D1239,"")</f>
        <v/>
      </c>
      <c r="V1257">
        <f>IF(ISNUMBER(U1257),IF(U1257&gt;$L$6,T1257,""),"")</f>
        <v/>
      </c>
      <c r="W1257">
        <f>IF(AND(ISNUMBER('자료_거시'!$G1239),ISNUMBER('자료_거시'!$H1239)),'자료_거시'!$H1239,"")</f>
        <v/>
      </c>
      <c r="X1257">
        <f>IF(ISNUMBER(W1257),'자료_거시'!$G1239,"")</f>
        <v/>
      </c>
      <c r="Y1257">
        <f>IF(ISNUMBER(X1257),IF(X1257&gt;$L$7,W1257,""),"")</f>
        <v/>
      </c>
      <c r="Z1257">
        <f>IF(ISNUMBER('자료_거시'!$K1239),'자료_거시'!$K1239,Z1256)</f>
        <v/>
      </c>
      <c r="AA1257">
        <f>IF(AND(ISNUMBER('자료_거시'!$J1239),ISNUMBER('자료_거시'!$K1239)),IFERROR('자료_거시'!$K1239/INDEX($Z$21:$Z$4020,MATCH(EDATE('자료_거시'!$J1239,-'설정'!$B$17),'자료_거시'!$J$3:INDEX('자료_거시'!$J$3:$J$4002,$K$8),1))-1,""),"")</f>
        <v/>
      </c>
      <c r="AB1257">
        <f>IF(ISNUMBER(AA1257),'자료_거시'!$J1239,"")</f>
        <v/>
      </c>
      <c r="AC1257">
        <f>IF(ISNUMBER(AB1257),IF(AB1257&gt;$L$8,AA1257,""),"")</f>
        <v/>
      </c>
    </row>
    <row r="1258">
      <c r="S1258">
        <f>IF(ISNUMBER('자료_거시'!$E1240),'자료_거시'!$E1240,S1257)</f>
        <v/>
      </c>
      <c r="T1258">
        <f>IF(AND(ISNUMBER('자료_거시'!$D1240),ISNUMBER('자료_거시'!$E1240)),IFERROR('자료_거시'!$E1240-INDEX($S$21:$S$4020,MATCH(EDATE('자료_거시'!$D1240,-'설정'!$B$17),'자료_거시'!$D$3:INDEX('자료_거시'!$D$3:$D$4002,$K$6),1)),""),"")</f>
        <v/>
      </c>
      <c r="U1258">
        <f>IF(ISNUMBER(T1258),'자료_거시'!$D1240,"")</f>
        <v/>
      </c>
      <c r="V1258">
        <f>IF(ISNUMBER(U1258),IF(U1258&gt;$L$6,T1258,""),"")</f>
        <v/>
      </c>
      <c r="W1258">
        <f>IF(AND(ISNUMBER('자료_거시'!$G1240),ISNUMBER('자료_거시'!$H1240)),'자료_거시'!$H1240,"")</f>
        <v/>
      </c>
      <c r="X1258">
        <f>IF(ISNUMBER(W1258),'자료_거시'!$G1240,"")</f>
        <v/>
      </c>
      <c r="Y1258">
        <f>IF(ISNUMBER(X1258),IF(X1258&gt;$L$7,W1258,""),"")</f>
        <v/>
      </c>
      <c r="Z1258">
        <f>IF(ISNUMBER('자료_거시'!$K1240),'자료_거시'!$K1240,Z1257)</f>
        <v/>
      </c>
      <c r="AA1258">
        <f>IF(AND(ISNUMBER('자료_거시'!$J1240),ISNUMBER('자료_거시'!$K1240)),IFERROR('자료_거시'!$K1240/INDEX($Z$21:$Z$4020,MATCH(EDATE('자료_거시'!$J1240,-'설정'!$B$17),'자료_거시'!$J$3:INDEX('자료_거시'!$J$3:$J$4002,$K$8),1))-1,""),"")</f>
        <v/>
      </c>
      <c r="AB1258">
        <f>IF(ISNUMBER(AA1258),'자료_거시'!$J1240,"")</f>
        <v/>
      </c>
      <c r="AC1258">
        <f>IF(ISNUMBER(AB1258),IF(AB1258&gt;$L$8,AA1258,""),"")</f>
        <v/>
      </c>
    </row>
    <row r="1259">
      <c r="S1259">
        <f>IF(ISNUMBER('자료_거시'!$E1241),'자료_거시'!$E1241,S1258)</f>
        <v/>
      </c>
      <c r="T1259">
        <f>IF(AND(ISNUMBER('자료_거시'!$D1241),ISNUMBER('자료_거시'!$E1241)),IFERROR('자료_거시'!$E1241-INDEX($S$21:$S$4020,MATCH(EDATE('자료_거시'!$D1241,-'설정'!$B$17),'자료_거시'!$D$3:INDEX('자료_거시'!$D$3:$D$4002,$K$6),1)),""),"")</f>
        <v/>
      </c>
      <c r="U1259">
        <f>IF(ISNUMBER(T1259),'자료_거시'!$D1241,"")</f>
        <v/>
      </c>
      <c r="V1259">
        <f>IF(ISNUMBER(U1259),IF(U1259&gt;$L$6,T1259,""),"")</f>
        <v/>
      </c>
      <c r="W1259">
        <f>IF(AND(ISNUMBER('자료_거시'!$G1241),ISNUMBER('자료_거시'!$H1241)),'자료_거시'!$H1241,"")</f>
        <v/>
      </c>
      <c r="X1259">
        <f>IF(ISNUMBER(W1259),'자료_거시'!$G1241,"")</f>
        <v/>
      </c>
      <c r="Y1259">
        <f>IF(ISNUMBER(X1259),IF(X1259&gt;$L$7,W1259,""),"")</f>
        <v/>
      </c>
      <c r="Z1259">
        <f>IF(ISNUMBER('자료_거시'!$K1241),'자료_거시'!$K1241,Z1258)</f>
        <v/>
      </c>
      <c r="AA1259">
        <f>IF(AND(ISNUMBER('자료_거시'!$J1241),ISNUMBER('자료_거시'!$K1241)),IFERROR('자료_거시'!$K1241/INDEX($Z$21:$Z$4020,MATCH(EDATE('자료_거시'!$J1241,-'설정'!$B$17),'자료_거시'!$J$3:INDEX('자료_거시'!$J$3:$J$4002,$K$8),1))-1,""),"")</f>
        <v/>
      </c>
      <c r="AB1259">
        <f>IF(ISNUMBER(AA1259),'자료_거시'!$J1241,"")</f>
        <v/>
      </c>
      <c r="AC1259">
        <f>IF(ISNUMBER(AB1259),IF(AB1259&gt;$L$8,AA1259,""),"")</f>
        <v/>
      </c>
    </row>
    <row r="1260">
      <c r="S1260">
        <f>IF(ISNUMBER('자료_거시'!$E1242),'자료_거시'!$E1242,S1259)</f>
        <v/>
      </c>
      <c r="T1260">
        <f>IF(AND(ISNUMBER('자료_거시'!$D1242),ISNUMBER('자료_거시'!$E1242)),IFERROR('자료_거시'!$E1242-INDEX($S$21:$S$4020,MATCH(EDATE('자료_거시'!$D1242,-'설정'!$B$17),'자료_거시'!$D$3:INDEX('자료_거시'!$D$3:$D$4002,$K$6),1)),""),"")</f>
        <v/>
      </c>
      <c r="U1260">
        <f>IF(ISNUMBER(T1260),'자료_거시'!$D1242,"")</f>
        <v/>
      </c>
      <c r="V1260">
        <f>IF(ISNUMBER(U1260),IF(U1260&gt;$L$6,T1260,""),"")</f>
        <v/>
      </c>
      <c r="W1260">
        <f>IF(AND(ISNUMBER('자료_거시'!$G1242),ISNUMBER('자료_거시'!$H1242)),'자료_거시'!$H1242,"")</f>
        <v/>
      </c>
      <c r="X1260">
        <f>IF(ISNUMBER(W1260),'자료_거시'!$G1242,"")</f>
        <v/>
      </c>
      <c r="Y1260">
        <f>IF(ISNUMBER(X1260),IF(X1260&gt;$L$7,W1260,""),"")</f>
        <v/>
      </c>
      <c r="Z1260">
        <f>IF(ISNUMBER('자료_거시'!$K1242),'자료_거시'!$K1242,Z1259)</f>
        <v/>
      </c>
      <c r="AA1260">
        <f>IF(AND(ISNUMBER('자료_거시'!$J1242),ISNUMBER('자료_거시'!$K1242)),IFERROR('자료_거시'!$K1242/INDEX($Z$21:$Z$4020,MATCH(EDATE('자료_거시'!$J1242,-'설정'!$B$17),'자료_거시'!$J$3:INDEX('자료_거시'!$J$3:$J$4002,$K$8),1))-1,""),"")</f>
        <v/>
      </c>
      <c r="AB1260">
        <f>IF(ISNUMBER(AA1260),'자료_거시'!$J1242,"")</f>
        <v/>
      </c>
      <c r="AC1260">
        <f>IF(ISNUMBER(AB1260),IF(AB1260&gt;$L$8,AA1260,""),"")</f>
        <v/>
      </c>
    </row>
    <row r="1261">
      <c r="S1261">
        <f>IF(ISNUMBER('자료_거시'!$E1243),'자료_거시'!$E1243,S1260)</f>
        <v/>
      </c>
      <c r="T1261">
        <f>IF(AND(ISNUMBER('자료_거시'!$D1243),ISNUMBER('자료_거시'!$E1243)),IFERROR('자료_거시'!$E1243-INDEX($S$21:$S$4020,MATCH(EDATE('자료_거시'!$D1243,-'설정'!$B$17),'자료_거시'!$D$3:INDEX('자료_거시'!$D$3:$D$4002,$K$6),1)),""),"")</f>
        <v/>
      </c>
      <c r="U1261">
        <f>IF(ISNUMBER(T1261),'자료_거시'!$D1243,"")</f>
        <v/>
      </c>
      <c r="V1261">
        <f>IF(ISNUMBER(U1261),IF(U1261&gt;$L$6,T1261,""),"")</f>
        <v/>
      </c>
      <c r="W1261">
        <f>IF(AND(ISNUMBER('자료_거시'!$G1243),ISNUMBER('자료_거시'!$H1243)),'자료_거시'!$H1243,"")</f>
        <v/>
      </c>
      <c r="X1261">
        <f>IF(ISNUMBER(W1261),'자료_거시'!$G1243,"")</f>
        <v/>
      </c>
      <c r="Y1261">
        <f>IF(ISNUMBER(X1261),IF(X1261&gt;$L$7,W1261,""),"")</f>
        <v/>
      </c>
      <c r="Z1261">
        <f>IF(ISNUMBER('자료_거시'!$K1243),'자료_거시'!$K1243,Z1260)</f>
        <v/>
      </c>
      <c r="AA1261">
        <f>IF(AND(ISNUMBER('자료_거시'!$J1243),ISNUMBER('자료_거시'!$K1243)),IFERROR('자료_거시'!$K1243/INDEX($Z$21:$Z$4020,MATCH(EDATE('자료_거시'!$J1243,-'설정'!$B$17),'자료_거시'!$J$3:INDEX('자료_거시'!$J$3:$J$4002,$K$8),1))-1,""),"")</f>
        <v/>
      </c>
      <c r="AB1261">
        <f>IF(ISNUMBER(AA1261),'자료_거시'!$J1243,"")</f>
        <v/>
      </c>
      <c r="AC1261">
        <f>IF(ISNUMBER(AB1261),IF(AB1261&gt;$L$8,AA1261,""),"")</f>
        <v/>
      </c>
    </row>
    <row r="1262">
      <c r="S1262">
        <f>IF(ISNUMBER('자료_거시'!$E1244),'자료_거시'!$E1244,S1261)</f>
        <v/>
      </c>
      <c r="T1262">
        <f>IF(AND(ISNUMBER('자료_거시'!$D1244),ISNUMBER('자료_거시'!$E1244)),IFERROR('자료_거시'!$E1244-INDEX($S$21:$S$4020,MATCH(EDATE('자료_거시'!$D1244,-'설정'!$B$17),'자료_거시'!$D$3:INDEX('자료_거시'!$D$3:$D$4002,$K$6),1)),""),"")</f>
        <v/>
      </c>
      <c r="U1262">
        <f>IF(ISNUMBER(T1262),'자료_거시'!$D1244,"")</f>
        <v/>
      </c>
      <c r="V1262">
        <f>IF(ISNUMBER(U1262),IF(U1262&gt;$L$6,T1262,""),"")</f>
        <v/>
      </c>
      <c r="W1262">
        <f>IF(AND(ISNUMBER('자료_거시'!$G1244),ISNUMBER('자료_거시'!$H1244)),'자료_거시'!$H1244,"")</f>
        <v/>
      </c>
      <c r="X1262">
        <f>IF(ISNUMBER(W1262),'자료_거시'!$G1244,"")</f>
        <v/>
      </c>
      <c r="Y1262">
        <f>IF(ISNUMBER(X1262),IF(X1262&gt;$L$7,W1262,""),"")</f>
        <v/>
      </c>
      <c r="Z1262">
        <f>IF(ISNUMBER('자료_거시'!$K1244),'자료_거시'!$K1244,Z1261)</f>
        <v/>
      </c>
      <c r="AA1262">
        <f>IF(AND(ISNUMBER('자료_거시'!$J1244),ISNUMBER('자료_거시'!$K1244)),IFERROR('자료_거시'!$K1244/INDEX($Z$21:$Z$4020,MATCH(EDATE('자료_거시'!$J1244,-'설정'!$B$17),'자료_거시'!$J$3:INDEX('자료_거시'!$J$3:$J$4002,$K$8),1))-1,""),"")</f>
        <v/>
      </c>
      <c r="AB1262">
        <f>IF(ISNUMBER(AA1262),'자료_거시'!$J1244,"")</f>
        <v/>
      </c>
      <c r="AC1262">
        <f>IF(ISNUMBER(AB1262),IF(AB1262&gt;$L$8,AA1262,""),"")</f>
        <v/>
      </c>
    </row>
    <row r="1263">
      <c r="S1263">
        <f>IF(ISNUMBER('자료_거시'!$E1245),'자료_거시'!$E1245,S1262)</f>
        <v/>
      </c>
      <c r="T1263">
        <f>IF(AND(ISNUMBER('자료_거시'!$D1245),ISNUMBER('자료_거시'!$E1245)),IFERROR('자료_거시'!$E1245-INDEX($S$21:$S$4020,MATCH(EDATE('자료_거시'!$D1245,-'설정'!$B$17),'자료_거시'!$D$3:INDEX('자료_거시'!$D$3:$D$4002,$K$6),1)),""),"")</f>
        <v/>
      </c>
      <c r="U1263">
        <f>IF(ISNUMBER(T1263),'자료_거시'!$D1245,"")</f>
        <v/>
      </c>
      <c r="V1263">
        <f>IF(ISNUMBER(U1263),IF(U1263&gt;$L$6,T1263,""),"")</f>
        <v/>
      </c>
      <c r="W1263">
        <f>IF(AND(ISNUMBER('자료_거시'!$G1245),ISNUMBER('자료_거시'!$H1245)),'자료_거시'!$H1245,"")</f>
        <v/>
      </c>
      <c r="X1263">
        <f>IF(ISNUMBER(W1263),'자료_거시'!$G1245,"")</f>
        <v/>
      </c>
      <c r="Y1263">
        <f>IF(ISNUMBER(X1263),IF(X1263&gt;$L$7,W1263,""),"")</f>
        <v/>
      </c>
      <c r="Z1263">
        <f>IF(ISNUMBER('자료_거시'!$K1245),'자료_거시'!$K1245,Z1262)</f>
        <v/>
      </c>
      <c r="AA1263">
        <f>IF(AND(ISNUMBER('자료_거시'!$J1245),ISNUMBER('자료_거시'!$K1245)),IFERROR('자료_거시'!$K1245/INDEX($Z$21:$Z$4020,MATCH(EDATE('자료_거시'!$J1245,-'설정'!$B$17),'자료_거시'!$J$3:INDEX('자료_거시'!$J$3:$J$4002,$K$8),1))-1,""),"")</f>
        <v/>
      </c>
      <c r="AB1263">
        <f>IF(ISNUMBER(AA1263),'자료_거시'!$J1245,"")</f>
        <v/>
      </c>
      <c r="AC1263">
        <f>IF(ISNUMBER(AB1263),IF(AB1263&gt;$L$8,AA1263,""),"")</f>
        <v/>
      </c>
    </row>
    <row r="1264">
      <c r="S1264">
        <f>IF(ISNUMBER('자료_거시'!$E1246),'자료_거시'!$E1246,S1263)</f>
        <v/>
      </c>
      <c r="T1264">
        <f>IF(AND(ISNUMBER('자료_거시'!$D1246),ISNUMBER('자료_거시'!$E1246)),IFERROR('자료_거시'!$E1246-INDEX($S$21:$S$4020,MATCH(EDATE('자료_거시'!$D1246,-'설정'!$B$17),'자료_거시'!$D$3:INDEX('자료_거시'!$D$3:$D$4002,$K$6),1)),""),"")</f>
        <v/>
      </c>
      <c r="U1264">
        <f>IF(ISNUMBER(T1264),'자료_거시'!$D1246,"")</f>
        <v/>
      </c>
      <c r="V1264">
        <f>IF(ISNUMBER(U1264),IF(U1264&gt;$L$6,T1264,""),"")</f>
        <v/>
      </c>
      <c r="W1264">
        <f>IF(AND(ISNUMBER('자료_거시'!$G1246),ISNUMBER('자료_거시'!$H1246)),'자료_거시'!$H1246,"")</f>
        <v/>
      </c>
      <c r="X1264">
        <f>IF(ISNUMBER(W1264),'자료_거시'!$G1246,"")</f>
        <v/>
      </c>
      <c r="Y1264">
        <f>IF(ISNUMBER(X1264),IF(X1264&gt;$L$7,W1264,""),"")</f>
        <v/>
      </c>
      <c r="Z1264">
        <f>IF(ISNUMBER('자료_거시'!$K1246),'자료_거시'!$K1246,Z1263)</f>
        <v/>
      </c>
      <c r="AA1264">
        <f>IF(AND(ISNUMBER('자료_거시'!$J1246),ISNUMBER('자료_거시'!$K1246)),IFERROR('자료_거시'!$K1246/INDEX($Z$21:$Z$4020,MATCH(EDATE('자료_거시'!$J1246,-'설정'!$B$17),'자료_거시'!$J$3:INDEX('자료_거시'!$J$3:$J$4002,$K$8),1))-1,""),"")</f>
        <v/>
      </c>
      <c r="AB1264">
        <f>IF(ISNUMBER(AA1264),'자료_거시'!$J1246,"")</f>
        <v/>
      </c>
      <c r="AC1264">
        <f>IF(ISNUMBER(AB1264),IF(AB1264&gt;$L$8,AA1264,""),"")</f>
        <v/>
      </c>
    </row>
    <row r="1265">
      <c r="S1265">
        <f>IF(ISNUMBER('자료_거시'!$E1247),'자료_거시'!$E1247,S1264)</f>
        <v/>
      </c>
      <c r="T1265">
        <f>IF(AND(ISNUMBER('자료_거시'!$D1247),ISNUMBER('자료_거시'!$E1247)),IFERROR('자료_거시'!$E1247-INDEX($S$21:$S$4020,MATCH(EDATE('자료_거시'!$D1247,-'설정'!$B$17),'자료_거시'!$D$3:INDEX('자료_거시'!$D$3:$D$4002,$K$6),1)),""),"")</f>
        <v/>
      </c>
      <c r="U1265">
        <f>IF(ISNUMBER(T1265),'자료_거시'!$D1247,"")</f>
        <v/>
      </c>
      <c r="V1265">
        <f>IF(ISNUMBER(U1265),IF(U1265&gt;$L$6,T1265,""),"")</f>
        <v/>
      </c>
      <c r="W1265">
        <f>IF(AND(ISNUMBER('자료_거시'!$G1247),ISNUMBER('자료_거시'!$H1247)),'자료_거시'!$H1247,"")</f>
        <v/>
      </c>
      <c r="X1265">
        <f>IF(ISNUMBER(W1265),'자료_거시'!$G1247,"")</f>
        <v/>
      </c>
      <c r="Y1265">
        <f>IF(ISNUMBER(X1265),IF(X1265&gt;$L$7,W1265,""),"")</f>
        <v/>
      </c>
      <c r="Z1265">
        <f>IF(ISNUMBER('자료_거시'!$K1247),'자료_거시'!$K1247,Z1264)</f>
        <v/>
      </c>
      <c r="AA1265">
        <f>IF(AND(ISNUMBER('자료_거시'!$J1247),ISNUMBER('자료_거시'!$K1247)),IFERROR('자료_거시'!$K1247/INDEX($Z$21:$Z$4020,MATCH(EDATE('자료_거시'!$J1247,-'설정'!$B$17),'자료_거시'!$J$3:INDEX('자료_거시'!$J$3:$J$4002,$K$8),1))-1,""),"")</f>
        <v/>
      </c>
      <c r="AB1265">
        <f>IF(ISNUMBER(AA1265),'자료_거시'!$J1247,"")</f>
        <v/>
      </c>
      <c r="AC1265">
        <f>IF(ISNUMBER(AB1265),IF(AB1265&gt;$L$8,AA1265,""),"")</f>
        <v/>
      </c>
    </row>
    <row r="1266">
      <c r="S1266">
        <f>IF(ISNUMBER('자료_거시'!$E1248),'자료_거시'!$E1248,S1265)</f>
        <v/>
      </c>
      <c r="T1266">
        <f>IF(AND(ISNUMBER('자료_거시'!$D1248),ISNUMBER('자료_거시'!$E1248)),IFERROR('자료_거시'!$E1248-INDEX($S$21:$S$4020,MATCH(EDATE('자료_거시'!$D1248,-'설정'!$B$17),'자료_거시'!$D$3:INDEX('자료_거시'!$D$3:$D$4002,$K$6),1)),""),"")</f>
        <v/>
      </c>
      <c r="U1266">
        <f>IF(ISNUMBER(T1266),'자료_거시'!$D1248,"")</f>
        <v/>
      </c>
      <c r="V1266">
        <f>IF(ISNUMBER(U1266),IF(U1266&gt;$L$6,T1266,""),"")</f>
        <v/>
      </c>
      <c r="W1266">
        <f>IF(AND(ISNUMBER('자료_거시'!$G1248),ISNUMBER('자료_거시'!$H1248)),'자료_거시'!$H1248,"")</f>
        <v/>
      </c>
      <c r="X1266">
        <f>IF(ISNUMBER(W1266),'자료_거시'!$G1248,"")</f>
        <v/>
      </c>
      <c r="Y1266">
        <f>IF(ISNUMBER(X1266),IF(X1266&gt;$L$7,W1266,""),"")</f>
        <v/>
      </c>
      <c r="Z1266">
        <f>IF(ISNUMBER('자료_거시'!$K1248),'자료_거시'!$K1248,Z1265)</f>
        <v/>
      </c>
      <c r="AA1266">
        <f>IF(AND(ISNUMBER('자료_거시'!$J1248),ISNUMBER('자료_거시'!$K1248)),IFERROR('자료_거시'!$K1248/INDEX($Z$21:$Z$4020,MATCH(EDATE('자료_거시'!$J1248,-'설정'!$B$17),'자료_거시'!$J$3:INDEX('자료_거시'!$J$3:$J$4002,$K$8),1))-1,""),"")</f>
        <v/>
      </c>
      <c r="AB1266">
        <f>IF(ISNUMBER(AA1266),'자료_거시'!$J1248,"")</f>
        <v/>
      </c>
      <c r="AC1266">
        <f>IF(ISNUMBER(AB1266),IF(AB1266&gt;$L$8,AA1266,""),"")</f>
        <v/>
      </c>
    </row>
    <row r="1267">
      <c r="S1267">
        <f>IF(ISNUMBER('자료_거시'!$E1249),'자료_거시'!$E1249,S1266)</f>
        <v/>
      </c>
      <c r="T1267">
        <f>IF(AND(ISNUMBER('자료_거시'!$D1249),ISNUMBER('자료_거시'!$E1249)),IFERROR('자료_거시'!$E1249-INDEX($S$21:$S$4020,MATCH(EDATE('자료_거시'!$D1249,-'설정'!$B$17),'자료_거시'!$D$3:INDEX('자료_거시'!$D$3:$D$4002,$K$6),1)),""),"")</f>
        <v/>
      </c>
      <c r="U1267">
        <f>IF(ISNUMBER(T1267),'자료_거시'!$D1249,"")</f>
        <v/>
      </c>
      <c r="V1267">
        <f>IF(ISNUMBER(U1267),IF(U1267&gt;$L$6,T1267,""),"")</f>
        <v/>
      </c>
      <c r="W1267">
        <f>IF(AND(ISNUMBER('자료_거시'!$G1249),ISNUMBER('자료_거시'!$H1249)),'자료_거시'!$H1249,"")</f>
        <v/>
      </c>
      <c r="X1267">
        <f>IF(ISNUMBER(W1267),'자료_거시'!$G1249,"")</f>
        <v/>
      </c>
      <c r="Y1267">
        <f>IF(ISNUMBER(X1267),IF(X1267&gt;$L$7,W1267,""),"")</f>
        <v/>
      </c>
      <c r="Z1267">
        <f>IF(ISNUMBER('자료_거시'!$K1249),'자료_거시'!$K1249,Z1266)</f>
        <v/>
      </c>
      <c r="AA1267">
        <f>IF(AND(ISNUMBER('자료_거시'!$J1249),ISNUMBER('자료_거시'!$K1249)),IFERROR('자료_거시'!$K1249/INDEX($Z$21:$Z$4020,MATCH(EDATE('자료_거시'!$J1249,-'설정'!$B$17),'자료_거시'!$J$3:INDEX('자료_거시'!$J$3:$J$4002,$K$8),1))-1,""),"")</f>
        <v/>
      </c>
      <c r="AB1267">
        <f>IF(ISNUMBER(AA1267),'자료_거시'!$J1249,"")</f>
        <v/>
      </c>
      <c r="AC1267">
        <f>IF(ISNUMBER(AB1267),IF(AB1267&gt;$L$8,AA1267,""),"")</f>
        <v/>
      </c>
    </row>
    <row r="1268">
      <c r="S1268">
        <f>IF(ISNUMBER('자료_거시'!$E1250),'자료_거시'!$E1250,S1267)</f>
        <v/>
      </c>
      <c r="T1268">
        <f>IF(AND(ISNUMBER('자료_거시'!$D1250),ISNUMBER('자료_거시'!$E1250)),IFERROR('자료_거시'!$E1250-INDEX($S$21:$S$4020,MATCH(EDATE('자료_거시'!$D1250,-'설정'!$B$17),'자료_거시'!$D$3:INDEX('자료_거시'!$D$3:$D$4002,$K$6),1)),""),"")</f>
        <v/>
      </c>
      <c r="U1268">
        <f>IF(ISNUMBER(T1268),'자료_거시'!$D1250,"")</f>
        <v/>
      </c>
      <c r="V1268">
        <f>IF(ISNUMBER(U1268),IF(U1268&gt;$L$6,T1268,""),"")</f>
        <v/>
      </c>
      <c r="W1268">
        <f>IF(AND(ISNUMBER('자료_거시'!$G1250),ISNUMBER('자료_거시'!$H1250)),'자료_거시'!$H1250,"")</f>
        <v/>
      </c>
      <c r="X1268">
        <f>IF(ISNUMBER(W1268),'자료_거시'!$G1250,"")</f>
        <v/>
      </c>
      <c r="Y1268">
        <f>IF(ISNUMBER(X1268),IF(X1268&gt;$L$7,W1268,""),"")</f>
        <v/>
      </c>
      <c r="Z1268">
        <f>IF(ISNUMBER('자료_거시'!$K1250),'자료_거시'!$K1250,Z1267)</f>
        <v/>
      </c>
      <c r="AA1268">
        <f>IF(AND(ISNUMBER('자료_거시'!$J1250),ISNUMBER('자료_거시'!$K1250)),IFERROR('자료_거시'!$K1250/INDEX($Z$21:$Z$4020,MATCH(EDATE('자료_거시'!$J1250,-'설정'!$B$17),'자료_거시'!$J$3:INDEX('자료_거시'!$J$3:$J$4002,$K$8),1))-1,""),"")</f>
        <v/>
      </c>
      <c r="AB1268">
        <f>IF(ISNUMBER(AA1268),'자료_거시'!$J1250,"")</f>
        <v/>
      </c>
      <c r="AC1268">
        <f>IF(ISNUMBER(AB1268),IF(AB1268&gt;$L$8,AA1268,""),"")</f>
        <v/>
      </c>
    </row>
    <row r="1269">
      <c r="S1269">
        <f>IF(ISNUMBER('자료_거시'!$E1251),'자료_거시'!$E1251,S1268)</f>
        <v/>
      </c>
      <c r="T1269">
        <f>IF(AND(ISNUMBER('자료_거시'!$D1251),ISNUMBER('자료_거시'!$E1251)),IFERROR('자료_거시'!$E1251-INDEX($S$21:$S$4020,MATCH(EDATE('자료_거시'!$D1251,-'설정'!$B$17),'자료_거시'!$D$3:INDEX('자료_거시'!$D$3:$D$4002,$K$6),1)),""),"")</f>
        <v/>
      </c>
      <c r="U1269">
        <f>IF(ISNUMBER(T1269),'자료_거시'!$D1251,"")</f>
        <v/>
      </c>
      <c r="V1269">
        <f>IF(ISNUMBER(U1269),IF(U1269&gt;$L$6,T1269,""),"")</f>
        <v/>
      </c>
      <c r="W1269">
        <f>IF(AND(ISNUMBER('자료_거시'!$G1251),ISNUMBER('자료_거시'!$H1251)),'자료_거시'!$H1251,"")</f>
        <v/>
      </c>
      <c r="X1269">
        <f>IF(ISNUMBER(W1269),'자료_거시'!$G1251,"")</f>
        <v/>
      </c>
      <c r="Y1269">
        <f>IF(ISNUMBER(X1269),IF(X1269&gt;$L$7,W1269,""),"")</f>
        <v/>
      </c>
      <c r="Z1269">
        <f>IF(ISNUMBER('자료_거시'!$K1251),'자료_거시'!$K1251,Z1268)</f>
        <v/>
      </c>
      <c r="AA1269">
        <f>IF(AND(ISNUMBER('자료_거시'!$J1251),ISNUMBER('자료_거시'!$K1251)),IFERROR('자료_거시'!$K1251/INDEX($Z$21:$Z$4020,MATCH(EDATE('자료_거시'!$J1251,-'설정'!$B$17),'자료_거시'!$J$3:INDEX('자료_거시'!$J$3:$J$4002,$K$8),1))-1,""),"")</f>
        <v/>
      </c>
      <c r="AB1269">
        <f>IF(ISNUMBER(AA1269),'자료_거시'!$J1251,"")</f>
        <v/>
      </c>
      <c r="AC1269">
        <f>IF(ISNUMBER(AB1269),IF(AB1269&gt;$L$8,AA1269,""),"")</f>
        <v/>
      </c>
    </row>
    <row r="1270">
      <c r="S1270">
        <f>IF(ISNUMBER('자료_거시'!$E1252),'자료_거시'!$E1252,S1269)</f>
        <v/>
      </c>
      <c r="T1270">
        <f>IF(AND(ISNUMBER('자료_거시'!$D1252),ISNUMBER('자료_거시'!$E1252)),IFERROR('자료_거시'!$E1252-INDEX($S$21:$S$4020,MATCH(EDATE('자료_거시'!$D1252,-'설정'!$B$17),'자료_거시'!$D$3:INDEX('자료_거시'!$D$3:$D$4002,$K$6),1)),""),"")</f>
        <v/>
      </c>
      <c r="U1270">
        <f>IF(ISNUMBER(T1270),'자료_거시'!$D1252,"")</f>
        <v/>
      </c>
      <c r="V1270">
        <f>IF(ISNUMBER(U1270),IF(U1270&gt;$L$6,T1270,""),"")</f>
        <v/>
      </c>
      <c r="W1270">
        <f>IF(AND(ISNUMBER('자료_거시'!$G1252),ISNUMBER('자료_거시'!$H1252)),'자료_거시'!$H1252,"")</f>
        <v/>
      </c>
      <c r="X1270">
        <f>IF(ISNUMBER(W1270),'자료_거시'!$G1252,"")</f>
        <v/>
      </c>
      <c r="Y1270">
        <f>IF(ISNUMBER(X1270),IF(X1270&gt;$L$7,W1270,""),"")</f>
        <v/>
      </c>
      <c r="Z1270">
        <f>IF(ISNUMBER('자료_거시'!$K1252),'자료_거시'!$K1252,Z1269)</f>
        <v/>
      </c>
      <c r="AA1270">
        <f>IF(AND(ISNUMBER('자료_거시'!$J1252),ISNUMBER('자료_거시'!$K1252)),IFERROR('자료_거시'!$K1252/INDEX($Z$21:$Z$4020,MATCH(EDATE('자료_거시'!$J1252,-'설정'!$B$17),'자료_거시'!$J$3:INDEX('자료_거시'!$J$3:$J$4002,$K$8),1))-1,""),"")</f>
        <v/>
      </c>
      <c r="AB1270">
        <f>IF(ISNUMBER(AA1270),'자료_거시'!$J1252,"")</f>
        <v/>
      </c>
      <c r="AC1270">
        <f>IF(ISNUMBER(AB1270),IF(AB1270&gt;$L$8,AA1270,""),"")</f>
        <v/>
      </c>
    </row>
    <row r="1271">
      <c r="S1271">
        <f>IF(ISNUMBER('자료_거시'!$E1253),'자료_거시'!$E1253,S1270)</f>
        <v/>
      </c>
      <c r="T1271">
        <f>IF(AND(ISNUMBER('자료_거시'!$D1253),ISNUMBER('자료_거시'!$E1253)),IFERROR('자료_거시'!$E1253-INDEX($S$21:$S$4020,MATCH(EDATE('자료_거시'!$D1253,-'설정'!$B$17),'자료_거시'!$D$3:INDEX('자료_거시'!$D$3:$D$4002,$K$6),1)),""),"")</f>
        <v/>
      </c>
      <c r="U1271">
        <f>IF(ISNUMBER(T1271),'자료_거시'!$D1253,"")</f>
        <v/>
      </c>
      <c r="V1271">
        <f>IF(ISNUMBER(U1271),IF(U1271&gt;$L$6,T1271,""),"")</f>
        <v/>
      </c>
      <c r="W1271">
        <f>IF(AND(ISNUMBER('자료_거시'!$G1253),ISNUMBER('자료_거시'!$H1253)),'자료_거시'!$H1253,"")</f>
        <v/>
      </c>
      <c r="X1271">
        <f>IF(ISNUMBER(W1271),'자료_거시'!$G1253,"")</f>
        <v/>
      </c>
      <c r="Y1271">
        <f>IF(ISNUMBER(X1271),IF(X1271&gt;$L$7,W1271,""),"")</f>
        <v/>
      </c>
      <c r="Z1271">
        <f>IF(ISNUMBER('자료_거시'!$K1253),'자료_거시'!$K1253,Z1270)</f>
        <v/>
      </c>
      <c r="AA1271">
        <f>IF(AND(ISNUMBER('자료_거시'!$J1253),ISNUMBER('자료_거시'!$K1253)),IFERROR('자료_거시'!$K1253/INDEX($Z$21:$Z$4020,MATCH(EDATE('자료_거시'!$J1253,-'설정'!$B$17),'자료_거시'!$J$3:INDEX('자료_거시'!$J$3:$J$4002,$K$8),1))-1,""),"")</f>
        <v/>
      </c>
      <c r="AB1271">
        <f>IF(ISNUMBER(AA1271),'자료_거시'!$J1253,"")</f>
        <v/>
      </c>
      <c r="AC1271">
        <f>IF(ISNUMBER(AB1271),IF(AB1271&gt;$L$8,AA1271,""),"")</f>
        <v/>
      </c>
    </row>
    <row r="1272">
      <c r="S1272">
        <f>IF(ISNUMBER('자료_거시'!$E1254),'자료_거시'!$E1254,S1271)</f>
        <v/>
      </c>
      <c r="T1272">
        <f>IF(AND(ISNUMBER('자료_거시'!$D1254),ISNUMBER('자료_거시'!$E1254)),IFERROR('자료_거시'!$E1254-INDEX($S$21:$S$4020,MATCH(EDATE('자료_거시'!$D1254,-'설정'!$B$17),'자료_거시'!$D$3:INDEX('자료_거시'!$D$3:$D$4002,$K$6),1)),""),"")</f>
        <v/>
      </c>
      <c r="U1272">
        <f>IF(ISNUMBER(T1272),'자료_거시'!$D1254,"")</f>
        <v/>
      </c>
      <c r="V1272">
        <f>IF(ISNUMBER(U1272),IF(U1272&gt;$L$6,T1272,""),"")</f>
        <v/>
      </c>
      <c r="W1272">
        <f>IF(AND(ISNUMBER('자료_거시'!$G1254),ISNUMBER('자료_거시'!$H1254)),'자료_거시'!$H1254,"")</f>
        <v/>
      </c>
      <c r="X1272">
        <f>IF(ISNUMBER(W1272),'자료_거시'!$G1254,"")</f>
        <v/>
      </c>
      <c r="Y1272">
        <f>IF(ISNUMBER(X1272),IF(X1272&gt;$L$7,W1272,""),"")</f>
        <v/>
      </c>
      <c r="Z1272">
        <f>IF(ISNUMBER('자료_거시'!$K1254),'자료_거시'!$K1254,Z1271)</f>
        <v/>
      </c>
      <c r="AA1272">
        <f>IF(AND(ISNUMBER('자료_거시'!$J1254),ISNUMBER('자료_거시'!$K1254)),IFERROR('자료_거시'!$K1254/INDEX($Z$21:$Z$4020,MATCH(EDATE('자료_거시'!$J1254,-'설정'!$B$17),'자료_거시'!$J$3:INDEX('자료_거시'!$J$3:$J$4002,$K$8),1))-1,""),"")</f>
        <v/>
      </c>
      <c r="AB1272">
        <f>IF(ISNUMBER(AA1272),'자료_거시'!$J1254,"")</f>
        <v/>
      </c>
      <c r="AC1272">
        <f>IF(ISNUMBER(AB1272),IF(AB1272&gt;$L$8,AA1272,""),"")</f>
        <v/>
      </c>
    </row>
    <row r="1273">
      <c r="S1273">
        <f>IF(ISNUMBER('자료_거시'!$E1255),'자료_거시'!$E1255,S1272)</f>
        <v/>
      </c>
      <c r="T1273">
        <f>IF(AND(ISNUMBER('자료_거시'!$D1255),ISNUMBER('자료_거시'!$E1255)),IFERROR('자료_거시'!$E1255-INDEX($S$21:$S$4020,MATCH(EDATE('자료_거시'!$D1255,-'설정'!$B$17),'자료_거시'!$D$3:INDEX('자료_거시'!$D$3:$D$4002,$K$6),1)),""),"")</f>
        <v/>
      </c>
      <c r="U1273">
        <f>IF(ISNUMBER(T1273),'자료_거시'!$D1255,"")</f>
        <v/>
      </c>
      <c r="V1273">
        <f>IF(ISNUMBER(U1273),IF(U1273&gt;$L$6,T1273,""),"")</f>
        <v/>
      </c>
      <c r="W1273">
        <f>IF(AND(ISNUMBER('자료_거시'!$G1255),ISNUMBER('자료_거시'!$H1255)),'자료_거시'!$H1255,"")</f>
        <v/>
      </c>
      <c r="X1273">
        <f>IF(ISNUMBER(W1273),'자료_거시'!$G1255,"")</f>
        <v/>
      </c>
      <c r="Y1273">
        <f>IF(ISNUMBER(X1273),IF(X1273&gt;$L$7,W1273,""),"")</f>
        <v/>
      </c>
      <c r="Z1273">
        <f>IF(ISNUMBER('자료_거시'!$K1255),'자료_거시'!$K1255,Z1272)</f>
        <v/>
      </c>
      <c r="AA1273">
        <f>IF(AND(ISNUMBER('자료_거시'!$J1255),ISNUMBER('자료_거시'!$K1255)),IFERROR('자료_거시'!$K1255/INDEX($Z$21:$Z$4020,MATCH(EDATE('자료_거시'!$J1255,-'설정'!$B$17),'자료_거시'!$J$3:INDEX('자료_거시'!$J$3:$J$4002,$K$8),1))-1,""),"")</f>
        <v/>
      </c>
      <c r="AB1273">
        <f>IF(ISNUMBER(AA1273),'자료_거시'!$J1255,"")</f>
        <v/>
      </c>
      <c r="AC1273">
        <f>IF(ISNUMBER(AB1273),IF(AB1273&gt;$L$8,AA1273,""),"")</f>
        <v/>
      </c>
    </row>
    <row r="1274">
      <c r="S1274">
        <f>IF(ISNUMBER('자료_거시'!$E1256),'자료_거시'!$E1256,S1273)</f>
        <v/>
      </c>
      <c r="T1274">
        <f>IF(AND(ISNUMBER('자료_거시'!$D1256),ISNUMBER('자료_거시'!$E1256)),IFERROR('자료_거시'!$E1256-INDEX($S$21:$S$4020,MATCH(EDATE('자료_거시'!$D1256,-'설정'!$B$17),'자료_거시'!$D$3:INDEX('자료_거시'!$D$3:$D$4002,$K$6),1)),""),"")</f>
        <v/>
      </c>
      <c r="U1274">
        <f>IF(ISNUMBER(T1274),'자료_거시'!$D1256,"")</f>
        <v/>
      </c>
      <c r="V1274">
        <f>IF(ISNUMBER(U1274),IF(U1274&gt;$L$6,T1274,""),"")</f>
        <v/>
      </c>
      <c r="W1274">
        <f>IF(AND(ISNUMBER('자료_거시'!$G1256),ISNUMBER('자료_거시'!$H1256)),'자료_거시'!$H1256,"")</f>
        <v/>
      </c>
      <c r="X1274">
        <f>IF(ISNUMBER(W1274),'자료_거시'!$G1256,"")</f>
        <v/>
      </c>
      <c r="Y1274">
        <f>IF(ISNUMBER(X1274),IF(X1274&gt;$L$7,W1274,""),"")</f>
        <v/>
      </c>
      <c r="Z1274">
        <f>IF(ISNUMBER('자료_거시'!$K1256),'자료_거시'!$K1256,Z1273)</f>
        <v/>
      </c>
      <c r="AA1274">
        <f>IF(AND(ISNUMBER('자료_거시'!$J1256),ISNUMBER('자료_거시'!$K1256)),IFERROR('자료_거시'!$K1256/INDEX($Z$21:$Z$4020,MATCH(EDATE('자료_거시'!$J1256,-'설정'!$B$17),'자료_거시'!$J$3:INDEX('자료_거시'!$J$3:$J$4002,$K$8),1))-1,""),"")</f>
        <v/>
      </c>
      <c r="AB1274">
        <f>IF(ISNUMBER(AA1274),'자료_거시'!$J1256,"")</f>
        <v/>
      </c>
      <c r="AC1274">
        <f>IF(ISNUMBER(AB1274),IF(AB1274&gt;$L$8,AA1274,""),"")</f>
        <v/>
      </c>
    </row>
    <row r="1275">
      <c r="S1275">
        <f>IF(ISNUMBER('자료_거시'!$E1257),'자료_거시'!$E1257,S1274)</f>
        <v/>
      </c>
      <c r="T1275">
        <f>IF(AND(ISNUMBER('자료_거시'!$D1257),ISNUMBER('자료_거시'!$E1257)),IFERROR('자료_거시'!$E1257-INDEX($S$21:$S$4020,MATCH(EDATE('자료_거시'!$D1257,-'설정'!$B$17),'자료_거시'!$D$3:INDEX('자료_거시'!$D$3:$D$4002,$K$6),1)),""),"")</f>
        <v/>
      </c>
      <c r="U1275">
        <f>IF(ISNUMBER(T1275),'자료_거시'!$D1257,"")</f>
        <v/>
      </c>
      <c r="V1275">
        <f>IF(ISNUMBER(U1275),IF(U1275&gt;$L$6,T1275,""),"")</f>
        <v/>
      </c>
      <c r="W1275">
        <f>IF(AND(ISNUMBER('자료_거시'!$G1257),ISNUMBER('자료_거시'!$H1257)),'자료_거시'!$H1257,"")</f>
        <v/>
      </c>
      <c r="X1275">
        <f>IF(ISNUMBER(W1275),'자료_거시'!$G1257,"")</f>
        <v/>
      </c>
      <c r="Y1275">
        <f>IF(ISNUMBER(X1275),IF(X1275&gt;$L$7,W1275,""),"")</f>
        <v/>
      </c>
      <c r="Z1275">
        <f>IF(ISNUMBER('자료_거시'!$K1257),'자료_거시'!$K1257,Z1274)</f>
        <v/>
      </c>
      <c r="AA1275">
        <f>IF(AND(ISNUMBER('자료_거시'!$J1257),ISNUMBER('자료_거시'!$K1257)),IFERROR('자료_거시'!$K1257/INDEX($Z$21:$Z$4020,MATCH(EDATE('자료_거시'!$J1257,-'설정'!$B$17),'자료_거시'!$J$3:INDEX('자료_거시'!$J$3:$J$4002,$K$8),1))-1,""),"")</f>
        <v/>
      </c>
      <c r="AB1275">
        <f>IF(ISNUMBER(AA1275),'자료_거시'!$J1257,"")</f>
        <v/>
      </c>
      <c r="AC1275">
        <f>IF(ISNUMBER(AB1275),IF(AB1275&gt;$L$8,AA1275,""),"")</f>
        <v/>
      </c>
    </row>
    <row r="1276">
      <c r="S1276">
        <f>IF(ISNUMBER('자료_거시'!$E1258),'자료_거시'!$E1258,S1275)</f>
        <v/>
      </c>
      <c r="T1276">
        <f>IF(AND(ISNUMBER('자료_거시'!$D1258),ISNUMBER('자료_거시'!$E1258)),IFERROR('자료_거시'!$E1258-INDEX($S$21:$S$4020,MATCH(EDATE('자료_거시'!$D1258,-'설정'!$B$17),'자료_거시'!$D$3:INDEX('자료_거시'!$D$3:$D$4002,$K$6),1)),""),"")</f>
        <v/>
      </c>
      <c r="U1276">
        <f>IF(ISNUMBER(T1276),'자료_거시'!$D1258,"")</f>
        <v/>
      </c>
      <c r="V1276">
        <f>IF(ISNUMBER(U1276),IF(U1276&gt;$L$6,T1276,""),"")</f>
        <v/>
      </c>
      <c r="W1276">
        <f>IF(AND(ISNUMBER('자료_거시'!$G1258),ISNUMBER('자료_거시'!$H1258)),'자료_거시'!$H1258,"")</f>
        <v/>
      </c>
      <c r="X1276">
        <f>IF(ISNUMBER(W1276),'자료_거시'!$G1258,"")</f>
        <v/>
      </c>
      <c r="Y1276">
        <f>IF(ISNUMBER(X1276),IF(X1276&gt;$L$7,W1276,""),"")</f>
        <v/>
      </c>
      <c r="Z1276">
        <f>IF(ISNUMBER('자료_거시'!$K1258),'자료_거시'!$K1258,Z1275)</f>
        <v/>
      </c>
      <c r="AA1276">
        <f>IF(AND(ISNUMBER('자료_거시'!$J1258),ISNUMBER('자료_거시'!$K1258)),IFERROR('자료_거시'!$K1258/INDEX($Z$21:$Z$4020,MATCH(EDATE('자료_거시'!$J1258,-'설정'!$B$17),'자료_거시'!$J$3:INDEX('자료_거시'!$J$3:$J$4002,$K$8),1))-1,""),"")</f>
        <v/>
      </c>
      <c r="AB1276">
        <f>IF(ISNUMBER(AA1276),'자료_거시'!$J1258,"")</f>
        <v/>
      </c>
      <c r="AC1276">
        <f>IF(ISNUMBER(AB1276),IF(AB1276&gt;$L$8,AA1276,""),"")</f>
        <v/>
      </c>
    </row>
    <row r="1277">
      <c r="S1277">
        <f>IF(ISNUMBER('자료_거시'!$E1259),'자료_거시'!$E1259,S1276)</f>
        <v/>
      </c>
      <c r="T1277">
        <f>IF(AND(ISNUMBER('자료_거시'!$D1259),ISNUMBER('자료_거시'!$E1259)),IFERROR('자료_거시'!$E1259-INDEX($S$21:$S$4020,MATCH(EDATE('자료_거시'!$D1259,-'설정'!$B$17),'자료_거시'!$D$3:INDEX('자료_거시'!$D$3:$D$4002,$K$6),1)),""),"")</f>
        <v/>
      </c>
      <c r="U1277">
        <f>IF(ISNUMBER(T1277),'자료_거시'!$D1259,"")</f>
        <v/>
      </c>
      <c r="V1277">
        <f>IF(ISNUMBER(U1277),IF(U1277&gt;$L$6,T1277,""),"")</f>
        <v/>
      </c>
      <c r="W1277">
        <f>IF(AND(ISNUMBER('자료_거시'!$G1259),ISNUMBER('자료_거시'!$H1259)),'자료_거시'!$H1259,"")</f>
        <v/>
      </c>
      <c r="X1277">
        <f>IF(ISNUMBER(W1277),'자료_거시'!$G1259,"")</f>
        <v/>
      </c>
      <c r="Y1277">
        <f>IF(ISNUMBER(X1277),IF(X1277&gt;$L$7,W1277,""),"")</f>
        <v/>
      </c>
      <c r="Z1277">
        <f>IF(ISNUMBER('자료_거시'!$K1259),'자료_거시'!$K1259,Z1276)</f>
        <v/>
      </c>
      <c r="AA1277">
        <f>IF(AND(ISNUMBER('자료_거시'!$J1259),ISNUMBER('자료_거시'!$K1259)),IFERROR('자료_거시'!$K1259/INDEX($Z$21:$Z$4020,MATCH(EDATE('자료_거시'!$J1259,-'설정'!$B$17),'자료_거시'!$J$3:INDEX('자료_거시'!$J$3:$J$4002,$K$8),1))-1,""),"")</f>
        <v/>
      </c>
      <c r="AB1277">
        <f>IF(ISNUMBER(AA1277),'자료_거시'!$J1259,"")</f>
        <v/>
      </c>
      <c r="AC1277">
        <f>IF(ISNUMBER(AB1277),IF(AB1277&gt;$L$8,AA1277,""),"")</f>
        <v/>
      </c>
    </row>
    <row r="1278">
      <c r="S1278">
        <f>IF(ISNUMBER('자료_거시'!$E1260),'자료_거시'!$E1260,S1277)</f>
        <v/>
      </c>
      <c r="T1278">
        <f>IF(AND(ISNUMBER('자료_거시'!$D1260),ISNUMBER('자료_거시'!$E1260)),IFERROR('자료_거시'!$E1260-INDEX($S$21:$S$4020,MATCH(EDATE('자료_거시'!$D1260,-'설정'!$B$17),'자료_거시'!$D$3:INDEX('자료_거시'!$D$3:$D$4002,$K$6),1)),""),"")</f>
        <v/>
      </c>
      <c r="U1278">
        <f>IF(ISNUMBER(T1278),'자료_거시'!$D1260,"")</f>
        <v/>
      </c>
      <c r="V1278">
        <f>IF(ISNUMBER(U1278),IF(U1278&gt;$L$6,T1278,""),"")</f>
        <v/>
      </c>
      <c r="W1278">
        <f>IF(AND(ISNUMBER('자료_거시'!$G1260),ISNUMBER('자료_거시'!$H1260)),'자료_거시'!$H1260,"")</f>
        <v/>
      </c>
      <c r="X1278">
        <f>IF(ISNUMBER(W1278),'자료_거시'!$G1260,"")</f>
        <v/>
      </c>
      <c r="Y1278">
        <f>IF(ISNUMBER(X1278),IF(X1278&gt;$L$7,W1278,""),"")</f>
        <v/>
      </c>
      <c r="Z1278">
        <f>IF(ISNUMBER('자료_거시'!$K1260),'자료_거시'!$K1260,Z1277)</f>
        <v/>
      </c>
      <c r="AA1278">
        <f>IF(AND(ISNUMBER('자료_거시'!$J1260),ISNUMBER('자료_거시'!$K1260)),IFERROR('자료_거시'!$K1260/INDEX($Z$21:$Z$4020,MATCH(EDATE('자료_거시'!$J1260,-'설정'!$B$17),'자료_거시'!$J$3:INDEX('자료_거시'!$J$3:$J$4002,$K$8),1))-1,""),"")</f>
        <v/>
      </c>
      <c r="AB1278">
        <f>IF(ISNUMBER(AA1278),'자료_거시'!$J1260,"")</f>
        <v/>
      </c>
      <c r="AC1278">
        <f>IF(ISNUMBER(AB1278),IF(AB1278&gt;$L$8,AA1278,""),"")</f>
        <v/>
      </c>
    </row>
    <row r="1279">
      <c r="S1279">
        <f>IF(ISNUMBER('자료_거시'!$E1261),'자료_거시'!$E1261,S1278)</f>
        <v/>
      </c>
      <c r="T1279">
        <f>IF(AND(ISNUMBER('자료_거시'!$D1261),ISNUMBER('자료_거시'!$E1261)),IFERROR('자료_거시'!$E1261-INDEX($S$21:$S$4020,MATCH(EDATE('자료_거시'!$D1261,-'설정'!$B$17),'자료_거시'!$D$3:INDEX('자료_거시'!$D$3:$D$4002,$K$6),1)),""),"")</f>
        <v/>
      </c>
      <c r="U1279">
        <f>IF(ISNUMBER(T1279),'자료_거시'!$D1261,"")</f>
        <v/>
      </c>
      <c r="V1279">
        <f>IF(ISNUMBER(U1279),IF(U1279&gt;$L$6,T1279,""),"")</f>
        <v/>
      </c>
      <c r="W1279">
        <f>IF(AND(ISNUMBER('자료_거시'!$G1261),ISNUMBER('자료_거시'!$H1261)),'자료_거시'!$H1261,"")</f>
        <v/>
      </c>
      <c r="X1279">
        <f>IF(ISNUMBER(W1279),'자료_거시'!$G1261,"")</f>
        <v/>
      </c>
      <c r="Y1279">
        <f>IF(ISNUMBER(X1279),IF(X1279&gt;$L$7,W1279,""),"")</f>
        <v/>
      </c>
      <c r="Z1279">
        <f>IF(ISNUMBER('자료_거시'!$K1261),'자료_거시'!$K1261,Z1278)</f>
        <v/>
      </c>
      <c r="AA1279">
        <f>IF(AND(ISNUMBER('자료_거시'!$J1261),ISNUMBER('자료_거시'!$K1261)),IFERROR('자료_거시'!$K1261/INDEX($Z$21:$Z$4020,MATCH(EDATE('자료_거시'!$J1261,-'설정'!$B$17),'자료_거시'!$J$3:INDEX('자료_거시'!$J$3:$J$4002,$K$8),1))-1,""),"")</f>
        <v/>
      </c>
      <c r="AB1279">
        <f>IF(ISNUMBER(AA1279),'자료_거시'!$J1261,"")</f>
        <v/>
      </c>
      <c r="AC1279">
        <f>IF(ISNUMBER(AB1279),IF(AB1279&gt;$L$8,AA1279,""),"")</f>
        <v/>
      </c>
    </row>
    <row r="1280">
      <c r="S1280">
        <f>IF(ISNUMBER('자료_거시'!$E1262),'자료_거시'!$E1262,S1279)</f>
        <v/>
      </c>
      <c r="T1280">
        <f>IF(AND(ISNUMBER('자료_거시'!$D1262),ISNUMBER('자료_거시'!$E1262)),IFERROR('자료_거시'!$E1262-INDEX($S$21:$S$4020,MATCH(EDATE('자료_거시'!$D1262,-'설정'!$B$17),'자료_거시'!$D$3:INDEX('자료_거시'!$D$3:$D$4002,$K$6),1)),""),"")</f>
        <v/>
      </c>
      <c r="U1280">
        <f>IF(ISNUMBER(T1280),'자료_거시'!$D1262,"")</f>
        <v/>
      </c>
      <c r="V1280">
        <f>IF(ISNUMBER(U1280),IF(U1280&gt;$L$6,T1280,""),"")</f>
        <v/>
      </c>
      <c r="W1280">
        <f>IF(AND(ISNUMBER('자료_거시'!$G1262),ISNUMBER('자료_거시'!$H1262)),'자료_거시'!$H1262,"")</f>
        <v/>
      </c>
      <c r="X1280">
        <f>IF(ISNUMBER(W1280),'자료_거시'!$G1262,"")</f>
        <v/>
      </c>
      <c r="Y1280">
        <f>IF(ISNUMBER(X1280),IF(X1280&gt;$L$7,W1280,""),"")</f>
        <v/>
      </c>
      <c r="Z1280">
        <f>IF(ISNUMBER('자료_거시'!$K1262),'자료_거시'!$K1262,Z1279)</f>
        <v/>
      </c>
      <c r="AA1280">
        <f>IF(AND(ISNUMBER('자료_거시'!$J1262),ISNUMBER('자료_거시'!$K1262)),IFERROR('자료_거시'!$K1262/INDEX($Z$21:$Z$4020,MATCH(EDATE('자료_거시'!$J1262,-'설정'!$B$17),'자료_거시'!$J$3:INDEX('자료_거시'!$J$3:$J$4002,$K$8),1))-1,""),"")</f>
        <v/>
      </c>
      <c r="AB1280">
        <f>IF(ISNUMBER(AA1280),'자료_거시'!$J1262,"")</f>
        <v/>
      </c>
      <c r="AC1280">
        <f>IF(ISNUMBER(AB1280),IF(AB1280&gt;$L$8,AA1280,""),"")</f>
        <v/>
      </c>
    </row>
    <row r="1281">
      <c r="S1281">
        <f>IF(ISNUMBER('자료_거시'!$E1263),'자료_거시'!$E1263,S1280)</f>
        <v/>
      </c>
      <c r="T1281">
        <f>IF(AND(ISNUMBER('자료_거시'!$D1263),ISNUMBER('자료_거시'!$E1263)),IFERROR('자료_거시'!$E1263-INDEX($S$21:$S$4020,MATCH(EDATE('자료_거시'!$D1263,-'설정'!$B$17),'자료_거시'!$D$3:INDEX('자료_거시'!$D$3:$D$4002,$K$6),1)),""),"")</f>
        <v/>
      </c>
      <c r="U1281">
        <f>IF(ISNUMBER(T1281),'자료_거시'!$D1263,"")</f>
        <v/>
      </c>
      <c r="V1281">
        <f>IF(ISNUMBER(U1281),IF(U1281&gt;$L$6,T1281,""),"")</f>
        <v/>
      </c>
      <c r="W1281">
        <f>IF(AND(ISNUMBER('자료_거시'!$G1263),ISNUMBER('자료_거시'!$H1263)),'자료_거시'!$H1263,"")</f>
        <v/>
      </c>
      <c r="X1281">
        <f>IF(ISNUMBER(W1281),'자료_거시'!$G1263,"")</f>
        <v/>
      </c>
      <c r="Y1281">
        <f>IF(ISNUMBER(X1281),IF(X1281&gt;$L$7,W1281,""),"")</f>
        <v/>
      </c>
      <c r="Z1281">
        <f>IF(ISNUMBER('자료_거시'!$K1263),'자료_거시'!$K1263,Z1280)</f>
        <v/>
      </c>
      <c r="AA1281">
        <f>IF(AND(ISNUMBER('자료_거시'!$J1263),ISNUMBER('자료_거시'!$K1263)),IFERROR('자료_거시'!$K1263/INDEX($Z$21:$Z$4020,MATCH(EDATE('자료_거시'!$J1263,-'설정'!$B$17),'자료_거시'!$J$3:INDEX('자료_거시'!$J$3:$J$4002,$K$8),1))-1,""),"")</f>
        <v/>
      </c>
      <c r="AB1281">
        <f>IF(ISNUMBER(AA1281),'자료_거시'!$J1263,"")</f>
        <v/>
      </c>
      <c r="AC1281">
        <f>IF(ISNUMBER(AB1281),IF(AB1281&gt;$L$8,AA1281,""),"")</f>
        <v/>
      </c>
    </row>
    <row r="1282">
      <c r="S1282">
        <f>IF(ISNUMBER('자료_거시'!$E1264),'자료_거시'!$E1264,S1281)</f>
        <v/>
      </c>
      <c r="T1282">
        <f>IF(AND(ISNUMBER('자료_거시'!$D1264),ISNUMBER('자료_거시'!$E1264)),IFERROR('자료_거시'!$E1264-INDEX($S$21:$S$4020,MATCH(EDATE('자료_거시'!$D1264,-'설정'!$B$17),'자료_거시'!$D$3:INDEX('자료_거시'!$D$3:$D$4002,$K$6),1)),""),"")</f>
        <v/>
      </c>
      <c r="U1282">
        <f>IF(ISNUMBER(T1282),'자료_거시'!$D1264,"")</f>
        <v/>
      </c>
      <c r="V1282">
        <f>IF(ISNUMBER(U1282),IF(U1282&gt;$L$6,T1282,""),"")</f>
        <v/>
      </c>
      <c r="W1282">
        <f>IF(AND(ISNUMBER('자료_거시'!$G1264),ISNUMBER('자료_거시'!$H1264)),'자료_거시'!$H1264,"")</f>
        <v/>
      </c>
      <c r="X1282">
        <f>IF(ISNUMBER(W1282),'자료_거시'!$G1264,"")</f>
        <v/>
      </c>
      <c r="Y1282">
        <f>IF(ISNUMBER(X1282),IF(X1282&gt;$L$7,W1282,""),"")</f>
        <v/>
      </c>
      <c r="Z1282">
        <f>IF(ISNUMBER('자료_거시'!$K1264),'자료_거시'!$K1264,Z1281)</f>
        <v/>
      </c>
      <c r="AA1282">
        <f>IF(AND(ISNUMBER('자료_거시'!$J1264),ISNUMBER('자료_거시'!$K1264)),IFERROR('자료_거시'!$K1264/INDEX($Z$21:$Z$4020,MATCH(EDATE('자료_거시'!$J1264,-'설정'!$B$17),'자료_거시'!$J$3:INDEX('자료_거시'!$J$3:$J$4002,$K$8),1))-1,""),"")</f>
        <v/>
      </c>
      <c r="AB1282">
        <f>IF(ISNUMBER(AA1282),'자료_거시'!$J1264,"")</f>
        <v/>
      </c>
      <c r="AC1282">
        <f>IF(ISNUMBER(AB1282),IF(AB1282&gt;$L$8,AA1282,""),"")</f>
        <v/>
      </c>
    </row>
    <row r="1283">
      <c r="S1283">
        <f>IF(ISNUMBER('자료_거시'!$E1265),'자료_거시'!$E1265,S1282)</f>
        <v/>
      </c>
      <c r="T1283">
        <f>IF(AND(ISNUMBER('자료_거시'!$D1265),ISNUMBER('자료_거시'!$E1265)),IFERROR('자료_거시'!$E1265-INDEX($S$21:$S$4020,MATCH(EDATE('자료_거시'!$D1265,-'설정'!$B$17),'자료_거시'!$D$3:INDEX('자료_거시'!$D$3:$D$4002,$K$6),1)),""),"")</f>
        <v/>
      </c>
      <c r="U1283">
        <f>IF(ISNUMBER(T1283),'자료_거시'!$D1265,"")</f>
        <v/>
      </c>
      <c r="V1283">
        <f>IF(ISNUMBER(U1283),IF(U1283&gt;$L$6,T1283,""),"")</f>
        <v/>
      </c>
      <c r="W1283">
        <f>IF(AND(ISNUMBER('자료_거시'!$G1265),ISNUMBER('자료_거시'!$H1265)),'자료_거시'!$H1265,"")</f>
        <v/>
      </c>
      <c r="X1283">
        <f>IF(ISNUMBER(W1283),'자료_거시'!$G1265,"")</f>
        <v/>
      </c>
      <c r="Y1283">
        <f>IF(ISNUMBER(X1283),IF(X1283&gt;$L$7,W1283,""),"")</f>
        <v/>
      </c>
      <c r="Z1283">
        <f>IF(ISNUMBER('자료_거시'!$K1265),'자료_거시'!$K1265,Z1282)</f>
        <v/>
      </c>
      <c r="AA1283">
        <f>IF(AND(ISNUMBER('자료_거시'!$J1265),ISNUMBER('자료_거시'!$K1265)),IFERROR('자료_거시'!$K1265/INDEX($Z$21:$Z$4020,MATCH(EDATE('자료_거시'!$J1265,-'설정'!$B$17),'자료_거시'!$J$3:INDEX('자료_거시'!$J$3:$J$4002,$K$8),1))-1,""),"")</f>
        <v/>
      </c>
      <c r="AB1283">
        <f>IF(ISNUMBER(AA1283),'자료_거시'!$J1265,"")</f>
        <v/>
      </c>
      <c r="AC1283">
        <f>IF(ISNUMBER(AB1283),IF(AB1283&gt;$L$8,AA1283,""),"")</f>
        <v/>
      </c>
    </row>
    <row r="1284">
      <c r="S1284">
        <f>IF(ISNUMBER('자료_거시'!$E1266),'자료_거시'!$E1266,S1283)</f>
        <v/>
      </c>
      <c r="T1284">
        <f>IF(AND(ISNUMBER('자료_거시'!$D1266),ISNUMBER('자료_거시'!$E1266)),IFERROR('자료_거시'!$E1266-INDEX($S$21:$S$4020,MATCH(EDATE('자료_거시'!$D1266,-'설정'!$B$17),'자료_거시'!$D$3:INDEX('자료_거시'!$D$3:$D$4002,$K$6),1)),""),"")</f>
        <v/>
      </c>
      <c r="U1284">
        <f>IF(ISNUMBER(T1284),'자료_거시'!$D1266,"")</f>
        <v/>
      </c>
      <c r="V1284">
        <f>IF(ISNUMBER(U1284),IF(U1284&gt;$L$6,T1284,""),"")</f>
        <v/>
      </c>
      <c r="W1284">
        <f>IF(AND(ISNUMBER('자료_거시'!$G1266),ISNUMBER('자료_거시'!$H1266)),'자료_거시'!$H1266,"")</f>
        <v/>
      </c>
      <c r="X1284">
        <f>IF(ISNUMBER(W1284),'자료_거시'!$G1266,"")</f>
        <v/>
      </c>
      <c r="Y1284">
        <f>IF(ISNUMBER(X1284),IF(X1284&gt;$L$7,W1284,""),"")</f>
        <v/>
      </c>
      <c r="Z1284">
        <f>IF(ISNUMBER('자료_거시'!$K1266),'자료_거시'!$K1266,Z1283)</f>
        <v/>
      </c>
      <c r="AA1284">
        <f>IF(AND(ISNUMBER('자료_거시'!$J1266),ISNUMBER('자료_거시'!$K1266)),IFERROR('자료_거시'!$K1266/INDEX($Z$21:$Z$4020,MATCH(EDATE('자료_거시'!$J1266,-'설정'!$B$17),'자료_거시'!$J$3:INDEX('자료_거시'!$J$3:$J$4002,$K$8),1))-1,""),"")</f>
        <v/>
      </c>
      <c r="AB1284">
        <f>IF(ISNUMBER(AA1284),'자료_거시'!$J1266,"")</f>
        <v/>
      </c>
      <c r="AC1284">
        <f>IF(ISNUMBER(AB1284),IF(AB1284&gt;$L$8,AA1284,""),"")</f>
        <v/>
      </c>
    </row>
    <row r="1285">
      <c r="S1285">
        <f>IF(ISNUMBER('자료_거시'!$E1267),'자료_거시'!$E1267,S1284)</f>
        <v/>
      </c>
      <c r="T1285">
        <f>IF(AND(ISNUMBER('자료_거시'!$D1267),ISNUMBER('자료_거시'!$E1267)),IFERROR('자료_거시'!$E1267-INDEX($S$21:$S$4020,MATCH(EDATE('자료_거시'!$D1267,-'설정'!$B$17),'자료_거시'!$D$3:INDEX('자료_거시'!$D$3:$D$4002,$K$6),1)),""),"")</f>
        <v/>
      </c>
      <c r="U1285">
        <f>IF(ISNUMBER(T1285),'자료_거시'!$D1267,"")</f>
        <v/>
      </c>
      <c r="V1285">
        <f>IF(ISNUMBER(U1285),IF(U1285&gt;$L$6,T1285,""),"")</f>
        <v/>
      </c>
      <c r="W1285">
        <f>IF(AND(ISNUMBER('자료_거시'!$G1267),ISNUMBER('자료_거시'!$H1267)),'자료_거시'!$H1267,"")</f>
        <v/>
      </c>
      <c r="X1285">
        <f>IF(ISNUMBER(W1285),'자료_거시'!$G1267,"")</f>
        <v/>
      </c>
      <c r="Y1285">
        <f>IF(ISNUMBER(X1285),IF(X1285&gt;$L$7,W1285,""),"")</f>
        <v/>
      </c>
      <c r="Z1285">
        <f>IF(ISNUMBER('자료_거시'!$K1267),'자료_거시'!$K1267,Z1284)</f>
        <v/>
      </c>
      <c r="AA1285">
        <f>IF(AND(ISNUMBER('자료_거시'!$J1267),ISNUMBER('자료_거시'!$K1267)),IFERROR('자료_거시'!$K1267/INDEX($Z$21:$Z$4020,MATCH(EDATE('자료_거시'!$J1267,-'설정'!$B$17),'자료_거시'!$J$3:INDEX('자료_거시'!$J$3:$J$4002,$K$8),1))-1,""),"")</f>
        <v/>
      </c>
      <c r="AB1285">
        <f>IF(ISNUMBER(AA1285),'자료_거시'!$J1267,"")</f>
        <v/>
      </c>
      <c r="AC1285">
        <f>IF(ISNUMBER(AB1285),IF(AB1285&gt;$L$8,AA1285,""),"")</f>
        <v/>
      </c>
    </row>
    <row r="1286">
      <c r="S1286">
        <f>IF(ISNUMBER('자료_거시'!$E1268),'자료_거시'!$E1268,S1285)</f>
        <v/>
      </c>
      <c r="T1286">
        <f>IF(AND(ISNUMBER('자료_거시'!$D1268),ISNUMBER('자료_거시'!$E1268)),IFERROR('자료_거시'!$E1268-INDEX($S$21:$S$4020,MATCH(EDATE('자료_거시'!$D1268,-'설정'!$B$17),'자료_거시'!$D$3:INDEX('자료_거시'!$D$3:$D$4002,$K$6),1)),""),"")</f>
        <v/>
      </c>
      <c r="U1286">
        <f>IF(ISNUMBER(T1286),'자료_거시'!$D1268,"")</f>
        <v/>
      </c>
      <c r="V1286">
        <f>IF(ISNUMBER(U1286),IF(U1286&gt;$L$6,T1286,""),"")</f>
        <v/>
      </c>
      <c r="W1286">
        <f>IF(AND(ISNUMBER('자료_거시'!$G1268),ISNUMBER('자료_거시'!$H1268)),'자료_거시'!$H1268,"")</f>
        <v/>
      </c>
      <c r="X1286">
        <f>IF(ISNUMBER(W1286),'자료_거시'!$G1268,"")</f>
        <v/>
      </c>
      <c r="Y1286">
        <f>IF(ISNUMBER(X1286),IF(X1286&gt;$L$7,W1286,""),"")</f>
        <v/>
      </c>
      <c r="Z1286">
        <f>IF(ISNUMBER('자료_거시'!$K1268),'자료_거시'!$K1268,Z1285)</f>
        <v/>
      </c>
      <c r="AA1286">
        <f>IF(AND(ISNUMBER('자료_거시'!$J1268),ISNUMBER('자료_거시'!$K1268)),IFERROR('자료_거시'!$K1268/INDEX($Z$21:$Z$4020,MATCH(EDATE('자료_거시'!$J1268,-'설정'!$B$17),'자료_거시'!$J$3:INDEX('자료_거시'!$J$3:$J$4002,$K$8),1))-1,""),"")</f>
        <v/>
      </c>
      <c r="AB1286">
        <f>IF(ISNUMBER(AA1286),'자료_거시'!$J1268,"")</f>
        <v/>
      </c>
      <c r="AC1286">
        <f>IF(ISNUMBER(AB1286),IF(AB1286&gt;$L$8,AA1286,""),"")</f>
        <v/>
      </c>
    </row>
    <row r="1287">
      <c r="S1287">
        <f>IF(ISNUMBER('자료_거시'!$E1269),'자료_거시'!$E1269,S1286)</f>
        <v/>
      </c>
      <c r="T1287">
        <f>IF(AND(ISNUMBER('자료_거시'!$D1269),ISNUMBER('자료_거시'!$E1269)),IFERROR('자료_거시'!$E1269-INDEX($S$21:$S$4020,MATCH(EDATE('자료_거시'!$D1269,-'설정'!$B$17),'자료_거시'!$D$3:INDEX('자료_거시'!$D$3:$D$4002,$K$6),1)),""),"")</f>
        <v/>
      </c>
      <c r="U1287">
        <f>IF(ISNUMBER(T1287),'자료_거시'!$D1269,"")</f>
        <v/>
      </c>
      <c r="V1287">
        <f>IF(ISNUMBER(U1287),IF(U1287&gt;$L$6,T1287,""),"")</f>
        <v/>
      </c>
      <c r="W1287">
        <f>IF(AND(ISNUMBER('자료_거시'!$G1269),ISNUMBER('자료_거시'!$H1269)),'자료_거시'!$H1269,"")</f>
        <v/>
      </c>
      <c r="X1287">
        <f>IF(ISNUMBER(W1287),'자료_거시'!$G1269,"")</f>
        <v/>
      </c>
      <c r="Y1287">
        <f>IF(ISNUMBER(X1287),IF(X1287&gt;$L$7,W1287,""),"")</f>
        <v/>
      </c>
      <c r="Z1287">
        <f>IF(ISNUMBER('자료_거시'!$K1269),'자료_거시'!$K1269,Z1286)</f>
        <v/>
      </c>
      <c r="AA1287">
        <f>IF(AND(ISNUMBER('자료_거시'!$J1269),ISNUMBER('자료_거시'!$K1269)),IFERROR('자료_거시'!$K1269/INDEX($Z$21:$Z$4020,MATCH(EDATE('자료_거시'!$J1269,-'설정'!$B$17),'자료_거시'!$J$3:INDEX('자료_거시'!$J$3:$J$4002,$K$8),1))-1,""),"")</f>
        <v/>
      </c>
      <c r="AB1287">
        <f>IF(ISNUMBER(AA1287),'자료_거시'!$J1269,"")</f>
        <v/>
      </c>
      <c r="AC1287">
        <f>IF(ISNUMBER(AB1287),IF(AB1287&gt;$L$8,AA1287,""),"")</f>
        <v/>
      </c>
    </row>
    <row r="1288">
      <c r="S1288">
        <f>IF(ISNUMBER('자료_거시'!$E1270),'자료_거시'!$E1270,S1287)</f>
        <v/>
      </c>
      <c r="T1288">
        <f>IF(AND(ISNUMBER('자료_거시'!$D1270),ISNUMBER('자료_거시'!$E1270)),IFERROR('자료_거시'!$E1270-INDEX($S$21:$S$4020,MATCH(EDATE('자료_거시'!$D1270,-'설정'!$B$17),'자료_거시'!$D$3:INDEX('자료_거시'!$D$3:$D$4002,$K$6),1)),""),"")</f>
        <v/>
      </c>
      <c r="U1288">
        <f>IF(ISNUMBER(T1288),'자료_거시'!$D1270,"")</f>
        <v/>
      </c>
      <c r="V1288">
        <f>IF(ISNUMBER(U1288),IF(U1288&gt;$L$6,T1288,""),"")</f>
        <v/>
      </c>
      <c r="W1288">
        <f>IF(AND(ISNUMBER('자료_거시'!$G1270),ISNUMBER('자료_거시'!$H1270)),'자료_거시'!$H1270,"")</f>
        <v/>
      </c>
      <c r="X1288">
        <f>IF(ISNUMBER(W1288),'자료_거시'!$G1270,"")</f>
        <v/>
      </c>
      <c r="Y1288">
        <f>IF(ISNUMBER(X1288),IF(X1288&gt;$L$7,W1288,""),"")</f>
        <v/>
      </c>
      <c r="Z1288">
        <f>IF(ISNUMBER('자료_거시'!$K1270),'자료_거시'!$K1270,Z1287)</f>
        <v/>
      </c>
      <c r="AA1288">
        <f>IF(AND(ISNUMBER('자료_거시'!$J1270),ISNUMBER('자료_거시'!$K1270)),IFERROR('자료_거시'!$K1270/INDEX($Z$21:$Z$4020,MATCH(EDATE('자료_거시'!$J1270,-'설정'!$B$17),'자료_거시'!$J$3:INDEX('자료_거시'!$J$3:$J$4002,$K$8),1))-1,""),"")</f>
        <v/>
      </c>
      <c r="AB1288">
        <f>IF(ISNUMBER(AA1288),'자료_거시'!$J1270,"")</f>
        <v/>
      </c>
      <c r="AC1288">
        <f>IF(ISNUMBER(AB1288),IF(AB1288&gt;$L$8,AA1288,""),"")</f>
        <v/>
      </c>
    </row>
    <row r="1289">
      <c r="S1289">
        <f>IF(ISNUMBER('자료_거시'!$E1271),'자료_거시'!$E1271,S1288)</f>
        <v/>
      </c>
      <c r="T1289">
        <f>IF(AND(ISNUMBER('자료_거시'!$D1271),ISNUMBER('자료_거시'!$E1271)),IFERROR('자료_거시'!$E1271-INDEX($S$21:$S$4020,MATCH(EDATE('자료_거시'!$D1271,-'설정'!$B$17),'자료_거시'!$D$3:INDEX('자료_거시'!$D$3:$D$4002,$K$6),1)),""),"")</f>
        <v/>
      </c>
      <c r="U1289">
        <f>IF(ISNUMBER(T1289),'자료_거시'!$D1271,"")</f>
        <v/>
      </c>
      <c r="V1289">
        <f>IF(ISNUMBER(U1289),IF(U1289&gt;$L$6,T1289,""),"")</f>
        <v/>
      </c>
      <c r="W1289">
        <f>IF(AND(ISNUMBER('자료_거시'!$G1271),ISNUMBER('자료_거시'!$H1271)),'자료_거시'!$H1271,"")</f>
        <v/>
      </c>
      <c r="X1289">
        <f>IF(ISNUMBER(W1289),'자료_거시'!$G1271,"")</f>
        <v/>
      </c>
      <c r="Y1289">
        <f>IF(ISNUMBER(X1289),IF(X1289&gt;$L$7,W1289,""),"")</f>
        <v/>
      </c>
      <c r="Z1289">
        <f>IF(ISNUMBER('자료_거시'!$K1271),'자료_거시'!$K1271,Z1288)</f>
        <v/>
      </c>
      <c r="AA1289">
        <f>IF(AND(ISNUMBER('자료_거시'!$J1271),ISNUMBER('자료_거시'!$K1271)),IFERROR('자료_거시'!$K1271/INDEX($Z$21:$Z$4020,MATCH(EDATE('자료_거시'!$J1271,-'설정'!$B$17),'자료_거시'!$J$3:INDEX('자료_거시'!$J$3:$J$4002,$K$8),1))-1,""),"")</f>
        <v/>
      </c>
      <c r="AB1289">
        <f>IF(ISNUMBER(AA1289),'자료_거시'!$J1271,"")</f>
        <v/>
      </c>
      <c r="AC1289">
        <f>IF(ISNUMBER(AB1289),IF(AB1289&gt;$L$8,AA1289,""),"")</f>
        <v/>
      </c>
    </row>
    <row r="1290">
      <c r="S1290">
        <f>IF(ISNUMBER('자료_거시'!$E1272),'자료_거시'!$E1272,S1289)</f>
        <v/>
      </c>
      <c r="T1290">
        <f>IF(AND(ISNUMBER('자료_거시'!$D1272),ISNUMBER('자료_거시'!$E1272)),IFERROR('자료_거시'!$E1272-INDEX($S$21:$S$4020,MATCH(EDATE('자료_거시'!$D1272,-'설정'!$B$17),'자료_거시'!$D$3:INDEX('자료_거시'!$D$3:$D$4002,$K$6),1)),""),"")</f>
        <v/>
      </c>
      <c r="U1290">
        <f>IF(ISNUMBER(T1290),'자료_거시'!$D1272,"")</f>
        <v/>
      </c>
      <c r="V1290">
        <f>IF(ISNUMBER(U1290),IF(U1290&gt;$L$6,T1290,""),"")</f>
        <v/>
      </c>
      <c r="W1290">
        <f>IF(AND(ISNUMBER('자료_거시'!$G1272),ISNUMBER('자료_거시'!$H1272)),'자료_거시'!$H1272,"")</f>
        <v/>
      </c>
      <c r="X1290">
        <f>IF(ISNUMBER(W1290),'자료_거시'!$G1272,"")</f>
        <v/>
      </c>
      <c r="Y1290">
        <f>IF(ISNUMBER(X1290),IF(X1290&gt;$L$7,W1290,""),"")</f>
        <v/>
      </c>
      <c r="Z1290">
        <f>IF(ISNUMBER('자료_거시'!$K1272),'자료_거시'!$K1272,Z1289)</f>
        <v/>
      </c>
      <c r="AA1290">
        <f>IF(AND(ISNUMBER('자료_거시'!$J1272),ISNUMBER('자료_거시'!$K1272)),IFERROR('자료_거시'!$K1272/INDEX($Z$21:$Z$4020,MATCH(EDATE('자료_거시'!$J1272,-'설정'!$B$17),'자료_거시'!$J$3:INDEX('자료_거시'!$J$3:$J$4002,$K$8),1))-1,""),"")</f>
        <v/>
      </c>
      <c r="AB1290">
        <f>IF(ISNUMBER(AA1290),'자료_거시'!$J1272,"")</f>
        <v/>
      </c>
      <c r="AC1290">
        <f>IF(ISNUMBER(AB1290),IF(AB1290&gt;$L$8,AA1290,""),"")</f>
        <v/>
      </c>
    </row>
    <row r="1291">
      <c r="S1291">
        <f>IF(ISNUMBER('자료_거시'!$E1273),'자료_거시'!$E1273,S1290)</f>
        <v/>
      </c>
      <c r="T1291">
        <f>IF(AND(ISNUMBER('자료_거시'!$D1273),ISNUMBER('자료_거시'!$E1273)),IFERROR('자료_거시'!$E1273-INDEX($S$21:$S$4020,MATCH(EDATE('자료_거시'!$D1273,-'설정'!$B$17),'자료_거시'!$D$3:INDEX('자료_거시'!$D$3:$D$4002,$K$6),1)),""),"")</f>
        <v/>
      </c>
      <c r="U1291">
        <f>IF(ISNUMBER(T1291),'자료_거시'!$D1273,"")</f>
        <v/>
      </c>
      <c r="V1291">
        <f>IF(ISNUMBER(U1291),IF(U1291&gt;$L$6,T1291,""),"")</f>
        <v/>
      </c>
      <c r="W1291">
        <f>IF(AND(ISNUMBER('자료_거시'!$G1273),ISNUMBER('자료_거시'!$H1273)),'자료_거시'!$H1273,"")</f>
        <v/>
      </c>
      <c r="X1291">
        <f>IF(ISNUMBER(W1291),'자료_거시'!$G1273,"")</f>
        <v/>
      </c>
      <c r="Y1291">
        <f>IF(ISNUMBER(X1291),IF(X1291&gt;$L$7,W1291,""),"")</f>
        <v/>
      </c>
      <c r="Z1291">
        <f>IF(ISNUMBER('자료_거시'!$K1273),'자료_거시'!$K1273,Z1290)</f>
        <v/>
      </c>
      <c r="AA1291">
        <f>IF(AND(ISNUMBER('자료_거시'!$J1273),ISNUMBER('자료_거시'!$K1273)),IFERROR('자료_거시'!$K1273/INDEX($Z$21:$Z$4020,MATCH(EDATE('자료_거시'!$J1273,-'설정'!$B$17),'자료_거시'!$J$3:INDEX('자료_거시'!$J$3:$J$4002,$K$8),1))-1,""),"")</f>
        <v/>
      </c>
      <c r="AB1291">
        <f>IF(ISNUMBER(AA1291),'자료_거시'!$J1273,"")</f>
        <v/>
      </c>
      <c r="AC1291">
        <f>IF(ISNUMBER(AB1291),IF(AB1291&gt;$L$8,AA1291,""),"")</f>
        <v/>
      </c>
    </row>
    <row r="1292">
      <c r="S1292">
        <f>IF(ISNUMBER('자료_거시'!$E1274),'자료_거시'!$E1274,S1291)</f>
        <v/>
      </c>
      <c r="T1292">
        <f>IF(AND(ISNUMBER('자료_거시'!$D1274),ISNUMBER('자료_거시'!$E1274)),IFERROR('자료_거시'!$E1274-INDEX($S$21:$S$4020,MATCH(EDATE('자료_거시'!$D1274,-'설정'!$B$17),'자료_거시'!$D$3:INDEX('자료_거시'!$D$3:$D$4002,$K$6),1)),""),"")</f>
        <v/>
      </c>
      <c r="U1292">
        <f>IF(ISNUMBER(T1292),'자료_거시'!$D1274,"")</f>
        <v/>
      </c>
      <c r="V1292">
        <f>IF(ISNUMBER(U1292),IF(U1292&gt;$L$6,T1292,""),"")</f>
        <v/>
      </c>
      <c r="W1292">
        <f>IF(AND(ISNUMBER('자료_거시'!$G1274),ISNUMBER('자료_거시'!$H1274)),'자료_거시'!$H1274,"")</f>
        <v/>
      </c>
      <c r="X1292">
        <f>IF(ISNUMBER(W1292),'자료_거시'!$G1274,"")</f>
        <v/>
      </c>
      <c r="Y1292">
        <f>IF(ISNUMBER(X1292),IF(X1292&gt;$L$7,W1292,""),"")</f>
        <v/>
      </c>
      <c r="Z1292">
        <f>IF(ISNUMBER('자료_거시'!$K1274),'자료_거시'!$K1274,Z1291)</f>
        <v/>
      </c>
      <c r="AA1292">
        <f>IF(AND(ISNUMBER('자료_거시'!$J1274),ISNUMBER('자료_거시'!$K1274)),IFERROR('자료_거시'!$K1274/INDEX($Z$21:$Z$4020,MATCH(EDATE('자료_거시'!$J1274,-'설정'!$B$17),'자료_거시'!$J$3:INDEX('자료_거시'!$J$3:$J$4002,$K$8),1))-1,""),"")</f>
        <v/>
      </c>
      <c r="AB1292">
        <f>IF(ISNUMBER(AA1292),'자료_거시'!$J1274,"")</f>
        <v/>
      </c>
      <c r="AC1292">
        <f>IF(ISNUMBER(AB1292),IF(AB1292&gt;$L$8,AA1292,""),"")</f>
        <v/>
      </c>
    </row>
    <row r="1293">
      <c r="S1293">
        <f>IF(ISNUMBER('자료_거시'!$E1275),'자료_거시'!$E1275,S1292)</f>
        <v/>
      </c>
      <c r="T1293">
        <f>IF(AND(ISNUMBER('자료_거시'!$D1275),ISNUMBER('자료_거시'!$E1275)),IFERROR('자료_거시'!$E1275-INDEX($S$21:$S$4020,MATCH(EDATE('자료_거시'!$D1275,-'설정'!$B$17),'자료_거시'!$D$3:INDEX('자료_거시'!$D$3:$D$4002,$K$6),1)),""),"")</f>
        <v/>
      </c>
      <c r="U1293">
        <f>IF(ISNUMBER(T1293),'자료_거시'!$D1275,"")</f>
        <v/>
      </c>
      <c r="V1293">
        <f>IF(ISNUMBER(U1293),IF(U1293&gt;$L$6,T1293,""),"")</f>
        <v/>
      </c>
      <c r="W1293">
        <f>IF(AND(ISNUMBER('자료_거시'!$G1275),ISNUMBER('자료_거시'!$H1275)),'자료_거시'!$H1275,"")</f>
        <v/>
      </c>
      <c r="X1293">
        <f>IF(ISNUMBER(W1293),'자료_거시'!$G1275,"")</f>
        <v/>
      </c>
      <c r="Y1293">
        <f>IF(ISNUMBER(X1293),IF(X1293&gt;$L$7,W1293,""),"")</f>
        <v/>
      </c>
      <c r="Z1293">
        <f>IF(ISNUMBER('자료_거시'!$K1275),'자료_거시'!$K1275,Z1292)</f>
        <v/>
      </c>
      <c r="AA1293">
        <f>IF(AND(ISNUMBER('자료_거시'!$J1275),ISNUMBER('자료_거시'!$K1275)),IFERROR('자료_거시'!$K1275/INDEX($Z$21:$Z$4020,MATCH(EDATE('자료_거시'!$J1275,-'설정'!$B$17),'자료_거시'!$J$3:INDEX('자료_거시'!$J$3:$J$4002,$K$8),1))-1,""),"")</f>
        <v/>
      </c>
      <c r="AB1293">
        <f>IF(ISNUMBER(AA1293),'자료_거시'!$J1275,"")</f>
        <v/>
      </c>
      <c r="AC1293">
        <f>IF(ISNUMBER(AB1293),IF(AB1293&gt;$L$8,AA1293,""),"")</f>
        <v/>
      </c>
    </row>
    <row r="1294">
      <c r="S1294">
        <f>IF(ISNUMBER('자료_거시'!$E1276),'자료_거시'!$E1276,S1293)</f>
        <v/>
      </c>
      <c r="T1294">
        <f>IF(AND(ISNUMBER('자료_거시'!$D1276),ISNUMBER('자료_거시'!$E1276)),IFERROR('자료_거시'!$E1276-INDEX($S$21:$S$4020,MATCH(EDATE('자료_거시'!$D1276,-'설정'!$B$17),'자료_거시'!$D$3:INDEX('자료_거시'!$D$3:$D$4002,$K$6),1)),""),"")</f>
        <v/>
      </c>
      <c r="U1294">
        <f>IF(ISNUMBER(T1294),'자료_거시'!$D1276,"")</f>
        <v/>
      </c>
      <c r="V1294">
        <f>IF(ISNUMBER(U1294),IF(U1294&gt;$L$6,T1294,""),"")</f>
        <v/>
      </c>
      <c r="W1294">
        <f>IF(AND(ISNUMBER('자료_거시'!$G1276),ISNUMBER('자료_거시'!$H1276)),'자료_거시'!$H1276,"")</f>
        <v/>
      </c>
      <c r="X1294">
        <f>IF(ISNUMBER(W1294),'자료_거시'!$G1276,"")</f>
        <v/>
      </c>
      <c r="Y1294">
        <f>IF(ISNUMBER(X1294),IF(X1294&gt;$L$7,W1294,""),"")</f>
        <v/>
      </c>
      <c r="Z1294">
        <f>IF(ISNUMBER('자료_거시'!$K1276),'자료_거시'!$K1276,Z1293)</f>
        <v/>
      </c>
      <c r="AA1294">
        <f>IF(AND(ISNUMBER('자료_거시'!$J1276),ISNUMBER('자료_거시'!$K1276)),IFERROR('자료_거시'!$K1276/INDEX($Z$21:$Z$4020,MATCH(EDATE('자료_거시'!$J1276,-'설정'!$B$17),'자료_거시'!$J$3:INDEX('자료_거시'!$J$3:$J$4002,$K$8),1))-1,""),"")</f>
        <v/>
      </c>
      <c r="AB1294">
        <f>IF(ISNUMBER(AA1294),'자료_거시'!$J1276,"")</f>
        <v/>
      </c>
      <c r="AC1294">
        <f>IF(ISNUMBER(AB1294),IF(AB1294&gt;$L$8,AA1294,""),"")</f>
        <v/>
      </c>
    </row>
    <row r="1295">
      <c r="S1295">
        <f>IF(ISNUMBER('자료_거시'!$E1277),'자료_거시'!$E1277,S1294)</f>
        <v/>
      </c>
      <c r="T1295">
        <f>IF(AND(ISNUMBER('자료_거시'!$D1277),ISNUMBER('자료_거시'!$E1277)),IFERROR('자료_거시'!$E1277-INDEX($S$21:$S$4020,MATCH(EDATE('자료_거시'!$D1277,-'설정'!$B$17),'자료_거시'!$D$3:INDEX('자료_거시'!$D$3:$D$4002,$K$6),1)),""),"")</f>
        <v/>
      </c>
      <c r="U1295">
        <f>IF(ISNUMBER(T1295),'자료_거시'!$D1277,"")</f>
        <v/>
      </c>
      <c r="V1295">
        <f>IF(ISNUMBER(U1295),IF(U1295&gt;$L$6,T1295,""),"")</f>
        <v/>
      </c>
      <c r="W1295">
        <f>IF(AND(ISNUMBER('자료_거시'!$G1277),ISNUMBER('자료_거시'!$H1277)),'자료_거시'!$H1277,"")</f>
        <v/>
      </c>
      <c r="X1295">
        <f>IF(ISNUMBER(W1295),'자료_거시'!$G1277,"")</f>
        <v/>
      </c>
      <c r="Y1295">
        <f>IF(ISNUMBER(X1295),IF(X1295&gt;$L$7,W1295,""),"")</f>
        <v/>
      </c>
      <c r="Z1295">
        <f>IF(ISNUMBER('자료_거시'!$K1277),'자료_거시'!$K1277,Z1294)</f>
        <v/>
      </c>
      <c r="AA1295">
        <f>IF(AND(ISNUMBER('자료_거시'!$J1277),ISNUMBER('자료_거시'!$K1277)),IFERROR('자료_거시'!$K1277/INDEX($Z$21:$Z$4020,MATCH(EDATE('자료_거시'!$J1277,-'설정'!$B$17),'자료_거시'!$J$3:INDEX('자료_거시'!$J$3:$J$4002,$K$8),1))-1,""),"")</f>
        <v/>
      </c>
      <c r="AB1295">
        <f>IF(ISNUMBER(AA1295),'자료_거시'!$J1277,"")</f>
        <v/>
      </c>
      <c r="AC1295">
        <f>IF(ISNUMBER(AB1295),IF(AB1295&gt;$L$8,AA1295,""),"")</f>
        <v/>
      </c>
    </row>
    <row r="1296">
      <c r="S1296">
        <f>IF(ISNUMBER('자료_거시'!$E1278),'자료_거시'!$E1278,S1295)</f>
        <v/>
      </c>
      <c r="T1296">
        <f>IF(AND(ISNUMBER('자료_거시'!$D1278),ISNUMBER('자료_거시'!$E1278)),IFERROR('자료_거시'!$E1278-INDEX($S$21:$S$4020,MATCH(EDATE('자료_거시'!$D1278,-'설정'!$B$17),'자료_거시'!$D$3:INDEX('자료_거시'!$D$3:$D$4002,$K$6),1)),""),"")</f>
        <v/>
      </c>
      <c r="U1296">
        <f>IF(ISNUMBER(T1296),'자료_거시'!$D1278,"")</f>
        <v/>
      </c>
      <c r="V1296">
        <f>IF(ISNUMBER(U1296),IF(U1296&gt;$L$6,T1296,""),"")</f>
        <v/>
      </c>
      <c r="W1296">
        <f>IF(AND(ISNUMBER('자료_거시'!$G1278),ISNUMBER('자료_거시'!$H1278)),'자료_거시'!$H1278,"")</f>
        <v/>
      </c>
      <c r="X1296">
        <f>IF(ISNUMBER(W1296),'자료_거시'!$G1278,"")</f>
        <v/>
      </c>
      <c r="Y1296">
        <f>IF(ISNUMBER(X1296),IF(X1296&gt;$L$7,W1296,""),"")</f>
        <v/>
      </c>
      <c r="Z1296">
        <f>IF(ISNUMBER('자료_거시'!$K1278),'자료_거시'!$K1278,Z1295)</f>
        <v/>
      </c>
      <c r="AA1296">
        <f>IF(AND(ISNUMBER('자료_거시'!$J1278),ISNUMBER('자료_거시'!$K1278)),IFERROR('자료_거시'!$K1278/INDEX($Z$21:$Z$4020,MATCH(EDATE('자료_거시'!$J1278,-'설정'!$B$17),'자료_거시'!$J$3:INDEX('자료_거시'!$J$3:$J$4002,$K$8),1))-1,""),"")</f>
        <v/>
      </c>
      <c r="AB1296">
        <f>IF(ISNUMBER(AA1296),'자료_거시'!$J1278,"")</f>
        <v/>
      </c>
      <c r="AC1296">
        <f>IF(ISNUMBER(AB1296),IF(AB1296&gt;$L$8,AA1296,""),"")</f>
        <v/>
      </c>
    </row>
    <row r="1297">
      <c r="S1297">
        <f>IF(ISNUMBER('자료_거시'!$E1279),'자료_거시'!$E1279,S1296)</f>
        <v/>
      </c>
      <c r="T1297">
        <f>IF(AND(ISNUMBER('자료_거시'!$D1279),ISNUMBER('자료_거시'!$E1279)),IFERROR('자료_거시'!$E1279-INDEX($S$21:$S$4020,MATCH(EDATE('자료_거시'!$D1279,-'설정'!$B$17),'자료_거시'!$D$3:INDEX('자료_거시'!$D$3:$D$4002,$K$6),1)),""),"")</f>
        <v/>
      </c>
      <c r="U1297">
        <f>IF(ISNUMBER(T1297),'자료_거시'!$D1279,"")</f>
        <v/>
      </c>
      <c r="V1297">
        <f>IF(ISNUMBER(U1297),IF(U1297&gt;$L$6,T1297,""),"")</f>
        <v/>
      </c>
      <c r="W1297">
        <f>IF(AND(ISNUMBER('자료_거시'!$G1279),ISNUMBER('자료_거시'!$H1279)),'자료_거시'!$H1279,"")</f>
        <v/>
      </c>
      <c r="X1297">
        <f>IF(ISNUMBER(W1297),'자료_거시'!$G1279,"")</f>
        <v/>
      </c>
      <c r="Y1297">
        <f>IF(ISNUMBER(X1297),IF(X1297&gt;$L$7,W1297,""),"")</f>
        <v/>
      </c>
      <c r="Z1297">
        <f>IF(ISNUMBER('자료_거시'!$K1279),'자료_거시'!$K1279,Z1296)</f>
        <v/>
      </c>
      <c r="AA1297">
        <f>IF(AND(ISNUMBER('자료_거시'!$J1279),ISNUMBER('자료_거시'!$K1279)),IFERROR('자료_거시'!$K1279/INDEX($Z$21:$Z$4020,MATCH(EDATE('자료_거시'!$J1279,-'설정'!$B$17),'자료_거시'!$J$3:INDEX('자료_거시'!$J$3:$J$4002,$K$8),1))-1,""),"")</f>
        <v/>
      </c>
      <c r="AB1297">
        <f>IF(ISNUMBER(AA1297),'자료_거시'!$J1279,"")</f>
        <v/>
      </c>
      <c r="AC1297">
        <f>IF(ISNUMBER(AB1297),IF(AB1297&gt;$L$8,AA1297,""),"")</f>
        <v/>
      </c>
    </row>
    <row r="1298">
      <c r="S1298">
        <f>IF(ISNUMBER('자료_거시'!$E1280),'자료_거시'!$E1280,S1297)</f>
        <v/>
      </c>
      <c r="T1298">
        <f>IF(AND(ISNUMBER('자료_거시'!$D1280),ISNUMBER('자료_거시'!$E1280)),IFERROR('자료_거시'!$E1280-INDEX($S$21:$S$4020,MATCH(EDATE('자료_거시'!$D1280,-'설정'!$B$17),'자료_거시'!$D$3:INDEX('자료_거시'!$D$3:$D$4002,$K$6),1)),""),"")</f>
        <v/>
      </c>
      <c r="U1298">
        <f>IF(ISNUMBER(T1298),'자료_거시'!$D1280,"")</f>
        <v/>
      </c>
      <c r="V1298">
        <f>IF(ISNUMBER(U1298),IF(U1298&gt;$L$6,T1298,""),"")</f>
        <v/>
      </c>
      <c r="W1298">
        <f>IF(AND(ISNUMBER('자료_거시'!$G1280),ISNUMBER('자료_거시'!$H1280)),'자료_거시'!$H1280,"")</f>
        <v/>
      </c>
      <c r="X1298">
        <f>IF(ISNUMBER(W1298),'자료_거시'!$G1280,"")</f>
        <v/>
      </c>
      <c r="Y1298">
        <f>IF(ISNUMBER(X1298),IF(X1298&gt;$L$7,W1298,""),"")</f>
        <v/>
      </c>
      <c r="Z1298">
        <f>IF(ISNUMBER('자료_거시'!$K1280),'자료_거시'!$K1280,Z1297)</f>
        <v/>
      </c>
      <c r="AA1298">
        <f>IF(AND(ISNUMBER('자료_거시'!$J1280),ISNUMBER('자료_거시'!$K1280)),IFERROR('자료_거시'!$K1280/INDEX($Z$21:$Z$4020,MATCH(EDATE('자료_거시'!$J1280,-'설정'!$B$17),'자료_거시'!$J$3:INDEX('자료_거시'!$J$3:$J$4002,$K$8),1))-1,""),"")</f>
        <v/>
      </c>
      <c r="AB1298">
        <f>IF(ISNUMBER(AA1298),'자료_거시'!$J1280,"")</f>
        <v/>
      </c>
      <c r="AC1298">
        <f>IF(ISNUMBER(AB1298),IF(AB1298&gt;$L$8,AA1298,""),"")</f>
        <v/>
      </c>
    </row>
    <row r="1299">
      <c r="S1299">
        <f>IF(ISNUMBER('자료_거시'!$E1281),'자료_거시'!$E1281,S1298)</f>
        <v/>
      </c>
      <c r="T1299">
        <f>IF(AND(ISNUMBER('자료_거시'!$D1281),ISNUMBER('자료_거시'!$E1281)),IFERROR('자료_거시'!$E1281-INDEX($S$21:$S$4020,MATCH(EDATE('자료_거시'!$D1281,-'설정'!$B$17),'자료_거시'!$D$3:INDEX('자료_거시'!$D$3:$D$4002,$K$6),1)),""),"")</f>
        <v/>
      </c>
      <c r="U1299">
        <f>IF(ISNUMBER(T1299),'자료_거시'!$D1281,"")</f>
        <v/>
      </c>
      <c r="V1299">
        <f>IF(ISNUMBER(U1299),IF(U1299&gt;$L$6,T1299,""),"")</f>
        <v/>
      </c>
      <c r="W1299">
        <f>IF(AND(ISNUMBER('자료_거시'!$G1281),ISNUMBER('자료_거시'!$H1281)),'자료_거시'!$H1281,"")</f>
        <v/>
      </c>
      <c r="X1299">
        <f>IF(ISNUMBER(W1299),'자료_거시'!$G1281,"")</f>
        <v/>
      </c>
      <c r="Y1299">
        <f>IF(ISNUMBER(X1299),IF(X1299&gt;$L$7,W1299,""),"")</f>
        <v/>
      </c>
      <c r="Z1299">
        <f>IF(ISNUMBER('자료_거시'!$K1281),'자료_거시'!$K1281,Z1298)</f>
        <v/>
      </c>
      <c r="AA1299">
        <f>IF(AND(ISNUMBER('자료_거시'!$J1281),ISNUMBER('자료_거시'!$K1281)),IFERROR('자료_거시'!$K1281/INDEX($Z$21:$Z$4020,MATCH(EDATE('자료_거시'!$J1281,-'설정'!$B$17),'자료_거시'!$J$3:INDEX('자료_거시'!$J$3:$J$4002,$K$8),1))-1,""),"")</f>
        <v/>
      </c>
      <c r="AB1299">
        <f>IF(ISNUMBER(AA1299),'자료_거시'!$J1281,"")</f>
        <v/>
      </c>
      <c r="AC1299">
        <f>IF(ISNUMBER(AB1299),IF(AB1299&gt;$L$8,AA1299,""),"")</f>
        <v/>
      </c>
    </row>
    <row r="1300">
      <c r="S1300">
        <f>IF(ISNUMBER('자료_거시'!$E1282),'자료_거시'!$E1282,S1299)</f>
        <v/>
      </c>
      <c r="T1300">
        <f>IF(AND(ISNUMBER('자료_거시'!$D1282),ISNUMBER('자료_거시'!$E1282)),IFERROR('자료_거시'!$E1282-INDEX($S$21:$S$4020,MATCH(EDATE('자료_거시'!$D1282,-'설정'!$B$17),'자료_거시'!$D$3:INDEX('자료_거시'!$D$3:$D$4002,$K$6),1)),""),"")</f>
        <v/>
      </c>
      <c r="U1300">
        <f>IF(ISNUMBER(T1300),'자료_거시'!$D1282,"")</f>
        <v/>
      </c>
      <c r="V1300">
        <f>IF(ISNUMBER(U1300),IF(U1300&gt;$L$6,T1300,""),"")</f>
        <v/>
      </c>
      <c r="W1300">
        <f>IF(AND(ISNUMBER('자료_거시'!$G1282),ISNUMBER('자료_거시'!$H1282)),'자료_거시'!$H1282,"")</f>
        <v/>
      </c>
      <c r="X1300">
        <f>IF(ISNUMBER(W1300),'자료_거시'!$G1282,"")</f>
        <v/>
      </c>
      <c r="Y1300">
        <f>IF(ISNUMBER(X1300),IF(X1300&gt;$L$7,W1300,""),"")</f>
        <v/>
      </c>
      <c r="Z1300">
        <f>IF(ISNUMBER('자료_거시'!$K1282),'자료_거시'!$K1282,Z1299)</f>
        <v/>
      </c>
      <c r="AA1300">
        <f>IF(AND(ISNUMBER('자료_거시'!$J1282),ISNUMBER('자료_거시'!$K1282)),IFERROR('자료_거시'!$K1282/INDEX($Z$21:$Z$4020,MATCH(EDATE('자료_거시'!$J1282,-'설정'!$B$17),'자료_거시'!$J$3:INDEX('자료_거시'!$J$3:$J$4002,$K$8),1))-1,""),"")</f>
        <v/>
      </c>
      <c r="AB1300">
        <f>IF(ISNUMBER(AA1300),'자료_거시'!$J1282,"")</f>
        <v/>
      </c>
      <c r="AC1300">
        <f>IF(ISNUMBER(AB1300),IF(AB1300&gt;$L$8,AA1300,""),"")</f>
        <v/>
      </c>
    </row>
    <row r="1301">
      <c r="S1301">
        <f>IF(ISNUMBER('자료_거시'!$E1283),'자료_거시'!$E1283,S1300)</f>
        <v/>
      </c>
      <c r="T1301">
        <f>IF(AND(ISNUMBER('자료_거시'!$D1283),ISNUMBER('자료_거시'!$E1283)),IFERROR('자료_거시'!$E1283-INDEX($S$21:$S$4020,MATCH(EDATE('자료_거시'!$D1283,-'설정'!$B$17),'자료_거시'!$D$3:INDEX('자료_거시'!$D$3:$D$4002,$K$6),1)),""),"")</f>
        <v/>
      </c>
      <c r="U1301">
        <f>IF(ISNUMBER(T1301),'자료_거시'!$D1283,"")</f>
        <v/>
      </c>
      <c r="V1301">
        <f>IF(ISNUMBER(U1301),IF(U1301&gt;$L$6,T1301,""),"")</f>
        <v/>
      </c>
      <c r="W1301">
        <f>IF(AND(ISNUMBER('자료_거시'!$G1283),ISNUMBER('자료_거시'!$H1283)),'자료_거시'!$H1283,"")</f>
        <v/>
      </c>
      <c r="X1301">
        <f>IF(ISNUMBER(W1301),'자료_거시'!$G1283,"")</f>
        <v/>
      </c>
      <c r="Y1301">
        <f>IF(ISNUMBER(X1301),IF(X1301&gt;$L$7,W1301,""),"")</f>
        <v/>
      </c>
      <c r="Z1301">
        <f>IF(ISNUMBER('자료_거시'!$K1283),'자료_거시'!$K1283,Z1300)</f>
        <v/>
      </c>
      <c r="AA1301">
        <f>IF(AND(ISNUMBER('자료_거시'!$J1283),ISNUMBER('자료_거시'!$K1283)),IFERROR('자료_거시'!$K1283/INDEX($Z$21:$Z$4020,MATCH(EDATE('자료_거시'!$J1283,-'설정'!$B$17),'자료_거시'!$J$3:INDEX('자료_거시'!$J$3:$J$4002,$K$8),1))-1,""),"")</f>
        <v/>
      </c>
      <c r="AB1301">
        <f>IF(ISNUMBER(AA1301),'자료_거시'!$J1283,"")</f>
        <v/>
      </c>
      <c r="AC1301">
        <f>IF(ISNUMBER(AB1301),IF(AB1301&gt;$L$8,AA1301,""),"")</f>
        <v/>
      </c>
    </row>
    <row r="1302">
      <c r="S1302">
        <f>IF(ISNUMBER('자료_거시'!$E1284),'자료_거시'!$E1284,S1301)</f>
        <v/>
      </c>
      <c r="T1302">
        <f>IF(AND(ISNUMBER('자료_거시'!$D1284),ISNUMBER('자료_거시'!$E1284)),IFERROR('자료_거시'!$E1284-INDEX($S$21:$S$4020,MATCH(EDATE('자료_거시'!$D1284,-'설정'!$B$17),'자료_거시'!$D$3:INDEX('자료_거시'!$D$3:$D$4002,$K$6),1)),""),"")</f>
        <v/>
      </c>
      <c r="U1302">
        <f>IF(ISNUMBER(T1302),'자료_거시'!$D1284,"")</f>
        <v/>
      </c>
      <c r="V1302">
        <f>IF(ISNUMBER(U1302),IF(U1302&gt;$L$6,T1302,""),"")</f>
        <v/>
      </c>
      <c r="W1302">
        <f>IF(AND(ISNUMBER('자료_거시'!$G1284),ISNUMBER('자료_거시'!$H1284)),'자료_거시'!$H1284,"")</f>
        <v/>
      </c>
      <c r="X1302">
        <f>IF(ISNUMBER(W1302),'자료_거시'!$G1284,"")</f>
        <v/>
      </c>
      <c r="Y1302">
        <f>IF(ISNUMBER(X1302),IF(X1302&gt;$L$7,W1302,""),"")</f>
        <v/>
      </c>
      <c r="Z1302">
        <f>IF(ISNUMBER('자료_거시'!$K1284),'자료_거시'!$K1284,Z1301)</f>
        <v/>
      </c>
      <c r="AA1302">
        <f>IF(AND(ISNUMBER('자료_거시'!$J1284),ISNUMBER('자료_거시'!$K1284)),IFERROR('자료_거시'!$K1284/INDEX($Z$21:$Z$4020,MATCH(EDATE('자료_거시'!$J1284,-'설정'!$B$17),'자료_거시'!$J$3:INDEX('자료_거시'!$J$3:$J$4002,$K$8),1))-1,""),"")</f>
        <v/>
      </c>
      <c r="AB1302">
        <f>IF(ISNUMBER(AA1302),'자료_거시'!$J1284,"")</f>
        <v/>
      </c>
      <c r="AC1302">
        <f>IF(ISNUMBER(AB1302),IF(AB1302&gt;$L$8,AA1302,""),"")</f>
        <v/>
      </c>
    </row>
    <row r="1303">
      <c r="S1303">
        <f>IF(ISNUMBER('자료_거시'!$E1285),'자료_거시'!$E1285,S1302)</f>
        <v/>
      </c>
      <c r="T1303">
        <f>IF(AND(ISNUMBER('자료_거시'!$D1285),ISNUMBER('자료_거시'!$E1285)),IFERROR('자료_거시'!$E1285-INDEX($S$21:$S$4020,MATCH(EDATE('자료_거시'!$D1285,-'설정'!$B$17),'자료_거시'!$D$3:INDEX('자료_거시'!$D$3:$D$4002,$K$6),1)),""),"")</f>
        <v/>
      </c>
      <c r="U1303">
        <f>IF(ISNUMBER(T1303),'자료_거시'!$D1285,"")</f>
        <v/>
      </c>
      <c r="V1303">
        <f>IF(ISNUMBER(U1303),IF(U1303&gt;$L$6,T1303,""),"")</f>
        <v/>
      </c>
      <c r="W1303">
        <f>IF(AND(ISNUMBER('자료_거시'!$G1285),ISNUMBER('자료_거시'!$H1285)),'자료_거시'!$H1285,"")</f>
        <v/>
      </c>
      <c r="X1303">
        <f>IF(ISNUMBER(W1303),'자료_거시'!$G1285,"")</f>
        <v/>
      </c>
      <c r="Y1303">
        <f>IF(ISNUMBER(X1303),IF(X1303&gt;$L$7,W1303,""),"")</f>
        <v/>
      </c>
      <c r="Z1303">
        <f>IF(ISNUMBER('자료_거시'!$K1285),'자료_거시'!$K1285,Z1302)</f>
        <v/>
      </c>
      <c r="AA1303">
        <f>IF(AND(ISNUMBER('자료_거시'!$J1285),ISNUMBER('자료_거시'!$K1285)),IFERROR('자료_거시'!$K1285/INDEX($Z$21:$Z$4020,MATCH(EDATE('자료_거시'!$J1285,-'설정'!$B$17),'자료_거시'!$J$3:INDEX('자료_거시'!$J$3:$J$4002,$K$8),1))-1,""),"")</f>
        <v/>
      </c>
      <c r="AB1303">
        <f>IF(ISNUMBER(AA1303),'자료_거시'!$J1285,"")</f>
        <v/>
      </c>
      <c r="AC1303">
        <f>IF(ISNUMBER(AB1303),IF(AB1303&gt;$L$8,AA1303,""),"")</f>
        <v/>
      </c>
    </row>
    <row r="1304">
      <c r="S1304">
        <f>IF(ISNUMBER('자료_거시'!$E1286),'자료_거시'!$E1286,S1303)</f>
        <v/>
      </c>
      <c r="T1304">
        <f>IF(AND(ISNUMBER('자료_거시'!$D1286),ISNUMBER('자료_거시'!$E1286)),IFERROR('자료_거시'!$E1286-INDEX($S$21:$S$4020,MATCH(EDATE('자료_거시'!$D1286,-'설정'!$B$17),'자료_거시'!$D$3:INDEX('자료_거시'!$D$3:$D$4002,$K$6),1)),""),"")</f>
        <v/>
      </c>
      <c r="U1304">
        <f>IF(ISNUMBER(T1304),'자료_거시'!$D1286,"")</f>
        <v/>
      </c>
      <c r="V1304">
        <f>IF(ISNUMBER(U1304),IF(U1304&gt;$L$6,T1304,""),"")</f>
        <v/>
      </c>
      <c r="W1304">
        <f>IF(AND(ISNUMBER('자료_거시'!$G1286),ISNUMBER('자료_거시'!$H1286)),'자료_거시'!$H1286,"")</f>
        <v/>
      </c>
      <c r="X1304">
        <f>IF(ISNUMBER(W1304),'자료_거시'!$G1286,"")</f>
        <v/>
      </c>
      <c r="Y1304">
        <f>IF(ISNUMBER(X1304),IF(X1304&gt;$L$7,W1304,""),"")</f>
        <v/>
      </c>
      <c r="Z1304">
        <f>IF(ISNUMBER('자료_거시'!$K1286),'자료_거시'!$K1286,Z1303)</f>
        <v/>
      </c>
      <c r="AA1304">
        <f>IF(AND(ISNUMBER('자료_거시'!$J1286),ISNUMBER('자료_거시'!$K1286)),IFERROR('자료_거시'!$K1286/INDEX($Z$21:$Z$4020,MATCH(EDATE('자료_거시'!$J1286,-'설정'!$B$17),'자료_거시'!$J$3:INDEX('자료_거시'!$J$3:$J$4002,$K$8),1))-1,""),"")</f>
        <v/>
      </c>
      <c r="AB1304">
        <f>IF(ISNUMBER(AA1304),'자료_거시'!$J1286,"")</f>
        <v/>
      </c>
      <c r="AC1304">
        <f>IF(ISNUMBER(AB1304),IF(AB1304&gt;$L$8,AA1304,""),"")</f>
        <v/>
      </c>
    </row>
    <row r="1305">
      <c r="S1305">
        <f>IF(ISNUMBER('자료_거시'!$E1287),'자료_거시'!$E1287,S1304)</f>
        <v/>
      </c>
      <c r="T1305">
        <f>IF(AND(ISNUMBER('자료_거시'!$D1287),ISNUMBER('자료_거시'!$E1287)),IFERROR('자료_거시'!$E1287-INDEX($S$21:$S$4020,MATCH(EDATE('자료_거시'!$D1287,-'설정'!$B$17),'자료_거시'!$D$3:INDEX('자료_거시'!$D$3:$D$4002,$K$6),1)),""),"")</f>
        <v/>
      </c>
      <c r="U1305">
        <f>IF(ISNUMBER(T1305),'자료_거시'!$D1287,"")</f>
        <v/>
      </c>
      <c r="V1305">
        <f>IF(ISNUMBER(U1305),IF(U1305&gt;$L$6,T1305,""),"")</f>
        <v/>
      </c>
      <c r="W1305">
        <f>IF(AND(ISNUMBER('자료_거시'!$G1287),ISNUMBER('자료_거시'!$H1287)),'자료_거시'!$H1287,"")</f>
        <v/>
      </c>
      <c r="X1305">
        <f>IF(ISNUMBER(W1305),'자료_거시'!$G1287,"")</f>
        <v/>
      </c>
      <c r="Y1305">
        <f>IF(ISNUMBER(X1305),IF(X1305&gt;$L$7,W1305,""),"")</f>
        <v/>
      </c>
      <c r="Z1305">
        <f>IF(ISNUMBER('자료_거시'!$K1287),'자료_거시'!$K1287,Z1304)</f>
        <v/>
      </c>
      <c r="AA1305">
        <f>IF(AND(ISNUMBER('자료_거시'!$J1287),ISNUMBER('자료_거시'!$K1287)),IFERROR('자료_거시'!$K1287/INDEX($Z$21:$Z$4020,MATCH(EDATE('자료_거시'!$J1287,-'설정'!$B$17),'자료_거시'!$J$3:INDEX('자료_거시'!$J$3:$J$4002,$K$8),1))-1,""),"")</f>
        <v/>
      </c>
      <c r="AB1305">
        <f>IF(ISNUMBER(AA1305),'자료_거시'!$J1287,"")</f>
        <v/>
      </c>
      <c r="AC1305">
        <f>IF(ISNUMBER(AB1305),IF(AB1305&gt;$L$8,AA1305,""),"")</f>
        <v/>
      </c>
    </row>
    <row r="1306">
      <c r="S1306">
        <f>IF(ISNUMBER('자료_거시'!$E1288),'자료_거시'!$E1288,S1305)</f>
        <v/>
      </c>
      <c r="T1306">
        <f>IF(AND(ISNUMBER('자료_거시'!$D1288),ISNUMBER('자료_거시'!$E1288)),IFERROR('자료_거시'!$E1288-INDEX($S$21:$S$4020,MATCH(EDATE('자료_거시'!$D1288,-'설정'!$B$17),'자료_거시'!$D$3:INDEX('자료_거시'!$D$3:$D$4002,$K$6),1)),""),"")</f>
        <v/>
      </c>
      <c r="U1306">
        <f>IF(ISNUMBER(T1306),'자료_거시'!$D1288,"")</f>
        <v/>
      </c>
      <c r="V1306">
        <f>IF(ISNUMBER(U1306),IF(U1306&gt;$L$6,T1306,""),"")</f>
        <v/>
      </c>
      <c r="W1306">
        <f>IF(AND(ISNUMBER('자료_거시'!$G1288),ISNUMBER('자료_거시'!$H1288)),'자료_거시'!$H1288,"")</f>
        <v/>
      </c>
      <c r="X1306">
        <f>IF(ISNUMBER(W1306),'자료_거시'!$G1288,"")</f>
        <v/>
      </c>
      <c r="Y1306">
        <f>IF(ISNUMBER(X1306),IF(X1306&gt;$L$7,W1306,""),"")</f>
        <v/>
      </c>
      <c r="Z1306">
        <f>IF(ISNUMBER('자료_거시'!$K1288),'자료_거시'!$K1288,Z1305)</f>
        <v/>
      </c>
      <c r="AA1306">
        <f>IF(AND(ISNUMBER('자료_거시'!$J1288),ISNUMBER('자료_거시'!$K1288)),IFERROR('자료_거시'!$K1288/INDEX($Z$21:$Z$4020,MATCH(EDATE('자료_거시'!$J1288,-'설정'!$B$17),'자료_거시'!$J$3:INDEX('자료_거시'!$J$3:$J$4002,$K$8),1))-1,""),"")</f>
        <v/>
      </c>
      <c r="AB1306">
        <f>IF(ISNUMBER(AA1306),'자료_거시'!$J1288,"")</f>
        <v/>
      </c>
      <c r="AC1306">
        <f>IF(ISNUMBER(AB1306),IF(AB1306&gt;$L$8,AA1306,""),"")</f>
        <v/>
      </c>
    </row>
    <row r="1307">
      <c r="S1307">
        <f>IF(ISNUMBER('자료_거시'!$E1289),'자료_거시'!$E1289,S1306)</f>
        <v/>
      </c>
      <c r="T1307">
        <f>IF(AND(ISNUMBER('자료_거시'!$D1289),ISNUMBER('자료_거시'!$E1289)),IFERROR('자료_거시'!$E1289-INDEX($S$21:$S$4020,MATCH(EDATE('자료_거시'!$D1289,-'설정'!$B$17),'자료_거시'!$D$3:INDEX('자료_거시'!$D$3:$D$4002,$K$6),1)),""),"")</f>
        <v/>
      </c>
      <c r="U1307">
        <f>IF(ISNUMBER(T1307),'자료_거시'!$D1289,"")</f>
        <v/>
      </c>
      <c r="V1307">
        <f>IF(ISNUMBER(U1307),IF(U1307&gt;$L$6,T1307,""),"")</f>
        <v/>
      </c>
      <c r="W1307">
        <f>IF(AND(ISNUMBER('자료_거시'!$G1289),ISNUMBER('자료_거시'!$H1289)),'자료_거시'!$H1289,"")</f>
        <v/>
      </c>
      <c r="X1307">
        <f>IF(ISNUMBER(W1307),'자료_거시'!$G1289,"")</f>
        <v/>
      </c>
      <c r="Y1307">
        <f>IF(ISNUMBER(X1307),IF(X1307&gt;$L$7,W1307,""),"")</f>
        <v/>
      </c>
      <c r="Z1307">
        <f>IF(ISNUMBER('자료_거시'!$K1289),'자료_거시'!$K1289,Z1306)</f>
        <v/>
      </c>
      <c r="AA1307">
        <f>IF(AND(ISNUMBER('자료_거시'!$J1289),ISNUMBER('자료_거시'!$K1289)),IFERROR('자료_거시'!$K1289/INDEX($Z$21:$Z$4020,MATCH(EDATE('자료_거시'!$J1289,-'설정'!$B$17),'자료_거시'!$J$3:INDEX('자료_거시'!$J$3:$J$4002,$K$8),1))-1,""),"")</f>
        <v/>
      </c>
      <c r="AB1307">
        <f>IF(ISNUMBER(AA1307),'자료_거시'!$J1289,"")</f>
        <v/>
      </c>
      <c r="AC1307">
        <f>IF(ISNUMBER(AB1307),IF(AB1307&gt;$L$8,AA1307,""),"")</f>
        <v/>
      </c>
    </row>
    <row r="1308">
      <c r="S1308">
        <f>IF(ISNUMBER('자료_거시'!$E1290),'자료_거시'!$E1290,S1307)</f>
        <v/>
      </c>
      <c r="T1308">
        <f>IF(AND(ISNUMBER('자료_거시'!$D1290),ISNUMBER('자료_거시'!$E1290)),IFERROR('자료_거시'!$E1290-INDEX($S$21:$S$4020,MATCH(EDATE('자료_거시'!$D1290,-'설정'!$B$17),'자료_거시'!$D$3:INDEX('자료_거시'!$D$3:$D$4002,$K$6),1)),""),"")</f>
        <v/>
      </c>
      <c r="U1308">
        <f>IF(ISNUMBER(T1308),'자료_거시'!$D1290,"")</f>
        <v/>
      </c>
      <c r="V1308">
        <f>IF(ISNUMBER(U1308),IF(U1308&gt;$L$6,T1308,""),"")</f>
        <v/>
      </c>
      <c r="W1308">
        <f>IF(AND(ISNUMBER('자료_거시'!$G1290),ISNUMBER('자료_거시'!$H1290)),'자료_거시'!$H1290,"")</f>
        <v/>
      </c>
      <c r="X1308">
        <f>IF(ISNUMBER(W1308),'자료_거시'!$G1290,"")</f>
        <v/>
      </c>
      <c r="Y1308">
        <f>IF(ISNUMBER(X1308),IF(X1308&gt;$L$7,W1308,""),"")</f>
        <v/>
      </c>
      <c r="Z1308">
        <f>IF(ISNUMBER('자료_거시'!$K1290),'자료_거시'!$K1290,Z1307)</f>
        <v/>
      </c>
      <c r="AA1308">
        <f>IF(AND(ISNUMBER('자료_거시'!$J1290),ISNUMBER('자료_거시'!$K1290)),IFERROR('자료_거시'!$K1290/INDEX($Z$21:$Z$4020,MATCH(EDATE('자료_거시'!$J1290,-'설정'!$B$17),'자료_거시'!$J$3:INDEX('자료_거시'!$J$3:$J$4002,$K$8),1))-1,""),"")</f>
        <v/>
      </c>
      <c r="AB1308">
        <f>IF(ISNUMBER(AA1308),'자료_거시'!$J1290,"")</f>
        <v/>
      </c>
      <c r="AC1308">
        <f>IF(ISNUMBER(AB1308),IF(AB1308&gt;$L$8,AA1308,""),"")</f>
        <v/>
      </c>
    </row>
    <row r="1309">
      <c r="S1309">
        <f>IF(ISNUMBER('자료_거시'!$E1291),'자료_거시'!$E1291,S1308)</f>
        <v/>
      </c>
      <c r="T1309">
        <f>IF(AND(ISNUMBER('자료_거시'!$D1291),ISNUMBER('자료_거시'!$E1291)),IFERROR('자료_거시'!$E1291-INDEX($S$21:$S$4020,MATCH(EDATE('자료_거시'!$D1291,-'설정'!$B$17),'자료_거시'!$D$3:INDEX('자료_거시'!$D$3:$D$4002,$K$6),1)),""),"")</f>
        <v/>
      </c>
      <c r="U1309">
        <f>IF(ISNUMBER(T1309),'자료_거시'!$D1291,"")</f>
        <v/>
      </c>
      <c r="V1309">
        <f>IF(ISNUMBER(U1309),IF(U1309&gt;$L$6,T1309,""),"")</f>
        <v/>
      </c>
      <c r="W1309">
        <f>IF(AND(ISNUMBER('자료_거시'!$G1291),ISNUMBER('자료_거시'!$H1291)),'자료_거시'!$H1291,"")</f>
        <v/>
      </c>
      <c r="X1309">
        <f>IF(ISNUMBER(W1309),'자료_거시'!$G1291,"")</f>
        <v/>
      </c>
      <c r="Y1309">
        <f>IF(ISNUMBER(X1309),IF(X1309&gt;$L$7,W1309,""),"")</f>
        <v/>
      </c>
      <c r="Z1309">
        <f>IF(ISNUMBER('자료_거시'!$K1291),'자료_거시'!$K1291,Z1308)</f>
        <v/>
      </c>
      <c r="AA1309">
        <f>IF(AND(ISNUMBER('자료_거시'!$J1291),ISNUMBER('자료_거시'!$K1291)),IFERROR('자료_거시'!$K1291/INDEX($Z$21:$Z$4020,MATCH(EDATE('자료_거시'!$J1291,-'설정'!$B$17),'자료_거시'!$J$3:INDEX('자료_거시'!$J$3:$J$4002,$K$8),1))-1,""),"")</f>
        <v/>
      </c>
      <c r="AB1309">
        <f>IF(ISNUMBER(AA1309),'자료_거시'!$J1291,"")</f>
        <v/>
      </c>
      <c r="AC1309">
        <f>IF(ISNUMBER(AB1309),IF(AB1309&gt;$L$8,AA1309,""),"")</f>
        <v/>
      </c>
    </row>
    <row r="1310">
      <c r="S1310">
        <f>IF(ISNUMBER('자료_거시'!$E1292),'자료_거시'!$E1292,S1309)</f>
        <v/>
      </c>
      <c r="T1310">
        <f>IF(AND(ISNUMBER('자료_거시'!$D1292),ISNUMBER('자료_거시'!$E1292)),IFERROR('자료_거시'!$E1292-INDEX($S$21:$S$4020,MATCH(EDATE('자료_거시'!$D1292,-'설정'!$B$17),'자료_거시'!$D$3:INDEX('자료_거시'!$D$3:$D$4002,$K$6),1)),""),"")</f>
        <v/>
      </c>
      <c r="U1310">
        <f>IF(ISNUMBER(T1310),'자료_거시'!$D1292,"")</f>
        <v/>
      </c>
      <c r="V1310">
        <f>IF(ISNUMBER(U1310),IF(U1310&gt;$L$6,T1310,""),"")</f>
        <v/>
      </c>
      <c r="W1310">
        <f>IF(AND(ISNUMBER('자료_거시'!$G1292),ISNUMBER('자료_거시'!$H1292)),'자료_거시'!$H1292,"")</f>
        <v/>
      </c>
      <c r="X1310">
        <f>IF(ISNUMBER(W1310),'자료_거시'!$G1292,"")</f>
        <v/>
      </c>
      <c r="Y1310">
        <f>IF(ISNUMBER(X1310),IF(X1310&gt;$L$7,W1310,""),"")</f>
        <v/>
      </c>
      <c r="Z1310">
        <f>IF(ISNUMBER('자료_거시'!$K1292),'자료_거시'!$K1292,Z1309)</f>
        <v/>
      </c>
      <c r="AA1310">
        <f>IF(AND(ISNUMBER('자료_거시'!$J1292),ISNUMBER('자료_거시'!$K1292)),IFERROR('자료_거시'!$K1292/INDEX($Z$21:$Z$4020,MATCH(EDATE('자료_거시'!$J1292,-'설정'!$B$17),'자료_거시'!$J$3:INDEX('자료_거시'!$J$3:$J$4002,$K$8),1))-1,""),"")</f>
        <v/>
      </c>
      <c r="AB1310">
        <f>IF(ISNUMBER(AA1310),'자료_거시'!$J1292,"")</f>
        <v/>
      </c>
      <c r="AC1310">
        <f>IF(ISNUMBER(AB1310),IF(AB1310&gt;$L$8,AA1310,""),"")</f>
        <v/>
      </c>
    </row>
    <row r="1311">
      <c r="S1311">
        <f>IF(ISNUMBER('자료_거시'!$E1293),'자료_거시'!$E1293,S1310)</f>
        <v/>
      </c>
      <c r="T1311">
        <f>IF(AND(ISNUMBER('자료_거시'!$D1293),ISNUMBER('자료_거시'!$E1293)),IFERROR('자료_거시'!$E1293-INDEX($S$21:$S$4020,MATCH(EDATE('자료_거시'!$D1293,-'설정'!$B$17),'자료_거시'!$D$3:INDEX('자료_거시'!$D$3:$D$4002,$K$6),1)),""),"")</f>
        <v/>
      </c>
      <c r="U1311">
        <f>IF(ISNUMBER(T1311),'자료_거시'!$D1293,"")</f>
        <v/>
      </c>
      <c r="V1311">
        <f>IF(ISNUMBER(U1311),IF(U1311&gt;$L$6,T1311,""),"")</f>
        <v/>
      </c>
      <c r="W1311">
        <f>IF(AND(ISNUMBER('자료_거시'!$G1293),ISNUMBER('자료_거시'!$H1293)),'자료_거시'!$H1293,"")</f>
        <v/>
      </c>
      <c r="X1311">
        <f>IF(ISNUMBER(W1311),'자료_거시'!$G1293,"")</f>
        <v/>
      </c>
      <c r="Y1311">
        <f>IF(ISNUMBER(X1311),IF(X1311&gt;$L$7,W1311,""),"")</f>
        <v/>
      </c>
      <c r="Z1311">
        <f>IF(ISNUMBER('자료_거시'!$K1293),'자료_거시'!$K1293,Z1310)</f>
        <v/>
      </c>
      <c r="AA1311">
        <f>IF(AND(ISNUMBER('자료_거시'!$J1293),ISNUMBER('자료_거시'!$K1293)),IFERROR('자료_거시'!$K1293/INDEX($Z$21:$Z$4020,MATCH(EDATE('자료_거시'!$J1293,-'설정'!$B$17),'자료_거시'!$J$3:INDEX('자료_거시'!$J$3:$J$4002,$K$8),1))-1,""),"")</f>
        <v/>
      </c>
      <c r="AB1311">
        <f>IF(ISNUMBER(AA1311),'자료_거시'!$J1293,"")</f>
        <v/>
      </c>
      <c r="AC1311">
        <f>IF(ISNUMBER(AB1311),IF(AB1311&gt;$L$8,AA1311,""),"")</f>
        <v/>
      </c>
    </row>
    <row r="1312">
      <c r="S1312">
        <f>IF(ISNUMBER('자료_거시'!$E1294),'자료_거시'!$E1294,S1311)</f>
        <v/>
      </c>
      <c r="T1312">
        <f>IF(AND(ISNUMBER('자료_거시'!$D1294),ISNUMBER('자료_거시'!$E1294)),IFERROR('자료_거시'!$E1294-INDEX($S$21:$S$4020,MATCH(EDATE('자료_거시'!$D1294,-'설정'!$B$17),'자료_거시'!$D$3:INDEX('자료_거시'!$D$3:$D$4002,$K$6),1)),""),"")</f>
        <v/>
      </c>
      <c r="U1312">
        <f>IF(ISNUMBER(T1312),'자료_거시'!$D1294,"")</f>
        <v/>
      </c>
      <c r="V1312">
        <f>IF(ISNUMBER(U1312),IF(U1312&gt;$L$6,T1312,""),"")</f>
        <v/>
      </c>
      <c r="W1312">
        <f>IF(AND(ISNUMBER('자료_거시'!$G1294),ISNUMBER('자료_거시'!$H1294)),'자료_거시'!$H1294,"")</f>
        <v/>
      </c>
      <c r="X1312">
        <f>IF(ISNUMBER(W1312),'자료_거시'!$G1294,"")</f>
        <v/>
      </c>
      <c r="Y1312">
        <f>IF(ISNUMBER(X1312),IF(X1312&gt;$L$7,W1312,""),"")</f>
        <v/>
      </c>
      <c r="Z1312">
        <f>IF(ISNUMBER('자료_거시'!$K1294),'자료_거시'!$K1294,Z1311)</f>
        <v/>
      </c>
      <c r="AA1312">
        <f>IF(AND(ISNUMBER('자료_거시'!$J1294),ISNUMBER('자료_거시'!$K1294)),IFERROR('자료_거시'!$K1294/INDEX($Z$21:$Z$4020,MATCH(EDATE('자료_거시'!$J1294,-'설정'!$B$17),'자료_거시'!$J$3:INDEX('자료_거시'!$J$3:$J$4002,$K$8),1))-1,""),"")</f>
        <v/>
      </c>
      <c r="AB1312">
        <f>IF(ISNUMBER(AA1312),'자료_거시'!$J1294,"")</f>
        <v/>
      </c>
      <c r="AC1312">
        <f>IF(ISNUMBER(AB1312),IF(AB1312&gt;$L$8,AA1312,""),"")</f>
        <v/>
      </c>
    </row>
    <row r="1313">
      <c r="S1313">
        <f>IF(ISNUMBER('자료_거시'!$E1295),'자료_거시'!$E1295,S1312)</f>
        <v/>
      </c>
      <c r="T1313">
        <f>IF(AND(ISNUMBER('자료_거시'!$D1295),ISNUMBER('자료_거시'!$E1295)),IFERROR('자료_거시'!$E1295-INDEX($S$21:$S$4020,MATCH(EDATE('자료_거시'!$D1295,-'설정'!$B$17),'자료_거시'!$D$3:INDEX('자료_거시'!$D$3:$D$4002,$K$6),1)),""),"")</f>
        <v/>
      </c>
      <c r="U1313">
        <f>IF(ISNUMBER(T1313),'자료_거시'!$D1295,"")</f>
        <v/>
      </c>
      <c r="V1313">
        <f>IF(ISNUMBER(U1313),IF(U1313&gt;$L$6,T1313,""),"")</f>
        <v/>
      </c>
      <c r="W1313">
        <f>IF(AND(ISNUMBER('자료_거시'!$G1295),ISNUMBER('자료_거시'!$H1295)),'자료_거시'!$H1295,"")</f>
        <v/>
      </c>
      <c r="X1313">
        <f>IF(ISNUMBER(W1313),'자료_거시'!$G1295,"")</f>
        <v/>
      </c>
      <c r="Y1313">
        <f>IF(ISNUMBER(X1313),IF(X1313&gt;$L$7,W1313,""),"")</f>
        <v/>
      </c>
      <c r="Z1313">
        <f>IF(ISNUMBER('자료_거시'!$K1295),'자료_거시'!$K1295,Z1312)</f>
        <v/>
      </c>
      <c r="AA1313">
        <f>IF(AND(ISNUMBER('자료_거시'!$J1295),ISNUMBER('자료_거시'!$K1295)),IFERROR('자료_거시'!$K1295/INDEX($Z$21:$Z$4020,MATCH(EDATE('자료_거시'!$J1295,-'설정'!$B$17),'자료_거시'!$J$3:INDEX('자료_거시'!$J$3:$J$4002,$K$8),1))-1,""),"")</f>
        <v/>
      </c>
      <c r="AB1313">
        <f>IF(ISNUMBER(AA1313),'자료_거시'!$J1295,"")</f>
        <v/>
      </c>
      <c r="AC1313">
        <f>IF(ISNUMBER(AB1313),IF(AB1313&gt;$L$8,AA1313,""),"")</f>
        <v/>
      </c>
    </row>
    <row r="1314">
      <c r="S1314">
        <f>IF(ISNUMBER('자료_거시'!$E1296),'자료_거시'!$E1296,S1313)</f>
        <v/>
      </c>
      <c r="T1314">
        <f>IF(AND(ISNUMBER('자료_거시'!$D1296),ISNUMBER('자료_거시'!$E1296)),IFERROR('자료_거시'!$E1296-INDEX($S$21:$S$4020,MATCH(EDATE('자료_거시'!$D1296,-'설정'!$B$17),'자료_거시'!$D$3:INDEX('자료_거시'!$D$3:$D$4002,$K$6),1)),""),"")</f>
        <v/>
      </c>
      <c r="U1314">
        <f>IF(ISNUMBER(T1314),'자료_거시'!$D1296,"")</f>
        <v/>
      </c>
      <c r="V1314">
        <f>IF(ISNUMBER(U1314),IF(U1314&gt;$L$6,T1314,""),"")</f>
        <v/>
      </c>
      <c r="W1314">
        <f>IF(AND(ISNUMBER('자료_거시'!$G1296),ISNUMBER('자료_거시'!$H1296)),'자료_거시'!$H1296,"")</f>
        <v/>
      </c>
      <c r="X1314">
        <f>IF(ISNUMBER(W1314),'자료_거시'!$G1296,"")</f>
        <v/>
      </c>
      <c r="Y1314">
        <f>IF(ISNUMBER(X1314),IF(X1314&gt;$L$7,W1314,""),"")</f>
        <v/>
      </c>
      <c r="Z1314">
        <f>IF(ISNUMBER('자료_거시'!$K1296),'자료_거시'!$K1296,Z1313)</f>
        <v/>
      </c>
      <c r="AA1314">
        <f>IF(AND(ISNUMBER('자료_거시'!$J1296),ISNUMBER('자료_거시'!$K1296)),IFERROR('자료_거시'!$K1296/INDEX($Z$21:$Z$4020,MATCH(EDATE('자료_거시'!$J1296,-'설정'!$B$17),'자료_거시'!$J$3:INDEX('자료_거시'!$J$3:$J$4002,$K$8),1))-1,""),"")</f>
        <v/>
      </c>
      <c r="AB1314">
        <f>IF(ISNUMBER(AA1314),'자료_거시'!$J1296,"")</f>
        <v/>
      </c>
      <c r="AC1314">
        <f>IF(ISNUMBER(AB1314),IF(AB1314&gt;$L$8,AA1314,""),"")</f>
        <v/>
      </c>
    </row>
    <row r="1315">
      <c r="S1315">
        <f>IF(ISNUMBER('자료_거시'!$E1297),'자료_거시'!$E1297,S1314)</f>
        <v/>
      </c>
      <c r="T1315">
        <f>IF(AND(ISNUMBER('자료_거시'!$D1297),ISNUMBER('자료_거시'!$E1297)),IFERROR('자료_거시'!$E1297-INDEX($S$21:$S$4020,MATCH(EDATE('자료_거시'!$D1297,-'설정'!$B$17),'자료_거시'!$D$3:INDEX('자료_거시'!$D$3:$D$4002,$K$6),1)),""),"")</f>
        <v/>
      </c>
      <c r="U1315">
        <f>IF(ISNUMBER(T1315),'자료_거시'!$D1297,"")</f>
        <v/>
      </c>
      <c r="V1315">
        <f>IF(ISNUMBER(U1315),IF(U1315&gt;$L$6,T1315,""),"")</f>
        <v/>
      </c>
      <c r="W1315">
        <f>IF(AND(ISNUMBER('자료_거시'!$G1297),ISNUMBER('자료_거시'!$H1297)),'자료_거시'!$H1297,"")</f>
        <v/>
      </c>
      <c r="X1315">
        <f>IF(ISNUMBER(W1315),'자료_거시'!$G1297,"")</f>
        <v/>
      </c>
      <c r="Y1315">
        <f>IF(ISNUMBER(X1315),IF(X1315&gt;$L$7,W1315,""),"")</f>
        <v/>
      </c>
      <c r="Z1315">
        <f>IF(ISNUMBER('자료_거시'!$K1297),'자료_거시'!$K1297,Z1314)</f>
        <v/>
      </c>
      <c r="AA1315">
        <f>IF(AND(ISNUMBER('자료_거시'!$J1297),ISNUMBER('자료_거시'!$K1297)),IFERROR('자료_거시'!$K1297/INDEX($Z$21:$Z$4020,MATCH(EDATE('자료_거시'!$J1297,-'설정'!$B$17),'자료_거시'!$J$3:INDEX('자료_거시'!$J$3:$J$4002,$K$8),1))-1,""),"")</f>
        <v/>
      </c>
      <c r="AB1315">
        <f>IF(ISNUMBER(AA1315),'자료_거시'!$J1297,"")</f>
        <v/>
      </c>
      <c r="AC1315">
        <f>IF(ISNUMBER(AB1315),IF(AB1315&gt;$L$8,AA1315,""),"")</f>
        <v/>
      </c>
    </row>
    <row r="1316">
      <c r="S1316">
        <f>IF(ISNUMBER('자료_거시'!$E1298),'자료_거시'!$E1298,S1315)</f>
        <v/>
      </c>
      <c r="T1316">
        <f>IF(AND(ISNUMBER('자료_거시'!$D1298),ISNUMBER('자료_거시'!$E1298)),IFERROR('자료_거시'!$E1298-INDEX($S$21:$S$4020,MATCH(EDATE('자료_거시'!$D1298,-'설정'!$B$17),'자료_거시'!$D$3:INDEX('자료_거시'!$D$3:$D$4002,$K$6),1)),""),"")</f>
        <v/>
      </c>
      <c r="U1316">
        <f>IF(ISNUMBER(T1316),'자료_거시'!$D1298,"")</f>
        <v/>
      </c>
      <c r="V1316">
        <f>IF(ISNUMBER(U1316),IF(U1316&gt;$L$6,T1316,""),"")</f>
        <v/>
      </c>
      <c r="W1316">
        <f>IF(AND(ISNUMBER('자료_거시'!$G1298),ISNUMBER('자료_거시'!$H1298)),'자료_거시'!$H1298,"")</f>
        <v/>
      </c>
      <c r="X1316">
        <f>IF(ISNUMBER(W1316),'자료_거시'!$G1298,"")</f>
        <v/>
      </c>
      <c r="Y1316">
        <f>IF(ISNUMBER(X1316),IF(X1316&gt;$L$7,W1316,""),"")</f>
        <v/>
      </c>
      <c r="Z1316">
        <f>IF(ISNUMBER('자료_거시'!$K1298),'자료_거시'!$K1298,Z1315)</f>
        <v/>
      </c>
      <c r="AA1316">
        <f>IF(AND(ISNUMBER('자료_거시'!$J1298),ISNUMBER('자료_거시'!$K1298)),IFERROR('자료_거시'!$K1298/INDEX($Z$21:$Z$4020,MATCH(EDATE('자료_거시'!$J1298,-'설정'!$B$17),'자료_거시'!$J$3:INDEX('자료_거시'!$J$3:$J$4002,$K$8),1))-1,""),"")</f>
        <v/>
      </c>
      <c r="AB1316">
        <f>IF(ISNUMBER(AA1316),'자료_거시'!$J1298,"")</f>
        <v/>
      </c>
      <c r="AC1316">
        <f>IF(ISNUMBER(AB1316),IF(AB1316&gt;$L$8,AA1316,""),"")</f>
        <v/>
      </c>
    </row>
    <row r="1317">
      <c r="S1317">
        <f>IF(ISNUMBER('자료_거시'!$E1299),'자료_거시'!$E1299,S1316)</f>
        <v/>
      </c>
      <c r="T1317">
        <f>IF(AND(ISNUMBER('자료_거시'!$D1299),ISNUMBER('자료_거시'!$E1299)),IFERROR('자료_거시'!$E1299-INDEX($S$21:$S$4020,MATCH(EDATE('자료_거시'!$D1299,-'설정'!$B$17),'자료_거시'!$D$3:INDEX('자료_거시'!$D$3:$D$4002,$K$6),1)),""),"")</f>
        <v/>
      </c>
      <c r="U1317">
        <f>IF(ISNUMBER(T1317),'자료_거시'!$D1299,"")</f>
        <v/>
      </c>
      <c r="V1317">
        <f>IF(ISNUMBER(U1317),IF(U1317&gt;$L$6,T1317,""),"")</f>
        <v/>
      </c>
      <c r="W1317">
        <f>IF(AND(ISNUMBER('자료_거시'!$G1299),ISNUMBER('자료_거시'!$H1299)),'자료_거시'!$H1299,"")</f>
        <v/>
      </c>
      <c r="X1317">
        <f>IF(ISNUMBER(W1317),'자료_거시'!$G1299,"")</f>
        <v/>
      </c>
      <c r="Y1317">
        <f>IF(ISNUMBER(X1317),IF(X1317&gt;$L$7,W1317,""),"")</f>
        <v/>
      </c>
      <c r="Z1317">
        <f>IF(ISNUMBER('자료_거시'!$K1299),'자료_거시'!$K1299,Z1316)</f>
        <v/>
      </c>
      <c r="AA1317">
        <f>IF(AND(ISNUMBER('자료_거시'!$J1299),ISNUMBER('자료_거시'!$K1299)),IFERROR('자료_거시'!$K1299/INDEX($Z$21:$Z$4020,MATCH(EDATE('자료_거시'!$J1299,-'설정'!$B$17),'자료_거시'!$J$3:INDEX('자료_거시'!$J$3:$J$4002,$K$8),1))-1,""),"")</f>
        <v/>
      </c>
      <c r="AB1317">
        <f>IF(ISNUMBER(AA1317),'자료_거시'!$J1299,"")</f>
        <v/>
      </c>
      <c r="AC1317">
        <f>IF(ISNUMBER(AB1317),IF(AB1317&gt;$L$8,AA1317,""),"")</f>
        <v/>
      </c>
    </row>
    <row r="1318">
      <c r="S1318">
        <f>IF(ISNUMBER('자료_거시'!$E1300),'자료_거시'!$E1300,S1317)</f>
        <v/>
      </c>
      <c r="T1318">
        <f>IF(AND(ISNUMBER('자료_거시'!$D1300),ISNUMBER('자료_거시'!$E1300)),IFERROR('자료_거시'!$E1300-INDEX($S$21:$S$4020,MATCH(EDATE('자료_거시'!$D1300,-'설정'!$B$17),'자료_거시'!$D$3:INDEX('자료_거시'!$D$3:$D$4002,$K$6),1)),""),"")</f>
        <v/>
      </c>
      <c r="U1318">
        <f>IF(ISNUMBER(T1318),'자료_거시'!$D1300,"")</f>
        <v/>
      </c>
      <c r="V1318">
        <f>IF(ISNUMBER(U1318),IF(U1318&gt;$L$6,T1318,""),"")</f>
        <v/>
      </c>
      <c r="W1318">
        <f>IF(AND(ISNUMBER('자료_거시'!$G1300),ISNUMBER('자료_거시'!$H1300)),'자료_거시'!$H1300,"")</f>
        <v/>
      </c>
      <c r="X1318">
        <f>IF(ISNUMBER(W1318),'자료_거시'!$G1300,"")</f>
        <v/>
      </c>
      <c r="Y1318">
        <f>IF(ISNUMBER(X1318),IF(X1318&gt;$L$7,W1318,""),"")</f>
        <v/>
      </c>
      <c r="Z1318">
        <f>IF(ISNUMBER('자료_거시'!$K1300),'자료_거시'!$K1300,Z1317)</f>
        <v/>
      </c>
      <c r="AA1318">
        <f>IF(AND(ISNUMBER('자료_거시'!$J1300),ISNUMBER('자료_거시'!$K1300)),IFERROR('자료_거시'!$K1300/INDEX($Z$21:$Z$4020,MATCH(EDATE('자료_거시'!$J1300,-'설정'!$B$17),'자료_거시'!$J$3:INDEX('자료_거시'!$J$3:$J$4002,$K$8),1))-1,""),"")</f>
        <v/>
      </c>
      <c r="AB1318">
        <f>IF(ISNUMBER(AA1318),'자료_거시'!$J1300,"")</f>
        <v/>
      </c>
      <c r="AC1318">
        <f>IF(ISNUMBER(AB1318),IF(AB1318&gt;$L$8,AA1318,""),"")</f>
        <v/>
      </c>
    </row>
    <row r="1319">
      <c r="S1319">
        <f>IF(ISNUMBER('자료_거시'!$E1301),'자료_거시'!$E1301,S1318)</f>
        <v/>
      </c>
      <c r="T1319">
        <f>IF(AND(ISNUMBER('자료_거시'!$D1301),ISNUMBER('자료_거시'!$E1301)),IFERROR('자료_거시'!$E1301-INDEX($S$21:$S$4020,MATCH(EDATE('자료_거시'!$D1301,-'설정'!$B$17),'자료_거시'!$D$3:INDEX('자료_거시'!$D$3:$D$4002,$K$6),1)),""),"")</f>
        <v/>
      </c>
      <c r="U1319">
        <f>IF(ISNUMBER(T1319),'자료_거시'!$D1301,"")</f>
        <v/>
      </c>
      <c r="V1319">
        <f>IF(ISNUMBER(U1319),IF(U1319&gt;$L$6,T1319,""),"")</f>
        <v/>
      </c>
      <c r="W1319">
        <f>IF(AND(ISNUMBER('자료_거시'!$G1301),ISNUMBER('자료_거시'!$H1301)),'자료_거시'!$H1301,"")</f>
        <v/>
      </c>
      <c r="X1319">
        <f>IF(ISNUMBER(W1319),'자료_거시'!$G1301,"")</f>
        <v/>
      </c>
      <c r="Y1319">
        <f>IF(ISNUMBER(X1319),IF(X1319&gt;$L$7,W1319,""),"")</f>
        <v/>
      </c>
      <c r="Z1319">
        <f>IF(ISNUMBER('자료_거시'!$K1301),'자료_거시'!$K1301,Z1318)</f>
        <v/>
      </c>
      <c r="AA1319">
        <f>IF(AND(ISNUMBER('자료_거시'!$J1301),ISNUMBER('자료_거시'!$K1301)),IFERROR('자료_거시'!$K1301/INDEX($Z$21:$Z$4020,MATCH(EDATE('자료_거시'!$J1301,-'설정'!$B$17),'자료_거시'!$J$3:INDEX('자료_거시'!$J$3:$J$4002,$K$8),1))-1,""),"")</f>
        <v/>
      </c>
      <c r="AB1319">
        <f>IF(ISNUMBER(AA1319),'자료_거시'!$J1301,"")</f>
        <v/>
      </c>
      <c r="AC1319">
        <f>IF(ISNUMBER(AB1319),IF(AB1319&gt;$L$8,AA1319,""),"")</f>
        <v/>
      </c>
    </row>
    <row r="1320">
      <c r="S1320">
        <f>IF(ISNUMBER('자료_거시'!$E1302),'자료_거시'!$E1302,S1319)</f>
        <v/>
      </c>
      <c r="T1320">
        <f>IF(AND(ISNUMBER('자료_거시'!$D1302),ISNUMBER('자료_거시'!$E1302)),IFERROR('자료_거시'!$E1302-INDEX($S$21:$S$4020,MATCH(EDATE('자료_거시'!$D1302,-'설정'!$B$17),'자료_거시'!$D$3:INDEX('자료_거시'!$D$3:$D$4002,$K$6),1)),""),"")</f>
        <v/>
      </c>
      <c r="U1320">
        <f>IF(ISNUMBER(T1320),'자료_거시'!$D1302,"")</f>
        <v/>
      </c>
      <c r="V1320">
        <f>IF(ISNUMBER(U1320),IF(U1320&gt;$L$6,T1320,""),"")</f>
        <v/>
      </c>
      <c r="W1320">
        <f>IF(AND(ISNUMBER('자료_거시'!$G1302),ISNUMBER('자료_거시'!$H1302)),'자료_거시'!$H1302,"")</f>
        <v/>
      </c>
      <c r="X1320">
        <f>IF(ISNUMBER(W1320),'자료_거시'!$G1302,"")</f>
        <v/>
      </c>
      <c r="Y1320">
        <f>IF(ISNUMBER(X1320),IF(X1320&gt;$L$7,W1320,""),"")</f>
        <v/>
      </c>
      <c r="Z1320">
        <f>IF(ISNUMBER('자료_거시'!$K1302),'자료_거시'!$K1302,Z1319)</f>
        <v/>
      </c>
      <c r="AA1320">
        <f>IF(AND(ISNUMBER('자료_거시'!$J1302),ISNUMBER('자료_거시'!$K1302)),IFERROR('자료_거시'!$K1302/INDEX($Z$21:$Z$4020,MATCH(EDATE('자료_거시'!$J1302,-'설정'!$B$17),'자료_거시'!$J$3:INDEX('자료_거시'!$J$3:$J$4002,$K$8),1))-1,""),"")</f>
        <v/>
      </c>
      <c r="AB1320">
        <f>IF(ISNUMBER(AA1320),'자료_거시'!$J1302,"")</f>
        <v/>
      </c>
      <c r="AC1320">
        <f>IF(ISNUMBER(AB1320),IF(AB1320&gt;$L$8,AA1320,""),"")</f>
        <v/>
      </c>
    </row>
    <row r="1321">
      <c r="S1321">
        <f>IF(ISNUMBER('자료_거시'!$E1303),'자료_거시'!$E1303,S1320)</f>
        <v/>
      </c>
      <c r="T1321">
        <f>IF(AND(ISNUMBER('자료_거시'!$D1303),ISNUMBER('자료_거시'!$E1303)),IFERROR('자료_거시'!$E1303-INDEX($S$21:$S$4020,MATCH(EDATE('자료_거시'!$D1303,-'설정'!$B$17),'자료_거시'!$D$3:INDEX('자료_거시'!$D$3:$D$4002,$K$6),1)),""),"")</f>
        <v/>
      </c>
      <c r="U1321">
        <f>IF(ISNUMBER(T1321),'자료_거시'!$D1303,"")</f>
        <v/>
      </c>
      <c r="V1321">
        <f>IF(ISNUMBER(U1321),IF(U1321&gt;$L$6,T1321,""),"")</f>
        <v/>
      </c>
      <c r="W1321">
        <f>IF(AND(ISNUMBER('자료_거시'!$G1303),ISNUMBER('자료_거시'!$H1303)),'자료_거시'!$H1303,"")</f>
        <v/>
      </c>
      <c r="X1321">
        <f>IF(ISNUMBER(W1321),'자료_거시'!$G1303,"")</f>
        <v/>
      </c>
      <c r="Y1321">
        <f>IF(ISNUMBER(X1321),IF(X1321&gt;$L$7,W1321,""),"")</f>
        <v/>
      </c>
      <c r="Z1321">
        <f>IF(ISNUMBER('자료_거시'!$K1303),'자료_거시'!$K1303,Z1320)</f>
        <v/>
      </c>
      <c r="AA1321">
        <f>IF(AND(ISNUMBER('자료_거시'!$J1303),ISNUMBER('자료_거시'!$K1303)),IFERROR('자료_거시'!$K1303/INDEX($Z$21:$Z$4020,MATCH(EDATE('자료_거시'!$J1303,-'설정'!$B$17),'자료_거시'!$J$3:INDEX('자료_거시'!$J$3:$J$4002,$K$8),1))-1,""),"")</f>
        <v/>
      </c>
      <c r="AB1321">
        <f>IF(ISNUMBER(AA1321),'자료_거시'!$J1303,"")</f>
        <v/>
      </c>
      <c r="AC1321">
        <f>IF(ISNUMBER(AB1321),IF(AB1321&gt;$L$8,AA1321,""),"")</f>
        <v/>
      </c>
    </row>
    <row r="1322">
      <c r="S1322">
        <f>IF(ISNUMBER('자료_거시'!$E1304),'자료_거시'!$E1304,S1321)</f>
        <v/>
      </c>
      <c r="T1322">
        <f>IF(AND(ISNUMBER('자료_거시'!$D1304),ISNUMBER('자료_거시'!$E1304)),IFERROR('자료_거시'!$E1304-INDEX($S$21:$S$4020,MATCH(EDATE('자료_거시'!$D1304,-'설정'!$B$17),'자료_거시'!$D$3:INDEX('자료_거시'!$D$3:$D$4002,$K$6),1)),""),"")</f>
        <v/>
      </c>
      <c r="U1322">
        <f>IF(ISNUMBER(T1322),'자료_거시'!$D1304,"")</f>
        <v/>
      </c>
      <c r="V1322">
        <f>IF(ISNUMBER(U1322),IF(U1322&gt;$L$6,T1322,""),"")</f>
        <v/>
      </c>
      <c r="W1322">
        <f>IF(AND(ISNUMBER('자료_거시'!$G1304),ISNUMBER('자료_거시'!$H1304)),'자료_거시'!$H1304,"")</f>
        <v/>
      </c>
      <c r="X1322">
        <f>IF(ISNUMBER(W1322),'자료_거시'!$G1304,"")</f>
        <v/>
      </c>
      <c r="Y1322">
        <f>IF(ISNUMBER(X1322),IF(X1322&gt;$L$7,W1322,""),"")</f>
        <v/>
      </c>
      <c r="Z1322">
        <f>IF(ISNUMBER('자료_거시'!$K1304),'자료_거시'!$K1304,Z1321)</f>
        <v/>
      </c>
      <c r="AA1322">
        <f>IF(AND(ISNUMBER('자료_거시'!$J1304),ISNUMBER('자료_거시'!$K1304)),IFERROR('자료_거시'!$K1304/INDEX($Z$21:$Z$4020,MATCH(EDATE('자료_거시'!$J1304,-'설정'!$B$17),'자료_거시'!$J$3:INDEX('자료_거시'!$J$3:$J$4002,$K$8),1))-1,""),"")</f>
        <v/>
      </c>
      <c r="AB1322">
        <f>IF(ISNUMBER(AA1322),'자료_거시'!$J1304,"")</f>
        <v/>
      </c>
      <c r="AC1322">
        <f>IF(ISNUMBER(AB1322),IF(AB1322&gt;$L$8,AA1322,""),"")</f>
        <v/>
      </c>
    </row>
    <row r="1323">
      <c r="S1323">
        <f>IF(ISNUMBER('자료_거시'!$E1305),'자료_거시'!$E1305,S1322)</f>
        <v/>
      </c>
      <c r="T1323">
        <f>IF(AND(ISNUMBER('자료_거시'!$D1305),ISNUMBER('자료_거시'!$E1305)),IFERROR('자료_거시'!$E1305-INDEX($S$21:$S$4020,MATCH(EDATE('자료_거시'!$D1305,-'설정'!$B$17),'자료_거시'!$D$3:INDEX('자료_거시'!$D$3:$D$4002,$K$6),1)),""),"")</f>
        <v/>
      </c>
      <c r="U1323">
        <f>IF(ISNUMBER(T1323),'자료_거시'!$D1305,"")</f>
        <v/>
      </c>
      <c r="V1323">
        <f>IF(ISNUMBER(U1323),IF(U1323&gt;$L$6,T1323,""),"")</f>
        <v/>
      </c>
      <c r="W1323">
        <f>IF(AND(ISNUMBER('자료_거시'!$G1305),ISNUMBER('자료_거시'!$H1305)),'자료_거시'!$H1305,"")</f>
        <v/>
      </c>
      <c r="X1323">
        <f>IF(ISNUMBER(W1323),'자료_거시'!$G1305,"")</f>
        <v/>
      </c>
      <c r="Y1323">
        <f>IF(ISNUMBER(X1323),IF(X1323&gt;$L$7,W1323,""),"")</f>
        <v/>
      </c>
      <c r="Z1323">
        <f>IF(ISNUMBER('자료_거시'!$K1305),'자료_거시'!$K1305,Z1322)</f>
        <v/>
      </c>
      <c r="AA1323">
        <f>IF(AND(ISNUMBER('자료_거시'!$J1305),ISNUMBER('자료_거시'!$K1305)),IFERROR('자료_거시'!$K1305/INDEX($Z$21:$Z$4020,MATCH(EDATE('자료_거시'!$J1305,-'설정'!$B$17),'자료_거시'!$J$3:INDEX('자료_거시'!$J$3:$J$4002,$K$8),1))-1,""),"")</f>
        <v/>
      </c>
      <c r="AB1323">
        <f>IF(ISNUMBER(AA1323),'자료_거시'!$J1305,"")</f>
        <v/>
      </c>
      <c r="AC1323">
        <f>IF(ISNUMBER(AB1323),IF(AB1323&gt;$L$8,AA1323,""),"")</f>
        <v/>
      </c>
    </row>
    <row r="1324">
      <c r="S1324">
        <f>IF(ISNUMBER('자료_거시'!$E1306),'자료_거시'!$E1306,S1323)</f>
        <v/>
      </c>
      <c r="T1324">
        <f>IF(AND(ISNUMBER('자료_거시'!$D1306),ISNUMBER('자료_거시'!$E1306)),IFERROR('자료_거시'!$E1306-INDEX($S$21:$S$4020,MATCH(EDATE('자료_거시'!$D1306,-'설정'!$B$17),'자료_거시'!$D$3:INDEX('자료_거시'!$D$3:$D$4002,$K$6),1)),""),"")</f>
        <v/>
      </c>
      <c r="U1324">
        <f>IF(ISNUMBER(T1324),'자료_거시'!$D1306,"")</f>
        <v/>
      </c>
      <c r="V1324">
        <f>IF(ISNUMBER(U1324),IF(U1324&gt;$L$6,T1324,""),"")</f>
        <v/>
      </c>
      <c r="W1324">
        <f>IF(AND(ISNUMBER('자료_거시'!$G1306),ISNUMBER('자료_거시'!$H1306)),'자료_거시'!$H1306,"")</f>
        <v/>
      </c>
      <c r="X1324">
        <f>IF(ISNUMBER(W1324),'자료_거시'!$G1306,"")</f>
        <v/>
      </c>
      <c r="Y1324">
        <f>IF(ISNUMBER(X1324),IF(X1324&gt;$L$7,W1324,""),"")</f>
        <v/>
      </c>
      <c r="Z1324">
        <f>IF(ISNUMBER('자료_거시'!$K1306),'자료_거시'!$K1306,Z1323)</f>
        <v/>
      </c>
      <c r="AA1324">
        <f>IF(AND(ISNUMBER('자료_거시'!$J1306),ISNUMBER('자료_거시'!$K1306)),IFERROR('자료_거시'!$K1306/INDEX($Z$21:$Z$4020,MATCH(EDATE('자료_거시'!$J1306,-'설정'!$B$17),'자료_거시'!$J$3:INDEX('자료_거시'!$J$3:$J$4002,$K$8),1))-1,""),"")</f>
        <v/>
      </c>
      <c r="AB1324">
        <f>IF(ISNUMBER(AA1324),'자료_거시'!$J1306,"")</f>
        <v/>
      </c>
      <c r="AC1324">
        <f>IF(ISNUMBER(AB1324),IF(AB1324&gt;$L$8,AA1324,""),"")</f>
        <v/>
      </c>
    </row>
    <row r="1325">
      <c r="S1325">
        <f>IF(ISNUMBER('자료_거시'!$E1307),'자료_거시'!$E1307,S1324)</f>
        <v/>
      </c>
      <c r="T1325">
        <f>IF(AND(ISNUMBER('자료_거시'!$D1307),ISNUMBER('자료_거시'!$E1307)),IFERROR('자료_거시'!$E1307-INDEX($S$21:$S$4020,MATCH(EDATE('자료_거시'!$D1307,-'설정'!$B$17),'자료_거시'!$D$3:INDEX('자료_거시'!$D$3:$D$4002,$K$6),1)),""),"")</f>
        <v/>
      </c>
      <c r="U1325">
        <f>IF(ISNUMBER(T1325),'자료_거시'!$D1307,"")</f>
        <v/>
      </c>
      <c r="V1325">
        <f>IF(ISNUMBER(U1325),IF(U1325&gt;$L$6,T1325,""),"")</f>
        <v/>
      </c>
      <c r="W1325">
        <f>IF(AND(ISNUMBER('자료_거시'!$G1307),ISNUMBER('자료_거시'!$H1307)),'자료_거시'!$H1307,"")</f>
        <v/>
      </c>
      <c r="X1325">
        <f>IF(ISNUMBER(W1325),'자료_거시'!$G1307,"")</f>
        <v/>
      </c>
      <c r="Y1325">
        <f>IF(ISNUMBER(X1325),IF(X1325&gt;$L$7,W1325,""),"")</f>
        <v/>
      </c>
      <c r="Z1325">
        <f>IF(ISNUMBER('자료_거시'!$K1307),'자료_거시'!$K1307,Z1324)</f>
        <v/>
      </c>
      <c r="AA1325">
        <f>IF(AND(ISNUMBER('자료_거시'!$J1307),ISNUMBER('자료_거시'!$K1307)),IFERROR('자료_거시'!$K1307/INDEX($Z$21:$Z$4020,MATCH(EDATE('자료_거시'!$J1307,-'설정'!$B$17),'자료_거시'!$J$3:INDEX('자료_거시'!$J$3:$J$4002,$K$8),1))-1,""),"")</f>
        <v/>
      </c>
      <c r="AB1325">
        <f>IF(ISNUMBER(AA1325),'자료_거시'!$J1307,"")</f>
        <v/>
      </c>
      <c r="AC1325">
        <f>IF(ISNUMBER(AB1325),IF(AB1325&gt;$L$8,AA1325,""),"")</f>
        <v/>
      </c>
    </row>
    <row r="1326">
      <c r="S1326">
        <f>IF(ISNUMBER('자료_거시'!$E1308),'자료_거시'!$E1308,S1325)</f>
        <v/>
      </c>
      <c r="T1326">
        <f>IF(AND(ISNUMBER('자료_거시'!$D1308),ISNUMBER('자료_거시'!$E1308)),IFERROR('자료_거시'!$E1308-INDEX($S$21:$S$4020,MATCH(EDATE('자료_거시'!$D1308,-'설정'!$B$17),'자료_거시'!$D$3:INDEX('자료_거시'!$D$3:$D$4002,$K$6),1)),""),"")</f>
        <v/>
      </c>
      <c r="U1326">
        <f>IF(ISNUMBER(T1326),'자료_거시'!$D1308,"")</f>
        <v/>
      </c>
      <c r="V1326">
        <f>IF(ISNUMBER(U1326),IF(U1326&gt;$L$6,T1326,""),"")</f>
        <v/>
      </c>
      <c r="W1326">
        <f>IF(AND(ISNUMBER('자료_거시'!$G1308),ISNUMBER('자료_거시'!$H1308)),'자료_거시'!$H1308,"")</f>
        <v/>
      </c>
      <c r="X1326">
        <f>IF(ISNUMBER(W1326),'자료_거시'!$G1308,"")</f>
        <v/>
      </c>
      <c r="Y1326">
        <f>IF(ISNUMBER(X1326),IF(X1326&gt;$L$7,W1326,""),"")</f>
        <v/>
      </c>
      <c r="Z1326">
        <f>IF(ISNUMBER('자료_거시'!$K1308),'자료_거시'!$K1308,Z1325)</f>
        <v/>
      </c>
      <c r="AA1326">
        <f>IF(AND(ISNUMBER('자료_거시'!$J1308),ISNUMBER('자료_거시'!$K1308)),IFERROR('자료_거시'!$K1308/INDEX($Z$21:$Z$4020,MATCH(EDATE('자료_거시'!$J1308,-'설정'!$B$17),'자료_거시'!$J$3:INDEX('자료_거시'!$J$3:$J$4002,$K$8),1))-1,""),"")</f>
        <v/>
      </c>
      <c r="AB1326">
        <f>IF(ISNUMBER(AA1326),'자료_거시'!$J1308,"")</f>
        <v/>
      </c>
      <c r="AC1326">
        <f>IF(ISNUMBER(AB1326),IF(AB1326&gt;$L$8,AA1326,""),"")</f>
        <v/>
      </c>
    </row>
    <row r="1327">
      <c r="S1327">
        <f>IF(ISNUMBER('자료_거시'!$E1309),'자료_거시'!$E1309,S1326)</f>
        <v/>
      </c>
      <c r="T1327">
        <f>IF(AND(ISNUMBER('자료_거시'!$D1309),ISNUMBER('자료_거시'!$E1309)),IFERROR('자료_거시'!$E1309-INDEX($S$21:$S$4020,MATCH(EDATE('자료_거시'!$D1309,-'설정'!$B$17),'자료_거시'!$D$3:INDEX('자료_거시'!$D$3:$D$4002,$K$6),1)),""),"")</f>
        <v/>
      </c>
      <c r="U1327">
        <f>IF(ISNUMBER(T1327),'자료_거시'!$D1309,"")</f>
        <v/>
      </c>
      <c r="V1327">
        <f>IF(ISNUMBER(U1327),IF(U1327&gt;$L$6,T1327,""),"")</f>
        <v/>
      </c>
      <c r="W1327">
        <f>IF(AND(ISNUMBER('자료_거시'!$G1309),ISNUMBER('자료_거시'!$H1309)),'자료_거시'!$H1309,"")</f>
        <v/>
      </c>
      <c r="X1327">
        <f>IF(ISNUMBER(W1327),'자료_거시'!$G1309,"")</f>
        <v/>
      </c>
      <c r="Y1327">
        <f>IF(ISNUMBER(X1327),IF(X1327&gt;$L$7,W1327,""),"")</f>
        <v/>
      </c>
      <c r="Z1327">
        <f>IF(ISNUMBER('자료_거시'!$K1309),'자료_거시'!$K1309,Z1326)</f>
        <v/>
      </c>
      <c r="AA1327">
        <f>IF(AND(ISNUMBER('자료_거시'!$J1309),ISNUMBER('자료_거시'!$K1309)),IFERROR('자료_거시'!$K1309/INDEX($Z$21:$Z$4020,MATCH(EDATE('자료_거시'!$J1309,-'설정'!$B$17),'자료_거시'!$J$3:INDEX('자료_거시'!$J$3:$J$4002,$K$8),1))-1,""),"")</f>
        <v/>
      </c>
      <c r="AB1327">
        <f>IF(ISNUMBER(AA1327),'자료_거시'!$J1309,"")</f>
        <v/>
      </c>
      <c r="AC1327">
        <f>IF(ISNUMBER(AB1327),IF(AB1327&gt;$L$8,AA1327,""),"")</f>
        <v/>
      </c>
    </row>
    <row r="1328">
      <c r="S1328">
        <f>IF(ISNUMBER('자료_거시'!$E1310),'자료_거시'!$E1310,S1327)</f>
        <v/>
      </c>
      <c r="T1328">
        <f>IF(AND(ISNUMBER('자료_거시'!$D1310),ISNUMBER('자료_거시'!$E1310)),IFERROR('자료_거시'!$E1310-INDEX($S$21:$S$4020,MATCH(EDATE('자료_거시'!$D1310,-'설정'!$B$17),'자료_거시'!$D$3:INDEX('자료_거시'!$D$3:$D$4002,$K$6),1)),""),"")</f>
        <v/>
      </c>
      <c r="U1328">
        <f>IF(ISNUMBER(T1328),'자료_거시'!$D1310,"")</f>
        <v/>
      </c>
      <c r="V1328">
        <f>IF(ISNUMBER(U1328),IF(U1328&gt;$L$6,T1328,""),"")</f>
        <v/>
      </c>
      <c r="W1328">
        <f>IF(AND(ISNUMBER('자료_거시'!$G1310),ISNUMBER('자료_거시'!$H1310)),'자료_거시'!$H1310,"")</f>
        <v/>
      </c>
      <c r="X1328">
        <f>IF(ISNUMBER(W1328),'자료_거시'!$G1310,"")</f>
        <v/>
      </c>
      <c r="Y1328">
        <f>IF(ISNUMBER(X1328),IF(X1328&gt;$L$7,W1328,""),"")</f>
        <v/>
      </c>
      <c r="Z1328">
        <f>IF(ISNUMBER('자료_거시'!$K1310),'자료_거시'!$K1310,Z1327)</f>
        <v/>
      </c>
      <c r="AA1328">
        <f>IF(AND(ISNUMBER('자료_거시'!$J1310),ISNUMBER('자료_거시'!$K1310)),IFERROR('자료_거시'!$K1310/INDEX($Z$21:$Z$4020,MATCH(EDATE('자료_거시'!$J1310,-'설정'!$B$17),'자료_거시'!$J$3:INDEX('자료_거시'!$J$3:$J$4002,$K$8),1))-1,""),"")</f>
        <v/>
      </c>
      <c r="AB1328">
        <f>IF(ISNUMBER(AA1328),'자료_거시'!$J1310,"")</f>
        <v/>
      </c>
      <c r="AC1328">
        <f>IF(ISNUMBER(AB1328),IF(AB1328&gt;$L$8,AA1328,""),"")</f>
        <v/>
      </c>
    </row>
    <row r="1329">
      <c r="S1329">
        <f>IF(ISNUMBER('자료_거시'!$E1311),'자료_거시'!$E1311,S1328)</f>
        <v/>
      </c>
      <c r="T1329">
        <f>IF(AND(ISNUMBER('자료_거시'!$D1311),ISNUMBER('자료_거시'!$E1311)),IFERROR('자료_거시'!$E1311-INDEX($S$21:$S$4020,MATCH(EDATE('자료_거시'!$D1311,-'설정'!$B$17),'자료_거시'!$D$3:INDEX('자료_거시'!$D$3:$D$4002,$K$6),1)),""),"")</f>
        <v/>
      </c>
      <c r="U1329">
        <f>IF(ISNUMBER(T1329),'자료_거시'!$D1311,"")</f>
        <v/>
      </c>
      <c r="V1329">
        <f>IF(ISNUMBER(U1329),IF(U1329&gt;$L$6,T1329,""),"")</f>
        <v/>
      </c>
      <c r="W1329">
        <f>IF(AND(ISNUMBER('자료_거시'!$G1311),ISNUMBER('자료_거시'!$H1311)),'자료_거시'!$H1311,"")</f>
        <v/>
      </c>
      <c r="X1329">
        <f>IF(ISNUMBER(W1329),'자료_거시'!$G1311,"")</f>
        <v/>
      </c>
      <c r="Y1329">
        <f>IF(ISNUMBER(X1329),IF(X1329&gt;$L$7,W1329,""),"")</f>
        <v/>
      </c>
      <c r="Z1329">
        <f>IF(ISNUMBER('자료_거시'!$K1311),'자료_거시'!$K1311,Z1328)</f>
        <v/>
      </c>
      <c r="AA1329">
        <f>IF(AND(ISNUMBER('자료_거시'!$J1311),ISNUMBER('자료_거시'!$K1311)),IFERROR('자료_거시'!$K1311/INDEX($Z$21:$Z$4020,MATCH(EDATE('자료_거시'!$J1311,-'설정'!$B$17),'자료_거시'!$J$3:INDEX('자료_거시'!$J$3:$J$4002,$K$8),1))-1,""),"")</f>
        <v/>
      </c>
      <c r="AB1329">
        <f>IF(ISNUMBER(AA1329),'자료_거시'!$J1311,"")</f>
        <v/>
      </c>
      <c r="AC1329">
        <f>IF(ISNUMBER(AB1329),IF(AB1329&gt;$L$8,AA1329,""),"")</f>
        <v/>
      </c>
    </row>
    <row r="1330">
      <c r="S1330">
        <f>IF(ISNUMBER('자료_거시'!$E1312),'자료_거시'!$E1312,S1329)</f>
        <v/>
      </c>
      <c r="T1330">
        <f>IF(AND(ISNUMBER('자료_거시'!$D1312),ISNUMBER('자료_거시'!$E1312)),IFERROR('자료_거시'!$E1312-INDEX($S$21:$S$4020,MATCH(EDATE('자료_거시'!$D1312,-'설정'!$B$17),'자료_거시'!$D$3:INDEX('자료_거시'!$D$3:$D$4002,$K$6),1)),""),"")</f>
        <v/>
      </c>
      <c r="U1330">
        <f>IF(ISNUMBER(T1330),'자료_거시'!$D1312,"")</f>
        <v/>
      </c>
      <c r="V1330">
        <f>IF(ISNUMBER(U1330),IF(U1330&gt;$L$6,T1330,""),"")</f>
        <v/>
      </c>
      <c r="W1330">
        <f>IF(AND(ISNUMBER('자료_거시'!$G1312),ISNUMBER('자료_거시'!$H1312)),'자료_거시'!$H1312,"")</f>
        <v/>
      </c>
      <c r="X1330">
        <f>IF(ISNUMBER(W1330),'자료_거시'!$G1312,"")</f>
        <v/>
      </c>
      <c r="Y1330">
        <f>IF(ISNUMBER(X1330),IF(X1330&gt;$L$7,W1330,""),"")</f>
        <v/>
      </c>
      <c r="Z1330">
        <f>IF(ISNUMBER('자료_거시'!$K1312),'자료_거시'!$K1312,Z1329)</f>
        <v/>
      </c>
      <c r="AA1330">
        <f>IF(AND(ISNUMBER('자료_거시'!$J1312),ISNUMBER('자료_거시'!$K1312)),IFERROR('자료_거시'!$K1312/INDEX($Z$21:$Z$4020,MATCH(EDATE('자료_거시'!$J1312,-'설정'!$B$17),'자료_거시'!$J$3:INDEX('자료_거시'!$J$3:$J$4002,$K$8),1))-1,""),"")</f>
        <v/>
      </c>
      <c r="AB1330">
        <f>IF(ISNUMBER(AA1330),'자료_거시'!$J1312,"")</f>
        <v/>
      </c>
      <c r="AC1330">
        <f>IF(ISNUMBER(AB1330),IF(AB1330&gt;$L$8,AA1330,""),"")</f>
        <v/>
      </c>
    </row>
    <row r="1331">
      <c r="S1331">
        <f>IF(ISNUMBER('자료_거시'!$E1313),'자료_거시'!$E1313,S1330)</f>
        <v/>
      </c>
      <c r="T1331">
        <f>IF(AND(ISNUMBER('자료_거시'!$D1313),ISNUMBER('자료_거시'!$E1313)),IFERROR('자료_거시'!$E1313-INDEX($S$21:$S$4020,MATCH(EDATE('자료_거시'!$D1313,-'설정'!$B$17),'자료_거시'!$D$3:INDEX('자료_거시'!$D$3:$D$4002,$K$6),1)),""),"")</f>
        <v/>
      </c>
      <c r="U1331">
        <f>IF(ISNUMBER(T1331),'자료_거시'!$D1313,"")</f>
        <v/>
      </c>
      <c r="V1331">
        <f>IF(ISNUMBER(U1331),IF(U1331&gt;$L$6,T1331,""),"")</f>
        <v/>
      </c>
      <c r="W1331">
        <f>IF(AND(ISNUMBER('자료_거시'!$G1313),ISNUMBER('자료_거시'!$H1313)),'자료_거시'!$H1313,"")</f>
        <v/>
      </c>
      <c r="X1331">
        <f>IF(ISNUMBER(W1331),'자료_거시'!$G1313,"")</f>
        <v/>
      </c>
      <c r="Y1331">
        <f>IF(ISNUMBER(X1331),IF(X1331&gt;$L$7,W1331,""),"")</f>
        <v/>
      </c>
      <c r="Z1331">
        <f>IF(ISNUMBER('자료_거시'!$K1313),'자료_거시'!$K1313,Z1330)</f>
        <v/>
      </c>
      <c r="AA1331">
        <f>IF(AND(ISNUMBER('자료_거시'!$J1313),ISNUMBER('자료_거시'!$K1313)),IFERROR('자료_거시'!$K1313/INDEX($Z$21:$Z$4020,MATCH(EDATE('자료_거시'!$J1313,-'설정'!$B$17),'자료_거시'!$J$3:INDEX('자료_거시'!$J$3:$J$4002,$K$8),1))-1,""),"")</f>
        <v/>
      </c>
      <c r="AB1331">
        <f>IF(ISNUMBER(AA1331),'자료_거시'!$J1313,"")</f>
        <v/>
      </c>
      <c r="AC1331">
        <f>IF(ISNUMBER(AB1331),IF(AB1331&gt;$L$8,AA1331,""),"")</f>
        <v/>
      </c>
    </row>
    <row r="1332">
      <c r="S1332">
        <f>IF(ISNUMBER('자료_거시'!$E1314),'자료_거시'!$E1314,S1331)</f>
        <v/>
      </c>
      <c r="T1332">
        <f>IF(AND(ISNUMBER('자료_거시'!$D1314),ISNUMBER('자료_거시'!$E1314)),IFERROR('자료_거시'!$E1314-INDEX($S$21:$S$4020,MATCH(EDATE('자료_거시'!$D1314,-'설정'!$B$17),'자료_거시'!$D$3:INDEX('자료_거시'!$D$3:$D$4002,$K$6),1)),""),"")</f>
        <v/>
      </c>
      <c r="U1332">
        <f>IF(ISNUMBER(T1332),'자료_거시'!$D1314,"")</f>
        <v/>
      </c>
      <c r="V1332">
        <f>IF(ISNUMBER(U1332),IF(U1332&gt;$L$6,T1332,""),"")</f>
        <v/>
      </c>
      <c r="W1332">
        <f>IF(AND(ISNUMBER('자료_거시'!$G1314),ISNUMBER('자료_거시'!$H1314)),'자료_거시'!$H1314,"")</f>
        <v/>
      </c>
      <c r="X1332">
        <f>IF(ISNUMBER(W1332),'자료_거시'!$G1314,"")</f>
        <v/>
      </c>
      <c r="Y1332">
        <f>IF(ISNUMBER(X1332),IF(X1332&gt;$L$7,W1332,""),"")</f>
        <v/>
      </c>
      <c r="Z1332">
        <f>IF(ISNUMBER('자료_거시'!$K1314),'자료_거시'!$K1314,Z1331)</f>
        <v/>
      </c>
      <c r="AA1332">
        <f>IF(AND(ISNUMBER('자료_거시'!$J1314),ISNUMBER('자료_거시'!$K1314)),IFERROR('자료_거시'!$K1314/INDEX($Z$21:$Z$4020,MATCH(EDATE('자료_거시'!$J1314,-'설정'!$B$17),'자료_거시'!$J$3:INDEX('자료_거시'!$J$3:$J$4002,$K$8),1))-1,""),"")</f>
        <v/>
      </c>
      <c r="AB1332">
        <f>IF(ISNUMBER(AA1332),'자료_거시'!$J1314,"")</f>
        <v/>
      </c>
      <c r="AC1332">
        <f>IF(ISNUMBER(AB1332),IF(AB1332&gt;$L$8,AA1332,""),"")</f>
        <v/>
      </c>
    </row>
    <row r="1333">
      <c r="S1333">
        <f>IF(ISNUMBER('자료_거시'!$E1315),'자료_거시'!$E1315,S1332)</f>
        <v/>
      </c>
      <c r="T1333">
        <f>IF(AND(ISNUMBER('자료_거시'!$D1315),ISNUMBER('자료_거시'!$E1315)),IFERROR('자료_거시'!$E1315-INDEX($S$21:$S$4020,MATCH(EDATE('자료_거시'!$D1315,-'설정'!$B$17),'자료_거시'!$D$3:INDEX('자료_거시'!$D$3:$D$4002,$K$6),1)),""),"")</f>
        <v/>
      </c>
      <c r="U1333">
        <f>IF(ISNUMBER(T1333),'자료_거시'!$D1315,"")</f>
        <v/>
      </c>
      <c r="V1333">
        <f>IF(ISNUMBER(U1333),IF(U1333&gt;$L$6,T1333,""),"")</f>
        <v/>
      </c>
      <c r="W1333">
        <f>IF(AND(ISNUMBER('자료_거시'!$G1315),ISNUMBER('자료_거시'!$H1315)),'자료_거시'!$H1315,"")</f>
        <v/>
      </c>
      <c r="X1333">
        <f>IF(ISNUMBER(W1333),'자료_거시'!$G1315,"")</f>
        <v/>
      </c>
      <c r="Y1333">
        <f>IF(ISNUMBER(X1333),IF(X1333&gt;$L$7,W1333,""),"")</f>
        <v/>
      </c>
      <c r="Z1333">
        <f>IF(ISNUMBER('자료_거시'!$K1315),'자료_거시'!$K1315,Z1332)</f>
        <v/>
      </c>
      <c r="AA1333">
        <f>IF(AND(ISNUMBER('자료_거시'!$J1315),ISNUMBER('자료_거시'!$K1315)),IFERROR('자료_거시'!$K1315/INDEX($Z$21:$Z$4020,MATCH(EDATE('자료_거시'!$J1315,-'설정'!$B$17),'자료_거시'!$J$3:INDEX('자료_거시'!$J$3:$J$4002,$K$8),1))-1,""),"")</f>
        <v/>
      </c>
      <c r="AB1333">
        <f>IF(ISNUMBER(AA1333),'자료_거시'!$J1315,"")</f>
        <v/>
      </c>
      <c r="AC1333">
        <f>IF(ISNUMBER(AB1333),IF(AB1333&gt;$L$8,AA1333,""),"")</f>
        <v/>
      </c>
    </row>
    <row r="1334">
      <c r="S1334">
        <f>IF(ISNUMBER('자료_거시'!$E1316),'자료_거시'!$E1316,S1333)</f>
        <v/>
      </c>
      <c r="T1334">
        <f>IF(AND(ISNUMBER('자료_거시'!$D1316),ISNUMBER('자료_거시'!$E1316)),IFERROR('자료_거시'!$E1316-INDEX($S$21:$S$4020,MATCH(EDATE('자료_거시'!$D1316,-'설정'!$B$17),'자료_거시'!$D$3:INDEX('자료_거시'!$D$3:$D$4002,$K$6),1)),""),"")</f>
        <v/>
      </c>
      <c r="U1334">
        <f>IF(ISNUMBER(T1334),'자료_거시'!$D1316,"")</f>
        <v/>
      </c>
      <c r="V1334">
        <f>IF(ISNUMBER(U1334),IF(U1334&gt;$L$6,T1334,""),"")</f>
        <v/>
      </c>
      <c r="W1334">
        <f>IF(AND(ISNUMBER('자료_거시'!$G1316),ISNUMBER('자료_거시'!$H1316)),'자료_거시'!$H1316,"")</f>
        <v/>
      </c>
      <c r="X1334">
        <f>IF(ISNUMBER(W1334),'자료_거시'!$G1316,"")</f>
        <v/>
      </c>
      <c r="Y1334">
        <f>IF(ISNUMBER(X1334),IF(X1334&gt;$L$7,W1334,""),"")</f>
        <v/>
      </c>
      <c r="Z1334">
        <f>IF(ISNUMBER('자료_거시'!$K1316),'자료_거시'!$K1316,Z1333)</f>
        <v/>
      </c>
      <c r="AA1334">
        <f>IF(AND(ISNUMBER('자료_거시'!$J1316),ISNUMBER('자료_거시'!$K1316)),IFERROR('자료_거시'!$K1316/INDEX($Z$21:$Z$4020,MATCH(EDATE('자료_거시'!$J1316,-'설정'!$B$17),'자료_거시'!$J$3:INDEX('자료_거시'!$J$3:$J$4002,$K$8),1))-1,""),"")</f>
        <v/>
      </c>
      <c r="AB1334">
        <f>IF(ISNUMBER(AA1334),'자료_거시'!$J1316,"")</f>
        <v/>
      </c>
      <c r="AC1334">
        <f>IF(ISNUMBER(AB1334),IF(AB1334&gt;$L$8,AA1334,""),"")</f>
        <v/>
      </c>
    </row>
    <row r="1335">
      <c r="S1335">
        <f>IF(ISNUMBER('자료_거시'!$E1317),'자료_거시'!$E1317,S1334)</f>
        <v/>
      </c>
      <c r="T1335">
        <f>IF(AND(ISNUMBER('자료_거시'!$D1317),ISNUMBER('자료_거시'!$E1317)),IFERROR('자료_거시'!$E1317-INDEX($S$21:$S$4020,MATCH(EDATE('자료_거시'!$D1317,-'설정'!$B$17),'자료_거시'!$D$3:INDEX('자료_거시'!$D$3:$D$4002,$K$6),1)),""),"")</f>
        <v/>
      </c>
      <c r="U1335">
        <f>IF(ISNUMBER(T1335),'자료_거시'!$D1317,"")</f>
        <v/>
      </c>
      <c r="V1335">
        <f>IF(ISNUMBER(U1335),IF(U1335&gt;$L$6,T1335,""),"")</f>
        <v/>
      </c>
      <c r="W1335">
        <f>IF(AND(ISNUMBER('자료_거시'!$G1317),ISNUMBER('자료_거시'!$H1317)),'자료_거시'!$H1317,"")</f>
        <v/>
      </c>
      <c r="X1335">
        <f>IF(ISNUMBER(W1335),'자료_거시'!$G1317,"")</f>
        <v/>
      </c>
      <c r="Y1335">
        <f>IF(ISNUMBER(X1335),IF(X1335&gt;$L$7,W1335,""),"")</f>
        <v/>
      </c>
      <c r="Z1335">
        <f>IF(ISNUMBER('자료_거시'!$K1317),'자료_거시'!$K1317,Z1334)</f>
        <v/>
      </c>
      <c r="AA1335">
        <f>IF(AND(ISNUMBER('자료_거시'!$J1317),ISNUMBER('자료_거시'!$K1317)),IFERROR('자료_거시'!$K1317/INDEX($Z$21:$Z$4020,MATCH(EDATE('자료_거시'!$J1317,-'설정'!$B$17),'자료_거시'!$J$3:INDEX('자료_거시'!$J$3:$J$4002,$K$8),1))-1,""),"")</f>
        <v/>
      </c>
      <c r="AB1335">
        <f>IF(ISNUMBER(AA1335),'자료_거시'!$J1317,"")</f>
        <v/>
      </c>
      <c r="AC1335">
        <f>IF(ISNUMBER(AB1335),IF(AB1335&gt;$L$8,AA1335,""),"")</f>
        <v/>
      </c>
    </row>
    <row r="1336">
      <c r="S1336">
        <f>IF(ISNUMBER('자료_거시'!$E1318),'자료_거시'!$E1318,S1335)</f>
        <v/>
      </c>
      <c r="T1336">
        <f>IF(AND(ISNUMBER('자료_거시'!$D1318),ISNUMBER('자료_거시'!$E1318)),IFERROR('자료_거시'!$E1318-INDEX($S$21:$S$4020,MATCH(EDATE('자료_거시'!$D1318,-'설정'!$B$17),'자료_거시'!$D$3:INDEX('자료_거시'!$D$3:$D$4002,$K$6),1)),""),"")</f>
        <v/>
      </c>
      <c r="U1336">
        <f>IF(ISNUMBER(T1336),'자료_거시'!$D1318,"")</f>
        <v/>
      </c>
      <c r="V1336">
        <f>IF(ISNUMBER(U1336),IF(U1336&gt;$L$6,T1336,""),"")</f>
        <v/>
      </c>
      <c r="W1336">
        <f>IF(AND(ISNUMBER('자료_거시'!$G1318),ISNUMBER('자료_거시'!$H1318)),'자료_거시'!$H1318,"")</f>
        <v/>
      </c>
      <c r="X1336">
        <f>IF(ISNUMBER(W1336),'자료_거시'!$G1318,"")</f>
        <v/>
      </c>
      <c r="Y1336">
        <f>IF(ISNUMBER(X1336),IF(X1336&gt;$L$7,W1336,""),"")</f>
        <v/>
      </c>
      <c r="Z1336">
        <f>IF(ISNUMBER('자료_거시'!$K1318),'자료_거시'!$K1318,Z1335)</f>
        <v/>
      </c>
      <c r="AA1336">
        <f>IF(AND(ISNUMBER('자료_거시'!$J1318),ISNUMBER('자료_거시'!$K1318)),IFERROR('자료_거시'!$K1318/INDEX($Z$21:$Z$4020,MATCH(EDATE('자료_거시'!$J1318,-'설정'!$B$17),'자료_거시'!$J$3:INDEX('자료_거시'!$J$3:$J$4002,$K$8),1))-1,""),"")</f>
        <v/>
      </c>
      <c r="AB1336">
        <f>IF(ISNUMBER(AA1336),'자료_거시'!$J1318,"")</f>
        <v/>
      </c>
      <c r="AC1336">
        <f>IF(ISNUMBER(AB1336),IF(AB1336&gt;$L$8,AA1336,""),"")</f>
        <v/>
      </c>
    </row>
    <row r="1337">
      <c r="S1337">
        <f>IF(ISNUMBER('자료_거시'!$E1319),'자료_거시'!$E1319,S1336)</f>
        <v/>
      </c>
      <c r="T1337">
        <f>IF(AND(ISNUMBER('자료_거시'!$D1319),ISNUMBER('자료_거시'!$E1319)),IFERROR('자료_거시'!$E1319-INDEX($S$21:$S$4020,MATCH(EDATE('자료_거시'!$D1319,-'설정'!$B$17),'자료_거시'!$D$3:INDEX('자료_거시'!$D$3:$D$4002,$K$6),1)),""),"")</f>
        <v/>
      </c>
      <c r="U1337">
        <f>IF(ISNUMBER(T1337),'자료_거시'!$D1319,"")</f>
        <v/>
      </c>
      <c r="V1337">
        <f>IF(ISNUMBER(U1337),IF(U1337&gt;$L$6,T1337,""),"")</f>
        <v/>
      </c>
      <c r="W1337">
        <f>IF(AND(ISNUMBER('자료_거시'!$G1319),ISNUMBER('자료_거시'!$H1319)),'자료_거시'!$H1319,"")</f>
        <v/>
      </c>
      <c r="X1337">
        <f>IF(ISNUMBER(W1337),'자료_거시'!$G1319,"")</f>
        <v/>
      </c>
      <c r="Y1337">
        <f>IF(ISNUMBER(X1337),IF(X1337&gt;$L$7,W1337,""),"")</f>
        <v/>
      </c>
      <c r="Z1337">
        <f>IF(ISNUMBER('자료_거시'!$K1319),'자료_거시'!$K1319,Z1336)</f>
        <v/>
      </c>
      <c r="AA1337">
        <f>IF(AND(ISNUMBER('자료_거시'!$J1319),ISNUMBER('자료_거시'!$K1319)),IFERROR('자료_거시'!$K1319/INDEX($Z$21:$Z$4020,MATCH(EDATE('자료_거시'!$J1319,-'설정'!$B$17),'자료_거시'!$J$3:INDEX('자료_거시'!$J$3:$J$4002,$K$8),1))-1,""),"")</f>
        <v/>
      </c>
      <c r="AB1337">
        <f>IF(ISNUMBER(AA1337),'자료_거시'!$J1319,"")</f>
        <v/>
      </c>
      <c r="AC1337">
        <f>IF(ISNUMBER(AB1337),IF(AB1337&gt;$L$8,AA1337,""),"")</f>
        <v/>
      </c>
    </row>
    <row r="1338">
      <c r="S1338">
        <f>IF(ISNUMBER('자료_거시'!$E1320),'자료_거시'!$E1320,S1337)</f>
        <v/>
      </c>
      <c r="T1338">
        <f>IF(AND(ISNUMBER('자료_거시'!$D1320),ISNUMBER('자료_거시'!$E1320)),IFERROR('자료_거시'!$E1320-INDEX($S$21:$S$4020,MATCH(EDATE('자료_거시'!$D1320,-'설정'!$B$17),'자료_거시'!$D$3:INDEX('자료_거시'!$D$3:$D$4002,$K$6),1)),""),"")</f>
        <v/>
      </c>
      <c r="U1338">
        <f>IF(ISNUMBER(T1338),'자료_거시'!$D1320,"")</f>
        <v/>
      </c>
      <c r="V1338">
        <f>IF(ISNUMBER(U1338),IF(U1338&gt;$L$6,T1338,""),"")</f>
        <v/>
      </c>
      <c r="W1338">
        <f>IF(AND(ISNUMBER('자료_거시'!$G1320),ISNUMBER('자료_거시'!$H1320)),'자료_거시'!$H1320,"")</f>
        <v/>
      </c>
      <c r="X1338">
        <f>IF(ISNUMBER(W1338),'자료_거시'!$G1320,"")</f>
        <v/>
      </c>
      <c r="Y1338">
        <f>IF(ISNUMBER(X1338),IF(X1338&gt;$L$7,W1338,""),"")</f>
        <v/>
      </c>
      <c r="Z1338">
        <f>IF(ISNUMBER('자료_거시'!$K1320),'자료_거시'!$K1320,Z1337)</f>
        <v/>
      </c>
      <c r="AA1338">
        <f>IF(AND(ISNUMBER('자료_거시'!$J1320),ISNUMBER('자료_거시'!$K1320)),IFERROR('자료_거시'!$K1320/INDEX($Z$21:$Z$4020,MATCH(EDATE('자료_거시'!$J1320,-'설정'!$B$17),'자료_거시'!$J$3:INDEX('자료_거시'!$J$3:$J$4002,$K$8),1))-1,""),"")</f>
        <v/>
      </c>
      <c r="AB1338">
        <f>IF(ISNUMBER(AA1338),'자료_거시'!$J1320,"")</f>
        <v/>
      </c>
      <c r="AC1338">
        <f>IF(ISNUMBER(AB1338),IF(AB1338&gt;$L$8,AA1338,""),"")</f>
        <v/>
      </c>
    </row>
    <row r="1339">
      <c r="S1339">
        <f>IF(ISNUMBER('자료_거시'!$E1321),'자료_거시'!$E1321,S1338)</f>
        <v/>
      </c>
      <c r="T1339">
        <f>IF(AND(ISNUMBER('자료_거시'!$D1321),ISNUMBER('자료_거시'!$E1321)),IFERROR('자료_거시'!$E1321-INDEX($S$21:$S$4020,MATCH(EDATE('자료_거시'!$D1321,-'설정'!$B$17),'자료_거시'!$D$3:INDEX('자료_거시'!$D$3:$D$4002,$K$6),1)),""),"")</f>
        <v/>
      </c>
      <c r="U1339">
        <f>IF(ISNUMBER(T1339),'자료_거시'!$D1321,"")</f>
        <v/>
      </c>
      <c r="V1339">
        <f>IF(ISNUMBER(U1339),IF(U1339&gt;$L$6,T1339,""),"")</f>
        <v/>
      </c>
      <c r="W1339">
        <f>IF(AND(ISNUMBER('자료_거시'!$G1321),ISNUMBER('자료_거시'!$H1321)),'자료_거시'!$H1321,"")</f>
        <v/>
      </c>
      <c r="X1339">
        <f>IF(ISNUMBER(W1339),'자료_거시'!$G1321,"")</f>
        <v/>
      </c>
      <c r="Y1339">
        <f>IF(ISNUMBER(X1339),IF(X1339&gt;$L$7,W1339,""),"")</f>
        <v/>
      </c>
      <c r="Z1339">
        <f>IF(ISNUMBER('자료_거시'!$K1321),'자료_거시'!$K1321,Z1338)</f>
        <v/>
      </c>
      <c r="AA1339">
        <f>IF(AND(ISNUMBER('자료_거시'!$J1321),ISNUMBER('자료_거시'!$K1321)),IFERROR('자료_거시'!$K1321/INDEX($Z$21:$Z$4020,MATCH(EDATE('자료_거시'!$J1321,-'설정'!$B$17),'자료_거시'!$J$3:INDEX('자료_거시'!$J$3:$J$4002,$K$8),1))-1,""),"")</f>
        <v/>
      </c>
      <c r="AB1339">
        <f>IF(ISNUMBER(AA1339),'자료_거시'!$J1321,"")</f>
        <v/>
      </c>
      <c r="AC1339">
        <f>IF(ISNUMBER(AB1339),IF(AB1339&gt;$L$8,AA1339,""),"")</f>
        <v/>
      </c>
    </row>
    <row r="1340">
      <c r="S1340">
        <f>IF(ISNUMBER('자료_거시'!$E1322),'자료_거시'!$E1322,S1339)</f>
        <v/>
      </c>
      <c r="T1340">
        <f>IF(AND(ISNUMBER('자료_거시'!$D1322),ISNUMBER('자료_거시'!$E1322)),IFERROR('자료_거시'!$E1322-INDEX($S$21:$S$4020,MATCH(EDATE('자료_거시'!$D1322,-'설정'!$B$17),'자료_거시'!$D$3:INDEX('자료_거시'!$D$3:$D$4002,$K$6),1)),""),"")</f>
        <v/>
      </c>
      <c r="U1340">
        <f>IF(ISNUMBER(T1340),'자료_거시'!$D1322,"")</f>
        <v/>
      </c>
      <c r="V1340">
        <f>IF(ISNUMBER(U1340),IF(U1340&gt;$L$6,T1340,""),"")</f>
        <v/>
      </c>
      <c r="W1340">
        <f>IF(AND(ISNUMBER('자료_거시'!$G1322),ISNUMBER('자료_거시'!$H1322)),'자료_거시'!$H1322,"")</f>
        <v/>
      </c>
      <c r="X1340">
        <f>IF(ISNUMBER(W1340),'자료_거시'!$G1322,"")</f>
        <v/>
      </c>
      <c r="Y1340">
        <f>IF(ISNUMBER(X1340),IF(X1340&gt;$L$7,W1340,""),"")</f>
        <v/>
      </c>
      <c r="Z1340">
        <f>IF(ISNUMBER('자료_거시'!$K1322),'자료_거시'!$K1322,Z1339)</f>
        <v/>
      </c>
      <c r="AA1340">
        <f>IF(AND(ISNUMBER('자료_거시'!$J1322),ISNUMBER('자료_거시'!$K1322)),IFERROR('자료_거시'!$K1322/INDEX($Z$21:$Z$4020,MATCH(EDATE('자료_거시'!$J1322,-'설정'!$B$17),'자료_거시'!$J$3:INDEX('자료_거시'!$J$3:$J$4002,$K$8),1))-1,""),"")</f>
        <v/>
      </c>
      <c r="AB1340">
        <f>IF(ISNUMBER(AA1340),'자료_거시'!$J1322,"")</f>
        <v/>
      </c>
      <c r="AC1340">
        <f>IF(ISNUMBER(AB1340),IF(AB1340&gt;$L$8,AA1340,""),"")</f>
        <v/>
      </c>
    </row>
    <row r="1341">
      <c r="S1341">
        <f>IF(ISNUMBER('자료_거시'!$E1323),'자료_거시'!$E1323,S1340)</f>
        <v/>
      </c>
      <c r="T1341">
        <f>IF(AND(ISNUMBER('자료_거시'!$D1323),ISNUMBER('자료_거시'!$E1323)),IFERROR('자료_거시'!$E1323-INDEX($S$21:$S$4020,MATCH(EDATE('자료_거시'!$D1323,-'설정'!$B$17),'자료_거시'!$D$3:INDEX('자료_거시'!$D$3:$D$4002,$K$6),1)),""),"")</f>
        <v/>
      </c>
      <c r="U1341">
        <f>IF(ISNUMBER(T1341),'자료_거시'!$D1323,"")</f>
        <v/>
      </c>
      <c r="V1341">
        <f>IF(ISNUMBER(U1341),IF(U1341&gt;$L$6,T1341,""),"")</f>
        <v/>
      </c>
      <c r="W1341">
        <f>IF(AND(ISNUMBER('자료_거시'!$G1323),ISNUMBER('자료_거시'!$H1323)),'자료_거시'!$H1323,"")</f>
        <v/>
      </c>
      <c r="X1341">
        <f>IF(ISNUMBER(W1341),'자료_거시'!$G1323,"")</f>
        <v/>
      </c>
      <c r="Y1341">
        <f>IF(ISNUMBER(X1341),IF(X1341&gt;$L$7,W1341,""),"")</f>
        <v/>
      </c>
      <c r="Z1341">
        <f>IF(ISNUMBER('자료_거시'!$K1323),'자료_거시'!$K1323,Z1340)</f>
        <v/>
      </c>
      <c r="AA1341">
        <f>IF(AND(ISNUMBER('자료_거시'!$J1323),ISNUMBER('자료_거시'!$K1323)),IFERROR('자료_거시'!$K1323/INDEX($Z$21:$Z$4020,MATCH(EDATE('자료_거시'!$J1323,-'설정'!$B$17),'자료_거시'!$J$3:INDEX('자료_거시'!$J$3:$J$4002,$K$8),1))-1,""),"")</f>
        <v/>
      </c>
      <c r="AB1341">
        <f>IF(ISNUMBER(AA1341),'자료_거시'!$J1323,"")</f>
        <v/>
      </c>
      <c r="AC1341">
        <f>IF(ISNUMBER(AB1341),IF(AB1341&gt;$L$8,AA1341,""),"")</f>
        <v/>
      </c>
    </row>
    <row r="1342">
      <c r="S1342">
        <f>IF(ISNUMBER('자료_거시'!$E1324),'자료_거시'!$E1324,S1341)</f>
        <v/>
      </c>
      <c r="T1342">
        <f>IF(AND(ISNUMBER('자료_거시'!$D1324),ISNUMBER('자료_거시'!$E1324)),IFERROR('자료_거시'!$E1324-INDEX($S$21:$S$4020,MATCH(EDATE('자료_거시'!$D1324,-'설정'!$B$17),'자료_거시'!$D$3:INDEX('자료_거시'!$D$3:$D$4002,$K$6),1)),""),"")</f>
        <v/>
      </c>
      <c r="U1342">
        <f>IF(ISNUMBER(T1342),'자료_거시'!$D1324,"")</f>
        <v/>
      </c>
      <c r="V1342">
        <f>IF(ISNUMBER(U1342),IF(U1342&gt;$L$6,T1342,""),"")</f>
        <v/>
      </c>
      <c r="W1342">
        <f>IF(AND(ISNUMBER('자료_거시'!$G1324),ISNUMBER('자료_거시'!$H1324)),'자료_거시'!$H1324,"")</f>
        <v/>
      </c>
      <c r="X1342">
        <f>IF(ISNUMBER(W1342),'자료_거시'!$G1324,"")</f>
        <v/>
      </c>
      <c r="Y1342">
        <f>IF(ISNUMBER(X1342),IF(X1342&gt;$L$7,W1342,""),"")</f>
        <v/>
      </c>
      <c r="Z1342">
        <f>IF(ISNUMBER('자료_거시'!$K1324),'자료_거시'!$K1324,Z1341)</f>
        <v/>
      </c>
      <c r="AA1342">
        <f>IF(AND(ISNUMBER('자료_거시'!$J1324),ISNUMBER('자료_거시'!$K1324)),IFERROR('자료_거시'!$K1324/INDEX($Z$21:$Z$4020,MATCH(EDATE('자료_거시'!$J1324,-'설정'!$B$17),'자료_거시'!$J$3:INDEX('자료_거시'!$J$3:$J$4002,$K$8),1))-1,""),"")</f>
        <v/>
      </c>
      <c r="AB1342">
        <f>IF(ISNUMBER(AA1342),'자료_거시'!$J1324,"")</f>
        <v/>
      </c>
      <c r="AC1342">
        <f>IF(ISNUMBER(AB1342),IF(AB1342&gt;$L$8,AA1342,""),"")</f>
        <v/>
      </c>
    </row>
    <row r="1343">
      <c r="S1343">
        <f>IF(ISNUMBER('자료_거시'!$E1325),'자료_거시'!$E1325,S1342)</f>
        <v/>
      </c>
      <c r="T1343">
        <f>IF(AND(ISNUMBER('자료_거시'!$D1325),ISNUMBER('자료_거시'!$E1325)),IFERROR('자료_거시'!$E1325-INDEX($S$21:$S$4020,MATCH(EDATE('자료_거시'!$D1325,-'설정'!$B$17),'자료_거시'!$D$3:INDEX('자료_거시'!$D$3:$D$4002,$K$6),1)),""),"")</f>
        <v/>
      </c>
      <c r="U1343">
        <f>IF(ISNUMBER(T1343),'자료_거시'!$D1325,"")</f>
        <v/>
      </c>
      <c r="V1343">
        <f>IF(ISNUMBER(U1343),IF(U1343&gt;$L$6,T1343,""),"")</f>
        <v/>
      </c>
      <c r="W1343">
        <f>IF(AND(ISNUMBER('자료_거시'!$G1325),ISNUMBER('자료_거시'!$H1325)),'자료_거시'!$H1325,"")</f>
        <v/>
      </c>
      <c r="X1343">
        <f>IF(ISNUMBER(W1343),'자료_거시'!$G1325,"")</f>
        <v/>
      </c>
      <c r="Y1343">
        <f>IF(ISNUMBER(X1343),IF(X1343&gt;$L$7,W1343,""),"")</f>
        <v/>
      </c>
      <c r="Z1343">
        <f>IF(ISNUMBER('자료_거시'!$K1325),'자료_거시'!$K1325,Z1342)</f>
        <v/>
      </c>
      <c r="AA1343">
        <f>IF(AND(ISNUMBER('자료_거시'!$J1325),ISNUMBER('자료_거시'!$K1325)),IFERROR('자료_거시'!$K1325/INDEX($Z$21:$Z$4020,MATCH(EDATE('자료_거시'!$J1325,-'설정'!$B$17),'자료_거시'!$J$3:INDEX('자료_거시'!$J$3:$J$4002,$K$8),1))-1,""),"")</f>
        <v/>
      </c>
      <c r="AB1343">
        <f>IF(ISNUMBER(AA1343),'자료_거시'!$J1325,"")</f>
        <v/>
      </c>
      <c r="AC1343">
        <f>IF(ISNUMBER(AB1343),IF(AB1343&gt;$L$8,AA1343,""),"")</f>
        <v/>
      </c>
    </row>
    <row r="1344">
      <c r="S1344">
        <f>IF(ISNUMBER('자료_거시'!$E1326),'자료_거시'!$E1326,S1343)</f>
        <v/>
      </c>
      <c r="T1344">
        <f>IF(AND(ISNUMBER('자료_거시'!$D1326),ISNUMBER('자료_거시'!$E1326)),IFERROR('자료_거시'!$E1326-INDEX($S$21:$S$4020,MATCH(EDATE('자료_거시'!$D1326,-'설정'!$B$17),'자료_거시'!$D$3:INDEX('자료_거시'!$D$3:$D$4002,$K$6),1)),""),"")</f>
        <v/>
      </c>
      <c r="U1344">
        <f>IF(ISNUMBER(T1344),'자료_거시'!$D1326,"")</f>
        <v/>
      </c>
      <c r="V1344">
        <f>IF(ISNUMBER(U1344),IF(U1344&gt;$L$6,T1344,""),"")</f>
        <v/>
      </c>
      <c r="W1344">
        <f>IF(AND(ISNUMBER('자료_거시'!$G1326),ISNUMBER('자료_거시'!$H1326)),'자료_거시'!$H1326,"")</f>
        <v/>
      </c>
      <c r="X1344">
        <f>IF(ISNUMBER(W1344),'자료_거시'!$G1326,"")</f>
        <v/>
      </c>
      <c r="Y1344">
        <f>IF(ISNUMBER(X1344),IF(X1344&gt;$L$7,W1344,""),"")</f>
        <v/>
      </c>
      <c r="Z1344">
        <f>IF(ISNUMBER('자료_거시'!$K1326),'자료_거시'!$K1326,Z1343)</f>
        <v/>
      </c>
      <c r="AA1344">
        <f>IF(AND(ISNUMBER('자료_거시'!$J1326),ISNUMBER('자료_거시'!$K1326)),IFERROR('자료_거시'!$K1326/INDEX($Z$21:$Z$4020,MATCH(EDATE('자료_거시'!$J1326,-'설정'!$B$17),'자료_거시'!$J$3:INDEX('자료_거시'!$J$3:$J$4002,$K$8),1))-1,""),"")</f>
        <v/>
      </c>
      <c r="AB1344">
        <f>IF(ISNUMBER(AA1344),'자료_거시'!$J1326,"")</f>
        <v/>
      </c>
      <c r="AC1344">
        <f>IF(ISNUMBER(AB1344),IF(AB1344&gt;$L$8,AA1344,""),"")</f>
        <v/>
      </c>
    </row>
    <row r="1345">
      <c r="S1345">
        <f>IF(ISNUMBER('자료_거시'!$E1327),'자료_거시'!$E1327,S1344)</f>
        <v/>
      </c>
      <c r="T1345">
        <f>IF(AND(ISNUMBER('자료_거시'!$D1327),ISNUMBER('자료_거시'!$E1327)),IFERROR('자료_거시'!$E1327-INDEX($S$21:$S$4020,MATCH(EDATE('자료_거시'!$D1327,-'설정'!$B$17),'자료_거시'!$D$3:INDEX('자료_거시'!$D$3:$D$4002,$K$6),1)),""),"")</f>
        <v/>
      </c>
      <c r="U1345">
        <f>IF(ISNUMBER(T1345),'자료_거시'!$D1327,"")</f>
        <v/>
      </c>
      <c r="V1345">
        <f>IF(ISNUMBER(U1345),IF(U1345&gt;$L$6,T1345,""),"")</f>
        <v/>
      </c>
      <c r="W1345">
        <f>IF(AND(ISNUMBER('자료_거시'!$G1327),ISNUMBER('자료_거시'!$H1327)),'자료_거시'!$H1327,"")</f>
        <v/>
      </c>
      <c r="X1345">
        <f>IF(ISNUMBER(W1345),'자료_거시'!$G1327,"")</f>
        <v/>
      </c>
      <c r="Y1345">
        <f>IF(ISNUMBER(X1345),IF(X1345&gt;$L$7,W1345,""),"")</f>
        <v/>
      </c>
      <c r="Z1345">
        <f>IF(ISNUMBER('자료_거시'!$K1327),'자료_거시'!$K1327,Z1344)</f>
        <v/>
      </c>
      <c r="AA1345">
        <f>IF(AND(ISNUMBER('자료_거시'!$J1327),ISNUMBER('자료_거시'!$K1327)),IFERROR('자료_거시'!$K1327/INDEX($Z$21:$Z$4020,MATCH(EDATE('자료_거시'!$J1327,-'설정'!$B$17),'자료_거시'!$J$3:INDEX('자료_거시'!$J$3:$J$4002,$K$8),1))-1,""),"")</f>
        <v/>
      </c>
      <c r="AB1345">
        <f>IF(ISNUMBER(AA1345),'자료_거시'!$J1327,"")</f>
        <v/>
      </c>
      <c r="AC1345">
        <f>IF(ISNUMBER(AB1345),IF(AB1345&gt;$L$8,AA1345,""),"")</f>
        <v/>
      </c>
    </row>
    <row r="1346">
      <c r="S1346">
        <f>IF(ISNUMBER('자료_거시'!$E1328),'자료_거시'!$E1328,S1345)</f>
        <v/>
      </c>
      <c r="T1346">
        <f>IF(AND(ISNUMBER('자료_거시'!$D1328),ISNUMBER('자료_거시'!$E1328)),IFERROR('자료_거시'!$E1328-INDEX($S$21:$S$4020,MATCH(EDATE('자료_거시'!$D1328,-'설정'!$B$17),'자료_거시'!$D$3:INDEX('자료_거시'!$D$3:$D$4002,$K$6),1)),""),"")</f>
        <v/>
      </c>
      <c r="U1346">
        <f>IF(ISNUMBER(T1346),'자료_거시'!$D1328,"")</f>
        <v/>
      </c>
      <c r="V1346">
        <f>IF(ISNUMBER(U1346),IF(U1346&gt;$L$6,T1346,""),"")</f>
        <v/>
      </c>
      <c r="W1346">
        <f>IF(AND(ISNUMBER('자료_거시'!$G1328),ISNUMBER('자료_거시'!$H1328)),'자료_거시'!$H1328,"")</f>
        <v/>
      </c>
      <c r="X1346">
        <f>IF(ISNUMBER(W1346),'자료_거시'!$G1328,"")</f>
        <v/>
      </c>
      <c r="Y1346">
        <f>IF(ISNUMBER(X1346),IF(X1346&gt;$L$7,W1346,""),"")</f>
        <v/>
      </c>
      <c r="Z1346">
        <f>IF(ISNUMBER('자료_거시'!$K1328),'자료_거시'!$K1328,Z1345)</f>
        <v/>
      </c>
      <c r="AA1346">
        <f>IF(AND(ISNUMBER('자료_거시'!$J1328),ISNUMBER('자료_거시'!$K1328)),IFERROR('자료_거시'!$K1328/INDEX($Z$21:$Z$4020,MATCH(EDATE('자료_거시'!$J1328,-'설정'!$B$17),'자료_거시'!$J$3:INDEX('자료_거시'!$J$3:$J$4002,$K$8),1))-1,""),"")</f>
        <v/>
      </c>
      <c r="AB1346">
        <f>IF(ISNUMBER(AA1346),'자료_거시'!$J1328,"")</f>
        <v/>
      </c>
      <c r="AC1346">
        <f>IF(ISNUMBER(AB1346),IF(AB1346&gt;$L$8,AA1346,""),"")</f>
        <v/>
      </c>
    </row>
    <row r="1347">
      <c r="S1347">
        <f>IF(ISNUMBER('자료_거시'!$E1329),'자료_거시'!$E1329,S1346)</f>
        <v/>
      </c>
      <c r="T1347">
        <f>IF(AND(ISNUMBER('자료_거시'!$D1329),ISNUMBER('자료_거시'!$E1329)),IFERROR('자료_거시'!$E1329-INDEX($S$21:$S$4020,MATCH(EDATE('자료_거시'!$D1329,-'설정'!$B$17),'자료_거시'!$D$3:INDEX('자료_거시'!$D$3:$D$4002,$K$6),1)),""),"")</f>
        <v/>
      </c>
      <c r="U1347">
        <f>IF(ISNUMBER(T1347),'자료_거시'!$D1329,"")</f>
        <v/>
      </c>
      <c r="V1347">
        <f>IF(ISNUMBER(U1347),IF(U1347&gt;$L$6,T1347,""),"")</f>
        <v/>
      </c>
      <c r="W1347">
        <f>IF(AND(ISNUMBER('자료_거시'!$G1329),ISNUMBER('자료_거시'!$H1329)),'자료_거시'!$H1329,"")</f>
        <v/>
      </c>
      <c r="X1347">
        <f>IF(ISNUMBER(W1347),'자료_거시'!$G1329,"")</f>
        <v/>
      </c>
      <c r="Y1347">
        <f>IF(ISNUMBER(X1347),IF(X1347&gt;$L$7,W1347,""),"")</f>
        <v/>
      </c>
      <c r="Z1347">
        <f>IF(ISNUMBER('자료_거시'!$K1329),'자료_거시'!$K1329,Z1346)</f>
        <v/>
      </c>
      <c r="AA1347">
        <f>IF(AND(ISNUMBER('자료_거시'!$J1329),ISNUMBER('자료_거시'!$K1329)),IFERROR('자료_거시'!$K1329/INDEX($Z$21:$Z$4020,MATCH(EDATE('자료_거시'!$J1329,-'설정'!$B$17),'자료_거시'!$J$3:INDEX('자료_거시'!$J$3:$J$4002,$K$8),1))-1,""),"")</f>
        <v/>
      </c>
      <c r="AB1347">
        <f>IF(ISNUMBER(AA1347),'자료_거시'!$J1329,"")</f>
        <v/>
      </c>
      <c r="AC1347">
        <f>IF(ISNUMBER(AB1347),IF(AB1347&gt;$L$8,AA1347,""),"")</f>
        <v/>
      </c>
    </row>
    <row r="1348">
      <c r="S1348">
        <f>IF(ISNUMBER('자료_거시'!$E1330),'자료_거시'!$E1330,S1347)</f>
        <v/>
      </c>
      <c r="T1348">
        <f>IF(AND(ISNUMBER('자료_거시'!$D1330),ISNUMBER('자료_거시'!$E1330)),IFERROR('자료_거시'!$E1330-INDEX($S$21:$S$4020,MATCH(EDATE('자료_거시'!$D1330,-'설정'!$B$17),'자료_거시'!$D$3:INDEX('자료_거시'!$D$3:$D$4002,$K$6),1)),""),"")</f>
        <v/>
      </c>
      <c r="U1348">
        <f>IF(ISNUMBER(T1348),'자료_거시'!$D1330,"")</f>
        <v/>
      </c>
      <c r="V1348">
        <f>IF(ISNUMBER(U1348),IF(U1348&gt;$L$6,T1348,""),"")</f>
        <v/>
      </c>
      <c r="W1348">
        <f>IF(AND(ISNUMBER('자료_거시'!$G1330),ISNUMBER('자료_거시'!$H1330)),'자료_거시'!$H1330,"")</f>
        <v/>
      </c>
      <c r="X1348">
        <f>IF(ISNUMBER(W1348),'자료_거시'!$G1330,"")</f>
        <v/>
      </c>
      <c r="Y1348">
        <f>IF(ISNUMBER(X1348),IF(X1348&gt;$L$7,W1348,""),"")</f>
        <v/>
      </c>
      <c r="Z1348">
        <f>IF(ISNUMBER('자료_거시'!$K1330),'자료_거시'!$K1330,Z1347)</f>
        <v/>
      </c>
      <c r="AA1348">
        <f>IF(AND(ISNUMBER('자료_거시'!$J1330),ISNUMBER('자료_거시'!$K1330)),IFERROR('자료_거시'!$K1330/INDEX($Z$21:$Z$4020,MATCH(EDATE('자료_거시'!$J1330,-'설정'!$B$17),'자료_거시'!$J$3:INDEX('자료_거시'!$J$3:$J$4002,$K$8),1))-1,""),"")</f>
        <v/>
      </c>
      <c r="AB1348">
        <f>IF(ISNUMBER(AA1348),'자료_거시'!$J1330,"")</f>
        <v/>
      </c>
      <c r="AC1348">
        <f>IF(ISNUMBER(AB1348),IF(AB1348&gt;$L$8,AA1348,""),"")</f>
        <v/>
      </c>
    </row>
    <row r="1349">
      <c r="S1349">
        <f>IF(ISNUMBER('자료_거시'!$E1331),'자료_거시'!$E1331,S1348)</f>
        <v/>
      </c>
      <c r="T1349">
        <f>IF(AND(ISNUMBER('자료_거시'!$D1331),ISNUMBER('자료_거시'!$E1331)),IFERROR('자료_거시'!$E1331-INDEX($S$21:$S$4020,MATCH(EDATE('자료_거시'!$D1331,-'설정'!$B$17),'자료_거시'!$D$3:INDEX('자료_거시'!$D$3:$D$4002,$K$6),1)),""),"")</f>
        <v/>
      </c>
      <c r="U1349">
        <f>IF(ISNUMBER(T1349),'자료_거시'!$D1331,"")</f>
        <v/>
      </c>
      <c r="V1349">
        <f>IF(ISNUMBER(U1349),IF(U1349&gt;$L$6,T1349,""),"")</f>
        <v/>
      </c>
      <c r="W1349">
        <f>IF(AND(ISNUMBER('자료_거시'!$G1331),ISNUMBER('자료_거시'!$H1331)),'자료_거시'!$H1331,"")</f>
        <v/>
      </c>
      <c r="X1349">
        <f>IF(ISNUMBER(W1349),'자료_거시'!$G1331,"")</f>
        <v/>
      </c>
      <c r="Y1349">
        <f>IF(ISNUMBER(X1349),IF(X1349&gt;$L$7,W1349,""),"")</f>
        <v/>
      </c>
      <c r="Z1349">
        <f>IF(ISNUMBER('자료_거시'!$K1331),'자료_거시'!$K1331,Z1348)</f>
        <v/>
      </c>
      <c r="AA1349">
        <f>IF(AND(ISNUMBER('자료_거시'!$J1331),ISNUMBER('자료_거시'!$K1331)),IFERROR('자료_거시'!$K1331/INDEX($Z$21:$Z$4020,MATCH(EDATE('자료_거시'!$J1331,-'설정'!$B$17),'자료_거시'!$J$3:INDEX('자료_거시'!$J$3:$J$4002,$K$8),1))-1,""),"")</f>
        <v/>
      </c>
      <c r="AB1349">
        <f>IF(ISNUMBER(AA1349),'자료_거시'!$J1331,"")</f>
        <v/>
      </c>
      <c r="AC1349">
        <f>IF(ISNUMBER(AB1349),IF(AB1349&gt;$L$8,AA1349,""),"")</f>
        <v/>
      </c>
    </row>
    <row r="1350">
      <c r="S1350">
        <f>IF(ISNUMBER('자료_거시'!$E1332),'자료_거시'!$E1332,S1349)</f>
        <v/>
      </c>
      <c r="T1350">
        <f>IF(AND(ISNUMBER('자료_거시'!$D1332),ISNUMBER('자료_거시'!$E1332)),IFERROR('자료_거시'!$E1332-INDEX($S$21:$S$4020,MATCH(EDATE('자료_거시'!$D1332,-'설정'!$B$17),'자료_거시'!$D$3:INDEX('자료_거시'!$D$3:$D$4002,$K$6),1)),""),"")</f>
        <v/>
      </c>
      <c r="U1350">
        <f>IF(ISNUMBER(T1350),'자료_거시'!$D1332,"")</f>
        <v/>
      </c>
      <c r="V1350">
        <f>IF(ISNUMBER(U1350),IF(U1350&gt;$L$6,T1350,""),"")</f>
        <v/>
      </c>
      <c r="W1350">
        <f>IF(AND(ISNUMBER('자료_거시'!$G1332),ISNUMBER('자료_거시'!$H1332)),'자료_거시'!$H1332,"")</f>
        <v/>
      </c>
      <c r="X1350">
        <f>IF(ISNUMBER(W1350),'자료_거시'!$G1332,"")</f>
        <v/>
      </c>
      <c r="Y1350">
        <f>IF(ISNUMBER(X1350),IF(X1350&gt;$L$7,W1350,""),"")</f>
        <v/>
      </c>
      <c r="Z1350">
        <f>IF(ISNUMBER('자료_거시'!$K1332),'자료_거시'!$K1332,Z1349)</f>
        <v/>
      </c>
      <c r="AA1350">
        <f>IF(AND(ISNUMBER('자료_거시'!$J1332),ISNUMBER('자료_거시'!$K1332)),IFERROR('자료_거시'!$K1332/INDEX($Z$21:$Z$4020,MATCH(EDATE('자료_거시'!$J1332,-'설정'!$B$17),'자료_거시'!$J$3:INDEX('자료_거시'!$J$3:$J$4002,$K$8),1))-1,""),"")</f>
        <v/>
      </c>
      <c r="AB1350">
        <f>IF(ISNUMBER(AA1350),'자료_거시'!$J1332,"")</f>
        <v/>
      </c>
      <c r="AC1350">
        <f>IF(ISNUMBER(AB1350),IF(AB1350&gt;$L$8,AA1350,""),"")</f>
        <v/>
      </c>
    </row>
    <row r="1351">
      <c r="S1351">
        <f>IF(ISNUMBER('자료_거시'!$E1333),'자료_거시'!$E1333,S1350)</f>
        <v/>
      </c>
      <c r="T1351">
        <f>IF(AND(ISNUMBER('자료_거시'!$D1333),ISNUMBER('자료_거시'!$E1333)),IFERROR('자료_거시'!$E1333-INDEX($S$21:$S$4020,MATCH(EDATE('자료_거시'!$D1333,-'설정'!$B$17),'자료_거시'!$D$3:INDEX('자료_거시'!$D$3:$D$4002,$K$6),1)),""),"")</f>
        <v/>
      </c>
      <c r="U1351">
        <f>IF(ISNUMBER(T1351),'자료_거시'!$D1333,"")</f>
        <v/>
      </c>
      <c r="V1351">
        <f>IF(ISNUMBER(U1351),IF(U1351&gt;$L$6,T1351,""),"")</f>
        <v/>
      </c>
      <c r="W1351">
        <f>IF(AND(ISNUMBER('자료_거시'!$G1333),ISNUMBER('자료_거시'!$H1333)),'자료_거시'!$H1333,"")</f>
        <v/>
      </c>
      <c r="X1351">
        <f>IF(ISNUMBER(W1351),'자료_거시'!$G1333,"")</f>
        <v/>
      </c>
      <c r="Y1351">
        <f>IF(ISNUMBER(X1351),IF(X1351&gt;$L$7,W1351,""),"")</f>
        <v/>
      </c>
      <c r="Z1351">
        <f>IF(ISNUMBER('자료_거시'!$K1333),'자료_거시'!$K1333,Z1350)</f>
        <v/>
      </c>
      <c r="AA1351">
        <f>IF(AND(ISNUMBER('자료_거시'!$J1333),ISNUMBER('자료_거시'!$K1333)),IFERROR('자료_거시'!$K1333/INDEX($Z$21:$Z$4020,MATCH(EDATE('자료_거시'!$J1333,-'설정'!$B$17),'자료_거시'!$J$3:INDEX('자료_거시'!$J$3:$J$4002,$K$8),1))-1,""),"")</f>
        <v/>
      </c>
      <c r="AB1351">
        <f>IF(ISNUMBER(AA1351),'자료_거시'!$J1333,"")</f>
        <v/>
      </c>
      <c r="AC1351">
        <f>IF(ISNUMBER(AB1351),IF(AB1351&gt;$L$8,AA1351,""),"")</f>
        <v/>
      </c>
    </row>
    <row r="1352">
      <c r="S1352">
        <f>IF(ISNUMBER('자료_거시'!$E1334),'자료_거시'!$E1334,S1351)</f>
        <v/>
      </c>
      <c r="T1352">
        <f>IF(AND(ISNUMBER('자료_거시'!$D1334),ISNUMBER('자료_거시'!$E1334)),IFERROR('자료_거시'!$E1334-INDEX($S$21:$S$4020,MATCH(EDATE('자료_거시'!$D1334,-'설정'!$B$17),'자료_거시'!$D$3:INDEX('자료_거시'!$D$3:$D$4002,$K$6),1)),""),"")</f>
        <v/>
      </c>
      <c r="U1352">
        <f>IF(ISNUMBER(T1352),'자료_거시'!$D1334,"")</f>
        <v/>
      </c>
      <c r="V1352">
        <f>IF(ISNUMBER(U1352),IF(U1352&gt;$L$6,T1352,""),"")</f>
        <v/>
      </c>
      <c r="W1352">
        <f>IF(AND(ISNUMBER('자료_거시'!$G1334),ISNUMBER('자료_거시'!$H1334)),'자료_거시'!$H1334,"")</f>
        <v/>
      </c>
      <c r="X1352">
        <f>IF(ISNUMBER(W1352),'자료_거시'!$G1334,"")</f>
        <v/>
      </c>
      <c r="Y1352">
        <f>IF(ISNUMBER(X1352),IF(X1352&gt;$L$7,W1352,""),"")</f>
        <v/>
      </c>
      <c r="Z1352">
        <f>IF(ISNUMBER('자료_거시'!$K1334),'자료_거시'!$K1334,Z1351)</f>
        <v/>
      </c>
      <c r="AA1352">
        <f>IF(AND(ISNUMBER('자료_거시'!$J1334),ISNUMBER('자료_거시'!$K1334)),IFERROR('자료_거시'!$K1334/INDEX($Z$21:$Z$4020,MATCH(EDATE('자료_거시'!$J1334,-'설정'!$B$17),'자료_거시'!$J$3:INDEX('자료_거시'!$J$3:$J$4002,$K$8),1))-1,""),"")</f>
        <v/>
      </c>
      <c r="AB1352">
        <f>IF(ISNUMBER(AA1352),'자료_거시'!$J1334,"")</f>
        <v/>
      </c>
      <c r="AC1352">
        <f>IF(ISNUMBER(AB1352),IF(AB1352&gt;$L$8,AA1352,""),"")</f>
        <v/>
      </c>
    </row>
    <row r="1353">
      <c r="S1353">
        <f>IF(ISNUMBER('자료_거시'!$E1335),'자료_거시'!$E1335,S1352)</f>
        <v/>
      </c>
      <c r="T1353">
        <f>IF(AND(ISNUMBER('자료_거시'!$D1335),ISNUMBER('자료_거시'!$E1335)),IFERROR('자료_거시'!$E1335-INDEX($S$21:$S$4020,MATCH(EDATE('자료_거시'!$D1335,-'설정'!$B$17),'자료_거시'!$D$3:INDEX('자료_거시'!$D$3:$D$4002,$K$6),1)),""),"")</f>
        <v/>
      </c>
      <c r="U1353">
        <f>IF(ISNUMBER(T1353),'자료_거시'!$D1335,"")</f>
        <v/>
      </c>
      <c r="V1353">
        <f>IF(ISNUMBER(U1353),IF(U1353&gt;$L$6,T1353,""),"")</f>
        <v/>
      </c>
      <c r="W1353">
        <f>IF(AND(ISNUMBER('자료_거시'!$G1335),ISNUMBER('자료_거시'!$H1335)),'자료_거시'!$H1335,"")</f>
        <v/>
      </c>
      <c r="X1353">
        <f>IF(ISNUMBER(W1353),'자료_거시'!$G1335,"")</f>
        <v/>
      </c>
      <c r="Y1353">
        <f>IF(ISNUMBER(X1353),IF(X1353&gt;$L$7,W1353,""),"")</f>
        <v/>
      </c>
      <c r="Z1353">
        <f>IF(ISNUMBER('자료_거시'!$K1335),'자료_거시'!$K1335,Z1352)</f>
        <v/>
      </c>
      <c r="AA1353">
        <f>IF(AND(ISNUMBER('자료_거시'!$J1335),ISNUMBER('자료_거시'!$K1335)),IFERROR('자료_거시'!$K1335/INDEX($Z$21:$Z$4020,MATCH(EDATE('자료_거시'!$J1335,-'설정'!$B$17),'자료_거시'!$J$3:INDEX('자료_거시'!$J$3:$J$4002,$K$8),1))-1,""),"")</f>
        <v/>
      </c>
      <c r="AB1353">
        <f>IF(ISNUMBER(AA1353),'자료_거시'!$J1335,"")</f>
        <v/>
      </c>
      <c r="AC1353">
        <f>IF(ISNUMBER(AB1353),IF(AB1353&gt;$L$8,AA1353,""),"")</f>
        <v/>
      </c>
    </row>
    <row r="1354">
      <c r="S1354">
        <f>IF(ISNUMBER('자료_거시'!$E1336),'자료_거시'!$E1336,S1353)</f>
        <v/>
      </c>
      <c r="T1354">
        <f>IF(AND(ISNUMBER('자료_거시'!$D1336),ISNUMBER('자료_거시'!$E1336)),IFERROR('자료_거시'!$E1336-INDEX($S$21:$S$4020,MATCH(EDATE('자료_거시'!$D1336,-'설정'!$B$17),'자료_거시'!$D$3:INDEX('자료_거시'!$D$3:$D$4002,$K$6),1)),""),"")</f>
        <v/>
      </c>
      <c r="U1354">
        <f>IF(ISNUMBER(T1354),'자료_거시'!$D1336,"")</f>
        <v/>
      </c>
      <c r="V1354">
        <f>IF(ISNUMBER(U1354),IF(U1354&gt;$L$6,T1354,""),"")</f>
        <v/>
      </c>
      <c r="W1354">
        <f>IF(AND(ISNUMBER('자료_거시'!$G1336),ISNUMBER('자료_거시'!$H1336)),'자료_거시'!$H1336,"")</f>
        <v/>
      </c>
      <c r="X1354">
        <f>IF(ISNUMBER(W1354),'자료_거시'!$G1336,"")</f>
        <v/>
      </c>
      <c r="Y1354">
        <f>IF(ISNUMBER(X1354),IF(X1354&gt;$L$7,W1354,""),"")</f>
        <v/>
      </c>
      <c r="Z1354">
        <f>IF(ISNUMBER('자료_거시'!$K1336),'자료_거시'!$K1336,Z1353)</f>
        <v/>
      </c>
      <c r="AA1354">
        <f>IF(AND(ISNUMBER('자료_거시'!$J1336),ISNUMBER('자료_거시'!$K1336)),IFERROR('자료_거시'!$K1336/INDEX($Z$21:$Z$4020,MATCH(EDATE('자료_거시'!$J1336,-'설정'!$B$17),'자료_거시'!$J$3:INDEX('자료_거시'!$J$3:$J$4002,$K$8),1))-1,""),"")</f>
        <v/>
      </c>
      <c r="AB1354">
        <f>IF(ISNUMBER(AA1354),'자료_거시'!$J1336,"")</f>
        <v/>
      </c>
      <c r="AC1354">
        <f>IF(ISNUMBER(AB1354),IF(AB1354&gt;$L$8,AA1354,""),"")</f>
        <v/>
      </c>
    </row>
    <row r="1355">
      <c r="S1355">
        <f>IF(ISNUMBER('자료_거시'!$E1337),'자료_거시'!$E1337,S1354)</f>
        <v/>
      </c>
      <c r="T1355">
        <f>IF(AND(ISNUMBER('자료_거시'!$D1337),ISNUMBER('자료_거시'!$E1337)),IFERROR('자료_거시'!$E1337-INDEX($S$21:$S$4020,MATCH(EDATE('자료_거시'!$D1337,-'설정'!$B$17),'자료_거시'!$D$3:INDEX('자료_거시'!$D$3:$D$4002,$K$6),1)),""),"")</f>
        <v/>
      </c>
      <c r="U1355">
        <f>IF(ISNUMBER(T1355),'자료_거시'!$D1337,"")</f>
        <v/>
      </c>
      <c r="V1355">
        <f>IF(ISNUMBER(U1355),IF(U1355&gt;$L$6,T1355,""),"")</f>
        <v/>
      </c>
      <c r="W1355">
        <f>IF(AND(ISNUMBER('자료_거시'!$G1337),ISNUMBER('자료_거시'!$H1337)),'자료_거시'!$H1337,"")</f>
        <v/>
      </c>
      <c r="X1355">
        <f>IF(ISNUMBER(W1355),'자료_거시'!$G1337,"")</f>
        <v/>
      </c>
      <c r="Y1355">
        <f>IF(ISNUMBER(X1355),IF(X1355&gt;$L$7,W1355,""),"")</f>
        <v/>
      </c>
      <c r="Z1355">
        <f>IF(ISNUMBER('자료_거시'!$K1337),'자료_거시'!$K1337,Z1354)</f>
        <v/>
      </c>
      <c r="AA1355">
        <f>IF(AND(ISNUMBER('자료_거시'!$J1337),ISNUMBER('자료_거시'!$K1337)),IFERROR('자료_거시'!$K1337/INDEX($Z$21:$Z$4020,MATCH(EDATE('자료_거시'!$J1337,-'설정'!$B$17),'자료_거시'!$J$3:INDEX('자료_거시'!$J$3:$J$4002,$K$8),1))-1,""),"")</f>
        <v/>
      </c>
      <c r="AB1355">
        <f>IF(ISNUMBER(AA1355),'자료_거시'!$J1337,"")</f>
        <v/>
      </c>
      <c r="AC1355">
        <f>IF(ISNUMBER(AB1355),IF(AB1355&gt;$L$8,AA1355,""),"")</f>
        <v/>
      </c>
    </row>
    <row r="1356">
      <c r="S1356">
        <f>IF(ISNUMBER('자료_거시'!$E1338),'자료_거시'!$E1338,S1355)</f>
        <v/>
      </c>
      <c r="T1356">
        <f>IF(AND(ISNUMBER('자료_거시'!$D1338),ISNUMBER('자료_거시'!$E1338)),IFERROR('자료_거시'!$E1338-INDEX($S$21:$S$4020,MATCH(EDATE('자료_거시'!$D1338,-'설정'!$B$17),'자료_거시'!$D$3:INDEX('자료_거시'!$D$3:$D$4002,$K$6),1)),""),"")</f>
        <v/>
      </c>
      <c r="U1356">
        <f>IF(ISNUMBER(T1356),'자료_거시'!$D1338,"")</f>
        <v/>
      </c>
      <c r="V1356">
        <f>IF(ISNUMBER(U1356),IF(U1356&gt;$L$6,T1356,""),"")</f>
        <v/>
      </c>
      <c r="W1356">
        <f>IF(AND(ISNUMBER('자료_거시'!$G1338),ISNUMBER('자료_거시'!$H1338)),'자료_거시'!$H1338,"")</f>
        <v/>
      </c>
      <c r="X1356">
        <f>IF(ISNUMBER(W1356),'자료_거시'!$G1338,"")</f>
        <v/>
      </c>
      <c r="Y1356">
        <f>IF(ISNUMBER(X1356),IF(X1356&gt;$L$7,W1356,""),"")</f>
        <v/>
      </c>
      <c r="Z1356">
        <f>IF(ISNUMBER('자료_거시'!$K1338),'자료_거시'!$K1338,Z1355)</f>
        <v/>
      </c>
      <c r="AA1356">
        <f>IF(AND(ISNUMBER('자료_거시'!$J1338),ISNUMBER('자료_거시'!$K1338)),IFERROR('자료_거시'!$K1338/INDEX($Z$21:$Z$4020,MATCH(EDATE('자료_거시'!$J1338,-'설정'!$B$17),'자료_거시'!$J$3:INDEX('자료_거시'!$J$3:$J$4002,$K$8),1))-1,""),"")</f>
        <v/>
      </c>
      <c r="AB1356">
        <f>IF(ISNUMBER(AA1356),'자료_거시'!$J1338,"")</f>
        <v/>
      </c>
      <c r="AC1356">
        <f>IF(ISNUMBER(AB1356),IF(AB1356&gt;$L$8,AA1356,""),"")</f>
        <v/>
      </c>
    </row>
    <row r="1357">
      <c r="S1357">
        <f>IF(ISNUMBER('자료_거시'!$E1339),'자료_거시'!$E1339,S1356)</f>
        <v/>
      </c>
      <c r="T1357">
        <f>IF(AND(ISNUMBER('자료_거시'!$D1339),ISNUMBER('자료_거시'!$E1339)),IFERROR('자료_거시'!$E1339-INDEX($S$21:$S$4020,MATCH(EDATE('자료_거시'!$D1339,-'설정'!$B$17),'자료_거시'!$D$3:INDEX('자료_거시'!$D$3:$D$4002,$K$6),1)),""),"")</f>
        <v/>
      </c>
      <c r="U1357">
        <f>IF(ISNUMBER(T1357),'자료_거시'!$D1339,"")</f>
        <v/>
      </c>
      <c r="V1357">
        <f>IF(ISNUMBER(U1357),IF(U1357&gt;$L$6,T1357,""),"")</f>
        <v/>
      </c>
      <c r="W1357">
        <f>IF(AND(ISNUMBER('자료_거시'!$G1339),ISNUMBER('자료_거시'!$H1339)),'자료_거시'!$H1339,"")</f>
        <v/>
      </c>
      <c r="X1357">
        <f>IF(ISNUMBER(W1357),'자료_거시'!$G1339,"")</f>
        <v/>
      </c>
      <c r="Y1357">
        <f>IF(ISNUMBER(X1357),IF(X1357&gt;$L$7,W1357,""),"")</f>
        <v/>
      </c>
      <c r="Z1357">
        <f>IF(ISNUMBER('자료_거시'!$K1339),'자료_거시'!$K1339,Z1356)</f>
        <v/>
      </c>
      <c r="AA1357">
        <f>IF(AND(ISNUMBER('자료_거시'!$J1339),ISNUMBER('자료_거시'!$K1339)),IFERROR('자료_거시'!$K1339/INDEX($Z$21:$Z$4020,MATCH(EDATE('자료_거시'!$J1339,-'설정'!$B$17),'자료_거시'!$J$3:INDEX('자료_거시'!$J$3:$J$4002,$K$8),1))-1,""),"")</f>
        <v/>
      </c>
      <c r="AB1357">
        <f>IF(ISNUMBER(AA1357),'자료_거시'!$J1339,"")</f>
        <v/>
      </c>
      <c r="AC1357">
        <f>IF(ISNUMBER(AB1357),IF(AB1357&gt;$L$8,AA1357,""),"")</f>
        <v/>
      </c>
    </row>
    <row r="1358">
      <c r="S1358">
        <f>IF(ISNUMBER('자료_거시'!$E1340),'자료_거시'!$E1340,S1357)</f>
        <v/>
      </c>
      <c r="T1358">
        <f>IF(AND(ISNUMBER('자료_거시'!$D1340),ISNUMBER('자료_거시'!$E1340)),IFERROR('자료_거시'!$E1340-INDEX($S$21:$S$4020,MATCH(EDATE('자료_거시'!$D1340,-'설정'!$B$17),'자료_거시'!$D$3:INDEX('자료_거시'!$D$3:$D$4002,$K$6),1)),""),"")</f>
        <v/>
      </c>
      <c r="U1358">
        <f>IF(ISNUMBER(T1358),'자료_거시'!$D1340,"")</f>
        <v/>
      </c>
      <c r="V1358">
        <f>IF(ISNUMBER(U1358),IF(U1358&gt;$L$6,T1358,""),"")</f>
        <v/>
      </c>
      <c r="W1358">
        <f>IF(AND(ISNUMBER('자료_거시'!$G1340),ISNUMBER('자료_거시'!$H1340)),'자료_거시'!$H1340,"")</f>
        <v/>
      </c>
      <c r="X1358">
        <f>IF(ISNUMBER(W1358),'자료_거시'!$G1340,"")</f>
        <v/>
      </c>
      <c r="Y1358">
        <f>IF(ISNUMBER(X1358),IF(X1358&gt;$L$7,W1358,""),"")</f>
        <v/>
      </c>
      <c r="Z1358">
        <f>IF(ISNUMBER('자료_거시'!$K1340),'자료_거시'!$K1340,Z1357)</f>
        <v/>
      </c>
      <c r="AA1358">
        <f>IF(AND(ISNUMBER('자료_거시'!$J1340),ISNUMBER('자료_거시'!$K1340)),IFERROR('자료_거시'!$K1340/INDEX($Z$21:$Z$4020,MATCH(EDATE('자료_거시'!$J1340,-'설정'!$B$17),'자료_거시'!$J$3:INDEX('자료_거시'!$J$3:$J$4002,$K$8),1))-1,""),"")</f>
        <v/>
      </c>
      <c r="AB1358">
        <f>IF(ISNUMBER(AA1358),'자료_거시'!$J1340,"")</f>
        <v/>
      </c>
      <c r="AC1358">
        <f>IF(ISNUMBER(AB1358),IF(AB1358&gt;$L$8,AA1358,""),"")</f>
        <v/>
      </c>
    </row>
    <row r="1359">
      <c r="S1359">
        <f>IF(ISNUMBER('자료_거시'!$E1341),'자료_거시'!$E1341,S1358)</f>
        <v/>
      </c>
      <c r="T1359">
        <f>IF(AND(ISNUMBER('자료_거시'!$D1341),ISNUMBER('자료_거시'!$E1341)),IFERROR('자료_거시'!$E1341-INDEX($S$21:$S$4020,MATCH(EDATE('자료_거시'!$D1341,-'설정'!$B$17),'자료_거시'!$D$3:INDEX('자료_거시'!$D$3:$D$4002,$K$6),1)),""),"")</f>
        <v/>
      </c>
      <c r="U1359">
        <f>IF(ISNUMBER(T1359),'자료_거시'!$D1341,"")</f>
        <v/>
      </c>
      <c r="V1359">
        <f>IF(ISNUMBER(U1359),IF(U1359&gt;$L$6,T1359,""),"")</f>
        <v/>
      </c>
      <c r="W1359">
        <f>IF(AND(ISNUMBER('자료_거시'!$G1341),ISNUMBER('자료_거시'!$H1341)),'자료_거시'!$H1341,"")</f>
        <v/>
      </c>
      <c r="X1359">
        <f>IF(ISNUMBER(W1359),'자료_거시'!$G1341,"")</f>
        <v/>
      </c>
      <c r="Y1359">
        <f>IF(ISNUMBER(X1359),IF(X1359&gt;$L$7,W1359,""),"")</f>
        <v/>
      </c>
      <c r="Z1359">
        <f>IF(ISNUMBER('자료_거시'!$K1341),'자료_거시'!$K1341,Z1358)</f>
        <v/>
      </c>
      <c r="AA1359">
        <f>IF(AND(ISNUMBER('자료_거시'!$J1341),ISNUMBER('자료_거시'!$K1341)),IFERROR('자료_거시'!$K1341/INDEX($Z$21:$Z$4020,MATCH(EDATE('자료_거시'!$J1341,-'설정'!$B$17),'자료_거시'!$J$3:INDEX('자료_거시'!$J$3:$J$4002,$K$8),1))-1,""),"")</f>
        <v/>
      </c>
      <c r="AB1359">
        <f>IF(ISNUMBER(AA1359),'자료_거시'!$J1341,"")</f>
        <v/>
      </c>
      <c r="AC1359">
        <f>IF(ISNUMBER(AB1359),IF(AB1359&gt;$L$8,AA1359,""),"")</f>
        <v/>
      </c>
    </row>
    <row r="1360">
      <c r="S1360">
        <f>IF(ISNUMBER('자료_거시'!$E1342),'자료_거시'!$E1342,S1359)</f>
        <v/>
      </c>
      <c r="T1360">
        <f>IF(AND(ISNUMBER('자료_거시'!$D1342),ISNUMBER('자료_거시'!$E1342)),IFERROR('자료_거시'!$E1342-INDEX($S$21:$S$4020,MATCH(EDATE('자료_거시'!$D1342,-'설정'!$B$17),'자료_거시'!$D$3:INDEX('자료_거시'!$D$3:$D$4002,$K$6),1)),""),"")</f>
        <v/>
      </c>
      <c r="U1360">
        <f>IF(ISNUMBER(T1360),'자료_거시'!$D1342,"")</f>
        <v/>
      </c>
      <c r="V1360">
        <f>IF(ISNUMBER(U1360),IF(U1360&gt;$L$6,T1360,""),"")</f>
        <v/>
      </c>
      <c r="W1360">
        <f>IF(AND(ISNUMBER('자료_거시'!$G1342),ISNUMBER('자료_거시'!$H1342)),'자료_거시'!$H1342,"")</f>
        <v/>
      </c>
      <c r="X1360">
        <f>IF(ISNUMBER(W1360),'자료_거시'!$G1342,"")</f>
        <v/>
      </c>
      <c r="Y1360">
        <f>IF(ISNUMBER(X1360),IF(X1360&gt;$L$7,W1360,""),"")</f>
        <v/>
      </c>
      <c r="Z1360">
        <f>IF(ISNUMBER('자료_거시'!$K1342),'자료_거시'!$K1342,Z1359)</f>
        <v/>
      </c>
      <c r="AA1360">
        <f>IF(AND(ISNUMBER('자료_거시'!$J1342),ISNUMBER('자료_거시'!$K1342)),IFERROR('자료_거시'!$K1342/INDEX($Z$21:$Z$4020,MATCH(EDATE('자료_거시'!$J1342,-'설정'!$B$17),'자료_거시'!$J$3:INDEX('자료_거시'!$J$3:$J$4002,$K$8),1))-1,""),"")</f>
        <v/>
      </c>
      <c r="AB1360">
        <f>IF(ISNUMBER(AA1360),'자료_거시'!$J1342,"")</f>
        <v/>
      </c>
      <c r="AC1360">
        <f>IF(ISNUMBER(AB1360),IF(AB1360&gt;$L$8,AA1360,""),"")</f>
        <v/>
      </c>
    </row>
    <row r="1361">
      <c r="S1361">
        <f>IF(ISNUMBER('자료_거시'!$E1343),'자료_거시'!$E1343,S1360)</f>
        <v/>
      </c>
      <c r="T1361">
        <f>IF(AND(ISNUMBER('자료_거시'!$D1343),ISNUMBER('자료_거시'!$E1343)),IFERROR('자료_거시'!$E1343-INDEX($S$21:$S$4020,MATCH(EDATE('자료_거시'!$D1343,-'설정'!$B$17),'자료_거시'!$D$3:INDEX('자료_거시'!$D$3:$D$4002,$K$6),1)),""),"")</f>
        <v/>
      </c>
      <c r="U1361">
        <f>IF(ISNUMBER(T1361),'자료_거시'!$D1343,"")</f>
        <v/>
      </c>
      <c r="V1361">
        <f>IF(ISNUMBER(U1361),IF(U1361&gt;$L$6,T1361,""),"")</f>
        <v/>
      </c>
      <c r="W1361">
        <f>IF(AND(ISNUMBER('자료_거시'!$G1343),ISNUMBER('자료_거시'!$H1343)),'자료_거시'!$H1343,"")</f>
        <v/>
      </c>
      <c r="X1361">
        <f>IF(ISNUMBER(W1361),'자료_거시'!$G1343,"")</f>
        <v/>
      </c>
      <c r="Y1361">
        <f>IF(ISNUMBER(X1361),IF(X1361&gt;$L$7,W1361,""),"")</f>
        <v/>
      </c>
      <c r="Z1361">
        <f>IF(ISNUMBER('자료_거시'!$K1343),'자료_거시'!$K1343,Z1360)</f>
        <v/>
      </c>
      <c r="AA1361">
        <f>IF(AND(ISNUMBER('자료_거시'!$J1343),ISNUMBER('자료_거시'!$K1343)),IFERROR('자료_거시'!$K1343/INDEX($Z$21:$Z$4020,MATCH(EDATE('자료_거시'!$J1343,-'설정'!$B$17),'자료_거시'!$J$3:INDEX('자료_거시'!$J$3:$J$4002,$K$8),1))-1,""),"")</f>
        <v/>
      </c>
      <c r="AB1361">
        <f>IF(ISNUMBER(AA1361),'자료_거시'!$J1343,"")</f>
        <v/>
      </c>
      <c r="AC1361">
        <f>IF(ISNUMBER(AB1361),IF(AB1361&gt;$L$8,AA1361,""),"")</f>
        <v/>
      </c>
    </row>
    <row r="1362">
      <c r="S1362">
        <f>IF(ISNUMBER('자료_거시'!$E1344),'자료_거시'!$E1344,S1361)</f>
        <v/>
      </c>
      <c r="T1362">
        <f>IF(AND(ISNUMBER('자료_거시'!$D1344),ISNUMBER('자료_거시'!$E1344)),IFERROR('자료_거시'!$E1344-INDEX($S$21:$S$4020,MATCH(EDATE('자료_거시'!$D1344,-'설정'!$B$17),'자료_거시'!$D$3:INDEX('자료_거시'!$D$3:$D$4002,$K$6),1)),""),"")</f>
        <v/>
      </c>
      <c r="U1362">
        <f>IF(ISNUMBER(T1362),'자료_거시'!$D1344,"")</f>
        <v/>
      </c>
      <c r="V1362">
        <f>IF(ISNUMBER(U1362),IF(U1362&gt;$L$6,T1362,""),"")</f>
        <v/>
      </c>
      <c r="W1362">
        <f>IF(AND(ISNUMBER('자료_거시'!$G1344),ISNUMBER('자료_거시'!$H1344)),'자료_거시'!$H1344,"")</f>
        <v/>
      </c>
      <c r="X1362">
        <f>IF(ISNUMBER(W1362),'자료_거시'!$G1344,"")</f>
        <v/>
      </c>
      <c r="Y1362">
        <f>IF(ISNUMBER(X1362),IF(X1362&gt;$L$7,W1362,""),"")</f>
        <v/>
      </c>
      <c r="Z1362">
        <f>IF(ISNUMBER('자료_거시'!$K1344),'자료_거시'!$K1344,Z1361)</f>
        <v/>
      </c>
      <c r="AA1362">
        <f>IF(AND(ISNUMBER('자료_거시'!$J1344),ISNUMBER('자료_거시'!$K1344)),IFERROR('자료_거시'!$K1344/INDEX($Z$21:$Z$4020,MATCH(EDATE('자료_거시'!$J1344,-'설정'!$B$17),'자료_거시'!$J$3:INDEX('자료_거시'!$J$3:$J$4002,$K$8),1))-1,""),"")</f>
        <v/>
      </c>
      <c r="AB1362">
        <f>IF(ISNUMBER(AA1362),'자료_거시'!$J1344,"")</f>
        <v/>
      </c>
      <c r="AC1362">
        <f>IF(ISNUMBER(AB1362),IF(AB1362&gt;$L$8,AA1362,""),"")</f>
        <v/>
      </c>
    </row>
    <row r="1363">
      <c r="S1363">
        <f>IF(ISNUMBER('자료_거시'!$E1345),'자료_거시'!$E1345,S1362)</f>
        <v/>
      </c>
      <c r="T1363">
        <f>IF(AND(ISNUMBER('자료_거시'!$D1345),ISNUMBER('자료_거시'!$E1345)),IFERROR('자료_거시'!$E1345-INDEX($S$21:$S$4020,MATCH(EDATE('자료_거시'!$D1345,-'설정'!$B$17),'자료_거시'!$D$3:INDEX('자료_거시'!$D$3:$D$4002,$K$6),1)),""),"")</f>
        <v/>
      </c>
      <c r="U1363">
        <f>IF(ISNUMBER(T1363),'자료_거시'!$D1345,"")</f>
        <v/>
      </c>
      <c r="V1363">
        <f>IF(ISNUMBER(U1363),IF(U1363&gt;$L$6,T1363,""),"")</f>
        <v/>
      </c>
      <c r="W1363">
        <f>IF(AND(ISNUMBER('자료_거시'!$G1345),ISNUMBER('자료_거시'!$H1345)),'자료_거시'!$H1345,"")</f>
        <v/>
      </c>
      <c r="X1363">
        <f>IF(ISNUMBER(W1363),'자료_거시'!$G1345,"")</f>
        <v/>
      </c>
      <c r="Y1363">
        <f>IF(ISNUMBER(X1363),IF(X1363&gt;$L$7,W1363,""),"")</f>
        <v/>
      </c>
      <c r="Z1363">
        <f>IF(ISNUMBER('자료_거시'!$K1345),'자료_거시'!$K1345,Z1362)</f>
        <v/>
      </c>
      <c r="AA1363">
        <f>IF(AND(ISNUMBER('자료_거시'!$J1345),ISNUMBER('자료_거시'!$K1345)),IFERROR('자료_거시'!$K1345/INDEX($Z$21:$Z$4020,MATCH(EDATE('자료_거시'!$J1345,-'설정'!$B$17),'자료_거시'!$J$3:INDEX('자료_거시'!$J$3:$J$4002,$K$8),1))-1,""),"")</f>
        <v/>
      </c>
      <c r="AB1363">
        <f>IF(ISNUMBER(AA1363),'자료_거시'!$J1345,"")</f>
        <v/>
      </c>
      <c r="AC1363">
        <f>IF(ISNUMBER(AB1363),IF(AB1363&gt;$L$8,AA1363,""),"")</f>
        <v/>
      </c>
    </row>
    <row r="1364">
      <c r="S1364">
        <f>IF(ISNUMBER('자료_거시'!$E1346),'자료_거시'!$E1346,S1363)</f>
        <v/>
      </c>
      <c r="T1364">
        <f>IF(AND(ISNUMBER('자료_거시'!$D1346),ISNUMBER('자료_거시'!$E1346)),IFERROR('자료_거시'!$E1346-INDEX($S$21:$S$4020,MATCH(EDATE('자료_거시'!$D1346,-'설정'!$B$17),'자료_거시'!$D$3:INDEX('자료_거시'!$D$3:$D$4002,$K$6),1)),""),"")</f>
        <v/>
      </c>
      <c r="U1364">
        <f>IF(ISNUMBER(T1364),'자료_거시'!$D1346,"")</f>
        <v/>
      </c>
      <c r="V1364">
        <f>IF(ISNUMBER(U1364),IF(U1364&gt;$L$6,T1364,""),"")</f>
        <v/>
      </c>
      <c r="W1364">
        <f>IF(AND(ISNUMBER('자료_거시'!$G1346),ISNUMBER('자료_거시'!$H1346)),'자료_거시'!$H1346,"")</f>
        <v/>
      </c>
      <c r="X1364">
        <f>IF(ISNUMBER(W1364),'자료_거시'!$G1346,"")</f>
        <v/>
      </c>
      <c r="Y1364">
        <f>IF(ISNUMBER(X1364),IF(X1364&gt;$L$7,W1364,""),"")</f>
        <v/>
      </c>
      <c r="Z1364">
        <f>IF(ISNUMBER('자료_거시'!$K1346),'자료_거시'!$K1346,Z1363)</f>
        <v/>
      </c>
      <c r="AA1364">
        <f>IF(AND(ISNUMBER('자료_거시'!$J1346),ISNUMBER('자료_거시'!$K1346)),IFERROR('자료_거시'!$K1346/INDEX($Z$21:$Z$4020,MATCH(EDATE('자료_거시'!$J1346,-'설정'!$B$17),'자료_거시'!$J$3:INDEX('자료_거시'!$J$3:$J$4002,$K$8),1))-1,""),"")</f>
        <v/>
      </c>
      <c r="AB1364">
        <f>IF(ISNUMBER(AA1364),'자료_거시'!$J1346,"")</f>
        <v/>
      </c>
      <c r="AC1364">
        <f>IF(ISNUMBER(AB1364),IF(AB1364&gt;$L$8,AA1364,""),"")</f>
        <v/>
      </c>
    </row>
    <row r="1365">
      <c r="S1365">
        <f>IF(ISNUMBER('자료_거시'!$E1347),'자료_거시'!$E1347,S1364)</f>
        <v/>
      </c>
      <c r="T1365">
        <f>IF(AND(ISNUMBER('자료_거시'!$D1347),ISNUMBER('자료_거시'!$E1347)),IFERROR('자료_거시'!$E1347-INDEX($S$21:$S$4020,MATCH(EDATE('자료_거시'!$D1347,-'설정'!$B$17),'자료_거시'!$D$3:INDEX('자료_거시'!$D$3:$D$4002,$K$6),1)),""),"")</f>
        <v/>
      </c>
      <c r="U1365">
        <f>IF(ISNUMBER(T1365),'자료_거시'!$D1347,"")</f>
        <v/>
      </c>
      <c r="V1365">
        <f>IF(ISNUMBER(U1365),IF(U1365&gt;$L$6,T1365,""),"")</f>
        <v/>
      </c>
      <c r="W1365">
        <f>IF(AND(ISNUMBER('자료_거시'!$G1347),ISNUMBER('자료_거시'!$H1347)),'자료_거시'!$H1347,"")</f>
        <v/>
      </c>
      <c r="X1365">
        <f>IF(ISNUMBER(W1365),'자료_거시'!$G1347,"")</f>
        <v/>
      </c>
      <c r="Y1365">
        <f>IF(ISNUMBER(X1365),IF(X1365&gt;$L$7,W1365,""),"")</f>
        <v/>
      </c>
      <c r="Z1365">
        <f>IF(ISNUMBER('자료_거시'!$K1347),'자료_거시'!$K1347,Z1364)</f>
        <v/>
      </c>
      <c r="AA1365">
        <f>IF(AND(ISNUMBER('자료_거시'!$J1347),ISNUMBER('자료_거시'!$K1347)),IFERROR('자료_거시'!$K1347/INDEX($Z$21:$Z$4020,MATCH(EDATE('자료_거시'!$J1347,-'설정'!$B$17),'자료_거시'!$J$3:INDEX('자료_거시'!$J$3:$J$4002,$K$8),1))-1,""),"")</f>
        <v/>
      </c>
      <c r="AB1365">
        <f>IF(ISNUMBER(AA1365),'자료_거시'!$J1347,"")</f>
        <v/>
      </c>
      <c r="AC1365">
        <f>IF(ISNUMBER(AB1365),IF(AB1365&gt;$L$8,AA1365,""),"")</f>
        <v/>
      </c>
    </row>
    <row r="1366">
      <c r="S1366">
        <f>IF(ISNUMBER('자료_거시'!$E1348),'자료_거시'!$E1348,S1365)</f>
        <v/>
      </c>
      <c r="T1366">
        <f>IF(AND(ISNUMBER('자료_거시'!$D1348),ISNUMBER('자료_거시'!$E1348)),IFERROR('자료_거시'!$E1348-INDEX($S$21:$S$4020,MATCH(EDATE('자료_거시'!$D1348,-'설정'!$B$17),'자료_거시'!$D$3:INDEX('자료_거시'!$D$3:$D$4002,$K$6),1)),""),"")</f>
        <v/>
      </c>
      <c r="U1366">
        <f>IF(ISNUMBER(T1366),'자료_거시'!$D1348,"")</f>
        <v/>
      </c>
      <c r="V1366">
        <f>IF(ISNUMBER(U1366),IF(U1366&gt;$L$6,T1366,""),"")</f>
        <v/>
      </c>
      <c r="W1366">
        <f>IF(AND(ISNUMBER('자료_거시'!$G1348),ISNUMBER('자료_거시'!$H1348)),'자료_거시'!$H1348,"")</f>
        <v/>
      </c>
      <c r="X1366">
        <f>IF(ISNUMBER(W1366),'자료_거시'!$G1348,"")</f>
        <v/>
      </c>
      <c r="Y1366">
        <f>IF(ISNUMBER(X1366),IF(X1366&gt;$L$7,W1366,""),"")</f>
        <v/>
      </c>
      <c r="Z1366">
        <f>IF(ISNUMBER('자료_거시'!$K1348),'자료_거시'!$K1348,Z1365)</f>
        <v/>
      </c>
      <c r="AA1366">
        <f>IF(AND(ISNUMBER('자료_거시'!$J1348),ISNUMBER('자료_거시'!$K1348)),IFERROR('자료_거시'!$K1348/INDEX($Z$21:$Z$4020,MATCH(EDATE('자료_거시'!$J1348,-'설정'!$B$17),'자료_거시'!$J$3:INDEX('자료_거시'!$J$3:$J$4002,$K$8),1))-1,""),"")</f>
        <v/>
      </c>
      <c r="AB1366">
        <f>IF(ISNUMBER(AA1366),'자료_거시'!$J1348,"")</f>
        <v/>
      </c>
      <c r="AC1366">
        <f>IF(ISNUMBER(AB1366),IF(AB1366&gt;$L$8,AA1366,""),"")</f>
        <v/>
      </c>
    </row>
    <row r="1367">
      <c r="S1367">
        <f>IF(ISNUMBER('자료_거시'!$E1349),'자료_거시'!$E1349,S1366)</f>
        <v/>
      </c>
      <c r="T1367">
        <f>IF(AND(ISNUMBER('자료_거시'!$D1349),ISNUMBER('자료_거시'!$E1349)),IFERROR('자료_거시'!$E1349-INDEX($S$21:$S$4020,MATCH(EDATE('자료_거시'!$D1349,-'설정'!$B$17),'자료_거시'!$D$3:INDEX('자료_거시'!$D$3:$D$4002,$K$6),1)),""),"")</f>
        <v/>
      </c>
      <c r="U1367">
        <f>IF(ISNUMBER(T1367),'자료_거시'!$D1349,"")</f>
        <v/>
      </c>
      <c r="V1367">
        <f>IF(ISNUMBER(U1367),IF(U1367&gt;$L$6,T1367,""),"")</f>
        <v/>
      </c>
      <c r="W1367">
        <f>IF(AND(ISNUMBER('자료_거시'!$G1349),ISNUMBER('자료_거시'!$H1349)),'자료_거시'!$H1349,"")</f>
        <v/>
      </c>
      <c r="X1367">
        <f>IF(ISNUMBER(W1367),'자료_거시'!$G1349,"")</f>
        <v/>
      </c>
      <c r="Y1367">
        <f>IF(ISNUMBER(X1367),IF(X1367&gt;$L$7,W1367,""),"")</f>
        <v/>
      </c>
      <c r="Z1367">
        <f>IF(ISNUMBER('자료_거시'!$K1349),'자료_거시'!$K1349,Z1366)</f>
        <v/>
      </c>
      <c r="AA1367">
        <f>IF(AND(ISNUMBER('자료_거시'!$J1349),ISNUMBER('자료_거시'!$K1349)),IFERROR('자료_거시'!$K1349/INDEX($Z$21:$Z$4020,MATCH(EDATE('자료_거시'!$J1349,-'설정'!$B$17),'자료_거시'!$J$3:INDEX('자료_거시'!$J$3:$J$4002,$K$8),1))-1,""),"")</f>
        <v/>
      </c>
      <c r="AB1367">
        <f>IF(ISNUMBER(AA1367),'자료_거시'!$J1349,"")</f>
        <v/>
      </c>
      <c r="AC1367">
        <f>IF(ISNUMBER(AB1367),IF(AB1367&gt;$L$8,AA1367,""),"")</f>
        <v/>
      </c>
    </row>
    <row r="1368">
      <c r="S1368">
        <f>IF(ISNUMBER('자료_거시'!$E1350),'자료_거시'!$E1350,S1367)</f>
        <v/>
      </c>
      <c r="T1368">
        <f>IF(AND(ISNUMBER('자료_거시'!$D1350),ISNUMBER('자료_거시'!$E1350)),IFERROR('자료_거시'!$E1350-INDEX($S$21:$S$4020,MATCH(EDATE('자료_거시'!$D1350,-'설정'!$B$17),'자료_거시'!$D$3:INDEX('자료_거시'!$D$3:$D$4002,$K$6),1)),""),"")</f>
        <v/>
      </c>
      <c r="U1368">
        <f>IF(ISNUMBER(T1368),'자료_거시'!$D1350,"")</f>
        <v/>
      </c>
      <c r="V1368">
        <f>IF(ISNUMBER(U1368),IF(U1368&gt;$L$6,T1368,""),"")</f>
        <v/>
      </c>
      <c r="W1368">
        <f>IF(AND(ISNUMBER('자료_거시'!$G1350),ISNUMBER('자료_거시'!$H1350)),'자료_거시'!$H1350,"")</f>
        <v/>
      </c>
      <c r="X1368">
        <f>IF(ISNUMBER(W1368),'자료_거시'!$G1350,"")</f>
        <v/>
      </c>
      <c r="Y1368">
        <f>IF(ISNUMBER(X1368),IF(X1368&gt;$L$7,W1368,""),"")</f>
        <v/>
      </c>
      <c r="Z1368">
        <f>IF(ISNUMBER('자료_거시'!$K1350),'자료_거시'!$K1350,Z1367)</f>
        <v/>
      </c>
      <c r="AA1368">
        <f>IF(AND(ISNUMBER('자료_거시'!$J1350),ISNUMBER('자료_거시'!$K1350)),IFERROR('자료_거시'!$K1350/INDEX($Z$21:$Z$4020,MATCH(EDATE('자료_거시'!$J1350,-'설정'!$B$17),'자료_거시'!$J$3:INDEX('자료_거시'!$J$3:$J$4002,$K$8),1))-1,""),"")</f>
        <v/>
      </c>
      <c r="AB1368">
        <f>IF(ISNUMBER(AA1368),'자료_거시'!$J1350,"")</f>
        <v/>
      </c>
      <c r="AC1368">
        <f>IF(ISNUMBER(AB1368),IF(AB1368&gt;$L$8,AA1368,""),"")</f>
        <v/>
      </c>
    </row>
    <row r="1369">
      <c r="S1369">
        <f>IF(ISNUMBER('자료_거시'!$E1351),'자료_거시'!$E1351,S1368)</f>
        <v/>
      </c>
      <c r="T1369">
        <f>IF(AND(ISNUMBER('자료_거시'!$D1351),ISNUMBER('자료_거시'!$E1351)),IFERROR('자료_거시'!$E1351-INDEX($S$21:$S$4020,MATCH(EDATE('자료_거시'!$D1351,-'설정'!$B$17),'자료_거시'!$D$3:INDEX('자료_거시'!$D$3:$D$4002,$K$6),1)),""),"")</f>
        <v/>
      </c>
      <c r="U1369">
        <f>IF(ISNUMBER(T1369),'자료_거시'!$D1351,"")</f>
        <v/>
      </c>
      <c r="V1369">
        <f>IF(ISNUMBER(U1369),IF(U1369&gt;$L$6,T1369,""),"")</f>
        <v/>
      </c>
      <c r="W1369">
        <f>IF(AND(ISNUMBER('자료_거시'!$G1351),ISNUMBER('자료_거시'!$H1351)),'자료_거시'!$H1351,"")</f>
        <v/>
      </c>
      <c r="X1369">
        <f>IF(ISNUMBER(W1369),'자료_거시'!$G1351,"")</f>
        <v/>
      </c>
      <c r="Y1369">
        <f>IF(ISNUMBER(X1369),IF(X1369&gt;$L$7,W1369,""),"")</f>
        <v/>
      </c>
      <c r="Z1369">
        <f>IF(ISNUMBER('자료_거시'!$K1351),'자료_거시'!$K1351,Z1368)</f>
        <v/>
      </c>
      <c r="AA1369">
        <f>IF(AND(ISNUMBER('자료_거시'!$J1351),ISNUMBER('자료_거시'!$K1351)),IFERROR('자료_거시'!$K1351/INDEX($Z$21:$Z$4020,MATCH(EDATE('자료_거시'!$J1351,-'설정'!$B$17),'자료_거시'!$J$3:INDEX('자료_거시'!$J$3:$J$4002,$K$8),1))-1,""),"")</f>
        <v/>
      </c>
      <c r="AB1369">
        <f>IF(ISNUMBER(AA1369),'자료_거시'!$J1351,"")</f>
        <v/>
      </c>
      <c r="AC1369">
        <f>IF(ISNUMBER(AB1369),IF(AB1369&gt;$L$8,AA1369,""),"")</f>
        <v/>
      </c>
    </row>
    <row r="1370">
      <c r="S1370">
        <f>IF(ISNUMBER('자료_거시'!$E1352),'자료_거시'!$E1352,S1369)</f>
        <v/>
      </c>
      <c r="T1370">
        <f>IF(AND(ISNUMBER('자료_거시'!$D1352),ISNUMBER('자료_거시'!$E1352)),IFERROR('자료_거시'!$E1352-INDEX($S$21:$S$4020,MATCH(EDATE('자료_거시'!$D1352,-'설정'!$B$17),'자료_거시'!$D$3:INDEX('자료_거시'!$D$3:$D$4002,$K$6),1)),""),"")</f>
        <v/>
      </c>
      <c r="U1370">
        <f>IF(ISNUMBER(T1370),'자료_거시'!$D1352,"")</f>
        <v/>
      </c>
      <c r="V1370">
        <f>IF(ISNUMBER(U1370),IF(U1370&gt;$L$6,T1370,""),"")</f>
        <v/>
      </c>
      <c r="W1370">
        <f>IF(AND(ISNUMBER('자료_거시'!$G1352),ISNUMBER('자료_거시'!$H1352)),'자료_거시'!$H1352,"")</f>
        <v/>
      </c>
      <c r="X1370">
        <f>IF(ISNUMBER(W1370),'자료_거시'!$G1352,"")</f>
        <v/>
      </c>
      <c r="Y1370">
        <f>IF(ISNUMBER(X1370),IF(X1370&gt;$L$7,W1370,""),"")</f>
        <v/>
      </c>
      <c r="Z1370">
        <f>IF(ISNUMBER('자료_거시'!$K1352),'자료_거시'!$K1352,Z1369)</f>
        <v/>
      </c>
      <c r="AA1370">
        <f>IF(AND(ISNUMBER('자료_거시'!$J1352),ISNUMBER('자료_거시'!$K1352)),IFERROR('자료_거시'!$K1352/INDEX($Z$21:$Z$4020,MATCH(EDATE('자료_거시'!$J1352,-'설정'!$B$17),'자료_거시'!$J$3:INDEX('자료_거시'!$J$3:$J$4002,$K$8),1))-1,""),"")</f>
        <v/>
      </c>
      <c r="AB1370">
        <f>IF(ISNUMBER(AA1370),'자료_거시'!$J1352,"")</f>
        <v/>
      </c>
      <c r="AC1370">
        <f>IF(ISNUMBER(AB1370),IF(AB1370&gt;$L$8,AA1370,""),"")</f>
        <v/>
      </c>
    </row>
    <row r="1371">
      <c r="S1371">
        <f>IF(ISNUMBER('자료_거시'!$E1353),'자료_거시'!$E1353,S1370)</f>
        <v/>
      </c>
      <c r="T1371">
        <f>IF(AND(ISNUMBER('자료_거시'!$D1353),ISNUMBER('자료_거시'!$E1353)),IFERROR('자료_거시'!$E1353-INDEX($S$21:$S$4020,MATCH(EDATE('자료_거시'!$D1353,-'설정'!$B$17),'자료_거시'!$D$3:INDEX('자료_거시'!$D$3:$D$4002,$K$6),1)),""),"")</f>
        <v/>
      </c>
      <c r="U1371">
        <f>IF(ISNUMBER(T1371),'자료_거시'!$D1353,"")</f>
        <v/>
      </c>
      <c r="V1371">
        <f>IF(ISNUMBER(U1371),IF(U1371&gt;$L$6,T1371,""),"")</f>
        <v/>
      </c>
      <c r="W1371">
        <f>IF(AND(ISNUMBER('자료_거시'!$G1353),ISNUMBER('자료_거시'!$H1353)),'자료_거시'!$H1353,"")</f>
        <v/>
      </c>
      <c r="X1371">
        <f>IF(ISNUMBER(W1371),'자료_거시'!$G1353,"")</f>
        <v/>
      </c>
      <c r="Y1371">
        <f>IF(ISNUMBER(X1371),IF(X1371&gt;$L$7,W1371,""),"")</f>
        <v/>
      </c>
      <c r="Z1371">
        <f>IF(ISNUMBER('자료_거시'!$K1353),'자료_거시'!$K1353,Z1370)</f>
        <v/>
      </c>
      <c r="AA1371">
        <f>IF(AND(ISNUMBER('자료_거시'!$J1353),ISNUMBER('자료_거시'!$K1353)),IFERROR('자료_거시'!$K1353/INDEX($Z$21:$Z$4020,MATCH(EDATE('자료_거시'!$J1353,-'설정'!$B$17),'자료_거시'!$J$3:INDEX('자료_거시'!$J$3:$J$4002,$K$8),1))-1,""),"")</f>
        <v/>
      </c>
      <c r="AB1371">
        <f>IF(ISNUMBER(AA1371),'자료_거시'!$J1353,"")</f>
        <v/>
      </c>
      <c r="AC1371">
        <f>IF(ISNUMBER(AB1371),IF(AB1371&gt;$L$8,AA1371,""),"")</f>
        <v/>
      </c>
    </row>
    <row r="1372">
      <c r="S1372">
        <f>IF(ISNUMBER('자료_거시'!$E1354),'자료_거시'!$E1354,S1371)</f>
        <v/>
      </c>
      <c r="T1372">
        <f>IF(AND(ISNUMBER('자료_거시'!$D1354),ISNUMBER('자료_거시'!$E1354)),IFERROR('자료_거시'!$E1354-INDEX($S$21:$S$4020,MATCH(EDATE('자료_거시'!$D1354,-'설정'!$B$17),'자료_거시'!$D$3:INDEX('자료_거시'!$D$3:$D$4002,$K$6),1)),""),"")</f>
        <v/>
      </c>
      <c r="U1372">
        <f>IF(ISNUMBER(T1372),'자료_거시'!$D1354,"")</f>
        <v/>
      </c>
      <c r="V1372">
        <f>IF(ISNUMBER(U1372),IF(U1372&gt;$L$6,T1372,""),"")</f>
        <v/>
      </c>
      <c r="W1372">
        <f>IF(AND(ISNUMBER('자료_거시'!$G1354),ISNUMBER('자료_거시'!$H1354)),'자료_거시'!$H1354,"")</f>
        <v/>
      </c>
      <c r="X1372">
        <f>IF(ISNUMBER(W1372),'자료_거시'!$G1354,"")</f>
        <v/>
      </c>
      <c r="Y1372">
        <f>IF(ISNUMBER(X1372),IF(X1372&gt;$L$7,W1372,""),"")</f>
        <v/>
      </c>
      <c r="Z1372">
        <f>IF(ISNUMBER('자료_거시'!$K1354),'자료_거시'!$K1354,Z1371)</f>
        <v/>
      </c>
      <c r="AA1372">
        <f>IF(AND(ISNUMBER('자료_거시'!$J1354),ISNUMBER('자료_거시'!$K1354)),IFERROR('자료_거시'!$K1354/INDEX($Z$21:$Z$4020,MATCH(EDATE('자료_거시'!$J1354,-'설정'!$B$17),'자료_거시'!$J$3:INDEX('자료_거시'!$J$3:$J$4002,$K$8),1))-1,""),"")</f>
        <v/>
      </c>
      <c r="AB1372">
        <f>IF(ISNUMBER(AA1372),'자료_거시'!$J1354,"")</f>
        <v/>
      </c>
      <c r="AC1372">
        <f>IF(ISNUMBER(AB1372),IF(AB1372&gt;$L$8,AA1372,""),"")</f>
        <v/>
      </c>
    </row>
    <row r="1373">
      <c r="S1373">
        <f>IF(ISNUMBER('자료_거시'!$E1355),'자료_거시'!$E1355,S1372)</f>
        <v/>
      </c>
      <c r="T1373">
        <f>IF(AND(ISNUMBER('자료_거시'!$D1355),ISNUMBER('자료_거시'!$E1355)),IFERROR('자료_거시'!$E1355-INDEX($S$21:$S$4020,MATCH(EDATE('자료_거시'!$D1355,-'설정'!$B$17),'자료_거시'!$D$3:INDEX('자료_거시'!$D$3:$D$4002,$K$6),1)),""),"")</f>
        <v/>
      </c>
      <c r="U1373">
        <f>IF(ISNUMBER(T1373),'자료_거시'!$D1355,"")</f>
        <v/>
      </c>
      <c r="V1373">
        <f>IF(ISNUMBER(U1373),IF(U1373&gt;$L$6,T1373,""),"")</f>
        <v/>
      </c>
      <c r="W1373">
        <f>IF(AND(ISNUMBER('자료_거시'!$G1355),ISNUMBER('자료_거시'!$H1355)),'자료_거시'!$H1355,"")</f>
        <v/>
      </c>
      <c r="X1373">
        <f>IF(ISNUMBER(W1373),'자료_거시'!$G1355,"")</f>
        <v/>
      </c>
      <c r="Y1373">
        <f>IF(ISNUMBER(X1373),IF(X1373&gt;$L$7,W1373,""),"")</f>
        <v/>
      </c>
      <c r="Z1373">
        <f>IF(ISNUMBER('자료_거시'!$K1355),'자료_거시'!$K1355,Z1372)</f>
        <v/>
      </c>
      <c r="AA1373">
        <f>IF(AND(ISNUMBER('자료_거시'!$J1355),ISNUMBER('자료_거시'!$K1355)),IFERROR('자료_거시'!$K1355/INDEX($Z$21:$Z$4020,MATCH(EDATE('자료_거시'!$J1355,-'설정'!$B$17),'자료_거시'!$J$3:INDEX('자료_거시'!$J$3:$J$4002,$K$8),1))-1,""),"")</f>
        <v/>
      </c>
      <c r="AB1373">
        <f>IF(ISNUMBER(AA1373),'자료_거시'!$J1355,"")</f>
        <v/>
      </c>
      <c r="AC1373">
        <f>IF(ISNUMBER(AB1373),IF(AB1373&gt;$L$8,AA1373,""),"")</f>
        <v/>
      </c>
    </row>
    <row r="1374">
      <c r="S1374">
        <f>IF(ISNUMBER('자료_거시'!$E1356),'자료_거시'!$E1356,S1373)</f>
        <v/>
      </c>
      <c r="T1374">
        <f>IF(AND(ISNUMBER('자료_거시'!$D1356),ISNUMBER('자료_거시'!$E1356)),IFERROR('자료_거시'!$E1356-INDEX($S$21:$S$4020,MATCH(EDATE('자료_거시'!$D1356,-'설정'!$B$17),'자료_거시'!$D$3:INDEX('자료_거시'!$D$3:$D$4002,$K$6),1)),""),"")</f>
        <v/>
      </c>
      <c r="U1374">
        <f>IF(ISNUMBER(T1374),'자료_거시'!$D1356,"")</f>
        <v/>
      </c>
      <c r="V1374">
        <f>IF(ISNUMBER(U1374),IF(U1374&gt;$L$6,T1374,""),"")</f>
        <v/>
      </c>
      <c r="W1374">
        <f>IF(AND(ISNUMBER('자료_거시'!$G1356),ISNUMBER('자료_거시'!$H1356)),'자료_거시'!$H1356,"")</f>
        <v/>
      </c>
      <c r="X1374">
        <f>IF(ISNUMBER(W1374),'자료_거시'!$G1356,"")</f>
        <v/>
      </c>
      <c r="Y1374">
        <f>IF(ISNUMBER(X1374),IF(X1374&gt;$L$7,W1374,""),"")</f>
        <v/>
      </c>
      <c r="Z1374">
        <f>IF(ISNUMBER('자료_거시'!$K1356),'자료_거시'!$K1356,Z1373)</f>
        <v/>
      </c>
      <c r="AA1374">
        <f>IF(AND(ISNUMBER('자료_거시'!$J1356),ISNUMBER('자료_거시'!$K1356)),IFERROR('자료_거시'!$K1356/INDEX($Z$21:$Z$4020,MATCH(EDATE('자료_거시'!$J1356,-'설정'!$B$17),'자료_거시'!$J$3:INDEX('자료_거시'!$J$3:$J$4002,$K$8),1))-1,""),"")</f>
        <v/>
      </c>
      <c r="AB1374">
        <f>IF(ISNUMBER(AA1374),'자료_거시'!$J1356,"")</f>
        <v/>
      </c>
      <c r="AC1374">
        <f>IF(ISNUMBER(AB1374),IF(AB1374&gt;$L$8,AA1374,""),"")</f>
        <v/>
      </c>
    </row>
    <row r="1375">
      <c r="S1375">
        <f>IF(ISNUMBER('자료_거시'!$E1357),'자료_거시'!$E1357,S1374)</f>
        <v/>
      </c>
      <c r="T1375">
        <f>IF(AND(ISNUMBER('자료_거시'!$D1357),ISNUMBER('자료_거시'!$E1357)),IFERROR('자료_거시'!$E1357-INDEX($S$21:$S$4020,MATCH(EDATE('자료_거시'!$D1357,-'설정'!$B$17),'자료_거시'!$D$3:INDEX('자료_거시'!$D$3:$D$4002,$K$6),1)),""),"")</f>
        <v/>
      </c>
      <c r="U1375">
        <f>IF(ISNUMBER(T1375),'자료_거시'!$D1357,"")</f>
        <v/>
      </c>
      <c r="V1375">
        <f>IF(ISNUMBER(U1375),IF(U1375&gt;$L$6,T1375,""),"")</f>
        <v/>
      </c>
      <c r="W1375">
        <f>IF(AND(ISNUMBER('자료_거시'!$G1357),ISNUMBER('자료_거시'!$H1357)),'자료_거시'!$H1357,"")</f>
        <v/>
      </c>
      <c r="X1375">
        <f>IF(ISNUMBER(W1375),'자료_거시'!$G1357,"")</f>
        <v/>
      </c>
      <c r="Y1375">
        <f>IF(ISNUMBER(X1375),IF(X1375&gt;$L$7,W1375,""),"")</f>
        <v/>
      </c>
      <c r="Z1375">
        <f>IF(ISNUMBER('자료_거시'!$K1357),'자료_거시'!$K1357,Z1374)</f>
        <v/>
      </c>
      <c r="AA1375">
        <f>IF(AND(ISNUMBER('자료_거시'!$J1357),ISNUMBER('자료_거시'!$K1357)),IFERROR('자료_거시'!$K1357/INDEX($Z$21:$Z$4020,MATCH(EDATE('자료_거시'!$J1357,-'설정'!$B$17),'자료_거시'!$J$3:INDEX('자료_거시'!$J$3:$J$4002,$K$8),1))-1,""),"")</f>
        <v/>
      </c>
      <c r="AB1375">
        <f>IF(ISNUMBER(AA1375),'자료_거시'!$J1357,"")</f>
        <v/>
      </c>
      <c r="AC1375">
        <f>IF(ISNUMBER(AB1375),IF(AB1375&gt;$L$8,AA1375,""),"")</f>
        <v/>
      </c>
    </row>
    <row r="1376">
      <c r="S1376">
        <f>IF(ISNUMBER('자료_거시'!$E1358),'자료_거시'!$E1358,S1375)</f>
        <v/>
      </c>
      <c r="T1376">
        <f>IF(AND(ISNUMBER('자료_거시'!$D1358),ISNUMBER('자료_거시'!$E1358)),IFERROR('자료_거시'!$E1358-INDEX($S$21:$S$4020,MATCH(EDATE('자료_거시'!$D1358,-'설정'!$B$17),'자료_거시'!$D$3:INDEX('자료_거시'!$D$3:$D$4002,$K$6),1)),""),"")</f>
        <v/>
      </c>
      <c r="U1376">
        <f>IF(ISNUMBER(T1376),'자료_거시'!$D1358,"")</f>
        <v/>
      </c>
      <c r="V1376">
        <f>IF(ISNUMBER(U1376),IF(U1376&gt;$L$6,T1376,""),"")</f>
        <v/>
      </c>
      <c r="W1376">
        <f>IF(AND(ISNUMBER('자료_거시'!$G1358),ISNUMBER('자료_거시'!$H1358)),'자료_거시'!$H1358,"")</f>
        <v/>
      </c>
      <c r="X1376">
        <f>IF(ISNUMBER(W1376),'자료_거시'!$G1358,"")</f>
        <v/>
      </c>
      <c r="Y1376">
        <f>IF(ISNUMBER(X1376),IF(X1376&gt;$L$7,W1376,""),"")</f>
        <v/>
      </c>
      <c r="Z1376">
        <f>IF(ISNUMBER('자료_거시'!$K1358),'자료_거시'!$K1358,Z1375)</f>
        <v/>
      </c>
      <c r="AA1376">
        <f>IF(AND(ISNUMBER('자료_거시'!$J1358),ISNUMBER('자료_거시'!$K1358)),IFERROR('자료_거시'!$K1358/INDEX($Z$21:$Z$4020,MATCH(EDATE('자료_거시'!$J1358,-'설정'!$B$17),'자료_거시'!$J$3:INDEX('자료_거시'!$J$3:$J$4002,$K$8),1))-1,""),"")</f>
        <v/>
      </c>
      <c r="AB1376">
        <f>IF(ISNUMBER(AA1376),'자료_거시'!$J1358,"")</f>
        <v/>
      </c>
      <c r="AC1376">
        <f>IF(ISNUMBER(AB1376),IF(AB1376&gt;$L$8,AA1376,""),"")</f>
        <v/>
      </c>
    </row>
    <row r="1377">
      <c r="S1377">
        <f>IF(ISNUMBER('자료_거시'!$E1359),'자료_거시'!$E1359,S1376)</f>
        <v/>
      </c>
      <c r="T1377">
        <f>IF(AND(ISNUMBER('자료_거시'!$D1359),ISNUMBER('자료_거시'!$E1359)),IFERROR('자료_거시'!$E1359-INDEX($S$21:$S$4020,MATCH(EDATE('자료_거시'!$D1359,-'설정'!$B$17),'자료_거시'!$D$3:INDEX('자료_거시'!$D$3:$D$4002,$K$6),1)),""),"")</f>
        <v/>
      </c>
      <c r="U1377">
        <f>IF(ISNUMBER(T1377),'자료_거시'!$D1359,"")</f>
        <v/>
      </c>
      <c r="V1377">
        <f>IF(ISNUMBER(U1377),IF(U1377&gt;$L$6,T1377,""),"")</f>
        <v/>
      </c>
      <c r="W1377">
        <f>IF(AND(ISNUMBER('자료_거시'!$G1359),ISNUMBER('자료_거시'!$H1359)),'자료_거시'!$H1359,"")</f>
        <v/>
      </c>
      <c r="X1377">
        <f>IF(ISNUMBER(W1377),'자료_거시'!$G1359,"")</f>
        <v/>
      </c>
      <c r="Y1377">
        <f>IF(ISNUMBER(X1377),IF(X1377&gt;$L$7,W1377,""),"")</f>
        <v/>
      </c>
      <c r="Z1377">
        <f>IF(ISNUMBER('자료_거시'!$K1359),'자료_거시'!$K1359,Z1376)</f>
        <v/>
      </c>
      <c r="AA1377">
        <f>IF(AND(ISNUMBER('자료_거시'!$J1359),ISNUMBER('자료_거시'!$K1359)),IFERROR('자료_거시'!$K1359/INDEX($Z$21:$Z$4020,MATCH(EDATE('자료_거시'!$J1359,-'설정'!$B$17),'자료_거시'!$J$3:INDEX('자료_거시'!$J$3:$J$4002,$K$8),1))-1,""),"")</f>
        <v/>
      </c>
      <c r="AB1377">
        <f>IF(ISNUMBER(AA1377),'자료_거시'!$J1359,"")</f>
        <v/>
      </c>
      <c r="AC1377">
        <f>IF(ISNUMBER(AB1377),IF(AB1377&gt;$L$8,AA1377,""),"")</f>
        <v/>
      </c>
    </row>
    <row r="1378">
      <c r="S1378">
        <f>IF(ISNUMBER('자료_거시'!$E1360),'자료_거시'!$E1360,S1377)</f>
        <v/>
      </c>
      <c r="T1378">
        <f>IF(AND(ISNUMBER('자료_거시'!$D1360),ISNUMBER('자료_거시'!$E1360)),IFERROR('자료_거시'!$E1360-INDEX($S$21:$S$4020,MATCH(EDATE('자료_거시'!$D1360,-'설정'!$B$17),'자료_거시'!$D$3:INDEX('자료_거시'!$D$3:$D$4002,$K$6),1)),""),"")</f>
        <v/>
      </c>
      <c r="U1378">
        <f>IF(ISNUMBER(T1378),'자료_거시'!$D1360,"")</f>
        <v/>
      </c>
      <c r="V1378">
        <f>IF(ISNUMBER(U1378),IF(U1378&gt;$L$6,T1378,""),"")</f>
        <v/>
      </c>
      <c r="W1378">
        <f>IF(AND(ISNUMBER('자료_거시'!$G1360),ISNUMBER('자료_거시'!$H1360)),'자료_거시'!$H1360,"")</f>
        <v/>
      </c>
      <c r="X1378">
        <f>IF(ISNUMBER(W1378),'자료_거시'!$G1360,"")</f>
        <v/>
      </c>
      <c r="Y1378">
        <f>IF(ISNUMBER(X1378),IF(X1378&gt;$L$7,W1378,""),"")</f>
        <v/>
      </c>
      <c r="Z1378">
        <f>IF(ISNUMBER('자료_거시'!$K1360),'자료_거시'!$K1360,Z1377)</f>
        <v/>
      </c>
      <c r="AA1378">
        <f>IF(AND(ISNUMBER('자료_거시'!$J1360),ISNUMBER('자료_거시'!$K1360)),IFERROR('자료_거시'!$K1360/INDEX($Z$21:$Z$4020,MATCH(EDATE('자료_거시'!$J1360,-'설정'!$B$17),'자료_거시'!$J$3:INDEX('자료_거시'!$J$3:$J$4002,$K$8),1))-1,""),"")</f>
        <v/>
      </c>
      <c r="AB1378">
        <f>IF(ISNUMBER(AA1378),'자료_거시'!$J1360,"")</f>
        <v/>
      </c>
      <c r="AC1378">
        <f>IF(ISNUMBER(AB1378),IF(AB1378&gt;$L$8,AA1378,""),"")</f>
        <v/>
      </c>
    </row>
    <row r="1379">
      <c r="S1379">
        <f>IF(ISNUMBER('자료_거시'!$E1361),'자료_거시'!$E1361,S1378)</f>
        <v/>
      </c>
      <c r="T1379">
        <f>IF(AND(ISNUMBER('자료_거시'!$D1361),ISNUMBER('자료_거시'!$E1361)),IFERROR('자료_거시'!$E1361-INDEX($S$21:$S$4020,MATCH(EDATE('자료_거시'!$D1361,-'설정'!$B$17),'자료_거시'!$D$3:INDEX('자료_거시'!$D$3:$D$4002,$K$6),1)),""),"")</f>
        <v/>
      </c>
      <c r="U1379">
        <f>IF(ISNUMBER(T1379),'자료_거시'!$D1361,"")</f>
        <v/>
      </c>
      <c r="V1379">
        <f>IF(ISNUMBER(U1379),IF(U1379&gt;$L$6,T1379,""),"")</f>
        <v/>
      </c>
      <c r="W1379">
        <f>IF(AND(ISNUMBER('자료_거시'!$G1361),ISNUMBER('자료_거시'!$H1361)),'자료_거시'!$H1361,"")</f>
        <v/>
      </c>
      <c r="X1379">
        <f>IF(ISNUMBER(W1379),'자료_거시'!$G1361,"")</f>
        <v/>
      </c>
      <c r="Y1379">
        <f>IF(ISNUMBER(X1379),IF(X1379&gt;$L$7,W1379,""),"")</f>
        <v/>
      </c>
      <c r="Z1379">
        <f>IF(ISNUMBER('자료_거시'!$K1361),'자료_거시'!$K1361,Z1378)</f>
        <v/>
      </c>
      <c r="AA1379">
        <f>IF(AND(ISNUMBER('자료_거시'!$J1361),ISNUMBER('자료_거시'!$K1361)),IFERROR('자료_거시'!$K1361/INDEX($Z$21:$Z$4020,MATCH(EDATE('자료_거시'!$J1361,-'설정'!$B$17),'자료_거시'!$J$3:INDEX('자료_거시'!$J$3:$J$4002,$K$8),1))-1,""),"")</f>
        <v/>
      </c>
      <c r="AB1379">
        <f>IF(ISNUMBER(AA1379),'자료_거시'!$J1361,"")</f>
        <v/>
      </c>
      <c r="AC1379">
        <f>IF(ISNUMBER(AB1379),IF(AB1379&gt;$L$8,AA1379,""),"")</f>
        <v/>
      </c>
    </row>
    <row r="1380">
      <c r="S1380">
        <f>IF(ISNUMBER('자료_거시'!$E1362),'자료_거시'!$E1362,S1379)</f>
        <v/>
      </c>
      <c r="T1380">
        <f>IF(AND(ISNUMBER('자료_거시'!$D1362),ISNUMBER('자료_거시'!$E1362)),IFERROR('자료_거시'!$E1362-INDEX($S$21:$S$4020,MATCH(EDATE('자료_거시'!$D1362,-'설정'!$B$17),'자료_거시'!$D$3:INDEX('자료_거시'!$D$3:$D$4002,$K$6),1)),""),"")</f>
        <v/>
      </c>
      <c r="U1380">
        <f>IF(ISNUMBER(T1380),'자료_거시'!$D1362,"")</f>
        <v/>
      </c>
      <c r="V1380">
        <f>IF(ISNUMBER(U1380),IF(U1380&gt;$L$6,T1380,""),"")</f>
        <v/>
      </c>
      <c r="W1380">
        <f>IF(AND(ISNUMBER('자료_거시'!$G1362),ISNUMBER('자료_거시'!$H1362)),'자료_거시'!$H1362,"")</f>
        <v/>
      </c>
      <c r="X1380">
        <f>IF(ISNUMBER(W1380),'자료_거시'!$G1362,"")</f>
        <v/>
      </c>
      <c r="Y1380">
        <f>IF(ISNUMBER(X1380),IF(X1380&gt;$L$7,W1380,""),"")</f>
        <v/>
      </c>
      <c r="Z1380">
        <f>IF(ISNUMBER('자료_거시'!$K1362),'자료_거시'!$K1362,Z1379)</f>
        <v/>
      </c>
      <c r="AA1380">
        <f>IF(AND(ISNUMBER('자료_거시'!$J1362),ISNUMBER('자료_거시'!$K1362)),IFERROR('자료_거시'!$K1362/INDEX($Z$21:$Z$4020,MATCH(EDATE('자료_거시'!$J1362,-'설정'!$B$17),'자료_거시'!$J$3:INDEX('자료_거시'!$J$3:$J$4002,$K$8),1))-1,""),"")</f>
        <v/>
      </c>
      <c r="AB1380">
        <f>IF(ISNUMBER(AA1380),'자료_거시'!$J1362,"")</f>
        <v/>
      </c>
      <c r="AC1380">
        <f>IF(ISNUMBER(AB1380),IF(AB1380&gt;$L$8,AA1380,""),"")</f>
        <v/>
      </c>
    </row>
    <row r="1381">
      <c r="S1381">
        <f>IF(ISNUMBER('자료_거시'!$E1363),'자료_거시'!$E1363,S1380)</f>
        <v/>
      </c>
      <c r="T1381">
        <f>IF(AND(ISNUMBER('자료_거시'!$D1363),ISNUMBER('자료_거시'!$E1363)),IFERROR('자료_거시'!$E1363-INDEX($S$21:$S$4020,MATCH(EDATE('자료_거시'!$D1363,-'설정'!$B$17),'자료_거시'!$D$3:INDEX('자료_거시'!$D$3:$D$4002,$K$6),1)),""),"")</f>
        <v/>
      </c>
      <c r="U1381">
        <f>IF(ISNUMBER(T1381),'자료_거시'!$D1363,"")</f>
        <v/>
      </c>
      <c r="V1381">
        <f>IF(ISNUMBER(U1381),IF(U1381&gt;$L$6,T1381,""),"")</f>
        <v/>
      </c>
      <c r="W1381">
        <f>IF(AND(ISNUMBER('자료_거시'!$G1363),ISNUMBER('자료_거시'!$H1363)),'자료_거시'!$H1363,"")</f>
        <v/>
      </c>
      <c r="X1381">
        <f>IF(ISNUMBER(W1381),'자료_거시'!$G1363,"")</f>
        <v/>
      </c>
      <c r="Y1381">
        <f>IF(ISNUMBER(X1381),IF(X1381&gt;$L$7,W1381,""),"")</f>
        <v/>
      </c>
      <c r="Z1381">
        <f>IF(ISNUMBER('자료_거시'!$K1363),'자료_거시'!$K1363,Z1380)</f>
        <v/>
      </c>
      <c r="AA1381">
        <f>IF(AND(ISNUMBER('자료_거시'!$J1363),ISNUMBER('자료_거시'!$K1363)),IFERROR('자료_거시'!$K1363/INDEX($Z$21:$Z$4020,MATCH(EDATE('자료_거시'!$J1363,-'설정'!$B$17),'자료_거시'!$J$3:INDEX('자료_거시'!$J$3:$J$4002,$K$8),1))-1,""),"")</f>
        <v/>
      </c>
      <c r="AB1381">
        <f>IF(ISNUMBER(AA1381),'자료_거시'!$J1363,"")</f>
        <v/>
      </c>
      <c r="AC1381">
        <f>IF(ISNUMBER(AB1381),IF(AB1381&gt;$L$8,AA1381,""),"")</f>
        <v/>
      </c>
    </row>
    <row r="1382">
      <c r="S1382">
        <f>IF(ISNUMBER('자료_거시'!$E1364),'자료_거시'!$E1364,S1381)</f>
        <v/>
      </c>
      <c r="T1382">
        <f>IF(AND(ISNUMBER('자료_거시'!$D1364),ISNUMBER('자료_거시'!$E1364)),IFERROR('자료_거시'!$E1364-INDEX($S$21:$S$4020,MATCH(EDATE('자료_거시'!$D1364,-'설정'!$B$17),'자료_거시'!$D$3:INDEX('자료_거시'!$D$3:$D$4002,$K$6),1)),""),"")</f>
        <v/>
      </c>
      <c r="U1382">
        <f>IF(ISNUMBER(T1382),'자료_거시'!$D1364,"")</f>
        <v/>
      </c>
      <c r="V1382">
        <f>IF(ISNUMBER(U1382),IF(U1382&gt;$L$6,T1382,""),"")</f>
        <v/>
      </c>
      <c r="W1382">
        <f>IF(AND(ISNUMBER('자료_거시'!$G1364),ISNUMBER('자료_거시'!$H1364)),'자료_거시'!$H1364,"")</f>
        <v/>
      </c>
      <c r="X1382">
        <f>IF(ISNUMBER(W1382),'자료_거시'!$G1364,"")</f>
        <v/>
      </c>
      <c r="Y1382">
        <f>IF(ISNUMBER(X1382),IF(X1382&gt;$L$7,W1382,""),"")</f>
        <v/>
      </c>
      <c r="Z1382">
        <f>IF(ISNUMBER('자료_거시'!$K1364),'자료_거시'!$K1364,Z1381)</f>
        <v/>
      </c>
      <c r="AA1382">
        <f>IF(AND(ISNUMBER('자료_거시'!$J1364),ISNUMBER('자료_거시'!$K1364)),IFERROR('자료_거시'!$K1364/INDEX($Z$21:$Z$4020,MATCH(EDATE('자료_거시'!$J1364,-'설정'!$B$17),'자료_거시'!$J$3:INDEX('자료_거시'!$J$3:$J$4002,$K$8),1))-1,""),"")</f>
        <v/>
      </c>
      <c r="AB1382">
        <f>IF(ISNUMBER(AA1382),'자료_거시'!$J1364,"")</f>
        <v/>
      </c>
      <c r="AC1382">
        <f>IF(ISNUMBER(AB1382),IF(AB1382&gt;$L$8,AA1382,""),"")</f>
        <v/>
      </c>
    </row>
    <row r="1383">
      <c r="S1383">
        <f>IF(ISNUMBER('자료_거시'!$E1365),'자료_거시'!$E1365,S1382)</f>
        <v/>
      </c>
      <c r="T1383">
        <f>IF(AND(ISNUMBER('자료_거시'!$D1365),ISNUMBER('자료_거시'!$E1365)),IFERROR('자료_거시'!$E1365-INDEX($S$21:$S$4020,MATCH(EDATE('자료_거시'!$D1365,-'설정'!$B$17),'자료_거시'!$D$3:INDEX('자료_거시'!$D$3:$D$4002,$K$6),1)),""),"")</f>
        <v/>
      </c>
      <c r="U1383">
        <f>IF(ISNUMBER(T1383),'자료_거시'!$D1365,"")</f>
        <v/>
      </c>
      <c r="V1383">
        <f>IF(ISNUMBER(U1383),IF(U1383&gt;$L$6,T1383,""),"")</f>
        <v/>
      </c>
      <c r="W1383">
        <f>IF(AND(ISNUMBER('자료_거시'!$G1365),ISNUMBER('자료_거시'!$H1365)),'자료_거시'!$H1365,"")</f>
        <v/>
      </c>
      <c r="X1383">
        <f>IF(ISNUMBER(W1383),'자료_거시'!$G1365,"")</f>
        <v/>
      </c>
      <c r="Y1383">
        <f>IF(ISNUMBER(X1383),IF(X1383&gt;$L$7,W1383,""),"")</f>
        <v/>
      </c>
      <c r="Z1383">
        <f>IF(ISNUMBER('자료_거시'!$K1365),'자료_거시'!$K1365,Z1382)</f>
        <v/>
      </c>
      <c r="AA1383">
        <f>IF(AND(ISNUMBER('자료_거시'!$J1365),ISNUMBER('자료_거시'!$K1365)),IFERROR('자료_거시'!$K1365/INDEX($Z$21:$Z$4020,MATCH(EDATE('자료_거시'!$J1365,-'설정'!$B$17),'자료_거시'!$J$3:INDEX('자료_거시'!$J$3:$J$4002,$K$8),1))-1,""),"")</f>
        <v/>
      </c>
      <c r="AB1383">
        <f>IF(ISNUMBER(AA1383),'자료_거시'!$J1365,"")</f>
        <v/>
      </c>
      <c r="AC1383">
        <f>IF(ISNUMBER(AB1383),IF(AB1383&gt;$L$8,AA1383,""),"")</f>
        <v/>
      </c>
    </row>
    <row r="1384">
      <c r="S1384">
        <f>IF(ISNUMBER('자료_거시'!$E1366),'자료_거시'!$E1366,S1383)</f>
        <v/>
      </c>
      <c r="T1384">
        <f>IF(AND(ISNUMBER('자료_거시'!$D1366),ISNUMBER('자료_거시'!$E1366)),IFERROR('자료_거시'!$E1366-INDEX($S$21:$S$4020,MATCH(EDATE('자료_거시'!$D1366,-'설정'!$B$17),'자료_거시'!$D$3:INDEX('자료_거시'!$D$3:$D$4002,$K$6),1)),""),"")</f>
        <v/>
      </c>
      <c r="U1384">
        <f>IF(ISNUMBER(T1384),'자료_거시'!$D1366,"")</f>
        <v/>
      </c>
      <c r="V1384">
        <f>IF(ISNUMBER(U1384),IF(U1384&gt;$L$6,T1384,""),"")</f>
        <v/>
      </c>
      <c r="W1384">
        <f>IF(AND(ISNUMBER('자료_거시'!$G1366),ISNUMBER('자료_거시'!$H1366)),'자료_거시'!$H1366,"")</f>
        <v/>
      </c>
      <c r="X1384">
        <f>IF(ISNUMBER(W1384),'자료_거시'!$G1366,"")</f>
        <v/>
      </c>
      <c r="Y1384">
        <f>IF(ISNUMBER(X1384),IF(X1384&gt;$L$7,W1384,""),"")</f>
        <v/>
      </c>
      <c r="Z1384">
        <f>IF(ISNUMBER('자료_거시'!$K1366),'자료_거시'!$K1366,Z1383)</f>
        <v/>
      </c>
      <c r="AA1384">
        <f>IF(AND(ISNUMBER('자료_거시'!$J1366),ISNUMBER('자료_거시'!$K1366)),IFERROR('자료_거시'!$K1366/INDEX($Z$21:$Z$4020,MATCH(EDATE('자료_거시'!$J1366,-'설정'!$B$17),'자료_거시'!$J$3:INDEX('자료_거시'!$J$3:$J$4002,$K$8),1))-1,""),"")</f>
        <v/>
      </c>
      <c r="AB1384">
        <f>IF(ISNUMBER(AA1384),'자료_거시'!$J1366,"")</f>
        <v/>
      </c>
      <c r="AC1384">
        <f>IF(ISNUMBER(AB1384),IF(AB1384&gt;$L$8,AA1384,""),"")</f>
        <v/>
      </c>
    </row>
    <row r="1385">
      <c r="S1385">
        <f>IF(ISNUMBER('자료_거시'!$E1367),'자료_거시'!$E1367,S1384)</f>
        <v/>
      </c>
      <c r="T1385">
        <f>IF(AND(ISNUMBER('자료_거시'!$D1367),ISNUMBER('자료_거시'!$E1367)),IFERROR('자료_거시'!$E1367-INDEX($S$21:$S$4020,MATCH(EDATE('자료_거시'!$D1367,-'설정'!$B$17),'자료_거시'!$D$3:INDEX('자료_거시'!$D$3:$D$4002,$K$6),1)),""),"")</f>
        <v/>
      </c>
      <c r="U1385">
        <f>IF(ISNUMBER(T1385),'자료_거시'!$D1367,"")</f>
        <v/>
      </c>
      <c r="V1385">
        <f>IF(ISNUMBER(U1385),IF(U1385&gt;$L$6,T1385,""),"")</f>
        <v/>
      </c>
      <c r="W1385">
        <f>IF(AND(ISNUMBER('자료_거시'!$G1367),ISNUMBER('자료_거시'!$H1367)),'자료_거시'!$H1367,"")</f>
        <v/>
      </c>
      <c r="X1385">
        <f>IF(ISNUMBER(W1385),'자료_거시'!$G1367,"")</f>
        <v/>
      </c>
      <c r="Y1385">
        <f>IF(ISNUMBER(X1385),IF(X1385&gt;$L$7,W1385,""),"")</f>
        <v/>
      </c>
      <c r="Z1385">
        <f>IF(ISNUMBER('자료_거시'!$K1367),'자료_거시'!$K1367,Z1384)</f>
        <v/>
      </c>
      <c r="AA1385">
        <f>IF(AND(ISNUMBER('자료_거시'!$J1367),ISNUMBER('자료_거시'!$K1367)),IFERROR('자료_거시'!$K1367/INDEX($Z$21:$Z$4020,MATCH(EDATE('자료_거시'!$J1367,-'설정'!$B$17),'자료_거시'!$J$3:INDEX('자료_거시'!$J$3:$J$4002,$K$8),1))-1,""),"")</f>
        <v/>
      </c>
      <c r="AB1385">
        <f>IF(ISNUMBER(AA1385),'자료_거시'!$J1367,"")</f>
        <v/>
      </c>
      <c r="AC1385">
        <f>IF(ISNUMBER(AB1385),IF(AB1385&gt;$L$8,AA1385,""),"")</f>
        <v/>
      </c>
    </row>
    <row r="1386">
      <c r="S1386">
        <f>IF(ISNUMBER('자료_거시'!$E1368),'자료_거시'!$E1368,S1385)</f>
        <v/>
      </c>
      <c r="T1386">
        <f>IF(AND(ISNUMBER('자료_거시'!$D1368),ISNUMBER('자료_거시'!$E1368)),IFERROR('자료_거시'!$E1368-INDEX($S$21:$S$4020,MATCH(EDATE('자료_거시'!$D1368,-'설정'!$B$17),'자료_거시'!$D$3:INDEX('자료_거시'!$D$3:$D$4002,$K$6),1)),""),"")</f>
        <v/>
      </c>
      <c r="U1386">
        <f>IF(ISNUMBER(T1386),'자료_거시'!$D1368,"")</f>
        <v/>
      </c>
      <c r="V1386">
        <f>IF(ISNUMBER(U1386),IF(U1386&gt;$L$6,T1386,""),"")</f>
        <v/>
      </c>
      <c r="W1386">
        <f>IF(AND(ISNUMBER('자료_거시'!$G1368),ISNUMBER('자료_거시'!$H1368)),'자료_거시'!$H1368,"")</f>
        <v/>
      </c>
      <c r="X1386">
        <f>IF(ISNUMBER(W1386),'자료_거시'!$G1368,"")</f>
        <v/>
      </c>
      <c r="Y1386">
        <f>IF(ISNUMBER(X1386),IF(X1386&gt;$L$7,W1386,""),"")</f>
        <v/>
      </c>
      <c r="Z1386">
        <f>IF(ISNUMBER('자료_거시'!$K1368),'자료_거시'!$K1368,Z1385)</f>
        <v/>
      </c>
      <c r="AA1386">
        <f>IF(AND(ISNUMBER('자료_거시'!$J1368),ISNUMBER('자료_거시'!$K1368)),IFERROR('자료_거시'!$K1368/INDEX($Z$21:$Z$4020,MATCH(EDATE('자료_거시'!$J1368,-'설정'!$B$17),'자료_거시'!$J$3:INDEX('자료_거시'!$J$3:$J$4002,$K$8),1))-1,""),"")</f>
        <v/>
      </c>
      <c r="AB1386">
        <f>IF(ISNUMBER(AA1386),'자료_거시'!$J1368,"")</f>
        <v/>
      </c>
      <c r="AC1386">
        <f>IF(ISNUMBER(AB1386),IF(AB1386&gt;$L$8,AA1386,""),"")</f>
        <v/>
      </c>
    </row>
    <row r="1387">
      <c r="S1387">
        <f>IF(ISNUMBER('자료_거시'!$E1369),'자료_거시'!$E1369,S1386)</f>
        <v/>
      </c>
      <c r="T1387">
        <f>IF(AND(ISNUMBER('자료_거시'!$D1369),ISNUMBER('자료_거시'!$E1369)),IFERROR('자료_거시'!$E1369-INDEX($S$21:$S$4020,MATCH(EDATE('자료_거시'!$D1369,-'설정'!$B$17),'자료_거시'!$D$3:INDEX('자료_거시'!$D$3:$D$4002,$K$6),1)),""),"")</f>
        <v/>
      </c>
      <c r="U1387">
        <f>IF(ISNUMBER(T1387),'자료_거시'!$D1369,"")</f>
        <v/>
      </c>
      <c r="V1387">
        <f>IF(ISNUMBER(U1387),IF(U1387&gt;$L$6,T1387,""),"")</f>
        <v/>
      </c>
      <c r="W1387">
        <f>IF(AND(ISNUMBER('자료_거시'!$G1369),ISNUMBER('자료_거시'!$H1369)),'자료_거시'!$H1369,"")</f>
        <v/>
      </c>
      <c r="X1387">
        <f>IF(ISNUMBER(W1387),'자료_거시'!$G1369,"")</f>
        <v/>
      </c>
      <c r="Y1387">
        <f>IF(ISNUMBER(X1387),IF(X1387&gt;$L$7,W1387,""),"")</f>
        <v/>
      </c>
      <c r="Z1387">
        <f>IF(ISNUMBER('자료_거시'!$K1369),'자료_거시'!$K1369,Z1386)</f>
        <v/>
      </c>
      <c r="AA1387">
        <f>IF(AND(ISNUMBER('자료_거시'!$J1369),ISNUMBER('자료_거시'!$K1369)),IFERROR('자료_거시'!$K1369/INDEX($Z$21:$Z$4020,MATCH(EDATE('자료_거시'!$J1369,-'설정'!$B$17),'자료_거시'!$J$3:INDEX('자료_거시'!$J$3:$J$4002,$K$8),1))-1,""),"")</f>
        <v/>
      </c>
      <c r="AB1387">
        <f>IF(ISNUMBER(AA1387),'자료_거시'!$J1369,"")</f>
        <v/>
      </c>
      <c r="AC1387">
        <f>IF(ISNUMBER(AB1387),IF(AB1387&gt;$L$8,AA1387,""),"")</f>
        <v/>
      </c>
    </row>
    <row r="1388">
      <c r="S1388">
        <f>IF(ISNUMBER('자료_거시'!$E1370),'자료_거시'!$E1370,S1387)</f>
        <v/>
      </c>
      <c r="T1388">
        <f>IF(AND(ISNUMBER('자료_거시'!$D1370),ISNUMBER('자료_거시'!$E1370)),IFERROR('자료_거시'!$E1370-INDEX($S$21:$S$4020,MATCH(EDATE('자료_거시'!$D1370,-'설정'!$B$17),'자료_거시'!$D$3:INDEX('자료_거시'!$D$3:$D$4002,$K$6),1)),""),"")</f>
        <v/>
      </c>
      <c r="U1388">
        <f>IF(ISNUMBER(T1388),'자료_거시'!$D1370,"")</f>
        <v/>
      </c>
      <c r="V1388">
        <f>IF(ISNUMBER(U1388),IF(U1388&gt;$L$6,T1388,""),"")</f>
        <v/>
      </c>
      <c r="W1388">
        <f>IF(AND(ISNUMBER('자료_거시'!$G1370),ISNUMBER('자료_거시'!$H1370)),'자료_거시'!$H1370,"")</f>
        <v/>
      </c>
      <c r="X1388">
        <f>IF(ISNUMBER(W1388),'자료_거시'!$G1370,"")</f>
        <v/>
      </c>
      <c r="Y1388">
        <f>IF(ISNUMBER(X1388),IF(X1388&gt;$L$7,W1388,""),"")</f>
        <v/>
      </c>
      <c r="Z1388">
        <f>IF(ISNUMBER('자료_거시'!$K1370),'자료_거시'!$K1370,Z1387)</f>
        <v/>
      </c>
      <c r="AA1388">
        <f>IF(AND(ISNUMBER('자료_거시'!$J1370),ISNUMBER('자료_거시'!$K1370)),IFERROR('자료_거시'!$K1370/INDEX($Z$21:$Z$4020,MATCH(EDATE('자료_거시'!$J1370,-'설정'!$B$17),'자료_거시'!$J$3:INDEX('자료_거시'!$J$3:$J$4002,$K$8),1))-1,""),"")</f>
        <v/>
      </c>
      <c r="AB1388">
        <f>IF(ISNUMBER(AA1388),'자료_거시'!$J1370,"")</f>
        <v/>
      </c>
      <c r="AC1388">
        <f>IF(ISNUMBER(AB1388),IF(AB1388&gt;$L$8,AA1388,""),"")</f>
        <v/>
      </c>
    </row>
    <row r="1389">
      <c r="S1389">
        <f>IF(ISNUMBER('자료_거시'!$E1371),'자료_거시'!$E1371,S1388)</f>
        <v/>
      </c>
      <c r="T1389">
        <f>IF(AND(ISNUMBER('자료_거시'!$D1371),ISNUMBER('자료_거시'!$E1371)),IFERROR('자료_거시'!$E1371-INDEX($S$21:$S$4020,MATCH(EDATE('자료_거시'!$D1371,-'설정'!$B$17),'자료_거시'!$D$3:INDEX('자료_거시'!$D$3:$D$4002,$K$6),1)),""),"")</f>
        <v/>
      </c>
      <c r="U1389">
        <f>IF(ISNUMBER(T1389),'자료_거시'!$D1371,"")</f>
        <v/>
      </c>
      <c r="V1389">
        <f>IF(ISNUMBER(U1389),IF(U1389&gt;$L$6,T1389,""),"")</f>
        <v/>
      </c>
      <c r="W1389">
        <f>IF(AND(ISNUMBER('자료_거시'!$G1371),ISNUMBER('자료_거시'!$H1371)),'자료_거시'!$H1371,"")</f>
        <v/>
      </c>
      <c r="X1389">
        <f>IF(ISNUMBER(W1389),'자료_거시'!$G1371,"")</f>
        <v/>
      </c>
      <c r="Y1389">
        <f>IF(ISNUMBER(X1389),IF(X1389&gt;$L$7,W1389,""),"")</f>
        <v/>
      </c>
      <c r="Z1389">
        <f>IF(ISNUMBER('자료_거시'!$K1371),'자료_거시'!$K1371,Z1388)</f>
        <v/>
      </c>
      <c r="AA1389">
        <f>IF(AND(ISNUMBER('자료_거시'!$J1371),ISNUMBER('자료_거시'!$K1371)),IFERROR('자료_거시'!$K1371/INDEX($Z$21:$Z$4020,MATCH(EDATE('자료_거시'!$J1371,-'설정'!$B$17),'자료_거시'!$J$3:INDEX('자료_거시'!$J$3:$J$4002,$K$8),1))-1,""),"")</f>
        <v/>
      </c>
      <c r="AB1389">
        <f>IF(ISNUMBER(AA1389),'자료_거시'!$J1371,"")</f>
        <v/>
      </c>
      <c r="AC1389">
        <f>IF(ISNUMBER(AB1389),IF(AB1389&gt;$L$8,AA1389,""),"")</f>
        <v/>
      </c>
    </row>
    <row r="1390">
      <c r="S1390">
        <f>IF(ISNUMBER('자료_거시'!$E1372),'자료_거시'!$E1372,S1389)</f>
        <v/>
      </c>
      <c r="T1390">
        <f>IF(AND(ISNUMBER('자료_거시'!$D1372),ISNUMBER('자료_거시'!$E1372)),IFERROR('자료_거시'!$E1372-INDEX($S$21:$S$4020,MATCH(EDATE('자료_거시'!$D1372,-'설정'!$B$17),'자료_거시'!$D$3:INDEX('자료_거시'!$D$3:$D$4002,$K$6),1)),""),"")</f>
        <v/>
      </c>
      <c r="U1390">
        <f>IF(ISNUMBER(T1390),'자료_거시'!$D1372,"")</f>
        <v/>
      </c>
      <c r="V1390">
        <f>IF(ISNUMBER(U1390),IF(U1390&gt;$L$6,T1390,""),"")</f>
        <v/>
      </c>
      <c r="W1390">
        <f>IF(AND(ISNUMBER('자료_거시'!$G1372),ISNUMBER('자료_거시'!$H1372)),'자료_거시'!$H1372,"")</f>
        <v/>
      </c>
      <c r="X1390">
        <f>IF(ISNUMBER(W1390),'자료_거시'!$G1372,"")</f>
        <v/>
      </c>
      <c r="Y1390">
        <f>IF(ISNUMBER(X1390),IF(X1390&gt;$L$7,W1390,""),"")</f>
        <v/>
      </c>
      <c r="Z1390">
        <f>IF(ISNUMBER('자료_거시'!$K1372),'자료_거시'!$K1372,Z1389)</f>
        <v/>
      </c>
      <c r="AA1390">
        <f>IF(AND(ISNUMBER('자료_거시'!$J1372),ISNUMBER('자료_거시'!$K1372)),IFERROR('자료_거시'!$K1372/INDEX($Z$21:$Z$4020,MATCH(EDATE('자료_거시'!$J1372,-'설정'!$B$17),'자료_거시'!$J$3:INDEX('자료_거시'!$J$3:$J$4002,$K$8),1))-1,""),"")</f>
        <v/>
      </c>
      <c r="AB1390">
        <f>IF(ISNUMBER(AA1390),'자료_거시'!$J1372,"")</f>
        <v/>
      </c>
      <c r="AC1390">
        <f>IF(ISNUMBER(AB1390),IF(AB1390&gt;$L$8,AA1390,""),"")</f>
        <v/>
      </c>
    </row>
    <row r="1391">
      <c r="S1391">
        <f>IF(ISNUMBER('자료_거시'!$E1373),'자료_거시'!$E1373,S1390)</f>
        <v/>
      </c>
      <c r="T1391">
        <f>IF(AND(ISNUMBER('자료_거시'!$D1373),ISNUMBER('자료_거시'!$E1373)),IFERROR('자료_거시'!$E1373-INDEX($S$21:$S$4020,MATCH(EDATE('자료_거시'!$D1373,-'설정'!$B$17),'자료_거시'!$D$3:INDEX('자료_거시'!$D$3:$D$4002,$K$6),1)),""),"")</f>
        <v/>
      </c>
      <c r="U1391">
        <f>IF(ISNUMBER(T1391),'자료_거시'!$D1373,"")</f>
        <v/>
      </c>
      <c r="V1391">
        <f>IF(ISNUMBER(U1391),IF(U1391&gt;$L$6,T1391,""),"")</f>
        <v/>
      </c>
      <c r="W1391">
        <f>IF(AND(ISNUMBER('자료_거시'!$G1373),ISNUMBER('자료_거시'!$H1373)),'자료_거시'!$H1373,"")</f>
        <v/>
      </c>
      <c r="X1391">
        <f>IF(ISNUMBER(W1391),'자료_거시'!$G1373,"")</f>
        <v/>
      </c>
      <c r="Y1391">
        <f>IF(ISNUMBER(X1391),IF(X1391&gt;$L$7,W1391,""),"")</f>
        <v/>
      </c>
      <c r="Z1391">
        <f>IF(ISNUMBER('자료_거시'!$K1373),'자료_거시'!$K1373,Z1390)</f>
        <v/>
      </c>
      <c r="AA1391">
        <f>IF(AND(ISNUMBER('자료_거시'!$J1373),ISNUMBER('자료_거시'!$K1373)),IFERROR('자료_거시'!$K1373/INDEX($Z$21:$Z$4020,MATCH(EDATE('자료_거시'!$J1373,-'설정'!$B$17),'자료_거시'!$J$3:INDEX('자료_거시'!$J$3:$J$4002,$K$8),1))-1,""),"")</f>
        <v/>
      </c>
      <c r="AB1391">
        <f>IF(ISNUMBER(AA1391),'자료_거시'!$J1373,"")</f>
        <v/>
      </c>
      <c r="AC1391">
        <f>IF(ISNUMBER(AB1391),IF(AB1391&gt;$L$8,AA1391,""),"")</f>
        <v/>
      </c>
    </row>
    <row r="1392">
      <c r="S1392">
        <f>IF(ISNUMBER('자료_거시'!$E1374),'자료_거시'!$E1374,S1391)</f>
        <v/>
      </c>
      <c r="T1392">
        <f>IF(AND(ISNUMBER('자료_거시'!$D1374),ISNUMBER('자료_거시'!$E1374)),IFERROR('자료_거시'!$E1374-INDEX($S$21:$S$4020,MATCH(EDATE('자료_거시'!$D1374,-'설정'!$B$17),'자료_거시'!$D$3:INDEX('자료_거시'!$D$3:$D$4002,$K$6),1)),""),"")</f>
        <v/>
      </c>
      <c r="U1392">
        <f>IF(ISNUMBER(T1392),'자료_거시'!$D1374,"")</f>
        <v/>
      </c>
      <c r="V1392">
        <f>IF(ISNUMBER(U1392),IF(U1392&gt;$L$6,T1392,""),"")</f>
        <v/>
      </c>
      <c r="W1392">
        <f>IF(AND(ISNUMBER('자료_거시'!$G1374),ISNUMBER('자료_거시'!$H1374)),'자료_거시'!$H1374,"")</f>
        <v/>
      </c>
      <c r="X1392">
        <f>IF(ISNUMBER(W1392),'자료_거시'!$G1374,"")</f>
        <v/>
      </c>
      <c r="Y1392">
        <f>IF(ISNUMBER(X1392),IF(X1392&gt;$L$7,W1392,""),"")</f>
        <v/>
      </c>
      <c r="Z1392">
        <f>IF(ISNUMBER('자료_거시'!$K1374),'자료_거시'!$K1374,Z1391)</f>
        <v/>
      </c>
      <c r="AA1392">
        <f>IF(AND(ISNUMBER('자료_거시'!$J1374),ISNUMBER('자료_거시'!$K1374)),IFERROR('자료_거시'!$K1374/INDEX($Z$21:$Z$4020,MATCH(EDATE('자료_거시'!$J1374,-'설정'!$B$17),'자료_거시'!$J$3:INDEX('자료_거시'!$J$3:$J$4002,$K$8),1))-1,""),"")</f>
        <v/>
      </c>
      <c r="AB1392">
        <f>IF(ISNUMBER(AA1392),'자료_거시'!$J1374,"")</f>
        <v/>
      </c>
      <c r="AC1392">
        <f>IF(ISNUMBER(AB1392),IF(AB1392&gt;$L$8,AA1392,""),"")</f>
        <v/>
      </c>
    </row>
    <row r="1393">
      <c r="S1393">
        <f>IF(ISNUMBER('자료_거시'!$E1375),'자료_거시'!$E1375,S1392)</f>
        <v/>
      </c>
      <c r="T1393">
        <f>IF(AND(ISNUMBER('자료_거시'!$D1375),ISNUMBER('자료_거시'!$E1375)),IFERROR('자료_거시'!$E1375-INDEX($S$21:$S$4020,MATCH(EDATE('자료_거시'!$D1375,-'설정'!$B$17),'자료_거시'!$D$3:INDEX('자료_거시'!$D$3:$D$4002,$K$6),1)),""),"")</f>
        <v/>
      </c>
      <c r="U1393">
        <f>IF(ISNUMBER(T1393),'자료_거시'!$D1375,"")</f>
        <v/>
      </c>
      <c r="V1393">
        <f>IF(ISNUMBER(U1393),IF(U1393&gt;$L$6,T1393,""),"")</f>
        <v/>
      </c>
      <c r="W1393">
        <f>IF(AND(ISNUMBER('자료_거시'!$G1375),ISNUMBER('자료_거시'!$H1375)),'자료_거시'!$H1375,"")</f>
        <v/>
      </c>
      <c r="X1393">
        <f>IF(ISNUMBER(W1393),'자료_거시'!$G1375,"")</f>
        <v/>
      </c>
      <c r="Y1393">
        <f>IF(ISNUMBER(X1393),IF(X1393&gt;$L$7,W1393,""),"")</f>
        <v/>
      </c>
      <c r="Z1393">
        <f>IF(ISNUMBER('자료_거시'!$K1375),'자료_거시'!$K1375,Z1392)</f>
        <v/>
      </c>
      <c r="AA1393">
        <f>IF(AND(ISNUMBER('자료_거시'!$J1375),ISNUMBER('자료_거시'!$K1375)),IFERROR('자료_거시'!$K1375/INDEX($Z$21:$Z$4020,MATCH(EDATE('자료_거시'!$J1375,-'설정'!$B$17),'자료_거시'!$J$3:INDEX('자료_거시'!$J$3:$J$4002,$K$8),1))-1,""),"")</f>
        <v/>
      </c>
      <c r="AB1393">
        <f>IF(ISNUMBER(AA1393),'자료_거시'!$J1375,"")</f>
        <v/>
      </c>
      <c r="AC1393">
        <f>IF(ISNUMBER(AB1393),IF(AB1393&gt;$L$8,AA1393,""),"")</f>
        <v/>
      </c>
    </row>
    <row r="1394">
      <c r="S1394">
        <f>IF(ISNUMBER('자료_거시'!$E1376),'자료_거시'!$E1376,S1393)</f>
        <v/>
      </c>
      <c r="T1394">
        <f>IF(AND(ISNUMBER('자료_거시'!$D1376),ISNUMBER('자료_거시'!$E1376)),IFERROR('자료_거시'!$E1376-INDEX($S$21:$S$4020,MATCH(EDATE('자료_거시'!$D1376,-'설정'!$B$17),'자료_거시'!$D$3:INDEX('자료_거시'!$D$3:$D$4002,$K$6),1)),""),"")</f>
        <v/>
      </c>
      <c r="U1394">
        <f>IF(ISNUMBER(T1394),'자료_거시'!$D1376,"")</f>
        <v/>
      </c>
      <c r="V1394">
        <f>IF(ISNUMBER(U1394),IF(U1394&gt;$L$6,T1394,""),"")</f>
        <v/>
      </c>
      <c r="W1394">
        <f>IF(AND(ISNUMBER('자료_거시'!$G1376),ISNUMBER('자료_거시'!$H1376)),'자료_거시'!$H1376,"")</f>
        <v/>
      </c>
      <c r="X1394">
        <f>IF(ISNUMBER(W1394),'자료_거시'!$G1376,"")</f>
        <v/>
      </c>
      <c r="Y1394">
        <f>IF(ISNUMBER(X1394),IF(X1394&gt;$L$7,W1394,""),"")</f>
        <v/>
      </c>
      <c r="Z1394">
        <f>IF(ISNUMBER('자료_거시'!$K1376),'자료_거시'!$K1376,Z1393)</f>
        <v/>
      </c>
      <c r="AA1394">
        <f>IF(AND(ISNUMBER('자료_거시'!$J1376),ISNUMBER('자료_거시'!$K1376)),IFERROR('자료_거시'!$K1376/INDEX($Z$21:$Z$4020,MATCH(EDATE('자료_거시'!$J1376,-'설정'!$B$17),'자료_거시'!$J$3:INDEX('자료_거시'!$J$3:$J$4002,$K$8),1))-1,""),"")</f>
        <v/>
      </c>
      <c r="AB1394">
        <f>IF(ISNUMBER(AA1394),'자료_거시'!$J1376,"")</f>
        <v/>
      </c>
      <c r="AC1394">
        <f>IF(ISNUMBER(AB1394),IF(AB1394&gt;$L$8,AA1394,""),"")</f>
        <v/>
      </c>
    </row>
    <row r="1395">
      <c r="S1395">
        <f>IF(ISNUMBER('자료_거시'!$E1377),'자료_거시'!$E1377,S1394)</f>
        <v/>
      </c>
      <c r="T1395">
        <f>IF(AND(ISNUMBER('자료_거시'!$D1377),ISNUMBER('자료_거시'!$E1377)),IFERROR('자료_거시'!$E1377-INDEX($S$21:$S$4020,MATCH(EDATE('자료_거시'!$D1377,-'설정'!$B$17),'자료_거시'!$D$3:INDEX('자료_거시'!$D$3:$D$4002,$K$6),1)),""),"")</f>
        <v/>
      </c>
      <c r="U1395">
        <f>IF(ISNUMBER(T1395),'자료_거시'!$D1377,"")</f>
        <v/>
      </c>
      <c r="V1395">
        <f>IF(ISNUMBER(U1395),IF(U1395&gt;$L$6,T1395,""),"")</f>
        <v/>
      </c>
      <c r="W1395">
        <f>IF(AND(ISNUMBER('자료_거시'!$G1377),ISNUMBER('자료_거시'!$H1377)),'자료_거시'!$H1377,"")</f>
        <v/>
      </c>
      <c r="X1395">
        <f>IF(ISNUMBER(W1395),'자료_거시'!$G1377,"")</f>
        <v/>
      </c>
      <c r="Y1395">
        <f>IF(ISNUMBER(X1395),IF(X1395&gt;$L$7,W1395,""),"")</f>
        <v/>
      </c>
      <c r="Z1395">
        <f>IF(ISNUMBER('자료_거시'!$K1377),'자료_거시'!$K1377,Z1394)</f>
        <v/>
      </c>
      <c r="AA1395">
        <f>IF(AND(ISNUMBER('자료_거시'!$J1377),ISNUMBER('자료_거시'!$K1377)),IFERROR('자료_거시'!$K1377/INDEX($Z$21:$Z$4020,MATCH(EDATE('자료_거시'!$J1377,-'설정'!$B$17),'자료_거시'!$J$3:INDEX('자료_거시'!$J$3:$J$4002,$K$8),1))-1,""),"")</f>
        <v/>
      </c>
      <c r="AB1395">
        <f>IF(ISNUMBER(AA1395),'자료_거시'!$J1377,"")</f>
        <v/>
      </c>
      <c r="AC1395">
        <f>IF(ISNUMBER(AB1395),IF(AB1395&gt;$L$8,AA1395,""),"")</f>
        <v/>
      </c>
    </row>
    <row r="1396">
      <c r="S1396">
        <f>IF(ISNUMBER('자료_거시'!$E1378),'자료_거시'!$E1378,S1395)</f>
        <v/>
      </c>
      <c r="T1396">
        <f>IF(AND(ISNUMBER('자료_거시'!$D1378),ISNUMBER('자료_거시'!$E1378)),IFERROR('자료_거시'!$E1378-INDEX($S$21:$S$4020,MATCH(EDATE('자료_거시'!$D1378,-'설정'!$B$17),'자료_거시'!$D$3:INDEX('자료_거시'!$D$3:$D$4002,$K$6),1)),""),"")</f>
        <v/>
      </c>
      <c r="U1396">
        <f>IF(ISNUMBER(T1396),'자료_거시'!$D1378,"")</f>
        <v/>
      </c>
      <c r="V1396">
        <f>IF(ISNUMBER(U1396),IF(U1396&gt;$L$6,T1396,""),"")</f>
        <v/>
      </c>
      <c r="W1396">
        <f>IF(AND(ISNUMBER('자료_거시'!$G1378),ISNUMBER('자료_거시'!$H1378)),'자료_거시'!$H1378,"")</f>
        <v/>
      </c>
      <c r="X1396">
        <f>IF(ISNUMBER(W1396),'자료_거시'!$G1378,"")</f>
        <v/>
      </c>
      <c r="Y1396">
        <f>IF(ISNUMBER(X1396),IF(X1396&gt;$L$7,W1396,""),"")</f>
        <v/>
      </c>
      <c r="Z1396">
        <f>IF(ISNUMBER('자료_거시'!$K1378),'자료_거시'!$K1378,Z1395)</f>
        <v/>
      </c>
      <c r="AA1396">
        <f>IF(AND(ISNUMBER('자료_거시'!$J1378),ISNUMBER('자료_거시'!$K1378)),IFERROR('자료_거시'!$K1378/INDEX($Z$21:$Z$4020,MATCH(EDATE('자료_거시'!$J1378,-'설정'!$B$17),'자료_거시'!$J$3:INDEX('자료_거시'!$J$3:$J$4002,$K$8),1))-1,""),"")</f>
        <v/>
      </c>
      <c r="AB1396">
        <f>IF(ISNUMBER(AA1396),'자료_거시'!$J1378,"")</f>
        <v/>
      </c>
      <c r="AC1396">
        <f>IF(ISNUMBER(AB1396),IF(AB1396&gt;$L$8,AA1396,""),"")</f>
        <v/>
      </c>
    </row>
    <row r="1397">
      <c r="S1397">
        <f>IF(ISNUMBER('자료_거시'!$E1379),'자료_거시'!$E1379,S1396)</f>
        <v/>
      </c>
      <c r="T1397">
        <f>IF(AND(ISNUMBER('자료_거시'!$D1379),ISNUMBER('자료_거시'!$E1379)),IFERROR('자료_거시'!$E1379-INDEX($S$21:$S$4020,MATCH(EDATE('자료_거시'!$D1379,-'설정'!$B$17),'자료_거시'!$D$3:INDEX('자료_거시'!$D$3:$D$4002,$K$6),1)),""),"")</f>
        <v/>
      </c>
      <c r="U1397">
        <f>IF(ISNUMBER(T1397),'자료_거시'!$D1379,"")</f>
        <v/>
      </c>
      <c r="V1397">
        <f>IF(ISNUMBER(U1397),IF(U1397&gt;$L$6,T1397,""),"")</f>
        <v/>
      </c>
      <c r="W1397">
        <f>IF(AND(ISNUMBER('자료_거시'!$G1379),ISNUMBER('자료_거시'!$H1379)),'자료_거시'!$H1379,"")</f>
        <v/>
      </c>
      <c r="X1397">
        <f>IF(ISNUMBER(W1397),'자료_거시'!$G1379,"")</f>
        <v/>
      </c>
      <c r="Y1397">
        <f>IF(ISNUMBER(X1397),IF(X1397&gt;$L$7,W1397,""),"")</f>
        <v/>
      </c>
      <c r="Z1397">
        <f>IF(ISNUMBER('자료_거시'!$K1379),'자료_거시'!$K1379,Z1396)</f>
        <v/>
      </c>
      <c r="AA1397">
        <f>IF(AND(ISNUMBER('자료_거시'!$J1379),ISNUMBER('자료_거시'!$K1379)),IFERROR('자료_거시'!$K1379/INDEX($Z$21:$Z$4020,MATCH(EDATE('자료_거시'!$J1379,-'설정'!$B$17),'자료_거시'!$J$3:INDEX('자료_거시'!$J$3:$J$4002,$K$8),1))-1,""),"")</f>
        <v/>
      </c>
      <c r="AB1397">
        <f>IF(ISNUMBER(AA1397),'자료_거시'!$J1379,"")</f>
        <v/>
      </c>
      <c r="AC1397">
        <f>IF(ISNUMBER(AB1397),IF(AB1397&gt;$L$8,AA1397,""),"")</f>
        <v/>
      </c>
    </row>
    <row r="1398">
      <c r="S1398">
        <f>IF(ISNUMBER('자료_거시'!$E1380),'자료_거시'!$E1380,S1397)</f>
        <v/>
      </c>
      <c r="T1398">
        <f>IF(AND(ISNUMBER('자료_거시'!$D1380),ISNUMBER('자료_거시'!$E1380)),IFERROR('자료_거시'!$E1380-INDEX($S$21:$S$4020,MATCH(EDATE('자료_거시'!$D1380,-'설정'!$B$17),'자료_거시'!$D$3:INDEX('자료_거시'!$D$3:$D$4002,$K$6),1)),""),"")</f>
        <v/>
      </c>
      <c r="U1398">
        <f>IF(ISNUMBER(T1398),'자료_거시'!$D1380,"")</f>
        <v/>
      </c>
      <c r="V1398">
        <f>IF(ISNUMBER(U1398),IF(U1398&gt;$L$6,T1398,""),"")</f>
        <v/>
      </c>
      <c r="W1398">
        <f>IF(AND(ISNUMBER('자료_거시'!$G1380),ISNUMBER('자료_거시'!$H1380)),'자료_거시'!$H1380,"")</f>
        <v/>
      </c>
      <c r="X1398">
        <f>IF(ISNUMBER(W1398),'자료_거시'!$G1380,"")</f>
        <v/>
      </c>
      <c r="Y1398">
        <f>IF(ISNUMBER(X1398),IF(X1398&gt;$L$7,W1398,""),"")</f>
        <v/>
      </c>
      <c r="Z1398">
        <f>IF(ISNUMBER('자료_거시'!$K1380),'자료_거시'!$K1380,Z1397)</f>
        <v/>
      </c>
      <c r="AA1398">
        <f>IF(AND(ISNUMBER('자료_거시'!$J1380),ISNUMBER('자료_거시'!$K1380)),IFERROR('자료_거시'!$K1380/INDEX($Z$21:$Z$4020,MATCH(EDATE('자료_거시'!$J1380,-'설정'!$B$17),'자료_거시'!$J$3:INDEX('자료_거시'!$J$3:$J$4002,$K$8),1))-1,""),"")</f>
        <v/>
      </c>
      <c r="AB1398">
        <f>IF(ISNUMBER(AA1398),'자료_거시'!$J1380,"")</f>
        <v/>
      </c>
      <c r="AC1398">
        <f>IF(ISNUMBER(AB1398),IF(AB1398&gt;$L$8,AA1398,""),"")</f>
        <v/>
      </c>
    </row>
    <row r="1399">
      <c r="S1399">
        <f>IF(ISNUMBER('자료_거시'!$E1381),'자료_거시'!$E1381,S1398)</f>
        <v/>
      </c>
      <c r="T1399">
        <f>IF(AND(ISNUMBER('자료_거시'!$D1381),ISNUMBER('자료_거시'!$E1381)),IFERROR('자료_거시'!$E1381-INDEX($S$21:$S$4020,MATCH(EDATE('자료_거시'!$D1381,-'설정'!$B$17),'자료_거시'!$D$3:INDEX('자료_거시'!$D$3:$D$4002,$K$6),1)),""),"")</f>
        <v/>
      </c>
      <c r="U1399">
        <f>IF(ISNUMBER(T1399),'자료_거시'!$D1381,"")</f>
        <v/>
      </c>
      <c r="V1399">
        <f>IF(ISNUMBER(U1399),IF(U1399&gt;$L$6,T1399,""),"")</f>
        <v/>
      </c>
      <c r="W1399">
        <f>IF(AND(ISNUMBER('자료_거시'!$G1381),ISNUMBER('자료_거시'!$H1381)),'자료_거시'!$H1381,"")</f>
        <v/>
      </c>
      <c r="X1399">
        <f>IF(ISNUMBER(W1399),'자료_거시'!$G1381,"")</f>
        <v/>
      </c>
      <c r="Y1399">
        <f>IF(ISNUMBER(X1399),IF(X1399&gt;$L$7,W1399,""),"")</f>
        <v/>
      </c>
      <c r="Z1399">
        <f>IF(ISNUMBER('자료_거시'!$K1381),'자료_거시'!$K1381,Z1398)</f>
        <v/>
      </c>
      <c r="AA1399">
        <f>IF(AND(ISNUMBER('자료_거시'!$J1381),ISNUMBER('자료_거시'!$K1381)),IFERROR('자료_거시'!$K1381/INDEX($Z$21:$Z$4020,MATCH(EDATE('자료_거시'!$J1381,-'설정'!$B$17),'자료_거시'!$J$3:INDEX('자료_거시'!$J$3:$J$4002,$K$8),1))-1,""),"")</f>
        <v/>
      </c>
      <c r="AB1399">
        <f>IF(ISNUMBER(AA1399),'자료_거시'!$J1381,"")</f>
        <v/>
      </c>
      <c r="AC1399">
        <f>IF(ISNUMBER(AB1399),IF(AB1399&gt;$L$8,AA1399,""),"")</f>
        <v/>
      </c>
    </row>
    <row r="1400">
      <c r="S1400">
        <f>IF(ISNUMBER('자료_거시'!$E1382),'자료_거시'!$E1382,S1399)</f>
        <v/>
      </c>
      <c r="T1400">
        <f>IF(AND(ISNUMBER('자료_거시'!$D1382),ISNUMBER('자료_거시'!$E1382)),IFERROR('자료_거시'!$E1382-INDEX($S$21:$S$4020,MATCH(EDATE('자료_거시'!$D1382,-'설정'!$B$17),'자료_거시'!$D$3:INDEX('자료_거시'!$D$3:$D$4002,$K$6),1)),""),"")</f>
        <v/>
      </c>
      <c r="U1400">
        <f>IF(ISNUMBER(T1400),'자료_거시'!$D1382,"")</f>
        <v/>
      </c>
      <c r="V1400">
        <f>IF(ISNUMBER(U1400),IF(U1400&gt;$L$6,T1400,""),"")</f>
        <v/>
      </c>
      <c r="W1400">
        <f>IF(AND(ISNUMBER('자료_거시'!$G1382),ISNUMBER('자료_거시'!$H1382)),'자료_거시'!$H1382,"")</f>
        <v/>
      </c>
      <c r="X1400">
        <f>IF(ISNUMBER(W1400),'자료_거시'!$G1382,"")</f>
        <v/>
      </c>
      <c r="Y1400">
        <f>IF(ISNUMBER(X1400),IF(X1400&gt;$L$7,W1400,""),"")</f>
        <v/>
      </c>
      <c r="Z1400">
        <f>IF(ISNUMBER('자료_거시'!$K1382),'자료_거시'!$K1382,Z1399)</f>
        <v/>
      </c>
      <c r="AA1400">
        <f>IF(AND(ISNUMBER('자료_거시'!$J1382),ISNUMBER('자료_거시'!$K1382)),IFERROR('자료_거시'!$K1382/INDEX($Z$21:$Z$4020,MATCH(EDATE('자료_거시'!$J1382,-'설정'!$B$17),'자료_거시'!$J$3:INDEX('자료_거시'!$J$3:$J$4002,$K$8),1))-1,""),"")</f>
        <v/>
      </c>
      <c r="AB1400">
        <f>IF(ISNUMBER(AA1400),'자료_거시'!$J1382,"")</f>
        <v/>
      </c>
      <c r="AC1400">
        <f>IF(ISNUMBER(AB1400),IF(AB1400&gt;$L$8,AA1400,""),"")</f>
        <v/>
      </c>
    </row>
    <row r="1401">
      <c r="S1401">
        <f>IF(ISNUMBER('자료_거시'!$E1383),'자료_거시'!$E1383,S1400)</f>
        <v/>
      </c>
      <c r="T1401">
        <f>IF(AND(ISNUMBER('자료_거시'!$D1383),ISNUMBER('자료_거시'!$E1383)),IFERROR('자료_거시'!$E1383-INDEX($S$21:$S$4020,MATCH(EDATE('자료_거시'!$D1383,-'설정'!$B$17),'자료_거시'!$D$3:INDEX('자료_거시'!$D$3:$D$4002,$K$6),1)),""),"")</f>
        <v/>
      </c>
      <c r="U1401">
        <f>IF(ISNUMBER(T1401),'자료_거시'!$D1383,"")</f>
        <v/>
      </c>
      <c r="V1401">
        <f>IF(ISNUMBER(U1401),IF(U1401&gt;$L$6,T1401,""),"")</f>
        <v/>
      </c>
      <c r="W1401">
        <f>IF(AND(ISNUMBER('자료_거시'!$G1383),ISNUMBER('자료_거시'!$H1383)),'자료_거시'!$H1383,"")</f>
        <v/>
      </c>
      <c r="X1401">
        <f>IF(ISNUMBER(W1401),'자료_거시'!$G1383,"")</f>
        <v/>
      </c>
      <c r="Y1401">
        <f>IF(ISNUMBER(X1401),IF(X1401&gt;$L$7,W1401,""),"")</f>
        <v/>
      </c>
      <c r="Z1401">
        <f>IF(ISNUMBER('자료_거시'!$K1383),'자료_거시'!$K1383,Z1400)</f>
        <v/>
      </c>
      <c r="AA1401">
        <f>IF(AND(ISNUMBER('자료_거시'!$J1383),ISNUMBER('자료_거시'!$K1383)),IFERROR('자료_거시'!$K1383/INDEX($Z$21:$Z$4020,MATCH(EDATE('자료_거시'!$J1383,-'설정'!$B$17),'자료_거시'!$J$3:INDEX('자료_거시'!$J$3:$J$4002,$K$8),1))-1,""),"")</f>
        <v/>
      </c>
      <c r="AB1401">
        <f>IF(ISNUMBER(AA1401),'자료_거시'!$J1383,"")</f>
        <v/>
      </c>
      <c r="AC1401">
        <f>IF(ISNUMBER(AB1401),IF(AB1401&gt;$L$8,AA1401,""),"")</f>
        <v/>
      </c>
    </row>
    <row r="1402">
      <c r="S1402">
        <f>IF(ISNUMBER('자료_거시'!$E1384),'자료_거시'!$E1384,S1401)</f>
        <v/>
      </c>
      <c r="T1402">
        <f>IF(AND(ISNUMBER('자료_거시'!$D1384),ISNUMBER('자료_거시'!$E1384)),IFERROR('자료_거시'!$E1384-INDEX($S$21:$S$4020,MATCH(EDATE('자료_거시'!$D1384,-'설정'!$B$17),'자료_거시'!$D$3:INDEX('자료_거시'!$D$3:$D$4002,$K$6),1)),""),"")</f>
        <v/>
      </c>
      <c r="U1402">
        <f>IF(ISNUMBER(T1402),'자료_거시'!$D1384,"")</f>
        <v/>
      </c>
      <c r="V1402">
        <f>IF(ISNUMBER(U1402),IF(U1402&gt;$L$6,T1402,""),"")</f>
        <v/>
      </c>
      <c r="W1402">
        <f>IF(AND(ISNUMBER('자료_거시'!$G1384),ISNUMBER('자료_거시'!$H1384)),'자료_거시'!$H1384,"")</f>
        <v/>
      </c>
      <c r="X1402">
        <f>IF(ISNUMBER(W1402),'자료_거시'!$G1384,"")</f>
        <v/>
      </c>
      <c r="Y1402">
        <f>IF(ISNUMBER(X1402),IF(X1402&gt;$L$7,W1402,""),"")</f>
        <v/>
      </c>
      <c r="Z1402">
        <f>IF(ISNUMBER('자료_거시'!$K1384),'자료_거시'!$K1384,Z1401)</f>
        <v/>
      </c>
      <c r="AA1402">
        <f>IF(AND(ISNUMBER('자료_거시'!$J1384),ISNUMBER('자료_거시'!$K1384)),IFERROR('자료_거시'!$K1384/INDEX($Z$21:$Z$4020,MATCH(EDATE('자료_거시'!$J1384,-'설정'!$B$17),'자료_거시'!$J$3:INDEX('자료_거시'!$J$3:$J$4002,$K$8),1))-1,""),"")</f>
        <v/>
      </c>
      <c r="AB1402">
        <f>IF(ISNUMBER(AA1402),'자료_거시'!$J1384,"")</f>
        <v/>
      </c>
      <c r="AC1402">
        <f>IF(ISNUMBER(AB1402),IF(AB1402&gt;$L$8,AA1402,""),"")</f>
        <v/>
      </c>
    </row>
    <row r="1403">
      <c r="S1403">
        <f>IF(ISNUMBER('자료_거시'!$E1385),'자료_거시'!$E1385,S1402)</f>
        <v/>
      </c>
      <c r="T1403">
        <f>IF(AND(ISNUMBER('자료_거시'!$D1385),ISNUMBER('자료_거시'!$E1385)),IFERROR('자료_거시'!$E1385-INDEX($S$21:$S$4020,MATCH(EDATE('자료_거시'!$D1385,-'설정'!$B$17),'자료_거시'!$D$3:INDEX('자료_거시'!$D$3:$D$4002,$K$6),1)),""),"")</f>
        <v/>
      </c>
      <c r="U1403">
        <f>IF(ISNUMBER(T1403),'자료_거시'!$D1385,"")</f>
        <v/>
      </c>
      <c r="V1403">
        <f>IF(ISNUMBER(U1403),IF(U1403&gt;$L$6,T1403,""),"")</f>
        <v/>
      </c>
      <c r="W1403">
        <f>IF(AND(ISNUMBER('자료_거시'!$G1385),ISNUMBER('자료_거시'!$H1385)),'자료_거시'!$H1385,"")</f>
        <v/>
      </c>
      <c r="X1403">
        <f>IF(ISNUMBER(W1403),'자료_거시'!$G1385,"")</f>
        <v/>
      </c>
      <c r="Y1403">
        <f>IF(ISNUMBER(X1403),IF(X1403&gt;$L$7,W1403,""),"")</f>
        <v/>
      </c>
      <c r="Z1403">
        <f>IF(ISNUMBER('자료_거시'!$K1385),'자료_거시'!$K1385,Z1402)</f>
        <v/>
      </c>
      <c r="AA1403">
        <f>IF(AND(ISNUMBER('자료_거시'!$J1385),ISNUMBER('자료_거시'!$K1385)),IFERROR('자료_거시'!$K1385/INDEX($Z$21:$Z$4020,MATCH(EDATE('자료_거시'!$J1385,-'설정'!$B$17),'자료_거시'!$J$3:INDEX('자료_거시'!$J$3:$J$4002,$K$8),1))-1,""),"")</f>
        <v/>
      </c>
      <c r="AB1403">
        <f>IF(ISNUMBER(AA1403),'자료_거시'!$J1385,"")</f>
        <v/>
      </c>
      <c r="AC1403">
        <f>IF(ISNUMBER(AB1403),IF(AB1403&gt;$L$8,AA1403,""),"")</f>
        <v/>
      </c>
    </row>
    <row r="1404">
      <c r="S1404">
        <f>IF(ISNUMBER('자료_거시'!$E1386),'자료_거시'!$E1386,S1403)</f>
        <v/>
      </c>
      <c r="T1404">
        <f>IF(AND(ISNUMBER('자료_거시'!$D1386),ISNUMBER('자료_거시'!$E1386)),IFERROR('자료_거시'!$E1386-INDEX($S$21:$S$4020,MATCH(EDATE('자료_거시'!$D1386,-'설정'!$B$17),'자료_거시'!$D$3:INDEX('자료_거시'!$D$3:$D$4002,$K$6),1)),""),"")</f>
        <v/>
      </c>
      <c r="U1404">
        <f>IF(ISNUMBER(T1404),'자료_거시'!$D1386,"")</f>
        <v/>
      </c>
      <c r="V1404">
        <f>IF(ISNUMBER(U1404),IF(U1404&gt;$L$6,T1404,""),"")</f>
        <v/>
      </c>
      <c r="W1404">
        <f>IF(AND(ISNUMBER('자료_거시'!$G1386),ISNUMBER('자료_거시'!$H1386)),'자료_거시'!$H1386,"")</f>
        <v/>
      </c>
      <c r="X1404">
        <f>IF(ISNUMBER(W1404),'자료_거시'!$G1386,"")</f>
        <v/>
      </c>
      <c r="Y1404">
        <f>IF(ISNUMBER(X1404),IF(X1404&gt;$L$7,W1404,""),"")</f>
        <v/>
      </c>
      <c r="Z1404">
        <f>IF(ISNUMBER('자료_거시'!$K1386),'자료_거시'!$K1386,Z1403)</f>
        <v/>
      </c>
      <c r="AA1404">
        <f>IF(AND(ISNUMBER('자료_거시'!$J1386),ISNUMBER('자료_거시'!$K1386)),IFERROR('자료_거시'!$K1386/INDEX($Z$21:$Z$4020,MATCH(EDATE('자료_거시'!$J1386,-'설정'!$B$17),'자료_거시'!$J$3:INDEX('자료_거시'!$J$3:$J$4002,$K$8),1))-1,""),"")</f>
        <v/>
      </c>
      <c r="AB1404">
        <f>IF(ISNUMBER(AA1404),'자료_거시'!$J1386,"")</f>
        <v/>
      </c>
      <c r="AC1404">
        <f>IF(ISNUMBER(AB1404),IF(AB1404&gt;$L$8,AA1404,""),"")</f>
        <v/>
      </c>
    </row>
    <row r="1405">
      <c r="S1405">
        <f>IF(ISNUMBER('자료_거시'!$E1387),'자료_거시'!$E1387,S1404)</f>
        <v/>
      </c>
      <c r="T1405">
        <f>IF(AND(ISNUMBER('자료_거시'!$D1387),ISNUMBER('자료_거시'!$E1387)),IFERROR('자료_거시'!$E1387-INDEX($S$21:$S$4020,MATCH(EDATE('자료_거시'!$D1387,-'설정'!$B$17),'자료_거시'!$D$3:INDEX('자료_거시'!$D$3:$D$4002,$K$6),1)),""),"")</f>
        <v/>
      </c>
      <c r="U1405">
        <f>IF(ISNUMBER(T1405),'자료_거시'!$D1387,"")</f>
        <v/>
      </c>
      <c r="V1405">
        <f>IF(ISNUMBER(U1405),IF(U1405&gt;$L$6,T1405,""),"")</f>
        <v/>
      </c>
      <c r="W1405">
        <f>IF(AND(ISNUMBER('자료_거시'!$G1387),ISNUMBER('자료_거시'!$H1387)),'자료_거시'!$H1387,"")</f>
        <v/>
      </c>
      <c r="X1405">
        <f>IF(ISNUMBER(W1405),'자료_거시'!$G1387,"")</f>
        <v/>
      </c>
      <c r="Y1405">
        <f>IF(ISNUMBER(X1405),IF(X1405&gt;$L$7,W1405,""),"")</f>
        <v/>
      </c>
      <c r="Z1405">
        <f>IF(ISNUMBER('자료_거시'!$K1387),'자료_거시'!$K1387,Z1404)</f>
        <v/>
      </c>
      <c r="AA1405">
        <f>IF(AND(ISNUMBER('자료_거시'!$J1387),ISNUMBER('자료_거시'!$K1387)),IFERROR('자료_거시'!$K1387/INDEX($Z$21:$Z$4020,MATCH(EDATE('자료_거시'!$J1387,-'설정'!$B$17),'자료_거시'!$J$3:INDEX('자료_거시'!$J$3:$J$4002,$K$8),1))-1,""),"")</f>
        <v/>
      </c>
      <c r="AB1405">
        <f>IF(ISNUMBER(AA1405),'자료_거시'!$J1387,"")</f>
        <v/>
      </c>
      <c r="AC1405">
        <f>IF(ISNUMBER(AB1405),IF(AB1405&gt;$L$8,AA1405,""),"")</f>
        <v/>
      </c>
    </row>
    <row r="1406">
      <c r="S1406">
        <f>IF(ISNUMBER('자료_거시'!$E1388),'자료_거시'!$E1388,S1405)</f>
        <v/>
      </c>
      <c r="T1406">
        <f>IF(AND(ISNUMBER('자료_거시'!$D1388),ISNUMBER('자료_거시'!$E1388)),IFERROR('자료_거시'!$E1388-INDEX($S$21:$S$4020,MATCH(EDATE('자료_거시'!$D1388,-'설정'!$B$17),'자료_거시'!$D$3:INDEX('자료_거시'!$D$3:$D$4002,$K$6),1)),""),"")</f>
        <v/>
      </c>
      <c r="U1406">
        <f>IF(ISNUMBER(T1406),'자료_거시'!$D1388,"")</f>
        <v/>
      </c>
      <c r="V1406">
        <f>IF(ISNUMBER(U1406),IF(U1406&gt;$L$6,T1406,""),"")</f>
        <v/>
      </c>
      <c r="W1406">
        <f>IF(AND(ISNUMBER('자료_거시'!$G1388),ISNUMBER('자료_거시'!$H1388)),'자료_거시'!$H1388,"")</f>
        <v/>
      </c>
      <c r="X1406">
        <f>IF(ISNUMBER(W1406),'자료_거시'!$G1388,"")</f>
        <v/>
      </c>
      <c r="Y1406">
        <f>IF(ISNUMBER(X1406),IF(X1406&gt;$L$7,W1406,""),"")</f>
        <v/>
      </c>
      <c r="Z1406">
        <f>IF(ISNUMBER('자료_거시'!$K1388),'자료_거시'!$K1388,Z1405)</f>
        <v/>
      </c>
      <c r="AA1406">
        <f>IF(AND(ISNUMBER('자료_거시'!$J1388),ISNUMBER('자료_거시'!$K1388)),IFERROR('자료_거시'!$K1388/INDEX($Z$21:$Z$4020,MATCH(EDATE('자료_거시'!$J1388,-'설정'!$B$17),'자료_거시'!$J$3:INDEX('자료_거시'!$J$3:$J$4002,$K$8),1))-1,""),"")</f>
        <v/>
      </c>
      <c r="AB1406">
        <f>IF(ISNUMBER(AA1406),'자료_거시'!$J1388,"")</f>
        <v/>
      </c>
      <c r="AC1406">
        <f>IF(ISNUMBER(AB1406),IF(AB1406&gt;$L$8,AA1406,""),"")</f>
        <v/>
      </c>
    </row>
    <row r="1407">
      <c r="S1407">
        <f>IF(ISNUMBER('자료_거시'!$E1389),'자료_거시'!$E1389,S1406)</f>
        <v/>
      </c>
      <c r="T1407">
        <f>IF(AND(ISNUMBER('자료_거시'!$D1389),ISNUMBER('자료_거시'!$E1389)),IFERROR('자료_거시'!$E1389-INDEX($S$21:$S$4020,MATCH(EDATE('자료_거시'!$D1389,-'설정'!$B$17),'자료_거시'!$D$3:INDEX('자료_거시'!$D$3:$D$4002,$K$6),1)),""),"")</f>
        <v/>
      </c>
      <c r="U1407">
        <f>IF(ISNUMBER(T1407),'자료_거시'!$D1389,"")</f>
        <v/>
      </c>
      <c r="V1407">
        <f>IF(ISNUMBER(U1407),IF(U1407&gt;$L$6,T1407,""),"")</f>
        <v/>
      </c>
      <c r="W1407">
        <f>IF(AND(ISNUMBER('자료_거시'!$G1389),ISNUMBER('자료_거시'!$H1389)),'자료_거시'!$H1389,"")</f>
        <v/>
      </c>
      <c r="X1407">
        <f>IF(ISNUMBER(W1407),'자료_거시'!$G1389,"")</f>
        <v/>
      </c>
      <c r="Y1407">
        <f>IF(ISNUMBER(X1407),IF(X1407&gt;$L$7,W1407,""),"")</f>
        <v/>
      </c>
      <c r="Z1407">
        <f>IF(ISNUMBER('자료_거시'!$K1389),'자료_거시'!$K1389,Z1406)</f>
        <v/>
      </c>
      <c r="AA1407">
        <f>IF(AND(ISNUMBER('자료_거시'!$J1389),ISNUMBER('자료_거시'!$K1389)),IFERROR('자료_거시'!$K1389/INDEX($Z$21:$Z$4020,MATCH(EDATE('자료_거시'!$J1389,-'설정'!$B$17),'자료_거시'!$J$3:INDEX('자료_거시'!$J$3:$J$4002,$K$8),1))-1,""),"")</f>
        <v/>
      </c>
      <c r="AB1407">
        <f>IF(ISNUMBER(AA1407),'자료_거시'!$J1389,"")</f>
        <v/>
      </c>
      <c r="AC1407">
        <f>IF(ISNUMBER(AB1407),IF(AB1407&gt;$L$8,AA1407,""),"")</f>
        <v/>
      </c>
    </row>
    <row r="1408">
      <c r="S1408">
        <f>IF(ISNUMBER('자료_거시'!$E1390),'자료_거시'!$E1390,S1407)</f>
        <v/>
      </c>
      <c r="T1408">
        <f>IF(AND(ISNUMBER('자료_거시'!$D1390),ISNUMBER('자료_거시'!$E1390)),IFERROR('자료_거시'!$E1390-INDEX($S$21:$S$4020,MATCH(EDATE('자료_거시'!$D1390,-'설정'!$B$17),'자료_거시'!$D$3:INDEX('자료_거시'!$D$3:$D$4002,$K$6),1)),""),"")</f>
        <v/>
      </c>
      <c r="U1408">
        <f>IF(ISNUMBER(T1408),'자료_거시'!$D1390,"")</f>
        <v/>
      </c>
      <c r="V1408">
        <f>IF(ISNUMBER(U1408),IF(U1408&gt;$L$6,T1408,""),"")</f>
        <v/>
      </c>
      <c r="W1408">
        <f>IF(AND(ISNUMBER('자료_거시'!$G1390),ISNUMBER('자료_거시'!$H1390)),'자료_거시'!$H1390,"")</f>
        <v/>
      </c>
      <c r="X1408">
        <f>IF(ISNUMBER(W1408),'자료_거시'!$G1390,"")</f>
        <v/>
      </c>
      <c r="Y1408">
        <f>IF(ISNUMBER(X1408),IF(X1408&gt;$L$7,W1408,""),"")</f>
        <v/>
      </c>
      <c r="Z1408">
        <f>IF(ISNUMBER('자료_거시'!$K1390),'자료_거시'!$K1390,Z1407)</f>
        <v/>
      </c>
      <c r="AA1408">
        <f>IF(AND(ISNUMBER('자료_거시'!$J1390),ISNUMBER('자료_거시'!$K1390)),IFERROR('자료_거시'!$K1390/INDEX($Z$21:$Z$4020,MATCH(EDATE('자료_거시'!$J1390,-'설정'!$B$17),'자료_거시'!$J$3:INDEX('자료_거시'!$J$3:$J$4002,$K$8),1))-1,""),"")</f>
        <v/>
      </c>
      <c r="AB1408">
        <f>IF(ISNUMBER(AA1408),'자료_거시'!$J1390,"")</f>
        <v/>
      </c>
      <c r="AC1408">
        <f>IF(ISNUMBER(AB1408),IF(AB1408&gt;$L$8,AA1408,""),"")</f>
        <v/>
      </c>
    </row>
    <row r="1409">
      <c r="S1409">
        <f>IF(ISNUMBER('자료_거시'!$E1391),'자료_거시'!$E1391,S1408)</f>
        <v/>
      </c>
      <c r="T1409">
        <f>IF(AND(ISNUMBER('자료_거시'!$D1391),ISNUMBER('자료_거시'!$E1391)),IFERROR('자료_거시'!$E1391-INDEX($S$21:$S$4020,MATCH(EDATE('자료_거시'!$D1391,-'설정'!$B$17),'자료_거시'!$D$3:INDEX('자료_거시'!$D$3:$D$4002,$K$6),1)),""),"")</f>
        <v/>
      </c>
      <c r="U1409">
        <f>IF(ISNUMBER(T1409),'자료_거시'!$D1391,"")</f>
        <v/>
      </c>
      <c r="V1409">
        <f>IF(ISNUMBER(U1409),IF(U1409&gt;$L$6,T1409,""),"")</f>
        <v/>
      </c>
      <c r="W1409">
        <f>IF(AND(ISNUMBER('자료_거시'!$G1391),ISNUMBER('자료_거시'!$H1391)),'자료_거시'!$H1391,"")</f>
        <v/>
      </c>
      <c r="X1409">
        <f>IF(ISNUMBER(W1409),'자료_거시'!$G1391,"")</f>
        <v/>
      </c>
      <c r="Y1409">
        <f>IF(ISNUMBER(X1409),IF(X1409&gt;$L$7,W1409,""),"")</f>
        <v/>
      </c>
      <c r="Z1409">
        <f>IF(ISNUMBER('자료_거시'!$K1391),'자료_거시'!$K1391,Z1408)</f>
        <v/>
      </c>
      <c r="AA1409">
        <f>IF(AND(ISNUMBER('자료_거시'!$J1391),ISNUMBER('자료_거시'!$K1391)),IFERROR('자료_거시'!$K1391/INDEX($Z$21:$Z$4020,MATCH(EDATE('자료_거시'!$J1391,-'설정'!$B$17),'자료_거시'!$J$3:INDEX('자료_거시'!$J$3:$J$4002,$K$8),1))-1,""),"")</f>
        <v/>
      </c>
      <c r="AB1409">
        <f>IF(ISNUMBER(AA1409),'자료_거시'!$J1391,"")</f>
        <v/>
      </c>
      <c r="AC1409">
        <f>IF(ISNUMBER(AB1409),IF(AB1409&gt;$L$8,AA1409,""),"")</f>
        <v/>
      </c>
    </row>
    <row r="1410">
      <c r="S1410">
        <f>IF(ISNUMBER('자료_거시'!$E1392),'자료_거시'!$E1392,S1409)</f>
        <v/>
      </c>
      <c r="T1410">
        <f>IF(AND(ISNUMBER('자료_거시'!$D1392),ISNUMBER('자료_거시'!$E1392)),IFERROR('자료_거시'!$E1392-INDEX($S$21:$S$4020,MATCH(EDATE('자료_거시'!$D1392,-'설정'!$B$17),'자료_거시'!$D$3:INDEX('자료_거시'!$D$3:$D$4002,$K$6),1)),""),"")</f>
        <v/>
      </c>
      <c r="U1410">
        <f>IF(ISNUMBER(T1410),'자료_거시'!$D1392,"")</f>
        <v/>
      </c>
      <c r="V1410">
        <f>IF(ISNUMBER(U1410),IF(U1410&gt;$L$6,T1410,""),"")</f>
        <v/>
      </c>
      <c r="W1410">
        <f>IF(AND(ISNUMBER('자료_거시'!$G1392),ISNUMBER('자료_거시'!$H1392)),'자료_거시'!$H1392,"")</f>
        <v/>
      </c>
      <c r="X1410">
        <f>IF(ISNUMBER(W1410),'자료_거시'!$G1392,"")</f>
        <v/>
      </c>
      <c r="Y1410">
        <f>IF(ISNUMBER(X1410),IF(X1410&gt;$L$7,W1410,""),"")</f>
        <v/>
      </c>
      <c r="Z1410">
        <f>IF(ISNUMBER('자료_거시'!$K1392),'자료_거시'!$K1392,Z1409)</f>
        <v/>
      </c>
      <c r="AA1410">
        <f>IF(AND(ISNUMBER('자료_거시'!$J1392),ISNUMBER('자료_거시'!$K1392)),IFERROR('자료_거시'!$K1392/INDEX($Z$21:$Z$4020,MATCH(EDATE('자료_거시'!$J1392,-'설정'!$B$17),'자료_거시'!$J$3:INDEX('자료_거시'!$J$3:$J$4002,$K$8),1))-1,""),"")</f>
        <v/>
      </c>
      <c r="AB1410">
        <f>IF(ISNUMBER(AA1410),'자료_거시'!$J1392,"")</f>
        <v/>
      </c>
      <c r="AC1410">
        <f>IF(ISNUMBER(AB1410),IF(AB1410&gt;$L$8,AA1410,""),"")</f>
        <v/>
      </c>
    </row>
    <row r="1411">
      <c r="S1411">
        <f>IF(ISNUMBER('자료_거시'!$E1393),'자료_거시'!$E1393,S1410)</f>
        <v/>
      </c>
      <c r="T1411">
        <f>IF(AND(ISNUMBER('자료_거시'!$D1393),ISNUMBER('자료_거시'!$E1393)),IFERROR('자료_거시'!$E1393-INDEX($S$21:$S$4020,MATCH(EDATE('자료_거시'!$D1393,-'설정'!$B$17),'자료_거시'!$D$3:INDEX('자료_거시'!$D$3:$D$4002,$K$6),1)),""),"")</f>
        <v/>
      </c>
      <c r="U1411">
        <f>IF(ISNUMBER(T1411),'자료_거시'!$D1393,"")</f>
        <v/>
      </c>
      <c r="V1411">
        <f>IF(ISNUMBER(U1411),IF(U1411&gt;$L$6,T1411,""),"")</f>
        <v/>
      </c>
      <c r="W1411">
        <f>IF(AND(ISNUMBER('자료_거시'!$G1393),ISNUMBER('자료_거시'!$H1393)),'자료_거시'!$H1393,"")</f>
        <v/>
      </c>
      <c r="X1411">
        <f>IF(ISNUMBER(W1411),'자료_거시'!$G1393,"")</f>
        <v/>
      </c>
      <c r="Y1411">
        <f>IF(ISNUMBER(X1411),IF(X1411&gt;$L$7,W1411,""),"")</f>
        <v/>
      </c>
      <c r="Z1411">
        <f>IF(ISNUMBER('자료_거시'!$K1393),'자료_거시'!$K1393,Z1410)</f>
        <v/>
      </c>
      <c r="AA1411">
        <f>IF(AND(ISNUMBER('자료_거시'!$J1393),ISNUMBER('자료_거시'!$K1393)),IFERROR('자료_거시'!$K1393/INDEX($Z$21:$Z$4020,MATCH(EDATE('자료_거시'!$J1393,-'설정'!$B$17),'자료_거시'!$J$3:INDEX('자료_거시'!$J$3:$J$4002,$K$8),1))-1,""),"")</f>
        <v/>
      </c>
      <c r="AB1411">
        <f>IF(ISNUMBER(AA1411),'자료_거시'!$J1393,"")</f>
        <v/>
      </c>
      <c r="AC1411">
        <f>IF(ISNUMBER(AB1411),IF(AB1411&gt;$L$8,AA1411,""),"")</f>
        <v/>
      </c>
    </row>
    <row r="1412">
      <c r="S1412">
        <f>IF(ISNUMBER('자료_거시'!$E1394),'자료_거시'!$E1394,S1411)</f>
        <v/>
      </c>
      <c r="T1412">
        <f>IF(AND(ISNUMBER('자료_거시'!$D1394),ISNUMBER('자료_거시'!$E1394)),IFERROR('자료_거시'!$E1394-INDEX($S$21:$S$4020,MATCH(EDATE('자료_거시'!$D1394,-'설정'!$B$17),'자료_거시'!$D$3:INDEX('자료_거시'!$D$3:$D$4002,$K$6),1)),""),"")</f>
        <v/>
      </c>
      <c r="U1412">
        <f>IF(ISNUMBER(T1412),'자료_거시'!$D1394,"")</f>
        <v/>
      </c>
      <c r="V1412">
        <f>IF(ISNUMBER(U1412),IF(U1412&gt;$L$6,T1412,""),"")</f>
        <v/>
      </c>
      <c r="W1412">
        <f>IF(AND(ISNUMBER('자료_거시'!$G1394),ISNUMBER('자료_거시'!$H1394)),'자료_거시'!$H1394,"")</f>
        <v/>
      </c>
      <c r="X1412">
        <f>IF(ISNUMBER(W1412),'자료_거시'!$G1394,"")</f>
        <v/>
      </c>
      <c r="Y1412">
        <f>IF(ISNUMBER(X1412),IF(X1412&gt;$L$7,W1412,""),"")</f>
        <v/>
      </c>
      <c r="Z1412">
        <f>IF(ISNUMBER('자료_거시'!$K1394),'자료_거시'!$K1394,Z1411)</f>
        <v/>
      </c>
      <c r="AA1412">
        <f>IF(AND(ISNUMBER('자료_거시'!$J1394),ISNUMBER('자료_거시'!$K1394)),IFERROR('자료_거시'!$K1394/INDEX($Z$21:$Z$4020,MATCH(EDATE('자료_거시'!$J1394,-'설정'!$B$17),'자료_거시'!$J$3:INDEX('자료_거시'!$J$3:$J$4002,$K$8),1))-1,""),"")</f>
        <v/>
      </c>
      <c r="AB1412">
        <f>IF(ISNUMBER(AA1412),'자료_거시'!$J1394,"")</f>
        <v/>
      </c>
      <c r="AC1412">
        <f>IF(ISNUMBER(AB1412),IF(AB1412&gt;$L$8,AA1412,""),"")</f>
        <v/>
      </c>
    </row>
    <row r="1413">
      <c r="S1413">
        <f>IF(ISNUMBER('자료_거시'!$E1395),'자료_거시'!$E1395,S1412)</f>
        <v/>
      </c>
      <c r="T1413">
        <f>IF(AND(ISNUMBER('자료_거시'!$D1395),ISNUMBER('자료_거시'!$E1395)),IFERROR('자료_거시'!$E1395-INDEX($S$21:$S$4020,MATCH(EDATE('자료_거시'!$D1395,-'설정'!$B$17),'자료_거시'!$D$3:INDEX('자료_거시'!$D$3:$D$4002,$K$6),1)),""),"")</f>
        <v/>
      </c>
      <c r="U1413">
        <f>IF(ISNUMBER(T1413),'자료_거시'!$D1395,"")</f>
        <v/>
      </c>
      <c r="V1413">
        <f>IF(ISNUMBER(U1413),IF(U1413&gt;$L$6,T1413,""),"")</f>
        <v/>
      </c>
      <c r="W1413">
        <f>IF(AND(ISNUMBER('자료_거시'!$G1395),ISNUMBER('자료_거시'!$H1395)),'자료_거시'!$H1395,"")</f>
        <v/>
      </c>
      <c r="X1413">
        <f>IF(ISNUMBER(W1413),'자료_거시'!$G1395,"")</f>
        <v/>
      </c>
      <c r="Y1413">
        <f>IF(ISNUMBER(X1413),IF(X1413&gt;$L$7,W1413,""),"")</f>
        <v/>
      </c>
      <c r="Z1413">
        <f>IF(ISNUMBER('자료_거시'!$K1395),'자료_거시'!$K1395,Z1412)</f>
        <v/>
      </c>
      <c r="AA1413">
        <f>IF(AND(ISNUMBER('자료_거시'!$J1395),ISNUMBER('자료_거시'!$K1395)),IFERROR('자료_거시'!$K1395/INDEX($Z$21:$Z$4020,MATCH(EDATE('자료_거시'!$J1395,-'설정'!$B$17),'자료_거시'!$J$3:INDEX('자료_거시'!$J$3:$J$4002,$K$8),1))-1,""),"")</f>
        <v/>
      </c>
      <c r="AB1413">
        <f>IF(ISNUMBER(AA1413),'자료_거시'!$J1395,"")</f>
        <v/>
      </c>
      <c r="AC1413">
        <f>IF(ISNUMBER(AB1413),IF(AB1413&gt;$L$8,AA1413,""),"")</f>
        <v/>
      </c>
    </row>
    <row r="1414">
      <c r="S1414">
        <f>IF(ISNUMBER('자료_거시'!$E1396),'자료_거시'!$E1396,S1413)</f>
        <v/>
      </c>
      <c r="T1414">
        <f>IF(AND(ISNUMBER('자료_거시'!$D1396),ISNUMBER('자료_거시'!$E1396)),IFERROR('자료_거시'!$E1396-INDEX($S$21:$S$4020,MATCH(EDATE('자료_거시'!$D1396,-'설정'!$B$17),'자료_거시'!$D$3:INDEX('자료_거시'!$D$3:$D$4002,$K$6),1)),""),"")</f>
        <v/>
      </c>
      <c r="U1414">
        <f>IF(ISNUMBER(T1414),'자료_거시'!$D1396,"")</f>
        <v/>
      </c>
      <c r="V1414">
        <f>IF(ISNUMBER(U1414),IF(U1414&gt;$L$6,T1414,""),"")</f>
        <v/>
      </c>
      <c r="W1414">
        <f>IF(AND(ISNUMBER('자료_거시'!$G1396),ISNUMBER('자료_거시'!$H1396)),'자료_거시'!$H1396,"")</f>
        <v/>
      </c>
      <c r="X1414">
        <f>IF(ISNUMBER(W1414),'자료_거시'!$G1396,"")</f>
        <v/>
      </c>
      <c r="Y1414">
        <f>IF(ISNUMBER(X1414),IF(X1414&gt;$L$7,W1414,""),"")</f>
        <v/>
      </c>
      <c r="Z1414">
        <f>IF(ISNUMBER('자료_거시'!$K1396),'자료_거시'!$K1396,Z1413)</f>
        <v/>
      </c>
      <c r="AA1414">
        <f>IF(AND(ISNUMBER('자료_거시'!$J1396),ISNUMBER('자료_거시'!$K1396)),IFERROR('자료_거시'!$K1396/INDEX($Z$21:$Z$4020,MATCH(EDATE('자료_거시'!$J1396,-'설정'!$B$17),'자료_거시'!$J$3:INDEX('자료_거시'!$J$3:$J$4002,$K$8),1))-1,""),"")</f>
        <v/>
      </c>
      <c r="AB1414">
        <f>IF(ISNUMBER(AA1414),'자료_거시'!$J1396,"")</f>
        <v/>
      </c>
      <c r="AC1414">
        <f>IF(ISNUMBER(AB1414),IF(AB1414&gt;$L$8,AA1414,""),"")</f>
        <v/>
      </c>
    </row>
    <row r="1415">
      <c r="S1415">
        <f>IF(ISNUMBER('자료_거시'!$E1397),'자료_거시'!$E1397,S1414)</f>
        <v/>
      </c>
      <c r="T1415">
        <f>IF(AND(ISNUMBER('자료_거시'!$D1397),ISNUMBER('자료_거시'!$E1397)),IFERROR('자료_거시'!$E1397-INDEX($S$21:$S$4020,MATCH(EDATE('자료_거시'!$D1397,-'설정'!$B$17),'자료_거시'!$D$3:INDEX('자료_거시'!$D$3:$D$4002,$K$6),1)),""),"")</f>
        <v/>
      </c>
      <c r="U1415">
        <f>IF(ISNUMBER(T1415),'자료_거시'!$D1397,"")</f>
        <v/>
      </c>
      <c r="V1415">
        <f>IF(ISNUMBER(U1415),IF(U1415&gt;$L$6,T1415,""),"")</f>
        <v/>
      </c>
      <c r="W1415">
        <f>IF(AND(ISNUMBER('자료_거시'!$G1397),ISNUMBER('자료_거시'!$H1397)),'자료_거시'!$H1397,"")</f>
        <v/>
      </c>
      <c r="X1415">
        <f>IF(ISNUMBER(W1415),'자료_거시'!$G1397,"")</f>
        <v/>
      </c>
      <c r="Y1415">
        <f>IF(ISNUMBER(X1415),IF(X1415&gt;$L$7,W1415,""),"")</f>
        <v/>
      </c>
      <c r="Z1415">
        <f>IF(ISNUMBER('자료_거시'!$K1397),'자료_거시'!$K1397,Z1414)</f>
        <v/>
      </c>
      <c r="AA1415">
        <f>IF(AND(ISNUMBER('자료_거시'!$J1397),ISNUMBER('자료_거시'!$K1397)),IFERROR('자료_거시'!$K1397/INDEX($Z$21:$Z$4020,MATCH(EDATE('자료_거시'!$J1397,-'설정'!$B$17),'자료_거시'!$J$3:INDEX('자료_거시'!$J$3:$J$4002,$K$8),1))-1,""),"")</f>
        <v/>
      </c>
      <c r="AB1415">
        <f>IF(ISNUMBER(AA1415),'자료_거시'!$J1397,"")</f>
        <v/>
      </c>
      <c r="AC1415">
        <f>IF(ISNUMBER(AB1415),IF(AB1415&gt;$L$8,AA1415,""),"")</f>
        <v/>
      </c>
    </row>
    <row r="1416">
      <c r="S1416">
        <f>IF(ISNUMBER('자료_거시'!$E1398),'자료_거시'!$E1398,S1415)</f>
        <v/>
      </c>
      <c r="T1416">
        <f>IF(AND(ISNUMBER('자료_거시'!$D1398),ISNUMBER('자료_거시'!$E1398)),IFERROR('자료_거시'!$E1398-INDEX($S$21:$S$4020,MATCH(EDATE('자료_거시'!$D1398,-'설정'!$B$17),'자료_거시'!$D$3:INDEX('자료_거시'!$D$3:$D$4002,$K$6),1)),""),"")</f>
        <v/>
      </c>
      <c r="U1416">
        <f>IF(ISNUMBER(T1416),'자료_거시'!$D1398,"")</f>
        <v/>
      </c>
      <c r="V1416">
        <f>IF(ISNUMBER(U1416),IF(U1416&gt;$L$6,T1416,""),"")</f>
        <v/>
      </c>
      <c r="W1416">
        <f>IF(AND(ISNUMBER('자료_거시'!$G1398),ISNUMBER('자료_거시'!$H1398)),'자료_거시'!$H1398,"")</f>
        <v/>
      </c>
      <c r="X1416">
        <f>IF(ISNUMBER(W1416),'자료_거시'!$G1398,"")</f>
        <v/>
      </c>
      <c r="Y1416">
        <f>IF(ISNUMBER(X1416),IF(X1416&gt;$L$7,W1416,""),"")</f>
        <v/>
      </c>
      <c r="Z1416">
        <f>IF(ISNUMBER('자료_거시'!$K1398),'자료_거시'!$K1398,Z1415)</f>
        <v/>
      </c>
      <c r="AA1416">
        <f>IF(AND(ISNUMBER('자료_거시'!$J1398),ISNUMBER('자료_거시'!$K1398)),IFERROR('자료_거시'!$K1398/INDEX($Z$21:$Z$4020,MATCH(EDATE('자료_거시'!$J1398,-'설정'!$B$17),'자료_거시'!$J$3:INDEX('자료_거시'!$J$3:$J$4002,$K$8),1))-1,""),"")</f>
        <v/>
      </c>
      <c r="AB1416">
        <f>IF(ISNUMBER(AA1416),'자료_거시'!$J1398,"")</f>
        <v/>
      </c>
      <c r="AC1416">
        <f>IF(ISNUMBER(AB1416),IF(AB1416&gt;$L$8,AA1416,""),"")</f>
        <v/>
      </c>
    </row>
    <row r="1417">
      <c r="S1417">
        <f>IF(ISNUMBER('자료_거시'!$E1399),'자료_거시'!$E1399,S1416)</f>
        <v/>
      </c>
      <c r="T1417">
        <f>IF(AND(ISNUMBER('자료_거시'!$D1399),ISNUMBER('자료_거시'!$E1399)),IFERROR('자료_거시'!$E1399-INDEX($S$21:$S$4020,MATCH(EDATE('자료_거시'!$D1399,-'설정'!$B$17),'자료_거시'!$D$3:INDEX('자료_거시'!$D$3:$D$4002,$K$6),1)),""),"")</f>
        <v/>
      </c>
      <c r="U1417">
        <f>IF(ISNUMBER(T1417),'자료_거시'!$D1399,"")</f>
        <v/>
      </c>
      <c r="V1417">
        <f>IF(ISNUMBER(U1417),IF(U1417&gt;$L$6,T1417,""),"")</f>
        <v/>
      </c>
      <c r="W1417">
        <f>IF(AND(ISNUMBER('자료_거시'!$G1399),ISNUMBER('자료_거시'!$H1399)),'자료_거시'!$H1399,"")</f>
        <v/>
      </c>
      <c r="X1417">
        <f>IF(ISNUMBER(W1417),'자료_거시'!$G1399,"")</f>
        <v/>
      </c>
      <c r="Y1417">
        <f>IF(ISNUMBER(X1417),IF(X1417&gt;$L$7,W1417,""),"")</f>
        <v/>
      </c>
      <c r="Z1417">
        <f>IF(ISNUMBER('자료_거시'!$K1399),'자료_거시'!$K1399,Z1416)</f>
        <v/>
      </c>
      <c r="AA1417">
        <f>IF(AND(ISNUMBER('자료_거시'!$J1399),ISNUMBER('자료_거시'!$K1399)),IFERROR('자료_거시'!$K1399/INDEX($Z$21:$Z$4020,MATCH(EDATE('자료_거시'!$J1399,-'설정'!$B$17),'자료_거시'!$J$3:INDEX('자료_거시'!$J$3:$J$4002,$K$8),1))-1,""),"")</f>
        <v/>
      </c>
      <c r="AB1417">
        <f>IF(ISNUMBER(AA1417),'자료_거시'!$J1399,"")</f>
        <v/>
      </c>
      <c r="AC1417">
        <f>IF(ISNUMBER(AB1417),IF(AB1417&gt;$L$8,AA1417,""),"")</f>
        <v/>
      </c>
    </row>
    <row r="1418">
      <c r="S1418">
        <f>IF(ISNUMBER('자료_거시'!$E1400),'자료_거시'!$E1400,S1417)</f>
        <v/>
      </c>
      <c r="T1418">
        <f>IF(AND(ISNUMBER('자료_거시'!$D1400),ISNUMBER('자료_거시'!$E1400)),IFERROR('자료_거시'!$E1400-INDEX($S$21:$S$4020,MATCH(EDATE('자료_거시'!$D1400,-'설정'!$B$17),'자료_거시'!$D$3:INDEX('자료_거시'!$D$3:$D$4002,$K$6),1)),""),"")</f>
        <v/>
      </c>
      <c r="U1418">
        <f>IF(ISNUMBER(T1418),'자료_거시'!$D1400,"")</f>
        <v/>
      </c>
      <c r="V1418">
        <f>IF(ISNUMBER(U1418),IF(U1418&gt;$L$6,T1418,""),"")</f>
        <v/>
      </c>
      <c r="W1418">
        <f>IF(AND(ISNUMBER('자료_거시'!$G1400),ISNUMBER('자료_거시'!$H1400)),'자료_거시'!$H1400,"")</f>
        <v/>
      </c>
      <c r="X1418">
        <f>IF(ISNUMBER(W1418),'자료_거시'!$G1400,"")</f>
        <v/>
      </c>
      <c r="Y1418">
        <f>IF(ISNUMBER(X1418),IF(X1418&gt;$L$7,W1418,""),"")</f>
        <v/>
      </c>
      <c r="Z1418">
        <f>IF(ISNUMBER('자료_거시'!$K1400),'자료_거시'!$K1400,Z1417)</f>
        <v/>
      </c>
      <c r="AA1418">
        <f>IF(AND(ISNUMBER('자료_거시'!$J1400),ISNUMBER('자료_거시'!$K1400)),IFERROR('자료_거시'!$K1400/INDEX($Z$21:$Z$4020,MATCH(EDATE('자료_거시'!$J1400,-'설정'!$B$17),'자료_거시'!$J$3:INDEX('자료_거시'!$J$3:$J$4002,$K$8),1))-1,""),"")</f>
        <v/>
      </c>
      <c r="AB1418">
        <f>IF(ISNUMBER(AA1418),'자료_거시'!$J1400,"")</f>
        <v/>
      </c>
      <c r="AC1418">
        <f>IF(ISNUMBER(AB1418),IF(AB1418&gt;$L$8,AA1418,""),"")</f>
        <v/>
      </c>
    </row>
    <row r="1419">
      <c r="S1419">
        <f>IF(ISNUMBER('자료_거시'!$E1401),'자료_거시'!$E1401,S1418)</f>
        <v/>
      </c>
      <c r="T1419">
        <f>IF(AND(ISNUMBER('자료_거시'!$D1401),ISNUMBER('자료_거시'!$E1401)),IFERROR('자료_거시'!$E1401-INDEX($S$21:$S$4020,MATCH(EDATE('자료_거시'!$D1401,-'설정'!$B$17),'자료_거시'!$D$3:INDEX('자료_거시'!$D$3:$D$4002,$K$6),1)),""),"")</f>
        <v/>
      </c>
      <c r="U1419">
        <f>IF(ISNUMBER(T1419),'자료_거시'!$D1401,"")</f>
        <v/>
      </c>
      <c r="V1419">
        <f>IF(ISNUMBER(U1419),IF(U1419&gt;$L$6,T1419,""),"")</f>
        <v/>
      </c>
      <c r="W1419">
        <f>IF(AND(ISNUMBER('자료_거시'!$G1401),ISNUMBER('자료_거시'!$H1401)),'자료_거시'!$H1401,"")</f>
        <v/>
      </c>
      <c r="X1419">
        <f>IF(ISNUMBER(W1419),'자료_거시'!$G1401,"")</f>
        <v/>
      </c>
      <c r="Y1419">
        <f>IF(ISNUMBER(X1419),IF(X1419&gt;$L$7,W1419,""),"")</f>
        <v/>
      </c>
      <c r="Z1419">
        <f>IF(ISNUMBER('자료_거시'!$K1401),'자료_거시'!$K1401,Z1418)</f>
        <v/>
      </c>
      <c r="AA1419">
        <f>IF(AND(ISNUMBER('자료_거시'!$J1401),ISNUMBER('자료_거시'!$K1401)),IFERROR('자료_거시'!$K1401/INDEX($Z$21:$Z$4020,MATCH(EDATE('자료_거시'!$J1401,-'설정'!$B$17),'자료_거시'!$J$3:INDEX('자료_거시'!$J$3:$J$4002,$K$8),1))-1,""),"")</f>
        <v/>
      </c>
      <c r="AB1419">
        <f>IF(ISNUMBER(AA1419),'자료_거시'!$J1401,"")</f>
        <v/>
      </c>
      <c r="AC1419">
        <f>IF(ISNUMBER(AB1419),IF(AB1419&gt;$L$8,AA1419,""),"")</f>
        <v/>
      </c>
    </row>
    <row r="1420">
      <c r="S1420">
        <f>IF(ISNUMBER('자료_거시'!$E1402),'자료_거시'!$E1402,S1419)</f>
        <v/>
      </c>
      <c r="T1420">
        <f>IF(AND(ISNUMBER('자료_거시'!$D1402),ISNUMBER('자료_거시'!$E1402)),IFERROR('자료_거시'!$E1402-INDEX($S$21:$S$4020,MATCH(EDATE('자료_거시'!$D1402,-'설정'!$B$17),'자료_거시'!$D$3:INDEX('자료_거시'!$D$3:$D$4002,$K$6),1)),""),"")</f>
        <v/>
      </c>
      <c r="U1420">
        <f>IF(ISNUMBER(T1420),'자료_거시'!$D1402,"")</f>
        <v/>
      </c>
      <c r="V1420">
        <f>IF(ISNUMBER(U1420),IF(U1420&gt;$L$6,T1420,""),"")</f>
        <v/>
      </c>
      <c r="W1420">
        <f>IF(AND(ISNUMBER('자료_거시'!$G1402),ISNUMBER('자료_거시'!$H1402)),'자료_거시'!$H1402,"")</f>
        <v/>
      </c>
      <c r="X1420">
        <f>IF(ISNUMBER(W1420),'자료_거시'!$G1402,"")</f>
        <v/>
      </c>
      <c r="Y1420">
        <f>IF(ISNUMBER(X1420),IF(X1420&gt;$L$7,W1420,""),"")</f>
        <v/>
      </c>
      <c r="Z1420">
        <f>IF(ISNUMBER('자료_거시'!$K1402),'자료_거시'!$K1402,Z1419)</f>
        <v/>
      </c>
      <c r="AA1420">
        <f>IF(AND(ISNUMBER('자료_거시'!$J1402),ISNUMBER('자료_거시'!$K1402)),IFERROR('자료_거시'!$K1402/INDEX($Z$21:$Z$4020,MATCH(EDATE('자료_거시'!$J1402,-'설정'!$B$17),'자료_거시'!$J$3:INDEX('자료_거시'!$J$3:$J$4002,$K$8),1))-1,""),"")</f>
        <v/>
      </c>
      <c r="AB1420">
        <f>IF(ISNUMBER(AA1420),'자료_거시'!$J1402,"")</f>
        <v/>
      </c>
      <c r="AC1420">
        <f>IF(ISNUMBER(AB1420),IF(AB1420&gt;$L$8,AA1420,""),"")</f>
        <v/>
      </c>
    </row>
    <row r="1421">
      <c r="S1421">
        <f>IF(ISNUMBER('자료_거시'!$E1403),'자료_거시'!$E1403,S1420)</f>
        <v/>
      </c>
      <c r="T1421">
        <f>IF(AND(ISNUMBER('자료_거시'!$D1403),ISNUMBER('자료_거시'!$E1403)),IFERROR('자료_거시'!$E1403-INDEX($S$21:$S$4020,MATCH(EDATE('자료_거시'!$D1403,-'설정'!$B$17),'자료_거시'!$D$3:INDEX('자료_거시'!$D$3:$D$4002,$K$6),1)),""),"")</f>
        <v/>
      </c>
      <c r="U1421">
        <f>IF(ISNUMBER(T1421),'자료_거시'!$D1403,"")</f>
        <v/>
      </c>
      <c r="V1421">
        <f>IF(ISNUMBER(U1421),IF(U1421&gt;$L$6,T1421,""),"")</f>
        <v/>
      </c>
      <c r="W1421">
        <f>IF(AND(ISNUMBER('자료_거시'!$G1403),ISNUMBER('자료_거시'!$H1403)),'자료_거시'!$H1403,"")</f>
        <v/>
      </c>
      <c r="X1421">
        <f>IF(ISNUMBER(W1421),'자료_거시'!$G1403,"")</f>
        <v/>
      </c>
      <c r="Y1421">
        <f>IF(ISNUMBER(X1421),IF(X1421&gt;$L$7,W1421,""),"")</f>
        <v/>
      </c>
      <c r="Z1421">
        <f>IF(ISNUMBER('자료_거시'!$K1403),'자료_거시'!$K1403,Z1420)</f>
        <v/>
      </c>
      <c r="AA1421">
        <f>IF(AND(ISNUMBER('자료_거시'!$J1403),ISNUMBER('자료_거시'!$K1403)),IFERROR('자료_거시'!$K1403/INDEX($Z$21:$Z$4020,MATCH(EDATE('자료_거시'!$J1403,-'설정'!$B$17),'자료_거시'!$J$3:INDEX('자료_거시'!$J$3:$J$4002,$K$8),1))-1,""),"")</f>
        <v/>
      </c>
      <c r="AB1421">
        <f>IF(ISNUMBER(AA1421),'자료_거시'!$J1403,"")</f>
        <v/>
      </c>
      <c r="AC1421">
        <f>IF(ISNUMBER(AB1421),IF(AB1421&gt;$L$8,AA1421,""),"")</f>
        <v/>
      </c>
    </row>
    <row r="1422">
      <c r="S1422">
        <f>IF(ISNUMBER('자료_거시'!$E1404),'자료_거시'!$E1404,S1421)</f>
        <v/>
      </c>
      <c r="T1422">
        <f>IF(AND(ISNUMBER('자료_거시'!$D1404),ISNUMBER('자료_거시'!$E1404)),IFERROR('자료_거시'!$E1404-INDEX($S$21:$S$4020,MATCH(EDATE('자료_거시'!$D1404,-'설정'!$B$17),'자료_거시'!$D$3:INDEX('자료_거시'!$D$3:$D$4002,$K$6),1)),""),"")</f>
        <v/>
      </c>
      <c r="U1422">
        <f>IF(ISNUMBER(T1422),'자료_거시'!$D1404,"")</f>
        <v/>
      </c>
      <c r="V1422">
        <f>IF(ISNUMBER(U1422),IF(U1422&gt;$L$6,T1422,""),"")</f>
        <v/>
      </c>
      <c r="W1422">
        <f>IF(AND(ISNUMBER('자료_거시'!$G1404),ISNUMBER('자료_거시'!$H1404)),'자료_거시'!$H1404,"")</f>
        <v/>
      </c>
      <c r="X1422">
        <f>IF(ISNUMBER(W1422),'자료_거시'!$G1404,"")</f>
        <v/>
      </c>
      <c r="Y1422">
        <f>IF(ISNUMBER(X1422),IF(X1422&gt;$L$7,W1422,""),"")</f>
        <v/>
      </c>
      <c r="Z1422">
        <f>IF(ISNUMBER('자료_거시'!$K1404),'자료_거시'!$K1404,Z1421)</f>
        <v/>
      </c>
      <c r="AA1422">
        <f>IF(AND(ISNUMBER('자료_거시'!$J1404),ISNUMBER('자료_거시'!$K1404)),IFERROR('자료_거시'!$K1404/INDEX($Z$21:$Z$4020,MATCH(EDATE('자료_거시'!$J1404,-'설정'!$B$17),'자료_거시'!$J$3:INDEX('자료_거시'!$J$3:$J$4002,$K$8),1))-1,""),"")</f>
        <v/>
      </c>
      <c r="AB1422">
        <f>IF(ISNUMBER(AA1422),'자료_거시'!$J1404,"")</f>
        <v/>
      </c>
      <c r="AC1422">
        <f>IF(ISNUMBER(AB1422),IF(AB1422&gt;$L$8,AA1422,""),"")</f>
        <v/>
      </c>
    </row>
    <row r="1423">
      <c r="S1423">
        <f>IF(ISNUMBER('자료_거시'!$E1405),'자료_거시'!$E1405,S1422)</f>
        <v/>
      </c>
      <c r="T1423">
        <f>IF(AND(ISNUMBER('자료_거시'!$D1405),ISNUMBER('자료_거시'!$E1405)),IFERROR('자료_거시'!$E1405-INDEX($S$21:$S$4020,MATCH(EDATE('자료_거시'!$D1405,-'설정'!$B$17),'자료_거시'!$D$3:INDEX('자료_거시'!$D$3:$D$4002,$K$6),1)),""),"")</f>
        <v/>
      </c>
      <c r="U1423">
        <f>IF(ISNUMBER(T1423),'자료_거시'!$D1405,"")</f>
        <v/>
      </c>
      <c r="V1423">
        <f>IF(ISNUMBER(U1423),IF(U1423&gt;$L$6,T1423,""),"")</f>
        <v/>
      </c>
      <c r="W1423">
        <f>IF(AND(ISNUMBER('자료_거시'!$G1405),ISNUMBER('자료_거시'!$H1405)),'자료_거시'!$H1405,"")</f>
        <v/>
      </c>
      <c r="X1423">
        <f>IF(ISNUMBER(W1423),'자료_거시'!$G1405,"")</f>
        <v/>
      </c>
      <c r="Y1423">
        <f>IF(ISNUMBER(X1423),IF(X1423&gt;$L$7,W1423,""),"")</f>
        <v/>
      </c>
      <c r="Z1423">
        <f>IF(ISNUMBER('자료_거시'!$K1405),'자료_거시'!$K1405,Z1422)</f>
        <v/>
      </c>
      <c r="AA1423">
        <f>IF(AND(ISNUMBER('자료_거시'!$J1405),ISNUMBER('자료_거시'!$K1405)),IFERROR('자료_거시'!$K1405/INDEX($Z$21:$Z$4020,MATCH(EDATE('자료_거시'!$J1405,-'설정'!$B$17),'자료_거시'!$J$3:INDEX('자료_거시'!$J$3:$J$4002,$K$8),1))-1,""),"")</f>
        <v/>
      </c>
      <c r="AB1423">
        <f>IF(ISNUMBER(AA1423),'자료_거시'!$J1405,"")</f>
        <v/>
      </c>
      <c r="AC1423">
        <f>IF(ISNUMBER(AB1423),IF(AB1423&gt;$L$8,AA1423,""),"")</f>
        <v/>
      </c>
    </row>
    <row r="1424">
      <c r="S1424">
        <f>IF(ISNUMBER('자료_거시'!$E1406),'자료_거시'!$E1406,S1423)</f>
        <v/>
      </c>
      <c r="T1424">
        <f>IF(AND(ISNUMBER('자료_거시'!$D1406),ISNUMBER('자료_거시'!$E1406)),IFERROR('자료_거시'!$E1406-INDEX($S$21:$S$4020,MATCH(EDATE('자료_거시'!$D1406,-'설정'!$B$17),'자료_거시'!$D$3:INDEX('자료_거시'!$D$3:$D$4002,$K$6),1)),""),"")</f>
        <v/>
      </c>
      <c r="U1424">
        <f>IF(ISNUMBER(T1424),'자료_거시'!$D1406,"")</f>
        <v/>
      </c>
      <c r="V1424">
        <f>IF(ISNUMBER(U1424),IF(U1424&gt;$L$6,T1424,""),"")</f>
        <v/>
      </c>
      <c r="W1424">
        <f>IF(AND(ISNUMBER('자료_거시'!$G1406),ISNUMBER('자료_거시'!$H1406)),'자료_거시'!$H1406,"")</f>
        <v/>
      </c>
      <c r="X1424">
        <f>IF(ISNUMBER(W1424),'자료_거시'!$G1406,"")</f>
        <v/>
      </c>
      <c r="Y1424">
        <f>IF(ISNUMBER(X1424),IF(X1424&gt;$L$7,W1424,""),"")</f>
        <v/>
      </c>
      <c r="Z1424">
        <f>IF(ISNUMBER('자료_거시'!$K1406),'자료_거시'!$K1406,Z1423)</f>
        <v/>
      </c>
      <c r="AA1424">
        <f>IF(AND(ISNUMBER('자료_거시'!$J1406),ISNUMBER('자료_거시'!$K1406)),IFERROR('자료_거시'!$K1406/INDEX($Z$21:$Z$4020,MATCH(EDATE('자료_거시'!$J1406,-'설정'!$B$17),'자료_거시'!$J$3:INDEX('자료_거시'!$J$3:$J$4002,$K$8),1))-1,""),"")</f>
        <v/>
      </c>
      <c r="AB1424">
        <f>IF(ISNUMBER(AA1424),'자료_거시'!$J1406,"")</f>
        <v/>
      </c>
      <c r="AC1424">
        <f>IF(ISNUMBER(AB1424),IF(AB1424&gt;$L$8,AA1424,""),"")</f>
        <v/>
      </c>
    </row>
    <row r="1425">
      <c r="S1425">
        <f>IF(ISNUMBER('자료_거시'!$E1407),'자료_거시'!$E1407,S1424)</f>
        <v/>
      </c>
      <c r="T1425">
        <f>IF(AND(ISNUMBER('자료_거시'!$D1407),ISNUMBER('자료_거시'!$E1407)),IFERROR('자료_거시'!$E1407-INDEX($S$21:$S$4020,MATCH(EDATE('자료_거시'!$D1407,-'설정'!$B$17),'자료_거시'!$D$3:INDEX('자료_거시'!$D$3:$D$4002,$K$6),1)),""),"")</f>
        <v/>
      </c>
      <c r="U1425">
        <f>IF(ISNUMBER(T1425),'자료_거시'!$D1407,"")</f>
        <v/>
      </c>
      <c r="V1425">
        <f>IF(ISNUMBER(U1425),IF(U1425&gt;$L$6,T1425,""),"")</f>
        <v/>
      </c>
      <c r="W1425">
        <f>IF(AND(ISNUMBER('자료_거시'!$G1407),ISNUMBER('자료_거시'!$H1407)),'자료_거시'!$H1407,"")</f>
        <v/>
      </c>
      <c r="X1425">
        <f>IF(ISNUMBER(W1425),'자료_거시'!$G1407,"")</f>
        <v/>
      </c>
      <c r="Y1425">
        <f>IF(ISNUMBER(X1425),IF(X1425&gt;$L$7,W1425,""),"")</f>
        <v/>
      </c>
      <c r="Z1425">
        <f>IF(ISNUMBER('자료_거시'!$K1407),'자료_거시'!$K1407,Z1424)</f>
        <v/>
      </c>
      <c r="AA1425">
        <f>IF(AND(ISNUMBER('자료_거시'!$J1407),ISNUMBER('자료_거시'!$K1407)),IFERROR('자료_거시'!$K1407/INDEX($Z$21:$Z$4020,MATCH(EDATE('자료_거시'!$J1407,-'설정'!$B$17),'자료_거시'!$J$3:INDEX('자료_거시'!$J$3:$J$4002,$K$8),1))-1,""),"")</f>
        <v/>
      </c>
      <c r="AB1425">
        <f>IF(ISNUMBER(AA1425),'자료_거시'!$J1407,"")</f>
        <v/>
      </c>
      <c r="AC1425">
        <f>IF(ISNUMBER(AB1425),IF(AB1425&gt;$L$8,AA1425,""),"")</f>
        <v/>
      </c>
    </row>
    <row r="1426">
      <c r="S1426">
        <f>IF(ISNUMBER('자료_거시'!$E1408),'자료_거시'!$E1408,S1425)</f>
        <v/>
      </c>
      <c r="T1426">
        <f>IF(AND(ISNUMBER('자료_거시'!$D1408),ISNUMBER('자료_거시'!$E1408)),IFERROR('자료_거시'!$E1408-INDEX($S$21:$S$4020,MATCH(EDATE('자료_거시'!$D1408,-'설정'!$B$17),'자료_거시'!$D$3:INDEX('자료_거시'!$D$3:$D$4002,$K$6),1)),""),"")</f>
        <v/>
      </c>
      <c r="U1426">
        <f>IF(ISNUMBER(T1426),'자료_거시'!$D1408,"")</f>
        <v/>
      </c>
      <c r="V1426">
        <f>IF(ISNUMBER(U1426),IF(U1426&gt;$L$6,T1426,""),"")</f>
        <v/>
      </c>
      <c r="W1426">
        <f>IF(AND(ISNUMBER('자료_거시'!$G1408),ISNUMBER('자료_거시'!$H1408)),'자료_거시'!$H1408,"")</f>
        <v/>
      </c>
      <c r="X1426">
        <f>IF(ISNUMBER(W1426),'자료_거시'!$G1408,"")</f>
        <v/>
      </c>
      <c r="Y1426">
        <f>IF(ISNUMBER(X1426),IF(X1426&gt;$L$7,W1426,""),"")</f>
        <v/>
      </c>
      <c r="Z1426">
        <f>IF(ISNUMBER('자료_거시'!$K1408),'자료_거시'!$K1408,Z1425)</f>
        <v/>
      </c>
      <c r="AA1426">
        <f>IF(AND(ISNUMBER('자료_거시'!$J1408),ISNUMBER('자료_거시'!$K1408)),IFERROR('자료_거시'!$K1408/INDEX($Z$21:$Z$4020,MATCH(EDATE('자료_거시'!$J1408,-'설정'!$B$17),'자료_거시'!$J$3:INDEX('자료_거시'!$J$3:$J$4002,$K$8),1))-1,""),"")</f>
        <v/>
      </c>
      <c r="AB1426">
        <f>IF(ISNUMBER(AA1426),'자료_거시'!$J1408,"")</f>
        <v/>
      </c>
      <c r="AC1426">
        <f>IF(ISNUMBER(AB1426),IF(AB1426&gt;$L$8,AA1426,""),"")</f>
        <v/>
      </c>
    </row>
    <row r="1427">
      <c r="S1427">
        <f>IF(ISNUMBER('자료_거시'!$E1409),'자료_거시'!$E1409,S1426)</f>
        <v/>
      </c>
      <c r="T1427">
        <f>IF(AND(ISNUMBER('자료_거시'!$D1409),ISNUMBER('자료_거시'!$E1409)),IFERROR('자료_거시'!$E1409-INDEX($S$21:$S$4020,MATCH(EDATE('자료_거시'!$D1409,-'설정'!$B$17),'자료_거시'!$D$3:INDEX('자료_거시'!$D$3:$D$4002,$K$6),1)),""),"")</f>
        <v/>
      </c>
      <c r="U1427">
        <f>IF(ISNUMBER(T1427),'자료_거시'!$D1409,"")</f>
        <v/>
      </c>
      <c r="V1427">
        <f>IF(ISNUMBER(U1427),IF(U1427&gt;$L$6,T1427,""),"")</f>
        <v/>
      </c>
      <c r="W1427">
        <f>IF(AND(ISNUMBER('자료_거시'!$G1409),ISNUMBER('자료_거시'!$H1409)),'자료_거시'!$H1409,"")</f>
        <v/>
      </c>
      <c r="X1427">
        <f>IF(ISNUMBER(W1427),'자료_거시'!$G1409,"")</f>
        <v/>
      </c>
      <c r="Y1427">
        <f>IF(ISNUMBER(X1427),IF(X1427&gt;$L$7,W1427,""),"")</f>
        <v/>
      </c>
      <c r="Z1427">
        <f>IF(ISNUMBER('자료_거시'!$K1409),'자료_거시'!$K1409,Z1426)</f>
        <v/>
      </c>
      <c r="AA1427">
        <f>IF(AND(ISNUMBER('자료_거시'!$J1409),ISNUMBER('자료_거시'!$K1409)),IFERROR('자료_거시'!$K1409/INDEX($Z$21:$Z$4020,MATCH(EDATE('자료_거시'!$J1409,-'설정'!$B$17),'자료_거시'!$J$3:INDEX('자료_거시'!$J$3:$J$4002,$K$8),1))-1,""),"")</f>
        <v/>
      </c>
      <c r="AB1427">
        <f>IF(ISNUMBER(AA1427),'자료_거시'!$J1409,"")</f>
        <v/>
      </c>
      <c r="AC1427">
        <f>IF(ISNUMBER(AB1427),IF(AB1427&gt;$L$8,AA1427,""),"")</f>
        <v/>
      </c>
    </row>
    <row r="1428">
      <c r="S1428">
        <f>IF(ISNUMBER('자료_거시'!$E1410),'자료_거시'!$E1410,S1427)</f>
        <v/>
      </c>
      <c r="T1428">
        <f>IF(AND(ISNUMBER('자료_거시'!$D1410),ISNUMBER('자료_거시'!$E1410)),IFERROR('자료_거시'!$E1410-INDEX($S$21:$S$4020,MATCH(EDATE('자료_거시'!$D1410,-'설정'!$B$17),'자료_거시'!$D$3:INDEX('자료_거시'!$D$3:$D$4002,$K$6),1)),""),"")</f>
        <v/>
      </c>
      <c r="U1428">
        <f>IF(ISNUMBER(T1428),'자료_거시'!$D1410,"")</f>
        <v/>
      </c>
      <c r="V1428">
        <f>IF(ISNUMBER(U1428),IF(U1428&gt;$L$6,T1428,""),"")</f>
        <v/>
      </c>
      <c r="W1428">
        <f>IF(AND(ISNUMBER('자료_거시'!$G1410),ISNUMBER('자료_거시'!$H1410)),'자료_거시'!$H1410,"")</f>
        <v/>
      </c>
      <c r="X1428">
        <f>IF(ISNUMBER(W1428),'자료_거시'!$G1410,"")</f>
        <v/>
      </c>
      <c r="Y1428">
        <f>IF(ISNUMBER(X1428),IF(X1428&gt;$L$7,W1428,""),"")</f>
        <v/>
      </c>
      <c r="Z1428">
        <f>IF(ISNUMBER('자료_거시'!$K1410),'자료_거시'!$K1410,Z1427)</f>
        <v/>
      </c>
      <c r="AA1428">
        <f>IF(AND(ISNUMBER('자료_거시'!$J1410),ISNUMBER('자료_거시'!$K1410)),IFERROR('자료_거시'!$K1410/INDEX($Z$21:$Z$4020,MATCH(EDATE('자료_거시'!$J1410,-'설정'!$B$17),'자료_거시'!$J$3:INDEX('자료_거시'!$J$3:$J$4002,$K$8),1))-1,""),"")</f>
        <v/>
      </c>
      <c r="AB1428">
        <f>IF(ISNUMBER(AA1428),'자료_거시'!$J1410,"")</f>
        <v/>
      </c>
      <c r="AC1428">
        <f>IF(ISNUMBER(AB1428),IF(AB1428&gt;$L$8,AA1428,""),"")</f>
        <v/>
      </c>
    </row>
    <row r="1429">
      <c r="S1429">
        <f>IF(ISNUMBER('자료_거시'!$E1411),'자료_거시'!$E1411,S1428)</f>
        <v/>
      </c>
      <c r="T1429">
        <f>IF(AND(ISNUMBER('자료_거시'!$D1411),ISNUMBER('자료_거시'!$E1411)),IFERROR('자료_거시'!$E1411-INDEX($S$21:$S$4020,MATCH(EDATE('자료_거시'!$D1411,-'설정'!$B$17),'자료_거시'!$D$3:INDEX('자료_거시'!$D$3:$D$4002,$K$6),1)),""),"")</f>
        <v/>
      </c>
      <c r="U1429">
        <f>IF(ISNUMBER(T1429),'자료_거시'!$D1411,"")</f>
        <v/>
      </c>
      <c r="V1429">
        <f>IF(ISNUMBER(U1429),IF(U1429&gt;$L$6,T1429,""),"")</f>
        <v/>
      </c>
      <c r="W1429">
        <f>IF(AND(ISNUMBER('자료_거시'!$G1411),ISNUMBER('자료_거시'!$H1411)),'자료_거시'!$H1411,"")</f>
        <v/>
      </c>
      <c r="X1429">
        <f>IF(ISNUMBER(W1429),'자료_거시'!$G1411,"")</f>
        <v/>
      </c>
      <c r="Y1429">
        <f>IF(ISNUMBER(X1429),IF(X1429&gt;$L$7,W1429,""),"")</f>
        <v/>
      </c>
      <c r="Z1429">
        <f>IF(ISNUMBER('자료_거시'!$K1411),'자료_거시'!$K1411,Z1428)</f>
        <v/>
      </c>
      <c r="AA1429">
        <f>IF(AND(ISNUMBER('자료_거시'!$J1411),ISNUMBER('자료_거시'!$K1411)),IFERROR('자료_거시'!$K1411/INDEX($Z$21:$Z$4020,MATCH(EDATE('자료_거시'!$J1411,-'설정'!$B$17),'자료_거시'!$J$3:INDEX('자료_거시'!$J$3:$J$4002,$K$8),1))-1,""),"")</f>
        <v/>
      </c>
      <c r="AB1429">
        <f>IF(ISNUMBER(AA1429),'자료_거시'!$J1411,"")</f>
        <v/>
      </c>
      <c r="AC1429">
        <f>IF(ISNUMBER(AB1429),IF(AB1429&gt;$L$8,AA1429,""),"")</f>
        <v/>
      </c>
    </row>
    <row r="1430">
      <c r="S1430">
        <f>IF(ISNUMBER('자료_거시'!$E1412),'자료_거시'!$E1412,S1429)</f>
        <v/>
      </c>
      <c r="T1430">
        <f>IF(AND(ISNUMBER('자료_거시'!$D1412),ISNUMBER('자료_거시'!$E1412)),IFERROR('자료_거시'!$E1412-INDEX($S$21:$S$4020,MATCH(EDATE('자료_거시'!$D1412,-'설정'!$B$17),'자료_거시'!$D$3:INDEX('자료_거시'!$D$3:$D$4002,$K$6),1)),""),"")</f>
        <v/>
      </c>
      <c r="U1430">
        <f>IF(ISNUMBER(T1430),'자료_거시'!$D1412,"")</f>
        <v/>
      </c>
      <c r="V1430">
        <f>IF(ISNUMBER(U1430),IF(U1430&gt;$L$6,T1430,""),"")</f>
        <v/>
      </c>
      <c r="W1430">
        <f>IF(AND(ISNUMBER('자료_거시'!$G1412),ISNUMBER('자료_거시'!$H1412)),'자료_거시'!$H1412,"")</f>
        <v/>
      </c>
      <c r="X1430">
        <f>IF(ISNUMBER(W1430),'자료_거시'!$G1412,"")</f>
        <v/>
      </c>
      <c r="Y1430">
        <f>IF(ISNUMBER(X1430),IF(X1430&gt;$L$7,W1430,""),"")</f>
        <v/>
      </c>
      <c r="Z1430">
        <f>IF(ISNUMBER('자료_거시'!$K1412),'자료_거시'!$K1412,Z1429)</f>
        <v/>
      </c>
      <c r="AA1430">
        <f>IF(AND(ISNUMBER('자료_거시'!$J1412),ISNUMBER('자료_거시'!$K1412)),IFERROR('자료_거시'!$K1412/INDEX($Z$21:$Z$4020,MATCH(EDATE('자료_거시'!$J1412,-'설정'!$B$17),'자료_거시'!$J$3:INDEX('자료_거시'!$J$3:$J$4002,$K$8),1))-1,""),"")</f>
        <v/>
      </c>
      <c r="AB1430">
        <f>IF(ISNUMBER(AA1430),'자료_거시'!$J1412,"")</f>
        <v/>
      </c>
      <c r="AC1430">
        <f>IF(ISNUMBER(AB1430),IF(AB1430&gt;$L$8,AA1430,""),"")</f>
        <v/>
      </c>
    </row>
    <row r="1431">
      <c r="S1431">
        <f>IF(ISNUMBER('자료_거시'!$E1413),'자료_거시'!$E1413,S1430)</f>
        <v/>
      </c>
      <c r="T1431">
        <f>IF(AND(ISNUMBER('자료_거시'!$D1413),ISNUMBER('자료_거시'!$E1413)),IFERROR('자료_거시'!$E1413-INDEX($S$21:$S$4020,MATCH(EDATE('자료_거시'!$D1413,-'설정'!$B$17),'자료_거시'!$D$3:INDEX('자료_거시'!$D$3:$D$4002,$K$6),1)),""),"")</f>
        <v/>
      </c>
      <c r="U1431">
        <f>IF(ISNUMBER(T1431),'자료_거시'!$D1413,"")</f>
        <v/>
      </c>
      <c r="V1431">
        <f>IF(ISNUMBER(U1431),IF(U1431&gt;$L$6,T1431,""),"")</f>
        <v/>
      </c>
      <c r="W1431">
        <f>IF(AND(ISNUMBER('자료_거시'!$G1413),ISNUMBER('자료_거시'!$H1413)),'자료_거시'!$H1413,"")</f>
        <v/>
      </c>
      <c r="X1431">
        <f>IF(ISNUMBER(W1431),'자료_거시'!$G1413,"")</f>
        <v/>
      </c>
      <c r="Y1431">
        <f>IF(ISNUMBER(X1431),IF(X1431&gt;$L$7,W1431,""),"")</f>
        <v/>
      </c>
      <c r="Z1431">
        <f>IF(ISNUMBER('자료_거시'!$K1413),'자료_거시'!$K1413,Z1430)</f>
        <v/>
      </c>
      <c r="AA1431">
        <f>IF(AND(ISNUMBER('자료_거시'!$J1413),ISNUMBER('자료_거시'!$K1413)),IFERROR('자료_거시'!$K1413/INDEX($Z$21:$Z$4020,MATCH(EDATE('자료_거시'!$J1413,-'설정'!$B$17),'자료_거시'!$J$3:INDEX('자료_거시'!$J$3:$J$4002,$K$8),1))-1,""),"")</f>
        <v/>
      </c>
      <c r="AB1431">
        <f>IF(ISNUMBER(AA1431),'자료_거시'!$J1413,"")</f>
        <v/>
      </c>
      <c r="AC1431">
        <f>IF(ISNUMBER(AB1431),IF(AB1431&gt;$L$8,AA1431,""),"")</f>
        <v/>
      </c>
    </row>
    <row r="1432">
      <c r="S1432">
        <f>IF(ISNUMBER('자료_거시'!$E1414),'자료_거시'!$E1414,S1431)</f>
        <v/>
      </c>
      <c r="T1432">
        <f>IF(AND(ISNUMBER('자료_거시'!$D1414),ISNUMBER('자료_거시'!$E1414)),IFERROR('자료_거시'!$E1414-INDEX($S$21:$S$4020,MATCH(EDATE('자료_거시'!$D1414,-'설정'!$B$17),'자료_거시'!$D$3:INDEX('자료_거시'!$D$3:$D$4002,$K$6),1)),""),"")</f>
        <v/>
      </c>
      <c r="U1432">
        <f>IF(ISNUMBER(T1432),'자료_거시'!$D1414,"")</f>
        <v/>
      </c>
      <c r="V1432">
        <f>IF(ISNUMBER(U1432),IF(U1432&gt;$L$6,T1432,""),"")</f>
        <v/>
      </c>
      <c r="W1432">
        <f>IF(AND(ISNUMBER('자료_거시'!$G1414),ISNUMBER('자료_거시'!$H1414)),'자료_거시'!$H1414,"")</f>
        <v/>
      </c>
      <c r="X1432">
        <f>IF(ISNUMBER(W1432),'자료_거시'!$G1414,"")</f>
        <v/>
      </c>
      <c r="Y1432">
        <f>IF(ISNUMBER(X1432),IF(X1432&gt;$L$7,W1432,""),"")</f>
        <v/>
      </c>
      <c r="Z1432">
        <f>IF(ISNUMBER('자료_거시'!$K1414),'자료_거시'!$K1414,Z1431)</f>
        <v/>
      </c>
      <c r="AA1432">
        <f>IF(AND(ISNUMBER('자료_거시'!$J1414),ISNUMBER('자료_거시'!$K1414)),IFERROR('자료_거시'!$K1414/INDEX($Z$21:$Z$4020,MATCH(EDATE('자료_거시'!$J1414,-'설정'!$B$17),'자료_거시'!$J$3:INDEX('자료_거시'!$J$3:$J$4002,$K$8),1))-1,""),"")</f>
        <v/>
      </c>
      <c r="AB1432">
        <f>IF(ISNUMBER(AA1432),'자료_거시'!$J1414,"")</f>
        <v/>
      </c>
      <c r="AC1432">
        <f>IF(ISNUMBER(AB1432),IF(AB1432&gt;$L$8,AA1432,""),"")</f>
        <v/>
      </c>
    </row>
    <row r="1433">
      <c r="S1433">
        <f>IF(ISNUMBER('자료_거시'!$E1415),'자료_거시'!$E1415,S1432)</f>
        <v/>
      </c>
      <c r="T1433">
        <f>IF(AND(ISNUMBER('자료_거시'!$D1415),ISNUMBER('자료_거시'!$E1415)),IFERROR('자료_거시'!$E1415-INDEX($S$21:$S$4020,MATCH(EDATE('자료_거시'!$D1415,-'설정'!$B$17),'자료_거시'!$D$3:INDEX('자료_거시'!$D$3:$D$4002,$K$6),1)),""),"")</f>
        <v/>
      </c>
      <c r="U1433">
        <f>IF(ISNUMBER(T1433),'자료_거시'!$D1415,"")</f>
        <v/>
      </c>
      <c r="V1433">
        <f>IF(ISNUMBER(U1433),IF(U1433&gt;$L$6,T1433,""),"")</f>
        <v/>
      </c>
      <c r="W1433">
        <f>IF(AND(ISNUMBER('자료_거시'!$G1415),ISNUMBER('자료_거시'!$H1415)),'자료_거시'!$H1415,"")</f>
        <v/>
      </c>
      <c r="X1433">
        <f>IF(ISNUMBER(W1433),'자료_거시'!$G1415,"")</f>
        <v/>
      </c>
      <c r="Y1433">
        <f>IF(ISNUMBER(X1433),IF(X1433&gt;$L$7,W1433,""),"")</f>
        <v/>
      </c>
      <c r="Z1433">
        <f>IF(ISNUMBER('자료_거시'!$K1415),'자료_거시'!$K1415,Z1432)</f>
        <v/>
      </c>
      <c r="AA1433">
        <f>IF(AND(ISNUMBER('자료_거시'!$J1415),ISNUMBER('자료_거시'!$K1415)),IFERROR('자료_거시'!$K1415/INDEX($Z$21:$Z$4020,MATCH(EDATE('자료_거시'!$J1415,-'설정'!$B$17),'자료_거시'!$J$3:INDEX('자료_거시'!$J$3:$J$4002,$K$8),1))-1,""),"")</f>
        <v/>
      </c>
      <c r="AB1433">
        <f>IF(ISNUMBER(AA1433),'자료_거시'!$J1415,"")</f>
        <v/>
      </c>
      <c r="AC1433">
        <f>IF(ISNUMBER(AB1433),IF(AB1433&gt;$L$8,AA1433,""),"")</f>
        <v/>
      </c>
    </row>
    <row r="1434">
      <c r="S1434">
        <f>IF(ISNUMBER('자료_거시'!$E1416),'자료_거시'!$E1416,S1433)</f>
        <v/>
      </c>
      <c r="T1434">
        <f>IF(AND(ISNUMBER('자료_거시'!$D1416),ISNUMBER('자료_거시'!$E1416)),IFERROR('자료_거시'!$E1416-INDEX($S$21:$S$4020,MATCH(EDATE('자료_거시'!$D1416,-'설정'!$B$17),'자료_거시'!$D$3:INDEX('자료_거시'!$D$3:$D$4002,$K$6),1)),""),"")</f>
        <v/>
      </c>
      <c r="U1434">
        <f>IF(ISNUMBER(T1434),'자료_거시'!$D1416,"")</f>
        <v/>
      </c>
      <c r="V1434">
        <f>IF(ISNUMBER(U1434),IF(U1434&gt;$L$6,T1434,""),"")</f>
        <v/>
      </c>
      <c r="W1434">
        <f>IF(AND(ISNUMBER('자료_거시'!$G1416),ISNUMBER('자료_거시'!$H1416)),'자료_거시'!$H1416,"")</f>
        <v/>
      </c>
      <c r="X1434">
        <f>IF(ISNUMBER(W1434),'자료_거시'!$G1416,"")</f>
        <v/>
      </c>
      <c r="Y1434">
        <f>IF(ISNUMBER(X1434),IF(X1434&gt;$L$7,W1434,""),"")</f>
        <v/>
      </c>
      <c r="Z1434">
        <f>IF(ISNUMBER('자료_거시'!$K1416),'자료_거시'!$K1416,Z1433)</f>
        <v/>
      </c>
      <c r="AA1434">
        <f>IF(AND(ISNUMBER('자료_거시'!$J1416),ISNUMBER('자료_거시'!$K1416)),IFERROR('자료_거시'!$K1416/INDEX($Z$21:$Z$4020,MATCH(EDATE('자료_거시'!$J1416,-'설정'!$B$17),'자료_거시'!$J$3:INDEX('자료_거시'!$J$3:$J$4002,$K$8),1))-1,""),"")</f>
        <v/>
      </c>
      <c r="AB1434">
        <f>IF(ISNUMBER(AA1434),'자료_거시'!$J1416,"")</f>
        <v/>
      </c>
      <c r="AC1434">
        <f>IF(ISNUMBER(AB1434),IF(AB1434&gt;$L$8,AA1434,""),"")</f>
        <v/>
      </c>
    </row>
    <row r="1435">
      <c r="S1435">
        <f>IF(ISNUMBER('자료_거시'!$E1417),'자료_거시'!$E1417,S1434)</f>
        <v/>
      </c>
      <c r="T1435">
        <f>IF(AND(ISNUMBER('자료_거시'!$D1417),ISNUMBER('자료_거시'!$E1417)),IFERROR('자료_거시'!$E1417-INDEX($S$21:$S$4020,MATCH(EDATE('자료_거시'!$D1417,-'설정'!$B$17),'자료_거시'!$D$3:INDEX('자료_거시'!$D$3:$D$4002,$K$6),1)),""),"")</f>
        <v/>
      </c>
      <c r="U1435">
        <f>IF(ISNUMBER(T1435),'자료_거시'!$D1417,"")</f>
        <v/>
      </c>
      <c r="V1435">
        <f>IF(ISNUMBER(U1435),IF(U1435&gt;$L$6,T1435,""),"")</f>
        <v/>
      </c>
      <c r="W1435">
        <f>IF(AND(ISNUMBER('자료_거시'!$G1417),ISNUMBER('자료_거시'!$H1417)),'자료_거시'!$H1417,"")</f>
        <v/>
      </c>
      <c r="X1435">
        <f>IF(ISNUMBER(W1435),'자료_거시'!$G1417,"")</f>
        <v/>
      </c>
      <c r="Y1435">
        <f>IF(ISNUMBER(X1435),IF(X1435&gt;$L$7,W1435,""),"")</f>
        <v/>
      </c>
      <c r="Z1435">
        <f>IF(ISNUMBER('자료_거시'!$K1417),'자료_거시'!$K1417,Z1434)</f>
        <v/>
      </c>
      <c r="AA1435">
        <f>IF(AND(ISNUMBER('자료_거시'!$J1417),ISNUMBER('자료_거시'!$K1417)),IFERROR('자료_거시'!$K1417/INDEX($Z$21:$Z$4020,MATCH(EDATE('자료_거시'!$J1417,-'설정'!$B$17),'자료_거시'!$J$3:INDEX('자료_거시'!$J$3:$J$4002,$K$8),1))-1,""),"")</f>
        <v/>
      </c>
      <c r="AB1435">
        <f>IF(ISNUMBER(AA1435),'자료_거시'!$J1417,"")</f>
        <v/>
      </c>
      <c r="AC1435">
        <f>IF(ISNUMBER(AB1435),IF(AB1435&gt;$L$8,AA1435,""),"")</f>
        <v/>
      </c>
    </row>
    <row r="1436">
      <c r="S1436">
        <f>IF(ISNUMBER('자료_거시'!$E1418),'자료_거시'!$E1418,S1435)</f>
        <v/>
      </c>
      <c r="T1436">
        <f>IF(AND(ISNUMBER('자료_거시'!$D1418),ISNUMBER('자료_거시'!$E1418)),IFERROR('자료_거시'!$E1418-INDEX($S$21:$S$4020,MATCH(EDATE('자료_거시'!$D1418,-'설정'!$B$17),'자료_거시'!$D$3:INDEX('자료_거시'!$D$3:$D$4002,$K$6),1)),""),"")</f>
        <v/>
      </c>
      <c r="U1436">
        <f>IF(ISNUMBER(T1436),'자료_거시'!$D1418,"")</f>
        <v/>
      </c>
      <c r="V1436">
        <f>IF(ISNUMBER(U1436),IF(U1436&gt;$L$6,T1436,""),"")</f>
        <v/>
      </c>
      <c r="W1436">
        <f>IF(AND(ISNUMBER('자료_거시'!$G1418),ISNUMBER('자료_거시'!$H1418)),'자료_거시'!$H1418,"")</f>
        <v/>
      </c>
      <c r="X1436">
        <f>IF(ISNUMBER(W1436),'자료_거시'!$G1418,"")</f>
        <v/>
      </c>
      <c r="Y1436">
        <f>IF(ISNUMBER(X1436),IF(X1436&gt;$L$7,W1436,""),"")</f>
        <v/>
      </c>
      <c r="Z1436">
        <f>IF(ISNUMBER('자료_거시'!$K1418),'자료_거시'!$K1418,Z1435)</f>
        <v/>
      </c>
      <c r="AA1436">
        <f>IF(AND(ISNUMBER('자료_거시'!$J1418),ISNUMBER('자료_거시'!$K1418)),IFERROR('자료_거시'!$K1418/INDEX($Z$21:$Z$4020,MATCH(EDATE('자료_거시'!$J1418,-'설정'!$B$17),'자료_거시'!$J$3:INDEX('자료_거시'!$J$3:$J$4002,$K$8),1))-1,""),"")</f>
        <v/>
      </c>
      <c r="AB1436">
        <f>IF(ISNUMBER(AA1436),'자료_거시'!$J1418,"")</f>
        <v/>
      </c>
      <c r="AC1436">
        <f>IF(ISNUMBER(AB1436),IF(AB1436&gt;$L$8,AA1436,""),"")</f>
        <v/>
      </c>
    </row>
    <row r="1437">
      <c r="S1437">
        <f>IF(ISNUMBER('자료_거시'!$E1419),'자료_거시'!$E1419,S1436)</f>
        <v/>
      </c>
      <c r="T1437">
        <f>IF(AND(ISNUMBER('자료_거시'!$D1419),ISNUMBER('자료_거시'!$E1419)),IFERROR('자료_거시'!$E1419-INDEX($S$21:$S$4020,MATCH(EDATE('자료_거시'!$D1419,-'설정'!$B$17),'자료_거시'!$D$3:INDEX('자료_거시'!$D$3:$D$4002,$K$6),1)),""),"")</f>
        <v/>
      </c>
      <c r="U1437">
        <f>IF(ISNUMBER(T1437),'자료_거시'!$D1419,"")</f>
        <v/>
      </c>
      <c r="V1437">
        <f>IF(ISNUMBER(U1437),IF(U1437&gt;$L$6,T1437,""),"")</f>
        <v/>
      </c>
      <c r="W1437">
        <f>IF(AND(ISNUMBER('자료_거시'!$G1419),ISNUMBER('자료_거시'!$H1419)),'자료_거시'!$H1419,"")</f>
        <v/>
      </c>
      <c r="X1437">
        <f>IF(ISNUMBER(W1437),'자료_거시'!$G1419,"")</f>
        <v/>
      </c>
      <c r="Y1437">
        <f>IF(ISNUMBER(X1437),IF(X1437&gt;$L$7,W1437,""),"")</f>
        <v/>
      </c>
      <c r="Z1437">
        <f>IF(ISNUMBER('자료_거시'!$K1419),'자료_거시'!$K1419,Z1436)</f>
        <v/>
      </c>
      <c r="AA1437">
        <f>IF(AND(ISNUMBER('자료_거시'!$J1419),ISNUMBER('자료_거시'!$K1419)),IFERROR('자료_거시'!$K1419/INDEX($Z$21:$Z$4020,MATCH(EDATE('자료_거시'!$J1419,-'설정'!$B$17),'자료_거시'!$J$3:INDEX('자료_거시'!$J$3:$J$4002,$K$8),1))-1,""),"")</f>
        <v/>
      </c>
      <c r="AB1437">
        <f>IF(ISNUMBER(AA1437),'자료_거시'!$J1419,"")</f>
        <v/>
      </c>
      <c r="AC1437">
        <f>IF(ISNUMBER(AB1437),IF(AB1437&gt;$L$8,AA1437,""),"")</f>
        <v/>
      </c>
    </row>
    <row r="1438">
      <c r="S1438">
        <f>IF(ISNUMBER('자료_거시'!$E1420),'자료_거시'!$E1420,S1437)</f>
        <v/>
      </c>
      <c r="T1438">
        <f>IF(AND(ISNUMBER('자료_거시'!$D1420),ISNUMBER('자료_거시'!$E1420)),IFERROR('자료_거시'!$E1420-INDEX($S$21:$S$4020,MATCH(EDATE('자료_거시'!$D1420,-'설정'!$B$17),'자료_거시'!$D$3:INDEX('자료_거시'!$D$3:$D$4002,$K$6),1)),""),"")</f>
        <v/>
      </c>
      <c r="U1438">
        <f>IF(ISNUMBER(T1438),'자료_거시'!$D1420,"")</f>
        <v/>
      </c>
      <c r="V1438">
        <f>IF(ISNUMBER(U1438),IF(U1438&gt;$L$6,T1438,""),"")</f>
        <v/>
      </c>
      <c r="W1438">
        <f>IF(AND(ISNUMBER('자료_거시'!$G1420),ISNUMBER('자료_거시'!$H1420)),'자료_거시'!$H1420,"")</f>
        <v/>
      </c>
      <c r="X1438">
        <f>IF(ISNUMBER(W1438),'자료_거시'!$G1420,"")</f>
        <v/>
      </c>
      <c r="Y1438">
        <f>IF(ISNUMBER(X1438),IF(X1438&gt;$L$7,W1438,""),"")</f>
        <v/>
      </c>
      <c r="Z1438">
        <f>IF(ISNUMBER('자료_거시'!$K1420),'자료_거시'!$K1420,Z1437)</f>
        <v/>
      </c>
      <c r="AA1438">
        <f>IF(AND(ISNUMBER('자료_거시'!$J1420),ISNUMBER('자료_거시'!$K1420)),IFERROR('자료_거시'!$K1420/INDEX($Z$21:$Z$4020,MATCH(EDATE('자료_거시'!$J1420,-'설정'!$B$17),'자료_거시'!$J$3:INDEX('자료_거시'!$J$3:$J$4002,$K$8),1))-1,""),"")</f>
        <v/>
      </c>
      <c r="AB1438">
        <f>IF(ISNUMBER(AA1438),'자료_거시'!$J1420,"")</f>
        <v/>
      </c>
      <c r="AC1438">
        <f>IF(ISNUMBER(AB1438),IF(AB1438&gt;$L$8,AA1438,""),"")</f>
        <v/>
      </c>
    </row>
    <row r="1439">
      <c r="S1439">
        <f>IF(ISNUMBER('자료_거시'!$E1421),'자료_거시'!$E1421,S1438)</f>
        <v/>
      </c>
      <c r="T1439">
        <f>IF(AND(ISNUMBER('자료_거시'!$D1421),ISNUMBER('자료_거시'!$E1421)),IFERROR('자료_거시'!$E1421-INDEX($S$21:$S$4020,MATCH(EDATE('자료_거시'!$D1421,-'설정'!$B$17),'자료_거시'!$D$3:INDEX('자료_거시'!$D$3:$D$4002,$K$6),1)),""),"")</f>
        <v/>
      </c>
      <c r="U1439">
        <f>IF(ISNUMBER(T1439),'자료_거시'!$D1421,"")</f>
        <v/>
      </c>
      <c r="V1439">
        <f>IF(ISNUMBER(U1439),IF(U1439&gt;$L$6,T1439,""),"")</f>
        <v/>
      </c>
      <c r="W1439">
        <f>IF(AND(ISNUMBER('자료_거시'!$G1421),ISNUMBER('자료_거시'!$H1421)),'자료_거시'!$H1421,"")</f>
        <v/>
      </c>
      <c r="X1439">
        <f>IF(ISNUMBER(W1439),'자료_거시'!$G1421,"")</f>
        <v/>
      </c>
      <c r="Y1439">
        <f>IF(ISNUMBER(X1439),IF(X1439&gt;$L$7,W1439,""),"")</f>
        <v/>
      </c>
      <c r="Z1439">
        <f>IF(ISNUMBER('자료_거시'!$K1421),'자료_거시'!$K1421,Z1438)</f>
        <v/>
      </c>
      <c r="AA1439">
        <f>IF(AND(ISNUMBER('자료_거시'!$J1421),ISNUMBER('자료_거시'!$K1421)),IFERROR('자료_거시'!$K1421/INDEX($Z$21:$Z$4020,MATCH(EDATE('자료_거시'!$J1421,-'설정'!$B$17),'자료_거시'!$J$3:INDEX('자료_거시'!$J$3:$J$4002,$K$8),1))-1,""),"")</f>
        <v/>
      </c>
      <c r="AB1439">
        <f>IF(ISNUMBER(AA1439),'자료_거시'!$J1421,"")</f>
        <v/>
      </c>
      <c r="AC1439">
        <f>IF(ISNUMBER(AB1439),IF(AB1439&gt;$L$8,AA1439,""),"")</f>
        <v/>
      </c>
    </row>
    <row r="1440">
      <c r="S1440">
        <f>IF(ISNUMBER('자료_거시'!$E1422),'자료_거시'!$E1422,S1439)</f>
        <v/>
      </c>
      <c r="T1440">
        <f>IF(AND(ISNUMBER('자료_거시'!$D1422),ISNUMBER('자료_거시'!$E1422)),IFERROR('자료_거시'!$E1422-INDEX($S$21:$S$4020,MATCH(EDATE('자료_거시'!$D1422,-'설정'!$B$17),'자료_거시'!$D$3:INDEX('자료_거시'!$D$3:$D$4002,$K$6),1)),""),"")</f>
        <v/>
      </c>
      <c r="U1440">
        <f>IF(ISNUMBER(T1440),'자료_거시'!$D1422,"")</f>
        <v/>
      </c>
      <c r="V1440">
        <f>IF(ISNUMBER(U1440),IF(U1440&gt;$L$6,T1440,""),"")</f>
        <v/>
      </c>
      <c r="W1440">
        <f>IF(AND(ISNUMBER('자료_거시'!$G1422),ISNUMBER('자료_거시'!$H1422)),'자료_거시'!$H1422,"")</f>
        <v/>
      </c>
      <c r="X1440">
        <f>IF(ISNUMBER(W1440),'자료_거시'!$G1422,"")</f>
        <v/>
      </c>
      <c r="Y1440">
        <f>IF(ISNUMBER(X1440),IF(X1440&gt;$L$7,W1440,""),"")</f>
        <v/>
      </c>
      <c r="Z1440">
        <f>IF(ISNUMBER('자료_거시'!$K1422),'자료_거시'!$K1422,Z1439)</f>
        <v/>
      </c>
      <c r="AA1440">
        <f>IF(AND(ISNUMBER('자료_거시'!$J1422),ISNUMBER('자료_거시'!$K1422)),IFERROR('자료_거시'!$K1422/INDEX($Z$21:$Z$4020,MATCH(EDATE('자료_거시'!$J1422,-'설정'!$B$17),'자료_거시'!$J$3:INDEX('자료_거시'!$J$3:$J$4002,$K$8),1))-1,""),"")</f>
        <v/>
      </c>
      <c r="AB1440">
        <f>IF(ISNUMBER(AA1440),'자료_거시'!$J1422,"")</f>
        <v/>
      </c>
      <c r="AC1440">
        <f>IF(ISNUMBER(AB1440),IF(AB1440&gt;$L$8,AA1440,""),"")</f>
        <v/>
      </c>
    </row>
    <row r="1441">
      <c r="S1441">
        <f>IF(ISNUMBER('자료_거시'!$E1423),'자료_거시'!$E1423,S1440)</f>
        <v/>
      </c>
      <c r="T1441">
        <f>IF(AND(ISNUMBER('자료_거시'!$D1423),ISNUMBER('자료_거시'!$E1423)),IFERROR('자료_거시'!$E1423-INDEX($S$21:$S$4020,MATCH(EDATE('자료_거시'!$D1423,-'설정'!$B$17),'자료_거시'!$D$3:INDEX('자료_거시'!$D$3:$D$4002,$K$6),1)),""),"")</f>
        <v/>
      </c>
      <c r="U1441">
        <f>IF(ISNUMBER(T1441),'자료_거시'!$D1423,"")</f>
        <v/>
      </c>
      <c r="V1441">
        <f>IF(ISNUMBER(U1441),IF(U1441&gt;$L$6,T1441,""),"")</f>
        <v/>
      </c>
      <c r="W1441">
        <f>IF(AND(ISNUMBER('자료_거시'!$G1423),ISNUMBER('자료_거시'!$H1423)),'자료_거시'!$H1423,"")</f>
        <v/>
      </c>
      <c r="X1441">
        <f>IF(ISNUMBER(W1441),'자료_거시'!$G1423,"")</f>
        <v/>
      </c>
      <c r="Y1441">
        <f>IF(ISNUMBER(X1441),IF(X1441&gt;$L$7,W1441,""),"")</f>
        <v/>
      </c>
      <c r="Z1441">
        <f>IF(ISNUMBER('자료_거시'!$K1423),'자료_거시'!$K1423,Z1440)</f>
        <v/>
      </c>
      <c r="AA1441">
        <f>IF(AND(ISNUMBER('자료_거시'!$J1423),ISNUMBER('자료_거시'!$K1423)),IFERROR('자료_거시'!$K1423/INDEX($Z$21:$Z$4020,MATCH(EDATE('자료_거시'!$J1423,-'설정'!$B$17),'자료_거시'!$J$3:INDEX('자료_거시'!$J$3:$J$4002,$K$8),1))-1,""),"")</f>
        <v/>
      </c>
      <c r="AB1441">
        <f>IF(ISNUMBER(AA1441),'자료_거시'!$J1423,"")</f>
        <v/>
      </c>
      <c r="AC1441">
        <f>IF(ISNUMBER(AB1441),IF(AB1441&gt;$L$8,AA1441,""),"")</f>
        <v/>
      </c>
    </row>
    <row r="1442">
      <c r="S1442">
        <f>IF(ISNUMBER('자료_거시'!$E1424),'자료_거시'!$E1424,S1441)</f>
        <v/>
      </c>
      <c r="T1442">
        <f>IF(AND(ISNUMBER('자료_거시'!$D1424),ISNUMBER('자료_거시'!$E1424)),IFERROR('자료_거시'!$E1424-INDEX($S$21:$S$4020,MATCH(EDATE('자료_거시'!$D1424,-'설정'!$B$17),'자료_거시'!$D$3:INDEX('자료_거시'!$D$3:$D$4002,$K$6),1)),""),"")</f>
        <v/>
      </c>
      <c r="U1442">
        <f>IF(ISNUMBER(T1442),'자료_거시'!$D1424,"")</f>
        <v/>
      </c>
      <c r="V1442">
        <f>IF(ISNUMBER(U1442),IF(U1442&gt;$L$6,T1442,""),"")</f>
        <v/>
      </c>
      <c r="W1442">
        <f>IF(AND(ISNUMBER('자료_거시'!$G1424),ISNUMBER('자료_거시'!$H1424)),'자료_거시'!$H1424,"")</f>
        <v/>
      </c>
      <c r="X1442">
        <f>IF(ISNUMBER(W1442),'자료_거시'!$G1424,"")</f>
        <v/>
      </c>
      <c r="Y1442">
        <f>IF(ISNUMBER(X1442),IF(X1442&gt;$L$7,W1442,""),"")</f>
        <v/>
      </c>
      <c r="Z1442">
        <f>IF(ISNUMBER('자료_거시'!$K1424),'자료_거시'!$K1424,Z1441)</f>
        <v/>
      </c>
      <c r="AA1442">
        <f>IF(AND(ISNUMBER('자료_거시'!$J1424),ISNUMBER('자료_거시'!$K1424)),IFERROR('자료_거시'!$K1424/INDEX($Z$21:$Z$4020,MATCH(EDATE('자료_거시'!$J1424,-'설정'!$B$17),'자료_거시'!$J$3:INDEX('자료_거시'!$J$3:$J$4002,$K$8),1))-1,""),"")</f>
        <v/>
      </c>
      <c r="AB1442">
        <f>IF(ISNUMBER(AA1442),'자료_거시'!$J1424,"")</f>
        <v/>
      </c>
      <c r="AC1442">
        <f>IF(ISNUMBER(AB1442),IF(AB1442&gt;$L$8,AA1442,""),"")</f>
        <v/>
      </c>
    </row>
    <row r="1443">
      <c r="S1443">
        <f>IF(ISNUMBER('자료_거시'!$E1425),'자료_거시'!$E1425,S1442)</f>
        <v/>
      </c>
      <c r="T1443">
        <f>IF(AND(ISNUMBER('자료_거시'!$D1425),ISNUMBER('자료_거시'!$E1425)),IFERROR('자료_거시'!$E1425-INDEX($S$21:$S$4020,MATCH(EDATE('자료_거시'!$D1425,-'설정'!$B$17),'자료_거시'!$D$3:INDEX('자료_거시'!$D$3:$D$4002,$K$6),1)),""),"")</f>
        <v/>
      </c>
      <c r="U1443">
        <f>IF(ISNUMBER(T1443),'자료_거시'!$D1425,"")</f>
        <v/>
      </c>
      <c r="V1443">
        <f>IF(ISNUMBER(U1443),IF(U1443&gt;$L$6,T1443,""),"")</f>
        <v/>
      </c>
      <c r="W1443">
        <f>IF(AND(ISNUMBER('자료_거시'!$G1425),ISNUMBER('자료_거시'!$H1425)),'자료_거시'!$H1425,"")</f>
        <v/>
      </c>
      <c r="X1443">
        <f>IF(ISNUMBER(W1443),'자료_거시'!$G1425,"")</f>
        <v/>
      </c>
      <c r="Y1443">
        <f>IF(ISNUMBER(X1443),IF(X1443&gt;$L$7,W1443,""),"")</f>
        <v/>
      </c>
      <c r="Z1443">
        <f>IF(ISNUMBER('자료_거시'!$K1425),'자료_거시'!$K1425,Z1442)</f>
        <v/>
      </c>
      <c r="AA1443">
        <f>IF(AND(ISNUMBER('자료_거시'!$J1425),ISNUMBER('자료_거시'!$K1425)),IFERROR('자료_거시'!$K1425/INDEX($Z$21:$Z$4020,MATCH(EDATE('자료_거시'!$J1425,-'설정'!$B$17),'자료_거시'!$J$3:INDEX('자료_거시'!$J$3:$J$4002,$K$8),1))-1,""),"")</f>
        <v/>
      </c>
      <c r="AB1443">
        <f>IF(ISNUMBER(AA1443),'자료_거시'!$J1425,"")</f>
        <v/>
      </c>
      <c r="AC1443">
        <f>IF(ISNUMBER(AB1443),IF(AB1443&gt;$L$8,AA1443,""),"")</f>
        <v/>
      </c>
    </row>
    <row r="1444">
      <c r="S1444">
        <f>IF(ISNUMBER('자료_거시'!$E1426),'자료_거시'!$E1426,S1443)</f>
        <v/>
      </c>
      <c r="T1444">
        <f>IF(AND(ISNUMBER('자료_거시'!$D1426),ISNUMBER('자료_거시'!$E1426)),IFERROR('자료_거시'!$E1426-INDEX($S$21:$S$4020,MATCH(EDATE('자료_거시'!$D1426,-'설정'!$B$17),'자료_거시'!$D$3:INDEX('자료_거시'!$D$3:$D$4002,$K$6),1)),""),"")</f>
        <v/>
      </c>
      <c r="U1444">
        <f>IF(ISNUMBER(T1444),'자료_거시'!$D1426,"")</f>
        <v/>
      </c>
      <c r="V1444">
        <f>IF(ISNUMBER(U1444),IF(U1444&gt;$L$6,T1444,""),"")</f>
        <v/>
      </c>
      <c r="W1444">
        <f>IF(AND(ISNUMBER('자료_거시'!$G1426),ISNUMBER('자료_거시'!$H1426)),'자료_거시'!$H1426,"")</f>
        <v/>
      </c>
      <c r="X1444">
        <f>IF(ISNUMBER(W1444),'자료_거시'!$G1426,"")</f>
        <v/>
      </c>
      <c r="Y1444">
        <f>IF(ISNUMBER(X1444),IF(X1444&gt;$L$7,W1444,""),"")</f>
        <v/>
      </c>
      <c r="Z1444">
        <f>IF(ISNUMBER('자료_거시'!$K1426),'자료_거시'!$K1426,Z1443)</f>
        <v/>
      </c>
      <c r="AA1444">
        <f>IF(AND(ISNUMBER('자료_거시'!$J1426),ISNUMBER('자료_거시'!$K1426)),IFERROR('자료_거시'!$K1426/INDEX($Z$21:$Z$4020,MATCH(EDATE('자료_거시'!$J1426,-'설정'!$B$17),'자료_거시'!$J$3:INDEX('자료_거시'!$J$3:$J$4002,$K$8),1))-1,""),"")</f>
        <v/>
      </c>
      <c r="AB1444">
        <f>IF(ISNUMBER(AA1444),'자료_거시'!$J1426,"")</f>
        <v/>
      </c>
      <c r="AC1444">
        <f>IF(ISNUMBER(AB1444),IF(AB1444&gt;$L$8,AA1444,""),"")</f>
        <v/>
      </c>
    </row>
    <row r="1445">
      <c r="S1445">
        <f>IF(ISNUMBER('자료_거시'!$E1427),'자료_거시'!$E1427,S1444)</f>
        <v/>
      </c>
      <c r="T1445">
        <f>IF(AND(ISNUMBER('자료_거시'!$D1427),ISNUMBER('자료_거시'!$E1427)),IFERROR('자료_거시'!$E1427-INDEX($S$21:$S$4020,MATCH(EDATE('자료_거시'!$D1427,-'설정'!$B$17),'자료_거시'!$D$3:INDEX('자료_거시'!$D$3:$D$4002,$K$6),1)),""),"")</f>
        <v/>
      </c>
      <c r="U1445">
        <f>IF(ISNUMBER(T1445),'자료_거시'!$D1427,"")</f>
        <v/>
      </c>
      <c r="V1445">
        <f>IF(ISNUMBER(U1445),IF(U1445&gt;$L$6,T1445,""),"")</f>
        <v/>
      </c>
      <c r="W1445">
        <f>IF(AND(ISNUMBER('자료_거시'!$G1427),ISNUMBER('자료_거시'!$H1427)),'자료_거시'!$H1427,"")</f>
        <v/>
      </c>
      <c r="X1445">
        <f>IF(ISNUMBER(W1445),'자료_거시'!$G1427,"")</f>
        <v/>
      </c>
      <c r="Y1445">
        <f>IF(ISNUMBER(X1445),IF(X1445&gt;$L$7,W1445,""),"")</f>
        <v/>
      </c>
      <c r="Z1445">
        <f>IF(ISNUMBER('자료_거시'!$K1427),'자료_거시'!$K1427,Z1444)</f>
        <v/>
      </c>
      <c r="AA1445">
        <f>IF(AND(ISNUMBER('자료_거시'!$J1427),ISNUMBER('자료_거시'!$K1427)),IFERROR('자료_거시'!$K1427/INDEX($Z$21:$Z$4020,MATCH(EDATE('자료_거시'!$J1427,-'설정'!$B$17),'자료_거시'!$J$3:INDEX('자료_거시'!$J$3:$J$4002,$K$8),1))-1,""),"")</f>
        <v/>
      </c>
      <c r="AB1445">
        <f>IF(ISNUMBER(AA1445),'자료_거시'!$J1427,"")</f>
        <v/>
      </c>
      <c r="AC1445">
        <f>IF(ISNUMBER(AB1445),IF(AB1445&gt;$L$8,AA1445,""),"")</f>
        <v/>
      </c>
    </row>
    <row r="1446">
      <c r="S1446">
        <f>IF(ISNUMBER('자료_거시'!$E1428),'자료_거시'!$E1428,S1445)</f>
        <v/>
      </c>
      <c r="T1446">
        <f>IF(AND(ISNUMBER('자료_거시'!$D1428),ISNUMBER('자료_거시'!$E1428)),IFERROR('자료_거시'!$E1428-INDEX($S$21:$S$4020,MATCH(EDATE('자료_거시'!$D1428,-'설정'!$B$17),'자료_거시'!$D$3:INDEX('자료_거시'!$D$3:$D$4002,$K$6),1)),""),"")</f>
        <v/>
      </c>
      <c r="U1446">
        <f>IF(ISNUMBER(T1446),'자료_거시'!$D1428,"")</f>
        <v/>
      </c>
      <c r="V1446">
        <f>IF(ISNUMBER(U1446),IF(U1446&gt;$L$6,T1446,""),"")</f>
        <v/>
      </c>
      <c r="W1446">
        <f>IF(AND(ISNUMBER('자료_거시'!$G1428),ISNUMBER('자료_거시'!$H1428)),'자료_거시'!$H1428,"")</f>
        <v/>
      </c>
      <c r="X1446">
        <f>IF(ISNUMBER(W1446),'자료_거시'!$G1428,"")</f>
        <v/>
      </c>
      <c r="Y1446">
        <f>IF(ISNUMBER(X1446),IF(X1446&gt;$L$7,W1446,""),"")</f>
        <v/>
      </c>
      <c r="Z1446">
        <f>IF(ISNUMBER('자료_거시'!$K1428),'자료_거시'!$K1428,Z1445)</f>
        <v/>
      </c>
      <c r="AA1446">
        <f>IF(AND(ISNUMBER('자료_거시'!$J1428),ISNUMBER('자료_거시'!$K1428)),IFERROR('자료_거시'!$K1428/INDEX($Z$21:$Z$4020,MATCH(EDATE('자료_거시'!$J1428,-'설정'!$B$17),'자료_거시'!$J$3:INDEX('자료_거시'!$J$3:$J$4002,$K$8),1))-1,""),"")</f>
        <v/>
      </c>
      <c r="AB1446">
        <f>IF(ISNUMBER(AA1446),'자료_거시'!$J1428,"")</f>
        <v/>
      </c>
      <c r="AC1446">
        <f>IF(ISNUMBER(AB1446),IF(AB1446&gt;$L$8,AA1446,""),"")</f>
        <v/>
      </c>
    </row>
    <row r="1447">
      <c r="S1447">
        <f>IF(ISNUMBER('자료_거시'!$E1429),'자료_거시'!$E1429,S1446)</f>
        <v/>
      </c>
      <c r="T1447">
        <f>IF(AND(ISNUMBER('자료_거시'!$D1429),ISNUMBER('자료_거시'!$E1429)),IFERROR('자료_거시'!$E1429-INDEX($S$21:$S$4020,MATCH(EDATE('자료_거시'!$D1429,-'설정'!$B$17),'자료_거시'!$D$3:INDEX('자료_거시'!$D$3:$D$4002,$K$6),1)),""),"")</f>
        <v/>
      </c>
      <c r="U1447">
        <f>IF(ISNUMBER(T1447),'자료_거시'!$D1429,"")</f>
        <v/>
      </c>
      <c r="V1447">
        <f>IF(ISNUMBER(U1447),IF(U1447&gt;$L$6,T1447,""),"")</f>
        <v/>
      </c>
      <c r="W1447">
        <f>IF(AND(ISNUMBER('자료_거시'!$G1429),ISNUMBER('자료_거시'!$H1429)),'자료_거시'!$H1429,"")</f>
        <v/>
      </c>
      <c r="X1447">
        <f>IF(ISNUMBER(W1447),'자료_거시'!$G1429,"")</f>
        <v/>
      </c>
      <c r="Y1447">
        <f>IF(ISNUMBER(X1447),IF(X1447&gt;$L$7,W1447,""),"")</f>
        <v/>
      </c>
      <c r="Z1447">
        <f>IF(ISNUMBER('자료_거시'!$K1429),'자료_거시'!$K1429,Z1446)</f>
        <v/>
      </c>
      <c r="AA1447">
        <f>IF(AND(ISNUMBER('자료_거시'!$J1429),ISNUMBER('자료_거시'!$K1429)),IFERROR('자료_거시'!$K1429/INDEX($Z$21:$Z$4020,MATCH(EDATE('자료_거시'!$J1429,-'설정'!$B$17),'자료_거시'!$J$3:INDEX('자료_거시'!$J$3:$J$4002,$K$8),1))-1,""),"")</f>
        <v/>
      </c>
      <c r="AB1447">
        <f>IF(ISNUMBER(AA1447),'자료_거시'!$J1429,"")</f>
        <v/>
      </c>
      <c r="AC1447">
        <f>IF(ISNUMBER(AB1447),IF(AB1447&gt;$L$8,AA1447,""),"")</f>
        <v/>
      </c>
    </row>
    <row r="1448">
      <c r="S1448">
        <f>IF(ISNUMBER('자료_거시'!$E1430),'자료_거시'!$E1430,S1447)</f>
        <v/>
      </c>
      <c r="T1448">
        <f>IF(AND(ISNUMBER('자료_거시'!$D1430),ISNUMBER('자료_거시'!$E1430)),IFERROR('자료_거시'!$E1430-INDEX($S$21:$S$4020,MATCH(EDATE('자료_거시'!$D1430,-'설정'!$B$17),'자료_거시'!$D$3:INDEX('자료_거시'!$D$3:$D$4002,$K$6),1)),""),"")</f>
        <v/>
      </c>
      <c r="U1448">
        <f>IF(ISNUMBER(T1448),'자료_거시'!$D1430,"")</f>
        <v/>
      </c>
      <c r="V1448">
        <f>IF(ISNUMBER(U1448),IF(U1448&gt;$L$6,T1448,""),"")</f>
        <v/>
      </c>
      <c r="W1448">
        <f>IF(AND(ISNUMBER('자료_거시'!$G1430),ISNUMBER('자료_거시'!$H1430)),'자료_거시'!$H1430,"")</f>
        <v/>
      </c>
      <c r="X1448">
        <f>IF(ISNUMBER(W1448),'자료_거시'!$G1430,"")</f>
        <v/>
      </c>
      <c r="Y1448">
        <f>IF(ISNUMBER(X1448),IF(X1448&gt;$L$7,W1448,""),"")</f>
        <v/>
      </c>
      <c r="Z1448">
        <f>IF(ISNUMBER('자료_거시'!$K1430),'자료_거시'!$K1430,Z1447)</f>
        <v/>
      </c>
      <c r="AA1448">
        <f>IF(AND(ISNUMBER('자료_거시'!$J1430),ISNUMBER('자료_거시'!$K1430)),IFERROR('자료_거시'!$K1430/INDEX($Z$21:$Z$4020,MATCH(EDATE('자료_거시'!$J1430,-'설정'!$B$17),'자료_거시'!$J$3:INDEX('자료_거시'!$J$3:$J$4002,$K$8),1))-1,""),"")</f>
        <v/>
      </c>
      <c r="AB1448">
        <f>IF(ISNUMBER(AA1448),'자료_거시'!$J1430,"")</f>
        <v/>
      </c>
      <c r="AC1448">
        <f>IF(ISNUMBER(AB1448),IF(AB1448&gt;$L$8,AA1448,""),"")</f>
        <v/>
      </c>
    </row>
    <row r="1449">
      <c r="S1449">
        <f>IF(ISNUMBER('자료_거시'!$E1431),'자료_거시'!$E1431,S1448)</f>
        <v/>
      </c>
      <c r="T1449">
        <f>IF(AND(ISNUMBER('자료_거시'!$D1431),ISNUMBER('자료_거시'!$E1431)),IFERROR('자료_거시'!$E1431-INDEX($S$21:$S$4020,MATCH(EDATE('자료_거시'!$D1431,-'설정'!$B$17),'자료_거시'!$D$3:INDEX('자료_거시'!$D$3:$D$4002,$K$6),1)),""),"")</f>
        <v/>
      </c>
      <c r="U1449">
        <f>IF(ISNUMBER(T1449),'자료_거시'!$D1431,"")</f>
        <v/>
      </c>
      <c r="V1449">
        <f>IF(ISNUMBER(U1449),IF(U1449&gt;$L$6,T1449,""),"")</f>
        <v/>
      </c>
      <c r="W1449">
        <f>IF(AND(ISNUMBER('자료_거시'!$G1431),ISNUMBER('자료_거시'!$H1431)),'자료_거시'!$H1431,"")</f>
        <v/>
      </c>
      <c r="X1449">
        <f>IF(ISNUMBER(W1449),'자료_거시'!$G1431,"")</f>
        <v/>
      </c>
      <c r="Y1449">
        <f>IF(ISNUMBER(X1449),IF(X1449&gt;$L$7,W1449,""),"")</f>
        <v/>
      </c>
      <c r="Z1449">
        <f>IF(ISNUMBER('자료_거시'!$K1431),'자료_거시'!$K1431,Z1448)</f>
        <v/>
      </c>
      <c r="AA1449">
        <f>IF(AND(ISNUMBER('자료_거시'!$J1431),ISNUMBER('자료_거시'!$K1431)),IFERROR('자료_거시'!$K1431/INDEX($Z$21:$Z$4020,MATCH(EDATE('자료_거시'!$J1431,-'설정'!$B$17),'자료_거시'!$J$3:INDEX('자료_거시'!$J$3:$J$4002,$K$8),1))-1,""),"")</f>
        <v/>
      </c>
      <c r="AB1449">
        <f>IF(ISNUMBER(AA1449),'자료_거시'!$J1431,"")</f>
        <v/>
      </c>
      <c r="AC1449">
        <f>IF(ISNUMBER(AB1449),IF(AB1449&gt;$L$8,AA1449,""),"")</f>
        <v/>
      </c>
    </row>
    <row r="1450">
      <c r="S1450">
        <f>IF(ISNUMBER('자료_거시'!$E1432),'자료_거시'!$E1432,S1449)</f>
        <v/>
      </c>
      <c r="T1450">
        <f>IF(AND(ISNUMBER('자료_거시'!$D1432),ISNUMBER('자료_거시'!$E1432)),IFERROR('자료_거시'!$E1432-INDEX($S$21:$S$4020,MATCH(EDATE('자료_거시'!$D1432,-'설정'!$B$17),'자료_거시'!$D$3:INDEX('자료_거시'!$D$3:$D$4002,$K$6),1)),""),"")</f>
        <v/>
      </c>
      <c r="U1450">
        <f>IF(ISNUMBER(T1450),'자료_거시'!$D1432,"")</f>
        <v/>
      </c>
      <c r="V1450">
        <f>IF(ISNUMBER(U1450),IF(U1450&gt;$L$6,T1450,""),"")</f>
        <v/>
      </c>
      <c r="W1450">
        <f>IF(AND(ISNUMBER('자료_거시'!$G1432),ISNUMBER('자료_거시'!$H1432)),'자료_거시'!$H1432,"")</f>
        <v/>
      </c>
      <c r="X1450">
        <f>IF(ISNUMBER(W1450),'자료_거시'!$G1432,"")</f>
        <v/>
      </c>
      <c r="Y1450">
        <f>IF(ISNUMBER(X1450),IF(X1450&gt;$L$7,W1450,""),"")</f>
        <v/>
      </c>
      <c r="Z1450">
        <f>IF(ISNUMBER('자료_거시'!$K1432),'자료_거시'!$K1432,Z1449)</f>
        <v/>
      </c>
      <c r="AA1450">
        <f>IF(AND(ISNUMBER('자료_거시'!$J1432),ISNUMBER('자료_거시'!$K1432)),IFERROR('자료_거시'!$K1432/INDEX($Z$21:$Z$4020,MATCH(EDATE('자료_거시'!$J1432,-'설정'!$B$17),'자료_거시'!$J$3:INDEX('자료_거시'!$J$3:$J$4002,$K$8),1))-1,""),"")</f>
        <v/>
      </c>
      <c r="AB1450">
        <f>IF(ISNUMBER(AA1450),'자료_거시'!$J1432,"")</f>
        <v/>
      </c>
      <c r="AC1450">
        <f>IF(ISNUMBER(AB1450),IF(AB1450&gt;$L$8,AA1450,""),"")</f>
        <v/>
      </c>
    </row>
    <row r="1451">
      <c r="S1451">
        <f>IF(ISNUMBER('자료_거시'!$E1433),'자료_거시'!$E1433,S1450)</f>
        <v/>
      </c>
      <c r="T1451">
        <f>IF(AND(ISNUMBER('자료_거시'!$D1433),ISNUMBER('자료_거시'!$E1433)),IFERROR('자료_거시'!$E1433-INDEX($S$21:$S$4020,MATCH(EDATE('자료_거시'!$D1433,-'설정'!$B$17),'자료_거시'!$D$3:INDEX('자료_거시'!$D$3:$D$4002,$K$6),1)),""),"")</f>
        <v/>
      </c>
      <c r="U1451">
        <f>IF(ISNUMBER(T1451),'자료_거시'!$D1433,"")</f>
        <v/>
      </c>
      <c r="V1451">
        <f>IF(ISNUMBER(U1451),IF(U1451&gt;$L$6,T1451,""),"")</f>
        <v/>
      </c>
      <c r="W1451">
        <f>IF(AND(ISNUMBER('자료_거시'!$G1433),ISNUMBER('자료_거시'!$H1433)),'자료_거시'!$H1433,"")</f>
        <v/>
      </c>
      <c r="X1451">
        <f>IF(ISNUMBER(W1451),'자료_거시'!$G1433,"")</f>
        <v/>
      </c>
      <c r="Y1451">
        <f>IF(ISNUMBER(X1451),IF(X1451&gt;$L$7,W1451,""),"")</f>
        <v/>
      </c>
      <c r="Z1451">
        <f>IF(ISNUMBER('자료_거시'!$K1433),'자료_거시'!$K1433,Z1450)</f>
        <v/>
      </c>
      <c r="AA1451">
        <f>IF(AND(ISNUMBER('자료_거시'!$J1433),ISNUMBER('자료_거시'!$K1433)),IFERROR('자료_거시'!$K1433/INDEX($Z$21:$Z$4020,MATCH(EDATE('자료_거시'!$J1433,-'설정'!$B$17),'자료_거시'!$J$3:INDEX('자료_거시'!$J$3:$J$4002,$K$8),1))-1,""),"")</f>
        <v/>
      </c>
      <c r="AB1451">
        <f>IF(ISNUMBER(AA1451),'자료_거시'!$J1433,"")</f>
        <v/>
      </c>
      <c r="AC1451">
        <f>IF(ISNUMBER(AB1451),IF(AB1451&gt;$L$8,AA1451,""),"")</f>
        <v/>
      </c>
    </row>
    <row r="1452">
      <c r="S1452">
        <f>IF(ISNUMBER('자료_거시'!$E1434),'자료_거시'!$E1434,S1451)</f>
        <v/>
      </c>
      <c r="T1452">
        <f>IF(AND(ISNUMBER('자료_거시'!$D1434),ISNUMBER('자료_거시'!$E1434)),IFERROR('자료_거시'!$E1434-INDEX($S$21:$S$4020,MATCH(EDATE('자료_거시'!$D1434,-'설정'!$B$17),'자료_거시'!$D$3:INDEX('자료_거시'!$D$3:$D$4002,$K$6),1)),""),"")</f>
        <v/>
      </c>
      <c r="U1452">
        <f>IF(ISNUMBER(T1452),'자료_거시'!$D1434,"")</f>
        <v/>
      </c>
      <c r="V1452">
        <f>IF(ISNUMBER(U1452),IF(U1452&gt;$L$6,T1452,""),"")</f>
        <v/>
      </c>
      <c r="W1452">
        <f>IF(AND(ISNUMBER('자료_거시'!$G1434),ISNUMBER('자료_거시'!$H1434)),'자료_거시'!$H1434,"")</f>
        <v/>
      </c>
      <c r="X1452">
        <f>IF(ISNUMBER(W1452),'자료_거시'!$G1434,"")</f>
        <v/>
      </c>
      <c r="Y1452">
        <f>IF(ISNUMBER(X1452),IF(X1452&gt;$L$7,W1452,""),"")</f>
        <v/>
      </c>
      <c r="Z1452">
        <f>IF(ISNUMBER('자료_거시'!$K1434),'자료_거시'!$K1434,Z1451)</f>
        <v/>
      </c>
      <c r="AA1452">
        <f>IF(AND(ISNUMBER('자료_거시'!$J1434),ISNUMBER('자료_거시'!$K1434)),IFERROR('자료_거시'!$K1434/INDEX($Z$21:$Z$4020,MATCH(EDATE('자료_거시'!$J1434,-'설정'!$B$17),'자료_거시'!$J$3:INDEX('자료_거시'!$J$3:$J$4002,$K$8),1))-1,""),"")</f>
        <v/>
      </c>
      <c r="AB1452">
        <f>IF(ISNUMBER(AA1452),'자료_거시'!$J1434,"")</f>
        <v/>
      </c>
      <c r="AC1452">
        <f>IF(ISNUMBER(AB1452),IF(AB1452&gt;$L$8,AA1452,""),"")</f>
        <v/>
      </c>
    </row>
    <row r="1453">
      <c r="S1453">
        <f>IF(ISNUMBER('자료_거시'!$E1435),'자료_거시'!$E1435,S1452)</f>
        <v/>
      </c>
      <c r="T1453">
        <f>IF(AND(ISNUMBER('자료_거시'!$D1435),ISNUMBER('자료_거시'!$E1435)),IFERROR('자료_거시'!$E1435-INDEX($S$21:$S$4020,MATCH(EDATE('자료_거시'!$D1435,-'설정'!$B$17),'자료_거시'!$D$3:INDEX('자료_거시'!$D$3:$D$4002,$K$6),1)),""),"")</f>
        <v/>
      </c>
      <c r="U1453">
        <f>IF(ISNUMBER(T1453),'자료_거시'!$D1435,"")</f>
        <v/>
      </c>
      <c r="V1453">
        <f>IF(ISNUMBER(U1453),IF(U1453&gt;$L$6,T1453,""),"")</f>
        <v/>
      </c>
      <c r="W1453">
        <f>IF(AND(ISNUMBER('자료_거시'!$G1435),ISNUMBER('자료_거시'!$H1435)),'자료_거시'!$H1435,"")</f>
        <v/>
      </c>
      <c r="X1453">
        <f>IF(ISNUMBER(W1453),'자료_거시'!$G1435,"")</f>
        <v/>
      </c>
      <c r="Y1453">
        <f>IF(ISNUMBER(X1453),IF(X1453&gt;$L$7,W1453,""),"")</f>
        <v/>
      </c>
      <c r="Z1453">
        <f>IF(ISNUMBER('자료_거시'!$K1435),'자료_거시'!$K1435,Z1452)</f>
        <v/>
      </c>
      <c r="AA1453">
        <f>IF(AND(ISNUMBER('자료_거시'!$J1435),ISNUMBER('자료_거시'!$K1435)),IFERROR('자료_거시'!$K1435/INDEX($Z$21:$Z$4020,MATCH(EDATE('자료_거시'!$J1435,-'설정'!$B$17),'자료_거시'!$J$3:INDEX('자료_거시'!$J$3:$J$4002,$K$8),1))-1,""),"")</f>
        <v/>
      </c>
      <c r="AB1453">
        <f>IF(ISNUMBER(AA1453),'자료_거시'!$J1435,"")</f>
        <v/>
      </c>
      <c r="AC1453">
        <f>IF(ISNUMBER(AB1453),IF(AB1453&gt;$L$8,AA1453,""),"")</f>
        <v/>
      </c>
    </row>
    <row r="1454">
      <c r="S1454">
        <f>IF(ISNUMBER('자료_거시'!$E1436),'자료_거시'!$E1436,S1453)</f>
        <v/>
      </c>
      <c r="T1454">
        <f>IF(AND(ISNUMBER('자료_거시'!$D1436),ISNUMBER('자료_거시'!$E1436)),IFERROR('자료_거시'!$E1436-INDEX($S$21:$S$4020,MATCH(EDATE('자료_거시'!$D1436,-'설정'!$B$17),'자료_거시'!$D$3:INDEX('자료_거시'!$D$3:$D$4002,$K$6),1)),""),"")</f>
        <v/>
      </c>
      <c r="U1454">
        <f>IF(ISNUMBER(T1454),'자료_거시'!$D1436,"")</f>
        <v/>
      </c>
      <c r="V1454">
        <f>IF(ISNUMBER(U1454),IF(U1454&gt;$L$6,T1454,""),"")</f>
        <v/>
      </c>
      <c r="W1454">
        <f>IF(AND(ISNUMBER('자료_거시'!$G1436),ISNUMBER('자료_거시'!$H1436)),'자료_거시'!$H1436,"")</f>
        <v/>
      </c>
      <c r="X1454">
        <f>IF(ISNUMBER(W1454),'자료_거시'!$G1436,"")</f>
        <v/>
      </c>
      <c r="Y1454">
        <f>IF(ISNUMBER(X1454),IF(X1454&gt;$L$7,W1454,""),"")</f>
        <v/>
      </c>
      <c r="Z1454">
        <f>IF(ISNUMBER('자료_거시'!$K1436),'자료_거시'!$K1436,Z1453)</f>
        <v/>
      </c>
      <c r="AA1454">
        <f>IF(AND(ISNUMBER('자료_거시'!$J1436),ISNUMBER('자료_거시'!$K1436)),IFERROR('자료_거시'!$K1436/INDEX($Z$21:$Z$4020,MATCH(EDATE('자료_거시'!$J1436,-'설정'!$B$17),'자료_거시'!$J$3:INDEX('자료_거시'!$J$3:$J$4002,$K$8),1))-1,""),"")</f>
        <v/>
      </c>
      <c r="AB1454">
        <f>IF(ISNUMBER(AA1454),'자료_거시'!$J1436,"")</f>
        <v/>
      </c>
      <c r="AC1454">
        <f>IF(ISNUMBER(AB1454),IF(AB1454&gt;$L$8,AA1454,""),"")</f>
        <v/>
      </c>
    </row>
    <row r="1455">
      <c r="S1455">
        <f>IF(ISNUMBER('자료_거시'!$E1437),'자료_거시'!$E1437,S1454)</f>
        <v/>
      </c>
      <c r="T1455">
        <f>IF(AND(ISNUMBER('자료_거시'!$D1437),ISNUMBER('자료_거시'!$E1437)),IFERROR('자료_거시'!$E1437-INDEX($S$21:$S$4020,MATCH(EDATE('자료_거시'!$D1437,-'설정'!$B$17),'자료_거시'!$D$3:INDEX('자료_거시'!$D$3:$D$4002,$K$6),1)),""),"")</f>
        <v/>
      </c>
      <c r="U1455">
        <f>IF(ISNUMBER(T1455),'자료_거시'!$D1437,"")</f>
        <v/>
      </c>
      <c r="V1455">
        <f>IF(ISNUMBER(U1455),IF(U1455&gt;$L$6,T1455,""),"")</f>
        <v/>
      </c>
      <c r="W1455">
        <f>IF(AND(ISNUMBER('자료_거시'!$G1437),ISNUMBER('자료_거시'!$H1437)),'자료_거시'!$H1437,"")</f>
        <v/>
      </c>
      <c r="X1455">
        <f>IF(ISNUMBER(W1455),'자료_거시'!$G1437,"")</f>
        <v/>
      </c>
      <c r="Y1455">
        <f>IF(ISNUMBER(X1455),IF(X1455&gt;$L$7,W1455,""),"")</f>
        <v/>
      </c>
      <c r="Z1455">
        <f>IF(ISNUMBER('자료_거시'!$K1437),'자료_거시'!$K1437,Z1454)</f>
        <v/>
      </c>
      <c r="AA1455">
        <f>IF(AND(ISNUMBER('자료_거시'!$J1437),ISNUMBER('자료_거시'!$K1437)),IFERROR('자료_거시'!$K1437/INDEX($Z$21:$Z$4020,MATCH(EDATE('자료_거시'!$J1437,-'설정'!$B$17),'자료_거시'!$J$3:INDEX('자료_거시'!$J$3:$J$4002,$K$8),1))-1,""),"")</f>
        <v/>
      </c>
      <c r="AB1455">
        <f>IF(ISNUMBER(AA1455),'자료_거시'!$J1437,"")</f>
        <v/>
      </c>
      <c r="AC1455">
        <f>IF(ISNUMBER(AB1455),IF(AB1455&gt;$L$8,AA1455,""),"")</f>
        <v/>
      </c>
    </row>
    <row r="1456">
      <c r="S1456">
        <f>IF(ISNUMBER('자료_거시'!$E1438),'자료_거시'!$E1438,S1455)</f>
        <v/>
      </c>
      <c r="T1456">
        <f>IF(AND(ISNUMBER('자료_거시'!$D1438),ISNUMBER('자료_거시'!$E1438)),IFERROR('자료_거시'!$E1438-INDEX($S$21:$S$4020,MATCH(EDATE('자료_거시'!$D1438,-'설정'!$B$17),'자료_거시'!$D$3:INDEX('자료_거시'!$D$3:$D$4002,$K$6),1)),""),"")</f>
        <v/>
      </c>
      <c r="U1456">
        <f>IF(ISNUMBER(T1456),'자료_거시'!$D1438,"")</f>
        <v/>
      </c>
      <c r="V1456">
        <f>IF(ISNUMBER(U1456),IF(U1456&gt;$L$6,T1456,""),"")</f>
        <v/>
      </c>
      <c r="W1456">
        <f>IF(AND(ISNUMBER('자료_거시'!$G1438),ISNUMBER('자료_거시'!$H1438)),'자료_거시'!$H1438,"")</f>
        <v/>
      </c>
      <c r="X1456">
        <f>IF(ISNUMBER(W1456),'자료_거시'!$G1438,"")</f>
        <v/>
      </c>
      <c r="Y1456">
        <f>IF(ISNUMBER(X1456),IF(X1456&gt;$L$7,W1456,""),"")</f>
        <v/>
      </c>
      <c r="Z1456">
        <f>IF(ISNUMBER('자료_거시'!$K1438),'자료_거시'!$K1438,Z1455)</f>
        <v/>
      </c>
      <c r="AA1456">
        <f>IF(AND(ISNUMBER('자료_거시'!$J1438),ISNUMBER('자료_거시'!$K1438)),IFERROR('자료_거시'!$K1438/INDEX($Z$21:$Z$4020,MATCH(EDATE('자료_거시'!$J1438,-'설정'!$B$17),'자료_거시'!$J$3:INDEX('자료_거시'!$J$3:$J$4002,$K$8),1))-1,""),"")</f>
        <v/>
      </c>
      <c r="AB1456">
        <f>IF(ISNUMBER(AA1456),'자료_거시'!$J1438,"")</f>
        <v/>
      </c>
      <c r="AC1456">
        <f>IF(ISNUMBER(AB1456),IF(AB1456&gt;$L$8,AA1456,""),"")</f>
        <v/>
      </c>
    </row>
    <row r="1457">
      <c r="S1457">
        <f>IF(ISNUMBER('자료_거시'!$E1439),'자료_거시'!$E1439,S1456)</f>
        <v/>
      </c>
      <c r="T1457">
        <f>IF(AND(ISNUMBER('자료_거시'!$D1439),ISNUMBER('자료_거시'!$E1439)),IFERROR('자료_거시'!$E1439-INDEX($S$21:$S$4020,MATCH(EDATE('자료_거시'!$D1439,-'설정'!$B$17),'자료_거시'!$D$3:INDEX('자료_거시'!$D$3:$D$4002,$K$6),1)),""),"")</f>
        <v/>
      </c>
      <c r="U1457">
        <f>IF(ISNUMBER(T1457),'자료_거시'!$D1439,"")</f>
        <v/>
      </c>
      <c r="V1457">
        <f>IF(ISNUMBER(U1457),IF(U1457&gt;$L$6,T1457,""),"")</f>
        <v/>
      </c>
      <c r="W1457">
        <f>IF(AND(ISNUMBER('자료_거시'!$G1439),ISNUMBER('자료_거시'!$H1439)),'자료_거시'!$H1439,"")</f>
        <v/>
      </c>
      <c r="X1457">
        <f>IF(ISNUMBER(W1457),'자료_거시'!$G1439,"")</f>
        <v/>
      </c>
      <c r="Y1457">
        <f>IF(ISNUMBER(X1457),IF(X1457&gt;$L$7,W1457,""),"")</f>
        <v/>
      </c>
      <c r="Z1457">
        <f>IF(ISNUMBER('자료_거시'!$K1439),'자료_거시'!$K1439,Z1456)</f>
        <v/>
      </c>
      <c r="AA1457">
        <f>IF(AND(ISNUMBER('자료_거시'!$J1439),ISNUMBER('자료_거시'!$K1439)),IFERROR('자료_거시'!$K1439/INDEX($Z$21:$Z$4020,MATCH(EDATE('자료_거시'!$J1439,-'설정'!$B$17),'자료_거시'!$J$3:INDEX('자료_거시'!$J$3:$J$4002,$K$8),1))-1,""),"")</f>
        <v/>
      </c>
      <c r="AB1457">
        <f>IF(ISNUMBER(AA1457),'자료_거시'!$J1439,"")</f>
        <v/>
      </c>
      <c r="AC1457">
        <f>IF(ISNUMBER(AB1457),IF(AB1457&gt;$L$8,AA1457,""),"")</f>
        <v/>
      </c>
    </row>
    <row r="1458">
      <c r="S1458">
        <f>IF(ISNUMBER('자료_거시'!$E1440),'자료_거시'!$E1440,S1457)</f>
        <v/>
      </c>
      <c r="T1458">
        <f>IF(AND(ISNUMBER('자료_거시'!$D1440),ISNUMBER('자료_거시'!$E1440)),IFERROR('자료_거시'!$E1440-INDEX($S$21:$S$4020,MATCH(EDATE('자료_거시'!$D1440,-'설정'!$B$17),'자료_거시'!$D$3:INDEX('자료_거시'!$D$3:$D$4002,$K$6),1)),""),"")</f>
        <v/>
      </c>
      <c r="U1458">
        <f>IF(ISNUMBER(T1458),'자료_거시'!$D1440,"")</f>
        <v/>
      </c>
      <c r="V1458">
        <f>IF(ISNUMBER(U1458),IF(U1458&gt;$L$6,T1458,""),"")</f>
        <v/>
      </c>
      <c r="W1458">
        <f>IF(AND(ISNUMBER('자료_거시'!$G1440),ISNUMBER('자료_거시'!$H1440)),'자료_거시'!$H1440,"")</f>
        <v/>
      </c>
      <c r="X1458">
        <f>IF(ISNUMBER(W1458),'자료_거시'!$G1440,"")</f>
        <v/>
      </c>
      <c r="Y1458">
        <f>IF(ISNUMBER(X1458),IF(X1458&gt;$L$7,W1458,""),"")</f>
        <v/>
      </c>
      <c r="Z1458">
        <f>IF(ISNUMBER('자료_거시'!$K1440),'자료_거시'!$K1440,Z1457)</f>
        <v/>
      </c>
      <c r="AA1458">
        <f>IF(AND(ISNUMBER('자료_거시'!$J1440),ISNUMBER('자료_거시'!$K1440)),IFERROR('자료_거시'!$K1440/INDEX($Z$21:$Z$4020,MATCH(EDATE('자료_거시'!$J1440,-'설정'!$B$17),'자료_거시'!$J$3:INDEX('자료_거시'!$J$3:$J$4002,$K$8),1))-1,""),"")</f>
        <v/>
      </c>
      <c r="AB1458">
        <f>IF(ISNUMBER(AA1458),'자료_거시'!$J1440,"")</f>
        <v/>
      </c>
      <c r="AC1458">
        <f>IF(ISNUMBER(AB1458),IF(AB1458&gt;$L$8,AA1458,""),"")</f>
        <v/>
      </c>
    </row>
    <row r="1459">
      <c r="S1459">
        <f>IF(ISNUMBER('자료_거시'!$E1441),'자료_거시'!$E1441,S1458)</f>
        <v/>
      </c>
      <c r="T1459">
        <f>IF(AND(ISNUMBER('자료_거시'!$D1441),ISNUMBER('자료_거시'!$E1441)),IFERROR('자료_거시'!$E1441-INDEX($S$21:$S$4020,MATCH(EDATE('자료_거시'!$D1441,-'설정'!$B$17),'자료_거시'!$D$3:INDEX('자료_거시'!$D$3:$D$4002,$K$6),1)),""),"")</f>
        <v/>
      </c>
      <c r="U1459">
        <f>IF(ISNUMBER(T1459),'자료_거시'!$D1441,"")</f>
        <v/>
      </c>
      <c r="V1459">
        <f>IF(ISNUMBER(U1459),IF(U1459&gt;$L$6,T1459,""),"")</f>
        <v/>
      </c>
      <c r="W1459">
        <f>IF(AND(ISNUMBER('자료_거시'!$G1441),ISNUMBER('자료_거시'!$H1441)),'자료_거시'!$H1441,"")</f>
        <v/>
      </c>
      <c r="X1459">
        <f>IF(ISNUMBER(W1459),'자료_거시'!$G1441,"")</f>
        <v/>
      </c>
      <c r="Y1459">
        <f>IF(ISNUMBER(X1459),IF(X1459&gt;$L$7,W1459,""),"")</f>
        <v/>
      </c>
      <c r="Z1459">
        <f>IF(ISNUMBER('자료_거시'!$K1441),'자료_거시'!$K1441,Z1458)</f>
        <v/>
      </c>
      <c r="AA1459">
        <f>IF(AND(ISNUMBER('자료_거시'!$J1441),ISNUMBER('자료_거시'!$K1441)),IFERROR('자료_거시'!$K1441/INDEX($Z$21:$Z$4020,MATCH(EDATE('자료_거시'!$J1441,-'설정'!$B$17),'자료_거시'!$J$3:INDEX('자료_거시'!$J$3:$J$4002,$K$8),1))-1,""),"")</f>
        <v/>
      </c>
      <c r="AB1459">
        <f>IF(ISNUMBER(AA1459),'자료_거시'!$J1441,"")</f>
        <v/>
      </c>
      <c r="AC1459">
        <f>IF(ISNUMBER(AB1459),IF(AB1459&gt;$L$8,AA1459,""),"")</f>
        <v/>
      </c>
    </row>
    <row r="1460">
      <c r="S1460">
        <f>IF(ISNUMBER('자료_거시'!$E1442),'자료_거시'!$E1442,S1459)</f>
        <v/>
      </c>
      <c r="T1460">
        <f>IF(AND(ISNUMBER('자료_거시'!$D1442),ISNUMBER('자료_거시'!$E1442)),IFERROR('자료_거시'!$E1442-INDEX($S$21:$S$4020,MATCH(EDATE('자료_거시'!$D1442,-'설정'!$B$17),'자료_거시'!$D$3:INDEX('자료_거시'!$D$3:$D$4002,$K$6),1)),""),"")</f>
        <v/>
      </c>
      <c r="U1460">
        <f>IF(ISNUMBER(T1460),'자료_거시'!$D1442,"")</f>
        <v/>
      </c>
      <c r="V1460">
        <f>IF(ISNUMBER(U1460),IF(U1460&gt;$L$6,T1460,""),"")</f>
        <v/>
      </c>
      <c r="W1460">
        <f>IF(AND(ISNUMBER('자료_거시'!$G1442),ISNUMBER('자료_거시'!$H1442)),'자료_거시'!$H1442,"")</f>
        <v/>
      </c>
      <c r="X1460">
        <f>IF(ISNUMBER(W1460),'자료_거시'!$G1442,"")</f>
        <v/>
      </c>
      <c r="Y1460">
        <f>IF(ISNUMBER(X1460),IF(X1460&gt;$L$7,W1460,""),"")</f>
        <v/>
      </c>
      <c r="Z1460">
        <f>IF(ISNUMBER('자료_거시'!$K1442),'자료_거시'!$K1442,Z1459)</f>
        <v/>
      </c>
      <c r="AA1460">
        <f>IF(AND(ISNUMBER('자료_거시'!$J1442),ISNUMBER('자료_거시'!$K1442)),IFERROR('자료_거시'!$K1442/INDEX($Z$21:$Z$4020,MATCH(EDATE('자료_거시'!$J1442,-'설정'!$B$17),'자료_거시'!$J$3:INDEX('자료_거시'!$J$3:$J$4002,$K$8),1))-1,""),"")</f>
        <v/>
      </c>
      <c r="AB1460">
        <f>IF(ISNUMBER(AA1460),'자료_거시'!$J1442,"")</f>
        <v/>
      </c>
      <c r="AC1460">
        <f>IF(ISNUMBER(AB1460),IF(AB1460&gt;$L$8,AA1460,""),"")</f>
        <v/>
      </c>
    </row>
    <row r="1461">
      <c r="S1461">
        <f>IF(ISNUMBER('자료_거시'!$E1443),'자료_거시'!$E1443,S1460)</f>
        <v/>
      </c>
      <c r="T1461">
        <f>IF(AND(ISNUMBER('자료_거시'!$D1443),ISNUMBER('자료_거시'!$E1443)),IFERROR('자료_거시'!$E1443-INDEX($S$21:$S$4020,MATCH(EDATE('자료_거시'!$D1443,-'설정'!$B$17),'자료_거시'!$D$3:INDEX('자료_거시'!$D$3:$D$4002,$K$6),1)),""),"")</f>
        <v/>
      </c>
      <c r="U1461">
        <f>IF(ISNUMBER(T1461),'자료_거시'!$D1443,"")</f>
        <v/>
      </c>
      <c r="V1461">
        <f>IF(ISNUMBER(U1461),IF(U1461&gt;$L$6,T1461,""),"")</f>
        <v/>
      </c>
      <c r="W1461">
        <f>IF(AND(ISNUMBER('자료_거시'!$G1443),ISNUMBER('자료_거시'!$H1443)),'자료_거시'!$H1443,"")</f>
        <v/>
      </c>
      <c r="X1461">
        <f>IF(ISNUMBER(W1461),'자료_거시'!$G1443,"")</f>
        <v/>
      </c>
      <c r="Y1461">
        <f>IF(ISNUMBER(X1461),IF(X1461&gt;$L$7,W1461,""),"")</f>
        <v/>
      </c>
      <c r="Z1461">
        <f>IF(ISNUMBER('자료_거시'!$K1443),'자료_거시'!$K1443,Z1460)</f>
        <v/>
      </c>
      <c r="AA1461">
        <f>IF(AND(ISNUMBER('자료_거시'!$J1443),ISNUMBER('자료_거시'!$K1443)),IFERROR('자료_거시'!$K1443/INDEX($Z$21:$Z$4020,MATCH(EDATE('자료_거시'!$J1443,-'설정'!$B$17),'자료_거시'!$J$3:INDEX('자료_거시'!$J$3:$J$4002,$K$8),1))-1,""),"")</f>
        <v/>
      </c>
      <c r="AB1461">
        <f>IF(ISNUMBER(AA1461),'자료_거시'!$J1443,"")</f>
        <v/>
      </c>
      <c r="AC1461">
        <f>IF(ISNUMBER(AB1461),IF(AB1461&gt;$L$8,AA1461,""),"")</f>
        <v/>
      </c>
    </row>
    <row r="1462">
      <c r="S1462">
        <f>IF(ISNUMBER('자료_거시'!$E1444),'자료_거시'!$E1444,S1461)</f>
        <v/>
      </c>
      <c r="T1462">
        <f>IF(AND(ISNUMBER('자료_거시'!$D1444),ISNUMBER('자료_거시'!$E1444)),IFERROR('자료_거시'!$E1444-INDEX($S$21:$S$4020,MATCH(EDATE('자료_거시'!$D1444,-'설정'!$B$17),'자료_거시'!$D$3:INDEX('자료_거시'!$D$3:$D$4002,$K$6),1)),""),"")</f>
        <v/>
      </c>
      <c r="U1462">
        <f>IF(ISNUMBER(T1462),'자료_거시'!$D1444,"")</f>
        <v/>
      </c>
      <c r="V1462">
        <f>IF(ISNUMBER(U1462),IF(U1462&gt;$L$6,T1462,""),"")</f>
        <v/>
      </c>
      <c r="W1462">
        <f>IF(AND(ISNUMBER('자료_거시'!$G1444),ISNUMBER('자료_거시'!$H1444)),'자료_거시'!$H1444,"")</f>
        <v/>
      </c>
      <c r="X1462">
        <f>IF(ISNUMBER(W1462),'자료_거시'!$G1444,"")</f>
        <v/>
      </c>
      <c r="Y1462">
        <f>IF(ISNUMBER(X1462),IF(X1462&gt;$L$7,W1462,""),"")</f>
        <v/>
      </c>
      <c r="Z1462">
        <f>IF(ISNUMBER('자료_거시'!$K1444),'자료_거시'!$K1444,Z1461)</f>
        <v/>
      </c>
      <c r="AA1462">
        <f>IF(AND(ISNUMBER('자료_거시'!$J1444),ISNUMBER('자료_거시'!$K1444)),IFERROR('자료_거시'!$K1444/INDEX($Z$21:$Z$4020,MATCH(EDATE('자료_거시'!$J1444,-'설정'!$B$17),'자료_거시'!$J$3:INDEX('자료_거시'!$J$3:$J$4002,$K$8),1))-1,""),"")</f>
        <v/>
      </c>
      <c r="AB1462">
        <f>IF(ISNUMBER(AA1462),'자료_거시'!$J1444,"")</f>
        <v/>
      </c>
      <c r="AC1462">
        <f>IF(ISNUMBER(AB1462),IF(AB1462&gt;$L$8,AA1462,""),"")</f>
        <v/>
      </c>
    </row>
    <row r="1463">
      <c r="S1463">
        <f>IF(ISNUMBER('자료_거시'!$E1445),'자료_거시'!$E1445,S1462)</f>
        <v/>
      </c>
      <c r="T1463">
        <f>IF(AND(ISNUMBER('자료_거시'!$D1445),ISNUMBER('자료_거시'!$E1445)),IFERROR('자료_거시'!$E1445-INDEX($S$21:$S$4020,MATCH(EDATE('자료_거시'!$D1445,-'설정'!$B$17),'자료_거시'!$D$3:INDEX('자료_거시'!$D$3:$D$4002,$K$6),1)),""),"")</f>
        <v/>
      </c>
      <c r="U1463">
        <f>IF(ISNUMBER(T1463),'자료_거시'!$D1445,"")</f>
        <v/>
      </c>
      <c r="V1463">
        <f>IF(ISNUMBER(U1463),IF(U1463&gt;$L$6,T1463,""),"")</f>
        <v/>
      </c>
      <c r="W1463">
        <f>IF(AND(ISNUMBER('자료_거시'!$G1445),ISNUMBER('자료_거시'!$H1445)),'자료_거시'!$H1445,"")</f>
        <v/>
      </c>
      <c r="X1463">
        <f>IF(ISNUMBER(W1463),'자료_거시'!$G1445,"")</f>
        <v/>
      </c>
      <c r="Y1463">
        <f>IF(ISNUMBER(X1463),IF(X1463&gt;$L$7,W1463,""),"")</f>
        <v/>
      </c>
      <c r="Z1463">
        <f>IF(ISNUMBER('자료_거시'!$K1445),'자료_거시'!$K1445,Z1462)</f>
        <v/>
      </c>
      <c r="AA1463">
        <f>IF(AND(ISNUMBER('자료_거시'!$J1445),ISNUMBER('자료_거시'!$K1445)),IFERROR('자료_거시'!$K1445/INDEX($Z$21:$Z$4020,MATCH(EDATE('자료_거시'!$J1445,-'설정'!$B$17),'자료_거시'!$J$3:INDEX('자료_거시'!$J$3:$J$4002,$K$8),1))-1,""),"")</f>
        <v/>
      </c>
      <c r="AB1463">
        <f>IF(ISNUMBER(AA1463),'자료_거시'!$J1445,"")</f>
        <v/>
      </c>
      <c r="AC1463">
        <f>IF(ISNUMBER(AB1463),IF(AB1463&gt;$L$8,AA1463,""),"")</f>
        <v/>
      </c>
    </row>
    <row r="1464">
      <c r="S1464">
        <f>IF(ISNUMBER('자료_거시'!$E1446),'자료_거시'!$E1446,S1463)</f>
        <v/>
      </c>
      <c r="T1464">
        <f>IF(AND(ISNUMBER('자료_거시'!$D1446),ISNUMBER('자료_거시'!$E1446)),IFERROR('자료_거시'!$E1446-INDEX($S$21:$S$4020,MATCH(EDATE('자료_거시'!$D1446,-'설정'!$B$17),'자료_거시'!$D$3:INDEX('자료_거시'!$D$3:$D$4002,$K$6),1)),""),"")</f>
        <v/>
      </c>
      <c r="U1464">
        <f>IF(ISNUMBER(T1464),'자료_거시'!$D1446,"")</f>
        <v/>
      </c>
      <c r="V1464">
        <f>IF(ISNUMBER(U1464),IF(U1464&gt;$L$6,T1464,""),"")</f>
        <v/>
      </c>
      <c r="W1464">
        <f>IF(AND(ISNUMBER('자료_거시'!$G1446),ISNUMBER('자료_거시'!$H1446)),'자료_거시'!$H1446,"")</f>
        <v/>
      </c>
      <c r="X1464">
        <f>IF(ISNUMBER(W1464),'자료_거시'!$G1446,"")</f>
        <v/>
      </c>
      <c r="Y1464">
        <f>IF(ISNUMBER(X1464),IF(X1464&gt;$L$7,W1464,""),"")</f>
        <v/>
      </c>
      <c r="Z1464">
        <f>IF(ISNUMBER('자료_거시'!$K1446),'자료_거시'!$K1446,Z1463)</f>
        <v/>
      </c>
      <c r="AA1464">
        <f>IF(AND(ISNUMBER('자료_거시'!$J1446),ISNUMBER('자료_거시'!$K1446)),IFERROR('자료_거시'!$K1446/INDEX($Z$21:$Z$4020,MATCH(EDATE('자료_거시'!$J1446,-'설정'!$B$17),'자료_거시'!$J$3:INDEX('자료_거시'!$J$3:$J$4002,$K$8),1))-1,""),"")</f>
        <v/>
      </c>
      <c r="AB1464">
        <f>IF(ISNUMBER(AA1464),'자료_거시'!$J1446,"")</f>
        <v/>
      </c>
      <c r="AC1464">
        <f>IF(ISNUMBER(AB1464),IF(AB1464&gt;$L$8,AA1464,""),"")</f>
        <v/>
      </c>
    </row>
    <row r="1465">
      <c r="S1465">
        <f>IF(ISNUMBER('자료_거시'!$E1447),'자료_거시'!$E1447,S1464)</f>
        <v/>
      </c>
      <c r="T1465">
        <f>IF(AND(ISNUMBER('자료_거시'!$D1447),ISNUMBER('자료_거시'!$E1447)),IFERROR('자료_거시'!$E1447-INDEX($S$21:$S$4020,MATCH(EDATE('자료_거시'!$D1447,-'설정'!$B$17),'자료_거시'!$D$3:INDEX('자료_거시'!$D$3:$D$4002,$K$6),1)),""),"")</f>
        <v/>
      </c>
      <c r="U1465">
        <f>IF(ISNUMBER(T1465),'자료_거시'!$D1447,"")</f>
        <v/>
      </c>
      <c r="V1465">
        <f>IF(ISNUMBER(U1465),IF(U1465&gt;$L$6,T1465,""),"")</f>
        <v/>
      </c>
      <c r="W1465">
        <f>IF(AND(ISNUMBER('자료_거시'!$G1447),ISNUMBER('자료_거시'!$H1447)),'자료_거시'!$H1447,"")</f>
        <v/>
      </c>
      <c r="X1465">
        <f>IF(ISNUMBER(W1465),'자료_거시'!$G1447,"")</f>
        <v/>
      </c>
      <c r="Y1465">
        <f>IF(ISNUMBER(X1465),IF(X1465&gt;$L$7,W1465,""),"")</f>
        <v/>
      </c>
      <c r="Z1465">
        <f>IF(ISNUMBER('자료_거시'!$K1447),'자료_거시'!$K1447,Z1464)</f>
        <v/>
      </c>
      <c r="AA1465">
        <f>IF(AND(ISNUMBER('자료_거시'!$J1447),ISNUMBER('자료_거시'!$K1447)),IFERROR('자료_거시'!$K1447/INDEX($Z$21:$Z$4020,MATCH(EDATE('자료_거시'!$J1447,-'설정'!$B$17),'자료_거시'!$J$3:INDEX('자료_거시'!$J$3:$J$4002,$K$8),1))-1,""),"")</f>
        <v/>
      </c>
      <c r="AB1465">
        <f>IF(ISNUMBER(AA1465),'자료_거시'!$J1447,"")</f>
        <v/>
      </c>
      <c r="AC1465">
        <f>IF(ISNUMBER(AB1465),IF(AB1465&gt;$L$8,AA1465,""),"")</f>
        <v/>
      </c>
    </row>
    <row r="1466">
      <c r="S1466">
        <f>IF(ISNUMBER('자료_거시'!$E1448),'자료_거시'!$E1448,S1465)</f>
        <v/>
      </c>
      <c r="T1466">
        <f>IF(AND(ISNUMBER('자료_거시'!$D1448),ISNUMBER('자료_거시'!$E1448)),IFERROR('자료_거시'!$E1448-INDEX($S$21:$S$4020,MATCH(EDATE('자료_거시'!$D1448,-'설정'!$B$17),'자료_거시'!$D$3:INDEX('자료_거시'!$D$3:$D$4002,$K$6),1)),""),"")</f>
        <v/>
      </c>
      <c r="U1466">
        <f>IF(ISNUMBER(T1466),'자료_거시'!$D1448,"")</f>
        <v/>
      </c>
      <c r="V1466">
        <f>IF(ISNUMBER(U1466),IF(U1466&gt;$L$6,T1466,""),"")</f>
        <v/>
      </c>
      <c r="W1466">
        <f>IF(AND(ISNUMBER('자료_거시'!$G1448),ISNUMBER('자료_거시'!$H1448)),'자료_거시'!$H1448,"")</f>
        <v/>
      </c>
      <c r="X1466">
        <f>IF(ISNUMBER(W1466),'자료_거시'!$G1448,"")</f>
        <v/>
      </c>
      <c r="Y1466">
        <f>IF(ISNUMBER(X1466),IF(X1466&gt;$L$7,W1466,""),"")</f>
        <v/>
      </c>
      <c r="Z1466">
        <f>IF(ISNUMBER('자료_거시'!$K1448),'자료_거시'!$K1448,Z1465)</f>
        <v/>
      </c>
      <c r="AA1466">
        <f>IF(AND(ISNUMBER('자료_거시'!$J1448),ISNUMBER('자료_거시'!$K1448)),IFERROR('자료_거시'!$K1448/INDEX($Z$21:$Z$4020,MATCH(EDATE('자료_거시'!$J1448,-'설정'!$B$17),'자료_거시'!$J$3:INDEX('자료_거시'!$J$3:$J$4002,$K$8),1))-1,""),"")</f>
        <v/>
      </c>
      <c r="AB1466">
        <f>IF(ISNUMBER(AA1466),'자료_거시'!$J1448,"")</f>
        <v/>
      </c>
      <c r="AC1466">
        <f>IF(ISNUMBER(AB1466),IF(AB1466&gt;$L$8,AA1466,""),"")</f>
        <v/>
      </c>
    </row>
    <row r="1467">
      <c r="S1467">
        <f>IF(ISNUMBER('자료_거시'!$E1449),'자료_거시'!$E1449,S1466)</f>
        <v/>
      </c>
      <c r="T1467">
        <f>IF(AND(ISNUMBER('자료_거시'!$D1449),ISNUMBER('자료_거시'!$E1449)),IFERROR('자료_거시'!$E1449-INDEX($S$21:$S$4020,MATCH(EDATE('자료_거시'!$D1449,-'설정'!$B$17),'자료_거시'!$D$3:INDEX('자료_거시'!$D$3:$D$4002,$K$6),1)),""),"")</f>
        <v/>
      </c>
      <c r="U1467">
        <f>IF(ISNUMBER(T1467),'자료_거시'!$D1449,"")</f>
        <v/>
      </c>
      <c r="V1467">
        <f>IF(ISNUMBER(U1467),IF(U1467&gt;$L$6,T1467,""),"")</f>
        <v/>
      </c>
      <c r="W1467">
        <f>IF(AND(ISNUMBER('자료_거시'!$G1449),ISNUMBER('자료_거시'!$H1449)),'자료_거시'!$H1449,"")</f>
        <v/>
      </c>
      <c r="X1467">
        <f>IF(ISNUMBER(W1467),'자료_거시'!$G1449,"")</f>
        <v/>
      </c>
      <c r="Y1467">
        <f>IF(ISNUMBER(X1467),IF(X1467&gt;$L$7,W1467,""),"")</f>
        <v/>
      </c>
      <c r="Z1467">
        <f>IF(ISNUMBER('자료_거시'!$K1449),'자료_거시'!$K1449,Z1466)</f>
        <v/>
      </c>
      <c r="AA1467">
        <f>IF(AND(ISNUMBER('자료_거시'!$J1449),ISNUMBER('자료_거시'!$K1449)),IFERROR('자료_거시'!$K1449/INDEX($Z$21:$Z$4020,MATCH(EDATE('자료_거시'!$J1449,-'설정'!$B$17),'자료_거시'!$J$3:INDEX('자료_거시'!$J$3:$J$4002,$K$8),1))-1,""),"")</f>
        <v/>
      </c>
      <c r="AB1467">
        <f>IF(ISNUMBER(AA1467),'자료_거시'!$J1449,"")</f>
        <v/>
      </c>
      <c r="AC1467">
        <f>IF(ISNUMBER(AB1467),IF(AB1467&gt;$L$8,AA1467,""),"")</f>
        <v/>
      </c>
    </row>
    <row r="1468">
      <c r="S1468">
        <f>IF(ISNUMBER('자료_거시'!$E1450),'자료_거시'!$E1450,S1467)</f>
        <v/>
      </c>
      <c r="T1468">
        <f>IF(AND(ISNUMBER('자료_거시'!$D1450),ISNUMBER('자료_거시'!$E1450)),IFERROR('자료_거시'!$E1450-INDEX($S$21:$S$4020,MATCH(EDATE('자료_거시'!$D1450,-'설정'!$B$17),'자료_거시'!$D$3:INDEX('자료_거시'!$D$3:$D$4002,$K$6),1)),""),"")</f>
        <v/>
      </c>
      <c r="U1468">
        <f>IF(ISNUMBER(T1468),'자료_거시'!$D1450,"")</f>
        <v/>
      </c>
      <c r="V1468">
        <f>IF(ISNUMBER(U1468),IF(U1468&gt;$L$6,T1468,""),"")</f>
        <v/>
      </c>
      <c r="W1468">
        <f>IF(AND(ISNUMBER('자료_거시'!$G1450),ISNUMBER('자료_거시'!$H1450)),'자료_거시'!$H1450,"")</f>
        <v/>
      </c>
      <c r="X1468">
        <f>IF(ISNUMBER(W1468),'자료_거시'!$G1450,"")</f>
        <v/>
      </c>
      <c r="Y1468">
        <f>IF(ISNUMBER(X1468),IF(X1468&gt;$L$7,W1468,""),"")</f>
        <v/>
      </c>
      <c r="Z1468">
        <f>IF(ISNUMBER('자료_거시'!$K1450),'자료_거시'!$K1450,Z1467)</f>
        <v/>
      </c>
      <c r="AA1468">
        <f>IF(AND(ISNUMBER('자료_거시'!$J1450),ISNUMBER('자료_거시'!$K1450)),IFERROR('자료_거시'!$K1450/INDEX($Z$21:$Z$4020,MATCH(EDATE('자료_거시'!$J1450,-'설정'!$B$17),'자료_거시'!$J$3:INDEX('자료_거시'!$J$3:$J$4002,$K$8),1))-1,""),"")</f>
        <v/>
      </c>
      <c r="AB1468">
        <f>IF(ISNUMBER(AA1468),'자료_거시'!$J1450,"")</f>
        <v/>
      </c>
      <c r="AC1468">
        <f>IF(ISNUMBER(AB1468),IF(AB1468&gt;$L$8,AA1468,""),"")</f>
        <v/>
      </c>
    </row>
    <row r="1469">
      <c r="S1469">
        <f>IF(ISNUMBER('자료_거시'!$E1451),'자료_거시'!$E1451,S1468)</f>
        <v/>
      </c>
      <c r="T1469">
        <f>IF(AND(ISNUMBER('자료_거시'!$D1451),ISNUMBER('자료_거시'!$E1451)),IFERROR('자료_거시'!$E1451-INDEX($S$21:$S$4020,MATCH(EDATE('자료_거시'!$D1451,-'설정'!$B$17),'자료_거시'!$D$3:INDEX('자료_거시'!$D$3:$D$4002,$K$6),1)),""),"")</f>
        <v/>
      </c>
      <c r="U1469">
        <f>IF(ISNUMBER(T1469),'자료_거시'!$D1451,"")</f>
        <v/>
      </c>
      <c r="V1469">
        <f>IF(ISNUMBER(U1469),IF(U1469&gt;$L$6,T1469,""),"")</f>
        <v/>
      </c>
      <c r="W1469">
        <f>IF(AND(ISNUMBER('자료_거시'!$G1451),ISNUMBER('자료_거시'!$H1451)),'자료_거시'!$H1451,"")</f>
        <v/>
      </c>
      <c r="X1469">
        <f>IF(ISNUMBER(W1469),'자료_거시'!$G1451,"")</f>
        <v/>
      </c>
      <c r="Y1469">
        <f>IF(ISNUMBER(X1469),IF(X1469&gt;$L$7,W1469,""),"")</f>
        <v/>
      </c>
      <c r="Z1469">
        <f>IF(ISNUMBER('자료_거시'!$K1451),'자료_거시'!$K1451,Z1468)</f>
        <v/>
      </c>
      <c r="AA1469">
        <f>IF(AND(ISNUMBER('자료_거시'!$J1451),ISNUMBER('자료_거시'!$K1451)),IFERROR('자료_거시'!$K1451/INDEX($Z$21:$Z$4020,MATCH(EDATE('자료_거시'!$J1451,-'설정'!$B$17),'자료_거시'!$J$3:INDEX('자료_거시'!$J$3:$J$4002,$K$8),1))-1,""),"")</f>
        <v/>
      </c>
      <c r="AB1469">
        <f>IF(ISNUMBER(AA1469),'자료_거시'!$J1451,"")</f>
        <v/>
      </c>
      <c r="AC1469">
        <f>IF(ISNUMBER(AB1469),IF(AB1469&gt;$L$8,AA1469,""),"")</f>
        <v/>
      </c>
    </row>
    <row r="1470">
      <c r="S1470">
        <f>IF(ISNUMBER('자료_거시'!$E1452),'자료_거시'!$E1452,S1469)</f>
        <v/>
      </c>
      <c r="T1470">
        <f>IF(AND(ISNUMBER('자료_거시'!$D1452),ISNUMBER('자료_거시'!$E1452)),IFERROR('자료_거시'!$E1452-INDEX($S$21:$S$4020,MATCH(EDATE('자료_거시'!$D1452,-'설정'!$B$17),'자료_거시'!$D$3:INDEX('자료_거시'!$D$3:$D$4002,$K$6),1)),""),"")</f>
        <v/>
      </c>
      <c r="U1470">
        <f>IF(ISNUMBER(T1470),'자료_거시'!$D1452,"")</f>
        <v/>
      </c>
      <c r="V1470">
        <f>IF(ISNUMBER(U1470),IF(U1470&gt;$L$6,T1470,""),"")</f>
        <v/>
      </c>
      <c r="W1470">
        <f>IF(AND(ISNUMBER('자료_거시'!$G1452),ISNUMBER('자료_거시'!$H1452)),'자료_거시'!$H1452,"")</f>
        <v/>
      </c>
      <c r="X1470">
        <f>IF(ISNUMBER(W1470),'자료_거시'!$G1452,"")</f>
        <v/>
      </c>
      <c r="Y1470">
        <f>IF(ISNUMBER(X1470),IF(X1470&gt;$L$7,W1470,""),"")</f>
        <v/>
      </c>
      <c r="Z1470">
        <f>IF(ISNUMBER('자료_거시'!$K1452),'자료_거시'!$K1452,Z1469)</f>
        <v/>
      </c>
      <c r="AA1470">
        <f>IF(AND(ISNUMBER('자료_거시'!$J1452),ISNUMBER('자료_거시'!$K1452)),IFERROR('자료_거시'!$K1452/INDEX($Z$21:$Z$4020,MATCH(EDATE('자료_거시'!$J1452,-'설정'!$B$17),'자료_거시'!$J$3:INDEX('자료_거시'!$J$3:$J$4002,$K$8),1))-1,""),"")</f>
        <v/>
      </c>
      <c r="AB1470">
        <f>IF(ISNUMBER(AA1470),'자료_거시'!$J1452,"")</f>
        <v/>
      </c>
      <c r="AC1470">
        <f>IF(ISNUMBER(AB1470),IF(AB1470&gt;$L$8,AA1470,""),"")</f>
        <v/>
      </c>
    </row>
    <row r="1471">
      <c r="S1471">
        <f>IF(ISNUMBER('자료_거시'!$E1453),'자료_거시'!$E1453,S1470)</f>
        <v/>
      </c>
      <c r="T1471">
        <f>IF(AND(ISNUMBER('자료_거시'!$D1453),ISNUMBER('자료_거시'!$E1453)),IFERROR('자료_거시'!$E1453-INDEX($S$21:$S$4020,MATCH(EDATE('자료_거시'!$D1453,-'설정'!$B$17),'자료_거시'!$D$3:INDEX('자료_거시'!$D$3:$D$4002,$K$6),1)),""),"")</f>
        <v/>
      </c>
      <c r="U1471">
        <f>IF(ISNUMBER(T1471),'자료_거시'!$D1453,"")</f>
        <v/>
      </c>
      <c r="V1471">
        <f>IF(ISNUMBER(U1471),IF(U1471&gt;$L$6,T1471,""),"")</f>
        <v/>
      </c>
      <c r="W1471">
        <f>IF(AND(ISNUMBER('자료_거시'!$G1453),ISNUMBER('자료_거시'!$H1453)),'자료_거시'!$H1453,"")</f>
        <v/>
      </c>
      <c r="X1471">
        <f>IF(ISNUMBER(W1471),'자료_거시'!$G1453,"")</f>
        <v/>
      </c>
      <c r="Y1471">
        <f>IF(ISNUMBER(X1471),IF(X1471&gt;$L$7,W1471,""),"")</f>
        <v/>
      </c>
      <c r="Z1471">
        <f>IF(ISNUMBER('자료_거시'!$K1453),'자료_거시'!$K1453,Z1470)</f>
        <v/>
      </c>
      <c r="AA1471">
        <f>IF(AND(ISNUMBER('자료_거시'!$J1453),ISNUMBER('자료_거시'!$K1453)),IFERROR('자료_거시'!$K1453/INDEX($Z$21:$Z$4020,MATCH(EDATE('자료_거시'!$J1453,-'설정'!$B$17),'자료_거시'!$J$3:INDEX('자료_거시'!$J$3:$J$4002,$K$8),1))-1,""),"")</f>
        <v/>
      </c>
      <c r="AB1471">
        <f>IF(ISNUMBER(AA1471),'자료_거시'!$J1453,"")</f>
        <v/>
      </c>
      <c r="AC1471">
        <f>IF(ISNUMBER(AB1471),IF(AB1471&gt;$L$8,AA1471,""),"")</f>
        <v/>
      </c>
    </row>
    <row r="1472">
      <c r="S1472">
        <f>IF(ISNUMBER('자료_거시'!$E1454),'자료_거시'!$E1454,S1471)</f>
        <v/>
      </c>
      <c r="T1472">
        <f>IF(AND(ISNUMBER('자료_거시'!$D1454),ISNUMBER('자료_거시'!$E1454)),IFERROR('자료_거시'!$E1454-INDEX($S$21:$S$4020,MATCH(EDATE('자료_거시'!$D1454,-'설정'!$B$17),'자료_거시'!$D$3:INDEX('자료_거시'!$D$3:$D$4002,$K$6),1)),""),"")</f>
        <v/>
      </c>
      <c r="U1472">
        <f>IF(ISNUMBER(T1472),'자료_거시'!$D1454,"")</f>
        <v/>
      </c>
      <c r="V1472">
        <f>IF(ISNUMBER(U1472),IF(U1472&gt;$L$6,T1472,""),"")</f>
        <v/>
      </c>
      <c r="W1472">
        <f>IF(AND(ISNUMBER('자료_거시'!$G1454),ISNUMBER('자료_거시'!$H1454)),'자료_거시'!$H1454,"")</f>
        <v/>
      </c>
      <c r="X1472">
        <f>IF(ISNUMBER(W1472),'자료_거시'!$G1454,"")</f>
        <v/>
      </c>
      <c r="Y1472">
        <f>IF(ISNUMBER(X1472),IF(X1472&gt;$L$7,W1472,""),"")</f>
        <v/>
      </c>
      <c r="Z1472">
        <f>IF(ISNUMBER('자료_거시'!$K1454),'자료_거시'!$K1454,Z1471)</f>
        <v/>
      </c>
      <c r="AA1472">
        <f>IF(AND(ISNUMBER('자료_거시'!$J1454),ISNUMBER('자료_거시'!$K1454)),IFERROR('자료_거시'!$K1454/INDEX($Z$21:$Z$4020,MATCH(EDATE('자료_거시'!$J1454,-'설정'!$B$17),'자료_거시'!$J$3:INDEX('자료_거시'!$J$3:$J$4002,$K$8),1))-1,""),"")</f>
        <v/>
      </c>
      <c r="AB1472">
        <f>IF(ISNUMBER(AA1472),'자료_거시'!$J1454,"")</f>
        <v/>
      </c>
      <c r="AC1472">
        <f>IF(ISNUMBER(AB1472),IF(AB1472&gt;$L$8,AA1472,""),"")</f>
        <v/>
      </c>
    </row>
    <row r="1473">
      <c r="S1473">
        <f>IF(ISNUMBER('자료_거시'!$E1455),'자료_거시'!$E1455,S1472)</f>
        <v/>
      </c>
      <c r="T1473">
        <f>IF(AND(ISNUMBER('자료_거시'!$D1455),ISNUMBER('자료_거시'!$E1455)),IFERROR('자료_거시'!$E1455-INDEX($S$21:$S$4020,MATCH(EDATE('자료_거시'!$D1455,-'설정'!$B$17),'자료_거시'!$D$3:INDEX('자료_거시'!$D$3:$D$4002,$K$6),1)),""),"")</f>
        <v/>
      </c>
      <c r="U1473">
        <f>IF(ISNUMBER(T1473),'자료_거시'!$D1455,"")</f>
        <v/>
      </c>
      <c r="V1473">
        <f>IF(ISNUMBER(U1473),IF(U1473&gt;$L$6,T1473,""),"")</f>
        <v/>
      </c>
      <c r="W1473">
        <f>IF(AND(ISNUMBER('자료_거시'!$G1455),ISNUMBER('자료_거시'!$H1455)),'자료_거시'!$H1455,"")</f>
        <v/>
      </c>
      <c r="X1473">
        <f>IF(ISNUMBER(W1473),'자료_거시'!$G1455,"")</f>
        <v/>
      </c>
      <c r="Y1473">
        <f>IF(ISNUMBER(X1473),IF(X1473&gt;$L$7,W1473,""),"")</f>
        <v/>
      </c>
      <c r="Z1473">
        <f>IF(ISNUMBER('자료_거시'!$K1455),'자료_거시'!$K1455,Z1472)</f>
        <v/>
      </c>
      <c r="AA1473">
        <f>IF(AND(ISNUMBER('자료_거시'!$J1455),ISNUMBER('자료_거시'!$K1455)),IFERROR('자료_거시'!$K1455/INDEX($Z$21:$Z$4020,MATCH(EDATE('자료_거시'!$J1455,-'설정'!$B$17),'자료_거시'!$J$3:INDEX('자료_거시'!$J$3:$J$4002,$K$8),1))-1,""),"")</f>
        <v/>
      </c>
      <c r="AB1473">
        <f>IF(ISNUMBER(AA1473),'자료_거시'!$J1455,"")</f>
        <v/>
      </c>
      <c r="AC1473">
        <f>IF(ISNUMBER(AB1473),IF(AB1473&gt;$L$8,AA1473,""),"")</f>
        <v/>
      </c>
    </row>
    <row r="1474">
      <c r="S1474">
        <f>IF(ISNUMBER('자료_거시'!$E1456),'자료_거시'!$E1456,S1473)</f>
        <v/>
      </c>
      <c r="T1474">
        <f>IF(AND(ISNUMBER('자료_거시'!$D1456),ISNUMBER('자료_거시'!$E1456)),IFERROR('자료_거시'!$E1456-INDEX($S$21:$S$4020,MATCH(EDATE('자료_거시'!$D1456,-'설정'!$B$17),'자료_거시'!$D$3:INDEX('자료_거시'!$D$3:$D$4002,$K$6),1)),""),"")</f>
        <v/>
      </c>
      <c r="U1474">
        <f>IF(ISNUMBER(T1474),'자료_거시'!$D1456,"")</f>
        <v/>
      </c>
      <c r="V1474">
        <f>IF(ISNUMBER(U1474),IF(U1474&gt;$L$6,T1474,""),"")</f>
        <v/>
      </c>
      <c r="W1474">
        <f>IF(AND(ISNUMBER('자료_거시'!$G1456),ISNUMBER('자료_거시'!$H1456)),'자료_거시'!$H1456,"")</f>
        <v/>
      </c>
      <c r="X1474">
        <f>IF(ISNUMBER(W1474),'자료_거시'!$G1456,"")</f>
        <v/>
      </c>
      <c r="Y1474">
        <f>IF(ISNUMBER(X1474),IF(X1474&gt;$L$7,W1474,""),"")</f>
        <v/>
      </c>
      <c r="Z1474">
        <f>IF(ISNUMBER('자료_거시'!$K1456),'자료_거시'!$K1456,Z1473)</f>
        <v/>
      </c>
      <c r="AA1474">
        <f>IF(AND(ISNUMBER('자료_거시'!$J1456),ISNUMBER('자료_거시'!$K1456)),IFERROR('자료_거시'!$K1456/INDEX($Z$21:$Z$4020,MATCH(EDATE('자료_거시'!$J1456,-'설정'!$B$17),'자료_거시'!$J$3:INDEX('자료_거시'!$J$3:$J$4002,$K$8),1))-1,""),"")</f>
        <v/>
      </c>
      <c r="AB1474">
        <f>IF(ISNUMBER(AA1474),'자료_거시'!$J1456,"")</f>
        <v/>
      </c>
      <c r="AC1474">
        <f>IF(ISNUMBER(AB1474),IF(AB1474&gt;$L$8,AA1474,""),"")</f>
        <v/>
      </c>
    </row>
    <row r="1475">
      <c r="S1475">
        <f>IF(ISNUMBER('자료_거시'!$E1457),'자료_거시'!$E1457,S1474)</f>
        <v/>
      </c>
      <c r="T1475">
        <f>IF(AND(ISNUMBER('자료_거시'!$D1457),ISNUMBER('자료_거시'!$E1457)),IFERROR('자료_거시'!$E1457-INDEX($S$21:$S$4020,MATCH(EDATE('자료_거시'!$D1457,-'설정'!$B$17),'자료_거시'!$D$3:INDEX('자료_거시'!$D$3:$D$4002,$K$6),1)),""),"")</f>
        <v/>
      </c>
      <c r="U1475">
        <f>IF(ISNUMBER(T1475),'자료_거시'!$D1457,"")</f>
        <v/>
      </c>
      <c r="V1475">
        <f>IF(ISNUMBER(U1475),IF(U1475&gt;$L$6,T1475,""),"")</f>
        <v/>
      </c>
      <c r="W1475">
        <f>IF(AND(ISNUMBER('자료_거시'!$G1457),ISNUMBER('자료_거시'!$H1457)),'자료_거시'!$H1457,"")</f>
        <v/>
      </c>
      <c r="X1475">
        <f>IF(ISNUMBER(W1475),'자료_거시'!$G1457,"")</f>
        <v/>
      </c>
      <c r="Y1475">
        <f>IF(ISNUMBER(X1475),IF(X1475&gt;$L$7,W1475,""),"")</f>
        <v/>
      </c>
      <c r="Z1475">
        <f>IF(ISNUMBER('자료_거시'!$K1457),'자료_거시'!$K1457,Z1474)</f>
        <v/>
      </c>
      <c r="AA1475">
        <f>IF(AND(ISNUMBER('자료_거시'!$J1457),ISNUMBER('자료_거시'!$K1457)),IFERROR('자료_거시'!$K1457/INDEX($Z$21:$Z$4020,MATCH(EDATE('자료_거시'!$J1457,-'설정'!$B$17),'자료_거시'!$J$3:INDEX('자료_거시'!$J$3:$J$4002,$K$8),1))-1,""),"")</f>
        <v/>
      </c>
      <c r="AB1475">
        <f>IF(ISNUMBER(AA1475),'자료_거시'!$J1457,"")</f>
        <v/>
      </c>
      <c r="AC1475">
        <f>IF(ISNUMBER(AB1475),IF(AB1475&gt;$L$8,AA1475,""),"")</f>
        <v/>
      </c>
    </row>
    <row r="1476">
      <c r="S1476">
        <f>IF(ISNUMBER('자료_거시'!$E1458),'자료_거시'!$E1458,S1475)</f>
        <v/>
      </c>
      <c r="T1476">
        <f>IF(AND(ISNUMBER('자료_거시'!$D1458),ISNUMBER('자료_거시'!$E1458)),IFERROR('자료_거시'!$E1458-INDEX($S$21:$S$4020,MATCH(EDATE('자료_거시'!$D1458,-'설정'!$B$17),'자료_거시'!$D$3:INDEX('자료_거시'!$D$3:$D$4002,$K$6),1)),""),"")</f>
        <v/>
      </c>
      <c r="U1476">
        <f>IF(ISNUMBER(T1476),'자료_거시'!$D1458,"")</f>
        <v/>
      </c>
      <c r="V1476">
        <f>IF(ISNUMBER(U1476),IF(U1476&gt;$L$6,T1476,""),"")</f>
        <v/>
      </c>
      <c r="W1476">
        <f>IF(AND(ISNUMBER('자료_거시'!$G1458),ISNUMBER('자료_거시'!$H1458)),'자료_거시'!$H1458,"")</f>
        <v/>
      </c>
      <c r="X1476">
        <f>IF(ISNUMBER(W1476),'자료_거시'!$G1458,"")</f>
        <v/>
      </c>
      <c r="Y1476">
        <f>IF(ISNUMBER(X1476),IF(X1476&gt;$L$7,W1476,""),"")</f>
        <v/>
      </c>
      <c r="Z1476">
        <f>IF(ISNUMBER('자료_거시'!$K1458),'자료_거시'!$K1458,Z1475)</f>
        <v/>
      </c>
      <c r="AA1476">
        <f>IF(AND(ISNUMBER('자료_거시'!$J1458),ISNUMBER('자료_거시'!$K1458)),IFERROR('자료_거시'!$K1458/INDEX($Z$21:$Z$4020,MATCH(EDATE('자료_거시'!$J1458,-'설정'!$B$17),'자료_거시'!$J$3:INDEX('자료_거시'!$J$3:$J$4002,$K$8),1))-1,""),"")</f>
        <v/>
      </c>
      <c r="AB1476">
        <f>IF(ISNUMBER(AA1476),'자료_거시'!$J1458,"")</f>
        <v/>
      </c>
      <c r="AC1476">
        <f>IF(ISNUMBER(AB1476),IF(AB1476&gt;$L$8,AA1476,""),"")</f>
        <v/>
      </c>
    </row>
    <row r="1477">
      <c r="S1477">
        <f>IF(ISNUMBER('자료_거시'!$E1459),'자료_거시'!$E1459,S1476)</f>
        <v/>
      </c>
      <c r="T1477">
        <f>IF(AND(ISNUMBER('자료_거시'!$D1459),ISNUMBER('자료_거시'!$E1459)),IFERROR('자료_거시'!$E1459-INDEX($S$21:$S$4020,MATCH(EDATE('자료_거시'!$D1459,-'설정'!$B$17),'자료_거시'!$D$3:INDEX('자료_거시'!$D$3:$D$4002,$K$6),1)),""),"")</f>
        <v/>
      </c>
      <c r="U1477">
        <f>IF(ISNUMBER(T1477),'자료_거시'!$D1459,"")</f>
        <v/>
      </c>
      <c r="V1477">
        <f>IF(ISNUMBER(U1477),IF(U1477&gt;$L$6,T1477,""),"")</f>
        <v/>
      </c>
      <c r="W1477">
        <f>IF(AND(ISNUMBER('자료_거시'!$G1459),ISNUMBER('자료_거시'!$H1459)),'자료_거시'!$H1459,"")</f>
        <v/>
      </c>
      <c r="X1477">
        <f>IF(ISNUMBER(W1477),'자료_거시'!$G1459,"")</f>
        <v/>
      </c>
      <c r="Y1477">
        <f>IF(ISNUMBER(X1477),IF(X1477&gt;$L$7,W1477,""),"")</f>
        <v/>
      </c>
      <c r="Z1477">
        <f>IF(ISNUMBER('자료_거시'!$K1459),'자료_거시'!$K1459,Z1476)</f>
        <v/>
      </c>
      <c r="AA1477">
        <f>IF(AND(ISNUMBER('자료_거시'!$J1459),ISNUMBER('자료_거시'!$K1459)),IFERROR('자료_거시'!$K1459/INDEX($Z$21:$Z$4020,MATCH(EDATE('자료_거시'!$J1459,-'설정'!$B$17),'자료_거시'!$J$3:INDEX('자료_거시'!$J$3:$J$4002,$K$8),1))-1,""),"")</f>
        <v/>
      </c>
      <c r="AB1477">
        <f>IF(ISNUMBER(AA1477),'자료_거시'!$J1459,"")</f>
        <v/>
      </c>
      <c r="AC1477">
        <f>IF(ISNUMBER(AB1477),IF(AB1477&gt;$L$8,AA1477,""),"")</f>
        <v/>
      </c>
    </row>
    <row r="1478">
      <c r="S1478">
        <f>IF(ISNUMBER('자료_거시'!$E1460),'자료_거시'!$E1460,S1477)</f>
        <v/>
      </c>
      <c r="T1478">
        <f>IF(AND(ISNUMBER('자료_거시'!$D1460),ISNUMBER('자료_거시'!$E1460)),IFERROR('자료_거시'!$E1460-INDEX($S$21:$S$4020,MATCH(EDATE('자료_거시'!$D1460,-'설정'!$B$17),'자료_거시'!$D$3:INDEX('자료_거시'!$D$3:$D$4002,$K$6),1)),""),"")</f>
        <v/>
      </c>
      <c r="U1478">
        <f>IF(ISNUMBER(T1478),'자료_거시'!$D1460,"")</f>
        <v/>
      </c>
      <c r="V1478">
        <f>IF(ISNUMBER(U1478),IF(U1478&gt;$L$6,T1478,""),"")</f>
        <v/>
      </c>
      <c r="W1478">
        <f>IF(AND(ISNUMBER('자료_거시'!$G1460),ISNUMBER('자료_거시'!$H1460)),'자료_거시'!$H1460,"")</f>
        <v/>
      </c>
      <c r="X1478">
        <f>IF(ISNUMBER(W1478),'자료_거시'!$G1460,"")</f>
        <v/>
      </c>
      <c r="Y1478">
        <f>IF(ISNUMBER(X1478),IF(X1478&gt;$L$7,W1478,""),"")</f>
        <v/>
      </c>
      <c r="Z1478">
        <f>IF(ISNUMBER('자료_거시'!$K1460),'자료_거시'!$K1460,Z1477)</f>
        <v/>
      </c>
      <c r="AA1478">
        <f>IF(AND(ISNUMBER('자료_거시'!$J1460),ISNUMBER('자료_거시'!$K1460)),IFERROR('자료_거시'!$K1460/INDEX($Z$21:$Z$4020,MATCH(EDATE('자료_거시'!$J1460,-'설정'!$B$17),'자료_거시'!$J$3:INDEX('자료_거시'!$J$3:$J$4002,$K$8),1))-1,""),"")</f>
        <v/>
      </c>
      <c r="AB1478">
        <f>IF(ISNUMBER(AA1478),'자료_거시'!$J1460,"")</f>
        <v/>
      </c>
      <c r="AC1478">
        <f>IF(ISNUMBER(AB1478),IF(AB1478&gt;$L$8,AA1478,""),"")</f>
        <v/>
      </c>
    </row>
    <row r="1479">
      <c r="S1479">
        <f>IF(ISNUMBER('자료_거시'!$E1461),'자료_거시'!$E1461,S1478)</f>
        <v/>
      </c>
      <c r="T1479">
        <f>IF(AND(ISNUMBER('자료_거시'!$D1461),ISNUMBER('자료_거시'!$E1461)),IFERROR('자료_거시'!$E1461-INDEX($S$21:$S$4020,MATCH(EDATE('자료_거시'!$D1461,-'설정'!$B$17),'자료_거시'!$D$3:INDEX('자료_거시'!$D$3:$D$4002,$K$6),1)),""),"")</f>
        <v/>
      </c>
      <c r="U1479">
        <f>IF(ISNUMBER(T1479),'자료_거시'!$D1461,"")</f>
        <v/>
      </c>
      <c r="V1479">
        <f>IF(ISNUMBER(U1479),IF(U1479&gt;$L$6,T1479,""),"")</f>
        <v/>
      </c>
      <c r="W1479">
        <f>IF(AND(ISNUMBER('자료_거시'!$G1461),ISNUMBER('자료_거시'!$H1461)),'자료_거시'!$H1461,"")</f>
        <v/>
      </c>
      <c r="X1479">
        <f>IF(ISNUMBER(W1479),'자료_거시'!$G1461,"")</f>
        <v/>
      </c>
      <c r="Y1479">
        <f>IF(ISNUMBER(X1479),IF(X1479&gt;$L$7,W1479,""),"")</f>
        <v/>
      </c>
      <c r="Z1479">
        <f>IF(ISNUMBER('자료_거시'!$K1461),'자료_거시'!$K1461,Z1478)</f>
        <v/>
      </c>
      <c r="AA1479">
        <f>IF(AND(ISNUMBER('자료_거시'!$J1461),ISNUMBER('자료_거시'!$K1461)),IFERROR('자료_거시'!$K1461/INDEX($Z$21:$Z$4020,MATCH(EDATE('자료_거시'!$J1461,-'설정'!$B$17),'자료_거시'!$J$3:INDEX('자료_거시'!$J$3:$J$4002,$K$8),1))-1,""),"")</f>
        <v/>
      </c>
      <c r="AB1479">
        <f>IF(ISNUMBER(AA1479),'자료_거시'!$J1461,"")</f>
        <v/>
      </c>
      <c r="AC1479">
        <f>IF(ISNUMBER(AB1479),IF(AB1479&gt;$L$8,AA1479,""),"")</f>
        <v/>
      </c>
    </row>
    <row r="1480">
      <c r="S1480">
        <f>IF(ISNUMBER('자료_거시'!$E1462),'자료_거시'!$E1462,S1479)</f>
        <v/>
      </c>
      <c r="T1480">
        <f>IF(AND(ISNUMBER('자료_거시'!$D1462),ISNUMBER('자료_거시'!$E1462)),IFERROR('자료_거시'!$E1462-INDEX($S$21:$S$4020,MATCH(EDATE('자료_거시'!$D1462,-'설정'!$B$17),'자료_거시'!$D$3:INDEX('자료_거시'!$D$3:$D$4002,$K$6),1)),""),"")</f>
        <v/>
      </c>
      <c r="U1480">
        <f>IF(ISNUMBER(T1480),'자료_거시'!$D1462,"")</f>
        <v/>
      </c>
      <c r="V1480">
        <f>IF(ISNUMBER(U1480),IF(U1480&gt;$L$6,T1480,""),"")</f>
        <v/>
      </c>
      <c r="W1480">
        <f>IF(AND(ISNUMBER('자료_거시'!$G1462),ISNUMBER('자료_거시'!$H1462)),'자료_거시'!$H1462,"")</f>
        <v/>
      </c>
      <c r="X1480">
        <f>IF(ISNUMBER(W1480),'자료_거시'!$G1462,"")</f>
        <v/>
      </c>
      <c r="Y1480">
        <f>IF(ISNUMBER(X1480),IF(X1480&gt;$L$7,W1480,""),"")</f>
        <v/>
      </c>
      <c r="Z1480">
        <f>IF(ISNUMBER('자료_거시'!$K1462),'자료_거시'!$K1462,Z1479)</f>
        <v/>
      </c>
      <c r="AA1480">
        <f>IF(AND(ISNUMBER('자료_거시'!$J1462),ISNUMBER('자료_거시'!$K1462)),IFERROR('자료_거시'!$K1462/INDEX($Z$21:$Z$4020,MATCH(EDATE('자료_거시'!$J1462,-'설정'!$B$17),'자료_거시'!$J$3:INDEX('자료_거시'!$J$3:$J$4002,$K$8),1))-1,""),"")</f>
        <v/>
      </c>
      <c r="AB1480">
        <f>IF(ISNUMBER(AA1480),'자료_거시'!$J1462,"")</f>
        <v/>
      </c>
      <c r="AC1480">
        <f>IF(ISNUMBER(AB1480),IF(AB1480&gt;$L$8,AA1480,""),"")</f>
        <v/>
      </c>
    </row>
    <row r="1481">
      <c r="S1481">
        <f>IF(ISNUMBER('자료_거시'!$E1463),'자료_거시'!$E1463,S1480)</f>
        <v/>
      </c>
      <c r="T1481">
        <f>IF(AND(ISNUMBER('자료_거시'!$D1463),ISNUMBER('자료_거시'!$E1463)),IFERROR('자료_거시'!$E1463-INDEX($S$21:$S$4020,MATCH(EDATE('자료_거시'!$D1463,-'설정'!$B$17),'자료_거시'!$D$3:INDEX('자료_거시'!$D$3:$D$4002,$K$6),1)),""),"")</f>
        <v/>
      </c>
      <c r="U1481">
        <f>IF(ISNUMBER(T1481),'자료_거시'!$D1463,"")</f>
        <v/>
      </c>
      <c r="V1481">
        <f>IF(ISNUMBER(U1481),IF(U1481&gt;$L$6,T1481,""),"")</f>
        <v/>
      </c>
      <c r="W1481">
        <f>IF(AND(ISNUMBER('자료_거시'!$G1463),ISNUMBER('자료_거시'!$H1463)),'자료_거시'!$H1463,"")</f>
        <v/>
      </c>
      <c r="X1481">
        <f>IF(ISNUMBER(W1481),'자료_거시'!$G1463,"")</f>
        <v/>
      </c>
      <c r="Y1481">
        <f>IF(ISNUMBER(X1481),IF(X1481&gt;$L$7,W1481,""),"")</f>
        <v/>
      </c>
      <c r="Z1481">
        <f>IF(ISNUMBER('자료_거시'!$K1463),'자료_거시'!$K1463,Z1480)</f>
        <v/>
      </c>
      <c r="AA1481">
        <f>IF(AND(ISNUMBER('자료_거시'!$J1463),ISNUMBER('자료_거시'!$K1463)),IFERROR('자료_거시'!$K1463/INDEX($Z$21:$Z$4020,MATCH(EDATE('자료_거시'!$J1463,-'설정'!$B$17),'자료_거시'!$J$3:INDEX('자료_거시'!$J$3:$J$4002,$K$8),1))-1,""),"")</f>
        <v/>
      </c>
      <c r="AB1481">
        <f>IF(ISNUMBER(AA1481),'자료_거시'!$J1463,"")</f>
        <v/>
      </c>
      <c r="AC1481">
        <f>IF(ISNUMBER(AB1481),IF(AB1481&gt;$L$8,AA1481,""),"")</f>
        <v/>
      </c>
    </row>
    <row r="1482">
      <c r="S1482">
        <f>IF(ISNUMBER('자료_거시'!$E1464),'자료_거시'!$E1464,S1481)</f>
        <v/>
      </c>
      <c r="T1482">
        <f>IF(AND(ISNUMBER('자료_거시'!$D1464),ISNUMBER('자료_거시'!$E1464)),IFERROR('자료_거시'!$E1464-INDEX($S$21:$S$4020,MATCH(EDATE('자료_거시'!$D1464,-'설정'!$B$17),'자료_거시'!$D$3:INDEX('자료_거시'!$D$3:$D$4002,$K$6),1)),""),"")</f>
        <v/>
      </c>
      <c r="U1482">
        <f>IF(ISNUMBER(T1482),'자료_거시'!$D1464,"")</f>
        <v/>
      </c>
      <c r="V1482">
        <f>IF(ISNUMBER(U1482),IF(U1482&gt;$L$6,T1482,""),"")</f>
        <v/>
      </c>
      <c r="W1482">
        <f>IF(AND(ISNUMBER('자료_거시'!$G1464),ISNUMBER('자료_거시'!$H1464)),'자료_거시'!$H1464,"")</f>
        <v/>
      </c>
      <c r="X1482">
        <f>IF(ISNUMBER(W1482),'자료_거시'!$G1464,"")</f>
        <v/>
      </c>
      <c r="Y1482">
        <f>IF(ISNUMBER(X1482),IF(X1482&gt;$L$7,W1482,""),"")</f>
        <v/>
      </c>
      <c r="Z1482">
        <f>IF(ISNUMBER('자료_거시'!$K1464),'자료_거시'!$K1464,Z1481)</f>
        <v/>
      </c>
      <c r="AA1482">
        <f>IF(AND(ISNUMBER('자료_거시'!$J1464),ISNUMBER('자료_거시'!$K1464)),IFERROR('자료_거시'!$K1464/INDEX($Z$21:$Z$4020,MATCH(EDATE('자료_거시'!$J1464,-'설정'!$B$17),'자료_거시'!$J$3:INDEX('자료_거시'!$J$3:$J$4002,$K$8),1))-1,""),"")</f>
        <v/>
      </c>
      <c r="AB1482">
        <f>IF(ISNUMBER(AA1482),'자료_거시'!$J1464,"")</f>
        <v/>
      </c>
      <c r="AC1482">
        <f>IF(ISNUMBER(AB1482),IF(AB1482&gt;$L$8,AA1482,""),"")</f>
        <v/>
      </c>
    </row>
    <row r="1483">
      <c r="S1483">
        <f>IF(ISNUMBER('자료_거시'!$E1465),'자료_거시'!$E1465,S1482)</f>
        <v/>
      </c>
      <c r="T1483">
        <f>IF(AND(ISNUMBER('자료_거시'!$D1465),ISNUMBER('자료_거시'!$E1465)),IFERROR('자료_거시'!$E1465-INDEX($S$21:$S$4020,MATCH(EDATE('자료_거시'!$D1465,-'설정'!$B$17),'자료_거시'!$D$3:INDEX('자료_거시'!$D$3:$D$4002,$K$6),1)),""),"")</f>
        <v/>
      </c>
      <c r="U1483">
        <f>IF(ISNUMBER(T1483),'자료_거시'!$D1465,"")</f>
        <v/>
      </c>
      <c r="V1483">
        <f>IF(ISNUMBER(U1483),IF(U1483&gt;$L$6,T1483,""),"")</f>
        <v/>
      </c>
      <c r="W1483">
        <f>IF(AND(ISNUMBER('자료_거시'!$G1465),ISNUMBER('자료_거시'!$H1465)),'자료_거시'!$H1465,"")</f>
        <v/>
      </c>
      <c r="X1483">
        <f>IF(ISNUMBER(W1483),'자료_거시'!$G1465,"")</f>
        <v/>
      </c>
      <c r="Y1483">
        <f>IF(ISNUMBER(X1483),IF(X1483&gt;$L$7,W1483,""),"")</f>
        <v/>
      </c>
      <c r="Z1483">
        <f>IF(ISNUMBER('자료_거시'!$K1465),'자료_거시'!$K1465,Z1482)</f>
        <v/>
      </c>
      <c r="AA1483">
        <f>IF(AND(ISNUMBER('자료_거시'!$J1465),ISNUMBER('자료_거시'!$K1465)),IFERROR('자료_거시'!$K1465/INDEX($Z$21:$Z$4020,MATCH(EDATE('자료_거시'!$J1465,-'설정'!$B$17),'자료_거시'!$J$3:INDEX('자료_거시'!$J$3:$J$4002,$K$8),1))-1,""),"")</f>
        <v/>
      </c>
      <c r="AB1483">
        <f>IF(ISNUMBER(AA1483),'자료_거시'!$J1465,"")</f>
        <v/>
      </c>
      <c r="AC1483">
        <f>IF(ISNUMBER(AB1483),IF(AB1483&gt;$L$8,AA1483,""),"")</f>
        <v/>
      </c>
    </row>
    <row r="1484">
      <c r="S1484">
        <f>IF(ISNUMBER('자료_거시'!$E1466),'자료_거시'!$E1466,S1483)</f>
        <v/>
      </c>
      <c r="T1484">
        <f>IF(AND(ISNUMBER('자료_거시'!$D1466),ISNUMBER('자료_거시'!$E1466)),IFERROR('자료_거시'!$E1466-INDEX($S$21:$S$4020,MATCH(EDATE('자료_거시'!$D1466,-'설정'!$B$17),'자료_거시'!$D$3:INDEX('자료_거시'!$D$3:$D$4002,$K$6),1)),""),"")</f>
        <v/>
      </c>
      <c r="U1484">
        <f>IF(ISNUMBER(T1484),'자료_거시'!$D1466,"")</f>
        <v/>
      </c>
      <c r="V1484">
        <f>IF(ISNUMBER(U1484),IF(U1484&gt;$L$6,T1484,""),"")</f>
        <v/>
      </c>
      <c r="W1484">
        <f>IF(AND(ISNUMBER('자료_거시'!$G1466),ISNUMBER('자료_거시'!$H1466)),'자료_거시'!$H1466,"")</f>
        <v/>
      </c>
      <c r="X1484">
        <f>IF(ISNUMBER(W1484),'자료_거시'!$G1466,"")</f>
        <v/>
      </c>
      <c r="Y1484">
        <f>IF(ISNUMBER(X1484),IF(X1484&gt;$L$7,W1484,""),"")</f>
        <v/>
      </c>
      <c r="Z1484">
        <f>IF(ISNUMBER('자료_거시'!$K1466),'자료_거시'!$K1466,Z1483)</f>
        <v/>
      </c>
      <c r="AA1484">
        <f>IF(AND(ISNUMBER('자료_거시'!$J1466),ISNUMBER('자료_거시'!$K1466)),IFERROR('자료_거시'!$K1466/INDEX($Z$21:$Z$4020,MATCH(EDATE('자료_거시'!$J1466,-'설정'!$B$17),'자료_거시'!$J$3:INDEX('자료_거시'!$J$3:$J$4002,$K$8),1))-1,""),"")</f>
        <v/>
      </c>
      <c r="AB1484">
        <f>IF(ISNUMBER(AA1484),'자료_거시'!$J1466,"")</f>
        <v/>
      </c>
      <c r="AC1484">
        <f>IF(ISNUMBER(AB1484),IF(AB1484&gt;$L$8,AA1484,""),"")</f>
        <v/>
      </c>
    </row>
    <row r="1485">
      <c r="S1485">
        <f>IF(ISNUMBER('자료_거시'!$E1467),'자료_거시'!$E1467,S1484)</f>
        <v/>
      </c>
      <c r="T1485">
        <f>IF(AND(ISNUMBER('자료_거시'!$D1467),ISNUMBER('자료_거시'!$E1467)),IFERROR('자료_거시'!$E1467-INDEX($S$21:$S$4020,MATCH(EDATE('자료_거시'!$D1467,-'설정'!$B$17),'자료_거시'!$D$3:INDEX('자료_거시'!$D$3:$D$4002,$K$6),1)),""),"")</f>
        <v/>
      </c>
      <c r="U1485">
        <f>IF(ISNUMBER(T1485),'자료_거시'!$D1467,"")</f>
        <v/>
      </c>
      <c r="V1485">
        <f>IF(ISNUMBER(U1485),IF(U1485&gt;$L$6,T1485,""),"")</f>
        <v/>
      </c>
      <c r="W1485">
        <f>IF(AND(ISNUMBER('자료_거시'!$G1467),ISNUMBER('자료_거시'!$H1467)),'자료_거시'!$H1467,"")</f>
        <v/>
      </c>
      <c r="X1485">
        <f>IF(ISNUMBER(W1485),'자료_거시'!$G1467,"")</f>
        <v/>
      </c>
      <c r="Y1485">
        <f>IF(ISNUMBER(X1485),IF(X1485&gt;$L$7,W1485,""),"")</f>
        <v/>
      </c>
      <c r="Z1485">
        <f>IF(ISNUMBER('자료_거시'!$K1467),'자료_거시'!$K1467,Z1484)</f>
        <v/>
      </c>
      <c r="AA1485">
        <f>IF(AND(ISNUMBER('자료_거시'!$J1467),ISNUMBER('자료_거시'!$K1467)),IFERROR('자료_거시'!$K1467/INDEX($Z$21:$Z$4020,MATCH(EDATE('자료_거시'!$J1467,-'설정'!$B$17),'자료_거시'!$J$3:INDEX('자료_거시'!$J$3:$J$4002,$K$8),1))-1,""),"")</f>
        <v/>
      </c>
      <c r="AB1485">
        <f>IF(ISNUMBER(AA1485),'자료_거시'!$J1467,"")</f>
        <v/>
      </c>
      <c r="AC1485">
        <f>IF(ISNUMBER(AB1485),IF(AB1485&gt;$L$8,AA1485,""),"")</f>
        <v/>
      </c>
    </row>
    <row r="1486">
      <c r="S1486">
        <f>IF(ISNUMBER('자료_거시'!$E1468),'자료_거시'!$E1468,S1485)</f>
        <v/>
      </c>
      <c r="T1486">
        <f>IF(AND(ISNUMBER('자료_거시'!$D1468),ISNUMBER('자료_거시'!$E1468)),IFERROR('자료_거시'!$E1468-INDEX($S$21:$S$4020,MATCH(EDATE('자료_거시'!$D1468,-'설정'!$B$17),'자료_거시'!$D$3:INDEX('자료_거시'!$D$3:$D$4002,$K$6),1)),""),"")</f>
        <v/>
      </c>
      <c r="U1486">
        <f>IF(ISNUMBER(T1486),'자료_거시'!$D1468,"")</f>
        <v/>
      </c>
      <c r="V1486">
        <f>IF(ISNUMBER(U1486),IF(U1486&gt;$L$6,T1486,""),"")</f>
        <v/>
      </c>
      <c r="W1486">
        <f>IF(AND(ISNUMBER('자료_거시'!$G1468),ISNUMBER('자료_거시'!$H1468)),'자료_거시'!$H1468,"")</f>
        <v/>
      </c>
      <c r="X1486">
        <f>IF(ISNUMBER(W1486),'자료_거시'!$G1468,"")</f>
        <v/>
      </c>
      <c r="Y1486">
        <f>IF(ISNUMBER(X1486),IF(X1486&gt;$L$7,W1486,""),"")</f>
        <v/>
      </c>
      <c r="Z1486">
        <f>IF(ISNUMBER('자료_거시'!$K1468),'자료_거시'!$K1468,Z1485)</f>
        <v/>
      </c>
      <c r="AA1486">
        <f>IF(AND(ISNUMBER('자료_거시'!$J1468),ISNUMBER('자료_거시'!$K1468)),IFERROR('자료_거시'!$K1468/INDEX($Z$21:$Z$4020,MATCH(EDATE('자료_거시'!$J1468,-'설정'!$B$17),'자료_거시'!$J$3:INDEX('자료_거시'!$J$3:$J$4002,$K$8),1))-1,""),"")</f>
        <v/>
      </c>
      <c r="AB1486">
        <f>IF(ISNUMBER(AA1486),'자료_거시'!$J1468,"")</f>
        <v/>
      </c>
      <c r="AC1486">
        <f>IF(ISNUMBER(AB1486),IF(AB1486&gt;$L$8,AA1486,""),"")</f>
        <v/>
      </c>
    </row>
    <row r="1487">
      <c r="S1487">
        <f>IF(ISNUMBER('자료_거시'!$E1469),'자료_거시'!$E1469,S1486)</f>
        <v/>
      </c>
      <c r="T1487">
        <f>IF(AND(ISNUMBER('자료_거시'!$D1469),ISNUMBER('자료_거시'!$E1469)),IFERROR('자료_거시'!$E1469-INDEX($S$21:$S$4020,MATCH(EDATE('자료_거시'!$D1469,-'설정'!$B$17),'자료_거시'!$D$3:INDEX('자료_거시'!$D$3:$D$4002,$K$6),1)),""),"")</f>
        <v/>
      </c>
      <c r="U1487">
        <f>IF(ISNUMBER(T1487),'자료_거시'!$D1469,"")</f>
        <v/>
      </c>
      <c r="V1487">
        <f>IF(ISNUMBER(U1487),IF(U1487&gt;$L$6,T1487,""),"")</f>
        <v/>
      </c>
      <c r="W1487">
        <f>IF(AND(ISNUMBER('자료_거시'!$G1469),ISNUMBER('자료_거시'!$H1469)),'자료_거시'!$H1469,"")</f>
        <v/>
      </c>
      <c r="X1487">
        <f>IF(ISNUMBER(W1487),'자료_거시'!$G1469,"")</f>
        <v/>
      </c>
      <c r="Y1487">
        <f>IF(ISNUMBER(X1487),IF(X1487&gt;$L$7,W1487,""),"")</f>
        <v/>
      </c>
      <c r="Z1487">
        <f>IF(ISNUMBER('자료_거시'!$K1469),'자료_거시'!$K1469,Z1486)</f>
        <v/>
      </c>
      <c r="AA1487">
        <f>IF(AND(ISNUMBER('자료_거시'!$J1469),ISNUMBER('자료_거시'!$K1469)),IFERROR('자료_거시'!$K1469/INDEX($Z$21:$Z$4020,MATCH(EDATE('자료_거시'!$J1469,-'설정'!$B$17),'자료_거시'!$J$3:INDEX('자료_거시'!$J$3:$J$4002,$K$8),1))-1,""),"")</f>
        <v/>
      </c>
      <c r="AB1487">
        <f>IF(ISNUMBER(AA1487),'자료_거시'!$J1469,"")</f>
        <v/>
      </c>
      <c r="AC1487">
        <f>IF(ISNUMBER(AB1487),IF(AB1487&gt;$L$8,AA1487,""),"")</f>
        <v/>
      </c>
    </row>
    <row r="1488">
      <c r="S1488">
        <f>IF(ISNUMBER('자료_거시'!$E1470),'자료_거시'!$E1470,S1487)</f>
        <v/>
      </c>
      <c r="T1488">
        <f>IF(AND(ISNUMBER('자료_거시'!$D1470),ISNUMBER('자료_거시'!$E1470)),IFERROR('자료_거시'!$E1470-INDEX($S$21:$S$4020,MATCH(EDATE('자료_거시'!$D1470,-'설정'!$B$17),'자료_거시'!$D$3:INDEX('자료_거시'!$D$3:$D$4002,$K$6),1)),""),"")</f>
        <v/>
      </c>
      <c r="U1488">
        <f>IF(ISNUMBER(T1488),'자료_거시'!$D1470,"")</f>
        <v/>
      </c>
      <c r="V1488">
        <f>IF(ISNUMBER(U1488),IF(U1488&gt;$L$6,T1488,""),"")</f>
        <v/>
      </c>
      <c r="W1488">
        <f>IF(AND(ISNUMBER('자료_거시'!$G1470),ISNUMBER('자료_거시'!$H1470)),'자료_거시'!$H1470,"")</f>
        <v/>
      </c>
      <c r="X1488">
        <f>IF(ISNUMBER(W1488),'자료_거시'!$G1470,"")</f>
        <v/>
      </c>
      <c r="Y1488">
        <f>IF(ISNUMBER(X1488),IF(X1488&gt;$L$7,W1488,""),"")</f>
        <v/>
      </c>
      <c r="Z1488">
        <f>IF(ISNUMBER('자료_거시'!$K1470),'자료_거시'!$K1470,Z1487)</f>
        <v/>
      </c>
      <c r="AA1488">
        <f>IF(AND(ISNUMBER('자료_거시'!$J1470),ISNUMBER('자료_거시'!$K1470)),IFERROR('자료_거시'!$K1470/INDEX($Z$21:$Z$4020,MATCH(EDATE('자료_거시'!$J1470,-'설정'!$B$17),'자료_거시'!$J$3:INDEX('자료_거시'!$J$3:$J$4002,$K$8),1))-1,""),"")</f>
        <v/>
      </c>
      <c r="AB1488">
        <f>IF(ISNUMBER(AA1488),'자료_거시'!$J1470,"")</f>
        <v/>
      </c>
      <c r="AC1488">
        <f>IF(ISNUMBER(AB1488),IF(AB1488&gt;$L$8,AA1488,""),"")</f>
        <v/>
      </c>
    </row>
    <row r="1489">
      <c r="S1489">
        <f>IF(ISNUMBER('자료_거시'!$E1471),'자료_거시'!$E1471,S1488)</f>
        <v/>
      </c>
      <c r="T1489">
        <f>IF(AND(ISNUMBER('자료_거시'!$D1471),ISNUMBER('자료_거시'!$E1471)),IFERROR('자료_거시'!$E1471-INDEX($S$21:$S$4020,MATCH(EDATE('자료_거시'!$D1471,-'설정'!$B$17),'자료_거시'!$D$3:INDEX('자료_거시'!$D$3:$D$4002,$K$6),1)),""),"")</f>
        <v/>
      </c>
      <c r="U1489">
        <f>IF(ISNUMBER(T1489),'자료_거시'!$D1471,"")</f>
        <v/>
      </c>
      <c r="V1489">
        <f>IF(ISNUMBER(U1489),IF(U1489&gt;$L$6,T1489,""),"")</f>
        <v/>
      </c>
      <c r="W1489">
        <f>IF(AND(ISNUMBER('자료_거시'!$G1471),ISNUMBER('자료_거시'!$H1471)),'자료_거시'!$H1471,"")</f>
        <v/>
      </c>
      <c r="X1489">
        <f>IF(ISNUMBER(W1489),'자료_거시'!$G1471,"")</f>
        <v/>
      </c>
      <c r="Y1489">
        <f>IF(ISNUMBER(X1489),IF(X1489&gt;$L$7,W1489,""),"")</f>
        <v/>
      </c>
      <c r="Z1489">
        <f>IF(ISNUMBER('자료_거시'!$K1471),'자료_거시'!$K1471,Z1488)</f>
        <v/>
      </c>
      <c r="AA1489">
        <f>IF(AND(ISNUMBER('자료_거시'!$J1471),ISNUMBER('자료_거시'!$K1471)),IFERROR('자료_거시'!$K1471/INDEX($Z$21:$Z$4020,MATCH(EDATE('자료_거시'!$J1471,-'설정'!$B$17),'자료_거시'!$J$3:INDEX('자료_거시'!$J$3:$J$4002,$K$8),1))-1,""),"")</f>
        <v/>
      </c>
      <c r="AB1489">
        <f>IF(ISNUMBER(AA1489),'자료_거시'!$J1471,"")</f>
        <v/>
      </c>
      <c r="AC1489">
        <f>IF(ISNUMBER(AB1489),IF(AB1489&gt;$L$8,AA1489,""),"")</f>
        <v/>
      </c>
    </row>
    <row r="1490">
      <c r="S1490">
        <f>IF(ISNUMBER('자료_거시'!$E1472),'자료_거시'!$E1472,S1489)</f>
        <v/>
      </c>
      <c r="T1490">
        <f>IF(AND(ISNUMBER('자료_거시'!$D1472),ISNUMBER('자료_거시'!$E1472)),IFERROR('자료_거시'!$E1472-INDEX($S$21:$S$4020,MATCH(EDATE('자료_거시'!$D1472,-'설정'!$B$17),'자료_거시'!$D$3:INDEX('자료_거시'!$D$3:$D$4002,$K$6),1)),""),"")</f>
        <v/>
      </c>
      <c r="U1490">
        <f>IF(ISNUMBER(T1490),'자료_거시'!$D1472,"")</f>
        <v/>
      </c>
      <c r="V1490">
        <f>IF(ISNUMBER(U1490),IF(U1490&gt;$L$6,T1490,""),"")</f>
        <v/>
      </c>
      <c r="W1490">
        <f>IF(AND(ISNUMBER('자료_거시'!$G1472),ISNUMBER('자료_거시'!$H1472)),'자료_거시'!$H1472,"")</f>
        <v/>
      </c>
      <c r="X1490">
        <f>IF(ISNUMBER(W1490),'자료_거시'!$G1472,"")</f>
        <v/>
      </c>
      <c r="Y1490">
        <f>IF(ISNUMBER(X1490),IF(X1490&gt;$L$7,W1490,""),"")</f>
        <v/>
      </c>
      <c r="Z1490">
        <f>IF(ISNUMBER('자료_거시'!$K1472),'자료_거시'!$K1472,Z1489)</f>
        <v/>
      </c>
      <c r="AA1490">
        <f>IF(AND(ISNUMBER('자료_거시'!$J1472),ISNUMBER('자료_거시'!$K1472)),IFERROR('자료_거시'!$K1472/INDEX($Z$21:$Z$4020,MATCH(EDATE('자료_거시'!$J1472,-'설정'!$B$17),'자료_거시'!$J$3:INDEX('자료_거시'!$J$3:$J$4002,$K$8),1))-1,""),"")</f>
        <v/>
      </c>
      <c r="AB1490">
        <f>IF(ISNUMBER(AA1490),'자료_거시'!$J1472,"")</f>
        <v/>
      </c>
      <c r="AC1490">
        <f>IF(ISNUMBER(AB1490),IF(AB1490&gt;$L$8,AA1490,""),"")</f>
        <v/>
      </c>
    </row>
    <row r="1491">
      <c r="S1491">
        <f>IF(ISNUMBER('자료_거시'!$E1473),'자료_거시'!$E1473,S1490)</f>
        <v/>
      </c>
      <c r="T1491">
        <f>IF(AND(ISNUMBER('자료_거시'!$D1473),ISNUMBER('자료_거시'!$E1473)),IFERROR('자료_거시'!$E1473-INDEX($S$21:$S$4020,MATCH(EDATE('자료_거시'!$D1473,-'설정'!$B$17),'자료_거시'!$D$3:INDEX('자료_거시'!$D$3:$D$4002,$K$6),1)),""),"")</f>
        <v/>
      </c>
      <c r="U1491">
        <f>IF(ISNUMBER(T1491),'자료_거시'!$D1473,"")</f>
        <v/>
      </c>
      <c r="V1491">
        <f>IF(ISNUMBER(U1491),IF(U1491&gt;$L$6,T1491,""),"")</f>
        <v/>
      </c>
      <c r="W1491">
        <f>IF(AND(ISNUMBER('자료_거시'!$G1473),ISNUMBER('자료_거시'!$H1473)),'자료_거시'!$H1473,"")</f>
        <v/>
      </c>
      <c r="X1491">
        <f>IF(ISNUMBER(W1491),'자료_거시'!$G1473,"")</f>
        <v/>
      </c>
      <c r="Y1491">
        <f>IF(ISNUMBER(X1491),IF(X1491&gt;$L$7,W1491,""),"")</f>
        <v/>
      </c>
      <c r="Z1491">
        <f>IF(ISNUMBER('자료_거시'!$K1473),'자료_거시'!$K1473,Z1490)</f>
        <v/>
      </c>
      <c r="AA1491">
        <f>IF(AND(ISNUMBER('자료_거시'!$J1473),ISNUMBER('자료_거시'!$K1473)),IFERROR('자료_거시'!$K1473/INDEX($Z$21:$Z$4020,MATCH(EDATE('자료_거시'!$J1473,-'설정'!$B$17),'자료_거시'!$J$3:INDEX('자료_거시'!$J$3:$J$4002,$K$8),1))-1,""),"")</f>
        <v/>
      </c>
      <c r="AB1491">
        <f>IF(ISNUMBER(AA1491),'자료_거시'!$J1473,"")</f>
        <v/>
      </c>
      <c r="AC1491">
        <f>IF(ISNUMBER(AB1491),IF(AB1491&gt;$L$8,AA1491,""),"")</f>
        <v/>
      </c>
    </row>
    <row r="1492">
      <c r="S1492">
        <f>IF(ISNUMBER('자료_거시'!$E1474),'자료_거시'!$E1474,S1491)</f>
        <v/>
      </c>
      <c r="T1492">
        <f>IF(AND(ISNUMBER('자료_거시'!$D1474),ISNUMBER('자료_거시'!$E1474)),IFERROR('자료_거시'!$E1474-INDEX($S$21:$S$4020,MATCH(EDATE('자료_거시'!$D1474,-'설정'!$B$17),'자료_거시'!$D$3:INDEX('자료_거시'!$D$3:$D$4002,$K$6),1)),""),"")</f>
        <v/>
      </c>
      <c r="U1492">
        <f>IF(ISNUMBER(T1492),'자료_거시'!$D1474,"")</f>
        <v/>
      </c>
      <c r="V1492">
        <f>IF(ISNUMBER(U1492),IF(U1492&gt;$L$6,T1492,""),"")</f>
        <v/>
      </c>
      <c r="W1492">
        <f>IF(AND(ISNUMBER('자료_거시'!$G1474),ISNUMBER('자료_거시'!$H1474)),'자료_거시'!$H1474,"")</f>
        <v/>
      </c>
      <c r="X1492">
        <f>IF(ISNUMBER(W1492),'자료_거시'!$G1474,"")</f>
        <v/>
      </c>
      <c r="Y1492">
        <f>IF(ISNUMBER(X1492),IF(X1492&gt;$L$7,W1492,""),"")</f>
        <v/>
      </c>
      <c r="Z1492">
        <f>IF(ISNUMBER('자료_거시'!$K1474),'자료_거시'!$K1474,Z1491)</f>
        <v/>
      </c>
      <c r="AA1492">
        <f>IF(AND(ISNUMBER('자료_거시'!$J1474),ISNUMBER('자료_거시'!$K1474)),IFERROR('자료_거시'!$K1474/INDEX($Z$21:$Z$4020,MATCH(EDATE('자료_거시'!$J1474,-'설정'!$B$17),'자료_거시'!$J$3:INDEX('자료_거시'!$J$3:$J$4002,$K$8),1))-1,""),"")</f>
        <v/>
      </c>
      <c r="AB1492">
        <f>IF(ISNUMBER(AA1492),'자료_거시'!$J1474,"")</f>
        <v/>
      </c>
      <c r="AC1492">
        <f>IF(ISNUMBER(AB1492),IF(AB1492&gt;$L$8,AA1492,""),"")</f>
        <v/>
      </c>
    </row>
    <row r="1493">
      <c r="S1493">
        <f>IF(ISNUMBER('자료_거시'!$E1475),'자료_거시'!$E1475,S1492)</f>
        <v/>
      </c>
      <c r="T1493">
        <f>IF(AND(ISNUMBER('자료_거시'!$D1475),ISNUMBER('자료_거시'!$E1475)),IFERROR('자료_거시'!$E1475-INDEX($S$21:$S$4020,MATCH(EDATE('자료_거시'!$D1475,-'설정'!$B$17),'자료_거시'!$D$3:INDEX('자료_거시'!$D$3:$D$4002,$K$6),1)),""),"")</f>
        <v/>
      </c>
      <c r="U1493">
        <f>IF(ISNUMBER(T1493),'자료_거시'!$D1475,"")</f>
        <v/>
      </c>
      <c r="V1493">
        <f>IF(ISNUMBER(U1493),IF(U1493&gt;$L$6,T1493,""),"")</f>
        <v/>
      </c>
      <c r="W1493">
        <f>IF(AND(ISNUMBER('자료_거시'!$G1475),ISNUMBER('자료_거시'!$H1475)),'자료_거시'!$H1475,"")</f>
        <v/>
      </c>
      <c r="X1493">
        <f>IF(ISNUMBER(W1493),'자료_거시'!$G1475,"")</f>
        <v/>
      </c>
      <c r="Y1493">
        <f>IF(ISNUMBER(X1493),IF(X1493&gt;$L$7,W1493,""),"")</f>
        <v/>
      </c>
      <c r="Z1493">
        <f>IF(ISNUMBER('자료_거시'!$K1475),'자료_거시'!$K1475,Z1492)</f>
        <v/>
      </c>
      <c r="AA1493">
        <f>IF(AND(ISNUMBER('자료_거시'!$J1475),ISNUMBER('자료_거시'!$K1475)),IFERROR('자료_거시'!$K1475/INDEX($Z$21:$Z$4020,MATCH(EDATE('자료_거시'!$J1475,-'설정'!$B$17),'자료_거시'!$J$3:INDEX('자료_거시'!$J$3:$J$4002,$K$8),1))-1,""),"")</f>
        <v/>
      </c>
      <c r="AB1493">
        <f>IF(ISNUMBER(AA1493),'자료_거시'!$J1475,"")</f>
        <v/>
      </c>
      <c r="AC1493">
        <f>IF(ISNUMBER(AB1493),IF(AB1493&gt;$L$8,AA1493,""),"")</f>
        <v/>
      </c>
    </row>
    <row r="1494">
      <c r="S1494">
        <f>IF(ISNUMBER('자료_거시'!$E1476),'자료_거시'!$E1476,S1493)</f>
        <v/>
      </c>
      <c r="T1494">
        <f>IF(AND(ISNUMBER('자료_거시'!$D1476),ISNUMBER('자료_거시'!$E1476)),IFERROR('자료_거시'!$E1476-INDEX($S$21:$S$4020,MATCH(EDATE('자료_거시'!$D1476,-'설정'!$B$17),'자료_거시'!$D$3:INDEX('자료_거시'!$D$3:$D$4002,$K$6),1)),""),"")</f>
        <v/>
      </c>
      <c r="U1494">
        <f>IF(ISNUMBER(T1494),'자료_거시'!$D1476,"")</f>
        <v/>
      </c>
      <c r="V1494">
        <f>IF(ISNUMBER(U1494),IF(U1494&gt;$L$6,T1494,""),"")</f>
        <v/>
      </c>
      <c r="W1494">
        <f>IF(AND(ISNUMBER('자료_거시'!$G1476),ISNUMBER('자료_거시'!$H1476)),'자료_거시'!$H1476,"")</f>
        <v/>
      </c>
      <c r="X1494">
        <f>IF(ISNUMBER(W1494),'자료_거시'!$G1476,"")</f>
        <v/>
      </c>
      <c r="Y1494">
        <f>IF(ISNUMBER(X1494),IF(X1494&gt;$L$7,W1494,""),"")</f>
        <v/>
      </c>
      <c r="Z1494">
        <f>IF(ISNUMBER('자료_거시'!$K1476),'자료_거시'!$K1476,Z1493)</f>
        <v/>
      </c>
      <c r="AA1494">
        <f>IF(AND(ISNUMBER('자료_거시'!$J1476),ISNUMBER('자료_거시'!$K1476)),IFERROR('자료_거시'!$K1476/INDEX($Z$21:$Z$4020,MATCH(EDATE('자료_거시'!$J1476,-'설정'!$B$17),'자료_거시'!$J$3:INDEX('자료_거시'!$J$3:$J$4002,$K$8),1))-1,""),"")</f>
        <v/>
      </c>
      <c r="AB1494">
        <f>IF(ISNUMBER(AA1494),'자료_거시'!$J1476,"")</f>
        <v/>
      </c>
      <c r="AC1494">
        <f>IF(ISNUMBER(AB1494),IF(AB1494&gt;$L$8,AA1494,""),"")</f>
        <v/>
      </c>
    </row>
    <row r="1495">
      <c r="S1495">
        <f>IF(ISNUMBER('자료_거시'!$E1477),'자료_거시'!$E1477,S1494)</f>
        <v/>
      </c>
      <c r="T1495">
        <f>IF(AND(ISNUMBER('자료_거시'!$D1477),ISNUMBER('자료_거시'!$E1477)),IFERROR('자료_거시'!$E1477-INDEX($S$21:$S$4020,MATCH(EDATE('자료_거시'!$D1477,-'설정'!$B$17),'자료_거시'!$D$3:INDEX('자료_거시'!$D$3:$D$4002,$K$6),1)),""),"")</f>
        <v/>
      </c>
      <c r="U1495">
        <f>IF(ISNUMBER(T1495),'자료_거시'!$D1477,"")</f>
        <v/>
      </c>
      <c r="V1495">
        <f>IF(ISNUMBER(U1495),IF(U1495&gt;$L$6,T1495,""),"")</f>
        <v/>
      </c>
      <c r="W1495">
        <f>IF(AND(ISNUMBER('자료_거시'!$G1477),ISNUMBER('자료_거시'!$H1477)),'자료_거시'!$H1477,"")</f>
        <v/>
      </c>
      <c r="X1495">
        <f>IF(ISNUMBER(W1495),'자료_거시'!$G1477,"")</f>
        <v/>
      </c>
      <c r="Y1495">
        <f>IF(ISNUMBER(X1495),IF(X1495&gt;$L$7,W1495,""),"")</f>
        <v/>
      </c>
      <c r="Z1495">
        <f>IF(ISNUMBER('자료_거시'!$K1477),'자료_거시'!$K1477,Z1494)</f>
        <v/>
      </c>
      <c r="AA1495">
        <f>IF(AND(ISNUMBER('자료_거시'!$J1477),ISNUMBER('자료_거시'!$K1477)),IFERROR('자료_거시'!$K1477/INDEX($Z$21:$Z$4020,MATCH(EDATE('자료_거시'!$J1477,-'설정'!$B$17),'자료_거시'!$J$3:INDEX('자료_거시'!$J$3:$J$4002,$K$8),1))-1,""),"")</f>
        <v/>
      </c>
      <c r="AB1495">
        <f>IF(ISNUMBER(AA1495),'자료_거시'!$J1477,"")</f>
        <v/>
      </c>
      <c r="AC1495">
        <f>IF(ISNUMBER(AB1495),IF(AB1495&gt;$L$8,AA1495,""),"")</f>
        <v/>
      </c>
    </row>
    <row r="1496">
      <c r="S1496">
        <f>IF(ISNUMBER('자료_거시'!$E1478),'자료_거시'!$E1478,S1495)</f>
        <v/>
      </c>
      <c r="T1496">
        <f>IF(AND(ISNUMBER('자료_거시'!$D1478),ISNUMBER('자료_거시'!$E1478)),IFERROR('자료_거시'!$E1478-INDEX($S$21:$S$4020,MATCH(EDATE('자료_거시'!$D1478,-'설정'!$B$17),'자료_거시'!$D$3:INDEX('자료_거시'!$D$3:$D$4002,$K$6),1)),""),"")</f>
        <v/>
      </c>
      <c r="U1496">
        <f>IF(ISNUMBER(T1496),'자료_거시'!$D1478,"")</f>
        <v/>
      </c>
      <c r="V1496">
        <f>IF(ISNUMBER(U1496),IF(U1496&gt;$L$6,T1496,""),"")</f>
        <v/>
      </c>
      <c r="W1496">
        <f>IF(AND(ISNUMBER('자료_거시'!$G1478),ISNUMBER('자료_거시'!$H1478)),'자료_거시'!$H1478,"")</f>
        <v/>
      </c>
      <c r="X1496">
        <f>IF(ISNUMBER(W1496),'자료_거시'!$G1478,"")</f>
        <v/>
      </c>
      <c r="Y1496">
        <f>IF(ISNUMBER(X1496),IF(X1496&gt;$L$7,W1496,""),"")</f>
        <v/>
      </c>
      <c r="Z1496">
        <f>IF(ISNUMBER('자료_거시'!$K1478),'자료_거시'!$K1478,Z1495)</f>
        <v/>
      </c>
      <c r="AA1496">
        <f>IF(AND(ISNUMBER('자료_거시'!$J1478),ISNUMBER('자료_거시'!$K1478)),IFERROR('자료_거시'!$K1478/INDEX($Z$21:$Z$4020,MATCH(EDATE('자료_거시'!$J1478,-'설정'!$B$17),'자료_거시'!$J$3:INDEX('자료_거시'!$J$3:$J$4002,$K$8),1))-1,""),"")</f>
        <v/>
      </c>
      <c r="AB1496">
        <f>IF(ISNUMBER(AA1496),'자료_거시'!$J1478,"")</f>
        <v/>
      </c>
      <c r="AC1496">
        <f>IF(ISNUMBER(AB1496),IF(AB1496&gt;$L$8,AA1496,""),"")</f>
        <v/>
      </c>
    </row>
    <row r="1497">
      <c r="S1497">
        <f>IF(ISNUMBER('자료_거시'!$E1479),'자료_거시'!$E1479,S1496)</f>
        <v/>
      </c>
      <c r="T1497">
        <f>IF(AND(ISNUMBER('자료_거시'!$D1479),ISNUMBER('자료_거시'!$E1479)),IFERROR('자료_거시'!$E1479-INDEX($S$21:$S$4020,MATCH(EDATE('자료_거시'!$D1479,-'설정'!$B$17),'자료_거시'!$D$3:INDEX('자료_거시'!$D$3:$D$4002,$K$6),1)),""),"")</f>
        <v/>
      </c>
      <c r="U1497">
        <f>IF(ISNUMBER(T1497),'자료_거시'!$D1479,"")</f>
        <v/>
      </c>
      <c r="V1497">
        <f>IF(ISNUMBER(U1497),IF(U1497&gt;$L$6,T1497,""),"")</f>
        <v/>
      </c>
      <c r="W1497">
        <f>IF(AND(ISNUMBER('자료_거시'!$G1479),ISNUMBER('자료_거시'!$H1479)),'자료_거시'!$H1479,"")</f>
        <v/>
      </c>
      <c r="X1497">
        <f>IF(ISNUMBER(W1497),'자료_거시'!$G1479,"")</f>
        <v/>
      </c>
      <c r="Y1497">
        <f>IF(ISNUMBER(X1497),IF(X1497&gt;$L$7,W1497,""),"")</f>
        <v/>
      </c>
      <c r="Z1497">
        <f>IF(ISNUMBER('자료_거시'!$K1479),'자료_거시'!$K1479,Z1496)</f>
        <v/>
      </c>
      <c r="AA1497">
        <f>IF(AND(ISNUMBER('자료_거시'!$J1479),ISNUMBER('자료_거시'!$K1479)),IFERROR('자료_거시'!$K1479/INDEX($Z$21:$Z$4020,MATCH(EDATE('자료_거시'!$J1479,-'설정'!$B$17),'자료_거시'!$J$3:INDEX('자료_거시'!$J$3:$J$4002,$K$8),1))-1,""),"")</f>
        <v/>
      </c>
      <c r="AB1497">
        <f>IF(ISNUMBER(AA1497),'자료_거시'!$J1479,"")</f>
        <v/>
      </c>
      <c r="AC1497">
        <f>IF(ISNUMBER(AB1497),IF(AB1497&gt;$L$8,AA1497,""),"")</f>
        <v/>
      </c>
    </row>
    <row r="1498">
      <c r="S1498">
        <f>IF(ISNUMBER('자료_거시'!$E1480),'자료_거시'!$E1480,S1497)</f>
        <v/>
      </c>
      <c r="T1498">
        <f>IF(AND(ISNUMBER('자료_거시'!$D1480),ISNUMBER('자료_거시'!$E1480)),IFERROR('자료_거시'!$E1480-INDEX($S$21:$S$4020,MATCH(EDATE('자료_거시'!$D1480,-'설정'!$B$17),'자료_거시'!$D$3:INDEX('자료_거시'!$D$3:$D$4002,$K$6),1)),""),"")</f>
        <v/>
      </c>
      <c r="U1498">
        <f>IF(ISNUMBER(T1498),'자료_거시'!$D1480,"")</f>
        <v/>
      </c>
      <c r="V1498">
        <f>IF(ISNUMBER(U1498),IF(U1498&gt;$L$6,T1498,""),"")</f>
        <v/>
      </c>
      <c r="W1498">
        <f>IF(AND(ISNUMBER('자료_거시'!$G1480),ISNUMBER('자료_거시'!$H1480)),'자료_거시'!$H1480,"")</f>
        <v/>
      </c>
      <c r="X1498">
        <f>IF(ISNUMBER(W1498),'자료_거시'!$G1480,"")</f>
        <v/>
      </c>
      <c r="Y1498">
        <f>IF(ISNUMBER(X1498),IF(X1498&gt;$L$7,W1498,""),"")</f>
        <v/>
      </c>
      <c r="Z1498">
        <f>IF(ISNUMBER('자료_거시'!$K1480),'자료_거시'!$K1480,Z1497)</f>
        <v/>
      </c>
      <c r="AA1498">
        <f>IF(AND(ISNUMBER('자료_거시'!$J1480),ISNUMBER('자료_거시'!$K1480)),IFERROR('자료_거시'!$K1480/INDEX($Z$21:$Z$4020,MATCH(EDATE('자료_거시'!$J1480,-'설정'!$B$17),'자료_거시'!$J$3:INDEX('자료_거시'!$J$3:$J$4002,$K$8),1))-1,""),"")</f>
        <v/>
      </c>
      <c r="AB1498">
        <f>IF(ISNUMBER(AA1498),'자료_거시'!$J1480,"")</f>
        <v/>
      </c>
      <c r="AC1498">
        <f>IF(ISNUMBER(AB1498),IF(AB1498&gt;$L$8,AA1498,""),"")</f>
        <v/>
      </c>
    </row>
    <row r="1499">
      <c r="S1499">
        <f>IF(ISNUMBER('자료_거시'!$E1481),'자료_거시'!$E1481,S1498)</f>
        <v/>
      </c>
      <c r="T1499">
        <f>IF(AND(ISNUMBER('자료_거시'!$D1481),ISNUMBER('자료_거시'!$E1481)),IFERROR('자료_거시'!$E1481-INDEX($S$21:$S$4020,MATCH(EDATE('자료_거시'!$D1481,-'설정'!$B$17),'자료_거시'!$D$3:INDEX('자료_거시'!$D$3:$D$4002,$K$6),1)),""),"")</f>
        <v/>
      </c>
      <c r="U1499">
        <f>IF(ISNUMBER(T1499),'자료_거시'!$D1481,"")</f>
        <v/>
      </c>
      <c r="V1499">
        <f>IF(ISNUMBER(U1499),IF(U1499&gt;$L$6,T1499,""),"")</f>
        <v/>
      </c>
      <c r="W1499">
        <f>IF(AND(ISNUMBER('자료_거시'!$G1481),ISNUMBER('자료_거시'!$H1481)),'자료_거시'!$H1481,"")</f>
        <v/>
      </c>
      <c r="X1499">
        <f>IF(ISNUMBER(W1499),'자료_거시'!$G1481,"")</f>
        <v/>
      </c>
      <c r="Y1499">
        <f>IF(ISNUMBER(X1499),IF(X1499&gt;$L$7,W1499,""),"")</f>
        <v/>
      </c>
      <c r="Z1499">
        <f>IF(ISNUMBER('자료_거시'!$K1481),'자료_거시'!$K1481,Z1498)</f>
        <v/>
      </c>
      <c r="AA1499">
        <f>IF(AND(ISNUMBER('자료_거시'!$J1481),ISNUMBER('자료_거시'!$K1481)),IFERROR('자료_거시'!$K1481/INDEX($Z$21:$Z$4020,MATCH(EDATE('자료_거시'!$J1481,-'설정'!$B$17),'자료_거시'!$J$3:INDEX('자료_거시'!$J$3:$J$4002,$K$8),1))-1,""),"")</f>
        <v/>
      </c>
      <c r="AB1499">
        <f>IF(ISNUMBER(AA1499),'자료_거시'!$J1481,"")</f>
        <v/>
      </c>
      <c r="AC1499">
        <f>IF(ISNUMBER(AB1499),IF(AB1499&gt;$L$8,AA1499,""),"")</f>
        <v/>
      </c>
    </row>
    <row r="1500">
      <c r="S1500">
        <f>IF(ISNUMBER('자료_거시'!$E1482),'자료_거시'!$E1482,S1499)</f>
        <v/>
      </c>
      <c r="T1500">
        <f>IF(AND(ISNUMBER('자료_거시'!$D1482),ISNUMBER('자료_거시'!$E1482)),IFERROR('자료_거시'!$E1482-INDEX($S$21:$S$4020,MATCH(EDATE('자료_거시'!$D1482,-'설정'!$B$17),'자료_거시'!$D$3:INDEX('자료_거시'!$D$3:$D$4002,$K$6),1)),""),"")</f>
        <v/>
      </c>
      <c r="U1500">
        <f>IF(ISNUMBER(T1500),'자료_거시'!$D1482,"")</f>
        <v/>
      </c>
      <c r="V1500">
        <f>IF(ISNUMBER(U1500),IF(U1500&gt;$L$6,T1500,""),"")</f>
        <v/>
      </c>
      <c r="W1500">
        <f>IF(AND(ISNUMBER('자료_거시'!$G1482),ISNUMBER('자료_거시'!$H1482)),'자료_거시'!$H1482,"")</f>
        <v/>
      </c>
      <c r="X1500">
        <f>IF(ISNUMBER(W1500),'자료_거시'!$G1482,"")</f>
        <v/>
      </c>
      <c r="Y1500">
        <f>IF(ISNUMBER(X1500),IF(X1500&gt;$L$7,W1500,""),"")</f>
        <v/>
      </c>
      <c r="Z1500">
        <f>IF(ISNUMBER('자료_거시'!$K1482),'자료_거시'!$K1482,Z1499)</f>
        <v/>
      </c>
      <c r="AA1500">
        <f>IF(AND(ISNUMBER('자료_거시'!$J1482),ISNUMBER('자료_거시'!$K1482)),IFERROR('자료_거시'!$K1482/INDEX($Z$21:$Z$4020,MATCH(EDATE('자료_거시'!$J1482,-'설정'!$B$17),'자료_거시'!$J$3:INDEX('자료_거시'!$J$3:$J$4002,$K$8),1))-1,""),"")</f>
        <v/>
      </c>
      <c r="AB1500">
        <f>IF(ISNUMBER(AA1500),'자료_거시'!$J1482,"")</f>
        <v/>
      </c>
      <c r="AC1500">
        <f>IF(ISNUMBER(AB1500),IF(AB1500&gt;$L$8,AA1500,""),"")</f>
        <v/>
      </c>
    </row>
    <row r="1501">
      <c r="S1501">
        <f>IF(ISNUMBER('자료_거시'!$E1483),'자료_거시'!$E1483,S1500)</f>
        <v/>
      </c>
      <c r="T1501">
        <f>IF(AND(ISNUMBER('자료_거시'!$D1483),ISNUMBER('자료_거시'!$E1483)),IFERROR('자료_거시'!$E1483-INDEX($S$21:$S$4020,MATCH(EDATE('자료_거시'!$D1483,-'설정'!$B$17),'자료_거시'!$D$3:INDEX('자료_거시'!$D$3:$D$4002,$K$6),1)),""),"")</f>
        <v/>
      </c>
      <c r="U1501">
        <f>IF(ISNUMBER(T1501),'자료_거시'!$D1483,"")</f>
        <v/>
      </c>
      <c r="V1501">
        <f>IF(ISNUMBER(U1501),IF(U1501&gt;$L$6,T1501,""),"")</f>
        <v/>
      </c>
      <c r="W1501">
        <f>IF(AND(ISNUMBER('자료_거시'!$G1483),ISNUMBER('자료_거시'!$H1483)),'자료_거시'!$H1483,"")</f>
        <v/>
      </c>
      <c r="X1501">
        <f>IF(ISNUMBER(W1501),'자료_거시'!$G1483,"")</f>
        <v/>
      </c>
      <c r="Y1501">
        <f>IF(ISNUMBER(X1501),IF(X1501&gt;$L$7,W1501,""),"")</f>
        <v/>
      </c>
      <c r="Z1501">
        <f>IF(ISNUMBER('자료_거시'!$K1483),'자료_거시'!$K1483,Z1500)</f>
        <v/>
      </c>
      <c r="AA1501">
        <f>IF(AND(ISNUMBER('자료_거시'!$J1483),ISNUMBER('자료_거시'!$K1483)),IFERROR('자료_거시'!$K1483/INDEX($Z$21:$Z$4020,MATCH(EDATE('자료_거시'!$J1483,-'설정'!$B$17),'자료_거시'!$J$3:INDEX('자료_거시'!$J$3:$J$4002,$K$8),1))-1,""),"")</f>
        <v/>
      </c>
      <c r="AB1501">
        <f>IF(ISNUMBER(AA1501),'자료_거시'!$J1483,"")</f>
        <v/>
      </c>
      <c r="AC1501">
        <f>IF(ISNUMBER(AB1501),IF(AB1501&gt;$L$8,AA1501,""),"")</f>
        <v/>
      </c>
    </row>
    <row r="1502">
      <c r="S1502">
        <f>IF(ISNUMBER('자료_거시'!$E1484),'자료_거시'!$E1484,S1501)</f>
        <v/>
      </c>
      <c r="T1502">
        <f>IF(AND(ISNUMBER('자료_거시'!$D1484),ISNUMBER('자료_거시'!$E1484)),IFERROR('자료_거시'!$E1484-INDEX($S$21:$S$4020,MATCH(EDATE('자료_거시'!$D1484,-'설정'!$B$17),'자료_거시'!$D$3:INDEX('자료_거시'!$D$3:$D$4002,$K$6),1)),""),"")</f>
        <v/>
      </c>
      <c r="U1502">
        <f>IF(ISNUMBER(T1502),'자료_거시'!$D1484,"")</f>
        <v/>
      </c>
      <c r="V1502">
        <f>IF(ISNUMBER(U1502),IF(U1502&gt;$L$6,T1502,""),"")</f>
        <v/>
      </c>
      <c r="W1502">
        <f>IF(AND(ISNUMBER('자료_거시'!$G1484),ISNUMBER('자료_거시'!$H1484)),'자료_거시'!$H1484,"")</f>
        <v/>
      </c>
      <c r="X1502">
        <f>IF(ISNUMBER(W1502),'자료_거시'!$G1484,"")</f>
        <v/>
      </c>
      <c r="Y1502">
        <f>IF(ISNUMBER(X1502),IF(X1502&gt;$L$7,W1502,""),"")</f>
        <v/>
      </c>
      <c r="Z1502">
        <f>IF(ISNUMBER('자료_거시'!$K1484),'자료_거시'!$K1484,Z1501)</f>
        <v/>
      </c>
      <c r="AA1502">
        <f>IF(AND(ISNUMBER('자료_거시'!$J1484),ISNUMBER('자료_거시'!$K1484)),IFERROR('자료_거시'!$K1484/INDEX($Z$21:$Z$4020,MATCH(EDATE('자료_거시'!$J1484,-'설정'!$B$17),'자료_거시'!$J$3:INDEX('자료_거시'!$J$3:$J$4002,$K$8),1))-1,""),"")</f>
        <v/>
      </c>
      <c r="AB1502">
        <f>IF(ISNUMBER(AA1502),'자료_거시'!$J1484,"")</f>
        <v/>
      </c>
      <c r="AC1502">
        <f>IF(ISNUMBER(AB1502),IF(AB1502&gt;$L$8,AA1502,""),"")</f>
        <v/>
      </c>
    </row>
    <row r="1503">
      <c r="S1503">
        <f>IF(ISNUMBER('자료_거시'!$E1485),'자료_거시'!$E1485,S1502)</f>
        <v/>
      </c>
      <c r="T1503">
        <f>IF(AND(ISNUMBER('자료_거시'!$D1485),ISNUMBER('자료_거시'!$E1485)),IFERROR('자료_거시'!$E1485-INDEX($S$21:$S$4020,MATCH(EDATE('자료_거시'!$D1485,-'설정'!$B$17),'자료_거시'!$D$3:INDEX('자료_거시'!$D$3:$D$4002,$K$6),1)),""),"")</f>
        <v/>
      </c>
      <c r="U1503">
        <f>IF(ISNUMBER(T1503),'자료_거시'!$D1485,"")</f>
        <v/>
      </c>
      <c r="V1503">
        <f>IF(ISNUMBER(U1503),IF(U1503&gt;$L$6,T1503,""),"")</f>
        <v/>
      </c>
      <c r="W1503">
        <f>IF(AND(ISNUMBER('자료_거시'!$G1485),ISNUMBER('자료_거시'!$H1485)),'자료_거시'!$H1485,"")</f>
        <v/>
      </c>
      <c r="X1503">
        <f>IF(ISNUMBER(W1503),'자료_거시'!$G1485,"")</f>
        <v/>
      </c>
      <c r="Y1503">
        <f>IF(ISNUMBER(X1503),IF(X1503&gt;$L$7,W1503,""),"")</f>
        <v/>
      </c>
      <c r="Z1503">
        <f>IF(ISNUMBER('자료_거시'!$K1485),'자료_거시'!$K1485,Z1502)</f>
        <v/>
      </c>
      <c r="AA1503">
        <f>IF(AND(ISNUMBER('자료_거시'!$J1485),ISNUMBER('자료_거시'!$K1485)),IFERROR('자료_거시'!$K1485/INDEX($Z$21:$Z$4020,MATCH(EDATE('자료_거시'!$J1485,-'설정'!$B$17),'자료_거시'!$J$3:INDEX('자료_거시'!$J$3:$J$4002,$K$8),1))-1,""),"")</f>
        <v/>
      </c>
      <c r="AB1503">
        <f>IF(ISNUMBER(AA1503),'자료_거시'!$J1485,"")</f>
        <v/>
      </c>
      <c r="AC1503">
        <f>IF(ISNUMBER(AB1503),IF(AB1503&gt;$L$8,AA1503,""),"")</f>
        <v/>
      </c>
    </row>
    <row r="1504">
      <c r="S1504">
        <f>IF(ISNUMBER('자료_거시'!$E1486),'자료_거시'!$E1486,S1503)</f>
        <v/>
      </c>
      <c r="T1504">
        <f>IF(AND(ISNUMBER('자료_거시'!$D1486),ISNUMBER('자료_거시'!$E1486)),IFERROR('자료_거시'!$E1486-INDEX($S$21:$S$4020,MATCH(EDATE('자료_거시'!$D1486,-'설정'!$B$17),'자료_거시'!$D$3:INDEX('자료_거시'!$D$3:$D$4002,$K$6),1)),""),"")</f>
        <v/>
      </c>
      <c r="U1504">
        <f>IF(ISNUMBER(T1504),'자료_거시'!$D1486,"")</f>
        <v/>
      </c>
      <c r="V1504">
        <f>IF(ISNUMBER(U1504),IF(U1504&gt;$L$6,T1504,""),"")</f>
        <v/>
      </c>
      <c r="W1504">
        <f>IF(AND(ISNUMBER('자료_거시'!$G1486),ISNUMBER('자료_거시'!$H1486)),'자료_거시'!$H1486,"")</f>
        <v/>
      </c>
      <c r="X1504">
        <f>IF(ISNUMBER(W1504),'자료_거시'!$G1486,"")</f>
        <v/>
      </c>
      <c r="Y1504">
        <f>IF(ISNUMBER(X1504),IF(X1504&gt;$L$7,W1504,""),"")</f>
        <v/>
      </c>
      <c r="Z1504">
        <f>IF(ISNUMBER('자료_거시'!$K1486),'자료_거시'!$K1486,Z1503)</f>
        <v/>
      </c>
      <c r="AA1504">
        <f>IF(AND(ISNUMBER('자료_거시'!$J1486),ISNUMBER('자료_거시'!$K1486)),IFERROR('자료_거시'!$K1486/INDEX($Z$21:$Z$4020,MATCH(EDATE('자료_거시'!$J1486,-'설정'!$B$17),'자료_거시'!$J$3:INDEX('자료_거시'!$J$3:$J$4002,$K$8),1))-1,""),"")</f>
        <v/>
      </c>
      <c r="AB1504">
        <f>IF(ISNUMBER(AA1504),'자료_거시'!$J1486,"")</f>
        <v/>
      </c>
      <c r="AC1504">
        <f>IF(ISNUMBER(AB1504),IF(AB1504&gt;$L$8,AA1504,""),"")</f>
        <v/>
      </c>
    </row>
    <row r="1505">
      <c r="S1505">
        <f>IF(ISNUMBER('자료_거시'!$E1487),'자료_거시'!$E1487,S1504)</f>
        <v/>
      </c>
      <c r="T1505">
        <f>IF(AND(ISNUMBER('자료_거시'!$D1487),ISNUMBER('자료_거시'!$E1487)),IFERROR('자료_거시'!$E1487-INDEX($S$21:$S$4020,MATCH(EDATE('자료_거시'!$D1487,-'설정'!$B$17),'자료_거시'!$D$3:INDEX('자료_거시'!$D$3:$D$4002,$K$6),1)),""),"")</f>
        <v/>
      </c>
      <c r="U1505">
        <f>IF(ISNUMBER(T1505),'자료_거시'!$D1487,"")</f>
        <v/>
      </c>
      <c r="V1505">
        <f>IF(ISNUMBER(U1505),IF(U1505&gt;$L$6,T1505,""),"")</f>
        <v/>
      </c>
      <c r="W1505">
        <f>IF(AND(ISNUMBER('자료_거시'!$G1487),ISNUMBER('자료_거시'!$H1487)),'자료_거시'!$H1487,"")</f>
        <v/>
      </c>
      <c r="X1505">
        <f>IF(ISNUMBER(W1505),'자료_거시'!$G1487,"")</f>
        <v/>
      </c>
      <c r="Y1505">
        <f>IF(ISNUMBER(X1505),IF(X1505&gt;$L$7,W1505,""),"")</f>
        <v/>
      </c>
      <c r="Z1505">
        <f>IF(ISNUMBER('자료_거시'!$K1487),'자료_거시'!$K1487,Z1504)</f>
        <v/>
      </c>
      <c r="AA1505">
        <f>IF(AND(ISNUMBER('자료_거시'!$J1487),ISNUMBER('자료_거시'!$K1487)),IFERROR('자료_거시'!$K1487/INDEX($Z$21:$Z$4020,MATCH(EDATE('자료_거시'!$J1487,-'설정'!$B$17),'자료_거시'!$J$3:INDEX('자료_거시'!$J$3:$J$4002,$K$8),1))-1,""),"")</f>
        <v/>
      </c>
      <c r="AB1505">
        <f>IF(ISNUMBER(AA1505),'자료_거시'!$J1487,"")</f>
        <v/>
      </c>
      <c r="AC1505">
        <f>IF(ISNUMBER(AB1505),IF(AB1505&gt;$L$8,AA1505,""),"")</f>
        <v/>
      </c>
    </row>
    <row r="1506">
      <c r="S1506">
        <f>IF(ISNUMBER('자료_거시'!$E1488),'자료_거시'!$E1488,S1505)</f>
        <v/>
      </c>
      <c r="T1506">
        <f>IF(AND(ISNUMBER('자료_거시'!$D1488),ISNUMBER('자료_거시'!$E1488)),IFERROR('자료_거시'!$E1488-INDEX($S$21:$S$4020,MATCH(EDATE('자료_거시'!$D1488,-'설정'!$B$17),'자료_거시'!$D$3:INDEX('자료_거시'!$D$3:$D$4002,$K$6),1)),""),"")</f>
        <v/>
      </c>
      <c r="U1506">
        <f>IF(ISNUMBER(T1506),'자료_거시'!$D1488,"")</f>
        <v/>
      </c>
      <c r="V1506">
        <f>IF(ISNUMBER(U1506),IF(U1506&gt;$L$6,T1506,""),"")</f>
        <v/>
      </c>
      <c r="W1506">
        <f>IF(AND(ISNUMBER('자료_거시'!$G1488),ISNUMBER('자료_거시'!$H1488)),'자료_거시'!$H1488,"")</f>
        <v/>
      </c>
      <c r="X1506">
        <f>IF(ISNUMBER(W1506),'자료_거시'!$G1488,"")</f>
        <v/>
      </c>
      <c r="Y1506">
        <f>IF(ISNUMBER(X1506),IF(X1506&gt;$L$7,W1506,""),"")</f>
        <v/>
      </c>
      <c r="Z1506">
        <f>IF(ISNUMBER('자료_거시'!$K1488),'자료_거시'!$K1488,Z1505)</f>
        <v/>
      </c>
      <c r="AA1506">
        <f>IF(AND(ISNUMBER('자료_거시'!$J1488),ISNUMBER('자료_거시'!$K1488)),IFERROR('자료_거시'!$K1488/INDEX($Z$21:$Z$4020,MATCH(EDATE('자료_거시'!$J1488,-'설정'!$B$17),'자료_거시'!$J$3:INDEX('자료_거시'!$J$3:$J$4002,$K$8),1))-1,""),"")</f>
        <v/>
      </c>
      <c r="AB1506">
        <f>IF(ISNUMBER(AA1506),'자료_거시'!$J1488,"")</f>
        <v/>
      </c>
      <c r="AC1506">
        <f>IF(ISNUMBER(AB1506),IF(AB1506&gt;$L$8,AA1506,""),"")</f>
        <v/>
      </c>
    </row>
    <row r="1507">
      <c r="S1507">
        <f>IF(ISNUMBER('자료_거시'!$E1489),'자료_거시'!$E1489,S1506)</f>
        <v/>
      </c>
      <c r="T1507">
        <f>IF(AND(ISNUMBER('자료_거시'!$D1489),ISNUMBER('자료_거시'!$E1489)),IFERROR('자료_거시'!$E1489-INDEX($S$21:$S$4020,MATCH(EDATE('자료_거시'!$D1489,-'설정'!$B$17),'자료_거시'!$D$3:INDEX('자료_거시'!$D$3:$D$4002,$K$6),1)),""),"")</f>
        <v/>
      </c>
      <c r="U1507">
        <f>IF(ISNUMBER(T1507),'자료_거시'!$D1489,"")</f>
        <v/>
      </c>
      <c r="V1507">
        <f>IF(ISNUMBER(U1507),IF(U1507&gt;$L$6,T1507,""),"")</f>
        <v/>
      </c>
      <c r="W1507">
        <f>IF(AND(ISNUMBER('자료_거시'!$G1489),ISNUMBER('자료_거시'!$H1489)),'자료_거시'!$H1489,"")</f>
        <v/>
      </c>
      <c r="X1507">
        <f>IF(ISNUMBER(W1507),'자료_거시'!$G1489,"")</f>
        <v/>
      </c>
      <c r="Y1507">
        <f>IF(ISNUMBER(X1507),IF(X1507&gt;$L$7,W1507,""),"")</f>
        <v/>
      </c>
      <c r="Z1507">
        <f>IF(ISNUMBER('자료_거시'!$K1489),'자료_거시'!$K1489,Z1506)</f>
        <v/>
      </c>
      <c r="AA1507">
        <f>IF(AND(ISNUMBER('자료_거시'!$J1489),ISNUMBER('자료_거시'!$K1489)),IFERROR('자료_거시'!$K1489/INDEX($Z$21:$Z$4020,MATCH(EDATE('자료_거시'!$J1489,-'설정'!$B$17),'자료_거시'!$J$3:INDEX('자료_거시'!$J$3:$J$4002,$K$8),1))-1,""),"")</f>
        <v/>
      </c>
      <c r="AB1507">
        <f>IF(ISNUMBER(AA1507),'자료_거시'!$J1489,"")</f>
        <v/>
      </c>
      <c r="AC1507">
        <f>IF(ISNUMBER(AB1507),IF(AB1507&gt;$L$8,AA1507,""),"")</f>
        <v/>
      </c>
    </row>
    <row r="1508">
      <c r="S1508">
        <f>IF(ISNUMBER('자료_거시'!$E1490),'자료_거시'!$E1490,S1507)</f>
        <v/>
      </c>
      <c r="T1508">
        <f>IF(AND(ISNUMBER('자료_거시'!$D1490),ISNUMBER('자료_거시'!$E1490)),IFERROR('자료_거시'!$E1490-INDEX($S$21:$S$4020,MATCH(EDATE('자료_거시'!$D1490,-'설정'!$B$17),'자료_거시'!$D$3:INDEX('자료_거시'!$D$3:$D$4002,$K$6),1)),""),"")</f>
        <v/>
      </c>
      <c r="U1508">
        <f>IF(ISNUMBER(T1508),'자료_거시'!$D1490,"")</f>
        <v/>
      </c>
      <c r="V1508">
        <f>IF(ISNUMBER(U1508),IF(U1508&gt;$L$6,T1508,""),"")</f>
        <v/>
      </c>
      <c r="W1508">
        <f>IF(AND(ISNUMBER('자료_거시'!$G1490),ISNUMBER('자료_거시'!$H1490)),'자료_거시'!$H1490,"")</f>
        <v/>
      </c>
      <c r="X1508">
        <f>IF(ISNUMBER(W1508),'자료_거시'!$G1490,"")</f>
        <v/>
      </c>
      <c r="Y1508">
        <f>IF(ISNUMBER(X1508),IF(X1508&gt;$L$7,W1508,""),"")</f>
        <v/>
      </c>
      <c r="Z1508">
        <f>IF(ISNUMBER('자료_거시'!$K1490),'자료_거시'!$K1490,Z1507)</f>
        <v/>
      </c>
      <c r="AA1508">
        <f>IF(AND(ISNUMBER('자료_거시'!$J1490),ISNUMBER('자료_거시'!$K1490)),IFERROR('자료_거시'!$K1490/INDEX($Z$21:$Z$4020,MATCH(EDATE('자료_거시'!$J1490,-'설정'!$B$17),'자료_거시'!$J$3:INDEX('자료_거시'!$J$3:$J$4002,$K$8),1))-1,""),"")</f>
        <v/>
      </c>
      <c r="AB1508">
        <f>IF(ISNUMBER(AA1508),'자료_거시'!$J1490,"")</f>
        <v/>
      </c>
      <c r="AC1508">
        <f>IF(ISNUMBER(AB1508),IF(AB1508&gt;$L$8,AA1508,""),"")</f>
        <v/>
      </c>
    </row>
    <row r="1509">
      <c r="S1509">
        <f>IF(ISNUMBER('자료_거시'!$E1491),'자료_거시'!$E1491,S1508)</f>
        <v/>
      </c>
      <c r="T1509">
        <f>IF(AND(ISNUMBER('자료_거시'!$D1491),ISNUMBER('자료_거시'!$E1491)),IFERROR('자료_거시'!$E1491-INDEX($S$21:$S$4020,MATCH(EDATE('자료_거시'!$D1491,-'설정'!$B$17),'자료_거시'!$D$3:INDEX('자료_거시'!$D$3:$D$4002,$K$6),1)),""),"")</f>
        <v/>
      </c>
      <c r="U1509">
        <f>IF(ISNUMBER(T1509),'자료_거시'!$D1491,"")</f>
        <v/>
      </c>
      <c r="V1509">
        <f>IF(ISNUMBER(U1509),IF(U1509&gt;$L$6,T1509,""),"")</f>
        <v/>
      </c>
      <c r="W1509">
        <f>IF(AND(ISNUMBER('자료_거시'!$G1491),ISNUMBER('자료_거시'!$H1491)),'자료_거시'!$H1491,"")</f>
        <v/>
      </c>
      <c r="X1509">
        <f>IF(ISNUMBER(W1509),'자료_거시'!$G1491,"")</f>
        <v/>
      </c>
      <c r="Y1509">
        <f>IF(ISNUMBER(X1509),IF(X1509&gt;$L$7,W1509,""),"")</f>
        <v/>
      </c>
      <c r="Z1509">
        <f>IF(ISNUMBER('자료_거시'!$K1491),'자료_거시'!$K1491,Z1508)</f>
        <v/>
      </c>
      <c r="AA1509">
        <f>IF(AND(ISNUMBER('자료_거시'!$J1491),ISNUMBER('자료_거시'!$K1491)),IFERROR('자료_거시'!$K1491/INDEX($Z$21:$Z$4020,MATCH(EDATE('자료_거시'!$J1491,-'설정'!$B$17),'자료_거시'!$J$3:INDEX('자료_거시'!$J$3:$J$4002,$K$8),1))-1,""),"")</f>
        <v/>
      </c>
      <c r="AB1509">
        <f>IF(ISNUMBER(AA1509),'자료_거시'!$J1491,"")</f>
        <v/>
      </c>
      <c r="AC1509">
        <f>IF(ISNUMBER(AB1509),IF(AB1509&gt;$L$8,AA1509,""),"")</f>
        <v/>
      </c>
    </row>
    <row r="1510">
      <c r="S1510">
        <f>IF(ISNUMBER('자료_거시'!$E1492),'자료_거시'!$E1492,S1509)</f>
        <v/>
      </c>
      <c r="T1510">
        <f>IF(AND(ISNUMBER('자료_거시'!$D1492),ISNUMBER('자료_거시'!$E1492)),IFERROR('자료_거시'!$E1492-INDEX($S$21:$S$4020,MATCH(EDATE('자료_거시'!$D1492,-'설정'!$B$17),'자료_거시'!$D$3:INDEX('자료_거시'!$D$3:$D$4002,$K$6),1)),""),"")</f>
        <v/>
      </c>
      <c r="U1510">
        <f>IF(ISNUMBER(T1510),'자료_거시'!$D1492,"")</f>
        <v/>
      </c>
      <c r="V1510">
        <f>IF(ISNUMBER(U1510),IF(U1510&gt;$L$6,T1510,""),"")</f>
        <v/>
      </c>
      <c r="W1510">
        <f>IF(AND(ISNUMBER('자료_거시'!$G1492),ISNUMBER('자료_거시'!$H1492)),'자료_거시'!$H1492,"")</f>
        <v/>
      </c>
      <c r="X1510">
        <f>IF(ISNUMBER(W1510),'자료_거시'!$G1492,"")</f>
        <v/>
      </c>
      <c r="Y1510">
        <f>IF(ISNUMBER(X1510),IF(X1510&gt;$L$7,W1510,""),"")</f>
        <v/>
      </c>
      <c r="Z1510">
        <f>IF(ISNUMBER('자료_거시'!$K1492),'자료_거시'!$K1492,Z1509)</f>
        <v/>
      </c>
      <c r="AA1510">
        <f>IF(AND(ISNUMBER('자료_거시'!$J1492),ISNUMBER('자료_거시'!$K1492)),IFERROR('자료_거시'!$K1492/INDEX($Z$21:$Z$4020,MATCH(EDATE('자료_거시'!$J1492,-'설정'!$B$17),'자료_거시'!$J$3:INDEX('자료_거시'!$J$3:$J$4002,$K$8),1))-1,""),"")</f>
        <v/>
      </c>
      <c r="AB1510">
        <f>IF(ISNUMBER(AA1510),'자료_거시'!$J1492,"")</f>
        <v/>
      </c>
      <c r="AC1510">
        <f>IF(ISNUMBER(AB1510),IF(AB1510&gt;$L$8,AA1510,""),"")</f>
        <v/>
      </c>
    </row>
    <row r="1511">
      <c r="S1511">
        <f>IF(ISNUMBER('자료_거시'!$E1493),'자료_거시'!$E1493,S1510)</f>
        <v/>
      </c>
      <c r="T1511">
        <f>IF(AND(ISNUMBER('자료_거시'!$D1493),ISNUMBER('자료_거시'!$E1493)),IFERROR('자료_거시'!$E1493-INDEX($S$21:$S$4020,MATCH(EDATE('자료_거시'!$D1493,-'설정'!$B$17),'자료_거시'!$D$3:INDEX('자료_거시'!$D$3:$D$4002,$K$6),1)),""),"")</f>
        <v/>
      </c>
      <c r="U1511">
        <f>IF(ISNUMBER(T1511),'자료_거시'!$D1493,"")</f>
        <v/>
      </c>
      <c r="V1511">
        <f>IF(ISNUMBER(U1511),IF(U1511&gt;$L$6,T1511,""),"")</f>
        <v/>
      </c>
      <c r="W1511">
        <f>IF(AND(ISNUMBER('자료_거시'!$G1493),ISNUMBER('자료_거시'!$H1493)),'자료_거시'!$H1493,"")</f>
        <v/>
      </c>
      <c r="X1511">
        <f>IF(ISNUMBER(W1511),'자료_거시'!$G1493,"")</f>
        <v/>
      </c>
      <c r="Y1511">
        <f>IF(ISNUMBER(X1511),IF(X1511&gt;$L$7,W1511,""),"")</f>
        <v/>
      </c>
      <c r="Z1511">
        <f>IF(ISNUMBER('자료_거시'!$K1493),'자료_거시'!$K1493,Z1510)</f>
        <v/>
      </c>
      <c r="AA1511">
        <f>IF(AND(ISNUMBER('자료_거시'!$J1493),ISNUMBER('자료_거시'!$K1493)),IFERROR('자료_거시'!$K1493/INDEX($Z$21:$Z$4020,MATCH(EDATE('자료_거시'!$J1493,-'설정'!$B$17),'자료_거시'!$J$3:INDEX('자료_거시'!$J$3:$J$4002,$K$8),1))-1,""),"")</f>
        <v/>
      </c>
      <c r="AB1511">
        <f>IF(ISNUMBER(AA1511),'자료_거시'!$J1493,"")</f>
        <v/>
      </c>
      <c r="AC1511">
        <f>IF(ISNUMBER(AB1511),IF(AB1511&gt;$L$8,AA1511,""),"")</f>
        <v/>
      </c>
    </row>
    <row r="1512">
      <c r="S1512">
        <f>IF(ISNUMBER('자료_거시'!$E1494),'자료_거시'!$E1494,S1511)</f>
        <v/>
      </c>
      <c r="T1512">
        <f>IF(AND(ISNUMBER('자료_거시'!$D1494),ISNUMBER('자료_거시'!$E1494)),IFERROR('자료_거시'!$E1494-INDEX($S$21:$S$4020,MATCH(EDATE('자료_거시'!$D1494,-'설정'!$B$17),'자료_거시'!$D$3:INDEX('자료_거시'!$D$3:$D$4002,$K$6),1)),""),"")</f>
        <v/>
      </c>
      <c r="U1512">
        <f>IF(ISNUMBER(T1512),'자료_거시'!$D1494,"")</f>
        <v/>
      </c>
      <c r="V1512">
        <f>IF(ISNUMBER(U1512),IF(U1512&gt;$L$6,T1512,""),"")</f>
        <v/>
      </c>
      <c r="W1512">
        <f>IF(AND(ISNUMBER('자료_거시'!$G1494),ISNUMBER('자료_거시'!$H1494)),'자료_거시'!$H1494,"")</f>
        <v/>
      </c>
      <c r="X1512">
        <f>IF(ISNUMBER(W1512),'자료_거시'!$G1494,"")</f>
        <v/>
      </c>
      <c r="Y1512">
        <f>IF(ISNUMBER(X1512),IF(X1512&gt;$L$7,W1512,""),"")</f>
        <v/>
      </c>
      <c r="Z1512">
        <f>IF(ISNUMBER('자료_거시'!$K1494),'자료_거시'!$K1494,Z1511)</f>
        <v/>
      </c>
      <c r="AA1512">
        <f>IF(AND(ISNUMBER('자료_거시'!$J1494),ISNUMBER('자료_거시'!$K1494)),IFERROR('자료_거시'!$K1494/INDEX($Z$21:$Z$4020,MATCH(EDATE('자료_거시'!$J1494,-'설정'!$B$17),'자료_거시'!$J$3:INDEX('자료_거시'!$J$3:$J$4002,$K$8),1))-1,""),"")</f>
        <v/>
      </c>
      <c r="AB1512">
        <f>IF(ISNUMBER(AA1512),'자료_거시'!$J1494,"")</f>
        <v/>
      </c>
      <c r="AC1512">
        <f>IF(ISNUMBER(AB1512),IF(AB1512&gt;$L$8,AA1512,""),"")</f>
        <v/>
      </c>
    </row>
    <row r="1513">
      <c r="S1513">
        <f>IF(ISNUMBER('자료_거시'!$E1495),'자료_거시'!$E1495,S1512)</f>
        <v/>
      </c>
      <c r="T1513">
        <f>IF(AND(ISNUMBER('자료_거시'!$D1495),ISNUMBER('자료_거시'!$E1495)),IFERROR('자료_거시'!$E1495-INDEX($S$21:$S$4020,MATCH(EDATE('자료_거시'!$D1495,-'설정'!$B$17),'자료_거시'!$D$3:INDEX('자료_거시'!$D$3:$D$4002,$K$6),1)),""),"")</f>
        <v/>
      </c>
      <c r="U1513">
        <f>IF(ISNUMBER(T1513),'자료_거시'!$D1495,"")</f>
        <v/>
      </c>
      <c r="V1513">
        <f>IF(ISNUMBER(U1513),IF(U1513&gt;$L$6,T1513,""),"")</f>
        <v/>
      </c>
      <c r="W1513">
        <f>IF(AND(ISNUMBER('자료_거시'!$G1495),ISNUMBER('자료_거시'!$H1495)),'자료_거시'!$H1495,"")</f>
        <v/>
      </c>
      <c r="X1513">
        <f>IF(ISNUMBER(W1513),'자료_거시'!$G1495,"")</f>
        <v/>
      </c>
      <c r="Y1513">
        <f>IF(ISNUMBER(X1513),IF(X1513&gt;$L$7,W1513,""),"")</f>
        <v/>
      </c>
      <c r="Z1513">
        <f>IF(ISNUMBER('자료_거시'!$K1495),'자료_거시'!$K1495,Z1512)</f>
        <v/>
      </c>
      <c r="AA1513">
        <f>IF(AND(ISNUMBER('자료_거시'!$J1495),ISNUMBER('자료_거시'!$K1495)),IFERROR('자료_거시'!$K1495/INDEX($Z$21:$Z$4020,MATCH(EDATE('자료_거시'!$J1495,-'설정'!$B$17),'자료_거시'!$J$3:INDEX('자료_거시'!$J$3:$J$4002,$K$8),1))-1,""),"")</f>
        <v/>
      </c>
      <c r="AB1513">
        <f>IF(ISNUMBER(AA1513),'자료_거시'!$J1495,"")</f>
        <v/>
      </c>
      <c r="AC1513">
        <f>IF(ISNUMBER(AB1513),IF(AB1513&gt;$L$8,AA1513,""),"")</f>
        <v/>
      </c>
    </row>
    <row r="1514">
      <c r="S1514">
        <f>IF(ISNUMBER('자료_거시'!$E1496),'자료_거시'!$E1496,S1513)</f>
        <v/>
      </c>
      <c r="T1514">
        <f>IF(AND(ISNUMBER('자료_거시'!$D1496),ISNUMBER('자료_거시'!$E1496)),IFERROR('자료_거시'!$E1496-INDEX($S$21:$S$4020,MATCH(EDATE('자료_거시'!$D1496,-'설정'!$B$17),'자료_거시'!$D$3:INDEX('자료_거시'!$D$3:$D$4002,$K$6),1)),""),"")</f>
        <v/>
      </c>
      <c r="U1514">
        <f>IF(ISNUMBER(T1514),'자료_거시'!$D1496,"")</f>
        <v/>
      </c>
      <c r="V1514">
        <f>IF(ISNUMBER(U1514),IF(U1514&gt;$L$6,T1514,""),"")</f>
        <v/>
      </c>
      <c r="W1514">
        <f>IF(AND(ISNUMBER('자료_거시'!$G1496),ISNUMBER('자료_거시'!$H1496)),'자료_거시'!$H1496,"")</f>
        <v/>
      </c>
      <c r="X1514">
        <f>IF(ISNUMBER(W1514),'자료_거시'!$G1496,"")</f>
        <v/>
      </c>
      <c r="Y1514">
        <f>IF(ISNUMBER(X1514),IF(X1514&gt;$L$7,W1514,""),"")</f>
        <v/>
      </c>
      <c r="Z1514">
        <f>IF(ISNUMBER('자료_거시'!$K1496),'자료_거시'!$K1496,Z1513)</f>
        <v/>
      </c>
      <c r="AA1514">
        <f>IF(AND(ISNUMBER('자료_거시'!$J1496),ISNUMBER('자료_거시'!$K1496)),IFERROR('자료_거시'!$K1496/INDEX($Z$21:$Z$4020,MATCH(EDATE('자료_거시'!$J1496,-'설정'!$B$17),'자료_거시'!$J$3:INDEX('자료_거시'!$J$3:$J$4002,$K$8),1))-1,""),"")</f>
        <v/>
      </c>
      <c r="AB1514">
        <f>IF(ISNUMBER(AA1514),'자료_거시'!$J1496,"")</f>
        <v/>
      </c>
      <c r="AC1514">
        <f>IF(ISNUMBER(AB1514),IF(AB1514&gt;$L$8,AA1514,""),"")</f>
        <v/>
      </c>
    </row>
    <row r="1515">
      <c r="S1515">
        <f>IF(ISNUMBER('자료_거시'!$E1497),'자료_거시'!$E1497,S1514)</f>
        <v/>
      </c>
      <c r="T1515">
        <f>IF(AND(ISNUMBER('자료_거시'!$D1497),ISNUMBER('자료_거시'!$E1497)),IFERROR('자료_거시'!$E1497-INDEX($S$21:$S$4020,MATCH(EDATE('자료_거시'!$D1497,-'설정'!$B$17),'자료_거시'!$D$3:INDEX('자료_거시'!$D$3:$D$4002,$K$6),1)),""),"")</f>
        <v/>
      </c>
      <c r="U1515">
        <f>IF(ISNUMBER(T1515),'자료_거시'!$D1497,"")</f>
        <v/>
      </c>
      <c r="V1515">
        <f>IF(ISNUMBER(U1515),IF(U1515&gt;$L$6,T1515,""),"")</f>
        <v/>
      </c>
      <c r="W1515">
        <f>IF(AND(ISNUMBER('자료_거시'!$G1497),ISNUMBER('자료_거시'!$H1497)),'자료_거시'!$H1497,"")</f>
        <v/>
      </c>
      <c r="X1515">
        <f>IF(ISNUMBER(W1515),'자료_거시'!$G1497,"")</f>
        <v/>
      </c>
      <c r="Y1515">
        <f>IF(ISNUMBER(X1515),IF(X1515&gt;$L$7,W1515,""),"")</f>
        <v/>
      </c>
      <c r="Z1515">
        <f>IF(ISNUMBER('자료_거시'!$K1497),'자료_거시'!$K1497,Z1514)</f>
        <v/>
      </c>
      <c r="AA1515">
        <f>IF(AND(ISNUMBER('자료_거시'!$J1497),ISNUMBER('자료_거시'!$K1497)),IFERROR('자료_거시'!$K1497/INDEX($Z$21:$Z$4020,MATCH(EDATE('자료_거시'!$J1497,-'설정'!$B$17),'자료_거시'!$J$3:INDEX('자료_거시'!$J$3:$J$4002,$K$8),1))-1,""),"")</f>
        <v/>
      </c>
      <c r="AB1515">
        <f>IF(ISNUMBER(AA1515),'자료_거시'!$J1497,"")</f>
        <v/>
      </c>
      <c r="AC1515">
        <f>IF(ISNUMBER(AB1515),IF(AB1515&gt;$L$8,AA1515,""),"")</f>
        <v/>
      </c>
    </row>
    <row r="1516">
      <c r="S1516">
        <f>IF(ISNUMBER('자료_거시'!$E1498),'자료_거시'!$E1498,S1515)</f>
        <v/>
      </c>
      <c r="T1516">
        <f>IF(AND(ISNUMBER('자료_거시'!$D1498),ISNUMBER('자료_거시'!$E1498)),IFERROR('자료_거시'!$E1498-INDEX($S$21:$S$4020,MATCH(EDATE('자료_거시'!$D1498,-'설정'!$B$17),'자료_거시'!$D$3:INDEX('자료_거시'!$D$3:$D$4002,$K$6),1)),""),"")</f>
        <v/>
      </c>
      <c r="U1516">
        <f>IF(ISNUMBER(T1516),'자료_거시'!$D1498,"")</f>
        <v/>
      </c>
      <c r="V1516">
        <f>IF(ISNUMBER(U1516),IF(U1516&gt;$L$6,T1516,""),"")</f>
        <v/>
      </c>
      <c r="W1516">
        <f>IF(AND(ISNUMBER('자료_거시'!$G1498),ISNUMBER('자료_거시'!$H1498)),'자료_거시'!$H1498,"")</f>
        <v/>
      </c>
      <c r="X1516">
        <f>IF(ISNUMBER(W1516),'자료_거시'!$G1498,"")</f>
        <v/>
      </c>
      <c r="Y1516">
        <f>IF(ISNUMBER(X1516),IF(X1516&gt;$L$7,W1516,""),"")</f>
        <v/>
      </c>
      <c r="Z1516">
        <f>IF(ISNUMBER('자료_거시'!$K1498),'자료_거시'!$K1498,Z1515)</f>
        <v/>
      </c>
      <c r="AA1516">
        <f>IF(AND(ISNUMBER('자료_거시'!$J1498),ISNUMBER('자료_거시'!$K1498)),IFERROR('자료_거시'!$K1498/INDEX($Z$21:$Z$4020,MATCH(EDATE('자료_거시'!$J1498,-'설정'!$B$17),'자료_거시'!$J$3:INDEX('자료_거시'!$J$3:$J$4002,$K$8),1))-1,""),"")</f>
        <v/>
      </c>
      <c r="AB1516">
        <f>IF(ISNUMBER(AA1516),'자료_거시'!$J1498,"")</f>
        <v/>
      </c>
      <c r="AC1516">
        <f>IF(ISNUMBER(AB1516),IF(AB1516&gt;$L$8,AA1516,""),"")</f>
        <v/>
      </c>
    </row>
    <row r="1517">
      <c r="S1517">
        <f>IF(ISNUMBER('자료_거시'!$E1499),'자료_거시'!$E1499,S1516)</f>
        <v/>
      </c>
      <c r="T1517">
        <f>IF(AND(ISNUMBER('자료_거시'!$D1499),ISNUMBER('자료_거시'!$E1499)),IFERROR('자료_거시'!$E1499-INDEX($S$21:$S$4020,MATCH(EDATE('자료_거시'!$D1499,-'설정'!$B$17),'자료_거시'!$D$3:INDEX('자료_거시'!$D$3:$D$4002,$K$6),1)),""),"")</f>
        <v/>
      </c>
      <c r="U1517">
        <f>IF(ISNUMBER(T1517),'자료_거시'!$D1499,"")</f>
        <v/>
      </c>
      <c r="V1517">
        <f>IF(ISNUMBER(U1517),IF(U1517&gt;$L$6,T1517,""),"")</f>
        <v/>
      </c>
      <c r="W1517">
        <f>IF(AND(ISNUMBER('자료_거시'!$G1499),ISNUMBER('자료_거시'!$H1499)),'자료_거시'!$H1499,"")</f>
        <v/>
      </c>
      <c r="X1517">
        <f>IF(ISNUMBER(W1517),'자료_거시'!$G1499,"")</f>
        <v/>
      </c>
      <c r="Y1517">
        <f>IF(ISNUMBER(X1517),IF(X1517&gt;$L$7,W1517,""),"")</f>
        <v/>
      </c>
      <c r="Z1517">
        <f>IF(ISNUMBER('자료_거시'!$K1499),'자료_거시'!$K1499,Z1516)</f>
        <v/>
      </c>
      <c r="AA1517">
        <f>IF(AND(ISNUMBER('자료_거시'!$J1499),ISNUMBER('자료_거시'!$K1499)),IFERROR('자료_거시'!$K1499/INDEX($Z$21:$Z$4020,MATCH(EDATE('자료_거시'!$J1499,-'설정'!$B$17),'자료_거시'!$J$3:INDEX('자료_거시'!$J$3:$J$4002,$K$8),1))-1,""),"")</f>
        <v/>
      </c>
      <c r="AB1517">
        <f>IF(ISNUMBER(AA1517),'자료_거시'!$J1499,"")</f>
        <v/>
      </c>
      <c r="AC1517">
        <f>IF(ISNUMBER(AB1517),IF(AB1517&gt;$L$8,AA1517,""),"")</f>
        <v/>
      </c>
    </row>
    <row r="1518">
      <c r="S1518">
        <f>IF(ISNUMBER('자료_거시'!$E1500),'자료_거시'!$E1500,S1517)</f>
        <v/>
      </c>
      <c r="T1518">
        <f>IF(AND(ISNUMBER('자료_거시'!$D1500),ISNUMBER('자료_거시'!$E1500)),IFERROR('자료_거시'!$E1500-INDEX($S$21:$S$4020,MATCH(EDATE('자료_거시'!$D1500,-'설정'!$B$17),'자료_거시'!$D$3:INDEX('자료_거시'!$D$3:$D$4002,$K$6),1)),""),"")</f>
        <v/>
      </c>
      <c r="U1518">
        <f>IF(ISNUMBER(T1518),'자료_거시'!$D1500,"")</f>
        <v/>
      </c>
      <c r="V1518">
        <f>IF(ISNUMBER(U1518),IF(U1518&gt;$L$6,T1518,""),"")</f>
        <v/>
      </c>
      <c r="W1518">
        <f>IF(AND(ISNUMBER('자료_거시'!$G1500),ISNUMBER('자료_거시'!$H1500)),'자료_거시'!$H1500,"")</f>
        <v/>
      </c>
      <c r="X1518">
        <f>IF(ISNUMBER(W1518),'자료_거시'!$G1500,"")</f>
        <v/>
      </c>
      <c r="Y1518">
        <f>IF(ISNUMBER(X1518),IF(X1518&gt;$L$7,W1518,""),"")</f>
        <v/>
      </c>
      <c r="Z1518">
        <f>IF(ISNUMBER('자료_거시'!$K1500),'자료_거시'!$K1500,Z1517)</f>
        <v/>
      </c>
      <c r="AA1518">
        <f>IF(AND(ISNUMBER('자료_거시'!$J1500),ISNUMBER('자료_거시'!$K1500)),IFERROR('자료_거시'!$K1500/INDEX($Z$21:$Z$4020,MATCH(EDATE('자료_거시'!$J1500,-'설정'!$B$17),'자료_거시'!$J$3:INDEX('자료_거시'!$J$3:$J$4002,$K$8),1))-1,""),"")</f>
        <v/>
      </c>
      <c r="AB1518">
        <f>IF(ISNUMBER(AA1518),'자료_거시'!$J1500,"")</f>
        <v/>
      </c>
      <c r="AC1518">
        <f>IF(ISNUMBER(AB1518),IF(AB1518&gt;$L$8,AA1518,""),"")</f>
        <v/>
      </c>
    </row>
    <row r="1519">
      <c r="S1519">
        <f>IF(ISNUMBER('자료_거시'!$E1501),'자료_거시'!$E1501,S1518)</f>
        <v/>
      </c>
      <c r="T1519">
        <f>IF(AND(ISNUMBER('자료_거시'!$D1501),ISNUMBER('자료_거시'!$E1501)),IFERROR('자료_거시'!$E1501-INDEX($S$21:$S$4020,MATCH(EDATE('자료_거시'!$D1501,-'설정'!$B$17),'자료_거시'!$D$3:INDEX('자료_거시'!$D$3:$D$4002,$K$6),1)),""),"")</f>
        <v/>
      </c>
      <c r="U1519">
        <f>IF(ISNUMBER(T1519),'자료_거시'!$D1501,"")</f>
        <v/>
      </c>
      <c r="V1519">
        <f>IF(ISNUMBER(U1519),IF(U1519&gt;$L$6,T1519,""),"")</f>
        <v/>
      </c>
      <c r="W1519">
        <f>IF(AND(ISNUMBER('자료_거시'!$G1501),ISNUMBER('자료_거시'!$H1501)),'자료_거시'!$H1501,"")</f>
        <v/>
      </c>
      <c r="X1519">
        <f>IF(ISNUMBER(W1519),'자료_거시'!$G1501,"")</f>
        <v/>
      </c>
      <c r="Y1519">
        <f>IF(ISNUMBER(X1519),IF(X1519&gt;$L$7,W1519,""),"")</f>
        <v/>
      </c>
      <c r="Z1519">
        <f>IF(ISNUMBER('자료_거시'!$K1501),'자료_거시'!$K1501,Z1518)</f>
        <v/>
      </c>
      <c r="AA1519">
        <f>IF(AND(ISNUMBER('자료_거시'!$J1501),ISNUMBER('자료_거시'!$K1501)),IFERROR('자료_거시'!$K1501/INDEX($Z$21:$Z$4020,MATCH(EDATE('자료_거시'!$J1501,-'설정'!$B$17),'자료_거시'!$J$3:INDEX('자료_거시'!$J$3:$J$4002,$K$8),1))-1,""),"")</f>
        <v/>
      </c>
      <c r="AB1519">
        <f>IF(ISNUMBER(AA1519),'자료_거시'!$J1501,"")</f>
        <v/>
      </c>
      <c r="AC1519">
        <f>IF(ISNUMBER(AB1519),IF(AB1519&gt;$L$8,AA1519,""),"")</f>
        <v/>
      </c>
    </row>
    <row r="1520">
      <c r="S1520">
        <f>IF(ISNUMBER('자료_거시'!$E1502),'자료_거시'!$E1502,S1519)</f>
        <v/>
      </c>
      <c r="T1520">
        <f>IF(AND(ISNUMBER('자료_거시'!$D1502),ISNUMBER('자료_거시'!$E1502)),IFERROR('자료_거시'!$E1502-INDEX($S$21:$S$4020,MATCH(EDATE('자료_거시'!$D1502,-'설정'!$B$17),'자료_거시'!$D$3:INDEX('자료_거시'!$D$3:$D$4002,$K$6),1)),""),"")</f>
        <v/>
      </c>
      <c r="U1520">
        <f>IF(ISNUMBER(T1520),'자료_거시'!$D1502,"")</f>
        <v/>
      </c>
      <c r="V1520">
        <f>IF(ISNUMBER(U1520),IF(U1520&gt;$L$6,T1520,""),"")</f>
        <v/>
      </c>
      <c r="W1520">
        <f>IF(AND(ISNUMBER('자료_거시'!$G1502),ISNUMBER('자료_거시'!$H1502)),'자료_거시'!$H1502,"")</f>
        <v/>
      </c>
      <c r="X1520">
        <f>IF(ISNUMBER(W1520),'자료_거시'!$G1502,"")</f>
        <v/>
      </c>
      <c r="Y1520">
        <f>IF(ISNUMBER(X1520),IF(X1520&gt;$L$7,W1520,""),"")</f>
        <v/>
      </c>
      <c r="Z1520">
        <f>IF(ISNUMBER('자료_거시'!$K1502),'자료_거시'!$K1502,Z1519)</f>
        <v/>
      </c>
      <c r="AA1520">
        <f>IF(AND(ISNUMBER('자료_거시'!$J1502),ISNUMBER('자료_거시'!$K1502)),IFERROR('자료_거시'!$K1502/INDEX($Z$21:$Z$4020,MATCH(EDATE('자료_거시'!$J1502,-'설정'!$B$17),'자료_거시'!$J$3:INDEX('자료_거시'!$J$3:$J$4002,$K$8),1))-1,""),"")</f>
        <v/>
      </c>
      <c r="AB1520">
        <f>IF(ISNUMBER(AA1520),'자료_거시'!$J1502,"")</f>
        <v/>
      </c>
      <c r="AC1520">
        <f>IF(ISNUMBER(AB1520),IF(AB1520&gt;$L$8,AA1520,""),"")</f>
        <v/>
      </c>
    </row>
    <row r="1521">
      <c r="S1521">
        <f>IF(ISNUMBER('자료_거시'!$E1503),'자료_거시'!$E1503,S1520)</f>
        <v/>
      </c>
      <c r="T1521">
        <f>IF(AND(ISNUMBER('자료_거시'!$D1503),ISNUMBER('자료_거시'!$E1503)),IFERROR('자료_거시'!$E1503-INDEX($S$21:$S$4020,MATCH(EDATE('자료_거시'!$D1503,-'설정'!$B$17),'자료_거시'!$D$3:INDEX('자료_거시'!$D$3:$D$4002,$K$6),1)),""),"")</f>
        <v/>
      </c>
      <c r="U1521">
        <f>IF(ISNUMBER(T1521),'자료_거시'!$D1503,"")</f>
        <v/>
      </c>
      <c r="V1521">
        <f>IF(ISNUMBER(U1521),IF(U1521&gt;$L$6,T1521,""),"")</f>
        <v/>
      </c>
      <c r="W1521">
        <f>IF(AND(ISNUMBER('자료_거시'!$G1503),ISNUMBER('자료_거시'!$H1503)),'자료_거시'!$H1503,"")</f>
        <v/>
      </c>
      <c r="X1521">
        <f>IF(ISNUMBER(W1521),'자료_거시'!$G1503,"")</f>
        <v/>
      </c>
      <c r="Y1521">
        <f>IF(ISNUMBER(X1521),IF(X1521&gt;$L$7,W1521,""),"")</f>
        <v/>
      </c>
      <c r="Z1521">
        <f>IF(ISNUMBER('자료_거시'!$K1503),'자료_거시'!$K1503,Z1520)</f>
        <v/>
      </c>
      <c r="AA1521">
        <f>IF(AND(ISNUMBER('자료_거시'!$J1503),ISNUMBER('자료_거시'!$K1503)),IFERROR('자료_거시'!$K1503/INDEX($Z$21:$Z$4020,MATCH(EDATE('자료_거시'!$J1503,-'설정'!$B$17),'자료_거시'!$J$3:INDEX('자료_거시'!$J$3:$J$4002,$K$8),1))-1,""),"")</f>
        <v/>
      </c>
      <c r="AB1521">
        <f>IF(ISNUMBER(AA1521),'자료_거시'!$J1503,"")</f>
        <v/>
      </c>
      <c r="AC1521">
        <f>IF(ISNUMBER(AB1521),IF(AB1521&gt;$L$8,AA1521,""),"")</f>
        <v/>
      </c>
    </row>
    <row r="1522">
      <c r="S1522">
        <f>IF(ISNUMBER('자료_거시'!$E1504),'자료_거시'!$E1504,S1521)</f>
        <v/>
      </c>
      <c r="T1522">
        <f>IF(AND(ISNUMBER('자료_거시'!$D1504),ISNUMBER('자료_거시'!$E1504)),IFERROR('자료_거시'!$E1504-INDEX($S$21:$S$4020,MATCH(EDATE('자료_거시'!$D1504,-'설정'!$B$17),'자료_거시'!$D$3:INDEX('자료_거시'!$D$3:$D$4002,$K$6),1)),""),"")</f>
        <v/>
      </c>
      <c r="U1522">
        <f>IF(ISNUMBER(T1522),'자료_거시'!$D1504,"")</f>
        <v/>
      </c>
      <c r="V1522">
        <f>IF(ISNUMBER(U1522),IF(U1522&gt;$L$6,T1522,""),"")</f>
        <v/>
      </c>
      <c r="W1522">
        <f>IF(AND(ISNUMBER('자료_거시'!$G1504),ISNUMBER('자료_거시'!$H1504)),'자료_거시'!$H1504,"")</f>
        <v/>
      </c>
      <c r="X1522">
        <f>IF(ISNUMBER(W1522),'자료_거시'!$G1504,"")</f>
        <v/>
      </c>
      <c r="Y1522">
        <f>IF(ISNUMBER(X1522),IF(X1522&gt;$L$7,W1522,""),"")</f>
        <v/>
      </c>
      <c r="Z1522">
        <f>IF(ISNUMBER('자료_거시'!$K1504),'자료_거시'!$K1504,Z1521)</f>
        <v/>
      </c>
      <c r="AA1522">
        <f>IF(AND(ISNUMBER('자료_거시'!$J1504),ISNUMBER('자료_거시'!$K1504)),IFERROR('자료_거시'!$K1504/INDEX($Z$21:$Z$4020,MATCH(EDATE('자료_거시'!$J1504,-'설정'!$B$17),'자료_거시'!$J$3:INDEX('자료_거시'!$J$3:$J$4002,$K$8),1))-1,""),"")</f>
        <v/>
      </c>
      <c r="AB1522">
        <f>IF(ISNUMBER(AA1522),'자료_거시'!$J1504,"")</f>
        <v/>
      </c>
      <c r="AC1522">
        <f>IF(ISNUMBER(AB1522),IF(AB1522&gt;$L$8,AA1522,""),"")</f>
        <v/>
      </c>
    </row>
    <row r="1523">
      <c r="S1523">
        <f>IF(ISNUMBER('자료_거시'!$E1505),'자료_거시'!$E1505,S1522)</f>
        <v/>
      </c>
      <c r="T1523">
        <f>IF(AND(ISNUMBER('자료_거시'!$D1505),ISNUMBER('자료_거시'!$E1505)),IFERROR('자료_거시'!$E1505-INDEX($S$21:$S$4020,MATCH(EDATE('자료_거시'!$D1505,-'설정'!$B$17),'자료_거시'!$D$3:INDEX('자료_거시'!$D$3:$D$4002,$K$6),1)),""),"")</f>
        <v/>
      </c>
      <c r="U1523">
        <f>IF(ISNUMBER(T1523),'자료_거시'!$D1505,"")</f>
        <v/>
      </c>
      <c r="V1523">
        <f>IF(ISNUMBER(U1523),IF(U1523&gt;$L$6,T1523,""),"")</f>
        <v/>
      </c>
      <c r="W1523">
        <f>IF(AND(ISNUMBER('자료_거시'!$G1505),ISNUMBER('자료_거시'!$H1505)),'자료_거시'!$H1505,"")</f>
        <v/>
      </c>
      <c r="X1523">
        <f>IF(ISNUMBER(W1523),'자료_거시'!$G1505,"")</f>
        <v/>
      </c>
      <c r="Y1523">
        <f>IF(ISNUMBER(X1523),IF(X1523&gt;$L$7,W1523,""),"")</f>
        <v/>
      </c>
      <c r="Z1523">
        <f>IF(ISNUMBER('자료_거시'!$K1505),'자료_거시'!$K1505,Z1522)</f>
        <v/>
      </c>
      <c r="AA1523">
        <f>IF(AND(ISNUMBER('자료_거시'!$J1505),ISNUMBER('자료_거시'!$K1505)),IFERROR('자료_거시'!$K1505/INDEX($Z$21:$Z$4020,MATCH(EDATE('자료_거시'!$J1505,-'설정'!$B$17),'자료_거시'!$J$3:INDEX('자료_거시'!$J$3:$J$4002,$K$8),1))-1,""),"")</f>
        <v/>
      </c>
      <c r="AB1523">
        <f>IF(ISNUMBER(AA1523),'자료_거시'!$J1505,"")</f>
        <v/>
      </c>
      <c r="AC1523">
        <f>IF(ISNUMBER(AB1523),IF(AB1523&gt;$L$8,AA1523,""),"")</f>
        <v/>
      </c>
    </row>
    <row r="1524">
      <c r="S1524">
        <f>IF(ISNUMBER('자료_거시'!$E1506),'자료_거시'!$E1506,S1523)</f>
        <v/>
      </c>
      <c r="T1524">
        <f>IF(AND(ISNUMBER('자료_거시'!$D1506),ISNUMBER('자료_거시'!$E1506)),IFERROR('자료_거시'!$E1506-INDEX($S$21:$S$4020,MATCH(EDATE('자료_거시'!$D1506,-'설정'!$B$17),'자료_거시'!$D$3:INDEX('자료_거시'!$D$3:$D$4002,$K$6),1)),""),"")</f>
        <v/>
      </c>
      <c r="U1524">
        <f>IF(ISNUMBER(T1524),'자료_거시'!$D1506,"")</f>
        <v/>
      </c>
      <c r="V1524">
        <f>IF(ISNUMBER(U1524),IF(U1524&gt;$L$6,T1524,""),"")</f>
        <v/>
      </c>
      <c r="W1524">
        <f>IF(AND(ISNUMBER('자료_거시'!$G1506),ISNUMBER('자료_거시'!$H1506)),'자료_거시'!$H1506,"")</f>
        <v/>
      </c>
      <c r="X1524">
        <f>IF(ISNUMBER(W1524),'자료_거시'!$G1506,"")</f>
        <v/>
      </c>
      <c r="Y1524">
        <f>IF(ISNUMBER(X1524),IF(X1524&gt;$L$7,W1524,""),"")</f>
        <v/>
      </c>
      <c r="Z1524">
        <f>IF(ISNUMBER('자료_거시'!$K1506),'자료_거시'!$K1506,Z1523)</f>
        <v/>
      </c>
      <c r="AA1524">
        <f>IF(AND(ISNUMBER('자료_거시'!$J1506),ISNUMBER('자료_거시'!$K1506)),IFERROR('자료_거시'!$K1506/INDEX($Z$21:$Z$4020,MATCH(EDATE('자료_거시'!$J1506,-'설정'!$B$17),'자료_거시'!$J$3:INDEX('자료_거시'!$J$3:$J$4002,$K$8),1))-1,""),"")</f>
        <v/>
      </c>
      <c r="AB1524">
        <f>IF(ISNUMBER(AA1524),'자료_거시'!$J1506,"")</f>
        <v/>
      </c>
      <c r="AC1524">
        <f>IF(ISNUMBER(AB1524),IF(AB1524&gt;$L$8,AA1524,""),"")</f>
        <v/>
      </c>
    </row>
    <row r="1525">
      <c r="S1525">
        <f>IF(ISNUMBER('자료_거시'!$E1507),'자료_거시'!$E1507,S1524)</f>
        <v/>
      </c>
      <c r="T1525">
        <f>IF(AND(ISNUMBER('자료_거시'!$D1507),ISNUMBER('자료_거시'!$E1507)),IFERROR('자료_거시'!$E1507-INDEX($S$21:$S$4020,MATCH(EDATE('자료_거시'!$D1507,-'설정'!$B$17),'자료_거시'!$D$3:INDEX('자료_거시'!$D$3:$D$4002,$K$6),1)),""),"")</f>
        <v/>
      </c>
      <c r="U1525">
        <f>IF(ISNUMBER(T1525),'자료_거시'!$D1507,"")</f>
        <v/>
      </c>
      <c r="V1525">
        <f>IF(ISNUMBER(U1525),IF(U1525&gt;$L$6,T1525,""),"")</f>
        <v/>
      </c>
      <c r="W1525">
        <f>IF(AND(ISNUMBER('자료_거시'!$G1507),ISNUMBER('자료_거시'!$H1507)),'자료_거시'!$H1507,"")</f>
        <v/>
      </c>
      <c r="X1525">
        <f>IF(ISNUMBER(W1525),'자료_거시'!$G1507,"")</f>
        <v/>
      </c>
      <c r="Y1525">
        <f>IF(ISNUMBER(X1525),IF(X1525&gt;$L$7,W1525,""),"")</f>
        <v/>
      </c>
      <c r="Z1525">
        <f>IF(ISNUMBER('자료_거시'!$K1507),'자료_거시'!$K1507,Z1524)</f>
        <v/>
      </c>
      <c r="AA1525">
        <f>IF(AND(ISNUMBER('자료_거시'!$J1507),ISNUMBER('자료_거시'!$K1507)),IFERROR('자료_거시'!$K1507/INDEX($Z$21:$Z$4020,MATCH(EDATE('자료_거시'!$J1507,-'설정'!$B$17),'자료_거시'!$J$3:INDEX('자료_거시'!$J$3:$J$4002,$K$8),1))-1,""),"")</f>
        <v/>
      </c>
      <c r="AB1525">
        <f>IF(ISNUMBER(AA1525),'자료_거시'!$J1507,"")</f>
        <v/>
      </c>
      <c r="AC1525">
        <f>IF(ISNUMBER(AB1525),IF(AB1525&gt;$L$8,AA1525,""),"")</f>
        <v/>
      </c>
    </row>
    <row r="1526">
      <c r="S1526">
        <f>IF(ISNUMBER('자료_거시'!$E1508),'자료_거시'!$E1508,S1525)</f>
        <v/>
      </c>
      <c r="T1526">
        <f>IF(AND(ISNUMBER('자료_거시'!$D1508),ISNUMBER('자료_거시'!$E1508)),IFERROR('자료_거시'!$E1508-INDEX($S$21:$S$4020,MATCH(EDATE('자료_거시'!$D1508,-'설정'!$B$17),'자료_거시'!$D$3:INDEX('자료_거시'!$D$3:$D$4002,$K$6),1)),""),"")</f>
        <v/>
      </c>
      <c r="U1526">
        <f>IF(ISNUMBER(T1526),'자료_거시'!$D1508,"")</f>
        <v/>
      </c>
      <c r="V1526">
        <f>IF(ISNUMBER(U1526),IF(U1526&gt;$L$6,T1526,""),"")</f>
        <v/>
      </c>
      <c r="W1526">
        <f>IF(AND(ISNUMBER('자료_거시'!$G1508),ISNUMBER('자료_거시'!$H1508)),'자료_거시'!$H1508,"")</f>
        <v/>
      </c>
      <c r="X1526">
        <f>IF(ISNUMBER(W1526),'자료_거시'!$G1508,"")</f>
        <v/>
      </c>
      <c r="Y1526">
        <f>IF(ISNUMBER(X1526),IF(X1526&gt;$L$7,W1526,""),"")</f>
        <v/>
      </c>
      <c r="Z1526">
        <f>IF(ISNUMBER('자료_거시'!$K1508),'자료_거시'!$K1508,Z1525)</f>
        <v/>
      </c>
      <c r="AA1526">
        <f>IF(AND(ISNUMBER('자료_거시'!$J1508),ISNUMBER('자료_거시'!$K1508)),IFERROR('자료_거시'!$K1508/INDEX($Z$21:$Z$4020,MATCH(EDATE('자료_거시'!$J1508,-'설정'!$B$17),'자료_거시'!$J$3:INDEX('자료_거시'!$J$3:$J$4002,$K$8),1))-1,""),"")</f>
        <v/>
      </c>
      <c r="AB1526">
        <f>IF(ISNUMBER(AA1526),'자료_거시'!$J1508,"")</f>
        <v/>
      </c>
      <c r="AC1526">
        <f>IF(ISNUMBER(AB1526),IF(AB1526&gt;$L$8,AA1526,""),"")</f>
        <v/>
      </c>
    </row>
    <row r="1527">
      <c r="S1527">
        <f>IF(ISNUMBER('자료_거시'!$E1509),'자료_거시'!$E1509,S1526)</f>
        <v/>
      </c>
      <c r="T1527">
        <f>IF(AND(ISNUMBER('자료_거시'!$D1509),ISNUMBER('자료_거시'!$E1509)),IFERROR('자료_거시'!$E1509-INDEX($S$21:$S$4020,MATCH(EDATE('자료_거시'!$D1509,-'설정'!$B$17),'자료_거시'!$D$3:INDEX('자료_거시'!$D$3:$D$4002,$K$6),1)),""),"")</f>
        <v/>
      </c>
      <c r="U1527">
        <f>IF(ISNUMBER(T1527),'자료_거시'!$D1509,"")</f>
        <v/>
      </c>
      <c r="V1527">
        <f>IF(ISNUMBER(U1527),IF(U1527&gt;$L$6,T1527,""),"")</f>
        <v/>
      </c>
      <c r="W1527">
        <f>IF(AND(ISNUMBER('자료_거시'!$G1509),ISNUMBER('자료_거시'!$H1509)),'자료_거시'!$H1509,"")</f>
        <v/>
      </c>
      <c r="X1527">
        <f>IF(ISNUMBER(W1527),'자료_거시'!$G1509,"")</f>
        <v/>
      </c>
      <c r="Y1527">
        <f>IF(ISNUMBER(X1527),IF(X1527&gt;$L$7,W1527,""),"")</f>
        <v/>
      </c>
      <c r="Z1527">
        <f>IF(ISNUMBER('자료_거시'!$K1509),'자료_거시'!$K1509,Z1526)</f>
        <v/>
      </c>
      <c r="AA1527">
        <f>IF(AND(ISNUMBER('자료_거시'!$J1509),ISNUMBER('자료_거시'!$K1509)),IFERROR('자료_거시'!$K1509/INDEX($Z$21:$Z$4020,MATCH(EDATE('자료_거시'!$J1509,-'설정'!$B$17),'자료_거시'!$J$3:INDEX('자료_거시'!$J$3:$J$4002,$K$8),1))-1,""),"")</f>
        <v/>
      </c>
      <c r="AB1527">
        <f>IF(ISNUMBER(AA1527),'자료_거시'!$J1509,"")</f>
        <v/>
      </c>
      <c r="AC1527">
        <f>IF(ISNUMBER(AB1527),IF(AB1527&gt;$L$8,AA1527,""),"")</f>
        <v/>
      </c>
    </row>
    <row r="1528">
      <c r="S1528">
        <f>IF(ISNUMBER('자료_거시'!$E1510),'자료_거시'!$E1510,S1527)</f>
        <v/>
      </c>
      <c r="T1528">
        <f>IF(AND(ISNUMBER('자료_거시'!$D1510),ISNUMBER('자료_거시'!$E1510)),IFERROR('자료_거시'!$E1510-INDEX($S$21:$S$4020,MATCH(EDATE('자료_거시'!$D1510,-'설정'!$B$17),'자료_거시'!$D$3:INDEX('자료_거시'!$D$3:$D$4002,$K$6),1)),""),"")</f>
        <v/>
      </c>
      <c r="U1528">
        <f>IF(ISNUMBER(T1528),'자료_거시'!$D1510,"")</f>
        <v/>
      </c>
      <c r="V1528">
        <f>IF(ISNUMBER(U1528),IF(U1528&gt;$L$6,T1528,""),"")</f>
        <v/>
      </c>
      <c r="W1528">
        <f>IF(AND(ISNUMBER('자료_거시'!$G1510),ISNUMBER('자료_거시'!$H1510)),'자료_거시'!$H1510,"")</f>
        <v/>
      </c>
      <c r="X1528">
        <f>IF(ISNUMBER(W1528),'자료_거시'!$G1510,"")</f>
        <v/>
      </c>
      <c r="Y1528">
        <f>IF(ISNUMBER(X1528),IF(X1528&gt;$L$7,W1528,""),"")</f>
        <v/>
      </c>
      <c r="Z1528">
        <f>IF(ISNUMBER('자료_거시'!$K1510),'자료_거시'!$K1510,Z1527)</f>
        <v/>
      </c>
      <c r="AA1528">
        <f>IF(AND(ISNUMBER('자료_거시'!$J1510),ISNUMBER('자료_거시'!$K1510)),IFERROR('자료_거시'!$K1510/INDEX($Z$21:$Z$4020,MATCH(EDATE('자료_거시'!$J1510,-'설정'!$B$17),'자료_거시'!$J$3:INDEX('자료_거시'!$J$3:$J$4002,$K$8),1))-1,""),"")</f>
        <v/>
      </c>
      <c r="AB1528">
        <f>IF(ISNUMBER(AA1528),'자료_거시'!$J1510,"")</f>
        <v/>
      </c>
      <c r="AC1528">
        <f>IF(ISNUMBER(AB1528),IF(AB1528&gt;$L$8,AA1528,""),"")</f>
        <v/>
      </c>
    </row>
    <row r="1529">
      <c r="S1529">
        <f>IF(ISNUMBER('자료_거시'!$E1511),'자료_거시'!$E1511,S1528)</f>
        <v/>
      </c>
      <c r="T1529">
        <f>IF(AND(ISNUMBER('자료_거시'!$D1511),ISNUMBER('자료_거시'!$E1511)),IFERROR('자료_거시'!$E1511-INDEX($S$21:$S$4020,MATCH(EDATE('자료_거시'!$D1511,-'설정'!$B$17),'자료_거시'!$D$3:INDEX('자료_거시'!$D$3:$D$4002,$K$6),1)),""),"")</f>
        <v/>
      </c>
      <c r="U1529">
        <f>IF(ISNUMBER(T1529),'자료_거시'!$D1511,"")</f>
        <v/>
      </c>
      <c r="V1529">
        <f>IF(ISNUMBER(U1529),IF(U1529&gt;$L$6,T1529,""),"")</f>
        <v/>
      </c>
      <c r="W1529">
        <f>IF(AND(ISNUMBER('자료_거시'!$G1511),ISNUMBER('자료_거시'!$H1511)),'자료_거시'!$H1511,"")</f>
        <v/>
      </c>
      <c r="X1529">
        <f>IF(ISNUMBER(W1529),'자료_거시'!$G1511,"")</f>
        <v/>
      </c>
      <c r="Y1529">
        <f>IF(ISNUMBER(X1529),IF(X1529&gt;$L$7,W1529,""),"")</f>
        <v/>
      </c>
      <c r="Z1529">
        <f>IF(ISNUMBER('자료_거시'!$K1511),'자료_거시'!$K1511,Z1528)</f>
        <v/>
      </c>
      <c r="AA1529">
        <f>IF(AND(ISNUMBER('자료_거시'!$J1511),ISNUMBER('자료_거시'!$K1511)),IFERROR('자료_거시'!$K1511/INDEX($Z$21:$Z$4020,MATCH(EDATE('자료_거시'!$J1511,-'설정'!$B$17),'자료_거시'!$J$3:INDEX('자료_거시'!$J$3:$J$4002,$K$8),1))-1,""),"")</f>
        <v/>
      </c>
      <c r="AB1529">
        <f>IF(ISNUMBER(AA1529),'자료_거시'!$J1511,"")</f>
        <v/>
      </c>
      <c r="AC1529">
        <f>IF(ISNUMBER(AB1529),IF(AB1529&gt;$L$8,AA1529,""),"")</f>
        <v/>
      </c>
    </row>
    <row r="1530">
      <c r="S1530">
        <f>IF(ISNUMBER('자료_거시'!$E1512),'자료_거시'!$E1512,S1529)</f>
        <v/>
      </c>
      <c r="T1530">
        <f>IF(AND(ISNUMBER('자료_거시'!$D1512),ISNUMBER('자료_거시'!$E1512)),IFERROR('자료_거시'!$E1512-INDEX($S$21:$S$4020,MATCH(EDATE('자료_거시'!$D1512,-'설정'!$B$17),'자료_거시'!$D$3:INDEX('자료_거시'!$D$3:$D$4002,$K$6),1)),""),"")</f>
        <v/>
      </c>
      <c r="U1530">
        <f>IF(ISNUMBER(T1530),'자료_거시'!$D1512,"")</f>
        <v/>
      </c>
      <c r="V1530">
        <f>IF(ISNUMBER(U1530),IF(U1530&gt;$L$6,T1530,""),"")</f>
        <v/>
      </c>
      <c r="W1530">
        <f>IF(AND(ISNUMBER('자료_거시'!$G1512),ISNUMBER('자료_거시'!$H1512)),'자료_거시'!$H1512,"")</f>
        <v/>
      </c>
      <c r="X1530">
        <f>IF(ISNUMBER(W1530),'자료_거시'!$G1512,"")</f>
        <v/>
      </c>
      <c r="Y1530">
        <f>IF(ISNUMBER(X1530),IF(X1530&gt;$L$7,W1530,""),"")</f>
        <v/>
      </c>
      <c r="Z1530">
        <f>IF(ISNUMBER('자료_거시'!$K1512),'자료_거시'!$K1512,Z1529)</f>
        <v/>
      </c>
      <c r="AA1530">
        <f>IF(AND(ISNUMBER('자료_거시'!$J1512),ISNUMBER('자료_거시'!$K1512)),IFERROR('자료_거시'!$K1512/INDEX($Z$21:$Z$4020,MATCH(EDATE('자료_거시'!$J1512,-'설정'!$B$17),'자료_거시'!$J$3:INDEX('자료_거시'!$J$3:$J$4002,$K$8),1))-1,""),"")</f>
        <v/>
      </c>
      <c r="AB1530">
        <f>IF(ISNUMBER(AA1530),'자료_거시'!$J1512,"")</f>
        <v/>
      </c>
      <c r="AC1530">
        <f>IF(ISNUMBER(AB1530),IF(AB1530&gt;$L$8,AA1530,""),"")</f>
        <v/>
      </c>
    </row>
    <row r="1531">
      <c r="S1531">
        <f>IF(ISNUMBER('자료_거시'!$E1513),'자료_거시'!$E1513,S1530)</f>
        <v/>
      </c>
      <c r="T1531">
        <f>IF(AND(ISNUMBER('자료_거시'!$D1513),ISNUMBER('자료_거시'!$E1513)),IFERROR('자료_거시'!$E1513-INDEX($S$21:$S$4020,MATCH(EDATE('자료_거시'!$D1513,-'설정'!$B$17),'자료_거시'!$D$3:INDEX('자료_거시'!$D$3:$D$4002,$K$6),1)),""),"")</f>
        <v/>
      </c>
      <c r="U1531">
        <f>IF(ISNUMBER(T1531),'자료_거시'!$D1513,"")</f>
        <v/>
      </c>
      <c r="V1531">
        <f>IF(ISNUMBER(U1531),IF(U1531&gt;$L$6,T1531,""),"")</f>
        <v/>
      </c>
      <c r="W1531">
        <f>IF(AND(ISNUMBER('자료_거시'!$G1513),ISNUMBER('자료_거시'!$H1513)),'자료_거시'!$H1513,"")</f>
        <v/>
      </c>
      <c r="X1531">
        <f>IF(ISNUMBER(W1531),'자료_거시'!$G1513,"")</f>
        <v/>
      </c>
      <c r="Y1531">
        <f>IF(ISNUMBER(X1531),IF(X1531&gt;$L$7,W1531,""),"")</f>
        <v/>
      </c>
      <c r="Z1531">
        <f>IF(ISNUMBER('자료_거시'!$K1513),'자료_거시'!$K1513,Z1530)</f>
        <v/>
      </c>
      <c r="AA1531">
        <f>IF(AND(ISNUMBER('자료_거시'!$J1513),ISNUMBER('자료_거시'!$K1513)),IFERROR('자료_거시'!$K1513/INDEX($Z$21:$Z$4020,MATCH(EDATE('자료_거시'!$J1513,-'설정'!$B$17),'자료_거시'!$J$3:INDEX('자료_거시'!$J$3:$J$4002,$K$8),1))-1,""),"")</f>
        <v/>
      </c>
      <c r="AB1531">
        <f>IF(ISNUMBER(AA1531),'자료_거시'!$J1513,"")</f>
        <v/>
      </c>
      <c r="AC1531">
        <f>IF(ISNUMBER(AB1531),IF(AB1531&gt;$L$8,AA1531,""),"")</f>
        <v/>
      </c>
    </row>
    <row r="1532">
      <c r="S1532">
        <f>IF(ISNUMBER('자료_거시'!$E1514),'자료_거시'!$E1514,S1531)</f>
        <v/>
      </c>
      <c r="T1532">
        <f>IF(AND(ISNUMBER('자료_거시'!$D1514),ISNUMBER('자료_거시'!$E1514)),IFERROR('자료_거시'!$E1514-INDEX($S$21:$S$4020,MATCH(EDATE('자료_거시'!$D1514,-'설정'!$B$17),'자료_거시'!$D$3:INDEX('자료_거시'!$D$3:$D$4002,$K$6),1)),""),"")</f>
        <v/>
      </c>
      <c r="U1532">
        <f>IF(ISNUMBER(T1532),'자료_거시'!$D1514,"")</f>
        <v/>
      </c>
      <c r="V1532">
        <f>IF(ISNUMBER(U1532),IF(U1532&gt;$L$6,T1532,""),"")</f>
        <v/>
      </c>
      <c r="W1532">
        <f>IF(AND(ISNUMBER('자료_거시'!$G1514),ISNUMBER('자료_거시'!$H1514)),'자료_거시'!$H1514,"")</f>
        <v/>
      </c>
      <c r="X1532">
        <f>IF(ISNUMBER(W1532),'자료_거시'!$G1514,"")</f>
        <v/>
      </c>
      <c r="Y1532">
        <f>IF(ISNUMBER(X1532),IF(X1532&gt;$L$7,W1532,""),"")</f>
        <v/>
      </c>
      <c r="Z1532">
        <f>IF(ISNUMBER('자료_거시'!$K1514),'자료_거시'!$K1514,Z1531)</f>
        <v/>
      </c>
      <c r="AA1532">
        <f>IF(AND(ISNUMBER('자료_거시'!$J1514),ISNUMBER('자료_거시'!$K1514)),IFERROR('자료_거시'!$K1514/INDEX($Z$21:$Z$4020,MATCH(EDATE('자료_거시'!$J1514,-'설정'!$B$17),'자료_거시'!$J$3:INDEX('자료_거시'!$J$3:$J$4002,$K$8),1))-1,""),"")</f>
        <v/>
      </c>
      <c r="AB1532">
        <f>IF(ISNUMBER(AA1532),'자료_거시'!$J1514,"")</f>
        <v/>
      </c>
      <c r="AC1532">
        <f>IF(ISNUMBER(AB1532),IF(AB1532&gt;$L$8,AA1532,""),"")</f>
        <v/>
      </c>
    </row>
    <row r="1533">
      <c r="S1533">
        <f>IF(ISNUMBER('자료_거시'!$E1515),'자료_거시'!$E1515,S1532)</f>
        <v/>
      </c>
      <c r="T1533">
        <f>IF(AND(ISNUMBER('자료_거시'!$D1515),ISNUMBER('자료_거시'!$E1515)),IFERROR('자료_거시'!$E1515-INDEX($S$21:$S$4020,MATCH(EDATE('자료_거시'!$D1515,-'설정'!$B$17),'자료_거시'!$D$3:INDEX('자료_거시'!$D$3:$D$4002,$K$6),1)),""),"")</f>
        <v/>
      </c>
      <c r="U1533">
        <f>IF(ISNUMBER(T1533),'자료_거시'!$D1515,"")</f>
        <v/>
      </c>
      <c r="V1533">
        <f>IF(ISNUMBER(U1533),IF(U1533&gt;$L$6,T1533,""),"")</f>
        <v/>
      </c>
      <c r="W1533">
        <f>IF(AND(ISNUMBER('자료_거시'!$G1515),ISNUMBER('자료_거시'!$H1515)),'자료_거시'!$H1515,"")</f>
        <v/>
      </c>
      <c r="X1533">
        <f>IF(ISNUMBER(W1533),'자료_거시'!$G1515,"")</f>
        <v/>
      </c>
      <c r="Y1533">
        <f>IF(ISNUMBER(X1533),IF(X1533&gt;$L$7,W1533,""),"")</f>
        <v/>
      </c>
      <c r="Z1533">
        <f>IF(ISNUMBER('자료_거시'!$K1515),'자료_거시'!$K1515,Z1532)</f>
        <v/>
      </c>
      <c r="AA1533">
        <f>IF(AND(ISNUMBER('자료_거시'!$J1515),ISNUMBER('자료_거시'!$K1515)),IFERROR('자료_거시'!$K1515/INDEX($Z$21:$Z$4020,MATCH(EDATE('자료_거시'!$J1515,-'설정'!$B$17),'자료_거시'!$J$3:INDEX('자료_거시'!$J$3:$J$4002,$K$8),1))-1,""),"")</f>
        <v/>
      </c>
      <c r="AB1533">
        <f>IF(ISNUMBER(AA1533),'자료_거시'!$J1515,"")</f>
        <v/>
      </c>
      <c r="AC1533">
        <f>IF(ISNUMBER(AB1533),IF(AB1533&gt;$L$8,AA1533,""),"")</f>
        <v/>
      </c>
    </row>
    <row r="1534">
      <c r="S1534">
        <f>IF(ISNUMBER('자료_거시'!$E1516),'자료_거시'!$E1516,S1533)</f>
        <v/>
      </c>
      <c r="T1534">
        <f>IF(AND(ISNUMBER('자료_거시'!$D1516),ISNUMBER('자료_거시'!$E1516)),IFERROR('자료_거시'!$E1516-INDEX($S$21:$S$4020,MATCH(EDATE('자료_거시'!$D1516,-'설정'!$B$17),'자료_거시'!$D$3:INDEX('자료_거시'!$D$3:$D$4002,$K$6),1)),""),"")</f>
        <v/>
      </c>
      <c r="U1534">
        <f>IF(ISNUMBER(T1534),'자료_거시'!$D1516,"")</f>
        <v/>
      </c>
      <c r="V1534">
        <f>IF(ISNUMBER(U1534),IF(U1534&gt;$L$6,T1534,""),"")</f>
        <v/>
      </c>
      <c r="W1534">
        <f>IF(AND(ISNUMBER('자료_거시'!$G1516),ISNUMBER('자료_거시'!$H1516)),'자료_거시'!$H1516,"")</f>
        <v/>
      </c>
      <c r="X1534">
        <f>IF(ISNUMBER(W1534),'자료_거시'!$G1516,"")</f>
        <v/>
      </c>
      <c r="Y1534">
        <f>IF(ISNUMBER(X1534),IF(X1534&gt;$L$7,W1534,""),"")</f>
        <v/>
      </c>
      <c r="Z1534">
        <f>IF(ISNUMBER('자료_거시'!$K1516),'자료_거시'!$K1516,Z1533)</f>
        <v/>
      </c>
      <c r="AA1534">
        <f>IF(AND(ISNUMBER('자료_거시'!$J1516),ISNUMBER('자료_거시'!$K1516)),IFERROR('자료_거시'!$K1516/INDEX($Z$21:$Z$4020,MATCH(EDATE('자료_거시'!$J1516,-'설정'!$B$17),'자료_거시'!$J$3:INDEX('자료_거시'!$J$3:$J$4002,$K$8),1))-1,""),"")</f>
        <v/>
      </c>
      <c r="AB1534">
        <f>IF(ISNUMBER(AA1534),'자료_거시'!$J1516,"")</f>
        <v/>
      </c>
      <c r="AC1534">
        <f>IF(ISNUMBER(AB1534),IF(AB1534&gt;$L$8,AA1534,""),"")</f>
        <v/>
      </c>
    </row>
    <row r="1535">
      <c r="S1535">
        <f>IF(ISNUMBER('자료_거시'!$E1517),'자료_거시'!$E1517,S1534)</f>
        <v/>
      </c>
      <c r="T1535">
        <f>IF(AND(ISNUMBER('자료_거시'!$D1517),ISNUMBER('자료_거시'!$E1517)),IFERROR('자료_거시'!$E1517-INDEX($S$21:$S$4020,MATCH(EDATE('자료_거시'!$D1517,-'설정'!$B$17),'자료_거시'!$D$3:INDEX('자료_거시'!$D$3:$D$4002,$K$6),1)),""),"")</f>
        <v/>
      </c>
      <c r="U1535">
        <f>IF(ISNUMBER(T1535),'자료_거시'!$D1517,"")</f>
        <v/>
      </c>
      <c r="V1535">
        <f>IF(ISNUMBER(U1535),IF(U1535&gt;$L$6,T1535,""),"")</f>
        <v/>
      </c>
      <c r="W1535">
        <f>IF(AND(ISNUMBER('자료_거시'!$G1517),ISNUMBER('자료_거시'!$H1517)),'자료_거시'!$H1517,"")</f>
        <v/>
      </c>
      <c r="X1535">
        <f>IF(ISNUMBER(W1535),'자료_거시'!$G1517,"")</f>
        <v/>
      </c>
      <c r="Y1535">
        <f>IF(ISNUMBER(X1535),IF(X1535&gt;$L$7,W1535,""),"")</f>
        <v/>
      </c>
      <c r="Z1535">
        <f>IF(ISNUMBER('자료_거시'!$K1517),'자료_거시'!$K1517,Z1534)</f>
        <v/>
      </c>
      <c r="AA1535">
        <f>IF(AND(ISNUMBER('자료_거시'!$J1517),ISNUMBER('자료_거시'!$K1517)),IFERROR('자료_거시'!$K1517/INDEX($Z$21:$Z$4020,MATCH(EDATE('자료_거시'!$J1517,-'설정'!$B$17),'자료_거시'!$J$3:INDEX('자료_거시'!$J$3:$J$4002,$K$8),1))-1,""),"")</f>
        <v/>
      </c>
      <c r="AB1535">
        <f>IF(ISNUMBER(AA1535),'자료_거시'!$J1517,"")</f>
        <v/>
      </c>
      <c r="AC1535">
        <f>IF(ISNUMBER(AB1535),IF(AB1535&gt;$L$8,AA1535,""),"")</f>
        <v/>
      </c>
    </row>
    <row r="1536">
      <c r="S1536">
        <f>IF(ISNUMBER('자료_거시'!$E1518),'자료_거시'!$E1518,S1535)</f>
        <v/>
      </c>
      <c r="T1536">
        <f>IF(AND(ISNUMBER('자료_거시'!$D1518),ISNUMBER('자료_거시'!$E1518)),IFERROR('자료_거시'!$E1518-INDEX($S$21:$S$4020,MATCH(EDATE('자료_거시'!$D1518,-'설정'!$B$17),'자료_거시'!$D$3:INDEX('자료_거시'!$D$3:$D$4002,$K$6),1)),""),"")</f>
        <v/>
      </c>
      <c r="U1536">
        <f>IF(ISNUMBER(T1536),'자료_거시'!$D1518,"")</f>
        <v/>
      </c>
      <c r="V1536">
        <f>IF(ISNUMBER(U1536),IF(U1536&gt;$L$6,T1536,""),"")</f>
        <v/>
      </c>
      <c r="W1536">
        <f>IF(AND(ISNUMBER('자료_거시'!$G1518),ISNUMBER('자료_거시'!$H1518)),'자료_거시'!$H1518,"")</f>
        <v/>
      </c>
      <c r="X1536">
        <f>IF(ISNUMBER(W1536),'자료_거시'!$G1518,"")</f>
        <v/>
      </c>
      <c r="Y1536">
        <f>IF(ISNUMBER(X1536),IF(X1536&gt;$L$7,W1536,""),"")</f>
        <v/>
      </c>
      <c r="Z1536">
        <f>IF(ISNUMBER('자료_거시'!$K1518),'자료_거시'!$K1518,Z1535)</f>
        <v/>
      </c>
      <c r="AA1536">
        <f>IF(AND(ISNUMBER('자료_거시'!$J1518),ISNUMBER('자료_거시'!$K1518)),IFERROR('자료_거시'!$K1518/INDEX($Z$21:$Z$4020,MATCH(EDATE('자료_거시'!$J1518,-'설정'!$B$17),'자료_거시'!$J$3:INDEX('자료_거시'!$J$3:$J$4002,$K$8),1))-1,""),"")</f>
        <v/>
      </c>
      <c r="AB1536">
        <f>IF(ISNUMBER(AA1536),'자료_거시'!$J1518,"")</f>
        <v/>
      </c>
      <c r="AC1536">
        <f>IF(ISNUMBER(AB1536),IF(AB1536&gt;$L$8,AA1536,""),"")</f>
        <v/>
      </c>
    </row>
    <row r="1537">
      <c r="S1537">
        <f>IF(ISNUMBER('자료_거시'!$E1519),'자료_거시'!$E1519,S1536)</f>
        <v/>
      </c>
      <c r="T1537">
        <f>IF(AND(ISNUMBER('자료_거시'!$D1519),ISNUMBER('자료_거시'!$E1519)),IFERROR('자료_거시'!$E1519-INDEX($S$21:$S$4020,MATCH(EDATE('자료_거시'!$D1519,-'설정'!$B$17),'자료_거시'!$D$3:INDEX('자료_거시'!$D$3:$D$4002,$K$6),1)),""),"")</f>
        <v/>
      </c>
      <c r="U1537">
        <f>IF(ISNUMBER(T1537),'자료_거시'!$D1519,"")</f>
        <v/>
      </c>
      <c r="V1537">
        <f>IF(ISNUMBER(U1537),IF(U1537&gt;$L$6,T1537,""),"")</f>
        <v/>
      </c>
      <c r="W1537">
        <f>IF(AND(ISNUMBER('자료_거시'!$G1519),ISNUMBER('자료_거시'!$H1519)),'자료_거시'!$H1519,"")</f>
        <v/>
      </c>
      <c r="X1537">
        <f>IF(ISNUMBER(W1537),'자료_거시'!$G1519,"")</f>
        <v/>
      </c>
      <c r="Y1537">
        <f>IF(ISNUMBER(X1537),IF(X1537&gt;$L$7,W1537,""),"")</f>
        <v/>
      </c>
      <c r="Z1537">
        <f>IF(ISNUMBER('자료_거시'!$K1519),'자료_거시'!$K1519,Z1536)</f>
        <v/>
      </c>
      <c r="AA1537">
        <f>IF(AND(ISNUMBER('자료_거시'!$J1519),ISNUMBER('자료_거시'!$K1519)),IFERROR('자료_거시'!$K1519/INDEX($Z$21:$Z$4020,MATCH(EDATE('자료_거시'!$J1519,-'설정'!$B$17),'자료_거시'!$J$3:INDEX('자료_거시'!$J$3:$J$4002,$K$8),1))-1,""),"")</f>
        <v/>
      </c>
      <c r="AB1537">
        <f>IF(ISNUMBER(AA1537),'자료_거시'!$J1519,"")</f>
        <v/>
      </c>
      <c r="AC1537">
        <f>IF(ISNUMBER(AB1537),IF(AB1537&gt;$L$8,AA1537,""),"")</f>
        <v/>
      </c>
    </row>
    <row r="1538">
      <c r="S1538">
        <f>IF(ISNUMBER('자료_거시'!$E1520),'자료_거시'!$E1520,S1537)</f>
        <v/>
      </c>
      <c r="T1538">
        <f>IF(AND(ISNUMBER('자료_거시'!$D1520),ISNUMBER('자료_거시'!$E1520)),IFERROR('자료_거시'!$E1520-INDEX($S$21:$S$4020,MATCH(EDATE('자료_거시'!$D1520,-'설정'!$B$17),'자료_거시'!$D$3:INDEX('자료_거시'!$D$3:$D$4002,$K$6),1)),""),"")</f>
        <v/>
      </c>
      <c r="U1538">
        <f>IF(ISNUMBER(T1538),'자료_거시'!$D1520,"")</f>
        <v/>
      </c>
      <c r="V1538">
        <f>IF(ISNUMBER(U1538),IF(U1538&gt;$L$6,T1538,""),"")</f>
        <v/>
      </c>
      <c r="W1538">
        <f>IF(AND(ISNUMBER('자료_거시'!$G1520),ISNUMBER('자료_거시'!$H1520)),'자료_거시'!$H1520,"")</f>
        <v/>
      </c>
      <c r="X1538">
        <f>IF(ISNUMBER(W1538),'자료_거시'!$G1520,"")</f>
        <v/>
      </c>
      <c r="Y1538">
        <f>IF(ISNUMBER(X1538),IF(X1538&gt;$L$7,W1538,""),"")</f>
        <v/>
      </c>
      <c r="Z1538">
        <f>IF(ISNUMBER('자료_거시'!$K1520),'자료_거시'!$K1520,Z1537)</f>
        <v/>
      </c>
      <c r="AA1538">
        <f>IF(AND(ISNUMBER('자료_거시'!$J1520),ISNUMBER('자료_거시'!$K1520)),IFERROR('자료_거시'!$K1520/INDEX($Z$21:$Z$4020,MATCH(EDATE('자료_거시'!$J1520,-'설정'!$B$17),'자료_거시'!$J$3:INDEX('자료_거시'!$J$3:$J$4002,$K$8),1))-1,""),"")</f>
        <v/>
      </c>
      <c r="AB1538">
        <f>IF(ISNUMBER(AA1538),'자료_거시'!$J1520,"")</f>
        <v/>
      </c>
      <c r="AC1538">
        <f>IF(ISNUMBER(AB1538),IF(AB1538&gt;$L$8,AA1538,""),"")</f>
        <v/>
      </c>
    </row>
    <row r="1539">
      <c r="S1539">
        <f>IF(ISNUMBER('자료_거시'!$E1521),'자료_거시'!$E1521,S1538)</f>
        <v/>
      </c>
      <c r="T1539">
        <f>IF(AND(ISNUMBER('자료_거시'!$D1521),ISNUMBER('자료_거시'!$E1521)),IFERROR('자료_거시'!$E1521-INDEX($S$21:$S$4020,MATCH(EDATE('자료_거시'!$D1521,-'설정'!$B$17),'자료_거시'!$D$3:INDEX('자료_거시'!$D$3:$D$4002,$K$6),1)),""),"")</f>
        <v/>
      </c>
      <c r="U1539">
        <f>IF(ISNUMBER(T1539),'자료_거시'!$D1521,"")</f>
        <v/>
      </c>
      <c r="V1539">
        <f>IF(ISNUMBER(U1539),IF(U1539&gt;$L$6,T1539,""),"")</f>
        <v/>
      </c>
      <c r="W1539">
        <f>IF(AND(ISNUMBER('자료_거시'!$G1521),ISNUMBER('자료_거시'!$H1521)),'자료_거시'!$H1521,"")</f>
        <v/>
      </c>
      <c r="X1539">
        <f>IF(ISNUMBER(W1539),'자료_거시'!$G1521,"")</f>
        <v/>
      </c>
      <c r="Y1539">
        <f>IF(ISNUMBER(X1539),IF(X1539&gt;$L$7,W1539,""),"")</f>
        <v/>
      </c>
      <c r="Z1539">
        <f>IF(ISNUMBER('자료_거시'!$K1521),'자료_거시'!$K1521,Z1538)</f>
        <v/>
      </c>
      <c r="AA1539">
        <f>IF(AND(ISNUMBER('자료_거시'!$J1521),ISNUMBER('자료_거시'!$K1521)),IFERROR('자료_거시'!$K1521/INDEX($Z$21:$Z$4020,MATCH(EDATE('자료_거시'!$J1521,-'설정'!$B$17),'자료_거시'!$J$3:INDEX('자료_거시'!$J$3:$J$4002,$K$8),1))-1,""),"")</f>
        <v/>
      </c>
      <c r="AB1539">
        <f>IF(ISNUMBER(AA1539),'자료_거시'!$J1521,"")</f>
        <v/>
      </c>
      <c r="AC1539">
        <f>IF(ISNUMBER(AB1539),IF(AB1539&gt;$L$8,AA1539,""),"")</f>
        <v/>
      </c>
    </row>
    <row r="1540">
      <c r="S1540">
        <f>IF(ISNUMBER('자료_거시'!$E1522),'자료_거시'!$E1522,S1539)</f>
        <v/>
      </c>
      <c r="T1540">
        <f>IF(AND(ISNUMBER('자료_거시'!$D1522),ISNUMBER('자료_거시'!$E1522)),IFERROR('자료_거시'!$E1522-INDEX($S$21:$S$4020,MATCH(EDATE('자료_거시'!$D1522,-'설정'!$B$17),'자료_거시'!$D$3:INDEX('자료_거시'!$D$3:$D$4002,$K$6),1)),""),"")</f>
        <v/>
      </c>
      <c r="U1540">
        <f>IF(ISNUMBER(T1540),'자료_거시'!$D1522,"")</f>
        <v/>
      </c>
      <c r="V1540">
        <f>IF(ISNUMBER(U1540),IF(U1540&gt;$L$6,T1540,""),"")</f>
        <v/>
      </c>
      <c r="W1540">
        <f>IF(AND(ISNUMBER('자료_거시'!$G1522),ISNUMBER('자료_거시'!$H1522)),'자료_거시'!$H1522,"")</f>
        <v/>
      </c>
      <c r="X1540">
        <f>IF(ISNUMBER(W1540),'자료_거시'!$G1522,"")</f>
        <v/>
      </c>
      <c r="Y1540">
        <f>IF(ISNUMBER(X1540),IF(X1540&gt;$L$7,W1540,""),"")</f>
        <v/>
      </c>
      <c r="Z1540">
        <f>IF(ISNUMBER('자료_거시'!$K1522),'자료_거시'!$K1522,Z1539)</f>
        <v/>
      </c>
      <c r="AA1540">
        <f>IF(AND(ISNUMBER('자료_거시'!$J1522),ISNUMBER('자료_거시'!$K1522)),IFERROR('자료_거시'!$K1522/INDEX($Z$21:$Z$4020,MATCH(EDATE('자료_거시'!$J1522,-'설정'!$B$17),'자료_거시'!$J$3:INDEX('자료_거시'!$J$3:$J$4002,$K$8),1))-1,""),"")</f>
        <v/>
      </c>
      <c r="AB1540">
        <f>IF(ISNUMBER(AA1540),'자료_거시'!$J1522,"")</f>
        <v/>
      </c>
      <c r="AC1540">
        <f>IF(ISNUMBER(AB1540),IF(AB1540&gt;$L$8,AA1540,""),"")</f>
        <v/>
      </c>
    </row>
    <row r="1541">
      <c r="S1541">
        <f>IF(ISNUMBER('자료_거시'!$E1523),'자료_거시'!$E1523,S1540)</f>
        <v/>
      </c>
      <c r="T1541">
        <f>IF(AND(ISNUMBER('자료_거시'!$D1523),ISNUMBER('자료_거시'!$E1523)),IFERROR('자료_거시'!$E1523-INDEX($S$21:$S$4020,MATCH(EDATE('자료_거시'!$D1523,-'설정'!$B$17),'자료_거시'!$D$3:INDEX('자료_거시'!$D$3:$D$4002,$K$6),1)),""),"")</f>
        <v/>
      </c>
      <c r="U1541">
        <f>IF(ISNUMBER(T1541),'자료_거시'!$D1523,"")</f>
        <v/>
      </c>
      <c r="V1541">
        <f>IF(ISNUMBER(U1541),IF(U1541&gt;$L$6,T1541,""),"")</f>
        <v/>
      </c>
      <c r="W1541">
        <f>IF(AND(ISNUMBER('자료_거시'!$G1523),ISNUMBER('자료_거시'!$H1523)),'자료_거시'!$H1523,"")</f>
        <v/>
      </c>
      <c r="X1541">
        <f>IF(ISNUMBER(W1541),'자료_거시'!$G1523,"")</f>
        <v/>
      </c>
      <c r="Y1541">
        <f>IF(ISNUMBER(X1541),IF(X1541&gt;$L$7,W1541,""),"")</f>
        <v/>
      </c>
      <c r="Z1541">
        <f>IF(ISNUMBER('자료_거시'!$K1523),'자료_거시'!$K1523,Z1540)</f>
        <v/>
      </c>
      <c r="AA1541">
        <f>IF(AND(ISNUMBER('자료_거시'!$J1523),ISNUMBER('자료_거시'!$K1523)),IFERROR('자료_거시'!$K1523/INDEX($Z$21:$Z$4020,MATCH(EDATE('자료_거시'!$J1523,-'설정'!$B$17),'자료_거시'!$J$3:INDEX('자료_거시'!$J$3:$J$4002,$K$8),1))-1,""),"")</f>
        <v/>
      </c>
      <c r="AB1541">
        <f>IF(ISNUMBER(AA1541),'자료_거시'!$J1523,"")</f>
        <v/>
      </c>
      <c r="AC1541">
        <f>IF(ISNUMBER(AB1541),IF(AB1541&gt;$L$8,AA1541,""),"")</f>
        <v/>
      </c>
    </row>
    <row r="1542">
      <c r="S1542">
        <f>IF(ISNUMBER('자료_거시'!$E1524),'자료_거시'!$E1524,S1541)</f>
        <v/>
      </c>
      <c r="T1542">
        <f>IF(AND(ISNUMBER('자료_거시'!$D1524),ISNUMBER('자료_거시'!$E1524)),IFERROR('자료_거시'!$E1524-INDEX($S$21:$S$4020,MATCH(EDATE('자료_거시'!$D1524,-'설정'!$B$17),'자료_거시'!$D$3:INDEX('자료_거시'!$D$3:$D$4002,$K$6),1)),""),"")</f>
        <v/>
      </c>
      <c r="U1542">
        <f>IF(ISNUMBER(T1542),'자료_거시'!$D1524,"")</f>
        <v/>
      </c>
      <c r="V1542">
        <f>IF(ISNUMBER(U1542),IF(U1542&gt;$L$6,T1542,""),"")</f>
        <v/>
      </c>
      <c r="W1542">
        <f>IF(AND(ISNUMBER('자료_거시'!$G1524),ISNUMBER('자료_거시'!$H1524)),'자료_거시'!$H1524,"")</f>
        <v/>
      </c>
      <c r="X1542">
        <f>IF(ISNUMBER(W1542),'자료_거시'!$G1524,"")</f>
        <v/>
      </c>
      <c r="Y1542">
        <f>IF(ISNUMBER(X1542),IF(X1542&gt;$L$7,W1542,""),"")</f>
        <v/>
      </c>
      <c r="Z1542">
        <f>IF(ISNUMBER('자료_거시'!$K1524),'자료_거시'!$K1524,Z1541)</f>
        <v/>
      </c>
      <c r="AA1542">
        <f>IF(AND(ISNUMBER('자료_거시'!$J1524),ISNUMBER('자료_거시'!$K1524)),IFERROR('자료_거시'!$K1524/INDEX($Z$21:$Z$4020,MATCH(EDATE('자료_거시'!$J1524,-'설정'!$B$17),'자료_거시'!$J$3:INDEX('자료_거시'!$J$3:$J$4002,$K$8),1))-1,""),"")</f>
        <v/>
      </c>
      <c r="AB1542">
        <f>IF(ISNUMBER(AA1542),'자료_거시'!$J1524,"")</f>
        <v/>
      </c>
      <c r="AC1542">
        <f>IF(ISNUMBER(AB1542),IF(AB1542&gt;$L$8,AA1542,""),"")</f>
        <v/>
      </c>
    </row>
    <row r="1543">
      <c r="S1543">
        <f>IF(ISNUMBER('자료_거시'!$E1525),'자료_거시'!$E1525,S1542)</f>
        <v/>
      </c>
      <c r="T1543">
        <f>IF(AND(ISNUMBER('자료_거시'!$D1525),ISNUMBER('자료_거시'!$E1525)),IFERROR('자료_거시'!$E1525-INDEX($S$21:$S$4020,MATCH(EDATE('자료_거시'!$D1525,-'설정'!$B$17),'자료_거시'!$D$3:INDEX('자료_거시'!$D$3:$D$4002,$K$6),1)),""),"")</f>
        <v/>
      </c>
      <c r="U1543">
        <f>IF(ISNUMBER(T1543),'자료_거시'!$D1525,"")</f>
        <v/>
      </c>
      <c r="V1543">
        <f>IF(ISNUMBER(U1543),IF(U1543&gt;$L$6,T1543,""),"")</f>
        <v/>
      </c>
      <c r="W1543">
        <f>IF(AND(ISNUMBER('자료_거시'!$G1525),ISNUMBER('자료_거시'!$H1525)),'자료_거시'!$H1525,"")</f>
        <v/>
      </c>
      <c r="X1543">
        <f>IF(ISNUMBER(W1543),'자료_거시'!$G1525,"")</f>
        <v/>
      </c>
      <c r="Y1543">
        <f>IF(ISNUMBER(X1543),IF(X1543&gt;$L$7,W1543,""),"")</f>
        <v/>
      </c>
      <c r="Z1543">
        <f>IF(ISNUMBER('자료_거시'!$K1525),'자료_거시'!$K1525,Z1542)</f>
        <v/>
      </c>
      <c r="AA1543">
        <f>IF(AND(ISNUMBER('자료_거시'!$J1525),ISNUMBER('자료_거시'!$K1525)),IFERROR('자료_거시'!$K1525/INDEX($Z$21:$Z$4020,MATCH(EDATE('자료_거시'!$J1525,-'설정'!$B$17),'자료_거시'!$J$3:INDEX('자료_거시'!$J$3:$J$4002,$K$8),1))-1,""),"")</f>
        <v/>
      </c>
      <c r="AB1543">
        <f>IF(ISNUMBER(AA1543),'자료_거시'!$J1525,"")</f>
        <v/>
      </c>
      <c r="AC1543">
        <f>IF(ISNUMBER(AB1543),IF(AB1543&gt;$L$8,AA1543,""),"")</f>
        <v/>
      </c>
    </row>
    <row r="1544">
      <c r="S1544">
        <f>IF(ISNUMBER('자료_거시'!$E1526),'자료_거시'!$E1526,S1543)</f>
        <v/>
      </c>
      <c r="T1544">
        <f>IF(AND(ISNUMBER('자료_거시'!$D1526),ISNUMBER('자료_거시'!$E1526)),IFERROR('자료_거시'!$E1526-INDEX($S$21:$S$4020,MATCH(EDATE('자료_거시'!$D1526,-'설정'!$B$17),'자료_거시'!$D$3:INDEX('자료_거시'!$D$3:$D$4002,$K$6),1)),""),"")</f>
        <v/>
      </c>
      <c r="U1544">
        <f>IF(ISNUMBER(T1544),'자료_거시'!$D1526,"")</f>
        <v/>
      </c>
      <c r="V1544">
        <f>IF(ISNUMBER(U1544),IF(U1544&gt;$L$6,T1544,""),"")</f>
        <v/>
      </c>
      <c r="W1544">
        <f>IF(AND(ISNUMBER('자료_거시'!$G1526),ISNUMBER('자료_거시'!$H1526)),'자료_거시'!$H1526,"")</f>
        <v/>
      </c>
      <c r="X1544">
        <f>IF(ISNUMBER(W1544),'자료_거시'!$G1526,"")</f>
        <v/>
      </c>
      <c r="Y1544">
        <f>IF(ISNUMBER(X1544),IF(X1544&gt;$L$7,W1544,""),"")</f>
        <v/>
      </c>
      <c r="Z1544">
        <f>IF(ISNUMBER('자료_거시'!$K1526),'자료_거시'!$K1526,Z1543)</f>
        <v/>
      </c>
      <c r="AA1544">
        <f>IF(AND(ISNUMBER('자료_거시'!$J1526),ISNUMBER('자료_거시'!$K1526)),IFERROR('자료_거시'!$K1526/INDEX($Z$21:$Z$4020,MATCH(EDATE('자료_거시'!$J1526,-'설정'!$B$17),'자료_거시'!$J$3:INDEX('자료_거시'!$J$3:$J$4002,$K$8),1))-1,""),"")</f>
        <v/>
      </c>
      <c r="AB1544">
        <f>IF(ISNUMBER(AA1544),'자료_거시'!$J1526,"")</f>
        <v/>
      </c>
      <c r="AC1544">
        <f>IF(ISNUMBER(AB1544),IF(AB1544&gt;$L$8,AA1544,""),"")</f>
        <v/>
      </c>
    </row>
    <row r="1545">
      <c r="S1545">
        <f>IF(ISNUMBER('자료_거시'!$E1527),'자료_거시'!$E1527,S1544)</f>
        <v/>
      </c>
      <c r="T1545">
        <f>IF(AND(ISNUMBER('자료_거시'!$D1527),ISNUMBER('자료_거시'!$E1527)),IFERROR('자료_거시'!$E1527-INDEX($S$21:$S$4020,MATCH(EDATE('자료_거시'!$D1527,-'설정'!$B$17),'자료_거시'!$D$3:INDEX('자료_거시'!$D$3:$D$4002,$K$6),1)),""),"")</f>
        <v/>
      </c>
      <c r="U1545">
        <f>IF(ISNUMBER(T1545),'자료_거시'!$D1527,"")</f>
        <v/>
      </c>
      <c r="V1545">
        <f>IF(ISNUMBER(U1545),IF(U1545&gt;$L$6,T1545,""),"")</f>
        <v/>
      </c>
      <c r="W1545">
        <f>IF(AND(ISNUMBER('자료_거시'!$G1527),ISNUMBER('자료_거시'!$H1527)),'자료_거시'!$H1527,"")</f>
        <v/>
      </c>
      <c r="X1545">
        <f>IF(ISNUMBER(W1545),'자료_거시'!$G1527,"")</f>
        <v/>
      </c>
      <c r="Y1545">
        <f>IF(ISNUMBER(X1545),IF(X1545&gt;$L$7,W1545,""),"")</f>
        <v/>
      </c>
      <c r="Z1545">
        <f>IF(ISNUMBER('자료_거시'!$K1527),'자료_거시'!$K1527,Z1544)</f>
        <v/>
      </c>
      <c r="AA1545">
        <f>IF(AND(ISNUMBER('자료_거시'!$J1527),ISNUMBER('자료_거시'!$K1527)),IFERROR('자료_거시'!$K1527/INDEX($Z$21:$Z$4020,MATCH(EDATE('자료_거시'!$J1527,-'설정'!$B$17),'자료_거시'!$J$3:INDEX('자료_거시'!$J$3:$J$4002,$K$8),1))-1,""),"")</f>
        <v/>
      </c>
      <c r="AB1545">
        <f>IF(ISNUMBER(AA1545),'자료_거시'!$J1527,"")</f>
        <v/>
      </c>
      <c r="AC1545">
        <f>IF(ISNUMBER(AB1545),IF(AB1545&gt;$L$8,AA1545,""),"")</f>
        <v/>
      </c>
    </row>
    <row r="1546">
      <c r="S1546">
        <f>IF(ISNUMBER('자료_거시'!$E1528),'자료_거시'!$E1528,S1545)</f>
        <v/>
      </c>
      <c r="T1546">
        <f>IF(AND(ISNUMBER('자료_거시'!$D1528),ISNUMBER('자료_거시'!$E1528)),IFERROR('자료_거시'!$E1528-INDEX($S$21:$S$4020,MATCH(EDATE('자료_거시'!$D1528,-'설정'!$B$17),'자료_거시'!$D$3:INDEX('자료_거시'!$D$3:$D$4002,$K$6),1)),""),"")</f>
        <v/>
      </c>
      <c r="U1546">
        <f>IF(ISNUMBER(T1546),'자료_거시'!$D1528,"")</f>
        <v/>
      </c>
      <c r="V1546">
        <f>IF(ISNUMBER(U1546),IF(U1546&gt;$L$6,T1546,""),"")</f>
        <v/>
      </c>
      <c r="W1546">
        <f>IF(AND(ISNUMBER('자료_거시'!$G1528),ISNUMBER('자료_거시'!$H1528)),'자료_거시'!$H1528,"")</f>
        <v/>
      </c>
      <c r="X1546">
        <f>IF(ISNUMBER(W1546),'자료_거시'!$G1528,"")</f>
        <v/>
      </c>
      <c r="Y1546">
        <f>IF(ISNUMBER(X1546),IF(X1546&gt;$L$7,W1546,""),"")</f>
        <v/>
      </c>
      <c r="Z1546">
        <f>IF(ISNUMBER('자료_거시'!$K1528),'자료_거시'!$K1528,Z1545)</f>
        <v/>
      </c>
      <c r="AA1546">
        <f>IF(AND(ISNUMBER('자료_거시'!$J1528),ISNUMBER('자료_거시'!$K1528)),IFERROR('자료_거시'!$K1528/INDEX($Z$21:$Z$4020,MATCH(EDATE('자료_거시'!$J1528,-'설정'!$B$17),'자료_거시'!$J$3:INDEX('자료_거시'!$J$3:$J$4002,$K$8),1))-1,""),"")</f>
        <v/>
      </c>
      <c r="AB1546">
        <f>IF(ISNUMBER(AA1546),'자료_거시'!$J1528,"")</f>
        <v/>
      </c>
      <c r="AC1546">
        <f>IF(ISNUMBER(AB1546),IF(AB1546&gt;$L$8,AA1546,""),"")</f>
        <v/>
      </c>
    </row>
    <row r="1547">
      <c r="S1547">
        <f>IF(ISNUMBER('자료_거시'!$E1529),'자료_거시'!$E1529,S1546)</f>
        <v/>
      </c>
      <c r="T1547">
        <f>IF(AND(ISNUMBER('자료_거시'!$D1529),ISNUMBER('자료_거시'!$E1529)),IFERROR('자료_거시'!$E1529-INDEX($S$21:$S$4020,MATCH(EDATE('자료_거시'!$D1529,-'설정'!$B$17),'자료_거시'!$D$3:INDEX('자료_거시'!$D$3:$D$4002,$K$6),1)),""),"")</f>
        <v/>
      </c>
      <c r="U1547">
        <f>IF(ISNUMBER(T1547),'자료_거시'!$D1529,"")</f>
        <v/>
      </c>
      <c r="V1547">
        <f>IF(ISNUMBER(U1547),IF(U1547&gt;$L$6,T1547,""),"")</f>
        <v/>
      </c>
      <c r="W1547">
        <f>IF(AND(ISNUMBER('자료_거시'!$G1529),ISNUMBER('자료_거시'!$H1529)),'자료_거시'!$H1529,"")</f>
        <v/>
      </c>
      <c r="X1547">
        <f>IF(ISNUMBER(W1547),'자료_거시'!$G1529,"")</f>
        <v/>
      </c>
      <c r="Y1547">
        <f>IF(ISNUMBER(X1547),IF(X1547&gt;$L$7,W1547,""),"")</f>
        <v/>
      </c>
      <c r="Z1547">
        <f>IF(ISNUMBER('자료_거시'!$K1529),'자료_거시'!$K1529,Z1546)</f>
        <v/>
      </c>
      <c r="AA1547">
        <f>IF(AND(ISNUMBER('자료_거시'!$J1529),ISNUMBER('자료_거시'!$K1529)),IFERROR('자료_거시'!$K1529/INDEX($Z$21:$Z$4020,MATCH(EDATE('자료_거시'!$J1529,-'설정'!$B$17),'자료_거시'!$J$3:INDEX('자료_거시'!$J$3:$J$4002,$K$8),1))-1,""),"")</f>
        <v/>
      </c>
      <c r="AB1547">
        <f>IF(ISNUMBER(AA1547),'자료_거시'!$J1529,"")</f>
        <v/>
      </c>
      <c r="AC1547">
        <f>IF(ISNUMBER(AB1547),IF(AB1547&gt;$L$8,AA1547,""),"")</f>
        <v/>
      </c>
    </row>
    <row r="1548">
      <c r="S1548">
        <f>IF(ISNUMBER('자료_거시'!$E1530),'자료_거시'!$E1530,S1547)</f>
        <v/>
      </c>
      <c r="T1548">
        <f>IF(AND(ISNUMBER('자료_거시'!$D1530),ISNUMBER('자료_거시'!$E1530)),IFERROR('자료_거시'!$E1530-INDEX($S$21:$S$4020,MATCH(EDATE('자료_거시'!$D1530,-'설정'!$B$17),'자료_거시'!$D$3:INDEX('자료_거시'!$D$3:$D$4002,$K$6),1)),""),"")</f>
        <v/>
      </c>
      <c r="U1548">
        <f>IF(ISNUMBER(T1548),'자료_거시'!$D1530,"")</f>
        <v/>
      </c>
      <c r="V1548">
        <f>IF(ISNUMBER(U1548),IF(U1548&gt;$L$6,T1548,""),"")</f>
        <v/>
      </c>
      <c r="W1548">
        <f>IF(AND(ISNUMBER('자료_거시'!$G1530),ISNUMBER('자료_거시'!$H1530)),'자료_거시'!$H1530,"")</f>
        <v/>
      </c>
      <c r="X1548">
        <f>IF(ISNUMBER(W1548),'자료_거시'!$G1530,"")</f>
        <v/>
      </c>
      <c r="Y1548">
        <f>IF(ISNUMBER(X1548),IF(X1548&gt;$L$7,W1548,""),"")</f>
        <v/>
      </c>
      <c r="Z1548">
        <f>IF(ISNUMBER('자료_거시'!$K1530),'자료_거시'!$K1530,Z1547)</f>
        <v/>
      </c>
      <c r="AA1548">
        <f>IF(AND(ISNUMBER('자료_거시'!$J1530),ISNUMBER('자료_거시'!$K1530)),IFERROR('자료_거시'!$K1530/INDEX($Z$21:$Z$4020,MATCH(EDATE('자료_거시'!$J1530,-'설정'!$B$17),'자료_거시'!$J$3:INDEX('자료_거시'!$J$3:$J$4002,$K$8),1))-1,""),"")</f>
        <v/>
      </c>
      <c r="AB1548">
        <f>IF(ISNUMBER(AA1548),'자료_거시'!$J1530,"")</f>
        <v/>
      </c>
      <c r="AC1548">
        <f>IF(ISNUMBER(AB1548),IF(AB1548&gt;$L$8,AA1548,""),"")</f>
        <v/>
      </c>
    </row>
    <row r="1549">
      <c r="S1549">
        <f>IF(ISNUMBER('자료_거시'!$E1531),'자료_거시'!$E1531,S1548)</f>
        <v/>
      </c>
      <c r="T1549">
        <f>IF(AND(ISNUMBER('자료_거시'!$D1531),ISNUMBER('자료_거시'!$E1531)),IFERROR('자료_거시'!$E1531-INDEX($S$21:$S$4020,MATCH(EDATE('자료_거시'!$D1531,-'설정'!$B$17),'자료_거시'!$D$3:INDEX('자료_거시'!$D$3:$D$4002,$K$6),1)),""),"")</f>
        <v/>
      </c>
      <c r="U1549">
        <f>IF(ISNUMBER(T1549),'자료_거시'!$D1531,"")</f>
        <v/>
      </c>
      <c r="V1549">
        <f>IF(ISNUMBER(U1549),IF(U1549&gt;$L$6,T1549,""),"")</f>
        <v/>
      </c>
      <c r="W1549">
        <f>IF(AND(ISNUMBER('자료_거시'!$G1531),ISNUMBER('자료_거시'!$H1531)),'자료_거시'!$H1531,"")</f>
        <v/>
      </c>
      <c r="X1549">
        <f>IF(ISNUMBER(W1549),'자료_거시'!$G1531,"")</f>
        <v/>
      </c>
      <c r="Y1549">
        <f>IF(ISNUMBER(X1549),IF(X1549&gt;$L$7,W1549,""),"")</f>
        <v/>
      </c>
      <c r="Z1549">
        <f>IF(ISNUMBER('자료_거시'!$K1531),'자료_거시'!$K1531,Z1548)</f>
        <v/>
      </c>
      <c r="AA1549">
        <f>IF(AND(ISNUMBER('자료_거시'!$J1531),ISNUMBER('자료_거시'!$K1531)),IFERROR('자료_거시'!$K1531/INDEX($Z$21:$Z$4020,MATCH(EDATE('자료_거시'!$J1531,-'설정'!$B$17),'자료_거시'!$J$3:INDEX('자료_거시'!$J$3:$J$4002,$K$8),1))-1,""),"")</f>
        <v/>
      </c>
      <c r="AB1549">
        <f>IF(ISNUMBER(AA1549),'자료_거시'!$J1531,"")</f>
        <v/>
      </c>
      <c r="AC1549">
        <f>IF(ISNUMBER(AB1549),IF(AB1549&gt;$L$8,AA1549,""),"")</f>
        <v/>
      </c>
    </row>
    <row r="1550">
      <c r="S1550">
        <f>IF(ISNUMBER('자료_거시'!$E1532),'자료_거시'!$E1532,S1549)</f>
        <v/>
      </c>
      <c r="T1550">
        <f>IF(AND(ISNUMBER('자료_거시'!$D1532),ISNUMBER('자료_거시'!$E1532)),IFERROR('자료_거시'!$E1532-INDEX($S$21:$S$4020,MATCH(EDATE('자료_거시'!$D1532,-'설정'!$B$17),'자료_거시'!$D$3:INDEX('자료_거시'!$D$3:$D$4002,$K$6),1)),""),"")</f>
        <v/>
      </c>
      <c r="U1550">
        <f>IF(ISNUMBER(T1550),'자료_거시'!$D1532,"")</f>
        <v/>
      </c>
      <c r="V1550">
        <f>IF(ISNUMBER(U1550),IF(U1550&gt;$L$6,T1550,""),"")</f>
        <v/>
      </c>
      <c r="W1550">
        <f>IF(AND(ISNUMBER('자료_거시'!$G1532),ISNUMBER('자료_거시'!$H1532)),'자료_거시'!$H1532,"")</f>
        <v/>
      </c>
      <c r="X1550">
        <f>IF(ISNUMBER(W1550),'자료_거시'!$G1532,"")</f>
        <v/>
      </c>
      <c r="Y1550">
        <f>IF(ISNUMBER(X1550),IF(X1550&gt;$L$7,W1550,""),"")</f>
        <v/>
      </c>
      <c r="Z1550">
        <f>IF(ISNUMBER('자료_거시'!$K1532),'자료_거시'!$K1532,Z1549)</f>
        <v/>
      </c>
      <c r="AA1550">
        <f>IF(AND(ISNUMBER('자료_거시'!$J1532),ISNUMBER('자료_거시'!$K1532)),IFERROR('자료_거시'!$K1532/INDEX($Z$21:$Z$4020,MATCH(EDATE('자료_거시'!$J1532,-'설정'!$B$17),'자료_거시'!$J$3:INDEX('자료_거시'!$J$3:$J$4002,$K$8),1))-1,""),"")</f>
        <v/>
      </c>
      <c r="AB1550">
        <f>IF(ISNUMBER(AA1550),'자료_거시'!$J1532,"")</f>
        <v/>
      </c>
      <c r="AC1550">
        <f>IF(ISNUMBER(AB1550),IF(AB1550&gt;$L$8,AA1550,""),"")</f>
        <v/>
      </c>
    </row>
    <row r="1551">
      <c r="S1551">
        <f>IF(ISNUMBER('자료_거시'!$E1533),'자료_거시'!$E1533,S1550)</f>
        <v/>
      </c>
      <c r="T1551">
        <f>IF(AND(ISNUMBER('자료_거시'!$D1533),ISNUMBER('자료_거시'!$E1533)),IFERROR('자료_거시'!$E1533-INDEX($S$21:$S$4020,MATCH(EDATE('자료_거시'!$D1533,-'설정'!$B$17),'자료_거시'!$D$3:INDEX('자료_거시'!$D$3:$D$4002,$K$6),1)),""),"")</f>
        <v/>
      </c>
      <c r="U1551">
        <f>IF(ISNUMBER(T1551),'자료_거시'!$D1533,"")</f>
        <v/>
      </c>
      <c r="V1551">
        <f>IF(ISNUMBER(U1551),IF(U1551&gt;$L$6,T1551,""),"")</f>
        <v/>
      </c>
      <c r="W1551">
        <f>IF(AND(ISNUMBER('자료_거시'!$G1533),ISNUMBER('자료_거시'!$H1533)),'자료_거시'!$H1533,"")</f>
        <v/>
      </c>
      <c r="X1551">
        <f>IF(ISNUMBER(W1551),'자료_거시'!$G1533,"")</f>
        <v/>
      </c>
      <c r="Y1551">
        <f>IF(ISNUMBER(X1551),IF(X1551&gt;$L$7,W1551,""),"")</f>
        <v/>
      </c>
      <c r="Z1551">
        <f>IF(ISNUMBER('자료_거시'!$K1533),'자료_거시'!$K1533,Z1550)</f>
        <v/>
      </c>
      <c r="AA1551">
        <f>IF(AND(ISNUMBER('자료_거시'!$J1533),ISNUMBER('자료_거시'!$K1533)),IFERROR('자료_거시'!$K1533/INDEX($Z$21:$Z$4020,MATCH(EDATE('자료_거시'!$J1533,-'설정'!$B$17),'자료_거시'!$J$3:INDEX('자료_거시'!$J$3:$J$4002,$K$8),1))-1,""),"")</f>
        <v/>
      </c>
      <c r="AB1551">
        <f>IF(ISNUMBER(AA1551),'자료_거시'!$J1533,"")</f>
        <v/>
      </c>
      <c r="AC1551">
        <f>IF(ISNUMBER(AB1551),IF(AB1551&gt;$L$8,AA1551,""),"")</f>
        <v/>
      </c>
    </row>
    <row r="1552">
      <c r="S1552">
        <f>IF(ISNUMBER('자료_거시'!$E1534),'자료_거시'!$E1534,S1551)</f>
        <v/>
      </c>
      <c r="T1552">
        <f>IF(AND(ISNUMBER('자료_거시'!$D1534),ISNUMBER('자료_거시'!$E1534)),IFERROR('자료_거시'!$E1534-INDEX($S$21:$S$4020,MATCH(EDATE('자료_거시'!$D1534,-'설정'!$B$17),'자료_거시'!$D$3:INDEX('자료_거시'!$D$3:$D$4002,$K$6),1)),""),"")</f>
        <v/>
      </c>
      <c r="U1552">
        <f>IF(ISNUMBER(T1552),'자료_거시'!$D1534,"")</f>
        <v/>
      </c>
      <c r="V1552">
        <f>IF(ISNUMBER(U1552),IF(U1552&gt;$L$6,T1552,""),"")</f>
        <v/>
      </c>
      <c r="W1552">
        <f>IF(AND(ISNUMBER('자료_거시'!$G1534),ISNUMBER('자료_거시'!$H1534)),'자료_거시'!$H1534,"")</f>
        <v/>
      </c>
      <c r="X1552">
        <f>IF(ISNUMBER(W1552),'자료_거시'!$G1534,"")</f>
        <v/>
      </c>
      <c r="Y1552">
        <f>IF(ISNUMBER(X1552),IF(X1552&gt;$L$7,W1552,""),"")</f>
        <v/>
      </c>
      <c r="Z1552">
        <f>IF(ISNUMBER('자료_거시'!$K1534),'자료_거시'!$K1534,Z1551)</f>
        <v/>
      </c>
      <c r="AA1552">
        <f>IF(AND(ISNUMBER('자료_거시'!$J1534),ISNUMBER('자료_거시'!$K1534)),IFERROR('자료_거시'!$K1534/INDEX($Z$21:$Z$4020,MATCH(EDATE('자료_거시'!$J1534,-'설정'!$B$17),'자료_거시'!$J$3:INDEX('자료_거시'!$J$3:$J$4002,$K$8),1))-1,""),"")</f>
        <v/>
      </c>
      <c r="AB1552">
        <f>IF(ISNUMBER(AA1552),'자료_거시'!$J1534,"")</f>
        <v/>
      </c>
      <c r="AC1552">
        <f>IF(ISNUMBER(AB1552),IF(AB1552&gt;$L$8,AA1552,""),"")</f>
        <v/>
      </c>
    </row>
    <row r="1553">
      <c r="S1553">
        <f>IF(ISNUMBER('자료_거시'!$E1535),'자료_거시'!$E1535,S1552)</f>
        <v/>
      </c>
      <c r="T1553">
        <f>IF(AND(ISNUMBER('자료_거시'!$D1535),ISNUMBER('자료_거시'!$E1535)),IFERROR('자료_거시'!$E1535-INDEX($S$21:$S$4020,MATCH(EDATE('자료_거시'!$D1535,-'설정'!$B$17),'자료_거시'!$D$3:INDEX('자료_거시'!$D$3:$D$4002,$K$6),1)),""),"")</f>
        <v/>
      </c>
      <c r="U1553">
        <f>IF(ISNUMBER(T1553),'자료_거시'!$D1535,"")</f>
        <v/>
      </c>
      <c r="V1553">
        <f>IF(ISNUMBER(U1553),IF(U1553&gt;$L$6,T1553,""),"")</f>
        <v/>
      </c>
      <c r="W1553">
        <f>IF(AND(ISNUMBER('자료_거시'!$G1535),ISNUMBER('자료_거시'!$H1535)),'자료_거시'!$H1535,"")</f>
        <v/>
      </c>
      <c r="X1553">
        <f>IF(ISNUMBER(W1553),'자료_거시'!$G1535,"")</f>
        <v/>
      </c>
      <c r="Y1553">
        <f>IF(ISNUMBER(X1553),IF(X1553&gt;$L$7,W1553,""),"")</f>
        <v/>
      </c>
      <c r="Z1553">
        <f>IF(ISNUMBER('자료_거시'!$K1535),'자료_거시'!$K1535,Z1552)</f>
        <v/>
      </c>
      <c r="AA1553">
        <f>IF(AND(ISNUMBER('자료_거시'!$J1535),ISNUMBER('자료_거시'!$K1535)),IFERROR('자료_거시'!$K1535/INDEX($Z$21:$Z$4020,MATCH(EDATE('자료_거시'!$J1535,-'설정'!$B$17),'자료_거시'!$J$3:INDEX('자료_거시'!$J$3:$J$4002,$K$8),1))-1,""),"")</f>
        <v/>
      </c>
      <c r="AB1553">
        <f>IF(ISNUMBER(AA1553),'자료_거시'!$J1535,"")</f>
        <v/>
      </c>
      <c r="AC1553">
        <f>IF(ISNUMBER(AB1553),IF(AB1553&gt;$L$8,AA1553,""),"")</f>
        <v/>
      </c>
    </row>
    <row r="1554">
      <c r="S1554">
        <f>IF(ISNUMBER('자료_거시'!$E1536),'자료_거시'!$E1536,S1553)</f>
        <v/>
      </c>
      <c r="T1554">
        <f>IF(AND(ISNUMBER('자료_거시'!$D1536),ISNUMBER('자료_거시'!$E1536)),IFERROR('자료_거시'!$E1536-INDEX($S$21:$S$4020,MATCH(EDATE('자료_거시'!$D1536,-'설정'!$B$17),'자료_거시'!$D$3:INDEX('자료_거시'!$D$3:$D$4002,$K$6),1)),""),"")</f>
        <v/>
      </c>
      <c r="U1554">
        <f>IF(ISNUMBER(T1554),'자료_거시'!$D1536,"")</f>
        <v/>
      </c>
      <c r="V1554">
        <f>IF(ISNUMBER(U1554),IF(U1554&gt;$L$6,T1554,""),"")</f>
        <v/>
      </c>
      <c r="W1554">
        <f>IF(AND(ISNUMBER('자료_거시'!$G1536),ISNUMBER('자료_거시'!$H1536)),'자료_거시'!$H1536,"")</f>
        <v/>
      </c>
      <c r="X1554">
        <f>IF(ISNUMBER(W1554),'자료_거시'!$G1536,"")</f>
        <v/>
      </c>
      <c r="Y1554">
        <f>IF(ISNUMBER(X1554),IF(X1554&gt;$L$7,W1554,""),"")</f>
        <v/>
      </c>
      <c r="Z1554">
        <f>IF(ISNUMBER('자료_거시'!$K1536),'자료_거시'!$K1536,Z1553)</f>
        <v/>
      </c>
      <c r="AA1554">
        <f>IF(AND(ISNUMBER('자료_거시'!$J1536),ISNUMBER('자료_거시'!$K1536)),IFERROR('자료_거시'!$K1536/INDEX($Z$21:$Z$4020,MATCH(EDATE('자료_거시'!$J1536,-'설정'!$B$17),'자료_거시'!$J$3:INDEX('자료_거시'!$J$3:$J$4002,$K$8),1))-1,""),"")</f>
        <v/>
      </c>
      <c r="AB1554">
        <f>IF(ISNUMBER(AA1554),'자료_거시'!$J1536,"")</f>
        <v/>
      </c>
      <c r="AC1554">
        <f>IF(ISNUMBER(AB1554),IF(AB1554&gt;$L$8,AA1554,""),"")</f>
        <v/>
      </c>
    </row>
    <row r="1555">
      <c r="S1555">
        <f>IF(ISNUMBER('자료_거시'!$E1537),'자료_거시'!$E1537,S1554)</f>
        <v/>
      </c>
      <c r="T1555">
        <f>IF(AND(ISNUMBER('자료_거시'!$D1537),ISNUMBER('자료_거시'!$E1537)),IFERROR('자료_거시'!$E1537-INDEX($S$21:$S$4020,MATCH(EDATE('자료_거시'!$D1537,-'설정'!$B$17),'자료_거시'!$D$3:INDEX('자료_거시'!$D$3:$D$4002,$K$6),1)),""),"")</f>
        <v/>
      </c>
      <c r="U1555">
        <f>IF(ISNUMBER(T1555),'자료_거시'!$D1537,"")</f>
        <v/>
      </c>
      <c r="V1555">
        <f>IF(ISNUMBER(U1555),IF(U1555&gt;$L$6,T1555,""),"")</f>
        <v/>
      </c>
      <c r="W1555">
        <f>IF(AND(ISNUMBER('자료_거시'!$G1537),ISNUMBER('자료_거시'!$H1537)),'자료_거시'!$H1537,"")</f>
        <v/>
      </c>
      <c r="X1555">
        <f>IF(ISNUMBER(W1555),'자료_거시'!$G1537,"")</f>
        <v/>
      </c>
      <c r="Y1555">
        <f>IF(ISNUMBER(X1555),IF(X1555&gt;$L$7,W1555,""),"")</f>
        <v/>
      </c>
      <c r="Z1555">
        <f>IF(ISNUMBER('자료_거시'!$K1537),'자료_거시'!$K1537,Z1554)</f>
        <v/>
      </c>
      <c r="AA1555">
        <f>IF(AND(ISNUMBER('자료_거시'!$J1537),ISNUMBER('자료_거시'!$K1537)),IFERROR('자료_거시'!$K1537/INDEX($Z$21:$Z$4020,MATCH(EDATE('자료_거시'!$J1537,-'설정'!$B$17),'자료_거시'!$J$3:INDEX('자료_거시'!$J$3:$J$4002,$K$8),1))-1,""),"")</f>
        <v/>
      </c>
      <c r="AB1555">
        <f>IF(ISNUMBER(AA1555),'자료_거시'!$J1537,"")</f>
        <v/>
      </c>
      <c r="AC1555">
        <f>IF(ISNUMBER(AB1555),IF(AB1555&gt;$L$8,AA1555,""),"")</f>
        <v/>
      </c>
    </row>
    <row r="1556">
      <c r="S1556">
        <f>IF(ISNUMBER('자료_거시'!$E1538),'자료_거시'!$E1538,S1555)</f>
        <v/>
      </c>
      <c r="T1556">
        <f>IF(AND(ISNUMBER('자료_거시'!$D1538),ISNUMBER('자료_거시'!$E1538)),IFERROR('자료_거시'!$E1538-INDEX($S$21:$S$4020,MATCH(EDATE('자료_거시'!$D1538,-'설정'!$B$17),'자료_거시'!$D$3:INDEX('자료_거시'!$D$3:$D$4002,$K$6),1)),""),"")</f>
        <v/>
      </c>
      <c r="U1556">
        <f>IF(ISNUMBER(T1556),'자료_거시'!$D1538,"")</f>
        <v/>
      </c>
      <c r="V1556">
        <f>IF(ISNUMBER(U1556),IF(U1556&gt;$L$6,T1556,""),"")</f>
        <v/>
      </c>
      <c r="W1556">
        <f>IF(AND(ISNUMBER('자료_거시'!$G1538),ISNUMBER('자료_거시'!$H1538)),'자료_거시'!$H1538,"")</f>
        <v/>
      </c>
      <c r="X1556">
        <f>IF(ISNUMBER(W1556),'자료_거시'!$G1538,"")</f>
        <v/>
      </c>
      <c r="Y1556">
        <f>IF(ISNUMBER(X1556),IF(X1556&gt;$L$7,W1556,""),"")</f>
        <v/>
      </c>
      <c r="Z1556">
        <f>IF(ISNUMBER('자료_거시'!$K1538),'자료_거시'!$K1538,Z1555)</f>
        <v/>
      </c>
      <c r="AA1556">
        <f>IF(AND(ISNUMBER('자료_거시'!$J1538),ISNUMBER('자료_거시'!$K1538)),IFERROR('자료_거시'!$K1538/INDEX($Z$21:$Z$4020,MATCH(EDATE('자료_거시'!$J1538,-'설정'!$B$17),'자료_거시'!$J$3:INDEX('자료_거시'!$J$3:$J$4002,$K$8),1))-1,""),"")</f>
        <v/>
      </c>
      <c r="AB1556">
        <f>IF(ISNUMBER(AA1556),'자료_거시'!$J1538,"")</f>
        <v/>
      </c>
      <c r="AC1556">
        <f>IF(ISNUMBER(AB1556),IF(AB1556&gt;$L$8,AA1556,""),"")</f>
        <v/>
      </c>
    </row>
    <row r="1557">
      <c r="S1557">
        <f>IF(ISNUMBER('자료_거시'!$E1539),'자료_거시'!$E1539,S1556)</f>
        <v/>
      </c>
      <c r="T1557">
        <f>IF(AND(ISNUMBER('자료_거시'!$D1539),ISNUMBER('자료_거시'!$E1539)),IFERROR('자료_거시'!$E1539-INDEX($S$21:$S$4020,MATCH(EDATE('자료_거시'!$D1539,-'설정'!$B$17),'자료_거시'!$D$3:INDEX('자료_거시'!$D$3:$D$4002,$K$6),1)),""),"")</f>
        <v/>
      </c>
      <c r="U1557">
        <f>IF(ISNUMBER(T1557),'자료_거시'!$D1539,"")</f>
        <v/>
      </c>
      <c r="V1557">
        <f>IF(ISNUMBER(U1557),IF(U1557&gt;$L$6,T1557,""),"")</f>
        <v/>
      </c>
      <c r="W1557">
        <f>IF(AND(ISNUMBER('자료_거시'!$G1539),ISNUMBER('자료_거시'!$H1539)),'자료_거시'!$H1539,"")</f>
        <v/>
      </c>
      <c r="X1557">
        <f>IF(ISNUMBER(W1557),'자료_거시'!$G1539,"")</f>
        <v/>
      </c>
      <c r="Y1557">
        <f>IF(ISNUMBER(X1557),IF(X1557&gt;$L$7,W1557,""),"")</f>
        <v/>
      </c>
      <c r="Z1557">
        <f>IF(ISNUMBER('자료_거시'!$K1539),'자료_거시'!$K1539,Z1556)</f>
        <v/>
      </c>
      <c r="AA1557">
        <f>IF(AND(ISNUMBER('자료_거시'!$J1539),ISNUMBER('자료_거시'!$K1539)),IFERROR('자료_거시'!$K1539/INDEX($Z$21:$Z$4020,MATCH(EDATE('자료_거시'!$J1539,-'설정'!$B$17),'자료_거시'!$J$3:INDEX('자료_거시'!$J$3:$J$4002,$K$8),1))-1,""),"")</f>
        <v/>
      </c>
      <c r="AB1557">
        <f>IF(ISNUMBER(AA1557),'자료_거시'!$J1539,"")</f>
        <v/>
      </c>
      <c r="AC1557">
        <f>IF(ISNUMBER(AB1557),IF(AB1557&gt;$L$8,AA1557,""),"")</f>
        <v/>
      </c>
    </row>
    <row r="1558">
      <c r="S1558">
        <f>IF(ISNUMBER('자료_거시'!$E1540),'자료_거시'!$E1540,S1557)</f>
        <v/>
      </c>
      <c r="T1558">
        <f>IF(AND(ISNUMBER('자료_거시'!$D1540),ISNUMBER('자료_거시'!$E1540)),IFERROR('자료_거시'!$E1540-INDEX($S$21:$S$4020,MATCH(EDATE('자료_거시'!$D1540,-'설정'!$B$17),'자료_거시'!$D$3:INDEX('자료_거시'!$D$3:$D$4002,$K$6),1)),""),"")</f>
        <v/>
      </c>
      <c r="U1558">
        <f>IF(ISNUMBER(T1558),'자료_거시'!$D1540,"")</f>
        <v/>
      </c>
      <c r="V1558">
        <f>IF(ISNUMBER(U1558),IF(U1558&gt;$L$6,T1558,""),"")</f>
        <v/>
      </c>
      <c r="W1558">
        <f>IF(AND(ISNUMBER('자료_거시'!$G1540),ISNUMBER('자료_거시'!$H1540)),'자료_거시'!$H1540,"")</f>
        <v/>
      </c>
      <c r="X1558">
        <f>IF(ISNUMBER(W1558),'자료_거시'!$G1540,"")</f>
        <v/>
      </c>
      <c r="Y1558">
        <f>IF(ISNUMBER(X1558),IF(X1558&gt;$L$7,W1558,""),"")</f>
        <v/>
      </c>
      <c r="Z1558">
        <f>IF(ISNUMBER('자료_거시'!$K1540),'자료_거시'!$K1540,Z1557)</f>
        <v/>
      </c>
      <c r="AA1558">
        <f>IF(AND(ISNUMBER('자료_거시'!$J1540),ISNUMBER('자료_거시'!$K1540)),IFERROR('자료_거시'!$K1540/INDEX($Z$21:$Z$4020,MATCH(EDATE('자료_거시'!$J1540,-'설정'!$B$17),'자료_거시'!$J$3:INDEX('자료_거시'!$J$3:$J$4002,$K$8),1))-1,""),"")</f>
        <v/>
      </c>
      <c r="AB1558">
        <f>IF(ISNUMBER(AA1558),'자료_거시'!$J1540,"")</f>
        <v/>
      </c>
      <c r="AC1558">
        <f>IF(ISNUMBER(AB1558),IF(AB1558&gt;$L$8,AA1558,""),"")</f>
        <v/>
      </c>
    </row>
    <row r="1559">
      <c r="S1559">
        <f>IF(ISNUMBER('자료_거시'!$E1541),'자료_거시'!$E1541,S1558)</f>
        <v/>
      </c>
      <c r="T1559">
        <f>IF(AND(ISNUMBER('자료_거시'!$D1541),ISNUMBER('자료_거시'!$E1541)),IFERROR('자료_거시'!$E1541-INDEX($S$21:$S$4020,MATCH(EDATE('자료_거시'!$D1541,-'설정'!$B$17),'자료_거시'!$D$3:INDEX('자료_거시'!$D$3:$D$4002,$K$6),1)),""),"")</f>
        <v/>
      </c>
      <c r="U1559">
        <f>IF(ISNUMBER(T1559),'자료_거시'!$D1541,"")</f>
        <v/>
      </c>
      <c r="V1559">
        <f>IF(ISNUMBER(U1559),IF(U1559&gt;$L$6,T1559,""),"")</f>
        <v/>
      </c>
      <c r="W1559">
        <f>IF(AND(ISNUMBER('자료_거시'!$G1541),ISNUMBER('자료_거시'!$H1541)),'자료_거시'!$H1541,"")</f>
        <v/>
      </c>
      <c r="X1559">
        <f>IF(ISNUMBER(W1559),'자료_거시'!$G1541,"")</f>
        <v/>
      </c>
      <c r="Y1559">
        <f>IF(ISNUMBER(X1559),IF(X1559&gt;$L$7,W1559,""),"")</f>
        <v/>
      </c>
      <c r="Z1559">
        <f>IF(ISNUMBER('자료_거시'!$K1541),'자료_거시'!$K1541,Z1558)</f>
        <v/>
      </c>
      <c r="AA1559">
        <f>IF(AND(ISNUMBER('자료_거시'!$J1541),ISNUMBER('자료_거시'!$K1541)),IFERROR('자료_거시'!$K1541/INDEX($Z$21:$Z$4020,MATCH(EDATE('자료_거시'!$J1541,-'설정'!$B$17),'자료_거시'!$J$3:INDEX('자료_거시'!$J$3:$J$4002,$K$8),1))-1,""),"")</f>
        <v/>
      </c>
      <c r="AB1559">
        <f>IF(ISNUMBER(AA1559),'자료_거시'!$J1541,"")</f>
        <v/>
      </c>
      <c r="AC1559">
        <f>IF(ISNUMBER(AB1559),IF(AB1559&gt;$L$8,AA1559,""),"")</f>
        <v/>
      </c>
    </row>
    <row r="1560">
      <c r="S1560">
        <f>IF(ISNUMBER('자료_거시'!$E1542),'자료_거시'!$E1542,S1559)</f>
        <v/>
      </c>
      <c r="T1560">
        <f>IF(AND(ISNUMBER('자료_거시'!$D1542),ISNUMBER('자료_거시'!$E1542)),IFERROR('자료_거시'!$E1542-INDEX($S$21:$S$4020,MATCH(EDATE('자료_거시'!$D1542,-'설정'!$B$17),'자료_거시'!$D$3:INDEX('자료_거시'!$D$3:$D$4002,$K$6),1)),""),"")</f>
        <v/>
      </c>
      <c r="U1560">
        <f>IF(ISNUMBER(T1560),'자료_거시'!$D1542,"")</f>
        <v/>
      </c>
      <c r="V1560">
        <f>IF(ISNUMBER(U1560),IF(U1560&gt;$L$6,T1560,""),"")</f>
        <v/>
      </c>
      <c r="W1560">
        <f>IF(AND(ISNUMBER('자료_거시'!$G1542),ISNUMBER('자료_거시'!$H1542)),'자료_거시'!$H1542,"")</f>
        <v/>
      </c>
      <c r="X1560">
        <f>IF(ISNUMBER(W1560),'자료_거시'!$G1542,"")</f>
        <v/>
      </c>
      <c r="Y1560">
        <f>IF(ISNUMBER(X1560),IF(X1560&gt;$L$7,W1560,""),"")</f>
        <v/>
      </c>
      <c r="Z1560">
        <f>IF(ISNUMBER('자료_거시'!$K1542),'자료_거시'!$K1542,Z1559)</f>
        <v/>
      </c>
      <c r="AA1560">
        <f>IF(AND(ISNUMBER('자료_거시'!$J1542),ISNUMBER('자료_거시'!$K1542)),IFERROR('자료_거시'!$K1542/INDEX($Z$21:$Z$4020,MATCH(EDATE('자료_거시'!$J1542,-'설정'!$B$17),'자료_거시'!$J$3:INDEX('자료_거시'!$J$3:$J$4002,$K$8),1))-1,""),"")</f>
        <v/>
      </c>
      <c r="AB1560">
        <f>IF(ISNUMBER(AA1560),'자료_거시'!$J1542,"")</f>
        <v/>
      </c>
      <c r="AC1560">
        <f>IF(ISNUMBER(AB1560),IF(AB1560&gt;$L$8,AA1560,""),"")</f>
        <v/>
      </c>
    </row>
    <row r="1561">
      <c r="S1561">
        <f>IF(ISNUMBER('자료_거시'!$E1543),'자료_거시'!$E1543,S1560)</f>
        <v/>
      </c>
      <c r="T1561">
        <f>IF(AND(ISNUMBER('자료_거시'!$D1543),ISNUMBER('자료_거시'!$E1543)),IFERROR('자료_거시'!$E1543-INDEX($S$21:$S$4020,MATCH(EDATE('자료_거시'!$D1543,-'설정'!$B$17),'자료_거시'!$D$3:INDEX('자료_거시'!$D$3:$D$4002,$K$6),1)),""),"")</f>
        <v/>
      </c>
      <c r="U1561">
        <f>IF(ISNUMBER(T1561),'자료_거시'!$D1543,"")</f>
        <v/>
      </c>
      <c r="V1561">
        <f>IF(ISNUMBER(U1561),IF(U1561&gt;$L$6,T1561,""),"")</f>
        <v/>
      </c>
      <c r="W1561">
        <f>IF(AND(ISNUMBER('자료_거시'!$G1543),ISNUMBER('자료_거시'!$H1543)),'자료_거시'!$H1543,"")</f>
        <v/>
      </c>
      <c r="X1561">
        <f>IF(ISNUMBER(W1561),'자료_거시'!$G1543,"")</f>
        <v/>
      </c>
      <c r="Y1561">
        <f>IF(ISNUMBER(X1561),IF(X1561&gt;$L$7,W1561,""),"")</f>
        <v/>
      </c>
      <c r="Z1561">
        <f>IF(ISNUMBER('자료_거시'!$K1543),'자료_거시'!$K1543,Z1560)</f>
        <v/>
      </c>
      <c r="AA1561">
        <f>IF(AND(ISNUMBER('자료_거시'!$J1543),ISNUMBER('자료_거시'!$K1543)),IFERROR('자료_거시'!$K1543/INDEX($Z$21:$Z$4020,MATCH(EDATE('자료_거시'!$J1543,-'설정'!$B$17),'자료_거시'!$J$3:INDEX('자료_거시'!$J$3:$J$4002,$K$8),1))-1,""),"")</f>
        <v/>
      </c>
      <c r="AB1561">
        <f>IF(ISNUMBER(AA1561),'자료_거시'!$J1543,"")</f>
        <v/>
      </c>
      <c r="AC1561">
        <f>IF(ISNUMBER(AB1561),IF(AB1561&gt;$L$8,AA1561,""),"")</f>
        <v/>
      </c>
    </row>
    <row r="1562">
      <c r="S1562">
        <f>IF(ISNUMBER('자료_거시'!$E1544),'자료_거시'!$E1544,S1561)</f>
        <v/>
      </c>
      <c r="T1562">
        <f>IF(AND(ISNUMBER('자료_거시'!$D1544),ISNUMBER('자료_거시'!$E1544)),IFERROR('자료_거시'!$E1544-INDEX($S$21:$S$4020,MATCH(EDATE('자료_거시'!$D1544,-'설정'!$B$17),'자료_거시'!$D$3:INDEX('자료_거시'!$D$3:$D$4002,$K$6),1)),""),"")</f>
        <v/>
      </c>
      <c r="U1562">
        <f>IF(ISNUMBER(T1562),'자료_거시'!$D1544,"")</f>
        <v/>
      </c>
      <c r="V1562">
        <f>IF(ISNUMBER(U1562),IF(U1562&gt;$L$6,T1562,""),"")</f>
        <v/>
      </c>
      <c r="W1562">
        <f>IF(AND(ISNUMBER('자료_거시'!$G1544),ISNUMBER('자료_거시'!$H1544)),'자료_거시'!$H1544,"")</f>
        <v/>
      </c>
      <c r="X1562">
        <f>IF(ISNUMBER(W1562),'자료_거시'!$G1544,"")</f>
        <v/>
      </c>
      <c r="Y1562">
        <f>IF(ISNUMBER(X1562),IF(X1562&gt;$L$7,W1562,""),"")</f>
        <v/>
      </c>
      <c r="Z1562">
        <f>IF(ISNUMBER('자료_거시'!$K1544),'자료_거시'!$K1544,Z1561)</f>
        <v/>
      </c>
      <c r="AA1562">
        <f>IF(AND(ISNUMBER('자료_거시'!$J1544),ISNUMBER('자료_거시'!$K1544)),IFERROR('자료_거시'!$K1544/INDEX($Z$21:$Z$4020,MATCH(EDATE('자료_거시'!$J1544,-'설정'!$B$17),'자료_거시'!$J$3:INDEX('자료_거시'!$J$3:$J$4002,$K$8),1))-1,""),"")</f>
        <v/>
      </c>
      <c r="AB1562">
        <f>IF(ISNUMBER(AA1562),'자료_거시'!$J1544,"")</f>
        <v/>
      </c>
      <c r="AC1562">
        <f>IF(ISNUMBER(AB1562),IF(AB1562&gt;$L$8,AA1562,""),"")</f>
        <v/>
      </c>
    </row>
    <row r="1563">
      <c r="S1563">
        <f>IF(ISNUMBER('자료_거시'!$E1545),'자료_거시'!$E1545,S1562)</f>
        <v/>
      </c>
      <c r="T1563">
        <f>IF(AND(ISNUMBER('자료_거시'!$D1545),ISNUMBER('자료_거시'!$E1545)),IFERROR('자료_거시'!$E1545-INDEX($S$21:$S$4020,MATCH(EDATE('자료_거시'!$D1545,-'설정'!$B$17),'자료_거시'!$D$3:INDEX('자료_거시'!$D$3:$D$4002,$K$6),1)),""),"")</f>
        <v/>
      </c>
      <c r="U1563">
        <f>IF(ISNUMBER(T1563),'자료_거시'!$D1545,"")</f>
        <v/>
      </c>
      <c r="V1563">
        <f>IF(ISNUMBER(U1563),IF(U1563&gt;$L$6,T1563,""),"")</f>
        <v/>
      </c>
      <c r="W1563">
        <f>IF(AND(ISNUMBER('자료_거시'!$G1545),ISNUMBER('자료_거시'!$H1545)),'자료_거시'!$H1545,"")</f>
        <v/>
      </c>
      <c r="X1563">
        <f>IF(ISNUMBER(W1563),'자료_거시'!$G1545,"")</f>
        <v/>
      </c>
      <c r="Y1563">
        <f>IF(ISNUMBER(X1563),IF(X1563&gt;$L$7,W1563,""),"")</f>
        <v/>
      </c>
      <c r="Z1563">
        <f>IF(ISNUMBER('자료_거시'!$K1545),'자료_거시'!$K1545,Z1562)</f>
        <v/>
      </c>
      <c r="AA1563">
        <f>IF(AND(ISNUMBER('자료_거시'!$J1545),ISNUMBER('자료_거시'!$K1545)),IFERROR('자료_거시'!$K1545/INDEX($Z$21:$Z$4020,MATCH(EDATE('자료_거시'!$J1545,-'설정'!$B$17),'자료_거시'!$J$3:INDEX('자료_거시'!$J$3:$J$4002,$K$8),1))-1,""),"")</f>
        <v/>
      </c>
      <c r="AB1563">
        <f>IF(ISNUMBER(AA1563),'자료_거시'!$J1545,"")</f>
        <v/>
      </c>
      <c r="AC1563">
        <f>IF(ISNUMBER(AB1563),IF(AB1563&gt;$L$8,AA1563,""),"")</f>
        <v/>
      </c>
    </row>
    <row r="1564">
      <c r="S1564">
        <f>IF(ISNUMBER('자료_거시'!$E1546),'자료_거시'!$E1546,S1563)</f>
        <v/>
      </c>
      <c r="T1564">
        <f>IF(AND(ISNUMBER('자료_거시'!$D1546),ISNUMBER('자료_거시'!$E1546)),IFERROR('자료_거시'!$E1546-INDEX($S$21:$S$4020,MATCH(EDATE('자료_거시'!$D1546,-'설정'!$B$17),'자료_거시'!$D$3:INDEX('자료_거시'!$D$3:$D$4002,$K$6),1)),""),"")</f>
        <v/>
      </c>
      <c r="U1564">
        <f>IF(ISNUMBER(T1564),'자료_거시'!$D1546,"")</f>
        <v/>
      </c>
      <c r="V1564">
        <f>IF(ISNUMBER(U1564),IF(U1564&gt;$L$6,T1564,""),"")</f>
        <v/>
      </c>
      <c r="W1564">
        <f>IF(AND(ISNUMBER('자료_거시'!$G1546),ISNUMBER('자료_거시'!$H1546)),'자료_거시'!$H1546,"")</f>
        <v/>
      </c>
      <c r="X1564">
        <f>IF(ISNUMBER(W1564),'자료_거시'!$G1546,"")</f>
        <v/>
      </c>
      <c r="Y1564">
        <f>IF(ISNUMBER(X1564),IF(X1564&gt;$L$7,W1564,""),"")</f>
        <v/>
      </c>
      <c r="Z1564">
        <f>IF(ISNUMBER('자료_거시'!$K1546),'자료_거시'!$K1546,Z1563)</f>
        <v/>
      </c>
      <c r="AA1564">
        <f>IF(AND(ISNUMBER('자료_거시'!$J1546),ISNUMBER('자료_거시'!$K1546)),IFERROR('자료_거시'!$K1546/INDEX($Z$21:$Z$4020,MATCH(EDATE('자료_거시'!$J1546,-'설정'!$B$17),'자료_거시'!$J$3:INDEX('자료_거시'!$J$3:$J$4002,$K$8),1))-1,""),"")</f>
        <v/>
      </c>
      <c r="AB1564">
        <f>IF(ISNUMBER(AA1564),'자료_거시'!$J1546,"")</f>
        <v/>
      </c>
      <c r="AC1564">
        <f>IF(ISNUMBER(AB1564),IF(AB1564&gt;$L$8,AA1564,""),"")</f>
        <v/>
      </c>
    </row>
    <row r="1565">
      <c r="S1565">
        <f>IF(ISNUMBER('자료_거시'!$E1547),'자료_거시'!$E1547,S1564)</f>
        <v/>
      </c>
      <c r="T1565">
        <f>IF(AND(ISNUMBER('자료_거시'!$D1547),ISNUMBER('자료_거시'!$E1547)),IFERROR('자료_거시'!$E1547-INDEX($S$21:$S$4020,MATCH(EDATE('자료_거시'!$D1547,-'설정'!$B$17),'자료_거시'!$D$3:INDEX('자료_거시'!$D$3:$D$4002,$K$6),1)),""),"")</f>
        <v/>
      </c>
      <c r="U1565">
        <f>IF(ISNUMBER(T1565),'자료_거시'!$D1547,"")</f>
        <v/>
      </c>
      <c r="V1565">
        <f>IF(ISNUMBER(U1565),IF(U1565&gt;$L$6,T1565,""),"")</f>
        <v/>
      </c>
      <c r="W1565">
        <f>IF(AND(ISNUMBER('자료_거시'!$G1547),ISNUMBER('자료_거시'!$H1547)),'자료_거시'!$H1547,"")</f>
        <v/>
      </c>
      <c r="X1565">
        <f>IF(ISNUMBER(W1565),'자료_거시'!$G1547,"")</f>
        <v/>
      </c>
      <c r="Y1565">
        <f>IF(ISNUMBER(X1565),IF(X1565&gt;$L$7,W1565,""),"")</f>
        <v/>
      </c>
      <c r="Z1565">
        <f>IF(ISNUMBER('자료_거시'!$K1547),'자료_거시'!$K1547,Z1564)</f>
        <v/>
      </c>
      <c r="AA1565">
        <f>IF(AND(ISNUMBER('자료_거시'!$J1547),ISNUMBER('자료_거시'!$K1547)),IFERROR('자료_거시'!$K1547/INDEX($Z$21:$Z$4020,MATCH(EDATE('자료_거시'!$J1547,-'설정'!$B$17),'자료_거시'!$J$3:INDEX('자료_거시'!$J$3:$J$4002,$K$8),1))-1,""),"")</f>
        <v/>
      </c>
      <c r="AB1565">
        <f>IF(ISNUMBER(AA1565),'자료_거시'!$J1547,"")</f>
        <v/>
      </c>
      <c r="AC1565">
        <f>IF(ISNUMBER(AB1565),IF(AB1565&gt;$L$8,AA1565,""),"")</f>
        <v/>
      </c>
    </row>
    <row r="1566">
      <c r="S1566">
        <f>IF(ISNUMBER('자료_거시'!$E1548),'자료_거시'!$E1548,S1565)</f>
        <v/>
      </c>
      <c r="T1566">
        <f>IF(AND(ISNUMBER('자료_거시'!$D1548),ISNUMBER('자료_거시'!$E1548)),IFERROR('자료_거시'!$E1548-INDEX($S$21:$S$4020,MATCH(EDATE('자료_거시'!$D1548,-'설정'!$B$17),'자료_거시'!$D$3:INDEX('자료_거시'!$D$3:$D$4002,$K$6),1)),""),"")</f>
        <v/>
      </c>
      <c r="U1566">
        <f>IF(ISNUMBER(T1566),'자료_거시'!$D1548,"")</f>
        <v/>
      </c>
      <c r="V1566">
        <f>IF(ISNUMBER(U1566),IF(U1566&gt;$L$6,T1566,""),"")</f>
        <v/>
      </c>
      <c r="W1566">
        <f>IF(AND(ISNUMBER('자료_거시'!$G1548),ISNUMBER('자료_거시'!$H1548)),'자료_거시'!$H1548,"")</f>
        <v/>
      </c>
      <c r="X1566">
        <f>IF(ISNUMBER(W1566),'자료_거시'!$G1548,"")</f>
        <v/>
      </c>
      <c r="Y1566">
        <f>IF(ISNUMBER(X1566),IF(X1566&gt;$L$7,W1566,""),"")</f>
        <v/>
      </c>
      <c r="Z1566">
        <f>IF(ISNUMBER('자료_거시'!$K1548),'자료_거시'!$K1548,Z1565)</f>
        <v/>
      </c>
      <c r="AA1566">
        <f>IF(AND(ISNUMBER('자료_거시'!$J1548),ISNUMBER('자료_거시'!$K1548)),IFERROR('자료_거시'!$K1548/INDEX($Z$21:$Z$4020,MATCH(EDATE('자료_거시'!$J1548,-'설정'!$B$17),'자료_거시'!$J$3:INDEX('자료_거시'!$J$3:$J$4002,$K$8),1))-1,""),"")</f>
        <v/>
      </c>
      <c r="AB1566">
        <f>IF(ISNUMBER(AA1566),'자료_거시'!$J1548,"")</f>
        <v/>
      </c>
      <c r="AC1566">
        <f>IF(ISNUMBER(AB1566),IF(AB1566&gt;$L$8,AA1566,""),"")</f>
        <v/>
      </c>
    </row>
    <row r="1567">
      <c r="S1567">
        <f>IF(ISNUMBER('자료_거시'!$E1549),'자료_거시'!$E1549,S1566)</f>
        <v/>
      </c>
      <c r="T1567">
        <f>IF(AND(ISNUMBER('자료_거시'!$D1549),ISNUMBER('자료_거시'!$E1549)),IFERROR('자료_거시'!$E1549-INDEX($S$21:$S$4020,MATCH(EDATE('자료_거시'!$D1549,-'설정'!$B$17),'자료_거시'!$D$3:INDEX('자료_거시'!$D$3:$D$4002,$K$6),1)),""),"")</f>
        <v/>
      </c>
      <c r="U1567">
        <f>IF(ISNUMBER(T1567),'자료_거시'!$D1549,"")</f>
        <v/>
      </c>
      <c r="V1567">
        <f>IF(ISNUMBER(U1567),IF(U1567&gt;$L$6,T1567,""),"")</f>
        <v/>
      </c>
      <c r="W1567">
        <f>IF(AND(ISNUMBER('자료_거시'!$G1549),ISNUMBER('자료_거시'!$H1549)),'자료_거시'!$H1549,"")</f>
        <v/>
      </c>
      <c r="X1567">
        <f>IF(ISNUMBER(W1567),'자료_거시'!$G1549,"")</f>
        <v/>
      </c>
      <c r="Y1567">
        <f>IF(ISNUMBER(X1567),IF(X1567&gt;$L$7,W1567,""),"")</f>
        <v/>
      </c>
      <c r="Z1567">
        <f>IF(ISNUMBER('자료_거시'!$K1549),'자료_거시'!$K1549,Z1566)</f>
        <v/>
      </c>
      <c r="AA1567">
        <f>IF(AND(ISNUMBER('자료_거시'!$J1549),ISNUMBER('자료_거시'!$K1549)),IFERROR('자료_거시'!$K1549/INDEX($Z$21:$Z$4020,MATCH(EDATE('자료_거시'!$J1549,-'설정'!$B$17),'자료_거시'!$J$3:INDEX('자료_거시'!$J$3:$J$4002,$K$8),1))-1,""),"")</f>
        <v/>
      </c>
      <c r="AB1567">
        <f>IF(ISNUMBER(AA1567),'자료_거시'!$J1549,"")</f>
        <v/>
      </c>
      <c r="AC1567">
        <f>IF(ISNUMBER(AB1567),IF(AB1567&gt;$L$8,AA1567,""),"")</f>
        <v/>
      </c>
    </row>
    <row r="1568">
      <c r="S1568">
        <f>IF(ISNUMBER('자료_거시'!$E1550),'자료_거시'!$E1550,S1567)</f>
        <v/>
      </c>
      <c r="T1568">
        <f>IF(AND(ISNUMBER('자료_거시'!$D1550),ISNUMBER('자료_거시'!$E1550)),IFERROR('자료_거시'!$E1550-INDEX($S$21:$S$4020,MATCH(EDATE('자료_거시'!$D1550,-'설정'!$B$17),'자료_거시'!$D$3:INDEX('자료_거시'!$D$3:$D$4002,$K$6),1)),""),"")</f>
        <v/>
      </c>
      <c r="U1568">
        <f>IF(ISNUMBER(T1568),'자료_거시'!$D1550,"")</f>
        <v/>
      </c>
      <c r="V1568">
        <f>IF(ISNUMBER(U1568),IF(U1568&gt;$L$6,T1568,""),"")</f>
        <v/>
      </c>
      <c r="W1568">
        <f>IF(AND(ISNUMBER('자료_거시'!$G1550),ISNUMBER('자료_거시'!$H1550)),'자료_거시'!$H1550,"")</f>
        <v/>
      </c>
      <c r="X1568">
        <f>IF(ISNUMBER(W1568),'자료_거시'!$G1550,"")</f>
        <v/>
      </c>
      <c r="Y1568">
        <f>IF(ISNUMBER(X1568),IF(X1568&gt;$L$7,W1568,""),"")</f>
        <v/>
      </c>
      <c r="Z1568">
        <f>IF(ISNUMBER('자료_거시'!$K1550),'자료_거시'!$K1550,Z1567)</f>
        <v/>
      </c>
      <c r="AA1568">
        <f>IF(AND(ISNUMBER('자료_거시'!$J1550),ISNUMBER('자료_거시'!$K1550)),IFERROR('자료_거시'!$K1550/INDEX($Z$21:$Z$4020,MATCH(EDATE('자료_거시'!$J1550,-'설정'!$B$17),'자료_거시'!$J$3:INDEX('자료_거시'!$J$3:$J$4002,$K$8),1))-1,""),"")</f>
        <v/>
      </c>
      <c r="AB1568">
        <f>IF(ISNUMBER(AA1568),'자료_거시'!$J1550,"")</f>
        <v/>
      </c>
      <c r="AC1568">
        <f>IF(ISNUMBER(AB1568),IF(AB1568&gt;$L$8,AA1568,""),"")</f>
        <v/>
      </c>
    </row>
    <row r="1569">
      <c r="S1569">
        <f>IF(ISNUMBER('자료_거시'!$E1551),'자료_거시'!$E1551,S1568)</f>
        <v/>
      </c>
      <c r="T1569">
        <f>IF(AND(ISNUMBER('자료_거시'!$D1551),ISNUMBER('자료_거시'!$E1551)),IFERROR('자료_거시'!$E1551-INDEX($S$21:$S$4020,MATCH(EDATE('자료_거시'!$D1551,-'설정'!$B$17),'자료_거시'!$D$3:INDEX('자료_거시'!$D$3:$D$4002,$K$6),1)),""),"")</f>
        <v/>
      </c>
      <c r="U1569">
        <f>IF(ISNUMBER(T1569),'자료_거시'!$D1551,"")</f>
        <v/>
      </c>
      <c r="V1569">
        <f>IF(ISNUMBER(U1569),IF(U1569&gt;$L$6,T1569,""),"")</f>
        <v/>
      </c>
      <c r="W1569">
        <f>IF(AND(ISNUMBER('자료_거시'!$G1551),ISNUMBER('자료_거시'!$H1551)),'자료_거시'!$H1551,"")</f>
        <v/>
      </c>
      <c r="X1569">
        <f>IF(ISNUMBER(W1569),'자료_거시'!$G1551,"")</f>
        <v/>
      </c>
      <c r="Y1569">
        <f>IF(ISNUMBER(X1569),IF(X1569&gt;$L$7,W1569,""),"")</f>
        <v/>
      </c>
      <c r="Z1569">
        <f>IF(ISNUMBER('자료_거시'!$K1551),'자료_거시'!$K1551,Z1568)</f>
        <v/>
      </c>
      <c r="AA1569">
        <f>IF(AND(ISNUMBER('자료_거시'!$J1551),ISNUMBER('자료_거시'!$K1551)),IFERROR('자료_거시'!$K1551/INDEX($Z$21:$Z$4020,MATCH(EDATE('자료_거시'!$J1551,-'설정'!$B$17),'자료_거시'!$J$3:INDEX('자료_거시'!$J$3:$J$4002,$K$8),1))-1,""),"")</f>
        <v/>
      </c>
      <c r="AB1569">
        <f>IF(ISNUMBER(AA1569),'자료_거시'!$J1551,"")</f>
        <v/>
      </c>
      <c r="AC1569">
        <f>IF(ISNUMBER(AB1569),IF(AB1569&gt;$L$8,AA1569,""),"")</f>
        <v/>
      </c>
    </row>
    <row r="1570">
      <c r="S1570">
        <f>IF(ISNUMBER('자료_거시'!$E1552),'자료_거시'!$E1552,S1569)</f>
        <v/>
      </c>
      <c r="T1570">
        <f>IF(AND(ISNUMBER('자료_거시'!$D1552),ISNUMBER('자료_거시'!$E1552)),IFERROR('자료_거시'!$E1552-INDEX($S$21:$S$4020,MATCH(EDATE('자료_거시'!$D1552,-'설정'!$B$17),'자료_거시'!$D$3:INDEX('자료_거시'!$D$3:$D$4002,$K$6),1)),""),"")</f>
        <v/>
      </c>
      <c r="U1570">
        <f>IF(ISNUMBER(T1570),'자료_거시'!$D1552,"")</f>
        <v/>
      </c>
      <c r="V1570">
        <f>IF(ISNUMBER(U1570),IF(U1570&gt;$L$6,T1570,""),"")</f>
        <v/>
      </c>
      <c r="W1570">
        <f>IF(AND(ISNUMBER('자료_거시'!$G1552),ISNUMBER('자료_거시'!$H1552)),'자료_거시'!$H1552,"")</f>
        <v/>
      </c>
      <c r="X1570">
        <f>IF(ISNUMBER(W1570),'자료_거시'!$G1552,"")</f>
        <v/>
      </c>
      <c r="Y1570">
        <f>IF(ISNUMBER(X1570),IF(X1570&gt;$L$7,W1570,""),"")</f>
        <v/>
      </c>
      <c r="Z1570">
        <f>IF(ISNUMBER('자료_거시'!$K1552),'자료_거시'!$K1552,Z1569)</f>
        <v/>
      </c>
      <c r="AA1570">
        <f>IF(AND(ISNUMBER('자료_거시'!$J1552),ISNUMBER('자료_거시'!$K1552)),IFERROR('자료_거시'!$K1552/INDEX($Z$21:$Z$4020,MATCH(EDATE('자료_거시'!$J1552,-'설정'!$B$17),'자료_거시'!$J$3:INDEX('자료_거시'!$J$3:$J$4002,$K$8),1))-1,""),"")</f>
        <v/>
      </c>
      <c r="AB1570">
        <f>IF(ISNUMBER(AA1570),'자료_거시'!$J1552,"")</f>
        <v/>
      </c>
      <c r="AC1570">
        <f>IF(ISNUMBER(AB1570),IF(AB1570&gt;$L$8,AA1570,""),"")</f>
        <v/>
      </c>
    </row>
    <row r="1571">
      <c r="S1571">
        <f>IF(ISNUMBER('자료_거시'!$E1553),'자료_거시'!$E1553,S1570)</f>
        <v/>
      </c>
      <c r="T1571">
        <f>IF(AND(ISNUMBER('자료_거시'!$D1553),ISNUMBER('자료_거시'!$E1553)),IFERROR('자료_거시'!$E1553-INDEX($S$21:$S$4020,MATCH(EDATE('자료_거시'!$D1553,-'설정'!$B$17),'자료_거시'!$D$3:INDEX('자료_거시'!$D$3:$D$4002,$K$6),1)),""),"")</f>
        <v/>
      </c>
      <c r="U1571">
        <f>IF(ISNUMBER(T1571),'자료_거시'!$D1553,"")</f>
        <v/>
      </c>
      <c r="V1571">
        <f>IF(ISNUMBER(U1571),IF(U1571&gt;$L$6,T1571,""),"")</f>
        <v/>
      </c>
      <c r="W1571">
        <f>IF(AND(ISNUMBER('자료_거시'!$G1553),ISNUMBER('자료_거시'!$H1553)),'자료_거시'!$H1553,"")</f>
        <v/>
      </c>
      <c r="X1571">
        <f>IF(ISNUMBER(W1571),'자료_거시'!$G1553,"")</f>
        <v/>
      </c>
      <c r="Y1571">
        <f>IF(ISNUMBER(X1571),IF(X1571&gt;$L$7,W1571,""),"")</f>
        <v/>
      </c>
      <c r="Z1571">
        <f>IF(ISNUMBER('자료_거시'!$K1553),'자료_거시'!$K1553,Z1570)</f>
        <v/>
      </c>
      <c r="AA1571">
        <f>IF(AND(ISNUMBER('자료_거시'!$J1553),ISNUMBER('자료_거시'!$K1553)),IFERROR('자료_거시'!$K1553/INDEX($Z$21:$Z$4020,MATCH(EDATE('자료_거시'!$J1553,-'설정'!$B$17),'자료_거시'!$J$3:INDEX('자료_거시'!$J$3:$J$4002,$K$8),1))-1,""),"")</f>
        <v/>
      </c>
      <c r="AB1571">
        <f>IF(ISNUMBER(AA1571),'자료_거시'!$J1553,"")</f>
        <v/>
      </c>
      <c r="AC1571">
        <f>IF(ISNUMBER(AB1571),IF(AB1571&gt;$L$8,AA1571,""),"")</f>
        <v/>
      </c>
    </row>
    <row r="1572">
      <c r="S1572">
        <f>IF(ISNUMBER('자료_거시'!$E1554),'자료_거시'!$E1554,S1571)</f>
        <v/>
      </c>
      <c r="T1572">
        <f>IF(AND(ISNUMBER('자료_거시'!$D1554),ISNUMBER('자료_거시'!$E1554)),IFERROR('자료_거시'!$E1554-INDEX($S$21:$S$4020,MATCH(EDATE('자료_거시'!$D1554,-'설정'!$B$17),'자료_거시'!$D$3:INDEX('자료_거시'!$D$3:$D$4002,$K$6),1)),""),"")</f>
        <v/>
      </c>
      <c r="U1572">
        <f>IF(ISNUMBER(T1572),'자료_거시'!$D1554,"")</f>
        <v/>
      </c>
      <c r="V1572">
        <f>IF(ISNUMBER(U1572),IF(U1572&gt;$L$6,T1572,""),"")</f>
        <v/>
      </c>
      <c r="W1572">
        <f>IF(AND(ISNUMBER('자료_거시'!$G1554),ISNUMBER('자료_거시'!$H1554)),'자료_거시'!$H1554,"")</f>
        <v/>
      </c>
      <c r="X1572">
        <f>IF(ISNUMBER(W1572),'자료_거시'!$G1554,"")</f>
        <v/>
      </c>
      <c r="Y1572">
        <f>IF(ISNUMBER(X1572),IF(X1572&gt;$L$7,W1572,""),"")</f>
        <v/>
      </c>
      <c r="Z1572">
        <f>IF(ISNUMBER('자료_거시'!$K1554),'자료_거시'!$K1554,Z1571)</f>
        <v/>
      </c>
      <c r="AA1572">
        <f>IF(AND(ISNUMBER('자료_거시'!$J1554),ISNUMBER('자료_거시'!$K1554)),IFERROR('자료_거시'!$K1554/INDEX($Z$21:$Z$4020,MATCH(EDATE('자료_거시'!$J1554,-'설정'!$B$17),'자료_거시'!$J$3:INDEX('자료_거시'!$J$3:$J$4002,$K$8),1))-1,""),"")</f>
        <v/>
      </c>
      <c r="AB1572">
        <f>IF(ISNUMBER(AA1572),'자료_거시'!$J1554,"")</f>
        <v/>
      </c>
      <c r="AC1572">
        <f>IF(ISNUMBER(AB1572),IF(AB1572&gt;$L$8,AA1572,""),"")</f>
        <v/>
      </c>
    </row>
    <row r="1573">
      <c r="S1573">
        <f>IF(ISNUMBER('자료_거시'!$E1555),'자료_거시'!$E1555,S1572)</f>
        <v/>
      </c>
      <c r="T1573">
        <f>IF(AND(ISNUMBER('자료_거시'!$D1555),ISNUMBER('자료_거시'!$E1555)),IFERROR('자료_거시'!$E1555-INDEX($S$21:$S$4020,MATCH(EDATE('자료_거시'!$D1555,-'설정'!$B$17),'자료_거시'!$D$3:INDEX('자료_거시'!$D$3:$D$4002,$K$6),1)),""),"")</f>
        <v/>
      </c>
      <c r="U1573">
        <f>IF(ISNUMBER(T1573),'자료_거시'!$D1555,"")</f>
        <v/>
      </c>
      <c r="V1573">
        <f>IF(ISNUMBER(U1573),IF(U1573&gt;$L$6,T1573,""),"")</f>
        <v/>
      </c>
      <c r="W1573">
        <f>IF(AND(ISNUMBER('자료_거시'!$G1555),ISNUMBER('자료_거시'!$H1555)),'자료_거시'!$H1555,"")</f>
        <v/>
      </c>
      <c r="X1573">
        <f>IF(ISNUMBER(W1573),'자료_거시'!$G1555,"")</f>
        <v/>
      </c>
      <c r="Y1573">
        <f>IF(ISNUMBER(X1573),IF(X1573&gt;$L$7,W1573,""),"")</f>
        <v/>
      </c>
      <c r="Z1573">
        <f>IF(ISNUMBER('자료_거시'!$K1555),'자료_거시'!$K1555,Z1572)</f>
        <v/>
      </c>
      <c r="AA1573">
        <f>IF(AND(ISNUMBER('자료_거시'!$J1555),ISNUMBER('자료_거시'!$K1555)),IFERROR('자료_거시'!$K1555/INDEX($Z$21:$Z$4020,MATCH(EDATE('자료_거시'!$J1555,-'설정'!$B$17),'자료_거시'!$J$3:INDEX('자료_거시'!$J$3:$J$4002,$K$8),1))-1,""),"")</f>
        <v/>
      </c>
      <c r="AB1573">
        <f>IF(ISNUMBER(AA1573),'자료_거시'!$J1555,"")</f>
        <v/>
      </c>
      <c r="AC1573">
        <f>IF(ISNUMBER(AB1573),IF(AB1573&gt;$L$8,AA1573,""),"")</f>
        <v/>
      </c>
    </row>
    <row r="1574">
      <c r="S1574">
        <f>IF(ISNUMBER('자료_거시'!$E1556),'자료_거시'!$E1556,S1573)</f>
        <v/>
      </c>
      <c r="T1574">
        <f>IF(AND(ISNUMBER('자료_거시'!$D1556),ISNUMBER('자료_거시'!$E1556)),IFERROR('자료_거시'!$E1556-INDEX($S$21:$S$4020,MATCH(EDATE('자료_거시'!$D1556,-'설정'!$B$17),'자료_거시'!$D$3:INDEX('자료_거시'!$D$3:$D$4002,$K$6),1)),""),"")</f>
        <v/>
      </c>
      <c r="U1574">
        <f>IF(ISNUMBER(T1574),'자료_거시'!$D1556,"")</f>
        <v/>
      </c>
      <c r="V1574">
        <f>IF(ISNUMBER(U1574),IF(U1574&gt;$L$6,T1574,""),"")</f>
        <v/>
      </c>
      <c r="W1574">
        <f>IF(AND(ISNUMBER('자료_거시'!$G1556),ISNUMBER('자료_거시'!$H1556)),'자료_거시'!$H1556,"")</f>
        <v/>
      </c>
      <c r="X1574">
        <f>IF(ISNUMBER(W1574),'자료_거시'!$G1556,"")</f>
        <v/>
      </c>
      <c r="Y1574">
        <f>IF(ISNUMBER(X1574),IF(X1574&gt;$L$7,W1574,""),"")</f>
        <v/>
      </c>
      <c r="Z1574">
        <f>IF(ISNUMBER('자료_거시'!$K1556),'자료_거시'!$K1556,Z1573)</f>
        <v/>
      </c>
      <c r="AA1574">
        <f>IF(AND(ISNUMBER('자료_거시'!$J1556),ISNUMBER('자료_거시'!$K1556)),IFERROR('자료_거시'!$K1556/INDEX($Z$21:$Z$4020,MATCH(EDATE('자료_거시'!$J1556,-'설정'!$B$17),'자료_거시'!$J$3:INDEX('자료_거시'!$J$3:$J$4002,$K$8),1))-1,""),"")</f>
        <v/>
      </c>
      <c r="AB1574">
        <f>IF(ISNUMBER(AA1574),'자료_거시'!$J1556,"")</f>
        <v/>
      </c>
      <c r="AC1574">
        <f>IF(ISNUMBER(AB1574),IF(AB1574&gt;$L$8,AA1574,""),"")</f>
        <v/>
      </c>
    </row>
    <row r="1575">
      <c r="S1575">
        <f>IF(ISNUMBER('자료_거시'!$E1557),'자료_거시'!$E1557,S1574)</f>
        <v/>
      </c>
      <c r="T1575">
        <f>IF(AND(ISNUMBER('자료_거시'!$D1557),ISNUMBER('자료_거시'!$E1557)),IFERROR('자료_거시'!$E1557-INDEX($S$21:$S$4020,MATCH(EDATE('자료_거시'!$D1557,-'설정'!$B$17),'자료_거시'!$D$3:INDEX('자료_거시'!$D$3:$D$4002,$K$6),1)),""),"")</f>
        <v/>
      </c>
      <c r="U1575">
        <f>IF(ISNUMBER(T1575),'자료_거시'!$D1557,"")</f>
        <v/>
      </c>
      <c r="V1575">
        <f>IF(ISNUMBER(U1575),IF(U1575&gt;$L$6,T1575,""),"")</f>
        <v/>
      </c>
      <c r="W1575">
        <f>IF(AND(ISNUMBER('자료_거시'!$G1557),ISNUMBER('자료_거시'!$H1557)),'자료_거시'!$H1557,"")</f>
        <v/>
      </c>
      <c r="X1575">
        <f>IF(ISNUMBER(W1575),'자료_거시'!$G1557,"")</f>
        <v/>
      </c>
      <c r="Y1575">
        <f>IF(ISNUMBER(X1575),IF(X1575&gt;$L$7,W1575,""),"")</f>
        <v/>
      </c>
      <c r="Z1575">
        <f>IF(ISNUMBER('자료_거시'!$K1557),'자료_거시'!$K1557,Z1574)</f>
        <v/>
      </c>
      <c r="AA1575">
        <f>IF(AND(ISNUMBER('자료_거시'!$J1557),ISNUMBER('자료_거시'!$K1557)),IFERROR('자료_거시'!$K1557/INDEX($Z$21:$Z$4020,MATCH(EDATE('자료_거시'!$J1557,-'설정'!$B$17),'자료_거시'!$J$3:INDEX('자료_거시'!$J$3:$J$4002,$K$8),1))-1,""),"")</f>
        <v/>
      </c>
      <c r="AB1575">
        <f>IF(ISNUMBER(AA1575),'자료_거시'!$J1557,"")</f>
        <v/>
      </c>
      <c r="AC1575">
        <f>IF(ISNUMBER(AB1575),IF(AB1575&gt;$L$8,AA1575,""),"")</f>
        <v/>
      </c>
    </row>
    <row r="1576">
      <c r="S1576">
        <f>IF(ISNUMBER('자료_거시'!$E1558),'자료_거시'!$E1558,S1575)</f>
        <v/>
      </c>
      <c r="T1576">
        <f>IF(AND(ISNUMBER('자료_거시'!$D1558),ISNUMBER('자료_거시'!$E1558)),IFERROR('자료_거시'!$E1558-INDEX($S$21:$S$4020,MATCH(EDATE('자료_거시'!$D1558,-'설정'!$B$17),'자료_거시'!$D$3:INDEX('자료_거시'!$D$3:$D$4002,$K$6),1)),""),"")</f>
        <v/>
      </c>
      <c r="U1576">
        <f>IF(ISNUMBER(T1576),'자료_거시'!$D1558,"")</f>
        <v/>
      </c>
      <c r="V1576">
        <f>IF(ISNUMBER(U1576),IF(U1576&gt;$L$6,T1576,""),"")</f>
        <v/>
      </c>
      <c r="W1576">
        <f>IF(AND(ISNUMBER('자료_거시'!$G1558),ISNUMBER('자료_거시'!$H1558)),'자료_거시'!$H1558,"")</f>
        <v/>
      </c>
      <c r="X1576">
        <f>IF(ISNUMBER(W1576),'자료_거시'!$G1558,"")</f>
        <v/>
      </c>
      <c r="Y1576">
        <f>IF(ISNUMBER(X1576),IF(X1576&gt;$L$7,W1576,""),"")</f>
        <v/>
      </c>
      <c r="Z1576">
        <f>IF(ISNUMBER('자료_거시'!$K1558),'자료_거시'!$K1558,Z1575)</f>
        <v/>
      </c>
      <c r="AA1576">
        <f>IF(AND(ISNUMBER('자료_거시'!$J1558),ISNUMBER('자료_거시'!$K1558)),IFERROR('자료_거시'!$K1558/INDEX($Z$21:$Z$4020,MATCH(EDATE('자료_거시'!$J1558,-'설정'!$B$17),'자료_거시'!$J$3:INDEX('자료_거시'!$J$3:$J$4002,$K$8),1))-1,""),"")</f>
        <v/>
      </c>
      <c r="AB1576">
        <f>IF(ISNUMBER(AA1576),'자료_거시'!$J1558,"")</f>
        <v/>
      </c>
      <c r="AC1576">
        <f>IF(ISNUMBER(AB1576),IF(AB1576&gt;$L$8,AA1576,""),"")</f>
        <v/>
      </c>
    </row>
    <row r="1577">
      <c r="S1577">
        <f>IF(ISNUMBER('자료_거시'!$E1559),'자료_거시'!$E1559,S1576)</f>
        <v/>
      </c>
      <c r="T1577">
        <f>IF(AND(ISNUMBER('자료_거시'!$D1559),ISNUMBER('자료_거시'!$E1559)),IFERROR('자료_거시'!$E1559-INDEX($S$21:$S$4020,MATCH(EDATE('자료_거시'!$D1559,-'설정'!$B$17),'자료_거시'!$D$3:INDEX('자료_거시'!$D$3:$D$4002,$K$6),1)),""),"")</f>
        <v/>
      </c>
      <c r="U1577">
        <f>IF(ISNUMBER(T1577),'자료_거시'!$D1559,"")</f>
        <v/>
      </c>
      <c r="V1577">
        <f>IF(ISNUMBER(U1577),IF(U1577&gt;$L$6,T1577,""),"")</f>
        <v/>
      </c>
      <c r="W1577">
        <f>IF(AND(ISNUMBER('자료_거시'!$G1559),ISNUMBER('자료_거시'!$H1559)),'자료_거시'!$H1559,"")</f>
        <v/>
      </c>
      <c r="X1577">
        <f>IF(ISNUMBER(W1577),'자료_거시'!$G1559,"")</f>
        <v/>
      </c>
      <c r="Y1577">
        <f>IF(ISNUMBER(X1577),IF(X1577&gt;$L$7,W1577,""),"")</f>
        <v/>
      </c>
      <c r="Z1577">
        <f>IF(ISNUMBER('자료_거시'!$K1559),'자료_거시'!$K1559,Z1576)</f>
        <v/>
      </c>
      <c r="AA1577">
        <f>IF(AND(ISNUMBER('자료_거시'!$J1559),ISNUMBER('자료_거시'!$K1559)),IFERROR('자료_거시'!$K1559/INDEX($Z$21:$Z$4020,MATCH(EDATE('자료_거시'!$J1559,-'설정'!$B$17),'자료_거시'!$J$3:INDEX('자료_거시'!$J$3:$J$4002,$K$8),1))-1,""),"")</f>
        <v/>
      </c>
      <c r="AB1577">
        <f>IF(ISNUMBER(AA1577),'자료_거시'!$J1559,"")</f>
        <v/>
      </c>
      <c r="AC1577">
        <f>IF(ISNUMBER(AB1577),IF(AB1577&gt;$L$8,AA1577,""),"")</f>
        <v/>
      </c>
    </row>
    <row r="1578">
      <c r="S1578">
        <f>IF(ISNUMBER('자료_거시'!$E1560),'자료_거시'!$E1560,S1577)</f>
        <v/>
      </c>
      <c r="T1578">
        <f>IF(AND(ISNUMBER('자료_거시'!$D1560),ISNUMBER('자료_거시'!$E1560)),IFERROR('자료_거시'!$E1560-INDEX($S$21:$S$4020,MATCH(EDATE('자료_거시'!$D1560,-'설정'!$B$17),'자료_거시'!$D$3:INDEX('자료_거시'!$D$3:$D$4002,$K$6),1)),""),"")</f>
        <v/>
      </c>
      <c r="U1578">
        <f>IF(ISNUMBER(T1578),'자료_거시'!$D1560,"")</f>
        <v/>
      </c>
      <c r="V1578">
        <f>IF(ISNUMBER(U1578),IF(U1578&gt;$L$6,T1578,""),"")</f>
        <v/>
      </c>
      <c r="W1578">
        <f>IF(AND(ISNUMBER('자료_거시'!$G1560),ISNUMBER('자료_거시'!$H1560)),'자료_거시'!$H1560,"")</f>
        <v/>
      </c>
      <c r="X1578">
        <f>IF(ISNUMBER(W1578),'자료_거시'!$G1560,"")</f>
        <v/>
      </c>
      <c r="Y1578">
        <f>IF(ISNUMBER(X1578),IF(X1578&gt;$L$7,W1578,""),"")</f>
        <v/>
      </c>
      <c r="Z1578">
        <f>IF(ISNUMBER('자료_거시'!$K1560),'자료_거시'!$K1560,Z1577)</f>
        <v/>
      </c>
      <c r="AA1578">
        <f>IF(AND(ISNUMBER('자료_거시'!$J1560),ISNUMBER('자료_거시'!$K1560)),IFERROR('자료_거시'!$K1560/INDEX($Z$21:$Z$4020,MATCH(EDATE('자료_거시'!$J1560,-'설정'!$B$17),'자료_거시'!$J$3:INDEX('자료_거시'!$J$3:$J$4002,$K$8),1))-1,""),"")</f>
        <v/>
      </c>
      <c r="AB1578">
        <f>IF(ISNUMBER(AA1578),'자료_거시'!$J1560,"")</f>
        <v/>
      </c>
      <c r="AC1578">
        <f>IF(ISNUMBER(AB1578),IF(AB1578&gt;$L$8,AA1578,""),"")</f>
        <v/>
      </c>
    </row>
    <row r="1579">
      <c r="S1579">
        <f>IF(ISNUMBER('자료_거시'!$E1561),'자료_거시'!$E1561,S1578)</f>
        <v/>
      </c>
      <c r="T1579">
        <f>IF(AND(ISNUMBER('자료_거시'!$D1561),ISNUMBER('자료_거시'!$E1561)),IFERROR('자료_거시'!$E1561-INDEX($S$21:$S$4020,MATCH(EDATE('자료_거시'!$D1561,-'설정'!$B$17),'자료_거시'!$D$3:INDEX('자료_거시'!$D$3:$D$4002,$K$6),1)),""),"")</f>
        <v/>
      </c>
      <c r="U1579">
        <f>IF(ISNUMBER(T1579),'자료_거시'!$D1561,"")</f>
        <v/>
      </c>
      <c r="V1579">
        <f>IF(ISNUMBER(U1579),IF(U1579&gt;$L$6,T1579,""),"")</f>
        <v/>
      </c>
      <c r="W1579">
        <f>IF(AND(ISNUMBER('자료_거시'!$G1561),ISNUMBER('자료_거시'!$H1561)),'자료_거시'!$H1561,"")</f>
        <v/>
      </c>
      <c r="X1579">
        <f>IF(ISNUMBER(W1579),'자료_거시'!$G1561,"")</f>
        <v/>
      </c>
      <c r="Y1579">
        <f>IF(ISNUMBER(X1579),IF(X1579&gt;$L$7,W1579,""),"")</f>
        <v/>
      </c>
      <c r="Z1579">
        <f>IF(ISNUMBER('자료_거시'!$K1561),'자료_거시'!$K1561,Z1578)</f>
        <v/>
      </c>
      <c r="AA1579">
        <f>IF(AND(ISNUMBER('자료_거시'!$J1561),ISNUMBER('자료_거시'!$K1561)),IFERROR('자료_거시'!$K1561/INDEX($Z$21:$Z$4020,MATCH(EDATE('자료_거시'!$J1561,-'설정'!$B$17),'자료_거시'!$J$3:INDEX('자료_거시'!$J$3:$J$4002,$K$8),1))-1,""),"")</f>
        <v/>
      </c>
      <c r="AB1579">
        <f>IF(ISNUMBER(AA1579),'자료_거시'!$J1561,"")</f>
        <v/>
      </c>
      <c r="AC1579">
        <f>IF(ISNUMBER(AB1579),IF(AB1579&gt;$L$8,AA1579,""),"")</f>
        <v/>
      </c>
    </row>
    <row r="1580">
      <c r="S1580">
        <f>IF(ISNUMBER('자료_거시'!$E1562),'자료_거시'!$E1562,S1579)</f>
        <v/>
      </c>
      <c r="T1580">
        <f>IF(AND(ISNUMBER('자료_거시'!$D1562),ISNUMBER('자료_거시'!$E1562)),IFERROR('자료_거시'!$E1562-INDEX($S$21:$S$4020,MATCH(EDATE('자료_거시'!$D1562,-'설정'!$B$17),'자료_거시'!$D$3:INDEX('자료_거시'!$D$3:$D$4002,$K$6),1)),""),"")</f>
        <v/>
      </c>
      <c r="U1580">
        <f>IF(ISNUMBER(T1580),'자료_거시'!$D1562,"")</f>
        <v/>
      </c>
      <c r="V1580">
        <f>IF(ISNUMBER(U1580),IF(U1580&gt;$L$6,T1580,""),"")</f>
        <v/>
      </c>
      <c r="W1580">
        <f>IF(AND(ISNUMBER('자료_거시'!$G1562),ISNUMBER('자료_거시'!$H1562)),'자료_거시'!$H1562,"")</f>
        <v/>
      </c>
      <c r="X1580">
        <f>IF(ISNUMBER(W1580),'자료_거시'!$G1562,"")</f>
        <v/>
      </c>
      <c r="Y1580">
        <f>IF(ISNUMBER(X1580),IF(X1580&gt;$L$7,W1580,""),"")</f>
        <v/>
      </c>
      <c r="Z1580">
        <f>IF(ISNUMBER('자료_거시'!$K1562),'자료_거시'!$K1562,Z1579)</f>
        <v/>
      </c>
      <c r="AA1580">
        <f>IF(AND(ISNUMBER('자료_거시'!$J1562),ISNUMBER('자료_거시'!$K1562)),IFERROR('자료_거시'!$K1562/INDEX($Z$21:$Z$4020,MATCH(EDATE('자료_거시'!$J1562,-'설정'!$B$17),'자료_거시'!$J$3:INDEX('자료_거시'!$J$3:$J$4002,$K$8),1))-1,""),"")</f>
        <v/>
      </c>
      <c r="AB1580">
        <f>IF(ISNUMBER(AA1580),'자료_거시'!$J1562,"")</f>
        <v/>
      </c>
      <c r="AC1580">
        <f>IF(ISNUMBER(AB1580),IF(AB1580&gt;$L$8,AA1580,""),"")</f>
        <v/>
      </c>
    </row>
    <row r="1581">
      <c r="S1581">
        <f>IF(ISNUMBER('자료_거시'!$E1563),'자료_거시'!$E1563,S1580)</f>
        <v/>
      </c>
      <c r="T1581">
        <f>IF(AND(ISNUMBER('자료_거시'!$D1563),ISNUMBER('자료_거시'!$E1563)),IFERROR('자료_거시'!$E1563-INDEX($S$21:$S$4020,MATCH(EDATE('자료_거시'!$D1563,-'설정'!$B$17),'자료_거시'!$D$3:INDEX('자료_거시'!$D$3:$D$4002,$K$6),1)),""),"")</f>
        <v/>
      </c>
      <c r="U1581">
        <f>IF(ISNUMBER(T1581),'자료_거시'!$D1563,"")</f>
        <v/>
      </c>
      <c r="V1581">
        <f>IF(ISNUMBER(U1581),IF(U1581&gt;$L$6,T1581,""),"")</f>
        <v/>
      </c>
      <c r="W1581">
        <f>IF(AND(ISNUMBER('자료_거시'!$G1563),ISNUMBER('자료_거시'!$H1563)),'자료_거시'!$H1563,"")</f>
        <v/>
      </c>
      <c r="X1581">
        <f>IF(ISNUMBER(W1581),'자료_거시'!$G1563,"")</f>
        <v/>
      </c>
      <c r="Y1581">
        <f>IF(ISNUMBER(X1581),IF(X1581&gt;$L$7,W1581,""),"")</f>
        <v/>
      </c>
      <c r="Z1581">
        <f>IF(ISNUMBER('자료_거시'!$K1563),'자료_거시'!$K1563,Z1580)</f>
        <v/>
      </c>
      <c r="AA1581">
        <f>IF(AND(ISNUMBER('자료_거시'!$J1563),ISNUMBER('자료_거시'!$K1563)),IFERROR('자료_거시'!$K1563/INDEX($Z$21:$Z$4020,MATCH(EDATE('자료_거시'!$J1563,-'설정'!$B$17),'자료_거시'!$J$3:INDEX('자료_거시'!$J$3:$J$4002,$K$8),1))-1,""),"")</f>
        <v/>
      </c>
      <c r="AB1581">
        <f>IF(ISNUMBER(AA1581),'자료_거시'!$J1563,"")</f>
        <v/>
      </c>
      <c r="AC1581">
        <f>IF(ISNUMBER(AB1581),IF(AB1581&gt;$L$8,AA1581,""),"")</f>
        <v/>
      </c>
    </row>
    <row r="1582">
      <c r="S1582">
        <f>IF(ISNUMBER('자료_거시'!$E1564),'자료_거시'!$E1564,S1581)</f>
        <v/>
      </c>
      <c r="T1582">
        <f>IF(AND(ISNUMBER('자료_거시'!$D1564),ISNUMBER('자료_거시'!$E1564)),IFERROR('자료_거시'!$E1564-INDEX($S$21:$S$4020,MATCH(EDATE('자료_거시'!$D1564,-'설정'!$B$17),'자료_거시'!$D$3:INDEX('자료_거시'!$D$3:$D$4002,$K$6),1)),""),"")</f>
        <v/>
      </c>
      <c r="U1582">
        <f>IF(ISNUMBER(T1582),'자료_거시'!$D1564,"")</f>
        <v/>
      </c>
      <c r="V1582">
        <f>IF(ISNUMBER(U1582),IF(U1582&gt;$L$6,T1582,""),"")</f>
        <v/>
      </c>
      <c r="W1582">
        <f>IF(AND(ISNUMBER('자료_거시'!$G1564),ISNUMBER('자료_거시'!$H1564)),'자료_거시'!$H1564,"")</f>
        <v/>
      </c>
      <c r="X1582">
        <f>IF(ISNUMBER(W1582),'자료_거시'!$G1564,"")</f>
        <v/>
      </c>
      <c r="Y1582">
        <f>IF(ISNUMBER(X1582),IF(X1582&gt;$L$7,W1582,""),"")</f>
        <v/>
      </c>
      <c r="Z1582">
        <f>IF(ISNUMBER('자료_거시'!$K1564),'자료_거시'!$K1564,Z1581)</f>
        <v/>
      </c>
      <c r="AA1582">
        <f>IF(AND(ISNUMBER('자료_거시'!$J1564),ISNUMBER('자료_거시'!$K1564)),IFERROR('자료_거시'!$K1564/INDEX($Z$21:$Z$4020,MATCH(EDATE('자료_거시'!$J1564,-'설정'!$B$17),'자료_거시'!$J$3:INDEX('자료_거시'!$J$3:$J$4002,$K$8),1))-1,""),"")</f>
        <v/>
      </c>
      <c r="AB1582">
        <f>IF(ISNUMBER(AA1582),'자료_거시'!$J1564,"")</f>
        <v/>
      </c>
      <c r="AC1582">
        <f>IF(ISNUMBER(AB1582),IF(AB1582&gt;$L$8,AA1582,""),"")</f>
        <v/>
      </c>
    </row>
    <row r="1583">
      <c r="S1583">
        <f>IF(ISNUMBER('자료_거시'!$E1565),'자료_거시'!$E1565,S1582)</f>
        <v/>
      </c>
      <c r="T1583">
        <f>IF(AND(ISNUMBER('자료_거시'!$D1565),ISNUMBER('자료_거시'!$E1565)),IFERROR('자료_거시'!$E1565-INDEX($S$21:$S$4020,MATCH(EDATE('자료_거시'!$D1565,-'설정'!$B$17),'자료_거시'!$D$3:INDEX('자료_거시'!$D$3:$D$4002,$K$6),1)),""),"")</f>
        <v/>
      </c>
      <c r="U1583">
        <f>IF(ISNUMBER(T1583),'자료_거시'!$D1565,"")</f>
        <v/>
      </c>
      <c r="V1583">
        <f>IF(ISNUMBER(U1583),IF(U1583&gt;$L$6,T1583,""),"")</f>
        <v/>
      </c>
      <c r="W1583">
        <f>IF(AND(ISNUMBER('자료_거시'!$G1565),ISNUMBER('자료_거시'!$H1565)),'자료_거시'!$H1565,"")</f>
        <v/>
      </c>
      <c r="X1583">
        <f>IF(ISNUMBER(W1583),'자료_거시'!$G1565,"")</f>
        <v/>
      </c>
      <c r="Y1583">
        <f>IF(ISNUMBER(X1583),IF(X1583&gt;$L$7,W1583,""),"")</f>
        <v/>
      </c>
      <c r="Z1583">
        <f>IF(ISNUMBER('자료_거시'!$K1565),'자료_거시'!$K1565,Z1582)</f>
        <v/>
      </c>
      <c r="AA1583">
        <f>IF(AND(ISNUMBER('자료_거시'!$J1565),ISNUMBER('자료_거시'!$K1565)),IFERROR('자료_거시'!$K1565/INDEX($Z$21:$Z$4020,MATCH(EDATE('자료_거시'!$J1565,-'설정'!$B$17),'자료_거시'!$J$3:INDEX('자료_거시'!$J$3:$J$4002,$K$8),1))-1,""),"")</f>
        <v/>
      </c>
      <c r="AB1583">
        <f>IF(ISNUMBER(AA1583),'자료_거시'!$J1565,"")</f>
        <v/>
      </c>
      <c r="AC1583">
        <f>IF(ISNUMBER(AB1583),IF(AB1583&gt;$L$8,AA1583,""),"")</f>
        <v/>
      </c>
    </row>
    <row r="1584">
      <c r="S1584">
        <f>IF(ISNUMBER('자료_거시'!$E1566),'자료_거시'!$E1566,S1583)</f>
        <v/>
      </c>
      <c r="T1584">
        <f>IF(AND(ISNUMBER('자료_거시'!$D1566),ISNUMBER('자료_거시'!$E1566)),IFERROR('자료_거시'!$E1566-INDEX($S$21:$S$4020,MATCH(EDATE('자료_거시'!$D1566,-'설정'!$B$17),'자료_거시'!$D$3:INDEX('자료_거시'!$D$3:$D$4002,$K$6),1)),""),"")</f>
        <v/>
      </c>
      <c r="U1584">
        <f>IF(ISNUMBER(T1584),'자료_거시'!$D1566,"")</f>
        <v/>
      </c>
      <c r="V1584">
        <f>IF(ISNUMBER(U1584),IF(U1584&gt;$L$6,T1584,""),"")</f>
        <v/>
      </c>
      <c r="W1584">
        <f>IF(AND(ISNUMBER('자료_거시'!$G1566),ISNUMBER('자료_거시'!$H1566)),'자료_거시'!$H1566,"")</f>
        <v/>
      </c>
      <c r="X1584">
        <f>IF(ISNUMBER(W1584),'자료_거시'!$G1566,"")</f>
        <v/>
      </c>
      <c r="Y1584">
        <f>IF(ISNUMBER(X1584),IF(X1584&gt;$L$7,W1584,""),"")</f>
        <v/>
      </c>
      <c r="Z1584">
        <f>IF(ISNUMBER('자료_거시'!$K1566),'자료_거시'!$K1566,Z1583)</f>
        <v/>
      </c>
      <c r="AA1584">
        <f>IF(AND(ISNUMBER('자료_거시'!$J1566),ISNUMBER('자료_거시'!$K1566)),IFERROR('자료_거시'!$K1566/INDEX($Z$21:$Z$4020,MATCH(EDATE('자료_거시'!$J1566,-'설정'!$B$17),'자료_거시'!$J$3:INDEX('자료_거시'!$J$3:$J$4002,$K$8),1))-1,""),"")</f>
        <v/>
      </c>
      <c r="AB1584">
        <f>IF(ISNUMBER(AA1584),'자료_거시'!$J1566,"")</f>
        <v/>
      </c>
      <c r="AC1584">
        <f>IF(ISNUMBER(AB1584),IF(AB1584&gt;$L$8,AA1584,""),"")</f>
        <v/>
      </c>
    </row>
    <row r="1585">
      <c r="S1585">
        <f>IF(ISNUMBER('자료_거시'!$E1567),'자료_거시'!$E1567,S1584)</f>
        <v/>
      </c>
      <c r="T1585">
        <f>IF(AND(ISNUMBER('자료_거시'!$D1567),ISNUMBER('자료_거시'!$E1567)),IFERROR('자료_거시'!$E1567-INDEX($S$21:$S$4020,MATCH(EDATE('자료_거시'!$D1567,-'설정'!$B$17),'자료_거시'!$D$3:INDEX('자료_거시'!$D$3:$D$4002,$K$6),1)),""),"")</f>
        <v/>
      </c>
      <c r="U1585">
        <f>IF(ISNUMBER(T1585),'자료_거시'!$D1567,"")</f>
        <v/>
      </c>
      <c r="V1585">
        <f>IF(ISNUMBER(U1585),IF(U1585&gt;$L$6,T1585,""),"")</f>
        <v/>
      </c>
      <c r="W1585">
        <f>IF(AND(ISNUMBER('자료_거시'!$G1567),ISNUMBER('자료_거시'!$H1567)),'자료_거시'!$H1567,"")</f>
        <v/>
      </c>
      <c r="X1585">
        <f>IF(ISNUMBER(W1585),'자료_거시'!$G1567,"")</f>
        <v/>
      </c>
      <c r="Y1585">
        <f>IF(ISNUMBER(X1585),IF(X1585&gt;$L$7,W1585,""),"")</f>
        <v/>
      </c>
      <c r="Z1585">
        <f>IF(ISNUMBER('자료_거시'!$K1567),'자료_거시'!$K1567,Z1584)</f>
        <v/>
      </c>
      <c r="AA1585">
        <f>IF(AND(ISNUMBER('자료_거시'!$J1567),ISNUMBER('자료_거시'!$K1567)),IFERROR('자료_거시'!$K1567/INDEX($Z$21:$Z$4020,MATCH(EDATE('자료_거시'!$J1567,-'설정'!$B$17),'자료_거시'!$J$3:INDEX('자료_거시'!$J$3:$J$4002,$K$8),1))-1,""),"")</f>
        <v/>
      </c>
      <c r="AB1585">
        <f>IF(ISNUMBER(AA1585),'자료_거시'!$J1567,"")</f>
        <v/>
      </c>
      <c r="AC1585">
        <f>IF(ISNUMBER(AB1585),IF(AB1585&gt;$L$8,AA1585,""),"")</f>
        <v/>
      </c>
    </row>
    <row r="1586">
      <c r="S1586">
        <f>IF(ISNUMBER('자료_거시'!$E1568),'자료_거시'!$E1568,S1585)</f>
        <v/>
      </c>
      <c r="T1586">
        <f>IF(AND(ISNUMBER('자료_거시'!$D1568),ISNUMBER('자료_거시'!$E1568)),IFERROR('자료_거시'!$E1568-INDEX($S$21:$S$4020,MATCH(EDATE('자료_거시'!$D1568,-'설정'!$B$17),'자료_거시'!$D$3:INDEX('자료_거시'!$D$3:$D$4002,$K$6),1)),""),"")</f>
        <v/>
      </c>
      <c r="U1586">
        <f>IF(ISNUMBER(T1586),'자료_거시'!$D1568,"")</f>
        <v/>
      </c>
      <c r="V1586">
        <f>IF(ISNUMBER(U1586),IF(U1586&gt;$L$6,T1586,""),"")</f>
        <v/>
      </c>
      <c r="W1586">
        <f>IF(AND(ISNUMBER('자료_거시'!$G1568),ISNUMBER('자료_거시'!$H1568)),'자료_거시'!$H1568,"")</f>
        <v/>
      </c>
      <c r="X1586">
        <f>IF(ISNUMBER(W1586),'자료_거시'!$G1568,"")</f>
        <v/>
      </c>
      <c r="Y1586">
        <f>IF(ISNUMBER(X1586),IF(X1586&gt;$L$7,W1586,""),"")</f>
        <v/>
      </c>
      <c r="Z1586">
        <f>IF(ISNUMBER('자료_거시'!$K1568),'자료_거시'!$K1568,Z1585)</f>
        <v/>
      </c>
      <c r="AA1586">
        <f>IF(AND(ISNUMBER('자료_거시'!$J1568),ISNUMBER('자료_거시'!$K1568)),IFERROR('자료_거시'!$K1568/INDEX($Z$21:$Z$4020,MATCH(EDATE('자료_거시'!$J1568,-'설정'!$B$17),'자료_거시'!$J$3:INDEX('자료_거시'!$J$3:$J$4002,$K$8),1))-1,""),"")</f>
        <v/>
      </c>
      <c r="AB1586">
        <f>IF(ISNUMBER(AA1586),'자료_거시'!$J1568,"")</f>
        <v/>
      </c>
      <c r="AC1586">
        <f>IF(ISNUMBER(AB1586),IF(AB1586&gt;$L$8,AA1586,""),"")</f>
        <v/>
      </c>
    </row>
    <row r="1587">
      <c r="S1587">
        <f>IF(ISNUMBER('자료_거시'!$E1569),'자료_거시'!$E1569,S1586)</f>
        <v/>
      </c>
      <c r="T1587">
        <f>IF(AND(ISNUMBER('자료_거시'!$D1569),ISNUMBER('자료_거시'!$E1569)),IFERROR('자료_거시'!$E1569-INDEX($S$21:$S$4020,MATCH(EDATE('자료_거시'!$D1569,-'설정'!$B$17),'자료_거시'!$D$3:INDEX('자료_거시'!$D$3:$D$4002,$K$6),1)),""),"")</f>
        <v/>
      </c>
      <c r="U1587">
        <f>IF(ISNUMBER(T1587),'자료_거시'!$D1569,"")</f>
        <v/>
      </c>
      <c r="V1587">
        <f>IF(ISNUMBER(U1587),IF(U1587&gt;$L$6,T1587,""),"")</f>
        <v/>
      </c>
      <c r="W1587">
        <f>IF(AND(ISNUMBER('자료_거시'!$G1569),ISNUMBER('자료_거시'!$H1569)),'자료_거시'!$H1569,"")</f>
        <v/>
      </c>
      <c r="X1587">
        <f>IF(ISNUMBER(W1587),'자료_거시'!$G1569,"")</f>
        <v/>
      </c>
      <c r="Y1587">
        <f>IF(ISNUMBER(X1587),IF(X1587&gt;$L$7,W1587,""),"")</f>
        <v/>
      </c>
      <c r="Z1587">
        <f>IF(ISNUMBER('자료_거시'!$K1569),'자료_거시'!$K1569,Z1586)</f>
        <v/>
      </c>
      <c r="AA1587">
        <f>IF(AND(ISNUMBER('자료_거시'!$J1569),ISNUMBER('자료_거시'!$K1569)),IFERROR('자료_거시'!$K1569/INDEX($Z$21:$Z$4020,MATCH(EDATE('자료_거시'!$J1569,-'설정'!$B$17),'자료_거시'!$J$3:INDEX('자료_거시'!$J$3:$J$4002,$K$8),1))-1,""),"")</f>
        <v/>
      </c>
      <c r="AB1587">
        <f>IF(ISNUMBER(AA1587),'자료_거시'!$J1569,"")</f>
        <v/>
      </c>
      <c r="AC1587">
        <f>IF(ISNUMBER(AB1587),IF(AB1587&gt;$L$8,AA1587,""),"")</f>
        <v/>
      </c>
    </row>
    <row r="1588">
      <c r="S1588">
        <f>IF(ISNUMBER('자료_거시'!$E1570),'자료_거시'!$E1570,S1587)</f>
        <v/>
      </c>
      <c r="T1588">
        <f>IF(AND(ISNUMBER('자료_거시'!$D1570),ISNUMBER('자료_거시'!$E1570)),IFERROR('자료_거시'!$E1570-INDEX($S$21:$S$4020,MATCH(EDATE('자료_거시'!$D1570,-'설정'!$B$17),'자료_거시'!$D$3:INDEX('자료_거시'!$D$3:$D$4002,$K$6),1)),""),"")</f>
        <v/>
      </c>
      <c r="U1588">
        <f>IF(ISNUMBER(T1588),'자료_거시'!$D1570,"")</f>
        <v/>
      </c>
      <c r="V1588">
        <f>IF(ISNUMBER(U1588),IF(U1588&gt;$L$6,T1588,""),"")</f>
        <v/>
      </c>
      <c r="W1588">
        <f>IF(AND(ISNUMBER('자료_거시'!$G1570),ISNUMBER('자료_거시'!$H1570)),'자료_거시'!$H1570,"")</f>
        <v/>
      </c>
      <c r="X1588">
        <f>IF(ISNUMBER(W1588),'자료_거시'!$G1570,"")</f>
        <v/>
      </c>
      <c r="Y1588">
        <f>IF(ISNUMBER(X1588),IF(X1588&gt;$L$7,W1588,""),"")</f>
        <v/>
      </c>
      <c r="Z1588">
        <f>IF(ISNUMBER('자료_거시'!$K1570),'자료_거시'!$K1570,Z1587)</f>
        <v/>
      </c>
      <c r="AA1588">
        <f>IF(AND(ISNUMBER('자료_거시'!$J1570),ISNUMBER('자료_거시'!$K1570)),IFERROR('자료_거시'!$K1570/INDEX($Z$21:$Z$4020,MATCH(EDATE('자료_거시'!$J1570,-'설정'!$B$17),'자료_거시'!$J$3:INDEX('자료_거시'!$J$3:$J$4002,$K$8),1))-1,""),"")</f>
        <v/>
      </c>
      <c r="AB1588">
        <f>IF(ISNUMBER(AA1588),'자료_거시'!$J1570,"")</f>
        <v/>
      </c>
      <c r="AC1588">
        <f>IF(ISNUMBER(AB1588),IF(AB1588&gt;$L$8,AA1588,""),"")</f>
        <v/>
      </c>
    </row>
    <row r="1589">
      <c r="S1589">
        <f>IF(ISNUMBER('자료_거시'!$E1571),'자료_거시'!$E1571,S1588)</f>
        <v/>
      </c>
      <c r="T1589">
        <f>IF(AND(ISNUMBER('자료_거시'!$D1571),ISNUMBER('자료_거시'!$E1571)),IFERROR('자료_거시'!$E1571-INDEX($S$21:$S$4020,MATCH(EDATE('자료_거시'!$D1571,-'설정'!$B$17),'자료_거시'!$D$3:INDEX('자료_거시'!$D$3:$D$4002,$K$6),1)),""),"")</f>
        <v/>
      </c>
      <c r="U1589">
        <f>IF(ISNUMBER(T1589),'자료_거시'!$D1571,"")</f>
        <v/>
      </c>
      <c r="V1589">
        <f>IF(ISNUMBER(U1589),IF(U1589&gt;$L$6,T1589,""),"")</f>
        <v/>
      </c>
      <c r="W1589">
        <f>IF(AND(ISNUMBER('자료_거시'!$G1571),ISNUMBER('자료_거시'!$H1571)),'자료_거시'!$H1571,"")</f>
        <v/>
      </c>
      <c r="X1589">
        <f>IF(ISNUMBER(W1589),'자료_거시'!$G1571,"")</f>
        <v/>
      </c>
      <c r="Y1589">
        <f>IF(ISNUMBER(X1589),IF(X1589&gt;$L$7,W1589,""),"")</f>
        <v/>
      </c>
      <c r="Z1589">
        <f>IF(ISNUMBER('자료_거시'!$K1571),'자료_거시'!$K1571,Z1588)</f>
        <v/>
      </c>
      <c r="AA1589">
        <f>IF(AND(ISNUMBER('자료_거시'!$J1571),ISNUMBER('자료_거시'!$K1571)),IFERROR('자료_거시'!$K1571/INDEX($Z$21:$Z$4020,MATCH(EDATE('자료_거시'!$J1571,-'설정'!$B$17),'자료_거시'!$J$3:INDEX('자료_거시'!$J$3:$J$4002,$K$8),1))-1,""),"")</f>
        <v/>
      </c>
      <c r="AB1589">
        <f>IF(ISNUMBER(AA1589),'자료_거시'!$J1571,"")</f>
        <v/>
      </c>
      <c r="AC1589">
        <f>IF(ISNUMBER(AB1589),IF(AB1589&gt;$L$8,AA1589,""),"")</f>
        <v/>
      </c>
    </row>
    <row r="1590">
      <c r="S1590">
        <f>IF(ISNUMBER('자료_거시'!$E1572),'자료_거시'!$E1572,S1589)</f>
        <v/>
      </c>
      <c r="T1590">
        <f>IF(AND(ISNUMBER('자료_거시'!$D1572),ISNUMBER('자료_거시'!$E1572)),IFERROR('자료_거시'!$E1572-INDEX($S$21:$S$4020,MATCH(EDATE('자료_거시'!$D1572,-'설정'!$B$17),'자료_거시'!$D$3:INDEX('자료_거시'!$D$3:$D$4002,$K$6),1)),""),"")</f>
        <v/>
      </c>
      <c r="U1590">
        <f>IF(ISNUMBER(T1590),'자료_거시'!$D1572,"")</f>
        <v/>
      </c>
      <c r="V1590">
        <f>IF(ISNUMBER(U1590),IF(U1590&gt;$L$6,T1590,""),"")</f>
        <v/>
      </c>
      <c r="W1590">
        <f>IF(AND(ISNUMBER('자료_거시'!$G1572),ISNUMBER('자료_거시'!$H1572)),'자료_거시'!$H1572,"")</f>
        <v/>
      </c>
      <c r="X1590">
        <f>IF(ISNUMBER(W1590),'자료_거시'!$G1572,"")</f>
        <v/>
      </c>
      <c r="Y1590">
        <f>IF(ISNUMBER(X1590),IF(X1590&gt;$L$7,W1590,""),"")</f>
        <v/>
      </c>
      <c r="Z1590">
        <f>IF(ISNUMBER('자료_거시'!$K1572),'자료_거시'!$K1572,Z1589)</f>
        <v/>
      </c>
      <c r="AA1590">
        <f>IF(AND(ISNUMBER('자료_거시'!$J1572),ISNUMBER('자료_거시'!$K1572)),IFERROR('자료_거시'!$K1572/INDEX($Z$21:$Z$4020,MATCH(EDATE('자료_거시'!$J1572,-'설정'!$B$17),'자료_거시'!$J$3:INDEX('자료_거시'!$J$3:$J$4002,$K$8),1))-1,""),"")</f>
        <v/>
      </c>
      <c r="AB1590">
        <f>IF(ISNUMBER(AA1590),'자료_거시'!$J1572,"")</f>
        <v/>
      </c>
      <c r="AC1590">
        <f>IF(ISNUMBER(AB1590),IF(AB1590&gt;$L$8,AA1590,""),"")</f>
        <v/>
      </c>
    </row>
    <row r="1591">
      <c r="S1591">
        <f>IF(ISNUMBER('자료_거시'!$E1573),'자료_거시'!$E1573,S1590)</f>
        <v/>
      </c>
      <c r="T1591">
        <f>IF(AND(ISNUMBER('자료_거시'!$D1573),ISNUMBER('자료_거시'!$E1573)),IFERROR('자료_거시'!$E1573-INDEX($S$21:$S$4020,MATCH(EDATE('자료_거시'!$D1573,-'설정'!$B$17),'자료_거시'!$D$3:INDEX('자료_거시'!$D$3:$D$4002,$K$6),1)),""),"")</f>
        <v/>
      </c>
      <c r="U1591">
        <f>IF(ISNUMBER(T1591),'자료_거시'!$D1573,"")</f>
        <v/>
      </c>
      <c r="V1591">
        <f>IF(ISNUMBER(U1591),IF(U1591&gt;$L$6,T1591,""),"")</f>
        <v/>
      </c>
      <c r="W1591">
        <f>IF(AND(ISNUMBER('자료_거시'!$G1573),ISNUMBER('자료_거시'!$H1573)),'자료_거시'!$H1573,"")</f>
        <v/>
      </c>
      <c r="X1591">
        <f>IF(ISNUMBER(W1591),'자료_거시'!$G1573,"")</f>
        <v/>
      </c>
      <c r="Y1591">
        <f>IF(ISNUMBER(X1591),IF(X1591&gt;$L$7,W1591,""),"")</f>
        <v/>
      </c>
      <c r="Z1591">
        <f>IF(ISNUMBER('자료_거시'!$K1573),'자료_거시'!$K1573,Z1590)</f>
        <v/>
      </c>
      <c r="AA1591">
        <f>IF(AND(ISNUMBER('자료_거시'!$J1573),ISNUMBER('자료_거시'!$K1573)),IFERROR('자료_거시'!$K1573/INDEX($Z$21:$Z$4020,MATCH(EDATE('자료_거시'!$J1573,-'설정'!$B$17),'자료_거시'!$J$3:INDEX('자료_거시'!$J$3:$J$4002,$K$8),1))-1,""),"")</f>
        <v/>
      </c>
      <c r="AB1591">
        <f>IF(ISNUMBER(AA1591),'자료_거시'!$J1573,"")</f>
        <v/>
      </c>
      <c r="AC1591">
        <f>IF(ISNUMBER(AB1591),IF(AB1591&gt;$L$8,AA1591,""),"")</f>
        <v/>
      </c>
    </row>
    <row r="1592">
      <c r="S1592">
        <f>IF(ISNUMBER('자료_거시'!$E1574),'자료_거시'!$E1574,S1591)</f>
        <v/>
      </c>
      <c r="T1592">
        <f>IF(AND(ISNUMBER('자료_거시'!$D1574),ISNUMBER('자료_거시'!$E1574)),IFERROR('자료_거시'!$E1574-INDEX($S$21:$S$4020,MATCH(EDATE('자료_거시'!$D1574,-'설정'!$B$17),'자료_거시'!$D$3:INDEX('자료_거시'!$D$3:$D$4002,$K$6),1)),""),"")</f>
        <v/>
      </c>
      <c r="U1592">
        <f>IF(ISNUMBER(T1592),'자료_거시'!$D1574,"")</f>
        <v/>
      </c>
      <c r="V1592">
        <f>IF(ISNUMBER(U1592),IF(U1592&gt;$L$6,T1592,""),"")</f>
        <v/>
      </c>
      <c r="W1592">
        <f>IF(AND(ISNUMBER('자료_거시'!$G1574),ISNUMBER('자료_거시'!$H1574)),'자료_거시'!$H1574,"")</f>
        <v/>
      </c>
      <c r="X1592">
        <f>IF(ISNUMBER(W1592),'자료_거시'!$G1574,"")</f>
        <v/>
      </c>
      <c r="Y1592">
        <f>IF(ISNUMBER(X1592),IF(X1592&gt;$L$7,W1592,""),"")</f>
        <v/>
      </c>
      <c r="Z1592">
        <f>IF(ISNUMBER('자료_거시'!$K1574),'자료_거시'!$K1574,Z1591)</f>
        <v/>
      </c>
      <c r="AA1592">
        <f>IF(AND(ISNUMBER('자료_거시'!$J1574),ISNUMBER('자료_거시'!$K1574)),IFERROR('자료_거시'!$K1574/INDEX($Z$21:$Z$4020,MATCH(EDATE('자료_거시'!$J1574,-'설정'!$B$17),'자료_거시'!$J$3:INDEX('자료_거시'!$J$3:$J$4002,$K$8),1))-1,""),"")</f>
        <v/>
      </c>
      <c r="AB1592">
        <f>IF(ISNUMBER(AA1592),'자료_거시'!$J1574,"")</f>
        <v/>
      </c>
      <c r="AC1592">
        <f>IF(ISNUMBER(AB1592),IF(AB1592&gt;$L$8,AA1592,""),"")</f>
        <v/>
      </c>
    </row>
    <row r="1593">
      <c r="S1593">
        <f>IF(ISNUMBER('자료_거시'!$E1575),'자료_거시'!$E1575,S1592)</f>
        <v/>
      </c>
      <c r="T1593">
        <f>IF(AND(ISNUMBER('자료_거시'!$D1575),ISNUMBER('자료_거시'!$E1575)),IFERROR('자료_거시'!$E1575-INDEX($S$21:$S$4020,MATCH(EDATE('자료_거시'!$D1575,-'설정'!$B$17),'자료_거시'!$D$3:INDEX('자료_거시'!$D$3:$D$4002,$K$6),1)),""),"")</f>
        <v/>
      </c>
      <c r="U1593">
        <f>IF(ISNUMBER(T1593),'자료_거시'!$D1575,"")</f>
        <v/>
      </c>
      <c r="V1593">
        <f>IF(ISNUMBER(U1593),IF(U1593&gt;$L$6,T1593,""),"")</f>
        <v/>
      </c>
      <c r="W1593">
        <f>IF(AND(ISNUMBER('자료_거시'!$G1575),ISNUMBER('자료_거시'!$H1575)),'자료_거시'!$H1575,"")</f>
        <v/>
      </c>
      <c r="X1593">
        <f>IF(ISNUMBER(W1593),'자료_거시'!$G1575,"")</f>
        <v/>
      </c>
      <c r="Y1593">
        <f>IF(ISNUMBER(X1593),IF(X1593&gt;$L$7,W1593,""),"")</f>
        <v/>
      </c>
      <c r="Z1593">
        <f>IF(ISNUMBER('자료_거시'!$K1575),'자료_거시'!$K1575,Z1592)</f>
        <v/>
      </c>
      <c r="AA1593">
        <f>IF(AND(ISNUMBER('자료_거시'!$J1575),ISNUMBER('자료_거시'!$K1575)),IFERROR('자료_거시'!$K1575/INDEX($Z$21:$Z$4020,MATCH(EDATE('자료_거시'!$J1575,-'설정'!$B$17),'자료_거시'!$J$3:INDEX('자료_거시'!$J$3:$J$4002,$K$8),1))-1,""),"")</f>
        <v/>
      </c>
      <c r="AB1593">
        <f>IF(ISNUMBER(AA1593),'자료_거시'!$J1575,"")</f>
        <v/>
      </c>
      <c r="AC1593">
        <f>IF(ISNUMBER(AB1593),IF(AB1593&gt;$L$8,AA1593,""),"")</f>
        <v/>
      </c>
    </row>
    <row r="1594">
      <c r="S1594">
        <f>IF(ISNUMBER('자료_거시'!$E1576),'자료_거시'!$E1576,S1593)</f>
        <v/>
      </c>
      <c r="T1594">
        <f>IF(AND(ISNUMBER('자료_거시'!$D1576),ISNUMBER('자료_거시'!$E1576)),IFERROR('자료_거시'!$E1576-INDEX($S$21:$S$4020,MATCH(EDATE('자료_거시'!$D1576,-'설정'!$B$17),'자료_거시'!$D$3:INDEX('자료_거시'!$D$3:$D$4002,$K$6),1)),""),"")</f>
        <v/>
      </c>
      <c r="U1594">
        <f>IF(ISNUMBER(T1594),'자료_거시'!$D1576,"")</f>
        <v/>
      </c>
      <c r="V1594">
        <f>IF(ISNUMBER(U1594),IF(U1594&gt;$L$6,T1594,""),"")</f>
        <v/>
      </c>
      <c r="W1594">
        <f>IF(AND(ISNUMBER('자료_거시'!$G1576),ISNUMBER('자료_거시'!$H1576)),'자료_거시'!$H1576,"")</f>
        <v/>
      </c>
      <c r="X1594">
        <f>IF(ISNUMBER(W1594),'자료_거시'!$G1576,"")</f>
        <v/>
      </c>
      <c r="Y1594">
        <f>IF(ISNUMBER(X1594),IF(X1594&gt;$L$7,W1594,""),"")</f>
        <v/>
      </c>
      <c r="Z1594">
        <f>IF(ISNUMBER('자료_거시'!$K1576),'자료_거시'!$K1576,Z1593)</f>
        <v/>
      </c>
      <c r="AA1594">
        <f>IF(AND(ISNUMBER('자료_거시'!$J1576),ISNUMBER('자료_거시'!$K1576)),IFERROR('자료_거시'!$K1576/INDEX($Z$21:$Z$4020,MATCH(EDATE('자료_거시'!$J1576,-'설정'!$B$17),'자료_거시'!$J$3:INDEX('자료_거시'!$J$3:$J$4002,$K$8),1))-1,""),"")</f>
        <v/>
      </c>
      <c r="AB1594">
        <f>IF(ISNUMBER(AA1594),'자료_거시'!$J1576,"")</f>
        <v/>
      </c>
      <c r="AC1594">
        <f>IF(ISNUMBER(AB1594),IF(AB1594&gt;$L$8,AA1594,""),"")</f>
        <v/>
      </c>
    </row>
    <row r="1595">
      <c r="S1595">
        <f>IF(ISNUMBER('자료_거시'!$E1577),'자료_거시'!$E1577,S1594)</f>
        <v/>
      </c>
      <c r="T1595">
        <f>IF(AND(ISNUMBER('자료_거시'!$D1577),ISNUMBER('자료_거시'!$E1577)),IFERROR('자료_거시'!$E1577-INDEX($S$21:$S$4020,MATCH(EDATE('자료_거시'!$D1577,-'설정'!$B$17),'자료_거시'!$D$3:INDEX('자료_거시'!$D$3:$D$4002,$K$6),1)),""),"")</f>
        <v/>
      </c>
      <c r="U1595">
        <f>IF(ISNUMBER(T1595),'자료_거시'!$D1577,"")</f>
        <v/>
      </c>
      <c r="V1595">
        <f>IF(ISNUMBER(U1595),IF(U1595&gt;$L$6,T1595,""),"")</f>
        <v/>
      </c>
      <c r="W1595">
        <f>IF(AND(ISNUMBER('자료_거시'!$G1577),ISNUMBER('자료_거시'!$H1577)),'자료_거시'!$H1577,"")</f>
        <v/>
      </c>
      <c r="X1595">
        <f>IF(ISNUMBER(W1595),'자료_거시'!$G1577,"")</f>
        <v/>
      </c>
      <c r="Y1595">
        <f>IF(ISNUMBER(X1595),IF(X1595&gt;$L$7,W1595,""),"")</f>
        <v/>
      </c>
      <c r="Z1595">
        <f>IF(ISNUMBER('자료_거시'!$K1577),'자료_거시'!$K1577,Z1594)</f>
        <v/>
      </c>
      <c r="AA1595">
        <f>IF(AND(ISNUMBER('자료_거시'!$J1577),ISNUMBER('자료_거시'!$K1577)),IFERROR('자료_거시'!$K1577/INDEX($Z$21:$Z$4020,MATCH(EDATE('자료_거시'!$J1577,-'설정'!$B$17),'자료_거시'!$J$3:INDEX('자료_거시'!$J$3:$J$4002,$K$8),1))-1,""),"")</f>
        <v/>
      </c>
      <c r="AB1595">
        <f>IF(ISNUMBER(AA1595),'자료_거시'!$J1577,"")</f>
        <v/>
      </c>
      <c r="AC1595">
        <f>IF(ISNUMBER(AB1595),IF(AB1595&gt;$L$8,AA1595,""),"")</f>
        <v/>
      </c>
    </row>
    <row r="1596">
      <c r="S1596">
        <f>IF(ISNUMBER('자료_거시'!$E1578),'자료_거시'!$E1578,S1595)</f>
        <v/>
      </c>
      <c r="T1596">
        <f>IF(AND(ISNUMBER('자료_거시'!$D1578),ISNUMBER('자료_거시'!$E1578)),IFERROR('자료_거시'!$E1578-INDEX($S$21:$S$4020,MATCH(EDATE('자료_거시'!$D1578,-'설정'!$B$17),'자료_거시'!$D$3:INDEX('자료_거시'!$D$3:$D$4002,$K$6),1)),""),"")</f>
        <v/>
      </c>
      <c r="U1596">
        <f>IF(ISNUMBER(T1596),'자료_거시'!$D1578,"")</f>
        <v/>
      </c>
      <c r="V1596">
        <f>IF(ISNUMBER(U1596),IF(U1596&gt;$L$6,T1596,""),"")</f>
        <v/>
      </c>
      <c r="W1596">
        <f>IF(AND(ISNUMBER('자료_거시'!$G1578),ISNUMBER('자료_거시'!$H1578)),'자료_거시'!$H1578,"")</f>
        <v/>
      </c>
      <c r="X1596">
        <f>IF(ISNUMBER(W1596),'자료_거시'!$G1578,"")</f>
        <v/>
      </c>
      <c r="Y1596">
        <f>IF(ISNUMBER(X1596),IF(X1596&gt;$L$7,W1596,""),"")</f>
        <v/>
      </c>
      <c r="Z1596">
        <f>IF(ISNUMBER('자료_거시'!$K1578),'자료_거시'!$K1578,Z1595)</f>
        <v/>
      </c>
      <c r="AA1596">
        <f>IF(AND(ISNUMBER('자료_거시'!$J1578),ISNUMBER('자료_거시'!$K1578)),IFERROR('자료_거시'!$K1578/INDEX($Z$21:$Z$4020,MATCH(EDATE('자료_거시'!$J1578,-'설정'!$B$17),'자료_거시'!$J$3:INDEX('자료_거시'!$J$3:$J$4002,$K$8),1))-1,""),"")</f>
        <v/>
      </c>
      <c r="AB1596">
        <f>IF(ISNUMBER(AA1596),'자료_거시'!$J1578,"")</f>
        <v/>
      </c>
      <c r="AC1596">
        <f>IF(ISNUMBER(AB1596),IF(AB1596&gt;$L$8,AA1596,""),"")</f>
        <v/>
      </c>
    </row>
    <row r="1597">
      <c r="S1597">
        <f>IF(ISNUMBER('자료_거시'!$E1579),'자료_거시'!$E1579,S1596)</f>
        <v/>
      </c>
      <c r="T1597">
        <f>IF(AND(ISNUMBER('자료_거시'!$D1579),ISNUMBER('자료_거시'!$E1579)),IFERROR('자료_거시'!$E1579-INDEX($S$21:$S$4020,MATCH(EDATE('자료_거시'!$D1579,-'설정'!$B$17),'자료_거시'!$D$3:INDEX('자료_거시'!$D$3:$D$4002,$K$6),1)),""),"")</f>
        <v/>
      </c>
      <c r="U1597">
        <f>IF(ISNUMBER(T1597),'자료_거시'!$D1579,"")</f>
        <v/>
      </c>
      <c r="V1597">
        <f>IF(ISNUMBER(U1597),IF(U1597&gt;$L$6,T1597,""),"")</f>
        <v/>
      </c>
      <c r="W1597">
        <f>IF(AND(ISNUMBER('자료_거시'!$G1579),ISNUMBER('자료_거시'!$H1579)),'자료_거시'!$H1579,"")</f>
        <v/>
      </c>
      <c r="X1597">
        <f>IF(ISNUMBER(W1597),'자료_거시'!$G1579,"")</f>
        <v/>
      </c>
      <c r="Y1597">
        <f>IF(ISNUMBER(X1597),IF(X1597&gt;$L$7,W1597,""),"")</f>
        <v/>
      </c>
      <c r="Z1597">
        <f>IF(ISNUMBER('자료_거시'!$K1579),'자료_거시'!$K1579,Z1596)</f>
        <v/>
      </c>
      <c r="AA1597">
        <f>IF(AND(ISNUMBER('자료_거시'!$J1579),ISNUMBER('자료_거시'!$K1579)),IFERROR('자료_거시'!$K1579/INDEX($Z$21:$Z$4020,MATCH(EDATE('자료_거시'!$J1579,-'설정'!$B$17),'자료_거시'!$J$3:INDEX('자료_거시'!$J$3:$J$4002,$K$8),1))-1,""),"")</f>
        <v/>
      </c>
      <c r="AB1597">
        <f>IF(ISNUMBER(AA1597),'자료_거시'!$J1579,"")</f>
        <v/>
      </c>
      <c r="AC1597">
        <f>IF(ISNUMBER(AB1597),IF(AB1597&gt;$L$8,AA1597,""),"")</f>
        <v/>
      </c>
    </row>
    <row r="1598">
      <c r="S1598">
        <f>IF(ISNUMBER('자료_거시'!$E1580),'자료_거시'!$E1580,S1597)</f>
        <v/>
      </c>
      <c r="T1598">
        <f>IF(AND(ISNUMBER('자료_거시'!$D1580),ISNUMBER('자료_거시'!$E1580)),IFERROR('자료_거시'!$E1580-INDEX($S$21:$S$4020,MATCH(EDATE('자료_거시'!$D1580,-'설정'!$B$17),'자료_거시'!$D$3:INDEX('자료_거시'!$D$3:$D$4002,$K$6),1)),""),"")</f>
        <v/>
      </c>
      <c r="U1598">
        <f>IF(ISNUMBER(T1598),'자료_거시'!$D1580,"")</f>
        <v/>
      </c>
      <c r="V1598">
        <f>IF(ISNUMBER(U1598),IF(U1598&gt;$L$6,T1598,""),"")</f>
        <v/>
      </c>
      <c r="W1598">
        <f>IF(AND(ISNUMBER('자료_거시'!$G1580),ISNUMBER('자료_거시'!$H1580)),'자료_거시'!$H1580,"")</f>
        <v/>
      </c>
      <c r="X1598">
        <f>IF(ISNUMBER(W1598),'자료_거시'!$G1580,"")</f>
        <v/>
      </c>
      <c r="Y1598">
        <f>IF(ISNUMBER(X1598),IF(X1598&gt;$L$7,W1598,""),"")</f>
        <v/>
      </c>
      <c r="Z1598">
        <f>IF(ISNUMBER('자료_거시'!$K1580),'자료_거시'!$K1580,Z1597)</f>
        <v/>
      </c>
      <c r="AA1598">
        <f>IF(AND(ISNUMBER('자료_거시'!$J1580),ISNUMBER('자료_거시'!$K1580)),IFERROR('자료_거시'!$K1580/INDEX($Z$21:$Z$4020,MATCH(EDATE('자료_거시'!$J1580,-'설정'!$B$17),'자료_거시'!$J$3:INDEX('자료_거시'!$J$3:$J$4002,$K$8),1))-1,""),"")</f>
        <v/>
      </c>
      <c r="AB1598">
        <f>IF(ISNUMBER(AA1598),'자료_거시'!$J1580,"")</f>
        <v/>
      </c>
      <c r="AC1598">
        <f>IF(ISNUMBER(AB1598),IF(AB1598&gt;$L$8,AA1598,""),"")</f>
        <v/>
      </c>
    </row>
    <row r="1599">
      <c r="S1599">
        <f>IF(ISNUMBER('자료_거시'!$E1581),'자료_거시'!$E1581,S1598)</f>
        <v/>
      </c>
      <c r="T1599">
        <f>IF(AND(ISNUMBER('자료_거시'!$D1581),ISNUMBER('자료_거시'!$E1581)),IFERROR('자료_거시'!$E1581-INDEX($S$21:$S$4020,MATCH(EDATE('자료_거시'!$D1581,-'설정'!$B$17),'자료_거시'!$D$3:INDEX('자료_거시'!$D$3:$D$4002,$K$6),1)),""),"")</f>
        <v/>
      </c>
      <c r="U1599">
        <f>IF(ISNUMBER(T1599),'자료_거시'!$D1581,"")</f>
        <v/>
      </c>
      <c r="V1599">
        <f>IF(ISNUMBER(U1599),IF(U1599&gt;$L$6,T1599,""),"")</f>
        <v/>
      </c>
      <c r="W1599">
        <f>IF(AND(ISNUMBER('자료_거시'!$G1581),ISNUMBER('자료_거시'!$H1581)),'자료_거시'!$H1581,"")</f>
        <v/>
      </c>
      <c r="X1599">
        <f>IF(ISNUMBER(W1599),'자료_거시'!$G1581,"")</f>
        <v/>
      </c>
      <c r="Y1599">
        <f>IF(ISNUMBER(X1599),IF(X1599&gt;$L$7,W1599,""),"")</f>
        <v/>
      </c>
      <c r="Z1599">
        <f>IF(ISNUMBER('자료_거시'!$K1581),'자료_거시'!$K1581,Z1598)</f>
        <v/>
      </c>
      <c r="AA1599">
        <f>IF(AND(ISNUMBER('자료_거시'!$J1581),ISNUMBER('자료_거시'!$K1581)),IFERROR('자료_거시'!$K1581/INDEX($Z$21:$Z$4020,MATCH(EDATE('자료_거시'!$J1581,-'설정'!$B$17),'자료_거시'!$J$3:INDEX('자료_거시'!$J$3:$J$4002,$K$8),1))-1,""),"")</f>
        <v/>
      </c>
      <c r="AB1599">
        <f>IF(ISNUMBER(AA1599),'자료_거시'!$J1581,"")</f>
        <v/>
      </c>
      <c r="AC1599">
        <f>IF(ISNUMBER(AB1599),IF(AB1599&gt;$L$8,AA1599,""),"")</f>
        <v/>
      </c>
    </row>
    <row r="1600">
      <c r="S1600">
        <f>IF(ISNUMBER('자료_거시'!$E1582),'자료_거시'!$E1582,S1599)</f>
        <v/>
      </c>
      <c r="T1600">
        <f>IF(AND(ISNUMBER('자료_거시'!$D1582),ISNUMBER('자료_거시'!$E1582)),IFERROR('자료_거시'!$E1582-INDEX($S$21:$S$4020,MATCH(EDATE('자료_거시'!$D1582,-'설정'!$B$17),'자료_거시'!$D$3:INDEX('자료_거시'!$D$3:$D$4002,$K$6),1)),""),"")</f>
        <v/>
      </c>
      <c r="U1600">
        <f>IF(ISNUMBER(T1600),'자료_거시'!$D1582,"")</f>
        <v/>
      </c>
      <c r="V1600">
        <f>IF(ISNUMBER(U1600),IF(U1600&gt;$L$6,T1600,""),"")</f>
        <v/>
      </c>
      <c r="W1600">
        <f>IF(AND(ISNUMBER('자료_거시'!$G1582),ISNUMBER('자료_거시'!$H1582)),'자료_거시'!$H1582,"")</f>
        <v/>
      </c>
      <c r="X1600">
        <f>IF(ISNUMBER(W1600),'자료_거시'!$G1582,"")</f>
        <v/>
      </c>
      <c r="Y1600">
        <f>IF(ISNUMBER(X1600),IF(X1600&gt;$L$7,W1600,""),"")</f>
        <v/>
      </c>
      <c r="Z1600">
        <f>IF(ISNUMBER('자료_거시'!$K1582),'자료_거시'!$K1582,Z1599)</f>
        <v/>
      </c>
      <c r="AA1600">
        <f>IF(AND(ISNUMBER('자료_거시'!$J1582),ISNUMBER('자료_거시'!$K1582)),IFERROR('자료_거시'!$K1582/INDEX($Z$21:$Z$4020,MATCH(EDATE('자료_거시'!$J1582,-'설정'!$B$17),'자료_거시'!$J$3:INDEX('자료_거시'!$J$3:$J$4002,$K$8),1))-1,""),"")</f>
        <v/>
      </c>
      <c r="AB1600">
        <f>IF(ISNUMBER(AA1600),'자료_거시'!$J1582,"")</f>
        <v/>
      </c>
      <c r="AC1600">
        <f>IF(ISNUMBER(AB1600),IF(AB1600&gt;$L$8,AA1600,""),"")</f>
        <v/>
      </c>
    </row>
    <row r="1601">
      <c r="S1601">
        <f>IF(ISNUMBER('자료_거시'!$E1583),'자료_거시'!$E1583,S1600)</f>
        <v/>
      </c>
      <c r="T1601">
        <f>IF(AND(ISNUMBER('자료_거시'!$D1583),ISNUMBER('자료_거시'!$E1583)),IFERROR('자료_거시'!$E1583-INDEX($S$21:$S$4020,MATCH(EDATE('자료_거시'!$D1583,-'설정'!$B$17),'자료_거시'!$D$3:INDEX('자료_거시'!$D$3:$D$4002,$K$6),1)),""),"")</f>
        <v/>
      </c>
      <c r="U1601">
        <f>IF(ISNUMBER(T1601),'자료_거시'!$D1583,"")</f>
        <v/>
      </c>
      <c r="V1601">
        <f>IF(ISNUMBER(U1601),IF(U1601&gt;$L$6,T1601,""),"")</f>
        <v/>
      </c>
      <c r="W1601">
        <f>IF(AND(ISNUMBER('자료_거시'!$G1583),ISNUMBER('자료_거시'!$H1583)),'자료_거시'!$H1583,"")</f>
        <v/>
      </c>
      <c r="X1601">
        <f>IF(ISNUMBER(W1601),'자료_거시'!$G1583,"")</f>
        <v/>
      </c>
      <c r="Y1601">
        <f>IF(ISNUMBER(X1601),IF(X1601&gt;$L$7,W1601,""),"")</f>
        <v/>
      </c>
      <c r="Z1601">
        <f>IF(ISNUMBER('자료_거시'!$K1583),'자료_거시'!$K1583,Z1600)</f>
        <v/>
      </c>
      <c r="AA1601">
        <f>IF(AND(ISNUMBER('자료_거시'!$J1583),ISNUMBER('자료_거시'!$K1583)),IFERROR('자료_거시'!$K1583/INDEX($Z$21:$Z$4020,MATCH(EDATE('자료_거시'!$J1583,-'설정'!$B$17),'자료_거시'!$J$3:INDEX('자료_거시'!$J$3:$J$4002,$K$8),1))-1,""),"")</f>
        <v/>
      </c>
      <c r="AB1601">
        <f>IF(ISNUMBER(AA1601),'자료_거시'!$J1583,"")</f>
        <v/>
      </c>
      <c r="AC1601">
        <f>IF(ISNUMBER(AB1601),IF(AB1601&gt;$L$8,AA1601,""),"")</f>
        <v/>
      </c>
    </row>
    <row r="1602">
      <c r="S1602">
        <f>IF(ISNUMBER('자료_거시'!$E1584),'자료_거시'!$E1584,S1601)</f>
        <v/>
      </c>
      <c r="T1602">
        <f>IF(AND(ISNUMBER('자료_거시'!$D1584),ISNUMBER('자료_거시'!$E1584)),IFERROR('자료_거시'!$E1584-INDEX($S$21:$S$4020,MATCH(EDATE('자료_거시'!$D1584,-'설정'!$B$17),'자료_거시'!$D$3:INDEX('자료_거시'!$D$3:$D$4002,$K$6),1)),""),"")</f>
        <v/>
      </c>
      <c r="U1602">
        <f>IF(ISNUMBER(T1602),'자료_거시'!$D1584,"")</f>
        <v/>
      </c>
      <c r="V1602">
        <f>IF(ISNUMBER(U1602),IF(U1602&gt;$L$6,T1602,""),"")</f>
        <v/>
      </c>
      <c r="W1602">
        <f>IF(AND(ISNUMBER('자료_거시'!$G1584),ISNUMBER('자료_거시'!$H1584)),'자료_거시'!$H1584,"")</f>
        <v/>
      </c>
      <c r="X1602">
        <f>IF(ISNUMBER(W1602),'자료_거시'!$G1584,"")</f>
        <v/>
      </c>
      <c r="Y1602">
        <f>IF(ISNUMBER(X1602),IF(X1602&gt;$L$7,W1602,""),"")</f>
        <v/>
      </c>
      <c r="Z1602">
        <f>IF(ISNUMBER('자료_거시'!$K1584),'자료_거시'!$K1584,Z1601)</f>
        <v/>
      </c>
      <c r="AA1602">
        <f>IF(AND(ISNUMBER('자료_거시'!$J1584),ISNUMBER('자료_거시'!$K1584)),IFERROR('자료_거시'!$K1584/INDEX($Z$21:$Z$4020,MATCH(EDATE('자료_거시'!$J1584,-'설정'!$B$17),'자료_거시'!$J$3:INDEX('자료_거시'!$J$3:$J$4002,$K$8),1))-1,""),"")</f>
        <v/>
      </c>
      <c r="AB1602">
        <f>IF(ISNUMBER(AA1602),'자료_거시'!$J1584,"")</f>
        <v/>
      </c>
      <c r="AC1602">
        <f>IF(ISNUMBER(AB1602),IF(AB1602&gt;$L$8,AA1602,""),"")</f>
        <v/>
      </c>
    </row>
    <row r="1603">
      <c r="S1603">
        <f>IF(ISNUMBER('자료_거시'!$E1585),'자료_거시'!$E1585,S1602)</f>
        <v/>
      </c>
      <c r="T1603">
        <f>IF(AND(ISNUMBER('자료_거시'!$D1585),ISNUMBER('자료_거시'!$E1585)),IFERROR('자료_거시'!$E1585-INDEX($S$21:$S$4020,MATCH(EDATE('자료_거시'!$D1585,-'설정'!$B$17),'자료_거시'!$D$3:INDEX('자료_거시'!$D$3:$D$4002,$K$6),1)),""),"")</f>
        <v/>
      </c>
      <c r="U1603">
        <f>IF(ISNUMBER(T1603),'자료_거시'!$D1585,"")</f>
        <v/>
      </c>
      <c r="V1603">
        <f>IF(ISNUMBER(U1603),IF(U1603&gt;$L$6,T1603,""),"")</f>
        <v/>
      </c>
      <c r="W1603">
        <f>IF(AND(ISNUMBER('자료_거시'!$G1585),ISNUMBER('자료_거시'!$H1585)),'자료_거시'!$H1585,"")</f>
        <v/>
      </c>
      <c r="X1603">
        <f>IF(ISNUMBER(W1603),'자료_거시'!$G1585,"")</f>
        <v/>
      </c>
      <c r="Y1603">
        <f>IF(ISNUMBER(X1603),IF(X1603&gt;$L$7,W1603,""),"")</f>
        <v/>
      </c>
      <c r="Z1603">
        <f>IF(ISNUMBER('자료_거시'!$K1585),'자료_거시'!$K1585,Z1602)</f>
        <v/>
      </c>
      <c r="AA1603">
        <f>IF(AND(ISNUMBER('자료_거시'!$J1585),ISNUMBER('자료_거시'!$K1585)),IFERROR('자료_거시'!$K1585/INDEX($Z$21:$Z$4020,MATCH(EDATE('자료_거시'!$J1585,-'설정'!$B$17),'자료_거시'!$J$3:INDEX('자료_거시'!$J$3:$J$4002,$K$8),1))-1,""),"")</f>
        <v/>
      </c>
      <c r="AB1603">
        <f>IF(ISNUMBER(AA1603),'자료_거시'!$J1585,"")</f>
        <v/>
      </c>
      <c r="AC1603">
        <f>IF(ISNUMBER(AB1603),IF(AB1603&gt;$L$8,AA1603,""),"")</f>
        <v/>
      </c>
    </row>
    <row r="1604">
      <c r="S1604">
        <f>IF(ISNUMBER('자료_거시'!$E1586),'자료_거시'!$E1586,S1603)</f>
        <v/>
      </c>
      <c r="T1604">
        <f>IF(AND(ISNUMBER('자료_거시'!$D1586),ISNUMBER('자료_거시'!$E1586)),IFERROR('자료_거시'!$E1586-INDEX($S$21:$S$4020,MATCH(EDATE('자료_거시'!$D1586,-'설정'!$B$17),'자료_거시'!$D$3:INDEX('자료_거시'!$D$3:$D$4002,$K$6),1)),""),"")</f>
        <v/>
      </c>
      <c r="U1604">
        <f>IF(ISNUMBER(T1604),'자료_거시'!$D1586,"")</f>
        <v/>
      </c>
      <c r="V1604">
        <f>IF(ISNUMBER(U1604),IF(U1604&gt;$L$6,T1604,""),"")</f>
        <v/>
      </c>
      <c r="W1604">
        <f>IF(AND(ISNUMBER('자료_거시'!$G1586),ISNUMBER('자료_거시'!$H1586)),'자료_거시'!$H1586,"")</f>
        <v/>
      </c>
      <c r="X1604">
        <f>IF(ISNUMBER(W1604),'자료_거시'!$G1586,"")</f>
        <v/>
      </c>
      <c r="Y1604">
        <f>IF(ISNUMBER(X1604),IF(X1604&gt;$L$7,W1604,""),"")</f>
        <v/>
      </c>
      <c r="Z1604">
        <f>IF(ISNUMBER('자료_거시'!$K1586),'자료_거시'!$K1586,Z1603)</f>
        <v/>
      </c>
      <c r="AA1604">
        <f>IF(AND(ISNUMBER('자료_거시'!$J1586),ISNUMBER('자료_거시'!$K1586)),IFERROR('자료_거시'!$K1586/INDEX($Z$21:$Z$4020,MATCH(EDATE('자료_거시'!$J1586,-'설정'!$B$17),'자료_거시'!$J$3:INDEX('자료_거시'!$J$3:$J$4002,$K$8),1))-1,""),"")</f>
        <v/>
      </c>
      <c r="AB1604">
        <f>IF(ISNUMBER(AA1604),'자료_거시'!$J1586,"")</f>
        <v/>
      </c>
      <c r="AC1604">
        <f>IF(ISNUMBER(AB1604),IF(AB1604&gt;$L$8,AA1604,""),"")</f>
        <v/>
      </c>
    </row>
    <row r="1605">
      <c r="S1605">
        <f>IF(ISNUMBER('자료_거시'!$E1587),'자료_거시'!$E1587,S1604)</f>
        <v/>
      </c>
      <c r="T1605">
        <f>IF(AND(ISNUMBER('자료_거시'!$D1587),ISNUMBER('자료_거시'!$E1587)),IFERROR('자료_거시'!$E1587-INDEX($S$21:$S$4020,MATCH(EDATE('자료_거시'!$D1587,-'설정'!$B$17),'자료_거시'!$D$3:INDEX('자료_거시'!$D$3:$D$4002,$K$6),1)),""),"")</f>
        <v/>
      </c>
      <c r="U1605">
        <f>IF(ISNUMBER(T1605),'자료_거시'!$D1587,"")</f>
        <v/>
      </c>
      <c r="V1605">
        <f>IF(ISNUMBER(U1605),IF(U1605&gt;$L$6,T1605,""),"")</f>
        <v/>
      </c>
      <c r="W1605">
        <f>IF(AND(ISNUMBER('자료_거시'!$G1587),ISNUMBER('자료_거시'!$H1587)),'자료_거시'!$H1587,"")</f>
        <v/>
      </c>
      <c r="X1605">
        <f>IF(ISNUMBER(W1605),'자료_거시'!$G1587,"")</f>
        <v/>
      </c>
      <c r="Y1605">
        <f>IF(ISNUMBER(X1605),IF(X1605&gt;$L$7,W1605,""),"")</f>
        <v/>
      </c>
      <c r="Z1605">
        <f>IF(ISNUMBER('자료_거시'!$K1587),'자료_거시'!$K1587,Z1604)</f>
        <v/>
      </c>
      <c r="AA1605">
        <f>IF(AND(ISNUMBER('자료_거시'!$J1587),ISNUMBER('자료_거시'!$K1587)),IFERROR('자료_거시'!$K1587/INDEX($Z$21:$Z$4020,MATCH(EDATE('자료_거시'!$J1587,-'설정'!$B$17),'자료_거시'!$J$3:INDEX('자료_거시'!$J$3:$J$4002,$K$8),1))-1,""),"")</f>
        <v/>
      </c>
      <c r="AB1605">
        <f>IF(ISNUMBER(AA1605),'자료_거시'!$J1587,"")</f>
        <v/>
      </c>
      <c r="AC1605">
        <f>IF(ISNUMBER(AB1605),IF(AB1605&gt;$L$8,AA1605,""),"")</f>
        <v/>
      </c>
    </row>
    <row r="1606">
      <c r="S1606">
        <f>IF(ISNUMBER('자료_거시'!$E1588),'자료_거시'!$E1588,S1605)</f>
        <v/>
      </c>
      <c r="T1606">
        <f>IF(AND(ISNUMBER('자료_거시'!$D1588),ISNUMBER('자료_거시'!$E1588)),IFERROR('자료_거시'!$E1588-INDEX($S$21:$S$4020,MATCH(EDATE('자료_거시'!$D1588,-'설정'!$B$17),'자료_거시'!$D$3:INDEX('자료_거시'!$D$3:$D$4002,$K$6),1)),""),"")</f>
        <v/>
      </c>
      <c r="U1606">
        <f>IF(ISNUMBER(T1606),'자료_거시'!$D1588,"")</f>
        <v/>
      </c>
      <c r="V1606">
        <f>IF(ISNUMBER(U1606),IF(U1606&gt;$L$6,T1606,""),"")</f>
        <v/>
      </c>
      <c r="W1606">
        <f>IF(AND(ISNUMBER('자료_거시'!$G1588),ISNUMBER('자료_거시'!$H1588)),'자료_거시'!$H1588,"")</f>
        <v/>
      </c>
      <c r="X1606">
        <f>IF(ISNUMBER(W1606),'자료_거시'!$G1588,"")</f>
        <v/>
      </c>
      <c r="Y1606">
        <f>IF(ISNUMBER(X1606),IF(X1606&gt;$L$7,W1606,""),"")</f>
        <v/>
      </c>
      <c r="Z1606">
        <f>IF(ISNUMBER('자료_거시'!$K1588),'자료_거시'!$K1588,Z1605)</f>
        <v/>
      </c>
      <c r="AA1606">
        <f>IF(AND(ISNUMBER('자료_거시'!$J1588),ISNUMBER('자료_거시'!$K1588)),IFERROR('자료_거시'!$K1588/INDEX($Z$21:$Z$4020,MATCH(EDATE('자료_거시'!$J1588,-'설정'!$B$17),'자료_거시'!$J$3:INDEX('자료_거시'!$J$3:$J$4002,$K$8),1))-1,""),"")</f>
        <v/>
      </c>
      <c r="AB1606">
        <f>IF(ISNUMBER(AA1606),'자료_거시'!$J1588,"")</f>
        <v/>
      </c>
      <c r="AC1606">
        <f>IF(ISNUMBER(AB1606),IF(AB1606&gt;$L$8,AA1606,""),"")</f>
        <v/>
      </c>
    </row>
    <row r="1607">
      <c r="S1607">
        <f>IF(ISNUMBER('자료_거시'!$E1589),'자료_거시'!$E1589,S1606)</f>
        <v/>
      </c>
      <c r="T1607">
        <f>IF(AND(ISNUMBER('자료_거시'!$D1589),ISNUMBER('자료_거시'!$E1589)),IFERROR('자료_거시'!$E1589-INDEX($S$21:$S$4020,MATCH(EDATE('자료_거시'!$D1589,-'설정'!$B$17),'자료_거시'!$D$3:INDEX('자료_거시'!$D$3:$D$4002,$K$6),1)),""),"")</f>
        <v/>
      </c>
      <c r="U1607">
        <f>IF(ISNUMBER(T1607),'자료_거시'!$D1589,"")</f>
        <v/>
      </c>
      <c r="V1607">
        <f>IF(ISNUMBER(U1607),IF(U1607&gt;$L$6,T1607,""),"")</f>
        <v/>
      </c>
      <c r="W1607">
        <f>IF(AND(ISNUMBER('자료_거시'!$G1589),ISNUMBER('자료_거시'!$H1589)),'자료_거시'!$H1589,"")</f>
        <v/>
      </c>
      <c r="X1607">
        <f>IF(ISNUMBER(W1607),'자료_거시'!$G1589,"")</f>
        <v/>
      </c>
      <c r="Y1607">
        <f>IF(ISNUMBER(X1607),IF(X1607&gt;$L$7,W1607,""),"")</f>
        <v/>
      </c>
      <c r="Z1607">
        <f>IF(ISNUMBER('자료_거시'!$K1589),'자료_거시'!$K1589,Z1606)</f>
        <v/>
      </c>
      <c r="AA1607">
        <f>IF(AND(ISNUMBER('자료_거시'!$J1589),ISNUMBER('자료_거시'!$K1589)),IFERROR('자료_거시'!$K1589/INDEX($Z$21:$Z$4020,MATCH(EDATE('자료_거시'!$J1589,-'설정'!$B$17),'자료_거시'!$J$3:INDEX('자료_거시'!$J$3:$J$4002,$K$8),1))-1,""),"")</f>
        <v/>
      </c>
      <c r="AB1607">
        <f>IF(ISNUMBER(AA1607),'자료_거시'!$J1589,"")</f>
        <v/>
      </c>
      <c r="AC1607">
        <f>IF(ISNUMBER(AB1607),IF(AB1607&gt;$L$8,AA1607,""),"")</f>
        <v/>
      </c>
    </row>
    <row r="1608">
      <c r="S1608">
        <f>IF(ISNUMBER('자료_거시'!$E1590),'자료_거시'!$E1590,S1607)</f>
        <v/>
      </c>
      <c r="T1608">
        <f>IF(AND(ISNUMBER('자료_거시'!$D1590),ISNUMBER('자료_거시'!$E1590)),IFERROR('자료_거시'!$E1590-INDEX($S$21:$S$4020,MATCH(EDATE('자료_거시'!$D1590,-'설정'!$B$17),'자료_거시'!$D$3:INDEX('자료_거시'!$D$3:$D$4002,$K$6),1)),""),"")</f>
        <v/>
      </c>
      <c r="U1608">
        <f>IF(ISNUMBER(T1608),'자료_거시'!$D1590,"")</f>
        <v/>
      </c>
      <c r="V1608">
        <f>IF(ISNUMBER(U1608),IF(U1608&gt;$L$6,T1608,""),"")</f>
        <v/>
      </c>
      <c r="W1608">
        <f>IF(AND(ISNUMBER('자료_거시'!$G1590),ISNUMBER('자료_거시'!$H1590)),'자료_거시'!$H1590,"")</f>
        <v/>
      </c>
      <c r="X1608">
        <f>IF(ISNUMBER(W1608),'자료_거시'!$G1590,"")</f>
        <v/>
      </c>
      <c r="Y1608">
        <f>IF(ISNUMBER(X1608),IF(X1608&gt;$L$7,W1608,""),"")</f>
        <v/>
      </c>
      <c r="Z1608">
        <f>IF(ISNUMBER('자료_거시'!$K1590),'자료_거시'!$K1590,Z1607)</f>
        <v/>
      </c>
      <c r="AA1608">
        <f>IF(AND(ISNUMBER('자료_거시'!$J1590),ISNUMBER('자료_거시'!$K1590)),IFERROR('자료_거시'!$K1590/INDEX($Z$21:$Z$4020,MATCH(EDATE('자료_거시'!$J1590,-'설정'!$B$17),'자료_거시'!$J$3:INDEX('자료_거시'!$J$3:$J$4002,$K$8),1))-1,""),"")</f>
        <v/>
      </c>
      <c r="AB1608">
        <f>IF(ISNUMBER(AA1608),'자료_거시'!$J1590,"")</f>
        <v/>
      </c>
      <c r="AC1608">
        <f>IF(ISNUMBER(AB1608),IF(AB1608&gt;$L$8,AA1608,""),"")</f>
        <v/>
      </c>
    </row>
    <row r="1609">
      <c r="S1609">
        <f>IF(ISNUMBER('자료_거시'!$E1591),'자료_거시'!$E1591,S1608)</f>
        <v/>
      </c>
      <c r="T1609">
        <f>IF(AND(ISNUMBER('자료_거시'!$D1591),ISNUMBER('자료_거시'!$E1591)),IFERROR('자료_거시'!$E1591-INDEX($S$21:$S$4020,MATCH(EDATE('자료_거시'!$D1591,-'설정'!$B$17),'자료_거시'!$D$3:INDEX('자료_거시'!$D$3:$D$4002,$K$6),1)),""),"")</f>
        <v/>
      </c>
      <c r="U1609">
        <f>IF(ISNUMBER(T1609),'자료_거시'!$D1591,"")</f>
        <v/>
      </c>
      <c r="V1609">
        <f>IF(ISNUMBER(U1609),IF(U1609&gt;$L$6,T1609,""),"")</f>
        <v/>
      </c>
      <c r="W1609">
        <f>IF(AND(ISNUMBER('자료_거시'!$G1591),ISNUMBER('자료_거시'!$H1591)),'자료_거시'!$H1591,"")</f>
        <v/>
      </c>
      <c r="X1609">
        <f>IF(ISNUMBER(W1609),'자료_거시'!$G1591,"")</f>
        <v/>
      </c>
      <c r="Y1609">
        <f>IF(ISNUMBER(X1609),IF(X1609&gt;$L$7,W1609,""),"")</f>
        <v/>
      </c>
      <c r="Z1609">
        <f>IF(ISNUMBER('자료_거시'!$K1591),'자료_거시'!$K1591,Z1608)</f>
        <v/>
      </c>
      <c r="AA1609">
        <f>IF(AND(ISNUMBER('자료_거시'!$J1591),ISNUMBER('자료_거시'!$K1591)),IFERROR('자료_거시'!$K1591/INDEX($Z$21:$Z$4020,MATCH(EDATE('자료_거시'!$J1591,-'설정'!$B$17),'자료_거시'!$J$3:INDEX('자료_거시'!$J$3:$J$4002,$K$8),1))-1,""),"")</f>
        <v/>
      </c>
      <c r="AB1609">
        <f>IF(ISNUMBER(AA1609),'자료_거시'!$J1591,"")</f>
        <v/>
      </c>
      <c r="AC1609">
        <f>IF(ISNUMBER(AB1609),IF(AB1609&gt;$L$8,AA1609,""),"")</f>
        <v/>
      </c>
    </row>
    <row r="1610">
      <c r="S1610">
        <f>IF(ISNUMBER('자료_거시'!$E1592),'자료_거시'!$E1592,S1609)</f>
        <v/>
      </c>
      <c r="T1610">
        <f>IF(AND(ISNUMBER('자료_거시'!$D1592),ISNUMBER('자료_거시'!$E1592)),IFERROR('자료_거시'!$E1592-INDEX($S$21:$S$4020,MATCH(EDATE('자료_거시'!$D1592,-'설정'!$B$17),'자료_거시'!$D$3:INDEX('자료_거시'!$D$3:$D$4002,$K$6),1)),""),"")</f>
        <v/>
      </c>
      <c r="U1610">
        <f>IF(ISNUMBER(T1610),'자료_거시'!$D1592,"")</f>
        <v/>
      </c>
      <c r="V1610">
        <f>IF(ISNUMBER(U1610),IF(U1610&gt;$L$6,T1610,""),"")</f>
        <v/>
      </c>
      <c r="W1610">
        <f>IF(AND(ISNUMBER('자료_거시'!$G1592),ISNUMBER('자료_거시'!$H1592)),'자료_거시'!$H1592,"")</f>
        <v/>
      </c>
      <c r="X1610">
        <f>IF(ISNUMBER(W1610),'자료_거시'!$G1592,"")</f>
        <v/>
      </c>
      <c r="Y1610">
        <f>IF(ISNUMBER(X1610),IF(X1610&gt;$L$7,W1610,""),"")</f>
        <v/>
      </c>
      <c r="Z1610">
        <f>IF(ISNUMBER('자료_거시'!$K1592),'자료_거시'!$K1592,Z1609)</f>
        <v/>
      </c>
      <c r="AA1610">
        <f>IF(AND(ISNUMBER('자료_거시'!$J1592),ISNUMBER('자료_거시'!$K1592)),IFERROR('자료_거시'!$K1592/INDEX($Z$21:$Z$4020,MATCH(EDATE('자료_거시'!$J1592,-'설정'!$B$17),'자료_거시'!$J$3:INDEX('자료_거시'!$J$3:$J$4002,$K$8),1))-1,""),"")</f>
        <v/>
      </c>
      <c r="AB1610">
        <f>IF(ISNUMBER(AA1610),'자료_거시'!$J1592,"")</f>
        <v/>
      </c>
      <c r="AC1610">
        <f>IF(ISNUMBER(AB1610),IF(AB1610&gt;$L$8,AA1610,""),"")</f>
        <v/>
      </c>
    </row>
    <row r="1611">
      <c r="S1611">
        <f>IF(ISNUMBER('자료_거시'!$E1593),'자료_거시'!$E1593,S1610)</f>
        <v/>
      </c>
      <c r="T1611">
        <f>IF(AND(ISNUMBER('자료_거시'!$D1593),ISNUMBER('자료_거시'!$E1593)),IFERROR('자료_거시'!$E1593-INDEX($S$21:$S$4020,MATCH(EDATE('자료_거시'!$D1593,-'설정'!$B$17),'자료_거시'!$D$3:INDEX('자료_거시'!$D$3:$D$4002,$K$6),1)),""),"")</f>
        <v/>
      </c>
      <c r="U1611">
        <f>IF(ISNUMBER(T1611),'자료_거시'!$D1593,"")</f>
        <v/>
      </c>
      <c r="V1611">
        <f>IF(ISNUMBER(U1611),IF(U1611&gt;$L$6,T1611,""),"")</f>
        <v/>
      </c>
      <c r="W1611">
        <f>IF(AND(ISNUMBER('자료_거시'!$G1593),ISNUMBER('자료_거시'!$H1593)),'자료_거시'!$H1593,"")</f>
        <v/>
      </c>
      <c r="X1611">
        <f>IF(ISNUMBER(W1611),'자료_거시'!$G1593,"")</f>
        <v/>
      </c>
      <c r="Y1611">
        <f>IF(ISNUMBER(X1611),IF(X1611&gt;$L$7,W1611,""),"")</f>
        <v/>
      </c>
      <c r="Z1611">
        <f>IF(ISNUMBER('자료_거시'!$K1593),'자료_거시'!$K1593,Z1610)</f>
        <v/>
      </c>
      <c r="AA1611">
        <f>IF(AND(ISNUMBER('자료_거시'!$J1593),ISNUMBER('자료_거시'!$K1593)),IFERROR('자료_거시'!$K1593/INDEX($Z$21:$Z$4020,MATCH(EDATE('자료_거시'!$J1593,-'설정'!$B$17),'자료_거시'!$J$3:INDEX('자료_거시'!$J$3:$J$4002,$K$8),1))-1,""),"")</f>
        <v/>
      </c>
      <c r="AB1611">
        <f>IF(ISNUMBER(AA1611),'자료_거시'!$J1593,"")</f>
        <v/>
      </c>
      <c r="AC1611">
        <f>IF(ISNUMBER(AB1611),IF(AB1611&gt;$L$8,AA1611,""),"")</f>
        <v/>
      </c>
    </row>
    <row r="1612">
      <c r="S1612">
        <f>IF(ISNUMBER('자료_거시'!$E1594),'자료_거시'!$E1594,S1611)</f>
        <v/>
      </c>
      <c r="T1612">
        <f>IF(AND(ISNUMBER('자료_거시'!$D1594),ISNUMBER('자료_거시'!$E1594)),IFERROR('자료_거시'!$E1594-INDEX($S$21:$S$4020,MATCH(EDATE('자료_거시'!$D1594,-'설정'!$B$17),'자료_거시'!$D$3:INDEX('자료_거시'!$D$3:$D$4002,$K$6),1)),""),"")</f>
        <v/>
      </c>
      <c r="U1612">
        <f>IF(ISNUMBER(T1612),'자료_거시'!$D1594,"")</f>
        <v/>
      </c>
      <c r="V1612">
        <f>IF(ISNUMBER(U1612),IF(U1612&gt;$L$6,T1612,""),"")</f>
        <v/>
      </c>
      <c r="W1612">
        <f>IF(AND(ISNUMBER('자료_거시'!$G1594),ISNUMBER('자료_거시'!$H1594)),'자료_거시'!$H1594,"")</f>
        <v/>
      </c>
      <c r="X1612">
        <f>IF(ISNUMBER(W1612),'자료_거시'!$G1594,"")</f>
        <v/>
      </c>
      <c r="Y1612">
        <f>IF(ISNUMBER(X1612),IF(X1612&gt;$L$7,W1612,""),"")</f>
        <v/>
      </c>
      <c r="Z1612">
        <f>IF(ISNUMBER('자료_거시'!$K1594),'자료_거시'!$K1594,Z1611)</f>
        <v/>
      </c>
      <c r="AA1612">
        <f>IF(AND(ISNUMBER('자료_거시'!$J1594),ISNUMBER('자료_거시'!$K1594)),IFERROR('자료_거시'!$K1594/INDEX($Z$21:$Z$4020,MATCH(EDATE('자료_거시'!$J1594,-'설정'!$B$17),'자료_거시'!$J$3:INDEX('자료_거시'!$J$3:$J$4002,$K$8),1))-1,""),"")</f>
        <v/>
      </c>
      <c r="AB1612">
        <f>IF(ISNUMBER(AA1612),'자료_거시'!$J1594,"")</f>
        <v/>
      </c>
      <c r="AC1612">
        <f>IF(ISNUMBER(AB1612),IF(AB1612&gt;$L$8,AA1612,""),"")</f>
        <v/>
      </c>
    </row>
    <row r="1613">
      <c r="S1613">
        <f>IF(ISNUMBER('자료_거시'!$E1595),'자료_거시'!$E1595,S1612)</f>
        <v/>
      </c>
      <c r="T1613">
        <f>IF(AND(ISNUMBER('자료_거시'!$D1595),ISNUMBER('자료_거시'!$E1595)),IFERROR('자료_거시'!$E1595-INDEX($S$21:$S$4020,MATCH(EDATE('자료_거시'!$D1595,-'설정'!$B$17),'자료_거시'!$D$3:INDEX('자료_거시'!$D$3:$D$4002,$K$6),1)),""),"")</f>
        <v/>
      </c>
      <c r="U1613">
        <f>IF(ISNUMBER(T1613),'자료_거시'!$D1595,"")</f>
        <v/>
      </c>
      <c r="V1613">
        <f>IF(ISNUMBER(U1613),IF(U1613&gt;$L$6,T1613,""),"")</f>
        <v/>
      </c>
      <c r="W1613">
        <f>IF(AND(ISNUMBER('자료_거시'!$G1595),ISNUMBER('자료_거시'!$H1595)),'자료_거시'!$H1595,"")</f>
        <v/>
      </c>
      <c r="X1613">
        <f>IF(ISNUMBER(W1613),'자료_거시'!$G1595,"")</f>
        <v/>
      </c>
      <c r="Y1613">
        <f>IF(ISNUMBER(X1613),IF(X1613&gt;$L$7,W1613,""),"")</f>
        <v/>
      </c>
      <c r="Z1613">
        <f>IF(ISNUMBER('자료_거시'!$K1595),'자료_거시'!$K1595,Z1612)</f>
        <v/>
      </c>
      <c r="AA1613">
        <f>IF(AND(ISNUMBER('자료_거시'!$J1595),ISNUMBER('자료_거시'!$K1595)),IFERROR('자료_거시'!$K1595/INDEX($Z$21:$Z$4020,MATCH(EDATE('자료_거시'!$J1595,-'설정'!$B$17),'자료_거시'!$J$3:INDEX('자료_거시'!$J$3:$J$4002,$K$8),1))-1,""),"")</f>
        <v/>
      </c>
      <c r="AB1613">
        <f>IF(ISNUMBER(AA1613),'자료_거시'!$J1595,"")</f>
        <v/>
      </c>
      <c r="AC1613">
        <f>IF(ISNUMBER(AB1613),IF(AB1613&gt;$L$8,AA1613,""),"")</f>
        <v/>
      </c>
    </row>
    <row r="1614">
      <c r="S1614">
        <f>IF(ISNUMBER('자료_거시'!$E1596),'자료_거시'!$E1596,S1613)</f>
        <v/>
      </c>
      <c r="T1614">
        <f>IF(AND(ISNUMBER('자료_거시'!$D1596),ISNUMBER('자료_거시'!$E1596)),IFERROR('자료_거시'!$E1596-INDEX($S$21:$S$4020,MATCH(EDATE('자료_거시'!$D1596,-'설정'!$B$17),'자료_거시'!$D$3:INDEX('자료_거시'!$D$3:$D$4002,$K$6),1)),""),"")</f>
        <v/>
      </c>
      <c r="U1614">
        <f>IF(ISNUMBER(T1614),'자료_거시'!$D1596,"")</f>
        <v/>
      </c>
      <c r="V1614">
        <f>IF(ISNUMBER(U1614),IF(U1614&gt;$L$6,T1614,""),"")</f>
        <v/>
      </c>
      <c r="W1614">
        <f>IF(AND(ISNUMBER('자료_거시'!$G1596),ISNUMBER('자료_거시'!$H1596)),'자료_거시'!$H1596,"")</f>
        <v/>
      </c>
      <c r="X1614">
        <f>IF(ISNUMBER(W1614),'자료_거시'!$G1596,"")</f>
        <v/>
      </c>
      <c r="Y1614">
        <f>IF(ISNUMBER(X1614),IF(X1614&gt;$L$7,W1614,""),"")</f>
        <v/>
      </c>
      <c r="Z1614">
        <f>IF(ISNUMBER('자료_거시'!$K1596),'자료_거시'!$K1596,Z1613)</f>
        <v/>
      </c>
      <c r="AA1614">
        <f>IF(AND(ISNUMBER('자료_거시'!$J1596),ISNUMBER('자료_거시'!$K1596)),IFERROR('자료_거시'!$K1596/INDEX($Z$21:$Z$4020,MATCH(EDATE('자료_거시'!$J1596,-'설정'!$B$17),'자료_거시'!$J$3:INDEX('자료_거시'!$J$3:$J$4002,$K$8),1))-1,""),"")</f>
        <v/>
      </c>
      <c r="AB1614">
        <f>IF(ISNUMBER(AA1614),'자료_거시'!$J1596,"")</f>
        <v/>
      </c>
      <c r="AC1614">
        <f>IF(ISNUMBER(AB1614),IF(AB1614&gt;$L$8,AA1614,""),"")</f>
        <v/>
      </c>
    </row>
    <row r="1615">
      <c r="S1615">
        <f>IF(ISNUMBER('자료_거시'!$E1597),'자료_거시'!$E1597,S1614)</f>
        <v/>
      </c>
      <c r="T1615">
        <f>IF(AND(ISNUMBER('자료_거시'!$D1597),ISNUMBER('자료_거시'!$E1597)),IFERROR('자료_거시'!$E1597-INDEX($S$21:$S$4020,MATCH(EDATE('자료_거시'!$D1597,-'설정'!$B$17),'자료_거시'!$D$3:INDEX('자료_거시'!$D$3:$D$4002,$K$6),1)),""),"")</f>
        <v/>
      </c>
      <c r="U1615">
        <f>IF(ISNUMBER(T1615),'자료_거시'!$D1597,"")</f>
        <v/>
      </c>
      <c r="V1615">
        <f>IF(ISNUMBER(U1615),IF(U1615&gt;$L$6,T1615,""),"")</f>
        <v/>
      </c>
      <c r="W1615">
        <f>IF(AND(ISNUMBER('자료_거시'!$G1597),ISNUMBER('자료_거시'!$H1597)),'자료_거시'!$H1597,"")</f>
        <v/>
      </c>
      <c r="X1615">
        <f>IF(ISNUMBER(W1615),'자료_거시'!$G1597,"")</f>
        <v/>
      </c>
      <c r="Y1615">
        <f>IF(ISNUMBER(X1615),IF(X1615&gt;$L$7,W1615,""),"")</f>
        <v/>
      </c>
      <c r="Z1615">
        <f>IF(ISNUMBER('자료_거시'!$K1597),'자료_거시'!$K1597,Z1614)</f>
        <v/>
      </c>
      <c r="AA1615">
        <f>IF(AND(ISNUMBER('자료_거시'!$J1597),ISNUMBER('자료_거시'!$K1597)),IFERROR('자료_거시'!$K1597/INDEX($Z$21:$Z$4020,MATCH(EDATE('자료_거시'!$J1597,-'설정'!$B$17),'자료_거시'!$J$3:INDEX('자료_거시'!$J$3:$J$4002,$K$8),1))-1,""),"")</f>
        <v/>
      </c>
      <c r="AB1615">
        <f>IF(ISNUMBER(AA1615),'자료_거시'!$J1597,"")</f>
        <v/>
      </c>
      <c r="AC1615">
        <f>IF(ISNUMBER(AB1615),IF(AB1615&gt;$L$8,AA1615,""),"")</f>
        <v/>
      </c>
    </row>
    <row r="1616">
      <c r="S1616">
        <f>IF(ISNUMBER('자료_거시'!$E1598),'자료_거시'!$E1598,S1615)</f>
        <v/>
      </c>
      <c r="T1616">
        <f>IF(AND(ISNUMBER('자료_거시'!$D1598),ISNUMBER('자료_거시'!$E1598)),IFERROR('자료_거시'!$E1598-INDEX($S$21:$S$4020,MATCH(EDATE('자료_거시'!$D1598,-'설정'!$B$17),'자료_거시'!$D$3:INDEX('자료_거시'!$D$3:$D$4002,$K$6),1)),""),"")</f>
        <v/>
      </c>
      <c r="U1616">
        <f>IF(ISNUMBER(T1616),'자료_거시'!$D1598,"")</f>
        <v/>
      </c>
      <c r="V1616">
        <f>IF(ISNUMBER(U1616),IF(U1616&gt;$L$6,T1616,""),"")</f>
        <v/>
      </c>
      <c r="W1616">
        <f>IF(AND(ISNUMBER('자료_거시'!$G1598),ISNUMBER('자료_거시'!$H1598)),'자료_거시'!$H1598,"")</f>
        <v/>
      </c>
      <c r="X1616">
        <f>IF(ISNUMBER(W1616),'자료_거시'!$G1598,"")</f>
        <v/>
      </c>
      <c r="Y1616">
        <f>IF(ISNUMBER(X1616),IF(X1616&gt;$L$7,W1616,""),"")</f>
        <v/>
      </c>
      <c r="Z1616">
        <f>IF(ISNUMBER('자료_거시'!$K1598),'자료_거시'!$K1598,Z1615)</f>
        <v/>
      </c>
      <c r="AA1616">
        <f>IF(AND(ISNUMBER('자료_거시'!$J1598),ISNUMBER('자료_거시'!$K1598)),IFERROR('자료_거시'!$K1598/INDEX($Z$21:$Z$4020,MATCH(EDATE('자료_거시'!$J1598,-'설정'!$B$17),'자료_거시'!$J$3:INDEX('자료_거시'!$J$3:$J$4002,$K$8),1))-1,""),"")</f>
        <v/>
      </c>
      <c r="AB1616">
        <f>IF(ISNUMBER(AA1616),'자료_거시'!$J1598,"")</f>
        <v/>
      </c>
      <c r="AC1616">
        <f>IF(ISNUMBER(AB1616),IF(AB1616&gt;$L$8,AA1616,""),"")</f>
        <v/>
      </c>
    </row>
    <row r="1617">
      <c r="S1617">
        <f>IF(ISNUMBER('자료_거시'!$E1599),'자료_거시'!$E1599,S1616)</f>
        <v/>
      </c>
      <c r="T1617">
        <f>IF(AND(ISNUMBER('자료_거시'!$D1599),ISNUMBER('자료_거시'!$E1599)),IFERROR('자료_거시'!$E1599-INDEX($S$21:$S$4020,MATCH(EDATE('자료_거시'!$D1599,-'설정'!$B$17),'자료_거시'!$D$3:INDEX('자료_거시'!$D$3:$D$4002,$K$6),1)),""),"")</f>
        <v/>
      </c>
      <c r="U1617">
        <f>IF(ISNUMBER(T1617),'자료_거시'!$D1599,"")</f>
        <v/>
      </c>
      <c r="V1617">
        <f>IF(ISNUMBER(U1617),IF(U1617&gt;$L$6,T1617,""),"")</f>
        <v/>
      </c>
      <c r="W1617">
        <f>IF(AND(ISNUMBER('자료_거시'!$G1599),ISNUMBER('자료_거시'!$H1599)),'자료_거시'!$H1599,"")</f>
        <v/>
      </c>
      <c r="X1617">
        <f>IF(ISNUMBER(W1617),'자료_거시'!$G1599,"")</f>
        <v/>
      </c>
      <c r="Y1617">
        <f>IF(ISNUMBER(X1617),IF(X1617&gt;$L$7,W1617,""),"")</f>
        <v/>
      </c>
      <c r="Z1617">
        <f>IF(ISNUMBER('자료_거시'!$K1599),'자료_거시'!$K1599,Z1616)</f>
        <v/>
      </c>
      <c r="AA1617">
        <f>IF(AND(ISNUMBER('자료_거시'!$J1599),ISNUMBER('자료_거시'!$K1599)),IFERROR('자료_거시'!$K1599/INDEX($Z$21:$Z$4020,MATCH(EDATE('자료_거시'!$J1599,-'설정'!$B$17),'자료_거시'!$J$3:INDEX('자료_거시'!$J$3:$J$4002,$K$8),1))-1,""),"")</f>
        <v/>
      </c>
      <c r="AB1617">
        <f>IF(ISNUMBER(AA1617),'자료_거시'!$J1599,"")</f>
        <v/>
      </c>
      <c r="AC1617">
        <f>IF(ISNUMBER(AB1617),IF(AB1617&gt;$L$8,AA1617,""),"")</f>
        <v/>
      </c>
    </row>
    <row r="1618">
      <c r="S1618">
        <f>IF(ISNUMBER('자료_거시'!$E1600),'자료_거시'!$E1600,S1617)</f>
        <v/>
      </c>
      <c r="T1618">
        <f>IF(AND(ISNUMBER('자료_거시'!$D1600),ISNUMBER('자료_거시'!$E1600)),IFERROR('자료_거시'!$E1600-INDEX($S$21:$S$4020,MATCH(EDATE('자료_거시'!$D1600,-'설정'!$B$17),'자료_거시'!$D$3:INDEX('자료_거시'!$D$3:$D$4002,$K$6),1)),""),"")</f>
        <v/>
      </c>
      <c r="U1618">
        <f>IF(ISNUMBER(T1618),'자료_거시'!$D1600,"")</f>
        <v/>
      </c>
      <c r="V1618">
        <f>IF(ISNUMBER(U1618),IF(U1618&gt;$L$6,T1618,""),"")</f>
        <v/>
      </c>
      <c r="W1618">
        <f>IF(AND(ISNUMBER('자료_거시'!$G1600),ISNUMBER('자료_거시'!$H1600)),'자료_거시'!$H1600,"")</f>
        <v/>
      </c>
      <c r="X1618">
        <f>IF(ISNUMBER(W1618),'자료_거시'!$G1600,"")</f>
        <v/>
      </c>
      <c r="Y1618">
        <f>IF(ISNUMBER(X1618),IF(X1618&gt;$L$7,W1618,""),"")</f>
        <v/>
      </c>
      <c r="Z1618">
        <f>IF(ISNUMBER('자료_거시'!$K1600),'자료_거시'!$K1600,Z1617)</f>
        <v/>
      </c>
      <c r="AA1618">
        <f>IF(AND(ISNUMBER('자료_거시'!$J1600),ISNUMBER('자료_거시'!$K1600)),IFERROR('자료_거시'!$K1600/INDEX($Z$21:$Z$4020,MATCH(EDATE('자료_거시'!$J1600,-'설정'!$B$17),'자료_거시'!$J$3:INDEX('자료_거시'!$J$3:$J$4002,$K$8),1))-1,""),"")</f>
        <v/>
      </c>
      <c r="AB1618">
        <f>IF(ISNUMBER(AA1618),'자료_거시'!$J1600,"")</f>
        <v/>
      </c>
      <c r="AC1618">
        <f>IF(ISNUMBER(AB1618),IF(AB1618&gt;$L$8,AA1618,""),"")</f>
        <v/>
      </c>
    </row>
    <row r="1619">
      <c r="S1619">
        <f>IF(ISNUMBER('자료_거시'!$E1601),'자료_거시'!$E1601,S1618)</f>
        <v/>
      </c>
      <c r="T1619">
        <f>IF(AND(ISNUMBER('자료_거시'!$D1601),ISNUMBER('자료_거시'!$E1601)),IFERROR('자료_거시'!$E1601-INDEX($S$21:$S$4020,MATCH(EDATE('자료_거시'!$D1601,-'설정'!$B$17),'자료_거시'!$D$3:INDEX('자료_거시'!$D$3:$D$4002,$K$6),1)),""),"")</f>
        <v/>
      </c>
      <c r="U1619">
        <f>IF(ISNUMBER(T1619),'자료_거시'!$D1601,"")</f>
        <v/>
      </c>
      <c r="V1619">
        <f>IF(ISNUMBER(U1619),IF(U1619&gt;$L$6,T1619,""),"")</f>
        <v/>
      </c>
      <c r="W1619">
        <f>IF(AND(ISNUMBER('자료_거시'!$G1601),ISNUMBER('자료_거시'!$H1601)),'자료_거시'!$H1601,"")</f>
        <v/>
      </c>
      <c r="X1619">
        <f>IF(ISNUMBER(W1619),'자료_거시'!$G1601,"")</f>
        <v/>
      </c>
      <c r="Y1619">
        <f>IF(ISNUMBER(X1619),IF(X1619&gt;$L$7,W1619,""),"")</f>
        <v/>
      </c>
      <c r="Z1619">
        <f>IF(ISNUMBER('자료_거시'!$K1601),'자료_거시'!$K1601,Z1618)</f>
        <v/>
      </c>
      <c r="AA1619">
        <f>IF(AND(ISNUMBER('자료_거시'!$J1601),ISNUMBER('자료_거시'!$K1601)),IFERROR('자료_거시'!$K1601/INDEX($Z$21:$Z$4020,MATCH(EDATE('자료_거시'!$J1601,-'설정'!$B$17),'자료_거시'!$J$3:INDEX('자료_거시'!$J$3:$J$4002,$K$8),1))-1,""),"")</f>
        <v/>
      </c>
      <c r="AB1619">
        <f>IF(ISNUMBER(AA1619),'자료_거시'!$J1601,"")</f>
        <v/>
      </c>
      <c r="AC1619">
        <f>IF(ISNUMBER(AB1619),IF(AB1619&gt;$L$8,AA1619,""),"")</f>
        <v/>
      </c>
    </row>
    <row r="1620">
      <c r="S1620">
        <f>IF(ISNUMBER('자료_거시'!$E1602),'자료_거시'!$E1602,S1619)</f>
        <v/>
      </c>
      <c r="T1620">
        <f>IF(AND(ISNUMBER('자료_거시'!$D1602),ISNUMBER('자료_거시'!$E1602)),IFERROR('자료_거시'!$E1602-INDEX($S$21:$S$4020,MATCH(EDATE('자료_거시'!$D1602,-'설정'!$B$17),'자료_거시'!$D$3:INDEX('자료_거시'!$D$3:$D$4002,$K$6),1)),""),"")</f>
        <v/>
      </c>
      <c r="U1620">
        <f>IF(ISNUMBER(T1620),'자료_거시'!$D1602,"")</f>
        <v/>
      </c>
      <c r="V1620">
        <f>IF(ISNUMBER(U1620),IF(U1620&gt;$L$6,T1620,""),"")</f>
        <v/>
      </c>
      <c r="W1620">
        <f>IF(AND(ISNUMBER('자료_거시'!$G1602),ISNUMBER('자료_거시'!$H1602)),'자료_거시'!$H1602,"")</f>
        <v/>
      </c>
      <c r="X1620">
        <f>IF(ISNUMBER(W1620),'자료_거시'!$G1602,"")</f>
        <v/>
      </c>
      <c r="Y1620">
        <f>IF(ISNUMBER(X1620),IF(X1620&gt;$L$7,W1620,""),"")</f>
        <v/>
      </c>
      <c r="Z1620">
        <f>IF(ISNUMBER('자료_거시'!$K1602),'자료_거시'!$K1602,Z1619)</f>
        <v/>
      </c>
      <c r="AA1620">
        <f>IF(AND(ISNUMBER('자료_거시'!$J1602),ISNUMBER('자료_거시'!$K1602)),IFERROR('자료_거시'!$K1602/INDEX($Z$21:$Z$4020,MATCH(EDATE('자료_거시'!$J1602,-'설정'!$B$17),'자료_거시'!$J$3:INDEX('자료_거시'!$J$3:$J$4002,$K$8),1))-1,""),"")</f>
        <v/>
      </c>
      <c r="AB1620">
        <f>IF(ISNUMBER(AA1620),'자료_거시'!$J1602,"")</f>
        <v/>
      </c>
      <c r="AC1620">
        <f>IF(ISNUMBER(AB1620),IF(AB1620&gt;$L$8,AA1620,""),"")</f>
        <v/>
      </c>
    </row>
    <row r="1621">
      <c r="S1621">
        <f>IF(ISNUMBER('자료_거시'!$E1603),'자료_거시'!$E1603,S1620)</f>
        <v/>
      </c>
      <c r="T1621">
        <f>IF(AND(ISNUMBER('자료_거시'!$D1603),ISNUMBER('자료_거시'!$E1603)),IFERROR('자료_거시'!$E1603-INDEX($S$21:$S$4020,MATCH(EDATE('자료_거시'!$D1603,-'설정'!$B$17),'자료_거시'!$D$3:INDEX('자료_거시'!$D$3:$D$4002,$K$6),1)),""),"")</f>
        <v/>
      </c>
      <c r="U1621">
        <f>IF(ISNUMBER(T1621),'자료_거시'!$D1603,"")</f>
        <v/>
      </c>
      <c r="V1621">
        <f>IF(ISNUMBER(U1621),IF(U1621&gt;$L$6,T1621,""),"")</f>
        <v/>
      </c>
      <c r="W1621">
        <f>IF(AND(ISNUMBER('자료_거시'!$G1603),ISNUMBER('자료_거시'!$H1603)),'자료_거시'!$H1603,"")</f>
        <v/>
      </c>
      <c r="X1621">
        <f>IF(ISNUMBER(W1621),'자료_거시'!$G1603,"")</f>
        <v/>
      </c>
      <c r="Y1621">
        <f>IF(ISNUMBER(X1621),IF(X1621&gt;$L$7,W1621,""),"")</f>
        <v/>
      </c>
      <c r="Z1621">
        <f>IF(ISNUMBER('자료_거시'!$K1603),'자료_거시'!$K1603,Z1620)</f>
        <v/>
      </c>
      <c r="AA1621">
        <f>IF(AND(ISNUMBER('자료_거시'!$J1603),ISNUMBER('자료_거시'!$K1603)),IFERROR('자료_거시'!$K1603/INDEX($Z$21:$Z$4020,MATCH(EDATE('자료_거시'!$J1603,-'설정'!$B$17),'자료_거시'!$J$3:INDEX('자료_거시'!$J$3:$J$4002,$K$8),1))-1,""),"")</f>
        <v/>
      </c>
      <c r="AB1621">
        <f>IF(ISNUMBER(AA1621),'자료_거시'!$J1603,"")</f>
        <v/>
      </c>
      <c r="AC1621">
        <f>IF(ISNUMBER(AB1621),IF(AB1621&gt;$L$8,AA1621,""),"")</f>
        <v/>
      </c>
    </row>
    <row r="1622">
      <c r="S1622">
        <f>IF(ISNUMBER('자료_거시'!$E1604),'자료_거시'!$E1604,S1621)</f>
        <v/>
      </c>
      <c r="T1622">
        <f>IF(AND(ISNUMBER('자료_거시'!$D1604),ISNUMBER('자료_거시'!$E1604)),IFERROR('자료_거시'!$E1604-INDEX($S$21:$S$4020,MATCH(EDATE('자료_거시'!$D1604,-'설정'!$B$17),'자료_거시'!$D$3:INDEX('자료_거시'!$D$3:$D$4002,$K$6),1)),""),"")</f>
        <v/>
      </c>
      <c r="U1622">
        <f>IF(ISNUMBER(T1622),'자료_거시'!$D1604,"")</f>
        <v/>
      </c>
      <c r="V1622">
        <f>IF(ISNUMBER(U1622),IF(U1622&gt;$L$6,T1622,""),"")</f>
        <v/>
      </c>
      <c r="W1622">
        <f>IF(AND(ISNUMBER('자료_거시'!$G1604),ISNUMBER('자료_거시'!$H1604)),'자료_거시'!$H1604,"")</f>
        <v/>
      </c>
      <c r="X1622">
        <f>IF(ISNUMBER(W1622),'자료_거시'!$G1604,"")</f>
        <v/>
      </c>
      <c r="Y1622">
        <f>IF(ISNUMBER(X1622),IF(X1622&gt;$L$7,W1622,""),"")</f>
        <v/>
      </c>
      <c r="Z1622">
        <f>IF(ISNUMBER('자료_거시'!$K1604),'자료_거시'!$K1604,Z1621)</f>
        <v/>
      </c>
      <c r="AA1622">
        <f>IF(AND(ISNUMBER('자료_거시'!$J1604),ISNUMBER('자료_거시'!$K1604)),IFERROR('자료_거시'!$K1604/INDEX($Z$21:$Z$4020,MATCH(EDATE('자료_거시'!$J1604,-'설정'!$B$17),'자료_거시'!$J$3:INDEX('자료_거시'!$J$3:$J$4002,$K$8),1))-1,""),"")</f>
        <v/>
      </c>
      <c r="AB1622">
        <f>IF(ISNUMBER(AA1622),'자료_거시'!$J1604,"")</f>
        <v/>
      </c>
      <c r="AC1622">
        <f>IF(ISNUMBER(AB1622),IF(AB1622&gt;$L$8,AA1622,""),"")</f>
        <v/>
      </c>
    </row>
    <row r="1623">
      <c r="S1623">
        <f>IF(ISNUMBER('자료_거시'!$E1605),'자료_거시'!$E1605,S1622)</f>
        <v/>
      </c>
      <c r="T1623">
        <f>IF(AND(ISNUMBER('자료_거시'!$D1605),ISNUMBER('자료_거시'!$E1605)),IFERROR('자료_거시'!$E1605-INDEX($S$21:$S$4020,MATCH(EDATE('자료_거시'!$D1605,-'설정'!$B$17),'자료_거시'!$D$3:INDEX('자료_거시'!$D$3:$D$4002,$K$6),1)),""),"")</f>
        <v/>
      </c>
      <c r="U1623">
        <f>IF(ISNUMBER(T1623),'자료_거시'!$D1605,"")</f>
        <v/>
      </c>
      <c r="V1623">
        <f>IF(ISNUMBER(U1623),IF(U1623&gt;$L$6,T1623,""),"")</f>
        <v/>
      </c>
      <c r="W1623">
        <f>IF(AND(ISNUMBER('자료_거시'!$G1605),ISNUMBER('자료_거시'!$H1605)),'자료_거시'!$H1605,"")</f>
        <v/>
      </c>
      <c r="X1623">
        <f>IF(ISNUMBER(W1623),'자료_거시'!$G1605,"")</f>
        <v/>
      </c>
      <c r="Y1623">
        <f>IF(ISNUMBER(X1623),IF(X1623&gt;$L$7,W1623,""),"")</f>
        <v/>
      </c>
      <c r="Z1623">
        <f>IF(ISNUMBER('자료_거시'!$K1605),'자료_거시'!$K1605,Z1622)</f>
        <v/>
      </c>
      <c r="AA1623">
        <f>IF(AND(ISNUMBER('자료_거시'!$J1605),ISNUMBER('자료_거시'!$K1605)),IFERROR('자료_거시'!$K1605/INDEX($Z$21:$Z$4020,MATCH(EDATE('자료_거시'!$J1605,-'설정'!$B$17),'자료_거시'!$J$3:INDEX('자료_거시'!$J$3:$J$4002,$K$8),1))-1,""),"")</f>
        <v/>
      </c>
      <c r="AB1623">
        <f>IF(ISNUMBER(AA1623),'자료_거시'!$J1605,"")</f>
        <v/>
      </c>
      <c r="AC1623">
        <f>IF(ISNUMBER(AB1623),IF(AB1623&gt;$L$8,AA1623,""),"")</f>
        <v/>
      </c>
    </row>
    <row r="1624">
      <c r="S1624">
        <f>IF(ISNUMBER('자료_거시'!$E1606),'자료_거시'!$E1606,S1623)</f>
        <v/>
      </c>
      <c r="T1624">
        <f>IF(AND(ISNUMBER('자료_거시'!$D1606),ISNUMBER('자료_거시'!$E1606)),IFERROR('자료_거시'!$E1606-INDEX($S$21:$S$4020,MATCH(EDATE('자료_거시'!$D1606,-'설정'!$B$17),'자료_거시'!$D$3:INDEX('자료_거시'!$D$3:$D$4002,$K$6),1)),""),"")</f>
        <v/>
      </c>
      <c r="U1624">
        <f>IF(ISNUMBER(T1624),'자료_거시'!$D1606,"")</f>
        <v/>
      </c>
      <c r="V1624">
        <f>IF(ISNUMBER(U1624),IF(U1624&gt;$L$6,T1624,""),"")</f>
        <v/>
      </c>
      <c r="W1624">
        <f>IF(AND(ISNUMBER('자료_거시'!$G1606),ISNUMBER('자료_거시'!$H1606)),'자료_거시'!$H1606,"")</f>
        <v/>
      </c>
      <c r="X1624">
        <f>IF(ISNUMBER(W1624),'자료_거시'!$G1606,"")</f>
        <v/>
      </c>
      <c r="Y1624">
        <f>IF(ISNUMBER(X1624),IF(X1624&gt;$L$7,W1624,""),"")</f>
        <v/>
      </c>
      <c r="Z1624">
        <f>IF(ISNUMBER('자료_거시'!$K1606),'자료_거시'!$K1606,Z1623)</f>
        <v/>
      </c>
      <c r="AA1624">
        <f>IF(AND(ISNUMBER('자료_거시'!$J1606),ISNUMBER('자료_거시'!$K1606)),IFERROR('자료_거시'!$K1606/INDEX($Z$21:$Z$4020,MATCH(EDATE('자료_거시'!$J1606,-'설정'!$B$17),'자료_거시'!$J$3:INDEX('자료_거시'!$J$3:$J$4002,$K$8),1))-1,""),"")</f>
        <v/>
      </c>
      <c r="AB1624">
        <f>IF(ISNUMBER(AA1624),'자료_거시'!$J1606,"")</f>
        <v/>
      </c>
      <c r="AC1624">
        <f>IF(ISNUMBER(AB1624),IF(AB1624&gt;$L$8,AA1624,""),"")</f>
        <v/>
      </c>
    </row>
    <row r="1625">
      <c r="S1625">
        <f>IF(ISNUMBER('자료_거시'!$E1607),'자료_거시'!$E1607,S1624)</f>
        <v/>
      </c>
      <c r="T1625">
        <f>IF(AND(ISNUMBER('자료_거시'!$D1607),ISNUMBER('자료_거시'!$E1607)),IFERROR('자료_거시'!$E1607-INDEX($S$21:$S$4020,MATCH(EDATE('자료_거시'!$D1607,-'설정'!$B$17),'자료_거시'!$D$3:INDEX('자료_거시'!$D$3:$D$4002,$K$6),1)),""),"")</f>
        <v/>
      </c>
      <c r="U1625">
        <f>IF(ISNUMBER(T1625),'자료_거시'!$D1607,"")</f>
        <v/>
      </c>
      <c r="V1625">
        <f>IF(ISNUMBER(U1625),IF(U1625&gt;$L$6,T1625,""),"")</f>
        <v/>
      </c>
      <c r="W1625">
        <f>IF(AND(ISNUMBER('자료_거시'!$G1607),ISNUMBER('자료_거시'!$H1607)),'자료_거시'!$H1607,"")</f>
        <v/>
      </c>
      <c r="X1625">
        <f>IF(ISNUMBER(W1625),'자료_거시'!$G1607,"")</f>
        <v/>
      </c>
      <c r="Y1625">
        <f>IF(ISNUMBER(X1625),IF(X1625&gt;$L$7,W1625,""),"")</f>
        <v/>
      </c>
      <c r="Z1625">
        <f>IF(ISNUMBER('자료_거시'!$K1607),'자료_거시'!$K1607,Z1624)</f>
        <v/>
      </c>
      <c r="AA1625">
        <f>IF(AND(ISNUMBER('자료_거시'!$J1607),ISNUMBER('자료_거시'!$K1607)),IFERROR('자료_거시'!$K1607/INDEX($Z$21:$Z$4020,MATCH(EDATE('자료_거시'!$J1607,-'설정'!$B$17),'자료_거시'!$J$3:INDEX('자료_거시'!$J$3:$J$4002,$K$8),1))-1,""),"")</f>
        <v/>
      </c>
      <c r="AB1625">
        <f>IF(ISNUMBER(AA1625),'자료_거시'!$J1607,"")</f>
        <v/>
      </c>
      <c r="AC1625">
        <f>IF(ISNUMBER(AB1625),IF(AB1625&gt;$L$8,AA1625,""),"")</f>
        <v/>
      </c>
    </row>
    <row r="1626">
      <c r="S1626">
        <f>IF(ISNUMBER('자료_거시'!$E1608),'자료_거시'!$E1608,S1625)</f>
        <v/>
      </c>
      <c r="T1626">
        <f>IF(AND(ISNUMBER('자료_거시'!$D1608),ISNUMBER('자료_거시'!$E1608)),IFERROR('자료_거시'!$E1608-INDEX($S$21:$S$4020,MATCH(EDATE('자료_거시'!$D1608,-'설정'!$B$17),'자료_거시'!$D$3:INDEX('자료_거시'!$D$3:$D$4002,$K$6),1)),""),"")</f>
        <v/>
      </c>
      <c r="U1626">
        <f>IF(ISNUMBER(T1626),'자료_거시'!$D1608,"")</f>
        <v/>
      </c>
      <c r="V1626">
        <f>IF(ISNUMBER(U1626),IF(U1626&gt;$L$6,T1626,""),"")</f>
        <v/>
      </c>
      <c r="W1626">
        <f>IF(AND(ISNUMBER('자료_거시'!$G1608),ISNUMBER('자료_거시'!$H1608)),'자료_거시'!$H1608,"")</f>
        <v/>
      </c>
      <c r="X1626">
        <f>IF(ISNUMBER(W1626),'자료_거시'!$G1608,"")</f>
        <v/>
      </c>
      <c r="Y1626">
        <f>IF(ISNUMBER(X1626),IF(X1626&gt;$L$7,W1626,""),"")</f>
        <v/>
      </c>
      <c r="Z1626">
        <f>IF(ISNUMBER('자료_거시'!$K1608),'자료_거시'!$K1608,Z1625)</f>
        <v/>
      </c>
      <c r="AA1626">
        <f>IF(AND(ISNUMBER('자료_거시'!$J1608),ISNUMBER('자료_거시'!$K1608)),IFERROR('자료_거시'!$K1608/INDEX($Z$21:$Z$4020,MATCH(EDATE('자료_거시'!$J1608,-'설정'!$B$17),'자료_거시'!$J$3:INDEX('자료_거시'!$J$3:$J$4002,$K$8),1))-1,""),"")</f>
        <v/>
      </c>
      <c r="AB1626">
        <f>IF(ISNUMBER(AA1626),'자료_거시'!$J1608,"")</f>
        <v/>
      </c>
      <c r="AC1626">
        <f>IF(ISNUMBER(AB1626),IF(AB1626&gt;$L$8,AA1626,""),"")</f>
        <v/>
      </c>
    </row>
    <row r="1627">
      <c r="S1627">
        <f>IF(ISNUMBER('자료_거시'!$E1609),'자료_거시'!$E1609,S1626)</f>
        <v/>
      </c>
      <c r="T1627">
        <f>IF(AND(ISNUMBER('자료_거시'!$D1609),ISNUMBER('자료_거시'!$E1609)),IFERROR('자료_거시'!$E1609-INDEX($S$21:$S$4020,MATCH(EDATE('자료_거시'!$D1609,-'설정'!$B$17),'자료_거시'!$D$3:INDEX('자료_거시'!$D$3:$D$4002,$K$6),1)),""),"")</f>
        <v/>
      </c>
      <c r="U1627">
        <f>IF(ISNUMBER(T1627),'자료_거시'!$D1609,"")</f>
        <v/>
      </c>
      <c r="V1627">
        <f>IF(ISNUMBER(U1627),IF(U1627&gt;$L$6,T1627,""),"")</f>
        <v/>
      </c>
      <c r="W1627">
        <f>IF(AND(ISNUMBER('자료_거시'!$G1609),ISNUMBER('자료_거시'!$H1609)),'자료_거시'!$H1609,"")</f>
        <v/>
      </c>
      <c r="X1627">
        <f>IF(ISNUMBER(W1627),'자료_거시'!$G1609,"")</f>
        <v/>
      </c>
      <c r="Y1627">
        <f>IF(ISNUMBER(X1627),IF(X1627&gt;$L$7,W1627,""),"")</f>
        <v/>
      </c>
      <c r="Z1627">
        <f>IF(ISNUMBER('자료_거시'!$K1609),'자료_거시'!$K1609,Z1626)</f>
        <v/>
      </c>
      <c r="AA1627">
        <f>IF(AND(ISNUMBER('자료_거시'!$J1609),ISNUMBER('자료_거시'!$K1609)),IFERROR('자료_거시'!$K1609/INDEX($Z$21:$Z$4020,MATCH(EDATE('자료_거시'!$J1609,-'설정'!$B$17),'자료_거시'!$J$3:INDEX('자료_거시'!$J$3:$J$4002,$K$8),1))-1,""),"")</f>
        <v/>
      </c>
      <c r="AB1627">
        <f>IF(ISNUMBER(AA1627),'자료_거시'!$J1609,"")</f>
        <v/>
      </c>
      <c r="AC1627">
        <f>IF(ISNUMBER(AB1627),IF(AB1627&gt;$L$8,AA1627,""),"")</f>
        <v/>
      </c>
    </row>
    <row r="1628">
      <c r="S1628">
        <f>IF(ISNUMBER('자료_거시'!$E1610),'자료_거시'!$E1610,S1627)</f>
        <v/>
      </c>
      <c r="T1628">
        <f>IF(AND(ISNUMBER('자료_거시'!$D1610),ISNUMBER('자료_거시'!$E1610)),IFERROR('자료_거시'!$E1610-INDEX($S$21:$S$4020,MATCH(EDATE('자료_거시'!$D1610,-'설정'!$B$17),'자료_거시'!$D$3:INDEX('자료_거시'!$D$3:$D$4002,$K$6),1)),""),"")</f>
        <v/>
      </c>
      <c r="U1628">
        <f>IF(ISNUMBER(T1628),'자료_거시'!$D1610,"")</f>
        <v/>
      </c>
      <c r="V1628">
        <f>IF(ISNUMBER(U1628),IF(U1628&gt;$L$6,T1628,""),"")</f>
        <v/>
      </c>
      <c r="W1628">
        <f>IF(AND(ISNUMBER('자료_거시'!$G1610),ISNUMBER('자료_거시'!$H1610)),'자료_거시'!$H1610,"")</f>
        <v/>
      </c>
      <c r="X1628">
        <f>IF(ISNUMBER(W1628),'자료_거시'!$G1610,"")</f>
        <v/>
      </c>
      <c r="Y1628">
        <f>IF(ISNUMBER(X1628),IF(X1628&gt;$L$7,W1628,""),"")</f>
        <v/>
      </c>
      <c r="Z1628">
        <f>IF(ISNUMBER('자료_거시'!$K1610),'자료_거시'!$K1610,Z1627)</f>
        <v/>
      </c>
      <c r="AA1628">
        <f>IF(AND(ISNUMBER('자료_거시'!$J1610),ISNUMBER('자료_거시'!$K1610)),IFERROR('자료_거시'!$K1610/INDEX($Z$21:$Z$4020,MATCH(EDATE('자료_거시'!$J1610,-'설정'!$B$17),'자료_거시'!$J$3:INDEX('자료_거시'!$J$3:$J$4002,$K$8),1))-1,""),"")</f>
        <v/>
      </c>
      <c r="AB1628">
        <f>IF(ISNUMBER(AA1628),'자료_거시'!$J1610,"")</f>
        <v/>
      </c>
      <c r="AC1628">
        <f>IF(ISNUMBER(AB1628),IF(AB1628&gt;$L$8,AA1628,""),"")</f>
        <v/>
      </c>
    </row>
    <row r="1629">
      <c r="S1629">
        <f>IF(ISNUMBER('자료_거시'!$E1611),'자료_거시'!$E1611,S1628)</f>
        <v/>
      </c>
      <c r="T1629">
        <f>IF(AND(ISNUMBER('자료_거시'!$D1611),ISNUMBER('자료_거시'!$E1611)),IFERROR('자료_거시'!$E1611-INDEX($S$21:$S$4020,MATCH(EDATE('자료_거시'!$D1611,-'설정'!$B$17),'자료_거시'!$D$3:INDEX('자료_거시'!$D$3:$D$4002,$K$6),1)),""),"")</f>
        <v/>
      </c>
      <c r="U1629">
        <f>IF(ISNUMBER(T1629),'자료_거시'!$D1611,"")</f>
        <v/>
      </c>
      <c r="V1629">
        <f>IF(ISNUMBER(U1629),IF(U1629&gt;$L$6,T1629,""),"")</f>
        <v/>
      </c>
      <c r="W1629">
        <f>IF(AND(ISNUMBER('자료_거시'!$G1611),ISNUMBER('자료_거시'!$H1611)),'자료_거시'!$H1611,"")</f>
        <v/>
      </c>
      <c r="X1629">
        <f>IF(ISNUMBER(W1629),'자료_거시'!$G1611,"")</f>
        <v/>
      </c>
      <c r="Y1629">
        <f>IF(ISNUMBER(X1629),IF(X1629&gt;$L$7,W1629,""),"")</f>
        <v/>
      </c>
      <c r="Z1629">
        <f>IF(ISNUMBER('자료_거시'!$K1611),'자료_거시'!$K1611,Z1628)</f>
        <v/>
      </c>
      <c r="AA1629">
        <f>IF(AND(ISNUMBER('자료_거시'!$J1611),ISNUMBER('자료_거시'!$K1611)),IFERROR('자료_거시'!$K1611/INDEX($Z$21:$Z$4020,MATCH(EDATE('자료_거시'!$J1611,-'설정'!$B$17),'자료_거시'!$J$3:INDEX('자료_거시'!$J$3:$J$4002,$K$8),1))-1,""),"")</f>
        <v/>
      </c>
      <c r="AB1629">
        <f>IF(ISNUMBER(AA1629),'자료_거시'!$J1611,"")</f>
        <v/>
      </c>
      <c r="AC1629">
        <f>IF(ISNUMBER(AB1629),IF(AB1629&gt;$L$8,AA1629,""),"")</f>
        <v/>
      </c>
    </row>
    <row r="1630">
      <c r="S1630">
        <f>IF(ISNUMBER('자료_거시'!$E1612),'자료_거시'!$E1612,S1629)</f>
        <v/>
      </c>
      <c r="T1630">
        <f>IF(AND(ISNUMBER('자료_거시'!$D1612),ISNUMBER('자료_거시'!$E1612)),IFERROR('자료_거시'!$E1612-INDEX($S$21:$S$4020,MATCH(EDATE('자료_거시'!$D1612,-'설정'!$B$17),'자료_거시'!$D$3:INDEX('자료_거시'!$D$3:$D$4002,$K$6),1)),""),"")</f>
        <v/>
      </c>
      <c r="U1630">
        <f>IF(ISNUMBER(T1630),'자료_거시'!$D1612,"")</f>
        <v/>
      </c>
      <c r="V1630">
        <f>IF(ISNUMBER(U1630),IF(U1630&gt;$L$6,T1630,""),"")</f>
        <v/>
      </c>
      <c r="W1630">
        <f>IF(AND(ISNUMBER('자료_거시'!$G1612),ISNUMBER('자료_거시'!$H1612)),'자료_거시'!$H1612,"")</f>
        <v/>
      </c>
      <c r="X1630">
        <f>IF(ISNUMBER(W1630),'자료_거시'!$G1612,"")</f>
        <v/>
      </c>
      <c r="Y1630">
        <f>IF(ISNUMBER(X1630),IF(X1630&gt;$L$7,W1630,""),"")</f>
        <v/>
      </c>
      <c r="Z1630">
        <f>IF(ISNUMBER('자료_거시'!$K1612),'자료_거시'!$K1612,Z1629)</f>
        <v/>
      </c>
      <c r="AA1630">
        <f>IF(AND(ISNUMBER('자료_거시'!$J1612),ISNUMBER('자료_거시'!$K1612)),IFERROR('자료_거시'!$K1612/INDEX($Z$21:$Z$4020,MATCH(EDATE('자료_거시'!$J1612,-'설정'!$B$17),'자료_거시'!$J$3:INDEX('자료_거시'!$J$3:$J$4002,$K$8),1))-1,""),"")</f>
        <v/>
      </c>
      <c r="AB1630">
        <f>IF(ISNUMBER(AA1630),'자료_거시'!$J1612,"")</f>
        <v/>
      </c>
      <c r="AC1630">
        <f>IF(ISNUMBER(AB1630),IF(AB1630&gt;$L$8,AA1630,""),"")</f>
        <v/>
      </c>
    </row>
    <row r="1631">
      <c r="S1631">
        <f>IF(ISNUMBER('자료_거시'!$E1613),'자료_거시'!$E1613,S1630)</f>
        <v/>
      </c>
      <c r="T1631">
        <f>IF(AND(ISNUMBER('자료_거시'!$D1613),ISNUMBER('자료_거시'!$E1613)),IFERROR('자료_거시'!$E1613-INDEX($S$21:$S$4020,MATCH(EDATE('자료_거시'!$D1613,-'설정'!$B$17),'자료_거시'!$D$3:INDEX('자료_거시'!$D$3:$D$4002,$K$6),1)),""),"")</f>
        <v/>
      </c>
      <c r="U1631">
        <f>IF(ISNUMBER(T1631),'자료_거시'!$D1613,"")</f>
        <v/>
      </c>
      <c r="V1631">
        <f>IF(ISNUMBER(U1631),IF(U1631&gt;$L$6,T1631,""),"")</f>
        <v/>
      </c>
      <c r="W1631">
        <f>IF(AND(ISNUMBER('자료_거시'!$G1613),ISNUMBER('자료_거시'!$H1613)),'자료_거시'!$H1613,"")</f>
        <v/>
      </c>
      <c r="X1631">
        <f>IF(ISNUMBER(W1631),'자료_거시'!$G1613,"")</f>
        <v/>
      </c>
      <c r="Y1631">
        <f>IF(ISNUMBER(X1631),IF(X1631&gt;$L$7,W1631,""),"")</f>
        <v/>
      </c>
      <c r="Z1631">
        <f>IF(ISNUMBER('자료_거시'!$K1613),'자료_거시'!$K1613,Z1630)</f>
        <v/>
      </c>
      <c r="AA1631">
        <f>IF(AND(ISNUMBER('자료_거시'!$J1613),ISNUMBER('자료_거시'!$K1613)),IFERROR('자료_거시'!$K1613/INDEX($Z$21:$Z$4020,MATCH(EDATE('자료_거시'!$J1613,-'설정'!$B$17),'자료_거시'!$J$3:INDEX('자료_거시'!$J$3:$J$4002,$K$8),1))-1,""),"")</f>
        <v/>
      </c>
      <c r="AB1631">
        <f>IF(ISNUMBER(AA1631),'자료_거시'!$J1613,"")</f>
        <v/>
      </c>
      <c r="AC1631">
        <f>IF(ISNUMBER(AB1631),IF(AB1631&gt;$L$8,AA1631,""),"")</f>
        <v/>
      </c>
    </row>
    <row r="1632">
      <c r="S1632">
        <f>IF(ISNUMBER('자료_거시'!$E1614),'자료_거시'!$E1614,S1631)</f>
        <v/>
      </c>
      <c r="T1632">
        <f>IF(AND(ISNUMBER('자료_거시'!$D1614),ISNUMBER('자료_거시'!$E1614)),IFERROR('자료_거시'!$E1614-INDEX($S$21:$S$4020,MATCH(EDATE('자료_거시'!$D1614,-'설정'!$B$17),'자료_거시'!$D$3:INDEX('자료_거시'!$D$3:$D$4002,$K$6),1)),""),"")</f>
        <v/>
      </c>
      <c r="U1632">
        <f>IF(ISNUMBER(T1632),'자료_거시'!$D1614,"")</f>
        <v/>
      </c>
      <c r="V1632">
        <f>IF(ISNUMBER(U1632),IF(U1632&gt;$L$6,T1632,""),"")</f>
        <v/>
      </c>
      <c r="W1632">
        <f>IF(AND(ISNUMBER('자료_거시'!$G1614),ISNUMBER('자료_거시'!$H1614)),'자료_거시'!$H1614,"")</f>
        <v/>
      </c>
      <c r="X1632">
        <f>IF(ISNUMBER(W1632),'자료_거시'!$G1614,"")</f>
        <v/>
      </c>
      <c r="Y1632">
        <f>IF(ISNUMBER(X1632),IF(X1632&gt;$L$7,W1632,""),"")</f>
        <v/>
      </c>
      <c r="Z1632">
        <f>IF(ISNUMBER('자료_거시'!$K1614),'자료_거시'!$K1614,Z1631)</f>
        <v/>
      </c>
      <c r="AA1632">
        <f>IF(AND(ISNUMBER('자료_거시'!$J1614),ISNUMBER('자료_거시'!$K1614)),IFERROR('자료_거시'!$K1614/INDEX($Z$21:$Z$4020,MATCH(EDATE('자료_거시'!$J1614,-'설정'!$B$17),'자료_거시'!$J$3:INDEX('자료_거시'!$J$3:$J$4002,$K$8),1))-1,""),"")</f>
        <v/>
      </c>
      <c r="AB1632">
        <f>IF(ISNUMBER(AA1632),'자료_거시'!$J1614,"")</f>
        <v/>
      </c>
      <c r="AC1632">
        <f>IF(ISNUMBER(AB1632),IF(AB1632&gt;$L$8,AA1632,""),"")</f>
        <v/>
      </c>
    </row>
    <row r="1633">
      <c r="S1633">
        <f>IF(ISNUMBER('자료_거시'!$E1615),'자료_거시'!$E1615,S1632)</f>
        <v/>
      </c>
      <c r="T1633">
        <f>IF(AND(ISNUMBER('자료_거시'!$D1615),ISNUMBER('자료_거시'!$E1615)),IFERROR('자료_거시'!$E1615-INDEX($S$21:$S$4020,MATCH(EDATE('자료_거시'!$D1615,-'설정'!$B$17),'자료_거시'!$D$3:INDEX('자료_거시'!$D$3:$D$4002,$K$6),1)),""),"")</f>
        <v/>
      </c>
      <c r="U1633">
        <f>IF(ISNUMBER(T1633),'자료_거시'!$D1615,"")</f>
        <v/>
      </c>
      <c r="V1633">
        <f>IF(ISNUMBER(U1633),IF(U1633&gt;$L$6,T1633,""),"")</f>
        <v/>
      </c>
      <c r="W1633">
        <f>IF(AND(ISNUMBER('자료_거시'!$G1615),ISNUMBER('자료_거시'!$H1615)),'자료_거시'!$H1615,"")</f>
        <v/>
      </c>
      <c r="X1633">
        <f>IF(ISNUMBER(W1633),'자료_거시'!$G1615,"")</f>
        <v/>
      </c>
      <c r="Y1633">
        <f>IF(ISNUMBER(X1633),IF(X1633&gt;$L$7,W1633,""),"")</f>
        <v/>
      </c>
      <c r="Z1633">
        <f>IF(ISNUMBER('자료_거시'!$K1615),'자료_거시'!$K1615,Z1632)</f>
        <v/>
      </c>
      <c r="AA1633">
        <f>IF(AND(ISNUMBER('자료_거시'!$J1615),ISNUMBER('자료_거시'!$K1615)),IFERROR('자료_거시'!$K1615/INDEX($Z$21:$Z$4020,MATCH(EDATE('자료_거시'!$J1615,-'설정'!$B$17),'자료_거시'!$J$3:INDEX('자료_거시'!$J$3:$J$4002,$K$8),1))-1,""),"")</f>
        <v/>
      </c>
      <c r="AB1633">
        <f>IF(ISNUMBER(AA1633),'자료_거시'!$J1615,"")</f>
        <v/>
      </c>
      <c r="AC1633">
        <f>IF(ISNUMBER(AB1633),IF(AB1633&gt;$L$8,AA1633,""),"")</f>
        <v/>
      </c>
    </row>
    <row r="1634">
      <c r="S1634">
        <f>IF(ISNUMBER('자료_거시'!$E1616),'자료_거시'!$E1616,S1633)</f>
        <v/>
      </c>
      <c r="T1634">
        <f>IF(AND(ISNUMBER('자료_거시'!$D1616),ISNUMBER('자료_거시'!$E1616)),IFERROR('자료_거시'!$E1616-INDEX($S$21:$S$4020,MATCH(EDATE('자료_거시'!$D1616,-'설정'!$B$17),'자료_거시'!$D$3:INDEX('자료_거시'!$D$3:$D$4002,$K$6),1)),""),"")</f>
        <v/>
      </c>
      <c r="U1634">
        <f>IF(ISNUMBER(T1634),'자료_거시'!$D1616,"")</f>
        <v/>
      </c>
      <c r="V1634">
        <f>IF(ISNUMBER(U1634),IF(U1634&gt;$L$6,T1634,""),"")</f>
        <v/>
      </c>
      <c r="W1634">
        <f>IF(AND(ISNUMBER('자료_거시'!$G1616),ISNUMBER('자료_거시'!$H1616)),'자료_거시'!$H1616,"")</f>
        <v/>
      </c>
      <c r="X1634">
        <f>IF(ISNUMBER(W1634),'자료_거시'!$G1616,"")</f>
        <v/>
      </c>
      <c r="Y1634">
        <f>IF(ISNUMBER(X1634),IF(X1634&gt;$L$7,W1634,""),"")</f>
        <v/>
      </c>
      <c r="Z1634">
        <f>IF(ISNUMBER('자료_거시'!$K1616),'자료_거시'!$K1616,Z1633)</f>
        <v/>
      </c>
      <c r="AA1634">
        <f>IF(AND(ISNUMBER('자료_거시'!$J1616),ISNUMBER('자료_거시'!$K1616)),IFERROR('자료_거시'!$K1616/INDEX($Z$21:$Z$4020,MATCH(EDATE('자료_거시'!$J1616,-'설정'!$B$17),'자료_거시'!$J$3:INDEX('자료_거시'!$J$3:$J$4002,$K$8),1))-1,""),"")</f>
        <v/>
      </c>
      <c r="AB1634">
        <f>IF(ISNUMBER(AA1634),'자료_거시'!$J1616,"")</f>
        <v/>
      </c>
      <c r="AC1634">
        <f>IF(ISNUMBER(AB1634),IF(AB1634&gt;$L$8,AA1634,""),"")</f>
        <v/>
      </c>
    </row>
    <row r="1635">
      <c r="S1635">
        <f>IF(ISNUMBER('자료_거시'!$E1617),'자료_거시'!$E1617,S1634)</f>
        <v/>
      </c>
      <c r="T1635">
        <f>IF(AND(ISNUMBER('자료_거시'!$D1617),ISNUMBER('자료_거시'!$E1617)),IFERROR('자료_거시'!$E1617-INDEX($S$21:$S$4020,MATCH(EDATE('자료_거시'!$D1617,-'설정'!$B$17),'자료_거시'!$D$3:INDEX('자료_거시'!$D$3:$D$4002,$K$6),1)),""),"")</f>
        <v/>
      </c>
      <c r="U1635">
        <f>IF(ISNUMBER(T1635),'자료_거시'!$D1617,"")</f>
        <v/>
      </c>
      <c r="V1635">
        <f>IF(ISNUMBER(U1635),IF(U1635&gt;$L$6,T1635,""),"")</f>
        <v/>
      </c>
      <c r="W1635">
        <f>IF(AND(ISNUMBER('자료_거시'!$G1617),ISNUMBER('자료_거시'!$H1617)),'자료_거시'!$H1617,"")</f>
        <v/>
      </c>
      <c r="X1635">
        <f>IF(ISNUMBER(W1635),'자료_거시'!$G1617,"")</f>
        <v/>
      </c>
      <c r="Y1635">
        <f>IF(ISNUMBER(X1635),IF(X1635&gt;$L$7,W1635,""),"")</f>
        <v/>
      </c>
      <c r="Z1635">
        <f>IF(ISNUMBER('자료_거시'!$K1617),'자료_거시'!$K1617,Z1634)</f>
        <v/>
      </c>
      <c r="AA1635">
        <f>IF(AND(ISNUMBER('자료_거시'!$J1617),ISNUMBER('자료_거시'!$K1617)),IFERROR('자료_거시'!$K1617/INDEX($Z$21:$Z$4020,MATCH(EDATE('자료_거시'!$J1617,-'설정'!$B$17),'자료_거시'!$J$3:INDEX('자료_거시'!$J$3:$J$4002,$K$8),1))-1,""),"")</f>
        <v/>
      </c>
      <c r="AB1635">
        <f>IF(ISNUMBER(AA1635),'자료_거시'!$J1617,"")</f>
        <v/>
      </c>
      <c r="AC1635">
        <f>IF(ISNUMBER(AB1635),IF(AB1635&gt;$L$8,AA1635,""),"")</f>
        <v/>
      </c>
    </row>
    <row r="1636">
      <c r="S1636">
        <f>IF(ISNUMBER('자료_거시'!$E1618),'자료_거시'!$E1618,S1635)</f>
        <v/>
      </c>
      <c r="T1636">
        <f>IF(AND(ISNUMBER('자료_거시'!$D1618),ISNUMBER('자료_거시'!$E1618)),IFERROR('자료_거시'!$E1618-INDEX($S$21:$S$4020,MATCH(EDATE('자료_거시'!$D1618,-'설정'!$B$17),'자료_거시'!$D$3:INDEX('자료_거시'!$D$3:$D$4002,$K$6),1)),""),"")</f>
        <v/>
      </c>
      <c r="U1636">
        <f>IF(ISNUMBER(T1636),'자료_거시'!$D1618,"")</f>
        <v/>
      </c>
      <c r="V1636">
        <f>IF(ISNUMBER(U1636),IF(U1636&gt;$L$6,T1636,""),"")</f>
        <v/>
      </c>
      <c r="W1636">
        <f>IF(AND(ISNUMBER('자료_거시'!$G1618),ISNUMBER('자료_거시'!$H1618)),'자료_거시'!$H1618,"")</f>
        <v/>
      </c>
      <c r="X1636">
        <f>IF(ISNUMBER(W1636),'자료_거시'!$G1618,"")</f>
        <v/>
      </c>
      <c r="Y1636">
        <f>IF(ISNUMBER(X1636),IF(X1636&gt;$L$7,W1636,""),"")</f>
        <v/>
      </c>
      <c r="Z1636">
        <f>IF(ISNUMBER('자료_거시'!$K1618),'자료_거시'!$K1618,Z1635)</f>
        <v/>
      </c>
      <c r="AA1636">
        <f>IF(AND(ISNUMBER('자료_거시'!$J1618),ISNUMBER('자료_거시'!$K1618)),IFERROR('자료_거시'!$K1618/INDEX($Z$21:$Z$4020,MATCH(EDATE('자료_거시'!$J1618,-'설정'!$B$17),'자료_거시'!$J$3:INDEX('자료_거시'!$J$3:$J$4002,$K$8),1))-1,""),"")</f>
        <v/>
      </c>
      <c r="AB1636">
        <f>IF(ISNUMBER(AA1636),'자료_거시'!$J1618,"")</f>
        <v/>
      </c>
      <c r="AC1636">
        <f>IF(ISNUMBER(AB1636),IF(AB1636&gt;$L$8,AA1636,""),"")</f>
        <v/>
      </c>
    </row>
    <row r="1637">
      <c r="S1637">
        <f>IF(ISNUMBER('자료_거시'!$E1619),'자료_거시'!$E1619,S1636)</f>
        <v/>
      </c>
      <c r="T1637">
        <f>IF(AND(ISNUMBER('자료_거시'!$D1619),ISNUMBER('자료_거시'!$E1619)),IFERROR('자료_거시'!$E1619-INDEX($S$21:$S$4020,MATCH(EDATE('자료_거시'!$D1619,-'설정'!$B$17),'자료_거시'!$D$3:INDEX('자료_거시'!$D$3:$D$4002,$K$6),1)),""),"")</f>
        <v/>
      </c>
      <c r="U1637">
        <f>IF(ISNUMBER(T1637),'자료_거시'!$D1619,"")</f>
        <v/>
      </c>
      <c r="V1637">
        <f>IF(ISNUMBER(U1637),IF(U1637&gt;$L$6,T1637,""),"")</f>
        <v/>
      </c>
      <c r="W1637">
        <f>IF(AND(ISNUMBER('자료_거시'!$G1619),ISNUMBER('자료_거시'!$H1619)),'자료_거시'!$H1619,"")</f>
        <v/>
      </c>
      <c r="X1637">
        <f>IF(ISNUMBER(W1637),'자료_거시'!$G1619,"")</f>
        <v/>
      </c>
      <c r="Y1637">
        <f>IF(ISNUMBER(X1637),IF(X1637&gt;$L$7,W1637,""),"")</f>
        <v/>
      </c>
      <c r="Z1637">
        <f>IF(ISNUMBER('자료_거시'!$K1619),'자료_거시'!$K1619,Z1636)</f>
        <v/>
      </c>
      <c r="AA1637">
        <f>IF(AND(ISNUMBER('자료_거시'!$J1619),ISNUMBER('자료_거시'!$K1619)),IFERROR('자료_거시'!$K1619/INDEX($Z$21:$Z$4020,MATCH(EDATE('자료_거시'!$J1619,-'설정'!$B$17),'자료_거시'!$J$3:INDEX('자료_거시'!$J$3:$J$4002,$K$8),1))-1,""),"")</f>
        <v/>
      </c>
      <c r="AB1637">
        <f>IF(ISNUMBER(AA1637),'자료_거시'!$J1619,"")</f>
        <v/>
      </c>
      <c r="AC1637">
        <f>IF(ISNUMBER(AB1637),IF(AB1637&gt;$L$8,AA1637,""),"")</f>
        <v/>
      </c>
    </row>
    <row r="1638">
      <c r="S1638">
        <f>IF(ISNUMBER('자료_거시'!$E1620),'자료_거시'!$E1620,S1637)</f>
        <v/>
      </c>
      <c r="T1638">
        <f>IF(AND(ISNUMBER('자료_거시'!$D1620),ISNUMBER('자료_거시'!$E1620)),IFERROR('자료_거시'!$E1620-INDEX($S$21:$S$4020,MATCH(EDATE('자료_거시'!$D1620,-'설정'!$B$17),'자료_거시'!$D$3:INDEX('자료_거시'!$D$3:$D$4002,$K$6),1)),""),"")</f>
        <v/>
      </c>
      <c r="U1638">
        <f>IF(ISNUMBER(T1638),'자료_거시'!$D1620,"")</f>
        <v/>
      </c>
      <c r="V1638">
        <f>IF(ISNUMBER(U1638),IF(U1638&gt;$L$6,T1638,""),"")</f>
        <v/>
      </c>
      <c r="W1638">
        <f>IF(AND(ISNUMBER('자료_거시'!$G1620),ISNUMBER('자료_거시'!$H1620)),'자료_거시'!$H1620,"")</f>
        <v/>
      </c>
      <c r="X1638">
        <f>IF(ISNUMBER(W1638),'자료_거시'!$G1620,"")</f>
        <v/>
      </c>
      <c r="Y1638">
        <f>IF(ISNUMBER(X1638),IF(X1638&gt;$L$7,W1638,""),"")</f>
        <v/>
      </c>
      <c r="Z1638">
        <f>IF(ISNUMBER('자료_거시'!$K1620),'자료_거시'!$K1620,Z1637)</f>
        <v/>
      </c>
      <c r="AA1638">
        <f>IF(AND(ISNUMBER('자료_거시'!$J1620),ISNUMBER('자료_거시'!$K1620)),IFERROR('자료_거시'!$K1620/INDEX($Z$21:$Z$4020,MATCH(EDATE('자료_거시'!$J1620,-'설정'!$B$17),'자료_거시'!$J$3:INDEX('자료_거시'!$J$3:$J$4002,$K$8),1))-1,""),"")</f>
        <v/>
      </c>
      <c r="AB1638">
        <f>IF(ISNUMBER(AA1638),'자료_거시'!$J1620,"")</f>
        <v/>
      </c>
      <c r="AC1638">
        <f>IF(ISNUMBER(AB1638),IF(AB1638&gt;$L$8,AA1638,""),"")</f>
        <v/>
      </c>
    </row>
    <row r="1639">
      <c r="S1639">
        <f>IF(ISNUMBER('자료_거시'!$E1621),'자료_거시'!$E1621,S1638)</f>
        <v/>
      </c>
      <c r="T1639">
        <f>IF(AND(ISNUMBER('자료_거시'!$D1621),ISNUMBER('자료_거시'!$E1621)),IFERROR('자료_거시'!$E1621-INDEX($S$21:$S$4020,MATCH(EDATE('자료_거시'!$D1621,-'설정'!$B$17),'자료_거시'!$D$3:INDEX('자료_거시'!$D$3:$D$4002,$K$6),1)),""),"")</f>
        <v/>
      </c>
      <c r="U1639">
        <f>IF(ISNUMBER(T1639),'자료_거시'!$D1621,"")</f>
        <v/>
      </c>
      <c r="V1639">
        <f>IF(ISNUMBER(U1639),IF(U1639&gt;$L$6,T1639,""),"")</f>
        <v/>
      </c>
      <c r="W1639">
        <f>IF(AND(ISNUMBER('자료_거시'!$G1621),ISNUMBER('자료_거시'!$H1621)),'자료_거시'!$H1621,"")</f>
        <v/>
      </c>
      <c r="X1639">
        <f>IF(ISNUMBER(W1639),'자료_거시'!$G1621,"")</f>
        <v/>
      </c>
      <c r="Y1639">
        <f>IF(ISNUMBER(X1639),IF(X1639&gt;$L$7,W1639,""),"")</f>
        <v/>
      </c>
      <c r="Z1639">
        <f>IF(ISNUMBER('자료_거시'!$K1621),'자료_거시'!$K1621,Z1638)</f>
        <v/>
      </c>
      <c r="AA1639">
        <f>IF(AND(ISNUMBER('자료_거시'!$J1621),ISNUMBER('자료_거시'!$K1621)),IFERROR('자료_거시'!$K1621/INDEX($Z$21:$Z$4020,MATCH(EDATE('자료_거시'!$J1621,-'설정'!$B$17),'자료_거시'!$J$3:INDEX('자료_거시'!$J$3:$J$4002,$K$8),1))-1,""),"")</f>
        <v/>
      </c>
      <c r="AB1639">
        <f>IF(ISNUMBER(AA1639),'자료_거시'!$J1621,"")</f>
        <v/>
      </c>
      <c r="AC1639">
        <f>IF(ISNUMBER(AB1639),IF(AB1639&gt;$L$8,AA1639,""),"")</f>
        <v/>
      </c>
    </row>
    <row r="1640">
      <c r="S1640">
        <f>IF(ISNUMBER('자료_거시'!$E1622),'자료_거시'!$E1622,S1639)</f>
        <v/>
      </c>
      <c r="T1640">
        <f>IF(AND(ISNUMBER('자료_거시'!$D1622),ISNUMBER('자료_거시'!$E1622)),IFERROR('자료_거시'!$E1622-INDEX($S$21:$S$4020,MATCH(EDATE('자료_거시'!$D1622,-'설정'!$B$17),'자료_거시'!$D$3:INDEX('자료_거시'!$D$3:$D$4002,$K$6),1)),""),"")</f>
        <v/>
      </c>
      <c r="U1640">
        <f>IF(ISNUMBER(T1640),'자료_거시'!$D1622,"")</f>
        <v/>
      </c>
      <c r="V1640">
        <f>IF(ISNUMBER(U1640),IF(U1640&gt;$L$6,T1640,""),"")</f>
        <v/>
      </c>
      <c r="W1640">
        <f>IF(AND(ISNUMBER('자료_거시'!$G1622),ISNUMBER('자료_거시'!$H1622)),'자료_거시'!$H1622,"")</f>
        <v/>
      </c>
      <c r="X1640">
        <f>IF(ISNUMBER(W1640),'자료_거시'!$G1622,"")</f>
        <v/>
      </c>
      <c r="Y1640">
        <f>IF(ISNUMBER(X1640),IF(X1640&gt;$L$7,W1640,""),"")</f>
        <v/>
      </c>
      <c r="Z1640">
        <f>IF(ISNUMBER('자료_거시'!$K1622),'자료_거시'!$K1622,Z1639)</f>
        <v/>
      </c>
      <c r="AA1640">
        <f>IF(AND(ISNUMBER('자료_거시'!$J1622),ISNUMBER('자료_거시'!$K1622)),IFERROR('자료_거시'!$K1622/INDEX($Z$21:$Z$4020,MATCH(EDATE('자료_거시'!$J1622,-'설정'!$B$17),'자료_거시'!$J$3:INDEX('자료_거시'!$J$3:$J$4002,$K$8),1))-1,""),"")</f>
        <v/>
      </c>
      <c r="AB1640">
        <f>IF(ISNUMBER(AA1640),'자료_거시'!$J1622,"")</f>
        <v/>
      </c>
      <c r="AC1640">
        <f>IF(ISNUMBER(AB1640),IF(AB1640&gt;$L$8,AA1640,""),"")</f>
        <v/>
      </c>
    </row>
    <row r="1641">
      <c r="S1641">
        <f>IF(ISNUMBER('자료_거시'!$E1623),'자료_거시'!$E1623,S1640)</f>
        <v/>
      </c>
      <c r="T1641">
        <f>IF(AND(ISNUMBER('자료_거시'!$D1623),ISNUMBER('자료_거시'!$E1623)),IFERROR('자료_거시'!$E1623-INDEX($S$21:$S$4020,MATCH(EDATE('자료_거시'!$D1623,-'설정'!$B$17),'자료_거시'!$D$3:INDEX('자료_거시'!$D$3:$D$4002,$K$6),1)),""),"")</f>
        <v/>
      </c>
      <c r="U1641">
        <f>IF(ISNUMBER(T1641),'자료_거시'!$D1623,"")</f>
        <v/>
      </c>
      <c r="V1641">
        <f>IF(ISNUMBER(U1641),IF(U1641&gt;$L$6,T1641,""),"")</f>
        <v/>
      </c>
      <c r="W1641">
        <f>IF(AND(ISNUMBER('자료_거시'!$G1623),ISNUMBER('자료_거시'!$H1623)),'자료_거시'!$H1623,"")</f>
        <v/>
      </c>
      <c r="X1641">
        <f>IF(ISNUMBER(W1641),'자료_거시'!$G1623,"")</f>
        <v/>
      </c>
      <c r="Y1641">
        <f>IF(ISNUMBER(X1641),IF(X1641&gt;$L$7,W1641,""),"")</f>
        <v/>
      </c>
      <c r="Z1641">
        <f>IF(ISNUMBER('자료_거시'!$K1623),'자료_거시'!$K1623,Z1640)</f>
        <v/>
      </c>
      <c r="AA1641">
        <f>IF(AND(ISNUMBER('자료_거시'!$J1623),ISNUMBER('자료_거시'!$K1623)),IFERROR('자료_거시'!$K1623/INDEX($Z$21:$Z$4020,MATCH(EDATE('자료_거시'!$J1623,-'설정'!$B$17),'자료_거시'!$J$3:INDEX('자료_거시'!$J$3:$J$4002,$K$8),1))-1,""),"")</f>
        <v/>
      </c>
      <c r="AB1641">
        <f>IF(ISNUMBER(AA1641),'자료_거시'!$J1623,"")</f>
        <v/>
      </c>
      <c r="AC1641">
        <f>IF(ISNUMBER(AB1641),IF(AB1641&gt;$L$8,AA1641,""),"")</f>
        <v/>
      </c>
    </row>
    <row r="1642">
      <c r="S1642">
        <f>IF(ISNUMBER('자료_거시'!$E1624),'자료_거시'!$E1624,S1641)</f>
        <v/>
      </c>
      <c r="T1642">
        <f>IF(AND(ISNUMBER('자료_거시'!$D1624),ISNUMBER('자료_거시'!$E1624)),IFERROR('자료_거시'!$E1624-INDEX($S$21:$S$4020,MATCH(EDATE('자료_거시'!$D1624,-'설정'!$B$17),'자료_거시'!$D$3:INDEX('자료_거시'!$D$3:$D$4002,$K$6),1)),""),"")</f>
        <v/>
      </c>
      <c r="U1642">
        <f>IF(ISNUMBER(T1642),'자료_거시'!$D1624,"")</f>
        <v/>
      </c>
      <c r="V1642">
        <f>IF(ISNUMBER(U1642),IF(U1642&gt;$L$6,T1642,""),"")</f>
        <v/>
      </c>
      <c r="W1642">
        <f>IF(AND(ISNUMBER('자료_거시'!$G1624),ISNUMBER('자료_거시'!$H1624)),'자료_거시'!$H1624,"")</f>
        <v/>
      </c>
      <c r="X1642">
        <f>IF(ISNUMBER(W1642),'자료_거시'!$G1624,"")</f>
        <v/>
      </c>
      <c r="Y1642">
        <f>IF(ISNUMBER(X1642),IF(X1642&gt;$L$7,W1642,""),"")</f>
        <v/>
      </c>
      <c r="Z1642">
        <f>IF(ISNUMBER('자료_거시'!$K1624),'자료_거시'!$K1624,Z1641)</f>
        <v/>
      </c>
      <c r="AA1642">
        <f>IF(AND(ISNUMBER('자료_거시'!$J1624),ISNUMBER('자료_거시'!$K1624)),IFERROR('자료_거시'!$K1624/INDEX($Z$21:$Z$4020,MATCH(EDATE('자료_거시'!$J1624,-'설정'!$B$17),'자료_거시'!$J$3:INDEX('자료_거시'!$J$3:$J$4002,$K$8),1))-1,""),"")</f>
        <v/>
      </c>
      <c r="AB1642">
        <f>IF(ISNUMBER(AA1642),'자료_거시'!$J1624,"")</f>
        <v/>
      </c>
      <c r="AC1642">
        <f>IF(ISNUMBER(AB1642),IF(AB1642&gt;$L$8,AA1642,""),"")</f>
        <v/>
      </c>
    </row>
    <row r="1643">
      <c r="S1643">
        <f>IF(ISNUMBER('자료_거시'!$E1625),'자료_거시'!$E1625,S1642)</f>
        <v/>
      </c>
      <c r="T1643">
        <f>IF(AND(ISNUMBER('자료_거시'!$D1625),ISNUMBER('자료_거시'!$E1625)),IFERROR('자료_거시'!$E1625-INDEX($S$21:$S$4020,MATCH(EDATE('자료_거시'!$D1625,-'설정'!$B$17),'자료_거시'!$D$3:INDEX('자료_거시'!$D$3:$D$4002,$K$6),1)),""),"")</f>
        <v/>
      </c>
      <c r="U1643">
        <f>IF(ISNUMBER(T1643),'자료_거시'!$D1625,"")</f>
        <v/>
      </c>
      <c r="V1643">
        <f>IF(ISNUMBER(U1643),IF(U1643&gt;$L$6,T1643,""),"")</f>
        <v/>
      </c>
      <c r="W1643">
        <f>IF(AND(ISNUMBER('자료_거시'!$G1625),ISNUMBER('자료_거시'!$H1625)),'자료_거시'!$H1625,"")</f>
        <v/>
      </c>
      <c r="X1643">
        <f>IF(ISNUMBER(W1643),'자료_거시'!$G1625,"")</f>
        <v/>
      </c>
      <c r="Y1643">
        <f>IF(ISNUMBER(X1643),IF(X1643&gt;$L$7,W1643,""),"")</f>
        <v/>
      </c>
      <c r="Z1643">
        <f>IF(ISNUMBER('자료_거시'!$K1625),'자료_거시'!$K1625,Z1642)</f>
        <v/>
      </c>
      <c r="AA1643">
        <f>IF(AND(ISNUMBER('자료_거시'!$J1625),ISNUMBER('자료_거시'!$K1625)),IFERROR('자료_거시'!$K1625/INDEX($Z$21:$Z$4020,MATCH(EDATE('자료_거시'!$J1625,-'설정'!$B$17),'자료_거시'!$J$3:INDEX('자료_거시'!$J$3:$J$4002,$K$8),1))-1,""),"")</f>
        <v/>
      </c>
      <c r="AB1643">
        <f>IF(ISNUMBER(AA1643),'자료_거시'!$J1625,"")</f>
        <v/>
      </c>
      <c r="AC1643">
        <f>IF(ISNUMBER(AB1643),IF(AB1643&gt;$L$8,AA1643,""),"")</f>
        <v/>
      </c>
    </row>
    <row r="1644">
      <c r="S1644">
        <f>IF(ISNUMBER('자료_거시'!$E1626),'자료_거시'!$E1626,S1643)</f>
        <v/>
      </c>
      <c r="T1644">
        <f>IF(AND(ISNUMBER('자료_거시'!$D1626),ISNUMBER('자료_거시'!$E1626)),IFERROR('자료_거시'!$E1626-INDEX($S$21:$S$4020,MATCH(EDATE('자료_거시'!$D1626,-'설정'!$B$17),'자료_거시'!$D$3:INDEX('자료_거시'!$D$3:$D$4002,$K$6),1)),""),"")</f>
        <v/>
      </c>
      <c r="U1644">
        <f>IF(ISNUMBER(T1644),'자료_거시'!$D1626,"")</f>
        <v/>
      </c>
      <c r="V1644">
        <f>IF(ISNUMBER(U1644),IF(U1644&gt;$L$6,T1644,""),"")</f>
        <v/>
      </c>
      <c r="W1644">
        <f>IF(AND(ISNUMBER('자료_거시'!$G1626),ISNUMBER('자료_거시'!$H1626)),'자료_거시'!$H1626,"")</f>
        <v/>
      </c>
      <c r="X1644">
        <f>IF(ISNUMBER(W1644),'자료_거시'!$G1626,"")</f>
        <v/>
      </c>
      <c r="Y1644">
        <f>IF(ISNUMBER(X1644),IF(X1644&gt;$L$7,W1644,""),"")</f>
        <v/>
      </c>
      <c r="Z1644">
        <f>IF(ISNUMBER('자료_거시'!$K1626),'자료_거시'!$K1626,Z1643)</f>
        <v/>
      </c>
      <c r="AA1644">
        <f>IF(AND(ISNUMBER('자료_거시'!$J1626),ISNUMBER('자료_거시'!$K1626)),IFERROR('자료_거시'!$K1626/INDEX($Z$21:$Z$4020,MATCH(EDATE('자료_거시'!$J1626,-'설정'!$B$17),'자료_거시'!$J$3:INDEX('자료_거시'!$J$3:$J$4002,$K$8),1))-1,""),"")</f>
        <v/>
      </c>
      <c r="AB1644">
        <f>IF(ISNUMBER(AA1644),'자료_거시'!$J1626,"")</f>
        <v/>
      </c>
      <c r="AC1644">
        <f>IF(ISNUMBER(AB1644),IF(AB1644&gt;$L$8,AA1644,""),"")</f>
        <v/>
      </c>
    </row>
    <row r="1645">
      <c r="S1645">
        <f>IF(ISNUMBER('자료_거시'!$E1627),'자료_거시'!$E1627,S1644)</f>
        <v/>
      </c>
      <c r="T1645">
        <f>IF(AND(ISNUMBER('자료_거시'!$D1627),ISNUMBER('자료_거시'!$E1627)),IFERROR('자료_거시'!$E1627-INDEX($S$21:$S$4020,MATCH(EDATE('자료_거시'!$D1627,-'설정'!$B$17),'자료_거시'!$D$3:INDEX('자료_거시'!$D$3:$D$4002,$K$6),1)),""),"")</f>
        <v/>
      </c>
      <c r="U1645">
        <f>IF(ISNUMBER(T1645),'자료_거시'!$D1627,"")</f>
        <v/>
      </c>
      <c r="V1645">
        <f>IF(ISNUMBER(U1645),IF(U1645&gt;$L$6,T1645,""),"")</f>
        <v/>
      </c>
      <c r="W1645">
        <f>IF(AND(ISNUMBER('자료_거시'!$G1627),ISNUMBER('자료_거시'!$H1627)),'자료_거시'!$H1627,"")</f>
        <v/>
      </c>
      <c r="X1645">
        <f>IF(ISNUMBER(W1645),'자료_거시'!$G1627,"")</f>
        <v/>
      </c>
      <c r="Y1645">
        <f>IF(ISNUMBER(X1645),IF(X1645&gt;$L$7,W1645,""),"")</f>
        <v/>
      </c>
      <c r="Z1645">
        <f>IF(ISNUMBER('자료_거시'!$K1627),'자료_거시'!$K1627,Z1644)</f>
        <v/>
      </c>
      <c r="AA1645">
        <f>IF(AND(ISNUMBER('자료_거시'!$J1627),ISNUMBER('자료_거시'!$K1627)),IFERROR('자료_거시'!$K1627/INDEX($Z$21:$Z$4020,MATCH(EDATE('자료_거시'!$J1627,-'설정'!$B$17),'자료_거시'!$J$3:INDEX('자료_거시'!$J$3:$J$4002,$K$8),1))-1,""),"")</f>
        <v/>
      </c>
      <c r="AB1645">
        <f>IF(ISNUMBER(AA1645),'자료_거시'!$J1627,"")</f>
        <v/>
      </c>
      <c r="AC1645">
        <f>IF(ISNUMBER(AB1645),IF(AB1645&gt;$L$8,AA1645,""),"")</f>
        <v/>
      </c>
    </row>
    <row r="1646">
      <c r="S1646">
        <f>IF(ISNUMBER('자료_거시'!$E1628),'자료_거시'!$E1628,S1645)</f>
        <v/>
      </c>
      <c r="T1646">
        <f>IF(AND(ISNUMBER('자료_거시'!$D1628),ISNUMBER('자료_거시'!$E1628)),IFERROR('자료_거시'!$E1628-INDEX($S$21:$S$4020,MATCH(EDATE('자료_거시'!$D1628,-'설정'!$B$17),'자료_거시'!$D$3:INDEX('자료_거시'!$D$3:$D$4002,$K$6),1)),""),"")</f>
        <v/>
      </c>
      <c r="U1646">
        <f>IF(ISNUMBER(T1646),'자료_거시'!$D1628,"")</f>
        <v/>
      </c>
      <c r="V1646">
        <f>IF(ISNUMBER(U1646),IF(U1646&gt;$L$6,T1646,""),"")</f>
        <v/>
      </c>
      <c r="W1646">
        <f>IF(AND(ISNUMBER('자료_거시'!$G1628),ISNUMBER('자료_거시'!$H1628)),'자료_거시'!$H1628,"")</f>
        <v/>
      </c>
      <c r="X1646">
        <f>IF(ISNUMBER(W1646),'자료_거시'!$G1628,"")</f>
        <v/>
      </c>
      <c r="Y1646">
        <f>IF(ISNUMBER(X1646),IF(X1646&gt;$L$7,W1646,""),"")</f>
        <v/>
      </c>
      <c r="Z1646">
        <f>IF(ISNUMBER('자료_거시'!$K1628),'자료_거시'!$K1628,Z1645)</f>
        <v/>
      </c>
      <c r="AA1646">
        <f>IF(AND(ISNUMBER('자료_거시'!$J1628),ISNUMBER('자료_거시'!$K1628)),IFERROR('자료_거시'!$K1628/INDEX($Z$21:$Z$4020,MATCH(EDATE('자료_거시'!$J1628,-'설정'!$B$17),'자료_거시'!$J$3:INDEX('자료_거시'!$J$3:$J$4002,$K$8),1))-1,""),"")</f>
        <v/>
      </c>
      <c r="AB1646">
        <f>IF(ISNUMBER(AA1646),'자료_거시'!$J1628,"")</f>
        <v/>
      </c>
      <c r="AC1646">
        <f>IF(ISNUMBER(AB1646),IF(AB1646&gt;$L$8,AA1646,""),"")</f>
        <v/>
      </c>
    </row>
    <row r="1647">
      <c r="S1647">
        <f>IF(ISNUMBER('자료_거시'!$E1629),'자료_거시'!$E1629,S1646)</f>
        <v/>
      </c>
      <c r="T1647">
        <f>IF(AND(ISNUMBER('자료_거시'!$D1629),ISNUMBER('자료_거시'!$E1629)),IFERROR('자료_거시'!$E1629-INDEX($S$21:$S$4020,MATCH(EDATE('자료_거시'!$D1629,-'설정'!$B$17),'자료_거시'!$D$3:INDEX('자료_거시'!$D$3:$D$4002,$K$6),1)),""),"")</f>
        <v/>
      </c>
      <c r="U1647">
        <f>IF(ISNUMBER(T1647),'자료_거시'!$D1629,"")</f>
        <v/>
      </c>
      <c r="V1647">
        <f>IF(ISNUMBER(U1647),IF(U1647&gt;$L$6,T1647,""),"")</f>
        <v/>
      </c>
      <c r="W1647">
        <f>IF(AND(ISNUMBER('자료_거시'!$G1629),ISNUMBER('자료_거시'!$H1629)),'자료_거시'!$H1629,"")</f>
        <v/>
      </c>
      <c r="X1647">
        <f>IF(ISNUMBER(W1647),'자료_거시'!$G1629,"")</f>
        <v/>
      </c>
      <c r="Y1647">
        <f>IF(ISNUMBER(X1647),IF(X1647&gt;$L$7,W1647,""),"")</f>
        <v/>
      </c>
      <c r="Z1647">
        <f>IF(ISNUMBER('자료_거시'!$K1629),'자료_거시'!$K1629,Z1646)</f>
        <v/>
      </c>
      <c r="AA1647">
        <f>IF(AND(ISNUMBER('자료_거시'!$J1629),ISNUMBER('자료_거시'!$K1629)),IFERROR('자료_거시'!$K1629/INDEX($Z$21:$Z$4020,MATCH(EDATE('자료_거시'!$J1629,-'설정'!$B$17),'자료_거시'!$J$3:INDEX('자료_거시'!$J$3:$J$4002,$K$8),1))-1,""),"")</f>
        <v/>
      </c>
      <c r="AB1647">
        <f>IF(ISNUMBER(AA1647),'자료_거시'!$J1629,"")</f>
        <v/>
      </c>
      <c r="AC1647">
        <f>IF(ISNUMBER(AB1647),IF(AB1647&gt;$L$8,AA1647,""),"")</f>
        <v/>
      </c>
    </row>
    <row r="1648">
      <c r="S1648">
        <f>IF(ISNUMBER('자료_거시'!$E1630),'자료_거시'!$E1630,S1647)</f>
        <v/>
      </c>
      <c r="T1648">
        <f>IF(AND(ISNUMBER('자료_거시'!$D1630),ISNUMBER('자료_거시'!$E1630)),IFERROR('자료_거시'!$E1630-INDEX($S$21:$S$4020,MATCH(EDATE('자료_거시'!$D1630,-'설정'!$B$17),'자료_거시'!$D$3:INDEX('자료_거시'!$D$3:$D$4002,$K$6),1)),""),"")</f>
        <v/>
      </c>
      <c r="U1648">
        <f>IF(ISNUMBER(T1648),'자료_거시'!$D1630,"")</f>
        <v/>
      </c>
      <c r="V1648">
        <f>IF(ISNUMBER(U1648),IF(U1648&gt;$L$6,T1648,""),"")</f>
        <v/>
      </c>
      <c r="W1648">
        <f>IF(AND(ISNUMBER('자료_거시'!$G1630),ISNUMBER('자료_거시'!$H1630)),'자료_거시'!$H1630,"")</f>
        <v/>
      </c>
      <c r="X1648">
        <f>IF(ISNUMBER(W1648),'자료_거시'!$G1630,"")</f>
        <v/>
      </c>
      <c r="Y1648">
        <f>IF(ISNUMBER(X1648),IF(X1648&gt;$L$7,W1648,""),"")</f>
        <v/>
      </c>
      <c r="Z1648">
        <f>IF(ISNUMBER('자료_거시'!$K1630),'자료_거시'!$K1630,Z1647)</f>
        <v/>
      </c>
      <c r="AA1648">
        <f>IF(AND(ISNUMBER('자료_거시'!$J1630),ISNUMBER('자료_거시'!$K1630)),IFERROR('자료_거시'!$K1630/INDEX($Z$21:$Z$4020,MATCH(EDATE('자료_거시'!$J1630,-'설정'!$B$17),'자료_거시'!$J$3:INDEX('자료_거시'!$J$3:$J$4002,$K$8),1))-1,""),"")</f>
        <v/>
      </c>
      <c r="AB1648">
        <f>IF(ISNUMBER(AA1648),'자료_거시'!$J1630,"")</f>
        <v/>
      </c>
      <c r="AC1648">
        <f>IF(ISNUMBER(AB1648),IF(AB1648&gt;$L$8,AA1648,""),"")</f>
        <v/>
      </c>
    </row>
    <row r="1649">
      <c r="S1649">
        <f>IF(ISNUMBER('자료_거시'!$E1631),'자료_거시'!$E1631,S1648)</f>
        <v/>
      </c>
      <c r="T1649">
        <f>IF(AND(ISNUMBER('자료_거시'!$D1631),ISNUMBER('자료_거시'!$E1631)),IFERROR('자료_거시'!$E1631-INDEX($S$21:$S$4020,MATCH(EDATE('자료_거시'!$D1631,-'설정'!$B$17),'자료_거시'!$D$3:INDEX('자료_거시'!$D$3:$D$4002,$K$6),1)),""),"")</f>
        <v/>
      </c>
      <c r="U1649">
        <f>IF(ISNUMBER(T1649),'자료_거시'!$D1631,"")</f>
        <v/>
      </c>
      <c r="V1649">
        <f>IF(ISNUMBER(U1649),IF(U1649&gt;$L$6,T1649,""),"")</f>
        <v/>
      </c>
      <c r="W1649">
        <f>IF(AND(ISNUMBER('자료_거시'!$G1631),ISNUMBER('자료_거시'!$H1631)),'자료_거시'!$H1631,"")</f>
        <v/>
      </c>
      <c r="X1649">
        <f>IF(ISNUMBER(W1649),'자료_거시'!$G1631,"")</f>
        <v/>
      </c>
      <c r="Y1649">
        <f>IF(ISNUMBER(X1649),IF(X1649&gt;$L$7,W1649,""),"")</f>
        <v/>
      </c>
      <c r="Z1649">
        <f>IF(ISNUMBER('자료_거시'!$K1631),'자료_거시'!$K1631,Z1648)</f>
        <v/>
      </c>
      <c r="AA1649">
        <f>IF(AND(ISNUMBER('자료_거시'!$J1631),ISNUMBER('자료_거시'!$K1631)),IFERROR('자료_거시'!$K1631/INDEX($Z$21:$Z$4020,MATCH(EDATE('자료_거시'!$J1631,-'설정'!$B$17),'자료_거시'!$J$3:INDEX('자료_거시'!$J$3:$J$4002,$K$8),1))-1,""),"")</f>
        <v/>
      </c>
      <c r="AB1649">
        <f>IF(ISNUMBER(AA1649),'자료_거시'!$J1631,"")</f>
        <v/>
      </c>
      <c r="AC1649">
        <f>IF(ISNUMBER(AB1649),IF(AB1649&gt;$L$8,AA1649,""),"")</f>
        <v/>
      </c>
    </row>
    <row r="1650">
      <c r="S1650">
        <f>IF(ISNUMBER('자료_거시'!$E1632),'자료_거시'!$E1632,S1649)</f>
        <v/>
      </c>
      <c r="T1650">
        <f>IF(AND(ISNUMBER('자료_거시'!$D1632),ISNUMBER('자료_거시'!$E1632)),IFERROR('자료_거시'!$E1632-INDEX($S$21:$S$4020,MATCH(EDATE('자료_거시'!$D1632,-'설정'!$B$17),'자료_거시'!$D$3:INDEX('자료_거시'!$D$3:$D$4002,$K$6),1)),""),"")</f>
        <v/>
      </c>
      <c r="U1650">
        <f>IF(ISNUMBER(T1650),'자료_거시'!$D1632,"")</f>
        <v/>
      </c>
      <c r="V1650">
        <f>IF(ISNUMBER(U1650),IF(U1650&gt;$L$6,T1650,""),"")</f>
        <v/>
      </c>
      <c r="W1650">
        <f>IF(AND(ISNUMBER('자료_거시'!$G1632),ISNUMBER('자료_거시'!$H1632)),'자료_거시'!$H1632,"")</f>
        <v/>
      </c>
      <c r="X1650">
        <f>IF(ISNUMBER(W1650),'자료_거시'!$G1632,"")</f>
        <v/>
      </c>
      <c r="Y1650">
        <f>IF(ISNUMBER(X1650),IF(X1650&gt;$L$7,W1650,""),"")</f>
        <v/>
      </c>
      <c r="Z1650">
        <f>IF(ISNUMBER('자료_거시'!$K1632),'자료_거시'!$K1632,Z1649)</f>
        <v/>
      </c>
      <c r="AA1650">
        <f>IF(AND(ISNUMBER('자료_거시'!$J1632),ISNUMBER('자료_거시'!$K1632)),IFERROR('자료_거시'!$K1632/INDEX($Z$21:$Z$4020,MATCH(EDATE('자료_거시'!$J1632,-'설정'!$B$17),'자료_거시'!$J$3:INDEX('자료_거시'!$J$3:$J$4002,$K$8),1))-1,""),"")</f>
        <v/>
      </c>
      <c r="AB1650">
        <f>IF(ISNUMBER(AA1650),'자료_거시'!$J1632,"")</f>
        <v/>
      </c>
      <c r="AC1650">
        <f>IF(ISNUMBER(AB1650),IF(AB1650&gt;$L$8,AA1650,""),"")</f>
        <v/>
      </c>
    </row>
    <row r="1651">
      <c r="S1651">
        <f>IF(ISNUMBER('자료_거시'!$E1633),'자료_거시'!$E1633,S1650)</f>
        <v/>
      </c>
      <c r="T1651">
        <f>IF(AND(ISNUMBER('자료_거시'!$D1633),ISNUMBER('자료_거시'!$E1633)),IFERROR('자료_거시'!$E1633-INDEX($S$21:$S$4020,MATCH(EDATE('자료_거시'!$D1633,-'설정'!$B$17),'자료_거시'!$D$3:INDEX('자료_거시'!$D$3:$D$4002,$K$6),1)),""),"")</f>
        <v/>
      </c>
      <c r="U1651">
        <f>IF(ISNUMBER(T1651),'자료_거시'!$D1633,"")</f>
        <v/>
      </c>
      <c r="V1651">
        <f>IF(ISNUMBER(U1651),IF(U1651&gt;$L$6,T1651,""),"")</f>
        <v/>
      </c>
      <c r="W1651">
        <f>IF(AND(ISNUMBER('자료_거시'!$G1633),ISNUMBER('자료_거시'!$H1633)),'자료_거시'!$H1633,"")</f>
        <v/>
      </c>
      <c r="X1651">
        <f>IF(ISNUMBER(W1651),'자료_거시'!$G1633,"")</f>
        <v/>
      </c>
      <c r="Y1651">
        <f>IF(ISNUMBER(X1651),IF(X1651&gt;$L$7,W1651,""),"")</f>
        <v/>
      </c>
      <c r="Z1651">
        <f>IF(ISNUMBER('자료_거시'!$K1633),'자료_거시'!$K1633,Z1650)</f>
        <v/>
      </c>
      <c r="AA1651">
        <f>IF(AND(ISNUMBER('자료_거시'!$J1633),ISNUMBER('자료_거시'!$K1633)),IFERROR('자료_거시'!$K1633/INDEX($Z$21:$Z$4020,MATCH(EDATE('자료_거시'!$J1633,-'설정'!$B$17),'자료_거시'!$J$3:INDEX('자료_거시'!$J$3:$J$4002,$K$8),1))-1,""),"")</f>
        <v/>
      </c>
      <c r="AB1651">
        <f>IF(ISNUMBER(AA1651),'자료_거시'!$J1633,"")</f>
        <v/>
      </c>
      <c r="AC1651">
        <f>IF(ISNUMBER(AB1651),IF(AB1651&gt;$L$8,AA1651,""),"")</f>
        <v/>
      </c>
    </row>
    <row r="1652">
      <c r="S1652">
        <f>IF(ISNUMBER('자료_거시'!$E1634),'자료_거시'!$E1634,S1651)</f>
        <v/>
      </c>
      <c r="T1652">
        <f>IF(AND(ISNUMBER('자료_거시'!$D1634),ISNUMBER('자료_거시'!$E1634)),IFERROR('자료_거시'!$E1634-INDEX($S$21:$S$4020,MATCH(EDATE('자료_거시'!$D1634,-'설정'!$B$17),'자료_거시'!$D$3:INDEX('자료_거시'!$D$3:$D$4002,$K$6),1)),""),"")</f>
        <v/>
      </c>
      <c r="U1652">
        <f>IF(ISNUMBER(T1652),'자료_거시'!$D1634,"")</f>
        <v/>
      </c>
      <c r="V1652">
        <f>IF(ISNUMBER(U1652),IF(U1652&gt;$L$6,T1652,""),"")</f>
        <v/>
      </c>
      <c r="W1652">
        <f>IF(AND(ISNUMBER('자료_거시'!$G1634),ISNUMBER('자료_거시'!$H1634)),'자료_거시'!$H1634,"")</f>
        <v/>
      </c>
      <c r="X1652">
        <f>IF(ISNUMBER(W1652),'자료_거시'!$G1634,"")</f>
        <v/>
      </c>
      <c r="Y1652">
        <f>IF(ISNUMBER(X1652),IF(X1652&gt;$L$7,W1652,""),"")</f>
        <v/>
      </c>
      <c r="Z1652">
        <f>IF(ISNUMBER('자료_거시'!$K1634),'자료_거시'!$K1634,Z1651)</f>
        <v/>
      </c>
      <c r="AA1652">
        <f>IF(AND(ISNUMBER('자료_거시'!$J1634),ISNUMBER('자료_거시'!$K1634)),IFERROR('자료_거시'!$K1634/INDEX($Z$21:$Z$4020,MATCH(EDATE('자료_거시'!$J1634,-'설정'!$B$17),'자료_거시'!$J$3:INDEX('자료_거시'!$J$3:$J$4002,$K$8),1))-1,""),"")</f>
        <v/>
      </c>
      <c r="AB1652">
        <f>IF(ISNUMBER(AA1652),'자료_거시'!$J1634,"")</f>
        <v/>
      </c>
      <c r="AC1652">
        <f>IF(ISNUMBER(AB1652),IF(AB1652&gt;$L$8,AA1652,""),"")</f>
        <v/>
      </c>
    </row>
    <row r="1653">
      <c r="S1653">
        <f>IF(ISNUMBER('자료_거시'!$E1635),'자료_거시'!$E1635,S1652)</f>
        <v/>
      </c>
      <c r="T1653">
        <f>IF(AND(ISNUMBER('자료_거시'!$D1635),ISNUMBER('자료_거시'!$E1635)),IFERROR('자료_거시'!$E1635-INDEX($S$21:$S$4020,MATCH(EDATE('자료_거시'!$D1635,-'설정'!$B$17),'자료_거시'!$D$3:INDEX('자료_거시'!$D$3:$D$4002,$K$6),1)),""),"")</f>
        <v/>
      </c>
      <c r="U1653">
        <f>IF(ISNUMBER(T1653),'자료_거시'!$D1635,"")</f>
        <v/>
      </c>
      <c r="V1653">
        <f>IF(ISNUMBER(U1653),IF(U1653&gt;$L$6,T1653,""),"")</f>
        <v/>
      </c>
      <c r="W1653">
        <f>IF(AND(ISNUMBER('자료_거시'!$G1635),ISNUMBER('자료_거시'!$H1635)),'자료_거시'!$H1635,"")</f>
        <v/>
      </c>
      <c r="X1653">
        <f>IF(ISNUMBER(W1653),'자료_거시'!$G1635,"")</f>
        <v/>
      </c>
      <c r="Y1653">
        <f>IF(ISNUMBER(X1653),IF(X1653&gt;$L$7,W1653,""),"")</f>
        <v/>
      </c>
      <c r="Z1653">
        <f>IF(ISNUMBER('자료_거시'!$K1635),'자료_거시'!$K1635,Z1652)</f>
        <v/>
      </c>
      <c r="AA1653">
        <f>IF(AND(ISNUMBER('자료_거시'!$J1635),ISNUMBER('자료_거시'!$K1635)),IFERROR('자료_거시'!$K1635/INDEX($Z$21:$Z$4020,MATCH(EDATE('자료_거시'!$J1635,-'설정'!$B$17),'자료_거시'!$J$3:INDEX('자료_거시'!$J$3:$J$4002,$K$8),1))-1,""),"")</f>
        <v/>
      </c>
      <c r="AB1653">
        <f>IF(ISNUMBER(AA1653),'자료_거시'!$J1635,"")</f>
        <v/>
      </c>
      <c r="AC1653">
        <f>IF(ISNUMBER(AB1653),IF(AB1653&gt;$L$8,AA1653,""),"")</f>
        <v/>
      </c>
    </row>
    <row r="1654">
      <c r="S1654">
        <f>IF(ISNUMBER('자료_거시'!$E1636),'자료_거시'!$E1636,S1653)</f>
        <v/>
      </c>
      <c r="T1654">
        <f>IF(AND(ISNUMBER('자료_거시'!$D1636),ISNUMBER('자료_거시'!$E1636)),IFERROR('자료_거시'!$E1636-INDEX($S$21:$S$4020,MATCH(EDATE('자료_거시'!$D1636,-'설정'!$B$17),'자료_거시'!$D$3:INDEX('자료_거시'!$D$3:$D$4002,$K$6),1)),""),"")</f>
        <v/>
      </c>
      <c r="U1654">
        <f>IF(ISNUMBER(T1654),'자료_거시'!$D1636,"")</f>
        <v/>
      </c>
      <c r="V1654">
        <f>IF(ISNUMBER(U1654),IF(U1654&gt;$L$6,T1654,""),"")</f>
        <v/>
      </c>
      <c r="W1654">
        <f>IF(AND(ISNUMBER('자료_거시'!$G1636),ISNUMBER('자료_거시'!$H1636)),'자료_거시'!$H1636,"")</f>
        <v/>
      </c>
      <c r="X1654">
        <f>IF(ISNUMBER(W1654),'자료_거시'!$G1636,"")</f>
        <v/>
      </c>
      <c r="Y1654">
        <f>IF(ISNUMBER(X1654),IF(X1654&gt;$L$7,W1654,""),"")</f>
        <v/>
      </c>
      <c r="Z1654">
        <f>IF(ISNUMBER('자료_거시'!$K1636),'자료_거시'!$K1636,Z1653)</f>
        <v/>
      </c>
      <c r="AA1654">
        <f>IF(AND(ISNUMBER('자료_거시'!$J1636),ISNUMBER('자료_거시'!$K1636)),IFERROR('자료_거시'!$K1636/INDEX($Z$21:$Z$4020,MATCH(EDATE('자료_거시'!$J1636,-'설정'!$B$17),'자료_거시'!$J$3:INDEX('자료_거시'!$J$3:$J$4002,$K$8),1))-1,""),"")</f>
        <v/>
      </c>
      <c r="AB1654">
        <f>IF(ISNUMBER(AA1654),'자료_거시'!$J1636,"")</f>
        <v/>
      </c>
      <c r="AC1654">
        <f>IF(ISNUMBER(AB1654),IF(AB1654&gt;$L$8,AA1654,""),"")</f>
        <v/>
      </c>
    </row>
    <row r="1655">
      <c r="S1655">
        <f>IF(ISNUMBER('자료_거시'!$E1637),'자료_거시'!$E1637,S1654)</f>
        <v/>
      </c>
      <c r="T1655">
        <f>IF(AND(ISNUMBER('자료_거시'!$D1637),ISNUMBER('자료_거시'!$E1637)),IFERROR('자료_거시'!$E1637-INDEX($S$21:$S$4020,MATCH(EDATE('자료_거시'!$D1637,-'설정'!$B$17),'자료_거시'!$D$3:INDEX('자료_거시'!$D$3:$D$4002,$K$6),1)),""),"")</f>
        <v/>
      </c>
      <c r="U1655">
        <f>IF(ISNUMBER(T1655),'자료_거시'!$D1637,"")</f>
        <v/>
      </c>
      <c r="V1655">
        <f>IF(ISNUMBER(U1655),IF(U1655&gt;$L$6,T1655,""),"")</f>
        <v/>
      </c>
      <c r="W1655">
        <f>IF(AND(ISNUMBER('자료_거시'!$G1637),ISNUMBER('자료_거시'!$H1637)),'자료_거시'!$H1637,"")</f>
        <v/>
      </c>
      <c r="X1655">
        <f>IF(ISNUMBER(W1655),'자료_거시'!$G1637,"")</f>
        <v/>
      </c>
      <c r="Y1655">
        <f>IF(ISNUMBER(X1655),IF(X1655&gt;$L$7,W1655,""),"")</f>
        <v/>
      </c>
      <c r="Z1655">
        <f>IF(ISNUMBER('자료_거시'!$K1637),'자료_거시'!$K1637,Z1654)</f>
        <v/>
      </c>
      <c r="AA1655">
        <f>IF(AND(ISNUMBER('자료_거시'!$J1637),ISNUMBER('자료_거시'!$K1637)),IFERROR('자료_거시'!$K1637/INDEX($Z$21:$Z$4020,MATCH(EDATE('자료_거시'!$J1637,-'설정'!$B$17),'자료_거시'!$J$3:INDEX('자료_거시'!$J$3:$J$4002,$K$8),1))-1,""),"")</f>
        <v/>
      </c>
      <c r="AB1655">
        <f>IF(ISNUMBER(AA1655),'자료_거시'!$J1637,"")</f>
        <v/>
      </c>
      <c r="AC1655">
        <f>IF(ISNUMBER(AB1655),IF(AB1655&gt;$L$8,AA1655,""),"")</f>
        <v/>
      </c>
    </row>
    <row r="1656">
      <c r="S1656">
        <f>IF(ISNUMBER('자료_거시'!$E1638),'자료_거시'!$E1638,S1655)</f>
        <v/>
      </c>
      <c r="T1656">
        <f>IF(AND(ISNUMBER('자료_거시'!$D1638),ISNUMBER('자료_거시'!$E1638)),IFERROR('자료_거시'!$E1638-INDEX($S$21:$S$4020,MATCH(EDATE('자료_거시'!$D1638,-'설정'!$B$17),'자료_거시'!$D$3:INDEX('자료_거시'!$D$3:$D$4002,$K$6),1)),""),"")</f>
        <v/>
      </c>
      <c r="U1656">
        <f>IF(ISNUMBER(T1656),'자료_거시'!$D1638,"")</f>
        <v/>
      </c>
      <c r="V1656">
        <f>IF(ISNUMBER(U1656),IF(U1656&gt;$L$6,T1656,""),"")</f>
        <v/>
      </c>
      <c r="W1656">
        <f>IF(AND(ISNUMBER('자료_거시'!$G1638),ISNUMBER('자료_거시'!$H1638)),'자료_거시'!$H1638,"")</f>
        <v/>
      </c>
      <c r="X1656">
        <f>IF(ISNUMBER(W1656),'자료_거시'!$G1638,"")</f>
        <v/>
      </c>
      <c r="Y1656">
        <f>IF(ISNUMBER(X1656),IF(X1656&gt;$L$7,W1656,""),"")</f>
        <v/>
      </c>
      <c r="Z1656">
        <f>IF(ISNUMBER('자료_거시'!$K1638),'자료_거시'!$K1638,Z1655)</f>
        <v/>
      </c>
      <c r="AA1656">
        <f>IF(AND(ISNUMBER('자료_거시'!$J1638),ISNUMBER('자료_거시'!$K1638)),IFERROR('자료_거시'!$K1638/INDEX($Z$21:$Z$4020,MATCH(EDATE('자료_거시'!$J1638,-'설정'!$B$17),'자료_거시'!$J$3:INDEX('자료_거시'!$J$3:$J$4002,$K$8),1))-1,""),"")</f>
        <v/>
      </c>
      <c r="AB1656">
        <f>IF(ISNUMBER(AA1656),'자료_거시'!$J1638,"")</f>
        <v/>
      </c>
      <c r="AC1656">
        <f>IF(ISNUMBER(AB1656),IF(AB1656&gt;$L$8,AA1656,""),"")</f>
        <v/>
      </c>
    </row>
    <row r="1657">
      <c r="S1657">
        <f>IF(ISNUMBER('자료_거시'!$E1639),'자료_거시'!$E1639,S1656)</f>
        <v/>
      </c>
      <c r="T1657">
        <f>IF(AND(ISNUMBER('자료_거시'!$D1639),ISNUMBER('자료_거시'!$E1639)),IFERROR('자료_거시'!$E1639-INDEX($S$21:$S$4020,MATCH(EDATE('자료_거시'!$D1639,-'설정'!$B$17),'자료_거시'!$D$3:INDEX('자료_거시'!$D$3:$D$4002,$K$6),1)),""),"")</f>
        <v/>
      </c>
      <c r="U1657">
        <f>IF(ISNUMBER(T1657),'자료_거시'!$D1639,"")</f>
        <v/>
      </c>
      <c r="V1657">
        <f>IF(ISNUMBER(U1657),IF(U1657&gt;$L$6,T1657,""),"")</f>
        <v/>
      </c>
      <c r="W1657">
        <f>IF(AND(ISNUMBER('자료_거시'!$G1639),ISNUMBER('자료_거시'!$H1639)),'자료_거시'!$H1639,"")</f>
        <v/>
      </c>
      <c r="X1657">
        <f>IF(ISNUMBER(W1657),'자료_거시'!$G1639,"")</f>
        <v/>
      </c>
      <c r="Y1657">
        <f>IF(ISNUMBER(X1657),IF(X1657&gt;$L$7,W1657,""),"")</f>
        <v/>
      </c>
      <c r="Z1657">
        <f>IF(ISNUMBER('자료_거시'!$K1639),'자료_거시'!$K1639,Z1656)</f>
        <v/>
      </c>
      <c r="AA1657">
        <f>IF(AND(ISNUMBER('자료_거시'!$J1639),ISNUMBER('자료_거시'!$K1639)),IFERROR('자료_거시'!$K1639/INDEX($Z$21:$Z$4020,MATCH(EDATE('자료_거시'!$J1639,-'설정'!$B$17),'자료_거시'!$J$3:INDEX('자료_거시'!$J$3:$J$4002,$K$8),1))-1,""),"")</f>
        <v/>
      </c>
      <c r="AB1657">
        <f>IF(ISNUMBER(AA1657),'자료_거시'!$J1639,"")</f>
        <v/>
      </c>
      <c r="AC1657">
        <f>IF(ISNUMBER(AB1657),IF(AB1657&gt;$L$8,AA1657,""),"")</f>
        <v/>
      </c>
    </row>
    <row r="1658">
      <c r="S1658">
        <f>IF(ISNUMBER('자료_거시'!$E1640),'자료_거시'!$E1640,S1657)</f>
        <v/>
      </c>
      <c r="T1658">
        <f>IF(AND(ISNUMBER('자료_거시'!$D1640),ISNUMBER('자료_거시'!$E1640)),IFERROR('자료_거시'!$E1640-INDEX($S$21:$S$4020,MATCH(EDATE('자료_거시'!$D1640,-'설정'!$B$17),'자료_거시'!$D$3:INDEX('자료_거시'!$D$3:$D$4002,$K$6),1)),""),"")</f>
        <v/>
      </c>
      <c r="U1658">
        <f>IF(ISNUMBER(T1658),'자료_거시'!$D1640,"")</f>
        <v/>
      </c>
      <c r="V1658">
        <f>IF(ISNUMBER(U1658),IF(U1658&gt;$L$6,T1658,""),"")</f>
        <v/>
      </c>
      <c r="W1658">
        <f>IF(AND(ISNUMBER('자료_거시'!$G1640),ISNUMBER('자료_거시'!$H1640)),'자료_거시'!$H1640,"")</f>
        <v/>
      </c>
      <c r="X1658">
        <f>IF(ISNUMBER(W1658),'자료_거시'!$G1640,"")</f>
        <v/>
      </c>
      <c r="Y1658">
        <f>IF(ISNUMBER(X1658),IF(X1658&gt;$L$7,W1658,""),"")</f>
        <v/>
      </c>
      <c r="Z1658">
        <f>IF(ISNUMBER('자료_거시'!$K1640),'자료_거시'!$K1640,Z1657)</f>
        <v/>
      </c>
      <c r="AA1658">
        <f>IF(AND(ISNUMBER('자료_거시'!$J1640),ISNUMBER('자료_거시'!$K1640)),IFERROR('자료_거시'!$K1640/INDEX($Z$21:$Z$4020,MATCH(EDATE('자료_거시'!$J1640,-'설정'!$B$17),'자료_거시'!$J$3:INDEX('자료_거시'!$J$3:$J$4002,$K$8),1))-1,""),"")</f>
        <v/>
      </c>
      <c r="AB1658">
        <f>IF(ISNUMBER(AA1658),'자료_거시'!$J1640,"")</f>
        <v/>
      </c>
      <c r="AC1658">
        <f>IF(ISNUMBER(AB1658),IF(AB1658&gt;$L$8,AA1658,""),"")</f>
        <v/>
      </c>
    </row>
    <row r="1659">
      <c r="S1659">
        <f>IF(ISNUMBER('자료_거시'!$E1641),'자료_거시'!$E1641,S1658)</f>
        <v/>
      </c>
      <c r="T1659">
        <f>IF(AND(ISNUMBER('자료_거시'!$D1641),ISNUMBER('자료_거시'!$E1641)),IFERROR('자료_거시'!$E1641-INDEX($S$21:$S$4020,MATCH(EDATE('자료_거시'!$D1641,-'설정'!$B$17),'자료_거시'!$D$3:INDEX('자료_거시'!$D$3:$D$4002,$K$6),1)),""),"")</f>
        <v/>
      </c>
      <c r="U1659">
        <f>IF(ISNUMBER(T1659),'자료_거시'!$D1641,"")</f>
        <v/>
      </c>
      <c r="V1659">
        <f>IF(ISNUMBER(U1659),IF(U1659&gt;$L$6,T1659,""),"")</f>
        <v/>
      </c>
      <c r="W1659">
        <f>IF(AND(ISNUMBER('자료_거시'!$G1641),ISNUMBER('자료_거시'!$H1641)),'자료_거시'!$H1641,"")</f>
        <v/>
      </c>
      <c r="X1659">
        <f>IF(ISNUMBER(W1659),'자료_거시'!$G1641,"")</f>
        <v/>
      </c>
      <c r="Y1659">
        <f>IF(ISNUMBER(X1659),IF(X1659&gt;$L$7,W1659,""),"")</f>
        <v/>
      </c>
      <c r="Z1659">
        <f>IF(ISNUMBER('자료_거시'!$K1641),'자료_거시'!$K1641,Z1658)</f>
        <v/>
      </c>
      <c r="AA1659">
        <f>IF(AND(ISNUMBER('자료_거시'!$J1641),ISNUMBER('자료_거시'!$K1641)),IFERROR('자료_거시'!$K1641/INDEX($Z$21:$Z$4020,MATCH(EDATE('자료_거시'!$J1641,-'설정'!$B$17),'자료_거시'!$J$3:INDEX('자료_거시'!$J$3:$J$4002,$K$8),1))-1,""),"")</f>
        <v/>
      </c>
      <c r="AB1659">
        <f>IF(ISNUMBER(AA1659),'자료_거시'!$J1641,"")</f>
        <v/>
      </c>
      <c r="AC1659">
        <f>IF(ISNUMBER(AB1659),IF(AB1659&gt;$L$8,AA1659,""),"")</f>
        <v/>
      </c>
    </row>
    <row r="1660">
      <c r="S1660">
        <f>IF(ISNUMBER('자료_거시'!$E1642),'자료_거시'!$E1642,S1659)</f>
        <v/>
      </c>
      <c r="T1660">
        <f>IF(AND(ISNUMBER('자료_거시'!$D1642),ISNUMBER('자료_거시'!$E1642)),IFERROR('자료_거시'!$E1642-INDEX($S$21:$S$4020,MATCH(EDATE('자료_거시'!$D1642,-'설정'!$B$17),'자료_거시'!$D$3:INDEX('자료_거시'!$D$3:$D$4002,$K$6),1)),""),"")</f>
        <v/>
      </c>
      <c r="U1660">
        <f>IF(ISNUMBER(T1660),'자료_거시'!$D1642,"")</f>
        <v/>
      </c>
      <c r="V1660">
        <f>IF(ISNUMBER(U1660),IF(U1660&gt;$L$6,T1660,""),"")</f>
        <v/>
      </c>
      <c r="W1660">
        <f>IF(AND(ISNUMBER('자료_거시'!$G1642),ISNUMBER('자료_거시'!$H1642)),'자료_거시'!$H1642,"")</f>
        <v/>
      </c>
      <c r="X1660">
        <f>IF(ISNUMBER(W1660),'자료_거시'!$G1642,"")</f>
        <v/>
      </c>
      <c r="Y1660">
        <f>IF(ISNUMBER(X1660),IF(X1660&gt;$L$7,W1660,""),"")</f>
        <v/>
      </c>
      <c r="Z1660">
        <f>IF(ISNUMBER('자료_거시'!$K1642),'자료_거시'!$K1642,Z1659)</f>
        <v/>
      </c>
      <c r="AA1660">
        <f>IF(AND(ISNUMBER('자료_거시'!$J1642),ISNUMBER('자료_거시'!$K1642)),IFERROR('자료_거시'!$K1642/INDEX($Z$21:$Z$4020,MATCH(EDATE('자료_거시'!$J1642,-'설정'!$B$17),'자료_거시'!$J$3:INDEX('자료_거시'!$J$3:$J$4002,$K$8),1))-1,""),"")</f>
        <v/>
      </c>
      <c r="AB1660">
        <f>IF(ISNUMBER(AA1660),'자료_거시'!$J1642,"")</f>
        <v/>
      </c>
      <c r="AC1660">
        <f>IF(ISNUMBER(AB1660),IF(AB1660&gt;$L$8,AA1660,""),"")</f>
        <v/>
      </c>
    </row>
    <row r="1661">
      <c r="S1661">
        <f>IF(ISNUMBER('자료_거시'!$E1643),'자료_거시'!$E1643,S1660)</f>
        <v/>
      </c>
      <c r="T1661">
        <f>IF(AND(ISNUMBER('자료_거시'!$D1643),ISNUMBER('자료_거시'!$E1643)),IFERROR('자료_거시'!$E1643-INDEX($S$21:$S$4020,MATCH(EDATE('자료_거시'!$D1643,-'설정'!$B$17),'자료_거시'!$D$3:INDEX('자료_거시'!$D$3:$D$4002,$K$6),1)),""),"")</f>
        <v/>
      </c>
      <c r="U1661">
        <f>IF(ISNUMBER(T1661),'자료_거시'!$D1643,"")</f>
        <v/>
      </c>
      <c r="V1661">
        <f>IF(ISNUMBER(U1661),IF(U1661&gt;$L$6,T1661,""),"")</f>
        <v/>
      </c>
      <c r="W1661">
        <f>IF(AND(ISNUMBER('자료_거시'!$G1643),ISNUMBER('자료_거시'!$H1643)),'자료_거시'!$H1643,"")</f>
        <v/>
      </c>
      <c r="X1661">
        <f>IF(ISNUMBER(W1661),'자료_거시'!$G1643,"")</f>
        <v/>
      </c>
      <c r="Y1661">
        <f>IF(ISNUMBER(X1661),IF(X1661&gt;$L$7,W1661,""),"")</f>
        <v/>
      </c>
      <c r="Z1661">
        <f>IF(ISNUMBER('자료_거시'!$K1643),'자료_거시'!$K1643,Z1660)</f>
        <v/>
      </c>
      <c r="AA1661">
        <f>IF(AND(ISNUMBER('자료_거시'!$J1643),ISNUMBER('자료_거시'!$K1643)),IFERROR('자료_거시'!$K1643/INDEX($Z$21:$Z$4020,MATCH(EDATE('자료_거시'!$J1643,-'설정'!$B$17),'자료_거시'!$J$3:INDEX('자료_거시'!$J$3:$J$4002,$K$8),1))-1,""),"")</f>
        <v/>
      </c>
      <c r="AB1661">
        <f>IF(ISNUMBER(AA1661),'자료_거시'!$J1643,"")</f>
        <v/>
      </c>
      <c r="AC1661">
        <f>IF(ISNUMBER(AB1661),IF(AB1661&gt;$L$8,AA1661,""),"")</f>
        <v/>
      </c>
    </row>
    <row r="1662">
      <c r="S1662">
        <f>IF(ISNUMBER('자료_거시'!$E1644),'자료_거시'!$E1644,S1661)</f>
        <v/>
      </c>
      <c r="T1662">
        <f>IF(AND(ISNUMBER('자료_거시'!$D1644),ISNUMBER('자료_거시'!$E1644)),IFERROR('자료_거시'!$E1644-INDEX($S$21:$S$4020,MATCH(EDATE('자료_거시'!$D1644,-'설정'!$B$17),'자료_거시'!$D$3:INDEX('자료_거시'!$D$3:$D$4002,$K$6),1)),""),"")</f>
        <v/>
      </c>
      <c r="U1662">
        <f>IF(ISNUMBER(T1662),'자료_거시'!$D1644,"")</f>
        <v/>
      </c>
      <c r="V1662">
        <f>IF(ISNUMBER(U1662),IF(U1662&gt;$L$6,T1662,""),"")</f>
        <v/>
      </c>
      <c r="W1662">
        <f>IF(AND(ISNUMBER('자료_거시'!$G1644),ISNUMBER('자료_거시'!$H1644)),'자료_거시'!$H1644,"")</f>
        <v/>
      </c>
      <c r="X1662">
        <f>IF(ISNUMBER(W1662),'자료_거시'!$G1644,"")</f>
        <v/>
      </c>
      <c r="Y1662">
        <f>IF(ISNUMBER(X1662),IF(X1662&gt;$L$7,W1662,""),"")</f>
        <v/>
      </c>
      <c r="Z1662">
        <f>IF(ISNUMBER('자료_거시'!$K1644),'자료_거시'!$K1644,Z1661)</f>
        <v/>
      </c>
      <c r="AA1662">
        <f>IF(AND(ISNUMBER('자료_거시'!$J1644),ISNUMBER('자료_거시'!$K1644)),IFERROR('자료_거시'!$K1644/INDEX($Z$21:$Z$4020,MATCH(EDATE('자료_거시'!$J1644,-'설정'!$B$17),'자료_거시'!$J$3:INDEX('자료_거시'!$J$3:$J$4002,$K$8),1))-1,""),"")</f>
        <v/>
      </c>
      <c r="AB1662">
        <f>IF(ISNUMBER(AA1662),'자료_거시'!$J1644,"")</f>
        <v/>
      </c>
      <c r="AC1662">
        <f>IF(ISNUMBER(AB1662),IF(AB1662&gt;$L$8,AA1662,""),"")</f>
        <v/>
      </c>
    </row>
    <row r="1663">
      <c r="S1663">
        <f>IF(ISNUMBER('자료_거시'!$E1645),'자료_거시'!$E1645,S1662)</f>
        <v/>
      </c>
      <c r="T1663">
        <f>IF(AND(ISNUMBER('자료_거시'!$D1645),ISNUMBER('자료_거시'!$E1645)),IFERROR('자료_거시'!$E1645-INDEX($S$21:$S$4020,MATCH(EDATE('자료_거시'!$D1645,-'설정'!$B$17),'자료_거시'!$D$3:INDEX('자료_거시'!$D$3:$D$4002,$K$6),1)),""),"")</f>
        <v/>
      </c>
      <c r="U1663">
        <f>IF(ISNUMBER(T1663),'자료_거시'!$D1645,"")</f>
        <v/>
      </c>
      <c r="V1663">
        <f>IF(ISNUMBER(U1663),IF(U1663&gt;$L$6,T1663,""),"")</f>
        <v/>
      </c>
      <c r="W1663">
        <f>IF(AND(ISNUMBER('자료_거시'!$G1645),ISNUMBER('자료_거시'!$H1645)),'자료_거시'!$H1645,"")</f>
        <v/>
      </c>
      <c r="X1663">
        <f>IF(ISNUMBER(W1663),'자료_거시'!$G1645,"")</f>
        <v/>
      </c>
      <c r="Y1663">
        <f>IF(ISNUMBER(X1663),IF(X1663&gt;$L$7,W1663,""),"")</f>
        <v/>
      </c>
      <c r="Z1663">
        <f>IF(ISNUMBER('자료_거시'!$K1645),'자료_거시'!$K1645,Z1662)</f>
        <v/>
      </c>
      <c r="AA1663">
        <f>IF(AND(ISNUMBER('자료_거시'!$J1645),ISNUMBER('자료_거시'!$K1645)),IFERROR('자료_거시'!$K1645/INDEX($Z$21:$Z$4020,MATCH(EDATE('자료_거시'!$J1645,-'설정'!$B$17),'자료_거시'!$J$3:INDEX('자료_거시'!$J$3:$J$4002,$K$8),1))-1,""),"")</f>
        <v/>
      </c>
      <c r="AB1663">
        <f>IF(ISNUMBER(AA1663),'자료_거시'!$J1645,"")</f>
        <v/>
      </c>
      <c r="AC1663">
        <f>IF(ISNUMBER(AB1663),IF(AB1663&gt;$L$8,AA1663,""),"")</f>
        <v/>
      </c>
    </row>
    <row r="1664">
      <c r="S1664">
        <f>IF(ISNUMBER('자료_거시'!$E1646),'자료_거시'!$E1646,S1663)</f>
        <v/>
      </c>
      <c r="T1664">
        <f>IF(AND(ISNUMBER('자료_거시'!$D1646),ISNUMBER('자료_거시'!$E1646)),IFERROR('자료_거시'!$E1646-INDEX($S$21:$S$4020,MATCH(EDATE('자료_거시'!$D1646,-'설정'!$B$17),'자료_거시'!$D$3:INDEX('자료_거시'!$D$3:$D$4002,$K$6),1)),""),"")</f>
        <v/>
      </c>
      <c r="U1664">
        <f>IF(ISNUMBER(T1664),'자료_거시'!$D1646,"")</f>
        <v/>
      </c>
      <c r="V1664">
        <f>IF(ISNUMBER(U1664),IF(U1664&gt;$L$6,T1664,""),"")</f>
        <v/>
      </c>
      <c r="W1664">
        <f>IF(AND(ISNUMBER('자료_거시'!$G1646),ISNUMBER('자료_거시'!$H1646)),'자료_거시'!$H1646,"")</f>
        <v/>
      </c>
      <c r="X1664">
        <f>IF(ISNUMBER(W1664),'자료_거시'!$G1646,"")</f>
        <v/>
      </c>
      <c r="Y1664">
        <f>IF(ISNUMBER(X1664),IF(X1664&gt;$L$7,W1664,""),"")</f>
        <v/>
      </c>
      <c r="Z1664">
        <f>IF(ISNUMBER('자료_거시'!$K1646),'자료_거시'!$K1646,Z1663)</f>
        <v/>
      </c>
      <c r="AA1664">
        <f>IF(AND(ISNUMBER('자료_거시'!$J1646),ISNUMBER('자료_거시'!$K1646)),IFERROR('자료_거시'!$K1646/INDEX($Z$21:$Z$4020,MATCH(EDATE('자료_거시'!$J1646,-'설정'!$B$17),'자료_거시'!$J$3:INDEX('자료_거시'!$J$3:$J$4002,$K$8),1))-1,""),"")</f>
        <v/>
      </c>
      <c r="AB1664">
        <f>IF(ISNUMBER(AA1664),'자료_거시'!$J1646,"")</f>
        <v/>
      </c>
      <c r="AC1664">
        <f>IF(ISNUMBER(AB1664),IF(AB1664&gt;$L$8,AA1664,""),"")</f>
        <v/>
      </c>
    </row>
    <row r="1665">
      <c r="S1665">
        <f>IF(ISNUMBER('자료_거시'!$E1647),'자료_거시'!$E1647,S1664)</f>
        <v/>
      </c>
      <c r="T1665">
        <f>IF(AND(ISNUMBER('자료_거시'!$D1647),ISNUMBER('자료_거시'!$E1647)),IFERROR('자료_거시'!$E1647-INDEX($S$21:$S$4020,MATCH(EDATE('자료_거시'!$D1647,-'설정'!$B$17),'자료_거시'!$D$3:INDEX('자료_거시'!$D$3:$D$4002,$K$6),1)),""),"")</f>
        <v/>
      </c>
      <c r="U1665">
        <f>IF(ISNUMBER(T1665),'자료_거시'!$D1647,"")</f>
        <v/>
      </c>
      <c r="V1665">
        <f>IF(ISNUMBER(U1665),IF(U1665&gt;$L$6,T1665,""),"")</f>
        <v/>
      </c>
      <c r="W1665">
        <f>IF(AND(ISNUMBER('자료_거시'!$G1647),ISNUMBER('자료_거시'!$H1647)),'자료_거시'!$H1647,"")</f>
        <v/>
      </c>
      <c r="X1665">
        <f>IF(ISNUMBER(W1665),'자료_거시'!$G1647,"")</f>
        <v/>
      </c>
      <c r="Y1665">
        <f>IF(ISNUMBER(X1665),IF(X1665&gt;$L$7,W1665,""),"")</f>
        <v/>
      </c>
      <c r="Z1665">
        <f>IF(ISNUMBER('자료_거시'!$K1647),'자료_거시'!$K1647,Z1664)</f>
        <v/>
      </c>
      <c r="AA1665">
        <f>IF(AND(ISNUMBER('자료_거시'!$J1647),ISNUMBER('자료_거시'!$K1647)),IFERROR('자료_거시'!$K1647/INDEX($Z$21:$Z$4020,MATCH(EDATE('자료_거시'!$J1647,-'설정'!$B$17),'자료_거시'!$J$3:INDEX('자료_거시'!$J$3:$J$4002,$K$8),1))-1,""),"")</f>
        <v/>
      </c>
      <c r="AB1665">
        <f>IF(ISNUMBER(AA1665),'자료_거시'!$J1647,"")</f>
        <v/>
      </c>
      <c r="AC1665">
        <f>IF(ISNUMBER(AB1665),IF(AB1665&gt;$L$8,AA1665,""),"")</f>
        <v/>
      </c>
    </row>
    <row r="1666">
      <c r="S1666">
        <f>IF(ISNUMBER('자료_거시'!$E1648),'자료_거시'!$E1648,S1665)</f>
        <v/>
      </c>
      <c r="T1666">
        <f>IF(AND(ISNUMBER('자료_거시'!$D1648),ISNUMBER('자료_거시'!$E1648)),IFERROR('자료_거시'!$E1648-INDEX($S$21:$S$4020,MATCH(EDATE('자료_거시'!$D1648,-'설정'!$B$17),'자료_거시'!$D$3:INDEX('자료_거시'!$D$3:$D$4002,$K$6),1)),""),"")</f>
        <v/>
      </c>
      <c r="U1666">
        <f>IF(ISNUMBER(T1666),'자료_거시'!$D1648,"")</f>
        <v/>
      </c>
      <c r="V1666">
        <f>IF(ISNUMBER(U1666),IF(U1666&gt;$L$6,T1666,""),"")</f>
        <v/>
      </c>
      <c r="W1666">
        <f>IF(AND(ISNUMBER('자료_거시'!$G1648),ISNUMBER('자료_거시'!$H1648)),'자료_거시'!$H1648,"")</f>
        <v/>
      </c>
      <c r="X1666">
        <f>IF(ISNUMBER(W1666),'자료_거시'!$G1648,"")</f>
        <v/>
      </c>
      <c r="Y1666">
        <f>IF(ISNUMBER(X1666),IF(X1666&gt;$L$7,W1666,""),"")</f>
        <v/>
      </c>
      <c r="Z1666">
        <f>IF(ISNUMBER('자료_거시'!$K1648),'자료_거시'!$K1648,Z1665)</f>
        <v/>
      </c>
      <c r="AA1666">
        <f>IF(AND(ISNUMBER('자료_거시'!$J1648),ISNUMBER('자료_거시'!$K1648)),IFERROR('자료_거시'!$K1648/INDEX($Z$21:$Z$4020,MATCH(EDATE('자료_거시'!$J1648,-'설정'!$B$17),'자료_거시'!$J$3:INDEX('자료_거시'!$J$3:$J$4002,$K$8),1))-1,""),"")</f>
        <v/>
      </c>
      <c r="AB1666">
        <f>IF(ISNUMBER(AA1666),'자료_거시'!$J1648,"")</f>
        <v/>
      </c>
      <c r="AC1666">
        <f>IF(ISNUMBER(AB1666),IF(AB1666&gt;$L$8,AA1666,""),"")</f>
        <v/>
      </c>
    </row>
    <row r="1667">
      <c r="S1667">
        <f>IF(ISNUMBER('자료_거시'!$E1649),'자료_거시'!$E1649,S1666)</f>
        <v/>
      </c>
      <c r="T1667">
        <f>IF(AND(ISNUMBER('자료_거시'!$D1649),ISNUMBER('자료_거시'!$E1649)),IFERROR('자료_거시'!$E1649-INDEX($S$21:$S$4020,MATCH(EDATE('자료_거시'!$D1649,-'설정'!$B$17),'자료_거시'!$D$3:INDEX('자료_거시'!$D$3:$D$4002,$K$6),1)),""),"")</f>
        <v/>
      </c>
      <c r="U1667">
        <f>IF(ISNUMBER(T1667),'자료_거시'!$D1649,"")</f>
        <v/>
      </c>
      <c r="V1667">
        <f>IF(ISNUMBER(U1667),IF(U1667&gt;$L$6,T1667,""),"")</f>
        <v/>
      </c>
      <c r="W1667">
        <f>IF(AND(ISNUMBER('자료_거시'!$G1649),ISNUMBER('자료_거시'!$H1649)),'자료_거시'!$H1649,"")</f>
        <v/>
      </c>
      <c r="X1667">
        <f>IF(ISNUMBER(W1667),'자료_거시'!$G1649,"")</f>
        <v/>
      </c>
      <c r="Y1667">
        <f>IF(ISNUMBER(X1667),IF(X1667&gt;$L$7,W1667,""),"")</f>
        <v/>
      </c>
      <c r="Z1667">
        <f>IF(ISNUMBER('자료_거시'!$K1649),'자료_거시'!$K1649,Z1666)</f>
        <v/>
      </c>
      <c r="AA1667">
        <f>IF(AND(ISNUMBER('자료_거시'!$J1649),ISNUMBER('자료_거시'!$K1649)),IFERROR('자료_거시'!$K1649/INDEX($Z$21:$Z$4020,MATCH(EDATE('자료_거시'!$J1649,-'설정'!$B$17),'자료_거시'!$J$3:INDEX('자료_거시'!$J$3:$J$4002,$K$8),1))-1,""),"")</f>
        <v/>
      </c>
      <c r="AB1667">
        <f>IF(ISNUMBER(AA1667),'자료_거시'!$J1649,"")</f>
        <v/>
      </c>
      <c r="AC1667">
        <f>IF(ISNUMBER(AB1667),IF(AB1667&gt;$L$8,AA1667,""),"")</f>
        <v/>
      </c>
    </row>
    <row r="1668">
      <c r="S1668">
        <f>IF(ISNUMBER('자료_거시'!$E1650),'자료_거시'!$E1650,S1667)</f>
        <v/>
      </c>
      <c r="T1668">
        <f>IF(AND(ISNUMBER('자료_거시'!$D1650),ISNUMBER('자료_거시'!$E1650)),IFERROR('자료_거시'!$E1650-INDEX($S$21:$S$4020,MATCH(EDATE('자료_거시'!$D1650,-'설정'!$B$17),'자료_거시'!$D$3:INDEX('자료_거시'!$D$3:$D$4002,$K$6),1)),""),"")</f>
        <v/>
      </c>
      <c r="U1668">
        <f>IF(ISNUMBER(T1668),'자료_거시'!$D1650,"")</f>
        <v/>
      </c>
      <c r="V1668">
        <f>IF(ISNUMBER(U1668),IF(U1668&gt;$L$6,T1668,""),"")</f>
        <v/>
      </c>
      <c r="W1668">
        <f>IF(AND(ISNUMBER('자료_거시'!$G1650),ISNUMBER('자료_거시'!$H1650)),'자료_거시'!$H1650,"")</f>
        <v/>
      </c>
      <c r="X1668">
        <f>IF(ISNUMBER(W1668),'자료_거시'!$G1650,"")</f>
        <v/>
      </c>
      <c r="Y1668">
        <f>IF(ISNUMBER(X1668),IF(X1668&gt;$L$7,W1668,""),"")</f>
        <v/>
      </c>
      <c r="Z1668">
        <f>IF(ISNUMBER('자료_거시'!$K1650),'자료_거시'!$K1650,Z1667)</f>
        <v/>
      </c>
      <c r="AA1668">
        <f>IF(AND(ISNUMBER('자료_거시'!$J1650),ISNUMBER('자료_거시'!$K1650)),IFERROR('자료_거시'!$K1650/INDEX($Z$21:$Z$4020,MATCH(EDATE('자료_거시'!$J1650,-'설정'!$B$17),'자료_거시'!$J$3:INDEX('자료_거시'!$J$3:$J$4002,$K$8),1))-1,""),"")</f>
        <v/>
      </c>
      <c r="AB1668">
        <f>IF(ISNUMBER(AA1668),'자료_거시'!$J1650,"")</f>
        <v/>
      </c>
      <c r="AC1668">
        <f>IF(ISNUMBER(AB1668),IF(AB1668&gt;$L$8,AA1668,""),"")</f>
        <v/>
      </c>
    </row>
    <row r="1669">
      <c r="S1669">
        <f>IF(ISNUMBER('자료_거시'!$E1651),'자료_거시'!$E1651,S1668)</f>
        <v/>
      </c>
      <c r="T1669">
        <f>IF(AND(ISNUMBER('자료_거시'!$D1651),ISNUMBER('자료_거시'!$E1651)),IFERROR('자료_거시'!$E1651-INDEX($S$21:$S$4020,MATCH(EDATE('자료_거시'!$D1651,-'설정'!$B$17),'자료_거시'!$D$3:INDEX('자료_거시'!$D$3:$D$4002,$K$6),1)),""),"")</f>
        <v/>
      </c>
      <c r="U1669">
        <f>IF(ISNUMBER(T1669),'자료_거시'!$D1651,"")</f>
        <v/>
      </c>
      <c r="V1669">
        <f>IF(ISNUMBER(U1669),IF(U1669&gt;$L$6,T1669,""),"")</f>
        <v/>
      </c>
      <c r="W1669">
        <f>IF(AND(ISNUMBER('자료_거시'!$G1651),ISNUMBER('자료_거시'!$H1651)),'자료_거시'!$H1651,"")</f>
        <v/>
      </c>
      <c r="X1669">
        <f>IF(ISNUMBER(W1669),'자료_거시'!$G1651,"")</f>
        <v/>
      </c>
      <c r="Y1669">
        <f>IF(ISNUMBER(X1669),IF(X1669&gt;$L$7,W1669,""),"")</f>
        <v/>
      </c>
      <c r="Z1669">
        <f>IF(ISNUMBER('자료_거시'!$K1651),'자료_거시'!$K1651,Z1668)</f>
        <v/>
      </c>
      <c r="AA1669">
        <f>IF(AND(ISNUMBER('자료_거시'!$J1651),ISNUMBER('자료_거시'!$K1651)),IFERROR('자료_거시'!$K1651/INDEX($Z$21:$Z$4020,MATCH(EDATE('자료_거시'!$J1651,-'설정'!$B$17),'자료_거시'!$J$3:INDEX('자료_거시'!$J$3:$J$4002,$K$8),1))-1,""),"")</f>
        <v/>
      </c>
      <c r="AB1669">
        <f>IF(ISNUMBER(AA1669),'자료_거시'!$J1651,"")</f>
        <v/>
      </c>
      <c r="AC1669">
        <f>IF(ISNUMBER(AB1669),IF(AB1669&gt;$L$8,AA1669,""),"")</f>
        <v/>
      </c>
    </row>
    <row r="1670">
      <c r="S1670">
        <f>IF(ISNUMBER('자료_거시'!$E1652),'자료_거시'!$E1652,S1669)</f>
        <v/>
      </c>
      <c r="T1670">
        <f>IF(AND(ISNUMBER('자료_거시'!$D1652),ISNUMBER('자료_거시'!$E1652)),IFERROR('자료_거시'!$E1652-INDEX($S$21:$S$4020,MATCH(EDATE('자료_거시'!$D1652,-'설정'!$B$17),'자료_거시'!$D$3:INDEX('자료_거시'!$D$3:$D$4002,$K$6),1)),""),"")</f>
        <v/>
      </c>
      <c r="U1670">
        <f>IF(ISNUMBER(T1670),'자료_거시'!$D1652,"")</f>
        <v/>
      </c>
      <c r="V1670">
        <f>IF(ISNUMBER(U1670),IF(U1670&gt;$L$6,T1670,""),"")</f>
        <v/>
      </c>
      <c r="W1670">
        <f>IF(AND(ISNUMBER('자료_거시'!$G1652),ISNUMBER('자료_거시'!$H1652)),'자료_거시'!$H1652,"")</f>
        <v/>
      </c>
      <c r="X1670">
        <f>IF(ISNUMBER(W1670),'자료_거시'!$G1652,"")</f>
        <v/>
      </c>
      <c r="Y1670">
        <f>IF(ISNUMBER(X1670),IF(X1670&gt;$L$7,W1670,""),"")</f>
        <v/>
      </c>
      <c r="Z1670">
        <f>IF(ISNUMBER('자료_거시'!$K1652),'자료_거시'!$K1652,Z1669)</f>
        <v/>
      </c>
      <c r="AA1670">
        <f>IF(AND(ISNUMBER('자료_거시'!$J1652),ISNUMBER('자료_거시'!$K1652)),IFERROR('자료_거시'!$K1652/INDEX($Z$21:$Z$4020,MATCH(EDATE('자료_거시'!$J1652,-'설정'!$B$17),'자료_거시'!$J$3:INDEX('자료_거시'!$J$3:$J$4002,$K$8),1))-1,""),"")</f>
        <v/>
      </c>
      <c r="AB1670">
        <f>IF(ISNUMBER(AA1670),'자료_거시'!$J1652,"")</f>
        <v/>
      </c>
      <c r="AC1670">
        <f>IF(ISNUMBER(AB1670),IF(AB1670&gt;$L$8,AA1670,""),"")</f>
        <v/>
      </c>
    </row>
    <row r="1671">
      <c r="S1671">
        <f>IF(ISNUMBER('자료_거시'!$E1653),'자료_거시'!$E1653,S1670)</f>
        <v/>
      </c>
      <c r="T1671">
        <f>IF(AND(ISNUMBER('자료_거시'!$D1653),ISNUMBER('자료_거시'!$E1653)),IFERROR('자료_거시'!$E1653-INDEX($S$21:$S$4020,MATCH(EDATE('자료_거시'!$D1653,-'설정'!$B$17),'자료_거시'!$D$3:INDEX('자료_거시'!$D$3:$D$4002,$K$6),1)),""),"")</f>
        <v/>
      </c>
      <c r="U1671">
        <f>IF(ISNUMBER(T1671),'자료_거시'!$D1653,"")</f>
        <v/>
      </c>
      <c r="V1671">
        <f>IF(ISNUMBER(U1671),IF(U1671&gt;$L$6,T1671,""),"")</f>
        <v/>
      </c>
      <c r="W1671">
        <f>IF(AND(ISNUMBER('자료_거시'!$G1653),ISNUMBER('자료_거시'!$H1653)),'자료_거시'!$H1653,"")</f>
        <v/>
      </c>
      <c r="X1671">
        <f>IF(ISNUMBER(W1671),'자료_거시'!$G1653,"")</f>
        <v/>
      </c>
      <c r="Y1671">
        <f>IF(ISNUMBER(X1671),IF(X1671&gt;$L$7,W1671,""),"")</f>
        <v/>
      </c>
      <c r="Z1671">
        <f>IF(ISNUMBER('자료_거시'!$K1653),'자료_거시'!$K1653,Z1670)</f>
        <v/>
      </c>
      <c r="AA1671">
        <f>IF(AND(ISNUMBER('자료_거시'!$J1653),ISNUMBER('자료_거시'!$K1653)),IFERROR('자료_거시'!$K1653/INDEX($Z$21:$Z$4020,MATCH(EDATE('자료_거시'!$J1653,-'설정'!$B$17),'자료_거시'!$J$3:INDEX('자료_거시'!$J$3:$J$4002,$K$8),1))-1,""),"")</f>
        <v/>
      </c>
      <c r="AB1671">
        <f>IF(ISNUMBER(AA1671),'자료_거시'!$J1653,"")</f>
        <v/>
      </c>
      <c r="AC1671">
        <f>IF(ISNUMBER(AB1671),IF(AB1671&gt;$L$8,AA1671,""),"")</f>
        <v/>
      </c>
    </row>
    <row r="1672">
      <c r="S1672">
        <f>IF(ISNUMBER('자료_거시'!$E1654),'자료_거시'!$E1654,S1671)</f>
        <v/>
      </c>
      <c r="T1672">
        <f>IF(AND(ISNUMBER('자료_거시'!$D1654),ISNUMBER('자료_거시'!$E1654)),IFERROR('자료_거시'!$E1654-INDEX($S$21:$S$4020,MATCH(EDATE('자료_거시'!$D1654,-'설정'!$B$17),'자료_거시'!$D$3:INDEX('자료_거시'!$D$3:$D$4002,$K$6),1)),""),"")</f>
        <v/>
      </c>
      <c r="U1672">
        <f>IF(ISNUMBER(T1672),'자료_거시'!$D1654,"")</f>
        <v/>
      </c>
      <c r="V1672">
        <f>IF(ISNUMBER(U1672),IF(U1672&gt;$L$6,T1672,""),"")</f>
        <v/>
      </c>
      <c r="W1672">
        <f>IF(AND(ISNUMBER('자료_거시'!$G1654),ISNUMBER('자료_거시'!$H1654)),'자료_거시'!$H1654,"")</f>
        <v/>
      </c>
      <c r="X1672">
        <f>IF(ISNUMBER(W1672),'자료_거시'!$G1654,"")</f>
        <v/>
      </c>
      <c r="Y1672">
        <f>IF(ISNUMBER(X1672),IF(X1672&gt;$L$7,W1672,""),"")</f>
        <v/>
      </c>
      <c r="Z1672">
        <f>IF(ISNUMBER('자료_거시'!$K1654),'자료_거시'!$K1654,Z1671)</f>
        <v/>
      </c>
      <c r="AA1672">
        <f>IF(AND(ISNUMBER('자료_거시'!$J1654),ISNUMBER('자료_거시'!$K1654)),IFERROR('자료_거시'!$K1654/INDEX($Z$21:$Z$4020,MATCH(EDATE('자료_거시'!$J1654,-'설정'!$B$17),'자료_거시'!$J$3:INDEX('자료_거시'!$J$3:$J$4002,$K$8),1))-1,""),"")</f>
        <v/>
      </c>
      <c r="AB1672">
        <f>IF(ISNUMBER(AA1672),'자료_거시'!$J1654,"")</f>
        <v/>
      </c>
      <c r="AC1672">
        <f>IF(ISNUMBER(AB1672),IF(AB1672&gt;$L$8,AA1672,""),"")</f>
        <v/>
      </c>
    </row>
    <row r="1673">
      <c r="S1673">
        <f>IF(ISNUMBER('자료_거시'!$E1655),'자료_거시'!$E1655,S1672)</f>
        <v/>
      </c>
      <c r="T1673">
        <f>IF(AND(ISNUMBER('자료_거시'!$D1655),ISNUMBER('자료_거시'!$E1655)),IFERROR('자료_거시'!$E1655-INDEX($S$21:$S$4020,MATCH(EDATE('자료_거시'!$D1655,-'설정'!$B$17),'자료_거시'!$D$3:INDEX('자료_거시'!$D$3:$D$4002,$K$6),1)),""),"")</f>
        <v/>
      </c>
      <c r="U1673">
        <f>IF(ISNUMBER(T1673),'자료_거시'!$D1655,"")</f>
        <v/>
      </c>
      <c r="V1673">
        <f>IF(ISNUMBER(U1673),IF(U1673&gt;$L$6,T1673,""),"")</f>
        <v/>
      </c>
      <c r="W1673">
        <f>IF(AND(ISNUMBER('자료_거시'!$G1655),ISNUMBER('자료_거시'!$H1655)),'자료_거시'!$H1655,"")</f>
        <v/>
      </c>
      <c r="X1673">
        <f>IF(ISNUMBER(W1673),'자료_거시'!$G1655,"")</f>
        <v/>
      </c>
      <c r="Y1673">
        <f>IF(ISNUMBER(X1673),IF(X1673&gt;$L$7,W1673,""),"")</f>
        <v/>
      </c>
      <c r="Z1673">
        <f>IF(ISNUMBER('자료_거시'!$K1655),'자료_거시'!$K1655,Z1672)</f>
        <v/>
      </c>
      <c r="AA1673">
        <f>IF(AND(ISNUMBER('자료_거시'!$J1655),ISNUMBER('자료_거시'!$K1655)),IFERROR('자료_거시'!$K1655/INDEX($Z$21:$Z$4020,MATCH(EDATE('자료_거시'!$J1655,-'설정'!$B$17),'자료_거시'!$J$3:INDEX('자료_거시'!$J$3:$J$4002,$K$8),1))-1,""),"")</f>
        <v/>
      </c>
      <c r="AB1673">
        <f>IF(ISNUMBER(AA1673),'자료_거시'!$J1655,"")</f>
        <v/>
      </c>
      <c r="AC1673">
        <f>IF(ISNUMBER(AB1673),IF(AB1673&gt;$L$8,AA1673,""),"")</f>
        <v/>
      </c>
    </row>
    <row r="1674">
      <c r="S1674">
        <f>IF(ISNUMBER('자료_거시'!$E1656),'자료_거시'!$E1656,S1673)</f>
        <v/>
      </c>
      <c r="T1674">
        <f>IF(AND(ISNUMBER('자료_거시'!$D1656),ISNUMBER('자료_거시'!$E1656)),IFERROR('자료_거시'!$E1656-INDEX($S$21:$S$4020,MATCH(EDATE('자료_거시'!$D1656,-'설정'!$B$17),'자료_거시'!$D$3:INDEX('자료_거시'!$D$3:$D$4002,$K$6),1)),""),"")</f>
        <v/>
      </c>
      <c r="U1674">
        <f>IF(ISNUMBER(T1674),'자료_거시'!$D1656,"")</f>
        <v/>
      </c>
      <c r="V1674">
        <f>IF(ISNUMBER(U1674),IF(U1674&gt;$L$6,T1674,""),"")</f>
        <v/>
      </c>
      <c r="W1674">
        <f>IF(AND(ISNUMBER('자료_거시'!$G1656),ISNUMBER('자료_거시'!$H1656)),'자료_거시'!$H1656,"")</f>
        <v/>
      </c>
      <c r="X1674">
        <f>IF(ISNUMBER(W1674),'자료_거시'!$G1656,"")</f>
        <v/>
      </c>
      <c r="Y1674">
        <f>IF(ISNUMBER(X1674),IF(X1674&gt;$L$7,W1674,""),"")</f>
        <v/>
      </c>
      <c r="Z1674">
        <f>IF(ISNUMBER('자료_거시'!$K1656),'자료_거시'!$K1656,Z1673)</f>
        <v/>
      </c>
      <c r="AA1674">
        <f>IF(AND(ISNUMBER('자료_거시'!$J1656),ISNUMBER('자료_거시'!$K1656)),IFERROR('자료_거시'!$K1656/INDEX($Z$21:$Z$4020,MATCH(EDATE('자료_거시'!$J1656,-'설정'!$B$17),'자료_거시'!$J$3:INDEX('자료_거시'!$J$3:$J$4002,$K$8),1))-1,""),"")</f>
        <v/>
      </c>
      <c r="AB1674">
        <f>IF(ISNUMBER(AA1674),'자료_거시'!$J1656,"")</f>
        <v/>
      </c>
      <c r="AC1674">
        <f>IF(ISNUMBER(AB1674),IF(AB1674&gt;$L$8,AA1674,""),"")</f>
        <v/>
      </c>
    </row>
    <row r="1675">
      <c r="S1675">
        <f>IF(ISNUMBER('자료_거시'!$E1657),'자료_거시'!$E1657,S1674)</f>
        <v/>
      </c>
      <c r="T1675">
        <f>IF(AND(ISNUMBER('자료_거시'!$D1657),ISNUMBER('자료_거시'!$E1657)),IFERROR('자료_거시'!$E1657-INDEX($S$21:$S$4020,MATCH(EDATE('자료_거시'!$D1657,-'설정'!$B$17),'자료_거시'!$D$3:INDEX('자료_거시'!$D$3:$D$4002,$K$6),1)),""),"")</f>
        <v/>
      </c>
      <c r="U1675">
        <f>IF(ISNUMBER(T1675),'자료_거시'!$D1657,"")</f>
        <v/>
      </c>
      <c r="V1675">
        <f>IF(ISNUMBER(U1675),IF(U1675&gt;$L$6,T1675,""),"")</f>
        <v/>
      </c>
      <c r="W1675">
        <f>IF(AND(ISNUMBER('자료_거시'!$G1657),ISNUMBER('자료_거시'!$H1657)),'자료_거시'!$H1657,"")</f>
        <v/>
      </c>
      <c r="X1675">
        <f>IF(ISNUMBER(W1675),'자료_거시'!$G1657,"")</f>
        <v/>
      </c>
      <c r="Y1675">
        <f>IF(ISNUMBER(X1675),IF(X1675&gt;$L$7,W1675,""),"")</f>
        <v/>
      </c>
      <c r="Z1675">
        <f>IF(ISNUMBER('자료_거시'!$K1657),'자료_거시'!$K1657,Z1674)</f>
        <v/>
      </c>
      <c r="AA1675">
        <f>IF(AND(ISNUMBER('자료_거시'!$J1657),ISNUMBER('자료_거시'!$K1657)),IFERROR('자료_거시'!$K1657/INDEX($Z$21:$Z$4020,MATCH(EDATE('자료_거시'!$J1657,-'설정'!$B$17),'자료_거시'!$J$3:INDEX('자료_거시'!$J$3:$J$4002,$K$8),1))-1,""),"")</f>
        <v/>
      </c>
      <c r="AB1675">
        <f>IF(ISNUMBER(AA1675),'자료_거시'!$J1657,"")</f>
        <v/>
      </c>
      <c r="AC1675">
        <f>IF(ISNUMBER(AB1675),IF(AB1675&gt;$L$8,AA1675,""),"")</f>
        <v/>
      </c>
    </row>
    <row r="1676">
      <c r="S1676">
        <f>IF(ISNUMBER('자료_거시'!$E1658),'자료_거시'!$E1658,S1675)</f>
        <v/>
      </c>
      <c r="T1676">
        <f>IF(AND(ISNUMBER('자료_거시'!$D1658),ISNUMBER('자료_거시'!$E1658)),IFERROR('자료_거시'!$E1658-INDEX($S$21:$S$4020,MATCH(EDATE('자료_거시'!$D1658,-'설정'!$B$17),'자료_거시'!$D$3:INDEX('자료_거시'!$D$3:$D$4002,$K$6),1)),""),"")</f>
        <v/>
      </c>
      <c r="U1676">
        <f>IF(ISNUMBER(T1676),'자료_거시'!$D1658,"")</f>
        <v/>
      </c>
      <c r="V1676">
        <f>IF(ISNUMBER(U1676),IF(U1676&gt;$L$6,T1676,""),"")</f>
        <v/>
      </c>
      <c r="W1676">
        <f>IF(AND(ISNUMBER('자료_거시'!$G1658),ISNUMBER('자료_거시'!$H1658)),'자료_거시'!$H1658,"")</f>
        <v/>
      </c>
      <c r="X1676">
        <f>IF(ISNUMBER(W1676),'자료_거시'!$G1658,"")</f>
        <v/>
      </c>
      <c r="Y1676">
        <f>IF(ISNUMBER(X1676),IF(X1676&gt;$L$7,W1676,""),"")</f>
        <v/>
      </c>
      <c r="Z1676">
        <f>IF(ISNUMBER('자료_거시'!$K1658),'자료_거시'!$K1658,Z1675)</f>
        <v/>
      </c>
      <c r="AA1676">
        <f>IF(AND(ISNUMBER('자료_거시'!$J1658),ISNUMBER('자료_거시'!$K1658)),IFERROR('자료_거시'!$K1658/INDEX($Z$21:$Z$4020,MATCH(EDATE('자료_거시'!$J1658,-'설정'!$B$17),'자료_거시'!$J$3:INDEX('자료_거시'!$J$3:$J$4002,$K$8),1))-1,""),"")</f>
        <v/>
      </c>
      <c r="AB1676">
        <f>IF(ISNUMBER(AA1676),'자료_거시'!$J1658,"")</f>
        <v/>
      </c>
      <c r="AC1676">
        <f>IF(ISNUMBER(AB1676),IF(AB1676&gt;$L$8,AA1676,""),"")</f>
        <v/>
      </c>
    </row>
    <row r="1677">
      <c r="S1677">
        <f>IF(ISNUMBER('자료_거시'!$E1659),'자료_거시'!$E1659,S1676)</f>
        <v/>
      </c>
      <c r="T1677">
        <f>IF(AND(ISNUMBER('자료_거시'!$D1659),ISNUMBER('자료_거시'!$E1659)),IFERROR('자료_거시'!$E1659-INDEX($S$21:$S$4020,MATCH(EDATE('자료_거시'!$D1659,-'설정'!$B$17),'자료_거시'!$D$3:INDEX('자료_거시'!$D$3:$D$4002,$K$6),1)),""),"")</f>
        <v/>
      </c>
      <c r="U1677">
        <f>IF(ISNUMBER(T1677),'자료_거시'!$D1659,"")</f>
        <v/>
      </c>
      <c r="V1677">
        <f>IF(ISNUMBER(U1677),IF(U1677&gt;$L$6,T1677,""),"")</f>
        <v/>
      </c>
      <c r="W1677">
        <f>IF(AND(ISNUMBER('자료_거시'!$G1659),ISNUMBER('자료_거시'!$H1659)),'자료_거시'!$H1659,"")</f>
        <v/>
      </c>
      <c r="X1677">
        <f>IF(ISNUMBER(W1677),'자료_거시'!$G1659,"")</f>
        <v/>
      </c>
      <c r="Y1677">
        <f>IF(ISNUMBER(X1677),IF(X1677&gt;$L$7,W1677,""),"")</f>
        <v/>
      </c>
      <c r="Z1677">
        <f>IF(ISNUMBER('자료_거시'!$K1659),'자료_거시'!$K1659,Z1676)</f>
        <v/>
      </c>
      <c r="AA1677">
        <f>IF(AND(ISNUMBER('자료_거시'!$J1659),ISNUMBER('자료_거시'!$K1659)),IFERROR('자료_거시'!$K1659/INDEX($Z$21:$Z$4020,MATCH(EDATE('자료_거시'!$J1659,-'설정'!$B$17),'자료_거시'!$J$3:INDEX('자료_거시'!$J$3:$J$4002,$K$8),1))-1,""),"")</f>
        <v/>
      </c>
      <c r="AB1677">
        <f>IF(ISNUMBER(AA1677),'자료_거시'!$J1659,"")</f>
        <v/>
      </c>
      <c r="AC1677">
        <f>IF(ISNUMBER(AB1677),IF(AB1677&gt;$L$8,AA1677,""),"")</f>
        <v/>
      </c>
    </row>
    <row r="1678">
      <c r="S1678">
        <f>IF(ISNUMBER('자료_거시'!$E1660),'자료_거시'!$E1660,S1677)</f>
        <v/>
      </c>
      <c r="T1678">
        <f>IF(AND(ISNUMBER('자료_거시'!$D1660),ISNUMBER('자료_거시'!$E1660)),IFERROR('자료_거시'!$E1660-INDEX($S$21:$S$4020,MATCH(EDATE('자료_거시'!$D1660,-'설정'!$B$17),'자료_거시'!$D$3:INDEX('자료_거시'!$D$3:$D$4002,$K$6),1)),""),"")</f>
        <v/>
      </c>
      <c r="U1678">
        <f>IF(ISNUMBER(T1678),'자료_거시'!$D1660,"")</f>
        <v/>
      </c>
      <c r="V1678">
        <f>IF(ISNUMBER(U1678),IF(U1678&gt;$L$6,T1678,""),"")</f>
        <v/>
      </c>
      <c r="W1678">
        <f>IF(AND(ISNUMBER('자료_거시'!$G1660),ISNUMBER('자료_거시'!$H1660)),'자료_거시'!$H1660,"")</f>
        <v/>
      </c>
      <c r="X1678">
        <f>IF(ISNUMBER(W1678),'자료_거시'!$G1660,"")</f>
        <v/>
      </c>
      <c r="Y1678">
        <f>IF(ISNUMBER(X1678),IF(X1678&gt;$L$7,W1678,""),"")</f>
        <v/>
      </c>
      <c r="Z1678">
        <f>IF(ISNUMBER('자료_거시'!$K1660),'자료_거시'!$K1660,Z1677)</f>
        <v/>
      </c>
      <c r="AA1678">
        <f>IF(AND(ISNUMBER('자료_거시'!$J1660),ISNUMBER('자료_거시'!$K1660)),IFERROR('자료_거시'!$K1660/INDEX($Z$21:$Z$4020,MATCH(EDATE('자료_거시'!$J1660,-'설정'!$B$17),'자료_거시'!$J$3:INDEX('자료_거시'!$J$3:$J$4002,$K$8),1))-1,""),"")</f>
        <v/>
      </c>
      <c r="AB1678">
        <f>IF(ISNUMBER(AA1678),'자료_거시'!$J1660,"")</f>
        <v/>
      </c>
      <c r="AC1678">
        <f>IF(ISNUMBER(AB1678),IF(AB1678&gt;$L$8,AA1678,""),"")</f>
        <v/>
      </c>
    </row>
    <row r="1679">
      <c r="S1679">
        <f>IF(ISNUMBER('자료_거시'!$E1661),'자료_거시'!$E1661,S1678)</f>
        <v/>
      </c>
      <c r="T1679">
        <f>IF(AND(ISNUMBER('자료_거시'!$D1661),ISNUMBER('자료_거시'!$E1661)),IFERROR('자료_거시'!$E1661-INDEX($S$21:$S$4020,MATCH(EDATE('자료_거시'!$D1661,-'설정'!$B$17),'자료_거시'!$D$3:INDEX('자료_거시'!$D$3:$D$4002,$K$6),1)),""),"")</f>
        <v/>
      </c>
      <c r="U1679">
        <f>IF(ISNUMBER(T1679),'자료_거시'!$D1661,"")</f>
        <v/>
      </c>
      <c r="V1679">
        <f>IF(ISNUMBER(U1679),IF(U1679&gt;$L$6,T1679,""),"")</f>
        <v/>
      </c>
      <c r="W1679">
        <f>IF(AND(ISNUMBER('자료_거시'!$G1661),ISNUMBER('자료_거시'!$H1661)),'자료_거시'!$H1661,"")</f>
        <v/>
      </c>
      <c r="X1679">
        <f>IF(ISNUMBER(W1679),'자료_거시'!$G1661,"")</f>
        <v/>
      </c>
      <c r="Y1679">
        <f>IF(ISNUMBER(X1679),IF(X1679&gt;$L$7,W1679,""),"")</f>
        <v/>
      </c>
      <c r="Z1679">
        <f>IF(ISNUMBER('자료_거시'!$K1661),'자료_거시'!$K1661,Z1678)</f>
        <v/>
      </c>
      <c r="AA1679">
        <f>IF(AND(ISNUMBER('자료_거시'!$J1661),ISNUMBER('자료_거시'!$K1661)),IFERROR('자료_거시'!$K1661/INDEX($Z$21:$Z$4020,MATCH(EDATE('자료_거시'!$J1661,-'설정'!$B$17),'자료_거시'!$J$3:INDEX('자료_거시'!$J$3:$J$4002,$K$8),1))-1,""),"")</f>
        <v/>
      </c>
      <c r="AB1679">
        <f>IF(ISNUMBER(AA1679),'자료_거시'!$J1661,"")</f>
        <v/>
      </c>
      <c r="AC1679">
        <f>IF(ISNUMBER(AB1679),IF(AB1679&gt;$L$8,AA1679,""),"")</f>
        <v/>
      </c>
    </row>
    <row r="1680">
      <c r="S1680">
        <f>IF(ISNUMBER('자료_거시'!$E1662),'자료_거시'!$E1662,S1679)</f>
        <v/>
      </c>
      <c r="T1680">
        <f>IF(AND(ISNUMBER('자료_거시'!$D1662),ISNUMBER('자료_거시'!$E1662)),IFERROR('자료_거시'!$E1662-INDEX($S$21:$S$4020,MATCH(EDATE('자료_거시'!$D1662,-'설정'!$B$17),'자료_거시'!$D$3:INDEX('자료_거시'!$D$3:$D$4002,$K$6),1)),""),"")</f>
        <v/>
      </c>
      <c r="U1680">
        <f>IF(ISNUMBER(T1680),'자료_거시'!$D1662,"")</f>
        <v/>
      </c>
      <c r="V1680">
        <f>IF(ISNUMBER(U1680),IF(U1680&gt;$L$6,T1680,""),"")</f>
        <v/>
      </c>
      <c r="W1680">
        <f>IF(AND(ISNUMBER('자료_거시'!$G1662),ISNUMBER('자료_거시'!$H1662)),'자료_거시'!$H1662,"")</f>
        <v/>
      </c>
      <c r="X1680">
        <f>IF(ISNUMBER(W1680),'자료_거시'!$G1662,"")</f>
        <v/>
      </c>
      <c r="Y1680">
        <f>IF(ISNUMBER(X1680),IF(X1680&gt;$L$7,W1680,""),"")</f>
        <v/>
      </c>
      <c r="Z1680">
        <f>IF(ISNUMBER('자료_거시'!$K1662),'자료_거시'!$K1662,Z1679)</f>
        <v/>
      </c>
      <c r="AA1680">
        <f>IF(AND(ISNUMBER('자료_거시'!$J1662),ISNUMBER('자료_거시'!$K1662)),IFERROR('자료_거시'!$K1662/INDEX($Z$21:$Z$4020,MATCH(EDATE('자료_거시'!$J1662,-'설정'!$B$17),'자료_거시'!$J$3:INDEX('자료_거시'!$J$3:$J$4002,$K$8),1))-1,""),"")</f>
        <v/>
      </c>
      <c r="AB1680">
        <f>IF(ISNUMBER(AA1680),'자료_거시'!$J1662,"")</f>
        <v/>
      </c>
      <c r="AC1680">
        <f>IF(ISNUMBER(AB1680),IF(AB1680&gt;$L$8,AA1680,""),"")</f>
        <v/>
      </c>
    </row>
    <row r="1681">
      <c r="S1681">
        <f>IF(ISNUMBER('자료_거시'!$E1663),'자료_거시'!$E1663,S1680)</f>
        <v/>
      </c>
      <c r="T1681">
        <f>IF(AND(ISNUMBER('자료_거시'!$D1663),ISNUMBER('자료_거시'!$E1663)),IFERROR('자료_거시'!$E1663-INDEX($S$21:$S$4020,MATCH(EDATE('자료_거시'!$D1663,-'설정'!$B$17),'자료_거시'!$D$3:INDEX('자료_거시'!$D$3:$D$4002,$K$6),1)),""),"")</f>
        <v/>
      </c>
      <c r="U1681">
        <f>IF(ISNUMBER(T1681),'자료_거시'!$D1663,"")</f>
        <v/>
      </c>
      <c r="V1681">
        <f>IF(ISNUMBER(U1681),IF(U1681&gt;$L$6,T1681,""),"")</f>
        <v/>
      </c>
      <c r="W1681">
        <f>IF(AND(ISNUMBER('자료_거시'!$G1663),ISNUMBER('자료_거시'!$H1663)),'자료_거시'!$H1663,"")</f>
        <v/>
      </c>
      <c r="X1681">
        <f>IF(ISNUMBER(W1681),'자료_거시'!$G1663,"")</f>
        <v/>
      </c>
      <c r="Y1681">
        <f>IF(ISNUMBER(X1681),IF(X1681&gt;$L$7,W1681,""),"")</f>
        <v/>
      </c>
      <c r="Z1681">
        <f>IF(ISNUMBER('자료_거시'!$K1663),'자료_거시'!$K1663,Z1680)</f>
        <v/>
      </c>
      <c r="AA1681">
        <f>IF(AND(ISNUMBER('자료_거시'!$J1663),ISNUMBER('자료_거시'!$K1663)),IFERROR('자료_거시'!$K1663/INDEX($Z$21:$Z$4020,MATCH(EDATE('자료_거시'!$J1663,-'설정'!$B$17),'자료_거시'!$J$3:INDEX('자료_거시'!$J$3:$J$4002,$K$8),1))-1,""),"")</f>
        <v/>
      </c>
      <c r="AB1681">
        <f>IF(ISNUMBER(AA1681),'자료_거시'!$J1663,"")</f>
        <v/>
      </c>
      <c r="AC1681">
        <f>IF(ISNUMBER(AB1681),IF(AB1681&gt;$L$8,AA1681,""),"")</f>
        <v/>
      </c>
    </row>
    <row r="1682">
      <c r="S1682">
        <f>IF(ISNUMBER('자료_거시'!$E1664),'자료_거시'!$E1664,S1681)</f>
        <v/>
      </c>
      <c r="T1682">
        <f>IF(AND(ISNUMBER('자료_거시'!$D1664),ISNUMBER('자료_거시'!$E1664)),IFERROR('자료_거시'!$E1664-INDEX($S$21:$S$4020,MATCH(EDATE('자료_거시'!$D1664,-'설정'!$B$17),'자료_거시'!$D$3:INDEX('자료_거시'!$D$3:$D$4002,$K$6),1)),""),"")</f>
        <v/>
      </c>
      <c r="U1682">
        <f>IF(ISNUMBER(T1682),'자료_거시'!$D1664,"")</f>
        <v/>
      </c>
      <c r="V1682">
        <f>IF(ISNUMBER(U1682),IF(U1682&gt;$L$6,T1682,""),"")</f>
        <v/>
      </c>
      <c r="W1682">
        <f>IF(AND(ISNUMBER('자료_거시'!$G1664),ISNUMBER('자료_거시'!$H1664)),'자료_거시'!$H1664,"")</f>
        <v/>
      </c>
      <c r="X1682">
        <f>IF(ISNUMBER(W1682),'자료_거시'!$G1664,"")</f>
        <v/>
      </c>
      <c r="Y1682">
        <f>IF(ISNUMBER(X1682),IF(X1682&gt;$L$7,W1682,""),"")</f>
        <v/>
      </c>
      <c r="Z1682">
        <f>IF(ISNUMBER('자료_거시'!$K1664),'자료_거시'!$K1664,Z1681)</f>
        <v/>
      </c>
      <c r="AA1682">
        <f>IF(AND(ISNUMBER('자료_거시'!$J1664),ISNUMBER('자료_거시'!$K1664)),IFERROR('자료_거시'!$K1664/INDEX($Z$21:$Z$4020,MATCH(EDATE('자료_거시'!$J1664,-'설정'!$B$17),'자료_거시'!$J$3:INDEX('자료_거시'!$J$3:$J$4002,$K$8),1))-1,""),"")</f>
        <v/>
      </c>
      <c r="AB1682">
        <f>IF(ISNUMBER(AA1682),'자료_거시'!$J1664,"")</f>
        <v/>
      </c>
      <c r="AC1682">
        <f>IF(ISNUMBER(AB1682),IF(AB1682&gt;$L$8,AA1682,""),"")</f>
        <v/>
      </c>
    </row>
    <row r="1683">
      <c r="S1683">
        <f>IF(ISNUMBER('자료_거시'!$E1665),'자료_거시'!$E1665,S1682)</f>
        <v/>
      </c>
      <c r="T1683">
        <f>IF(AND(ISNUMBER('자료_거시'!$D1665),ISNUMBER('자료_거시'!$E1665)),IFERROR('자료_거시'!$E1665-INDEX($S$21:$S$4020,MATCH(EDATE('자료_거시'!$D1665,-'설정'!$B$17),'자료_거시'!$D$3:INDEX('자료_거시'!$D$3:$D$4002,$K$6),1)),""),"")</f>
        <v/>
      </c>
      <c r="U1683">
        <f>IF(ISNUMBER(T1683),'자료_거시'!$D1665,"")</f>
        <v/>
      </c>
      <c r="V1683">
        <f>IF(ISNUMBER(U1683),IF(U1683&gt;$L$6,T1683,""),"")</f>
        <v/>
      </c>
      <c r="W1683">
        <f>IF(AND(ISNUMBER('자료_거시'!$G1665),ISNUMBER('자료_거시'!$H1665)),'자료_거시'!$H1665,"")</f>
        <v/>
      </c>
      <c r="X1683">
        <f>IF(ISNUMBER(W1683),'자료_거시'!$G1665,"")</f>
        <v/>
      </c>
      <c r="Y1683">
        <f>IF(ISNUMBER(X1683),IF(X1683&gt;$L$7,W1683,""),"")</f>
        <v/>
      </c>
      <c r="Z1683">
        <f>IF(ISNUMBER('자료_거시'!$K1665),'자료_거시'!$K1665,Z1682)</f>
        <v/>
      </c>
      <c r="AA1683">
        <f>IF(AND(ISNUMBER('자료_거시'!$J1665),ISNUMBER('자료_거시'!$K1665)),IFERROR('자료_거시'!$K1665/INDEX($Z$21:$Z$4020,MATCH(EDATE('자료_거시'!$J1665,-'설정'!$B$17),'자료_거시'!$J$3:INDEX('자료_거시'!$J$3:$J$4002,$K$8),1))-1,""),"")</f>
        <v/>
      </c>
      <c r="AB1683">
        <f>IF(ISNUMBER(AA1683),'자료_거시'!$J1665,"")</f>
        <v/>
      </c>
      <c r="AC1683">
        <f>IF(ISNUMBER(AB1683),IF(AB1683&gt;$L$8,AA1683,""),"")</f>
        <v/>
      </c>
    </row>
    <row r="1684">
      <c r="S1684">
        <f>IF(ISNUMBER('자료_거시'!$E1666),'자료_거시'!$E1666,S1683)</f>
        <v/>
      </c>
      <c r="T1684">
        <f>IF(AND(ISNUMBER('자료_거시'!$D1666),ISNUMBER('자료_거시'!$E1666)),IFERROR('자료_거시'!$E1666-INDEX($S$21:$S$4020,MATCH(EDATE('자료_거시'!$D1666,-'설정'!$B$17),'자료_거시'!$D$3:INDEX('자료_거시'!$D$3:$D$4002,$K$6),1)),""),"")</f>
        <v/>
      </c>
      <c r="U1684">
        <f>IF(ISNUMBER(T1684),'자료_거시'!$D1666,"")</f>
        <v/>
      </c>
      <c r="V1684">
        <f>IF(ISNUMBER(U1684),IF(U1684&gt;$L$6,T1684,""),"")</f>
        <v/>
      </c>
      <c r="W1684">
        <f>IF(AND(ISNUMBER('자료_거시'!$G1666),ISNUMBER('자료_거시'!$H1666)),'자료_거시'!$H1666,"")</f>
        <v/>
      </c>
      <c r="X1684">
        <f>IF(ISNUMBER(W1684),'자료_거시'!$G1666,"")</f>
        <v/>
      </c>
      <c r="Y1684">
        <f>IF(ISNUMBER(X1684),IF(X1684&gt;$L$7,W1684,""),"")</f>
        <v/>
      </c>
      <c r="Z1684">
        <f>IF(ISNUMBER('자료_거시'!$K1666),'자료_거시'!$K1666,Z1683)</f>
        <v/>
      </c>
      <c r="AA1684">
        <f>IF(AND(ISNUMBER('자료_거시'!$J1666),ISNUMBER('자료_거시'!$K1666)),IFERROR('자료_거시'!$K1666/INDEX($Z$21:$Z$4020,MATCH(EDATE('자료_거시'!$J1666,-'설정'!$B$17),'자료_거시'!$J$3:INDEX('자료_거시'!$J$3:$J$4002,$K$8),1))-1,""),"")</f>
        <v/>
      </c>
      <c r="AB1684">
        <f>IF(ISNUMBER(AA1684),'자료_거시'!$J1666,"")</f>
        <v/>
      </c>
      <c r="AC1684">
        <f>IF(ISNUMBER(AB1684),IF(AB1684&gt;$L$8,AA1684,""),"")</f>
        <v/>
      </c>
    </row>
    <row r="1685">
      <c r="S1685">
        <f>IF(ISNUMBER('자료_거시'!$E1667),'자료_거시'!$E1667,S1684)</f>
        <v/>
      </c>
      <c r="T1685">
        <f>IF(AND(ISNUMBER('자료_거시'!$D1667),ISNUMBER('자료_거시'!$E1667)),IFERROR('자료_거시'!$E1667-INDEX($S$21:$S$4020,MATCH(EDATE('자료_거시'!$D1667,-'설정'!$B$17),'자료_거시'!$D$3:INDEX('자료_거시'!$D$3:$D$4002,$K$6),1)),""),"")</f>
        <v/>
      </c>
      <c r="U1685">
        <f>IF(ISNUMBER(T1685),'자료_거시'!$D1667,"")</f>
        <v/>
      </c>
      <c r="V1685">
        <f>IF(ISNUMBER(U1685),IF(U1685&gt;$L$6,T1685,""),"")</f>
        <v/>
      </c>
      <c r="W1685">
        <f>IF(AND(ISNUMBER('자료_거시'!$G1667),ISNUMBER('자료_거시'!$H1667)),'자료_거시'!$H1667,"")</f>
        <v/>
      </c>
      <c r="X1685">
        <f>IF(ISNUMBER(W1685),'자료_거시'!$G1667,"")</f>
        <v/>
      </c>
      <c r="Y1685">
        <f>IF(ISNUMBER(X1685),IF(X1685&gt;$L$7,W1685,""),"")</f>
        <v/>
      </c>
      <c r="Z1685">
        <f>IF(ISNUMBER('자료_거시'!$K1667),'자료_거시'!$K1667,Z1684)</f>
        <v/>
      </c>
      <c r="AA1685">
        <f>IF(AND(ISNUMBER('자료_거시'!$J1667),ISNUMBER('자료_거시'!$K1667)),IFERROR('자료_거시'!$K1667/INDEX($Z$21:$Z$4020,MATCH(EDATE('자료_거시'!$J1667,-'설정'!$B$17),'자료_거시'!$J$3:INDEX('자료_거시'!$J$3:$J$4002,$K$8),1))-1,""),"")</f>
        <v/>
      </c>
      <c r="AB1685">
        <f>IF(ISNUMBER(AA1685),'자료_거시'!$J1667,"")</f>
        <v/>
      </c>
      <c r="AC1685">
        <f>IF(ISNUMBER(AB1685),IF(AB1685&gt;$L$8,AA1685,""),"")</f>
        <v/>
      </c>
    </row>
    <row r="1686">
      <c r="S1686">
        <f>IF(ISNUMBER('자료_거시'!$E1668),'자료_거시'!$E1668,S1685)</f>
        <v/>
      </c>
      <c r="T1686">
        <f>IF(AND(ISNUMBER('자료_거시'!$D1668),ISNUMBER('자료_거시'!$E1668)),IFERROR('자료_거시'!$E1668-INDEX($S$21:$S$4020,MATCH(EDATE('자료_거시'!$D1668,-'설정'!$B$17),'자료_거시'!$D$3:INDEX('자료_거시'!$D$3:$D$4002,$K$6),1)),""),"")</f>
        <v/>
      </c>
      <c r="U1686">
        <f>IF(ISNUMBER(T1686),'자료_거시'!$D1668,"")</f>
        <v/>
      </c>
      <c r="V1686">
        <f>IF(ISNUMBER(U1686),IF(U1686&gt;$L$6,T1686,""),"")</f>
        <v/>
      </c>
      <c r="W1686">
        <f>IF(AND(ISNUMBER('자료_거시'!$G1668),ISNUMBER('자료_거시'!$H1668)),'자료_거시'!$H1668,"")</f>
        <v/>
      </c>
      <c r="X1686">
        <f>IF(ISNUMBER(W1686),'자료_거시'!$G1668,"")</f>
        <v/>
      </c>
      <c r="Y1686">
        <f>IF(ISNUMBER(X1686),IF(X1686&gt;$L$7,W1686,""),"")</f>
        <v/>
      </c>
      <c r="Z1686">
        <f>IF(ISNUMBER('자료_거시'!$K1668),'자료_거시'!$K1668,Z1685)</f>
        <v/>
      </c>
      <c r="AA1686">
        <f>IF(AND(ISNUMBER('자료_거시'!$J1668),ISNUMBER('자료_거시'!$K1668)),IFERROR('자료_거시'!$K1668/INDEX($Z$21:$Z$4020,MATCH(EDATE('자료_거시'!$J1668,-'설정'!$B$17),'자료_거시'!$J$3:INDEX('자료_거시'!$J$3:$J$4002,$K$8),1))-1,""),"")</f>
        <v/>
      </c>
      <c r="AB1686">
        <f>IF(ISNUMBER(AA1686),'자료_거시'!$J1668,"")</f>
        <v/>
      </c>
      <c r="AC1686">
        <f>IF(ISNUMBER(AB1686),IF(AB1686&gt;$L$8,AA1686,""),"")</f>
        <v/>
      </c>
    </row>
    <row r="1687">
      <c r="S1687">
        <f>IF(ISNUMBER('자료_거시'!$E1669),'자료_거시'!$E1669,S1686)</f>
        <v/>
      </c>
      <c r="T1687">
        <f>IF(AND(ISNUMBER('자료_거시'!$D1669),ISNUMBER('자료_거시'!$E1669)),IFERROR('자료_거시'!$E1669-INDEX($S$21:$S$4020,MATCH(EDATE('자료_거시'!$D1669,-'설정'!$B$17),'자료_거시'!$D$3:INDEX('자료_거시'!$D$3:$D$4002,$K$6),1)),""),"")</f>
        <v/>
      </c>
      <c r="U1687">
        <f>IF(ISNUMBER(T1687),'자료_거시'!$D1669,"")</f>
        <v/>
      </c>
      <c r="V1687">
        <f>IF(ISNUMBER(U1687),IF(U1687&gt;$L$6,T1687,""),"")</f>
        <v/>
      </c>
      <c r="W1687">
        <f>IF(AND(ISNUMBER('자료_거시'!$G1669),ISNUMBER('자료_거시'!$H1669)),'자료_거시'!$H1669,"")</f>
        <v/>
      </c>
      <c r="X1687">
        <f>IF(ISNUMBER(W1687),'자료_거시'!$G1669,"")</f>
        <v/>
      </c>
      <c r="Y1687">
        <f>IF(ISNUMBER(X1687),IF(X1687&gt;$L$7,W1687,""),"")</f>
        <v/>
      </c>
      <c r="Z1687">
        <f>IF(ISNUMBER('자료_거시'!$K1669),'자료_거시'!$K1669,Z1686)</f>
        <v/>
      </c>
      <c r="AA1687">
        <f>IF(AND(ISNUMBER('자료_거시'!$J1669),ISNUMBER('자료_거시'!$K1669)),IFERROR('자료_거시'!$K1669/INDEX($Z$21:$Z$4020,MATCH(EDATE('자료_거시'!$J1669,-'설정'!$B$17),'자료_거시'!$J$3:INDEX('자료_거시'!$J$3:$J$4002,$K$8),1))-1,""),"")</f>
        <v/>
      </c>
      <c r="AB1687">
        <f>IF(ISNUMBER(AA1687),'자료_거시'!$J1669,"")</f>
        <v/>
      </c>
      <c r="AC1687">
        <f>IF(ISNUMBER(AB1687),IF(AB1687&gt;$L$8,AA1687,""),"")</f>
        <v/>
      </c>
    </row>
    <row r="1688">
      <c r="S1688">
        <f>IF(ISNUMBER('자료_거시'!$E1670),'자료_거시'!$E1670,S1687)</f>
        <v/>
      </c>
      <c r="T1688">
        <f>IF(AND(ISNUMBER('자료_거시'!$D1670),ISNUMBER('자료_거시'!$E1670)),IFERROR('자료_거시'!$E1670-INDEX($S$21:$S$4020,MATCH(EDATE('자료_거시'!$D1670,-'설정'!$B$17),'자료_거시'!$D$3:INDEX('자료_거시'!$D$3:$D$4002,$K$6),1)),""),"")</f>
        <v/>
      </c>
      <c r="U1688">
        <f>IF(ISNUMBER(T1688),'자료_거시'!$D1670,"")</f>
        <v/>
      </c>
      <c r="V1688">
        <f>IF(ISNUMBER(U1688),IF(U1688&gt;$L$6,T1688,""),"")</f>
        <v/>
      </c>
      <c r="W1688">
        <f>IF(AND(ISNUMBER('자료_거시'!$G1670),ISNUMBER('자료_거시'!$H1670)),'자료_거시'!$H1670,"")</f>
        <v/>
      </c>
      <c r="X1688">
        <f>IF(ISNUMBER(W1688),'자료_거시'!$G1670,"")</f>
        <v/>
      </c>
      <c r="Y1688">
        <f>IF(ISNUMBER(X1688),IF(X1688&gt;$L$7,W1688,""),"")</f>
        <v/>
      </c>
      <c r="Z1688">
        <f>IF(ISNUMBER('자료_거시'!$K1670),'자료_거시'!$K1670,Z1687)</f>
        <v/>
      </c>
      <c r="AA1688">
        <f>IF(AND(ISNUMBER('자료_거시'!$J1670),ISNUMBER('자료_거시'!$K1670)),IFERROR('자료_거시'!$K1670/INDEX($Z$21:$Z$4020,MATCH(EDATE('자료_거시'!$J1670,-'설정'!$B$17),'자료_거시'!$J$3:INDEX('자료_거시'!$J$3:$J$4002,$K$8),1))-1,""),"")</f>
        <v/>
      </c>
      <c r="AB1688">
        <f>IF(ISNUMBER(AA1688),'자료_거시'!$J1670,"")</f>
        <v/>
      </c>
      <c r="AC1688">
        <f>IF(ISNUMBER(AB1688),IF(AB1688&gt;$L$8,AA1688,""),"")</f>
        <v/>
      </c>
    </row>
    <row r="1689">
      <c r="S1689">
        <f>IF(ISNUMBER('자료_거시'!$E1671),'자료_거시'!$E1671,S1688)</f>
        <v/>
      </c>
      <c r="T1689">
        <f>IF(AND(ISNUMBER('자료_거시'!$D1671),ISNUMBER('자료_거시'!$E1671)),IFERROR('자료_거시'!$E1671-INDEX($S$21:$S$4020,MATCH(EDATE('자료_거시'!$D1671,-'설정'!$B$17),'자료_거시'!$D$3:INDEX('자료_거시'!$D$3:$D$4002,$K$6),1)),""),"")</f>
        <v/>
      </c>
      <c r="U1689">
        <f>IF(ISNUMBER(T1689),'자료_거시'!$D1671,"")</f>
        <v/>
      </c>
      <c r="V1689">
        <f>IF(ISNUMBER(U1689),IF(U1689&gt;$L$6,T1689,""),"")</f>
        <v/>
      </c>
      <c r="W1689">
        <f>IF(AND(ISNUMBER('자료_거시'!$G1671),ISNUMBER('자료_거시'!$H1671)),'자료_거시'!$H1671,"")</f>
        <v/>
      </c>
      <c r="X1689">
        <f>IF(ISNUMBER(W1689),'자료_거시'!$G1671,"")</f>
        <v/>
      </c>
      <c r="Y1689">
        <f>IF(ISNUMBER(X1689),IF(X1689&gt;$L$7,W1689,""),"")</f>
        <v/>
      </c>
      <c r="Z1689">
        <f>IF(ISNUMBER('자료_거시'!$K1671),'자료_거시'!$K1671,Z1688)</f>
        <v/>
      </c>
      <c r="AA1689">
        <f>IF(AND(ISNUMBER('자료_거시'!$J1671),ISNUMBER('자료_거시'!$K1671)),IFERROR('자료_거시'!$K1671/INDEX($Z$21:$Z$4020,MATCH(EDATE('자료_거시'!$J1671,-'설정'!$B$17),'자료_거시'!$J$3:INDEX('자료_거시'!$J$3:$J$4002,$K$8),1))-1,""),"")</f>
        <v/>
      </c>
      <c r="AB1689">
        <f>IF(ISNUMBER(AA1689),'자료_거시'!$J1671,"")</f>
        <v/>
      </c>
      <c r="AC1689">
        <f>IF(ISNUMBER(AB1689),IF(AB1689&gt;$L$8,AA1689,""),"")</f>
        <v/>
      </c>
    </row>
    <row r="1690">
      <c r="S1690">
        <f>IF(ISNUMBER('자료_거시'!$E1672),'자료_거시'!$E1672,S1689)</f>
        <v/>
      </c>
      <c r="T1690">
        <f>IF(AND(ISNUMBER('자료_거시'!$D1672),ISNUMBER('자료_거시'!$E1672)),IFERROR('자료_거시'!$E1672-INDEX($S$21:$S$4020,MATCH(EDATE('자료_거시'!$D1672,-'설정'!$B$17),'자료_거시'!$D$3:INDEX('자료_거시'!$D$3:$D$4002,$K$6),1)),""),"")</f>
        <v/>
      </c>
      <c r="U1690">
        <f>IF(ISNUMBER(T1690),'자료_거시'!$D1672,"")</f>
        <v/>
      </c>
      <c r="V1690">
        <f>IF(ISNUMBER(U1690),IF(U1690&gt;$L$6,T1690,""),"")</f>
        <v/>
      </c>
      <c r="W1690">
        <f>IF(AND(ISNUMBER('자료_거시'!$G1672),ISNUMBER('자료_거시'!$H1672)),'자료_거시'!$H1672,"")</f>
        <v/>
      </c>
      <c r="X1690">
        <f>IF(ISNUMBER(W1690),'자료_거시'!$G1672,"")</f>
        <v/>
      </c>
      <c r="Y1690">
        <f>IF(ISNUMBER(X1690),IF(X1690&gt;$L$7,W1690,""),"")</f>
        <v/>
      </c>
      <c r="Z1690">
        <f>IF(ISNUMBER('자료_거시'!$K1672),'자료_거시'!$K1672,Z1689)</f>
        <v/>
      </c>
      <c r="AA1690">
        <f>IF(AND(ISNUMBER('자료_거시'!$J1672),ISNUMBER('자료_거시'!$K1672)),IFERROR('자료_거시'!$K1672/INDEX($Z$21:$Z$4020,MATCH(EDATE('자료_거시'!$J1672,-'설정'!$B$17),'자료_거시'!$J$3:INDEX('자료_거시'!$J$3:$J$4002,$K$8),1))-1,""),"")</f>
        <v/>
      </c>
      <c r="AB1690">
        <f>IF(ISNUMBER(AA1690),'자료_거시'!$J1672,"")</f>
        <v/>
      </c>
      <c r="AC1690">
        <f>IF(ISNUMBER(AB1690),IF(AB1690&gt;$L$8,AA1690,""),"")</f>
        <v/>
      </c>
    </row>
    <row r="1691">
      <c r="S1691">
        <f>IF(ISNUMBER('자료_거시'!$E1673),'자료_거시'!$E1673,S1690)</f>
        <v/>
      </c>
      <c r="T1691">
        <f>IF(AND(ISNUMBER('자료_거시'!$D1673),ISNUMBER('자료_거시'!$E1673)),IFERROR('자료_거시'!$E1673-INDEX($S$21:$S$4020,MATCH(EDATE('자료_거시'!$D1673,-'설정'!$B$17),'자료_거시'!$D$3:INDEX('자료_거시'!$D$3:$D$4002,$K$6),1)),""),"")</f>
        <v/>
      </c>
      <c r="U1691">
        <f>IF(ISNUMBER(T1691),'자료_거시'!$D1673,"")</f>
        <v/>
      </c>
      <c r="V1691">
        <f>IF(ISNUMBER(U1691),IF(U1691&gt;$L$6,T1691,""),"")</f>
        <v/>
      </c>
      <c r="W1691">
        <f>IF(AND(ISNUMBER('자료_거시'!$G1673),ISNUMBER('자료_거시'!$H1673)),'자료_거시'!$H1673,"")</f>
        <v/>
      </c>
      <c r="X1691">
        <f>IF(ISNUMBER(W1691),'자료_거시'!$G1673,"")</f>
        <v/>
      </c>
      <c r="Y1691">
        <f>IF(ISNUMBER(X1691),IF(X1691&gt;$L$7,W1691,""),"")</f>
        <v/>
      </c>
      <c r="Z1691">
        <f>IF(ISNUMBER('자료_거시'!$K1673),'자료_거시'!$K1673,Z1690)</f>
        <v/>
      </c>
      <c r="AA1691">
        <f>IF(AND(ISNUMBER('자료_거시'!$J1673),ISNUMBER('자료_거시'!$K1673)),IFERROR('자료_거시'!$K1673/INDEX($Z$21:$Z$4020,MATCH(EDATE('자료_거시'!$J1673,-'설정'!$B$17),'자료_거시'!$J$3:INDEX('자료_거시'!$J$3:$J$4002,$K$8),1))-1,""),"")</f>
        <v/>
      </c>
      <c r="AB1691">
        <f>IF(ISNUMBER(AA1691),'자료_거시'!$J1673,"")</f>
        <v/>
      </c>
      <c r="AC1691">
        <f>IF(ISNUMBER(AB1691),IF(AB1691&gt;$L$8,AA1691,""),"")</f>
        <v/>
      </c>
    </row>
    <row r="1692">
      <c r="S1692">
        <f>IF(ISNUMBER('자료_거시'!$E1674),'자료_거시'!$E1674,S1691)</f>
        <v/>
      </c>
      <c r="T1692">
        <f>IF(AND(ISNUMBER('자료_거시'!$D1674),ISNUMBER('자료_거시'!$E1674)),IFERROR('자료_거시'!$E1674-INDEX($S$21:$S$4020,MATCH(EDATE('자료_거시'!$D1674,-'설정'!$B$17),'자료_거시'!$D$3:INDEX('자료_거시'!$D$3:$D$4002,$K$6),1)),""),"")</f>
        <v/>
      </c>
      <c r="U1692">
        <f>IF(ISNUMBER(T1692),'자료_거시'!$D1674,"")</f>
        <v/>
      </c>
      <c r="V1692">
        <f>IF(ISNUMBER(U1692),IF(U1692&gt;$L$6,T1692,""),"")</f>
        <v/>
      </c>
      <c r="W1692">
        <f>IF(AND(ISNUMBER('자료_거시'!$G1674),ISNUMBER('자료_거시'!$H1674)),'자료_거시'!$H1674,"")</f>
        <v/>
      </c>
      <c r="X1692">
        <f>IF(ISNUMBER(W1692),'자료_거시'!$G1674,"")</f>
        <v/>
      </c>
      <c r="Y1692">
        <f>IF(ISNUMBER(X1692),IF(X1692&gt;$L$7,W1692,""),"")</f>
        <v/>
      </c>
      <c r="Z1692">
        <f>IF(ISNUMBER('자료_거시'!$K1674),'자료_거시'!$K1674,Z1691)</f>
        <v/>
      </c>
      <c r="AA1692">
        <f>IF(AND(ISNUMBER('자료_거시'!$J1674),ISNUMBER('자료_거시'!$K1674)),IFERROR('자료_거시'!$K1674/INDEX($Z$21:$Z$4020,MATCH(EDATE('자료_거시'!$J1674,-'설정'!$B$17),'자료_거시'!$J$3:INDEX('자료_거시'!$J$3:$J$4002,$K$8),1))-1,""),"")</f>
        <v/>
      </c>
      <c r="AB1692">
        <f>IF(ISNUMBER(AA1692),'자료_거시'!$J1674,"")</f>
        <v/>
      </c>
      <c r="AC1692">
        <f>IF(ISNUMBER(AB1692),IF(AB1692&gt;$L$8,AA1692,""),"")</f>
        <v/>
      </c>
    </row>
    <row r="1693">
      <c r="S1693">
        <f>IF(ISNUMBER('자료_거시'!$E1675),'자료_거시'!$E1675,S1692)</f>
        <v/>
      </c>
      <c r="T1693">
        <f>IF(AND(ISNUMBER('자료_거시'!$D1675),ISNUMBER('자료_거시'!$E1675)),IFERROR('자료_거시'!$E1675-INDEX($S$21:$S$4020,MATCH(EDATE('자료_거시'!$D1675,-'설정'!$B$17),'자료_거시'!$D$3:INDEX('자료_거시'!$D$3:$D$4002,$K$6),1)),""),"")</f>
        <v/>
      </c>
      <c r="U1693">
        <f>IF(ISNUMBER(T1693),'자료_거시'!$D1675,"")</f>
        <v/>
      </c>
      <c r="V1693">
        <f>IF(ISNUMBER(U1693),IF(U1693&gt;$L$6,T1693,""),"")</f>
        <v/>
      </c>
      <c r="W1693">
        <f>IF(AND(ISNUMBER('자료_거시'!$G1675),ISNUMBER('자료_거시'!$H1675)),'자료_거시'!$H1675,"")</f>
        <v/>
      </c>
      <c r="X1693">
        <f>IF(ISNUMBER(W1693),'자료_거시'!$G1675,"")</f>
        <v/>
      </c>
      <c r="Y1693">
        <f>IF(ISNUMBER(X1693),IF(X1693&gt;$L$7,W1693,""),"")</f>
        <v/>
      </c>
      <c r="Z1693">
        <f>IF(ISNUMBER('자료_거시'!$K1675),'자료_거시'!$K1675,Z1692)</f>
        <v/>
      </c>
      <c r="AA1693">
        <f>IF(AND(ISNUMBER('자료_거시'!$J1675),ISNUMBER('자료_거시'!$K1675)),IFERROR('자료_거시'!$K1675/INDEX($Z$21:$Z$4020,MATCH(EDATE('자료_거시'!$J1675,-'설정'!$B$17),'자료_거시'!$J$3:INDEX('자료_거시'!$J$3:$J$4002,$K$8),1))-1,""),"")</f>
        <v/>
      </c>
      <c r="AB1693">
        <f>IF(ISNUMBER(AA1693),'자료_거시'!$J1675,"")</f>
        <v/>
      </c>
      <c r="AC1693">
        <f>IF(ISNUMBER(AB1693),IF(AB1693&gt;$L$8,AA1693,""),"")</f>
        <v/>
      </c>
    </row>
    <row r="1694">
      <c r="S1694">
        <f>IF(ISNUMBER('자료_거시'!$E1676),'자료_거시'!$E1676,S1693)</f>
        <v/>
      </c>
      <c r="T1694">
        <f>IF(AND(ISNUMBER('자료_거시'!$D1676),ISNUMBER('자료_거시'!$E1676)),IFERROR('자료_거시'!$E1676-INDEX($S$21:$S$4020,MATCH(EDATE('자료_거시'!$D1676,-'설정'!$B$17),'자료_거시'!$D$3:INDEX('자료_거시'!$D$3:$D$4002,$K$6),1)),""),"")</f>
        <v/>
      </c>
      <c r="U1694">
        <f>IF(ISNUMBER(T1694),'자료_거시'!$D1676,"")</f>
        <v/>
      </c>
      <c r="V1694">
        <f>IF(ISNUMBER(U1694),IF(U1694&gt;$L$6,T1694,""),"")</f>
        <v/>
      </c>
      <c r="W1694">
        <f>IF(AND(ISNUMBER('자료_거시'!$G1676),ISNUMBER('자료_거시'!$H1676)),'자료_거시'!$H1676,"")</f>
        <v/>
      </c>
      <c r="X1694">
        <f>IF(ISNUMBER(W1694),'자료_거시'!$G1676,"")</f>
        <v/>
      </c>
      <c r="Y1694">
        <f>IF(ISNUMBER(X1694),IF(X1694&gt;$L$7,W1694,""),"")</f>
        <v/>
      </c>
      <c r="Z1694">
        <f>IF(ISNUMBER('자료_거시'!$K1676),'자료_거시'!$K1676,Z1693)</f>
        <v/>
      </c>
      <c r="AA1694">
        <f>IF(AND(ISNUMBER('자료_거시'!$J1676),ISNUMBER('자료_거시'!$K1676)),IFERROR('자료_거시'!$K1676/INDEX($Z$21:$Z$4020,MATCH(EDATE('자료_거시'!$J1676,-'설정'!$B$17),'자료_거시'!$J$3:INDEX('자료_거시'!$J$3:$J$4002,$K$8),1))-1,""),"")</f>
        <v/>
      </c>
      <c r="AB1694">
        <f>IF(ISNUMBER(AA1694),'자료_거시'!$J1676,"")</f>
        <v/>
      </c>
      <c r="AC1694">
        <f>IF(ISNUMBER(AB1694),IF(AB1694&gt;$L$8,AA1694,""),"")</f>
        <v/>
      </c>
    </row>
    <row r="1695">
      <c r="S1695">
        <f>IF(ISNUMBER('자료_거시'!$E1677),'자료_거시'!$E1677,S1694)</f>
        <v/>
      </c>
      <c r="T1695">
        <f>IF(AND(ISNUMBER('자료_거시'!$D1677),ISNUMBER('자료_거시'!$E1677)),IFERROR('자료_거시'!$E1677-INDEX($S$21:$S$4020,MATCH(EDATE('자료_거시'!$D1677,-'설정'!$B$17),'자료_거시'!$D$3:INDEX('자료_거시'!$D$3:$D$4002,$K$6),1)),""),"")</f>
        <v/>
      </c>
      <c r="U1695">
        <f>IF(ISNUMBER(T1695),'자료_거시'!$D1677,"")</f>
        <v/>
      </c>
      <c r="V1695">
        <f>IF(ISNUMBER(U1695),IF(U1695&gt;$L$6,T1695,""),"")</f>
        <v/>
      </c>
      <c r="W1695">
        <f>IF(AND(ISNUMBER('자료_거시'!$G1677),ISNUMBER('자료_거시'!$H1677)),'자료_거시'!$H1677,"")</f>
        <v/>
      </c>
      <c r="X1695">
        <f>IF(ISNUMBER(W1695),'자료_거시'!$G1677,"")</f>
        <v/>
      </c>
      <c r="Y1695">
        <f>IF(ISNUMBER(X1695),IF(X1695&gt;$L$7,W1695,""),"")</f>
        <v/>
      </c>
      <c r="Z1695">
        <f>IF(ISNUMBER('자료_거시'!$K1677),'자료_거시'!$K1677,Z1694)</f>
        <v/>
      </c>
      <c r="AA1695">
        <f>IF(AND(ISNUMBER('자료_거시'!$J1677),ISNUMBER('자료_거시'!$K1677)),IFERROR('자료_거시'!$K1677/INDEX($Z$21:$Z$4020,MATCH(EDATE('자료_거시'!$J1677,-'설정'!$B$17),'자료_거시'!$J$3:INDEX('자료_거시'!$J$3:$J$4002,$K$8),1))-1,""),"")</f>
        <v/>
      </c>
      <c r="AB1695">
        <f>IF(ISNUMBER(AA1695),'자료_거시'!$J1677,"")</f>
        <v/>
      </c>
      <c r="AC1695">
        <f>IF(ISNUMBER(AB1695),IF(AB1695&gt;$L$8,AA1695,""),"")</f>
        <v/>
      </c>
    </row>
    <row r="1696">
      <c r="S1696">
        <f>IF(ISNUMBER('자료_거시'!$E1678),'자료_거시'!$E1678,S1695)</f>
        <v/>
      </c>
      <c r="T1696">
        <f>IF(AND(ISNUMBER('자료_거시'!$D1678),ISNUMBER('자료_거시'!$E1678)),IFERROR('자료_거시'!$E1678-INDEX($S$21:$S$4020,MATCH(EDATE('자료_거시'!$D1678,-'설정'!$B$17),'자료_거시'!$D$3:INDEX('자료_거시'!$D$3:$D$4002,$K$6),1)),""),"")</f>
        <v/>
      </c>
      <c r="U1696">
        <f>IF(ISNUMBER(T1696),'자료_거시'!$D1678,"")</f>
        <v/>
      </c>
      <c r="V1696">
        <f>IF(ISNUMBER(U1696),IF(U1696&gt;$L$6,T1696,""),"")</f>
        <v/>
      </c>
      <c r="W1696">
        <f>IF(AND(ISNUMBER('자료_거시'!$G1678),ISNUMBER('자료_거시'!$H1678)),'자료_거시'!$H1678,"")</f>
        <v/>
      </c>
      <c r="X1696">
        <f>IF(ISNUMBER(W1696),'자료_거시'!$G1678,"")</f>
        <v/>
      </c>
      <c r="Y1696">
        <f>IF(ISNUMBER(X1696),IF(X1696&gt;$L$7,W1696,""),"")</f>
        <v/>
      </c>
      <c r="Z1696">
        <f>IF(ISNUMBER('자료_거시'!$K1678),'자료_거시'!$K1678,Z1695)</f>
        <v/>
      </c>
      <c r="AA1696">
        <f>IF(AND(ISNUMBER('자료_거시'!$J1678),ISNUMBER('자료_거시'!$K1678)),IFERROR('자료_거시'!$K1678/INDEX($Z$21:$Z$4020,MATCH(EDATE('자료_거시'!$J1678,-'설정'!$B$17),'자료_거시'!$J$3:INDEX('자료_거시'!$J$3:$J$4002,$K$8),1))-1,""),"")</f>
        <v/>
      </c>
      <c r="AB1696">
        <f>IF(ISNUMBER(AA1696),'자료_거시'!$J1678,"")</f>
        <v/>
      </c>
      <c r="AC1696">
        <f>IF(ISNUMBER(AB1696),IF(AB1696&gt;$L$8,AA1696,""),"")</f>
        <v/>
      </c>
    </row>
    <row r="1697">
      <c r="S1697">
        <f>IF(ISNUMBER('자료_거시'!$E1679),'자료_거시'!$E1679,S1696)</f>
        <v/>
      </c>
      <c r="T1697">
        <f>IF(AND(ISNUMBER('자료_거시'!$D1679),ISNUMBER('자료_거시'!$E1679)),IFERROR('자료_거시'!$E1679-INDEX($S$21:$S$4020,MATCH(EDATE('자료_거시'!$D1679,-'설정'!$B$17),'자료_거시'!$D$3:INDEX('자료_거시'!$D$3:$D$4002,$K$6),1)),""),"")</f>
        <v/>
      </c>
      <c r="U1697">
        <f>IF(ISNUMBER(T1697),'자료_거시'!$D1679,"")</f>
        <v/>
      </c>
      <c r="V1697">
        <f>IF(ISNUMBER(U1697),IF(U1697&gt;$L$6,T1697,""),"")</f>
        <v/>
      </c>
      <c r="W1697">
        <f>IF(AND(ISNUMBER('자료_거시'!$G1679),ISNUMBER('자료_거시'!$H1679)),'자료_거시'!$H1679,"")</f>
        <v/>
      </c>
      <c r="X1697">
        <f>IF(ISNUMBER(W1697),'자료_거시'!$G1679,"")</f>
        <v/>
      </c>
      <c r="Y1697">
        <f>IF(ISNUMBER(X1697),IF(X1697&gt;$L$7,W1697,""),"")</f>
        <v/>
      </c>
      <c r="Z1697">
        <f>IF(ISNUMBER('자료_거시'!$K1679),'자료_거시'!$K1679,Z1696)</f>
        <v/>
      </c>
      <c r="AA1697">
        <f>IF(AND(ISNUMBER('자료_거시'!$J1679),ISNUMBER('자료_거시'!$K1679)),IFERROR('자료_거시'!$K1679/INDEX($Z$21:$Z$4020,MATCH(EDATE('자료_거시'!$J1679,-'설정'!$B$17),'자료_거시'!$J$3:INDEX('자료_거시'!$J$3:$J$4002,$K$8),1))-1,""),"")</f>
        <v/>
      </c>
      <c r="AB1697">
        <f>IF(ISNUMBER(AA1697),'자료_거시'!$J1679,"")</f>
        <v/>
      </c>
      <c r="AC1697">
        <f>IF(ISNUMBER(AB1697),IF(AB1697&gt;$L$8,AA1697,""),"")</f>
        <v/>
      </c>
    </row>
    <row r="1698">
      <c r="S1698">
        <f>IF(ISNUMBER('자료_거시'!$E1680),'자료_거시'!$E1680,S1697)</f>
        <v/>
      </c>
      <c r="T1698">
        <f>IF(AND(ISNUMBER('자료_거시'!$D1680),ISNUMBER('자료_거시'!$E1680)),IFERROR('자료_거시'!$E1680-INDEX($S$21:$S$4020,MATCH(EDATE('자료_거시'!$D1680,-'설정'!$B$17),'자료_거시'!$D$3:INDEX('자료_거시'!$D$3:$D$4002,$K$6),1)),""),"")</f>
        <v/>
      </c>
      <c r="U1698">
        <f>IF(ISNUMBER(T1698),'자료_거시'!$D1680,"")</f>
        <v/>
      </c>
      <c r="V1698">
        <f>IF(ISNUMBER(U1698),IF(U1698&gt;$L$6,T1698,""),"")</f>
        <v/>
      </c>
      <c r="W1698">
        <f>IF(AND(ISNUMBER('자료_거시'!$G1680),ISNUMBER('자료_거시'!$H1680)),'자료_거시'!$H1680,"")</f>
        <v/>
      </c>
      <c r="X1698">
        <f>IF(ISNUMBER(W1698),'자료_거시'!$G1680,"")</f>
        <v/>
      </c>
      <c r="Y1698">
        <f>IF(ISNUMBER(X1698),IF(X1698&gt;$L$7,W1698,""),"")</f>
        <v/>
      </c>
      <c r="Z1698">
        <f>IF(ISNUMBER('자료_거시'!$K1680),'자료_거시'!$K1680,Z1697)</f>
        <v/>
      </c>
      <c r="AA1698">
        <f>IF(AND(ISNUMBER('자료_거시'!$J1680),ISNUMBER('자료_거시'!$K1680)),IFERROR('자료_거시'!$K1680/INDEX($Z$21:$Z$4020,MATCH(EDATE('자료_거시'!$J1680,-'설정'!$B$17),'자료_거시'!$J$3:INDEX('자료_거시'!$J$3:$J$4002,$K$8),1))-1,""),"")</f>
        <v/>
      </c>
      <c r="AB1698">
        <f>IF(ISNUMBER(AA1698),'자료_거시'!$J1680,"")</f>
        <v/>
      </c>
      <c r="AC1698">
        <f>IF(ISNUMBER(AB1698),IF(AB1698&gt;$L$8,AA1698,""),"")</f>
        <v/>
      </c>
    </row>
    <row r="1699">
      <c r="S1699">
        <f>IF(ISNUMBER('자료_거시'!$E1681),'자료_거시'!$E1681,S1698)</f>
        <v/>
      </c>
      <c r="T1699">
        <f>IF(AND(ISNUMBER('자료_거시'!$D1681),ISNUMBER('자료_거시'!$E1681)),IFERROR('자료_거시'!$E1681-INDEX($S$21:$S$4020,MATCH(EDATE('자료_거시'!$D1681,-'설정'!$B$17),'자료_거시'!$D$3:INDEX('자료_거시'!$D$3:$D$4002,$K$6),1)),""),"")</f>
        <v/>
      </c>
      <c r="U1699">
        <f>IF(ISNUMBER(T1699),'자료_거시'!$D1681,"")</f>
        <v/>
      </c>
      <c r="V1699">
        <f>IF(ISNUMBER(U1699),IF(U1699&gt;$L$6,T1699,""),"")</f>
        <v/>
      </c>
      <c r="W1699">
        <f>IF(AND(ISNUMBER('자료_거시'!$G1681),ISNUMBER('자료_거시'!$H1681)),'자료_거시'!$H1681,"")</f>
        <v/>
      </c>
      <c r="X1699">
        <f>IF(ISNUMBER(W1699),'자료_거시'!$G1681,"")</f>
        <v/>
      </c>
      <c r="Y1699">
        <f>IF(ISNUMBER(X1699),IF(X1699&gt;$L$7,W1699,""),"")</f>
        <v/>
      </c>
      <c r="Z1699">
        <f>IF(ISNUMBER('자료_거시'!$K1681),'자료_거시'!$K1681,Z1698)</f>
        <v/>
      </c>
      <c r="AA1699">
        <f>IF(AND(ISNUMBER('자료_거시'!$J1681),ISNUMBER('자료_거시'!$K1681)),IFERROR('자료_거시'!$K1681/INDEX($Z$21:$Z$4020,MATCH(EDATE('자료_거시'!$J1681,-'설정'!$B$17),'자료_거시'!$J$3:INDEX('자료_거시'!$J$3:$J$4002,$K$8),1))-1,""),"")</f>
        <v/>
      </c>
      <c r="AB1699">
        <f>IF(ISNUMBER(AA1699),'자료_거시'!$J1681,"")</f>
        <v/>
      </c>
      <c r="AC1699">
        <f>IF(ISNUMBER(AB1699),IF(AB1699&gt;$L$8,AA1699,""),"")</f>
        <v/>
      </c>
    </row>
    <row r="1700">
      <c r="S1700">
        <f>IF(ISNUMBER('자료_거시'!$E1682),'자료_거시'!$E1682,S1699)</f>
        <v/>
      </c>
      <c r="T1700">
        <f>IF(AND(ISNUMBER('자료_거시'!$D1682),ISNUMBER('자료_거시'!$E1682)),IFERROR('자료_거시'!$E1682-INDEX($S$21:$S$4020,MATCH(EDATE('자료_거시'!$D1682,-'설정'!$B$17),'자료_거시'!$D$3:INDEX('자료_거시'!$D$3:$D$4002,$K$6),1)),""),"")</f>
        <v/>
      </c>
      <c r="U1700">
        <f>IF(ISNUMBER(T1700),'자료_거시'!$D1682,"")</f>
        <v/>
      </c>
      <c r="V1700">
        <f>IF(ISNUMBER(U1700),IF(U1700&gt;$L$6,T1700,""),"")</f>
        <v/>
      </c>
      <c r="W1700">
        <f>IF(AND(ISNUMBER('자료_거시'!$G1682),ISNUMBER('자료_거시'!$H1682)),'자료_거시'!$H1682,"")</f>
        <v/>
      </c>
      <c r="X1700">
        <f>IF(ISNUMBER(W1700),'자료_거시'!$G1682,"")</f>
        <v/>
      </c>
      <c r="Y1700">
        <f>IF(ISNUMBER(X1700),IF(X1700&gt;$L$7,W1700,""),"")</f>
        <v/>
      </c>
      <c r="Z1700">
        <f>IF(ISNUMBER('자료_거시'!$K1682),'자료_거시'!$K1682,Z1699)</f>
        <v/>
      </c>
      <c r="AA1700">
        <f>IF(AND(ISNUMBER('자료_거시'!$J1682),ISNUMBER('자료_거시'!$K1682)),IFERROR('자료_거시'!$K1682/INDEX($Z$21:$Z$4020,MATCH(EDATE('자료_거시'!$J1682,-'설정'!$B$17),'자료_거시'!$J$3:INDEX('자료_거시'!$J$3:$J$4002,$K$8),1))-1,""),"")</f>
        <v/>
      </c>
      <c r="AB1700">
        <f>IF(ISNUMBER(AA1700),'자료_거시'!$J1682,"")</f>
        <v/>
      </c>
      <c r="AC1700">
        <f>IF(ISNUMBER(AB1700),IF(AB1700&gt;$L$8,AA1700,""),"")</f>
        <v/>
      </c>
    </row>
    <row r="1701">
      <c r="S1701">
        <f>IF(ISNUMBER('자료_거시'!$E1683),'자료_거시'!$E1683,S1700)</f>
        <v/>
      </c>
      <c r="T1701">
        <f>IF(AND(ISNUMBER('자료_거시'!$D1683),ISNUMBER('자료_거시'!$E1683)),IFERROR('자료_거시'!$E1683-INDEX($S$21:$S$4020,MATCH(EDATE('자료_거시'!$D1683,-'설정'!$B$17),'자료_거시'!$D$3:INDEX('자료_거시'!$D$3:$D$4002,$K$6),1)),""),"")</f>
        <v/>
      </c>
      <c r="U1701">
        <f>IF(ISNUMBER(T1701),'자료_거시'!$D1683,"")</f>
        <v/>
      </c>
      <c r="V1701">
        <f>IF(ISNUMBER(U1701),IF(U1701&gt;$L$6,T1701,""),"")</f>
        <v/>
      </c>
      <c r="W1701">
        <f>IF(AND(ISNUMBER('자료_거시'!$G1683),ISNUMBER('자료_거시'!$H1683)),'자료_거시'!$H1683,"")</f>
        <v/>
      </c>
      <c r="X1701">
        <f>IF(ISNUMBER(W1701),'자료_거시'!$G1683,"")</f>
        <v/>
      </c>
      <c r="Y1701">
        <f>IF(ISNUMBER(X1701),IF(X1701&gt;$L$7,W1701,""),"")</f>
        <v/>
      </c>
      <c r="Z1701">
        <f>IF(ISNUMBER('자료_거시'!$K1683),'자료_거시'!$K1683,Z1700)</f>
        <v/>
      </c>
      <c r="AA1701">
        <f>IF(AND(ISNUMBER('자료_거시'!$J1683),ISNUMBER('자료_거시'!$K1683)),IFERROR('자료_거시'!$K1683/INDEX($Z$21:$Z$4020,MATCH(EDATE('자료_거시'!$J1683,-'설정'!$B$17),'자료_거시'!$J$3:INDEX('자료_거시'!$J$3:$J$4002,$K$8),1))-1,""),"")</f>
        <v/>
      </c>
      <c r="AB1701">
        <f>IF(ISNUMBER(AA1701),'자료_거시'!$J1683,"")</f>
        <v/>
      </c>
      <c r="AC1701">
        <f>IF(ISNUMBER(AB1701),IF(AB1701&gt;$L$8,AA1701,""),"")</f>
        <v/>
      </c>
    </row>
    <row r="1702">
      <c r="S1702">
        <f>IF(ISNUMBER('자료_거시'!$E1684),'자료_거시'!$E1684,S1701)</f>
        <v/>
      </c>
      <c r="T1702">
        <f>IF(AND(ISNUMBER('자료_거시'!$D1684),ISNUMBER('자료_거시'!$E1684)),IFERROR('자료_거시'!$E1684-INDEX($S$21:$S$4020,MATCH(EDATE('자료_거시'!$D1684,-'설정'!$B$17),'자료_거시'!$D$3:INDEX('자료_거시'!$D$3:$D$4002,$K$6),1)),""),"")</f>
        <v/>
      </c>
      <c r="U1702">
        <f>IF(ISNUMBER(T1702),'자료_거시'!$D1684,"")</f>
        <v/>
      </c>
      <c r="V1702">
        <f>IF(ISNUMBER(U1702),IF(U1702&gt;$L$6,T1702,""),"")</f>
        <v/>
      </c>
      <c r="W1702">
        <f>IF(AND(ISNUMBER('자료_거시'!$G1684),ISNUMBER('자료_거시'!$H1684)),'자료_거시'!$H1684,"")</f>
        <v/>
      </c>
      <c r="X1702">
        <f>IF(ISNUMBER(W1702),'자료_거시'!$G1684,"")</f>
        <v/>
      </c>
      <c r="Y1702">
        <f>IF(ISNUMBER(X1702),IF(X1702&gt;$L$7,W1702,""),"")</f>
        <v/>
      </c>
      <c r="Z1702">
        <f>IF(ISNUMBER('자료_거시'!$K1684),'자료_거시'!$K1684,Z1701)</f>
        <v/>
      </c>
      <c r="AA1702">
        <f>IF(AND(ISNUMBER('자료_거시'!$J1684),ISNUMBER('자료_거시'!$K1684)),IFERROR('자료_거시'!$K1684/INDEX($Z$21:$Z$4020,MATCH(EDATE('자료_거시'!$J1684,-'설정'!$B$17),'자료_거시'!$J$3:INDEX('자료_거시'!$J$3:$J$4002,$K$8),1))-1,""),"")</f>
        <v/>
      </c>
      <c r="AB1702">
        <f>IF(ISNUMBER(AA1702),'자료_거시'!$J1684,"")</f>
        <v/>
      </c>
      <c r="AC1702">
        <f>IF(ISNUMBER(AB1702),IF(AB1702&gt;$L$8,AA1702,""),"")</f>
        <v/>
      </c>
    </row>
    <row r="1703">
      <c r="S1703">
        <f>IF(ISNUMBER('자료_거시'!$E1685),'자료_거시'!$E1685,S1702)</f>
        <v/>
      </c>
      <c r="T1703">
        <f>IF(AND(ISNUMBER('자료_거시'!$D1685),ISNUMBER('자료_거시'!$E1685)),IFERROR('자료_거시'!$E1685-INDEX($S$21:$S$4020,MATCH(EDATE('자료_거시'!$D1685,-'설정'!$B$17),'자료_거시'!$D$3:INDEX('자료_거시'!$D$3:$D$4002,$K$6),1)),""),"")</f>
        <v/>
      </c>
      <c r="U1703">
        <f>IF(ISNUMBER(T1703),'자료_거시'!$D1685,"")</f>
        <v/>
      </c>
      <c r="V1703">
        <f>IF(ISNUMBER(U1703),IF(U1703&gt;$L$6,T1703,""),"")</f>
        <v/>
      </c>
      <c r="W1703">
        <f>IF(AND(ISNUMBER('자료_거시'!$G1685),ISNUMBER('자료_거시'!$H1685)),'자료_거시'!$H1685,"")</f>
        <v/>
      </c>
      <c r="X1703">
        <f>IF(ISNUMBER(W1703),'자료_거시'!$G1685,"")</f>
        <v/>
      </c>
      <c r="Y1703">
        <f>IF(ISNUMBER(X1703),IF(X1703&gt;$L$7,W1703,""),"")</f>
        <v/>
      </c>
      <c r="Z1703">
        <f>IF(ISNUMBER('자료_거시'!$K1685),'자료_거시'!$K1685,Z1702)</f>
        <v/>
      </c>
      <c r="AA1703">
        <f>IF(AND(ISNUMBER('자료_거시'!$J1685),ISNUMBER('자료_거시'!$K1685)),IFERROR('자료_거시'!$K1685/INDEX($Z$21:$Z$4020,MATCH(EDATE('자료_거시'!$J1685,-'설정'!$B$17),'자료_거시'!$J$3:INDEX('자료_거시'!$J$3:$J$4002,$K$8),1))-1,""),"")</f>
        <v/>
      </c>
      <c r="AB1703">
        <f>IF(ISNUMBER(AA1703),'자료_거시'!$J1685,"")</f>
        <v/>
      </c>
      <c r="AC1703">
        <f>IF(ISNUMBER(AB1703),IF(AB1703&gt;$L$8,AA1703,""),"")</f>
        <v/>
      </c>
    </row>
    <row r="1704">
      <c r="S1704">
        <f>IF(ISNUMBER('자료_거시'!$E1686),'자료_거시'!$E1686,S1703)</f>
        <v/>
      </c>
      <c r="T1704">
        <f>IF(AND(ISNUMBER('자료_거시'!$D1686),ISNUMBER('자료_거시'!$E1686)),IFERROR('자료_거시'!$E1686-INDEX($S$21:$S$4020,MATCH(EDATE('자료_거시'!$D1686,-'설정'!$B$17),'자료_거시'!$D$3:INDEX('자료_거시'!$D$3:$D$4002,$K$6),1)),""),"")</f>
        <v/>
      </c>
      <c r="U1704">
        <f>IF(ISNUMBER(T1704),'자료_거시'!$D1686,"")</f>
        <v/>
      </c>
      <c r="V1704">
        <f>IF(ISNUMBER(U1704),IF(U1704&gt;$L$6,T1704,""),"")</f>
        <v/>
      </c>
      <c r="W1704">
        <f>IF(AND(ISNUMBER('자료_거시'!$G1686),ISNUMBER('자료_거시'!$H1686)),'자료_거시'!$H1686,"")</f>
        <v/>
      </c>
      <c r="X1704">
        <f>IF(ISNUMBER(W1704),'자료_거시'!$G1686,"")</f>
        <v/>
      </c>
      <c r="Y1704">
        <f>IF(ISNUMBER(X1704),IF(X1704&gt;$L$7,W1704,""),"")</f>
        <v/>
      </c>
      <c r="Z1704">
        <f>IF(ISNUMBER('자료_거시'!$K1686),'자료_거시'!$K1686,Z1703)</f>
        <v/>
      </c>
      <c r="AA1704">
        <f>IF(AND(ISNUMBER('자료_거시'!$J1686),ISNUMBER('자료_거시'!$K1686)),IFERROR('자료_거시'!$K1686/INDEX($Z$21:$Z$4020,MATCH(EDATE('자료_거시'!$J1686,-'설정'!$B$17),'자료_거시'!$J$3:INDEX('자료_거시'!$J$3:$J$4002,$K$8),1))-1,""),"")</f>
        <v/>
      </c>
      <c r="AB1704">
        <f>IF(ISNUMBER(AA1704),'자료_거시'!$J1686,"")</f>
        <v/>
      </c>
      <c r="AC1704">
        <f>IF(ISNUMBER(AB1704),IF(AB1704&gt;$L$8,AA1704,""),"")</f>
        <v/>
      </c>
    </row>
    <row r="1705">
      <c r="S1705">
        <f>IF(ISNUMBER('자료_거시'!$E1687),'자료_거시'!$E1687,S1704)</f>
        <v/>
      </c>
      <c r="T1705">
        <f>IF(AND(ISNUMBER('자료_거시'!$D1687),ISNUMBER('자료_거시'!$E1687)),IFERROR('자료_거시'!$E1687-INDEX($S$21:$S$4020,MATCH(EDATE('자료_거시'!$D1687,-'설정'!$B$17),'자료_거시'!$D$3:INDEX('자료_거시'!$D$3:$D$4002,$K$6),1)),""),"")</f>
        <v/>
      </c>
      <c r="U1705">
        <f>IF(ISNUMBER(T1705),'자료_거시'!$D1687,"")</f>
        <v/>
      </c>
      <c r="V1705">
        <f>IF(ISNUMBER(U1705),IF(U1705&gt;$L$6,T1705,""),"")</f>
        <v/>
      </c>
      <c r="W1705">
        <f>IF(AND(ISNUMBER('자료_거시'!$G1687),ISNUMBER('자료_거시'!$H1687)),'자료_거시'!$H1687,"")</f>
        <v/>
      </c>
      <c r="X1705">
        <f>IF(ISNUMBER(W1705),'자료_거시'!$G1687,"")</f>
        <v/>
      </c>
      <c r="Y1705">
        <f>IF(ISNUMBER(X1705),IF(X1705&gt;$L$7,W1705,""),"")</f>
        <v/>
      </c>
      <c r="Z1705">
        <f>IF(ISNUMBER('자료_거시'!$K1687),'자료_거시'!$K1687,Z1704)</f>
        <v/>
      </c>
      <c r="AA1705">
        <f>IF(AND(ISNUMBER('자료_거시'!$J1687),ISNUMBER('자료_거시'!$K1687)),IFERROR('자료_거시'!$K1687/INDEX($Z$21:$Z$4020,MATCH(EDATE('자료_거시'!$J1687,-'설정'!$B$17),'자료_거시'!$J$3:INDEX('자료_거시'!$J$3:$J$4002,$K$8),1))-1,""),"")</f>
        <v/>
      </c>
      <c r="AB1705">
        <f>IF(ISNUMBER(AA1705),'자료_거시'!$J1687,"")</f>
        <v/>
      </c>
      <c r="AC1705">
        <f>IF(ISNUMBER(AB1705),IF(AB1705&gt;$L$8,AA1705,""),"")</f>
        <v/>
      </c>
    </row>
    <row r="1706">
      <c r="S1706">
        <f>IF(ISNUMBER('자료_거시'!$E1688),'자료_거시'!$E1688,S1705)</f>
        <v/>
      </c>
      <c r="T1706">
        <f>IF(AND(ISNUMBER('자료_거시'!$D1688),ISNUMBER('자료_거시'!$E1688)),IFERROR('자료_거시'!$E1688-INDEX($S$21:$S$4020,MATCH(EDATE('자료_거시'!$D1688,-'설정'!$B$17),'자료_거시'!$D$3:INDEX('자료_거시'!$D$3:$D$4002,$K$6),1)),""),"")</f>
        <v/>
      </c>
      <c r="U1706">
        <f>IF(ISNUMBER(T1706),'자료_거시'!$D1688,"")</f>
        <v/>
      </c>
      <c r="V1706">
        <f>IF(ISNUMBER(U1706),IF(U1706&gt;$L$6,T1706,""),"")</f>
        <v/>
      </c>
      <c r="W1706">
        <f>IF(AND(ISNUMBER('자료_거시'!$G1688),ISNUMBER('자료_거시'!$H1688)),'자료_거시'!$H1688,"")</f>
        <v/>
      </c>
      <c r="X1706">
        <f>IF(ISNUMBER(W1706),'자료_거시'!$G1688,"")</f>
        <v/>
      </c>
      <c r="Y1706">
        <f>IF(ISNUMBER(X1706),IF(X1706&gt;$L$7,W1706,""),"")</f>
        <v/>
      </c>
      <c r="Z1706">
        <f>IF(ISNUMBER('자료_거시'!$K1688),'자료_거시'!$K1688,Z1705)</f>
        <v/>
      </c>
      <c r="AA1706">
        <f>IF(AND(ISNUMBER('자료_거시'!$J1688),ISNUMBER('자료_거시'!$K1688)),IFERROR('자료_거시'!$K1688/INDEX($Z$21:$Z$4020,MATCH(EDATE('자료_거시'!$J1688,-'설정'!$B$17),'자료_거시'!$J$3:INDEX('자료_거시'!$J$3:$J$4002,$K$8),1))-1,""),"")</f>
        <v/>
      </c>
      <c r="AB1706">
        <f>IF(ISNUMBER(AA1706),'자료_거시'!$J1688,"")</f>
        <v/>
      </c>
      <c r="AC1706">
        <f>IF(ISNUMBER(AB1706),IF(AB1706&gt;$L$8,AA1706,""),"")</f>
        <v/>
      </c>
    </row>
    <row r="1707">
      <c r="S1707">
        <f>IF(ISNUMBER('자료_거시'!$E1689),'자료_거시'!$E1689,S1706)</f>
        <v/>
      </c>
      <c r="T1707">
        <f>IF(AND(ISNUMBER('자료_거시'!$D1689),ISNUMBER('자료_거시'!$E1689)),IFERROR('자료_거시'!$E1689-INDEX($S$21:$S$4020,MATCH(EDATE('자료_거시'!$D1689,-'설정'!$B$17),'자료_거시'!$D$3:INDEX('자료_거시'!$D$3:$D$4002,$K$6),1)),""),"")</f>
        <v/>
      </c>
      <c r="U1707">
        <f>IF(ISNUMBER(T1707),'자료_거시'!$D1689,"")</f>
        <v/>
      </c>
      <c r="V1707">
        <f>IF(ISNUMBER(U1707),IF(U1707&gt;$L$6,T1707,""),"")</f>
        <v/>
      </c>
      <c r="W1707">
        <f>IF(AND(ISNUMBER('자료_거시'!$G1689),ISNUMBER('자료_거시'!$H1689)),'자료_거시'!$H1689,"")</f>
        <v/>
      </c>
      <c r="X1707">
        <f>IF(ISNUMBER(W1707),'자료_거시'!$G1689,"")</f>
        <v/>
      </c>
      <c r="Y1707">
        <f>IF(ISNUMBER(X1707),IF(X1707&gt;$L$7,W1707,""),"")</f>
        <v/>
      </c>
      <c r="Z1707">
        <f>IF(ISNUMBER('자료_거시'!$K1689),'자료_거시'!$K1689,Z1706)</f>
        <v/>
      </c>
      <c r="AA1707">
        <f>IF(AND(ISNUMBER('자료_거시'!$J1689),ISNUMBER('자료_거시'!$K1689)),IFERROR('자료_거시'!$K1689/INDEX($Z$21:$Z$4020,MATCH(EDATE('자료_거시'!$J1689,-'설정'!$B$17),'자료_거시'!$J$3:INDEX('자료_거시'!$J$3:$J$4002,$K$8),1))-1,""),"")</f>
        <v/>
      </c>
      <c r="AB1707">
        <f>IF(ISNUMBER(AA1707),'자료_거시'!$J1689,"")</f>
        <v/>
      </c>
      <c r="AC1707">
        <f>IF(ISNUMBER(AB1707),IF(AB1707&gt;$L$8,AA1707,""),"")</f>
        <v/>
      </c>
    </row>
    <row r="1708">
      <c r="S1708">
        <f>IF(ISNUMBER('자료_거시'!$E1690),'자료_거시'!$E1690,S1707)</f>
        <v/>
      </c>
      <c r="T1708">
        <f>IF(AND(ISNUMBER('자료_거시'!$D1690),ISNUMBER('자료_거시'!$E1690)),IFERROR('자료_거시'!$E1690-INDEX($S$21:$S$4020,MATCH(EDATE('자료_거시'!$D1690,-'설정'!$B$17),'자료_거시'!$D$3:INDEX('자료_거시'!$D$3:$D$4002,$K$6),1)),""),"")</f>
        <v/>
      </c>
      <c r="U1708">
        <f>IF(ISNUMBER(T1708),'자료_거시'!$D1690,"")</f>
        <v/>
      </c>
      <c r="V1708">
        <f>IF(ISNUMBER(U1708),IF(U1708&gt;$L$6,T1708,""),"")</f>
        <v/>
      </c>
      <c r="W1708">
        <f>IF(AND(ISNUMBER('자료_거시'!$G1690),ISNUMBER('자료_거시'!$H1690)),'자료_거시'!$H1690,"")</f>
        <v/>
      </c>
      <c r="X1708">
        <f>IF(ISNUMBER(W1708),'자료_거시'!$G1690,"")</f>
        <v/>
      </c>
      <c r="Y1708">
        <f>IF(ISNUMBER(X1708),IF(X1708&gt;$L$7,W1708,""),"")</f>
        <v/>
      </c>
      <c r="Z1708">
        <f>IF(ISNUMBER('자료_거시'!$K1690),'자료_거시'!$K1690,Z1707)</f>
        <v/>
      </c>
      <c r="AA1708">
        <f>IF(AND(ISNUMBER('자료_거시'!$J1690),ISNUMBER('자료_거시'!$K1690)),IFERROR('자료_거시'!$K1690/INDEX($Z$21:$Z$4020,MATCH(EDATE('자료_거시'!$J1690,-'설정'!$B$17),'자료_거시'!$J$3:INDEX('자료_거시'!$J$3:$J$4002,$K$8),1))-1,""),"")</f>
        <v/>
      </c>
      <c r="AB1708">
        <f>IF(ISNUMBER(AA1708),'자료_거시'!$J1690,"")</f>
        <v/>
      </c>
      <c r="AC1708">
        <f>IF(ISNUMBER(AB1708),IF(AB1708&gt;$L$8,AA1708,""),"")</f>
        <v/>
      </c>
    </row>
    <row r="1709">
      <c r="S1709">
        <f>IF(ISNUMBER('자료_거시'!$E1691),'자료_거시'!$E1691,S1708)</f>
        <v/>
      </c>
      <c r="T1709">
        <f>IF(AND(ISNUMBER('자료_거시'!$D1691),ISNUMBER('자료_거시'!$E1691)),IFERROR('자료_거시'!$E1691-INDEX($S$21:$S$4020,MATCH(EDATE('자료_거시'!$D1691,-'설정'!$B$17),'자료_거시'!$D$3:INDEX('자료_거시'!$D$3:$D$4002,$K$6),1)),""),"")</f>
        <v/>
      </c>
      <c r="U1709">
        <f>IF(ISNUMBER(T1709),'자료_거시'!$D1691,"")</f>
        <v/>
      </c>
      <c r="V1709">
        <f>IF(ISNUMBER(U1709),IF(U1709&gt;$L$6,T1709,""),"")</f>
        <v/>
      </c>
      <c r="W1709">
        <f>IF(AND(ISNUMBER('자료_거시'!$G1691),ISNUMBER('자료_거시'!$H1691)),'자료_거시'!$H1691,"")</f>
        <v/>
      </c>
      <c r="X1709">
        <f>IF(ISNUMBER(W1709),'자료_거시'!$G1691,"")</f>
        <v/>
      </c>
      <c r="Y1709">
        <f>IF(ISNUMBER(X1709),IF(X1709&gt;$L$7,W1709,""),"")</f>
        <v/>
      </c>
      <c r="Z1709">
        <f>IF(ISNUMBER('자료_거시'!$K1691),'자료_거시'!$K1691,Z1708)</f>
        <v/>
      </c>
      <c r="AA1709">
        <f>IF(AND(ISNUMBER('자료_거시'!$J1691),ISNUMBER('자료_거시'!$K1691)),IFERROR('자료_거시'!$K1691/INDEX($Z$21:$Z$4020,MATCH(EDATE('자료_거시'!$J1691,-'설정'!$B$17),'자료_거시'!$J$3:INDEX('자료_거시'!$J$3:$J$4002,$K$8),1))-1,""),"")</f>
        <v/>
      </c>
      <c r="AB1709">
        <f>IF(ISNUMBER(AA1709),'자료_거시'!$J1691,"")</f>
        <v/>
      </c>
      <c r="AC1709">
        <f>IF(ISNUMBER(AB1709),IF(AB1709&gt;$L$8,AA1709,""),"")</f>
        <v/>
      </c>
    </row>
    <row r="1710">
      <c r="S1710">
        <f>IF(ISNUMBER('자료_거시'!$E1692),'자료_거시'!$E1692,S1709)</f>
        <v/>
      </c>
      <c r="T1710">
        <f>IF(AND(ISNUMBER('자료_거시'!$D1692),ISNUMBER('자료_거시'!$E1692)),IFERROR('자료_거시'!$E1692-INDEX($S$21:$S$4020,MATCH(EDATE('자료_거시'!$D1692,-'설정'!$B$17),'자료_거시'!$D$3:INDEX('자료_거시'!$D$3:$D$4002,$K$6),1)),""),"")</f>
        <v/>
      </c>
      <c r="U1710">
        <f>IF(ISNUMBER(T1710),'자료_거시'!$D1692,"")</f>
        <v/>
      </c>
      <c r="V1710">
        <f>IF(ISNUMBER(U1710),IF(U1710&gt;$L$6,T1710,""),"")</f>
        <v/>
      </c>
      <c r="W1710">
        <f>IF(AND(ISNUMBER('자료_거시'!$G1692),ISNUMBER('자료_거시'!$H1692)),'자료_거시'!$H1692,"")</f>
        <v/>
      </c>
      <c r="X1710">
        <f>IF(ISNUMBER(W1710),'자료_거시'!$G1692,"")</f>
        <v/>
      </c>
      <c r="Y1710">
        <f>IF(ISNUMBER(X1710),IF(X1710&gt;$L$7,W1710,""),"")</f>
        <v/>
      </c>
      <c r="Z1710">
        <f>IF(ISNUMBER('자료_거시'!$K1692),'자료_거시'!$K1692,Z1709)</f>
        <v/>
      </c>
      <c r="AA1710">
        <f>IF(AND(ISNUMBER('자료_거시'!$J1692),ISNUMBER('자료_거시'!$K1692)),IFERROR('자료_거시'!$K1692/INDEX($Z$21:$Z$4020,MATCH(EDATE('자료_거시'!$J1692,-'설정'!$B$17),'자료_거시'!$J$3:INDEX('자료_거시'!$J$3:$J$4002,$K$8),1))-1,""),"")</f>
        <v/>
      </c>
      <c r="AB1710">
        <f>IF(ISNUMBER(AA1710),'자료_거시'!$J1692,"")</f>
        <v/>
      </c>
      <c r="AC1710">
        <f>IF(ISNUMBER(AB1710),IF(AB1710&gt;$L$8,AA1710,""),"")</f>
        <v/>
      </c>
    </row>
    <row r="1711">
      <c r="S1711">
        <f>IF(ISNUMBER('자료_거시'!$E1693),'자료_거시'!$E1693,S1710)</f>
        <v/>
      </c>
      <c r="T1711">
        <f>IF(AND(ISNUMBER('자료_거시'!$D1693),ISNUMBER('자료_거시'!$E1693)),IFERROR('자료_거시'!$E1693-INDEX($S$21:$S$4020,MATCH(EDATE('자료_거시'!$D1693,-'설정'!$B$17),'자료_거시'!$D$3:INDEX('자료_거시'!$D$3:$D$4002,$K$6),1)),""),"")</f>
        <v/>
      </c>
      <c r="U1711">
        <f>IF(ISNUMBER(T1711),'자료_거시'!$D1693,"")</f>
        <v/>
      </c>
      <c r="V1711">
        <f>IF(ISNUMBER(U1711),IF(U1711&gt;$L$6,T1711,""),"")</f>
        <v/>
      </c>
      <c r="W1711">
        <f>IF(AND(ISNUMBER('자료_거시'!$G1693),ISNUMBER('자료_거시'!$H1693)),'자료_거시'!$H1693,"")</f>
        <v/>
      </c>
      <c r="X1711">
        <f>IF(ISNUMBER(W1711),'자료_거시'!$G1693,"")</f>
        <v/>
      </c>
      <c r="Y1711">
        <f>IF(ISNUMBER(X1711),IF(X1711&gt;$L$7,W1711,""),"")</f>
        <v/>
      </c>
      <c r="Z1711">
        <f>IF(ISNUMBER('자료_거시'!$K1693),'자료_거시'!$K1693,Z1710)</f>
        <v/>
      </c>
      <c r="AA1711">
        <f>IF(AND(ISNUMBER('자료_거시'!$J1693),ISNUMBER('자료_거시'!$K1693)),IFERROR('자료_거시'!$K1693/INDEX($Z$21:$Z$4020,MATCH(EDATE('자료_거시'!$J1693,-'설정'!$B$17),'자료_거시'!$J$3:INDEX('자료_거시'!$J$3:$J$4002,$K$8),1))-1,""),"")</f>
        <v/>
      </c>
      <c r="AB1711">
        <f>IF(ISNUMBER(AA1711),'자료_거시'!$J1693,"")</f>
        <v/>
      </c>
      <c r="AC1711">
        <f>IF(ISNUMBER(AB1711),IF(AB1711&gt;$L$8,AA1711,""),"")</f>
        <v/>
      </c>
    </row>
    <row r="1712">
      <c r="S1712">
        <f>IF(ISNUMBER('자료_거시'!$E1694),'자료_거시'!$E1694,S1711)</f>
        <v/>
      </c>
      <c r="T1712">
        <f>IF(AND(ISNUMBER('자료_거시'!$D1694),ISNUMBER('자료_거시'!$E1694)),IFERROR('자료_거시'!$E1694-INDEX($S$21:$S$4020,MATCH(EDATE('자료_거시'!$D1694,-'설정'!$B$17),'자료_거시'!$D$3:INDEX('자료_거시'!$D$3:$D$4002,$K$6),1)),""),"")</f>
        <v/>
      </c>
      <c r="U1712">
        <f>IF(ISNUMBER(T1712),'자료_거시'!$D1694,"")</f>
        <v/>
      </c>
      <c r="V1712">
        <f>IF(ISNUMBER(U1712),IF(U1712&gt;$L$6,T1712,""),"")</f>
        <v/>
      </c>
      <c r="W1712">
        <f>IF(AND(ISNUMBER('자료_거시'!$G1694),ISNUMBER('자료_거시'!$H1694)),'자료_거시'!$H1694,"")</f>
        <v/>
      </c>
      <c r="X1712">
        <f>IF(ISNUMBER(W1712),'자료_거시'!$G1694,"")</f>
        <v/>
      </c>
      <c r="Y1712">
        <f>IF(ISNUMBER(X1712),IF(X1712&gt;$L$7,W1712,""),"")</f>
        <v/>
      </c>
      <c r="Z1712">
        <f>IF(ISNUMBER('자료_거시'!$K1694),'자료_거시'!$K1694,Z1711)</f>
        <v/>
      </c>
      <c r="AA1712">
        <f>IF(AND(ISNUMBER('자료_거시'!$J1694),ISNUMBER('자료_거시'!$K1694)),IFERROR('자료_거시'!$K1694/INDEX($Z$21:$Z$4020,MATCH(EDATE('자료_거시'!$J1694,-'설정'!$B$17),'자료_거시'!$J$3:INDEX('자료_거시'!$J$3:$J$4002,$K$8),1))-1,""),"")</f>
        <v/>
      </c>
      <c r="AB1712">
        <f>IF(ISNUMBER(AA1712),'자료_거시'!$J1694,"")</f>
        <v/>
      </c>
      <c r="AC1712">
        <f>IF(ISNUMBER(AB1712),IF(AB1712&gt;$L$8,AA1712,""),"")</f>
        <v/>
      </c>
    </row>
    <row r="1713">
      <c r="S1713">
        <f>IF(ISNUMBER('자료_거시'!$E1695),'자료_거시'!$E1695,S1712)</f>
        <v/>
      </c>
      <c r="T1713">
        <f>IF(AND(ISNUMBER('자료_거시'!$D1695),ISNUMBER('자료_거시'!$E1695)),IFERROR('자료_거시'!$E1695-INDEX($S$21:$S$4020,MATCH(EDATE('자료_거시'!$D1695,-'설정'!$B$17),'자료_거시'!$D$3:INDEX('자료_거시'!$D$3:$D$4002,$K$6),1)),""),"")</f>
        <v/>
      </c>
      <c r="U1713">
        <f>IF(ISNUMBER(T1713),'자료_거시'!$D1695,"")</f>
        <v/>
      </c>
      <c r="V1713">
        <f>IF(ISNUMBER(U1713),IF(U1713&gt;$L$6,T1713,""),"")</f>
        <v/>
      </c>
      <c r="W1713">
        <f>IF(AND(ISNUMBER('자료_거시'!$G1695),ISNUMBER('자료_거시'!$H1695)),'자료_거시'!$H1695,"")</f>
        <v/>
      </c>
      <c r="X1713">
        <f>IF(ISNUMBER(W1713),'자료_거시'!$G1695,"")</f>
        <v/>
      </c>
      <c r="Y1713">
        <f>IF(ISNUMBER(X1713),IF(X1713&gt;$L$7,W1713,""),"")</f>
        <v/>
      </c>
      <c r="Z1713">
        <f>IF(ISNUMBER('자료_거시'!$K1695),'자료_거시'!$K1695,Z1712)</f>
        <v/>
      </c>
      <c r="AA1713">
        <f>IF(AND(ISNUMBER('자료_거시'!$J1695),ISNUMBER('자료_거시'!$K1695)),IFERROR('자료_거시'!$K1695/INDEX($Z$21:$Z$4020,MATCH(EDATE('자료_거시'!$J1695,-'설정'!$B$17),'자료_거시'!$J$3:INDEX('자료_거시'!$J$3:$J$4002,$K$8),1))-1,""),"")</f>
        <v/>
      </c>
      <c r="AB1713">
        <f>IF(ISNUMBER(AA1713),'자료_거시'!$J1695,"")</f>
        <v/>
      </c>
      <c r="AC1713">
        <f>IF(ISNUMBER(AB1713),IF(AB1713&gt;$L$8,AA1713,""),"")</f>
        <v/>
      </c>
    </row>
    <row r="1714">
      <c r="S1714">
        <f>IF(ISNUMBER('자료_거시'!$E1696),'자료_거시'!$E1696,S1713)</f>
        <v/>
      </c>
      <c r="T1714">
        <f>IF(AND(ISNUMBER('자료_거시'!$D1696),ISNUMBER('자료_거시'!$E1696)),IFERROR('자료_거시'!$E1696-INDEX($S$21:$S$4020,MATCH(EDATE('자료_거시'!$D1696,-'설정'!$B$17),'자료_거시'!$D$3:INDEX('자료_거시'!$D$3:$D$4002,$K$6),1)),""),"")</f>
        <v/>
      </c>
      <c r="U1714">
        <f>IF(ISNUMBER(T1714),'자료_거시'!$D1696,"")</f>
        <v/>
      </c>
      <c r="V1714">
        <f>IF(ISNUMBER(U1714),IF(U1714&gt;$L$6,T1714,""),"")</f>
        <v/>
      </c>
      <c r="W1714">
        <f>IF(AND(ISNUMBER('자료_거시'!$G1696),ISNUMBER('자료_거시'!$H1696)),'자료_거시'!$H1696,"")</f>
        <v/>
      </c>
      <c r="X1714">
        <f>IF(ISNUMBER(W1714),'자료_거시'!$G1696,"")</f>
        <v/>
      </c>
      <c r="Y1714">
        <f>IF(ISNUMBER(X1714),IF(X1714&gt;$L$7,W1714,""),"")</f>
        <v/>
      </c>
      <c r="Z1714">
        <f>IF(ISNUMBER('자료_거시'!$K1696),'자료_거시'!$K1696,Z1713)</f>
        <v/>
      </c>
      <c r="AA1714">
        <f>IF(AND(ISNUMBER('자료_거시'!$J1696),ISNUMBER('자료_거시'!$K1696)),IFERROR('자료_거시'!$K1696/INDEX($Z$21:$Z$4020,MATCH(EDATE('자료_거시'!$J1696,-'설정'!$B$17),'자료_거시'!$J$3:INDEX('자료_거시'!$J$3:$J$4002,$K$8),1))-1,""),"")</f>
        <v/>
      </c>
      <c r="AB1714">
        <f>IF(ISNUMBER(AA1714),'자료_거시'!$J1696,"")</f>
        <v/>
      </c>
      <c r="AC1714">
        <f>IF(ISNUMBER(AB1714),IF(AB1714&gt;$L$8,AA1714,""),"")</f>
        <v/>
      </c>
    </row>
    <row r="1715">
      <c r="S1715">
        <f>IF(ISNUMBER('자료_거시'!$E1697),'자료_거시'!$E1697,S1714)</f>
        <v/>
      </c>
      <c r="T1715">
        <f>IF(AND(ISNUMBER('자료_거시'!$D1697),ISNUMBER('자료_거시'!$E1697)),IFERROR('자료_거시'!$E1697-INDEX($S$21:$S$4020,MATCH(EDATE('자료_거시'!$D1697,-'설정'!$B$17),'자료_거시'!$D$3:INDEX('자료_거시'!$D$3:$D$4002,$K$6),1)),""),"")</f>
        <v/>
      </c>
      <c r="U1715">
        <f>IF(ISNUMBER(T1715),'자료_거시'!$D1697,"")</f>
        <v/>
      </c>
      <c r="V1715">
        <f>IF(ISNUMBER(U1715),IF(U1715&gt;$L$6,T1715,""),"")</f>
        <v/>
      </c>
      <c r="W1715">
        <f>IF(AND(ISNUMBER('자료_거시'!$G1697),ISNUMBER('자료_거시'!$H1697)),'자료_거시'!$H1697,"")</f>
        <v/>
      </c>
      <c r="X1715">
        <f>IF(ISNUMBER(W1715),'자료_거시'!$G1697,"")</f>
        <v/>
      </c>
      <c r="Y1715">
        <f>IF(ISNUMBER(X1715),IF(X1715&gt;$L$7,W1715,""),"")</f>
        <v/>
      </c>
      <c r="Z1715">
        <f>IF(ISNUMBER('자료_거시'!$K1697),'자료_거시'!$K1697,Z1714)</f>
        <v/>
      </c>
      <c r="AA1715">
        <f>IF(AND(ISNUMBER('자료_거시'!$J1697),ISNUMBER('자료_거시'!$K1697)),IFERROR('자료_거시'!$K1697/INDEX($Z$21:$Z$4020,MATCH(EDATE('자료_거시'!$J1697,-'설정'!$B$17),'자료_거시'!$J$3:INDEX('자료_거시'!$J$3:$J$4002,$K$8),1))-1,""),"")</f>
        <v/>
      </c>
      <c r="AB1715">
        <f>IF(ISNUMBER(AA1715),'자료_거시'!$J1697,"")</f>
        <v/>
      </c>
      <c r="AC1715">
        <f>IF(ISNUMBER(AB1715),IF(AB1715&gt;$L$8,AA1715,""),"")</f>
        <v/>
      </c>
    </row>
    <row r="1716">
      <c r="S1716">
        <f>IF(ISNUMBER('자료_거시'!$E1698),'자료_거시'!$E1698,S1715)</f>
        <v/>
      </c>
      <c r="T1716">
        <f>IF(AND(ISNUMBER('자료_거시'!$D1698),ISNUMBER('자료_거시'!$E1698)),IFERROR('자료_거시'!$E1698-INDEX($S$21:$S$4020,MATCH(EDATE('자료_거시'!$D1698,-'설정'!$B$17),'자료_거시'!$D$3:INDEX('자료_거시'!$D$3:$D$4002,$K$6),1)),""),"")</f>
        <v/>
      </c>
      <c r="U1716">
        <f>IF(ISNUMBER(T1716),'자료_거시'!$D1698,"")</f>
        <v/>
      </c>
      <c r="V1716">
        <f>IF(ISNUMBER(U1716),IF(U1716&gt;$L$6,T1716,""),"")</f>
        <v/>
      </c>
      <c r="W1716">
        <f>IF(AND(ISNUMBER('자료_거시'!$G1698),ISNUMBER('자료_거시'!$H1698)),'자료_거시'!$H1698,"")</f>
        <v/>
      </c>
      <c r="X1716">
        <f>IF(ISNUMBER(W1716),'자료_거시'!$G1698,"")</f>
        <v/>
      </c>
      <c r="Y1716">
        <f>IF(ISNUMBER(X1716),IF(X1716&gt;$L$7,W1716,""),"")</f>
        <v/>
      </c>
      <c r="Z1716">
        <f>IF(ISNUMBER('자료_거시'!$K1698),'자료_거시'!$K1698,Z1715)</f>
        <v/>
      </c>
      <c r="AA1716">
        <f>IF(AND(ISNUMBER('자료_거시'!$J1698),ISNUMBER('자료_거시'!$K1698)),IFERROR('자료_거시'!$K1698/INDEX($Z$21:$Z$4020,MATCH(EDATE('자료_거시'!$J1698,-'설정'!$B$17),'자료_거시'!$J$3:INDEX('자료_거시'!$J$3:$J$4002,$K$8),1))-1,""),"")</f>
        <v/>
      </c>
      <c r="AB1716">
        <f>IF(ISNUMBER(AA1716),'자료_거시'!$J1698,"")</f>
        <v/>
      </c>
      <c r="AC1716">
        <f>IF(ISNUMBER(AB1716),IF(AB1716&gt;$L$8,AA1716,""),"")</f>
        <v/>
      </c>
    </row>
    <row r="1717">
      <c r="S1717">
        <f>IF(ISNUMBER('자료_거시'!$E1699),'자료_거시'!$E1699,S1716)</f>
        <v/>
      </c>
      <c r="T1717">
        <f>IF(AND(ISNUMBER('자료_거시'!$D1699),ISNUMBER('자료_거시'!$E1699)),IFERROR('자료_거시'!$E1699-INDEX($S$21:$S$4020,MATCH(EDATE('자료_거시'!$D1699,-'설정'!$B$17),'자료_거시'!$D$3:INDEX('자료_거시'!$D$3:$D$4002,$K$6),1)),""),"")</f>
        <v/>
      </c>
      <c r="U1717">
        <f>IF(ISNUMBER(T1717),'자료_거시'!$D1699,"")</f>
        <v/>
      </c>
      <c r="V1717">
        <f>IF(ISNUMBER(U1717),IF(U1717&gt;$L$6,T1717,""),"")</f>
        <v/>
      </c>
      <c r="W1717">
        <f>IF(AND(ISNUMBER('자료_거시'!$G1699),ISNUMBER('자료_거시'!$H1699)),'자료_거시'!$H1699,"")</f>
        <v/>
      </c>
      <c r="X1717">
        <f>IF(ISNUMBER(W1717),'자료_거시'!$G1699,"")</f>
        <v/>
      </c>
      <c r="Y1717">
        <f>IF(ISNUMBER(X1717),IF(X1717&gt;$L$7,W1717,""),"")</f>
        <v/>
      </c>
      <c r="Z1717">
        <f>IF(ISNUMBER('자료_거시'!$K1699),'자료_거시'!$K1699,Z1716)</f>
        <v/>
      </c>
      <c r="AA1717">
        <f>IF(AND(ISNUMBER('자료_거시'!$J1699),ISNUMBER('자료_거시'!$K1699)),IFERROR('자료_거시'!$K1699/INDEX($Z$21:$Z$4020,MATCH(EDATE('자료_거시'!$J1699,-'설정'!$B$17),'자료_거시'!$J$3:INDEX('자료_거시'!$J$3:$J$4002,$K$8),1))-1,""),"")</f>
        <v/>
      </c>
      <c r="AB1717">
        <f>IF(ISNUMBER(AA1717),'자료_거시'!$J1699,"")</f>
        <v/>
      </c>
      <c r="AC1717">
        <f>IF(ISNUMBER(AB1717),IF(AB1717&gt;$L$8,AA1717,""),"")</f>
        <v/>
      </c>
    </row>
    <row r="1718">
      <c r="S1718">
        <f>IF(ISNUMBER('자료_거시'!$E1700),'자료_거시'!$E1700,S1717)</f>
        <v/>
      </c>
      <c r="T1718">
        <f>IF(AND(ISNUMBER('자료_거시'!$D1700),ISNUMBER('자료_거시'!$E1700)),IFERROR('자료_거시'!$E1700-INDEX($S$21:$S$4020,MATCH(EDATE('자료_거시'!$D1700,-'설정'!$B$17),'자료_거시'!$D$3:INDEX('자료_거시'!$D$3:$D$4002,$K$6),1)),""),"")</f>
        <v/>
      </c>
      <c r="U1718">
        <f>IF(ISNUMBER(T1718),'자료_거시'!$D1700,"")</f>
        <v/>
      </c>
      <c r="V1718">
        <f>IF(ISNUMBER(U1718),IF(U1718&gt;$L$6,T1718,""),"")</f>
        <v/>
      </c>
      <c r="W1718">
        <f>IF(AND(ISNUMBER('자료_거시'!$G1700),ISNUMBER('자료_거시'!$H1700)),'자료_거시'!$H1700,"")</f>
        <v/>
      </c>
      <c r="X1718">
        <f>IF(ISNUMBER(W1718),'자료_거시'!$G1700,"")</f>
        <v/>
      </c>
      <c r="Y1718">
        <f>IF(ISNUMBER(X1718),IF(X1718&gt;$L$7,W1718,""),"")</f>
        <v/>
      </c>
      <c r="Z1718">
        <f>IF(ISNUMBER('자료_거시'!$K1700),'자료_거시'!$K1700,Z1717)</f>
        <v/>
      </c>
      <c r="AA1718">
        <f>IF(AND(ISNUMBER('자료_거시'!$J1700),ISNUMBER('자료_거시'!$K1700)),IFERROR('자료_거시'!$K1700/INDEX($Z$21:$Z$4020,MATCH(EDATE('자료_거시'!$J1700,-'설정'!$B$17),'자료_거시'!$J$3:INDEX('자료_거시'!$J$3:$J$4002,$K$8),1))-1,""),"")</f>
        <v/>
      </c>
      <c r="AB1718">
        <f>IF(ISNUMBER(AA1718),'자료_거시'!$J1700,"")</f>
        <v/>
      </c>
      <c r="AC1718">
        <f>IF(ISNUMBER(AB1718),IF(AB1718&gt;$L$8,AA1718,""),"")</f>
        <v/>
      </c>
    </row>
    <row r="1719">
      <c r="S1719">
        <f>IF(ISNUMBER('자료_거시'!$E1701),'자료_거시'!$E1701,S1718)</f>
        <v/>
      </c>
      <c r="T1719">
        <f>IF(AND(ISNUMBER('자료_거시'!$D1701),ISNUMBER('자료_거시'!$E1701)),IFERROR('자료_거시'!$E1701-INDEX($S$21:$S$4020,MATCH(EDATE('자료_거시'!$D1701,-'설정'!$B$17),'자료_거시'!$D$3:INDEX('자료_거시'!$D$3:$D$4002,$K$6),1)),""),"")</f>
        <v/>
      </c>
      <c r="U1719">
        <f>IF(ISNUMBER(T1719),'자료_거시'!$D1701,"")</f>
        <v/>
      </c>
      <c r="V1719">
        <f>IF(ISNUMBER(U1719),IF(U1719&gt;$L$6,T1719,""),"")</f>
        <v/>
      </c>
      <c r="W1719">
        <f>IF(AND(ISNUMBER('자료_거시'!$G1701),ISNUMBER('자료_거시'!$H1701)),'자료_거시'!$H1701,"")</f>
        <v/>
      </c>
      <c r="X1719">
        <f>IF(ISNUMBER(W1719),'자료_거시'!$G1701,"")</f>
        <v/>
      </c>
      <c r="Y1719">
        <f>IF(ISNUMBER(X1719),IF(X1719&gt;$L$7,W1719,""),"")</f>
        <v/>
      </c>
      <c r="Z1719">
        <f>IF(ISNUMBER('자료_거시'!$K1701),'자료_거시'!$K1701,Z1718)</f>
        <v/>
      </c>
      <c r="AA1719">
        <f>IF(AND(ISNUMBER('자료_거시'!$J1701),ISNUMBER('자료_거시'!$K1701)),IFERROR('자료_거시'!$K1701/INDEX($Z$21:$Z$4020,MATCH(EDATE('자료_거시'!$J1701,-'설정'!$B$17),'자료_거시'!$J$3:INDEX('자료_거시'!$J$3:$J$4002,$K$8),1))-1,""),"")</f>
        <v/>
      </c>
      <c r="AB1719">
        <f>IF(ISNUMBER(AA1719),'자료_거시'!$J1701,"")</f>
        <v/>
      </c>
      <c r="AC1719">
        <f>IF(ISNUMBER(AB1719),IF(AB1719&gt;$L$8,AA1719,""),"")</f>
        <v/>
      </c>
    </row>
    <row r="1720">
      <c r="S1720">
        <f>IF(ISNUMBER('자료_거시'!$E1702),'자료_거시'!$E1702,S1719)</f>
        <v/>
      </c>
      <c r="T1720">
        <f>IF(AND(ISNUMBER('자료_거시'!$D1702),ISNUMBER('자료_거시'!$E1702)),IFERROR('자료_거시'!$E1702-INDEX($S$21:$S$4020,MATCH(EDATE('자료_거시'!$D1702,-'설정'!$B$17),'자료_거시'!$D$3:INDEX('자료_거시'!$D$3:$D$4002,$K$6),1)),""),"")</f>
        <v/>
      </c>
      <c r="U1720">
        <f>IF(ISNUMBER(T1720),'자료_거시'!$D1702,"")</f>
        <v/>
      </c>
      <c r="V1720">
        <f>IF(ISNUMBER(U1720),IF(U1720&gt;$L$6,T1720,""),"")</f>
        <v/>
      </c>
      <c r="W1720">
        <f>IF(AND(ISNUMBER('자료_거시'!$G1702),ISNUMBER('자료_거시'!$H1702)),'자료_거시'!$H1702,"")</f>
        <v/>
      </c>
      <c r="X1720">
        <f>IF(ISNUMBER(W1720),'자료_거시'!$G1702,"")</f>
        <v/>
      </c>
      <c r="Y1720">
        <f>IF(ISNUMBER(X1720),IF(X1720&gt;$L$7,W1720,""),"")</f>
        <v/>
      </c>
      <c r="Z1720">
        <f>IF(ISNUMBER('자료_거시'!$K1702),'자료_거시'!$K1702,Z1719)</f>
        <v/>
      </c>
      <c r="AA1720">
        <f>IF(AND(ISNUMBER('자료_거시'!$J1702),ISNUMBER('자료_거시'!$K1702)),IFERROR('자료_거시'!$K1702/INDEX($Z$21:$Z$4020,MATCH(EDATE('자료_거시'!$J1702,-'설정'!$B$17),'자료_거시'!$J$3:INDEX('자료_거시'!$J$3:$J$4002,$K$8),1))-1,""),"")</f>
        <v/>
      </c>
      <c r="AB1720">
        <f>IF(ISNUMBER(AA1720),'자료_거시'!$J1702,"")</f>
        <v/>
      </c>
      <c r="AC1720">
        <f>IF(ISNUMBER(AB1720),IF(AB1720&gt;$L$8,AA1720,""),"")</f>
        <v/>
      </c>
    </row>
    <row r="1721">
      <c r="S1721">
        <f>IF(ISNUMBER('자료_거시'!$E1703),'자료_거시'!$E1703,S1720)</f>
        <v/>
      </c>
      <c r="T1721">
        <f>IF(AND(ISNUMBER('자료_거시'!$D1703),ISNUMBER('자료_거시'!$E1703)),IFERROR('자료_거시'!$E1703-INDEX($S$21:$S$4020,MATCH(EDATE('자료_거시'!$D1703,-'설정'!$B$17),'자료_거시'!$D$3:INDEX('자료_거시'!$D$3:$D$4002,$K$6),1)),""),"")</f>
        <v/>
      </c>
      <c r="U1721">
        <f>IF(ISNUMBER(T1721),'자료_거시'!$D1703,"")</f>
        <v/>
      </c>
      <c r="V1721">
        <f>IF(ISNUMBER(U1721),IF(U1721&gt;$L$6,T1721,""),"")</f>
        <v/>
      </c>
      <c r="W1721">
        <f>IF(AND(ISNUMBER('자료_거시'!$G1703),ISNUMBER('자료_거시'!$H1703)),'자료_거시'!$H1703,"")</f>
        <v/>
      </c>
      <c r="X1721">
        <f>IF(ISNUMBER(W1721),'자료_거시'!$G1703,"")</f>
        <v/>
      </c>
      <c r="Y1721">
        <f>IF(ISNUMBER(X1721),IF(X1721&gt;$L$7,W1721,""),"")</f>
        <v/>
      </c>
      <c r="Z1721">
        <f>IF(ISNUMBER('자료_거시'!$K1703),'자료_거시'!$K1703,Z1720)</f>
        <v/>
      </c>
      <c r="AA1721">
        <f>IF(AND(ISNUMBER('자료_거시'!$J1703),ISNUMBER('자료_거시'!$K1703)),IFERROR('자료_거시'!$K1703/INDEX($Z$21:$Z$4020,MATCH(EDATE('자료_거시'!$J1703,-'설정'!$B$17),'자료_거시'!$J$3:INDEX('자료_거시'!$J$3:$J$4002,$K$8),1))-1,""),"")</f>
        <v/>
      </c>
      <c r="AB1721">
        <f>IF(ISNUMBER(AA1721),'자료_거시'!$J1703,"")</f>
        <v/>
      </c>
      <c r="AC1721">
        <f>IF(ISNUMBER(AB1721),IF(AB1721&gt;$L$8,AA1721,""),"")</f>
        <v/>
      </c>
    </row>
    <row r="1722">
      <c r="S1722">
        <f>IF(ISNUMBER('자료_거시'!$E1704),'자료_거시'!$E1704,S1721)</f>
        <v/>
      </c>
      <c r="T1722">
        <f>IF(AND(ISNUMBER('자료_거시'!$D1704),ISNUMBER('자료_거시'!$E1704)),IFERROR('자료_거시'!$E1704-INDEX($S$21:$S$4020,MATCH(EDATE('자료_거시'!$D1704,-'설정'!$B$17),'자료_거시'!$D$3:INDEX('자료_거시'!$D$3:$D$4002,$K$6),1)),""),"")</f>
        <v/>
      </c>
      <c r="U1722">
        <f>IF(ISNUMBER(T1722),'자료_거시'!$D1704,"")</f>
        <v/>
      </c>
      <c r="V1722">
        <f>IF(ISNUMBER(U1722),IF(U1722&gt;$L$6,T1722,""),"")</f>
        <v/>
      </c>
      <c r="W1722">
        <f>IF(AND(ISNUMBER('자료_거시'!$G1704),ISNUMBER('자료_거시'!$H1704)),'자료_거시'!$H1704,"")</f>
        <v/>
      </c>
      <c r="X1722">
        <f>IF(ISNUMBER(W1722),'자료_거시'!$G1704,"")</f>
        <v/>
      </c>
      <c r="Y1722">
        <f>IF(ISNUMBER(X1722),IF(X1722&gt;$L$7,W1722,""),"")</f>
        <v/>
      </c>
      <c r="Z1722">
        <f>IF(ISNUMBER('자료_거시'!$K1704),'자료_거시'!$K1704,Z1721)</f>
        <v/>
      </c>
      <c r="AA1722">
        <f>IF(AND(ISNUMBER('자료_거시'!$J1704),ISNUMBER('자료_거시'!$K1704)),IFERROR('자료_거시'!$K1704/INDEX($Z$21:$Z$4020,MATCH(EDATE('자료_거시'!$J1704,-'설정'!$B$17),'자료_거시'!$J$3:INDEX('자료_거시'!$J$3:$J$4002,$K$8),1))-1,""),"")</f>
        <v/>
      </c>
      <c r="AB1722">
        <f>IF(ISNUMBER(AA1722),'자료_거시'!$J1704,"")</f>
        <v/>
      </c>
      <c r="AC1722">
        <f>IF(ISNUMBER(AB1722),IF(AB1722&gt;$L$8,AA1722,""),"")</f>
        <v/>
      </c>
    </row>
    <row r="1723">
      <c r="S1723">
        <f>IF(ISNUMBER('자료_거시'!$E1705),'자료_거시'!$E1705,S1722)</f>
        <v/>
      </c>
      <c r="T1723">
        <f>IF(AND(ISNUMBER('자료_거시'!$D1705),ISNUMBER('자료_거시'!$E1705)),IFERROR('자료_거시'!$E1705-INDEX($S$21:$S$4020,MATCH(EDATE('자료_거시'!$D1705,-'설정'!$B$17),'자료_거시'!$D$3:INDEX('자료_거시'!$D$3:$D$4002,$K$6),1)),""),"")</f>
        <v/>
      </c>
      <c r="U1723">
        <f>IF(ISNUMBER(T1723),'자료_거시'!$D1705,"")</f>
        <v/>
      </c>
      <c r="V1723">
        <f>IF(ISNUMBER(U1723),IF(U1723&gt;$L$6,T1723,""),"")</f>
        <v/>
      </c>
      <c r="W1723">
        <f>IF(AND(ISNUMBER('자료_거시'!$G1705),ISNUMBER('자료_거시'!$H1705)),'자료_거시'!$H1705,"")</f>
        <v/>
      </c>
      <c r="X1723">
        <f>IF(ISNUMBER(W1723),'자료_거시'!$G1705,"")</f>
        <v/>
      </c>
      <c r="Y1723">
        <f>IF(ISNUMBER(X1723),IF(X1723&gt;$L$7,W1723,""),"")</f>
        <v/>
      </c>
      <c r="Z1723">
        <f>IF(ISNUMBER('자료_거시'!$K1705),'자료_거시'!$K1705,Z1722)</f>
        <v/>
      </c>
      <c r="AA1723">
        <f>IF(AND(ISNUMBER('자료_거시'!$J1705),ISNUMBER('자료_거시'!$K1705)),IFERROR('자료_거시'!$K1705/INDEX($Z$21:$Z$4020,MATCH(EDATE('자료_거시'!$J1705,-'설정'!$B$17),'자료_거시'!$J$3:INDEX('자료_거시'!$J$3:$J$4002,$K$8),1))-1,""),"")</f>
        <v/>
      </c>
      <c r="AB1723">
        <f>IF(ISNUMBER(AA1723),'자료_거시'!$J1705,"")</f>
        <v/>
      </c>
      <c r="AC1723">
        <f>IF(ISNUMBER(AB1723),IF(AB1723&gt;$L$8,AA1723,""),"")</f>
        <v/>
      </c>
    </row>
    <row r="1724">
      <c r="S1724">
        <f>IF(ISNUMBER('자료_거시'!$E1706),'자료_거시'!$E1706,S1723)</f>
        <v/>
      </c>
      <c r="T1724">
        <f>IF(AND(ISNUMBER('자료_거시'!$D1706),ISNUMBER('자료_거시'!$E1706)),IFERROR('자료_거시'!$E1706-INDEX($S$21:$S$4020,MATCH(EDATE('자료_거시'!$D1706,-'설정'!$B$17),'자료_거시'!$D$3:INDEX('자료_거시'!$D$3:$D$4002,$K$6),1)),""),"")</f>
        <v/>
      </c>
      <c r="U1724">
        <f>IF(ISNUMBER(T1724),'자료_거시'!$D1706,"")</f>
        <v/>
      </c>
      <c r="V1724">
        <f>IF(ISNUMBER(U1724),IF(U1724&gt;$L$6,T1724,""),"")</f>
        <v/>
      </c>
      <c r="W1724">
        <f>IF(AND(ISNUMBER('자료_거시'!$G1706),ISNUMBER('자료_거시'!$H1706)),'자료_거시'!$H1706,"")</f>
        <v/>
      </c>
      <c r="X1724">
        <f>IF(ISNUMBER(W1724),'자료_거시'!$G1706,"")</f>
        <v/>
      </c>
      <c r="Y1724">
        <f>IF(ISNUMBER(X1724),IF(X1724&gt;$L$7,W1724,""),"")</f>
        <v/>
      </c>
      <c r="Z1724">
        <f>IF(ISNUMBER('자료_거시'!$K1706),'자료_거시'!$K1706,Z1723)</f>
        <v/>
      </c>
      <c r="AA1724">
        <f>IF(AND(ISNUMBER('자료_거시'!$J1706),ISNUMBER('자료_거시'!$K1706)),IFERROR('자료_거시'!$K1706/INDEX($Z$21:$Z$4020,MATCH(EDATE('자료_거시'!$J1706,-'설정'!$B$17),'자료_거시'!$J$3:INDEX('자료_거시'!$J$3:$J$4002,$K$8),1))-1,""),"")</f>
        <v/>
      </c>
      <c r="AB1724">
        <f>IF(ISNUMBER(AA1724),'자료_거시'!$J1706,"")</f>
        <v/>
      </c>
      <c r="AC1724">
        <f>IF(ISNUMBER(AB1724),IF(AB1724&gt;$L$8,AA1724,""),"")</f>
        <v/>
      </c>
    </row>
    <row r="1725">
      <c r="S1725">
        <f>IF(ISNUMBER('자료_거시'!$E1707),'자료_거시'!$E1707,S1724)</f>
        <v/>
      </c>
      <c r="T1725">
        <f>IF(AND(ISNUMBER('자료_거시'!$D1707),ISNUMBER('자료_거시'!$E1707)),IFERROR('자료_거시'!$E1707-INDEX($S$21:$S$4020,MATCH(EDATE('자료_거시'!$D1707,-'설정'!$B$17),'자료_거시'!$D$3:INDEX('자료_거시'!$D$3:$D$4002,$K$6),1)),""),"")</f>
        <v/>
      </c>
      <c r="U1725">
        <f>IF(ISNUMBER(T1725),'자료_거시'!$D1707,"")</f>
        <v/>
      </c>
      <c r="V1725">
        <f>IF(ISNUMBER(U1725),IF(U1725&gt;$L$6,T1725,""),"")</f>
        <v/>
      </c>
      <c r="W1725">
        <f>IF(AND(ISNUMBER('자료_거시'!$G1707),ISNUMBER('자료_거시'!$H1707)),'자료_거시'!$H1707,"")</f>
        <v/>
      </c>
      <c r="X1725">
        <f>IF(ISNUMBER(W1725),'자료_거시'!$G1707,"")</f>
        <v/>
      </c>
      <c r="Y1725">
        <f>IF(ISNUMBER(X1725),IF(X1725&gt;$L$7,W1725,""),"")</f>
        <v/>
      </c>
      <c r="Z1725">
        <f>IF(ISNUMBER('자료_거시'!$K1707),'자료_거시'!$K1707,Z1724)</f>
        <v/>
      </c>
      <c r="AA1725">
        <f>IF(AND(ISNUMBER('자료_거시'!$J1707),ISNUMBER('자료_거시'!$K1707)),IFERROR('자료_거시'!$K1707/INDEX($Z$21:$Z$4020,MATCH(EDATE('자료_거시'!$J1707,-'설정'!$B$17),'자료_거시'!$J$3:INDEX('자료_거시'!$J$3:$J$4002,$K$8),1))-1,""),"")</f>
        <v/>
      </c>
      <c r="AB1725">
        <f>IF(ISNUMBER(AA1725),'자료_거시'!$J1707,"")</f>
        <v/>
      </c>
      <c r="AC1725">
        <f>IF(ISNUMBER(AB1725),IF(AB1725&gt;$L$8,AA1725,""),"")</f>
        <v/>
      </c>
    </row>
    <row r="1726">
      <c r="S1726">
        <f>IF(ISNUMBER('자료_거시'!$E1708),'자료_거시'!$E1708,S1725)</f>
        <v/>
      </c>
      <c r="T1726">
        <f>IF(AND(ISNUMBER('자료_거시'!$D1708),ISNUMBER('자료_거시'!$E1708)),IFERROR('자료_거시'!$E1708-INDEX($S$21:$S$4020,MATCH(EDATE('자료_거시'!$D1708,-'설정'!$B$17),'자료_거시'!$D$3:INDEX('자료_거시'!$D$3:$D$4002,$K$6),1)),""),"")</f>
        <v/>
      </c>
      <c r="U1726">
        <f>IF(ISNUMBER(T1726),'자료_거시'!$D1708,"")</f>
        <v/>
      </c>
      <c r="V1726">
        <f>IF(ISNUMBER(U1726),IF(U1726&gt;$L$6,T1726,""),"")</f>
        <v/>
      </c>
      <c r="W1726">
        <f>IF(AND(ISNUMBER('자료_거시'!$G1708),ISNUMBER('자료_거시'!$H1708)),'자료_거시'!$H1708,"")</f>
        <v/>
      </c>
      <c r="X1726">
        <f>IF(ISNUMBER(W1726),'자료_거시'!$G1708,"")</f>
        <v/>
      </c>
      <c r="Y1726">
        <f>IF(ISNUMBER(X1726),IF(X1726&gt;$L$7,W1726,""),"")</f>
        <v/>
      </c>
      <c r="Z1726">
        <f>IF(ISNUMBER('자료_거시'!$K1708),'자료_거시'!$K1708,Z1725)</f>
        <v/>
      </c>
      <c r="AA1726">
        <f>IF(AND(ISNUMBER('자료_거시'!$J1708),ISNUMBER('자료_거시'!$K1708)),IFERROR('자료_거시'!$K1708/INDEX($Z$21:$Z$4020,MATCH(EDATE('자료_거시'!$J1708,-'설정'!$B$17),'자료_거시'!$J$3:INDEX('자료_거시'!$J$3:$J$4002,$K$8),1))-1,""),"")</f>
        <v/>
      </c>
      <c r="AB1726">
        <f>IF(ISNUMBER(AA1726),'자료_거시'!$J1708,"")</f>
        <v/>
      </c>
      <c r="AC1726">
        <f>IF(ISNUMBER(AB1726),IF(AB1726&gt;$L$8,AA1726,""),"")</f>
        <v/>
      </c>
    </row>
    <row r="1727">
      <c r="S1727">
        <f>IF(ISNUMBER('자료_거시'!$E1709),'자료_거시'!$E1709,S1726)</f>
        <v/>
      </c>
      <c r="T1727">
        <f>IF(AND(ISNUMBER('자료_거시'!$D1709),ISNUMBER('자료_거시'!$E1709)),IFERROR('자료_거시'!$E1709-INDEX($S$21:$S$4020,MATCH(EDATE('자료_거시'!$D1709,-'설정'!$B$17),'자료_거시'!$D$3:INDEX('자료_거시'!$D$3:$D$4002,$K$6),1)),""),"")</f>
        <v/>
      </c>
      <c r="U1727">
        <f>IF(ISNUMBER(T1727),'자료_거시'!$D1709,"")</f>
        <v/>
      </c>
      <c r="V1727">
        <f>IF(ISNUMBER(U1727),IF(U1727&gt;$L$6,T1727,""),"")</f>
        <v/>
      </c>
      <c r="W1727">
        <f>IF(AND(ISNUMBER('자료_거시'!$G1709),ISNUMBER('자료_거시'!$H1709)),'자료_거시'!$H1709,"")</f>
        <v/>
      </c>
      <c r="X1727">
        <f>IF(ISNUMBER(W1727),'자료_거시'!$G1709,"")</f>
        <v/>
      </c>
      <c r="Y1727">
        <f>IF(ISNUMBER(X1727),IF(X1727&gt;$L$7,W1727,""),"")</f>
        <v/>
      </c>
      <c r="Z1727">
        <f>IF(ISNUMBER('자료_거시'!$K1709),'자료_거시'!$K1709,Z1726)</f>
        <v/>
      </c>
      <c r="AA1727">
        <f>IF(AND(ISNUMBER('자료_거시'!$J1709),ISNUMBER('자료_거시'!$K1709)),IFERROR('자료_거시'!$K1709/INDEX($Z$21:$Z$4020,MATCH(EDATE('자료_거시'!$J1709,-'설정'!$B$17),'자료_거시'!$J$3:INDEX('자료_거시'!$J$3:$J$4002,$K$8),1))-1,""),"")</f>
        <v/>
      </c>
      <c r="AB1727">
        <f>IF(ISNUMBER(AA1727),'자료_거시'!$J1709,"")</f>
        <v/>
      </c>
      <c r="AC1727">
        <f>IF(ISNUMBER(AB1727),IF(AB1727&gt;$L$8,AA1727,""),"")</f>
        <v/>
      </c>
    </row>
    <row r="1728">
      <c r="S1728">
        <f>IF(ISNUMBER('자료_거시'!$E1710),'자료_거시'!$E1710,S1727)</f>
        <v/>
      </c>
      <c r="T1728">
        <f>IF(AND(ISNUMBER('자료_거시'!$D1710),ISNUMBER('자료_거시'!$E1710)),IFERROR('자료_거시'!$E1710-INDEX($S$21:$S$4020,MATCH(EDATE('자료_거시'!$D1710,-'설정'!$B$17),'자료_거시'!$D$3:INDEX('자료_거시'!$D$3:$D$4002,$K$6),1)),""),"")</f>
        <v/>
      </c>
      <c r="U1728">
        <f>IF(ISNUMBER(T1728),'자료_거시'!$D1710,"")</f>
        <v/>
      </c>
      <c r="V1728">
        <f>IF(ISNUMBER(U1728),IF(U1728&gt;$L$6,T1728,""),"")</f>
        <v/>
      </c>
      <c r="W1728">
        <f>IF(AND(ISNUMBER('자료_거시'!$G1710),ISNUMBER('자료_거시'!$H1710)),'자료_거시'!$H1710,"")</f>
        <v/>
      </c>
      <c r="X1728">
        <f>IF(ISNUMBER(W1728),'자료_거시'!$G1710,"")</f>
        <v/>
      </c>
      <c r="Y1728">
        <f>IF(ISNUMBER(X1728),IF(X1728&gt;$L$7,W1728,""),"")</f>
        <v/>
      </c>
      <c r="Z1728">
        <f>IF(ISNUMBER('자료_거시'!$K1710),'자료_거시'!$K1710,Z1727)</f>
        <v/>
      </c>
      <c r="AA1728">
        <f>IF(AND(ISNUMBER('자료_거시'!$J1710),ISNUMBER('자료_거시'!$K1710)),IFERROR('자료_거시'!$K1710/INDEX($Z$21:$Z$4020,MATCH(EDATE('자료_거시'!$J1710,-'설정'!$B$17),'자료_거시'!$J$3:INDEX('자료_거시'!$J$3:$J$4002,$K$8),1))-1,""),"")</f>
        <v/>
      </c>
      <c r="AB1728">
        <f>IF(ISNUMBER(AA1728),'자료_거시'!$J1710,"")</f>
        <v/>
      </c>
      <c r="AC1728">
        <f>IF(ISNUMBER(AB1728),IF(AB1728&gt;$L$8,AA1728,""),"")</f>
        <v/>
      </c>
    </row>
    <row r="1729">
      <c r="S1729">
        <f>IF(ISNUMBER('자료_거시'!$E1711),'자료_거시'!$E1711,S1728)</f>
        <v/>
      </c>
      <c r="T1729">
        <f>IF(AND(ISNUMBER('자료_거시'!$D1711),ISNUMBER('자료_거시'!$E1711)),IFERROR('자료_거시'!$E1711-INDEX($S$21:$S$4020,MATCH(EDATE('자료_거시'!$D1711,-'설정'!$B$17),'자료_거시'!$D$3:INDEX('자료_거시'!$D$3:$D$4002,$K$6),1)),""),"")</f>
        <v/>
      </c>
      <c r="U1729">
        <f>IF(ISNUMBER(T1729),'자료_거시'!$D1711,"")</f>
        <v/>
      </c>
      <c r="V1729">
        <f>IF(ISNUMBER(U1729),IF(U1729&gt;$L$6,T1729,""),"")</f>
        <v/>
      </c>
      <c r="W1729">
        <f>IF(AND(ISNUMBER('자료_거시'!$G1711),ISNUMBER('자료_거시'!$H1711)),'자료_거시'!$H1711,"")</f>
        <v/>
      </c>
      <c r="X1729">
        <f>IF(ISNUMBER(W1729),'자료_거시'!$G1711,"")</f>
        <v/>
      </c>
      <c r="Y1729">
        <f>IF(ISNUMBER(X1729),IF(X1729&gt;$L$7,W1729,""),"")</f>
        <v/>
      </c>
      <c r="Z1729">
        <f>IF(ISNUMBER('자료_거시'!$K1711),'자료_거시'!$K1711,Z1728)</f>
        <v/>
      </c>
      <c r="AA1729">
        <f>IF(AND(ISNUMBER('자료_거시'!$J1711),ISNUMBER('자료_거시'!$K1711)),IFERROR('자료_거시'!$K1711/INDEX($Z$21:$Z$4020,MATCH(EDATE('자료_거시'!$J1711,-'설정'!$B$17),'자료_거시'!$J$3:INDEX('자료_거시'!$J$3:$J$4002,$K$8),1))-1,""),"")</f>
        <v/>
      </c>
      <c r="AB1729">
        <f>IF(ISNUMBER(AA1729),'자료_거시'!$J1711,"")</f>
        <v/>
      </c>
      <c r="AC1729">
        <f>IF(ISNUMBER(AB1729),IF(AB1729&gt;$L$8,AA1729,""),"")</f>
        <v/>
      </c>
    </row>
    <row r="1730">
      <c r="S1730">
        <f>IF(ISNUMBER('자료_거시'!$E1712),'자료_거시'!$E1712,S1729)</f>
        <v/>
      </c>
      <c r="T1730">
        <f>IF(AND(ISNUMBER('자료_거시'!$D1712),ISNUMBER('자료_거시'!$E1712)),IFERROR('자료_거시'!$E1712-INDEX($S$21:$S$4020,MATCH(EDATE('자료_거시'!$D1712,-'설정'!$B$17),'자료_거시'!$D$3:INDEX('자료_거시'!$D$3:$D$4002,$K$6),1)),""),"")</f>
        <v/>
      </c>
      <c r="U1730">
        <f>IF(ISNUMBER(T1730),'자료_거시'!$D1712,"")</f>
        <v/>
      </c>
      <c r="V1730">
        <f>IF(ISNUMBER(U1730),IF(U1730&gt;$L$6,T1730,""),"")</f>
        <v/>
      </c>
      <c r="W1730">
        <f>IF(AND(ISNUMBER('자료_거시'!$G1712),ISNUMBER('자료_거시'!$H1712)),'자료_거시'!$H1712,"")</f>
        <v/>
      </c>
      <c r="X1730">
        <f>IF(ISNUMBER(W1730),'자료_거시'!$G1712,"")</f>
        <v/>
      </c>
      <c r="Y1730">
        <f>IF(ISNUMBER(X1730),IF(X1730&gt;$L$7,W1730,""),"")</f>
        <v/>
      </c>
      <c r="Z1730">
        <f>IF(ISNUMBER('자료_거시'!$K1712),'자료_거시'!$K1712,Z1729)</f>
        <v/>
      </c>
      <c r="AA1730">
        <f>IF(AND(ISNUMBER('자료_거시'!$J1712),ISNUMBER('자료_거시'!$K1712)),IFERROR('자료_거시'!$K1712/INDEX($Z$21:$Z$4020,MATCH(EDATE('자료_거시'!$J1712,-'설정'!$B$17),'자료_거시'!$J$3:INDEX('자료_거시'!$J$3:$J$4002,$K$8),1))-1,""),"")</f>
        <v/>
      </c>
      <c r="AB1730">
        <f>IF(ISNUMBER(AA1730),'자료_거시'!$J1712,"")</f>
        <v/>
      </c>
      <c r="AC1730">
        <f>IF(ISNUMBER(AB1730),IF(AB1730&gt;$L$8,AA1730,""),"")</f>
        <v/>
      </c>
    </row>
    <row r="1731">
      <c r="S1731">
        <f>IF(ISNUMBER('자료_거시'!$E1713),'자료_거시'!$E1713,S1730)</f>
        <v/>
      </c>
      <c r="T1731">
        <f>IF(AND(ISNUMBER('자료_거시'!$D1713),ISNUMBER('자료_거시'!$E1713)),IFERROR('자료_거시'!$E1713-INDEX($S$21:$S$4020,MATCH(EDATE('자료_거시'!$D1713,-'설정'!$B$17),'자료_거시'!$D$3:INDEX('자료_거시'!$D$3:$D$4002,$K$6),1)),""),"")</f>
        <v/>
      </c>
      <c r="U1731">
        <f>IF(ISNUMBER(T1731),'자료_거시'!$D1713,"")</f>
        <v/>
      </c>
      <c r="V1731">
        <f>IF(ISNUMBER(U1731),IF(U1731&gt;$L$6,T1731,""),"")</f>
        <v/>
      </c>
      <c r="W1731">
        <f>IF(AND(ISNUMBER('자료_거시'!$G1713),ISNUMBER('자료_거시'!$H1713)),'자료_거시'!$H1713,"")</f>
        <v/>
      </c>
      <c r="X1731">
        <f>IF(ISNUMBER(W1731),'자료_거시'!$G1713,"")</f>
        <v/>
      </c>
      <c r="Y1731">
        <f>IF(ISNUMBER(X1731),IF(X1731&gt;$L$7,W1731,""),"")</f>
        <v/>
      </c>
      <c r="Z1731">
        <f>IF(ISNUMBER('자료_거시'!$K1713),'자료_거시'!$K1713,Z1730)</f>
        <v/>
      </c>
      <c r="AA1731">
        <f>IF(AND(ISNUMBER('자료_거시'!$J1713),ISNUMBER('자료_거시'!$K1713)),IFERROR('자료_거시'!$K1713/INDEX($Z$21:$Z$4020,MATCH(EDATE('자료_거시'!$J1713,-'설정'!$B$17),'자료_거시'!$J$3:INDEX('자료_거시'!$J$3:$J$4002,$K$8),1))-1,""),"")</f>
        <v/>
      </c>
      <c r="AB1731">
        <f>IF(ISNUMBER(AA1731),'자료_거시'!$J1713,"")</f>
        <v/>
      </c>
      <c r="AC1731">
        <f>IF(ISNUMBER(AB1731),IF(AB1731&gt;$L$8,AA1731,""),"")</f>
        <v/>
      </c>
    </row>
    <row r="1732">
      <c r="S1732">
        <f>IF(ISNUMBER('자료_거시'!$E1714),'자료_거시'!$E1714,S1731)</f>
        <v/>
      </c>
      <c r="T1732">
        <f>IF(AND(ISNUMBER('자료_거시'!$D1714),ISNUMBER('자료_거시'!$E1714)),IFERROR('자료_거시'!$E1714-INDEX($S$21:$S$4020,MATCH(EDATE('자료_거시'!$D1714,-'설정'!$B$17),'자료_거시'!$D$3:INDEX('자료_거시'!$D$3:$D$4002,$K$6),1)),""),"")</f>
        <v/>
      </c>
      <c r="U1732">
        <f>IF(ISNUMBER(T1732),'자료_거시'!$D1714,"")</f>
        <v/>
      </c>
      <c r="V1732">
        <f>IF(ISNUMBER(U1732),IF(U1732&gt;$L$6,T1732,""),"")</f>
        <v/>
      </c>
      <c r="W1732">
        <f>IF(AND(ISNUMBER('자료_거시'!$G1714),ISNUMBER('자료_거시'!$H1714)),'자료_거시'!$H1714,"")</f>
        <v/>
      </c>
      <c r="X1732">
        <f>IF(ISNUMBER(W1732),'자료_거시'!$G1714,"")</f>
        <v/>
      </c>
      <c r="Y1732">
        <f>IF(ISNUMBER(X1732),IF(X1732&gt;$L$7,W1732,""),"")</f>
        <v/>
      </c>
      <c r="Z1732">
        <f>IF(ISNUMBER('자료_거시'!$K1714),'자료_거시'!$K1714,Z1731)</f>
        <v/>
      </c>
      <c r="AA1732">
        <f>IF(AND(ISNUMBER('자료_거시'!$J1714),ISNUMBER('자료_거시'!$K1714)),IFERROR('자료_거시'!$K1714/INDEX($Z$21:$Z$4020,MATCH(EDATE('자료_거시'!$J1714,-'설정'!$B$17),'자료_거시'!$J$3:INDEX('자료_거시'!$J$3:$J$4002,$K$8),1))-1,""),"")</f>
        <v/>
      </c>
      <c r="AB1732">
        <f>IF(ISNUMBER(AA1732),'자료_거시'!$J1714,"")</f>
        <v/>
      </c>
      <c r="AC1732">
        <f>IF(ISNUMBER(AB1732),IF(AB1732&gt;$L$8,AA1732,""),"")</f>
        <v/>
      </c>
    </row>
    <row r="1733">
      <c r="S1733">
        <f>IF(ISNUMBER('자료_거시'!$E1715),'자료_거시'!$E1715,S1732)</f>
        <v/>
      </c>
      <c r="T1733">
        <f>IF(AND(ISNUMBER('자료_거시'!$D1715),ISNUMBER('자료_거시'!$E1715)),IFERROR('자료_거시'!$E1715-INDEX($S$21:$S$4020,MATCH(EDATE('자료_거시'!$D1715,-'설정'!$B$17),'자료_거시'!$D$3:INDEX('자료_거시'!$D$3:$D$4002,$K$6),1)),""),"")</f>
        <v/>
      </c>
      <c r="U1733">
        <f>IF(ISNUMBER(T1733),'자료_거시'!$D1715,"")</f>
        <v/>
      </c>
      <c r="V1733">
        <f>IF(ISNUMBER(U1733),IF(U1733&gt;$L$6,T1733,""),"")</f>
        <v/>
      </c>
      <c r="W1733">
        <f>IF(AND(ISNUMBER('자료_거시'!$G1715),ISNUMBER('자료_거시'!$H1715)),'자료_거시'!$H1715,"")</f>
        <v/>
      </c>
      <c r="X1733">
        <f>IF(ISNUMBER(W1733),'자료_거시'!$G1715,"")</f>
        <v/>
      </c>
      <c r="Y1733">
        <f>IF(ISNUMBER(X1733),IF(X1733&gt;$L$7,W1733,""),"")</f>
        <v/>
      </c>
      <c r="Z1733">
        <f>IF(ISNUMBER('자료_거시'!$K1715),'자료_거시'!$K1715,Z1732)</f>
        <v/>
      </c>
      <c r="AA1733">
        <f>IF(AND(ISNUMBER('자료_거시'!$J1715),ISNUMBER('자료_거시'!$K1715)),IFERROR('자료_거시'!$K1715/INDEX($Z$21:$Z$4020,MATCH(EDATE('자료_거시'!$J1715,-'설정'!$B$17),'자료_거시'!$J$3:INDEX('자료_거시'!$J$3:$J$4002,$K$8),1))-1,""),"")</f>
        <v/>
      </c>
      <c r="AB1733">
        <f>IF(ISNUMBER(AA1733),'자료_거시'!$J1715,"")</f>
        <v/>
      </c>
      <c r="AC1733">
        <f>IF(ISNUMBER(AB1733),IF(AB1733&gt;$L$8,AA1733,""),"")</f>
        <v/>
      </c>
    </row>
    <row r="1734">
      <c r="S1734">
        <f>IF(ISNUMBER('자료_거시'!$E1716),'자료_거시'!$E1716,S1733)</f>
        <v/>
      </c>
      <c r="T1734">
        <f>IF(AND(ISNUMBER('자료_거시'!$D1716),ISNUMBER('자료_거시'!$E1716)),IFERROR('자료_거시'!$E1716-INDEX($S$21:$S$4020,MATCH(EDATE('자료_거시'!$D1716,-'설정'!$B$17),'자료_거시'!$D$3:INDEX('자료_거시'!$D$3:$D$4002,$K$6),1)),""),"")</f>
        <v/>
      </c>
      <c r="U1734">
        <f>IF(ISNUMBER(T1734),'자료_거시'!$D1716,"")</f>
        <v/>
      </c>
      <c r="V1734">
        <f>IF(ISNUMBER(U1734),IF(U1734&gt;$L$6,T1734,""),"")</f>
        <v/>
      </c>
      <c r="W1734">
        <f>IF(AND(ISNUMBER('자료_거시'!$G1716),ISNUMBER('자료_거시'!$H1716)),'자료_거시'!$H1716,"")</f>
        <v/>
      </c>
      <c r="X1734">
        <f>IF(ISNUMBER(W1734),'자료_거시'!$G1716,"")</f>
        <v/>
      </c>
      <c r="Y1734">
        <f>IF(ISNUMBER(X1734),IF(X1734&gt;$L$7,W1734,""),"")</f>
        <v/>
      </c>
      <c r="Z1734">
        <f>IF(ISNUMBER('자료_거시'!$K1716),'자료_거시'!$K1716,Z1733)</f>
        <v/>
      </c>
      <c r="AA1734">
        <f>IF(AND(ISNUMBER('자료_거시'!$J1716),ISNUMBER('자료_거시'!$K1716)),IFERROR('자료_거시'!$K1716/INDEX($Z$21:$Z$4020,MATCH(EDATE('자료_거시'!$J1716,-'설정'!$B$17),'자료_거시'!$J$3:INDEX('자료_거시'!$J$3:$J$4002,$K$8),1))-1,""),"")</f>
        <v/>
      </c>
      <c r="AB1734">
        <f>IF(ISNUMBER(AA1734),'자료_거시'!$J1716,"")</f>
        <v/>
      </c>
      <c r="AC1734">
        <f>IF(ISNUMBER(AB1734),IF(AB1734&gt;$L$8,AA1734,""),"")</f>
        <v/>
      </c>
    </row>
    <row r="1735">
      <c r="S1735">
        <f>IF(ISNUMBER('자료_거시'!$E1717),'자료_거시'!$E1717,S1734)</f>
        <v/>
      </c>
      <c r="T1735">
        <f>IF(AND(ISNUMBER('자료_거시'!$D1717),ISNUMBER('자료_거시'!$E1717)),IFERROR('자료_거시'!$E1717-INDEX($S$21:$S$4020,MATCH(EDATE('자료_거시'!$D1717,-'설정'!$B$17),'자료_거시'!$D$3:INDEX('자료_거시'!$D$3:$D$4002,$K$6),1)),""),"")</f>
        <v/>
      </c>
      <c r="U1735">
        <f>IF(ISNUMBER(T1735),'자료_거시'!$D1717,"")</f>
        <v/>
      </c>
      <c r="V1735">
        <f>IF(ISNUMBER(U1735),IF(U1735&gt;$L$6,T1735,""),"")</f>
        <v/>
      </c>
      <c r="W1735">
        <f>IF(AND(ISNUMBER('자료_거시'!$G1717),ISNUMBER('자료_거시'!$H1717)),'자료_거시'!$H1717,"")</f>
        <v/>
      </c>
      <c r="X1735">
        <f>IF(ISNUMBER(W1735),'자료_거시'!$G1717,"")</f>
        <v/>
      </c>
      <c r="Y1735">
        <f>IF(ISNUMBER(X1735),IF(X1735&gt;$L$7,W1735,""),"")</f>
        <v/>
      </c>
      <c r="Z1735">
        <f>IF(ISNUMBER('자료_거시'!$K1717),'자료_거시'!$K1717,Z1734)</f>
        <v/>
      </c>
      <c r="AA1735">
        <f>IF(AND(ISNUMBER('자료_거시'!$J1717),ISNUMBER('자료_거시'!$K1717)),IFERROR('자료_거시'!$K1717/INDEX($Z$21:$Z$4020,MATCH(EDATE('자료_거시'!$J1717,-'설정'!$B$17),'자료_거시'!$J$3:INDEX('자료_거시'!$J$3:$J$4002,$K$8),1))-1,""),"")</f>
        <v/>
      </c>
      <c r="AB1735">
        <f>IF(ISNUMBER(AA1735),'자료_거시'!$J1717,"")</f>
        <v/>
      </c>
      <c r="AC1735">
        <f>IF(ISNUMBER(AB1735),IF(AB1735&gt;$L$8,AA1735,""),"")</f>
        <v/>
      </c>
    </row>
    <row r="1736">
      <c r="S1736">
        <f>IF(ISNUMBER('자료_거시'!$E1718),'자료_거시'!$E1718,S1735)</f>
        <v/>
      </c>
      <c r="T1736">
        <f>IF(AND(ISNUMBER('자료_거시'!$D1718),ISNUMBER('자료_거시'!$E1718)),IFERROR('자료_거시'!$E1718-INDEX($S$21:$S$4020,MATCH(EDATE('자료_거시'!$D1718,-'설정'!$B$17),'자료_거시'!$D$3:INDEX('자료_거시'!$D$3:$D$4002,$K$6),1)),""),"")</f>
        <v/>
      </c>
      <c r="U1736">
        <f>IF(ISNUMBER(T1736),'자료_거시'!$D1718,"")</f>
        <v/>
      </c>
      <c r="V1736">
        <f>IF(ISNUMBER(U1736),IF(U1736&gt;$L$6,T1736,""),"")</f>
        <v/>
      </c>
      <c r="W1736">
        <f>IF(AND(ISNUMBER('자료_거시'!$G1718),ISNUMBER('자료_거시'!$H1718)),'자료_거시'!$H1718,"")</f>
        <v/>
      </c>
      <c r="X1736">
        <f>IF(ISNUMBER(W1736),'자료_거시'!$G1718,"")</f>
        <v/>
      </c>
      <c r="Y1736">
        <f>IF(ISNUMBER(X1736),IF(X1736&gt;$L$7,W1736,""),"")</f>
        <v/>
      </c>
      <c r="Z1736">
        <f>IF(ISNUMBER('자료_거시'!$K1718),'자료_거시'!$K1718,Z1735)</f>
        <v/>
      </c>
      <c r="AA1736">
        <f>IF(AND(ISNUMBER('자료_거시'!$J1718),ISNUMBER('자료_거시'!$K1718)),IFERROR('자료_거시'!$K1718/INDEX($Z$21:$Z$4020,MATCH(EDATE('자료_거시'!$J1718,-'설정'!$B$17),'자료_거시'!$J$3:INDEX('자료_거시'!$J$3:$J$4002,$K$8),1))-1,""),"")</f>
        <v/>
      </c>
      <c r="AB1736">
        <f>IF(ISNUMBER(AA1736),'자료_거시'!$J1718,"")</f>
        <v/>
      </c>
      <c r="AC1736">
        <f>IF(ISNUMBER(AB1736),IF(AB1736&gt;$L$8,AA1736,""),"")</f>
        <v/>
      </c>
    </row>
    <row r="1737">
      <c r="S1737">
        <f>IF(ISNUMBER('자료_거시'!$E1719),'자료_거시'!$E1719,S1736)</f>
        <v/>
      </c>
      <c r="T1737">
        <f>IF(AND(ISNUMBER('자료_거시'!$D1719),ISNUMBER('자료_거시'!$E1719)),IFERROR('자료_거시'!$E1719-INDEX($S$21:$S$4020,MATCH(EDATE('자료_거시'!$D1719,-'설정'!$B$17),'자료_거시'!$D$3:INDEX('자료_거시'!$D$3:$D$4002,$K$6),1)),""),"")</f>
        <v/>
      </c>
      <c r="U1737">
        <f>IF(ISNUMBER(T1737),'자료_거시'!$D1719,"")</f>
        <v/>
      </c>
      <c r="V1737">
        <f>IF(ISNUMBER(U1737),IF(U1737&gt;$L$6,T1737,""),"")</f>
        <v/>
      </c>
      <c r="W1737">
        <f>IF(AND(ISNUMBER('자료_거시'!$G1719),ISNUMBER('자료_거시'!$H1719)),'자료_거시'!$H1719,"")</f>
        <v/>
      </c>
      <c r="X1737">
        <f>IF(ISNUMBER(W1737),'자료_거시'!$G1719,"")</f>
        <v/>
      </c>
      <c r="Y1737">
        <f>IF(ISNUMBER(X1737),IF(X1737&gt;$L$7,W1737,""),"")</f>
        <v/>
      </c>
      <c r="Z1737">
        <f>IF(ISNUMBER('자료_거시'!$K1719),'자료_거시'!$K1719,Z1736)</f>
        <v/>
      </c>
      <c r="AA1737">
        <f>IF(AND(ISNUMBER('자료_거시'!$J1719),ISNUMBER('자료_거시'!$K1719)),IFERROR('자료_거시'!$K1719/INDEX($Z$21:$Z$4020,MATCH(EDATE('자료_거시'!$J1719,-'설정'!$B$17),'자료_거시'!$J$3:INDEX('자료_거시'!$J$3:$J$4002,$K$8),1))-1,""),"")</f>
        <v/>
      </c>
      <c r="AB1737">
        <f>IF(ISNUMBER(AA1737),'자료_거시'!$J1719,"")</f>
        <v/>
      </c>
      <c r="AC1737">
        <f>IF(ISNUMBER(AB1737),IF(AB1737&gt;$L$8,AA1737,""),"")</f>
        <v/>
      </c>
    </row>
    <row r="1738">
      <c r="S1738">
        <f>IF(ISNUMBER('자료_거시'!$E1720),'자료_거시'!$E1720,S1737)</f>
        <v/>
      </c>
      <c r="T1738">
        <f>IF(AND(ISNUMBER('자료_거시'!$D1720),ISNUMBER('자료_거시'!$E1720)),IFERROR('자료_거시'!$E1720-INDEX($S$21:$S$4020,MATCH(EDATE('자료_거시'!$D1720,-'설정'!$B$17),'자료_거시'!$D$3:INDEX('자료_거시'!$D$3:$D$4002,$K$6),1)),""),"")</f>
        <v/>
      </c>
      <c r="U1738">
        <f>IF(ISNUMBER(T1738),'자료_거시'!$D1720,"")</f>
        <v/>
      </c>
      <c r="V1738">
        <f>IF(ISNUMBER(U1738),IF(U1738&gt;$L$6,T1738,""),"")</f>
        <v/>
      </c>
      <c r="W1738">
        <f>IF(AND(ISNUMBER('자료_거시'!$G1720),ISNUMBER('자료_거시'!$H1720)),'자료_거시'!$H1720,"")</f>
        <v/>
      </c>
      <c r="X1738">
        <f>IF(ISNUMBER(W1738),'자료_거시'!$G1720,"")</f>
        <v/>
      </c>
      <c r="Y1738">
        <f>IF(ISNUMBER(X1738),IF(X1738&gt;$L$7,W1738,""),"")</f>
        <v/>
      </c>
      <c r="Z1738">
        <f>IF(ISNUMBER('자료_거시'!$K1720),'자료_거시'!$K1720,Z1737)</f>
        <v/>
      </c>
      <c r="AA1738">
        <f>IF(AND(ISNUMBER('자료_거시'!$J1720),ISNUMBER('자료_거시'!$K1720)),IFERROR('자료_거시'!$K1720/INDEX($Z$21:$Z$4020,MATCH(EDATE('자료_거시'!$J1720,-'설정'!$B$17),'자료_거시'!$J$3:INDEX('자료_거시'!$J$3:$J$4002,$K$8),1))-1,""),"")</f>
        <v/>
      </c>
      <c r="AB1738">
        <f>IF(ISNUMBER(AA1738),'자료_거시'!$J1720,"")</f>
        <v/>
      </c>
      <c r="AC1738">
        <f>IF(ISNUMBER(AB1738),IF(AB1738&gt;$L$8,AA1738,""),"")</f>
        <v/>
      </c>
    </row>
    <row r="1739">
      <c r="S1739">
        <f>IF(ISNUMBER('자료_거시'!$E1721),'자료_거시'!$E1721,S1738)</f>
        <v/>
      </c>
      <c r="T1739">
        <f>IF(AND(ISNUMBER('자료_거시'!$D1721),ISNUMBER('자료_거시'!$E1721)),IFERROR('자료_거시'!$E1721-INDEX($S$21:$S$4020,MATCH(EDATE('자료_거시'!$D1721,-'설정'!$B$17),'자료_거시'!$D$3:INDEX('자료_거시'!$D$3:$D$4002,$K$6),1)),""),"")</f>
        <v/>
      </c>
      <c r="U1739">
        <f>IF(ISNUMBER(T1739),'자료_거시'!$D1721,"")</f>
        <v/>
      </c>
      <c r="V1739">
        <f>IF(ISNUMBER(U1739),IF(U1739&gt;$L$6,T1739,""),"")</f>
        <v/>
      </c>
      <c r="W1739">
        <f>IF(AND(ISNUMBER('자료_거시'!$G1721),ISNUMBER('자료_거시'!$H1721)),'자료_거시'!$H1721,"")</f>
        <v/>
      </c>
      <c r="X1739">
        <f>IF(ISNUMBER(W1739),'자료_거시'!$G1721,"")</f>
        <v/>
      </c>
      <c r="Y1739">
        <f>IF(ISNUMBER(X1739),IF(X1739&gt;$L$7,W1739,""),"")</f>
        <v/>
      </c>
      <c r="Z1739">
        <f>IF(ISNUMBER('자료_거시'!$K1721),'자료_거시'!$K1721,Z1738)</f>
        <v/>
      </c>
      <c r="AA1739">
        <f>IF(AND(ISNUMBER('자료_거시'!$J1721),ISNUMBER('자료_거시'!$K1721)),IFERROR('자료_거시'!$K1721/INDEX($Z$21:$Z$4020,MATCH(EDATE('자료_거시'!$J1721,-'설정'!$B$17),'자료_거시'!$J$3:INDEX('자료_거시'!$J$3:$J$4002,$K$8),1))-1,""),"")</f>
        <v/>
      </c>
      <c r="AB1739">
        <f>IF(ISNUMBER(AA1739),'자료_거시'!$J1721,"")</f>
        <v/>
      </c>
      <c r="AC1739">
        <f>IF(ISNUMBER(AB1739),IF(AB1739&gt;$L$8,AA1739,""),"")</f>
        <v/>
      </c>
    </row>
    <row r="1740">
      <c r="S1740">
        <f>IF(ISNUMBER('자료_거시'!$E1722),'자료_거시'!$E1722,S1739)</f>
        <v/>
      </c>
      <c r="T1740">
        <f>IF(AND(ISNUMBER('자료_거시'!$D1722),ISNUMBER('자료_거시'!$E1722)),IFERROR('자료_거시'!$E1722-INDEX($S$21:$S$4020,MATCH(EDATE('자료_거시'!$D1722,-'설정'!$B$17),'자료_거시'!$D$3:INDEX('자료_거시'!$D$3:$D$4002,$K$6),1)),""),"")</f>
        <v/>
      </c>
      <c r="U1740">
        <f>IF(ISNUMBER(T1740),'자료_거시'!$D1722,"")</f>
        <v/>
      </c>
      <c r="V1740">
        <f>IF(ISNUMBER(U1740),IF(U1740&gt;$L$6,T1740,""),"")</f>
        <v/>
      </c>
      <c r="W1740">
        <f>IF(AND(ISNUMBER('자료_거시'!$G1722),ISNUMBER('자료_거시'!$H1722)),'자료_거시'!$H1722,"")</f>
        <v/>
      </c>
      <c r="X1740">
        <f>IF(ISNUMBER(W1740),'자료_거시'!$G1722,"")</f>
        <v/>
      </c>
      <c r="Y1740">
        <f>IF(ISNUMBER(X1740),IF(X1740&gt;$L$7,W1740,""),"")</f>
        <v/>
      </c>
      <c r="Z1740">
        <f>IF(ISNUMBER('자료_거시'!$K1722),'자료_거시'!$K1722,Z1739)</f>
        <v/>
      </c>
      <c r="AA1740">
        <f>IF(AND(ISNUMBER('자료_거시'!$J1722),ISNUMBER('자료_거시'!$K1722)),IFERROR('자료_거시'!$K1722/INDEX($Z$21:$Z$4020,MATCH(EDATE('자료_거시'!$J1722,-'설정'!$B$17),'자료_거시'!$J$3:INDEX('자료_거시'!$J$3:$J$4002,$K$8),1))-1,""),"")</f>
        <v/>
      </c>
      <c r="AB1740">
        <f>IF(ISNUMBER(AA1740),'자료_거시'!$J1722,"")</f>
        <v/>
      </c>
      <c r="AC1740">
        <f>IF(ISNUMBER(AB1740),IF(AB1740&gt;$L$8,AA1740,""),"")</f>
        <v/>
      </c>
    </row>
    <row r="1741">
      <c r="S1741">
        <f>IF(ISNUMBER('자료_거시'!$E1723),'자료_거시'!$E1723,S1740)</f>
        <v/>
      </c>
      <c r="T1741">
        <f>IF(AND(ISNUMBER('자료_거시'!$D1723),ISNUMBER('자료_거시'!$E1723)),IFERROR('자료_거시'!$E1723-INDEX($S$21:$S$4020,MATCH(EDATE('자료_거시'!$D1723,-'설정'!$B$17),'자료_거시'!$D$3:INDEX('자료_거시'!$D$3:$D$4002,$K$6),1)),""),"")</f>
        <v/>
      </c>
      <c r="U1741">
        <f>IF(ISNUMBER(T1741),'자료_거시'!$D1723,"")</f>
        <v/>
      </c>
      <c r="V1741">
        <f>IF(ISNUMBER(U1741),IF(U1741&gt;$L$6,T1741,""),"")</f>
        <v/>
      </c>
      <c r="W1741">
        <f>IF(AND(ISNUMBER('자료_거시'!$G1723),ISNUMBER('자료_거시'!$H1723)),'자료_거시'!$H1723,"")</f>
        <v/>
      </c>
      <c r="X1741">
        <f>IF(ISNUMBER(W1741),'자료_거시'!$G1723,"")</f>
        <v/>
      </c>
      <c r="Y1741">
        <f>IF(ISNUMBER(X1741),IF(X1741&gt;$L$7,W1741,""),"")</f>
        <v/>
      </c>
      <c r="Z1741">
        <f>IF(ISNUMBER('자료_거시'!$K1723),'자료_거시'!$K1723,Z1740)</f>
        <v/>
      </c>
      <c r="AA1741">
        <f>IF(AND(ISNUMBER('자료_거시'!$J1723),ISNUMBER('자료_거시'!$K1723)),IFERROR('자료_거시'!$K1723/INDEX($Z$21:$Z$4020,MATCH(EDATE('자료_거시'!$J1723,-'설정'!$B$17),'자료_거시'!$J$3:INDEX('자료_거시'!$J$3:$J$4002,$K$8),1))-1,""),"")</f>
        <v/>
      </c>
      <c r="AB1741">
        <f>IF(ISNUMBER(AA1741),'자료_거시'!$J1723,"")</f>
        <v/>
      </c>
      <c r="AC1741">
        <f>IF(ISNUMBER(AB1741),IF(AB1741&gt;$L$8,AA1741,""),"")</f>
        <v/>
      </c>
    </row>
    <row r="1742">
      <c r="S1742">
        <f>IF(ISNUMBER('자료_거시'!$E1724),'자료_거시'!$E1724,S1741)</f>
        <v/>
      </c>
      <c r="T1742">
        <f>IF(AND(ISNUMBER('자료_거시'!$D1724),ISNUMBER('자료_거시'!$E1724)),IFERROR('자료_거시'!$E1724-INDEX($S$21:$S$4020,MATCH(EDATE('자료_거시'!$D1724,-'설정'!$B$17),'자료_거시'!$D$3:INDEX('자료_거시'!$D$3:$D$4002,$K$6),1)),""),"")</f>
        <v/>
      </c>
      <c r="U1742">
        <f>IF(ISNUMBER(T1742),'자료_거시'!$D1724,"")</f>
        <v/>
      </c>
      <c r="V1742">
        <f>IF(ISNUMBER(U1742),IF(U1742&gt;$L$6,T1742,""),"")</f>
        <v/>
      </c>
      <c r="W1742">
        <f>IF(AND(ISNUMBER('자료_거시'!$G1724),ISNUMBER('자료_거시'!$H1724)),'자료_거시'!$H1724,"")</f>
        <v/>
      </c>
      <c r="X1742">
        <f>IF(ISNUMBER(W1742),'자료_거시'!$G1724,"")</f>
        <v/>
      </c>
      <c r="Y1742">
        <f>IF(ISNUMBER(X1742),IF(X1742&gt;$L$7,W1742,""),"")</f>
        <v/>
      </c>
      <c r="Z1742">
        <f>IF(ISNUMBER('자료_거시'!$K1724),'자료_거시'!$K1724,Z1741)</f>
        <v/>
      </c>
      <c r="AA1742">
        <f>IF(AND(ISNUMBER('자료_거시'!$J1724),ISNUMBER('자료_거시'!$K1724)),IFERROR('자료_거시'!$K1724/INDEX($Z$21:$Z$4020,MATCH(EDATE('자료_거시'!$J1724,-'설정'!$B$17),'자료_거시'!$J$3:INDEX('자료_거시'!$J$3:$J$4002,$K$8),1))-1,""),"")</f>
        <v/>
      </c>
      <c r="AB1742">
        <f>IF(ISNUMBER(AA1742),'자료_거시'!$J1724,"")</f>
        <v/>
      </c>
      <c r="AC1742">
        <f>IF(ISNUMBER(AB1742),IF(AB1742&gt;$L$8,AA1742,""),"")</f>
        <v/>
      </c>
    </row>
    <row r="1743">
      <c r="S1743">
        <f>IF(ISNUMBER('자료_거시'!$E1725),'자료_거시'!$E1725,S1742)</f>
        <v/>
      </c>
      <c r="T1743">
        <f>IF(AND(ISNUMBER('자료_거시'!$D1725),ISNUMBER('자료_거시'!$E1725)),IFERROR('자료_거시'!$E1725-INDEX($S$21:$S$4020,MATCH(EDATE('자료_거시'!$D1725,-'설정'!$B$17),'자료_거시'!$D$3:INDEX('자료_거시'!$D$3:$D$4002,$K$6),1)),""),"")</f>
        <v/>
      </c>
      <c r="U1743">
        <f>IF(ISNUMBER(T1743),'자료_거시'!$D1725,"")</f>
        <v/>
      </c>
      <c r="V1743">
        <f>IF(ISNUMBER(U1743),IF(U1743&gt;$L$6,T1743,""),"")</f>
        <v/>
      </c>
      <c r="W1743">
        <f>IF(AND(ISNUMBER('자료_거시'!$G1725),ISNUMBER('자료_거시'!$H1725)),'자료_거시'!$H1725,"")</f>
        <v/>
      </c>
      <c r="X1743">
        <f>IF(ISNUMBER(W1743),'자료_거시'!$G1725,"")</f>
        <v/>
      </c>
      <c r="Y1743">
        <f>IF(ISNUMBER(X1743),IF(X1743&gt;$L$7,W1743,""),"")</f>
        <v/>
      </c>
      <c r="Z1743">
        <f>IF(ISNUMBER('자료_거시'!$K1725),'자료_거시'!$K1725,Z1742)</f>
        <v/>
      </c>
      <c r="AA1743">
        <f>IF(AND(ISNUMBER('자료_거시'!$J1725),ISNUMBER('자료_거시'!$K1725)),IFERROR('자료_거시'!$K1725/INDEX($Z$21:$Z$4020,MATCH(EDATE('자료_거시'!$J1725,-'설정'!$B$17),'자료_거시'!$J$3:INDEX('자료_거시'!$J$3:$J$4002,$K$8),1))-1,""),"")</f>
        <v/>
      </c>
      <c r="AB1743">
        <f>IF(ISNUMBER(AA1743),'자료_거시'!$J1725,"")</f>
        <v/>
      </c>
      <c r="AC1743">
        <f>IF(ISNUMBER(AB1743),IF(AB1743&gt;$L$8,AA1743,""),"")</f>
        <v/>
      </c>
    </row>
    <row r="1744">
      <c r="S1744">
        <f>IF(ISNUMBER('자료_거시'!$E1726),'자료_거시'!$E1726,S1743)</f>
        <v/>
      </c>
      <c r="T1744">
        <f>IF(AND(ISNUMBER('자료_거시'!$D1726),ISNUMBER('자료_거시'!$E1726)),IFERROR('자료_거시'!$E1726-INDEX($S$21:$S$4020,MATCH(EDATE('자료_거시'!$D1726,-'설정'!$B$17),'자료_거시'!$D$3:INDEX('자료_거시'!$D$3:$D$4002,$K$6),1)),""),"")</f>
        <v/>
      </c>
      <c r="U1744">
        <f>IF(ISNUMBER(T1744),'자료_거시'!$D1726,"")</f>
        <v/>
      </c>
      <c r="V1744">
        <f>IF(ISNUMBER(U1744),IF(U1744&gt;$L$6,T1744,""),"")</f>
        <v/>
      </c>
      <c r="W1744">
        <f>IF(AND(ISNUMBER('자료_거시'!$G1726),ISNUMBER('자료_거시'!$H1726)),'자료_거시'!$H1726,"")</f>
        <v/>
      </c>
      <c r="X1744">
        <f>IF(ISNUMBER(W1744),'자료_거시'!$G1726,"")</f>
        <v/>
      </c>
      <c r="Y1744">
        <f>IF(ISNUMBER(X1744),IF(X1744&gt;$L$7,W1744,""),"")</f>
        <v/>
      </c>
      <c r="Z1744">
        <f>IF(ISNUMBER('자료_거시'!$K1726),'자료_거시'!$K1726,Z1743)</f>
        <v/>
      </c>
      <c r="AA1744">
        <f>IF(AND(ISNUMBER('자료_거시'!$J1726),ISNUMBER('자료_거시'!$K1726)),IFERROR('자료_거시'!$K1726/INDEX($Z$21:$Z$4020,MATCH(EDATE('자료_거시'!$J1726,-'설정'!$B$17),'자료_거시'!$J$3:INDEX('자료_거시'!$J$3:$J$4002,$K$8),1))-1,""),"")</f>
        <v/>
      </c>
      <c r="AB1744">
        <f>IF(ISNUMBER(AA1744),'자료_거시'!$J1726,"")</f>
        <v/>
      </c>
      <c r="AC1744">
        <f>IF(ISNUMBER(AB1744),IF(AB1744&gt;$L$8,AA1744,""),"")</f>
        <v/>
      </c>
    </row>
    <row r="1745">
      <c r="S1745">
        <f>IF(ISNUMBER('자료_거시'!$E1727),'자료_거시'!$E1727,S1744)</f>
        <v/>
      </c>
      <c r="T1745">
        <f>IF(AND(ISNUMBER('자료_거시'!$D1727),ISNUMBER('자료_거시'!$E1727)),IFERROR('자료_거시'!$E1727-INDEX($S$21:$S$4020,MATCH(EDATE('자료_거시'!$D1727,-'설정'!$B$17),'자료_거시'!$D$3:INDEX('자료_거시'!$D$3:$D$4002,$K$6),1)),""),"")</f>
        <v/>
      </c>
      <c r="U1745">
        <f>IF(ISNUMBER(T1745),'자료_거시'!$D1727,"")</f>
        <v/>
      </c>
      <c r="V1745">
        <f>IF(ISNUMBER(U1745),IF(U1745&gt;$L$6,T1745,""),"")</f>
        <v/>
      </c>
      <c r="W1745">
        <f>IF(AND(ISNUMBER('자료_거시'!$G1727),ISNUMBER('자료_거시'!$H1727)),'자료_거시'!$H1727,"")</f>
        <v/>
      </c>
      <c r="X1745">
        <f>IF(ISNUMBER(W1745),'자료_거시'!$G1727,"")</f>
        <v/>
      </c>
      <c r="Y1745">
        <f>IF(ISNUMBER(X1745),IF(X1745&gt;$L$7,W1745,""),"")</f>
        <v/>
      </c>
      <c r="Z1745">
        <f>IF(ISNUMBER('자료_거시'!$K1727),'자료_거시'!$K1727,Z1744)</f>
        <v/>
      </c>
      <c r="AA1745">
        <f>IF(AND(ISNUMBER('자료_거시'!$J1727),ISNUMBER('자료_거시'!$K1727)),IFERROR('자료_거시'!$K1727/INDEX($Z$21:$Z$4020,MATCH(EDATE('자료_거시'!$J1727,-'설정'!$B$17),'자료_거시'!$J$3:INDEX('자료_거시'!$J$3:$J$4002,$K$8),1))-1,""),"")</f>
        <v/>
      </c>
      <c r="AB1745">
        <f>IF(ISNUMBER(AA1745),'자료_거시'!$J1727,"")</f>
        <v/>
      </c>
      <c r="AC1745">
        <f>IF(ISNUMBER(AB1745),IF(AB1745&gt;$L$8,AA1745,""),"")</f>
        <v/>
      </c>
    </row>
    <row r="1746">
      <c r="S1746">
        <f>IF(ISNUMBER('자료_거시'!$E1728),'자료_거시'!$E1728,S1745)</f>
        <v/>
      </c>
      <c r="T1746">
        <f>IF(AND(ISNUMBER('자료_거시'!$D1728),ISNUMBER('자료_거시'!$E1728)),IFERROR('자료_거시'!$E1728-INDEX($S$21:$S$4020,MATCH(EDATE('자료_거시'!$D1728,-'설정'!$B$17),'자료_거시'!$D$3:INDEX('자료_거시'!$D$3:$D$4002,$K$6),1)),""),"")</f>
        <v/>
      </c>
      <c r="U1746">
        <f>IF(ISNUMBER(T1746),'자료_거시'!$D1728,"")</f>
        <v/>
      </c>
      <c r="V1746">
        <f>IF(ISNUMBER(U1746),IF(U1746&gt;$L$6,T1746,""),"")</f>
        <v/>
      </c>
      <c r="W1746">
        <f>IF(AND(ISNUMBER('자료_거시'!$G1728),ISNUMBER('자료_거시'!$H1728)),'자료_거시'!$H1728,"")</f>
        <v/>
      </c>
      <c r="X1746">
        <f>IF(ISNUMBER(W1746),'자료_거시'!$G1728,"")</f>
        <v/>
      </c>
      <c r="Y1746">
        <f>IF(ISNUMBER(X1746),IF(X1746&gt;$L$7,W1746,""),"")</f>
        <v/>
      </c>
      <c r="Z1746">
        <f>IF(ISNUMBER('자료_거시'!$K1728),'자료_거시'!$K1728,Z1745)</f>
        <v/>
      </c>
      <c r="AA1746">
        <f>IF(AND(ISNUMBER('자료_거시'!$J1728),ISNUMBER('자료_거시'!$K1728)),IFERROR('자료_거시'!$K1728/INDEX($Z$21:$Z$4020,MATCH(EDATE('자료_거시'!$J1728,-'설정'!$B$17),'자료_거시'!$J$3:INDEX('자료_거시'!$J$3:$J$4002,$K$8),1))-1,""),"")</f>
        <v/>
      </c>
      <c r="AB1746">
        <f>IF(ISNUMBER(AA1746),'자료_거시'!$J1728,"")</f>
        <v/>
      </c>
      <c r="AC1746">
        <f>IF(ISNUMBER(AB1746),IF(AB1746&gt;$L$8,AA1746,""),"")</f>
        <v/>
      </c>
    </row>
    <row r="1747">
      <c r="S1747">
        <f>IF(ISNUMBER('자료_거시'!$E1729),'자료_거시'!$E1729,S1746)</f>
        <v/>
      </c>
      <c r="T1747">
        <f>IF(AND(ISNUMBER('자료_거시'!$D1729),ISNUMBER('자료_거시'!$E1729)),IFERROR('자료_거시'!$E1729-INDEX($S$21:$S$4020,MATCH(EDATE('자료_거시'!$D1729,-'설정'!$B$17),'자료_거시'!$D$3:INDEX('자료_거시'!$D$3:$D$4002,$K$6),1)),""),"")</f>
        <v/>
      </c>
      <c r="U1747">
        <f>IF(ISNUMBER(T1747),'자료_거시'!$D1729,"")</f>
        <v/>
      </c>
      <c r="V1747">
        <f>IF(ISNUMBER(U1747),IF(U1747&gt;$L$6,T1747,""),"")</f>
        <v/>
      </c>
      <c r="W1747">
        <f>IF(AND(ISNUMBER('자료_거시'!$G1729),ISNUMBER('자료_거시'!$H1729)),'자료_거시'!$H1729,"")</f>
        <v/>
      </c>
      <c r="X1747">
        <f>IF(ISNUMBER(W1747),'자료_거시'!$G1729,"")</f>
        <v/>
      </c>
      <c r="Y1747">
        <f>IF(ISNUMBER(X1747),IF(X1747&gt;$L$7,W1747,""),"")</f>
        <v/>
      </c>
      <c r="Z1747">
        <f>IF(ISNUMBER('자료_거시'!$K1729),'자료_거시'!$K1729,Z1746)</f>
        <v/>
      </c>
      <c r="AA1747">
        <f>IF(AND(ISNUMBER('자료_거시'!$J1729),ISNUMBER('자료_거시'!$K1729)),IFERROR('자료_거시'!$K1729/INDEX($Z$21:$Z$4020,MATCH(EDATE('자료_거시'!$J1729,-'설정'!$B$17),'자료_거시'!$J$3:INDEX('자료_거시'!$J$3:$J$4002,$K$8),1))-1,""),"")</f>
        <v/>
      </c>
      <c r="AB1747">
        <f>IF(ISNUMBER(AA1747),'자료_거시'!$J1729,"")</f>
        <v/>
      </c>
      <c r="AC1747">
        <f>IF(ISNUMBER(AB1747),IF(AB1747&gt;$L$8,AA1747,""),"")</f>
        <v/>
      </c>
    </row>
    <row r="1748">
      <c r="S1748">
        <f>IF(ISNUMBER('자료_거시'!$E1730),'자료_거시'!$E1730,S1747)</f>
        <v/>
      </c>
      <c r="T1748">
        <f>IF(AND(ISNUMBER('자료_거시'!$D1730),ISNUMBER('자료_거시'!$E1730)),IFERROR('자료_거시'!$E1730-INDEX($S$21:$S$4020,MATCH(EDATE('자료_거시'!$D1730,-'설정'!$B$17),'자료_거시'!$D$3:INDEX('자료_거시'!$D$3:$D$4002,$K$6),1)),""),"")</f>
        <v/>
      </c>
      <c r="U1748">
        <f>IF(ISNUMBER(T1748),'자료_거시'!$D1730,"")</f>
        <v/>
      </c>
      <c r="V1748">
        <f>IF(ISNUMBER(U1748),IF(U1748&gt;$L$6,T1748,""),"")</f>
        <v/>
      </c>
      <c r="W1748">
        <f>IF(AND(ISNUMBER('자료_거시'!$G1730),ISNUMBER('자료_거시'!$H1730)),'자료_거시'!$H1730,"")</f>
        <v/>
      </c>
      <c r="X1748">
        <f>IF(ISNUMBER(W1748),'자료_거시'!$G1730,"")</f>
        <v/>
      </c>
      <c r="Y1748">
        <f>IF(ISNUMBER(X1748),IF(X1748&gt;$L$7,W1748,""),"")</f>
        <v/>
      </c>
      <c r="Z1748">
        <f>IF(ISNUMBER('자료_거시'!$K1730),'자료_거시'!$K1730,Z1747)</f>
        <v/>
      </c>
      <c r="AA1748">
        <f>IF(AND(ISNUMBER('자료_거시'!$J1730),ISNUMBER('자료_거시'!$K1730)),IFERROR('자료_거시'!$K1730/INDEX($Z$21:$Z$4020,MATCH(EDATE('자료_거시'!$J1730,-'설정'!$B$17),'자료_거시'!$J$3:INDEX('자료_거시'!$J$3:$J$4002,$K$8),1))-1,""),"")</f>
        <v/>
      </c>
      <c r="AB1748">
        <f>IF(ISNUMBER(AA1748),'자료_거시'!$J1730,"")</f>
        <v/>
      </c>
      <c r="AC1748">
        <f>IF(ISNUMBER(AB1748),IF(AB1748&gt;$L$8,AA1748,""),"")</f>
        <v/>
      </c>
    </row>
    <row r="1749">
      <c r="S1749">
        <f>IF(ISNUMBER('자료_거시'!$E1731),'자료_거시'!$E1731,S1748)</f>
        <v/>
      </c>
      <c r="T1749">
        <f>IF(AND(ISNUMBER('자료_거시'!$D1731),ISNUMBER('자료_거시'!$E1731)),IFERROR('자료_거시'!$E1731-INDEX($S$21:$S$4020,MATCH(EDATE('자료_거시'!$D1731,-'설정'!$B$17),'자료_거시'!$D$3:INDEX('자료_거시'!$D$3:$D$4002,$K$6),1)),""),"")</f>
        <v/>
      </c>
      <c r="U1749">
        <f>IF(ISNUMBER(T1749),'자료_거시'!$D1731,"")</f>
        <v/>
      </c>
      <c r="V1749">
        <f>IF(ISNUMBER(U1749),IF(U1749&gt;$L$6,T1749,""),"")</f>
        <v/>
      </c>
      <c r="W1749">
        <f>IF(AND(ISNUMBER('자료_거시'!$G1731),ISNUMBER('자료_거시'!$H1731)),'자료_거시'!$H1731,"")</f>
        <v/>
      </c>
      <c r="X1749">
        <f>IF(ISNUMBER(W1749),'자료_거시'!$G1731,"")</f>
        <v/>
      </c>
      <c r="Y1749">
        <f>IF(ISNUMBER(X1749),IF(X1749&gt;$L$7,W1749,""),"")</f>
        <v/>
      </c>
      <c r="Z1749">
        <f>IF(ISNUMBER('자료_거시'!$K1731),'자료_거시'!$K1731,Z1748)</f>
        <v/>
      </c>
      <c r="AA1749">
        <f>IF(AND(ISNUMBER('자료_거시'!$J1731),ISNUMBER('자료_거시'!$K1731)),IFERROR('자료_거시'!$K1731/INDEX($Z$21:$Z$4020,MATCH(EDATE('자료_거시'!$J1731,-'설정'!$B$17),'자료_거시'!$J$3:INDEX('자료_거시'!$J$3:$J$4002,$K$8),1))-1,""),"")</f>
        <v/>
      </c>
      <c r="AB1749">
        <f>IF(ISNUMBER(AA1749),'자료_거시'!$J1731,"")</f>
        <v/>
      </c>
      <c r="AC1749">
        <f>IF(ISNUMBER(AB1749),IF(AB1749&gt;$L$8,AA1749,""),"")</f>
        <v/>
      </c>
    </row>
    <row r="1750">
      <c r="S1750">
        <f>IF(ISNUMBER('자료_거시'!$E1732),'자료_거시'!$E1732,S1749)</f>
        <v/>
      </c>
      <c r="T1750">
        <f>IF(AND(ISNUMBER('자료_거시'!$D1732),ISNUMBER('자료_거시'!$E1732)),IFERROR('자료_거시'!$E1732-INDEX($S$21:$S$4020,MATCH(EDATE('자료_거시'!$D1732,-'설정'!$B$17),'자료_거시'!$D$3:INDEX('자료_거시'!$D$3:$D$4002,$K$6),1)),""),"")</f>
        <v/>
      </c>
      <c r="U1750">
        <f>IF(ISNUMBER(T1750),'자료_거시'!$D1732,"")</f>
        <v/>
      </c>
      <c r="V1750">
        <f>IF(ISNUMBER(U1750),IF(U1750&gt;$L$6,T1750,""),"")</f>
        <v/>
      </c>
      <c r="W1750">
        <f>IF(AND(ISNUMBER('자료_거시'!$G1732),ISNUMBER('자료_거시'!$H1732)),'자료_거시'!$H1732,"")</f>
        <v/>
      </c>
      <c r="X1750">
        <f>IF(ISNUMBER(W1750),'자료_거시'!$G1732,"")</f>
        <v/>
      </c>
      <c r="Y1750">
        <f>IF(ISNUMBER(X1750),IF(X1750&gt;$L$7,W1750,""),"")</f>
        <v/>
      </c>
      <c r="Z1750">
        <f>IF(ISNUMBER('자료_거시'!$K1732),'자료_거시'!$K1732,Z1749)</f>
        <v/>
      </c>
      <c r="AA1750">
        <f>IF(AND(ISNUMBER('자료_거시'!$J1732),ISNUMBER('자료_거시'!$K1732)),IFERROR('자료_거시'!$K1732/INDEX($Z$21:$Z$4020,MATCH(EDATE('자료_거시'!$J1732,-'설정'!$B$17),'자료_거시'!$J$3:INDEX('자료_거시'!$J$3:$J$4002,$K$8),1))-1,""),"")</f>
        <v/>
      </c>
      <c r="AB1750">
        <f>IF(ISNUMBER(AA1750),'자료_거시'!$J1732,"")</f>
        <v/>
      </c>
      <c r="AC1750">
        <f>IF(ISNUMBER(AB1750),IF(AB1750&gt;$L$8,AA1750,""),"")</f>
        <v/>
      </c>
    </row>
    <row r="1751">
      <c r="S1751">
        <f>IF(ISNUMBER('자료_거시'!$E1733),'자료_거시'!$E1733,S1750)</f>
        <v/>
      </c>
      <c r="T1751">
        <f>IF(AND(ISNUMBER('자료_거시'!$D1733),ISNUMBER('자료_거시'!$E1733)),IFERROR('자료_거시'!$E1733-INDEX($S$21:$S$4020,MATCH(EDATE('자료_거시'!$D1733,-'설정'!$B$17),'자료_거시'!$D$3:INDEX('자료_거시'!$D$3:$D$4002,$K$6),1)),""),"")</f>
        <v/>
      </c>
      <c r="U1751">
        <f>IF(ISNUMBER(T1751),'자료_거시'!$D1733,"")</f>
        <v/>
      </c>
      <c r="V1751">
        <f>IF(ISNUMBER(U1751),IF(U1751&gt;$L$6,T1751,""),"")</f>
        <v/>
      </c>
      <c r="W1751">
        <f>IF(AND(ISNUMBER('자료_거시'!$G1733),ISNUMBER('자료_거시'!$H1733)),'자료_거시'!$H1733,"")</f>
        <v/>
      </c>
      <c r="X1751">
        <f>IF(ISNUMBER(W1751),'자료_거시'!$G1733,"")</f>
        <v/>
      </c>
      <c r="Y1751">
        <f>IF(ISNUMBER(X1751),IF(X1751&gt;$L$7,W1751,""),"")</f>
        <v/>
      </c>
      <c r="Z1751">
        <f>IF(ISNUMBER('자료_거시'!$K1733),'자료_거시'!$K1733,Z1750)</f>
        <v/>
      </c>
      <c r="AA1751">
        <f>IF(AND(ISNUMBER('자료_거시'!$J1733),ISNUMBER('자료_거시'!$K1733)),IFERROR('자료_거시'!$K1733/INDEX($Z$21:$Z$4020,MATCH(EDATE('자료_거시'!$J1733,-'설정'!$B$17),'자료_거시'!$J$3:INDEX('자료_거시'!$J$3:$J$4002,$K$8),1))-1,""),"")</f>
        <v/>
      </c>
      <c r="AB1751">
        <f>IF(ISNUMBER(AA1751),'자료_거시'!$J1733,"")</f>
        <v/>
      </c>
      <c r="AC1751">
        <f>IF(ISNUMBER(AB1751),IF(AB1751&gt;$L$8,AA1751,""),"")</f>
        <v/>
      </c>
    </row>
    <row r="1752">
      <c r="S1752">
        <f>IF(ISNUMBER('자료_거시'!$E1734),'자료_거시'!$E1734,S1751)</f>
        <v/>
      </c>
      <c r="T1752">
        <f>IF(AND(ISNUMBER('자료_거시'!$D1734),ISNUMBER('자료_거시'!$E1734)),IFERROR('자료_거시'!$E1734-INDEX($S$21:$S$4020,MATCH(EDATE('자료_거시'!$D1734,-'설정'!$B$17),'자료_거시'!$D$3:INDEX('자료_거시'!$D$3:$D$4002,$K$6),1)),""),"")</f>
        <v/>
      </c>
      <c r="U1752">
        <f>IF(ISNUMBER(T1752),'자료_거시'!$D1734,"")</f>
        <v/>
      </c>
      <c r="V1752">
        <f>IF(ISNUMBER(U1752),IF(U1752&gt;$L$6,T1752,""),"")</f>
        <v/>
      </c>
      <c r="W1752">
        <f>IF(AND(ISNUMBER('자료_거시'!$G1734),ISNUMBER('자료_거시'!$H1734)),'자료_거시'!$H1734,"")</f>
        <v/>
      </c>
      <c r="X1752">
        <f>IF(ISNUMBER(W1752),'자료_거시'!$G1734,"")</f>
        <v/>
      </c>
      <c r="Y1752">
        <f>IF(ISNUMBER(X1752),IF(X1752&gt;$L$7,W1752,""),"")</f>
        <v/>
      </c>
      <c r="Z1752">
        <f>IF(ISNUMBER('자료_거시'!$K1734),'자료_거시'!$K1734,Z1751)</f>
        <v/>
      </c>
      <c r="AA1752">
        <f>IF(AND(ISNUMBER('자료_거시'!$J1734),ISNUMBER('자료_거시'!$K1734)),IFERROR('자료_거시'!$K1734/INDEX($Z$21:$Z$4020,MATCH(EDATE('자료_거시'!$J1734,-'설정'!$B$17),'자료_거시'!$J$3:INDEX('자료_거시'!$J$3:$J$4002,$K$8),1))-1,""),"")</f>
        <v/>
      </c>
      <c r="AB1752">
        <f>IF(ISNUMBER(AA1752),'자료_거시'!$J1734,"")</f>
        <v/>
      </c>
      <c r="AC1752">
        <f>IF(ISNUMBER(AB1752),IF(AB1752&gt;$L$8,AA1752,""),"")</f>
        <v/>
      </c>
    </row>
    <row r="1753">
      <c r="S1753">
        <f>IF(ISNUMBER('자료_거시'!$E1735),'자료_거시'!$E1735,S1752)</f>
        <v/>
      </c>
      <c r="T1753">
        <f>IF(AND(ISNUMBER('자료_거시'!$D1735),ISNUMBER('자료_거시'!$E1735)),IFERROR('자료_거시'!$E1735-INDEX($S$21:$S$4020,MATCH(EDATE('자료_거시'!$D1735,-'설정'!$B$17),'자료_거시'!$D$3:INDEX('자료_거시'!$D$3:$D$4002,$K$6),1)),""),"")</f>
        <v/>
      </c>
      <c r="U1753">
        <f>IF(ISNUMBER(T1753),'자료_거시'!$D1735,"")</f>
        <v/>
      </c>
      <c r="V1753">
        <f>IF(ISNUMBER(U1753),IF(U1753&gt;$L$6,T1753,""),"")</f>
        <v/>
      </c>
      <c r="W1753">
        <f>IF(AND(ISNUMBER('자료_거시'!$G1735),ISNUMBER('자료_거시'!$H1735)),'자료_거시'!$H1735,"")</f>
        <v/>
      </c>
      <c r="X1753">
        <f>IF(ISNUMBER(W1753),'자료_거시'!$G1735,"")</f>
        <v/>
      </c>
      <c r="Y1753">
        <f>IF(ISNUMBER(X1753),IF(X1753&gt;$L$7,W1753,""),"")</f>
        <v/>
      </c>
      <c r="Z1753">
        <f>IF(ISNUMBER('자료_거시'!$K1735),'자료_거시'!$K1735,Z1752)</f>
        <v/>
      </c>
      <c r="AA1753">
        <f>IF(AND(ISNUMBER('자료_거시'!$J1735),ISNUMBER('자료_거시'!$K1735)),IFERROR('자료_거시'!$K1735/INDEX($Z$21:$Z$4020,MATCH(EDATE('자료_거시'!$J1735,-'설정'!$B$17),'자료_거시'!$J$3:INDEX('자료_거시'!$J$3:$J$4002,$K$8),1))-1,""),"")</f>
        <v/>
      </c>
      <c r="AB1753">
        <f>IF(ISNUMBER(AA1753),'자료_거시'!$J1735,"")</f>
        <v/>
      </c>
      <c r="AC1753">
        <f>IF(ISNUMBER(AB1753),IF(AB1753&gt;$L$8,AA1753,""),"")</f>
        <v/>
      </c>
    </row>
    <row r="1754">
      <c r="S1754">
        <f>IF(ISNUMBER('자료_거시'!$E1736),'자료_거시'!$E1736,S1753)</f>
        <v/>
      </c>
      <c r="T1754">
        <f>IF(AND(ISNUMBER('자료_거시'!$D1736),ISNUMBER('자료_거시'!$E1736)),IFERROR('자료_거시'!$E1736-INDEX($S$21:$S$4020,MATCH(EDATE('자료_거시'!$D1736,-'설정'!$B$17),'자료_거시'!$D$3:INDEX('자료_거시'!$D$3:$D$4002,$K$6),1)),""),"")</f>
        <v/>
      </c>
      <c r="U1754">
        <f>IF(ISNUMBER(T1754),'자료_거시'!$D1736,"")</f>
        <v/>
      </c>
      <c r="V1754">
        <f>IF(ISNUMBER(U1754),IF(U1754&gt;$L$6,T1754,""),"")</f>
        <v/>
      </c>
      <c r="W1754">
        <f>IF(AND(ISNUMBER('자료_거시'!$G1736),ISNUMBER('자료_거시'!$H1736)),'자료_거시'!$H1736,"")</f>
        <v/>
      </c>
      <c r="X1754">
        <f>IF(ISNUMBER(W1754),'자료_거시'!$G1736,"")</f>
        <v/>
      </c>
      <c r="Y1754">
        <f>IF(ISNUMBER(X1754),IF(X1754&gt;$L$7,W1754,""),"")</f>
        <v/>
      </c>
      <c r="Z1754">
        <f>IF(ISNUMBER('자료_거시'!$K1736),'자료_거시'!$K1736,Z1753)</f>
        <v/>
      </c>
      <c r="AA1754">
        <f>IF(AND(ISNUMBER('자료_거시'!$J1736),ISNUMBER('자료_거시'!$K1736)),IFERROR('자료_거시'!$K1736/INDEX($Z$21:$Z$4020,MATCH(EDATE('자료_거시'!$J1736,-'설정'!$B$17),'자료_거시'!$J$3:INDEX('자료_거시'!$J$3:$J$4002,$K$8),1))-1,""),"")</f>
        <v/>
      </c>
      <c r="AB1754">
        <f>IF(ISNUMBER(AA1754),'자료_거시'!$J1736,"")</f>
        <v/>
      </c>
      <c r="AC1754">
        <f>IF(ISNUMBER(AB1754),IF(AB1754&gt;$L$8,AA1754,""),"")</f>
        <v/>
      </c>
    </row>
    <row r="1755">
      <c r="S1755">
        <f>IF(ISNUMBER('자료_거시'!$E1737),'자료_거시'!$E1737,S1754)</f>
        <v/>
      </c>
      <c r="T1755">
        <f>IF(AND(ISNUMBER('자료_거시'!$D1737),ISNUMBER('자료_거시'!$E1737)),IFERROR('자료_거시'!$E1737-INDEX($S$21:$S$4020,MATCH(EDATE('자료_거시'!$D1737,-'설정'!$B$17),'자료_거시'!$D$3:INDEX('자료_거시'!$D$3:$D$4002,$K$6),1)),""),"")</f>
        <v/>
      </c>
      <c r="U1755">
        <f>IF(ISNUMBER(T1755),'자료_거시'!$D1737,"")</f>
        <v/>
      </c>
      <c r="V1755">
        <f>IF(ISNUMBER(U1755),IF(U1755&gt;$L$6,T1755,""),"")</f>
        <v/>
      </c>
      <c r="W1755">
        <f>IF(AND(ISNUMBER('자료_거시'!$G1737),ISNUMBER('자료_거시'!$H1737)),'자료_거시'!$H1737,"")</f>
        <v/>
      </c>
      <c r="X1755">
        <f>IF(ISNUMBER(W1755),'자료_거시'!$G1737,"")</f>
        <v/>
      </c>
      <c r="Y1755">
        <f>IF(ISNUMBER(X1755),IF(X1755&gt;$L$7,W1755,""),"")</f>
        <v/>
      </c>
      <c r="Z1755">
        <f>IF(ISNUMBER('자료_거시'!$K1737),'자료_거시'!$K1737,Z1754)</f>
        <v/>
      </c>
      <c r="AA1755">
        <f>IF(AND(ISNUMBER('자료_거시'!$J1737),ISNUMBER('자료_거시'!$K1737)),IFERROR('자료_거시'!$K1737/INDEX($Z$21:$Z$4020,MATCH(EDATE('자료_거시'!$J1737,-'설정'!$B$17),'자료_거시'!$J$3:INDEX('자료_거시'!$J$3:$J$4002,$K$8),1))-1,""),"")</f>
        <v/>
      </c>
      <c r="AB1755">
        <f>IF(ISNUMBER(AA1755),'자료_거시'!$J1737,"")</f>
        <v/>
      </c>
      <c r="AC1755">
        <f>IF(ISNUMBER(AB1755),IF(AB1755&gt;$L$8,AA1755,""),"")</f>
        <v/>
      </c>
    </row>
    <row r="1756">
      <c r="S1756">
        <f>IF(ISNUMBER('자료_거시'!$E1738),'자료_거시'!$E1738,S1755)</f>
        <v/>
      </c>
      <c r="T1756">
        <f>IF(AND(ISNUMBER('자료_거시'!$D1738),ISNUMBER('자료_거시'!$E1738)),IFERROR('자료_거시'!$E1738-INDEX($S$21:$S$4020,MATCH(EDATE('자료_거시'!$D1738,-'설정'!$B$17),'자료_거시'!$D$3:INDEX('자료_거시'!$D$3:$D$4002,$K$6),1)),""),"")</f>
        <v/>
      </c>
      <c r="U1756">
        <f>IF(ISNUMBER(T1756),'자료_거시'!$D1738,"")</f>
        <v/>
      </c>
      <c r="V1756">
        <f>IF(ISNUMBER(U1756),IF(U1756&gt;$L$6,T1756,""),"")</f>
        <v/>
      </c>
      <c r="W1756">
        <f>IF(AND(ISNUMBER('자료_거시'!$G1738),ISNUMBER('자료_거시'!$H1738)),'자료_거시'!$H1738,"")</f>
        <v/>
      </c>
      <c r="X1756">
        <f>IF(ISNUMBER(W1756),'자료_거시'!$G1738,"")</f>
        <v/>
      </c>
      <c r="Y1756">
        <f>IF(ISNUMBER(X1756),IF(X1756&gt;$L$7,W1756,""),"")</f>
        <v/>
      </c>
      <c r="Z1756">
        <f>IF(ISNUMBER('자료_거시'!$K1738),'자료_거시'!$K1738,Z1755)</f>
        <v/>
      </c>
      <c r="AA1756">
        <f>IF(AND(ISNUMBER('자료_거시'!$J1738),ISNUMBER('자료_거시'!$K1738)),IFERROR('자료_거시'!$K1738/INDEX($Z$21:$Z$4020,MATCH(EDATE('자료_거시'!$J1738,-'설정'!$B$17),'자료_거시'!$J$3:INDEX('자료_거시'!$J$3:$J$4002,$K$8),1))-1,""),"")</f>
        <v/>
      </c>
      <c r="AB1756">
        <f>IF(ISNUMBER(AA1756),'자료_거시'!$J1738,"")</f>
        <v/>
      </c>
      <c r="AC1756">
        <f>IF(ISNUMBER(AB1756),IF(AB1756&gt;$L$8,AA1756,""),"")</f>
        <v/>
      </c>
    </row>
    <row r="1757">
      <c r="S1757">
        <f>IF(ISNUMBER('자료_거시'!$E1739),'자료_거시'!$E1739,S1756)</f>
        <v/>
      </c>
      <c r="T1757">
        <f>IF(AND(ISNUMBER('자료_거시'!$D1739),ISNUMBER('자료_거시'!$E1739)),IFERROR('자료_거시'!$E1739-INDEX($S$21:$S$4020,MATCH(EDATE('자료_거시'!$D1739,-'설정'!$B$17),'자료_거시'!$D$3:INDEX('자료_거시'!$D$3:$D$4002,$K$6),1)),""),"")</f>
        <v/>
      </c>
      <c r="U1757">
        <f>IF(ISNUMBER(T1757),'자료_거시'!$D1739,"")</f>
        <v/>
      </c>
      <c r="V1757">
        <f>IF(ISNUMBER(U1757),IF(U1757&gt;$L$6,T1757,""),"")</f>
        <v/>
      </c>
      <c r="W1757">
        <f>IF(AND(ISNUMBER('자료_거시'!$G1739),ISNUMBER('자료_거시'!$H1739)),'자료_거시'!$H1739,"")</f>
        <v/>
      </c>
      <c r="X1757">
        <f>IF(ISNUMBER(W1757),'자료_거시'!$G1739,"")</f>
        <v/>
      </c>
      <c r="Y1757">
        <f>IF(ISNUMBER(X1757),IF(X1757&gt;$L$7,W1757,""),"")</f>
        <v/>
      </c>
      <c r="Z1757">
        <f>IF(ISNUMBER('자료_거시'!$K1739),'자료_거시'!$K1739,Z1756)</f>
        <v/>
      </c>
      <c r="AA1757">
        <f>IF(AND(ISNUMBER('자료_거시'!$J1739),ISNUMBER('자료_거시'!$K1739)),IFERROR('자료_거시'!$K1739/INDEX($Z$21:$Z$4020,MATCH(EDATE('자료_거시'!$J1739,-'설정'!$B$17),'자료_거시'!$J$3:INDEX('자료_거시'!$J$3:$J$4002,$K$8),1))-1,""),"")</f>
        <v/>
      </c>
      <c r="AB1757">
        <f>IF(ISNUMBER(AA1757),'자료_거시'!$J1739,"")</f>
        <v/>
      </c>
      <c r="AC1757">
        <f>IF(ISNUMBER(AB1757),IF(AB1757&gt;$L$8,AA1757,""),"")</f>
        <v/>
      </c>
    </row>
    <row r="1758">
      <c r="S1758">
        <f>IF(ISNUMBER('자료_거시'!$E1740),'자료_거시'!$E1740,S1757)</f>
        <v/>
      </c>
      <c r="T1758">
        <f>IF(AND(ISNUMBER('자료_거시'!$D1740),ISNUMBER('자료_거시'!$E1740)),IFERROR('자료_거시'!$E1740-INDEX($S$21:$S$4020,MATCH(EDATE('자료_거시'!$D1740,-'설정'!$B$17),'자료_거시'!$D$3:INDEX('자료_거시'!$D$3:$D$4002,$K$6),1)),""),"")</f>
        <v/>
      </c>
      <c r="U1758">
        <f>IF(ISNUMBER(T1758),'자료_거시'!$D1740,"")</f>
        <v/>
      </c>
      <c r="V1758">
        <f>IF(ISNUMBER(U1758),IF(U1758&gt;$L$6,T1758,""),"")</f>
        <v/>
      </c>
      <c r="W1758">
        <f>IF(AND(ISNUMBER('자료_거시'!$G1740),ISNUMBER('자료_거시'!$H1740)),'자료_거시'!$H1740,"")</f>
        <v/>
      </c>
      <c r="X1758">
        <f>IF(ISNUMBER(W1758),'자료_거시'!$G1740,"")</f>
        <v/>
      </c>
      <c r="Y1758">
        <f>IF(ISNUMBER(X1758),IF(X1758&gt;$L$7,W1758,""),"")</f>
        <v/>
      </c>
      <c r="Z1758">
        <f>IF(ISNUMBER('자료_거시'!$K1740),'자료_거시'!$K1740,Z1757)</f>
        <v/>
      </c>
      <c r="AA1758">
        <f>IF(AND(ISNUMBER('자료_거시'!$J1740),ISNUMBER('자료_거시'!$K1740)),IFERROR('자료_거시'!$K1740/INDEX($Z$21:$Z$4020,MATCH(EDATE('자료_거시'!$J1740,-'설정'!$B$17),'자료_거시'!$J$3:INDEX('자료_거시'!$J$3:$J$4002,$K$8),1))-1,""),"")</f>
        <v/>
      </c>
      <c r="AB1758">
        <f>IF(ISNUMBER(AA1758),'자료_거시'!$J1740,"")</f>
        <v/>
      </c>
      <c r="AC1758">
        <f>IF(ISNUMBER(AB1758),IF(AB1758&gt;$L$8,AA1758,""),"")</f>
        <v/>
      </c>
    </row>
    <row r="1759">
      <c r="S1759">
        <f>IF(ISNUMBER('자료_거시'!$E1741),'자료_거시'!$E1741,S1758)</f>
        <v/>
      </c>
      <c r="T1759">
        <f>IF(AND(ISNUMBER('자료_거시'!$D1741),ISNUMBER('자료_거시'!$E1741)),IFERROR('자료_거시'!$E1741-INDEX($S$21:$S$4020,MATCH(EDATE('자료_거시'!$D1741,-'설정'!$B$17),'자료_거시'!$D$3:INDEX('자료_거시'!$D$3:$D$4002,$K$6),1)),""),"")</f>
        <v/>
      </c>
      <c r="U1759">
        <f>IF(ISNUMBER(T1759),'자료_거시'!$D1741,"")</f>
        <v/>
      </c>
      <c r="V1759">
        <f>IF(ISNUMBER(U1759),IF(U1759&gt;$L$6,T1759,""),"")</f>
        <v/>
      </c>
      <c r="W1759">
        <f>IF(AND(ISNUMBER('자료_거시'!$G1741),ISNUMBER('자료_거시'!$H1741)),'자료_거시'!$H1741,"")</f>
        <v/>
      </c>
      <c r="X1759">
        <f>IF(ISNUMBER(W1759),'자료_거시'!$G1741,"")</f>
        <v/>
      </c>
      <c r="Y1759">
        <f>IF(ISNUMBER(X1759),IF(X1759&gt;$L$7,W1759,""),"")</f>
        <v/>
      </c>
      <c r="Z1759">
        <f>IF(ISNUMBER('자료_거시'!$K1741),'자료_거시'!$K1741,Z1758)</f>
        <v/>
      </c>
      <c r="AA1759">
        <f>IF(AND(ISNUMBER('자료_거시'!$J1741),ISNUMBER('자료_거시'!$K1741)),IFERROR('자료_거시'!$K1741/INDEX($Z$21:$Z$4020,MATCH(EDATE('자료_거시'!$J1741,-'설정'!$B$17),'자료_거시'!$J$3:INDEX('자료_거시'!$J$3:$J$4002,$K$8),1))-1,""),"")</f>
        <v/>
      </c>
      <c r="AB1759">
        <f>IF(ISNUMBER(AA1759),'자료_거시'!$J1741,"")</f>
        <v/>
      </c>
      <c r="AC1759">
        <f>IF(ISNUMBER(AB1759),IF(AB1759&gt;$L$8,AA1759,""),"")</f>
        <v/>
      </c>
    </row>
    <row r="1760">
      <c r="S1760">
        <f>IF(ISNUMBER('자료_거시'!$E1742),'자료_거시'!$E1742,S1759)</f>
        <v/>
      </c>
      <c r="T1760">
        <f>IF(AND(ISNUMBER('자료_거시'!$D1742),ISNUMBER('자료_거시'!$E1742)),IFERROR('자료_거시'!$E1742-INDEX($S$21:$S$4020,MATCH(EDATE('자료_거시'!$D1742,-'설정'!$B$17),'자료_거시'!$D$3:INDEX('자료_거시'!$D$3:$D$4002,$K$6),1)),""),"")</f>
        <v/>
      </c>
      <c r="U1760">
        <f>IF(ISNUMBER(T1760),'자료_거시'!$D1742,"")</f>
        <v/>
      </c>
      <c r="V1760">
        <f>IF(ISNUMBER(U1760),IF(U1760&gt;$L$6,T1760,""),"")</f>
        <v/>
      </c>
      <c r="W1760">
        <f>IF(AND(ISNUMBER('자료_거시'!$G1742),ISNUMBER('자료_거시'!$H1742)),'자료_거시'!$H1742,"")</f>
        <v/>
      </c>
      <c r="X1760">
        <f>IF(ISNUMBER(W1760),'자료_거시'!$G1742,"")</f>
        <v/>
      </c>
      <c r="Y1760">
        <f>IF(ISNUMBER(X1760),IF(X1760&gt;$L$7,W1760,""),"")</f>
        <v/>
      </c>
      <c r="Z1760">
        <f>IF(ISNUMBER('자료_거시'!$K1742),'자료_거시'!$K1742,Z1759)</f>
        <v/>
      </c>
      <c r="AA1760">
        <f>IF(AND(ISNUMBER('자료_거시'!$J1742),ISNUMBER('자료_거시'!$K1742)),IFERROR('자료_거시'!$K1742/INDEX($Z$21:$Z$4020,MATCH(EDATE('자료_거시'!$J1742,-'설정'!$B$17),'자료_거시'!$J$3:INDEX('자료_거시'!$J$3:$J$4002,$K$8),1))-1,""),"")</f>
        <v/>
      </c>
      <c r="AB1760">
        <f>IF(ISNUMBER(AA1760),'자료_거시'!$J1742,"")</f>
        <v/>
      </c>
      <c r="AC1760">
        <f>IF(ISNUMBER(AB1760),IF(AB1760&gt;$L$8,AA1760,""),"")</f>
        <v/>
      </c>
    </row>
    <row r="1761">
      <c r="S1761">
        <f>IF(ISNUMBER('자료_거시'!$E1743),'자료_거시'!$E1743,S1760)</f>
        <v/>
      </c>
      <c r="T1761">
        <f>IF(AND(ISNUMBER('자료_거시'!$D1743),ISNUMBER('자료_거시'!$E1743)),IFERROR('자료_거시'!$E1743-INDEX($S$21:$S$4020,MATCH(EDATE('자료_거시'!$D1743,-'설정'!$B$17),'자료_거시'!$D$3:INDEX('자료_거시'!$D$3:$D$4002,$K$6),1)),""),"")</f>
        <v/>
      </c>
      <c r="U1761">
        <f>IF(ISNUMBER(T1761),'자료_거시'!$D1743,"")</f>
        <v/>
      </c>
      <c r="V1761">
        <f>IF(ISNUMBER(U1761),IF(U1761&gt;$L$6,T1761,""),"")</f>
        <v/>
      </c>
      <c r="W1761">
        <f>IF(AND(ISNUMBER('자료_거시'!$G1743),ISNUMBER('자료_거시'!$H1743)),'자료_거시'!$H1743,"")</f>
        <v/>
      </c>
      <c r="X1761">
        <f>IF(ISNUMBER(W1761),'자료_거시'!$G1743,"")</f>
        <v/>
      </c>
      <c r="Y1761">
        <f>IF(ISNUMBER(X1761),IF(X1761&gt;$L$7,W1761,""),"")</f>
        <v/>
      </c>
      <c r="Z1761">
        <f>IF(ISNUMBER('자료_거시'!$K1743),'자료_거시'!$K1743,Z1760)</f>
        <v/>
      </c>
      <c r="AA1761">
        <f>IF(AND(ISNUMBER('자료_거시'!$J1743),ISNUMBER('자료_거시'!$K1743)),IFERROR('자료_거시'!$K1743/INDEX($Z$21:$Z$4020,MATCH(EDATE('자료_거시'!$J1743,-'설정'!$B$17),'자료_거시'!$J$3:INDEX('자료_거시'!$J$3:$J$4002,$K$8),1))-1,""),"")</f>
        <v/>
      </c>
      <c r="AB1761">
        <f>IF(ISNUMBER(AA1761),'자료_거시'!$J1743,"")</f>
        <v/>
      </c>
      <c r="AC1761">
        <f>IF(ISNUMBER(AB1761),IF(AB1761&gt;$L$8,AA1761,""),"")</f>
        <v/>
      </c>
    </row>
    <row r="1762">
      <c r="S1762">
        <f>IF(ISNUMBER('자료_거시'!$E1744),'자료_거시'!$E1744,S1761)</f>
        <v/>
      </c>
      <c r="T1762">
        <f>IF(AND(ISNUMBER('자료_거시'!$D1744),ISNUMBER('자료_거시'!$E1744)),IFERROR('자료_거시'!$E1744-INDEX($S$21:$S$4020,MATCH(EDATE('자료_거시'!$D1744,-'설정'!$B$17),'자료_거시'!$D$3:INDEX('자료_거시'!$D$3:$D$4002,$K$6),1)),""),"")</f>
        <v/>
      </c>
      <c r="U1762">
        <f>IF(ISNUMBER(T1762),'자료_거시'!$D1744,"")</f>
        <v/>
      </c>
      <c r="V1762">
        <f>IF(ISNUMBER(U1762),IF(U1762&gt;$L$6,T1762,""),"")</f>
        <v/>
      </c>
      <c r="W1762">
        <f>IF(AND(ISNUMBER('자료_거시'!$G1744),ISNUMBER('자료_거시'!$H1744)),'자료_거시'!$H1744,"")</f>
        <v/>
      </c>
      <c r="X1762">
        <f>IF(ISNUMBER(W1762),'자료_거시'!$G1744,"")</f>
        <v/>
      </c>
      <c r="Y1762">
        <f>IF(ISNUMBER(X1762),IF(X1762&gt;$L$7,W1762,""),"")</f>
        <v/>
      </c>
      <c r="Z1762">
        <f>IF(ISNUMBER('자료_거시'!$K1744),'자료_거시'!$K1744,Z1761)</f>
        <v/>
      </c>
      <c r="AA1762">
        <f>IF(AND(ISNUMBER('자료_거시'!$J1744),ISNUMBER('자료_거시'!$K1744)),IFERROR('자료_거시'!$K1744/INDEX($Z$21:$Z$4020,MATCH(EDATE('자료_거시'!$J1744,-'설정'!$B$17),'자료_거시'!$J$3:INDEX('자료_거시'!$J$3:$J$4002,$K$8),1))-1,""),"")</f>
        <v/>
      </c>
      <c r="AB1762">
        <f>IF(ISNUMBER(AA1762),'자료_거시'!$J1744,"")</f>
        <v/>
      </c>
      <c r="AC1762">
        <f>IF(ISNUMBER(AB1762),IF(AB1762&gt;$L$8,AA1762,""),"")</f>
        <v/>
      </c>
    </row>
    <row r="1763">
      <c r="S1763">
        <f>IF(ISNUMBER('자료_거시'!$E1745),'자료_거시'!$E1745,S1762)</f>
        <v/>
      </c>
      <c r="T1763">
        <f>IF(AND(ISNUMBER('자료_거시'!$D1745),ISNUMBER('자료_거시'!$E1745)),IFERROR('자료_거시'!$E1745-INDEX($S$21:$S$4020,MATCH(EDATE('자료_거시'!$D1745,-'설정'!$B$17),'자료_거시'!$D$3:INDEX('자료_거시'!$D$3:$D$4002,$K$6),1)),""),"")</f>
        <v/>
      </c>
      <c r="U1763">
        <f>IF(ISNUMBER(T1763),'자료_거시'!$D1745,"")</f>
        <v/>
      </c>
      <c r="V1763">
        <f>IF(ISNUMBER(U1763),IF(U1763&gt;$L$6,T1763,""),"")</f>
        <v/>
      </c>
      <c r="W1763">
        <f>IF(AND(ISNUMBER('자료_거시'!$G1745),ISNUMBER('자료_거시'!$H1745)),'자료_거시'!$H1745,"")</f>
        <v/>
      </c>
      <c r="X1763">
        <f>IF(ISNUMBER(W1763),'자료_거시'!$G1745,"")</f>
        <v/>
      </c>
      <c r="Y1763">
        <f>IF(ISNUMBER(X1763),IF(X1763&gt;$L$7,W1763,""),"")</f>
        <v/>
      </c>
      <c r="Z1763">
        <f>IF(ISNUMBER('자료_거시'!$K1745),'자료_거시'!$K1745,Z1762)</f>
        <v/>
      </c>
      <c r="AA1763">
        <f>IF(AND(ISNUMBER('자료_거시'!$J1745),ISNUMBER('자료_거시'!$K1745)),IFERROR('자료_거시'!$K1745/INDEX($Z$21:$Z$4020,MATCH(EDATE('자료_거시'!$J1745,-'설정'!$B$17),'자료_거시'!$J$3:INDEX('자료_거시'!$J$3:$J$4002,$K$8),1))-1,""),"")</f>
        <v/>
      </c>
      <c r="AB1763">
        <f>IF(ISNUMBER(AA1763),'자료_거시'!$J1745,"")</f>
        <v/>
      </c>
      <c r="AC1763">
        <f>IF(ISNUMBER(AB1763),IF(AB1763&gt;$L$8,AA1763,""),"")</f>
        <v/>
      </c>
    </row>
    <row r="1764">
      <c r="S1764">
        <f>IF(ISNUMBER('자료_거시'!$E1746),'자료_거시'!$E1746,S1763)</f>
        <v/>
      </c>
      <c r="T1764">
        <f>IF(AND(ISNUMBER('자료_거시'!$D1746),ISNUMBER('자료_거시'!$E1746)),IFERROR('자료_거시'!$E1746-INDEX($S$21:$S$4020,MATCH(EDATE('자료_거시'!$D1746,-'설정'!$B$17),'자료_거시'!$D$3:INDEX('자료_거시'!$D$3:$D$4002,$K$6),1)),""),"")</f>
        <v/>
      </c>
      <c r="U1764">
        <f>IF(ISNUMBER(T1764),'자료_거시'!$D1746,"")</f>
        <v/>
      </c>
      <c r="V1764">
        <f>IF(ISNUMBER(U1764),IF(U1764&gt;$L$6,T1764,""),"")</f>
        <v/>
      </c>
      <c r="W1764">
        <f>IF(AND(ISNUMBER('자료_거시'!$G1746),ISNUMBER('자료_거시'!$H1746)),'자료_거시'!$H1746,"")</f>
        <v/>
      </c>
      <c r="X1764">
        <f>IF(ISNUMBER(W1764),'자료_거시'!$G1746,"")</f>
        <v/>
      </c>
      <c r="Y1764">
        <f>IF(ISNUMBER(X1764),IF(X1764&gt;$L$7,W1764,""),"")</f>
        <v/>
      </c>
      <c r="Z1764">
        <f>IF(ISNUMBER('자료_거시'!$K1746),'자료_거시'!$K1746,Z1763)</f>
        <v/>
      </c>
      <c r="AA1764">
        <f>IF(AND(ISNUMBER('자료_거시'!$J1746),ISNUMBER('자료_거시'!$K1746)),IFERROR('자료_거시'!$K1746/INDEX($Z$21:$Z$4020,MATCH(EDATE('자료_거시'!$J1746,-'설정'!$B$17),'자료_거시'!$J$3:INDEX('자료_거시'!$J$3:$J$4002,$K$8),1))-1,""),"")</f>
        <v/>
      </c>
      <c r="AB1764">
        <f>IF(ISNUMBER(AA1764),'자료_거시'!$J1746,"")</f>
        <v/>
      </c>
      <c r="AC1764">
        <f>IF(ISNUMBER(AB1764),IF(AB1764&gt;$L$8,AA1764,""),"")</f>
        <v/>
      </c>
    </row>
    <row r="1765">
      <c r="S1765">
        <f>IF(ISNUMBER('자료_거시'!$E1747),'자료_거시'!$E1747,S1764)</f>
        <v/>
      </c>
      <c r="T1765">
        <f>IF(AND(ISNUMBER('자료_거시'!$D1747),ISNUMBER('자료_거시'!$E1747)),IFERROR('자료_거시'!$E1747-INDEX($S$21:$S$4020,MATCH(EDATE('자료_거시'!$D1747,-'설정'!$B$17),'자료_거시'!$D$3:INDEX('자료_거시'!$D$3:$D$4002,$K$6),1)),""),"")</f>
        <v/>
      </c>
      <c r="U1765">
        <f>IF(ISNUMBER(T1765),'자료_거시'!$D1747,"")</f>
        <v/>
      </c>
      <c r="V1765">
        <f>IF(ISNUMBER(U1765),IF(U1765&gt;$L$6,T1765,""),"")</f>
        <v/>
      </c>
      <c r="W1765">
        <f>IF(AND(ISNUMBER('자료_거시'!$G1747),ISNUMBER('자료_거시'!$H1747)),'자료_거시'!$H1747,"")</f>
        <v/>
      </c>
      <c r="X1765">
        <f>IF(ISNUMBER(W1765),'자료_거시'!$G1747,"")</f>
        <v/>
      </c>
      <c r="Y1765">
        <f>IF(ISNUMBER(X1765),IF(X1765&gt;$L$7,W1765,""),"")</f>
        <v/>
      </c>
      <c r="Z1765">
        <f>IF(ISNUMBER('자료_거시'!$K1747),'자료_거시'!$K1747,Z1764)</f>
        <v/>
      </c>
      <c r="AA1765">
        <f>IF(AND(ISNUMBER('자료_거시'!$J1747),ISNUMBER('자료_거시'!$K1747)),IFERROR('자료_거시'!$K1747/INDEX($Z$21:$Z$4020,MATCH(EDATE('자료_거시'!$J1747,-'설정'!$B$17),'자료_거시'!$J$3:INDEX('자료_거시'!$J$3:$J$4002,$K$8),1))-1,""),"")</f>
        <v/>
      </c>
      <c r="AB1765">
        <f>IF(ISNUMBER(AA1765),'자료_거시'!$J1747,"")</f>
        <v/>
      </c>
      <c r="AC1765">
        <f>IF(ISNUMBER(AB1765),IF(AB1765&gt;$L$8,AA1765,""),"")</f>
        <v/>
      </c>
    </row>
    <row r="1766">
      <c r="S1766">
        <f>IF(ISNUMBER('자료_거시'!$E1748),'자료_거시'!$E1748,S1765)</f>
        <v/>
      </c>
      <c r="T1766">
        <f>IF(AND(ISNUMBER('자료_거시'!$D1748),ISNUMBER('자료_거시'!$E1748)),IFERROR('자료_거시'!$E1748-INDEX($S$21:$S$4020,MATCH(EDATE('자료_거시'!$D1748,-'설정'!$B$17),'자료_거시'!$D$3:INDEX('자료_거시'!$D$3:$D$4002,$K$6),1)),""),"")</f>
        <v/>
      </c>
      <c r="U1766">
        <f>IF(ISNUMBER(T1766),'자료_거시'!$D1748,"")</f>
        <v/>
      </c>
      <c r="V1766">
        <f>IF(ISNUMBER(U1766),IF(U1766&gt;$L$6,T1766,""),"")</f>
        <v/>
      </c>
      <c r="W1766">
        <f>IF(AND(ISNUMBER('자료_거시'!$G1748),ISNUMBER('자료_거시'!$H1748)),'자료_거시'!$H1748,"")</f>
        <v/>
      </c>
      <c r="X1766">
        <f>IF(ISNUMBER(W1766),'자료_거시'!$G1748,"")</f>
        <v/>
      </c>
      <c r="Y1766">
        <f>IF(ISNUMBER(X1766),IF(X1766&gt;$L$7,W1766,""),"")</f>
        <v/>
      </c>
      <c r="Z1766">
        <f>IF(ISNUMBER('자료_거시'!$K1748),'자료_거시'!$K1748,Z1765)</f>
        <v/>
      </c>
      <c r="AA1766">
        <f>IF(AND(ISNUMBER('자료_거시'!$J1748),ISNUMBER('자료_거시'!$K1748)),IFERROR('자료_거시'!$K1748/INDEX($Z$21:$Z$4020,MATCH(EDATE('자료_거시'!$J1748,-'설정'!$B$17),'자료_거시'!$J$3:INDEX('자료_거시'!$J$3:$J$4002,$K$8),1))-1,""),"")</f>
        <v/>
      </c>
      <c r="AB1766">
        <f>IF(ISNUMBER(AA1766),'자료_거시'!$J1748,"")</f>
        <v/>
      </c>
      <c r="AC1766">
        <f>IF(ISNUMBER(AB1766),IF(AB1766&gt;$L$8,AA1766,""),"")</f>
        <v/>
      </c>
    </row>
    <row r="1767">
      <c r="S1767">
        <f>IF(ISNUMBER('자료_거시'!$E1749),'자료_거시'!$E1749,S1766)</f>
        <v/>
      </c>
      <c r="T1767">
        <f>IF(AND(ISNUMBER('자료_거시'!$D1749),ISNUMBER('자료_거시'!$E1749)),IFERROR('자료_거시'!$E1749-INDEX($S$21:$S$4020,MATCH(EDATE('자료_거시'!$D1749,-'설정'!$B$17),'자료_거시'!$D$3:INDEX('자료_거시'!$D$3:$D$4002,$K$6),1)),""),"")</f>
        <v/>
      </c>
      <c r="U1767">
        <f>IF(ISNUMBER(T1767),'자료_거시'!$D1749,"")</f>
        <v/>
      </c>
      <c r="V1767">
        <f>IF(ISNUMBER(U1767),IF(U1767&gt;$L$6,T1767,""),"")</f>
        <v/>
      </c>
      <c r="W1767">
        <f>IF(AND(ISNUMBER('자료_거시'!$G1749),ISNUMBER('자료_거시'!$H1749)),'자료_거시'!$H1749,"")</f>
        <v/>
      </c>
      <c r="X1767">
        <f>IF(ISNUMBER(W1767),'자료_거시'!$G1749,"")</f>
        <v/>
      </c>
      <c r="Y1767">
        <f>IF(ISNUMBER(X1767),IF(X1767&gt;$L$7,W1767,""),"")</f>
        <v/>
      </c>
      <c r="Z1767">
        <f>IF(ISNUMBER('자료_거시'!$K1749),'자료_거시'!$K1749,Z1766)</f>
        <v/>
      </c>
      <c r="AA1767">
        <f>IF(AND(ISNUMBER('자료_거시'!$J1749),ISNUMBER('자료_거시'!$K1749)),IFERROR('자료_거시'!$K1749/INDEX($Z$21:$Z$4020,MATCH(EDATE('자료_거시'!$J1749,-'설정'!$B$17),'자료_거시'!$J$3:INDEX('자료_거시'!$J$3:$J$4002,$K$8),1))-1,""),"")</f>
        <v/>
      </c>
      <c r="AB1767">
        <f>IF(ISNUMBER(AA1767),'자료_거시'!$J1749,"")</f>
        <v/>
      </c>
      <c r="AC1767">
        <f>IF(ISNUMBER(AB1767),IF(AB1767&gt;$L$8,AA1767,""),"")</f>
        <v/>
      </c>
    </row>
    <row r="1768">
      <c r="S1768">
        <f>IF(ISNUMBER('자료_거시'!$E1750),'자료_거시'!$E1750,S1767)</f>
        <v/>
      </c>
      <c r="T1768">
        <f>IF(AND(ISNUMBER('자료_거시'!$D1750),ISNUMBER('자료_거시'!$E1750)),IFERROR('자료_거시'!$E1750-INDEX($S$21:$S$4020,MATCH(EDATE('자료_거시'!$D1750,-'설정'!$B$17),'자료_거시'!$D$3:INDEX('자료_거시'!$D$3:$D$4002,$K$6),1)),""),"")</f>
        <v/>
      </c>
      <c r="U1768">
        <f>IF(ISNUMBER(T1768),'자료_거시'!$D1750,"")</f>
        <v/>
      </c>
      <c r="V1768">
        <f>IF(ISNUMBER(U1768),IF(U1768&gt;$L$6,T1768,""),"")</f>
        <v/>
      </c>
      <c r="W1768">
        <f>IF(AND(ISNUMBER('자료_거시'!$G1750),ISNUMBER('자료_거시'!$H1750)),'자료_거시'!$H1750,"")</f>
        <v/>
      </c>
      <c r="X1768">
        <f>IF(ISNUMBER(W1768),'자료_거시'!$G1750,"")</f>
        <v/>
      </c>
      <c r="Y1768">
        <f>IF(ISNUMBER(X1768),IF(X1768&gt;$L$7,W1768,""),"")</f>
        <v/>
      </c>
      <c r="Z1768">
        <f>IF(ISNUMBER('자료_거시'!$K1750),'자료_거시'!$K1750,Z1767)</f>
        <v/>
      </c>
      <c r="AA1768">
        <f>IF(AND(ISNUMBER('자료_거시'!$J1750),ISNUMBER('자료_거시'!$K1750)),IFERROR('자료_거시'!$K1750/INDEX($Z$21:$Z$4020,MATCH(EDATE('자료_거시'!$J1750,-'설정'!$B$17),'자료_거시'!$J$3:INDEX('자료_거시'!$J$3:$J$4002,$K$8),1))-1,""),"")</f>
        <v/>
      </c>
      <c r="AB1768">
        <f>IF(ISNUMBER(AA1768),'자료_거시'!$J1750,"")</f>
        <v/>
      </c>
      <c r="AC1768">
        <f>IF(ISNUMBER(AB1768),IF(AB1768&gt;$L$8,AA1768,""),"")</f>
        <v/>
      </c>
    </row>
    <row r="1769">
      <c r="S1769">
        <f>IF(ISNUMBER('자료_거시'!$E1751),'자료_거시'!$E1751,S1768)</f>
        <v/>
      </c>
      <c r="T1769">
        <f>IF(AND(ISNUMBER('자료_거시'!$D1751),ISNUMBER('자료_거시'!$E1751)),IFERROR('자료_거시'!$E1751-INDEX($S$21:$S$4020,MATCH(EDATE('자료_거시'!$D1751,-'설정'!$B$17),'자료_거시'!$D$3:INDEX('자료_거시'!$D$3:$D$4002,$K$6),1)),""),"")</f>
        <v/>
      </c>
      <c r="U1769">
        <f>IF(ISNUMBER(T1769),'자료_거시'!$D1751,"")</f>
        <v/>
      </c>
      <c r="V1769">
        <f>IF(ISNUMBER(U1769),IF(U1769&gt;$L$6,T1769,""),"")</f>
        <v/>
      </c>
      <c r="W1769">
        <f>IF(AND(ISNUMBER('자료_거시'!$G1751),ISNUMBER('자료_거시'!$H1751)),'자료_거시'!$H1751,"")</f>
        <v/>
      </c>
      <c r="X1769">
        <f>IF(ISNUMBER(W1769),'자료_거시'!$G1751,"")</f>
        <v/>
      </c>
      <c r="Y1769">
        <f>IF(ISNUMBER(X1769),IF(X1769&gt;$L$7,W1769,""),"")</f>
        <v/>
      </c>
      <c r="Z1769">
        <f>IF(ISNUMBER('자료_거시'!$K1751),'자료_거시'!$K1751,Z1768)</f>
        <v/>
      </c>
      <c r="AA1769">
        <f>IF(AND(ISNUMBER('자료_거시'!$J1751),ISNUMBER('자료_거시'!$K1751)),IFERROR('자료_거시'!$K1751/INDEX($Z$21:$Z$4020,MATCH(EDATE('자료_거시'!$J1751,-'설정'!$B$17),'자료_거시'!$J$3:INDEX('자료_거시'!$J$3:$J$4002,$K$8),1))-1,""),"")</f>
        <v/>
      </c>
      <c r="AB1769">
        <f>IF(ISNUMBER(AA1769),'자료_거시'!$J1751,"")</f>
        <v/>
      </c>
      <c r="AC1769">
        <f>IF(ISNUMBER(AB1769),IF(AB1769&gt;$L$8,AA1769,""),"")</f>
        <v/>
      </c>
    </row>
    <row r="1770">
      <c r="S1770">
        <f>IF(ISNUMBER('자료_거시'!$E1752),'자료_거시'!$E1752,S1769)</f>
        <v/>
      </c>
      <c r="T1770">
        <f>IF(AND(ISNUMBER('자료_거시'!$D1752),ISNUMBER('자료_거시'!$E1752)),IFERROR('자료_거시'!$E1752-INDEX($S$21:$S$4020,MATCH(EDATE('자료_거시'!$D1752,-'설정'!$B$17),'자료_거시'!$D$3:INDEX('자료_거시'!$D$3:$D$4002,$K$6),1)),""),"")</f>
        <v/>
      </c>
      <c r="U1770">
        <f>IF(ISNUMBER(T1770),'자료_거시'!$D1752,"")</f>
        <v/>
      </c>
      <c r="V1770">
        <f>IF(ISNUMBER(U1770),IF(U1770&gt;$L$6,T1770,""),"")</f>
        <v/>
      </c>
      <c r="W1770">
        <f>IF(AND(ISNUMBER('자료_거시'!$G1752),ISNUMBER('자료_거시'!$H1752)),'자료_거시'!$H1752,"")</f>
        <v/>
      </c>
      <c r="X1770">
        <f>IF(ISNUMBER(W1770),'자료_거시'!$G1752,"")</f>
        <v/>
      </c>
      <c r="Y1770">
        <f>IF(ISNUMBER(X1770),IF(X1770&gt;$L$7,W1770,""),"")</f>
        <v/>
      </c>
      <c r="Z1770">
        <f>IF(ISNUMBER('자료_거시'!$K1752),'자료_거시'!$K1752,Z1769)</f>
        <v/>
      </c>
      <c r="AA1770">
        <f>IF(AND(ISNUMBER('자료_거시'!$J1752),ISNUMBER('자료_거시'!$K1752)),IFERROR('자료_거시'!$K1752/INDEX($Z$21:$Z$4020,MATCH(EDATE('자료_거시'!$J1752,-'설정'!$B$17),'자료_거시'!$J$3:INDEX('자료_거시'!$J$3:$J$4002,$K$8),1))-1,""),"")</f>
        <v/>
      </c>
      <c r="AB1770">
        <f>IF(ISNUMBER(AA1770),'자료_거시'!$J1752,"")</f>
        <v/>
      </c>
      <c r="AC1770">
        <f>IF(ISNUMBER(AB1770),IF(AB1770&gt;$L$8,AA1770,""),"")</f>
        <v/>
      </c>
    </row>
    <row r="1771">
      <c r="S1771">
        <f>IF(ISNUMBER('자료_거시'!$E1753),'자료_거시'!$E1753,S1770)</f>
        <v/>
      </c>
      <c r="T1771">
        <f>IF(AND(ISNUMBER('자료_거시'!$D1753),ISNUMBER('자료_거시'!$E1753)),IFERROR('자료_거시'!$E1753-INDEX($S$21:$S$4020,MATCH(EDATE('자료_거시'!$D1753,-'설정'!$B$17),'자료_거시'!$D$3:INDEX('자료_거시'!$D$3:$D$4002,$K$6),1)),""),"")</f>
        <v/>
      </c>
      <c r="U1771">
        <f>IF(ISNUMBER(T1771),'자료_거시'!$D1753,"")</f>
        <v/>
      </c>
      <c r="V1771">
        <f>IF(ISNUMBER(U1771),IF(U1771&gt;$L$6,T1771,""),"")</f>
        <v/>
      </c>
      <c r="W1771">
        <f>IF(AND(ISNUMBER('자료_거시'!$G1753),ISNUMBER('자료_거시'!$H1753)),'자료_거시'!$H1753,"")</f>
        <v/>
      </c>
      <c r="X1771">
        <f>IF(ISNUMBER(W1771),'자료_거시'!$G1753,"")</f>
        <v/>
      </c>
      <c r="Y1771">
        <f>IF(ISNUMBER(X1771),IF(X1771&gt;$L$7,W1771,""),"")</f>
        <v/>
      </c>
      <c r="Z1771">
        <f>IF(ISNUMBER('자료_거시'!$K1753),'자료_거시'!$K1753,Z1770)</f>
        <v/>
      </c>
      <c r="AA1771">
        <f>IF(AND(ISNUMBER('자료_거시'!$J1753),ISNUMBER('자료_거시'!$K1753)),IFERROR('자료_거시'!$K1753/INDEX($Z$21:$Z$4020,MATCH(EDATE('자료_거시'!$J1753,-'설정'!$B$17),'자료_거시'!$J$3:INDEX('자료_거시'!$J$3:$J$4002,$K$8),1))-1,""),"")</f>
        <v/>
      </c>
      <c r="AB1771">
        <f>IF(ISNUMBER(AA1771),'자료_거시'!$J1753,"")</f>
        <v/>
      </c>
      <c r="AC1771">
        <f>IF(ISNUMBER(AB1771),IF(AB1771&gt;$L$8,AA1771,""),"")</f>
        <v/>
      </c>
    </row>
    <row r="1772">
      <c r="S1772">
        <f>IF(ISNUMBER('자료_거시'!$E1754),'자료_거시'!$E1754,S1771)</f>
        <v/>
      </c>
      <c r="T1772">
        <f>IF(AND(ISNUMBER('자료_거시'!$D1754),ISNUMBER('자료_거시'!$E1754)),IFERROR('자료_거시'!$E1754-INDEX($S$21:$S$4020,MATCH(EDATE('자료_거시'!$D1754,-'설정'!$B$17),'자료_거시'!$D$3:INDEX('자료_거시'!$D$3:$D$4002,$K$6),1)),""),"")</f>
        <v/>
      </c>
      <c r="U1772">
        <f>IF(ISNUMBER(T1772),'자료_거시'!$D1754,"")</f>
        <v/>
      </c>
      <c r="V1772">
        <f>IF(ISNUMBER(U1772),IF(U1772&gt;$L$6,T1772,""),"")</f>
        <v/>
      </c>
      <c r="W1772">
        <f>IF(AND(ISNUMBER('자료_거시'!$G1754),ISNUMBER('자료_거시'!$H1754)),'자료_거시'!$H1754,"")</f>
        <v/>
      </c>
      <c r="X1772">
        <f>IF(ISNUMBER(W1772),'자료_거시'!$G1754,"")</f>
        <v/>
      </c>
      <c r="Y1772">
        <f>IF(ISNUMBER(X1772),IF(X1772&gt;$L$7,W1772,""),"")</f>
        <v/>
      </c>
      <c r="Z1772">
        <f>IF(ISNUMBER('자료_거시'!$K1754),'자료_거시'!$K1754,Z1771)</f>
        <v/>
      </c>
      <c r="AA1772">
        <f>IF(AND(ISNUMBER('자료_거시'!$J1754),ISNUMBER('자료_거시'!$K1754)),IFERROR('자료_거시'!$K1754/INDEX($Z$21:$Z$4020,MATCH(EDATE('자료_거시'!$J1754,-'설정'!$B$17),'자료_거시'!$J$3:INDEX('자료_거시'!$J$3:$J$4002,$K$8),1))-1,""),"")</f>
        <v/>
      </c>
      <c r="AB1772">
        <f>IF(ISNUMBER(AA1772),'자료_거시'!$J1754,"")</f>
        <v/>
      </c>
      <c r="AC1772">
        <f>IF(ISNUMBER(AB1772),IF(AB1772&gt;$L$8,AA1772,""),"")</f>
        <v/>
      </c>
    </row>
    <row r="1773">
      <c r="S1773">
        <f>IF(ISNUMBER('자료_거시'!$E1755),'자료_거시'!$E1755,S1772)</f>
        <v/>
      </c>
      <c r="T1773">
        <f>IF(AND(ISNUMBER('자료_거시'!$D1755),ISNUMBER('자료_거시'!$E1755)),IFERROR('자료_거시'!$E1755-INDEX($S$21:$S$4020,MATCH(EDATE('자료_거시'!$D1755,-'설정'!$B$17),'자료_거시'!$D$3:INDEX('자료_거시'!$D$3:$D$4002,$K$6),1)),""),"")</f>
        <v/>
      </c>
      <c r="U1773">
        <f>IF(ISNUMBER(T1773),'자료_거시'!$D1755,"")</f>
        <v/>
      </c>
      <c r="V1773">
        <f>IF(ISNUMBER(U1773),IF(U1773&gt;$L$6,T1773,""),"")</f>
        <v/>
      </c>
      <c r="W1773">
        <f>IF(AND(ISNUMBER('자료_거시'!$G1755),ISNUMBER('자료_거시'!$H1755)),'자료_거시'!$H1755,"")</f>
        <v/>
      </c>
      <c r="X1773">
        <f>IF(ISNUMBER(W1773),'자료_거시'!$G1755,"")</f>
        <v/>
      </c>
      <c r="Y1773">
        <f>IF(ISNUMBER(X1773),IF(X1773&gt;$L$7,W1773,""),"")</f>
        <v/>
      </c>
      <c r="Z1773">
        <f>IF(ISNUMBER('자료_거시'!$K1755),'자료_거시'!$K1755,Z1772)</f>
        <v/>
      </c>
      <c r="AA1773">
        <f>IF(AND(ISNUMBER('자료_거시'!$J1755),ISNUMBER('자료_거시'!$K1755)),IFERROR('자료_거시'!$K1755/INDEX($Z$21:$Z$4020,MATCH(EDATE('자료_거시'!$J1755,-'설정'!$B$17),'자료_거시'!$J$3:INDEX('자료_거시'!$J$3:$J$4002,$K$8),1))-1,""),"")</f>
        <v/>
      </c>
      <c r="AB1773">
        <f>IF(ISNUMBER(AA1773),'자료_거시'!$J1755,"")</f>
        <v/>
      </c>
      <c r="AC1773">
        <f>IF(ISNUMBER(AB1773),IF(AB1773&gt;$L$8,AA1773,""),"")</f>
        <v/>
      </c>
    </row>
    <row r="1774">
      <c r="S1774">
        <f>IF(ISNUMBER('자료_거시'!$E1756),'자료_거시'!$E1756,S1773)</f>
        <v/>
      </c>
      <c r="T1774">
        <f>IF(AND(ISNUMBER('자료_거시'!$D1756),ISNUMBER('자료_거시'!$E1756)),IFERROR('자료_거시'!$E1756-INDEX($S$21:$S$4020,MATCH(EDATE('자료_거시'!$D1756,-'설정'!$B$17),'자료_거시'!$D$3:INDEX('자료_거시'!$D$3:$D$4002,$K$6),1)),""),"")</f>
        <v/>
      </c>
      <c r="U1774">
        <f>IF(ISNUMBER(T1774),'자료_거시'!$D1756,"")</f>
        <v/>
      </c>
      <c r="V1774">
        <f>IF(ISNUMBER(U1774),IF(U1774&gt;$L$6,T1774,""),"")</f>
        <v/>
      </c>
      <c r="W1774">
        <f>IF(AND(ISNUMBER('자료_거시'!$G1756),ISNUMBER('자료_거시'!$H1756)),'자료_거시'!$H1756,"")</f>
        <v/>
      </c>
      <c r="X1774">
        <f>IF(ISNUMBER(W1774),'자료_거시'!$G1756,"")</f>
        <v/>
      </c>
      <c r="Y1774">
        <f>IF(ISNUMBER(X1774),IF(X1774&gt;$L$7,W1774,""),"")</f>
        <v/>
      </c>
      <c r="Z1774">
        <f>IF(ISNUMBER('자료_거시'!$K1756),'자료_거시'!$K1756,Z1773)</f>
        <v/>
      </c>
      <c r="AA1774">
        <f>IF(AND(ISNUMBER('자료_거시'!$J1756),ISNUMBER('자료_거시'!$K1756)),IFERROR('자료_거시'!$K1756/INDEX($Z$21:$Z$4020,MATCH(EDATE('자료_거시'!$J1756,-'설정'!$B$17),'자료_거시'!$J$3:INDEX('자료_거시'!$J$3:$J$4002,$K$8),1))-1,""),"")</f>
        <v/>
      </c>
      <c r="AB1774">
        <f>IF(ISNUMBER(AA1774),'자료_거시'!$J1756,"")</f>
        <v/>
      </c>
      <c r="AC1774">
        <f>IF(ISNUMBER(AB1774),IF(AB1774&gt;$L$8,AA1774,""),"")</f>
        <v/>
      </c>
    </row>
    <row r="1775">
      <c r="S1775">
        <f>IF(ISNUMBER('자료_거시'!$E1757),'자료_거시'!$E1757,S1774)</f>
        <v/>
      </c>
      <c r="T1775">
        <f>IF(AND(ISNUMBER('자료_거시'!$D1757),ISNUMBER('자료_거시'!$E1757)),IFERROR('자료_거시'!$E1757-INDEX($S$21:$S$4020,MATCH(EDATE('자료_거시'!$D1757,-'설정'!$B$17),'자료_거시'!$D$3:INDEX('자료_거시'!$D$3:$D$4002,$K$6),1)),""),"")</f>
        <v/>
      </c>
      <c r="U1775">
        <f>IF(ISNUMBER(T1775),'자료_거시'!$D1757,"")</f>
        <v/>
      </c>
      <c r="V1775">
        <f>IF(ISNUMBER(U1775),IF(U1775&gt;$L$6,T1775,""),"")</f>
        <v/>
      </c>
      <c r="W1775">
        <f>IF(AND(ISNUMBER('자료_거시'!$G1757),ISNUMBER('자료_거시'!$H1757)),'자료_거시'!$H1757,"")</f>
        <v/>
      </c>
      <c r="X1775">
        <f>IF(ISNUMBER(W1775),'자료_거시'!$G1757,"")</f>
        <v/>
      </c>
      <c r="Y1775">
        <f>IF(ISNUMBER(X1775),IF(X1775&gt;$L$7,W1775,""),"")</f>
        <v/>
      </c>
      <c r="Z1775">
        <f>IF(ISNUMBER('자료_거시'!$K1757),'자료_거시'!$K1757,Z1774)</f>
        <v/>
      </c>
      <c r="AA1775">
        <f>IF(AND(ISNUMBER('자료_거시'!$J1757),ISNUMBER('자료_거시'!$K1757)),IFERROR('자료_거시'!$K1757/INDEX($Z$21:$Z$4020,MATCH(EDATE('자료_거시'!$J1757,-'설정'!$B$17),'자료_거시'!$J$3:INDEX('자료_거시'!$J$3:$J$4002,$K$8),1))-1,""),"")</f>
        <v/>
      </c>
      <c r="AB1775">
        <f>IF(ISNUMBER(AA1775),'자료_거시'!$J1757,"")</f>
        <v/>
      </c>
      <c r="AC1775">
        <f>IF(ISNUMBER(AB1775),IF(AB1775&gt;$L$8,AA1775,""),"")</f>
        <v/>
      </c>
    </row>
    <row r="1776">
      <c r="S1776">
        <f>IF(ISNUMBER('자료_거시'!$E1758),'자료_거시'!$E1758,S1775)</f>
        <v/>
      </c>
      <c r="T1776">
        <f>IF(AND(ISNUMBER('자료_거시'!$D1758),ISNUMBER('자료_거시'!$E1758)),IFERROR('자료_거시'!$E1758-INDEX($S$21:$S$4020,MATCH(EDATE('자료_거시'!$D1758,-'설정'!$B$17),'자료_거시'!$D$3:INDEX('자료_거시'!$D$3:$D$4002,$K$6),1)),""),"")</f>
        <v/>
      </c>
      <c r="U1776">
        <f>IF(ISNUMBER(T1776),'자료_거시'!$D1758,"")</f>
        <v/>
      </c>
      <c r="V1776">
        <f>IF(ISNUMBER(U1776),IF(U1776&gt;$L$6,T1776,""),"")</f>
        <v/>
      </c>
      <c r="W1776">
        <f>IF(AND(ISNUMBER('자료_거시'!$G1758),ISNUMBER('자료_거시'!$H1758)),'자료_거시'!$H1758,"")</f>
        <v/>
      </c>
      <c r="X1776">
        <f>IF(ISNUMBER(W1776),'자료_거시'!$G1758,"")</f>
        <v/>
      </c>
      <c r="Y1776">
        <f>IF(ISNUMBER(X1776),IF(X1776&gt;$L$7,W1776,""),"")</f>
        <v/>
      </c>
      <c r="Z1776">
        <f>IF(ISNUMBER('자료_거시'!$K1758),'자료_거시'!$K1758,Z1775)</f>
        <v/>
      </c>
      <c r="AA1776">
        <f>IF(AND(ISNUMBER('자료_거시'!$J1758),ISNUMBER('자료_거시'!$K1758)),IFERROR('자료_거시'!$K1758/INDEX($Z$21:$Z$4020,MATCH(EDATE('자료_거시'!$J1758,-'설정'!$B$17),'자료_거시'!$J$3:INDEX('자료_거시'!$J$3:$J$4002,$K$8),1))-1,""),"")</f>
        <v/>
      </c>
      <c r="AB1776">
        <f>IF(ISNUMBER(AA1776),'자료_거시'!$J1758,"")</f>
        <v/>
      </c>
      <c r="AC1776">
        <f>IF(ISNUMBER(AB1776),IF(AB1776&gt;$L$8,AA1776,""),"")</f>
        <v/>
      </c>
    </row>
    <row r="1777">
      <c r="S1777">
        <f>IF(ISNUMBER('자료_거시'!$E1759),'자료_거시'!$E1759,S1776)</f>
        <v/>
      </c>
      <c r="T1777">
        <f>IF(AND(ISNUMBER('자료_거시'!$D1759),ISNUMBER('자료_거시'!$E1759)),IFERROR('자료_거시'!$E1759-INDEX($S$21:$S$4020,MATCH(EDATE('자료_거시'!$D1759,-'설정'!$B$17),'자료_거시'!$D$3:INDEX('자료_거시'!$D$3:$D$4002,$K$6),1)),""),"")</f>
        <v/>
      </c>
      <c r="U1777">
        <f>IF(ISNUMBER(T1777),'자료_거시'!$D1759,"")</f>
        <v/>
      </c>
      <c r="V1777">
        <f>IF(ISNUMBER(U1777),IF(U1777&gt;$L$6,T1777,""),"")</f>
        <v/>
      </c>
      <c r="W1777">
        <f>IF(AND(ISNUMBER('자료_거시'!$G1759),ISNUMBER('자료_거시'!$H1759)),'자료_거시'!$H1759,"")</f>
        <v/>
      </c>
      <c r="X1777">
        <f>IF(ISNUMBER(W1777),'자료_거시'!$G1759,"")</f>
        <v/>
      </c>
      <c r="Y1777">
        <f>IF(ISNUMBER(X1777),IF(X1777&gt;$L$7,W1777,""),"")</f>
        <v/>
      </c>
      <c r="Z1777">
        <f>IF(ISNUMBER('자료_거시'!$K1759),'자료_거시'!$K1759,Z1776)</f>
        <v/>
      </c>
      <c r="AA1777">
        <f>IF(AND(ISNUMBER('자료_거시'!$J1759),ISNUMBER('자료_거시'!$K1759)),IFERROR('자료_거시'!$K1759/INDEX($Z$21:$Z$4020,MATCH(EDATE('자료_거시'!$J1759,-'설정'!$B$17),'자료_거시'!$J$3:INDEX('자료_거시'!$J$3:$J$4002,$K$8),1))-1,""),"")</f>
        <v/>
      </c>
      <c r="AB1777">
        <f>IF(ISNUMBER(AA1777),'자료_거시'!$J1759,"")</f>
        <v/>
      </c>
      <c r="AC1777">
        <f>IF(ISNUMBER(AB1777),IF(AB1777&gt;$L$8,AA1777,""),"")</f>
        <v/>
      </c>
    </row>
    <row r="1778">
      <c r="S1778">
        <f>IF(ISNUMBER('자료_거시'!$E1760),'자료_거시'!$E1760,S1777)</f>
        <v/>
      </c>
      <c r="T1778">
        <f>IF(AND(ISNUMBER('자료_거시'!$D1760),ISNUMBER('자료_거시'!$E1760)),IFERROR('자료_거시'!$E1760-INDEX($S$21:$S$4020,MATCH(EDATE('자료_거시'!$D1760,-'설정'!$B$17),'자료_거시'!$D$3:INDEX('자료_거시'!$D$3:$D$4002,$K$6),1)),""),"")</f>
        <v/>
      </c>
      <c r="U1778">
        <f>IF(ISNUMBER(T1778),'자료_거시'!$D1760,"")</f>
        <v/>
      </c>
      <c r="V1778">
        <f>IF(ISNUMBER(U1778),IF(U1778&gt;$L$6,T1778,""),"")</f>
        <v/>
      </c>
      <c r="W1778">
        <f>IF(AND(ISNUMBER('자료_거시'!$G1760),ISNUMBER('자료_거시'!$H1760)),'자료_거시'!$H1760,"")</f>
        <v/>
      </c>
      <c r="X1778">
        <f>IF(ISNUMBER(W1778),'자료_거시'!$G1760,"")</f>
        <v/>
      </c>
      <c r="Y1778">
        <f>IF(ISNUMBER(X1778),IF(X1778&gt;$L$7,W1778,""),"")</f>
        <v/>
      </c>
      <c r="Z1778">
        <f>IF(ISNUMBER('자료_거시'!$K1760),'자료_거시'!$K1760,Z1777)</f>
        <v/>
      </c>
      <c r="AA1778">
        <f>IF(AND(ISNUMBER('자료_거시'!$J1760),ISNUMBER('자료_거시'!$K1760)),IFERROR('자료_거시'!$K1760/INDEX($Z$21:$Z$4020,MATCH(EDATE('자료_거시'!$J1760,-'설정'!$B$17),'자료_거시'!$J$3:INDEX('자료_거시'!$J$3:$J$4002,$K$8),1))-1,""),"")</f>
        <v/>
      </c>
      <c r="AB1778">
        <f>IF(ISNUMBER(AA1778),'자료_거시'!$J1760,"")</f>
        <v/>
      </c>
      <c r="AC1778">
        <f>IF(ISNUMBER(AB1778),IF(AB1778&gt;$L$8,AA1778,""),"")</f>
        <v/>
      </c>
    </row>
    <row r="1779">
      <c r="S1779">
        <f>IF(ISNUMBER('자료_거시'!$E1761),'자료_거시'!$E1761,S1778)</f>
        <v/>
      </c>
      <c r="T1779">
        <f>IF(AND(ISNUMBER('자료_거시'!$D1761),ISNUMBER('자료_거시'!$E1761)),IFERROR('자료_거시'!$E1761-INDEX($S$21:$S$4020,MATCH(EDATE('자료_거시'!$D1761,-'설정'!$B$17),'자료_거시'!$D$3:INDEX('자료_거시'!$D$3:$D$4002,$K$6),1)),""),"")</f>
        <v/>
      </c>
      <c r="U1779">
        <f>IF(ISNUMBER(T1779),'자료_거시'!$D1761,"")</f>
        <v/>
      </c>
      <c r="V1779">
        <f>IF(ISNUMBER(U1779),IF(U1779&gt;$L$6,T1779,""),"")</f>
        <v/>
      </c>
      <c r="W1779">
        <f>IF(AND(ISNUMBER('자료_거시'!$G1761),ISNUMBER('자료_거시'!$H1761)),'자료_거시'!$H1761,"")</f>
        <v/>
      </c>
      <c r="X1779">
        <f>IF(ISNUMBER(W1779),'자료_거시'!$G1761,"")</f>
        <v/>
      </c>
      <c r="Y1779">
        <f>IF(ISNUMBER(X1779),IF(X1779&gt;$L$7,W1779,""),"")</f>
        <v/>
      </c>
      <c r="Z1779">
        <f>IF(ISNUMBER('자료_거시'!$K1761),'자료_거시'!$K1761,Z1778)</f>
        <v/>
      </c>
      <c r="AA1779">
        <f>IF(AND(ISNUMBER('자료_거시'!$J1761),ISNUMBER('자료_거시'!$K1761)),IFERROR('자료_거시'!$K1761/INDEX($Z$21:$Z$4020,MATCH(EDATE('자료_거시'!$J1761,-'설정'!$B$17),'자료_거시'!$J$3:INDEX('자료_거시'!$J$3:$J$4002,$K$8),1))-1,""),"")</f>
        <v/>
      </c>
      <c r="AB1779">
        <f>IF(ISNUMBER(AA1779),'자료_거시'!$J1761,"")</f>
        <v/>
      </c>
      <c r="AC1779">
        <f>IF(ISNUMBER(AB1779),IF(AB1779&gt;$L$8,AA1779,""),"")</f>
        <v/>
      </c>
    </row>
    <row r="1780">
      <c r="S1780">
        <f>IF(ISNUMBER('자료_거시'!$E1762),'자료_거시'!$E1762,S1779)</f>
        <v/>
      </c>
      <c r="T1780">
        <f>IF(AND(ISNUMBER('자료_거시'!$D1762),ISNUMBER('자료_거시'!$E1762)),IFERROR('자료_거시'!$E1762-INDEX($S$21:$S$4020,MATCH(EDATE('자료_거시'!$D1762,-'설정'!$B$17),'자료_거시'!$D$3:INDEX('자료_거시'!$D$3:$D$4002,$K$6),1)),""),"")</f>
        <v/>
      </c>
      <c r="U1780">
        <f>IF(ISNUMBER(T1780),'자료_거시'!$D1762,"")</f>
        <v/>
      </c>
      <c r="V1780">
        <f>IF(ISNUMBER(U1780),IF(U1780&gt;$L$6,T1780,""),"")</f>
        <v/>
      </c>
      <c r="W1780">
        <f>IF(AND(ISNUMBER('자료_거시'!$G1762),ISNUMBER('자료_거시'!$H1762)),'자료_거시'!$H1762,"")</f>
        <v/>
      </c>
      <c r="X1780">
        <f>IF(ISNUMBER(W1780),'자료_거시'!$G1762,"")</f>
        <v/>
      </c>
      <c r="Y1780">
        <f>IF(ISNUMBER(X1780),IF(X1780&gt;$L$7,W1780,""),"")</f>
        <v/>
      </c>
      <c r="Z1780">
        <f>IF(ISNUMBER('자료_거시'!$K1762),'자료_거시'!$K1762,Z1779)</f>
        <v/>
      </c>
      <c r="AA1780">
        <f>IF(AND(ISNUMBER('자료_거시'!$J1762),ISNUMBER('자료_거시'!$K1762)),IFERROR('자료_거시'!$K1762/INDEX($Z$21:$Z$4020,MATCH(EDATE('자료_거시'!$J1762,-'설정'!$B$17),'자료_거시'!$J$3:INDEX('자료_거시'!$J$3:$J$4002,$K$8),1))-1,""),"")</f>
        <v/>
      </c>
      <c r="AB1780">
        <f>IF(ISNUMBER(AA1780),'자료_거시'!$J1762,"")</f>
        <v/>
      </c>
      <c r="AC1780">
        <f>IF(ISNUMBER(AB1780),IF(AB1780&gt;$L$8,AA1780,""),"")</f>
        <v/>
      </c>
    </row>
    <row r="1781">
      <c r="S1781">
        <f>IF(ISNUMBER('자료_거시'!$E1763),'자료_거시'!$E1763,S1780)</f>
        <v/>
      </c>
      <c r="T1781">
        <f>IF(AND(ISNUMBER('자료_거시'!$D1763),ISNUMBER('자료_거시'!$E1763)),IFERROR('자료_거시'!$E1763-INDEX($S$21:$S$4020,MATCH(EDATE('자료_거시'!$D1763,-'설정'!$B$17),'자료_거시'!$D$3:INDEX('자료_거시'!$D$3:$D$4002,$K$6),1)),""),"")</f>
        <v/>
      </c>
      <c r="U1781">
        <f>IF(ISNUMBER(T1781),'자료_거시'!$D1763,"")</f>
        <v/>
      </c>
      <c r="V1781">
        <f>IF(ISNUMBER(U1781),IF(U1781&gt;$L$6,T1781,""),"")</f>
        <v/>
      </c>
      <c r="W1781">
        <f>IF(AND(ISNUMBER('자료_거시'!$G1763),ISNUMBER('자료_거시'!$H1763)),'자료_거시'!$H1763,"")</f>
        <v/>
      </c>
      <c r="X1781">
        <f>IF(ISNUMBER(W1781),'자료_거시'!$G1763,"")</f>
        <v/>
      </c>
      <c r="Y1781">
        <f>IF(ISNUMBER(X1781),IF(X1781&gt;$L$7,W1781,""),"")</f>
        <v/>
      </c>
      <c r="Z1781">
        <f>IF(ISNUMBER('자료_거시'!$K1763),'자료_거시'!$K1763,Z1780)</f>
        <v/>
      </c>
      <c r="AA1781">
        <f>IF(AND(ISNUMBER('자료_거시'!$J1763),ISNUMBER('자료_거시'!$K1763)),IFERROR('자료_거시'!$K1763/INDEX($Z$21:$Z$4020,MATCH(EDATE('자료_거시'!$J1763,-'설정'!$B$17),'자료_거시'!$J$3:INDEX('자료_거시'!$J$3:$J$4002,$K$8),1))-1,""),"")</f>
        <v/>
      </c>
      <c r="AB1781">
        <f>IF(ISNUMBER(AA1781),'자료_거시'!$J1763,"")</f>
        <v/>
      </c>
      <c r="AC1781">
        <f>IF(ISNUMBER(AB1781),IF(AB1781&gt;$L$8,AA1781,""),"")</f>
        <v/>
      </c>
    </row>
    <row r="1782">
      <c r="S1782">
        <f>IF(ISNUMBER('자료_거시'!$E1764),'자료_거시'!$E1764,S1781)</f>
        <v/>
      </c>
      <c r="T1782">
        <f>IF(AND(ISNUMBER('자료_거시'!$D1764),ISNUMBER('자료_거시'!$E1764)),IFERROR('자료_거시'!$E1764-INDEX($S$21:$S$4020,MATCH(EDATE('자료_거시'!$D1764,-'설정'!$B$17),'자료_거시'!$D$3:INDEX('자료_거시'!$D$3:$D$4002,$K$6),1)),""),"")</f>
        <v/>
      </c>
      <c r="U1782">
        <f>IF(ISNUMBER(T1782),'자료_거시'!$D1764,"")</f>
        <v/>
      </c>
      <c r="V1782">
        <f>IF(ISNUMBER(U1782),IF(U1782&gt;$L$6,T1782,""),"")</f>
        <v/>
      </c>
      <c r="W1782">
        <f>IF(AND(ISNUMBER('자료_거시'!$G1764),ISNUMBER('자료_거시'!$H1764)),'자료_거시'!$H1764,"")</f>
        <v/>
      </c>
      <c r="X1782">
        <f>IF(ISNUMBER(W1782),'자료_거시'!$G1764,"")</f>
        <v/>
      </c>
      <c r="Y1782">
        <f>IF(ISNUMBER(X1782),IF(X1782&gt;$L$7,W1782,""),"")</f>
        <v/>
      </c>
      <c r="Z1782">
        <f>IF(ISNUMBER('자료_거시'!$K1764),'자료_거시'!$K1764,Z1781)</f>
        <v/>
      </c>
      <c r="AA1782">
        <f>IF(AND(ISNUMBER('자료_거시'!$J1764),ISNUMBER('자료_거시'!$K1764)),IFERROR('자료_거시'!$K1764/INDEX($Z$21:$Z$4020,MATCH(EDATE('자료_거시'!$J1764,-'설정'!$B$17),'자료_거시'!$J$3:INDEX('자료_거시'!$J$3:$J$4002,$K$8),1))-1,""),"")</f>
        <v/>
      </c>
      <c r="AB1782">
        <f>IF(ISNUMBER(AA1782),'자료_거시'!$J1764,"")</f>
        <v/>
      </c>
      <c r="AC1782">
        <f>IF(ISNUMBER(AB1782),IF(AB1782&gt;$L$8,AA1782,""),"")</f>
        <v/>
      </c>
    </row>
    <row r="1783">
      <c r="S1783">
        <f>IF(ISNUMBER('자료_거시'!$E1765),'자료_거시'!$E1765,S1782)</f>
        <v/>
      </c>
      <c r="T1783">
        <f>IF(AND(ISNUMBER('자료_거시'!$D1765),ISNUMBER('자료_거시'!$E1765)),IFERROR('자료_거시'!$E1765-INDEX($S$21:$S$4020,MATCH(EDATE('자료_거시'!$D1765,-'설정'!$B$17),'자료_거시'!$D$3:INDEX('자료_거시'!$D$3:$D$4002,$K$6),1)),""),"")</f>
        <v/>
      </c>
      <c r="U1783">
        <f>IF(ISNUMBER(T1783),'자료_거시'!$D1765,"")</f>
        <v/>
      </c>
      <c r="V1783">
        <f>IF(ISNUMBER(U1783),IF(U1783&gt;$L$6,T1783,""),"")</f>
        <v/>
      </c>
      <c r="W1783">
        <f>IF(AND(ISNUMBER('자료_거시'!$G1765),ISNUMBER('자료_거시'!$H1765)),'자료_거시'!$H1765,"")</f>
        <v/>
      </c>
      <c r="X1783">
        <f>IF(ISNUMBER(W1783),'자료_거시'!$G1765,"")</f>
        <v/>
      </c>
      <c r="Y1783">
        <f>IF(ISNUMBER(X1783),IF(X1783&gt;$L$7,W1783,""),"")</f>
        <v/>
      </c>
      <c r="Z1783">
        <f>IF(ISNUMBER('자료_거시'!$K1765),'자료_거시'!$K1765,Z1782)</f>
        <v/>
      </c>
      <c r="AA1783">
        <f>IF(AND(ISNUMBER('자료_거시'!$J1765),ISNUMBER('자료_거시'!$K1765)),IFERROR('자료_거시'!$K1765/INDEX($Z$21:$Z$4020,MATCH(EDATE('자료_거시'!$J1765,-'설정'!$B$17),'자료_거시'!$J$3:INDEX('자료_거시'!$J$3:$J$4002,$K$8),1))-1,""),"")</f>
        <v/>
      </c>
      <c r="AB1783">
        <f>IF(ISNUMBER(AA1783),'자료_거시'!$J1765,"")</f>
        <v/>
      </c>
      <c r="AC1783">
        <f>IF(ISNUMBER(AB1783),IF(AB1783&gt;$L$8,AA1783,""),"")</f>
        <v/>
      </c>
    </row>
    <row r="1784">
      <c r="S1784">
        <f>IF(ISNUMBER('자료_거시'!$E1766),'자료_거시'!$E1766,S1783)</f>
        <v/>
      </c>
      <c r="T1784">
        <f>IF(AND(ISNUMBER('자료_거시'!$D1766),ISNUMBER('자료_거시'!$E1766)),IFERROR('자료_거시'!$E1766-INDEX($S$21:$S$4020,MATCH(EDATE('자료_거시'!$D1766,-'설정'!$B$17),'자료_거시'!$D$3:INDEX('자료_거시'!$D$3:$D$4002,$K$6),1)),""),"")</f>
        <v/>
      </c>
      <c r="U1784">
        <f>IF(ISNUMBER(T1784),'자료_거시'!$D1766,"")</f>
        <v/>
      </c>
      <c r="V1784">
        <f>IF(ISNUMBER(U1784),IF(U1784&gt;$L$6,T1784,""),"")</f>
        <v/>
      </c>
      <c r="W1784">
        <f>IF(AND(ISNUMBER('자료_거시'!$G1766),ISNUMBER('자료_거시'!$H1766)),'자료_거시'!$H1766,"")</f>
        <v/>
      </c>
      <c r="X1784">
        <f>IF(ISNUMBER(W1784),'자료_거시'!$G1766,"")</f>
        <v/>
      </c>
      <c r="Y1784">
        <f>IF(ISNUMBER(X1784),IF(X1784&gt;$L$7,W1784,""),"")</f>
        <v/>
      </c>
      <c r="Z1784">
        <f>IF(ISNUMBER('자료_거시'!$K1766),'자료_거시'!$K1766,Z1783)</f>
        <v/>
      </c>
      <c r="AA1784">
        <f>IF(AND(ISNUMBER('자료_거시'!$J1766),ISNUMBER('자료_거시'!$K1766)),IFERROR('자료_거시'!$K1766/INDEX($Z$21:$Z$4020,MATCH(EDATE('자료_거시'!$J1766,-'설정'!$B$17),'자료_거시'!$J$3:INDEX('자료_거시'!$J$3:$J$4002,$K$8),1))-1,""),"")</f>
        <v/>
      </c>
      <c r="AB1784">
        <f>IF(ISNUMBER(AA1784),'자료_거시'!$J1766,"")</f>
        <v/>
      </c>
      <c r="AC1784">
        <f>IF(ISNUMBER(AB1784),IF(AB1784&gt;$L$8,AA1784,""),"")</f>
        <v/>
      </c>
    </row>
    <row r="1785">
      <c r="S1785">
        <f>IF(ISNUMBER('자료_거시'!$E1767),'자료_거시'!$E1767,S1784)</f>
        <v/>
      </c>
      <c r="T1785">
        <f>IF(AND(ISNUMBER('자료_거시'!$D1767),ISNUMBER('자료_거시'!$E1767)),IFERROR('자료_거시'!$E1767-INDEX($S$21:$S$4020,MATCH(EDATE('자료_거시'!$D1767,-'설정'!$B$17),'자료_거시'!$D$3:INDEX('자료_거시'!$D$3:$D$4002,$K$6),1)),""),"")</f>
        <v/>
      </c>
      <c r="U1785">
        <f>IF(ISNUMBER(T1785),'자료_거시'!$D1767,"")</f>
        <v/>
      </c>
      <c r="V1785">
        <f>IF(ISNUMBER(U1785),IF(U1785&gt;$L$6,T1785,""),"")</f>
        <v/>
      </c>
      <c r="W1785">
        <f>IF(AND(ISNUMBER('자료_거시'!$G1767),ISNUMBER('자료_거시'!$H1767)),'자료_거시'!$H1767,"")</f>
        <v/>
      </c>
      <c r="X1785">
        <f>IF(ISNUMBER(W1785),'자료_거시'!$G1767,"")</f>
        <v/>
      </c>
      <c r="Y1785">
        <f>IF(ISNUMBER(X1785),IF(X1785&gt;$L$7,W1785,""),"")</f>
        <v/>
      </c>
      <c r="Z1785">
        <f>IF(ISNUMBER('자료_거시'!$K1767),'자료_거시'!$K1767,Z1784)</f>
        <v/>
      </c>
      <c r="AA1785">
        <f>IF(AND(ISNUMBER('자료_거시'!$J1767),ISNUMBER('자료_거시'!$K1767)),IFERROR('자료_거시'!$K1767/INDEX($Z$21:$Z$4020,MATCH(EDATE('자료_거시'!$J1767,-'설정'!$B$17),'자료_거시'!$J$3:INDEX('자료_거시'!$J$3:$J$4002,$K$8),1))-1,""),"")</f>
        <v/>
      </c>
      <c r="AB1785">
        <f>IF(ISNUMBER(AA1785),'자료_거시'!$J1767,"")</f>
        <v/>
      </c>
      <c r="AC1785">
        <f>IF(ISNUMBER(AB1785),IF(AB1785&gt;$L$8,AA1785,""),"")</f>
        <v/>
      </c>
    </row>
    <row r="1786">
      <c r="S1786">
        <f>IF(ISNUMBER('자료_거시'!$E1768),'자료_거시'!$E1768,S1785)</f>
        <v/>
      </c>
      <c r="T1786">
        <f>IF(AND(ISNUMBER('자료_거시'!$D1768),ISNUMBER('자료_거시'!$E1768)),IFERROR('자료_거시'!$E1768-INDEX($S$21:$S$4020,MATCH(EDATE('자료_거시'!$D1768,-'설정'!$B$17),'자료_거시'!$D$3:INDEX('자료_거시'!$D$3:$D$4002,$K$6),1)),""),"")</f>
        <v/>
      </c>
      <c r="U1786">
        <f>IF(ISNUMBER(T1786),'자료_거시'!$D1768,"")</f>
        <v/>
      </c>
      <c r="V1786">
        <f>IF(ISNUMBER(U1786),IF(U1786&gt;$L$6,T1786,""),"")</f>
        <v/>
      </c>
      <c r="W1786">
        <f>IF(AND(ISNUMBER('자료_거시'!$G1768),ISNUMBER('자료_거시'!$H1768)),'자료_거시'!$H1768,"")</f>
        <v/>
      </c>
      <c r="X1786">
        <f>IF(ISNUMBER(W1786),'자료_거시'!$G1768,"")</f>
        <v/>
      </c>
      <c r="Y1786">
        <f>IF(ISNUMBER(X1786),IF(X1786&gt;$L$7,W1786,""),"")</f>
        <v/>
      </c>
      <c r="Z1786">
        <f>IF(ISNUMBER('자료_거시'!$K1768),'자료_거시'!$K1768,Z1785)</f>
        <v/>
      </c>
      <c r="AA1786">
        <f>IF(AND(ISNUMBER('자료_거시'!$J1768),ISNUMBER('자료_거시'!$K1768)),IFERROR('자료_거시'!$K1768/INDEX($Z$21:$Z$4020,MATCH(EDATE('자료_거시'!$J1768,-'설정'!$B$17),'자료_거시'!$J$3:INDEX('자료_거시'!$J$3:$J$4002,$K$8),1))-1,""),"")</f>
        <v/>
      </c>
      <c r="AB1786">
        <f>IF(ISNUMBER(AA1786),'자료_거시'!$J1768,"")</f>
        <v/>
      </c>
      <c r="AC1786">
        <f>IF(ISNUMBER(AB1786),IF(AB1786&gt;$L$8,AA1786,""),"")</f>
        <v/>
      </c>
    </row>
    <row r="1787">
      <c r="S1787">
        <f>IF(ISNUMBER('자료_거시'!$E1769),'자료_거시'!$E1769,S1786)</f>
        <v/>
      </c>
      <c r="T1787">
        <f>IF(AND(ISNUMBER('자료_거시'!$D1769),ISNUMBER('자료_거시'!$E1769)),IFERROR('자료_거시'!$E1769-INDEX($S$21:$S$4020,MATCH(EDATE('자료_거시'!$D1769,-'설정'!$B$17),'자료_거시'!$D$3:INDEX('자료_거시'!$D$3:$D$4002,$K$6),1)),""),"")</f>
        <v/>
      </c>
      <c r="U1787">
        <f>IF(ISNUMBER(T1787),'자료_거시'!$D1769,"")</f>
        <v/>
      </c>
      <c r="V1787">
        <f>IF(ISNUMBER(U1787),IF(U1787&gt;$L$6,T1787,""),"")</f>
        <v/>
      </c>
      <c r="W1787">
        <f>IF(AND(ISNUMBER('자료_거시'!$G1769),ISNUMBER('자료_거시'!$H1769)),'자료_거시'!$H1769,"")</f>
        <v/>
      </c>
      <c r="X1787">
        <f>IF(ISNUMBER(W1787),'자료_거시'!$G1769,"")</f>
        <v/>
      </c>
      <c r="Y1787">
        <f>IF(ISNUMBER(X1787),IF(X1787&gt;$L$7,W1787,""),"")</f>
        <v/>
      </c>
      <c r="Z1787">
        <f>IF(ISNUMBER('자료_거시'!$K1769),'자료_거시'!$K1769,Z1786)</f>
        <v/>
      </c>
      <c r="AA1787">
        <f>IF(AND(ISNUMBER('자료_거시'!$J1769),ISNUMBER('자료_거시'!$K1769)),IFERROR('자료_거시'!$K1769/INDEX($Z$21:$Z$4020,MATCH(EDATE('자료_거시'!$J1769,-'설정'!$B$17),'자료_거시'!$J$3:INDEX('자료_거시'!$J$3:$J$4002,$K$8),1))-1,""),"")</f>
        <v/>
      </c>
      <c r="AB1787">
        <f>IF(ISNUMBER(AA1787),'자료_거시'!$J1769,"")</f>
        <v/>
      </c>
      <c r="AC1787">
        <f>IF(ISNUMBER(AB1787),IF(AB1787&gt;$L$8,AA1787,""),"")</f>
        <v/>
      </c>
    </row>
    <row r="1788">
      <c r="S1788">
        <f>IF(ISNUMBER('자료_거시'!$E1770),'자료_거시'!$E1770,S1787)</f>
        <v/>
      </c>
      <c r="T1788">
        <f>IF(AND(ISNUMBER('자료_거시'!$D1770),ISNUMBER('자료_거시'!$E1770)),IFERROR('자료_거시'!$E1770-INDEX($S$21:$S$4020,MATCH(EDATE('자료_거시'!$D1770,-'설정'!$B$17),'자료_거시'!$D$3:INDEX('자료_거시'!$D$3:$D$4002,$K$6),1)),""),"")</f>
        <v/>
      </c>
      <c r="U1788">
        <f>IF(ISNUMBER(T1788),'자료_거시'!$D1770,"")</f>
        <v/>
      </c>
      <c r="V1788">
        <f>IF(ISNUMBER(U1788),IF(U1788&gt;$L$6,T1788,""),"")</f>
        <v/>
      </c>
      <c r="W1788">
        <f>IF(AND(ISNUMBER('자료_거시'!$G1770),ISNUMBER('자료_거시'!$H1770)),'자료_거시'!$H1770,"")</f>
        <v/>
      </c>
      <c r="X1788">
        <f>IF(ISNUMBER(W1788),'자료_거시'!$G1770,"")</f>
        <v/>
      </c>
      <c r="Y1788">
        <f>IF(ISNUMBER(X1788),IF(X1788&gt;$L$7,W1788,""),"")</f>
        <v/>
      </c>
      <c r="Z1788">
        <f>IF(ISNUMBER('자료_거시'!$K1770),'자료_거시'!$K1770,Z1787)</f>
        <v/>
      </c>
      <c r="AA1788">
        <f>IF(AND(ISNUMBER('자료_거시'!$J1770),ISNUMBER('자료_거시'!$K1770)),IFERROR('자료_거시'!$K1770/INDEX($Z$21:$Z$4020,MATCH(EDATE('자료_거시'!$J1770,-'설정'!$B$17),'자료_거시'!$J$3:INDEX('자료_거시'!$J$3:$J$4002,$K$8),1))-1,""),"")</f>
        <v/>
      </c>
      <c r="AB1788">
        <f>IF(ISNUMBER(AA1788),'자료_거시'!$J1770,"")</f>
        <v/>
      </c>
      <c r="AC1788">
        <f>IF(ISNUMBER(AB1788),IF(AB1788&gt;$L$8,AA1788,""),"")</f>
        <v/>
      </c>
    </row>
    <row r="1789">
      <c r="S1789">
        <f>IF(ISNUMBER('자료_거시'!$E1771),'자료_거시'!$E1771,S1788)</f>
        <v/>
      </c>
      <c r="T1789">
        <f>IF(AND(ISNUMBER('자료_거시'!$D1771),ISNUMBER('자료_거시'!$E1771)),IFERROR('자료_거시'!$E1771-INDEX($S$21:$S$4020,MATCH(EDATE('자료_거시'!$D1771,-'설정'!$B$17),'자료_거시'!$D$3:INDEX('자료_거시'!$D$3:$D$4002,$K$6),1)),""),"")</f>
        <v/>
      </c>
      <c r="U1789">
        <f>IF(ISNUMBER(T1789),'자료_거시'!$D1771,"")</f>
        <v/>
      </c>
      <c r="V1789">
        <f>IF(ISNUMBER(U1789),IF(U1789&gt;$L$6,T1789,""),"")</f>
        <v/>
      </c>
      <c r="W1789">
        <f>IF(AND(ISNUMBER('자료_거시'!$G1771),ISNUMBER('자료_거시'!$H1771)),'자료_거시'!$H1771,"")</f>
        <v/>
      </c>
      <c r="X1789">
        <f>IF(ISNUMBER(W1789),'자료_거시'!$G1771,"")</f>
        <v/>
      </c>
      <c r="Y1789">
        <f>IF(ISNUMBER(X1789),IF(X1789&gt;$L$7,W1789,""),"")</f>
        <v/>
      </c>
      <c r="Z1789">
        <f>IF(ISNUMBER('자료_거시'!$K1771),'자료_거시'!$K1771,Z1788)</f>
        <v/>
      </c>
      <c r="AA1789">
        <f>IF(AND(ISNUMBER('자료_거시'!$J1771),ISNUMBER('자료_거시'!$K1771)),IFERROR('자료_거시'!$K1771/INDEX($Z$21:$Z$4020,MATCH(EDATE('자료_거시'!$J1771,-'설정'!$B$17),'자료_거시'!$J$3:INDEX('자료_거시'!$J$3:$J$4002,$K$8),1))-1,""),"")</f>
        <v/>
      </c>
      <c r="AB1789">
        <f>IF(ISNUMBER(AA1789),'자료_거시'!$J1771,"")</f>
        <v/>
      </c>
      <c r="AC1789">
        <f>IF(ISNUMBER(AB1789),IF(AB1789&gt;$L$8,AA1789,""),"")</f>
        <v/>
      </c>
    </row>
    <row r="1790">
      <c r="S1790">
        <f>IF(ISNUMBER('자료_거시'!$E1772),'자료_거시'!$E1772,S1789)</f>
        <v/>
      </c>
      <c r="T1790">
        <f>IF(AND(ISNUMBER('자료_거시'!$D1772),ISNUMBER('자료_거시'!$E1772)),IFERROR('자료_거시'!$E1772-INDEX($S$21:$S$4020,MATCH(EDATE('자료_거시'!$D1772,-'설정'!$B$17),'자료_거시'!$D$3:INDEX('자료_거시'!$D$3:$D$4002,$K$6),1)),""),"")</f>
        <v/>
      </c>
      <c r="U1790">
        <f>IF(ISNUMBER(T1790),'자료_거시'!$D1772,"")</f>
        <v/>
      </c>
      <c r="V1790">
        <f>IF(ISNUMBER(U1790),IF(U1790&gt;$L$6,T1790,""),"")</f>
        <v/>
      </c>
      <c r="W1790">
        <f>IF(AND(ISNUMBER('자료_거시'!$G1772),ISNUMBER('자료_거시'!$H1772)),'자료_거시'!$H1772,"")</f>
        <v/>
      </c>
      <c r="X1790">
        <f>IF(ISNUMBER(W1790),'자료_거시'!$G1772,"")</f>
        <v/>
      </c>
      <c r="Y1790">
        <f>IF(ISNUMBER(X1790),IF(X1790&gt;$L$7,W1790,""),"")</f>
        <v/>
      </c>
      <c r="Z1790">
        <f>IF(ISNUMBER('자료_거시'!$K1772),'자료_거시'!$K1772,Z1789)</f>
        <v/>
      </c>
      <c r="AA1790">
        <f>IF(AND(ISNUMBER('자료_거시'!$J1772),ISNUMBER('자료_거시'!$K1772)),IFERROR('자료_거시'!$K1772/INDEX($Z$21:$Z$4020,MATCH(EDATE('자료_거시'!$J1772,-'설정'!$B$17),'자료_거시'!$J$3:INDEX('자료_거시'!$J$3:$J$4002,$K$8),1))-1,""),"")</f>
        <v/>
      </c>
      <c r="AB1790">
        <f>IF(ISNUMBER(AA1790),'자료_거시'!$J1772,"")</f>
        <v/>
      </c>
      <c r="AC1790">
        <f>IF(ISNUMBER(AB1790),IF(AB1790&gt;$L$8,AA1790,""),"")</f>
        <v/>
      </c>
    </row>
    <row r="1791">
      <c r="S1791">
        <f>IF(ISNUMBER('자료_거시'!$E1773),'자료_거시'!$E1773,S1790)</f>
        <v/>
      </c>
      <c r="T1791">
        <f>IF(AND(ISNUMBER('자료_거시'!$D1773),ISNUMBER('자료_거시'!$E1773)),IFERROR('자료_거시'!$E1773-INDEX($S$21:$S$4020,MATCH(EDATE('자료_거시'!$D1773,-'설정'!$B$17),'자료_거시'!$D$3:INDEX('자료_거시'!$D$3:$D$4002,$K$6),1)),""),"")</f>
        <v/>
      </c>
      <c r="U1791">
        <f>IF(ISNUMBER(T1791),'자료_거시'!$D1773,"")</f>
        <v/>
      </c>
      <c r="V1791">
        <f>IF(ISNUMBER(U1791),IF(U1791&gt;$L$6,T1791,""),"")</f>
        <v/>
      </c>
      <c r="W1791">
        <f>IF(AND(ISNUMBER('자료_거시'!$G1773),ISNUMBER('자료_거시'!$H1773)),'자료_거시'!$H1773,"")</f>
        <v/>
      </c>
      <c r="X1791">
        <f>IF(ISNUMBER(W1791),'자료_거시'!$G1773,"")</f>
        <v/>
      </c>
      <c r="Y1791">
        <f>IF(ISNUMBER(X1791),IF(X1791&gt;$L$7,W1791,""),"")</f>
        <v/>
      </c>
      <c r="Z1791">
        <f>IF(ISNUMBER('자료_거시'!$K1773),'자료_거시'!$K1773,Z1790)</f>
        <v/>
      </c>
      <c r="AA1791">
        <f>IF(AND(ISNUMBER('자료_거시'!$J1773),ISNUMBER('자료_거시'!$K1773)),IFERROR('자료_거시'!$K1773/INDEX($Z$21:$Z$4020,MATCH(EDATE('자료_거시'!$J1773,-'설정'!$B$17),'자료_거시'!$J$3:INDEX('자료_거시'!$J$3:$J$4002,$K$8),1))-1,""),"")</f>
        <v/>
      </c>
      <c r="AB1791">
        <f>IF(ISNUMBER(AA1791),'자료_거시'!$J1773,"")</f>
        <v/>
      </c>
      <c r="AC1791">
        <f>IF(ISNUMBER(AB1791),IF(AB1791&gt;$L$8,AA1791,""),"")</f>
        <v/>
      </c>
    </row>
    <row r="1792">
      <c r="S1792">
        <f>IF(ISNUMBER('자료_거시'!$E1774),'자료_거시'!$E1774,S1791)</f>
        <v/>
      </c>
      <c r="T1792">
        <f>IF(AND(ISNUMBER('자료_거시'!$D1774),ISNUMBER('자료_거시'!$E1774)),IFERROR('자료_거시'!$E1774-INDEX($S$21:$S$4020,MATCH(EDATE('자료_거시'!$D1774,-'설정'!$B$17),'자료_거시'!$D$3:INDEX('자료_거시'!$D$3:$D$4002,$K$6),1)),""),"")</f>
        <v/>
      </c>
      <c r="U1792">
        <f>IF(ISNUMBER(T1792),'자료_거시'!$D1774,"")</f>
        <v/>
      </c>
      <c r="V1792">
        <f>IF(ISNUMBER(U1792),IF(U1792&gt;$L$6,T1792,""),"")</f>
        <v/>
      </c>
      <c r="W1792">
        <f>IF(AND(ISNUMBER('자료_거시'!$G1774),ISNUMBER('자료_거시'!$H1774)),'자료_거시'!$H1774,"")</f>
        <v/>
      </c>
      <c r="X1792">
        <f>IF(ISNUMBER(W1792),'자료_거시'!$G1774,"")</f>
        <v/>
      </c>
      <c r="Y1792">
        <f>IF(ISNUMBER(X1792),IF(X1792&gt;$L$7,W1792,""),"")</f>
        <v/>
      </c>
      <c r="Z1792">
        <f>IF(ISNUMBER('자료_거시'!$K1774),'자료_거시'!$K1774,Z1791)</f>
        <v/>
      </c>
      <c r="AA1792">
        <f>IF(AND(ISNUMBER('자료_거시'!$J1774),ISNUMBER('자료_거시'!$K1774)),IFERROR('자료_거시'!$K1774/INDEX($Z$21:$Z$4020,MATCH(EDATE('자료_거시'!$J1774,-'설정'!$B$17),'자료_거시'!$J$3:INDEX('자료_거시'!$J$3:$J$4002,$K$8),1))-1,""),"")</f>
        <v/>
      </c>
      <c r="AB1792">
        <f>IF(ISNUMBER(AA1792),'자료_거시'!$J1774,"")</f>
        <v/>
      </c>
      <c r="AC1792">
        <f>IF(ISNUMBER(AB1792),IF(AB1792&gt;$L$8,AA1792,""),"")</f>
        <v/>
      </c>
    </row>
    <row r="1793">
      <c r="S1793">
        <f>IF(ISNUMBER('자료_거시'!$E1775),'자료_거시'!$E1775,S1792)</f>
        <v/>
      </c>
      <c r="T1793">
        <f>IF(AND(ISNUMBER('자료_거시'!$D1775),ISNUMBER('자료_거시'!$E1775)),IFERROR('자료_거시'!$E1775-INDEX($S$21:$S$4020,MATCH(EDATE('자료_거시'!$D1775,-'설정'!$B$17),'자료_거시'!$D$3:INDEX('자료_거시'!$D$3:$D$4002,$K$6),1)),""),"")</f>
        <v/>
      </c>
      <c r="U1793">
        <f>IF(ISNUMBER(T1793),'자료_거시'!$D1775,"")</f>
        <v/>
      </c>
      <c r="V1793">
        <f>IF(ISNUMBER(U1793),IF(U1793&gt;$L$6,T1793,""),"")</f>
        <v/>
      </c>
      <c r="W1793">
        <f>IF(AND(ISNUMBER('자료_거시'!$G1775),ISNUMBER('자료_거시'!$H1775)),'자료_거시'!$H1775,"")</f>
        <v/>
      </c>
      <c r="X1793">
        <f>IF(ISNUMBER(W1793),'자료_거시'!$G1775,"")</f>
        <v/>
      </c>
      <c r="Y1793">
        <f>IF(ISNUMBER(X1793),IF(X1793&gt;$L$7,W1793,""),"")</f>
        <v/>
      </c>
      <c r="Z1793">
        <f>IF(ISNUMBER('자료_거시'!$K1775),'자료_거시'!$K1775,Z1792)</f>
        <v/>
      </c>
      <c r="AA1793">
        <f>IF(AND(ISNUMBER('자료_거시'!$J1775),ISNUMBER('자료_거시'!$K1775)),IFERROR('자료_거시'!$K1775/INDEX($Z$21:$Z$4020,MATCH(EDATE('자료_거시'!$J1775,-'설정'!$B$17),'자료_거시'!$J$3:INDEX('자료_거시'!$J$3:$J$4002,$K$8),1))-1,""),"")</f>
        <v/>
      </c>
      <c r="AB1793">
        <f>IF(ISNUMBER(AA1793),'자료_거시'!$J1775,"")</f>
        <v/>
      </c>
      <c r="AC1793">
        <f>IF(ISNUMBER(AB1793),IF(AB1793&gt;$L$8,AA1793,""),"")</f>
        <v/>
      </c>
    </row>
    <row r="1794">
      <c r="S1794">
        <f>IF(ISNUMBER('자료_거시'!$E1776),'자료_거시'!$E1776,S1793)</f>
        <v/>
      </c>
      <c r="T1794">
        <f>IF(AND(ISNUMBER('자료_거시'!$D1776),ISNUMBER('자료_거시'!$E1776)),IFERROR('자료_거시'!$E1776-INDEX($S$21:$S$4020,MATCH(EDATE('자료_거시'!$D1776,-'설정'!$B$17),'자료_거시'!$D$3:INDEX('자료_거시'!$D$3:$D$4002,$K$6),1)),""),"")</f>
        <v/>
      </c>
      <c r="U1794">
        <f>IF(ISNUMBER(T1794),'자료_거시'!$D1776,"")</f>
        <v/>
      </c>
      <c r="V1794">
        <f>IF(ISNUMBER(U1794),IF(U1794&gt;$L$6,T1794,""),"")</f>
        <v/>
      </c>
      <c r="W1794">
        <f>IF(AND(ISNUMBER('자료_거시'!$G1776),ISNUMBER('자료_거시'!$H1776)),'자료_거시'!$H1776,"")</f>
        <v/>
      </c>
      <c r="X1794">
        <f>IF(ISNUMBER(W1794),'자료_거시'!$G1776,"")</f>
        <v/>
      </c>
      <c r="Y1794">
        <f>IF(ISNUMBER(X1794),IF(X1794&gt;$L$7,W1794,""),"")</f>
        <v/>
      </c>
      <c r="Z1794">
        <f>IF(ISNUMBER('자료_거시'!$K1776),'자료_거시'!$K1776,Z1793)</f>
        <v/>
      </c>
      <c r="AA1794">
        <f>IF(AND(ISNUMBER('자료_거시'!$J1776),ISNUMBER('자료_거시'!$K1776)),IFERROR('자료_거시'!$K1776/INDEX($Z$21:$Z$4020,MATCH(EDATE('자료_거시'!$J1776,-'설정'!$B$17),'자료_거시'!$J$3:INDEX('자료_거시'!$J$3:$J$4002,$K$8),1))-1,""),"")</f>
        <v/>
      </c>
      <c r="AB1794">
        <f>IF(ISNUMBER(AA1794),'자료_거시'!$J1776,"")</f>
        <v/>
      </c>
      <c r="AC1794">
        <f>IF(ISNUMBER(AB1794),IF(AB1794&gt;$L$8,AA1794,""),"")</f>
        <v/>
      </c>
    </row>
    <row r="1795">
      <c r="S1795">
        <f>IF(ISNUMBER('자료_거시'!$E1777),'자료_거시'!$E1777,S1794)</f>
        <v/>
      </c>
      <c r="T1795">
        <f>IF(AND(ISNUMBER('자료_거시'!$D1777),ISNUMBER('자료_거시'!$E1777)),IFERROR('자료_거시'!$E1777-INDEX($S$21:$S$4020,MATCH(EDATE('자료_거시'!$D1777,-'설정'!$B$17),'자료_거시'!$D$3:INDEX('자료_거시'!$D$3:$D$4002,$K$6),1)),""),"")</f>
        <v/>
      </c>
      <c r="U1795">
        <f>IF(ISNUMBER(T1795),'자료_거시'!$D1777,"")</f>
        <v/>
      </c>
      <c r="V1795">
        <f>IF(ISNUMBER(U1795),IF(U1795&gt;$L$6,T1795,""),"")</f>
        <v/>
      </c>
      <c r="W1795">
        <f>IF(AND(ISNUMBER('자료_거시'!$G1777),ISNUMBER('자료_거시'!$H1777)),'자료_거시'!$H1777,"")</f>
        <v/>
      </c>
      <c r="X1795">
        <f>IF(ISNUMBER(W1795),'자료_거시'!$G1777,"")</f>
        <v/>
      </c>
      <c r="Y1795">
        <f>IF(ISNUMBER(X1795),IF(X1795&gt;$L$7,W1795,""),"")</f>
        <v/>
      </c>
      <c r="Z1795">
        <f>IF(ISNUMBER('자료_거시'!$K1777),'자료_거시'!$K1777,Z1794)</f>
        <v/>
      </c>
      <c r="AA1795">
        <f>IF(AND(ISNUMBER('자료_거시'!$J1777),ISNUMBER('자료_거시'!$K1777)),IFERROR('자료_거시'!$K1777/INDEX($Z$21:$Z$4020,MATCH(EDATE('자료_거시'!$J1777,-'설정'!$B$17),'자료_거시'!$J$3:INDEX('자료_거시'!$J$3:$J$4002,$K$8),1))-1,""),"")</f>
        <v/>
      </c>
      <c r="AB1795">
        <f>IF(ISNUMBER(AA1795),'자료_거시'!$J1777,"")</f>
        <v/>
      </c>
      <c r="AC1795">
        <f>IF(ISNUMBER(AB1795),IF(AB1795&gt;$L$8,AA1795,""),"")</f>
        <v/>
      </c>
    </row>
    <row r="1796">
      <c r="S1796">
        <f>IF(ISNUMBER('자료_거시'!$E1778),'자료_거시'!$E1778,S1795)</f>
        <v/>
      </c>
      <c r="T1796">
        <f>IF(AND(ISNUMBER('자료_거시'!$D1778),ISNUMBER('자료_거시'!$E1778)),IFERROR('자료_거시'!$E1778-INDEX($S$21:$S$4020,MATCH(EDATE('자료_거시'!$D1778,-'설정'!$B$17),'자료_거시'!$D$3:INDEX('자료_거시'!$D$3:$D$4002,$K$6),1)),""),"")</f>
        <v/>
      </c>
      <c r="U1796">
        <f>IF(ISNUMBER(T1796),'자료_거시'!$D1778,"")</f>
        <v/>
      </c>
      <c r="V1796">
        <f>IF(ISNUMBER(U1796),IF(U1796&gt;$L$6,T1796,""),"")</f>
        <v/>
      </c>
      <c r="W1796">
        <f>IF(AND(ISNUMBER('자료_거시'!$G1778),ISNUMBER('자료_거시'!$H1778)),'자료_거시'!$H1778,"")</f>
        <v/>
      </c>
      <c r="X1796">
        <f>IF(ISNUMBER(W1796),'자료_거시'!$G1778,"")</f>
        <v/>
      </c>
      <c r="Y1796">
        <f>IF(ISNUMBER(X1796),IF(X1796&gt;$L$7,W1796,""),"")</f>
        <v/>
      </c>
      <c r="Z1796">
        <f>IF(ISNUMBER('자료_거시'!$K1778),'자료_거시'!$K1778,Z1795)</f>
        <v/>
      </c>
      <c r="AA1796">
        <f>IF(AND(ISNUMBER('자료_거시'!$J1778),ISNUMBER('자료_거시'!$K1778)),IFERROR('자료_거시'!$K1778/INDEX($Z$21:$Z$4020,MATCH(EDATE('자료_거시'!$J1778,-'설정'!$B$17),'자료_거시'!$J$3:INDEX('자료_거시'!$J$3:$J$4002,$K$8),1))-1,""),"")</f>
        <v/>
      </c>
      <c r="AB1796">
        <f>IF(ISNUMBER(AA1796),'자료_거시'!$J1778,"")</f>
        <v/>
      </c>
      <c r="AC1796">
        <f>IF(ISNUMBER(AB1796),IF(AB1796&gt;$L$8,AA1796,""),"")</f>
        <v/>
      </c>
    </row>
    <row r="1797">
      <c r="S1797">
        <f>IF(ISNUMBER('자료_거시'!$E1779),'자료_거시'!$E1779,S1796)</f>
        <v/>
      </c>
      <c r="T1797">
        <f>IF(AND(ISNUMBER('자료_거시'!$D1779),ISNUMBER('자료_거시'!$E1779)),IFERROR('자료_거시'!$E1779-INDEX($S$21:$S$4020,MATCH(EDATE('자료_거시'!$D1779,-'설정'!$B$17),'자료_거시'!$D$3:INDEX('자료_거시'!$D$3:$D$4002,$K$6),1)),""),"")</f>
        <v/>
      </c>
      <c r="U1797">
        <f>IF(ISNUMBER(T1797),'자료_거시'!$D1779,"")</f>
        <v/>
      </c>
      <c r="V1797">
        <f>IF(ISNUMBER(U1797),IF(U1797&gt;$L$6,T1797,""),"")</f>
        <v/>
      </c>
      <c r="W1797">
        <f>IF(AND(ISNUMBER('자료_거시'!$G1779),ISNUMBER('자료_거시'!$H1779)),'자료_거시'!$H1779,"")</f>
        <v/>
      </c>
      <c r="X1797">
        <f>IF(ISNUMBER(W1797),'자료_거시'!$G1779,"")</f>
        <v/>
      </c>
      <c r="Y1797">
        <f>IF(ISNUMBER(X1797),IF(X1797&gt;$L$7,W1797,""),"")</f>
        <v/>
      </c>
      <c r="Z1797">
        <f>IF(ISNUMBER('자료_거시'!$K1779),'자료_거시'!$K1779,Z1796)</f>
        <v/>
      </c>
      <c r="AA1797">
        <f>IF(AND(ISNUMBER('자료_거시'!$J1779),ISNUMBER('자료_거시'!$K1779)),IFERROR('자료_거시'!$K1779/INDEX($Z$21:$Z$4020,MATCH(EDATE('자료_거시'!$J1779,-'설정'!$B$17),'자료_거시'!$J$3:INDEX('자료_거시'!$J$3:$J$4002,$K$8),1))-1,""),"")</f>
        <v/>
      </c>
      <c r="AB1797">
        <f>IF(ISNUMBER(AA1797),'자료_거시'!$J1779,"")</f>
        <v/>
      </c>
      <c r="AC1797">
        <f>IF(ISNUMBER(AB1797),IF(AB1797&gt;$L$8,AA1797,""),"")</f>
        <v/>
      </c>
    </row>
    <row r="1798">
      <c r="S1798">
        <f>IF(ISNUMBER('자료_거시'!$E1780),'자료_거시'!$E1780,S1797)</f>
        <v/>
      </c>
      <c r="T1798">
        <f>IF(AND(ISNUMBER('자료_거시'!$D1780),ISNUMBER('자료_거시'!$E1780)),IFERROR('자료_거시'!$E1780-INDEX($S$21:$S$4020,MATCH(EDATE('자료_거시'!$D1780,-'설정'!$B$17),'자료_거시'!$D$3:INDEX('자료_거시'!$D$3:$D$4002,$K$6),1)),""),"")</f>
        <v/>
      </c>
      <c r="U1798">
        <f>IF(ISNUMBER(T1798),'자료_거시'!$D1780,"")</f>
        <v/>
      </c>
      <c r="V1798">
        <f>IF(ISNUMBER(U1798),IF(U1798&gt;$L$6,T1798,""),"")</f>
        <v/>
      </c>
      <c r="W1798">
        <f>IF(AND(ISNUMBER('자료_거시'!$G1780),ISNUMBER('자료_거시'!$H1780)),'자료_거시'!$H1780,"")</f>
        <v/>
      </c>
      <c r="X1798">
        <f>IF(ISNUMBER(W1798),'자료_거시'!$G1780,"")</f>
        <v/>
      </c>
      <c r="Y1798">
        <f>IF(ISNUMBER(X1798),IF(X1798&gt;$L$7,W1798,""),"")</f>
        <v/>
      </c>
      <c r="Z1798">
        <f>IF(ISNUMBER('자료_거시'!$K1780),'자료_거시'!$K1780,Z1797)</f>
        <v/>
      </c>
      <c r="AA1798">
        <f>IF(AND(ISNUMBER('자료_거시'!$J1780),ISNUMBER('자료_거시'!$K1780)),IFERROR('자료_거시'!$K1780/INDEX($Z$21:$Z$4020,MATCH(EDATE('자료_거시'!$J1780,-'설정'!$B$17),'자료_거시'!$J$3:INDEX('자료_거시'!$J$3:$J$4002,$K$8),1))-1,""),"")</f>
        <v/>
      </c>
      <c r="AB1798">
        <f>IF(ISNUMBER(AA1798),'자료_거시'!$J1780,"")</f>
        <v/>
      </c>
      <c r="AC1798">
        <f>IF(ISNUMBER(AB1798),IF(AB1798&gt;$L$8,AA1798,""),"")</f>
        <v/>
      </c>
    </row>
    <row r="1799">
      <c r="S1799">
        <f>IF(ISNUMBER('자료_거시'!$E1781),'자료_거시'!$E1781,S1798)</f>
        <v/>
      </c>
      <c r="T1799">
        <f>IF(AND(ISNUMBER('자료_거시'!$D1781),ISNUMBER('자료_거시'!$E1781)),IFERROR('자료_거시'!$E1781-INDEX($S$21:$S$4020,MATCH(EDATE('자료_거시'!$D1781,-'설정'!$B$17),'자료_거시'!$D$3:INDEX('자료_거시'!$D$3:$D$4002,$K$6),1)),""),"")</f>
        <v/>
      </c>
      <c r="U1799">
        <f>IF(ISNUMBER(T1799),'자료_거시'!$D1781,"")</f>
        <v/>
      </c>
      <c r="V1799">
        <f>IF(ISNUMBER(U1799),IF(U1799&gt;$L$6,T1799,""),"")</f>
        <v/>
      </c>
      <c r="W1799">
        <f>IF(AND(ISNUMBER('자료_거시'!$G1781),ISNUMBER('자료_거시'!$H1781)),'자료_거시'!$H1781,"")</f>
        <v/>
      </c>
      <c r="X1799">
        <f>IF(ISNUMBER(W1799),'자료_거시'!$G1781,"")</f>
        <v/>
      </c>
      <c r="Y1799">
        <f>IF(ISNUMBER(X1799),IF(X1799&gt;$L$7,W1799,""),"")</f>
        <v/>
      </c>
      <c r="Z1799">
        <f>IF(ISNUMBER('자료_거시'!$K1781),'자료_거시'!$K1781,Z1798)</f>
        <v/>
      </c>
      <c r="AA1799">
        <f>IF(AND(ISNUMBER('자료_거시'!$J1781),ISNUMBER('자료_거시'!$K1781)),IFERROR('자료_거시'!$K1781/INDEX($Z$21:$Z$4020,MATCH(EDATE('자료_거시'!$J1781,-'설정'!$B$17),'자료_거시'!$J$3:INDEX('자료_거시'!$J$3:$J$4002,$K$8),1))-1,""),"")</f>
        <v/>
      </c>
      <c r="AB1799">
        <f>IF(ISNUMBER(AA1799),'자료_거시'!$J1781,"")</f>
        <v/>
      </c>
      <c r="AC1799">
        <f>IF(ISNUMBER(AB1799),IF(AB1799&gt;$L$8,AA1799,""),"")</f>
        <v/>
      </c>
    </row>
    <row r="1800">
      <c r="S1800">
        <f>IF(ISNUMBER('자료_거시'!$E1782),'자료_거시'!$E1782,S1799)</f>
        <v/>
      </c>
      <c r="T1800">
        <f>IF(AND(ISNUMBER('자료_거시'!$D1782),ISNUMBER('자료_거시'!$E1782)),IFERROR('자료_거시'!$E1782-INDEX($S$21:$S$4020,MATCH(EDATE('자료_거시'!$D1782,-'설정'!$B$17),'자료_거시'!$D$3:INDEX('자료_거시'!$D$3:$D$4002,$K$6),1)),""),"")</f>
        <v/>
      </c>
      <c r="U1800">
        <f>IF(ISNUMBER(T1800),'자료_거시'!$D1782,"")</f>
        <v/>
      </c>
      <c r="V1800">
        <f>IF(ISNUMBER(U1800),IF(U1800&gt;$L$6,T1800,""),"")</f>
        <v/>
      </c>
      <c r="W1800">
        <f>IF(AND(ISNUMBER('자료_거시'!$G1782),ISNUMBER('자료_거시'!$H1782)),'자료_거시'!$H1782,"")</f>
        <v/>
      </c>
      <c r="X1800">
        <f>IF(ISNUMBER(W1800),'자료_거시'!$G1782,"")</f>
        <v/>
      </c>
      <c r="Y1800">
        <f>IF(ISNUMBER(X1800),IF(X1800&gt;$L$7,W1800,""),"")</f>
        <v/>
      </c>
      <c r="Z1800">
        <f>IF(ISNUMBER('자료_거시'!$K1782),'자료_거시'!$K1782,Z1799)</f>
        <v/>
      </c>
      <c r="AA1800">
        <f>IF(AND(ISNUMBER('자료_거시'!$J1782),ISNUMBER('자료_거시'!$K1782)),IFERROR('자료_거시'!$K1782/INDEX($Z$21:$Z$4020,MATCH(EDATE('자료_거시'!$J1782,-'설정'!$B$17),'자료_거시'!$J$3:INDEX('자료_거시'!$J$3:$J$4002,$K$8),1))-1,""),"")</f>
        <v/>
      </c>
      <c r="AB1800">
        <f>IF(ISNUMBER(AA1800),'자료_거시'!$J1782,"")</f>
        <v/>
      </c>
      <c r="AC1800">
        <f>IF(ISNUMBER(AB1800),IF(AB1800&gt;$L$8,AA1800,""),"")</f>
        <v/>
      </c>
    </row>
    <row r="1801">
      <c r="S1801">
        <f>IF(ISNUMBER('자료_거시'!$E1783),'자료_거시'!$E1783,S1800)</f>
        <v/>
      </c>
      <c r="T1801">
        <f>IF(AND(ISNUMBER('자료_거시'!$D1783),ISNUMBER('자료_거시'!$E1783)),IFERROR('자료_거시'!$E1783-INDEX($S$21:$S$4020,MATCH(EDATE('자료_거시'!$D1783,-'설정'!$B$17),'자료_거시'!$D$3:INDEX('자료_거시'!$D$3:$D$4002,$K$6),1)),""),"")</f>
        <v/>
      </c>
      <c r="U1801">
        <f>IF(ISNUMBER(T1801),'자료_거시'!$D1783,"")</f>
        <v/>
      </c>
      <c r="V1801">
        <f>IF(ISNUMBER(U1801),IF(U1801&gt;$L$6,T1801,""),"")</f>
        <v/>
      </c>
      <c r="W1801">
        <f>IF(AND(ISNUMBER('자료_거시'!$G1783),ISNUMBER('자료_거시'!$H1783)),'자료_거시'!$H1783,"")</f>
        <v/>
      </c>
      <c r="X1801">
        <f>IF(ISNUMBER(W1801),'자료_거시'!$G1783,"")</f>
        <v/>
      </c>
      <c r="Y1801">
        <f>IF(ISNUMBER(X1801),IF(X1801&gt;$L$7,W1801,""),"")</f>
        <v/>
      </c>
      <c r="Z1801">
        <f>IF(ISNUMBER('자료_거시'!$K1783),'자료_거시'!$K1783,Z1800)</f>
        <v/>
      </c>
      <c r="AA1801">
        <f>IF(AND(ISNUMBER('자료_거시'!$J1783),ISNUMBER('자료_거시'!$K1783)),IFERROR('자료_거시'!$K1783/INDEX($Z$21:$Z$4020,MATCH(EDATE('자료_거시'!$J1783,-'설정'!$B$17),'자료_거시'!$J$3:INDEX('자료_거시'!$J$3:$J$4002,$K$8),1))-1,""),"")</f>
        <v/>
      </c>
      <c r="AB1801">
        <f>IF(ISNUMBER(AA1801),'자료_거시'!$J1783,"")</f>
        <v/>
      </c>
      <c r="AC1801">
        <f>IF(ISNUMBER(AB1801),IF(AB1801&gt;$L$8,AA1801,""),"")</f>
        <v/>
      </c>
    </row>
    <row r="1802">
      <c r="S1802">
        <f>IF(ISNUMBER('자료_거시'!$E1784),'자료_거시'!$E1784,S1801)</f>
        <v/>
      </c>
      <c r="T1802">
        <f>IF(AND(ISNUMBER('자료_거시'!$D1784),ISNUMBER('자료_거시'!$E1784)),IFERROR('자료_거시'!$E1784-INDEX($S$21:$S$4020,MATCH(EDATE('자료_거시'!$D1784,-'설정'!$B$17),'자료_거시'!$D$3:INDEX('자료_거시'!$D$3:$D$4002,$K$6),1)),""),"")</f>
        <v/>
      </c>
      <c r="U1802">
        <f>IF(ISNUMBER(T1802),'자료_거시'!$D1784,"")</f>
        <v/>
      </c>
      <c r="V1802">
        <f>IF(ISNUMBER(U1802),IF(U1802&gt;$L$6,T1802,""),"")</f>
        <v/>
      </c>
      <c r="W1802">
        <f>IF(AND(ISNUMBER('자료_거시'!$G1784),ISNUMBER('자료_거시'!$H1784)),'자료_거시'!$H1784,"")</f>
        <v/>
      </c>
      <c r="X1802">
        <f>IF(ISNUMBER(W1802),'자료_거시'!$G1784,"")</f>
        <v/>
      </c>
      <c r="Y1802">
        <f>IF(ISNUMBER(X1802),IF(X1802&gt;$L$7,W1802,""),"")</f>
        <v/>
      </c>
      <c r="Z1802">
        <f>IF(ISNUMBER('자료_거시'!$K1784),'자료_거시'!$K1784,Z1801)</f>
        <v/>
      </c>
      <c r="AA1802">
        <f>IF(AND(ISNUMBER('자료_거시'!$J1784),ISNUMBER('자료_거시'!$K1784)),IFERROR('자료_거시'!$K1784/INDEX($Z$21:$Z$4020,MATCH(EDATE('자료_거시'!$J1784,-'설정'!$B$17),'자료_거시'!$J$3:INDEX('자료_거시'!$J$3:$J$4002,$K$8),1))-1,""),"")</f>
        <v/>
      </c>
      <c r="AB1802">
        <f>IF(ISNUMBER(AA1802),'자료_거시'!$J1784,"")</f>
        <v/>
      </c>
      <c r="AC1802">
        <f>IF(ISNUMBER(AB1802),IF(AB1802&gt;$L$8,AA1802,""),"")</f>
        <v/>
      </c>
    </row>
    <row r="1803">
      <c r="S1803">
        <f>IF(ISNUMBER('자료_거시'!$E1785),'자료_거시'!$E1785,S1802)</f>
        <v/>
      </c>
      <c r="T1803">
        <f>IF(AND(ISNUMBER('자료_거시'!$D1785),ISNUMBER('자료_거시'!$E1785)),IFERROR('자료_거시'!$E1785-INDEX($S$21:$S$4020,MATCH(EDATE('자료_거시'!$D1785,-'설정'!$B$17),'자료_거시'!$D$3:INDEX('자료_거시'!$D$3:$D$4002,$K$6),1)),""),"")</f>
        <v/>
      </c>
      <c r="U1803">
        <f>IF(ISNUMBER(T1803),'자료_거시'!$D1785,"")</f>
        <v/>
      </c>
      <c r="V1803">
        <f>IF(ISNUMBER(U1803),IF(U1803&gt;$L$6,T1803,""),"")</f>
        <v/>
      </c>
      <c r="W1803">
        <f>IF(AND(ISNUMBER('자료_거시'!$G1785),ISNUMBER('자료_거시'!$H1785)),'자료_거시'!$H1785,"")</f>
        <v/>
      </c>
      <c r="X1803">
        <f>IF(ISNUMBER(W1803),'자료_거시'!$G1785,"")</f>
        <v/>
      </c>
      <c r="Y1803">
        <f>IF(ISNUMBER(X1803),IF(X1803&gt;$L$7,W1803,""),"")</f>
        <v/>
      </c>
      <c r="Z1803">
        <f>IF(ISNUMBER('자료_거시'!$K1785),'자료_거시'!$K1785,Z1802)</f>
        <v/>
      </c>
      <c r="AA1803">
        <f>IF(AND(ISNUMBER('자료_거시'!$J1785),ISNUMBER('자료_거시'!$K1785)),IFERROR('자료_거시'!$K1785/INDEX($Z$21:$Z$4020,MATCH(EDATE('자료_거시'!$J1785,-'설정'!$B$17),'자료_거시'!$J$3:INDEX('자료_거시'!$J$3:$J$4002,$K$8),1))-1,""),"")</f>
        <v/>
      </c>
      <c r="AB1803">
        <f>IF(ISNUMBER(AA1803),'자료_거시'!$J1785,"")</f>
        <v/>
      </c>
      <c r="AC1803">
        <f>IF(ISNUMBER(AB1803),IF(AB1803&gt;$L$8,AA1803,""),"")</f>
        <v/>
      </c>
    </row>
    <row r="1804">
      <c r="S1804">
        <f>IF(ISNUMBER('자료_거시'!$E1786),'자료_거시'!$E1786,S1803)</f>
        <v/>
      </c>
      <c r="T1804">
        <f>IF(AND(ISNUMBER('자료_거시'!$D1786),ISNUMBER('자료_거시'!$E1786)),IFERROR('자료_거시'!$E1786-INDEX($S$21:$S$4020,MATCH(EDATE('자료_거시'!$D1786,-'설정'!$B$17),'자료_거시'!$D$3:INDEX('자료_거시'!$D$3:$D$4002,$K$6),1)),""),"")</f>
        <v/>
      </c>
      <c r="U1804">
        <f>IF(ISNUMBER(T1804),'자료_거시'!$D1786,"")</f>
        <v/>
      </c>
      <c r="V1804">
        <f>IF(ISNUMBER(U1804),IF(U1804&gt;$L$6,T1804,""),"")</f>
        <v/>
      </c>
      <c r="W1804">
        <f>IF(AND(ISNUMBER('자료_거시'!$G1786),ISNUMBER('자료_거시'!$H1786)),'자료_거시'!$H1786,"")</f>
        <v/>
      </c>
      <c r="X1804">
        <f>IF(ISNUMBER(W1804),'자료_거시'!$G1786,"")</f>
        <v/>
      </c>
      <c r="Y1804">
        <f>IF(ISNUMBER(X1804),IF(X1804&gt;$L$7,W1804,""),"")</f>
        <v/>
      </c>
      <c r="Z1804">
        <f>IF(ISNUMBER('자료_거시'!$K1786),'자료_거시'!$K1786,Z1803)</f>
        <v/>
      </c>
      <c r="AA1804">
        <f>IF(AND(ISNUMBER('자료_거시'!$J1786),ISNUMBER('자료_거시'!$K1786)),IFERROR('자료_거시'!$K1786/INDEX($Z$21:$Z$4020,MATCH(EDATE('자료_거시'!$J1786,-'설정'!$B$17),'자료_거시'!$J$3:INDEX('자료_거시'!$J$3:$J$4002,$K$8),1))-1,""),"")</f>
        <v/>
      </c>
      <c r="AB1804">
        <f>IF(ISNUMBER(AA1804),'자료_거시'!$J1786,"")</f>
        <v/>
      </c>
      <c r="AC1804">
        <f>IF(ISNUMBER(AB1804),IF(AB1804&gt;$L$8,AA1804,""),"")</f>
        <v/>
      </c>
    </row>
    <row r="1805">
      <c r="S1805">
        <f>IF(ISNUMBER('자료_거시'!$E1787),'자료_거시'!$E1787,S1804)</f>
        <v/>
      </c>
      <c r="T1805">
        <f>IF(AND(ISNUMBER('자료_거시'!$D1787),ISNUMBER('자료_거시'!$E1787)),IFERROR('자료_거시'!$E1787-INDEX($S$21:$S$4020,MATCH(EDATE('자료_거시'!$D1787,-'설정'!$B$17),'자료_거시'!$D$3:INDEX('자료_거시'!$D$3:$D$4002,$K$6),1)),""),"")</f>
        <v/>
      </c>
      <c r="U1805">
        <f>IF(ISNUMBER(T1805),'자료_거시'!$D1787,"")</f>
        <v/>
      </c>
      <c r="V1805">
        <f>IF(ISNUMBER(U1805),IF(U1805&gt;$L$6,T1805,""),"")</f>
        <v/>
      </c>
      <c r="W1805">
        <f>IF(AND(ISNUMBER('자료_거시'!$G1787),ISNUMBER('자료_거시'!$H1787)),'자료_거시'!$H1787,"")</f>
        <v/>
      </c>
      <c r="X1805">
        <f>IF(ISNUMBER(W1805),'자료_거시'!$G1787,"")</f>
        <v/>
      </c>
      <c r="Y1805">
        <f>IF(ISNUMBER(X1805),IF(X1805&gt;$L$7,W1805,""),"")</f>
        <v/>
      </c>
      <c r="Z1805">
        <f>IF(ISNUMBER('자료_거시'!$K1787),'자료_거시'!$K1787,Z1804)</f>
        <v/>
      </c>
      <c r="AA1805">
        <f>IF(AND(ISNUMBER('자료_거시'!$J1787),ISNUMBER('자료_거시'!$K1787)),IFERROR('자료_거시'!$K1787/INDEX($Z$21:$Z$4020,MATCH(EDATE('자료_거시'!$J1787,-'설정'!$B$17),'자료_거시'!$J$3:INDEX('자료_거시'!$J$3:$J$4002,$K$8),1))-1,""),"")</f>
        <v/>
      </c>
      <c r="AB1805">
        <f>IF(ISNUMBER(AA1805),'자료_거시'!$J1787,"")</f>
        <v/>
      </c>
      <c r="AC1805">
        <f>IF(ISNUMBER(AB1805),IF(AB1805&gt;$L$8,AA1805,""),"")</f>
        <v/>
      </c>
    </row>
    <row r="1806">
      <c r="S1806">
        <f>IF(ISNUMBER('자료_거시'!$E1788),'자료_거시'!$E1788,S1805)</f>
        <v/>
      </c>
      <c r="T1806">
        <f>IF(AND(ISNUMBER('자료_거시'!$D1788),ISNUMBER('자료_거시'!$E1788)),IFERROR('자료_거시'!$E1788-INDEX($S$21:$S$4020,MATCH(EDATE('자료_거시'!$D1788,-'설정'!$B$17),'자료_거시'!$D$3:INDEX('자료_거시'!$D$3:$D$4002,$K$6),1)),""),"")</f>
        <v/>
      </c>
      <c r="U1806">
        <f>IF(ISNUMBER(T1806),'자료_거시'!$D1788,"")</f>
        <v/>
      </c>
      <c r="V1806">
        <f>IF(ISNUMBER(U1806),IF(U1806&gt;$L$6,T1806,""),"")</f>
        <v/>
      </c>
      <c r="W1806">
        <f>IF(AND(ISNUMBER('자료_거시'!$G1788),ISNUMBER('자료_거시'!$H1788)),'자료_거시'!$H1788,"")</f>
        <v/>
      </c>
      <c r="X1806">
        <f>IF(ISNUMBER(W1806),'자료_거시'!$G1788,"")</f>
        <v/>
      </c>
      <c r="Y1806">
        <f>IF(ISNUMBER(X1806),IF(X1806&gt;$L$7,W1806,""),"")</f>
        <v/>
      </c>
      <c r="Z1806">
        <f>IF(ISNUMBER('자료_거시'!$K1788),'자료_거시'!$K1788,Z1805)</f>
        <v/>
      </c>
      <c r="AA1806">
        <f>IF(AND(ISNUMBER('자료_거시'!$J1788),ISNUMBER('자료_거시'!$K1788)),IFERROR('자료_거시'!$K1788/INDEX($Z$21:$Z$4020,MATCH(EDATE('자료_거시'!$J1788,-'설정'!$B$17),'자료_거시'!$J$3:INDEX('자료_거시'!$J$3:$J$4002,$K$8),1))-1,""),"")</f>
        <v/>
      </c>
      <c r="AB1806">
        <f>IF(ISNUMBER(AA1806),'자료_거시'!$J1788,"")</f>
        <v/>
      </c>
      <c r="AC1806">
        <f>IF(ISNUMBER(AB1806),IF(AB1806&gt;$L$8,AA1806,""),"")</f>
        <v/>
      </c>
    </row>
    <row r="1807">
      <c r="S1807">
        <f>IF(ISNUMBER('자료_거시'!$E1789),'자료_거시'!$E1789,S1806)</f>
        <v/>
      </c>
      <c r="T1807">
        <f>IF(AND(ISNUMBER('자료_거시'!$D1789),ISNUMBER('자료_거시'!$E1789)),IFERROR('자료_거시'!$E1789-INDEX($S$21:$S$4020,MATCH(EDATE('자료_거시'!$D1789,-'설정'!$B$17),'자료_거시'!$D$3:INDEX('자료_거시'!$D$3:$D$4002,$K$6),1)),""),"")</f>
        <v/>
      </c>
      <c r="U1807">
        <f>IF(ISNUMBER(T1807),'자료_거시'!$D1789,"")</f>
        <v/>
      </c>
      <c r="V1807">
        <f>IF(ISNUMBER(U1807),IF(U1807&gt;$L$6,T1807,""),"")</f>
        <v/>
      </c>
      <c r="W1807">
        <f>IF(AND(ISNUMBER('자료_거시'!$G1789),ISNUMBER('자료_거시'!$H1789)),'자료_거시'!$H1789,"")</f>
        <v/>
      </c>
      <c r="X1807">
        <f>IF(ISNUMBER(W1807),'자료_거시'!$G1789,"")</f>
        <v/>
      </c>
      <c r="Y1807">
        <f>IF(ISNUMBER(X1807),IF(X1807&gt;$L$7,W1807,""),"")</f>
        <v/>
      </c>
      <c r="Z1807">
        <f>IF(ISNUMBER('자료_거시'!$K1789),'자료_거시'!$K1789,Z1806)</f>
        <v/>
      </c>
      <c r="AA1807">
        <f>IF(AND(ISNUMBER('자료_거시'!$J1789),ISNUMBER('자료_거시'!$K1789)),IFERROR('자료_거시'!$K1789/INDEX($Z$21:$Z$4020,MATCH(EDATE('자료_거시'!$J1789,-'설정'!$B$17),'자료_거시'!$J$3:INDEX('자료_거시'!$J$3:$J$4002,$K$8),1))-1,""),"")</f>
        <v/>
      </c>
      <c r="AB1807">
        <f>IF(ISNUMBER(AA1807),'자료_거시'!$J1789,"")</f>
        <v/>
      </c>
      <c r="AC1807">
        <f>IF(ISNUMBER(AB1807),IF(AB1807&gt;$L$8,AA1807,""),"")</f>
        <v/>
      </c>
    </row>
    <row r="1808">
      <c r="S1808">
        <f>IF(ISNUMBER('자료_거시'!$E1790),'자료_거시'!$E1790,S1807)</f>
        <v/>
      </c>
      <c r="T1808">
        <f>IF(AND(ISNUMBER('자료_거시'!$D1790),ISNUMBER('자료_거시'!$E1790)),IFERROR('자료_거시'!$E1790-INDEX($S$21:$S$4020,MATCH(EDATE('자료_거시'!$D1790,-'설정'!$B$17),'자료_거시'!$D$3:INDEX('자료_거시'!$D$3:$D$4002,$K$6),1)),""),"")</f>
        <v/>
      </c>
      <c r="U1808">
        <f>IF(ISNUMBER(T1808),'자료_거시'!$D1790,"")</f>
        <v/>
      </c>
      <c r="V1808">
        <f>IF(ISNUMBER(U1808),IF(U1808&gt;$L$6,T1808,""),"")</f>
        <v/>
      </c>
      <c r="W1808">
        <f>IF(AND(ISNUMBER('자료_거시'!$G1790),ISNUMBER('자료_거시'!$H1790)),'자료_거시'!$H1790,"")</f>
        <v/>
      </c>
      <c r="X1808">
        <f>IF(ISNUMBER(W1808),'자료_거시'!$G1790,"")</f>
        <v/>
      </c>
      <c r="Y1808">
        <f>IF(ISNUMBER(X1808),IF(X1808&gt;$L$7,W1808,""),"")</f>
        <v/>
      </c>
      <c r="Z1808">
        <f>IF(ISNUMBER('자료_거시'!$K1790),'자료_거시'!$K1790,Z1807)</f>
        <v/>
      </c>
      <c r="AA1808">
        <f>IF(AND(ISNUMBER('자료_거시'!$J1790),ISNUMBER('자료_거시'!$K1790)),IFERROR('자료_거시'!$K1790/INDEX($Z$21:$Z$4020,MATCH(EDATE('자료_거시'!$J1790,-'설정'!$B$17),'자료_거시'!$J$3:INDEX('자료_거시'!$J$3:$J$4002,$K$8),1))-1,""),"")</f>
        <v/>
      </c>
      <c r="AB1808">
        <f>IF(ISNUMBER(AA1808),'자료_거시'!$J1790,"")</f>
        <v/>
      </c>
      <c r="AC1808">
        <f>IF(ISNUMBER(AB1808),IF(AB1808&gt;$L$8,AA1808,""),"")</f>
        <v/>
      </c>
    </row>
    <row r="1809">
      <c r="S1809">
        <f>IF(ISNUMBER('자료_거시'!$E1791),'자료_거시'!$E1791,S1808)</f>
        <v/>
      </c>
      <c r="T1809">
        <f>IF(AND(ISNUMBER('자료_거시'!$D1791),ISNUMBER('자료_거시'!$E1791)),IFERROR('자료_거시'!$E1791-INDEX($S$21:$S$4020,MATCH(EDATE('자료_거시'!$D1791,-'설정'!$B$17),'자료_거시'!$D$3:INDEX('자료_거시'!$D$3:$D$4002,$K$6),1)),""),"")</f>
        <v/>
      </c>
      <c r="U1809">
        <f>IF(ISNUMBER(T1809),'자료_거시'!$D1791,"")</f>
        <v/>
      </c>
      <c r="V1809">
        <f>IF(ISNUMBER(U1809),IF(U1809&gt;$L$6,T1809,""),"")</f>
        <v/>
      </c>
      <c r="W1809">
        <f>IF(AND(ISNUMBER('자료_거시'!$G1791),ISNUMBER('자료_거시'!$H1791)),'자료_거시'!$H1791,"")</f>
        <v/>
      </c>
      <c r="X1809">
        <f>IF(ISNUMBER(W1809),'자료_거시'!$G1791,"")</f>
        <v/>
      </c>
      <c r="Y1809">
        <f>IF(ISNUMBER(X1809),IF(X1809&gt;$L$7,W1809,""),"")</f>
        <v/>
      </c>
      <c r="Z1809">
        <f>IF(ISNUMBER('자료_거시'!$K1791),'자료_거시'!$K1791,Z1808)</f>
        <v/>
      </c>
      <c r="AA1809">
        <f>IF(AND(ISNUMBER('자료_거시'!$J1791),ISNUMBER('자료_거시'!$K1791)),IFERROR('자료_거시'!$K1791/INDEX($Z$21:$Z$4020,MATCH(EDATE('자료_거시'!$J1791,-'설정'!$B$17),'자료_거시'!$J$3:INDEX('자료_거시'!$J$3:$J$4002,$K$8),1))-1,""),"")</f>
        <v/>
      </c>
      <c r="AB1809">
        <f>IF(ISNUMBER(AA1809),'자료_거시'!$J1791,"")</f>
        <v/>
      </c>
      <c r="AC1809">
        <f>IF(ISNUMBER(AB1809),IF(AB1809&gt;$L$8,AA1809,""),"")</f>
        <v/>
      </c>
    </row>
    <row r="1810">
      <c r="S1810">
        <f>IF(ISNUMBER('자료_거시'!$E1792),'자료_거시'!$E1792,S1809)</f>
        <v/>
      </c>
      <c r="T1810">
        <f>IF(AND(ISNUMBER('자료_거시'!$D1792),ISNUMBER('자료_거시'!$E1792)),IFERROR('자료_거시'!$E1792-INDEX($S$21:$S$4020,MATCH(EDATE('자료_거시'!$D1792,-'설정'!$B$17),'자료_거시'!$D$3:INDEX('자료_거시'!$D$3:$D$4002,$K$6),1)),""),"")</f>
        <v/>
      </c>
      <c r="U1810">
        <f>IF(ISNUMBER(T1810),'자료_거시'!$D1792,"")</f>
        <v/>
      </c>
      <c r="V1810">
        <f>IF(ISNUMBER(U1810),IF(U1810&gt;$L$6,T1810,""),"")</f>
        <v/>
      </c>
      <c r="W1810">
        <f>IF(AND(ISNUMBER('자료_거시'!$G1792),ISNUMBER('자료_거시'!$H1792)),'자료_거시'!$H1792,"")</f>
        <v/>
      </c>
      <c r="X1810">
        <f>IF(ISNUMBER(W1810),'자료_거시'!$G1792,"")</f>
        <v/>
      </c>
      <c r="Y1810">
        <f>IF(ISNUMBER(X1810),IF(X1810&gt;$L$7,W1810,""),"")</f>
        <v/>
      </c>
      <c r="Z1810">
        <f>IF(ISNUMBER('자료_거시'!$K1792),'자료_거시'!$K1792,Z1809)</f>
        <v/>
      </c>
      <c r="AA1810">
        <f>IF(AND(ISNUMBER('자료_거시'!$J1792),ISNUMBER('자료_거시'!$K1792)),IFERROR('자료_거시'!$K1792/INDEX($Z$21:$Z$4020,MATCH(EDATE('자료_거시'!$J1792,-'설정'!$B$17),'자료_거시'!$J$3:INDEX('자료_거시'!$J$3:$J$4002,$K$8),1))-1,""),"")</f>
        <v/>
      </c>
      <c r="AB1810">
        <f>IF(ISNUMBER(AA1810),'자료_거시'!$J1792,"")</f>
        <v/>
      </c>
      <c r="AC1810">
        <f>IF(ISNUMBER(AB1810),IF(AB1810&gt;$L$8,AA1810,""),"")</f>
        <v/>
      </c>
    </row>
    <row r="1811">
      <c r="S1811">
        <f>IF(ISNUMBER('자료_거시'!$E1793),'자료_거시'!$E1793,S1810)</f>
        <v/>
      </c>
      <c r="T1811">
        <f>IF(AND(ISNUMBER('자료_거시'!$D1793),ISNUMBER('자료_거시'!$E1793)),IFERROR('자료_거시'!$E1793-INDEX($S$21:$S$4020,MATCH(EDATE('자료_거시'!$D1793,-'설정'!$B$17),'자료_거시'!$D$3:INDEX('자료_거시'!$D$3:$D$4002,$K$6),1)),""),"")</f>
        <v/>
      </c>
      <c r="U1811">
        <f>IF(ISNUMBER(T1811),'자료_거시'!$D1793,"")</f>
        <v/>
      </c>
      <c r="V1811">
        <f>IF(ISNUMBER(U1811),IF(U1811&gt;$L$6,T1811,""),"")</f>
        <v/>
      </c>
      <c r="W1811">
        <f>IF(AND(ISNUMBER('자료_거시'!$G1793),ISNUMBER('자료_거시'!$H1793)),'자료_거시'!$H1793,"")</f>
        <v/>
      </c>
      <c r="X1811">
        <f>IF(ISNUMBER(W1811),'자료_거시'!$G1793,"")</f>
        <v/>
      </c>
      <c r="Y1811">
        <f>IF(ISNUMBER(X1811),IF(X1811&gt;$L$7,W1811,""),"")</f>
        <v/>
      </c>
      <c r="Z1811">
        <f>IF(ISNUMBER('자료_거시'!$K1793),'자료_거시'!$K1793,Z1810)</f>
        <v/>
      </c>
      <c r="AA1811">
        <f>IF(AND(ISNUMBER('자료_거시'!$J1793),ISNUMBER('자료_거시'!$K1793)),IFERROR('자료_거시'!$K1793/INDEX($Z$21:$Z$4020,MATCH(EDATE('자료_거시'!$J1793,-'설정'!$B$17),'자료_거시'!$J$3:INDEX('자료_거시'!$J$3:$J$4002,$K$8),1))-1,""),"")</f>
        <v/>
      </c>
      <c r="AB1811">
        <f>IF(ISNUMBER(AA1811),'자료_거시'!$J1793,"")</f>
        <v/>
      </c>
      <c r="AC1811">
        <f>IF(ISNUMBER(AB1811),IF(AB1811&gt;$L$8,AA1811,""),"")</f>
        <v/>
      </c>
    </row>
    <row r="1812">
      <c r="S1812">
        <f>IF(ISNUMBER('자료_거시'!$E1794),'자료_거시'!$E1794,S1811)</f>
        <v/>
      </c>
      <c r="T1812">
        <f>IF(AND(ISNUMBER('자료_거시'!$D1794),ISNUMBER('자료_거시'!$E1794)),IFERROR('자료_거시'!$E1794-INDEX($S$21:$S$4020,MATCH(EDATE('자료_거시'!$D1794,-'설정'!$B$17),'자료_거시'!$D$3:INDEX('자료_거시'!$D$3:$D$4002,$K$6),1)),""),"")</f>
        <v/>
      </c>
      <c r="U1812">
        <f>IF(ISNUMBER(T1812),'자료_거시'!$D1794,"")</f>
        <v/>
      </c>
      <c r="V1812">
        <f>IF(ISNUMBER(U1812),IF(U1812&gt;$L$6,T1812,""),"")</f>
        <v/>
      </c>
      <c r="W1812">
        <f>IF(AND(ISNUMBER('자료_거시'!$G1794),ISNUMBER('자료_거시'!$H1794)),'자료_거시'!$H1794,"")</f>
        <v/>
      </c>
      <c r="X1812">
        <f>IF(ISNUMBER(W1812),'자료_거시'!$G1794,"")</f>
        <v/>
      </c>
      <c r="Y1812">
        <f>IF(ISNUMBER(X1812),IF(X1812&gt;$L$7,W1812,""),"")</f>
        <v/>
      </c>
      <c r="Z1812">
        <f>IF(ISNUMBER('자료_거시'!$K1794),'자료_거시'!$K1794,Z1811)</f>
        <v/>
      </c>
      <c r="AA1812">
        <f>IF(AND(ISNUMBER('자료_거시'!$J1794),ISNUMBER('자료_거시'!$K1794)),IFERROR('자료_거시'!$K1794/INDEX($Z$21:$Z$4020,MATCH(EDATE('자료_거시'!$J1794,-'설정'!$B$17),'자료_거시'!$J$3:INDEX('자료_거시'!$J$3:$J$4002,$K$8),1))-1,""),"")</f>
        <v/>
      </c>
      <c r="AB1812">
        <f>IF(ISNUMBER(AA1812),'자료_거시'!$J1794,"")</f>
        <v/>
      </c>
      <c r="AC1812">
        <f>IF(ISNUMBER(AB1812),IF(AB1812&gt;$L$8,AA1812,""),"")</f>
        <v/>
      </c>
    </row>
    <row r="1813">
      <c r="S1813">
        <f>IF(ISNUMBER('자료_거시'!$E1795),'자료_거시'!$E1795,S1812)</f>
        <v/>
      </c>
      <c r="T1813">
        <f>IF(AND(ISNUMBER('자료_거시'!$D1795),ISNUMBER('자료_거시'!$E1795)),IFERROR('자료_거시'!$E1795-INDEX($S$21:$S$4020,MATCH(EDATE('자료_거시'!$D1795,-'설정'!$B$17),'자료_거시'!$D$3:INDEX('자료_거시'!$D$3:$D$4002,$K$6),1)),""),"")</f>
        <v/>
      </c>
      <c r="U1813">
        <f>IF(ISNUMBER(T1813),'자료_거시'!$D1795,"")</f>
        <v/>
      </c>
      <c r="V1813">
        <f>IF(ISNUMBER(U1813),IF(U1813&gt;$L$6,T1813,""),"")</f>
        <v/>
      </c>
      <c r="W1813">
        <f>IF(AND(ISNUMBER('자료_거시'!$G1795),ISNUMBER('자료_거시'!$H1795)),'자료_거시'!$H1795,"")</f>
        <v/>
      </c>
      <c r="X1813">
        <f>IF(ISNUMBER(W1813),'자료_거시'!$G1795,"")</f>
        <v/>
      </c>
      <c r="Y1813">
        <f>IF(ISNUMBER(X1813),IF(X1813&gt;$L$7,W1813,""),"")</f>
        <v/>
      </c>
      <c r="Z1813">
        <f>IF(ISNUMBER('자료_거시'!$K1795),'자료_거시'!$K1795,Z1812)</f>
        <v/>
      </c>
      <c r="AA1813">
        <f>IF(AND(ISNUMBER('자료_거시'!$J1795),ISNUMBER('자료_거시'!$K1795)),IFERROR('자료_거시'!$K1795/INDEX($Z$21:$Z$4020,MATCH(EDATE('자료_거시'!$J1795,-'설정'!$B$17),'자료_거시'!$J$3:INDEX('자료_거시'!$J$3:$J$4002,$K$8),1))-1,""),"")</f>
        <v/>
      </c>
      <c r="AB1813">
        <f>IF(ISNUMBER(AA1813),'자료_거시'!$J1795,"")</f>
        <v/>
      </c>
      <c r="AC1813">
        <f>IF(ISNUMBER(AB1813),IF(AB1813&gt;$L$8,AA1813,""),"")</f>
        <v/>
      </c>
    </row>
    <row r="1814">
      <c r="S1814">
        <f>IF(ISNUMBER('자료_거시'!$E1796),'자료_거시'!$E1796,S1813)</f>
        <v/>
      </c>
      <c r="T1814">
        <f>IF(AND(ISNUMBER('자료_거시'!$D1796),ISNUMBER('자료_거시'!$E1796)),IFERROR('자료_거시'!$E1796-INDEX($S$21:$S$4020,MATCH(EDATE('자료_거시'!$D1796,-'설정'!$B$17),'자료_거시'!$D$3:INDEX('자료_거시'!$D$3:$D$4002,$K$6),1)),""),"")</f>
        <v/>
      </c>
      <c r="U1814">
        <f>IF(ISNUMBER(T1814),'자료_거시'!$D1796,"")</f>
        <v/>
      </c>
      <c r="V1814">
        <f>IF(ISNUMBER(U1814),IF(U1814&gt;$L$6,T1814,""),"")</f>
        <v/>
      </c>
      <c r="W1814">
        <f>IF(AND(ISNUMBER('자료_거시'!$G1796),ISNUMBER('자료_거시'!$H1796)),'자료_거시'!$H1796,"")</f>
        <v/>
      </c>
      <c r="X1814">
        <f>IF(ISNUMBER(W1814),'자료_거시'!$G1796,"")</f>
        <v/>
      </c>
      <c r="Y1814">
        <f>IF(ISNUMBER(X1814),IF(X1814&gt;$L$7,W1814,""),"")</f>
        <v/>
      </c>
      <c r="Z1814">
        <f>IF(ISNUMBER('자료_거시'!$K1796),'자료_거시'!$K1796,Z1813)</f>
        <v/>
      </c>
      <c r="AA1814">
        <f>IF(AND(ISNUMBER('자료_거시'!$J1796),ISNUMBER('자료_거시'!$K1796)),IFERROR('자료_거시'!$K1796/INDEX($Z$21:$Z$4020,MATCH(EDATE('자료_거시'!$J1796,-'설정'!$B$17),'자료_거시'!$J$3:INDEX('자료_거시'!$J$3:$J$4002,$K$8),1))-1,""),"")</f>
        <v/>
      </c>
      <c r="AB1814">
        <f>IF(ISNUMBER(AA1814),'자료_거시'!$J1796,"")</f>
        <v/>
      </c>
      <c r="AC1814">
        <f>IF(ISNUMBER(AB1814),IF(AB1814&gt;$L$8,AA1814,""),"")</f>
        <v/>
      </c>
    </row>
    <row r="1815">
      <c r="S1815">
        <f>IF(ISNUMBER('자료_거시'!$E1797),'자료_거시'!$E1797,S1814)</f>
        <v/>
      </c>
      <c r="T1815">
        <f>IF(AND(ISNUMBER('자료_거시'!$D1797),ISNUMBER('자료_거시'!$E1797)),IFERROR('자료_거시'!$E1797-INDEX($S$21:$S$4020,MATCH(EDATE('자료_거시'!$D1797,-'설정'!$B$17),'자료_거시'!$D$3:INDEX('자료_거시'!$D$3:$D$4002,$K$6),1)),""),"")</f>
        <v/>
      </c>
      <c r="U1815">
        <f>IF(ISNUMBER(T1815),'자료_거시'!$D1797,"")</f>
        <v/>
      </c>
      <c r="V1815">
        <f>IF(ISNUMBER(U1815),IF(U1815&gt;$L$6,T1815,""),"")</f>
        <v/>
      </c>
      <c r="W1815">
        <f>IF(AND(ISNUMBER('자료_거시'!$G1797),ISNUMBER('자료_거시'!$H1797)),'자료_거시'!$H1797,"")</f>
        <v/>
      </c>
      <c r="X1815">
        <f>IF(ISNUMBER(W1815),'자료_거시'!$G1797,"")</f>
        <v/>
      </c>
      <c r="Y1815">
        <f>IF(ISNUMBER(X1815),IF(X1815&gt;$L$7,W1815,""),"")</f>
        <v/>
      </c>
      <c r="Z1815">
        <f>IF(ISNUMBER('자료_거시'!$K1797),'자료_거시'!$K1797,Z1814)</f>
        <v/>
      </c>
      <c r="AA1815">
        <f>IF(AND(ISNUMBER('자료_거시'!$J1797),ISNUMBER('자료_거시'!$K1797)),IFERROR('자료_거시'!$K1797/INDEX($Z$21:$Z$4020,MATCH(EDATE('자료_거시'!$J1797,-'설정'!$B$17),'자료_거시'!$J$3:INDEX('자료_거시'!$J$3:$J$4002,$K$8),1))-1,""),"")</f>
        <v/>
      </c>
      <c r="AB1815">
        <f>IF(ISNUMBER(AA1815),'자료_거시'!$J1797,"")</f>
        <v/>
      </c>
      <c r="AC1815">
        <f>IF(ISNUMBER(AB1815),IF(AB1815&gt;$L$8,AA1815,""),"")</f>
        <v/>
      </c>
    </row>
    <row r="1816">
      <c r="S1816">
        <f>IF(ISNUMBER('자료_거시'!$E1798),'자료_거시'!$E1798,S1815)</f>
        <v/>
      </c>
      <c r="T1816">
        <f>IF(AND(ISNUMBER('자료_거시'!$D1798),ISNUMBER('자료_거시'!$E1798)),IFERROR('자료_거시'!$E1798-INDEX($S$21:$S$4020,MATCH(EDATE('자료_거시'!$D1798,-'설정'!$B$17),'자료_거시'!$D$3:INDEX('자료_거시'!$D$3:$D$4002,$K$6),1)),""),"")</f>
        <v/>
      </c>
      <c r="U1816">
        <f>IF(ISNUMBER(T1816),'자료_거시'!$D1798,"")</f>
        <v/>
      </c>
      <c r="V1816">
        <f>IF(ISNUMBER(U1816),IF(U1816&gt;$L$6,T1816,""),"")</f>
        <v/>
      </c>
      <c r="W1816">
        <f>IF(AND(ISNUMBER('자료_거시'!$G1798),ISNUMBER('자료_거시'!$H1798)),'자료_거시'!$H1798,"")</f>
        <v/>
      </c>
      <c r="X1816">
        <f>IF(ISNUMBER(W1816),'자료_거시'!$G1798,"")</f>
        <v/>
      </c>
      <c r="Y1816">
        <f>IF(ISNUMBER(X1816),IF(X1816&gt;$L$7,W1816,""),"")</f>
        <v/>
      </c>
      <c r="Z1816">
        <f>IF(ISNUMBER('자료_거시'!$K1798),'자료_거시'!$K1798,Z1815)</f>
        <v/>
      </c>
      <c r="AA1816">
        <f>IF(AND(ISNUMBER('자료_거시'!$J1798),ISNUMBER('자료_거시'!$K1798)),IFERROR('자료_거시'!$K1798/INDEX($Z$21:$Z$4020,MATCH(EDATE('자료_거시'!$J1798,-'설정'!$B$17),'자료_거시'!$J$3:INDEX('자료_거시'!$J$3:$J$4002,$K$8),1))-1,""),"")</f>
        <v/>
      </c>
      <c r="AB1816">
        <f>IF(ISNUMBER(AA1816),'자료_거시'!$J1798,"")</f>
        <v/>
      </c>
      <c r="AC1816">
        <f>IF(ISNUMBER(AB1816),IF(AB1816&gt;$L$8,AA1816,""),"")</f>
        <v/>
      </c>
    </row>
    <row r="1817">
      <c r="S1817">
        <f>IF(ISNUMBER('자료_거시'!$E1799),'자료_거시'!$E1799,S1816)</f>
        <v/>
      </c>
      <c r="T1817">
        <f>IF(AND(ISNUMBER('자료_거시'!$D1799),ISNUMBER('자료_거시'!$E1799)),IFERROR('자료_거시'!$E1799-INDEX($S$21:$S$4020,MATCH(EDATE('자료_거시'!$D1799,-'설정'!$B$17),'자료_거시'!$D$3:INDEX('자료_거시'!$D$3:$D$4002,$K$6),1)),""),"")</f>
        <v/>
      </c>
      <c r="U1817">
        <f>IF(ISNUMBER(T1817),'자료_거시'!$D1799,"")</f>
        <v/>
      </c>
      <c r="V1817">
        <f>IF(ISNUMBER(U1817),IF(U1817&gt;$L$6,T1817,""),"")</f>
        <v/>
      </c>
      <c r="W1817">
        <f>IF(AND(ISNUMBER('자료_거시'!$G1799),ISNUMBER('자료_거시'!$H1799)),'자료_거시'!$H1799,"")</f>
        <v/>
      </c>
      <c r="X1817">
        <f>IF(ISNUMBER(W1817),'자료_거시'!$G1799,"")</f>
        <v/>
      </c>
      <c r="Y1817">
        <f>IF(ISNUMBER(X1817),IF(X1817&gt;$L$7,W1817,""),"")</f>
        <v/>
      </c>
      <c r="Z1817">
        <f>IF(ISNUMBER('자료_거시'!$K1799),'자료_거시'!$K1799,Z1816)</f>
        <v/>
      </c>
      <c r="AA1817">
        <f>IF(AND(ISNUMBER('자료_거시'!$J1799),ISNUMBER('자료_거시'!$K1799)),IFERROR('자료_거시'!$K1799/INDEX($Z$21:$Z$4020,MATCH(EDATE('자료_거시'!$J1799,-'설정'!$B$17),'자료_거시'!$J$3:INDEX('자료_거시'!$J$3:$J$4002,$K$8),1))-1,""),"")</f>
        <v/>
      </c>
      <c r="AB1817">
        <f>IF(ISNUMBER(AA1817),'자료_거시'!$J1799,"")</f>
        <v/>
      </c>
      <c r="AC1817">
        <f>IF(ISNUMBER(AB1817),IF(AB1817&gt;$L$8,AA1817,""),"")</f>
        <v/>
      </c>
    </row>
    <row r="1818">
      <c r="S1818">
        <f>IF(ISNUMBER('자료_거시'!$E1800),'자료_거시'!$E1800,S1817)</f>
        <v/>
      </c>
      <c r="T1818">
        <f>IF(AND(ISNUMBER('자료_거시'!$D1800),ISNUMBER('자료_거시'!$E1800)),IFERROR('자료_거시'!$E1800-INDEX($S$21:$S$4020,MATCH(EDATE('자료_거시'!$D1800,-'설정'!$B$17),'자료_거시'!$D$3:INDEX('자료_거시'!$D$3:$D$4002,$K$6),1)),""),"")</f>
        <v/>
      </c>
      <c r="U1818">
        <f>IF(ISNUMBER(T1818),'자료_거시'!$D1800,"")</f>
        <v/>
      </c>
      <c r="V1818">
        <f>IF(ISNUMBER(U1818),IF(U1818&gt;$L$6,T1818,""),"")</f>
        <v/>
      </c>
      <c r="W1818">
        <f>IF(AND(ISNUMBER('자료_거시'!$G1800),ISNUMBER('자료_거시'!$H1800)),'자료_거시'!$H1800,"")</f>
        <v/>
      </c>
      <c r="X1818">
        <f>IF(ISNUMBER(W1818),'자료_거시'!$G1800,"")</f>
        <v/>
      </c>
      <c r="Y1818">
        <f>IF(ISNUMBER(X1818),IF(X1818&gt;$L$7,W1818,""),"")</f>
        <v/>
      </c>
      <c r="Z1818">
        <f>IF(ISNUMBER('자료_거시'!$K1800),'자료_거시'!$K1800,Z1817)</f>
        <v/>
      </c>
      <c r="AA1818">
        <f>IF(AND(ISNUMBER('자료_거시'!$J1800),ISNUMBER('자료_거시'!$K1800)),IFERROR('자료_거시'!$K1800/INDEX($Z$21:$Z$4020,MATCH(EDATE('자료_거시'!$J1800,-'설정'!$B$17),'자료_거시'!$J$3:INDEX('자료_거시'!$J$3:$J$4002,$K$8),1))-1,""),"")</f>
        <v/>
      </c>
      <c r="AB1818">
        <f>IF(ISNUMBER(AA1818),'자료_거시'!$J1800,"")</f>
        <v/>
      </c>
      <c r="AC1818">
        <f>IF(ISNUMBER(AB1818),IF(AB1818&gt;$L$8,AA1818,""),"")</f>
        <v/>
      </c>
    </row>
    <row r="1819">
      <c r="S1819">
        <f>IF(ISNUMBER('자료_거시'!$E1801),'자료_거시'!$E1801,S1818)</f>
        <v/>
      </c>
      <c r="T1819">
        <f>IF(AND(ISNUMBER('자료_거시'!$D1801),ISNUMBER('자료_거시'!$E1801)),IFERROR('자료_거시'!$E1801-INDEX($S$21:$S$4020,MATCH(EDATE('자료_거시'!$D1801,-'설정'!$B$17),'자료_거시'!$D$3:INDEX('자료_거시'!$D$3:$D$4002,$K$6),1)),""),"")</f>
        <v/>
      </c>
      <c r="U1819">
        <f>IF(ISNUMBER(T1819),'자료_거시'!$D1801,"")</f>
        <v/>
      </c>
      <c r="V1819">
        <f>IF(ISNUMBER(U1819),IF(U1819&gt;$L$6,T1819,""),"")</f>
        <v/>
      </c>
      <c r="W1819">
        <f>IF(AND(ISNUMBER('자료_거시'!$G1801),ISNUMBER('자료_거시'!$H1801)),'자료_거시'!$H1801,"")</f>
        <v/>
      </c>
      <c r="X1819">
        <f>IF(ISNUMBER(W1819),'자료_거시'!$G1801,"")</f>
        <v/>
      </c>
      <c r="Y1819">
        <f>IF(ISNUMBER(X1819),IF(X1819&gt;$L$7,W1819,""),"")</f>
        <v/>
      </c>
      <c r="Z1819">
        <f>IF(ISNUMBER('자료_거시'!$K1801),'자료_거시'!$K1801,Z1818)</f>
        <v/>
      </c>
      <c r="AA1819">
        <f>IF(AND(ISNUMBER('자료_거시'!$J1801),ISNUMBER('자료_거시'!$K1801)),IFERROR('자료_거시'!$K1801/INDEX($Z$21:$Z$4020,MATCH(EDATE('자료_거시'!$J1801,-'설정'!$B$17),'자료_거시'!$J$3:INDEX('자료_거시'!$J$3:$J$4002,$K$8),1))-1,""),"")</f>
        <v/>
      </c>
      <c r="AB1819">
        <f>IF(ISNUMBER(AA1819),'자료_거시'!$J1801,"")</f>
        <v/>
      </c>
      <c r="AC1819">
        <f>IF(ISNUMBER(AB1819),IF(AB1819&gt;$L$8,AA1819,""),"")</f>
        <v/>
      </c>
    </row>
    <row r="1820">
      <c r="S1820">
        <f>IF(ISNUMBER('자료_거시'!$E1802),'자료_거시'!$E1802,S1819)</f>
        <v/>
      </c>
      <c r="T1820">
        <f>IF(AND(ISNUMBER('자료_거시'!$D1802),ISNUMBER('자료_거시'!$E1802)),IFERROR('자료_거시'!$E1802-INDEX($S$21:$S$4020,MATCH(EDATE('자료_거시'!$D1802,-'설정'!$B$17),'자료_거시'!$D$3:INDEX('자료_거시'!$D$3:$D$4002,$K$6),1)),""),"")</f>
        <v/>
      </c>
      <c r="U1820">
        <f>IF(ISNUMBER(T1820),'자료_거시'!$D1802,"")</f>
        <v/>
      </c>
      <c r="V1820">
        <f>IF(ISNUMBER(U1820),IF(U1820&gt;$L$6,T1820,""),"")</f>
        <v/>
      </c>
      <c r="W1820">
        <f>IF(AND(ISNUMBER('자료_거시'!$G1802),ISNUMBER('자료_거시'!$H1802)),'자료_거시'!$H1802,"")</f>
        <v/>
      </c>
      <c r="X1820">
        <f>IF(ISNUMBER(W1820),'자료_거시'!$G1802,"")</f>
        <v/>
      </c>
      <c r="Y1820">
        <f>IF(ISNUMBER(X1820),IF(X1820&gt;$L$7,W1820,""),"")</f>
        <v/>
      </c>
      <c r="Z1820">
        <f>IF(ISNUMBER('자료_거시'!$K1802),'자료_거시'!$K1802,Z1819)</f>
        <v/>
      </c>
      <c r="AA1820">
        <f>IF(AND(ISNUMBER('자료_거시'!$J1802),ISNUMBER('자료_거시'!$K1802)),IFERROR('자료_거시'!$K1802/INDEX($Z$21:$Z$4020,MATCH(EDATE('자료_거시'!$J1802,-'설정'!$B$17),'자료_거시'!$J$3:INDEX('자료_거시'!$J$3:$J$4002,$K$8),1))-1,""),"")</f>
        <v/>
      </c>
      <c r="AB1820">
        <f>IF(ISNUMBER(AA1820),'자료_거시'!$J1802,"")</f>
        <v/>
      </c>
      <c r="AC1820">
        <f>IF(ISNUMBER(AB1820),IF(AB1820&gt;$L$8,AA1820,""),"")</f>
        <v/>
      </c>
    </row>
    <row r="1821">
      <c r="S1821">
        <f>IF(ISNUMBER('자료_거시'!$E1803),'자료_거시'!$E1803,S1820)</f>
        <v/>
      </c>
      <c r="T1821">
        <f>IF(AND(ISNUMBER('자료_거시'!$D1803),ISNUMBER('자료_거시'!$E1803)),IFERROR('자료_거시'!$E1803-INDEX($S$21:$S$4020,MATCH(EDATE('자료_거시'!$D1803,-'설정'!$B$17),'자료_거시'!$D$3:INDEX('자료_거시'!$D$3:$D$4002,$K$6),1)),""),"")</f>
        <v/>
      </c>
      <c r="U1821">
        <f>IF(ISNUMBER(T1821),'자료_거시'!$D1803,"")</f>
        <v/>
      </c>
      <c r="V1821">
        <f>IF(ISNUMBER(U1821),IF(U1821&gt;$L$6,T1821,""),"")</f>
        <v/>
      </c>
      <c r="W1821">
        <f>IF(AND(ISNUMBER('자료_거시'!$G1803),ISNUMBER('자료_거시'!$H1803)),'자료_거시'!$H1803,"")</f>
        <v/>
      </c>
      <c r="X1821">
        <f>IF(ISNUMBER(W1821),'자료_거시'!$G1803,"")</f>
        <v/>
      </c>
      <c r="Y1821">
        <f>IF(ISNUMBER(X1821),IF(X1821&gt;$L$7,W1821,""),"")</f>
        <v/>
      </c>
      <c r="Z1821">
        <f>IF(ISNUMBER('자료_거시'!$K1803),'자료_거시'!$K1803,Z1820)</f>
        <v/>
      </c>
      <c r="AA1821">
        <f>IF(AND(ISNUMBER('자료_거시'!$J1803),ISNUMBER('자료_거시'!$K1803)),IFERROR('자료_거시'!$K1803/INDEX($Z$21:$Z$4020,MATCH(EDATE('자료_거시'!$J1803,-'설정'!$B$17),'자료_거시'!$J$3:INDEX('자료_거시'!$J$3:$J$4002,$K$8),1))-1,""),"")</f>
        <v/>
      </c>
      <c r="AB1821">
        <f>IF(ISNUMBER(AA1821),'자료_거시'!$J1803,"")</f>
        <v/>
      </c>
      <c r="AC1821">
        <f>IF(ISNUMBER(AB1821),IF(AB1821&gt;$L$8,AA1821,""),"")</f>
        <v/>
      </c>
    </row>
    <row r="1822">
      <c r="S1822">
        <f>IF(ISNUMBER('자료_거시'!$E1804),'자료_거시'!$E1804,S1821)</f>
        <v/>
      </c>
      <c r="T1822">
        <f>IF(AND(ISNUMBER('자료_거시'!$D1804),ISNUMBER('자료_거시'!$E1804)),IFERROR('자료_거시'!$E1804-INDEX($S$21:$S$4020,MATCH(EDATE('자료_거시'!$D1804,-'설정'!$B$17),'자료_거시'!$D$3:INDEX('자료_거시'!$D$3:$D$4002,$K$6),1)),""),"")</f>
        <v/>
      </c>
      <c r="U1822">
        <f>IF(ISNUMBER(T1822),'자료_거시'!$D1804,"")</f>
        <v/>
      </c>
      <c r="V1822">
        <f>IF(ISNUMBER(U1822),IF(U1822&gt;$L$6,T1822,""),"")</f>
        <v/>
      </c>
      <c r="W1822">
        <f>IF(AND(ISNUMBER('자료_거시'!$G1804),ISNUMBER('자료_거시'!$H1804)),'자료_거시'!$H1804,"")</f>
        <v/>
      </c>
      <c r="X1822">
        <f>IF(ISNUMBER(W1822),'자료_거시'!$G1804,"")</f>
        <v/>
      </c>
      <c r="Y1822">
        <f>IF(ISNUMBER(X1822),IF(X1822&gt;$L$7,W1822,""),"")</f>
        <v/>
      </c>
      <c r="Z1822">
        <f>IF(ISNUMBER('자료_거시'!$K1804),'자료_거시'!$K1804,Z1821)</f>
        <v/>
      </c>
      <c r="AA1822">
        <f>IF(AND(ISNUMBER('자료_거시'!$J1804),ISNUMBER('자료_거시'!$K1804)),IFERROR('자료_거시'!$K1804/INDEX($Z$21:$Z$4020,MATCH(EDATE('자료_거시'!$J1804,-'설정'!$B$17),'자료_거시'!$J$3:INDEX('자료_거시'!$J$3:$J$4002,$K$8),1))-1,""),"")</f>
        <v/>
      </c>
      <c r="AB1822">
        <f>IF(ISNUMBER(AA1822),'자료_거시'!$J1804,"")</f>
        <v/>
      </c>
      <c r="AC1822">
        <f>IF(ISNUMBER(AB1822),IF(AB1822&gt;$L$8,AA1822,""),"")</f>
        <v/>
      </c>
    </row>
    <row r="1823">
      <c r="S1823">
        <f>IF(ISNUMBER('자료_거시'!$E1805),'자료_거시'!$E1805,S1822)</f>
        <v/>
      </c>
      <c r="T1823">
        <f>IF(AND(ISNUMBER('자료_거시'!$D1805),ISNUMBER('자료_거시'!$E1805)),IFERROR('자료_거시'!$E1805-INDEX($S$21:$S$4020,MATCH(EDATE('자료_거시'!$D1805,-'설정'!$B$17),'자료_거시'!$D$3:INDEX('자료_거시'!$D$3:$D$4002,$K$6),1)),""),"")</f>
        <v/>
      </c>
      <c r="U1823">
        <f>IF(ISNUMBER(T1823),'자료_거시'!$D1805,"")</f>
        <v/>
      </c>
      <c r="V1823">
        <f>IF(ISNUMBER(U1823),IF(U1823&gt;$L$6,T1823,""),"")</f>
        <v/>
      </c>
      <c r="W1823">
        <f>IF(AND(ISNUMBER('자료_거시'!$G1805),ISNUMBER('자료_거시'!$H1805)),'자료_거시'!$H1805,"")</f>
        <v/>
      </c>
      <c r="X1823">
        <f>IF(ISNUMBER(W1823),'자료_거시'!$G1805,"")</f>
        <v/>
      </c>
      <c r="Y1823">
        <f>IF(ISNUMBER(X1823),IF(X1823&gt;$L$7,W1823,""),"")</f>
        <v/>
      </c>
      <c r="Z1823">
        <f>IF(ISNUMBER('자료_거시'!$K1805),'자료_거시'!$K1805,Z1822)</f>
        <v/>
      </c>
      <c r="AA1823">
        <f>IF(AND(ISNUMBER('자료_거시'!$J1805),ISNUMBER('자료_거시'!$K1805)),IFERROR('자료_거시'!$K1805/INDEX($Z$21:$Z$4020,MATCH(EDATE('자료_거시'!$J1805,-'설정'!$B$17),'자료_거시'!$J$3:INDEX('자료_거시'!$J$3:$J$4002,$K$8),1))-1,""),"")</f>
        <v/>
      </c>
      <c r="AB1823">
        <f>IF(ISNUMBER(AA1823),'자료_거시'!$J1805,"")</f>
        <v/>
      </c>
      <c r="AC1823">
        <f>IF(ISNUMBER(AB1823),IF(AB1823&gt;$L$8,AA1823,""),"")</f>
        <v/>
      </c>
    </row>
    <row r="1824">
      <c r="S1824">
        <f>IF(ISNUMBER('자료_거시'!$E1806),'자료_거시'!$E1806,S1823)</f>
        <v/>
      </c>
      <c r="T1824">
        <f>IF(AND(ISNUMBER('자료_거시'!$D1806),ISNUMBER('자료_거시'!$E1806)),IFERROR('자료_거시'!$E1806-INDEX($S$21:$S$4020,MATCH(EDATE('자료_거시'!$D1806,-'설정'!$B$17),'자료_거시'!$D$3:INDEX('자료_거시'!$D$3:$D$4002,$K$6),1)),""),"")</f>
        <v/>
      </c>
      <c r="U1824">
        <f>IF(ISNUMBER(T1824),'자료_거시'!$D1806,"")</f>
        <v/>
      </c>
      <c r="V1824">
        <f>IF(ISNUMBER(U1824),IF(U1824&gt;$L$6,T1824,""),"")</f>
        <v/>
      </c>
      <c r="W1824">
        <f>IF(AND(ISNUMBER('자료_거시'!$G1806),ISNUMBER('자료_거시'!$H1806)),'자료_거시'!$H1806,"")</f>
        <v/>
      </c>
      <c r="X1824">
        <f>IF(ISNUMBER(W1824),'자료_거시'!$G1806,"")</f>
        <v/>
      </c>
      <c r="Y1824">
        <f>IF(ISNUMBER(X1824),IF(X1824&gt;$L$7,W1824,""),"")</f>
        <v/>
      </c>
      <c r="Z1824">
        <f>IF(ISNUMBER('자료_거시'!$K1806),'자료_거시'!$K1806,Z1823)</f>
        <v/>
      </c>
      <c r="AA1824">
        <f>IF(AND(ISNUMBER('자료_거시'!$J1806),ISNUMBER('자료_거시'!$K1806)),IFERROR('자료_거시'!$K1806/INDEX($Z$21:$Z$4020,MATCH(EDATE('자료_거시'!$J1806,-'설정'!$B$17),'자료_거시'!$J$3:INDEX('자료_거시'!$J$3:$J$4002,$K$8),1))-1,""),"")</f>
        <v/>
      </c>
      <c r="AB1824">
        <f>IF(ISNUMBER(AA1824),'자료_거시'!$J1806,"")</f>
        <v/>
      </c>
      <c r="AC1824">
        <f>IF(ISNUMBER(AB1824),IF(AB1824&gt;$L$8,AA1824,""),"")</f>
        <v/>
      </c>
    </row>
    <row r="1825">
      <c r="S1825">
        <f>IF(ISNUMBER('자료_거시'!$E1807),'자료_거시'!$E1807,S1824)</f>
        <v/>
      </c>
      <c r="T1825">
        <f>IF(AND(ISNUMBER('자료_거시'!$D1807),ISNUMBER('자료_거시'!$E1807)),IFERROR('자료_거시'!$E1807-INDEX($S$21:$S$4020,MATCH(EDATE('자료_거시'!$D1807,-'설정'!$B$17),'자료_거시'!$D$3:INDEX('자료_거시'!$D$3:$D$4002,$K$6),1)),""),"")</f>
        <v/>
      </c>
      <c r="U1825">
        <f>IF(ISNUMBER(T1825),'자료_거시'!$D1807,"")</f>
        <v/>
      </c>
      <c r="V1825">
        <f>IF(ISNUMBER(U1825),IF(U1825&gt;$L$6,T1825,""),"")</f>
        <v/>
      </c>
      <c r="W1825">
        <f>IF(AND(ISNUMBER('자료_거시'!$G1807),ISNUMBER('자료_거시'!$H1807)),'자료_거시'!$H1807,"")</f>
        <v/>
      </c>
      <c r="X1825">
        <f>IF(ISNUMBER(W1825),'자료_거시'!$G1807,"")</f>
        <v/>
      </c>
      <c r="Y1825">
        <f>IF(ISNUMBER(X1825),IF(X1825&gt;$L$7,W1825,""),"")</f>
        <v/>
      </c>
      <c r="Z1825">
        <f>IF(ISNUMBER('자료_거시'!$K1807),'자료_거시'!$K1807,Z1824)</f>
        <v/>
      </c>
      <c r="AA1825">
        <f>IF(AND(ISNUMBER('자료_거시'!$J1807),ISNUMBER('자료_거시'!$K1807)),IFERROR('자료_거시'!$K1807/INDEX($Z$21:$Z$4020,MATCH(EDATE('자료_거시'!$J1807,-'설정'!$B$17),'자료_거시'!$J$3:INDEX('자료_거시'!$J$3:$J$4002,$K$8),1))-1,""),"")</f>
        <v/>
      </c>
      <c r="AB1825">
        <f>IF(ISNUMBER(AA1825),'자료_거시'!$J1807,"")</f>
        <v/>
      </c>
      <c r="AC1825">
        <f>IF(ISNUMBER(AB1825),IF(AB1825&gt;$L$8,AA1825,""),"")</f>
        <v/>
      </c>
    </row>
    <row r="1826">
      <c r="S1826">
        <f>IF(ISNUMBER('자료_거시'!$E1808),'자료_거시'!$E1808,S1825)</f>
        <v/>
      </c>
      <c r="T1826">
        <f>IF(AND(ISNUMBER('자료_거시'!$D1808),ISNUMBER('자료_거시'!$E1808)),IFERROR('자료_거시'!$E1808-INDEX($S$21:$S$4020,MATCH(EDATE('자료_거시'!$D1808,-'설정'!$B$17),'자료_거시'!$D$3:INDEX('자료_거시'!$D$3:$D$4002,$K$6),1)),""),"")</f>
        <v/>
      </c>
      <c r="U1826">
        <f>IF(ISNUMBER(T1826),'자료_거시'!$D1808,"")</f>
        <v/>
      </c>
      <c r="V1826">
        <f>IF(ISNUMBER(U1826),IF(U1826&gt;$L$6,T1826,""),"")</f>
        <v/>
      </c>
      <c r="W1826">
        <f>IF(AND(ISNUMBER('자료_거시'!$G1808),ISNUMBER('자료_거시'!$H1808)),'자료_거시'!$H1808,"")</f>
        <v/>
      </c>
      <c r="X1826">
        <f>IF(ISNUMBER(W1826),'자료_거시'!$G1808,"")</f>
        <v/>
      </c>
      <c r="Y1826">
        <f>IF(ISNUMBER(X1826),IF(X1826&gt;$L$7,W1826,""),"")</f>
        <v/>
      </c>
      <c r="Z1826">
        <f>IF(ISNUMBER('자료_거시'!$K1808),'자료_거시'!$K1808,Z1825)</f>
        <v/>
      </c>
      <c r="AA1826">
        <f>IF(AND(ISNUMBER('자료_거시'!$J1808),ISNUMBER('자료_거시'!$K1808)),IFERROR('자료_거시'!$K1808/INDEX($Z$21:$Z$4020,MATCH(EDATE('자료_거시'!$J1808,-'설정'!$B$17),'자료_거시'!$J$3:INDEX('자료_거시'!$J$3:$J$4002,$K$8),1))-1,""),"")</f>
        <v/>
      </c>
      <c r="AB1826">
        <f>IF(ISNUMBER(AA1826),'자료_거시'!$J1808,"")</f>
        <v/>
      </c>
      <c r="AC1826">
        <f>IF(ISNUMBER(AB1826),IF(AB1826&gt;$L$8,AA1826,""),"")</f>
        <v/>
      </c>
    </row>
    <row r="1827">
      <c r="S1827">
        <f>IF(ISNUMBER('자료_거시'!$E1809),'자료_거시'!$E1809,S1826)</f>
        <v/>
      </c>
      <c r="T1827">
        <f>IF(AND(ISNUMBER('자료_거시'!$D1809),ISNUMBER('자료_거시'!$E1809)),IFERROR('자료_거시'!$E1809-INDEX($S$21:$S$4020,MATCH(EDATE('자료_거시'!$D1809,-'설정'!$B$17),'자료_거시'!$D$3:INDEX('자료_거시'!$D$3:$D$4002,$K$6),1)),""),"")</f>
        <v/>
      </c>
      <c r="U1827">
        <f>IF(ISNUMBER(T1827),'자료_거시'!$D1809,"")</f>
        <v/>
      </c>
      <c r="V1827">
        <f>IF(ISNUMBER(U1827),IF(U1827&gt;$L$6,T1827,""),"")</f>
        <v/>
      </c>
      <c r="W1827">
        <f>IF(AND(ISNUMBER('자료_거시'!$G1809),ISNUMBER('자료_거시'!$H1809)),'자료_거시'!$H1809,"")</f>
        <v/>
      </c>
      <c r="X1827">
        <f>IF(ISNUMBER(W1827),'자료_거시'!$G1809,"")</f>
        <v/>
      </c>
      <c r="Y1827">
        <f>IF(ISNUMBER(X1827),IF(X1827&gt;$L$7,W1827,""),"")</f>
        <v/>
      </c>
      <c r="Z1827">
        <f>IF(ISNUMBER('자료_거시'!$K1809),'자료_거시'!$K1809,Z1826)</f>
        <v/>
      </c>
      <c r="AA1827">
        <f>IF(AND(ISNUMBER('자료_거시'!$J1809),ISNUMBER('자료_거시'!$K1809)),IFERROR('자료_거시'!$K1809/INDEX($Z$21:$Z$4020,MATCH(EDATE('자료_거시'!$J1809,-'설정'!$B$17),'자료_거시'!$J$3:INDEX('자료_거시'!$J$3:$J$4002,$K$8),1))-1,""),"")</f>
        <v/>
      </c>
      <c r="AB1827">
        <f>IF(ISNUMBER(AA1827),'자료_거시'!$J1809,"")</f>
        <v/>
      </c>
      <c r="AC1827">
        <f>IF(ISNUMBER(AB1827),IF(AB1827&gt;$L$8,AA1827,""),"")</f>
        <v/>
      </c>
    </row>
    <row r="1828">
      <c r="S1828">
        <f>IF(ISNUMBER('자료_거시'!$E1810),'자료_거시'!$E1810,S1827)</f>
        <v/>
      </c>
      <c r="T1828">
        <f>IF(AND(ISNUMBER('자료_거시'!$D1810),ISNUMBER('자료_거시'!$E1810)),IFERROR('자료_거시'!$E1810-INDEX($S$21:$S$4020,MATCH(EDATE('자료_거시'!$D1810,-'설정'!$B$17),'자료_거시'!$D$3:INDEX('자료_거시'!$D$3:$D$4002,$K$6),1)),""),"")</f>
        <v/>
      </c>
      <c r="U1828">
        <f>IF(ISNUMBER(T1828),'자료_거시'!$D1810,"")</f>
        <v/>
      </c>
      <c r="V1828">
        <f>IF(ISNUMBER(U1828),IF(U1828&gt;$L$6,T1828,""),"")</f>
        <v/>
      </c>
      <c r="W1828">
        <f>IF(AND(ISNUMBER('자료_거시'!$G1810),ISNUMBER('자료_거시'!$H1810)),'자료_거시'!$H1810,"")</f>
        <v/>
      </c>
      <c r="X1828">
        <f>IF(ISNUMBER(W1828),'자료_거시'!$G1810,"")</f>
        <v/>
      </c>
      <c r="Y1828">
        <f>IF(ISNUMBER(X1828),IF(X1828&gt;$L$7,W1828,""),"")</f>
        <v/>
      </c>
      <c r="Z1828">
        <f>IF(ISNUMBER('자료_거시'!$K1810),'자료_거시'!$K1810,Z1827)</f>
        <v/>
      </c>
      <c r="AA1828">
        <f>IF(AND(ISNUMBER('자료_거시'!$J1810),ISNUMBER('자료_거시'!$K1810)),IFERROR('자료_거시'!$K1810/INDEX($Z$21:$Z$4020,MATCH(EDATE('자료_거시'!$J1810,-'설정'!$B$17),'자료_거시'!$J$3:INDEX('자료_거시'!$J$3:$J$4002,$K$8),1))-1,""),"")</f>
        <v/>
      </c>
      <c r="AB1828">
        <f>IF(ISNUMBER(AA1828),'자료_거시'!$J1810,"")</f>
        <v/>
      </c>
      <c r="AC1828">
        <f>IF(ISNUMBER(AB1828),IF(AB1828&gt;$L$8,AA1828,""),"")</f>
        <v/>
      </c>
    </row>
    <row r="1829">
      <c r="S1829">
        <f>IF(ISNUMBER('자료_거시'!$E1811),'자료_거시'!$E1811,S1828)</f>
        <v/>
      </c>
      <c r="T1829">
        <f>IF(AND(ISNUMBER('자료_거시'!$D1811),ISNUMBER('자료_거시'!$E1811)),IFERROR('자료_거시'!$E1811-INDEX($S$21:$S$4020,MATCH(EDATE('자료_거시'!$D1811,-'설정'!$B$17),'자료_거시'!$D$3:INDEX('자료_거시'!$D$3:$D$4002,$K$6),1)),""),"")</f>
        <v/>
      </c>
      <c r="U1829">
        <f>IF(ISNUMBER(T1829),'자료_거시'!$D1811,"")</f>
        <v/>
      </c>
      <c r="V1829">
        <f>IF(ISNUMBER(U1829),IF(U1829&gt;$L$6,T1829,""),"")</f>
        <v/>
      </c>
      <c r="W1829">
        <f>IF(AND(ISNUMBER('자료_거시'!$G1811),ISNUMBER('자료_거시'!$H1811)),'자료_거시'!$H1811,"")</f>
        <v/>
      </c>
      <c r="X1829">
        <f>IF(ISNUMBER(W1829),'자료_거시'!$G1811,"")</f>
        <v/>
      </c>
      <c r="Y1829">
        <f>IF(ISNUMBER(X1829),IF(X1829&gt;$L$7,W1829,""),"")</f>
        <v/>
      </c>
      <c r="Z1829">
        <f>IF(ISNUMBER('자료_거시'!$K1811),'자료_거시'!$K1811,Z1828)</f>
        <v/>
      </c>
      <c r="AA1829">
        <f>IF(AND(ISNUMBER('자료_거시'!$J1811),ISNUMBER('자료_거시'!$K1811)),IFERROR('자료_거시'!$K1811/INDEX($Z$21:$Z$4020,MATCH(EDATE('자료_거시'!$J1811,-'설정'!$B$17),'자료_거시'!$J$3:INDEX('자료_거시'!$J$3:$J$4002,$K$8),1))-1,""),"")</f>
        <v/>
      </c>
      <c r="AB1829">
        <f>IF(ISNUMBER(AA1829),'자료_거시'!$J1811,"")</f>
        <v/>
      </c>
      <c r="AC1829">
        <f>IF(ISNUMBER(AB1829),IF(AB1829&gt;$L$8,AA1829,""),"")</f>
        <v/>
      </c>
    </row>
    <row r="1830">
      <c r="S1830">
        <f>IF(ISNUMBER('자료_거시'!$E1812),'자료_거시'!$E1812,S1829)</f>
        <v/>
      </c>
      <c r="T1830">
        <f>IF(AND(ISNUMBER('자료_거시'!$D1812),ISNUMBER('자료_거시'!$E1812)),IFERROR('자료_거시'!$E1812-INDEX($S$21:$S$4020,MATCH(EDATE('자료_거시'!$D1812,-'설정'!$B$17),'자료_거시'!$D$3:INDEX('자료_거시'!$D$3:$D$4002,$K$6),1)),""),"")</f>
        <v/>
      </c>
      <c r="U1830">
        <f>IF(ISNUMBER(T1830),'자료_거시'!$D1812,"")</f>
        <v/>
      </c>
      <c r="V1830">
        <f>IF(ISNUMBER(U1830),IF(U1830&gt;$L$6,T1830,""),"")</f>
        <v/>
      </c>
      <c r="W1830">
        <f>IF(AND(ISNUMBER('자료_거시'!$G1812),ISNUMBER('자료_거시'!$H1812)),'자료_거시'!$H1812,"")</f>
        <v/>
      </c>
      <c r="X1830">
        <f>IF(ISNUMBER(W1830),'자료_거시'!$G1812,"")</f>
        <v/>
      </c>
      <c r="Y1830">
        <f>IF(ISNUMBER(X1830),IF(X1830&gt;$L$7,W1830,""),"")</f>
        <v/>
      </c>
      <c r="Z1830">
        <f>IF(ISNUMBER('자료_거시'!$K1812),'자료_거시'!$K1812,Z1829)</f>
        <v/>
      </c>
      <c r="AA1830">
        <f>IF(AND(ISNUMBER('자료_거시'!$J1812),ISNUMBER('자료_거시'!$K1812)),IFERROR('자료_거시'!$K1812/INDEX($Z$21:$Z$4020,MATCH(EDATE('자료_거시'!$J1812,-'설정'!$B$17),'자료_거시'!$J$3:INDEX('자료_거시'!$J$3:$J$4002,$K$8),1))-1,""),"")</f>
        <v/>
      </c>
      <c r="AB1830">
        <f>IF(ISNUMBER(AA1830),'자료_거시'!$J1812,"")</f>
        <v/>
      </c>
      <c r="AC1830">
        <f>IF(ISNUMBER(AB1830),IF(AB1830&gt;$L$8,AA1830,""),"")</f>
        <v/>
      </c>
    </row>
    <row r="1831">
      <c r="S1831">
        <f>IF(ISNUMBER('자료_거시'!$E1813),'자료_거시'!$E1813,S1830)</f>
        <v/>
      </c>
      <c r="T1831">
        <f>IF(AND(ISNUMBER('자료_거시'!$D1813),ISNUMBER('자료_거시'!$E1813)),IFERROR('자료_거시'!$E1813-INDEX($S$21:$S$4020,MATCH(EDATE('자료_거시'!$D1813,-'설정'!$B$17),'자료_거시'!$D$3:INDEX('자료_거시'!$D$3:$D$4002,$K$6),1)),""),"")</f>
        <v/>
      </c>
      <c r="U1831">
        <f>IF(ISNUMBER(T1831),'자료_거시'!$D1813,"")</f>
        <v/>
      </c>
      <c r="V1831">
        <f>IF(ISNUMBER(U1831),IF(U1831&gt;$L$6,T1831,""),"")</f>
        <v/>
      </c>
      <c r="W1831">
        <f>IF(AND(ISNUMBER('자료_거시'!$G1813),ISNUMBER('자료_거시'!$H1813)),'자료_거시'!$H1813,"")</f>
        <v/>
      </c>
      <c r="X1831">
        <f>IF(ISNUMBER(W1831),'자료_거시'!$G1813,"")</f>
        <v/>
      </c>
      <c r="Y1831">
        <f>IF(ISNUMBER(X1831),IF(X1831&gt;$L$7,W1831,""),"")</f>
        <v/>
      </c>
      <c r="Z1831">
        <f>IF(ISNUMBER('자료_거시'!$K1813),'자료_거시'!$K1813,Z1830)</f>
        <v/>
      </c>
      <c r="AA1831">
        <f>IF(AND(ISNUMBER('자료_거시'!$J1813),ISNUMBER('자료_거시'!$K1813)),IFERROR('자료_거시'!$K1813/INDEX($Z$21:$Z$4020,MATCH(EDATE('자료_거시'!$J1813,-'설정'!$B$17),'자료_거시'!$J$3:INDEX('자료_거시'!$J$3:$J$4002,$K$8),1))-1,""),"")</f>
        <v/>
      </c>
      <c r="AB1831">
        <f>IF(ISNUMBER(AA1831),'자료_거시'!$J1813,"")</f>
        <v/>
      </c>
      <c r="AC1831">
        <f>IF(ISNUMBER(AB1831),IF(AB1831&gt;$L$8,AA1831,""),"")</f>
        <v/>
      </c>
    </row>
    <row r="1832">
      <c r="S1832">
        <f>IF(ISNUMBER('자료_거시'!$E1814),'자료_거시'!$E1814,S1831)</f>
        <v/>
      </c>
      <c r="T1832">
        <f>IF(AND(ISNUMBER('자료_거시'!$D1814),ISNUMBER('자료_거시'!$E1814)),IFERROR('자료_거시'!$E1814-INDEX($S$21:$S$4020,MATCH(EDATE('자료_거시'!$D1814,-'설정'!$B$17),'자료_거시'!$D$3:INDEX('자료_거시'!$D$3:$D$4002,$K$6),1)),""),"")</f>
        <v/>
      </c>
      <c r="U1832">
        <f>IF(ISNUMBER(T1832),'자료_거시'!$D1814,"")</f>
        <v/>
      </c>
      <c r="V1832">
        <f>IF(ISNUMBER(U1832),IF(U1832&gt;$L$6,T1832,""),"")</f>
        <v/>
      </c>
      <c r="W1832">
        <f>IF(AND(ISNUMBER('자료_거시'!$G1814),ISNUMBER('자료_거시'!$H1814)),'자료_거시'!$H1814,"")</f>
        <v/>
      </c>
      <c r="X1832">
        <f>IF(ISNUMBER(W1832),'자료_거시'!$G1814,"")</f>
        <v/>
      </c>
      <c r="Y1832">
        <f>IF(ISNUMBER(X1832),IF(X1832&gt;$L$7,W1832,""),"")</f>
        <v/>
      </c>
      <c r="Z1832">
        <f>IF(ISNUMBER('자료_거시'!$K1814),'자료_거시'!$K1814,Z1831)</f>
        <v/>
      </c>
      <c r="AA1832">
        <f>IF(AND(ISNUMBER('자료_거시'!$J1814),ISNUMBER('자료_거시'!$K1814)),IFERROR('자료_거시'!$K1814/INDEX($Z$21:$Z$4020,MATCH(EDATE('자료_거시'!$J1814,-'설정'!$B$17),'자료_거시'!$J$3:INDEX('자료_거시'!$J$3:$J$4002,$K$8),1))-1,""),"")</f>
        <v/>
      </c>
      <c r="AB1832">
        <f>IF(ISNUMBER(AA1832),'자료_거시'!$J1814,"")</f>
        <v/>
      </c>
      <c r="AC1832">
        <f>IF(ISNUMBER(AB1832),IF(AB1832&gt;$L$8,AA1832,""),"")</f>
        <v/>
      </c>
    </row>
    <row r="1833">
      <c r="S1833">
        <f>IF(ISNUMBER('자료_거시'!$E1815),'자료_거시'!$E1815,S1832)</f>
        <v/>
      </c>
      <c r="T1833">
        <f>IF(AND(ISNUMBER('자료_거시'!$D1815),ISNUMBER('자료_거시'!$E1815)),IFERROR('자료_거시'!$E1815-INDEX($S$21:$S$4020,MATCH(EDATE('자료_거시'!$D1815,-'설정'!$B$17),'자료_거시'!$D$3:INDEX('자료_거시'!$D$3:$D$4002,$K$6),1)),""),"")</f>
        <v/>
      </c>
      <c r="U1833">
        <f>IF(ISNUMBER(T1833),'자료_거시'!$D1815,"")</f>
        <v/>
      </c>
      <c r="V1833">
        <f>IF(ISNUMBER(U1833),IF(U1833&gt;$L$6,T1833,""),"")</f>
        <v/>
      </c>
      <c r="W1833">
        <f>IF(AND(ISNUMBER('자료_거시'!$G1815),ISNUMBER('자료_거시'!$H1815)),'자료_거시'!$H1815,"")</f>
        <v/>
      </c>
      <c r="X1833">
        <f>IF(ISNUMBER(W1833),'자료_거시'!$G1815,"")</f>
        <v/>
      </c>
      <c r="Y1833">
        <f>IF(ISNUMBER(X1833),IF(X1833&gt;$L$7,W1833,""),"")</f>
        <v/>
      </c>
      <c r="Z1833">
        <f>IF(ISNUMBER('자료_거시'!$K1815),'자료_거시'!$K1815,Z1832)</f>
        <v/>
      </c>
      <c r="AA1833">
        <f>IF(AND(ISNUMBER('자료_거시'!$J1815),ISNUMBER('자료_거시'!$K1815)),IFERROR('자료_거시'!$K1815/INDEX($Z$21:$Z$4020,MATCH(EDATE('자료_거시'!$J1815,-'설정'!$B$17),'자료_거시'!$J$3:INDEX('자료_거시'!$J$3:$J$4002,$K$8),1))-1,""),"")</f>
        <v/>
      </c>
      <c r="AB1833">
        <f>IF(ISNUMBER(AA1833),'자료_거시'!$J1815,"")</f>
        <v/>
      </c>
      <c r="AC1833">
        <f>IF(ISNUMBER(AB1833),IF(AB1833&gt;$L$8,AA1833,""),"")</f>
        <v/>
      </c>
    </row>
    <row r="1834">
      <c r="S1834">
        <f>IF(ISNUMBER('자료_거시'!$E1816),'자료_거시'!$E1816,S1833)</f>
        <v/>
      </c>
      <c r="T1834">
        <f>IF(AND(ISNUMBER('자료_거시'!$D1816),ISNUMBER('자료_거시'!$E1816)),IFERROR('자료_거시'!$E1816-INDEX($S$21:$S$4020,MATCH(EDATE('자료_거시'!$D1816,-'설정'!$B$17),'자료_거시'!$D$3:INDEX('자료_거시'!$D$3:$D$4002,$K$6),1)),""),"")</f>
        <v/>
      </c>
      <c r="U1834">
        <f>IF(ISNUMBER(T1834),'자료_거시'!$D1816,"")</f>
        <v/>
      </c>
      <c r="V1834">
        <f>IF(ISNUMBER(U1834),IF(U1834&gt;$L$6,T1834,""),"")</f>
        <v/>
      </c>
      <c r="W1834">
        <f>IF(AND(ISNUMBER('자료_거시'!$G1816),ISNUMBER('자료_거시'!$H1816)),'자료_거시'!$H1816,"")</f>
        <v/>
      </c>
      <c r="X1834">
        <f>IF(ISNUMBER(W1834),'자료_거시'!$G1816,"")</f>
        <v/>
      </c>
      <c r="Y1834">
        <f>IF(ISNUMBER(X1834),IF(X1834&gt;$L$7,W1834,""),"")</f>
        <v/>
      </c>
      <c r="Z1834">
        <f>IF(ISNUMBER('자료_거시'!$K1816),'자료_거시'!$K1816,Z1833)</f>
        <v/>
      </c>
      <c r="AA1834">
        <f>IF(AND(ISNUMBER('자료_거시'!$J1816),ISNUMBER('자료_거시'!$K1816)),IFERROR('자료_거시'!$K1816/INDEX($Z$21:$Z$4020,MATCH(EDATE('자료_거시'!$J1816,-'설정'!$B$17),'자료_거시'!$J$3:INDEX('자료_거시'!$J$3:$J$4002,$K$8),1))-1,""),"")</f>
        <v/>
      </c>
      <c r="AB1834">
        <f>IF(ISNUMBER(AA1834),'자료_거시'!$J1816,"")</f>
        <v/>
      </c>
      <c r="AC1834">
        <f>IF(ISNUMBER(AB1834),IF(AB1834&gt;$L$8,AA1834,""),"")</f>
        <v/>
      </c>
    </row>
    <row r="1835">
      <c r="S1835">
        <f>IF(ISNUMBER('자료_거시'!$E1817),'자료_거시'!$E1817,S1834)</f>
        <v/>
      </c>
      <c r="T1835">
        <f>IF(AND(ISNUMBER('자료_거시'!$D1817),ISNUMBER('자료_거시'!$E1817)),IFERROR('자료_거시'!$E1817-INDEX($S$21:$S$4020,MATCH(EDATE('자료_거시'!$D1817,-'설정'!$B$17),'자료_거시'!$D$3:INDEX('자료_거시'!$D$3:$D$4002,$K$6),1)),""),"")</f>
        <v/>
      </c>
      <c r="U1835">
        <f>IF(ISNUMBER(T1835),'자료_거시'!$D1817,"")</f>
        <v/>
      </c>
      <c r="V1835">
        <f>IF(ISNUMBER(U1835),IF(U1835&gt;$L$6,T1835,""),"")</f>
        <v/>
      </c>
      <c r="W1835">
        <f>IF(AND(ISNUMBER('자료_거시'!$G1817),ISNUMBER('자료_거시'!$H1817)),'자료_거시'!$H1817,"")</f>
        <v/>
      </c>
      <c r="X1835">
        <f>IF(ISNUMBER(W1835),'자료_거시'!$G1817,"")</f>
        <v/>
      </c>
      <c r="Y1835">
        <f>IF(ISNUMBER(X1835),IF(X1835&gt;$L$7,W1835,""),"")</f>
        <v/>
      </c>
      <c r="Z1835">
        <f>IF(ISNUMBER('자료_거시'!$K1817),'자료_거시'!$K1817,Z1834)</f>
        <v/>
      </c>
      <c r="AA1835">
        <f>IF(AND(ISNUMBER('자료_거시'!$J1817),ISNUMBER('자료_거시'!$K1817)),IFERROR('자료_거시'!$K1817/INDEX($Z$21:$Z$4020,MATCH(EDATE('자료_거시'!$J1817,-'설정'!$B$17),'자료_거시'!$J$3:INDEX('자료_거시'!$J$3:$J$4002,$K$8),1))-1,""),"")</f>
        <v/>
      </c>
      <c r="AB1835">
        <f>IF(ISNUMBER(AA1835),'자료_거시'!$J1817,"")</f>
        <v/>
      </c>
      <c r="AC1835">
        <f>IF(ISNUMBER(AB1835),IF(AB1835&gt;$L$8,AA1835,""),"")</f>
        <v/>
      </c>
    </row>
    <row r="1836">
      <c r="S1836">
        <f>IF(ISNUMBER('자료_거시'!$E1818),'자료_거시'!$E1818,S1835)</f>
        <v/>
      </c>
      <c r="T1836">
        <f>IF(AND(ISNUMBER('자료_거시'!$D1818),ISNUMBER('자료_거시'!$E1818)),IFERROR('자료_거시'!$E1818-INDEX($S$21:$S$4020,MATCH(EDATE('자료_거시'!$D1818,-'설정'!$B$17),'자료_거시'!$D$3:INDEX('자료_거시'!$D$3:$D$4002,$K$6),1)),""),"")</f>
        <v/>
      </c>
      <c r="U1836">
        <f>IF(ISNUMBER(T1836),'자료_거시'!$D1818,"")</f>
        <v/>
      </c>
      <c r="V1836">
        <f>IF(ISNUMBER(U1836),IF(U1836&gt;$L$6,T1836,""),"")</f>
        <v/>
      </c>
      <c r="W1836">
        <f>IF(AND(ISNUMBER('자료_거시'!$G1818),ISNUMBER('자료_거시'!$H1818)),'자료_거시'!$H1818,"")</f>
        <v/>
      </c>
      <c r="X1836">
        <f>IF(ISNUMBER(W1836),'자료_거시'!$G1818,"")</f>
        <v/>
      </c>
      <c r="Y1836">
        <f>IF(ISNUMBER(X1836),IF(X1836&gt;$L$7,W1836,""),"")</f>
        <v/>
      </c>
      <c r="Z1836">
        <f>IF(ISNUMBER('자료_거시'!$K1818),'자료_거시'!$K1818,Z1835)</f>
        <v/>
      </c>
      <c r="AA1836">
        <f>IF(AND(ISNUMBER('자료_거시'!$J1818),ISNUMBER('자료_거시'!$K1818)),IFERROR('자료_거시'!$K1818/INDEX($Z$21:$Z$4020,MATCH(EDATE('자료_거시'!$J1818,-'설정'!$B$17),'자료_거시'!$J$3:INDEX('자료_거시'!$J$3:$J$4002,$K$8),1))-1,""),"")</f>
        <v/>
      </c>
      <c r="AB1836">
        <f>IF(ISNUMBER(AA1836),'자료_거시'!$J1818,"")</f>
        <v/>
      </c>
      <c r="AC1836">
        <f>IF(ISNUMBER(AB1836),IF(AB1836&gt;$L$8,AA1836,""),"")</f>
        <v/>
      </c>
    </row>
    <row r="1837">
      <c r="S1837">
        <f>IF(ISNUMBER('자료_거시'!$E1819),'자료_거시'!$E1819,S1836)</f>
        <v/>
      </c>
      <c r="T1837">
        <f>IF(AND(ISNUMBER('자료_거시'!$D1819),ISNUMBER('자료_거시'!$E1819)),IFERROR('자료_거시'!$E1819-INDEX($S$21:$S$4020,MATCH(EDATE('자료_거시'!$D1819,-'설정'!$B$17),'자료_거시'!$D$3:INDEX('자료_거시'!$D$3:$D$4002,$K$6),1)),""),"")</f>
        <v/>
      </c>
      <c r="U1837">
        <f>IF(ISNUMBER(T1837),'자료_거시'!$D1819,"")</f>
        <v/>
      </c>
      <c r="V1837">
        <f>IF(ISNUMBER(U1837),IF(U1837&gt;$L$6,T1837,""),"")</f>
        <v/>
      </c>
      <c r="W1837">
        <f>IF(AND(ISNUMBER('자료_거시'!$G1819),ISNUMBER('자료_거시'!$H1819)),'자료_거시'!$H1819,"")</f>
        <v/>
      </c>
      <c r="X1837">
        <f>IF(ISNUMBER(W1837),'자료_거시'!$G1819,"")</f>
        <v/>
      </c>
      <c r="Y1837">
        <f>IF(ISNUMBER(X1837),IF(X1837&gt;$L$7,W1837,""),"")</f>
        <v/>
      </c>
      <c r="Z1837">
        <f>IF(ISNUMBER('자료_거시'!$K1819),'자료_거시'!$K1819,Z1836)</f>
        <v/>
      </c>
      <c r="AA1837">
        <f>IF(AND(ISNUMBER('자료_거시'!$J1819),ISNUMBER('자료_거시'!$K1819)),IFERROR('자료_거시'!$K1819/INDEX($Z$21:$Z$4020,MATCH(EDATE('자료_거시'!$J1819,-'설정'!$B$17),'자료_거시'!$J$3:INDEX('자료_거시'!$J$3:$J$4002,$K$8),1))-1,""),"")</f>
        <v/>
      </c>
      <c r="AB1837">
        <f>IF(ISNUMBER(AA1837),'자료_거시'!$J1819,"")</f>
        <v/>
      </c>
      <c r="AC1837">
        <f>IF(ISNUMBER(AB1837),IF(AB1837&gt;$L$8,AA1837,""),"")</f>
        <v/>
      </c>
    </row>
    <row r="1838">
      <c r="S1838">
        <f>IF(ISNUMBER('자료_거시'!$E1820),'자료_거시'!$E1820,S1837)</f>
        <v/>
      </c>
      <c r="T1838">
        <f>IF(AND(ISNUMBER('자료_거시'!$D1820),ISNUMBER('자료_거시'!$E1820)),IFERROR('자료_거시'!$E1820-INDEX($S$21:$S$4020,MATCH(EDATE('자료_거시'!$D1820,-'설정'!$B$17),'자료_거시'!$D$3:INDEX('자료_거시'!$D$3:$D$4002,$K$6),1)),""),"")</f>
        <v/>
      </c>
      <c r="U1838">
        <f>IF(ISNUMBER(T1838),'자료_거시'!$D1820,"")</f>
        <v/>
      </c>
      <c r="V1838">
        <f>IF(ISNUMBER(U1838),IF(U1838&gt;$L$6,T1838,""),"")</f>
        <v/>
      </c>
      <c r="W1838">
        <f>IF(AND(ISNUMBER('자료_거시'!$G1820),ISNUMBER('자료_거시'!$H1820)),'자료_거시'!$H1820,"")</f>
        <v/>
      </c>
      <c r="X1838">
        <f>IF(ISNUMBER(W1838),'자료_거시'!$G1820,"")</f>
        <v/>
      </c>
      <c r="Y1838">
        <f>IF(ISNUMBER(X1838),IF(X1838&gt;$L$7,W1838,""),"")</f>
        <v/>
      </c>
      <c r="Z1838">
        <f>IF(ISNUMBER('자료_거시'!$K1820),'자료_거시'!$K1820,Z1837)</f>
        <v/>
      </c>
      <c r="AA1838">
        <f>IF(AND(ISNUMBER('자료_거시'!$J1820),ISNUMBER('자료_거시'!$K1820)),IFERROR('자료_거시'!$K1820/INDEX($Z$21:$Z$4020,MATCH(EDATE('자료_거시'!$J1820,-'설정'!$B$17),'자료_거시'!$J$3:INDEX('자료_거시'!$J$3:$J$4002,$K$8),1))-1,""),"")</f>
        <v/>
      </c>
      <c r="AB1838">
        <f>IF(ISNUMBER(AA1838),'자료_거시'!$J1820,"")</f>
        <v/>
      </c>
      <c r="AC1838">
        <f>IF(ISNUMBER(AB1838),IF(AB1838&gt;$L$8,AA1838,""),"")</f>
        <v/>
      </c>
    </row>
    <row r="1839">
      <c r="S1839">
        <f>IF(ISNUMBER('자료_거시'!$E1821),'자료_거시'!$E1821,S1838)</f>
        <v/>
      </c>
      <c r="T1839">
        <f>IF(AND(ISNUMBER('자료_거시'!$D1821),ISNUMBER('자료_거시'!$E1821)),IFERROR('자료_거시'!$E1821-INDEX($S$21:$S$4020,MATCH(EDATE('자료_거시'!$D1821,-'설정'!$B$17),'자료_거시'!$D$3:INDEX('자료_거시'!$D$3:$D$4002,$K$6),1)),""),"")</f>
        <v/>
      </c>
      <c r="U1839">
        <f>IF(ISNUMBER(T1839),'자료_거시'!$D1821,"")</f>
        <v/>
      </c>
      <c r="V1839">
        <f>IF(ISNUMBER(U1839),IF(U1839&gt;$L$6,T1839,""),"")</f>
        <v/>
      </c>
      <c r="W1839">
        <f>IF(AND(ISNUMBER('자료_거시'!$G1821),ISNUMBER('자료_거시'!$H1821)),'자료_거시'!$H1821,"")</f>
        <v/>
      </c>
      <c r="X1839">
        <f>IF(ISNUMBER(W1839),'자료_거시'!$G1821,"")</f>
        <v/>
      </c>
      <c r="Y1839">
        <f>IF(ISNUMBER(X1839),IF(X1839&gt;$L$7,W1839,""),"")</f>
        <v/>
      </c>
      <c r="Z1839">
        <f>IF(ISNUMBER('자료_거시'!$K1821),'자료_거시'!$K1821,Z1838)</f>
        <v/>
      </c>
      <c r="AA1839">
        <f>IF(AND(ISNUMBER('자료_거시'!$J1821),ISNUMBER('자료_거시'!$K1821)),IFERROR('자료_거시'!$K1821/INDEX($Z$21:$Z$4020,MATCH(EDATE('자료_거시'!$J1821,-'설정'!$B$17),'자료_거시'!$J$3:INDEX('자료_거시'!$J$3:$J$4002,$K$8),1))-1,""),"")</f>
        <v/>
      </c>
      <c r="AB1839">
        <f>IF(ISNUMBER(AA1839),'자료_거시'!$J1821,"")</f>
        <v/>
      </c>
      <c r="AC1839">
        <f>IF(ISNUMBER(AB1839),IF(AB1839&gt;$L$8,AA1839,""),"")</f>
        <v/>
      </c>
    </row>
    <row r="1840">
      <c r="S1840">
        <f>IF(ISNUMBER('자료_거시'!$E1822),'자료_거시'!$E1822,S1839)</f>
        <v/>
      </c>
      <c r="T1840">
        <f>IF(AND(ISNUMBER('자료_거시'!$D1822),ISNUMBER('자료_거시'!$E1822)),IFERROR('자료_거시'!$E1822-INDEX($S$21:$S$4020,MATCH(EDATE('자료_거시'!$D1822,-'설정'!$B$17),'자료_거시'!$D$3:INDEX('자료_거시'!$D$3:$D$4002,$K$6),1)),""),"")</f>
        <v/>
      </c>
      <c r="U1840">
        <f>IF(ISNUMBER(T1840),'자료_거시'!$D1822,"")</f>
        <v/>
      </c>
      <c r="V1840">
        <f>IF(ISNUMBER(U1840),IF(U1840&gt;$L$6,T1840,""),"")</f>
        <v/>
      </c>
      <c r="W1840">
        <f>IF(AND(ISNUMBER('자료_거시'!$G1822),ISNUMBER('자료_거시'!$H1822)),'자료_거시'!$H1822,"")</f>
        <v/>
      </c>
      <c r="X1840">
        <f>IF(ISNUMBER(W1840),'자료_거시'!$G1822,"")</f>
        <v/>
      </c>
      <c r="Y1840">
        <f>IF(ISNUMBER(X1840),IF(X1840&gt;$L$7,W1840,""),"")</f>
        <v/>
      </c>
      <c r="Z1840">
        <f>IF(ISNUMBER('자료_거시'!$K1822),'자료_거시'!$K1822,Z1839)</f>
        <v/>
      </c>
      <c r="AA1840">
        <f>IF(AND(ISNUMBER('자료_거시'!$J1822),ISNUMBER('자료_거시'!$K1822)),IFERROR('자료_거시'!$K1822/INDEX($Z$21:$Z$4020,MATCH(EDATE('자료_거시'!$J1822,-'설정'!$B$17),'자료_거시'!$J$3:INDEX('자료_거시'!$J$3:$J$4002,$K$8),1))-1,""),"")</f>
        <v/>
      </c>
      <c r="AB1840">
        <f>IF(ISNUMBER(AA1840),'자료_거시'!$J1822,"")</f>
        <v/>
      </c>
      <c r="AC1840">
        <f>IF(ISNUMBER(AB1840),IF(AB1840&gt;$L$8,AA1840,""),"")</f>
        <v/>
      </c>
    </row>
    <row r="1841">
      <c r="S1841">
        <f>IF(ISNUMBER('자료_거시'!$E1823),'자료_거시'!$E1823,S1840)</f>
        <v/>
      </c>
      <c r="T1841">
        <f>IF(AND(ISNUMBER('자료_거시'!$D1823),ISNUMBER('자료_거시'!$E1823)),IFERROR('자료_거시'!$E1823-INDEX($S$21:$S$4020,MATCH(EDATE('자료_거시'!$D1823,-'설정'!$B$17),'자료_거시'!$D$3:INDEX('자료_거시'!$D$3:$D$4002,$K$6),1)),""),"")</f>
        <v/>
      </c>
      <c r="U1841">
        <f>IF(ISNUMBER(T1841),'자료_거시'!$D1823,"")</f>
        <v/>
      </c>
      <c r="V1841">
        <f>IF(ISNUMBER(U1841),IF(U1841&gt;$L$6,T1841,""),"")</f>
        <v/>
      </c>
      <c r="W1841">
        <f>IF(AND(ISNUMBER('자료_거시'!$G1823),ISNUMBER('자료_거시'!$H1823)),'자료_거시'!$H1823,"")</f>
        <v/>
      </c>
      <c r="X1841">
        <f>IF(ISNUMBER(W1841),'자료_거시'!$G1823,"")</f>
        <v/>
      </c>
      <c r="Y1841">
        <f>IF(ISNUMBER(X1841),IF(X1841&gt;$L$7,W1841,""),"")</f>
        <v/>
      </c>
      <c r="Z1841">
        <f>IF(ISNUMBER('자료_거시'!$K1823),'자료_거시'!$K1823,Z1840)</f>
        <v/>
      </c>
      <c r="AA1841">
        <f>IF(AND(ISNUMBER('자료_거시'!$J1823),ISNUMBER('자료_거시'!$K1823)),IFERROR('자료_거시'!$K1823/INDEX($Z$21:$Z$4020,MATCH(EDATE('자료_거시'!$J1823,-'설정'!$B$17),'자료_거시'!$J$3:INDEX('자료_거시'!$J$3:$J$4002,$K$8),1))-1,""),"")</f>
        <v/>
      </c>
      <c r="AB1841">
        <f>IF(ISNUMBER(AA1841),'자료_거시'!$J1823,"")</f>
        <v/>
      </c>
      <c r="AC1841">
        <f>IF(ISNUMBER(AB1841),IF(AB1841&gt;$L$8,AA1841,""),"")</f>
        <v/>
      </c>
    </row>
    <row r="1842">
      <c r="S1842">
        <f>IF(ISNUMBER('자료_거시'!$E1824),'자료_거시'!$E1824,S1841)</f>
        <v/>
      </c>
      <c r="T1842">
        <f>IF(AND(ISNUMBER('자료_거시'!$D1824),ISNUMBER('자료_거시'!$E1824)),IFERROR('자료_거시'!$E1824-INDEX($S$21:$S$4020,MATCH(EDATE('자료_거시'!$D1824,-'설정'!$B$17),'자료_거시'!$D$3:INDEX('자료_거시'!$D$3:$D$4002,$K$6),1)),""),"")</f>
        <v/>
      </c>
      <c r="U1842">
        <f>IF(ISNUMBER(T1842),'자료_거시'!$D1824,"")</f>
        <v/>
      </c>
      <c r="V1842">
        <f>IF(ISNUMBER(U1842),IF(U1842&gt;$L$6,T1842,""),"")</f>
        <v/>
      </c>
      <c r="W1842">
        <f>IF(AND(ISNUMBER('자료_거시'!$G1824),ISNUMBER('자료_거시'!$H1824)),'자료_거시'!$H1824,"")</f>
        <v/>
      </c>
      <c r="X1842">
        <f>IF(ISNUMBER(W1842),'자료_거시'!$G1824,"")</f>
        <v/>
      </c>
      <c r="Y1842">
        <f>IF(ISNUMBER(X1842),IF(X1842&gt;$L$7,W1842,""),"")</f>
        <v/>
      </c>
      <c r="Z1842">
        <f>IF(ISNUMBER('자료_거시'!$K1824),'자료_거시'!$K1824,Z1841)</f>
        <v/>
      </c>
      <c r="AA1842">
        <f>IF(AND(ISNUMBER('자료_거시'!$J1824),ISNUMBER('자료_거시'!$K1824)),IFERROR('자료_거시'!$K1824/INDEX($Z$21:$Z$4020,MATCH(EDATE('자료_거시'!$J1824,-'설정'!$B$17),'자료_거시'!$J$3:INDEX('자료_거시'!$J$3:$J$4002,$K$8),1))-1,""),"")</f>
        <v/>
      </c>
      <c r="AB1842">
        <f>IF(ISNUMBER(AA1842),'자료_거시'!$J1824,"")</f>
        <v/>
      </c>
      <c r="AC1842">
        <f>IF(ISNUMBER(AB1842),IF(AB1842&gt;$L$8,AA1842,""),"")</f>
        <v/>
      </c>
    </row>
    <row r="1843">
      <c r="S1843">
        <f>IF(ISNUMBER('자료_거시'!$E1825),'자료_거시'!$E1825,S1842)</f>
        <v/>
      </c>
      <c r="T1843">
        <f>IF(AND(ISNUMBER('자료_거시'!$D1825),ISNUMBER('자료_거시'!$E1825)),IFERROR('자료_거시'!$E1825-INDEX($S$21:$S$4020,MATCH(EDATE('자료_거시'!$D1825,-'설정'!$B$17),'자료_거시'!$D$3:INDEX('자료_거시'!$D$3:$D$4002,$K$6),1)),""),"")</f>
        <v/>
      </c>
      <c r="U1843">
        <f>IF(ISNUMBER(T1843),'자료_거시'!$D1825,"")</f>
        <v/>
      </c>
      <c r="V1843">
        <f>IF(ISNUMBER(U1843),IF(U1843&gt;$L$6,T1843,""),"")</f>
        <v/>
      </c>
      <c r="W1843">
        <f>IF(AND(ISNUMBER('자료_거시'!$G1825),ISNUMBER('자료_거시'!$H1825)),'자료_거시'!$H1825,"")</f>
        <v/>
      </c>
      <c r="X1843">
        <f>IF(ISNUMBER(W1843),'자료_거시'!$G1825,"")</f>
        <v/>
      </c>
      <c r="Y1843">
        <f>IF(ISNUMBER(X1843),IF(X1843&gt;$L$7,W1843,""),"")</f>
        <v/>
      </c>
      <c r="Z1843">
        <f>IF(ISNUMBER('자료_거시'!$K1825),'자료_거시'!$K1825,Z1842)</f>
        <v/>
      </c>
      <c r="AA1843">
        <f>IF(AND(ISNUMBER('자료_거시'!$J1825),ISNUMBER('자료_거시'!$K1825)),IFERROR('자료_거시'!$K1825/INDEX($Z$21:$Z$4020,MATCH(EDATE('자료_거시'!$J1825,-'설정'!$B$17),'자료_거시'!$J$3:INDEX('자료_거시'!$J$3:$J$4002,$K$8),1))-1,""),"")</f>
        <v/>
      </c>
      <c r="AB1843">
        <f>IF(ISNUMBER(AA1843),'자료_거시'!$J1825,"")</f>
        <v/>
      </c>
      <c r="AC1843">
        <f>IF(ISNUMBER(AB1843),IF(AB1843&gt;$L$8,AA1843,""),"")</f>
        <v/>
      </c>
    </row>
    <row r="1844">
      <c r="S1844">
        <f>IF(ISNUMBER('자료_거시'!$E1826),'자료_거시'!$E1826,S1843)</f>
        <v/>
      </c>
      <c r="T1844">
        <f>IF(AND(ISNUMBER('자료_거시'!$D1826),ISNUMBER('자료_거시'!$E1826)),IFERROR('자료_거시'!$E1826-INDEX($S$21:$S$4020,MATCH(EDATE('자료_거시'!$D1826,-'설정'!$B$17),'자료_거시'!$D$3:INDEX('자료_거시'!$D$3:$D$4002,$K$6),1)),""),"")</f>
        <v/>
      </c>
      <c r="U1844">
        <f>IF(ISNUMBER(T1844),'자료_거시'!$D1826,"")</f>
        <v/>
      </c>
      <c r="V1844">
        <f>IF(ISNUMBER(U1844),IF(U1844&gt;$L$6,T1844,""),"")</f>
        <v/>
      </c>
      <c r="W1844">
        <f>IF(AND(ISNUMBER('자료_거시'!$G1826),ISNUMBER('자료_거시'!$H1826)),'자료_거시'!$H1826,"")</f>
        <v/>
      </c>
      <c r="X1844">
        <f>IF(ISNUMBER(W1844),'자료_거시'!$G1826,"")</f>
        <v/>
      </c>
      <c r="Y1844">
        <f>IF(ISNUMBER(X1844),IF(X1844&gt;$L$7,W1844,""),"")</f>
        <v/>
      </c>
      <c r="Z1844">
        <f>IF(ISNUMBER('자료_거시'!$K1826),'자료_거시'!$K1826,Z1843)</f>
        <v/>
      </c>
      <c r="AA1844">
        <f>IF(AND(ISNUMBER('자료_거시'!$J1826),ISNUMBER('자료_거시'!$K1826)),IFERROR('자료_거시'!$K1826/INDEX($Z$21:$Z$4020,MATCH(EDATE('자료_거시'!$J1826,-'설정'!$B$17),'자료_거시'!$J$3:INDEX('자료_거시'!$J$3:$J$4002,$K$8),1))-1,""),"")</f>
        <v/>
      </c>
      <c r="AB1844">
        <f>IF(ISNUMBER(AA1844),'자료_거시'!$J1826,"")</f>
        <v/>
      </c>
      <c r="AC1844">
        <f>IF(ISNUMBER(AB1844),IF(AB1844&gt;$L$8,AA1844,""),"")</f>
        <v/>
      </c>
    </row>
    <row r="1845">
      <c r="S1845">
        <f>IF(ISNUMBER('자료_거시'!$E1827),'자료_거시'!$E1827,S1844)</f>
        <v/>
      </c>
      <c r="T1845">
        <f>IF(AND(ISNUMBER('자료_거시'!$D1827),ISNUMBER('자료_거시'!$E1827)),IFERROR('자료_거시'!$E1827-INDEX($S$21:$S$4020,MATCH(EDATE('자료_거시'!$D1827,-'설정'!$B$17),'자료_거시'!$D$3:INDEX('자료_거시'!$D$3:$D$4002,$K$6),1)),""),"")</f>
        <v/>
      </c>
      <c r="U1845">
        <f>IF(ISNUMBER(T1845),'자료_거시'!$D1827,"")</f>
        <v/>
      </c>
      <c r="V1845">
        <f>IF(ISNUMBER(U1845),IF(U1845&gt;$L$6,T1845,""),"")</f>
        <v/>
      </c>
      <c r="W1845">
        <f>IF(AND(ISNUMBER('자료_거시'!$G1827),ISNUMBER('자료_거시'!$H1827)),'자료_거시'!$H1827,"")</f>
        <v/>
      </c>
      <c r="X1845">
        <f>IF(ISNUMBER(W1845),'자료_거시'!$G1827,"")</f>
        <v/>
      </c>
      <c r="Y1845">
        <f>IF(ISNUMBER(X1845),IF(X1845&gt;$L$7,W1845,""),"")</f>
        <v/>
      </c>
      <c r="Z1845">
        <f>IF(ISNUMBER('자료_거시'!$K1827),'자료_거시'!$K1827,Z1844)</f>
        <v/>
      </c>
      <c r="AA1845">
        <f>IF(AND(ISNUMBER('자료_거시'!$J1827),ISNUMBER('자료_거시'!$K1827)),IFERROR('자료_거시'!$K1827/INDEX($Z$21:$Z$4020,MATCH(EDATE('자료_거시'!$J1827,-'설정'!$B$17),'자료_거시'!$J$3:INDEX('자료_거시'!$J$3:$J$4002,$K$8),1))-1,""),"")</f>
        <v/>
      </c>
      <c r="AB1845">
        <f>IF(ISNUMBER(AA1845),'자료_거시'!$J1827,"")</f>
        <v/>
      </c>
      <c r="AC1845">
        <f>IF(ISNUMBER(AB1845),IF(AB1845&gt;$L$8,AA1845,""),"")</f>
        <v/>
      </c>
    </row>
    <row r="1846">
      <c r="S1846">
        <f>IF(ISNUMBER('자료_거시'!$E1828),'자료_거시'!$E1828,S1845)</f>
        <v/>
      </c>
      <c r="T1846">
        <f>IF(AND(ISNUMBER('자료_거시'!$D1828),ISNUMBER('자료_거시'!$E1828)),IFERROR('자료_거시'!$E1828-INDEX($S$21:$S$4020,MATCH(EDATE('자료_거시'!$D1828,-'설정'!$B$17),'자료_거시'!$D$3:INDEX('자료_거시'!$D$3:$D$4002,$K$6),1)),""),"")</f>
        <v/>
      </c>
      <c r="U1846">
        <f>IF(ISNUMBER(T1846),'자료_거시'!$D1828,"")</f>
        <v/>
      </c>
      <c r="V1846">
        <f>IF(ISNUMBER(U1846),IF(U1846&gt;$L$6,T1846,""),"")</f>
        <v/>
      </c>
      <c r="W1846">
        <f>IF(AND(ISNUMBER('자료_거시'!$G1828),ISNUMBER('자료_거시'!$H1828)),'자료_거시'!$H1828,"")</f>
        <v/>
      </c>
      <c r="X1846">
        <f>IF(ISNUMBER(W1846),'자료_거시'!$G1828,"")</f>
        <v/>
      </c>
      <c r="Y1846">
        <f>IF(ISNUMBER(X1846),IF(X1846&gt;$L$7,W1846,""),"")</f>
        <v/>
      </c>
      <c r="Z1846">
        <f>IF(ISNUMBER('자료_거시'!$K1828),'자료_거시'!$K1828,Z1845)</f>
        <v/>
      </c>
      <c r="AA1846">
        <f>IF(AND(ISNUMBER('자료_거시'!$J1828),ISNUMBER('자료_거시'!$K1828)),IFERROR('자료_거시'!$K1828/INDEX($Z$21:$Z$4020,MATCH(EDATE('자료_거시'!$J1828,-'설정'!$B$17),'자료_거시'!$J$3:INDEX('자료_거시'!$J$3:$J$4002,$K$8),1))-1,""),"")</f>
        <v/>
      </c>
      <c r="AB1846">
        <f>IF(ISNUMBER(AA1846),'자료_거시'!$J1828,"")</f>
        <v/>
      </c>
      <c r="AC1846">
        <f>IF(ISNUMBER(AB1846),IF(AB1846&gt;$L$8,AA1846,""),"")</f>
        <v/>
      </c>
    </row>
    <row r="1847">
      <c r="S1847">
        <f>IF(ISNUMBER('자료_거시'!$E1829),'자료_거시'!$E1829,S1846)</f>
        <v/>
      </c>
      <c r="T1847">
        <f>IF(AND(ISNUMBER('자료_거시'!$D1829),ISNUMBER('자료_거시'!$E1829)),IFERROR('자료_거시'!$E1829-INDEX($S$21:$S$4020,MATCH(EDATE('자료_거시'!$D1829,-'설정'!$B$17),'자료_거시'!$D$3:INDEX('자료_거시'!$D$3:$D$4002,$K$6),1)),""),"")</f>
        <v/>
      </c>
      <c r="U1847">
        <f>IF(ISNUMBER(T1847),'자료_거시'!$D1829,"")</f>
        <v/>
      </c>
      <c r="V1847">
        <f>IF(ISNUMBER(U1847),IF(U1847&gt;$L$6,T1847,""),"")</f>
        <v/>
      </c>
      <c r="W1847">
        <f>IF(AND(ISNUMBER('자료_거시'!$G1829),ISNUMBER('자료_거시'!$H1829)),'자료_거시'!$H1829,"")</f>
        <v/>
      </c>
      <c r="X1847">
        <f>IF(ISNUMBER(W1847),'자료_거시'!$G1829,"")</f>
        <v/>
      </c>
      <c r="Y1847">
        <f>IF(ISNUMBER(X1847),IF(X1847&gt;$L$7,W1847,""),"")</f>
        <v/>
      </c>
      <c r="Z1847">
        <f>IF(ISNUMBER('자료_거시'!$K1829),'자료_거시'!$K1829,Z1846)</f>
        <v/>
      </c>
      <c r="AA1847">
        <f>IF(AND(ISNUMBER('자료_거시'!$J1829),ISNUMBER('자료_거시'!$K1829)),IFERROR('자료_거시'!$K1829/INDEX($Z$21:$Z$4020,MATCH(EDATE('자료_거시'!$J1829,-'설정'!$B$17),'자료_거시'!$J$3:INDEX('자료_거시'!$J$3:$J$4002,$K$8),1))-1,""),"")</f>
        <v/>
      </c>
      <c r="AB1847">
        <f>IF(ISNUMBER(AA1847),'자료_거시'!$J1829,"")</f>
        <v/>
      </c>
      <c r="AC1847">
        <f>IF(ISNUMBER(AB1847),IF(AB1847&gt;$L$8,AA1847,""),"")</f>
        <v/>
      </c>
    </row>
    <row r="1848">
      <c r="S1848">
        <f>IF(ISNUMBER('자료_거시'!$E1830),'자료_거시'!$E1830,S1847)</f>
        <v/>
      </c>
      <c r="T1848">
        <f>IF(AND(ISNUMBER('자료_거시'!$D1830),ISNUMBER('자료_거시'!$E1830)),IFERROR('자료_거시'!$E1830-INDEX($S$21:$S$4020,MATCH(EDATE('자료_거시'!$D1830,-'설정'!$B$17),'자료_거시'!$D$3:INDEX('자료_거시'!$D$3:$D$4002,$K$6),1)),""),"")</f>
        <v/>
      </c>
      <c r="U1848">
        <f>IF(ISNUMBER(T1848),'자료_거시'!$D1830,"")</f>
        <v/>
      </c>
      <c r="V1848">
        <f>IF(ISNUMBER(U1848),IF(U1848&gt;$L$6,T1848,""),"")</f>
        <v/>
      </c>
      <c r="W1848">
        <f>IF(AND(ISNUMBER('자료_거시'!$G1830),ISNUMBER('자료_거시'!$H1830)),'자료_거시'!$H1830,"")</f>
        <v/>
      </c>
      <c r="X1848">
        <f>IF(ISNUMBER(W1848),'자료_거시'!$G1830,"")</f>
        <v/>
      </c>
      <c r="Y1848">
        <f>IF(ISNUMBER(X1848),IF(X1848&gt;$L$7,W1848,""),"")</f>
        <v/>
      </c>
      <c r="Z1848">
        <f>IF(ISNUMBER('자료_거시'!$K1830),'자료_거시'!$K1830,Z1847)</f>
        <v/>
      </c>
      <c r="AA1848">
        <f>IF(AND(ISNUMBER('자료_거시'!$J1830),ISNUMBER('자료_거시'!$K1830)),IFERROR('자료_거시'!$K1830/INDEX($Z$21:$Z$4020,MATCH(EDATE('자료_거시'!$J1830,-'설정'!$B$17),'자료_거시'!$J$3:INDEX('자료_거시'!$J$3:$J$4002,$K$8),1))-1,""),"")</f>
        <v/>
      </c>
      <c r="AB1848">
        <f>IF(ISNUMBER(AA1848),'자료_거시'!$J1830,"")</f>
        <v/>
      </c>
      <c r="AC1848">
        <f>IF(ISNUMBER(AB1848),IF(AB1848&gt;$L$8,AA1848,""),"")</f>
        <v/>
      </c>
    </row>
    <row r="1849">
      <c r="S1849">
        <f>IF(ISNUMBER('자료_거시'!$E1831),'자료_거시'!$E1831,S1848)</f>
        <v/>
      </c>
      <c r="T1849">
        <f>IF(AND(ISNUMBER('자료_거시'!$D1831),ISNUMBER('자료_거시'!$E1831)),IFERROR('자료_거시'!$E1831-INDEX($S$21:$S$4020,MATCH(EDATE('자료_거시'!$D1831,-'설정'!$B$17),'자료_거시'!$D$3:INDEX('자료_거시'!$D$3:$D$4002,$K$6),1)),""),"")</f>
        <v/>
      </c>
      <c r="U1849">
        <f>IF(ISNUMBER(T1849),'자료_거시'!$D1831,"")</f>
        <v/>
      </c>
      <c r="V1849">
        <f>IF(ISNUMBER(U1849),IF(U1849&gt;$L$6,T1849,""),"")</f>
        <v/>
      </c>
      <c r="W1849">
        <f>IF(AND(ISNUMBER('자료_거시'!$G1831),ISNUMBER('자료_거시'!$H1831)),'자료_거시'!$H1831,"")</f>
        <v/>
      </c>
      <c r="X1849">
        <f>IF(ISNUMBER(W1849),'자료_거시'!$G1831,"")</f>
        <v/>
      </c>
      <c r="Y1849">
        <f>IF(ISNUMBER(X1849),IF(X1849&gt;$L$7,W1849,""),"")</f>
        <v/>
      </c>
      <c r="Z1849">
        <f>IF(ISNUMBER('자료_거시'!$K1831),'자료_거시'!$K1831,Z1848)</f>
        <v/>
      </c>
      <c r="AA1849">
        <f>IF(AND(ISNUMBER('자료_거시'!$J1831),ISNUMBER('자료_거시'!$K1831)),IFERROR('자료_거시'!$K1831/INDEX($Z$21:$Z$4020,MATCH(EDATE('자료_거시'!$J1831,-'설정'!$B$17),'자료_거시'!$J$3:INDEX('자료_거시'!$J$3:$J$4002,$K$8),1))-1,""),"")</f>
        <v/>
      </c>
      <c r="AB1849">
        <f>IF(ISNUMBER(AA1849),'자료_거시'!$J1831,"")</f>
        <v/>
      </c>
      <c r="AC1849">
        <f>IF(ISNUMBER(AB1849),IF(AB1849&gt;$L$8,AA1849,""),"")</f>
        <v/>
      </c>
    </row>
    <row r="1850">
      <c r="S1850">
        <f>IF(ISNUMBER('자료_거시'!$E1832),'자료_거시'!$E1832,S1849)</f>
        <v/>
      </c>
      <c r="T1850">
        <f>IF(AND(ISNUMBER('자료_거시'!$D1832),ISNUMBER('자료_거시'!$E1832)),IFERROR('자료_거시'!$E1832-INDEX($S$21:$S$4020,MATCH(EDATE('자료_거시'!$D1832,-'설정'!$B$17),'자료_거시'!$D$3:INDEX('자료_거시'!$D$3:$D$4002,$K$6),1)),""),"")</f>
        <v/>
      </c>
      <c r="U1850">
        <f>IF(ISNUMBER(T1850),'자료_거시'!$D1832,"")</f>
        <v/>
      </c>
      <c r="V1850">
        <f>IF(ISNUMBER(U1850),IF(U1850&gt;$L$6,T1850,""),"")</f>
        <v/>
      </c>
      <c r="W1850">
        <f>IF(AND(ISNUMBER('자료_거시'!$G1832),ISNUMBER('자료_거시'!$H1832)),'자료_거시'!$H1832,"")</f>
        <v/>
      </c>
      <c r="X1850">
        <f>IF(ISNUMBER(W1850),'자료_거시'!$G1832,"")</f>
        <v/>
      </c>
      <c r="Y1850">
        <f>IF(ISNUMBER(X1850),IF(X1850&gt;$L$7,W1850,""),"")</f>
        <v/>
      </c>
      <c r="Z1850">
        <f>IF(ISNUMBER('자료_거시'!$K1832),'자료_거시'!$K1832,Z1849)</f>
        <v/>
      </c>
      <c r="AA1850">
        <f>IF(AND(ISNUMBER('자료_거시'!$J1832),ISNUMBER('자료_거시'!$K1832)),IFERROR('자료_거시'!$K1832/INDEX($Z$21:$Z$4020,MATCH(EDATE('자료_거시'!$J1832,-'설정'!$B$17),'자료_거시'!$J$3:INDEX('자료_거시'!$J$3:$J$4002,$K$8),1))-1,""),"")</f>
        <v/>
      </c>
      <c r="AB1850">
        <f>IF(ISNUMBER(AA1850),'자료_거시'!$J1832,"")</f>
        <v/>
      </c>
      <c r="AC1850">
        <f>IF(ISNUMBER(AB1850),IF(AB1850&gt;$L$8,AA1850,""),"")</f>
        <v/>
      </c>
    </row>
    <row r="1851">
      <c r="S1851">
        <f>IF(ISNUMBER('자료_거시'!$E1833),'자료_거시'!$E1833,S1850)</f>
        <v/>
      </c>
      <c r="T1851">
        <f>IF(AND(ISNUMBER('자료_거시'!$D1833),ISNUMBER('자료_거시'!$E1833)),IFERROR('자료_거시'!$E1833-INDEX($S$21:$S$4020,MATCH(EDATE('자료_거시'!$D1833,-'설정'!$B$17),'자료_거시'!$D$3:INDEX('자료_거시'!$D$3:$D$4002,$K$6),1)),""),"")</f>
        <v/>
      </c>
      <c r="U1851">
        <f>IF(ISNUMBER(T1851),'자료_거시'!$D1833,"")</f>
        <v/>
      </c>
      <c r="V1851">
        <f>IF(ISNUMBER(U1851),IF(U1851&gt;$L$6,T1851,""),"")</f>
        <v/>
      </c>
      <c r="W1851">
        <f>IF(AND(ISNUMBER('자료_거시'!$G1833),ISNUMBER('자료_거시'!$H1833)),'자료_거시'!$H1833,"")</f>
        <v/>
      </c>
      <c r="X1851">
        <f>IF(ISNUMBER(W1851),'자료_거시'!$G1833,"")</f>
        <v/>
      </c>
      <c r="Y1851">
        <f>IF(ISNUMBER(X1851),IF(X1851&gt;$L$7,W1851,""),"")</f>
        <v/>
      </c>
      <c r="Z1851">
        <f>IF(ISNUMBER('자료_거시'!$K1833),'자료_거시'!$K1833,Z1850)</f>
        <v/>
      </c>
      <c r="AA1851">
        <f>IF(AND(ISNUMBER('자료_거시'!$J1833),ISNUMBER('자료_거시'!$K1833)),IFERROR('자료_거시'!$K1833/INDEX($Z$21:$Z$4020,MATCH(EDATE('자료_거시'!$J1833,-'설정'!$B$17),'자료_거시'!$J$3:INDEX('자료_거시'!$J$3:$J$4002,$K$8),1))-1,""),"")</f>
        <v/>
      </c>
      <c r="AB1851">
        <f>IF(ISNUMBER(AA1851),'자료_거시'!$J1833,"")</f>
        <v/>
      </c>
      <c r="AC1851">
        <f>IF(ISNUMBER(AB1851),IF(AB1851&gt;$L$8,AA1851,""),"")</f>
        <v/>
      </c>
    </row>
    <row r="1852">
      <c r="S1852">
        <f>IF(ISNUMBER('자료_거시'!$E1834),'자료_거시'!$E1834,S1851)</f>
        <v/>
      </c>
      <c r="T1852">
        <f>IF(AND(ISNUMBER('자료_거시'!$D1834),ISNUMBER('자료_거시'!$E1834)),IFERROR('자료_거시'!$E1834-INDEX($S$21:$S$4020,MATCH(EDATE('자료_거시'!$D1834,-'설정'!$B$17),'자료_거시'!$D$3:INDEX('자료_거시'!$D$3:$D$4002,$K$6),1)),""),"")</f>
        <v/>
      </c>
      <c r="U1852">
        <f>IF(ISNUMBER(T1852),'자료_거시'!$D1834,"")</f>
        <v/>
      </c>
      <c r="V1852">
        <f>IF(ISNUMBER(U1852),IF(U1852&gt;$L$6,T1852,""),"")</f>
        <v/>
      </c>
      <c r="W1852">
        <f>IF(AND(ISNUMBER('자료_거시'!$G1834),ISNUMBER('자료_거시'!$H1834)),'자료_거시'!$H1834,"")</f>
        <v/>
      </c>
      <c r="X1852">
        <f>IF(ISNUMBER(W1852),'자료_거시'!$G1834,"")</f>
        <v/>
      </c>
      <c r="Y1852">
        <f>IF(ISNUMBER(X1852),IF(X1852&gt;$L$7,W1852,""),"")</f>
        <v/>
      </c>
      <c r="Z1852">
        <f>IF(ISNUMBER('자료_거시'!$K1834),'자료_거시'!$K1834,Z1851)</f>
        <v/>
      </c>
      <c r="AA1852">
        <f>IF(AND(ISNUMBER('자료_거시'!$J1834),ISNUMBER('자료_거시'!$K1834)),IFERROR('자료_거시'!$K1834/INDEX($Z$21:$Z$4020,MATCH(EDATE('자료_거시'!$J1834,-'설정'!$B$17),'자료_거시'!$J$3:INDEX('자료_거시'!$J$3:$J$4002,$K$8),1))-1,""),"")</f>
        <v/>
      </c>
      <c r="AB1852">
        <f>IF(ISNUMBER(AA1852),'자료_거시'!$J1834,"")</f>
        <v/>
      </c>
      <c r="AC1852">
        <f>IF(ISNUMBER(AB1852),IF(AB1852&gt;$L$8,AA1852,""),"")</f>
        <v/>
      </c>
    </row>
    <row r="1853">
      <c r="S1853">
        <f>IF(ISNUMBER('자료_거시'!$E1835),'자료_거시'!$E1835,S1852)</f>
        <v/>
      </c>
      <c r="T1853">
        <f>IF(AND(ISNUMBER('자료_거시'!$D1835),ISNUMBER('자료_거시'!$E1835)),IFERROR('자료_거시'!$E1835-INDEX($S$21:$S$4020,MATCH(EDATE('자료_거시'!$D1835,-'설정'!$B$17),'자료_거시'!$D$3:INDEX('자료_거시'!$D$3:$D$4002,$K$6),1)),""),"")</f>
        <v/>
      </c>
      <c r="U1853">
        <f>IF(ISNUMBER(T1853),'자료_거시'!$D1835,"")</f>
        <v/>
      </c>
      <c r="V1853">
        <f>IF(ISNUMBER(U1853),IF(U1853&gt;$L$6,T1853,""),"")</f>
        <v/>
      </c>
      <c r="W1853">
        <f>IF(AND(ISNUMBER('자료_거시'!$G1835),ISNUMBER('자료_거시'!$H1835)),'자료_거시'!$H1835,"")</f>
        <v/>
      </c>
      <c r="X1853">
        <f>IF(ISNUMBER(W1853),'자료_거시'!$G1835,"")</f>
        <v/>
      </c>
      <c r="Y1853">
        <f>IF(ISNUMBER(X1853),IF(X1853&gt;$L$7,W1853,""),"")</f>
        <v/>
      </c>
      <c r="Z1853">
        <f>IF(ISNUMBER('자료_거시'!$K1835),'자료_거시'!$K1835,Z1852)</f>
        <v/>
      </c>
      <c r="AA1853">
        <f>IF(AND(ISNUMBER('자료_거시'!$J1835),ISNUMBER('자료_거시'!$K1835)),IFERROR('자료_거시'!$K1835/INDEX($Z$21:$Z$4020,MATCH(EDATE('자료_거시'!$J1835,-'설정'!$B$17),'자료_거시'!$J$3:INDEX('자료_거시'!$J$3:$J$4002,$K$8),1))-1,""),"")</f>
        <v/>
      </c>
      <c r="AB1853">
        <f>IF(ISNUMBER(AA1853),'자료_거시'!$J1835,"")</f>
        <v/>
      </c>
      <c r="AC1853">
        <f>IF(ISNUMBER(AB1853),IF(AB1853&gt;$L$8,AA1853,""),"")</f>
        <v/>
      </c>
    </row>
    <row r="1854">
      <c r="S1854">
        <f>IF(ISNUMBER('자료_거시'!$E1836),'자료_거시'!$E1836,S1853)</f>
        <v/>
      </c>
      <c r="T1854">
        <f>IF(AND(ISNUMBER('자료_거시'!$D1836),ISNUMBER('자료_거시'!$E1836)),IFERROR('자료_거시'!$E1836-INDEX($S$21:$S$4020,MATCH(EDATE('자료_거시'!$D1836,-'설정'!$B$17),'자료_거시'!$D$3:INDEX('자료_거시'!$D$3:$D$4002,$K$6),1)),""),"")</f>
        <v/>
      </c>
      <c r="U1854">
        <f>IF(ISNUMBER(T1854),'자료_거시'!$D1836,"")</f>
        <v/>
      </c>
      <c r="V1854">
        <f>IF(ISNUMBER(U1854),IF(U1854&gt;$L$6,T1854,""),"")</f>
        <v/>
      </c>
      <c r="W1854">
        <f>IF(AND(ISNUMBER('자료_거시'!$G1836),ISNUMBER('자료_거시'!$H1836)),'자료_거시'!$H1836,"")</f>
        <v/>
      </c>
      <c r="X1854">
        <f>IF(ISNUMBER(W1854),'자료_거시'!$G1836,"")</f>
        <v/>
      </c>
      <c r="Y1854">
        <f>IF(ISNUMBER(X1854),IF(X1854&gt;$L$7,W1854,""),"")</f>
        <v/>
      </c>
      <c r="Z1854">
        <f>IF(ISNUMBER('자료_거시'!$K1836),'자료_거시'!$K1836,Z1853)</f>
        <v/>
      </c>
      <c r="AA1854">
        <f>IF(AND(ISNUMBER('자료_거시'!$J1836),ISNUMBER('자료_거시'!$K1836)),IFERROR('자료_거시'!$K1836/INDEX($Z$21:$Z$4020,MATCH(EDATE('자료_거시'!$J1836,-'설정'!$B$17),'자료_거시'!$J$3:INDEX('자료_거시'!$J$3:$J$4002,$K$8),1))-1,""),"")</f>
        <v/>
      </c>
      <c r="AB1854">
        <f>IF(ISNUMBER(AA1854),'자료_거시'!$J1836,"")</f>
        <v/>
      </c>
      <c r="AC1854">
        <f>IF(ISNUMBER(AB1854),IF(AB1854&gt;$L$8,AA1854,""),"")</f>
        <v/>
      </c>
    </row>
    <row r="1855">
      <c r="S1855">
        <f>IF(ISNUMBER('자료_거시'!$E1837),'자료_거시'!$E1837,S1854)</f>
        <v/>
      </c>
      <c r="T1855">
        <f>IF(AND(ISNUMBER('자료_거시'!$D1837),ISNUMBER('자료_거시'!$E1837)),IFERROR('자료_거시'!$E1837-INDEX($S$21:$S$4020,MATCH(EDATE('자료_거시'!$D1837,-'설정'!$B$17),'자료_거시'!$D$3:INDEX('자료_거시'!$D$3:$D$4002,$K$6),1)),""),"")</f>
        <v/>
      </c>
      <c r="U1855">
        <f>IF(ISNUMBER(T1855),'자료_거시'!$D1837,"")</f>
        <v/>
      </c>
      <c r="V1855">
        <f>IF(ISNUMBER(U1855),IF(U1855&gt;$L$6,T1855,""),"")</f>
        <v/>
      </c>
      <c r="W1855">
        <f>IF(AND(ISNUMBER('자료_거시'!$G1837),ISNUMBER('자료_거시'!$H1837)),'자료_거시'!$H1837,"")</f>
        <v/>
      </c>
      <c r="X1855">
        <f>IF(ISNUMBER(W1855),'자료_거시'!$G1837,"")</f>
        <v/>
      </c>
      <c r="Y1855">
        <f>IF(ISNUMBER(X1855),IF(X1855&gt;$L$7,W1855,""),"")</f>
        <v/>
      </c>
      <c r="Z1855">
        <f>IF(ISNUMBER('자료_거시'!$K1837),'자료_거시'!$K1837,Z1854)</f>
        <v/>
      </c>
      <c r="AA1855">
        <f>IF(AND(ISNUMBER('자료_거시'!$J1837),ISNUMBER('자료_거시'!$K1837)),IFERROR('자료_거시'!$K1837/INDEX($Z$21:$Z$4020,MATCH(EDATE('자료_거시'!$J1837,-'설정'!$B$17),'자료_거시'!$J$3:INDEX('자료_거시'!$J$3:$J$4002,$K$8),1))-1,""),"")</f>
        <v/>
      </c>
      <c r="AB1855">
        <f>IF(ISNUMBER(AA1855),'자료_거시'!$J1837,"")</f>
        <v/>
      </c>
      <c r="AC1855">
        <f>IF(ISNUMBER(AB1855),IF(AB1855&gt;$L$8,AA1855,""),"")</f>
        <v/>
      </c>
    </row>
    <row r="1856">
      <c r="S1856">
        <f>IF(ISNUMBER('자료_거시'!$E1838),'자료_거시'!$E1838,S1855)</f>
        <v/>
      </c>
      <c r="T1856">
        <f>IF(AND(ISNUMBER('자료_거시'!$D1838),ISNUMBER('자료_거시'!$E1838)),IFERROR('자료_거시'!$E1838-INDEX($S$21:$S$4020,MATCH(EDATE('자료_거시'!$D1838,-'설정'!$B$17),'자료_거시'!$D$3:INDEX('자료_거시'!$D$3:$D$4002,$K$6),1)),""),"")</f>
        <v/>
      </c>
      <c r="U1856">
        <f>IF(ISNUMBER(T1856),'자료_거시'!$D1838,"")</f>
        <v/>
      </c>
      <c r="V1856">
        <f>IF(ISNUMBER(U1856),IF(U1856&gt;$L$6,T1856,""),"")</f>
        <v/>
      </c>
      <c r="W1856">
        <f>IF(AND(ISNUMBER('자료_거시'!$G1838),ISNUMBER('자료_거시'!$H1838)),'자료_거시'!$H1838,"")</f>
        <v/>
      </c>
      <c r="X1856">
        <f>IF(ISNUMBER(W1856),'자료_거시'!$G1838,"")</f>
        <v/>
      </c>
      <c r="Y1856">
        <f>IF(ISNUMBER(X1856),IF(X1856&gt;$L$7,W1856,""),"")</f>
        <v/>
      </c>
      <c r="Z1856">
        <f>IF(ISNUMBER('자료_거시'!$K1838),'자료_거시'!$K1838,Z1855)</f>
        <v/>
      </c>
      <c r="AA1856">
        <f>IF(AND(ISNUMBER('자료_거시'!$J1838),ISNUMBER('자료_거시'!$K1838)),IFERROR('자료_거시'!$K1838/INDEX($Z$21:$Z$4020,MATCH(EDATE('자료_거시'!$J1838,-'설정'!$B$17),'자료_거시'!$J$3:INDEX('자료_거시'!$J$3:$J$4002,$K$8),1))-1,""),"")</f>
        <v/>
      </c>
      <c r="AB1856">
        <f>IF(ISNUMBER(AA1856),'자료_거시'!$J1838,"")</f>
        <v/>
      </c>
      <c r="AC1856">
        <f>IF(ISNUMBER(AB1856),IF(AB1856&gt;$L$8,AA1856,""),"")</f>
        <v/>
      </c>
    </row>
    <row r="1857">
      <c r="S1857">
        <f>IF(ISNUMBER('자료_거시'!$E1839),'자료_거시'!$E1839,S1856)</f>
        <v/>
      </c>
      <c r="T1857">
        <f>IF(AND(ISNUMBER('자료_거시'!$D1839),ISNUMBER('자료_거시'!$E1839)),IFERROR('자료_거시'!$E1839-INDEX($S$21:$S$4020,MATCH(EDATE('자료_거시'!$D1839,-'설정'!$B$17),'자료_거시'!$D$3:INDEX('자료_거시'!$D$3:$D$4002,$K$6),1)),""),"")</f>
        <v/>
      </c>
      <c r="U1857">
        <f>IF(ISNUMBER(T1857),'자료_거시'!$D1839,"")</f>
        <v/>
      </c>
      <c r="V1857">
        <f>IF(ISNUMBER(U1857),IF(U1857&gt;$L$6,T1857,""),"")</f>
        <v/>
      </c>
      <c r="W1857">
        <f>IF(AND(ISNUMBER('자료_거시'!$G1839),ISNUMBER('자료_거시'!$H1839)),'자료_거시'!$H1839,"")</f>
        <v/>
      </c>
      <c r="X1857">
        <f>IF(ISNUMBER(W1857),'자료_거시'!$G1839,"")</f>
        <v/>
      </c>
      <c r="Y1857">
        <f>IF(ISNUMBER(X1857),IF(X1857&gt;$L$7,W1857,""),"")</f>
        <v/>
      </c>
      <c r="Z1857">
        <f>IF(ISNUMBER('자료_거시'!$K1839),'자료_거시'!$K1839,Z1856)</f>
        <v/>
      </c>
      <c r="AA1857">
        <f>IF(AND(ISNUMBER('자료_거시'!$J1839),ISNUMBER('자료_거시'!$K1839)),IFERROR('자료_거시'!$K1839/INDEX($Z$21:$Z$4020,MATCH(EDATE('자료_거시'!$J1839,-'설정'!$B$17),'자료_거시'!$J$3:INDEX('자료_거시'!$J$3:$J$4002,$K$8),1))-1,""),"")</f>
        <v/>
      </c>
      <c r="AB1857">
        <f>IF(ISNUMBER(AA1857),'자료_거시'!$J1839,"")</f>
        <v/>
      </c>
      <c r="AC1857">
        <f>IF(ISNUMBER(AB1857),IF(AB1857&gt;$L$8,AA1857,""),"")</f>
        <v/>
      </c>
    </row>
    <row r="1858">
      <c r="S1858">
        <f>IF(ISNUMBER('자료_거시'!$E1840),'자료_거시'!$E1840,S1857)</f>
        <v/>
      </c>
      <c r="T1858">
        <f>IF(AND(ISNUMBER('자료_거시'!$D1840),ISNUMBER('자료_거시'!$E1840)),IFERROR('자료_거시'!$E1840-INDEX($S$21:$S$4020,MATCH(EDATE('자료_거시'!$D1840,-'설정'!$B$17),'자료_거시'!$D$3:INDEX('자료_거시'!$D$3:$D$4002,$K$6),1)),""),"")</f>
        <v/>
      </c>
      <c r="U1858">
        <f>IF(ISNUMBER(T1858),'자료_거시'!$D1840,"")</f>
        <v/>
      </c>
      <c r="V1858">
        <f>IF(ISNUMBER(U1858),IF(U1858&gt;$L$6,T1858,""),"")</f>
        <v/>
      </c>
      <c r="W1858">
        <f>IF(AND(ISNUMBER('자료_거시'!$G1840),ISNUMBER('자료_거시'!$H1840)),'자료_거시'!$H1840,"")</f>
        <v/>
      </c>
      <c r="X1858">
        <f>IF(ISNUMBER(W1858),'자료_거시'!$G1840,"")</f>
        <v/>
      </c>
      <c r="Y1858">
        <f>IF(ISNUMBER(X1858),IF(X1858&gt;$L$7,W1858,""),"")</f>
        <v/>
      </c>
      <c r="Z1858">
        <f>IF(ISNUMBER('자료_거시'!$K1840),'자료_거시'!$K1840,Z1857)</f>
        <v/>
      </c>
      <c r="AA1858">
        <f>IF(AND(ISNUMBER('자료_거시'!$J1840),ISNUMBER('자료_거시'!$K1840)),IFERROR('자료_거시'!$K1840/INDEX($Z$21:$Z$4020,MATCH(EDATE('자료_거시'!$J1840,-'설정'!$B$17),'자료_거시'!$J$3:INDEX('자료_거시'!$J$3:$J$4002,$K$8),1))-1,""),"")</f>
        <v/>
      </c>
      <c r="AB1858">
        <f>IF(ISNUMBER(AA1858),'자료_거시'!$J1840,"")</f>
        <v/>
      </c>
      <c r="AC1858">
        <f>IF(ISNUMBER(AB1858),IF(AB1858&gt;$L$8,AA1858,""),"")</f>
        <v/>
      </c>
    </row>
    <row r="1859">
      <c r="S1859">
        <f>IF(ISNUMBER('자료_거시'!$E1841),'자료_거시'!$E1841,S1858)</f>
        <v/>
      </c>
      <c r="T1859">
        <f>IF(AND(ISNUMBER('자료_거시'!$D1841),ISNUMBER('자료_거시'!$E1841)),IFERROR('자료_거시'!$E1841-INDEX($S$21:$S$4020,MATCH(EDATE('자료_거시'!$D1841,-'설정'!$B$17),'자료_거시'!$D$3:INDEX('자료_거시'!$D$3:$D$4002,$K$6),1)),""),"")</f>
        <v/>
      </c>
      <c r="U1859">
        <f>IF(ISNUMBER(T1859),'자료_거시'!$D1841,"")</f>
        <v/>
      </c>
      <c r="V1859">
        <f>IF(ISNUMBER(U1859),IF(U1859&gt;$L$6,T1859,""),"")</f>
        <v/>
      </c>
      <c r="W1859">
        <f>IF(AND(ISNUMBER('자료_거시'!$G1841),ISNUMBER('자료_거시'!$H1841)),'자료_거시'!$H1841,"")</f>
        <v/>
      </c>
      <c r="X1859">
        <f>IF(ISNUMBER(W1859),'자료_거시'!$G1841,"")</f>
        <v/>
      </c>
      <c r="Y1859">
        <f>IF(ISNUMBER(X1859),IF(X1859&gt;$L$7,W1859,""),"")</f>
        <v/>
      </c>
      <c r="Z1859">
        <f>IF(ISNUMBER('자료_거시'!$K1841),'자료_거시'!$K1841,Z1858)</f>
        <v/>
      </c>
      <c r="AA1859">
        <f>IF(AND(ISNUMBER('자료_거시'!$J1841),ISNUMBER('자료_거시'!$K1841)),IFERROR('자료_거시'!$K1841/INDEX($Z$21:$Z$4020,MATCH(EDATE('자료_거시'!$J1841,-'설정'!$B$17),'자료_거시'!$J$3:INDEX('자료_거시'!$J$3:$J$4002,$K$8),1))-1,""),"")</f>
        <v/>
      </c>
      <c r="AB1859">
        <f>IF(ISNUMBER(AA1859),'자료_거시'!$J1841,"")</f>
        <v/>
      </c>
      <c r="AC1859">
        <f>IF(ISNUMBER(AB1859),IF(AB1859&gt;$L$8,AA1859,""),"")</f>
        <v/>
      </c>
    </row>
    <row r="1860">
      <c r="S1860">
        <f>IF(ISNUMBER('자료_거시'!$E1842),'자료_거시'!$E1842,S1859)</f>
        <v/>
      </c>
      <c r="T1860">
        <f>IF(AND(ISNUMBER('자료_거시'!$D1842),ISNUMBER('자료_거시'!$E1842)),IFERROR('자료_거시'!$E1842-INDEX($S$21:$S$4020,MATCH(EDATE('자료_거시'!$D1842,-'설정'!$B$17),'자료_거시'!$D$3:INDEX('자료_거시'!$D$3:$D$4002,$K$6),1)),""),"")</f>
        <v/>
      </c>
      <c r="U1860">
        <f>IF(ISNUMBER(T1860),'자료_거시'!$D1842,"")</f>
        <v/>
      </c>
      <c r="V1860">
        <f>IF(ISNUMBER(U1860),IF(U1860&gt;$L$6,T1860,""),"")</f>
        <v/>
      </c>
      <c r="W1860">
        <f>IF(AND(ISNUMBER('자료_거시'!$G1842),ISNUMBER('자료_거시'!$H1842)),'자료_거시'!$H1842,"")</f>
        <v/>
      </c>
      <c r="X1860">
        <f>IF(ISNUMBER(W1860),'자료_거시'!$G1842,"")</f>
        <v/>
      </c>
      <c r="Y1860">
        <f>IF(ISNUMBER(X1860),IF(X1860&gt;$L$7,W1860,""),"")</f>
        <v/>
      </c>
      <c r="Z1860">
        <f>IF(ISNUMBER('자료_거시'!$K1842),'자료_거시'!$K1842,Z1859)</f>
        <v/>
      </c>
      <c r="AA1860">
        <f>IF(AND(ISNUMBER('자료_거시'!$J1842),ISNUMBER('자료_거시'!$K1842)),IFERROR('자료_거시'!$K1842/INDEX($Z$21:$Z$4020,MATCH(EDATE('자료_거시'!$J1842,-'설정'!$B$17),'자료_거시'!$J$3:INDEX('자료_거시'!$J$3:$J$4002,$K$8),1))-1,""),"")</f>
        <v/>
      </c>
      <c r="AB1860">
        <f>IF(ISNUMBER(AA1860),'자료_거시'!$J1842,"")</f>
        <v/>
      </c>
      <c r="AC1860">
        <f>IF(ISNUMBER(AB1860),IF(AB1860&gt;$L$8,AA1860,""),"")</f>
        <v/>
      </c>
    </row>
    <row r="1861">
      <c r="S1861">
        <f>IF(ISNUMBER('자료_거시'!$E1843),'자료_거시'!$E1843,S1860)</f>
        <v/>
      </c>
      <c r="T1861">
        <f>IF(AND(ISNUMBER('자료_거시'!$D1843),ISNUMBER('자료_거시'!$E1843)),IFERROR('자료_거시'!$E1843-INDEX($S$21:$S$4020,MATCH(EDATE('자료_거시'!$D1843,-'설정'!$B$17),'자료_거시'!$D$3:INDEX('자료_거시'!$D$3:$D$4002,$K$6),1)),""),"")</f>
        <v/>
      </c>
      <c r="U1861">
        <f>IF(ISNUMBER(T1861),'자료_거시'!$D1843,"")</f>
        <v/>
      </c>
      <c r="V1861">
        <f>IF(ISNUMBER(U1861),IF(U1861&gt;$L$6,T1861,""),"")</f>
        <v/>
      </c>
      <c r="W1861">
        <f>IF(AND(ISNUMBER('자료_거시'!$G1843),ISNUMBER('자료_거시'!$H1843)),'자료_거시'!$H1843,"")</f>
        <v/>
      </c>
      <c r="X1861">
        <f>IF(ISNUMBER(W1861),'자료_거시'!$G1843,"")</f>
        <v/>
      </c>
      <c r="Y1861">
        <f>IF(ISNUMBER(X1861),IF(X1861&gt;$L$7,W1861,""),"")</f>
        <v/>
      </c>
      <c r="Z1861">
        <f>IF(ISNUMBER('자료_거시'!$K1843),'자료_거시'!$K1843,Z1860)</f>
        <v/>
      </c>
      <c r="AA1861">
        <f>IF(AND(ISNUMBER('자료_거시'!$J1843),ISNUMBER('자료_거시'!$K1843)),IFERROR('자료_거시'!$K1843/INDEX($Z$21:$Z$4020,MATCH(EDATE('자료_거시'!$J1843,-'설정'!$B$17),'자료_거시'!$J$3:INDEX('자료_거시'!$J$3:$J$4002,$K$8),1))-1,""),"")</f>
        <v/>
      </c>
      <c r="AB1861">
        <f>IF(ISNUMBER(AA1861),'자료_거시'!$J1843,"")</f>
        <v/>
      </c>
      <c r="AC1861">
        <f>IF(ISNUMBER(AB1861),IF(AB1861&gt;$L$8,AA1861,""),"")</f>
        <v/>
      </c>
    </row>
    <row r="1862">
      <c r="S1862">
        <f>IF(ISNUMBER('자료_거시'!$E1844),'자료_거시'!$E1844,S1861)</f>
        <v/>
      </c>
      <c r="T1862">
        <f>IF(AND(ISNUMBER('자료_거시'!$D1844),ISNUMBER('자료_거시'!$E1844)),IFERROR('자료_거시'!$E1844-INDEX($S$21:$S$4020,MATCH(EDATE('자료_거시'!$D1844,-'설정'!$B$17),'자료_거시'!$D$3:INDEX('자료_거시'!$D$3:$D$4002,$K$6),1)),""),"")</f>
        <v/>
      </c>
      <c r="U1862">
        <f>IF(ISNUMBER(T1862),'자료_거시'!$D1844,"")</f>
        <v/>
      </c>
      <c r="V1862">
        <f>IF(ISNUMBER(U1862),IF(U1862&gt;$L$6,T1862,""),"")</f>
        <v/>
      </c>
      <c r="W1862">
        <f>IF(AND(ISNUMBER('자료_거시'!$G1844),ISNUMBER('자료_거시'!$H1844)),'자료_거시'!$H1844,"")</f>
        <v/>
      </c>
      <c r="X1862">
        <f>IF(ISNUMBER(W1862),'자료_거시'!$G1844,"")</f>
        <v/>
      </c>
      <c r="Y1862">
        <f>IF(ISNUMBER(X1862),IF(X1862&gt;$L$7,W1862,""),"")</f>
        <v/>
      </c>
      <c r="Z1862">
        <f>IF(ISNUMBER('자료_거시'!$K1844),'자료_거시'!$K1844,Z1861)</f>
        <v/>
      </c>
      <c r="AA1862">
        <f>IF(AND(ISNUMBER('자료_거시'!$J1844),ISNUMBER('자료_거시'!$K1844)),IFERROR('자료_거시'!$K1844/INDEX($Z$21:$Z$4020,MATCH(EDATE('자료_거시'!$J1844,-'설정'!$B$17),'자료_거시'!$J$3:INDEX('자료_거시'!$J$3:$J$4002,$K$8),1))-1,""),"")</f>
        <v/>
      </c>
      <c r="AB1862">
        <f>IF(ISNUMBER(AA1862),'자료_거시'!$J1844,"")</f>
        <v/>
      </c>
      <c r="AC1862">
        <f>IF(ISNUMBER(AB1862),IF(AB1862&gt;$L$8,AA1862,""),"")</f>
        <v/>
      </c>
    </row>
    <row r="1863">
      <c r="S1863">
        <f>IF(ISNUMBER('자료_거시'!$E1845),'자료_거시'!$E1845,S1862)</f>
        <v/>
      </c>
      <c r="T1863">
        <f>IF(AND(ISNUMBER('자료_거시'!$D1845),ISNUMBER('자료_거시'!$E1845)),IFERROR('자료_거시'!$E1845-INDEX($S$21:$S$4020,MATCH(EDATE('자료_거시'!$D1845,-'설정'!$B$17),'자료_거시'!$D$3:INDEX('자료_거시'!$D$3:$D$4002,$K$6),1)),""),"")</f>
        <v/>
      </c>
      <c r="U1863">
        <f>IF(ISNUMBER(T1863),'자료_거시'!$D1845,"")</f>
        <v/>
      </c>
      <c r="V1863">
        <f>IF(ISNUMBER(U1863),IF(U1863&gt;$L$6,T1863,""),"")</f>
        <v/>
      </c>
      <c r="W1863">
        <f>IF(AND(ISNUMBER('자료_거시'!$G1845),ISNUMBER('자료_거시'!$H1845)),'자료_거시'!$H1845,"")</f>
        <v/>
      </c>
      <c r="X1863">
        <f>IF(ISNUMBER(W1863),'자료_거시'!$G1845,"")</f>
        <v/>
      </c>
      <c r="Y1863">
        <f>IF(ISNUMBER(X1863),IF(X1863&gt;$L$7,W1863,""),"")</f>
        <v/>
      </c>
      <c r="Z1863">
        <f>IF(ISNUMBER('자료_거시'!$K1845),'자료_거시'!$K1845,Z1862)</f>
        <v/>
      </c>
      <c r="AA1863">
        <f>IF(AND(ISNUMBER('자료_거시'!$J1845),ISNUMBER('자료_거시'!$K1845)),IFERROR('자료_거시'!$K1845/INDEX($Z$21:$Z$4020,MATCH(EDATE('자료_거시'!$J1845,-'설정'!$B$17),'자료_거시'!$J$3:INDEX('자료_거시'!$J$3:$J$4002,$K$8),1))-1,""),"")</f>
        <v/>
      </c>
      <c r="AB1863">
        <f>IF(ISNUMBER(AA1863),'자료_거시'!$J1845,"")</f>
        <v/>
      </c>
      <c r="AC1863">
        <f>IF(ISNUMBER(AB1863),IF(AB1863&gt;$L$8,AA1863,""),"")</f>
        <v/>
      </c>
    </row>
    <row r="1864">
      <c r="S1864">
        <f>IF(ISNUMBER('자료_거시'!$E1846),'자료_거시'!$E1846,S1863)</f>
        <v/>
      </c>
      <c r="T1864">
        <f>IF(AND(ISNUMBER('자료_거시'!$D1846),ISNUMBER('자료_거시'!$E1846)),IFERROR('자료_거시'!$E1846-INDEX($S$21:$S$4020,MATCH(EDATE('자료_거시'!$D1846,-'설정'!$B$17),'자료_거시'!$D$3:INDEX('자료_거시'!$D$3:$D$4002,$K$6),1)),""),"")</f>
        <v/>
      </c>
      <c r="U1864">
        <f>IF(ISNUMBER(T1864),'자료_거시'!$D1846,"")</f>
        <v/>
      </c>
      <c r="V1864">
        <f>IF(ISNUMBER(U1864),IF(U1864&gt;$L$6,T1864,""),"")</f>
        <v/>
      </c>
      <c r="W1864">
        <f>IF(AND(ISNUMBER('자료_거시'!$G1846),ISNUMBER('자료_거시'!$H1846)),'자료_거시'!$H1846,"")</f>
        <v/>
      </c>
      <c r="X1864">
        <f>IF(ISNUMBER(W1864),'자료_거시'!$G1846,"")</f>
        <v/>
      </c>
      <c r="Y1864">
        <f>IF(ISNUMBER(X1864),IF(X1864&gt;$L$7,W1864,""),"")</f>
        <v/>
      </c>
      <c r="Z1864">
        <f>IF(ISNUMBER('자료_거시'!$K1846),'자료_거시'!$K1846,Z1863)</f>
        <v/>
      </c>
      <c r="AA1864">
        <f>IF(AND(ISNUMBER('자료_거시'!$J1846),ISNUMBER('자료_거시'!$K1846)),IFERROR('자료_거시'!$K1846/INDEX($Z$21:$Z$4020,MATCH(EDATE('자료_거시'!$J1846,-'설정'!$B$17),'자료_거시'!$J$3:INDEX('자료_거시'!$J$3:$J$4002,$K$8),1))-1,""),"")</f>
        <v/>
      </c>
      <c r="AB1864">
        <f>IF(ISNUMBER(AA1864),'자료_거시'!$J1846,"")</f>
        <v/>
      </c>
      <c r="AC1864">
        <f>IF(ISNUMBER(AB1864),IF(AB1864&gt;$L$8,AA1864,""),"")</f>
        <v/>
      </c>
    </row>
    <row r="1865">
      <c r="S1865">
        <f>IF(ISNUMBER('자료_거시'!$E1847),'자료_거시'!$E1847,S1864)</f>
        <v/>
      </c>
      <c r="T1865">
        <f>IF(AND(ISNUMBER('자료_거시'!$D1847),ISNUMBER('자료_거시'!$E1847)),IFERROR('자료_거시'!$E1847-INDEX($S$21:$S$4020,MATCH(EDATE('자료_거시'!$D1847,-'설정'!$B$17),'자료_거시'!$D$3:INDEX('자료_거시'!$D$3:$D$4002,$K$6),1)),""),"")</f>
        <v/>
      </c>
      <c r="U1865">
        <f>IF(ISNUMBER(T1865),'자료_거시'!$D1847,"")</f>
        <v/>
      </c>
      <c r="V1865">
        <f>IF(ISNUMBER(U1865),IF(U1865&gt;$L$6,T1865,""),"")</f>
        <v/>
      </c>
      <c r="W1865">
        <f>IF(AND(ISNUMBER('자료_거시'!$G1847),ISNUMBER('자료_거시'!$H1847)),'자료_거시'!$H1847,"")</f>
        <v/>
      </c>
      <c r="X1865">
        <f>IF(ISNUMBER(W1865),'자료_거시'!$G1847,"")</f>
        <v/>
      </c>
      <c r="Y1865">
        <f>IF(ISNUMBER(X1865),IF(X1865&gt;$L$7,W1865,""),"")</f>
        <v/>
      </c>
      <c r="Z1865">
        <f>IF(ISNUMBER('자료_거시'!$K1847),'자료_거시'!$K1847,Z1864)</f>
        <v/>
      </c>
      <c r="AA1865">
        <f>IF(AND(ISNUMBER('자료_거시'!$J1847),ISNUMBER('자료_거시'!$K1847)),IFERROR('자료_거시'!$K1847/INDEX($Z$21:$Z$4020,MATCH(EDATE('자료_거시'!$J1847,-'설정'!$B$17),'자료_거시'!$J$3:INDEX('자료_거시'!$J$3:$J$4002,$K$8),1))-1,""),"")</f>
        <v/>
      </c>
      <c r="AB1865">
        <f>IF(ISNUMBER(AA1865),'자료_거시'!$J1847,"")</f>
        <v/>
      </c>
      <c r="AC1865">
        <f>IF(ISNUMBER(AB1865),IF(AB1865&gt;$L$8,AA1865,""),"")</f>
        <v/>
      </c>
    </row>
    <row r="1866">
      <c r="S1866">
        <f>IF(ISNUMBER('자료_거시'!$E1848),'자료_거시'!$E1848,S1865)</f>
        <v/>
      </c>
      <c r="T1866">
        <f>IF(AND(ISNUMBER('자료_거시'!$D1848),ISNUMBER('자료_거시'!$E1848)),IFERROR('자료_거시'!$E1848-INDEX($S$21:$S$4020,MATCH(EDATE('자료_거시'!$D1848,-'설정'!$B$17),'자료_거시'!$D$3:INDEX('자료_거시'!$D$3:$D$4002,$K$6),1)),""),"")</f>
        <v/>
      </c>
      <c r="U1866">
        <f>IF(ISNUMBER(T1866),'자료_거시'!$D1848,"")</f>
        <v/>
      </c>
      <c r="V1866">
        <f>IF(ISNUMBER(U1866),IF(U1866&gt;$L$6,T1866,""),"")</f>
        <v/>
      </c>
      <c r="W1866">
        <f>IF(AND(ISNUMBER('자료_거시'!$G1848),ISNUMBER('자료_거시'!$H1848)),'자료_거시'!$H1848,"")</f>
        <v/>
      </c>
      <c r="X1866">
        <f>IF(ISNUMBER(W1866),'자료_거시'!$G1848,"")</f>
        <v/>
      </c>
      <c r="Y1866">
        <f>IF(ISNUMBER(X1866),IF(X1866&gt;$L$7,W1866,""),"")</f>
        <v/>
      </c>
      <c r="Z1866">
        <f>IF(ISNUMBER('자료_거시'!$K1848),'자료_거시'!$K1848,Z1865)</f>
        <v/>
      </c>
      <c r="AA1866">
        <f>IF(AND(ISNUMBER('자료_거시'!$J1848),ISNUMBER('자료_거시'!$K1848)),IFERROR('자료_거시'!$K1848/INDEX($Z$21:$Z$4020,MATCH(EDATE('자료_거시'!$J1848,-'설정'!$B$17),'자료_거시'!$J$3:INDEX('자료_거시'!$J$3:$J$4002,$K$8),1))-1,""),"")</f>
        <v/>
      </c>
      <c r="AB1866">
        <f>IF(ISNUMBER(AA1866),'자료_거시'!$J1848,"")</f>
        <v/>
      </c>
      <c r="AC1866">
        <f>IF(ISNUMBER(AB1866),IF(AB1866&gt;$L$8,AA1866,""),"")</f>
        <v/>
      </c>
    </row>
    <row r="1867">
      <c r="S1867">
        <f>IF(ISNUMBER('자료_거시'!$E1849),'자료_거시'!$E1849,S1866)</f>
        <v/>
      </c>
      <c r="T1867">
        <f>IF(AND(ISNUMBER('자료_거시'!$D1849),ISNUMBER('자료_거시'!$E1849)),IFERROR('자료_거시'!$E1849-INDEX($S$21:$S$4020,MATCH(EDATE('자료_거시'!$D1849,-'설정'!$B$17),'자료_거시'!$D$3:INDEX('자료_거시'!$D$3:$D$4002,$K$6),1)),""),"")</f>
        <v/>
      </c>
      <c r="U1867">
        <f>IF(ISNUMBER(T1867),'자료_거시'!$D1849,"")</f>
        <v/>
      </c>
      <c r="V1867">
        <f>IF(ISNUMBER(U1867),IF(U1867&gt;$L$6,T1867,""),"")</f>
        <v/>
      </c>
      <c r="W1867">
        <f>IF(AND(ISNUMBER('자료_거시'!$G1849),ISNUMBER('자료_거시'!$H1849)),'자료_거시'!$H1849,"")</f>
        <v/>
      </c>
      <c r="X1867">
        <f>IF(ISNUMBER(W1867),'자료_거시'!$G1849,"")</f>
        <v/>
      </c>
      <c r="Y1867">
        <f>IF(ISNUMBER(X1867),IF(X1867&gt;$L$7,W1867,""),"")</f>
        <v/>
      </c>
      <c r="Z1867">
        <f>IF(ISNUMBER('자료_거시'!$K1849),'자료_거시'!$K1849,Z1866)</f>
        <v/>
      </c>
      <c r="AA1867">
        <f>IF(AND(ISNUMBER('자료_거시'!$J1849),ISNUMBER('자료_거시'!$K1849)),IFERROR('자료_거시'!$K1849/INDEX($Z$21:$Z$4020,MATCH(EDATE('자료_거시'!$J1849,-'설정'!$B$17),'자료_거시'!$J$3:INDEX('자료_거시'!$J$3:$J$4002,$K$8),1))-1,""),"")</f>
        <v/>
      </c>
      <c r="AB1867">
        <f>IF(ISNUMBER(AA1867),'자료_거시'!$J1849,"")</f>
        <v/>
      </c>
      <c r="AC1867">
        <f>IF(ISNUMBER(AB1867),IF(AB1867&gt;$L$8,AA1867,""),"")</f>
        <v/>
      </c>
    </row>
    <row r="1868">
      <c r="S1868">
        <f>IF(ISNUMBER('자료_거시'!$E1850),'자료_거시'!$E1850,S1867)</f>
        <v/>
      </c>
      <c r="T1868">
        <f>IF(AND(ISNUMBER('자료_거시'!$D1850),ISNUMBER('자료_거시'!$E1850)),IFERROR('자료_거시'!$E1850-INDEX($S$21:$S$4020,MATCH(EDATE('자료_거시'!$D1850,-'설정'!$B$17),'자료_거시'!$D$3:INDEX('자료_거시'!$D$3:$D$4002,$K$6),1)),""),"")</f>
        <v/>
      </c>
      <c r="U1868">
        <f>IF(ISNUMBER(T1868),'자료_거시'!$D1850,"")</f>
        <v/>
      </c>
      <c r="V1868">
        <f>IF(ISNUMBER(U1868),IF(U1868&gt;$L$6,T1868,""),"")</f>
        <v/>
      </c>
      <c r="W1868">
        <f>IF(AND(ISNUMBER('자료_거시'!$G1850),ISNUMBER('자료_거시'!$H1850)),'자료_거시'!$H1850,"")</f>
        <v/>
      </c>
      <c r="X1868">
        <f>IF(ISNUMBER(W1868),'자료_거시'!$G1850,"")</f>
        <v/>
      </c>
      <c r="Y1868">
        <f>IF(ISNUMBER(X1868),IF(X1868&gt;$L$7,W1868,""),"")</f>
        <v/>
      </c>
      <c r="Z1868">
        <f>IF(ISNUMBER('자료_거시'!$K1850),'자료_거시'!$K1850,Z1867)</f>
        <v/>
      </c>
      <c r="AA1868">
        <f>IF(AND(ISNUMBER('자료_거시'!$J1850),ISNUMBER('자료_거시'!$K1850)),IFERROR('자료_거시'!$K1850/INDEX($Z$21:$Z$4020,MATCH(EDATE('자료_거시'!$J1850,-'설정'!$B$17),'자료_거시'!$J$3:INDEX('자료_거시'!$J$3:$J$4002,$K$8),1))-1,""),"")</f>
        <v/>
      </c>
      <c r="AB1868">
        <f>IF(ISNUMBER(AA1868),'자료_거시'!$J1850,"")</f>
        <v/>
      </c>
      <c r="AC1868">
        <f>IF(ISNUMBER(AB1868),IF(AB1868&gt;$L$8,AA1868,""),"")</f>
        <v/>
      </c>
    </row>
    <row r="1869">
      <c r="S1869">
        <f>IF(ISNUMBER('자료_거시'!$E1851),'자료_거시'!$E1851,S1868)</f>
        <v/>
      </c>
      <c r="T1869">
        <f>IF(AND(ISNUMBER('자료_거시'!$D1851),ISNUMBER('자료_거시'!$E1851)),IFERROR('자료_거시'!$E1851-INDEX($S$21:$S$4020,MATCH(EDATE('자료_거시'!$D1851,-'설정'!$B$17),'자료_거시'!$D$3:INDEX('자료_거시'!$D$3:$D$4002,$K$6),1)),""),"")</f>
        <v/>
      </c>
      <c r="U1869">
        <f>IF(ISNUMBER(T1869),'자료_거시'!$D1851,"")</f>
        <v/>
      </c>
      <c r="V1869">
        <f>IF(ISNUMBER(U1869),IF(U1869&gt;$L$6,T1869,""),"")</f>
        <v/>
      </c>
      <c r="W1869">
        <f>IF(AND(ISNUMBER('자료_거시'!$G1851),ISNUMBER('자료_거시'!$H1851)),'자료_거시'!$H1851,"")</f>
        <v/>
      </c>
      <c r="X1869">
        <f>IF(ISNUMBER(W1869),'자료_거시'!$G1851,"")</f>
        <v/>
      </c>
      <c r="Y1869">
        <f>IF(ISNUMBER(X1869),IF(X1869&gt;$L$7,W1869,""),"")</f>
        <v/>
      </c>
      <c r="Z1869">
        <f>IF(ISNUMBER('자료_거시'!$K1851),'자료_거시'!$K1851,Z1868)</f>
        <v/>
      </c>
      <c r="AA1869">
        <f>IF(AND(ISNUMBER('자료_거시'!$J1851),ISNUMBER('자료_거시'!$K1851)),IFERROR('자료_거시'!$K1851/INDEX($Z$21:$Z$4020,MATCH(EDATE('자료_거시'!$J1851,-'설정'!$B$17),'자료_거시'!$J$3:INDEX('자료_거시'!$J$3:$J$4002,$K$8),1))-1,""),"")</f>
        <v/>
      </c>
      <c r="AB1869">
        <f>IF(ISNUMBER(AA1869),'자료_거시'!$J1851,"")</f>
        <v/>
      </c>
      <c r="AC1869">
        <f>IF(ISNUMBER(AB1869),IF(AB1869&gt;$L$8,AA1869,""),"")</f>
        <v/>
      </c>
    </row>
    <row r="1870">
      <c r="S1870">
        <f>IF(ISNUMBER('자료_거시'!$E1852),'자료_거시'!$E1852,S1869)</f>
        <v/>
      </c>
      <c r="T1870">
        <f>IF(AND(ISNUMBER('자료_거시'!$D1852),ISNUMBER('자료_거시'!$E1852)),IFERROR('자료_거시'!$E1852-INDEX($S$21:$S$4020,MATCH(EDATE('자료_거시'!$D1852,-'설정'!$B$17),'자료_거시'!$D$3:INDEX('자료_거시'!$D$3:$D$4002,$K$6),1)),""),"")</f>
        <v/>
      </c>
      <c r="U1870">
        <f>IF(ISNUMBER(T1870),'자료_거시'!$D1852,"")</f>
        <v/>
      </c>
      <c r="V1870">
        <f>IF(ISNUMBER(U1870),IF(U1870&gt;$L$6,T1870,""),"")</f>
        <v/>
      </c>
      <c r="W1870">
        <f>IF(AND(ISNUMBER('자료_거시'!$G1852),ISNUMBER('자료_거시'!$H1852)),'자료_거시'!$H1852,"")</f>
        <v/>
      </c>
      <c r="X1870">
        <f>IF(ISNUMBER(W1870),'자료_거시'!$G1852,"")</f>
        <v/>
      </c>
      <c r="Y1870">
        <f>IF(ISNUMBER(X1870),IF(X1870&gt;$L$7,W1870,""),"")</f>
        <v/>
      </c>
      <c r="Z1870">
        <f>IF(ISNUMBER('자료_거시'!$K1852),'자료_거시'!$K1852,Z1869)</f>
        <v/>
      </c>
      <c r="AA1870">
        <f>IF(AND(ISNUMBER('자료_거시'!$J1852),ISNUMBER('자료_거시'!$K1852)),IFERROR('자료_거시'!$K1852/INDEX($Z$21:$Z$4020,MATCH(EDATE('자료_거시'!$J1852,-'설정'!$B$17),'자료_거시'!$J$3:INDEX('자료_거시'!$J$3:$J$4002,$K$8),1))-1,""),"")</f>
        <v/>
      </c>
      <c r="AB1870">
        <f>IF(ISNUMBER(AA1870),'자료_거시'!$J1852,"")</f>
        <v/>
      </c>
      <c r="AC1870">
        <f>IF(ISNUMBER(AB1870),IF(AB1870&gt;$L$8,AA1870,""),"")</f>
        <v/>
      </c>
    </row>
    <row r="1871">
      <c r="S1871">
        <f>IF(ISNUMBER('자료_거시'!$E1853),'자료_거시'!$E1853,S1870)</f>
        <v/>
      </c>
      <c r="T1871">
        <f>IF(AND(ISNUMBER('자료_거시'!$D1853),ISNUMBER('자료_거시'!$E1853)),IFERROR('자료_거시'!$E1853-INDEX($S$21:$S$4020,MATCH(EDATE('자료_거시'!$D1853,-'설정'!$B$17),'자료_거시'!$D$3:INDEX('자료_거시'!$D$3:$D$4002,$K$6),1)),""),"")</f>
        <v/>
      </c>
      <c r="U1871">
        <f>IF(ISNUMBER(T1871),'자료_거시'!$D1853,"")</f>
        <v/>
      </c>
      <c r="V1871">
        <f>IF(ISNUMBER(U1871),IF(U1871&gt;$L$6,T1871,""),"")</f>
        <v/>
      </c>
      <c r="W1871">
        <f>IF(AND(ISNUMBER('자료_거시'!$G1853),ISNUMBER('자료_거시'!$H1853)),'자료_거시'!$H1853,"")</f>
        <v/>
      </c>
      <c r="X1871">
        <f>IF(ISNUMBER(W1871),'자료_거시'!$G1853,"")</f>
        <v/>
      </c>
      <c r="Y1871">
        <f>IF(ISNUMBER(X1871),IF(X1871&gt;$L$7,W1871,""),"")</f>
        <v/>
      </c>
      <c r="Z1871">
        <f>IF(ISNUMBER('자료_거시'!$K1853),'자료_거시'!$K1853,Z1870)</f>
        <v/>
      </c>
      <c r="AA1871">
        <f>IF(AND(ISNUMBER('자료_거시'!$J1853),ISNUMBER('자료_거시'!$K1853)),IFERROR('자료_거시'!$K1853/INDEX($Z$21:$Z$4020,MATCH(EDATE('자료_거시'!$J1853,-'설정'!$B$17),'자료_거시'!$J$3:INDEX('자료_거시'!$J$3:$J$4002,$K$8),1))-1,""),"")</f>
        <v/>
      </c>
      <c r="AB1871">
        <f>IF(ISNUMBER(AA1871),'자료_거시'!$J1853,"")</f>
        <v/>
      </c>
      <c r="AC1871">
        <f>IF(ISNUMBER(AB1871),IF(AB1871&gt;$L$8,AA1871,""),"")</f>
        <v/>
      </c>
    </row>
    <row r="1872">
      <c r="S1872">
        <f>IF(ISNUMBER('자료_거시'!$E1854),'자료_거시'!$E1854,S1871)</f>
        <v/>
      </c>
      <c r="T1872">
        <f>IF(AND(ISNUMBER('자료_거시'!$D1854),ISNUMBER('자료_거시'!$E1854)),IFERROR('자료_거시'!$E1854-INDEX($S$21:$S$4020,MATCH(EDATE('자료_거시'!$D1854,-'설정'!$B$17),'자료_거시'!$D$3:INDEX('자료_거시'!$D$3:$D$4002,$K$6),1)),""),"")</f>
        <v/>
      </c>
      <c r="U1872">
        <f>IF(ISNUMBER(T1872),'자료_거시'!$D1854,"")</f>
        <v/>
      </c>
      <c r="V1872">
        <f>IF(ISNUMBER(U1872),IF(U1872&gt;$L$6,T1872,""),"")</f>
        <v/>
      </c>
      <c r="W1872">
        <f>IF(AND(ISNUMBER('자료_거시'!$G1854),ISNUMBER('자료_거시'!$H1854)),'자료_거시'!$H1854,"")</f>
        <v/>
      </c>
      <c r="X1872">
        <f>IF(ISNUMBER(W1872),'자료_거시'!$G1854,"")</f>
        <v/>
      </c>
      <c r="Y1872">
        <f>IF(ISNUMBER(X1872),IF(X1872&gt;$L$7,W1872,""),"")</f>
        <v/>
      </c>
      <c r="Z1872">
        <f>IF(ISNUMBER('자료_거시'!$K1854),'자료_거시'!$K1854,Z1871)</f>
        <v/>
      </c>
      <c r="AA1872">
        <f>IF(AND(ISNUMBER('자료_거시'!$J1854),ISNUMBER('자료_거시'!$K1854)),IFERROR('자료_거시'!$K1854/INDEX($Z$21:$Z$4020,MATCH(EDATE('자료_거시'!$J1854,-'설정'!$B$17),'자료_거시'!$J$3:INDEX('자료_거시'!$J$3:$J$4002,$K$8),1))-1,""),"")</f>
        <v/>
      </c>
      <c r="AB1872">
        <f>IF(ISNUMBER(AA1872),'자료_거시'!$J1854,"")</f>
        <v/>
      </c>
      <c r="AC1872">
        <f>IF(ISNUMBER(AB1872),IF(AB1872&gt;$L$8,AA1872,""),"")</f>
        <v/>
      </c>
    </row>
    <row r="1873">
      <c r="S1873">
        <f>IF(ISNUMBER('자료_거시'!$E1855),'자료_거시'!$E1855,S1872)</f>
        <v/>
      </c>
      <c r="T1873">
        <f>IF(AND(ISNUMBER('자료_거시'!$D1855),ISNUMBER('자료_거시'!$E1855)),IFERROR('자료_거시'!$E1855-INDEX($S$21:$S$4020,MATCH(EDATE('자료_거시'!$D1855,-'설정'!$B$17),'자료_거시'!$D$3:INDEX('자료_거시'!$D$3:$D$4002,$K$6),1)),""),"")</f>
        <v/>
      </c>
      <c r="U1873">
        <f>IF(ISNUMBER(T1873),'자료_거시'!$D1855,"")</f>
        <v/>
      </c>
      <c r="V1873">
        <f>IF(ISNUMBER(U1873),IF(U1873&gt;$L$6,T1873,""),"")</f>
        <v/>
      </c>
      <c r="W1873">
        <f>IF(AND(ISNUMBER('자료_거시'!$G1855),ISNUMBER('자료_거시'!$H1855)),'자료_거시'!$H1855,"")</f>
        <v/>
      </c>
      <c r="X1873">
        <f>IF(ISNUMBER(W1873),'자료_거시'!$G1855,"")</f>
        <v/>
      </c>
      <c r="Y1873">
        <f>IF(ISNUMBER(X1873),IF(X1873&gt;$L$7,W1873,""),"")</f>
        <v/>
      </c>
      <c r="Z1873">
        <f>IF(ISNUMBER('자료_거시'!$K1855),'자료_거시'!$K1855,Z1872)</f>
        <v/>
      </c>
      <c r="AA1873">
        <f>IF(AND(ISNUMBER('자료_거시'!$J1855),ISNUMBER('자료_거시'!$K1855)),IFERROR('자료_거시'!$K1855/INDEX($Z$21:$Z$4020,MATCH(EDATE('자료_거시'!$J1855,-'설정'!$B$17),'자료_거시'!$J$3:INDEX('자료_거시'!$J$3:$J$4002,$K$8),1))-1,""),"")</f>
        <v/>
      </c>
      <c r="AB1873">
        <f>IF(ISNUMBER(AA1873),'자료_거시'!$J1855,"")</f>
        <v/>
      </c>
      <c r="AC1873">
        <f>IF(ISNUMBER(AB1873),IF(AB1873&gt;$L$8,AA1873,""),"")</f>
        <v/>
      </c>
    </row>
    <row r="1874">
      <c r="S1874">
        <f>IF(ISNUMBER('자료_거시'!$E1856),'자료_거시'!$E1856,S1873)</f>
        <v/>
      </c>
      <c r="T1874">
        <f>IF(AND(ISNUMBER('자료_거시'!$D1856),ISNUMBER('자료_거시'!$E1856)),IFERROR('자료_거시'!$E1856-INDEX($S$21:$S$4020,MATCH(EDATE('자료_거시'!$D1856,-'설정'!$B$17),'자료_거시'!$D$3:INDEX('자료_거시'!$D$3:$D$4002,$K$6),1)),""),"")</f>
        <v/>
      </c>
      <c r="U1874">
        <f>IF(ISNUMBER(T1874),'자료_거시'!$D1856,"")</f>
        <v/>
      </c>
      <c r="V1874">
        <f>IF(ISNUMBER(U1874),IF(U1874&gt;$L$6,T1874,""),"")</f>
        <v/>
      </c>
      <c r="W1874">
        <f>IF(AND(ISNUMBER('자료_거시'!$G1856),ISNUMBER('자료_거시'!$H1856)),'자료_거시'!$H1856,"")</f>
        <v/>
      </c>
      <c r="X1874">
        <f>IF(ISNUMBER(W1874),'자료_거시'!$G1856,"")</f>
        <v/>
      </c>
      <c r="Y1874">
        <f>IF(ISNUMBER(X1874),IF(X1874&gt;$L$7,W1874,""),"")</f>
        <v/>
      </c>
      <c r="Z1874">
        <f>IF(ISNUMBER('자료_거시'!$K1856),'자료_거시'!$K1856,Z1873)</f>
        <v/>
      </c>
      <c r="AA1874">
        <f>IF(AND(ISNUMBER('자료_거시'!$J1856),ISNUMBER('자료_거시'!$K1856)),IFERROR('자료_거시'!$K1856/INDEX($Z$21:$Z$4020,MATCH(EDATE('자료_거시'!$J1856,-'설정'!$B$17),'자료_거시'!$J$3:INDEX('자료_거시'!$J$3:$J$4002,$K$8),1))-1,""),"")</f>
        <v/>
      </c>
      <c r="AB1874">
        <f>IF(ISNUMBER(AA1874),'자료_거시'!$J1856,"")</f>
        <v/>
      </c>
      <c r="AC1874">
        <f>IF(ISNUMBER(AB1874),IF(AB1874&gt;$L$8,AA1874,""),"")</f>
        <v/>
      </c>
    </row>
    <row r="1875">
      <c r="S1875">
        <f>IF(ISNUMBER('자료_거시'!$E1857),'자료_거시'!$E1857,S1874)</f>
        <v/>
      </c>
      <c r="T1875">
        <f>IF(AND(ISNUMBER('자료_거시'!$D1857),ISNUMBER('자료_거시'!$E1857)),IFERROR('자료_거시'!$E1857-INDEX($S$21:$S$4020,MATCH(EDATE('자료_거시'!$D1857,-'설정'!$B$17),'자료_거시'!$D$3:INDEX('자료_거시'!$D$3:$D$4002,$K$6),1)),""),"")</f>
        <v/>
      </c>
      <c r="U1875">
        <f>IF(ISNUMBER(T1875),'자료_거시'!$D1857,"")</f>
        <v/>
      </c>
      <c r="V1875">
        <f>IF(ISNUMBER(U1875),IF(U1875&gt;$L$6,T1875,""),"")</f>
        <v/>
      </c>
      <c r="W1875">
        <f>IF(AND(ISNUMBER('자료_거시'!$G1857),ISNUMBER('자료_거시'!$H1857)),'자료_거시'!$H1857,"")</f>
        <v/>
      </c>
      <c r="X1875">
        <f>IF(ISNUMBER(W1875),'자료_거시'!$G1857,"")</f>
        <v/>
      </c>
      <c r="Y1875">
        <f>IF(ISNUMBER(X1875),IF(X1875&gt;$L$7,W1875,""),"")</f>
        <v/>
      </c>
      <c r="Z1875">
        <f>IF(ISNUMBER('자료_거시'!$K1857),'자료_거시'!$K1857,Z1874)</f>
        <v/>
      </c>
      <c r="AA1875">
        <f>IF(AND(ISNUMBER('자료_거시'!$J1857),ISNUMBER('자료_거시'!$K1857)),IFERROR('자료_거시'!$K1857/INDEX($Z$21:$Z$4020,MATCH(EDATE('자료_거시'!$J1857,-'설정'!$B$17),'자료_거시'!$J$3:INDEX('자료_거시'!$J$3:$J$4002,$K$8),1))-1,""),"")</f>
        <v/>
      </c>
      <c r="AB1875">
        <f>IF(ISNUMBER(AA1875),'자료_거시'!$J1857,"")</f>
        <v/>
      </c>
      <c r="AC1875">
        <f>IF(ISNUMBER(AB1875),IF(AB1875&gt;$L$8,AA1875,""),"")</f>
        <v/>
      </c>
    </row>
    <row r="1876">
      <c r="S1876">
        <f>IF(ISNUMBER('자료_거시'!$E1858),'자료_거시'!$E1858,S1875)</f>
        <v/>
      </c>
      <c r="T1876">
        <f>IF(AND(ISNUMBER('자료_거시'!$D1858),ISNUMBER('자료_거시'!$E1858)),IFERROR('자료_거시'!$E1858-INDEX($S$21:$S$4020,MATCH(EDATE('자료_거시'!$D1858,-'설정'!$B$17),'자료_거시'!$D$3:INDEX('자료_거시'!$D$3:$D$4002,$K$6),1)),""),"")</f>
        <v/>
      </c>
      <c r="U1876">
        <f>IF(ISNUMBER(T1876),'자료_거시'!$D1858,"")</f>
        <v/>
      </c>
      <c r="V1876">
        <f>IF(ISNUMBER(U1876),IF(U1876&gt;$L$6,T1876,""),"")</f>
        <v/>
      </c>
      <c r="W1876">
        <f>IF(AND(ISNUMBER('자료_거시'!$G1858),ISNUMBER('자료_거시'!$H1858)),'자료_거시'!$H1858,"")</f>
        <v/>
      </c>
      <c r="X1876">
        <f>IF(ISNUMBER(W1876),'자료_거시'!$G1858,"")</f>
        <v/>
      </c>
      <c r="Y1876">
        <f>IF(ISNUMBER(X1876),IF(X1876&gt;$L$7,W1876,""),"")</f>
        <v/>
      </c>
      <c r="Z1876">
        <f>IF(ISNUMBER('자료_거시'!$K1858),'자료_거시'!$K1858,Z1875)</f>
        <v/>
      </c>
      <c r="AA1876">
        <f>IF(AND(ISNUMBER('자료_거시'!$J1858),ISNUMBER('자료_거시'!$K1858)),IFERROR('자료_거시'!$K1858/INDEX($Z$21:$Z$4020,MATCH(EDATE('자료_거시'!$J1858,-'설정'!$B$17),'자료_거시'!$J$3:INDEX('자료_거시'!$J$3:$J$4002,$K$8),1))-1,""),"")</f>
        <v/>
      </c>
      <c r="AB1876">
        <f>IF(ISNUMBER(AA1876),'자료_거시'!$J1858,"")</f>
        <v/>
      </c>
      <c r="AC1876">
        <f>IF(ISNUMBER(AB1876),IF(AB1876&gt;$L$8,AA1876,""),"")</f>
        <v/>
      </c>
    </row>
    <row r="1877">
      <c r="S1877">
        <f>IF(ISNUMBER('자료_거시'!$E1859),'자료_거시'!$E1859,S1876)</f>
        <v/>
      </c>
      <c r="T1877">
        <f>IF(AND(ISNUMBER('자료_거시'!$D1859),ISNUMBER('자료_거시'!$E1859)),IFERROR('자료_거시'!$E1859-INDEX($S$21:$S$4020,MATCH(EDATE('자료_거시'!$D1859,-'설정'!$B$17),'자료_거시'!$D$3:INDEX('자료_거시'!$D$3:$D$4002,$K$6),1)),""),"")</f>
        <v/>
      </c>
      <c r="U1877">
        <f>IF(ISNUMBER(T1877),'자료_거시'!$D1859,"")</f>
        <v/>
      </c>
      <c r="V1877">
        <f>IF(ISNUMBER(U1877),IF(U1877&gt;$L$6,T1877,""),"")</f>
        <v/>
      </c>
      <c r="W1877">
        <f>IF(AND(ISNUMBER('자료_거시'!$G1859),ISNUMBER('자료_거시'!$H1859)),'자료_거시'!$H1859,"")</f>
        <v/>
      </c>
      <c r="X1877">
        <f>IF(ISNUMBER(W1877),'자료_거시'!$G1859,"")</f>
        <v/>
      </c>
      <c r="Y1877">
        <f>IF(ISNUMBER(X1877),IF(X1877&gt;$L$7,W1877,""),"")</f>
        <v/>
      </c>
      <c r="Z1877">
        <f>IF(ISNUMBER('자료_거시'!$K1859),'자료_거시'!$K1859,Z1876)</f>
        <v/>
      </c>
      <c r="AA1877">
        <f>IF(AND(ISNUMBER('자료_거시'!$J1859),ISNUMBER('자료_거시'!$K1859)),IFERROR('자료_거시'!$K1859/INDEX($Z$21:$Z$4020,MATCH(EDATE('자료_거시'!$J1859,-'설정'!$B$17),'자료_거시'!$J$3:INDEX('자료_거시'!$J$3:$J$4002,$K$8),1))-1,""),"")</f>
        <v/>
      </c>
      <c r="AB1877">
        <f>IF(ISNUMBER(AA1877),'자료_거시'!$J1859,"")</f>
        <v/>
      </c>
      <c r="AC1877">
        <f>IF(ISNUMBER(AB1877),IF(AB1877&gt;$L$8,AA1877,""),"")</f>
        <v/>
      </c>
    </row>
    <row r="1878">
      <c r="S1878">
        <f>IF(ISNUMBER('자료_거시'!$E1860),'자료_거시'!$E1860,S1877)</f>
        <v/>
      </c>
      <c r="T1878">
        <f>IF(AND(ISNUMBER('자료_거시'!$D1860),ISNUMBER('자료_거시'!$E1860)),IFERROR('자료_거시'!$E1860-INDEX($S$21:$S$4020,MATCH(EDATE('자료_거시'!$D1860,-'설정'!$B$17),'자료_거시'!$D$3:INDEX('자료_거시'!$D$3:$D$4002,$K$6),1)),""),"")</f>
        <v/>
      </c>
      <c r="U1878">
        <f>IF(ISNUMBER(T1878),'자료_거시'!$D1860,"")</f>
        <v/>
      </c>
      <c r="V1878">
        <f>IF(ISNUMBER(U1878),IF(U1878&gt;$L$6,T1878,""),"")</f>
        <v/>
      </c>
      <c r="W1878">
        <f>IF(AND(ISNUMBER('자료_거시'!$G1860),ISNUMBER('자료_거시'!$H1860)),'자료_거시'!$H1860,"")</f>
        <v/>
      </c>
      <c r="X1878">
        <f>IF(ISNUMBER(W1878),'자료_거시'!$G1860,"")</f>
        <v/>
      </c>
      <c r="Y1878">
        <f>IF(ISNUMBER(X1878),IF(X1878&gt;$L$7,W1878,""),"")</f>
        <v/>
      </c>
      <c r="Z1878">
        <f>IF(ISNUMBER('자료_거시'!$K1860),'자료_거시'!$K1860,Z1877)</f>
        <v/>
      </c>
      <c r="AA1878">
        <f>IF(AND(ISNUMBER('자료_거시'!$J1860),ISNUMBER('자료_거시'!$K1860)),IFERROR('자료_거시'!$K1860/INDEX($Z$21:$Z$4020,MATCH(EDATE('자료_거시'!$J1860,-'설정'!$B$17),'자료_거시'!$J$3:INDEX('자료_거시'!$J$3:$J$4002,$K$8),1))-1,""),"")</f>
        <v/>
      </c>
      <c r="AB1878">
        <f>IF(ISNUMBER(AA1878),'자료_거시'!$J1860,"")</f>
        <v/>
      </c>
      <c r="AC1878">
        <f>IF(ISNUMBER(AB1878),IF(AB1878&gt;$L$8,AA1878,""),"")</f>
        <v/>
      </c>
    </row>
    <row r="1879">
      <c r="S1879">
        <f>IF(ISNUMBER('자료_거시'!$E1861),'자료_거시'!$E1861,S1878)</f>
        <v/>
      </c>
      <c r="T1879">
        <f>IF(AND(ISNUMBER('자료_거시'!$D1861),ISNUMBER('자료_거시'!$E1861)),IFERROR('자료_거시'!$E1861-INDEX($S$21:$S$4020,MATCH(EDATE('자료_거시'!$D1861,-'설정'!$B$17),'자료_거시'!$D$3:INDEX('자료_거시'!$D$3:$D$4002,$K$6),1)),""),"")</f>
        <v/>
      </c>
      <c r="U1879">
        <f>IF(ISNUMBER(T1879),'자료_거시'!$D1861,"")</f>
        <v/>
      </c>
      <c r="V1879">
        <f>IF(ISNUMBER(U1879),IF(U1879&gt;$L$6,T1879,""),"")</f>
        <v/>
      </c>
      <c r="W1879">
        <f>IF(AND(ISNUMBER('자료_거시'!$G1861),ISNUMBER('자료_거시'!$H1861)),'자료_거시'!$H1861,"")</f>
        <v/>
      </c>
      <c r="X1879">
        <f>IF(ISNUMBER(W1879),'자료_거시'!$G1861,"")</f>
        <v/>
      </c>
      <c r="Y1879">
        <f>IF(ISNUMBER(X1879),IF(X1879&gt;$L$7,W1879,""),"")</f>
        <v/>
      </c>
      <c r="Z1879">
        <f>IF(ISNUMBER('자료_거시'!$K1861),'자료_거시'!$K1861,Z1878)</f>
        <v/>
      </c>
      <c r="AA1879">
        <f>IF(AND(ISNUMBER('자료_거시'!$J1861),ISNUMBER('자료_거시'!$K1861)),IFERROR('자료_거시'!$K1861/INDEX($Z$21:$Z$4020,MATCH(EDATE('자료_거시'!$J1861,-'설정'!$B$17),'자료_거시'!$J$3:INDEX('자료_거시'!$J$3:$J$4002,$K$8),1))-1,""),"")</f>
        <v/>
      </c>
      <c r="AB1879">
        <f>IF(ISNUMBER(AA1879),'자료_거시'!$J1861,"")</f>
        <v/>
      </c>
      <c r="AC1879">
        <f>IF(ISNUMBER(AB1879),IF(AB1879&gt;$L$8,AA1879,""),"")</f>
        <v/>
      </c>
    </row>
    <row r="1880">
      <c r="S1880">
        <f>IF(ISNUMBER('자료_거시'!$E1862),'자료_거시'!$E1862,S1879)</f>
        <v/>
      </c>
      <c r="T1880">
        <f>IF(AND(ISNUMBER('자료_거시'!$D1862),ISNUMBER('자료_거시'!$E1862)),IFERROR('자료_거시'!$E1862-INDEX($S$21:$S$4020,MATCH(EDATE('자료_거시'!$D1862,-'설정'!$B$17),'자료_거시'!$D$3:INDEX('자료_거시'!$D$3:$D$4002,$K$6),1)),""),"")</f>
        <v/>
      </c>
      <c r="U1880">
        <f>IF(ISNUMBER(T1880),'자료_거시'!$D1862,"")</f>
        <v/>
      </c>
      <c r="V1880">
        <f>IF(ISNUMBER(U1880),IF(U1880&gt;$L$6,T1880,""),"")</f>
        <v/>
      </c>
      <c r="W1880">
        <f>IF(AND(ISNUMBER('자료_거시'!$G1862),ISNUMBER('자료_거시'!$H1862)),'자료_거시'!$H1862,"")</f>
        <v/>
      </c>
      <c r="X1880">
        <f>IF(ISNUMBER(W1880),'자료_거시'!$G1862,"")</f>
        <v/>
      </c>
      <c r="Y1880">
        <f>IF(ISNUMBER(X1880),IF(X1880&gt;$L$7,W1880,""),"")</f>
        <v/>
      </c>
      <c r="Z1880">
        <f>IF(ISNUMBER('자료_거시'!$K1862),'자료_거시'!$K1862,Z1879)</f>
        <v/>
      </c>
      <c r="AA1880">
        <f>IF(AND(ISNUMBER('자료_거시'!$J1862),ISNUMBER('자료_거시'!$K1862)),IFERROR('자료_거시'!$K1862/INDEX($Z$21:$Z$4020,MATCH(EDATE('자료_거시'!$J1862,-'설정'!$B$17),'자료_거시'!$J$3:INDEX('자료_거시'!$J$3:$J$4002,$K$8),1))-1,""),"")</f>
        <v/>
      </c>
      <c r="AB1880">
        <f>IF(ISNUMBER(AA1880),'자료_거시'!$J1862,"")</f>
        <v/>
      </c>
      <c r="AC1880">
        <f>IF(ISNUMBER(AB1880),IF(AB1880&gt;$L$8,AA1880,""),"")</f>
        <v/>
      </c>
    </row>
    <row r="1881">
      <c r="S1881">
        <f>IF(ISNUMBER('자료_거시'!$E1863),'자료_거시'!$E1863,S1880)</f>
        <v/>
      </c>
      <c r="T1881">
        <f>IF(AND(ISNUMBER('자료_거시'!$D1863),ISNUMBER('자료_거시'!$E1863)),IFERROR('자료_거시'!$E1863-INDEX($S$21:$S$4020,MATCH(EDATE('자료_거시'!$D1863,-'설정'!$B$17),'자료_거시'!$D$3:INDEX('자료_거시'!$D$3:$D$4002,$K$6),1)),""),"")</f>
        <v/>
      </c>
      <c r="U1881">
        <f>IF(ISNUMBER(T1881),'자료_거시'!$D1863,"")</f>
        <v/>
      </c>
      <c r="V1881">
        <f>IF(ISNUMBER(U1881),IF(U1881&gt;$L$6,T1881,""),"")</f>
        <v/>
      </c>
      <c r="W1881">
        <f>IF(AND(ISNUMBER('자료_거시'!$G1863),ISNUMBER('자료_거시'!$H1863)),'자료_거시'!$H1863,"")</f>
        <v/>
      </c>
      <c r="X1881">
        <f>IF(ISNUMBER(W1881),'자료_거시'!$G1863,"")</f>
        <v/>
      </c>
      <c r="Y1881">
        <f>IF(ISNUMBER(X1881),IF(X1881&gt;$L$7,W1881,""),"")</f>
        <v/>
      </c>
      <c r="Z1881">
        <f>IF(ISNUMBER('자료_거시'!$K1863),'자료_거시'!$K1863,Z1880)</f>
        <v/>
      </c>
      <c r="AA1881">
        <f>IF(AND(ISNUMBER('자료_거시'!$J1863),ISNUMBER('자료_거시'!$K1863)),IFERROR('자료_거시'!$K1863/INDEX($Z$21:$Z$4020,MATCH(EDATE('자료_거시'!$J1863,-'설정'!$B$17),'자료_거시'!$J$3:INDEX('자료_거시'!$J$3:$J$4002,$K$8),1))-1,""),"")</f>
        <v/>
      </c>
      <c r="AB1881">
        <f>IF(ISNUMBER(AA1881),'자료_거시'!$J1863,"")</f>
        <v/>
      </c>
      <c r="AC1881">
        <f>IF(ISNUMBER(AB1881),IF(AB1881&gt;$L$8,AA1881,""),"")</f>
        <v/>
      </c>
    </row>
    <row r="1882">
      <c r="S1882">
        <f>IF(ISNUMBER('자료_거시'!$E1864),'자료_거시'!$E1864,S1881)</f>
        <v/>
      </c>
      <c r="T1882">
        <f>IF(AND(ISNUMBER('자료_거시'!$D1864),ISNUMBER('자료_거시'!$E1864)),IFERROR('자료_거시'!$E1864-INDEX($S$21:$S$4020,MATCH(EDATE('자료_거시'!$D1864,-'설정'!$B$17),'자료_거시'!$D$3:INDEX('자료_거시'!$D$3:$D$4002,$K$6),1)),""),"")</f>
        <v/>
      </c>
      <c r="U1882">
        <f>IF(ISNUMBER(T1882),'자료_거시'!$D1864,"")</f>
        <v/>
      </c>
      <c r="V1882">
        <f>IF(ISNUMBER(U1882),IF(U1882&gt;$L$6,T1882,""),"")</f>
        <v/>
      </c>
      <c r="W1882">
        <f>IF(AND(ISNUMBER('자료_거시'!$G1864),ISNUMBER('자료_거시'!$H1864)),'자료_거시'!$H1864,"")</f>
        <v/>
      </c>
      <c r="X1882">
        <f>IF(ISNUMBER(W1882),'자료_거시'!$G1864,"")</f>
        <v/>
      </c>
      <c r="Y1882">
        <f>IF(ISNUMBER(X1882),IF(X1882&gt;$L$7,W1882,""),"")</f>
        <v/>
      </c>
      <c r="Z1882">
        <f>IF(ISNUMBER('자료_거시'!$K1864),'자료_거시'!$K1864,Z1881)</f>
        <v/>
      </c>
      <c r="AA1882">
        <f>IF(AND(ISNUMBER('자료_거시'!$J1864),ISNUMBER('자료_거시'!$K1864)),IFERROR('자료_거시'!$K1864/INDEX($Z$21:$Z$4020,MATCH(EDATE('자료_거시'!$J1864,-'설정'!$B$17),'자료_거시'!$J$3:INDEX('자료_거시'!$J$3:$J$4002,$K$8),1))-1,""),"")</f>
        <v/>
      </c>
      <c r="AB1882">
        <f>IF(ISNUMBER(AA1882),'자료_거시'!$J1864,"")</f>
        <v/>
      </c>
      <c r="AC1882">
        <f>IF(ISNUMBER(AB1882),IF(AB1882&gt;$L$8,AA1882,""),"")</f>
        <v/>
      </c>
    </row>
    <row r="1883">
      <c r="S1883">
        <f>IF(ISNUMBER('자료_거시'!$E1865),'자료_거시'!$E1865,S1882)</f>
        <v/>
      </c>
      <c r="T1883">
        <f>IF(AND(ISNUMBER('자료_거시'!$D1865),ISNUMBER('자료_거시'!$E1865)),IFERROR('자료_거시'!$E1865-INDEX($S$21:$S$4020,MATCH(EDATE('자료_거시'!$D1865,-'설정'!$B$17),'자료_거시'!$D$3:INDEX('자료_거시'!$D$3:$D$4002,$K$6),1)),""),"")</f>
        <v/>
      </c>
      <c r="U1883">
        <f>IF(ISNUMBER(T1883),'자료_거시'!$D1865,"")</f>
        <v/>
      </c>
      <c r="V1883">
        <f>IF(ISNUMBER(U1883),IF(U1883&gt;$L$6,T1883,""),"")</f>
        <v/>
      </c>
      <c r="W1883">
        <f>IF(AND(ISNUMBER('자료_거시'!$G1865),ISNUMBER('자료_거시'!$H1865)),'자료_거시'!$H1865,"")</f>
        <v/>
      </c>
      <c r="X1883">
        <f>IF(ISNUMBER(W1883),'자료_거시'!$G1865,"")</f>
        <v/>
      </c>
      <c r="Y1883">
        <f>IF(ISNUMBER(X1883),IF(X1883&gt;$L$7,W1883,""),"")</f>
        <v/>
      </c>
      <c r="Z1883">
        <f>IF(ISNUMBER('자료_거시'!$K1865),'자료_거시'!$K1865,Z1882)</f>
        <v/>
      </c>
      <c r="AA1883">
        <f>IF(AND(ISNUMBER('자료_거시'!$J1865),ISNUMBER('자료_거시'!$K1865)),IFERROR('자료_거시'!$K1865/INDEX($Z$21:$Z$4020,MATCH(EDATE('자료_거시'!$J1865,-'설정'!$B$17),'자료_거시'!$J$3:INDEX('자료_거시'!$J$3:$J$4002,$K$8),1))-1,""),"")</f>
        <v/>
      </c>
      <c r="AB1883">
        <f>IF(ISNUMBER(AA1883),'자료_거시'!$J1865,"")</f>
        <v/>
      </c>
      <c r="AC1883">
        <f>IF(ISNUMBER(AB1883),IF(AB1883&gt;$L$8,AA1883,""),"")</f>
        <v/>
      </c>
    </row>
    <row r="1884">
      <c r="S1884">
        <f>IF(ISNUMBER('자료_거시'!$E1866),'자료_거시'!$E1866,S1883)</f>
        <v/>
      </c>
      <c r="T1884">
        <f>IF(AND(ISNUMBER('자료_거시'!$D1866),ISNUMBER('자료_거시'!$E1866)),IFERROR('자료_거시'!$E1866-INDEX($S$21:$S$4020,MATCH(EDATE('자료_거시'!$D1866,-'설정'!$B$17),'자료_거시'!$D$3:INDEX('자료_거시'!$D$3:$D$4002,$K$6),1)),""),"")</f>
        <v/>
      </c>
      <c r="U1884">
        <f>IF(ISNUMBER(T1884),'자료_거시'!$D1866,"")</f>
        <v/>
      </c>
      <c r="V1884">
        <f>IF(ISNUMBER(U1884),IF(U1884&gt;$L$6,T1884,""),"")</f>
        <v/>
      </c>
      <c r="W1884">
        <f>IF(AND(ISNUMBER('자료_거시'!$G1866),ISNUMBER('자료_거시'!$H1866)),'자료_거시'!$H1866,"")</f>
        <v/>
      </c>
      <c r="X1884">
        <f>IF(ISNUMBER(W1884),'자료_거시'!$G1866,"")</f>
        <v/>
      </c>
      <c r="Y1884">
        <f>IF(ISNUMBER(X1884),IF(X1884&gt;$L$7,W1884,""),"")</f>
        <v/>
      </c>
      <c r="Z1884">
        <f>IF(ISNUMBER('자료_거시'!$K1866),'자료_거시'!$K1866,Z1883)</f>
        <v/>
      </c>
      <c r="AA1884">
        <f>IF(AND(ISNUMBER('자료_거시'!$J1866),ISNUMBER('자료_거시'!$K1866)),IFERROR('자료_거시'!$K1866/INDEX($Z$21:$Z$4020,MATCH(EDATE('자료_거시'!$J1866,-'설정'!$B$17),'자료_거시'!$J$3:INDEX('자료_거시'!$J$3:$J$4002,$K$8),1))-1,""),"")</f>
        <v/>
      </c>
      <c r="AB1884">
        <f>IF(ISNUMBER(AA1884),'자료_거시'!$J1866,"")</f>
        <v/>
      </c>
      <c r="AC1884">
        <f>IF(ISNUMBER(AB1884),IF(AB1884&gt;$L$8,AA1884,""),"")</f>
        <v/>
      </c>
    </row>
    <row r="1885">
      <c r="S1885">
        <f>IF(ISNUMBER('자료_거시'!$E1867),'자료_거시'!$E1867,S1884)</f>
        <v/>
      </c>
      <c r="T1885">
        <f>IF(AND(ISNUMBER('자료_거시'!$D1867),ISNUMBER('자료_거시'!$E1867)),IFERROR('자료_거시'!$E1867-INDEX($S$21:$S$4020,MATCH(EDATE('자료_거시'!$D1867,-'설정'!$B$17),'자료_거시'!$D$3:INDEX('자료_거시'!$D$3:$D$4002,$K$6),1)),""),"")</f>
        <v/>
      </c>
      <c r="U1885">
        <f>IF(ISNUMBER(T1885),'자료_거시'!$D1867,"")</f>
        <v/>
      </c>
      <c r="V1885">
        <f>IF(ISNUMBER(U1885),IF(U1885&gt;$L$6,T1885,""),"")</f>
        <v/>
      </c>
      <c r="W1885">
        <f>IF(AND(ISNUMBER('자료_거시'!$G1867),ISNUMBER('자료_거시'!$H1867)),'자료_거시'!$H1867,"")</f>
        <v/>
      </c>
      <c r="X1885">
        <f>IF(ISNUMBER(W1885),'자료_거시'!$G1867,"")</f>
        <v/>
      </c>
      <c r="Y1885">
        <f>IF(ISNUMBER(X1885),IF(X1885&gt;$L$7,W1885,""),"")</f>
        <v/>
      </c>
      <c r="Z1885">
        <f>IF(ISNUMBER('자료_거시'!$K1867),'자료_거시'!$K1867,Z1884)</f>
        <v/>
      </c>
      <c r="AA1885">
        <f>IF(AND(ISNUMBER('자료_거시'!$J1867),ISNUMBER('자료_거시'!$K1867)),IFERROR('자료_거시'!$K1867/INDEX($Z$21:$Z$4020,MATCH(EDATE('자료_거시'!$J1867,-'설정'!$B$17),'자료_거시'!$J$3:INDEX('자료_거시'!$J$3:$J$4002,$K$8),1))-1,""),"")</f>
        <v/>
      </c>
      <c r="AB1885">
        <f>IF(ISNUMBER(AA1885),'자료_거시'!$J1867,"")</f>
        <v/>
      </c>
      <c r="AC1885">
        <f>IF(ISNUMBER(AB1885),IF(AB1885&gt;$L$8,AA1885,""),"")</f>
        <v/>
      </c>
    </row>
    <row r="1886">
      <c r="S1886">
        <f>IF(ISNUMBER('자료_거시'!$E1868),'자료_거시'!$E1868,S1885)</f>
        <v/>
      </c>
      <c r="T1886">
        <f>IF(AND(ISNUMBER('자료_거시'!$D1868),ISNUMBER('자료_거시'!$E1868)),IFERROR('자료_거시'!$E1868-INDEX($S$21:$S$4020,MATCH(EDATE('자료_거시'!$D1868,-'설정'!$B$17),'자료_거시'!$D$3:INDEX('자료_거시'!$D$3:$D$4002,$K$6),1)),""),"")</f>
        <v/>
      </c>
      <c r="U1886">
        <f>IF(ISNUMBER(T1886),'자료_거시'!$D1868,"")</f>
        <v/>
      </c>
      <c r="V1886">
        <f>IF(ISNUMBER(U1886),IF(U1886&gt;$L$6,T1886,""),"")</f>
        <v/>
      </c>
      <c r="W1886">
        <f>IF(AND(ISNUMBER('자료_거시'!$G1868),ISNUMBER('자료_거시'!$H1868)),'자료_거시'!$H1868,"")</f>
        <v/>
      </c>
      <c r="X1886">
        <f>IF(ISNUMBER(W1886),'자료_거시'!$G1868,"")</f>
        <v/>
      </c>
      <c r="Y1886">
        <f>IF(ISNUMBER(X1886),IF(X1886&gt;$L$7,W1886,""),"")</f>
        <v/>
      </c>
      <c r="Z1886">
        <f>IF(ISNUMBER('자료_거시'!$K1868),'자료_거시'!$K1868,Z1885)</f>
        <v/>
      </c>
      <c r="AA1886">
        <f>IF(AND(ISNUMBER('자료_거시'!$J1868),ISNUMBER('자료_거시'!$K1868)),IFERROR('자료_거시'!$K1868/INDEX($Z$21:$Z$4020,MATCH(EDATE('자료_거시'!$J1868,-'설정'!$B$17),'자료_거시'!$J$3:INDEX('자료_거시'!$J$3:$J$4002,$K$8),1))-1,""),"")</f>
        <v/>
      </c>
      <c r="AB1886">
        <f>IF(ISNUMBER(AA1886),'자료_거시'!$J1868,"")</f>
        <v/>
      </c>
      <c r="AC1886">
        <f>IF(ISNUMBER(AB1886),IF(AB1886&gt;$L$8,AA1886,""),"")</f>
        <v/>
      </c>
    </row>
    <row r="1887">
      <c r="S1887">
        <f>IF(ISNUMBER('자료_거시'!$E1869),'자료_거시'!$E1869,S1886)</f>
        <v/>
      </c>
      <c r="T1887">
        <f>IF(AND(ISNUMBER('자료_거시'!$D1869),ISNUMBER('자료_거시'!$E1869)),IFERROR('자료_거시'!$E1869-INDEX($S$21:$S$4020,MATCH(EDATE('자료_거시'!$D1869,-'설정'!$B$17),'자료_거시'!$D$3:INDEX('자료_거시'!$D$3:$D$4002,$K$6),1)),""),"")</f>
        <v/>
      </c>
      <c r="U1887">
        <f>IF(ISNUMBER(T1887),'자료_거시'!$D1869,"")</f>
        <v/>
      </c>
      <c r="V1887">
        <f>IF(ISNUMBER(U1887),IF(U1887&gt;$L$6,T1887,""),"")</f>
        <v/>
      </c>
      <c r="W1887">
        <f>IF(AND(ISNUMBER('자료_거시'!$G1869),ISNUMBER('자료_거시'!$H1869)),'자료_거시'!$H1869,"")</f>
        <v/>
      </c>
      <c r="X1887">
        <f>IF(ISNUMBER(W1887),'자료_거시'!$G1869,"")</f>
        <v/>
      </c>
      <c r="Y1887">
        <f>IF(ISNUMBER(X1887),IF(X1887&gt;$L$7,W1887,""),"")</f>
        <v/>
      </c>
      <c r="Z1887">
        <f>IF(ISNUMBER('자료_거시'!$K1869),'자료_거시'!$K1869,Z1886)</f>
        <v/>
      </c>
      <c r="AA1887">
        <f>IF(AND(ISNUMBER('자료_거시'!$J1869),ISNUMBER('자료_거시'!$K1869)),IFERROR('자료_거시'!$K1869/INDEX($Z$21:$Z$4020,MATCH(EDATE('자료_거시'!$J1869,-'설정'!$B$17),'자료_거시'!$J$3:INDEX('자료_거시'!$J$3:$J$4002,$K$8),1))-1,""),"")</f>
        <v/>
      </c>
      <c r="AB1887">
        <f>IF(ISNUMBER(AA1887),'자료_거시'!$J1869,"")</f>
        <v/>
      </c>
      <c r="AC1887">
        <f>IF(ISNUMBER(AB1887),IF(AB1887&gt;$L$8,AA1887,""),"")</f>
        <v/>
      </c>
    </row>
    <row r="1888">
      <c r="S1888">
        <f>IF(ISNUMBER('자료_거시'!$E1870),'자료_거시'!$E1870,S1887)</f>
        <v/>
      </c>
      <c r="T1888">
        <f>IF(AND(ISNUMBER('자료_거시'!$D1870),ISNUMBER('자료_거시'!$E1870)),IFERROR('자료_거시'!$E1870-INDEX($S$21:$S$4020,MATCH(EDATE('자료_거시'!$D1870,-'설정'!$B$17),'자료_거시'!$D$3:INDEX('자료_거시'!$D$3:$D$4002,$K$6),1)),""),"")</f>
        <v/>
      </c>
      <c r="U1888">
        <f>IF(ISNUMBER(T1888),'자료_거시'!$D1870,"")</f>
        <v/>
      </c>
      <c r="V1888">
        <f>IF(ISNUMBER(U1888),IF(U1888&gt;$L$6,T1888,""),"")</f>
        <v/>
      </c>
      <c r="W1888">
        <f>IF(AND(ISNUMBER('자료_거시'!$G1870),ISNUMBER('자료_거시'!$H1870)),'자료_거시'!$H1870,"")</f>
        <v/>
      </c>
      <c r="X1888">
        <f>IF(ISNUMBER(W1888),'자료_거시'!$G1870,"")</f>
        <v/>
      </c>
      <c r="Y1888">
        <f>IF(ISNUMBER(X1888),IF(X1888&gt;$L$7,W1888,""),"")</f>
        <v/>
      </c>
      <c r="Z1888">
        <f>IF(ISNUMBER('자료_거시'!$K1870),'자료_거시'!$K1870,Z1887)</f>
        <v/>
      </c>
      <c r="AA1888">
        <f>IF(AND(ISNUMBER('자료_거시'!$J1870),ISNUMBER('자료_거시'!$K1870)),IFERROR('자료_거시'!$K1870/INDEX($Z$21:$Z$4020,MATCH(EDATE('자료_거시'!$J1870,-'설정'!$B$17),'자료_거시'!$J$3:INDEX('자료_거시'!$J$3:$J$4002,$K$8),1))-1,""),"")</f>
        <v/>
      </c>
      <c r="AB1888">
        <f>IF(ISNUMBER(AA1888),'자료_거시'!$J1870,"")</f>
        <v/>
      </c>
      <c r="AC1888">
        <f>IF(ISNUMBER(AB1888),IF(AB1888&gt;$L$8,AA1888,""),"")</f>
        <v/>
      </c>
    </row>
    <row r="1889">
      <c r="S1889">
        <f>IF(ISNUMBER('자료_거시'!$E1871),'자료_거시'!$E1871,S1888)</f>
        <v/>
      </c>
      <c r="T1889">
        <f>IF(AND(ISNUMBER('자료_거시'!$D1871),ISNUMBER('자료_거시'!$E1871)),IFERROR('자료_거시'!$E1871-INDEX($S$21:$S$4020,MATCH(EDATE('자료_거시'!$D1871,-'설정'!$B$17),'자료_거시'!$D$3:INDEX('자료_거시'!$D$3:$D$4002,$K$6),1)),""),"")</f>
        <v/>
      </c>
      <c r="U1889">
        <f>IF(ISNUMBER(T1889),'자료_거시'!$D1871,"")</f>
        <v/>
      </c>
      <c r="V1889">
        <f>IF(ISNUMBER(U1889),IF(U1889&gt;$L$6,T1889,""),"")</f>
        <v/>
      </c>
      <c r="W1889">
        <f>IF(AND(ISNUMBER('자료_거시'!$G1871),ISNUMBER('자료_거시'!$H1871)),'자료_거시'!$H1871,"")</f>
        <v/>
      </c>
      <c r="X1889">
        <f>IF(ISNUMBER(W1889),'자료_거시'!$G1871,"")</f>
        <v/>
      </c>
      <c r="Y1889">
        <f>IF(ISNUMBER(X1889),IF(X1889&gt;$L$7,W1889,""),"")</f>
        <v/>
      </c>
      <c r="Z1889">
        <f>IF(ISNUMBER('자료_거시'!$K1871),'자료_거시'!$K1871,Z1888)</f>
        <v/>
      </c>
      <c r="AA1889">
        <f>IF(AND(ISNUMBER('자료_거시'!$J1871),ISNUMBER('자료_거시'!$K1871)),IFERROR('자료_거시'!$K1871/INDEX($Z$21:$Z$4020,MATCH(EDATE('자료_거시'!$J1871,-'설정'!$B$17),'자료_거시'!$J$3:INDEX('자료_거시'!$J$3:$J$4002,$K$8),1))-1,""),"")</f>
        <v/>
      </c>
      <c r="AB1889">
        <f>IF(ISNUMBER(AA1889),'자료_거시'!$J1871,"")</f>
        <v/>
      </c>
      <c r="AC1889">
        <f>IF(ISNUMBER(AB1889),IF(AB1889&gt;$L$8,AA1889,""),"")</f>
        <v/>
      </c>
    </row>
    <row r="1890">
      <c r="S1890">
        <f>IF(ISNUMBER('자료_거시'!$E1872),'자료_거시'!$E1872,S1889)</f>
        <v/>
      </c>
      <c r="T1890">
        <f>IF(AND(ISNUMBER('자료_거시'!$D1872),ISNUMBER('자료_거시'!$E1872)),IFERROR('자료_거시'!$E1872-INDEX($S$21:$S$4020,MATCH(EDATE('자료_거시'!$D1872,-'설정'!$B$17),'자료_거시'!$D$3:INDEX('자료_거시'!$D$3:$D$4002,$K$6),1)),""),"")</f>
        <v/>
      </c>
      <c r="U1890">
        <f>IF(ISNUMBER(T1890),'자료_거시'!$D1872,"")</f>
        <v/>
      </c>
      <c r="V1890">
        <f>IF(ISNUMBER(U1890),IF(U1890&gt;$L$6,T1890,""),"")</f>
        <v/>
      </c>
      <c r="W1890">
        <f>IF(AND(ISNUMBER('자료_거시'!$G1872),ISNUMBER('자료_거시'!$H1872)),'자료_거시'!$H1872,"")</f>
        <v/>
      </c>
      <c r="X1890">
        <f>IF(ISNUMBER(W1890),'자료_거시'!$G1872,"")</f>
        <v/>
      </c>
      <c r="Y1890">
        <f>IF(ISNUMBER(X1890),IF(X1890&gt;$L$7,W1890,""),"")</f>
        <v/>
      </c>
      <c r="Z1890">
        <f>IF(ISNUMBER('자료_거시'!$K1872),'자료_거시'!$K1872,Z1889)</f>
        <v/>
      </c>
      <c r="AA1890">
        <f>IF(AND(ISNUMBER('자료_거시'!$J1872),ISNUMBER('자료_거시'!$K1872)),IFERROR('자료_거시'!$K1872/INDEX($Z$21:$Z$4020,MATCH(EDATE('자료_거시'!$J1872,-'설정'!$B$17),'자료_거시'!$J$3:INDEX('자료_거시'!$J$3:$J$4002,$K$8),1))-1,""),"")</f>
        <v/>
      </c>
      <c r="AB1890">
        <f>IF(ISNUMBER(AA1890),'자료_거시'!$J1872,"")</f>
        <v/>
      </c>
      <c r="AC1890">
        <f>IF(ISNUMBER(AB1890),IF(AB1890&gt;$L$8,AA1890,""),"")</f>
        <v/>
      </c>
    </row>
    <row r="1891">
      <c r="S1891">
        <f>IF(ISNUMBER('자료_거시'!$E1873),'자료_거시'!$E1873,S1890)</f>
        <v/>
      </c>
      <c r="T1891">
        <f>IF(AND(ISNUMBER('자료_거시'!$D1873),ISNUMBER('자료_거시'!$E1873)),IFERROR('자료_거시'!$E1873-INDEX($S$21:$S$4020,MATCH(EDATE('자료_거시'!$D1873,-'설정'!$B$17),'자료_거시'!$D$3:INDEX('자료_거시'!$D$3:$D$4002,$K$6),1)),""),"")</f>
        <v/>
      </c>
      <c r="U1891">
        <f>IF(ISNUMBER(T1891),'자료_거시'!$D1873,"")</f>
        <v/>
      </c>
      <c r="V1891">
        <f>IF(ISNUMBER(U1891),IF(U1891&gt;$L$6,T1891,""),"")</f>
        <v/>
      </c>
      <c r="W1891">
        <f>IF(AND(ISNUMBER('자료_거시'!$G1873),ISNUMBER('자료_거시'!$H1873)),'자료_거시'!$H1873,"")</f>
        <v/>
      </c>
      <c r="X1891">
        <f>IF(ISNUMBER(W1891),'자료_거시'!$G1873,"")</f>
        <v/>
      </c>
      <c r="Y1891">
        <f>IF(ISNUMBER(X1891),IF(X1891&gt;$L$7,W1891,""),"")</f>
        <v/>
      </c>
      <c r="Z1891">
        <f>IF(ISNUMBER('자료_거시'!$K1873),'자료_거시'!$K1873,Z1890)</f>
        <v/>
      </c>
      <c r="AA1891">
        <f>IF(AND(ISNUMBER('자료_거시'!$J1873),ISNUMBER('자료_거시'!$K1873)),IFERROR('자료_거시'!$K1873/INDEX($Z$21:$Z$4020,MATCH(EDATE('자료_거시'!$J1873,-'설정'!$B$17),'자료_거시'!$J$3:INDEX('자료_거시'!$J$3:$J$4002,$K$8),1))-1,""),"")</f>
        <v/>
      </c>
      <c r="AB1891">
        <f>IF(ISNUMBER(AA1891),'자료_거시'!$J1873,"")</f>
        <v/>
      </c>
      <c r="AC1891">
        <f>IF(ISNUMBER(AB1891),IF(AB1891&gt;$L$8,AA1891,""),"")</f>
        <v/>
      </c>
    </row>
    <row r="1892">
      <c r="S1892">
        <f>IF(ISNUMBER('자료_거시'!$E1874),'자료_거시'!$E1874,S1891)</f>
        <v/>
      </c>
      <c r="T1892">
        <f>IF(AND(ISNUMBER('자료_거시'!$D1874),ISNUMBER('자료_거시'!$E1874)),IFERROR('자료_거시'!$E1874-INDEX($S$21:$S$4020,MATCH(EDATE('자료_거시'!$D1874,-'설정'!$B$17),'자료_거시'!$D$3:INDEX('자료_거시'!$D$3:$D$4002,$K$6),1)),""),"")</f>
        <v/>
      </c>
      <c r="U1892">
        <f>IF(ISNUMBER(T1892),'자료_거시'!$D1874,"")</f>
        <v/>
      </c>
      <c r="V1892">
        <f>IF(ISNUMBER(U1892),IF(U1892&gt;$L$6,T1892,""),"")</f>
        <v/>
      </c>
      <c r="W1892">
        <f>IF(AND(ISNUMBER('자료_거시'!$G1874),ISNUMBER('자료_거시'!$H1874)),'자료_거시'!$H1874,"")</f>
        <v/>
      </c>
      <c r="X1892">
        <f>IF(ISNUMBER(W1892),'자료_거시'!$G1874,"")</f>
        <v/>
      </c>
      <c r="Y1892">
        <f>IF(ISNUMBER(X1892),IF(X1892&gt;$L$7,W1892,""),"")</f>
        <v/>
      </c>
      <c r="Z1892">
        <f>IF(ISNUMBER('자료_거시'!$K1874),'자료_거시'!$K1874,Z1891)</f>
        <v/>
      </c>
      <c r="AA1892">
        <f>IF(AND(ISNUMBER('자료_거시'!$J1874),ISNUMBER('자료_거시'!$K1874)),IFERROR('자료_거시'!$K1874/INDEX($Z$21:$Z$4020,MATCH(EDATE('자료_거시'!$J1874,-'설정'!$B$17),'자료_거시'!$J$3:INDEX('자료_거시'!$J$3:$J$4002,$K$8),1))-1,""),"")</f>
        <v/>
      </c>
      <c r="AB1892">
        <f>IF(ISNUMBER(AA1892),'자료_거시'!$J1874,"")</f>
        <v/>
      </c>
      <c r="AC1892">
        <f>IF(ISNUMBER(AB1892),IF(AB1892&gt;$L$8,AA1892,""),"")</f>
        <v/>
      </c>
    </row>
    <row r="1893">
      <c r="S1893">
        <f>IF(ISNUMBER('자료_거시'!$E1875),'자료_거시'!$E1875,S1892)</f>
        <v/>
      </c>
      <c r="T1893">
        <f>IF(AND(ISNUMBER('자료_거시'!$D1875),ISNUMBER('자료_거시'!$E1875)),IFERROR('자료_거시'!$E1875-INDEX($S$21:$S$4020,MATCH(EDATE('자료_거시'!$D1875,-'설정'!$B$17),'자료_거시'!$D$3:INDEX('자료_거시'!$D$3:$D$4002,$K$6),1)),""),"")</f>
        <v/>
      </c>
      <c r="U1893">
        <f>IF(ISNUMBER(T1893),'자료_거시'!$D1875,"")</f>
        <v/>
      </c>
      <c r="V1893">
        <f>IF(ISNUMBER(U1893),IF(U1893&gt;$L$6,T1893,""),"")</f>
        <v/>
      </c>
      <c r="W1893">
        <f>IF(AND(ISNUMBER('자료_거시'!$G1875),ISNUMBER('자료_거시'!$H1875)),'자료_거시'!$H1875,"")</f>
        <v/>
      </c>
      <c r="X1893">
        <f>IF(ISNUMBER(W1893),'자료_거시'!$G1875,"")</f>
        <v/>
      </c>
      <c r="Y1893">
        <f>IF(ISNUMBER(X1893),IF(X1893&gt;$L$7,W1893,""),"")</f>
        <v/>
      </c>
      <c r="Z1893">
        <f>IF(ISNUMBER('자료_거시'!$K1875),'자료_거시'!$K1875,Z1892)</f>
        <v/>
      </c>
      <c r="AA1893">
        <f>IF(AND(ISNUMBER('자료_거시'!$J1875),ISNUMBER('자료_거시'!$K1875)),IFERROR('자료_거시'!$K1875/INDEX($Z$21:$Z$4020,MATCH(EDATE('자료_거시'!$J1875,-'설정'!$B$17),'자료_거시'!$J$3:INDEX('자료_거시'!$J$3:$J$4002,$K$8),1))-1,""),"")</f>
        <v/>
      </c>
      <c r="AB1893">
        <f>IF(ISNUMBER(AA1893),'자료_거시'!$J1875,"")</f>
        <v/>
      </c>
      <c r="AC1893">
        <f>IF(ISNUMBER(AB1893),IF(AB1893&gt;$L$8,AA1893,""),"")</f>
        <v/>
      </c>
    </row>
    <row r="1894">
      <c r="S1894">
        <f>IF(ISNUMBER('자료_거시'!$E1876),'자료_거시'!$E1876,S1893)</f>
        <v/>
      </c>
      <c r="T1894">
        <f>IF(AND(ISNUMBER('자료_거시'!$D1876),ISNUMBER('자료_거시'!$E1876)),IFERROR('자료_거시'!$E1876-INDEX($S$21:$S$4020,MATCH(EDATE('자료_거시'!$D1876,-'설정'!$B$17),'자료_거시'!$D$3:INDEX('자료_거시'!$D$3:$D$4002,$K$6),1)),""),"")</f>
        <v/>
      </c>
      <c r="U1894">
        <f>IF(ISNUMBER(T1894),'자료_거시'!$D1876,"")</f>
        <v/>
      </c>
      <c r="V1894">
        <f>IF(ISNUMBER(U1894),IF(U1894&gt;$L$6,T1894,""),"")</f>
        <v/>
      </c>
      <c r="W1894">
        <f>IF(AND(ISNUMBER('자료_거시'!$G1876),ISNUMBER('자료_거시'!$H1876)),'자료_거시'!$H1876,"")</f>
        <v/>
      </c>
      <c r="X1894">
        <f>IF(ISNUMBER(W1894),'자료_거시'!$G1876,"")</f>
        <v/>
      </c>
      <c r="Y1894">
        <f>IF(ISNUMBER(X1894),IF(X1894&gt;$L$7,W1894,""),"")</f>
        <v/>
      </c>
      <c r="Z1894">
        <f>IF(ISNUMBER('자료_거시'!$K1876),'자료_거시'!$K1876,Z1893)</f>
        <v/>
      </c>
      <c r="AA1894">
        <f>IF(AND(ISNUMBER('자료_거시'!$J1876),ISNUMBER('자료_거시'!$K1876)),IFERROR('자료_거시'!$K1876/INDEX($Z$21:$Z$4020,MATCH(EDATE('자료_거시'!$J1876,-'설정'!$B$17),'자료_거시'!$J$3:INDEX('자료_거시'!$J$3:$J$4002,$K$8),1))-1,""),"")</f>
        <v/>
      </c>
      <c r="AB1894">
        <f>IF(ISNUMBER(AA1894),'자료_거시'!$J1876,"")</f>
        <v/>
      </c>
      <c r="AC1894">
        <f>IF(ISNUMBER(AB1894),IF(AB1894&gt;$L$8,AA1894,""),"")</f>
        <v/>
      </c>
    </row>
    <row r="1895">
      <c r="S1895">
        <f>IF(ISNUMBER('자료_거시'!$E1877),'자료_거시'!$E1877,S1894)</f>
        <v/>
      </c>
      <c r="T1895">
        <f>IF(AND(ISNUMBER('자료_거시'!$D1877),ISNUMBER('자료_거시'!$E1877)),IFERROR('자료_거시'!$E1877-INDEX($S$21:$S$4020,MATCH(EDATE('자료_거시'!$D1877,-'설정'!$B$17),'자료_거시'!$D$3:INDEX('자료_거시'!$D$3:$D$4002,$K$6),1)),""),"")</f>
        <v/>
      </c>
      <c r="U1895">
        <f>IF(ISNUMBER(T1895),'자료_거시'!$D1877,"")</f>
        <v/>
      </c>
      <c r="V1895">
        <f>IF(ISNUMBER(U1895),IF(U1895&gt;$L$6,T1895,""),"")</f>
        <v/>
      </c>
      <c r="W1895">
        <f>IF(AND(ISNUMBER('자료_거시'!$G1877),ISNUMBER('자료_거시'!$H1877)),'자료_거시'!$H1877,"")</f>
        <v/>
      </c>
      <c r="X1895">
        <f>IF(ISNUMBER(W1895),'자료_거시'!$G1877,"")</f>
        <v/>
      </c>
      <c r="Y1895">
        <f>IF(ISNUMBER(X1895),IF(X1895&gt;$L$7,W1895,""),"")</f>
        <v/>
      </c>
      <c r="Z1895">
        <f>IF(ISNUMBER('자료_거시'!$K1877),'자료_거시'!$K1877,Z1894)</f>
        <v/>
      </c>
      <c r="AA1895">
        <f>IF(AND(ISNUMBER('자료_거시'!$J1877),ISNUMBER('자료_거시'!$K1877)),IFERROR('자료_거시'!$K1877/INDEX($Z$21:$Z$4020,MATCH(EDATE('자료_거시'!$J1877,-'설정'!$B$17),'자료_거시'!$J$3:INDEX('자료_거시'!$J$3:$J$4002,$K$8),1))-1,""),"")</f>
        <v/>
      </c>
      <c r="AB1895">
        <f>IF(ISNUMBER(AA1895),'자료_거시'!$J1877,"")</f>
        <v/>
      </c>
      <c r="AC1895">
        <f>IF(ISNUMBER(AB1895),IF(AB1895&gt;$L$8,AA1895,""),"")</f>
        <v/>
      </c>
    </row>
    <row r="1896">
      <c r="S1896">
        <f>IF(ISNUMBER('자료_거시'!$E1878),'자료_거시'!$E1878,S1895)</f>
        <v/>
      </c>
      <c r="T1896">
        <f>IF(AND(ISNUMBER('자료_거시'!$D1878),ISNUMBER('자료_거시'!$E1878)),IFERROR('자료_거시'!$E1878-INDEX($S$21:$S$4020,MATCH(EDATE('자료_거시'!$D1878,-'설정'!$B$17),'자료_거시'!$D$3:INDEX('자료_거시'!$D$3:$D$4002,$K$6),1)),""),"")</f>
        <v/>
      </c>
      <c r="U1896">
        <f>IF(ISNUMBER(T1896),'자료_거시'!$D1878,"")</f>
        <v/>
      </c>
      <c r="V1896">
        <f>IF(ISNUMBER(U1896),IF(U1896&gt;$L$6,T1896,""),"")</f>
        <v/>
      </c>
      <c r="W1896">
        <f>IF(AND(ISNUMBER('자료_거시'!$G1878),ISNUMBER('자료_거시'!$H1878)),'자료_거시'!$H1878,"")</f>
        <v/>
      </c>
      <c r="X1896">
        <f>IF(ISNUMBER(W1896),'자료_거시'!$G1878,"")</f>
        <v/>
      </c>
      <c r="Y1896">
        <f>IF(ISNUMBER(X1896),IF(X1896&gt;$L$7,W1896,""),"")</f>
        <v/>
      </c>
      <c r="Z1896">
        <f>IF(ISNUMBER('자료_거시'!$K1878),'자료_거시'!$K1878,Z1895)</f>
        <v/>
      </c>
      <c r="AA1896">
        <f>IF(AND(ISNUMBER('자료_거시'!$J1878),ISNUMBER('자료_거시'!$K1878)),IFERROR('자료_거시'!$K1878/INDEX($Z$21:$Z$4020,MATCH(EDATE('자료_거시'!$J1878,-'설정'!$B$17),'자료_거시'!$J$3:INDEX('자료_거시'!$J$3:$J$4002,$K$8),1))-1,""),"")</f>
        <v/>
      </c>
      <c r="AB1896">
        <f>IF(ISNUMBER(AA1896),'자료_거시'!$J1878,"")</f>
        <v/>
      </c>
      <c r="AC1896">
        <f>IF(ISNUMBER(AB1896),IF(AB1896&gt;$L$8,AA1896,""),"")</f>
        <v/>
      </c>
    </row>
    <row r="1897">
      <c r="S1897">
        <f>IF(ISNUMBER('자료_거시'!$E1879),'자료_거시'!$E1879,S1896)</f>
        <v/>
      </c>
      <c r="T1897">
        <f>IF(AND(ISNUMBER('자료_거시'!$D1879),ISNUMBER('자료_거시'!$E1879)),IFERROR('자료_거시'!$E1879-INDEX($S$21:$S$4020,MATCH(EDATE('자료_거시'!$D1879,-'설정'!$B$17),'자료_거시'!$D$3:INDEX('자료_거시'!$D$3:$D$4002,$K$6),1)),""),"")</f>
        <v/>
      </c>
      <c r="U1897">
        <f>IF(ISNUMBER(T1897),'자료_거시'!$D1879,"")</f>
        <v/>
      </c>
      <c r="V1897">
        <f>IF(ISNUMBER(U1897),IF(U1897&gt;$L$6,T1897,""),"")</f>
        <v/>
      </c>
      <c r="W1897">
        <f>IF(AND(ISNUMBER('자료_거시'!$G1879),ISNUMBER('자료_거시'!$H1879)),'자료_거시'!$H1879,"")</f>
        <v/>
      </c>
      <c r="X1897">
        <f>IF(ISNUMBER(W1897),'자료_거시'!$G1879,"")</f>
        <v/>
      </c>
      <c r="Y1897">
        <f>IF(ISNUMBER(X1897),IF(X1897&gt;$L$7,W1897,""),"")</f>
        <v/>
      </c>
      <c r="Z1897">
        <f>IF(ISNUMBER('자료_거시'!$K1879),'자료_거시'!$K1879,Z1896)</f>
        <v/>
      </c>
      <c r="AA1897">
        <f>IF(AND(ISNUMBER('자료_거시'!$J1879),ISNUMBER('자료_거시'!$K1879)),IFERROR('자료_거시'!$K1879/INDEX($Z$21:$Z$4020,MATCH(EDATE('자료_거시'!$J1879,-'설정'!$B$17),'자료_거시'!$J$3:INDEX('자료_거시'!$J$3:$J$4002,$K$8),1))-1,""),"")</f>
        <v/>
      </c>
      <c r="AB1897">
        <f>IF(ISNUMBER(AA1897),'자료_거시'!$J1879,"")</f>
        <v/>
      </c>
      <c r="AC1897">
        <f>IF(ISNUMBER(AB1897),IF(AB1897&gt;$L$8,AA1897,""),"")</f>
        <v/>
      </c>
    </row>
    <row r="1898">
      <c r="S1898">
        <f>IF(ISNUMBER('자료_거시'!$E1880),'자료_거시'!$E1880,S1897)</f>
        <v/>
      </c>
      <c r="T1898">
        <f>IF(AND(ISNUMBER('자료_거시'!$D1880),ISNUMBER('자료_거시'!$E1880)),IFERROR('자료_거시'!$E1880-INDEX($S$21:$S$4020,MATCH(EDATE('자료_거시'!$D1880,-'설정'!$B$17),'자료_거시'!$D$3:INDEX('자료_거시'!$D$3:$D$4002,$K$6),1)),""),"")</f>
        <v/>
      </c>
      <c r="U1898">
        <f>IF(ISNUMBER(T1898),'자료_거시'!$D1880,"")</f>
        <v/>
      </c>
      <c r="V1898">
        <f>IF(ISNUMBER(U1898),IF(U1898&gt;$L$6,T1898,""),"")</f>
        <v/>
      </c>
      <c r="W1898">
        <f>IF(AND(ISNUMBER('자료_거시'!$G1880),ISNUMBER('자료_거시'!$H1880)),'자료_거시'!$H1880,"")</f>
        <v/>
      </c>
      <c r="X1898">
        <f>IF(ISNUMBER(W1898),'자료_거시'!$G1880,"")</f>
        <v/>
      </c>
      <c r="Y1898">
        <f>IF(ISNUMBER(X1898),IF(X1898&gt;$L$7,W1898,""),"")</f>
        <v/>
      </c>
      <c r="Z1898">
        <f>IF(ISNUMBER('자료_거시'!$K1880),'자료_거시'!$K1880,Z1897)</f>
        <v/>
      </c>
      <c r="AA1898">
        <f>IF(AND(ISNUMBER('자료_거시'!$J1880),ISNUMBER('자료_거시'!$K1880)),IFERROR('자료_거시'!$K1880/INDEX($Z$21:$Z$4020,MATCH(EDATE('자료_거시'!$J1880,-'설정'!$B$17),'자료_거시'!$J$3:INDEX('자료_거시'!$J$3:$J$4002,$K$8),1))-1,""),"")</f>
        <v/>
      </c>
      <c r="AB1898">
        <f>IF(ISNUMBER(AA1898),'자료_거시'!$J1880,"")</f>
        <v/>
      </c>
      <c r="AC1898">
        <f>IF(ISNUMBER(AB1898),IF(AB1898&gt;$L$8,AA1898,""),"")</f>
        <v/>
      </c>
    </row>
    <row r="1899">
      <c r="S1899">
        <f>IF(ISNUMBER('자료_거시'!$E1881),'자료_거시'!$E1881,S1898)</f>
        <v/>
      </c>
      <c r="T1899">
        <f>IF(AND(ISNUMBER('자료_거시'!$D1881),ISNUMBER('자료_거시'!$E1881)),IFERROR('자료_거시'!$E1881-INDEX($S$21:$S$4020,MATCH(EDATE('자료_거시'!$D1881,-'설정'!$B$17),'자료_거시'!$D$3:INDEX('자료_거시'!$D$3:$D$4002,$K$6),1)),""),"")</f>
        <v/>
      </c>
      <c r="U1899">
        <f>IF(ISNUMBER(T1899),'자료_거시'!$D1881,"")</f>
        <v/>
      </c>
      <c r="V1899">
        <f>IF(ISNUMBER(U1899),IF(U1899&gt;$L$6,T1899,""),"")</f>
        <v/>
      </c>
      <c r="W1899">
        <f>IF(AND(ISNUMBER('자료_거시'!$G1881),ISNUMBER('자료_거시'!$H1881)),'자료_거시'!$H1881,"")</f>
        <v/>
      </c>
      <c r="X1899">
        <f>IF(ISNUMBER(W1899),'자료_거시'!$G1881,"")</f>
        <v/>
      </c>
      <c r="Y1899">
        <f>IF(ISNUMBER(X1899),IF(X1899&gt;$L$7,W1899,""),"")</f>
        <v/>
      </c>
      <c r="Z1899">
        <f>IF(ISNUMBER('자료_거시'!$K1881),'자료_거시'!$K1881,Z1898)</f>
        <v/>
      </c>
      <c r="AA1899">
        <f>IF(AND(ISNUMBER('자료_거시'!$J1881),ISNUMBER('자료_거시'!$K1881)),IFERROR('자료_거시'!$K1881/INDEX($Z$21:$Z$4020,MATCH(EDATE('자료_거시'!$J1881,-'설정'!$B$17),'자료_거시'!$J$3:INDEX('자료_거시'!$J$3:$J$4002,$K$8),1))-1,""),"")</f>
        <v/>
      </c>
      <c r="AB1899">
        <f>IF(ISNUMBER(AA1899),'자료_거시'!$J1881,"")</f>
        <v/>
      </c>
      <c r="AC1899">
        <f>IF(ISNUMBER(AB1899),IF(AB1899&gt;$L$8,AA1899,""),"")</f>
        <v/>
      </c>
    </row>
    <row r="1900">
      <c r="S1900">
        <f>IF(ISNUMBER('자료_거시'!$E1882),'자료_거시'!$E1882,S1899)</f>
        <v/>
      </c>
      <c r="T1900">
        <f>IF(AND(ISNUMBER('자료_거시'!$D1882),ISNUMBER('자료_거시'!$E1882)),IFERROR('자료_거시'!$E1882-INDEX($S$21:$S$4020,MATCH(EDATE('자료_거시'!$D1882,-'설정'!$B$17),'자료_거시'!$D$3:INDEX('자료_거시'!$D$3:$D$4002,$K$6),1)),""),"")</f>
        <v/>
      </c>
      <c r="U1900">
        <f>IF(ISNUMBER(T1900),'자료_거시'!$D1882,"")</f>
        <v/>
      </c>
      <c r="V1900">
        <f>IF(ISNUMBER(U1900),IF(U1900&gt;$L$6,T1900,""),"")</f>
        <v/>
      </c>
      <c r="W1900">
        <f>IF(AND(ISNUMBER('자료_거시'!$G1882),ISNUMBER('자료_거시'!$H1882)),'자료_거시'!$H1882,"")</f>
        <v/>
      </c>
      <c r="X1900">
        <f>IF(ISNUMBER(W1900),'자료_거시'!$G1882,"")</f>
        <v/>
      </c>
      <c r="Y1900">
        <f>IF(ISNUMBER(X1900),IF(X1900&gt;$L$7,W1900,""),"")</f>
        <v/>
      </c>
      <c r="Z1900">
        <f>IF(ISNUMBER('자료_거시'!$K1882),'자료_거시'!$K1882,Z1899)</f>
        <v/>
      </c>
      <c r="AA1900">
        <f>IF(AND(ISNUMBER('자료_거시'!$J1882),ISNUMBER('자료_거시'!$K1882)),IFERROR('자료_거시'!$K1882/INDEX($Z$21:$Z$4020,MATCH(EDATE('자료_거시'!$J1882,-'설정'!$B$17),'자료_거시'!$J$3:INDEX('자료_거시'!$J$3:$J$4002,$K$8),1))-1,""),"")</f>
        <v/>
      </c>
      <c r="AB1900">
        <f>IF(ISNUMBER(AA1900),'자료_거시'!$J1882,"")</f>
        <v/>
      </c>
      <c r="AC1900">
        <f>IF(ISNUMBER(AB1900),IF(AB1900&gt;$L$8,AA1900,""),"")</f>
        <v/>
      </c>
    </row>
    <row r="1901">
      <c r="S1901">
        <f>IF(ISNUMBER('자료_거시'!$E1883),'자료_거시'!$E1883,S1900)</f>
        <v/>
      </c>
      <c r="T1901">
        <f>IF(AND(ISNUMBER('자료_거시'!$D1883),ISNUMBER('자료_거시'!$E1883)),IFERROR('자료_거시'!$E1883-INDEX($S$21:$S$4020,MATCH(EDATE('자료_거시'!$D1883,-'설정'!$B$17),'자료_거시'!$D$3:INDEX('자료_거시'!$D$3:$D$4002,$K$6),1)),""),"")</f>
        <v/>
      </c>
      <c r="U1901">
        <f>IF(ISNUMBER(T1901),'자료_거시'!$D1883,"")</f>
        <v/>
      </c>
      <c r="V1901">
        <f>IF(ISNUMBER(U1901),IF(U1901&gt;$L$6,T1901,""),"")</f>
        <v/>
      </c>
      <c r="W1901">
        <f>IF(AND(ISNUMBER('자료_거시'!$G1883),ISNUMBER('자료_거시'!$H1883)),'자료_거시'!$H1883,"")</f>
        <v/>
      </c>
      <c r="X1901">
        <f>IF(ISNUMBER(W1901),'자료_거시'!$G1883,"")</f>
        <v/>
      </c>
      <c r="Y1901">
        <f>IF(ISNUMBER(X1901),IF(X1901&gt;$L$7,W1901,""),"")</f>
        <v/>
      </c>
      <c r="Z1901">
        <f>IF(ISNUMBER('자료_거시'!$K1883),'자료_거시'!$K1883,Z1900)</f>
        <v/>
      </c>
      <c r="AA1901">
        <f>IF(AND(ISNUMBER('자료_거시'!$J1883),ISNUMBER('자료_거시'!$K1883)),IFERROR('자료_거시'!$K1883/INDEX($Z$21:$Z$4020,MATCH(EDATE('자료_거시'!$J1883,-'설정'!$B$17),'자료_거시'!$J$3:INDEX('자료_거시'!$J$3:$J$4002,$K$8),1))-1,""),"")</f>
        <v/>
      </c>
      <c r="AB1901">
        <f>IF(ISNUMBER(AA1901),'자료_거시'!$J1883,"")</f>
        <v/>
      </c>
      <c r="AC1901">
        <f>IF(ISNUMBER(AB1901),IF(AB1901&gt;$L$8,AA1901,""),"")</f>
        <v/>
      </c>
    </row>
    <row r="1902">
      <c r="S1902">
        <f>IF(ISNUMBER('자료_거시'!$E1884),'자료_거시'!$E1884,S1901)</f>
        <v/>
      </c>
      <c r="T1902">
        <f>IF(AND(ISNUMBER('자료_거시'!$D1884),ISNUMBER('자료_거시'!$E1884)),IFERROR('자료_거시'!$E1884-INDEX($S$21:$S$4020,MATCH(EDATE('자료_거시'!$D1884,-'설정'!$B$17),'자료_거시'!$D$3:INDEX('자료_거시'!$D$3:$D$4002,$K$6),1)),""),"")</f>
        <v/>
      </c>
      <c r="U1902">
        <f>IF(ISNUMBER(T1902),'자료_거시'!$D1884,"")</f>
        <v/>
      </c>
      <c r="V1902">
        <f>IF(ISNUMBER(U1902),IF(U1902&gt;$L$6,T1902,""),"")</f>
        <v/>
      </c>
      <c r="W1902">
        <f>IF(AND(ISNUMBER('자료_거시'!$G1884),ISNUMBER('자료_거시'!$H1884)),'자료_거시'!$H1884,"")</f>
        <v/>
      </c>
      <c r="X1902">
        <f>IF(ISNUMBER(W1902),'자료_거시'!$G1884,"")</f>
        <v/>
      </c>
      <c r="Y1902">
        <f>IF(ISNUMBER(X1902),IF(X1902&gt;$L$7,W1902,""),"")</f>
        <v/>
      </c>
      <c r="Z1902">
        <f>IF(ISNUMBER('자료_거시'!$K1884),'자료_거시'!$K1884,Z1901)</f>
        <v/>
      </c>
      <c r="AA1902">
        <f>IF(AND(ISNUMBER('자료_거시'!$J1884),ISNUMBER('자료_거시'!$K1884)),IFERROR('자료_거시'!$K1884/INDEX($Z$21:$Z$4020,MATCH(EDATE('자료_거시'!$J1884,-'설정'!$B$17),'자료_거시'!$J$3:INDEX('자료_거시'!$J$3:$J$4002,$K$8),1))-1,""),"")</f>
        <v/>
      </c>
      <c r="AB1902">
        <f>IF(ISNUMBER(AA1902),'자료_거시'!$J1884,"")</f>
        <v/>
      </c>
      <c r="AC1902">
        <f>IF(ISNUMBER(AB1902),IF(AB1902&gt;$L$8,AA1902,""),"")</f>
        <v/>
      </c>
    </row>
    <row r="1903">
      <c r="S1903">
        <f>IF(ISNUMBER('자료_거시'!$E1885),'자료_거시'!$E1885,S1902)</f>
        <v/>
      </c>
      <c r="T1903">
        <f>IF(AND(ISNUMBER('자료_거시'!$D1885),ISNUMBER('자료_거시'!$E1885)),IFERROR('자료_거시'!$E1885-INDEX($S$21:$S$4020,MATCH(EDATE('자료_거시'!$D1885,-'설정'!$B$17),'자료_거시'!$D$3:INDEX('자료_거시'!$D$3:$D$4002,$K$6),1)),""),"")</f>
        <v/>
      </c>
      <c r="U1903">
        <f>IF(ISNUMBER(T1903),'자료_거시'!$D1885,"")</f>
        <v/>
      </c>
      <c r="V1903">
        <f>IF(ISNUMBER(U1903),IF(U1903&gt;$L$6,T1903,""),"")</f>
        <v/>
      </c>
      <c r="W1903">
        <f>IF(AND(ISNUMBER('자료_거시'!$G1885),ISNUMBER('자료_거시'!$H1885)),'자료_거시'!$H1885,"")</f>
        <v/>
      </c>
      <c r="X1903">
        <f>IF(ISNUMBER(W1903),'자료_거시'!$G1885,"")</f>
        <v/>
      </c>
      <c r="Y1903">
        <f>IF(ISNUMBER(X1903),IF(X1903&gt;$L$7,W1903,""),"")</f>
        <v/>
      </c>
      <c r="Z1903">
        <f>IF(ISNUMBER('자료_거시'!$K1885),'자료_거시'!$K1885,Z1902)</f>
        <v/>
      </c>
      <c r="AA1903">
        <f>IF(AND(ISNUMBER('자료_거시'!$J1885),ISNUMBER('자료_거시'!$K1885)),IFERROR('자료_거시'!$K1885/INDEX($Z$21:$Z$4020,MATCH(EDATE('자료_거시'!$J1885,-'설정'!$B$17),'자료_거시'!$J$3:INDEX('자료_거시'!$J$3:$J$4002,$K$8),1))-1,""),"")</f>
        <v/>
      </c>
      <c r="AB1903">
        <f>IF(ISNUMBER(AA1903),'자료_거시'!$J1885,"")</f>
        <v/>
      </c>
      <c r="AC1903">
        <f>IF(ISNUMBER(AB1903),IF(AB1903&gt;$L$8,AA1903,""),"")</f>
        <v/>
      </c>
    </row>
    <row r="1904">
      <c r="S1904">
        <f>IF(ISNUMBER('자료_거시'!$E1886),'자료_거시'!$E1886,S1903)</f>
        <v/>
      </c>
      <c r="T1904">
        <f>IF(AND(ISNUMBER('자료_거시'!$D1886),ISNUMBER('자료_거시'!$E1886)),IFERROR('자료_거시'!$E1886-INDEX($S$21:$S$4020,MATCH(EDATE('자료_거시'!$D1886,-'설정'!$B$17),'자료_거시'!$D$3:INDEX('자료_거시'!$D$3:$D$4002,$K$6),1)),""),"")</f>
        <v/>
      </c>
      <c r="U1904">
        <f>IF(ISNUMBER(T1904),'자료_거시'!$D1886,"")</f>
        <v/>
      </c>
      <c r="V1904">
        <f>IF(ISNUMBER(U1904),IF(U1904&gt;$L$6,T1904,""),"")</f>
        <v/>
      </c>
      <c r="W1904">
        <f>IF(AND(ISNUMBER('자료_거시'!$G1886),ISNUMBER('자료_거시'!$H1886)),'자료_거시'!$H1886,"")</f>
        <v/>
      </c>
      <c r="X1904">
        <f>IF(ISNUMBER(W1904),'자료_거시'!$G1886,"")</f>
        <v/>
      </c>
      <c r="Y1904">
        <f>IF(ISNUMBER(X1904),IF(X1904&gt;$L$7,W1904,""),"")</f>
        <v/>
      </c>
      <c r="Z1904">
        <f>IF(ISNUMBER('자료_거시'!$K1886),'자료_거시'!$K1886,Z1903)</f>
        <v/>
      </c>
      <c r="AA1904">
        <f>IF(AND(ISNUMBER('자료_거시'!$J1886),ISNUMBER('자료_거시'!$K1886)),IFERROR('자료_거시'!$K1886/INDEX($Z$21:$Z$4020,MATCH(EDATE('자료_거시'!$J1886,-'설정'!$B$17),'자료_거시'!$J$3:INDEX('자료_거시'!$J$3:$J$4002,$K$8),1))-1,""),"")</f>
        <v/>
      </c>
      <c r="AB1904">
        <f>IF(ISNUMBER(AA1904),'자료_거시'!$J1886,"")</f>
        <v/>
      </c>
      <c r="AC1904">
        <f>IF(ISNUMBER(AB1904),IF(AB1904&gt;$L$8,AA1904,""),"")</f>
        <v/>
      </c>
    </row>
    <row r="1905">
      <c r="S1905">
        <f>IF(ISNUMBER('자료_거시'!$E1887),'자료_거시'!$E1887,S1904)</f>
        <v/>
      </c>
      <c r="T1905">
        <f>IF(AND(ISNUMBER('자료_거시'!$D1887),ISNUMBER('자료_거시'!$E1887)),IFERROR('자료_거시'!$E1887-INDEX($S$21:$S$4020,MATCH(EDATE('자료_거시'!$D1887,-'설정'!$B$17),'자료_거시'!$D$3:INDEX('자료_거시'!$D$3:$D$4002,$K$6),1)),""),"")</f>
        <v/>
      </c>
      <c r="U1905">
        <f>IF(ISNUMBER(T1905),'자료_거시'!$D1887,"")</f>
        <v/>
      </c>
      <c r="V1905">
        <f>IF(ISNUMBER(U1905),IF(U1905&gt;$L$6,T1905,""),"")</f>
        <v/>
      </c>
      <c r="W1905">
        <f>IF(AND(ISNUMBER('자료_거시'!$G1887),ISNUMBER('자료_거시'!$H1887)),'자료_거시'!$H1887,"")</f>
        <v/>
      </c>
      <c r="X1905">
        <f>IF(ISNUMBER(W1905),'자료_거시'!$G1887,"")</f>
        <v/>
      </c>
      <c r="Y1905">
        <f>IF(ISNUMBER(X1905),IF(X1905&gt;$L$7,W1905,""),"")</f>
        <v/>
      </c>
      <c r="Z1905">
        <f>IF(ISNUMBER('자료_거시'!$K1887),'자료_거시'!$K1887,Z1904)</f>
        <v/>
      </c>
      <c r="AA1905">
        <f>IF(AND(ISNUMBER('자료_거시'!$J1887),ISNUMBER('자료_거시'!$K1887)),IFERROR('자료_거시'!$K1887/INDEX($Z$21:$Z$4020,MATCH(EDATE('자료_거시'!$J1887,-'설정'!$B$17),'자료_거시'!$J$3:INDEX('자료_거시'!$J$3:$J$4002,$K$8),1))-1,""),"")</f>
        <v/>
      </c>
      <c r="AB1905">
        <f>IF(ISNUMBER(AA1905),'자료_거시'!$J1887,"")</f>
        <v/>
      </c>
      <c r="AC1905">
        <f>IF(ISNUMBER(AB1905),IF(AB1905&gt;$L$8,AA1905,""),"")</f>
        <v/>
      </c>
    </row>
    <row r="1906">
      <c r="S1906">
        <f>IF(ISNUMBER('자료_거시'!$E1888),'자료_거시'!$E1888,S1905)</f>
        <v/>
      </c>
      <c r="T1906">
        <f>IF(AND(ISNUMBER('자료_거시'!$D1888),ISNUMBER('자료_거시'!$E1888)),IFERROR('자료_거시'!$E1888-INDEX($S$21:$S$4020,MATCH(EDATE('자료_거시'!$D1888,-'설정'!$B$17),'자료_거시'!$D$3:INDEX('자료_거시'!$D$3:$D$4002,$K$6),1)),""),"")</f>
        <v/>
      </c>
      <c r="U1906">
        <f>IF(ISNUMBER(T1906),'자료_거시'!$D1888,"")</f>
        <v/>
      </c>
      <c r="V1906">
        <f>IF(ISNUMBER(U1906),IF(U1906&gt;$L$6,T1906,""),"")</f>
        <v/>
      </c>
      <c r="W1906">
        <f>IF(AND(ISNUMBER('자료_거시'!$G1888),ISNUMBER('자료_거시'!$H1888)),'자료_거시'!$H1888,"")</f>
        <v/>
      </c>
      <c r="X1906">
        <f>IF(ISNUMBER(W1906),'자료_거시'!$G1888,"")</f>
        <v/>
      </c>
      <c r="Y1906">
        <f>IF(ISNUMBER(X1906),IF(X1906&gt;$L$7,W1906,""),"")</f>
        <v/>
      </c>
      <c r="Z1906">
        <f>IF(ISNUMBER('자료_거시'!$K1888),'자료_거시'!$K1888,Z1905)</f>
        <v/>
      </c>
      <c r="AA1906">
        <f>IF(AND(ISNUMBER('자료_거시'!$J1888),ISNUMBER('자료_거시'!$K1888)),IFERROR('자료_거시'!$K1888/INDEX($Z$21:$Z$4020,MATCH(EDATE('자료_거시'!$J1888,-'설정'!$B$17),'자료_거시'!$J$3:INDEX('자료_거시'!$J$3:$J$4002,$K$8),1))-1,""),"")</f>
        <v/>
      </c>
      <c r="AB1906">
        <f>IF(ISNUMBER(AA1906),'자료_거시'!$J1888,"")</f>
        <v/>
      </c>
      <c r="AC1906">
        <f>IF(ISNUMBER(AB1906),IF(AB1906&gt;$L$8,AA1906,""),"")</f>
        <v/>
      </c>
    </row>
    <row r="1907">
      <c r="S1907">
        <f>IF(ISNUMBER('자료_거시'!$E1889),'자료_거시'!$E1889,S1906)</f>
        <v/>
      </c>
      <c r="T1907">
        <f>IF(AND(ISNUMBER('자료_거시'!$D1889),ISNUMBER('자료_거시'!$E1889)),IFERROR('자료_거시'!$E1889-INDEX($S$21:$S$4020,MATCH(EDATE('자료_거시'!$D1889,-'설정'!$B$17),'자료_거시'!$D$3:INDEX('자료_거시'!$D$3:$D$4002,$K$6),1)),""),"")</f>
        <v/>
      </c>
      <c r="U1907">
        <f>IF(ISNUMBER(T1907),'자료_거시'!$D1889,"")</f>
        <v/>
      </c>
      <c r="V1907">
        <f>IF(ISNUMBER(U1907),IF(U1907&gt;$L$6,T1907,""),"")</f>
        <v/>
      </c>
      <c r="W1907">
        <f>IF(AND(ISNUMBER('자료_거시'!$G1889),ISNUMBER('자료_거시'!$H1889)),'자료_거시'!$H1889,"")</f>
        <v/>
      </c>
      <c r="X1907">
        <f>IF(ISNUMBER(W1907),'자료_거시'!$G1889,"")</f>
        <v/>
      </c>
      <c r="Y1907">
        <f>IF(ISNUMBER(X1907),IF(X1907&gt;$L$7,W1907,""),"")</f>
        <v/>
      </c>
      <c r="Z1907">
        <f>IF(ISNUMBER('자료_거시'!$K1889),'자료_거시'!$K1889,Z1906)</f>
        <v/>
      </c>
      <c r="AA1907">
        <f>IF(AND(ISNUMBER('자료_거시'!$J1889),ISNUMBER('자료_거시'!$K1889)),IFERROR('자료_거시'!$K1889/INDEX($Z$21:$Z$4020,MATCH(EDATE('자료_거시'!$J1889,-'설정'!$B$17),'자료_거시'!$J$3:INDEX('자료_거시'!$J$3:$J$4002,$K$8),1))-1,""),"")</f>
        <v/>
      </c>
      <c r="AB1907">
        <f>IF(ISNUMBER(AA1907),'자료_거시'!$J1889,"")</f>
        <v/>
      </c>
      <c r="AC1907">
        <f>IF(ISNUMBER(AB1907),IF(AB1907&gt;$L$8,AA1907,""),"")</f>
        <v/>
      </c>
    </row>
    <row r="1908">
      <c r="S1908">
        <f>IF(ISNUMBER('자료_거시'!$E1890),'자료_거시'!$E1890,S1907)</f>
        <v/>
      </c>
      <c r="T1908">
        <f>IF(AND(ISNUMBER('자료_거시'!$D1890),ISNUMBER('자료_거시'!$E1890)),IFERROR('자료_거시'!$E1890-INDEX($S$21:$S$4020,MATCH(EDATE('자료_거시'!$D1890,-'설정'!$B$17),'자료_거시'!$D$3:INDEX('자료_거시'!$D$3:$D$4002,$K$6),1)),""),"")</f>
        <v/>
      </c>
      <c r="U1908">
        <f>IF(ISNUMBER(T1908),'자료_거시'!$D1890,"")</f>
        <v/>
      </c>
      <c r="V1908">
        <f>IF(ISNUMBER(U1908),IF(U1908&gt;$L$6,T1908,""),"")</f>
        <v/>
      </c>
      <c r="W1908">
        <f>IF(AND(ISNUMBER('자료_거시'!$G1890),ISNUMBER('자료_거시'!$H1890)),'자료_거시'!$H1890,"")</f>
        <v/>
      </c>
      <c r="X1908">
        <f>IF(ISNUMBER(W1908),'자료_거시'!$G1890,"")</f>
        <v/>
      </c>
      <c r="Y1908">
        <f>IF(ISNUMBER(X1908),IF(X1908&gt;$L$7,W1908,""),"")</f>
        <v/>
      </c>
      <c r="Z1908">
        <f>IF(ISNUMBER('자료_거시'!$K1890),'자료_거시'!$K1890,Z1907)</f>
        <v/>
      </c>
      <c r="AA1908">
        <f>IF(AND(ISNUMBER('자료_거시'!$J1890),ISNUMBER('자료_거시'!$K1890)),IFERROR('자료_거시'!$K1890/INDEX($Z$21:$Z$4020,MATCH(EDATE('자료_거시'!$J1890,-'설정'!$B$17),'자료_거시'!$J$3:INDEX('자료_거시'!$J$3:$J$4002,$K$8),1))-1,""),"")</f>
        <v/>
      </c>
      <c r="AB1908">
        <f>IF(ISNUMBER(AA1908),'자료_거시'!$J1890,"")</f>
        <v/>
      </c>
      <c r="AC1908">
        <f>IF(ISNUMBER(AB1908),IF(AB1908&gt;$L$8,AA1908,""),"")</f>
        <v/>
      </c>
    </row>
    <row r="1909">
      <c r="S1909">
        <f>IF(ISNUMBER('자료_거시'!$E1891),'자료_거시'!$E1891,S1908)</f>
        <v/>
      </c>
      <c r="T1909">
        <f>IF(AND(ISNUMBER('자료_거시'!$D1891),ISNUMBER('자료_거시'!$E1891)),IFERROR('자료_거시'!$E1891-INDEX($S$21:$S$4020,MATCH(EDATE('자료_거시'!$D1891,-'설정'!$B$17),'자료_거시'!$D$3:INDEX('자료_거시'!$D$3:$D$4002,$K$6),1)),""),"")</f>
        <v/>
      </c>
      <c r="U1909">
        <f>IF(ISNUMBER(T1909),'자료_거시'!$D1891,"")</f>
        <v/>
      </c>
      <c r="V1909">
        <f>IF(ISNUMBER(U1909),IF(U1909&gt;$L$6,T1909,""),"")</f>
        <v/>
      </c>
      <c r="W1909">
        <f>IF(AND(ISNUMBER('자료_거시'!$G1891),ISNUMBER('자료_거시'!$H1891)),'자료_거시'!$H1891,"")</f>
        <v/>
      </c>
      <c r="X1909">
        <f>IF(ISNUMBER(W1909),'자료_거시'!$G1891,"")</f>
        <v/>
      </c>
      <c r="Y1909">
        <f>IF(ISNUMBER(X1909),IF(X1909&gt;$L$7,W1909,""),"")</f>
        <v/>
      </c>
      <c r="Z1909">
        <f>IF(ISNUMBER('자료_거시'!$K1891),'자료_거시'!$K1891,Z1908)</f>
        <v/>
      </c>
      <c r="AA1909">
        <f>IF(AND(ISNUMBER('자료_거시'!$J1891),ISNUMBER('자료_거시'!$K1891)),IFERROR('자료_거시'!$K1891/INDEX($Z$21:$Z$4020,MATCH(EDATE('자료_거시'!$J1891,-'설정'!$B$17),'자료_거시'!$J$3:INDEX('자료_거시'!$J$3:$J$4002,$K$8),1))-1,""),"")</f>
        <v/>
      </c>
      <c r="AB1909">
        <f>IF(ISNUMBER(AA1909),'자료_거시'!$J1891,"")</f>
        <v/>
      </c>
      <c r="AC1909">
        <f>IF(ISNUMBER(AB1909),IF(AB1909&gt;$L$8,AA1909,""),"")</f>
        <v/>
      </c>
    </row>
    <row r="1910">
      <c r="S1910">
        <f>IF(ISNUMBER('자료_거시'!$E1892),'자료_거시'!$E1892,S1909)</f>
        <v/>
      </c>
      <c r="T1910">
        <f>IF(AND(ISNUMBER('자료_거시'!$D1892),ISNUMBER('자료_거시'!$E1892)),IFERROR('자료_거시'!$E1892-INDEX($S$21:$S$4020,MATCH(EDATE('자료_거시'!$D1892,-'설정'!$B$17),'자료_거시'!$D$3:INDEX('자료_거시'!$D$3:$D$4002,$K$6),1)),""),"")</f>
        <v/>
      </c>
      <c r="U1910">
        <f>IF(ISNUMBER(T1910),'자료_거시'!$D1892,"")</f>
        <v/>
      </c>
      <c r="V1910">
        <f>IF(ISNUMBER(U1910),IF(U1910&gt;$L$6,T1910,""),"")</f>
        <v/>
      </c>
      <c r="W1910">
        <f>IF(AND(ISNUMBER('자료_거시'!$G1892),ISNUMBER('자료_거시'!$H1892)),'자료_거시'!$H1892,"")</f>
        <v/>
      </c>
      <c r="X1910">
        <f>IF(ISNUMBER(W1910),'자료_거시'!$G1892,"")</f>
        <v/>
      </c>
      <c r="Y1910">
        <f>IF(ISNUMBER(X1910),IF(X1910&gt;$L$7,W1910,""),"")</f>
        <v/>
      </c>
      <c r="Z1910">
        <f>IF(ISNUMBER('자료_거시'!$K1892),'자료_거시'!$K1892,Z1909)</f>
        <v/>
      </c>
      <c r="AA1910">
        <f>IF(AND(ISNUMBER('자료_거시'!$J1892),ISNUMBER('자료_거시'!$K1892)),IFERROR('자료_거시'!$K1892/INDEX($Z$21:$Z$4020,MATCH(EDATE('자료_거시'!$J1892,-'설정'!$B$17),'자료_거시'!$J$3:INDEX('자료_거시'!$J$3:$J$4002,$K$8),1))-1,""),"")</f>
        <v/>
      </c>
      <c r="AB1910">
        <f>IF(ISNUMBER(AA1910),'자료_거시'!$J1892,"")</f>
        <v/>
      </c>
      <c r="AC1910">
        <f>IF(ISNUMBER(AB1910),IF(AB1910&gt;$L$8,AA1910,""),"")</f>
        <v/>
      </c>
    </row>
    <row r="1911">
      <c r="S1911">
        <f>IF(ISNUMBER('자료_거시'!$E1893),'자료_거시'!$E1893,S1910)</f>
        <v/>
      </c>
      <c r="T1911">
        <f>IF(AND(ISNUMBER('자료_거시'!$D1893),ISNUMBER('자료_거시'!$E1893)),IFERROR('자료_거시'!$E1893-INDEX($S$21:$S$4020,MATCH(EDATE('자료_거시'!$D1893,-'설정'!$B$17),'자료_거시'!$D$3:INDEX('자료_거시'!$D$3:$D$4002,$K$6),1)),""),"")</f>
        <v/>
      </c>
      <c r="U1911">
        <f>IF(ISNUMBER(T1911),'자료_거시'!$D1893,"")</f>
        <v/>
      </c>
      <c r="V1911">
        <f>IF(ISNUMBER(U1911),IF(U1911&gt;$L$6,T1911,""),"")</f>
        <v/>
      </c>
      <c r="W1911">
        <f>IF(AND(ISNUMBER('자료_거시'!$G1893),ISNUMBER('자료_거시'!$H1893)),'자료_거시'!$H1893,"")</f>
        <v/>
      </c>
      <c r="X1911">
        <f>IF(ISNUMBER(W1911),'자료_거시'!$G1893,"")</f>
        <v/>
      </c>
      <c r="Y1911">
        <f>IF(ISNUMBER(X1911),IF(X1911&gt;$L$7,W1911,""),"")</f>
        <v/>
      </c>
      <c r="Z1911">
        <f>IF(ISNUMBER('자료_거시'!$K1893),'자료_거시'!$K1893,Z1910)</f>
        <v/>
      </c>
      <c r="AA1911">
        <f>IF(AND(ISNUMBER('자료_거시'!$J1893),ISNUMBER('자료_거시'!$K1893)),IFERROR('자료_거시'!$K1893/INDEX($Z$21:$Z$4020,MATCH(EDATE('자료_거시'!$J1893,-'설정'!$B$17),'자료_거시'!$J$3:INDEX('자료_거시'!$J$3:$J$4002,$K$8),1))-1,""),"")</f>
        <v/>
      </c>
      <c r="AB1911">
        <f>IF(ISNUMBER(AA1911),'자료_거시'!$J1893,"")</f>
        <v/>
      </c>
      <c r="AC1911">
        <f>IF(ISNUMBER(AB1911),IF(AB1911&gt;$L$8,AA1911,""),"")</f>
        <v/>
      </c>
    </row>
    <row r="1912">
      <c r="S1912">
        <f>IF(ISNUMBER('자료_거시'!$E1894),'자료_거시'!$E1894,S1911)</f>
        <v/>
      </c>
      <c r="T1912">
        <f>IF(AND(ISNUMBER('자료_거시'!$D1894),ISNUMBER('자료_거시'!$E1894)),IFERROR('자료_거시'!$E1894-INDEX($S$21:$S$4020,MATCH(EDATE('자료_거시'!$D1894,-'설정'!$B$17),'자료_거시'!$D$3:INDEX('자료_거시'!$D$3:$D$4002,$K$6),1)),""),"")</f>
        <v/>
      </c>
      <c r="U1912">
        <f>IF(ISNUMBER(T1912),'자료_거시'!$D1894,"")</f>
        <v/>
      </c>
      <c r="V1912">
        <f>IF(ISNUMBER(U1912),IF(U1912&gt;$L$6,T1912,""),"")</f>
        <v/>
      </c>
      <c r="W1912">
        <f>IF(AND(ISNUMBER('자료_거시'!$G1894),ISNUMBER('자료_거시'!$H1894)),'자료_거시'!$H1894,"")</f>
        <v/>
      </c>
      <c r="X1912">
        <f>IF(ISNUMBER(W1912),'자료_거시'!$G1894,"")</f>
        <v/>
      </c>
      <c r="Y1912">
        <f>IF(ISNUMBER(X1912),IF(X1912&gt;$L$7,W1912,""),"")</f>
        <v/>
      </c>
      <c r="Z1912">
        <f>IF(ISNUMBER('자료_거시'!$K1894),'자료_거시'!$K1894,Z1911)</f>
        <v/>
      </c>
      <c r="AA1912">
        <f>IF(AND(ISNUMBER('자료_거시'!$J1894),ISNUMBER('자료_거시'!$K1894)),IFERROR('자료_거시'!$K1894/INDEX($Z$21:$Z$4020,MATCH(EDATE('자료_거시'!$J1894,-'설정'!$B$17),'자료_거시'!$J$3:INDEX('자료_거시'!$J$3:$J$4002,$K$8),1))-1,""),"")</f>
        <v/>
      </c>
      <c r="AB1912">
        <f>IF(ISNUMBER(AA1912),'자료_거시'!$J1894,"")</f>
        <v/>
      </c>
      <c r="AC1912">
        <f>IF(ISNUMBER(AB1912),IF(AB1912&gt;$L$8,AA1912,""),"")</f>
        <v/>
      </c>
    </row>
    <row r="1913">
      <c r="S1913">
        <f>IF(ISNUMBER('자료_거시'!$E1895),'자료_거시'!$E1895,S1912)</f>
        <v/>
      </c>
      <c r="T1913">
        <f>IF(AND(ISNUMBER('자료_거시'!$D1895),ISNUMBER('자료_거시'!$E1895)),IFERROR('자료_거시'!$E1895-INDEX($S$21:$S$4020,MATCH(EDATE('자료_거시'!$D1895,-'설정'!$B$17),'자료_거시'!$D$3:INDEX('자료_거시'!$D$3:$D$4002,$K$6),1)),""),"")</f>
        <v/>
      </c>
      <c r="U1913">
        <f>IF(ISNUMBER(T1913),'자료_거시'!$D1895,"")</f>
        <v/>
      </c>
      <c r="V1913">
        <f>IF(ISNUMBER(U1913),IF(U1913&gt;$L$6,T1913,""),"")</f>
        <v/>
      </c>
      <c r="W1913">
        <f>IF(AND(ISNUMBER('자료_거시'!$G1895),ISNUMBER('자료_거시'!$H1895)),'자료_거시'!$H1895,"")</f>
        <v/>
      </c>
      <c r="X1913">
        <f>IF(ISNUMBER(W1913),'자료_거시'!$G1895,"")</f>
        <v/>
      </c>
      <c r="Y1913">
        <f>IF(ISNUMBER(X1913),IF(X1913&gt;$L$7,W1913,""),"")</f>
        <v/>
      </c>
      <c r="Z1913">
        <f>IF(ISNUMBER('자료_거시'!$K1895),'자료_거시'!$K1895,Z1912)</f>
        <v/>
      </c>
      <c r="AA1913">
        <f>IF(AND(ISNUMBER('자료_거시'!$J1895),ISNUMBER('자료_거시'!$K1895)),IFERROR('자료_거시'!$K1895/INDEX($Z$21:$Z$4020,MATCH(EDATE('자료_거시'!$J1895,-'설정'!$B$17),'자료_거시'!$J$3:INDEX('자료_거시'!$J$3:$J$4002,$K$8),1))-1,""),"")</f>
        <v/>
      </c>
      <c r="AB1913">
        <f>IF(ISNUMBER(AA1913),'자료_거시'!$J1895,"")</f>
        <v/>
      </c>
      <c r="AC1913">
        <f>IF(ISNUMBER(AB1913),IF(AB1913&gt;$L$8,AA1913,""),"")</f>
        <v/>
      </c>
    </row>
    <row r="1914">
      <c r="S1914">
        <f>IF(ISNUMBER('자료_거시'!$E1896),'자료_거시'!$E1896,S1913)</f>
        <v/>
      </c>
      <c r="T1914">
        <f>IF(AND(ISNUMBER('자료_거시'!$D1896),ISNUMBER('자료_거시'!$E1896)),IFERROR('자료_거시'!$E1896-INDEX($S$21:$S$4020,MATCH(EDATE('자료_거시'!$D1896,-'설정'!$B$17),'자료_거시'!$D$3:INDEX('자료_거시'!$D$3:$D$4002,$K$6),1)),""),"")</f>
        <v/>
      </c>
      <c r="U1914">
        <f>IF(ISNUMBER(T1914),'자료_거시'!$D1896,"")</f>
        <v/>
      </c>
      <c r="V1914">
        <f>IF(ISNUMBER(U1914),IF(U1914&gt;$L$6,T1914,""),"")</f>
        <v/>
      </c>
      <c r="W1914">
        <f>IF(AND(ISNUMBER('자료_거시'!$G1896),ISNUMBER('자료_거시'!$H1896)),'자료_거시'!$H1896,"")</f>
        <v/>
      </c>
      <c r="X1914">
        <f>IF(ISNUMBER(W1914),'자료_거시'!$G1896,"")</f>
        <v/>
      </c>
      <c r="Y1914">
        <f>IF(ISNUMBER(X1914),IF(X1914&gt;$L$7,W1914,""),"")</f>
        <v/>
      </c>
      <c r="Z1914">
        <f>IF(ISNUMBER('자료_거시'!$K1896),'자료_거시'!$K1896,Z1913)</f>
        <v/>
      </c>
      <c r="AA1914">
        <f>IF(AND(ISNUMBER('자료_거시'!$J1896),ISNUMBER('자료_거시'!$K1896)),IFERROR('자료_거시'!$K1896/INDEX($Z$21:$Z$4020,MATCH(EDATE('자료_거시'!$J1896,-'설정'!$B$17),'자료_거시'!$J$3:INDEX('자료_거시'!$J$3:$J$4002,$K$8),1))-1,""),"")</f>
        <v/>
      </c>
      <c r="AB1914">
        <f>IF(ISNUMBER(AA1914),'자료_거시'!$J1896,"")</f>
        <v/>
      </c>
      <c r="AC1914">
        <f>IF(ISNUMBER(AB1914),IF(AB1914&gt;$L$8,AA1914,""),"")</f>
        <v/>
      </c>
    </row>
    <row r="1915">
      <c r="S1915">
        <f>IF(ISNUMBER('자료_거시'!$E1897),'자료_거시'!$E1897,S1914)</f>
        <v/>
      </c>
      <c r="T1915">
        <f>IF(AND(ISNUMBER('자료_거시'!$D1897),ISNUMBER('자료_거시'!$E1897)),IFERROR('자료_거시'!$E1897-INDEX($S$21:$S$4020,MATCH(EDATE('자료_거시'!$D1897,-'설정'!$B$17),'자료_거시'!$D$3:INDEX('자료_거시'!$D$3:$D$4002,$K$6),1)),""),"")</f>
        <v/>
      </c>
      <c r="U1915">
        <f>IF(ISNUMBER(T1915),'자료_거시'!$D1897,"")</f>
        <v/>
      </c>
      <c r="V1915">
        <f>IF(ISNUMBER(U1915),IF(U1915&gt;$L$6,T1915,""),"")</f>
        <v/>
      </c>
      <c r="W1915">
        <f>IF(AND(ISNUMBER('자료_거시'!$G1897),ISNUMBER('자료_거시'!$H1897)),'자료_거시'!$H1897,"")</f>
        <v/>
      </c>
      <c r="X1915">
        <f>IF(ISNUMBER(W1915),'자료_거시'!$G1897,"")</f>
        <v/>
      </c>
      <c r="Y1915">
        <f>IF(ISNUMBER(X1915),IF(X1915&gt;$L$7,W1915,""),"")</f>
        <v/>
      </c>
      <c r="Z1915">
        <f>IF(ISNUMBER('자료_거시'!$K1897),'자료_거시'!$K1897,Z1914)</f>
        <v/>
      </c>
      <c r="AA1915">
        <f>IF(AND(ISNUMBER('자료_거시'!$J1897),ISNUMBER('자료_거시'!$K1897)),IFERROR('자료_거시'!$K1897/INDEX($Z$21:$Z$4020,MATCH(EDATE('자료_거시'!$J1897,-'설정'!$B$17),'자료_거시'!$J$3:INDEX('자료_거시'!$J$3:$J$4002,$K$8),1))-1,""),"")</f>
        <v/>
      </c>
      <c r="AB1915">
        <f>IF(ISNUMBER(AA1915),'자료_거시'!$J1897,"")</f>
        <v/>
      </c>
      <c r="AC1915">
        <f>IF(ISNUMBER(AB1915),IF(AB1915&gt;$L$8,AA1915,""),"")</f>
        <v/>
      </c>
    </row>
    <row r="1916">
      <c r="S1916">
        <f>IF(ISNUMBER('자료_거시'!$E1898),'자료_거시'!$E1898,S1915)</f>
        <v/>
      </c>
      <c r="T1916">
        <f>IF(AND(ISNUMBER('자료_거시'!$D1898),ISNUMBER('자료_거시'!$E1898)),IFERROR('자료_거시'!$E1898-INDEX($S$21:$S$4020,MATCH(EDATE('자료_거시'!$D1898,-'설정'!$B$17),'자료_거시'!$D$3:INDEX('자료_거시'!$D$3:$D$4002,$K$6),1)),""),"")</f>
        <v/>
      </c>
      <c r="U1916">
        <f>IF(ISNUMBER(T1916),'자료_거시'!$D1898,"")</f>
        <v/>
      </c>
      <c r="V1916">
        <f>IF(ISNUMBER(U1916),IF(U1916&gt;$L$6,T1916,""),"")</f>
        <v/>
      </c>
      <c r="W1916">
        <f>IF(AND(ISNUMBER('자료_거시'!$G1898),ISNUMBER('자료_거시'!$H1898)),'자료_거시'!$H1898,"")</f>
        <v/>
      </c>
      <c r="X1916">
        <f>IF(ISNUMBER(W1916),'자료_거시'!$G1898,"")</f>
        <v/>
      </c>
      <c r="Y1916">
        <f>IF(ISNUMBER(X1916),IF(X1916&gt;$L$7,W1916,""),"")</f>
        <v/>
      </c>
      <c r="Z1916">
        <f>IF(ISNUMBER('자료_거시'!$K1898),'자료_거시'!$K1898,Z1915)</f>
        <v/>
      </c>
      <c r="AA1916">
        <f>IF(AND(ISNUMBER('자료_거시'!$J1898),ISNUMBER('자료_거시'!$K1898)),IFERROR('자료_거시'!$K1898/INDEX($Z$21:$Z$4020,MATCH(EDATE('자료_거시'!$J1898,-'설정'!$B$17),'자료_거시'!$J$3:INDEX('자료_거시'!$J$3:$J$4002,$K$8),1))-1,""),"")</f>
        <v/>
      </c>
      <c r="AB1916">
        <f>IF(ISNUMBER(AA1916),'자료_거시'!$J1898,"")</f>
        <v/>
      </c>
      <c r="AC1916">
        <f>IF(ISNUMBER(AB1916),IF(AB1916&gt;$L$8,AA1916,""),"")</f>
        <v/>
      </c>
    </row>
    <row r="1917">
      <c r="S1917">
        <f>IF(ISNUMBER('자료_거시'!$E1899),'자료_거시'!$E1899,S1916)</f>
        <v/>
      </c>
      <c r="T1917">
        <f>IF(AND(ISNUMBER('자료_거시'!$D1899),ISNUMBER('자료_거시'!$E1899)),IFERROR('자료_거시'!$E1899-INDEX($S$21:$S$4020,MATCH(EDATE('자료_거시'!$D1899,-'설정'!$B$17),'자료_거시'!$D$3:INDEX('자료_거시'!$D$3:$D$4002,$K$6),1)),""),"")</f>
        <v/>
      </c>
      <c r="U1917">
        <f>IF(ISNUMBER(T1917),'자료_거시'!$D1899,"")</f>
        <v/>
      </c>
      <c r="V1917">
        <f>IF(ISNUMBER(U1917),IF(U1917&gt;$L$6,T1917,""),"")</f>
        <v/>
      </c>
      <c r="W1917">
        <f>IF(AND(ISNUMBER('자료_거시'!$G1899),ISNUMBER('자료_거시'!$H1899)),'자료_거시'!$H1899,"")</f>
        <v/>
      </c>
      <c r="X1917">
        <f>IF(ISNUMBER(W1917),'자료_거시'!$G1899,"")</f>
        <v/>
      </c>
      <c r="Y1917">
        <f>IF(ISNUMBER(X1917),IF(X1917&gt;$L$7,W1917,""),"")</f>
        <v/>
      </c>
      <c r="Z1917">
        <f>IF(ISNUMBER('자료_거시'!$K1899),'자료_거시'!$K1899,Z1916)</f>
        <v/>
      </c>
      <c r="AA1917">
        <f>IF(AND(ISNUMBER('자료_거시'!$J1899),ISNUMBER('자료_거시'!$K1899)),IFERROR('자료_거시'!$K1899/INDEX($Z$21:$Z$4020,MATCH(EDATE('자료_거시'!$J1899,-'설정'!$B$17),'자료_거시'!$J$3:INDEX('자료_거시'!$J$3:$J$4002,$K$8),1))-1,""),"")</f>
        <v/>
      </c>
      <c r="AB1917">
        <f>IF(ISNUMBER(AA1917),'자료_거시'!$J1899,"")</f>
        <v/>
      </c>
      <c r="AC1917">
        <f>IF(ISNUMBER(AB1917),IF(AB1917&gt;$L$8,AA1917,""),"")</f>
        <v/>
      </c>
    </row>
    <row r="1918">
      <c r="S1918">
        <f>IF(ISNUMBER('자료_거시'!$E1900),'자료_거시'!$E1900,S1917)</f>
        <v/>
      </c>
      <c r="T1918">
        <f>IF(AND(ISNUMBER('자료_거시'!$D1900),ISNUMBER('자료_거시'!$E1900)),IFERROR('자료_거시'!$E1900-INDEX($S$21:$S$4020,MATCH(EDATE('자료_거시'!$D1900,-'설정'!$B$17),'자료_거시'!$D$3:INDEX('자료_거시'!$D$3:$D$4002,$K$6),1)),""),"")</f>
        <v/>
      </c>
      <c r="U1918">
        <f>IF(ISNUMBER(T1918),'자료_거시'!$D1900,"")</f>
        <v/>
      </c>
      <c r="V1918">
        <f>IF(ISNUMBER(U1918),IF(U1918&gt;$L$6,T1918,""),"")</f>
        <v/>
      </c>
      <c r="W1918">
        <f>IF(AND(ISNUMBER('자료_거시'!$G1900),ISNUMBER('자료_거시'!$H1900)),'자료_거시'!$H1900,"")</f>
        <v/>
      </c>
      <c r="X1918">
        <f>IF(ISNUMBER(W1918),'자료_거시'!$G1900,"")</f>
        <v/>
      </c>
      <c r="Y1918">
        <f>IF(ISNUMBER(X1918),IF(X1918&gt;$L$7,W1918,""),"")</f>
        <v/>
      </c>
      <c r="Z1918">
        <f>IF(ISNUMBER('자료_거시'!$K1900),'자료_거시'!$K1900,Z1917)</f>
        <v/>
      </c>
      <c r="AA1918">
        <f>IF(AND(ISNUMBER('자료_거시'!$J1900),ISNUMBER('자료_거시'!$K1900)),IFERROR('자료_거시'!$K1900/INDEX($Z$21:$Z$4020,MATCH(EDATE('자료_거시'!$J1900,-'설정'!$B$17),'자료_거시'!$J$3:INDEX('자료_거시'!$J$3:$J$4002,$K$8),1))-1,""),"")</f>
        <v/>
      </c>
      <c r="AB1918">
        <f>IF(ISNUMBER(AA1918),'자료_거시'!$J1900,"")</f>
        <v/>
      </c>
      <c r="AC1918">
        <f>IF(ISNUMBER(AB1918),IF(AB1918&gt;$L$8,AA1918,""),"")</f>
        <v/>
      </c>
    </row>
    <row r="1919">
      <c r="S1919">
        <f>IF(ISNUMBER('자료_거시'!$E1901),'자료_거시'!$E1901,S1918)</f>
        <v/>
      </c>
      <c r="T1919">
        <f>IF(AND(ISNUMBER('자료_거시'!$D1901),ISNUMBER('자료_거시'!$E1901)),IFERROR('자료_거시'!$E1901-INDEX($S$21:$S$4020,MATCH(EDATE('자료_거시'!$D1901,-'설정'!$B$17),'자료_거시'!$D$3:INDEX('자료_거시'!$D$3:$D$4002,$K$6),1)),""),"")</f>
        <v/>
      </c>
      <c r="U1919">
        <f>IF(ISNUMBER(T1919),'자료_거시'!$D1901,"")</f>
        <v/>
      </c>
      <c r="V1919">
        <f>IF(ISNUMBER(U1919),IF(U1919&gt;$L$6,T1919,""),"")</f>
        <v/>
      </c>
      <c r="W1919">
        <f>IF(AND(ISNUMBER('자료_거시'!$G1901),ISNUMBER('자료_거시'!$H1901)),'자료_거시'!$H1901,"")</f>
        <v/>
      </c>
      <c r="X1919">
        <f>IF(ISNUMBER(W1919),'자료_거시'!$G1901,"")</f>
        <v/>
      </c>
      <c r="Y1919">
        <f>IF(ISNUMBER(X1919),IF(X1919&gt;$L$7,W1919,""),"")</f>
        <v/>
      </c>
      <c r="Z1919">
        <f>IF(ISNUMBER('자료_거시'!$K1901),'자료_거시'!$K1901,Z1918)</f>
        <v/>
      </c>
      <c r="AA1919">
        <f>IF(AND(ISNUMBER('자료_거시'!$J1901),ISNUMBER('자료_거시'!$K1901)),IFERROR('자료_거시'!$K1901/INDEX($Z$21:$Z$4020,MATCH(EDATE('자료_거시'!$J1901,-'설정'!$B$17),'자료_거시'!$J$3:INDEX('자료_거시'!$J$3:$J$4002,$K$8),1))-1,""),"")</f>
        <v/>
      </c>
      <c r="AB1919">
        <f>IF(ISNUMBER(AA1919),'자료_거시'!$J1901,"")</f>
        <v/>
      </c>
      <c r="AC1919">
        <f>IF(ISNUMBER(AB1919),IF(AB1919&gt;$L$8,AA1919,""),"")</f>
        <v/>
      </c>
    </row>
    <row r="1920">
      <c r="S1920">
        <f>IF(ISNUMBER('자료_거시'!$E1902),'자료_거시'!$E1902,S1919)</f>
        <v/>
      </c>
      <c r="T1920">
        <f>IF(AND(ISNUMBER('자료_거시'!$D1902),ISNUMBER('자료_거시'!$E1902)),IFERROR('자료_거시'!$E1902-INDEX($S$21:$S$4020,MATCH(EDATE('자료_거시'!$D1902,-'설정'!$B$17),'자료_거시'!$D$3:INDEX('자료_거시'!$D$3:$D$4002,$K$6),1)),""),"")</f>
        <v/>
      </c>
      <c r="U1920">
        <f>IF(ISNUMBER(T1920),'자료_거시'!$D1902,"")</f>
        <v/>
      </c>
      <c r="V1920">
        <f>IF(ISNUMBER(U1920),IF(U1920&gt;$L$6,T1920,""),"")</f>
        <v/>
      </c>
      <c r="W1920">
        <f>IF(AND(ISNUMBER('자료_거시'!$G1902),ISNUMBER('자료_거시'!$H1902)),'자료_거시'!$H1902,"")</f>
        <v/>
      </c>
      <c r="X1920">
        <f>IF(ISNUMBER(W1920),'자료_거시'!$G1902,"")</f>
        <v/>
      </c>
      <c r="Y1920">
        <f>IF(ISNUMBER(X1920),IF(X1920&gt;$L$7,W1920,""),"")</f>
        <v/>
      </c>
      <c r="Z1920">
        <f>IF(ISNUMBER('자료_거시'!$K1902),'자료_거시'!$K1902,Z1919)</f>
        <v/>
      </c>
      <c r="AA1920">
        <f>IF(AND(ISNUMBER('자료_거시'!$J1902),ISNUMBER('자료_거시'!$K1902)),IFERROR('자료_거시'!$K1902/INDEX($Z$21:$Z$4020,MATCH(EDATE('자료_거시'!$J1902,-'설정'!$B$17),'자료_거시'!$J$3:INDEX('자료_거시'!$J$3:$J$4002,$K$8),1))-1,""),"")</f>
        <v/>
      </c>
      <c r="AB1920">
        <f>IF(ISNUMBER(AA1920),'자료_거시'!$J1902,"")</f>
        <v/>
      </c>
      <c r="AC1920">
        <f>IF(ISNUMBER(AB1920),IF(AB1920&gt;$L$8,AA1920,""),"")</f>
        <v/>
      </c>
    </row>
    <row r="1921">
      <c r="S1921">
        <f>IF(ISNUMBER('자료_거시'!$E1903),'자료_거시'!$E1903,S1920)</f>
        <v/>
      </c>
      <c r="T1921">
        <f>IF(AND(ISNUMBER('자료_거시'!$D1903),ISNUMBER('자료_거시'!$E1903)),IFERROR('자료_거시'!$E1903-INDEX($S$21:$S$4020,MATCH(EDATE('자료_거시'!$D1903,-'설정'!$B$17),'자료_거시'!$D$3:INDEX('자료_거시'!$D$3:$D$4002,$K$6),1)),""),"")</f>
        <v/>
      </c>
      <c r="U1921">
        <f>IF(ISNUMBER(T1921),'자료_거시'!$D1903,"")</f>
        <v/>
      </c>
      <c r="V1921">
        <f>IF(ISNUMBER(U1921),IF(U1921&gt;$L$6,T1921,""),"")</f>
        <v/>
      </c>
      <c r="W1921">
        <f>IF(AND(ISNUMBER('자료_거시'!$G1903),ISNUMBER('자료_거시'!$H1903)),'자료_거시'!$H1903,"")</f>
        <v/>
      </c>
      <c r="X1921">
        <f>IF(ISNUMBER(W1921),'자료_거시'!$G1903,"")</f>
        <v/>
      </c>
      <c r="Y1921">
        <f>IF(ISNUMBER(X1921),IF(X1921&gt;$L$7,W1921,""),"")</f>
        <v/>
      </c>
      <c r="Z1921">
        <f>IF(ISNUMBER('자료_거시'!$K1903),'자료_거시'!$K1903,Z1920)</f>
        <v/>
      </c>
      <c r="AA1921">
        <f>IF(AND(ISNUMBER('자료_거시'!$J1903),ISNUMBER('자료_거시'!$K1903)),IFERROR('자료_거시'!$K1903/INDEX($Z$21:$Z$4020,MATCH(EDATE('자료_거시'!$J1903,-'설정'!$B$17),'자료_거시'!$J$3:INDEX('자료_거시'!$J$3:$J$4002,$K$8),1))-1,""),"")</f>
        <v/>
      </c>
      <c r="AB1921">
        <f>IF(ISNUMBER(AA1921),'자료_거시'!$J1903,"")</f>
        <v/>
      </c>
      <c r="AC1921">
        <f>IF(ISNUMBER(AB1921),IF(AB1921&gt;$L$8,AA1921,""),"")</f>
        <v/>
      </c>
    </row>
    <row r="1922">
      <c r="S1922">
        <f>IF(ISNUMBER('자료_거시'!$E1904),'자료_거시'!$E1904,S1921)</f>
        <v/>
      </c>
      <c r="T1922">
        <f>IF(AND(ISNUMBER('자료_거시'!$D1904),ISNUMBER('자료_거시'!$E1904)),IFERROR('자료_거시'!$E1904-INDEX($S$21:$S$4020,MATCH(EDATE('자료_거시'!$D1904,-'설정'!$B$17),'자료_거시'!$D$3:INDEX('자료_거시'!$D$3:$D$4002,$K$6),1)),""),"")</f>
        <v/>
      </c>
      <c r="U1922">
        <f>IF(ISNUMBER(T1922),'자료_거시'!$D1904,"")</f>
        <v/>
      </c>
      <c r="V1922">
        <f>IF(ISNUMBER(U1922),IF(U1922&gt;$L$6,T1922,""),"")</f>
        <v/>
      </c>
      <c r="W1922">
        <f>IF(AND(ISNUMBER('자료_거시'!$G1904),ISNUMBER('자료_거시'!$H1904)),'자료_거시'!$H1904,"")</f>
        <v/>
      </c>
      <c r="X1922">
        <f>IF(ISNUMBER(W1922),'자료_거시'!$G1904,"")</f>
        <v/>
      </c>
      <c r="Y1922">
        <f>IF(ISNUMBER(X1922),IF(X1922&gt;$L$7,W1922,""),"")</f>
        <v/>
      </c>
      <c r="Z1922">
        <f>IF(ISNUMBER('자료_거시'!$K1904),'자료_거시'!$K1904,Z1921)</f>
        <v/>
      </c>
      <c r="AA1922">
        <f>IF(AND(ISNUMBER('자료_거시'!$J1904),ISNUMBER('자료_거시'!$K1904)),IFERROR('자료_거시'!$K1904/INDEX($Z$21:$Z$4020,MATCH(EDATE('자료_거시'!$J1904,-'설정'!$B$17),'자료_거시'!$J$3:INDEX('자료_거시'!$J$3:$J$4002,$K$8),1))-1,""),"")</f>
        <v/>
      </c>
      <c r="AB1922">
        <f>IF(ISNUMBER(AA1922),'자료_거시'!$J1904,"")</f>
        <v/>
      </c>
      <c r="AC1922">
        <f>IF(ISNUMBER(AB1922),IF(AB1922&gt;$L$8,AA1922,""),"")</f>
        <v/>
      </c>
    </row>
    <row r="1923">
      <c r="S1923">
        <f>IF(ISNUMBER('자료_거시'!$E1905),'자료_거시'!$E1905,S1922)</f>
        <v/>
      </c>
      <c r="T1923">
        <f>IF(AND(ISNUMBER('자료_거시'!$D1905),ISNUMBER('자료_거시'!$E1905)),IFERROR('자료_거시'!$E1905-INDEX($S$21:$S$4020,MATCH(EDATE('자료_거시'!$D1905,-'설정'!$B$17),'자료_거시'!$D$3:INDEX('자료_거시'!$D$3:$D$4002,$K$6),1)),""),"")</f>
        <v/>
      </c>
      <c r="U1923">
        <f>IF(ISNUMBER(T1923),'자료_거시'!$D1905,"")</f>
        <v/>
      </c>
      <c r="V1923">
        <f>IF(ISNUMBER(U1923),IF(U1923&gt;$L$6,T1923,""),"")</f>
        <v/>
      </c>
      <c r="W1923">
        <f>IF(AND(ISNUMBER('자료_거시'!$G1905),ISNUMBER('자료_거시'!$H1905)),'자료_거시'!$H1905,"")</f>
        <v/>
      </c>
      <c r="X1923">
        <f>IF(ISNUMBER(W1923),'자료_거시'!$G1905,"")</f>
        <v/>
      </c>
      <c r="Y1923">
        <f>IF(ISNUMBER(X1923),IF(X1923&gt;$L$7,W1923,""),"")</f>
        <v/>
      </c>
      <c r="Z1923">
        <f>IF(ISNUMBER('자료_거시'!$K1905),'자료_거시'!$K1905,Z1922)</f>
        <v/>
      </c>
      <c r="AA1923">
        <f>IF(AND(ISNUMBER('자료_거시'!$J1905),ISNUMBER('자료_거시'!$K1905)),IFERROR('자료_거시'!$K1905/INDEX($Z$21:$Z$4020,MATCH(EDATE('자료_거시'!$J1905,-'설정'!$B$17),'자료_거시'!$J$3:INDEX('자료_거시'!$J$3:$J$4002,$K$8),1))-1,""),"")</f>
        <v/>
      </c>
      <c r="AB1923">
        <f>IF(ISNUMBER(AA1923),'자료_거시'!$J1905,"")</f>
        <v/>
      </c>
      <c r="AC1923">
        <f>IF(ISNUMBER(AB1923),IF(AB1923&gt;$L$8,AA1923,""),"")</f>
        <v/>
      </c>
    </row>
    <row r="1924">
      <c r="S1924">
        <f>IF(ISNUMBER('자료_거시'!$E1906),'자료_거시'!$E1906,S1923)</f>
        <v/>
      </c>
      <c r="T1924">
        <f>IF(AND(ISNUMBER('자료_거시'!$D1906),ISNUMBER('자료_거시'!$E1906)),IFERROR('자료_거시'!$E1906-INDEX($S$21:$S$4020,MATCH(EDATE('자료_거시'!$D1906,-'설정'!$B$17),'자료_거시'!$D$3:INDEX('자료_거시'!$D$3:$D$4002,$K$6),1)),""),"")</f>
        <v/>
      </c>
      <c r="U1924">
        <f>IF(ISNUMBER(T1924),'자료_거시'!$D1906,"")</f>
        <v/>
      </c>
      <c r="V1924">
        <f>IF(ISNUMBER(U1924),IF(U1924&gt;$L$6,T1924,""),"")</f>
        <v/>
      </c>
      <c r="W1924">
        <f>IF(AND(ISNUMBER('자료_거시'!$G1906),ISNUMBER('자료_거시'!$H1906)),'자료_거시'!$H1906,"")</f>
        <v/>
      </c>
      <c r="X1924">
        <f>IF(ISNUMBER(W1924),'자료_거시'!$G1906,"")</f>
        <v/>
      </c>
      <c r="Y1924">
        <f>IF(ISNUMBER(X1924),IF(X1924&gt;$L$7,W1924,""),"")</f>
        <v/>
      </c>
      <c r="Z1924">
        <f>IF(ISNUMBER('자료_거시'!$K1906),'자료_거시'!$K1906,Z1923)</f>
        <v/>
      </c>
      <c r="AA1924">
        <f>IF(AND(ISNUMBER('자료_거시'!$J1906),ISNUMBER('자료_거시'!$K1906)),IFERROR('자료_거시'!$K1906/INDEX($Z$21:$Z$4020,MATCH(EDATE('자료_거시'!$J1906,-'설정'!$B$17),'자료_거시'!$J$3:INDEX('자료_거시'!$J$3:$J$4002,$K$8),1))-1,""),"")</f>
        <v/>
      </c>
      <c r="AB1924">
        <f>IF(ISNUMBER(AA1924),'자료_거시'!$J1906,"")</f>
        <v/>
      </c>
      <c r="AC1924">
        <f>IF(ISNUMBER(AB1924),IF(AB1924&gt;$L$8,AA1924,""),"")</f>
        <v/>
      </c>
    </row>
    <row r="1925">
      <c r="S1925">
        <f>IF(ISNUMBER('자료_거시'!$E1907),'자료_거시'!$E1907,S1924)</f>
        <v/>
      </c>
      <c r="T1925">
        <f>IF(AND(ISNUMBER('자료_거시'!$D1907),ISNUMBER('자료_거시'!$E1907)),IFERROR('자료_거시'!$E1907-INDEX($S$21:$S$4020,MATCH(EDATE('자료_거시'!$D1907,-'설정'!$B$17),'자료_거시'!$D$3:INDEX('자료_거시'!$D$3:$D$4002,$K$6),1)),""),"")</f>
        <v/>
      </c>
      <c r="U1925">
        <f>IF(ISNUMBER(T1925),'자료_거시'!$D1907,"")</f>
        <v/>
      </c>
      <c r="V1925">
        <f>IF(ISNUMBER(U1925),IF(U1925&gt;$L$6,T1925,""),"")</f>
        <v/>
      </c>
      <c r="W1925">
        <f>IF(AND(ISNUMBER('자료_거시'!$G1907),ISNUMBER('자료_거시'!$H1907)),'자료_거시'!$H1907,"")</f>
        <v/>
      </c>
      <c r="X1925">
        <f>IF(ISNUMBER(W1925),'자료_거시'!$G1907,"")</f>
        <v/>
      </c>
      <c r="Y1925">
        <f>IF(ISNUMBER(X1925),IF(X1925&gt;$L$7,W1925,""),"")</f>
        <v/>
      </c>
      <c r="Z1925">
        <f>IF(ISNUMBER('자료_거시'!$K1907),'자료_거시'!$K1907,Z1924)</f>
        <v/>
      </c>
      <c r="AA1925">
        <f>IF(AND(ISNUMBER('자료_거시'!$J1907),ISNUMBER('자료_거시'!$K1907)),IFERROR('자료_거시'!$K1907/INDEX($Z$21:$Z$4020,MATCH(EDATE('자료_거시'!$J1907,-'설정'!$B$17),'자료_거시'!$J$3:INDEX('자료_거시'!$J$3:$J$4002,$K$8),1))-1,""),"")</f>
        <v/>
      </c>
      <c r="AB1925">
        <f>IF(ISNUMBER(AA1925),'자료_거시'!$J1907,"")</f>
        <v/>
      </c>
      <c r="AC1925">
        <f>IF(ISNUMBER(AB1925),IF(AB1925&gt;$L$8,AA1925,""),"")</f>
        <v/>
      </c>
    </row>
    <row r="1926">
      <c r="S1926">
        <f>IF(ISNUMBER('자료_거시'!$E1908),'자료_거시'!$E1908,S1925)</f>
        <v/>
      </c>
      <c r="T1926">
        <f>IF(AND(ISNUMBER('자료_거시'!$D1908),ISNUMBER('자료_거시'!$E1908)),IFERROR('자료_거시'!$E1908-INDEX($S$21:$S$4020,MATCH(EDATE('자료_거시'!$D1908,-'설정'!$B$17),'자료_거시'!$D$3:INDEX('자료_거시'!$D$3:$D$4002,$K$6),1)),""),"")</f>
        <v/>
      </c>
      <c r="U1926">
        <f>IF(ISNUMBER(T1926),'자료_거시'!$D1908,"")</f>
        <v/>
      </c>
      <c r="V1926">
        <f>IF(ISNUMBER(U1926),IF(U1926&gt;$L$6,T1926,""),"")</f>
        <v/>
      </c>
      <c r="W1926">
        <f>IF(AND(ISNUMBER('자료_거시'!$G1908),ISNUMBER('자료_거시'!$H1908)),'자료_거시'!$H1908,"")</f>
        <v/>
      </c>
      <c r="X1926">
        <f>IF(ISNUMBER(W1926),'자료_거시'!$G1908,"")</f>
        <v/>
      </c>
      <c r="Y1926">
        <f>IF(ISNUMBER(X1926),IF(X1926&gt;$L$7,W1926,""),"")</f>
        <v/>
      </c>
      <c r="Z1926">
        <f>IF(ISNUMBER('자료_거시'!$K1908),'자료_거시'!$K1908,Z1925)</f>
        <v/>
      </c>
      <c r="AA1926">
        <f>IF(AND(ISNUMBER('자료_거시'!$J1908),ISNUMBER('자료_거시'!$K1908)),IFERROR('자료_거시'!$K1908/INDEX($Z$21:$Z$4020,MATCH(EDATE('자료_거시'!$J1908,-'설정'!$B$17),'자료_거시'!$J$3:INDEX('자료_거시'!$J$3:$J$4002,$K$8),1))-1,""),"")</f>
        <v/>
      </c>
      <c r="AB1926">
        <f>IF(ISNUMBER(AA1926),'자료_거시'!$J1908,"")</f>
        <v/>
      </c>
      <c r="AC1926">
        <f>IF(ISNUMBER(AB1926),IF(AB1926&gt;$L$8,AA1926,""),"")</f>
        <v/>
      </c>
    </row>
    <row r="1927">
      <c r="S1927">
        <f>IF(ISNUMBER('자료_거시'!$E1909),'자료_거시'!$E1909,S1926)</f>
        <v/>
      </c>
      <c r="T1927">
        <f>IF(AND(ISNUMBER('자료_거시'!$D1909),ISNUMBER('자료_거시'!$E1909)),IFERROR('자료_거시'!$E1909-INDEX($S$21:$S$4020,MATCH(EDATE('자료_거시'!$D1909,-'설정'!$B$17),'자료_거시'!$D$3:INDEX('자료_거시'!$D$3:$D$4002,$K$6),1)),""),"")</f>
        <v/>
      </c>
      <c r="U1927">
        <f>IF(ISNUMBER(T1927),'자료_거시'!$D1909,"")</f>
        <v/>
      </c>
      <c r="V1927">
        <f>IF(ISNUMBER(U1927),IF(U1927&gt;$L$6,T1927,""),"")</f>
        <v/>
      </c>
      <c r="W1927">
        <f>IF(AND(ISNUMBER('자료_거시'!$G1909),ISNUMBER('자료_거시'!$H1909)),'자료_거시'!$H1909,"")</f>
        <v/>
      </c>
      <c r="X1927">
        <f>IF(ISNUMBER(W1927),'자료_거시'!$G1909,"")</f>
        <v/>
      </c>
      <c r="Y1927">
        <f>IF(ISNUMBER(X1927),IF(X1927&gt;$L$7,W1927,""),"")</f>
        <v/>
      </c>
      <c r="Z1927">
        <f>IF(ISNUMBER('자료_거시'!$K1909),'자료_거시'!$K1909,Z1926)</f>
        <v/>
      </c>
      <c r="AA1927">
        <f>IF(AND(ISNUMBER('자료_거시'!$J1909),ISNUMBER('자료_거시'!$K1909)),IFERROR('자료_거시'!$K1909/INDEX($Z$21:$Z$4020,MATCH(EDATE('자료_거시'!$J1909,-'설정'!$B$17),'자료_거시'!$J$3:INDEX('자료_거시'!$J$3:$J$4002,$K$8),1))-1,""),"")</f>
        <v/>
      </c>
      <c r="AB1927">
        <f>IF(ISNUMBER(AA1927),'자료_거시'!$J1909,"")</f>
        <v/>
      </c>
      <c r="AC1927">
        <f>IF(ISNUMBER(AB1927),IF(AB1927&gt;$L$8,AA1927,""),"")</f>
        <v/>
      </c>
    </row>
    <row r="1928">
      <c r="S1928">
        <f>IF(ISNUMBER('자료_거시'!$E1910),'자료_거시'!$E1910,S1927)</f>
        <v/>
      </c>
      <c r="T1928">
        <f>IF(AND(ISNUMBER('자료_거시'!$D1910),ISNUMBER('자료_거시'!$E1910)),IFERROR('자료_거시'!$E1910-INDEX($S$21:$S$4020,MATCH(EDATE('자료_거시'!$D1910,-'설정'!$B$17),'자료_거시'!$D$3:INDEX('자료_거시'!$D$3:$D$4002,$K$6),1)),""),"")</f>
        <v/>
      </c>
      <c r="U1928">
        <f>IF(ISNUMBER(T1928),'자료_거시'!$D1910,"")</f>
        <v/>
      </c>
      <c r="V1928">
        <f>IF(ISNUMBER(U1928),IF(U1928&gt;$L$6,T1928,""),"")</f>
        <v/>
      </c>
      <c r="W1928">
        <f>IF(AND(ISNUMBER('자료_거시'!$G1910),ISNUMBER('자료_거시'!$H1910)),'자료_거시'!$H1910,"")</f>
        <v/>
      </c>
      <c r="X1928">
        <f>IF(ISNUMBER(W1928),'자료_거시'!$G1910,"")</f>
        <v/>
      </c>
      <c r="Y1928">
        <f>IF(ISNUMBER(X1928),IF(X1928&gt;$L$7,W1928,""),"")</f>
        <v/>
      </c>
      <c r="Z1928">
        <f>IF(ISNUMBER('자료_거시'!$K1910),'자료_거시'!$K1910,Z1927)</f>
        <v/>
      </c>
      <c r="AA1928">
        <f>IF(AND(ISNUMBER('자료_거시'!$J1910),ISNUMBER('자료_거시'!$K1910)),IFERROR('자료_거시'!$K1910/INDEX($Z$21:$Z$4020,MATCH(EDATE('자료_거시'!$J1910,-'설정'!$B$17),'자료_거시'!$J$3:INDEX('자료_거시'!$J$3:$J$4002,$K$8),1))-1,""),"")</f>
        <v/>
      </c>
      <c r="AB1928">
        <f>IF(ISNUMBER(AA1928),'자료_거시'!$J1910,"")</f>
        <v/>
      </c>
      <c r="AC1928">
        <f>IF(ISNUMBER(AB1928),IF(AB1928&gt;$L$8,AA1928,""),"")</f>
        <v/>
      </c>
    </row>
    <row r="1929">
      <c r="S1929">
        <f>IF(ISNUMBER('자료_거시'!$E1911),'자료_거시'!$E1911,S1928)</f>
        <v/>
      </c>
      <c r="T1929">
        <f>IF(AND(ISNUMBER('자료_거시'!$D1911),ISNUMBER('자료_거시'!$E1911)),IFERROR('자료_거시'!$E1911-INDEX($S$21:$S$4020,MATCH(EDATE('자료_거시'!$D1911,-'설정'!$B$17),'자료_거시'!$D$3:INDEX('자료_거시'!$D$3:$D$4002,$K$6),1)),""),"")</f>
        <v/>
      </c>
      <c r="U1929">
        <f>IF(ISNUMBER(T1929),'자료_거시'!$D1911,"")</f>
        <v/>
      </c>
      <c r="V1929">
        <f>IF(ISNUMBER(U1929),IF(U1929&gt;$L$6,T1929,""),"")</f>
        <v/>
      </c>
      <c r="W1929">
        <f>IF(AND(ISNUMBER('자료_거시'!$G1911),ISNUMBER('자료_거시'!$H1911)),'자료_거시'!$H1911,"")</f>
        <v/>
      </c>
      <c r="X1929">
        <f>IF(ISNUMBER(W1929),'자료_거시'!$G1911,"")</f>
        <v/>
      </c>
      <c r="Y1929">
        <f>IF(ISNUMBER(X1929),IF(X1929&gt;$L$7,W1929,""),"")</f>
        <v/>
      </c>
      <c r="Z1929">
        <f>IF(ISNUMBER('자료_거시'!$K1911),'자료_거시'!$K1911,Z1928)</f>
        <v/>
      </c>
      <c r="AA1929">
        <f>IF(AND(ISNUMBER('자료_거시'!$J1911),ISNUMBER('자료_거시'!$K1911)),IFERROR('자료_거시'!$K1911/INDEX($Z$21:$Z$4020,MATCH(EDATE('자료_거시'!$J1911,-'설정'!$B$17),'자료_거시'!$J$3:INDEX('자료_거시'!$J$3:$J$4002,$K$8),1))-1,""),"")</f>
        <v/>
      </c>
      <c r="AB1929">
        <f>IF(ISNUMBER(AA1929),'자료_거시'!$J1911,"")</f>
        <v/>
      </c>
      <c r="AC1929">
        <f>IF(ISNUMBER(AB1929),IF(AB1929&gt;$L$8,AA1929,""),"")</f>
        <v/>
      </c>
    </row>
    <row r="1930">
      <c r="S1930">
        <f>IF(ISNUMBER('자료_거시'!$E1912),'자료_거시'!$E1912,S1929)</f>
        <v/>
      </c>
      <c r="T1930">
        <f>IF(AND(ISNUMBER('자료_거시'!$D1912),ISNUMBER('자료_거시'!$E1912)),IFERROR('자료_거시'!$E1912-INDEX($S$21:$S$4020,MATCH(EDATE('자료_거시'!$D1912,-'설정'!$B$17),'자료_거시'!$D$3:INDEX('자료_거시'!$D$3:$D$4002,$K$6),1)),""),"")</f>
        <v/>
      </c>
      <c r="U1930">
        <f>IF(ISNUMBER(T1930),'자료_거시'!$D1912,"")</f>
        <v/>
      </c>
      <c r="V1930">
        <f>IF(ISNUMBER(U1930),IF(U1930&gt;$L$6,T1930,""),"")</f>
        <v/>
      </c>
      <c r="W1930">
        <f>IF(AND(ISNUMBER('자료_거시'!$G1912),ISNUMBER('자료_거시'!$H1912)),'자료_거시'!$H1912,"")</f>
        <v/>
      </c>
      <c r="X1930">
        <f>IF(ISNUMBER(W1930),'자료_거시'!$G1912,"")</f>
        <v/>
      </c>
      <c r="Y1930">
        <f>IF(ISNUMBER(X1930),IF(X1930&gt;$L$7,W1930,""),"")</f>
        <v/>
      </c>
      <c r="Z1930">
        <f>IF(ISNUMBER('자료_거시'!$K1912),'자료_거시'!$K1912,Z1929)</f>
        <v/>
      </c>
      <c r="AA1930">
        <f>IF(AND(ISNUMBER('자료_거시'!$J1912),ISNUMBER('자료_거시'!$K1912)),IFERROR('자료_거시'!$K1912/INDEX($Z$21:$Z$4020,MATCH(EDATE('자료_거시'!$J1912,-'설정'!$B$17),'자료_거시'!$J$3:INDEX('자료_거시'!$J$3:$J$4002,$K$8),1))-1,""),"")</f>
        <v/>
      </c>
      <c r="AB1930">
        <f>IF(ISNUMBER(AA1930),'자료_거시'!$J1912,"")</f>
        <v/>
      </c>
      <c r="AC1930">
        <f>IF(ISNUMBER(AB1930),IF(AB1930&gt;$L$8,AA1930,""),"")</f>
        <v/>
      </c>
    </row>
    <row r="1931">
      <c r="S1931">
        <f>IF(ISNUMBER('자료_거시'!$E1913),'자료_거시'!$E1913,S1930)</f>
        <v/>
      </c>
      <c r="T1931">
        <f>IF(AND(ISNUMBER('자료_거시'!$D1913),ISNUMBER('자료_거시'!$E1913)),IFERROR('자료_거시'!$E1913-INDEX($S$21:$S$4020,MATCH(EDATE('자료_거시'!$D1913,-'설정'!$B$17),'자료_거시'!$D$3:INDEX('자료_거시'!$D$3:$D$4002,$K$6),1)),""),"")</f>
        <v/>
      </c>
      <c r="U1931">
        <f>IF(ISNUMBER(T1931),'자료_거시'!$D1913,"")</f>
        <v/>
      </c>
      <c r="V1931">
        <f>IF(ISNUMBER(U1931),IF(U1931&gt;$L$6,T1931,""),"")</f>
        <v/>
      </c>
      <c r="W1931">
        <f>IF(AND(ISNUMBER('자료_거시'!$G1913),ISNUMBER('자료_거시'!$H1913)),'자료_거시'!$H1913,"")</f>
        <v/>
      </c>
      <c r="X1931">
        <f>IF(ISNUMBER(W1931),'자료_거시'!$G1913,"")</f>
        <v/>
      </c>
      <c r="Y1931">
        <f>IF(ISNUMBER(X1931),IF(X1931&gt;$L$7,W1931,""),"")</f>
        <v/>
      </c>
      <c r="Z1931">
        <f>IF(ISNUMBER('자료_거시'!$K1913),'자료_거시'!$K1913,Z1930)</f>
        <v/>
      </c>
      <c r="AA1931">
        <f>IF(AND(ISNUMBER('자료_거시'!$J1913),ISNUMBER('자료_거시'!$K1913)),IFERROR('자료_거시'!$K1913/INDEX($Z$21:$Z$4020,MATCH(EDATE('자료_거시'!$J1913,-'설정'!$B$17),'자료_거시'!$J$3:INDEX('자료_거시'!$J$3:$J$4002,$K$8),1))-1,""),"")</f>
        <v/>
      </c>
      <c r="AB1931">
        <f>IF(ISNUMBER(AA1931),'자료_거시'!$J1913,"")</f>
        <v/>
      </c>
      <c r="AC1931">
        <f>IF(ISNUMBER(AB1931),IF(AB1931&gt;$L$8,AA1931,""),"")</f>
        <v/>
      </c>
    </row>
    <row r="1932">
      <c r="S1932">
        <f>IF(ISNUMBER('자료_거시'!$E1914),'자료_거시'!$E1914,S1931)</f>
        <v/>
      </c>
      <c r="T1932">
        <f>IF(AND(ISNUMBER('자료_거시'!$D1914),ISNUMBER('자료_거시'!$E1914)),IFERROR('자료_거시'!$E1914-INDEX($S$21:$S$4020,MATCH(EDATE('자료_거시'!$D1914,-'설정'!$B$17),'자료_거시'!$D$3:INDEX('자료_거시'!$D$3:$D$4002,$K$6),1)),""),"")</f>
        <v/>
      </c>
      <c r="U1932">
        <f>IF(ISNUMBER(T1932),'자료_거시'!$D1914,"")</f>
        <v/>
      </c>
      <c r="V1932">
        <f>IF(ISNUMBER(U1932),IF(U1932&gt;$L$6,T1932,""),"")</f>
        <v/>
      </c>
      <c r="W1932">
        <f>IF(AND(ISNUMBER('자료_거시'!$G1914),ISNUMBER('자료_거시'!$H1914)),'자료_거시'!$H1914,"")</f>
        <v/>
      </c>
      <c r="X1932">
        <f>IF(ISNUMBER(W1932),'자료_거시'!$G1914,"")</f>
        <v/>
      </c>
      <c r="Y1932">
        <f>IF(ISNUMBER(X1932),IF(X1932&gt;$L$7,W1932,""),"")</f>
        <v/>
      </c>
      <c r="Z1932">
        <f>IF(ISNUMBER('자료_거시'!$K1914),'자료_거시'!$K1914,Z1931)</f>
        <v/>
      </c>
      <c r="AA1932">
        <f>IF(AND(ISNUMBER('자료_거시'!$J1914),ISNUMBER('자료_거시'!$K1914)),IFERROR('자료_거시'!$K1914/INDEX($Z$21:$Z$4020,MATCH(EDATE('자료_거시'!$J1914,-'설정'!$B$17),'자료_거시'!$J$3:INDEX('자료_거시'!$J$3:$J$4002,$K$8),1))-1,""),"")</f>
        <v/>
      </c>
      <c r="AB1932">
        <f>IF(ISNUMBER(AA1932),'자료_거시'!$J1914,"")</f>
        <v/>
      </c>
      <c r="AC1932">
        <f>IF(ISNUMBER(AB1932),IF(AB1932&gt;$L$8,AA1932,""),"")</f>
        <v/>
      </c>
    </row>
    <row r="1933">
      <c r="S1933">
        <f>IF(ISNUMBER('자료_거시'!$E1915),'자료_거시'!$E1915,S1932)</f>
        <v/>
      </c>
      <c r="T1933">
        <f>IF(AND(ISNUMBER('자료_거시'!$D1915),ISNUMBER('자료_거시'!$E1915)),IFERROR('자료_거시'!$E1915-INDEX($S$21:$S$4020,MATCH(EDATE('자료_거시'!$D1915,-'설정'!$B$17),'자료_거시'!$D$3:INDEX('자료_거시'!$D$3:$D$4002,$K$6),1)),""),"")</f>
        <v/>
      </c>
      <c r="U1933">
        <f>IF(ISNUMBER(T1933),'자료_거시'!$D1915,"")</f>
        <v/>
      </c>
      <c r="V1933">
        <f>IF(ISNUMBER(U1933),IF(U1933&gt;$L$6,T1933,""),"")</f>
        <v/>
      </c>
      <c r="W1933">
        <f>IF(AND(ISNUMBER('자료_거시'!$G1915),ISNUMBER('자료_거시'!$H1915)),'자료_거시'!$H1915,"")</f>
        <v/>
      </c>
      <c r="X1933">
        <f>IF(ISNUMBER(W1933),'자료_거시'!$G1915,"")</f>
        <v/>
      </c>
      <c r="Y1933">
        <f>IF(ISNUMBER(X1933),IF(X1933&gt;$L$7,W1933,""),"")</f>
        <v/>
      </c>
      <c r="Z1933">
        <f>IF(ISNUMBER('자료_거시'!$K1915),'자료_거시'!$K1915,Z1932)</f>
        <v/>
      </c>
      <c r="AA1933">
        <f>IF(AND(ISNUMBER('자료_거시'!$J1915),ISNUMBER('자료_거시'!$K1915)),IFERROR('자료_거시'!$K1915/INDEX($Z$21:$Z$4020,MATCH(EDATE('자료_거시'!$J1915,-'설정'!$B$17),'자료_거시'!$J$3:INDEX('자료_거시'!$J$3:$J$4002,$K$8),1))-1,""),"")</f>
        <v/>
      </c>
      <c r="AB1933">
        <f>IF(ISNUMBER(AA1933),'자료_거시'!$J1915,"")</f>
        <v/>
      </c>
      <c r="AC1933">
        <f>IF(ISNUMBER(AB1933),IF(AB1933&gt;$L$8,AA1933,""),"")</f>
        <v/>
      </c>
    </row>
    <row r="1934">
      <c r="S1934">
        <f>IF(ISNUMBER('자료_거시'!$E1916),'자료_거시'!$E1916,S1933)</f>
        <v/>
      </c>
      <c r="T1934">
        <f>IF(AND(ISNUMBER('자료_거시'!$D1916),ISNUMBER('자료_거시'!$E1916)),IFERROR('자료_거시'!$E1916-INDEX($S$21:$S$4020,MATCH(EDATE('자료_거시'!$D1916,-'설정'!$B$17),'자료_거시'!$D$3:INDEX('자료_거시'!$D$3:$D$4002,$K$6),1)),""),"")</f>
        <v/>
      </c>
      <c r="U1934">
        <f>IF(ISNUMBER(T1934),'자료_거시'!$D1916,"")</f>
        <v/>
      </c>
      <c r="V1934">
        <f>IF(ISNUMBER(U1934),IF(U1934&gt;$L$6,T1934,""),"")</f>
        <v/>
      </c>
      <c r="W1934">
        <f>IF(AND(ISNUMBER('자료_거시'!$G1916),ISNUMBER('자료_거시'!$H1916)),'자료_거시'!$H1916,"")</f>
        <v/>
      </c>
      <c r="X1934">
        <f>IF(ISNUMBER(W1934),'자료_거시'!$G1916,"")</f>
        <v/>
      </c>
      <c r="Y1934">
        <f>IF(ISNUMBER(X1934),IF(X1934&gt;$L$7,W1934,""),"")</f>
        <v/>
      </c>
      <c r="Z1934">
        <f>IF(ISNUMBER('자료_거시'!$K1916),'자료_거시'!$K1916,Z1933)</f>
        <v/>
      </c>
      <c r="AA1934">
        <f>IF(AND(ISNUMBER('자료_거시'!$J1916),ISNUMBER('자료_거시'!$K1916)),IFERROR('자료_거시'!$K1916/INDEX($Z$21:$Z$4020,MATCH(EDATE('자료_거시'!$J1916,-'설정'!$B$17),'자료_거시'!$J$3:INDEX('자료_거시'!$J$3:$J$4002,$K$8),1))-1,""),"")</f>
        <v/>
      </c>
      <c r="AB1934">
        <f>IF(ISNUMBER(AA1934),'자료_거시'!$J1916,"")</f>
        <v/>
      </c>
      <c r="AC1934">
        <f>IF(ISNUMBER(AB1934),IF(AB1934&gt;$L$8,AA1934,""),"")</f>
        <v/>
      </c>
    </row>
    <row r="1935">
      <c r="S1935">
        <f>IF(ISNUMBER('자료_거시'!$E1917),'자료_거시'!$E1917,S1934)</f>
        <v/>
      </c>
      <c r="T1935">
        <f>IF(AND(ISNUMBER('자료_거시'!$D1917),ISNUMBER('자료_거시'!$E1917)),IFERROR('자료_거시'!$E1917-INDEX($S$21:$S$4020,MATCH(EDATE('자료_거시'!$D1917,-'설정'!$B$17),'자료_거시'!$D$3:INDEX('자료_거시'!$D$3:$D$4002,$K$6),1)),""),"")</f>
        <v/>
      </c>
      <c r="U1935">
        <f>IF(ISNUMBER(T1935),'자료_거시'!$D1917,"")</f>
        <v/>
      </c>
      <c r="V1935">
        <f>IF(ISNUMBER(U1935),IF(U1935&gt;$L$6,T1935,""),"")</f>
        <v/>
      </c>
      <c r="W1935">
        <f>IF(AND(ISNUMBER('자료_거시'!$G1917),ISNUMBER('자료_거시'!$H1917)),'자료_거시'!$H1917,"")</f>
        <v/>
      </c>
      <c r="X1935">
        <f>IF(ISNUMBER(W1935),'자료_거시'!$G1917,"")</f>
        <v/>
      </c>
      <c r="Y1935">
        <f>IF(ISNUMBER(X1935),IF(X1935&gt;$L$7,W1935,""),"")</f>
        <v/>
      </c>
      <c r="Z1935">
        <f>IF(ISNUMBER('자료_거시'!$K1917),'자료_거시'!$K1917,Z1934)</f>
        <v/>
      </c>
      <c r="AA1935">
        <f>IF(AND(ISNUMBER('자료_거시'!$J1917),ISNUMBER('자료_거시'!$K1917)),IFERROR('자료_거시'!$K1917/INDEX($Z$21:$Z$4020,MATCH(EDATE('자료_거시'!$J1917,-'설정'!$B$17),'자료_거시'!$J$3:INDEX('자료_거시'!$J$3:$J$4002,$K$8),1))-1,""),"")</f>
        <v/>
      </c>
      <c r="AB1935">
        <f>IF(ISNUMBER(AA1935),'자료_거시'!$J1917,"")</f>
        <v/>
      </c>
      <c r="AC1935">
        <f>IF(ISNUMBER(AB1935),IF(AB1935&gt;$L$8,AA1935,""),"")</f>
        <v/>
      </c>
    </row>
    <row r="1936">
      <c r="S1936">
        <f>IF(ISNUMBER('자료_거시'!$E1918),'자료_거시'!$E1918,S1935)</f>
        <v/>
      </c>
      <c r="T1936">
        <f>IF(AND(ISNUMBER('자료_거시'!$D1918),ISNUMBER('자료_거시'!$E1918)),IFERROR('자료_거시'!$E1918-INDEX($S$21:$S$4020,MATCH(EDATE('자료_거시'!$D1918,-'설정'!$B$17),'자료_거시'!$D$3:INDEX('자료_거시'!$D$3:$D$4002,$K$6),1)),""),"")</f>
        <v/>
      </c>
      <c r="U1936">
        <f>IF(ISNUMBER(T1936),'자료_거시'!$D1918,"")</f>
        <v/>
      </c>
      <c r="V1936">
        <f>IF(ISNUMBER(U1936),IF(U1936&gt;$L$6,T1936,""),"")</f>
        <v/>
      </c>
      <c r="W1936">
        <f>IF(AND(ISNUMBER('자료_거시'!$G1918),ISNUMBER('자료_거시'!$H1918)),'자료_거시'!$H1918,"")</f>
        <v/>
      </c>
      <c r="X1936">
        <f>IF(ISNUMBER(W1936),'자료_거시'!$G1918,"")</f>
        <v/>
      </c>
      <c r="Y1936">
        <f>IF(ISNUMBER(X1936),IF(X1936&gt;$L$7,W1936,""),"")</f>
        <v/>
      </c>
      <c r="Z1936">
        <f>IF(ISNUMBER('자료_거시'!$K1918),'자료_거시'!$K1918,Z1935)</f>
        <v/>
      </c>
      <c r="AA1936">
        <f>IF(AND(ISNUMBER('자료_거시'!$J1918),ISNUMBER('자료_거시'!$K1918)),IFERROR('자료_거시'!$K1918/INDEX($Z$21:$Z$4020,MATCH(EDATE('자료_거시'!$J1918,-'설정'!$B$17),'자료_거시'!$J$3:INDEX('자료_거시'!$J$3:$J$4002,$K$8),1))-1,""),"")</f>
        <v/>
      </c>
      <c r="AB1936">
        <f>IF(ISNUMBER(AA1936),'자료_거시'!$J1918,"")</f>
        <v/>
      </c>
      <c r="AC1936">
        <f>IF(ISNUMBER(AB1936),IF(AB1936&gt;$L$8,AA1936,""),"")</f>
        <v/>
      </c>
    </row>
    <row r="1937">
      <c r="S1937">
        <f>IF(ISNUMBER('자료_거시'!$E1919),'자료_거시'!$E1919,S1936)</f>
        <v/>
      </c>
      <c r="T1937">
        <f>IF(AND(ISNUMBER('자료_거시'!$D1919),ISNUMBER('자료_거시'!$E1919)),IFERROR('자료_거시'!$E1919-INDEX($S$21:$S$4020,MATCH(EDATE('자료_거시'!$D1919,-'설정'!$B$17),'자료_거시'!$D$3:INDEX('자료_거시'!$D$3:$D$4002,$K$6),1)),""),"")</f>
        <v/>
      </c>
      <c r="U1937">
        <f>IF(ISNUMBER(T1937),'자료_거시'!$D1919,"")</f>
        <v/>
      </c>
      <c r="V1937">
        <f>IF(ISNUMBER(U1937),IF(U1937&gt;$L$6,T1937,""),"")</f>
        <v/>
      </c>
      <c r="W1937">
        <f>IF(AND(ISNUMBER('자료_거시'!$G1919),ISNUMBER('자료_거시'!$H1919)),'자료_거시'!$H1919,"")</f>
        <v/>
      </c>
      <c r="X1937">
        <f>IF(ISNUMBER(W1937),'자료_거시'!$G1919,"")</f>
        <v/>
      </c>
      <c r="Y1937">
        <f>IF(ISNUMBER(X1937),IF(X1937&gt;$L$7,W1937,""),"")</f>
        <v/>
      </c>
      <c r="Z1937">
        <f>IF(ISNUMBER('자료_거시'!$K1919),'자료_거시'!$K1919,Z1936)</f>
        <v/>
      </c>
      <c r="AA1937">
        <f>IF(AND(ISNUMBER('자료_거시'!$J1919),ISNUMBER('자료_거시'!$K1919)),IFERROR('자료_거시'!$K1919/INDEX($Z$21:$Z$4020,MATCH(EDATE('자료_거시'!$J1919,-'설정'!$B$17),'자료_거시'!$J$3:INDEX('자료_거시'!$J$3:$J$4002,$K$8),1))-1,""),"")</f>
        <v/>
      </c>
      <c r="AB1937">
        <f>IF(ISNUMBER(AA1937),'자료_거시'!$J1919,"")</f>
        <v/>
      </c>
      <c r="AC1937">
        <f>IF(ISNUMBER(AB1937),IF(AB1937&gt;$L$8,AA1937,""),"")</f>
        <v/>
      </c>
    </row>
    <row r="1938">
      <c r="S1938">
        <f>IF(ISNUMBER('자료_거시'!$E1920),'자료_거시'!$E1920,S1937)</f>
        <v/>
      </c>
      <c r="T1938">
        <f>IF(AND(ISNUMBER('자료_거시'!$D1920),ISNUMBER('자료_거시'!$E1920)),IFERROR('자료_거시'!$E1920-INDEX($S$21:$S$4020,MATCH(EDATE('자료_거시'!$D1920,-'설정'!$B$17),'자료_거시'!$D$3:INDEX('자료_거시'!$D$3:$D$4002,$K$6),1)),""),"")</f>
        <v/>
      </c>
      <c r="U1938">
        <f>IF(ISNUMBER(T1938),'자료_거시'!$D1920,"")</f>
        <v/>
      </c>
      <c r="V1938">
        <f>IF(ISNUMBER(U1938),IF(U1938&gt;$L$6,T1938,""),"")</f>
        <v/>
      </c>
      <c r="W1938">
        <f>IF(AND(ISNUMBER('자료_거시'!$G1920),ISNUMBER('자료_거시'!$H1920)),'자료_거시'!$H1920,"")</f>
        <v/>
      </c>
      <c r="X1938">
        <f>IF(ISNUMBER(W1938),'자료_거시'!$G1920,"")</f>
        <v/>
      </c>
      <c r="Y1938">
        <f>IF(ISNUMBER(X1938),IF(X1938&gt;$L$7,W1938,""),"")</f>
        <v/>
      </c>
      <c r="Z1938">
        <f>IF(ISNUMBER('자료_거시'!$K1920),'자료_거시'!$K1920,Z1937)</f>
        <v/>
      </c>
      <c r="AA1938">
        <f>IF(AND(ISNUMBER('자료_거시'!$J1920),ISNUMBER('자료_거시'!$K1920)),IFERROR('자료_거시'!$K1920/INDEX($Z$21:$Z$4020,MATCH(EDATE('자료_거시'!$J1920,-'설정'!$B$17),'자료_거시'!$J$3:INDEX('자료_거시'!$J$3:$J$4002,$K$8),1))-1,""),"")</f>
        <v/>
      </c>
      <c r="AB1938">
        <f>IF(ISNUMBER(AA1938),'자료_거시'!$J1920,"")</f>
        <v/>
      </c>
      <c r="AC1938">
        <f>IF(ISNUMBER(AB1938),IF(AB1938&gt;$L$8,AA1938,""),"")</f>
        <v/>
      </c>
    </row>
    <row r="1939">
      <c r="S1939">
        <f>IF(ISNUMBER('자료_거시'!$E1921),'자료_거시'!$E1921,S1938)</f>
        <v/>
      </c>
      <c r="T1939">
        <f>IF(AND(ISNUMBER('자료_거시'!$D1921),ISNUMBER('자료_거시'!$E1921)),IFERROR('자료_거시'!$E1921-INDEX($S$21:$S$4020,MATCH(EDATE('자료_거시'!$D1921,-'설정'!$B$17),'자료_거시'!$D$3:INDEX('자료_거시'!$D$3:$D$4002,$K$6),1)),""),"")</f>
        <v/>
      </c>
      <c r="U1939">
        <f>IF(ISNUMBER(T1939),'자료_거시'!$D1921,"")</f>
        <v/>
      </c>
      <c r="V1939">
        <f>IF(ISNUMBER(U1939),IF(U1939&gt;$L$6,T1939,""),"")</f>
        <v/>
      </c>
      <c r="W1939">
        <f>IF(AND(ISNUMBER('자료_거시'!$G1921),ISNUMBER('자료_거시'!$H1921)),'자료_거시'!$H1921,"")</f>
        <v/>
      </c>
      <c r="X1939">
        <f>IF(ISNUMBER(W1939),'자료_거시'!$G1921,"")</f>
        <v/>
      </c>
      <c r="Y1939">
        <f>IF(ISNUMBER(X1939),IF(X1939&gt;$L$7,W1939,""),"")</f>
        <v/>
      </c>
      <c r="Z1939">
        <f>IF(ISNUMBER('자료_거시'!$K1921),'자료_거시'!$K1921,Z1938)</f>
        <v/>
      </c>
      <c r="AA1939">
        <f>IF(AND(ISNUMBER('자료_거시'!$J1921),ISNUMBER('자료_거시'!$K1921)),IFERROR('자료_거시'!$K1921/INDEX($Z$21:$Z$4020,MATCH(EDATE('자료_거시'!$J1921,-'설정'!$B$17),'자료_거시'!$J$3:INDEX('자료_거시'!$J$3:$J$4002,$K$8),1))-1,""),"")</f>
        <v/>
      </c>
      <c r="AB1939">
        <f>IF(ISNUMBER(AA1939),'자료_거시'!$J1921,"")</f>
        <v/>
      </c>
      <c r="AC1939">
        <f>IF(ISNUMBER(AB1939),IF(AB1939&gt;$L$8,AA1939,""),"")</f>
        <v/>
      </c>
    </row>
    <row r="1940">
      <c r="S1940">
        <f>IF(ISNUMBER('자료_거시'!$E1922),'자료_거시'!$E1922,S1939)</f>
        <v/>
      </c>
      <c r="T1940">
        <f>IF(AND(ISNUMBER('자료_거시'!$D1922),ISNUMBER('자료_거시'!$E1922)),IFERROR('자료_거시'!$E1922-INDEX($S$21:$S$4020,MATCH(EDATE('자료_거시'!$D1922,-'설정'!$B$17),'자료_거시'!$D$3:INDEX('자료_거시'!$D$3:$D$4002,$K$6),1)),""),"")</f>
        <v/>
      </c>
      <c r="U1940">
        <f>IF(ISNUMBER(T1940),'자료_거시'!$D1922,"")</f>
        <v/>
      </c>
      <c r="V1940">
        <f>IF(ISNUMBER(U1940),IF(U1940&gt;$L$6,T1940,""),"")</f>
        <v/>
      </c>
      <c r="W1940">
        <f>IF(AND(ISNUMBER('자료_거시'!$G1922),ISNUMBER('자료_거시'!$H1922)),'자료_거시'!$H1922,"")</f>
        <v/>
      </c>
      <c r="X1940">
        <f>IF(ISNUMBER(W1940),'자료_거시'!$G1922,"")</f>
        <v/>
      </c>
      <c r="Y1940">
        <f>IF(ISNUMBER(X1940),IF(X1940&gt;$L$7,W1940,""),"")</f>
        <v/>
      </c>
      <c r="Z1940">
        <f>IF(ISNUMBER('자료_거시'!$K1922),'자료_거시'!$K1922,Z1939)</f>
        <v/>
      </c>
      <c r="AA1940">
        <f>IF(AND(ISNUMBER('자료_거시'!$J1922),ISNUMBER('자료_거시'!$K1922)),IFERROR('자료_거시'!$K1922/INDEX($Z$21:$Z$4020,MATCH(EDATE('자료_거시'!$J1922,-'설정'!$B$17),'자료_거시'!$J$3:INDEX('자료_거시'!$J$3:$J$4002,$K$8),1))-1,""),"")</f>
        <v/>
      </c>
      <c r="AB1940">
        <f>IF(ISNUMBER(AA1940),'자료_거시'!$J1922,"")</f>
        <v/>
      </c>
      <c r="AC1940">
        <f>IF(ISNUMBER(AB1940),IF(AB1940&gt;$L$8,AA1940,""),"")</f>
        <v/>
      </c>
    </row>
    <row r="1941">
      <c r="S1941">
        <f>IF(ISNUMBER('자료_거시'!$E1923),'자료_거시'!$E1923,S1940)</f>
        <v/>
      </c>
      <c r="T1941">
        <f>IF(AND(ISNUMBER('자료_거시'!$D1923),ISNUMBER('자료_거시'!$E1923)),IFERROR('자료_거시'!$E1923-INDEX($S$21:$S$4020,MATCH(EDATE('자료_거시'!$D1923,-'설정'!$B$17),'자료_거시'!$D$3:INDEX('자료_거시'!$D$3:$D$4002,$K$6),1)),""),"")</f>
        <v/>
      </c>
      <c r="U1941">
        <f>IF(ISNUMBER(T1941),'자료_거시'!$D1923,"")</f>
        <v/>
      </c>
      <c r="V1941">
        <f>IF(ISNUMBER(U1941),IF(U1941&gt;$L$6,T1941,""),"")</f>
        <v/>
      </c>
      <c r="W1941">
        <f>IF(AND(ISNUMBER('자료_거시'!$G1923),ISNUMBER('자료_거시'!$H1923)),'자료_거시'!$H1923,"")</f>
        <v/>
      </c>
      <c r="X1941">
        <f>IF(ISNUMBER(W1941),'자료_거시'!$G1923,"")</f>
        <v/>
      </c>
      <c r="Y1941">
        <f>IF(ISNUMBER(X1941),IF(X1941&gt;$L$7,W1941,""),"")</f>
        <v/>
      </c>
      <c r="Z1941">
        <f>IF(ISNUMBER('자료_거시'!$K1923),'자료_거시'!$K1923,Z1940)</f>
        <v/>
      </c>
      <c r="AA1941">
        <f>IF(AND(ISNUMBER('자료_거시'!$J1923),ISNUMBER('자료_거시'!$K1923)),IFERROR('자료_거시'!$K1923/INDEX($Z$21:$Z$4020,MATCH(EDATE('자료_거시'!$J1923,-'설정'!$B$17),'자료_거시'!$J$3:INDEX('자료_거시'!$J$3:$J$4002,$K$8),1))-1,""),"")</f>
        <v/>
      </c>
      <c r="AB1941">
        <f>IF(ISNUMBER(AA1941),'자료_거시'!$J1923,"")</f>
        <v/>
      </c>
      <c r="AC1941">
        <f>IF(ISNUMBER(AB1941),IF(AB1941&gt;$L$8,AA1941,""),"")</f>
        <v/>
      </c>
    </row>
    <row r="1942">
      <c r="S1942">
        <f>IF(ISNUMBER('자료_거시'!$E1924),'자료_거시'!$E1924,S1941)</f>
        <v/>
      </c>
      <c r="T1942">
        <f>IF(AND(ISNUMBER('자료_거시'!$D1924),ISNUMBER('자료_거시'!$E1924)),IFERROR('자료_거시'!$E1924-INDEX($S$21:$S$4020,MATCH(EDATE('자료_거시'!$D1924,-'설정'!$B$17),'자료_거시'!$D$3:INDEX('자료_거시'!$D$3:$D$4002,$K$6),1)),""),"")</f>
        <v/>
      </c>
      <c r="U1942">
        <f>IF(ISNUMBER(T1942),'자료_거시'!$D1924,"")</f>
        <v/>
      </c>
      <c r="V1942">
        <f>IF(ISNUMBER(U1942),IF(U1942&gt;$L$6,T1942,""),"")</f>
        <v/>
      </c>
      <c r="W1942">
        <f>IF(AND(ISNUMBER('자료_거시'!$G1924),ISNUMBER('자료_거시'!$H1924)),'자료_거시'!$H1924,"")</f>
        <v/>
      </c>
      <c r="X1942">
        <f>IF(ISNUMBER(W1942),'자료_거시'!$G1924,"")</f>
        <v/>
      </c>
      <c r="Y1942">
        <f>IF(ISNUMBER(X1942),IF(X1942&gt;$L$7,W1942,""),"")</f>
        <v/>
      </c>
      <c r="Z1942">
        <f>IF(ISNUMBER('자료_거시'!$K1924),'자료_거시'!$K1924,Z1941)</f>
        <v/>
      </c>
      <c r="AA1942">
        <f>IF(AND(ISNUMBER('자료_거시'!$J1924),ISNUMBER('자료_거시'!$K1924)),IFERROR('자료_거시'!$K1924/INDEX($Z$21:$Z$4020,MATCH(EDATE('자료_거시'!$J1924,-'설정'!$B$17),'자료_거시'!$J$3:INDEX('자료_거시'!$J$3:$J$4002,$K$8),1))-1,""),"")</f>
        <v/>
      </c>
      <c r="AB1942">
        <f>IF(ISNUMBER(AA1942),'자료_거시'!$J1924,"")</f>
        <v/>
      </c>
      <c r="AC1942">
        <f>IF(ISNUMBER(AB1942),IF(AB1942&gt;$L$8,AA1942,""),"")</f>
        <v/>
      </c>
    </row>
    <row r="1943">
      <c r="S1943">
        <f>IF(ISNUMBER('자료_거시'!$E1925),'자료_거시'!$E1925,S1942)</f>
        <v/>
      </c>
      <c r="T1943">
        <f>IF(AND(ISNUMBER('자료_거시'!$D1925),ISNUMBER('자료_거시'!$E1925)),IFERROR('자료_거시'!$E1925-INDEX($S$21:$S$4020,MATCH(EDATE('자료_거시'!$D1925,-'설정'!$B$17),'자료_거시'!$D$3:INDEX('자료_거시'!$D$3:$D$4002,$K$6),1)),""),"")</f>
        <v/>
      </c>
      <c r="U1943">
        <f>IF(ISNUMBER(T1943),'자료_거시'!$D1925,"")</f>
        <v/>
      </c>
      <c r="V1943">
        <f>IF(ISNUMBER(U1943),IF(U1943&gt;$L$6,T1943,""),"")</f>
        <v/>
      </c>
      <c r="W1943">
        <f>IF(AND(ISNUMBER('자료_거시'!$G1925),ISNUMBER('자료_거시'!$H1925)),'자료_거시'!$H1925,"")</f>
        <v/>
      </c>
      <c r="X1943">
        <f>IF(ISNUMBER(W1943),'자료_거시'!$G1925,"")</f>
        <v/>
      </c>
      <c r="Y1943">
        <f>IF(ISNUMBER(X1943),IF(X1943&gt;$L$7,W1943,""),"")</f>
        <v/>
      </c>
      <c r="Z1943">
        <f>IF(ISNUMBER('자료_거시'!$K1925),'자료_거시'!$K1925,Z1942)</f>
        <v/>
      </c>
      <c r="AA1943">
        <f>IF(AND(ISNUMBER('자료_거시'!$J1925),ISNUMBER('자료_거시'!$K1925)),IFERROR('자료_거시'!$K1925/INDEX($Z$21:$Z$4020,MATCH(EDATE('자료_거시'!$J1925,-'설정'!$B$17),'자료_거시'!$J$3:INDEX('자료_거시'!$J$3:$J$4002,$K$8),1))-1,""),"")</f>
        <v/>
      </c>
      <c r="AB1943">
        <f>IF(ISNUMBER(AA1943),'자료_거시'!$J1925,"")</f>
        <v/>
      </c>
      <c r="AC1943">
        <f>IF(ISNUMBER(AB1943),IF(AB1943&gt;$L$8,AA1943,""),"")</f>
        <v/>
      </c>
    </row>
    <row r="1944">
      <c r="S1944">
        <f>IF(ISNUMBER('자료_거시'!$E1926),'자료_거시'!$E1926,S1943)</f>
        <v/>
      </c>
      <c r="T1944">
        <f>IF(AND(ISNUMBER('자료_거시'!$D1926),ISNUMBER('자료_거시'!$E1926)),IFERROR('자료_거시'!$E1926-INDEX($S$21:$S$4020,MATCH(EDATE('자료_거시'!$D1926,-'설정'!$B$17),'자료_거시'!$D$3:INDEX('자료_거시'!$D$3:$D$4002,$K$6),1)),""),"")</f>
        <v/>
      </c>
      <c r="U1944">
        <f>IF(ISNUMBER(T1944),'자료_거시'!$D1926,"")</f>
        <v/>
      </c>
      <c r="V1944">
        <f>IF(ISNUMBER(U1944),IF(U1944&gt;$L$6,T1944,""),"")</f>
        <v/>
      </c>
      <c r="W1944">
        <f>IF(AND(ISNUMBER('자료_거시'!$G1926),ISNUMBER('자료_거시'!$H1926)),'자료_거시'!$H1926,"")</f>
        <v/>
      </c>
      <c r="X1944">
        <f>IF(ISNUMBER(W1944),'자료_거시'!$G1926,"")</f>
        <v/>
      </c>
      <c r="Y1944">
        <f>IF(ISNUMBER(X1944),IF(X1944&gt;$L$7,W1944,""),"")</f>
        <v/>
      </c>
      <c r="Z1944">
        <f>IF(ISNUMBER('자료_거시'!$K1926),'자료_거시'!$K1926,Z1943)</f>
        <v/>
      </c>
      <c r="AA1944">
        <f>IF(AND(ISNUMBER('자료_거시'!$J1926),ISNUMBER('자료_거시'!$K1926)),IFERROR('자료_거시'!$K1926/INDEX($Z$21:$Z$4020,MATCH(EDATE('자료_거시'!$J1926,-'설정'!$B$17),'자료_거시'!$J$3:INDEX('자료_거시'!$J$3:$J$4002,$K$8),1))-1,""),"")</f>
        <v/>
      </c>
      <c r="AB1944">
        <f>IF(ISNUMBER(AA1944),'자료_거시'!$J1926,"")</f>
        <v/>
      </c>
      <c r="AC1944">
        <f>IF(ISNUMBER(AB1944),IF(AB1944&gt;$L$8,AA1944,""),"")</f>
        <v/>
      </c>
    </row>
    <row r="1945">
      <c r="S1945">
        <f>IF(ISNUMBER('자료_거시'!$E1927),'자료_거시'!$E1927,S1944)</f>
        <v/>
      </c>
      <c r="T1945">
        <f>IF(AND(ISNUMBER('자료_거시'!$D1927),ISNUMBER('자료_거시'!$E1927)),IFERROR('자료_거시'!$E1927-INDEX($S$21:$S$4020,MATCH(EDATE('자료_거시'!$D1927,-'설정'!$B$17),'자료_거시'!$D$3:INDEX('자료_거시'!$D$3:$D$4002,$K$6),1)),""),"")</f>
        <v/>
      </c>
      <c r="U1945">
        <f>IF(ISNUMBER(T1945),'자료_거시'!$D1927,"")</f>
        <v/>
      </c>
      <c r="V1945">
        <f>IF(ISNUMBER(U1945),IF(U1945&gt;$L$6,T1945,""),"")</f>
        <v/>
      </c>
      <c r="W1945">
        <f>IF(AND(ISNUMBER('자료_거시'!$G1927),ISNUMBER('자료_거시'!$H1927)),'자료_거시'!$H1927,"")</f>
        <v/>
      </c>
      <c r="X1945">
        <f>IF(ISNUMBER(W1945),'자료_거시'!$G1927,"")</f>
        <v/>
      </c>
      <c r="Y1945">
        <f>IF(ISNUMBER(X1945),IF(X1945&gt;$L$7,W1945,""),"")</f>
        <v/>
      </c>
      <c r="Z1945">
        <f>IF(ISNUMBER('자료_거시'!$K1927),'자료_거시'!$K1927,Z1944)</f>
        <v/>
      </c>
      <c r="AA1945">
        <f>IF(AND(ISNUMBER('자료_거시'!$J1927),ISNUMBER('자료_거시'!$K1927)),IFERROR('자료_거시'!$K1927/INDEX($Z$21:$Z$4020,MATCH(EDATE('자료_거시'!$J1927,-'설정'!$B$17),'자료_거시'!$J$3:INDEX('자료_거시'!$J$3:$J$4002,$K$8),1))-1,""),"")</f>
        <v/>
      </c>
      <c r="AB1945">
        <f>IF(ISNUMBER(AA1945),'자료_거시'!$J1927,"")</f>
        <v/>
      </c>
      <c r="AC1945">
        <f>IF(ISNUMBER(AB1945),IF(AB1945&gt;$L$8,AA1945,""),"")</f>
        <v/>
      </c>
    </row>
    <row r="1946">
      <c r="S1946">
        <f>IF(ISNUMBER('자료_거시'!$E1928),'자료_거시'!$E1928,S1945)</f>
        <v/>
      </c>
      <c r="T1946">
        <f>IF(AND(ISNUMBER('자료_거시'!$D1928),ISNUMBER('자료_거시'!$E1928)),IFERROR('자료_거시'!$E1928-INDEX($S$21:$S$4020,MATCH(EDATE('자료_거시'!$D1928,-'설정'!$B$17),'자료_거시'!$D$3:INDEX('자료_거시'!$D$3:$D$4002,$K$6),1)),""),"")</f>
        <v/>
      </c>
      <c r="U1946">
        <f>IF(ISNUMBER(T1946),'자료_거시'!$D1928,"")</f>
        <v/>
      </c>
      <c r="V1946">
        <f>IF(ISNUMBER(U1946),IF(U1946&gt;$L$6,T1946,""),"")</f>
        <v/>
      </c>
      <c r="W1946">
        <f>IF(AND(ISNUMBER('자료_거시'!$G1928),ISNUMBER('자료_거시'!$H1928)),'자료_거시'!$H1928,"")</f>
        <v/>
      </c>
      <c r="X1946">
        <f>IF(ISNUMBER(W1946),'자료_거시'!$G1928,"")</f>
        <v/>
      </c>
      <c r="Y1946">
        <f>IF(ISNUMBER(X1946),IF(X1946&gt;$L$7,W1946,""),"")</f>
        <v/>
      </c>
      <c r="Z1946">
        <f>IF(ISNUMBER('자료_거시'!$K1928),'자료_거시'!$K1928,Z1945)</f>
        <v/>
      </c>
      <c r="AA1946">
        <f>IF(AND(ISNUMBER('자료_거시'!$J1928),ISNUMBER('자료_거시'!$K1928)),IFERROR('자료_거시'!$K1928/INDEX($Z$21:$Z$4020,MATCH(EDATE('자료_거시'!$J1928,-'설정'!$B$17),'자료_거시'!$J$3:INDEX('자료_거시'!$J$3:$J$4002,$K$8),1))-1,""),"")</f>
        <v/>
      </c>
      <c r="AB1946">
        <f>IF(ISNUMBER(AA1946),'자료_거시'!$J1928,"")</f>
        <v/>
      </c>
      <c r="AC1946">
        <f>IF(ISNUMBER(AB1946),IF(AB1946&gt;$L$8,AA1946,""),"")</f>
        <v/>
      </c>
    </row>
    <row r="1947">
      <c r="S1947">
        <f>IF(ISNUMBER('자료_거시'!$E1929),'자료_거시'!$E1929,S1946)</f>
        <v/>
      </c>
      <c r="T1947">
        <f>IF(AND(ISNUMBER('자료_거시'!$D1929),ISNUMBER('자료_거시'!$E1929)),IFERROR('자료_거시'!$E1929-INDEX($S$21:$S$4020,MATCH(EDATE('자료_거시'!$D1929,-'설정'!$B$17),'자료_거시'!$D$3:INDEX('자료_거시'!$D$3:$D$4002,$K$6),1)),""),"")</f>
        <v/>
      </c>
      <c r="U1947">
        <f>IF(ISNUMBER(T1947),'자료_거시'!$D1929,"")</f>
        <v/>
      </c>
      <c r="V1947">
        <f>IF(ISNUMBER(U1947),IF(U1947&gt;$L$6,T1947,""),"")</f>
        <v/>
      </c>
      <c r="W1947">
        <f>IF(AND(ISNUMBER('자료_거시'!$G1929),ISNUMBER('자료_거시'!$H1929)),'자료_거시'!$H1929,"")</f>
        <v/>
      </c>
      <c r="X1947">
        <f>IF(ISNUMBER(W1947),'자료_거시'!$G1929,"")</f>
        <v/>
      </c>
      <c r="Y1947">
        <f>IF(ISNUMBER(X1947),IF(X1947&gt;$L$7,W1947,""),"")</f>
        <v/>
      </c>
      <c r="Z1947">
        <f>IF(ISNUMBER('자료_거시'!$K1929),'자료_거시'!$K1929,Z1946)</f>
        <v/>
      </c>
      <c r="AA1947">
        <f>IF(AND(ISNUMBER('자료_거시'!$J1929),ISNUMBER('자료_거시'!$K1929)),IFERROR('자료_거시'!$K1929/INDEX($Z$21:$Z$4020,MATCH(EDATE('자료_거시'!$J1929,-'설정'!$B$17),'자료_거시'!$J$3:INDEX('자료_거시'!$J$3:$J$4002,$K$8),1))-1,""),"")</f>
        <v/>
      </c>
      <c r="AB1947">
        <f>IF(ISNUMBER(AA1947),'자료_거시'!$J1929,"")</f>
        <v/>
      </c>
      <c r="AC1947">
        <f>IF(ISNUMBER(AB1947),IF(AB1947&gt;$L$8,AA1947,""),"")</f>
        <v/>
      </c>
    </row>
    <row r="1948">
      <c r="S1948">
        <f>IF(ISNUMBER('자료_거시'!$E1930),'자료_거시'!$E1930,S1947)</f>
        <v/>
      </c>
      <c r="T1948">
        <f>IF(AND(ISNUMBER('자료_거시'!$D1930),ISNUMBER('자료_거시'!$E1930)),IFERROR('자료_거시'!$E1930-INDEX($S$21:$S$4020,MATCH(EDATE('자료_거시'!$D1930,-'설정'!$B$17),'자료_거시'!$D$3:INDEX('자료_거시'!$D$3:$D$4002,$K$6),1)),""),"")</f>
        <v/>
      </c>
      <c r="U1948">
        <f>IF(ISNUMBER(T1948),'자료_거시'!$D1930,"")</f>
        <v/>
      </c>
      <c r="V1948">
        <f>IF(ISNUMBER(U1948),IF(U1948&gt;$L$6,T1948,""),"")</f>
        <v/>
      </c>
      <c r="W1948">
        <f>IF(AND(ISNUMBER('자료_거시'!$G1930),ISNUMBER('자료_거시'!$H1930)),'자료_거시'!$H1930,"")</f>
        <v/>
      </c>
      <c r="X1948">
        <f>IF(ISNUMBER(W1948),'자료_거시'!$G1930,"")</f>
        <v/>
      </c>
      <c r="Y1948">
        <f>IF(ISNUMBER(X1948),IF(X1948&gt;$L$7,W1948,""),"")</f>
        <v/>
      </c>
      <c r="Z1948">
        <f>IF(ISNUMBER('자료_거시'!$K1930),'자료_거시'!$K1930,Z1947)</f>
        <v/>
      </c>
      <c r="AA1948">
        <f>IF(AND(ISNUMBER('자료_거시'!$J1930),ISNUMBER('자료_거시'!$K1930)),IFERROR('자료_거시'!$K1930/INDEX($Z$21:$Z$4020,MATCH(EDATE('자료_거시'!$J1930,-'설정'!$B$17),'자료_거시'!$J$3:INDEX('자료_거시'!$J$3:$J$4002,$K$8),1))-1,""),"")</f>
        <v/>
      </c>
      <c r="AB1948">
        <f>IF(ISNUMBER(AA1948),'자료_거시'!$J1930,"")</f>
        <v/>
      </c>
      <c r="AC1948">
        <f>IF(ISNUMBER(AB1948),IF(AB1948&gt;$L$8,AA1948,""),"")</f>
        <v/>
      </c>
    </row>
    <row r="1949">
      <c r="S1949">
        <f>IF(ISNUMBER('자료_거시'!$E1931),'자료_거시'!$E1931,S1948)</f>
        <v/>
      </c>
      <c r="T1949">
        <f>IF(AND(ISNUMBER('자료_거시'!$D1931),ISNUMBER('자료_거시'!$E1931)),IFERROR('자료_거시'!$E1931-INDEX($S$21:$S$4020,MATCH(EDATE('자료_거시'!$D1931,-'설정'!$B$17),'자료_거시'!$D$3:INDEX('자료_거시'!$D$3:$D$4002,$K$6),1)),""),"")</f>
        <v/>
      </c>
      <c r="U1949">
        <f>IF(ISNUMBER(T1949),'자료_거시'!$D1931,"")</f>
        <v/>
      </c>
      <c r="V1949">
        <f>IF(ISNUMBER(U1949),IF(U1949&gt;$L$6,T1949,""),"")</f>
        <v/>
      </c>
      <c r="W1949">
        <f>IF(AND(ISNUMBER('자료_거시'!$G1931),ISNUMBER('자료_거시'!$H1931)),'자료_거시'!$H1931,"")</f>
        <v/>
      </c>
      <c r="X1949">
        <f>IF(ISNUMBER(W1949),'자료_거시'!$G1931,"")</f>
        <v/>
      </c>
      <c r="Y1949">
        <f>IF(ISNUMBER(X1949),IF(X1949&gt;$L$7,W1949,""),"")</f>
        <v/>
      </c>
      <c r="Z1949">
        <f>IF(ISNUMBER('자료_거시'!$K1931),'자료_거시'!$K1931,Z1948)</f>
        <v/>
      </c>
      <c r="AA1949">
        <f>IF(AND(ISNUMBER('자료_거시'!$J1931),ISNUMBER('자료_거시'!$K1931)),IFERROR('자료_거시'!$K1931/INDEX($Z$21:$Z$4020,MATCH(EDATE('자료_거시'!$J1931,-'설정'!$B$17),'자료_거시'!$J$3:INDEX('자료_거시'!$J$3:$J$4002,$K$8),1))-1,""),"")</f>
        <v/>
      </c>
      <c r="AB1949">
        <f>IF(ISNUMBER(AA1949),'자료_거시'!$J1931,"")</f>
        <v/>
      </c>
      <c r="AC1949">
        <f>IF(ISNUMBER(AB1949),IF(AB1949&gt;$L$8,AA1949,""),"")</f>
        <v/>
      </c>
    </row>
    <row r="1950">
      <c r="S1950">
        <f>IF(ISNUMBER('자료_거시'!$E1932),'자료_거시'!$E1932,S1949)</f>
        <v/>
      </c>
      <c r="T1950">
        <f>IF(AND(ISNUMBER('자료_거시'!$D1932),ISNUMBER('자료_거시'!$E1932)),IFERROR('자료_거시'!$E1932-INDEX($S$21:$S$4020,MATCH(EDATE('자료_거시'!$D1932,-'설정'!$B$17),'자료_거시'!$D$3:INDEX('자료_거시'!$D$3:$D$4002,$K$6),1)),""),"")</f>
        <v/>
      </c>
      <c r="U1950">
        <f>IF(ISNUMBER(T1950),'자료_거시'!$D1932,"")</f>
        <v/>
      </c>
      <c r="V1950">
        <f>IF(ISNUMBER(U1950),IF(U1950&gt;$L$6,T1950,""),"")</f>
        <v/>
      </c>
      <c r="W1950">
        <f>IF(AND(ISNUMBER('자료_거시'!$G1932),ISNUMBER('자료_거시'!$H1932)),'자료_거시'!$H1932,"")</f>
        <v/>
      </c>
      <c r="X1950">
        <f>IF(ISNUMBER(W1950),'자료_거시'!$G1932,"")</f>
        <v/>
      </c>
      <c r="Y1950">
        <f>IF(ISNUMBER(X1950),IF(X1950&gt;$L$7,W1950,""),"")</f>
        <v/>
      </c>
      <c r="Z1950">
        <f>IF(ISNUMBER('자료_거시'!$K1932),'자료_거시'!$K1932,Z1949)</f>
        <v/>
      </c>
      <c r="AA1950">
        <f>IF(AND(ISNUMBER('자료_거시'!$J1932),ISNUMBER('자료_거시'!$K1932)),IFERROR('자료_거시'!$K1932/INDEX($Z$21:$Z$4020,MATCH(EDATE('자료_거시'!$J1932,-'설정'!$B$17),'자료_거시'!$J$3:INDEX('자료_거시'!$J$3:$J$4002,$K$8),1))-1,""),"")</f>
        <v/>
      </c>
      <c r="AB1950">
        <f>IF(ISNUMBER(AA1950),'자료_거시'!$J1932,"")</f>
        <v/>
      </c>
      <c r="AC1950">
        <f>IF(ISNUMBER(AB1950),IF(AB1950&gt;$L$8,AA1950,""),"")</f>
        <v/>
      </c>
    </row>
    <row r="1951">
      <c r="S1951">
        <f>IF(ISNUMBER('자료_거시'!$E1933),'자료_거시'!$E1933,S1950)</f>
        <v/>
      </c>
      <c r="T1951">
        <f>IF(AND(ISNUMBER('자료_거시'!$D1933),ISNUMBER('자료_거시'!$E1933)),IFERROR('자료_거시'!$E1933-INDEX($S$21:$S$4020,MATCH(EDATE('자료_거시'!$D1933,-'설정'!$B$17),'자료_거시'!$D$3:INDEX('자료_거시'!$D$3:$D$4002,$K$6),1)),""),"")</f>
        <v/>
      </c>
      <c r="U1951">
        <f>IF(ISNUMBER(T1951),'자료_거시'!$D1933,"")</f>
        <v/>
      </c>
      <c r="V1951">
        <f>IF(ISNUMBER(U1951),IF(U1951&gt;$L$6,T1951,""),"")</f>
        <v/>
      </c>
      <c r="W1951">
        <f>IF(AND(ISNUMBER('자료_거시'!$G1933),ISNUMBER('자료_거시'!$H1933)),'자료_거시'!$H1933,"")</f>
        <v/>
      </c>
      <c r="X1951">
        <f>IF(ISNUMBER(W1951),'자료_거시'!$G1933,"")</f>
        <v/>
      </c>
      <c r="Y1951">
        <f>IF(ISNUMBER(X1951),IF(X1951&gt;$L$7,W1951,""),"")</f>
        <v/>
      </c>
      <c r="Z1951">
        <f>IF(ISNUMBER('자료_거시'!$K1933),'자료_거시'!$K1933,Z1950)</f>
        <v/>
      </c>
      <c r="AA1951">
        <f>IF(AND(ISNUMBER('자료_거시'!$J1933),ISNUMBER('자료_거시'!$K1933)),IFERROR('자료_거시'!$K1933/INDEX($Z$21:$Z$4020,MATCH(EDATE('자료_거시'!$J1933,-'설정'!$B$17),'자료_거시'!$J$3:INDEX('자료_거시'!$J$3:$J$4002,$K$8),1))-1,""),"")</f>
        <v/>
      </c>
      <c r="AB1951">
        <f>IF(ISNUMBER(AA1951),'자료_거시'!$J1933,"")</f>
        <v/>
      </c>
      <c r="AC1951">
        <f>IF(ISNUMBER(AB1951),IF(AB1951&gt;$L$8,AA1951,""),"")</f>
        <v/>
      </c>
    </row>
    <row r="1952">
      <c r="S1952">
        <f>IF(ISNUMBER('자료_거시'!$E1934),'자료_거시'!$E1934,S1951)</f>
        <v/>
      </c>
      <c r="T1952">
        <f>IF(AND(ISNUMBER('자료_거시'!$D1934),ISNUMBER('자료_거시'!$E1934)),IFERROR('자료_거시'!$E1934-INDEX($S$21:$S$4020,MATCH(EDATE('자료_거시'!$D1934,-'설정'!$B$17),'자료_거시'!$D$3:INDEX('자료_거시'!$D$3:$D$4002,$K$6),1)),""),"")</f>
        <v/>
      </c>
      <c r="U1952">
        <f>IF(ISNUMBER(T1952),'자료_거시'!$D1934,"")</f>
        <v/>
      </c>
      <c r="V1952">
        <f>IF(ISNUMBER(U1952),IF(U1952&gt;$L$6,T1952,""),"")</f>
        <v/>
      </c>
      <c r="W1952">
        <f>IF(AND(ISNUMBER('자료_거시'!$G1934),ISNUMBER('자료_거시'!$H1934)),'자료_거시'!$H1934,"")</f>
        <v/>
      </c>
      <c r="X1952">
        <f>IF(ISNUMBER(W1952),'자료_거시'!$G1934,"")</f>
        <v/>
      </c>
      <c r="Y1952">
        <f>IF(ISNUMBER(X1952),IF(X1952&gt;$L$7,W1952,""),"")</f>
        <v/>
      </c>
      <c r="Z1952">
        <f>IF(ISNUMBER('자료_거시'!$K1934),'자료_거시'!$K1934,Z1951)</f>
        <v/>
      </c>
      <c r="AA1952">
        <f>IF(AND(ISNUMBER('자료_거시'!$J1934),ISNUMBER('자료_거시'!$K1934)),IFERROR('자료_거시'!$K1934/INDEX($Z$21:$Z$4020,MATCH(EDATE('자료_거시'!$J1934,-'설정'!$B$17),'자료_거시'!$J$3:INDEX('자료_거시'!$J$3:$J$4002,$K$8),1))-1,""),"")</f>
        <v/>
      </c>
      <c r="AB1952">
        <f>IF(ISNUMBER(AA1952),'자료_거시'!$J1934,"")</f>
        <v/>
      </c>
      <c r="AC1952">
        <f>IF(ISNUMBER(AB1952),IF(AB1952&gt;$L$8,AA1952,""),"")</f>
        <v/>
      </c>
    </row>
    <row r="1953">
      <c r="S1953">
        <f>IF(ISNUMBER('자료_거시'!$E1935),'자료_거시'!$E1935,S1952)</f>
        <v/>
      </c>
      <c r="T1953">
        <f>IF(AND(ISNUMBER('자료_거시'!$D1935),ISNUMBER('자료_거시'!$E1935)),IFERROR('자료_거시'!$E1935-INDEX($S$21:$S$4020,MATCH(EDATE('자료_거시'!$D1935,-'설정'!$B$17),'자료_거시'!$D$3:INDEX('자료_거시'!$D$3:$D$4002,$K$6),1)),""),"")</f>
        <v/>
      </c>
      <c r="U1953">
        <f>IF(ISNUMBER(T1953),'자료_거시'!$D1935,"")</f>
        <v/>
      </c>
      <c r="V1953">
        <f>IF(ISNUMBER(U1953),IF(U1953&gt;$L$6,T1953,""),"")</f>
        <v/>
      </c>
      <c r="W1953">
        <f>IF(AND(ISNUMBER('자료_거시'!$G1935),ISNUMBER('자료_거시'!$H1935)),'자료_거시'!$H1935,"")</f>
        <v/>
      </c>
      <c r="X1953">
        <f>IF(ISNUMBER(W1953),'자료_거시'!$G1935,"")</f>
        <v/>
      </c>
      <c r="Y1953">
        <f>IF(ISNUMBER(X1953),IF(X1953&gt;$L$7,W1953,""),"")</f>
        <v/>
      </c>
      <c r="Z1953">
        <f>IF(ISNUMBER('자료_거시'!$K1935),'자료_거시'!$K1935,Z1952)</f>
        <v/>
      </c>
      <c r="AA1953">
        <f>IF(AND(ISNUMBER('자료_거시'!$J1935),ISNUMBER('자료_거시'!$K1935)),IFERROR('자료_거시'!$K1935/INDEX($Z$21:$Z$4020,MATCH(EDATE('자료_거시'!$J1935,-'설정'!$B$17),'자료_거시'!$J$3:INDEX('자료_거시'!$J$3:$J$4002,$K$8),1))-1,""),"")</f>
        <v/>
      </c>
      <c r="AB1953">
        <f>IF(ISNUMBER(AA1953),'자료_거시'!$J1935,"")</f>
        <v/>
      </c>
      <c r="AC1953">
        <f>IF(ISNUMBER(AB1953),IF(AB1953&gt;$L$8,AA1953,""),"")</f>
        <v/>
      </c>
    </row>
    <row r="1954">
      <c r="S1954">
        <f>IF(ISNUMBER('자료_거시'!$E1936),'자료_거시'!$E1936,S1953)</f>
        <v/>
      </c>
      <c r="T1954">
        <f>IF(AND(ISNUMBER('자료_거시'!$D1936),ISNUMBER('자료_거시'!$E1936)),IFERROR('자료_거시'!$E1936-INDEX($S$21:$S$4020,MATCH(EDATE('자료_거시'!$D1936,-'설정'!$B$17),'자료_거시'!$D$3:INDEX('자료_거시'!$D$3:$D$4002,$K$6),1)),""),"")</f>
        <v/>
      </c>
      <c r="U1954">
        <f>IF(ISNUMBER(T1954),'자료_거시'!$D1936,"")</f>
        <v/>
      </c>
      <c r="V1954">
        <f>IF(ISNUMBER(U1954),IF(U1954&gt;$L$6,T1954,""),"")</f>
        <v/>
      </c>
      <c r="W1954">
        <f>IF(AND(ISNUMBER('자료_거시'!$G1936),ISNUMBER('자료_거시'!$H1936)),'자료_거시'!$H1936,"")</f>
        <v/>
      </c>
      <c r="X1954">
        <f>IF(ISNUMBER(W1954),'자료_거시'!$G1936,"")</f>
        <v/>
      </c>
      <c r="Y1954">
        <f>IF(ISNUMBER(X1954),IF(X1954&gt;$L$7,W1954,""),"")</f>
        <v/>
      </c>
      <c r="Z1954">
        <f>IF(ISNUMBER('자료_거시'!$K1936),'자료_거시'!$K1936,Z1953)</f>
        <v/>
      </c>
      <c r="AA1954">
        <f>IF(AND(ISNUMBER('자료_거시'!$J1936),ISNUMBER('자료_거시'!$K1936)),IFERROR('자료_거시'!$K1936/INDEX($Z$21:$Z$4020,MATCH(EDATE('자료_거시'!$J1936,-'설정'!$B$17),'자료_거시'!$J$3:INDEX('자료_거시'!$J$3:$J$4002,$K$8),1))-1,""),"")</f>
        <v/>
      </c>
      <c r="AB1954">
        <f>IF(ISNUMBER(AA1954),'자료_거시'!$J1936,"")</f>
        <v/>
      </c>
      <c r="AC1954">
        <f>IF(ISNUMBER(AB1954),IF(AB1954&gt;$L$8,AA1954,""),"")</f>
        <v/>
      </c>
    </row>
    <row r="1955">
      <c r="S1955">
        <f>IF(ISNUMBER('자료_거시'!$E1937),'자료_거시'!$E1937,S1954)</f>
        <v/>
      </c>
      <c r="T1955">
        <f>IF(AND(ISNUMBER('자료_거시'!$D1937),ISNUMBER('자료_거시'!$E1937)),IFERROR('자료_거시'!$E1937-INDEX($S$21:$S$4020,MATCH(EDATE('자료_거시'!$D1937,-'설정'!$B$17),'자료_거시'!$D$3:INDEX('자료_거시'!$D$3:$D$4002,$K$6),1)),""),"")</f>
        <v/>
      </c>
      <c r="U1955">
        <f>IF(ISNUMBER(T1955),'자료_거시'!$D1937,"")</f>
        <v/>
      </c>
      <c r="V1955">
        <f>IF(ISNUMBER(U1955),IF(U1955&gt;$L$6,T1955,""),"")</f>
        <v/>
      </c>
      <c r="W1955">
        <f>IF(AND(ISNUMBER('자료_거시'!$G1937),ISNUMBER('자료_거시'!$H1937)),'자료_거시'!$H1937,"")</f>
        <v/>
      </c>
      <c r="X1955">
        <f>IF(ISNUMBER(W1955),'자료_거시'!$G1937,"")</f>
        <v/>
      </c>
      <c r="Y1955">
        <f>IF(ISNUMBER(X1955),IF(X1955&gt;$L$7,W1955,""),"")</f>
        <v/>
      </c>
      <c r="Z1955">
        <f>IF(ISNUMBER('자료_거시'!$K1937),'자료_거시'!$K1937,Z1954)</f>
        <v/>
      </c>
      <c r="AA1955">
        <f>IF(AND(ISNUMBER('자료_거시'!$J1937),ISNUMBER('자료_거시'!$K1937)),IFERROR('자료_거시'!$K1937/INDEX($Z$21:$Z$4020,MATCH(EDATE('자료_거시'!$J1937,-'설정'!$B$17),'자료_거시'!$J$3:INDEX('자료_거시'!$J$3:$J$4002,$K$8),1))-1,""),"")</f>
        <v/>
      </c>
      <c r="AB1955">
        <f>IF(ISNUMBER(AA1955),'자료_거시'!$J1937,"")</f>
        <v/>
      </c>
      <c r="AC1955">
        <f>IF(ISNUMBER(AB1955),IF(AB1955&gt;$L$8,AA1955,""),"")</f>
        <v/>
      </c>
    </row>
    <row r="1956">
      <c r="S1956">
        <f>IF(ISNUMBER('자료_거시'!$E1938),'자료_거시'!$E1938,S1955)</f>
        <v/>
      </c>
      <c r="T1956">
        <f>IF(AND(ISNUMBER('자료_거시'!$D1938),ISNUMBER('자료_거시'!$E1938)),IFERROR('자료_거시'!$E1938-INDEX($S$21:$S$4020,MATCH(EDATE('자료_거시'!$D1938,-'설정'!$B$17),'자료_거시'!$D$3:INDEX('자료_거시'!$D$3:$D$4002,$K$6),1)),""),"")</f>
        <v/>
      </c>
      <c r="U1956">
        <f>IF(ISNUMBER(T1956),'자료_거시'!$D1938,"")</f>
        <v/>
      </c>
      <c r="V1956">
        <f>IF(ISNUMBER(U1956),IF(U1956&gt;$L$6,T1956,""),"")</f>
        <v/>
      </c>
      <c r="W1956">
        <f>IF(AND(ISNUMBER('자료_거시'!$G1938),ISNUMBER('자료_거시'!$H1938)),'자료_거시'!$H1938,"")</f>
        <v/>
      </c>
      <c r="X1956">
        <f>IF(ISNUMBER(W1956),'자료_거시'!$G1938,"")</f>
        <v/>
      </c>
      <c r="Y1956">
        <f>IF(ISNUMBER(X1956),IF(X1956&gt;$L$7,W1956,""),"")</f>
        <v/>
      </c>
      <c r="Z1956">
        <f>IF(ISNUMBER('자료_거시'!$K1938),'자료_거시'!$K1938,Z1955)</f>
        <v/>
      </c>
      <c r="AA1956">
        <f>IF(AND(ISNUMBER('자료_거시'!$J1938),ISNUMBER('자료_거시'!$K1938)),IFERROR('자료_거시'!$K1938/INDEX($Z$21:$Z$4020,MATCH(EDATE('자료_거시'!$J1938,-'설정'!$B$17),'자료_거시'!$J$3:INDEX('자료_거시'!$J$3:$J$4002,$K$8),1))-1,""),"")</f>
        <v/>
      </c>
      <c r="AB1956">
        <f>IF(ISNUMBER(AA1956),'자료_거시'!$J1938,"")</f>
        <v/>
      </c>
      <c r="AC1956">
        <f>IF(ISNUMBER(AB1956),IF(AB1956&gt;$L$8,AA1956,""),"")</f>
        <v/>
      </c>
    </row>
    <row r="1957">
      <c r="S1957">
        <f>IF(ISNUMBER('자료_거시'!$E1939),'자료_거시'!$E1939,S1956)</f>
        <v/>
      </c>
      <c r="T1957">
        <f>IF(AND(ISNUMBER('자료_거시'!$D1939),ISNUMBER('자료_거시'!$E1939)),IFERROR('자료_거시'!$E1939-INDEX($S$21:$S$4020,MATCH(EDATE('자료_거시'!$D1939,-'설정'!$B$17),'자료_거시'!$D$3:INDEX('자료_거시'!$D$3:$D$4002,$K$6),1)),""),"")</f>
        <v/>
      </c>
      <c r="U1957">
        <f>IF(ISNUMBER(T1957),'자료_거시'!$D1939,"")</f>
        <v/>
      </c>
      <c r="V1957">
        <f>IF(ISNUMBER(U1957),IF(U1957&gt;$L$6,T1957,""),"")</f>
        <v/>
      </c>
      <c r="W1957">
        <f>IF(AND(ISNUMBER('자료_거시'!$G1939),ISNUMBER('자료_거시'!$H1939)),'자료_거시'!$H1939,"")</f>
        <v/>
      </c>
      <c r="X1957">
        <f>IF(ISNUMBER(W1957),'자료_거시'!$G1939,"")</f>
        <v/>
      </c>
      <c r="Y1957">
        <f>IF(ISNUMBER(X1957),IF(X1957&gt;$L$7,W1957,""),"")</f>
        <v/>
      </c>
      <c r="Z1957">
        <f>IF(ISNUMBER('자료_거시'!$K1939),'자료_거시'!$K1939,Z1956)</f>
        <v/>
      </c>
      <c r="AA1957">
        <f>IF(AND(ISNUMBER('자료_거시'!$J1939),ISNUMBER('자료_거시'!$K1939)),IFERROR('자료_거시'!$K1939/INDEX($Z$21:$Z$4020,MATCH(EDATE('자료_거시'!$J1939,-'설정'!$B$17),'자료_거시'!$J$3:INDEX('자료_거시'!$J$3:$J$4002,$K$8),1))-1,""),"")</f>
        <v/>
      </c>
      <c r="AB1957">
        <f>IF(ISNUMBER(AA1957),'자료_거시'!$J1939,"")</f>
        <v/>
      </c>
      <c r="AC1957">
        <f>IF(ISNUMBER(AB1957),IF(AB1957&gt;$L$8,AA1957,""),"")</f>
        <v/>
      </c>
    </row>
    <row r="1958">
      <c r="S1958">
        <f>IF(ISNUMBER('자료_거시'!$E1940),'자료_거시'!$E1940,S1957)</f>
        <v/>
      </c>
      <c r="T1958">
        <f>IF(AND(ISNUMBER('자료_거시'!$D1940),ISNUMBER('자료_거시'!$E1940)),IFERROR('자료_거시'!$E1940-INDEX($S$21:$S$4020,MATCH(EDATE('자료_거시'!$D1940,-'설정'!$B$17),'자료_거시'!$D$3:INDEX('자료_거시'!$D$3:$D$4002,$K$6),1)),""),"")</f>
        <v/>
      </c>
      <c r="U1958">
        <f>IF(ISNUMBER(T1958),'자료_거시'!$D1940,"")</f>
        <v/>
      </c>
      <c r="V1958">
        <f>IF(ISNUMBER(U1958),IF(U1958&gt;$L$6,T1958,""),"")</f>
        <v/>
      </c>
      <c r="W1958">
        <f>IF(AND(ISNUMBER('자료_거시'!$G1940),ISNUMBER('자료_거시'!$H1940)),'자료_거시'!$H1940,"")</f>
        <v/>
      </c>
      <c r="X1958">
        <f>IF(ISNUMBER(W1958),'자료_거시'!$G1940,"")</f>
        <v/>
      </c>
      <c r="Y1958">
        <f>IF(ISNUMBER(X1958),IF(X1958&gt;$L$7,W1958,""),"")</f>
        <v/>
      </c>
      <c r="Z1958">
        <f>IF(ISNUMBER('자료_거시'!$K1940),'자료_거시'!$K1940,Z1957)</f>
        <v/>
      </c>
      <c r="AA1958">
        <f>IF(AND(ISNUMBER('자료_거시'!$J1940),ISNUMBER('자료_거시'!$K1940)),IFERROR('자료_거시'!$K1940/INDEX($Z$21:$Z$4020,MATCH(EDATE('자료_거시'!$J1940,-'설정'!$B$17),'자료_거시'!$J$3:INDEX('자료_거시'!$J$3:$J$4002,$K$8),1))-1,""),"")</f>
        <v/>
      </c>
      <c r="AB1958">
        <f>IF(ISNUMBER(AA1958),'자료_거시'!$J1940,"")</f>
        <v/>
      </c>
      <c r="AC1958">
        <f>IF(ISNUMBER(AB1958),IF(AB1958&gt;$L$8,AA1958,""),"")</f>
        <v/>
      </c>
    </row>
    <row r="1959">
      <c r="S1959">
        <f>IF(ISNUMBER('자료_거시'!$E1941),'자료_거시'!$E1941,S1958)</f>
        <v/>
      </c>
      <c r="T1959">
        <f>IF(AND(ISNUMBER('자료_거시'!$D1941),ISNUMBER('자료_거시'!$E1941)),IFERROR('자료_거시'!$E1941-INDEX($S$21:$S$4020,MATCH(EDATE('자료_거시'!$D1941,-'설정'!$B$17),'자료_거시'!$D$3:INDEX('자료_거시'!$D$3:$D$4002,$K$6),1)),""),"")</f>
        <v/>
      </c>
      <c r="U1959">
        <f>IF(ISNUMBER(T1959),'자료_거시'!$D1941,"")</f>
        <v/>
      </c>
      <c r="V1959">
        <f>IF(ISNUMBER(U1959),IF(U1959&gt;$L$6,T1959,""),"")</f>
        <v/>
      </c>
      <c r="W1959">
        <f>IF(AND(ISNUMBER('자료_거시'!$G1941),ISNUMBER('자료_거시'!$H1941)),'자료_거시'!$H1941,"")</f>
        <v/>
      </c>
      <c r="X1959">
        <f>IF(ISNUMBER(W1959),'자료_거시'!$G1941,"")</f>
        <v/>
      </c>
      <c r="Y1959">
        <f>IF(ISNUMBER(X1959),IF(X1959&gt;$L$7,W1959,""),"")</f>
        <v/>
      </c>
      <c r="Z1959">
        <f>IF(ISNUMBER('자료_거시'!$K1941),'자료_거시'!$K1941,Z1958)</f>
        <v/>
      </c>
      <c r="AA1959">
        <f>IF(AND(ISNUMBER('자료_거시'!$J1941),ISNUMBER('자료_거시'!$K1941)),IFERROR('자료_거시'!$K1941/INDEX($Z$21:$Z$4020,MATCH(EDATE('자료_거시'!$J1941,-'설정'!$B$17),'자료_거시'!$J$3:INDEX('자료_거시'!$J$3:$J$4002,$K$8),1))-1,""),"")</f>
        <v/>
      </c>
      <c r="AB1959">
        <f>IF(ISNUMBER(AA1959),'자료_거시'!$J1941,"")</f>
        <v/>
      </c>
      <c r="AC1959">
        <f>IF(ISNUMBER(AB1959),IF(AB1959&gt;$L$8,AA1959,""),"")</f>
        <v/>
      </c>
    </row>
    <row r="1960">
      <c r="S1960">
        <f>IF(ISNUMBER('자료_거시'!$E1942),'자료_거시'!$E1942,S1959)</f>
        <v/>
      </c>
      <c r="T1960">
        <f>IF(AND(ISNUMBER('자료_거시'!$D1942),ISNUMBER('자료_거시'!$E1942)),IFERROR('자료_거시'!$E1942-INDEX($S$21:$S$4020,MATCH(EDATE('자료_거시'!$D1942,-'설정'!$B$17),'자료_거시'!$D$3:INDEX('자료_거시'!$D$3:$D$4002,$K$6),1)),""),"")</f>
        <v/>
      </c>
      <c r="U1960">
        <f>IF(ISNUMBER(T1960),'자료_거시'!$D1942,"")</f>
        <v/>
      </c>
      <c r="V1960">
        <f>IF(ISNUMBER(U1960),IF(U1960&gt;$L$6,T1960,""),"")</f>
        <v/>
      </c>
      <c r="W1960">
        <f>IF(AND(ISNUMBER('자료_거시'!$G1942),ISNUMBER('자료_거시'!$H1942)),'자료_거시'!$H1942,"")</f>
        <v/>
      </c>
      <c r="X1960">
        <f>IF(ISNUMBER(W1960),'자료_거시'!$G1942,"")</f>
        <v/>
      </c>
      <c r="Y1960">
        <f>IF(ISNUMBER(X1960),IF(X1960&gt;$L$7,W1960,""),"")</f>
        <v/>
      </c>
      <c r="Z1960">
        <f>IF(ISNUMBER('자료_거시'!$K1942),'자료_거시'!$K1942,Z1959)</f>
        <v/>
      </c>
      <c r="AA1960">
        <f>IF(AND(ISNUMBER('자료_거시'!$J1942),ISNUMBER('자료_거시'!$K1942)),IFERROR('자료_거시'!$K1942/INDEX($Z$21:$Z$4020,MATCH(EDATE('자료_거시'!$J1942,-'설정'!$B$17),'자료_거시'!$J$3:INDEX('자료_거시'!$J$3:$J$4002,$K$8),1))-1,""),"")</f>
        <v/>
      </c>
      <c r="AB1960">
        <f>IF(ISNUMBER(AA1960),'자료_거시'!$J1942,"")</f>
        <v/>
      </c>
      <c r="AC1960">
        <f>IF(ISNUMBER(AB1960),IF(AB1960&gt;$L$8,AA1960,""),"")</f>
        <v/>
      </c>
    </row>
    <row r="1961">
      <c r="S1961">
        <f>IF(ISNUMBER('자료_거시'!$E1943),'자료_거시'!$E1943,S1960)</f>
        <v/>
      </c>
      <c r="T1961">
        <f>IF(AND(ISNUMBER('자료_거시'!$D1943),ISNUMBER('자료_거시'!$E1943)),IFERROR('자료_거시'!$E1943-INDEX($S$21:$S$4020,MATCH(EDATE('자료_거시'!$D1943,-'설정'!$B$17),'자료_거시'!$D$3:INDEX('자료_거시'!$D$3:$D$4002,$K$6),1)),""),"")</f>
        <v/>
      </c>
      <c r="U1961">
        <f>IF(ISNUMBER(T1961),'자료_거시'!$D1943,"")</f>
        <v/>
      </c>
      <c r="V1961">
        <f>IF(ISNUMBER(U1961),IF(U1961&gt;$L$6,T1961,""),"")</f>
        <v/>
      </c>
      <c r="W1961">
        <f>IF(AND(ISNUMBER('자료_거시'!$G1943),ISNUMBER('자료_거시'!$H1943)),'자료_거시'!$H1943,"")</f>
        <v/>
      </c>
      <c r="X1961">
        <f>IF(ISNUMBER(W1961),'자료_거시'!$G1943,"")</f>
        <v/>
      </c>
      <c r="Y1961">
        <f>IF(ISNUMBER(X1961),IF(X1961&gt;$L$7,W1961,""),"")</f>
        <v/>
      </c>
      <c r="Z1961">
        <f>IF(ISNUMBER('자료_거시'!$K1943),'자료_거시'!$K1943,Z1960)</f>
        <v/>
      </c>
      <c r="AA1961">
        <f>IF(AND(ISNUMBER('자료_거시'!$J1943),ISNUMBER('자료_거시'!$K1943)),IFERROR('자료_거시'!$K1943/INDEX($Z$21:$Z$4020,MATCH(EDATE('자료_거시'!$J1943,-'설정'!$B$17),'자료_거시'!$J$3:INDEX('자료_거시'!$J$3:$J$4002,$K$8),1))-1,""),"")</f>
        <v/>
      </c>
      <c r="AB1961">
        <f>IF(ISNUMBER(AA1961),'자료_거시'!$J1943,"")</f>
        <v/>
      </c>
      <c r="AC1961">
        <f>IF(ISNUMBER(AB1961),IF(AB1961&gt;$L$8,AA1961,""),"")</f>
        <v/>
      </c>
    </row>
    <row r="1962">
      <c r="S1962">
        <f>IF(ISNUMBER('자료_거시'!$E1944),'자료_거시'!$E1944,S1961)</f>
        <v/>
      </c>
      <c r="T1962">
        <f>IF(AND(ISNUMBER('자료_거시'!$D1944),ISNUMBER('자료_거시'!$E1944)),IFERROR('자료_거시'!$E1944-INDEX($S$21:$S$4020,MATCH(EDATE('자료_거시'!$D1944,-'설정'!$B$17),'자료_거시'!$D$3:INDEX('자료_거시'!$D$3:$D$4002,$K$6),1)),""),"")</f>
        <v/>
      </c>
      <c r="U1962">
        <f>IF(ISNUMBER(T1962),'자료_거시'!$D1944,"")</f>
        <v/>
      </c>
      <c r="V1962">
        <f>IF(ISNUMBER(U1962),IF(U1962&gt;$L$6,T1962,""),"")</f>
        <v/>
      </c>
      <c r="W1962">
        <f>IF(AND(ISNUMBER('자료_거시'!$G1944),ISNUMBER('자료_거시'!$H1944)),'자료_거시'!$H1944,"")</f>
        <v/>
      </c>
      <c r="X1962">
        <f>IF(ISNUMBER(W1962),'자료_거시'!$G1944,"")</f>
        <v/>
      </c>
      <c r="Y1962">
        <f>IF(ISNUMBER(X1962),IF(X1962&gt;$L$7,W1962,""),"")</f>
        <v/>
      </c>
      <c r="Z1962">
        <f>IF(ISNUMBER('자료_거시'!$K1944),'자료_거시'!$K1944,Z1961)</f>
        <v/>
      </c>
      <c r="AA1962">
        <f>IF(AND(ISNUMBER('자료_거시'!$J1944),ISNUMBER('자료_거시'!$K1944)),IFERROR('자료_거시'!$K1944/INDEX($Z$21:$Z$4020,MATCH(EDATE('자료_거시'!$J1944,-'설정'!$B$17),'자료_거시'!$J$3:INDEX('자료_거시'!$J$3:$J$4002,$K$8),1))-1,""),"")</f>
        <v/>
      </c>
      <c r="AB1962">
        <f>IF(ISNUMBER(AA1962),'자료_거시'!$J1944,"")</f>
        <v/>
      </c>
      <c r="AC1962">
        <f>IF(ISNUMBER(AB1962),IF(AB1962&gt;$L$8,AA1962,""),"")</f>
        <v/>
      </c>
    </row>
    <row r="1963">
      <c r="S1963">
        <f>IF(ISNUMBER('자료_거시'!$E1945),'자료_거시'!$E1945,S1962)</f>
        <v/>
      </c>
      <c r="T1963">
        <f>IF(AND(ISNUMBER('자료_거시'!$D1945),ISNUMBER('자료_거시'!$E1945)),IFERROR('자료_거시'!$E1945-INDEX($S$21:$S$4020,MATCH(EDATE('자료_거시'!$D1945,-'설정'!$B$17),'자료_거시'!$D$3:INDEX('자료_거시'!$D$3:$D$4002,$K$6),1)),""),"")</f>
        <v/>
      </c>
      <c r="U1963">
        <f>IF(ISNUMBER(T1963),'자료_거시'!$D1945,"")</f>
        <v/>
      </c>
      <c r="V1963">
        <f>IF(ISNUMBER(U1963),IF(U1963&gt;$L$6,T1963,""),"")</f>
        <v/>
      </c>
      <c r="W1963">
        <f>IF(AND(ISNUMBER('자료_거시'!$G1945),ISNUMBER('자료_거시'!$H1945)),'자료_거시'!$H1945,"")</f>
        <v/>
      </c>
      <c r="X1963">
        <f>IF(ISNUMBER(W1963),'자료_거시'!$G1945,"")</f>
        <v/>
      </c>
      <c r="Y1963">
        <f>IF(ISNUMBER(X1963),IF(X1963&gt;$L$7,W1963,""),"")</f>
        <v/>
      </c>
      <c r="Z1963">
        <f>IF(ISNUMBER('자료_거시'!$K1945),'자료_거시'!$K1945,Z1962)</f>
        <v/>
      </c>
      <c r="AA1963">
        <f>IF(AND(ISNUMBER('자료_거시'!$J1945),ISNUMBER('자료_거시'!$K1945)),IFERROR('자료_거시'!$K1945/INDEX($Z$21:$Z$4020,MATCH(EDATE('자료_거시'!$J1945,-'설정'!$B$17),'자료_거시'!$J$3:INDEX('자료_거시'!$J$3:$J$4002,$K$8),1))-1,""),"")</f>
        <v/>
      </c>
      <c r="AB1963">
        <f>IF(ISNUMBER(AA1963),'자료_거시'!$J1945,"")</f>
        <v/>
      </c>
      <c r="AC1963">
        <f>IF(ISNUMBER(AB1963),IF(AB1963&gt;$L$8,AA1963,""),"")</f>
        <v/>
      </c>
    </row>
    <row r="1964">
      <c r="S1964">
        <f>IF(ISNUMBER('자료_거시'!$E1946),'자료_거시'!$E1946,S1963)</f>
        <v/>
      </c>
      <c r="T1964">
        <f>IF(AND(ISNUMBER('자료_거시'!$D1946),ISNUMBER('자료_거시'!$E1946)),IFERROR('자료_거시'!$E1946-INDEX($S$21:$S$4020,MATCH(EDATE('자료_거시'!$D1946,-'설정'!$B$17),'자료_거시'!$D$3:INDEX('자료_거시'!$D$3:$D$4002,$K$6),1)),""),"")</f>
        <v/>
      </c>
      <c r="U1964">
        <f>IF(ISNUMBER(T1964),'자료_거시'!$D1946,"")</f>
        <v/>
      </c>
      <c r="V1964">
        <f>IF(ISNUMBER(U1964),IF(U1964&gt;$L$6,T1964,""),"")</f>
        <v/>
      </c>
      <c r="W1964">
        <f>IF(AND(ISNUMBER('자료_거시'!$G1946),ISNUMBER('자료_거시'!$H1946)),'자료_거시'!$H1946,"")</f>
        <v/>
      </c>
      <c r="X1964">
        <f>IF(ISNUMBER(W1964),'자료_거시'!$G1946,"")</f>
        <v/>
      </c>
      <c r="Y1964">
        <f>IF(ISNUMBER(X1964),IF(X1964&gt;$L$7,W1964,""),"")</f>
        <v/>
      </c>
      <c r="Z1964">
        <f>IF(ISNUMBER('자료_거시'!$K1946),'자료_거시'!$K1946,Z1963)</f>
        <v/>
      </c>
      <c r="AA1964">
        <f>IF(AND(ISNUMBER('자료_거시'!$J1946),ISNUMBER('자료_거시'!$K1946)),IFERROR('자료_거시'!$K1946/INDEX($Z$21:$Z$4020,MATCH(EDATE('자료_거시'!$J1946,-'설정'!$B$17),'자료_거시'!$J$3:INDEX('자료_거시'!$J$3:$J$4002,$K$8),1))-1,""),"")</f>
        <v/>
      </c>
      <c r="AB1964">
        <f>IF(ISNUMBER(AA1964),'자료_거시'!$J1946,"")</f>
        <v/>
      </c>
      <c r="AC1964">
        <f>IF(ISNUMBER(AB1964),IF(AB1964&gt;$L$8,AA1964,""),"")</f>
        <v/>
      </c>
    </row>
    <row r="1965">
      <c r="S1965">
        <f>IF(ISNUMBER('자료_거시'!$E1947),'자료_거시'!$E1947,S1964)</f>
        <v/>
      </c>
      <c r="T1965">
        <f>IF(AND(ISNUMBER('자료_거시'!$D1947),ISNUMBER('자료_거시'!$E1947)),IFERROR('자료_거시'!$E1947-INDEX($S$21:$S$4020,MATCH(EDATE('자료_거시'!$D1947,-'설정'!$B$17),'자료_거시'!$D$3:INDEX('자료_거시'!$D$3:$D$4002,$K$6),1)),""),"")</f>
        <v/>
      </c>
      <c r="U1965">
        <f>IF(ISNUMBER(T1965),'자료_거시'!$D1947,"")</f>
        <v/>
      </c>
      <c r="V1965">
        <f>IF(ISNUMBER(U1965),IF(U1965&gt;$L$6,T1965,""),"")</f>
        <v/>
      </c>
      <c r="W1965">
        <f>IF(AND(ISNUMBER('자료_거시'!$G1947),ISNUMBER('자료_거시'!$H1947)),'자료_거시'!$H1947,"")</f>
        <v/>
      </c>
      <c r="X1965">
        <f>IF(ISNUMBER(W1965),'자료_거시'!$G1947,"")</f>
        <v/>
      </c>
      <c r="Y1965">
        <f>IF(ISNUMBER(X1965),IF(X1965&gt;$L$7,W1965,""),"")</f>
        <v/>
      </c>
      <c r="Z1965">
        <f>IF(ISNUMBER('자료_거시'!$K1947),'자료_거시'!$K1947,Z1964)</f>
        <v/>
      </c>
      <c r="AA1965">
        <f>IF(AND(ISNUMBER('자료_거시'!$J1947),ISNUMBER('자료_거시'!$K1947)),IFERROR('자료_거시'!$K1947/INDEX($Z$21:$Z$4020,MATCH(EDATE('자료_거시'!$J1947,-'설정'!$B$17),'자료_거시'!$J$3:INDEX('자료_거시'!$J$3:$J$4002,$K$8),1))-1,""),"")</f>
        <v/>
      </c>
      <c r="AB1965">
        <f>IF(ISNUMBER(AA1965),'자료_거시'!$J1947,"")</f>
        <v/>
      </c>
      <c r="AC1965">
        <f>IF(ISNUMBER(AB1965),IF(AB1965&gt;$L$8,AA1965,""),"")</f>
        <v/>
      </c>
    </row>
    <row r="1966">
      <c r="S1966">
        <f>IF(ISNUMBER('자료_거시'!$E1948),'자료_거시'!$E1948,S1965)</f>
        <v/>
      </c>
      <c r="T1966">
        <f>IF(AND(ISNUMBER('자료_거시'!$D1948),ISNUMBER('자료_거시'!$E1948)),IFERROR('자료_거시'!$E1948-INDEX($S$21:$S$4020,MATCH(EDATE('자료_거시'!$D1948,-'설정'!$B$17),'자료_거시'!$D$3:INDEX('자료_거시'!$D$3:$D$4002,$K$6),1)),""),"")</f>
        <v/>
      </c>
      <c r="U1966">
        <f>IF(ISNUMBER(T1966),'자료_거시'!$D1948,"")</f>
        <v/>
      </c>
      <c r="V1966">
        <f>IF(ISNUMBER(U1966),IF(U1966&gt;$L$6,T1966,""),"")</f>
        <v/>
      </c>
      <c r="W1966">
        <f>IF(AND(ISNUMBER('자료_거시'!$G1948),ISNUMBER('자료_거시'!$H1948)),'자료_거시'!$H1948,"")</f>
        <v/>
      </c>
      <c r="X1966">
        <f>IF(ISNUMBER(W1966),'자료_거시'!$G1948,"")</f>
        <v/>
      </c>
      <c r="Y1966">
        <f>IF(ISNUMBER(X1966),IF(X1966&gt;$L$7,W1966,""),"")</f>
        <v/>
      </c>
      <c r="Z1966">
        <f>IF(ISNUMBER('자료_거시'!$K1948),'자료_거시'!$K1948,Z1965)</f>
        <v/>
      </c>
      <c r="AA1966">
        <f>IF(AND(ISNUMBER('자료_거시'!$J1948),ISNUMBER('자료_거시'!$K1948)),IFERROR('자료_거시'!$K1948/INDEX($Z$21:$Z$4020,MATCH(EDATE('자료_거시'!$J1948,-'설정'!$B$17),'자료_거시'!$J$3:INDEX('자료_거시'!$J$3:$J$4002,$K$8),1))-1,""),"")</f>
        <v/>
      </c>
      <c r="AB1966">
        <f>IF(ISNUMBER(AA1966),'자료_거시'!$J1948,"")</f>
        <v/>
      </c>
      <c r="AC1966">
        <f>IF(ISNUMBER(AB1966),IF(AB1966&gt;$L$8,AA1966,""),"")</f>
        <v/>
      </c>
    </row>
    <row r="1967">
      <c r="S1967">
        <f>IF(ISNUMBER('자료_거시'!$E1949),'자료_거시'!$E1949,S1966)</f>
        <v/>
      </c>
      <c r="T1967">
        <f>IF(AND(ISNUMBER('자료_거시'!$D1949),ISNUMBER('자료_거시'!$E1949)),IFERROR('자료_거시'!$E1949-INDEX($S$21:$S$4020,MATCH(EDATE('자료_거시'!$D1949,-'설정'!$B$17),'자료_거시'!$D$3:INDEX('자료_거시'!$D$3:$D$4002,$K$6),1)),""),"")</f>
        <v/>
      </c>
      <c r="U1967">
        <f>IF(ISNUMBER(T1967),'자료_거시'!$D1949,"")</f>
        <v/>
      </c>
      <c r="V1967">
        <f>IF(ISNUMBER(U1967),IF(U1967&gt;$L$6,T1967,""),"")</f>
        <v/>
      </c>
      <c r="W1967">
        <f>IF(AND(ISNUMBER('자료_거시'!$G1949),ISNUMBER('자료_거시'!$H1949)),'자료_거시'!$H1949,"")</f>
        <v/>
      </c>
      <c r="X1967">
        <f>IF(ISNUMBER(W1967),'자료_거시'!$G1949,"")</f>
        <v/>
      </c>
      <c r="Y1967">
        <f>IF(ISNUMBER(X1967),IF(X1967&gt;$L$7,W1967,""),"")</f>
        <v/>
      </c>
      <c r="Z1967">
        <f>IF(ISNUMBER('자료_거시'!$K1949),'자료_거시'!$K1949,Z1966)</f>
        <v/>
      </c>
      <c r="AA1967">
        <f>IF(AND(ISNUMBER('자료_거시'!$J1949),ISNUMBER('자료_거시'!$K1949)),IFERROR('자료_거시'!$K1949/INDEX($Z$21:$Z$4020,MATCH(EDATE('자료_거시'!$J1949,-'설정'!$B$17),'자료_거시'!$J$3:INDEX('자료_거시'!$J$3:$J$4002,$K$8),1))-1,""),"")</f>
        <v/>
      </c>
      <c r="AB1967">
        <f>IF(ISNUMBER(AA1967),'자료_거시'!$J1949,"")</f>
        <v/>
      </c>
      <c r="AC1967">
        <f>IF(ISNUMBER(AB1967),IF(AB1967&gt;$L$8,AA1967,""),"")</f>
        <v/>
      </c>
    </row>
    <row r="1968">
      <c r="S1968">
        <f>IF(ISNUMBER('자료_거시'!$E1950),'자료_거시'!$E1950,S1967)</f>
        <v/>
      </c>
      <c r="T1968">
        <f>IF(AND(ISNUMBER('자료_거시'!$D1950),ISNUMBER('자료_거시'!$E1950)),IFERROR('자료_거시'!$E1950-INDEX($S$21:$S$4020,MATCH(EDATE('자료_거시'!$D1950,-'설정'!$B$17),'자료_거시'!$D$3:INDEX('자료_거시'!$D$3:$D$4002,$K$6),1)),""),"")</f>
        <v/>
      </c>
      <c r="U1968">
        <f>IF(ISNUMBER(T1968),'자료_거시'!$D1950,"")</f>
        <v/>
      </c>
      <c r="V1968">
        <f>IF(ISNUMBER(U1968),IF(U1968&gt;$L$6,T1968,""),"")</f>
        <v/>
      </c>
      <c r="W1968">
        <f>IF(AND(ISNUMBER('자료_거시'!$G1950),ISNUMBER('자료_거시'!$H1950)),'자료_거시'!$H1950,"")</f>
        <v/>
      </c>
      <c r="X1968">
        <f>IF(ISNUMBER(W1968),'자료_거시'!$G1950,"")</f>
        <v/>
      </c>
      <c r="Y1968">
        <f>IF(ISNUMBER(X1968),IF(X1968&gt;$L$7,W1968,""),"")</f>
        <v/>
      </c>
      <c r="Z1968">
        <f>IF(ISNUMBER('자료_거시'!$K1950),'자료_거시'!$K1950,Z1967)</f>
        <v/>
      </c>
      <c r="AA1968">
        <f>IF(AND(ISNUMBER('자료_거시'!$J1950),ISNUMBER('자료_거시'!$K1950)),IFERROR('자료_거시'!$K1950/INDEX($Z$21:$Z$4020,MATCH(EDATE('자료_거시'!$J1950,-'설정'!$B$17),'자료_거시'!$J$3:INDEX('자료_거시'!$J$3:$J$4002,$K$8),1))-1,""),"")</f>
        <v/>
      </c>
      <c r="AB1968">
        <f>IF(ISNUMBER(AA1968),'자료_거시'!$J1950,"")</f>
        <v/>
      </c>
      <c r="AC1968">
        <f>IF(ISNUMBER(AB1968),IF(AB1968&gt;$L$8,AA1968,""),"")</f>
        <v/>
      </c>
    </row>
    <row r="1969">
      <c r="S1969">
        <f>IF(ISNUMBER('자료_거시'!$E1951),'자료_거시'!$E1951,S1968)</f>
        <v/>
      </c>
      <c r="T1969">
        <f>IF(AND(ISNUMBER('자료_거시'!$D1951),ISNUMBER('자료_거시'!$E1951)),IFERROR('자료_거시'!$E1951-INDEX($S$21:$S$4020,MATCH(EDATE('자료_거시'!$D1951,-'설정'!$B$17),'자료_거시'!$D$3:INDEX('자료_거시'!$D$3:$D$4002,$K$6),1)),""),"")</f>
        <v/>
      </c>
      <c r="U1969">
        <f>IF(ISNUMBER(T1969),'자료_거시'!$D1951,"")</f>
        <v/>
      </c>
      <c r="V1969">
        <f>IF(ISNUMBER(U1969),IF(U1969&gt;$L$6,T1969,""),"")</f>
        <v/>
      </c>
      <c r="W1969">
        <f>IF(AND(ISNUMBER('자료_거시'!$G1951),ISNUMBER('자료_거시'!$H1951)),'자료_거시'!$H1951,"")</f>
        <v/>
      </c>
      <c r="X1969">
        <f>IF(ISNUMBER(W1969),'자료_거시'!$G1951,"")</f>
        <v/>
      </c>
      <c r="Y1969">
        <f>IF(ISNUMBER(X1969),IF(X1969&gt;$L$7,W1969,""),"")</f>
        <v/>
      </c>
      <c r="Z1969">
        <f>IF(ISNUMBER('자료_거시'!$K1951),'자료_거시'!$K1951,Z1968)</f>
        <v/>
      </c>
      <c r="AA1969">
        <f>IF(AND(ISNUMBER('자료_거시'!$J1951),ISNUMBER('자료_거시'!$K1951)),IFERROR('자료_거시'!$K1951/INDEX($Z$21:$Z$4020,MATCH(EDATE('자료_거시'!$J1951,-'설정'!$B$17),'자료_거시'!$J$3:INDEX('자료_거시'!$J$3:$J$4002,$K$8),1))-1,""),"")</f>
        <v/>
      </c>
      <c r="AB1969">
        <f>IF(ISNUMBER(AA1969),'자료_거시'!$J1951,"")</f>
        <v/>
      </c>
      <c r="AC1969">
        <f>IF(ISNUMBER(AB1969),IF(AB1969&gt;$L$8,AA1969,""),"")</f>
        <v/>
      </c>
    </row>
    <row r="1970">
      <c r="S1970">
        <f>IF(ISNUMBER('자료_거시'!$E1952),'자료_거시'!$E1952,S1969)</f>
        <v/>
      </c>
      <c r="T1970">
        <f>IF(AND(ISNUMBER('자료_거시'!$D1952),ISNUMBER('자료_거시'!$E1952)),IFERROR('자료_거시'!$E1952-INDEX($S$21:$S$4020,MATCH(EDATE('자료_거시'!$D1952,-'설정'!$B$17),'자료_거시'!$D$3:INDEX('자료_거시'!$D$3:$D$4002,$K$6),1)),""),"")</f>
        <v/>
      </c>
      <c r="U1970">
        <f>IF(ISNUMBER(T1970),'자료_거시'!$D1952,"")</f>
        <v/>
      </c>
      <c r="V1970">
        <f>IF(ISNUMBER(U1970),IF(U1970&gt;$L$6,T1970,""),"")</f>
        <v/>
      </c>
      <c r="W1970">
        <f>IF(AND(ISNUMBER('자료_거시'!$G1952),ISNUMBER('자료_거시'!$H1952)),'자료_거시'!$H1952,"")</f>
        <v/>
      </c>
      <c r="X1970">
        <f>IF(ISNUMBER(W1970),'자료_거시'!$G1952,"")</f>
        <v/>
      </c>
      <c r="Y1970">
        <f>IF(ISNUMBER(X1970),IF(X1970&gt;$L$7,W1970,""),"")</f>
        <v/>
      </c>
      <c r="Z1970">
        <f>IF(ISNUMBER('자료_거시'!$K1952),'자료_거시'!$K1952,Z1969)</f>
        <v/>
      </c>
      <c r="AA1970">
        <f>IF(AND(ISNUMBER('자료_거시'!$J1952),ISNUMBER('자료_거시'!$K1952)),IFERROR('자료_거시'!$K1952/INDEX($Z$21:$Z$4020,MATCH(EDATE('자료_거시'!$J1952,-'설정'!$B$17),'자료_거시'!$J$3:INDEX('자료_거시'!$J$3:$J$4002,$K$8),1))-1,""),"")</f>
        <v/>
      </c>
      <c r="AB1970">
        <f>IF(ISNUMBER(AA1970),'자료_거시'!$J1952,"")</f>
        <v/>
      </c>
      <c r="AC1970">
        <f>IF(ISNUMBER(AB1970),IF(AB1970&gt;$L$8,AA1970,""),"")</f>
        <v/>
      </c>
    </row>
    <row r="1971">
      <c r="S1971">
        <f>IF(ISNUMBER('자료_거시'!$E1953),'자료_거시'!$E1953,S1970)</f>
        <v/>
      </c>
      <c r="T1971">
        <f>IF(AND(ISNUMBER('자료_거시'!$D1953),ISNUMBER('자료_거시'!$E1953)),IFERROR('자료_거시'!$E1953-INDEX($S$21:$S$4020,MATCH(EDATE('자료_거시'!$D1953,-'설정'!$B$17),'자료_거시'!$D$3:INDEX('자료_거시'!$D$3:$D$4002,$K$6),1)),""),"")</f>
        <v/>
      </c>
      <c r="U1971">
        <f>IF(ISNUMBER(T1971),'자료_거시'!$D1953,"")</f>
        <v/>
      </c>
      <c r="V1971">
        <f>IF(ISNUMBER(U1971),IF(U1971&gt;$L$6,T1971,""),"")</f>
        <v/>
      </c>
      <c r="W1971">
        <f>IF(AND(ISNUMBER('자료_거시'!$G1953),ISNUMBER('자료_거시'!$H1953)),'자료_거시'!$H1953,"")</f>
        <v/>
      </c>
      <c r="X1971">
        <f>IF(ISNUMBER(W1971),'자료_거시'!$G1953,"")</f>
        <v/>
      </c>
      <c r="Y1971">
        <f>IF(ISNUMBER(X1971),IF(X1971&gt;$L$7,W1971,""),"")</f>
        <v/>
      </c>
      <c r="Z1971">
        <f>IF(ISNUMBER('자료_거시'!$K1953),'자료_거시'!$K1953,Z1970)</f>
        <v/>
      </c>
      <c r="AA1971">
        <f>IF(AND(ISNUMBER('자료_거시'!$J1953),ISNUMBER('자료_거시'!$K1953)),IFERROR('자료_거시'!$K1953/INDEX($Z$21:$Z$4020,MATCH(EDATE('자료_거시'!$J1953,-'설정'!$B$17),'자료_거시'!$J$3:INDEX('자료_거시'!$J$3:$J$4002,$K$8),1))-1,""),"")</f>
        <v/>
      </c>
      <c r="AB1971">
        <f>IF(ISNUMBER(AA1971),'자료_거시'!$J1953,"")</f>
        <v/>
      </c>
      <c r="AC1971">
        <f>IF(ISNUMBER(AB1971),IF(AB1971&gt;$L$8,AA1971,""),"")</f>
        <v/>
      </c>
    </row>
    <row r="1972">
      <c r="S1972">
        <f>IF(ISNUMBER('자료_거시'!$E1954),'자료_거시'!$E1954,S1971)</f>
        <v/>
      </c>
      <c r="T1972">
        <f>IF(AND(ISNUMBER('자료_거시'!$D1954),ISNUMBER('자료_거시'!$E1954)),IFERROR('자료_거시'!$E1954-INDEX($S$21:$S$4020,MATCH(EDATE('자료_거시'!$D1954,-'설정'!$B$17),'자료_거시'!$D$3:INDEX('자료_거시'!$D$3:$D$4002,$K$6),1)),""),"")</f>
        <v/>
      </c>
      <c r="U1972">
        <f>IF(ISNUMBER(T1972),'자료_거시'!$D1954,"")</f>
        <v/>
      </c>
      <c r="V1972">
        <f>IF(ISNUMBER(U1972),IF(U1972&gt;$L$6,T1972,""),"")</f>
        <v/>
      </c>
      <c r="W1972">
        <f>IF(AND(ISNUMBER('자료_거시'!$G1954),ISNUMBER('자료_거시'!$H1954)),'자료_거시'!$H1954,"")</f>
        <v/>
      </c>
      <c r="X1972">
        <f>IF(ISNUMBER(W1972),'자료_거시'!$G1954,"")</f>
        <v/>
      </c>
      <c r="Y1972">
        <f>IF(ISNUMBER(X1972),IF(X1972&gt;$L$7,W1972,""),"")</f>
        <v/>
      </c>
      <c r="Z1972">
        <f>IF(ISNUMBER('자료_거시'!$K1954),'자료_거시'!$K1954,Z1971)</f>
        <v/>
      </c>
      <c r="AA1972">
        <f>IF(AND(ISNUMBER('자료_거시'!$J1954),ISNUMBER('자료_거시'!$K1954)),IFERROR('자료_거시'!$K1954/INDEX($Z$21:$Z$4020,MATCH(EDATE('자료_거시'!$J1954,-'설정'!$B$17),'자료_거시'!$J$3:INDEX('자료_거시'!$J$3:$J$4002,$K$8),1))-1,""),"")</f>
        <v/>
      </c>
      <c r="AB1972">
        <f>IF(ISNUMBER(AA1972),'자료_거시'!$J1954,"")</f>
        <v/>
      </c>
      <c r="AC1972">
        <f>IF(ISNUMBER(AB1972),IF(AB1972&gt;$L$8,AA1972,""),"")</f>
        <v/>
      </c>
    </row>
    <row r="1973">
      <c r="S1973">
        <f>IF(ISNUMBER('자료_거시'!$E1955),'자료_거시'!$E1955,S1972)</f>
        <v/>
      </c>
      <c r="T1973">
        <f>IF(AND(ISNUMBER('자료_거시'!$D1955),ISNUMBER('자료_거시'!$E1955)),IFERROR('자료_거시'!$E1955-INDEX($S$21:$S$4020,MATCH(EDATE('자료_거시'!$D1955,-'설정'!$B$17),'자료_거시'!$D$3:INDEX('자료_거시'!$D$3:$D$4002,$K$6),1)),""),"")</f>
        <v/>
      </c>
      <c r="U1973">
        <f>IF(ISNUMBER(T1973),'자료_거시'!$D1955,"")</f>
        <v/>
      </c>
      <c r="V1973">
        <f>IF(ISNUMBER(U1973),IF(U1973&gt;$L$6,T1973,""),"")</f>
        <v/>
      </c>
      <c r="W1973">
        <f>IF(AND(ISNUMBER('자료_거시'!$G1955),ISNUMBER('자료_거시'!$H1955)),'자료_거시'!$H1955,"")</f>
        <v/>
      </c>
      <c r="X1973">
        <f>IF(ISNUMBER(W1973),'자료_거시'!$G1955,"")</f>
        <v/>
      </c>
      <c r="Y1973">
        <f>IF(ISNUMBER(X1973),IF(X1973&gt;$L$7,W1973,""),"")</f>
        <v/>
      </c>
      <c r="Z1973">
        <f>IF(ISNUMBER('자료_거시'!$K1955),'자료_거시'!$K1955,Z1972)</f>
        <v/>
      </c>
      <c r="AA1973">
        <f>IF(AND(ISNUMBER('자료_거시'!$J1955),ISNUMBER('자료_거시'!$K1955)),IFERROR('자료_거시'!$K1955/INDEX($Z$21:$Z$4020,MATCH(EDATE('자료_거시'!$J1955,-'설정'!$B$17),'자료_거시'!$J$3:INDEX('자료_거시'!$J$3:$J$4002,$K$8),1))-1,""),"")</f>
        <v/>
      </c>
      <c r="AB1973">
        <f>IF(ISNUMBER(AA1973),'자료_거시'!$J1955,"")</f>
        <v/>
      </c>
      <c r="AC1973">
        <f>IF(ISNUMBER(AB1973),IF(AB1973&gt;$L$8,AA1973,""),"")</f>
        <v/>
      </c>
    </row>
    <row r="1974">
      <c r="S1974">
        <f>IF(ISNUMBER('자료_거시'!$E1956),'자료_거시'!$E1956,S1973)</f>
        <v/>
      </c>
      <c r="T1974">
        <f>IF(AND(ISNUMBER('자료_거시'!$D1956),ISNUMBER('자료_거시'!$E1956)),IFERROR('자료_거시'!$E1956-INDEX($S$21:$S$4020,MATCH(EDATE('자료_거시'!$D1956,-'설정'!$B$17),'자료_거시'!$D$3:INDEX('자료_거시'!$D$3:$D$4002,$K$6),1)),""),"")</f>
        <v/>
      </c>
      <c r="U1974">
        <f>IF(ISNUMBER(T1974),'자료_거시'!$D1956,"")</f>
        <v/>
      </c>
      <c r="V1974">
        <f>IF(ISNUMBER(U1974),IF(U1974&gt;$L$6,T1974,""),"")</f>
        <v/>
      </c>
      <c r="W1974">
        <f>IF(AND(ISNUMBER('자료_거시'!$G1956),ISNUMBER('자료_거시'!$H1956)),'자료_거시'!$H1956,"")</f>
        <v/>
      </c>
      <c r="X1974">
        <f>IF(ISNUMBER(W1974),'자료_거시'!$G1956,"")</f>
        <v/>
      </c>
      <c r="Y1974">
        <f>IF(ISNUMBER(X1974),IF(X1974&gt;$L$7,W1974,""),"")</f>
        <v/>
      </c>
      <c r="Z1974">
        <f>IF(ISNUMBER('자료_거시'!$K1956),'자료_거시'!$K1956,Z1973)</f>
        <v/>
      </c>
      <c r="AA1974">
        <f>IF(AND(ISNUMBER('자료_거시'!$J1956),ISNUMBER('자료_거시'!$K1956)),IFERROR('자료_거시'!$K1956/INDEX($Z$21:$Z$4020,MATCH(EDATE('자료_거시'!$J1956,-'설정'!$B$17),'자료_거시'!$J$3:INDEX('자료_거시'!$J$3:$J$4002,$K$8),1))-1,""),"")</f>
        <v/>
      </c>
      <c r="AB1974">
        <f>IF(ISNUMBER(AA1974),'자료_거시'!$J1956,"")</f>
        <v/>
      </c>
      <c r="AC1974">
        <f>IF(ISNUMBER(AB1974),IF(AB1974&gt;$L$8,AA1974,""),"")</f>
        <v/>
      </c>
    </row>
    <row r="1975">
      <c r="S1975">
        <f>IF(ISNUMBER('자료_거시'!$E1957),'자료_거시'!$E1957,S1974)</f>
        <v/>
      </c>
      <c r="T1975">
        <f>IF(AND(ISNUMBER('자료_거시'!$D1957),ISNUMBER('자료_거시'!$E1957)),IFERROR('자료_거시'!$E1957-INDEX($S$21:$S$4020,MATCH(EDATE('자료_거시'!$D1957,-'설정'!$B$17),'자료_거시'!$D$3:INDEX('자료_거시'!$D$3:$D$4002,$K$6),1)),""),"")</f>
        <v/>
      </c>
      <c r="U1975">
        <f>IF(ISNUMBER(T1975),'자료_거시'!$D1957,"")</f>
        <v/>
      </c>
      <c r="V1975">
        <f>IF(ISNUMBER(U1975),IF(U1975&gt;$L$6,T1975,""),"")</f>
        <v/>
      </c>
      <c r="W1975">
        <f>IF(AND(ISNUMBER('자료_거시'!$G1957),ISNUMBER('자료_거시'!$H1957)),'자료_거시'!$H1957,"")</f>
        <v/>
      </c>
      <c r="X1975">
        <f>IF(ISNUMBER(W1975),'자료_거시'!$G1957,"")</f>
        <v/>
      </c>
      <c r="Y1975">
        <f>IF(ISNUMBER(X1975),IF(X1975&gt;$L$7,W1975,""),"")</f>
        <v/>
      </c>
      <c r="Z1975">
        <f>IF(ISNUMBER('자료_거시'!$K1957),'자료_거시'!$K1957,Z1974)</f>
        <v/>
      </c>
      <c r="AA1975">
        <f>IF(AND(ISNUMBER('자료_거시'!$J1957),ISNUMBER('자료_거시'!$K1957)),IFERROR('자료_거시'!$K1957/INDEX($Z$21:$Z$4020,MATCH(EDATE('자료_거시'!$J1957,-'설정'!$B$17),'자료_거시'!$J$3:INDEX('자료_거시'!$J$3:$J$4002,$K$8),1))-1,""),"")</f>
        <v/>
      </c>
      <c r="AB1975">
        <f>IF(ISNUMBER(AA1975),'자료_거시'!$J1957,"")</f>
        <v/>
      </c>
      <c r="AC1975">
        <f>IF(ISNUMBER(AB1975),IF(AB1975&gt;$L$8,AA1975,""),"")</f>
        <v/>
      </c>
    </row>
    <row r="1976">
      <c r="S1976">
        <f>IF(ISNUMBER('자료_거시'!$E1958),'자료_거시'!$E1958,S1975)</f>
        <v/>
      </c>
      <c r="T1976">
        <f>IF(AND(ISNUMBER('자료_거시'!$D1958),ISNUMBER('자료_거시'!$E1958)),IFERROR('자료_거시'!$E1958-INDEX($S$21:$S$4020,MATCH(EDATE('자료_거시'!$D1958,-'설정'!$B$17),'자료_거시'!$D$3:INDEX('자료_거시'!$D$3:$D$4002,$K$6),1)),""),"")</f>
        <v/>
      </c>
      <c r="U1976">
        <f>IF(ISNUMBER(T1976),'자료_거시'!$D1958,"")</f>
        <v/>
      </c>
      <c r="V1976">
        <f>IF(ISNUMBER(U1976),IF(U1976&gt;$L$6,T1976,""),"")</f>
        <v/>
      </c>
      <c r="W1976">
        <f>IF(AND(ISNUMBER('자료_거시'!$G1958),ISNUMBER('자료_거시'!$H1958)),'자료_거시'!$H1958,"")</f>
        <v/>
      </c>
      <c r="X1976">
        <f>IF(ISNUMBER(W1976),'자료_거시'!$G1958,"")</f>
        <v/>
      </c>
      <c r="Y1976">
        <f>IF(ISNUMBER(X1976),IF(X1976&gt;$L$7,W1976,""),"")</f>
        <v/>
      </c>
      <c r="Z1976">
        <f>IF(ISNUMBER('자료_거시'!$K1958),'자료_거시'!$K1958,Z1975)</f>
        <v/>
      </c>
      <c r="AA1976">
        <f>IF(AND(ISNUMBER('자료_거시'!$J1958),ISNUMBER('자료_거시'!$K1958)),IFERROR('자료_거시'!$K1958/INDEX($Z$21:$Z$4020,MATCH(EDATE('자료_거시'!$J1958,-'설정'!$B$17),'자료_거시'!$J$3:INDEX('자료_거시'!$J$3:$J$4002,$K$8),1))-1,""),"")</f>
        <v/>
      </c>
      <c r="AB1976">
        <f>IF(ISNUMBER(AA1976),'자료_거시'!$J1958,"")</f>
        <v/>
      </c>
      <c r="AC1976">
        <f>IF(ISNUMBER(AB1976),IF(AB1976&gt;$L$8,AA1976,""),"")</f>
        <v/>
      </c>
    </row>
    <row r="1977">
      <c r="S1977">
        <f>IF(ISNUMBER('자료_거시'!$E1959),'자료_거시'!$E1959,S1976)</f>
        <v/>
      </c>
      <c r="T1977">
        <f>IF(AND(ISNUMBER('자료_거시'!$D1959),ISNUMBER('자료_거시'!$E1959)),IFERROR('자료_거시'!$E1959-INDEX($S$21:$S$4020,MATCH(EDATE('자료_거시'!$D1959,-'설정'!$B$17),'자료_거시'!$D$3:INDEX('자료_거시'!$D$3:$D$4002,$K$6),1)),""),"")</f>
        <v/>
      </c>
      <c r="U1977">
        <f>IF(ISNUMBER(T1977),'자료_거시'!$D1959,"")</f>
        <v/>
      </c>
      <c r="V1977">
        <f>IF(ISNUMBER(U1977),IF(U1977&gt;$L$6,T1977,""),"")</f>
        <v/>
      </c>
      <c r="W1977">
        <f>IF(AND(ISNUMBER('자료_거시'!$G1959),ISNUMBER('자료_거시'!$H1959)),'자료_거시'!$H1959,"")</f>
        <v/>
      </c>
      <c r="X1977">
        <f>IF(ISNUMBER(W1977),'자료_거시'!$G1959,"")</f>
        <v/>
      </c>
      <c r="Y1977">
        <f>IF(ISNUMBER(X1977),IF(X1977&gt;$L$7,W1977,""),"")</f>
        <v/>
      </c>
      <c r="Z1977">
        <f>IF(ISNUMBER('자료_거시'!$K1959),'자료_거시'!$K1959,Z1976)</f>
        <v/>
      </c>
      <c r="AA1977">
        <f>IF(AND(ISNUMBER('자료_거시'!$J1959),ISNUMBER('자료_거시'!$K1959)),IFERROR('자료_거시'!$K1959/INDEX($Z$21:$Z$4020,MATCH(EDATE('자료_거시'!$J1959,-'설정'!$B$17),'자료_거시'!$J$3:INDEX('자료_거시'!$J$3:$J$4002,$K$8),1))-1,""),"")</f>
        <v/>
      </c>
      <c r="AB1977">
        <f>IF(ISNUMBER(AA1977),'자료_거시'!$J1959,"")</f>
        <v/>
      </c>
      <c r="AC1977">
        <f>IF(ISNUMBER(AB1977),IF(AB1977&gt;$L$8,AA1977,""),"")</f>
        <v/>
      </c>
    </row>
    <row r="1978">
      <c r="S1978">
        <f>IF(ISNUMBER('자료_거시'!$E1960),'자료_거시'!$E1960,S1977)</f>
        <v/>
      </c>
      <c r="T1978">
        <f>IF(AND(ISNUMBER('자료_거시'!$D1960),ISNUMBER('자료_거시'!$E1960)),IFERROR('자료_거시'!$E1960-INDEX($S$21:$S$4020,MATCH(EDATE('자료_거시'!$D1960,-'설정'!$B$17),'자료_거시'!$D$3:INDEX('자료_거시'!$D$3:$D$4002,$K$6),1)),""),"")</f>
        <v/>
      </c>
      <c r="U1978">
        <f>IF(ISNUMBER(T1978),'자료_거시'!$D1960,"")</f>
        <v/>
      </c>
      <c r="V1978">
        <f>IF(ISNUMBER(U1978),IF(U1978&gt;$L$6,T1978,""),"")</f>
        <v/>
      </c>
      <c r="W1978">
        <f>IF(AND(ISNUMBER('자료_거시'!$G1960),ISNUMBER('자료_거시'!$H1960)),'자료_거시'!$H1960,"")</f>
        <v/>
      </c>
      <c r="X1978">
        <f>IF(ISNUMBER(W1978),'자료_거시'!$G1960,"")</f>
        <v/>
      </c>
      <c r="Y1978">
        <f>IF(ISNUMBER(X1978),IF(X1978&gt;$L$7,W1978,""),"")</f>
        <v/>
      </c>
      <c r="Z1978">
        <f>IF(ISNUMBER('자료_거시'!$K1960),'자료_거시'!$K1960,Z1977)</f>
        <v/>
      </c>
      <c r="AA1978">
        <f>IF(AND(ISNUMBER('자료_거시'!$J1960),ISNUMBER('자료_거시'!$K1960)),IFERROR('자료_거시'!$K1960/INDEX($Z$21:$Z$4020,MATCH(EDATE('자료_거시'!$J1960,-'설정'!$B$17),'자료_거시'!$J$3:INDEX('자료_거시'!$J$3:$J$4002,$K$8),1))-1,""),"")</f>
        <v/>
      </c>
      <c r="AB1978">
        <f>IF(ISNUMBER(AA1978),'자료_거시'!$J1960,"")</f>
        <v/>
      </c>
      <c r="AC1978">
        <f>IF(ISNUMBER(AB1978),IF(AB1978&gt;$L$8,AA1978,""),"")</f>
        <v/>
      </c>
    </row>
    <row r="1979">
      <c r="S1979">
        <f>IF(ISNUMBER('자료_거시'!$E1961),'자료_거시'!$E1961,S1978)</f>
        <v/>
      </c>
      <c r="T1979">
        <f>IF(AND(ISNUMBER('자료_거시'!$D1961),ISNUMBER('자료_거시'!$E1961)),IFERROR('자료_거시'!$E1961-INDEX($S$21:$S$4020,MATCH(EDATE('자료_거시'!$D1961,-'설정'!$B$17),'자료_거시'!$D$3:INDEX('자료_거시'!$D$3:$D$4002,$K$6),1)),""),"")</f>
        <v/>
      </c>
      <c r="U1979">
        <f>IF(ISNUMBER(T1979),'자료_거시'!$D1961,"")</f>
        <v/>
      </c>
      <c r="V1979">
        <f>IF(ISNUMBER(U1979),IF(U1979&gt;$L$6,T1979,""),"")</f>
        <v/>
      </c>
      <c r="W1979">
        <f>IF(AND(ISNUMBER('자료_거시'!$G1961),ISNUMBER('자료_거시'!$H1961)),'자료_거시'!$H1961,"")</f>
        <v/>
      </c>
      <c r="X1979">
        <f>IF(ISNUMBER(W1979),'자료_거시'!$G1961,"")</f>
        <v/>
      </c>
      <c r="Y1979">
        <f>IF(ISNUMBER(X1979),IF(X1979&gt;$L$7,W1979,""),"")</f>
        <v/>
      </c>
      <c r="Z1979">
        <f>IF(ISNUMBER('자료_거시'!$K1961),'자료_거시'!$K1961,Z1978)</f>
        <v/>
      </c>
      <c r="AA1979">
        <f>IF(AND(ISNUMBER('자료_거시'!$J1961),ISNUMBER('자료_거시'!$K1961)),IFERROR('자료_거시'!$K1961/INDEX($Z$21:$Z$4020,MATCH(EDATE('자료_거시'!$J1961,-'설정'!$B$17),'자료_거시'!$J$3:INDEX('자료_거시'!$J$3:$J$4002,$K$8),1))-1,""),"")</f>
        <v/>
      </c>
      <c r="AB1979">
        <f>IF(ISNUMBER(AA1979),'자료_거시'!$J1961,"")</f>
        <v/>
      </c>
      <c r="AC1979">
        <f>IF(ISNUMBER(AB1979),IF(AB1979&gt;$L$8,AA1979,""),"")</f>
        <v/>
      </c>
    </row>
    <row r="1980">
      <c r="S1980">
        <f>IF(ISNUMBER('자료_거시'!$E1962),'자료_거시'!$E1962,S1979)</f>
        <v/>
      </c>
      <c r="T1980">
        <f>IF(AND(ISNUMBER('자료_거시'!$D1962),ISNUMBER('자료_거시'!$E1962)),IFERROR('자료_거시'!$E1962-INDEX($S$21:$S$4020,MATCH(EDATE('자료_거시'!$D1962,-'설정'!$B$17),'자료_거시'!$D$3:INDEX('자료_거시'!$D$3:$D$4002,$K$6),1)),""),"")</f>
        <v/>
      </c>
      <c r="U1980">
        <f>IF(ISNUMBER(T1980),'자료_거시'!$D1962,"")</f>
        <v/>
      </c>
      <c r="V1980">
        <f>IF(ISNUMBER(U1980),IF(U1980&gt;$L$6,T1980,""),"")</f>
        <v/>
      </c>
      <c r="W1980">
        <f>IF(AND(ISNUMBER('자료_거시'!$G1962),ISNUMBER('자료_거시'!$H1962)),'자료_거시'!$H1962,"")</f>
        <v/>
      </c>
      <c r="X1980">
        <f>IF(ISNUMBER(W1980),'자료_거시'!$G1962,"")</f>
        <v/>
      </c>
      <c r="Y1980">
        <f>IF(ISNUMBER(X1980),IF(X1980&gt;$L$7,W1980,""),"")</f>
        <v/>
      </c>
      <c r="Z1980">
        <f>IF(ISNUMBER('자료_거시'!$K1962),'자료_거시'!$K1962,Z1979)</f>
        <v/>
      </c>
      <c r="AA1980">
        <f>IF(AND(ISNUMBER('자료_거시'!$J1962),ISNUMBER('자료_거시'!$K1962)),IFERROR('자료_거시'!$K1962/INDEX($Z$21:$Z$4020,MATCH(EDATE('자료_거시'!$J1962,-'설정'!$B$17),'자료_거시'!$J$3:INDEX('자료_거시'!$J$3:$J$4002,$K$8),1))-1,""),"")</f>
        <v/>
      </c>
      <c r="AB1980">
        <f>IF(ISNUMBER(AA1980),'자료_거시'!$J1962,"")</f>
        <v/>
      </c>
      <c r="AC1980">
        <f>IF(ISNUMBER(AB1980),IF(AB1980&gt;$L$8,AA1980,""),"")</f>
        <v/>
      </c>
    </row>
    <row r="1981">
      <c r="S1981">
        <f>IF(ISNUMBER('자료_거시'!$E1963),'자료_거시'!$E1963,S1980)</f>
        <v/>
      </c>
      <c r="T1981">
        <f>IF(AND(ISNUMBER('자료_거시'!$D1963),ISNUMBER('자료_거시'!$E1963)),IFERROR('자료_거시'!$E1963-INDEX($S$21:$S$4020,MATCH(EDATE('자료_거시'!$D1963,-'설정'!$B$17),'자료_거시'!$D$3:INDEX('자료_거시'!$D$3:$D$4002,$K$6),1)),""),"")</f>
        <v/>
      </c>
      <c r="U1981">
        <f>IF(ISNUMBER(T1981),'자료_거시'!$D1963,"")</f>
        <v/>
      </c>
      <c r="V1981">
        <f>IF(ISNUMBER(U1981),IF(U1981&gt;$L$6,T1981,""),"")</f>
        <v/>
      </c>
      <c r="W1981">
        <f>IF(AND(ISNUMBER('자료_거시'!$G1963),ISNUMBER('자료_거시'!$H1963)),'자료_거시'!$H1963,"")</f>
        <v/>
      </c>
      <c r="X1981">
        <f>IF(ISNUMBER(W1981),'자료_거시'!$G1963,"")</f>
        <v/>
      </c>
      <c r="Y1981">
        <f>IF(ISNUMBER(X1981),IF(X1981&gt;$L$7,W1981,""),"")</f>
        <v/>
      </c>
      <c r="Z1981">
        <f>IF(ISNUMBER('자료_거시'!$K1963),'자료_거시'!$K1963,Z1980)</f>
        <v/>
      </c>
      <c r="AA1981">
        <f>IF(AND(ISNUMBER('자료_거시'!$J1963),ISNUMBER('자료_거시'!$K1963)),IFERROR('자료_거시'!$K1963/INDEX($Z$21:$Z$4020,MATCH(EDATE('자료_거시'!$J1963,-'설정'!$B$17),'자료_거시'!$J$3:INDEX('자료_거시'!$J$3:$J$4002,$K$8),1))-1,""),"")</f>
        <v/>
      </c>
      <c r="AB1981">
        <f>IF(ISNUMBER(AA1981),'자료_거시'!$J1963,"")</f>
        <v/>
      </c>
      <c r="AC1981">
        <f>IF(ISNUMBER(AB1981),IF(AB1981&gt;$L$8,AA1981,""),"")</f>
        <v/>
      </c>
    </row>
    <row r="1982">
      <c r="S1982">
        <f>IF(ISNUMBER('자료_거시'!$E1964),'자료_거시'!$E1964,S1981)</f>
        <v/>
      </c>
      <c r="T1982">
        <f>IF(AND(ISNUMBER('자료_거시'!$D1964),ISNUMBER('자료_거시'!$E1964)),IFERROR('자료_거시'!$E1964-INDEX($S$21:$S$4020,MATCH(EDATE('자료_거시'!$D1964,-'설정'!$B$17),'자료_거시'!$D$3:INDEX('자료_거시'!$D$3:$D$4002,$K$6),1)),""),"")</f>
        <v/>
      </c>
      <c r="U1982">
        <f>IF(ISNUMBER(T1982),'자료_거시'!$D1964,"")</f>
        <v/>
      </c>
      <c r="V1982">
        <f>IF(ISNUMBER(U1982),IF(U1982&gt;$L$6,T1982,""),"")</f>
        <v/>
      </c>
      <c r="W1982">
        <f>IF(AND(ISNUMBER('자료_거시'!$G1964),ISNUMBER('자료_거시'!$H1964)),'자료_거시'!$H1964,"")</f>
        <v/>
      </c>
      <c r="X1982">
        <f>IF(ISNUMBER(W1982),'자료_거시'!$G1964,"")</f>
        <v/>
      </c>
      <c r="Y1982">
        <f>IF(ISNUMBER(X1982),IF(X1982&gt;$L$7,W1982,""),"")</f>
        <v/>
      </c>
      <c r="Z1982">
        <f>IF(ISNUMBER('자료_거시'!$K1964),'자료_거시'!$K1964,Z1981)</f>
        <v/>
      </c>
      <c r="AA1982">
        <f>IF(AND(ISNUMBER('자료_거시'!$J1964),ISNUMBER('자료_거시'!$K1964)),IFERROR('자료_거시'!$K1964/INDEX($Z$21:$Z$4020,MATCH(EDATE('자료_거시'!$J1964,-'설정'!$B$17),'자료_거시'!$J$3:INDEX('자료_거시'!$J$3:$J$4002,$K$8),1))-1,""),"")</f>
        <v/>
      </c>
      <c r="AB1982">
        <f>IF(ISNUMBER(AA1982),'자료_거시'!$J1964,"")</f>
        <v/>
      </c>
      <c r="AC1982">
        <f>IF(ISNUMBER(AB1982),IF(AB1982&gt;$L$8,AA1982,""),"")</f>
        <v/>
      </c>
    </row>
    <row r="1983">
      <c r="S1983">
        <f>IF(ISNUMBER('자료_거시'!$E1965),'자료_거시'!$E1965,S1982)</f>
        <v/>
      </c>
      <c r="T1983">
        <f>IF(AND(ISNUMBER('자료_거시'!$D1965),ISNUMBER('자료_거시'!$E1965)),IFERROR('자료_거시'!$E1965-INDEX($S$21:$S$4020,MATCH(EDATE('자료_거시'!$D1965,-'설정'!$B$17),'자료_거시'!$D$3:INDEX('자료_거시'!$D$3:$D$4002,$K$6),1)),""),"")</f>
        <v/>
      </c>
      <c r="U1983">
        <f>IF(ISNUMBER(T1983),'자료_거시'!$D1965,"")</f>
        <v/>
      </c>
      <c r="V1983">
        <f>IF(ISNUMBER(U1983),IF(U1983&gt;$L$6,T1983,""),"")</f>
        <v/>
      </c>
      <c r="W1983">
        <f>IF(AND(ISNUMBER('자료_거시'!$G1965),ISNUMBER('자료_거시'!$H1965)),'자료_거시'!$H1965,"")</f>
        <v/>
      </c>
      <c r="X1983">
        <f>IF(ISNUMBER(W1983),'자료_거시'!$G1965,"")</f>
        <v/>
      </c>
      <c r="Y1983">
        <f>IF(ISNUMBER(X1983),IF(X1983&gt;$L$7,W1983,""),"")</f>
        <v/>
      </c>
      <c r="Z1983">
        <f>IF(ISNUMBER('자료_거시'!$K1965),'자료_거시'!$K1965,Z1982)</f>
        <v/>
      </c>
      <c r="AA1983">
        <f>IF(AND(ISNUMBER('자료_거시'!$J1965),ISNUMBER('자료_거시'!$K1965)),IFERROR('자료_거시'!$K1965/INDEX($Z$21:$Z$4020,MATCH(EDATE('자료_거시'!$J1965,-'설정'!$B$17),'자료_거시'!$J$3:INDEX('자료_거시'!$J$3:$J$4002,$K$8),1))-1,""),"")</f>
        <v/>
      </c>
      <c r="AB1983">
        <f>IF(ISNUMBER(AA1983),'자료_거시'!$J1965,"")</f>
        <v/>
      </c>
      <c r="AC1983">
        <f>IF(ISNUMBER(AB1983),IF(AB1983&gt;$L$8,AA1983,""),"")</f>
        <v/>
      </c>
    </row>
    <row r="1984">
      <c r="S1984">
        <f>IF(ISNUMBER('자료_거시'!$E1966),'자료_거시'!$E1966,S1983)</f>
        <v/>
      </c>
      <c r="T1984">
        <f>IF(AND(ISNUMBER('자료_거시'!$D1966),ISNUMBER('자료_거시'!$E1966)),IFERROR('자료_거시'!$E1966-INDEX($S$21:$S$4020,MATCH(EDATE('자료_거시'!$D1966,-'설정'!$B$17),'자료_거시'!$D$3:INDEX('자료_거시'!$D$3:$D$4002,$K$6),1)),""),"")</f>
        <v/>
      </c>
      <c r="U1984">
        <f>IF(ISNUMBER(T1984),'자료_거시'!$D1966,"")</f>
        <v/>
      </c>
      <c r="V1984">
        <f>IF(ISNUMBER(U1984),IF(U1984&gt;$L$6,T1984,""),"")</f>
        <v/>
      </c>
      <c r="W1984">
        <f>IF(AND(ISNUMBER('자료_거시'!$G1966),ISNUMBER('자료_거시'!$H1966)),'자료_거시'!$H1966,"")</f>
        <v/>
      </c>
      <c r="X1984">
        <f>IF(ISNUMBER(W1984),'자료_거시'!$G1966,"")</f>
        <v/>
      </c>
      <c r="Y1984">
        <f>IF(ISNUMBER(X1984),IF(X1984&gt;$L$7,W1984,""),"")</f>
        <v/>
      </c>
      <c r="Z1984">
        <f>IF(ISNUMBER('자료_거시'!$K1966),'자료_거시'!$K1966,Z1983)</f>
        <v/>
      </c>
      <c r="AA1984">
        <f>IF(AND(ISNUMBER('자료_거시'!$J1966),ISNUMBER('자료_거시'!$K1966)),IFERROR('자료_거시'!$K1966/INDEX($Z$21:$Z$4020,MATCH(EDATE('자료_거시'!$J1966,-'설정'!$B$17),'자료_거시'!$J$3:INDEX('자료_거시'!$J$3:$J$4002,$K$8),1))-1,""),"")</f>
        <v/>
      </c>
      <c r="AB1984">
        <f>IF(ISNUMBER(AA1984),'자료_거시'!$J1966,"")</f>
        <v/>
      </c>
      <c r="AC1984">
        <f>IF(ISNUMBER(AB1984),IF(AB1984&gt;$L$8,AA1984,""),"")</f>
        <v/>
      </c>
    </row>
    <row r="1985">
      <c r="S1985">
        <f>IF(ISNUMBER('자료_거시'!$E1967),'자료_거시'!$E1967,S1984)</f>
        <v/>
      </c>
      <c r="T1985">
        <f>IF(AND(ISNUMBER('자료_거시'!$D1967),ISNUMBER('자료_거시'!$E1967)),IFERROR('자료_거시'!$E1967-INDEX($S$21:$S$4020,MATCH(EDATE('자료_거시'!$D1967,-'설정'!$B$17),'자료_거시'!$D$3:INDEX('자료_거시'!$D$3:$D$4002,$K$6),1)),""),"")</f>
        <v/>
      </c>
      <c r="U1985">
        <f>IF(ISNUMBER(T1985),'자료_거시'!$D1967,"")</f>
        <v/>
      </c>
      <c r="V1985">
        <f>IF(ISNUMBER(U1985),IF(U1985&gt;$L$6,T1985,""),"")</f>
        <v/>
      </c>
      <c r="W1985">
        <f>IF(AND(ISNUMBER('자료_거시'!$G1967),ISNUMBER('자료_거시'!$H1967)),'자료_거시'!$H1967,"")</f>
        <v/>
      </c>
      <c r="X1985">
        <f>IF(ISNUMBER(W1985),'자료_거시'!$G1967,"")</f>
        <v/>
      </c>
      <c r="Y1985">
        <f>IF(ISNUMBER(X1985),IF(X1985&gt;$L$7,W1985,""),"")</f>
        <v/>
      </c>
      <c r="Z1985">
        <f>IF(ISNUMBER('자료_거시'!$K1967),'자료_거시'!$K1967,Z1984)</f>
        <v/>
      </c>
      <c r="AA1985">
        <f>IF(AND(ISNUMBER('자료_거시'!$J1967),ISNUMBER('자료_거시'!$K1967)),IFERROR('자료_거시'!$K1967/INDEX($Z$21:$Z$4020,MATCH(EDATE('자료_거시'!$J1967,-'설정'!$B$17),'자료_거시'!$J$3:INDEX('자료_거시'!$J$3:$J$4002,$K$8),1))-1,""),"")</f>
        <v/>
      </c>
      <c r="AB1985">
        <f>IF(ISNUMBER(AA1985),'자료_거시'!$J1967,"")</f>
        <v/>
      </c>
      <c r="AC1985">
        <f>IF(ISNUMBER(AB1985),IF(AB1985&gt;$L$8,AA1985,""),"")</f>
        <v/>
      </c>
    </row>
    <row r="1986">
      <c r="S1986">
        <f>IF(ISNUMBER('자료_거시'!$E1968),'자료_거시'!$E1968,S1985)</f>
        <v/>
      </c>
      <c r="T1986">
        <f>IF(AND(ISNUMBER('자료_거시'!$D1968),ISNUMBER('자료_거시'!$E1968)),IFERROR('자료_거시'!$E1968-INDEX($S$21:$S$4020,MATCH(EDATE('자료_거시'!$D1968,-'설정'!$B$17),'자료_거시'!$D$3:INDEX('자료_거시'!$D$3:$D$4002,$K$6),1)),""),"")</f>
        <v/>
      </c>
      <c r="U1986">
        <f>IF(ISNUMBER(T1986),'자료_거시'!$D1968,"")</f>
        <v/>
      </c>
      <c r="V1986">
        <f>IF(ISNUMBER(U1986),IF(U1986&gt;$L$6,T1986,""),"")</f>
        <v/>
      </c>
      <c r="W1986">
        <f>IF(AND(ISNUMBER('자료_거시'!$G1968),ISNUMBER('자료_거시'!$H1968)),'자료_거시'!$H1968,"")</f>
        <v/>
      </c>
      <c r="X1986">
        <f>IF(ISNUMBER(W1986),'자료_거시'!$G1968,"")</f>
        <v/>
      </c>
      <c r="Y1986">
        <f>IF(ISNUMBER(X1986),IF(X1986&gt;$L$7,W1986,""),"")</f>
        <v/>
      </c>
      <c r="Z1986">
        <f>IF(ISNUMBER('자료_거시'!$K1968),'자료_거시'!$K1968,Z1985)</f>
        <v/>
      </c>
      <c r="AA1986">
        <f>IF(AND(ISNUMBER('자료_거시'!$J1968),ISNUMBER('자료_거시'!$K1968)),IFERROR('자료_거시'!$K1968/INDEX($Z$21:$Z$4020,MATCH(EDATE('자료_거시'!$J1968,-'설정'!$B$17),'자료_거시'!$J$3:INDEX('자료_거시'!$J$3:$J$4002,$K$8),1))-1,""),"")</f>
        <v/>
      </c>
      <c r="AB1986">
        <f>IF(ISNUMBER(AA1986),'자료_거시'!$J1968,"")</f>
        <v/>
      </c>
      <c r="AC1986">
        <f>IF(ISNUMBER(AB1986),IF(AB1986&gt;$L$8,AA1986,""),"")</f>
        <v/>
      </c>
    </row>
    <row r="1987">
      <c r="S1987">
        <f>IF(ISNUMBER('자료_거시'!$E1969),'자료_거시'!$E1969,S1986)</f>
        <v/>
      </c>
      <c r="T1987">
        <f>IF(AND(ISNUMBER('자료_거시'!$D1969),ISNUMBER('자료_거시'!$E1969)),IFERROR('자료_거시'!$E1969-INDEX($S$21:$S$4020,MATCH(EDATE('자료_거시'!$D1969,-'설정'!$B$17),'자료_거시'!$D$3:INDEX('자료_거시'!$D$3:$D$4002,$K$6),1)),""),"")</f>
        <v/>
      </c>
      <c r="U1987">
        <f>IF(ISNUMBER(T1987),'자료_거시'!$D1969,"")</f>
        <v/>
      </c>
      <c r="V1987">
        <f>IF(ISNUMBER(U1987),IF(U1987&gt;$L$6,T1987,""),"")</f>
        <v/>
      </c>
      <c r="W1987">
        <f>IF(AND(ISNUMBER('자료_거시'!$G1969),ISNUMBER('자료_거시'!$H1969)),'자료_거시'!$H1969,"")</f>
        <v/>
      </c>
      <c r="X1987">
        <f>IF(ISNUMBER(W1987),'자료_거시'!$G1969,"")</f>
        <v/>
      </c>
      <c r="Y1987">
        <f>IF(ISNUMBER(X1987),IF(X1987&gt;$L$7,W1987,""),"")</f>
        <v/>
      </c>
      <c r="Z1987">
        <f>IF(ISNUMBER('자료_거시'!$K1969),'자료_거시'!$K1969,Z1986)</f>
        <v/>
      </c>
      <c r="AA1987">
        <f>IF(AND(ISNUMBER('자료_거시'!$J1969),ISNUMBER('자료_거시'!$K1969)),IFERROR('자료_거시'!$K1969/INDEX($Z$21:$Z$4020,MATCH(EDATE('자료_거시'!$J1969,-'설정'!$B$17),'자료_거시'!$J$3:INDEX('자료_거시'!$J$3:$J$4002,$K$8),1))-1,""),"")</f>
        <v/>
      </c>
      <c r="AB1987">
        <f>IF(ISNUMBER(AA1987),'자료_거시'!$J1969,"")</f>
        <v/>
      </c>
      <c r="AC1987">
        <f>IF(ISNUMBER(AB1987),IF(AB1987&gt;$L$8,AA1987,""),"")</f>
        <v/>
      </c>
    </row>
    <row r="1988">
      <c r="S1988">
        <f>IF(ISNUMBER('자료_거시'!$E1970),'자료_거시'!$E1970,S1987)</f>
        <v/>
      </c>
      <c r="T1988">
        <f>IF(AND(ISNUMBER('자료_거시'!$D1970),ISNUMBER('자료_거시'!$E1970)),IFERROR('자료_거시'!$E1970-INDEX($S$21:$S$4020,MATCH(EDATE('자료_거시'!$D1970,-'설정'!$B$17),'자료_거시'!$D$3:INDEX('자료_거시'!$D$3:$D$4002,$K$6),1)),""),"")</f>
        <v/>
      </c>
      <c r="U1988">
        <f>IF(ISNUMBER(T1988),'자료_거시'!$D1970,"")</f>
        <v/>
      </c>
      <c r="V1988">
        <f>IF(ISNUMBER(U1988),IF(U1988&gt;$L$6,T1988,""),"")</f>
        <v/>
      </c>
      <c r="W1988">
        <f>IF(AND(ISNUMBER('자료_거시'!$G1970),ISNUMBER('자료_거시'!$H1970)),'자료_거시'!$H1970,"")</f>
        <v/>
      </c>
      <c r="X1988">
        <f>IF(ISNUMBER(W1988),'자료_거시'!$G1970,"")</f>
        <v/>
      </c>
      <c r="Y1988">
        <f>IF(ISNUMBER(X1988),IF(X1988&gt;$L$7,W1988,""),"")</f>
        <v/>
      </c>
      <c r="Z1988">
        <f>IF(ISNUMBER('자료_거시'!$K1970),'자료_거시'!$K1970,Z1987)</f>
        <v/>
      </c>
      <c r="AA1988">
        <f>IF(AND(ISNUMBER('자료_거시'!$J1970),ISNUMBER('자료_거시'!$K1970)),IFERROR('자료_거시'!$K1970/INDEX($Z$21:$Z$4020,MATCH(EDATE('자료_거시'!$J1970,-'설정'!$B$17),'자료_거시'!$J$3:INDEX('자료_거시'!$J$3:$J$4002,$K$8),1))-1,""),"")</f>
        <v/>
      </c>
      <c r="AB1988">
        <f>IF(ISNUMBER(AA1988),'자료_거시'!$J1970,"")</f>
        <v/>
      </c>
      <c r="AC1988">
        <f>IF(ISNUMBER(AB1988),IF(AB1988&gt;$L$8,AA1988,""),"")</f>
        <v/>
      </c>
    </row>
    <row r="1989">
      <c r="S1989">
        <f>IF(ISNUMBER('자료_거시'!$E1971),'자료_거시'!$E1971,S1988)</f>
        <v/>
      </c>
      <c r="T1989">
        <f>IF(AND(ISNUMBER('자료_거시'!$D1971),ISNUMBER('자료_거시'!$E1971)),IFERROR('자료_거시'!$E1971-INDEX($S$21:$S$4020,MATCH(EDATE('자료_거시'!$D1971,-'설정'!$B$17),'자료_거시'!$D$3:INDEX('자료_거시'!$D$3:$D$4002,$K$6),1)),""),"")</f>
        <v/>
      </c>
      <c r="U1989">
        <f>IF(ISNUMBER(T1989),'자료_거시'!$D1971,"")</f>
        <v/>
      </c>
      <c r="V1989">
        <f>IF(ISNUMBER(U1989),IF(U1989&gt;$L$6,T1989,""),"")</f>
        <v/>
      </c>
      <c r="W1989">
        <f>IF(AND(ISNUMBER('자료_거시'!$G1971),ISNUMBER('자료_거시'!$H1971)),'자료_거시'!$H1971,"")</f>
        <v/>
      </c>
      <c r="X1989">
        <f>IF(ISNUMBER(W1989),'자료_거시'!$G1971,"")</f>
        <v/>
      </c>
      <c r="Y1989">
        <f>IF(ISNUMBER(X1989),IF(X1989&gt;$L$7,W1989,""),"")</f>
        <v/>
      </c>
      <c r="Z1989">
        <f>IF(ISNUMBER('자료_거시'!$K1971),'자료_거시'!$K1971,Z1988)</f>
        <v/>
      </c>
      <c r="AA1989">
        <f>IF(AND(ISNUMBER('자료_거시'!$J1971),ISNUMBER('자료_거시'!$K1971)),IFERROR('자료_거시'!$K1971/INDEX($Z$21:$Z$4020,MATCH(EDATE('자료_거시'!$J1971,-'설정'!$B$17),'자료_거시'!$J$3:INDEX('자료_거시'!$J$3:$J$4002,$K$8),1))-1,""),"")</f>
        <v/>
      </c>
      <c r="AB1989">
        <f>IF(ISNUMBER(AA1989),'자료_거시'!$J1971,"")</f>
        <v/>
      </c>
      <c r="AC1989">
        <f>IF(ISNUMBER(AB1989),IF(AB1989&gt;$L$8,AA1989,""),"")</f>
        <v/>
      </c>
    </row>
    <row r="1990">
      <c r="S1990">
        <f>IF(ISNUMBER('자료_거시'!$E1972),'자료_거시'!$E1972,S1989)</f>
        <v/>
      </c>
      <c r="T1990">
        <f>IF(AND(ISNUMBER('자료_거시'!$D1972),ISNUMBER('자료_거시'!$E1972)),IFERROR('자료_거시'!$E1972-INDEX($S$21:$S$4020,MATCH(EDATE('자료_거시'!$D1972,-'설정'!$B$17),'자료_거시'!$D$3:INDEX('자료_거시'!$D$3:$D$4002,$K$6),1)),""),"")</f>
        <v/>
      </c>
      <c r="U1990">
        <f>IF(ISNUMBER(T1990),'자료_거시'!$D1972,"")</f>
        <v/>
      </c>
      <c r="V1990">
        <f>IF(ISNUMBER(U1990),IF(U1990&gt;$L$6,T1990,""),"")</f>
        <v/>
      </c>
      <c r="W1990">
        <f>IF(AND(ISNUMBER('자료_거시'!$G1972),ISNUMBER('자료_거시'!$H1972)),'자료_거시'!$H1972,"")</f>
        <v/>
      </c>
      <c r="X1990">
        <f>IF(ISNUMBER(W1990),'자료_거시'!$G1972,"")</f>
        <v/>
      </c>
      <c r="Y1990">
        <f>IF(ISNUMBER(X1990),IF(X1990&gt;$L$7,W1990,""),"")</f>
        <v/>
      </c>
      <c r="Z1990">
        <f>IF(ISNUMBER('자료_거시'!$K1972),'자료_거시'!$K1972,Z1989)</f>
        <v/>
      </c>
      <c r="AA1990">
        <f>IF(AND(ISNUMBER('자료_거시'!$J1972),ISNUMBER('자료_거시'!$K1972)),IFERROR('자료_거시'!$K1972/INDEX($Z$21:$Z$4020,MATCH(EDATE('자료_거시'!$J1972,-'설정'!$B$17),'자료_거시'!$J$3:INDEX('자료_거시'!$J$3:$J$4002,$K$8),1))-1,""),"")</f>
        <v/>
      </c>
      <c r="AB1990">
        <f>IF(ISNUMBER(AA1990),'자료_거시'!$J1972,"")</f>
        <v/>
      </c>
      <c r="AC1990">
        <f>IF(ISNUMBER(AB1990),IF(AB1990&gt;$L$8,AA1990,""),"")</f>
        <v/>
      </c>
    </row>
    <row r="1991">
      <c r="S1991">
        <f>IF(ISNUMBER('자료_거시'!$E1973),'자료_거시'!$E1973,S1990)</f>
        <v/>
      </c>
      <c r="T1991">
        <f>IF(AND(ISNUMBER('자료_거시'!$D1973),ISNUMBER('자료_거시'!$E1973)),IFERROR('자료_거시'!$E1973-INDEX($S$21:$S$4020,MATCH(EDATE('자료_거시'!$D1973,-'설정'!$B$17),'자료_거시'!$D$3:INDEX('자료_거시'!$D$3:$D$4002,$K$6),1)),""),"")</f>
        <v/>
      </c>
      <c r="U1991">
        <f>IF(ISNUMBER(T1991),'자료_거시'!$D1973,"")</f>
        <v/>
      </c>
      <c r="V1991">
        <f>IF(ISNUMBER(U1991),IF(U1991&gt;$L$6,T1991,""),"")</f>
        <v/>
      </c>
      <c r="W1991">
        <f>IF(AND(ISNUMBER('자료_거시'!$G1973),ISNUMBER('자료_거시'!$H1973)),'자료_거시'!$H1973,"")</f>
        <v/>
      </c>
      <c r="X1991">
        <f>IF(ISNUMBER(W1991),'자료_거시'!$G1973,"")</f>
        <v/>
      </c>
      <c r="Y1991">
        <f>IF(ISNUMBER(X1991),IF(X1991&gt;$L$7,W1991,""),"")</f>
        <v/>
      </c>
      <c r="Z1991">
        <f>IF(ISNUMBER('자료_거시'!$K1973),'자료_거시'!$K1973,Z1990)</f>
        <v/>
      </c>
      <c r="AA1991">
        <f>IF(AND(ISNUMBER('자료_거시'!$J1973),ISNUMBER('자료_거시'!$K1973)),IFERROR('자료_거시'!$K1973/INDEX($Z$21:$Z$4020,MATCH(EDATE('자료_거시'!$J1973,-'설정'!$B$17),'자료_거시'!$J$3:INDEX('자료_거시'!$J$3:$J$4002,$K$8),1))-1,""),"")</f>
        <v/>
      </c>
      <c r="AB1991">
        <f>IF(ISNUMBER(AA1991),'자료_거시'!$J1973,"")</f>
        <v/>
      </c>
      <c r="AC1991">
        <f>IF(ISNUMBER(AB1991),IF(AB1991&gt;$L$8,AA1991,""),"")</f>
        <v/>
      </c>
    </row>
    <row r="1992">
      <c r="S1992">
        <f>IF(ISNUMBER('자료_거시'!$E1974),'자료_거시'!$E1974,S1991)</f>
        <v/>
      </c>
      <c r="T1992">
        <f>IF(AND(ISNUMBER('자료_거시'!$D1974),ISNUMBER('자료_거시'!$E1974)),IFERROR('자료_거시'!$E1974-INDEX($S$21:$S$4020,MATCH(EDATE('자료_거시'!$D1974,-'설정'!$B$17),'자료_거시'!$D$3:INDEX('자료_거시'!$D$3:$D$4002,$K$6),1)),""),"")</f>
        <v/>
      </c>
      <c r="U1992">
        <f>IF(ISNUMBER(T1992),'자료_거시'!$D1974,"")</f>
        <v/>
      </c>
      <c r="V1992">
        <f>IF(ISNUMBER(U1992),IF(U1992&gt;$L$6,T1992,""),"")</f>
        <v/>
      </c>
      <c r="W1992">
        <f>IF(AND(ISNUMBER('자료_거시'!$G1974),ISNUMBER('자료_거시'!$H1974)),'자료_거시'!$H1974,"")</f>
        <v/>
      </c>
      <c r="X1992">
        <f>IF(ISNUMBER(W1992),'자료_거시'!$G1974,"")</f>
        <v/>
      </c>
      <c r="Y1992">
        <f>IF(ISNUMBER(X1992),IF(X1992&gt;$L$7,W1992,""),"")</f>
        <v/>
      </c>
      <c r="Z1992">
        <f>IF(ISNUMBER('자료_거시'!$K1974),'자료_거시'!$K1974,Z1991)</f>
        <v/>
      </c>
      <c r="AA1992">
        <f>IF(AND(ISNUMBER('자료_거시'!$J1974),ISNUMBER('자료_거시'!$K1974)),IFERROR('자료_거시'!$K1974/INDEX($Z$21:$Z$4020,MATCH(EDATE('자료_거시'!$J1974,-'설정'!$B$17),'자료_거시'!$J$3:INDEX('자료_거시'!$J$3:$J$4002,$K$8),1))-1,""),"")</f>
        <v/>
      </c>
      <c r="AB1992">
        <f>IF(ISNUMBER(AA1992),'자료_거시'!$J1974,"")</f>
        <v/>
      </c>
      <c r="AC1992">
        <f>IF(ISNUMBER(AB1992),IF(AB1992&gt;$L$8,AA1992,""),"")</f>
        <v/>
      </c>
    </row>
    <row r="1993">
      <c r="S1993">
        <f>IF(ISNUMBER('자료_거시'!$E1975),'자료_거시'!$E1975,S1992)</f>
        <v/>
      </c>
      <c r="T1993">
        <f>IF(AND(ISNUMBER('자료_거시'!$D1975),ISNUMBER('자료_거시'!$E1975)),IFERROR('자료_거시'!$E1975-INDEX($S$21:$S$4020,MATCH(EDATE('자료_거시'!$D1975,-'설정'!$B$17),'자료_거시'!$D$3:INDEX('자료_거시'!$D$3:$D$4002,$K$6),1)),""),"")</f>
        <v/>
      </c>
      <c r="U1993">
        <f>IF(ISNUMBER(T1993),'자료_거시'!$D1975,"")</f>
        <v/>
      </c>
      <c r="V1993">
        <f>IF(ISNUMBER(U1993),IF(U1993&gt;$L$6,T1993,""),"")</f>
        <v/>
      </c>
      <c r="W1993">
        <f>IF(AND(ISNUMBER('자료_거시'!$G1975),ISNUMBER('자료_거시'!$H1975)),'자료_거시'!$H1975,"")</f>
        <v/>
      </c>
      <c r="X1993">
        <f>IF(ISNUMBER(W1993),'자료_거시'!$G1975,"")</f>
        <v/>
      </c>
      <c r="Y1993">
        <f>IF(ISNUMBER(X1993),IF(X1993&gt;$L$7,W1993,""),"")</f>
        <v/>
      </c>
      <c r="Z1993">
        <f>IF(ISNUMBER('자료_거시'!$K1975),'자료_거시'!$K1975,Z1992)</f>
        <v/>
      </c>
      <c r="AA1993">
        <f>IF(AND(ISNUMBER('자료_거시'!$J1975),ISNUMBER('자료_거시'!$K1975)),IFERROR('자료_거시'!$K1975/INDEX($Z$21:$Z$4020,MATCH(EDATE('자료_거시'!$J1975,-'설정'!$B$17),'자료_거시'!$J$3:INDEX('자료_거시'!$J$3:$J$4002,$K$8),1))-1,""),"")</f>
        <v/>
      </c>
      <c r="AB1993">
        <f>IF(ISNUMBER(AA1993),'자료_거시'!$J1975,"")</f>
        <v/>
      </c>
      <c r="AC1993">
        <f>IF(ISNUMBER(AB1993),IF(AB1993&gt;$L$8,AA1993,""),"")</f>
        <v/>
      </c>
    </row>
    <row r="1994">
      <c r="S1994">
        <f>IF(ISNUMBER('자료_거시'!$E1976),'자료_거시'!$E1976,S1993)</f>
        <v/>
      </c>
      <c r="T1994">
        <f>IF(AND(ISNUMBER('자료_거시'!$D1976),ISNUMBER('자료_거시'!$E1976)),IFERROR('자료_거시'!$E1976-INDEX($S$21:$S$4020,MATCH(EDATE('자료_거시'!$D1976,-'설정'!$B$17),'자료_거시'!$D$3:INDEX('자료_거시'!$D$3:$D$4002,$K$6),1)),""),"")</f>
        <v/>
      </c>
      <c r="U1994">
        <f>IF(ISNUMBER(T1994),'자료_거시'!$D1976,"")</f>
        <v/>
      </c>
      <c r="V1994">
        <f>IF(ISNUMBER(U1994),IF(U1994&gt;$L$6,T1994,""),"")</f>
        <v/>
      </c>
      <c r="W1994">
        <f>IF(AND(ISNUMBER('자료_거시'!$G1976),ISNUMBER('자료_거시'!$H1976)),'자료_거시'!$H1976,"")</f>
        <v/>
      </c>
      <c r="X1994">
        <f>IF(ISNUMBER(W1994),'자료_거시'!$G1976,"")</f>
        <v/>
      </c>
      <c r="Y1994">
        <f>IF(ISNUMBER(X1994),IF(X1994&gt;$L$7,W1994,""),"")</f>
        <v/>
      </c>
      <c r="Z1994">
        <f>IF(ISNUMBER('자료_거시'!$K1976),'자료_거시'!$K1976,Z1993)</f>
        <v/>
      </c>
      <c r="AA1994">
        <f>IF(AND(ISNUMBER('자료_거시'!$J1976),ISNUMBER('자료_거시'!$K1976)),IFERROR('자료_거시'!$K1976/INDEX($Z$21:$Z$4020,MATCH(EDATE('자료_거시'!$J1976,-'설정'!$B$17),'자료_거시'!$J$3:INDEX('자료_거시'!$J$3:$J$4002,$K$8),1))-1,""),"")</f>
        <v/>
      </c>
      <c r="AB1994">
        <f>IF(ISNUMBER(AA1994),'자료_거시'!$J1976,"")</f>
        <v/>
      </c>
      <c r="AC1994">
        <f>IF(ISNUMBER(AB1994),IF(AB1994&gt;$L$8,AA1994,""),"")</f>
        <v/>
      </c>
    </row>
    <row r="1995">
      <c r="S1995">
        <f>IF(ISNUMBER('자료_거시'!$E1977),'자료_거시'!$E1977,S1994)</f>
        <v/>
      </c>
      <c r="T1995">
        <f>IF(AND(ISNUMBER('자료_거시'!$D1977),ISNUMBER('자료_거시'!$E1977)),IFERROR('자료_거시'!$E1977-INDEX($S$21:$S$4020,MATCH(EDATE('자료_거시'!$D1977,-'설정'!$B$17),'자료_거시'!$D$3:INDEX('자료_거시'!$D$3:$D$4002,$K$6),1)),""),"")</f>
        <v/>
      </c>
      <c r="U1995">
        <f>IF(ISNUMBER(T1995),'자료_거시'!$D1977,"")</f>
        <v/>
      </c>
      <c r="V1995">
        <f>IF(ISNUMBER(U1995),IF(U1995&gt;$L$6,T1995,""),"")</f>
        <v/>
      </c>
      <c r="W1995">
        <f>IF(AND(ISNUMBER('자료_거시'!$G1977),ISNUMBER('자료_거시'!$H1977)),'자료_거시'!$H1977,"")</f>
        <v/>
      </c>
      <c r="X1995">
        <f>IF(ISNUMBER(W1995),'자료_거시'!$G1977,"")</f>
        <v/>
      </c>
      <c r="Y1995">
        <f>IF(ISNUMBER(X1995),IF(X1995&gt;$L$7,W1995,""),"")</f>
        <v/>
      </c>
      <c r="Z1995">
        <f>IF(ISNUMBER('자료_거시'!$K1977),'자료_거시'!$K1977,Z1994)</f>
        <v/>
      </c>
      <c r="AA1995">
        <f>IF(AND(ISNUMBER('자료_거시'!$J1977),ISNUMBER('자료_거시'!$K1977)),IFERROR('자료_거시'!$K1977/INDEX($Z$21:$Z$4020,MATCH(EDATE('자료_거시'!$J1977,-'설정'!$B$17),'자료_거시'!$J$3:INDEX('자료_거시'!$J$3:$J$4002,$K$8),1))-1,""),"")</f>
        <v/>
      </c>
      <c r="AB1995">
        <f>IF(ISNUMBER(AA1995),'자료_거시'!$J1977,"")</f>
        <v/>
      </c>
      <c r="AC1995">
        <f>IF(ISNUMBER(AB1995),IF(AB1995&gt;$L$8,AA1995,""),"")</f>
        <v/>
      </c>
    </row>
    <row r="1996">
      <c r="S1996">
        <f>IF(ISNUMBER('자료_거시'!$E1978),'자료_거시'!$E1978,S1995)</f>
        <v/>
      </c>
      <c r="T1996">
        <f>IF(AND(ISNUMBER('자료_거시'!$D1978),ISNUMBER('자료_거시'!$E1978)),IFERROR('자료_거시'!$E1978-INDEX($S$21:$S$4020,MATCH(EDATE('자료_거시'!$D1978,-'설정'!$B$17),'자료_거시'!$D$3:INDEX('자료_거시'!$D$3:$D$4002,$K$6),1)),""),"")</f>
        <v/>
      </c>
      <c r="U1996">
        <f>IF(ISNUMBER(T1996),'자료_거시'!$D1978,"")</f>
        <v/>
      </c>
      <c r="V1996">
        <f>IF(ISNUMBER(U1996),IF(U1996&gt;$L$6,T1996,""),"")</f>
        <v/>
      </c>
      <c r="W1996">
        <f>IF(AND(ISNUMBER('자료_거시'!$G1978),ISNUMBER('자료_거시'!$H1978)),'자료_거시'!$H1978,"")</f>
        <v/>
      </c>
      <c r="X1996">
        <f>IF(ISNUMBER(W1996),'자료_거시'!$G1978,"")</f>
        <v/>
      </c>
      <c r="Y1996">
        <f>IF(ISNUMBER(X1996),IF(X1996&gt;$L$7,W1996,""),"")</f>
        <v/>
      </c>
      <c r="Z1996">
        <f>IF(ISNUMBER('자료_거시'!$K1978),'자료_거시'!$K1978,Z1995)</f>
        <v/>
      </c>
      <c r="AA1996">
        <f>IF(AND(ISNUMBER('자료_거시'!$J1978),ISNUMBER('자료_거시'!$K1978)),IFERROR('자료_거시'!$K1978/INDEX($Z$21:$Z$4020,MATCH(EDATE('자료_거시'!$J1978,-'설정'!$B$17),'자료_거시'!$J$3:INDEX('자료_거시'!$J$3:$J$4002,$K$8),1))-1,""),"")</f>
        <v/>
      </c>
      <c r="AB1996">
        <f>IF(ISNUMBER(AA1996),'자료_거시'!$J1978,"")</f>
        <v/>
      </c>
      <c r="AC1996">
        <f>IF(ISNUMBER(AB1996),IF(AB1996&gt;$L$8,AA1996,""),"")</f>
        <v/>
      </c>
    </row>
    <row r="1997">
      <c r="S1997">
        <f>IF(ISNUMBER('자료_거시'!$E1979),'자료_거시'!$E1979,S1996)</f>
        <v/>
      </c>
      <c r="T1997">
        <f>IF(AND(ISNUMBER('자료_거시'!$D1979),ISNUMBER('자료_거시'!$E1979)),IFERROR('자료_거시'!$E1979-INDEX($S$21:$S$4020,MATCH(EDATE('자료_거시'!$D1979,-'설정'!$B$17),'자료_거시'!$D$3:INDEX('자료_거시'!$D$3:$D$4002,$K$6),1)),""),"")</f>
        <v/>
      </c>
      <c r="U1997">
        <f>IF(ISNUMBER(T1997),'자료_거시'!$D1979,"")</f>
        <v/>
      </c>
      <c r="V1997">
        <f>IF(ISNUMBER(U1997),IF(U1997&gt;$L$6,T1997,""),"")</f>
        <v/>
      </c>
      <c r="W1997">
        <f>IF(AND(ISNUMBER('자료_거시'!$G1979),ISNUMBER('자료_거시'!$H1979)),'자료_거시'!$H1979,"")</f>
        <v/>
      </c>
      <c r="X1997">
        <f>IF(ISNUMBER(W1997),'자료_거시'!$G1979,"")</f>
        <v/>
      </c>
      <c r="Y1997">
        <f>IF(ISNUMBER(X1997),IF(X1997&gt;$L$7,W1997,""),"")</f>
        <v/>
      </c>
      <c r="Z1997">
        <f>IF(ISNUMBER('자료_거시'!$K1979),'자료_거시'!$K1979,Z1996)</f>
        <v/>
      </c>
      <c r="AA1997">
        <f>IF(AND(ISNUMBER('자료_거시'!$J1979),ISNUMBER('자료_거시'!$K1979)),IFERROR('자료_거시'!$K1979/INDEX($Z$21:$Z$4020,MATCH(EDATE('자료_거시'!$J1979,-'설정'!$B$17),'자료_거시'!$J$3:INDEX('자료_거시'!$J$3:$J$4002,$K$8),1))-1,""),"")</f>
        <v/>
      </c>
      <c r="AB1997">
        <f>IF(ISNUMBER(AA1997),'자료_거시'!$J1979,"")</f>
        <v/>
      </c>
      <c r="AC1997">
        <f>IF(ISNUMBER(AB1997),IF(AB1997&gt;$L$8,AA1997,""),"")</f>
        <v/>
      </c>
    </row>
    <row r="1998">
      <c r="S1998">
        <f>IF(ISNUMBER('자료_거시'!$E1980),'자료_거시'!$E1980,S1997)</f>
        <v/>
      </c>
      <c r="T1998">
        <f>IF(AND(ISNUMBER('자료_거시'!$D1980),ISNUMBER('자료_거시'!$E1980)),IFERROR('자료_거시'!$E1980-INDEX($S$21:$S$4020,MATCH(EDATE('자료_거시'!$D1980,-'설정'!$B$17),'자료_거시'!$D$3:INDEX('자료_거시'!$D$3:$D$4002,$K$6),1)),""),"")</f>
        <v/>
      </c>
      <c r="U1998">
        <f>IF(ISNUMBER(T1998),'자료_거시'!$D1980,"")</f>
        <v/>
      </c>
      <c r="V1998">
        <f>IF(ISNUMBER(U1998),IF(U1998&gt;$L$6,T1998,""),"")</f>
        <v/>
      </c>
      <c r="W1998">
        <f>IF(AND(ISNUMBER('자료_거시'!$G1980),ISNUMBER('자료_거시'!$H1980)),'자료_거시'!$H1980,"")</f>
        <v/>
      </c>
      <c r="X1998">
        <f>IF(ISNUMBER(W1998),'자료_거시'!$G1980,"")</f>
        <v/>
      </c>
      <c r="Y1998">
        <f>IF(ISNUMBER(X1998),IF(X1998&gt;$L$7,W1998,""),"")</f>
        <v/>
      </c>
      <c r="Z1998">
        <f>IF(ISNUMBER('자료_거시'!$K1980),'자료_거시'!$K1980,Z1997)</f>
        <v/>
      </c>
      <c r="AA1998">
        <f>IF(AND(ISNUMBER('자료_거시'!$J1980),ISNUMBER('자료_거시'!$K1980)),IFERROR('자료_거시'!$K1980/INDEX($Z$21:$Z$4020,MATCH(EDATE('자료_거시'!$J1980,-'설정'!$B$17),'자료_거시'!$J$3:INDEX('자료_거시'!$J$3:$J$4002,$K$8),1))-1,""),"")</f>
        <v/>
      </c>
      <c r="AB1998">
        <f>IF(ISNUMBER(AA1998),'자료_거시'!$J1980,"")</f>
        <v/>
      </c>
      <c r="AC1998">
        <f>IF(ISNUMBER(AB1998),IF(AB1998&gt;$L$8,AA1998,""),"")</f>
        <v/>
      </c>
    </row>
    <row r="1999">
      <c r="S1999">
        <f>IF(ISNUMBER('자료_거시'!$E1981),'자료_거시'!$E1981,S1998)</f>
        <v/>
      </c>
      <c r="T1999">
        <f>IF(AND(ISNUMBER('자료_거시'!$D1981),ISNUMBER('자료_거시'!$E1981)),IFERROR('자료_거시'!$E1981-INDEX($S$21:$S$4020,MATCH(EDATE('자료_거시'!$D1981,-'설정'!$B$17),'자료_거시'!$D$3:INDEX('자료_거시'!$D$3:$D$4002,$K$6),1)),""),"")</f>
        <v/>
      </c>
      <c r="U1999">
        <f>IF(ISNUMBER(T1999),'자료_거시'!$D1981,"")</f>
        <v/>
      </c>
      <c r="V1999">
        <f>IF(ISNUMBER(U1999),IF(U1999&gt;$L$6,T1999,""),"")</f>
        <v/>
      </c>
      <c r="W1999">
        <f>IF(AND(ISNUMBER('자료_거시'!$G1981),ISNUMBER('자료_거시'!$H1981)),'자료_거시'!$H1981,"")</f>
        <v/>
      </c>
      <c r="X1999">
        <f>IF(ISNUMBER(W1999),'자료_거시'!$G1981,"")</f>
        <v/>
      </c>
      <c r="Y1999">
        <f>IF(ISNUMBER(X1999),IF(X1999&gt;$L$7,W1999,""),"")</f>
        <v/>
      </c>
      <c r="Z1999">
        <f>IF(ISNUMBER('자료_거시'!$K1981),'자료_거시'!$K1981,Z1998)</f>
        <v/>
      </c>
      <c r="AA1999">
        <f>IF(AND(ISNUMBER('자료_거시'!$J1981),ISNUMBER('자료_거시'!$K1981)),IFERROR('자료_거시'!$K1981/INDEX($Z$21:$Z$4020,MATCH(EDATE('자료_거시'!$J1981,-'설정'!$B$17),'자료_거시'!$J$3:INDEX('자료_거시'!$J$3:$J$4002,$K$8),1))-1,""),"")</f>
        <v/>
      </c>
      <c r="AB1999">
        <f>IF(ISNUMBER(AA1999),'자료_거시'!$J1981,"")</f>
        <v/>
      </c>
      <c r="AC1999">
        <f>IF(ISNUMBER(AB1999),IF(AB1999&gt;$L$8,AA1999,""),"")</f>
        <v/>
      </c>
    </row>
    <row r="2000">
      <c r="S2000">
        <f>IF(ISNUMBER('자료_거시'!$E1982),'자료_거시'!$E1982,S1999)</f>
        <v/>
      </c>
      <c r="T2000">
        <f>IF(AND(ISNUMBER('자료_거시'!$D1982),ISNUMBER('자료_거시'!$E1982)),IFERROR('자료_거시'!$E1982-INDEX($S$21:$S$4020,MATCH(EDATE('자료_거시'!$D1982,-'설정'!$B$17),'자료_거시'!$D$3:INDEX('자료_거시'!$D$3:$D$4002,$K$6),1)),""),"")</f>
        <v/>
      </c>
      <c r="U2000">
        <f>IF(ISNUMBER(T2000),'자료_거시'!$D1982,"")</f>
        <v/>
      </c>
      <c r="V2000">
        <f>IF(ISNUMBER(U2000),IF(U2000&gt;$L$6,T2000,""),"")</f>
        <v/>
      </c>
      <c r="W2000">
        <f>IF(AND(ISNUMBER('자료_거시'!$G1982),ISNUMBER('자료_거시'!$H1982)),'자료_거시'!$H1982,"")</f>
        <v/>
      </c>
      <c r="X2000">
        <f>IF(ISNUMBER(W2000),'자료_거시'!$G1982,"")</f>
        <v/>
      </c>
      <c r="Y2000">
        <f>IF(ISNUMBER(X2000),IF(X2000&gt;$L$7,W2000,""),"")</f>
        <v/>
      </c>
      <c r="Z2000">
        <f>IF(ISNUMBER('자료_거시'!$K1982),'자료_거시'!$K1982,Z1999)</f>
        <v/>
      </c>
      <c r="AA2000">
        <f>IF(AND(ISNUMBER('자료_거시'!$J1982),ISNUMBER('자료_거시'!$K1982)),IFERROR('자료_거시'!$K1982/INDEX($Z$21:$Z$4020,MATCH(EDATE('자료_거시'!$J1982,-'설정'!$B$17),'자료_거시'!$J$3:INDEX('자료_거시'!$J$3:$J$4002,$K$8),1))-1,""),"")</f>
        <v/>
      </c>
      <c r="AB2000">
        <f>IF(ISNUMBER(AA2000),'자료_거시'!$J1982,"")</f>
        <v/>
      </c>
      <c r="AC2000">
        <f>IF(ISNUMBER(AB2000),IF(AB2000&gt;$L$8,AA2000,""),"")</f>
        <v/>
      </c>
    </row>
    <row r="2001">
      <c r="S2001">
        <f>IF(ISNUMBER('자료_거시'!$E1983),'자료_거시'!$E1983,S2000)</f>
        <v/>
      </c>
      <c r="T2001">
        <f>IF(AND(ISNUMBER('자료_거시'!$D1983),ISNUMBER('자료_거시'!$E1983)),IFERROR('자료_거시'!$E1983-INDEX($S$21:$S$4020,MATCH(EDATE('자료_거시'!$D1983,-'설정'!$B$17),'자료_거시'!$D$3:INDEX('자료_거시'!$D$3:$D$4002,$K$6),1)),""),"")</f>
        <v/>
      </c>
      <c r="U2001">
        <f>IF(ISNUMBER(T2001),'자료_거시'!$D1983,"")</f>
        <v/>
      </c>
      <c r="V2001">
        <f>IF(ISNUMBER(U2001),IF(U2001&gt;$L$6,T2001,""),"")</f>
        <v/>
      </c>
      <c r="W2001">
        <f>IF(AND(ISNUMBER('자료_거시'!$G1983),ISNUMBER('자료_거시'!$H1983)),'자료_거시'!$H1983,"")</f>
        <v/>
      </c>
      <c r="X2001">
        <f>IF(ISNUMBER(W2001),'자료_거시'!$G1983,"")</f>
        <v/>
      </c>
      <c r="Y2001">
        <f>IF(ISNUMBER(X2001),IF(X2001&gt;$L$7,W2001,""),"")</f>
        <v/>
      </c>
      <c r="Z2001">
        <f>IF(ISNUMBER('자료_거시'!$K1983),'자료_거시'!$K1983,Z2000)</f>
        <v/>
      </c>
      <c r="AA2001">
        <f>IF(AND(ISNUMBER('자료_거시'!$J1983),ISNUMBER('자료_거시'!$K1983)),IFERROR('자료_거시'!$K1983/INDEX($Z$21:$Z$4020,MATCH(EDATE('자료_거시'!$J1983,-'설정'!$B$17),'자료_거시'!$J$3:INDEX('자료_거시'!$J$3:$J$4002,$K$8),1))-1,""),"")</f>
        <v/>
      </c>
      <c r="AB2001">
        <f>IF(ISNUMBER(AA2001),'자료_거시'!$J1983,"")</f>
        <v/>
      </c>
      <c r="AC2001">
        <f>IF(ISNUMBER(AB2001),IF(AB2001&gt;$L$8,AA2001,""),"")</f>
        <v/>
      </c>
    </row>
    <row r="2002">
      <c r="S2002">
        <f>IF(ISNUMBER('자료_거시'!$E1984),'자료_거시'!$E1984,S2001)</f>
        <v/>
      </c>
      <c r="T2002">
        <f>IF(AND(ISNUMBER('자료_거시'!$D1984),ISNUMBER('자료_거시'!$E1984)),IFERROR('자료_거시'!$E1984-INDEX($S$21:$S$4020,MATCH(EDATE('자료_거시'!$D1984,-'설정'!$B$17),'자료_거시'!$D$3:INDEX('자료_거시'!$D$3:$D$4002,$K$6),1)),""),"")</f>
        <v/>
      </c>
      <c r="U2002">
        <f>IF(ISNUMBER(T2002),'자료_거시'!$D1984,"")</f>
        <v/>
      </c>
      <c r="V2002">
        <f>IF(ISNUMBER(U2002),IF(U2002&gt;$L$6,T2002,""),"")</f>
        <v/>
      </c>
      <c r="W2002">
        <f>IF(AND(ISNUMBER('자료_거시'!$G1984),ISNUMBER('자료_거시'!$H1984)),'자료_거시'!$H1984,"")</f>
        <v/>
      </c>
      <c r="X2002">
        <f>IF(ISNUMBER(W2002),'자료_거시'!$G1984,"")</f>
        <v/>
      </c>
      <c r="Y2002">
        <f>IF(ISNUMBER(X2002),IF(X2002&gt;$L$7,W2002,""),"")</f>
        <v/>
      </c>
      <c r="Z2002">
        <f>IF(ISNUMBER('자료_거시'!$K1984),'자료_거시'!$K1984,Z2001)</f>
        <v/>
      </c>
      <c r="AA2002">
        <f>IF(AND(ISNUMBER('자료_거시'!$J1984),ISNUMBER('자료_거시'!$K1984)),IFERROR('자료_거시'!$K1984/INDEX($Z$21:$Z$4020,MATCH(EDATE('자료_거시'!$J1984,-'설정'!$B$17),'자료_거시'!$J$3:INDEX('자료_거시'!$J$3:$J$4002,$K$8),1))-1,""),"")</f>
        <v/>
      </c>
      <c r="AB2002">
        <f>IF(ISNUMBER(AA2002),'자료_거시'!$J1984,"")</f>
        <v/>
      </c>
      <c r="AC2002">
        <f>IF(ISNUMBER(AB2002),IF(AB2002&gt;$L$8,AA2002,""),"")</f>
        <v/>
      </c>
    </row>
    <row r="2003">
      <c r="S2003">
        <f>IF(ISNUMBER('자료_거시'!$E1985),'자료_거시'!$E1985,S2002)</f>
        <v/>
      </c>
      <c r="T2003">
        <f>IF(AND(ISNUMBER('자료_거시'!$D1985),ISNUMBER('자료_거시'!$E1985)),IFERROR('자료_거시'!$E1985-INDEX($S$21:$S$4020,MATCH(EDATE('자료_거시'!$D1985,-'설정'!$B$17),'자료_거시'!$D$3:INDEX('자료_거시'!$D$3:$D$4002,$K$6),1)),""),"")</f>
        <v/>
      </c>
      <c r="U2003">
        <f>IF(ISNUMBER(T2003),'자료_거시'!$D1985,"")</f>
        <v/>
      </c>
      <c r="V2003">
        <f>IF(ISNUMBER(U2003),IF(U2003&gt;$L$6,T2003,""),"")</f>
        <v/>
      </c>
      <c r="W2003">
        <f>IF(AND(ISNUMBER('자료_거시'!$G1985),ISNUMBER('자료_거시'!$H1985)),'자료_거시'!$H1985,"")</f>
        <v/>
      </c>
      <c r="X2003">
        <f>IF(ISNUMBER(W2003),'자료_거시'!$G1985,"")</f>
        <v/>
      </c>
      <c r="Y2003">
        <f>IF(ISNUMBER(X2003),IF(X2003&gt;$L$7,W2003,""),"")</f>
        <v/>
      </c>
      <c r="Z2003">
        <f>IF(ISNUMBER('자료_거시'!$K1985),'자료_거시'!$K1985,Z2002)</f>
        <v/>
      </c>
      <c r="AA2003">
        <f>IF(AND(ISNUMBER('자료_거시'!$J1985),ISNUMBER('자료_거시'!$K1985)),IFERROR('자료_거시'!$K1985/INDEX($Z$21:$Z$4020,MATCH(EDATE('자료_거시'!$J1985,-'설정'!$B$17),'자료_거시'!$J$3:INDEX('자료_거시'!$J$3:$J$4002,$K$8),1))-1,""),"")</f>
        <v/>
      </c>
      <c r="AB2003">
        <f>IF(ISNUMBER(AA2003),'자료_거시'!$J1985,"")</f>
        <v/>
      </c>
      <c r="AC2003">
        <f>IF(ISNUMBER(AB2003),IF(AB2003&gt;$L$8,AA2003,""),"")</f>
        <v/>
      </c>
    </row>
    <row r="2004">
      <c r="S2004">
        <f>IF(ISNUMBER('자료_거시'!$E1986),'자료_거시'!$E1986,S2003)</f>
        <v/>
      </c>
      <c r="T2004">
        <f>IF(AND(ISNUMBER('자료_거시'!$D1986),ISNUMBER('자료_거시'!$E1986)),IFERROR('자료_거시'!$E1986-INDEX($S$21:$S$4020,MATCH(EDATE('자료_거시'!$D1986,-'설정'!$B$17),'자료_거시'!$D$3:INDEX('자료_거시'!$D$3:$D$4002,$K$6),1)),""),"")</f>
        <v/>
      </c>
      <c r="U2004">
        <f>IF(ISNUMBER(T2004),'자료_거시'!$D1986,"")</f>
        <v/>
      </c>
      <c r="V2004">
        <f>IF(ISNUMBER(U2004),IF(U2004&gt;$L$6,T2004,""),"")</f>
        <v/>
      </c>
      <c r="W2004">
        <f>IF(AND(ISNUMBER('자료_거시'!$G1986),ISNUMBER('자료_거시'!$H1986)),'자료_거시'!$H1986,"")</f>
        <v/>
      </c>
      <c r="X2004">
        <f>IF(ISNUMBER(W2004),'자료_거시'!$G1986,"")</f>
        <v/>
      </c>
      <c r="Y2004">
        <f>IF(ISNUMBER(X2004),IF(X2004&gt;$L$7,W2004,""),"")</f>
        <v/>
      </c>
      <c r="Z2004">
        <f>IF(ISNUMBER('자료_거시'!$K1986),'자료_거시'!$K1986,Z2003)</f>
        <v/>
      </c>
      <c r="AA2004">
        <f>IF(AND(ISNUMBER('자료_거시'!$J1986),ISNUMBER('자료_거시'!$K1986)),IFERROR('자료_거시'!$K1986/INDEX($Z$21:$Z$4020,MATCH(EDATE('자료_거시'!$J1986,-'설정'!$B$17),'자료_거시'!$J$3:INDEX('자료_거시'!$J$3:$J$4002,$K$8),1))-1,""),"")</f>
        <v/>
      </c>
      <c r="AB2004">
        <f>IF(ISNUMBER(AA2004),'자료_거시'!$J1986,"")</f>
        <v/>
      </c>
      <c r="AC2004">
        <f>IF(ISNUMBER(AB2004),IF(AB2004&gt;$L$8,AA2004,""),"")</f>
        <v/>
      </c>
    </row>
    <row r="2005">
      <c r="S2005">
        <f>IF(ISNUMBER('자료_거시'!$E1987),'자료_거시'!$E1987,S2004)</f>
        <v/>
      </c>
      <c r="T2005">
        <f>IF(AND(ISNUMBER('자료_거시'!$D1987),ISNUMBER('자료_거시'!$E1987)),IFERROR('자료_거시'!$E1987-INDEX($S$21:$S$4020,MATCH(EDATE('자료_거시'!$D1987,-'설정'!$B$17),'자료_거시'!$D$3:INDEX('자료_거시'!$D$3:$D$4002,$K$6),1)),""),"")</f>
        <v/>
      </c>
      <c r="U2005">
        <f>IF(ISNUMBER(T2005),'자료_거시'!$D1987,"")</f>
        <v/>
      </c>
      <c r="V2005">
        <f>IF(ISNUMBER(U2005),IF(U2005&gt;$L$6,T2005,""),"")</f>
        <v/>
      </c>
      <c r="W2005">
        <f>IF(AND(ISNUMBER('자료_거시'!$G1987),ISNUMBER('자료_거시'!$H1987)),'자료_거시'!$H1987,"")</f>
        <v/>
      </c>
      <c r="X2005">
        <f>IF(ISNUMBER(W2005),'자료_거시'!$G1987,"")</f>
        <v/>
      </c>
      <c r="Y2005">
        <f>IF(ISNUMBER(X2005),IF(X2005&gt;$L$7,W2005,""),"")</f>
        <v/>
      </c>
      <c r="Z2005">
        <f>IF(ISNUMBER('자료_거시'!$K1987),'자료_거시'!$K1987,Z2004)</f>
        <v/>
      </c>
      <c r="AA2005">
        <f>IF(AND(ISNUMBER('자료_거시'!$J1987),ISNUMBER('자료_거시'!$K1987)),IFERROR('자료_거시'!$K1987/INDEX($Z$21:$Z$4020,MATCH(EDATE('자료_거시'!$J1987,-'설정'!$B$17),'자료_거시'!$J$3:INDEX('자료_거시'!$J$3:$J$4002,$K$8),1))-1,""),"")</f>
        <v/>
      </c>
      <c r="AB2005">
        <f>IF(ISNUMBER(AA2005),'자료_거시'!$J1987,"")</f>
        <v/>
      </c>
      <c r="AC2005">
        <f>IF(ISNUMBER(AB2005),IF(AB2005&gt;$L$8,AA2005,""),"")</f>
        <v/>
      </c>
    </row>
    <row r="2006">
      <c r="S2006">
        <f>IF(ISNUMBER('자료_거시'!$E1988),'자료_거시'!$E1988,S2005)</f>
        <v/>
      </c>
      <c r="T2006">
        <f>IF(AND(ISNUMBER('자료_거시'!$D1988),ISNUMBER('자료_거시'!$E1988)),IFERROR('자료_거시'!$E1988-INDEX($S$21:$S$4020,MATCH(EDATE('자료_거시'!$D1988,-'설정'!$B$17),'자료_거시'!$D$3:INDEX('자료_거시'!$D$3:$D$4002,$K$6),1)),""),"")</f>
        <v/>
      </c>
      <c r="U2006">
        <f>IF(ISNUMBER(T2006),'자료_거시'!$D1988,"")</f>
        <v/>
      </c>
      <c r="V2006">
        <f>IF(ISNUMBER(U2006),IF(U2006&gt;$L$6,T2006,""),"")</f>
        <v/>
      </c>
      <c r="W2006">
        <f>IF(AND(ISNUMBER('자료_거시'!$G1988),ISNUMBER('자료_거시'!$H1988)),'자료_거시'!$H1988,"")</f>
        <v/>
      </c>
      <c r="X2006">
        <f>IF(ISNUMBER(W2006),'자료_거시'!$G1988,"")</f>
        <v/>
      </c>
      <c r="Y2006">
        <f>IF(ISNUMBER(X2006),IF(X2006&gt;$L$7,W2006,""),"")</f>
        <v/>
      </c>
      <c r="Z2006">
        <f>IF(ISNUMBER('자료_거시'!$K1988),'자료_거시'!$K1988,Z2005)</f>
        <v/>
      </c>
      <c r="AA2006">
        <f>IF(AND(ISNUMBER('자료_거시'!$J1988),ISNUMBER('자료_거시'!$K1988)),IFERROR('자료_거시'!$K1988/INDEX($Z$21:$Z$4020,MATCH(EDATE('자료_거시'!$J1988,-'설정'!$B$17),'자료_거시'!$J$3:INDEX('자료_거시'!$J$3:$J$4002,$K$8),1))-1,""),"")</f>
        <v/>
      </c>
      <c r="AB2006">
        <f>IF(ISNUMBER(AA2006),'자료_거시'!$J1988,"")</f>
        <v/>
      </c>
      <c r="AC2006">
        <f>IF(ISNUMBER(AB2006),IF(AB2006&gt;$L$8,AA2006,""),"")</f>
        <v/>
      </c>
    </row>
    <row r="2007">
      <c r="S2007">
        <f>IF(ISNUMBER('자료_거시'!$E1989),'자료_거시'!$E1989,S2006)</f>
        <v/>
      </c>
      <c r="T2007">
        <f>IF(AND(ISNUMBER('자료_거시'!$D1989),ISNUMBER('자료_거시'!$E1989)),IFERROR('자료_거시'!$E1989-INDEX($S$21:$S$4020,MATCH(EDATE('자료_거시'!$D1989,-'설정'!$B$17),'자료_거시'!$D$3:INDEX('자료_거시'!$D$3:$D$4002,$K$6),1)),""),"")</f>
        <v/>
      </c>
      <c r="U2007">
        <f>IF(ISNUMBER(T2007),'자료_거시'!$D1989,"")</f>
        <v/>
      </c>
      <c r="V2007">
        <f>IF(ISNUMBER(U2007),IF(U2007&gt;$L$6,T2007,""),"")</f>
        <v/>
      </c>
      <c r="W2007">
        <f>IF(AND(ISNUMBER('자료_거시'!$G1989),ISNUMBER('자료_거시'!$H1989)),'자료_거시'!$H1989,"")</f>
        <v/>
      </c>
      <c r="X2007">
        <f>IF(ISNUMBER(W2007),'자료_거시'!$G1989,"")</f>
        <v/>
      </c>
      <c r="Y2007">
        <f>IF(ISNUMBER(X2007),IF(X2007&gt;$L$7,W2007,""),"")</f>
        <v/>
      </c>
      <c r="Z2007">
        <f>IF(ISNUMBER('자료_거시'!$K1989),'자료_거시'!$K1989,Z2006)</f>
        <v/>
      </c>
      <c r="AA2007">
        <f>IF(AND(ISNUMBER('자료_거시'!$J1989),ISNUMBER('자료_거시'!$K1989)),IFERROR('자료_거시'!$K1989/INDEX($Z$21:$Z$4020,MATCH(EDATE('자료_거시'!$J1989,-'설정'!$B$17),'자료_거시'!$J$3:INDEX('자료_거시'!$J$3:$J$4002,$K$8),1))-1,""),"")</f>
        <v/>
      </c>
      <c r="AB2007">
        <f>IF(ISNUMBER(AA2007),'자료_거시'!$J1989,"")</f>
        <v/>
      </c>
      <c r="AC2007">
        <f>IF(ISNUMBER(AB2007),IF(AB2007&gt;$L$8,AA2007,""),"")</f>
        <v/>
      </c>
    </row>
    <row r="2008">
      <c r="S2008">
        <f>IF(ISNUMBER('자료_거시'!$E1990),'자료_거시'!$E1990,S2007)</f>
        <v/>
      </c>
      <c r="T2008">
        <f>IF(AND(ISNUMBER('자료_거시'!$D1990),ISNUMBER('자료_거시'!$E1990)),IFERROR('자료_거시'!$E1990-INDEX($S$21:$S$4020,MATCH(EDATE('자료_거시'!$D1990,-'설정'!$B$17),'자료_거시'!$D$3:INDEX('자료_거시'!$D$3:$D$4002,$K$6),1)),""),"")</f>
        <v/>
      </c>
      <c r="U2008">
        <f>IF(ISNUMBER(T2008),'자료_거시'!$D1990,"")</f>
        <v/>
      </c>
      <c r="V2008">
        <f>IF(ISNUMBER(U2008),IF(U2008&gt;$L$6,T2008,""),"")</f>
        <v/>
      </c>
      <c r="W2008">
        <f>IF(AND(ISNUMBER('자료_거시'!$G1990),ISNUMBER('자료_거시'!$H1990)),'자료_거시'!$H1990,"")</f>
        <v/>
      </c>
      <c r="X2008">
        <f>IF(ISNUMBER(W2008),'자료_거시'!$G1990,"")</f>
        <v/>
      </c>
      <c r="Y2008">
        <f>IF(ISNUMBER(X2008),IF(X2008&gt;$L$7,W2008,""),"")</f>
        <v/>
      </c>
      <c r="Z2008">
        <f>IF(ISNUMBER('자료_거시'!$K1990),'자료_거시'!$K1990,Z2007)</f>
        <v/>
      </c>
      <c r="AA2008">
        <f>IF(AND(ISNUMBER('자료_거시'!$J1990),ISNUMBER('자료_거시'!$K1990)),IFERROR('자료_거시'!$K1990/INDEX($Z$21:$Z$4020,MATCH(EDATE('자료_거시'!$J1990,-'설정'!$B$17),'자료_거시'!$J$3:INDEX('자료_거시'!$J$3:$J$4002,$K$8),1))-1,""),"")</f>
        <v/>
      </c>
      <c r="AB2008">
        <f>IF(ISNUMBER(AA2008),'자료_거시'!$J1990,"")</f>
        <v/>
      </c>
      <c r="AC2008">
        <f>IF(ISNUMBER(AB2008),IF(AB2008&gt;$L$8,AA2008,""),"")</f>
        <v/>
      </c>
    </row>
    <row r="2009">
      <c r="S2009">
        <f>IF(ISNUMBER('자료_거시'!$E1991),'자료_거시'!$E1991,S2008)</f>
        <v/>
      </c>
      <c r="T2009">
        <f>IF(AND(ISNUMBER('자료_거시'!$D1991),ISNUMBER('자료_거시'!$E1991)),IFERROR('자료_거시'!$E1991-INDEX($S$21:$S$4020,MATCH(EDATE('자료_거시'!$D1991,-'설정'!$B$17),'자료_거시'!$D$3:INDEX('자료_거시'!$D$3:$D$4002,$K$6),1)),""),"")</f>
        <v/>
      </c>
      <c r="U2009">
        <f>IF(ISNUMBER(T2009),'자료_거시'!$D1991,"")</f>
        <v/>
      </c>
      <c r="V2009">
        <f>IF(ISNUMBER(U2009),IF(U2009&gt;$L$6,T2009,""),"")</f>
        <v/>
      </c>
      <c r="W2009">
        <f>IF(AND(ISNUMBER('자료_거시'!$G1991),ISNUMBER('자료_거시'!$H1991)),'자료_거시'!$H1991,"")</f>
        <v/>
      </c>
      <c r="X2009">
        <f>IF(ISNUMBER(W2009),'자료_거시'!$G1991,"")</f>
        <v/>
      </c>
      <c r="Y2009">
        <f>IF(ISNUMBER(X2009),IF(X2009&gt;$L$7,W2009,""),"")</f>
        <v/>
      </c>
      <c r="Z2009">
        <f>IF(ISNUMBER('자료_거시'!$K1991),'자료_거시'!$K1991,Z2008)</f>
        <v/>
      </c>
      <c r="AA2009">
        <f>IF(AND(ISNUMBER('자료_거시'!$J1991),ISNUMBER('자료_거시'!$K1991)),IFERROR('자료_거시'!$K1991/INDEX($Z$21:$Z$4020,MATCH(EDATE('자료_거시'!$J1991,-'설정'!$B$17),'자료_거시'!$J$3:INDEX('자료_거시'!$J$3:$J$4002,$K$8),1))-1,""),"")</f>
        <v/>
      </c>
      <c r="AB2009">
        <f>IF(ISNUMBER(AA2009),'자료_거시'!$J1991,"")</f>
        <v/>
      </c>
      <c r="AC2009">
        <f>IF(ISNUMBER(AB2009),IF(AB2009&gt;$L$8,AA2009,""),"")</f>
        <v/>
      </c>
    </row>
    <row r="2010">
      <c r="S2010">
        <f>IF(ISNUMBER('자료_거시'!$E1992),'자료_거시'!$E1992,S2009)</f>
        <v/>
      </c>
      <c r="T2010">
        <f>IF(AND(ISNUMBER('자료_거시'!$D1992),ISNUMBER('자료_거시'!$E1992)),IFERROR('자료_거시'!$E1992-INDEX($S$21:$S$4020,MATCH(EDATE('자료_거시'!$D1992,-'설정'!$B$17),'자료_거시'!$D$3:INDEX('자료_거시'!$D$3:$D$4002,$K$6),1)),""),"")</f>
        <v/>
      </c>
      <c r="U2010">
        <f>IF(ISNUMBER(T2010),'자료_거시'!$D1992,"")</f>
        <v/>
      </c>
      <c r="V2010">
        <f>IF(ISNUMBER(U2010),IF(U2010&gt;$L$6,T2010,""),"")</f>
        <v/>
      </c>
      <c r="W2010">
        <f>IF(AND(ISNUMBER('자료_거시'!$G1992),ISNUMBER('자료_거시'!$H1992)),'자료_거시'!$H1992,"")</f>
        <v/>
      </c>
      <c r="X2010">
        <f>IF(ISNUMBER(W2010),'자료_거시'!$G1992,"")</f>
        <v/>
      </c>
      <c r="Y2010">
        <f>IF(ISNUMBER(X2010),IF(X2010&gt;$L$7,W2010,""),"")</f>
        <v/>
      </c>
      <c r="Z2010">
        <f>IF(ISNUMBER('자료_거시'!$K1992),'자료_거시'!$K1992,Z2009)</f>
        <v/>
      </c>
      <c r="AA2010">
        <f>IF(AND(ISNUMBER('자료_거시'!$J1992),ISNUMBER('자료_거시'!$K1992)),IFERROR('자료_거시'!$K1992/INDEX($Z$21:$Z$4020,MATCH(EDATE('자료_거시'!$J1992,-'설정'!$B$17),'자료_거시'!$J$3:INDEX('자료_거시'!$J$3:$J$4002,$K$8),1))-1,""),"")</f>
        <v/>
      </c>
      <c r="AB2010">
        <f>IF(ISNUMBER(AA2010),'자료_거시'!$J1992,"")</f>
        <v/>
      </c>
      <c r="AC2010">
        <f>IF(ISNUMBER(AB2010),IF(AB2010&gt;$L$8,AA2010,""),"")</f>
        <v/>
      </c>
    </row>
    <row r="2011">
      <c r="S2011">
        <f>IF(ISNUMBER('자료_거시'!$E1993),'자료_거시'!$E1993,S2010)</f>
        <v/>
      </c>
      <c r="T2011">
        <f>IF(AND(ISNUMBER('자료_거시'!$D1993),ISNUMBER('자료_거시'!$E1993)),IFERROR('자료_거시'!$E1993-INDEX($S$21:$S$4020,MATCH(EDATE('자료_거시'!$D1993,-'설정'!$B$17),'자료_거시'!$D$3:INDEX('자료_거시'!$D$3:$D$4002,$K$6),1)),""),"")</f>
        <v/>
      </c>
      <c r="U2011">
        <f>IF(ISNUMBER(T2011),'자료_거시'!$D1993,"")</f>
        <v/>
      </c>
      <c r="V2011">
        <f>IF(ISNUMBER(U2011),IF(U2011&gt;$L$6,T2011,""),"")</f>
        <v/>
      </c>
      <c r="W2011">
        <f>IF(AND(ISNUMBER('자료_거시'!$G1993),ISNUMBER('자료_거시'!$H1993)),'자료_거시'!$H1993,"")</f>
        <v/>
      </c>
      <c r="X2011">
        <f>IF(ISNUMBER(W2011),'자료_거시'!$G1993,"")</f>
        <v/>
      </c>
      <c r="Y2011">
        <f>IF(ISNUMBER(X2011),IF(X2011&gt;$L$7,W2011,""),"")</f>
        <v/>
      </c>
      <c r="Z2011">
        <f>IF(ISNUMBER('자료_거시'!$K1993),'자료_거시'!$K1993,Z2010)</f>
        <v/>
      </c>
      <c r="AA2011">
        <f>IF(AND(ISNUMBER('자료_거시'!$J1993),ISNUMBER('자료_거시'!$K1993)),IFERROR('자료_거시'!$K1993/INDEX($Z$21:$Z$4020,MATCH(EDATE('자료_거시'!$J1993,-'설정'!$B$17),'자료_거시'!$J$3:INDEX('자료_거시'!$J$3:$J$4002,$K$8),1))-1,""),"")</f>
        <v/>
      </c>
      <c r="AB2011">
        <f>IF(ISNUMBER(AA2011),'자료_거시'!$J1993,"")</f>
        <v/>
      </c>
      <c r="AC2011">
        <f>IF(ISNUMBER(AB2011),IF(AB2011&gt;$L$8,AA2011,""),"")</f>
        <v/>
      </c>
    </row>
    <row r="2012">
      <c r="S2012">
        <f>IF(ISNUMBER('자료_거시'!$E1994),'자료_거시'!$E1994,S2011)</f>
        <v/>
      </c>
      <c r="T2012">
        <f>IF(AND(ISNUMBER('자료_거시'!$D1994),ISNUMBER('자료_거시'!$E1994)),IFERROR('자료_거시'!$E1994-INDEX($S$21:$S$4020,MATCH(EDATE('자료_거시'!$D1994,-'설정'!$B$17),'자료_거시'!$D$3:INDEX('자료_거시'!$D$3:$D$4002,$K$6),1)),""),"")</f>
        <v/>
      </c>
      <c r="U2012">
        <f>IF(ISNUMBER(T2012),'자료_거시'!$D1994,"")</f>
        <v/>
      </c>
      <c r="V2012">
        <f>IF(ISNUMBER(U2012),IF(U2012&gt;$L$6,T2012,""),"")</f>
        <v/>
      </c>
      <c r="W2012">
        <f>IF(AND(ISNUMBER('자료_거시'!$G1994),ISNUMBER('자료_거시'!$H1994)),'자료_거시'!$H1994,"")</f>
        <v/>
      </c>
      <c r="X2012">
        <f>IF(ISNUMBER(W2012),'자료_거시'!$G1994,"")</f>
        <v/>
      </c>
      <c r="Y2012">
        <f>IF(ISNUMBER(X2012),IF(X2012&gt;$L$7,W2012,""),"")</f>
        <v/>
      </c>
      <c r="Z2012">
        <f>IF(ISNUMBER('자료_거시'!$K1994),'자료_거시'!$K1994,Z2011)</f>
        <v/>
      </c>
      <c r="AA2012">
        <f>IF(AND(ISNUMBER('자료_거시'!$J1994),ISNUMBER('자료_거시'!$K1994)),IFERROR('자료_거시'!$K1994/INDEX($Z$21:$Z$4020,MATCH(EDATE('자료_거시'!$J1994,-'설정'!$B$17),'자료_거시'!$J$3:INDEX('자료_거시'!$J$3:$J$4002,$K$8),1))-1,""),"")</f>
        <v/>
      </c>
      <c r="AB2012">
        <f>IF(ISNUMBER(AA2012),'자료_거시'!$J1994,"")</f>
        <v/>
      </c>
      <c r="AC2012">
        <f>IF(ISNUMBER(AB2012),IF(AB2012&gt;$L$8,AA2012,""),"")</f>
        <v/>
      </c>
    </row>
    <row r="2013">
      <c r="S2013">
        <f>IF(ISNUMBER('자료_거시'!$E1995),'자료_거시'!$E1995,S2012)</f>
        <v/>
      </c>
      <c r="T2013">
        <f>IF(AND(ISNUMBER('자료_거시'!$D1995),ISNUMBER('자료_거시'!$E1995)),IFERROR('자료_거시'!$E1995-INDEX($S$21:$S$4020,MATCH(EDATE('자료_거시'!$D1995,-'설정'!$B$17),'자료_거시'!$D$3:INDEX('자료_거시'!$D$3:$D$4002,$K$6),1)),""),"")</f>
        <v/>
      </c>
      <c r="U2013">
        <f>IF(ISNUMBER(T2013),'자료_거시'!$D1995,"")</f>
        <v/>
      </c>
      <c r="V2013">
        <f>IF(ISNUMBER(U2013),IF(U2013&gt;$L$6,T2013,""),"")</f>
        <v/>
      </c>
      <c r="W2013">
        <f>IF(AND(ISNUMBER('자료_거시'!$G1995),ISNUMBER('자료_거시'!$H1995)),'자료_거시'!$H1995,"")</f>
        <v/>
      </c>
      <c r="X2013">
        <f>IF(ISNUMBER(W2013),'자료_거시'!$G1995,"")</f>
        <v/>
      </c>
      <c r="Y2013">
        <f>IF(ISNUMBER(X2013),IF(X2013&gt;$L$7,W2013,""),"")</f>
        <v/>
      </c>
      <c r="Z2013">
        <f>IF(ISNUMBER('자료_거시'!$K1995),'자료_거시'!$K1995,Z2012)</f>
        <v/>
      </c>
      <c r="AA2013">
        <f>IF(AND(ISNUMBER('자료_거시'!$J1995),ISNUMBER('자료_거시'!$K1995)),IFERROR('자료_거시'!$K1995/INDEX($Z$21:$Z$4020,MATCH(EDATE('자료_거시'!$J1995,-'설정'!$B$17),'자료_거시'!$J$3:INDEX('자료_거시'!$J$3:$J$4002,$K$8),1))-1,""),"")</f>
        <v/>
      </c>
      <c r="AB2013">
        <f>IF(ISNUMBER(AA2013),'자료_거시'!$J1995,"")</f>
        <v/>
      </c>
      <c r="AC2013">
        <f>IF(ISNUMBER(AB2013),IF(AB2013&gt;$L$8,AA2013,""),"")</f>
        <v/>
      </c>
    </row>
    <row r="2014">
      <c r="S2014">
        <f>IF(ISNUMBER('자료_거시'!$E1996),'자료_거시'!$E1996,S2013)</f>
        <v/>
      </c>
      <c r="T2014">
        <f>IF(AND(ISNUMBER('자료_거시'!$D1996),ISNUMBER('자료_거시'!$E1996)),IFERROR('자료_거시'!$E1996-INDEX($S$21:$S$4020,MATCH(EDATE('자료_거시'!$D1996,-'설정'!$B$17),'자료_거시'!$D$3:INDEX('자료_거시'!$D$3:$D$4002,$K$6),1)),""),"")</f>
        <v/>
      </c>
      <c r="U2014">
        <f>IF(ISNUMBER(T2014),'자료_거시'!$D1996,"")</f>
        <v/>
      </c>
      <c r="V2014">
        <f>IF(ISNUMBER(U2014),IF(U2014&gt;$L$6,T2014,""),"")</f>
        <v/>
      </c>
      <c r="W2014">
        <f>IF(AND(ISNUMBER('자료_거시'!$G1996),ISNUMBER('자료_거시'!$H1996)),'자료_거시'!$H1996,"")</f>
        <v/>
      </c>
      <c r="X2014">
        <f>IF(ISNUMBER(W2014),'자료_거시'!$G1996,"")</f>
        <v/>
      </c>
      <c r="Y2014">
        <f>IF(ISNUMBER(X2014),IF(X2014&gt;$L$7,W2014,""),"")</f>
        <v/>
      </c>
      <c r="Z2014">
        <f>IF(ISNUMBER('자료_거시'!$K1996),'자료_거시'!$K1996,Z2013)</f>
        <v/>
      </c>
      <c r="AA2014">
        <f>IF(AND(ISNUMBER('자료_거시'!$J1996),ISNUMBER('자료_거시'!$K1996)),IFERROR('자료_거시'!$K1996/INDEX($Z$21:$Z$4020,MATCH(EDATE('자료_거시'!$J1996,-'설정'!$B$17),'자료_거시'!$J$3:INDEX('자료_거시'!$J$3:$J$4002,$K$8),1))-1,""),"")</f>
        <v/>
      </c>
      <c r="AB2014">
        <f>IF(ISNUMBER(AA2014),'자료_거시'!$J1996,"")</f>
        <v/>
      </c>
      <c r="AC2014">
        <f>IF(ISNUMBER(AB2014),IF(AB2014&gt;$L$8,AA2014,""),"")</f>
        <v/>
      </c>
    </row>
    <row r="2015">
      <c r="S2015">
        <f>IF(ISNUMBER('자료_거시'!$E1997),'자료_거시'!$E1997,S2014)</f>
        <v/>
      </c>
      <c r="T2015">
        <f>IF(AND(ISNUMBER('자료_거시'!$D1997),ISNUMBER('자료_거시'!$E1997)),IFERROR('자료_거시'!$E1997-INDEX($S$21:$S$4020,MATCH(EDATE('자료_거시'!$D1997,-'설정'!$B$17),'자료_거시'!$D$3:INDEX('자료_거시'!$D$3:$D$4002,$K$6),1)),""),"")</f>
        <v/>
      </c>
      <c r="U2015">
        <f>IF(ISNUMBER(T2015),'자료_거시'!$D1997,"")</f>
        <v/>
      </c>
      <c r="V2015">
        <f>IF(ISNUMBER(U2015),IF(U2015&gt;$L$6,T2015,""),"")</f>
        <v/>
      </c>
      <c r="W2015">
        <f>IF(AND(ISNUMBER('자료_거시'!$G1997),ISNUMBER('자료_거시'!$H1997)),'자료_거시'!$H1997,"")</f>
        <v/>
      </c>
      <c r="X2015">
        <f>IF(ISNUMBER(W2015),'자료_거시'!$G1997,"")</f>
        <v/>
      </c>
      <c r="Y2015">
        <f>IF(ISNUMBER(X2015),IF(X2015&gt;$L$7,W2015,""),"")</f>
        <v/>
      </c>
      <c r="Z2015">
        <f>IF(ISNUMBER('자료_거시'!$K1997),'자료_거시'!$K1997,Z2014)</f>
        <v/>
      </c>
      <c r="AA2015">
        <f>IF(AND(ISNUMBER('자료_거시'!$J1997),ISNUMBER('자료_거시'!$K1997)),IFERROR('자료_거시'!$K1997/INDEX($Z$21:$Z$4020,MATCH(EDATE('자료_거시'!$J1997,-'설정'!$B$17),'자료_거시'!$J$3:INDEX('자료_거시'!$J$3:$J$4002,$K$8),1))-1,""),"")</f>
        <v/>
      </c>
      <c r="AB2015">
        <f>IF(ISNUMBER(AA2015),'자료_거시'!$J1997,"")</f>
        <v/>
      </c>
      <c r="AC2015">
        <f>IF(ISNUMBER(AB2015),IF(AB2015&gt;$L$8,AA2015,""),"")</f>
        <v/>
      </c>
    </row>
    <row r="2016">
      <c r="S2016">
        <f>IF(ISNUMBER('자료_거시'!$E1998),'자료_거시'!$E1998,S2015)</f>
        <v/>
      </c>
      <c r="T2016">
        <f>IF(AND(ISNUMBER('자료_거시'!$D1998),ISNUMBER('자료_거시'!$E1998)),IFERROR('자료_거시'!$E1998-INDEX($S$21:$S$4020,MATCH(EDATE('자료_거시'!$D1998,-'설정'!$B$17),'자료_거시'!$D$3:INDEX('자료_거시'!$D$3:$D$4002,$K$6),1)),""),"")</f>
        <v/>
      </c>
      <c r="U2016">
        <f>IF(ISNUMBER(T2016),'자료_거시'!$D1998,"")</f>
        <v/>
      </c>
      <c r="V2016">
        <f>IF(ISNUMBER(U2016),IF(U2016&gt;$L$6,T2016,""),"")</f>
        <v/>
      </c>
      <c r="W2016">
        <f>IF(AND(ISNUMBER('자료_거시'!$G1998),ISNUMBER('자료_거시'!$H1998)),'자료_거시'!$H1998,"")</f>
        <v/>
      </c>
      <c r="X2016">
        <f>IF(ISNUMBER(W2016),'자료_거시'!$G1998,"")</f>
        <v/>
      </c>
      <c r="Y2016">
        <f>IF(ISNUMBER(X2016),IF(X2016&gt;$L$7,W2016,""),"")</f>
        <v/>
      </c>
      <c r="Z2016">
        <f>IF(ISNUMBER('자료_거시'!$K1998),'자료_거시'!$K1998,Z2015)</f>
        <v/>
      </c>
      <c r="AA2016">
        <f>IF(AND(ISNUMBER('자료_거시'!$J1998),ISNUMBER('자료_거시'!$K1998)),IFERROR('자료_거시'!$K1998/INDEX($Z$21:$Z$4020,MATCH(EDATE('자료_거시'!$J1998,-'설정'!$B$17),'자료_거시'!$J$3:INDEX('자료_거시'!$J$3:$J$4002,$K$8),1))-1,""),"")</f>
        <v/>
      </c>
      <c r="AB2016">
        <f>IF(ISNUMBER(AA2016),'자료_거시'!$J1998,"")</f>
        <v/>
      </c>
      <c r="AC2016">
        <f>IF(ISNUMBER(AB2016),IF(AB2016&gt;$L$8,AA2016,""),"")</f>
        <v/>
      </c>
    </row>
    <row r="2017">
      <c r="S2017">
        <f>IF(ISNUMBER('자료_거시'!$E1999),'자료_거시'!$E1999,S2016)</f>
        <v/>
      </c>
      <c r="T2017">
        <f>IF(AND(ISNUMBER('자료_거시'!$D1999),ISNUMBER('자료_거시'!$E1999)),IFERROR('자료_거시'!$E1999-INDEX($S$21:$S$4020,MATCH(EDATE('자료_거시'!$D1999,-'설정'!$B$17),'자료_거시'!$D$3:INDEX('자료_거시'!$D$3:$D$4002,$K$6),1)),""),"")</f>
        <v/>
      </c>
      <c r="U2017">
        <f>IF(ISNUMBER(T2017),'자료_거시'!$D1999,"")</f>
        <v/>
      </c>
      <c r="V2017">
        <f>IF(ISNUMBER(U2017),IF(U2017&gt;$L$6,T2017,""),"")</f>
        <v/>
      </c>
      <c r="W2017">
        <f>IF(AND(ISNUMBER('자료_거시'!$G1999),ISNUMBER('자료_거시'!$H1999)),'자료_거시'!$H1999,"")</f>
        <v/>
      </c>
      <c r="X2017">
        <f>IF(ISNUMBER(W2017),'자료_거시'!$G1999,"")</f>
        <v/>
      </c>
      <c r="Y2017">
        <f>IF(ISNUMBER(X2017),IF(X2017&gt;$L$7,W2017,""),"")</f>
        <v/>
      </c>
      <c r="Z2017">
        <f>IF(ISNUMBER('자료_거시'!$K1999),'자료_거시'!$K1999,Z2016)</f>
        <v/>
      </c>
      <c r="AA2017">
        <f>IF(AND(ISNUMBER('자료_거시'!$J1999),ISNUMBER('자료_거시'!$K1999)),IFERROR('자료_거시'!$K1999/INDEX($Z$21:$Z$4020,MATCH(EDATE('자료_거시'!$J1999,-'설정'!$B$17),'자료_거시'!$J$3:INDEX('자료_거시'!$J$3:$J$4002,$K$8),1))-1,""),"")</f>
        <v/>
      </c>
      <c r="AB2017">
        <f>IF(ISNUMBER(AA2017),'자료_거시'!$J1999,"")</f>
        <v/>
      </c>
      <c r="AC2017">
        <f>IF(ISNUMBER(AB2017),IF(AB2017&gt;$L$8,AA2017,""),"")</f>
        <v/>
      </c>
    </row>
    <row r="2018">
      <c r="S2018">
        <f>IF(ISNUMBER('자료_거시'!$E2000),'자료_거시'!$E2000,S2017)</f>
        <v/>
      </c>
      <c r="T2018">
        <f>IF(AND(ISNUMBER('자료_거시'!$D2000),ISNUMBER('자료_거시'!$E2000)),IFERROR('자료_거시'!$E2000-INDEX($S$21:$S$4020,MATCH(EDATE('자료_거시'!$D2000,-'설정'!$B$17),'자료_거시'!$D$3:INDEX('자료_거시'!$D$3:$D$4002,$K$6),1)),""),"")</f>
        <v/>
      </c>
      <c r="U2018">
        <f>IF(ISNUMBER(T2018),'자료_거시'!$D2000,"")</f>
        <v/>
      </c>
      <c r="V2018">
        <f>IF(ISNUMBER(U2018),IF(U2018&gt;$L$6,T2018,""),"")</f>
        <v/>
      </c>
      <c r="W2018">
        <f>IF(AND(ISNUMBER('자료_거시'!$G2000),ISNUMBER('자료_거시'!$H2000)),'자료_거시'!$H2000,"")</f>
        <v/>
      </c>
      <c r="X2018">
        <f>IF(ISNUMBER(W2018),'자료_거시'!$G2000,"")</f>
        <v/>
      </c>
      <c r="Y2018">
        <f>IF(ISNUMBER(X2018),IF(X2018&gt;$L$7,W2018,""),"")</f>
        <v/>
      </c>
      <c r="Z2018">
        <f>IF(ISNUMBER('자료_거시'!$K2000),'자료_거시'!$K2000,Z2017)</f>
        <v/>
      </c>
      <c r="AA2018">
        <f>IF(AND(ISNUMBER('자료_거시'!$J2000),ISNUMBER('자료_거시'!$K2000)),IFERROR('자료_거시'!$K2000/INDEX($Z$21:$Z$4020,MATCH(EDATE('자료_거시'!$J2000,-'설정'!$B$17),'자료_거시'!$J$3:INDEX('자료_거시'!$J$3:$J$4002,$K$8),1))-1,""),"")</f>
        <v/>
      </c>
      <c r="AB2018">
        <f>IF(ISNUMBER(AA2018),'자료_거시'!$J2000,"")</f>
        <v/>
      </c>
      <c r="AC2018">
        <f>IF(ISNUMBER(AB2018),IF(AB2018&gt;$L$8,AA2018,""),"")</f>
        <v/>
      </c>
    </row>
    <row r="2019">
      <c r="S2019">
        <f>IF(ISNUMBER('자료_거시'!$E2001),'자료_거시'!$E2001,S2018)</f>
        <v/>
      </c>
      <c r="T2019">
        <f>IF(AND(ISNUMBER('자료_거시'!$D2001),ISNUMBER('자료_거시'!$E2001)),IFERROR('자료_거시'!$E2001-INDEX($S$21:$S$4020,MATCH(EDATE('자료_거시'!$D2001,-'설정'!$B$17),'자료_거시'!$D$3:INDEX('자료_거시'!$D$3:$D$4002,$K$6),1)),""),"")</f>
        <v/>
      </c>
      <c r="U2019">
        <f>IF(ISNUMBER(T2019),'자료_거시'!$D2001,"")</f>
        <v/>
      </c>
      <c r="V2019">
        <f>IF(ISNUMBER(U2019),IF(U2019&gt;$L$6,T2019,""),"")</f>
        <v/>
      </c>
      <c r="W2019">
        <f>IF(AND(ISNUMBER('자료_거시'!$G2001),ISNUMBER('자료_거시'!$H2001)),'자료_거시'!$H2001,"")</f>
        <v/>
      </c>
      <c r="X2019">
        <f>IF(ISNUMBER(W2019),'자료_거시'!$G2001,"")</f>
        <v/>
      </c>
      <c r="Y2019">
        <f>IF(ISNUMBER(X2019),IF(X2019&gt;$L$7,W2019,""),"")</f>
        <v/>
      </c>
      <c r="Z2019">
        <f>IF(ISNUMBER('자료_거시'!$K2001),'자료_거시'!$K2001,Z2018)</f>
        <v/>
      </c>
      <c r="AA2019">
        <f>IF(AND(ISNUMBER('자료_거시'!$J2001),ISNUMBER('자료_거시'!$K2001)),IFERROR('자료_거시'!$K2001/INDEX($Z$21:$Z$4020,MATCH(EDATE('자료_거시'!$J2001,-'설정'!$B$17),'자료_거시'!$J$3:INDEX('자료_거시'!$J$3:$J$4002,$K$8),1))-1,""),"")</f>
        <v/>
      </c>
      <c r="AB2019">
        <f>IF(ISNUMBER(AA2019),'자료_거시'!$J2001,"")</f>
        <v/>
      </c>
      <c r="AC2019">
        <f>IF(ISNUMBER(AB2019),IF(AB2019&gt;$L$8,AA2019,""),"")</f>
        <v/>
      </c>
    </row>
    <row r="2020">
      <c r="S2020">
        <f>IF(ISNUMBER('자료_거시'!$E2002),'자료_거시'!$E2002,S2019)</f>
        <v/>
      </c>
      <c r="T2020">
        <f>IF(AND(ISNUMBER('자료_거시'!$D2002),ISNUMBER('자료_거시'!$E2002)),IFERROR('자료_거시'!$E2002-INDEX($S$21:$S$4020,MATCH(EDATE('자료_거시'!$D2002,-'설정'!$B$17),'자료_거시'!$D$3:INDEX('자료_거시'!$D$3:$D$4002,$K$6),1)),""),"")</f>
        <v/>
      </c>
      <c r="U2020">
        <f>IF(ISNUMBER(T2020),'자료_거시'!$D2002,"")</f>
        <v/>
      </c>
      <c r="V2020">
        <f>IF(ISNUMBER(U2020),IF(U2020&gt;$L$6,T2020,""),"")</f>
        <v/>
      </c>
      <c r="W2020">
        <f>IF(AND(ISNUMBER('자료_거시'!$G2002),ISNUMBER('자료_거시'!$H2002)),'자료_거시'!$H2002,"")</f>
        <v/>
      </c>
      <c r="X2020">
        <f>IF(ISNUMBER(W2020),'자료_거시'!$G2002,"")</f>
        <v/>
      </c>
      <c r="Y2020">
        <f>IF(ISNUMBER(X2020),IF(X2020&gt;$L$7,W2020,""),"")</f>
        <v/>
      </c>
      <c r="Z2020">
        <f>IF(ISNUMBER('자료_거시'!$K2002),'자료_거시'!$K2002,Z2019)</f>
        <v/>
      </c>
      <c r="AA2020">
        <f>IF(AND(ISNUMBER('자료_거시'!$J2002),ISNUMBER('자료_거시'!$K2002)),IFERROR('자료_거시'!$K2002/INDEX($Z$21:$Z$4020,MATCH(EDATE('자료_거시'!$J2002,-'설정'!$B$17),'자료_거시'!$J$3:INDEX('자료_거시'!$J$3:$J$4002,$K$8),1))-1,""),"")</f>
        <v/>
      </c>
      <c r="AB2020">
        <f>IF(ISNUMBER(AA2020),'자료_거시'!$J2002,"")</f>
        <v/>
      </c>
      <c r="AC2020">
        <f>IF(ISNUMBER(AB2020),IF(AB2020&gt;$L$8,AA2020,""),"")</f>
        <v/>
      </c>
    </row>
    <row r="2021">
      <c r="S2021">
        <f>IF(ISNUMBER('자료_거시'!$E2003),'자료_거시'!$E2003,S2020)</f>
        <v/>
      </c>
      <c r="T2021">
        <f>IF(AND(ISNUMBER('자료_거시'!$D2003),ISNUMBER('자료_거시'!$E2003)),IFERROR('자료_거시'!$E2003-INDEX($S$21:$S$4020,MATCH(EDATE('자료_거시'!$D2003,-'설정'!$B$17),'자료_거시'!$D$3:INDEX('자료_거시'!$D$3:$D$4002,$K$6),1)),""),"")</f>
        <v/>
      </c>
      <c r="U2021">
        <f>IF(ISNUMBER(T2021),'자료_거시'!$D2003,"")</f>
        <v/>
      </c>
      <c r="V2021">
        <f>IF(ISNUMBER(U2021),IF(U2021&gt;$L$6,T2021,""),"")</f>
        <v/>
      </c>
      <c r="W2021">
        <f>IF(AND(ISNUMBER('자료_거시'!$G2003),ISNUMBER('자료_거시'!$H2003)),'자료_거시'!$H2003,"")</f>
        <v/>
      </c>
      <c r="X2021">
        <f>IF(ISNUMBER(W2021),'자료_거시'!$G2003,"")</f>
        <v/>
      </c>
      <c r="Y2021">
        <f>IF(ISNUMBER(X2021),IF(X2021&gt;$L$7,W2021,""),"")</f>
        <v/>
      </c>
      <c r="Z2021">
        <f>IF(ISNUMBER('자료_거시'!$K2003),'자료_거시'!$K2003,Z2020)</f>
        <v/>
      </c>
      <c r="AA2021">
        <f>IF(AND(ISNUMBER('자료_거시'!$J2003),ISNUMBER('자료_거시'!$K2003)),IFERROR('자료_거시'!$K2003/INDEX($Z$21:$Z$4020,MATCH(EDATE('자료_거시'!$J2003,-'설정'!$B$17),'자료_거시'!$J$3:INDEX('자료_거시'!$J$3:$J$4002,$K$8),1))-1,""),"")</f>
        <v/>
      </c>
      <c r="AB2021">
        <f>IF(ISNUMBER(AA2021),'자료_거시'!$J2003,"")</f>
        <v/>
      </c>
      <c r="AC2021">
        <f>IF(ISNUMBER(AB2021),IF(AB2021&gt;$L$8,AA2021,""),"")</f>
        <v/>
      </c>
    </row>
    <row r="2022">
      <c r="S2022">
        <f>IF(ISNUMBER('자료_거시'!$E2004),'자료_거시'!$E2004,S2021)</f>
        <v/>
      </c>
      <c r="T2022">
        <f>IF(AND(ISNUMBER('자료_거시'!$D2004),ISNUMBER('자료_거시'!$E2004)),IFERROR('자료_거시'!$E2004-INDEX($S$21:$S$4020,MATCH(EDATE('자료_거시'!$D2004,-'설정'!$B$17),'자료_거시'!$D$3:INDEX('자료_거시'!$D$3:$D$4002,$K$6),1)),""),"")</f>
        <v/>
      </c>
      <c r="U2022">
        <f>IF(ISNUMBER(T2022),'자료_거시'!$D2004,"")</f>
        <v/>
      </c>
      <c r="V2022">
        <f>IF(ISNUMBER(U2022),IF(U2022&gt;$L$6,T2022,""),"")</f>
        <v/>
      </c>
      <c r="W2022">
        <f>IF(AND(ISNUMBER('자료_거시'!$G2004),ISNUMBER('자료_거시'!$H2004)),'자료_거시'!$H2004,"")</f>
        <v/>
      </c>
      <c r="X2022">
        <f>IF(ISNUMBER(W2022),'자료_거시'!$G2004,"")</f>
        <v/>
      </c>
      <c r="Y2022">
        <f>IF(ISNUMBER(X2022),IF(X2022&gt;$L$7,W2022,""),"")</f>
        <v/>
      </c>
      <c r="Z2022">
        <f>IF(ISNUMBER('자료_거시'!$K2004),'자료_거시'!$K2004,Z2021)</f>
        <v/>
      </c>
      <c r="AA2022">
        <f>IF(AND(ISNUMBER('자료_거시'!$J2004),ISNUMBER('자료_거시'!$K2004)),IFERROR('자료_거시'!$K2004/INDEX($Z$21:$Z$4020,MATCH(EDATE('자료_거시'!$J2004,-'설정'!$B$17),'자료_거시'!$J$3:INDEX('자료_거시'!$J$3:$J$4002,$K$8),1))-1,""),"")</f>
        <v/>
      </c>
      <c r="AB2022">
        <f>IF(ISNUMBER(AA2022),'자료_거시'!$J2004,"")</f>
        <v/>
      </c>
      <c r="AC2022">
        <f>IF(ISNUMBER(AB2022),IF(AB2022&gt;$L$8,AA2022,""),"")</f>
        <v/>
      </c>
    </row>
    <row r="2023">
      <c r="S2023">
        <f>IF(ISNUMBER('자료_거시'!$E2005),'자료_거시'!$E2005,S2022)</f>
        <v/>
      </c>
      <c r="T2023">
        <f>IF(AND(ISNUMBER('자료_거시'!$D2005),ISNUMBER('자료_거시'!$E2005)),IFERROR('자료_거시'!$E2005-INDEX($S$21:$S$4020,MATCH(EDATE('자료_거시'!$D2005,-'설정'!$B$17),'자료_거시'!$D$3:INDEX('자료_거시'!$D$3:$D$4002,$K$6),1)),""),"")</f>
        <v/>
      </c>
      <c r="U2023">
        <f>IF(ISNUMBER(T2023),'자료_거시'!$D2005,"")</f>
        <v/>
      </c>
      <c r="V2023">
        <f>IF(ISNUMBER(U2023),IF(U2023&gt;$L$6,T2023,""),"")</f>
        <v/>
      </c>
      <c r="W2023">
        <f>IF(AND(ISNUMBER('자료_거시'!$G2005),ISNUMBER('자료_거시'!$H2005)),'자료_거시'!$H2005,"")</f>
        <v/>
      </c>
      <c r="X2023">
        <f>IF(ISNUMBER(W2023),'자료_거시'!$G2005,"")</f>
        <v/>
      </c>
      <c r="Y2023">
        <f>IF(ISNUMBER(X2023),IF(X2023&gt;$L$7,W2023,""),"")</f>
        <v/>
      </c>
      <c r="Z2023">
        <f>IF(ISNUMBER('자료_거시'!$K2005),'자료_거시'!$K2005,Z2022)</f>
        <v/>
      </c>
      <c r="AA2023">
        <f>IF(AND(ISNUMBER('자료_거시'!$J2005),ISNUMBER('자료_거시'!$K2005)),IFERROR('자료_거시'!$K2005/INDEX($Z$21:$Z$4020,MATCH(EDATE('자료_거시'!$J2005,-'설정'!$B$17),'자료_거시'!$J$3:INDEX('자료_거시'!$J$3:$J$4002,$K$8),1))-1,""),"")</f>
        <v/>
      </c>
      <c r="AB2023">
        <f>IF(ISNUMBER(AA2023),'자료_거시'!$J2005,"")</f>
        <v/>
      </c>
      <c r="AC2023">
        <f>IF(ISNUMBER(AB2023),IF(AB2023&gt;$L$8,AA2023,""),"")</f>
        <v/>
      </c>
    </row>
    <row r="2024">
      <c r="S2024">
        <f>IF(ISNUMBER('자료_거시'!$E2006),'자료_거시'!$E2006,S2023)</f>
        <v/>
      </c>
      <c r="T2024">
        <f>IF(AND(ISNUMBER('자료_거시'!$D2006),ISNUMBER('자료_거시'!$E2006)),IFERROR('자료_거시'!$E2006-INDEX($S$21:$S$4020,MATCH(EDATE('자료_거시'!$D2006,-'설정'!$B$17),'자료_거시'!$D$3:INDEX('자료_거시'!$D$3:$D$4002,$K$6),1)),""),"")</f>
        <v/>
      </c>
      <c r="U2024">
        <f>IF(ISNUMBER(T2024),'자료_거시'!$D2006,"")</f>
        <v/>
      </c>
      <c r="V2024">
        <f>IF(ISNUMBER(U2024),IF(U2024&gt;$L$6,T2024,""),"")</f>
        <v/>
      </c>
      <c r="W2024">
        <f>IF(AND(ISNUMBER('자료_거시'!$G2006),ISNUMBER('자료_거시'!$H2006)),'자료_거시'!$H2006,"")</f>
        <v/>
      </c>
      <c r="X2024">
        <f>IF(ISNUMBER(W2024),'자료_거시'!$G2006,"")</f>
        <v/>
      </c>
      <c r="Y2024">
        <f>IF(ISNUMBER(X2024),IF(X2024&gt;$L$7,W2024,""),"")</f>
        <v/>
      </c>
      <c r="Z2024">
        <f>IF(ISNUMBER('자료_거시'!$K2006),'자료_거시'!$K2006,Z2023)</f>
        <v/>
      </c>
      <c r="AA2024">
        <f>IF(AND(ISNUMBER('자료_거시'!$J2006),ISNUMBER('자료_거시'!$K2006)),IFERROR('자료_거시'!$K2006/INDEX($Z$21:$Z$4020,MATCH(EDATE('자료_거시'!$J2006,-'설정'!$B$17),'자료_거시'!$J$3:INDEX('자료_거시'!$J$3:$J$4002,$K$8),1))-1,""),"")</f>
        <v/>
      </c>
      <c r="AB2024">
        <f>IF(ISNUMBER(AA2024),'자료_거시'!$J2006,"")</f>
        <v/>
      </c>
      <c r="AC2024">
        <f>IF(ISNUMBER(AB2024),IF(AB2024&gt;$L$8,AA2024,""),"")</f>
        <v/>
      </c>
    </row>
    <row r="2025">
      <c r="S2025">
        <f>IF(ISNUMBER('자료_거시'!$E2007),'자료_거시'!$E2007,S2024)</f>
        <v/>
      </c>
      <c r="T2025">
        <f>IF(AND(ISNUMBER('자료_거시'!$D2007),ISNUMBER('자료_거시'!$E2007)),IFERROR('자료_거시'!$E2007-INDEX($S$21:$S$4020,MATCH(EDATE('자료_거시'!$D2007,-'설정'!$B$17),'자료_거시'!$D$3:INDEX('자료_거시'!$D$3:$D$4002,$K$6),1)),""),"")</f>
        <v/>
      </c>
      <c r="U2025">
        <f>IF(ISNUMBER(T2025),'자료_거시'!$D2007,"")</f>
        <v/>
      </c>
      <c r="V2025">
        <f>IF(ISNUMBER(U2025),IF(U2025&gt;$L$6,T2025,""),"")</f>
        <v/>
      </c>
      <c r="W2025">
        <f>IF(AND(ISNUMBER('자료_거시'!$G2007),ISNUMBER('자료_거시'!$H2007)),'자료_거시'!$H2007,"")</f>
        <v/>
      </c>
      <c r="X2025">
        <f>IF(ISNUMBER(W2025),'자료_거시'!$G2007,"")</f>
        <v/>
      </c>
      <c r="Y2025">
        <f>IF(ISNUMBER(X2025),IF(X2025&gt;$L$7,W2025,""),"")</f>
        <v/>
      </c>
      <c r="Z2025">
        <f>IF(ISNUMBER('자료_거시'!$K2007),'자료_거시'!$K2007,Z2024)</f>
        <v/>
      </c>
      <c r="AA2025">
        <f>IF(AND(ISNUMBER('자료_거시'!$J2007),ISNUMBER('자료_거시'!$K2007)),IFERROR('자료_거시'!$K2007/INDEX($Z$21:$Z$4020,MATCH(EDATE('자료_거시'!$J2007,-'설정'!$B$17),'자료_거시'!$J$3:INDEX('자료_거시'!$J$3:$J$4002,$K$8),1))-1,""),"")</f>
        <v/>
      </c>
      <c r="AB2025">
        <f>IF(ISNUMBER(AA2025),'자료_거시'!$J2007,"")</f>
        <v/>
      </c>
      <c r="AC2025">
        <f>IF(ISNUMBER(AB2025),IF(AB2025&gt;$L$8,AA2025,""),"")</f>
        <v/>
      </c>
    </row>
    <row r="2026">
      <c r="S2026">
        <f>IF(ISNUMBER('자료_거시'!$E2008),'자료_거시'!$E2008,S2025)</f>
        <v/>
      </c>
      <c r="T2026">
        <f>IF(AND(ISNUMBER('자료_거시'!$D2008),ISNUMBER('자료_거시'!$E2008)),IFERROR('자료_거시'!$E2008-INDEX($S$21:$S$4020,MATCH(EDATE('자료_거시'!$D2008,-'설정'!$B$17),'자료_거시'!$D$3:INDEX('자료_거시'!$D$3:$D$4002,$K$6),1)),""),"")</f>
        <v/>
      </c>
      <c r="U2026">
        <f>IF(ISNUMBER(T2026),'자료_거시'!$D2008,"")</f>
        <v/>
      </c>
      <c r="V2026">
        <f>IF(ISNUMBER(U2026),IF(U2026&gt;$L$6,T2026,""),"")</f>
        <v/>
      </c>
      <c r="W2026">
        <f>IF(AND(ISNUMBER('자료_거시'!$G2008),ISNUMBER('자료_거시'!$H2008)),'자료_거시'!$H2008,"")</f>
        <v/>
      </c>
      <c r="X2026">
        <f>IF(ISNUMBER(W2026),'자료_거시'!$G2008,"")</f>
        <v/>
      </c>
      <c r="Y2026">
        <f>IF(ISNUMBER(X2026),IF(X2026&gt;$L$7,W2026,""),"")</f>
        <v/>
      </c>
      <c r="Z2026">
        <f>IF(ISNUMBER('자료_거시'!$K2008),'자료_거시'!$K2008,Z2025)</f>
        <v/>
      </c>
      <c r="AA2026">
        <f>IF(AND(ISNUMBER('자료_거시'!$J2008),ISNUMBER('자료_거시'!$K2008)),IFERROR('자료_거시'!$K2008/INDEX($Z$21:$Z$4020,MATCH(EDATE('자료_거시'!$J2008,-'설정'!$B$17),'자료_거시'!$J$3:INDEX('자료_거시'!$J$3:$J$4002,$K$8),1))-1,""),"")</f>
        <v/>
      </c>
      <c r="AB2026">
        <f>IF(ISNUMBER(AA2026),'자료_거시'!$J2008,"")</f>
        <v/>
      </c>
      <c r="AC2026">
        <f>IF(ISNUMBER(AB2026),IF(AB2026&gt;$L$8,AA2026,""),"")</f>
        <v/>
      </c>
    </row>
    <row r="2027">
      <c r="S2027">
        <f>IF(ISNUMBER('자료_거시'!$E2009),'자료_거시'!$E2009,S2026)</f>
        <v/>
      </c>
      <c r="T2027">
        <f>IF(AND(ISNUMBER('자료_거시'!$D2009),ISNUMBER('자료_거시'!$E2009)),IFERROR('자료_거시'!$E2009-INDEX($S$21:$S$4020,MATCH(EDATE('자료_거시'!$D2009,-'설정'!$B$17),'자료_거시'!$D$3:INDEX('자료_거시'!$D$3:$D$4002,$K$6),1)),""),"")</f>
        <v/>
      </c>
      <c r="U2027">
        <f>IF(ISNUMBER(T2027),'자료_거시'!$D2009,"")</f>
        <v/>
      </c>
      <c r="V2027">
        <f>IF(ISNUMBER(U2027),IF(U2027&gt;$L$6,T2027,""),"")</f>
        <v/>
      </c>
      <c r="W2027">
        <f>IF(AND(ISNUMBER('자료_거시'!$G2009),ISNUMBER('자료_거시'!$H2009)),'자료_거시'!$H2009,"")</f>
        <v/>
      </c>
      <c r="X2027">
        <f>IF(ISNUMBER(W2027),'자료_거시'!$G2009,"")</f>
        <v/>
      </c>
      <c r="Y2027">
        <f>IF(ISNUMBER(X2027),IF(X2027&gt;$L$7,W2027,""),"")</f>
        <v/>
      </c>
      <c r="Z2027">
        <f>IF(ISNUMBER('자료_거시'!$K2009),'자료_거시'!$K2009,Z2026)</f>
        <v/>
      </c>
      <c r="AA2027">
        <f>IF(AND(ISNUMBER('자료_거시'!$J2009),ISNUMBER('자료_거시'!$K2009)),IFERROR('자료_거시'!$K2009/INDEX($Z$21:$Z$4020,MATCH(EDATE('자료_거시'!$J2009,-'설정'!$B$17),'자료_거시'!$J$3:INDEX('자료_거시'!$J$3:$J$4002,$K$8),1))-1,""),"")</f>
        <v/>
      </c>
      <c r="AB2027">
        <f>IF(ISNUMBER(AA2027),'자료_거시'!$J2009,"")</f>
        <v/>
      </c>
      <c r="AC2027">
        <f>IF(ISNUMBER(AB2027),IF(AB2027&gt;$L$8,AA2027,""),"")</f>
        <v/>
      </c>
    </row>
    <row r="2028">
      <c r="S2028">
        <f>IF(ISNUMBER('자료_거시'!$E2010),'자료_거시'!$E2010,S2027)</f>
        <v/>
      </c>
      <c r="T2028">
        <f>IF(AND(ISNUMBER('자료_거시'!$D2010),ISNUMBER('자료_거시'!$E2010)),IFERROR('자료_거시'!$E2010-INDEX($S$21:$S$4020,MATCH(EDATE('자료_거시'!$D2010,-'설정'!$B$17),'자료_거시'!$D$3:INDEX('자료_거시'!$D$3:$D$4002,$K$6),1)),""),"")</f>
        <v/>
      </c>
      <c r="U2028">
        <f>IF(ISNUMBER(T2028),'자료_거시'!$D2010,"")</f>
        <v/>
      </c>
      <c r="V2028">
        <f>IF(ISNUMBER(U2028),IF(U2028&gt;$L$6,T2028,""),"")</f>
        <v/>
      </c>
      <c r="W2028">
        <f>IF(AND(ISNUMBER('자료_거시'!$G2010),ISNUMBER('자료_거시'!$H2010)),'자료_거시'!$H2010,"")</f>
        <v/>
      </c>
      <c r="X2028">
        <f>IF(ISNUMBER(W2028),'자료_거시'!$G2010,"")</f>
        <v/>
      </c>
      <c r="Y2028">
        <f>IF(ISNUMBER(X2028),IF(X2028&gt;$L$7,W2028,""),"")</f>
        <v/>
      </c>
      <c r="Z2028">
        <f>IF(ISNUMBER('자료_거시'!$K2010),'자료_거시'!$K2010,Z2027)</f>
        <v/>
      </c>
      <c r="AA2028">
        <f>IF(AND(ISNUMBER('자료_거시'!$J2010),ISNUMBER('자료_거시'!$K2010)),IFERROR('자료_거시'!$K2010/INDEX($Z$21:$Z$4020,MATCH(EDATE('자료_거시'!$J2010,-'설정'!$B$17),'자료_거시'!$J$3:INDEX('자료_거시'!$J$3:$J$4002,$K$8),1))-1,""),"")</f>
        <v/>
      </c>
      <c r="AB2028">
        <f>IF(ISNUMBER(AA2028),'자료_거시'!$J2010,"")</f>
        <v/>
      </c>
      <c r="AC2028">
        <f>IF(ISNUMBER(AB2028),IF(AB2028&gt;$L$8,AA2028,""),"")</f>
        <v/>
      </c>
    </row>
    <row r="2029">
      <c r="S2029">
        <f>IF(ISNUMBER('자료_거시'!$E2011),'자료_거시'!$E2011,S2028)</f>
        <v/>
      </c>
      <c r="T2029">
        <f>IF(AND(ISNUMBER('자료_거시'!$D2011),ISNUMBER('자료_거시'!$E2011)),IFERROR('자료_거시'!$E2011-INDEX($S$21:$S$4020,MATCH(EDATE('자료_거시'!$D2011,-'설정'!$B$17),'자료_거시'!$D$3:INDEX('자료_거시'!$D$3:$D$4002,$K$6),1)),""),"")</f>
        <v/>
      </c>
      <c r="U2029">
        <f>IF(ISNUMBER(T2029),'자료_거시'!$D2011,"")</f>
        <v/>
      </c>
      <c r="V2029">
        <f>IF(ISNUMBER(U2029),IF(U2029&gt;$L$6,T2029,""),"")</f>
        <v/>
      </c>
      <c r="W2029">
        <f>IF(AND(ISNUMBER('자료_거시'!$G2011),ISNUMBER('자료_거시'!$H2011)),'자료_거시'!$H2011,"")</f>
        <v/>
      </c>
      <c r="X2029">
        <f>IF(ISNUMBER(W2029),'자료_거시'!$G2011,"")</f>
        <v/>
      </c>
      <c r="Y2029">
        <f>IF(ISNUMBER(X2029),IF(X2029&gt;$L$7,W2029,""),"")</f>
        <v/>
      </c>
      <c r="Z2029">
        <f>IF(ISNUMBER('자료_거시'!$K2011),'자료_거시'!$K2011,Z2028)</f>
        <v/>
      </c>
      <c r="AA2029">
        <f>IF(AND(ISNUMBER('자료_거시'!$J2011),ISNUMBER('자료_거시'!$K2011)),IFERROR('자료_거시'!$K2011/INDEX($Z$21:$Z$4020,MATCH(EDATE('자료_거시'!$J2011,-'설정'!$B$17),'자료_거시'!$J$3:INDEX('자료_거시'!$J$3:$J$4002,$K$8),1))-1,""),"")</f>
        <v/>
      </c>
      <c r="AB2029">
        <f>IF(ISNUMBER(AA2029),'자료_거시'!$J2011,"")</f>
        <v/>
      </c>
      <c r="AC2029">
        <f>IF(ISNUMBER(AB2029),IF(AB2029&gt;$L$8,AA2029,""),"")</f>
        <v/>
      </c>
    </row>
    <row r="2030">
      <c r="S2030">
        <f>IF(ISNUMBER('자료_거시'!$E2012),'자료_거시'!$E2012,S2029)</f>
        <v/>
      </c>
      <c r="T2030">
        <f>IF(AND(ISNUMBER('자료_거시'!$D2012),ISNUMBER('자료_거시'!$E2012)),IFERROR('자료_거시'!$E2012-INDEX($S$21:$S$4020,MATCH(EDATE('자료_거시'!$D2012,-'설정'!$B$17),'자료_거시'!$D$3:INDEX('자료_거시'!$D$3:$D$4002,$K$6),1)),""),"")</f>
        <v/>
      </c>
      <c r="U2030">
        <f>IF(ISNUMBER(T2030),'자료_거시'!$D2012,"")</f>
        <v/>
      </c>
      <c r="V2030">
        <f>IF(ISNUMBER(U2030),IF(U2030&gt;$L$6,T2030,""),"")</f>
        <v/>
      </c>
      <c r="W2030">
        <f>IF(AND(ISNUMBER('자료_거시'!$G2012),ISNUMBER('자료_거시'!$H2012)),'자료_거시'!$H2012,"")</f>
        <v/>
      </c>
      <c r="X2030">
        <f>IF(ISNUMBER(W2030),'자료_거시'!$G2012,"")</f>
        <v/>
      </c>
      <c r="Y2030">
        <f>IF(ISNUMBER(X2030),IF(X2030&gt;$L$7,W2030,""),"")</f>
        <v/>
      </c>
      <c r="Z2030">
        <f>IF(ISNUMBER('자료_거시'!$K2012),'자료_거시'!$K2012,Z2029)</f>
        <v/>
      </c>
      <c r="AA2030">
        <f>IF(AND(ISNUMBER('자료_거시'!$J2012),ISNUMBER('자료_거시'!$K2012)),IFERROR('자료_거시'!$K2012/INDEX($Z$21:$Z$4020,MATCH(EDATE('자료_거시'!$J2012,-'설정'!$B$17),'자료_거시'!$J$3:INDEX('자료_거시'!$J$3:$J$4002,$K$8),1))-1,""),"")</f>
        <v/>
      </c>
      <c r="AB2030">
        <f>IF(ISNUMBER(AA2030),'자료_거시'!$J2012,"")</f>
        <v/>
      </c>
      <c r="AC2030">
        <f>IF(ISNUMBER(AB2030),IF(AB2030&gt;$L$8,AA2030,""),"")</f>
        <v/>
      </c>
    </row>
    <row r="2031">
      <c r="S2031">
        <f>IF(ISNUMBER('자료_거시'!$E2013),'자료_거시'!$E2013,S2030)</f>
        <v/>
      </c>
      <c r="T2031">
        <f>IF(AND(ISNUMBER('자료_거시'!$D2013),ISNUMBER('자료_거시'!$E2013)),IFERROR('자료_거시'!$E2013-INDEX($S$21:$S$4020,MATCH(EDATE('자료_거시'!$D2013,-'설정'!$B$17),'자료_거시'!$D$3:INDEX('자료_거시'!$D$3:$D$4002,$K$6),1)),""),"")</f>
        <v/>
      </c>
      <c r="U2031">
        <f>IF(ISNUMBER(T2031),'자료_거시'!$D2013,"")</f>
        <v/>
      </c>
      <c r="V2031">
        <f>IF(ISNUMBER(U2031),IF(U2031&gt;$L$6,T2031,""),"")</f>
        <v/>
      </c>
      <c r="W2031">
        <f>IF(AND(ISNUMBER('자료_거시'!$G2013),ISNUMBER('자료_거시'!$H2013)),'자료_거시'!$H2013,"")</f>
        <v/>
      </c>
      <c r="X2031">
        <f>IF(ISNUMBER(W2031),'자료_거시'!$G2013,"")</f>
        <v/>
      </c>
      <c r="Y2031">
        <f>IF(ISNUMBER(X2031),IF(X2031&gt;$L$7,W2031,""),"")</f>
        <v/>
      </c>
      <c r="Z2031">
        <f>IF(ISNUMBER('자료_거시'!$K2013),'자료_거시'!$K2013,Z2030)</f>
        <v/>
      </c>
      <c r="AA2031">
        <f>IF(AND(ISNUMBER('자료_거시'!$J2013),ISNUMBER('자료_거시'!$K2013)),IFERROR('자료_거시'!$K2013/INDEX($Z$21:$Z$4020,MATCH(EDATE('자료_거시'!$J2013,-'설정'!$B$17),'자료_거시'!$J$3:INDEX('자료_거시'!$J$3:$J$4002,$K$8),1))-1,""),"")</f>
        <v/>
      </c>
      <c r="AB2031">
        <f>IF(ISNUMBER(AA2031),'자료_거시'!$J2013,"")</f>
        <v/>
      </c>
      <c r="AC2031">
        <f>IF(ISNUMBER(AB2031),IF(AB2031&gt;$L$8,AA2031,""),"")</f>
        <v/>
      </c>
    </row>
    <row r="2032">
      <c r="S2032">
        <f>IF(ISNUMBER('자료_거시'!$E2014),'자료_거시'!$E2014,S2031)</f>
        <v/>
      </c>
      <c r="T2032">
        <f>IF(AND(ISNUMBER('자료_거시'!$D2014),ISNUMBER('자료_거시'!$E2014)),IFERROR('자료_거시'!$E2014-INDEX($S$21:$S$4020,MATCH(EDATE('자료_거시'!$D2014,-'설정'!$B$17),'자료_거시'!$D$3:INDEX('자료_거시'!$D$3:$D$4002,$K$6),1)),""),"")</f>
        <v/>
      </c>
      <c r="U2032">
        <f>IF(ISNUMBER(T2032),'자료_거시'!$D2014,"")</f>
        <v/>
      </c>
      <c r="V2032">
        <f>IF(ISNUMBER(U2032),IF(U2032&gt;$L$6,T2032,""),"")</f>
        <v/>
      </c>
      <c r="W2032">
        <f>IF(AND(ISNUMBER('자료_거시'!$G2014),ISNUMBER('자료_거시'!$H2014)),'자료_거시'!$H2014,"")</f>
        <v/>
      </c>
      <c r="X2032">
        <f>IF(ISNUMBER(W2032),'자료_거시'!$G2014,"")</f>
        <v/>
      </c>
      <c r="Y2032">
        <f>IF(ISNUMBER(X2032),IF(X2032&gt;$L$7,W2032,""),"")</f>
        <v/>
      </c>
      <c r="Z2032">
        <f>IF(ISNUMBER('자료_거시'!$K2014),'자료_거시'!$K2014,Z2031)</f>
        <v/>
      </c>
      <c r="AA2032">
        <f>IF(AND(ISNUMBER('자료_거시'!$J2014),ISNUMBER('자료_거시'!$K2014)),IFERROR('자료_거시'!$K2014/INDEX($Z$21:$Z$4020,MATCH(EDATE('자료_거시'!$J2014,-'설정'!$B$17),'자료_거시'!$J$3:INDEX('자료_거시'!$J$3:$J$4002,$K$8),1))-1,""),"")</f>
        <v/>
      </c>
      <c r="AB2032">
        <f>IF(ISNUMBER(AA2032),'자료_거시'!$J2014,"")</f>
        <v/>
      </c>
      <c r="AC2032">
        <f>IF(ISNUMBER(AB2032),IF(AB2032&gt;$L$8,AA2032,""),"")</f>
        <v/>
      </c>
    </row>
    <row r="2033">
      <c r="S2033">
        <f>IF(ISNUMBER('자료_거시'!$E2015),'자료_거시'!$E2015,S2032)</f>
        <v/>
      </c>
      <c r="T2033">
        <f>IF(AND(ISNUMBER('자료_거시'!$D2015),ISNUMBER('자료_거시'!$E2015)),IFERROR('자료_거시'!$E2015-INDEX($S$21:$S$4020,MATCH(EDATE('자료_거시'!$D2015,-'설정'!$B$17),'자료_거시'!$D$3:INDEX('자료_거시'!$D$3:$D$4002,$K$6),1)),""),"")</f>
        <v/>
      </c>
      <c r="U2033">
        <f>IF(ISNUMBER(T2033),'자료_거시'!$D2015,"")</f>
        <v/>
      </c>
      <c r="V2033">
        <f>IF(ISNUMBER(U2033),IF(U2033&gt;$L$6,T2033,""),"")</f>
        <v/>
      </c>
      <c r="W2033">
        <f>IF(AND(ISNUMBER('자료_거시'!$G2015),ISNUMBER('자료_거시'!$H2015)),'자료_거시'!$H2015,"")</f>
        <v/>
      </c>
      <c r="X2033">
        <f>IF(ISNUMBER(W2033),'자료_거시'!$G2015,"")</f>
        <v/>
      </c>
      <c r="Y2033">
        <f>IF(ISNUMBER(X2033),IF(X2033&gt;$L$7,W2033,""),"")</f>
        <v/>
      </c>
      <c r="Z2033">
        <f>IF(ISNUMBER('자료_거시'!$K2015),'자료_거시'!$K2015,Z2032)</f>
        <v/>
      </c>
      <c r="AA2033">
        <f>IF(AND(ISNUMBER('자료_거시'!$J2015),ISNUMBER('자료_거시'!$K2015)),IFERROR('자료_거시'!$K2015/INDEX($Z$21:$Z$4020,MATCH(EDATE('자료_거시'!$J2015,-'설정'!$B$17),'자료_거시'!$J$3:INDEX('자료_거시'!$J$3:$J$4002,$K$8),1))-1,""),"")</f>
        <v/>
      </c>
      <c r="AB2033">
        <f>IF(ISNUMBER(AA2033),'자료_거시'!$J2015,"")</f>
        <v/>
      </c>
      <c r="AC2033">
        <f>IF(ISNUMBER(AB2033),IF(AB2033&gt;$L$8,AA2033,""),"")</f>
        <v/>
      </c>
    </row>
    <row r="2034">
      <c r="S2034">
        <f>IF(ISNUMBER('자료_거시'!$E2016),'자료_거시'!$E2016,S2033)</f>
        <v/>
      </c>
      <c r="T2034">
        <f>IF(AND(ISNUMBER('자료_거시'!$D2016),ISNUMBER('자료_거시'!$E2016)),IFERROR('자료_거시'!$E2016-INDEX($S$21:$S$4020,MATCH(EDATE('자료_거시'!$D2016,-'설정'!$B$17),'자료_거시'!$D$3:INDEX('자료_거시'!$D$3:$D$4002,$K$6),1)),""),"")</f>
        <v/>
      </c>
      <c r="U2034">
        <f>IF(ISNUMBER(T2034),'자료_거시'!$D2016,"")</f>
        <v/>
      </c>
      <c r="V2034">
        <f>IF(ISNUMBER(U2034),IF(U2034&gt;$L$6,T2034,""),"")</f>
        <v/>
      </c>
      <c r="W2034">
        <f>IF(AND(ISNUMBER('자료_거시'!$G2016),ISNUMBER('자료_거시'!$H2016)),'자료_거시'!$H2016,"")</f>
        <v/>
      </c>
      <c r="X2034">
        <f>IF(ISNUMBER(W2034),'자료_거시'!$G2016,"")</f>
        <v/>
      </c>
      <c r="Y2034">
        <f>IF(ISNUMBER(X2034),IF(X2034&gt;$L$7,W2034,""),"")</f>
        <v/>
      </c>
      <c r="Z2034">
        <f>IF(ISNUMBER('자료_거시'!$K2016),'자료_거시'!$K2016,Z2033)</f>
        <v/>
      </c>
      <c r="AA2034">
        <f>IF(AND(ISNUMBER('자료_거시'!$J2016),ISNUMBER('자료_거시'!$K2016)),IFERROR('자료_거시'!$K2016/INDEX($Z$21:$Z$4020,MATCH(EDATE('자료_거시'!$J2016,-'설정'!$B$17),'자료_거시'!$J$3:INDEX('자료_거시'!$J$3:$J$4002,$K$8),1))-1,""),"")</f>
        <v/>
      </c>
      <c r="AB2034">
        <f>IF(ISNUMBER(AA2034),'자료_거시'!$J2016,"")</f>
        <v/>
      </c>
      <c r="AC2034">
        <f>IF(ISNUMBER(AB2034),IF(AB2034&gt;$L$8,AA2034,""),"")</f>
        <v/>
      </c>
    </row>
    <row r="2035">
      <c r="S2035">
        <f>IF(ISNUMBER('자료_거시'!$E2017),'자료_거시'!$E2017,S2034)</f>
        <v/>
      </c>
      <c r="T2035">
        <f>IF(AND(ISNUMBER('자료_거시'!$D2017),ISNUMBER('자료_거시'!$E2017)),IFERROR('자료_거시'!$E2017-INDEX($S$21:$S$4020,MATCH(EDATE('자료_거시'!$D2017,-'설정'!$B$17),'자료_거시'!$D$3:INDEX('자료_거시'!$D$3:$D$4002,$K$6),1)),""),"")</f>
        <v/>
      </c>
      <c r="U2035">
        <f>IF(ISNUMBER(T2035),'자료_거시'!$D2017,"")</f>
        <v/>
      </c>
      <c r="V2035">
        <f>IF(ISNUMBER(U2035),IF(U2035&gt;$L$6,T2035,""),"")</f>
        <v/>
      </c>
      <c r="W2035">
        <f>IF(AND(ISNUMBER('자료_거시'!$G2017),ISNUMBER('자료_거시'!$H2017)),'자료_거시'!$H2017,"")</f>
        <v/>
      </c>
      <c r="X2035">
        <f>IF(ISNUMBER(W2035),'자료_거시'!$G2017,"")</f>
        <v/>
      </c>
      <c r="Y2035">
        <f>IF(ISNUMBER(X2035),IF(X2035&gt;$L$7,W2035,""),"")</f>
        <v/>
      </c>
      <c r="Z2035">
        <f>IF(ISNUMBER('자료_거시'!$K2017),'자료_거시'!$K2017,Z2034)</f>
        <v/>
      </c>
      <c r="AA2035">
        <f>IF(AND(ISNUMBER('자료_거시'!$J2017),ISNUMBER('자료_거시'!$K2017)),IFERROR('자료_거시'!$K2017/INDEX($Z$21:$Z$4020,MATCH(EDATE('자료_거시'!$J2017,-'설정'!$B$17),'자료_거시'!$J$3:INDEX('자료_거시'!$J$3:$J$4002,$K$8),1))-1,""),"")</f>
        <v/>
      </c>
      <c r="AB2035">
        <f>IF(ISNUMBER(AA2035),'자료_거시'!$J2017,"")</f>
        <v/>
      </c>
      <c r="AC2035">
        <f>IF(ISNUMBER(AB2035),IF(AB2035&gt;$L$8,AA2035,""),"")</f>
        <v/>
      </c>
    </row>
    <row r="2036">
      <c r="S2036">
        <f>IF(ISNUMBER('자료_거시'!$E2018),'자료_거시'!$E2018,S2035)</f>
        <v/>
      </c>
      <c r="T2036">
        <f>IF(AND(ISNUMBER('자료_거시'!$D2018),ISNUMBER('자료_거시'!$E2018)),IFERROR('자료_거시'!$E2018-INDEX($S$21:$S$4020,MATCH(EDATE('자료_거시'!$D2018,-'설정'!$B$17),'자료_거시'!$D$3:INDEX('자료_거시'!$D$3:$D$4002,$K$6),1)),""),"")</f>
        <v/>
      </c>
      <c r="U2036">
        <f>IF(ISNUMBER(T2036),'자료_거시'!$D2018,"")</f>
        <v/>
      </c>
      <c r="V2036">
        <f>IF(ISNUMBER(U2036),IF(U2036&gt;$L$6,T2036,""),"")</f>
        <v/>
      </c>
      <c r="W2036">
        <f>IF(AND(ISNUMBER('자료_거시'!$G2018),ISNUMBER('자료_거시'!$H2018)),'자료_거시'!$H2018,"")</f>
        <v/>
      </c>
      <c r="X2036">
        <f>IF(ISNUMBER(W2036),'자료_거시'!$G2018,"")</f>
        <v/>
      </c>
      <c r="Y2036">
        <f>IF(ISNUMBER(X2036),IF(X2036&gt;$L$7,W2036,""),"")</f>
        <v/>
      </c>
      <c r="Z2036">
        <f>IF(ISNUMBER('자료_거시'!$K2018),'자료_거시'!$K2018,Z2035)</f>
        <v/>
      </c>
      <c r="AA2036">
        <f>IF(AND(ISNUMBER('자료_거시'!$J2018),ISNUMBER('자료_거시'!$K2018)),IFERROR('자료_거시'!$K2018/INDEX($Z$21:$Z$4020,MATCH(EDATE('자료_거시'!$J2018,-'설정'!$B$17),'자료_거시'!$J$3:INDEX('자료_거시'!$J$3:$J$4002,$K$8),1))-1,""),"")</f>
        <v/>
      </c>
      <c r="AB2036">
        <f>IF(ISNUMBER(AA2036),'자료_거시'!$J2018,"")</f>
        <v/>
      </c>
      <c r="AC2036">
        <f>IF(ISNUMBER(AB2036),IF(AB2036&gt;$L$8,AA2036,""),"")</f>
        <v/>
      </c>
    </row>
    <row r="2037">
      <c r="S2037">
        <f>IF(ISNUMBER('자료_거시'!$E2019),'자료_거시'!$E2019,S2036)</f>
        <v/>
      </c>
      <c r="T2037">
        <f>IF(AND(ISNUMBER('자료_거시'!$D2019),ISNUMBER('자료_거시'!$E2019)),IFERROR('자료_거시'!$E2019-INDEX($S$21:$S$4020,MATCH(EDATE('자료_거시'!$D2019,-'설정'!$B$17),'자료_거시'!$D$3:INDEX('자료_거시'!$D$3:$D$4002,$K$6),1)),""),"")</f>
        <v/>
      </c>
      <c r="U2037">
        <f>IF(ISNUMBER(T2037),'자료_거시'!$D2019,"")</f>
        <v/>
      </c>
      <c r="V2037">
        <f>IF(ISNUMBER(U2037),IF(U2037&gt;$L$6,T2037,""),"")</f>
        <v/>
      </c>
      <c r="W2037">
        <f>IF(AND(ISNUMBER('자료_거시'!$G2019),ISNUMBER('자료_거시'!$H2019)),'자료_거시'!$H2019,"")</f>
        <v/>
      </c>
      <c r="X2037">
        <f>IF(ISNUMBER(W2037),'자료_거시'!$G2019,"")</f>
        <v/>
      </c>
      <c r="Y2037">
        <f>IF(ISNUMBER(X2037),IF(X2037&gt;$L$7,W2037,""),"")</f>
        <v/>
      </c>
      <c r="Z2037">
        <f>IF(ISNUMBER('자료_거시'!$K2019),'자료_거시'!$K2019,Z2036)</f>
        <v/>
      </c>
      <c r="AA2037">
        <f>IF(AND(ISNUMBER('자료_거시'!$J2019),ISNUMBER('자료_거시'!$K2019)),IFERROR('자료_거시'!$K2019/INDEX($Z$21:$Z$4020,MATCH(EDATE('자료_거시'!$J2019,-'설정'!$B$17),'자료_거시'!$J$3:INDEX('자료_거시'!$J$3:$J$4002,$K$8),1))-1,""),"")</f>
        <v/>
      </c>
      <c r="AB2037">
        <f>IF(ISNUMBER(AA2037),'자료_거시'!$J2019,"")</f>
        <v/>
      </c>
      <c r="AC2037">
        <f>IF(ISNUMBER(AB2037),IF(AB2037&gt;$L$8,AA2037,""),"")</f>
        <v/>
      </c>
    </row>
    <row r="2038">
      <c r="S2038">
        <f>IF(ISNUMBER('자료_거시'!$E2020),'자료_거시'!$E2020,S2037)</f>
        <v/>
      </c>
      <c r="T2038">
        <f>IF(AND(ISNUMBER('자료_거시'!$D2020),ISNUMBER('자료_거시'!$E2020)),IFERROR('자료_거시'!$E2020-INDEX($S$21:$S$4020,MATCH(EDATE('자료_거시'!$D2020,-'설정'!$B$17),'자료_거시'!$D$3:INDEX('자료_거시'!$D$3:$D$4002,$K$6),1)),""),"")</f>
        <v/>
      </c>
      <c r="U2038">
        <f>IF(ISNUMBER(T2038),'자료_거시'!$D2020,"")</f>
        <v/>
      </c>
      <c r="V2038">
        <f>IF(ISNUMBER(U2038),IF(U2038&gt;$L$6,T2038,""),"")</f>
        <v/>
      </c>
      <c r="W2038">
        <f>IF(AND(ISNUMBER('자료_거시'!$G2020),ISNUMBER('자료_거시'!$H2020)),'자료_거시'!$H2020,"")</f>
        <v/>
      </c>
      <c r="X2038">
        <f>IF(ISNUMBER(W2038),'자료_거시'!$G2020,"")</f>
        <v/>
      </c>
      <c r="Y2038">
        <f>IF(ISNUMBER(X2038),IF(X2038&gt;$L$7,W2038,""),"")</f>
        <v/>
      </c>
      <c r="Z2038">
        <f>IF(ISNUMBER('자료_거시'!$K2020),'자료_거시'!$K2020,Z2037)</f>
        <v/>
      </c>
      <c r="AA2038">
        <f>IF(AND(ISNUMBER('자료_거시'!$J2020),ISNUMBER('자료_거시'!$K2020)),IFERROR('자료_거시'!$K2020/INDEX($Z$21:$Z$4020,MATCH(EDATE('자료_거시'!$J2020,-'설정'!$B$17),'자료_거시'!$J$3:INDEX('자료_거시'!$J$3:$J$4002,$K$8),1))-1,""),"")</f>
        <v/>
      </c>
      <c r="AB2038">
        <f>IF(ISNUMBER(AA2038),'자료_거시'!$J2020,"")</f>
        <v/>
      </c>
      <c r="AC2038">
        <f>IF(ISNUMBER(AB2038),IF(AB2038&gt;$L$8,AA2038,""),"")</f>
        <v/>
      </c>
    </row>
    <row r="2039">
      <c r="S2039">
        <f>IF(ISNUMBER('자료_거시'!$E2021),'자료_거시'!$E2021,S2038)</f>
        <v/>
      </c>
      <c r="T2039">
        <f>IF(AND(ISNUMBER('자료_거시'!$D2021),ISNUMBER('자료_거시'!$E2021)),IFERROR('자료_거시'!$E2021-INDEX($S$21:$S$4020,MATCH(EDATE('자료_거시'!$D2021,-'설정'!$B$17),'자료_거시'!$D$3:INDEX('자료_거시'!$D$3:$D$4002,$K$6),1)),""),"")</f>
        <v/>
      </c>
      <c r="U2039">
        <f>IF(ISNUMBER(T2039),'자료_거시'!$D2021,"")</f>
        <v/>
      </c>
      <c r="V2039">
        <f>IF(ISNUMBER(U2039),IF(U2039&gt;$L$6,T2039,""),"")</f>
        <v/>
      </c>
      <c r="W2039">
        <f>IF(AND(ISNUMBER('자료_거시'!$G2021),ISNUMBER('자료_거시'!$H2021)),'자료_거시'!$H2021,"")</f>
        <v/>
      </c>
      <c r="X2039">
        <f>IF(ISNUMBER(W2039),'자료_거시'!$G2021,"")</f>
        <v/>
      </c>
      <c r="Y2039">
        <f>IF(ISNUMBER(X2039),IF(X2039&gt;$L$7,W2039,""),"")</f>
        <v/>
      </c>
      <c r="Z2039">
        <f>IF(ISNUMBER('자료_거시'!$K2021),'자료_거시'!$K2021,Z2038)</f>
        <v/>
      </c>
      <c r="AA2039">
        <f>IF(AND(ISNUMBER('자료_거시'!$J2021),ISNUMBER('자료_거시'!$K2021)),IFERROR('자료_거시'!$K2021/INDEX($Z$21:$Z$4020,MATCH(EDATE('자료_거시'!$J2021,-'설정'!$B$17),'자료_거시'!$J$3:INDEX('자료_거시'!$J$3:$J$4002,$K$8),1))-1,""),"")</f>
        <v/>
      </c>
      <c r="AB2039">
        <f>IF(ISNUMBER(AA2039),'자료_거시'!$J2021,"")</f>
        <v/>
      </c>
      <c r="AC2039">
        <f>IF(ISNUMBER(AB2039),IF(AB2039&gt;$L$8,AA2039,""),"")</f>
        <v/>
      </c>
    </row>
    <row r="2040">
      <c r="S2040">
        <f>IF(ISNUMBER('자료_거시'!$E2022),'자료_거시'!$E2022,S2039)</f>
        <v/>
      </c>
      <c r="T2040">
        <f>IF(AND(ISNUMBER('자료_거시'!$D2022),ISNUMBER('자료_거시'!$E2022)),IFERROR('자료_거시'!$E2022-INDEX($S$21:$S$4020,MATCH(EDATE('자료_거시'!$D2022,-'설정'!$B$17),'자료_거시'!$D$3:INDEX('자료_거시'!$D$3:$D$4002,$K$6),1)),""),"")</f>
        <v/>
      </c>
      <c r="U2040">
        <f>IF(ISNUMBER(T2040),'자료_거시'!$D2022,"")</f>
        <v/>
      </c>
      <c r="V2040">
        <f>IF(ISNUMBER(U2040),IF(U2040&gt;$L$6,T2040,""),"")</f>
        <v/>
      </c>
      <c r="W2040">
        <f>IF(AND(ISNUMBER('자료_거시'!$G2022),ISNUMBER('자료_거시'!$H2022)),'자료_거시'!$H2022,"")</f>
        <v/>
      </c>
      <c r="X2040">
        <f>IF(ISNUMBER(W2040),'자료_거시'!$G2022,"")</f>
        <v/>
      </c>
      <c r="Y2040">
        <f>IF(ISNUMBER(X2040),IF(X2040&gt;$L$7,W2040,""),"")</f>
        <v/>
      </c>
      <c r="Z2040">
        <f>IF(ISNUMBER('자료_거시'!$K2022),'자료_거시'!$K2022,Z2039)</f>
        <v/>
      </c>
      <c r="AA2040">
        <f>IF(AND(ISNUMBER('자료_거시'!$J2022),ISNUMBER('자료_거시'!$K2022)),IFERROR('자료_거시'!$K2022/INDEX($Z$21:$Z$4020,MATCH(EDATE('자료_거시'!$J2022,-'설정'!$B$17),'자료_거시'!$J$3:INDEX('자료_거시'!$J$3:$J$4002,$K$8),1))-1,""),"")</f>
        <v/>
      </c>
      <c r="AB2040">
        <f>IF(ISNUMBER(AA2040),'자료_거시'!$J2022,"")</f>
        <v/>
      </c>
      <c r="AC2040">
        <f>IF(ISNUMBER(AB2040),IF(AB2040&gt;$L$8,AA2040,""),"")</f>
        <v/>
      </c>
    </row>
    <row r="2041">
      <c r="S2041">
        <f>IF(ISNUMBER('자료_거시'!$E2023),'자료_거시'!$E2023,S2040)</f>
        <v/>
      </c>
      <c r="T2041">
        <f>IF(AND(ISNUMBER('자료_거시'!$D2023),ISNUMBER('자료_거시'!$E2023)),IFERROR('자료_거시'!$E2023-INDEX($S$21:$S$4020,MATCH(EDATE('자료_거시'!$D2023,-'설정'!$B$17),'자료_거시'!$D$3:INDEX('자료_거시'!$D$3:$D$4002,$K$6),1)),""),"")</f>
        <v/>
      </c>
      <c r="U2041">
        <f>IF(ISNUMBER(T2041),'자료_거시'!$D2023,"")</f>
        <v/>
      </c>
      <c r="V2041">
        <f>IF(ISNUMBER(U2041),IF(U2041&gt;$L$6,T2041,""),"")</f>
        <v/>
      </c>
      <c r="W2041">
        <f>IF(AND(ISNUMBER('자료_거시'!$G2023),ISNUMBER('자료_거시'!$H2023)),'자료_거시'!$H2023,"")</f>
        <v/>
      </c>
      <c r="X2041">
        <f>IF(ISNUMBER(W2041),'자료_거시'!$G2023,"")</f>
        <v/>
      </c>
      <c r="Y2041">
        <f>IF(ISNUMBER(X2041),IF(X2041&gt;$L$7,W2041,""),"")</f>
        <v/>
      </c>
      <c r="Z2041">
        <f>IF(ISNUMBER('자료_거시'!$K2023),'자료_거시'!$K2023,Z2040)</f>
        <v/>
      </c>
      <c r="AA2041">
        <f>IF(AND(ISNUMBER('자료_거시'!$J2023),ISNUMBER('자료_거시'!$K2023)),IFERROR('자료_거시'!$K2023/INDEX($Z$21:$Z$4020,MATCH(EDATE('자료_거시'!$J2023,-'설정'!$B$17),'자료_거시'!$J$3:INDEX('자료_거시'!$J$3:$J$4002,$K$8),1))-1,""),"")</f>
        <v/>
      </c>
      <c r="AB2041">
        <f>IF(ISNUMBER(AA2041),'자료_거시'!$J2023,"")</f>
        <v/>
      </c>
      <c r="AC2041">
        <f>IF(ISNUMBER(AB2041),IF(AB2041&gt;$L$8,AA2041,""),"")</f>
        <v/>
      </c>
    </row>
    <row r="2042">
      <c r="S2042">
        <f>IF(ISNUMBER('자료_거시'!$E2024),'자료_거시'!$E2024,S2041)</f>
        <v/>
      </c>
      <c r="T2042">
        <f>IF(AND(ISNUMBER('자료_거시'!$D2024),ISNUMBER('자료_거시'!$E2024)),IFERROR('자료_거시'!$E2024-INDEX($S$21:$S$4020,MATCH(EDATE('자료_거시'!$D2024,-'설정'!$B$17),'자료_거시'!$D$3:INDEX('자료_거시'!$D$3:$D$4002,$K$6),1)),""),"")</f>
        <v/>
      </c>
      <c r="U2042">
        <f>IF(ISNUMBER(T2042),'자료_거시'!$D2024,"")</f>
        <v/>
      </c>
      <c r="V2042">
        <f>IF(ISNUMBER(U2042),IF(U2042&gt;$L$6,T2042,""),"")</f>
        <v/>
      </c>
      <c r="W2042">
        <f>IF(AND(ISNUMBER('자료_거시'!$G2024),ISNUMBER('자료_거시'!$H2024)),'자료_거시'!$H2024,"")</f>
        <v/>
      </c>
      <c r="X2042">
        <f>IF(ISNUMBER(W2042),'자료_거시'!$G2024,"")</f>
        <v/>
      </c>
      <c r="Y2042">
        <f>IF(ISNUMBER(X2042),IF(X2042&gt;$L$7,W2042,""),"")</f>
        <v/>
      </c>
      <c r="Z2042">
        <f>IF(ISNUMBER('자료_거시'!$K2024),'자료_거시'!$K2024,Z2041)</f>
        <v/>
      </c>
      <c r="AA2042">
        <f>IF(AND(ISNUMBER('자료_거시'!$J2024),ISNUMBER('자료_거시'!$K2024)),IFERROR('자료_거시'!$K2024/INDEX($Z$21:$Z$4020,MATCH(EDATE('자료_거시'!$J2024,-'설정'!$B$17),'자료_거시'!$J$3:INDEX('자료_거시'!$J$3:$J$4002,$K$8),1))-1,""),"")</f>
        <v/>
      </c>
      <c r="AB2042">
        <f>IF(ISNUMBER(AA2042),'자료_거시'!$J2024,"")</f>
        <v/>
      </c>
      <c r="AC2042">
        <f>IF(ISNUMBER(AB2042),IF(AB2042&gt;$L$8,AA2042,""),"")</f>
        <v/>
      </c>
    </row>
    <row r="2043">
      <c r="S2043">
        <f>IF(ISNUMBER('자료_거시'!$E2025),'자료_거시'!$E2025,S2042)</f>
        <v/>
      </c>
      <c r="T2043">
        <f>IF(AND(ISNUMBER('자료_거시'!$D2025),ISNUMBER('자료_거시'!$E2025)),IFERROR('자료_거시'!$E2025-INDEX($S$21:$S$4020,MATCH(EDATE('자료_거시'!$D2025,-'설정'!$B$17),'자료_거시'!$D$3:INDEX('자료_거시'!$D$3:$D$4002,$K$6),1)),""),"")</f>
        <v/>
      </c>
      <c r="U2043">
        <f>IF(ISNUMBER(T2043),'자료_거시'!$D2025,"")</f>
        <v/>
      </c>
      <c r="V2043">
        <f>IF(ISNUMBER(U2043),IF(U2043&gt;$L$6,T2043,""),"")</f>
        <v/>
      </c>
      <c r="W2043">
        <f>IF(AND(ISNUMBER('자료_거시'!$G2025),ISNUMBER('자료_거시'!$H2025)),'자료_거시'!$H2025,"")</f>
        <v/>
      </c>
      <c r="X2043">
        <f>IF(ISNUMBER(W2043),'자료_거시'!$G2025,"")</f>
        <v/>
      </c>
      <c r="Y2043">
        <f>IF(ISNUMBER(X2043),IF(X2043&gt;$L$7,W2043,""),"")</f>
        <v/>
      </c>
      <c r="Z2043">
        <f>IF(ISNUMBER('자료_거시'!$K2025),'자료_거시'!$K2025,Z2042)</f>
        <v/>
      </c>
      <c r="AA2043">
        <f>IF(AND(ISNUMBER('자료_거시'!$J2025),ISNUMBER('자료_거시'!$K2025)),IFERROR('자료_거시'!$K2025/INDEX($Z$21:$Z$4020,MATCH(EDATE('자료_거시'!$J2025,-'설정'!$B$17),'자료_거시'!$J$3:INDEX('자료_거시'!$J$3:$J$4002,$K$8),1))-1,""),"")</f>
        <v/>
      </c>
      <c r="AB2043">
        <f>IF(ISNUMBER(AA2043),'자료_거시'!$J2025,"")</f>
        <v/>
      </c>
      <c r="AC2043">
        <f>IF(ISNUMBER(AB2043),IF(AB2043&gt;$L$8,AA2043,""),"")</f>
        <v/>
      </c>
    </row>
    <row r="2044">
      <c r="S2044">
        <f>IF(ISNUMBER('자료_거시'!$E2026),'자료_거시'!$E2026,S2043)</f>
        <v/>
      </c>
      <c r="T2044">
        <f>IF(AND(ISNUMBER('자료_거시'!$D2026),ISNUMBER('자료_거시'!$E2026)),IFERROR('자료_거시'!$E2026-INDEX($S$21:$S$4020,MATCH(EDATE('자료_거시'!$D2026,-'설정'!$B$17),'자료_거시'!$D$3:INDEX('자료_거시'!$D$3:$D$4002,$K$6),1)),""),"")</f>
        <v/>
      </c>
      <c r="U2044">
        <f>IF(ISNUMBER(T2044),'자료_거시'!$D2026,"")</f>
        <v/>
      </c>
      <c r="V2044">
        <f>IF(ISNUMBER(U2044),IF(U2044&gt;$L$6,T2044,""),"")</f>
        <v/>
      </c>
      <c r="W2044">
        <f>IF(AND(ISNUMBER('자료_거시'!$G2026),ISNUMBER('자료_거시'!$H2026)),'자료_거시'!$H2026,"")</f>
        <v/>
      </c>
      <c r="X2044">
        <f>IF(ISNUMBER(W2044),'자료_거시'!$G2026,"")</f>
        <v/>
      </c>
      <c r="Y2044">
        <f>IF(ISNUMBER(X2044),IF(X2044&gt;$L$7,W2044,""),"")</f>
        <v/>
      </c>
      <c r="Z2044">
        <f>IF(ISNUMBER('자료_거시'!$K2026),'자료_거시'!$K2026,Z2043)</f>
        <v/>
      </c>
      <c r="AA2044">
        <f>IF(AND(ISNUMBER('자료_거시'!$J2026),ISNUMBER('자료_거시'!$K2026)),IFERROR('자료_거시'!$K2026/INDEX($Z$21:$Z$4020,MATCH(EDATE('자료_거시'!$J2026,-'설정'!$B$17),'자료_거시'!$J$3:INDEX('자료_거시'!$J$3:$J$4002,$K$8),1))-1,""),"")</f>
        <v/>
      </c>
      <c r="AB2044">
        <f>IF(ISNUMBER(AA2044),'자료_거시'!$J2026,"")</f>
        <v/>
      </c>
      <c r="AC2044">
        <f>IF(ISNUMBER(AB2044),IF(AB2044&gt;$L$8,AA2044,""),"")</f>
        <v/>
      </c>
    </row>
    <row r="2045">
      <c r="S2045">
        <f>IF(ISNUMBER('자료_거시'!$E2027),'자료_거시'!$E2027,S2044)</f>
        <v/>
      </c>
      <c r="T2045">
        <f>IF(AND(ISNUMBER('자료_거시'!$D2027),ISNUMBER('자료_거시'!$E2027)),IFERROR('자료_거시'!$E2027-INDEX($S$21:$S$4020,MATCH(EDATE('자료_거시'!$D2027,-'설정'!$B$17),'자료_거시'!$D$3:INDEX('자료_거시'!$D$3:$D$4002,$K$6),1)),""),"")</f>
        <v/>
      </c>
      <c r="U2045">
        <f>IF(ISNUMBER(T2045),'자료_거시'!$D2027,"")</f>
        <v/>
      </c>
      <c r="V2045">
        <f>IF(ISNUMBER(U2045),IF(U2045&gt;$L$6,T2045,""),"")</f>
        <v/>
      </c>
      <c r="W2045">
        <f>IF(AND(ISNUMBER('자료_거시'!$G2027),ISNUMBER('자료_거시'!$H2027)),'자료_거시'!$H2027,"")</f>
        <v/>
      </c>
      <c r="X2045">
        <f>IF(ISNUMBER(W2045),'자료_거시'!$G2027,"")</f>
        <v/>
      </c>
      <c r="Y2045">
        <f>IF(ISNUMBER(X2045),IF(X2045&gt;$L$7,W2045,""),"")</f>
        <v/>
      </c>
      <c r="Z2045">
        <f>IF(ISNUMBER('자료_거시'!$K2027),'자료_거시'!$K2027,Z2044)</f>
        <v/>
      </c>
      <c r="AA2045">
        <f>IF(AND(ISNUMBER('자료_거시'!$J2027),ISNUMBER('자료_거시'!$K2027)),IFERROR('자료_거시'!$K2027/INDEX($Z$21:$Z$4020,MATCH(EDATE('자료_거시'!$J2027,-'설정'!$B$17),'자료_거시'!$J$3:INDEX('자료_거시'!$J$3:$J$4002,$K$8),1))-1,""),"")</f>
        <v/>
      </c>
      <c r="AB2045">
        <f>IF(ISNUMBER(AA2045),'자료_거시'!$J2027,"")</f>
        <v/>
      </c>
      <c r="AC2045">
        <f>IF(ISNUMBER(AB2045),IF(AB2045&gt;$L$8,AA2045,""),"")</f>
        <v/>
      </c>
    </row>
    <row r="2046">
      <c r="S2046">
        <f>IF(ISNUMBER('자료_거시'!$E2028),'자료_거시'!$E2028,S2045)</f>
        <v/>
      </c>
      <c r="T2046">
        <f>IF(AND(ISNUMBER('자료_거시'!$D2028),ISNUMBER('자료_거시'!$E2028)),IFERROR('자료_거시'!$E2028-INDEX($S$21:$S$4020,MATCH(EDATE('자료_거시'!$D2028,-'설정'!$B$17),'자료_거시'!$D$3:INDEX('자료_거시'!$D$3:$D$4002,$K$6),1)),""),"")</f>
        <v/>
      </c>
      <c r="U2046">
        <f>IF(ISNUMBER(T2046),'자료_거시'!$D2028,"")</f>
        <v/>
      </c>
      <c r="V2046">
        <f>IF(ISNUMBER(U2046),IF(U2046&gt;$L$6,T2046,""),"")</f>
        <v/>
      </c>
      <c r="W2046">
        <f>IF(AND(ISNUMBER('자료_거시'!$G2028),ISNUMBER('자료_거시'!$H2028)),'자료_거시'!$H2028,"")</f>
        <v/>
      </c>
      <c r="X2046">
        <f>IF(ISNUMBER(W2046),'자료_거시'!$G2028,"")</f>
        <v/>
      </c>
      <c r="Y2046">
        <f>IF(ISNUMBER(X2046),IF(X2046&gt;$L$7,W2046,""),"")</f>
        <v/>
      </c>
      <c r="Z2046">
        <f>IF(ISNUMBER('자료_거시'!$K2028),'자료_거시'!$K2028,Z2045)</f>
        <v/>
      </c>
      <c r="AA2046">
        <f>IF(AND(ISNUMBER('자료_거시'!$J2028),ISNUMBER('자료_거시'!$K2028)),IFERROR('자료_거시'!$K2028/INDEX($Z$21:$Z$4020,MATCH(EDATE('자료_거시'!$J2028,-'설정'!$B$17),'자료_거시'!$J$3:INDEX('자료_거시'!$J$3:$J$4002,$K$8),1))-1,""),"")</f>
        <v/>
      </c>
      <c r="AB2046">
        <f>IF(ISNUMBER(AA2046),'자료_거시'!$J2028,"")</f>
        <v/>
      </c>
      <c r="AC2046">
        <f>IF(ISNUMBER(AB2046),IF(AB2046&gt;$L$8,AA2046,""),"")</f>
        <v/>
      </c>
    </row>
    <row r="2047">
      <c r="S2047">
        <f>IF(ISNUMBER('자료_거시'!$E2029),'자료_거시'!$E2029,S2046)</f>
        <v/>
      </c>
      <c r="T2047">
        <f>IF(AND(ISNUMBER('자료_거시'!$D2029),ISNUMBER('자료_거시'!$E2029)),IFERROR('자료_거시'!$E2029-INDEX($S$21:$S$4020,MATCH(EDATE('자료_거시'!$D2029,-'설정'!$B$17),'자료_거시'!$D$3:INDEX('자료_거시'!$D$3:$D$4002,$K$6),1)),""),"")</f>
        <v/>
      </c>
      <c r="U2047">
        <f>IF(ISNUMBER(T2047),'자료_거시'!$D2029,"")</f>
        <v/>
      </c>
      <c r="V2047">
        <f>IF(ISNUMBER(U2047),IF(U2047&gt;$L$6,T2047,""),"")</f>
        <v/>
      </c>
      <c r="W2047">
        <f>IF(AND(ISNUMBER('자료_거시'!$G2029),ISNUMBER('자료_거시'!$H2029)),'자료_거시'!$H2029,"")</f>
        <v/>
      </c>
      <c r="X2047">
        <f>IF(ISNUMBER(W2047),'자료_거시'!$G2029,"")</f>
        <v/>
      </c>
      <c r="Y2047">
        <f>IF(ISNUMBER(X2047),IF(X2047&gt;$L$7,W2047,""),"")</f>
        <v/>
      </c>
      <c r="Z2047">
        <f>IF(ISNUMBER('자료_거시'!$K2029),'자료_거시'!$K2029,Z2046)</f>
        <v/>
      </c>
      <c r="AA2047">
        <f>IF(AND(ISNUMBER('자료_거시'!$J2029),ISNUMBER('자료_거시'!$K2029)),IFERROR('자료_거시'!$K2029/INDEX($Z$21:$Z$4020,MATCH(EDATE('자료_거시'!$J2029,-'설정'!$B$17),'자료_거시'!$J$3:INDEX('자료_거시'!$J$3:$J$4002,$K$8),1))-1,""),"")</f>
        <v/>
      </c>
      <c r="AB2047">
        <f>IF(ISNUMBER(AA2047),'자료_거시'!$J2029,"")</f>
        <v/>
      </c>
      <c r="AC2047">
        <f>IF(ISNUMBER(AB2047),IF(AB2047&gt;$L$8,AA2047,""),"")</f>
        <v/>
      </c>
    </row>
    <row r="2048">
      <c r="S2048">
        <f>IF(ISNUMBER('자료_거시'!$E2030),'자료_거시'!$E2030,S2047)</f>
        <v/>
      </c>
      <c r="T2048">
        <f>IF(AND(ISNUMBER('자료_거시'!$D2030),ISNUMBER('자료_거시'!$E2030)),IFERROR('자료_거시'!$E2030-INDEX($S$21:$S$4020,MATCH(EDATE('자료_거시'!$D2030,-'설정'!$B$17),'자료_거시'!$D$3:INDEX('자료_거시'!$D$3:$D$4002,$K$6),1)),""),"")</f>
        <v/>
      </c>
      <c r="U2048">
        <f>IF(ISNUMBER(T2048),'자료_거시'!$D2030,"")</f>
        <v/>
      </c>
      <c r="V2048">
        <f>IF(ISNUMBER(U2048),IF(U2048&gt;$L$6,T2048,""),"")</f>
        <v/>
      </c>
      <c r="W2048">
        <f>IF(AND(ISNUMBER('자료_거시'!$G2030),ISNUMBER('자료_거시'!$H2030)),'자료_거시'!$H2030,"")</f>
        <v/>
      </c>
      <c r="X2048">
        <f>IF(ISNUMBER(W2048),'자료_거시'!$G2030,"")</f>
        <v/>
      </c>
      <c r="Y2048">
        <f>IF(ISNUMBER(X2048),IF(X2048&gt;$L$7,W2048,""),"")</f>
        <v/>
      </c>
      <c r="Z2048">
        <f>IF(ISNUMBER('자료_거시'!$K2030),'자료_거시'!$K2030,Z2047)</f>
        <v/>
      </c>
      <c r="AA2048">
        <f>IF(AND(ISNUMBER('자료_거시'!$J2030),ISNUMBER('자료_거시'!$K2030)),IFERROR('자료_거시'!$K2030/INDEX($Z$21:$Z$4020,MATCH(EDATE('자료_거시'!$J2030,-'설정'!$B$17),'자료_거시'!$J$3:INDEX('자료_거시'!$J$3:$J$4002,$K$8),1))-1,""),"")</f>
        <v/>
      </c>
      <c r="AB2048">
        <f>IF(ISNUMBER(AA2048),'자료_거시'!$J2030,"")</f>
        <v/>
      </c>
      <c r="AC2048">
        <f>IF(ISNUMBER(AB2048),IF(AB2048&gt;$L$8,AA2048,""),"")</f>
        <v/>
      </c>
    </row>
    <row r="2049">
      <c r="S2049">
        <f>IF(ISNUMBER('자료_거시'!$E2031),'자료_거시'!$E2031,S2048)</f>
        <v/>
      </c>
      <c r="T2049">
        <f>IF(AND(ISNUMBER('자료_거시'!$D2031),ISNUMBER('자료_거시'!$E2031)),IFERROR('자료_거시'!$E2031-INDEX($S$21:$S$4020,MATCH(EDATE('자료_거시'!$D2031,-'설정'!$B$17),'자료_거시'!$D$3:INDEX('자료_거시'!$D$3:$D$4002,$K$6),1)),""),"")</f>
        <v/>
      </c>
      <c r="U2049">
        <f>IF(ISNUMBER(T2049),'자료_거시'!$D2031,"")</f>
        <v/>
      </c>
      <c r="V2049">
        <f>IF(ISNUMBER(U2049),IF(U2049&gt;$L$6,T2049,""),"")</f>
        <v/>
      </c>
      <c r="W2049">
        <f>IF(AND(ISNUMBER('자료_거시'!$G2031),ISNUMBER('자료_거시'!$H2031)),'자료_거시'!$H2031,"")</f>
        <v/>
      </c>
      <c r="X2049">
        <f>IF(ISNUMBER(W2049),'자료_거시'!$G2031,"")</f>
        <v/>
      </c>
      <c r="Y2049">
        <f>IF(ISNUMBER(X2049),IF(X2049&gt;$L$7,W2049,""),"")</f>
        <v/>
      </c>
      <c r="Z2049">
        <f>IF(ISNUMBER('자료_거시'!$K2031),'자료_거시'!$K2031,Z2048)</f>
        <v/>
      </c>
      <c r="AA2049">
        <f>IF(AND(ISNUMBER('자료_거시'!$J2031),ISNUMBER('자료_거시'!$K2031)),IFERROR('자료_거시'!$K2031/INDEX($Z$21:$Z$4020,MATCH(EDATE('자료_거시'!$J2031,-'설정'!$B$17),'자료_거시'!$J$3:INDEX('자료_거시'!$J$3:$J$4002,$K$8),1))-1,""),"")</f>
        <v/>
      </c>
      <c r="AB2049">
        <f>IF(ISNUMBER(AA2049),'자료_거시'!$J2031,"")</f>
        <v/>
      </c>
      <c r="AC2049">
        <f>IF(ISNUMBER(AB2049),IF(AB2049&gt;$L$8,AA2049,""),"")</f>
        <v/>
      </c>
    </row>
    <row r="2050">
      <c r="S2050">
        <f>IF(ISNUMBER('자료_거시'!$E2032),'자료_거시'!$E2032,S2049)</f>
        <v/>
      </c>
      <c r="T2050">
        <f>IF(AND(ISNUMBER('자료_거시'!$D2032),ISNUMBER('자료_거시'!$E2032)),IFERROR('자료_거시'!$E2032-INDEX($S$21:$S$4020,MATCH(EDATE('자료_거시'!$D2032,-'설정'!$B$17),'자료_거시'!$D$3:INDEX('자료_거시'!$D$3:$D$4002,$K$6),1)),""),"")</f>
        <v/>
      </c>
      <c r="U2050">
        <f>IF(ISNUMBER(T2050),'자료_거시'!$D2032,"")</f>
        <v/>
      </c>
      <c r="V2050">
        <f>IF(ISNUMBER(U2050),IF(U2050&gt;$L$6,T2050,""),"")</f>
        <v/>
      </c>
      <c r="W2050">
        <f>IF(AND(ISNUMBER('자료_거시'!$G2032),ISNUMBER('자료_거시'!$H2032)),'자료_거시'!$H2032,"")</f>
        <v/>
      </c>
      <c r="X2050">
        <f>IF(ISNUMBER(W2050),'자료_거시'!$G2032,"")</f>
        <v/>
      </c>
      <c r="Y2050">
        <f>IF(ISNUMBER(X2050),IF(X2050&gt;$L$7,W2050,""),"")</f>
        <v/>
      </c>
      <c r="Z2050">
        <f>IF(ISNUMBER('자료_거시'!$K2032),'자료_거시'!$K2032,Z2049)</f>
        <v/>
      </c>
      <c r="AA2050">
        <f>IF(AND(ISNUMBER('자료_거시'!$J2032),ISNUMBER('자료_거시'!$K2032)),IFERROR('자료_거시'!$K2032/INDEX($Z$21:$Z$4020,MATCH(EDATE('자료_거시'!$J2032,-'설정'!$B$17),'자료_거시'!$J$3:INDEX('자료_거시'!$J$3:$J$4002,$K$8),1))-1,""),"")</f>
        <v/>
      </c>
      <c r="AB2050">
        <f>IF(ISNUMBER(AA2050),'자료_거시'!$J2032,"")</f>
        <v/>
      </c>
      <c r="AC2050">
        <f>IF(ISNUMBER(AB2050),IF(AB2050&gt;$L$8,AA2050,""),"")</f>
        <v/>
      </c>
    </row>
    <row r="2051">
      <c r="S2051">
        <f>IF(ISNUMBER('자료_거시'!$E2033),'자료_거시'!$E2033,S2050)</f>
        <v/>
      </c>
      <c r="T2051">
        <f>IF(AND(ISNUMBER('자료_거시'!$D2033),ISNUMBER('자료_거시'!$E2033)),IFERROR('자료_거시'!$E2033-INDEX($S$21:$S$4020,MATCH(EDATE('자료_거시'!$D2033,-'설정'!$B$17),'자료_거시'!$D$3:INDEX('자료_거시'!$D$3:$D$4002,$K$6),1)),""),"")</f>
        <v/>
      </c>
      <c r="U2051">
        <f>IF(ISNUMBER(T2051),'자료_거시'!$D2033,"")</f>
        <v/>
      </c>
      <c r="V2051">
        <f>IF(ISNUMBER(U2051),IF(U2051&gt;$L$6,T2051,""),"")</f>
        <v/>
      </c>
      <c r="W2051">
        <f>IF(AND(ISNUMBER('자료_거시'!$G2033),ISNUMBER('자료_거시'!$H2033)),'자료_거시'!$H2033,"")</f>
        <v/>
      </c>
      <c r="X2051">
        <f>IF(ISNUMBER(W2051),'자료_거시'!$G2033,"")</f>
        <v/>
      </c>
      <c r="Y2051">
        <f>IF(ISNUMBER(X2051),IF(X2051&gt;$L$7,W2051,""),"")</f>
        <v/>
      </c>
      <c r="Z2051">
        <f>IF(ISNUMBER('자료_거시'!$K2033),'자료_거시'!$K2033,Z2050)</f>
        <v/>
      </c>
      <c r="AA2051">
        <f>IF(AND(ISNUMBER('자료_거시'!$J2033),ISNUMBER('자료_거시'!$K2033)),IFERROR('자료_거시'!$K2033/INDEX($Z$21:$Z$4020,MATCH(EDATE('자료_거시'!$J2033,-'설정'!$B$17),'자료_거시'!$J$3:INDEX('자료_거시'!$J$3:$J$4002,$K$8),1))-1,""),"")</f>
        <v/>
      </c>
      <c r="AB2051">
        <f>IF(ISNUMBER(AA2051),'자료_거시'!$J2033,"")</f>
        <v/>
      </c>
      <c r="AC2051">
        <f>IF(ISNUMBER(AB2051),IF(AB2051&gt;$L$8,AA2051,""),"")</f>
        <v/>
      </c>
    </row>
    <row r="2052">
      <c r="S2052">
        <f>IF(ISNUMBER('자료_거시'!$E2034),'자료_거시'!$E2034,S2051)</f>
        <v/>
      </c>
      <c r="T2052">
        <f>IF(AND(ISNUMBER('자료_거시'!$D2034),ISNUMBER('자료_거시'!$E2034)),IFERROR('자료_거시'!$E2034-INDEX($S$21:$S$4020,MATCH(EDATE('자료_거시'!$D2034,-'설정'!$B$17),'자료_거시'!$D$3:INDEX('자료_거시'!$D$3:$D$4002,$K$6),1)),""),"")</f>
        <v/>
      </c>
      <c r="U2052">
        <f>IF(ISNUMBER(T2052),'자료_거시'!$D2034,"")</f>
        <v/>
      </c>
      <c r="V2052">
        <f>IF(ISNUMBER(U2052),IF(U2052&gt;$L$6,T2052,""),"")</f>
        <v/>
      </c>
      <c r="W2052">
        <f>IF(AND(ISNUMBER('자료_거시'!$G2034),ISNUMBER('자료_거시'!$H2034)),'자료_거시'!$H2034,"")</f>
        <v/>
      </c>
      <c r="X2052">
        <f>IF(ISNUMBER(W2052),'자료_거시'!$G2034,"")</f>
        <v/>
      </c>
      <c r="Y2052">
        <f>IF(ISNUMBER(X2052),IF(X2052&gt;$L$7,W2052,""),"")</f>
        <v/>
      </c>
      <c r="Z2052">
        <f>IF(ISNUMBER('자료_거시'!$K2034),'자료_거시'!$K2034,Z2051)</f>
        <v/>
      </c>
      <c r="AA2052">
        <f>IF(AND(ISNUMBER('자료_거시'!$J2034),ISNUMBER('자료_거시'!$K2034)),IFERROR('자료_거시'!$K2034/INDEX($Z$21:$Z$4020,MATCH(EDATE('자료_거시'!$J2034,-'설정'!$B$17),'자료_거시'!$J$3:INDEX('자료_거시'!$J$3:$J$4002,$K$8),1))-1,""),"")</f>
        <v/>
      </c>
      <c r="AB2052">
        <f>IF(ISNUMBER(AA2052),'자료_거시'!$J2034,"")</f>
        <v/>
      </c>
      <c r="AC2052">
        <f>IF(ISNUMBER(AB2052),IF(AB2052&gt;$L$8,AA2052,""),"")</f>
        <v/>
      </c>
    </row>
    <row r="2053">
      <c r="S2053">
        <f>IF(ISNUMBER('자료_거시'!$E2035),'자료_거시'!$E2035,S2052)</f>
        <v/>
      </c>
      <c r="T2053">
        <f>IF(AND(ISNUMBER('자료_거시'!$D2035),ISNUMBER('자료_거시'!$E2035)),IFERROR('자료_거시'!$E2035-INDEX($S$21:$S$4020,MATCH(EDATE('자료_거시'!$D2035,-'설정'!$B$17),'자료_거시'!$D$3:INDEX('자료_거시'!$D$3:$D$4002,$K$6),1)),""),"")</f>
        <v/>
      </c>
      <c r="U2053">
        <f>IF(ISNUMBER(T2053),'자료_거시'!$D2035,"")</f>
        <v/>
      </c>
      <c r="V2053">
        <f>IF(ISNUMBER(U2053),IF(U2053&gt;$L$6,T2053,""),"")</f>
        <v/>
      </c>
      <c r="W2053">
        <f>IF(AND(ISNUMBER('자료_거시'!$G2035),ISNUMBER('자료_거시'!$H2035)),'자료_거시'!$H2035,"")</f>
        <v/>
      </c>
      <c r="X2053">
        <f>IF(ISNUMBER(W2053),'자료_거시'!$G2035,"")</f>
        <v/>
      </c>
      <c r="Y2053">
        <f>IF(ISNUMBER(X2053),IF(X2053&gt;$L$7,W2053,""),"")</f>
        <v/>
      </c>
      <c r="Z2053">
        <f>IF(ISNUMBER('자료_거시'!$K2035),'자료_거시'!$K2035,Z2052)</f>
        <v/>
      </c>
      <c r="AA2053">
        <f>IF(AND(ISNUMBER('자료_거시'!$J2035),ISNUMBER('자료_거시'!$K2035)),IFERROR('자료_거시'!$K2035/INDEX($Z$21:$Z$4020,MATCH(EDATE('자료_거시'!$J2035,-'설정'!$B$17),'자료_거시'!$J$3:INDEX('자료_거시'!$J$3:$J$4002,$K$8),1))-1,""),"")</f>
        <v/>
      </c>
      <c r="AB2053">
        <f>IF(ISNUMBER(AA2053),'자료_거시'!$J2035,"")</f>
        <v/>
      </c>
      <c r="AC2053">
        <f>IF(ISNUMBER(AB2053),IF(AB2053&gt;$L$8,AA2053,""),"")</f>
        <v/>
      </c>
    </row>
    <row r="2054">
      <c r="S2054">
        <f>IF(ISNUMBER('자료_거시'!$E2036),'자료_거시'!$E2036,S2053)</f>
        <v/>
      </c>
      <c r="T2054">
        <f>IF(AND(ISNUMBER('자료_거시'!$D2036),ISNUMBER('자료_거시'!$E2036)),IFERROR('자료_거시'!$E2036-INDEX($S$21:$S$4020,MATCH(EDATE('자료_거시'!$D2036,-'설정'!$B$17),'자료_거시'!$D$3:INDEX('자료_거시'!$D$3:$D$4002,$K$6),1)),""),"")</f>
        <v/>
      </c>
      <c r="U2054">
        <f>IF(ISNUMBER(T2054),'자료_거시'!$D2036,"")</f>
        <v/>
      </c>
      <c r="V2054">
        <f>IF(ISNUMBER(U2054),IF(U2054&gt;$L$6,T2054,""),"")</f>
        <v/>
      </c>
      <c r="W2054">
        <f>IF(AND(ISNUMBER('자료_거시'!$G2036),ISNUMBER('자료_거시'!$H2036)),'자료_거시'!$H2036,"")</f>
        <v/>
      </c>
      <c r="X2054">
        <f>IF(ISNUMBER(W2054),'자료_거시'!$G2036,"")</f>
        <v/>
      </c>
      <c r="Y2054">
        <f>IF(ISNUMBER(X2054),IF(X2054&gt;$L$7,W2054,""),"")</f>
        <v/>
      </c>
      <c r="Z2054">
        <f>IF(ISNUMBER('자료_거시'!$K2036),'자료_거시'!$K2036,Z2053)</f>
        <v/>
      </c>
      <c r="AA2054">
        <f>IF(AND(ISNUMBER('자료_거시'!$J2036),ISNUMBER('자료_거시'!$K2036)),IFERROR('자료_거시'!$K2036/INDEX($Z$21:$Z$4020,MATCH(EDATE('자료_거시'!$J2036,-'설정'!$B$17),'자료_거시'!$J$3:INDEX('자료_거시'!$J$3:$J$4002,$K$8),1))-1,""),"")</f>
        <v/>
      </c>
      <c r="AB2054">
        <f>IF(ISNUMBER(AA2054),'자료_거시'!$J2036,"")</f>
        <v/>
      </c>
      <c r="AC2054">
        <f>IF(ISNUMBER(AB2054),IF(AB2054&gt;$L$8,AA2054,""),"")</f>
        <v/>
      </c>
    </row>
    <row r="2055">
      <c r="S2055">
        <f>IF(ISNUMBER('자료_거시'!$E2037),'자료_거시'!$E2037,S2054)</f>
        <v/>
      </c>
      <c r="T2055">
        <f>IF(AND(ISNUMBER('자료_거시'!$D2037),ISNUMBER('자료_거시'!$E2037)),IFERROR('자료_거시'!$E2037-INDEX($S$21:$S$4020,MATCH(EDATE('자료_거시'!$D2037,-'설정'!$B$17),'자료_거시'!$D$3:INDEX('자료_거시'!$D$3:$D$4002,$K$6),1)),""),"")</f>
        <v/>
      </c>
      <c r="U2055">
        <f>IF(ISNUMBER(T2055),'자료_거시'!$D2037,"")</f>
        <v/>
      </c>
      <c r="V2055">
        <f>IF(ISNUMBER(U2055),IF(U2055&gt;$L$6,T2055,""),"")</f>
        <v/>
      </c>
      <c r="W2055">
        <f>IF(AND(ISNUMBER('자료_거시'!$G2037),ISNUMBER('자료_거시'!$H2037)),'자료_거시'!$H2037,"")</f>
        <v/>
      </c>
      <c r="X2055">
        <f>IF(ISNUMBER(W2055),'자료_거시'!$G2037,"")</f>
        <v/>
      </c>
      <c r="Y2055">
        <f>IF(ISNUMBER(X2055),IF(X2055&gt;$L$7,W2055,""),"")</f>
        <v/>
      </c>
      <c r="Z2055">
        <f>IF(ISNUMBER('자료_거시'!$K2037),'자료_거시'!$K2037,Z2054)</f>
        <v/>
      </c>
      <c r="AA2055">
        <f>IF(AND(ISNUMBER('자료_거시'!$J2037),ISNUMBER('자료_거시'!$K2037)),IFERROR('자료_거시'!$K2037/INDEX($Z$21:$Z$4020,MATCH(EDATE('자료_거시'!$J2037,-'설정'!$B$17),'자료_거시'!$J$3:INDEX('자료_거시'!$J$3:$J$4002,$K$8),1))-1,""),"")</f>
        <v/>
      </c>
      <c r="AB2055">
        <f>IF(ISNUMBER(AA2055),'자료_거시'!$J2037,"")</f>
        <v/>
      </c>
      <c r="AC2055">
        <f>IF(ISNUMBER(AB2055),IF(AB2055&gt;$L$8,AA2055,""),"")</f>
        <v/>
      </c>
    </row>
    <row r="2056">
      <c r="S2056">
        <f>IF(ISNUMBER('자료_거시'!$E2038),'자료_거시'!$E2038,S2055)</f>
        <v/>
      </c>
      <c r="T2056">
        <f>IF(AND(ISNUMBER('자료_거시'!$D2038),ISNUMBER('자료_거시'!$E2038)),IFERROR('자료_거시'!$E2038-INDEX($S$21:$S$4020,MATCH(EDATE('자료_거시'!$D2038,-'설정'!$B$17),'자료_거시'!$D$3:INDEX('자료_거시'!$D$3:$D$4002,$K$6),1)),""),"")</f>
        <v/>
      </c>
      <c r="U2056">
        <f>IF(ISNUMBER(T2056),'자료_거시'!$D2038,"")</f>
        <v/>
      </c>
      <c r="V2056">
        <f>IF(ISNUMBER(U2056),IF(U2056&gt;$L$6,T2056,""),"")</f>
        <v/>
      </c>
      <c r="W2056">
        <f>IF(AND(ISNUMBER('자료_거시'!$G2038),ISNUMBER('자료_거시'!$H2038)),'자료_거시'!$H2038,"")</f>
        <v/>
      </c>
      <c r="X2056">
        <f>IF(ISNUMBER(W2056),'자료_거시'!$G2038,"")</f>
        <v/>
      </c>
      <c r="Y2056">
        <f>IF(ISNUMBER(X2056),IF(X2056&gt;$L$7,W2056,""),"")</f>
        <v/>
      </c>
      <c r="Z2056">
        <f>IF(ISNUMBER('자료_거시'!$K2038),'자료_거시'!$K2038,Z2055)</f>
        <v/>
      </c>
      <c r="AA2056">
        <f>IF(AND(ISNUMBER('자료_거시'!$J2038),ISNUMBER('자료_거시'!$K2038)),IFERROR('자료_거시'!$K2038/INDEX($Z$21:$Z$4020,MATCH(EDATE('자료_거시'!$J2038,-'설정'!$B$17),'자료_거시'!$J$3:INDEX('자료_거시'!$J$3:$J$4002,$K$8),1))-1,""),"")</f>
        <v/>
      </c>
      <c r="AB2056">
        <f>IF(ISNUMBER(AA2056),'자료_거시'!$J2038,"")</f>
        <v/>
      </c>
      <c r="AC2056">
        <f>IF(ISNUMBER(AB2056),IF(AB2056&gt;$L$8,AA2056,""),"")</f>
        <v/>
      </c>
    </row>
    <row r="2057">
      <c r="S2057">
        <f>IF(ISNUMBER('자료_거시'!$E2039),'자료_거시'!$E2039,S2056)</f>
        <v/>
      </c>
      <c r="T2057">
        <f>IF(AND(ISNUMBER('자료_거시'!$D2039),ISNUMBER('자료_거시'!$E2039)),IFERROR('자료_거시'!$E2039-INDEX($S$21:$S$4020,MATCH(EDATE('자료_거시'!$D2039,-'설정'!$B$17),'자료_거시'!$D$3:INDEX('자료_거시'!$D$3:$D$4002,$K$6),1)),""),"")</f>
        <v/>
      </c>
      <c r="U2057">
        <f>IF(ISNUMBER(T2057),'자료_거시'!$D2039,"")</f>
        <v/>
      </c>
      <c r="V2057">
        <f>IF(ISNUMBER(U2057),IF(U2057&gt;$L$6,T2057,""),"")</f>
        <v/>
      </c>
      <c r="W2057">
        <f>IF(AND(ISNUMBER('자료_거시'!$G2039),ISNUMBER('자료_거시'!$H2039)),'자료_거시'!$H2039,"")</f>
        <v/>
      </c>
      <c r="X2057">
        <f>IF(ISNUMBER(W2057),'자료_거시'!$G2039,"")</f>
        <v/>
      </c>
      <c r="Y2057">
        <f>IF(ISNUMBER(X2057),IF(X2057&gt;$L$7,W2057,""),"")</f>
        <v/>
      </c>
      <c r="Z2057">
        <f>IF(ISNUMBER('자료_거시'!$K2039),'자료_거시'!$K2039,Z2056)</f>
        <v/>
      </c>
      <c r="AA2057">
        <f>IF(AND(ISNUMBER('자료_거시'!$J2039),ISNUMBER('자료_거시'!$K2039)),IFERROR('자료_거시'!$K2039/INDEX($Z$21:$Z$4020,MATCH(EDATE('자료_거시'!$J2039,-'설정'!$B$17),'자료_거시'!$J$3:INDEX('자료_거시'!$J$3:$J$4002,$K$8),1))-1,""),"")</f>
        <v/>
      </c>
      <c r="AB2057">
        <f>IF(ISNUMBER(AA2057),'자료_거시'!$J2039,"")</f>
        <v/>
      </c>
      <c r="AC2057">
        <f>IF(ISNUMBER(AB2057),IF(AB2057&gt;$L$8,AA2057,""),"")</f>
        <v/>
      </c>
    </row>
    <row r="2058">
      <c r="S2058">
        <f>IF(ISNUMBER('자료_거시'!$E2040),'자료_거시'!$E2040,S2057)</f>
        <v/>
      </c>
      <c r="T2058">
        <f>IF(AND(ISNUMBER('자료_거시'!$D2040),ISNUMBER('자료_거시'!$E2040)),IFERROR('자료_거시'!$E2040-INDEX($S$21:$S$4020,MATCH(EDATE('자료_거시'!$D2040,-'설정'!$B$17),'자료_거시'!$D$3:INDEX('자료_거시'!$D$3:$D$4002,$K$6),1)),""),"")</f>
        <v/>
      </c>
      <c r="U2058">
        <f>IF(ISNUMBER(T2058),'자료_거시'!$D2040,"")</f>
        <v/>
      </c>
      <c r="V2058">
        <f>IF(ISNUMBER(U2058),IF(U2058&gt;$L$6,T2058,""),"")</f>
        <v/>
      </c>
      <c r="W2058">
        <f>IF(AND(ISNUMBER('자료_거시'!$G2040),ISNUMBER('자료_거시'!$H2040)),'자료_거시'!$H2040,"")</f>
        <v/>
      </c>
      <c r="X2058">
        <f>IF(ISNUMBER(W2058),'자료_거시'!$G2040,"")</f>
        <v/>
      </c>
      <c r="Y2058">
        <f>IF(ISNUMBER(X2058),IF(X2058&gt;$L$7,W2058,""),"")</f>
        <v/>
      </c>
      <c r="Z2058">
        <f>IF(ISNUMBER('자료_거시'!$K2040),'자료_거시'!$K2040,Z2057)</f>
        <v/>
      </c>
      <c r="AA2058">
        <f>IF(AND(ISNUMBER('자료_거시'!$J2040),ISNUMBER('자료_거시'!$K2040)),IFERROR('자료_거시'!$K2040/INDEX($Z$21:$Z$4020,MATCH(EDATE('자료_거시'!$J2040,-'설정'!$B$17),'자료_거시'!$J$3:INDEX('자료_거시'!$J$3:$J$4002,$K$8),1))-1,""),"")</f>
        <v/>
      </c>
      <c r="AB2058">
        <f>IF(ISNUMBER(AA2058),'자료_거시'!$J2040,"")</f>
        <v/>
      </c>
      <c r="AC2058">
        <f>IF(ISNUMBER(AB2058),IF(AB2058&gt;$L$8,AA2058,""),"")</f>
        <v/>
      </c>
    </row>
    <row r="2059">
      <c r="S2059">
        <f>IF(ISNUMBER('자료_거시'!$E2041),'자료_거시'!$E2041,S2058)</f>
        <v/>
      </c>
      <c r="T2059">
        <f>IF(AND(ISNUMBER('자료_거시'!$D2041),ISNUMBER('자료_거시'!$E2041)),IFERROR('자료_거시'!$E2041-INDEX($S$21:$S$4020,MATCH(EDATE('자료_거시'!$D2041,-'설정'!$B$17),'자료_거시'!$D$3:INDEX('자료_거시'!$D$3:$D$4002,$K$6),1)),""),"")</f>
        <v/>
      </c>
      <c r="U2059">
        <f>IF(ISNUMBER(T2059),'자료_거시'!$D2041,"")</f>
        <v/>
      </c>
      <c r="V2059">
        <f>IF(ISNUMBER(U2059),IF(U2059&gt;$L$6,T2059,""),"")</f>
        <v/>
      </c>
      <c r="W2059">
        <f>IF(AND(ISNUMBER('자료_거시'!$G2041),ISNUMBER('자료_거시'!$H2041)),'자료_거시'!$H2041,"")</f>
        <v/>
      </c>
      <c r="X2059">
        <f>IF(ISNUMBER(W2059),'자료_거시'!$G2041,"")</f>
        <v/>
      </c>
      <c r="Y2059">
        <f>IF(ISNUMBER(X2059),IF(X2059&gt;$L$7,W2059,""),"")</f>
        <v/>
      </c>
      <c r="Z2059">
        <f>IF(ISNUMBER('자료_거시'!$K2041),'자료_거시'!$K2041,Z2058)</f>
        <v/>
      </c>
      <c r="AA2059">
        <f>IF(AND(ISNUMBER('자료_거시'!$J2041),ISNUMBER('자료_거시'!$K2041)),IFERROR('자료_거시'!$K2041/INDEX($Z$21:$Z$4020,MATCH(EDATE('자료_거시'!$J2041,-'설정'!$B$17),'자료_거시'!$J$3:INDEX('자료_거시'!$J$3:$J$4002,$K$8),1))-1,""),"")</f>
        <v/>
      </c>
      <c r="AB2059">
        <f>IF(ISNUMBER(AA2059),'자료_거시'!$J2041,"")</f>
        <v/>
      </c>
      <c r="AC2059">
        <f>IF(ISNUMBER(AB2059),IF(AB2059&gt;$L$8,AA2059,""),"")</f>
        <v/>
      </c>
    </row>
    <row r="2060">
      <c r="S2060">
        <f>IF(ISNUMBER('자료_거시'!$E2042),'자료_거시'!$E2042,S2059)</f>
        <v/>
      </c>
      <c r="T2060">
        <f>IF(AND(ISNUMBER('자료_거시'!$D2042),ISNUMBER('자료_거시'!$E2042)),IFERROR('자료_거시'!$E2042-INDEX($S$21:$S$4020,MATCH(EDATE('자료_거시'!$D2042,-'설정'!$B$17),'자료_거시'!$D$3:INDEX('자료_거시'!$D$3:$D$4002,$K$6),1)),""),"")</f>
        <v/>
      </c>
      <c r="U2060">
        <f>IF(ISNUMBER(T2060),'자료_거시'!$D2042,"")</f>
        <v/>
      </c>
      <c r="V2060">
        <f>IF(ISNUMBER(U2060),IF(U2060&gt;$L$6,T2060,""),"")</f>
        <v/>
      </c>
      <c r="W2060">
        <f>IF(AND(ISNUMBER('자료_거시'!$G2042),ISNUMBER('자료_거시'!$H2042)),'자료_거시'!$H2042,"")</f>
        <v/>
      </c>
      <c r="X2060">
        <f>IF(ISNUMBER(W2060),'자료_거시'!$G2042,"")</f>
        <v/>
      </c>
      <c r="Y2060">
        <f>IF(ISNUMBER(X2060),IF(X2060&gt;$L$7,W2060,""),"")</f>
        <v/>
      </c>
      <c r="Z2060">
        <f>IF(ISNUMBER('자료_거시'!$K2042),'자료_거시'!$K2042,Z2059)</f>
        <v/>
      </c>
      <c r="AA2060">
        <f>IF(AND(ISNUMBER('자료_거시'!$J2042),ISNUMBER('자료_거시'!$K2042)),IFERROR('자료_거시'!$K2042/INDEX($Z$21:$Z$4020,MATCH(EDATE('자료_거시'!$J2042,-'설정'!$B$17),'자료_거시'!$J$3:INDEX('자료_거시'!$J$3:$J$4002,$K$8),1))-1,""),"")</f>
        <v/>
      </c>
      <c r="AB2060">
        <f>IF(ISNUMBER(AA2060),'자료_거시'!$J2042,"")</f>
        <v/>
      </c>
      <c r="AC2060">
        <f>IF(ISNUMBER(AB2060),IF(AB2060&gt;$L$8,AA2060,""),"")</f>
        <v/>
      </c>
    </row>
    <row r="2061">
      <c r="S2061">
        <f>IF(ISNUMBER('자료_거시'!$E2043),'자료_거시'!$E2043,S2060)</f>
        <v/>
      </c>
      <c r="T2061">
        <f>IF(AND(ISNUMBER('자료_거시'!$D2043),ISNUMBER('자료_거시'!$E2043)),IFERROR('자료_거시'!$E2043-INDEX($S$21:$S$4020,MATCH(EDATE('자료_거시'!$D2043,-'설정'!$B$17),'자료_거시'!$D$3:INDEX('자료_거시'!$D$3:$D$4002,$K$6),1)),""),"")</f>
        <v/>
      </c>
      <c r="U2061">
        <f>IF(ISNUMBER(T2061),'자료_거시'!$D2043,"")</f>
        <v/>
      </c>
      <c r="V2061">
        <f>IF(ISNUMBER(U2061),IF(U2061&gt;$L$6,T2061,""),"")</f>
        <v/>
      </c>
      <c r="W2061">
        <f>IF(AND(ISNUMBER('자료_거시'!$G2043),ISNUMBER('자료_거시'!$H2043)),'자료_거시'!$H2043,"")</f>
        <v/>
      </c>
      <c r="X2061">
        <f>IF(ISNUMBER(W2061),'자료_거시'!$G2043,"")</f>
        <v/>
      </c>
      <c r="Y2061">
        <f>IF(ISNUMBER(X2061),IF(X2061&gt;$L$7,W2061,""),"")</f>
        <v/>
      </c>
      <c r="Z2061">
        <f>IF(ISNUMBER('자료_거시'!$K2043),'자료_거시'!$K2043,Z2060)</f>
        <v/>
      </c>
      <c r="AA2061">
        <f>IF(AND(ISNUMBER('자료_거시'!$J2043),ISNUMBER('자료_거시'!$K2043)),IFERROR('자료_거시'!$K2043/INDEX($Z$21:$Z$4020,MATCH(EDATE('자료_거시'!$J2043,-'설정'!$B$17),'자료_거시'!$J$3:INDEX('자료_거시'!$J$3:$J$4002,$K$8),1))-1,""),"")</f>
        <v/>
      </c>
      <c r="AB2061">
        <f>IF(ISNUMBER(AA2061),'자료_거시'!$J2043,"")</f>
        <v/>
      </c>
      <c r="AC2061">
        <f>IF(ISNUMBER(AB2061),IF(AB2061&gt;$L$8,AA2061,""),"")</f>
        <v/>
      </c>
    </row>
    <row r="2062">
      <c r="S2062">
        <f>IF(ISNUMBER('자료_거시'!$E2044),'자료_거시'!$E2044,S2061)</f>
        <v/>
      </c>
      <c r="T2062">
        <f>IF(AND(ISNUMBER('자료_거시'!$D2044),ISNUMBER('자료_거시'!$E2044)),IFERROR('자료_거시'!$E2044-INDEX($S$21:$S$4020,MATCH(EDATE('자료_거시'!$D2044,-'설정'!$B$17),'자료_거시'!$D$3:INDEX('자료_거시'!$D$3:$D$4002,$K$6),1)),""),"")</f>
        <v/>
      </c>
      <c r="U2062">
        <f>IF(ISNUMBER(T2062),'자료_거시'!$D2044,"")</f>
        <v/>
      </c>
      <c r="V2062">
        <f>IF(ISNUMBER(U2062),IF(U2062&gt;$L$6,T2062,""),"")</f>
        <v/>
      </c>
      <c r="W2062">
        <f>IF(AND(ISNUMBER('자료_거시'!$G2044),ISNUMBER('자료_거시'!$H2044)),'자료_거시'!$H2044,"")</f>
        <v/>
      </c>
      <c r="X2062">
        <f>IF(ISNUMBER(W2062),'자료_거시'!$G2044,"")</f>
        <v/>
      </c>
      <c r="Y2062">
        <f>IF(ISNUMBER(X2062),IF(X2062&gt;$L$7,W2062,""),"")</f>
        <v/>
      </c>
      <c r="Z2062">
        <f>IF(ISNUMBER('자료_거시'!$K2044),'자료_거시'!$K2044,Z2061)</f>
        <v/>
      </c>
      <c r="AA2062">
        <f>IF(AND(ISNUMBER('자료_거시'!$J2044),ISNUMBER('자료_거시'!$K2044)),IFERROR('자료_거시'!$K2044/INDEX($Z$21:$Z$4020,MATCH(EDATE('자료_거시'!$J2044,-'설정'!$B$17),'자료_거시'!$J$3:INDEX('자료_거시'!$J$3:$J$4002,$K$8),1))-1,""),"")</f>
        <v/>
      </c>
      <c r="AB2062">
        <f>IF(ISNUMBER(AA2062),'자료_거시'!$J2044,"")</f>
        <v/>
      </c>
      <c r="AC2062">
        <f>IF(ISNUMBER(AB2062),IF(AB2062&gt;$L$8,AA2062,""),"")</f>
        <v/>
      </c>
    </row>
    <row r="2063">
      <c r="S2063">
        <f>IF(ISNUMBER('자료_거시'!$E2045),'자료_거시'!$E2045,S2062)</f>
        <v/>
      </c>
      <c r="T2063">
        <f>IF(AND(ISNUMBER('자료_거시'!$D2045),ISNUMBER('자료_거시'!$E2045)),IFERROR('자료_거시'!$E2045-INDEX($S$21:$S$4020,MATCH(EDATE('자료_거시'!$D2045,-'설정'!$B$17),'자료_거시'!$D$3:INDEX('자료_거시'!$D$3:$D$4002,$K$6),1)),""),"")</f>
        <v/>
      </c>
      <c r="U2063">
        <f>IF(ISNUMBER(T2063),'자료_거시'!$D2045,"")</f>
        <v/>
      </c>
      <c r="V2063">
        <f>IF(ISNUMBER(U2063),IF(U2063&gt;$L$6,T2063,""),"")</f>
        <v/>
      </c>
      <c r="W2063">
        <f>IF(AND(ISNUMBER('자료_거시'!$G2045),ISNUMBER('자료_거시'!$H2045)),'자료_거시'!$H2045,"")</f>
        <v/>
      </c>
      <c r="X2063">
        <f>IF(ISNUMBER(W2063),'자료_거시'!$G2045,"")</f>
        <v/>
      </c>
      <c r="Y2063">
        <f>IF(ISNUMBER(X2063),IF(X2063&gt;$L$7,W2063,""),"")</f>
        <v/>
      </c>
      <c r="Z2063">
        <f>IF(ISNUMBER('자료_거시'!$K2045),'자료_거시'!$K2045,Z2062)</f>
        <v/>
      </c>
      <c r="AA2063">
        <f>IF(AND(ISNUMBER('자료_거시'!$J2045),ISNUMBER('자료_거시'!$K2045)),IFERROR('자료_거시'!$K2045/INDEX($Z$21:$Z$4020,MATCH(EDATE('자료_거시'!$J2045,-'설정'!$B$17),'자료_거시'!$J$3:INDEX('자료_거시'!$J$3:$J$4002,$K$8),1))-1,""),"")</f>
        <v/>
      </c>
      <c r="AB2063">
        <f>IF(ISNUMBER(AA2063),'자료_거시'!$J2045,"")</f>
        <v/>
      </c>
      <c r="AC2063">
        <f>IF(ISNUMBER(AB2063),IF(AB2063&gt;$L$8,AA2063,""),"")</f>
        <v/>
      </c>
    </row>
    <row r="2064">
      <c r="S2064">
        <f>IF(ISNUMBER('자료_거시'!$E2046),'자료_거시'!$E2046,S2063)</f>
        <v/>
      </c>
      <c r="T2064">
        <f>IF(AND(ISNUMBER('자료_거시'!$D2046),ISNUMBER('자료_거시'!$E2046)),IFERROR('자료_거시'!$E2046-INDEX($S$21:$S$4020,MATCH(EDATE('자료_거시'!$D2046,-'설정'!$B$17),'자료_거시'!$D$3:INDEX('자료_거시'!$D$3:$D$4002,$K$6),1)),""),"")</f>
        <v/>
      </c>
      <c r="U2064">
        <f>IF(ISNUMBER(T2064),'자료_거시'!$D2046,"")</f>
        <v/>
      </c>
      <c r="V2064">
        <f>IF(ISNUMBER(U2064),IF(U2064&gt;$L$6,T2064,""),"")</f>
        <v/>
      </c>
      <c r="W2064">
        <f>IF(AND(ISNUMBER('자료_거시'!$G2046),ISNUMBER('자료_거시'!$H2046)),'자료_거시'!$H2046,"")</f>
        <v/>
      </c>
      <c r="X2064">
        <f>IF(ISNUMBER(W2064),'자료_거시'!$G2046,"")</f>
        <v/>
      </c>
      <c r="Y2064">
        <f>IF(ISNUMBER(X2064),IF(X2064&gt;$L$7,W2064,""),"")</f>
        <v/>
      </c>
      <c r="Z2064">
        <f>IF(ISNUMBER('자료_거시'!$K2046),'자료_거시'!$K2046,Z2063)</f>
        <v/>
      </c>
      <c r="AA2064">
        <f>IF(AND(ISNUMBER('자료_거시'!$J2046),ISNUMBER('자료_거시'!$K2046)),IFERROR('자료_거시'!$K2046/INDEX($Z$21:$Z$4020,MATCH(EDATE('자료_거시'!$J2046,-'설정'!$B$17),'자료_거시'!$J$3:INDEX('자료_거시'!$J$3:$J$4002,$K$8),1))-1,""),"")</f>
        <v/>
      </c>
      <c r="AB2064">
        <f>IF(ISNUMBER(AA2064),'자료_거시'!$J2046,"")</f>
        <v/>
      </c>
      <c r="AC2064">
        <f>IF(ISNUMBER(AB2064),IF(AB2064&gt;$L$8,AA2064,""),"")</f>
        <v/>
      </c>
    </row>
    <row r="2065">
      <c r="S2065">
        <f>IF(ISNUMBER('자료_거시'!$E2047),'자료_거시'!$E2047,S2064)</f>
        <v/>
      </c>
      <c r="T2065">
        <f>IF(AND(ISNUMBER('자료_거시'!$D2047),ISNUMBER('자료_거시'!$E2047)),IFERROR('자료_거시'!$E2047-INDEX($S$21:$S$4020,MATCH(EDATE('자료_거시'!$D2047,-'설정'!$B$17),'자료_거시'!$D$3:INDEX('자료_거시'!$D$3:$D$4002,$K$6),1)),""),"")</f>
        <v/>
      </c>
      <c r="U2065">
        <f>IF(ISNUMBER(T2065),'자료_거시'!$D2047,"")</f>
        <v/>
      </c>
      <c r="V2065">
        <f>IF(ISNUMBER(U2065),IF(U2065&gt;$L$6,T2065,""),"")</f>
        <v/>
      </c>
      <c r="W2065">
        <f>IF(AND(ISNUMBER('자료_거시'!$G2047),ISNUMBER('자료_거시'!$H2047)),'자료_거시'!$H2047,"")</f>
        <v/>
      </c>
      <c r="X2065">
        <f>IF(ISNUMBER(W2065),'자료_거시'!$G2047,"")</f>
        <v/>
      </c>
      <c r="Y2065">
        <f>IF(ISNUMBER(X2065),IF(X2065&gt;$L$7,W2065,""),"")</f>
        <v/>
      </c>
      <c r="Z2065">
        <f>IF(ISNUMBER('자료_거시'!$K2047),'자료_거시'!$K2047,Z2064)</f>
        <v/>
      </c>
      <c r="AA2065">
        <f>IF(AND(ISNUMBER('자료_거시'!$J2047),ISNUMBER('자료_거시'!$K2047)),IFERROR('자료_거시'!$K2047/INDEX($Z$21:$Z$4020,MATCH(EDATE('자료_거시'!$J2047,-'설정'!$B$17),'자료_거시'!$J$3:INDEX('자료_거시'!$J$3:$J$4002,$K$8),1))-1,""),"")</f>
        <v/>
      </c>
      <c r="AB2065">
        <f>IF(ISNUMBER(AA2065),'자료_거시'!$J2047,"")</f>
        <v/>
      </c>
      <c r="AC2065">
        <f>IF(ISNUMBER(AB2065),IF(AB2065&gt;$L$8,AA2065,""),"")</f>
        <v/>
      </c>
    </row>
    <row r="2066">
      <c r="S2066">
        <f>IF(ISNUMBER('자료_거시'!$E2048),'자료_거시'!$E2048,S2065)</f>
        <v/>
      </c>
      <c r="T2066">
        <f>IF(AND(ISNUMBER('자료_거시'!$D2048),ISNUMBER('자료_거시'!$E2048)),IFERROR('자료_거시'!$E2048-INDEX($S$21:$S$4020,MATCH(EDATE('자료_거시'!$D2048,-'설정'!$B$17),'자료_거시'!$D$3:INDEX('자료_거시'!$D$3:$D$4002,$K$6),1)),""),"")</f>
        <v/>
      </c>
      <c r="U2066">
        <f>IF(ISNUMBER(T2066),'자료_거시'!$D2048,"")</f>
        <v/>
      </c>
      <c r="V2066">
        <f>IF(ISNUMBER(U2066),IF(U2066&gt;$L$6,T2066,""),"")</f>
        <v/>
      </c>
      <c r="W2066">
        <f>IF(AND(ISNUMBER('자료_거시'!$G2048),ISNUMBER('자료_거시'!$H2048)),'자료_거시'!$H2048,"")</f>
        <v/>
      </c>
      <c r="X2066">
        <f>IF(ISNUMBER(W2066),'자료_거시'!$G2048,"")</f>
        <v/>
      </c>
      <c r="Y2066">
        <f>IF(ISNUMBER(X2066),IF(X2066&gt;$L$7,W2066,""),"")</f>
        <v/>
      </c>
      <c r="Z2066">
        <f>IF(ISNUMBER('자료_거시'!$K2048),'자료_거시'!$K2048,Z2065)</f>
        <v/>
      </c>
      <c r="AA2066">
        <f>IF(AND(ISNUMBER('자료_거시'!$J2048),ISNUMBER('자료_거시'!$K2048)),IFERROR('자료_거시'!$K2048/INDEX($Z$21:$Z$4020,MATCH(EDATE('자료_거시'!$J2048,-'설정'!$B$17),'자료_거시'!$J$3:INDEX('자료_거시'!$J$3:$J$4002,$K$8),1))-1,""),"")</f>
        <v/>
      </c>
      <c r="AB2066">
        <f>IF(ISNUMBER(AA2066),'자료_거시'!$J2048,"")</f>
        <v/>
      </c>
      <c r="AC2066">
        <f>IF(ISNUMBER(AB2066),IF(AB2066&gt;$L$8,AA2066,""),"")</f>
        <v/>
      </c>
    </row>
    <row r="2067">
      <c r="S2067">
        <f>IF(ISNUMBER('자료_거시'!$E2049),'자료_거시'!$E2049,S2066)</f>
        <v/>
      </c>
      <c r="T2067">
        <f>IF(AND(ISNUMBER('자료_거시'!$D2049),ISNUMBER('자료_거시'!$E2049)),IFERROR('자료_거시'!$E2049-INDEX($S$21:$S$4020,MATCH(EDATE('자료_거시'!$D2049,-'설정'!$B$17),'자료_거시'!$D$3:INDEX('자료_거시'!$D$3:$D$4002,$K$6),1)),""),"")</f>
        <v/>
      </c>
      <c r="U2067">
        <f>IF(ISNUMBER(T2067),'자료_거시'!$D2049,"")</f>
        <v/>
      </c>
      <c r="V2067">
        <f>IF(ISNUMBER(U2067),IF(U2067&gt;$L$6,T2067,""),"")</f>
        <v/>
      </c>
      <c r="W2067">
        <f>IF(AND(ISNUMBER('자료_거시'!$G2049),ISNUMBER('자료_거시'!$H2049)),'자료_거시'!$H2049,"")</f>
        <v/>
      </c>
      <c r="X2067">
        <f>IF(ISNUMBER(W2067),'자료_거시'!$G2049,"")</f>
        <v/>
      </c>
      <c r="Y2067">
        <f>IF(ISNUMBER(X2067),IF(X2067&gt;$L$7,W2067,""),"")</f>
        <v/>
      </c>
      <c r="Z2067">
        <f>IF(ISNUMBER('자료_거시'!$K2049),'자료_거시'!$K2049,Z2066)</f>
        <v/>
      </c>
      <c r="AA2067">
        <f>IF(AND(ISNUMBER('자료_거시'!$J2049),ISNUMBER('자료_거시'!$K2049)),IFERROR('자료_거시'!$K2049/INDEX($Z$21:$Z$4020,MATCH(EDATE('자료_거시'!$J2049,-'설정'!$B$17),'자료_거시'!$J$3:INDEX('자료_거시'!$J$3:$J$4002,$K$8),1))-1,""),"")</f>
        <v/>
      </c>
      <c r="AB2067">
        <f>IF(ISNUMBER(AA2067),'자료_거시'!$J2049,"")</f>
        <v/>
      </c>
      <c r="AC2067">
        <f>IF(ISNUMBER(AB2067),IF(AB2067&gt;$L$8,AA2067,""),"")</f>
        <v/>
      </c>
    </row>
    <row r="2068">
      <c r="S2068">
        <f>IF(ISNUMBER('자료_거시'!$E2050),'자료_거시'!$E2050,S2067)</f>
        <v/>
      </c>
      <c r="T2068">
        <f>IF(AND(ISNUMBER('자료_거시'!$D2050),ISNUMBER('자료_거시'!$E2050)),IFERROR('자료_거시'!$E2050-INDEX($S$21:$S$4020,MATCH(EDATE('자료_거시'!$D2050,-'설정'!$B$17),'자료_거시'!$D$3:INDEX('자료_거시'!$D$3:$D$4002,$K$6),1)),""),"")</f>
        <v/>
      </c>
      <c r="U2068">
        <f>IF(ISNUMBER(T2068),'자료_거시'!$D2050,"")</f>
        <v/>
      </c>
      <c r="V2068">
        <f>IF(ISNUMBER(U2068),IF(U2068&gt;$L$6,T2068,""),"")</f>
        <v/>
      </c>
      <c r="W2068">
        <f>IF(AND(ISNUMBER('자료_거시'!$G2050),ISNUMBER('자료_거시'!$H2050)),'자료_거시'!$H2050,"")</f>
        <v/>
      </c>
      <c r="X2068">
        <f>IF(ISNUMBER(W2068),'자료_거시'!$G2050,"")</f>
        <v/>
      </c>
      <c r="Y2068">
        <f>IF(ISNUMBER(X2068),IF(X2068&gt;$L$7,W2068,""),"")</f>
        <v/>
      </c>
      <c r="Z2068">
        <f>IF(ISNUMBER('자료_거시'!$K2050),'자료_거시'!$K2050,Z2067)</f>
        <v/>
      </c>
      <c r="AA2068">
        <f>IF(AND(ISNUMBER('자료_거시'!$J2050),ISNUMBER('자료_거시'!$K2050)),IFERROR('자료_거시'!$K2050/INDEX($Z$21:$Z$4020,MATCH(EDATE('자료_거시'!$J2050,-'설정'!$B$17),'자료_거시'!$J$3:INDEX('자료_거시'!$J$3:$J$4002,$K$8),1))-1,""),"")</f>
        <v/>
      </c>
      <c r="AB2068">
        <f>IF(ISNUMBER(AA2068),'자료_거시'!$J2050,"")</f>
        <v/>
      </c>
      <c r="AC2068">
        <f>IF(ISNUMBER(AB2068),IF(AB2068&gt;$L$8,AA2068,""),"")</f>
        <v/>
      </c>
    </row>
    <row r="2069">
      <c r="S2069">
        <f>IF(ISNUMBER('자료_거시'!$E2051),'자료_거시'!$E2051,S2068)</f>
        <v/>
      </c>
      <c r="T2069">
        <f>IF(AND(ISNUMBER('자료_거시'!$D2051),ISNUMBER('자료_거시'!$E2051)),IFERROR('자료_거시'!$E2051-INDEX($S$21:$S$4020,MATCH(EDATE('자료_거시'!$D2051,-'설정'!$B$17),'자료_거시'!$D$3:INDEX('자료_거시'!$D$3:$D$4002,$K$6),1)),""),"")</f>
        <v/>
      </c>
      <c r="U2069">
        <f>IF(ISNUMBER(T2069),'자료_거시'!$D2051,"")</f>
        <v/>
      </c>
      <c r="V2069">
        <f>IF(ISNUMBER(U2069),IF(U2069&gt;$L$6,T2069,""),"")</f>
        <v/>
      </c>
      <c r="W2069">
        <f>IF(AND(ISNUMBER('자료_거시'!$G2051),ISNUMBER('자료_거시'!$H2051)),'자료_거시'!$H2051,"")</f>
        <v/>
      </c>
      <c r="X2069">
        <f>IF(ISNUMBER(W2069),'자료_거시'!$G2051,"")</f>
        <v/>
      </c>
      <c r="Y2069">
        <f>IF(ISNUMBER(X2069),IF(X2069&gt;$L$7,W2069,""),"")</f>
        <v/>
      </c>
      <c r="Z2069">
        <f>IF(ISNUMBER('자료_거시'!$K2051),'자료_거시'!$K2051,Z2068)</f>
        <v/>
      </c>
      <c r="AA2069">
        <f>IF(AND(ISNUMBER('자료_거시'!$J2051),ISNUMBER('자료_거시'!$K2051)),IFERROR('자료_거시'!$K2051/INDEX($Z$21:$Z$4020,MATCH(EDATE('자료_거시'!$J2051,-'설정'!$B$17),'자료_거시'!$J$3:INDEX('자료_거시'!$J$3:$J$4002,$K$8),1))-1,""),"")</f>
        <v/>
      </c>
      <c r="AB2069">
        <f>IF(ISNUMBER(AA2069),'자료_거시'!$J2051,"")</f>
        <v/>
      </c>
      <c r="AC2069">
        <f>IF(ISNUMBER(AB2069),IF(AB2069&gt;$L$8,AA2069,""),"")</f>
        <v/>
      </c>
    </row>
    <row r="2070">
      <c r="S2070">
        <f>IF(ISNUMBER('자료_거시'!$E2052),'자료_거시'!$E2052,S2069)</f>
        <v/>
      </c>
      <c r="T2070">
        <f>IF(AND(ISNUMBER('자료_거시'!$D2052),ISNUMBER('자료_거시'!$E2052)),IFERROR('자료_거시'!$E2052-INDEX($S$21:$S$4020,MATCH(EDATE('자료_거시'!$D2052,-'설정'!$B$17),'자료_거시'!$D$3:INDEX('자료_거시'!$D$3:$D$4002,$K$6),1)),""),"")</f>
        <v/>
      </c>
      <c r="U2070">
        <f>IF(ISNUMBER(T2070),'자료_거시'!$D2052,"")</f>
        <v/>
      </c>
      <c r="V2070">
        <f>IF(ISNUMBER(U2070),IF(U2070&gt;$L$6,T2070,""),"")</f>
        <v/>
      </c>
      <c r="W2070">
        <f>IF(AND(ISNUMBER('자료_거시'!$G2052),ISNUMBER('자료_거시'!$H2052)),'자료_거시'!$H2052,"")</f>
        <v/>
      </c>
      <c r="X2070">
        <f>IF(ISNUMBER(W2070),'자료_거시'!$G2052,"")</f>
        <v/>
      </c>
      <c r="Y2070">
        <f>IF(ISNUMBER(X2070),IF(X2070&gt;$L$7,W2070,""),"")</f>
        <v/>
      </c>
      <c r="Z2070">
        <f>IF(ISNUMBER('자료_거시'!$K2052),'자료_거시'!$K2052,Z2069)</f>
        <v/>
      </c>
      <c r="AA2070">
        <f>IF(AND(ISNUMBER('자료_거시'!$J2052),ISNUMBER('자료_거시'!$K2052)),IFERROR('자료_거시'!$K2052/INDEX($Z$21:$Z$4020,MATCH(EDATE('자료_거시'!$J2052,-'설정'!$B$17),'자료_거시'!$J$3:INDEX('자료_거시'!$J$3:$J$4002,$K$8),1))-1,""),"")</f>
        <v/>
      </c>
      <c r="AB2070">
        <f>IF(ISNUMBER(AA2070),'자료_거시'!$J2052,"")</f>
        <v/>
      </c>
      <c r="AC2070">
        <f>IF(ISNUMBER(AB2070),IF(AB2070&gt;$L$8,AA2070,""),"")</f>
        <v/>
      </c>
    </row>
    <row r="2071">
      <c r="S2071">
        <f>IF(ISNUMBER('자료_거시'!$E2053),'자료_거시'!$E2053,S2070)</f>
        <v/>
      </c>
      <c r="T2071">
        <f>IF(AND(ISNUMBER('자료_거시'!$D2053),ISNUMBER('자료_거시'!$E2053)),IFERROR('자료_거시'!$E2053-INDEX($S$21:$S$4020,MATCH(EDATE('자료_거시'!$D2053,-'설정'!$B$17),'자료_거시'!$D$3:INDEX('자료_거시'!$D$3:$D$4002,$K$6),1)),""),"")</f>
        <v/>
      </c>
      <c r="U2071">
        <f>IF(ISNUMBER(T2071),'자료_거시'!$D2053,"")</f>
        <v/>
      </c>
      <c r="V2071">
        <f>IF(ISNUMBER(U2071),IF(U2071&gt;$L$6,T2071,""),"")</f>
        <v/>
      </c>
      <c r="W2071">
        <f>IF(AND(ISNUMBER('자료_거시'!$G2053),ISNUMBER('자료_거시'!$H2053)),'자료_거시'!$H2053,"")</f>
        <v/>
      </c>
      <c r="X2071">
        <f>IF(ISNUMBER(W2071),'자료_거시'!$G2053,"")</f>
        <v/>
      </c>
      <c r="Y2071">
        <f>IF(ISNUMBER(X2071),IF(X2071&gt;$L$7,W2071,""),"")</f>
        <v/>
      </c>
      <c r="Z2071">
        <f>IF(ISNUMBER('자료_거시'!$K2053),'자료_거시'!$K2053,Z2070)</f>
        <v/>
      </c>
      <c r="AA2071">
        <f>IF(AND(ISNUMBER('자료_거시'!$J2053),ISNUMBER('자료_거시'!$K2053)),IFERROR('자료_거시'!$K2053/INDEX($Z$21:$Z$4020,MATCH(EDATE('자료_거시'!$J2053,-'설정'!$B$17),'자료_거시'!$J$3:INDEX('자료_거시'!$J$3:$J$4002,$K$8),1))-1,""),"")</f>
        <v/>
      </c>
      <c r="AB2071">
        <f>IF(ISNUMBER(AA2071),'자료_거시'!$J2053,"")</f>
        <v/>
      </c>
      <c r="AC2071">
        <f>IF(ISNUMBER(AB2071),IF(AB2071&gt;$L$8,AA2071,""),"")</f>
        <v/>
      </c>
    </row>
    <row r="2072">
      <c r="S2072">
        <f>IF(ISNUMBER('자료_거시'!$E2054),'자료_거시'!$E2054,S2071)</f>
        <v/>
      </c>
      <c r="T2072">
        <f>IF(AND(ISNUMBER('자료_거시'!$D2054),ISNUMBER('자료_거시'!$E2054)),IFERROR('자료_거시'!$E2054-INDEX($S$21:$S$4020,MATCH(EDATE('자료_거시'!$D2054,-'설정'!$B$17),'자료_거시'!$D$3:INDEX('자료_거시'!$D$3:$D$4002,$K$6),1)),""),"")</f>
        <v/>
      </c>
      <c r="U2072">
        <f>IF(ISNUMBER(T2072),'자료_거시'!$D2054,"")</f>
        <v/>
      </c>
      <c r="V2072">
        <f>IF(ISNUMBER(U2072),IF(U2072&gt;$L$6,T2072,""),"")</f>
        <v/>
      </c>
      <c r="W2072">
        <f>IF(AND(ISNUMBER('자료_거시'!$G2054),ISNUMBER('자료_거시'!$H2054)),'자료_거시'!$H2054,"")</f>
        <v/>
      </c>
      <c r="X2072">
        <f>IF(ISNUMBER(W2072),'자료_거시'!$G2054,"")</f>
        <v/>
      </c>
      <c r="Y2072">
        <f>IF(ISNUMBER(X2072),IF(X2072&gt;$L$7,W2072,""),"")</f>
        <v/>
      </c>
      <c r="Z2072">
        <f>IF(ISNUMBER('자료_거시'!$K2054),'자료_거시'!$K2054,Z2071)</f>
        <v/>
      </c>
      <c r="AA2072">
        <f>IF(AND(ISNUMBER('자료_거시'!$J2054),ISNUMBER('자료_거시'!$K2054)),IFERROR('자료_거시'!$K2054/INDEX($Z$21:$Z$4020,MATCH(EDATE('자료_거시'!$J2054,-'설정'!$B$17),'자료_거시'!$J$3:INDEX('자료_거시'!$J$3:$J$4002,$K$8),1))-1,""),"")</f>
        <v/>
      </c>
      <c r="AB2072">
        <f>IF(ISNUMBER(AA2072),'자료_거시'!$J2054,"")</f>
        <v/>
      </c>
      <c r="AC2072">
        <f>IF(ISNUMBER(AB2072),IF(AB2072&gt;$L$8,AA2072,""),"")</f>
        <v/>
      </c>
    </row>
    <row r="2073">
      <c r="S2073">
        <f>IF(ISNUMBER('자료_거시'!$E2055),'자료_거시'!$E2055,S2072)</f>
        <v/>
      </c>
      <c r="T2073">
        <f>IF(AND(ISNUMBER('자료_거시'!$D2055),ISNUMBER('자료_거시'!$E2055)),IFERROR('자료_거시'!$E2055-INDEX($S$21:$S$4020,MATCH(EDATE('자료_거시'!$D2055,-'설정'!$B$17),'자료_거시'!$D$3:INDEX('자료_거시'!$D$3:$D$4002,$K$6),1)),""),"")</f>
        <v/>
      </c>
      <c r="U2073">
        <f>IF(ISNUMBER(T2073),'자료_거시'!$D2055,"")</f>
        <v/>
      </c>
      <c r="V2073">
        <f>IF(ISNUMBER(U2073),IF(U2073&gt;$L$6,T2073,""),"")</f>
        <v/>
      </c>
      <c r="W2073">
        <f>IF(AND(ISNUMBER('자료_거시'!$G2055),ISNUMBER('자료_거시'!$H2055)),'자료_거시'!$H2055,"")</f>
        <v/>
      </c>
      <c r="X2073">
        <f>IF(ISNUMBER(W2073),'자료_거시'!$G2055,"")</f>
        <v/>
      </c>
      <c r="Y2073">
        <f>IF(ISNUMBER(X2073),IF(X2073&gt;$L$7,W2073,""),"")</f>
        <v/>
      </c>
      <c r="Z2073">
        <f>IF(ISNUMBER('자료_거시'!$K2055),'자료_거시'!$K2055,Z2072)</f>
        <v/>
      </c>
      <c r="AA2073">
        <f>IF(AND(ISNUMBER('자료_거시'!$J2055),ISNUMBER('자료_거시'!$K2055)),IFERROR('자료_거시'!$K2055/INDEX($Z$21:$Z$4020,MATCH(EDATE('자료_거시'!$J2055,-'설정'!$B$17),'자료_거시'!$J$3:INDEX('자료_거시'!$J$3:$J$4002,$K$8),1))-1,""),"")</f>
        <v/>
      </c>
      <c r="AB2073">
        <f>IF(ISNUMBER(AA2073),'자료_거시'!$J2055,"")</f>
        <v/>
      </c>
      <c r="AC2073">
        <f>IF(ISNUMBER(AB2073),IF(AB2073&gt;$L$8,AA2073,""),"")</f>
        <v/>
      </c>
    </row>
    <row r="2074">
      <c r="S2074">
        <f>IF(ISNUMBER('자료_거시'!$E2056),'자료_거시'!$E2056,S2073)</f>
        <v/>
      </c>
      <c r="T2074">
        <f>IF(AND(ISNUMBER('자료_거시'!$D2056),ISNUMBER('자료_거시'!$E2056)),IFERROR('자료_거시'!$E2056-INDEX($S$21:$S$4020,MATCH(EDATE('자료_거시'!$D2056,-'설정'!$B$17),'자료_거시'!$D$3:INDEX('자료_거시'!$D$3:$D$4002,$K$6),1)),""),"")</f>
        <v/>
      </c>
      <c r="U2074">
        <f>IF(ISNUMBER(T2074),'자료_거시'!$D2056,"")</f>
        <v/>
      </c>
      <c r="V2074">
        <f>IF(ISNUMBER(U2074),IF(U2074&gt;$L$6,T2074,""),"")</f>
        <v/>
      </c>
      <c r="W2074">
        <f>IF(AND(ISNUMBER('자료_거시'!$G2056),ISNUMBER('자료_거시'!$H2056)),'자료_거시'!$H2056,"")</f>
        <v/>
      </c>
      <c r="X2074">
        <f>IF(ISNUMBER(W2074),'자료_거시'!$G2056,"")</f>
        <v/>
      </c>
      <c r="Y2074">
        <f>IF(ISNUMBER(X2074),IF(X2074&gt;$L$7,W2074,""),"")</f>
        <v/>
      </c>
      <c r="Z2074">
        <f>IF(ISNUMBER('자료_거시'!$K2056),'자료_거시'!$K2056,Z2073)</f>
        <v/>
      </c>
      <c r="AA2074">
        <f>IF(AND(ISNUMBER('자료_거시'!$J2056),ISNUMBER('자료_거시'!$K2056)),IFERROR('자료_거시'!$K2056/INDEX($Z$21:$Z$4020,MATCH(EDATE('자료_거시'!$J2056,-'설정'!$B$17),'자료_거시'!$J$3:INDEX('자료_거시'!$J$3:$J$4002,$K$8),1))-1,""),"")</f>
        <v/>
      </c>
      <c r="AB2074">
        <f>IF(ISNUMBER(AA2074),'자료_거시'!$J2056,"")</f>
        <v/>
      </c>
      <c r="AC2074">
        <f>IF(ISNUMBER(AB2074),IF(AB2074&gt;$L$8,AA2074,""),"")</f>
        <v/>
      </c>
    </row>
    <row r="2075">
      <c r="S2075">
        <f>IF(ISNUMBER('자료_거시'!$E2057),'자료_거시'!$E2057,S2074)</f>
        <v/>
      </c>
      <c r="T2075">
        <f>IF(AND(ISNUMBER('자료_거시'!$D2057),ISNUMBER('자료_거시'!$E2057)),IFERROR('자료_거시'!$E2057-INDEX($S$21:$S$4020,MATCH(EDATE('자료_거시'!$D2057,-'설정'!$B$17),'자료_거시'!$D$3:INDEX('자료_거시'!$D$3:$D$4002,$K$6),1)),""),"")</f>
        <v/>
      </c>
      <c r="U2075">
        <f>IF(ISNUMBER(T2075),'자료_거시'!$D2057,"")</f>
        <v/>
      </c>
      <c r="V2075">
        <f>IF(ISNUMBER(U2075),IF(U2075&gt;$L$6,T2075,""),"")</f>
        <v/>
      </c>
      <c r="W2075">
        <f>IF(AND(ISNUMBER('자료_거시'!$G2057),ISNUMBER('자료_거시'!$H2057)),'자료_거시'!$H2057,"")</f>
        <v/>
      </c>
      <c r="X2075">
        <f>IF(ISNUMBER(W2075),'자료_거시'!$G2057,"")</f>
        <v/>
      </c>
      <c r="Y2075">
        <f>IF(ISNUMBER(X2075),IF(X2075&gt;$L$7,W2075,""),"")</f>
        <v/>
      </c>
      <c r="Z2075">
        <f>IF(ISNUMBER('자료_거시'!$K2057),'자료_거시'!$K2057,Z2074)</f>
        <v/>
      </c>
      <c r="AA2075">
        <f>IF(AND(ISNUMBER('자료_거시'!$J2057),ISNUMBER('자료_거시'!$K2057)),IFERROR('자료_거시'!$K2057/INDEX($Z$21:$Z$4020,MATCH(EDATE('자료_거시'!$J2057,-'설정'!$B$17),'자료_거시'!$J$3:INDEX('자료_거시'!$J$3:$J$4002,$K$8),1))-1,""),"")</f>
        <v/>
      </c>
      <c r="AB2075">
        <f>IF(ISNUMBER(AA2075),'자료_거시'!$J2057,"")</f>
        <v/>
      </c>
      <c r="AC2075">
        <f>IF(ISNUMBER(AB2075),IF(AB2075&gt;$L$8,AA2075,""),"")</f>
        <v/>
      </c>
    </row>
    <row r="2076">
      <c r="S2076">
        <f>IF(ISNUMBER('자료_거시'!$E2058),'자료_거시'!$E2058,S2075)</f>
        <v/>
      </c>
      <c r="T2076">
        <f>IF(AND(ISNUMBER('자료_거시'!$D2058),ISNUMBER('자료_거시'!$E2058)),IFERROR('자료_거시'!$E2058-INDEX($S$21:$S$4020,MATCH(EDATE('자료_거시'!$D2058,-'설정'!$B$17),'자료_거시'!$D$3:INDEX('자료_거시'!$D$3:$D$4002,$K$6),1)),""),"")</f>
        <v/>
      </c>
      <c r="U2076">
        <f>IF(ISNUMBER(T2076),'자료_거시'!$D2058,"")</f>
        <v/>
      </c>
      <c r="V2076">
        <f>IF(ISNUMBER(U2076),IF(U2076&gt;$L$6,T2076,""),"")</f>
        <v/>
      </c>
      <c r="W2076">
        <f>IF(AND(ISNUMBER('자료_거시'!$G2058),ISNUMBER('자료_거시'!$H2058)),'자료_거시'!$H2058,"")</f>
        <v/>
      </c>
      <c r="X2076">
        <f>IF(ISNUMBER(W2076),'자료_거시'!$G2058,"")</f>
        <v/>
      </c>
      <c r="Y2076">
        <f>IF(ISNUMBER(X2076),IF(X2076&gt;$L$7,W2076,""),"")</f>
        <v/>
      </c>
      <c r="Z2076">
        <f>IF(ISNUMBER('자료_거시'!$K2058),'자료_거시'!$K2058,Z2075)</f>
        <v/>
      </c>
      <c r="AA2076">
        <f>IF(AND(ISNUMBER('자료_거시'!$J2058),ISNUMBER('자료_거시'!$K2058)),IFERROR('자료_거시'!$K2058/INDEX($Z$21:$Z$4020,MATCH(EDATE('자료_거시'!$J2058,-'설정'!$B$17),'자료_거시'!$J$3:INDEX('자료_거시'!$J$3:$J$4002,$K$8),1))-1,""),"")</f>
        <v/>
      </c>
      <c r="AB2076">
        <f>IF(ISNUMBER(AA2076),'자료_거시'!$J2058,"")</f>
        <v/>
      </c>
      <c r="AC2076">
        <f>IF(ISNUMBER(AB2076),IF(AB2076&gt;$L$8,AA2076,""),"")</f>
        <v/>
      </c>
    </row>
    <row r="2077">
      <c r="S2077">
        <f>IF(ISNUMBER('자료_거시'!$E2059),'자료_거시'!$E2059,S2076)</f>
        <v/>
      </c>
      <c r="T2077">
        <f>IF(AND(ISNUMBER('자료_거시'!$D2059),ISNUMBER('자료_거시'!$E2059)),IFERROR('자료_거시'!$E2059-INDEX($S$21:$S$4020,MATCH(EDATE('자료_거시'!$D2059,-'설정'!$B$17),'자료_거시'!$D$3:INDEX('자료_거시'!$D$3:$D$4002,$K$6),1)),""),"")</f>
        <v/>
      </c>
      <c r="U2077">
        <f>IF(ISNUMBER(T2077),'자료_거시'!$D2059,"")</f>
        <v/>
      </c>
      <c r="V2077">
        <f>IF(ISNUMBER(U2077),IF(U2077&gt;$L$6,T2077,""),"")</f>
        <v/>
      </c>
      <c r="W2077">
        <f>IF(AND(ISNUMBER('자료_거시'!$G2059),ISNUMBER('자료_거시'!$H2059)),'자료_거시'!$H2059,"")</f>
        <v/>
      </c>
      <c r="X2077">
        <f>IF(ISNUMBER(W2077),'자료_거시'!$G2059,"")</f>
        <v/>
      </c>
      <c r="Y2077">
        <f>IF(ISNUMBER(X2077),IF(X2077&gt;$L$7,W2077,""),"")</f>
        <v/>
      </c>
      <c r="Z2077">
        <f>IF(ISNUMBER('자료_거시'!$K2059),'자료_거시'!$K2059,Z2076)</f>
        <v/>
      </c>
      <c r="AA2077">
        <f>IF(AND(ISNUMBER('자료_거시'!$J2059),ISNUMBER('자료_거시'!$K2059)),IFERROR('자료_거시'!$K2059/INDEX($Z$21:$Z$4020,MATCH(EDATE('자료_거시'!$J2059,-'설정'!$B$17),'자료_거시'!$J$3:INDEX('자료_거시'!$J$3:$J$4002,$K$8),1))-1,""),"")</f>
        <v/>
      </c>
      <c r="AB2077">
        <f>IF(ISNUMBER(AA2077),'자료_거시'!$J2059,"")</f>
        <v/>
      </c>
      <c r="AC2077">
        <f>IF(ISNUMBER(AB2077),IF(AB2077&gt;$L$8,AA2077,""),"")</f>
        <v/>
      </c>
    </row>
    <row r="2078">
      <c r="S2078">
        <f>IF(ISNUMBER('자료_거시'!$E2060),'자료_거시'!$E2060,S2077)</f>
        <v/>
      </c>
      <c r="T2078">
        <f>IF(AND(ISNUMBER('자료_거시'!$D2060),ISNUMBER('자료_거시'!$E2060)),IFERROR('자료_거시'!$E2060-INDEX($S$21:$S$4020,MATCH(EDATE('자료_거시'!$D2060,-'설정'!$B$17),'자료_거시'!$D$3:INDEX('자료_거시'!$D$3:$D$4002,$K$6),1)),""),"")</f>
        <v/>
      </c>
      <c r="U2078">
        <f>IF(ISNUMBER(T2078),'자료_거시'!$D2060,"")</f>
        <v/>
      </c>
      <c r="V2078">
        <f>IF(ISNUMBER(U2078),IF(U2078&gt;$L$6,T2078,""),"")</f>
        <v/>
      </c>
      <c r="W2078">
        <f>IF(AND(ISNUMBER('자료_거시'!$G2060),ISNUMBER('자료_거시'!$H2060)),'자료_거시'!$H2060,"")</f>
        <v/>
      </c>
      <c r="X2078">
        <f>IF(ISNUMBER(W2078),'자료_거시'!$G2060,"")</f>
        <v/>
      </c>
      <c r="Y2078">
        <f>IF(ISNUMBER(X2078),IF(X2078&gt;$L$7,W2078,""),"")</f>
        <v/>
      </c>
      <c r="Z2078">
        <f>IF(ISNUMBER('자료_거시'!$K2060),'자료_거시'!$K2060,Z2077)</f>
        <v/>
      </c>
      <c r="AA2078">
        <f>IF(AND(ISNUMBER('자료_거시'!$J2060),ISNUMBER('자료_거시'!$K2060)),IFERROR('자료_거시'!$K2060/INDEX($Z$21:$Z$4020,MATCH(EDATE('자료_거시'!$J2060,-'설정'!$B$17),'자료_거시'!$J$3:INDEX('자료_거시'!$J$3:$J$4002,$K$8),1))-1,""),"")</f>
        <v/>
      </c>
      <c r="AB2078">
        <f>IF(ISNUMBER(AA2078),'자료_거시'!$J2060,"")</f>
        <v/>
      </c>
      <c r="AC2078">
        <f>IF(ISNUMBER(AB2078),IF(AB2078&gt;$L$8,AA2078,""),"")</f>
        <v/>
      </c>
    </row>
    <row r="2079">
      <c r="S2079">
        <f>IF(ISNUMBER('자료_거시'!$E2061),'자료_거시'!$E2061,S2078)</f>
        <v/>
      </c>
      <c r="T2079">
        <f>IF(AND(ISNUMBER('자료_거시'!$D2061),ISNUMBER('자료_거시'!$E2061)),IFERROR('자료_거시'!$E2061-INDEX($S$21:$S$4020,MATCH(EDATE('자료_거시'!$D2061,-'설정'!$B$17),'자료_거시'!$D$3:INDEX('자료_거시'!$D$3:$D$4002,$K$6),1)),""),"")</f>
        <v/>
      </c>
      <c r="U2079">
        <f>IF(ISNUMBER(T2079),'자료_거시'!$D2061,"")</f>
        <v/>
      </c>
      <c r="V2079">
        <f>IF(ISNUMBER(U2079),IF(U2079&gt;$L$6,T2079,""),"")</f>
        <v/>
      </c>
      <c r="W2079">
        <f>IF(AND(ISNUMBER('자료_거시'!$G2061),ISNUMBER('자료_거시'!$H2061)),'자료_거시'!$H2061,"")</f>
        <v/>
      </c>
      <c r="X2079">
        <f>IF(ISNUMBER(W2079),'자료_거시'!$G2061,"")</f>
        <v/>
      </c>
      <c r="Y2079">
        <f>IF(ISNUMBER(X2079),IF(X2079&gt;$L$7,W2079,""),"")</f>
        <v/>
      </c>
      <c r="Z2079">
        <f>IF(ISNUMBER('자료_거시'!$K2061),'자료_거시'!$K2061,Z2078)</f>
        <v/>
      </c>
      <c r="AA2079">
        <f>IF(AND(ISNUMBER('자료_거시'!$J2061),ISNUMBER('자료_거시'!$K2061)),IFERROR('자료_거시'!$K2061/INDEX($Z$21:$Z$4020,MATCH(EDATE('자료_거시'!$J2061,-'설정'!$B$17),'자료_거시'!$J$3:INDEX('자료_거시'!$J$3:$J$4002,$K$8),1))-1,""),"")</f>
        <v/>
      </c>
      <c r="AB2079">
        <f>IF(ISNUMBER(AA2079),'자료_거시'!$J2061,"")</f>
        <v/>
      </c>
      <c r="AC2079">
        <f>IF(ISNUMBER(AB2079),IF(AB2079&gt;$L$8,AA2079,""),"")</f>
        <v/>
      </c>
    </row>
    <row r="2080">
      <c r="S2080">
        <f>IF(ISNUMBER('자료_거시'!$E2062),'자료_거시'!$E2062,S2079)</f>
        <v/>
      </c>
      <c r="T2080">
        <f>IF(AND(ISNUMBER('자료_거시'!$D2062),ISNUMBER('자료_거시'!$E2062)),IFERROR('자료_거시'!$E2062-INDEX($S$21:$S$4020,MATCH(EDATE('자료_거시'!$D2062,-'설정'!$B$17),'자료_거시'!$D$3:INDEX('자료_거시'!$D$3:$D$4002,$K$6),1)),""),"")</f>
        <v/>
      </c>
      <c r="U2080">
        <f>IF(ISNUMBER(T2080),'자료_거시'!$D2062,"")</f>
        <v/>
      </c>
      <c r="V2080">
        <f>IF(ISNUMBER(U2080),IF(U2080&gt;$L$6,T2080,""),"")</f>
        <v/>
      </c>
      <c r="W2080">
        <f>IF(AND(ISNUMBER('자료_거시'!$G2062),ISNUMBER('자료_거시'!$H2062)),'자료_거시'!$H2062,"")</f>
        <v/>
      </c>
      <c r="X2080">
        <f>IF(ISNUMBER(W2080),'자료_거시'!$G2062,"")</f>
        <v/>
      </c>
      <c r="Y2080">
        <f>IF(ISNUMBER(X2080),IF(X2080&gt;$L$7,W2080,""),"")</f>
        <v/>
      </c>
      <c r="Z2080">
        <f>IF(ISNUMBER('자료_거시'!$K2062),'자료_거시'!$K2062,Z2079)</f>
        <v/>
      </c>
      <c r="AA2080">
        <f>IF(AND(ISNUMBER('자료_거시'!$J2062),ISNUMBER('자료_거시'!$K2062)),IFERROR('자료_거시'!$K2062/INDEX($Z$21:$Z$4020,MATCH(EDATE('자료_거시'!$J2062,-'설정'!$B$17),'자료_거시'!$J$3:INDEX('자료_거시'!$J$3:$J$4002,$K$8),1))-1,""),"")</f>
        <v/>
      </c>
      <c r="AB2080">
        <f>IF(ISNUMBER(AA2080),'자료_거시'!$J2062,"")</f>
        <v/>
      </c>
      <c r="AC2080">
        <f>IF(ISNUMBER(AB2080),IF(AB2080&gt;$L$8,AA2080,""),"")</f>
        <v/>
      </c>
    </row>
    <row r="2081">
      <c r="S2081">
        <f>IF(ISNUMBER('자료_거시'!$E2063),'자료_거시'!$E2063,S2080)</f>
        <v/>
      </c>
      <c r="T2081">
        <f>IF(AND(ISNUMBER('자료_거시'!$D2063),ISNUMBER('자료_거시'!$E2063)),IFERROR('자료_거시'!$E2063-INDEX($S$21:$S$4020,MATCH(EDATE('자료_거시'!$D2063,-'설정'!$B$17),'자료_거시'!$D$3:INDEX('자료_거시'!$D$3:$D$4002,$K$6),1)),""),"")</f>
        <v/>
      </c>
      <c r="U2081">
        <f>IF(ISNUMBER(T2081),'자료_거시'!$D2063,"")</f>
        <v/>
      </c>
      <c r="V2081">
        <f>IF(ISNUMBER(U2081),IF(U2081&gt;$L$6,T2081,""),"")</f>
        <v/>
      </c>
      <c r="W2081">
        <f>IF(AND(ISNUMBER('자료_거시'!$G2063),ISNUMBER('자료_거시'!$H2063)),'자료_거시'!$H2063,"")</f>
        <v/>
      </c>
      <c r="X2081">
        <f>IF(ISNUMBER(W2081),'자료_거시'!$G2063,"")</f>
        <v/>
      </c>
      <c r="Y2081">
        <f>IF(ISNUMBER(X2081),IF(X2081&gt;$L$7,W2081,""),"")</f>
        <v/>
      </c>
      <c r="Z2081">
        <f>IF(ISNUMBER('자료_거시'!$K2063),'자료_거시'!$K2063,Z2080)</f>
        <v/>
      </c>
      <c r="AA2081">
        <f>IF(AND(ISNUMBER('자료_거시'!$J2063),ISNUMBER('자료_거시'!$K2063)),IFERROR('자료_거시'!$K2063/INDEX($Z$21:$Z$4020,MATCH(EDATE('자료_거시'!$J2063,-'설정'!$B$17),'자료_거시'!$J$3:INDEX('자료_거시'!$J$3:$J$4002,$K$8),1))-1,""),"")</f>
        <v/>
      </c>
      <c r="AB2081">
        <f>IF(ISNUMBER(AA2081),'자료_거시'!$J2063,"")</f>
        <v/>
      </c>
      <c r="AC2081">
        <f>IF(ISNUMBER(AB2081),IF(AB2081&gt;$L$8,AA2081,""),"")</f>
        <v/>
      </c>
    </row>
    <row r="2082">
      <c r="S2082">
        <f>IF(ISNUMBER('자료_거시'!$E2064),'자료_거시'!$E2064,S2081)</f>
        <v/>
      </c>
      <c r="T2082">
        <f>IF(AND(ISNUMBER('자료_거시'!$D2064),ISNUMBER('자료_거시'!$E2064)),IFERROR('자료_거시'!$E2064-INDEX($S$21:$S$4020,MATCH(EDATE('자료_거시'!$D2064,-'설정'!$B$17),'자료_거시'!$D$3:INDEX('자료_거시'!$D$3:$D$4002,$K$6),1)),""),"")</f>
        <v/>
      </c>
      <c r="U2082">
        <f>IF(ISNUMBER(T2082),'자료_거시'!$D2064,"")</f>
        <v/>
      </c>
      <c r="V2082">
        <f>IF(ISNUMBER(U2082),IF(U2082&gt;$L$6,T2082,""),"")</f>
        <v/>
      </c>
      <c r="W2082">
        <f>IF(AND(ISNUMBER('자료_거시'!$G2064),ISNUMBER('자료_거시'!$H2064)),'자료_거시'!$H2064,"")</f>
        <v/>
      </c>
      <c r="X2082">
        <f>IF(ISNUMBER(W2082),'자료_거시'!$G2064,"")</f>
        <v/>
      </c>
      <c r="Y2082">
        <f>IF(ISNUMBER(X2082),IF(X2082&gt;$L$7,W2082,""),"")</f>
        <v/>
      </c>
      <c r="Z2082">
        <f>IF(ISNUMBER('자료_거시'!$K2064),'자료_거시'!$K2064,Z2081)</f>
        <v/>
      </c>
      <c r="AA2082">
        <f>IF(AND(ISNUMBER('자료_거시'!$J2064),ISNUMBER('자료_거시'!$K2064)),IFERROR('자료_거시'!$K2064/INDEX($Z$21:$Z$4020,MATCH(EDATE('자료_거시'!$J2064,-'설정'!$B$17),'자료_거시'!$J$3:INDEX('자료_거시'!$J$3:$J$4002,$K$8),1))-1,""),"")</f>
        <v/>
      </c>
      <c r="AB2082">
        <f>IF(ISNUMBER(AA2082),'자료_거시'!$J2064,"")</f>
        <v/>
      </c>
      <c r="AC2082">
        <f>IF(ISNUMBER(AB2082),IF(AB2082&gt;$L$8,AA2082,""),"")</f>
        <v/>
      </c>
    </row>
    <row r="2083">
      <c r="S2083">
        <f>IF(ISNUMBER('자료_거시'!$E2065),'자료_거시'!$E2065,S2082)</f>
        <v/>
      </c>
      <c r="T2083">
        <f>IF(AND(ISNUMBER('자료_거시'!$D2065),ISNUMBER('자료_거시'!$E2065)),IFERROR('자료_거시'!$E2065-INDEX($S$21:$S$4020,MATCH(EDATE('자료_거시'!$D2065,-'설정'!$B$17),'자료_거시'!$D$3:INDEX('자료_거시'!$D$3:$D$4002,$K$6),1)),""),"")</f>
        <v/>
      </c>
      <c r="U2083">
        <f>IF(ISNUMBER(T2083),'자료_거시'!$D2065,"")</f>
        <v/>
      </c>
      <c r="V2083">
        <f>IF(ISNUMBER(U2083),IF(U2083&gt;$L$6,T2083,""),"")</f>
        <v/>
      </c>
      <c r="W2083">
        <f>IF(AND(ISNUMBER('자료_거시'!$G2065),ISNUMBER('자료_거시'!$H2065)),'자료_거시'!$H2065,"")</f>
        <v/>
      </c>
      <c r="X2083">
        <f>IF(ISNUMBER(W2083),'자료_거시'!$G2065,"")</f>
        <v/>
      </c>
      <c r="Y2083">
        <f>IF(ISNUMBER(X2083),IF(X2083&gt;$L$7,W2083,""),"")</f>
        <v/>
      </c>
      <c r="Z2083">
        <f>IF(ISNUMBER('자료_거시'!$K2065),'자료_거시'!$K2065,Z2082)</f>
        <v/>
      </c>
      <c r="AA2083">
        <f>IF(AND(ISNUMBER('자료_거시'!$J2065),ISNUMBER('자료_거시'!$K2065)),IFERROR('자료_거시'!$K2065/INDEX($Z$21:$Z$4020,MATCH(EDATE('자료_거시'!$J2065,-'설정'!$B$17),'자료_거시'!$J$3:INDEX('자료_거시'!$J$3:$J$4002,$K$8),1))-1,""),"")</f>
        <v/>
      </c>
      <c r="AB2083">
        <f>IF(ISNUMBER(AA2083),'자료_거시'!$J2065,"")</f>
        <v/>
      </c>
      <c r="AC2083">
        <f>IF(ISNUMBER(AB2083),IF(AB2083&gt;$L$8,AA2083,""),"")</f>
        <v/>
      </c>
    </row>
    <row r="2084">
      <c r="S2084">
        <f>IF(ISNUMBER('자료_거시'!$E2066),'자료_거시'!$E2066,S2083)</f>
        <v/>
      </c>
      <c r="T2084">
        <f>IF(AND(ISNUMBER('자료_거시'!$D2066),ISNUMBER('자료_거시'!$E2066)),IFERROR('자료_거시'!$E2066-INDEX($S$21:$S$4020,MATCH(EDATE('자료_거시'!$D2066,-'설정'!$B$17),'자료_거시'!$D$3:INDEX('자료_거시'!$D$3:$D$4002,$K$6),1)),""),"")</f>
        <v/>
      </c>
      <c r="U2084">
        <f>IF(ISNUMBER(T2084),'자료_거시'!$D2066,"")</f>
        <v/>
      </c>
      <c r="V2084">
        <f>IF(ISNUMBER(U2084),IF(U2084&gt;$L$6,T2084,""),"")</f>
        <v/>
      </c>
      <c r="W2084">
        <f>IF(AND(ISNUMBER('자료_거시'!$G2066),ISNUMBER('자료_거시'!$H2066)),'자료_거시'!$H2066,"")</f>
        <v/>
      </c>
      <c r="X2084">
        <f>IF(ISNUMBER(W2084),'자료_거시'!$G2066,"")</f>
        <v/>
      </c>
      <c r="Y2084">
        <f>IF(ISNUMBER(X2084),IF(X2084&gt;$L$7,W2084,""),"")</f>
        <v/>
      </c>
      <c r="Z2084">
        <f>IF(ISNUMBER('자료_거시'!$K2066),'자료_거시'!$K2066,Z2083)</f>
        <v/>
      </c>
      <c r="AA2084">
        <f>IF(AND(ISNUMBER('자료_거시'!$J2066),ISNUMBER('자료_거시'!$K2066)),IFERROR('자료_거시'!$K2066/INDEX($Z$21:$Z$4020,MATCH(EDATE('자료_거시'!$J2066,-'설정'!$B$17),'자료_거시'!$J$3:INDEX('자료_거시'!$J$3:$J$4002,$K$8),1))-1,""),"")</f>
        <v/>
      </c>
      <c r="AB2084">
        <f>IF(ISNUMBER(AA2084),'자료_거시'!$J2066,"")</f>
        <v/>
      </c>
      <c r="AC2084">
        <f>IF(ISNUMBER(AB2084),IF(AB2084&gt;$L$8,AA2084,""),"")</f>
        <v/>
      </c>
    </row>
    <row r="2085">
      <c r="S2085">
        <f>IF(ISNUMBER('자료_거시'!$E2067),'자료_거시'!$E2067,S2084)</f>
        <v/>
      </c>
      <c r="T2085">
        <f>IF(AND(ISNUMBER('자료_거시'!$D2067),ISNUMBER('자료_거시'!$E2067)),IFERROR('자료_거시'!$E2067-INDEX($S$21:$S$4020,MATCH(EDATE('자료_거시'!$D2067,-'설정'!$B$17),'자료_거시'!$D$3:INDEX('자료_거시'!$D$3:$D$4002,$K$6),1)),""),"")</f>
        <v/>
      </c>
      <c r="U2085">
        <f>IF(ISNUMBER(T2085),'자료_거시'!$D2067,"")</f>
        <v/>
      </c>
      <c r="V2085">
        <f>IF(ISNUMBER(U2085),IF(U2085&gt;$L$6,T2085,""),"")</f>
        <v/>
      </c>
      <c r="W2085">
        <f>IF(AND(ISNUMBER('자료_거시'!$G2067),ISNUMBER('자료_거시'!$H2067)),'자료_거시'!$H2067,"")</f>
        <v/>
      </c>
      <c r="X2085">
        <f>IF(ISNUMBER(W2085),'자료_거시'!$G2067,"")</f>
        <v/>
      </c>
      <c r="Y2085">
        <f>IF(ISNUMBER(X2085),IF(X2085&gt;$L$7,W2085,""),"")</f>
        <v/>
      </c>
      <c r="Z2085">
        <f>IF(ISNUMBER('자료_거시'!$K2067),'자료_거시'!$K2067,Z2084)</f>
        <v/>
      </c>
      <c r="AA2085">
        <f>IF(AND(ISNUMBER('자료_거시'!$J2067),ISNUMBER('자료_거시'!$K2067)),IFERROR('자료_거시'!$K2067/INDEX($Z$21:$Z$4020,MATCH(EDATE('자료_거시'!$J2067,-'설정'!$B$17),'자료_거시'!$J$3:INDEX('자료_거시'!$J$3:$J$4002,$K$8),1))-1,""),"")</f>
        <v/>
      </c>
      <c r="AB2085">
        <f>IF(ISNUMBER(AA2085),'자료_거시'!$J2067,"")</f>
        <v/>
      </c>
      <c r="AC2085">
        <f>IF(ISNUMBER(AB2085),IF(AB2085&gt;$L$8,AA2085,""),"")</f>
        <v/>
      </c>
    </row>
    <row r="2086">
      <c r="S2086">
        <f>IF(ISNUMBER('자료_거시'!$E2068),'자료_거시'!$E2068,S2085)</f>
        <v/>
      </c>
      <c r="T2086">
        <f>IF(AND(ISNUMBER('자료_거시'!$D2068),ISNUMBER('자료_거시'!$E2068)),IFERROR('자료_거시'!$E2068-INDEX($S$21:$S$4020,MATCH(EDATE('자료_거시'!$D2068,-'설정'!$B$17),'자료_거시'!$D$3:INDEX('자료_거시'!$D$3:$D$4002,$K$6),1)),""),"")</f>
        <v/>
      </c>
      <c r="U2086">
        <f>IF(ISNUMBER(T2086),'자료_거시'!$D2068,"")</f>
        <v/>
      </c>
      <c r="V2086">
        <f>IF(ISNUMBER(U2086),IF(U2086&gt;$L$6,T2086,""),"")</f>
        <v/>
      </c>
      <c r="W2086">
        <f>IF(AND(ISNUMBER('자료_거시'!$G2068),ISNUMBER('자료_거시'!$H2068)),'자료_거시'!$H2068,"")</f>
        <v/>
      </c>
      <c r="X2086">
        <f>IF(ISNUMBER(W2086),'자료_거시'!$G2068,"")</f>
        <v/>
      </c>
      <c r="Y2086">
        <f>IF(ISNUMBER(X2086),IF(X2086&gt;$L$7,W2086,""),"")</f>
        <v/>
      </c>
      <c r="Z2086">
        <f>IF(ISNUMBER('자료_거시'!$K2068),'자료_거시'!$K2068,Z2085)</f>
        <v/>
      </c>
      <c r="AA2086">
        <f>IF(AND(ISNUMBER('자료_거시'!$J2068),ISNUMBER('자료_거시'!$K2068)),IFERROR('자료_거시'!$K2068/INDEX($Z$21:$Z$4020,MATCH(EDATE('자료_거시'!$J2068,-'설정'!$B$17),'자료_거시'!$J$3:INDEX('자료_거시'!$J$3:$J$4002,$K$8),1))-1,""),"")</f>
        <v/>
      </c>
      <c r="AB2086">
        <f>IF(ISNUMBER(AA2086),'자료_거시'!$J2068,"")</f>
        <v/>
      </c>
      <c r="AC2086">
        <f>IF(ISNUMBER(AB2086),IF(AB2086&gt;$L$8,AA2086,""),"")</f>
        <v/>
      </c>
    </row>
    <row r="2087">
      <c r="S2087">
        <f>IF(ISNUMBER('자료_거시'!$E2069),'자료_거시'!$E2069,S2086)</f>
        <v/>
      </c>
      <c r="T2087">
        <f>IF(AND(ISNUMBER('자료_거시'!$D2069),ISNUMBER('자료_거시'!$E2069)),IFERROR('자료_거시'!$E2069-INDEX($S$21:$S$4020,MATCH(EDATE('자료_거시'!$D2069,-'설정'!$B$17),'자료_거시'!$D$3:INDEX('자료_거시'!$D$3:$D$4002,$K$6),1)),""),"")</f>
        <v/>
      </c>
      <c r="U2087">
        <f>IF(ISNUMBER(T2087),'자료_거시'!$D2069,"")</f>
        <v/>
      </c>
      <c r="V2087">
        <f>IF(ISNUMBER(U2087),IF(U2087&gt;$L$6,T2087,""),"")</f>
        <v/>
      </c>
      <c r="W2087">
        <f>IF(AND(ISNUMBER('자료_거시'!$G2069),ISNUMBER('자료_거시'!$H2069)),'자료_거시'!$H2069,"")</f>
        <v/>
      </c>
      <c r="X2087">
        <f>IF(ISNUMBER(W2087),'자료_거시'!$G2069,"")</f>
        <v/>
      </c>
      <c r="Y2087">
        <f>IF(ISNUMBER(X2087),IF(X2087&gt;$L$7,W2087,""),"")</f>
        <v/>
      </c>
      <c r="Z2087">
        <f>IF(ISNUMBER('자료_거시'!$K2069),'자료_거시'!$K2069,Z2086)</f>
        <v/>
      </c>
      <c r="AA2087">
        <f>IF(AND(ISNUMBER('자료_거시'!$J2069),ISNUMBER('자료_거시'!$K2069)),IFERROR('자료_거시'!$K2069/INDEX($Z$21:$Z$4020,MATCH(EDATE('자료_거시'!$J2069,-'설정'!$B$17),'자료_거시'!$J$3:INDEX('자료_거시'!$J$3:$J$4002,$K$8),1))-1,""),"")</f>
        <v/>
      </c>
      <c r="AB2087">
        <f>IF(ISNUMBER(AA2087),'자료_거시'!$J2069,"")</f>
        <v/>
      </c>
      <c r="AC2087">
        <f>IF(ISNUMBER(AB2087),IF(AB2087&gt;$L$8,AA2087,""),"")</f>
        <v/>
      </c>
    </row>
    <row r="2088">
      <c r="S2088">
        <f>IF(ISNUMBER('자료_거시'!$E2070),'자료_거시'!$E2070,S2087)</f>
        <v/>
      </c>
      <c r="T2088">
        <f>IF(AND(ISNUMBER('자료_거시'!$D2070),ISNUMBER('자료_거시'!$E2070)),IFERROR('자료_거시'!$E2070-INDEX($S$21:$S$4020,MATCH(EDATE('자료_거시'!$D2070,-'설정'!$B$17),'자료_거시'!$D$3:INDEX('자료_거시'!$D$3:$D$4002,$K$6),1)),""),"")</f>
        <v/>
      </c>
      <c r="U2088">
        <f>IF(ISNUMBER(T2088),'자료_거시'!$D2070,"")</f>
        <v/>
      </c>
      <c r="V2088">
        <f>IF(ISNUMBER(U2088),IF(U2088&gt;$L$6,T2088,""),"")</f>
        <v/>
      </c>
      <c r="W2088">
        <f>IF(AND(ISNUMBER('자료_거시'!$G2070),ISNUMBER('자료_거시'!$H2070)),'자료_거시'!$H2070,"")</f>
        <v/>
      </c>
      <c r="X2088">
        <f>IF(ISNUMBER(W2088),'자료_거시'!$G2070,"")</f>
        <v/>
      </c>
      <c r="Y2088">
        <f>IF(ISNUMBER(X2088),IF(X2088&gt;$L$7,W2088,""),"")</f>
        <v/>
      </c>
      <c r="Z2088">
        <f>IF(ISNUMBER('자료_거시'!$K2070),'자료_거시'!$K2070,Z2087)</f>
        <v/>
      </c>
      <c r="AA2088">
        <f>IF(AND(ISNUMBER('자료_거시'!$J2070),ISNUMBER('자료_거시'!$K2070)),IFERROR('자료_거시'!$K2070/INDEX($Z$21:$Z$4020,MATCH(EDATE('자료_거시'!$J2070,-'설정'!$B$17),'자료_거시'!$J$3:INDEX('자료_거시'!$J$3:$J$4002,$K$8),1))-1,""),"")</f>
        <v/>
      </c>
      <c r="AB2088">
        <f>IF(ISNUMBER(AA2088),'자료_거시'!$J2070,"")</f>
        <v/>
      </c>
      <c r="AC2088">
        <f>IF(ISNUMBER(AB2088),IF(AB2088&gt;$L$8,AA2088,""),"")</f>
        <v/>
      </c>
    </row>
    <row r="2089">
      <c r="S2089">
        <f>IF(ISNUMBER('자료_거시'!$E2071),'자료_거시'!$E2071,S2088)</f>
        <v/>
      </c>
      <c r="T2089">
        <f>IF(AND(ISNUMBER('자료_거시'!$D2071),ISNUMBER('자료_거시'!$E2071)),IFERROR('자료_거시'!$E2071-INDEX($S$21:$S$4020,MATCH(EDATE('자료_거시'!$D2071,-'설정'!$B$17),'자료_거시'!$D$3:INDEX('자료_거시'!$D$3:$D$4002,$K$6),1)),""),"")</f>
        <v/>
      </c>
      <c r="U2089">
        <f>IF(ISNUMBER(T2089),'자료_거시'!$D2071,"")</f>
        <v/>
      </c>
      <c r="V2089">
        <f>IF(ISNUMBER(U2089),IF(U2089&gt;$L$6,T2089,""),"")</f>
        <v/>
      </c>
      <c r="W2089">
        <f>IF(AND(ISNUMBER('자료_거시'!$G2071),ISNUMBER('자료_거시'!$H2071)),'자료_거시'!$H2071,"")</f>
        <v/>
      </c>
      <c r="X2089">
        <f>IF(ISNUMBER(W2089),'자료_거시'!$G2071,"")</f>
        <v/>
      </c>
      <c r="Y2089">
        <f>IF(ISNUMBER(X2089),IF(X2089&gt;$L$7,W2089,""),"")</f>
        <v/>
      </c>
      <c r="Z2089">
        <f>IF(ISNUMBER('자료_거시'!$K2071),'자료_거시'!$K2071,Z2088)</f>
        <v/>
      </c>
      <c r="AA2089">
        <f>IF(AND(ISNUMBER('자료_거시'!$J2071),ISNUMBER('자료_거시'!$K2071)),IFERROR('자료_거시'!$K2071/INDEX($Z$21:$Z$4020,MATCH(EDATE('자료_거시'!$J2071,-'설정'!$B$17),'자료_거시'!$J$3:INDEX('자료_거시'!$J$3:$J$4002,$K$8),1))-1,""),"")</f>
        <v/>
      </c>
      <c r="AB2089">
        <f>IF(ISNUMBER(AA2089),'자료_거시'!$J2071,"")</f>
        <v/>
      </c>
      <c r="AC2089">
        <f>IF(ISNUMBER(AB2089),IF(AB2089&gt;$L$8,AA2089,""),"")</f>
        <v/>
      </c>
    </row>
    <row r="2090">
      <c r="S2090">
        <f>IF(ISNUMBER('자료_거시'!$E2072),'자료_거시'!$E2072,S2089)</f>
        <v/>
      </c>
      <c r="T2090">
        <f>IF(AND(ISNUMBER('자료_거시'!$D2072),ISNUMBER('자료_거시'!$E2072)),IFERROR('자료_거시'!$E2072-INDEX($S$21:$S$4020,MATCH(EDATE('자료_거시'!$D2072,-'설정'!$B$17),'자료_거시'!$D$3:INDEX('자료_거시'!$D$3:$D$4002,$K$6),1)),""),"")</f>
        <v/>
      </c>
      <c r="U2090">
        <f>IF(ISNUMBER(T2090),'자료_거시'!$D2072,"")</f>
        <v/>
      </c>
      <c r="V2090">
        <f>IF(ISNUMBER(U2090),IF(U2090&gt;$L$6,T2090,""),"")</f>
        <v/>
      </c>
      <c r="W2090">
        <f>IF(AND(ISNUMBER('자료_거시'!$G2072),ISNUMBER('자료_거시'!$H2072)),'자료_거시'!$H2072,"")</f>
        <v/>
      </c>
      <c r="X2090">
        <f>IF(ISNUMBER(W2090),'자료_거시'!$G2072,"")</f>
        <v/>
      </c>
      <c r="Y2090">
        <f>IF(ISNUMBER(X2090),IF(X2090&gt;$L$7,W2090,""),"")</f>
        <v/>
      </c>
      <c r="Z2090">
        <f>IF(ISNUMBER('자료_거시'!$K2072),'자료_거시'!$K2072,Z2089)</f>
        <v/>
      </c>
      <c r="AA2090">
        <f>IF(AND(ISNUMBER('자료_거시'!$J2072),ISNUMBER('자료_거시'!$K2072)),IFERROR('자료_거시'!$K2072/INDEX($Z$21:$Z$4020,MATCH(EDATE('자료_거시'!$J2072,-'설정'!$B$17),'자료_거시'!$J$3:INDEX('자료_거시'!$J$3:$J$4002,$K$8),1))-1,""),"")</f>
        <v/>
      </c>
      <c r="AB2090">
        <f>IF(ISNUMBER(AA2090),'자료_거시'!$J2072,"")</f>
        <v/>
      </c>
      <c r="AC2090">
        <f>IF(ISNUMBER(AB2090),IF(AB2090&gt;$L$8,AA2090,""),"")</f>
        <v/>
      </c>
    </row>
    <row r="2091">
      <c r="S2091">
        <f>IF(ISNUMBER('자료_거시'!$E2073),'자료_거시'!$E2073,S2090)</f>
        <v/>
      </c>
      <c r="T2091">
        <f>IF(AND(ISNUMBER('자료_거시'!$D2073),ISNUMBER('자료_거시'!$E2073)),IFERROR('자료_거시'!$E2073-INDEX($S$21:$S$4020,MATCH(EDATE('자료_거시'!$D2073,-'설정'!$B$17),'자료_거시'!$D$3:INDEX('자료_거시'!$D$3:$D$4002,$K$6),1)),""),"")</f>
        <v/>
      </c>
      <c r="U2091">
        <f>IF(ISNUMBER(T2091),'자료_거시'!$D2073,"")</f>
        <v/>
      </c>
      <c r="V2091">
        <f>IF(ISNUMBER(U2091),IF(U2091&gt;$L$6,T2091,""),"")</f>
        <v/>
      </c>
      <c r="W2091">
        <f>IF(AND(ISNUMBER('자료_거시'!$G2073),ISNUMBER('자료_거시'!$H2073)),'자료_거시'!$H2073,"")</f>
        <v/>
      </c>
      <c r="X2091">
        <f>IF(ISNUMBER(W2091),'자료_거시'!$G2073,"")</f>
        <v/>
      </c>
      <c r="Y2091">
        <f>IF(ISNUMBER(X2091),IF(X2091&gt;$L$7,W2091,""),"")</f>
        <v/>
      </c>
      <c r="Z2091">
        <f>IF(ISNUMBER('자료_거시'!$K2073),'자료_거시'!$K2073,Z2090)</f>
        <v/>
      </c>
      <c r="AA2091">
        <f>IF(AND(ISNUMBER('자료_거시'!$J2073),ISNUMBER('자료_거시'!$K2073)),IFERROR('자료_거시'!$K2073/INDEX($Z$21:$Z$4020,MATCH(EDATE('자료_거시'!$J2073,-'설정'!$B$17),'자료_거시'!$J$3:INDEX('자료_거시'!$J$3:$J$4002,$K$8),1))-1,""),"")</f>
        <v/>
      </c>
      <c r="AB2091">
        <f>IF(ISNUMBER(AA2091),'자료_거시'!$J2073,"")</f>
        <v/>
      </c>
      <c r="AC2091">
        <f>IF(ISNUMBER(AB2091),IF(AB2091&gt;$L$8,AA2091,""),"")</f>
        <v/>
      </c>
    </row>
    <row r="2092">
      <c r="S2092">
        <f>IF(ISNUMBER('자료_거시'!$E2074),'자료_거시'!$E2074,S2091)</f>
        <v/>
      </c>
      <c r="T2092">
        <f>IF(AND(ISNUMBER('자료_거시'!$D2074),ISNUMBER('자료_거시'!$E2074)),IFERROR('자료_거시'!$E2074-INDEX($S$21:$S$4020,MATCH(EDATE('자료_거시'!$D2074,-'설정'!$B$17),'자료_거시'!$D$3:INDEX('자료_거시'!$D$3:$D$4002,$K$6),1)),""),"")</f>
        <v/>
      </c>
      <c r="U2092">
        <f>IF(ISNUMBER(T2092),'자료_거시'!$D2074,"")</f>
        <v/>
      </c>
      <c r="V2092">
        <f>IF(ISNUMBER(U2092),IF(U2092&gt;$L$6,T2092,""),"")</f>
        <v/>
      </c>
      <c r="W2092">
        <f>IF(AND(ISNUMBER('자료_거시'!$G2074),ISNUMBER('자료_거시'!$H2074)),'자료_거시'!$H2074,"")</f>
        <v/>
      </c>
      <c r="X2092">
        <f>IF(ISNUMBER(W2092),'자료_거시'!$G2074,"")</f>
        <v/>
      </c>
      <c r="Y2092">
        <f>IF(ISNUMBER(X2092),IF(X2092&gt;$L$7,W2092,""),"")</f>
        <v/>
      </c>
      <c r="Z2092">
        <f>IF(ISNUMBER('자료_거시'!$K2074),'자료_거시'!$K2074,Z2091)</f>
        <v/>
      </c>
      <c r="AA2092">
        <f>IF(AND(ISNUMBER('자료_거시'!$J2074),ISNUMBER('자료_거시'!$K2074)),IFERROR('자료_거시'!$K2074/INDEX($Z$21:$Z$4020,MATCH(EDATE('자료_거시'!$J2074,-'설정'!$B$17),'자료_거시'!$J$3:INDEX('자료_거시'!$J$3:$J$4002,$K$8),1))-1,""),"")</f>
        <v/>
      </c>
      <c r="AB2092">
        <f>IF(ISNUMBER(AA2092),'자료_거시'!$J2074,"")</f>
        <v/>
      </c>
      <c r="AC2092">
        <f>IF(ISNUMBER(AB2092),IF(AB2092&gt;$L$8,AA2092,""),"")</f>
        <v/>
      </c>
    </row>
    <row r="2093">
      <c r="S2093">
        <f>IF(ISNUMBER('자료_거시'!$E2075),'자료_거시'!$E2075,S2092)</f>
        <v/>
      </c>
      <c r="T2093">
        <f>IF(AND(ISNUMBER('자료_거시'!$D2075),ISNUMBER('자료_거시'!$E2075)),IFERROR('자료_거시'!$E2075-INDEX($S$21:$S$4020,MATCH(EDATE('자료_거시'!$D2075,-'설정'!$B$17),'자료_거시'!$D$3:INDEX('자료_거시'!$D$3:$D$4002,$K$6),1)),""),"")</f>
        <v/>
      </c>
      <c r="U2093">
        <f>IF(ISNUMBER(T2093),'자료_거시'!$D2075,"")</f>
        <v/>
      </c>
      <c r="V2093">
        <f>IF(ISNUMBER(U2093),IF(U2093&gt;$L$6,T2093,""),"")</f>
        <v/>
      </c>
      <c r="W2093">
        <f>IF(AND(ISNUMBER('자료_거시'!$G2075),ISNUMBER('자료_거시'!$H2075)),'자료_거시'!$H2075,"")</f>
        <v/>
      </c>
      <c r="X2093">
        <f>IF(ISNUMBER(W2093),'자료_거시'!$G2075,"")</f>
        <v/>
      </c>
      <c r="Y2093">
        <f>IF(ISNUMBER(X2093),IF(X2093&gt;$L$7,W2093,""),"")</f>
        <v/>
      </c>
      <c r="Z2093">
        <f>IF(ISNUMBER('자료_거시'!$K2075),'자료_거시'!$K2075,Z2092)</f>
        <v/>
      </c>
      <c r="AA2093">
        <f>IF(AND(ISNUMBER('자료_거시'!$J2075),ISNUMBER('자료_거시'!$K2075)),IFERROR('자료_거시'!$K2075/INDEX($Z$21:$Z$4020,MATCH(EDATE('자료_거시'!$J2075,-'설정'!$B$17),'자료_거시'!$J$3:INDEX('자료_거시'!$J$3:$J$4002,$K$8),1))-1,""),"")</f>
        <v/>
      </c>
      <c r="AB2093">
        <f>IF(ISNUMBER(AA2093),'자료_거시'!$J2075,"")</f>
        <v/>
      </c>
      <c r="AC2093">
        <f>IF(ISNUMBER(AB2093),IF(AB2093&gt;$L$8,AA2093,""),"")</f>
        <v/>
      </c>
    </row>
    <row r="2094">
      <c r="S2094">
        <f>IF(ISNUMBER('자료_거시'!$E2076),'자료_거시'!$E2076,S2093)</f>
        <v/>
      </c>
      <c r="T2094">
        <f>IF(AND(ISNUMBER('자료_거시'!$D2076),ISNUMBER('자료_거시'!$E2076)),IFERROR('자료_거시'!$E2076-INDEX($S$21:$S$4020,MATCH(EDATE('자료_거시'!$D2076,-'설정'!$B$17),'자료_거시'!$D$3:INDEX('자료_거시'!$D$3:$D$4002,$K$6),1)),""),"")</f>
        <v/>
      </c>
      <c r="U2094">
        <f>IF(ISNUMBER(T2094),'자료_거시'!$D2076,"")</f>
        <v/>
      </c>
      <c r="V2094">
        <f>IF(ISNUMBER(U2094),IF(U2094&gt;$L$6,T2094,""),"")</f>
        <v/>
      </c>
      <c r="W2094">
        <f>IF(AND(ISNUMBER('자료_거시'!$G2076),ISNUMBER('자료_거시'!$H2076)),'자료_거시'!$H2076,"")</f>
        <v/>
      </c>
      <c r="X2094">
        <f>IF(ISNUMBER(W2094),'자료_거시'!$G2076,"")</f>
        <v/>
      </c>
      <c r="Y2094">
        <f>IF(ISNUMBER(X2094),IF(X2094&gt;$L$7,W2094,""),"")</f>
        <v/>
      </c>
      <c r="Z2094">
        <f>IF(ISNUMBER('자료_거시'!$K2076),'자료_거시'!$K2076,Z2093)</f>
        <v/>
      </c>
      <c r="AA2094">
        <f>IF(AND(ISNUMBER('자료_거시'!$J2076),ISNUMBER('자료_거시'!$K2076)),IFERROR('자료_거시'!$K2076/INDEX($Z$21:$Z$4020,MATCH(EDATE('자료_거시'!$J2076,-'설정'!$B$17),'자료_거시'!$J$3:INDEX('자료_거시'!$J$3:$J$4002,$K$8),1))-1,""),"")</f>
        <v/>
      </c>
      <c r="AB2094">
        <f>IF(ISNUMBER(AA2094),'자료_거시'!$J2076,"")</f>
        <v/>
      </c>
      <c r="AC2094">
        <f>IF(ISNUMBER(AB2094),IF(AB2094&gt;$L$8,AA2094,""),"")</f>
        <v/>
      </c>
    </row>
    <row r="2095">
      <c r="S2095">
        <f>IF(ISNUMBER('자료_거시'!$E2077),'자료_거시'!$E2077,S2094)</f>
        <v/>
      </c>
      <c r="T2095">
        <f>IF(AND(ISNUMBER('자료_거시'!$D2077),ISNUMBER('자료_거시'!$E2077)),IFERROR('자료_거시'!$E2077-INDEX($S$21:$S$4020,MATCH(EDATE('자료_거시'!$D2077,-'설정'!$B$17),'자료_거시'!$D$3:INDEX('자료_거시'!$D$3:$D$4002,$K$6),1)),""),"")</f>
        <v/>
      </c>
      <c r="U2095">
        <f>IF(ISNUMBER(T2095),'자료_거시'!$D2077,"")</f>
        <v/>
      </c>
      <c r="V2095">
        <f>IF(ISNUMBER(U2095),IF(U2095&gt;$L$6,T2095,""),"")</f>
        <v/>
      </c>
      <c r="W2095">
        <f>IF(AND(ISNUMBER('자료_거시'!$G2077),ISNUMBER('자료_거시'!$H2077)),'자료_거시'!$H2077,"")</f>
        <v/>
      </c>
      <c r="X2095">
        <f>IF(ISNUMBER(W2095),'자료_거시'!$G2077,"")</f>
        <v/>
      </c>
      <c r="Y2095">
        <f>IF(ISNUMBER(X2095),IF(X2095&gt;$L$7,W2095,""),"")</f>
        <v/>
      </c>
      <c r="Z2095">
        <f>IF(ISNUMBER('자료_거시'!$K2077),'자료_거시'!$K2077,Z2094)</f>
        <v/>
      </c>
      <c r="AA2095">
        <f>IF(AND(ISNUMBER('자료_거시'!$J2077),ISNUMBER('자료_거시'!$K2077)),IFERROR('자료_거시'!$K2077/INDEX($Z$21:$Z$4020,MATCH(EDATE('자료_거시'!$J2077,-'설정'!$B$17),'자료_거시'!$J$3:INDEX('자료_거시'!$J$3:$J$4002,$K$8),1))-1,""),"")</f>
        <v/>
      </c>
      <c r="AB2095">
        <f>IF(ISNUMBER(AA2095),'자료_거시'!$J2077,"")</f>
        <v/>
      </c>
      <c r="AC2095">
        <f>IF(ISNUMBER(AB2095),IF(AB2095&gt;$L$8,AA2095,""),"")</f>
        <v/>
      </c>
    </row>
    <row r="2096">
      <c r="S2096">
        <f>IF(ISNUMBER('자료_거시'!$E2078),'자료_거시'!$E2078,S2095)</f>
        <v/>
      </c>
      <c r="T2096">
        <f>IF(AND(ISNUMBER('자료_거시'!$D2078),ISNUMBER('자료_거시'!$E2078)),IFERROR('자료_거시'!$E2078-INDEX($S$21:$S$4020,MATCH(EDATE('자료_거시'!$D2078,-'설정'!$B$17),'자료_거시'!$D$3:INDEX('자료_거시'!$D$3:$D$4002,$K$6),1)),""),"")</f>
        <v/>
      </c>
      <c r="U2096">
        <f>IF(ISNUMBER(T2096),'자료_거시'!$D2078,"")</f>
        <v/>
      </c>
      <c r="V2096">
        <f>IF(ISNUMBER(U2096),IF(U2096&gt;$L$6,T2096,""),"")</f>
        <v/>
      </c>
      <c r="W2096">
        <f>IF(AND(ISNUMBER('자료_거시'!$G2078),ISNUMBER('자료_거시'!$H2078)),'자료_거시'!$H2078,"")</f>
        <v/>
      </c>
      <c r="X2096">
        <f>IF(ISNUMBER(W2096),'자료_거시'!$G2078,"")</f>
        <v/>
      </c>
      <c r="Y2096">
        <f>IF(ISNUMBER(X2096),IF(X2096&gt;$L$7,W2096,""),"")</f>
        <v/>
      </c>
      <c r="Z2096">
        <f>IF(ISNUMBER('자료_거시'!$K2078),'자료_거시'!$K2078,Z2095)</f>
        <v/>
      </c>
      <c r="AA2096">
        <f>IF(AND(ISNUMBER('자료_거시'!$J2078),ISNUMBER('자료_거시'!$K2078)),IFERROR('자료_거시'!$K2078/INDEX($Z$21:$Z$4020,MATCH(EDATE('자료_거시'!$J2078,-'설정'!$B$17),'자료_거시'!$J$3:INDEX('자료_거시'!$J$3:$J$4002,$K$8),1))-1,""),"")</f>
        <v/>
      </c>
      <c r="AB2096">
        <f>IF(ISNUMBER(AA2096),'자료_거시'!$J2078,"")</f>
        <v/>
      </c>
      <c r="AC2096">
        <f>IF(ISNUMBER(AB2096),IF(AB2096&gt;$L$8,AA2096,""),"")</f>
        <v/>
      </c>
    </row>
    <row r="2097">
      <c r="S2097">
        <f>IF(ISNUMBER('자료_거시'!$E2079),'자료_거시'!$E2079,S2096)</f>
        <v/>
      </c>
      <c r="T2097">
        <f>IF(AND(ISNUMBER('자료_거시'!$D2079),ISNUMBER('자료_거시'!$E2079)),IFERROR('자료_거시'!$E2079-INDEX($S$21:$S$4020,MATCH(EDATE('자료_거시'!$D2079,-'설정'!$B$17),'자료_거시'!$D$3:INDEX('자료_거시'!$D$3:$D$4002,$K$6),1)),""),"")</f>
        <v/>
      </c>
      <c r="U2097">
        <f>IF(ISNUMBER(T2097),'자료_거시'!$D2079,"")</f>
        <v/>
      </c>
      <c r="V2097">
        <f>IF(ISNUMBER(U2097),IF(U2097&gt;$L$6,T2097,""),"")</f>
        <v/>
      </c>
      <c r="W2097">
        <f>IF(AND(ISNUMBER('자료_거시'!$G2079),ISNUMBER('자료_거시'!$H2079)),'자료_거시'!$H2079,"")</f>
        <v/>
      </c>
      <c r="X2097">
        <f>IF(ISNUMBER(W2097),'자료_거시'!$G2079,"")</f>
        <v/>
      </c>
      <c r="Y2097">
        <f>IF(ISNUMBER(X2097),IF(X2097&gt;$L$7,W2097,""),"")</f>
        <v/>
      </c>
      <c r="Z2097">
        <f>IF(ISNUMBER('자료_거시'!$K2079),'자료_거시'!$K2079,Z2096)</f>
        <v/>
      </c>
      <c r="AA2097">
        <f>IF(AND(ISNUMBER('자료_거시'!$J2079),ISNUMBER('자료_거시'!$K2079)),IFERROR('자료_거시'!$K2079/INDEX($Z$21:$Z$4020,MATCH(EDATE('자료_거시'!$J2079,-'설정'!$B$17),'자료_거시'!$J$3:INDEX('자료_거시'!$J$3:$J$4002,$K$8),1))-1,""),"")</f>
        <v/>
      </c>
      <c r="AB2097">
        <f>IF(ISNUMBER(AA2097),'자료_거시'!$J2079,"")</f>
        <v/>
      </c>
      <c r="AC2097">
        <f>IF(ISNUMBER(AB2097),IF(AB2097&gt;$L$8,AA2097,""),"")</f>
        <v/>
      </c>
    </row>
    <row r="2098">
      <c r="S2098">
        <f>IF(ISNUMBER('자료_거시'!$E2080),'자료_거시'!$E2080,S2097)</f>
        <v/>
      </c>
      <c r="T2098">
        <f>IF(AND(ISNUMBER('자료_거시'!$D2080),ISNUMBER('자료_거시'!$E2080)),IFERROR('자료_거시'!$E2080-INDEX($S$21:$S$4020,MATCH(EDATE('자료_거시'!$D2080,-'설정'!$B$17),'자료_거시'!$D$3:INDEX('자료_거시'!$D$3:$D$4002,$K$6),1)),""),"")</f>
        <v/>
      </c>
      <c r="U2098">
        <f>IF(ISNUMBER(T2098),'자료_거시'!$D2080,"")</f>
        <v/>
      </c>
      <c r="V2098">
        <f>IF(ISNUMBER(U2098),IF(U2098&gt;$L$6,T2098,""),"")</f>
        <v/>
      </c>
      <c r="W2098">
        <f>IF(AND(ISNUMBER('자료_거시'!$G2080),ISNUMBER('자료_거시'!$H2080)),'자료_거시'!$H2080,"")</f>
        <v/>
      </c>
      <c r="X2098">
        <f>IF(ISNUMBER(W2098),'자료_거시'!$G2080,"")</f>
        <v/>
      </c>
      <c r="Y2098">
        <f>IF(ISNUMBER(X2098),IF(X2098&gt;$L$7,W2098,""),"")</f>
        <v/>
      </c>
      <c r="Z2098">
        <f>IF(ISNUMBER('자료_거시'!$K2080),'자료_거시'!$K2080,Z2097)</f>
        <v/>
      </c>
      <c r="AA2098">
        <f>IF(AND(ISNUMBER('자료_거시'!$J2080),ISNUMBER('자료_거시'!$K2080)),IFERROR('자료_거시'!$K2080/INDEX($Z$21:$Z$4020,MATCH(EDATE('자료_거시'!$J2080,-'설정'!$B$17),'자료_거시'!$J$3:INDEX('자료_거시'!$J$3:$J$4002,$K$8),1))-1,""),"")</f>
        <v/>
      </c>
      <c r="AB2098">
        <f>IF(ISNUMBER(AA2098),'자료_거시'!$J2080,"")</f>
        <v/>
      </c>
      <c r="AC2098">
        <f>IF(ISNUMBER(AB2098),IF(AB2098&gt;$L$8,AA2098,""),"")</f>
        <v/>
      </c>
    </row>
    <row r="2099">
      <c r="S2099">
        <f>IF(ISNUMBER('자료_거시'!$E2081),'자료_거시'!$E2081,S2098)</f>
        <v/>
      </c>
      <c r="T2099">
        <f>IF(AND(ISNUMBER('자료_거시'!$D2081),ISNUMBER('자료_거시'!$E2081)),IFERROR('자료_거시'!$E2081-INDEX($S$21:$S$4020,MATCH(EDATE('자료_거시'!$D2081,-'설정'!$B$17),'자료_거시'!$D$3:INDEX('자료_거시'!$D$3:$D$4002,$K$6),1)),""),"")</f>
        <v/>
      </c>
      <c r="U2099">
        <f>IF(ISNUMBER(T2099),'자료_거시'!$D2081,"")</f>
        <v/>
      </c>
      <c r="V2099">
        <f>IF(ISNUMBER(U2099),IF(U2099&gt;$L$6,T2099,""),"")</f>
        <v/>
      </c>
      <c r="W2099">
        <f>IF(AND(ISNUMBER('자료_거시'!$G2081),ISNUMBER('자료_거시'!$H2081)),'자료_거시'!$H2081,"")</f>
        <v/>
      </c>
      <c r="X2099">
        <f>IF(ISNUMBER(W2099),'자료_거시'!$G2081,"")</f>
        <v/>
      </c>
      <c r="Y2099">
        <f>IF(ISNUMBER(X2099),IF(X2099&gt;$L$7,W2099,""),"")</f>
        <v/>
      </c>
      <c r="Z2099">
        <f>IF(ISNUMBER('자료_거시'!$K2081),'자료_거시'!$K2081,Z2098)</f>
        <v/>
      </c>
      <c r="AA2099">
        <f>IF(AND(ISNUMBER('자료_거시'!$J2081),ISNUMBER('자료_거시'!$K2081)),IFERROR('자료_거시'!$K2081/INDEX($Z$21:$Z$4020,MATCH(EDATE('자료_거시'!$J2081,-'설정'!$B$17),'자료_거시'!$J$3:INDEX('자료_거시'!$J$3:$J$4002,$K$8),1))-1,""),"")</f>
        <v/>
      </c>
      <c r="AB2099">
        <f>IF(ISNUMBER(AA2099),'자료_거시'!$J2081,"")</f>
        <v/>
      </c>
      <c r="AC2099">
        <f>IF(ISNUMBER(AB2099),IF(AB2099&gt;$L$8,AA2099,""),"")</f>
        <v/>
      </c>
    </row>
    <row r="2100">
      <c r="S2100">
        <f>IF(ISNUMBER('자료_거시'!$E2082),'자료_거시'!$E2082,S2099)</f>
        <v/>
      </c>
      <c r="T2100">
        <f>IF(AND(ISNUMBER('자료_거시'!$D2082),ISNUMBER('자료_거시'!$E2082)),IFERROR('자료_거시'!$E2082-INDEX($S$21:$S$4020,MATCH(EDATE('자료_거시'!$D2082,-'설정'!$B$17),'자료_거시'!$D$3:INDEX('자료_거시'!$D$3:$D$4002,$K$6),1)),""),"")</f>
        <v/>
      </c>
      <c r="U2100">
        <f>IF(ISNUMBER(T2100),'자료_거시'!$D2082,"")</f>
        <v/>
      </c>
      <c r="V2100">
        <f>IF(ISNUMBER(U2100),IF(U2100&gt;$L$6,T2100,""),"")</f>
        <v/>
      </c>
      <c r="W2100">
        <f>IF(AND(ISNUMBER('자료_거시'!$G2082),ISNUMBER('자료_거시'!$H2082)),'자료_거시'!$H2082,"")</f>
        <v/>
      </c>
      <c r="X2100">
        <f>IF(ISNUMBER(W2100),'자료_거시'!$G2082,"")</f>
        <v/>
      </c>
      <c r="Y2100">
        <f>IF(ISNUMBER(X2100),IF(X2100&gt;$L$7,W2100,""),"")</f>
        <v/>
      </c>
      <c r="Z2100">
        <f>IF(ISNUMBER('자료_거시'!$K2082),'자료_거시'!$K2082,Z2099)</f>
        <v/>
      </c>
      <c r="AA2100">
        <f>IF(AND(ISNUMBER('자료_거시'!$J2082),ISNUMBER('자료_거시'!$K2082)),IFERROR('자료_거시'!$K2082/INDEX($Z$21:$Z$4020,MATCH(EDATE('자료_거시'!$J2082,-'설정'!$B$17),'자료_거시'!$J$3:INDEX('자료_거시'!$J$3:$J$4002,$K$8),1))-1,""),"")</f>
        <v/>
      </c>
      <c r="AB2100">
        <f>IF(ISNUMBER(AA2100),'자료_거시'!$J2082,"")</f>
        <v/>
      </c>
      <c r="AC2100">
        <f>IF(ISNUMBER(AB2100),IF(AB2100&gt;$L$8,AA2100,""),"")</f>
        <v/>
      </c>
    </row>
    <row r="2101">
      <c r="S2101">
        <f>IF(ISNUMBER('자료_거시'!$E2083),'자료_거시'!$E2083,S2100)</f>
        <v/>
      </c>
      <c r="T2101">
        <f>IF(AND(ISNUMBER('자료_거시'!$D2083),ISNUMBER('자료_거시'!$E2083)),IFERROR('자료_거시'!$E2083-INDEX($S$21:$S$4020,MATCH(EDATE('자료_거시'!$D2083,-'설정'!$B$17),'자료_거시'!$D$3:INDEX('자료_거시'!$D$3:$D$4002,$K$6),1)),""),"")</f>
        <v/>
      </c>
      <c r="U2101">
        <f>IF(ISNUMBER(T2101),'자료_거시'!$D2083,"")</f>
        <v/>
      </c>
      <c r="V2101">
        <f>IF(ISNUMBER(U2101),IF(U2101&gt;$L$6,T2101,""),"")</f>
        <v/>
      </c>
      <c r="W2101">
        <f>IF(AND(ISNUMBER('자료_거시'!$G2083),ISNUMBER('자료_거시'!$H2083)),'자료_거시'!$H2083,"")</f>
        <v/>
      </c>
      <c r="X2101">
        <f>IF(ISNUMBER(W2101),'자료_거시'!$G2083,"")</f>
        <v/>
      </c>
      <c r="Y2101">
        <f>IF(ISNUMBER(X2101),IF(X2101&gt;$L$7,W2101,""),"")</f>
        <v/>
      </c>
      <c r="Z2101">
        <f>IF(ISNUMBER('자료_거시'!$K2083),'자료_거시'!$K2083,Z2100)</f>
        <v/>
      </c>
      <c r="AA2101">
        <f>IF(AND(ISNUMBER('자료_거시'!$J2083),ISNUMBER('자료_거시'!$K2083)),IFERROR('자료_거시'!$K2083/INDEX($Z$21:$Z$4020,MATCH(EDATE('자료_거시'!$J2083,-'설정'!$B$17),'자료_거시'!$J$3:INDEX('자료_거시'!$J$3:$J$4002,$K$8),1))-1,""),"")</f>
        <v/>
      </c>
      <c r="AB2101">
        <f>IF(ISNUMBER(AA2101),'자료_거시'!$J2083,"")</f>
        <v/>
      </c>
      <c r="AC2101">
        <f>IF(ISNUMBER(AB2101),IF(AB2101&gt;$L$8,AA2101,""),"")</f>
        <v/>
      </c>
    </row>
    <row r="2102">
      <c r="S2102">
        <f>IF(ISNUMBER('자료_거시'!$E2084),'자료_거시'!$E2084,S2101)</f>
        <v/>
      </c>
      <c r="T2102">
        <f>IF(AND(ISNUMBER('자료_거시'!$D2084),ISNUMBER('자료_거시'!$E2084)),IFERROR('자료_거시'!$E2084-INDEX($S$21:$S$4020,MATCH(EDATE('자료_거시'!$D2084,-'설정'!$B$17),'자료_거시'!$D$3:INDEX('자료_거시'!$D$3:$D$4002,$K$6),1)),""),"")</f>
        <v/>
      </c>
      <c r="U2102">
        <f>IF(ISNUMBER(T2102),'자료_거시'!$D2084,"")</f>
        <v/>
      </c>
      <c r="V2102">
        <f>IF(ISNUMBER(U2102),IF(U2102&gt;$L$6,T2102,""),"")</f>
        <v/>
      </c>
      <c r="W2102">
        <f>IF(AND(ISNUMBER('자료_거시'!$G2084),ISNUMBER('자료_거시'!$H2084)),'자료_거시'!$H2084,"")</f>
        <v/>
      </c>
      <c r="X2102">
        <f>IF(ISNUMBER(W2102),'자료_거시'!$G2084,"")</f>
        <v/>
      </c>
      <c r="Y2102">
        <f>IF(ISNUMBER(X2102),IF(X2102&gt;$L$7,W2102,""),"")</f>
        <v/>
      </c>
      <c r="Z2102">
        <f>IF(ISNUMBER('자료_거시'!$K2084),'자료_거시'!$K2084,Z2101)</f>
        <v/>
      </c>
      <c r="AA2102">
        <f>IF(AND(ISNUMBER('자료_거시'!$J2084),ISNUMBER('자료_거시'!$K2084)),IFERROR('자료_거시'!$K2084/INDEX($Z$21:$Z$4020,MATCH(EDATE('자료_거시'!$J2084,-'설정'!$B$17),'자료_거시'!$J$3:INDEX('자료_거시'!$J$3:$J$4002,$K$8),1))-1,""),"")</f>
        <v/>
      </c>
      <c r="AB2102">
        <f>IF(ISNUMBER(AA2102),'자료_거시'!$J2084,"")</f>
        <v/>
      </c>
      <c r="AC2102">
        <f>IF(ISNUMBER(AB2102),IF(AB2102&gt;$L$8,AA2102,""),"")</f>
        <v/>
      </c>
    </row>
    <row r="2103">
      <c r="S2103">
        <f>IF(ISNUMBER('자료_거시'!$E2085),'자료_거시'!$E2085,S2102)</f>
        <v/>
      </c>
      <c r="T2103">
        <f>IF(AND(ISNUMBER('자료_거시'!$D2085),ISNUMBER('자료_거시'!$E2085)),IFERROR('자료_거시'!$E2085-INDEX($S$21:$S$4020,MATCH(EDATE('자료_거시'!$D2085,-'설정'!$B$17),'자료_거시'!$D$3:INDEX('자료_거시'!$D$3:$D$4002,$K$6),1)),""),"")</f>
        <v/>
      </c>
      <c r="U2103">
        <f>IF(ISNUMBER(T2103),'자료_거시'!$D2085,"")</f>
        <v/>
      </c>
      <c r="V2103">
        <f>IF(ISNUMBER(U2103),IF(U2103&gt;$L$6,T2103,""),"")</f>
        <v/>
      </c>
      <c r="W2103">
        <f>IF(AND(ISNUMBER('자료_거시'!$G2085),ISNUMBER('자료_거시'!$H2085)),'자료_거시'!$H2085,"")</f>
        <v/>
      </c>
      <c r="X2103">
        <f>IF(ISNUMBER(W2103),'자료_거시'!$G2085,"")</f>
        <v/>
      </c>
      <c r="Y2103">
        <f>IF(ISNUMBER(X2103),IF(X2103&gt;$L$7,W2103,""),"")</f>
        <v/>
      </c>
      <c r="Z2103">
        <f>IF(ISNUMBER('자료_거시'!$K2085),'자료_거시'!$K2085,Z2102)</f>
        <v/>
      </c>
      <c r="AA2103">
        <f>IF(AND(ISNUMBER('자료_거시'!$J2085),ISNUMBER('자료_거시'!$K2085)),IFERROR('자료_거시'!$K2085/INDEX($Z$21:$Z$4020,MATCH(EDATE('자료_거시'!$J2085,-'설정'!$B$17),'자료_거시'!$J$3:INDEX('자료_거시'!$J$3:$J$4002,$K$8),1))-1,""),"")</f>
        <v/>
      </c>
      <c r="AB2103">
        <f>IF(ISNUMBER(AA2103),'자료_거시'!$J2085,"")</f>
        <v/>
      </c>
      <c r="AC2103">
        <f>IF(ISNUMBER(AB2103),IF(AB2103&gt;$L$8,AA2103,""),"")</f>
        <v/>
      </c>
    </row>
    <row r="2104">
      <c r="S2104">
        <f>IF(ISNUMBER('자료_거시'!$E2086),'자료_거시'!$E2086,S2103)</f>
        <v/>
      </c>
      <c r="T2104">
        <f>IF(AND(ISNUMBER('자료_거시'!$D2086),ISNUMBER('자료_거시'!$E2086)),IFERROR('자료_거시'!$E2086-INDEX($S$21:$S$4020,MATCH(EDATE('자료_거시'!$D2086,-'설정'!$B$17),'자료_거시'!$D$3:INDEX('자료_거시'!$D$3:$D$4002,$K$6),1)),""),"")</f>
        <v/>
      </c>
      <c r="U2104">
        <f>IF(ISNUMBER(T2104),'자료_거시'!$D2086,"")</f>
        <v/>
      </c>
      <c r="V2104">
        <f>IF(ISNUMBER(U2104),IF(U2104&gt;$L$6,T2104,""),"")</f>
        <v/>
      </c>
      <c r="W2104">
        <f>IF(AND(ISNUMBER('자료_거시'!$G2086),ISNUMBER('자료_거시'!$H2086)),'자료_거시'!$H2086,"")</f>
        <v/>
      </c>
      <c r="X2104">
        <f>IF(ISNUMBER(W2104),'자료_거시'!$G2086,"")</f>
        <v/>
      </c>
      <c r="Y2104">
        <f>IF(ISNUMBER(X2104),IF(X2104&gt;$L$7,W2104,""),"")</f>
        <v/>
      </c>
      <c r="Z2104">
        <f>IF(ISNUMBER('자료_거시'!$K2086),'자료_거시'!$K2086,Z2103)</f>
        <v/>
      </c>
      <c r="AA2104">
        <f>IF(AND(ISNUMBER('자료_거시'!$J2086),ISNUMBER('자료_거시'!$K2086)),IFERROR('자료_거시'!$K2086/INDEX($Z$21:$Z$4020,MATCH(EDATE('자료_거시'!$J2086,-'설정'!$B$17),'자료_거시'!$J$3:INDEX('자료_거시'!$J$3:$J$4002,$K$8),1))-1,""),"")</f>
        <v/>
      </c>
      <c r="AB2104">
        <f>IF(ISNUMBER(AA2104),'자료_거시'!$J2086,"")</f>
        <v/>
      </c>
      <c r="AC2104">
        <f>IF(ISNUMBER(AB2104),IF(AB2104&gt;$L$8,AA2104,""),"")</f>
        <v/>
      </c>
    </row>
    <row r="2105">
      <c r="S2105">
        <f>IF(ISNUMBER('자료_거시'!$E2087),'자료_거시'!$E2087,S2104)</f>
        <v/>
      </c>
      <c r="T2105">
        <f>IF(AND(ISNUMBER('자료_거시'!$D2087),ISNUMBER('자료_거시'!$E2087)),IFERROR('자료_거시'!$E2087-INDEX($S$21:$S$4020,MATCH(EDATE('자료_거시'!$D2087,-'설정'!$B$17),'자료_거시'!$D$3:INDEX('자료_거시'!$D$3:$D$4002,$K$6),1)),""),"")</f>
        <v/>
      </c>
      <c r="U2105">
        <f>IF(ISNUMBER(T2105),'자료_거시'!$D2087,"")</f>
        <v/>
      </c>
      <c r="V2105">
        <f>IF(ISNUMBER(U2105),IF(U2105&gt;$L$6,T2105,""),"")</f>
        <v/>
      </c>
      <c r="W2105">
        <f>IF(AND(ISNUMBER('자료_거시'!$G2087),ISNUMBER('자료_거시'!$H2087)),'자료_거시'!$H2087,"")</f>
        <v/>
      </c>
      <c r="X2105">
        <f>IF(ISNUMBER(W2105),'자료_거시'!$G2087,"")</f>
        <v/>
      </c>
      <c r="Y2105">
        <f>IF(ISNUMBER(X2105),IF(X2105&gt;$L$7,W2105,""),"")</f>
        <v/>
      </c>
      <c r="Z2105">
        <f>IF(ISNUMBER('자료_거시'!$K2087),'자료_거시'!$K2087,Z2104)</f>
        <v/>
      </c>
      <c r="AA2105">
        <f>IF(AND(ISNUMBER('자료_거시'!$J2087),ISNUMBER('자료_거시'!$K2087)),IFERROR('자료_거시'!$K2087/INDEX($Z$21:$Z$4020,MATCH(EDATE('자료_거시'!$J2087,-'설정'!$B$17),'자료_거시'!$J$3:INDEX('자료_거시'!$J$3:$J$4002,$K$8),1))-1,""),"")</f>
        <v/>
      </c>
      <c r="AB2105">
        <f>IF(ISNUMBER(AA2105),'자료_거시'!$J2087,"")</f>
        <v/>
      </c>
      <c r="AC2105">
        <f>IF(ISNUMBER(AB2105),IF(AB2105&gt;$L$8,AA2105,""),"")</f>
        <v/>
      </c>
    </row>
    <row r="2106">
      <c r="S2106">
        <f>IF(ISNUMBER('자료_거시'!$E2088),'자료_거시'!$E2088,S2105)</f>
        <v/>
      </c>
      <c r="T2106">
        <f>IF(AND(ISNUMBER('자료_거시'!$D2088),ISNUMBER('자료_거시'!$E2088)),IFERROR('자료_거시'!$E2088-INDEX($S$21:$S$4020,MATCH(EDATE('자료_거시'!$D2088,-'설정'!$B$17),'자료_거시'!$D$3:INDEX('자료_거시'!$D$3:$D$4002,$K$6),1)),""),"")</f>
        <v/>
      </c>
      <c r="U2106">
        <f>IF(ISNUMBER(T2106),'자료_거시'!$D2088,"")</f>
        <v/>
      </c>
      <c r="V2106">
        <f>IF(ISNUMBER(U2106),IF(U2106&gt;$L$6,T2106,""),"")</f>
        <v/>
      </c>
      <c r="W2106">
        <f>IF(AND(ISNUMBER('자료_거시'!$G2088),ISNUMBER('자료_거시'!$H2088)),'자료_거시'!$H2088,"")</f>
        <v/>
      </c>
      <c r="X2106">
        <f>IF(ISNUMBER(W2106),'자료_거시'!$G2088,"")</f>
        <v/>
      </c>
      <c r="Y2106">
        <f>IF(ISNUMBER(X2106),IF(X2106&gt;$L$7,W2106,""),"")</f>
        <v/>
      </c>
      <c r="Z2106">
        <f>IF(ISNUMBER('자료_거시'!$K2088),'자료_거시'!$K2088,Z2105)</f>
        <v/>
      </c>
      <c r="AA2106">
        <f>IF(AND(ISNUMBER('자료_거시'!$J2088),ISNUMBER('자료_거시'!$K2088)),IFERROR('자료_거시'!$K2088/INDEX($Z$21:$Z$4020,MATCH(EDATE('자료_거시'!$J2088,-'설정'!$B$17),'자료_거시'!$J$3:INDEX('자료_거시'!$J$3:$J$4002,$K$8),1))-1,""),"")</f>
        <v/>
      </c>
      <c r="AB2106">
        <f>IF(ISNUMBER(AA2106),'자료_거시'!$J2088,"")</f>
        <v/>
      </c>
      <c r="AC2106">
        <f>IF(ISNUMBER(AB2106),IF(AB2106&gt;$L$8,AA2106,""),"")</f>
        <v/>
      </c>
    </row>
    <row r="2107">
      <c r="S2107">
        <f>IF(ISNUMBER('자료_거시'!$E2089),'자료_거시'!$E2089,S2106)</f>
        <v/>
      </c>
      <c r="T2107">
        <f>IF(AND(ISNUMBER('자료_거시'!$D2089),ISNUMBER('자료_거시'!$E2089)),IFERROR('자료_거시'!$E2089-INDEX($S$21:$S$4020,MATCH(EDATE('자료_거시'!$D2089,-'설정'!$B$17),'자료_거시'!$D$3:INDEX('자료_거시'!$D$3:$D$4002,$K$6),1)),""),"")</f>
        <v/>
      </c>
      <c r="U2107">
        <f>IF(ISNUMBER(T2107),'자료_거시'!$D2089,"")</f>
        <v/>
      </c>
      <c r="V2107">
        <f>IF(ISNUMBER(U2107),IF(U2107&gt;$L$6,T2107,""),"")</f>
        <v/>
      </c>
      <c r="W2107">
        <f>IF(AND(ISNUMBER('자료_거시'!$G2089),ISNUMBER('자료_거시'!$H2089)),'자료_거시'!$H2089,"")</f>
        <v/>
      </c>
      <c r="X2107">
        <f>IF(ISNUMBER(W2107),'자료_거시'!$G2089,"")</f>
        <v/>
      </c>
      <c r="Y2107">
        <f>IF(ISNUMBER(X2107),IF(X2107&gt;$L$7,W2107,""),"")</f>
        <v/>
      </c>
      <c r="Z2107">
        <f>IF(ISNUMBER('자료_거시'!$K2089),'자료_거시'!$K2089,Z2106)</f>
        <v/>
      </c>
      <c r="AA2107">
        <f>IF(AND(ISNUMBER('자료_거시'!$J2089),ISNUMBER('자료_거시'!$K2089)),IFERROR('자료_거시'!$K2089/INDEX($Z$21:$Z$4020,MATCH(EDATE('자료_거시'!$J2089,-'설정'!$B$17),'자료_거시'!$J$3:INDEX('자료_거시'!$J$3:$J$4002,$K$8),1))-1,""),"")</f>
        <v/>
      </c>
      <c r="AB2107">
        <f>IF(ISNUMBER(AA2107),'자료_거시'!$J2089,"")</f>
        <v/>
      </c>
      <c r="AC2107">
        <f>IF(ISNUMBER(AB2107),IF(AB2107&gt;$L$8,AA2107,""),"")</f>
        <v/>
      </c>
    </row>
    <row r="2108">
      <c r="S2108">
        <f>IF(ISNUMBER('자료_거시'!$E2090),'자료_거시'!$E2090,S2107)</f>
        <v/>
      </c>
      <c r="T2108">
        <f>IF(AND(ISNUMBER('자료_거시'!$D2090),ISNUMBER('자료_거시'!$E2090)),IFERROR('자료_거시'!$E2090-INDEX($S$21:$S$4020,MATCH(EDATE('자료_거시'!$D2090,-'설정'!$B$17),'자료_거시'!$D$3:INDEX('자료_거시'!$D$3:$D$4002,$K$6),1)),""),"")</f>
        <v/>
      </c>
      <c r="U2108">
        <f>IF(ISNUMBER(T2108),'자료_거시'!$D2090,"")</f>
        <v/>
      </c>
      <c r="V2108">
        <f>IF(ISNUMBER(U2108),IF(U2108&gt;$L$6,T2108,""),"")</f>
        <v/>
      </c>
      <c r="W2108">
        <f>IF(AND(ISNUMBER('자료_거시'!$G2090),ISNUMBER('자료_거시'!$H2090)),'자료_거시'!$H2090,"")</f>
        <v/>
      </c>
      <c r="X2108">
        <f>IF(ISNUMBER(W2108),'자료_거시'!$G2090,"")</f>
        <v/>
      </c>
      <c r="Y2108">
        <f>IF(ISNUMBER(X2108),IF(X2108&gt;$L$7,W2108,""),"")</f>
        <v/>
      </c>
      <c r="Z2108">
        <f>IF(ISNUMBER('자료_거시'!$K2090),'자료_거시'!$K2090,Z2107)</f>
        <v/>
      </c>
      <c r="AA2108">
        <f>IF(AND(ISNUMBER('자료_거시'!$J2090),ISNUMBER('자료_거시'!$K2090)),IFERROR('자료_거시'!$K2090/INDEX($Z$21:$Z$4020,MATCH(EDATE('자료_거시'!$J2090,-'설정'!$B$17),'자료_거시'!$J$3:INDEX('자료_거시'!$J$3:$J$4002,$K$8),1))-1,""),"")</f>
        <v/>
      </c>
      <c r="AB2108">
        <f>IF(ISNUMBER(AA2108),'자료_거시'!$J2090,"")</f>
        <v/>
      </c>
      <c r="AC2108">
        <f>IF(ISNUMBER(AB2108),IF(AB2108&gt;$L$8,AA2108,""),"")</f>
        <v/>
      </c>
    </row>
    <row r="2109">
      <c r="S2109">
        <f>IF(ISNUMBER('자료_거시'!$E2091),'자료_거시'!$E2091,S2108)</f>
        <v/>
      </c>
      <c r="T2109">
        <f>IF(AND(ISNUMBER('자료_거시'!$D2091),ISNUMBER('자료_거시'!$E2091)),IFERROR('자료_거시'!$E2091-INDEX($S$21:$S$4020,MATCH(EDATE('자료_거시'!$D2091,-'설정'!$B$17),'자료_거시'!$D$3:INDEX('자료_거시'!$D$3:$D$4002,$K$6),1)),""),"")</f>
        <v/>
      </c>
      <c r="U2109">
        <f>IF(ISNUMBER(T2109),'자료_거시'!$D2091,"")</f>
        <v/>
      </c>
      <c r="V2109">
        <f>IF(ISNUMBER(U2109),IF(U2109&gt;$L$6,T2109,""),"")</f>
        <v/>
      </c>
      <c r="W2109">
        <f>IF(AND(ISNUMBER('자료_거시'!$G2091),ISNUMBER('자료_거시'!$H2091)),'자료_거시'!$H2091,"")</f>
        <v/>
      </c>
      <c r="X2109">
        <f>IF(ISNUMBER(W2109),'자료_거시'!$G2091,"")</f>
        <v/>
      </c>
      <c r="Y2109">
        <f>IF(ISNUMBER(X2109),IF(X2109&gt;$L$7,W2109,""),"")</f>
        <v/>
      </c>
      <c r="Z2109">
        <f>IF(ISNUMBER('자료_거시'!$K2091),'자료_거시'!$K2091,Z2108)</f>
        <v/>
      </c>
      <c r="AA2109">
        <f>IF(AND(ISNUMBER('자료_거시'!$J2091),ISNUMBER('자료_거시'!$K2091)),IFERROR('자료_거시'!$K2091/INDEX($Z$21:$Z$4020,MATCH(EDATE('자료_거시'!$J2091,-'설정'!$B$17),'자료_거시'!$J$3:INDEX('자료_거시'!$J$3:$J$4002,$K$8),1))-1,""),"")</f>
        <v/>
      </c>
      <c r="AB2109">
        <f>IF(ISNUMBER(AA2109),'자료_거시'!$J2091,"")</f>
        <v/>
      </c>
      <c r="AC2109">
        <f>IF(ISNUMBER(AB2109),IF(AB2109&gt;$L$8,AA2109,""),"")</f>
        <v/>
      </c>
    </row>
    <row r="2110">
      <c r="S2110">
        <f>IF(ISNUMBER('자료_거시'!$E2092),'자료_거시'!$E2092,S2109)</f>
        <v/>
      </c>
      <c r="T2110">
        <f>IF(AND(ISNUMBER('자료_거시'!$D2092),ISNUMBER('자료_거시'!$E2092)),IFERROR('자료_거시'!$E2092-INDEX($S$21:$S$4020,MATCH(EDATE('자료_거시'!$D2092,-'설정'!$B$17),'자료_거시'!$D$3:INDEX('자료_거시'!$D$3:$D$4002,$K$6),1)),""),"")</f>
        <v/>
      </c>
      <c r="U2110">
        <f>IF(ISNUMBER(T2110),'자료_거시'!$D2092,"")</f>
        <v/>
      </c>
      <c r="V2110">
        <f>IF(ISNUMBER(U2110),IF(U2110&gt;$L$6,T2110,""),"")</f>
        <v/>
      </c>
      <c r="W2110">
        <f>IF(AND(ISNUMBER('자료_거시'!$G2092),ISNUMBER('자료_거시'!$H2092)),'자료_거시'!$H2092,"")</f>
        <v/>
      </c>
      <c r="X2110">
        <f>IF(ISNUMBER(W2110),'자료_거시'!$G2092,"")</f>
        <v/>
      </c>
      <c r="Y2110">
        <f>IF(ISNUMBER(X2110),IF(X2110&gt;$L$7,W2110,""),"")</f>
        <v/>
      </c>
      <c r="Z2110">
        <f>IF(ISNUMBER('자료_거시'!$K2092),'자료_거시'!$K2092,Z2109)</f>
        <v/>
      </c>
      <c r="AA2110">
        <f>IF(AND(ISNUMBER('자료_거시'!$J2092),ISNUMBER('자료_거시'!$K2092)),IFERROR('자료_거시'!$K2092/INDEX($Z$21:$Z$4020,MATCH(EDATE('자료_거시'!$J2092,-'설정'!$B$17),'자료_거시'!$J$3:INDEX('자료_거시'!$J$3:$J$4002,$K$8),1))-1,""),"")</f>
        <v/>
      </c>
      <c r="AB2110">
        <f>IF(ISNUMBER(AA2110),'자료_거시'!$J2092,"")</f>
        <v/>
      </c>
      <c r="AC2110">
        <f>IF(ISNUMBER(AB2110),IF(AB2110&gt;$L$8,AA2110,""),"")</f>
        <v/>
      </c>
    </row>
    <row r="2111">
      <c r="S2111">
        <f>IF(ISNUMBER('자료_거시'!$E2093),'자료_거시'!$E2093,S2110)</f>
        <v/>
      </c>
      <c r="T2111">
        <f>IF(AND(ISNUMBER('자료_거시'!$D2093),ISNUMBER('자료_거시'!$E2093)),IFERROR('자료_거시'!$E2093-INDEX($S$21:$S$4020,MATCH(EDATE('자료_거시'!$D2093,-'설정'!$B$17),'자료_거시'!$D$3:INDEX('자료_거시'!$D$3:$D$4002,$K$6),1)),""),"")</f>
        <v/>
      </c>
      <c r="U2111">
        <f>IF(ISNUMBER(T2111),'자료_거시'!$D2093,"")</f>
        <v/>
      </c>
      <c r="V2111">
        <f>IF(ISNUMBER(U2111),IF(U2111&gt;$L$6,T2111,""),"")</f>
        <v/>
      </c>
      <c r="W2111">
        <f>IF(AND(ISNUMBER('자료_거시'!$G2093),ISNUMBER('자료_거시'!$H2093)),'자료_거시'!$H2093,"")</f>
        <v/>
      </c>
      <c r="X2111">
        <f>IF(ISNUMBER(W2111),'자료_거시'!$G2093,"")</f>
        <v/>
      </c>
      <c r="Y2111">
        <f>IF(ISNUMBER(X2111),IF(X2111&gt;$L$7,W2111,""),"")</f>
        <v/>
      </c>
      <c r="Z2111">
        <f>IF(ISNUMBER('자료_거시'!$K2093),'자료_거시'!$K2093,Z2110)</f>
        <v/>
      </c>
      <c r="AA2111">
        <f>IF(AND(ISNUMBER('자료_거시'!$J2093),ISNUMBER('자료_거시'!$K2093)),IFERROR('자료_거시'!$K2093/INDEX($Z$21:$Z$4020,MATCH(EDATE('자료_거시'!$J2093,-'설정'!$B$17),'자료_거시'!$J$3:INDEX('자료_거시'!$J$3:$J$4002,$K$8),1))-1,""),"")</f>
        <v/>
      </c>
      <c r="AB2111">
        <f>IF(ISNUMBER(AA2111),'자료_거시'!$J2093,"")</f>
        <v/>
      </c>
      <c r="AC2111">
        <f>IF(ISNUMBER(AB2111),IF(AB2111&gt;$L$8,AA2111,""),"")</f>
        <v/>
      </c>
    </row>
    <row r="2112">
      <c r="S2112">
        <f>IF(ISNUMBER('자료_거시'!$E2094),'자료_거시'!$E2094,S2111)</f>
        <v/>
      </c>
      <c r="T2112">
        <f>IF(AND(ISNUMBER('자료_거시'!$D2094),ISNUMBER('자료_거시'!$E2094)),IFERROR('자료_거시'!$E2094-INDEX($S$21:$S$4020,MATCH(EDATE('자료_거시'!$D2094,-'설정'!$B$17),'자료_거시'!$D$3:INDEX('자료_거시'!$D$3:$D$4002,$K$6),1)),""),"")</f>
        <v/>
      </c>
      <c r="U2112">
        <f>IF(ISNUMBER(T2112),'자료_거시'!$D2094,"")</f>
        <v/>
      </c>
      <c r="V2112">
        <f>IF(ISNUMBER(U2112),IF(U2112&gt;$L$6,T2112,""),"")</f>
        <v/>
      </c>
      <c r="W2112">
        <f>IF(AND(ISNUMBER('자료_거시'!$G2094),ISNUMBER('자료_거시'!$H2094)),'자료_거시'!$H2094,"")</f>
        <v/>
      </c>
      <c r="X2112">
        <f>IF(ISNUMBER(W2112),'자료_거시'!$G2094,"")</f>
        <v/>
      </c>
      <c r="Y2112">
        <f>IF(ISNUMBER(X2112),IF(X2112&gt;$L$7,W2112,""),"")</f>
        <v/>
      </c>
      <c r="Z2112">
        <f>IF(ISNUMBER('자료_거시'!$K2094),'자료_거시'!$K2094,Z2111)</f>
        <v/>
      </c>
      <c r="AA2112">
        <f>IF(AND(ISNUMBER('자료_거시'!$J2094),ISNUMBER('자료_거시'!$K2094)),IFERROR('자료_거시'!$K2094/INDEX($Z$21:$Z$4020,MATCH(EDATE('자료_거시'!$J2094,-'설정'!$B$17),'자료_거시'!$J$3:INDEX('자료_거시'!$J$3:$J$4002,$K$8),1))-1,""),"")</f>
        <v/>
      </c>
      <c r="AB2112">
        <f>IF(ISNUMBER(AA2112),'자료_거시'!$J2094,"")</f>
        <v/>
      </c>
      <c r="AC2112">
        <f>IF(ISNUMBER(AB2112),IF(AB2112&gt;$L$8,AA2112,""),"")</f>
        <v/>
      </c>
    </row>
    <row r="2113">
      <c r="S2113">
        <f>IF(ISNUMBER('자료_거시'!$E2095),'자료_거시'!$E2095,S2112)</f>
        <v/>
      </c>
      <c r="T2113">
        <f>IF(AND(ISNUMBER('자료_거시'!$D2095),ISNUMBER('자료_거시'!$E2095)),IFERROR('자료_거시'!$E2095-INDEX($S$21:$S$4020,MATCH(EDATE('자료_거시'!$D2095,-'설정'!$B$17),'자료_거시'!$D$3:INDEX('자료_거시'!$D$3:$D$4002,$K$6),1)),""),"")</f>
        <v/>
      </c>
      <c r="U2113">
        <f>IF(ISNUMBER(T2113),'자료_거시'!$D2095,"")</f>
        <v/>
      </c>
      <c r="V2113">
        <f>IF(ISNUMBER(U2113),IF(U2113&gt;$L$6,T2113,""),"")</f>
        <v/>
      </c>
      <c r="W2113">
        <f>IF(AND(ISNUMBER('자료_거시'!$G2095),ISNUMBER('자료_거시'!$H2095)),'자료_거시'!$H2095,"")</f>
        <v/>
      </c>
      <c r="X2113">
        <f>IF(ISNUMBER(W2113),'자료_거시'!$G2095,"")</f>
        <v/>
      </c>
      <c r="Y2113">
        <f>IF(ISNUMBER(X2113),IF(X2113&gt;$L$7,W2113,""),"")</f>
        <v/>
      </c>
      <c r="Z2113">
        <f>IF(ISNUMBER('자료_거시'!$K2095),'자료_거시'!$K2095,Z2112)</f>
        <v/>
      </c>
      <c r="AA2113">
        <f>IF(AND(ISNUMBER('자료_거시'!$J2095),ISNUMBER('자료_거시'!$K2095)),IFERROR('자료_거시'!$K2095/INDEX($Z$21:$Z$4020,MATCH(EDATE('자료_거시'!$J2095,-'설정'!$B$17),'자료_거시'!$J$3:INDEX('자료_거시'!$J$3:$J$4002,$K$8),1))-1,""),"")</f>
        <v/>
      </c>
      <c r="AB2113">
        <f>IF(ISNUMBER(AA2113),'자료_거시'!$J2095,"")</f>
        <v/>
      </c>
      <c r="AC2113">
        <f>IF(ISNUMBER(AB2113),IF(AB2113&gt;$L$8,AA2113,""),"")</f>
        <v/>
      </c>
    </row>
    <row r="2114">
      <c r="S2114">
        <f>IF(ISNUMBER('자료_거시'!$E2096),'자료_거시'!$E2096,S2113)</f>
        <v/>
      </c>
      <c r="T2114">
        <f>IF(AND(ISNUMBER('자료_거시'!$D2096),ISNUMBER('자료_거시'!$E2096)),IFERROR('자료_거시'!$E2096-INDEX($S$21:$S$4020,MATCH(EDATE('자료_거시'!$D2096,-'설정'!$B$17),'자료_거시'!$D$3:INDEX('자료_거시'!$D$3:$D$4002,$K$6),1)),""),"")</f>
        <v/>
      </c>
      <c r="U2114">
        <f>IF(ISNUMBER(T2114),'자료_거시'!$D2096,"")</f>
        <v/>
      </c>
      <c r="V2114">
        <f>IF(ISNUMBER(U2114),IF(U2114&gt;$L$6,T2114,""),"")</f>
        <v/>
      </c>
      <c r="W2114">
        <f>IF(AND(ISNUMBER('자료_거시'!$G2096),ISNUMBER('자료_거시'!$H2096)),'자료_거시'!$H2096,"")</f>
        <v/>
      </c>
      <c r="X2114">
        <f>IF(ISNUMBER(W2114),'자료_거시'!$G2096,"")</f>
        <v/>
      </c>
      <c r="Y2114">
        <f>IF(ISNUMBER(X2114),IF(X2114&gt;$L$7,W2114,""),"")</f>
        <v/>
      </c>
      <c r="Z2114">
        <f>IF(ISNUMBER('자료_거시'!$K2096),'자료_거시'!$K2096,Z2113)</f>
        <v/>
      </c>
      <c r="AA2114">
        <f>IF(AND(ISNUMBER('자료_거시'!$J2096),ISNUMBER('자료_거시'!$K2096)),IFERROR('자료_거시'!$K2096/INDEX($Z$21:$Z$4020,MATCH(EDATE('자료_거시'!$J2096,-'설정'!$B$17),'자료_거시'!$J$3:INDEX('자료_거시'!$J$3:$J$4002,$K$8),1))-1,""),"")</f>
        <v/>
      </c>
      <c r="AB2114">
        <f>IF(ISNUMBER(AA2114),'자료_거시'!$J2096,"")</f>
        <v/>
      </c>
      <c r="AC2114">
        <f>IF(ISNUMBER(AB2114),IF(AB2114&gt;$L$8,AA2114,""),"")</f>
        <v/>
      </c>
    </row>
    <row r="2115">
      <c r="S2115">
        <f>IF(ISNUMBER('자료_거시'!$E2097),'자료_거시'!$E2097,S2114)</f>
        <v/>
      </c>
      <c r="T2115">
        <f>IF(AND(ISNUMBER('자료_거시'!$D2097),ISNUMBER('자료_거시'!$E2097)),IFERROR('자료_거시'!$E2097-INDEX($S$21:$S$4020,MATCH(EDATE('자료_거시'!$D2097,-'설정'!$B$17),'자료_거시'!$D$3:INDEX('자료_거시'!$D$3:$D$4002,$K$6),1)),""),"")</f>
        <v/>
      </c>
      <c r="U2115">
        <f>IF(ISNUMBER(T2115),'자료_거시'!$D2097,"")</f>
        <v/>
      </c>
      <c r="V2115">
        <f>IF(ISNUMBER(U2115),IF(U2115&gt;$L$6,T2115,""),"")</f>
        <v/>
      </c>
      <c r="W2115">
        <f>IF(AND(ISNUMBER('자료_거시'!$G2097),ISNUMBER('자료_거시'!$H2097)),'자료_거시'!$H2097,"")</f>
        <v/>
      </c>
      <c r="X2115">
        <f>IF(ISNUMBER(W2115),'자료_거시'!$G2097,"")</f>
        <v/>
      </c>
      <c r="Y2115">
        <f>IF(ISNUMBER(X2115),IF(X2115&gt;$L$7,W2115,""),"")</f>
        <v/>
      </c>
      <c r="Z2115">
        <f>IF(ISNUMBER('자료_거시'!$K2097),'자료_거시'!$K2097,Z2114)</f>
        <v/>
      </c>
      <c r="AA2115">
        <f>IF(AND(ISNUMBER('자료_거시'!$J2097),ISNUMBER('자료_거시'!$K2097)),IFERROR('자료_거시'!$K2097/INDEX($Z$21:$Z$4020,MATCH(EDATE('자료_거시'!$J2097,-'설정'!$B$17),'자료_거시'!$J$3:INDEX('자료_거시'!$J$3:$J$4002,$K$8),1))-1,""),"")</f>
        <v/>
      </c>
      <c r="AB2115">
        <f>IF(ISNUMBER(AA2115),'자료_거시'!$J2097,"")</f>
        <v/>
      </c>
      <c r="AC2115">
        <f>IF(ISNUMBER(AB2115),IF(AB2115&gt;$L$8,AA2115,""),"")</f>
        <v/>
      </c>
    </row>
    <row r="2116">
      <c r="S2116">
        <f>IF(ISNUMBER('자료_거시'!$E2098),'자료_거시'!$E2098,S2115)</f>
        <v/>
      </c>
      <c r="T2116">
        <f>IF(AND(ISNUMBER('자료_거시'!$D2098),ISNUMBER('자료_거시'!$E2098)),IFERROR('자료_거시'!$E2098-INDEX($S$21:$S$4020,MATCH(EDATE('자료_거시'!$D2098,-'설정'!$B$17),'자료_거시'!$D$3:INDEX('자료_거시'!$D$3:$D$4002,$K$6),1)),""),"")</f>
        <v/>
      </c>
      <c r="U2116">
        <f>IF(ISNUMBER(T2116),'자료_거시'!$D2098,"")</f>
        <v/>
      </c>
      <c r="V2116">
        <f>IF(ISNUMBER(U2116),IF(U2116&gt;$L$6,T2116,""),"")</f>
        <v/>
      </c>
      <c r="W2116">
        <f>IF(AND(ISNUMBER('자료_거시'!$G2098),ISNUMBER('자료_거시'!$H2098)),'자료_거시'!$H2098,"")</f>
        <v/>
      </c>
      <c r="X2116">
        <f>IF(ISNUMBER(W2116),'자료_거시'!$G2098,"")</f>
        <v/>
      </c>
      <c r="Y2116">
        <f>IF(ISNUMBER(X2116),IF(X2116&gt;$L$7,W2116,""),"")</f>
        <v/>
      </c>
      <c r="Z2116">
        <f>IF(ISNUMBER('자료_거시'!$K2098),'자료_거시'!$K2098,Z2115)</f>
        <v/>
      </c>
      <c r="AA2116">
        <f>IF(AND(ISNUMBER('자료_거시'!$J2098),ISNUMBER('자료_거시'!$K2098)),IFERROR('자료_거시'!$K2098/INDEX($Z$21:$Z$4020,MATCH(EDATE('자료_거시'!$J2098,-'설정'!$B$17),'자료_거시'!$J$3:INDEX('자료_거시'!$J$3:$J$4002,$K$8),1))-1,""),"")</f>
        <v/>
      </c>
      <c r="AB2116">
        <f>IF(ISNUMBER(AA2116),'자료_거시'!$J2098,"")</f>
        <v/>
      </c>
      <c r="AC2116">
        <f>IF(ISNUMBER(AB2116),IF(AB2116&gt;$L$8,AA2116,""),"")</f>
        <v/>
      </c>
    </row>
    <row r="2117">
      <c r="S2117">
        <f>IF(ISNUMBER('자료_거시'!$E2099),'자료_거시'!$E2099,S2116)</f>
        <v/>
      </c>
      <c r="T2117">
        <f>IF(AND(ISNUMBER('자료_거시'!$D2099),ISNUMBER('자료_거시'!$E2099)),IFERROR('자료_거시'!$E2099-INDEX($S$21:$S$4020,MATCH(EDATE('자료_거시'!$D2099,-'설정'!$B$17),'자료_거시'!$D$3:INDEX('자료_거시'!$D$3:$D$4002,$K$6),1)),""),"")</f>
        <v/>
      </c>
      <c r="U2117">
        <f>IF(ISNUMBER(T2117),'자료_거시'!$D2099,"")</f>
        <v/>
      </c>
      <c r="V2117">
        <f>IF(ISNUMBER(U2117),IF(U2117&gt;$L$6,T2117,""),"")</f>
        <v/>
      </c>
      <c r="W2117">
        <f>IF(AND(ISNUMBER('자료_거시'!$G2099),ISNUMBER('자료_거시'!$H2099)),'자료_거시'!$H2099,"")</f>
        <v/>
      </c>
      <c r="X2117">
        <f>IF(ISNUMBER(W2117),'자료_거시'!$G2099,"")</f>
        <v/>
      </c>
      <c r="Y2117">
        <f>IF(ISNUMBER(X2117),IF(X2117&gt;$L$7,W2117,""),"")</f>
        <v/>
      </c>
      <c r="Z2117">
        <f>IF(ISNUMBER('자료_거시'!$K2099),'자료_거시'!$K2099,Z2116)</f>
        <v/>
      </c>
      <c r="AA2117">
        <f>IF(AND(ISNUMBER('자료_거시'!$J2099),ISNUMBER('자료_거시'!$K2099)),IFERROR('자료_거시'!$K2099/INDEX($Z$21:$Z$4020,MATCH(EDATE('자료_거시'!$J2099,-'설정'!$B$17),'자료_거시'!$J$3:INDEX('자료_거시'!$J$3:$J$4002,$K$8),1))-1,""),"")</f>
        <v/>
      </c>
      <c r="AB2117">
        <f>IF(ISNUMBER(AA2117),'자료_거시'!$J2099,"")</f>
        <v/>
      </c>
      <c r="AC2117">
        <f>IF(ISNUMBER(AB2117),IF(AB2117&gt;$L$8,AA2117,""),"")</f>
        <v/>
      </c>
    </row>
    <row r="2118">
      <c r="S2118">
        <f>IF(ISNUMBER('자료_거시'!$E2100),'자료_거시'!$E2100,S2117)</f>
        <v/>
      </c>
      <c r="T2118">
        <f>IF(AND(ISNUMBER('자료_거시'!$D2100),ISNUMBER('자료_거시'!$E2100)),IFERROR('자료_거시'!$E2100-INDEX($S$21:$S$4020,MATCH(EDATE('자료_거시'!$D2100,-'설정'!$B$17),'자료_거시'!$D$3:INDEX('자료_거시'!$D$3:$D$4002,$K$6),1)),""),"")</f>
        <v/>
      </c>
      <c r="U2118">
        <f>IF(ISNUMBER(T2118),'자료_거시'!$D2100,"")</f>
        <v/>
      </c>
      <c r="V2118">
        <f>IF(ISNUMBER(U2118),IF(U2118&gt;$L$6,T2118,""),"")</f>
        <v/>
      </c>
      <c r="W2118">
        <f>IF(AND(ISNUMBER('자료_거시'!$G2100),ISNUMBER('자료_거시'!$H2100)),'자료_거시'!$H2100,"")</f>
        <v/>
      </c>
      <c r="X2118">
        <f>IF(ISNUMBER(W2118),'자료_거시'!$G2100,"")</f>
        <v/>
      </c>
      <c r="Y2118">
        <f>IF(ISNUMBER(X2118),IF(X2118&gt;$L$7,W2118,""),"")</f>
        <v/>
      </c>
      <c r="Z2118">
        <f>IF(ISNUMBER('자료_거시'!$K2100),'자료_거시'!$K2100,Z2117)</f>
        <v/>
      </c>
      <c r="AA2118">
        <f>IF(AND(ISNUMBER('자료_거시'!$J2100),ISNUMBER('자료_거시'!$K2100)),IFERROR('자료_거시'!$K2100/INDEX($Z$21:$Z$4020,MATCH(EDATE('자료_거시'!$J2100,-'설정'!$B$17),'자료_거시'!$J$3:INDEX('자료_거시'!$J$3:$J$4002,$K$8),1))-1,""),"")</f>
        <v/>
      </c>
      <c r="AB2118">
        <f>IF(ISNUMBER(AA2118),'자료_거시'!$J2100,"")</f>
        <v/>
      </c>
      <c r="AC2118">
        <f>IF(ISNUMBER(AB2118),IF(AB2118&gt;$L$8,AA2118,""),"")</f>
        <v/>
      </c>
    </row>
    <row r="2119">
      <c r="S2119">
        <f>IF(ISNUMBER('자료_거시'!$E2101),'자료_거시'!$E2101,S2118)</f>
        <v/>
      </c>
      <c r="T2119">
        <f>IF(AND(ISNUMBER('자료_거시'!$D2101),ISNUMBER('자료_거시'!$E2101)),IFERROR('자료_거시'!$E2101-INDEX($S$21:$S$4020,MATCH(EDATE('자료_거시'!$D2101,-'설정'!$B$17),'자료_거시'!$D$3:INDEX('자료_거시'!$D$3:$D$4002,$K$6),1)),""),"")</f>
        <v/>
      </c>
      <c r="U2119">
        <f>IF(ISNUMBER(T2119),'자료_거시'!$D2101,"")</f>
        <v/>
      </c>
      <c r="V2119">
        <f>IF(ISNUMBER(U2119),IF(U2119&gt;$L$6,T2119,""),"")</f>
        <v/>
      </c>
      <c r="W2119">
        <f>IF(AND(ISNUMBER('자료_거시'!$G2101),ISNUMBER('자료_거시'!$H2101)),'자료_거시'!$H2101,"")</f>
        <v/>
      </c>
      <c r="X2119">
        <f>IF(ISNUMBER(W2119),'자료_거시'!$G2101,"")</f>
        <v/>
      </c>
      <c r="Y2119">
        <f>IF(ISNUMBER(X2119),IF(X2119&gt;$L$7,W2119,""),"")</f>
        <v/>
      </c>
      <c r="Z2119">
        <f>IF(ISNUMBER('자료_거시'!$K2101),'자료_거시'!$K2101,Z2118)</f>
        <v/>
      </c>
      <c r="AA2119">
        <f>IF(AND(ISNUMBER('자료_거시'!$J2101),ISNUMBER('자료_거시'!$K2101)),IFERROR('자료_거시'!$K2101/INDEX($Z$21:$Z$4020,MATCH(EDATE('자료_거시'!$J2101,-'설정'!$B$17),'자료_거시'!$J$3:INDEX('자료_거시'!$J$3:$J$4002,$K$8),1))-1,""),"")</f>
        <v/>
      </c>
      <c r="AB2119">
        <f>IF(ISNUMBER(AA2119),'자료_거시'!$J2101,"")</f>
        <v/>
      </c>
      <c r="AC2119">
        <f>IF(ISNUMBER(AB2119),IF(AB2119&gt;$L$8,AA2119,""),"")</f>
        <v/>
      </c>
    </row>
    <row r="2120">
      <c r="S2120">
        <f>IF(ISNUMBER('자료_거시'!$E2102),'자료_거시'!$E2102,S2119)</f>
        <v/>
      </c>
      <c r="T2120">
        <f>IF(AND(ISNUMBER('자료_거시'!$D2102),ISNUMBER('자료_거시'!$E2102)),IFERROR('자료_거시'!$E2102-INDEX($S$21:$S$4020,MATCH(EDATE('자료_거시'!$D2102,-'설정'!$B$17),'자료_거시'!$D$3:INDEX('자료_거시'!$D$3:$D$4002,$K$6),1)),""),"")</f>
        <v/>
      </c>
      <c r="U2120">
        <f>IF(ISNUMBER(T2120),'자료_거시'!$D2102,"")</f>
        <v/>
      </c>
      <c r="V2120">
        <f>IF(ISNUMBER(U2120),IF(U2120&gt;$L$6,T2120,""),"")</f>
        <v/>
      </c>
      <c r="W2120">
        <f>IF(AND(ISNUMBER('자료_거시'!$G2102),ISNUMBER('자료_거시'!$H2102)),'자료_거시'!$H2102,"")</f>
        <v/>
      </c>
      <c r="X2120">
        <f>IF(ISNUMBER(W2120),'자료_거시'!$G2102,"")</f>
        <v/>
      </c>
      <c r="Y2120">
        <f>IF(ISNUMBER(X2120),IF(X2120&gt;$L$7,W2120,""),"")</f>
        <v/>
      </c>
      <c r="Z2120">
        <f>IF(ISNUMBER('자료_거시'!$K2102),'자료_거시'!$K2102,Z2119)</f>
        <v/>
      </c>
      <c r="AA2120">
        <f>IF(AND(ISNUMBER('자료_거시'!$J2102),ISNUMBER('자료_거시'!$K2102)),IFERROR('자료_거시'!$K2102/INDEX($Z$21:$Z$4020,MATCH(EDATE('자료_거시'!$J2102,-'설정'!$B$17),'자료_거시'!$J$3:INDEX('자료_거시'!$J$3:$J$4002,$K$8),1))-1,""),"")</f>
        <v/>
      </c>
      <c r="AB2120">
        <f>IF(ISNUMBER(AA2120),'자료_거시'!$J2102,"")</f>
        <v/>
      </c>
      <c r="AC2120">
        <f>IF(ISNUMBER(AB2120),IF(AB2120&gt;$L$8,AA2120,""),"")</f>
        <v/>
      </c>
    </row>
    <row r="2121">
      <c r="S2121">
        <f>IF(ISNUMBER('자료_거시'!$E2103),'자료_거시'!$E2103,S2120)</f>
        <v/>
      </c>
      <c r="T2121">
        <f>IF(AND(ISNUMBER('자료_거시'!$D2103),ISNUMBER('자료_거시'!$E2103)),IFERROR('자료_거시'!$E2103-INDEX($S$21:$S$4020,MATCH(EDATE('자료_거시'!$D2103,-'설정'!$B$17),'자료_거시'!$D$3:INDEX('자료_거시'!$D$3:$D$4002,$K$6),1)),""),"")</f>
        <v/>
      </c>
      <c r="U2121">
        <f>IF(ISNUMBER(T2121),'자료_거시'!$D2103,"")</f>
        <v/>
      </c>
      <c r="V2121">
        <f>IF(ISNUMBER(U2121),IF(U2121&gt;$L$6,T2121,""),"")</f>
        <v/>
      </c>
      <c r="W2121">
        <f>IF(AND(ISNUMBER('자료_거시'!$G2103),ISNUMBER('자료_거시'!$H2103)),'자료_거시'!$H2103,"")</f>
        <v/>
      </c>
      <c r="X2121">
        <f>IF(ISNUMBER(W2121),'자료_거시'!$G2103,"")</f>
        <v/>
      </c>
      <c r="Y2121">
        <f>IF(ISNUMBER(X2121),IF(X2121&gt;$L$7,W2121,""),"")</f>
        <v/>
      </c>
      <c r="Z2121">
        <f>IF(ISNUMBER('자료_거시'!$K2103),'자료_거시'!$K2103,Z2120)</f>
        <v/>
      </c>
      <c r="AA2121">
        <f>IF(AND(ISNUMBER('자료_거시'!$J2103),ISNUMBER('자료_거시'!$K2103)),IFERROR('자료_거시'!$K2103/INDEX($Z$21:$Z$4020,MATCH(EDATE('자료_거시'!$J2103,-'설정'!$B$17),'자료_거시'!$J$3:INDEX('자료_거시'!$J$3:$J$4002,$K$8),1))-1,""),"")</f>
        <v/>
      </c>
      <c r="AB2121">
        <f>IF(ISNUMBER(AA2121),'자료_거시'!$J2103,"")</f>
        <v/>
      </c>
      <c r="AC2121">
        <f>IF(ISNUMBER(AB2121),IF(AB2121&gt;$L$8,AA2121,""),"")</f>
        <v/>
      </c>
    </row>
    <row r="2122">
      <c r="S2122">
        <f>IF(ISNUMBER('자료_거시'!$E2104),'자료_거시'!$E2104,S2121)</f>
        <v/>
      </c>
      <c r="T2122">
        <f>IF(AND(ISNUMBER('자료_거시'!$D2104),ISNUMBER('자료_거시'!$E2104)),IFERROR('자료_거시'!$E2104-INDEX($S$21:$S$4020,MATCH(EDATE('자료_거시'!$D2104,-'설정'!$B$17),'자료_거시'!$D$3:INDEX('자료_거시'!$D$3:$D$4002,$K$6),1)),""),"")</f>
        <v/>
      </c>
      <c r="U2122">
        <f>IF(ISNUMBER(T2122),'자료_거시'!$D2104,"")</f>
        <v/>
      </c>
      <c r="V2122">
        <f>IF(ISNUMBER(U2122),IF(U2122&gt;$L$6,T2122,""),"")</f>
        <v/>
      </c>
      <c r="W2122">
        <f>IF(AND(ISNUMBER('자료_거시'!$G2104),ISNUMBER('자료_거시'!$H2104)),'자료_거시'!$H2104,"")</f>
        <v/>
      </c>
      <c r="X2122">
        <f>IF(ISNUMBER(W2122),'자료_거시'!$G2104,"")</f>
        <v/>
      </c>
      <c r="Y2122">
        <f>IF(ISNUMBER(X2122),IF(X2122&gt;$L$7,W2122,""),"")</f>
        <v/>
      </c>
      <c r="Z2122">
        <f>IF(ISNUMBER('자료_거시'!$K2104),'자료_거시'!$K2104,Z2121)</f>
        <v/>
      </c>
      <c r="AA2122">
        <f>IF(AND(ISNUMBER('자료_거시'!$J2104),ISNUMBER('자료_거시'!$K2104)),IFERROR('자료_거시'!$K2104/INDEX($Z$21:$Z$4020,MATCH(EDATE('자료_거시'!$J2104,-'설정'!$B$17),'자료_거시'!$J$3:INDEX('자료_거시'!$J$3:$J$4002,$K$8),1))-1,""),"")</f>
        <v/>
      </c>
      <c r="AB2122">
        <f>IF(ISNUMBER(AA2122),'자료_거시'!$J2104,"")</f>
        <v/>
      </c>
      <c r="AC2122">
        <f>IF(ISNUMBER(AB2122),IF(AB2122&gt;$L$8,AA2122,""),"")</f>
        <v/>
      </c>
    </row>
    <row r="2123">
      <c r="S2123">
        <f>IF(ISNUMBER('자료_거시'!$E2105),'자료_거시'!$E2105,S2122)</f>
        <v/>
      </c>
      <c r="T2123">
        <f>IF(AND(ISNUMBER('자료_거시'!$D2105),ISNUMBER('자료_거시'!$E2105)),IFERROR('자료_거시'!$E2105-INDEX($S$21:$S$4020,MATCH(EDATE('자료_거시'!$D2105,-'설정'!$B$17),'자료_거시'!$D$3:INDEX('자료_거시'!$D$3:$D$4002,$K$6),1)),""),"")</f>
        <v/>
      </c>
      <c r="U2123">
        <f>IF(ISNUMBER(T2123),'자료_거시'!$D2105,"")</f>
        <v/>
      </c>
      <c r="V2123">
        <f>IF(ISNUMBER(U2123),IF(U2123&gt;$L$6,T2123,""),"")</f>
        <v/>
      </c>
      <c r="W2123">
        <f>IF(AND(ISNUMBER('자료_거시'!$G2105),ISNUMBER('자료_거시'!$H2105)),'자료_거시'!$H2105,"")</f>
        <v/>
      </c>
      <c r="X2123">
        <f>IF(ISNUMBER(W2123),'자료_거시'!$G2105,"")</f>
        <v/>
      </c>
      <c r="Y2123">
        <f>IF(ISNUMBER(X2123),IF(X2123&gt;$L$7,W2123,""),"")</f>
        <v/>
      </c>
      <c r="Z2123">
        <f>IF(ISNUMBER('자료_거시'!$K2105),'자료_거시'!$K2105,Z2122)</f>
        <v/>
      </c>
      <c r="AA2123">
        <f>IF(AND(ISNUMBER('자료_거시'!$J2105),ISNUMBER('자료_거시'!$K2105)),IFERROR('자료_거시'!$K2105/INDEX($Z$21:$Z$4020,MATCH(EDATE('자료_거시'!$J2105,-'설정'!$B$17),'자료_거시'!$J$3:INDEX('자료_거시'!$J$3:$J$4002,$K$8),1))-1,""),"")</f>
        <v/>
      </c>
      <c r="AB2123">
        <f>IF(ISNUMBER(AA2123),'자료_거시'!$J2105,"")</f>
        <v/>
      </c>
      <c r="AC2123">
        <f>IF(ISNUMBER(AB2123),IF(AB2123&gt;$L$8,AA2123,""),"")</f>
        <v/>
      </c>
    </row>
    <row r="2124">
      <c r="S2124">
        <f>IF(ISNUMBER('자료_거시'!$E2106),'자료_거시'!$E2106,S2123)</f>
        <v/>
      </c>
      <c r="T2124">
        <f>IF(AND(ISNUMBER('자료_거시'!$D2106),ISNUMBER('자료_거시'!$E2106)),IFERROR('자료_거시'!$E2106-INDEX($S$21:$S$4020,MATCH(EDATE('자료_거시'!$D2106,-'설정'!$B$17),'자료_거시'!$D$3:INDEX('자료_거시'!$D$3:$D$4002,$K$6),1)),""),"")</f>
        <v/>
      </c>
      <c r="U2124">
        <f>IF(ISNUMBER(T2124),'자료_거시'!$D2106,"")</f>
        <v/>
      </c>
      <c r="V2124">
        <f>IF(ISNUMBER(U2124),IF(U2124&gt;$L$6,T2124,""),"")</f>
        <v/>
      </c>
      <c r="W2124">
        <f>IF(AND(ISNUMBER('자료_거시'!$G2106),ISNUMBER('자료_거시'!$H2106)),'자료_거시'!$H2106,"")</f>
        <v/>
      </c>
      <c r="X2124">
        <f>IF(ISNUMBER(W2124),'자료_거시'!$G2106,"")</f>
        <v/>
      </c>
      <c r="Y2124">
        <f>IF(ISNUMBER(X2124),IF(X2124&gt;$L$7,W2124,""),"")</f>
        <v/>
      </c>
      <c r="Z2124">
        <f>IF(ISNUMBER('자료_거시'!$K2106),'자료_거시'!$K2106,Z2123)</f>
        <v/>
      </c>
      <c r="AA2124">
        <f>IF(AND(ISNUMBER('자료_거시'!$J2106),ISNUMBER('자료_거시'!$K2106)),IFERROR('자료_거시'!$K2106/INDEX($Z$21:$Z$4020,MATCH(EDATE('자료_거시'!$J2106,-'설정'!$B$17),'자료_거시'!$J$3:INDEX('자료_거시'!$J$3:$J$4002,$K$8),1))-1,""),"")</f>
        <v/>
      </c>
      <c r="AB2124">
        <f>IF(ISNUMBER(AA2124),'자료_거시'!$J2106,"")</f>
        <v/>
      </c>
      <c r="AC2124">
        <f>IF(ISNUMBER(AB2124),IF(AB2124&gt;$L$8,AA2124,""),"")</f>
        <v/>
      </c>
    </row>
    <row r="2125">
      <c r="S2125">
        <f>IF(ISNUMBER('자료_거시'!$E2107),'자료_거시'!$E2107,S2124)</f>
        <v/>
      </c>
      <c r="T2125">
        <f>IF(AND(ISNUMBER('자료_거시'!$D2107),ISNUMBER('자료_거시'!$E2107)),IFERROR('자료_거시'!$E2107-INDEX($S$21:$S$4020,MATCH(EDATE('자료_거시'!$D2107,-'설정'!$B$17),'자료_거시'!$D$3:INDEX('자료_거시'!$D$3:$D$4002,$K$6),1)),""),"")</f>
        <v/>
      </c>
      <c r="U2125">
        <f>IF(ISNUMBER(T2125),'자료_거시'!$D2107,"")</f>
        <v/>
      </c>
      <c r="V2125">
        <f>IF(ISNUMBER(U2125),IF(U2125&gt;$L$6,T2125,""),"")</f>
        <v/>
      </c>
      <c r="W2125">
        <f>IF(AND(ISNUMBER('자료_거시'!$G2107),ISNUMBER('자료_거시'!$H2107)),'자료_거시'!$H2107,"")</f>
        <v/>
      </c>
      <c r="X2125">
        <f>IF(ISNUMBER(W2125),'자료_거시'!$G2107,"")</f>
        <v/>
      </c>
      <c r="Y2125">
        <f>IF(ISNUMBER(X2125),IF(X2125&gt;$L$7,W2125,""),"")</f>
        <v/>
      </c>
      <c r="Z2125">
        <f>IF(ISNUMBER('자료_거시'!$K2107),'자료_거시'!$K2107,Z2124)</f>
        <v/>
      </c>
      <c r="AA2125">
        <f>IF(AND(ISNUMBER('자료_거시'!$J2107),ISNUMBER('자료_거시'!$K2107)),IFERROR('자료_거시'!$K2107/INDEX($Z$21:$Z$4020,MATCH(EDATE('자료_거시'!$J2107,-'설정'!$B$17),'자료_거시'!$J$3:INDEX('자료_거시'!$J$3:$J$4002,$K$8),1))-1,""),"")</f>
        <v/>
      </c>
      <c r="AB2125">
        <f>IF(ISNUMBER(AA2125),'자료_거시'!$J2107,"")</f>
        <v/>
      </c>
      <c r="AC2125">
        <f>IF(ISNUMBER(AB2125),IF(AB2125&gt;$L$8,AA2125,""),"")</f>
        <v/>
      </c>
    </row>
    <row r="2126">
      <c r="S2126">
        <f>IF(ISNUMBER('자료_거시'!$E2108),'자료_거시'!$E2108,S2125)</f>
        <v/>
      </c>
      <c r="T2126">
        <f>IF(AND(ISNUMBER('자료_거시'!$D2108),ISNUMBER('자료_거시'!$E2108)),IFERROR('자료_거시'!$E2108-INDEX($S$21:$S$4020,MATCH(EDATE('자료_거시'!$D2108,-'설정'!$B$17),'자료_거시'!$D$3:INDEX('자료_거시'!$D$3:$D$4002,$K$6),1)),""),"")</f>
        <v/>
      </c>
      <c r="U2126">
        <f>IF(ISNUMBER(T2126),'자료_거시'!$D2108,"")</f>
        <v/>
      </c>
      <c r="V2126">
        <f>IF(ISNUMBER(U2126),IF(U2126&gt;$L$6,T2126,""),"")</f>
        <v/>
      </c>
      <c r="W2126">
        <f>IF(AND(ISNUMBER('자료_거시'!$G2108),ISNUMBER('자료_거시'!$H2108)),'자료_거시'!$H2108,"")</f>
        <v/>
      </c>
      <c r="X2126">
        <f>IF(ISNUMBER(W2126),'자료_거시'!$G2108,"")</f>
        <v/>
      </c>
      <c r="Y2126">
        <f>IF(ISNUMBER(X2126),IF(X2126&gt;$L$7,W2126,""),"")</f>
        <v/>
      </c>
      <c r="Z2126">
        <f>IF(ISNUMBER('자료_거시'!$K2108),'자료_거시'!$K2108,Z2125)</f>
        <v/>
      </c>
      <c r="AA2126">
        <f>IF(AND(ISNUMBER('자료_거시'!$J2108),ISNUMBER('자료_거시'!$K2108)),IFERROR('자료_거시'!$K2108/INDEX($Z$21:$Z$4020,MATCH(EDATE('자료_거시'!$J2108,-'설정'!$B$17),'자료_거시'!$J$3:INDEX('자료_거시'!$J$3:$J$4002,$K$8),1))-1,""),"")</f>
        <v/>
      </c>
      <c r="AB2126">
        <f>IF(ISNUMBER(AA2126),'자료_거시'!$J2108,"")</f>
        <v/>
      </c>
      <c r="AC2126">
        <f>IF(ISNUMBER(AB2126),IF(AB2126&gt;$L$8,AA2126,""),"")</f>
        <v/>
      </c>
    </row>
    <row r="2127">
      <c r="S2127">
        <f>IF(ISNUMBER('자료_거시'!$E2109),'자료_거시'!$E2109,S2126)</f>
        <v/>
      </c>
      <c r="T2127">
        <f>IF(AND(ISNUMBER('자료_거시'!$D2109),ISNUMBER('자료_거시'!$E2109)),IFERROR('자료_거시'!$E2109-INDEX($S$21:$S$4020,MATCH(EDATE('자료_거시'!$D2109,-'설정'!$B$17),'자료_거시'!$D$3:INDEX('자료_거시'!$D$3:$D$4002,$K$6),1)),""),"")</f>
        <v/>
      </c>
      <c r="U2127">
        <f>IF(ISNUMBER(T2127),'자료_거시'!$D2109,"")</f>
        <v/>
      </c>
      <c r="V2127">
        <f>IF(ISNUMBER(U2127),IF(U2127&gt;$L$6,T2127,""),"")</f>
        <v/>
      </c>
      <c r="W2127">
        <f>IF(AND(ISNUMBER('자료_거시'!$G2109),ISNUMBER('자료_거시'!$H2109)),'자료_거시'!$H2109,"")</f>
        <v/>
      </c>
      <c r="X2127">
        <f>IF(ISNUMBER(W2127),'자료_거시'!$G2109,"")</f>
        <v/>
      </c>
      <c r="Y2127">
        <f>IF(ISNUMBER(X2127),IF(X2127&gt;$L$7,W2127,""),"")</f>
        <v/>
      </c>
      <c r="Z2127">
        <f>IF(ISNUMBER('자료_거시'!$K2109),'자료_거시'!$K2109,Z2126)</f>
        <v/>
      </c>
      <c r="AA2127">
        <f>IF(AND(ISNUMBER('자료_거시'!$J2109),ISNUMBER('자료_거시'!$K2109)),IFERROR('자료_거시'!$K2109/INDEX($Z$21:$Z$4020,MATCH(EDATE('자료_거시'!$J2109,-'설정'!$B$17),'자료_거시'!$J$3:INDEX('자료_거시'!$J$3:$J$4002,$K$8),1))-1,""),"")</f>
        <v/>
      </c>
      <c r="AB2127">
        <f>IF(ISNUMBER(AA2127),'자료_거시'!$J2109,"")</f>
        <v/>
      </c>
      <c r="AC2127">
        <f>IF(ISNUMBER(AB2127),IF(AB2127&gt;$L$8,AA2127,""),"")</f>
        <v/>
      </c>
    </row>
    <row r="2128">
      <c r="S2128">
        <f>IF(ISNUMBER('자료_거시'!$E2110),'자료_거시'!$E2110,S2127)</f>
        <v/>
      </c>
      <c r="T2128">
        <f>IF(AND(ISNUMBER('자료_거시'!$D2110),ISNUMBER('자료_거시'!$E2110)),IFERROR('자료_거시'!$E2110-INDEX($S$21:$S$4020,MATCH(EDATE('자료_거시'!$D2110,-'설정'!$B$17),'자료_거시'!$D$3:INDEX('자료_거시'!$D$3:$D$4002,$K$6),1)),""),"")</f>
        <v/>
      </c>
      <c r="U2128">
        <f>IF(ISNUMBER(T2128),'자료_거시'!$D2110,"")</f>
        <v/>
      </c>
      <c r="V2128">
        <f>IF(ISNUMBER(U2128),IF(U2128&gt;$L$6,T2128,""),"")</f>
        <v/>
      </c>
      <c r="W2128">
        <f>IF(AND(ISNUMBER('자료_거시'!$G2110),ISNUMBER('자료_거시'!$H2110)),'자료_거시'!$H2110,"")</f>
        <v/>
      </c>
      <c r="X2128">
        <f>IF(ISNUMBER(W2128),'자료_거시'!$G2110,"")</f>
        <v/>
      </c>
      <c r="Y2128">
        <f>IF(ISNUMBER(X2128),IF(X2128&gt;$L$7,W2128,""),"")</f>
        <v/>
      </c>
      <c r="Z2128">
        <f>IF(ISNUMBER('자료_거시'!$K2110),'자료_거시'!$K2110,Z2127)</f>
        <v/>
      </c>
      <c r="AA2128">
        <f>IF(AND(ISNUMBER('자료_거시'!$J2110),ISNUMBER('자료_거시'!$K2110)),IFERROR('자료_거시'!$K2110/INDEX($Z$21:$Z$4020,MATCH(EDATE('자료_거시'!$J2110,-'설정'!$B$17),'자료_거시'!$J$3:INDEX('자료_거시'!$J$3:$J$4002,$K$8),1))-1,""),"")</f>
        <v/>
      </c>
      <c r="AB2128">
        <f>IF(ISNUMBER(AA2128),'자료_거시'!$J2110,"")</f>
        <v/>
      </c>
      <c r="AC2128">
        <f>IF(ISNUMBER(AB2128),IF(AB2128&gt;$L$8,AA2128,""),"")</f>
        <v/>
      </c>
    </row>
    <row r="2129">
      <c r="S2129">
        <f>IF(ISNUMBER('자료_거시'!$E2111),'자료_거시'!$E2111,S2128)</f>
        <v/>
      </c>
      <c r="T2129">
        <f>IF(AND(ISNUMBER('자료_거시'!$D2111),ISNUMBER('자료_거시'!$E2111)),IFERROR('자료_거시'!$E2111-INDEX($S$21:$S$4020,MATCH(EDATE('자료_거시'!$D2111,-'설정'!$B$17),'자료_거시'!$D$3:INDEX('자료_거시'!$D$3:$D$4002,$K$6),1)),""),"")</f>
        <v/>
      </c>
      <c r="U2129">
        <f>IF(ISNUMBER(T2129),'자료_거시'!$D2111,"")</f>
        <v/>
      </c>
      <c r="V2129">
        <f>IF(ISNUMBER(U2129),IF(U2129&gt;$L$6,T2129,""),"")</f>
        <v/>
      </c>
      <c r="W2129">
        <f>IF(AND(ISNUMBER('자료_거시'!$G2111),ISNUMBER('자료_거시'!$H2111)),'자료_거시'!$H2111,"")</f>
        <v/>
      </c>
      <c r="X2129">
        <f>IF(ISNUMBER(W2129),'자료_거시'!$G2111,"")</f>
        <v/>
      </c>
      <c r="Y2129">
        <f>IF(ISNUMBER(X2129),IF(X2129&gt;$L$7,W2129,""),"")</f>
        <v/>
      </c>
      <c r="Z2129">
        <f>IF(ISNUMBER('자료_거시'!$K2111),'자료_거시'!$K2111,Z2128)</f>
        <v/>
      </c>
      <c r="AA2129">
        <f>IF(AND(ISNUMBER('자료_거시'!$J2111),ISNUMBER('자료_거시'!$K2111)),IFERROR('자료_거시'!$K2111/INDEX($Z$21:$Z$4020,MATCH(EDATE('자료_거시'!$J2111,-'설정'!$B$17),'자료_거시'!$J$3:INDEX('자료_거시'!$J$3:$J$4002,$K$8),1))-1,""),"")</f>
        <v/>
      </c>
      <c r="AB2129">
        <f>IF(ISNUMBER(AA2129),'자료_거시'!$J2111,"")</f>
        <v/>
      </c>
      <c r="AC2129">
        <f>IF(ISNUMBER(AB2129),IF(AB2129&gt;$L$8,AA2129,""),"")</f>
        <v/>
      </c>
    </row>
    <row r="2130">
      <c r="S2130">
        <f>IF(ISNUMBER('자료_거시'!$E2112),'자료_거시'!$E2112,S2129)</f>
        <v/>
      </c>
      <c r="T2130">
        <f>IF(AND(ISNUMBER('자료_거시'!$D2112),ISNUMBER('자료_거시'!$E2112)),IFERROR('자료_거시'!$E2112-INDEX($S$21:$S$4020,MATCH(EDATE('자료_거시'!$D2112,-'설정'!$B$17),'자료_거시'!$D$3:INDEX('자료_거시'!$D$3:$D$4002,$K$6),1)),""),"")</f>
        <v/>
      </c>
      <c r="U2130">
        <f>IF(ISNUMBER(T2130),'자료_거시'!$D2112,"")</f>
        <v/>
      </c>
      <c r="V2130">
        <f>IF(ISNUMBER(U2130),IF(U2130&gt;$L$6,T2130,""),"")</f>
        <v/>
      </c>
      <c r="W2130">
        <f>IF(AND(ISNUMBER('자료_거시'!$G2112),ISNUMBER('자료_거시'!$H2112)),'자료_거시'!$H2112,"")</f>
        <v/>
      </c>
      <c r="X2130">
        <f>IF(ISNUMBER(W2130),'자료_거시'!$G2112,"")</f>
        <v/>
      </c>
      <c r="Y2130">
        <f>IF(ISNUMBER(X2130),IF(X2130&gt;$L$7,W2130,""),"")</f>
        <v/>
      </c>
      <c r="Z2130">
        <f>IF(ISNUMBER('자료_거시'!$K2112),'자료_거시'!$K2112,Z2129)</f>
        <v/>
      </c>
      <c r="AA2130">
        <f>IF(AND(ISNUMBER('자료_거시'!$J2112),ISNUMBER('자료_거시'!$K2112)),IFERROR('자료_거시'!$K2112/INDEX($Z$21:$Z$4020,MATCH(EDATE('자료_거시'!$J2112,-'설정'!$B$17),'자료_거시'!$J$3:INDEX('자료_거시'!$J$3:$J$4002,$K$8),1))-1,""),"")</f>
        <v/>
      </c>
      <c r="AB2130">
        <f>IF(ISNUMBER(AA2130),'자료_거시'!$J2112,"")</f>
        <v/>
      </c>
      <c r="AC2130">
        <f>IF(ISNUMBER(AB2130),IF(AB2130&gt;$L$8,AA2130,""),"")</f>
        <v/>
      </c>
    </row>
    <row r="2131">
      <c r="S2131">
        <f>IF(ISNUMBER('자료_거시'!$E2113),'자료_거시'!$E2113,S2130)</f>
        <v/>
      </c>
      <c r="T2131">
        <f>IF(AND(ISNUMBER('자료_거시'!$D2113),ISNUMBER('자료_거시'!$E2113)),IFERROR('자료_거시'!$E2113-INDEX($S$21:$S$4020,MATCH(EDATE('자료_거시'!$D2113,-'설정'!$B$17),'자료_거시'!$D$3:INDEX('자료_거시'!$D$3:$D$4002,$K$6),1)),""),"")</f>
        <v/>
      </c>
      <c r="U2131">
        <f>IF(ISNUMBER(T2131),'자료_거시'!$D2113,"")</f>
        <v/>
      </c>
      <c r="V2131">
        <f>IF(ISNUMBER(U2131),IF(U2131&gt;$L$6,T2131,""),"")</f>
        <v/>
      </c>
      <c r="W2131">
        <f>IF(AND(ISNUMBER('자료_거시'!$G2113),ISNUMBER('자료_거시'!$H2113)),'자료_거시'!$H2113,"")</f>
        <v/>
      </c>
      <c r="X2131">
        <f>IF(ISNUMBER(W2131),'자료_거시'!$G2113,"")</f>
        <v/>
      </c>
      <c r="Y2131">
        <f>IF(ISNUMBER(X2131),IF(X2131&gt;$L$7,W2131,""),"")</f>
        <v/>
      </c>
      <c r="Z2131">
        <f>IF(ISNUMBER('자료_거시'!$K2113),'자료_거시'!$K2113,Z2130)</f>
        <v/>
      </c>
      <c r="AA2131">
        <f>IF(AND(ISNUMBER('자료_거시'!$J2113),ISNUMBER('자료_거시'!$K2113)),IFERROR('자료_거시'!$K2113/INDEX($Z$21:$Z$4020,MATCH(EDATE('자료_거시'!$J2113,-'설정'!$B$17),'자료_거시'!$J$3:INDEX('자료_거시'!$J$3:$J$4002,$K$8),1))-1,""),"")</f>
        <v/>
      </c>
      <c r="AB2131">
        <f>IF(ISNUMBER(AA2131),'자료_거시'!$J2113,"")</f>
        <v/>
      </c>
      <c r="AC2131">
        <f>IF(ISNUMBER(AB2131),IF(AB2131&gt;$L$8,AA2131,""),"")</f>
        <v/>
      </c>
    </row>
    <row r="2132">
      <c r="S2132">
        <f>IF(ISNUMBER('자료_거시'!$E2114),'자료_거시'!$E2114,S2131)</f>
        <v/>
      </c>
      <c r="T2132">
        <f>IF(AND(ISNUMBER('자료_거시'!$D2114),ISNUMBER('자료_거시'!$E2114)),IFERROR('자료_거시'!$E2114-INDEX($S$21:$S$4020,MATCH(EDATE('자료_거시'!$D2114,-'설정'!$B$17),'자료_거시'!$D$3:INDEX('자료_거시'!$D$3:$D$4002,$K$6),1)),""),"")</f>
        <v/>
      </c>
      <c r="U2132">
        <f>IF(ISNUMBER(T2132),'자료_거시'!$D2114,"")</f>
        <v/>
      </c>
      <c r="V2132">
        <f>IF(ISNUMBER(U2132),IF(U2132&gt;$L$6,T2132,""),"")</f>
        <v/>
      </c>
      <c r="W2132">
        <f>IF(AND(ISNUMBER('자료_거시'!$G2114),ISNUMBER('자료_거시'!$H2114)),'자료_거시'!$H2114,"")</f>
        <v/>
      </c>
      <c r="X2132">
        <f>IF(ISNUMBER(W2132),'자료_거시'!$G2114,"")</f>
        <v/>
      </c>
      <c r="Y2132">
        <f>IF(ISNUMBER(X2132),IF(X2132&gt;$L$7,W2132,""),"")</f>
        <v/>
      </c>
      <c r="Z2132">
        <f>IF(ISNUMBER('자료_거시'!$K2114),'자료_거시'!$K2114,Z2131)</f>
        <v/>
      </c>
      <c r="AA2132">
        <f>IF(AND(ISNUMBER('자료_거시'!$J2114),ISNUMBER('자료_거시'!$K2114)),IFERROR('자료_거시'!$K2114/INDEX($Z$21:$Z$4020,MATCH(EDATE('자료_거시'!$J2114,-'설정'!$B$17),'자료_거시'!$J$3:INDEX('자료_거시'!$J$3:$J$4002,$K$8),1))-1,""),"")</f>
        <v/>
      </c>
      <c r="AB2132">
        <f>IF(ISNUMBER(AA2132),'자료_거시'!$J2114,"")</f>
        <v/>
      </c>
      <c r="AC2132">
        <f>IF(ISNUMBER(AB2132),IF(AB2132&gt;$L$8,AA2132,""),"")</f>
        <v/>
      </c>
    </row>
    <row r="2133">
      <c r="S2133">
        <f>IF(ISNUMBER('자료_거시'!$E2115),'자료_거시'!$E2115,S2132)</f>
        <v/>
      </c>
      <c r="T2133">
        <f>IF(AND(ISNUMBER('자료_거시'!$D2115),ISNUMBER('자료_거시'!$E2115)),IFERROR('자료_거시'!$E2115-INDEX($S$21:$S$4020,MATCH(EDATE('자료_거시'!$D2115,-'설정'!$B$17),'자료_거시'!$D$3:INDEX('자료_거시'!$D$3:$D$4002,$K$6),1)),""),"")</f>
        <v/>
      </c>
      <c r="U2133">
        <f>IF(ISNUMBER(T2133),'자료_거시'!$D2115,"")</f>
        <v/>
      </c>
      <c r="V2133">
        <f>IF(ISNUMBER(U2133),IF(U2133&gt;$L$6,T2133,""),"")</f>
        <v/>
      </c>
      <c r="W2133">
        <f>IF(AND(ISNUMBER('자료_거시'!$G2115),ISNUMBER('자료_거시'!$H2115)),'자료_거시'!$H2115,"")</f>
        <v/>
      </c>
      <c r="X2133">
        <f>IF(ISNUMBER(W2133),'자료_거시'!$G2115,"")</f>
        <v/>
      </c>
      <c r="Y2133">
        <f>IF(ISNUMBER(X2133),IF(X2133&gt;$L$7,W2133,""),"")</f>
        <v/>
      </c>
      <c r="Z2133">
        <f>IF(ISNUMBER('자료_거시'!$K2115),'자료_거시'!$K2115,Z2132)</f>
        <v/>
      </c>
      <c r="AA2133">
        <f>IF(AND(ISNUMBER('자료_거시'!$J2115),ISNUMBER('자료_거시'!$K2115)),IFERROR('자료_거시'!$K2115/INDEX($Z$21:$Z$4020,MATCH(EDATE('자료_거시'!$J2115,-'설정'!$B$17),'자료_거시'!$J$3:INDEX('자료_거시'!$J$3:$J$4002,$K$8),1))-1,""),"")</f>
        <v/>
      </c>
      <c r="AB2133">
        <f>IF(ISNUMBER(AA2133),'자료_거시'!$J2115,"")</f>
        <v/>
      </c>
      <c r="AC2133">
        <f>IF(ISNUMBER(AB2133),IF(AB2133&gt;$L$8,AA2133,""),"")</f>
        <v/>
      </c>
    </row>
    <row r="2134">
      <c r="S2134">
        <f>IF(ISNUMBER('자료_거시'!$E2116),'자료_거시'!$E2116,S2133)</f>
        <v/>
      </c>
      <c r="T2134">
        <f>IF(AND(ISNUMBER('자료_거시'!$D2116),ISNUMBER('자료_거시'!$E2116)),IFERROR('자료_거시'!$E2116-INDEX($S$21:$S$4020,MATCH(EDATE('자료_거시'!$D2116,-'설정'!$B$17),'자료_거시'!$D$3:INDEX('자료_거시'!$D$3:$D$4002,$K$6),1)),""),"")</f>
        <v/>
      </c>
      <c r="U2134">
        <f>IF(ISNUMBER(T2134),'자료_거시'!$D2116,"")</f>
        <v/>
      </c>
      <c r="V2134">
        <f>IF(ISNUMBER(U2134),IF(U2134&gt;$L$6,T2134,""),"")</f>
        <v/>
      </c>
      <c r="W2134">
        <f>IF(AND(ISNUMBER('자료_거시'!$G2116),ISNUMBER('자료_거시'!$H2116)),'자료_거시'!$H2116,"")</f>
        <v/>
      </c>
      <c r="X2134">
        <f>IF(ISNUMBER(W2134),'자료_거시'!$G2116,"")</f>
        <v/>
      </c>
      <c r="Y2134">
        <f>IF(ISNUMBER(X2134),IF(X2134&gt;$L$7,W2134,""),"")</f>
        <v/>
      </c>
      <c r="Z2134">
        <f>IF(ISNUMBER('자료_거시'!$K2116),'자료_거시'!$K2116,Z2133)</f>
        <v/>
      </c>
      <c r="AA2134">
        <f>IF(AND(ISNUMBER('자료_거시'!$J2116),ISNUMBER('자료_거시'!$K2116)),IFERROR('자료_거시'!$K2116/INDEX($Z$21:$Z$4020,MATCH(EDATE('자료_거시'!$J2116,-'설정'!$B$17),'자료_거시'!$J$3:INDEX('자료_거시'!$J$3:$J$4002,$K$8),1))-1,""),"")</f>
        <v/>
      </c>
      <c r="AB2134">
        <f>IF(ISNUMBER(AA2134),'자료_거시'!$J2116,"")</f>
        <v/>
      </c>
      <c r="AC2134">
        <f>IF(ISNUMBER(AB2134),IF(AB2134&gt;$L$8,AA2134,""),"")</f>
        <v/>
      </c>
    </row>
    <row r="2135">
      <c r="S2135">
        <f>IF(ISNUMBER('자료_거시'!$E2117),'자료_거시'!$E2117,S2134)</f>
        <v/>
      </c>
      <c r="T2135">
        <f>IF(AND(ISNUMBER('자료_거시'!$D2117),ISNUMBER('자료_거시'!$E2117)),IFERROR('자료_거시'!$E2117-INDEX($S$21:$S$4020,MATCH(EDATE('자료_거시'!$D2117,-'설정'!$B$17),'자료_거시'!$D$3:INDEX('자료_거시'!$D$3:$D$4002,$K$6),1)),""),"")</f>
        <v/>
      </c>
      <c r="U2135">
        <f>IF(ISNUMBER(T2135),'자료_거시'!$D2117,"")</f>
        <v/>
      </c>
      <c r="V2135">
        <f>IF(ISNUMBER(U2135),IF(U2135&gt;$L$6,T2135,""),"")</f>
        <v/>
      </c>
      <c r="W2135">
        <f>IF(AND(ISNUMBER('자료_거시'!$G2117),ISNUMBER('자료_거시'!$H2117)),'자료_거시'!$H2117,"")</f>
        <v/>
      </c>
      <c r="X2135">
        <f>IF(ISNUMBER(W2135),'자료_거시'!$G2117,"")</f>
        <v/>
      </c>
      <c r="Y2135">
        <f>IF(ISNUMBER(X2135),IF(X2135&gt;$L$7,W2135,""),"")</f>
        <v/>
      </c>
      <c r="Z2135">
        <f>IF(ISNUMBER('자료_거시'!$K2117),'자료_거시'!$K2117,Z2134)</f>
        <v/>
      </c>
      <c r="AA2135">
        <f>IF(AND(ISNUMBER('자료_거시'!$J2117),ISNUMBER('자료_거시'!$K2117)),IFERROR('자료_거시'!$K2117/INDEX($Z$21:$Z$4020,MATCH(EDATE('자료_거시'!$J2117,-'설정'!$B$17),'자료_거시'!$J$3:INDEX('자료_거시'!$J$3:$J$4002,$K$8),1))-1,""),"")</f>
        <v/>
      </c>
      <c r="AB2135">
        <f>IF(ISNUMBER(AA2135),'자료_거시'!$J2117,"")</f>
        <v/>
      </c>
      <c r="AC2135">
        <f>IF(ISNUMBER(AB2135),IF(AB2135&gt;$L$8,AA2135,""),"")</f>
        <v/>
      </c>
    </row>
    <row r="2136">
      <c r="S2136">
        <f>IF(ISNUMBER('자료_거시'!$E2118),'자료_거시'!$E2118,S2135)</f>
        <v/>
      </c>
      <c r="T2136">
        <f>IF(AND(ISNUMBER('자료_거시'!$D2118),ISNUMBER('자료_거시'!$E2118)),IFERROR('자료_거시'!$E2118-INDEX($S$21:$S$4020,MATCH(EDATE('자료_거시'!$D2118,-'설정'!$B$17),'자료_거시'!$D$3:INDEX('자료_거시'!$D$3:$D$4002,$K$6),1)),""),"")</f>
        <v/>
      </c>
      <c r="U2136">
        <f>IF(ISNUMBER(T2136),'자료_거시'!$D2118,"")</f>
        <v/>
      </c>
      <c r="V2136">
        <f>IF(ISNUMBER(U2136),IF(U2136&gt;$L$6,T2136,""),"")</f>
        <v/>
      </c>
      <c r="W2136">
        <f>IF(AND(ISNUMBER('자료_거시'!$G2118),ISNUMBER('자료_거시'!$H2118)),'자료_거시'!$H2118,"")</f>
        <v/>
      </c>
      <c r="X2136">
        <f>IF(ISNUMBER(W2136),'자료_거시'!$G2118,"")</f>
        <v/>
      </c>
      <c r="Y2136">
        <f>IF(ISNUMBER(X2136),IF(X2136&gt;$L$7,W2136,""),"")</f>
        <v/>
      </c>
      <c r="Z2136">
        <f>IF(ISNUMBER('자료_거시'!$K2118),'자료_거시'!$K2118,Z2135)</f>
        <v/>
      </c>
      <c r="AA2136">
        <f>IF(AND(ISNUMBER('자료_거시'!$J2118),ISNUMBER('자료_거시'!$K2118)),IFERROR('자료_거시'!$K2118/INDEX($Z$21:$Z$4020,MATCH(EDATE('자료_거시'!$J2118,-'설정'!$B$17),'자료_거시'!$J$3:INDEX('자료_거시'!$J$3:$J$4002,$K$8),1))-1,""),"")</f>
        <v/>
      </c>
      <c r="AB2136">
        <f>IF(ISNUMBER(AA2136),'자료_거시'!$J2118,"")</f>
        <v/>
      </c>
      <c r="AC2136">
        <f>IF(ISNUMBER(AB2136),IF(AB2136&gt;$L$8,AA2136,""),"")</f>
        <v/>
      </c>
    </row>
    <row r="2137">
      <c r="S2137">
        <f>IF(ISNUMBER('자료_거시'!$E2119),'자료_거시'!$E2119,S2136)</f>
        <v/>
      </c>
      <c r="T2137">
        <f>IF(AND(ISNUMBER('자료_거시'!$D2119),ISNUMBER('자료_거시'!$E2119)),IFERROR('자료_거시'!$E2119-INDEX($S$21:$S$4020,MATCH(EDATE('자료_거시'!$D2119,-'설정'!$B$17),'자료_거시'!$D$3:INDEX('자료_거시'!$D$3:$D$4002,$K$6),1)),""),"")</f>
        <v/>
      </c>
      <c r="U2137">
        <f>IF(ISNUMBER(T2137),'자료_거시'!$D2119,"")</f>
        <v/>
      </c>
      <c r="V2137">
        <f>IF(ISNUMBER(U2137),IF(U2137&gt;$L$6,T2137,""),"")</f>
        <v/>
      </c>
      <c r="W2137">
        <f>IF(AND(ISNUMBER('자료_거시'!$G2119),ISNUMBER('자료_거시'!$H2119)),'자료_거시'!$H2119,"")</f>
        <v/>
      </c>
      <c r="X2137">
        <f>IF(ISNUMBER(W2137),'자료_거시'!$G2119,"")</f>
        <v/>
      </c>
      <c r="Y2137">
        <f>IF(ISNUMBER(X2137),IF(X2137&gt;$L$7,W2137,""),"")</f>
        <v/>
      </c>
      <c r="Z2137">
        <f>IF(ISNUMBER('자료_거시'!$K2119),'자료_거시'!$K2119,Z2136)</f>
        <v/>
      </c>
      <c r="AA2137">
        <f>IF(AND(ISNUMBER('자료_거시'!$J2119),ISNUMBER('자료_거시'!$K2119)),IFERROR('자료_거시'!$K2119/INDEX($Z$21:$Z$4020,MATCH(EDATE('자료_거시'!$J2119,-'설정'!$B$17),'자료_거시'!$J$3:INDEX('자료_거시'!$J$3:$J$4002,$K$8),1))-1,""),"")</f>
        <v/>
      </c>
      <c r="AB2137">
        <f>IF(ISNUMBER(AA2137),'자료_거시'!$J2119,"")</f>
        <v/>
      </c>
      <c r="AC2137">
        <f>IF(ISNUMBER(AB2137),IF(AB2137&gt;$L$8,AA2137,""),"")</f>
        <v/>
      </c>
    </row>
    <row r="2138">
      <c r="S2138">
        <f>IF(ISNUMBER('자료_거시'!$E2120),'자료_거시'!$E2120,S2137)</f>
        <v/>
      </c>
      <c r="T2138">
        <f>IF(AND(ISNUMBER('자료_거시'!$D2120),ISNUMBER('자료_거시'!$E2120)),IFERROR('자료_거시'!$E2120-INDEX($S$21:$S$4020,MATCH(EDATE('자료_거시'!$D2120,-'설정'!$B$17),'자료_거시'!$D$3:INDEX('자료_거시'!$D$3:$D$4002,$K$6),1)),""),"")</f>
        <v/>
      </c>
      <c r="U2138">
        <f>IF(ISNUMBER(T2138),'자료_거시'!$D2120,"")</f>
        <v/>
      </c>
      <c r="V2138">
        <f>IF(ISNUMBER(U2138),IF(U2138&gt;$L$6,T2138,""),"")</f>
        <v/>
      </c>
      <c r="W2138">
        <f>IF(AND(ISNUMBER('자료_거시'!$G2120),ISNUMBER('자료_거시'!$H2120)),'자료_거시'!$H2120,"")</f>
        <v/>
      </c>
      <c r="X2138">
        <f>IF(ISNUMBER(W2138),'자료_거시'!$G2120,"")</f>
        <v/>
      </c>
      <c r="Y2138">
        <f>IF(ISNUMBER(X2138),IF(X2138&gt;$L$7,W2138,""),"")</f>
        <v/>
      </c>
      <c r="Z2138">
        <f>IF(ISNUMBER('자료_거시'!$K2120),'자료_거시'!$K2120,Z2137)</f>
        <v/>
      </c>
      <c r="AA2138">
        <f>IF(AND(ISNUMBER('자료_거시'!$J2120),ISNUMBER('자료_거시'!$K2120)),IFERROR('자료_거시'!$K2120/INDEX($Z$21:$Z$4020,MATCH(EDATE('자료_거시'!$J2120,-'설정'!$B$17),'자료_거시'!$J$3:INDEX('자료_거시'!$J$3:$J$4002,$K$8),1))-1,""),"")</f>
        <v/>
      </c>
      <c r="AB2138">
        <f>IF(ISNUMBER(AA2138),'자료_거시'!$J2120,"")</f>
        <v/>
      </c>
      <c r="AC2138">
        <f>IF(ISNUMBER(AB2138),IF(AB2138&gt;$L$8,AA2138,""),"")</f>
        <v/>
      </c>
    </row>
    <row r="2139">
      <c r="S2139">
        <f>IF(ISNUMBER('자료_거시'!$E2121),'자료_거시'!$E2121,S2138)</f>
        <v/>
      </c>
      <c r="T2139">
        <f>IF(AND(ISNUMBER('자료_거시'!$D2121),ISNUMBER('자료_거시'!$E2121)),IFERROR('자료_거시'!$E2121-INDEX($S$21:$S$4020,MATCH(EDATE('자료_거시'!$D2121,-'설정'!$B$17),'자료_거시'!$D$3:INDEX('자료_거시'!$D$3:$D$4002,$K$6),1)),""),"")</f>
        <v/>
      </c>
      <c r="U2139">
        <f>IF(ISNUMBER(T2139),'자료_거시'!$D2121,"")</f>
        <v/>
      </c>
      <c r="V2139">
        <f>IF(ISNUMBER(U2139),IF(U2139&gt;$L$6,T2139,""),"")</f>
        <v/>
      </c>
      <c r="W2139">
        <f>IF(AND(ISNUMBER('자료_거시'!$G2121),ISNUMBER('자료_거시'!$H2121)),'자료_거시'!$H2121,"")</f>
        <v/>
      </c>
      <c r="X2139">
        <f>IF(ISNUMBER(W2139),'자료_거시'!$G2121,"")</f>
        <v/>
      </c>
      <c r="Y2139">
        <f>IF(ISNUMBER(X2139),IF(X2139&gt;$L$7,W2139,""),"")</f>
        <v/>
      </c>
      <c r="Z2139">
        <f>IF(ISNUMBER('자료_거시'!$K2121),'자료_거시'!$K2121,Z2138)</f>
        <v/>
      </c>
      <c r="AA2139">
        <f>IF(AND(ISNUMBER('자료_거시'!$J2121),ISNUMBER('자료_거시'!$K2121)),IFERROR('자료_거시'!$K2121/INDEX($Z$21:$Z$4020,MATCH(EDATE('자료_거시'!$J2121,-'설정'!$B$17),'자료_거시'!$J$3:INDEX('자료_거시'!$J$3:$J$4002,$K$8),1))-1,""),"")</f>
        <v/>
      </c>
      <c r="AB2139">
        <f>IF(ISNUMBER(AA2139),'자료_거시'!$J2121,"")</f>
        <v/>
      </c>
      <c r="AC2139">
        <f>IF(ISNUMBER(AB2139),IF(AB2139&gt;$L$8,AA2139,""),"")</f>
        <v/>
      </c>
    </row>
    <row r="2140">
      <c r="S2140">
        <f>IF(ISNUMBER('자료_거시'!$E2122),'자료_거시'!$E2122,S2139)</f>
        <v/>
      </c>
      <c r="T2140">
        <f>IF(AND(ISNUMBER('자료_거시'!$D2122),ISNUMBER('자료_거시'!$E2122)),IFERROR('자료_거시'!$E2122-INDEX($S$21:$S$4020,MATCH(EDATE('자료_거시'!$D2122,-'설정'!$B$17),'자료_거시'!$D$3:INDEX('자료_거시'!$D$3:$D$4002,$K$6),1)),""),"")</f>
        <v/>
      </c>
      <c r="U2140">
        <f>IF(ISNUMBER(T2140),'자료_거시'!$D2122,"")</f>
        <v/>
      </c>
      <c r="V2140">
        <f>IF(ISNUMBER(U2140),IF(U2140&gt;$L$6,T2140,""),"")</f>
        <v/>
      </c>
      <c r="W2140">
        <f>IF(AND(ISNUMBER('자료_거시'!$G2122),ISNUMBER('자료_거시'!$H2122)),'자료_거시'!$H2122,"")</f>
        <v/>
      </c>
      <c r="X2140">
        <f>IF(ISNUMBER(W2140),'자료_거시'!$G2122,"")</f>
        <v/>
      </c>
      <c r="Y2140">
        <f>IF(ISNUMBER(X2140),IF(X2140&gt;$L$7,W2140,""),"")</f>
        <v/>
      </c>
      <c r="Z2140">
        <f>IF(ISNUMBER('자료_거시'!$K2122),'자료_거시'!$K2122,Z2139)</f>
        <v/>
      </c>
      <c r="AA2140">
        <f>IF(AND(ISNUMBER('자료_거시'!$J2122),ISNUMBER('자료_거시'!$K2122)),IFERROR('자료_거시'!$K2122/INDEX($Z$21:$Z$4020,MATCH(EDATE('자료_거시'!$J2122,-'설정'!$B$17),'자료_거시'!$J$3:INDEX('자료_거시'!$J$3:$J$4002,$K$8),1))-1,""),"")</f>
        <v/>
      </c>
      <c r="AB2140">
        <f>IF(ISNUMBER(AA2140),'자료_거시'!$J2122,"")</f>
        <v/>
      </c>
      <c r="AC2140">
        <f>IF(ISNUMBER(AB2140),IF(AB2140&gt;$L$8,AA2140,""),"")</f>
        <v/>
      </c>
    </row>
    <row r="2141">
      <c r="S2141">
        <f>IF(ISNUMBER('자료_거시'!$E2123),'자료_거시'!$E2123,S2140)</f>
        <v/>
      </c>
      <c r="T2141">
        <f>IF(AND(ISNUMBER('자료_거시'!$D2123),ISNUMBER('자료_거시'!$E2123)),IFERROR('자료_거시'!$E2123-INDEX($S$21:$S$4020,MATCH(EDATE('자료_거시'!$D2123,-'설정'!$B$17),'자료_거시'!$D$3:INDEX('자료_거시'!$D$3:$D$4002,$K$6),1)),""),"")</f>
        <v/>
      </c>
      <c r="U2141">
        <f>IF(ISNUMBER(T2141),'자료_거시'!$D2123,"")</f>
        <v/>
      </c>
      <c r="V2141">
        <f>IF(ISNUMBER(U2141),IF(U2141&gt;$L$6,T2141,""),"")</f>
        <v/>
      </c>
      <c r="W2141">
        <f>IF(AND(ISNUMBER('자료_거시'!$G2123),ISNUMBER('자료_거시'!$H2123)),'자료_거시'!$H2123,"")</f>
        <v/>
      </c>
      <c r="X2141">
        <f>IF(ISNUMBER(W2141),'자료_거시'!$G2123,"")</f>
        <v/>
      </c>
      <c r="Y2141">
        <f>IF(ISNUMBER(X2141),IF(X2141&gt;$L$7,W2141,""),"")</f>
        <v/>
      </c>
      <c r="Z2141">
        <f>IF(ISNUMBER('자료_거시'!$K2123),'자료_거시'!$K2123,Z2140)</f>
        <v/>
      </c>
      <c r="AA2141">
        <f>IF(AND(ISNUMBER('자료_거시'!$J2123),ISNUMBER('자료_거시'!$K2123)),IFERROR('자료_거시'!$K2123/INDEX($Z$21:$Z$4020,MATCH(EDATE('자료_거시'!$J2123,-'설정'!$B$17),'자료_거시'!$J$3:INDEX('자료_거시'!$J$3:$J$4002,$K$8),1))-1,""),"")</f>
        <v/>
      </c>
      <c r="AB2141">
        <f>IF(ISNUMBER(AA2141),'자료_거시'!$J2123,"")</f>
        <v/>
      </c>
      <c r="AC2141">
        <f>IF(ISNUMBER(AB2141),IF(AB2141&gt;$L$8,AA2141,""),"")</f>
        <v/>
      </c>
    </row>
    <row r="2142">
      <c r="S2142">
        <f>IF(ISNUMBER('자료_거시'!$E2124),'자료_거시'!$E2124,S2141)</f>
        <v/>
      </c>
      <c r="T2142">
        <f>IF(AND(ISNUMBER('자료_거시'!$D2124),ISNUMBER('자료_거시'!$E2124)),IFERROR('자료_거시'!$E2124-INDEX($S$21:$S$4020,MATCH(EDATE('자료_거시'!$D2124,-'설정'!$B$17),'자료_거시'!$D$3:INDEX('자료_거시'!$D$3:$D$4002,$K$6),1)),""),"")</f>
        <v/>
      </c>
      <c r="U2142">
        <f>IF(ISNUMBER(T2142),'자료_거시'!$D2124,"")</f>
        <v/>
      </c>
      <c r="V2142">
        <f>IF(ISNUMBER(U2142),IF(U2142&gt;$L$6,T2142,""),"")</f>
        <v/>
      </c>
      <c r="W2142">
        <f>IF(AND(ISNUMBER('자료_거시'!$G2124),ISNUMBER('자료_거시'!$H2124)),'자료_거시'!$H2124,"")</f>
        <v/>
      </c>
      <c r="X2142">
        <f>IF(ISNUMBER(W2142),'자료_거시'!$G2124,"")</f>
        <v/>
      </c>
      <c r="Y2142">
        <f>IF(ISNUMBER(X2142),IF(X2142&gt;$L$7,W2142,""),"")</f>
        <v/>
      </c>
      <c r="Z2142">
        <f>IF(ISNUMBER('자료_거시'!$K2124),'자료_거시'!$K2124,Z2141)</f>
        <v/>
      </c>
      <c r="AA2142">
        <f>IF(AND(ISNUMBER('자료_거시'!$J2124),ISNUMBER('자료_거시'!$K2124)),IFERROR('자료_거시'!$K2124/INDEX($Z$21:$Z$4020,MATCH(EDATE('자료_거시'!$J2124,-'설정'!$B$17),'자료_거시'!$J$3:INDEX('자료_거시'!$J$3:$J$4002,$K$8),1))-1,""),"")</f>
        <v/>
      </c>
      <c r="AB2142">
        <f>IF(ISNUMBER(AA2142),'자료_거시'!$J2124,"")</f>
        <v/>
      </c>
      <c r="AC2142">
        <f>IF(ISNUMBER(AB2142),IF(AB2142&gt;$L$8,AA2142,""),"")</f>
        <v/>
      </c>
    </row>
    <row r="2143">
      <c r="S2143">
        <f>IF(ISNUMBER('자료_거시'!$E2125),'자료_거시'!$E2125,S2142)</f>
        <v/>
      </c>
      <c r="T2143">
        <f>IF(AND(ISNUMBER('자료_거시'!$D2125),ISNUMBER('자료_거시'!$E2125)),IFERROR('자료_거시'!$E2125-INDEX($S$21:$S$4020,MATCH(EDATE('자료_거시'!$D2125,-'설정'!$B$17),'자료_거시'!$D$3:INDEX('자료_거시'!$D$3:$D$4002,$K$6),1)),""),"")</f>
        <v/>
      </c>
      <c r="U2143">
        <f>IF(ISNUMBER(T2143),'자료_거시'!$D2125,"")</f>
        <v/>
      </c>
      <c r="V2143">
        <f>IF(ISNUMBER(U2143),IF(U2143&gt;$L$6,T2143,""),"")</f>
        <v/>
      </c>
      <c r="W2143">
        <f>IF(AND(ISNUMBER('자료_거시'!$G2125),ISNUMBER('자료_거시'!$H2125)),'자료_거시'!$H2125,"")</f>
        <v/>
      </c>
      <c r="X2143">
        <f>IF(ISNUMBER(W2143),'자료_거시'!$G2125,"")</f>
        <v/>
      </c>
      <c r="Y2143">
        <f>IF(ISNUMBER(X2143),IF(X2143&gt;$L$7,W2143,""),"")</f>
        <v/>
      </c>
      <c r="Z2143">
        <f>IF(ISNUMBER('자료_거시'!$K2125),'자료_거시'!$K2125,Z2142)</f>
        <v/>
      </c>
      <c r="AA2143">
        <f>IF(AND(ISNUMBER('자료_거시'!$J2125),ISNUMBER('자료_거시'!$K2125)),IFERROR('자료_거시'!$K2125/INDEX($Z$21:$Z$4020,MATCH(EDATE('자료_거시'!$J2125,-'설정'!$B$17),'자료_거시'!$J$3:INDEX('자료_거시'!$J$3:$J$4002,$K$8),1))-1,""),"")</f>
        <v/>
      </c>
      <c r="AB2143">
        <f>IF(ISNUMBER(AA2143),'자료_거시'!$J2125,"")</f>
        <v/>
      </c>
      <c r="AC2143">
        <f>IF(ISNUMBER(AB2143),IF(AB2143&gt;$L$8,AA2143,""),"")</f>
        <v/>
      </c>
    </row>
    <row r="2144">
      <c r="S2144">
        <f>IF(ISNUMBER('자료_거시'!$E2126),'자료_거시'!$E2126,S2143)</f>
        <v/>
      </c>
      <c r="T2144">
        <f>IF(AND(ISNUMBER('자료_거시'!$D2126),ISNUMBER('자료_거시'!$E2126)),IFERROR('자료_거시'!$E2126-INDEX($S$21:$S$4020,MATCH(EDATE('자료_거시'!$D2126,-'설정'!$B$17),'자료_거시'!$D$3:INDEX('자료_거시'!$D$3:$D$4002,$K$6),1)),""),"")</f>
        <v/>
      </c>
      <c r="U2144">
        <f>IF(ISNUMBER(T2144),'자료_거시'!$D2126,"")</f>
        <v/>
      </c>
      <c r="V2144">
        <f>IF(ISNUMBER(U2144),IF(U2144&gt;$L$6,T2144,""),"")</f>
        <v/>
      </c>
      <c r="W2144">
        <f>IF(AND(ISNUMBER('자료_거시'!$G2126),ISNUMBER('자료_거시'!$H2126)),'자료_거시'!$H2126,"")</f>
        <v/>
      </c>
      <c r="X2144">
        <f>IF(ISNUMBER(W2144),'자료_거시'!$G2126,"")</f>
        <v/>
      </c>
      <c r="Y2144">
        <f>IF(ISNUMBER(X2144),IF(X2144&gt;$L$7,W2144,""),"")</f>
        <v/>
      </c>
      <c r="Z2144">
        <f>IF(ISNUMBER('자료_거시'!$K2126),'자료_거시'!$K2126,Z2143)</f>
        <v/>
      </c>
      <c r="AA2144">
        <f>IF(AND(ISNUMBER('자료_거시'!$J2126),ISNUMBER('자료_거시'!$K2126)),IFERROR('자료_거시'!$K2126/INDEX($Z$21:$Z$4020,MATCH(EDATE('자료_거시'!$J2126,-'설정'!$B$17),'자료_거시'!$J$3:INDEX('자료_거시'!$J$3:$J$4002,$K$8),1))-1,""),"")</f>
        <v/>
      </c>
      <c r="AB2144">
        <f>IF(ISNUMBER(AA2144),'자료_거시'!$J2126,"")</f>
        <v/>
      </c>
      <c r="AC2144">
        <f>IF(ISNUMBER(AB2144),IF(AB2144&gt;$L$8,AA2144,""),"")</f>
        <v/>
      </c>
    </row>
    <row r="2145">
      <c r="S2145">
        <f>IF(ISNUMBER('자료_거시'!$E2127),'자료_거시'!$E2127,S2144)</f>
        <v/>
      </c>
      <c r="T2145">
        <f>IF(AND(ISNUMBER('자료_거시'!$D2127),ISNUMBER('자료_거시'!$E2127)),IFERROR('자료_거시'!$E2127-INDEX($S$21:$S$4020,MATCH(EDATE('자료_거시'!$D2127,-'설정'!$B$17),'자료_거시'!$D$3:INDEX('자료_거시'!$D$3:$D$4002,$K$6),1)),""),"")</f>
        <v/>
      </c>
      <c r="U2145">
        <f>IF(ISNUMBER(T2145),'자료_거시'!$D2127,"")</f>
        <v/>
      </c>
      <c r="V2145">
        <f>IF(ISNUMBER(U2145),IF(U2145&gt;$L$6,T2145,""),"")</f>
        <v/>
      </c>
      <c r="W2145">
        <f>IF(AND(ISNUMBER('자료_거시'!$G2127),ISNUMBER('자료_거시'!$H2127)),'자료_거시'!$H2127,"")</f>
        <v/>
      </c>
      <c r="X2145">
        <f>IF(ISNUMBER(W2145),'자료_거시'!$G2127,"")</f>
        <v/>
      </c>
      <c r="Y2145">
        <f>IF(ISNUMBER(X2145),IF(X2145&gt;$L$7,W2145,""),"")</f>
        <v/>
      </c>
      <c r="Z2145">
        <f>IF(ISNUMBER('자료_거시'!$K2127),'자료_거시'!$K2127,Z2144)</f>
        <v/>
      </c>
      <c r="AA2145">
        <f>IF(AND(ISNUMBER('자료_거시'!$J2127),ISNUMBER('자료_거시'!$K2127)),IFERROR('자료_거시'!$K2127/INDEX($Z$21:$Z$4020,MATCH(EDATE('자료_거시'!$J2127,-'설정'!$B$17),'자료_거시'!$J$3:INDEX('자료_거시'!$J$3:$J$4002,$K$8),1))-1,""),"")</f>
        <v/>
      </c>
      <c r="AB2145">
        <f>IF(ISNUMBER(AA2145),'자료_거시'!$J2127,"")</f>
        <v/>
      </c>
      <c r="AC2145">
        <f>IF(ISNUMBER(AB2145),IF(AB2145&gt;$L$8,AA2145,""),"")</f>
        <v/>
      </c>
    </row>
    <row r="2146">
      <c r="S2146">
        <f>IF(ISNUMBER('자료_거시'!$E2128),'자료_거시'!$E2128,S2145)</f>
        <v/>
      </c>
      <c r="T2146">
        <f>IF(AND(ISNUMBER('자료_거시'!$D2128),ISNUMBER('자료_거시'!$E2128)),IFERROR('자료_거시'!$E2128-INDEX($S$21:$S$4020,MATCH(EDATE('자료_거시'!$D2128,-'설정'!$B$17),'자료_거시'!$D$3:INDEX('자료_거시'!$D$3:$D$4002,$K$6),1)),""),"")</f>
        <v/>
      </c>
      <c r="U2146">
        <f>IF(ISNUMBER(T2146),'자료_거시'!$D2128,"")</f>
        <v/>
      </c>
      <c r="V2146">
        <f>IF(ISNUMBER(U2146),IF(U2146&gt;$L$6,T2146,""),"")</f>
        <v/>
      </c>
      <c r="W2146">
        <f>IF(AND(ISNUMBER('자료_거시'!$G2128),ISNUMBER('자료_거시'!$H2128)),'자료_거시'!$H2128,"")</f>
        <v/>
      </c>
      <c r="X2146">
        <f>IF(ISNUMBER(W2146),'자료_거시'!$G2128,"")</f>
        <v/>
      </c>
      <c r="Y2146">
        <f>IF(ISNUMBER(X2146),IF(X2146&gt;$L$7,W2146,""),"")</f>
        <v/>
      </c>
      <c r="Z2146">
        <f>IF(ISNUMBER('자료_거시'!$K2128),'자료_거시'!$K2128,Z2145)</f>
        <v/>
      </c>
      <c r="AA2146">
        <f>IF(AND(ISNUMBER('자료_거시'!$J2128),ISNUMBER('자료_거시'!$K2128)),IFERROR('자료_거시'!$K2128/INDEX($Z$21:$Z$4020,MATCH(EDATE('자료_거시'!$J2128,-'설정'!$B$17),'자료_거시'!$J$3:INDEX('자료_거시'!$J$3:$J$4002,$K$8),1))-1,""),"")</f>
        <v/>
      </c>
      <c r="AB2146">
        <f>IF(ISNUMBER(AA2146),'자료_거시'!$J2128,"")</f>
        <v/>
      </c>
      <c r="AC2146">
        <f>IF(ISNUMBER(AB2146),IF(AB2146&gt;$L$8,AA2146,""),"")</f>
        <v/>
      </c>
    </row>
    <row r="2147">
      <c r="S2147">
        <f>IF(ISNUMBER('자료_거시'!$E2129),'자료_거시'!$E2129,S2146)</f>
        <v/>
      </c>
      <c r="T2147">
        <f>IF(AND(ISNUMBER('자료_거시'!$D2129),ISNUMBER('자료_거시'!$E2129)),IFERROR('자료_거시'!$E2129-INDEX($S$21:$S$4020,MATCH(EDATE('자료_거시'!$D2129,-'설정'!$B$17),'자료_거시'!$D$3:INDEX('자료_거시'!$D$3:$D$4002,$K$6),1)),""),"")</f>
        <v/>
      </c>
      <c r="U2147">
        <f>IF(ISNUMBER(T2147),'자료_거시'!$D2129,"")</f>
        <v/>
      </c>
      <c r="V2147">
        <f>IF(ISNUMBER(U2147),IF(U2147&gt;$L$6,T2147,""),"")</f>
        <v/>
      </c>
      <c r="W2147">
        <f>IF(AND(ISNUMBER('자료_거시'!$G2129),ISNUMBER('자료_거시'!$H2129)),'자료_거시'!$H2129,"")</f>
        <v/>
      </c>
      <c r="X2147">
        <f>IF(ISNUMBER(W2147),'자료_거시'!$G2129,"")</f>
        <v/>
      </c>
      <c r="Y2147">
        <f>IF(ISNUMBER(X2147),IF(X2147&gt;$L$7,W2147,""),"")</f>
        <v/>
      </c>
      <c r="Z2147">
        <f>IF(ISNUMBER('자료_거시'!$K2129),'자료_거시'!$K2129,Z2146)</f>
        <v/>
      </c>
      <c r="AA2147">
        <f>IF(AND(ISNUMBER('자료_거시'!$J2129),ISNUMBER('자료_거시'!$K2129)),IFERROR('자료_거시'!$K2129/INDEX($Z$21:$Z$4020,MATCH(EDATE('자료_거시'!$J2129,-'설정'!$B$17),'자료_거시'!$J$3:INDEX('자료_거시'!$J$3:$J$4002,$K$8),1))-1,""),"")</f>
        <v/>
      </c>
      <c r="AB2147">
        <f>IF(ISNUMBER(AA2147),'자료_거시'!$J2129,"")</f>
        <v/>
      </c>
      <c r="AC2147">
        <f>IF(ISNUMBER(AB2147),IF(AB2147&gt;$L$8,AA2147,""),"")</f>
        <v/>
      </c>
    </row>
    <row r="2148">
      <c r="S2148">
        <f>IF(ISNUMBER('자료_거시'!$E2130),'자료_거시'!$E2130,S2147)</f>
        <v/>
      </c>
      <c r="T2148">
        <f>IF(AND(ISNUMBER('자료_거시'!$D2130),ISNUMBER('자료_거시'!$E2130)),IFERROR('자료_거시'!$E2130-INDEX($S$21:$S$4020,MATCH(EDATE('자료_거시'!$D2130,-'설정'!$B$17),'자료_거시'!$D$3:INDEX('자료_거시'!$D$3:$D$4002,$K$6),1)),""),"")</f>
        <v/>
      </c>
      <c r="U2148">
        <f>IF(ISNUMBER(T2148),'자료_거시'!$D2130,"")</f>
        <v/>
      </c>
      <c r="V2148">
        <f>IF(ISNUMBER(U2148),IF(U2148&gt;$L$6,T2148,""),"")</f>
        <v/>
      </c>
      <c r="W2148">
        <f>IF(AND(ISNUMBER('자료_거시'!$G2130),ISNUMBER('자료_거시'!$H2130)),'자료_거시'!$H2130,"")</f>
        <v/>
      </c>
      <c r="X2148">
        <f>IF(ISNUMBER(W2148),'자료_거시'!$G2130,"")</f>
        <v/>
      </c>
      <c r="Y2148">
        <f>IF(ISNUMBER(X2148),IF(X2148&gt;$L$7,W2148,""),"")</f>
        <v/>
      </c>
      <c r="Z2148">
        <f>IF(ISNUMBER('자료_거시'!$K2130),'자료_거시'!$K2130,Z2147)</f>
        <v/>
      </c>
      <c r="AA2148">
        <f>IF(AND(ISNUMBER('자료_거시'!$J2130),ISNUMBER('자료_거시'!$K2130)),IFERROR('자료_거시'!$K2130/INDEX($Z$21:$Z$4020,MATCH(EDATE('자료_거시'!$J2130,-'설정'!$B$17),'자료_거시'!$J$3:INDEX('자료_거시'!$J$3:$J$4002,$K$8),1))-1,""),"")</f>
        <v/>
      </c>
      <c r="AB2148">
        <f>IF(ISNUMBER(AA2148),'자료_거시'!$J2130,"")</f>
        <v/>
      </c>
      <c r="AC2148">
        <f>IF(ISNUMBER(AB2148),IF(AB2148&gt;$L$8,AA2148,""),"")</f>
        <v/>
      </c>
    </row>
    <row r="2149">
      <c r="S2149">
        <f>IF(ISNUMBER('자료_거시'!$E2131),'자료_거시'!$E2131,S2148)</f>
        <v/>
      </c>
      <c r="T2149">
        <f>IF(AND(ISNUMBER('자료_거시'!$D2131),ISNUMBER('자료_거시'!$E2131)),IFERROR('자료_거시'!$E2131-INDEX($S$21:$S$4020,MATCH(EDATE('자료_거시'!$D2131,-'설정'!$B$17),'자료_거시'!$D$3:INDEX('자료_거시'!$D$3:$D$4002,$K$6),1)),""),"")</f>
        <v/>
      </c>
      <c r="U2149">
        <f>IF(ISNUMBER(T2149),'자료_거시'!$D2131,"")</f>
        <v/>
      </c>
      <c r="V2149">
        <f>IF(ISNUMBER(U2149),IF(U2149&gt;$L$6,T2149,""),"")</f>
        <v/>
      </c>
      <c r="W2149">
        <f>IF(AND(ISNUMBER('자료_거시'!$G2131),ISNUMBER('자료_거시'!$H2131)),'자료_거시'!$H2131,"")</f>
        <v/>
      </c>
      <c r="X2149">
        <f>IF(ISNUMBER(W2149),'자료_거시'!$G2131,"")</f>
        <v/>
      </c>
      <c r="Y2149">
        <f>IF(ISNUMBER(X2149),IF(X2149&gt;$L$7,W2149,""),"")</f>
        <v/>
      </c>
      <c r="Z2149">
        <f>IF(ISNUMBER('자료_거시'!$K2131),'자료_거시'!$K2131,Z2148)</f>
        <v/>
      </c>
      <c r="AA2149">
        <f>IF(AND(ISNUMBER('자료_거시'!$J2131),ISNUMBER('자료_거시'!$K2131)),IFERROR('자료_거시'!$K2131/INDEX($Z$21:$Z$4020,MATCH(EDATE('자료_거시'!$J2131,-'설정'!$B$17),'자료_거시'!$J$3:INDEX('자료_거시'!$J$3:$J$4002,$K$8),1))-1,""),"")</f>
        <v/>
      </c>
      <c r="AB2149">
        <f>IF(ISNUMBER(AA2149),'자료_거시'!$J2131,"")</f>
        <v/>
      </c>
      <c r="AC2149">
        <f>IF(ISNUMBER(AB2149),IF(AB2149&gt;$L$8,AA2149,""),"")</f>
        <v/>
      </c>
    </row>
    <row r="2150">
      <c r="S2150">
        <f>IF(ISNUMBER('자료_거시'!$E2132),'자료_거시'!$E2132,S2149)</f>
        <v/>
      </c>
      <c r="T2150">
        <f>IF(AND(ISNUMBER('자료_거시'!$D2132),ISNUMBER('자료_거시'!$E2132)),IFERROR('자료_거시'!$E2132-INDEX($S$21:$S$4020,MATCH(EDATE('자료_거시'!$D2132,-'설정'!$B$17),'자료_거시'!$D$3:INDEX('자료_거시'!$D$3:$D$4002,$K$6),1)),""),"")</f>
        <v/>
      </c>
      <c r="U2150">
        <f>IF(ISNUMBER(T2150),'자료_거시'!$D2132,"")</f>
        <v/>
      </c>
      <c r="V2150">
        <f>IF(ISNUMBER(U2150),IF(U2150&gt;$L$6,T2150,""),"")</f>
        <v/>
      </c>
      <c r="W2150">
        <f>IF(AND(ISNUMBER('자료_거시'!$G2132),ISNUMBER('자료_거시'!$H2132)),'자료_거시'!$H2132,"")</f>
        <v/>
      </c>
      <c r="X2150">
        <f>IF(ISNUMBER(W2150),'자료_거시'!$G2132,"")</f>
        <v/>
      </c>
      <c r="Y2150">
        <f>IF(ISNUMBER(X2150),IF(X2150&gt;$L$7,W2150,""),"")</f>
        <v/>
      </c>
      <c r="Z2150">
        <f>IF(ISNUMBER('자료_거시'!$K2132),'자료_거시'!$K2132,Z2149)</f>
        <v/>
      </c>
      <c r="AA2150">
        <f>IF(AND(ISNUMBER('자료_거시'!$J2132),ISNUMBER('자료_거시'!$K2132)),IFERROR('자료_거시'!$K2132/INDEX($Z$21:$Z$4020,MATCH(EDATE('자료_거시'!$J2132,-'설정'!$B$17),'자료_거시'!$J$3:INDEX('자료_거시'!$J$3:$J$4002,$K$8),1))-1,""),"")</f>
        <v/>
      </c>
      <c r="AB2150">
        <f>IF(ISNUMBER(AA2150),'자료_거시'!$J2132,"")</f>
        <v/>
      </c>
      <c r="AC2150">
        <f>IF(ISNUMBER(AB2150),IF(AB2150&gt;$L$8,AA2150,""),"")</f>
        <v/>
      </c>
    </row>
    <row r="2151">
      <c r="S2151">
        <f>IF(ISNUMBER('자료_거시'!$E2133),'자료_거시'!$E2133,S2150)</f>
        <v/>
      </c>
      <c r="T2151">
        <f>IF(AND(ISNUMBER('자료_거시'!$D2133),ISNUMBER('자료_거시'!$E2133)),IFERROR('자료_거시'!$E2133-INDEX($S$21:$S$4020,MATCH(EDATE('자료_거시'!$D2133,-'설정'!$B$17),'자료_거시'!$D$3:INDEX('자료_거시'!$D$3:$D$4002,$K$6),1)),""),"")</f>
        <v/>
      </c>
      <c r="U2151">
        <f>IF(ISNUMBER(T2151),'자료_거시'!$D2133,"")</f>
        <v/>
      </c>
      <c r="V2151">
        <f>IF(ISNUMBER(U2151),IF(U2151&gt;$L$6,T2151,""),"")</f>
        <v/>
      </c>
      <c r="W2151">
        <f>IF(AND(ISNUMBER('자료_거시'!$G2133),ISNUMBER('자료_거시'!$H2133)),'자료_거시'!$H2133,"")</f>
        <v/>
      </c>
      <c r="X2151">
        <f>IF(ISNUMBER(W2151),'자료_거시'!$G2133,"")</f>
        <v/>
      </c>
      <c r="Y2151">
        <f>IF(ISNUMBER(X2151),IF(X2151&gt;$L$7,W2151,""),"")</f>
        <v/>
      </c>
      <c r="Z2151">
        <f>IF(ISNUMBER('자료_거시'!$K2133),'자료_거시'!$K2133,Z2150)</f>
        <v/>
      </c>
      <c r="AA2151">
        <f>IF(AND(ISNUMBER('자료_거시'!$J2133),ISNUMBER('자료_거시'!$K2133)),IFERROR('자료_거시'!$K2133/INDEX($Z$21:$Z$4020,MATCH(EDATE('자료_거시'!$J2133,-'설정'!$B$17),'자료_거시'!$J$3:INDEX('자료_거시'!$J$3:$J$4002,$K$8),1))-1,""),"")</f>
        <v/>
      </c>
      <c r="AB2151">
        <f>IF(ISNUMBER(AA2151),'자료_거시'!$J2133,"")</f>
        <v/>
      </c>
      <c r="AC2151">
        <f>IF(ISNUMBER(AB2151),IF(AB2151&gt;$L$8,AA2151,""),"")</f>
        <v/>
      </c>
    </row>
    <row r="2152">
      <c r="S2152">
        <f>IF(ISNUMBER('자료_거시'!$E2134),'자료_거시'!$E2134,S2151)</f>
        <v/>
      </c>
      <c r="T2152">
        <f>IF(AND(ISNUMBER('자료_거시'!$D2134),ISNUMBER('자료_거시'!$E2134)),IFERROR('자료_거시'!$E2134-INDEX($S$21:$S$4020,MATCH(EDATE('자료_거시'!$D2134,-'설정'!$B$17),'자료_거시'!$D$3:INDEX('자료_거시'!$D$3:$D$4002,$K$6),1)),""),"")</f>
        <v/>
      </c>
      <c r="U2152">
        <f>IF(ISNUMBER(T2152),'자료_거시'!$D2134,"")</f>
        <v/>
      </c>
      <c r="V2152">
        <f>IF(ISNUMBER(U2152),IF(U2152&gt;$L$6,T2152,""),"")</f>
        <v/>
      </c>
      <c r="W2152">
        <f>IF(AND(ISNUMBER('자료_거시'!$G2134),ISNUMBER('자료_거시'!$H2134)),'자료_거시'!$H2134,"")</f>
        <v/>
      </c>
      <c r="X2152">
        <f>IF(ISNUMBER(W2152),'자료_거시'!$G2134,"")</f>
        <v/>
      </c>
      <c r="Y2152">
        <f>IF(ISNUMBER(X2152),IF(X2152&gt;$L$7,W2152,""),"")</f>
        <v/>
      </c>
      <c r="Z2152">
        <f>IF(ISNUMBER('자료_거시'!$K2134),'자료_거시'!$K2134,Z2151)</f>
        <v/>
      </c>
      <c r="AA2152">
        <f>IF(AND(ISNUMBER('자료_거시'!$J2134),ISNUMBER('자료_거시'!$K2134)),IFERROR('자료_거시'!$K2134/INDEX($Z$21:$Z$4020,MATCH(EDATE('자료_거시'!$J2134,-'설정'!$B$17),'자료_거시'!$J$3:INDEX('자료_거시'!$J$3:$J$4002,$K$8),1))-1,""),"")</f>
        <v/>
      </c>
      <c r="AB2152">
        <f>IF(ISNUMBER(AA2152),'자료_거시'!$J2134,"")</f>
        <v/>
      </c>
      <c r="AC2152">
        <f>IF(ISNUMBER(AB2152),IF(AB2152&gt;$L$8,AA2152,""),"")</f>
        <v/>
      </c>
    </row>
    <row r="2153">
      <c r="S2153">
        <f>IF(ISNUMBER('자료_거시'!$E2135),'자료_거시'!$E2135,S2152)</f>
        <v/>
      </c>
      <c r="T2153">
        <f>IF(AND(ISNUMBER('자료_거시'!$D2135),ISNUMBER('자료_거시'!$E2135)),IFERROR('자료_거시'!$E2135-INDEX($S$21:$S$4020,MATCH(EDATE('자료_거시'!$D2135,-'설정'!$B$17),'자료_거시'!$D$3:INDEX('자료_거시'!$D$3:$D$4002,$K$6),1)),""),"")</f>
        <v/>
      </c>
      <c r="U2153">
        <f>IF(ISNUMBER(T2153),'자료_거시'!$D2135,"")</f>
        <v/>
      </c>
      <c r="V2153">
        <f>IF(ISNUMBER(U2153),IF(U2153&gt;$L$6,T2153,""),"")</f>
        <v/>
      </c>
      <c r="W2153">
        <f>IF(AND(ISNUMBER('자료_거시'!$G2135),ISNUMBER('자료_거시'!$H2135)),'자료_거시'!$H2135,"")</f>
        <v/>
      </c>
      <c r="X2153">
        <f>IF(ISNUMBER(W2153),'자료_거시'!$G2135,"")</f>
        <v/>
      </c>
      <c r="Y2153">
        <f>IF(ISNUMBER(X2153),IF(X2153&gt;$L$7,W2153,""),"")</f>
        <v/>
      </c>
      <c r="Z2153">
        <f>IF(ISNUMBER('자료_거시'!$K2135),'자료_거시'!$K2135,Z2152)</f>
        <v/>
      </c>
      <c r="AA2153">
        <f>IF(AND(ISNUMBER('자료_거시'!$J2135),ISNUMBER('자료_거시'!$K2135)),IFERROR('자료_거시'!$K2135/INDEX($Z$21:$Z$4020,MATCH(EDATE('자료_거시'!$J2135,-'설정'!$B$17),'자료_거시'!$J$3:INDEX('자료_거시'!$J$3:$J$4002,$K$8),1))-1,""),"")</f>
        <v/>
      </c>
      <c r="AB2153">
        <f>IF(ISNUMBER(AA2153),'자료_거시'!$J2135,"")</f>
        <v/>
      </c>
      <c r="AC2153">
        <f>IF(ISNUMBER(AB2153),IF(AB2153&gt;$L$8,AA2153,""),"")</f>
        <v/>
      </c>
    </row>
    <row r="2154">
      <c r="S2154">
        <f>IF(ISNUMBER('자료_거시'!$E2136),'자료_거시'!$E2136,S2153)</f>
        <v/>
      </c>
      <c r="T2154">
        <f>IF(AND(ISNUMBER('자료_거시'!$D2136),ISNUMBER('자료_거시'!$E2136)),IFERROR('자료_거시'!$E2136-INDEX($S$21:$S$4020,MATCH(EDATE('자료_거시'!$D2136,-'설정'!$B$17),'자료_거시'!$D$3:INDEX('자료_거시'!$D$3:$D$4002,$K$6),1)),""),"")</f>
        <v/>
      </c>
      <c r="U2154">
        <f>IF(ISNUMBER(T2154),'자료_거시'!$D2136,"")</f>
        <v/>
      </c>
      <c r="V2154">
        <f>IF(ISNUMBER(U2154),IF(U2154&gt;$L$6,T2154,""),"")</f>
        <v/>
      </c>
      <c r="W2154">
        <f>IF(AND(ISNUMBER('자료_거시'!$G2136),ISNUMBER('자료_거시'!$H2136)),'자료_거시'!$H2136,"")</f>
        <v/>
      </c>
      <c r="X2154">
        <f>IF(ISNUMBER(W2154),'자료_거시'!$G2136,"")</f>
        <v/>
      </c>
      <c r="Y2154">
        <f>IF(ISNUMBER(X2154),IF(X2154&gt;$L$7,W2154,""),"")</f>
        <v/>
      </c>
      <c r="Z2154">
        <f>IF(ISNUMBER('자료_거시'!$K2136),'자료_거시'!$K2136,Z2153)</f>
        <v/>
      </c>
      <c r="AA2154">
        <f>IF(AND(ISNUMBER('자료_거시'!$J2136),ISNUMBER('자료_거시'!$K2136)),IFERROR('자료_거시'!$K2136/INDEX($Z$21:$Z$4020,MATCH(EDATE('자료_거시'!$J2136,-'설정'!$B$17),'자료_거시'!$J$3:INDEX('자료_거시'!$J$3:$J$4002,$K$8),1))-1,""),"")</f>
        <v/>
      </c>
      <c r="AB2154">
        <f>IF(ISNUMBER(AA2154),'자료_거시'!$J2136,"")</f>
        <v/>
      </c>
      <c r="AC2154">
        <f>IF(ISNUMBER(AB2154),IF(AB2154&gt;$L$8,AA2154,""),"")</f>
        <v/>
      </c>
    </row>
    <row r="2155">
      <c r="S2155">
        <f>IF(ISNUMBER('자료_거시'!$E2137),'자료_거시'!$E2137,S2154)</f>
        <v/>
      </c>
      <c r="T2155">
        <f>IF(AND(ISNUMBER('자료_거시'!$D2137),ISNUMBER('자료_거시'!$E2137)),IFERROR('자료_거시'!$E2137-INDEX($S$21:$S$4020,MATCH(EDATE('자료_거시'!$D2137,-'설정'!$B$17),'자료_거시'!$D$3:INDEX('자료_거시'!$D$3:$D$4002,$K$6),1)),""),"")</f>
        <v/>
      </c>
      <c r="U2155">
        <f>IF(ISNUMBER(T2155),'자료_거시'!$D2137,"")</f>
        <v/>
      </c>
      <c r="V2155">
        <f>IF(ISNUMBER(U2155),IF(U2155&gt;$L$6,T2155,""),"")</f>
        <v/>
      </c>
      <c r="W2155">
        <f>IF(AND(ISNUMBER('자료_거시'!$G2137),ISNUMBER('자료_거시'!$H2137)),'자료_거시'!$H2137,"")</f>
        <v/>
      </c>
      <c r="X2155">
        <f>IF(ISNUMBER(W2155),'자료_거시'!$G2137,"")</f>
        <v/>
      </c>
      <c r="Y2155">
        <f>IF(ISNUMBER(X2155),IF(X2155&gt;$L$7,W2155,""),"")</f>
        <v/>
      </c>
      <c r="Z2155">
        <f>IF(ISNUMBER('자료_거시'!$K2137),'자료_거시'!$K2137,Z2154)</f>
        <v/>
      </c>
      <c r="AA2155">
        <f>IF(AND(ISNUMBER('자료_거시'!$J2137),ISNUMBER('자료_거시'!$K2137)),IFERROR('자료_거시'!$K2137/INDEX($Z$21:$Z$4020,MATCH(EDATE('자료_거시'!$J2137,-'설정'!$B$17),'자료_거시'!$J$3:INDEX('자료_거시'!$J$3:$J$4002,$K$8),1))-1,""),"")</f>
        <v/>
      </c>
      <c r="AB2155">
        <f>IF(ISNUMBER(AA2155),'자료_거시'!$J2137,"")</f>
        <v/>
      </c>
      <c r="AC2155">
        <f>IF(ISNUMBER(AB2155),IF(AB2155&gt;$L$8,AA2155,""),"")</f>
        <v/>
      </c>
    </row>
    <row r="2156">
      <c r="S2156">
        <f>IF(ISNUMBER('자료_거시'!$E2138),'자료_거시'!$E2138,S2155)</f>
        <v/>
      </c>
      <c r="T2156">
        <f>IF(AND(ISNUMBER('자료_거시'!$D2138),ISNUMBER('자료_거시'!$E2138)),IFERROR('자료_거시'!$E2138-INDEX($S$21:$S$4020,MATCH(EDATE('자료_거시'!$D2138,-'설정'!$B$17),'자료_거시'!$D$3:INDEX('자료_거시'!$D$3:$D$4002,$K$6),1)),""),"")</f>
        <v/>
      </c>
      <c r="U2156">
        <f>IF(ISNUMBER(T2156),'자료_거시'!$D2138,"")</f>
        <v/>
      </c>
      <c r="V2156">
        <f>IF(ISNUMBER(U2156),IF(U2156&gt;$L$6,T2156,""),"")</f>
        <v/>
      </c>
      <c r="W2156">
        <f>IF(AND(ISNUMBER('자료_거시'!$G2138),ISNUMBER('자료_거시'!$H2138)),'자료_거시'!$H2138,"")</f>
        <v/>
      </c>
      <c r="X2156">
        <f>IF(ISNUMBER(W2156),'자료_거시'!$G2138,"")</f>
        <v/>
      </c>
      <c r="Y2156">
        <f>IF(ISNUMBER(X2156),IF(X2156&gt;$L$7,W2156,""),"")</f>
        <v/>
      </c>
      <c r="Z2156">
        <f>IF(ISNUMBER('자료_거시'!$K2138),'자료_거시'!$K2138,Z2155)</f>
        <v/>
      </c>
      <c r="AA2156">
        <f>IF(AND(ISNUMBER('자료_거시'!$J2138),ISNUMBER('자료_거시'!$K2138)),IFERROR('자료_거시'!$K2138/INDEX($Z$21:$Z$4020,MATCH(EDATE('자료_거시'!$J2138,-'설정'!$B$17),'자료_거시'!$J$3:INDEX('자료_거시'!$J$3:$J$4002,$K$8),1))-1,""),"")</f>
        <v/>
      </c>
      <c r="AB2156">
        <f>IF(ISNUMBER(AA2156),'자료_거시'!$J2138,"")</f>
        <v/>
      </c>
      <c r="AC2156">
        <f>IF(ISNUMBER(AB2156),IF(AB2156&gt;$L$8,AA2156,""),"")</f>
        <v/>
      </c>
    </row>
    <row r="2157">
      <c r="S2157">
        <f>IF(ISNUMBER('자료_거시'!$E2139),'자료_거시'!$E2139,S2156)</f>
        <v/>
      </c>
      <c r="T2157">
        <f>IF(AND(ISNUMBER('자료_거시'!$D2139),ISNUMBER('자료_거시'!$E2139)),IFERROR('자료_거시'!$E2139-INDEX($S$21:$S$4020,MATCH(EDATE('자료_거시'!$D2139,-'설정'!$B$17),'자료_거시'!$D$3:INDEX('자료_거시'!$D$3:$D$4002,$K$6),1)),""),"")</f>
        <v/>
      </c>
      <c r="U2157">
        <f>IF(ISNUMBER(T2157),'자료_거시'!$D2139,"")</f>
        <v/>
      </c>
      <c r="V2157">
        <f>IF(ISNUMBER(U2157),IF(U2157&gt;$L$6,T2157,""),"")</f>
        <v/>
      </c>
      <c r="W2157">
        <f>IF(AND(ISNUMBER('자료_거시'!$G2139),ISNUMBER('자료_거시'!$H2139)),'자료_거시'!$H2139,"")</f>
        <v/>
      </c>
      <c r="X2157">
        <f>IF(ISNUMBER(W2157),'자료_거시'!$G2139,"")</f>
        <v/>
      </c>
      <c r="Y2157">
        <f>IF(ISNUMBER(X2157),IF(X2157&gt;$L$7,W2157,""),"")</f>
        <v/>
      </c>
      <c r="Z2157">
        <f>IF(ISNUMBER('자료_거시'!$K2139),'자료_거시'!$K2139,Z2156)</f>
        <v/>
      </c>
      <c r="AA2157">
        <f>IF(AND(ISNUMBER('자료_거시'!$J2139),ISNUMBER('자료_거시'!$K2139)),IFERROR('자료_거시'!$K2139/INDEX($Z$21:$Z$4020,MATCH(EDATE('자료_거시'!$J2139,-'설정'!$B$17),'자료_거시'!$J$3:INDEX('자료_거시'!$J$3:$J$4002,$K$8),1))-1,""),"")</f>
        <v/>
      </c>
      <c r="AB2157">
        <f>IF(ISNUMBER(AA2157),'자료_거시'!$J2139,"")</f>
        <v/>
      </c>
      <c r="AC2157">
        <f>IF(ISNUMBER(AB2157),IF(AB2157&gt;$L$8,AA2157,""),"")</f>
        <v/>
      </c>
    </row>
    <row r="2158">
      <c r="S2158">
        <f>IF(ISNUMBER('자료_거시'!$E2140),'자료_거시'!$E2140,S2157)</f>
        <v/>
      </c>
      <c r="T2158">
        <f>IF(AND(ISNUMBER('자료_거시'!$D2140),ISNUMBER('자료_거시'!$E2140)),IFERROR('자료_거시'!$E2140-INDEX($S$21:$S$4020,MATCH(EDATE('자료_거시'!$D2140,-'설정'!$B$17),'자료_거시'!$D$3:INDEX('자료_거시'!$D$3:$D$4002,$K$6),1)),""),"")</f>
        <v/>
      </c>
      <c r="U2158">
        <f>IF(ISNUMBER(T2158),'자료_거시'!$D2140,"")</f>
        <v/>
      </c>
      <c r="V2158">
        <f>IF(ISNUMBER(U2158),IF(U2158&gt;$L$6,T2158,""),"")</f>
        <v/>
      </c>
      <c r="W2158">
        <f>IF(AND(ISNUMBER('자료_거시'!$G2140),ISNUMBER('자료_거시'!$H2140)),'자료_거시'!$H2140,"")</f>
        <v/>
      </c>
      <c r="X2158">
        <f>IF(ISNUMBER(W2158),'자료_거시'!$G2140,"")</f>
        <v/>
      </c>
      <c r="Y2158">
        <f>IF(ISNUMBER(X2158),IF(X2158&gt;$L$7,W2158,""),"")</f>
        <v/>
      </c>
      <c r="Z2158">
        <f>IF(ISNUMBER('자료_거시'!$K2140),'자료_거시'!$K2140,Z2157)</f>
        <v/>
      </c>
      <c r="AA2158">
        <f>IF(AND(ISNUMBER('자료_거시'!$J2140),ISNUMBER('자료_거시'!$K2140)),IFERROR('자료_거시'!$K2140/INDEX($Z$21:$Z$4020,MATCH(EDATE('자료_거시'!$J2140,-'설정'!$B$17),'자료_거시'!$J$3:INDEX('자료_거시'!$J$3:$J$4002,$K$8),1))-1,""),"")</f>
        <v/>
      </c>
      <c r="AB2158">
        <f>IF(ISNUMBER(AA2158),'자료_거시'!$J2140,"")</f>
        <v/>
      </c>
      <c r="AC2158">
        <f>IF(ISNUMBER(AB2158),IF(AB2158&gt;$L$8,AA2158,""),"")</f>
        <v/>
      </c>
    </row>
    <row r="2159">
      <c r="S2159">
        <f>IF(ISNUMBER('자료_거시'!$E2141),'자료_거시'!$E2141,S2158)</f>
        <v/>
      </c>
      <c r="T2159">
        <f>IF(AND(ISNUMBER('자료_거시'!$D2141),ISNUMBER('자료_거시'!$E2141)),IFERROR('자료_거시'!$E2141-INDEX($S$21:$S$4020,MATCH(EDATE('자료_거시'!$D2141,-'설정'!$B$17),'자료_거시'!$D$3:INDEX('자료_거시'!$D$3:$D$4002,$K$6),1)),""),"")</f>
        <v/>
      </c>
      <c r="U2159">
        <f>IF(ISNUMBER(T2159),'자료_거시'!$D2141,"")</f>
        <v/>
      </c>
      <c r="V2159">
        <f>IF(ISNUMBER(U2159),IF(U2159&gt;$L$6,T2159,""),"")</f>
        <v/>
      </c>
      <c r="W2159">
        <f>IF(AND(ISNUMBER('자료_거시'!$G2141),ISNUMBER('자료_거시'!$H2141)),'자료_거시'!$H2141,"")</f>
        <v/>
      </c>
      <c r="X2159">
        <f>IF(ISNUMBER(W2159),'자료_거시'!$G2141,"")</f>
        <v/>
      </c>
      <c r="Y2159">
        <f>IF(ISNUMBER(X2159),IF(X2159&gt;$L$7,W2159,""),"")</f>
        <v/>
      </c>
      <c r="Z2159">
        <f>IF(ISNUMBER('자료_거시'!$K2141),'자료_거시'!$K2141,Z2158)</f>
        <v/>
      </c>
      <c r="AA2159">
        <f>IF(AND(ISNUMBER('자료_거시'!$J2141),ISNUMBER('자료_거시'!$K2141)),IFERROR('자료_거시'!$K2141/INDEX($Z$21:$Z$4020,MATCH(EDATE('자료_거시'!$J2141,-'설정'!$B$17),'자료_거시'!$J$3:INDEX('자료_거시'!$J$3:$J$4002,$K$8),1))-1,""),"")</f>
        <v/>
      </c>
      <c r="AB2159">
        <f>IF(ISNUMBER(AA2159),'자료_거시'!$J2141,"")</f>
        <v/>
      </c>
      <c r="AC2159">
        <f>IF(ISNUMBER(AB2159),IF(AB2159&gt;$L$8,AA2159,""),"")</f>
        <v/>
      </c>
    </row>
    <row r="2160">
      <c r="S2160">
        <f>IF(ISNUMBER('자료_거시'!$E2142),'자료_거시'!$E2142,S2159)</f>
        <v/>
      </c>
      <c r="T2160">
        <f>IF(AND(ISNUMBER('자료_거시'!$D2142),ISNUMBER('자료_거시'!$E2142)),IFERROR('자료_거시'!$E2142-INDEX($S$21:$S$4020,MATCH(EDATE('자료_거시'!$D2142,-'설정'!$B$17),'자료_거시'!$D$3:INDEX('자료_거시'!$D$3:$D$4002,$K$6),1)),""),"")</f>
        <v/>
      </c>
      <c r="U2160">
        <f>IF(ISNUMBER(T2160),'자료_거시'!$D2142,"")</f>
        <v/>
      </c>
      <c r="V2160">
        <f>IF(ISNUMBER(U2160),IF(U2160&gt;$L$6,T2160,""),"")</f>
        <v/>
      </c>
      <c r="W2160">
        <f>IF(AND(ISNUMBER('자료_거시'!$G2142),ISNUMBER('자료_거시'!$H2142)),'자료_거시'!$H2142,"")</f>
        <v/>
      </c>
      <c r="X2160">
        <f>IF(ISNUMBER(W2160),'자료_거시'!$G2142,"")</f>
        <v/>
      </c>
      <c r="Y2160">
        <f>IF(ISNUMBER(X2160),IF(X2160&gt;$L$7,W2160,""),"")</f>
        <v/>
      </c>
      <c r="Z2160">
        <f>IF(ISNUMBER('자료_거시'!$K2142),'자료_거시'!$K2142,Z2159)</f>
        <v/>
      </c>
      <c r="AA2160">
        <f>IF(AND(ISNUMBER('자료_거시'!$J2142),ISNUMBER('자료_거시'!$K2142)),IFERROR('자료_거시'!$K2142/INDEX($Z$21:$Z$4020,MATCH(EDATE('자료_거시'!$J2142,-'설정'!$B$17),'자료_거시'!$J$3:INDEX('자료_거시'!$J$3:$J$4002,$K$8),1))-1,""),"")</f>
        <v/>
      </c>
      <c r="AB2160">
        <f>IF(ISNUMBER(AA2160),'자료_거시'!$J2142,"")</f>
        <v/>
      </c>
      <c r="AC2160">
        <f>IF(ISNUMBER(AB2160),IF(AB2160&gt;$L$8,AA2160,""),"")</f>
        <v/>
      </c>
    </row>
    <row r="2161">
      <c r="S2161">
        <f>IF(ISNUMBER('자료_거시'!$E2143),'자료_거시'!$E2143,S2160)</f>
        <v/>
      </c>
      <c r="T2161">
        <f>IF(AND(ISNUMBER('자료_거시'!$D2143),ISNUMBER('자료_거시'!$E2143)),IFERROR('자료_거시'!$E2143-INDEX($S$21:$S$4020,MATCH(EDATE('자료_거시'!$D2143,-'설정'!$B$17),'자료_거시'!$D$3:INDEX('자료_거시'!$D$3:$D$4002,$K$6),1)),""),"")</f>
        <v/>
      </c>
      <c r="U2161">
        <f>IF(ISNUMBER(T2161),'자료_거시'!$D2143,"")</f>
        <v/>
      </c>
      <c r="V2161">
        <f>IF(ISNUMBER(U2161),IF(U2161&gt;$L$6,T2161,""),"")</f>
        <v/>
      </c>
      <c r="W2161">
        <f>IF(AND(ISNUMBER('자료_거시'!$G2143),ISNUMBER('자료_거시'!$H2143)),'자료_거시'!$H2143,"")</f>
        <v/>
      </c>
      <c r="X2161">
        <f>IF(ISNUMBER(W2161),'자료_거시'!$G2143,"")</f>
        <v/>
      </c>
      <c r="Y2161">
        <f>IF(ISNUMBER(X2161),IF(X2161&gt;$L$7,W2161,""),"")</f>
        <v/>
      </c>
      <c r="Z2161">
        <f>IF(ISNUMBER('자료_거시'!$K2143),'자료_거시'!$K2143,Z2160)</f>
        <v/>
      </c>
      <c r="AA2161">
        <f>IF(AND(ISNUMBER('자료_거시'!$J2143),ISNUMBER('자료_거시'!$K2143)),IFERROR('자료_거시'!$K2143/INDEX($Z$21:$Z$4020,MATCH(EDATE('자료_거시'!$J2143,-'설정'!$B$17),'자료_거시'!$J$3:INDEX('자료_거시'!$J$3:$J$4002,$K$8),1))-1,""),"")</f>
        <v/>
      </c>
      <c r="AB2161">
        <f>IF(ISNUMBER(AA2161),'자료_거시'!$J2143,"")</f>
        <v/>
      </c>
      <c r="AC2161">
        <f>IF(ISNUMBER(AB2161),IF(AB2161&gt;$L$8,AA2161,""),"")</f>
        <v/>
      </c>
    </row>
    <row r="2162">
      <c r="S2162">
        <f>IF(ISNUMBER('자료_거시'!$E2144),'자료_거시'!$E2144,S2161)</f>
        <v/>
      </c>
      <c r="T2162">
        <f>IF(AND(ISNUMBER('자료_거시'!$D2144),ISNUMBER('자료_거시'!$E2144)),IFERROR('자료_거시'!$E2144-INDEX($S$21:$S$4020,MATCH(EDATE('자료_거시'!$D2144,-'설정'!$B$17),'자료_거시'!$D$3:INDEX('자료_거시'!$D$3:$D$4002,$K$6),1)),""),"")</f>
        <v/>
      </c>
      <c r="U2162">
        <f>IF(ISNUMBER(T2162),'자료_거시'!$D2144,"")</f>
        <v/>
      </c>
      <c r="V2162">
        <f>IF(ISNUMBER(U2162),IF(U2162&gt;$L$6,T2162,""),"")</f>
        <v/>
      </c>
      <c r="W2162">
        <f>IF(AND(ISNUMBER('자료_거시'!$G2144),ISNUMBER('자료_거시'!$H2144)),'자료_거시'!$H2144,"")</f>
        <v/>
      </c>
      <c r="X2162">
        <f>IF(ISNUMBER(W2162),'자료_거시'!$G2144,"")</f>
        <v/>
      </c>
      <c r="Y2162">
        <f>IF(ISNUMBER(X2162),IF(X2162&gt;$L$7,W2162,""),"")</f>
        <v/>
      </c>
      <c r="Z2162">
        <f>IF(ISNUMBER('자료_거시'!$K2144),'자료_거시'!$K2144,Z2161)</f>
        <v/>
      </c>
      <c r="AA2162">
        <f>IF(AND(ISNUMBER('자료_거시'!$J2144),ISNUMBER('자료_거시'!$K2144)),IFERROR('자료_거시'!$K2144/INDEX($Z$21:$Z$4020,MATCH(EDATE('자료_거시'!$J2144,-'설정'!$B$17),'자료_거시'!$J$3:INDEX('자료_거시'!$J$3:$J$4002,$K$8),1))-1,""),"")</f>
        <v/>
      </c>
      <c r="AB2162">
        <f>IF(ISNUMBER(AA2162),'자료_거시'!$J2144,"")</f>
        <v/>
      </c>
      <c r="AC2162">
        <f>IF(ISNUMBER(AB2162),IF(AB2162&gt;$L$8,AA2162,""),"")</f>
        <v/>
      </c>
    </row>
    <row r="2163">
      <c r="S2163">
        <f>IF(ISNUMBER('자료_거시'!$E2145),'자료_거시'!$E2145,S2162)</f>
        <v/>
      </c>
      <c r="T2163">
        <f>IF(AND(ISNUMBER('자료_거시'!$D2145),ISNUMBER('자료_거시'!$E2145)),IFERROR('자료_거시'!$E2145-INDEX($S$21:$S$4020,MATCH(EDATE('자료_거시'!$D2145,-'설정'!$B$17),'자료_거시'!$D$3:INDEX('자료_거시'!$D$3:$D$4002,$K$6),1)),""),"")</f>
        <v/>
      </c>
      <c r="U2163">
        <f>IF(ISNUMBER(T2163),'자료_거시'!$D2145,"")</f>
        <v/>
      </c>
      <c r="V2163">
        <f>IF(ISNUMBER(U2163),IF(U2163&gt;$L$6,T2163,""),"")</f>
        <v/>
      </c>
      <c r="W2163">
        <f>IF(AND(ISNUMBER('자료_거시'!$G2145),ISNUMBER('자료_거시'!$H2145)),'자료_거시'!$H2145,"")</f>
        <v/>
      </c>
      <c r="X2163">
        <f>IF(ISNUMBER(W2163),'자료_거시'!$G2145,"")</f>
        <v/>
      </c>
      <c r="Y2163">
        <f>IF(ISNUMBER(X2163),IF(X2163&gt;$L$7,W2163,""),"")</f>
        <v/>
      </c>
      <c r="Z2163">
        <f>IF(ISNUMBER('자료_거시'!$K2145),'자료_거시'!$K2145,Z2162)</f>
        <v/>
      </c>
      <c r="AA2163">
        <f>IF(AND(ISNUMBER('자료_거시'!$J2145),ISNUMBER('자료_거시'!$K2145)),IFERROR('자료_거시'!$K2145/INDEX($Z$21:$Z$4020,MATCH(EDATE('자료_거시'!$J2145,-'설정'!$B$17),'자료_거시'!$J$3:INDEX('자료_거시'!$J$3:$J$4002,$K$8),1))-1,""),"")</f>
        <v/>
      </c>
      <c r="AB2163">
        <f>IF(ISNUMBER(AA2163),'자료_거시'!$J2145,"")</f>
        <v/>
      </c>
      <c r="AC2163">
        <f>IF(ISNUMBER(AB2163),IF(AB2163&gt;$L$8,AA2163,""),"")</f>
        <v/>
      </c>
    </row>
    <row r="2164">
      <c r="S2164">
        <f>IF(ISNUMBER('자료_거시'!$E2146),'자료_거시'!$E2146,S2163)</f>
        <v/>
      </c>
      <c r="T2164">
        <f>IF(AND(ISNUMBER('자료_거시'!$D2146),ISNUMBER('자료_거시'!$E2146)),IFERROR('자료_거시'!$E2146-INDEX($S$21:$S$4020,MATCH(EDATE('자료_거시'!$D2146,-'설정'!$B$17),'자료_거시'!$D$3:INDEX('자료_거시'!$D$3:$D$4002,$K$6),1)),""),"")</f>
        <v/>
      </c>
      <c r="U2164">
        <f>IF(ISNUMBER(T2164),'자료_거시'!$D2146,"")</f>
        <v/>
      </c>
      <c r="V2164">
        <f>IF(ISNUMBER(U2164),IF(U2164&gt;$L$6,T2164,""),"")</f>
        <v/>
      </c>
      <c r="W2164">
        <f>IF(AND(ISNUMBER('자료_거시'!$G2146),ISNUMBER('자료_거시'!$H2146)),'자료_거시'!$H2146,"")</f>
        <v/>
      </c>
      <c r="X2164">
        <f>IF(ISNUMBER(W2164),'자료_거시'!$G2146,"")</f>
        <v/>
      </c>
      <c r="Y2164">
        <f>IF(ISNUMBER(X2164),IF(X2164&gt;$L$7,W2164,""),"")</f>
        <v/>
      </c>
      <c r="Z2164">
        <f>IF(ISNUMBER('자료_거시'!$K2146),'자료_거시'!$K2146,Z2163)</f>
        <v/>
      </c>
      <c r="AA2164">
        <f>IF(AND(ISNUMBER('자료_거시'!$J2146),ISNUMBER('자료_거시'!$K2146)),IFERROR('자료_거시'!$K2146/INDEX($Z$21:$Z$4020,MATCH(EDATE('자료_거시'!$J2146,-'설정'!$B$17),'자료_거시'!$J$3:INDEX('자료_거시'!$J$3:$J$4002,$K$8),1))-1,""),"")</f>
        <v/>
      </c>
      <c r="AB2164">
        <f>IF(ISNUMBER(AA2164),'자료_거시'!$J2146,"")</f>
        <v/>
      </c>
      <c r="AC2164">
        <f>IF(ISNUMBER(AB2164),IF(AB2164&gt;$L$8,AA2164,""),"")</f>
        <v/>
      </c>
    </row>
    <row r="2165">
      <c r="S2165">
        <f>IF(ISNUMBER('자료_거시'!$E2147),'자료_거시'!$E2147,S2164)</f>
        <v/>
      </c>
      <c r="T2165">
        <f>IF(AND(ISNUMBER('자료_거시'!$D2147),ISNUMBER('자료_거시'!$E2147)),IFERROR('자료_거시'!$E2147-INDEX($S$21:$S$4020,MATCH(EDATE('자료_거시'!$D2147,-'설정'!$B$17),'자료_거시'!$D$3:INDEX('자료_거시'!$D$3:$D$4002,$K$6),1)),""),"")</f>
        <v/>
      </c>
      <c r="U2165">
        <f>IF(ISNUMBER(T2165),'자료_거시'!$D2147,"")</f>
        <v/>
      </c>
      <c r="V2165">
        <f>IF(ISNUMBER(U2165),IF(U2165&gt;$L$6,T2165,""),"")</f>
        <v/>
      </c>
      <c r="W2165">
        <f>IF(AND(ISNUMBER('자료_거시'!$G2147),ISNUMBER('자료_거시'!$H2147)),'자료_거시'!$H2147,"")</f>
        <v/>
      </c>
      <c r="X2165">
        <f>IF(ISNUMBER(W2165),'자료_거시'!$G2147,"")</f>
        <v/>
      </c>
      <c r="Y2165">
        <f>IF(ISNUMBER(X2165),IF(X2165&gt;$L$7,W2165,""),"")</f>
        <v/>
      </c>
      <c r="Z2165">
        <f>IF(ISNUMBER('자료_거시'!$K2147),'자료_거시'!$K2147,Z2164)</f>
        <v/>
      </c>
      <c r="AA2165">
        <f>IF(AND(ISNUMBER('자료_거시'!$J2147),ISNUMBER('자료_거시'!$K2147)),IFERROR('자료_거시'!$K2147/INDEX($Z$21:$Z$4020,MATCH(EDATE('자료_거시'!$J2147,-'설정'!$B$17),'자료_거시'!$J$3:INDEX('자료_거시'!$J$3:$J$4002,$K$8),1))-1,""),"")</f>
        <v/>
      </c>
      <c r="AB2165">
        <f>IF(ISNUMBER(AA2165),'자료_거시'!$J2147,"")</f>
        <v/>
      </c>
      <c r="AC2165">
        <f>IF(ISNUMBER(AB2165),IF(AB2165&gt;$L$8,AA2165,""),"")</f>
        <v/>
      </c>
    </row>
    <row r="2166">
      <c r="S2166">
        <f>IF(ISNUMBER('자료_거시'!$E2148),'자료_거시'!$E2148,S2165)</f>
        <v/>
      </c>
      <c r="T2166">
        <f>IF(AND(ISNUMBER('자료_거시'!$D2148),ISNUMBER('자료_거시'!$E2148)),IFERROR('자료_거시'!$E2148-INDEX($S$21:$S$4020,MATCH(EDATE('자료_거시'!$D2148,-'설정'!$B$17),'자료_거시'!$D$3:INDEX('자료_거시'!$D$3:$D$4002,$K$6),1)),""),"")</f>
        <v/>
      </c>
      <c r="U2166">
        <f>IF(ISNUMBER(T2166),'자료_거시'!$D2148,"")</f>
        <v/>
      </c>
      <c r="V2166">
        <f>IF(ISNUMBER(U2166),IF(U2166&gt;$L$6,T2166,""),"")</f>
        <v/>
      </c>
      <c r="W2166">
        <f>IF(AND(ISNUMBER('자료_거시'!$G2148),ISNUMBER('자료_거시'!$H2148)),'자료_거시'!$H2148,"")</f>
        <v/>
      </c>
      <c r="X2166">
        <f>IF(ISNUMBER(W2166),'자료_거시'!$G2148,"")</f>
        <v/>
      </c>
      <c r="Y2166">
        <f>IF(ISNUMBER(X2166),IF(X2166&gt;$L$7,W2166,""),"")</f>
        <v/>
      </c>
      <c r="Z2166">
        <f>IF(ISNUMBER('자료_거시'!$K2148),'자료_거시'!$K2148,Z2165)</f>
        <v/>
      </c>
      <c r="AA2166">
        <f>IF(AND(ISNUMBER('자료_거시'!$J2148),ISNUMBER('자료_거시'!$K2148)),IFERROR('자료_거시'!$K2148/INDEX($Z$21:$Z$4020,MATCH(EDATE('자료_거시'!$J2148,-'설정'!$B$17),'자료_거시'!$J$3:INDEX('자료_거시'!$J$3:$J$4002,$K$8),1))-1,""),"")</f>
        <v/>
      </c>
      <c r="AB2166">
        <f>IF(ISNUMBER(AA2166),'자료_거시'!$J2148,"")</f>
        <v/>
      </c>
      <c r="AC2166">
        <f>IF(ISNUMBER(AB2166),IF(AB2166&gt;$L$8,AA2166,""),"")</f>
        <v/>
      </c>
    </row>
    <row r="2167">
      <c r="S2167">
        <f>IF(ISNUMBER('자료_거시'!$E2149),'자료_거시'!$E2149,S2166)</f>
        <v/>
      </c>
      <c r="T2167">
        <f>IF(AND(ISNUMBER('자료_거시'!$D2149),ISNUMBER('자료_거시'!$E2149)),IFERROR('자료_거시'!$E2149-INDEX($S$21:$S$4020,MATCH(EDATE('자료_거시'!$D2149,-'설정'!$B$17),'자료_거시'!$D$3:INDEX('자료_거시'!$D$3:$D$4002,$K$6),1)),""),"")</f>
        <v/>
      </c>
      <c r="U2167">
        <f>IF(ISNUMBER(T2167),'자료_거시'!$D2149,"")</f>
        <v/>
      </c>
      <c r="V2167">
        <f>IF(ISNUMBER(U2167),IF(U2167&gt;$L$6,T2167,""),"")</f>
        <v/>
      </c>
      <c r="W2167">
        <f>IF(AND(ISNUMBER('자료_거시'!$G2149),ISNUMBER('자료_거시'!$H2149)),'자료_거시'!$H2149,"")</f>
        <v/>
      </c>
      <c r="X2167">
        <f>IF(ISNUMBER(W2167),'자료_거시'!$G2149,"")</f>
        <v/>
      </c>
      <c r="Y2167">
        <f>IF(ISNUMBER(X2167),IF(X2167&gt;$L$7,W2167,""),"")</f>
        <v/>
      </c>
      <c r="Z2167">
        <f>IF(ISNUMBER('자료_거시'!$K2149),'자료_거시'!$K2149,Z2166)</f>
        <v/>
      </c>
      <c r="AA2167">
        <f>IF(AND(ISNUMBER('자료_거시'!$J2149),ISNUMBER('자료_거시'!$K2149)),IFERROR('자료_거시'!$K2149/INDEX($Z$21:$Z$4020,MATCH(EDATE('자료_거시'!$J2149,-'설정'!$B$17),'자료_거시'!$J$3:INDEX('자료_거시'!$J$3:$J$4002,$K$8),1))-1,""),"")</f>
        <v/>
      </c>
      <c r="AB2167">
        <f>IF(ISNUMBER(AA2167),'자료_거시'!$J2149,"")</f>
        <v/>
      </c>
      <c r="AC2167">
        <f>IF(ISNUMBER(AB2167),IF(AB2167&gt;$L$8,AA2167,""),"")</f>
        <v/>
      </c>
    </row>
    <row r="2168">
      <c r="S2168">
        <f>IF(ISNUMBER('자료_거시'!$E2150),'자료_거시'!$E2150,S2167)</f>
        <v/>
      </c>
      <c r="T2168">
        <f>IF(AND(ISNUMBER('자료_거시'!$D2150),ISNUMBER('자료_거시'!$E2150)),IFERROR('자료_거시'!$E2150-INDEX($S$21:$S$4020,MATCH(EDATE('자료_거시'!$D2150,-'설정'!$B$17),'자료_거시'!$D$3:INDEX('자료_거시'!$D$3:$D$4002,$K$6),1)),""),"")</f>
        <v/>
      </c>
      <c r="U2168">
        <f>IF(ISNUMBER(T2168),'자료_거시'!$D2150,"")</f>
        <v/>
      </c>
      <c r="V2168">
        <f>IF(ISNUMBER(U2168),IF(U2168&gt;$L$6,T2168,""),"")</f>
        <v/>
      </c>
      <c r="W2168">
        <f>IF(AND(ISNUMBER('자료_거시'!$G2150),ISNUMBER('자료_거시'!$H2150)),'자료_거시'!$H2150,"")</f>
        <v/>
      </c>
      <c r="X2168">
        <f>IF(ISNUMBER(W2168),'자료_거시'!$G2150,"")</f>
        <v/>
      </c>
      <c r="Y2168">
        <f>IF(ISNUMBER(X2168),IF(X2168&gt;$L$7,W2168,""),"")</f>
        <v/>
      </c>
      <c r="Z2168">
        <f>IF(ISNUMBER('자료_거시'!$K2150),'자료_거시'!$K2150,Z2167)</f>
        <v/>
      </c>
      <c r="AA2168">
        <f>IF(AND(ISNUMBER('자료_거시'!$J2150),ISNUMBER('자료_거시'!$K2150)),IFERROR('자료_거시'!$K2150/INDEX($Z$21:$Z$4020,MATCH(EDATE('자료_거시'!$J2150,-'설정'!$B$17),'자료_거시'!$J$3:INDEX('자료_거시'!$J$3:$J$4002,$K$8),1))-1,""),"")</f>
        <v/>
      </c>
      <c r="AB2168">
        <f>IF(ISNUMBER(AA2168),'자료_거시'!$J2150,"")</f>
        <v/>
      </c>
      <c r="AC2168">
        <f>IF(ISNUMBER(AB2168),IF(AB2168&gt;$L$8,AA2168,""),"")</f>
        <v/>
      </c>
    </row>
    <row r="2169">
      <c r="S2169">
        <f>IF(ISNUMBER('자료_거시'!$E2151),'자료_거시'!$E2151,S2168)</f>
        <v/>
      </c>
      <c r="T2169">
        <f>IF(AND(ISNUMBER('자료_거시'!$D2151),ISNUMBER('자료_거시'!$E2151)),IFERROR('자료_거시'!$E2151-INDEX($S$21:$S$4020,MATCH(EDATE('자료_거시'!$D2151,-'설정'!$B$17),'자료_거시'!$D$3:INDEX('자료_거시'!$D$3:$D$4002,$K$6),1)),""),"")</f>
        <v/>
      </c>
      <c r="U2169">
        <f>IF(ISNUMBER(T2169),'자료_거시'!$D2151,"")</f>
        <v/>
      </c>
      <c r="V2169">
        <f>IF(ISNUMBER(U2169),IF(U2169&gt;$L$6,T2169,""),"")</f>
        <v/>
      </c>
      <c r="W2169">
        <f>IF(AND(ISNUMBER('자료_거시'!$G2151),ISNUMBER('자료_거시'!$H2151)),'자료_거시'!$H2151,"")</f>
        <v/>
      </c>
      <c r="X2169">
        <f>IF(ISNUMBER(W2169),'자료_거시'!$G2151,"")</f>
        <v/>
      </c>
      <c r="Y2169">
        <f>IF(ISNUMBER(X2169),IF(X2169&gt;$L$7,W2169,""),"")</f>
        <v/>
      </c>
      <c r="Z2169">
        <f>IF(ISNUMBER('자료_거시'!$K2151),'자료_거시'!$K2151,Z2168)</f>
        <v/>
      </c>
      <c r="AA2169">
        <f>IF(AND(ISNUMBER('자료_거시'!$J2151),ISNUMBER('자료_거시'!$K2151)),IFERROR('자료_거시'!$K2151/INDEX($Z$21:$Z$4020,MATCH(EDATE('자료_거시'!$J2151,-'설정'!$B$17),'자료_거시'!$J$3:INDEX('자료_거시'!$J$3:$J$4002,$K$8),1))-1,""),"")</f>
        <v/>
      </c>
      <c r="AB2169">
        <f>IF(ISNUMBER(AA2169),'자료_거시'!$J2151,"")</f>
        <v/>
      </c>
      <c r="AC2169">
        <f>IF(ISNUMBER(AB2169),IF(AB2169&gt;$L$8,AA2169,""),"")</f>
        <v/>
      </c>
    </row>
    <row r="2170">
      <c r="S2170">
        <f>IF(ISNUMBER('자료_거시'!$E2152),'자료_거시'!$E2152,S2169)</f>
        <v/>
      </c>
      <c r="T2170">
        <f>IF(AND(ISNUMBER('자료_거시'!$D2152),ISNUMBER('자료_거시'!$E2152)),IFERROR('자료_거시'!$E2152-INDEX($S$21:$S$4020,MATCH(EDATE('자료_거시'!$D2152,-'설정'!$B$17),'자료_거시'!$D$3:INDEX('자료_거시'!$D$3:$D$4002,$K$6),1)),""),"")</f>
        <v/>
      </c>
      <c r="U2170">
        <f>IF(ISNUMBER(T2170),'자료_거시'!$D2152,"")</f>
        <v/>
      </c>
      <c r="V2170">
        <f>IF(ISNUMBER(U2170),IF(U2170&gt;$L$6,T2170,""),"")</f>
        <v/>
      </c>
      <c r="W2170">
        <f>IF(AND(ISNUMBER('자료_거시'!$G2152),ISNUMBER('자료_거시'!$H2152)),'자료_거시'!$H2152,"")</f>
        <v/>
      </c>
      <c r="X2170">
        <f>IF(ISNUMBER(W2170),'자료_거시'!$G2152,"")</f>
        <v/>
      </c>
      <c r="Y2170">
        <f>IF(ISNUMBER(X2170),IF(X2170&gt;$L$7,W2170,""),"")</f>
        <v/>
      </c>
      <c r="Z2170">
        <f>IF(ISNUMBER('자료_거시'!$K2152),'자료_거시'!$K2152,Z2169)</f>
        <v/>
      </c>
      <c r="AA2170">
        <f>IF(AND(ISNUMBER('자료_거시'!$J2152),ISNUMBER('자료_거시'!$K2152)),IFERROR('자료_거시'!$K2152/INDEX($Z$21:$Z$4020,MATCH(EDATE('자료_거시'!$J2152,-'설정'!$B$17),'자료_거시'!$J$3:INDEX('자료_거시'!$J$3:$J$4002,$K$8),1))-1,""),"")</f>
        <v/>
      </c>
      <c r="AB2170">
        <f>IF(ISNUMBER(AA2170),'자료_거시'!$J2152,"")</f>
        <v/>
      </c>
      <c r="AC2170">
        <f>IF(ISNUMBER(AB2170),IF(AB2170&gt;$L$8,AA2170,""),"")</f>
        <v/>
      </c>
    </row>
    <row r="2171">
      <c r="S2171">
        <f>IF(ISNUMBER('자료_거시'!$E2153),'자료_거시'!$E2153,S2170)</f>
        <v/>
      </c>
      <c r="T2171">
        <f>IF(AND(ISNUMBER('자료_거시'!$D2153),ISNUMBER('자료_거시'!$E2153)),IFERROR('자료_거시'!$E2153-INDEX($S$21:$S$4020,MATCH(EDATE('자료_거시'!$D2153,-'설정'!$B$17),'자료_거시'!$D$3:INDEX('자료_거시'!$D$3:$D$4002,$K$6),1)),""),"")</f>
        <v/>
      </c>
      <c r="U2171">
        <f>IF(ISNUMBER(T2171),'자료_거시'!$D2153,"")</f>
        <v/>
      </c>
      <c r="V2171">
        <f>IF(ISNUMBER(U2171),IF(U2171&gt;$L$6,T2171,""),"")</f>
        <v/>
      </c>
      <c r="W2171">
        <f>IF(AND(ISNUMBER('자료_거시'!$G2153),ISNUMBER('자료_거시'!$H2153)),'자료_거시'!$H2153,"")</f>
        <v/>
      </c>
      <c r="X2171">
        <f>IF(ISNUMBER(W2171),'자료_거시'!$G2153,"")</f>
        <v/>
      </c>
      <c r="Y2171">
        <f>IF(ISNUMBER(X2171),IF(X2171&gt;$L$7,W2171,""),"")</f>
        <v/>
      </c>
      <c r="Z2171">
        <f>IF(ISNUMBER('자료_거시'!$K2153),'자료_거시'!$K2153,Z2170)</f>
        <v/>
      </c>
      <c r="AA2171">
        <f>IF(AND(ISNUMBER('자료_거시'!$J2153),ISNUMBER('자료_거시'!$K2153)),IFERROR('자료_거시'!$K2153/INDEX($Z$21:$Z$4020,MATCH(EDATE('자료_거시'!$J2153,-'설정'!$B$17),'자료_거시'!$J$3:INDEX('자료_거시'!$J$3:$J$4002,$K$8),1))-1,""),"")</f>
        <v/>
      </c>
      <c r="AB2171">
        <f>IF(ISNUMBER(AA2171),'자료_거시'!$J2153,"")</f>
        <v/>
      </c>
      <c r="AC2171">
        <f>IF(ISNUMBER(AB2171),IF(AB2171&gt;$L$8,AA2171,""),"")</f>
        <v/>
      </c>
    </row>
    <row r="2172">
      <c r="S2172">
        <f>IF(ISNUMBER('자료_거시'!$E2154),'자료_거시'!$E2154,S2171)</f>
        <v/>
      </c>
      <c r="T2172">
        <f>IF(AND(ISNUMBER('자료_거시'!$D2154),ISNUMBER('자료_거시'!$E2154)),IFERROR('자료_거시'!$E2154-INDEX($S$21:$S$4020,MATCH(EDATE('자료_거시'!$D2154,-'설정'!$B$17),'자료_거시'!$D$3:INDEX('자료_거시'!$D$3:$D$4002,$K$6),1)),""),"")</f>
        <v/>
      </c>
      <c r="U2172">
        <f>IF(ISNUMBER(T2172),'자료_거시'!$D2154,"")</f>
        <v/>
      </c>
      <c r="V2172">
        <f>IF(ISNUMBER(U2172),IF(U2172&gt;$L$6,T2172,""),"")</f>
        <v/>
      </c>
      <c r="W2172">
        <f>IF(AND(ISNUMBER('자료_거시'!$G2154),ISNUMBER('자료_거시'!$H2154)),'자료_거시'!$H2154,"")</f>
        <v/>
      </c>
      <c r="X2172">
        <f>IF(ISNUMBER(W2172),'자료_거시'!$G2154,"")</f>
        <v/>
      </c>
      <c r="Y2172">
        <f>IF(ISNUMBER(X2172),IF(X2172&gt;$L$7,W2172,""),"")</f>
        <v/>
      </c>
      <c r="Z2172">
        <f>IF(ISNUMBER('자료_거시'!$K2154),'자료_거시'!$K2154,Z2171)</f>
        <v/>
      </c>
      <c r="AA2172">
        <f>IF(AND(ISNUMBER('자료_거시'!$J2154),ISNUMBER('자료_거시'!$K2154)),IFERROR('자료_거시'!$K2154/INDEX($Z$21:$Z$4020,MATCH(EDATE('자료_거시'!$J2154,-'설정'!$B$17),'자료_거시'!$J$3:INDEX('자료_거시'!$J$3:$J$4002,$K$8),1))-1,""),"")</f>
        <v/>
      </c>
      <c r="AB2172">
        <f>IF(ISNUMBER(AA2172),'자료_거시'!$J2154,"")</f>
        <v/>
      </c>
      <c r="AC2172">
        <f>IF(ISNUMBER(AB2172),IF(AB2172&gt;$L$8,AA2172,""),"")</f>
        <v/>
      </c>
    </row>
    <row r="2173">
      <c r="S2173">
        <f>IF(ISNUMBER('자료_거시'!$E2155),'자료_거시'!$E2155,S2172)</f>
        <v/>
      </c>
      <c r="T2173">
        <f>IF(AND(ISNUMBER('자료_거시'!$D2155),ISNUMBER('자료_거시'!$E2155)),IFERROR('자료_거시'!$E2155-INDEX($S$21:$S$4020,MATCH(EDATE('자료_거시'!$D2155,-'설정'!$B$17),'자료_거시'!$D$3:INDEX('자료_거시'!$D$3:$D$4002,$K$6),1)),""),"")</f>
        <v/>
      </c>
      <c r="U2173">
        <f>IF(ISNUMBER(T2173),'자료_거시'!$D2155,"")</f>
        <v/>
      </c>
      <c r="V2173">
        <f>IF(ISNUMBER(U2173),IF(U2173&gt;$L$6,T2173,""),"")</f>
        <v/>
      </c>
      <c r="W2173">
        <f>IF(AND(ISNUMBER('자료_거시'!$G2155),ISNUMBER('자료_거시'!$H2155)),'자료_거시'!$H2155,"")</f>
        <v/>
      </c>
      <c r="X2173">
        <f>IF(ISNUMBER(W2173),'자료_거시'!$G2155,"")</f>
        <v/>
      </c>
      <c r="Y2173">
        <f>IF(ISNUMBER(X2173),IF(X2173&gt;$L$7,W2173,""),"")</f>
        <v/>
      </c>
      <c r="Z2173">
        <f>IF(ISNUMBER('자료_거시'!$K2155),'자료_거시'!$K2155,Z2172)</f>
        <v/>
      </c>
      <c r="AA2173">
        <f>IF(AND(ISNUMBER('자료_거시'!$J2155),ISNUMBER('자료_거시'!$K2155)),IFERROR('자료_거시'!$K2155/INDEX($Z$21:$Z$4020,MATCH(EDATE('자료_거시'!$J2155,-'설정'!$B$17),'자료_거시'!$J$3:INDEX('자료_거시'!$J$3:$J$4002,$K$8),1))-1,""),"")</f>
        <v/>
      </c>
      <c r="AB2173">
        <f>IF(ISNUMBER(AA2173),'자료_거시'!$J2155,"")</f>
        <v/>
      </c>
      <c r="AC2173">
        <f>IF(ISNUMBER(AB2173),IF(AB2173&gt;$L$8,AA2173,""),"")</f>
        <v/>
      </c>
    </row>
    <row r="2174">
      <c r="S2174">
        <f>IF(ISNUMBER('자료_거시'!$E2156),'자료_거시'!$E2156,S2173)</f>
        <v/>
      </c>
      <c r="T2174">
        <f>IF(AND(ISNUMBER('자료_거시'!$D2156),ISNUMBER('자료_거시'!$E2156)),IFERROR('자료_거시'!$E2156-INDEX($S$21:$S$4020,MATCH(EDATE('자료_거시'!$D2156,-'설정'!$B$17),'자료_거시'!$D$3:INDEX('자료_거시'!$D$3:$D$4002,$K$6),1)),""),"")</f>
        <v/>
      </c>
      <c r="U2174">
        <f>IF(ISNUMBER(T2174),'자료_거시'!$D2156,"")</f>
        <v/>
      </c>
      <c r="V2174">
        <f>IF(ISNUMBER(U2174),IF(U2174&gt;$L$6,T2174,""),"")</f>
        <v/>
      </c>
      <c r="W2174">
        <f>IF(AND(ISNUMBER('자료_거시'!$G2156),ISNUMBER('자료_거시'!$H2156)),'자료_거시'!$H2156,"")</f>
        <v/>
      </c>
      <c r="X2174">
        <f>IF(ISNUMBER(W2174),'자료_거시'!$G2156,"")</f>
        <v/>
      </c>
      <c r="Y2174">
        <f>IF(ISNUMBER(X2174),IF(X2174&gt;$L$7,W2174,""),"")</f>
        <v/>
      </c>
      <c r="Z2174">
        <f>IF(ISNUMBER('자료_거시'!$K2156),'자료_거시'!$K2156,Z2173)</f>
        <v/>
      </c>
      <c r="AA2174">
        <f>IF(AND(ISNUMBER('자료_거시'!$J2156),ISNUMBER('자료_거시'!$K2156)),IFERROR('자료_거시'!$K2156/INDEX($Z$21:$Z$4020,MATCH(EDATE('자료_거시'!$J2156,-'설정'!$B$17),'자료_거시'!$J$3:INDEX('자료_거시'!$J$3:$J$4002,$K$8),1))-1,""),"")</f>
        <v/>
      </c>
      <c r="AB2174">
        <f>IF(ISNUMBER(AA2174),'자료_거시'!$J2156,"")</f>
        <v/>
      </c>
      <c r="AC2174">
        <f>IF(ISNUMBER(AB2174),IF(AB2174&gt;$L$8,AA2174,""),"")</f>
        <v/>
      </c>
    </row>
    <row r="2175">
      <c r="S2175">
        <f>IF(ISNUMBER('자료_거시'!$E2157),'자료_거시'!$E2157,S2174)</f>
        <v/>
      </c>
      <c r="T2175">
        <f>IF(AND(ISNUMBER('자료_거시'!$D2157),ISNUMBER('자료_거시'!$E2157)),IFERROR('자료_거시'!$E2157-INDEX($S$21:$S$4020,MATCH(EDATE('자료_거시'!$D2157,-'설정'!$B$17),'자료_거시'!$D$3:INDEX('자료_거시'!$D$3:$D$4002,$K$6),1)),""),"")</f>
        <v/>
      </c>
      <c r="U2175">
        <f>IF(ISNUMBER(T2175),'자료_거시'!$D2157,"")</f>
        <v/>
      </c>
      <c r="V2175">
        <f>IF(ISNUMBER(U2175),IF(U2175&gt;$L$6,T2175,""),"")</f>
        <v/>
      </c>
      <c r="W2175">
        <f>IF(AND(ISNUMBER('자료_거시'!$G2157),ISNUMBER('자료_거시'!$H2157)),'자료_거시'!$H2157,"")</f>
        <v/>
      </c>
      <c r="X2175">
        <f>IF(ISNUMBER(W2175),'자료_거시'!$G2157,"")</f>
        <v/>
      </c>
      <c r="Y2175">
        <f>IF(ISNUMBER(X2175),IF(X2175&gt;$L$7,W2175,""),"")</f>
        <v/>
      </c>
      <c r="Z2175">
        <f>IF(ISNUMBER('자료_거시'!$K2157),'자료_거시'!$K2157,Z2174)</f>
        <v/>
      </c>
      <c r="AA2175">
        <f>IF(AND(ISNUMBER('자료_거시'!$J2157),ISNUMBER('자료_거시'!$K2157)),IFERROR('자료_거시'!$K2157/INDEX($Z$21:$Z$4020,MATCH(EDATE('자료_거시'!$J2157,-'설정'!$B$17),'자료_거시'!$J$3:INDEX('자료_거시'!$J$3:$J$4002,$K$8),1))-1,""),"")</f>
        <v/>
      </c>
      <c r="AB2175">
        <f>IF(ISNUMBER(AA2175),'자료_거시'!$J2157,"")</f>
        <v/>
      </c>
      <c r="AC2175">
        <f>IF(ISNUMBER(AB2175),IF(AB2175&gt;$L$8,AA2175,""),"")</f>
        <v/>
      </c>
    </row>
    <row r="2176">
      <c r="S2176">
        <f>IF(ISNUMBER('자료_거시'!$E2158),'자료_거시'!$E2158,S2175)</f>
        <v/>
      </c>
      <c r="T2176">
        <f>IF(AND(ISNUMBER('자료_거시'!$D2158),ISNUMBER('자료_거시'!$E2158)),IFERROR('자료_거시'!$E2158-INDEX($S$21:$S$4020,MATCH(EDATE('자료_거시'!$D2158,-'설정'!$B$17),'자료_거시'!$D$3:INDEX('자료_거시'!$D$3:$D$4002,$K$6),1)),""),"")</f>
        <v/>
      </c>
      <c r="U2176">
        <f>IF(ISNUMBER(T2176),'자료_거시'!$D2158,"")</f>
        <v/>
      </c>
      <c r="V2176">
        <f>IF(ISNUMBER(U2176),IF(U2176&gt;$L$6,T2176,""),"")</f>
        <v/>
      </c>
      <c r="W2176">
        <f>IF(AND(ISNUMBER('자료_거시'!$G2158),ISNUMBER('자료_거시'!$H2158)),'자료_거시'!$H2158,"")</f>
        <v/>
      </c>
      <c r="X2176">
        <f>IF(ISNUMBER(W2176),'자료_거시'!$G2158,"")</f>
        <v/>
      </c>
      <c r="Y2176">
        <f>IF(ISNUMBER(X2176),IF(X2176&gt;$L$7,W2176,""),"")</f>
        <v/>
      </c>
      <c r="Z2176">
        <f>IF(ISNUMBER('자료_거시'!$K2158),'자료_거시'!$K2158,Z2175)</f>
        <v/>
      </c>
      <c r="AA2176">
        <f>IF(AND(ISNUMBER('자료_거시'!$J2158),ISNUMBER('자료_거시'!$K2158)),IFERROR('자료_거시'!$K2158/INDEX($Z$21:$Z$4020,MATCH(EDATE('자료_거시'!$J2158,-'설정'!$B$17),'자료_거시'!$J$3:INDEX('자료_거시'!$J$3:$J$4002,$K$8),1))-1,""),"")</f>
        <v/>
      </c>
      <c r="AB2176">
        <f>IF(ISNUMBER(AA2176),'자료_거시'!$J2158,"")</f>
        <v/>
      </c>
      <c r="AC2176">
        <f>IF(ISNUMBER(AB2176),IF(AB2176&gt;$L$8,AA2176,""),"")</f>
        <v/>
      </c>
    </row>
    <row r="2177">
      <c r="S2177">
        <f>IF(ISNUMBER('자료_거시'!$E2159),'자료_거시'!$E2159,S2176)</f>
        <v/>
      </c>
      <c r="T2177">
        <f>IF(AND(ISNUMBER('자료_거시'!$D2159),ISNUMBER('자료_거시'!$E2159)),IFERROR('자료_거시'!$E2159-INDEX($S$21:$S$4020,MATCH(EDATE('자료_거시'!$D2159,-'설정'!$B$17),'자료_거시'!$D$3:INDEX('자료_거시'!$D$3:$D$4002,$K$6),1)),""),"")</f>
        <v/>
      </c>
      <c r="U2177">
        <f>IF(ISNUMBER(T2177),'자료_거시'!$D2159,"")</f>
        <v/>
      </c>
      <c r="V2177">
        <f>IF(ISNUMBER(U2177),IF(U2177&gt;$L$6,T2177,""),"")</f>
        <v/>
      </c>
      <c r="W2177">
        <f>IF(AND(ISNUMBER('자료_거시'!$G2159),ISNUMBER('자료_거시'!$H2159)),'자료_거시'!$H2159,"")</f>
        <v/>
      </c>
      <c r="X2177">
        <f>IF(ISNUMBER(W2177),'자료_거시'!$G2159,"")</f>
        <v/>
      </c>
      <c r="Y2177">
        <f>IF(ISNUMBER(X2177),IF(X2177&gt;$L$7,W2177,""),"")</f>
        <v/>
      </c>
      <c r="Z2177">
        <f>IF(ISNUMBER('자료_거시'!$K2159),'자료_거시'!$K2159,Z2176)</f>
        <v/>
      </c>
      <c r="AA2177">
        <f>IF(AND(ISNUMBER('자료_거시'!$J2159),ISNUMBER('자료_거시'!$K2159)),IFERROR('자료_거시'!$K2159/INDEX($Z$21:$Z$4020,MATCH(EDATE('자료_거시'!$J2159,-'설정'!$B$17),'자료_거시'!$J$3:INDEX('자료_거시'!$J$3:$J$4002,$K$8),1))-1,""),"")</f>
        <v/>
      </c>
      <c r="AB2177">
        <f>IF(ISNUMBER(AA2177),'자료_거시'!$J2159,"")</f>
        <v/>
      </c>
      <c r="AC2177">
        <f>IF(ISNUMBER(AB2177),IF(AB2177&gt;$L$8,AA2177,""),"")</f>
        <v/>
      </c>
    </row>
    <row r="2178">
      <c r="S2178">
        <f>IF(ISNUMBER('자료_거시'!$E2160),'자료_거시'!$E2160,S2177)</f>
        <v/>
      </c>
      <c r="T2178">
        <f>IF(AND(ISNUMBER('자료_거시'!$D2160),ISNUMBER('자료_거시'!$E2160)),IFERROR('자료_거시'!$E2160-INDEX($S$21:$S$4020,MATCH(EDATE('자료_거시'!$D2160,-'설정'!$B$17),'자료_거시'!$D$3:INDEX('자료_거시'!$D$3:$D$4002,$K$6),1)),""),"")</f>
        <v/>
      </c>
      <c r="U2178">
        <f>IF(ISNUMBER(T2178),'자료_거시'!$D2160,"")</f>
        <v/>
      </c>
      <c r="V2178">
        <f>IF(ISNUMBER(U2178),IF(U2178&gt;$L$6,T2178,""),"")</f>
        <v/>
      </c>
      <c r="W2178">
        <f>IF(AND(ISNUMBER('자료_거시'!$G2160),ISNUMBER('자료_거시'!$H2160)),'자료_거시'!$H2160,"")</f>
        <v/>
      </c>
      <c r="X2178">
        <f>IF(ISNUMBER(W2178),'자료_거시'!$G2160,"")</f>
        <v/>
      </c>
      <c r="Y2178">
        <f>IF(ISNUMBER(X2178),IF(X2178&gt;$L$7,W2178,""),"")</f>
        <v/>
      </c>
      <c r="Z2178">
        <f>IF(ISNUMBER('자료_거시'!$K2160),'자료_거시'!$K2160,Z2177)</f>
        <v/>
      </c>
      <c r="AA2178">
        <f>IF(AND(ISNUMBER('자료_거시'!$J2160),ISNUMBER('자료_거시'!$K2160)),IFERROR('자료_거시'!$K2160/INDEX($Z$21:$Z$4020,MATCH(EDATE('자료_거시'!$J2160,-'설정'!$B$17),'자료_거시'!$J$3:INDEX('자료_거시'!$J$3:$J$4002,$K$8),1))-1,""),"")</f>
        <v/>
      </c>
      <c r="AB2178">
        <f>IF(ISNUMBER(AA2178),'자료_거시'!$J2160,"")</f>
        <v/>
      </c>
      <c r="AC2178">
        <f>IF(ISNUMBER(AB2178),IF(AB2178&gt;$L$8,AA2178,""),"")</f>
        <v/>
      </c>
    </row>
    <row r="2179">
      <c r="S2179">
        <f>IF(ISNUMBER('자료_거시'!$E2161),'자료_거시'!$E2161,S2178)</f>
        <v/>
      </c>
      <c r="T2179">
        <f>IF(AND(ISNUMBER('자료_거시'!$D2161),ISNUMBER('자료_거시'!$E2161)),IFERROR('자료_거시'!$E2161-INDEX($S$21:$S$4020,MATCH(EDATE('자료_거시'!$D2161,-'설정'!$B$17),'자료_거시'!$D$3:INDEX('자료_거시'!$D$3:$D$4002,$K$6),1)),""),"")</f>
        <v/>
      </c>
      <c r="U2179">
        <f>IF(ISNUMBER(T2179),'자료_거시'!$D2161,"")</f>
        <v/>
      </c>
      <c r="V2179">
        <f>IF(ISNUMBER(U2179),IF(U2179&gt;$L$6,T2179,""),"")</f>
        <v/>
      </c>
      <c r="W2179">
        <f>IF(AND(ISNUMBER('자료_거시'!$G2161),ISNUMBER('자료_거시'!$H2161)),'자료_거시'!$H2161,"")</f>
        <v/>
      </c>
      <c r="X2179">
        <f>IF(ISNUMBER(W2179),'자료_거시'!$G2161,"")</f>
        <v/>
      </c>
      <c r="Y2179">
        <f>IF(ISNUMBER(X2179),IF(X2179&gt;$L$7,W2179,""),"")</f>
        <v/>
      </c>
      <c r="Z2179">
        <f>IF(ISNUMBER('자료_거시'!$K2161),'자료_거시'!$K2161,Z2178)</f>
        <v/>
      </c>
      <c r="AA2179">
        <f>IF(AND(ISNUMBER('자료_거시'!$J2161),ISNUMBER('자료_거시'!$K2161)),IFERROR('자료_거시'!$K2161/INDEX($Z$21:$Z$4020,MATCH(EDATE('자료_거시'!$J2161,-'설정'!$B$17),'자료_거시'!$J$3:INDEX('자료_거시'!$J$3:$J$4002,$K$8),1))-1,""),"")</f>
        <v/>
      </c>
      <c r="AB2179">
        <f>IF(ISNUMBER(AA2179),'자료_거시'!$J2161,"")</f>
        <v/>
      </c>
      <c r="AC2179">
        <f>IF(ISNUMBER(AB2179),IF(AB2179&gt;$L$8,AA2179,""),"")</f>
        <v/>
      </c>
    </row>
    <row r="2180">
      <c r="S2180">
        <f>IF(ISNUMBER('자료_거시'!$E2162),'자료_거시'!$E2162,S2179)</f>
        <v/>
      </c>
      <c r="T2180">
        <f>IF(AND(ISNUMBER('자료_거시'!$D2162),ISNUMBER('자료_거시'!$E2162)),IFERROR('자료_거시'!$E2162-INDEX($S$21:$S$4020,MATCH(EDATE('자료_거시'!$D2162,-'설정'!$B$17),'자료_거시'!$D$3:INDEX('자료_거시'!$D$3:$D$4002,$K$6),1)),""),"")</f>
        <v/>
      </c>
      <c r="U2180">
        <f>IF(ISNUMBER(T2180),'자료_거시'!$D2162,"")</f>
        <v/>
      </c>
      <c r="V2180">
        <f>IF(ISNUMBER(U2180),IF(U2180&gt;$L$6,T2180,""),"")</f>
        <v/>
      </c>
      <c r="W2180">
        <f>IF(AND(ISNUMBER('자료_거시'!$G2162),ISNUMBER('자료_거시'!$H2162)),'자료_거시'!$H2162,"")</f>
        <v/>
      </c>
      <c r="X2180">
        <f>IF(ISNUMBER(W2180),'자료_거시'!$G2162,"")</f>
        <v/>
      </c>
      <c r="Y2180">
        <f>IF(ISNUMBER(X2180),IF(X2180&gt;$L$7,W2180,""),"")</f>
        <v/>
      </c>
      <c r="Z2180">
        <f>IF(ISNUMBER('자료_거시'!$K2162),'자료_거시'!$K2162,Z2179)</f>
        <v/>
      </c>
      <c r="AA2180">
        <f>IF(AND(ISNUMBER('자료_거시'!$J2162),ISNUMBER('자료_거시'!$K2162)),IFERROR('자료_거시'!$K2162/INDEX($Z$21:$Z$4020,MATCH(EDATE('자료_거시'!$J2162,-'설정'!$B$17),'자료_거시'!$J$3:INDEX('자료_거시'!$J$3:$J$4002,$K$8),1))-1,""),"")</f>
        <v/>
      </c>
      <c r="AB2180">
        <f>IF(ISNUMBER(AA2180),'자료_거시'!$J2162,"")</f>
        <v/>
      </c>
      <c r="AC2180">
        <f>IF(ISNUMBER(AB2180),IF(AB2180&gt;$L$8,AA2180,""),"")</f>
        <v/>
      </c>
    </row>
    <row r="2181">
      <c r="S2181">
        <f>IF(ISNUMBER('자료_거시'!$E2163),'자료_거시'!$E2163,S2180)</f>
        <v/>
      </c>
      <c r="T2181">
        <f>IF(AND(ISNUMBER('자료_거시'!$D2163),ISNUMBER('자료_거시'!$E2163)),IFERROR('자료_거시'!$E2163-INDEX($S$21:$S$4020,MATCH(EDATE('자료_거시'!$D2163,-'설정'!$B$17),'자료_거시'!$D$3:INDEX('자료_거시'!$D$3:$D$4002,$K$6),1)),""),"")</f>
        <v/>
      </c>
      <c r="U2181">
        <f>IF(ISNUMBER(T2181),'자료_거시'!$D2163,"")</f>
        <v/>
      </c>
      <c r="V2181">
        <f>IF(ISNUMBER(U2181),IF(U2181&gt;$L$6,T2181,""),"")</f>
        <v/>
      </c>
      <c r="W2181">
        <f>IF(AND(ISNUMBER('자료_거시'!$G2163),ISNUMBER('자료_거시'!$H2163)),'자료_거시'!$H2163,"")</f>
        <v/>
      </c>
      <c r="X2181">
        <f>IF(ISNUMBER(W2181),'자료_거시'!$G2163,"")</f>
        <v/>
      </c>
      <c r="Y2181">
        <f>IF(ISNUMBER(X2181),IF(X2181&gt;$L$7,W2181,""),"")</f>
        <v/>
      </c>
      <c r="Z2181">
        <f>IF(ISNUMBER('자료_거시'!$K2163),'자료_거시'!$K2163,Z2180)</f>
        <v/>
      </c>
      <c r="AA2181">
        <f>IF(AND(ISNUMBER('자료_거시'!$J2163),ISNUMBER('자료_거시'!$K2163)),IFERROR('자료_거시'!$K2163/INDEX($Z$21:$Z$4020,MATCH(EDATE('자료_거시'!$J2163,-'설정'!$B$17),'자료_거시'!$J$3:INDEX('자료_거시'!$J$3:$J$4002,$K$8),1))-1,""),"")</f>
        <v/>
      </c>
      <c r="AB2181">
        <f>IF(ISNUMBER(AA2181),'자료_거시'!$J2163,"")</f>
        <v/>
      </c>
      <c r="AC2181">
        <f>IF(ISNUMBER(AB2181),IF(AB2181&gt;$L$8,AA2181,""),"")</f>
        <v/>
      </c>
    </row>
    <row r="2182">
      <c r="S2182">
        <f>IF(ISNUMBER('자료_거시'!$E2164),'자료_거시'!$E2164,S2181)</f>
        <v/>
      </c>
      <c r="T2182">
        <f>IF(AND(ISNUMBER('자료_거시'!$D2164),ISNUMBER('자료_거시'!$E2164)),IFERROR('자료_거시'!$E2164-INDEX($S$21:$S$4020,MATCH(EDATE('자료_거시'!$D2164,-'설정'!$B$17),'자료_거시'!$D$3:INDEX('자료_거시'!$D$3:$D$4002,$K$6),1)),""),"")</f>
        <v/>
      </c>
      <c r="U2182">
        <f>IF(ISNUMBER(T2182),'자료_거시'!$D2164,"")</f>
        <v/>
      </c>
      <c r="V2182">
        <f>IF(ISNUMBER(U2182),IF(U2182&gt;$L$6,T2182,""),"")</f>
        <v/>
      </c>
      <c r="W2182">
        <f>IF(AND(ISNUMBER('자료_거시'!$G2164),ISNUMBER('자료_거시'!$H2164)),'자료_거시'!$H2164,"")</f>
        <v/>
      </c>
      <c r="X2182">
        <f>IF(ISNUMBER(W2182),'자료_거시'!$G2164,"")</f>
        <v/>
      </c>
      <c r="Y2182">
        <f>IF(ISNUMBER(X2182),IF(X2182&gt;$L$7,W2182,""),"")</f>
        <v/>
      </c>
      <c r="Z2182">
        <f>IF(ISNUMBER('자료_거시'!$K2164),'자료_거시'!$K2164,Z2181)</f>
        <v/>
      </c>
      <c r="AA2182">
        <f>IF(AND(ISNUMBER('자료_거시'!$J2164),ISNUMBER('자료_거시'!$K2164)),IFERROR('자료_거시'!$K2164/INDEX($Z$21:$Z$4020,MATCH(EDATE('자료_거시'!$J2164,-'설정'!$B$17),'자료_거시'!$J$3:INDEX('자료_거시'!$J$3:$J$4002,$K$8),1))-1,""),"")</f>
        <v/>
      </c>
      <c r="AB2182">
        <f>IF(ISNUMBER(AA2182),'자료_거시'!$J2164,"")</f>
        <v/>
      </c>
      <c r="AC2182">
        <f>IF(ISNUMBER(AB2182),IF(AB2182&gt;$L$8,AA2182,""),"")</f>
        <v/>
      </c>
    </row>
    <row r="2183">
      <c r="S2183">
        <f>IF(ISNUMBER('자료_거시'!$E2165),'자료_거시'!$E2165,S2182)</f>
        <v/>
      </c>
      <c r="T2183">
        <f>IF(AND(ISNUMBER('자료_거시'!$D2165),ISNUMBER('자료_거시'!$E2165)),IFERROR('자료_거시'!$E2165-INDEX($S$21:$S$4020,MATCH(EDATE('자료_거시'!$D2165,-'설정'!$B$17),'자료_거시'!$D$3:INDEX('자료_거시'!$D$3:$D$4002,$K$6),1)),""),"")</f>
        <v/>
      </c>
      <c r="U2183">
        <f>IF(ISNUMBER(T2183),'자료_거시'!$D2165,"")</f>
        <v/>
      </c>
      <c r="V2183">
        <f>IF(ISNUMBER(U2183),IF(U2183&gt;$L$6,T2183,""),"")</f>
        <v/>
      </c>
      <c r="W2183">
        <f>IF(AND(ISNUMBER('자료_거시'!$G2165),ISNUMBER('자료_거시'!$H2165)),'자료_거시'!$H2165,"")</f>
        <v/>
      </c>
      <c r="X2183">
        <f>IF(ISNUMBER(W2183),'자료_거시'!$G2165,"")</f>
        <v/>
      </c>
      <c r="Y2183">
        <f>IF(ISNUMBER(X2183),IF(X2183&gt;$L$7,W2183,""),"")</f>
        <v/>
      </c>
      <c r="Z2183">
        <f>IF(ISNUMBER('자료_거시'!$K2165),'자료_거시'!$K2165,Z2182)</f>
        <v/>
      </c>
      <c r="AA2183">
        <f>IF(AND(ISNUMBER('자료_거시'!$J2165),ISNUMBER('자료_거시'!$K2165)),IFERROR('자료_거시'!$K2165/INDEX($Z$21:$Z$4020,MATCH(EDATE('자료_거시'!$J2165,-'설정'!$B$17),'자료_거시'!$J$3:INDEX('자료_거시'!$J$3:$J$4002,$K$8),1))-1,""),"")</f>
        <v/>
      </c>
      <c r="AB2183">
        <f>IF(ISNUMBER(AA2183),'자료_거시'!$J2165,"")</f>
        <v/>
      </c>
      <c r="AC2183">
        <f>IF(ISNUMBER(AB2183),IF(AB2183&gt;$L$8,AA2183,""),"")</f>
        <v/>
      </c>
    </row>
    <row r="2184">
      <c r="S2184">
        <f>IF(ISNUMBER('자료_거시'!$E2166),'자료_거시'!$E2166,S2183)</f>
        <v/>
      </c>
      <c r="T2184">
        <f>IF(AND(ISNUMBER('자료_거시'!$D2166),ISNUMBER('자료_거시'!$E2166)),IFERROR('자료_거시'!$E2166-INDEX($S$21:$S$4020,MATCH(EDATE('자료_거시'!$D2166,-'설정'!$B$17),'자료_거시'!$D$3:INDEX('자료_거시'!$D$3:$D$4002,$K$6),1)),""),"")</f>
        <v/>
      </c>
      <c r="U2184">
        <f>IF(ISNUMBER(T2184),'자료_거시'!$D2166,"")</f>
        <v/>
      </c>
      <c r="V2184">
        <f>IF(ISNUMBER(U2184),IF(U2184&gt;$L$6,T2184,""),"")</f>
        <v/>
      </c>
      <c r="W2184">
        <f>IF(AND(ISNUMBER('자료_거시'!$G2166),ISNUMBER('자료_거시'!$H2166)),'자료_거시'!$H2166,"")</f>
        <v/>
      </c>
      <c r="X2184">
        <f>IF(ISNUMBER(W2184),'자료_거시'!$G2166,"")</f>
        <v/>
      </c>
      <c r="Y2184">
        <f>IF(ISNUMBER(X2184),IF(X2184&gt;$L$7,W2184,""),"")</f>
        <v/>
      </c>
      <c r="Z2184">
        <f>IF(ISNUMBER('자료_거시'!$K2166),'자료_거시'!$K2166,Z2183)</f>
        <v/>
      </c>
      <c r="AA2184">
        <f>IF(AND(ISNUMBER('자료_거시'!$J2166),ISNUMBER('자료_거시'!$K2166)),IFERROR('자료_거시'!$K2166/INDEX($Z$21:$Z$4020,MATCH(EDATE('자료_거시'!$J2166,-'설정'!$B$17),'자료_거시'!$J$3:INDEX('자료_거시'!$J$3:$J$4002,$K$8),1))-1,""),"")</f>
        <v/>
      </c>
      <c r="AB2184">
        <f>IF(ISNUMBER(AA2184),'자료_거시'!$J2166,"")</f>
        <v/>
      </c>
      <c r="AC2184">
        <f>IF(ISNUMBER(AB2184),IF(AB2184&gt;$L$8,AA2184,""),"")</f>
        <v/>
      </c>
    </row>
    <row r="2185">
      <c r="S2185">
        <f>IF(ISNUMBER('자료_거시'!$E2167),'자료_거시'!$E2167,S2184)</f>
        <v/>
      </c>
      <c r="T2185">
        <f>IF(AND(ISNUMBER('자료_거시'!$D2167),ISNUMBER('자료_거시'!$E2167)),IFERROR('자료_거시'!$E2167-INDEX($S$21:$S$4020,MATCH(EDATE('자료_거시'!$D2167,-'설정'!$B$17),'자료_거시'!$D$3:INDEX('자료_거시'!$D$3:$D$4002,$K$6),1)),""),"")</f>
        <v/>
      </c>
      <c r="U2185">
        <f>IF(ISNUMBER(T2185),'자료_거시'!$D2167,"")</f>
        <v/>
      </c>
      <c r="V2185">
        <f>IF(ISNUMBER(U2185),IF(U2185&gt;$L$6,T2185,""),"")</f>
        <v/>
      </c>
      <c r="W2185">
        <f>IF(AND(ISNUMBER('자료_거시'!$G2167),ISNUMBER('자료_거시'!$H2167)),'자료_거시'!$H2167,"")</f>
        <v/>
      </c>
      <c r="X2185">
        <f>IF(ISNUMBER(W2185),'자료_거시'!$G2167,"")</f>
        <v/>
      </c>
      <c r="Y2185">
        <f>IF(ISNUMBER(X2185),IF(X2185&gt;$L$7,W2185,""),"")</f>
        <v/>
      </c>
      <c r="Z2185">
        <f>IF(ISNUMBER('자료_거시'!$K2167),'자료_거시'!$K2167,Z2184)</f>
        <v/>
      </c>
      <c r="AA2185">
        <f>IF(AND(ISNUMBER('자료_거시'!$J2167),ISNUMBER('자료_거시'!$K2167)),IFERROR('자료_거시'!$K2167/INDEX($Z$21:$Z$4020,MATCH(EDATE('자료_거시'!$J2167,-'설정'!$B$17),'자료_거시'!$J$3:INDEX('자료_거시'!$J$3:$J$4002,$K$8),1))-1,""),"")</f>
        <v/>
      </c>
      <c r="AB2185">
        <f>IF(ISNUMBER(AA2185),'자료_거시'!$J2167,"")</f>
        <v/>
      </c>
      <c r="AC2185">
        <f>IF(ISNUMBER(AB2185),IF(AB2185&gt;$L$8,AA2185,""),"")</f>
        <v/>
      </c>
    </row>
    <row r="2186">
      <c r="S2186">
        <f>IF(ISNUMBER('자료_거시'!$E2168),'자료_거시'!$E2168,S2185)</f>
        <v/>
      </c>
      <c r="T2186">
        <f>IF(AND(ISNUMBER('자료_거시'!$D2168),ISNUMBER('자료_거시'!$E2168)),IFERROR('자료_거시'!$E2168-INDEX($S$21:$S$4020,MATCH(EDATE('자료_거시'!$D2168,-'설정'!$B$17),'자료_거시'!$D$3:INDEX('자료_거시'!$D$3:$D$4002,$K$6),1)),""),"")</f>
        <v/>
      </c>
      <c r="U2186">
        <f>IF(ISNUMBER(T2186),'자료_거시'!$D2168,"")</f>
        <v/>
      </c>
      <c r="V2186">
        <f>IF(ISNUMBER(U2186),IF(U2186&gt;$L$6,T2186,""),"")</f>
        <v/>
      </c>
      <c r="W2186">
        <f>IF(AND(ISNUMBER('자료_거시'!$G2168),ISNUMBER('자료_거시'!$H2168)),'자료_거시'!$H2168,"")</f>
        <v/>
      </c>
      <c r="X2186">
        <f>IF(ISNUMBER(W2186),'자료_거시'!$G2168,"")</f>
        <v/>
      </c>
      <c r="Y2186">
        <f>IF(ISNUMBER(X2186),IF(X2186&gt;$L$7,W2186,""),"")</f>
        <v/>
      </c>
      <c r="Z2186">
        <f>IF(ISNUMBER('자료_거시'!$K2168),'자료_거시'!$K2168,Z2185)</f>
        <v/>
      </c>
      <c r="AA2186">
        <f>IF(AND(ISNUMBER('자료_거시'!$J2168),ISNUMBER('자료_거시'!$K2168)),IFERROR('자료_거시'!$K2168/INDEX($Z$21:$Z$4020,MATCH(EDATE('자료_거시'!$J2168,-'설정'!$B$17),'자료_거시'!$J$3:INDEX('자료_거시'!$J$3:$J$4002,$K$8),1))-1,""),"")</f>
        <v/>
      </c>
      <c r="AB2186">
        <f>IF(ISNUMBER(AA2186),'자료_거시'!$J2168,"")</f>
        <v/>
      </c>
      <c r="AC2186">
        <f>IF(ISNUMBER(AB2186),IF(AB2186&gt;$L$8,AA2186,""),"")</f>
        <v/>
      </c>
    </row>
    <row r="2187">
      <c r="S2187">
        <f>IF(ISNUMBER('자료_거시'!$E2169),'자료_거시'!$E2169,S2186)</f>
        <v/>
      </c>
      <c r="T2187">
        <f>IF(AND(ISNUMBER('자료_거시'!$D2169),ISNUMBER('자료_거시'!$E2169)),IFERROR('자료_거시'!$E2169-INDEX($S$21:$S$4020,MATCH(EDATE('자료_거시'!$D2169,-'설정'!$B$17),'자료_거시'!$D$3:INDEX('자료_거시'!$D$3:$D$4002,$K$6),1)),""),"")</f>
        <v/>
      </c>
      <c r="U2187">
        <f>IF(ISNUMBER(T2187),'자료_거시'!$D2169,"")</f>
        <v/>
      </c>
      <c r="V2187">
        <f>IF(ISNUMBER(U2187),IF(U2187&gt;$L$6,T2187,""),"")</f>
        <v/>
      </c>
      <c r="W2187">
        <f>IF(AND(ISNUMBER('자료_거시'!$G2169),ISNUMBER('자료_거시'!$H2169)),'자료_거시'!$H2169,"")</f>
        <v/>
      </c>
      <c r="X2187">
        <f>IF(ISNUMBER(W2187),'자료_거시'!$G2169,"")</f>
        <v/>
      </c>
      <c r="Y2187">
        <f>IF(ISNUMBER(X2187),IF(X2187&gt;$L$7,W2187,""),"")</f>
        <v/>
      </c>
      <c r="Z2187">
        <f>IF(ISNUMBER('자료_거시'!$K2169),'자료_거시'!$K2169,Z2186)</f>
        <v/>
      </c>
      <c r="AA2187">
        <f>IF(AND(ISNUMBER('자료_거시'!$J2169),ISNUMBER('자료_거시'!$K2169)),IFERROR('자료_거시'!$K2169/INDEX($Z$21:$Z$4020,MATCH(EDATE('자료_거시'!$J2169,-'설정'!$B$17),'자료_거시'!$J$3:INDEX('자료_거시'!$J$3:$J$4002,$K$8),1))-1,""),"")</f>
        <v/>
      </c>
      <c r="AB2187">
        <f>IF(ISNUMBER(AA2187),'자료_거시'!$J2169,"")</f>
        <v/>
      </c>
      <c r="AC2187">
        <f>IF(ISNUMBER(AB2187),IF(AB2187&gt;$L$8,AA2187,""),"")</f>
        <v/>
      </c>
    </row>
    <row r="2188">
      <c r="S2188">
        <f>IF(ISNUMBER('자료_거시'!$E2170),'자료_거시'!$E2170,S2187)</f>
        <v/>
      </c>
      <c r="T2188">
        <f>IF(AND(ISNUMBER('자료_거시'!$D2170),ISNUMBER('자료_거시'!$E2170)),IFERROR('자료_거시'!$E2170-INDEX($S$21:$S$4020,MATCH(EDATE('자료_거시'!$D2170,-'설정'!$B$17),'자료_거시'!$D$3:INDEX('자료_거시'!$D$3:$D$4002,$K$6),1)),""),"")</f>
        <v/>
      </c>
      <c r="U2188">
        <f>IF(ISNUMBER(T2188),'자료_거시'!$D2170,"")</f>
        <v/>
      </c>
      <c r="V2188">
        <f>IF(ISNUMBER(U2188),IF(U2188&gt;$L$6,T2188,""),"")</f>
        <v/>
      </c>
      <c r="W2188">
        <f>IF(AND(ISNUMBER('자료_거시'!$G2170),ISNUMBER('자료_거시'!$H2170)),'자료_거시'!$H2170,"")</f>
        <v/>
      </c>
      <c r="X2188">
        <f>IF(ISNUMBER(W2188),'자료_거시'!$G2170,"")</f>
        <v/>
      </c>
      <c r="Y2188">
        <f>IF(ISNUMBER(X2188),IF(X2188&gt;$L$7,W2188,""),"")</f>
        <v/>
      </c>
      <c r="Z2188">
        <f>IF(ISNUMBER('자료_거시'!$K2170),'자료_거시'!$K2170,Z2187)</f>
        <v/>
      </c>
      <c r="AA2188">
        <f>IF(AND(ISNUMBER('자료_거시'!$J2170),ISNUMBER('자료_거시'!$K2170)),IFERROR('자료_거시'!$K2170/INDEX($Z$21:$Z$4020,MATCH(EDATE('자료_거시'!$J2170,-'설정'!$B$17),'자료_거시'!$J$3:INDEX('자료_거시'!$J$3:$J$4002,$K$8),1))-1,""),"")</f>
        <v/>
      </c>
      <c r="AB2188">
        <f>IF(ISNUMBER(AA2188),'자료_거시'!$J2170,"")</f>
        <v/>
      </c>
      <c r="AC2188">
        <f>IF(ISNUMBER(AB2188),IF(AB2188&gt;$L$8,AA2188,""),"")</f>
        <v/>
      </c>
    </row>
    <row r="2189">
      <c r="S2189">
        <f>IF(ISNUMBER('자료_거시'!$E2171),'자료_거시'!$E2171,S2188)</f>
        <v/>
      </c>
      <c r="T2189">
        <f>IF(AND(ISNUMBER('자료_거시'!$D2171),ISNUMBER('자료_거시'!$E2171)),IFERROR('자료_거시'!$E2171-INDEX($S$21:$S$4020,MATCH(EDATE('자료_거시'!$D2171,-'설정'!$B$17),'자료_거시'!$D$3:INDEX('자료_거시'!$D$3:$D$4002,$K$6),1)),""),"")</f>
        <v/>
      </c>
      <c r="U2189">
        <f>IF(ISNUMBER(T2189),'자료_거시'!$D2171,"")</f>
        <v/>
      </c>
      <c r="V2189">
        <f>IF(ISNUMBER(U2189),IF(U2189&gt;$L$6,T2189,""),"")</f>
        <v/>
      </c>
      <c r="W2189">
        <f>IF(AND(ISNUMBER('자료_거시'!$G2171),ISNUMBER('자료_거시'!$H2171)),'자료_거시'!$H2171,"")</f>
        <v/>
      </c>
      <c r="X2189">
        <f>IF(ISNUMBER(W2189),'자료_거시'!$G2171,"")</f>
        <v/>
      </c>
      <c r="Y2189">
        <f>IF(ISNUMBER(X2189),IF(X2189&gt;$L$7,W2189,""),"")</f>
        <v/>
      </c>
      <c r="Z2189">
        <f>IF(ISNUMBER('자료_거시'!$K2171),'자료_거시'!$K2171,Z2188)</f>
        <v/>
      </c>
      <c r="AA2189">
        <f>IF(AND(ISNUMBER('자료_거시'!$J2171),ISNUMBER('자료_거시'!$K2171)),IFERROR('자료_거시'!$K2171/INDEX($Z$21:$Z$4020,MATCH(EDATE('자료_거시'!$J2171,-'설정'!$B$17),'자료_거시'!$J$3:INDEX('자료_거시'!$J$3:$J$4002,$K$8),1))-1,""),"")</f>
        <v/>
      </c>
      <c r="AB2189">
        <f>IF(ISNUMBER(AA2189),'자료_거시'!$J2171,"")</f>
        <v/>
      </c>
      <c r="AC2189">
        <f>IF(ISNUMBER(AB2189),IF(AB2189&gt;$L$8,AA2189,""),"")</f>
        <v/>
      </c>
    </row>
    <row r="2190">
      <c r="S2190">
        <f>IF(ISNUMBER('자료_거시'!$E2172),'자료_거시'!$E2172,S2189)</f>
        <v/>
      </c>
      <c r="T2190">
        <f>IF(AND(ISNUMBER('자료_거시'!$D2172),ISNUMBER('자료_거시'!$E2172)),IFERROR('자료_거시'!$E2172-INDEX($S$21:$S$4020,MATCH(EDATE('자료_거시'!$D2172,-'설정'!$B$17),'자료_거시'!$D$3:INDEX('자료_거시'!$D$3:$D$4002,$K$6),1)),""),"")</f>
        <v/>
      </c>
      <c r="U2190">
        <f>IF(ISNUMBER(T2190),'자료_거시'!$D2172,"")</f>
        <v/>
      </c>
      <c r="V2190">
        <f>IF(ISNUMBER(U2190),IF(U2190&gt;$L$6,T2190,""),"")</f>
        <v/>
      </c>
      <c r="W2190">
        <f>IF(AND(ISNUMBER('자료_거시'!$G2172),ISNUMBER('자료_거시'!$H2172)),'자료_거시'!$H2172,"")</f>
        <v/>
      </c>
      <c r="X2190">
        <f>IF(ISNUMBER(W2190),'자료_거시'!$G2172,"")</f>
        <v/>
      </c>
      <c r="Y2190">
        <f>IF(ISNUMBER(X2190),IF(X2190&gt;$L$7,W2190,""),"")</f>
        <v/>
      </c>
      <c r="Z2190">
        <f>IF(ISNUMBER('자료_거시'!$K2172),'자료_거시'!$K2172,Z2189)</f>
        <v/>
      </c>
      <c r="AA2190">
        <f>IF(AND(ISNUMBER('자료_거시'!$J2172),ISNUMBER('자료_거시'!$K2172)),IFERROR('자료_거시'!$K2172/INDEX($Z$21:$Z$4020,MATCH(EDATE('자료_거시'!$J2172,-'설정'!$B$17),'자료_거시'!$J$3:INDEX('자료_거시'!$J$3:$J$4002,$K$8),1))-1,""),"")</f>
        <v/>
      </c>
      <c r="AB2190">
        <f>IF(ISNUMBER(AA2190),'자료_거시'!$J2172,"")</f>
        <v/>
      </c>
      <c r="AC2190">
        <f>IF(ISNUMBER(AB2190),IF(AB2190&gt;$L$8,AA2190,""),"")</f>
        <v/>
      </c>
    </row>
    <row r="2191">
      <c r="S2191">
        <f>IF(ISNUMBER('자료_거시'!$E2173),'자료_거시'!$E2173,S2190)</f>
        <v/>
      </c>
      <c r="T2191">
        <f>IF(AND(ISNUMBER('자료_거시'!$D2173),ISNUMBER('자료_거시'!$E2173)),IFERROR('자료_거시'!$E2173-INDEX($S$21:$S$4020,MATCH(EDATE('자료_거시'!$D2173,-'설정'!$B$17),'자료_거시'!$D$3:INDEX('자료_거시'!$D$3:$D$4002,$K$6),1)),""),"")</f>
        <v/>
      </c>
      <c r="U2191">
        <f>IF(ISNUMBER(T2191),'자료_거시'!$D2173,"")</f>
        <v/>
      </c>
      <c r="V2191">
        <f>IF(ISNUMBER(U2191),IF(U2191&gt;$L$6,T2191,""),"")</f>
        <v/>
      </c>
      <c r="W2191">
        <f>IF(AND(ISNUMBER('자료_거시'!$G2173),ISNUMBER('자료_거시'!$H2173)),'자료_거시'!$H2173,"")</f>
        <v/>
      </c>
      <c r="X2191">
        <f>IF(ISNUMBER(W2191),'자료_거시'!$G2173,"")</f>
        <v/>
      </c>
      <c r="Y2191">
        <f>IF(ISNUMBER(X2191),IF(X2191&gt;$L$7,W2191,""),"")</f>
        <v/>
      </c>
      <c r="Z2191">
        <f>IF(ISNUMBER('자료_거시'!$K2173),'자료_거시'!$K2173,Z2190)</f>
        <v/>
      </c>
      <c r="AA2191">
        <f>IF(AND(ISNUMBER('자료_거시'!$J2173),ISNUMBER('자료_거시'!$K2173)),IFERROR('자료_거시'!$K2173/INDEX($Z$21:$Z$4020,MATCH(EDATE('자료_거시'!$J2173,-'설정'!$B$17),'자료_거시'!$J$3:INDEX('자료_거시'!$J$3:$J$4002,$K$8),1))-1,""),"")</f>
        <v/>
      </c>
      <c r="AB2191">
        <f>IF(ISNUMBER(AA2191),'자료_거시'!$J2173,"")</f>
        <v/>
      </c>
      <c r="AC2191">
        <f>IF(ISNUMBER(AB2191),IF(AB2191&gt;$L$8,AA2191,""),"")</f>
        <v/>
      </c>
    </row>
    <row r="2192">
      <c r="S2192">
        <f>IF(ISNUMBER('자료_거시'!$E2174),'자료_거시'!$E2174,S2191)</f>
        <v/>
      </c>
      <c r="T2192">
        <f>IF(AND(ISNUMBER('자료_거시'!$D2174),ISNUMBER('자료_거시'!$E2174)),IFERROR('자료_거시'!$E2174-INDEX($S$21:$S$4020,MATCH(EDATE('자료_거시'!$D2174,-'설정'!$B$17),'자료_거시'!$D$3:INDEX('자료_거시'!$D$3:$D$4002,$K$6),1)),""),"")</f>
        <v/>
      </c>
      <c r="U2192">
        <f>IF(ISNUMBER(T2192),'자료_거시'!$D2174,"")</f>
        <v/>
      </c>
      <c r="V2192">
        <f>IF(ISNUMBER(U2192),IF(U2192&gt;$L$6,T2192,""),"")</f>
        <v/>
      </c>
      <c r="W2192">
        <f>IF(AND(ISNUMBER('자료_거시'!$G2174),ISNUMBER('자료_거시'!$H2174)),'자료_거시'!$H2174,"")</f>
        <v/>
      </c>
      <c r="X2192">
        <f>IF(ISNUMBER(W2192),'자료_거시'!$G2174,"")</f>
        <v/>
      </c>
      <c r="Y2192">
        <f>IF(ISNUMBER(X2192),IF(X2192&gt;$L$7,W2192,""),"")</f>
        <v/>
      </c>
      <c r="Z2192">
        <f>IF(ISNUMBER('자료_거시'!$K2174),'자료_거시'!$K2174,Z2191)</f>
        <v/>
      </c>
      <c r="AA2192">
        <f>IF(AND(ISNUMBER('자료_거시'!$J2174),ISNUMBER('자료_거시'!$K2174)),IFERROR('자료_거시'!$K2174/INDEX($Z$21:$Z$4020,MATCH(EDATE('자료_거시'!$J2174,-'설정'!$B$17),'자료_거시'!$J$3:INDEX('자료_거시'!$J$3:$J$4002,$K$8),1))-1,""),"")</f>
        <v/>
      </c>
      <c r="AB2192">
        <f>IF(ISNUMBER(AA2192),'자료_거시'!$J2174,"")</f>
        <v/>
      </c>
      <c r="AC2192">
        <f>IF(ISNUMBER(AB2192),IF(AB2192&gt;$L$8,AA2192,""),"")</f>
        <v/>
      </c>
    </row>
    <row r="2193">
      <c r="S2193">
        <f>IF(ISNUMBER('자료_거시'!$E2175),'자료_거시'!$E2175,S2192)</f>
        <v/>
      </c>
      <c r="T2193">
        <f>IF(AND(ISNUMBER('자료_거시'!$D2175),ISNUMBER('자료_거시'!$E2175)),IFERROR('자료_거시'!$E2175-INDEX($S$21:$S$4020,MATCH(EDATE('자료_거시'!$D2175,-'설정'!$B$17),'자료_거시'!$D$3:INDEX('자료_거시'!$D$3:$D$4002,$K$6),1)),""),"")</f>
        <v/>
      </c>
      <c r="U2193">
        <f>IF(ISNUMBER(T2193),'자료_거시'!$D2175,"")</f>
        <v/>
      </c>
      <c r="V2193">
        <f>IF(ISNUMBER(U2193),IF(U2193&gt;$L$6,T2193,""),"")</f>
        <v/>
      </c>
      <c r="W2193">
        <f>IF(AND(ISNUMBER('자료_거시'!$G2175),ISNUMBER('자료_거시'!$H2175)),'자료_거시'!$H2175,"")</f>
        <v/>
      </c>
      <c r="X2193">
        <f>IF(ISNUMBER(W2193),'자료_거시'!$G2175,"")</f>
        <v/>
      </c>
      <c r="Y2193">
        <f>IF(ISNUMBER(X2193),IF(X2193&gt;$L$7,W2193,""),"")</f>
        <v/>
      </c>
      <c r="Z2193">
        <f>IF(ISNUMBER('자료_거시'!$K2175),'자료_거시'!$K2175,Z2192)</f>
        <v/>
      </c>
      <c r="AA2193">
        <f>IF(AND(ISNUMBER('자료_거시'!$J2175),ISNUMBER('자료_거시'!$K2175)),IFERROR('자료_거시'!$K2175/INDEX($Z$21:$Z$4020,MATCH(EDATE('자료_거시'!$J2175,-'설정'!$B$17),'자료_거시'!$J$3:INDEX('자료_거시'!$J$3:$J$4002,$K$8),1))-1,""),"")</f>
        <v/>
      </c>
      <c r="AB2193">
        <f>IF(ISNUMBER(AA2193),'자료_거시'!$J2175,"")</f>
        <v/>
      </c>
      <c r="AC2193">
        <f>IF(ISNUMBER(AB2193),IF(AB2193&gt;$L$8,AA2193,""),"")</f>
        <v/>
      </c>
    </row>
    <row r="2194">
      <c r="S2194">
        <f>IF(ISNUMBER('자료_거시'!$E2176),'자료_거시'!$E2176,S2193)</f>
        <v/>
      </c>
      <c r="T2194">
        <f>IF(AND(ISNUMBER('자료_거시'!$D2176),ISNUMBER('자료_거시'!$E2176)),IFERROR('자료_거시'!$E2176-INDEX($S$21:$S$4020,MATCH(EDATE('자료_거시'!$D2176,-'설정'!$B$17),'자료_거시'!$D$3:INDEX('자료_거시'!$D$3:$D$4002,$K$6),1)),""),"")</f>
        <v/>
      </c>
      <c r="U2194">
        <f>IF(ISNUMBER(T2194),'자료_거시'!$D2176,"")</f>
        <v/>
      </c>
      <c r="V2194">
        <f>IF(ISNUMBER(U2194),IF(U2194&gt;$L$6,T2194,""),"")</f>
        <v/>
      </c>
      <c r="W2194">
        <f>IF(AND(ISNUMBER('자료_거시'!$G2176),ISNUMBER('자료_거시'!$H2176)),'자료_거시'!$H2176,"")</f>
        <v/>
      </c>
      <c r="X2194">
        <f>IF(ISNUMBER(W2194),'자료_거시'!$G2176,"")</f>
        <v/>
      </c>
      <c r="Y2194">
        <f>IF(ISNUMBER(X2194),IF(X2194&gt;$L$7,W2194,""),"")</f>
        <v/>
      </c>
      <c r="Z2194">
        <f>IF(ISNUMBER('자료_거시'!$K2176),'자료_거시'!$K2176,Z2193)</f>
        <v/>
      </c>
      <c r="AA2194">
        <f>IF(AND(ISNUMBER('자료_거시'!$J2176),ISNUMBER('자료_거시'!$K2176)),IFERROR('자료_거시'!$K2176/INDEX($Z$21:$Z$4020,MATCH(EDATE('자료_거시'!$J2176,-'설정'!$B$17),'자료_거시'!$J$3:INDEX('자료_거시'!$J$3:$J$4002,$K$8),1))-1,""),"")</f>
        <v/>
      </c>
      <c r="AB2194">
        <f>IF(ISNUMBER(AA2194),'자료_거시'!$J2176,"")</f>
        <v/>
      </c>
      <c r="AC2194">
        <f>IF(ISNUMBER(AB2194),IF(AB2194&gt;$L$8,AA2194,""),"")</f>
        <v/>
      </c>
    </row>
    <row r="2195">
      <c r="S2195">
        <f>IF(ISNUMBER('자료_거시'!$E2177),'자료_거시'!$E2177,S2194)</f>
        <v/>
      </c>
      <c r="T2195">
        <f>IF(AND(ISNUMBER('자료_거시'!$D2177),ISNUMBER('자료_거시'!$E2177)),IFERROR('자료_거시'!$E2177-INDEX($S$21:$S$4020,MATCH(EDATE('자료_거시'!$D2177,-'설정'!$B$17),'자료_거시'!$D$3:INDEX('자료_거시'!$D$3:$D$4002,$K$6),1)),""),"")</f>
        <v/>
      </c>
      <c r="U2195">
        <f>IF(ISNUMBER(T2195),'자료_거시'!$D2177,"")</f>
        <v/>
      </c>
      <c r="V2195">
        <f>IF(ISNUMBER(U2195),IF(U2195&gt;$L$6,T2195,""),"")</f>
        <v/>
      </c>
      <c r="W2195">
        <f>IF(AND(ISNUMBER('자료_거시'!$G2177),ISNUMBER('자료_거시'!$H2177)),'자료_거시'!$H2177,"")</f>
        <v/>
      </c>
      <c r="X2195">
        <f>IF(ISNUMBER(W2195),'자료_거시'!$G2177,"")</f>
        <v/>
      </c>
      <c r="Y2195">
        <f>IF(ISNUMBER(X2195),IF(X2195&gt;$L$7,W2195,""),"")</f>
        <v/>
      </c>
      <c r="Z2195">
        <f>IF(ISNUMBER('자료_거시'!$K2177),'자료_거시'!$K2177,Z2194)</f>
        <v/>
      </c>
      <c r="AA2195">
        <f>IF(AND(ISNUMBER('자료_거시'!$J2177),ISNUMBER('자료_거시'!$K2177)),IFERROR('자료_거시'!$K2177/INDEX($Z$21:$Z$4020,MATCH(EDATE('자료_거시'!$J2177,-'설정'!$B$17),'자료_거시'!$J$3:INDEX('자료_거시'!$J$3:$J$4002,$K$8),1))-1,""),"")</f>
        <v/>
      </c>
      <c r="AB2195">
        <f>IF(ISNUMBER(AA2195),'자료_거시'!$J2177,"")</f>
        <v/>
      </c>
      <c r="AC2195">
        <f>IF(ISNUMBER(AB2195),IF(AB2195&gt;$L$8,AA2195,""),"")</f>
        <v/>
      </c>
    </row>
    <row r="2196">
      <c r="S2196">
        <f>IF(ISNUMBER('자료_거시'!$E2178),'자료_거시'!$E2178,S2195)</f>
        <v/>
      </c>
      <c r="T2196">
        <f>IF(AND(ISNUMBER('자료_거시'!$D2178),ISNUMBER('자료_거시'!$E2178)),IFERROR('자료_거시'!$E2178-INDEX($S$21:$S$4020,MATCH(EDATE('자료_거시'!$D2178,-'설정'!$B$17),'자료_거시'!$D$3:INDEX('자료_거시'!$D$3:$D$4002,$K$6),1)),""),"")</f>
        <v/>
      </c>
      <c r="U2196">
        <f>IF(ISNUMBER(T2196),'자료_거시'!$D2178,"")</f>
        <v/>
      </c>
      <c r="V2196">
        <f>IF(ISNUMBER(U2196),IF(U2196&gt;$L$6,T2196,""),"")</f>
        <v/>
      </c>
      <c r="W2196">
        <f>IF(AND(ISNUMBER('자료_거시'!$G2178),ISNUMBER('자료_거시'!$H2178)),'자료_거시'!$H2178,"")</f>
        <v/>
      </c>
      <c r="X2196">
        <f>IF(ISNUMBER(W2196),'자료_거시'!$G2178,"")</f>
        <v/>
      </c>
      <c r="Y2196">
        <f>IF(ISNUMBER(X2196),IF(X2196&gt;$L$7,W2196,""),"")</f>
        <v/>
      </c>
      <c r="Z2196">
        <f>IF(ISNUMBER('자료_거시'!$K2178),'자료_거시'!$K2178,Z2195)</f>
        <v/>
      </c>
      <c r="AA2196">
        <f>IF(AND(ISNUMBER('자료_거시'!$J2178),ISNUMBER('자료_거시'!$K2178)),IFERROR('자료_거시'!$K2178/INDEX($Z$21:$Z$4020,MATCH(EDATE('자료_거시'!$J2178,-'설정'!$B$17),'자료_거시'!$J$3:INDEX('자료_거시'!$J$3:$J$4002,$K$8),1))-1,""),"")</f>
        <v/>
      </c>
      <c r="AB2196">
        <f>IF(ISNUMBER(AA2196),'자료_거시'!$J2178,"")</f>
        <v/>
      </c>
      <c r="AC2196">
        <f>IF(ISNUMBER(AB2196),IF(AB2196&gt;$L$8,AA2196,""),"")</f>
        <v/>
      </c>
    </row>
    <row r="2197">
      <c r="S2197">
        <f>IF(ISNUMBER('자료_거시'!$E2179),'자료_거시'!$E2179,S2196)</f>
        <v/>
      </c>
      <c r="T2197">
        <f>IF(AND(ISNUMBER('자료_거시'!$D2179),ISNUMBER('자료_거시'!$E2179)),IFERROR('자료_거시'!$E2179-INDEX($S$21:$S$4020,MATCH(EDATE('자료_거시'!$D2179,-'설정'!$B$17),'자료_거시'!$D$3:INDEX('자료_거시'!$D$3:$D$4002,$K$6),1)),""),"")</f>
        <v/>
      </c>
      <c r="U2197">
        <f>IF(ISNUMBER(T2197),'자료_거시'!$D2179,"")</f>
        <v/>
      </c>
      <c r="V2197">
        <f>IF(ISNUMBER(U2197),IF(U2197&gt;$L$6,T2197,""),"")</f>
        <v/>
      </c>
      <c r="W2197">
        <f>IF(AND(ISNUMBER('자료_거시'!$G2179),ISNUMBER('자료_거시'!$H2179)),'자료_거시'!$H2179,"")</f>
        <v/>
      </c>
      <c r="X2197">
        <f>IF(ISNUMBER(W2197),'자료_거시'!$G2179,"")</f>
        <v/>
      </c>
      <c r="Y2197">
        <f>IF(ISNUMBER(X2197),IF(X2197&gt;$L$7,W2197,""),"")</f>
        <v/>
      </c>
      <c r="Z2197">
        <f>IF(ISNUMBER('자료_거시'!$K2179),'자료_거시'!$K2179,Z2196)</f>
        <v/>
      </c>
      <c r="AA2197">
        <f>IF(AND(ISNUMBER('자료_거시'!$J2179),ISNUMBER('자료_거시'!$K2179)),IFERROR('자료_거시'!$K2179/INDEX($Z$21:$Z$4020,MATCH(EDATE('자료_거시'!$J2179,-'설정'!$B$17),'자료_거시'!$J$3:INDEX('자료_거시'!$J$3:$J$4002,$K$8),1))-1,""),"")</f>
        <v/>
      </c>
      <c r="AB2197">
        <f>IF(ISNUMBER(AA2197),'자료_거시'!$J2179,"")</f>
        <v/>
      </c>
      <c r="AC2197">
        <f>IF(ISNUMBER(AB2197),IF(AB2197&gt;$L$8,AA2197,""),"")</f>
        <v/>
      </c>
    </row>
    <row r="2198">
      <c r="S2198">
        <f>IF(ISNUMBER('자료_거시'!$E2180),'자료_거시'!$E2180,S2197)</f>
        <v/>
      </c>
      <c r="T2198">
        <f>IF(AND(ISNUMBER('자료_거시'!$D2180),ISNUMBER('자료_거시'!$E2180)),IFERROR('자료_거시'!$E2180-INDEX($S$21:$S$4020,MATCH(EDATE('자료_거시'!$D2180,-'설정'!$B$17),'자료_거시'!$D$3:INDEX('자료_거시'!$D$3:$D$4002,$K$6),1)),""),"")</f>
        <v/>
      </c>
      <c r="U2198">
        <f>IF(ISNUMBER(T2198),'자료_거시'!$D2180,"")</f>
        <v/>
      </c>
      <c r="V2198">
        <f>IF(ISNUMBER(U2198),IF(U2198&gt;$L$6,T2198,""),"")</f>
        <v/>
      </c>
      <c r="W2198">
        <f>IF(AND(ISNUMBER('자료_거시'!$G2180),ISNUMBER('자료_거시'!$H2180)),'자료_거시'!$H2180,"")</f>
        <v/>
      </c>
      <c r="X2198">
        <f>IF(ISNUMBER(W2198),'자료_거시'!$G2180,"")</f>
        <v/>
      </c>
      <c r="Y2198">
        <f>IF(ISNUMBER(X2198),IF(X2198&gt;$L$7,W2198,""),"")</f>
        <v/>
      </c>
      <c r="Z2198">
        <f>IF(ISNUMBER('자료_거시'!$K2180),'자료_거시'!$K2180,Z2197)</f>
        <v/>
      </c>
      <c r="AA2198">
        <f>IF(AND(ISNUMBER('자료_거시'!$J2180),ISNUMBER('자료_거시'!$K2180)),IFERROR('자료_거시'!$K2180/INDEX($Z$21:$Z$4020,MATCH(EDATE('자료_거시'!$J2180,-'설정'!$B$17),'자료_거시'!$J$3:INDEX('자료_거시'!$J$3:$J$4002,$K$8),1))-1,""),"")</f>
        <v/>
      </c>
      <c r="AB2198">
        <f>IF(ISNUMBER(AA2198),'자료_거시'!$J2180,"")</f>
        <v/>
      </c>
      <c r="AC2198">
        <f>IF(ISNUMBER(AB2198),IF(AB2198&gt;$L$8,AA2198,""),"")</f>
        <v/>
      </c>
    </row>
    <row r="2199">
      <c r="S2199">
        <f>IF(ISNUMBER('자료_거시'!$E2181),'자료_거시'!$E2181,S2198)</f>
        <v/>
      </c>
      <c r="T2199">
        <f>IF(AND(ISNUMBER('자료_거시'!$D2181),ISNUMBER('자료_거시'!$E2181)),IFERROR('자료_거시'!$E2181-INDEX($S$21:$S$4020,MATCH(EDATE('자료_거시'!$D2181,-'설정'!$B$17),'자료_거시'!$D$3:INDEX('자료_거시'!$D$3:$D$4002,$K$6),1)),""),"")</f>
        <v/>
      </c>
      <c r="U2199">
        <f>IF(ISNUMBER(T2199),'자료_거시'!$D2181,"")</f>
        <v/>
      </c>
      <c r="V2199">
        <f>IF(ISNUMBER(U2199),IF(U2199&gt;$L$6,T2199,""),"")</f>
        <v/>
      </c>
      <c r="W2199">
        <f>IF(AND(ISNUMBER('자료_거시'!$G2181),ISNUMBER('자료_거시'!$H2181)),'자료_거시'!$H2181,"")</f>
        <v/>
      </c>
      <c r="X2199">
        <f>IF(ISNUMBER(W2199),'자료_거시'!$G2181,"")</f>
        <v/>
      </c>
      <c r="Y2199">
        <f>IF(ISNUMBER(X2199),IF(X2199&gt;$L$7,W2199,""),"")</f>
        <v/>
      </c>
      <c r="Z2199">
        <f>IF(ISNUMBER('자료_거시'!$K2181),'자료_거시'!$K2181,Z2198)</f>
        <v/>
      </c>
      <c r="AA2199">
        <f>IF(AND(ISNUMBER('자료_거시'!$J2181),ISNUMBER('자료_거시'!$K2181)),IFERROR('자료_거시'!$K2181/INDEX($Z$21:$Z$4020,MATCH(EDATE('자료_거시'!$J2181,-'설정'!$B$17),'자료_거시'!$J$3:INDEX('자료_거시'!$J$3:$J$4002,$K$8),1))-1,""),"")</f>
        <v/>
      </c>
      <c r="AB2199">
        <f>IF(ISNUMBER(AA2199),'자료_거시'!$J2181,"")</f>
        <v/>
      </c>
      <c r="AC2199">
        <f>IF(ISNUMBER(AB2199),IF(AB2199&gt;$L$8,AA2199,""),"")</f>
        <v/>
      </c>
    </row>
    <row r="2200">
      <c r="S2200">
        <f>IF(ISNUMBER('자료_거시'!$E2182),'자료_거시'!$E2182,S2199)</f>
        <v/>
      </c>
      <c r="T2200">
        <f>IF(AND(ISNUMBER('자료_거시'!$D2182),ISNUMBER('자료_거시'!$E2182)),IFERROR('자료_거시'!$E2182-INDEX($S$21:$S$4020,MATCH(EDATE('자료_거시'!$D2182,-'설정'!$B$17),'자료_거시'!$D$3:INDEX('자료_거시'!$D$3:$D$4002,$K$6),1)),""),"")</f>
        <v/>
      </c>
      <c r="U2200">
        <f>IF(ISNUMBER(T2200),'자료_거시'!$D2182,"")</f>
        <v/>
      </c>
      <c r="V2200">
        <f>IF(ISNUMBER(U2200),IF(U2200&gt;$L$6,T2200,""),"")</f>
        <v/>
      </c>
      <c r="W2200">
        <f>IF(AND(ISNUMBER('자료_거시'!$G2182),ISNUMBER('자료_거시'!$H2182)),'자료_거시'!$H2182,"")</f>
        <v/>
      </c>
      <c r="X2200">
        <f>IF(ISNUMBER(W2200),'자료_거시'!$G2182,"")</f>
        <v/>
      </c>
      <c r="Y2200">
        <f>IF(ISNUMBER(X2200),IF(X2200&gt;$L$7,W2200,""),"")</f>
        <v/>
      </c>
      <c r="Z2200">
        <f>IF(ISNUMBER('자료_거시'!$K2182),'자료_거시'!$K2182,Z2199)</f>
        <v/>
      </c>
      <c r="AA2200">
        <f>IF(AND(ISNUMBER('자료_거시'!$J2182),ISNUMBER('자료_거시'!$K2182)),IFERROR('자료_거시'!$K2182/INDEX($Z$21:$Z$4020,MATCH(EDATE('자료_거시'!$J2182,-'설정'!$B$17),'자료_거시'!$J$3:INDEX('자료_거시'!$J$3:$J$4002,$K$8),1))-1,""),"")</f>
        <v/>
      </c>
      <c r="AB2200">
        <f>IF(ISNUMBER(AA2200),'자료_거시'!$J2182,"")</f>
        <v/>
      </c>
      <c r="AC2200">
        <f>IF(ISNUMBER(AB2200),IF(AB2200&gt;$L$8,AA2200,""),"")</f>
        <v/>
      </c>
    </row>
    <row r="2201">
      <c r="S2201">
        <f>IF(ISNUMBER('자료_거시'!$E2183),'자료_거시'!$E2183,S2200)</f>
        <v/>
      </c>
      <c r="T2201">
        <f>IF(AND(ISNUMBER('자료_거시'!$D2183),ISNUMBER('자료_거시'!$E2183)),IFERROR('자료_거시'!$E2183-INDEX($S$21:$S$4020,MATCH(EDATE('자료_거시'!$D2183,-'설정'!$B$17),'자료_거시'!$D$3:INDEX('자료_거시'!$D$3:$D$4002,$K$6),1)),""),"")</f>
        <v/>
      </c>
      <c r="U2201">
        <f>IF(ISNUMBER(T2201),'자료_거시'!$D2183,"")</f>
        <v/>
      </c>
      <c r="V2201">
        <f>IF(ISNUMBER(U2201),IF(U2201&gt;$L$6,T2201,""),"")</f>
        <v/>
      </c>
      <c r="W2201">
        <f>IF(AND(ISNUMBER('자료_거시'!$G2183),ISNUMBER('자료_거시'!$H2183)),'자료_거시'!$H2183,"")</f>
        <v/>
      </c>
      <c r="X2201">
        <f>IF(ISNUMBER(W2201),'자료_거시'!$G2183,"")</f>
        <v/>
      </c>
      <c r="Y2201">
        <f>IF(ISNUMBER(X2201),IF(X2201&gt;$L$7,W2201,""),"")</f>
        <v/>
      </c>
      <c r="Z2201">
        <f>IF(ISNUMBER('자료_거시'!$K2183),'자료_거시'!$K2183,Z2200)</f>
        <v/>
      </c>
      <c r="AA2201">
        <f>IF(AND(ISNUMBER('자료_거시'!$J2183),ISNUMBER('자료_거시'!$K2183)),IFERROR('자료_거시'!$K2183/INDEX($Z$21:$Z$4020,MATCH(EDATE('자료_거시'!$J2183,-'설정'!$B$17),'자료_거시'!$J$3:INDEX('자료_거시'!$J$3:$J$4002,$K$8),1))-1,""),"")</f>
        <v/>
      </c>
      <c r="AB2201">
        <f>IF(ISNUMBER(AA2201),'자료_거시'!$J2183,"")</f>
        <v/>
      </c>
      <c r="AC2201">
        <f>IF(ISNUMBER(AB2201),IF(AB2201&gt;$L$8,AA2201,""),"")</f>
        <v/>
      </c>
    </row>
    <row r="2202">
      <c r="S2202">
        <f>IF(ISNUMBER('자료_거시'!$E2184),'자료_거시'!$E2184,S2201)</f>
        <v/>
      </c>
      <c r="T2202">
        <f>IF(AND(ISNUMBER('자료_거시'!$D2184),ISNUMBER('자료_거시'!$E2184)),IFERROR('자료_거시'!$E2184-INDEX($S$21:$S$4020,MATCH(EDATE('자료_거시'!$D2184,-'설정'!$B$17),'자료_거시'!$D$3:INDEX('자료_거시'!$D$3:$D$4002,$K$6),1)),""),"")</f>
        <v/>
      </c>
      <c r="U2202">
        <f>IF(ISNUMBER(T2202),'자료_거시'!$D2184,"")</f>
        <v/>
      </c>
      <c r="V2202">
        <f>IF(ISNUMBER(U2202),IF(U2202&gt;$L$6,T2202,""),"")</f>
        <v/>
      </c>
      <c r="W2202">
        <f>IF(AND(ISNUMBER('자료_거시'!$G2184),ISNUMBER('자료_거시'!$H2184)),'자료_거시'!$H2184,"")</f>
        <v/>
      </c>
      <c r="X2202">
        <f>IF(ISNUMBER(W2202),'자료_거시'!$G2184,"")</f>
        <v/>
      </c>
      <c r="Y2202">
        <f>IF(ISNUMBER(X2202),IF(X2202&gt;$L$7,W2202,""),"")</f>
        <v/>
      </c>
      <c r="Z2202">
        <f>IF(ISNUMBER('자료_거시'!$K2184),'자료_거시'!$K2184,Z2201)</f>
        <v/>
      </c>
      <c r="AA2202">
        <f>IF(AND(ISNUMBER('자료_거시'!$J2184),ISNUMBER('자료_거시'!$K2184)),IFERROR('자료_거시'!$K2184/INDEX($Z$21:$Z$4020,MATCH(EDATE('자료_거시'!$J2184,-'설정'!$B$17),'자료_거시'!$J$3:INDEX('자료_거시'!$J$3:$J$4002,$K$8),1))-1,""),"")</f>
        <v/>
      </c>
      <c r="AB2202">
        <f>IF(ISNUMBER(AA2202),'자료_거시'!$J2184,"")</f>
        <v/>
      </c>
      <c r="AC2202">
        <f>IF(ISNUMBER(AB2202),IF(AB2202&gt;$L$8,AA2202,""),"")</f>
        <v/>
      </c>
    </row>
    <row r="2203">
      <c r="S2203">
        <f>IF(ISNUMBER('자료_거시'!$E2185),'자료_거시'!$E2185,S2202)</f>
        <v/>
      </c>
      <c r="T2203">
        <f>IF(AND(ISNUMBER('자료_거시'!$D2185),ISNUMBER('자료_거시'!$E2185)),IFERROR('자료_거시'!$E2185-INDEX($S$21:$S$4020,MATCH(EDATE('자료_거시'!$D2185,-'설정'!$B$17),'자료_거시'!$D$3:INDEX('자료_거시'!$D$3:$D$4002,$K$6),1)),""),"")</f>
        <v/>
      </c>
      <c r="U2203">
        <f>IF(ISNUMBER(T2203),'자료_거시'!$D2185,"")</f>
        <v/>
      </c>
      <c r="V2203">
        <f>IF(ISNUMBER(U2203),IF(U2203&gt;$L$6,T2203,""),"")</f>
        <v/>
      </c>
      <c r="W2203">
        <f>IF(AND(ISNUMBER('자료_거시'!$G2185),ISNUMBER('자료_거시'!$H2185)),'자료_거시'!$H2185,"")</f>
        <v/>
      </c>
      <c r="X2203">
        <f>IF(ISNUMBER(W2203),'자료_거시'!$G2185,"")</f>
        <v/>
      </c>
      <c r="Y2203">
        <f>IF(ISNUMBER(X2203),IF(X2203&gt;$L$7,W2203,""),"")</f>
        <v/>
      </c>
      <c r="Z2203">
        <f>IF(ISNUMBER('자료_거시'!$K2185),'자료_거시'!$K2185,Z2202)</f>
        <v/>
      </c>
      <c r="AA2203">
        <f>IF(AND(ISNUMBER('자료_거시'!$J2185),ISNUMBER('자료_거시'!$K2185)),IFERROR('자료_거시'!$K2185/INDEX($Z$21:$Z$4020,MATCH(EDATE('자료_거시'!$J2185,-'설정'!$B$17),'자료_거시'!$J$3:INDEX('자료_거시'!$J$3:$J$4002,$K$8),1))-1,""),"")</f>
        <v/>
      </c>
      <c r="AB2203">
        <f>IF(ISNUMBER(AA2203),'자료_거시'!$J2185,"")</f>
        <v/>
      </c>
      <c r="AC2203">
        <f>IF(ISNUMBER(AB2203),IF(AB2203&gt;$L$8,AA2203,""),"")</f>
        <v/>
      </c>
    </row>
    <row r="2204">
      <c r="S2204">
        <f>IF(ISNUMBER('자료_거시'!$E2186),'자료_거시'!$E2186,S2203)</f>
        <v/>
      </c>
      <c r="T2204">
        <f>IF(AND(ISNUMBER('자료_거시'!$D2186),ISNUMBER('자료_거시'!$E2186)),IFERROR('자료_거시'!$E2186-INDEX($S$21:$S$4020,MATCH(EDATE('자료_거시'!$D2186,-'설정'!$B$17),'자료_거시'!$D$3:INDEX('자료_거시'!$D$3:$D$4002,$K$6),1)),""),"")</f>
        <v/>
      </c>
      <c r="U2204">
        <f>IF(ISNUMBER(T2204),'자료_거시'!$D2186,"")</f>
        <v/>
      </c>
      <c r="V2204">
        <f>IF(ISNUMBER(U2204),IF(U2204&gt;$L$6,T2204,""),"")</f>
        <v/>
      </c>
      <c r="W2204">
        <f>IF(AND(ISNUMBER('자료_거시'!$G2186),ISNUMBER('자료_거시'!$H2186)),'자료_거시'!$H2186,"")</f>
        <v/>
      </c>
      <c r="X2204">
        <f>IF(ISNUMBER(W2204),'자료_거시'!$G2186,"")</f>
        <v/>
      </c>
      <c r="Y2204">
        <f>IF(ISNUMBER(X2204),IF(X2204&gt;$L$7,W2204,""),"")</f>
        <v/>
      </c>
      <c r="Z2204">
        <f>IF(ISNUMBER('자료_거시'!$K2186),'자료_거시'!$K2186,Z2203)</f>
        <v/>
      </c>
      <c r="AA2204">
        <f>IF(AND(ISNUMBER('자료_거시'!$J2186),ISNUMBER('자료_거시'!$K2186)),IFERROR('자료_거시'!$K2186/INDEX($Z$21:$Z$4020,MATCH(EDATE('자료_거시'!$J2186,-'설정'!$B$17),'자료_거시'!$J$3:INDEX('자료_거시'!$J$3:$J$4002,$K$8),1))-1,""),"")</f>
        <v/>
      </c>
      <c r="AB2204">
        <f>IF(ISNUMBER(AA2204),'자료_거시'!$J2186,"")</f>
        <v/>
      </c>
      <c r="AC2204">
        <f>IF(ISNUMBER(AB2204),IF(AB2204&gt;$L$8,AA2204,""),"")</f>
        <v/>
      </c>
    </row>
    <row r="2205">
      <c r="S2205">
        <f>IF(ISNUMBER('자료_거시'!$E2187),'자료_거시'!$E2187,S2204)</f>
        <v/>
      </c>
      <c r="T2205">
        <f>IF(AND(ISNUMBER('자료_거시'!$D2187),ISNUMBER('자료_거시'!$E2187)),IFERROR('자료_거시'!$E2187-INDEX($S$21:$S$4020,MATCH(EDATE('자료_거시'!$D2187,-'설정'!$B$17),'자료_거시'!$D$3:INDEX('자료_거시'!$D$3:$D$4002,$K$6),1)),""),"")</f>
        <v/>
      </c>
      <c r="U2205">
        <f>IF(ISNUMBER(T2205),'자료_거시'!$D2187,"")</f>
        <v/>
      </c>
      <c r="V2205">
        <f>IF(ISNUMBER(U2205),IF(U2205&gt;$L$6,T2205,""),"")</f>
        <v/>
      </c>
      <c r="W2205">
        <f>IF(AND(ISNUMBER('자료_거시'!$G2187),ISNUMBER('자료_거시'!$H2187)),'자료_거시'!$H2187,"")</f>
        <v/>
      </c>
      <c r="X2205">
        <f>IF(ISNUMBER(W2205),'자료_거시'!$G2187,"")</f>
        <v/>
      </c>
      <c r="Y2205">
        <f>IF(ISNUMBER(X2205),IF(X2205&gt;$L$7,W2205,""),"")</f>
        <v/>
      </c>
      <c r="Z2205">
        <f>IF(ISNUMBER('자료_거시'!$K2187),'자료_거시'!$K2187,Z2204)</f>
        <v/>
      </c>
      <c r="AA2205">
        <f>IF(AND(ISNUMBER('자료_거시'!$J2187),ISNUMBER('자료_거시'!$K2187)),IFERROR('자료_거시'!$K2187/INDEX($Z$21:$Z$4020,MATCH(EDATE('자료_거시'!$J2187,-'설정'!$B$17),'자료_거시'!$J$3:INDEX('자료_거시'!$J$3:$J$4002,$K$8),1))-1,""),"")</f>
        <v/>
      </c>
      <c r="AB2205">
        <f>IF(ISNUMBER(AA2205),'자료_거시'!$J2187,"")</f>
        <v/>
      </c>
      <c r="AC2205">
        <f>IF(ISNUMBER(AB2205),IF(AB2205&gt;$L$8,AA2205,""),"")</f>
        <v/>
      </c>
    </row>
    <row r="2206">
      <c r="S2206">
        <f>IF(ISNUMBER('자료_거시'!$E2188),'자료_거시'!$E2188,S2205)</f>
        <v/>
      </c>
      <c r="T2206">
        <f>IF(AND(ISNUMBER('자료_거시'!$D2188),ISNUMBER('자료_거시'!$E2188)),IFERROR('자료_거시'!$E2188-INDEX($S$21:$S$4020,MATCH(EDATE('자료_거시'!$D2188,-'설정'!$B$17),'자료_거시'!$D$3:INDEX('자료_거시'!$D$3:$D$4002,$K$6),1)),""),"")</f>
        <v/>
      </c>
      <c r="U2206">
        <f>IF(ISNUMBER(T2206),'자료_거시'!$D2188,"")</f>
        <v/>
      </c>
      <c r="V2206">
        <f>IF(ISNUMBER(U2206),IF(U2206&gt;$L$6,T2206,""),"")</f>
        <v/>
      </c>
      <c r="W2206">
        <f>IF(AND(ISNUMBER('자료_거시'!$G2188),ISNUMBER('자료_거시'!$H2188)),'자료_거시'!$H2188,"")</f>
        <v/>
      </c>
      <c r="X2206">
        <f>IF(ISNUMBER(W2206),'자료_거시'!$G2188,"")</f>
        <v/>
      </c>
      <c r="Y2206">
        <f>IF(ISNUMBER(X2206),IF(X2206&gt;$L$7,W2206,""),"")</f>
        <v/>
      </c>
      <c r="Z2206">
        <f>IF(ISNUMBER('자료_거시'!$K2188),'자료_거시'!$K2188,Z2205)</f>
        <v/>
      </c>
      <c r="AA2206">
        <f>IF(AND(ISNUMBER('자료_거시'!$J2188),ISNUMBER('자료_거시'!$K2188)),IFERROR('자료_거시'!$K2188/INDEX($Z$21:$Z$4020,MATCH(EDATE('자료_거시'!$J2188,-'설정'!$B$17),'자료_거시'!$J$3:INDEX('자료_거시'!$J$3:$J$4002,$K$8),1))-1,""),"")</f>
        <v/>
      </c>
      <c r="AB2206">
        <f>IF(ISNUMBER(AA2206),'자료_거시'!$J2188,"")</f>
        <v/>
      </c>
      <c r="AC2206">
        <f>IF(ISNUMBER(AB2206),IF(AB2206&gt;$L$8,AA2206,""),"")</f>
        <v/>
      </c>
    </row>
    <row r="2207">
      <c r="S2207">
        <f>IF(ISNUMBER('자료_거시'!$E2189),'자료_거시'!$E2189,S2206)</f>
        <v/>
      </c>
      <c r="T2207">
        <f>IF(AND(ISNUMBER('자료_거시'!$D2189),ISNUMBER('자료_거시'!$E2189)),IFERROR('자료_거시'!$E2189-INDEX($S$21:$S$4020,MATCH(EDATE('자료_거시'!$D2189,-'설정'!$B$17),'자료_거시'!$D$3:INDEX('자료_거시'!$D$3:$D$4002,$K$6),1)),""),"")</f>
        <v/>
      </c>
      <c r="U2207">
        <f>IF(ISNUMBER(T2207),'자료_거시'!$D2189,"")</f>
        <v/>
      </c>
      <c r="V2207">
        <f>IF(ISNUMBER(U2207),IF(U2207&gt;$L$6,T2207,""),"")</f>
        <v/>
      </c>
      <c r="W2207">
        <f>IF(AND(ISNUMBER('자료_거시'!$G2189),ISNUMBER('자료_거시'!$H2189)),'자료_거시'!$H2189,"")</f>
        <v/>
      </c>
      <c r="X2207">
        <f>IF(ISNUMBER(W2207),'자료_거시'!$G2189,"")</f>
        <v/>
      </c>
      <c r="Y2207">
        <f>IF(ISNUMBER(X2207),IF(X2207&gt;$L$7,W2207,""),"")</f>
        <v/>
      </c>
      <c r="Z2207">
        <f>IF(ISNUMBER('자료_거시'!$K2189),'자료_거시'!$K2189,Z2206)</f>
        <v/>
      </c>
      <c r="AA2207">
        <f>IF(AND(ISNUMBER('자료_거시'!$J2189),ISNUMBER('자료_거시'!$K2189)),IFERROR('자료_거시'!$K2189/INDEX($Z$21:$Z$4020,MATCH(EDATE('자료_거시'!$J2189,-'설정'!$B$17),'자료_거시'!$J$3:INDEX('자료_거시'!$J$3:$J$4002,$K$8),1))-1,""),"")</f>
        <v/>
      </c>
      <c r="AB2207">
        <f>IF(ISNUMBER(AA2207),'자료_거시'!$J2189,"")</f>
        <v/>
      </c>
      <c r="AC2207">
        <f>IF(ISNUMBER(AB2207),IF(AB2207&gt;$L$8,AA2207,""),"")</f>
        <v/>
      </c>
    </row>
    <row r="2208">
      <c r="S2208">
        <f>IF(ISNUMBER('자료_거시'!$E2190),'자료_거시'!$E2190,S2207)</f>
        <v/>
      </c>
      <c r="T2208">
        <f>IF(AND(ISNUMBER('자료_거시'!$D2190),ISNUMBER('자료_거시'!$E2190)),IFERROR('자료_거시'!$E2190-INDEX($S$21:$S$4020,MATCH(EDATE('자료_거시'!$D2190,-'설정'!$B$17),'자료_거시'!$D$3:INDEX('자료_거시'!$D$3:$D$4002,$K$6),1)),""),"")</f>
        <v/>
      </c>
      <c r="U2208">
        <f>IF(ISNUMBER(T2208),'자료_거시'!$D2190,"")</f>
        <v/>
      </c>
      <c r="V2208">
        <f>IF(ISNUMBER(U2208),IF(U2208&gt;$L$6,T2208,""),"")</f>
        <v/>
      </c>
      <c r="W2208">
        <f>IF(AND(ISNUMBER('자료_거시'!$G2190),ISNUMBER('자료_거시'!$H2190)),'자료_거시'!$H2190,"")</f>
        <v/>
      </c>
      <c r="X2208">
        <f>IF(ISNUMBER(W2208),'자료_거시'!$G2190,"")</f>
        <v/>
      </c>
      <c r="Y2208">
        <f>IF(ISNUMBER(X2208),IF(X2208&gt;$L$7,W2208,""),"")</f>
        <v/>
      </c>
      <c r="Z2208">
        <f>IF(ISNUMBER('자료_거시'!$K2190),'자료_거시'!$K2190,Z2207)</f>
        <v/>
      </c>
      <c r="AA2208">
        <f>IF(AND(ISNUMBER('자료_거시'!$J2190),ISNUMBER('자료_거시'!$K2190)),IFERROR('자료_거시'!$K2190/INDEX($Z$21:$Z$4020,MATCH(EDATE('자료_거시'!$J2190,-'설정'!$B$17),'자료_거시'!$J$3:INDEX('자료_거시'!$J$3:$J$4002,$K$8),1))-1,""),"")</f>
        <v/>
      </c>
      <c r="AB2208">
        <f>IF(ISNUMBER(AA2208),'자료_거시'!$J2190,"")</f>
        <v/>
      </c>
      <c r="AC2208">
        <f>IF(ISNUMBER(AB2208),IF(AB2208&gt;$L$8,AA2208,""),"")</f>
        <v/>
      </c>
    </row>
    <row r="2209">
      <c r="S2209">
        <f>IF(ISNUMBER('자료_거시'!$E2191),'자료_거시'!$E2191,S2208)</f>
        <v/>
      </c>
      <c r="T2209">
        <f>IF(AND(ISNUMBER('자료_거시'!$D2191),ISNUMBER('자료_거시'!$E2191)),IFERROR('자료_거시'!$E2191-INDEX($S$21:$S$4020,MATCH(EDATE('자료_거시'!$D2191,-'설정'!$B$17),'자료_거시'!$D$3:INDEX('자료_거시'!$D$3:$D$4002,$K$6),1)),""),"")</f>
        <v/>
      </c>
      <c r="U2209">
        <f>IF(ISNUMBER(T2209),'자료_거시'!$D2191,"")</f>
        <v/>
      </c>
      <c r="V2209">
        <f>IF(ISNUMBER(U2209),IF(U2209&gt;$L$6,T2209,""),"")</f>
        <v/>
      </c>
      <c r="W2209">
        <f>IF(AND(ISNUMBER('자료_거시'!$G2191),ISNUMBER('자료_거시'!$H2191)),'자료_거시'!$H2191,"")</f>
        <v/>
      </c>
      <c r="X2209">
        <f>IF(ISNUMBER(W2209),'자료_거시'!$G2191,"")</f>
        <v/>
      </c>
      <c r="Y2209">
        <f>IF(ISNUMBER(X2209),IF(X2209&gt;$L$7,W2209,""),"")</f>
        <v/>
      </c>
      <c r="Z2209">
        <f>IF(ISNUMBER('자료_거시'!$K2191),'자료_거시'!$K2191,Z2208)</f>
        <v/>
      </c>
      <c r="AA2209">
        <f>IF(AND(ISNUMBER('자료_거시'!$J2191),ISNUMBER('자료_거시'!$K2191)),IFERROR('자료_거시'!$K2191/INDEX($Z$21:$Z$4020,MATCH(EDATE('자료_거시'!$J2191,-'설정'!$B$17),'자료_거시'!$J$3:INDEX('자료_거시'!$J$3:$J$4002,$K$8),1))-1,""),"")</f>
        <v/>
      </c>
      <c r="AB2209">
        <f>IF(ISNUMBER(AA2209),'자료_거시'!$J2191,"")</f>
        <v/>
      </c>
      <c r="AC2209">
        <f>IF(ISNUMBER(AB2209),IF(AB2209&gt;$L$8,AA2209,""),"")</f>
        <v/>
      </c>
    </row>
    <row r="2210">
      <c r="S2210">
        <f>IF(ISNUMBER('자료_거시'!$E2192),'자료_거시'!$E2192,S2209)</f>
        <v/>
      </c>
      <c r="T2210">
        <f>IF(AND(ISNUMBER('자료_거시'!$D2192),ISNUMBER('자료_거시'!$E2192)),IFERROR('자료_거시'!$E2192-INDEX($S$21:$S$4020,MATCH(EDATE('자료_거시'!$D2192,-'설정'!$B$17),'자료_거시'!$D$3:INDEX('자료_거시'!$D$3:$D$4002,$K$6),1)),""),"")</f>
        <v/>
      </c>
      <c r="U2210">
        <f>IF(ISNUMBER(T2210),'자료_거시'!$D2192,"")</f>
        <v/>
      </c>
      <c r="V2210">
        <f>IF(ISNUMBER(U2210),IF(U2210&gt;$L$6,T2210,""),"")</f>
        <v/>
      </c>
      <c r="W2210">
        <f>IF(AND(ISNUMBER('자료_거시'!$G2192),ISNUMBER('자료_거시'!$H2192)),'자료_거시'!$H2192,"")</f>
        <v/>
      </c>
      <c r="X2210">
        <f>IF(ISNUMBER(W2210),'자료_거시'!$G2192,"")</f>
        <v/>
      </c>
      <c r="Y2210">
        <f>IF(ISNUMBER(X2210),IF(X2210&gt;$L$7,W2210,""),"")</f>
        <v/>
      </c>
      <c r="Z2210">
        <f>IF(ISNUMBER('자료_거시'!$K2192),'자료_거시'!$K2192,Z2209)</f>
        <v/>
      </c>
      <c r="AA2210">
        <f>IF(AND(ISNUMBER('자료_거시'!$J2192),ISNUMBER('자료_거시'!$K2192)),IFERROR('자료_거시'!$K2192/INDEX($Z$21:$Z$4020,MATCH(EDATE('자료_거시'!$J2192,-'설정'!$B$17),'자료_거시'!$J$3:INDEX('자료_거시'!$J$3:$J$4002,$K$8),1))-1,""),"")</f>
        <v/>
      </c>
      <c r="AB2210">
        <f>IF(ISNUMBER(AA2210),'자료_거시'!$J2192,"")</f>
        <v/>
      </c>
      <c r="AC2210">
        <f>IF(ISNUMBER(AB2210),IF(AB2210&gt;$L$8,AA2210,""),"")</f>
        <v/>
      </c>
    </row>
    <row r="2211">
      <c r="S2211">
        <f>IF(ISNUMBER('자료_거시'!$E2193),'자료_거시'!$E2193,S2210)</f>
        <v/>
      </c>
      <c r="T2211">
        <f>IF(AND(ISNUMBER('자료_거시'!$D2193),ISNUMBER('자료_거시'!$E2193)),IFERROR('자료_거시'!$E2193-INDEX($S$21:$S$4020,MATCH(EDATE('자료_거시'!$D2193,-'설정'!$B$17),'자료_거시'!$D$3:INDEX('자료_거시'!$D$3:$D$4002,$K$6),1)),""),"")</f>
        <v/>
      </c>
      <c r="U2211">
        <f>IF(ISNUMBER(T2211),'자료_거시'!$D2193,"")</f>
        <v/>
      </c>
      <c r="V2211">
        <f>IF(ISNUMBER(U2211),IF(U2211&gt;$L$6,T2211,""),"")</f>
        <v/>
      </c>
      <c r="W2211">
        <f>IF(AND(ISNUMBER('자료_거시'!$G2193),ISNUMBER('자료_거시'!$H2193)),'자료_거시'!$H2193,"")</f>
        <v/>
      </c>
      <c r="X2211">
        <f>IF(ISNUMBER(W2211),'자료_거시'!$G2193,"")</f>
        <v/>
      </c>
      <c r="Y2211">
        <f>IF(ISNUMBER(X2211),IF(X2211&gt;$L$7,W2211,""),"")</f>
        <v/>
      </c>
      <c r="Z2211">
        <f>IF(ISNUMBER('자료_거시'!$K2193),'자료_거시'!$K2193,Z2210)</f>
        <v/>
      </c>
      <c r="AA2211">
        <f>IF(AND(ISNUMBER('자료_거시'!$J2193),ISNUMBER('자료_거시'!$K2193)),IFERROR('자료_거시'!$K2193/INDEX($Z$21:$Z$4020,MATCH(EDATE('자료_거시'!$J2193,-'설정'!$B$17),'자료_거시'!$J$3:INDEX('자료_거시'!$J$3:$J$4002,$K$8),1))-1,""),"")</f>
        <v/>
      </c>
      <c r="AB2211">
        <f>IF(ISNUMBER(AA2211),'자료_거시'!$J2193,"")</f>
        <v/>
      </c>
      <c r="AC2211">
        <f>IF(ISNUMBER(AB2211),IF(AB2211&gt;$L$8,AA2211,""),"")</f>
        <v/>
      </c>
    </row>
    <row r="2212">
      <c r="S2212">
        <f>IF(ISNUMBER('자료_거시'!$E2194),'자료_거시'!$E2194,S2211)</f>
        <v/>
      </c>
      <c r="T2212">
        <f>IF(AND(ISNUMBER('자료_거시'!$D2194),ISNUMBER('자료_거시'!$E2194)),IFERROR('자료_거시'!$E2194-INDEX($S$21:$S$4020,MATCH(EDATE('자료_거시'!$D2194,-'설정'!$B$17),'자료_거시'!$D$3:INDEX('자료_거시'!$D$3:$D$4002,$K$6),1)),""),"")</f>
        <v/>
      </c>
      <c r="U2212">
        <f>IF(ISNUMBER(T2212),'자료_거시'!$D2194,"")</f>
        <v/>
      </c>
      <c r="V2212">
        <f>IF(ISNUMBER(U2212),IF(U2212&gt;$L$6,T2212,""),"")</f>
        <v/>
      </c>
      <c r="W2212">
        <f>IF(AND(ISNUMBER('자료_거시'!$G2194),ISNUMBER('자료_거시'!$H2194)),'자료_거시'!$H2194,"")</f>
        <v/>
      </c>
      <c r="X2212">
        <f>IF(ISNUMBER(W2212),'자료_거시'!$G2194,"")</f>
        <v/>
      </c>
      <c r="Y2212">
        <f>IF(ISNUMBER(X2212),IF(X2212&gt;$L$7,W2212,""),"")</f>
        <v/>
      </c>
      <c r="Z2212">
        <f>IF(ISNUMBER('자료_거시'!$K2194),'자료_거시'!$K2194,Z2211)</f>
        <v/>
      </c>
      <c r="AA2212">
        <f>IF(AND(ISNUMBER('자료_거시'!$J2194),ISNUMBER('자료_거시'!$K2194)),IFERROR('자료_거시'!$K2194/INDEX($Z$21:$Z$4020,MATCH(EDATE('자료_거시'!$J2194,-'설정'!$B$17),'자료_거시'!$J$3:INDEX('자료_거시'!$J$3:$J$4002,$K$8),1))-1,""),"")</f>
        <v/>
      </c>
      <c r="AB2212">
        <f>IF(ISNUMBER(AA2212),'자료_거시'!$J2194,"")</f>
        <v/>
      </c>
      <c r="AC2212">
        <f>IF(ISNUMBER(AB2212),IF(AB2212&gt;$L$8,AA2212,""),"")</f>
        <v/>
      </c>
    </row>
    <row r="2213">
      <c r="S2213">
        <f>IF(ISNUMBER('자료_거시'!$E2195),'자료_거시'!$E2195,S2212)</f>
        <v/>
      </c>
      <c r="T2213">
        <f>IF(AND(ISNUMBER('자료_거시'!$D2195),ISNUMBER('자료_거시'!$E2195)),IFERROR('자료_거시'!$E2195-INDEX($S$21:$S$4020,MATCH(EDATE('자료_거시'!$D2195,-'설정'!$B$17),'자료_거시'!$D$3:INDEX('자료_거시'!$D$3:$D$4002,$K$6),1)),""),"")</f>
        <v/>
      </c>
      <c r="U2213">
        <f>IF(ISNUMBER(T2213),'자료_거시'!$D2195,"")</f>
        <v/>
      </c>
      <c r="V2213">
        <f>IF(ISNUMBER(U2213),IF(U2213&gt;$L$6,T2213,""),"")</f>
        <v/>
      </c>
      <c r="W2213">
        <f>IF(AND(ISNUMBER('자료_거시'!$G2195),ISNUMBER('자료_거시'!$H2195)),'자료_거시'!$H2195,"")</f>
        <v/>
      </c>
      <c r="X2213">
        <f>IF(ISNUMBER(W2213),'자료_거시'!$G2195,"")</f>
        <v/>
      </c>
      <c r="Y2213">
        <f>IF(ISNUMBER(X2213),IF(X2213&gt;$L$7,W2213,""),"")</f>
        <v/>
      </c>
      <c r="Z2213">
        <f>IF(ISNUMBER('자료_거시'!$K2195),'자료_거시'!$K2195,Z2212)</f>
        <v/>
      </c>
      <c r="AA2213">
        <f>IF(AND(ISNUMBER('자료_거시'!$J2195),ISNUMBER('자료_거시'!$K2195)),IFERROR('자료_거시'!$K2195/INDEX($Z$21:$Z$4020,MATCH(EDATE('자료_거시'!$J2195,-'설정'!$B$17),'자료_거시'!$J$3:INDEX('자료_거시'!$J$3:$J$4002,$K$8),1))-1,""),"")</f>
        <v/>
      </c>
      <c r="AB2213">
        <f>IF(ISNUMBER(AA2213),'자료_거시'!$J2195,"")</f>
        <v/>
      </c>
      <c r="AC2213">
        <f>IF(ISNUMBER(AB2213),IF(AB2213&gt;$L$8,AA2213,""),"")</f>
        <v/>
      </c>
    </row>
    <row r="2214">
      <c r="S2214">
        <f>IF(ISNUMBER('자료_거시'!$E2196),'자료_거시'!$E2196,S2213)</f>
        <v/>
      </c>
      <c r="T2214">
        <f>IF(AND(ISNUMBER('자료_거시'!$D2196),ISNUMBER('자료_거시'!$E2196)),IFERROR('자료_거시'!$E2196-INDEX($S$21:$S$4020,MATCH(EDATE('자료_거시'!$D2196,-'설정'!$B$17),'자료_거시'!$D$3:INDEX('자료_거시'!$D$3:$D$4002,$K$6),1)),""),"")</f>
        <v/>
      </c>
      <c r="U2214">
        <f>IF(ISNUMBER(T2214),'자료_거시'!$D2196,"")</f>
        <v/>
      </c>
      <c r="V2214">
        <f>IF(ISNUMBER(U2214),IF(U2214&gt;$L$6,T2214,""),"")</f>
        <v/>
      </c>
      <c r="W2214">
        <f>IF(AND(ISNUMBER('자료_거시'!$G2196),ISNUMBER('자료_거시'!$H2196)),'자료_거시'!$H2196,"")</f>
        <v/>
      </c>
      <c r="X2214">
        <f>IF(ISNUMBER(W2214),'자료_거시'!$G2196,"")</f>
        <v/>
      </c>
      <c r="Y2214">
        <f>IF(ISNUMBER(X2214),IF(X2214&gt;$L$7,W2214,""),"")</f>
        <v/>
      </c>
      <c r="Z2214">
        <f>IF(ISNUMBER('자료_거시'!$K2196),'자료_거시'!$K2196,Z2213)</f>
        <v/>
      </c>
      <c r="AA2214">
        <f>IF(AND(ISNUMBER('자료_거시'!$J2196),ISNUMBER('자료_거시'!$K2196)),IFERROR('자료_거시'!$K2196/INDEX($Z$21:$Z$4020,MATCH(EDATE('자료_거시'!$J2196,-'설정'!$B$17),'자료_거시'!$J$3:INDEX('자료_거시'!$J$3:$J$4002,$K$8),1))-1,""),"")</f>
        <v/>
      </c>
      <c r="AB2214">
        <f>IF(ISNUMBER(AA2214),'자료_거시'!$J2196,"")</f>
        <v/>
      </c>
      <c r="AC2214">
        <f>IF(ISNUMBER(AB2214),IF(AB2214&gt;$L$8,AA2214,""),"")</f>
        <v/>
      </c>
    </row>
    <row r="2215">
      <c r="S2215">
        <f>IF(ISNUMBER('자료_거시'!$E2197),'자료_거시'!$E2197,S2214)</f>
        <v/>
      </c>
      <c r="T2215">
        <f>IF(AND(ISNUMBER('자료_거시'!$D2197),ISNUMBER('자료_거시'!$E2197)),IFERROR('자료_거시'!$E2197-INDEX($S$21:$S$4020,MATCH(EDATE('자료_거시'!$D2197,-'설정'!$B$17),'자료_거시'!$D$3:INDEX('자료_거시'!$D$3:$D$4002,$K$6),1)),""),"")</f>
        <v/>
      </c>
      <c r="U2215">
        <f>IF(ISNUMBER(T2215),'자료_거시'!$D2197,"")</f>
        <v/>
      </c>
      <c r="V2215">
        <f>IF(ISNUMBER(U2215),IF(U2215&gt;$L$6,T2215,""),"")</f>
        <v/>
      </c>
      <c r="W2215">
        <f>IF(AND(ISNUMBER('자료_거시'!$G2197),ISNUMBER('자료_거시'!$H2197)),'자료_거시'!$H2197,"")</f>
        <v/>
      </c>
      <c r="X2215">
        <f>IF(ISNUMBER(W2215),'자료_거시'!$G2197,"")</f>
        <v/>
      </c>
      <c r="Y2215">
        <f>IF(ISNUMBER(X2215),IF(X2215&gt;$L$7,W2215,""),"")</f>
        <v/>
      </c>
      <c r="Z2215">
        <f>IF(ISNUMBER('자료_거시'!$K2197),'자료_거시'!$K2197,Z2214)</f>
        <v/>
      </c>
      <c r="AA2215">
        <f>IF(AND(ISNUMBER('자료_거시'!$J2197),ISNUMBER('자료_거시'!$K2197)),IFERROR('자료_거시'!$K2197/INDEX($Z$21:$Z$4020,MATCH(EDATE('자료_거시'!$J2197,-'설정'!$B$17),'자료_거시'!$J$3:INDEX('자료_거시'!$J$3:$J$4002,$K$8),1))-1,""),"")</f>
        <v/>
      </c>
      <c r="AB2215">
        <f>IF(ISNUMBER(AA2215),'자료_거시'!$J2197,"")</f>
        <v/>
      </c>
      <c r="AC2215">
        <f>IF(ISNUMBER(AB2215),IF(AB2215&gt;$L$8,AA2215,""),"")</f>
        <v/>
      </c>
    </row>
    <row r="2216">
      <c r="S2216">
        <f>IF(ISNUMBER('자료_거시'!$E2198),'자료_거시'!$E2198,S2215)</f>
        <v/>
      </c>
      <c r="T2216">
        <f>IF(AND(ISNUMBER('자료_거시'!$D2198),ISNUMBER('자료_거시'!$E2198)),IFERROR('자료_거시'!$E2198-INDEX($S$21:$S$4020,MATCH(EDATE('자료_거시'!$D2198,-'설정'!$B$17),'자료_거시'!$D$3:INDEX('자료_거시'!$D$3:$D$4002,$K$6),1)),""),"")</f>
        <v/>
      </c>
      <c r="U2216">
        <f>IF(ISNUMBER(T2216),'자료_거시'!$D2198,"")</f>
        <v/>
      </c>
      <c r="V2216">
        <f>IF(ISNUMBER(U2216),IF(U2216&gt;$L$6,T2216,""),"")</f>
        <v/>
      </c>
      <c r="W2216">
        <f>IF(AND(ISNUMBER('자료_거시'!$G2198),ISNUMBER('자료_거시'!$H2198)),'자료_거시'!$H2198,"")</f>
        <v/>
      </c>
      <c r="X2216">
        <f>IF(ISNUMBER(W2216),'자료_거시'!$G2198,"")</f>
        <v/>
      </c>
      <c r="Y2216">
        <f>IF(ISNUMBER(X2216),IF(X2216&gt;$L$7,W2216,""),"")</f>
        <v/>
      </c>
      <c r="Z2216">
        <f>IF(ISNUMBER('자료_거시'!$K2198),'자료_거시'!$K2198,Z2215)</f>
        <v/>
      </c>
      <c r="AA2216">
        <f>IF(AND(ISNUMBER('자료_거시'!$J2198),ISNUMBER('자료_거시'!$K2198)),IFERROR('자료_거시'!$K2198/INDEX($Z$21:$Z$4020,MATCH(EDATE('자료_거시'!$J2198,-'설정'!$B$17),'자료_거시'!$J$3:INDEX('자료_거시'!$J$3:$J$4002,$K$8),1))-1,""),"")</f>
        <v/>
      </c>
      <c r="AB2216">
        <f>IF(ISNUMBER(AA2216),'자료_거시'!$J2198,"")</f>
        <v/>
      </c>
      <c r="AC2216">
        <f>IF(ISNUMBER(AB2216),IF(AB2216&gt;$L$8,AA2216,""),"")</f>
        <v/>
      </c>
    </row>
    <row r="2217">
      <c r="S2217">
        <f>IF(ISNUMBER('자료_거시'!$E2199),'자료_거시'!$E2199,S2216)</f>
        <v/>
      </c>
      <c r="T2217">
        <f>IF(AND(ISNUMBER('자료_거시'!$D2199),ISNUMBER('자료_거시'!$E2199)),IFERROR('자료_거시'!$E2199-INDEX($S$21:$S$4020,MATCH(EDATE('자료_거시'!$D2199,-'설정'!$B$17),'자료_거시'!$D$3:INDEX('자료_거시'!$D$3:$D$4002,$K$6),1)),""),"")</f>
        <v/>
      </c>
      <c r="U2217">
        <f>IF(ISNUMBER(T2217),'자료_거시'!$D2199,"")</f>
        <v/>
      </c>
      <c r="V2217">
        <f>IF(ISNUMBER(U2217),IF(U2217&gt;$L$6,T2217,""),"")</f>
        <v/>
      </c>
      <c r="W2217">
        <f>IF(AND(ISNUMBER('자료_거시'!$G2199),ISNUMBER('자료_거시'!$H2199)),'자료_거시'!$H2199,"")</f>
        <v/>
      </c>
      <c r="X2217">
        <f>IF(ISNUMBER(W2217),'자료_거시'!$G2199,"")</f>
        <v/>
      </c>
      <c r="Y2217">
        <f>IF(ISNUMBER(X2217),IF(X2217&gt;$L$7,W2217,""),"")</f>
        <v/>
      </c>
      <c r="Z2217">
        <f>IF(ISNUMBER('자료_거시'!$K2199),'자료_거시'!$K2199,Z2216)</f>
        <v/>
      </c>
      <c r="AA2217">
        <f>IF(AND(ISNUMBER('자료_거시'!$J2199),ISNUMBER('자료_거시'!$K2199)),IFERROR('자료_거시'!$K2199/INDEX($Z$21:$Z$4020,MATCH(EDATE('자료_거시'!$J2199,-'설정'!$B$17),'자료_거시'!$J$3:INDEX('자료_거시'!$J$3:$J$4002,$K$8),1))-1,""),"")</f>
        <v/>
      </c>
      <c r="AB2217">
        <f>IF(ISNUMBER(AA2217),'자료_거시'!$J2199,"")</f>
        <v/>
      </c>
      <c r="AC2217">
        <f>IF(ISNUMBER(AB2217),IF(AB2217&gt;$L$8,AA2217,""),"")</f>
        <v/>
      </c>
    </row>
    <row r="2218">
      <c r="S2218">
        <f>IF(ISNUMBER('자료_거시'!$E2200),'자료_거시'!$E2200,S2217)</f>
        <v/>
      </c>
      <c r="T2218">
        <f>IF(AND(ISNUMBER('자료_거시'!$D2200),ISNUMBER('자료_거시'!$E2200)),IFERROR('자료_거시'!$E2200-INDEX($S$21:$S$4020,MATCH(EDATE('자료_거시'!$D2200,-'설정'!$B$17),'자료_거시'!$D$3:INDEX('자료_거시'!$D$3:$D$4002,$K$6),1)),""),"")</f>
        <v/>
      </c>
      <c r="U2218">
        <f>IF(ISNUMBER(T2218),'자료_거시'!$D2200,"")</f>
        <v/>
      </c>
      <c r="V2218">
        <f>IF(ISNUMBER(U2218),IF(U2218&gt;$L$6,T2218,""),"")</f>
        <v/>
      </c>
      <c r="W2218">
        <f>IF(AND(ISNUMBER('자료_거시'!$G2200),ISNUMBER('자료_거시'!$H2200)),'자료_거시'!$H2200,"")</f>
        <v/>
      </c>
      <c r="X2218">
        <f>IF(ISNUMBER(W2218),'자료_거시'!$G2200,"")</f>
        <v/>
      </c>
      <c r="Y2218">
        <f>IF(ISNUMBER(X2218),IF(X2218&gt;$L$7,W2218,""),"")</f>
        <v/>
      </c>
      <c r="Z2218">
        <f>IF(ISNUMBER('자료_거시'!$K2200),'자료_거시'!$K2200,Z2217)</f>
        <v/>
      </c>
      <c r="AA2218">
        <f>IF(AND(ISNUMBER('자료_거시'!$J2200),ISNUMBER('자료_거시'!$K2200)),IFERROR('자료_거시'!$K2200/INDEX($Z$21:$Z$4020,MATCH(EDATE('자료_거시'!$J2200,-'설정'!$B$17),'자료_거시'!$J$3:INDEX('자료_거시'!$J$3:$J$4002,$K$8),1))-1,""),"")</f>
        <v/>
      </c>
      <c r="AB2218">
        <f>IF(ISNUMBER(AA2218),'자료_거시'!$J2200,"")</f>
        <v/>
      </c>
      <c r="AC2218">
        <f>IF(ISNUMBER(AB2218),IF(AB2218&gt;$L$8,AA2218,""),"")</f>
        <v/>
      </c>
    </row>
    <row r="2219">
      <c r="S2219">
        <f>IF(ISNUMBER('자료_거시'!$E2201),'자료_거시'!$E2201,S2218)</f>
        <v/>
      </c>
      <c r="T2219">
        <f>IF(AND(ISNUMBER('자료_거시'!$D2201),ISNUMBER('자료_거시'!$E2201)),IFERROR('자료_거시'!$E2201-INDEX($S$21:$S$4020,MATCH(EDATE('자료_거시'!$D2201,-'설정'!$B$17),'자료_거시'!$D$3:INDEX('자료_거시'!$D$3:$D$4002,$K$6),1)),""),"")</f>
        <v/>
      </c>
      <c r="U2219">
        <f>IF(ISNUMBER(T2219),'자료_거시'!$D2201,"")</f>
        <v/>
      </c>
      <c r="V2219">
        <f>IF(ISNUMBER(U2219),IF(U2219&gt;$L$6,T2219,""),"")</f>
        <v/>
      </c>
      <c r="W2219">
        <f>IF(AND(ISNUMBER('자료_거시'!$G2201),ISNUMBER('자료_거시'!$H2201)),'자료_거시'!$H2201,"")</f>
        <v/>
      </c>
      <c r="X2219">
        <f>IF(ISNUMBER(W2219),'자료_거시'!$G2201,"")</f>
        <v/>
      </c>
      <c r="Y2219">
        <f>IF(ISNUMBER(X2219),IF(X2219&gt;$L$7,W2219,""),"")</f>
        <v/>
      </c>
      <c r="Z2219">
        <f>IF(ISNUMBER('자료_거시'!$K2201),'자료_거시'!$K2201,Z2218)</f>
        <v/>
      </c>
      <c r="AA2219">
        <f>IF(AND(ISNUMBER('자료_거시'!$J2201),ISNUMBER('자료_거시'!$K2201)),IFERROR('자료_거시'!$K2201/INDEX($Z$21:$Z$4020,MATCH(EDATE('자료_거시'!$J2201,-'설정'!$B$17),'자료_거시'!$J$3:INDEX('자료_거시'!$J$3:$J$4002,$K$8),1))-1,""),"")</f>
        <v/>
      </c>
      <c r="AB2219">
        <f>IF(ISNUMBER(AA2219),'자료_거시'!$J2201,"")</f>
        <v/>
      </c>
      <c r="AC2219">
        <f>IF(ISNUMBER(AB2219),IF(AB2219&gt;$L$8,AA2219,""),"")</f>
        <v/>
      </c>
    </row>
    <row r="2220">
      <c r="S2220">
        <f>IF(ISNUMBER('자료_거시'!$E2202),'자료_거시'!$E2202,S2219)</f>
        <v/>
      </c>
      <c r="T2220">
        <f>IF(AND(ISNUMBER('자료_거시'!$D2202),ISNUMBER('자료_거시'!$E2202)),IFERROR('자료_거시'!$E2202-INDEX($S$21:$S$4020,MATCH(EDATE('자료_거시'!$D2202,-'설정'!$B$17),'자료_거시'!$D$3:INDEX('자료_거시'!$D$3:$D$4002,$K$6),1)),""),"")</f>
        <v/>
      </c>
      <c r="U2220">
        <f>IF(ISNUMBER(T2220),'자료_거시'!$D2202,"")</f>
        <v/>
      </c>
      <c r="V2220">
        <f>IF(ISNUMBER(U2220),IF(U2220&gt;$L$6,T2220,""),"")</f>
        <v/>
      </c>
      <c r="W2220">
        <f>IF(AND(ISNUMBER('자료_거시'!$G2202),ISNUMBER('자료_거시'!$H2202)),'자료_거시'!$H2202,"")</f>
        <v/>
      </c>
      <c r="X2220">
        <f>IF(ISNUMBER(W2220),'자료_거시'!$G2202,"")</f>
        <v/>
      </c>
      <c r="Y2220">
        <f>IF(ISNUMBER(X2220),IF(X2220&gt;$L$7,W2220,""),"")</f>
        <v/>
      </c>
      <c r="Z2220">
        <f>IF(ISNUMBER('자료_거시'!$K2202),'자료_거시'!$K2202,Z2219)</f>
        <v/>
      </c>
      <c r="AA2220">
        <f>IF(AND(ISNUMBER('자료_거시'!$J2202),ISNUMBER('자료_거시'!$K2202)),IFERROR('자료_거시'!$K2202/INDEX($Z$21:$Z$4020,MATCH(EDATE('자료_거시'!$J2202,-'설정'!$B$17),'자료_거시'!$J$3:INDEX('자료_거시'!$J$3:$J$4002,$K$8),1))-1,""),"")</f>
        <v/>
      </c>
      <c r="AB2220">
        <f>IF(ISNUMBER(AA2220),'자료_거시'!$J2202,"")</f>
        <v/>
      </c>
      <c r="AC2220">
        <f>IF(ISNUMBER(AB2220),IF(AB2220&gt;$L$8,AA2220,""),"")</f>
        <v/>
      </c>
    </row>
    <row r="2221">
      <c r="S2221">
        <f>IF(ISNUMBER('자료_거시'!$E2203),'자료_거시'!$E2203,S2220)</f>
        <v/>
      </c>
      <c r="T2221">
        <f>IF(AND(ISNUMBER('자료_거시'!$D2203),ISNUMBER('자료_거시'!$E2203)),IFERROR('자료_거시'!$E2203-INDEX($S$21:$S$4020,MATCH(EDATE('자료_거시'!$D2203,-'설정'!$B$17),'자료_거시'!$D$3:INDEX('자료_거시'!$D$3:$D$4002,$K$6),1)),""),"")</f>
        <v/>
      </c>
      <c r="U2221">
        <f>IF(ISNUMBER(T2221),'자료_거시'!$D2203,"")</f>
        <v/>
      </c>
      <c r="V2221">
        <f>IF(ISNUMBER(U2221),IF(U2221&gt;$L$6,T2221,""),"")</f>
        <v/>
      </c>
      <c r="W2221">
        <f>IF(AND(ISNUMBER('자료_거시'!$G2203),ISNUMBER('자료_거시'!$H2203)),'자료_거시'!$H2203,"")</f>
        <v/>
      </c>
      <c r="X2221">
        <f>IF(ISNUMBER(W2221),'자료_거시'!$G2203,"")</f>
        <v/>
      </c>
      <c r="Y2221">
        <f>IF(ISNUMBER(X2221),IF(X2221&gt;$L$7,W2221,""),"")</f>
        <v/>
      </c>
      <c r="Z2221">
        <f>IF(ISNUMBER('자료_거시'!$K2203),'자료_거시'!$K2203,Z2220)</f>
        <v/>
      </c>
      <c r="AA2221">
        <f>IF(AND(ISNUMBER('자료_거시'!$J2203),ISNUMBER('자료_거시'!$K2203)),IFERROR('자료_거시'!$K2203/INDEX($Z$21:$Z$4020,MATCH(EDATE('자료_거시'!$J2203,-'설정'!$B$17),'자료_거시'!$J$3:INDEX('자료_거시'!$J$3:$J$4002,$K$8),1))-1,""),"")</f>
        <v/>
      </c>
      <c r="AB2221">
        <f>IF(ISNUMBER(AA2221),'자료_거시'!$J2203,"")</f>
        <v/>
      </c>
      <c r="AC2221">
        <f>IF(ISNUMBER(AB2221),IF(AB2221&gt;$L$8,AA2221,""),"")</f>
        <v/>
      </c>
    </row>
    <row r="2222">
      <c r="S2222">
        <f>IF(ISNUMBER('자료_거시'!$E2204),'자료_거시'!$E2204,S2221)</f>
        <v/>
      </c>
      <c r="T2222">
        <f>IF(AND(ISNUMBER('자료_거시'!$D2204),ISNUMBER('자료_거시'!$E2204)),IFERROR('자료_거시'!$E2204-INDEX($S$21:$S$4020,MATCH(EDATE('자료_거시'!$D2204,-'설정'!$B$17),'자료_거시'!$D$3:INDEX('자료_거시'!$D$3:$D$4002,$K$6),1)),""),"")</f>
        <v/>
      </c>
      <c r="U2222">
        <f>IF(ISNUMBER(T2222),'자료_거시'!$D2204,"")</f>
        <v/>
      </c>
      <c r="V2222">
        <f>IF(ISNUMBER(U2222),IF(U2222&gt;$L$6,T2222,""),"")</f>
        <v/>
      </c>
      <c r="W2222">
        <f>IF(AND(ISNUMBER('자료_거시'!$G2204),ISNUMBER('자료_거시'!$H2204)),'자료_거시'!$H2204,"")</f>
        <v/>
      </c>
      <c r="X2222">
        <f>IF(ISNUMBER(W2222),'자료_거시'!$G2204,"")</f>
        <v/>
      </c>
      <c r="Y2222">
        <f>IF(ISNUMBER(X2222),IF(X2222&gt;$L$7,W2222,""),"")</f>
        <v/>
      </c>
      <c r="Z2222">
        <f>IF(ISNUMBER('자료_거시'!$K2204),'자료_거시'!$K2204,Z2221)</f>
        <v/>
      </c>
      <c r="AA2222">
        <f>IF(AND(ISNUMBER('자료_거시'!$J2204),ISNUMBER('자료_거시'!$K2204)),IFERROR('자료_거시'!$K2204/INDEX($Z$21:$Z$4020,MATCH(EDATE('자료_거시'!$J2204,-'설정'!$B$17),'자료_거시'!$J$3:INDEX('자료_거시'!$J$3:$J$4002,$K$8),1))-1,""),"")</f>
        <v/>
      </c>
      <c r="AB2222">
        <f>IF(ISNUMBER(AA2222),'자료_거시'!$J2204,"")</f>
        <v/>
      </c>
      <c r="AC2222">
        <f>IF(ISNUMBER(AB2222),IF(AB2222&gt;$L$8,AA2222,""),"")</f>
        <v/>
      </c>
    </row>
    <row r="2223">
      <c r="S2223">
        <f>IF(ISNUMBER('자료_거시'!$E2205),'자료_거시'!$E2205,S2222)</f>
        <v/>
      </c>
      <c r="T2223">
        <f>IF(AND(ISNUMBER('자료_거시'!$D2205),ISNUMBER('자료_거시'!$E2205)),IFERROR('자료_거시'!$E2205-INDEX($S$21:$S$4020,MATCH(EDATE('자료_거시'!$D2205,-'설정'!$B$17),'자료_거시'!$D$3:INDEX('자료_거시'!$D$3:$D$4002,$K$6),1)),""),"")</f>
        <v/>
      </c>
      <c r="U2223">
        <f>IF(ISNUMBER(T2223),'자료_거시'!$D2205,"")</f>
        <v/>
      </c>
      <c r="V2223">
        <f>IF(ISNUMBER(U2223),IF(U2223&gt;$L$6,T2223,""),"")</f>
        <v/>
      </c>
      <c r="W2223">
        <f>IF(AND(ISNUMBER('자료_거시'!$G2205),ISNUMBER('자료_거시'!$H2205)),'자료_거시'!$H2205,"")</f>
        <v/>
      </c>
      <c r="X2223">
        <f>IF(ISNUMBER(W2223),'자료_거시'!$G2205,"")</f>
        <v/>
      </c>
      <c r="Y2223">
        <f>IF(ISNUMBER(X2223),IF(X2223&gt;$L$7,W2223,""),"")</f>
        <v/>
      </c>
      <c r="Z2223">
        <f>IF(ISNUMBER('자료_거시'!$K2205),'자료_거시'!$K2205,Z2222)</f>
        <v/>
      </c>
      <c r="AA2223">
        <f>IF(AND(ISNUMBER('자료_거시'!$J2205),ISNUMBER('자료_거시'!$K2205)),IFERROR('자료_거시'!$K2205/INDEX($Z$21:$Z$4020,MATCH(EDATE('자료_거시'!$J2205,-'설정'!$B$17),'자료_거시'!$J$3:INDEX('자료_거시'!$J$3:$J$4002,$K$8),1))-1,""),"")</f>
        <v/>
      </c>
      <c r="AB2223">
        <f>IF(ISNUMBER(AA2223),'자료_거시'!$J2205,"")</f>
        <v/>
      </c>
      <c r="AC2223">
        <f>IF(ISNUMBER(AB2223),IF(AB2223&gt;$L$8,AA2223,""),"")</f>
        <v/>
      </c>
    </row>
    <row r="2224">
      <c r="S2224">
        <f>IF(ISNUMBER('자료_거시'!$E2206),'자료_거시'!$E2206,S2223)</f>
        <v/>
      </c>
      <c r="T2224">
        <f>IF(AND(ISNUMBER('자료_거시'!$D2206),ISNUMBER('자료_거시'!$E2206)),IFERROR('자료_거시'!$E2206-INDEX($S$21:$S$4020,MATCH(EDATE('자료_거시'!$D2206,-'설정'!$B$17),'자료_거시'!$D$3:INDEX('자료_거시'!$D$3:$D$4002,$K$6),1)),""),"")</f>
        <v/>
      </c>
      <c r="U2224">
        <f>IF(ISNUMBER(T2224),'자료_거시'!$D2206,"")</f>
        <v/>
      </c>
      <c r="V2224">
        <f>IF(ISNUMBER(U2224),IF(U2224&gt;$L$6,T2224,""),"")</f>
        <v/>
      </c>
      <c r="W2224">
        <f>IF(AND(ISNUMBER('자료_거시'!$G2206),ISNUMBER('자료_거시'!$H2206)),'자료_거시'!$H2206,"")</f>
        <v/>
      </c>
      <c r="X2224">
        <f>IF(ISNUMBER(W2224),'자료_거시'!$G2206,"")</f>
        <v/>
      </c>
      <c r="Y2224">
        <f>IF(ISNUMBER(X2224),IF(X2224&gt;$L$7,W2224,""),"")</f>
        <v/>
      </c>
      <c r="Z2224">
        <f>IF(ISNUMBER('자료_거시'!$K2206),'자료_거시'!$K2206,Z2223)</f>
        <v/>
      </c>
      <c r="AA2224">
        <f>IF(AND(ISNUMBER('자료_거시'!$J2206),ISNUMBER('자료_거시'!$K2206)),IFERROR('자료_거시'!$K2206/INDEX($Z$21:$Z$4020,MATCH(EDATE('자료_거시'!$J2206,-'설정'!$B$17),'자료_거시'!$J$3:INDEX('자료_거시'!$J$3:$J$4002,$K$8),1))-1,""),"")</f>
        <v/>
      </c>
      <c r="AB2224">
        <f>IF(ISNUMBER(AA2224),'자료_거시'!$J2206,"")</f>
        <v/>
      </c>
      <c r="AC2224">
        <f>IF(ISNUMBER(AB2224),IF(AB2224&gt;$L$8,AA2224,""),"")</f>
        <v/>
      </c>
    </row>
    <row r="2225">
      <c r="S2225">
        <f>IF(ISNUMBER('자료_거시'!$E2207),'자료_거시'!$E2207,S2224)</f>
        <v/>
      </c>
      <c r="T2225">
        <f>IF(AND(ISNUMBER('자료_거시'!$D2207),ISNUMBER('자료_거시'!$E2207)),IFERROR('자료_거시'!$E2207-INDEX($S$21:$S$4020,MATCH(EDATE('자료_거시'!$D2207,-'설정'!$B$17),'자료_거시'!$D$3:INDEX('자료_거시'!$D$3:$D$4002,$K$6),1)),""),"")</f>
        <v/>
      </c>
      <c r="U2225">
        <f>IF(ISNUMBER(T2225),'자료_거시'!$D2207,"")</f>
        <v/>
      </c>
      <c r="V2225">
        <f>IF(ISNUMBER(U2225),IF(U2225&gt;$L$6,T2225,""),"")</f>
        <v/>
      </c>
      <c r="W2225">
        <f>IF(AND(ISNUMBER('자료_거시'!$G2207),ISNUMBER('자료_거시'!$H2207)),'자료_거시'!$H2207,"")</f>
        <v/>
      </c>
      <c r="X2225">
        <f>IF(ISNUMBER(W2225),'자료_거시'!$G2207,"")</f>
        <v/>
      </c>
      <c r="Y2225">
        <f>IF(ISNUMBER(X2225),IF(X2225&gt;$L$7,W2225,""),"")</f>
        <v/>
      </c>
      <c r="Z2225">
        <f>IF(ISNUMBER('자료_거시'!$K2207),'자료_거시'!$K2207,Z2224)</f>
        <v/>
      </c>
      <c r="AA2225">
        <f>IF(AND(ISNUMBER('자료_거시'!$J2207),ISNUMBER('자료_거시'!$K2207)),IFERROR('자료_거시'!$K2207/INDEX($Z$21:$Z$4020,MATCH(EDATE('자료_거시'!$J2207,-'설정'!$B$17),'자료_거시'!$J$3:INDEX('자료_거시'!$J$3:$J$4002,$K$8),1))-1,""),"")</f>
        <v/>
      </c>
      <c r="AB2225">
        <f>IF(ISNUMBER(AA2225),'자료_거시'!$J2207,"")</f>
        <v/>
      </c>
      <c r="AC2225">
        <f>IF(ISNUMBER(AB2225),IF(AB2225&gt;$L$8,AA2225,""),"")</f>
        <v/>
      </c>
    </row>
    <row r="2226">
      <c r="S2226">
        <f>IF(ISNUMBER('자료_거시'!$E2208),'자료_거시'!$E2208,S2225)</f>
        <v/>
      </c>
      <c r="T2226">
        <f>IF(AND(ISNUMBER('자료_거시'!$D2208),ISNUMBER('자료_거시'!$E2208)),IFERROR('자료_거시'!$E2208-INDEX($S$21:$S$4020,MATCH(EDATE('자료_거시'!$D2208,-'설정'!$B$17),'자료_거시'!$D$3:INDEX('자료_거시'!$D$3:$D$4002,$K$6),1)),""),"")</f>
        <v/>
      </c>
      <c r="U2226">
        <f>IF(ISNUMBER(T2226),'자료_거시'!$D2208,"")</f>
        <v/>
      </c>
      <c r="V2226">
        <f>IF(ISNUMBER(U2226),IF(U2226&gt;$L$6,T2226,""),"")</f>
        <v/>
      </c>
      <c r="W2226">
        <f>IF(AND(ISNUMBER('자료_거시'!$G2208),ISNUMBER('자료_거시'!$H2208)),'자료_거시'!$H2208,"")</f>
        <v/>
      </c>
      <c r="X2226">
        <f>IF(ISNUMBER(W2226),'자료_거시'!$G2208,"")</f>
        <v/>
      </c>
      <c r="Y2226">
        <f>IF(ISNUMBER(X2226),IF(X2226&gt;$L$7,W2226,""),"")</f>
        <v/>
      </c>
      <c r="Z2226">
        <f>IF(ISNUMBER('자료_거시'!$K2208),'자료_거시'!$K2208,Z2225)</f>
        <v/>
      </c>
      <c r="AA2226">
        <f>IF(AND(ISNUMBER('자료_거시'!$J2208),ISNUMBER('자료_거시'!$K2208)),IFERROR('자료_거시'!$K2208/INDEX($Z$21:$Z$4020,MATCH(EDATE('자료_거시'!$J2208,-'설정'!$B$17),'자료_거시'!$J$3:INDEX('자료_거시'!$J$3:$J$4002,$K$8),1))-1,""),"")</f>
        <v/>
      </c>
      <c r="AB2226">
        <f>IF(ISNUMBER(AA2226),'자료_거시'!$J2208,"")</f>
        <v/>
      </c>
      <c r="AC2226">
        <f>IF(ISNUMBER(AB2226),IF(AB2226&gt;$L$8,AA2226,""),"")</f>
        <v/>
      </c>
    </row>
    <row r="2227">
      <c r="S2227">
        <f>IF(ISNUMBER('자료_거시'!$E2209),'자료_거시'!$E2209,S2226)</f>
        <v/>
      </c>
      <c r="T2227">
        <f>IF(AND(ISNUMBER('자료_거시'!$D2209),ISNUMBER('자료_거시'!$E2209)),IFERROR('자료_거시'!$E2209-INDEX($S$21:$S$4020,MATCH(EDATE('자료_거시'!$D2209,-'설정'!$B$17),'자료_거시'!$D$3:INDEX('자료_거시'!$D$3:$D$4002,$K$6),1)),""),"")</f>
        <v/>
      </c>
      <c r="U2227">
        <f>IF(ISNUMBER(T2227),'자료_거시'!$D2209,"")</f>
        <v/>
      </c>
      <c r="V2227">
        <f>IF(ISNUMBER(U2227),IF(U2227&gt;$L$6,T2227,""),"")</f>
        <v/>
      </c>
      <c r="W2227">
        <f>IF(AND(ISNUMBER('자료_거시'!$G2209),ISNUMBER('자료_거시'!$H2209)),'자료_거시'!$H2209,"")</f>
        <v/>
      </c>
      <c r="X2227">
        <f>IF(ISNUMBER(W2227),'자료_거시'!$G2209,"")</f>
        <v/>
      </c>
      <c r="Y2227">
        <f>IF(ISNUMBER(X2227),IF(X2227&gt;$L$7,W2227,""),"")</f>
        <v/>
      </c>
      <c r="Z2227">
        <f>IF(ISNUMBER('자료_거시'!$K2209),'자료_거시'!$K2209,Z2226)</f>
        <v/>
      </c>
      <c r="AA2227">
        <f>IF(AND(ISNUMBER('자료_거시'!$J2209),ISNUMBER('자료_거시'!$K2209)),IFERROR('자료_거시'!$K2209/INDEX($Z$21:$Z$4020,MATCH(EDATE('자료_거시'!$J2209,-'설정'!$B$17),'자료_거시'!$J$3:INDEX('자료_거시'!$J$3:$J$4002,$K$8),1))-1,""),"")</f>
        <v/>
      </c>
      <c r="AB2227">
        <f>IF(ISNUMBER(AA2227),'자료_거시'!$J2209,"")</f>
        <v/>
      </c>
      <c r="AC2227">
        <f>IF(ISNUMBER(AB2227),IF(AB2227&gt;$L$8,AA2227,""),"")</f>
        <v/>
      </c>
    </row>
    <row r="2228">
      <c r="S2228">
        <f>IF(ISNUMBER('자료_거시'!$E2210),'자료_거시'!$E2210,S2227)</f>
        <v/>
      </c>
      <c r="T2228">
        <f>IF(AND(ISNUMBER('자료_거시'!$D2210),ISNUMBER('자료_거시'!$E2210)),IFERROR('자료_거시'!$E2210-INDEX($S$21:$S$4020,MATCH(EDATE('자료_거시'!$D2210,-'설정'!$B$17),'자료_거시'!$D$3:INDEX('자료_거시'!$D$3:$D$4002,$K$6),1)),""),"")</f>
        <v/>
      </c>
      <c r="U2228">
        <f>IF(ISNUMBER(T2228),'자료_거시'!$D2210,"")</f>
        <v/>
      </c>
      <c r="V2228">
        <f>IF(ISNUMBER(U2228),IF(U2228&gt;$L$6,T2228,""),"")</f>
        <v/>
      </c>
      <c r="W2228">
        <f>IF(AND(ISNUMBER('자료_거시'!$G2210),ISNUMBER('자료_거시'!$H2210)),'자료_거시'!$H2210,"")</f>
        <v/>
      </c>
      <c r="X2228">
        <f>IF(ISNUMBER(W2228),'자료_거시'!$G2210,"")</f>
        <v/>
      </c>
      <c r="Y2228">
        <f>IF(ISNUMBER(X2228),IF(X2228&gt;$L$7,W2228,""),"")</f>
        <v/>
      </c>
      <c r="Z2228">
        <f>IF(ISNUMBER('자료_거시'!$K2210),'자료_거시'!$K2210,Z2227)</f>
        <v/>
      </c>
      <c r="AA2228">
        <f>IF(AND(ISNUMBER('자료_거시'!$J2210),ISNUMBER('자료_거시'!$K2210)),IFERROR('자료_거시'!$K2210/INDEX($Z$21:$Z$4020,MATCH(EDATE('자료_거시'!$J2210,-'설정'!$B$17),'자료_거시'!$J$3:INDEX('자료_거시'!$J$3:$J$4002,$K$8),1))-1,""),"")</f>
        <v/>
      </c>
      <c r="AB2228">
        <f>IF(ISNUMBER(AA2228),'자료_거시'!$J2210,"")</f>
        <v/>
      </c>
      <c r="AC2228">
        <f>IF(ISNUMBER(AB2228),IF(AB2228&gt;$L$8,AA2228,""),"")</f>
        <v/>
      </c>
    </row>
    <row r="2229">
      <c r="S2229">
        <f>IF(ISNUMBER('자료_거시'!$E2211),'자료_거시'!$E2211,S2228)</f>
        <v/>
      </c>
      <c r="T2229">
        <f>IF(AND(ISNUMBER('자료_거시'!$D2211),ISNUMBER('자료_거시'!$E2211)),IFERROR('자료_거시'!$E2211-INDEX($S$21:$S$4020,MATCH(EDATE('자료_거시'!$D2211,-'설정'!$B$17),'자료_거시'!$D$3:INDEX('자료_거시'!$D$3:$D$4002,$K$6),1)),""),"")</f>
        <v/>
      </c>
      <c r="U2229">
        <f>IF(ISNUMBER(T2229),'자료_거시'!$D2211,"")</f>
        <v/>
      </c>
      <c r="V2229">
        <f>IF(ISNUMBER(U2229),IF(U2229&gt;$L$6,T2229,""),"")</f>
        <v/>
      </c>
      <c r="W2229">
        <f>IF(AND(ISNUMBER('자료_거시'!$G2211),ISNUMBER('자료_거시'!$H2211)),'자료_거시'!$H2211,"")</f>
        <v/>
      </c>
      <c r="X2229">
        <f>IF(ISNUMBER(W2229),'자료_거시'!$G2211,"")</f>
        <v/>
      </c>
      <c r="Y2229">
        <f>IF(ISNUMBER(X2229),IF(X2229&gt;$L$7,W2229,""),"")</f>
        <v/>
      </c>
      <c r="Z2229">
        <f>IF(ISNUMBER('자료_거시'!$K2211),'자료_거시'!$K2211,Z2228)</f>
        <v/>
      </c>
      <c r="AA2229">
        <f>IF(AND(ISNUMBER('자료_거시'!$J2211),ISNUMBER('자료_거시'!$K2211)),IFERROR('자료_거시'!$K2211/INDEX($Z$21:$Z$4020,MATCH(EDATE('자료_거시'!$J2211,-'설정'!$B$17),'자료_거시'!$J$3:INDEX('자료_거시'!$J$3:$J$4002,$K$8),1))-1,""),"")</f>
        <v/>
      </c>
      <c r="AB2229">
        <f>IF(ISNUMBER(AA2229),'자료_거시'!$J2211,"")</f>
        <v/>
      </c>
      <c r="AC2229">
        <f>IF(ISNUMBER(AB2229),IF(AB2229&gt;$L$8,AA2229,""),"")</f>
        <v/>
      </c>
    </row>
    <row r="2230">
      <c r="S2230">
        <f>IF(ISNUMBER('자료_거시'!$E2212),'자료_거시'!$E2212,S2229)</f>
        <v/>
      </c>
      <c r="T2230">
        <f>IF(AND(ISNUMBER('자료_거시'!$D2212),ISNUMBER('자료_거시'!$E2212)),IFERROR('자료_거시'!$E2212-INDEX($S$21:$S$4020,MATCH(EDATE('자료_거시'!$D2212,-'설정'!$B$17),'자료_거시'!$D$3:INDEX('자료_거시'!$D$3:$D$4002,$K$6),1)),""),"")</f>
        <v/>
      </c>
      <c r="U2230">
        <f>IF(ISNUMBER(T2230),'자료_거시'!$D2212,"")</f>
        <v/>
      </c>
      <c r="V2230">
        <f>IF(ISNUMBER(U2230),IF(U2230&gt;$L$6,T2230,""),"")</f>
        <v/>
      </c>
      <c r="W2230">
        <f>IF(AND(ISNUMBER('자료_거시'!$G2212),ISNUMBER('자료_거시'!$H2212)),'자료_거시'!$H2212,"")</f>
        <v/>
      </c>
      <c r="X2230">
        <f>IF(ISNUMBER(W2230),'자료_거시'!$G2212,"")</f>
        <v/>
      </c>
      <c r="Y2230">
        <f>IF(ISNUMBER(X2230),IF(X2230&gt;$L$7,W2230,""),"")</f>
        <v/>
      </c>
      <c r="Z2230">
        <f>IF(ISNUMBER('자료_거시'!$K2212),'자료_거시'!$K2212,Z2229)</f>
        <v/>
      </c>
      <c r="AA2230">
        <f>IF(AND(ISNUMBER('자료_거시'!$J2212),ISNUMBER('자료_거시'!$K2212)),IFERROR('자료_거시'!$K2212/INDEX($Z$21:$Z$4020,MATCH(EDATE('자료_거시'!$J2212,-'설정'!$B$17),'자료_거시'!$J$3:INDEX('자료_거시'!$J$3:$J$4002,$K$8),1))-1,""),"")</f>
        <v/>
      </c>
      <c r="AB2230">
        <f>IF(ISNUMBER(AA2230),'자료_거시'!$J2212,"")</f>
        <v/>
      </c>
      <c r="AC2230">
        <f>IF(ISNUMBER(AB2230),IF(AB2230&gt;$L$8,AA2230,""),"")</f>
        <v/>
      </c>
    </row>
    <row r="2231">
      <c r="S2231">
        <f>IF(ISNUMBER('자료_거시'!$E2213),'자료_거시'!$E2213,S2230)</f>
        <v/>
      </c>
      <c r="T2231">
        <f>IF(AND(ISNUMBER('자료_거시'!$D2213),ISNUMBER('자료_거시'!$E2213)),IFERROR('자료_거시'!$E2213-INDEX($S$21:$S$4020,MATCH(EDATE('자료_거시'!$D2213,-'설정'!$B$17),'자료_거시'!$D$3:INDEX('자료_거시'!$D$3:$D$4002,$K$6),1)),""),"")</f>
        <v/>
      </c>
      <c r="U2231">
        <f>IF(ISNUMBER(T2231),'자료_거시'!$D2213,"")</f>
        <v/>
      </c>
      <c r="V2231">
        <f>IF(ISNUMBER(U2231),IF(U2231&gt;$L$6,T2231,""),"")</f>
        <v/>
      </c>
      <c r="W2231">
        <f>IF(AND(ISNUMBER('자료_거시'!$G2213),ISNUMBER('자료_거시'!$H2213)),'자료_거시'!$H2213,"")</f>
        <v/>
      </c>
      <c r="X2231">
        <f>IF(ISNUMBER(W2231),'자료_거시'!$G2213,"")</f>
        <v/>
      </c>
      <c r="Y2231">
        <f>IF(ISNUMBER(X2231),IF(X2231&gt;$L$7,W2231,""),"")</f>
        <v/>
      </c>
      <c r="Z2231">
        <f>IF(ISNUMBER('자료_거시'!$K2213),'자료_거시'!$K2213,Z2230)</f>
        <v/>
      </c>
      <c r="AA2231">
        <f>IF(AND(ISNUMBER('자료_거시'!$J2213),ISNUMBER('자료_거시'!$K2213)),IFERROR('자료_거시'!$K2213/INDEX($Z$21:$Z$4020,MATCH(EDATE('자료_거시'!$J2213,-'설정'!$B$17),'자료_거시'!$J$3:INDEX('자료_거시'!$J$3:$J$4002,$K$8),1))-1,""),"")</f>
        <v/>
      </c>
      <c r="AB2231">
        <f>IF(ISNUMBER(AA2231),'자료_거시'!$J2213,"")</f>
        <v/>
      </c>
      <c r="AC2231">
        <f>IF(ISNUMBER(AB2231),IF(AB2231&gt;$L$8,AA2231,""),"")</f>
        <v/>
      </c>
    </row>
    <row r="2232">
      <c r="S2232">
        <f>IF(ISNUMBER('자료_거시'!$E2214),'자료_거시'!$E2214,S2231)</f>
        <v/>
      </c>
      <c r="T2232">
        <f>IF(AND(ISNUMBER('자료_거시'!$D2214),ISNUMBER('자료_거시'!$E2214)),IFERROR('자료_거시'!$E2214-INDEX($S$21:$S$4020,MATCH(EDATE('자료_거시'!$D2214,-'설정'!$B$17),'자료_거시'!$D$3:INDEX('자료_거시'!$D$3:$D$4002,$K$6),1)),""),"")</f>
        <v/>
      </c>
      <c r="U2232">
        <f>IF(ISNUMBER(T2232),'자료_거시'!$D2214,"")</f>
        <v/>
      </c>
      <c r="V2232">
        <f>IF(ISNUMBER(U2232),IF(U2232&gt;$L$6,T2232,""),"")</f>
        <v/>
      </c>
      <c r="W2232">
        <f>IF(AND(ISNUMBER('자료_거시'!$G2214),ISNUMBER('자료_거시'!$H2214)),'자료_거시'!$H2214,"")</f>
        <v/>
      </c>
      <c r="X2232">
        <f>IF(ISNUMBER(W2232),'자료_거시'!$G2214,"")</f>
        <v/>
      </c>
      <c r="Y2232">
        <f>IF(ISNUMBER(X2232),IF(X2232&gt;$L$7,W2232,""),"")</f>
        <v/>
      </c>
      <c r="Z2232">
        <f>IF(ISNUMBER('자료_거시'!$K2214),'자료_거시'!$K2214,Z2231)</f>
        <v/>
      </c>
      <c r="AA2232">
        <f>IF(AND(ISNUMBER('자료_거시'!$J2214),ISNUMBER('자료_거시'!$K2214)),IFERROR('자료_거시'!$K2214/INDEX($Z$21:$Z$4020,MATCH(EDATE('자료_거시'!$J2214,-'설정'!$B$17),'자료_거시'!$J$3:INDEX('자료_거시'!$J$3:$J$4002,$K$8),1))-1,""),"")</f>
        <v/>
      </c>
      <c r="AB2232">
        <f>IF(ISNUMBER(AA2232),'자료_거시'!$J2214,"")</f>
        <v/>
      </c>
      <c r="AC2232">
        <f>IF(ISNUMBER(AB2232),IF(AB2232&gt;$L$8,AA2232,""),"")</f>
        <v/>
      </c>
    </row>
    <row r="2233">
      <c r="S2233">
        <f>IF(ISNUMBER('자료_거시'!$E2215),'자료_거시'!$E2215,S2232)</f>
        <v/>
      </c>
      <c r="T2233">
        <f>IF(AND(ISNUMBER('자료_거시'!$D2215),ISNUMBER('자료_거시'!$E2215)),IFERROR('자료_거시'!$E2215-INDEX($S$21:$S$4020,MATCH(EDATE('자료_거시'!$D2215,-'설정'!$B$17),'자료_거시'!$D$3:INDEX('자료_거시'!$D$3:$D$4002,$K$6),1)),""),"")</f>
        <v/>
      </c>
      <c r="U2233">
        <f>IF(ISNUMBER(T2233),'자료_거시'!$D2215,"")</f>
        <v/>
      </c>
      <c r="V2233">
        <f>IF(ISNUMBER(U2233),IF(U2233&gt;$L$6,T2233,""),"")</f>
        <v/>
      </c>
      <c r="W2233">
        <f>IF(AND(ISNUMBER('자료_거시'!$G2215),ISNUMBER('자료_거시'!$H2215)),'자료_거시'!$H2215,"")</f>
        <v/>
      </c>
      <c r="X2233">
        <f>IF(ISNUMBER(W2233),'자료_거시'!$G2215,"")</f>
        <v/>
      </c>
      <c r="Y2233">
        <f>IF(ISNUMBER(X2233),IF(X2233&gt;$L$7,W2233,""),"")</f>
        <v/>
      </c>
      <c r="Z2233">
        <f>IF(ISNUMBER('자료_거시'!$K2215),'자료_거시'!$K2215,Z2232)</f>
        <v/>
      </c>
      <c r="AA2233">
        <f>IF(AND(ISNUMBER('자료_거시'!$J2215),ISNUMBER('자료_거시'!$K2215)),IFERROR('자료_거시'!$K2215/INDEX($Z$21:$Z$4020,MATCH(EDATE('자료_거시'!$J2215,-'설정'!$B$17),'자료_거시'!$J$3:INDEX('자료_거시'!$J$3:$J$4002,$K$8),1))-1,""),"")</f>
        <v/>
      </c>
      <c r="AB2233">
        <f>IF(ISNUMBER(AA2233),'자료_거시'!$J2215,"")</f>
        <v/>
      </c>
      <c r="AC2233">
        <f>IF(ISNUMBER(AB2233),IF(AB2233&gt;$L$8,AA2233,""),"")</f>
        <v/>
      </c>
    </row>
    <row r="2234">
      <c r="S2234">
        <f>IF(ISNUMBER('자료_거시'!$E2216),'자료_거시'!$E2216,S2233)</f>
        <v/>
      </c>
      <c r="T2234">
        <f>IF(AND(ISNUMBER('자료_거시'!$D2216),ISNUMBER('자료_거시'!$E2216)),IFERROR('자료_거시'!$E2216-INDEX($S$21:$S$4020,MATCH(EDATE('자료_거시'!$D2216,-'설정'!$B$17),'자료_거시'!$D$3:INDEX('자료_거시'!$D$3:$D$4002,$K$6),1)),""),"")</f>
        <v/>
      </c>
      <c r="U2234">
        <f>IF(ISNUMBER(T2234),'자료_거시'!$D2216,"")</f>
        <v/>
      </c>
      <c r="V2234">
        <f>IF(ISNUMBER(U2234),IF(U2234&gt;$L$6,T2234,""),"")</f>
        <v/>
      </c>
      <c r="W2234">
        <f>IF(AND(ISNUMBER('자료_거시'!$G2216),ISNUMBER('자료_거시'!$H2216)),'자료_거시'!$H2216,"")</f>
        <v/>
      </c>
      <c r="X2234">
        <f>IF(ISNUMBER(W2234),'자료_거시'!$G2216,"")</f>
        <v/>
      </c>
      <c r="Y2234">
        <f>IF(ISNUMBER(X2234),IF(X2234&gt;$L$7,W2234,""),"")</f>
        <v/>
      </c>
      <c r="Z2234">
        <f>IF(ISNUMBER('자료_거시'!$K2216),'자료_거시'!$K2216,Z2233)</f>
        <v/>
      </c>
      <c r="AA2234">
        <f>IF(AND(ISNUMBER('자료_거시'!$J2216),ISNUMBER('자료_거시'!$K2216)),IFERROR('자료_거시'!$K2216/INDEX($Z$21:$Z$4020,MATCH(EDATE('자료_거시'!$J2216,-'설정'!$B$17),'자료_거시'!$J$3:INDEX('자료_거시'!$J$3:$J$4002,$K$8),1))-1,""),"")</f>
        <v/>
      </c>
      <c r="AB2234">
        <f>IF(ISNUMBER(AA2234),'자료_거시'!$J2216,"")</f>
        <v/>
      </c>
      <c r="AC2234">
        <f>IF(ISNUMBER(AB2234),IF(AB2234&gt;$L$8,AA2234,""),"")</f>
        <v/>
      </c>
    </row>
    <row r="2235">
      <c r="S2235">
        <f>IF(ISNUMBER('자료_거시'!$E2217),'자료_거시'!$E2217,S2234)</f>
        <v/>
      </c>
      <c r="T2235">
        <f>IF(AND(ISNUMBER('자료_거시'!$D2217),ISNUMBER('자료_거시'!$E2217)),IFERROR('자료_거시'!$E2217-INDEX($S$21:$S$4020,MATCH(EDATE('자료_거시'!$D2217,-'설정'!$B$17),'자료_거시'!$D$3:INDEX('자료_거시'!$D$3:$D$4002,$K$6),1)),""),"")</f>
        <v/>
      </c>
      <c r="U2235">
        <f>IF(ISNUMBER(T2235),'자료_거시'!$D2217,"")</f>
        <v/>
      </c>
      <c r="V2235">
        <f>IF(ISNUMBER(U2235),IF(U2235&gt;$L$6,T2235,""),"")</f>
        <v/>
      </c>
      <c r="W2235">
        <f>IF(AND(ISNUMBER('자료_거시'!$G2217),ISNUMBER('자료_거시'!$H2217)),'자료_거시'!$H2217,"")</f>
        <v/>
      </c>
      <c r="X2235">
        <f>IF(ISNUMBER(W2235),'자료_거시'!$G2217,"")</f>
        <v/>
      </c>
      <c r="Y2235">
        <f>IF(ISNUMBER(X2235),IF(X2235&gt;$L$7,W2235,""),"")</f>
        <v/>
      </c>
      <c r="Z2235">
        <f>IF(ISNUMBER('자료_거시'!$K2217),'자료_거시'!$K2217,Z2234)</f>
        <v/>
      </c>
      <c r="AA2235">
        <f>IF(AND(ISNUMBER('자료_거시'!$J2217),ISNUMBER('자료_거시'!$K2217)),IFERROR('자료_거시'!$K2217/INDEX($Z$21:$Z$4020,MATCH(EDATE('자료_거시'!$J2217,-'설정'!$B$17),'자료_거시'!$J$3:INDEX('자료_거시'!$J$3:$J$4002,$K$8),1))-1,""),"")</f>
        <v/>
      </c>
      <c r="AB2235">
        <f>IF(ISNUMBER(AA2235),'자료_거시'!$J2217,"")</f>
        <v/>
      </c>
      <c r="AC2235">
        <f>IF(ISNUMBER(AB2235),IF(AB2235&gt;$L$8,AA2235,""),"")</f>
        <v/>
      </c>
    </row>
    <row r="2236">
      <c r="S2236">
        <f>IF(ISNUMBER('자료_거시'!$E2218),'자료_거시'!$E2218,S2235)</f>
        <v/>
      </c>
      <c r="T2236">
        <f>IF(AND(ISNUMBER('자료_거시'!$D2218),ISNUMBER('자료_거시'!$E2218)),IFERROR('자료_거시'!$E2218-INDEX($S$21:$S$4020,MATCH(EDATE('자료_거시'!$D2218,-'설정'!$B$17),'자료_거시'!$D$3:INDEX('자료_거시'!$D$3:$D$4002,$K$6),1)),""),"")</f>
        <v/>
      </c>
      <c r="U2236">
        <f>IF(ISNUMBER(T2236),'자료_거시'!$D2218,"")</f>
        <v/>
      </c>
      <c r="V2236">
        <f>IF(ISNUMBER(U2236),IF(U2236&gt;$L$6,T2236,""),"")</f>
        <v/>
      </c>
      <c r="W2236">
        <f>IF(AND(ISNUMBER('자료_거시'!$G2218),ISNUMBER('자료_거시'!$H2218)),'자료_거시'!$H2218,"")</f>
        <v/>
      </c>
      <c r="X2236">
        <f>IF(ISNUMBER(W2236),'자료_거시'!$G2218,"")</f>
        <v/>
      </c>
      <c r="Y2236">
        <f>IF(ISNUMBER(X2236),IF(X2236&gt;$L$7,W2236,""),"")</f>
        <v/>
      </c>
      <c r="Z2236">
        <f>IF(ISNUMBER('자료_거시'!$K2218),'자료_거시'!$K2218,Z2235)</f>
        <v/>
      </c>
      <c r="AA2236">
        <f>IF(AND(ISNUMBER('자료_거시'!$J2218),ISNUMBER('자료_거시'!$K2218)),IFERROR('자료_거시'!$K2218/INDEX($Z$21:$Z$4020,MATCH(EDATE('자료_거시'!$J2218,-'설정'!$B$17),'자료_거시'!$J$3:INDEX('자료_거시'!$J$3:$J$4002,$K$8),1))-1,""),"")</f>
        <v/>
      </c>
      <c r="AB2236">
        <f>IF(ISNUMBER(AA2236),'자료_거시'!$J2218,"")</f>
        <v/>
      </c>
      <c r="AC2236">
        <f>IF(ISNUMBER(AB2236),IF(AB2236&gt;$L$8,AA2236,""),"")</f>
        <v/>
      </c>
    </row>
    <row r="2237">
      <c r="S2237">
        <f>IF(ISNUMBER('자료_거시'!$E2219),'자료_거시'!$E2219,S2236)</f>
        <v/>
      </c>
      <c r="T2237">
        <f>IF(AND(ISNUMBER('자료_거시'!$D2219),ISNUMBER('자료_거시'!$E2219)),IFERROR('자료_거시'!$E2219-INDEX($S$21:$S$4020,MATCH(EDATE('자료_거시'!$D2219,-'설정'!$B$17),'자료_거시'!$D$3:INDEX('자료_거시'!$D$3:$D$4002,$K$6),1)),""),"")</f>
        <v/>
      </c>
      <c r="U2237">
        <f>IF(ISNUMBER(T2237),'자료_거시'!$D2219,"")</f>
        <v/>
      </c>
      <c r="V2237">
        <f>IF(ISNUMBER(U2237),IF(U2237&gt;$L$6,T2237,""),"")</f>
        <v/>
      </c>
      <c r="W2237">
        <f>IF(AND(ISNUMBER('자료_거시'!$G2219),ISNUMBER('자료_거시'!$H2219)),'자료_거시'!$H2219,"")</f>
        <v/>
      </c>
      <c r="X2237">
        <f>IF(ISNUMBER(W2237),'자료_거시'!$G2219,"")</f>
        <v/>
      </c>
      <c r="Y2237">
        <f>IF(ISNUMBER(X2237),IF(X2237&gt;$L$7,W2237,""),"")</f>
        <v/>
      </c>
      <c r="Z2237">
        <f>IF(ISNUMBER('자료_거시'!$K2219),'자료_거시'!$K2219,Z2236)</f>
        <v/>
      </c>
      <c r="AA2237">
        <f>IF(AND(ISNUMBER('자료_거시'!$J2219),ISNUMBER('자료_거시'!$K2219)),IFERROR('자료_거시'!$K2219/INDEX($Z$21:$Z$4020,MATCH(EDATE('자료_거시'!$J2219,-'설정'!$B$17),'자료_거시'!$J$3:INDEX('자료_거시'!$J$3:$J$4002,$K$8),1))-1,""),"")</f>
        <v/>
      </c>
      <c r="AB2237">
        <f>IF(ISNUMBER(AA2237),'자료_거시'!$J2219,"")</f>
        <v/>
      </c>
      <c r="AC2237">
        <f>IF(ISNUMBER(AB2237),IF(AB2237&gt;$L$8,AA2237,""),"")</f>
        <v/>
      </c>
    </row>
    <row r="2238">
      <c r="S2238">
        <f>IF(ISNUMBER('자료_거시'!$E2220),'자료_거시'!$E2220,S2237)</f>
        <v/>
      </c>
      <c r="T2238">
        <f>IF(AND(ISNUMBER('자료_거시'!$D2220),ISNUMBER('자료_거시'!$E2220)),IFERROR('자료_거시'!$E2220-INDEX($S$21:$S$4020,MATCH(EDATE('자료_거시'!$D2220,-'설정'!$B$17),'자료_거시'!$D$3:INDEX('자료_거시'!$D$3:$D$4002,$K$6),1)),""),"")</f>
        <v/>
      </c>
      <c r="U2238">
        <f>IF(ISNUMBER(T2238),'자료_거시'!$D2220,"")</f>
        <v/>
      </c>
      <c r="V2238">
        <f>IF(ISNUMBER(U2238),IF(U2238&gt;$L$6,T2238,""),"")</f>
        <v/>
      </c>
      <c r="W2238">
        <f>IF(AND(ISNUMBER('자료_거시'!$G2220),ISNUMBER('자료_거시'!$H2220)),'자료_거시'!$H2220,"")</f>
        <v/>
      </c>
      <c r="X2238">
        <f>IF(ISNUMBER(W2238),'자료_거시'!$G2220,"")</f>
        <v/>
      </c>
      <c r="Y2238">
        <f>IF(ISNUMBER(X2238),IF(X2238&gt;$L$7,W2238,""),"")</f>
        <v/>
      </c>
      <c r="Z2238">
        <f>IF(ISNUMBER('자료_거시'!$K2220),'자료_거시'!$K2220,Z2237)</f>
        <v/>
      </c>
      <c r="AA2238">
        <f>IF(AND(ISNUMBER('자료_거시'!$J2220),ISNUMBER('자료_거시'!$K2220)),IFERROR('자료_거시'!$K2220/INDEX($Z$21:$Z$4020,MATCH(EDATE('자료_거시'!$J2220,-'설정'!$B$17),'자료_거시'!$J$3:INDEX('자료_거시'!$J$3:$J$4002,$K$8),1))-1,""),"")</f>
        <v/>
      </c>
      <c r="AB2238">
        <f>IF(ISNUMBER(AA2238),'자료_거시'!$J2220,"")</f>
        <v/>
      </c>
      <c r="AC2238">
        <f>IF(ISNUMBER(AB2238),IF(AB2238&gt;$L$8,AA2238,""),"")</f>
        <v/>
      </c>
    </row>
    <row r="2239">
      <c r="S2239">
        <f>IF(ISNUMBER('자료_거시'!$E2221),'자료_거시'!$E2221,S2238)</f>
        <v/>
      </c>
      <c r="T2239">
        <f>IF(AND(ISNUMBER('자료_거시'!$D2221),ISNUMBER('자료_거시'!$E2221)),IFERROR('자료_거시'!$E2221-INDEX($S$21:$S$4020,MATCH(EDATE('자료_거시'!$D2221,-'설정'!$B$17),'자료_거시'!$D$3:INDEX('자료_거시'!$D$3:$D$4002,$K$6),1)),""),"")</f>
        <v/>
      </c>
      <c r="U2239">
        <f>IF(ISNUMBER(T2239),'자료_거시'!$D2221,"")</f>
        <v/>
      </c>
      <c r="V2239">
        <f>IF(ISNUMBER(U2239),IF(U2239&gt;$L$6,T2239,""),"")</f>
        <v/>
      </c>
      <c r="W2239">
        <f>IF(AND(ISNUMBER('자료_거시'!$G2221),ISNUMBER('자료_거시'!$H2221)),'자료_거시'!$H2221,"")</f>
        <v/>
      </c>
      <c r="X2239">
        <f>IF(ISNUMBER(W2239),'자료_거시'!$G2221,"")</f>
        <v/>
      </c>
      <c r="Y2239">
        <f>IF(ISNUMBER(X2239),IF(X2239&gt;$L$7,W2239,""),"")</f>
        <v/>
      </c>
      <c r="Z2239">
        <f>IF(ISNUMBER('자료_거시'!$K2221),'자료_거시'!$K2221,Z2238)</f>
        <v/>
      </c>
      <c r="AA2239">
        <f>IF(AND(ISNUMBER('자료_거시'!$J2221),ISNUMBER('자료_거시'!$K2221)),IFERROR('자료_거시'!$K2221/INDEX($Z$21:$Z$4020,MATCH(EDATE('자료_거시'!$J2221,-'설정'!$B$17),'자료_거시'!$J$3:INDEX('자료_거시'!$J$3:$J$4002,$K$8),1))-1,""),"")</f>
        <v/>
      </c>
      <c r="AB2239">
        <f>IF(ISNUMBER(AA2239),'자료_거시'!$J2221,"")</f>
        <v/>
      </c>
      <c r="AC2239">
        <f>IF(ISNUMBER(AB2239),IF(AB2239&gt;$L$8,AA2239,""),"")</f>
        <v/>
      </c>
    </row>
    <row r="2240">
      <c r="S2240">
        <f>IF(ISNUMBER('자료_거시'!$E2222),'자료_거시'!$E2222,S2239)</f>
        <v/>
      </c>
      <c r="T2240">
        <f>IF(AND(ISNUMBER('자료_거시'!$D2222),ISNUMBER('자료_거시'!$E2222)),IFERROR('자료_거시'!$E2222-INDEX($S$21:$S$4020,MATCH(EDATE('자료_거시'!$D2222,-'설정'!$B$17),'자료_거시'!$D$3:INDEX('자료_거시'!$D$3:$D$4002,$K$6),1)),""),"")</f>
        <v/>
      </c>
      <c r="U2240">
        <f>IF(ISNUMBER(T2240),'자료_거시'!$D2222,"")</f>
        <v/>
      </c>
      <c r="V2240">
        <f>IF(ISNUMBER(U2240),IF(U2240&gt;$L$6,T2240,""),"")</f>
        <v/>
      </c>
      <c r="W2240">
        <f>IF(AND(ISNUMBER('자료_거시'!$G2222),ISNUMBER('자료_거시'!$H2222)),'자료_거시'!$H2222,"")</f>
        <v/>
      </c>
      <c r="X2240">
        <f>IF(ISNUMBER(W2240),'자료_거시'!$G2222,"")</f>
        <v/>
      </c>
      <c r="Y2240">
        <f>IF(ISNUMBER(X2240),IF(X2240&gt;$L$7,W2240,""),"")</f>
        <v/>
      </c>
      <c r="Z2240">
        <f>IF(ISNUMBER('자료_거시'!$K2222),'자료_거시'!$K2222,Z2239)</f>
        <v/>
      </c>
      <c r="AA2240">
        <f>IF(AND(ISNUMBER('자료_거시'!$J2222),ISNUMBER('자료_거시'!$K2222)),IFERROR('자료_거시'!$K2222/INDEX($Z$21:$Z$4020,MATCH(EDATE('자료_거시'!$J2222,-'설정'!$B$17),'자료_거시'!$J$3:INDEX('자료_거시'!$J$3:$J$4002,$K$8),1))-1,""),"")</f>
        <v/>
      </c>
      <c r="AB2240">
        <f>IF(ISNUMBER(AA2240),'자료_거시'!$J2222,"")</f>
        <v/>
      </c>
      <c r="AC2240">
        <f>IF(ISNUMBER(AB2240),IF(AB2240&gt;$L$8,AA2240,""),"")</f>
        <v/>
      </c>
    </row>
    <row r="2241">
      <c r="S2241">
        <f>IF(ISNUMBER('자료_거시'!$E2223),'자료_거시'!$E2223,S2240)</f>
        <v/>
      </c>
      <c r="T2241">
        <f>IF(AND(ISNUMBER('자료_거시'!$D2223),ISNUMBER('자료_거시'!$E2223)),IFERROR('자료_거시'!$E2223-INDEX($S$21:$S$4020,MATCH(EDATE('자료_거시'!$D2223,-'설정'!$B$17),'자료_거시'!$D$3:INDEX('자료_거시'!$D$3:$D$4002,$K$6),1)),""),"")</f>
        <v/>
      </c>
      <c r="U2241">
        <f>IF(ISNUMBER(T2241),'자료_거시'!$D2223,"")</f>
        <v/>
      </c>
      <c r="V2241">
        <f>IF(ISNUMBER(U2241),IF(U2241&gt;$L$6,T2241,""),"")</f>
        <v/>
      </c>
      <c r="W2241">
        <f>IF(AND(ISNUMBER('자료_거시'!$G2223),ISNUMBER('자료_거시'!$H2223)),'자료_거시'!$H2223,"")</f>
        <v/>
      </c>
      <c r="X2241">
        <f>IF(ISNUMBER(W2241),'자료_거시'!$G2223,"")</f>
        <v/>
      </c>
      <c r="Y2241">
        <f>IF(ISNUMBER(X2241),IF(X2241&gt;$L$7,W2241,""),"")</f>
        <v/>
      </c>
      <c r="Z2241">
        <f>IF(ISNUMBER('자료_거시'!$K2223),'자료_거시'!$K2223,Z2240)</f>
        <v/>
      </c>
      <c r="AA2241">
        <f>IF(AND(ISNUMBER('자료_거시'!$J2223),ISNUMBER('자료_거시'!$K2223)),IFERROR('자료_거시'!$K2223/INDEX($Z$21:$Z$4020,MATCH(EDATE('자료_거시'!$J2223,-'설정'!$B$17),'자료_거시'!$J$3:INDEX('자료_거시'!$J$3:$J$4002,$K$8),1))-1,""),"")</f>
        <v/>
      </c>
      <c r="AB2241">
        <f>IF(ISNUMBER(AA2241),'자료_거시'!$J2223,"")</f>
        <v/>
      </c>
      <c r="AC2241">
        <f>IF(ISNUMBER(AB2241),IF(AB2241&gt;$L$8,AA2241,""),"")</f>
        <v/>
      </c>
    </row>
    <row r="2242">
      <c r="S2242">
        <f>IF(ISNUMBER('자료_거시'!$E2224),'자료_거시'!$E2224,S2241)</f>
        <v/>
      </c>
      <c r="T2242">
        <f>IF(AND(ISNUMBER('자료_거시'!$D2224),ISNUMBER('자료_거시'!$E2224)),IFERROR('자료_거시'!$E2224-INDEX($S$21:$S$4020,MATCH(EDATE('자료_거시'!$D2224,-'설정'!$B$17),'자료_거시'!$D$3:INDEX('자료_거시'!$D$3:$D$4002,$K$6),1)),""),"")</f>
        <v/>
      </c>
      <c r="U2242">
        <f>IF(ISNUMBER(T2242),'자료_거시'!$D2224,"")</f>
        <v/>
      </c>
      <c r="V2242">
        <f>IF(ISNUMBER(U2242),IF(U2242&gt;$L$6,T2242,""),"")</f>
        <v/>
      </c>
      <c r="W2242">
        <f>IF(AND(ISNUMBER('자료_거시'!$G2224),ISNUMBER('자료_거시'!$H2224)),'자료_거시'!$H2224,"")</f>
        <v/>
      </c>
      <c r="X2242">
        <f>IF(ISNUMBER(W2242),'자료_거시'!$G2224,"")</f>
        <v/>
      </c>
      <c r="Y2242">
        <f>IF(ISNUMBER(X2242),IF(X2242&gt;$L$7,W2242,""),"")</f>
        <v/>
      </c>
      <c r="Z2242">
        <f>IF(ISNUMBER('자료_거시'!$K2224),'자료_거시'!$K2224,Z2241)</f>
        <v/>
      </c>
      <c r="AA2242">
        <f>IF(AND(ISNUMBER('자료_거시'!$J2224),ISNUMBER('자료_거시'!$K2224)),IFERROR('자료_거시'!$K2224/INDEX($Z$21:$Z$4020,MATCH(EDATE('자료_거시'!$J2224,-'설정'!$B$17),'자료_거시'!$J$3:INDEX('자료_거시'!$J$3:$J$4002,$K$8),1))-1,""),"")</f>
        <v/>
      </c>
      <c r="AB2242">
        <f>IF(ISNUMBER(AA2242),'자료_거시'!$J2224,"")</f>
        <v/>
      </c>
      <c r="AC2242">
        <f>IF(ISNUMBER(AB2242),IF(AB2242&gt;$L$8,AA2242,""),"")</f>
        <v/>
      </c>
    </row>
    <row r="2243">
      <c r="S2243">
        <f>IF(ISNUMBER('자료_거시'!$E2225),'자료_거시'!$E2225,S2242)</f>
        <v/>
      </c>
      <c r="T2243">
        <f>IF(AND(ISNUMBER('자료_거시'!$D2225),ISNUMBER('자료_거시'!$E2225)),IFERROR('자료_거시'!$E2225-INDEX($S$21:$S$4020,MATCH(EDATE('자료_거시'!$D2225,-'설정'!$B$17),'자료_거시'!$D$3:INDEX('자료_거시'!$D$3:$D$4002,$K$6),1)),""),"")</f>
        <v/>
      </c>
      <c r="U2243">
        <f>IF(ISNUMBER(T2243),'자료_거시'!$D2225,"")</f>
        <v/>
      </c>
      <c r="V2243">
        <f>IF(ISNUMBER(U2243),IF(U2243&gt;$L$6,T2243,""),"")</f>
        <v/>
      </c>
      <c r="W2243">
        <f>IF(AND(ISNUMBER('자료_거시'!$G2225),ISNUMBER('자료_거시'!$H2225)),'자료_거시'!$H2225,"")</f>
        <v/>
      </c>
      <c r="X2243">
        <f>IF(ISNUMBER(W2243),'자료_거시'!$G2225,"")</f>
        <v/>
      </c>
      <c r="Y2243">
        <f>IF(ISNUMBER(X2243),IF(X2243&gt;$L$7,W2243,""),"")</f>
        <v/>
      </c>
      <c r="Z2243">
        <f>IF(ISNUMBER('자료_거시'!$K2225),'자료_거시'!$K2225,Z2242)</f>
        <v/>
      </c>
      <c r="AA2243">
        <f>IF(AND(ISNUMBER('자료_거시'!$J2225),ISNUMBER('자료_거시'!$K2225)),IFERROR('자료_거시'!$K2225/INDEX($Z$21:$Z$4020,MATCH(EDATE('자료_거시'!$J2225,-'설정'!$B$17),'자료_거시'!$J$3:INDEX('자료_거시'!$J$3:$J$4002,$K$8),1))-1,""),"")</f>
        <v/>
      </c>
      <c r="AB2243">
        <f>IF(ISNUMBER(AA2243),'자료_거시'!$J2225,"")</f>
        <v/>
      </c>
      <c r="AC2243">
        <f>IF(ISNUMBER(AB2243),IF(AB2243&gt;$L$8,AA2243,""),"")</f>
        <v/>
      </c>
    </row>
    <row r="2244">
      <c r="S2244">
        <f>IF(ISNUMBER('자료_거시'!$E2226),'자료_거시'!$E2226,S2243)</f>
        <v/>
      </c>
      <c r="T2244">
        <f>IF(AND(ISNUMBER('자료_거시'!$D2226),ISNUMBER('자료_거시'!$E2226)),IFERROR('자료_거시'!$E2226-INDEX($S$21:$S$4020,MATCH(EDATE('자료_거시'!$D2226,-'설정'!$B$17),'자료_거시'!$D$3:INDEX('자료_거시'!$D$3:$D$4002,$K$6),1)),""),"")</f>
        <v/>
      </c>
      <c r="U2244">
        <f>IF(ISNUMBER(T2244),'자료_거시'!$D2226,"")</f>
        <v/>
      </c>
      <c r="V2244">
        <f>IF(ISNUMBER(U2244),IF(U2244&gt;$L$6,T2244,""),"")</f>
        <v/>
      </c>
      <c r="W2244">
        <f>IF(AND(ISNUMBER('자료_거시'!$G2226),ISNUMBER('자료_거시'!$H2226)),'자료_거시'!$H2226,"")</f>
        <v/>
      </c>
      <c r="X2244">
        <f>IF(ISNUMBER(W2244),'자료_거시'!$G2226,"")</f>
        <v/>
      </c>
      <c r="Y2244">
        <f>IF(ISNUMBER(X2244),IF(X2244&gt;$L$7,W2244,""),"")</f>
        <v/>
      </c>
      <c r="Z2244">
        <f>IF(ISNUMBER('자료_거시'!$K2226),'자료_거시'!$K2226,Z2243)</f>
        <v/>
      </c>
      <c r="AA2244">
        <f>IF(AND(ISNUMBER('자료_거시'!$J2226),ISNUMBER('자료_거시'!$K2226)),IFERROR('자료_거시'!$K2226/INDEX($Z$21:$Z$4020,MATCH(EDATE('자료_거시'!$J2226,-'설정'!$B$17),'자료_거시'!$J$3:INDEX('자료_거시'!$J$3:$J$4002,$K$8),1))-1,""),"")</f>
        <v/>
      </c>
      <c r="AB2244">
        <f>IF(ISNUMBER(AA2244),'자료_거시'!$J2226,"")</f>
        <v/>
      </c>
      <c r="AC2244">
        <f>IF(ISNUMBER(AB2244),IF(AB2244&gt;$L$8,AA2244,""),"")</f>
        <v/>
      </c>
    </row>
    <row r="2245">
      <c r="S2245">
        <f>IF(ISNUMBER('자료_거시'!$E2227),'자료_거시'!$E2227,S2244)</f>
        <v/>
      </c>
      <c r="T2245">
        <f>IF(AND(ISNUMBER('자료_거시'!$D2227),ISNUMBER('자료_거시'!$E2227)),IFERROR('자료_거시'!$E2227-INDEX($S$21:$S$4020,MATCH(EDATE('자료_거시'!$D2227,-'설정'!$B$17),'자료_거시'!$D$3:INDEX('자료_거시'!$D$3:$D$4002,$K$6),1)),""),"")</f>
        <v/>
      </c>
      <c r="U2245">
        <f>IF(ISNUMBER(T2245),'자료_거시'!$D2227,"")</f>
        <v/>
      </c>
      <c r="V2245">
        <f>IF(ISNUMBER(U2245),IF(U2245&gt;$L$6,T2245,""),"")</f>
        <v/>
      </c>
      <c r="W2245">
        <f>IF(AND(ISNUMBER('자료_거시'!$G2227),ISNUMBER('자료_거시'!$H2227)),'자료_거시'!$H2227,"")</f>
        <v/>
      </c>
      <c r="X2245">
        <f>IF(ISNUMBER(W2245),'자료_거시'!$G2227,"")</f>
        <v/>
      </c>
      <c r="Y2245">
        <f>IF(ISNUMBER(X2245),IF(X2245&gt;$L$7,W2245,""),"")</f>
        <v/>
      </c>
      <c r="Z2245">
        <f>IF(ISNUMBER('자료_거시'!$K2227),'자료_거시'!$K2227,Z2244)</f>
        <v/>
      </c>
      <c r="AA2245">
        <f>IF(AND(ISNUMBER('자료_거시'!$J2227),ISNUMBER('자료_거시'!$K2227)),IFERROR('자료_거시'!$K2227/INDEX($Z$21:$Z$4020,MATCH(EDATE('자료_거시'!$J2227,-'설정'!$B$17),'자료_거시'!$J$3:INDEX('자료_거시'!$J$3:$J$4002,$K$8),1))-1,""),"")</f>
        <v/>
      </c>
      <c r="AB2245">
        <f>IF(ISNUMBER(AA2245),'자료_거시'!$J2227,"")</f>
        <v/>
      </c>
      <c r="AC2245">
        <f>IF(ISNUMBER(AB2245),IF(AB2245&gt;$L$8,AA2245,""),"")</f>
        <v/>
      </c>
    </row>
    <row r="2246">
      <c r="S2246">
        <f>IF(ISNUMBER('자료_거시'!$E2228),'자료_거시'!$E2228,S2245)</f>
        <v/>
      </c>
      <c r="T2246">
        <f>IF(AND(ISNUMBER('자료_거시'!$D2228),ISNUMBER('자료_거시'!$E2228)),IFERROR('자료_거시'!$E2228-INDEX($S$21:$S$4020,MATCH(EDATE('자료_거시'!$D2228,-'설정'!$B$17),'자료_거시'!$D$3:INDEX('자료_거시'!$D$3:$D$4002,$K$6),1)),""),"")</f>
        <v/>
      </c>
      <c r="U2246">
        <f>IF(ISNUMBER(T2246),'자료_거시'!$D2228,"")</f>
        <v/>
      </c>
      <c r="V2246">
        <f>IF(ISNUMBER(U2246),IF(U2246&gt;$L$6,T2246,""),"")</f>
        <v/>
      </c>
      <c r="W2246">
        <f>IF(AND(ISNUMBER('자료_거시'!$G2228),ISNUMBER('자료_거시'!$H2228)),'자료_거시'!$H2228,"")</f>
        <v/>
      </c>
      <c r="X2246">
        <f>IF(ISNUMBER(W2246),'자료_거시'!$G2228,"")</f>
        <v/>
      </c>
      <c r="Y2246">
        <f>IF(ISNUMBER(X2246),IF(X2246&gt;$L$7,W2246,""),"")</f>
        <v/>
      </c>
      <c r="Z2246">
        <f>IF(ISNUMBER('자료_거시'!$K2228),'자료_거시'!$K2228,Z2245)</f>
        <v/>
      </c>
      <c r="AA2246">
        <f>IF(AND(ISNUMBER('자료_거시'!$J2228),ISNUMBER('자료_거시'!$K2228)),IFERROR('자료_거시'!$K2228/INDEX($Z$21:$Z$4020,MATCH(EDATE('자료_거시'!$J2228,-'설정'!$B$17),'자료_거시'!$J$3:INDEX('자료_거시'!$J$3:$J$4002,$K$8),1))-1,""),"")</f>
        <v/>
      </c>
      <c r="AB2246">
        <f>IF(ISNUMBER(AA2246),'자료_거시'!$J2228,"")</f>
        <v/>
      </c>
      <c r="AC2246">
        <f>IF(ISNUMBER(AB2246),IF(AB2246&gt;$L$8,AA2246,""),"")</f>
        <v/>
      </c>
    </row>
    <row r="2247">
      <c r="S2247">
        <f>IF(ISNUMBER('자료_거시'!$E2229),'자료_거시'!$E2229,S2246)</f>
        <v/>
      </c>
      <c r="T2247">
        <f>IF(AND(ISNUMBER('자료_거시'!$D2229),ISNUMBER('자료_거시'!$E2229)),IFERROR('자료_거시'!$E2229-INDEX($S$21:$S$4020,MATCH(EDATE('자료_거시'!$D2229,-'설정'!$B$17),'자료_거시'!$D$3:INDEX('자료_거시'!$D$3:$D$4002,$K$6),1)),""),"")</f>
        <v/>
      </c>
      <c r="U2247">
        <f>IF(ISNUMBER(T2247),'자료_거시'!$D2229,"")</f>
        <v/>
      </c>
      <c r="V2247">
        <f>IF(ISNUMBER(U2247),IF(U2247&gt;$L$6,T2247,""),"")</f>
        <v/>
      </c>
      <c r="W2247">
        <f>IF(AND(ISNUMBER('자료_거시'!$G2229),ISNUMBER('자료_거시'!$H2229)),'자료_거시'!$H2229,"")</f>
        <v/>
      </c>
      <c r="X2247">
        <f>IF(ISNUMBER(W2247),'자료_거시'!$G2229,"")</f>
        <v/>
      </c>
      <c r="Y2247">
        <f>IF(ISNUMBER(X2247),IF(X2247&gt;$L$7,W2247,""),"")</f>
        <v/>
      </c>
      <c r="Z2247">
        <f>IF(ISNUMBER('자료_거시'!$K2229),'자료_거시'!$K2229,Z2246)</f>
        <v/>
      </c>
      <c r="AA2247">
        <f>IF(AND(ISNUMBER('자료_거시'!$J2229),ISNUMBER('자료_거시'!$K2229)),IFERROR('자료_거시'!$K2229/INDEX($Z$21:$Z$4020,MATCH(EDATE('자료_거시'!$J2229,-'설정'!$B$17),'자료_거시'!$J$3:INDEX('자료_거시'!$J$3:$J$4002,$K$8),1))-1,""),"")</f>
        <v/>
      </c>
      <c r="AB2247">
        <f>IF(ISNUMBER(AA2247),'자료_거시'!$J2229,"")</f>
        <v/>
      </c>
      <c r="AC2247">
        <f>IF(ISNUMBER(AB2247),IF(AB2247&gt;$L$8,AA2247,""),"")</f>
        <v/>
      </c>
    </row>
    <row r="2248">
      <c r="S2248">
        <f>IF(ISNUMBER('자료_거시'!$E2230),'자료_거시'!$E2230,S2247)</f>
        <v/>
      </c>
      <c r="T2248">
        <f>IF(AND(ISNUMBER('자료_거시'!$D2230),ISNUMBER('자료_거시'!$E2230)),IFERROR('자료_거시'!$E2230-INDEX($S$21:$S$4020,MATCH(EDATE('자료_거시'!$D2230,-'설정'!$B$17),'자료_거시'!$D$3:INDEX('자료_거시'!$D$3:$D$4002,$K$6),1)),""),"")</f>
        <v/>
      </c>
      <c r="U2248">
        <f>IF(ISNUMBER(T2248),'자료_거시'!$D2230,"")</f>
        <v/>
      </c>
      <c r="V2248">
        <f>IF(ISNUMBER(U2248),IF(U2248&gt;$L$6,T2248,""),"")</f>
        <v/>
      </c>
      <c r="W2248">
        <f>IF(AND(ISNUMBER('자료_거시'!$G2230),ISNUMBER('자료_거시'!$H2230)),'자료_거시'!$H2230,"")</f>
        <v/>
      </c>
      <c r="X2248">
        <f>IF(ISNUMBER(W2248),'자료_거시'!$G2230,"")</f>
        <v/>
      </c>
      <c r="Y2248">
        <f>IF(ISNUMBER(X2248),IF(X2248&gt;$L$7,W2248,""),"")</f>
        <v/>
      </c>
      <c r="Z2248">
        <f>IF(ISNUMBER('자료_거시'!$K2230),'자료_거시'!$K2230,Z2247)</f>
        <v/>
      </c>
      <c r="AA2248">
        <f>IF(AND(ISNUMBER('자료_거시'!$J2230),ISNUMBER('자료_거시'!$K2230)),IFERROR('자료_거시'!$K2230/INDEX($Z$21:$Z$4020,MATCH(EDATE('자료_거시'!$J2230,-'설정'!$B$17),'자료_거시'!$J$3:INDEX('자료_거시'!$J$3:$J$4002,$K$8),1))-1,""),"")</f>
        <v/>
      </c>
      <c r="AB2248">
        <f>IF(ISNUMBER(AA2248),'자료_거시'!$J2230,"")</f>
        <v/>
      </c>
      <c r="AC2248">
        <f>IF(ISNUMBER(AB2248),IF(AB2248&gt;$L$8,AA2248,""),"")</f>
        <v/>
      </c>
    </row>
    <row r="2249">
      <c r="S2249">
        <f>IF(ISNUMBER('자료_거시'!$E2231),'자료_거시'!$E2231,S2248)</f>
        <v/>
      </c>
      <c r="T2249">
        <f>IF(AND(ISNUMBER('자료_거시'!$D2231),ISNUMBER('자료_거시'!$E2231)),IFERROR('자료_거시'!$E2231-INDEX($S$21:$S$4020,MATCH(EDATE('자료_거시'!$D2231,-'설정'!$B$17),'자료_거시'!$D$3:INDEX('자료_거시'!$D$3:$D$4002,$K$6),1)),""),"")</f>
        <v/>
      </c>
      <c r="U2249">
        <f>IF(ISNUMBER(T2249),'자료_거시'!$D2231,"")</f>
        <v/>
      </c>
      <c r="V2249">
        <f>IF(ISNUMBER(U2249),IF(U2249&gt;$L$6,T2249,""),"")</f>
        <v/>
      </c>
      <c r="W2249">
        <f>IF(AND(ISNUMBER('자료_거시'!$G2231),ISNUMBER('자료_거시'!$H2231)),'자료_거시'!$H2231,"")</f>
        <v/>
      </c>
      <c r="X2249">
        <f>IF(ISNUMBER(W2249),'자료_거시'!$G2231,"")</f>
        <v/>
      </c>
      <c r="Y2249">
        <f>IF(ISNUMBER(X2249),IF(X2249&gt;$L$7,W2249,""),"")</f>
        <v/>
      </c>
      <c r="Z2249">
        <f>IF(ISNUMBER('자료_거시'!$K2231),'자료_거시'!$K2231,Z2248)</f>
        <v/>
      </c>
      <c r="AA2249">
        <f>IF(AND(ISNUMBER('자료_거시'!$J2231),ISNUMBER('자료_거시'!$K2231)),IFERROR('자료_거시'!$K2231/INDEX($Z$21:$Z$4020,MATCH(EDATE('자료_거시'!$J2231,-'설정'!$B$17),'자료_거시'!$J$3:INDEX('자료_거시'!$J$3:$J$4002,$K$8),1))-1,""),"")</f>
        <v/>
      </c>
      <c r="AB2249">
        <f>IF(ISNUMBER(AA2249),'자료_거시'!$J2231,"")</f>
        <v/>
      </c>
      <c r="AC2249">
        <f>IF(ISNUMBER(AB2249),IF(AB2249&gt;$L$8,AA2249,""),"")</f>
        <v/>
      </c>
    </row>
    <row r="2250">
      <c r="S2250">
        <f>IF(ISNUMBER('자료_거시'!$E2232),'자료_거시'!$E2232,S2249)</f>
        <v/>
      </c>
      <c r="T2250">
        <f>IF(AND(ISNUMBER('자료_거시'!$D2232),ISNUMBER('자료_거시'!$E2232)),IFERROR('자료_거시'!$E2232-INDEX($S$21:$S$4020,MATCH(EDATE('자료_거시'!$D2232,-'설정'!$B$17),'자료_거시'!$D$3:INDEX('자료_거시'!$D$3:$D$4002,$K$6),1)),""),"")</f>
        <v/>
      </c>
      <c r="U2250">
        <f>IF(ISNUMBER(T2250),'자료_거시'!$D2232,"")</f>
        <v/>
      </c>
      <c r="V2250">
        <f>IF(ISNUMBER(U2250),IF(U2250&gt;$L$6,T2250,""),"")</f>
        <v/>
      </c>
      <c r="W2250">
        <f>IF(AND(ISNUMBER('자료_거시'!$G2232),ISNUMBER('자료_거시'!$H2232)),'자료_거시'!$H2232,"")</f>
        <v/>
      </c>
      <c r="X2250">
        <f>IF(ISNUMBER(W2250),'자료_거시'!$G2232,"")</f>
        <v/>
      </c>
      <c r="Y2250">
        <f>IF(ISNUMBER(X2250),IF(X2250&gt;$L$7,W2250,""),"")</f>
        <v/>
      </c>
      <c r="Z2250">
        <f>IF(ISNUMBER('자료_거시'!$K2232),'자료_거시'!$K2232,Z2249)</f>
        <v/>
      </c>
      <c r="AA2250">
        <f>IF(AND(ISNUMBER('자료_거시'!$J2232),ISNUMBER('자료_거시'!$K2232)),IFERROR('자료_거시'!$K2232/INDEX($Z$21:$Z$4020,MATCH(EDATE('자료_거시'!$J2232,-'설정'!$B$17),'자료_거시'!$J$3:INDEX('자료_거시'!$J$3:$J$4002,$K$8),1))-1,""),"")</f>
        <v/>
      </c>
      <c r="AB2250">
        <f>IF(ISNUMBER(AA2250),'자료_거시'!$J2232,"")</f>
        <v/>
      </c>
      <c r="AC2250">
        <f>IF(ISNUMBER(AB2250),IF(AB2250&gt;$L$8,AA2250,""),"")</f>
        <v/>
      </c>
    </row>
    <row r="2251">
      <c r="S2251">
        <f>IF(ISNUMBER('자료_거시'!$E2233),'자료_거시'!$E2233,S2250)</f>
        <v/>
      </c>
      <c r="T2251">
        <f>IF(AND(ISNUMBER('자료_거시'!$D2233),ISNUMBER('자료_거시'!$E2233)),IFERROR('자료_거시'!$E2233-INDEX($S$21:$S$4020,MATCH(EDATE('자료_거시'!$D2233,-'설정'!$B$17),'자료_거시'!$D$3:INDEX('자료_거시'!$D$3:$D$4002,$K$6),1)),""),"")</f>
        <v/>
      </c>
      <c r="U2251">
        <f>IF(ISNUMBER(T2251),'자료_거시'!$D2233,"")</f>
        <v/>
      </c>
      <c r="V2251">
        <f>IF(ISNUMBER(U2251),IF(U2251&gt;$L$6,T2251,""),"")</f>
        <v/>
      </c>
      <c r="W2251">
        <f>IF(AND(ISNUMBER('자료_거시'!$G2233),ISNUMBER('자료_거시'!$H2233)),'자료_거시'!$H2233,"")</f>
        <v/>
      </c>
      <c r="X2251">
        <f>IF(ISNUMBER(W2251),'자료_거시'!$G2233,"")</f>
        <v/>
      </c>
      <c r="Y2251">
        <f>IF(ISNUMBER(X2251),IF(X2251&gt;$L$7,W2251,""),"")</f>
        <v/>
      </c>
      <c r="Z2251">
        <f>IF(ISNUMBER('자료_거시'!$K2233),'자료_거시'!$K2233,Z2250)</f>
        <v/>
      </c>
      <c r="AA2251">
        <f>IF(AND(ISNUMBER('자료_거시'!$J2233),ISNUMBER('자료_거시'!$K2233)),IFERROR('자료_거시'!$K2233/INDEX($Z$21:$Z$4020,MATCH(EDATE('자료_거시'!$J2233,-'설정'!$B$17),'자료_거시'!$J$3:INDEX('자료_거시'!$J$3:$J$4002,$K$8),1))-1,""),"")</f>
        <v/>
      </c>
      <c r="AB2251">
        <f>IF(ISNUMBER(AA2251),'자료_거시'!$J2233,"")</f>
        <v/>
      </c>
      <c r="AC2251">
        <f>IF(ISNUMBER(AB2251),IF(AB2251&gt;$L$8,AA2251,""),"")</f>
        <v/>
      </c>
    </row>
    <row r="2252">
      <c r="S2252">
        <f>IF(ISNUMBER('자료_거시'!$E2234),'자료_거시'!$E2234,S2251)</f>
        <v/>
      </c>
      <c r="T2252">
        <f>IF(AND(ISNUMBER('자료_거시'!$D2234),ISNUMBER('자료_거시'!$E2234)),IFERROR('자료_거시'!$E2234-INDEX($S$21:$S$4020,MATCH(EDATE('자료_거시'!$D2234,-'설정'!$B$17),'자료_거시'!$D$3:INDEX('자료_거시'!$D$3:$D$4002,$K$6),1)),""),"")</f>
        <v/>
      </c>
      <c r="U2252">
        <f>IF(ISNUMBER(T2252),'자료_거시'!$D2234,"")</f>
        <v/>
      </c>
      <c r="V2252">
        <f>IF(ISNUMBER(U2252),IF(U2252&gt;$L$6,T2252,""),"")</f>
        <v/>
      </c>
      <c r="W2252">
        <f>IF(AND(ISNUMBER('자료_거시'!$G2234),ISNUMBER('자료_거시'!$H2234)),'자료_거시'!$H2234,"")</f>
        <v/>
      </c>
      <c r="X2252">
        <f>IF(ISNUMBER(W2252),'자료_거시'!$G2234,"")</f>
        <v/>
      </c>
      <c r="Y2252">
        <f>IF(ISNUMBER(X2252),IF(X2252&gt;$L$7,W2252,""),"")</f>
        <v/>
      </c>
      <c r="Z2252">
        <f>IF(ISNUMBER('자료_거시'!$K2234),'자료_거시'!$K2234,Z2251)</f>
        <v/>
      </c>
      <c r="AA2252">
        <f>IF(AND(ISNUMBER('자료_거시'!$J2234),ISNUMBER('자료_거시'!$K2234)),IFERROR('자료_거시'!$K2234/INDEX($Z$21:$Z$4020,MATCH(EDATE('자료_거시'!$J2234,-'설정'!$B$17),'자료_거시'!$J$3:INDEX('자료_거시'!$J$3:$J$4002,$K$8),1))-1,""),"")</f>
        <v/>
      </c>
      <c r="AB2252">
        <f>IF(ISNUMBER(AA2252),'자료_거시'!$J2234,"")</f>
        <v/>
      </c>
      <c r="AC2252">
        <f>IF(ISNUMBER(AB2252),IF(AB2252&gt;$L$8,AA2252,""),"")</f>
        <v/>
      </c>
    </row>
    <row r="2253">
      <c r="S2253">
        <f>IF(ISNUMBER('자료_거시'!$E2235),'자료_거시'!$E2235,S2252)</f>
        <v/>
      </c>
      <c r="T2253">
        <f>IF(AND(ISNUMBER('자료_거시'!$D2235),ISNUMBER('자료_거시'!$E2235)),IFERROR('자료_거시'!$E2235-INDEX($S$21:$S$4020,MATCH(EDATE('자료_거시'!$D2235,-'설정'!$B$17),'자료_거시'!$D$3:INDEX('자료_거시'!$D$3:$D$4002,$K$6),1)),""),"")</f>
        <v/>
      </c>
      <c r="U2253">
        <f>IF(ISNUMBER(T2253),'자료_거시'!$D2235,"")</f>
        <v/>
      </c>
      <c r="V2253">
        <f>IF(ISNUMBER(U2253),IF(U2253&gt;$L$6,T2253,""),"")</f>
        <v/>
      </c>
      <c r="W2253">
        <f>IF(AND(ISNUMBER('자료_거시'!$G2235),ISNUMBER('자료_거시'!$H2235)),'자료_거시'!$H2235,"")</f>
        <v/>
      </c>
      <c r="X2253">
        <f>IF(ISNUMBER(W2253),'자료_거시'!$G2235,"")</f>
        <v/>
      </c>
      <c r="Y2253">
        <f>IF(ISNUMBER(X2253),IF(X2253&gt;$L$7,W2253,""),"")</f>
        <v/>
      </c>
      <c r="Z2253">
        <f>IF(ISNUMBER('자료_거시'!$K2235),'자료_거시'!$K2235,Z2252)</f>
        <v/>
      </c>
      <c r="AA2253">
        <f>IF(AND(ISNUMBER('자료_거시'!$J2235),ISNUMBER('자료_거시'!$K2235)),IFERROR('자료_거시'!$K2235/INDEX($Z$21:$Z$4020,MATCH(EDATE('자료_거시'!$J2235,-'설정'!$B$17),'자료_거시'!$J$3:INDEX('자료_거시'!$J$3:$J$4002,$K$8),1))-1,""),"")</f>
        <v/>
      </c>
      <c r="AB2253">
        <f>IF(ISNUMBER(AA2253),'자료_거시'!$J2235,"")</f>
        <v/>
      </c>
      <c r="AC2253">
        <f>IF(ISNUMBER(AB2253),IF(AB2253&gt;$L$8,AA2253,""),"")</f>
        <v/>
      </c>
    </row>
    <row r="2254">
      <c r="S2254">
        <f>IF(ISNUMBER('자료_거시'!$E2236),'자료_거시'!$E2236,S2253)</f>
        <v/>
      </c>
      <c r="T2254">
        <f>IF(AND(ISNUMBER('자료_거시'!$D2236),ISNUMBER('자료_거시'!$E2236)),IFERROR('자료_거시'!$E2236-INDEX($S$21:$S$4020,MATCH(EDATE('자료_거시'!$D2236,-'설정'!$B$17),'자료_거시'!$D$3:INDEX('자료_거시'!$D$3:$D$4002,$K$6),1)),""),"")</f>
        <v/>
      </c>
      <c r="U2254">
        <f>IF(ISNUMBER(T2254),'자료_거시'!$D2236,"")</f>
        <v/>
      </c>
      <c r="V2254">
        <f>IF(ISNUMBER(U2254),IF(U2254&gt;$L$6,T2254,""),"")</f>
        <v/>
      </c>
      <c r="W2254">
        <f>IF(AND(ISNUMBER('자료_거시'!$G2236),ISNUMBER('자료_거시'!$H2236)),'자료_거시'!$H2236,"")</f>
        <v/>
      </c>
      <c r="X2254">
        <f>IF(ISNUMBER(W2254),'자료_거시'!$G2236,"")</f>
        <v/>
      </c>
      <c r="Y2254">
        <f>IF(ISNUMBER(X2254),IF(X2254&gt;$L$7,W2254,""),"")</f>
        <v/>
      </c>
      <c r="Z2254">
        <f>IF(ISNUMBER('자료_거시'!$K2236),'자료_거시'!$K2236,Z2253)</f>
        <v/>
      </c>
      <c r="AA2254">
        <f>IF(AND(ISNUMBER('자료_거시'!$J2236),ISNUMBER('자료_거시'!$K2236)),IFERROR('자료_거시'!$K2236/INDEX($Z$21:$Z$4020,MATCH(EDATE('자료_거시'!$J2236,-'설정'!$B$17),'자료_거시'!$J$3:INDEX('자료_거시'!$J$3:$J$4002,$K$8),1))-1,""),"")</f>
        <v/>
      </c>
      <c r="AB2254">
        <f>IF(ISNUMBER(AA2254),'자료_거시'!$J2236,"")</f>
        <v/>
      </c>
      <c r="AC2254">
        <f>IF(ISNUMBER(AB2254),IF(AB2254&gt;$L$8,AA2254,""),"")</f>
        <v/>
      </c>
    </row>
    <row r="2255">
      <c r="S2255">
        <f>IF(ISNUMBER('자료_거시'!$E2237),'자료_거시'!$E2237,S2254)</f>
        <v/>
      </c>
      <c r="T2255">
        <f>IF(AND(ISNUMBER('자료_거시'!$D2237),ISNUMBER('자료_거시'!$E2237)),IFERROR('자료_거시'!$E2237-INDEX($S$21:$S$4020,MATCH(EDATE('자료_거시'!$D2237,-'설정'!$B$17),'자료_거시'!$D$3:INDEX('자료_거시'!$D$3:$D$4002,$K$6),1)),""),"")</f>
        <v/>
      </c>
      <c r="U2255">
        <f>IF(ISNUMBER(T2255),'자료_거시'!$D2237,"")</f>
        <v/>
      </c>
      <c r="V2255">
        <f>IF(ISNUMBER(U2255),IF(U2255&gt;$L$6,T2255,""),"")</f>
        <v/>
      </c>
      <c r="W2255">
        <f>IF(AND(ISNUMBER('자료_거시'!$G2237),ISNUMBER('자료_거시'!$H2237)),'자료_거시'!$H2237,"")</f>
        <v/>
      </c>
      <c r="X2255">
        <f>IF(ISNUMBER(W2255),'자료_거시'!$G2237,"")</f>
        <v/>
      </c>
      <c r="Y2255">
        <f>IF(ISNUMBER(X2255),IF(X2255&gt;$L$7,W2255,""),"")</f>
        <v/>
      </c>
      <c r="Z2255">
        <f>IF(ISNUMBER('자료_거시'!$K2237),'자료_거시'!$K2237,Z2254)</f>
        <v/>
      </c>
      <c r="AA2255">
        <f>IF(AND(ISNUMBER('자료_거시'!$J2237),ISNUMBER('자료_거시'!$K2237)),IFERROR('자료_거시'!$K2237/INDEX($Z$21:$Z$4020,MATCH(EDATE('자료_거시'!$J2237,-'설정'!$B$17),'자료_거시'!$J$3:INDEX('자료_거시'!$J$3:$J$4002,$K$8),1))-1,""),"")</f>
        <v/>
      </c>
      <c r="AB2255">
        <f>IF(ISNUMBER(AA2255),'자료_거시'!$J2237,"")</f>
        <v/>
      </c>
      <c r="AC2255">
        <f>IF(ISNUMBER(AB2255),IF(AB2255&gt;$L$8,AA2255,""),"")</f>
        <v/>
      </c>
    </row>
    <row r="2256">
      <c r="S2256">
        <f>IF(ISNUMBER('자료_거시'!$E2238),'자료_거시'!$E2238,S2255)</f>
        <v/>
      </c>
      <c r="T2256">
        <f>IF(AND(ISNUMBER('자료_거시'!$D2238),ISNUMBER('자료_거시'!$E2238)),IFERROR('자료_거시'!$E2238-INDEX($S$21:$S$4020,MATCH(EDATE('자료_거시'!$D2238,-'설정'!$B$17),'자료_거시'!$D$3:INDEX('자료_거시'!$D$3:$D$4002,$K$6),1)),""),"")</f>
        <v/>
      </c>
      <c r="U2256">
        <f>IF(ISNUMBER(T2256),'자료_거시'!$D2238,"")</f>
        <v/>
      </c>
      <c r="V2256">
        <f>IF(ISNUMBER(U2256),IF(U2256&gt;$L$6,T2256,""),"")</f>
        <v/>
      </c>
      <c r="W2256">
        <f>IF(AND(ISNUMBER('자료_거시'!$G2238),ISNUMBER('자료_거시'!$H2238)),'자료_거시'!$H2238,"")</f>
        <v/>
      </c>
      <c r="X2256">
        <f>IF(ISNUMBER(W2256),'자료_거시'!$G2238,"")</f>
        <v/>
      </c>
      <c r="Y2256">
        <f>IF(ISNUMBER(X2256),IF(X2256&gt;$L$7,W2256,""),"")</f>
        <v/>
      </c>
      <c r="Z2256">
        <f>IF(ISNUMBER('자료_거시'!$K2238),'자료_거시'!$K2238,Z2255)</f>
        <v/>
      </c>
      <c r="AA2256">
        <f>IF(AND(ISNUMBER('자료_거시'!$J2238),ISNUMBER('자료_거시'!$K2238)),IFERROR('자료_거시'!$K2238/INDEX($Z$21:$Z$4020,MATCH(EDATE('자료_거시'!$J2238,-'설정'!$B$17),'자료_거시'!$J$3:INDEX('자료_거시'!$J$3:$J$4002,$K$8),1))-1,""),"")</f>
        <v/>
      </c>
      <c r="AB2256">
        <f>IF(ISNUMBER(AA2256),'자료_거시'!$J2238,"")</f>
        <v/>
      </c>
      <c r="AC2256">
        <f>IF(ISNUMBER(AB2256),IF(AB2256&gt;$L$8,AA2256,""),"")</f>
        <v/>
      </c>
    </row>
    <row r="2257">
      <c r="S2257">
        <f>IF(ISNUMBER('자료_거시'!$E2239),'자료_거시'!$E2239,S2256)</f>
        <v/>
      </c>
      <c r="T2257">
        <f>IF(AND(ISNUMBER('자료_거시'!$D2239),ISNUMBER('자료_거시'!$E2239)),IFERROR('자료_거시'!$E2239-INDEX($S$21:$S$4020,MATCH(EDATE('자료_거시'!$D2239,-'설정'!$B$17),'자료_거시'!$D$3:INDEX('자료_거시'!$D$3:$D$4002,$K$6),1)),""),"")</f>
        <v/>
      </c>
      <c r="U2257">
        <f>IF(ISNUMBER(T2257),'자료_거시'!$D2239,"")</f>
        <v/>
      </c>
      <c r="V2257">
        <f>IF(ISNUMBER(U2257),IF(U2257&gt;$L$6,T2257,""),"")</f>
        <v/>
      </c>
      <c r="W2257">
        <f>IF(AND(ISNUMBER('자료_거시'!$G2239),ISNUMBER('자료_거시'!$H2239)),'자료_거시'!$H2239,"")</f>
        <v/>
      </c>
      <c r="X2257">
        <f>IF(ISNUMBER(W2257),'자료_거시'!$G2239,"")</f>
        <v/>
      </c>
      <c r="Y2257">
        <f>IF(ISNUMBER(X2257),IF(X2257&gt;$L$7,W2257,""),"")</f>
        <v/>
      </c>
      <c r="Z2257">
        <f>IF(ISNUMBER('자료_거시'!$K2239),'자료_거시'!$K2239,Z2256)</f>
        <v/>
      </c>
      <c r="AA2257">
        <f>IF(AND(ISNUMBER('자료_거시'!$J2239),ISNUMBER('자료_거시'!$K2239)),IFERROR('자료_거시'!$K2239/INDEX($Z$21:$Z$4020,MATCH(EDATE('자료_거시'!$J2239,-'설정'!$B$17),'자료_거시'!$J$3:INDEX('자료_거시'!$J$3:$J$4002,$K$8),1))-1,""),"")</f>
        <v/>
      </c>
      <c r="AB2257">
        <f>IF(ISNUMBER(AA2257),'자료_거시'!$J2239,"")</f>
        <v/>
      </c>
      <c r="AC2257">
        <f>IF(ISNUMBER(AB2257),IF(AB2257&gt;$L$8,AA2257,""),"")</f>
        <v/>
      </c>
    </row>
    <row r="2258">
      <c r="S2258">
        <f>IF(ISNUMBER('자료_거시'!$E2240),'자료_거시'!$E2240,S2257)</f>
        <v/>
      </c>
      <c r="T2258">
        <f>IF(AND(ISNUMBER('자료_거시'!$D2240),ISNUMBER('자료_거시'!$E2240)),IFERROR('자료_거시'!$E2240-INDEX($S$21:$S$4020,MATCH(EDATE('자료_거시'!$D2240,-'설정'!$B$17),'자료_거시'!$D$3:INDEX('자료_거시'!$D$3:$D$4002,$K$6),1)),""),"")</f>
        <v/>
      </c>
      <c r="U2258">
        <f>IF(ISNUMBER(T2258),'자료_거시'!$D2240,"")</f>
        <v/>
      </c>
      <c r="V2258">
        <f>IF(ISNUMBER(U2258),IF(U2258&gt;$L$6,T2258,""),"")</f>
        <v/>
      </c>
      <c r="W2258">
        <f>IF(AND(ISNUMBER('자료_거시'!$G2240),ISNUMBER('자료_거시'!$H2240)),'자료_거시'!$H2240,"")</f>
        <v/>
      </c>
      <c r="X2258">
        <f>IF(ISNUMBER(W2258),'자료_거시'!$G2240,"")</f>
        <v/>
      </c>
      <c r="Y2258">
        <f>IF(ISNUMBER(X2258),IF(X2258&gt;$L$7,W2258,""),"")</f>
        <v/>
      </c>
      <c r="Z2258">
        <f>IF(ISNUMBER('자료_거시'!$K2240),'자료_거시'!$K2240,Z2257)</f>
        <v/>
      </c>
      <c r="AA2258">
        <f>IF(AND(ISNUMBER('자료_거시'!$J2240),ISNUMBER('자료_거시'!$K2240)),IFERROR('자료_거시'!$K2240/INDEX($Z$21:$Z$4020,MATCH(EDATE('자료_거시'!$J2240,-'설정'!$B$17),'자료_거시'!$J$3:INDEX('자료_거시'!$J$3:$J$4002,$K$8),1))-1,""),"")</f>
        <v/>
      </c>
      <c r="AB2258">
        <f>IF(ISNUMBER(AA2258),'자료_거시'!$J2240,"")</f>
        <v/>
      </c>
      <c r="AC2258">
        <f>IF(ISNUMBER(AB2258),IF(AB2258&gt;$L$8,AA2258,""),"")</f>
        <v/>
      </c>
    </row>
    <row r="2259">
      <c r="S2259">
        <f>IF(ISNUMBER('자료_거시'!$E2241),'자료_거시'!$E2241,S2258)</f>
        <v/>
      </c>
      <c r="T2259">
        <f>IF(AND(ISNUMBER('자료_거시'!$D2241),ISNUMBER('자료_거시'!$E2241)),IFERROR('자료_거시'!$E2241-INDEX($S$21:$S$4020,MATCH(EDATE('자료_거시'!$D2241,-'설정'!$B$17),'자료_거시'!$D$3:INDEX('자료_거시'!$D$3:$D$4002,$K$6),1)),""),"")</f>
        <v/>
      </c>
      <c r="U2259">
        <f>IF(ISNUMBER(T2259),'자료_거시'!$D2241,"")</f>
        <v/>
      </c>
      <c r="V2259">
        <f>IF(ISNUMBER(U2259),IF(U2259&gt;$L$6,T2259,""),"")</f>
        <v/>
      </c>
      <c r="W2259">
        <f>IF(AND(ISNUMBER('자료_거시'!$G2241),ISNUMBER('자료_거시'!$H2241)),'자료_거시'!$H2241,"")</f>
        <v/>
      </c>
      <c r="X2259">
        <f>IF(ISNUMBER(W2259),'자료_거시'!$G2241,"")</f>
        <v/>
      </c>
      <c r="Y2259">
        <f>IF(ISNUMBER(X2259),IF(X2259&gt;$L$7,W2259,""),"")</f>
        <v/>
      </c>
      <c r="Z2259">
        <f>IF(ISNUMBER('자료_거시'!$K2241),'자료_거시'!$K2241,Z2258)</f>
        <v/>
      </c>
      <c r="AA2259">
        <f>IF(AND(ISNUMBER('자료_거시'!$J2241),ISNUMBER('자료_거시'!$K2241)),IFERROR('자료_거시'!$K2241/INDEX($Z$21:$Z$4020,MATCH(EDATE('자료_거시'!$J2241,-'설정'!$B$17),'자료_거시'!$J$3:INDEX('자료_거시'!$J$3:$J$4002,$K$8),1))-1,""),"")</f>
        <v/>
      </c>
      <c r="AB2259">
        <f>IF(ISNUMBER(AA2259),'자료_거시'!$J2241,"")</f>
        <v/>
      </c>
      <c r="AC2259">
        <f>IF(ISNUMBER(AB2259),IF(AB2259&gt;$L$8,AA2259,""),"")</f>
        <v/>
      </c>
    </row>
    <row r="2260">
      <c r="S2260">
        <f>IF(ISNUMBER('자료_거시'!$E2242),'자료_거시'!$E2242,S2259)</f>
        <v/>
      </c>
      <c r="T2260">
        <f>IF(AND(ISNUMBER('자료_거시'!$D2242),ISNUMBER('자료_거시'!$E2242)),IFERROR('자료_거시'!$E2242-INDEX($S$21:$S$4020,MATCH(EDATE('자료_거시'!$D2242,-'설정'!$B$17),'자료_거시'!$D$3:INDEX('자료_거시'!$D$3:$D$4002,$K$6),1)),""),"")</f>
        <v/>
      </c>
      <c r="U2260">
        <f>IF(ISNUMBER(T2260),'자료_거시'!$D2242,"")</f>
        <v/>
      </c>
      <c r="V2260">
        <f>IF(ISNUMBER(U2260),IF(U2260&gt;$L$6,T2260,""),"")</f>
        <v/>
      </c>
      <c r="W2260">
        <f>IF(AND(ISNUMBER('자료_거시'!$G2242),ISNUMBER('자료_거시'!$H2242)),'자료_거시'!$H2242,"")</f>
        <v/>
      </c>
      <c r="X2260">
        <f>IF(ISNUMBER(W2260),'자료_거시'!$G2242,"")</f>
        <v/>
      </c>
      <c r="Y2260">
        <f>IF(ISNUMBER(X2260),IF(X2260&gt;$L$7,W2260,""),"")</f>
        <v/>
      </c>
      <c r="Z2260">
        <f>IF(ISNUMBER('자료_거시'!$K2242),'자료_거시'!$K2242,Z2259)</f>
        <v/>
      </c>
      <c r="AA2260">
        <f>IF(AND(ISNUMBER('자료_거시'!$J2242),ISNUMBER('자료_거시'!$K2242)),IFERROR('자료_거시'!$K2242/INDEX($Z$21:$Z$4020,MATCH(EDATE('자료_거시'!$J2242,-'설정'!$B$17),'자료_거시'!$J$3:INDEX('자료_거시'!$J$3:$J$4002,$K$8),1))-1,""),"")</f>
        <v/>
      </c>
      <c r="AB2260">
        <f>IF(ISNUMBER(AA2260),'자료_거시'!$J2242,"")</f>
        <v/>
      </c>
      <c r="AC2260">
        <f>IF(ISNUMBER(AB2260),IF(AB2260&gt;$L$8,AA2260,""),"")</f>
        <v/>
      </c>
    </row>
    <row r="2261">
      <c r="S2261">
        <f>IF(ISNUMBER('자료_거시'!$E2243),'자료_거시'!$E2243,S2260)</f>
        <v/>
      </c>
      <c r="T2261">
        <f>IF(AND(ISNUMBER('자료_거시'!$D2243),ISNUMBER('자료_거시'!$E2243)),IFERROR('자료_거시'!$E2243-INDEX($S$21:$S$4020,MATCH(EDATE('자료_거시'!$D2243,-'설정'!$B$17),'자료_거시'!$D$3:INDEX('자료_거시'!$D$3:$D$4002,$K$6),1)),""),"")</f>
        <v/>
      </c>
      <c r="U2261">
        <f>IF(ISNUMBER(T2261),'자료_거시'!$D2243,"")</f>
        <v/>
      </c>
      <c r="V2261">
        <f>IF(ISNUMBER(U2261),IF(U2261&gt;$L$6,T2261,""),"")</f>
        <v/>
      </c>
      <c r="W2261">
        <f>IF(AND(ISNUMBER('자료_거시'!$G2243),ISNUMBER('자료_거시'!$H2243)),'자료_거시'!$H2243,"")</f>
        <v/>
      </c>
      <c r="X2261">
        <f>IF(ISNUMBER(W2261),'자료_거시'!$G2243,"")</f>
        <v/>
      </c>
      <c r="Y2261">
        <f>IF(ISNUMBER(X2261),IF(X2261&gt;$L$7,W2261,""),"")</f>
        <v/>
      </c>
      <c r="Z2261">
        <f>IF(ISNUMBER('자료_거시'!$K2243),'자료_거시'!$K2243,Z2260)</f>
        <v/>
      </c>
      <c r="AA2261">
        <f>IF(AND(ISNUMBER('자료_거시'!$J2243),ISNUMBER('자료_거시'!$K2243)),IFERROR('자료_거시'!$K2243/INDEX($Z$21:$Z$4020,MATCH(EDATE('자료_거시'!$J2243,-'설정'!$B$17),'자료_거시'!$J$3:INDEX('자료_거시'!$J$3:$J$4002,$K$8),1))-1,""),"")</f>
        <v/>
      </c>
      <c r="AB2261">
        <f>IF(ISNUMBER(AA2261),'자료_거시'!$J2243,"")</f>
        <v/>
      </c>
      <c r="AC2261">
        <f>IF(ISNUMBER(AB2261),IF(AB2261&gt;$L$8,AA2261,""),"")</f>
        <v/>
      </c>
    </row>
    <row r="2262">
      <c r="S2262">
        <f>IF(ISNUMBER('자료_거시'!$E2244),'자료_거시'!$E2244,S2261)</f>
        <v/>
      </c>
      <c r="T2262">
        <f>IF(AND(ISNUMBER('자료_거시'!$D2244),ISNUMBER('자료_거시'!$E2244)),IFERROR('자료_거시'!$E2244-INDEX($S$21:$S$4020,MATCH(EDATE('자료_거시'!$D2244,-'설정'!$B$17),'자료_거시'!$D$3:INDEX('자료_거시'!$D$3:$D$4002,$K$6),1)),""),"")</f>
        <v/>
      </c>
      <c r="U2262">
        <f>IF(ISNUMBER(T2262),'자료_거시'!$D2244,"")</f>
        <v/>
      </c>
      <c r="V2262">
        <f>IF(ISNUMBER(U2262),IF(U2262&gt;$L$6,T2262,""),"")</f>
        <v/>
      </c>
      <c r="W2262">
        <f>IF(AND(ISNUMBER('자료_거시'!$G2244),ISNUMBER('자료_거시'!$H2244)),'자료_거시'!$H2244,"")</f>
        <v/>
      </c>
      <c r="X2262">
        <f>IF(ISNUMBER(W2262),'자료_거시'!$G2244,"")</f>
        <v/>
      </c>
      <c r="Y2262">
        <f>IF(ISNUMBER(X2262),IF(X2262&gt;$L$7,W2262,""),"")</f>
        <v/>
      </c>
      <c r="Z2262">
        <f>IF(ISNUMBER('자료_거시'!$K2244),'자료_거시'!$K2244,Z2261)</f>
        <v/>
      </c>
      <c r="AA2262">
        <f>IF(AND(ISNUMBER('자료_거시'!$J2244),ISNUMBER('자료_거시'!$K2244)),IFERROR('자료_거시'!$K2244/INDEX($Z$21:$Z$4020,MATCH(EDATE('자료_거시'!$J2244,-'설정'!$B$17),'자료_거시'!$J$3:INDEX('자료_거시'!$J$3:$J$4002,$K$8),1))-1,""),"")</f>
        <v/>
      </c>
      <c r="AB2262">
        <f>IF(ISNUMBER(AA2262),'자료_거시'!$J2244,"")</f>
        <v/>
      </c>
      <c r="AC2262">
        <f>IF(ISNUMBER(AB2262),IF(AB2262&gt;$L$8,AA2262,""),"")</f>
        <v/>
      </c>
    </row>
    <row r="2263">
      <c r="S2263">
        <f>IF(ISNUMBER('자료_거시'!$E2245),'자료_거시'!$E2245,S2262)</f>
        <v/>
      </c>
      <c r="T2263">
        <f>IF(AND(ISNUMBER('자료_거시'!$D2245),ISNUMBER('자료_거시'!$E2245)),IFERROR('자료_거시'!$E2245-INDEX($S$21:$S$4020,MATCH(EDATE('자료_거시'!$D2245,-'설정'!$B$17),'자료_거시'!$D$3:INDEX('자료_거시'!$D$3:$D$4002,$K$6),1)),""),"")</f>
        <v/>
      </c>
      <c r="U2263">
        <f>IF(ISNUMBER(T2263),'자료_거시'!$D2245,"")</f>
        <v/>
      </c>
      <c r="V2263">
        <f>IF(ISNUMBER(U2263),IF(U2263&gt;$L$6,T2263,""),"")</f>
        <v/>
      </c>
      <c r="W2263">
        <f>IF(AND(ISNUMBER('자료_거시'!$G2245),ISNUMBER('자료_거시'!$H2245)),'자료_거시'!$H2245,"")</f>
        <v/>
      </c>
      <c r="X2263">
        <f>IF(ISNUMBER(W2263),'자료_거시'!$G2245,"")</f>
        <v/>
      </c>
      <c r="Y2263">
        <f>IF(ISNUMBER(X2263),IF(X2263&gt;$L$7,W2263,""),"")</f>
        <v/>
      </c>
      <c r="Z2263">
        <f>IF(ISNUMBER('자료_거시'!$K2245),'자료_거시'!$K2245,Z2262)</f>
        <v/>
      </c>
      <c r="AA2263">
        <f>IF(AND(ISNUMBER('자료_거시'!$J2245),ISNUMBER('자료_거시'!$K2245)),IFERROR('자료_거시'!$K2245/INDEX($Z$21:$Z$4020,MATCH(EDATE('자료_거시'!$J2245,-'설정'!$B$17),'자료_거시'!$J$3:INDEX('자료_거시'!$J$3:$J$4002,$K$8),1))-1,""),"")</f>
        <v/>
      </c>
      <c r="AB2263">
        <f>IF(ISNUMBER(AA2263),'자료_거시'!$J2245,"")</f>
        <v/>
      </c>
      <c r="AC2263">
        <f>IF(ISNUMBER(AB2263),IF(AB2263&gt;$L$8,AA2263,""),"")</f>
        <v/>
      </c>
    </row>
    <row r="2264">
      <c r="S2264">
        <f>IF(ISNUMBER('자료_거시'!$E2246),'자료_거시'!$E2246,S2263)</f>
        <v/>
      </c>
      <c r="T2264">
        <f>IF(AND(ISNUMBER('자료_거시'!$D2246),ISNUMBER('자료_거시'!$E2246)),IFERROR('자료_거시'!$E2246-INDEX($S$21:$S$4020,MATCH(EDATE('자료_거시'!$D2246,-'설정'!$B$17),'자료_거시'!$D$3:INDEX('자료_거시'!$D$3:$D$4002,$K$6),1)),""),"")</f>
        <v/>
      </c>
      <c r="U2264">
        <f>IF(ISNUMBER(T2264),'자료_거시'!$D2246,"")</f>
        <v/>
      </c>
      <c r="V2264">
        <f>IF(ISNUMBER(U2264),IF(U2264&gt;$L$6,T2264,""),"")</f>
        <v/>
      </c>
      <c r="W2264">
        <f>IF(AND(ISNUMBER('자료_거시'!$G2246),ISNUMBER('자료_거시'!$H2246)),'자료_거시'!$H2246,"")</f>
        <v/>
      </c>
      <c r="X2264">
        <f>IF(ISNUMBER(W2264),'자료_거시'!$G2246,"")</f>
        <v/>
      </c>
      <c r="Y2264">
        <f>IF(ISNUMBER(X2264),IF(X2264&gt;$L$7,W2264,""),"")</f>
        <v/>
      </c>
      <c r="Z2264">
        <f>IF(ISNUMBER('자료_거시'!$K2246),'자료_거시'!$K2246,Z2263)</f>
        <v/>
      </c>
      <c r="AA2264">
        <f>IF(AND(ISNUMBER('자료_거시'!$J2246),ISNUMBER('자료_거시'!$K2246)),IFERROR('자료_거시'!$K2246/INDEX($Z$21:$Z$4020,MATCH(EDATE('자료_거시'!$J2246,-'설정'!$B$17),'자료_거시'!$J$3:INDEX('자료_거시'!$J$3:$J$4002,$K$8),1))-1,""),"")</f>
        <v/>
      </c>
      <c r="AB2264">
        <f>IF(ISNUMBER(AA2264),'자료_거시'!$J2246,"")</f>
        <v/>
      </c>
      <c r="AC2264">
        <f>IF(ISNUMBER(AB2264),IF(AB2264&gt;$L$8,AA2264,""),"")</f>
        <v/>
      </c>
    </row>
    <row r="2265">
      <c r="S2265">
        <f>IF(ISNUMBER('자료_거시'!$E2247),'자료_거시'!$E2247,S2264)</f>
        <v/>
      </c>
      <c r="T2265">
        <f>IF(AND(ISNUMBER('자료_거시'!$D2247),ISNUMBER('자료_거시'!$E2247)),IFERROR('자료_거시'!$E2247-INDEX($S$21:$S$4020,MATCH(EDATE('자료_거시'!$D2247,-'설정'!$B$17),'자료_거시'!$D$3:INDEX('자료_거시'!$D$3:$D$4002,$K$6),1)),""),"")</f>
        <v/>
      </c>
      <c r="U2265">
        <f>IF(ISNUMBER(T2265),'자료_거시'!$D2247,"")</f>
        <v/>
      </c>
      <c r="V2265">
        <f>IF(ISNUMBER(U2265),IF(U2265&gt;$L$6,T2265,""),"")</f>
        <v/>
      </c>
      <c r="W2265">
        <f>IF(AND(ISNUMBER('자료_거시'!$G2247),ISNUMBER('자료_거시'!$H2247)),'자료_거시'!$H2247,"")</f>
        <v/>
      </c>
      <c r="X2265">
        <f>IF(ISNUMBER(W2265),'자료_거시'!$G2247,"")</f>
        <v/>
      </c>
      <c r="Y2265">
        <f>IF(ISNUMBER(X2265),IF(X2265&gt;$L$7,W2265,""),"")</f>
        <v/>
      </c>
      <c r="Z2265">
        <f>IF(ISNUMBER('자료_거시'!$K2247),'자료_거시'!$K2247,Z2264)</f>
        <v/>
      </c>
      <c r="AA2265">
        <f>IF(AND(ISNUMBER('자료_거시'!$J2247),ISNUMBER('자료_거시'!$K2247)),IFERROR('자료_거시'!$K2247/INDEX($Z$21:$Z$4020,MATCH(EDATE('자료_거시'!$J2247,-'설정'!$B$17),'자료_거시'!$J$3:INDEX('자료_거시'!$J$3:$J$4002,$K$8),1))-1,""),"")</f>
        <v/>
      </c>
      <c r="AB2265">
        <f>IF(ISNUMBER(AA2265),'자료_거시'!$J2247,"")</f>
        <v/>
      </c>
      <c r="AC2265">
        <f>IF(ISNUMBER(AB2265),IF(AB2265&gt;$L$8,AA2265,""),"")</f>
        <v/>
      </c>
    </row>
    <row r="2266">
      <c r="S2266">
        <f>IF(ISNUMBER('자료_거시'!$E2248),'자료_거시'!$E2248,S2265)</f>
        <v/>
      </c>
      <c r="T2266">
        <f>IF(AND(ISNUMBER('자료_거시'!$D2248),ISNUMBER('자료_거시'!$E2248)),IFERROR('자료_거시'!$E2248-INDEX($S$21:$S$4020,MATCH(EDATE('자료_거시'!$D2248,-'설정'!$B$17),'자료_거시'!$D$3:INDEX('자료_거시'!$D$3:$D$4002,$K$6),1)),""),"")</f>
        <v/>
      </c>
      <c r="U2266">
        <f>IF(ISNUMBER(T2266),'자료_거시'!$D2248,"")</f>
        <v/>
      </c>
      <c r="V2266">
        <f>IF(ISNUMBER(U2266),IF(U2266&gt;$L$6,T2266,""),"")</f>
        <v/>
      </c>
      <c r="W2266">
        <f>IF(AND(ISNUMBER('자료_거시'!$G2248),ISNUMBER('자료_거시'!$H2248)),'자료_거시'!$H2248,"")</f>
        <v/>
      </c>
      <c r="X2266">
        <f>IF(ISNUMBER(W2266),'자료_거시'!$G2248,"")</f>
        <v/>
      </c>
      <c r="Y2266">
        <f>IF(ISNUMBER(X2266),IF(X2266&gt;$L$7,W2266,""),"")</f>
        <v/>
      </c>
      <c r="Z2266">
        <f>IF(ISNUMBER('자료_거시'!$K2248),'자료_거시'!$K2248,Z2265)</f>
        <v/>
      </c>
      <c r="AA2266">
        <f>IF(AND(ISNUMBER('자료_거시'!$J2248),ISNUMBER('자료_거시'!$K2248)),IFERROR('자료_거시'!$K2248/INDEX($Z$21:$Z$4020,MATCH(EDATE('자료_거시'!$J2248,-'설정'!$B$17),'자료_거시'!$J$3:INDEX('자료_거시'!$J$3:$J$4002,$K$8),1))-1,""),"")</f>
        <v/>
      </c>
      <c r="AB2266">
        <f>IF(ISNUMBER(AA2266),'자료_거시'!$J2248,"")</f>
        <v/>
      </c>
      <c r="AC2266">
        <f>IF(ISNUMBER(AB2266),IF(AB2266&gt;$L$8,AA2266,""),"")</f>
        <v/>
      </c>
    </row>
    <row r="2267">
      <c r="S2267">
        <f>IF(ISNUMBER('자료_거시'!$E2249),'자료_거시'!$E2249,S2266)</f>
        <v/>
      </c>
      <c r="T2267">
        <f>IF(AND(ISNUMBER('자료_거시'!$D2249),ISNUMBER('자료_거시'!$E2249)),IFERROR('자료_거시'!$E2249-INDEX($S$21:$S$4020,MATCH(EDATE('자료_거시'!$D2249,-'설정'!$B$17),'자료_거시'!$D$3:INDEX('자료_거시'!$D$3:$D$4002,$K$6),1)),""),"")</f>
        <v/>
      </c>
      <c r="U2267">
        <f>IF(ISNUMBER(T2267),'자료_거시'!$D2249,"")</f>
        <v/>
      </c>
      <c r="V2267">
        <f>IF(ISNUMBER(U2267),IF(U2267&gt;$L$6,T2267,""),"")</f>
        <v/>
      </c>
      <c r="W2267">
        <f>IF(AND(ISNUMBER('자료_거시'!$G2249),ISNUMBER('자료_거시'!$H2249)),'자료_거시'!$H2249,"")</f>
        <v/>
      </c>
      <c r="X2267">
        <f>IF(ISNUMBER(W2267),'자료_거시'!$G2249,"")</f>
        <v/>
      </c>
      <c r="Y2267">
        <f>IF(ISNUMBER(X2267),IF(X2267&gt;$L$7,W2267,""),"")</f>
        <v/>
      </c>
      <c r="Z2267">
        <f>IF(ISNUMBER('자료_거시'!$K2249),'자료_거시'!$K2249,Z2266)</f>
        <v/>
      </c>
      <c r="AA2267">
        <f>IF(AND(ISNUMBER('자료_거시'!$J2249),ISNUMBER('자료_거시'!$K2249)),IFERROR('자료_거시'!$K2249/INDEX($Z$21:$Z$4020,MATCH(EDATE('자료_거시'!$J2249,-'설정'!$B$17),'자료_거시'!$J$3:INDEX('자료_거시'!$J$3:$J$4002,$K$8),1))-1,""),"")</f>
        <v/>
      </c>
      <c r="AB2267">
        <f>IF(ISNUMBER(AA2267),'자료_거시'!$J2249,"")</f>
        <v/>
      </c>
      <c r="AC2267">
        <f>IF(ISNUMBER(AB2267),IF(AB2267&gt;$L$8,AA2267,""),"")</f>
        <v/>
      </c>
    </row>
    <row r="2268">
      <c r="S2268">
        <f>IF(ISNUMBER('자료_거시'!$E2250),'자료_거시'!$E2250,S2267)</f>
        <v/>
      </c>
      <c r="T2268">
        <f>IF(AND(ISNUMBER('자료_거시'!$D2250),ISNUMBER('자료_거시'!$E2250)),IFERROR('자료_거시'!$E2250-INDEX($S$21:$S$4020,MATCH(EDATE('자료_거시'!$D2250,-'설정'!$B$17),'자료_거시'!$D$3:INDEX('자료_거시'!$D$3:$D$4002,$K$6),1)),""),"")</f>
        <v/>
      </c>
      <c r="U2268">
        <f>IF(ISNUMBER(T2268),'자료_거시'!$D2250,"")</f>
        <v/>
      </c>
      <c r="V2268">
        <f>IF(ISNUMBER(U2268),IF(U2268&gt;$L$6,T2268,""),"")</f>
        <v/>
      </c>
      <c r="W2268">
        <f>IF(AND(ISNUMBER('자료_거시'!$G2250),ISNUMBER('자료_거시'!$H2250)),'자료_거시'!$H2250,"")</f>
        <v/>
      </c>
      <c r="X2268">
        <f>IF(ISNUMBER(W2268),'자료_거시'!$G2250,"")</f>
        <v/>
      </c>
      <c r="Y2268">
        <f>IF(ISNUMBER(X2268),IF(X2268&gt;$L$7,W2268,""),"")</f>
        <v/>
      </c>
      <c r="Z2268">
        <f>IF(ISNUMBER('자료_거시'!$K2250),'자료_거시'!$K2250,Z2267)</f>
        <v/>
      </c>
      <c r="AA2268">
        <f>IF(AND(ISNUMBER('자료_거시'!$J2250),ISNUMBER('자료_거시'!$K2250)),IFERROR('자료_거시'!$K2250/INDEX($Z$21:$Z$4020,MATCH(EDATE('자료_거시'!$J2250,-'설정'!$B$17),'자료_거시'!$J$3:INDEX('자료_거시'!$J$3:$J$4002,$K$8),1))-1,""),"")</f>
        <v/>
      </c>
      <c r="AB2268">
        <f>IF(ISNUMBER(AA2268),'자료_거시'!$J2250,"")</f>
        <v/>
      </c>
      <c r="AC2268">
        <f>IF(ISNUMBER(AB2268),IF(AB2268&gt;$L$8,AA2268,""),"")</f>
        <v/>
      </c>
    </row>
    <row r="2269">
      <c r="S2269">
        <f>IF(ISNUMBER('자료_거시'!$E2251),'자료_거시'!$E2251,S2268)</f>
        <v/>
      </c>
      <c r="T2269">
        <f>IF(AND(ISNUMBER('자료_거시'!$D2251),ISNUMBER('자료_거시'!$E2251)),IFERROR('자료_거시'!$E2251-INDEX($S$21:$S$4020,MATCH(EDATE('자료_거시'!$D2251,-'설정'!$B$17),'자료_거시'!$D$3:INDEX('자료_거시'!$D$3:$D$4002,$K$6),1)),""),"")</f>
        <v/>
      </c>
      <c r="U2269">
        <f>IF(ISNUMBER(T2269),'자료_거시'!$D2251,"")</f>
        <v/>
      </c>
      <c r="V2269">
        <f>IF(ISNUMBER(U2269),IF(U2269&gt;$L$6,T2269,""),"")</f>
        <v/>
      </c>
      <c r="W2269">
        <f>IF(AND(ISNUMBER('자료_거시'!$G2251),ISNUMBER('자료_거시'!$H2251)),'자료_거시'!$H2251,"")</f>
        <v/>
      </c>
      <c r="X2269">
        <f>IF(ISNUMBER(W2269),'자료_거시'!$G2251,"")</f>
        <v/>
      </c>
      <c r="Y2269">
        <f>IF(ISNUMBER(X2269),IF(X2269&gt;$L$7,W2269,""),"")</f>
        <v/>
      </c>
      <c r="Z2269">
        <f>IF(ISNUMBER('자료_거시'!$K2251),'자료_거시'!$K2251,Z2268)</f>
        <v/>
      </c>
      <c r="AA2269">
        <f>IF(AND(ISNUMBER('자료_거시'!$J2251),ISNUMBER('자료_거시'!$K2251)),IFERROR('자료_거시'!$K2251/INDEX($Z$21:$Z$4020,MATCH(EDATE('자료_거시'!$J2251,-'설정'!$B$17),'자료_거시'!$J$3:INDEX('자료_거시'!$J$3:$J$4002,$K$8),1))-1,""),"")</f>
        <v/>
      </c>
      <c r="AB2269">
        <f>IF(ISNUMBER(AA2269),'자료_거시'!$J2251,"")</f>
        <v/>
      </c>
      <c r="AC2269">
        <f>IF(ISNUMBER(AB2269),IF(AB2269&gt;$L$8,AA2269,""),"")</f>
        <v/>
      </c>
    </row>
    <row r="2270">
      <c r="S2270">
        <f>IF(ISNUMBER('자료_거시'!$E2252),'자료_거시'!$E2252,S2269)</f>
        <v/>
      </c>
      <c r="T2270">
        <f>IF(AND(ISNUMBER('자료_거시'!$D2252),ISNUMBER('자료_거시'!$E2252)),IFERROR('자료_거시'!$E2252-INDEX($S$21:$S$4020,MATCH(EDATE('자료_거시'!$D2252,-'설정'!$B$17),'자료_거시'!$D$3:INDEX('자료_거시'!$D$3:$D$4002,$K$6),1)),""),"")</f>
        <v/>
      </c>
      <c r="U2270">
        <f>IF(ISNUMBER(T2270),'자료_거시'!$D2252,"")</f>
        <v/>
      </c>
      <c r="V2270">
        <f>IF(ISNUMBER(U2270),IF(U2270&gt;$L$6,T2270,""),"")</f>
        <v/>
      </c>
      <c r="W2270">
        <f>IF(AND(ISNUMBER('자료_거시'!$G2252),ISNUMBER('자료_거시'!$H2252)),'자료_거시'!$H2252,"")</f>
        <v/>
      </c>
      <c r="X2270">
        <f>IF(ISNUMBER(W2270),'자료_거시'!$G2252,"")</f>
        <v/>
      </c>
      <c r="Y2270">
        <f>IF(ISNUMBER(X2270),IF(X2270&gt;$L$7,W2270,""),"")</f>
        <v/>
      </c>
      <c r="Z2270">
        <f>IF(ISNUMBER('자료_거시'!$K2252),'자료_거시'!$K2252,Z2269)</f>
        <v/>
      </c>
      <c r="AA2270">
        <f>IF(AND(ISNUMBER('자료_거시'!$J2252),ISNUMBER('자료_거시'!$K2252)),IFERROR('자료_거시'!$K2252/INDEX($Z$21:$Z$4020,MATCH(EDATE('자료_거시'!$J2252,-'설정'!$B$17),'자료_거시'!$J$3:INDEX('자료_거시'!$J$3:$J$4002,$K$8),1))-1,""),"")</f>
        <v/>
      </c>
      <c r="AB2270">
        <f>IF(ISNUMBER(AA2270),'자료_거시'!$J2252,"")</f>
        <v/>
      </c>
      <c r="AC2270">
        <f>IF(ISNUMBER(AB2270),IF(AB2270&gt;$L$8,AA2270,""),"")</f>
        <v/>
      </c>
    </row>
    <row r="2271">
      <c r="S2271">
        <f>IF(ISNUMBER('자료_거시'!$E2253),'자료_거시'!$E2253,S2270)</f>
        <v/>
      </c>
      <c r="T2271">
        <f>IF(AND(ISNUMBER('자료_거시'!$D2253),ISNUMBER('자료_거시'!$E2253)),IFERROR('자료_거시'!$E2253-INDEX($S$21:$S$4020,MATCH(EDATE('자료_거시'!$D2253,-'설정'!$B$17),'자료_거시'!$D$3:INDEX('자료_거시'!$D$3:$D$4002,$K$6),1)),""),"")</f>
        <v/>
      </c>
      <c r="U2271">
        <f>IF(ISNUMBER(T2271),'자료_거시'!$D2253,"")</f>
        <v/>
      </c>
      <c r="V2271">
        <f>IF(ISNUMBER(U2271),IF(U2271&gt;$L$6,T2271,""),"")</f>
        <v/>
      </c>
      <c r="W2271">
        <f>IF(AND(ISNUMBER('자료_거시'!$G2253),ISNUMBER('자료_거시'!$H2253)),'자료_거시'!$H2253,"")</f>
        <v/>
      </c>
      <c r="X2271">
        <f>IF(ISNUMBER(W2271),'자료_거시'!$G2253,"")</f>
        <v/>
      </c>
      <c r="Y2271">
        <f>IF(ISNUMBER(X2271),IF(X2271&gt;$L$7,W2271,""),"")</f>
        <v/>
      </c>
      <c r="Z2271">
        <f>IF(ISNUMBER('자료_거시'!$K2253),'자료_거시'!$K2253,Z2270)</f>
        <v/>
      </c>
      <c r="AA2271">
        <f>IF(AND(ISNUMBER('자료_거시'!$J2253),ISNUMBER('자료_거시'!$K2253)),IFERROR('자료_거시'!$K2253/INDEX($Z$21:$Z$4020,MATCH(EDATE('자료_거시'!$J2253,-'설정'!$B$17),'자료_거시'!$J$3:INDEX('자료_거시'!$J$3:$J$4002,$K$8),1))-1,""),"")</f>
        <v/>
      </c>
      <c r="AB2271">
        <f>IF(ISNUMBER(AA2271),'자료_거시'!$J2253,"")</f>
        <v/>
      </c>
      <c r="AC2271">
        <f>IF(ISNUMBER(AB2271),IF(AB2271&gt;$L$8,AA2271,""),"")</f>
        <v/>
      </c>
    </row>
    <row r="2272">
      <c r="S2272">
        <f>IF(ISNUMBER('자료_거시'!$E2254),'자료_거시'!$E2254,S2271)</f>
        <v/>
      </c>
      <c r="T2272">
        <f>IF(AND(ISNUMBER('자료_거시'!$D2254),ISNUMBER('자료_거시'!$E2254)),IFERROR('자료_거시'!$E2254-INDEX($S$21:$S$4020,MATCH(EDATE('자료_거시'!$D2254,-'설정'!$B$17),'자료_거시'!$D$3:INDEX('자료_거시'!$D$3:$D$4002,$K$6),1)),""),"")</f>
        <v/>
      </c>
      <c r="U2272">
        <f>IF(ISNUMBER(T2272),'자료_거시'!$D2254,"")</f>
        <v/>
      </c>
      <c r="V2272">
        <f>IF(ISNUMBER(U2272),IF(U2272&gt;$L$6,T2272,""),"")</f>
        <v/>
      </c>
      <c r="W2272">
        <f>IF(AND(ISNUMBER('자료_거시'!$G2254),ISNUMBER('자료_거시'!$H2254)),'자료_거시'!$H2254,"")</f>
        <v/>
      </c>
      <c r="X2272">
        <f>IF(ISNUMBER(W2272),'자료_거시'!$G2254,"")</f>
        <v/>
      </c>
      <c r="Y2272">
        <f>IF(ISNUMBER(X2272),IF(X2272&gt;$L$7,W2272,""),"")</f>
        <v/>
      </c>
      <c r="Z2272">
        <f>IF(ISNUMBER('자료_거시'!$K2254),'자료_거시'!$K2254,Z2271)</f>
        <v/>
      </c>
      <c r="AA2272">
        <f>IF(AND(ISNUMBER('자료_거시'!$J2254),ISNUMBER('자료_거시'!$K2254)),IFERROR('자료_거시'!$K2254/INDEX($Z$21:$Z$4020,MATCH(EDATE('자료_거시'!$J2254,-'설정'!$B$17),'자료_거시'!$J$3:INDEX('자료_거시'!$J$3:$J$4002,$K$8),1))-1,""),"")</f>
        <v/>
      </c>
      <c r="AB2272">
        <f>IF(ISNUMBER(AA2272),'자료_거시'!$J2254,"")</f>
        <v/>
      </c>
      <c r="AC2272">
        <f>IF(ISNUMBER(AB2272),IF(AB2272&gt;$L$8,AA2272,""),"")</f>
        <v/>
      </c>
    </row>
    <row r="2273">
      <c r="S2273">
        <f>IF(ISNUMBER('자료_거시'!$E2255),'자료_거시'!$E2255,S2272)</f>
        <v/>
      </c>
      <c r="T2273">
        <f>IF(AND(ISNUMBER('자료_거시'!$D2255),ISNUMBER('자료_거시'!$E2255)),IFERROR('자료_거시'!$E2255-INDEX($S$21:$S$4020,MATCH(EDATE('자료_거시'!$D2255,-'설정'!$B$17),'자료_거시'!$D$3:INDEX('자료_거시'!$D$3:$D$4002,$K$6),1)),""),"")</f>
        <v/>
      </c>
      <c r="U2273">
        <f>IF(ISNUMBER(T2273),'자료_거시'!$D2255,"")</f>
        <v/>
      </c>
      <c r="V2273">
        <f>IF(ISNUMBER(U2273),IF(U2273&gt;$L$6,T2273,""),"")</f>
        <v/>
      </c>
      <c r="W2273">
        <f>IF(AND(ISNUMBER('자료_거시'!$G2255),ISNUMBER('자료_거시'!$H2255)),'자료_거시'!$H2255,"")</f>
        <v/>
      </c>
      <c r="X2273">
        <f>IF(ISNUMBER(W2273),'자료_거시'!$G2255,"")</f>
        <v/>
      </c>
      <c r="Y2273">
        <f>IF(ISNUMBER(X2273),IF(X2273&gt;$L$7,W2273,""),"")</f>
        <v/>
      </c>
      <c r="Z2273">
        <f>IF(ISNUMBER('자료_거시'!$K2255),'자료_거시'!$K2255,Z2272)</f>
        <v/>
      </c>
      <c r="AA2273">
        <f>IF(AND(ISNUMBER('자료_거시'!$J2255),ISNUMBER('자료_거시'!$K2255)),IFERROR('자료_거시'!$K2255/INDEX($Z$21:$Z$4020,MATCH(EDATE('자료_거시'!$J2255,-'설정'!$B$17),'자료_거시'!$J$3:INDEX('자료_거시'!$J$3:$J$4002,$K$8),1))-1,""),"")</f>
        <v/>
      </c>
      <c r="AB2273">
        <f>IF(ISNUMBER(AA2273),'자료_거시'!$J2255,"")</f>
        <v/>
      </c>
      <c r="AC2273">
        <f>IF(ISNUMBER(AB2273),IF(AB2273&gt;$L$8,AA2273,""),"")</f>
        <v/>
      </c>
    </row>
    <row r="2274">
      <c r="S2274">
        <f>IF(ISNUMBER('자료_거시'!$E2256),'자료_거시'!$E2256,S2273)</f>
        <v/>
      </c>
      <c r="T2274">
        <f>IF(AND(ISNUMBER('자료_거시'!$D2256),ISNUMBER('자료_거시'!$E2256)),IFERROR('자료_거시'!$E2256-INDEX($S$21:$S$4020,MATCH(EDATE('자료_거시'!$D2256,-'설정'!$B$17),'자료_거시'!$D$3:INDEX('자료_거시'!$D$3:$D$4002,$K$6),1)),""),"")</f>
        <v/>
      </c>
      <c r="U2274">
        <f>IF(ISNUMBER(T2274),'자료_거시'!$D2256,"")</f>
        <v/>
      </c>
      <c r="V2274">
        <f>IF(ISNUMBER(U2274),IF(U2274&gt;$L$6,T2274,""),"")</f>
        <v/>
      </c>
      <c r="W2274">
        <f>IF(AND(ISNUMBER('자료_거시'!$G2256),ISNUMBER('자료_거시'!$H2256)),'자료_거시'!$H2256,"")</f>
        <v/>
      </c>
      <c r="X2274">
        <f>IF(ISNUMBER(W2274),'자료_거시'!$G2256,"")</f>
        <v/>
      </c>
      <c r="Y2274">
        <f>IF(ISNUMBER(X2274),IF(X2274&gt;$L$7,W2274,""),"")</f>
        <v/>
      </c>
      <c r="Z2274">
        <f>IF(ISNUMBER('자료_거시'!$K2256),'자료_거시'!$K2256,Z2273)</f>
        <v/>
      </c>
      <c r="AA2274">
        <f>IF(AND(ISNUMBER('자료_거시'!$J2256),ISNUMBER('자료_거시'!$K2256)),IFERROR('자료_거시'!$K2256/INDEX($Z$21:$Z$4020,MATCH(EDATE('자료_거시'!$J2256,-'설정'!$B$17),'자료_거시'!$J$3:INDEX('자료_거시'!$J$3:$J$4002,$K$8),1))-1,""),"")</f>
        <v/>
      </c>
      <c r="AB2274">
        <f>IF(ISNUMBER(AA2274),'자료_거시'!$J2256,"")</f>
        <v/>
      </c>
      <c r="AC2274">
        <f>IF(ISNUMBER(AB2274),IF(AB2274&gt;$L$8,AA2274,""),"")</f>
        <v/>
      </c>
    </row>
    <row r="2275">
      <c r="S2275">
        <f>IF(ISNUMBER('자료_거시'!$E2257),'자료_거시'!$E2257,S2274)</f>
        <v/>
      </c>
      <c r="T2275">
        <f>IF(AND(ISNUMBER('자료_거시'!$D2257),ISNUMBER('자료_거시'!$E2257)),IFERROR('자료_거시'!$E2257-INDEX($S$21:$S$4020,MATCH(EDATE('자료_거시'!$D2257,-'설정'!$B$17),'자료_거시'!$D$3:INDEX('자료_거시'!$D$3:$D$4002,$K$6),1)),""),"")</f>
        <v/>
      </c>
      <c r="U2275">
        <f>IF(ISNUMBER(T2275),'자료_거시'!$D2257,"")</f>
        <v/>
      </c>
      <c r="V2275">
        <f>IF(ISNUMBER(U2275),IF(U2275&gt;$L$6,T2275,""),"")</f>
        <v/>
      </c>
      <c r="W2275">
        <f>IF(AND(ISNUMBER('자료_거시'!$G2257),ISNUMBER('자료_거시'!$H2257)),'자료_거시'!$H2257,"")</f>
        <v/>
      </c>
      <c r="X2275">
        <f>IF(ISNUMBER(W2275),'자료_거시'!$G2257,"")</f>
        <v/>
      </c>
      <c r="Y2275">
        <f>IF(ISNUMBER(X2275),IF(X2275&gt;$L$7,W2275,""),"")</f>
        <v/>
      </c>
      <c r="Z2275">
        <f>IF(ISNUMBER('자료_거시'!$K2257),'자료_거시'!$K2257,Z2274)</f>
        <v/>
      </c>
      <c r="AA2275">
        <f>IF(AND(ISNUMBER('자료_거시'!$J2257),ISNUMBER('자료_거시'!$K2257)),IFERROR('자료_거시'!$K2257/INDEX($Z$21:$Z$4020,MATCH(EDATE('자료_거시'!$J2257,-'설정'!$B$17),'자료_거시'!$J$3:INDEX('자료_거시'!$J$3:$J$4002,$K$8),1))-1,""),"")</f>
        <v/>
      </c>
      <c r="AB2275">
        <f>IF(ISNUMBER(AA2275),'자료_거시'!$J2257,"")</f>
        <v/>
      </c>
      <c r="AC2275">
        <f>IF(ISNUMBER(AB2275),IF(AB2275&gt;$L$8,AA2275,""),"")</f>
        <v/>
      </c>
    </row>
    <row r="2276">
      <c r="S2276">
        <f>IF(ISNUMBER('자료_거시'!$E2258),'자료_거시'!$E2258,S2275)</f>
        <v/>
      </c>
      <c r="T2276">
        <f>IF(AND(ISNUMBER('자료_거시'!$D2258),ISNUMBER('자료_거시'!$E2258)),IFERROR('자료_거시'!$E2258-INDEX($S$21:$S$4020,MATCH(EDATE('자료_거시'!$D2258,-'설정'!$B$17),'자료_거시'!$D$3:INDEX('자료_거시'!$D$3:$D$4002,$K$6),1)),""),"")</f>
        <v/>
      </c>
      <c r="U2276">
        <f>IF(ISNUMBER(T2276),'자료_거시'!$D2258,"")</f>
        <v/>
      </c>
      <c r="V2276">
        <f>IF(ISNUMBER(U2276),IF(U2276&gt;$L$6,T2276,""),"")</f>
        <v/>
      </c>
      <c r="W2276">
        <f>IF(AND(ISNUMBER('자료_거시'!$G2258),ISNUMBER('자료_거시'!$H2258)),'자료_거시'!$H2258,"")</f>
        <v/>
      </c>
      <c r="X2276">
        <f>IF(ISNUMBER(W2276),'자료_거시'!$G2258,"")</f>
        <v/>
      </c>
      <c r="Y2276">
        <f>IF(ISNUMBER(X2276),IF(X2276&gt;$L$7,W2276,""),"")</f>
        <v/>
      </c>
      <c r="Z2276">
        <f>IF(ISNUMBER('자료_거시'!$K2258),'자료_거시'!$K2258,Z2275)</f>
        <v/>
      </c>
      <c r="AA2276">
        <f>IF(AND(ISNUMBER('자료_거시'!$J2258),ISNUMBER('자료_거시'!$K2258)),IFERROR('자료_거시'!$K2258/INDEX($Z$21:$Z$4020,MATCH(EDATE('자료_거시'!$J2258,-'설정'!$B$17),'자료_거시'!$J$3:INDEX('자료_거시'!$J$3:$J$4002,$K$8),1))-1,""),"")</f>
        <v/>
      </c>
      <c r="AB2276">
        <f>IF(ISNUMBER(AA2276),'자료_거시'!$J2258,"")</f>
        <v/>
      </c>
      <c r="AC2276">
        <f>IF(ISNUMBER(AB2276),IF(AB2276&gt;$L$8,AA2276,""),"")</f>
        <v/>
      </c>
    </row>
    <row r="2277">
      <c r="S2277">
        <f>IF(ISNUMBER('자료_거시'!$E2259),'자료_거시'!$E2259,S2276)</f>
        <v/>
      </c>
      <c r="T2277">
        <f>IF(AND(ISNUMBER('자료_거시'!$D2259),ISNUMBER('자료_거시'!$E2259)),IFERROR('자료_거시'!$E2259-INDEX($S$21:$S$4020,MATCH(EDATE('자료_거시'!$D2259,-'설정'!$B$17),'자료_거시'!$D$3:INDEX('자료_거시'!$D$3:$D$4002,$K$6),1)),""),"")</f>
        <v/>
      </c>
      <c r="U2277">
        <f>IF(ISNUMBER(T2277),'자료_거시'!$D2259,"")</f>
        <v/>
      </c>
      <c r="V2277">
        <f>IF(ISNUMBER(U2277),IF(U2277&gt;$L$6,T2277,""),"")</f>
        <v/>
      </c>
      <c r="W2277">
        <f>IF(AND(ISNUMBER('자료_거시'!$G2259),ISNUMBER('자료_거시'!$H2259)),'자료_거시'!$H2259,"")</f>
        <v/>
      </c>
      <c r="X2277">
        <f>IF(ISNUMBER(W2277),'자료_거시'!$G2259,"")</f>
        <v/>
      </c>
      <c r="Y2277">
        <f>IF(ISNUMBER(X2277),IF(X2277&gt;$L$7,W2277,""),"")</f>
        <v/>
      </c>
      <c r="Z2277">
        <f>IF(ISNUMBER('자료_거시'!$K2259),'자료_거시'!$K2259,Z2276)</f>
        <v/>
      </c>
      <c r="AA2277">
        <f>IF(AND(ISNUMBER('자료_거시'!$J2259),ISNUMBER('자료_거시'!$K2259)),IFERROR('자료_거시'!$K2259/INDEX($Z$21:$Z$4020,MATCH(EDATE('자료_거시'!$J2259,-'설정'!$B$17),'자료_거시'!$J$3:INDEX('자료_거시'!$J$3:$J$4002,$K$8),1))-1,""),"")</f>
        <v/>
      </c>
      <c r="AB2277">
        <f>IF(ISNUMBER(AA2277),'자료_거시'!$J2259,"")</f>
        <v/>
      </c>
      <c r="AC2277">
        <f>IF(ISNUMBER(AB2277),IF(AB2277&gt;$L$8,AA2277,""),"")</f>
        <v/>
      </c>
    </row>
    <row r="2278">
      <c r="S2278">
        <f>IF(ISNUMBER('자료_거시'!$E2260),'자료_거시'!$E2260,S2277)</f>
        <v/>
      </c>
      <c r="T2278">
        <f>IF(AND(ISNUMBER('자료_거시'!$D2260),ISNUMBER('자료_거시'!$E2260)),IFERROR('자료_거시'!$E2260-INDEX($S$21:$S$4020,MATCH(EDATE('자료_거시'!$D2260,-'설정'!$B$17),'자료_거시'!$D$3:INDEX('자료_거시'!$D$3:$D$4002,$K$6),1)),""),"")</f>
        <v/>
      </c>
      <c r="U2278">
        <f>IF(ISNUMBER(T2278),'자료_거시'!$D2260,"")</f>
        <v/>
      </c>
      <c r="V2278">
        <f>IF(ISNUMBER(U2278),IF(U2278&gt;$L$6,T2278,""),"")</f>
        <v/>
      </c>
      <c r="W2278">
        <f>IF(AND(ISNUMBER('자료_거시'!$G2260),ISNUMBER('자료_거시'!$H2260)),'자료_거시'!$H2260,"")</f>
        <v/>
      </c>
      <c r="X2278">
        <f>IF(ISNUMBER(W2278),'자료_거시'!$G2260,"")</f>
        <v/>
      </c>
      <c r="Y2278">
        <f>IF(ISNUMBER(X2278),IF(X2278&gt;$L$7,W2278,""),"")</f>
        <v/>
      </c>
      <c r="Z2278">
        <f>IF(ISNUMBER('자료_거시'!$K2260),'자료_거시'!$K2260,Z2277)</f>
        <v/>
      </c>
      <c r="AA2278">
        <f>IF(AND(ISNUMBER('자료_거시'!$J2260),ISNUMBER('자료_거시'!$K2260)),IFERROR('자료_거시'!$K2260/INDEX($Z$21:$Z$4020,MATCH(EDATE('자료_거시'!$J2260,-'설정'!$B$17),'자료_거시'!$J$3:INDEX('자료_거시'!$J$3:$J$4002,$K$8),1))-1,""),"")</f>
        <v/>
      </c>
      <c r="AB2278">
        <f>IF(ISNUMBER(AA2278),'자료_거시'!$J2260,"")</f>
        <v/>
      </c>
      <c r="AC2278">
        <f>IF(ISNUMBER(AB2278),IF(AB2278&gt;$L$8,AA2278,""),"")</f>
        <v/>
      </c>
    </row>
    <row r="2279">
      <c r="S2279">
        <f>IF(ISNUMBER('자료_거시'!$E2261),'자료_거시'!$E2261,S2278)</f>
        <v/>
      </c>
      <c r="T2279">
        <f>IF(AND(ISNUMBER('자료_거시'!$D2261),ISNUMBER('자료_거시'!$E2261)),IFERROR('자료_거시'!$E2261-INDEX($S$21:$S$4020,MATCH(EDATE('자료_거시'!$D2261,-'설정'!$B$17),'자료_거시'!$D$3:INDEX('자료_거시'!$D$3:$D$4002,$K$6),1)),""),"")</f>
        <v/>
      </c>
      <c r="U2279">
        <f>IF(ISNUMBER(T2279),'자료_거시'!$D2261,"")</f>
        <v/>
      </c>
      <c r="V2279">
        <f>IF(ISNUMBER(U2279),IF(U2279&gt;$L$6,T2279,""),"")</f>
        <v/>
      </c>
      <c r="W2279">
        <f>IF(AND(ISNUMBER('자료_거시'!$G2261),ISNUMBER('자료_거시'!$H2261)),'자료_거시'!$H2261,"")</f>
        <v/>
      </c>
      <c r="X2279">
        <f>IF(ISNUMBER(W2279),'자료_거시'!$G2261,"")</f>
        <v/>
      </c>
      <c r="Y2279">
        <f>IF(ISNUMBER(X2279),IF(X2279&gt;$L$7,W2279,""),"")</f>
        <v/>
      </c>
      <c r="Z2279">
        <f>IF(ISNUMBER('자료_거시'!$K2261),'자료_거시'!$K2261,Z2278)</f>
        <v/>
      </c>
      <c r="AA2279">
        <f>IF(AND(ISNUMBER('자료_거시'!$J2261),ISNUMBER('자료_거시'!$K2261)),IFERROR('자료_거시'!$K2261/INDEX($Z$21:$Z$4020,MATCH(EDATE('자료_거시'!$J2261,-'설정'!$B$17),'자료_거시'!$J$3:INDEX('자료_거시'!$J$3:$J$4002,$K$8),1))-1,""),"")</f>
        <v/>
      </c>
      <c r="AB2279">
        <f>IF(ISNUMBER(AA2279),'자료_거시'!$J2261,"")</f>
        <v/>
      </c>
      <c r="AC2279">
        <f>IF(ISNUMBER(AB2279),IF(AB2279&gt;$L$8,AA2279,""),"")</f>
        <v/>
      </c>
    </row>
    <row r="2280">
      <c r="S2280">
        <f>IF(ISNUMBER('자료_거시'!$E2262),'자료_거시'!$E2262,S2279)</f>
        <v/>
      </c>
      <c r="T2280">
        <f>IF(AND(ISNUMBER('자료_거시'!$D2262),ISNUMBER('자료_거시'!$E2262)),IFERROR('자료_거시'!$E2262-INDEX($S$21:$S$4020,MATCH(EDATE('자료_거시'!$D2262,-'설정'!$B$17),'자료_거시'!$D$3:INDEX('자료_거시'!$D$3:$D$4002,$K$6),1)),""),"")</f>
        <v/>
      </c>
      <c r="U2280">
        <f>IF(ISNUMBER(T2280),'자료_거시'!$D2262,"")</f>
        <v/>
      </c>
      <c r="V2280">
        <f>IF(ISNUMBER(U2280),IF(U2280&gt;$L$6,T2280,""),"")</f>
        <v/>
      </c>
      <c r="W2280">
        <f>IF(AND(ISNUMBER('자료_거시'!$G2262),ISNUMBER('자료_거시'!$H2262)),'자료_거시'!$H2262,"")</f>
        <v/>
      </c>
      <c r="X2280">
        <f>IF(ISNUMBER(W2280),'자료_거시'!$G2262,"")</f>
        <v/>
      </c>
      <c r="Y2280">
        <f>IF(ISNUMBER(X2280),IF(X2280&gt;$L$7,W2280,""),"")</f>
        <v/>
      </c>
      <c r="Z2280">
        <f>IF(ISNUMBER('자료_거시'!$K2262),'자료_거시'!$K2262,Z2279)</f>
        <v/>
      </c>
      <c r="AA2280">
        <f>IF(AND(ISNUMBER('자료_거시'!$J2262),ISNUMBER('자료_거시'!$K2262)),IFERROR('자료_거시'!$K2262/INDEX($Z$21:$Z$4020,MATCH(EDATE('자료_거시'!$J2262,-'설정'!$B$17),'자료_거시'!$J$3:INDEX('자료_거시'!$J$3:$J$4002,$K$8),1))-1,""),"")</f>
        <v/>
      </c>
      <c r="AB2280">
        <f>IF(ISNUMBER(AA2280),'자료_거시'!$J2262,"")</f>
        <v/>
      </c>
      <c r="AC2280">
        <f>IF(ISNUMBER(AB2280),IF(AB2280&gt;$L$8,AA2280,""),"")</f>
        <v/>
      </c>
    </row>
    <row r="2281">
      <c r="S2281">
        <f>IF(ISNUMBER('자료_거시'!$E2263),'자료_거시'!$E2263,S2280)</f>
        <v/>
      </c>
      <c r="T2281">
        <f>IF(AND(ISNUMBER('자료_거시'!$D2263),ISNUMBER('자료_거시'!$E2263)),IFERROR('자료_거시'!$E2263-INDEX($S$21:$S$4020,MATCH(EDATE('자료_거시'!$D2263,-'설정'!$B$17),'자료_거시'!$D$3:INDEX('자료_거시'!$D$3:$D$4002,$K$6),1)),""),"")</f>
        <v/>
      </c>
      <c r="U2281">
        <f>IF(ISNUMBER(T2281),'자료_거시'!$D2263,"")</f>
        <v/>
      </c>
      <c r="V2281">
        <f>IF(ISNUMBER(U2281),IF(U2281&gt;$L$6,T2281,""),"")</f>
        <v/>
      </c>
      <c r="W2281">
        <f>IF(AND(ISNUMBER('자료_거시'!$G2263),ISNUMBER('자료_거시'!$H2263)),'자료_거시'!$H2263,"")</f>
        <v/>
      </c>
      <c r="X2281">
        <f>IF(ISNUMBER(W2281),'자료_거시'!$G2263,"")</f>
        <v/>
      </c>
      <c r="Y2281">
        <f>IF(ISNUMBER(X2281),IF(X2281&gt;$L$7,W2281,""),"")</f>
        <v/>
      </c>
      <c r="Z2281">
        <f>IF(ISNUMBER('자료_거시'!$K2263),'자료_거시'!$K2263,Z2280)</f>
        <v/>
      </c>
      <c r="AA2281">
        <f>IF(AND(ISNUMBER('자료_거시'!$J2263),ISNUMBER('자료_거시'!$K2263)),IFERROR('자료_거시'!$K2263/INDEX($Z$21:$Z$4020,MATCH(EDATE('자료_거시'!$J2263,-'설정'!$B$17),'자료_거시'!$J$3:INDEX('자료_거시'!$J$3:$J$4002,$K$8),1))-1,""),"")</f>
        <v/>
      </c>
      <c r="AB2281">
        <f>IF(ISNUMBER(AA2281),'자료_거시'!$J2263,"")</f>
        <v/>
      </c>
      <c r="AC2281">
        <f>IF(ISNUMBER(AB2281),IF(AB2281&gt;$L$8,AA2281,""),"")</f>
        <v/>
      </c>
    </row>
    <row r="2282">
      <c r="S2282">
        <f>IF(ISNUMBER('자료_거시'!$E2264),'자료_거시'!$E2264,S2281)</f>
        <v/>
      </c>
      <c r="T2282">
        <f>IF(AND(ISNUMBER('자료_거시'!$D2264),ISNUMBER('자료_거시'!$E2264)),IFERROR('자료_거시'!$E2264-INDEX($S$21:$S$4020,MATCH(EDATE('자료_거시'!$D2264,-'설정'!$B$17),'자료_거시'!$D$3:INDEX('자료_거시'!$D$3:$D$4002,$K$6),1)),""),"")</f>
        <v/>
      </c>
      <c r="U2282">
        <f>IF(ISNUMBER(T2282),'자료_거시'!$D2264,"")</f>
        <v/>
      </c>
      <c r="V2282">
        <f>IF(ISNUMBER(U2282),IF(U2282&gt;$L$6,T2282,""),"")</f>
        <v/>
      </c>
      <c r="W2282">
        <f>IF(AND(ISNUMBER('자료_거시'!$G2264),ISNUMBER('자료_거시'!$H2264)),'자료_거시'!$H2264,"")</f>
        <v/>
      </c>
      <c r="X2282">
        <f>IF(ISNUMBER(W2282),'자료_거시'!$G2264,"")</f>
        <v/>
      </c>
      <c r="Y2282">
        <f>IF(ISNUMBER(X2282),IF(X2282&gt;$L$7,W2282,""),"")</f>
        <v/>
      </c>
      <c r="Z2282">
        <f>IF(ISNUMBER('자료_거시'!$K2264),'자료_거시'!$K2264,Z2281)</f>
        <v/>
      </c>
      <c r="AA2282">
        <f>IF(AND(ISNUMBER('자료_거시'!$J2264),ISNUMBER('자료_거시'!$K2264)),IFERROR('자료_거시'!$K2264/INDEX($Z$21:$Z$4020,MATCH(EDATE('자료_거시'!$J2264,-'설정'!$B$17),'자료_거시'!$J$3:INDEX('자료_거시'!$J$3:$J$4002,$K$8),1))-1,""),"")</f>
        <v/>
      </c>
      <c r="AB2282">
        <f>IF(ISNUMBER(AA2282),'자료_거시'!$J2264,"")</f>
        <v/>
      </c>
      <c r="AC2282">
        <f>IF(ISNUMBER(AB2282),IF(AB2282&gt;$L$8,AA2282,""),"")</f>
        <v/>
      </c>
    </row>
    <row r="2283">
      <c r="S2283">
        <f>IF(ISNUMBER('자료_거시'!$E2265),'자료_거시'!$E2265,S2282)</f>
        <v/>
      </c>
      <c r="T2283">
        <f>IF(AND(ISNUMBER('자료_거시'!$D2265),ISNUMBER('자료_거시'!$E2265)),IFERROR('자료_거시'!$E2265-INDEX($S$21:$S$4020,MATCH(EDATE('자료_거시'!$D2265,-'설정'!$B$17),'자료_거시'!$D$3:INDEX('자료_거시'!$D$3:$D$4002,$K$6),1)),""),"")</f>
        <v/>
      </c>
      <c r="U2283">
        <f>IF(ISNUMBER(T2283),'자료_거시'!$D2265,"")</f>
        <v/>
      </c>
      <c r="V2283">
        <f>IF(ISNUMBER(U2283),IF(U2283&gt;$L$6,T2283,""),"")</f>
        <v/>
      </c>
      <c r="W2283">
        <f>IF(AND(ISNUMBER('자료_거시'!$G2265),ISNUMBER('자료_거시'!$H2265)),'자료_거시'!$H2265,"")</f>
        <v/>
      </c>
      <c r="X2283">
        <f>IF(ISNUMBER(W2283),'자료_거시'!$G2265,"")</f>
        <v/>
      </c>
      <c r="Y2283">
        <f>IF(ISNUMBER(X2283),IF(X2283&gt;$L$7,W2283,""),"")</f>
        <v/>
      </c>
      <c r="Z2283">
        <f>IF(ISNUMBER('자료_거시'!$K2265),'자료_거시'!$K2265,Z2282)</f>
        <v/>
      </c>
      <c r="AA2283">
        <f>IF(AND(ISNUMBER('자료_거시'!$J2265),ISNUMBER('자료_거시'!$K2265)),IFERROR('자료_거시'!$K2265/INDEX($Z$21:$Z$4020,MATCH(EDATE('자료_거시'!$J2265,-'설정'!$B$17),'자료_거시'!$J$3:INDEX('자료_거시'!$J$3:$J$4002,$K$8),1))-1,""),"")</f>
        <v/>
      </c>
      <c r="AB2283">
        <f>IF(ISNUMBER(AA2283),'자료_거시'!$J2265,"")</f>
        <v/>
      </c>
      <c r="AC2283">
        <f>IF(ISNUMBER(AB2283),IF(AB2283&gt;$L$8,AA2283,""),"")</f>
        <v/>
      </c>
    </row>
    <row r="2284">
      <c r="S2284">
        <f>IF(ISNUMBER('자료_거시'!$E2266),'자료_거시'!$E2266,S2283)</f>
        <v/>
      </c>
      <c r="T2284">
        <f>IF(AND(ISNUMBER('자료_거시'!$D2266),ISNUMBER('자료_거시'!$E2266)),IFERROR('자료_거시'!$E2266-INDEX($S$21:$S$4020,MATCH(EDATE('자료_거시'!$D2266,-'설정'!$B$17),'자료_거시'!$D$3:INDEX('자료_거시'!$D$3:$D$4002,$K$6),1)),""),"")</f>
        <v/>
      </c>
      <c r="U2284">
        <f>IF(ISNUMBER(T2284),'자료_거시'!$D2266,"")</f>
        <v/>
      </c>
      <c r="V2284">
        <f>IF(ISNUMBER(U2284),IF(U2284&gt;$L$6,T2284,""),"")</f>
        <v/>
      </c>
      <c r="W2284">
        <f>IF(AND(ISNUMBER('자료_거시'!$G2266),ISNUMBER('자료_거시'!$H2266)),'자료_거시'!$H2266,"")</f>
        <v/>
      </c>
      <c r="X2284">
        <f>IF(ISNUMBER(W2284),'자료_거시'!$G2266,"")</f>
        <v/>
      </c>
      <c r="Y2284">
        <f>IF(ISNUMBER(X2284),IF(X2284&gt;$L$7,W2284,""),"")</f>
        <v/>
      </c>
      <c r="Z2284">
        <f>IF(ISNUMBER('자료_거시'!$K2266),'자료_거시'!$K2266,Z2283)</f>
        <v/>
      </c>
      <c r="AA2284">
        <f>IF(AND(ISNUMBER('자료_거시'!$J2266),ISNUMBER('자료_거시'!$K2266)),IFERROR('자료_거시'!$K2266/INDEX($Z$21:$Z$4020,MATCH(EDATE('자료_거시'!$J2266,-'설정'!$B$17),'자료_거시'!$J$3:INDEX('자료_거시'!$J$3:$J$4002,$K$8),1))-1,""),"")</f>
        <v/>
      </c>
      <c r="AB2284">
        <f>IF(ISNUMBER(AA2284),'자료_거시'!$J2266,"")</f>
        <v/>
      </c>
      <c r="AC2284">
        <f>IF(ISNUMBER(AB2284),IF(AB2284&gt;$L$8,AA2284,""),"")</f>
        <v/>
      </c>
    </row>
    <row r="2285">
      <c r="S2285">
        <f>IF(ISNUMBER('자료_거시'!$E2267),'자료_거시'!$E2267,S2284)</f>
        <v/>
      </c>
      <c r="T2285">
        <f>IF(AND(ISNUMBER('자료_거시'!$D2267),ISNUMBER('자료_거시'!$E2267)),IFERROR('자료_거시'!$E2267-INDEX($S$21:$S$4020,MATCH(EDATE('자료_거시'!$D2267,-'설정'!$B$17),'자료_거시'!$D$3:INDEX('자료_거시'!$D$3:$D$4002,$K$6),1)),""),"")</f>
        <v/>
      </c>
      <c r="U2285">
        <f>IF(ISNUMBER(T2285),'자료_거시'!$D2267,"")</f>
        <v/>
      </c>
      <c r="V2285">
        <f>IF(ISNUMBER(U2285),IF(U2285&gt;$L$6,T2285,""),"")</f>
        <v/>
      </c>
      <c r="W2285">
        <f>IF(AND(ISNUMBER('자료_거시'!$G2267),ISNUMBER('자료_거시'!$H2267)),'자료_거시'!$H2267,"")</f>
        <v/>
      </c>
      <c r="X2285">
        <f>IF(ISNUMBER(W2285),'자료_거시'!$G2267,"")</f>
        <v/>
      </c>
      <c r="Y2285">
        <f>IF(ISNUMBER(X2285),IF(X2285&gt;$L$7,W2285,""),"")</f>
        <v/>
      </c>
      <c r="Z2285">
        <f>IF(ISNUMBER('자료_거시'!$K2267),'자료_거시'!$K2267,Z2284)</f>
        <v/>
      </c>
      <c r="AA2285">
        <f>IF(AND(ISNUMBER('자료_거시'!$J2267),ISNUMBER('자료_거시'!$K2267)),IFERROR('자료_거시'!$K2267/INDEX($Z$21:$Z$4020,MATCH(EDATE('자료_거시'!$J2267,-'설정'!$B$17),'자료_거시'!$J$3:INDEX('자료_거시'!$J$3:$J$4002,$K$8),1))-1,""),"")</f>
        <v/>
      </c>
      <c r="AB2285">
        <f>IF(ISNUMBER(AA2285),'자료_거시'!$J2267,"")</f>
        <v/>
      </c>
      <c r="AC2285">
        <f>IF(ISNUMBER(AB2285),IF(AB2285&gt;$L$8,AA2285,""),"")</f>
        <v/>
      </c>
    </row>
    <row r="2286">
      <c r="S2286">
        <f>IF(ISNUMBER('자료_거시'!$E2268),'자료_거시'!$E2268,S2285)</f>
        <v/>
      </c>
      <c r="T2286">
        <f>IF(AND(ISNUMBER('자료_거시'!$D2268),ISNUMBER('자료_거시'!$E2268)),IFERROR('자료_거시'!$E2268-INDEX($S$21:$S$4020,MATCH(EDATE('자료_거시'!$D2268,-'설정'!$B$17),'자료_거시'!$D$3:INDEX('자료_거시'!$D$3:$D$4002,$K$6),1)),""),"")</f>
        <v/>
      </c>
      <c r="U2286">
        <f>IF(ISNUMBER(T2286),'자료_거시'!$D2268,"")</f>
        <v/>
      </c>
      <c r="V2286">
        <f>IF(ISNUMBER(U2286),IF(U2286&gt;$L$6,T2286,""),"")</f>
        <v/>
      </c>
      <c r="W2286">
        <f>IF(AND(ISNUMBER('자료_거시'!$G2268),ISNUMBER('자료_거시'!$H2268)),'자료_거시'!$H2268,"")</f>
        <v/>
      </c>
      <c r="X2286">
        <f>IF(ISNUMBER(W2286),'자료_거시'!$G2268,"")</f>
        <v/>
      </c>
      <c r="Y2286">
        <f>IF(ISNUMBER(X2286),IF(X2286&gt;$L$7,W2286,""),"")</f>
        <v/>
      </c>
      <c r="Z2286">
        <f>IF(ISNUMBER('자료_거시'!$K2268),'자료_거시'!$K2268,Z2285)</f>
        <v/>
      </c>
      <c r="AA2286">
        <f>IF(AND(ISNUMBER('자료_거시'!$J2268),ISNUMBER('자료_거시'!$K2268)),IFERROR('자료_거시'!$K2268/INDEX($Z$21:$Z$4020,MATCH(EDATE('자료_거시'!$J2268,-'설정'!$B$17),'자료_거시'!$J$3:INDEX('자료_거시'!$J$3:$J$4002,$K$8),1))-1,""),"")</f>
        <v/>
      </c>
      <c r="AB2286">
        <f>IF(ISNUMBER(AA2286),'자료_거시'!$J2268,"")</f>
        <v/>
      </c>
      <c r="AC2286">
        <f>IF(ISNUMBER(AB2286),IF(AB2286&gt;$L$8,AA2286,""),"")</f>
        <v/>
      </c>
    </row>
    <row r="2287">
      <c r="S2287">
        <f>IF(ISNUMBER('자료_거시'!$E2269),'자료_거시'!$E2269,S2286)</f>
        <v/>
      </c>
      <c r="T2287">
        <f>IF(AND(ISNUMBER('자료_거시'!$D2269),ISNUMBER('자료_거시'!$E2269)),IFERROR('자료_거시'!$E2269-INDEX($S$21:$S$4020,MATCH(EDATE('자료_거시'!$D2269,-'설정'!$B$17),'자료_거시'!$D$3:INDEX('자료_거시'!$D$3:$D$4002,$K$6),1)),""),"")</f>
        <v/>
      </c>
      <c r="U2287">
        <f>IF(ISNUMBER(T2287),'자료_거시'!$D2269,"")</f>
        <v/>
      </c>
      <c r="V2287">
        <f>IF(ISNUMBER(U2287),IF(U2287&gt;$L$6,T2287,""),"")</f>
        <v/>
      </c>
      <c r="W2287">
        <f>IF(AND(ISNUMBER('자료_거시'!$G2269),ISNUMBER('자료_거시'!$H2269)),'자료_거시'!$H2269,"")</f>
        <v/>
      </c>
      <c r="X2287">
        <f>IF(ISNUMBER(W2287),'자료_거시'!$G2269,"")</f>
        <v/>
      </c>
      <c r="Y2287">
        <f>IF(ISNUMBER(X2287),IF(X2287&gt;$L$7,W2287,""),"")</f>
        <v/>
      </c>
      <c r="Z2287">
        <f>IF(ISNUMBER('자료_거시'!$K2269),'자료_거시'!$K2269,Z2286)</f>
        <v/>
      </c>
      <c r="AA2287">
        <f>IF(AND(ISNUMBER('자료_거시'!$J2269),ISNUMBER('자료_거시'!$K2269)),IFERROR('자료_거시'!$K2269/INDEX($Z$21:$Z$4020,MATCH(EDATE('자료_거시'!$J2269,-'설정'!$B$17),'자료_거시'!$J$3:INDEX('자료_거시'!$J$3:$J$4002,$K$8),1))-1,""),"")</f>
        <v/>
      </c>
      <c r="AB2287">
        <f>IF(ISNUMBER(AA2287),'자료_거시'!$J2269,"")</f>
        <v/>
      </c>
      <c r="AC2287">
        <f>IF(ISNUMBER(AB2287),IF(AB2287&gt;$L$8,AA2287,""),"")</f>
        <v/>
      </c>
    </row>
    <row r="2288">
      <c r="S2288">
        <f>IF(ISNUMBER('자료_거시'!$E2270),'자료_거시'!$E2270,S2287)</f>
        <v/>
      </c>
      <c r="T2288">
        <f>IF(AND(ISNUMBER('자료_거시'!$D2270),ISNUMBER('자료_거시'!$E2270)),IFERROR('자료_거시'!$E2270-INDEX($S$21:$S$4020,MATCH(EDATE('자료_거시'!$D2270,-'설정'!$B$17),'자료_거시'!$D$3:INDEX('자료_거시'!$D$3:$D$4002,$K$6),1)),""),"")</f>
        <v/>
      </c>
      <c r="U2288">
        <f>IF(ISNUMBER(T2288),'자료_거시'!$D2270,"")</f>
        <v/>
      </c>
      <c r="V2288">
        <f>IF(ISNUMBER(U2288),IF(U2288&gt;$L$6,T2288,""),"")</f>
        <v/>
      </c>
      <c r="W2288">
        <f>IF(AND(ISNUMBER('자료_거시'!$G2270),ISNUMBER('자료_거시'!$H2270)),'자료_거시'!$H2270,"")</f>
        <v/>
      </c>
      <c r="X2288">
        <f>IF(ISNUMBER(W2288),'자료_거시'!$G2270,"")</f>
        <v/>
      </c>
      <c r="Y2288">
        <f>IF(ISNUMBER(X2288),IF(X2288&gt;$L$7,W2288,""),"")</f>
        <v/>
      </c>
      <c r="Z2288">
        <f>IF(ISNUMBER('자료_거시'!$K2270),'자료_거시'!$K2270,Z2287)</f>
        <v/>
      </c>
      <c r="AA2288">
        <f>IF(AND(ISNUMBER('자료_거시'!$J2270),ISNUMBER('자료_거시'!$K2270)),IFERROR('자료_거시'!$K2270/INDEX($Z$21:$Z$4020,MATCH(EDATE('자료_거시'!$J2270,-'설정'!$B$17),'자료_거시'!$J$3:INDEX('자료_거시'!$J$3:$J$4002,$K$8),1))-1,""),"")</f>
        <v/>
      </c>
      <c r="AB2288">
        <f>IF(ISNUMBER(AA2288),'자료_거시'!$J2270,"")</f>
        <v/>
      </c>
      <c r="AC2288">
        <f>IF(ISNUMBER(AB2288),IF(AB2288&gt;$L$8,AA2288,""),"")</f>
        <v/>
      </c>
    </row>
    <row r="2289">
      <c r="S2289">
        <f>IF(ISNUMBER('자료_거시'!$E2271),'자료_거시'!$E2271,S2288)</f>
        <v/>
      </c>
      <c r="T2289">
        <f>IF(AND(ISNUMBER('자료_거시'!$D2271),ISNUMBER('자료_거시'!$E2271)),IFERROR('자료_거시'!$E2271-INDEX($S$21:$S$4020,MATCH(EDATE('자료_거시'!$D2271,-'설정'!$B$17),'자료_거시'!$D$3:INDEX('자료_거시'!$D$3:$D$4002,$K$6),1)),""),"")</f>
        <v/>
      </c>
      <c r="U2289">
        <f>IF(ISNUMBER(T2289),'자료_거시'!$D2271,"")</f>
        <v/>
      </c>
      <c r="V2289">
        <f>IF(ISNUMBER(U2289),IF(U2289&gt;$L$6,T2289,""),"")</f>
        <v/>
      </c>
      <c r="W2289">
        <f>IF(AND(ISNUMBER('자료_거시'!$G2271),ISNUMBER('자료_거시'!$H2271)),'자료_거시'!$H2271,"")</f>
        <v/>
      </c>
      <c r="X2289">
        <f>IF(ISNUMBER(W2289),'자료_거시'!$G2271,"")</f>
        <v/>
      </c>
      <c r="Y2289">
        <f>IF(ISNUMBER(X2289),IF(X2289&gt;$L$7,W2289,""),"")</f>
        <v/>
      </c>
      <c r="Z2289">
        <f>IF(ISNUMBER('자료_거시'!$K2271),'자료_거시'!$K2271,Z2288)</f>
        <v/>
      </c>
      <c r="AA2289">
        <f>IF(AND(ISNUMBER('자료_거시'!$J2271),ISNUMBER('자료_거시'!$K2271)),IFERROR('자료_거시'!$K2271/INDEX($Z$21:$Z$4020,MATCH(EDATE('자료_거시'!$J2271,-'설정'!$B$17),'자료_거시'!$J$3:INDEX('자료_거시'!$J$3:$J$4002,$K$8),1))-1,""),"")</f>
        <v/>
      </c>
      <c r="AB2289">
        <f>IF(ISNUMBER(AA2289),'자료_거시'!$J2271,"")</f>
        <v/>
      </c>
      <c r="AC2289">
        <f>IF(ISNUMBER(AB2289),IF(AB2289&gt;$L$8,AA2289,""),"")</f>
        <v/>
      </c>
    </row>
    <row r="2290">
      <c r="S2290">
        <f>IF(ISNUMBER('자료_거시'!$E2272),'자료_거시'!$E2272,S2289)</f>
        <v/>
      </c>
      <c r="T2290">
        <f>IF(AND(ISNUMBER('자료_거시'!$D2272),ISNUMBER('자료_거시'!$E2272)),IFERROR('자료_거시'!$E2272-INDEX($S$21:$S$4020,MATCH(EDATE('자료_거시'!$D2272,-'설정'!$B$17),'자료_거시'!$D$3:INDEX('자료_거시'!$D$3:$D$4002,$K$6),1)),""),"")</f>
        <v/>
      </c>
      <c r="U2290">
        <f>IF(ISNUMBER(T2290),'자료_거시'!$D2272,"")</f>
        <v/>
      </c>
      <c r="V2290">
        <f>IF(ISNUMBER(U2290),IF(U2290&gt;$L$6,T2290,""),"")</f>
        <v/>
      </c>
      <c r="W2290">
        <f>IF(AND(ISNUMBER('자료_거시'!$G2272),ISNUMBER('자료_거시'!$H2272)),'자료_거시'!$H2272,"")</f>
        <v/>
      </c>
      <c r="X2290">
        <f>IF(ISNUMBER(W2290),'자료_거시'!$G2272,"")</f>
        <v/>
      </c>
      <c r="Y2290">
        <f>IF(ISNUMBER(X2290),IF(X2290&gt;$L$7,W2290,""),"")</f>
        <v/>
      </c>
      <c r="Z2290">
        <f>IF(ISNUMBER('자료_거시'!$K2272),'자료_거시'!$K2272,Z2289)</f>
        <v/>
      </c>
      <c r="AA2290">
        <f>IF(AND(ISNUMBER('자료_거시'!$J2272),ISNUMBER('자료_거시'!$K2272)),IFERROR('자료_거시'!$K2272/INDEX($Z$21:$Z$4020,MATCH(EDATE('자료_거시'!$J2272,-'설정'!$B$17),'자료_거시'!$J$3:INDEX('자료_거시'!$J$3:$J$4002,$K$8),1))-1,""),"")</f>
        <v/>
      </c>
      <c r="AB2290">
        <f>IF(ISNUMBER(AA2290),'자료_거시'!$J2272,"")</f>
        <v/>
      </c>
      <c r="AC2290">
        <f>IF(ISNUMBER(AB2290),IF(AB2290&gt;$L$8,AA2290,""),"")</f>
        <v/>
      </c>
    </row>
    <row r="2291">
      <c r="S2291">
        <f>IF(ISNUMBER('자료_거시'!$E2273),'자료_거시'!$E2273,S2290)</f>
        <v/>
      </c>
      <c r="T2291">
        <f>IF(AND(ISNUMBER('자료_거시'!$D2273),ISNUMBER('자료_거시'!$E2273)),IFERROR('자료_거시'!$E2273-INDEX($S$21:$S$4020,MATCH(EDATE('자료_거시'!$D2273,-'설정'!$B$17),'자료_거시'!$D$3:INDEX('자료_거시'!$D$3:$D$4002,$K$6),1)),""),"")</f>
        <v/>
      </c>
      <c r="U2291">
        <f>IF(ISNUMBER(T2291),'자료_거시'!$D2273,"")</f>
        <v/>
      </c>
      <c r="V2291">
        <f>IF(ISNUMBER(U2291),IF(U2291&gt;$L$6,T2291,""),"")</f>
        <v/>
      </c>
      <c r="W2291">
        <f>IF(AND(ISNUMBER('자료_거시'!$G2273),ISNUMBER('자료_거시'!$H2273)),'자료_거시'!$H2273,"")</f>
        <v/>
      </c>
      <c r="X2291">
        <f>IF(ISNUMBER(W2291),'자료_거시'!$G2273,"")</f>
        <v/>
      </c>
      <c r="Y2291">
        <f>IF(ISNUMBER(X2291),IF(X2291&gt;$L$7,W2291,""),"")</f>
        <v/>
      </c>
      <c r="Z2291">
        <f>IF(ISNUMBER('자료_거시'!$K2273),'자료_거시'!$K2273,Z2290)</f>
        <v/>
      </c>
      <c r="AA2291">
        <f>IF(AND(ISNUMBER('자료_거시'!$J2273),ISNUMBER('자료_거시'!$K2273)),IFERROR('자료_거시'!$K2273/INDEX($Z$21:$Z$4020,MATCH(EDATE('자료_거시'!$J2273,-'설정'!$B$17),'자료_거시'!$J$3:INDEX('자료_거시'!$J$3:$J$4002,$K$8),1))-1,""),"")</f>
        <v/>
      </c>
      <c r="AB2291">
        <f>IF(ISNUMBER(AA2291),'자료_거시'!$J2273,"")</f>
        <v/>
      </c>
      <c r="AC2291">
        <f>IF(ISNUMBER(AB2291),IF(AB2291&gt;$L$8,AA2291,""),"")</f>
        <v/>
      </c>
    </row>
    <row r="2292">
      <c r="S2292">
        <f>IF(ISNUMBER('자료_거시'!$E2274),'자료_거시'!$E2274,S2291)</f>
        <v/>
      </c>
      <c r="T2292">
        <f>IF(AND(ISNUMBER('자료_거시'!$D2274),ISNUMBER('자료_거시'!$E2274)),IFERROR('자료_거시'!$E2274-INDEX($S$21:$S$4020,MATCH(EDATE('자료_거시'!$D2274,-'설정'!$B$17),'자료_거시'!$D$3:INDEX('자료_거시'!$D$3:$D$4002,$K$6),1)),""),"")</f>
        <v/>
      </c>
      <c r="U2292">
        <f>IF(ISNUMBER(T2292),'자료_거시'!$D2274,"")</f>
        <v/>
      </c>
      <c r="V2292">
        <f>IF(ISNUMBER(U2292),IF(U2292&gt;$L$6,T2292,""),"")</f>
        <v/>
      </c>
      <c r="W2292">
        <f>IF(AND(ISNUMBER('자료_거시'!$G2274),ISNUMBER('자료_거시'!$H2274)),'자료_거시'!$H2274,"")</f>
        <v/>
      </c>
      <c r="X2292">
        <f>IF(ISNUMBER(W2292),'자료_거시'!$G2274,"")</f>
        <v/>
      </c>
      <c r="Y2292">
        <f>IF(ISNUMBER(X2292),IF(X2292&gt;$L$7,W2292,""),"")</f>
        <v/>
      </c>
      <c r="Z2292">
        <f>IF(ISNUMBER('자료_거시'!$K2274),'자료_거시'!$K2274,Z2291)</f>
        <v/>
      </c>
      <c r="AA2292">
        <f>IF(AND(ISNUMBER('자료_거시'!$J2274),ISNUMBER('자료_거시'!$K2274)),IFERROR('자료_거시'!$K2274/INDEX($Z$21:$Z$4020,MATCH(EDATE('자료_거시'!$J2274,-'설정'!$B$17),'자료_거시'!$J$3:INDEX('자료_거시'!$J$3:$J$4002,$K$8),1))-1,""),"")</f>
        <v/>
      </c>
      <c r="AB2292">
        <f>IF(ISNUMBER(AA2292),'자료_거시'!$J2274,"")</f>
        <v/>
      </c>
      <c r="AC2292">
        <f>IF(ISNUMBER(AB2292),IF(AB2292&gt;$L$8,AA2292,""),"")</f>
        <v/>
      </c>
    </row>
    <row r="2293">
      <c r="S2293">
        <f>IF(ISNUMBER('자료_거시'!$E2275),'자료_거시'!$E2275,S2292)</f>
        <v/>
      </c>
      <c r="T2293">
        <f>IF(AND(ISNUMBER('자료_거시'!$D2275),ISNUMBER('자료_거시'!$E2275)),IFERROR('자료_거시'!$E2275-INDEX($S$21:$S$4020,MATCH(EDATE('자료_거시'!$D2275,-'설정'!$B$17),'자료_거시'!$D$3:INDEX('자료_거시'!$D$3:$D$4002,$K$6),1)),""),"")</f>
        <v/>
      </c>
      <c r="U2293">
        <f>IF(ISNUMBER(T2293),'자료_거시'!$D2275,"")</f>
        <v/>
      </c>
      <c r="V2293">
        <f>IF(ISNUMBER(U2293),IF(U2293&gt;$L$6,T2293,""),"")</f>
        <v/>
      </c>
      <c r="W2293">
        <f>IF(AND(ISNUMBER('자료_거시'!$G2275),ISNUMBER('자료_거시'!$H2275)),'자료_거시'!$H2275,"")</f>
        <v/>
      </c>
      <c r="X2293">
        <f>IF(ISNUMBER(W2293),'자료_거시'!$G2275,"")</f>
        <v/>
      </c>
      <c r="Y2293">
        <f>IF(ISNUMBER(X2293),IF(X2293&gt;$L$7,W2293,""),"")</f>
        <v/>
      </c>
      <c r="Z2293">
        <f>IF(ISNUMBER('자료_거시'!$K2275),'자료_거시'!$K2275,Z2292)</f>
        <v/>
      </c>
      <c r="AA2293">
        <f>IF(AND(ISNUMBER('자료_거시'!$J2275),ISNUMBER('자료_거시'!$K2275)),IFERROR('자료_거시'!$K2275/INDEX($Z$21:$Z$4020,MATCH(EDATE('자료_거시'!$J2275,-'설정'!$B$17),'자료_거시'!$J$3:INDEX('자료_거시'!$J$3:$J$4002,$K$8),1))-1,""),"")</f>
        <v/>
      </c>
      <c r="AB2293">
        <f>IF(ISNUMBER(AA2293),'자료_거시'!$J2275,"")</f>
        <v/>
      </c>
      <c r="AC2293">
        <f>IF(ISNUMBER(AB2293),IF(AB2293&gt;$L$8,AA2293,""),"")</f>
        <v/>
      </c>
    </row>
    <row r="2294">
      <c r="S2294">
        <f>IF(ISNUMBER('자료_거시'!$E2276),'자료_거시'!$E2276,S2293)</f>
        <v/>
      </c>
      <c r="T2294">
        <f>IF(AND(ISNUMBER('자료_거시'!$D2276),ISNUMBER('자료_거시'!$E2276)),IFERROR('자료_거시'!$E2276-INDEX($S$21:$S$4020,MATCH(EDATE('자료_거시'!$D2276,-'설정'!$B$17),'자료_거시'!$D$3:INDEX('자료_거시'!$D$3:$D$4002,$K$6),1)),""),"")</f>
        <v/>
      </c>
      <c r="U2294">
        <f>IF(ISNUMBER(T2294),'자료_거시'!$D2276,"")</f>
        <v/>
      </c>
      <c r="V2294">
        <f>IF(ISNUMBER(U2294),IF(U2294&gt;$L$6,T2294,""),"")</f>
        <v/>
      </c>
      <c r="W2294">
        <f>IF(AND(ISNUMBER('자료_거시'!$G2276),ISNUMBER('자료_거시'!$H2276)),'자료_거시'!$H2276,"")</f>
        <v/>
      </c>
      <c r="X2294">
        <f>IF(ISNUMBER(W2294),'자료_거시'!$G2276,"")</f>
        <v/>
      </c>
      <c r="Y2294">
        <f>IF(ISNUMBER(X2294),IF(X2294&gt;$L$7,W2294,""),"")</f>
        <v/>
      </c>
      <c r="Z2294">
        <f>IF(ISNUMBER('자료_거시'!$K2276),'자료_거시'!$K2276,Z2293)</f>
        <v/>
      </c>
      <c r="AA2294">
        <f>IF(AND(ISNUMBER('자료_거시'!$J2276),ISNUMBER('자료_거시'!$K2276)),IFERROR('자료_거시'!$K2276/INDEX($Z$21:$Z$4020,MATCH(EDATE('자료_거시'!$J2276,-'설정'!$B$17),'자료_거시'!$J$3:INDEX('자료_거시'!$J$3:$J$4002,$K$8),1))-1,""),"")</f>
        <v/>
      </c>
      <c r="AB2294">
        <f>IF(ISNUMBER(AA2294),'자료_거시'!$J2276,"")</f>
        <v/>
      </c>
      <c r="AC2294">
        <f>IF(ISNUMBER(AB2294),IF(AB2294&gt;$L$8,AA2294,""),"")</f>
        <v/>
      </c>
    </row>
    <row r="2295">
      <c r="S2295">
        <f>IF(ISNUMBER('자료_거시'!$E2277),'자료_거시'!$E2277,S2294)</f>
        <v/>
      </c>
      <c r="T2295">
        <f>IF(AND(ISNUMBER('자료_거시'!$D2277),ISNUMBER('자료_거시'!$E2277)),IFERROR('자료_거시'!$E2277-INDEX($S$21:$S$4020,MATCH(EDATE('자료_거시'!$D2277,-'설정'!$B$17),'자료_거시'!$D$3:INDEX('자료_거시'!$D$3:$D$4002,$K$6),1)),""),"")</f>
        <v/>
      </c>
      <c r="U2295">
        <f>IF(ISNUMBER(T2295),'자료_거시'!$D2277,"")</f>
        <v/>
      </c>
      <c r="V2295">
        <f>IF(ISNUMBER(U2295),IF(U2295&gt;$L$6,T2295,""),"")</f>
        <v/>
      </c>
      <c r="W2295">
        <f>IF(AND(ISNUMBER('자료_거시'!$G2277),ISNUMBER('자료_거시'!$H2277)),'자료_거시'!$H2277,"")</f>
        <v/>
      </c>
      <c r="X2295">
        <f>IF(ISNUMBER(W2295),'자료_거시'!$G2277,"")</f>
        <v/>
      </c>
      <c r="Y2295">
        <f>IF(ISNUMBER(X2295),IF(X2295&gt;$L$7,W2295,""),"")</f>
        <v/>
      </c>
      <c r="Z2295">
        <f>IF(ISNUMBER('자료_거시'!$K2277),'자료_거시'!$K2277,Z2294)</f>
        <v/>
      </c>
      <c r="AA2295">
        <f>IF(AND(ISNUMBER('자료_거시'!$J2277),ISNUMBER('자료_거시'!$K2277)),IFERROR('자료_거시'!$K2277/INDEX($Z$21:$Z$4020,MATCH(EDATE('자료_거시'!$J2277,-'설정'!$B$17),'자료_거시'!$J$3:INDEX('자료_거시'!$J$3:$J$4002,$K$8),1))-1,""),"")</f>
        <v/>
      </c>
      <c r="AB2295">
        <f>IF(ISNUMBER(AA2295),'자료_거시'!$J2277,"")</f>
        <v/>
      </c>
      <c r="AC2295">
        <f>IF(ISNUMBER(AB2295),IF(AB2295&gt;$L$8,AA2295,""),"")</f>
        <v/>
      </c>
    </row>
    <row r="2296">
      <c r="S2296">
        <f>IF(ISNUMBER('자료_거시'!$E2278),'자료_거시'!$E2278,S2295)</f>
        <v/>
      </c>
      <c r="T2296">
        <f>IF(AND(ISNUMBER('자료_거시'!$D2278),ISNUMBER('자료_거시'!$E2278)),IFERROR('자료_거시'!$E2278-INDEX($S$21:$S$4020,MATCH(EDATE('자료_거시'!$D2278,-'설정'!$B$17),'자료_거시'!$D$3:INDEX('자료_거시'!$D$3:$D$4002,$K$6),1)),""),"")</f>
        <v/>
      </c>
      <c r="U2296">
        <f>IF(ISNUMBER(T2296),'자료_거시'!$D2278,"")</f>
        <v/>
      </c>
      <c r="V2296">
        <f>IF(ISNUMBER(U2296),IF(U2296&gt;$L$6,T2296,""),"")</f>
        <v/>
      </c>
      <c r="W2296">
        <f>IF(AND(ISNUMBER('자료_거시'!$G2278),ISNUMBER('자료_거시'!$H2278)),'자료_거시'!$H2278,"")</f>
        <v/>
      </c>
      <c r="X2296">
        <f>IF(ISNUMBER(W2296),'자료_거시'!$G2278,"")</f>
        <v/>
      </c>
      <c r="Y2296">
        <f>IF(ISNUMBER(X2296),IF(X2296&gt;$L$7,W2296,""),"")</f>
        <v/>
      </c>
      <c r="Z2296">
        <f>IF(ISNUMBER('자료_거시'!$K2278),'자료_거시'!$K2278,Z2295)</f>
        <v/>
      </c>
      <c r="AA2296">
        <f>IF(AND(ISNUMBER('자료_거시'!$J2278),ISNUMBER('자료_거시'!$K2278)),IFERROR('자료_거시'!$K2278/INDEX($Z$21:$Z$4020,MATCH(EDATE('자료_거시'!$J2278,-'설정'!$B$17),'자료_거시'!$J$3:INDEX('자료_거시'!$J$3:$J$4002,$K$8),1))-1,""),"")</f>
        <v/>
      </c>
      <c r="AB2296">
        <f>IF(ISNUMBER(AA2296),'자료_거시'!$J2278,"")</f>
        <v/>
      </c>
      <c r="AC2296">
        <f>IF(ISNUMBER(AB2296),IF(AB2296&gt;$L$8,AA2296,""),"")</f>
        <v/>
      </c>
    </row>
    <row r="2297">
      <c r="S2297">
        <f>IF(ISNUMBER('자료_거시'!$E2279),'자료_거시'!$E2279,S2296)</f>
        <v/>
      </c>
      <c r="T2297">
        <f>IF(AND(ISNUMBER('자료_거시'!$D2279),ISNUMBER('자료_거시'!$E2279)),IFERROR('자료_거시'!$E2279-INDEX($S$21:$S$4020,MATCH(EDATE('자료_거시'!$D2279,-'설정'!$B$17),'자료_거시'!$D$3:INDEX('자료_거시'!$D$3:$D$4002,$K$6),1)),""),"")</f>
        <v/>
      </c>
      <c r="U2297">
        <f>IF(ISNUMBER(T2297),'자료_거시'!$D2279,"")</f>
        <v/>
      </c>
      <c r="V2297">
        <f>IF(ISNUMBER(U2297),IF(U2297&gt;$L$6,T2297,""),"")</f>
        <v/>
      </c>
      <c r="W2297">
        <f>IF(AND(ISNUMBER('자료_거시'!$G2279),ISNUMBER('자료_거시'!$H2279)),'자료_거시'!$H2279,"")</f>
        <v/>
      </c>
      <c r="X2297">
        <f>IF(ISNUMBER(W2297),'자료_거시'!$G2279,"")</f>
        <v/>
      </c>
      <c r="Y2297">
        <f>IF(ISNUMBER(X2297),IF(X2297&gt;$L$7,W2297,""),"")</f>
        <v/>
      </c>
      <c r="Z2297">
        <f>IF(ISNUMBER('자료_거시'!$K2279),'자료_거시'!$K2279,Z2296)</f>
        <v/>
      </c>
      <c r="AA2297">
        <f>IF(AND(ISNUMBER('자료_거시'!$J2279),ISNUMBER('자료_거시'!$K2279)),IFERROR('자료_거시'!$K2279/INDEX($Z$21:$Z$4020,MATCH(EDATE('자료_거시'!$J2279,-'설정'!$B$17),'자료_거시'!$J$3:INDEX('자료_거시'!$J$3:$J$4002,$K$8),1))-1,""),"")</f>
        <v/>
      </c>
      <c r="AB2297">
        <f>IF(ISNUMBER(AA2297),'자료_거시'!$J2279,"")</f>
        <v/>
      </c>
      <c r="AC2297">
        <f>IF(ISNUMBER(AB2297),IF(AB2297&gt;$L$8,AA2297,""),"")</f>
        <v/>
      </c>
    </row>
    <row r="2298">
      <c r="S2298">
        <f>IF(ISNUMBER('자료_거시'!$E2280),'자료_거시'!$E2280,S2297)</f>
        <v/>
      </c>
      <c r="T2298">
        <f>IF(AND(ISNUMBER('자료_거시'!$D2280),ISNUMBER('자료_거시'!$E2280)),IFERROR('자료_거시'!$E2280-INDEX($S$21:$S$4020,MATCH(EDATE('자료_거시'!$D2280,-'설정'!$B$17),'자료_거시'!$D$3:INDEX('자료_거시'!$D$3:$D$4002,$K$6),1)),""),"")</f>
        <v/>
      </c>
      <c r="U2298">
        <f>IF(ISNUMBER(T2298),'자료_거시'!$D2280,"")</f>
        <v/>
      </c>
      <c r="V2298">
        <f>IF(ISNUMBER(U2298),IF(U2298&gt;$L$6,T2298,""),"")</f>
        <v/>
      </c>
      <c r="W2298">
        <f>IF(AND(ISNUMBER('자료_거시'!$G2280),ISNUMBER('자료_거시'!$H2280)),'자료_거시'!$H2280,"")</f>
        <v/>
      </c>
      <c r="X2298">
        <f>IF(ISNUMBER(W2298),'자료_거시'!$G2280,"")</f>
        <v/>
      </c>
      <c r="Y2298">
        <f>IF(ISNUMBER(X2298),IF(X2298&gt;$L$7,W2298,""),"")</f>
        <v/>
      </c>
      <c r="Z2298">
        <f>IF(ISNUMBER('자료_거시'!$K2280),'자료_거시'!$K2280,Z2297)</f>
        <v/>
      </c>
      <c r="AA2298">
        <f>IF(AND(ISNUMBER('자료_거시'!$J2280),ISNUMBER('자료_거시'!$K2280)),IFERROR('자료_거시'!$K2280/INDEX($Z$21:$Z$4020,MATCH(EDATE('자료_거시'!$J2280,-'설정'!$B$17),'자료_거시'!$J$3:INDEX('자료_거시'!$J$3:$J$4002,$K$8),1))-1,""),"")</f>
        <v/>
      </c>
      <c r="AB2298">
        <f>IF(ISNUMBER(AA2298),'자료_거시'!$J2280,"")</f>
        <v/>
      </c>
      <c r="AC2298">
        <f>IF(ISNUMBER(AB2298),IF(AB2298&gt;$L$8,AA2298,""),"")</f>
        <v/>
      </c>
    </row>
    <row r="2299">
      <c r="S2299">
        <f>IF(ISNUMBER('자료_거시'!$E2281),'자료_거시'!$E2281,S2298)</f>
        <v/>
      </c>
      <c r="T2299">
        <f>IF(AND(ISNUMBER('자료_거시'!$D2281),ISNUMBER('자료_거시'!$E2281)),IFERROR('자료_거시'!$E2281-INDEX($S$21:$S$4020,MATCH(EDATE('자료_거시'!$D2281,-'설정'!$B$17),'자료_거시'!$D$3:INDEX('자료_거시'!$D$3:$D$4002,$K$6),1)),""),"")</f>
        <v/>
      </c>
      <c r="U2299">
        <f>IF(ISNUMBER(T2299),'자료_거시'!$D2281,"")</f>
        <v/>
      </c>
      <c r="V2299">
        <f>IF(ISNUMBER(U2299),IF(U2299&gt;$L$6,T2299,""),"")</f>
        <v/>
      </c>
      <c r="W2299">
        <f>IF(AND(ISNUMBER('자료_거시'!$G2281),ISNUMBER('자료_거시'!$H2281)),'자료_거시'!$H2281,"")</f>
        <v/>
      </c>
      <c r="X2299">
        <f>IF(ISNUMBER(W2299),'자료_거시'!$G2281,"")</f>
        <v/>
      </c>
      <c r="Y2299">
        <f>IF(ISNUMBER(X2299),IF(X2299&gt;$L$7,W2299,""),"")</f>
        <v/>
      </c>
      <c r="Z2299">
        <f>IF(ISNUMBER('자료_거시'!$K2281),'자료_거시'!$K2281,Z2298)</f>
        <v/>
      </c>
      <c r="AA2299">
        <f>IF(AND(ISNUMBER('자료_거시'!$J2281),ISNUMBER('자료_거시'!$K2281)),IFERROR('자료_거시'!$K2281/INDEX($Z$21:$Z$4020,MATCH(EDATE('자료_거시'!$J2281,-'설정'!$B$17),'자료_거시'!$J$3:INDEX('자료_거시'!$J$3:$J$4002,$K$8),1))-1,""),"")</f>
        <v/>
      </c>
      <c r="AB2299">
        <f>IF(ISNUMBER(AA2299),'자료_거시'!$J2281,"")</f>
        <v/>
      </c>
      <c r="AC2299">
        <f>IF(ISNUMBER(AB2299),IF(AB2299&gt;$L$8,AA2299,""),"")</f>
        <v/>
      </c>
    </row>
    <row r="2300">
      <c r="S2300">
        <f>IF(ISNUMBER('자료_거시'!$E2282),'자료_거시'!$E2282,S2299)</f>
        <v/>
      </c>
      <c r="T2300">
        <f>IF(AND(ISNUMBER('자료_거시'!$D2282),ISNUMBER('자료_거시'!$E2282)),IFERROR('자료_거시'!$E2282-INDEX($S$21:$S$4020,MATCH(EDATE('자료_거시'!$D2282,-'설정'!$B$17),'자료_거시'!$D$3:INDEX('자료_거시'!$D$3:$D$4002,$K$6),1)),""),"")</f>
        <v/>
      </c>
      <c r="U2300">
        <f>IF(ISNUMBER(T2300),'자료_거시'!$D2282,"")</f>
        <v/>
      </c>
      <c r="V2300">
        <f>IF(ISNUMBER(U2300),IF(U2300&gt;$L$6,T2300,""),"")</f>
        <v/>
      </c>
      <c r="W2300">
        <f>IF(AND(ISNUMBER('자료_거시'!$G2282),ISNUMBER('자료_거시'!$H2282)),'자료_거시'!$H2282,"")</f>
        <v/>
      </c>
      <c r="X2300">
        <f>IF(ISNUMBER(W2300),'자료_거시'!$G2282,"")</f>
        <v/>
      </c>
      <c r="Y2300">
        <f>IF(ISNUMBER(X2300),IF(X2300&gt;$L$7,W2300,""),"")</f>
        <v/>
      </c>
      <c r="Z2300">
        <f>IF(ISNUMBER('자료_거시'!$K2282),'자료_거시'!$K2282,Z2299)</f>
        <v/>
      </c>
      <c r="AA2300">
        <f>IF(AND(ISNUMBER('자료_거시'!$J2282),ISNUMBER('자료_거시'!$K2282)),IFERROR('자료_거시'!$K2282/INDEX($Z$21:$Z$4020,MATCH(EDATE('자료_거시'!$J2282,-'설정'!$B$17),'자료_거시'!$J$3:INDEX('자료_거시'!$J$3:$J$4002,$K$8),1))-1,""),"")</f>
        <v/>
      </c>
      <c r="AB2300">
        <f>IF(ISNUMBER(AA2300),'자료_거시'!$J2282,"")</f>
        <v/>
      </c>
      <c r="AC2300">
        <f>IF(ISNUMBER(AB2300),IF(AB2300&gt;$L$8,AA2300,""),"")</f>
        <v/>
      </c>
    </row>
    <row r="2301">
      <c r="S2301">
        <f>IF(ISNUMBER('자료_거시'!$E2283),'자료_거시'!$E2283,S2300)</f>
        <v/>
      </c>
      <c r="T2301">
        <f>IF(AND(ISNUMBER('자료_거시'!$D2283),ISNUMBER('자료_거시'!$E2283)),IFERROR('자료_거시'!$E2283-INDEX($S$21:$S$4020,MATCH(EDATE('자료_거시'!$D2283,-'설정'!$B$17),'자료_거시'!$D$3:INDEX('자료_거시'!$D$3:$D$4002,$K$6),1)),""),"")</f>
        <v/>
      </c>
      <c r="U2301">
        <f>IF(ISNUMBER(T2301),'자료_거시'!$D2283,"")</f>
        <v/>
      </c>
      <c r="V2301">
        <f>IF(ISNUMBER(U2301),IF(U2301&gt;$L$6,T2301,""),"")</f>
        <v/>
      </c>
      <c r="W2301">
        <f>IF(AND(ISNUMBER('자료_거시'!$G2283),ISNUMBER('자료_거시'!$H2283)),'자료_거시'!$H2283,"")</f>
        <v/>
      </c>
      <c r="X2301">
        <f>IF(ISNUMBER(W2301),'자료_거시'!$G2283,"")</f>
        <v/>
      </c>
      <c r="Y2301">
        <f>IF(ISNUMBER(X2301),IF(X2301&gt;$L$7,W2301,""),"")</f>
        <v/>
      </c>
      <c r="Z2301">
        <f>IF(ISNUMBER('자료_거시'!$K2283),'자료_거시'!$K2283,Z2300)</f>
        <v/>
      </c>
      <c r="AA2301">
        <f>IF(AND(ISNUMBER('자료_거시'!$J2283),ISNUMBER('자료_거시'!$K2283)),IFERROR('자료_거시'!$K2283/INDEX($Z$21:$Z$4020,MATCH(EDATE('자료_거시'!$J2283,-'설정'!$B$17),'자료_거시'!$J$3:INDEX('자료_거시'!$J$3:$J$4002,$K$8),1))-1,""),"")</f>
        <v/>
      </c>
      <c r="AB2301">
        <f>IF(ISNUMBER(AA2301),'자료_거시'!$J2283,"")</f>
        <v/>
      </c>
      <c r="AC2301">
        <f>IF(ISNUMBER(AB2301),IF(AB2301&gt;$L$8,AA2301,""),"")</f>
        <v/>
      </c>
    </row>
    <row r="2302">
      <c r="S2302">
        <f>IF(ISNUMBER('자료_거시'!$E2284),'자료_거시'!$E2284,S2301)</f>
        <v/>
      </c>
      <c r="T2302">
        <f>IF(AND(ISNUMBER('자료_거시'!$D2284),ISNUMBER('자료_거시'!$E2284)),IFERROR('자료_거시'!$E2284-INDEX($S$21:$S$4020,MATCH(EDATE('자료_거시'!$D2284,-'설정'!$B$17),'자료_거시'!$D$3:INDEX('자료_거시'!$D$3:$D$4002,$K$6),1)),""),"")</f>
        <v/>
      </c>
      <c r="U2302">
        <f>IF(ISNUMBER(T2302),'자료_거시'!$D2284,"")</f>
        <v/>
      </c>
      <c r="V2302">
        <f>IF(ISNUMBER(U2302),IF(U2302&gt;$L$6,T2302,""),"")</f>
        <v/>
      </c>
      <c r="W2302">
        <f>IF(AND(ISNUMBER('자료_거시'!$G2284),ISNUMBER('자료_거시'!$H2284)),'자료_거시'!$H2284,"")</f>
        <v/>
      </c>
      <c r="X2302">
        <f>IF(ISNUMBER(W2302),'자료_거시'!$G2284,"")</f>
        <v/>
      </c>
      <c r="Y2302">
        <f>IF(ISNUMBER(X2302),IF(X2302&gt;$L$7,W2302,""),"")</f>
        <v/>
      </c>
      <c r="Z2302">
        <f>IF(ISNUMBER('자료_거시'!$K2284),'자료_거시'!$K2284,Z2301)</f>
        <v/>
      </c>
      <c r="AA2302">
        <f>IF(AND(ISNUMBER('자료_거시'!$J2284),ISNUMBER('자료_거시'!$K2284)),IFERROR('자료_거시'!$K2284/INDEX($Z$21:$Z$4020,MATCH(EDATE('자료_거시'!$J2284,-'설정'!$B$17),'자료_거시'!$J$3:INDEX('자료_거시'!$J$3:$J$4002,$K$8),1))-1,""),"")</f>
        <v/>
      </c>
      <c r="AB2302">
        <f>IF(ISNUMBER(AA2302),'자료_거시'!$J2284,"")</f>
        <v/>
      </c>
      <c r="AC2302">
        <f>IF(ISNUMBER(AB2302),IF(AB2302&gt;$L$8,AA2302,""),"")</f>
        <v/>
      </c>
    </row>
    <row r="2303">
      <c r="S2303">
        <f>IF(ISNUMBER('자료_거시'!$E2285),'자료_거시'!$E2285,S2302)</f>
        <v/>
      </c>
      <c r="T2303">
        <f>IF(AND(ISNUMBER('자료_거시'!$D2285),ISNUMBER('자료_거시'!$E2285)),IFERROR('자료_거시'!$E2285-INDEX($S$21:$S$4020,MATCH(EDATE('자료_거시'!$D2285,-'설정'!$B$17),'자료_거시'!$D$3:INDEX('자료_거시'!$D$3:$D$4002,$K$6),1)),""),"")</f>
        <v/>
      </c>
      <c r="U2303">
        <f>IF(ISNUMBER(T2303),'자료_거시'!$D2285,"")</f>
        <v/>
      </c>
      <c r="V2303">
        <f>IF(ISNUMBER(U2303),IF(U2303&gt;$L$6,T2303,""),"")</f>
        <v/>
      </c>
      <c r="W2303">
        <f>IF(AND(ISNUMBER('자료_거시'!$G2285),ISNUMBER('자료_거시'!$H2285)),'자료_거시'!$H2285,"")</f>
        <v/>
      </c>
      <c r="X2303">
        <f>IF(ISNUMBER(W2303),'자료_거시'!$G2285,"")</f>
        <v/>
      </c>
      <c r="Y2303">
        <f>IF(ISNUMBER(X2303),IF(X2303&gt;$L$7,W2303,""),"")</f>
        <v/>
      </c>
      <c r="Z2303">
        <f>IF(ISNUMBER('자료_거시'!$K2285),'자료_거시'!$K2285,Z2302)</f>
        <v/>
      </c>
      <c r="AA2303">
        <f>IF(AND(ISNUMBER('자료_거시'!$J2285),ISNUMBER('자료_거시'!$K2285)),IFERROR('자료_거시'!$K2285/INDEX($Z$21:$Z$4020,MATCH(EDATE('자료_거시'!$J2285,-'설정'!$B$17),'자료_거시'!$J$3:INDEX('자료_거시'!$J$3:$J$4002,$K$8),1))-1,""),"")</f>
        <v/>
      </c>
      <c r="AB2303">
        <f>IF(ISNUMBER(AA2303),'자료_거시'!$J2285,"")</f>
        <v/>
      </c>
      <c r="AC2303">
        <f>IF(ISNUMBER(AB2303),IF(AB2303&gt;$L$8,AA2303,""),"")</f>
        <v/>
      </c>
    </row>
    <row r="2304">
      <c r="S2304">
        <f>IF(ISNUMBER('자료_거시'!$E2286),'자료_거시'!$E2286,S2303)</f>
        <v/>
      </c>
      <c r="T2304">
        <f>IF(AND(ISNUMBER('자료_거시'!$D2286),ISNUMBER('자료_거시'!$E2286)),IFERROR('자료_거시'!$E2286-INDEX($S$21:$S$4020,MATCH(EDATE('자료_거시'!$D2286,-'설정'!$B$17),'자료_거시'!$D$3:INDEX('자료_거시'!$D$3:$D$4002,$K$6),1)),""),"")</f>
        <v/>
      </c>
      <c r="U2304">
        <f>IF(ISNUMBER(T2304),'자료_거시'!$D2286,"")</f>
        <v/>
      </c>
      <c r="V2304">
        <f>IF(ISNUMBER(U2304),IF(U2304&gt;$L$6,T2304,""),"")</f>
        <v/>
      </c>
      <c r="W2304">
        <f>IF(AND(ISNUMBER('자료_거시'!$G2286),ISNUMBER('자료_거시'!$H2286)),'자료_거시'!$H2286,"")</f>
        <v/>
      </c>
      <c r="X2304">
        <f>IF(ISNUMBER(W2304),'자료_거시'!$G2286,"")</f>
        <v/>
      </c>
      <c r="Y2304">
        <f>IF(ISNUMBER(X2304),IF(X2304&gt;$L$7,W2304,""),"")</f>
        <v/>
      </c>
      <c r="Z2304">
        <f>IF(ISNUMBER('자료_거시'!$K2286),'자료_거시'!$K2286,Z2303)</f>
        <v/>
      </c>
      <c r="AA2304">
        <f>IF(AND(ISNUMBER('자료_거시'!$J2286),ISNUMBER('자료_거시'!$K2286)),IFERROR('자료_거시'!$K2286/INDEX($Z$21:$Z$4020,MATCH(EDATE('자료_거시'!$J2286,-'설정'!$B$17),'자료_거시'!$J$3:INDEX('자료_거시'!$J$3:$J$4002,$K$8),1))-1,""),"")</f>
        <v/>
      </c>
      <c r="AB2304">
        <f>IF(ISNUMBER(AA2304),'자료_거시'!$J2286,"")</f>
        <v/>
      </c>
      <c r="AC2304">
        <f>IF(ISNUMBER(AB2304),IF(AB2304&gt;$L$8,AA2304,""),"")</f>
        <v/>
      </c>
    </row>
    <row r="2305">
      <c r="S2305">
        <f>IF(ISNUMBER('자료_거시'!$E2287),'자료_거시'!$E2287,S2304)</f>
        <v/>
      </c>
      <c r="T2305">
        <f>IF(AND(ISNUMBER('자료_거시'!$D2287),ISNUMBER('자료_거시'!$E2287)),IFERROR('자료_거시'!$E2287-INDEX($S$21:$S$4020,MATCH(EDATE('자료_거시'!$D2287,-'설정'!$B$17),'자료_거시'!$D$3:INDEX('자료_거시'!$D$3:$D$4002,$K$6),1)),""),"")</f>
        <v/>
      </c>
      <c r="U2305">
        <f>IF(ISNUMBER(T2305),'자료_거시'!$D2287,"")</f>
        <v/>
      </c>
      <c r="V2305">
        <f>IF(ISNUMBER(U2305),IF(U2305&gt;$L$6,T2305,""),"")</f>
        <v/>
      </c>
      <c r="W2305">
        <f>IF(AND(ISNUMBER('자료_거시'!$G2287),ISNUMBER('자료_거시'!$H2287)),'자료_거시'!$H2287,"")</f>
        <v/>
      </c>
      <c r="X2305">
        <f>IF(ISNUMBER(W2305),'자료_거시'!$G2287,"")</f>
        <v/>
      </c>
      <c r="Y2305">
        <f>IF(ISNUMBER(X2305),IF(X2305&gt;$L$7,W2305,""),"")</f>
        <v/>
      </c>
      <c r="Z2305">
        <f>IF(ISNUMBER('자료_거시'!$K2287),'자료_거시'!$K2287,Z2304)</f>
        <v/>
      </c>
      <c r="AA2305">
        <f>IF(AND(ISNUMBER('자료_거시'!$J2287),ISNUMBER('자료_거시'!$K2287)),IFERROR('자료_거시'!$K2287/INDEX($Z$21:$Z$4020,MATCH(EDATE('자료_거시'!$J2287,-'설정'!$B$17),'자료_거시'!$J$3:INDEX('자료_거시'!$J$3:$J$4002,$K$8),1))-1,""),"")</f>
        <v/>
      </c>
      <c r="AB2305">
        <f>IF(ISNUMBER(AA2305),'자료_거시'!$J2287,"")</f>
        <v/>
      </c>
      <c r="AC2305">
        <f>IF(ISNUMBER(AB2305),IF(AB2305&gt;$L$8,AA2305,""),"")</f>
        <v/>
      </c>
    </row>
    <row r="2306">
      <c r="S2306">
        <f>IF(ISNUMBER('자료_거시'!$E2288),'자료_거시'!$E2288,S2305)</f>
        <v/>
      </c>
      <c r="T2306">
        <f>IF(AND(ISNUMBER('자료_거시'!$D2288),ISNUMBER('자료_거시'!$E2288)),IFERROR('자료_거시'!$E2288-INDEX($S$21:$S$4020,MATCH(EDATE('자료_거시'!$D2288,-'설정'!$B$17),'자료_거시'!$D$3:INDEX('자료_거시'!$D$3:$D$4002,$K$6),1)),""),"")</f>
        <v/>
      </c>
      <c r="U2306">
        <f>IF(ISNUMBER(T2306),'자료_거시'!$D2288,"")</f>
        <v/>
      </c>
      <c r="V2306">
        <f>IF(ISNUMBER(U2306),IF(U2306&gt;$L$6,T2306,""),"")</f>
        <v/>
      </c>
      <c r="W2306">
        <f>IF(AND(ISNUMBER('자료_거시'!$G2288),ISNUMBER('자료_거시'!$H2288)),'자료_거시'!$H2288,"")</f>
        <v/>
      </c>
      <c r="X2306">
        <f>IF(ISNUMBER(W2306),'자료_거시'!$G2288,"")</f>
        <v/>
      </c>
      <c r="Y2306">
        <f>IF(ISNUMBER(X2306),IF(X2306&gt;$L$7,W2306,""),"")</f>
        <v/>
      </c>
      <c r="Z2306">
        <f>IF(ISNUMBER('자료_거시'!$K2288),'자료_거시'!$K2288,Z2305)</f>
        <v/>
      </c>
      <c r="AA2306">
        <f>IF(AND(ISNUMBER('자료_거시'!$J2288),ISNUMBER('자료_거시'!$K2288)),IFERROR('자료_거시'!$K2288/INDEX($Z$21:$Z$4020,MATCH(EDATE('자료_거시'!$J2288,-'설정'!$B$17),'자료_거시'!$J$3:INDEX('자료_거시'!$J$3:$J$4002,$K$8),1))-1,""),"")</f>
        <v/>
      </c>
      <c r="AB2306">
        <f>IF(ISNUMBER(AA2306),'자료_거시'!$J2288,"")</f>
        <v/>
      </c>
      <c r="AC2306">
        <f>IF(ISNUMBER(AB2306),IF(AB2306&gt;$L$8,AA2306,""),"")</f>
        <v/>
      </c>
    </row>
    <row r="2307">
      <c r="S2307">
        <f>IF(ISNUMBER('자료_거시'!$E2289),'자료_거시'!$E2289,S2306)</f>
        <v/>
      </c>
      <c r="T2307">
        <f>IF(AND(ISNUMBER('자료_거시'!$D2289),ISNUMBER('자료_거시'!$E2289)),IFERROR('자료_거시'!$E2289-INDEX($S$21:$S$4020,MATCH(EDATE('자료_거시'!$D2289,-'설정'!$B$17),'자료_거시'!$D$3:INDEX('자료_거시'!$D$3:$D$4002,$K$6),1)),""),"")</f>
        <v/>
      </c>
      <c r="U2307">
        <f>IF(ISNUMBER(T2307),'자료_거시'!$D2289,"")</f>
        <v/>
      </c>
      <c r="V2307">
        <f>IF(ISNUMBER(U2307),IF(U2307&gt;$L$6,T2307,""),"")</f>
        <v/>
      </c>
      <c r="W2307">
        <f>IF(AND(ISNUMBER('자료_거시'!$G2289),ISNUMBER('자료_거시'!$H2289)),'자료_거시'!$H2289,"")</f>
        <v/>
      </c>
      <c r="X2307">
        <f>IF(ISNUMBER(W2307),'자료_거시'!$G2289,"")</f>
        <v/>
      </c>
      <c r="Y2307">
        <f>IF(ISNUMBER(X2307),IF(X2307&gt;$L$7,W2307,""),"")</f>
        <v/>
      </c>
      <c r="Z2307">
        <f>IF(ISNUMBER('자료_거시'!$K2289),'자료_거시'!$K2289,Z2306)</f>
        <v/>
      </c>
      <c r="AA2307">
        <f>IF(AND(ISNUMBER('자료_거시'!$J2289),ISNUMBER('자료_거시'!$K2289)),IFERROR('자료_거시'!$K2289/INDEX($Z$21:$Z$4020,MATCH(EDATE('자료_거시'!$J2289,-'설정'!$B$17),'자료_거시'!$J$3:INDEX('자료_거시'!$J$3:$J$4002,$K$8),1))-1,""),"")</f>
        <v/>
      </c>
      <c r="AB2307">
        <f>IF(ISNUMBER(AA2307),'자료_거시'!$J2289,"")</f>
        <v/>
      </c>
      <c r="AC2307">
        <f>IF(ISNUMBER(AB2307),IF(AB2307&gt;$L$8,AA2307,""),"")</f>
        <v/>
      </c>
    </row>
    <row r="2308">
      <c r="S2308">
        <f>IF(ISNUMBER('자료_거시'!$E2290),'자료_거시'!$E2290,S2307)</f>
        <v/>
      </c>
      <c r="T2308">
        <f>IF(AND(ISNUMBER('자료_거시'!$D2290),ISNUMBER('자료_거시'!$E2290)),IFERROR('자료_거시'!$E2290-INDEX($S$21:$S$4020,MATCH(EDATE('자료_거시'!$D2290,-'설정'!$B$17),'자료_거시'!$D$3:INDEX('자료_거시'!$D$3:$D$4002,$K$6),1)),""),"")</f>
        <v/>
      </c>
      <c r="U2308">
        <f>IF(ISNUMBER(T2308),'자료_거시'!$D2290,"")</f>
        <v/>
      </c>
      <c r="V2308">
        <f>IF(ISNUMBER(U2308),IF(U2308&gt;$L$6,T2308,""),"")</f>
        <v/>
      </c>
      <c r="W2308">
        <f>IF(AND(ISNUMBER('자료_거시'!$G2290),ISNUMBER('자료_거시'!$H2290)),'자료_거시'!$H2290,"")</f>
        <v/>
      </c>
      <c r="X2308">
        <f>IF(ISNUMBER(W2308),'자료_거시'!$G2290,"")</f>
        <v/>
      </c>
      <c r="Y2308">
        <f>IF(ISNUMBER(X2308),IF(X2308&gt;$L$7,W2308,""),"")</f>
        <v/>
      </c>
      <c r="Z2308">
        <f>IF(ISNUMBER('자료_거시'!$K2290),'자료_거시'!$K2290,Z2307)</f>
        <v/>
      </c>
      <c r="AA2308">
        <f>IF(AND(ISNUMBER('자료_거시'!$J2290),ISNUMBER('자료_거시'!$K2290)),IFERROR('자료_거시'!$K2290/INDEX($Z$21:$Z$4020,MATCH(EDATE('자료_거시'!$J2290,-'설정'!$B$17),'자료_거시'!$J$3:INDEX('자료_거시'!$J$3:$J$4002,$K$8),1))-1,""),"")</f>
        <v/>
      </c>
      <c r="AB2308">
        <f>IF(ISNUMBER(AA2308),'자료_거시'!$J2290,"")</f>
        <v/>
      </c>
      <c r="AC2308">
        <f>IF(ISNUMBER(AB2308),IF(AB2308&gt;$L$8,AA2308,""),"")</f>
        <v/>
      </c>
    </row>
    <row r="2309">
      <c r="S2309">
        <f>IF(ISNUMBER('자료_거시'!$E2291),'자료_거시'!$E2291,S2308)</f>
        <v/>
      </c>
      <c r="T2309">
        <f>IF(AND(ISNUMBER('자료_거시'!$D2291),ISNUMBER('자료_거시'!$E2291)),IFERROR('자료_거시'!$E2291-INDEX($S$21:$S$4020,MATCH(EDATE('자료_거시'!$D2291,-'설정'!$B$17),'자료_거시'!$D$3:INDEX('자료_거시'!$D$3:$D$4002,$K$6),1)),""),"")</f>
        <v/>
      </c>
      <c r="U2309">
        <f>IF(ISNUMBER(T2309),'자료_거시'!$D2291,"")</f>
        <v/>
      </c>
      <c r="V2309">
        <f>IF(ISNUMBER(U2309),IF(U2309&gt;$L$6,T2309,""),"")</f>
        <v/>
      </c>
      <c r="W2309">
        <f>IF(AND(ISNUMBER('자료_거시'!$G2291),ISNUMBER('자료_거시'!$H2291)),'자료_거시'!$H2291,"")</f>
        <v/>
      </c>
      <c r="X2309">
        <f>IF(ISNUMBER(W2309),'자료_거시'!$G2291,"")</f>
        <v/>
      </c>
      <c r="Y2309">
        <f>IF(ISNUMBER(X2309),IF(X2309&gt;$L$7,W2309,""),"")</f>
        <v/>
      </c>
      <c r="Z2309">
        <f>IF(ISNUMBER('자료_거시'!$K2291),'자료_거시'!$K2291,Z2308)</f>
        <v/>
      </c>
      <c r="AA2309">
        <f>IF(AND(ISNUMBER('자료_거시'!$J2291),ISNUMBER('자료_거시'!$K2291)),IFERROR('자료_거시'!$K2291/INDEX($Z$21:$Z$4020,MATCH(EDATE('자료_거시'!$J2291,-'설정'!$B$17),'자료_거시'!$J$3:INDEX('자료_거시'!$J$3:$J$4002,$K$8),1))-1,""),"")</f>
        <v/>
      </c>
      <c r="AB2309">
        <f>IF(ISNUMBER(AA2309),'자료_거시'!$J2291,"")</f>
        <v/>
      </c>
      <c r="AC2309">
        <f>IF(ISNUMBER(AB2309),IF(AB2309&gt;$L$8,AA2309,""),"")</f>
        <v/>
      </c>
    </row>
    <row r="2310">
      <c r="S2310">
        <f>IF(ISNUMBER('자료_거시'!$E2292),'자료_거시'!$E2292,S2309)</f>
        <v/>
      </c>
      <c r="T2310">
        <f>IF(AND(ISNUMBER('자료_거시'!$D2292),ISNUMBER('자료_거시'!$E2292)),IFERROR('자료_거시'!$E2292-INDEX($S$21:$S$4020,MATCH(EDATE('자료_거시'!$D2292,-'설정'!$B$17),'자료_거시'!$D$3:INDEX('자료_거시'!$D$3:$D$4002,$K$6),1)),""),"")</f>
        <v/>
      </c>
      <c r="U2310">
        <f>IF(ISNUMBER(T2310),'자료_거시'!$D2292,"")</f>
        <v/>
      </c>
      <c r="V2310">
        <f>IF(ISNUMBER(U2310),IF(U2310&gt;$L$6,T2310,""),"")</f>
        <v/>
      </c>
      <c r="W2310">
        <f>IF(AND(ISNUMBER('자료_거시'!$G2292),ISNUMBER('자료_거시'!$H2292)),'자료_거시'!$H2292,"")</f>
        <v/>
      </c>
      <c r="X2310">
        <f>IF(ISNUMBER(W2310),'자료_거시'!$G2292,"")</f>
        <v/>
      </c>
      <c r="Y2310">
        <f>IF(ISNUMBER(X2310),IF(X2310&gt;$L$7,W2310,""),"")</f>
        <v/>
      </c>
      <c r="Z2310">
        <f>IF(ISNUMBER('자료_거시'!$K2292),'자료_거시'!$K2292,Z2309)</f>
        <v/>
      </c>
      <c r="AA2310">
        <f>IF(AND(ISNUMBER('자료_거시'!$J2292),ISNUMBER('자료_거시'!$K2292)),IFERROR('자료_거시'!$K2292/INDEX($Z$21:$Z$4020,MATCH(EDATE('자료_거시'!$J2292,-'설정'!$B$17),'자료_거시'!$J$3:INDEX('자료_거시'!$J$3:$J$4002,$K$8),1))-1,""),"")</f>
        <v/>
      </c>
      <c r="AB2310">
        <f>IF(ISNUMBER(AA2310),'자료_거시'!$J2292,"")</f>
        <v/>
      </c>
      <c r="AC2310">
        <f>IF(ISNUMBER(AB2310),IF(AB2310&gt;$L$8,AA2310,""),"")</f>
        <v/>
      </c>
    </row>
    <row r="2311">
      <c r="S2311">
        <f>IF(ISNUMBER('자료_거시'!$E2293),'자료_거시'!$E2293,S2310)</f>
        <v/>
      </c>
      <c r="T2311">
        <f>IF(AND(ISNUMBER('자료_거시'!$D2293),ISNUMBER('자료_거시'!$E2293)),IFERROR('자료_거시'!$E2293-INDEX($S$21:$S$4020,MATCH(EDATE('자료_거시'!$D2293,-'설정'!$B$17),'자료_거시'!$D$3:INDEX('자료_거시'!$D$3:$D$4002,$K$6),1)),""),"")</f>
        <v/>
      </c>
      <c r="U2311">
        <f>IF(ISNUMBER(T2311),'자료_거시'!$D2293,"")</f>
        <v/>
      </c>
      <c r="V2311">
        <f>IF(ISNUMBER(U2311),IF(U2311&gt;$L$6,T2311,""),"")</f>
        <v/>
      </c>
      <c r="W2311">
        <f>IF(AND(ISNUMBER('자료_거시'!$G2293),ISNUMBER('자료_거시'!$H2293)),'자료_거시'!$H2293,"")</f>
        <v/>
      </c>
      <c r="X2311">
        <f>IF(ISNUMBER(W2311),'자료_거시'!$G2293,"")</f>
        <v/>
      </c>
      <c r="Y2311">
        <f>IF(ISNUMBER(X2311),IF(X2311&gt;$L$7,W2311,""),"")</f>
        <v/>
      </c>
      <c r="Z2311">
        <f>IF(ISNUMBER('자료_거시'!$K2293),'자료_거시'!$K2293,Z2310)</f>
        <v/>
      </c>
      <c r="AA2311">
        <f>IF(AND(ISNUMBER('자료_거시'!$J2293),ISNUMBER('자료_거시'!$K2293)),IFERROR('자료_거시'!$K2293/INDEX($Z$21:$Z$4020,MATCH(EDATE('자료_거시'!$J2293,-'설정'!$B$17),'자료_거시'!$J$3:INDEX('자료_거시'!$J$3:$J$4002,$K$8),1))-1,""),"")</f>
        <v/>
      </c>
      <c r="AB2311">
        <f>IF(ISNUMBER(AA2311),'자료_거시'!$J2293,"")</f>
        <v/>
      </c>
      <c r="AC2311">
        <f>IF(ISNUMBER(AB2311),IF(AB2311&gt;$L$8,AA2311,""),"")</f>
        <v/>
      </c>
    </row>
    <row r="2312">
      <c r="S2312">
        <f>IF(ISNUMBER('자료_거시'!$E2294),'자료_거시'!$E2294,S2311)</f>
        <v/>
      </c>
      <c r="T2312">
        <f>IF(AND(ISNUMBER('자료_거시'!$D2294),ISNUMBER('자료_거시'!$E2294)),IFERROR('자료_거시'!$E2294-INDEX($S$21:$S$4020,MATCH(EDATE('자료_거시'!$D2294,-'설정'!$B$17),'자료_거시'!$D$3:INDEX('자료_거시'!$D$3:$D$4002,$K$6),1)),""),"")</f>
        <v/>
      </c>
      <c r="U2312">
        <f>IF(ISNUMBER(T2312),'자료_거시'!$D2294,"")</f>
        <v/>
      </c>
      <c r="V2312">
        <f>IF(ISNUMBER(U2312),IF(U2312&gt;$L$6,T2312,""),"")</f>
        <v/>
      </c>
      <c r="W2312">
        <f>IF(AND(ISNUMBER('자료_거시'!$G2294),ISNUMBER('자료_거시'!$H2294)),'자료_거시'!$H2294,"")</f>
        <v/>
      </c>
      <c r="X2312">
        <f>IF(ISNUMBER(W2312),'자료_거시'!$G2294,"")</f>
        <v/>
      </c>
      <c r="Y2312">
        <f>IF(ISNUMBER(X2312),IF(X2312&gt;$L$7,W2312,""),"")</f>
        <v/>
      </c>
      <c r="Z2312">
        <f>IF(ISNUMBER('자료_거시'!$K2294),'자료_거시'!$K2294,Z2311)</f>
        <v/>
      </c>
      <c r="AA2312">
        <f>IF(AND(ISNUMBER('자료_거시'!$J2294),ISNUMBER('자료_거시'!$K2294)),IFERROR('자료_거시'!$K2294/INDEX($Z$21:$Z$4020,MATCH(EDATE('자료_거시'!$J2294,-'설정'!$B$17),'자료_거시'!$J$3:INDEX('자료_거시'!$J$3:$J$4002,$K$8),1))-1,""),"")</f>
        <v/>
      </c>
      <c r="AB2312">
        <f>IF(ISNUMBER(AA2312),'자료_거시'!$J2294,"")</f>
        <v/>
      </c>
      <c r="AC2312">
        <f>IF(ISNUMBER(AB2312),IF(AB2312&gt;$L$8,AA2312,""),"")</f>
        <v/>
      </c>
    </row>
    <row r="2313">
      <c r="S2313">
        <f>IF(ISNUMBER('자료_거시'!$E2295),'자료_거시'!$E2295,S2312)</f>
        <v/>
      </c>
      <c r="T2313">
        <f>IF(AND(ISNUMBER('자료_거시'!$D2295),ISNUMBER('자료_거시'!$E2295)),IFERROR('자료_거시'!$E2295-INDEX($S$21:$S$4020,MATCH(EDATE('자료_거시'!$D2295,-'설정'!$B$17),'자료_거시'!$D$3:INDEX('자료_거시'!$D$3:$D$4002,$K$6),1)),""),"")</f>
        <v/>
      </c>
      <c r="U2313">
        <f>IF(ISNUMBER(T2313),'자료_거시'!$D2295,"")</f>
        <v/>
      </c>
      <c r="V2313">
        <f>IF(ISNUMBER(U2313),IF(U2313&gt;$L$6,T2313,""),"")</f>
        <v/>
      </c>
      <c r="W2313">
        <f>IF(AND(ISNUMBER('자료_거시'!$G2295),ISNUMBER('자료_거시'!$H2295)),'자료_거시'!$H2295,"")</f>
        <v/>
      </c>
      <c r="X2313">
        <f>IF(ISNUMBER(W2313),'자료_거시'!$G2295,"")</f>
        <v/>
      </c>
      <c r="Y2313">
        <f>IF(ISNUMBER(X2313),IF(X2313&gt;$L$7,W2313,""),"")</f>
        <v/>
      </c>
      <c r="Z2313">
        <f>IF(ISNUMBER('자료_거시'!$K2295),'자료_거시'!$K2295,Z2312)</f>
        <v/>
      </c>
      <c r="AA2313">
        <f>IF(AND(ISNUMBER('자료_거시'!$J2295),ISNUMBER('자료_거시'!$K2295)),IFERROR('자료_거시'!$K2295/INDEX($Z$21:$Z$4020,MATCH(EDATE('자료_거시'!$J2295,-'설정'!$B$17),'자료_거시'!$J$3:INDEX('자료_거시'!$J$3:$J$4002,$K$8),1))-1,""),"")</f>
        <v/>
      </c>
      <c r="AB2313">
        <f>IF(ISNUMBER(AA2313),'자료_거시'!$J2295,"")</f>
        <v/>
      </c>
      <c r="AC2313">
        <f>IF(ISNUMBER(AB2313),IF(AB2313&gt;$L$8,AA2313,""),"")</f>
        <v/>
      </c>
    </row>
    <row r="2314">
      <c r="S2314">
        <f>IF(ISNUMBER('자료_거시'!$E2296),'자료_거시'!$E2296,S2313)</f>
        <v/>
      </c>
      <c r="T2314">
        <f>IF(AND(ISNUMBER('자료_거시'!$D2296),ISNUMBER('자료_거시'!$E2296)),IFERROR('자료_거시'!$E2296-INDEX($S$21:$S$4020,MATCH(EDATE('자료_거시'!$D2296,-'설정'!$B$17),'자료_거시'!$D$3:INDEX('자료_거시'!$D$3:$D$4002,$K$6),1)),""),"")</f>
        <v/>
      </c>
      <c r="U2314">
        <f>IF(ISNUMBER(T2314),'자료_거시'!$D2296,"")</f>
        <v/>
      </c>
      <c r="V2314">
        <f>IF(ISNUMBER(U2314),IF(U2314&gt;$L$6,T2314,""),"")</f>
        <v/>
      </c>
      <c r="W2314">
        <f>IF(AND(ISNUMBER('자료_거시'!$G2296),ISNUMBER('자료_거시'!$H2296)),'자료_거시'!$H2296,"")</f>
        <v/>
      </c>
      <c r="X2314">
        <f>IF(ISNUMBER(W2314),'자료_거시'!$G2296,"")</f>
        <v/>
      </c>
      <c r="Y2314">
        <f>IF(ISNUMBER(X2314),IF(X2314&gt;$L$7,W2314,""),"")</f>
        <v/>
      </c>
      <c r="Z2314">
        <f>IF(ISNUMBER('자료_거시'!$K2296),'자료_거시'!$K2296,Z2313)</f>
        <v/>
      </c>
      <c r="AA2314">
        <f>IF(AND(ISNUMBER('자료_거시'!$J2296),ISNUMBER('자료_거시'!$K2296)),IFERROR('자료_거시'!$K2296/INDEX($Z$21:$Z$4020,MATCH(EDATE('자료_거시'!$J2296,-'설정'!$B$17),'자료_거시'!$J$3:INDEX('자료_거시'!$J$3:$J$4002,$K$8),1))-1,""),"")</f>
        <v/>
      </c>
      <c r="AB2314">
        <f>IF(ISNUMBER(AA2314),'자료_거시'!$J2296,"")</f>
        <v/>
      </c>
      <c r="AC2314">
        <f>IF(ISNUMBER(AB2314),IF(AB2314&gt;$L$8,AA2314,""),"")</f>
        <v/>
      </c>
    </row>
    <row r="2315">
      <c r="S2315">
        <f>IF(ISNUMBER('자료_거시'!$E2297),'자료_거시'!$E2297,S2314)</f>
        <v/>
      </c>
      <c r="T2315">
        <f>IF(AND(ISNUMBER('자료_거시'!$D2297),ISNUMBER('자료_거시'!$E2297)),IFERROR('자료_거시'!$E2297-INDEX($S$21:$S$4020,MATCH(EDATE('자료_거시'!$D2297,-'설정'!$B$17),'자료_거시'!$D$3:INDEX('자료_거시'!$D$3:$D$4002,$K$6),1)),""),"")</f>
        <v/>
      </c>
      <c r="U2315">
        <f>IF(ISNUMBER(T2315),'자료_거시'!$D2297,"")</f>
        <v/>
      </c>
      <c r="V2315">
        <f>IF(ISNUMBER(U2315),IF(U2315&gt;$L$6,T2315,""),"")</f>
        <v/>
      </c>
      <c r="W2315">
        <f>IF(AND(ISNUMBER('자료_거시'!$G2297),ISNUMBER('자료_거시'!$H2297)),'자료_거시'!$H2297,"")</f>
        <v/>
      </c>
      <c r="X2315">
        <f>IF(ISNUMBER(W2315),'자료_거시'!$G2297,"")</f>
        <v/>
      </c>
      <c r="Y2315">
        <f>IF(ISNUMBER(X2315),IF(X2315&gt;$L$7,W2315,""),"")</f>
        <v/>
      </c>
      <c r="Z2315">
        <f>IF(ISNUMBER('자료_거시'!$K2297),'자료_거시'!$K2297,Z2314)</f>
        <v/>
      </c>
      <c r="AA2315">
        <f>IF(AND(ISNUMBER('자료_거시'!$J2297),ISNUMBER('자료_거시'!$K2297)),IFERROR('자료_거시'!$K2297/INDEX($Z$21:$Z$4020,MATCH(EDATE('자료_거시'!$J2297,-'설정'!$B$17),'자료_거시'!$J$3:INDEX('자료_거시'!$J$3:$J$4002,$K$8),1))-1,""),"")</f>
        <v/>
      </c>
      <c r="AB2315">
        <f>IF(ISNUMBER(AA2315),'자료_거시'!$J2297,"")</f>
        <v/>
      </c>
      <c r="AC2315">
        <f>IF(ISNUMBER(AB2315),IF(AB2315&gt;$L$8,AA2315,""),"")</f>
        <v/>
      </c>
    </row>
    <row r="2316">
      <c r="S2316">
        <f>IF(ISNUMBER('자료_거시'!$E2298),'자료_거시'!$E2298,S2315)</f>
        <v/>
      </c>
      <c r="T2316">
        <f>IF(AND(ISNUMBER('자료_거시'!$D2298),ISNUMBER('자료_거시'!$E2298)),IFERROR('자료_거시'!$E2298-INDEX($S$21:$S$4020,MATCH(EDATE('자료_거시'!$D2298,-'설정'!$B$17),'자료_거시'!$D$3:INDEX('자료_거시'!$D$3:$D$4002,$K$6),1)),""),"")</f>
        <v/>
      </c>
      <c r="U2316">
        <f>IF(ISNUMBER(T2316),'자료_거시'!$D2298,"")</f>
        <v/>
      </c>
      <c r="V2316">
        <f>IF(ISNUMBER(U2316),IF(U2316&gt;$L$6,T2316,""),"")</f>
        <v/>
      </c>
      <c r="W2316">
        <f>IF(AND(ISNUMBER('자료_거시'!$G2298),ISNUMBER('자료_거시'!$H2298)),'자료_거시'!$H2298,"")</f>
        <v/>
      </c>
      <c r="X2316">
        <f>IF(ISNUMBER(W2316),'자료_거시'!$G2298,"")</f>
        <v/>
      </c>
      <c r="Y2316">
        <f>IF(ISNUMBER(X2316),IF(X2316&gt;$L$7,W2316,""),"")</f>
        <v/>
      </c>
      <c r="Z2316">
        <f>IF(ISNUMBER('자료_거시'!$K2298),'자료_거시'!$K2298,Z2315)</f>
        <v/>
      </c>
      <c r="AA2316">
        <f>IF(AND(ISNUMBER('자료_거시'!$J2298),ISNUMBER('자료_거시'!$K2298)),IFERROR('자료_거시'!$K2298/INDEX($Z$21:$Z$4020,MATCH(EDATE('자료_거시'!$J2298,-'설정'!$B$17),'자료_거시'!$J$3:INDEX('자료_거시'!$J$3:$J$4002,$K$8),1))-1,""),"")</f>
        <v/>
      </c>
      <c r="AB2316">
        <f>IF(ISNUMBER(AA2316),'자료_거시'!$J2298,"")</f>
        <v/>
      </c>
      <c r="AC2316">
        <f>IF(ISNUMBER(AB2316),IF(AB2316&gt;$L$8,AA2316,""),"")</f>
        <v/>
      </c>
    </row>
    <row r="2317">
      <c r="S2317">
        <f>IF(ISNUMBER('자료_거시'!$E2299),'자료_거시'!$E2299,S2316)</f>
        <v/>
      </c>
      <c r="T2317">
        <f>IF(AND(ISNUMBER('자료_거시'!$D2299),ISNUMBER('자료_거시'!$E2299)),IFERROR('자료_거시'!$E2299-INDEX($S$21:$S$4020,MATCH(EDATE('자료_거시'!$D2299,-'설정'!$B$17),'자료_거시'!$D$3:INDEX('자료_거시'!$D$3:$D$4002,$K$6),1)),""),"")</f>
        <v/>
      </c>
      <c r="U2317">
        <f>IF(ISNUMBER(T2317),'자료_거시'!$D2299,"")</f>
        <v/>
      </c>
      <c r="V2317">
        <f>IF(ISNUMBER(U2317),IF(U2317&gt;$L$6,T2317,""),"")</f>
        <v/>
      </c>
      <c r="W2317">
        <f>IF(AND(ISNUMBER('자료_거시'!$G2299),ISNUMBER('자료_거시'!$H2299)),'자료_거시'!$H2299,"")</f>
        <v/>
      </c>
      <c r="X2317">
        <f>IF(ISNUMBER(W2317),'자료_거시'!$G2299,"")</f>
        <v/>
      </c>
      <c r="Y2317">
        <f>IF(ISNUMBER(X2317),IF(X2317&gt;$L$7,W2317,""),"")</f>
        <v/>
      </c>
      <c r="Z2317">
        <f>IF(ISNUMBER('자료_거시'!$K2299),'자료_거시'!$K2299,Z2316)</f>
        <v/>
      </c>
      <c r="AA2317">
        <f>IF(AND(ISNUMBER('자료_거시'!$J2299),ISNUMBER('자료_거시'!$K2299)),IFERROR('자료_거시'!$K2299/INDEX($Z$21:$Z$4020,MATCH(EDATE('자료_거시'!$J2299,-'설정'!$B$17),'자료_거시'!$J$3:INDEX('자료_거시'!$J$3:$J$4002,$K$8),1))-1,""),"")</f>
        <v/>
      </c>
      <c r="AB2317">
        <f>IF(ISNUMBER(AA2317),'자료_거시'!$J2299,"")</f>
        <v/>
      </c>
      <c r="AC2317">
        <f>IF(ISNUMBER(AB2317),IF(AB2317&gt;$L$8,AA2317,""),"")</f>
        <v/>
      </c>
    </row>
    <row r="2318">
      <c r="S2318">
        <f>IF(ISNUMBER('자료_거시'!$E2300),'자료_거시'!$E2300,S2317)</f>
        <v/>
      </c>
      <c r="T2318">
        <f>IF(AND(ISNUMBER('자료_거시'!$D2300),ISNUMBER('자료_거시'!$E2300)),IFERROR('자료_거시'!$E2300-INDEX($S$21:$S$4020,MATCH(EDATE('자료_거시'!$D2300,-'설정'!$B$17),'자료_거시'!$D$3:INDEX('자료_거시'!$D$3:$D$4002,$K$6),1)),""),"")</f>
        <v/>
      </c>
      <c r="U2318">
        <f>IF(ISNUMBER(T2318),'자료_거시'!$D2300,"")</f>
        <v/>
      </c>
      <c r="V2318">
        <f>IF(ISNUMBER(U2318),IF(U2318&gt;$L$6,T2318,""),"")</f>
        <v/>
      </c>
      <c r="W2318">
        <f>IF(AND(ISNUMBER('자료_거시'!$G2300),ISNUMBER('자료_거시'!$H2300)),'자료_거시'!$H2300,"")</f>
        <v/>
      </c>
      <c r="X2318">
        <f>IF(ISNUMBER(W2318),'자료_거시'!$G2300,"")</f>
        <v/>
      </c>
      <c r="Y2318">
        <f>IF(ISNUMBER(X2318),IF(X2318&gt;$L$7,W2318,""),"")</f>
        <v/>
      </c>
      <c r="Z2318">
        <f>IF(ISNUMBER('자료_거시'!$K2300),'자료_거시'!$K2300,Z2317)</f>
        <v/>
      </c>
      <c r="AA2318">
        <f>IF(AND(ISNUMBER('자료_거시'!$J2300),ISNUMBER('자료_거시'!$K2300)),IFERROR('자료_거시'!$K2300/INDEX($Z$21:$Z$4020,MATCH(EDATE('자료_거시'!$J2300,-'설정'!$B$17),'자료_거시'!$J$3:INDEX('자료_거시'!$J$3:$J$4002,$K$8),1))-1,""),"")</f>
        <v/>
      </c>
      <c r="AB2318">
        <f>IF(ISNUMBER(AA2318),'자료_거시'!$J2300,"")</f>
        <v/>
      </c>
      <c r="AC2318">
        <f>IF(ISNUMBER(AB2318),IF(AB2318&gt;$L$8,AA2318,""),"")</f>
        <v/>
      </c>
    </row>
    <row r="2319">
      <c r="S2319">
        <f>IF(ISNUMBER('자료_거시'!$E2301),'자료_거시'!$E2301,S2318)</f>
        <v/>
      </c>
      <c r="T2319">
        <f>IF(AND(ISNUMBER('자료_거시'!$D2301),ISNUMBER('자료_거시'!$E2301)),IFERROR('자료_거시'!$E2301-INDEX($S$21:$S$4020,MATCH(EDATE('자료_거시'!$D2301,-'설정'!$B$17),'자료_거시'!$D$3:INDEX('자료_거시'!$D$3:$D$4002,$K$6),1)),""),"")</f>
        <v/>
      </c>
      <c r="U2319">
        <f>IF(ISNUMBER(T2319),'자료_거시'!$D2301,"")</f>
        <v/>
      </c>
      <c r="V2319">
        <f>IF(ISNUMBER(U2319),IF(U2319&gt;$L$6,T2319,""),"")</f>
        <v/>
      </c>
      <c r="W2319">
        <f>IF(AND(ISNUMBER('자료_거시'!$G2301),ISNUMBER('자료_거시'!$H2301)),'자료_거시'!$H2301,"")</f>
        <v/>
      </c>
      <c r="X2319">
        <f>IF(ISNUMBER(W2319),'자료_거시'!$G2301,"")</f>
        <v/>
      </c>
      <c r="Y2319">
        <f>IF(ISNUMBER(X2319),IF(X2319&gt;$L$7,W2319,""),"")</f>
        <v/>
      </c>
      <c r="Z2319">
        <f>IF(ISNUMBER('자료_거시'!$K2301),'자료_거시'!$K2301,Z2318)</f>
        <v/>
      </c>
      <c r="AA2319">
        <f>IF(AND(ISNUMBER('자료_거시'!$J2301),ISNUMBER('자료_거시'!$K2301)),IFERROR('자료_거시'!$K2301/INDEX($Z$21:$Z$4020,MATCH(EDATE('자료_거시'!$J2301,-'설정'!$B$17),'자료_거시'!$J$3:INDEX('자료_거시'!$J$3:$J$4002,$K$8),1))-1,""),"")</f>
        <v/>
      </c>
      <c r="AB2319">
        <f>IF(ISNUMBER(AA2319),'자료_거시'!$J2301,"")</f>
        <v/>
      </c>
      <c r="AC2319">
        <f>IF(ISNUMBER(AB2319),IF(AB2319&gt;$L$8,AA2319,""),"")</f>
        <v/>
      </c>
    </row>
    <row r="2320">
      <c r="S2320">
        <f>IF(ISNUMBER('자료_거시'!$E2302),'자료_거시'!$E2302,S2319)</f>
        <v/>
      </c>
      <c r="T2320">
        <f>IF(AND(ISNUMBER('자료_거시'!$D2302),ISNUMBER('자료_거시'!$E2302)),IFERROR('자료_거시'!$E2302-INDEX($S$21:$S$4020,MATCH(EDATE('자료_거시'!$D2302,-'설정'!$B$17),'자료_거시'!$D$3:INDEX('자료_거시'!$D$3:$D$4002,$K$6),1)),""),"")</f>
        <v/>
      </c>
      <c r="U2320">
        <f>IF(ISNUMBER(T2320),'자료_거시'!$D2302,"")</f>
        <v/>
      </c>
      <c r="V2320">
        <f>IF(ISNUMBER(U2320),IF(U2320&gt;$L$6,T2320,""),"")</f>
        <v/>
      </c>
      <c r="W2320">
        <f>IF(AND(ISNUMBER('자료_거시'!$G2302),ISNUMBER('자료_거시'!$H2302)),'자료_거시'!$H2302,"")</f>
        <v/>
      </c>
      <c r="X2320">
        <f>IF(ISNUMBER(W2320),'자료_거시'!$G2302,"")</f>
        <v/>
      </c>
      <c r="Y2320">
        <f>IF(ISNUMBER(X2320),IF(X2320&gt;$L$7,W2320,""),"")</f>
        <v/>
      </c>
      <c r="Z2320">
        <f>IF(ISNUMBER('자료_거시'!$K2302),'자료_거시'!$K2302,Z2319)</f>
        <v/>
      </c>
      <c r="AA2320">
        <f>IF(AND(ISNUMBER('자료_거시'!$J2302),ISNUMBER('자료_거시'!$K2302)),IFERROR('자료_거시'!$K2302/INDEX($Z$21:$Z$4020,MATCH(EDATE('자료_거시'!$J2302,-'설정'!$B$17),'자료_거시'!$J$3:INDEX('자료_거시'!$J$3:$J$4002,$K$8),1))-1,""),"")</f>
        <v/>
      </c>
      <c r="AB2320">
        <f>IF(ISNUMBER(AA2320),'자료_거시'!$J2302,"")</f>
        <v/>
      </c>
      <c r="AC2320">
        <f>IF(ISNUMBER(AB2320),IF(AB2320&gt;$L$8,AA2320,""),"")</f>
        <v/>
      </c>
    </row>
    <row r="2321">
      <c r="S2321">
        <f>IF(ISNUMBER('자료_거시'!$E2303),'자료_거시'!$E2303,S2320)</f>
        <v/>
      </c>
      <c r="T2321">
        <f>IF(AND(ISNUMBER('자료_거시'!$D2303),ISNUMBER('자료_거시'!$E2303)),IFERROR('자료_거시'!$E2303-INDEX($S$21:$S$4020,MATCH(EDATE('자료_거시'!$D2303,-'설정'!$B$17),'자료_거시'!$D$3:INDEX('자료_거시'!$D$3:$D$4002,$K$6),1)),""),"")</f>
        <v/>
      </c>
      <c r="U2321">
        <f>IF(ISNUMBER(T2321),'자료_거시'!$D2303,"")</f>
        <v/>
      </c>
      <c r="V2321">
        <f>IF(ISNUMBER(U2321),IF(U2321&gt;$L$6,T2321,""),"")</f>
        <v/>
      </c>
      <c r="W2321">
        <f>IF(AND(ISNUMBER('자료_거시'!$G2303),ISNUMBER('자료_거시'!$H2303)),'자료_거시'!$H2303,"")</f>
        <v/>
      </c>
      <c r="X2321">
        <f>IF(ISNUMBER(W2321),'자료_거시'!$G2303,"")</f>
        <v/>
      </c>
      <c r="Y2321">
        <f>IF(ISNUMBER(X2321),IF(X2321&gt;$L$7,W2321,""),"")</f>
        <v/>
      </c>
      <c r="Z2321">
        <f>IF(ISNUMBER('자료_거시'!$K2303),'자료_거시'!$K2303,Z2320)</f>
        <v/>
      </c>
      <c r="AA2321">
        <f>IF(AND(ISNUMBER('자료_거시'!$J2303),ISNUMBER('자료_거시'!$K2303)),IFERROR('자료_거시'!$K2303/INDEX($Z$21:$Z$4020,MATCH(EDATE('자료_거시'!$J2303,-'설정'!$B$17),'자료_거시'!$J$3:INDEX('자료_거시'!$J$3:$J$4002,$K$8),1))-1,""),"")</f>
        <v/>
      </c>
      <c r="AB2321">
        <f>IF(ISNUMBER(AA2321),'자료_거시'!$J2303,"")</f>
        <v/>
      </c>
      <c r="AC2321">
        <f>IF(ISNUMBER(AB2321),IF(AB2321&gt;$L$8,AA2321,""),"")</f>
        <v/>
      </c>
    </row>
    <row r="2322">
      <c r="S2322">
        <f>IF(ISNUMBER('자료_거시'!$E2304),'자료_거시'!$E2304,S2321)</f>
        <v/>
      </c>
      <c r="T2322">
        <f>IF(AND(ISNUMBER('자료_거시'!$D2304),ISNUMBER('자료_거시'!$E2304)),IFERROR('자료_거시'!$E2304-INDEX($S$21:$S$4020,MATCH(EDATE('자료_거시'!$D2304,-'설정'!$B$17),'자료_거시'!$D$3:INDEX('자료_거시'!$D$3:$D$4002,$K$6),1)),""),"")</f>
        <v/>
      </c>
      <c r="U2322">
        <f>IF(ISNUMBER(T2322),'자료_거시'!$D2304,"")</f>
        <v/>
      </c>
      <c r="V2322">
        <f>IF(ISNUMBER(U2322),IF(U2322&gt;$L$6,T2322,""),"")</f>
        <v/>
      </c>
      <c r="W2322">
        <f>IF(AND(ISNUMBER('자료_거시'!$G2304),ISNUMBER('자료_거시'!$H2304)),'자료_거시'!$H2304,"")</f>
        <v/>
      </c>
      <c r="X2322">
        <f>IF(ISNUMBER(W2322),'자료_거시'!$G2304,"")</f>
        <v/>
      </c>
      <c r="Y2322">
        <f>IF(ISNUMBER(X2322),IF(X2322&gt;$L$7,W2322,""),"")</f>
        <v/>
      </c>
      <c r="Z2322">
        <f>IF(ISNUMBER('자료_거시'!$K2304),'자료_거시'!$K2304,Z2321)</f>
        <v/>
      </c>
      <c r="AA2322">
        <f>IF(AND(ISNUMBER('자료_거시'!$J2304),ISNUMBER('자료_거시'!$K2304)),IFERROR('자료_거시'!$K2304/INDEX($Z$21:$Z$4020,MATCH(EDATE('자료_거시'!$J2304,-'설정'!$B$17),'자료_거시'!$J$3:INDEX('자료_거시'!$J$3:$J$4002,$K$8),1))-1,""),"")</f>
        <v/>
      </c>
      <c r="AB2322">
        <f>IF(ISNUMBER(AA2322),'자료_거시'!$J2304,"")</f>
        <v/>
      </c>
      <c r="AC2322">
        <f>IF(ISNUMBER(AB2322),IF(AB2322&gt;$L$8,AA2322,""),"")</f>
        <v/>
      </c>
    </row>
    <row r="2323">
      <c r="S2323">
        <f>IF(ISNUMBER('자료_거시'!$E2305),'자료_거시'!$E2305,S2322)</f>
        <v/>
      </c>
      <c r="T2323">
        <f>IF(AND(ISNUMBER('자료_거시'!$D2305),ISNUMBER('자료_거시'!$E2305)),IFERROR('자료_거시'!$E2305-INDEX($S$21:$S$4020,MATCH(EDATE('자료_거시'!$D2305,-'설정'!$B$17),'자료_거시'!$D$3:INDEX('자료_거시'!$D$3:$D$4002,$K$6),1)),""),"")</f>
        <v/>
      </c>
      <c r="U2323">
        <f>IF(ISNUMBER(T2323),'자료_거시'!$D2305,"")</f>
        <v/>
      </c>
      <c r="V2323">
        <f>IF(ISNUMBER(U2323),IF(U2323&gt;$L$6,T2323,""),"")</f>
        <v/>
      </c>
      <c r="W2323">
        <f>IF(AND(ISNUMBER('자료_거시'!$G2305),ISNUMBER('자료_거시'!$H2305)),'자료_거시'!$H2305,"")</f>
        <v/>
      </c>
      <c r="X2323">
        <f>IF(ISNUMBER(W2323),'자료_거시'!$G2305,"")</f>
        <v/>
      </c>
      <c r="Y2323">
        <f>IF(ISNUMBER(X2323),IF(X2323&gt;$L$7,W2323,""),"")</f>
        <v/>
      </c>
      <c r="Z2323">
        <f>IF(ISNUMBER('자료_거시'!$K2305),'자료_거시'!$K2305,Z2322)</f>
        <v/>
      </c>
      <c r="AA2323">
        <f>IF(AND(ISNUMBER('자료_거시'!$J2305),ISNUMBER('자료_거시'!$K2305)),IFERROR('자료_거시'!$K2305/INDEX($Z$21:$Z$4020,MATCH(EDATE('자료_거시'!$J2305,-'설정'!$B$17),'자료_거시'!$J$3:INDEX('자료_거시'!$J$3:$J$4002,$K$8),1))-1,""),"")</f>
        <v/>
      </c>
      <c r="AB2323">
        <f>IF(ISNUMBER(AA2323),'자료_거시'!$J2305,"")</f>
        <v/>
      </c>
      <c r="AC2323">
        <f>IF(ISNUMBER(AB2323),IF(AB2323&gt;$L$8,AA2323,""),"")</f>
        <v/>
      </c>
    </row>
    <row r="2324">
      <c r="S2324">
        <f>IF(ISNUMBER('자료_거시'!$E2306),'자료_거시'!$E2306,S2323)</f>
        <v/>
      </c>
      <c r="T2324">
        <f>IF(AND(ISNUMBER('자료_거시'!$D2306),ISNUMBER('자료_거시'!$E2306)),IFERROR('자료_거시'!$E2306-INDEX($S$21:$S$4020,MATCH(EDATE('자료_거시'!$D2306,-'설정'!$B$17),'자료_거시'!$D$3:INDEX('자료_거시'!$D$3:$D$4002,$K$6),1)),""),"")</f>
        <v/>
      </c>
      <c r="U2324">
        <f>IF(ISNUMBER(T2324),'자료_거시'!$D2306,"")</f>
        <v/>
      </c>
      <c r="V2324">
        <f>IF(ISNUMBER(U2324),IF(U2324&gt;$L$6,T2324,""),"")</f>
        <v/>
      </c>
      <c r="W2324">
        <f>IF(AND(ISNUMBER('자료_거시'!$G2306),ISNUMBER('자료_거시'!$H2306)),'자료_거시'!$H2306,"")</f>
        <v/>
      </c>
      <c r="X2324">
        <f>IF(ISNUMBER(W2324),'자료_거시'!$G2306,"")</f>
        <v/>
      </c>
      <c r="Y2324">
        <f>IF(ISNUMBER(X2324),IF(X2324&gt;$L$7,W2324,""),"")</f>
        <v/>
      </c>
      <c r="Z2324">
        <f>IF(ISNUMBER('자료_거시'!$K2306),'자료_거시'!$K2306,Z2323)</f>
        <v/>
      </c>
      <c r="AA2324">
        <f>IF(AND(ISNUMBER('자료_거시'!$J2306),ISNUMBER('자료_거시'!$K2306)),IFERROR('자료_거시'!$K2306/INDEX($Z$21:$Z$4020,MATCH(EDATE('자료_거시'!$J2306,-'설정'!$B$17),'자료_거시'!$J$3:INDEX('자료_거시'!$J$3:$J$4002,$K$8),1))-1,""),"")</f>
        <v/>
      </c>
      <c r="AB2324">
        <f>IF(ISNUMBER(AA2324),'자료_거시'!$J2306,"")</f>
        <v/>
      </c>
      <c r="AC2324">
        <f>IF(ISNUMBER(AB2324),IF(AB2324&gt;$L$8,AA2324,""),"")</f>
        <v/>
      </c>
    </row>
    <row r="2325">
      <c r="S2325">
        <f>IF(ISNUMBER('자료_거시'!$E2307),'자료_거시'!$E2307,S2324)</f>
        <v/>
      </c>
      <c r="T2325">
        <f>IF(AND(ISNUMBER('자료_거시'!$D2307),ISNUMBER('자료_거시'!$E2307)),IFERROR('자료_거시'!$E2307-INDEX($S$21:$S$4020,MATCH(EDATE('자료_거시'!$D2307,-'설정'!$B$17),'자료_거시'!$D$3:INDEX('자료_거시'!$D$3:$D$4002,$K$6),1)),""),"")</f>
        <v/>
      </c>
      <c r="U2325">
        <f>IF(ISNUMBER(T2325),'자료_거시'!$D2307,"")</f>
        <v/>
      </c>
      <c r="V2325">
        <f>IF(ISNUMBER(U2325),IF(U2325&gt;$L$6,T2325,""),"")</f>
        <v/>
      </c>
      <c r="W2325">
        <f>IF(AND(ISNUMBER('자료_거시'!$G2307),ISNUMBER('자료_거시'!$H2307)),'자료_거시'!$H2307,"")</f>
        <v/>
      </c>
      <c r="X2325">
        <f>IF(ISNUMBER(W2325),'자료_거시'!$G2307,"")</f>
        <v/>
      </c>
      <c r="Y2325">
        <f>IF(ISNUMBER(X2325),IF(X2325&gt;$L$7,W2325,""),"")</f>
        <v/>
      </c>
      <c r="Z2325">
        <f>IF(ISNUMBER('자료_거시'!$K2307),'자료_거시'!$K2307,Z2324)</f>
        <v/>
      </c>
      <c r="AA2325">
        <f>IF(AND(ISNUMBER('자료_거시'!$J2307),ISNUMBER('자료_거시'!$K2307)),IFERROR('자료_거시'!$K2307/INDEX($Z$21:$Z$4020,MATCH(EDATE('자료_거시'!$J2307,-'설정'!$B$17),'자료_거시'!$J$3:INDEX('자료_거시'!$J$3:$J$4002,$K$8),1))-1,""),"")</f>
        <v/>
      </c>
      <c r="AB2325">
        <f>IF(ISNUMBER(AA2325),'자료_거시'!$J2307,"")</f>
        <v/>
      </c>
      <c r="AC2325">
        <f>IF(ISNUMBER(AB2325),IF(AB2325&gt;$L$8,AA2325,""),"")</f>
        <v/>
      </c>
    </row>
    <row r="2326">
      <c r="S2326">
        <f>IF(ISNUMBER('자료_거시'!$E2308),'자료_거시'!$E2308,S2325)</f>
        <v/>
      </c>
      <c r="T2326">
        <f>IF(AND(ISNUMBER('자료_거시'!$D2308),ISNUMBER('자료_거시'!$E2308)),IFERROR('자료_거시'!$E2308-INDEX($S$21:$S$4020,MATCH(EDATE('자료_거시'!$D2308,-'설정'!$B$17),'자료_거시'!$D$3:INDEX('자료_거시'!$D$3:$D$4002,$K$6),1)),""),"")</f>
        <v/>
      </c>
      <c r="U2326">
        <f>IF(ISNUMBER(T2326),'자료_거시'!$D2308,"")</f>
        <v/>
      </c>
      <c r="V2326">
        <f>IF(ISNUMBER(U2326),IF(U2326&gt;$L$6,T2326,""),"")</f>
        <v/>
      </c>
      <c r="W2326">
        <f>IF(AND(ISNUMBER('자료_거시'!$G2308),ISNUMBER('자료_거시'!$H2308)),'자료_거시'!$H2308,"")</f>
        <v/>
      </c>
      <c r="X2326">
        <f>IF(ISNUMBER(W2326),'자료_거시'!$G2308,"")</f>
        <v/>
      </c>
      <c r="Y2326">
        <f>IF(ISNUMBER(X2326),IF(X2326&gt;$L$7,W2326,""),"")</f>
        <v/>
      </c>
      <c r="Z2326">
        <f>IF(ISNUMBER('자료_거시'!$K2308),'자료_거시'!$K2308,Z2325)</f>
        <v/>
      </c>
      <c r="AA2326">
        <f>IF(AND(ISNUMBER('자료_거시'!$J2308),ISNUMBER('자료_거시'!$K2308)),IFERROR('자료_거시'!$K2308/INDEX($Z$21:$Z$4020,MATCH(EDATE('자료_거시'!$J2308,-'설정'!$B$17),'자료_거시'!$J$3:INDEX('자료_거시'!$J$3:$J$4002,$K$8),1))-1,""),"")</f>
        <v/>
      </c>
      <c r="AB2326">
        <f>IF(ISNUMBER(AA2326),'자료_거시'!$J2308,"")</f>
        <v/>
      </c>
      <c r="AC2326">
        <f>IF(ISNUMBER(AB2326),IF(AB2326&gt;$L$8,AA2326,""),"")</f>
        <v/>
      </c>
    </row>
    <row r="2327">
      <c r="S2327">
        <f>IF(ISNUMBER('자료_거시'!$E2309),'자료_거시'!$E2309,S2326)</f>
        <v/>
      </c>
      <c r="T2327">
        <f>IF(AND(ISNUMBER('자료_거시'!$D2309),ISNUMBER('자료_거시'!$E2309)),IFERROR('자료_거시'!$E2309-INDEX($S$21:$S$4020,MATCH(EDATE('자료_거시'!$D2309,-'설정'!$B$17),'자료_거시'!$D$3:INDEX('자료_거시'!$D$3:$D$4002,$K$6),1)),""),"")</f>
        <v/>
      </c>
      <c r="U2327">
        <f>IF(ISNUMBER(T2327),'자료_거시'!$D2309,"")</f>
        <v/>
      </c>
      <c r="V2327">
        <f>IF(ISNUMBER(U2327),IF(U2327&gt;$L$6,T2327,""),"")</f>
        <v/>
      </c>
      <c r="W2327">
        <f>IF(AND(ISNUMBER('자료_거시'!$G2309),ISNUMBER('자료_거시'!$H2309)),'자료_거시'!$H2309,"")</f>
        <v/>
      </c>
      <c r="X2327">
        <f>IF(ISNUMBER(W2327),'자료_거시'!$G2309,"")</f>
        <v/>
      </c>
      <c r="Y2327">
        <f>IF(ISNUMBER(X2327),IF(X2327&gt;$L$7,W2327,""),"")</f>
        <v/>
      </c>
      <c r="Z2327">
        <f>IF(ISNUMBER('자료_거시'!$K2309),'자료_거시'!$K2309,Z2326)</f>
        <v/>
      </c>
      <c r="AA2327">
        <f>IF(AND(ISNUMBER('자료_거시'!$J2309),ISNUMBER('자료_거시'!$K2309)),IFERROR('자료_거시'!$K2309/INDEX($Z$21:$Z$4020,MATCH(EDATE('자료_거시'!$J2309,-'설정'!$B$17),'자료_거시'!$J$3:INDEX('자료_거시'!$J$3:$J$4002,$K$8),1))-1,""),"")</f>
        <v/>
      </c>
      <c r="AB2327">
        <f>IF(ISNUMBER(AA2327),'자료_거시'!$J2309,"")</f>
        <v/>
      </c>
      <c r="AC2327">
        <f>IF(ISNUMBER(AB2327),IF(AB2327&gt;$L$8,AA2327,""),"")</f>
        <v/>
      </c>
    </row>
    <row r="2328">
      <c r="S2328">
        <f>IF(ISNUMBER('자료_거시'!$E2310),'자료_거시'!$E2310,S2327)</f>
        <v/>
      </c>
      <c r="T2328">
        <f>IF(AND(ISNUMBER('자료_거시'!$D2310),ISNUMBER('자료_거시'!$E2310)),IFERROR('자료_거시'!$E2310-INDEX($S$21:$S$4020,MATCH(EDATE('자료_거시'!$D2310,-'설정'!$B$17),'자료_거시'!$D$3:INDEX('자료_거시'!$D$3:$D$4002,$K$6),1)),""),"")</f>
        <v/>
      </c>
      <c r="U2328">
        <f>IF(ISNUMBER(T2328),'자료_거시'!$D2310,"")</f>
        <v/>
      </c>
      <c r="V2328">
        <f>IF(ISNUMBER(U2328),IF(U2328&gt;$L$6,T2328,""),"")</f>
        <v/>
      </c>
      <c r="W2328">
        <f>IF(AND(ISNUMBER('자료_거시'!$G2310),ISNUMBER('자료_거시'!$H2310)),'자료_거시'!$H2310,"")</f>
        <v/>
      </c>
      <c r="X2328">
        <f>IF(ISNUMBER(W2328),'자료_거시'!$G2310,"")</f>
        <v/>
      </c>
      <c r="Y2328">
        <f>IF(ISNUMBER(X2328),IF(X2328&gt;$L$7,W2328,""),"")</f>
        <v/>
      </c>
      <c r="Z2328">
        <f>IF(ISNUMBER('자료_거시'!$K2310),'자료_거시'!$K2310,Z2327)</f>
        <v/>
      </c>
      <c r="AA2328">
        <f>IF(AND(ISNUMBER('자료_거시'!$J2310),ISNUMBER('자료_거시'!$K2310)),IFERROR('자료_거시'!$K2310/INDEX($Z$21:$Z$4020,MATCH(EDATE('자료_거시'!$J2310,-'설정'!$B$17),'자료_거시'!$J$3:INDEX('자료_거시'!$J$3:$J$4002,$K$8),1))-1,""),"")</f>
        <v/>
      </c>
      <c r="AB2328">
        <f>IF(ISNUMBER(AA2328),'자료_거시'!$J2310,"")</f>
        <v/>
      </c>
      <c r="AC2328">
        <f>IF(ISNUMBER(AB2328),IF(AB2328&gt;$L$8,AA2328,""),"")</f>
        <v/>
      </c>
    </row>
    <row r="2329">
      <c r="S2329">
        <f>IF(ISNUMBER('자료_거시'!$E2311),'자료_거시'!$E2311,S2328)</f>
        <v/>
      </c>
      <c r="T2329">
        <f>IF(AND(ISNUMBER('자료_거시'!$D2311),ISNUMBER('자료_거시'!$E2311)),IFERROR('자료_거시'!$E2311-INDEX($S$21:$S$4020,MATCH(EDATE('자료_거시'!$D2311,-'설정'!$B$17),'자료_거시'!$D$3:INDEX('자료_거시'!$D$3:$D$4002,$K$6),1)),""),"")</f>
        <v/>
      </c>
      <c r="U2329">
        <f>IF(ISNUMBER(T2329),'자료_거시'!$D2311,"")</f>
        <v/>
      </c>
      <c r="V2329">
        <f>IF(ISNUMBER(U2329),IF(U2329&gt;$L$6,T2329,""),"")</f>
        <v/>
      </c>
      <c r="W2329">
        <f>IF(AND(ISNUMBER('자료_거시'!$G2311),ISNUMBER('자료_거시'!$H2311)),'자료_거시'!$H2311,"")</f>
        <v/>
      </c>
      <c r="X2329">
        <f>IF(ISNUMBER(W2329),'자료_거시'!$G2311,"")</f>
        <v/>
      </c>
      <c r="Y2329">
        <f>IF(ISNUMBER(X2329),IF(X2329&gt;$L$7,W2329,""),"")</f>
        <v/>
      </c>
      <c r="Z2329">
        <f>IF(ISNUMBER('자료_거시'!$K2311),'자료_거시'!$K2311,Z2328)</f>
        <v/>
      </c>
      <c r="AA2329">
        <f>IF(AND(ISNUMBER('자료_거시'!$J2311),ISNUMBER('자료_거시'!$K2311)),IFERROR('자료_거시'!$K2311/INDEX($Z$21:$Z$4020,MATCH(EDATE('자료_거시'!$J2311,-'설정'!$B$17),'자료_거시'!$J$3:INDEX('자료_거시'!$J$3:$J$4002,$K$8),1))-1,""),"")</f>
        <v/>
      </c>
      <c r="AB2329">
        <f>IF(ISNUMBER(AA2329),'자료_거시'!$J2311,"")</f>
        <v/>
      </c>
      <c r="AC2329">
        <f>IF(ISNUMBER(AB2329),IF(AB2329&gt;$L$8,AA2329,""),"")</f>
        <v/>
      </c>
    </row>
    <row r="2330">
      <c r="S2330">
        <f>IF(ISNUMBER('자료_거시'!$E2312),'자료_거시'!$E2312,S2329)</f>
        <v/>
      </c>
      <c r="T2330">
        <f>IF(AND(ISNUMBER('자료_거시'!$D2312),ISNUMBER('자료_거시'!$E2312)),IFERROR('자료_거시'!$E2312-INDEX($S$21:$S$4020,MATCH(EDATE('자료_거시'!$D2312,-'설정'!$B$17),'자료_거시'!$D$3:INDEX('자료_거시'!$D$3:$D$4002,$K$6),1)),""),"")</f>
        <v/>
      </c>
      <c r="U2330">
        <f>IF(ISNUMBER(T2330),'자료_거시'!$D2312,"")</f>
        <v/>
      </c>
      <c r="V2330">
        <f>IF(ISNUMBER(U2330),IF(U2330&gt;$L$6,T2330,""),"")</f>
        <v/>
      </c>
      <c r="W2330">
        <f>IF(AND(ISNUMBER('자료_거시'!$G2312),ISNUMBER('자료_거시'!$H2312)),'자료_거시'!$H2312,"")</f>
        <v/>
      </c>
      <c r="X2330">
        <f>IF(ISNUMBER(W2330),'자료_거시'!$G2312,"")</f>
        <v/>
      </c>
      <c r="Y2330">
        <f>IF(ISNUMBER(X2330),IF(X2330&gt;$L$7,W2330,""),"")</f>
        <v/>
      </c>
      <c r="Z2330">
        <f>IF(ISNUMBER('자료_거시'!$K2312),'자료_거시'!$K2312,Z2329)</f>
        <v/>
      </c>
      <c r="AA2330">
        <f>IF(AND(ISNUMBER('자료_거시'!$J2312),ISNUMBER('자료_거시'!$K2312)),IFERROR('자료_거시'!$K2312/INDEX($Z$21:$Z$4020,MATCH(EDATE('자료_거시'!$J2312,-'설정'!$B$17),'자료_거시'!$J$3:INDEX('자료_거시'!$J$3:$J$4002,$K$8),1))-1,""),"")</f>
        <v/>
      </c>
      <c r="AB2330">
        <f>IF(ISNUMBER(AA2330),'자료_거시'!$J2312,"")</f>
        <v/>
      </c>
      <c r="AC2330">
        <f>IF(ISNUMBER(AB2330),IF(AB2330&gt;$L$8,AA2330,""),"")</f>
        <v/>
      </c>
    </row>
    <row r="2331">
      <c r="S2331">
        <f>IF(ISNUMBER('자료_거시'!$E2313),'자료_거시'!$E2313,S2330)</f>
        <v/>
      </c>
      <c r="T2331">
        <f>IF(AND(ISNUMBER('자료_거시'!$D2313),ISNUMBER('자료_거시'!$E2313)),IFERROR('자료_거시'!$E2313-INDEX($S$21:$S$4020,MATCH(EDATE('자료_거시'!$D2313,-'설정'!$B$17),'자료_거시'!$D$3:INDEX('자료_거시'!$D$3:$D$4002,$K$6),1)),""),"")</f>
        <v/>
      </c>
      <c r="U2331">
        <f>IF(ISNUMBER(T2331),'자료_거시'!$D2313,"")</f>
        <v/>
      </c>
      <c r="V2331">
        <f>IF(ISNUMBER(U2331),IF(U2331&gt;$L$6,T2331,""),"")</f>
        <v/>
      </c>
      <c r="W2331">
        <f>IF(AND(ISNUMBER('자료_거시'!$G2313),ISNUMBER('자료_거시'!$H2313)),'자료_거시'!$H2313,"")</f>
        <v/>
      </c>
      <c r="X2331">
        <f>IF(ISNUMBER(W2331),'자료_거시'!$G2313,"")</f>
        <v/>
      </c>
      <c r="Y2331">
        <f>IF(ISNUMBER(X2331),IF(X2331&gt;$L$7,W2331,""),"")</f>
        <v/>
      </c>
      <c r="Z2331">
        <f>IF(ISNUMBER('자료_거시'!$K2313),'자료_거시'!$K2313,Z2330)</f>
        <v/>
      </c>
      <c r="AA2331">
        <f>IF(AND(ISNUMBER('자료_거시'!$J2313),ISNUMBER('자료_거시'!$K2313)),IFERROR('자료_거시'!$K2313/INDEX($Z$21:$Z$4020,MATCH(EDATE('자료_거시'!$J2313,-'설정'!$B$17),'자료_거시'!$J$3:INDEX('자료_거시'!$J$3:$J$4002,$K$8),1))-1,""),"")</f>
        <v/>
      </c>
      <c r="AB2331">
        <f>IF(ISNUMBER(AA2331),'자료_거시'!$J2313,"")</f>
        <v/>
      </c>
      <c r="AC2331">
        <f>IF(ISNUMBER(AB2331),IF(AB2331&gt;$L$8,AA2331,""),"")</f>
        <v/>
      </c>
    </row>
    <row r="2332">
      <c r="S2332">
        <f>IF(ISNUMBER('자료_거시'!$E2314),'자료_거시'!$E2314,S2331)</f>
        <v/>
      </c>
      <c r="T2332">
        <f>IF(AND(ISNUMBER('자료_거시'!$D2314),ISNUMBER('자료_거시'!$E2314)),IFERROR('자료_거시'!$E2314-INDEX($S$21:$S$4020,MATCH(EDATE('자료_거시'!$D2314,-'설정'!$B$17),'자료_거시'!$D$3:INDEX('자료_거시'!$D$3:$D$4002,$K$6),1)),""),"")</f>
        <v/>
      </c>
      <c r="U2332">
        <f>IF(ISNUMBER(T2332),'자료_거시'!$D2314,"")</f>
        <v/>
      </c>
      <c r="V2332">
        <f>IF(ISNUMBER(U2332),IF(U2332&gt;$L$6,T2332,""),"")</f>
        <v/>
      </c>
      <c r="W2332">
        <f>IF(AND(ISNUMBER('자료_거시'!$G2314),ISNUMBER('자료_거시'!$H2314)),'자료_거시'!$H2314,"")</f>
        <v/>
      </c>
      <c r="X2332">
        <f>IF(ISNUMBER(W2332),'자료_거시'!$G2314,"")</f>
        <v/>
      </c>
      <c r="Y2332">
        <f>IF(ISNUMBER(X2332),IF(X2332&gt;$L$7,W2332,""),"")</f>
        <v/>
      </c>
      <c r="Z2332">
        <f>IF(ISNUMBER('자료_거시'!$K2314),'자료_거시'!$K2314,Z2331)</f>
        <v/>
      </c>
      <c r="AA2332">
        <f>IF(AND(ISNUMBER('자료_거시'!$J2314),ISNUMBER('자료_거시'!$K2314)),IFERROR('자료_거시'!$K2314/INDEX($Z$21:$Z$4020,MATCH(EDATE('자료_거시'!$J2314,-'설정'!$B$17),'자료_거시'!$J$3:INDEX('자료_거시'!$J$3:$J$4002,$K$8),1))-1,""),"")</f>
        <v/>
      </c>
      <c r="AB2332">
        <f>IF(ISNUMBER(AA2332),'자료_거시'!$J2314,"")</f>
        <v/>
      </c>
      <c r="AC2332">
        <f>IF(ISNUMBER(AB2332),IF(AB2332&gt;$L$8,AA2332,""),"")</f>
        <v/>
      </c>
    </row>
    <row r="2333">
      <c r="S2333">
        <f>IF(ISNUMBER('자료_거시'!$E2315),'자료_거시'!$E2315,S2332)</f>
        <v/>
      </c>
      <c r="T2333">
        <f>IF(AND(ISNUMBER('자료_거시'!$D2315),ISNUMBER('자료_거시'!$E2315)),IFERROR('자료_거시'!$E2315-INDEX($S$21:$S$4020,MATCH(EDATE('자료_거시'!$D2315,-'설정'!$B$17),'자료_거시'!$D$3:INDEX('자료_거시'!$D$3:$D$4002,$K$6),1)),""),"")</f>
        <v/>
      </c>
      <c r="U2333">
        <f>IF(ISNUMBER(T2333),'자료_거시'!$D2315,"")</f>
        <v/>
      </c>
      <c r="V2333">
        <f>IF(ISNUMBER(U2333),IF(U2333&gt;$L$6,T2333,""),"")</f>
        <v/>
      </c>
      <c r="W2333">
        <f>IF(AND(ISNUMBER('자료_거시'!$G2315),ISNUMBER('자료_거시'!$H2315)),'자료_거시'!$H2315,"")</f>
        <v/>
      </c>
      <c r="X2333">
        <f>IF(ISNUMBER(W2333),'자료_거시'!$G2315,"")</f>
        <v/>
      </c>
      <c r="Y2333">
        <f>IF(ISNUMBER(X2333),IF(X2333&gt;$L$7,W2333,""),"")</f>
        <v/>
      </c>
      <c r="Z2333">
        <f>IF(ISNUMBER('자료_거시'!$K2315),'자료_거시'!$K2315,Z2332)</f>
        <v/>
      </c>
      <c r="AA2333">
        <f>IF(AND(ISNUMBER('자료_거시'!$J2315),ISNUMBER('자료_거시'!$K2315)),IFERROR('자료_거시'!$K2315/INDEX($Z$21:$Z$4020,MATCH(EDATE('자료_거시'!$J2315,-'설정'!$B$17),'자료_거시'!$J$3:INDEX('자료_거시'!$J$3:$J$4002,$K$8),1))-1,""),"")</f>
        <v/>
      </c>
      <c r="AB2333">
        <f>IF(ISNUMBER(AA2333),'자료_거시'!$J2315,"")</f>
        <v/>
      </c>
      <c r="AC2333">
        <f>IF(ISNUMBER(AB2333),IF(AB2333&gt;$L$8,AA2333,""),"")</f>
        <v/>
      </c>
    </row>
    <row r="2334">
      <c r="S2334">
        <f>IF(ISNUMBER('자료_거시'!$E2316),'자료_거시'!$E2316,S2333)</f>
        <v/>
      </c>
      <c r="T2334">
        <f>IF(AND(ISNUMBER('자료_거시'!$D2316),ISNUMBER('자료_거시'!$E2316)),IFERROR('자료_거시'!$E2316-INDEX($S$21:$S$4020,MATCH(EDATE('자료_거시'!$D2316,-'설정'!$B$17),'자료_거시'!$D$3:INDEX('자료_거시'!$D$3:$D$4002,$K$6),1)),""),"")</f>
        <v/>
      </c>
      <c r="U2334">
        <f>IF(ISNUMBER(T2334),'자료_거시'!$D2316,"")</f>
        <v/>
      </c>
      <c r="V2334">
        <f>IF(ISNUMBER(U2334),IF(U2334&gt;$L$6,T2334,""),"")</f>
        <v/>
      </c>
      <c r="W2334">
        <f>IF(AND(ISNUMBER('자료_거시'!$G2316),ISNUMBER('자료_거시'!$H2316)),'자료_거시'!$H2316,"")</f>
        <v/>
      </c>
      <c r="X2334">
        <f>IF(ISNUMBER(W2334),'자료_거시'!$G2316,"")</f>
        <v/>
      </c>
      <c r="Y2334">
        <f>IF(ISNUMBER(X2334),IF(X2334&gt;$L$7,W2334,""),"")</f>
        <v/>
      </c>
      <c r="Z2334">
        <f>IF(ISNUMBER('자료_거시'!$K2316),'자료_거시'!$K2316,Z2333)</f>
        <v/>
      </c>
      <c r="AA2334">
        <f>IF(AND(ISNUMBER('자료_거시'!$J2316),ISNUMBER('자료_거시'!$K2316)),IFERROR('자료_거시'!$K2316/INDEX($Z$21:$Z$4020,MATCH(EDATE('자료_거시'!$J2316,-'설정'!$B$17),'자료_거시'!$J$3:INDEX('자료_거시'!$J$3:$J$4002,$K$8),1))-1,""),"")</f>
        <v/>
      </c>
      <c r="AB2334">
        <f>IF(ISNUMBER(AA2334),'자료_거시'!$J2316,"")</f>
        <v/>
      </c>
      <c r="AC2334">
        <f>IF(ISNUMBER(AB2334),IF(AB2334&gt;$L$8,AA2334,""),"")</f>
        <v/>
      </c>
    </row>
    <row r="2335">
      <c r="S2335">
        <f>IF(ISNUMBER('자료_거시'!$E2317),'자료_거시'!$E2317,S2334)</f>
        <v/>
      </c>
      <c r="T2335">
        <f>IF(AND(ISNUMBER('자료_거시'!$D2317),ISNUMBER('자료_거시'!$E2317)),IFERROR('자료_거시'!$E2317-INDEX($S$21:$S$4020,MATCH(EDATE('자료_거시'!$D2317,-'설정'!$B$17),'자료_거시'!$D$3:INDEX('자료_거시'!$D$3:$D$4002,$K$6),1)),""),"")</f>
        <v/>
      </c>
      <c r="U2335">
        <f>IF(ISNUMBER(T2335),'자료_거시'!$D2317,"")</f>
        <v/>
      </c>
      <c r="V2335">
        <f>IF(ISNUMBER(U2335),IF(U2335&gt;$L$6,T2335,""),"")</f>
        <v/>
      </c>
      <c r="W2335">
        <f>IF(AND(ISNUMBER('자료_거시'!$G2317),ISNUMBER('자료_거시'!$H2317)),'자료_거시'!$H2317,"")</f>
        <v/>
      </c>
      <c r="X2335">
        <f>IF(ISNUMBER(W2335),'자료_거시'!$G2317,"")</f>
        <v/>
      </c>
      <c r="Y2335">
        <f>IF(ISNUMBER(X2335),IF(X2335&gt;$L$7,W2335,""),"")</f>
        <v/>
      </c>
      <c r="Z2335">
        <f>IF(ISNUMBER('자료_거시'!$K2317),'자료_거시'!$K2317,Z2334)</f>
        <v/>
      </c>
      <c r="AA2335">
        <f>IF(AND(ISNUMBER('자료_거시'!$J2317),ISNUMBER('자료_거시'!$K2317)),IFERROR('자료_거시'!$K2317/INDEX($Z$21:$Z$4020,MATCH(EDATE('자료_거시'!$J2317,-'설정'!$B$17),'자료_거시'!$J$3:INDEX('자료_거시'!$J$3:$J$4002,$K$8),1))-1,""),"")</f>
        <v/>
      </c>
      <c r="AB2335">
        <f>IF(ISNUMBER(AA2335),'자료_거시'!$J2317,"")</f>
        <v/>
      </c>
      <c r="AC2335">
        <f>IF(ISNUMBER(AB2335),IF(AB2335&gt;$L$8,AA2335,""),"")</f>
        <v/>
      </c>
    </row>
    <row r="2336">
      <c r="S2336">
        <f>IF(ISNUMBER('자료_거시'!$E2318),'자료_거시'!$E2318,S2335)</f>
        <v/>
      </c>
      <c r="T2336">
        <f>IF(AND(ISNUMBER('자료_거시'!$D2318),ISNUMBER('자료_거시'!$E2318)),IFERROR('자료_거시'!$E2318-INDEX($S$21:$S$4020,MATCH(EDATE('자료_거시'!$D2318,-'설정'!$B$17),'자료_거시'!$D$3:INDEX('자료_거시'!$D$3:$D$4002,$K$6),1)),""),"")</f>
        <v/>
      </c>
      <c r="U2336">
        <f>IF(ISNUMBER(T2336),'자료_거시'!$D2318,"")</f>
        <v/>
      </c>
      <c r="V2336">
        <f>IF(ISNUMBER(U2336),IF(U2336&gt;$L$6,T2336,""),"")</f>
        <v/>
      </c>
      <c r="W2336">
        <f>IF(AND(ISNUMBER('자료_거시'!$G2318),ISNUMBER('자료_거시'!$H2318)),'자료_거시'!$H2318,"")</f>
        <v/>
      </c>
      <c r="X2336">
        <f>IF(ISNUMBER(W2336),'자료_거시'!$G2318,"")</f>
        <v/>
      </c>
      <c r="Y2336">
        <f>IF(ISNUMBER(X2336),IF(X2336&gt;$L$7,W2336,""),"")</f>
        <v/>
      </c>
      <c r="Z2336">
        <f>IF(ISNUMBER('자료_거시'!$K2318),'자료_거시'!$K2318,Z2335)</f>
        <v/>
      </c>
      <c r="AA2336">
        <f>IF(AND(ISNUMBER('자료_거시'!$J2318),ISNUMBER('자료_거시'!$K2318)),IFERROR('자료_거시'!$K2318/INDEX($Z$21:$Z$4020,MATCH(EDATE('자료_거시'!$J2318,-'설정'!$B$17),'자료_거시'!$J$3:INDEX('자료_거시'!$J$3:$J$4002,$K$8),1))-1,""),"")</f>
        <v/>
      </c>
      <c r="AB2336">
        <f>IF(ISNUMBER(AA2336),'자료_거시'!$J2318,"")</f>
        <v/>
      </c>
      <c r="AC2336">
        <f>IF(ISNUMBER(AB2336),IF(AB2336&gt;$L$8,AA2336,""),"")</f>
        <v/>
      </c>
    </row>
    <row r="2337">
      <c r="S2337">
        <f>IF(ISNUMBER('자료_거시'!$E2319),'자료_거시'!$E2319,S2336)</f>
        <v/>
      </c>
      <c r="T2337">
        <f>IF(AND(ISNUMBER('자료_거시'!$D2319),ISNUMBER('자료_거시'!$E2319)),IFERROR('자료_거시'!$E2319-INDEX($S$21:$S$4020,MATCH(EDATE('자료_거시'!$D2319,-'설정'!$B$17),'자료_거시'!$D$3:INDEX('자료_거시'!$D$3:$D$4002,$K$6),1)),""),"")</f>
        <v/>
      </c>
      <c r="U2337">
        <f>IF(ISNUMBER(T2337),'자료_거시'!$D2319,"")</f>
        <v/>
      </c>
      <c r="V2337">
        <f>IF(ISNUMBER(U2337),IF(U2337&gt;$L$6,T2337,""),"")</f>
        <v/>
      </c>
      <c r="W2337">
        <f>IF(AND(ISNUMBER('자료_거시'!$G2319),ISNUMBER('자료_거시'!$H2319)),'자료_거시'!$H2319,"")</f>
        <v/>
      </c>
      <c r="X2337">
        <f>IF(ISNUMBER(W2337),'자료_거시'!$G2319,"")</f>
        <v/>
      </c>
      <c r="Y2337">
        <f>IF(ISNUMBER(X2337),IF(X2337&gt;$L$7,W2337,""),"")</f>
        <v/>
      </c>
      <c r="Z2337">
        <f>IF(ISNUMBER('자료_거시'!$K2319),'자료_거시'!$K2319,Z2336)</f>
        <v/>
      </c>
      <c r="AA2337">
        <f>IF(AND(ISNUMBER('자료_거시'!$J2319),ISNUMBER('자료_거시'!$K2319)),IFERROR('자료_거시'!$K2319/INDEX($Z$21:$Z$4020,MATCH(EDATE('자료_거시'!$J2319,-'설정'!$B$17),'자료_거시'!$J$3:INDEX('자료_거시'!$J$3:$J$4002,$K$8),1))-1,""),"")</f>
        <v/>
      </c>
      <c r="AB2337">
        <f>IF(ISNUMBER(AA2337),'자료_거시'!$J2319,"")</f>
        <v/>
      </c>
      <c r="AC2337">
        <f>IF(ISNUMBER(AB2337),IF(AB2337&gt;$L$8,AA2337,""),"")</f>
        <v/>
      </c>
    </row>
    <row r="2338">
      <c r="S2338">
        <f>IF(ISNUMBER('자료_거시'!$E2320),'자료_거시'!$E2320,S2337)</f>
        <v/>
      </c>
      <c r="T2338">
        <f>IF(AND(ISNUMBER('자료_거시'!$D2320),ISNUMBER('자료_거시'!$E2320)),IFERROR('자료_거시'!$E2320-INDEX($S$21:$S$4020,MATCH(EDATE('자료_거시'!$D2320,-'설정'!$B$17),'자료_거시'!$D$3:INDEX('자료_거시'!$D$3:$D$4002,$K$6),1)),""),"")</f>
        <v/>
      </c>
      <c r="U2338">
        <f>IF(ISNUMBER(T2338),'자료_거시'!$D2320,"")</f>
        <v/>
      </c>
      <c r="V2338">
        <f>IF(ISNUMBER(U2338),IF(U2338&gt;$L$6,T2338,""),"")</f>
        <v/>
      </c>
      <c r="W2338">
        <f>IF(AND(ISNUMBER('자료_거시'!$G2320),ISNUMBER('자료_거시'!$H2320)),'자료_거시'!$H2320,"")</f>
        <v/>
      </c>
      <c r="X2338">
        <f>IF(ISNUMBER(W2338),'자료_거시'!$G2320,"")</f>
        <v/>
      </c>
      <c r="Y2338">
        <f>IF(ISNUMBER(X2338),IF(X2338&gt;$L$7,W2338,""),"")</f>
        <v/>
      </c>
      <c r="Z2338">
        <f>IF(ISNUMBER('자료_거시'!$K2320),'자료_거시'!$K2320,Z2337)</f>
        <v/>
      </c>
      <c r="AA2338">
        <f>IF(AND(ISNUMBER('자료_거시'!$J2320),ISNUMBER('자료_거시'!$K2320)),IFERROR('자료_거시'!$K2320/INDEX($Z$21:$Z$4020,MATCH(EDATE('자료_거시'!$J2320,-'설정'!$B$17),'자료_거시'!$J$3:INDEX('자료_거시'!$J$3:$J$4002,$K$8),1))-1,""),"")</f>
        <v/>
      </c>
      <c r="AB2338">
        <f>IF(ISNUMBER(AA2338),'자료_거시'!$J2320,"")</f>
        <v/>
      </c>
      <c r="AC2338">
        <f>IF(ISNUMBER(AB2338),IF(AB2338&gt;$L$8,AA2338,""),"")</f>
        <v/>
      </c>
    </row>
    <row r="2339">
      <c r="S2339">
        <f>IF(ISNUMBER('자료_거시'!$E2321),'자료_거시'!$E2321,S2338)</f>
        <v/>
      </c>
      <c r="T2339">
        <f>IF(AND(ISNUMBER('자료_거시'!$D2321),ISNUMBER('자료_거시'!$E2321)),IFERROR('자료_거시'!$E2321-INDEX($S$21:$S$4020,MATCH(EDATE('자료_거시'!$D2321,-'설정'!$B$17),'자료_거시'!$D$3:INDEX('자료_거시'!$D$3:$D$4002,$K$6),1)),""),"")</f>
        <v/>
      </c>
      <c r="U2339">
        <f>IF(ISNUMBER(T2339),'자료_거시'!$D2321,"")</f>
        <v/>
      </c>
      <c r="V2339">
        <f>IF(ISNUMBER(U2339),IF(U2339&gt;$L$6,T2339,""),"")</f>
        <v/>
      </c>
      <c r="W2339">
        <f>IF(AND(ISNUMBER('자료_거시'!$G2321),ISNUMBER('자료_거시'!$H2321)),'자료_거시'!$H2321,"")</f>
        <v/>
      </c>
      <c r="X2339">
        <f>IF(ISNUMBER(W2339),'자료_거시'!$G2321,"")</f>
        <v/>
      </c>
      <c r="Y2339">
        <f>IF(ISNUMBER(X2339),IF(X2339&gt;$L$7,W2339,""),"")</f>
        <v/>
      </c>
      <c r="Z2339">
        <f>IF(ISNUMBER('자료_거시'!$K2321),'자료_거시'!$K2321,Z2338)</f>
        <v/>
      </c>
      <c r="AA2339">
        <f>IF(AND(ISNUMBER('자료_거시'!$J2321),ISNUMBER('자료_거시'!$K2321)),IFERROR('자료_거시'!$K2321/INDEX($Z$21:$Z$4020,MATCH(EDATE('자료_거시'!$J2321,-'설정'!$B$17),'자료_거시'!$J$3:INDEX('자료_거시'!$J$3:$J$4002,$K$8),1))-1,""),"")</f>
        <v/>
      </c>
      <c r="AB2339">
        <f>IF(ISNUMBER(AA2339),'자료_거시'!$J2321,"")</f>
        <v/>
      </c>
      <c r="AC2339">
        <f>IF(ISNUMBER(AB2339),IF(AB2339&gt;$L$8,AA2339,""),"")</f>
        <v/>
      </c>
    </row>
    <row r="2340">
      <c r="S2340">
        <f>IF(ISNUMBER('자료_거시'!$E2322),'자료_거시'!$E2322,S2339)</f>
        <v/>
      </c>
      <c r="T2340">
        <f>IF(AND(ISNUMBER('자료_거시'!$D2322),ISNUMBER('자료_거시'!$E2322)),IFERROR('자료_거시'!$E2322-INDEX($S$21:$S$4020,MATCH(EDATE('자료_거시'!$D2322,-'설정'!$B$17),'자료_거시'!$D$3:INDEX('자료_거시'!$D$3:$D$4002,$K$6),1)),""),"")</f>
        <v/>
      </c>
      <c r="U2340">
        <f>IF(ISNUMBER(T2340),'자료_거시'!$D2322,"")</f>
        <v/>
      </c>
      <c r="V2340">
        <f>IF(ISNUMBER(U2340),IF(U2340&gt;$L$6,T2340,""),"")</f>
        <v/>
      </c>
      <c r="W2340">
        <f>IF(AND(ISNUMBER('자료_거시'!$G2322),ISNUMBER('자료_거시'!$H2322)),'자료_거시'!$H2322,"")</f>
        <v/>
      </c>
      <c r="X2340">
        <f>IF(ISNUMBER(W2340),'자료_거시'!$G2322,"")</f>
        <v/>
      </c>
      <c r="Y2340">
        <f>IF(ISNUMBER(X2340),IF(X2340&gt;$L$7,W2340,""),"")</f>
        <v/>
      </c>
      <c r="Z2340">
        <f>IF(ISNUMBER('자료_거시'!$K2322),'자료_거시'!$K2322,Z2339)</f>
        <v/>
      </c>
      <c r="AA2340">
        <f>IF(AND(ISNUMBER('자료_거시'!$J2322),ISNUMBER('자료_거시'!$K2322)),IFERROR('자료_거시'!$K2322/INDEX($Z$21:$Z$4020,MATCH(EDATE('자료_거시'!$J2322,-'설정'!$B$17),'자료_거시'!$J$3:INDEX('자료_거시'!$J$3:$J$4002,$K$8),1))-1,""),"")</f>
        <v/>
      </c>
      <c r="AB2340">
        <f>IF(ISNUMBER(AA2340),'자료_거시'!$J2322,"")</f>
        <v/>
      </c>
      <c r="AC2340">
        <f>IF(ISNUMBER(AB2340),IF(AB2340&gt;$L$8,AA2340,""),"")</f>
        <v/>
      </c>
    </row>
    <row r="2341">
      <c r="S2341">
        <f>IF(ISNUMBER('자료_거시'!$E2323),'자료_거시'!$E2323,S2340)</f>
        <v/>
      </c>
      <c r="T2341">
        <f>IF(AND(ISNUMBER('자료_거시'!$D2323),ISNUMBER('자료_거시'!$E2323)),IFERROR('자료_거시'!$E2323-INDEX($S$21:$S$4020,MATCH(EDATE('자료_거시'!$D2323,-'설정'!$B$17),'자료_거시'!$D$3:INDEX('자료_거시'!$D$3:$D$4002,$K$6),1)),""),"")</f>
        <v/>
      </c>
      <c r="U2341">
        <f>IF(ISNUMBER(T2341),'자료_거시'!$D2323,"")</f>
        <v/>
      </c>
      <c r="V2341">
        <f>IF(ISNUMBER(U2341),IF(U2341&gt;$L$6,T2341,""),"")</f>
        <v/>
      </c>
      <c r="W2341">
        <f>IF(AND(ISNUMBER('자료_거시'!$G2323),ISNUMBER('자료_거시'!$H2323)),'자료_거시'!$H2323,"")</f>
        <v/>
      </c>
      <c r="X2341">
        <f>IF(ISNUMBER(W2341),'자료_거시'!$G2323,"")</f>
        <v/>
      </c>
      <c r="Y2341">
        <f>IF(ISNUMBER(X2341),IF(X2341&gt;$L$7,W2341,""),"")</f>
        <v/>
      </c>
      <c r="Z2341">
        <f>IF(ISNUMBER('자료_거시'!$K2323),'자료_거시'!$K2323,Z2340)</f>
        <v/>
      </c>
      <c r="AA2341">
        <f>IF(AND(ISNUMBER('자료_거시'!$J2323),ISNUMBER('자료_거시'!$K2323)),IFERROR('자료_거시'!$K2323/INDEX($Z$21:$Z$4020,MATCH(EDATE('자료_거시'!$J2323,-'설정'!$B$17),'자료_거시'!$J$3:INDEX('자료_거시'!$J$3:$J$4002,$K$8),1))-1,""),"")</f>
        <v/>
      </c>
      <c r="AB2341">
        <f>IF(ISNUMBER(AA2341),'자료_거시'!$J2323,"")</f>
        <v/>
      </c>
      <c r="AC2341">
        <f>IF(ISNUMBER(AB2341),IF(AB2341&gt;$L$8,AA2341,""),"")</f>
        <v/>
      </c>
    </row>
    <row r="2342">
      <c r="S2342">
        <f>IF(ISNUMBER('자료_거시'!$E2324),'자료_거시'!$E2324,S2341)</f>
        <v/>
      </c>
      <c r="T2342">
        <f>IF(AND(ISNUMBER('자료_거시'!$D2324),ISNUMBER('자료_거시'!$E2324)),IFERROR('자료_거시'!$E2324-INDEX($S$21:$S$4020,MATCH(EDATE('자료_거시'!$D2324,-'설정'!$B$17),'자료_거시'!$D$3:INDEX('자료_거시'!$D$3:$D$4002,$K$6),1)),""),"")</f>
        <v/>
      </c>
      <c r="U2342">
        <f>IF(ISNUMBER(T2342),'자료_거시'!$D2324,"")</f>
        <v/>
      </c>
      <c r="V2342">
        <f>IF(ISNUMBER(U2342),IF(U2342&gt;$L$6,T2342,""),"")</f>
        <v/>
      </c>
      <c r="W2342">
        <f>IF(AND(ISNUMBER('자료_거시'!$G2324),ISNUMBER('자료_거시'!$H2324)),'자료_거시'!$H2324,"")</f>
        <v/>
      </c>
      <c r="X2342">
        <f>IF(ISNUMBER(W2342),'자료_거시'!$G2324,"")</f>
        <v/>
      </c>
      <c r="Y2342">
        <f>IF(ISNUMBER(X2342),IF(X2342&gt;$L$7,W2342,""),"")</f>
        <v/>
      </c>
      <c r="Z2342">
        <f>IF(ISNUMBER('자료_거시'!$K2324),'자료_거시'!$K2324,Z2341)</f>
        <v/>
      </c>
      <c r="AA2342">
        <f>IF(AND(ISNUMBER('자료_거시'!$J2324),ISNUMBER('자료_거시'!$K2324)),IFERROR('자료_거시'!$K2324/INDEX($Z$21:$Z$4020,MATCH(EDATE('자료_거시'!$J2324,-'설정'!$B$17),'자료_거시'!$J$3:INDEX('자료_거시'!$J$3:$J$4002,$K$8),1))-1,""),"")</f>
        <v/>
      </c>
      <c r="AB2342">
        <f>IF(ISNUMBER(AA2342),'자료_거시'!$J2324,"")</f>
        <v/>
      </c>
      <c r="AC2342">
        <f>IF(ISNUMBER(AB2342),IF(AB2342&gt;$L$8,AA2342,""),"")</f>
        <v/>
      </c>
    </row>
    <row r="2343">
      <c r="S2343">
        <f>IF(ISNUMBER('자료_거시'!$E2325),'자료_거시'!$E2325,S2342)</f>
        <v/>
      </c>
      <c r="T2343">
        <f>IF(AND(ISNUMBER('자료_거시'!$D2325),ISNUMBER('자료_거시'!$E2325)),IFERROR('자료_거시'!$E2325-INDEX($S$21:$S$4020,MATCH(EDATE('자료_거시'!$D2325,-'설정'!$B$17),'자료_거시'!$D$3:INDEX('자료_거시'!$D$3:$D$4002,$K$6),1)),""),"")</f>
        <v/>
      </c>
      <c r="U2343">
        <f>IF(ISNUMBER(T2343),'자료_거시'!$D2325,"")</f>
        <v/>
      </c>
      <c r="V2343">
        <f>IF(ISNUMBER(U2343),IF(U2343&gt;$L$6,T2343,""),"")</f>
        <v/>
      </c>
      <c r="W2343">
        <f>IF(AND(ISNUMBER('자료_거시'!$G2325),ISNUMBER('자료_거시'!$H2325)),'자료_거시'!$H2325,"")</f>
        <v/>
      </c>
      <c r="X2343">
        <f>IF(ISNUMBER(W2343),'자료_거시'!$G2325,"")</f>
        <v/>
      </c>
      <c r="Y2343">
        <f>IF(ISNUMBER(X2343),IF(X2343&gt;$L$7,W2343,""),"")</f>
        <v/>
      </c>
      <c r="Z2343">
        <f>IF(ISNUMBER('자료_거시'!$K2325),'자료_거시'!$K2325,Z2342)</f>
        <v/>
      </c>
      <c r="AA2343">
        <f>IF(AND(ISNUMBER('자료_거시'!$J2325),ISNUMBER('자료_거시'!$K2325)),IFERROR('자료_거시'!$K2325/INDEX($Z$21:$Z$4020,MATCH(EDATE('자료_거시'!$J2325,-'설정'!$B$17),'자료_거시'!$J$3:INDEX('자료_거시'!$J$3:$J$4002,$K$8),1))-1,""),"")</f>
        <v/>
      </c>
      <c r="AB2343">
        <f>IF(ISNUMBER(AA2343),'자료_거시'!$J2325,"")</f>
        <v/>
      </c>
      <c r="AC2343">
        <f>IF(ISNUMBER(AB2343),IF(AB2343&gt;$L$8,AA2343,""),"")</f>
        <v/>
      </c>
    </row>
    <row r="2344">
      <c r="S2344">
        <f>IF(ISNUMBER('자료_거시'!$E2326),'자료_거시'!$E2326,S2343)</f>
        <v/>
      </c>
      <c r="T2344">
        <f>IF(AND(ISNUMBER('자료_거시'!$D2326),ISNUMBER('자료_거시'!$E2326)),IFERROR('자료_거시'!$E2326-INDEX($S$21:$S$4020,MATCH(EDATE('자료_거시'!$D2326,-'설정'!$B$17),'자료_거시'!$D$3:INDEX('자료_거시'!$D$3:$D$4002,$K$6),1)),""),"")</f>
        <v/>
      </c>
      <c r="U2344">
        <f>IF(ISNUMBER(T2344),'자료_거시'!$D2326,"")</f>
        <v/>
      </c>
      <c r="V2344">
        <f>IF(ISNUMBER(U2344),IF(U2344&gt;$L$6,T2344,""),"")</f>
        <v/>
      </c>
      <c r="W2344">
        <f>IF(AND(ISNUMBER('자료_거시'!$G2326),ISNUMBER('자료_거시'!$H2326)),'자료_거시'!$H2326,"")</f>
        <v/>
      </c>
      <c r="X2344">
        <f>IF(ISNUMBER(W2344),'자료_거시'!$G2326,"")</f>
        <v/>
      </c>
      <c r="Y2344">
        <f>IF(ISNUMBER(X2344),IF(X2344&gt;$L$7,W2344,""),"")</f>
        <v/>
      </c>
      <c r="Z2344">
        <f>IF(ISNUMBER('자료_거시'!$K2326),'자료_거시'!$K2326,Z2343)</f>
        <v/>
      </c>
      <c r="AA2344">
        <f>IF(AND(ISNUMBER('자료_거시'!$J2326),ISNUMBER('자료_거시'!$K2326)),IFERROR('자료_거시'!$K2326/INDEX($Z$21:$Z$4020,MATCH(EDATE('자료_거시'!$J2326,-'설정'!$B$17),'자료_거시'!$J$3:INDEX('자료_거시'!$J$3:$J$4002,$K$8),1))-1,""),"")</f>
        <v/>
      </c>
      <c r="AB2344">
        <f>IF(ISNUMBER(AA2344),'자료_거시'!$J2326,"")</f>
        <v/>
      </c>
      <c r="AC2344">
        <f>IF(ISNUMBER(AB2344),IF(AB2344&gt;$L$8,AA2344,""),"")</f>
        <v/>
      </c>
    </row>
    <row r="2345">
      <c r="S2345">
        <f>IF(ISNUMBER('자료_거시'!$E2327),'자료_거시'!$E2327,S2344)</f>
        <v/>
      </c>
      <c r="T2345">
        <f>IF(AND(ISNUMBER('자료_거시'!$D2327),ISNUMBER('자료_거시'!$E2327)),IFERROR('자료_거시'!$E2327-INDEX($S$21:$S$4020,MATCH(EDATE('자료_거시'!$D2327,-'설정'!$B$17),'자료_거시'!$D$3:INDEX('자료_거시'!$D$3:$D$4002,$K$6),1)),""),"")</f>
        <v/>
      </c>
      <c r="U2345">
        <f>IF(ISNUMBER(T2345),'자료_거시'!$D2327,"")</f>
        <v/>
      </c>
      <c r="V2345">
        <f>IF(ISNUMBER(U2345),IF(U2345&gt;$L$6,T2345,""),"")</f>
        <v/>
      </c>
      <c r="W2345">
        <f>IF(AND(ISNUMBER('자료_거시'!$G2327),ISNUMBER('자료_거시'!$H2327)),'자료_거시'!$H2327,"")</f>
        <v/>
      </c>
      <c r="X2345">
        <f>IF(ISNUMBER(W2345),'자료_거시'!$G2327,"")</f>
        <v/>
      </c>
      <c r="Y2345">
        <f>IF(ISNUMBER(X2345),IF(X2345&gt;$L$7,W2345,""),"")</f>
        <v/>
      </c>
      <c r="Z2345">
        <f>IF(ISNUMBER('자료_거시'!$K2327),'자료_거시'!$K2327,Z2344)</f>
        <v/>
      </c>
      <c r="AA2345">
        <f>IF(AND(ISNUMBER('자료_거시'!$J2327),ISNUMBER('자료_거시'!$K2327)),IFERROR('자료_거시'!$K2327/INDEX($Z$21:$Z$4020,MATCH(EDATE('자료_거시'!$J2327,-'설정'!$B$17),'자료_거시'!$J$3:INDEX('자료_거시'!$J$3:$J$4002,$K$8),1))-1,""),"")</f>
        <v/>
      </c>
      <c r="AB2345">
        <f>IF(ISNUMBER(AA2345),'자료_거시'!$J2327,"")</f>
        <v/>
      </c>
      <c r="AC2345">
        <f>IF(ISNUMBER(AB2345),IF(AB2345&gt;$L$8,AA2345,""),"")</f>
        <v/>
      </c>
    </row>
    <row r="2346">
      <c r="S2346">
        <f>IF(ISNUMBER('자료_거시'!$E2328),'자료_거시'!$E2328,S2345)</f>
        <v/>
      </c>
      <c r="T2346">
        <f>IF(AND(ISNUMBER('자료_거시'!$D2328),ISNUMBER('자료_거시'!$E2328)),IFERROR('자료_거시'!$E2328-INDEX($S$21:$S$4020,MATCH(EDATE('자료_거시'!$D2328,-'설정'!$B$17),'자료_거시'!$D$3:INDEX('자료_거시'!$D$3:$D$4002,$K$6),1)),""),"")</f>
        <v/>
      </c>
      <c r="U2346">
        <f>IF(ISNUMBER(T2346),'자료_거시'!$D2328,"")</f>
        <v/>
      </c>
      <c r="V2346">
        <f>IF(ISNUMBER(U2346),IF(U2346&gt;$L$6,T2346,""),"")</f>
        <v/>
      </c>
      <c r="W2346">
        <f>IF(AND(ISNUMBER('자료_거시'!$G2328),ISNUMBER('자료_거시'!$H2328)),'자료_거시'!$H2328,"")</f>
        <v/>
      </c>
      <c r="X2346">
        <f>IF(ISNUMBER(W2346),'자료_거시'!$G2328,"")</f>
        <v/>
      </c>
      <c r="Y2346">
        <f>IF(ISNUMBER(X2346),IF(X2346&gt;$L$7,W2346,""),"")</f>
        <v/>
      </c>
      <c r="Z2346">
        <f>IF(ISNUMBER('자료_거시'!$K2328),'자료_거시'!$K2328,Z2345)</f>
        <v/>
      </c>
      <c r="AA2346">
        <f>IF(AND(ISNUMBER('자료_거시'!$J2328),ISNUMBER('자료_거시'!$K2328)),IFERROR('자료_거시'!$K2328/INDEX($Z$21:$Z$4020,MATCH(EDATE('자료_거시'!$J2328,-'설정'!$B$17),'자료_거시'!$J$3:INDEX('자료_거시'!$J$3:$J$4002,$K$8),1))-1,""),"")</f>
        <v/>
      </c>
      <c r="AB2346">
        <f>IF(ISNUMBER(AA2346),'자료_거시'!$J2328,"")</f>
        <v/>
      </c>
      <c r="AC2346">
        <f>IF(ISNUMBER(AB2346),IF(AB2346&gt;$L$8,AA2346,""),"")</f>
        <v/>
      </c>
    </row>
    <row r="2347">
      <c r="S2347">
        <f>IF(ISNUMBER('자료_거시'!$E2329),'자료_거시'!$E2329,S2346)</f>
        <v/>
      </c>
      <c r="T2347">
        <f>IF(AND(ISNUMBER('자료_거시'!$D2329),ISNUMBER('자료_거시'!$E2329)),IFERROR('자료_거시'!$E2329-INDEX($S$21:$S$4020,MATCH(EDATE('자료_거시'!$D2329,-'설정'!$B$17),'자료_거시'!$D$3:INDEX('자료_거시'!$D$3:$D$4002,$K$6),1)),""),"")</f>
        <v/>
      </c>
      <c r="U2347">
        <f>IF(ISNUMBER(T2347),'자료_거시'!$D2329,"")</f>
        <v/>
      </c>
      <c r="V2347">
        <f>IF(ISNUMBER(U2347),IF(U2347&gt;$L$6,T2347,""),"")</f>
        <v/>
      </c>
      <c r="W2347">
        <f>IF(AND(ISNUMBER('자료_거시'!$G2329),ISNUMBER('자료_거시'!$H2329)),'자료_거시'!$H2329,"")</f>
        <v/>
      </c>
      <c r="X2347">
        <f>IF(ISNUMBER(W2347),'자료_거시'!$G2329,"")</f>
        <v/>
      </c>
      <c r="Y2347">
        <f>IF(ISNUMBER(X2347),IF(X2347&gt;$L$7,W2347,""),"")</f>
        <v/>
      </c>
      <c r="Z2347">
        <f>IF(ISNUMBER('자료_거시'!$K2329),'자료_거시'!$K2329,Z2346)</f>
        <v/>
      </c>
      <c r="AA2347">
        <f>IF(AND(ISNUMBER('자료_거시'!$J2329),ISNUMBER('자료_거시'!$K2329)),IFERROR('자료_거시'!$K2329/INDEX($Z$21:$Z$4020,MATCH(EDATE('자료_거시'!$J2329,-'설정'!$B$17),'자료_거시'!$J$3:INDEX('자료_거시'!$J$3:$J$4002,$K$8),1))-1,""),"")</f>
        <v/>
      </c>
      <c r="AB2347">
        <f>IF(ISNUMBER(AA2347),'자료_거시'!$J2329,"")</f>
        <v/>
      </c>
      <c r="AC2347">
        <f>IF(ISNUMBER(AB2347),IF(AB2347&gt;$L$8,AA2347,""),"")</f>
        <v/>
      </c>
    </row>
    <row r="2348">
      <c r="S2348">
        <f>IF(ISNUMBER('자료_거시'!$E2330),'자료_거시'!$E2330,S2347)</f>
        <v/>
      </c>
      <c r="T2348">
        <f>IF(AND(ISNUMBER('자료_거시'!$D2330),ISNUMBER('자료_거시'!$E2330)),IFERROR('자료_거시'!$E2330-INDEX($S$21:$S$4020,MATCH(EDATE('자료_거시'!$D2330,-'설정'!$B$17),'자료_거시'!$D$3:INDEX('자료_거시'!$D$3:$D$4002,$K$6),1)),""),"")</f>
        <v/>
      </c>
      <c r="U2348">
        <f>IF(ISNUMBER(T2348),'자료_거시'!$D2330,"")</f>
        <v/>
      </c>
      <c r="V2348">
        <f>IF(ISNUMBER(U2348),IF(U2348&gt;$L$6,T2348,""),"")</f>
        <v/>
      </c>
      <c r="W2348">
        <f>IF(AND(ISNUMBER('자료_거시'!$G2330),ISNUMBER('자료_거시'!$H2330)),'자료_거시'!$H2330,"")</f>
        <v/>
      </c>
      <c r="X2348">
        <f>IF(ISNUMBER(W2348),'자료_거시'!$G2330,"")</f>
        <v/>
      </c>
      <c r="Y2348">
        <f>IF(ISNUMBER(X2348),IF(X2348&gt;$L$7,W2348,""),"")</f>
        <v/>
      </c>
      <c r="Z2348">
        <f>IF(ISNUMBER('자료_거시'!$K2330),'자료_거시'!$K2330,Z2347)</f>
        <v/>
      </c>
      <c r="AA2348">
        <f>IF(AND(ISNUMBER('자료_거시'!$J2330),ISNUMBER('자료_거시'!$K2330)),IFERROR('자료_거시'!$K2330/INDEX($Z$21:$Z$4020,MATCH(EDATE('자료_거시'!$J2330,-'설정'!$B$17),'자료_거시'!$J$3:INDEX('자료_거시'!$J$3:$J$4002,$K$8),1))-1,""),"")</f>
        <v/>
      </c>
      <c r="AB2348">
        <f>IF(ISNUMBER(AA2348),'자료_거시'!$J2330,"")</f>
        <v/>
      </c>
      <c r="AC2348">
        <f>IF(ISNUMBER(AB2348),IF(AB2348&gt;$L$8,AA2348,""),"")</f>
        <v/>
      </c>
    </row>
    <row r="2349">
      <c r="S2349">
        <f>IF(ISNUMBER('자료_거시'!$E2331),'자료_거시'!$E2331,S2348)</f>
        <v/>
      </c>
      <c r="T2349">
        <f>IF(AND(ISNUMBER('자료_거시'!$D2331),ISNUMBER('자료_거시'!$E2331)),IFERROR('자료_거시'!$E2331-INDEX($S$21:$S$4020,MATCH(EDATE('자료_거시'!$D2331,-'설정'!$B$17),'자료_거시'!$D$3:INDEX('자료_거시'!$D$3:$D$4002,$K$6),1)),""),"")</f>
        <v/>
      </c>
      <c r="U2349">
        <f>IF(ISNUMBER(T2349),'자료_거시'!$D2331,"")</f>
        <v/>
      </c>
      <c r="V2349">
        <f>IF(ISNUMBER(U2349),IF(U2349&gt;$L$6,T2349,""),"")</f>
        <v/>
      </c>
      <c r="W2349">
        <f>IF(AND(ISNUMBER('자료_거시'!$G2331),ISNUMBER('자료_거시'!$H2331)),'자료_거시'!$H2331,"")</f>
        <v/>
      </c>
      <c r="X2349">
        <f>IF(ISNUMBER(W2349),'자료_거시'!$G2331,"")</f>
        <v/>
      </c>
      <c r="Y2349">
        <f>IF(ISNUMBER(X2349),IF(X2349&gt;$L$7,W2349,""),"")</f>
        <v/>
      </c>
      <c r="Z2349">
        <f>IF(ISNUMBER('자료_거시'!$K2331),'자료_거시'!$K2331,Z2348)</f>
        <v/>
      </c>
      <c r="AA2349">
        <f>IF(AND(ISNUMBER('자료_거시'!$J2331),ISNUMBER('자료_거시'!$K2331)),IFERROR('자료_거시'!$K2331/INDEX($Z$21:$Z$4020,MATCH(EDATE('자료_거시'!$J2331,-'설정'!$B$17),'자료_거시'!$J$3:INDEX('자료_거시'!$J$3:$J$4002,$K$8),1))-1,""),"")</f>
        <v/>
      </c>
      <c r="AB2349">
        <f>IF(ISNUMBER(AA2349),'자료_거시'!$J2331,"")</f>
        <v/>
      </c>
      <c r="AC2349">
        <f>IF(ISNUMBER(AB2349),IF(AB2349&gt;$L$8,AA2349,""),"")</f>
        <v/>
      </c>
    </row>
    <row r="2350">
      <c r="S2350">
        <f>IF(ISNUMBER('자료_거시'!$E2332),'자료_거시'!$E2332,S2349)</f>
        <v/>
      </c>
      <c r="T2350">
        <f>IF(AND(ISNUMBER('자료_거시'!$D2332),ISNUMBER('자료_거시'!$E2332)),IFERROR('자료_거시'!$E2332-INDEX($S$21:$S$4020,MATCH(EDATE('자료_거시'!$D2332,-'설정'!$B$17),'자료_거시'!$D$3:INDEX('자료_거시'!$D$3:$D$4002,$K$6),1)),""),"")</f>
        <v/>
      </c>
      <c r="U2350">
        <f>IF(ISNUMBER(T2350),'자료_거시'!$D2332,"")</f>
        <v/>
      </c>
      <c r="V2350">
        <f>IF(ISNUMBER(U2350),IF(U2350&gt;$L$6,T2350,""),"")</f>
        <v/>
      </c>
      <c r="W2350">
        <f>IF(AND(ISNUMBER('자료_거시'!$G2332),ISNUMBER('자료_거시'!$H2332)),'자료_거시'!$H2332,"")</f>
        <v/>
      </c>
      <c r="X2350">
        <f>IF(ISNUMBER(W2350),'자료_거시'!$G2332,"")</f>
        <v/>
      </c>
      <c r="Y2350">
        <f>IF(ISNUMBER(X2350),IF(X2350&gt;$L$7,W2350,""),"")</f>
        <v/>
      </c>
      <c r="Z2350">
        <f>IF(ISNUMBER('자료_거시'!$K2332),'자료_거시'!$K2332,Z2349)</f>
        <v/>
      </c>
      <c r="AA2350">
        <f>IF(AND(ISNUMBER('자료_거시'!$J2332),ISNUMBER('자료_거시'!$K2332)),IFERROR('자료_거시'!$K2332/INDEX($Z$21:$Z$4020,MATCH(EDATE('자료_거시'!$J2332,-'설정'!$B$17),'자료_거시'!$J$3:INDEX('자료_거시'!$J$3:$J$4002,$K$8),1))-1,""),"")</f>
        <v/>
      </c>
      <c r="AB2350">
        <f>IF(ISNUMBER(AA2350),'자료_거시'!$J2332,"")</f>
        <v/>
      </c>
      <c r="AC2350">
        <f>IF(ISNUMBER(AB2350),IF(AB2350&gt;$L$8,AA2350,""),"")</f>
        <v/>
      </c>
    </row>
    <row r="2351">
      <c r="S2351">
        <f>IF(ISNUMBER('자료_거시'!$E2333),'자료_거시'!$E2333,S2350)</f>
        <v/>
      </c>
      <c r="T2351">
        <f>IF(AND(ISNUMBER('자료_거시'!$D2333),ISNUMBER('자료_거시'!$E2333)),IFERROR('자료_거시'!$E2333-INDEX($S$21:$S$4020,MATCH(EDATE('자료_거시'!$D2333,-'설정'!$B$17),'자료_거시'!$D$3:INDEX('자료_거시'!$D$3:$D$4002,$K$6),1)),""),"")</f>
        <v/>
      </c>
      <c r="U2351">
        <f>IF(ISNUMBER(T2351),'자료_거시'!$D2333,"")</f>
        <v/>
      </c>
      <c r="V2351">
        <f>IF(ISNUMBER(U2351),IF(U2351&gt;$L$6,T2351,""),"")</f>
        <v/>
      </c>
      <c r="W2351">
        <f>IF(AND(ISNUMBER('자료_거시'!$G2333),ISNUMBER('자료_거시'!$H2333)),'자료_거시'!$H2333,"")</f>
        <v/>
      </c>
      <c r="X2351">
        <f>IF(ISNUMBER(W2351),'자료_거시'!$G2333,"")</f>
        <v/>
      </c>
      <c r="Y2351">
        <f>IF(ISNUMBER(X2351),IF(X2351&gt;$L$7,W2351,""),"")</f>
        <v/>
      </c>
      <c r="Z2351">
        <f>IF(ISNUMBER('자료_거시'!$K2333),'자료_거시'!$K2333,Z2350)</f>
        <v/>
      </c>
      <c r="AA2351">
        <f>IF(AND(ISNUMBER('자료_거시'!$J2333),ISNUMBER('자료_거시'!$K2333)),IFERROR('자료_거시'!$K2333/INDEX($Z$21:$Z$4020,MATCH(EDATE('자료_거시'!$J2333,-'설정'!$B$17),'자료_거시'!$J$3:INDEX('자료_거시'!$J$3:$J$4002,$K$8),1))-1,""),"")</f>
        <v/>
      </c>
      <c r="AB2351">
        <f>IF(ISNUMBER(AA2351),'자료_거시'!$J2333,"")</f>
        <v/>
      </c>
      <c r="AC2351">
        <f>IF(ISNUMBER(AB2351),IF(AB2351&gt;$L$8,AA2351,""),"")</f>
        <v/>
      </c>
    </row>
    <row r="2352">
      <c r="S2352">
        <f>IF(ISNUMBER('자료_거시'!$E2334),'자료_거시'!$E2334,S2351)</f>
        <v/>
      </c>
      <c r="T2352">
        <f>IF(AND(ISNUMBER('자료_거시'!$D2334),ISNUMBER('자료_거시'!$E2334)),IFERROR('자료_거시'!$E2334-INDEX($S$21:$S$4020,MATCH(EDATE('자료_거시'!$D2334,-'설정'!$B$17),'자료_거시'!$D$3:INDEX('자료_거시'!$D$3:$D$4002,$K$6),1)),""),"")</f>
        <v/>
      </c>
      <c r="U2352">
        <f>IF(ISNUMBER(T2352),'자료_거시'!$D2334,"")</f>
        <v/>
      </c>
      <c r="V2352">
        <f>IF(ISNUMBER(U2352),IF(U2352&gt;$L$6,T2352,""),"")</f>
        <v/>
      </c>
      <c r="W2352">
        <f>IF(AND(ISNUMBER('자료_거시'!$G2334),ISNUMBER('자료_거시'!$H2334)),'자료_거시'!$H2334,"")</f>
        <v/>
      </c>
      <c r="X2352">
        <f>IF(ISNUMBER(W2352),'자료_거시'!$G2334,"")</f>
        <v/>
      </c>
      <c r="Y2352">
        <f>IF(ISNUMBER(X2352),IF(X2352&gt;$L$7,W2352,""),"")</f>
        <v/>
      </c>
      <c r="Z2352">
        <f>IF(ISNUMBER('자료_거시'!$K2334),'자료_거시'!$K2334,Z2351)</f>
        <v/>
      </c>
      <c r="AA2352">
        <f>IF(AND(ISNUMBER('자료_거시'!$J2334),ISNUMBER('자료_거시'!$K2334)),IFERROR('자료_거시'!$K2334/INDEX($Z$21:$Z$4020,MATCH(EDATE('자료_거시'!$J2334,-'설정'!$B$17),'자료_거시'!$J$3:INDEX('자료_거시'!$J$3:$J$4002,$K$8),1))-1,""),"")</f>
        <v/>
      </c>
      <c r="AB2352">
        <f>IF(ISNUMBER(AA2352),'자료_거시'!$J2334,"")</f>
        <v/>
      </c>
      <c r="AC2352">
        <f>IF(ISNUMBER(AB2352),IF(AB2352&gt;$L$8,AA2352,""),"")</f>
        <v/>
      </c>
    </row>
    <row r="2353">
      <c r="S2353">
        <f>IF(ISNUMBER('자료_거시'!$E2335),'자료_거시'!$E2335,S2352)</f>
        <v/>
      </c>
      <c r="T2353">
        <f>IF(AND(ISNUMBER('자료_거시'!$D2335),ISNUMBER('자료_거시'!$E2335)),IFERROR('자료_거시'!$E2335-INDEX($S$21:$S$4020,MATCH(EDATE('자료_거시'!$D2335,-'설정'!$B$17),'자료_거시'!$D$3:INDEX('자료_거시'!$D$3:$D$4002,$K$6),1)),""),"")</f>
        <v/>
      </c>
      <c r="U2353">
        <f>IF(ISNUMBER(T2353),'자료_거시'!$D2335,"")</f>
        <v/>
      </c>
      <c r="V2353">
        <f>IF(ISNUMBER(U2353),IF(U2353&gt;$L$6,T2353,""),"")</f>
        <v/>
      </c>
      <c r="W2353">
        <f>IF(AND(ISNUMBER('자료_거시'!$G2335),ISNUMBER('자료_거시'!$H2335)),'자료_거시'!$H2335,"")</f>
        <v/>
      </c>
      <c r="X2353">
        <f>IF(ISNUMBER(W2353),'자료_거시'!$G2335,"")</f>
        <v/>
      </c>
      <c r="Y2353">
        <f>IF(ISNUMBER(X2353),IF(X2353&gt;$L$7,W2353,""),"")</f>
        <v/>
      </c>
      <c r="Z2353">
        <f>IF(ISNUMBER('자료_거시'!$K2335),'자료_거시'!$K2335,Z2352)</f>
        <v/>
      </c>
      <c r="AA2353">
        <f>IF(AND(ISNUMBER('자료_거시'!$J2335),ISNUMBER('자료_거시'!$K2335)),IFERROR('자료_거시'!$K2335/INDEX($Z$21:$Z$4020,MATCH(EDATE('자료_거시'!$J2335,-'설정'!$B$17),'자료_거시'!$J$3:INDEX('자료_거시'!$J$3:$J$4002,$K$8),1))-1,""),"")</f>
        <v/>
      </c>
      <c r="AB2353">
        <f>IF(ISNUMBER(AA2353),'자료_거시'!$J2335,"")</f>
        <v/>
      </c>
      <c r="AC2353">
        <f>IF(ISNUMBER(AB2353),IF(AB2353&gt;$L$8,AA2353,""),"")</f>
        <v/>
      </c>
    </row>
    <row r="2354">
      <c r="S2354">
        <f>IF(ISNUMBER('자료_거시'!$E2336),'자료_거시'!$E2336,S2353)</f>
        <v/>
      </c>
      <c r="T2354">
        <f>IF(AND(ISNUMBER('자료_거시'!$D2336),ISNUMBER('자료_거시'!$E2336)),IFERROR('자료_거시'!$E2336-INDEX($S$21:$S$4020,MATCH(EDATE('자료_거시'!$D2336,-'설정'!$B$17),'자료_거시'!$D$3:INDEX('자료_거시'!$D$3:$D$4002,$K$6),1)),""),"")</f>
        <v/>
      </c>
      <c r="U2354">
        <f>IF(ISNUMBER(T2354),'자료_거시'!$D2336,"")</f>
        <v/>
      </c>
      <c r="V2354">
        <f>IF(ISNUMBER(U2354),IF(U2354&gt;$L$6,T2354,""),"")</f>
        <v/>
      </c>
      <c r="W2354">
        <f>IF(AND(ISNUMBER('자료_거시'!$G2336),ISNUMBER('자료_거시'!$H2336)),'자료_거시'!$H2336,"")</f>
        <v/>
      </c>
      <c r="X2354">
        <f>IF(ISNUMBER(W2354),'자료_거시'!$G2336,"")</f>
        <v/>
      </c>
      <c r="Y2354">
        <f>IF(ISNUMBER(X2354),IF(X2354&gt;$L$7,W2354,""),"")</f>
        <v/>
      </c>
      <c r="Z2354">
        <f>IF(ISNUMBER('자료_거시'!$K2336),'자료_거시'!$K2336,Z2353)</f>
        <v/>
      </c>
      <c r="AA2354">
        <f>IF(AND(ISNUMBER('자료_거시'!$J2336),ISNUMBER('자료_거시'!$K2336)),IFERROR('자료_거시'!$K2336/INDEX($Z$21:$Z$4020,MATCH(EDATE('자료_거시'!$J2336,-'설정'!$B$17),'자료_거시'!$J$3:INDEX('자료_거시'!$J$3:$J$4002,$K$8),1))-1,""),"")</f>
        <v/>
      </c>
      <c r="AB2354">
        <f>IF(ISNUMBER(AA2354),'자료_거시'!$J2336,"")</f>
        <v/>
      </c>
      <c r="AC2354">
        <f>IF(ISNUMBER(AB2354),IF(AB2354&gt;$L$8,AA2354,""),"")</f>
        <v/>
      </c>
    </row>
    <row r="2355">
      <c r="S2355">
        <f>IF(ISNUMBER('자료_거시'!$E2337),'자료_거시'!$E2337,S2354)</f>
        <v/>
      </c>
      <c r="T2355">
        <f>IF(AND(ISNUMBER('자료_거시'!$D2337),ISNUMBER('자료_거시'!$E2337)),IFERROR('자료_거시'!$E2337-INDEX($S$21:$S$4020,MATCH(EDATE('자료_거시'!$D2337,-'설정'!$B$17),'자료_거시'!$D$3:INDEX('자료_거시'!$D$3:$D$4002,$K$6),1)),""),"")</f>
        <v/>
      </c>
      <c r="U2355">
        <f>IF(ISNUMBER(T2355),'자료_거시'!$D2337,"")</f>
        <v/>
      </c>
      <c r="V2355">
        <f>IF(ISNUMBER(U2355),IF(U2355&gt;$L$6,T2355,""),"")</f>
        <v/>
      </c>
      <c r="W2355">
        <f>IF(AND(ISNUMBER('자료_거시'!$G2337),ISNUMBER('자료_거시'!$H2337)),'자료_거시'!$H2337,"")</f>
        <v/>
      </c>
      <c r="X2355">
        <f>IF(ISNUMBER(W2355),'자료_거시'!$G2337,"")</f>
        <v/>
      </c>
      <c r="Y2355">
        <f>IF(ISNUMBER(X2355),IF(X2355&gt;$L$7,W2355,""),"")</f>
        <v/>
      </c>
      <c r="Z2355">
        <f>IF(ISNUMBER('자료_거시'!$K2337),'자료_거시'!$K2337,Z2354)</f>
        <v/>
      </c>
      <c r="AA2355">
        <f>IF(AND(ISNUMBER('자료_거시'!$J2337),ISNUMBER('자료_거시'!$K2337)),IFERROR('자료_거시'!$K2337/INDEX($Z$21:$Z$4020,MATCH(EDATE('자료_거시'!$J2337,-'설정'!$B$17),'자료_거시'!$J$3:INDEX('자료_거시'!$J$3:$J$4002,$K$8),1))-1,""),"")</f>
        <v/>
      </c>
      <c r="AB2355">
        <f>IF(ISNUMBER(AA2355),'자료_거시'!$J2337,"")</f>
        <v/>
      </c>
      <c r="AC2355">
        <f>IF(ISNUMBER(AB2355),IF(AB2355&gt;$L$8,AA2355,""),"")</f>
        <v/>
      </c>
    </row>
    <row r="2356">
      <c r="S2356">
        <f>IF(ISNUMBER('자료_거시'!$E2338),'자료_거시'!$E2338,S2355)</f>
        <v/>
      </c>
      <c r="T2356">
        <f>IF(AND(ISNUMBER('자료_거시'!$D2338),ISNUMBER('자료_거시'!$E2338)),IFERROR('자료_거시'!$E2338-INDEX($S$21:$S$4020,MATCH(EDATE('자료_거시'!$D2338,-'설정'!$B$17),'자료_거시'!$D$3:INDEX('자료_거시'!$D$3:$D$4002,$K$6),1)),""),"")</f>
        <v/>
      </c>
      <c r="U2356">
        <f>IF(ISNUMBER(T2356),'자료_거시'!$D2338,"")</f>
        <v/>
      </c>
      <c r="V2356">
        <f>IF(ISNUMBER(U2356),IF(U2356&gt;$L$6,T2356,""),"")</f>
        <v/>
      </c>
      <c r="W2356">
        <f>IF(AND(ISNUMBER('자료_거시'!$G2338),ISNUMBER('자료_거시'!$H2338)),'자료_거시'!$H2338,"")</f>
        <v/>
      </c>
      <c r="X2356">
        <f>IF(ISNUMBER(W2356),'자료_거시'!$G2338,"")</f>
        <v/>
      </c>
      <c r="Y2356">
        <f>IF(ISNUMBER(X2356),IF(X2356&gt;$L$7,W2356,""),"")</f>
        <v/>
      </c>
      <c r="Z2356">
        <f>IF(ISNUMBER('자료_거시'!$K2338),'자료_거시'!$K2338,Z2355)</f>
        <v/>
      </c>
      <c r="AA2356">
        <f>IF(AND(ISNUMBER('자료_거시'!$J2338),ISNUMBER('자료_거시'!$K2338)),IFERROR('자료_거시'!$K2338/INDEX($Z$21:$Z$4020,MATCH(EDATE('자료_거시'!$J2338,-'설정'!$B$17),'자료_거시'!$J$3:INDEX('자료_거시'!$J$3:$J$4002,$K$8),1))-1,""),"")</f>
        <v/>
      </c>
      <c r="AB2356">
        <f>IF(ISNUMBER(AA2356),'자료_거시'!$J2338,"")</f>
        <v/>
      </c>
      <c r="AC2356">
        <f>IF(ISNUMBER(AB2356),IF(AB2356&gt;$L$8,AA2356,""),"")</f>
        <v/>
      </c>
    </row>
    <row r="2357">
      <c r="S2357">
        <f>IF(ISNUMBER('자료_거시'!$E2339),'자료_거시'!$E2339,S2356)</f>
        <v/>
      </c>
      <c r="T2357">
        <f>IF(AND(ISNUMBER('자료_거시'!$D2339),ISNUMBER('자료_거시'!$E2339)),IFERROR('자료_거시'!$E2339-INDEX($S$21:$S$4020,MATCH(EDATE('자료_거시'!$D2339,-'설정'!$B$17),'자료_거시'!$D$3:INDEX('자료_거시'!$D$3:$D$4002,$K$6),1)),""),"")</f>
        <v/>
      </c>
      <c r="U2357">
        <f>IF(ISNUMBER(T2357),'자료_거시'!$D2339,"")</f>
        <v/>
      </c>
      <c r="V2357">
        <f>IF(ISNUMBER(U2357),IF(U2357&gt;$L$6,T2357,""),"")</f>
        <v/>
      </c>
      <c r="W2357">
        <f>IF(AND(ISNUMBER('자료_거시'!$G2339),ISNUMBER('자료_거시'!$H2339)),'자료_거시'!$H2339,"")</f>
        <v/>
      </c>
      <c r="X2357">
        <f>IF(ISNUMBER(W2357),'자료_거시'!$G2339,"")</f>
        <v/>
      </c>
      <c r="Y2357">
        <f>IF(ISNUMBER(X2357),IF(X2357&gt;$L$7,W2357,""),"")</f>
        <v/>
      </c>
      <c r="Z2357">
        <f>IF(ISNUMBER('자료_거시'!$K2339),'자료_거시'!$K2339,Z2356)</f>
        <v/>
      </c>
      <c r="AA2357">
        <f>IF(AND(ISNUMBER('자료_거시'!$J2339),ISNUMBER('자료_거시'!$K2339)),IFERROR('자료_거시'!$K2339/INDEX($Z$21:$Z$4020,MATCH(EDATE('자료_거시'!$J2339,-'설정'!$B$17),'자료_거시'!$J$3:INDEX('자료_거시'!$J$3:$J$4002,$K$8),1))-1,""),"")</f>
        <v/>
      </c>
      <c r="AB2357">
        <f>IF(ISNUMBER(AA2357),'자료_거시'!$J2339,"")</f>
        <v/>
      </c>
      <c r="AC2357">
        <f>IF(ISNUMBER(AB2357),IF(AB2357&gt;$L$8,AA2357,""),"")</f>
        <v/>
      </c>
    </row>
    <row r="2358">
      <c r="S2358">
        <f>IF(ISNUMBER('자료_거시'!$E2340),'자료_거시'!$E2340,S2357)</f>
        <v/>
      </c>
      <c r="T2358">
        <f>IF(AND(ISNUMBER('자료_거시'!$D2340),ISNUMBER('자료_거시'!$E2340)),IFERROR('자료_거시'!$E2340-INDEX($S$21:$S$4020,MATCH(EDATE('자료_거시'!$D2340,-'설정'!$B$17),'자료_거시'!$D$3:INDEX('자료_거시'!$D$3:$D$4002,$K$6),1)),""),"")</f>
        <v/>
      </c>
      <c r="U2358">
        <f>IF(ISNUMBER(T2358),'자료_거시'!$D2340,"")</f>
        <v/>
      </c>
      <c r="V2358">
        <f>IF(ISNUMBER(U2358),IF(U2358&gt;$L$6,T2358,""),"")</f>
        <v/>
      </c>
      <c r="W2358">
        <f>IF(AND(ISNUMBER('자료_거시'!$G2340),ISNUMBER('자료_거시'!$H2340)),'자료_거시'!$H2340,"")</f>
        <v/>
      </c>
      <c r="X2358">
        <f>IF(ISNUMBER(W2358),'자료_거시'!$G2340,"")</f>
        <v/>
      </c>
      <c r="Y2358">
        <f>IF(ISNUMBER(X2358),IF(X2358&gt;$L$7,W2358,""),"")</f>
        <v/>
      </c>
      <c r="Z2358">
        <f>IF(ISNUMBER('자료_거시'!$K2340),'자료_거시'!$K2340,Z2357)</f>
        <v/>
      </c>
      <c r="AA2358">
        <f>IF(AND(ISNUMBER('자료_거시'!$J2340),ISNUMBER('자료_거시'!$K2340)),IFERROR('자료_거시'!$K2340/INDEX($Z$21:$Z$4020,MATCH(EDATE('자료_거시'!$J2340,-'설정'!$B$17),'자료_거시'!$J$3:INDEX('자료_거시'!$J$3:$J$4002,$K$8),1))-1,""),"")</f>
        <v/>
      </c>
      <c r="AB2358">
        <f>IF(ISNUMBER(AA2358),'자료_거시'!$J2340,"")</f>
        <v/>
      </c>
      <c r="AC2358">
        <f>IF(ISNUMBER(AB2358),IF(AB2358&gt;$L$8,AA2358,""),"")</f>
        <v/>
      </c>
    </row>
    <row r="2359">
      <c r="S2359">
        <f>IF(ISNUMBER('자료_거시'!$E2341),'자료_거시'!$E2341,S2358)</f>
        <v/>
      </c>
      <c r="T2359">
        <f>IF(AND(ISNUMBER('자료_거시'!$D2341),ISNUMBER('자료_거시'!$E2341)),IFERROR('자료_거시'!$E2341-INDEX($S$21:$S$4020,MATCH(EDATE('자료_거시'!$D2341,-'설정'!$B$17),'자료_거시'!$D$3:INDEX('자료_거시'!$D$3:$D$4002,$K$6),1)),""),"")</f>
        <v/>
      </c>
      <c r="U2359">
        <f>IF(ISNUMBER(T2359),'자료_거시'!$D2341,"")</f>
        <v/>
      </c>
      <c r="V2359">
        <f>IF(ISNUMBER(U2359),IF(U2359&gt;$L$6,T2359,""),"")</f>
        <v/>
      </c>
      <c r="W2359">
        <f>IF(AND(ISNUMBER('자료_거시'!$G2341),ISNUMBER('자료_거시'!$H2341)),'자료_거시'!$H2341,"")</f>
        <v/>
      </c>
      <c r="X2359">
        <f>IF(ISNUMBER(W2359),'자료_거시'!$G2341,"")</f>
        <v/>
      </c>
      <c r="Y2359">
        <f>IF(ISNUMBER(X2359),IF(X2359&gt;$L$7,W2359,""),"")</f>
        <v/>
      </c>
      <c r="Z2359">
        <f>IF(ISNUMBER('자료_거시'!$K2341),'자료_거시'!$K2341,Z2358)</f>
        <v/>
      </c>
      <c r="AA2359">
        <f>IF(AND(ISNUMBER('자료_거시'!$J2341),ISNUMBER('자료_거시'!$K2341)),IFERROR('자료_거시'!$K2341/INDEX($Z$21:$Z$4020,MATCH(EDATE('자료_거시'!$J2341,-'설정'!$B$17),'자료_거시'!$J$3:INDEX('자료_거시'!$J$3:$J$4002,$K$8),1))-1,""),"")</f>
        <v/>
      </c>
      <c r="AB2359">
        <f>IF(ISNUMBER(AA2359),'자료_거시'!$J2341,"")</f>
        <v/>
      </c>
      <c r="AC2359">
        <f>IF(ISNUMBER(AB2359),IF(AB2359&gt;$L$8,AA2359,""),"")</f>
        <v/>
      </c>
    </row>
    <row r="2360">
      <c r="S2360">
        <f>IF(ISNUMBER('자료_거시'!$E2342),'자료_거시'!$E2342,S2359)</f>
        <v/>
      </c>
      <c r="T2360">
        <f>IF(AND(ISNUMBER('자료_거시'!$D2342),ISNUMBER('자료_거시'!$E2342)),IFERROR('자료_거시'!$E2342-INDEX($S$21:$S$4020,MATCH(EDATE('자료_거시'!$D2342,-'설정'!$B$17),'자료_거시'!$D$3:INDEX('자료_거시'!$D$3:$D$4002,$K$6),1)),""),"")</f>
        <v/>
      </c>
      <c r="U2360">
        <f>IF(ISNUMBER(T2360),'자료_거시'!$D2342,"")</f>
        <v/>
      </c>
      <c r="V2360">
        <f>IF(ISNUMBER(U2360),IF(U2360&gt;$L$6,T2360,""),"")</f>
        <v/>
      </c>
      <c r="W2360">
        <f>IF(AND(ISNUMBER('자료_거시'!$G2342),ISNUMBER('자료_거시'!$H2342)),'자료_거시'!$H2342,"")</f>
        <v/>
      </c>
      <c r="X2360">
        <f>IF(ISNUMBER(W2360),'자료_거시'!$G2342,"")</f>
        <v/>
      </c>
      <c r="Y2360">
        <f>IF(ISNUMBER(X2360),IF(X2360&gt;$L$7,W2360,""),"")</f>
        <v/>
      </c>
      <c r="Z2360">
        <f>IF(ISNUMBER('자료_거시'!$K2342),'자료_거시'!$K2342,Z2359)</f>
        <v/>
      </c>
      <c r="AA2360">
        <f>IF(AND(ISNUMBER('자료_거시'!$J2342),ISNUMBER('자료_거시'!$K2342)),IFERROR('자료_거시'!$K2342/INDEX($Z$21:$Z$4020,MATCH(EDATE('자료_거시'!$J2342,-'설정'!$B$17),'자료_거시'!$J$3:INDEX('자료_거시'!$J$3:$J$4002,$K$8),1))-1,""),"")</f>
        <v/>
      </c>
      <c r="AB2360">
        <f>IF(ISNUMBER(AA2360),'자료_거시'!$J2342,"")</f>
        <v/>
      </c>
      <c r="AC2360">
        <f>IF(ISNUMBER(AB2360),IF(AB2360&gt;$L$8,AA2360,""),"")</f>
        <v/>
      </c>
    </row>
    <row r="2361">
      <c r="S2361">
        <f>IF(ISNUMBER('자료_거시'!$E2343),'자료_거시'!$E2343,S2360)</f>
        <v/>
      </c>
      <c r="T2361">
        <f>IF(AND(ISNUMBER('자료_거시'!$D2343),ISNUMBER('자료_거시'!$E2343)),IFERROR('자료_거시'!$E2343-INDEX($S$21:$S$4020,MATCH(EDATE('자료_거시'!$D2343,-'설정'!$B$17),'자료_거시'!$D$3:INDEX('자료_거시'!$D$3:$D$4002,$K$6),1)),""),"")</f>
        <v/>
      </c>
      <c r="U2361">
        <f>IF(ISNUMBER(T2361),'자료_거시'!$D2343,"")</f>
        <v/>
      </c>
      <c r="V2361">
        <f>IF(ISNUMBER(U2361),IF(U2361&gt;$L$6,T2361,""),"")</f>
        <v/>
      </c>
      <c r="W2361">
        <f>IF(AND(ISNUMBER('자료_거시'!$G2343),ISNUMBER('자료_거시'!$H2343)),'자료_거시'!$H2343,"")</f>
        <v/>
      </c>
      <c r="X2361">
        <f>IF(ISNUMBER(W2361),'자료_거시'!$G2343,"")</f>
        <v/>
      </c>
      <c r="Y2361">
        <f>IF(ISNUMBER(X2361),IF(X2361&gt;$L$7,W2361,""),"")</f>
        <v/>
      </c>
      <c r="Z2361">
        <f>IF(ISNUMBER('자료_거시'!$K2343),'자료_거시'!$K2343,Z2360)</f>
        <v/>
      </c>
      <c r="AA2361">
        <f>IF(AND(ISNUMBER('자료_거시'!$J2343),ISNUMBER('자료_거시'!$K2343)),IFERROR('자료_거시'!$K2343/INDEX($Z$21:$Z$4020,MATCH(EDATE('자료_거시'!$J2343,-'설정'!$B$17),'자료_거시'!$J$3:INDEX('자료_거시'!$J$3:$J$4002,$K$8),1))-1,""),"")</f>
        <v/>
      </c>
      <c r="AB2361">
        <f>IF(ISNUMBER(AA2361),'자료_거시'!$J2343,"")</f>
        <v/>
      </c>
      <c r="AC2361">
        <f>IF(ISNUMBER(AB2361),IF(AB2361&gt;$L$8,AA2361,""),"")</f>
        <v/>
      </c>
    </row>
    <row r="2362">
      <c r="S2362">
        <f>IF(ISNUMBER('자료_거시'!$E2344),'자료_거시'!$E2344,S2361)</f>
        <v/>
      </c>
      <c r="T2362">
        <f>IF(AND(ISNUMBER('자료_거시'!$D2344),ISNUMBER('자료_거시'!$E2344)),IFERROR('자료_거시'!$E2344-INDEX($S$21:$S$4020,MATCH(EDATE('자료_거시'!$D2344,-'설정'!$B$17),'자료_거시'!$D$3:INDEX('자료_거시'!$D$3:$D$4002,$K$6),1)),""),"")</f>
        <v/>
      </c>
      <c r="U2362">
        <f>IF(ISNUMBER(T2362),'자료_거시'!$D2344,"")</f>
        <v/>
      </c>
      <c r="V2362">
        <f>IF(ISNUMBER(U2362),IF(U2362&gt;$L$6,T2362,""),"")</f>
        <v/>
      </c>
      <c r="W2362">
        <f>IF(AND(ISNUMBER('자료_거시'!$G2344),ISNUMBER('자료_거시'!$H2344)),'자료_거시'!$H2344,"")</f>
        <v/>
      </c>
      <c r="X2362">
        <f>IF(ISNUMBER(W2362),'자료_거시'!$G2344,"")</f>
        <v/>
      </c>
      <c r="Y2362">
        <f>IF(ISNUMBER(X2362),IF(X2362&gt;$L$7,W2362,""),"")</f>
        <v/>
      </c>
      <c r="Z2362">
        <f>IF(ISNUMBER('자료_거시'!$K2344),'자료_거시'!$K2344,Z2361)</f>
        <v/>
      </c>
      <c r="AA2362">
        <f>IF(AND(ISNUMBER('자료_거시'!$J2344),ISNUMBER('자료_거시'!$K2344)),IFERROR('자료_거시'!$K2344/INDEX($Z$21:$Z$4020,MATCH(EDATE('자료_거시'!$J2344,-'설정'!$B$17),'자료_거시'!$J$3:INDEX('자료_거시'!$J$3:$J$4002,$K$8),1))-1,""),"")</f>
        <v/>
      </c>
      <c r="AB2362">
        <f>IF(ISNUMBER(AA2362),'자료_거시'!$J2344,"")</f>
        <v/>
      </c>
      <c r="AC2362">
        <f>IF(ISNUMBER(AB2362),IF(AB2362&gt;$L$8,AA2362,""),"")</f>
        <v/>
      </c>
    </row>
    <row r="2363">
      <c r="S2363">
        <f>IF(ISNUMBER('자료_거시'!$E2345),'자료_거시'!$E2345,S2362)</f>
        <v/>
      </c>
      <c r="T2363">
        <f>IF(AND(ISNUMBER('자료_거시'!$D2345),ISNUMBER('자료_거시'!$E2345)),IFERROR('자료_거시'!$E2345-INDEX($S$21:$S$4020,MATCH(EDATE('자료_거시'!$D2345,-'설정'!$B$17),'자료_거시'!$D$3:INDEX('자료_거시'!$D$3:$D$4002,$K$6),1)),""),"")</f>
        <v/>
      </c>
      <c r="U2363">
        <f>IF(ISNUMBER(T2363),'자료_거시'!$D2345,"")</f>
        <v/>
      </c>
      <c r="V2363">
        <f>IF(ISNUMBER(U2363),IF(U2363&gt;$L$6,T2363,""),"")</f>
        <v/>
      </c>
      <c r="W2363">
        <f>IF(AND(ISNUMBER('자료_거시'!$G2345),ISNUMBER('자료_거시'!$H2345)),'자료_거시'!$H2345,"")</f>
        <v/>
      </c>
      <c r="X2363">
        <f>IF(ISNUMBER(W2363),'자료_거시'!$G2345,"")</f>
        <v/>
      </c>
      <c r="Y2363">
        <f>IF(ISNUMBER(X2363),IF(X2363&gt;$L$7,W2363,""),"")</f>
        <v/>
      </c>
      <c r="Z2363">
        <f>IF(ISNUMBER('자료_거시'!$K2345),'자료_거시'!$K2345,Z2362)</f>
        <v/>
      </c>
      <c r="AA2363">
        <f>IF(AND(ISNUMBER('자료_거시'!$J2345),ISNUMBER('자료_거시'!$K2345)),IFERROR('자료_거시'!$K2345/INDEX($Z$21:$Z$4020,MATCH(EDATE('자료_거시'!$J2345,-'설정'!$B$17),'자료_거시'!$J$3:INDEX('자료_거시'!$J$3:$J$4002,$K$8),1))-1,""),"")</f>
        <v/>
      </c>
      <c r="AB2363">
        <f>IF(ISNUMBER(AA2363),'자료_거시'!$J2345,"")</f>
        <v/>
      </c>
      <c r="AC2363">
        <f>IF(ISNUMBER(AB2363),IF(AB2363&gt;$L$8,AA2363,""),"")</f>
        <v/>
      </c>
    </row>
    <row r="2364">
      <c r="S2364">
        <f>IF(ISNUMBER('자료_거시'!$E2346),'자료_거시'!$E2346,S2363)</f>
        <v/>
      </c>
      <c r="T2364">
        <f>IF(AND(ISNUMBER('자료_거시'!$D2346),ISNUMBER('자료_거시'!$E2346)),IFERROR('자료_거시'!$E2346-INDEX($S$21:$S$4020,MATCH(EDATE('자료_거시'!$D2346,-'설정'!$B$17),'자료_거시'!$D$3:INDEX('자료_거시'!$D$3:$D$4002,$K$6),1)),""),"")</f>
        <v/>
      </c>
      <c r="U2364">
        <f>IF(ISNUMBER(T2364),'자료_거시'!$D2346,"")</f>
        <v/>
      </c>
      <c r="V2364">
        <f>IF(ISNUMBER(U2364),IF(U2364&gt;$L$6,T2364,""),"")</f>
        <v/>
      </c>
      <c r="W2364">
        <f>IF(AND(ISNUMBER('자료_거시'!$G2346),ISNUMBER('자료_거시'!$H2346)),'자료_거시'!$H2346,"")</f>
        <v/>
      </c>
      <c r="X2364">
        <f>IF(ISNUMBER(W2364),'자료_거시'!$G2346,"")</f>
        <v/>
      </c>
      <c r="Y2364">
        <f>IF(ISNUMBER(X2364),IF(X2364&gt;$L$7,W2364,""),"")</f>
        <v/>
      </c>
      <c r="Z2364">
        <f>IF(ISNUMBER('자료_거시'!$K2346),'자료_거시'!$K2346,Z2363)</f>
        <v/>
      </c>
      <c r="AA2364">
        <f>IF(AND(ISNUMBER('자료_거시'!$J2346),ISNUMBER('자료_거시'!$K2346)),IFERROR('자료_거시'!$K2346/INDEX($Z$21:$Z$4020,MATCH(EDATE('자료_거시'!$J2346,-'설정'!$B$17),'자료_거시'!$J$3:INDEX('자료_거시'!$J$3:$J$4002,$K$8),1))-1,""),"")</f>
        <v/>
      </c>
      <c r="AB2364">
        <f>IF(ISNUMBER(AA2364),'자료_거시'!$J2346,"")</f>
        <v/>
      </c>
      <c r="AC2364">
        <f>IF(ISNUMBER(AB2364),IF(AB2364&gt;$L$8,AA2364,""),"")</f>
        <v/>
      </c>
    </row>
    <row r="2365">
      <c r="S2365">
        <f>IF(ISNUMBER('자료_거시'!$E2347),'자료_거시'!$E2347,S2364)</f>
        <v/>
      </c>
      <c r="T2365">
        <f>IF(AND(ISNUMBER('자료_거시'!$D2347),ISNUMBER('자료_거시'!$E2347)),IFERROR('자료_거시'!$E2347-INDEX($S$21:$S$4020,MATCH(EDATE('자료_거시'!$D2347,-'설정'!$B$17),'자료_거시'!$D$3:INDEX('자료_거시'!$D$3:$D$4002,$K$6),1)),""),"")</f>
        <v/>
      </c>
      <c r="U2365">
        <f>IF(ISNUMBER(T2365),'자료_거시'!$D2347,"")</f>
        <v/>
      </c>
      <c r="V2365">
        <f>IF(ISNUMBER(U2365),IF(U2365&gt;$L$6,T2365,""),"")</f>
        <v/>
      </c>
      <c r="W2365">
        <f>IF(AND(ISNUMBER('자료_거시'!$G2347),ISNUMBER('자료_거시'!$H2347)),'자료_거시'!$H2347,"")</f>
        <v/>
      </c>
      <c r="X2365">
        <f>IF(ISNUMBER(W2365),'자료_거시'!$G2347,"")</f>
        <v/>
      </c>
      <c r="Y2365">
        <f>IF(ISNUMBER(X2365),IF(X2365&gt;$L$7,W2365,""),"")</f>
        <v/>
      </c>
      <c r="Z2365">
        <f>IF(ISNUMBER('자료_거시'!$K2347),'자료_거시'!$K2347,Z2364)</f>
        <v/>
      </c>
      <c r="AA2365">
        <f>IF(AND(ISNUMBER('자료_거시'!$J2347),ISNUMBER('자료_거시'!$K2347)),IFERROR('자료_거시'!$K2347/INDEX($Z$21:$Z$4020,MATCH(EDATE('자료_거시'!$J2347,-'설정'!$B$17),'자료_거시'!$J$3:INDEX('자료_거시'!$J$3:$J$4002,$K$8),1))-1,""),"")</f>
        <v/>
      </c>
      <c r="AB2365">
        <f>IF(ISNUMBER(AA2365),'자료_거시'!$J2347,"")</f>
        <v/>
      </c>
      <c r="AC2365">
        <f>IF(ISNUMBER(AB2365),IF(AB2365&gt;$L$8,AA2365,""),"")</f>
        <v/>
      </c>
    </row>
    <row r="2366">
      <c r="S2366">
        <f>IF(ISNUMBER('자료_거시'!$E2348),'자료_거시'!$E2348,S2365)</f>
        <v/>
      </c>
      <c r="T2366">
        <f>IF(AND(ISNUMBER('자료_거시'!$D2348),ISNUMBER('자료_거시'!$E2348)),IFERROR('자료_거시'!$E2348-INDEX($S$21:$S$4020,MATCH(EDATE('자료_거시'!$D2348,-'설정'!$B$17),'자료_거시'!$D$3:INDEX('자료_거시'!$D$3:$D$4002,$K$6),1)),""),"")</f>
        <v/>
      </c>
      <c r="U2366">
        <f>IF(ISNUMBER(T2366),'자료_거시'!$D2348,"")</f>
        <v/>
      </c>
      <c r="V2366">
        <f>IF(ISNUMBER(U2366),IF(U2366&gt;$L$6,T2366,""),"")</f>
        <v/>
      </c>
      <c r="W2366">
        <f>IF(AND(ISNUMBER('자료_거시'!$G2348),ISNUMBER('자료_거시'!$H2348)),'자료_거시'!$H2348,"")</f>
        <v/>
      </c>
      <c r="X2366">
        <f>IF(ISNUMBER(W2366),'자료_거시'!$G2348,"")</f>
        <v/>
      </c>
      <c r="Y2366">
        <f>IF(ISNUMBER(X2366),IF(X2366&gt;$L$7,W2366,""),"")</f>
        <v/>
      </c>
      <c r="Z2366">
        <f>IF(ISNUMBER('자료_거시'!$K2348),'자료_거시'!$K2348,Z2365)</f>
        <v/>
      </c>
      <c r="AA2366">
        <f>IF(AND(ISNUMBER('자료_거시'!$J2348),ISNUMBER('자료_거시'!$K2348)),IFERROR('자료_거시'!$K2348/INDEX($Z$21:$Z$4020,MATCH(EDATE('자료_거시'!$J2348,-'설정'!$B$17),'자료_거시'!$J$3:INDEX('자료_거시'!$J$3:$J$4002,$K$8),1))-1,""),"")</f>
        <v/>
      </c>
      <c r="AB2366">
        <f>IF(ISNUMBER(AA2366),'자료_거시'!$J2348,"")</f>
        <v/>
      </c>
      <c r="AC2366">
        <f>IF(ISNUMBER(AB2366),IF(AB2366&gt;$L$8,AA2366,""),"")</f>
        <v/>
      </c>
    </row>
    <row r="2367">
      <c r="S2367">
        <f>IF(ISNUMBER('자료_거시'!$E2349),'자료_거시'!$E2349,S2366)</f>
        <v/>
      </c>
      <c r="T2367">
        <f>IF(AND(ISNUMBER('자료_거시'!$D2349),ISNUMBER('자료_거시'!$E2349)),IFERROR('자료_거시'!$E2349-INDEX($S$21:$S$4020,MATCH(EDATE('자료_거시'!$D2349,-'설정'!$B$17),'자료_거시'!$D$3:INDEX('자료_거시'!$D$3:$D$4002,$K$6),1)),""),"")</f>
        <v/>
      </c>
      <c r="U2367">
        <f>IF(ISNUMBER(T2367),'자료_거시'!$D2349,"")</f>
        <v/>
      </c>
      <c r="V2367">
        <f>IF(ISNUMBER(U2367),IF(U2367&gt;$L$6,T2367,""),"")</f>
        <v/>
      </c>
      <c r="W2367">
        <f>IF(AND(ISNUMBER('자료_거시'!$G2349),ISNUMBER('자료_거시'!$H2349)),'자료_거시'!$H2349,"")</f>
        <v/>
      </c>
      <c r="X2367">
        <f>IF(ISNUMBER(W2367),'자료_거시'!$G2349,"")</f>
        <v/>
      </c>
      <c r="Y2367">
        <f>IF(ISNUMBER(X2367),IF(X2367&gt;$L$7,W2367,""),"")</f>
        <v/>
      </c>
      <c r="Z2367">
        <f>IF(ISNUMBER('자료_거시'!$K2349),'자료_거시'!$K2349,Z2366)</f>
        <v/>
      </c>
      <c r="AA2367">
        <f>IF(AND(ISNUMBER('자료_거시'!$J2349),ISNUMBER('자료_거시'!$K2349)),IFERROR('자료_거시'!$K2349/INDEX($Z$21:$Z$4020,MATCH(EDATE('자료_거시'!$J2349,-'설정'!$B$17),'자료_거시'!$J$3:INDEX('자료_거시'!$J$3:$J$4002,$K$8),1))-1,""),"")</f>
        <v/>
      </c>
      <c r="AB2367">
        <f>IF(ISNUMBER(AA2367),'자료_거시'!$J2349,"")</f>
        <v/>
      </c>
      <c r="AC2367">
        <f>IF(ISNUMBER(AB2367),IF(AB2367&gt;$L$8,AA2367,""),"")</f>
        <v/>
      </c>
    </row>
    <row r="2368">
      <c r="S2368">
        <f>IF(ISNUMBER('자료_거시'!$E2350),'자료_거시'!$E2350,S2367)</f>
        <v/>
      </c>
      <c r="T2368">
        <f>IF(AND(ISNUMBER('자료_거시'!$D2350),ISNUMBER('자료_거시'!$E2350)),IFERROR('자료_거시'!$E2350-INDEX($S$21:$S$4020,MATCH(EDATE('자료_거시'!$D2350,-'설정'!$B$17),'자료_거시'!$D$3:INDEX('자료_거시'!$D$3:$D$4002,$K$6),1)),""),"")</f>
        <v/>
      </c>
      <c r="U2368">
        <f>IF(ISNUMBER(T2368),'자료_거시'!$D2350,"")</f>
        <v/>
      </c>
      <c r="V2368">
        <f>IF(ISNUMBER(U2368),IF(U2368&gt;$L$6,T2368,""),"")</f>
        <v/>
      </c>
      <c r="W2368">
        <f>IF(AND(ISNUMBER('자료_거시'!$G2350),ISNUMBER('자료_거시'!$H2350)),'자료_거시'!$H2350,"")</f>
        <v/>
      </c>
      <c r="X2368">
        <f>IF(ISNUMBER(W2368),'자료_거시'!$G2350,"")</f>
        <v/>
      </c>
      <c r="Y2368">
        <f>IF(ISNUMBER(X2368),IF(X2368&gt;$L$7,W2368,""),"")</f>
        <v/>
      </c>
      <c r="Z2368">
        <f>IF(ISNUMBER('자료_거시'!$K2350),'자료_거시'!$K2350,Z2367)</f>
        <v/>
      </c>
      <c r="AA2368">
        <f>IF(AND(ISNUMBER('자료_거시'!$J2350),ISNUMBER('자료_거시'!$K2350)),IFERROR('자료_거시'!$K2350/INDEX($Z$21:$Z$4020,MATCH(EDATE('자료_거시'!$J2350,-'설정'!$B$17),'자료_거시'!$J$3:INDEX('자료_거시'!$J$3:$J$4002,$K$8),1))-1,""),"")</f>
        <v/>
      </c>
      <c r="AB2368">
        <f>IF(ISNUMBER(AA2368),'자료_거시'!$J2350,"")</f>
        <v/>
      </c>
      <c r="AC2368">
        <f>IF(ISNUMBER(AB2368),IF(AB2368&gt;$L$8,AA2368,""),"")</f>
        <v/>
      </c>
    </row>
    <row r="2369">
      <c r="S2369">
        <f>IF(ISNUMBER('자료_거시'!$E2351),'자료_거시'!$E2351,S2368)</f>
        <v/>
      </c>
      <c r="T2369">
        <f>IF(AND(ISNUMBER('자료_거시'!$D2351),ISNUMBER('자료_거시'!$E2351)),IFERROR('자료_거시'!$E2351-INDEX($S$21:$S$4020,MATCH(EDATE('자료_거시'!$D2351,-'설정'!$B$17),'자료_거시'!$D$3:INDEX('자료_거시'!$D$3:$D$4002,$K$6),1)),""),"")</f>
        <v/>
      </c>
      <c r="U2369">
        <f>IF(ISNUMBER(T2369),'자료_거시'!$D2351,"")</f>
        <v/>
      </c>
      <c r="V2369">
        <f>IF(ISNUMBER(U2369),IF(U2369&gt;$L$6,T2369,""),"")</f>
        <v/>
      </c>
      <c r="W2369">
        <f>IF(AND(ISNUMBER('자료_거시'!$G2351),ISNUMBER('자료_거시'!$H2351)),'자료_거시'!$H2351,"")</f>
        <v/>
      </c>
      <c r="X2369">
        <f>IF(ISNUMBER(W2369),'자료_거시'!$G2351,"")</f>
        <v/>
      </c>
      <c r="Y2369">
        <f>IF(ISNUMBER(X2369),IF(X2369&gt;$L$7,W2369,""),"")</f>
        <v/>
      </c>
      <c r="Z2369">
        <f>IF(ISNUMBER('자료_거시'!$K2351),'자료_거시'!$K2351,Z2368)</f>
        <v/>
      </c>
      <c r="AA2369">
        <f>IF(AND(ISNUMBER('자료_거시'!$J2351),ISNUMBER('자료_거시'!$K2351)),IFERROR('자료_거시'!$K2351/INDEX($Z$21:$Z$4020,MATCH(EDATE('자료_거시'!$J2351,-'설정'!$B$17),'자료_거시'!$J$3:INDEX('자료_거시'!$J$3:$J$4002,$K$8),1))-1,""),"")</f>
        <v/>
      </c>
      <c r="AB2369">
        <f>IF(ISNUMBER(AA2369),'자료_거시'!$J2351,"")</f>
        <v/>
      </c>
      <c r="AC2369">
        <f>IF(ISNUMBER(AB2369),IF(AB2369&gt;$L$8,AA2369,""),"")</f>
        <v/>
      </c>
    </row>
    <row r="2370">
      <c r="S2370">
        <f>IF(ISNUMBER('자료_거시'!$E2352),'자료_거시'!$E2352,S2369)</f>
        <v/>
      </c>
      <c r="T2370">
        <f>IF(AND(ISNUMBER('자료_거시'!$D2352),ISNUMBER('자료_거시'!$E2352)),IFERROR('자료_거시'!$E2352-INDEX($S$21:$S$4020,MATCH(EDATE('자료_거시'!$D2352,-'설정'!$B$17),'자료_거시'!$D$3:INDEX('자료_거시'!$D$3:$D$4002,$K$6),1)),""),"")</f>
        <v/>
      </c>
      <c r="U2370">
        <f>IF(ISNUMBER(T2370),'자료_거시'!$D2352,"")</f>
        <v/>
      </c>
      <c r="V2370">
        <f>IF(ISNUMBER(U2370),IF(U2370&gt;$L$6,T2370,""),"")</f>
        <v/>
      </c>
      <c r="W2370">
        <f>IF(AND(ISNUMBER('자료_거시'!$G2352),ISNUMBER('자료_거시'!$H2352)),'자료_거시'!$H2352,"")</f>
        <v/>
      </c>
      <c r="X2370">
        <f>IF(ISNUMBER(W2370),'자료_거시'!$G2352,"")</f>
        <v/>
      </c>
      <c r="Y2370">
        <f>IF(ISNUMBER(X2370),IF(X2370&gt;$L$7,W2370,""),"")</f>
        <v/>
      </c>
      <c r="Z2370">
        <f>IF(ISNUMBER('자료_거시'!$K2352),'자료_거시'!$K2352,Z2369)</f>
        <v/>
      </c>
      <c r="AA2370">
        <f>IF(AND(ISNUMBER('자료_거시'!$J2352),ISNUMBER('자료_거시'!$K2352)),IFERROR('자료_거시'!$K2352/INDEX($Z$21:$Z$4020,MATCH(EDATE('자료_거시'!$J2352,-'설정'!$B$17),'자료_거시'!$J$3:INDEX('자료_거시'!$J$3:$J$4002,$K$8),1))-1,""),"")</f>
        <v/>
      </c>
      <c r="AB2370">
        <f>IF(ISNUMBER(AA2370),'자료_거시'!$J2352,"")</f>
        <v/>
      </c>
      <c r="AC2370">
        <f>IF(ISNUMBER(AB2370),IF(AB2370&gt;$L$8,AA2370,""),"")</f>
        <v/>
      </c>
    </row>
    <row r="2371">
      <c r="S2371">
        <f>IF(ISNUMBER('자료_거시'!$E2353),'자료_거시'!$E2353,S2370)</f>
        <v/>
      </c>
      <c r="T2371">
        <f>IF(AND(ISNUMBER('자료_거시'!$D2353),ISNUMBER('자료_거시'!$E2353)),IFERROR('자료_거시'!$E2353-INDEX($S$21:$S$4020,MATCH(EDATE('자료_거시'!$D2353,-'설정'!$B$17),'자료_거시'!$D$3:INDEX('자료_거시'!$D$3:$D$4002,$K$6),1)),""),"")</f>
        <v/>
      </c>
      <c r="U2371">
        <f>IF(ISNUMBER(T2371),'자료_거시'!$D2353,"")</f>
        <v/>
      </c>
      <c r="V2371">
        <f>IF(ISNUMBER(U2371),IF(U2371&gt;$L$6,T2371,""),"")</f>
        <v/>
      </c>
      <c r="W2371">
        <f>IF(AND(ISNUMBER('자료_거시'!$G2353),ISNUMBER('자료_거시'!$H2353)),'자료_거시'!$H2353,"")</f>
        <v/>
      </c>
      <c r="X2371">
        <f>IF(ISNUMBER(W2371),'자료_거시'!$G2353,"")</f>
        <v/>
      </c>
      <c r="Y2371">
        <f>IF(ISNUMBER(X2371),IF(X2371&gt;$L$7,W2371,""),"")</f>
        <v/>
      </c>
      <c r="Z2371">
        <f>IF(ISNUMBER('자료_거시'!$K2353),'자료_거시'!$K2353,Z2370)</f>
        <v/>
      </c>
      <c r="AA2371">
        <f>IF(AND(ISNUMBER('자료_거시'!$J2353),ISNUMBER('자료_거시'!$K2353)),IFERROR('자료_거시'!$K2353/INDEX($Z$21:$Z$4020,MATCH(EDATE('자료_거시'!$J2353,-'설정'!$B$17),'자료_거시'!$J$3:INDEX('자료_거시'!$J$3:$J$4002,$K$8),1))-1,""),"")</f>
        <v/>
      </c>
      <c r="AB2371">
        <f>IF(ISNUMBER(AA2371),'자료_거시'!$J2353,"")</f>
        <v/>
      </c>
      <c r="AC2371">
        <f>IF(ISNUMBER(AB2371),IF(AB2371&gt;$L$8,AA2371,""),"")</f>
        <v/>
      </c>
    </row>
    <row r="2372">
      <c r="S2372">
        <f>IF(ISNUMBER('자료_거시'!$E2354),'자료_거시'!$E2354,S2371)</f>
        <v/>
      </c>
      <c r="T2372">
        <f>IF(AND(ISNUMBER('자료_거시'!$D2354),ISNUMBER('자료_거시'!$E2354)),IFERROR('자료_거시'!$E2354-INDEX($S$21:$S$4020,MATCH(EDATE('자료_거시'!$D2354,-'설정'!$B$17),'자료_거시'!$D$3:INDEX('자료_거시'!$D$3:$D$4002,$K$6),1)),""),"")</f>
        <v/>
      </c>
      <c r="U2372">
        <f>IF(ISNUMBER(T2372),'자료_거시'!$D2354,"")</f>
        <v/>
      </c>
      <c r="V2372">
        <f>IF(ISNUMBER(U2372),IF(U2372&gt;$L$6,T2372,""),"")</f>
        <v/>
      </c>
      <c r="W2372">
        <f>IF(AND(ISNUMBER('자료_거시'!$G2354),ISNUMBER('자료_거시'!$H2354)),'자료_거시'!$H2354,"")</f>
        <v/>
      </c>
      <c r="X2372">
        <f>IF(ISNUMBER(W2372),'자료_거시'!$G2354,"")</f>
        <v/>
      </c>
      <c r="Y2372">
        <f>IF(ISNUMBER(X2372),IF(X2372&gt;$L$7,W2372,""),"")</f>
        <v/>
      </c>
      <c r="Z2372">
        <f>IF(ISNUMBER('자료_거시'!$K2354),'자료_거시'!$K2354,Z2371)</f>
        <v/>
      </c>
      <c r="AA2372">
        <f>IF(AND(ISNUMBER('자료_거시'!$J2354),ISNUMBER('자료_거시'!$K2354)),IFERROR('자료_거시'!$K2354/INDEX($Z$21:$Z$4020,MATCH(EDATE('자료_거시'!$J2354,-'설정'!$B$17),'자료_거시'!$J$3:INDEX('자료_거시'!$J$3:$J$4002,$K$8),1))-1,""),"")</f>
        <v/>
      </c>
      <c r="AB2372">
        <f>IF(ISNUMBER(AA2372),'자료_거시'!$J2354,"")</f>
        <v/>
      </c>
      <c r="AC2372">
        <f>IF(ISNUMBER(AB2372),IF(AB2372&gt;$L$8,AA2372,""),"")</f>
        <v/>
      </c>
    </row>
    <row r="2373">
      <c r="S2373">
        <f>IF(ISNUMBER('자료_거시'!$E2355),'자료_거시'!$E2355,S2372)</f>
        <v/>
      </c>
      <c r="T2373">
        <f>IF(AND(ISNUMBER('자료_거시'!$D2355),ISNUMBER('자료_거시'!$E2355)),IFERROR('자료_거시'!$E2355-INDEX($S$21:$S$4020,MATCH(EDATE('자료_거시'!$D2355,-'설정'!$B$17),'자료_거시'!$D$3:INDEX('자료_거시'!$D$3:$D$4002,$K$6),1)),""),"")</f>
        <v/>
      </c>
      <c r="U2373">
        <f>IF(ISNUMBER(T2373),'자료_거시'!$D2355,"")</f>
        <v/>
      </c>
      <c r="V2373">
        <f>IF(ISNUMBER(U2373),IF(U2373&gt;$L$6,T2373,""),"")</f>
        <v/>
      </c>
      <c r="W2373">
        <f>IF(AND(ISNUMBER('자료_거시'!$G2355),ISNUMBER('자료_거시'!$H2355)),'자료_거시'!$H2355,"")</f>
        <v/>
      </c>
      <c r="X2373">
        <f>IF(ISNUMBER(W2373),'자료_거시'!$G2355,"")</f>
        <v/>
      </c>
      <c r="Y2373">
        <f>IF(ISNUMBER(X2373),IF(X2373&gt;$L$7,W2373,""),"")</f>
        <v/>
      </c>
      <c r="Z2373">
        <f>IF(ISNUMBER('자료_거시'!$K2355),'자료_거시'!$K2355,Z2372)</f>
        <v/>
      </c>
      <c r="AA2373">
        <f>IF(AND(ISNUMBER('자료_거시'!$J2355),ISNUMBER('자료_거시'!$K2355)),IFERROR('자료_거시'!$K2355/INDEX($Z$21:$Z$4020,MATCH(EDATE('자료_거시'!$J2355,-'설정'!$B$17),'자료_거시'!$J$3:INDEX('자료_거시'!$J$3:$J$4002,$K$8),1))-1,""),"")</f>
        <v/>
      </c>
      <c r="AB2373">
        <f>IF(ISNUMBER(AA2373),'자료_거시'!$J2355,"")</f>
        <v/>
      </c>
      <c r="AC2373">
        <f>IF(ISNUMBER(AB2373),IF(AB2373&gt;$L$8,AA2373,""),"")</f>
        <v/>
      </c>
    </row>
    <row r="2374">
      <c r="S2374">
        <f>IF(ISNUMBER('자료_거시'!$E2356),'자료_거시'!$E2356,S2373)</f>
        <v/>
      </c>
      <c r="T2374">
        <f>IF(AND(ISNUMBER('자료_거시'!$D2356),ISNUMBER('자료_거시'!$E2356)),IFERROR('자료_거시'!$E2356-INDEX($S$21:$S$4020,MATCH(EDATE('자료_거시'!$D2356,-'설정'!$B$17),'자료_거시'!$D$3:INDEX('자료_거시'!$D$3:$D$4002,$K$6),1)),""),"")</f>
        <v/>
      </c>
      <c r="U2374">
        <f>IF(ISNUMBER(T2374),'자료_거시'!$D2356,"")</f>
        <v/>
      </c>
      <c r="V2374">
        <f>IF(ISNUMBER(U2374),IF(U2374&gt;$L$6,T2374,""),"")</f>
        <v/>
      </c>
      <c r="W2374">
        <f>IF(AND(ISNUMBER('자료_거시'!$G2356),ISNUMBER('자료_거시'!$H2356)),'자료_거시'!$H2356,"")</f>
        <v/>
      </c>
      <c r="X2374">
        <f>IF(ISNUMBER(W2374),'자료_거시'!$G2356,"")</f>
        <v/>
      </c>
      <c r="Y2374">
        <f>IF(ISNUMBER(X2374),IF(X2374&gt;$L$7,W2374,""),"")</f>
        <v/>
      </c>
      <c r="Z2374">
        <f>IF(ISNUMBER('자료_거시'!$K2356),'자료_거시'!$K2356,Z2373)</f>
        <v/>
      </c>
      <c r="AA2374">
        <f>IF(AND(ISNUMBER('자료_거시'!$J2356),ISNUMBER('자료_거시'!$K2356)),IFERROR('자료_거시'!$K2356/INDEX($Z$21:$Z$4020,MATCH(EDATE('자료_거시'!$J2356,-'설정'!$B$17),'자료_거시'!$J$3:INDEX('자료_거시'!$J$3:$J$4002,$K$8),1))-1,""),"")</f>
        <v/>
      </c>
      <c r="AB2374">
        <f>IF(ISNUMBER(AA2374),'자료_거시'!$J2356,"")</f>
        <v/>
      </c>
      <c r="AC2374">
        <f>IF(ISNUMBER(AB2374),IF(AB2374&gt;$L$8,AA2374,""),"")</f>
        <v/>
      </c>
    </row>
    <row r="2375">
      <c r="S2375">
        <f>IF(ISNUMBER('자료_거시'!$E2357),'자료_거시'!$E2357,S2374)</f>
        <v/>
      </c>
      <c r="T2375">
        <f>IF(AND(ISNUMBER('자료_거시'!$D2357),ISNUMBER('자료_거시'!$E2357)),IFERROR('자료_거시'!$E2357-INDEX($S$21:$S$4020,MATCH(EDATE('자료_거시'!$D2357,-'설정'!$B$17),'자료_거시'!$D$3:INDEX('자료_거시'!$D$3:$D$4002,$K$6),1)),""),"")</f>
        <v/>
      </c>
      <c r="U2375">
        <f>IF(ISNUMBER(T2375),'자료_거시'!$D2357,"")</f>
        <v/>
      </c>
      <c r="V2375">
        <f>IF(ISNUMBER(U2375),IF(U2375&gt;$L$6,T2375,""),"")</f>
        <v/>
      </c>
      <c r="W2375">
        <f>IF(AND(ISNUMBER('자료_거시'!$G2357),ISNUMBER('자료_거시'!$H2357)),'자료_거시'!$H2357,"")</f>
        <v/>
      </c>
      <c r="X2375">
        <f>IF(ISNUMBER(W2375),'자료_거시'!$G2357,"")</f>
        <v/>
      </c>
      <c r="Y2375">
        <f>IF(ISNUMBER(X2375),IF(X2375&gt;$L$7,W2375,""),"")</f>
        <v/>
      </c>
      <c r="Z2375">
        <f>IF(ISNUMBER('자료_거시'!$K2357),'자료_거시'!$K2357,Z2374)</f>
        <v/>
      </c>
      <c r="AA2375">
        <f>IF(AND(ISNUMBER('자료_거시'!$J2357),ISNUMBER('자료_거시'!$K2357)),IFERROR('자료_거시'!$K2357/INDEX($Z$21:$Z$4020,MATCH(EDATE('자료_거시'!$J2357,-'설정'!$B$17),'자료_거시'!$J$3:INDEX('자료_거시'!$J$3:$J$4002,$K$8),1))-1,""),"")</f>
        <v/>
      </c>
      <c r="AB2375">
        <f>IF(ISNUMBER(AA2375),'자료_거시'!$J2357,"")</f>
        <v/>
      </c>
      <c r="AC2375">
        <f>IF(ISNUMBER(AB2375),IF(AB2375&gt;$L$8,AA2375,""),"")</f>
        <v/>
      </c>
    </row>
    <row r="2376">
      <c r="S2376">
        <f>IF(ISNUMBER('자료_거시'!$E2358),'자료_거시'!$E2358,S2375)</f>
        <v/>
      </c>
      <c r="T2376">
        <f>IF(AND(ISNUMBER('자료_거시'!$D2358),ISNUMBER('자료_거시'!$E2358)),IFERROR('자료_거시'!$E2358-INDEX($S$21:$S$4020,MATCH(EDATE('자료_거시'!$D2358,-'설정'!$B$17),'자료_거시'!$D$3:INDEX('자료_거시'!$D$3:$D$4002,$K$6),1)),""),"")</f>
        <v/>
      </c>
      <c r="U2376">
        <f>IF(ISNUMBER(T2376),'자료_거시'!$D2358,"")</f>
        <v/>
      </c>
      <c r="V2376">
        <f>IF(ISNUMBER(U2376),IF(U2376&gt;$L$6,T2376,""),"")</f>
        <v/>
      </c>
      <c r="W2376">
        <f>IF(AND(ISNUMBER('자료_거시'!$G2358),ISNUMBER('자료_거시'!$H2358)),'자료_거시'!$H2358,"")</f>
        <v/>
      </c>
      <c r="X2376">
        <f>IF(ISNUMBER(W2376),'자료_거시'!$G2358,"")</f>
        <v/>
      </c>
      <c r="Y2376">
        <f>IF(ISNUMBER(X2376),IF(X2376&gt;$L$7,W2376,""),"")</f>
        <v/>
      </c>
      <c r="Z2376">
        <f>IF(ISNUMBER('자료_거시'!$K2358),'자료_거시'!$K2358,Z2375)</f>
        <v/>
      </c>
      <c r="AA2376">
        <f>IF(AND(ISNUMBER('자료_거시'!$J2358),ISNUMBER('자료_거시'!$K2358)),IFERROR('자료_거시'!$K2358/INDEX($Z$21:$Z$4020,MATCH(EDATE('자료_거시'!$J2358,-'설정'!$B$17),'자료_거시'!$J$3:INDEX('자료_거시'!$J$3:$J$4002,$K$8),1))-1,""),"")</f>
        <v/>
      </c>
      <c r="AB2376">
        <f>IF(ISNUMBER(AA2376),'자료_거시'!$J2358,"")</f>
        <v/>
      </c>
      <c r="AC2376">
        <f>IF(ISNUMBER(AB2376),IF(AB2376&gt;$L$8,AA2376,""),"")</f>
        <v/>
      </c>
    </row>
    <row r="2377">
      <c r="S2377">
        <f>IF(ISNUMBER('자료_거시'!$E2359),'자료_거시'!$E2359,S2376)</f>
        <v/>
      </c>
      <c r="T2377">
        <f>IF(AND(ISNUMBER('자료_거시'!$D2359),ISNUMBER('자료_거시'!$E2359)),IFERROR('자료_거시'!$E2359-INDEX($S$21:$S$4020,MATCH(EDATE('자료_거시'!$D2359,-'설정'!$B$17),'자료_거시'!$D$3:INDEX('자료_거시'!$D$3:$D$4002,$K$6),1)),""),"")</f>
        <v/>
      </c>
      <c r="U2377">
        <f>IF(ISNUMBER(T2377),'자료_거시'!$D2359,"")</f>
        <v/>
      </c>
      <c r="V2377">
        <f>IF(ISNUMBER(U2377),IF(U2377&gt;$L$6,T2377,""),"")</f>
        <v/>
      </c>
      <c r="W2377">
        <f>IF(AND(ISNUMBER('자료_거시'!$G2359),ISNUMBER('자료_거시'!$H2359)),'자료_거시'!$H2359,"")</f>
        <v/>
      </c>
      <c r="X2377">
        <f>IF(ISNUMBER(W2377),'자료_거시'!$G2359,"")</f>
        <v/>
      </c>
      <c r="Y2377">
        <f>IF(ISNUMBER(X2377),IF(X2377&gt;$L$7,W2377,""),"")</f>
        <v/>
      </c>
      <c r="Z2377">
        <f>IF(ISNUMBER('자료_거시'!$K2359),'자료_거시'!$K2359,Z2376)</f>
        <v/>
      </c>
      <c r="AA2377">
        <f>IF(AND(ISNUMBER('자료_거시'!$J2359),ISNUMBER('자료_거시'!$K2359)),IFERROR('자료_거시'!$K2359/INDEX($Z$21:$Z$4020,MATCH(EDATE('자료_거시'!$J2359,-'설정'!$B$17),'자료_거시'!$J$3:INDEX('자료_거시'!$J$3:$J$4002,$K$8),1))-1,""),"")</f>
        <v/>
      </c>
      <c r="AB2377">
        <f>IF(ISNUMBER(AA2377),'자료_거시'!$J2359,"")</f>
        <v/>
      </c>
      <c r="AC2377">
        <f>IF(ISNUMBER(AB2377),IF(AB2377&gt;$L$8,AA2377,""),"")</f>
        <v/>
      </c>
    </row>
    <row r="2378">
      <c r="S2378">
        <f>IF(ISNUMBER('자료_거시'!$E2360),'자료_거시'!$E2360,S2377)</f>
        <v/>
      </c>
      <c r="T2378">
        <f>IF(AND(ISNUMBER('자료_거시'!$D2360),ISNUMBER('자료_거시'!$E2360)),IFERROR('자료_거시'!$E2360-INDEX($S$21:$S$4020,MATCH(EDATE('자료_거시'!$D2360,-'설정'!$B$17),'자료_거시'!$D$3:INDEX('자료_거시'!$D$3:$D$4002,$K$6),1)),""),"")</f>
        <v/>
      </c>
      <c r="U2378">
        <f>IF(ISNUMBER(T2378),'자료_거시'!$D2360,"")</f>
        <v/>
      </c>
      <c r="V2378">
        <f>IF(ISNUMBER(U2378),IF(U2378&gt;$L$6,T2378,""),"")</f>
        <v/>
      </c>
      <c r="W2378">
        <f>IF(AND(ISNUMBER('자료_거시'!$G2360),ISNUMBER('자료_거시'!$H2360)),'자료_거시'!$H2360,"")</f>
        <v/>
      </c>
      <c r="X2378">
        <f>IF(ISNUMBER(W2378),'자료_거시'!$G2360,"")</f>
        <v/>
      </c>
      <c r="Y2378">
        <f>IF(ISNUMBER(X2378),IF(X2378&gt;$L$7,W2378,""),"")</f>
        <v/>
      </c>
      <c r="Z2378">
        <f>IF(ISNUMBER('자료_거시'!$K2360),'자료_거시'!$K2360,Z2377)</f>
        <v/>
      </c>
      <c r="AA2378">
        <f>IF(AND(ISNUMBER('자료_거시'!$J2360),ISNUMBER('자료_거시'!$K2360)),IFERROR('자료_거시'!$K2360/INDEX($Z$21:$Z$4020,MATCH(EDATE('자료_거시'!$J2360,-'설정'!$B$17),'자료_거시'!$J$3:INDEX('자료_거시'!$J$3:$J$4002,$K$8),1))-1,""),"")</f>
        <v/>
      </c>
      <c r="AB2378">
        <f>IF(ISNUMBER(AA2378),'자료_거시'!$J2360,"")</f>
        <v/>
      </c>
      <c r="AC2378">
        <f>IF(ISNUMBER(AB2378),IF(AB2378&gt;$L$8,AA2378,""),"")</f>
        <v/>
      </c>
    </row>
    <row r="2379">
      <c r="S2379">
        <f>IF(ISNUMBER('자료_거시'!$E2361),'자료_거시'!$E2361,S2378)</f>
        <v/>
      </c>
      <c r="T2379">
        <f>IF(AND(ISNUMBER('자료_거시'!$D2361),ISNUMBER('자료_거시'!$E2361)),IFERROR('자료_거시'!$E2361-INDEX($S$21:$S$4020,MATCH(EDATE('자료_거시'!$D2361,-'설정'!$B$17),'자료_거시'!$D$3:INDEX('자료_거시'!$D$3:$D$4002,$K$6),1)),""),"")</f>
        <v/>
      </c>
      <c r="U2379">
        <f>IF(ISNUMBER(T2379),'자료_거시'!$D2361,"")</f>
        <v/>
      </c>
      <c r="V2379">
        <f>IF(ISNUMBER(U2379),IF(U2379&gt;$L$6,T2379,""),"")</f>
        <v/>
      </c>
      <c r="W2379">
        <f>IF(AND(ISNUMBER('자료_거시'!$G2361),ISNUMBER('자료_거시'!$H2361)),'자료_거시'!$H2361,"")</f>
        <v/>
      </c>
      <c r="X2379">
        <f>IF(ISNUMBER(W2379),'자료_거시'!$G2361,"")</f>
        <v/>
      </c>
      <c r="Y2379">
        <f>IF(ISNUMBER(X2379),IF(X2379&gt;$L$7,W2379,""),"")</f>
        <v/>
      </c>
      <c r="Z2379">
        <f>IF(ISNUMBER('자료_거시'!$K2361),'자료_거시'!$K2361,Z2378)</f>
        <v/>
      </c>
      <c r="AA2379">
        <f>IF(AND(ISNUMBER('자료_거시'!$J2361),ISNUMBER('자료_거시'!$K2361)),IFERROR('자료_거시'!$K2361/INDEX($Z$21:$Z$4020,MATCH(EDATE('자료_거시'!$J2361,-'설정'!$B$17),'자료_거시'!$J$3:INDEX('자료_거시'!$J$3:$J$4002,$K$8),1))-1,""),"")</f>
        <v/>
      </c>
      <c r="AB2379">
        <f>IF(ISNUMBER(AA2379),'자료_거시'!$J2361,"")</f>
        <v/>
      </c>
      <c r="AC2379">
        <f>IF(ISNUMBER(AB2379),IF(AB2379&gt;$L$8,AA2379,""),"")</f>
        <v/>
      </c>
    </row>
    <row r="2380">
      <c r="S2380">
        <f>IF(ISNUMBER('자료_거시'!$E2362),'자료_거시'!$E2362,S2379)</f>
        <v/>
      </c>
      <c r="T2380">
        <f>IF(AND(ISNUMBER('자료_거시'!$D2362),ISNUMBER('자료_거시'!$E2362)),IFERROR('자료_거시'!$E2362-INDEX($S$21:$S$4020,MATCH(EDATE('자료_거시'!$D2362,-'설정'!$B$17),'자료_거시'!$D$3:INDEX('자료_거시'!$D$3:$D$4002,$K$6),1)),""),"")</f>
        <v/>
      </c>
      <c r="U2380">
        <f>IF(ISNUMBER(T2380),'자료_거시'!$D2362,"")</f>
        <v/>
      </c>
      <c r="V2380">
        <f>IF(ISNUMBER(U2380),IF(U2380&gt;$L$6,T2380,""),"")</f>
        <v/>
      </c>
      <c r="W2380">
        <f>IF(AND(ISNUMBER('자료_거시'!$G2362),ISNUMBER('자료_거시'!$H2362)),'자료_거시'!$H2362,"")</f>
        <v/>
      </c>
      <c r="X2380">
        <f>IF(ISNUMBER(W2380),'자료_거시'!$G2362,"")</f>
        <v/>
      </c>
      <c r="Y2380">
        <f>IF(ISNUMBER(X2380),IF(X2380&gt;$L$7,W2380,""),"")</f>
        <v/>
      </c>
      <c r="Z2380">
        <f>IF(ISNUMBER('자료_거시'!$K2362),'자료_거시'!$K2362,Z2379)</f>
        <v/>
      </c>
      <c r="AA2380">
        <f>IF(AND(ISNUMBER('자료_거시'!$J2362),ISNUMBER('자료_거시'!$K2362)),IFERROR('자료_거시'!$K2362/INDEX($Z$21:$Z$4020,MATCH(EDATE('자료_거시'!$J2362,-'설정'!$B$17),'자료_거시'!$J$3:INDEX('자료_거시'!$J$3:$J$4002,$K$8),1))-1,""),"")</f>
        <v/>
      </c>
      <c r="AB2380">
        <f>IF(ISNUMBER(AA2380),'자료_거시'!$J2362,"")</f>
        <v/>
      </c>
      <c r="AC2380">
        <f>IF(ISNUMBER(AB2380),IF(AB2380&gt;$L$8,AA2380,""),"")</f>
        <v/>
      </c>
    </row>
    <row r="2381">
      <c r="S2381">
        <f>IF(ISNUMBER('자료_거시'!$E2363),'자료_거시'!$E2363,S2380)</f>
        <v/>
      </c>
      <c r="T2381">
        <f>IF(AND(ISNUMBER('자료_거시'!$D2363),ISNUMBER('자료_거시'!$E2363)),IFERROR('자료_거시'!$E2363-INDEX($S$21:$S$4020,MATCH(EDATE('자료_거시'!$D2363,-'설정'!$B$17),'자료_거시'!$D$3:INDEX('자료_거시'!$D$3:$D$4002,$K$6),1)),""),"")</f>
        <v/>
      </c>
      <c r="U2381">
        <f>IF(ISNUMBER(T2381),'자료_거시'!$D2363,"")</f>
        <v/>
      </c>
      <c r="V2381">
        <f>IF(ISNUMBER(U2381),IF(U2381&gt;$L$6,T2381,""),"")</f>
        <v/>
      </c>
      <c r="W2381">
        <f>IF(AND(ISNUMBER('자료_거시'!$G2363),ISNUMBER('자료_거시'!$H2363)),'자료_거시'!$H2363,"")</f>
        <v/>
      </c>
      <c r="X2381">
        <f>IF(ISNUMBER(W2381),'자료_거시'!$G2363,"")</f>
        <v/>
      </c>
      <c r="Y2381">
        <f>IF(ISNUMBER(X2381),IF(X2381&gt;$L$7,W2381,""),"")</f>
        <v/>
      </c>
      <c r="Z2381">
        <f>IF(ISNUMBER('자료_거시'!$K2363),'자료_거시'!$K2363,Z2380)</f>
        <v/>
      </c>
      <c r="AA2381">
        <f>IF(AND(ISNUMBER('자료_거시'!$J2363),ISNUMBER('자료_거시'!$K2363)),IFERROR('자료_거시'!$K2363/INDEX($Z$21:$Z$4020,MATCH(EDATE('자료_거시'!$J2363,-'설정'!$B$17),'자료_거시'!$J$3:INDEX('자료_거시'!$J$3:$J$4002,$K$8),1))-1,""),"")</f>
        <v/>
      </c>
      <c r="AB2381">
        <f>IF(ISNUMBER(AA2381),'자료_거시'!$J2363,"")</f>
        <v/>
      </c>
      <c r="AC2381">
        <f>IF(ISNUMBER(AB2381),IF(AB2381&gt;$L$8,AA2381,""),"")</f>
        <v/>
      </c>
    </row>
    <row r="2382">
      <c r="S2382">
        <f>IF(ISNUMBER('자료_거시'!$E2364),'자료_거시'!$E2364,S2381)</f>
        <v/>
      </c>
      <c r="T2382">
        <f>IF(AND(ISNUMBER('자료_거시'!$D2364),ISNUMBER('자료_거시'!$E2364)),IFERROR('자료_거시'!$E2364-INDEX($S$21:$S$4020,MATCH(EDATE('자료_거시'!$D2364,-'설정'!$B$17),'자료_거시'!$D$3:INDEX('자료_거시'!$D$3:$D$4002,$K$6),1)),""),"")</f>
        <v/>
      </c>
      <c r="U2382">
        <f>IF(ISNUMBER(T2382),'자료_거시'!$D2364,"")</f>
        <v/>
      </c>
      <c r="V2382">
        <f>IF(ISNUMBER(U2382),IF(U2382&gt;$L$6,T2382,""),"")</f>
        <v/>
      </c>
      <c r="W2382">
        <f>IF(AND(ISNUMBER('자료_거시'!$G2364),ISNUMBER('자료_거시'!$H2364)),'자료_거시'!$H2364,"")</f>
        <v/>
      </c>
      <c r="X2382">
        <f>IF(ISNUMBER(W2382),'자료_거시'!$G2364,"")</f>
        <v/>
      </c>
      <c r="Y2382">
        <f>IF(ISNUMBER(X2382),IF(X2382&gt;$L$7,W2382,""),"")</f>
        <v/>
      </c>
      <c r="Z2382">
        <f>IF(ISNUMBER('자료_거시'!$K2364),'자료_거시'!$K2364,Z2381)</f>
        <v/>
      </c>
      <c r="AA2382">
        <f>IF(AND(ISNUMBER('자료_거시'!$J2364),ISNUMBER('자료_거시'!$K2364)),IFERROR('자료_거시'!$K2364/INDEX($Z$21:$Z$4020,MATCH(EDATE('자료_거시'!$J2364,-'설정'!$B$17),'자료_거시'!$J$3:INDEX('자료_거시'!$J$3:$J$4002,$K$8),1))-1,""),"")</f>
        <v/>
      </c>
      <c r="AB2382">
        <f>IF(ISNUMBER(AA2382),'자료_거시'!$J2364,"")</f>
        <v/>
      </c>
      <c r="AC2382">
        <f>IF(ISNUMBER(AB2382),IF(AB2382&gt;$L$8,AA2382,""),"")</f>
        <v/>
      </c>
    </row>
    <row r="2383">
      <c r="S2383">
        <f>IF(ISNUMBER('자료_거시'!$E2365),'자료_거시'!$E2365,S2382)</f>
        <v/>
      </c>
      <c r="T2383">
        <f>IF(AND(ISNUMBER('자료_거시'!$D2365),ISNUMBER('자료_거시'!$E2365)),IFERROR('자료_거시'!$E2365-INDEX($S$21:$S$4020,MATCH(EDATE('자료_거시'!$D2365,-'설정'!$B$17),'자료_거시'!$D$3:INDEX('자료_거시'!$D$3:$D$4002,$K$6),1)),""),"")</f>
        <v/>
      </c>
      <c r="U2383">
        <f>IF(ISNUMBER(T2383),'자료_거시'!$D2365,"")</f>
        <v/>
      </c>
      <c r="V2383">
        <f>IF(ISNUMBER(U2383),IF(U2383&gt;$L$6,T2383,""),"")</f>
        <v/>
      </c>
      <c r="W2383">
        <f>IF(AND(ISNUMBER('자료_거시'!$G2365),ISNUMBER('자료_거시'!$H2365)),'자료_거시'!$H2365,"")</f>
        <v/>
      </c>
      <c r="X2383">
        <f>IF(ISNUMBER(W2383),'자료_거시'!$G2365,"")</f>
        <v/>
      </c>
      <c r="Y2383">
        <f>IF(ISNUMBER(X2383),IF(X2383&gt;$L$7,W2383,""),"")</f>
        <v/>
      </c>
      <c r="Z2383">
        <f>IF(ISNUMBER('자료_거시'!$K2365),'자료_거시'!$K2365,Z2382)</f>
        <v/>
      </c>
      <c r="AA2383">
        <f>IF(AND(ISNUMBER('자료_거시'!$J2365),ISNUMBER('자료_거시'!$K2365)),IFERROR('자료_거시'!$K2365/INDEX($Z$21:$Z$4020,MATCH(EDATE('자료_거시'!$J2365,-'설정'!$B$17),'자료_거시'!$J$3:INDEX('자료_거시'!$J$3:$J$4002,$K$8),1))-1,""),"")</f>
        <v/>
      </c>
      <c r="AB2383">
        <f>IF(ISNUMBER(AA2383),'자료_거시'!$J2365,"")</f>
        <v/>
      </c>
      <c r="AC2383">
        <f>IF(ISNUMBER(AB2383),IF(AB2383&gt;$L$8,AA2383,""),"")</f>
        <v/>
      </c>
    </row>
    <row r="2384">
      <c r="S2384">
        <f>IF(ISNUMBER('자료_거시'!$E2366),'자료_거시'!$E2366,S2383)</f>
        <v/>
      </c>
      <c r="T2384">
        <f>IF(AND(ISNUMBER('자료_거시'!$D2366),ISNUMBER('자료_거시'!$E2366)),IFERROR('자료_거시'!$E2366-INDEX($S$21:$S$4020,MATCH(EDATE('자료_거시'!$D2366,-'설정'!$B$17),'자료_거시'!$D$3:INDEX('자료_거시'!$D$3:$D$4002,$K$6),1)),""),"")</f>
        <v/>
      </c>
      <c r="U2384">
        <f>IF(ISNUMBER(T2384),'자료_거시'!$D2366,"")</f>
        <v/>
      </c>
      <c r="V2384">
        <f>IF(ISNUMBER(U2384),IF(U2384&gt;$L$6,T2384,""),"")</f>
        <v/>
      </c>
      <c r="W2384">
        <f>IF(AND(ISNUMBER('자료_거시'!$G2366),ISNUMBER('자료_거시'!$H2366)),'자료_거시'!$H2366,"")</f>
        <v/>
      </c>
      <c r="X2384">
        <f>IF(ISNUMBER(W2384),'자료_거시'!$G2366,"")</f>
        <v/>
      </c>
      <c r="Y2384">
        <f>IF(ISNUMBER(X2384),IF(X2384&gt;$L$7,W2384,""),"")</f>
        <v/>
      </c>
      <c r="Z2384">
        <f>IF(ISNUMBER('자료_거시'!$K2366),'자료_거시'!$K2366,Z2383)</f>
        <v/>
      </c>
      <c r="AA2384">
        <f>IF(AND(ISNUMBER('자료_거시'!$J2366),ISNUMBER('자료_거시'!$K2366)),IFERROR('자료_거시'!$K2366/INDEX($Z$21:$Z$4020,MATCH(EDATE('자료_거시'!$J2366,-'설정'!$B$17),'자료_거시'!$J$3:INDEX('자료_거시'!$J$3:$J$4002,$K$8),1))-1,""),"")</f>
        <v/>
      </c>
      <c r="AB2384">
        <f>IF(ISNUMBER(AA2384),'자료_거시'!$J2366,"")</f>
        <v/>
      </c>
      <c r="AC2384">
        <f>IF(ISNUMBER(AB2384),IF(AB2384&gt;$L$8,AA2384,""),"")</f>
        <v/>
      </c>
    </row>
    <row r="2385">
      <c r="S2385">
        <f>IF(ISNUMBER('자료_거시'!$E2367),'자료_거시'!$E2367,S2384)</f>
        <v/>
      </c>
      <c r="T2385">
        <f>IF(AND(ISNUMBER('자료_거시'!$D2367),ISNUMBER('자료_거시'!$E2367)),IFERROR('자료_거시'!$E2367-INDEX($S$21:$S$4020,MATCH(EDATE('자료_거시'!$D2367,-'설정'!$B$17),'자료_거시'!$D$3:INDEX('자료_거시'!$D$3:$D$4002,$K$6),1)),""),"")</f>
        <v/>
      </c>
      <c r="U2385">
        <f>IF(ISNUMBER(T2385),'자료_거시'!$D2367,"")</f>
        <v/>
      </c>
      <c r="V2385">
        <f>IF(ISNUMBER(U2385),IF(U2385&gt;$L$6,T2385,""),"")</f>
        <v/>
      </c>
      <c r="W2385">
        <f>IF(AND(ISNUMBER('자료_거시'!$G2367),ISNUMBER('자료_거시'!$H2367)),'자료_거시'!$H2367,"")</f>
        <v/>
      </c>
      <c r="X2385">
        <f>IF(ISNUMBER(W2385),'자료_거시'!$G2367,"")</f>
        <v/>
      </c>
      <c r="Y2385">
        <f>IF(ISNUMBER(X2385),IF(X2385&gt;$L$7,W2385,""),"")</f>
        <v/>
      </c>
      <c r="Z2385">
        <f>IF(ISNUMBER('자료_거시'!$K2367),'자료_거시'!$K2367,Z2384)</f>
        <v/>
      </c>
      <c r="AA2385">
        <f>IF(AND(ISNUMBER('자료_거시'!$J2367),ISNUMBER('자료_거시'!$K2367)),IFERROR('자료_거시'!$K2367/INDEX($Z$21:$Z$4020,MATCH(EDATE('자료_거시'!$J2367,-'설정'!$B$17),'자료_거시'!$J$3:INDEX('자료_거시'!$J$3:$J$4002,$K$8),1))-1,""),"")</f>
        <v/>
      </c>
      <c r="AB2385">
        <f>IF(ISNUMBER(AA2385),'자료_거시'!$J2367,"")</f>
        <v/>
      </c>
      <c r="AC2385">
        <f>IF(ISNUMBER(AB2385),IF(AB2385&gt;$L$8,AA2385,""),"")</f>
        <v/>
      </c>
    </row>
    <row r="2386">
      <c r="S2386">
        <f>IF(ISNUMBER('자료_거시'!$E2368),'자료_거시'!$E2368,S2385)</f>
        <v/>
      </c>
      <c r="T2386">
        <f>IF(AND(ISNUMBER('자료_거시'!$D2368),ISNUMBER('자료_거시'!$E2368)),IFERROR('자료_거시'!$E2368-INDEX($S$21:$S$4020,MATCH(EDATE('자료_거시'!$D2368,-'설정'!$B$17),'자료_거시'!$D$3:INDEX('자료_거시'!$D$3:$D$4002,$K$6),1)),""),"")</f>
        <v/>
      </c>
      <c r="U2386">
        <f>IF(ISNUMBER(T2386),'자료_거시'!$D2368,"")</f>
        <v/>
      </c>
      <c r="V2386">
        <f>IF(ISNUMBER(U2386),IF(U2386&gt;$L$6,T2386,""),"")</f>
        <v/>
      </c>
      <c r="W2386">
        <f>IF(AND(ISNUMBER('자료_거시'!$G2368),ISNUMBER('자료_거시'!$H2368)),'자료_거시'!$H2368,"")</f>
        <v/>
      </c>
      <c r="X2386">
        <f>IF(ISNUMBER(W2386),'자료_거시'!$G2368,"")</f>
        <v/>
      </c>
      <c r="Y2386">
        <f>IF(ISNUMBER(X2386),IF(X2386&gt;$L$7,W2386,""),"")</f>
        <v/>
      </c>
      <c r="Z2386">
        <f>IF(ISNUMBER('자료_거시'!$K2368),'자료_거시'!$K2368,Z2385)</f>
        <v/>
      </c>
      <c r="AA2386">
        <f>IF(AND(ISNUMBER('자료_거시'!$J2368),ISNUMBER('자료_거시'!$K2368)),IFERROR('자료_거시'!$K2368/INDEX($Z$21:$Z$4020,MATCH(EDATE('자료_거시'!$J2368,-'설정'!$B$17),'자료_거시'!$J$3:INDEX('자료_거시'!$J$3:$J$4002,$K$8),1))-1,""),"")</f>
        <v/>
      </c>
      <c r="AB2386">
        <f>IF(ISNUMBER(AA2386),'자료_거시'!$J2368,"")</f>
        <v/>
      </c>
      <c r="AC2386">
        <f>IF(ISNUMBER(AB2386),IF(AB2386&gt;$L$8,AA2386,""),"")</f>
        <v/>
      </c>
    </row>
    <row r="2387">
      <c r="S2387">
        <f>IF(ISNUMBER('자료_거시'!$E2369),'자료_거시'!$E2369,S2386)</f>
        <v/>
      </c>
      <c r="T2387">
        <f>IF(AND(ISNUMBER('자료_거시'!$D2369),ISNUMBER('자료_거시'!$E2369)),IFERROR('자료_거시'!$E2369-INDEX($S$21:$S$4020,MATCH(EDATE('자료_거시'!$D2369,-'설정'!$B$17),'자료_거시'!$D$3:INDEX('자료_거시'!$D$3:$D$4002,$K$6),1)),""),"")</f>
        <v/>
      </c>
      <c r="U2387">
        <f>IF(ISNUMBER(T2387),'자료_거시'!$D2369,"")</f>
        <v/>
      </c>
      <c r="V2387">
        <f>IF(ISNUMBER(U2387),IF(U2387&gt;$L$6,T2387,""),"")</f>
        <v/>
      </c>
      <c r="W2387">
        <f>IF(AND(ISNUMBER('자료_거시'!$G2369),ISNUMBER('자료_거시'!$H2369)),'자료_거시'!$H2369,"")</f>
        <v/>
      </c>
      <c r="X2387">
        <f>IF(ISNUMBER(W2387),'자료_거시'!$G2369,"")</f>
        <v/>
      </c>
      <c r="Y2387">
        <f>IF(ISNUMBER(X2387),IF(X2387&gt;$L$7,W2387,""),"")</f>
        <v/>
      </c>
      <c r="Z2387">
        <f>IF(ISNUMBER('자료_거시'!$K2369),'자료_거시'!$K2369,Z2386)</f>
        <v/>
      </c>
      <c r="AA2387">
        <f>IF(AND(ISNUMBER('자료_거시'!$J2369),ISNUMBER('자료_거시'!$K2369)),IFERROR('자료_거시'!$K2369/INDEX($Z$21:$Z$4020,MATCH(EDATE('자료_거시'!$J2369,-'설정'!$B$17),'자료_거시'!$J$3:INDEX('자료_거시'!$J$3:$J$4002,$K$8),1))-1,""),"")</f>
        <v/>
      </c>
      <c r="AB2387">
        <f>IF(ISNUMBER(AA2387),'자료_거시'!$J2369,"")</f>
        <v/>
      </c>
      <c r="AC2387">
        <f>IF(ISNUMBER(AB2387),IF(AB2387&gt;$L$8,AA2387,""),"")</f>
        <v/>
      </c>
    </row>
    <row r="2388">
      <c r="S2388">
        <f>IF(ISNUMBER('자료_거시'!$E2370),'자료_거시'!$E2370,S2387)</f>
        <v/>
      </c>
      <c r="T2388">
        <f>IF(AND(ISNUMBER('자료_거시'!$D2370),ISNUMBER('자료_거시'!$E2370)),IFERROR('자료_거시'!$E2370-INDEX($S$21:$S$4020,MATCH(EDATE('자료_거시'!$D2370,-'설정'!$B$17),'자료_거시'!$D$3:INDEX('자료_거시'!$D$3:$D$4002,$K$6),1)),""),"")</f>
        <v/>
      </c>
      <c r="U2388">
        <f>IF(ISNUMBER(T2388),'자료_거시'!$D2370,"")</f>
        <v/>
      </c>
      <c r="V2388">
        <f>IF(ISNUMBER(U2388),IF(U2388&gt;$L$6,T2388,""),"")</f>
        <v/>
      </c>
      <c r="W2388">
        <f>IF(AND(ISNUMBER('자료_거시'!$G2370),ISNUMBER('자료_거시'!$H2370)),'자료_거시'!$H2370,"")</f>
        <v/>
      </c>
      <c r="X2388">
        <f>IF(ISNUMBER(W2388),'자료_거시'!$G2370,"")</f>
        <v/>
      </c>
      <c r="Y2388">
        <f>IF(ISNUMBER(X2388),IF(X2388&gt;$L$7,W2388,""),"")</f>
        <v/>
      </c>
      <c r="Z2388">
        <f>IF(ISNUMBER('자료_거시'!$K2370),'자료_거시'!$K2370,Z2387)</f>
        <v/>
      </c>
      <c r="AA2388">
        <f>IF(AND(ISNUMBER('자료_거시'!$J2370),ISNUMBER('자료_거시'!$K2370)),IFERROR('자료_거시'!$K2370/INDEX($Z$21:$Z$4020,MATCH(EDATE('자료_거시'!$J2370,-'설정'!$B$17),'자료_거시'!$J$3:INDEX('자료_거시'!$J$3:$J$4002,$K$8),1))-1,""),"")</f>
        <v/>
      </c>
      <c r="AB2388">
        <f>IF(ISNUMBER(AA2388),'자료_거시'!$J2370,"")</f>
        <v/>
      </c>
      <c r="AC2388">
        <f>IF(ISNUMBER(AB2388),IF(AB2388&gt;$L$8,AA2388,""),"")</f>
        <v/>
      </c>
    </row>
    <row r="2389">
      <c r="S2389">
        <f>IF(ISNUMBER('자료_거시'!$E2371),'자료_거시'!$E2371,S2388)</f>
        <v/>
      </c>
      <c r="T2389">
        <f>IF(AND(ISNUMBER('자료_거시'!$D2371),ISNUMBER('자료_거시'!$E2371)),IFERROR('자료_거시'!$E2371-INDEX($S$21:$S$4020,MATCH(EDATE('자료_거시'!$D2371,-'설정'!$B$17),'자료_거시'!$D$3:INDEX('자료_거시'!$D$3:$D$4002,$K$6),1)),""),"")</f>
        <v/>
      </c>
      <c r="U2389">
        <f>IF(ISNUMBER(T2389),'자료_거시'!$D2371,"")</f>
        <v/>
      </c>
      <c r="V2389">
        <f>IF(ISNUMBER(U2389),IF(U2389&gt;$L$6,T2389,""),"")</f>
        <v/>
      </c>
      <c r="W2389">
        <f>IF(AND(ISNUMBER('자료_거시'!$G2371),ISNUMBER('자료_거시'!$H2371)),'자료_거시'!$H2371,"")</f>
        <v/>
      </c>
      <c r="X2389">
        <f>IF(ISNUMBER(W2389),'자료_거시'!$G2371,"")</f>
        <v/>
      </c>
      <c r="Y2389">
        <f>IF(ISNUMBER(X2389),IF(X2389&gt;$L$7,W2389,""),"")</f>
        <v/>
      </c>
      <c r="Z2389">
        <f>IF(ISNUMBER('자료_거시'!$K2371),'자료_거시'!$K2371,Z2388)</f>
        <v/>
      </c>
      <c r="AA2389">
        <f>IF(AND(ISNUMBER('자료_거시'!$J2371),ISNUMBER('자료_거시'!$K2371)),IFERROR('자료_거시'!$K2371/INDEX($Z$21:$Z$4020,MATCH(EDATE('자료_거시'!$J2371,-'설정'!$B$17),'자료_거시'!$J$3:INDEX('자료_거시'!$J$3:$J$4002,$K$8),1))-1,""),"")</f>
        <v/>
      </c>
      <c r="AB2389">
        <f>IF(ISNUMBER(AA2389),'자료_거시'!$J2371,"")</f>
        <v/>
      </c>
      <c r="AC2389">
        <f>IF(ISNUMBER(AB2389),IF(AB2389&gt;$L$8,AA2389,""),"")</f>
        <v/>
      </c>
    </row>
    <row r="2390">
      <c r="S2390">
        <f>IF(ISNUMBER('자료_거시'!$E2372),'자료_거시'!$E2372,S2389)</f>
        <v/>
      </c>
      <c r="T2390">
        <f>IF(AND(ISNUMBER('자료_거시'!$D2372),ISNUMBER('자료_거시'!$E2372)),IFERROR('자료_거시'!$E2372-INDEX($S$21:$S$4020,MATCH(EDATE('자료_거시'!$D2372,-'설정'!$B$17),'자료_거시'!$D$3:INDEX('자료_거시'!$D$3:$D$4002,$K$6),1)),""),"")</f>
        <v/>
      </c>
      <c r="U2390">
        <f>IF(ISNUMBER(T2390),'자료_거시'!$D2372,"")</f>
        <v/>
      </c>
      <c r="V2390">
        <f>IF(ISNUMBER(U2390),IF(U2390&gt;$L$6,T2390,""),"")</f>
        <v/>
      </c>
      <c r="W2390">
        <f>IF(AND(ISNUMBER('자료_거시'!$G2372),ISNUMBER('자료_거시'!$H2372)),'자료_거시'!$H2372,"")</f>
        <v/>
      </c>
      <c r="X2390">
        <f>IF(ISNUMBER(W2390),'자료_거시'!$G2372,"")</f>
        <v/>
      </c>
      <c r="Y2390">
        <f>IF(ISNUMBER(X2390),IF(X2390&gt;$L$7,W2390,""),"")</f>
        <v/>
      </c>
      <c r="Z2390">
        <f>IF(ISNUMBER('자료_거시'!$K2372),'자료_거시'!$K2372,Z2389)</f>
        <v/>
      </c>
      <c r="AA2390">
        <f>IF(AND(ISNUMBER('자료_거시'!$J2372),ISNUMBER('자료_거시'!$K2372)),IFERROR('자료_거시'!$K2372/INDEX($Z$21:$Z$4020,MATCH(EDATE('자료_거시'!$J2372,-'설정'!$B$17),'자료_거시'!$J$3:INDEX('자료_거시'!$J$3:$J$4002,$K$8),1))-1,""),"")</f>
        <v/>
      </c>
      <c r="AB2390">
        <f>IF(ISNUMBER(AA2390),'자료_거시'!$J2372,"")</f>
        <v/>
      </c>
      <c r="AC2390">
        <f>IF(ISNUMBER(AB2390),IF(AB2390&gt;$L$8,AA2390,""),"")</f>
        <v/>
      </c>
    </row>
    <row r="2391">
      <c r="S2391">
        <f>IF(ISNUMBER('자료_거시'!$E2373),'자료_거시'!$E2373,S2390)</f>
        <v/>
      </c>
      <c r="T2391">
        <f>IF(AND(ISNUMBER('자료_거시'!$D2373),ISNUMBER('자료_거시'!$E2373)),IFERROR('자료_거시'!$E2373-INDEX($S$21:$S$4020,MATCH(EDATE('자료_거시'!$D2373,-'설정'!$B$17),'자료_거시'!$D$3:INDEX('자료_거시'!$D$3:$D$4002,$K$6),1)),""),"")</f>
        <v/>
      </c>
      <c r="U2391">
        <f>IF(ISNUMBER(T2391),'자료_거시'!$D2373,"")</f>
        <v/>
      </c>
      <c r="V2391">
        <f>IF(ISNUMBER(U2391),IF(U2391&gt;$L$6,T2391,""),"")</f>
        <v/>
      </c>
      <c r="W2391">
        <f>IF(AND(ISNUMBER('자료_거시'!$G2373),ISNUMBER('자료_거시'!$H2373)),'자료_거시'!$H2373,"")</f>
        <v/>
      </c>
      <c r="X2391">
        <f>IF(ISNUMBER(W2391),'자료_거시'!$G2373,"")</f>
        <v/>
      </c>
      <c r="Y2391">
        <f>IF(ISNUMBER(X2391),IF(X2391&gt;$L$7,W2391,""),"")</f>
        <v/>
      </c>
      <c r="Z2391">
        <f>IF(ISNUMBER('자료_거시'!$K2373),'자료_거시'!$K2373,Z2390)</f>
        <v/>
      </c>
      <c r="AA2391">
        <f>IF(AND(ISNUMBER('자료_거시'!$J2373),ISNUMBER('자료_거시'!$K2373)),IFERROR('자료_거시'!$K2373/INDEX($Z$21:$Z$4020,MATCH(EDATE('자료_거시'!$J2373,-'설정'!$B$17),'자료_거시'!$J$3:INDEX('자료_거시'!$J$3:$J$4002,$K$8),1))-1,""),"")</f>
        <v/>
      </c>
      <c r="AB2391">
        <f>IF(ISNUMBER(AA2391),'자료_거시'!$J2373,"")</f>
        <v/>
      </c>
      <c r="AC2391">
        <f>IF(ISNUMBER(AB2391),IF(AB2391&gt;$L$8,AA2391,""),"")</f>
        <v/>
      </c>
    </row>
    <row r="2392">
      <c r="S2392">
        <f>IF(ISNUMBER('자료_거시'!$E2374),'자료_거시'!$E2374,S2391)</f>
        <v/>
      </c>
      <c r="T2392">
        <f>IF(AND(ISNUMBER('자료_거시'!$D2374),ISNUMBER('자료_거시'!$E2374)),IFERROR('자료_거시'!$E2374-INDEX($S$21:$S$4020,MATCH(EDATE('자료_거시'!$D2374,-'설정'!$B$17),'자료_거시'!$D$3:INDEX('자료_거시'!$D$3:$D$4002,$K$6),1)),""),"")</f>
        <v/>
      </c>
      <c r="U2392">
        <f>IF(ISNUMBER(T2392),'자료_거시'!$D2374,"")</f>
        <v/>
      </c>
      <c r="V2392">
        <f>IF(ISNUMBER(U2392),IF(U2392&gt;$L$6,T2392,""),"")</f>
        <v/>
      </c>
      <c r="W2392">
        <f>IF(AND(ISNUMBER('자료_거시'!$G2374),ISNUMBER('자료_거시'!$H2374)),'자료_거시'!$H2374,"")</f>
        <v/>
      </c>
      <c r="X2392">
        <f>IF(ISNUMBER(W2392),'자료_거시'!$G2374,"")</f>
        <v/>
      </c>
      <c r="Y2392">
        <f>IF(ISNUMBER(X2392),IF(X2392&gt;$L$7,W2392,""),"")</f>
        <v/>
      </c>
      <c r="Z2392">
        <f>IF(ISNUMBER('자료_거시'!$K2374),'자료_거시'!$K2374,Z2391)</f>
        <v/>
      </c>
      <c r="AA2392">
        <f>IF(AND(ISNUMBER('자료_거시'!$J2374),ISNUMBER('자료_거시'!$K2374)),IFERROR('자료_거시'!$K2374/INDEX($Z$21:$Z$4020,MATCH(EDATE('자료_거시'!$J2374,-'설정'!$B$17),'자료_거시'!$J$3:INDEX('자료_거시'!$J$3:$J$4002,$K$8),1))-1,""),"")</f>
        <v/>
      </c>
      <c r="AB2392">
        <f>IF(ISNUMBER(AA2392),'자료_거시'!$J2374,"")</f>
        <v/>
      </c>
      <c r="AC2392">
        <f>IF(ISNUMBER(AB2392),IF(AB2392&gt;$L$8,AA2392,""),"")</f>
        <v/>
      </c>
    </row>
    <row r="2393">
      <c r="S2393">
        <f>IF(ISNUMBER('자료_거시'!$E2375),'자료_거시'!$E2375,S2392)</f>
        <v/>
      </c>
      <c r="T2393">
        <f>IF(AND(ISNUMBER('자료_거시'!$D2375),ISNUMBER('자료_거시'!$E2375)),IFERROR('자료_거시'!$E2375-INDEX($S$21:$S$4020,MATCH(EDATE('자료_거시'!$D2375,-'설정'!$B$17),'자료_거시'!$D$3:INDEX('자료_거시'!$D$3:$D$4002,$K$6),1)),""),"")</f>
        <v/>
      </c>
      <c r="U2393">
        <f>IF(ISNUMBER(T2393),'자료_거시'!$D2375,"")</f>
        <v/>
      </c>
      <c r="V2393">
        <f>IF(ISNUMBER(U2393),IF(U2393&gt;$L$6,T2393,""),"")</f>
        <v/>
      </c>
      <c r="W2393">
        <f>IF(AND(ISNUMBER('자료_거시'!$G2375),ISNUMBER('자료_거시'!$H2375)),'자료_거시'!$H2375,"")</f>
        <v/>
      </c>
      <c r="X2393">
        <f>IF(ISNUMBER(W2393),'자료_거시'!$G2375,"")</f>
        <v/>
      </c>
      <c r="Y2393">
        <f>IF(ISNUMBER(X2393),IF(X2393&gt;$L$7,W2393,""),"")</f>
        <v/>
      </c>
      <c r="Z2393">
        <f>IF(ISNUMBER('자료_거시'!$K2375),'자료_거시'!$K2375,Z2392)</f>
        <v/>
      </c>
      <c r="AA2393">
        <f>IF(AND(ISNUMBER('자료_거시'!$J2375),ISNUMBER('자료_거시'!$K2375)),IFERROR('자료_거시'!$K2375/INDEX($Z$21:$Z$4020,MATCH(EDATE('자료_거시'!$J2375,-'설정'!$B$17),'자료_거시'!$J$3:INDEX('자료_거시'!$J$3:$J$4002,$K$8),1))-1,""),"")</f>
        <v/>
      </c>
      <c r="AB2393">
        <f>IF(ISNUMBER(AA2393),'자료_거시'!$J2375,"")</f>
        <v/>
      </c>
      <c r="AC2393">
        <f>IF(ISNUMBER(AB2393),IF(AB2393&gt;$L$8,AA2393,""),"")</f>
        <v/>
      </c>
    </row>
    <row r="2394">
      <c r="S2394">
        <f>IF(ISNUMBER('자료_거시'!$E2376),'자료_거시'!$E2376,S2393)</f>
        <v/>
      </c>
      <c r="T2394">
        <f>IF(AND(ISNUMBER('자료_거시'!$D2376),ISNUMBER('자료_거시'!$E2376)),IFERROR('자료_거시'!$E2376-INDEX($S$21:$S$4020,MATCH(EDATE('자료_거시'!$D2376,-'설정'!$B$17),'자료_거시'!$D$3:INDEX('자료_거시'!$D$3:$D$4002,$K$6),1)),""),"")</f>
        <v/>
      </c>
      <c r="U2394">
        <f>IF(ISNUMBER(T2394),'자료_거시'!$D2376,"")</f>
        <v/>
      </c>
      <c r="V2394">
        <f>IF(ISNUMBER(U2394),IF(U2394&gt;$L$6,T2394,""),"")</f>
        <v/>
      </c>
      <c r="W2394">
        <f>IF(AND(ISNUMBER('자료_거시'!$G2376),ISNUMBER('자료_거시'!$H2376)),'자료_거시'!$H2376,"")</f>
        <v/>
      </c>
      <c r="X2394">
        <f>IF(ISNUMBER(W2394),'자료_거시'!$G2376,"")</f>
        <v/>
      </c>
      <c r="Y2394">
        <f>IF(ISNUMBER(X2394),IF(X2394&gt;$L$7,W2394,""),"")</f>
        <v/>
      </c>
      <c r="Z2394">
        <f>IF(ISNUMBER('자료_거시'!$K2376),'자료_거시'!$K2376,Z2393)</f>
        <v/>
      </c>
      <c r="AA2394">
        <f>IF(AND(ISNUMBER('자료_거시'!$J2376),ISNUMBER('자료_거시'!$K2376)),IFERROR('자료_거시'!$K2376/INDEX($Z$21:$Z$4020,MATCH(EDATE('자료_거시'!$J2376,-'설정'!$B$17),'자료_거시'!$J$3:INDEX('자료_거시'!$J$3:$J$4002,$K$8),1))-1,""),"")</f>
        <v/>
      </c>
      <c r="AB2394">
        <f>IF(ISNUMBER(AA2394),'자료_거시'!$J2376,"")</f>
        <v/>
      </c>
      <c r="AC2394">
        <f>IF(ISNUMBER(AB2394),IF(AB2394&gt;$L$8,AA2394,""),"")</f>
        <v/>
      </c>
    </row>
    <row r="2395">
      <c r="S2395">
        <f>IF(ISNUMBER('자료_거시'!$E2377),'자료_거시'!$E2377,S2394)</f>
        <v/>
      </c>
      <c r="T2395">
        <f>IF(AND(ISNUMBER('자료_거시'!$D2377),ISNUMBER('자료_거시'!$E2377)),IFERROR('자료_거시'!$E2377-INDEX($S$21:$S$4020,MATCH(EDATE('자료_거시'!$D2377,-'설정'!$B$17),'자료_거시'!$D$3:INDEX('자료_거시'!$D$3:$D$4002,$K$6),1)),""),"")</f>
        <v/>
      </c>
      <c r="U2395">
        <f>IF(ISNUMBER(T2395),'자료_거시'!$D2377,"")</f>
        <v/>
      </c>
      <c r="V2395">
        <f>IF(ISNUMBER(U2395),IF(U2395&gt;$L$6,T2395,""),"")</f>
        <v/>
      </c>
      <c r="W2395">
        <f>IF(AND(ISNUMBER('자료_거시'!$G2377),ISNUMBER('자료_거시'!$H2377)),'자료_거시'!$H2377,"")</f>
        <v/>
      </c>
      <c r="X2395">
        <f>IF(ISNUMBER(W2395),'자료_거시'!$G2377,"")</f>
        <v/>
      </c>
      <c r="Y2395">
        <f>IF(ISNUMBER(X2395),IF(X2395&gt;$L$7,W2395,""),"")</f>
        <v/>
      </c>
      <c r="Z2395">
        <f>IF(ISNUMBER('자료_거시'!$K2377),'자료_거시'!$K2377,Z2394)</f>
        <v/>
      </c>
      <c r="AA2395">
        <f>IF(AND(ISNUMBER('자료_거시'!$J2377),ISNUMBER('자료_거시'!$K2377)),IFERROR('자료_거시'!$K2377/INDEX($Z$21:$Z$4020,MATCH(EDATE('자료_거시'!$J2377,-'설정'!$B$17),'자료_거시'!$J$3:INDEX('자료_거시'!$J$3:$J$4002,$K$8),1))-1,""),"")</f>
        <v/>
      </c>
      <c r="AB2395">
        <f>IF(ISNUMBER(AA2395),'자료_거시'!$J2377,"")</f>
        <v/>
      </c>
      <c r="AC2395">
        <f>IF(ISNUMBER(AB2395),IF(AB2395&gt;$L$8,AA2395,""),"")</f>
        <v/>
      </c>
    </row>
    <row r="2396">
      <c r="S2396">
        <f>IF(ISNUMBER('자료_거시'!$E2378),'자료_거시'!$E2378,S2395)</f>
        <v/>
      </c>
      <c r="T2396">
        <f>IF(AND(ISNUMBER('자료_거시'!$D2378),ISNUMBER('자료_거시'!$E2378)),IFERROR('자료_거시'!$E2378-INDEX($S$21:$S$4020,MATCH(EDATE('자료_거시'!$D2378,-'설정'!$B$17),'자료_거시'!$D$3:INDEX('자료_거시'!$D$3:$D$4002,$K$6),1)),""),"")</f>
        <v/>
      </c>
      <c r="U2396">
        <f>IF(ISNUMBER(T2396),'자료_거시'!$D2378,"")</f>
        <v/>
      </c>
      <c r="V2396">
        <f>IF(ISNUMBER(U2396),IF(U2396&gt;$L$6,T2396,""),"")</f>
        <v/>
      </c>
      <c r="W2396">
        <f>IF(AND(ISNUMBER('자료_거시'!$G2378),ISNUMBER('자료_거시'!$H2378)),'자료_거시'!$H2378,"")</f>
        <v/>
      </c>
      <c r="X2396">
        <f>IF(ISNUMBER(W2396),'자료_거시'!$G2378,"")</f>
        <v/>
      </c>
      <c r="Y2396">
        <f>IF(ISNUMBER(X2396),IF(X2396&gt;$L$7,W2396,""),"")</f>
        <v/>
      </c>
      <c r="Z2396">
        <f>IF(ISNUMBER('자료_거시'!$K2378),'자료_거시'!$K2378,Z2395)</f>
        <v/>
      </c>
      <c r="AA2396">
        <f>IF(AND(ISNUMBER('자료_거시'!$J2378),ISNUMBER('자료_거시'!$K2378)),IFERROR('자료_거시'!$K2378/INDEX($Z$21:$Z$4020,MATCH(EDATE('자료_거시'!$J2378,-'설정'!$B$17),'자료_거시'!$J$3:INDEX('자료_거시'!$J$3:$J$4002,$K$8),1))-1,""),"")</f>
        <v/>
      </c>
      <c r="AB2396">
        <f>IF(ISNUMBER(AA2396),'자료_거시'!$J2378,"")</f>
        <v/>
      </c>
      <c r="AC2396">
        <f>IF(ISNUMBER(AB2396),IF(AB2396&gt;$L$8,AA2396,""),"")</f>
        <v/>
      </c>
    </row>
    <row r="2397">
      <c r="S2397">
        <f>IF(ISNUMBER('자료_거시'!$E2379),'자료_거시'!$E2379,S2396)</f>
        <v/>
      </c>
      <c r="T2397">
        <f>IF(AND(ISNUMBER('자료_거시'!$D2379),ISNUMBER('자료_거시'!$E2379)),IFERROR('자료_거시'!$E2379-INDEX($S$21:$S$4020,MATCH(EDATE('자료_거시'!$D2379,-'설정'!$B$17),'자료_거시'!$D$3:INDEX('자료_거시'!$D$3:$D$4002,$K$6),1)),""),"")</f>
        <v/>
      </c>
      <c r="U2397">
        <f>IF(ISNUMBER(T2397),'자료_거시'!$D2379,"")</f>
        <v/>
      </c>
      <c r="V2397">
        <f>IF(ISNUMBER(U2397),IF(U2397&gt;$L$6,T2397,""),"")</f>
        <v/>
      </c>
      <c r="W2397">
        <f>IF(AND(ISNUMBER('자료_거시'!$G2379),ISNUMBER('자료_거시'!$H2379)),'자료_거시'!$H2379,"")</f>
        <v/>
      </c>
      <c r="X2397">
        <f>IF(ISNUMBER(W2397),'자료_거시'!$G2379,"")</f>
        <v/>
      </c>
      <c r="Y2397">
        <f>IF(ISNUMBER(X2397),IF(X2397&gt;$L$7,W2397,""),"")</f>
        <v/>
      </c>
      <c r="Z2397">
        <f>IF(ISNUMBER('자료_거시'!$K2379),'자료_거시'!$K2379,Z2396)</f>
        <v/>
      </c>
      <c r="AA2397">
        <f>IF(AND(ISNUMBER('자료_거시'!$J2379),ISNUMBER('자료_거시'!$K2379)),IFERROR('자료_거시'!$K2379/INDEX($Z$21:$Z$4020,MATCH(EDATE('자료_거시'!$J2379,-'설정'!$B$17),'자료_거시'!$J$3:INDEX('자료_거시'!$J$3:$J$4002,$K$8),1))-1,""),"")</f>
        <v/>
      </c>
      <c r="AB2397">
        <f>IF(ISNUMBER(AA2397),'자료_거시'!$J2379,"")</f>
        <v/>
      </c>
      <c r="AC2397">
        <f>IF(ISNUMBER(AB2397),IF(AB2397&gt;$L$8,AA2397,""),"")</f>
        <v/>
      </c>
    </row>
    <row r="2398">
      <c r="S2398">
        <f>IF(ISNUMBER('자료_거시'!$E2380),'자료_거시'!$E2380,S2397)</f>
        <v/>
      </c>
      <c r="T2398">
        <f>IF(AND(ISNUMBER('자료_거시'!$D2380),ISNUMBER('자료_거시'!$E2380)),IFERROR('자료_거시'!$E2380-INDEX($S$21:$S$4020,MATCH(EDATE('자료_거시'!$D2380,-'설정'!$B$17),'자료_거시'!$D$3:INDEX('자료_거시'!$D$3:$D$4002,$K$6),1)),""),"")</f>
        <v/>
      </c>
      <c r="U2398">
        <f>IF(ISNUMBER(T2398),'자료_거시'!$D2380,"")</f>
        <v/>
      </c>
      <c r="V2398">
        <f>IF(ISNUMBER(U2398),IF(U2398&gt;$L$6,T2398,""),"")</f>
        <v/>
      </c>
      <c r="W2398">
        <f>IF(AND(ISNUMBER('자료_거시'!$G2380),ISNUMBER('자료_거시'!$H2380)),'자료_거시'!$H2380,"")</f>
        <v/>
      </c>
      <c r="X2398">
        <f>IF(ISNUMBER(W2398),'자료_거시'!$G2380,"")</f>
        <v/>
      </c>
      <c r="Y2398">
        <f>IF(ISNUMBER(X2398),IF(X2398&gt;$L$7,W2398,""),"")</f>
        <v/>
      </c>
      <c r="Z2398">
        <f>IF(ISNUMBER('자료_거시'!$K2380),'자료_거시'!$K2380,Z2397)</f>
        <v/>
      </c>
      <c r="AA2398">
        <f>IF(AND(ISNUMBER('자료_거시'!$J2380),ISNUMBER('자료_거시'!$K2380)),IFERROR('자료_거시'!$K2380/INDEX($Z$21:$Z$4020,MATCH(EDATE('자료_거시'!$J2380,-'설정'!$B$17),'자료_거시'!$J$3:INDEX('자료_거시'!$J$3:$J$4002,$K$8),1))-1,""),"")</f>
        <v/>
      </c>
      <c r="AB2398">
        <f>IF(ISNUMBER(AA2398),'자료_거시'!$J2380,"")</f>
        <v/>
      </c>
      <c r="AC2398">
        <f>IF(ISNUMBER(AB2398),IF(AB2398&gt;$L$8,AA2398,""),"")</f>
        <v/>
      </c>
    </row>
    <row r="2399">
      <c r="S2399">
        <f>IF(ISNUMBER('자료_거시'!$E2381),'자료_거시'!$E2381,S2398)</f>
        <v/>
      </c>
      <c r="T2399">
        <f>IF(AND(ISNUMBER('자료_거시'!$D2381),ISNUMBER('자료_거시'!$E2381)),IFERROR('자료_거시'!$E2381-INDEX($S$21:$S$4020,MATCH(EDATE('자료_거시'!$D2381,-'설정'!$B$17),'자료_거시'!$D$3:INDEX('자료_거시'!$D$3:$D$4002,$K$6),1)),""),"")</f>
        <v/>
      </c>
      <c r="U2399">
        <f>IF(ISNUMBER(T2399),'자료_거시'!$D2381,"")</f>
        <v/>
      </c>
      <c r="V2399">
        <f>IF(ISNUMBER(U2399),IF(U2399&gt;$L$6,T2399,""),"")</f>
        <v/>
      </c>
      <c r="W2399">
        <f>IF(AND(ISNUMBER('자료_거시'!$G2381),ISNUMBER('자료_거시'!$H2381)),'자료_거시'!$H2381,"")</f>
        <v/>
      </c>
      <c r="X2399">
        <f>IF(ISNUMBER(W2399),'자료_거시'!$G2381,"")</f>
        <v/>
      </c>
      <c r="Y2399">
        <f>IF(ISNUMBER(X2399),IF(X2399&gt;$L$7,W2399,""),"")</f>
        <v/>
      </c>
      <c r="Z2399">
        <f>IF(ISNUMBER('자료_거시'!$K2381),'자료_거시'!$K2381,Z2398)</f>
        <v/>
      </c>
      <c r="AA2399">
        <f>IF(AND(ISNUMBER('자료_거시'!$J2381),ISNUMBER('자료_거시'!$K2381)),IFERROR('자료_거시'!$K2381/INDEX($Z$21:$Z$4020,MATCH(EDATE('자료_거시'!$J2381,-'설정'!$B$17),'자료_거시'!$J$3:INDEX('자료_거시'!$J$3:$J$4002,$K$8),1))-1,""),"")</f>
        <v/>
      </c>
      <c r="AB2399">
        <f>IF(ISNUMBER(AA2399),'자료_거시'!$J2381,"")</f>
        <v/>
      </c>
      <c r="AC2399">
        <f>IF(ISNUMBER(AB2399),IF(AB2399&gt;$L$8,AA2399,""),"")</f>
        <v/>
      </c>
    </row>
    <row r="2400">
      <c r="S2400">
        <f>IF(ISNUMBER('자료_거시'!$E2382),'자료_거시'!$E2382,S2399)</f>
        <v/>
      </c>
      <c r="T2400">
        <f>IF(AND(ISNUMBER('자료_거시'!$D2382),ISNUMBER('자료_거시'!$E2382)),IFERROR('자료_거시'!$E2382-INDEX($S$21:$S$4020,MATCH(EDATE('자료_거시'!$D2382,-'설정'!$B$17),'자료_거시'!$D$3:INDEX('자료_거시'!$D$3:$D$4002,$K$6),1)),""),"")</f>
        <v/>
      </c>
      <c r="U2400">
        <f>IF(ISNUMBER(T2400),'자료_거시'!$D2382,"")</f>
        <v/>
      </c>
      <c r="V2400">
        <f>IF(ISNUMBER(U2400),IF(U2400&gt;$L$6,T2400,""),"")</f>
        <v/>
      </c>
      <c r="W2400">
        <f>IF(AND(ISNUMBER('자료_거시'!$G2382),ISNUMBER('자료_거시'!$H2382)),'자료_거시'!$H2382,"")</f>
        <v/>
      </c>
      <c r="X2400">
        <f>IF(ISNUMBER(W2400),'자료_거시'!$G2382,"")</f>
        <v/>
      </c>
      <c r="Y2400">
        <f>IF(ISNUMBER(X2400),IF(X2400&gt;$L$7,W2400,""),"")</f>
        <v/>
      </c>
      <c r="Z2400">
        <f>IF(ISNUMBER('자료_거시'!$K2382),'자료_거시'!$K2382,Z2399)</f>
        <v/>
      </c>
      <c r="AA2400">
        <f>IF(AND(ISNUMBER('자료_거시'!$J2382),ISNUMBER('자료_거시'!$K2382)),IFERROR('자료_거시'!$K2382/INDEX($Z$21:$Z$4020,MATCH(EDATE('자료_거시'!$J2382,-'설정'!$B$17),'자료_거시'!$J$3:INDEX('자료_거시'!$J$3:$J$4002,$K$8),1))-1,""),"")</f>
        <v/>
      </c>
      <c r="AB2400">
        <f>IF(ISNUMBER(AA2400),'자료_거시'!$J2382,"")</f>
        <v/>
      </c>
      <c r="AC2400">
        <f>IF(ISNUMBER(AB2400),IF(AB2400&gt;$L$8,AA2400,""),"")</f>
        <v/>
      </c>
    </row>
    <row r="2401">
      <c r="S2401">
        <f>IF(ISNUMBER('자료_거시'!$E2383),'자료_거시'!$E2383,S2400)</f>
        <v/>
      </c>
      <c r="T2401">
        <f>IF(AND(ISNUMBER('자료_거시'!$D2383),ISNUMBER('자료_거시'!$E2383)),IFERROR('자료_거시'!$E2383-INDEX($S$21:$S$4020,MATCH(EDATE('자료_거시'!$D2383,-'설정'!$B$17),'자료_거시'!$D$3:INDEX('자료_거시'!$D$3:$D$4002,$K$6),1)),""),"")</f>
        <v/>
      </c>
      <c r="U2401">
        <f>IF(ISNUMBER(T2401),'자료_거시'!$D2383,"")</f>
        <v/>
      </c>
      <c r="V2401">
        <f>IF(ISNUMBER(U2401),IF(U2401&gt;$L$6,T2401,""),"")</f>
        <v/>
      </c>
      <c r="W2401">
        <f>IF(AND(ISNUMBER('자료_거시'!$G2383),ISNUMBER('자료_거시'!$H2383)),'자료_거시'!$H2383,"")</f>
        <v/>
      </c>
      <c r="X2401">
        <f>IF(ISNUMBER(W2401),'자료_거시'!$G2383,"")</f>
        <v/>
      </c>
      <c r="Y2401">
        <f>IF(ISNUMBER(X2401),IF(X2401&gt;$L$7,W2401,""),"")</f>
        <v/>
      </c>
      <c r="Z2401">
        <f>IF(ISNUMBER('자료_거시'!$K2383),'자료_거시'!$K2383,Z2400)</f>
        <v/>
      </c>
      <c r="AA2401">
        <f>IF(AND(ISNUMBER('자료_거시'!$J2383),ISNUMBER('자료_거시'!$K2383)),IFERROR('자료_거시'!$K2383/INDEX($Z$21:$Z$4020,MATCH(EDATE('자료_거시'!$J2383,-'설정'!$B$17),'자료_거시'!$J$3:INDEX('자료_거시'!$J$3:$J$4002,$K$8),1))-1,""),"")</f>
        <v/>
      </c>
      <c r="AB2401">
        <f>IF(ISNUMBER(AA2401),'자료_거시'!$J2383,"")</f>
        <v/>
      </c>
      <c r="AC2401">
        <f>IF(ISNUMBER(AB2401),IF(AB2401&gt;$L$8,AA2401,""),"")</f>
        <v/>
      </c>
    </row>
    <row r="2402">
      <c r="S2402">
        <f>IF(ISNUMBER('자료_거시'!$E2384),'자료_거시'!$E2384,S2401)</f>
        <v/>
      </c>
      <c r="T2402">
        <f>IF(AND(ISNUMBER('자료_거시'!$D2384),ISNUMBER('자료_거시'!$E2384)),IFERROR('자료_거시'!$E2384-INDEX($S$21:$S$4020,MATCH(EDATE('자료_거시'!$D2384,-'설정'!$B$17),'자료_거시'!$D$3:INDEX('자료_거시'!$D$3:$D$4002,$K$6),1)),""),"")</f>
        <v/>
      </c>
      <c r="U2402">
        <f>IF(ISNUMBER(T2402),'자료_거시'!$D2384,"")</f>
        <v/>
      </c>
      <c r="V2402">
        <f>IF(ISNUMBER(U2402),IF(U2402&gt;$L$6,T2402,""),"")</f>
        <v/>
      </c>
      <c r="W2402">
        <f>IF(AND(ISNUMBER('자료_거시'!$G2384),ISNUMBER('자료_거시'!$H2384)),'자료_거시'!$H2384,"")</f>
        <v/>
      </c>
      <c r="X2402">
        <f>IF(ISNUMBER(W2402),'자료_거시'!$G2384,"")</f>
        <v/>
      </c>
      <c r="Y2402">
        <f>IF(ISNUMBER(X2402),IF(X2402&gt;$L$7,W2402,""),"")</f>
        <v/>
      </c>
      <c r="Z2402">
        <f>IF(ISNUMBER('자료_거시'!$K2384),'자료_거시'!$K2384,Z2401)</f>
        <v/>
      </c>
      <c r="AA2402">
        <f>IF(AND(ISNUMBER('자료_거시'!$J2384),ISNUMBER('자료_거시'!$K2384)),IFERROR('자료_거시'!$K2384/INDEX($Z$21:$Z$4020,MATCH(EDATE('자료_거시'!$J2384,-'설정'!$B$17),'자료_거시'!$J$3:INDEX('자료_거시'!$J$3:$J$4002,$K$8),1))-1,""),"")</f>
        <v/>
      </c>
      <c r="AB2402">
        <f>IF(ISNUMBER(AA2402),'자료_거시'!$J2384,"")</f>
        <v/>
      </c>
      <c r="AC2402">
        <f>IF(ISNUMBER(AB2402),IF(AB2402&gt;$L$8,AA2402,""),"")</f>
        <v/>
      </c>
    </row>
    <row r="2403">
      <c r="S2403">
        <f>IF(ISNUMBER('자료_거시'!$E2385),'자료_거시'!$E2385,S2402)</f>
        <v/>
      </c>
      <c r="T2403">
        <f>IF(AND(ISNUMBER('자료_거시'!$D2385),ISNUMBER('자료_거시'!$E2385)),IFERROR('자료_거시'!$E2385-INDEX($S$21:$S$4020,MATCH(EDATE('자료_거시'!$D2385,-'설정'!$B$17),'자료_거시'!$D$3:INDEX('자료_거시'!$D$3:$D$4002,$K$6),1)),""),"")</f>
        <v/>
      </c>
      <c r="U2403">
        <f>IF(ISNUMBER(T2403),'자료_거시'!$D2385,"")</f>
        <v/>
      </c>
      <c r="V2403">
        <f>IF(ISNUMBER(U2403),IF(U2403&gt;$L$6,T2403,""),"")</f>
        <v/>
      </c>
      <c r="W2403">
        <f>IF(AND(ISNUMBER('자료_거시'!$G2385),ISNUMBER('자료_거시'!$H2385)),'자료_거시'!$H2385,"")</f>
        <v/>
      </c>
      <c r="X2403">
        <f>IF(ISNUMBER(W2403),'자료_거시'!$G2385,"")</f>
        <v/>
      </c>
      <c r="Y2403">
        <f>IF(ISNUMBER(X2403),IF(X2403&gt;$L$7,W2403,""),"")</f>
        <v/>
      </c>
      <c r="Z2403">
        <f>IF(ISNUMBER('자료_거시'!$K2385),'자료_거시'!$K2385,Z2402)</f>
        <v/>
      </c>
      <c r="AA2403">
        <f>IF(AND(ISNUMBER('자료_거시'!$J2385),ISNUMBER('자료_거시'!$K2385)),IFERROR('자료_거시'!$K2385/INDEX($Z$21:$Z$4020,MATCH(EDATE('자료_거시'!$J2385,-'설정'!$B$17),'자료_거시'!$J$3:INDEX('자료_거시'!$J$3:$J$4002,$K$8),1))-1,""),"")</f>
        <v/>
      </c>
      <c r="AB2403">
        <f>IF(ISNUMBER(AA2403),'자료_거시'!$J2385,"")</f>
        <v/>
      </c>
      <c r="AC2403">
        <f>IF(ISNUMBER(AB2403),IF(AB2403&gt;$L$8,AA2403,""),"")</f>
        <v/>
      </c>
    </row>
    <row r="2404">
      <c r="S2404">
        <f>IF(ISNUMBER('자료_거시'!$E2386),'자료_거시'!$E2386,S2403)</f>
        <v/>
      </c>
      <c r="T2404">
        <f>IF(AND(ISNUMBER('자료_거시'!$D2386),ISNUMBER('자료_거시'!$E2386)),IFERROR('자료_거시'!$E2386-INDEX($S$21:$S$4020,MATCH(EDATE('자료_거시'!$D2386,-'설정'!$B$17),'자료_거시'!$D$3:INDEX('자료_거시'!$D$3:$D$4002,$K$6),1)),""),"")</f>
        <v/>
      </c>
      <c r="U2404">
        <f>IF(ISNUMBER(T2404),'자료_거시'!$D2386,"")</f>
        <v/>
      </c>
      <c r="V2404">
        <f>IF(ISNUMBER(U2404),IF(U2404&gt;$L$6,T2404,""),"")</f>
        <v/>
      </c>
      <c r="W2404">
        <f>IF(AND(ISNUMBER('자료_거시'!$G2386),ISNUMBER('자료_거시'!$H2386)),'자료_거시'!$H2386,"")</f>
        <v/>
      </c>
      <c r="X2404">
        <f>IF(ISNUMBER(W2404),'자료_거시'!$G2386,"")</f>
        <v/>
      </c>
      <c r="Y2404">
        <f>IF(ISNUMBER(X2404),IF(X2404&gt;$L$7,W2404,""),"")</f>
        <v/>
      </c>
      <c r="Z2404">
        <f>IF(ISNUMBER('자료_거시'!$K2386),'자료_거시'!$K2386,Z2403)</f>
        <v/>
      </c>
      <c r="AA2404">
        <f>IF(AND(ISNUMBER('자료_거시'!$J2386),ISNUMBER('자료_거시'!$K2386)),IFERROR('자료_거시'!$K2386/INDEX($Z$21:$Z$4020,MATCH(EDATE('자료_거시'!$J2386,-'설정'!$B$17),'자료_거시'!$J$3:INDEX('자료_거시'!$J$3:$J$4002,$K$8),1))-1,""),"")</f>
        <v/>
      </c>
      <c r="AB2404">
        <f>IF(ISNUMBER(AA2404),'자료_거시'!$J2386,"")</f>
        <v/>
      </c>
      <c r="AC2404">
        <f>IF(ISNUMBER(AB2404),IF(AB2404&gt;$L$8,AA2404,""),"")</f>
        <v/>
      </c>
    </row>
    <row r="2405">
      <c r="S2405">
        <f>IF(ISNUMBER('자료_거시'!$E2387),'자료_거시'!$E2387,S2404)</f>
        <v/>
      </c>
      <c r="T2405">
        <f>IF(AND(ISNUMBER('자료_거시'!$D2387),ISNUMBER('자료_거시'!$E2387)),IFERROR('자료_거시'!$E2387-INDEX($S$21:$S$4020,MATCH(EDATE('자료_거시'!$D2387,-'설정'!$B$17),'자료_거시'!$D$3:INDEX('자료_거시'!$D$3:$D$4002,$K$6),1)),""),"")</f>
        <v/>
      </c>
      <c r="U2405">
        <f>IF(ISNUMBER(T2405),'자료_거시'!$D2387,"")</f>
        <v/>
      </c>
      <c r="V2405">
        <f>IF(ISNUMBER(U2405),IF(U2405&gt;$L$6,T2405,""),"")</f>
        <v/>
      </c>
      <c r="W2405">
        <f>IF(AND(ISNUMBER('자료_거시'!$G2387),ISNUMBER('자료_거시'!$H2387)),'자료_거시'!$H2387,"")</f>
        <v/>
      </c>
      <c r="X2405">
        <f>IF(ISNUMBER(W2405),'자료_거시'!$G2387,"")</f>
        <v/>
      </c>
      <c r="Y2405">
        <f>IF(ISNUMBER(X2405),IF(X2405&gt;$L$7,W2405,""),"")</f>
        <v/>
      </c>
      <c r="Z2405">
        <f>IF(ISNUMBER('자료_거시'!$K2387),'자료_거시'!$K2387,Z2404)</f>
        <v/>
      </c>
      <c r="AA2405">
        <f>IF(AND(ISNUMBER('자료_거시'!$J2387),ISNUMBER('자료_거시'!$K2387)),IFERROR('자료_거시'!$K2387/INDEX($Z$21:$Z$4020,MATCH(EDATE('자료_거시'!$J2387,-'설정'!$B$17),'자료_거시'!$J$3:INDEX('자료_거시'!$J$3:$J$4002,$K$8),1))-1,""),"")</f>
        <v/>
      </c>
      <c r="AB2405">
        <f>IF(ISNUMBER(AA2405),'자료_거시'!$J2387,"")</f>
        <v/>
      </c>
      <c r="AC2405">
        <f>IF(ISNUMBER(AB2405),IF(AB2405&gt;$L$8,AA2405,""),"")</f>
        <v/>
      </c>
    </row>
    <row r="2406">
      <c r="S2406">
        <f>IF(ISNUMBER('자료_거시'!$E2388),'자료_거시'!$E2388,S2405)</f>
        <v/>
      </c>
      <c r="T2406">
        <f>IF(AND(ISNUMBER('자료_거시'!$D2388),ISNUMBER('자료_거시'!$E2388)),IFERROR('자료_거시'!$E2388-INDEX($S$21:$S$4020,MATCH(EDATE('자료_거시'!$D2388,-'설정'!$B$17),'자료_거시'!$D$3:INDEX('자료_거시'!$D$3:$D$4002,$K$6),1)),""),"")</f>
        <v/>
      </c>
      <c r="U2406">
        <f>IF(ISNUMBER(T2406),'자료_거시'!$D2388,"")</f>
        <v/>
      </c>
      <c r="V2406">
        <f>IF(ISNUMBER(U2406),IF(U2406&gt;$L$6,T2406,""),"")</f>
        <v/>
      </c>
      <c r="W2406">
        <f>IF(AND(ISNUMBER('자료_거시'!$G2388),ISNUMBER('자료_거시'!$H2388)),'자료_거시'!$H2388,"")</f>
        <v/>
      </c>
      <c r="X2406">
        <f>IF(ISNUMBER(W2406),'자료_거시'!$G2388,"")</f>
        <v/>
      </c>
      <c r="Y2406">
        <f>IF(ISNUMBER(X2406),IF(X2406&gt;$L$7,W2406,""),"")</f>
        <v/>
      </c>
      <c r="Z2406">
        <f>IF(ISNUMBER('자료_거시'!$K2388),'자료_거시'!$K2388,Z2405)</f>
        <v/>
      </c>
      <c r="AA2406">
        <f>IF(AND(ISNUMBER('자료_거시'!$J2388),ISNUMBER('자료_거시'!$K2388)),IFERROR('자료_거시'!$K2388/INDEX($Z$21:$Z$4020,MATCH(EDATE('자료_거시'!$J2388,-'설정'!$B$17),'자료_거시'!$J$3:INDEX('자료_거시'!$J$3:$J$4002,$K$8),1))-1,""),"")</f>
        <v/>
      </c>
      <c r="AB2406">
        <f>IF(ISNUMBER(AA2406),'자료_거시'!$J2388,"")</f>
        <v/>
      </c>
      <c r="AC2406">
        <f>IF(ISNUMBER(AB2406),IF(AB2406&gt;$L$8,AA2406,""),"")</f>
        <v/>
      </c>
    </row>
    <row r="2407">
      <c r="S2407">
        <f>IF(ISNUMBER('자료_거시'!$E2389),'자료_거시'!$E2389,S2406)</f>
        <v/>
      </c>
      <c r="T2407">
        <f>IF(AND(ISNUMBER('자료_거시'!$D2389),ISNUMBER('자료_거시'!$E2389)),IFERROR('자료_거시'!$E2389-INDEX($S$21:$S$4020,MATCH(EDATE('자료_거시'!$D2389,-'설정'!$B$17),'자료_거시'!$D$3:INDEX('자료_거시'!$D$3:$D$4002,$K$6),1)),""),"")</f>
        <v/>
      </c>
      <c r="U2407">
        <f>IF(ISNUMBER(T2407),'자료_거시'!$D2389,"")</f>
        <v/>
      </c>
      <c r="V2407">
        <f>IF(ISNUMBER(U2407),IF(U2407&gt;$L$6,T2407,""),"")</f>
        <v/>
      </c>
      <c r="W2407">
        <f>IF(AND(ISNUMBER('자료_거시'!$G2389),ISNUMBER('자료_거시'!$H2389)),'자료_거시'!$H2389,"")</f>
        <v/>
      </c>
      <c r="X2407">
        <f>IF(ISNUMBER(W2407),'자료_거시'!$G2389,"")</f>
        <v/>
      </c>
      <c r="Y2407">
        <f>IF(ISNUMBER(X2407),IF(X2407&gt;$L$7,W2407,""),"")</f>
        <v/>
      </c>
      <c r="Z2407">
        <f>IF(ISNUMBER('자료_거시'!$K2389),'자료_거시'!$K2389,Z2406)</f>
        <v/>
      </c>
      <c r="AA2407">
        <f>IF(AND(ISNUMBER('자료_거시'!$J2389),ISNUMBER('자료_거시'!$K2389)),IFERROR('자료_거시'!$K2389/INDEX($Z$21:$Z$4020,MATCH(EDATE('자료_거시'!$J2389,-'설정'!$B$17),'자료_거시'!$J$3:INDEX('자료_거시'!$J$3:$J$4002,$K$8),1))-1,""),"")</f>
        <v/>
      </c>
      <c r="AB2407">
        <f>IF(ISNUMBER(AA2407),'자료_거시'!$J2389,"")</f>
        <v/>
      </c>
      <c r="AC2407">
        <f>IF(ISNUMBER(AB2407),IF(AB2407&gt;$L$8,AA2407,""),"")</f>
        <v/>
      </c>
    </row>
    <row r="2408">
      <c r="S2408">
        <f>IF(ISNUMBER('자료_거시'!$E2390),'자료_거시'!$E2390,S2407)</f>
        <v/>
      </c>
      <c r="T2408">
        <f>IF(AND(ISNUMBER('자료_거시'!$D2390),ISNUMBER('자료_거시'!$E2390)),IFERROR('자료_거시'!$E2390-INDEX($S$21:$S$4020,MATCH(EDATE('자료_거시'!$D2390,-'설정'!$B$17),'자료_거시'!$D$3:INDEX('자료_거시'!$D$3:$D$4002,$K$6),1)),""),"")</f>
        <v/>
      </c>
      <c r="U2408">
        <f>IF(ISNUMBER(T2408),'자료_거시'!$D2390,"")</f>
        <v/>
      </c>
      <c r="V2408">
        <f>IF(ISNUMBER(U2408),IF(U2408&gt;$L$6,T2408,""),"")</f>
        <v/>
      </c>
      <c r="W2408">
        <f>IF(AND(ISNUMBER('자료_거시'!$G2390),ISNUMBER('자료_거시'!$H2390)),'자료_거시'!$H2390,"")</f>
        <v/>
      </c>
      <c r="X2408">
        <f>IF(ISNUMBER(W2408),'자료_거시'!$G2390,"")</f>
        <v/>
      </c>
      <c r="Y2408">
        <f>IF(ISNUMBER(X2408),IF(X2408&gt;$L$7,W2408,""),"")</f>
        <v/>
      </c>
      <c r="Z2408">
        <f>IF(ISNUMBER('자료_거시'!$K2390),'자료_거시'!$K2390,Z2407)</f>
        <v/>
      </c>
      <c r="AA2408">
        <f>IF(AND(ISNUMBER('자료_거시'!$J2390),ISNUMBER('자료_거시'!$K2390)),IFERROR('자료_거시'!$K2390/INDEX($Z$21:$Z$4020,MATCH(EDATE('자료_거시'!$J2390,-'설정'!$B$17),'자료_거시'!$J$3:INDEX('자료_거시'!$J$3:$J$4002,$K$8),1))-1,""),"")</f>
        <v/>
      </c>
      <c r="AB2408">
        <f>IF(ISNUMBER(AA2408),'자료_거시'!$J2390,"")</f>
        <v/>
      </c>
      <c r="AC2408">
        <f>IF(ISNUMBER(AB2408),IF(AB2408&gt;$L$8,AA2408,""),"")</f>
        <v/>
      </c>
    </row>
    <row r="2409">
      <c r="S2409">
        <f>IF(ISNUMBER('자료_거시'!$E2391),'자료_거시'!$E2391,S2408)</f>
        <v/>
      </c>
      <c r="T2409">
        <f>IF(AND(ISNUMBER('자료_거시'!$D2391),ISNUMBER('자료_거시'!$E2391)),IFERROR('자료_거시'!$E2391-INDEX($S$21:$S$4020,MATCH(EDATE('자료_거시'!$D2391,-'설정'!$B$17),'자료_거시'!$D$3:INDEX('자료_거시'!$D$3:$D$4002,$K$6),1)),""),"")</f>
        <v/>
      </c>
      <c r="U2409">
        <f>IF(ISNUMBER(T2409),'자료_거시'!$D2391,"")</f>
        <v/>
      </c>
      <c r="V2409">
        <f>IF(ISNUMBER(U2409),IF(U2409&gt;$L$6,T2409,""),"")</f>
        <v/>
      </c>
      <c r="W2409">
        <f>IF(AND(ISNUMBER('자료_거시'!$G2391),ISNUMBER('자료_거시'!$H2391)),'자료_거시'!$H2391,"")</f>
        <v/>
      </c>
      <c r="X2409">
        <f>IF(ISNUMBER(W2409),'자료_거시'!$G2391,"")</f>
        <v/>
      </c>
      <c r="Y2409">
        <f>IF(ISNUMBER(X2409),IF(X2409&gt;$L$7,W2409,""),"")</f>
        <v/>
      </c>
      <c r="Z2409">
        <f>IF(ISNUMBER('자료_거시'!$K2391),'자료_거시'!$K2391,Z2408)</f>
        <v/>
      </c>
      <c r="AA2409">
        <f>IF(AND(ISNUMBER('자료_거시'!$J2391),ISNUMBER('자료_거시'!$K2391)),IFERROR('자료_거시'!$K2391/INDEX($Z$21:$Z$4020,MATCH(EDATE('자료_거시'!$J2391,-'설정'!$B$17),'자료_거시'!$J$3:INDEX('자료_거시'!$J$3:$J$4002,$K$8),1))-1,""),"")</f>
        <v/>
      </c>
      <c r="AB2409">
        <f>IF(ISNUMBER(AA2409),'자료_거시'!$J2391,"")</f>
        <v/>
      </c>
      <c r="AC2409">
        <f>IF(ISNUMBER(AB2409),IF(AB2409&gt;$L$8,AA2409,""),"")</f>
        <v/>
      </c>
    </row>
    <row r="2410">
      <c r="S2410">
        <f>IF(ISNUMBER('자료_거시'!$E2392),'자료_거시'!$E2392,S2409)</f>
        <v/>
      </c>
      <c r="T2410">
        <f>IF(AND(ISNUMBER('자료_거시'!$D2392),ISNUMBER('자료_거시'!$E2392)),IFERROR('자료_거시'!$E2392-INDEX($S$21:$S$4020,MATCH(EDATE('자료_거시'!$D2392,-'설정'!$B$17),'자료_거시'!$D$3:INDEX('자료_거시'!$D$3:$D$4002,$K$6),1)),""),"")</f>
        <v/>
      </c>
      <c r="U2410">
        <f>IF(ISNUMBER(T2410),'자료_거시'!$D2392,"")</f>
        <v/>
      </c>
      <c r="V2410">
        <f>IF(ISNUMBER(U2410),IF(U2410&gt;$L$6,T2410,""),"")</f>
        <v/>
      </c>
      <c r="W2410">
        <f>IF(AND(ISNUMBER('자료_거시'!$G2392),ISNUMBER('자료_거시'!$H2392)),'자료_거시'!$H2392,"")</f>
        <v/>
      </c>
      <c r="X2410">
        <f>IF(ISNUMBER(W2410),'자료_거시'!$G2392,"")</f>
        <v/>
      </c>
      <c r="Y2410">
        <f>IF(ISNUMBER(X2410),IF(X2410&gt;$L$7,W2410,""),"")</f>
        <v/>
      </c>
      <c r="Z2410">
        <f>IF(ISNUMBER('자료_거시'!$K2392),'자료_거시'!$K2392,Z2409)</f>
        <v/>
      </c>
      <c r="AA2410">
        <f>IF(AND(ISNUMBER('자료_거시'!$J2392),ISNUMBER('자료_거시'!$K2392)),IFERROR('자료_거시'!$K2392/INDEX($Z$21:$Z$4020,MATCH(EDATE('자료_거시'!$J2392,-'설정'!$B$17),'자료_거시'!$J$3:INDEX('자료_거시'!$J$3:$J$4002,$K$8),1))-1,""),"")</f>
        <v/>
      </c>
      <c r="AB2410">
        <f>IF(ISNUMBER(AA2410),'자료_거시'!$J2392,"")</f>
        <v/>
      </c>
      <c r="AC2410">
        <f>IF(ISNUMBER(AB2410),IF(AB2410&gt;$L$8,AA2410,""),"")</f>
        <v/>
      </c>
    </row>
    <row r="2411">
      <c r="S2411">
        <f>IF(ISNUMBER('자료_거시'!$E2393),'자료_거시'!$E2393,S2410)</f>
        <v/>
      </c>
      <c r="T2411">
        <f>IF(AND(ISNUMBER('자료_거시'!$D2393),ISNUMBER('자료_거시'!$E2393)),IFERROR('자료_거시'!$E2393-INDEX($S$21:$S$4020,MATCH(EDATE('자료_거시'!$D2393,-'설정'!$B$17),'자료_거시'!$D$3:INDEX('자료_거시'!$D$3:$D$4002,$K$6),1)),""),"")</f>
        <v/>
      </c>
      <c r="U2411">
        <f>IF(ISNUMBER(T2411),'자료_거시'!$D2393,"")</f>
        <v/>
      </c>
      <c r="V2411">
        <f>IF(ISNUMBER(U2411),IF(U2411&gt;$L$6,T2411,""),"")</f>
        <v/>
      </c>
      <c r="W2411">
        <f>IF(AND(ISNUMBER('자료_거시'!$G2393),ISNUMBER('자료_거시'!$H2393)),'자료_거시'!$H2393,"")</f>
        <v/>
      </c>
      <c r="X2411">
        <f>IF(ISNUMBER(W2411),'자료_거시'!$G2393,"")</f>
        <v/>
      </c>
      <c r="Y2411">
        <f>IF(ISNUMBER(X2411),IF(X2411&gt;$L$7,W2411,""),"")</f>
        <v/>
      </c>
      <c r="Z2411">
        <f>IF(ISNUMBER('자료_거시'!$K2393),'자료_거시'!$K2393,Z2410)</f>
        <v/>
      </c>
      <c r="AA2411">
        <f>IF(AND(ISNUMBER('자료_거시'!$J2393),ISNUMBER('자료_거시'!$K2393)),IFERROR('자료_거시'!$K2393/INDEX($Z$21:$Z$4020,MATCH(EDATE('자료_거시'!$J2393,-'설정'!$B$17),'자료_거시'!$J$3:INDEX('자료_거시'!$J$3:$J$4002,$K$8),1))-1,""),"")</f>
        <v/>
      </c>
      <c r="AB2411">
        <f>IF(ISNUMBER(AA2411),'자료_거시'!$J2393,"")</f>
        <v/>
      </c>
      <c r="AC2411">
        <f>IF(ISNUMBER(AB2411),IF(AB2411&gt;$L$8,AA2411,""),"")</f>
        <v/>
      </c>
    </row>
    <row r="2412">
      <c r="S2412">
        <f>IF(ISNUMBER('자료_거시'!$E2394),'자료_거시'!$E2394,S2411)</f>
        <v/>
      </c>
      <c r="T2412">
        <f>IF(AND(ISNUMBER('자료_거시'!$D2394),ISNUMBER('자료_거시'!$E2394)),IFERROR('자료_거시'!$E2394-INDEX($S$21:$S$4020,MATCH(EDATE('자료_거시'!$D2394,-'설정'!$B$17),'자료_거시'!$D$3:INDEX('자료_거시'!$D$3:$D$4002,$K$6),1)),""),"")</f>
        <v/>
      </c>
      <c r="U2412">
        <f>IF(ISNUMBER(T2412),'자료_거시'!$D2394,"")</f>
        <v/>
      </c>
      <c r="V2412">
        <f>IF(ISNUMBER(U2412),IF(U2412&gt;$L$6,T2412,""),"")</f>
        <v/>
      </c>
      <c r="W2412">
        <f>IF(AND(ISNUMBER('자료_거시'!$G2394),ISNUMBER('자료_거시'!$H2394)),'자료_거시'!$H2394,"")</f>
        <v/>
      </c>
      <c r="X2412">
        <f>IF(ISNUMBER(W2412),'자료_거시'!$G2394,"")</f>
        <v/>
      </c>
      <c r="Y2412">
        <f>IF(ISNUMBER(X2412),IF(X2412&gt;$L$7,W2412,""),"")</f>
        <v/>
      </c>
      <c r="Z2412">
        <f>IF(ISNUMBER('자료_거시'!$K2394),'자료_거시'!$K2394,Z2411)</f>
        <v/>
      </c>
      <c r="AA2412">
        <f>IF(AND(ISNUMBER('자료_거시'!$J2394),ISNUMBER('자료_거시'!$K2394)),IFERROR('자료_거시'!$K2394/INDEX($Z$21:$Z$4020,MATCH(EDATE('자료_거시'!$J2394,-'설정'!$B$17),'자료_거시'!$J$3:INDEX('자료_거시'!$J$3:$J$4002,$K$8),1))-1,""),"")</f>
        <v/>
      </c>
      <c r="AB2412">
        <f>IF(ISNUMBER(AA2412),'자료_거시'!$J2394,"")</f>
        <v/>
      </c>
      <c r="AC2412">
        <f>IF(ISNUMBER(AB2412),IF(AB2412&gt;$L$8,AA2412,""),"")</f>
        <v/>
      </c>
    </row>
    <row r="2413">
      <c r="S2413">
        <f>IF(ISNUMBER('자료_거시'!$E2395),'자료_거시'!$E2395,S2412)</f>
        <v/>
      </c>
      <c r="T2413">
        <f>IF(AND(ISNUMBER('자료_거시'!$D2395),ISNUMBER('자료_거시'!$E2395)),IFERROR('자료_거시'!$E2395-INDEX($S$21:$S$4020,MATCH(EDATE('자료_거시'!$D2395,-'설정'!$B$17),'자료_거시'!$D$3:INDEX('자료_거시'!$D$3:$D$4002,$K$6),1)),""),"")</f>
        <v/>
      </c>
      <c r="U2413">
        <f>IF(ISNUMBER(T2413),'자료_거시'!$D2395,"")</f>
        <v/>
      </c>
      <c r="V2413">
        <f>IF(ISNUMBER(U2413),IF(U2413&gt;$L$6,T2413,""),"")</f>
        <v/>
      </c>
      <c r="W2413">
        <f>IF(AND(ISNUMBER('자료_거시'!$G2395),ISNUMBER('자료_거시'!$H2395)),'자료_거시'!$H2395,"")</f>
        <v/>
      </c>
      <c r="X2413">
        <f>IF(ISNUMBER(W2413),'자료_거시'!$G2395,"")</f>
        <v/>
      </c>
      <c r="Y2413">
        <f>IF(ISNUMBER(X2413),IF(X2413&gt;$L$7,W2413,""),"")</f>
        <v/>
      </c>
      <c r="Z2413">
        <f>IF(ISNUMBER('자료_거시'!$K2395),'자료_거시'!$K2395,Z2412)</f>
        <v/>
      </c>
      <c r="AA2413">
        <f>IF(AND(ISNUMBER('자료_거시'!$J2395),ISNUMBER('자료_거시'!$K2395)),IFERROR('자료_거시'!$K2395/INDEX($Z$21:$Z$4020,MATCH(EDATE('자료_거시'!$J2395,-'설정'!$B$17),'자료_거시'!$J$3:INDEX('자료_거시'!$J$3:$J$4002,$K$8),1))-1,""),"")</f>
        <v/>
      </c>
      <c r="AB2413">
        <f>IF(ISNUMBER(AA2413),'자료_거시'!$J2395,"")</f>
        <v/>
      </c>
      <c r="AC2413">
        <f>IF(ISNUMBER(AB2413),IF(AB2413&gt;$L$8,AA2413,""),"")</f>
        <v/>
      </c>
    </row>
    <row r="2414">
      <c r="S2414">
        <f>IF(ISNUMBER('자료_거시'!$E2396),'자료_거시'!$E2396,S2413)</f>
        <v/>
      </c>
      <c r="T2414">
        <f>IF(AND(ISNUMBER('자료_거시'!$D2396),ISNUMBER('자료_거시'!$E2396)),IFERROR('자료_거시'!$E2396-INDEX($S$21:$S$4020,MATCH(EDATE('자료_거시'!$D2396,-'설정'!$B$17),'자료_거시'!$D$3:INDEX('자료_거시'!$D$3:$D$4002,$K$6),1)),""),"")</f>
        <v/>
      </c>
      <c r="U2414">
        <f>IF(ISNUMBER(T2414),'자료_거시'!$D2396,"")</f>
        <v/>
      </c>
      <c r="V2414">
        <f>IF(ISNUMBER(U2414),IF(U2414&gt;$L$6,T2414,""),"")</f>
        <v/>
      </c>
      <c r="W2414">
        <f>IF(AND(ISNUMBER('자료_거시'!$G2396),ISNUMBER('자료_거시'!$H2396)),'자료_거시'!$H2396,"")</f>
        <v/>
      </c>
      <c r="X2414">
        <f>IF(ISNUMBER(W2414),'자료_거시'!$G2396,"")</f>
        <v/>
      </c>
      <c r="Y2414">
        <f>IF(ISNUMBER(X2414),IF(X2414&gt;$L$7,W2414,""),"")</f>
        <v/>
      </c>
      <c r="Z2414">
        <f>IF(ISNUMBER('자료_거시'!$K2396),'자료_거시'!$K2396,Z2413)</f>
        <v/>
      </c>
      <c r="AA2414">
        <f>IF(AND(ISNUMBER('자료_거시'!$J2396),ISNUMBER('자료_거시'!$K2396)),IFERROR('자료_거시'!$K2396/INDEX($Z$21:$Z$4020,MATCH(EDATE('자료_거시'!$J2396,-'설정'!$B$17),'자료_거시'!$J$3:INDEX('자료_거시'!$J$3:$J$4002,$K$8),1))-1,""),"")</f>
        <v/>
      </c>
      <c r="AB2414">
        <f>IF(ISNUMBER(AA2414),'자료_거시'!$J2396,"")</f>
        <v/>
      </c>
      <c r="AC2414">
        <f>IF(ISNUMBER(AB2414),IF(AB2414&gt;$L$8,AA2414,""),"")</f>
        <v/>
      </c>
    </row>
    <row r="2415">
      <c r="S2415">
        <f>IF(ISNUMBER('자료_거시'!$E2397),'자료_거시'!$E2397,S2414)</f>
        <v/>
      </c>
      <c r="T2415">
        <f>IF(AND(ISNUMBER('자료_거시'!$D2397),ISNUMBER('자료_거시'!$E2397)),IFERROR('자료_거시'!$E2397-INDEX($S$21:$S$4020,MATCH(EDATE('자료_거시'!$D2397,-'설정'!$B$17),'자료_거시'!$D$3:INDEX('자료_거시'!$D$3:$D$4002,$K$6),1)),""),"")</f>
        <v/>
      </c>
      <c r="U2415">
        <f>IF(ISNUMBER(T2415),'자료_거시'!$D2397,"")</f>
        <v/>
      </c>
      <c r="V2415">
        <f>IF(ISNUMBER(U2415),IF(U2415&gt;$L$6,T2415,""),"")</f>
        <v/>
      </c>
      <c r="W2415">
        <f>IF(AND(ISNUMBER('자료_거시'!$G2397),ISNUMBER('자료_거시'!$H2397)),'자료_거시'!$H2397,"")</f>
        <v/>
      </c>
      <c r="X2415">
        <f>IF(ISNUMBER(W2415),'자료_거시'!$G2397,"")</f>
        <v/>
      </c>
      <c r="Y2415">
        <f>IF(ISNUMBER(X2415),IF(X2415&gt;$L$7,W2415,""),"")</f>
        <v/>
      </c>
      <c r="Z2415">
        <f>IF(ISNUMBER('자료_거시'!$K2397),'자료_거시'!$K2397,Z2414)</f>
        <v/>
      </c>
      <c r="AA2415">
        <f>IF(AND(ISNUMBER('자료_거시'!$J2397),ISNUMBER('자료_거시'!$K2397)),IFERROR('자료_거시'!$K2397/INDEX($Z$21:$Z$4020,MATCH(EDATE('자료_거시'!$J2397,-'설정'!$B$17),'자료_거시'!$J$3:INDEX('자료_거시'!$J$3:$J$4002,$K$8),1))-1,""),"")</f>
        <v/>
      </c>
      <c r="AB2415">
        <f>IF(ISNUMBER(AA2415),'자료_거시'!$J2397,"")</f>
        <v/>
      </c>
      <c r="AC2415">
        <f>IF(ISNUMBER(AB2415),IF(AB2415&gt;$L$8,AA2415,""),"")</f>
        <v/>
      </c>
    </row>
    <row r="2416">
      <c r="S2416">
        <f>IF(ISNUMBER('자료_거시'!$E2398),'자료_거시'!$E2398,S2415)</f>
        <v/>
      </c>
      <c r="T2416">
        <f>IF(AND(ISNUMBER('자료_거시'!$D2398),ISNUMBER('자료_거시'!$E2398)),IFERROR('자료_거시'!$E2398-INDEX($S$21:$S$4020,MATCH(EDATE('자료_거시'!$D2398,-'설정'!$B$17),'자료_거시'!$D$3:INDEX('자료_거시'!$D$3:$D$4002,$K$6),1)),""),"")</f>
        <v/>
      </c>
      <c r="U2416">
        <f>IF(ISNUMBER(T2416),'자료_거시'!$D2398,"")</f>
        <v/>
      </c>
      <c r="V2416">
        <f>IF(ISNUMBER(U2416),IF(U2416&gt;$L$6,T2416,""),"")</f>
        <v/>
      </c>
      <c r="W2416">
        <f>IF(AND(ISNUMBER('자료_거시'!$G2398),ISNUMBER('자료_거시'!$H2398)),'자료_거시'!$H2398,"")</f>
        <v/>
      </c>
      <c r="X2416">
        <f>IF(ISNUMBER(W2416),'자료_거시'!$G2398,"")</f>
        <v/>
      </c>
      <c r="Y2416">
        <f>IF(ISNUMBER(X2416),IF(X2416&gt;$L$7,W2416,""),"")</f>
        <v/>
      </c>
      <c r="Z2416">
        <f>IF(ISNUMBER('자료_거시'!$K2398),'자료_거시'!$K2398,Z2415)</f>
        <v/>
      </c>
      <c r="AA2416">
        <f>IF(AND(ISNUMBER('자료_거시'!$J2398),ISNUMBER('자료_거시'!$K2398)),IFERROR('자료_거시'!$K2398/INDEX($Z$21:$Z$4020,MATCH(EDATE('자료_거시'!$J2398,-'설정'!$B$17),'자료_거시'!$J$3:INDEX('자료_거시'!$J$3:$J$4002,$K$8),1))-1,""),"")</f>
        <v/>
      </c>
      <c r="AB2416">
        <f>IF(ISNUMBER(AA2416),'자료_거시'!$J2398,"")</f>
        <v/>
      </c>
      <c r="AC2416">
        <f>IF(ISNUMBER(AB2416),IF(AB2416&gt;$L$8,AA2416,""),"")</f>
        <v/>
      </c>
    </row>
    <row r="2417">
      <c r="S2417">
        <f>IF(ISNUMBER('자료_거시'!$E2399),'자료_거시'!$E2399,S2416)</f>
        <v/>
      </c>
      <c r="T2417">
        <f>IF(AND(ISNUMBER('자료_거시'!$D2399),ISNUMBER('자료_거시'!$E2399)),IFERROR('자료_거시'!$E2399-INDEX($S$21:$S$4020,MATCH(EDATE('자료_거시'!$D2399,-'설정'!$B$17),'자료_거시'!$D$3:INDEX('자료_거시'!$D$3:$D$4002,$K$6),1)),""),"")</f>
        <v/>
      </c>
      <c r="U2417">
        <f>IF(ISNUMBER(T2417),'자료_거시'!$D2399,"")</f>
        <v/>
      </c>
      <c r="V2417">
        <f>IF(ISNUMBER(U2417),IF(U2417&gt;$L$6,T2417,""),"")</f>
        <v/>
      </c>
      <c r="W2417">
        <f>IF(AND(ISNUMBER('자료_거시'!$G2399),ISNUMBER('자료_거시'!$H2399)),'자료_거시'!$H2399,"")</f>
        <v/>
      </c>
      <c r="X2417">
        <f>IF(ISNUMBER(W2417),'자료_거시'!$G2399,"")</f>
        <v/>
      </c>
      <c r="Y2417">
        <f>IF(ISNUMBER(X2417),IF(X2417&gt;$L$7,W2417,""),"")</f>
        <v/>
      </c>
      <c r="Z2417">
        <f>IF(ISNUMBER('자료_거시'!$K2399),'자료_거시'!$K2399,Z2416)</f>
        <v/>
      </c>
      <c r="AA2417">
        <f>IF(AND(ISNUMBER('자료_거시'!$J2399),ISNUMBER('자료_거시'!$K2399)),IFERROR('자료_거시'!$K2399/INDEX($Z$21:$Z$4020,MATCH(EDATE('자료_거시'!$J2399,-'설정'!$B$17),'자료_거시'!$J$3:INDEX('자료_거시'!$J$3:$J$4002,$K$8),1))-1,""),"")</f>
        <v/>
      </c>
      <c r="AB2417">
        <f>IF(ISNUMBER(AA2417),'자료_거시'!$J2399,"")</f>
        <v/>
      </c>
      <c r="AC2417">
        <f>IF(ISNUMBER(AB2417),IF(AB2417&gt;$L$8,AA2417,""),"")</f>
        <v/>
      </c>
    </row>
    <row r="2418">
      <c r="S2418">
        <f>IF(ISNUMBER('자료_거시'!$E2400),'자료_거시'!$E2400,S2417)</f>
        <v/>
      </c>
      <c r="T2418">
        <f>IF(AND(ISNUMBER('자료_거시'!$D2400),ISNUMBER('자료_거시'!$E2400)),IFERROR('자료_거시'!$E2400-INDEX($S$21:$S$4020,MATCH(EDATE('자료_거시'!$D2400,-'설정'!$B$17),'자료_거시'!$D$3:INDEX('자료_거시'!$D$3:$D$4002,$K$6),1)),""),"")</f>
        <v/>
      </c>
      <c r="U2418">
        <f>IF(ISNUMBER(T2418),'자료_거시'!$D2400,"")</f>
        <v/>
      </c>
      <c r="V2418">
        <f>IF(ISNUMBER(U2418),IF(U2418&gt;$L$6,T2418,""),"")</f>
        <v/>
      </c>
      <c r="W2418">
        <f>IF(AND(ISNUMBER('자료_거시'!$G2400),ISNUMBER('자료_거시'!$H2400)),'자료_거시'!$H2400,"")</f>
        <v/>
      </c>
      <c r="X2418">
        <f>IF(ISNUMBER(W2418),'자료_거시'!$G2400,"")</f>
        <v/>
      </c>
      <c r="Y2418">
        <f>IF(ISNUMBER(X2418),IF(X2418&gt;$L$7,W2418,""),"")</f>
        <v/>
      </c>
      <c r="Z2418">
        <f>IF(ISNUMBER('자료_거시'!$K2400),'자료_거시'!$K2400,Z2417)</f>
        <v/>
      </c>
      <c r="AA2418">
        <f>IF(AND(ISNUMBER('자료_거시'!$J2400),ISNUMBER('자료_거시'!$K2400)),IFERROR('자료_거시'!$K2400/INDEX($Z$21:$Z$4020,MATCH(EDATE('자료_거시'!$J2400,-'설정'!$B$17),'자료_거시'!$J$3:INDEX('자료_거시'!$J$3:$J$4002,$K$8),1))-1,""),"")</f>
        <v/>
      </c>
      <c r="AB2418">
        <f>IF(ISNUMBER(AA2418),'자료_거시'!$J2400,"")</f>
        <v/>
      </c>
      <c r="AC2418">
        <f>IF(ISNUMBER(AB2418),IF(AB2418&gt;$L$8,AA2418,""),"")</f>
        <v/>
      </c>
    </row>
    <row r="2419">
      <c r="S2419">
        <f>IF(ISNUMBER('자료_거시'!$E2401),'자료_거시'!$E2401,S2418)</f>
        <v/>
      </c>
      <c r="T2419">
        <f>IF(AND(ISNUMBER('자료_거시'!$D2401),ISNUMBER('자료_거시'!$E2401)),IFERROR('자료_거시'!$E2401-INDEX($S$21:$S$4020,MATCH(EDATE('자료_거시'!$D2401,-'설정'!$B$17),'자료_거시'!$D$3:INDEX('자료_거시'!$D$3:$D$4002,$K$6),1)),""),"")</f>
        <v/>
      </c>
      <c r="U2419">
        <f>IF(ISNUMBER(T2419),'자료_거시'!$D2401,"")</f>
        <v/>
      </c>
      <c r="V2419">
        <f>IF(ISNUMBER(U2419),IF(U2419&gt;$L$6,T2419,""),"")</f>
        <v/>
      </c>
      <c r="W2419">
        <f>IF(AND(ISNUMBER('자료_거시'!$G2401),ISNUMBER('자료_거시'!$H2401)),'자료_거시'!$H2401,"")</f>
        <v/>
      </c>
      <c r="X2419">
        <f>IF(ISNUMBER(W2419),'자료_거시'!$G2401,"")</f>
        <v/>
      </c>
      <c r="Y2419">
        <f>IF(ISNUMBER(X2419),IF(X2419&gt;$L$7,W2419,""),"")</f>
        <v/>
      </c>
      <c r="Z2419">
        <f>IF(ISNUMBER('자료_거시'!$K2401),'자료_거시'!$K2401,Z2418)</f>
        <v/>
      </c>
      <c r="AA2419">
        <f>IF(AND(ISNUMBER('자료_거시'!$J2401),ISNUMBER('자료_거시'!$K2401)),IFERROR('자료_거시'!$K2401/INDEX($Z$21:$Z$4020,MATCH(EDATE('자료_거시'!$J2401,-'설정'!$B$17),'자료_거시'!$J$3:INDEX('자료_거시'!$J$3:$J$4002,$K$8),1))-1,""),"")</f>
        <v/>
      </c>
      <c r="AB2419">
        <f>IF(ISNUMBER(AA2419),'자료_거시'!$J2401,"")</f>
        <v/>
      </c>
      <c r="AC2419">
        <f>IF(ISNUMBER(AB2419),IF(AB2419&gt;$L$8,AA2419,""),"")</f>
        <v/>
      </c>
    </row>
    <row r="2420">
      <c r="S2420">
        <f>IF(ISNUMBER('자료_거시'!$E2402),'자료_거시'!$E2402,S2419)</f>
        <v/>
      </c>
      <c r="T2420">
        <f>IF(AND(ISNUMBER('자료_거시'!$D2402),ISNUMBER('자료_거시'!$E2402)),IFERROR('자료_거시'!$E2402-INDEX($S$21:$S$4020,MATCH(EDATE('자료_거시'!$D2402,-'설정'!$B$17),'자료_거시'!$D$3:INDEX('자료_거시'!$D$3:$D$4002,$K$6),1)),""),"")</f>
        <v/>
      </c>
      <c r="U2420">
        <f>IF(ISNUMBER(T2420),'자료_거시'!$D2402,"")</f>
        <v/>
      </c>
      <c r="V2420">
        <f>IF(ISNUMBER(U2420),IF(U2420&gt;$L$6,T2420,""),"")</f>
        <v/>
      </c>
      <c r="W2420">
        <f>IF(AND(ISNUMBER('자료_거시'!$G2402),ISNUMBER('자료_거시'!$H2402)),'자료_거시'!$H2402,"")</f>
        <v/>
      </c>
      <c r="X2420">
        <f>IF(ISNUMBER(W2420),'자료_거시'!$G2402,"")</f>
        <v/>
      </c>
      <c r="Y2420">
        <f>IF(ISNUMBER(X2420),IF(X2420&gt;$L$7,W2420,""),"")</f>
        <v/>
      </c>
      <c r="Z2420">
        <f>IF(ISNUMBER('자료_거시'!$K2402),'자료_거시'!$K2402,Z2419)</f>
        <v/>
      </c>
      <c r="AA2420">
        <f>IF(AND(ISNUMBER('자료_거시'!$J2402),ISNUMBER('자료_거시'!$K2402)),IFERROR('자료_거시'!$K2402/INDEX($Z$21:$Z$4020,MATCH(EDATE('자료_거시'!$J2402,-'설정'!$B$17),'자료_거시'!$J$3:INDEX('자료_거시'!$J$3:$J$4002,$K$8),1))-1,""),"")</f>
        <v/>
      </c>
      <c r="AB2420">
        <f>IF(ISNUMBER(AA2420),'자료_거시'!$J2402,"")</f>
        <v/>
      </c>
      <c r="AC2420">
        <f>IF(ISNUMBER(AB2420),IF(AB2420&gt;$L$8,AA2420,""),"")</f>
        <v/>
      </c>
    </row>
    <row r="2421">
      <c r="S2421">
        <f>IF(ISNUMBER('자료_거시'!$E2403),'자료_거시'!$E2403,S2420)</f>
        <v/>
      </c>
      <c r="T2421">
        <f>IF(AND(ISNUMBER('자료_거시'!$D2403),ISNUMBER('자료_거시'!$E2403)),IFERROR('자료_거시'!$E2403-INDEX($S$21:$S$4020,MATCH(EDATE('자료_거시'!$D2403,-'설정'!$B$17),'자료_거시'!$D$3:INDEX('자료_거시'!$D$3:$D$4002,$K$6),1)),""),"")</f>
        <v/>
      </c>
      <c r="U2421">
        <f>IF(ISNUMBER(T2421),'자료_거시'!$D2403,"")</f>
        <v/>
      </c>
      <c r="V2421">
        <f>IF(ISNUMBER(U2421),IF(U2421&gt;$L$6,T2421,""),"")</f>
        <v/>
      </c>
      <c r="W2421">
        <f>IF(AND(ISNUMBER('자료_거시'!$G2403),ISNUMBER('자료_거시'!$H2403)),'자료_거시'!$H2403,"")</f>
        <v/>
      </c>
      <c r="X2421">
        <f>IF(ISNUMBER(W2421),'자료_거시'!$G2403,"")</f>
        <v/>
      </c>
      <c r="Y2421">
        <f>IF(ISNUMBER(X2421),IF(X2421&gt;$L$7,W2421,""),"")</f>
        <v/>
      </c>
      <c r="Z2421">
        <f>IF(ISNUMBER('자료_거시'!$K2403),'자료_거시'!$K2403,Z2420)</f>
        <v/>
      </c>
      <c r="AA2421">
        <f>IF(AND(ISNUMBER('자료_거시'!$J2403),ISNUMBER('자료_거시'!$K2403)),IFERROR('자료_거시'!$K2403/INDEX($Z$21:$Z$4020,MATCH(EDATE('자료_거시'!$J2403,-'설정'!$B$17),'자료_거시'!$J$3:INDEX('자료_거시'!$J$3:$J$4002,$K$8),1))-1,""),"")</f>
        <v/>
      </c>
      <c r="AB2421">
        <f>IF(ISNUMBER(AA2421),'자료_거시'!$J2403,"")</f>
        <v/>
      </c>
      <c r="AC2421">
        <f>IF(ISNUMBER(AB2421),IF(AB2421&gt;$L$8,AA2421,""),"")</f>
        <v/>
      </c>
    </row>
    <row r="2422">
      <c r="S2422">
        <f>IF(ISNUMBER('자료_거시'!$E2404),'자료_거시'!$E2404,S2421)</f>
        <v/>
      </c>
      <c r="T2422">
        <f>IF(AND(ISNUMBER('자료_거시'!$D2404),ISNUMBER('자료_거시'!$E2404)),IFERROR('자료_거시'!$E2404-INDEX($S$21:$S$4020,MATCH(EDATE('자료_거시'!$D2404,-'설정'!$B$17),'자료_거시'!$D$3:INDEX('자료_거시'!$D$3:$D$4002,$K$6),1)),""),"")</f>
        <v/>
      </c>
      <c r="U2422">
        <f>IF(ISNUMBER(T2422),'자료_거시'!$D2404,"")</f>
        <v/>
      </c>
      <c r="V2422">
        <f>IF(ISNUMBER(U2422),IF(U2422&gt;$L$6,T2422,""),"")</f>
        <v/>
      </c>
      <c r="W2422">
        <f>IF(AND(ISNUMBER('자료_거시'!$G2404),ISNUMBER('자료_거시'!$H2404)),'자료_거시'!$H2404,"")</f>
        <v/>
      </c>
      <c r="X2422">
        <f>IF(ISNUMBER(W2422),'자료_거시'!$G2404,"")</f>
        <v/>
      </c>
      <c r="Y2422">
        <f>IF(ISNUMBER(X2422),IF(X2422&gt;$L$7,W2422,""),"")</f>
        <v/>
      </c>
      <c r="Z2422">
        <f>IF(ISNUMBER('자료_거시'!$K2404),'자료_거시'!$K2404,Z2421)</f>
        <v/>
      </c>
      <c r="AA2422">
        <f>IF(AND(ISNUMBER('자료_거시'!$J2404),ISNUMBER('자료_거시'!$K2404)),IFERROR('자료_거시'!$K2404/INDEX($Z$21:$Z$4020,MATCH(EDATE('자료_거시'!$J2404,-'설정'!$B$17),'자료_거시'!$J$3:INDEX('자료_거시'!$J$3:$J$4002,$K$8),1))-1,""),"")</f>
        <v/>
      </c>
      <c r="AB2422">
        <f>IF(ISNUMBER(AA2422),'자료_거시'!$J2404,"")</f>
        <v/>
      </c>
      <c r="AC2422">
        <f>IF(ISNUMBER(AB2422),IF(AB2422&gt;$L$8,AA2422,""),"")</f>
        <v/>
      </c>
    </row>
    <row r="2423">
      <c r="S2423">
        <f>IF(ISNUMBER('자료_거시'!$E2405),'자료_거시'!$E2405,S2422)</f>
        <v/>
      </c>
      <c r="T2423">
        <f>IF(AND(ISNUMBER('자료_거시'!$D2405),ISNUMBER('자료_거시'!$E2405)),IFERROR('자료_거시'!$E2405-INDEX($S$21:$S$4020,MATCH(EDATE('자료_거시'!$D2405,-'설정'!$B$17),'자료_거시'!$D$3:INDEX('자료_거시'!$D$3:$D$4002,$K$6),1)),""),"")</f>
        <v/>
      </c>
      <c r="U2423">
        <f>IF(ISNUMBER(T2423),'자료_거시'!$D2405,"")</f>
        <v/>
      </c>
      <c r="V2423">
        <f>IF(ISNUMBER(U2423),IF(U2423&gt;$L$6,T2423,""),"")</f>
        <v/>
      </c>
      <c r="W2423">
        <f>IF(AND(ISNUMBER('자료_거시'!$G2405),ISNUMBER('자료_거시'!$H2405)),'자료_거시'!$H2405,"")</f>
        <v/>
      </c>
      <c r="X2423">
        <f>IF(ISNUMBER(W2423),'자료_거시'!$G2405,"")</f>
        <v/>
      </c>
      <c r="Y2423">
        <f>IF(ISNUMBER(X2423),IF(X2423&gt;$L$7,W2423,""),"")</f>
        <v/>
      </c>
      <c r="Z2423">
        <f>IF(ISNUMBER('자료_거시'!$K2405),'자료_거시'!$K2405,Z2422)</f>
        <v/>
      </c>
      <c r="AA2423">
        <f>IF(AND(ISNUMBER('자료_거시'!$J2405),ISNUMBER('자료_거시'!$K2405)),IFERROR('자료_거시'!$K2405/INDEX($Z$21:$Z$4020,MATCH(EDATE('자료_거시'!$J2405,-'설정'!$B$17),'자료_거시'!$J$3:INDEX('자료_거시'!$J$3:$J$4002,$K$8),1))-1,""),"")</f>
        <v/>
      </c>
      <c r="AB2423">
        <f>IF(ISNUMBER(AA2423),'자료_거시'!$J2405,"")</f>
        <v/>
      </c>
      <c r="AC2423">
        <f>IF(ISNUMBER(AB2423),IF(AB2423&gt;$L$8,AA2423,""),"")</f>
        <v/>
      </c>
    </row>
    <row r="2424">
      <c r="S2424">
        <f>IF(ISNUMBER('자료_거시'!$E2406),'자료_거시'!$E2406,S2423)</f>
        <v/>
      </c>
      <c r="T2424">
        <f>IF(AND(ISNUMBER('자료_거시'!$D2406),ISNUMBER('자료_거시'!$E2406)),IFERROR('자료_거시'!$E2406-INDEX($S$21:$S$4020,MATCH(EDATE('자료_거시'!$D2406,-'설정'!$B$17),'자료_거시'!$D$3:INDEX('자료_거시'!$D$3:$D$4002,$K$6),1)),""),"")</f>
        <v/>
      </c>
      <c r="U2424">
        <f>IF(ISNUMBER(T2424),'자료_거시'!$D2406,"")</f>
        <v/>
      </c>
      <c r="V2424">
        <f>IF(ISNUMBER(U2424),IF(U2424&gt;$L$6,T2424,""),"")</f>
        <v/>
      </c>
      <c r="W2424">
        <f>IF(AND(ISNUMBER('자료_거시'!$G2406),ISNUMBER('자료_거시'!$H2406)),'자료_거시'!$H2406,"")</f>
        <v/>
      </c>
      <c r="X2424">
        <f>IF(ISNUMBER(W2424),'자료_거시'!$G2406,"")</f>
        <v/>
      </c>
      <c r="Y2424">
        <f>IF(ISNUMBER(X2424),IF(X2424&gt;$L$7,W2424,""),"")</f>
        <v/>
      </c>
      <c r="Z2424">
        <f>IF(ISNUMBER('자료_거시'!$K2406),'자료_거시'!$K2406,Z2423)</f>
        <v/>
      </c>
      <c r="AA2424">
        <f>IF(AND(ISNUMBER('자료_거시'!$J2406),ISNUMBER('자료_거시'!$K2406)),IFERROR('자료_거시'!$K2406/INDEX($Z$21:$Z$4020,MATCH(EDATE('자료_거시'!$J2406,-'설정'!$B$17),'자료_거시'!$J$3:INDEX('자료_거시'!$J$3:$J$4002,$K$8),1))-1,""),"")</f>
        <v/>
      </c>
      <c r="AB2424">
        <f>IF(ISNUMBER(AA2424),'자료_거시'!$J2406,"")</f>
        <v/>
      </c>
      <c r="AC2424">
        <f>IF(ISNUMBER(AB2424),IF(AB2424&gt;$L$8,AA2424,""),"")</f>
        <v/>
      </c>
    </row>
    <row r="2425">
      <c r="S2425">
        <f>IF(ISNUMBER('자료_거시'!$E2407),'자료_거시'!$E2407,S2424)</f>
        <v/>
      </c>
      <c r="T2425">
        <f>IF(AND(ISNUMBER('자료_거시'!$D2407),ISNUMBER('자료_거시'!$E2407)),IFERROR('자료_거시'!$E2407-INDEX($S$21:$S$4020,MATCH(EDATE('자료_거시'!$D2407,-'설정'!$B$17),'자료_거시'!$D$3:INDEX('자료_거시'!$D$3:$D$4002,$K$6),1)),""),"")</f>
        <v/>
      </c>
      <c r="U2425">
        <f>IF(ISNUMBER(T2425),'자료_거시'!$D2407,"")</f>
        <v/>
      </c>
      <c r="V2425">
        <f>IF(ISNUMBER(U2425),IF(U2425&gt;$L$6,T2425,""),"")</f>
        <v/>
      </c>
      <c r="W2425">
        <f>IF(AND(ISNUMBER('자료_거시'!$G2407),ISNUMBER('자료_거시'!$H2407)),'자료_거시'!$H2407,"")</f>
        <v/>
      </c>
      <c r="X2425">
        <f>IF(ISNUMBER(W2425),'자료_거시'!$G2407,"")</f>
        <v/>
      </c>
      <c r="Y2425">
        <f>IF(ISNUMBER(X2425),IF(X2425&gt;$L$7,W2425,""),"")</f>
        <v/>
      </c>
      <c r="Z2425">
        <f>IF(ISNUMBER('자료_거시'!$K2407),'자료_거시'!$K2407,Z2424)</f>
        <v/>
      </c>
      <c r="AA2425">
        <f>IF(AND(ISNUMBER('자료_거시'!$J2407),ISNUMBER('자료_거시'!$K2407)),IFERROR('자료_거시'!$K2407/INDEX($Z$21:$Z$4020,MATCH(EDATE('자료_거시'!$J2407,-'설정'!$B$17),'자료_거시'!$J$3:INDEX('자료_거시'!$J$3:$J$4002,$K$8),1))-1,""),"")</f>
        <v/>
      </c>
      <c r="AB2425">
        <f>IF(ISNUMBER(AA2425),'자료_거시'!$J2407,"")</f>
        <v/>
      </c>
      <c r="AC2425">
        <f>IF(ISNUMBER(AB2425),IF(AB2425&gt;$L$8,AA2425,""),"")</f>
        <v/>
      </c>
    </row>
    <row r="2426">
      <c r="S2426">
        <f>IF(ISNUMBER('자료_거시'!$E2408),'자료_거시'!$E2408,S2425)</f>
        <v/>
      </c>
      <c r="T2426">
        <f>IF(AND(ISNUMBER('자료_거시'!$D2408),ISNUMBER('자료_거시'!$E2408)),IFERROR('자료_거시'!$E2408-INDEX($S$21:$S$4020,MATCH(EDATE('자료_거시'!$D2408,-'설정'!$B$17),'자료_거시'!$D$3:INDEX('자료_거시'!$D$3:$D$4002,$K$6),1)),""),"")</f>
        <v/>
      </c>
      <c r="U2426">
        <f>IF(ISNUMBER(T2426),'자료_거시'!$D2408,"")</f>
        <v/>
      </c>
      <c r="V2426">
        <f>IF(ISNUMBER(U2426),IF(U2426&gt;$L$6,T2426,""),"")</f>
        <v/>
      </c>
      <c r="W2426">
        <f>IF(AND(ISNUMBER('자료_거시'!$G2408),ISNUMBER('자료_거시'!$H2408)),'자료_거시'!$H2408,"")</f>
        <v/>
      </c>
      <c r="X2426">
        <f>IF(ISNUMBER(W2426),'자료_거시'!$G2408,"")</f>
        <v/>
      </c>
      <c r="Y2426">
        <f>IF(ISNUMBER(X2426),IF(X2426&gt;$L$7,W2426,""),"")</f>
        <v/>
      </c>
      <c r="Z2426">
        <f>IF(ISNUMBER('자료_거시'!$K2408),'자료_거시'!$K2408,Z2425)</f>
        <v/>
      </c>
      <c r="AA2426">
        <f>IF(AND(ISNUMBER('자료_거시'!$J2408),ISNUMBER('자료_거시'!$K2408)),IFERROR('자료_거시'!$K2408/INDEX($Z$21:$Z$4020,MATCH(EDATE('자료_거시'!$J2408,-'설정'!$B$17),'자료_거시'!$J$3:INDEX('자료_거시'!$J$3:$J$4002,$K$8),1))-1,""),"")</f>
        <v/>
      </c>
      <c r="AB2426">
        <f>IF(ISNUMBER(AA2426),'자료_거시'!$J2408,"")</f>
        <v/>
      </c>
      <c r="AC2426">
        <f>IF(ISNUMBER(AB2426),IF(AB2426&gt;$L$8,AA2426,""),"")</f>
        <v/>
      </c>
    </row>
    <row r="2427">
      <c r="S2427">
        <f>IF(ISNUMBER('자료_거시'!$E2409),'자료_거시'!$E2409,S2426)</f>
        <v/>
      </c>
      <c r="T2427">
        <f>IF(AND(ISNUMBER('자료_거시'!$D2409),ISNUMBER('자료_거시'!$E2409)),IFERROR('자료_거시'!$E2409-INDEX($S$21:$S$4020,MATCH(EDATE('자료_거시'!$D2409,-'설정'!$B$17),'자료_거시'!$D$3:INDEX('자료_거시'!$D$3:$D$4002,$K$6),1)),""),"")</f>
        <v/>
      </c>
      <c r="U2427">
        <f>IF(ISNUMBER(T2427),'자료_거시'!$D2409,"")</f>
        <v/>
      </c>
      <c r="V2427">
        <f>IF(ISNUMBER(U2427),IF(U2427&gt;$L$6,T2427,""),"")</f>
        <v/>
      </c>
      <c r="W2427">
        <f>IF(AND(ISNUMBER('자료_거시'!$G2409),ISNUMBER('자료_거시'!$H2409)),'자료_거시'!$H2409,"")</f>
        <v/>
      </c>
      <c r="X2427">
        <f>IF(ISNUMBER(W2427),'자료_거시'!$G2409,"")</f>
        <v/>
      </c>
      <c r="Y2427">
        <f>IF(ISNUMBER(X2427),IF(X2427&gt;$L$7,W2427,""),"")</f>
        <v/>
      </c>
      <c r="Z2427">
        <f>IF(ISNUMBER('자료_거시'!$K2409),'자료_거시'!$K2409,Z2426)</f>
        <v/>
      </c>
      <c r="AA2427">
        <f>IF(AND(ISNUMBER('자료_거시'!$J2409),ISNUMBER('자료_거시'!$K2409)),IFERROR('자료_거시'!$K2409/INDEX($Z$21:$Z$4020,MATCH(EDATE('자료_거시'!$J2409,-'설정'!$B$17),'자료_거시'!$J$3:INDEX('자료_거시'!$J$3:$J$4002,$K$8),1))-1,""),"")</f>
        <v/>
      </c>
      <c r="AB2427">
        <f>IF(ISNUMBER(AA2427),'자료_거시'!$J2409,"")</f>
        <v/>
      </c>
      <c r="AC2427">
        <f>IF(ISNUMBER(AB2427),IF(AB2427&gt;$L$8,AA2427,""),"")</f>
        <v/>
      </c>
    </row>
    <row r="2428">
      <c r="S2428">
        <f>IF(ISNUMBER('자료_거시'!$E2410),'자료_거시'!$E2410,S2427)</f>
        <v/>
      </c>
      <c r="T2428">
        <f>IF(AND(ISNUMBER('자료_거시'!$D2410),ISNUMBER('자료_거시'!$E2410)),IFERROR('자료_거시'!$E2410-INDEX($S$21:$S$4020,MATCH(EDATE('자료_거시'!$D2410,-'설정'!$B$17),'자료_거시'!$D$3:INDEX('자료_거시'!$D$3:$D$4002,$K$6),1)),""),"")</f>
        <v/>
      </c>
      <c r="U2428">
        <f>IF(ISNUMBER(T2428),'자료_거시'!$D2410,"")</f>
        <v/>
      </c>
      <c r="V2428">
        <f>IF(ISNUMBER(U2428),IF(U2428&gt;$L$6,T2428,""),"")</f>
        <v/>
      </c>
      <c r="W2428">
        <f>IF(AND(ISNUMBER('자료_거시'!$G2410),ISNUMBER('자료_거시'!$H2410)),'자료_거시'!$H2410,"")</f>
        <v/>
      </c>
      <c r="X2428">
        <f>IF(ISNUMBER(W2428),'자료_거시'!$G2410,"")</f>
        <v/>
      </c>
      <c r="Y2428">
        <f>IF(ISNUMBER(X2428),IF(X2428&gt;$L$7,W2428,""),"")</f>
        <v/>
      </c>
      <c r="Z2428">
        <f>IF(ISNUMBER('자료_거시'!$K2410),'자료_거시'!$K2410,Z2427)</f>
        <v/>
      </c>
      <c r="AA2428">
        <f>IF(AND(ISNUMBER('자료_거시'!$J2410),ISNUMBER('자료_거시'!$K2410)),IFERROR('자료_거시'!$K2410/INDEX($Z$21:$Z$4020,MATCH(EDATE('자료_거시'!$J2410,-'설정'!$B$17),'자료_거시'!$J$3:INDEX('자료_거시'!$J$3:$J$4002,$K$8),1))-1,""),"")</f>
        <v/>
      </c>
      <c r="AB2428">
        <f>IF(ISNUMBER(AA2428),'자료_거시'!$J2410,"")</f>
        <v/>
      </c>
      <c r="AC2428">
        <f>IF(ISNUMBER(AB2428),IF(AB2428&gt;$L$8,AA2428,""),"")</f>
        <v/>
      </c>
    </row>
    <row r="2429">
      <c r="S2429">
        <f>IF(ISNUMBER('자료_거시'!$E2411),'자료_거시'!$E2411,S2428)</f>
        <v/>
      </c>
      <c r="T2429">
        <f>IF(AND(ISNUMBER('자료_거시'!$D2411),ISNUMBER('자료_거시'!$E2411)),IFERROR('자료_거시'!$E2411-INDEX($S$21:$S$4020,MATCH(EDATE('자료_거시'!$D2411,-'설정'!$B$17),'자료_거시'!$D$3:INDEX('자료_거시'!$D$3:$D$4002,$K$6),1)),""),"")</f>
        <v/>
      </c>
      <c r="U2429">
        <f>IF(ISNUMBER(T2429),'자료_거시'!$D2411,"")</f>
        <v/>
      </c>
      <c r="V2429">
        <f>IF(ISNUMBER(U2429),IF(U2429&gt;$L$6,T2429,""),"")</f>
        <v/>
      </c>
      <c r="W2429">
        <f>IF(AND(ISNUMBER('자료_거시'!$G2411),ISNUMBER('자료_거시'!$H2411)),'자료_거시'!$H2411,"")</f>
        <v/>
      </c>
      <c r="X2429">
        <f>IF(ISNUMBER(W2429),'자료_거시'!$G2411,"")</f>
        <v/>
      </c>
      <c r="Y2429">
        <f>IF(ISNUMBER(X2429),IF(X2429&gt;$L$7,W2429,""),"")</f>
        <v/>
      </c>
      <c r="Z2429">
        <f>IF(ISNUMBER('자료_거시'!$K2411),'자료_거시'!$K2411,Z2428)</f>
        <v/>
      </c>
      <c r="AA2429">
        <f>IF(AND(ISNUMBER('자료_거시'!$J2411),ISNUMBER('자료_거시'!$K2411)),IFERROR('자료_거시'!$K2411/INDEX($Z$21:$Z$4020,MATCH(EDATE('자료_거시'!$J2411,-'설정'!$B$17),'자료_거시'!$J$3:INDEX('자료_거시'!$J$3:$J$4002,$K$8),1))-1,""),"")</f>
        <v/>
      </c>
      <c r="AB2429">
        <f>IF(ISNUMBER(AA2429),'자료_거시'!$J2411,"")</f>
        <v/>
      </c>
      <c r="AC2429">
        <f>IF(ISNUMBER(AB2429),IF(AB2429&gt;$L$8,AA2429,""),"")</f>
        <v/>
      </c>
    </row>
    <row r="2430">
      <c r="S2430">
        <f>IF(ISNUMBER('자료_거시'!$E2412),'자료_거시'!$E2412,S2429)</f>
        <v/>
      </c>
      <c r="T2430">
        <f>IF(AND(ISNUMBER('자료_거시'!$D2412),ISNUMBER('자료_거시'!$E2412)),IFERROR('자료_거시'!$E2412-INDEX($S$21:$S$4020,MATCH(EDATE('자료_거시'!$D2412,-'설정'!$B$17),'자료_거시'!$D$3:INDEX('자료_거시'!$D$3:$D$4002,$K$6),1)),""),"")</f>
        <v/>
      </c>
      <c r="U2430">
        <f>IF(ISNUMBER(T2430),'자료_거시'!$D2412,"")</f>
        <v/>
      </c>
      <c r="V2430">
        <f>IF(ISNUMBER(U2430),IF(U2430&gt;$L$6,T2430,""),"")</f>
        <v/>
      </c>
      <c r="W2430">
        <f>IF(AND(ISNUMBER('자료_거시'!$G2412),ISNUMBER('자료_거시'!$H2412)),'자료_거시'!$H2412,"")</f>
        <v/>
      </c>
      <c r="X2430">
        <f>IF(ISNUMBER(W2430),'자료_거시'!$G2412,"")</f>
        <v/>
      </c>
      <c r="Y2430">
        <f>IF(ISNUMBER(X2430),IF(X2430&gt;$L$7,W2430,""),"")</f>
        <v/>
      </c>
      <c r="Z2430">
        <f>IF(ISNUMBER('자료_거시'!$K2412),'자료_거시'!$K2412,Z2429)</f>
        <v/>
      </c>
      <c r="AA2430">
        <f>IF(AND(ISNUMBER('자료_거시'!$J2412),ISNUMBER('자료_거시'!$K2412)),IFERROR('자료_거시'!$K2412/INDEX($Z$21:$Z$4020,MATCH(EDATE('자료_거시'!$J2412,-'설정'!$B$17),'자료_거시'!$J$3:INDEX('자료_거시'!$J$3:$J$4002,$K$8),1))-1,""),"")</f>
        <v/>
      </c>
      <c r="AB2430">
        <f>IF(ISNUMBER(AA2430),'자료_거시'!$J2412,"")</f>
        <v/>
      </c>
      <c r="AC2430">
        <f>IF(ISNUMBER(AB2430),IF(AB2430&gt;$L$8,AA2430,""),"")</f>
        <v/>
      </c>
    </row>
    <row r="2431">
      <c r="S2431">
        <f>IF(ISNUMBER('자료_거시'!$E2413),'자료_거시'!$E2413,S2430)</f>
        <v/>
      </c>
      <c r="T2431">
        <f>IF(AND(ISNUMBER('자료_거시'!$D2413),ISNUMBER('자료_거시'!$E2413)),IFERROR('자료_거시'!$E2413-INDEX($S$21:$S$4020,MATCH(EDATE('자료_거시'!$D2413,-'설정'!$B$17),'자료_거시'!$D$3:INDEX('자료_거시'!$D$3:$D$4002,$K$6),1)),""),"")</f>
        <v/>
      </c>
      <c r="U2431">
        <f>IF(ISNUMBER(T2431),'자료_거시'!$D2413,"")</f>
        <v/>
      </c>
      <c r="V2431">
        <f>IF(ISNUMBER(U2431),IF(U2431&gt;$L$6,T2431,""),"")</f>
        <v/>
      </c>
      <c r="W2431">
        <f>IF(AND(ISNUMBER('자료_거시'!$G2413),ISNUMBER('자료_거시'!$H2413)),'자료_거시'!$H2413,"")</f>
        <v/>
      </c>
      <c r="X2431">
        <f>IF(ISNUMBER(W2431),'자료_거시'!$G2413,"")</f>
        <v/>
      </c>
      <c r="Y2431">
        <f>IF(ISNUMBER(X2431),IF(X2431&gt;$L$7,W2431,""),"")</f>
        <v/>
      </c>
      <c r="Z2431">
        <f>IF(ISNUMBER('자료_거시'!$K2413),'자료_거시'!$K2413,Z2430)</f>
        <v/>
      </c>
      <c r="AA2431">
        <f>IF(AND(ISNUMBER('자료_거시'!$J2413),ISNUMBER('자료_거시'!$K2413)),IFERROR('자료_거시'!$K2413/INDEX($Z$21:$Z$4020,MATCH(EDATE('자료_거시'!$J2413,-'설정'!$B$17),'자료_거시'!$J$3:INDEX('자료_거시'!$J$3:$J$4002,$K$8),1))-1,""),"")</f>
        <v/>
      </c>
      <c r="AB2431">
        <f>IF(ISNUMBER(AA2431),'자료_거시'!$J2413,"")</f>
        <v/>
      </c>
      <c r="AC2431">
        <f>IF(ISNUMBER(AB2431),IF(AB2431&gt;$L$8,AA2431,""),"")</f>
        <v/>
      </c>
    </row>
    <row r="2432">
      <c r="S2432">
        <f>IF(ISNUMBER('자료_거시'!$E2414),'자료_거시'!$E2414,S2431)</f>
        <v/>
      </c>
      <c r="T2432">
        <f>IF(AND(ISNUMBER('자료_거시'!$D2414),ISNUMBER('자료_거시'!$E2414)),IFERROR('자료_거시'!$E2414-INDEX($S$21:$S$4020,MATCH(EDATE('자료_거시'!$D2414,-'설정'!$B$17),'자료_거시'!$D$3:INDEX('자료_거시'!$D$3:$D$4002,$K$6),1)),""),"")</f>
        <v/>
      </c>
      <c r="U2432">
        <f>IF(ISNUMBER(T2432),'자료_거시'!$D2414,"")</f>
        <v/>
      </c>
      <c r="V2432">
        <f>IF(ISNUMBER(U2432),IF(U2432&gt;$L$6,T2432,""),"")</f>
        <v/>
      </c>
      <c r="W2432">
        <f>IF(AND(ISNUMBER('자료_거시'!$G2414),ISNUMBER('자료_거시'!$H2414)),'자료_거시'!$H2414,"")</f>
        <v/>
      </c>
      <c r="X2432">
        <f>IF(ISNUMBER(W2432),'자료_거시'!$G2414,"")</f>
        <v/>
      </c>
      <c r="Y2432">
        <f>IF(ISNUMBER(X2432),IF(X2432&gt;$L$7,W2432,""),"")</f>
        <v/>
      </c>
      <c r="Z2432">
        <f>IF(ISNUMBER('자료_거시'!$K2414),'자료_거시'!$K2414,Z2431)</f>
        <v/>
      </c>
      <c r="AA2432">
        <f>IF(AND(ISNUMBER('자료_거시'!$J2414),ISNUMBER('자료_거시'!$K2414)),IFERROR('자료_거시'!$K2414/INDEX($Z$21:$Z$4020,MATCH(EDATE('자료_거시'!$J2414,-'설정'!$B$17),'자료_거시'!$J$3:INDEX('자료_거시'!$J$3:$J$4002,$K$8),1))-1,""),"")</f>
        <v/>
      </c>
      <c r="AB2432">
        <f>IF(ISNUMBER(AA2432),'자료_거시'!$J2414,"")</f>
        <v/>
      </c>
      <c r="AC2432">
        <f>IF(ISNUMBER(AB2432),IF(AB2432&gt;$L$8,AA2432,""),"")</f>
        <v/>
      </c>
    </row>
    <row r="2433">
      <c r="S2433">
        <f>IF(ISNUMBER('자료_거시'!$E2415),'자료_거시'!$E2415,S2432)</f>
        <v/>
      </c>
      <c r="T2433">
        <f>IF(AND(ISNUMBER('자료_거시'!$D2415),ISNUMBER('자료_거시'!$E2415)),IFERROR('자료_거시'!$E2415-INDEX($S$21:$S$4020,MATCH(EDATE('자료_거시'!$D2415,-'설정'!$B$17),'자료_거시'!$D$3:INDEX('자료_거시'!$D$3:$D$4002,$K$6),1)),""),"")</f>
        <v/>
      </c>
      <c r="U2433">
        <f>IF(ISNUMBER(T2433),'자료_거시'!$D2415,"")</f>
        <v/>
      </c>
      <c r="V2433">
        <f>IF(ISNUMBER(U2433),IF(U2433&gt;$L$6,T2433,""),"")</f>
        <v/>
      </c>
      <c r="W2433">
        <f>IF(AND(ISNUMBER('자료_거시'!$G2415),ISNUMBER('자료_거시'!$H2415)),'자료_거시'!$H2415,"")</f>
        <v/>
      </c>
      <c r="X2433">
        <f>IF(ISNUMBER(W2433),'자료_거시'!$G2415,"")</f>
        <v/>
      </c>
      <c r="Y2433">
        <f>IF(ISNUMBER(X2433),IF(X2433&gt;$L$7,W2433,""),"")</f>
        <v/>
      </c>
      <c r="Z2433">
        <f>IF(ISNUMBER('자료_거시'!$K2415),'자료_거시'!$K2415,Z2432)</f>
        <v/>
      </c>
      <c r="AA2433">
        <f>IF(AND(ISNUMBER('자료_거시'!$J2415),ISNUMBER('자료_거시'!$K2415)),IFERROR('자료_거시'!$K2415/INDEX($Z$21:$Z$4020,MATCH(EDATE('자료_거시'!$J2415,-'설정'!$B$17),'자료_거시'!$J$3:INDEX('자료_거시'!$J$3:$J$4002,$K$8),1))-1,""),"")</f>
        <v/>
      </c>
      <c r="AB2433">
        <f>IF(ISNUMBER(AA2433),'자료_거시'!$J2415,"")</f>
        <v/>
      </c>
      <c r="AC2433">
        <f>IF(ISNUMBER(AB2433),IF(AB2433&gt;$L$8,AA2433,""),"")</f>
        <v/>
      </c>
    </row>
    <row r="2434">
      <c r="S2434">
        <f>IF(ISNUMBER('자료_거시'!$E2416),'자료_거시'!$E2416,S2433)</f>
        <v/>
      </c>
      <c r="T2434">
        <f>IF(AND(ISNUMBER('자료_거시'!$D2416),ISNUMBER('자료_거시'!$E2416)),IFERROR('자료_거시'!$E2416-INDEX($S$21:$S$4020,MATCH(EDATE('자료_거시'!$D2416,-'설정'!$B$17),'자료_거시'!$D$3:INDEX('자료_거시'!$D$3:$D$4002,$K$6),1)),""),"")</f>
        <v/>
      </c>
      <c r="U2434">
        <f>IF(ISNUMBER(T2434),'자료_거시'!$D2416,"")</f>
        <v/>
      </c>
      <c r="V2434">
        <f>IF(ISNUMBER(U2434),IF(U2434&gt;$L$6,T2434,""),"")</f>
        <v/>
      </c>
      <c r="W2434">
        <f>IF(AND(ISNUMBER('자료_거시'!$G2416),ISNUMBER('자료_거시'!$H2416)),'자료_거시'!$H2416,"")</f>
        <v/>
      </c>
      <c r="X2434">
        <f>IF(ISNUMBER(W2434),'자료_거시'!$G2416,"")</f>
        <v/>
      </c>
      <c r="Y2434">
        <f>IF(ISNUMBER(X2434),IF(X2434&gt;$L$7,W2434,""),"")</f>
        <v/>
      </c>
      <c r="Z2434">
        <f>IF(ISNUMBER('자료_거시'!$K2416),'자료_거시'!$K2416,Z2433)</f>
        <v/>
      </c>
      <c r="AA2434">
        <f>IF(AND(ISNUMBER('자료_거시'!$J2416),ISNUMBER('자료_거시'!$K2416)),IFERROR('자료_거시'!$K2416/INDEX($Z$21:$Z$4020,MATCH(EDATE('자료_거시'!$J2416,-'설정'!$B$17),'자료_거시'!$J$3:INDEX('자료_거시'!$J$3:$J$4002,$K$8),1))-1,""),"")</f>
        <v/>
      </c>
      <c r="AB2434">
        <f>IF(ISNUMBER(AA2434),'자료_거시'!$J2416,"")</f>
        <v/>
      </c>
      <c r="AC2434">
        <f>IF(ISNUMBER(AB2434),IF(AB2434&gt;$L$8,AA2434,""),"")</f>
        <v/>
      </c>
    </row>
    <row r="2435">
      <c r="S2435">
        <f>IF(ISNUMBER('자료_거시'!$E2417),'자료_거시'!$E2417,S2434)</f>
        <v/>
      </c>
      <c r="T2435">
        <f>IF(AND(ISNUMBER('자료_거시'!$D2417),ISNUMBER('자료_거시'!$E2417)),IFERROR('자료_거시'!$E2417-INDEX($S$21:$S$4020,MATCH(EDATE('자료_거시'!$D2417,-'설정'!$B$17),'자료_거시'!$D$3:INDEX('자료_거시'!$D$3:$D$4002,$K$6),1)),""),"")</f>
        <v/>
      </c>
      <c r="U2435">
        <f>IF(ISNUMBER(T2435),'자료_거시'!$D2417,"")</f>
        <v/>
      </c>
      <c r="V2435">
        <f>IF(ISNUMBER(U2435),IF(U2435&gt;$L$6,T2435,""),"")</f>
        <v/>
      </c>
      <c r="W2435">
        <f>IF(AND(ISNUMBER('자료_거시'!$G2417),ISNUMBER('자료_거시'!$H2417)),'자료_거시'!$H2417,"")</f>
        <v/>
      </c>
      <c r="X2435">
        <f>IF(ISNUMBER(W2435),'자료_거시'!$G2417,"")</f>
        <v/>
      </c>
      <c r="Y2435">
        <f>IF(ISNUMBER(X2435),IF(X2435&gt;$L$7,W2435,""),"")</f>
        <v/>
      </c>
      <c r="Z2435">
        <f>IF(ISNUMBER('자료_거시'!$K2417),'자료_거시'!$K2417,Z2434)</f>
        <v/>
      </c>
      <c r="AA2435">
        <f>IF(AND(ISNUMBER('자료_거시'!$J2417),ISNUMBER('자료_거시'!$K2417)),IFERROR('자료_거시'!$K2417/INDEX($Z$21:$Z$4020,MATCH(EDATE('자료_거시'!$J2417,-'설정'!$B$17),'자료_거시'!$J$3:INDEX('자료_거시'!$J$3:$J$4002,$K$8),1))-1,""),"")</f>
        <v/>
      </c>
      <c r="AB2435">
        <f>IF(ISNUMBER(AA2435),'자료_거시'!$J2417,"")</f>
        <v/>
      </c>
      <c r="AC2435">
        <f>IF(ISNUMBER(AB2435),IF(AB2435&gt;$L$8,AA2435,""),"")</f>
        <v/>
      </c>
    </row>
    <row r="2436">
      <c r="S2436">
        <f>IF(ISNUMBER('자료_거시'!$E2418),'자료_거시'!$E2418,S2435)</f>
        <v/>
      </c>
      <c r="T2436">
        <f>IF(AND(ISNUMBER('자료_거시'!$D2418),ISNUMBER('자료_거시'!$E2418)),IFERROR('자료_거시'!$E2418-INDEX($S$21:$S$4020,MATCH(EDATE('자료_거시'!$D2418,-'설정'!$B$17),'자료_거시'!$D$3:INDEX('자료_거시'!$D$3:$D$4002,$K$6),1)),""),"")</f>
        <v/>
      </c>
      <c r="U2436">
        <f>IF(ISNUMBER(T2436),'자료_거시'!$D2418,"")</f>
        <v/>
      </c>
      <c r="V2436">
        <f>IF(ISNUMBER(U2436),IF(U2436&gt;$L$6,T2436,""),"")</f>
        <v/>
      </c>
      <c r="W2436">
        <f>IF(AND(ISNUMBER('자료_거시'!$G2418),ISNUMBER('자료_거시'!$H2418)),'자료_거시'!$H2418,"")</f>
        <v/>
      </c>
      <c r="X2436">
        <f>IF(ISNUMBER(W2436),'자료_거시'!$G2418,"")</f>
        <v/>
      </c>
      <c r="Y2436">
        <f>IF(ISNUMBER(X2436),IF(X2436&gt;$L$7,W2436,""),"")</f>
        <v/>
      </c>
      <c r="Z2436">
        <f>IF(ISNUMBER('자료_거시'!$K2418),'자료_거시'!$K2418,Z2435)</f>
        <v/>
      </c>
      <c r="AA2436">
        <f>IF(AND(ISNUMBER('자료_거시'!$J2418),ISNUMBER('자료_거시'!$K2418)),IFERROR('자료_거시'!$K2418/INDEX($Z$21:$Z$4020,MATCH(EDATE('자료_거시'!$J2418,-'설정'!$B$17),'자료_거시'!$J$3:INDEX('자료_거시'!$J$3:$J$4002,$K$8),1))-1,""),"")</f>
        <v/>
      </c>
      <c r="AB2436">
        <f>IF(ISNUMBER(AA2436),'자료_거시'!$J2418,"")</f>
        <v/>
      </c>
      <c r="AC2436">
        <f>IF(ISNUMBER(AB2436),IF(AB2436&gt;$L$8,AA2436,""),"")</f>
        <v/>
      </c>
    </row>
    <row r="2437">
      <c r="S2437">
        <f>IF(ISNUMBER('자료_거시'!$E2419),'자료_거시'!$E2419,S2436)</f>
        <v/>
      </c>
      <c r="T2437">
        <f>IF(AND(ISNUMBER('자료_거시'!$D2419),ISNUMBER('자료_거시'!$E2419)),IFERROR('자료_거시'!$E2419-INDEX($S$21:$S$4020,MATCH(EDATE('자료_거시'!$D2419,-'설정'!$B$17),'자료_거시'!$D$3:INDEX('자료_거시'!$D$3:$D$4002,$K$6),1)),""),"")</f>
        <v/>
      </c>
      <c r="U2437">
        <f>IF(ISNUMBER(T2437),'자료_거시'!$D2419,"")</f>
        <v/>
      </c>
      <c r="V2437">
        <f>IF(ISNUMBER(U2437),IF(U2437&gt;$L$6,T2437,""),"")</f>
        <v/>
      </c>
      <c r="W2437">
        <f>IF(AND(ISNUMBER('자료_거시'!$G2419),ISNUMBER('자료_거시'!$H2419)),'자료_거시'!$H2419,"")</f>
        <v/>
      </c>
      <c r="X2437">
        <f>IF(ISNUMBER(W2437),'자료_거시'!$G2419,"")</f>
        <v/>
      </c>
      <c r="Y2437">
        <f>IF(ISNUMBER(X2437),IF(X2437&gt;$L$7,W2437,""),"")</f>
        <v/>
      </c>
      <c r="Z2437">
        <f>IF(ISNUMBER('자료_거시'!$K2419),'자료_거시'!$K2419,Z2436)</f>
        <v/>
      </c>
      <c r="AA2437">
        <f>IF(AND(ISNUMBER('자료_거시'!$J2419),ISNUMBER('자료_거시'!$K2419)),IFERROR('자료_거시'!$K2419/INDEX($Z$21:$Z$4020,MATCH(EDATE('자료_거시'!$J2419,-'설정'!$B$17),'자료_거시'!$J$3:INDEX('자료_거시'!$J$3:$J$4002,$K$8),1))-1,""),"")</f>
        <v/>
      </c>
      <c r="AB2437">
        <f>IF(ISNUMBER(AA2437),'자료_거시'!$J2419,"")</f>
        <v/>
      </c>
      <c r="AC2437">
        <f>IF(ISNUMBER(AB2437),IF(AB2437&gt;$L$8,AA2437,""),"")</f>
        <v/>
      </c>
    </row>
    <row r="2438">
      <c r="S2438">
        <f>IF(ISNUMBER('자료_거시'!$E2420),'자료_거시'!$E2420,S2437)</f>
        <v/>
      </c>
      <c r="T2438">
        <f>IF(AND(ISNUMBER('자료_거시'!$D2420),ISNUMBER('자료_거시'!$E2420)),IFERROR('자료_거시'!$E2420-INDEX($S$21:$S$4020,MATCH(EDATE('자료_거시'!$D2420,-'설정'!$B$17),'자료_거시'!$D$3:INDEX('자료_거시'!$D$3:$D$4002,$K$6),1)),""),"")</f>
        <v/>
      </c>
      <c r="U2438">
        <f>IF(ISNUMBER(T2438),'자료_거시'!$D2420,"")</f>
        <v/>
      </c>
      <c r="V2438">
        <f>IF(ISNUMBER(U2438),IF(U2438&gt;$L$6,T2438,""),"")</f>
        <v/>
      </c>
      <c r="W2438">
        <f>IF(AND(ISNUMBER('자료_거시'!$G2420),ISNUMBER('자료_거시'!$H2420)),'자료_거시'!$H2420,"")</f>
        <v/>
      </c>
      <c r="X2438">
        <f>IF(ISNUMBER(W2438),'자료_거시'!$G2420,"")</f>
        <v/>
      </c>
      <c r="Y2438">
        <f>IF(ISNUMBER(X2438),IF(X2438&gt;$L$7,W2438,""),"")</f>
        <v/>
      </c>
      <c r="Z2438">
        <f>IF(ISNUMBER('자료_거시'!$K2420),'자료_거시'!$K2420,Z2437)</f>
        <v/>
      </c>
      <c r="AA2438">
        <f>IF(AND(ISNUMBER('자료_거시'!$J2420),ISNUMBER('자료_거시'!$K2420)),IFERROR('자료_거시'!$K2420/INDEX($Z$21:$Z$4020,MATCH(EDATE('자료_거시'!$J2420,-'설정'!$B$17),'자료_거시'!$J$3:INDEX('자료_거시'!$J$3:$J$4002,$K$8),1))-1,""),"")</f>
        <v/>
      </c>
      <c r="AB2438">
        <f>IF(ISNUMBER(AA2438),'자료_거시'!$J2420,"")</f>
        <v/>
      </c>
      <c r="AC2438">
        <f>IF(ISNUMBER(AB2438),IF(AB2438&gt;$L$8,AA2438,""),"")</f>
        <v/>
      </c>
    </row>
    <row r="2439">
      <c r="S2439">
        <f>IF(ISNUMBER('자료_거시'!$E2421),'자료_거시'!$E2421,S2438)</f>
        <v/>
      </c>
      <c r="T2439">
        <f>IF(AND(ISNUMBER('자료_거시'!$D2421),ISNUMBER('자료_거시'!$E2421)),IFERROR('자료_거시'!$E2421-INDEX($S$21:$S$4020,MATCH(EDATE('자료_거시'!$D2421,-'설정'!$B$17),'자료_거시'!$D$3:INDEX('자료_거시'!$D$3:$D$4002,$K$6),1)),""),"")</f>
        <v/>
      </c>
      <c r="U2439">
        <f>IF(ISNUMBER(T2439),'자료_거시'!$D2421,"")</f>
        <v/>
      </c>
      <c r="V2439">
        <f>IF(ISNUMBER(U2439),IF(U2439&gt;$L$6,T2439,""),"")</f>
        <v/>
      </c>
      <c r="W2439">
        <f>IF(AND(ISNUMBER('자료_거시'!$G2421),ISNUMBER('자료_거시'!$H2421)),'자료_거시'!$H2421,"")</f>
        <v/>
      </c>
      <c r="X2439">
        <f>IF(ISNUMBER(W2439),'자료_거시'!$G2421,"")</f>
        <v/>
      </c>
      <c r="Y2439">
        <f>IF(ISNUMBER(X2439),IF(X2439&gt;$L$7,W2439,""),"")</f>
        <v/>
      </c>
      <c r="Z2439">
        <f>IF(ISNUMBER('자료_거시'!$K2421),'자료_거시'!$K2421,Z2438)</f>
        <v/>
      </c>
      <c r="AA2439">
        <f>IF(AND(ISNUMBER('자료_거시'!$J2421),ISNUMBER('자료_거시'!$K2421)),IFERROR('자료_거시'!$K2421/INDEX($Z$21:$Z$4020,MATCH(EDATE('자료_거시'!$J2421,-'설정'!$B$17),'자료_거시'!$J$3:INDEX('자료_거시'!$J$3:$J$4002,$K$8),1))-1,""),"")</f>
        <v/>
      </c>
      <c r="AB2439">
        <f>IF(ISNUMBER(AA2439),'자료_거시'!$J2421,"")</f>
        <v/>
      </c>
      <c r="AC2439">
        <f>IF(ISNUMBER(AB2439),IF(AB2439&gt;$L$8,AA2439,""),"")</f>
        <v/>
      </c>
    </row>
    <row r="2440">
      <c r="S2440">
        <f>IF(ISNUMBER('자료_거시'!$E2422),'자료_거시'!$E2422,S2439)</f>
        <v/>
      </c>
      <c r="T2440">
        <f>IF(AND(ISNUMBER('자료_거시'!$D2422),ISNUMBER('자료_거시'!$E2422)),IFERROR('자료_거시'!$E2422-INDEX($S$21:$S$4020,MATCH(EDATE('자료_거시'!$D2422,-'설정'!$B$17),'자료_거시'!$D$3:INDEX('자료_거시'!$D$3:$D$4002,$K$6),1)),""),"")</f>
        <v/>
      </c>
      <c r="U2440">
        <f>IF(ISNUMBER(T2440),'자료_거시'!$D2422,"")</f>
        <v/>
      </c>
      <c r="V2440">
        <f>IF(ISNUMBER(U2440),IF(U2440&gt;$L$6,T2440,""),"")</f>
        <v/>
      </c>
      <c r="W2440">
        <f>IF(AND(ISNUMBER('자료_거시'!$G2422),ISNUMBER('자료_거시'!$H2422)),'자료_거시'!$H2422,"")</f>
        <v/>
      </c>
      <c r="X2440">
        <f>IF(ISNUMBER(W2440),'자료_거시'!$G2422,"")</f>
        <v/>
      </c>
      <c r="Y2440">
        <f>IF(ISNUMBER(X2440),IF(X2440&gt;$L$7,W2440,""),"")</f>
        <v/>
      </c>
      <c r="Z2440">
        <f>IF(ISNUMBER('자료_거시'!$K2422),'자료_거시'!$K2422,Z2439)</f>
        <v/>
      </c>
      <c r="AA2440">
        <f>IF(AND(ISNUMBER('자료_거시'!$J2422),ISNUMBER('자료_거시'!$K2422)),IFERROR('자료_거시'!$K2422/INDEX($Z$21:$Z$4020,MATCH(EDATE('자료_거시'!$J2422,-'설정'!$B$17),'자료_거시'!$J$3:INDEX('자료_거시'!$J$3:$J$4002,$K$8),1))-1,""),"")</f>
        <v/>
      </c>
      <c r="AB2440">
        <f>IF(ISNUMBER(AA2440),'자료_거시'!$J2422,"")</f>
        <v/>
      </c>
      <c r="AC2440">
        <f>IF(ISNUMBER(AB2440),IF(AB2440&gt;$L$8,AA2440,""),"")</f>
        <v/>
      </c>
    </row>
    <row r="2441">
      <c r="S2441">
        <f>IF(ISNUMBER('자료_거시'!$E2423),'자료_거시'!$E2423,S2440)</f>
        <v/>
      </c>
      <c r="T2441">
        <f>IF(AND(ISNUMBER('자료_거시'!$D2423),ISNUMBER('자료_거시'!$E2423)),IFERROR('자료_거시'!$E2423-INDEX($S$21:$S$4020,MATCH(EDATE('자료_거시'!$D2423,-'설정'!$B$17),'자료_거시'!$D$3:INDEX('자료_거시'!$D$3:$D$4002,$K$6),1)),""),"")</f>
        <v/>
      </c>
      <c r="U2441">
        <f>IF(ISNUMBER(T2441),'자료_거시'!$D2423,"")</f>
        <v/>
      </c>
      <c r="V2441">
        <f>IF(ISNUMBER(U2441),IF(U2441&gt;$L$6,T2441,""),"")</f>
        <v/>
      </c>
      <c r="W2441">
        <f>IF(AND(ISNUMBER('자료_거시'!$G2423),ISNUMBER('자료_거시'!$H2423)),'자료_거시'!$H2423,"")</f>
        <v/>
      </c>
      <c r="X2441">
        <f>IF(ISNUMBER(W2441),'자료_거시'!$G2423,"")</f>
        <v/>
      </c>
      <c r="Y2441">
        <f>IF(ISNUMBER(X2441),IF(X2441&gt;$L$7,W2441,""),"")</f>
        <v/>
      </c>
      <c r="Z2441">
        <f>IF(ISNUMBER('자료_거시'!$K2423),'자료_거시'!$K2423,Z2440)</f>
        <v/>
      </c>
      <c r="AA2441">
        <f>IF(AND(ISNUMBER('자료_거시'!$J2423),ISNUMBER('자료_거시'!$K2423)),IFERROR('자료_거시'!$K2423/INDEX($Z$21:$Z$4020,MATCH(EDATE('자료_거시'!$J2423,-'설정'!$B$17),'자료_거시'!$J$3:INDEX('자료_거시'!$J$3:$J$4002,$K$8),1))-1,""),"")</f>
        <v/>
      </c>
      <c r="AB2441">
        <f>IF(ISNUMBER(AA2441),'자료_거시'!$J2423,"")</f>
        <v/>
      </c>
      <c r="AC2441">
        <f>IF(ISNUMBER(AB2441),IF(AB2441&gt;$L$8,AA2441,""),"")</f>
        <v/>
      </c>
    </row>
    <row r="2442">
      <c r="S2442">
        <f>IF(ISNUMBER('자료_거시'!$E2424),'자료_거시'!$E2424,S2441)</f>
        <v/>
      </c>
      <c r="T2442">
        <f>IF(AND(ISNUMBER('자료_거시'!$D2424),ISNUMBER('자료_거시'!$E2424)),IFERROR('자료_거시'!$E2424-INDEX($S$21:$S$4020,MATCH(EDATE('자료_거시'!$D2424,-'설정'!$B$17),'자료_거시'!$D$3:INDEX('자료_거시'!$D$3:$D$4002,$K$6),1)),""),"")</f>
        <v/>
      </c>
      <c r="U2442">
        <f>IF(ISNUMBER(T2442),'자료_거시'!$D2424,"")</f>
        <v/>
      </c>
      <c r="V2442">
        <f>IF(ISNUMBER(U2442),IF(U2442&gt;$L$6,T2442,""),"")</f>
        <v/>
      </c>
      <c r="W2442">
        <f>IF(AND(ISNUMBER('자료_거시'!$G2424),ISNUMBER('자료_거시'!$H2424)),'자료_거시'!$H2424,"")</f>
        <v/>
      </c>
      <c r="X2442">
        <f>IF(ISNUMBER(W2442),'자료_거시'!$G2424,"")</f>
        <v/>
      </c>
      <c r="Y2442">
        <f>IF(ISNUMBER(X2442),IF(X2442&gt;$L$7,W2442,""),"")</f>
        <v/>
      </c>
      <c r="Z2442">
        <f>IF(ISNUMBER('자료_거시'!$K2424),'자료_거시'!$K2424,Z2441)</f>
        <v/>
      </c>
      <c r="AA2442">
        <f>IF(AND(ISNUMBER('자료_거시'!$J2424),ISNUMBER('자료_거시'!$K2424)),IFERROR('자료_거시'!$K2424/INDEX($Z$21:$Z$4020,MATCH(EDATE('자료_거시'!$J2424,-'설정'!$B$17),'자료_거시'!$J$3:INDEX('자료_거시'!$J$3:$J$4002,$K$8),1))-1,""),"")</f>
        <v/>
      </c>
      <c r="AB2442">
        <f>IF(ISNUMBER(AA2442),'자료_거시'!$J2424,"")</f>
        <v/>
      </c>
      <c r="AC2442">
        <f>IF(ISNUMBER(AB2442),IF(AB2442&gt;$L$8,AA2442,""),"")</f>
        <v/>
      </c>
    </row>
    <row r="2443">
      <c r="S2443">
        <f>IF(ISNUMBER('자료_거시'!$E2425),'자료_거시'!$E2425,S2442)</f>
        <v/>
      </c>
      <c r="T2443">
        <f>IF(AND(ISNUMBER('자료_거시'!$D2425),ISNUMBER('자료_거시'!$E2425)),IFERROR('자료_거시'!$E2425-INDEX($S$21:$S$4020,MATCH(EDATE('자료_거시'!$D2425,-'설정'!$B$17),'자료_거시'!$D$3:INDEX('자료_거시'!$D$3:$D$4002,$K$6),1)),""),"")</f>
        <v/>
      </c>
      <c r="U2443">
        <f>IF(ISNUMBER(T2443),'자료_거시'!$D2425,"")</f>
        <v/>
      </c>
      <c r="V2443">
        <f>IF(ISNUMBER(U2443),IF(U2443&gt;$L$6,T2443,""),"")</f>
        <v/>
      </c>
      <c r="W2443">
        <f>IF(AND(ISNUMBER('자료_거시'!$G2425),ISNUMBER('자료_거시'!$H2425)),'자료_거시'!$H2425,"")</f>
        <v/>
      </c>
      <c r="X2443">
        <f>IF(ISNUMBER(W2443),'자료_거시'!$G2425,"")</f>
        <v/>
      </c>
      <c r="Y2443">
        <f>IF(ISNUMBER(X2443),IF(X2443&gt;$L$7,W2443,""),"")</f>
        <v/>
      </c>
      <c r="Z2443">
        <f>IF(ISNUMBER('자료_거시'!$K2425),'자료_거시'!$K2425,Z2442)</f>
        <v/>
      </c>
      <c r="AA2443">
        <f>IF(AND(ISNUMBER('자료_거시'!$J2425),ISNUMBER('자료_거시'!$K2425)),IFERROR('자료_거시'!$K2425/INDEX($Z$21:$Z$4020,MATCH(EDATE('자료_거시'!$J2425,-'설정'!$B$17),'자료_거시'!$J$3:INDEX('자료_거시'!$J$3:$J$4002,$K$8),1))-1,""),"")</f>
        <v/>
      </c>
      <c r="AB2443">
        <f>IF(ISNUMBER(AA2443),'자료_거시'!$J2425,"")</f>
        <v/>
      </c>
      <c r="AC2443">
        <f>IF(ISNUMBER(AB2443),IF(AB2443&gt;$L$8,AA2443,""),"")</f>
        <v/>
      </c>
    </row>
    <row r="2444">
      <c r="S2444">
        <f>IF(ISNUMBER('자료_거시'!$E2426),'자료_거시'!$E2426,S2443)</f>
        <v/>
      </c>
      <c r="T2444">
        <f>IF(AND(ISNUMBER('자료_거시'!$D2426),ISNUMBER('자료_거시'!$E2426)),IFERROR('자료_거시'!$E2426-INDEX($S$21:$S$4020,MATCH(EDATE('자료_거시'!$D2426,-'설정'!$B$17),'자료_거시'!$D$3:INDEX('자료_거시'!$D$3:$D$4002,$K$6),1)),""),"")</f>
        <v/>
      </c>
      <c r="U2444">
        <f>IF(ISNUMBER(T2444),'자료_거시'!$D2426,"")</f>
        <v/>
      </c>
      <c r="V2444">
        <f>IF(ISNUMBER(U2444),IF(U2444&gt;$L$6,T2444,""),"")</f>
        <v/>
      </c>
      <c r="W2444">
        <f>IF(AND(ISNUMBER('자료_거시'!$G2426),ISNUMBER('자료_거시'!$H2426)),'자료_거시'!$H2426,"")</f>
        <v/>
      </c>
      <c r="X2444">
        <f>IF(ISNUMBER(W2444),'자료_거시'!$G2426,"")</f>
        <v/>
      </c>
      <c r="Y2444">
        <f>IF(ISNUMBER(X2444),IF(X2444&gt;$L$7,W2444,""),"")</f>
        <v/>
      </c>
      <c r="Z2444">
        <f>IF(ISNUMBER('자료_거시'!$K2426),'자료_거시'!$K2426,Z2443)</f>
        <v/>
      </c>
      <c r="AA2444">
        <f>IF(AND(ISNUMBER('자료_거시'!$J2426),ISNUMBER('자료_거시'!$K2426)),IFERROR('자료_거시'!$K2426/INDEX($Z$21:$Z$4020,MATCH(EDATE('자료_거시'!$J2426,-'설정'!$B$17),'자료_거시'!$J$3:INDEX('자료_거시'!$J$3:$J$4002,$K$8),1))-1,""),"")</f>
        <v/>
      </c>
      <c r="AB2444">
        <f>IF(ISNUMBER(AA2444),'자료_거시'!$J2426,"")</f>
        <v/>
      </c>
      <c r="AC2444">
        <f>IF(ISNUMBER(AB2444),IF(AB2444&gt;$L$8,AA2444,""),"")</f>
        <v/>
      </c>
    </row>
    <row r="2445">
      <c r="S2445">
        <f>IF(ISNUMBER('자료_거시'!$E2427),'자료_거시'!$E2427,S2444)</f>
        <v/>
      </c>
      <c r="T2445">
        <f>IF(AND(ISNUMBER('자료_거시'!$D2427),ISNUMBER('자료_거시'!$E2427)),IFERROR('자료_거시'!$E2427-INDEX($S$21:$S$4020,MATCH(EDATE('자료_거시'!$D2427,-'설정'!$B$17),'자료_거시'!$D$3:INDEX('자료_거시'!$D$3:$D$4002,$K$6),1)),""),"")</f>
        <v/>
      </c>
      <c r="U2445">
        <f>IF(ISNUMBER(T2445),'자료_거시'!$D2427,"")</f>
        <v/>
      </c>
      <c r="V2445">
        <f>IF(ISNUMBER(U2445),IF(U2445&gt;$L$6,T2445,""),"")</f>
        <v/>
      </c>
      <c r="W2445">
        <f>IF(AND(ISNUMBER('자료_거시'!$G2427),ISNUMBER('자료_거시'!$H2427)),'자료_거시'!$H2427,"")</f>
        <v/>
      </c>
      <c r="X2445">
        <f>IF(ISNUMBER(W2445),'자료_거시'!$G2427,"")</f>
        <v/>
      </c>
      <c r="Y2445">
        <f>IF(ISNUMBER(X2445),IF(X2445&gt;$L$7,W2445,""),"")</f>
        <v/>
      </c>
      <c r="Z2445">
        <f>IF(ISNUMBER('자료_거시'!$K2427),'자료_거시'!$K2427,Z2444)</f>
        <v/>
      </c>
      <c r="AA2445">
        <f>IF(AND(ISNUMBER('자료_거시'!$J2427),ISNUMBER('자료_거시'!$K2427)),IFERROR('자료_거시'!$K2427/INDEX($Z$21:$Z$4020,MATCH(EDATE('자료_거시'!$J2427,-'설정'!$B$17),'자료_거시'!$J$3:INDEX('자료_거시'!$J$3:$J$4002,$K$8),1))-1,""),"")</f>
        <v/>
      </c>
      <c r="AB2445">
        <f>IF(ISNUMBER(AA2445),'자료_거시'!$J2427,"")</f>
        <v/>
      </c>
      <c r="AC2445">
        <f>IF(ISNUMBER(AB2445),IF(AB2445&gt;$L$8,AA2445,""),"")</f>
        <v/>
      </c>
    </row>
    <row r="2446">
      <c r="S2446">
        <f>IF(ISNUMBER('자료_거시'!$E2428),'자료_거시'!$E2428,S2445)</f>
        <v/>
      </c>
      <c r="T2446">
        <f>IF(AND(ISNUMBER('자료_거시'!$D2428),ISNUMBER('자료_거시'!$E2428)),IFERROR('자료_거시'!$E2428-INDEX($S$21:$S$4020,MATCH(EDATE('자료_거시'!$D2428,-'설정'!$B$17),'자료_거시'!$D$3:INDEX('자료_거시'!$D$3:$D$4002,$K$6),1)),""),"")</f>
        <v/>
      </c>
      <c r="U2446">
        <f>IF(ISNUMBER(T2446),'자료_거시'!$D2428,"")</f>
        <v/>
      </c>
      <c r="V2446">
        <f>IF(ISNUMBER(U2446),IF(U2446&gt;$L$6,T2446,""),"")</f>
        <v/>
      </c>
      <c r="W2446">
        <f>IF(AND(ISNUMBER('자료_거시'!$G2428),ISNUMBER('자료_거시'!$H2428)),'자료_거시'!$H2428,"")</f>
        <v/>
      </c>
      <c r="X2446">
        <f>IF(ISNUMBER(W2446),'자료_거시'!$G2428,"")</f>
        <v/>
      </c>
      <c r="Y2446">
        <f>IF(ISNUMBER(X2446),IF(X2446&gt;$L$7,W2446,""),"")</f>
        <v/>
      </c>
      <c r="Z2446">
        <f>IF(ISNUMBER('자료_거시'!$K2428),'자료_거시'!$K2428,Z2445)</f>
        <v/>
      </c>
      <c r="AA2446">
        <f>IF(AND(ISNUMBER('자료_거시'!$J2428),ISNUMBER('자료_거시'!$K2428)),IFERROR('자료_거시'!$K2428/INDEX($Z$21:$Z$4020,MATCH(EDATE('자료_거시'!$J2428,-'설정'!$B$17),'자료_거시'!$J$3:INDEX('자료_거시'!$J$3:$J$4002,$K$8),1))-1,""),"")</f>
        <v/>
      </c>
      <c r="AB2446">
        <f>IF(ISNUMBER(AA2446),'자료_거시'!$J2428,"")</f>
        <v/>
      </c>
      <c r="AC2446">
        <f>IF(ISNUMBER(AB2446),IF(AB2446&gt;$L$8,AA2446,""),"")</f>
        <v/>
      </c>
    </row>
    <row r="2447">
      <c r="S2447">
        <f>IF(ISNUMBER('자료_거시'!$E2429),'자료_거시'!$E2429,S2446)</f>
        <v/>
      </c>
      <c r="T2447">
        <f>IF(AND(ISNUMBER('자료_거시'!$D2429),ISNUMBER('자료_거시'!$E2429)),IFERROR('자료_거시'!$E2429-INDEX($S$21:$S$4020,MATCH(EDATE('자료_거시'!$D2429,-'설정'!$B$17),'자료_거시'!$D$3:INDEX('자료_거시'!$D$3:$D$4002,$K$6),1)),""),"")</f>
        <v/>
      </c>
      <c r="U2447">
        <f>IF(ISNUMBER(T2447),'자료_거시'!$D2429,"")</f>
        <v/>
      </c>
      <c r="V2447">
        <f>IF(ISNUMBER(U2447),IF(U2447&gt;$L$6,T2447,""),"")</f>
        <v/>
      </c>
      <c r="W2447">
        <f>IF(AND(ISNUMBER('자료_거시'!$G2429),ISNUMBER('자료_거시'!$H2429)),'자료_거시'!$H2429,"")</f>
        <v/>
      </c>
      <c r="X2447">
        <f>IF(ISNUMBER(W2447),'자료_거시'!$G2429,"")</f>
        <v/>
      </c>
      <c r="Y2447">
        <f>IF(ISNUMBER(X2447),IF(X2447&gt;$L$7,W2447,""),"")</f>
        <v/>
      </c>
      <c r="Z2447">
        <f>IF(ISNUMBER('자료_거시'!$K2429),'자료_거시'!$K2429,Z2446)</f>
        <v/>
      </c>
      <c r="AA2447">
        <f>IF(AND(ISNUMBER('자료_거시'!$J2429),ISNUMBER('자료_거시'!$K2429)),IFERROR('자료_거시'!$K2429/INDEX($Z$21:$Z$4020,MATCH(EDATE('자료_거시'!$J2429,-'설정'!$B$17),'자료_거시'!$J$3:INDEX('자료_거시'!$J$3:$J$4002,$K$8),1))-1,""),"")</f>
        <v/>
      </c>
      <c r="AB2447">
        <f>IF(ISNUMBER(AA2447),'자료_거시'!$J2429,"")</f>
        <v/>
      </c>
      <c r="AC2447">
        <f>IF(ISNUMBER(AB2447),IF(AB2447&gt;$L$8,AA2447,""),"")</f>
        <v/>
      </c>
    </row>
    <row r="2448">
      <c r="S2448">
        <f>IF(ISNUMBER('자료_거시'!$E2430),'자료_거시'!$E2430,S2447)</f>
        <v/>
      </c>
      <c r="T2448">
        <f>IF(AND(ISNUMBER('자료_거시'!$D2430),ISNUMBER('자료_거시'!$E2430)),IFERROR('자료_거시'!$E2430-INDEX($S$21:$S$4020,MATCH(EDATE('자료_거시'!$D2430,-'설정'!$B$17),'자료_거시'!$D$3:INDEX('자료_거시'!$D$3:$D$4002,$K$6),1)),""),"")</f>
        <v/>
      </c>
      <c r="U2448">
        <f>IF(ISNUMBER(T2448),'자료_거시'!$D2430,"")</f>
        <v/>
      </c>
      <c r="V2448">
        <f>IF(ISNUMBER(U2448),IF(U2448&gt;$L$6,T2448,""),"")</f>
        <v/>
      </c>
      <c r="W2448">
        <f>IF(AND(ISNUMBER('자료_거시'!$G2430),ISNUMBER('자료_거시'!$H2430)),'자료_거시'!$H2430,"")</f>
        <v/>
      </c>
      <c r="X2448">
        <f>IF(ISNUMBER(W2448),'자료_거시'!$G2430,"")</f>
        <v/>
      </c>
      <c r="Y2448">
        <f>IF(ISNUMBER(X2448),IF(X2448&gt;$L$7,W2448,""),"")</f>
        <v/>
      </c>
      <c r="Z2448">
        <f>IF(ISNUMBER('자료_거시'!$K2430),'자료_거시'!$K2430,Z2447)</f>
        <v/>
      </c>
      <c r="AA2448">
        <f>IF(AND(ISNUMBER('자료_거시'!$J2430),ISNUMBER('자료_거시'!$K2430)),IFERROR('자료_거시'!$K2430/INDEX($Z$21:$Z$4020,MATCH(EDATE('자료_거시'!$J2430,-'설정'!$B$17),'자료_거시'!$J$3:INDEX('자료_거시'!$J$3:$J$4002,$K$8),1))-1,""),"")</f>
        <v/>
      </c>
      <c r="AB2448">
        <f>IF(ISNUMBER(AA2448),'자료_거시'!$J2430,"")</f>
        <v/>
      </c>
      <c r="AC2448">
        <f>IF(ISNUMBER(AB2448),IF(AB2448&gt;$L$8,AA2448,""),"")</f>
        <v/>
      </c>
    </row>
    <row r="2449">
      <c r="S2449">
        <f>IF(ISNUMBER('자료_거시'!$E2431),'자료_거시'!$E2431,S2448)</f>
        <v/>
      </c>
      <c r="T2449">
        <f>IF(AND(ISNUMBER('자료_거시'!$D2431),ISNUMBER('자료_거시'!$E2431)),IFERROR('자료_거시'!$E2431-INDEX($S$21:$S$4020,MATCH(EDATE('자료_거시'!$D2431,-'설정'!$B$17),'자료_거시'!$D$3:INDEX('자료_거시'!$D$3:$D$4002,$K$6),1)),""),"")</f>
        <v/>
      </c>
      <c r="U2449">
        <f>IF(ISNUMBER(T2449),'자료_거시'!$D2431,"")</f>
        <v/>
      </c>
      <c r="V2449">
        <f>IF(ISNUMBER(U2449),IF(U2449&gt;$L$6,T2449,""),"")</f>
        <v/>
      </c>
      <c r="W2449">
        <f>IF(AND(ISNUMBER('자료_거시'!$G2431),ISNUMBER('자료_거시'!$H2431)),'자료_거시'!$H2431,"")</f>
        <v/>
      </c>
      <c r="X2449">
        <f>IF(ISNUMBER(W2449),'자료_거시'!$G2431,"")</f>
        <v/>
      </c>
      <c r="Y2449">
        <f>IF(ISNUMBER(X2449),IF(X2449&gt;$L$7,W2449,""),"")</f>
        <v/>
      </c>
      <c r="Z2449">
        <f>IF(ISNUMBER('자료_거시'!$K2431),'자료_거시'!$K2431,Z2448)</f>
        <v/>
      </c>
      <c r="AA2449">
        <f>IF(AND(ISNUMBER('자료_거시'!$J2431),ISNUMBER('자료_거시'!$K2431)),IFERROR('자료_거시'!$K2431/INDEX($Z$21:$Z$4020,MATCH(EDATE('자료_거시'!$J2431,-'설정'!$B$17),'자료_거시'!$J$3:INDEX('자료_거시'!$J$3:$J$4002,$K$8),1))-1,""),"")</f>
        <v/>
      </c>
      <c r="AB2449">
        <f>IF(ISNUMBER(AA2449),'자료_거시'!$J2431,"")</f>
        <v/>
      </c>
      <c r="AC2449">
        <f>IF(ISNUMBER(AB2449),IF(AB2449&gt;$L$8,AA2449,""),"")</f>
        <v/>
      </c>
    </row>
    <row r="2450">
      <c r="S2450">
        <f>IF(ISNUMBER('자료_거시'!$E2432),'자료_거시'!$E2432,S2449)</f>
        <v/>
      </c>
      <c r="T2450">
        <f>IF(AND(ISNUMBER('자료_거시'!$D2432),ISNUMBER('자료_거시'!$E2432)),IFERROR('자료_거시'!$E2432-INDEX($S$21:$S$4020,MATCH(EDATE('자료_거시'!$D2432,-'설정'!$B$17),'자료_거시'!$D$3:INDEX('자료_거시'!$D$3:$D$4002,$K$6),1)),""),"")</f>
        <v/>
      </c>
      <c r="U2450">
        <f>IF(ISNUMBER(T2450),'자료_거시'!$D2432,"")</f>
        <v/>
      </c>
      <c r="V2450">
        <f>IF(ISNUMBER(U2450),IF(U2450&gt;$L$6,T2450,""),"")</f>
        <v/>
      </c>
      <c r="W2450">
        <f>IF(AND(ISNUMBER('자료_거시'!$G2432),ISNUMBER('자료_거시'!$H2432)),'자료_거시'!$H2432,"")</f>
        <v/>
      </c>
      <c r="X2450">
        <f>IF(ISNUMBER(W2450),'자료_거시'!$G2432,"")</f>
        <v/>
      </c>
      <c r="Y2450">
        <f>IF(ISNUMBER(X2450),IF(X2450&gt;$L$7,W2450,""),"")</f>
        <v/>
      </c>
      <c r="Z2450">
        <f>IF(ISNUMBER('자료_거시'!$K2432),'자료_거시'!$K2432,Z2449)</f>
        <v/>
      </c>
      <c r="AA2450">
        <f>IF(AND(ISNUMBER('자료_거시'!$J2432),ISNUMBER('자료_거시'!$K2432)),IFERROR('자료_거시'!$K2432/INDEX($Z$21:$Z$4020,MATCH(EDATE('자료_거시'!$J2432,-'설정'!$B$17),'자료_거시'!$J$3:INDEX('자료_거시'!$J$3:$J$4002,$K$8),1))-1,""),"")</f>
        <v/>
      </c>
      <c r="AB2450">
        <f>IF(ISNUMBER(AA2450),'자료_거시'!$J2432,"")</f>
        <v/>
      </c>
      <c r="AC2450">
        <f>IF(ISNUMBER(AB2450),IF(AB2450&gt;$L$8,AA2450,""),"")</f>
        <v/>
      </c>
    </row>
    <row r="2451">
      <c r="S2451">
        <f>IF(ISNUMBER('자료_거시'!$E2433),'자료_거시'!$E2433,S2450)</f>
        <v/>
      </c>
      <c r="T2451">
        <f>IF(AND(ISNUMBER('자료_거시'!$D2433),ISNUMBER('자료_거시'!$E2433)),IFERROR('자료_거시'!$E2433-INDEX($S$21:$S$4020,MATCH(EDATE('자료_거시'!$D2433,-'설정'!$B$17),'자료_거시'!$D$3:INDEX('자료_거시'!$D$3:$D$4002,$K$6),1)),""),"")</f>
        <v/>
      </c>
      <c r="U2451">
        <f>IF(ISNUMBER(T2451),'자료_거시'!$D2433,"")</f>
        <v/>
      </c>
      <c r="V2451">
        <f>IF(ISNUMBER(U2451),IF(U2451&gt;$L$6,T2451,""),"")</f>
        <v/>
      </c>
      <c r="W2451">
        <f>IF(AND(ISNUMBER('자료_거시'!$G2433),ISNUMBER('자료_거시'!$H2433)),'자료_거시'!$H2433,"")</f>
        <v/>
      </c>
      <c r="X2451">
        <f>IF(ISNUMBER(W2451),'자료_거시'!$G2433,"")</f>
        <v/>
      </c>
      <c r="Y2451">
        <f>IF(ISNUMBER(X2451),IF(X2451&gt;$L$7,W2451,""),"")</f>
        <v/>
      </c>
      <c r="Z2451">
        <f>IF(ISNUMBER('자료_거시'!$K2433),'자료_거시'!$K2433,Z2450)</f>
        <v/>
      </c>
      <c r="AA2451">
        <f>IF(AND(ISNUMBER('자료_거시'!$J2433),ISNUMBER('자료_거시'!$K2433)),IFERROR('자료_거시'!$K2433/INDEX($Z$21:$Z$4020,MATCH(EDATE('자료_거시'!$J2433,-'설정'!$B$17),'자료_거시'!$J$3:INDEX('자료_거시'!$J$3:$J$4002,$K$8),1))-1,""),"")</f>
        <v/>
      </c>
      <c r="AB2451">
        <f>IF(ISNUMBER(AA2451),'자료_거시'!$J2433,"")</f>
        <v/>
      </c>
      <c r="AC2451">
        <f>IF(ISNUMBER(AB2451),IF(AB2451&gt;$L$8,AA2451,""),"")</f>
        <v/>
      </c>
    </row>
    <row r="2452">
      <c r="S2452">
        <f>IF(ISNUMBER('자료_거시'!$E2434),'자료_거시'!$E2434,S2451)</f>
        <v/>
      </c>
      <c r="T2452">
        <f>IF(AND(ISNUMBER('자료_거시'!$D2434),ISNUMBER('자료_거시'!$E2434)),IFERROR('자료_거시'!$E2434-INDEX($S$21:$S$4020,MATCH(EDATE('자료_거시'!$D2434,-'설정'!$B$17),'자료_거시'!$D$3:INDEX('자료_거시'!$D$3:$D$4002,$K$6),1)),""),"")</f>
        <v/>
      </c>
      <c r="U2452">
        <f>IF(ISNUMBER(T2452),'자료_거시'!$D2434,"")</f>
        <v/>
      </c>
      <c r="V2452">
        <f>IF(ISNUMBER(U2452),IF(U2452&gt;$L$6,T2452,""),"")</f>
        <v/>
      </c>
      <c r="W2452">
        <f>IF(AND(ISNUMBER('자료_거시'!$G2434),ISNUMBER('자료_거시'!$H2434)),'자료_거시'!$H2434,"")</f>
        <v/>
      </c>
      <c r="X2452">
        <f>IF(ISNUMBER(W2452),'자료_거시'!$G2434,"")</f>
        <v/>
      </c>
      <c r="Y2452">
        <f>IF(ISNUMBER(X2452),IF(X2452&gt;$L$7,W2452,""),"")</f>
        <v/>
      </c>
      <c r="Z2452">
        <f>IF(ISNUMBER('자료_거시'!$K2434),'자료_거시'!$K2434,Z2451)</f>
        <v/>
      </c>
      <c r="AA2452">
        <f>IF(AND(ISNUMBER('자료_거시'!$J2434),ISNUMBER('자료_거시'!$K2434)),IFERROR('자료_거시'!$K2434/INDEX($Z$21:$Z$4020,MATCH(EDATE('자료_거시'!$J2434,-'설정'!$B$17),'자료_거시'!$J$3:INDEX('자료_거시'!$J$3:$J$4002,$K$8),1))-1,""),"")</f>
        <v/>
      </c>
      <c r="AB2452">
        <f>IF(ISNUMBER(AA2452),'자료_거시'!$J2434,"")</f>
        <v/>
      </c>
      <c r="AC2452">
        <f>IF(ISNUMBER(AB2452),IF(AB2452&gt;$L$8,AA2452,""),"")</f>
        <v/>
      </c>
    </row>
    <row r="2453">
      <c r="S2453">
        <f>IF(ISNUMBER('자료_거시'!$E2435),'자료_거시'!$E2435,S2452)</f>
        <v/>
      </c>
      <c r="T2453">
        <f>IF(AND(ISNUMBER('자료_거시'!$D2435),ISNUMBER('자료_거시'!$E2435)),IFERROR('자료_거시'!$E2435-INDEX($S$21:$S$4020,MATCH(EDATE('자료_거시'!$D2435,-'설정'!$B$17),'자료_거시'!$D$3:INDEX('자료_거시'!$D$3:$D$4002,$K$6),1)),""),"")</f>
        <v/>
      </c>
      <c r="U2453">
        <f>IF(ISNUMBER(T2453),'자료_거시'!$D2435,"")</f>
        <v/>
      </c>
      <c r="V2453">
        <f>IF(ISNUMBER(U2453),IF(U2453&gt;$L$6,T2453,""),"")</f>
        <v/>
      </c>
      <c r="W2453">
        <f>IF(AND(ISNUMBER('자료_거시'!$G2435),ISNUMBER('자료_거시'!$H2435)),'자료_거시'!$H2435,"")</f>
        <v/>
      </c>
      <c r="X2453">
        <f>IF(ISNUMBER(W2453),'자료_거시'!$G2435,"")</f>
        <v/>
      </c>
      <c r="Y2453">
        <f>IF(ISNUMBER(X2453),IF(X2453&gt;$L$7,W2453,""),"")</f>
        <v/>
      </c>
      <c r="Z2453">
        <f>IF(ISNUMBER('자료_거시'!$K2435),'자료_거시'!$K2435,Z2452)</f>
        <v/>
      </c>
      <c r="AA2453">
        <f>IF(AND(ISNUMBER('자료_거시'!$J2435),ISNUMBER('자료_거시'!$K2435)),IFERROR('자료_거시'!$K2435/INDEX($Z$21:$Z$4020,MATCH(EDATE('자료_거시'!$J2435,-'설정'!$B$17),'자료_거시'!$J$3:INDEX('자료_거시'!$J$3:$J$4002,$K$8),1))-1,""),"")</f>
        <v/>
      </c>
      <c r="AB2453">
        <f>IF(ISNUMBER(AA2453),'자료_거시'!$J2435,"")</f>
        <v/>
      </c>
      <c r="AC2453">
        <f>IF(ISNUMBER(AB2453),IF(AB2453&gt;$L$8,AA2453,""),"")</f>
        <v/>
      </c>
    </row>
    <row r="2454">
      <c r="S2454">
        <f>IF(ISNUMBER('자료_거시'!$E2436),'자료_거시'!$E2436,S2453)</f>
        <v/>
      </c>
      <c r="T2454">
        <f>IF(AND(ISNUMBER('자료_거시'!$D2436),ISNUMBER('자료_거시'!$E2436)),IFERROR('자료_거시'!$E2436-INDEX($S$21:$S$4020,MATCH(EDATE('자료_거시'!$D2436,-'설정'!$B$17),'자료_거시'!$D$3:INDEX('자료_거시'!$D$3:$D$4002,$K$6),1)),""),"")</f>
        <v/>
      </c>
      <c r="U2454">
        <f>IF(ISNUMBER(T2454),'자료_거시'!$D2436,"")</f>
        <v/>
      </c>
      <c r="V2454">
        <f>IF(ISNUMBER(U2454),IF(U2454&gt;$L$6,T2454,""),"")</f>
        <v/>
      </c>
      <c r="W2454">
        <f>IF(AND(ISNUMBER('자료_거시'!$G2436),ISNUMBER('자료_거시'!$H2436)),'자료_거시'!$H2436,"")</f>
        <v/>
      </c>
      <c r="X2454">
        <f>IF(ISNUMBER(W2454),'자료_거시'!$G2436,"")</f>
        <v/>
      </c>
      <c r="Y2454">
        <f>IF(ISNUMBER(X2454),IF(X2454&gt;$L$7,W2454,""),"")</f>
        <v/>
      </c>
      <c r="Z2454">
        <f>IF(ISNUMBER('자료_거시'!$K2436),'자료_거시'!$K2436,Z2453)</f>
        <v/>
      </c>
      <c r="AA2454">
        <f>IF(AND(ISNUMBER('자료_거시'!$J2436),ISNUMBER('자료_거시'!$K2436)),IFERROR('자료_거시'!$K2436/INDEX($Z$21:$Z$4020,MATCH(EDATE('자료_거시'!$J2436,-'설정'!$B$17),'자료_거시'!$J$3:INDEX('자료_거시'!$J$3:$J$4002,$K$8),1))-1,""),"")</f>
        <v/>
      </c>
      <c r="AB2454">
        <f>IF(ISNUMBER(AA2454),'자료_거시'!$J2436,"")</f>
        <v/>
      </c>
      <c r="AC2454">
        <f>IF(ISNUMBER(AB2454),IF(AB2454&gt;$L$8,AA2454,""),"")</f>
        <v/>
      </c>
    </row>
    <row r="2455">
      <c r="S2455">
        <f>IF(ISNUMBER('자료_거시'!$E2437),'자료_거시'!$E2437,S2454)</f>
        <v/>
      </c>
      <c r="T2455">
        <f>IF(AND(ISNUMBER('자료_거시'!$D2437),ISNUMBER('자료_거시'!$E2437)),IFERROR('자료_거시'!$E2437-INDEX($S$21:$S$4020,MATCH(EDATE('자료_거시'!$D2437,-'설정'!$B$17),'자료_거시'!$D$3:INDEX('자료_거시'!$D$3:$D$4002,$K$6),1)),""),"")</f>
        <v/>
      </c>
      <c r="U2455">
        <f>IF(ISNUMBER(T2455),'자료_거시'!$D2437,"")</f>
        <v/>
      </c>
      <c r="V2455">
        <f>IF(ISNUMBER(U2455),IF(U2455&gt;$L$6,T2455,""),"")</f>
        <v/>
      </c>
      <c r="W2455">
        <f>IF(AND(ISNUMBER('자료_거시'!$G2437),ISNUMBER('자료_거시'!$H2437)),'자료_거시'!$H2437,"")</f>
        <v/>
      </c>
      <c r="X2455">
        <f>IF(ISNUMBER(W2455),'자료_거시'!$G2437,"")</f>
        <v/>
      </c>
      <c r="Y2455">
        <f>IF(ISNUMBER(X2455),IF(X2455&gt;$L$7,W2455,""),"")</f>
        <v/>
      </c>
      <c r="Z2455">
        <f>IF(ISNUMBER('자료_거시'!$K2437),'자료_거시'!$K2437,Z2454)</f>
        <v/>
      </c>
      <c r="AA2455">
        <f>IF(AND(ISNUMBER('자료_거시'!$J2437),ISNUMBER('자료_거시'!$K2437)),IFERROR('자료_거시'!$K2437/INDEX($Z$21:$Z$4020,MATCH(EDATE('자료_거시'!$J2437,-'설정'!$B$17),'자료_거시'!$J$3:INDEX('자료_거시'!$J$3:$J$4002,$K$8),1))-1,""),"")</f>
        <v/>
      </c>
      <c r="AB2455">
        <f>IF(ISNUMBER(AA2455),'자료_거시'!$J2437,"")</f>
        <v/>
      </c>
      <c r="AC2455">
        <f>IF(ISNUMBER(AB2455),IF(AB2455&gt;$L$8,AA2455,""),"")</f>
        <v/>
      </c>
    </row>
    <row r="2456">
      <c r="S2456">
        <f>IF(ISNUMBER('자료_거시'!$E2438),'자료_거시'!$E2438,S2455)</f>
        <v/>
      </c>
      <c r="T2456">
        <f>IF(AND(ISNUMBER('자료_거시'!$D2438),ISNUMBER('자료_거시'!$E2438)),IFERROR('자료_거시'!$E2438-INDEX($S$21:$S$4020,MATCH(EDATE('자료_거시'!$D2438,-'설정'!$B$17),'자료_거시'!$D$3:INDEX('자료_거시'!$D$3:$D$4002,$K$6),1)),""),"")</f>
        <v/>
      </c>
      <c r="U2456">
        <f>IF(ISNUMBER(T2456),'자료_거시'!$D2438,"")</f>
        <v/>
      </c>
      <c r="V2456">
        <f>IF(ISNUMBER(U2456),IF(U2456&gt;$L$6,T2456,""),"")</f>
        <v/>
      </c>
      <c r="W2456">
        <f>IF(AND(ISNUMBER('자료_거시'!$G2438),ISNUMBER('자료_거시'!$H2438)),'자료_거시'!$H2438,"")</f>
        <v/>
      </c>
      <c r="X2456">
        <f>IF(ISNUMBER(W2456),'자료_거시'!$G2438,"")</f>
        <v/>
      </c>
      <c r="Y2456">
        <f>IF(ISNUMBER(X2456),IF(X2456&gt;$L$7,W2456,""),"")</f>
        <v/>
      </c>
      <c r="Z2456">
        <f>IF(ISNUMBER('자료_거시'!$K2438),'자료_거시'!$K2438,Z2455)</f>
        <v/>
      </c>
      <c r="AA2456">
        <f>IF(AND(ISNUMBER('자료_거시'!$J2438),ISNUMBER('자료_거시'!$K2438)),IFERROR('자료_거시'!$K2438/INDEX($Z$21:$Z$4020,MATCH(EDATE('자료_거시'!$J2438,-'설정'!$B$17),'자료_거시'!$J$3:INDEX('자료_거시'!$J$3:$J$4002,$K$8),1))-1,""),"")</f>
        <v/>
      </c>
      <c r="AB2456">
        <f>IF(ISNUMBER(AA2456),'자료_거시'!$J2438,"")</f>
        <v/>
      </c>
      <c r="AC2456">
        <f>IF(ISNUMBER(AB2456),IF(AB2456&gt;$L$8,AA2456,""),"")</f>
        <v/>
      </c>
    </row>
    <row r="2457">
      <c r="S2457">
        <f>IF(ISNUMBER('자료_거시'!$E2439),'자료_거시'!$E2439,S2456)</f>
        <v/>
      </c>
      <c r="T2457">
        <f>IF(AND(ISNUMBER('자료_거시'!$D2439),ISNUMBER('자료_거시'!$E2439)),IFERROR('자료_거시'!$E2439-INDEX($S$21:$S$4020,MATCH(EDATE('자료_거시'!$D2439,-'설정'!$B$17),'자료_거시'!$D$3:INDEX('자료_거시'!$D$3:$D$4002,$K$6),1)),""),"")</f>
        <v/>
      </c>
      <c r="U2457">
        <f>IF(ISNUMBER(T2457),'자료_거시'!$D2439,"")</f>
        <v/>
      </c>
      <c r="V2457">
        <f>IF(ISNUMBER(U2457),IF(U2457&gt;$L$6,T2457,""),"")</f>
        <v/>
      </c>
      <c r="W2457">
        <f>IF(AND(ISNUMBER('자료_거시'!$G2439),ISNUMBER('자료_거시'!$H2439)),'자료_거시'!$H2439,"")</f>
        <v/>
      </c>
      <c r="X2457">
        <f>IF(ISNUMBER(W2457),'자료_거시'!$G2439,"")</f>
        <v/>
      </c>
      <c r="Y2457">
        <f>IF(ISNUMBER(X2457),IF(X2457&gt;$L$7,W2457,""),"")</f>
        <v/>
      </c>
      <c r="Z2457">
        <f>IF(ISNUMBER('자료_거시'!$K2439),'자료_거시'!$K2439,Z2456)</f>
        <v/>
      </c>
      <c r="AA2457">
        <f>IF(AND(ISNUMBER('자료_거시'!$J2439),ISNUMBER('자료_거시'!$K2439)),IFERROR('자료_거시'!$K2439/INDEX($Z$21:$Z$4020,MATCH(EDATE('자료_거시'!$J2439,-'설정'!$B$17),'자료_거시'!$J$3:INDEX('자료_거시'!$J$3:$J$4002,$K$8),1))-1,""),"")</f>
        <v/>
      </c>
      <c r="AB2457">
        <f>IF(ISNUMBER(AA2457),'자료_거시'!$J2439,"")</f>
        <v/>
      </c>
      <c r="AC2457">
        <f>IF(ISNUMBER(AB2457),IF(AB2457&gt;$L$8,AA2457,""),"")</f>
        <v/>
      </c>
    </row>
    <row r="2458">
      <c r="S2458">
        <f>IF(ISNUMBER('자료_거시'!$E2440),'자료_거시'!$E2440,S2457)</f>
        <v/>
      </c>
      <c r="T2458">
        <f>IF(AND(ISNUMBER('자료_거시'!$D2440),ISNUMBER('자료_거시'!$E2440)),IFERROR('자료_거시'!$E2440-INDEX($S$21:$S$4020,MATCH(EDATE('자료_거시'!$D2440,-'설정'!$B$17),'자료_거시'!$D$3:INDEX('자료_거시'!$D$3:$D$4002,$K$6),1)),""),"")</f>
        <v/>
      </c>
      <c r="U2458">
        <f>IF(ISNUMBER(T2458),'자료_거시'!$D2440,"")</f>
        <v/>
      </c>
      <c r="V2458">
        <f>IF(ISNUMBER(U2458),IF(U2458&gt;$L$6,T2458,""),"")</f>
        <v/>
      </c>
      <c r="W2458">
        <f>IF(AND(ISNUMBER('자료_거시'!$G2440),ISNUMBER('자료_거시'!$H2440)),'자료_거시'!$H2440,"")</f>
        <v/>
      </c>
      <c r="X2458">
        <f>IF(ISNUMBER(W2458),'자료_거시'!$G2440,"")</f>
        <v/>
      </c>
      <c r="Y2458">
        <f>IF(ISNUMBER(X2458),IF(X2458&gt;$L$7,W2458,""),"")</f>
        <v/>
      </c>
      <c r="Z2458">
        <f>IF(ISNUMBER('자료_거시'!$K2440),'자료_거시'!$K2440,Z2457)</f>
        <v/>
      </c>
      <c r="AA2458">
        <f>IF(AND(ISNUMBER('자료_거시'!$J2440),ISNUMBER('자료_거시'!$K2440)),IFERROR('자료_거시'!$K2440/INDEX($Z$21:$Z$4020,MATCH(EDATE('자료_거시'!$J2440,-'설정'!$B$17),'자료_거시'!$J$3:INDEX('자료_거시'!$J$3:$J$4002,$K$8),1))-1,""),"")</f>
        <v/>
      </c>
      <c r="AB2458">
        <f>IF(ISNUMBER(AA2458),'자료_거시'!$J2440,"")</f>
        <v/>
      </c>
      <c r="AC2458">
        <f>IF(ISNUMBER(AB2458),IF(AB2458&gt;$L$8,AA2458,""),"")</f>
        <v/>
      </c>
    </row>
    <row r="2459">
      <c r="S2459">
        <f>IF(ISNUMBER('자료_거시'!$E2441),'자료_거시'!$E2441,S2458)</f>
        <v/>
      </c>
      <c r="T2459">
        <f>IF(AND(ISNUMBER('자료_거시'!$D2441),ISNUMBER('자료_거시'!$E2441)),IFERROR('자료_거시'!$E2441-INDEX($S$21:$S$4020,MATCH(EDATE('자료_거시'!$D2441,-'설정'!$B$17),'자료_거시'!$D$3:INDEX('자료_거시'!$D$3:$D$4002,$K$6),1)),""),"")</f>
        <v/>
      </c>
      <c r="U2459">
        <f>IF(ISNUMBER(T2459),'자료_거시'!$D2441,"")</f>
        <v/>
      </c>
      <c r="V2459">
        <f>IF(ISNUMBER(U2459),IF(U2459&gt;$L$6,T2459,""),"")</f>
        <v/>
      </c>
      <c r="W2459">
        <f>IF(AND(ISNUMBER('자료_거시'!$G2441),ISNUMBER('자료_거시'!$H2441)),'자료_거시'!$H2441,"")</f>
        <v/>
      </c>
      <c r="X2459">
        <f>IF(ISNUMBER(W2459),'자료_거시'!$G2441,"")</f>
        <v/>
      </c>
      <c r="Y2459">
        <f>IF(ISNUMBER(X2459),IF(X2459&gt;$L$7,W2459,""),"")</f>
        <v/>
      </c>
      <c r="Z2459">
        <f>IF(ISNUMBER('자료_거시'!$K2441),'자료_거시'!$K2441,Z2458)</f>
        <v/>
      </c>
      <c r="AA2459">
        <f>IF(AND(ISNUMBER('자료_거시'!$J2441),ISNUMBER('자료_거시'!$K2441)),IFERROR('자료_거시'!$K2441/INDEX($Z$21:$Z$4020,MATCH(EDATE('자료_거시'!$J2441,-'설정'!$B$17),'자료_거시'!$J$3:INDEX('자료_거시'!$J$3:$J$4002,$K$8),1))-1,""),"")</f>
        <v/>
      </c>
      <c r="AB2459">
        <f>IF(ISNUMBER(AA2459),'자료_거시'!$J2441,"")</f>
        <v/>
      </c>
      <c r="AC2459">
        <f>IF(ISNUMBER(AB2459),IF(AB2459&gt;$L$8,AA2459,""),"")</f>
        <v/>
      </c>
    </row>
    <row r="2460">
      <c r="S2460">
        <f>IF(ISNUMBER('자료_거시'!$E2442),'자료_거시'!$E2442,S2459)</f>
        <v/>
      </c>
      <c r="T2460">
        <f>IF(AND(ISNUMBER('자료_거시'!$D2442),ISNUMBER('자료_거시'!$E2442)),IFERROR('자료_거시'!$E2442-INDEX($S$21:$S$4020,MATCH(EDATE('자료_거시'!$D2442,-'설정'!$B$17),'자료_거시'!$D$3:INDEX('자료_거시'!$D$3:$D$4002,$K$6),1)),""),"")</f>
        <v/>
      </c>
      <c r="U2460">
        <f>IF(ISNUMBER(T2460),'자료_거시'!$D2442,"")</f>
        <v/>
      </c>
      <c r="V2460">
        <f>IF(ISNUMBER(U2460),IF(U2460&gt;$L$6,T2460,""),"")</f>
        <v/>
      </c>
      <c r="W2460">
        <f>IF(AND(ISNUMBER('자료_거시'!$G2442),ISNUMBER('자료_거시'!$H2442)),'자료_거시'!$H2442,"")</f>
        <v/>
      </c>
      <c r="X2460">
        <f>IF(ISNUMBER(W2460),'자료_거시'!$G2442,"")</f>
        <v/>
      </c>
      <c r="Y2460">
        <f>IF(ISNUMBER(X2460),IF(X2460&gt;$L$7,W2460,""),"")</f>
        <v/>
      </c>
      <c r="Z2460">
        <f>IF(ISNUMBER('자료_거시'!$K2442),'자료_거시'!$K2442,Z2459)</f>
        <v/>
      </c>
      <c r="AA2460">
        <f>IF(AND(ISNUMBER('자료_거시'!$J2442),ISNUMBER('자료_거시'!$K2442)),IFERROR('자료_거시'!$K2442/INDEX($Z$21:$Z$4020,MATCH(EDATE('자료_거시'!$J2442,-'설정'!$B$17),'자료_거시'!$J$3:INDEX('자료_거시'!$J$3:$J$4002,$K$8),1))-1,""),"")</f>
        <v/>
      </c>
      <c r="AB2460">
        <f>IF(ISNUMBER(AA2460),'자료_거시'!$J2442,"")</f>
        <v/>
      </c>
      <c r="AC2460">
        <f>IF(ISNUMBER(AB2460),IF(AB2460&gt;$L$8,AA2460,""),"")</f>
        <v/>
      </c>
    </row>
    <row r="2461">
      <c r="S2461">
        <f>IF(ISNUMBER('자료_거시'!$E2443),'자료_거시'!$E2443,S2460)</f>
        <v/>
      </c>
      <c r="T2461">
        <f>IF(AND(ISNUMBER('자료_거시'!$D2443),ISNUMBER('자료_거시'!$E2443)),IFERROR('자료_거시'!$E2443-INDEX($S$21:$S$4020,MATCH(EDATE('자료_거시'!$D2443,-'설정'!$B$17),'자료_거시'!$D$3:INDEX('자료_거시'!$D$3:$D$4002,$K$6),1)),""),"")</f>
        <v/>
      </c>
      <c r="U2461">
        <f>IF(ISNUMBER(T2461),'자료_거시'!$D2443,"")</f>
        <v/>
      </c>
      <c r="V2461">
        <f>IF(ISNUMBER(U2461),IF(U2461&gt;$L$6,T2461,""),"")</f>
        <v/>
      </c>
      <c r="W2461">
        <f>IF(AND(ISNUMBER('자료_거시'!$G2443),ISNUMBER('자료_거시'!$H2443)),'자료_거시'!$H2443,"")</f>
        <v/>
      </c>
      <c r="X2461">
        <f>IF(ISNUMBER(W2461),'자료_거시'!$G2443,"")</f>
        <v/>
      </c>
      <c r="Y2461">
        <f>IF(ISNUMBER(X2461),IF(X2461&gt;$L$7,W2461,""),"")</f>
        <v/>
      </c>
      <c r="Z2461">
        <f>IF(ISNUMBER('자료_거시'!$K2443),'자료_거시'!$K2443,Z2460)</f>
        <v/>
      </c>
      <c r="AA2461">
        <f>IF(AND(ISNUMBER('자료_거시'!$J2443),ISNUMBER('자료_거시'!$K2443)),IFERROR('자료_거시'!$K2443/INDEX($Z$21:$Z$4020,MATCH(EDATE('자료_거시'!$J2443,-'설정'!$B$17),'자료_거시'!$J$3:INDEX('자료_거시'!$J$3:$J$4002,$K$8),1))-1,""),"")</f>
        <v/>
      </c>
      <c r="AB2461">
        <f>IF(ISNUMBER(AA2461),'자료_거시'!$J2443,"")</f>
        <v/>
      </c>
      <c r="AC2461">
        <f>IF(ISNUMBER(AB2461),IF(AB2461&gt;$L$8,AA2461,""),"")</f>
        <v/>
      </c>
    </row>
    <row r="2462">
      <c r="S2462">
        <f>IF(ISNUMBER('자료_거시'!$E2444),'자료_거시'!$E2444,S2461)</f>
        <v/>
      </c>
      <c r="T2462">
        <f>IF(AND(ISNUMBER('자료_거시'!$D2444),ISNUMBER('자료_거시'!$E2444)),IFERROR('자료_거시'!$E2444-INDEX($S$21:$S$4020,MATCH(EDATE('자료_거시'!$D2444,-'설정'!$B$17),'자료_거시'!$D$3:INDEX('자료_거시'!$D$3:$D$4002,$K$6),1)),""),"")</f>
        <v/>
      </c>
      <c r="U2462">
        <f>IF(ISNUMBER(T2462),'자료_거시'!$D2444,"")</f>
        <v/>
      </c>
      <c r="V2462">
        <f>IF(ISNUMBER(U2462),IF(U2462&gt;$L$6,T2462,""),"")</f>
        <v/>
      </c>
      <c r="W2462">
        <f>IF(AND(ISNUMBER('자료_거시'!$G2444),ISNUMBER('자료_거시'!$H2444)),'자료_거시'!$H2444,"")</f>
        <v/>
      </c>
      <c r="X2462">
        <f>IF(ISNUMBER(W2462),'자료_거시'!$G2444,"")</f>
        <v/>
      </c>
      <c r="Y2462">
        <f>IF(ISNUMBER(X2462),IF(X2462&gt;$L$7,W2462,""),"")</f>
        <v/>
      </c>
      <c r="Z2462">
        <f>IF(ISNUMBER('자료_거시'!$K2444),'자료_거시'!$K2444,Z2461)</f>
        <v/>
      </c>
      <c r="AA2462">
        <f>IF(AND(ISNUMBER('자료_거시'!$J2444),ISNUMBER('자료_거시'!$K2444)),IFERROR('자료_거시'!$K2444/INDEX($Z$21:$Z$4020,MATCH(EDATE('자료_거시'!$J2444,-'설정'!$B$17),'자료_거시'!$J$3:INDEX('자료_거시'!$J$3:$J$4002,$K$8),1))-1,""),"")</f>
        <v/>
      </c>
      <c r="AB2462">
        <f>IF(ISNUMBER(AA2462),'자료_거시'!$J2444,"")</f>
        <v/>
      </c>
      <c r="AC2462">
        <f>IF(ISNUMBER(AB2462),IF(AB2462&gt;$L$8,AA2462,""),"")</f>
        <v/>
      </c>
    </row>
    <row r="2463">
      <c r="S2463">
        <f>IF(ISNUMBER('자료_거시'!$E2445),'자료_거시'!$E2445,S2462)</f>
        <v/>
      </c>
      <c r="T2463">
        <f>IF(AND(ISNUMBER('자료_거시'!$D2445),ISNUMBER('자료_거시'!$E2445)),IFERROR('자료_거시'!$E2445-INDEX($S$21:$S$4020,MATCH(EDATE('자료_거시'!$D2445,-'설정'!$B$17),'자료_거시'!$D$3:INDEX('자료_거시'!$D$3:$D$4002,$K$6),1)),""),"")</f>
        <v/>
      </c>
      <c r="U2463">
        <f>IF(ISNUMBER(T2463),'자료_거시'!$D2445,"")</f>
        <v/>
      </c>
      <c r="V2463">
        <f>IF(ISNUMBER(U2463),IF(U2463&gt;$L$6,T2463,""),"")</f>
        <v/>
      </c>
      <c r="W2463">
        <f>IF(AND(ISNUMBER('자료_거시'!$G2445),ISNUMBER('자료_거시'!$H2445)),'자료_거시'!$H2445,"")</f>
        <v/>
      </c>
      <c r="X2463">
        <f>IF(ISNUMBER(W2463),'자료_거시'!$G2445,"")</f>
        <v/>
      </c>
      <c r="Y2463">
        <f>IF(ISNUMBER(X2463),IF(X2463&gt;$L$7,W2463,""),"")</f>
        <v/>
      </c>
      <c r="Z2463">
        <f>IF(ISNUMBER('자료_거시'!$K2445),'자료_거시'!$K2445,Z2462)</f>
        <v/>
      </c>
      <c r="AA2463">
        <f>IF(AND(ISNUMBER('자료_거시'!$J2445),ISNUMBER('자료_거시'!$K2445)),IFERROR('자료_거시'!$K2445/INDEX($Z$21:$Z$4020,MATCH(EDATE('자료_거시'!$J2445,-'설정'!$B$17),'자료_거시'!$J$3:INDEX('자료_거시'!$J$3:$J$4002,$K$8),1))-1,""),"")</f>
        <v/>
      </c>
      <c r="AB2463">
        <f>IF(ISNUMBER(AA2463),'자료_거시'!$J2445,"")</f>
        <v/>
      </c>
      <c r="AC2463">
        <f>IF(ISNUMBER(AB2463),IF(AB2463&gt;$L$8,AA2463,""),"")</f>
        <v/>
      </c>
    </row>
    <row r="2464">
      <c r="S2464">
        <f>IF(ISNUMBER('자료_거시'!$E2446),'자료_거시'!$E2446,S2463)</f>
        <v/>
      </c>
      <c r="T2464">
        <f>IF(AND(ISNUMBER('자료_거시'!$D2446),ISNUMBER('자료_거시'!$E2446)),IFERROR('자료_거시'!$E2446-INDEX($S$21:$S$4020,MATCH(EDATE('자료_거시'!$D2446,-'설정'!$B$17),'자료_거시'!$D$3:INDEX('자료_거시'!$D$3:$D$4002,$K$6),1)),""),"")</f>
        <v/>
      </c>
      <c r="U2464">
        <f>IF(ISNUMBER(T2464),'자료_거시'!$D2446,"")</f>
        <v/>
      </c>
      <c r="V2464">
        <f>IF(ISNUMBER(U2464),IF(U2464&gt;$L$6,T2464,""),"")</f>
        <v/>
      </c>
      <c r="W2464">
        <f>IF(AND(ISNUMBER('자료_거시'!$G2446),ISNUMBER('자료_거시'!$H2446)),'자료_거시'!$H2446,"")</f>
        <v/>
      </c>
      <c r="X2464">
        <f>IF(ISNUMBER(W2464),'자료_거시'!$G2446,"")</f>
        <v/>
      </c>
      <c r="Y2464">
        <f>IF(ISNUMBER(X2464),IF(X2464&gt;$L$7,W2464,""),"")</f>
        <v/>
      </c>
      <c r="Z2464">
        <f>IF(ISNUMBER('자료_거시'!$K2446),'자료_거시'!$K2446,Z2463)</f>
        <v/>
      </c>
      <c r="AA2464">
        <f>IF(AND(ISNUMBER('자료_거시'!$J2446),ISNUMBER('자료_거시'!$K2446)),IFERROR('자료_거시'!$K2446/INDEX($Z$21:$Z$4020,MATCH(EDATE('자료_거시'!$J2446,-'설정'!$B$17),'자료_거시'!$J$3:INDEX('자료_거시'!$J$3:$J$4002,$K$8),1))-1,""),"")</f>
        <v/>
      </c>
      <c r="AB2464">
        <f>IF(ISNUMBER(AA2464),'자료_거시'!$J2446,"")</f>
        <v/>
      </c>
      <c r="AC2464">
        <f>IF(ISNUMBER(AB2464),IF(AB2464&gt;$L$8,AA2464,""),"")</f>
        <v/>
      </c>
    </row>
    <row r="2465">
      <c r="S2465">
        <f>IF(ISNUMBER('자료_거시'!$E2447),'자료_거시'!$E2447,S2464)</f>
        <v/>
      </c>
      <c r="T2465">
        <f>IF(AND(ISNUMBER('자료_거시'!$D2447),ISNUMBER('자료_거시'!$E2447)),IFERROR('자료_거시'!$E2447-INDEX($S$21:$S$4020,MATCH(EDATE('자료_거시'!$D2447,-'설정'!$B$17),'자료_거시'!$D$3:INDEX('자료_거시'!$D$3:$D$4002,$K$6),1)),""),"")</f>
        <v/>
      </c>
      <c r="U2465">
        <f>IF(ISNUMBER(T2465),'자료_거시'!$D2447,"")</f>
        <v/>
      </c>
      <c r="V2465">
        <f>IF(ISNUMBER(U2465),IF(U2465&gt;$L$6,T2465,""),"")</f>
        <v/>
      </c>
      <c r="W2465">
        <f>IF(AND(ISNUMBER('자료_거시'!$G2447),ISNUMBER('자료_거시'!$H2447)),'자료_거시'!$H2447,"")</f>
        <v/>
      </c>
      <c r="X2465">
        <f>IF(ISNUMBER(W2465),'자료_거시'!$G2447,"")</f>
        <v/>
      </c>
      <c r="Y2465">
        <f>IF(ISNUMBER(X2465),IF(X2465&gt;$L$7,W2465,""),"")</f>
        <v/>
      </c>
      <c r="Z2465">
        <f>IF(ISNUMBER('자료_거시'!$K2447),'자료_거시'!$K2447,Z2464)</f>
        <v/>
      </c>
      <c r="AA2465">
        <f>IF(AND(ISNUMBER('자료_거시'!$J2447),ISNUMBER('자료_거시'!$K2447)),IFERROR('자료_거시'!$K2447/INDEX($Z$21:$Z$4020,MATCH(EDATE('자료_거시'!$J2447,-'설정'!$B$17),'자료_거시'!$J$3:INDEX('자료_거시'!$J$3:$J$4002,$K$8),1))-1,""),"")</f>
        <v/>
      </c>
      <c r="AB2465">
        <f>IF(ISNUMBER(AA2465),'자료_거시'!$J2447,"")</f>
        <v/>
      </c>
      <c r="AC2465">
        <f>IF(ISNUMBER(AB2465),IF(AB2465&gt;$L$8,AA2465,""),"")</f>
        <v/>
      </c>
    </row>
    <row r="2466">
      <c r="S2466">
        <f>IF(ISNUMBER('자료_거시'!$E2448),'자료_거시'!$E2448,S2465)</f>
        <v/>
      </c>
      <c r="T2466">
        <f>IF(AND(ISNUMBER('자료_거시'!$D2448),ISNUMBER('자료_거시'!$E2448)),IFERROR('자료_거시'!$E2448-INDEX($S$21:$S$4020,MATCH(EDATE('자료_거시'!$D2448,-'설정'!$B$17),'자료_거시'!$D$3:INDEX('자료_거시'!$D$3:$D$4002,$K$6),1)),""),"")</f>
        <v/>
      </c>
      <c r="U2466">
        <f>IF(ISNUMBER(T2466),'자료_거시'!$D2448,"")</f>
        <v/>
      </c>
      <c r="V2466">
        <f>IF(ISNUMBER(U2466),IF(U2466&gt;$L$6,T2466,""),"")</f>
        <v/>
      </c>
      <c r="W2466">
        <f>IF(AND(ISNUMBER('자료_거시'!$G2448),ISNUMBER('자료_거시'!$H2448)),'자료_거시'!$H2448,"")</f>
        <v/>
      </c>
      <c r="X2466">
        <f>IF(ISNUMBER(W2466),'자료_거시'!$G2448,"")</f>
        <v/>
      </c>
      <c r="Y2466">
        <f>IF(ISNUMBER(X2466),IF(X2466&gt;$L$7,W2466,""),"")</f>
        <v/>
      </c>
      <c r="Z2466">
        <f>IF(ISNUMBER('자료_거시'!$K2448),'자료_거시'!$K2448,Z2465)</f>
        <v/>
      </c>
      <c r="AA2466">
        <f>IF(AND(ISNUMBER('자료_거시'!$J2448),ISNUMBER('자료_거시'!$K2448)),IFERROR('자료_거시'!$K2448/INDEX($Z$21:$Z$4020,MATCH(EDATE('자료_거시'!$J2448,-'설정'!$B$17),'자료_거시'!$J$3:INDEX('자료_거시'!$J$3:$J$4002,$K$8),1))-1,""),"")</f>
        <v/>
      </c>
      <c r="AB2466">
        <f>IF(ISNUMBER(AA2466),'자료_거시'!$J2448,"")</f>
        <v/>
      </c>
      <c r="AC2466">
        <f>IF(ISNUMBER(AB2466),IF(AB2466&gt;$L$8,AA2466,""),"")</f>
        <v/>
      </c>
    </row>
    <row r="2467">
      <c r="S2467">
        <f>IF(ISNUMBER('자료_거시'!$E2449),'자료_거시'!$E2449,S2466)</f>
        <v/>
      </c>
      <c r="T2467">
        <f>IF(AND(ISNUMBER('자료_거시'!$D2449),ISNUMBER('자료_거시'!$E2449)),IFERROR('자료_거시'!$E2449-INDEX($S$21:$S$4020,MATCH(EDATE('자료_거시'!$D2449,-'설정'!$B$17),'자료_거시'!$D$3:INDEX('자료_거시'!$D$3:$D$4002,$K$6),1)),""),"")</f>
        <v/>
      </c>
      <c r="U2467">
        <f>IF(ISNUMBER(T2467),'자료_거시'!$D2449,"")</f>
        <v/>
      </c>
      <c r="V2467">
        <f>IF(ISNUMBER(U2467),IF(U2467&gt;$L$6,T2467,""),"")</f>
        <v/>
      </c>
      <c r="W2467">
        <f>IF(AND(ISNUMBER('자료_거시'!$G2449),ISNUMBER('자료_거시'!$H2449)),'자료_거시'!$H2449,"")</f>
        <v/>
      </c>
      <c r="X2467">
        <f>IF(ISNUMBER(W2467),'자료_거시'!$G2449,"")</f>
        <v/>
      </c>
      <c r="Y2467">
        <f>IF(ISNUMBER(X2467),IF(X2467&gt;$L$7,W2467,""),"")</f>
        <v/>
      </c>
      <c r="Z2467">
        <f>IF(ISNUMBER('자료_거시'!$K2449),'자료_거시'!$K2449,Z2466)</f>
        <v/>
      </c>
      <c r="AA2467">
        <f>IF(AND(ISNUMBER('자료_거시'!$J2449),ISNUMBER('자료_거시'!$K2449)),IFERROR('자료_거시'!$K2449/INDEX($Z$21:$Z$4020,MATCH(EDATE('자료_거시'!$J2449,-'설정'!$B$17),'자료_거시'!$J$3:INDEX('자료_거시'!$J$3:$J$4002,$K$8),1))-1,""),"")</f>
        <v/>
      </c>
      <c r="AB2467">
        <f>IF(ISNUMBER(AA2467),'자료_거시'!$J2449,"")</f>
        <v/>
      </c>
      <c r="AC2467">
        <f>IF(ISNUMBER(AB2467),IF(AB2467&gt;$L$8,AA2467,""),"")</f>
        <v/>
      </c>
    </row>
    <row r="2468">
      <c r="S2468">
        <f>IF(ISNUMBER('자료_거시'!$E2450),'자료_거시'!$E2450,S2467)</f>
        <v/>
      </c>
      <c r="T2468">
        <f>IF(AND(ISNUMBER('자료_거시'!$D2450),ISNUMBER('자료_거시'!$E2450)),IFERROR('자료_거시'!$E2450-INDEX($S$21:$S$4020,MATCH(EDATE('자료_거시'!$D2450,-'설정'!$B$17),'자료_거시'!$D$3:INDEX('자료_거시'!$D$3:$D$4002,$K$6),1)),""),"")</f>
        <v/>
      </c>
      <c r="U2468">
        <f>IF(ISNUMBER(T2468),'자료_거시'!$D2450,"")</f>
        <v/>
      </c>
      <c r="V2468">
        <f>IF(ISNUMBER(U2468),IF(U2468&gt;$L$6,T2468,""),"")</f>
        <v/>
      </c>
      <c r="W2468">
        <f>IF(AND(ISNUMBER('자료_거시'!$G2450),ISNUMBER('자료_거시'!$H2450)),'자료_거시'!$H2450,"")</f>
        <v/>
      </c>
      <c r="X2468">
        <f>IF(ISNUMBER(W2468),'자료_거시'!$G2450,"")</f>
        <v/>
      </c>
      <c r="Y2468">
        <f>IF(ISNUMBER(X2468),IF(X2468&gt;$L$7,W2468,""),"")</f>
        <v/>
      </c>
      <c r="Z2468">
        <f>IF(ISNUMBER('자료_거시'!$K2450),'자료_거시'!$K2450,Z2467)</f>
        <v/>
      </c>
      <c r="AA2468">
        <f>IF(AND(ISNUMBER('자료_거시'!$J2450),ISNUMBER('자료_거시'!$K2450)),IFERROR('자료_거시'!$K2450/INDEX($Z$21:$Z$4020,MATCH(EDATE('자료_거시'!$J2450,-'설정'!$B$17),'자료_거시'!$J$3:INDEX('자료_거시'!$J$3:$J$4002,$K$8),1))-1,""),"")</f>
        <v/>
      </c>
      <c r="AB2468">
        <f>IF(ISNUMBER(AA2468),'자료_거시'!$J2450,"")</f>
        <v/>
      </c>
      <c r="AC2468">
        <f>IF(ISNUMBER(AB2468),IF(AB2468&gt;$L$8,AA2468,""),"")</f>
        <v/>
      </c>
    </row>
    <row r="2469">
      <c r="S2469">
        <f>IF(ISNUMBER('자료_거시'!$E2451),'자료_거시'!$E2451,S2468)</f>
        <v/>
      </c>
      <c r="T2469">
        <f>IF(AND(ISNUMBER('자료_거시'!$D2451),ISNUMBER('자료_거시'!$E2451)),IFERROR('자료_거시'!$E2451-INDEX($S$21:$S$4020,MATCH(EDATE('자료_거시'!$D2451,-'설정'!$B$17),'자료_거시'!$D$3:INDEX('자료_거시'!$D$3:$D$4002,$K$6),1)),""),"")</f>
        <v/>
      </c>
      <c r="U2469">
        <f>IF(ISNUMBER(T2469),'자료_거시'!$D2451,"")</f>
        <v/>
      </c>
      <c r="V2469">
        <f>IF(ISNUMBER(U2469),IF(U2469&gt;$L$6,T2469,""),"")</f>
        <v/>
      </c>
      <c r="W2469">
        <f>IF(AND(ISNUMBER('자료_거시'!$G2451),ISNUMBER('자료_거시'!$H2451)),'자료_거시'!$H2451,"")</f>
        <v/>
      </c>
      <c r="X2469">
        <f>IF(ISNUMBER(W2469),'자료_거시'!$G2451,"")</f>
        <v/>
      </c>
      <c r="Y2469">
        <f>IF(ISNUMBER(X2469),IF(X2469&gt;$L$7,W2469,""),"")</f>
        <v/>
      </c>
      <c r="Z2469">
        <f>IF(ISNUMBER('자료_거시'!$K2451),'자료_거시'!$K2451,Z2468)</f>
        <v/>
      </c>
      <c r="AA2469">
        <f>IF(AND(ISNUMBER('자료_거시'!$J2451),ISNUMBER('자료_거시'!$K2451)),IFERROR('자료_거시'!$K2451/INDEX($Z$21:$Z$4020,MATCH(EDATE('자료_거시'!$J2451,-'설정'!$B$17),'자료_거시'!$J$3:INDEX('자료_거시'!$J$3:$J$4002,$K$8),1))-1,""),"")</f>
        <v/>
      </c>
      <c r="AB2469">
        <f>IF(ISNUMBER(AA2469),'자료_거시'!$J2451,"")</f>
        <v/>
      </c>
      <c r="AC2469">
        <f>IF(ISNUMBER(AB2469),IF(AB2469&gt;$L$8,AA2469,""),"")</f>
        <v/>
      </c>
    </row>
    <row r="2470">
      <c r="S2470">
        <f>IF(ISNUMBER('자료_거시'!$E2452),'자료_거시'!$E2452,S2469)</f>
        <v/>
      </c>
      <c r="T2470">
        <f>IF(AND(ISNUMBER('자료_거시'!$D2452),ISNUMBER('자료_거시'!$E2452)),IFERROR('자료_거시'!$E2452-INDEX($S$21:$S$4020,MATCH(EDATE('자료_거시'!$D2452,-'설정'!$B$17),'자료_거시'!$D$3:INDEX('자료_거시'!$D$3:$D$4002,$K$6),1)),""),"")</f>
        <v/>
      </c>
      <c r="U2470">
        <f>IF(ISNUMBER(T2470),'자료_거시'!$D2452,"")</f>
        <v/>
      </c>
      <c r="V2470">
        <f>IF(ISNUMBER(U2470),IF(U2470&gt;$L$6,T2470,""),"")</f>
        <v/>
      </c>
      <c r="W2470">
        <f>IF(AND(ISNUMBER('자료_거시'!$G2452),ISNUMBER('자료_거시'!$H2452)),'자료_거시'!$H2452,"")</f>
        <v/>
      </c>
      <c r="X2470">
        <f>IF(ISNUMBER(W2470),'자료_거시'!$G2452,"")</f>
        <v/>
      </c>
      <c r="Y2470">
        <f>IF(ISNUMBER(X2470),IF(X2470&gt;$L$7,W2470,""),"")</f>
        <v/>
      </c>
      <c r="Z2470">
        <f>IF(ISNUMBER('자료_거시'!$K2452),'자료_거시'!$K2452,Z2469)</f>
        <v/>
      </c>
      <c r="AA2470">
        <f>IF(AND(ISNUMBER('자료_거시'!$J2452),ISNUMBER('자료_거시'!$K2452)),IFERROR('자료_거시'!$K2452/INDEX($Z$21:$Z$4020,MATCH(EDATE('자료_거시'!$J2452,-'설정'!$B$17),'자료_거시'!$J$3:INDEX('자료_거시'!$J$3:$J$4002,$K$8),1))-1,""),"")</f>
        <v/>
      </c>
      <c r="AB2470">
        <f>IF(ISNUMBER(AA2470),'자료_거시'!$J2452,"")</f>
        <v/>
      </c>
      <c r="AC2470">
        <f>IF(ISNUMBER(AB2470),IF(AB2470&gt;$L$8,AA2470,""),"")</f>
        <v/>
      </c>
    </row>
    <row r="2471">
      <c r="S2471">
        <f>IF(ISNUMBER('자료_거시'!$E2453),'자료_거시'!$E2453,S2470)</f>
        <v/>
      </c>
      <c r="T2471">
        <f>IF(AND(ISNUMBER('자료_거시'!$D2453),ISNUMBER('자료_거시'!$E2453)),IFERROR('자료_거시'!$E2453-INDEX($S$21:$S$4020,MATCH(EDATE('자료_거시'!$D2453,-'설정'!$B$17),'자료_거시'!$D$3:INDEX('자료_거시'!$D$3:$D$4002,$K$6),1)),""),"")</f>
        <v/>
      </c>
      <c r="U2471">
        <f>IF(ISNUMBER(T2471),'자료_거시'!$D2453,"")</f>
        <v/>
      </c>
      <c r="V2471">
        <f>IF(ISNUMBER(U2471),IF(U2471&gt;$L$6,T2471,""),"")</f>
        <v/>
      </c>
      <c r="W2471">
        <f>IF(AND(ISNUMBER('자료_거시'!$G2453),ISNUMBER('자료_거시'!$H2453)),'자료_거시'!$H2453,"")</f>
        <v/>
      </c>
      <c r="X2471">
        <f>IF(ISNUMBER(W2471),'자료_거시'!$G2453,"")</f>
        <v/>
      </c>
      <c r="Y2471">
        <f>IF(ISNUMBER(X2471),IF(X2471&gt;$L$7,W2471,""),"")</f>
        <v/>
      </c>
      <c r="Z2471">
        <f>IF(ISNUMBER('자료_거시'!$K2453),'자료_거시'!$K2453,Z2470)</f>
        <v/>
      </c>
      <c r="AA2471">
        <f>IF(AND(ISNUMBER('자료_거시'!$J2453),ISNUMBER('자료_거시'!$K2453)),IFERROR('자료_거시'!$K2453/INDEX($Z$21:$Z$4020,MATCH(EDATE('자료_거시'!$J2453,-'설정'!$B$17),'자료_거시'!$J$3:INDEX('자료_거시'!$J$3:$J$4002,$K$8),1))-1,""),"")</f>
        <v/>
      </c>
      <c r="AB2471">
        <f>IF(ISNUMBER(AA2471),'자료_거시'!$J2453,"")</f>
        <v/>
      </c>
      <c r="AC2471">
        <f>IF(ISNUMBER(AB2471),IF(AB2471&gt;$L$8,AA2471,""),"")</f>
        <v/>
      </c>
    </row>
    <row r="2472">
      <c r="S2472">
        <f>IF(ISNUMBER('자료_거시'!$E2454),'자료_거시'!$E2454,S2471)</f>
        <v/>
      </c>
      <c r="T2472">
        <f>IF(AND(ISNUMBER('자료_거시'!$D2454),ISNUMBER('자료_거시'!$E2454)),IFERROR('자료_거시'!$E2454-INDEX($S$21:$S$4020,MATCH(EDATE('자료_거시'!$D2454,-'설정'!$B$17),'자료_거시'!$D$3:INDEX('자료_거시'!$D$3:$D$4002,$K$6),1)),""),"")</f>
        <v/>
      </c>
      <c r="U2472">
        <f>IF(ISNUMBER(T2472),'자료_거시'!$D2454,"")</f>
        <v/>
      </c>
      <c r="V2472">
        <f>IF(ISNUMBER(U2472),IF(U2472&gt;$L$6,T2472,""),"")</f>
        <v/>
      </c>
      <c r="W2472">
        <f>IF(AND(ISNUMBER('자료_거시'!$G2454),ISNUMBER('자료_거시'!$H2454)),'자료_거시'!$H2454,"")</f>
        <v/>
      </c>
      <c r="X2472">
        <f>IF(ISNUMBER(W2472),'자료_거시'!$G2454,"")</f>
        <v/>
      </c>
      <c r="Y2472">
        <f>IF(ISNUMBER(X2472),IF(X2472&gt;$L$7,W2472,""),"")</f>
        <v/>
      </c>
      <c r="Z2472">
        <f>IF(ISNUMBER('자료_거시'!$K2454),'자료_거시'!$K2454,Z2471)</f>
        <v/>
      </c>
      <c r="AA2472">
        <f>IF(AND(ISNUMBER('자료_거시'!$J2454),ISNUMBER('자료_거시'!$K2454)),IFERROR('자료_거시'!$K2454/INDEX($Z$21:$Z$4020,MATCH(EDATE('자료_거시'!$J2454,-'설정'!$B$17),'자료_거시'!$J$3:INDEX('자료_거시'!$J$3:$J$4002,$K$8),1))-1,""),"")</f>
        <v/>
      </c>
      <c r="AB2472">
        <f>IF(ISNUMBER(AA2472),'자료_거시'!$J2454,"")</f>
        <v/>
      </c>
      <c r="AC2472">
        <f>IF(ISNUMBER(AB2472),IF(AB2472&gt;$L$8,AA2472,""),"")</f>
        <v/>
      </c>
    </row>
    <row r="2473">
      <c r="S2473">
        <f>IF(ISNUMBER('자료_거시'!$E2455),'자료_거시'!$E2455,S2472)</f>
        <v/>
      </c>
      <c r="T2473">
        <f>IF(AND(ISNUMBER('자료_거시'!$D2455),ISNUMBER('자료_거시'!$E2455)),IFERROR('자료_거시'!$E2455-INDEX($S$21:$S$4020,MATCH(EDATE('자료_거시'!$D2455,-'설정'!$B$17),'자료_거시'!$D$3:INDEX('자료_거시'!$D$3:$D$4002,$K$6),1)),""),"")</f>
        <v/>
      </c>
      <c r="U2473">
        <f>IF(ISNUMBER(T2473),'자료_거시'!$D2455,"")</f>
        <v/>
      </c>
      <c r="V2473">
        <f>IF(ISNUMBER(U2473),IF(U2473&gt;$L$6,T2473,""),"")</f>
        <v/>
      </c>
      <c r="W2473">
        <f>IF(AND(ISNUMBER('자료_거시'!$G2455),ISNUMBER('자료_거시'!$H2455)),'자료_거시'!$H2455,"")</f>
        <v/>
      </c>
      <c r="X2473">
        <f>IF(ISNUMBER(W2473),'자료_거시'!$G2455,"")</f>
        <v/>
      </c>
      <c r="Y2473">
        <f>IF(ISNUMBER(X2473),IF(X2473&gt;$L$7,W2473,""),"")</f>
        <v/>
      </c>
      <c r="Z2473">
        <f>IF(ISNUMBER('자료_거시'!$K2455),'자료_거시'!$K2455,Z2472)</f>
        <v/>
      </c>
      <c r="AA2473">
        <f>IF(AND(ISNUMBER('자료_거시'!$J2455),ISNUMBER('자료_거시'!$K2455)),IFERROR('자료_거시'!$K2455/INDEX($Z$21:$Z$4020,MATCH(EDATE('자료_거시'!$J2455,-'설정'!$B$17),'자료_거시'!$J$3:INDEX('자료_거시'!$J$3:$J$4002,$K$8),1))-1,""),"")</f>
        <v/>
      </c>
      <c r="AB2473">
        <f>IF(ISNUMBER(AA2473),'자료_거시'!$J2455,"")</f>
        <v/>
      </c>
      <c r="AC2473">
        <f>IF(ISNUMBER(AB2473),IF(AB2473&gt;$L$8,AA2473,""),"")</f>
        <v/>
      </c>
    </row>
    <row r="2474">
      <c r="S2474">
        <f>IF(ISNUMBER('자료_거시'!$E2456),'자료_거시'!$E2456,S2473)</f>
        <v/>
      </c>
      <c r="T2474">
        <f>IF(AND(ISNUMBER('자료_거시'!$D2456),ISNUMBER('자료_거시'!$E2456)),IFERROR('자료_거시'!$E2456-INDEX($S$21:$S$4020,MATCH(EDATE('자료_거시'!$D2456,-'설정'!$B$17),'자료_거시'!$D$3:INDEX('자료_거시'!$D$3:$D$4002,$K$6),1)),""),"")</f>
        <v/>
      </c>
      <c r="U2474">
        <f>IF(ISNUMBER(T2474),'자료_거시'!$D2456,"")</f>
        <v/>
      </c>
      <c r="V2474">
        <f>IF(ISNUMBER(U2474),IF(U2474&gt;$L$6,T2474,""),"")</f>
        <v/>
      </c>
      <c r="W2474">
        <f>IF(AND(ISNUMBER('자료_거시'!$G2456),ISNUMBER('자료_거시'!$H2456)),'자료_거시'!$H2456,"")</f>
        <v/>
      </c>
      <c r="X2474">
        <f>IF(ISNUMBER(W2474),'자료_거시'!$G2456,"")</f>
        <v/>
      </c>
      <c r="Y2474">
        <f>IF(ISNUMBER(X2474),IF(X2474&gt;$L$7,W2474,""),"")</f>
        <v/>
      </c>
      <c r="Z2474">
        <f>IF(ISNUMBER('자료_거시'!$K2456),'자료_거시'!$K2456,Z2473)</f>
        <v/>
      </c>
      <c r="AA2474">
        <f>IF(AND(ISNUMBER('자료_거시'!$J2456),ISNUMBER('자료_거시'!$K2456)),IFERROR('자료_거시'!$K2456/INDEX($Z$21:$Z$4020,MATCH(EDATE('자료_거시'!$J2456,-'설정'!$B$17),'자료_거시'!$J$3:INDEX('자료_거시'!$J$3:$J$4002,$K$8),1))-1,""),"")</f>
        <v/>
      </c>
      <c r="AB2474">
        <f>IF(ISNUMBER(AA2474),'자료_거시'!$J2456,"")</f>
        <v/>
      </c>
      <c r="AC2474">
        <f>IF(ISNUMBER(AB2474),IF(AB2474&gt;$L$8,AA2474,""),"")</f>
        <v/>
      </c>
    </row>
    <row r="2475">
      <c r="S2475">
        <f>IF(ISNUMBER('자료_거시'!$E2457),'자료_거시'!$E2457,S2474)</f>
        <v/>
      </c>
      <c r="T2475">
        <f>IF(AND(ISNUMBER('자료_거시'!$D2457),ISNUMBER('자료_거시'!$E2457)),IFERROR('자료_거시'!$E2457-INDEX($S$21:$S$4020,MATCH(EDATE('자료_거시'!$D2457,-'설정'!$B$17),'자료_거시'!$D$3:INDEX('자료_거시'!$D$3:$D$4002,$K$6),1)),""),"")</f>
        <v/>
      </c>
      <c r="U2475">
        <f>IF(ISNUMBER(T2475),'자료_거시'!$D2457,"")</f>
        <v/>
      </c>
      <c r="V2475">
        <f>IF(ISNUMBER(U2475),IF(U2475&gt;$L$6,T2475,""),"")</f>
        <v/>
      </c>
      <c r="W2475">
        <f>IF(AND(ISNUMBER('자료_거시'!$G2457),ISNUMBER('자료_거시'!$H2457)),'자료_거시'!$H2457,"")</f>
        <v/>
      </c>
      <c r="X2475">
        <f>IF(ISNUMBER(W2475),'자료_거시'!$G2457,"")</f>
        <v/>
      </c>
      <c r="Y2475">
        <f>IF(ISNUMBER(X2475),IF(X2475&gt;$L$7,W2475,""),"")</f>
        <v/>
      </c>
      <c r="Z2475">
        <f>IF(ISNUMBER('자료_거시'!$K2457),'자료_거시'!$K2457,Z2474)</f>
        <v/>
      </c>
      <c r="AA2475">
        <f>IF(AND(ISNUMBER('자료_거시'!$J2457),ISNUMBER('자료_거시'!$K2457)),IFERROR('자료_거시'!$K2457/INDEX($Z$21:$Z$4020,MATCH(EDATE('자료_거시'!$J2457,-'설정'!$B$17),'자료_거시'!$J$3:INDEX('자료_거시'!$J$3:$J$4002,$K$8),1))-1,""),"")</f>
        <v/>
      </c>
      <c r="AB2475">
        <f>IF(ISNUMBER(AA2475),'자료_거시'!$J2457,"")</f>
        <v/>
      </c>
      <c r="AC2475">
        <f>IF(ISNUMBER(AB2475),IF(AB2475&gt;$L$8,AA2475,""),"")</f>
        <v/>
      </c>
    </row>
    <row r="2476">
      <c r="S2476">
        <f>IF(ISNUMBER('자료_거시'!$E2458),'자료_거시'!$E2458,S2475)</f>
        <v/>
      </c>
      <c r="T2476">
        <f>IF(AND(ISNUMBER('자료_거시'!$D2458),ISNUMBER('자료_거시'!$E2458)),IFERROR('자료_거시'!$E2458-INDEX($S$21:$S$4020,MATCH(EDATE('자료_거시'!$D2458,-'설정'!$B$17),'자료_거시'!$D$3:INDEX('자료_거시'!$D$3:$D$4002,$K$6),1)),""),"")</f>
        <v/>
      </c>
      <c r="U2476">
        <f>IF(ISNUMBER(T2476),'자료_거시'!$D2458,"")</f>
        <v/>
      </c>
      <c r="V2476">
        <f>IF(ISNUMBER(U2476),IF(U2476&gt;$L$6,T2476,""),"")</f>
        <v/>
      </c>
      <c r="W2476">
        <f>IF(AND(ISNUMBER('자료_거시'!$G2458),ISNUMBER('자료_거시'!$H2458)),'자료_거시'!$H2458,"")</f>
        <v/>
      </c>
      <c r="X2476">
        <f>IF(ISNUMBER(W2476),'자료_거시'!$G2458,"")</f>
        <v/>
      </c>
      <c r="Y2476">
        <f>IF(ISNUMBER(X2476),IF(X2476&gt;$L$7,W2476,""),"")</f>
        <v/>
      </c>
      <c r="Z2476">
        <f>IF(ISNUMBER('자료_거시'!$K2458),'자료_거시'!$K2458,Z2475)</f>
        <v/>
      </c>
      <c r="AA2476">
        <f>IF(AND(ISNUMBER('자료_거시'!$J2458),ISNUMBER('자료_거시'!$K2458)),IFERROR('자료_거시'!$K2458/INDEX($Z$21:$Z$4020,MATCH(EDATE('자료_거시'!$J2458,-'설정'!$B$17),'자료_거시'!$J$3:INDEX('자료_거시'!$J$3:$J$4002,$K$8),1))-1,""),"")</f>
        <v/>
      </c>
      <c r="AB2476">
        <f>IF(ISNUMBER(AA2476),'자료_거시'!$J2458,"")</f>
        <v/>
      </c>
      <c r="AC2476">
        <f>IF(ISNUMBER(AB2476),IF(AB2476&gt;$L$8,AA2476,""),"")</f>
        <v/>
      </c>
    </row>
    <row r="2477">
      <c r="S2477">
        <f>IF(ISNUMBER('자료_거시'!$E2459),'자료_거시'!$E2459,S2476)</f>
        <v/>
      </c>
      <c r="T2477">
        <f>IF(AND(ISNUMBER('자료_거시'!$D2459),ISNUMBER('자료_거시'!$E2459)),IFERROR('자료_거시'!$E2459-INDEX($S$21:$S$4020,MATCH(EDATE('자료_거시'!$D2459,-'설정'!$B$17),'자료_거시'!$D$3:INDEX('자료_거시'!$D$3:$D$4002,$K$6),1)),""),"")</f>
        <v/>
      </c>
      <c r="U2477">
        <f>IF(ISNUMBER(T2477),'자료_거시'!$D2459,"")</f>
        <v/>
      </c>
      <c r="V2477">
        <f>IF(ISNUMBER(U2477),IF(U2477&gt;$L$6,T2477,""),"")</f>
        <v/>
      </c>
      <c r="W2477">
        <f>IF(AND(ISNUMBER('자료_거시'!$G2459),ISNUMBER('자료_거시'!$H2459)),'자료_거시'!$H2459,"")</f>
        <v/>
      </c>
      <c r="X2477">
        <f>IF(ISNUMBER(W2477),'자료_거시'!$G2459,"")</f>
        <v/>
      </c>
      <c r="Y2477">
        <f>IF(ISNUMBER(X2477),IF(X2477&gt;$L$7,W2477,""),"")</f>
        <v/>
      </c>
      <c r="Z2477">
        <f>IF(ISNUMBER('자료_거시'!$K2459),'자료_거시'!$K2459,Z2476)</f>
        <v/>
      </c>
      <c r="AA2477">
        <f>IF(AND(ISNUMBER('자료_거시'!$J2459),ISNUMBER('자료_거시'!$K2459)),IFERROR('자료_거시'!$K2459/INDEX($Z$21:$Z$4020,MATCH(EDATE('자료_거시'!$J2459,-'설정'!$B$17),'자료_거시'!$J$3:INDEX('자료_거시'!$J$3:$J$4002,$K$8),1))-1,""),"")</f>
        <v/>
      </c>
      <c r="AB2477">
        <f>IF(ISNUMBER(AA2477),'자료_거시'!$J2459,"")</f>
        <v/>
      </c>
      <c r="AC2477">
        <f>IF(ISNUMBER(AB2477),IF(AB2477&gt;$L$8,AA2477,""),"")</f>
        <v/>
      </c>
    </row>
    <row r="2478">
      <c r="S2478">
        <f>IF(ISNUMBER('자료_거시'!$E2460),'자료_거시'!$E2460,S2477)</f>
        <v/>
      </c>
      <c r="T2478">
        <f>IF(AND(ISNUMBER('자료_거시'!$D2460),ISNUMBER('자료_거시'!$E2460)),IFERROR('자료_거시'!$E2460-INDEX($S$21:$S$4020,MATCH(EDATE('자료_거시'!$D2460,-'설정'!$B$17),'자료_거시'!$D$3:INDEX('자료_거시'!$D$3:$D$4002,$K$6),1)),""),"")</f>
        <v/>
      </c>
      <c r="U2478">
        <f>IF(ISNUMBER(T2478),'자료_거시'!$D2460,"")</f>
        <v/>
      </c>
      <c r="V2478">
        <f>IF(ISNUMBER(U2478),IF(U2478&gt;$L$6,T2478,""),"")</f>
        <v/>
      </c>
      <c r="W2478">
        <f>IF(AND(ISNUMBER('자료_거시'!$G2460),ISNUMBER('자료_거시'!$H2460)),'자료_거시'!$H2460,"")</f>
        <v/>
      </c>
      <c r="X2478">
        <f>IF(ISNUMBER(W2478),'자료_거시'!$G2460,"")</f>
        <v/>
      </c>
      <c r="Y2478">
        <f>IF(ISNUMBER(X2478),IF(X2478&gt;$L$7,W2478,""),"")</f>
        <v/>
      </c>
      <c r="Z2478">
        <f>IF(ISNUMBER('자료_거시'!$K2460),'자료_거시'!$K2460,Z2477)</f>
        <v/>
      </c>
      <c r="AA2478">
        <f>IF(AND(ISNUMBER('자료_거시'!$J2460),ISNUMBER('자료_거시'!$K2460)),IFERROR('자료_거시'!$K2460/INDEX($Z$21:$Z$4020,MATCH(EDATE('자료_거시'!$J2460,-'설정'!$B$17),'자료_거시'!$J$3:INDEX('자료_거시'!$J$3:$J$4002,$K$8),1))-1,""),"")</f>
        <v/>
      </c>
      <c r="AB2478">
        <f>IF(ISNUMBER(AA2478),'자료_거시'!$J2460,"")</f>
        <v/>
      </c>
      <c r="AC2478">
        <f>IF(ISNUMBER(AB2478),IF(AB2478&gt;$L$8,AA2478,""),"")</f>
        <v/>
      </c>
    </row>
    <row r="2479">
      <c r="S2479">
        <f>IF(ISNUMBER('자료_거시'!$E2461),'자료_거시'!$E2461,S2478)</f>
        <v/>
      </c>
      <c r="T2479">
        <f>IF(AND(ISNUMBER('자료_거시'!$D2461),ISNUMBER('자료_거시'!$E2461)),IFERROR('자료_거시'!$E2461-INDEX($S$21:$S$4020,MATCH(EDATE('자료_거시'!$D2461,-'설정'!$B$17),'자료_거시'!$D$3:INDEX('자료_거시'!$D$3:$D$4002,$K$6),1)),""),"")</f>
        <v/>
      </c>
      <c r="U2479">
        <f>IF(ISNUMBER(T2479),'자료_거시'!$D2461,"")</f>
        <v/>
      </c>
      <c r="V2479">
        <f>IF(ISNUMBER(U2479),IF(U2479&gt;$L$6,T2479,""),"")</f>
        <v/>
      </c>
      <c r="W2479">
        <f>IF(AND(ISNUMBER('자료_거시'!$G2461),ISNUMBER('자료_거시'!$H2461)),'자료_거시'!$H2461,"")</f>
        <v/>
      </c>
      <c r="X2479">
        <f>IF(ISNUMBER(W2479),'자료_거시'!$G2461,"")</f>
        <v/>
      </c>
      <c r="Y2479">
        <f>IF(ISNUMBER(X2479),IF(X2479&gt;$L$7,W2479,""),"")</f>
        <v/>
      </c>
      <c r="Z2479">
        <f>IF(ISNUMBER('자료_거시'!$K2461),'자료_거시'!$K2461,Z2478)</f>
        <v/>
      </c>
      <c r="AA2479">
        <f>IF(AND(ISNUMBER('자료_거시'!$J2461),ISNUMBER('자료_거시'!$K2461)),IFERROR('자료_거시'!$K2461/INDEX($Z$21:$Z$4020,MATCH(EDATE('자료_거시'!$J2461,-'설정'!$B$17),'자료_거시'!$J$3:INDEX('자료_거시'!$J$3:$J$4002,$K$8),1))-1,""),"")</f>
        <v/>
      </c>
      <c r="AB2479">
        <f>IF(ISNUMBER(AA2479),'자료_거시'!$J2461,"")</f>
        <v/>
      </c>
      <c r="AC2479">
        <f>IF(ISNUMBER(AB2479),IF(AB2479&gt;$L$8,AA2479,""),"")</f>
        <v/>
      </c>
    </row>
    <row r="2480">
      <c r="S2480">
        <f>IF(ISNUMBER('자료_거시'!$E2462),'자료_거시'!$E2462,S2479)</f>
        <v/>
      </c>
      <c r="T2480">
        <f>IF(AND(ISNUMBER('자료_거시'!$D2462),ISNUMBER('자료_거시'!$E2462)),IFERROR('자료_거시'!$E2462-INDEX($S$21:$S$4020,MATCH(EDATE('자료_거시'!$D2462,-'설정'!$B$17),'자료_거시'!$D$3:INDEX('자료_거시'!$D$3:$D$4002,$K$6),1)),""),"")</f>
        <v/>
      </c>
      <c r="U2480">
        <f>IF(ISNUMBER(T2480),'자료_거시'!$D2462,"")</f>
        <v/>
      </c>
      <c r="V2480">
        <f>IF(ISNUMBER(U2480),IF(U2480&gt;$L$6,T2480,""),"")</f>
        <v/>
      </c>
      <c r="W2480">
        <f>IF(AND(ISNUMBER('자료_거시'!$G2462),ISNUMBER('자료_거시'!$H2462)),'자료_거시'!$H2462,"")</f>
        <v/>
      </c>
      <c r="X2480">
        <f>IF(ISNUMBER(W2480),'자료_거시'!$G2462,"")</f>
        <v/>
      </c>
      <c r="Y2480">
        <f>IF(ISNUMBER(X2480),IF(X2480&gt;$L$7,W2480,""),"")</f>
        <v/>
      </c>
      <c r="Z2480">
        <f>IF(ISNUMBER('자료_거시'!$K2462),'자료_거시'!$K2462,Z2479)</f>
        <v/>
      </c>
      <c r="AA2480">
        <f>IF(AND(ISNUMBER('자료_거시'!$J2462),ISNUMBER('자료_거시'!$K2462)),IFERROR('자료_거시'!$K2462/INDEX($Z$21:$Z$4020,MATCH(EDATE('자료_거시'!$J2462,-'설정'!$B$17),'자료_거시'!$J$3:INDEX('자료_거시'!$J$3:$J$4002,$K$8),1))-1,""),"")</f>
        <v/>
      </c>
      <c r="AB2480">
        <f>IF(ISNUMBER(AA2480),'자료_거시'!$J2462,"")</f>
        <v/>
      </c>
      <c r="AC2480">
        <f>IF(ISNUMBER(AB2480),IF(AB2480&gt;$L$8,AA2480,""),"")</f>
        <v/>
      </c>
    </row>
    <row r="2481">
      <c r="S2481">
        <f>IF(ISNUMBER('자료_거시'!$E2463),'자료_거시'!$E2463,S2480)</f>
        <v/>
      </c>
      <c r="T2481">
        <f>IF(AND(ISNUMBER('자료_거시'!$D2463),ISNUMBER('자료_거시'!$E2463)),IFERROR('자료_거시'!$E2463-INDEX($S$21:$S$4020,MATCH(EDATE('자료_거시'!$D2463,-'설정'!$B$17),'자료_거시'!$D$3:INDEX('자료_거시'!$D$3:$D$4002,$K$6),1)),""),"")</f>
        <v/>
      </c>
      <c r="U2481">
        <f>IF(ISNUMBER(T2481),'자료_거시'!$D2463,"")</f>
        <v/>
      </c>
      <c r="V2481">
        <f>IF(ISNUMBER(U2481),IF(U2481&gt;$L$6,T2481,""),"")</f>
        <v/>
      </c>
      <c r="W2481">
        <f>IF(AND(ISNUMBER('자료_거시'!$G2463),ISNUMBER('자료_거시'!$H2463)),'자료_거시'!$H2463,"")</f>
        <v/>
      </c>
      <c r="X2481">
        <f>IF(ISNUMBER(W2481),'자료_거시'!$G2463,"")</f>
        <v/>
      </c>
      <c r="Y2481">
        <f>IF(ISNUMBER(X2481),IF(X2481&gt;$L$7,W2481,""),"")</f>
        <v/>
      </c>
      <c r="Z2481">
        <f>IF(ISNUMBER('자료_거시'!$K2463),'자료_거시'!$K2463,Z2480)</f>
        <v/>
      </c>
      <c r="AA2481">
        <f>IF(AND(ISNUMBER('자료_거시'!$J2463),ISNUMBER('자료_거시'!$K2463)),IFERROR('자료_거시'!$K2463/INDEX($Z$21:$Z$4020,MATCH(EDATE('자료_거시'!$J2463,-'설정'!$B$17),'자료_거시'!$J$3:INDEX('자료_거시'!$J$3:$J$4002,$K$8),1))-1,""),"")</f>
        <v/>
      </c>
      <c r="AB2481">
        <f>IF(ISNUMBER(AA2481),'자료_거시'!$J2463,"")</f>
        <v/>
      </c>
      <c r="AC2481">
        <f>IF(ISNUMBER(AB2481),IF(AB2481&gt;$L$8,AA2481,""),"")</f>
        <v/>
      </c>
    </row>
    <row r="2482">
      <c r="S2482">
        <f>IF(ISNUMBER('자료_거시'!$E2464),'자료_거시'!$E2464,S2481)</f>
        <v/>
      </c>
      <c r="T2482">
        <f>IF(AND(ISNUMBER('자료_거시'!$D2464),ISNUMBER('자료_거시'!$E2464)),IFERROR('자료_거시'!$E2464-INDEX($S$21:$S$4020,MATCH(EDATE('자료_거시'!$D2464,-'설정'!$B$17),'자료_거시'!$D$3:INDEX('자료_거시'!$D$3:$D$4002,$K$6),1)),""),"")</f>
        <v/>
      </c>
      <c r="U2482">
        <f>IF(ISNUMBER(T2482),'자료_거시'!$D2464,"")</f>
        <v/>
      </c>
      <c r="V2482">
        <f>IF(ISNUMBER(U2482),IF(U2482&gt;$L$6,T2482,""),"")</f>
        <v/>
      </c>
      <c r="W2482">
        <f>IF(AND(ISNUMBER('자료_거시'!$G2464),ISNUMBER('자료_거시'!$H2464)),'자료_거시'!$H2464,"")</f>
        <v/>
      </c>
      <c r="X2482">
        <f>IF(ISNUMBER(W2482),'자료_거시'!$G2464,"")</f>
        <v/>
      </c>
      <c r="Y2482">
        <f>IF(ISNUMBER(X2482),IF(X2482&gt;$L$7,W2482,""),"")</f>
        <v/>
      </c>
      <c r="Z2482">
        <f>IF(ISNUMBER('자료_거시'!$K2464),'자료_거시'!$K2464,Z2481)</f>
        <v/>
      </c>
      <c r="AA2482">
        <f>IF(AND(ISNUMBER('자료_거시'!$J2464),ISNUMBER('자료_거시'!$K2464)),IFERROR('자료_거시'!$K2464/INDEX($Z$21:$Z$4020,MATCH(EDATE('자료_거시'!$J2464,-'설정'!$B$17),'자료_거시'!$J$3:INDEX('자료_거시'!$J$3:$J$4002,$K$8),1))-1,""),"")</f>
        <v/>
      </c>
      <c r="AB2482">
        <f>IF(ISNUMBER(AA2482),'자료_거시'!$J2464,"")</f>
        <v/>
      </c>
      <c r="AC2482">
        <f>IF(ISNUMBER(AB2482),IF(AB2482&gt;$L$8,AA2482,""),"")</f>
        <v/>
      </c>
    </row>
    <row r="2483">
      <c r="S2483">
        <f>IF(ISNUMBER('자료_거시'!$E2465),'자료_거시'!$E2465,S2482)</f>
        <v/>
      </c>
      <c r="T2483">
        <f>IF(AND(ISNUMBER('자료_거시'!$D2465),ISNUMBER('자료_거시'!$E2465)),IFERROR('자료_거시'!$E2465-INDEX($S$21:$S$4020,MATCH(EDATE('자료_거시'!$D2465,-'설정'!$B$17),'자료_거시'!$D$3:INDEX('자료_거시'!$D$3:$D$4002,$K$6),1)),""),"")</f>
        <v/>
      </c>
      <c r="U2483">
        <f>IF(ISNUMBER(T2483),'자료_거시'!$D2465,"")</f>
        <v/>
      </c>
      <c r="V2483">
        <f>IF(ISNUMBER(U2483),IF(U2483&gt;$L$6,T2483,""),"")</f>
        <v/>
      </c>
      <c r="W2483">
        <f>IF(AND(ISNUMBER('자료_거시'!$G2465),ISNUMBER('자료_거시'!$H2465)),'자료_거시'!$H2465,"")</f>
        <v/>
      </c>
      <c r="X2483">
        <f>IF(ISNUMBER(W2483),'자료_거시'!$G2465,"")</f>
        <v/>
      </c>
      <c r="Y2483">
        <f>IF(ISNUMBER(X2483),IF(X2483&gt;$L$7,W2483,""),"")</f>
        <v/>
      </c>
      <c r="Z2483">
        <f>IF(ISNUMBER('자료_거시'!$K2465),'자료_거시'!$K2465,Z2482)</f>
        <v/>
      </c>
      <c r="AA2483">
        <f>IF(AND(ISNUMBER('자료_거시'!$J2465),ISNUMBER('자료_거시'!$K2465)),IFERROR('자료_거시'!$K2465/INDEX($Z$21:$Z$4020,MATCH(EDATE('자료_거시'!$J2465,-'설정'!$B$17),'자료_거시'!$J$3:INDEX('자료_거시'!$J$3:$J$4002,$K$8),1))-1,""),"")</f>
        <v/>
      </c>
      <c r="AB2483">
        <f>IF(ISNUMBER(AA2483),'자료_거시'!$J2465,"")</f>
        <v/>
      </c>
      <c r="AC2483">
        <f>IF(ISNUMBER(AB2483),IF(AB2483&gt;$L$8,AA2483,""),"")</f>
        <v/>
      </c>
    </row>
    <row r="2484">
      <c r="S2484">
        <f>IF(ISNUMBER('자료_거시'!$E2466),'자료_거시'!$E2466,S2483)</f>
        <v/>
      </c>
      <c r="T2484">
        <f>IF(AND(ISNUMBER('자료_거시'!$D2466),ISNUMBER('자료_거시'!$E2466)),IFERROR('자료_거시'!$E2466-INDEX($S$21:$S$4020,MATCH(EDATE('자료_거시'!$D2466,-'설정'!$B$17),'자료_거시'!$D$3:INDEX('자료_거시'!$D$3:$D$4002,$K$6),1)),""),"")</f>
        <v/>
      </c>
      <c r="U2484">
        <f>IF(ISNUMBER(T2484),'자료_거시'!$D2466,"")</f>
        <v/>
      </c>
      <c r="V2484">
        <f>IF(ISNUMBER(U2484),IF(U2484&gt;$L$6,T2484,""),"")</f>
        <v/>
      </c>
      <c r="W2484">
        <f>IF(AND(ISNUMBER('자료_거시'!$G2466),ISNUMBER('자료_거시'!$H2466)),'자료_거시'!$H2466,"")</f>
        <v/>
      </c>
      <c r="X2484">
        <f>IF(ISNUMBER(W2484),'자료_거시'!$G2466,"")</f>
        <v/>
      </c>
      <c r="Y2484">
        <f>IF(ISNUMBER(X2484),IF(X2484&gt;$L$7,W2484,""),"")</f>
        <v/>
      </c>
      <c r="Z2484">
        <f>IF(ISNUMBER('자료_거시'!$K2466),'자료_거시'!$K2466,Z2483)</f>
        <v/>
      </c>
      <c r="AA2484">
        <f>IF(AND(ISNUMBER('자료_거시'!$J2466),ISNUMBER('자료_거시'!$K2466)),IFERROR('자료_거시'!$K2466/INDEX($Z$21:$Z$4020,MATCH(EDATE('자료_거시'!$J2466,-'설정'!$B$17),'자료_거시'!$J$3:INDEX('자료_거시'!$J$3:$J$4002,$K$8),1))-1,""),"")</f>
        <v/>
      </c>
      <c r="AB2484">
        <f>IF(ISNUMBER(AA2484),'자료_거시'!$J2466,"")</f>
        <v/>
      </c>
      <c r="AC2484">
        <f>IF(ISNUMBER(AB2484),IF(AB2484&gt;$L$8,AA2484,""),"")</f>
        <v/>
      </c>
    </row>
    <row r="2485">
      <c r="S2485">
        <f>IF(ISNUMBER('자료_거시'!$E2467),'자료_거시'!$E2467,S2484)</f>
        <v/>
      </c>
      <c r="T2485">
        <f>IF(AND(ISNUMBER('자료_거시'!$D2467),ISNUMBER('자료_거시'!$E2467)),IFERROR('자료_거시'!$E2467-INDEX($S$21:$S$4020,MATCH(EDATE('자료_거시'!$D2467,-'설정'!$B$17),'자료_거시'!$D$3:INDEX('자료_거시'!$D$3:$D$4002,$K$6),1)),""),"")</f>
        <v/>
      </c>
      <c r="U2485">
        <f>IF(ISNUMBER(T2485),'자료_거시'!$D2467,"")</f>
        <v/>
      </c>
      <c r="V2485">
        <f>IF(ISNUMBER(U2485),IF(U2485&gt;$L$6,T2485,""),"")</f>
        <v/>
      </c>
      <c r="W2485">
        <f>IF(AND(ISNUMBER('자료_거시'!$G2467),ISNUMBER('자료_거시'!$H2467)),'자료_거시'!$H2467,"")</f>
        <v/>
      </c>
      <c r="X2485">
        <f>IF(ISNUMBER(W2485),'자료_거시'!$G2467,"")</f>
        <v/>
      </c>
      <c r="Y2485">
        <f>IF(ISNUMBER(X2485),IF(X2485&gt;$L$7,W2485,""),"")</f>
        <v/>
      </c>
      <c r="Z2485">
        <f>IF(ISNUMBER('자료_거시'!$K2467),'자료_거시'!$K2467,Z2484)</f>
        <v/>
      </c>
      <c r="AA2485">
        <f>IF(AND(ISNUMBER('자료_거시'!$J2467),ISNUMBER('자료_거시'!$K2467)),IFERROR('자료_거시'!$K2467/INDEX($Z$21:$Z$4020,MATCH(EDATE('자료_거시'!$J2467,-'설정'!$B$17),'자료_거시'!$J$3:INDEX('자료_거시'!$J$3:$J$4002,$K$8),1))-1,""),"")</f>
        <v/>
      </c>
      <c r="AB2485">
        <f>IF(ISNUMBER(AA2485),'자료_거시'!$J2467,"")</f>
        <v/>
      </c>
      <c r="AC2485">
        <f>IF(ISNUMBER(AB2485),IF(AB2485&gt;$L$8,AA2485,""),"")</f>
        <v/>
      </c>
    </row>
    <row r="2486">
      <c r="S2486">
        <f>IF(ISNUMBER('자료_거시'!$E2468),'자료_거시'!$E2468,S2485)</f>
        <v/>
      </c>
      <c r="T2486">
        <f>IF(AND(ISNUMBER('자료_거시'!$D2468),ISNUMBER('자료_거시'!$E2468)),IFERROR('자료_거시'!$E2468-INDEX($S$21:$S$4020,MATCH(EDATE('자료_거시'!$D2468,-'설정'!$B$17),'자료_거시'!$D$3:INDEX('자료_거시'!$D$3:$D$4002,$K$6),1)),""),"")</f>
        <v/>
      </c>
      <c r="U2486">
        <f>IF(ISNUMBER(T2486),'자료_거시'!$D2468,"")</f>
        <v/>
      </c>
      <c r="V2486">
        <f>IF(ISNUMBER(U2486),IF(U2486&gt;$L$6,T2486,""),"")</f>
        <v/>
      </c>
      <c r="W2486">
        <f>IF(AND(ISNUMBER('자료_거시'!$G2468),ISNUMBER('자료_거시'!$H2468)),'자료_거시'!$H2468,"")</f>
        <v/>
      </c>
      <c r="X2486">
        <f>IF(ISNUMBER(W2486),'자료_거시'!$G2468,"")</f>
        <v/>
      </c>
      <c r="Y2486">
        <f>IF(ISNUMBER(X2486),IF(X2486&gt;$L$7,W2486,""),"")</f>
        <v/>
      </c>
      <c r="Z2486">
        <f>IF(ISNUMBER('자료_거시'!$K2468),'자료_거시'!$K2468,Z2485)</f>
        <v/>
      </c>
      <c r="AA2486">
        <f>IF(AND(ISNUMBER('자료_거시'!$J2468),ISNUMBER('자료_거시'!$K2468)),IFERROR('자료_거시'!$K2468/INDEX($Z$21:$Z$4020,MATCH(EDATE('자료_거시'!$J2468,-'설정'!$B$17),'자료_거시'!$J$3:INDEX('자료_거시'!$J$3:$J$4002,$K$8),1))-1,""),"")</f>
        <v/>
      </c>
      <c r="AB2486">
        <f>IF(ISNUMBER(AA2486),'자료_거시'!$J2468,"")</f>
        <v/>
      </c>
      <c r="AC2486">
        <f>IF(ISNUMBER(AB2486),IF(AB2486&gt;$L$8,AA2486,""),"")</f>
        <v/>
      </c>
    </row>
    <row r="2487">
      <c r="S2487">
        <f>IF(ISNUMBER('자료_거시'!$E2469),'자료_거시'!$E2469,S2486)</f>
        <v/>
      </c>
      <c r="T2487">
        <f>IF(AND(ISNUMBER('자료_거시'!$D2469),ISNUMBER('자료_거시'!$E2469)),IFERROR('자료_거시'!$E2469-INDEX($S$21:$S$4020,MATCH(EDATE('자료_거시'!$D2469,-'설정'!$B$17),'자료_거시'!$D$3:INDEX('자료_거시'!$D$3:$D$4002,$K$6),1)),""),"")</f>
        <v/>
      </c>
      <c r="U2487">
        <f>IF(ISNUMBER(T2487),'자료_거시'!$D2469,"")</f>
        <v/>
      </c>
      <c r="V2487">
        <f>IF(ISNUMBER(U2487),IF(U2487&gt;$L$6,T2487,""),"")</f>
        <v/>
      </c>
      <c r="W2487">
        <f>IF(AND(ISNUMBER('자료_거시'!$G2469),ISNUMBER('자료_거시'!$H2469)),'자료_거시'!$H2469,"")</f>
        <v/>
      </c>
      <c r="X2487">
        <f>IF(ISNUMBER(W2487),'자료_거시'!$G2469,"")</f>
        <v/>
      </c>
      <c r="Y2487">
        <f>IF(ISNUMBER(X2487),IF(X2487&gt;$L$7,W2487,""),"")</f>
        <v/>
      </c>
      <c r="Z2487">
        <f>IF(ISNUMBER('자료_거시'!$K2469),'자료_거시'!$K2469,Z2486)</f>
        <v/>
      </c>
      <c r="AA2487">
        <f>IF(AND(ISNUMBER('자료_거시'!$J2469),ISNUMBER('자료_거시'!$K2469)),IFERROR('자료_거시'!$K2469/INDEX($Z$21:$Z$4020,MATCH(EDATE('자료_거시'!$J2469,-'설정'!$B$17),'자료_거시'!$J$3:INDEX('자료_거시'!$J$3:$J$4002,$K$8),1))-1,""),"")</f>
        <v/>
      </c>
      <c r="AB2487">
        <f>IF(ISNUMBER(AA2487),'자료_거시'!$J2469,"")</f>
        <v/>
      </c>
      <c r="AC2487">
        <f>IF(ISNUMBER(AB2487),IF(AB2487&gt;$L$8,AA2487,""),"")</f>
        <v/>
      </c>
    </row>
    <row r="2488">
      <c r="S2488">
        <f>IF(ISNUMBER('자료_거시'!$E2470),'자료_거시'!$E2470,S2487)</f>
        <v/>
      </c>
      <c r="T2488">
        <f>IF(AND(ISNUMBER('자료_거시'!$D2470),ISNUMBER('자료_거시'!$E2470)),IFERROR('자료_거시'!$E2470-INDEX($S$21:$S$4020,MATCH(EDATE('자료_거시'!$D2470,-'설정'!$B$17),'자료_거시'!$D$3:INDEX('자료_거시'!$D$3:$D$4002,$K$6),1)),""),"")</f>
        <v/>
      </c>
      <c r="U2488">
        <f>IF(ISNUMBER(T2488),'자료_거시'!$D2470,"")</f>
        <v/>
      </c>
      <c r="V2488">
        <f>IF(ISNUMBER(U2488),IF(U2488&gt;$L$6,T2488,""),"")</f>
        <v/>
      </c>
      <c r="W2488">
        <f>IF(AND(ISNUMBER('자료_거시'!$G2470),ISNUMBER('자료_거시'!$H2470)),'자료_거시'!$H2470,"")</f>
        <v/>
      </c>
      <c r="X2488">
        <f>IF(ISNUMBER(W2488),'자료_거시'!$G2470,"")</f>
        <v/>
      </c>
      <c r="Y2488">
        <f>IF(ISNUMBER(X2488),IF(X2488&gt;$L$7,W2488,""),"")</f>
        <v/>
      </c>
      <c r="Z2488">
        <f>IF(ISNUMBER('자료_거시'!$K2470),'자료_거시'!$K2470,Z2487)</f>
        <v/>
      </c>
      <c r="AA2488">
        <f>IF(AND(ISNUMBER('자료_거시'!$J2470),ISNUMBER('자료_거시'!$K2470)),IFERROR('자료_거시'!$K2470/INDEX($Z$21:$Z$4020,MATCH(EDATE('자료_거시'!$J2470,-'설정'!$B$17),'자료_거시'!$J$3:INDEX('자료_거시'!$J$3:$J$4002,$K$8),1))-1,""),"")</f>
        <v/>
      </c>
      <c r="AB2488">
        <f>IF(ISNUMBER(AA2488),'자료_거시'!$J2470,"")</f>
        <v/>
      </c>
      <c r="AC2488">
        <f>IF(ISNUMBER(AB2488),IF(AB2488&gt;$L$8,AA2488,""),"")</f>
        <v/>
      </c>
    </row>
    <row r="2489">
      <c r="S2489">
        <f>IF(ISNUMBER('자료_거시'!$E2471),'자료_거시'!$E2471,S2488)</f>
        <v/>
      </c>
      <c r="T2489">
        <f>IF(AND(ISNUMBER('자료_거시'!$D2471),ISNUMBER('자료_거시'!$E2471)),IFERROR('자료_거시'!$E2471-INDEX($S$21:$S$4020,MATCH(EDATE('자료_거시'!$D2471,-'설정'!$B$17),'자료_거시'!$D$3:INDEX('자료_거시'!$D$3:$D$4002,$K$6),1)),""),"")</f>
        <v/>
      </c>
      <c r="U2489">
        <f>IF(ISNUMBER(T2489),'자료_거시'!$D2471,"")</f>
        <v/>
      </c>
      <c r="V2489">
        <f>IF(ISNUMBER(U2489),IF(U2489&gt;$L$6,T2489,""),"")</f>
        <v/>
      </c>
      <c r="W2489">
        <f>IF(AND(ISNUMBER('자료_거시'!$G2471),ISNUMBER('자료_거시'!$H2471)),'자료_거시'!$H2471,"")</f>
        <v/>
      </c>
      <c r="X2489">
        <f>IF(ISNUMBER(W2489),'자료_거시'!$G2471,"")</f>
        <v/>
      </c>
      <c r="Y2489">
        <f>IF(ISNUMBER(X2489),IF(X2489&gt;$L$7,W2489,""),"")</f>
        <v/>
      </c>
      <c r="Z2489">
        <f>IF(ISNUMBER('자료_거시'!$K2471),'자료_거시'!$K2471,Z2488)</f>
        <v/>
      </c>
      <c r="AA2489">
        <f>IF(AND(ISNUMBER('자료_거시'!$J2471),ISNUMBER('자료_거시'!$K2471)),IFERROR('자료_거시'!$K2471/INDEX($Z$21:$Z$4020,MATCH(EDATE('자료_거시'!$J2471,-'설정'!$B$17),'자료_거시'!$J$3:INDEX('자료_거시'!$J$3:$J$4002,$K$8),1))-1,""),"")</f>
        <v/>
      </c>
      <c r="AB2489">
        <f>IF(ISNUMBER(AA2489),'자료_거시'!$J2471,"")</f>
        <v/>
      </c>
      <c r="AC2489">
        <f>IF(ISNUMBER(AB2489),IF(AB2489&gt;$L$8,AA2489,""),"")</f>
        <v/>
      </c>
    </row>
    <row r="2490">
      <c r="S2490">
        <f>IF(ISNUMBER('자료_거시'!$E2472),'자료_거시'!$E2472,S2489)</f>
        <v/>
      </c>
      <c r="T2490">
        <f>IF(AND(ISNUMBER('자료_거시'!$D2472),ISNUMBER('자료_거시'!$E2472)),IFERROR('자료_거시'!$E2472-INDEX($S$21:$S$4020,MATCH(EDATE('자료_거시'!$D2472,-'설정'!$B$17),'자료_거시'!$D$3:INDEX('자료_거시'!$D$3:$D$4002,$K$6),1)),""),"")</f>
        <v/>
      </c>
      <c r="U2490">
        <f>IF(ISNUMBER(T2490),'자료_거시'!$D2472,"")</f>
        <v/>
      </c>
      <c r="V2490">
        <f>IF(ISNUMBER(U2490),IF(U2490&gt;$L$6,T2490,""),"")</f>
        <v/>
      </c>
      <c r="W2490">
        <f>IF(AND(ISNUMBER('자료_거시'!$G2472),ISNUMBER('자료_거시'!$H2472)),'자료_거시'!$H2472,"")</f>
        <v/>
      </c>
      <c r="X2490">
        <f>IF(ISNUMBER(W2490),'자료_거시'!$G2472,"")</f>
        <v/>
      </c>
      <c r="Y2490">
        <f>IF(ISNUMBER(X2490),IF(X2490&gt;$L$7,W2490,""),"")</f>
        <v/>
      </c>
      <c r="Z2490">
        <f>IF(ISNUMBER('자료_거시'!$K2472),'자료_거시'!$K2472,Z2489)</f>
        <v/>
      </c>
      <c r="AA2490">
        <f>IF(AND(ISNUMBER('자료_거시'!$J2472),ISNUMBER('자료_거시'!$K2472)),IFERROR('자료_거시'!$K2472/INDEX($Z$21:$Z$4020,MATCH(EDATE('자료_거시'!$J2472,-'설정'!$B$17),'자료_거시'!$J$3:INDEX('자료_거시'!$J$3:$J$4002,$K$8),1))-1,""),"")</f>
        <v/>
      </c>
      <c r="AB2490">
        <f>IF(ISNUMBER(AA2490),'자료_거시'!$J2472,"")</f>
        <v/>
      </c>
      <c r="AC2490">
        <f>IF(ISNUMBER(AB2490),IF(AB2490&gt;$L$8,AA2490,""),"")</f>
        <v/>
      </c>
    </row>
    <row r="2491">
      <c r="S2491">
        <f>IF(ISNUMBER('자료_거시'!$E2473),'자료_거시'!$E2473,S2490)</f>
        <v/>
      </c>
      <c r="T2491">
        <f>IF(AND(ISNUMBER('자료_거시'!$D2473),ISNUMBER('자료_거시'!$E2473)),IFERROR('자료_거시'!$E2473-INDEX($S$21:$S$4020,MATCH(EDATE('자료_거시'!$D2473,-'설정'!$B$17),'자료_거시'!$D$3:INDEX('자료_거시'!$D$3:$D$4002,$K$6),1)),""),"")</f>
        <v/>
      </c>
      <c r="U2491">
        <f>IF(ISNUMBER(T2491),'자료_거시'!$D2473,"")</f>
        <v/>
      </c>
      <c r="V2491">
        <f>IF(ISNUMBER(U2491),IF(U2491&gt;$L$6,T2491,""),"")</f>
        <v/>
      </c>
      <c r="W2491">
        <f>IF(AND(ISNUMBER('자료_거시'!$G2473),ISNUMBER('자료_거시'!$H2473)),'자료_거시'!$H2473,"")</f>
        <v/>
      </c>
      <c r="X2491">
        <f>IF(ISNUMBER(W2491),'자료_거시'!$G2473,"")</f>
        <v/>
      </c>
      <c r="Y2491">
        <f>IF(ISNUMBER(X2491),IF(X2491&gt;$L$7,W2491,""),"")</f>
        <v/>
      </c>
      <c r="Z2491">
        <f>IF(ISNUMBER('자료_거시'!$K2473),'자료_거시'!$K2473,Z2490)</f>
        <v/>
      </c>
      <c r="AA2491">
        <f>IF(AND(ISNUMBER('자료_거시'!$J2473),ISNUMBER('자료_거시'!$K2473)),IFERROR('자료_거시'!$K2473/INDEX($Z$21:$Z$4020,MATCH(EDATE('자료_거시'!$J2473,-'설정'!$B$17),'자료_거시'!$J$3:INDEX('자료_거시'!$J$3:$J$4002,$K$8),1))-1,""),"")</f>
        <v/>
      </c>
      <c r="AB2491">
        <f>IF(ISNUMBER(AA2491),'자료_거시'!$J2473,"")</f>
        <v/>
      </c>
      <c r="AC2491">
        <f>IF(ISNUMBER(AB2491),IF(AB2491&gt;$L$8,AA2491,""),"")</f>
        <v/>
      </c>
    </row>
    <row r="2492">
      <c r="S2492">
        <f>IF(ISNUMBER('자료_거시'!$E2474),'자료_거시'!$E2474,S2491)</f>
        <v/>
      </c>
      <c r="T2492">
        <f>IF(AND(ISNUMBER('자료_거시'!$D2474),ISNUMBER('자료_거시'!$E2474)),IFERROR('자료_거시'!$E2474-INDEX($S$21:$S$4020,MATCH(EDATE('자료_거시'!$D2474,-'설정'!$B$17),'자료_거시'!$D$3:INDEX('자료_거시'!$D$3:$D$4002,$K$6),1)),""),"")</f>
        <v/>
      </c>
      <c r="U2492">
        <f>IF(ISNUMBER(T2492),'자료_거시'!$D2474,"")</f>
        <v/>
      </c>
      <c r="V2492">
        <f>IF(ISNUMBER(U2492),IF(U2492&gt;$L$6,T2492,""),"")</f>
        <v/>
      </c>
      <c r="W2492">
        <f>IF(AND(ISNUMBER('자료_거시'!$G2474),ISNUMBER('자료_거시'!$H2474)),'자료_거시'!$H2474,"")</f>
        <v/>
      </c>
      <c r="X2492">
        <f>IF(ISNUMBER(W2492),'자료_거시'!$G2474,"")</f>
        <v/>
      </c>
      <c r="Y2492">
        <f>IF(ISNUMBER(X2492),IF(X2492&gt;$L$7,W2492,""),"")</f>
        <v/>
      </c>
      <c r="Z2492">
        <f>IF(ISNUMBER('자료_거시'!$K2474),'자료_거시'!$K2474,Z2491)</f>
        <v/>
      </c>
      <c r="AA2492">
        <f>IF(AND(ISNUMBER('자료_거시'!$J2474),ISNUMBER('자료_거시'!$K2474)),IFERROR('자료_거시'!$K2474/INDEX($Z$21:$Z$4020,MATCH(EDATE('자료_거시'!$J2474,-'설정'!$B$17),'자료_거시'!$J$3:INDEX('자료_거시'!$J$3:$J$4002,$K$8),1))-1,""),"")</f>
        <v/>
      </c>
      <c r="AB2492">
        <f>IF(ISNUMBER(AA2492),'자료_거시'!$J2474,"")</f>
        <v/>
      </c>
      <c r="AC2492">
        <f>IF(ISNUMBER(AB2492),IF(AB2492&gt;$L$8,AA2492,""),"")</f>
        <v/>
      </c>
    </row>
    <row r="2493">
      <c r="S2493">
        <f>IF(ISNUMBER('자료_거시'!$E2475),'자료_거시'!$E2475,S2492)</f>
        <v/>
      </c>
      <c r="T2493">
        <f>IF(AND(ISNUMBER('자료_거시'!$D2475),ISNUMBER('자료_거시'!$E2475)),IFERROR('자료_거시'!$E2475-INDEX($S$21:$S$4020,MATCH(EDATE('자료_거시'!$D2475,-'설정'!$B$17),'자료_거시'!$D$3:INDEX('자료_거시'!$D$3:$D$4002,$K$6),1)),""),"")</f>
        <v/>
      </c>
      <c r="U2493">
        <f>IF(ISNUMBER(T2493),'자료_거시'!$D2475,"")</f>
        <v/>
      </c>
      <c r="V2493">
        <f>IF(ISNUMBER(U2493),IF(U2493&gt;$L$6,T2493,""),"")</f>
        <v/>
      </c>
      <c r="W2493">
        <f>IF(AND(ISNUMBER('자료_거시'!$G2475),ISNUMBER('자료_거시'!$H2475)),'자료_거시'!$H2475,"")</f>
        <v/>
      </c>
      <c r="X2493">
        <f>IF(ISNUMBER(W2493),'자료_거시'!$G2475,"")</f>
        <v/>
      </c>
      <c r="Y2493">
        <f>IF(ISNUMBER(X2493),IF(X2493&gt;$L$7,W2493,""),"")</f>
        <v/>
      </c>
      <c r="Z2493">
        <f>IF(ISNUMBER('자료_거시'!$K2475),'자료_거시'!$K2475,Z2492)</f>
        <v/>
      </c>
      <c r="AA2493">
        <f>IF(AND(ISNUMBER('자료_거시'!$J2475),ISNUMBER('자료_거시'!$K2475)),IFERROR('자료_거시'!$K2475/INDEX($Z$21:$Z$4020,MATCH(EDATE('자료_거시'!$J2475,-'설정'!$B$17),'자료_거시'!$J$3:INDEX('자료_거시'!$J$3:$J$4002,$K$8),1))-1,""),"")</f>
        <v/>
      </c>
      <c r="AB2493">
        <f>IF(ISNUMBER(AA2493),'자료_거시'!$J2475,"")</f>
        <v/>
      </c>
      <c r="AC2493">
        <f>IF(ISNUMBER(AB2493),IF(AB2493&gt;$L$8,AA2493,""),"")</f>
        <v/>
      </c>
    </row>
    <row r="2494">
      <c r="S2494">
        <f>IF(ISNUMBER('자료_거시'!$E2476),'자료_거시'!$E2476,S2493)</f>
        <v/>
      </c>
      <c r="T2494">
        <f>IF(AND(ISNUMBER('자료_거시'!$D2476),ISNUMBER('자료_거시'!$E2476)),IFERROR('자료_거시'!$E2476-INDEX($S$21:$S$4020,MATCH(EDATE('자료_거시'!$D2476,-'설정'!$B$17),'자료_거시'!$D$3:INDEX('자료_거시'!$D$3:$D$4002,$K$6),1)),""),"")</f>
        <v/>
      </c>
      <c r="U2494">
        <f>IF(ISNUMBER(T2494),'자료_거시'!$D2476,"")</f>
        <v/>
      </c>
      <c r="V2494">
        <f>IF(ISNUMBER(U2494),IF(U2494&gt;$L$6,T2494,""),"")</f>
        <v/>
      </c>
      <c r="W2494">
        <f>IF(AND(ISNUMBER('자료_거시'!$G2476),ISNUMBER('자료_거시'!$H2476)),'자료_거시'!$H2476,"")</f>
        <v/>
      </c>
      <c r="X2494">
        <f>IF(ISNUMBER(W2494),'자료_거시'!$G2476,"")</f>
        <v/>
      </c>
      <c r="Y2494">
        <f>IF(ISNUMBER(X2494),IF(X2494&gt;$L$7,W2494,""),"")</f>
        <v/>
      </c>
      <c r="Z2494">
        <f>IF(ISNUMBER('자료_거시'!$K2476),'자료_거시'!$K2476,Z2493)</f>
        <v/>
      </c>
      <c r="AA2494">
        <f>IF(AND(ISNUMBER('자료_거시'!$J2476),ISNUMBER('자료_거시'!$K2476)),IFERROR('자료_거시'!$K2476/INDEX($Z$21:$Z$4020,MATCH(EDATE('자료_거시'!$J2476,-'설정'!$B$17),'자료_거시'!$J$3:INDEX('자료_거시'!$J$3:$J$4002,$K$8),1))-1,""),"")</f>
        <v/>
      </c>
      <c r="AB2494">
        <f>IF(ISNUMBER(AA2494),'자료_거시'!$J2476,"")</f>
        <v/>
      </c>
      <c r="AC2494">
        <f>IF(ISNUMBER(AB2494),IF(AB2494&gt;$L$8,AA2494,""),"")</f>
        <v/>
      </c>
    </row>
    <row r="2495">
      <c r="S2495">
        <f>IF(ISNUMBER('자료_거시'!$E2477),'자료_거시'!$E2477,S2494)</f>
        <v/>
      </c>
      <c r="T2495">
        <f>IF(AND(ISNUMBER('자료_거시'!$D2477),ISNUMBER('자료_거시'!$E2477)),IFERROR('자료_거시'!$E2477-INDEX($S$21:$S$4020,MATCH(EDATE('자료_거시'!$D2477,-'설정'!$B$17),'자료_거시'!$D$3:INDEX('자료_거시'!$D$3:$D$4002,$K$6),1)),""),"")</f>
        <v/>
      </c>
      <c r="U2495">
        <f>IF(ISNUMBER(T2495),'자료_거시'!$D2477,"")</f>
        <v/>
      </c>
      <c r="V2495">
        <f>IF(ISNUMBER(U2495),IF(U2495&gt;$L$6,T2495,""),"")</f>
        <v/>
      </c>
      <c r="W2495">
        <f>IF(AND(ISNUMBER('자료_거시'!$G2477),ISNUMBER('자료_거시'!$H2477)),'자료_거시'!$H2477,"")</f>
        <v/>
      </c>
      <c r="X2495">
        <f>IF(ISNUMBER(W2495),'자료_거시'!$G2477,"")</f>
        <v/>
      </c>
      <c r="Y2495">
        <f>IF(ISNUMBER(X2495),IF(X2495&gt;$L$7,W2495,""),"")</f>
        <v/>
      </c>
      <c r="Z2495">
        <f>IF(ISNUMBER('자료_거시'!$K2477),'자료_거시'!$K2477,Z2494)</f>
        <v/>
      </c>
      <c r="AA2495">
        <f>IF(AND(ISNUMBER('자료_거시'!$J2477),ISNUMBER('자료_거시'!$K2477)),IFERROR('자료_거시'!$K2477/INDEX($Z$21:$Z$4020,MATCH(EDATE('자료_거시'!$J2477,-'설정'!$B$17),'자료_거시'!$J$3:INDEX('자료_거시'!$J$3:$J$4002,$K$8),1))-1,""),"")</f>
        <v/>
      </c>
      <c r="AB2495">
        <f>IF(ISNUMBER(AA2495),'자료_거시'!$J2477,"")</f>
        <v/>
      </c>
      <c r="AC2495">
        <f>IF(ISNUMBER(AB2495),IF(AB2495&gt;$L$8,AA2495,""),"")</f>
        <v/>
      </c>
    </row>
    <row r="2496">
      <c r="S2496">
        <f>IF(ISNUMBER('자료_거시'!$E2478),'자료_거시'!$E2478,S2495)</f>
        <v/>
      </c>
      <c r="T2496">
        <f>IF(AND(ISNUMBER('자료_거시'!$D2478),ISNUMBER('자료_거시'!$E2478)),IFERROR('자료_거시'!$E2478-INDEX($S$21:$S$4020,MATCH(EDATE('자료_거시'!$D2478,-'설정'!$B$17),'자료_거시'!$D$3:INDEX('자료_거시'!$D$3:$D$4002,$K$6),1)),""),"")</f>
        <v/>
      </c>
      <c r="U2496">
        <f>IF(ISNUMBER(T2496),'자료_거시'!$D2478,"")</f>
        <v/>
      </c>
      <c r="V2496">
        <f>IF(ISNUMBER(U2496),IF(U2496&gt;$L$6,T2496,""),"")</f>
        <v/>
      </c>
      <c r="W2496">
        <f>IF(AND(ISNUMBER('자료_거시'!$G2478),ISNUMBER('자료_거시'!$H2478)),'자료_거시'!$H2478,"")</f>
        <v/>
      </c>
      <c r="X2496">
        <f>IF(ISNUMBER(W2496),'자료_거시'!$G2478,"")</f>
        <v/>
      </c>
      <c r="Y2496">
        <f>IF(ISNUMBER(X2496),IF(X2496&gt;$L$7,W2496,""),"")</f>
        <v/>
      </c>
      <c r="Z2496">
        <f>IF(ISNUMBER('자료_거시'!$K2478),'자료_거시'!$K2478,Z2495)</f>
        <v/>
      </c>
      <c r="AA2496">
        <f>IF(AND(ISNUMBER('자료_거시'!$J2478),ISNUMBER('자료_거시'!$K2478)),IFERROR('자료_거시'!$K2478/INDEX($Z$21:$Z$4020,MATCH(EDATE('자료_거시'!$J2478,-'설정'!$B$17),'자료_거시'!$J$3:INDEX('자료_거시'!$J$3:$J$4002,$K$8),1))-1,""),"")</f>
        <v/>
      </c>
      <c r="AB2496">
        <f>IF(ISNUMBER(AA2496),'자료_거시'!$J2478,"")</f>
        <v/>
      </c>
      <c r="AC2496">
        <f>IF(ISNUMBER(AB2496),IF(AB2496&gt;$L$8,AA2496,""),"")</f>
        <v/>
      </c>
    </row>
    <row r="2497">
      <c r="S2497">
        <f>IF(ISNUMBER('자료_거시'!$E2479),'자료_거시'!$E2479,S2496)</f>
        <v/>
      </c>
      <c r="T2497">
        <f>IF(AND(ISNUMBER('자료_거시'!$D2479),ISNUMBER('자료_거시'!$E2479)),IFERROR('자료_거시'!$E2479-INDEX($S$21:$S$4020,MATCH(EDATE('자료_거시'!$D2479,-'설정'!$B$17),'자료_거시'!$D$3:INDEX('자료_거시'!$D$3:$D$4002,$K$6),1)),""),"")</f>
        <v/>
      </c>
      <c r="U2497">
        <f>IF(ISNUMBER(T2497),'자료_거시'!$D2479,"")</f>
        <v/>
      </c>
      <c r="V2497">
        <f>IF(ISNUMBER(U2497),IF(U2497&gt;$L$6,T2497,""),"")</f>
        <v/>
      </c>
      <c r="W2497">
        <f>IF(AND(ISNUMBER('자료_거시'!$G2479),ISNUMBER('자료_거시'!$H2479)),'자료_거시'!$H2479,"")</f>
        <v/>
      </c>
      <c r="X2497">
        <f>IF(ISNUMBER(W2497),'자료_거시'!$G2479,"")</f>
        <v/>
      </c>
      <c r="Y2497">
        <f>IF(ISNUMBER(X2497),IF(X2497&gt;$L$7,W2497,""),"")</f>
        <v/>
      </c>
      <c r="Z2497">
        <f>IF(ISNUMBER('자료_거시'!$K2479),'자료_거시'!$K2479,Z2496)</f>
        <v/>
      </c>
      <c r="AA2497">
        <f>IF(AND(ISNUMBER('자료_거시'!$J2479),ISNUMBER('자료_거시'!$K2479)),IFERROR('자료_거시'!$K2479/INDEX($Z$21:$Z$4020,MATCH(EDATE('자료_거시'!$J2479,-'설정'!$B$17),'자료_거시'!$J$3:INDEX('자료_거시'!$J$3:$J$4002,$K$8),1))-1,""),"")</f>
        <v/>
      </c>
      <c r="AB2497">
        <f>IF(ISNUMBER(AA2497),'자료_거시'!$J2479,"")</f>
        <v/>
      </c>
      <c r="AC2497">
        <f>IF(ISNUMBER(AB2497),IF(AB2497&gt;$L$8,AA2497,""),"")</f>
        <v/>
      </c>
    </row>
    <row r="2498">
      <c r="S2498">
        <f>IF(ISNUMBER('자료_거시'!$E2480),'자료_거시'!$E2480,S2497)</f>
        <v/>
      </c>
      <c r="T2498">
        <f>IF(AND(ISNUMBER('자료_거시'!$D2480),ISNUMBER('자료_거시'!$E2480)),IFERROR('자료_거시'!$E2480-INDEX($S$21:$S$4020,MATCH(EDATE('자료_거시'!$D2480,-'설정'!$B$17),'자료_거시'!$D$3:INDEX('자료_거시'!$D$3:$D$4002,$K$6),1)),""),"")</f>
        <v/>
      </c>
      <c r="U2498">
        <f>IF(ISNUMBER(T2498),'자료_거시'!$D2480,"")</f>
        <v/>
      </c>
      <c r="V2498">
        <f>IF(ISNUMBER(U2498),IF(U2498&gt;$L$6,T2498,""),"")</f>
        <v/>
      </c>
      <c r="W2498">
        <f>IF(AND(ISNUMBER('자료_거시'!$G2480),ISNUMBER('자료_거시'!$H2480)),'자료_거시'!$H2480,"")</f>
        <v/>
      </c>
      <c r="X2498">
        <f>IF(ISNUMBER(W2498),'자료_거시'!$G2480,"")</f>
        <v/>
      </c>
      <c r="Y2498">
        <f>IF(ISNUMBER(X2498),IF(X2498&gt;$L$7,W2498,""),"")</f>
        <v/>
      </c>
      <c r="Z2498">
        <f>IF(ISNUMBER('자료_거시'!$K2480),'자료_거시'!$K2480,Z2497)</f>
        <v/>
      </c>
      <c r="AA2498">
        <f>IF(AND(ISNUMBER('자료_거시'!$J2480),ISNUMBER('자료_거시'!$K2480)),IFERROR('자료_거시'!$K2480/INDEX($Z$21:$Z$4020,MATCH(EDATE('자료_거시'!$J2480,-'설정'!$B$17),'자료_거시'!$J$3:INDEX('자료_거시'!$J$3:$J$4002,$K$8),1))-1,""),"")</f>
        <v/>
      </c>
      <c r="AB2498">
        <f>IF(ISNUMBER(AA2498),'자료_거시'!$J2480,"")</f>
        <v/>
      </c>
      <c r="AC2498">
        <f>IF(ISNUMBER(AB2498),IF(AB2498&gt;$L$8,AA2498,""),"")</f>
        <v/>
      </c>
    </row>
    <row r="2499">
      <c r="S2499">
        <f>IF(ISNUMBER('자료_거시'!$E2481),'자료_거시'!$E2481,S2498)</f>
        <v/>
      </c>
      <c r="T2499">
        <f>IF(AND(ISNUMBER('자료_거시'!$D2481),ISNUMBER('자료_거시'!$E2481)),IFERROR('자료_거시'!$E2481-INDEX($S$21:$S$4020,MATCH(EDATE('자료_거시'!$D2481,-'설정'!$B$17),'자료_거시'!$D$3:INDEX('자료_거시'!$D$3:$D$4002,$K$6),1)),""),"")</f>
        <v/>
      </c>
      <c r="U2499">
        <f>IF(ISNUMBER(T2499),'자료_거시'!$D2481,"")</f>
        <v/>
      </c>
      <c r="V2499">
        <f>IF(ISNUMBER(U2499),IF(U2499&gt;$L$6,T2499,""),"")</f>
        <v/>
      </c>
      <c r="W2499">
        <f>IF(AND(ISNUMBER('자료_거시'!$G2481),ISNUMBER('자료_거시'!$H2481)),'자료_거시'!$H2481,"")</f>
        <v/>
      </c>
      <c r="X2499">
        <f>IF(ISNUMBER(W2499),'자료_거시'!$G2481,"")</f>
        <v/>
      </c>
      <c r="Y2499">
        <f>IF(ISNUMBER(X2499),IF(X2499&gt;$L$7,W2499,""),"")</f>
        <v/>
      </c>
      <c r="Z2499">
        <f>IF(ISNUMBER('자료_거시'!$K2481),'자료_거시'!$K2481,Z2498)</f>
        <v/>
      </c>
      <c r="AA2499">
        <f>IF(AND(ISNUMBER('자료_거시'!$J2481),ISNUMBER('자료_거시'!$K2481)),IFERROR('자료_거시'!$K2481/INDEX($Z$21:$Z$4020,MATCH(EDATE('자료_거시'!$J2481,-'설정'!$B$17),'자료_거시'!$J$3:INDEX('자료_거시'!$J$3:$J$4002,$K$8),1))-1,""),"")</f>
        <v/>
      </c>
      <c r="AB2499">
        <f>IF(ISNUMBER(AA2499),'자료_거시'!$J2481,"")</f>
        <v/>
      </c>
      <c r="AC2499">
        <f>IF(ISNUMBER(AB2499),IF(AB2499&gt;$L$8,AA2499,""),"")</f>
        <v/>
      </c>
    </row>
    <row r="2500">
      <c r="S2500">
        <f>IF(ISNUMBER('자료_거시'!$E2482),'자료_거시'!$E2482,S2499)</f>
        <v/>
      </c>
      <c r="T2500">
        <f>IF(AND(ISNUMBER('자료_거시'!$D2482),ISNUMBER('자료_거시'!$E2482)),IFERROR('자료_거시'!$E2482-INDEX($S$21:$S$4020,MATCH(EDATE('자료_거시'!$D2482,-'설정'!$B$17),'자료_거시'!$D$3:INDEX('자료_거시'!$D$3:$D$4002,$K$6),1)),""),"")</f>
        <v/>
      </c>
      <c r="U2500">
        <f>IF(ISNUMBER(T2500),'자료_거시'!$D2482,"")</f>
        <v/>
      </c>
      <c r="V2500">
        <f>IF(ISNUMBER(U2500),IF(U2500&gt;$L$6,T2500,""),"")</f>
        <v/>
      </c>
      <c r="W2500">
        <f>IF(AND(ISNUMBER('자료_거시'!$G2482),ISNUMBER('자료_거시'!$H2482)),'자료_거시'!$H2482,"")</f>
        <v/>
      </c>
      <c r="X2500">
        <f>IF(ISNUMBER(W2500),'자료_거시'!$G2482,"")</f>
        <v/>
      </c>
      <c r="Y2500">
        <f>IF(ISNUMBER(X2500),IF(X2500&gt;$L$7,W2500,""),"")</f>
        <v/>
      </c>
      <c r="Z2500">
        <f>IF(ISNUMBER('자료_거시'!$K2482),'자료_거시'!$K2482,Z2499)</f>
        <v/>
      </c>
      <c r="AA2500">
        <f>IF(AND(ISNUMBER('자료_거시'!$J2482),ISNUMBER('자료_거시'!$K2482)),IFERROR('자료_거시'!$K2482/INDEX($Z$21:$Z$4020,MATCH(EDATE('자료_거시'!$J2482,-'설정'!$B$17),'자료_거시'!$J$3:INDEX('자료_거시'!$J$3:$J$4002,$K$8),1))-1,""),"")</f>
        <v/>
      </c>
      <c r="AB2500">
        <f>IF(ISNUMBER(AA2500),'자료_거시'!$J2482,"")</f>
        <v/>
      </c>
      <c r="AC2500">
        <f>IF(ISNUMBER(AB2500),IF(AB2500&gt;$L$8,AA2500,""),"")</f>
        <v/>
      </c>
    </row>
    <row r="2501">
      <c r="S2501">
        <f>IF(ISNUMBER('자료_거시'!$E2483),'자료_거시'!$E2483,S2500)</f>
        <v/>
      </c>
      <c r="T2501">
        <f>IF(AND(ISNUMBER('자료_거시'!$D2483),ISNUMBER('자료_거시'!$E2483)),IFERROR('자료_거시'!$E2483-INDEX($S$21:$S$4020,MATCH(EDATE('자료_거시'!$D2483,-'설정'!$B$17),'자료_거시'!$D$3:INDEX('자료_거시'!$D$3:$D$4002,$K$6),1)),""),"")</f>
        <v/>
      </c>
      <c r="U2501">
        <f>IF(ISNUMBER(T2501),'자료_거시'!$D2483,"")</f>
        <v/>
      </c>
      <c r="V2501">
        <f>IF(ISNUMBER(U2501),IF(U2501&gt;$L$6,T2501,""),"")</f>
        <v/>
      </c>
      <c r="W2501">
        <f>IF(AND(ISNUMBER('자료_거시'!$G2483),ISNUMBER('자료_거시'!$H2483)),'자료_거시'!$H2483,"")</f>
        <v/>
      </c>
      <c r="X2501">
        <f>IF(ISNUMBER(W2501),'자료_거시'!$G2483,"")</f>
        <v/>
      </c>
      <c r="Y2501">
        <f>IF(ISNUMBER(X2501),IF(X2501&gt;$L$7,W2501,""),"")</f>
        <v/>
      </c>
      <c r="Z2501">
        <f>IF(ISNUMBER('자료_거시'!$K2483),'자료_거시'!$K2483,Z2500)</f>
        <v/>
      </c>
      <c r="AA2501">
        <f>IF(AND(ISNUMBER('자료_거시'!$J2483),ISNUMBER('자료_거시'!$K2483)),IFERROR('자료_거시'!$K2483/INDEX($Z$21:$Z$4020,MATCH(EDATE('자료_거시'!$J2483,-'설정'!$B$17),'자료_거시'!$J$3:INDEX('자료_거시'!$J$3:$J$4002,$K$8),1))-1,""),"")</f>
        <v/>
      </c>
      <c r="AB2501">
        <f>IF(ISNUMBER(AA2501),'자료_거시'!$J2483,"")</f>
        <v/>
      </c>
      <c r="AC2501">
        <f>IF(ISNUMBER(AB2501),IF(AB2501&gt;$L$8,AA2501,""),"")</f>
        <v/>
      </c>
    </row>
    <row r="2502">
      <c r="S2502">
        <f>IF(ISNUMBER('자료_거시'!$E2484),'자료_거시'!$E2484,S2501)</f>
        <v/>
      </c>
      <c r="T2502">
        <f>IF(AND(ISNUMBER('자료_거시'!$D2484),ISNUMBER('자료_거시'!$E2484)),IFERROR('자료_거시'!$E2484-INDEX($S$21:$S$4020,MATCH(EDATE('자료_거시'!$D2484,-'설정'!$B$17),'자료_거시'!$D$3:INDEX('자료_거시'!$D$3:$D$4002,$K$6),1)),""),"")</f>
        <v/>
      </c>
      <c r="U2502">
        <f>IF(ISNUMBER(T2502),'자료_거시'!$D2484,"")</f>
        <v/>
      </c>
      <c r="V2502">
        <f>IF(ISNUMBER(U2502),IF(U2502&gt;$L$6,T2502,""),"")</f>
        <v/>
      </c>
      <c r="W2502">
        <f>IF(AND(ISNUMBER('자료_거시'!$G2484),ISNUMBER('자료_거시'!$H2484)),'자료_거시'!$H2484,"")</f>
        <v/>
      </c>
      <c r="X2502">
        <f>IF(ISNUMBER(W2502),'자료_거시'!$G2484,"")</f>
        <v/>
      </c>
      <c r="Y2502">
        <f>IF(ISNUMBER(X2502),IF(X2502&gt;$L$7,W2502,""),"")</f>
        <v/>
      </c>
      <c r="Z2502">
        <f>IF(ISNUMBER('자료_거시'!$K2484),'자료_거시'!$K2484,Z2501)</f>
        <v/>
      </c>
      <c r="AA2502">
        <f>IF(AND(ISNUMBER('자료_거시'!$J2484),ISNUMBER('자료_거시'!$K2484)),IFERROR('자료_거시'!$K2484/INDEX($Z$21:$Z$4020,MATCH(EDATE('자료_거시'!$J2484,-'설정'!$B$17),'자료_거시'!$J$3:INDEX('자료_거시'!$J$3:$J$4002,$K$8),1))-1,""),"")</f>
        <v/>
      </c>
      <c r="AB2502">
        <f>IF(ISNUMBER(AA2502),'자료_거시'!$J2484,"")</f>
        <v/>
      </c>
      <c r="AC2502">
        <f>IF(ISNUMBER(AB2502),IF(AB2502&gt;$L$8,AA2502,""),"")</f>
        <v/>
      </c>
    </row>
    <row r="2503">
      <c r="S2503">
        <f>IF(ISNUMBER('자료_거시'!$E2485),'자료_거시'!$E2485,S2502)</f>
        <v/>
      </c>
      <c r="T2503">
        <f>IF(AND(ISNUMBER('자료_거시'!$D2485),ISNUMBER('자료_거시'!$E2485)),IFERROR('자료_거시'!$E2485-INDEX($S$21:$S$4020,MATCH(EDATE('자료_거시'!$D2485,-'설정'!$B$17),'자료_거시'!$D$3:INDEX('자료_거시'!$D$3:$D$4002,$K$6),1)),""),"")</f>
        <v/>
      </c>
      <c r="U2503">
        <f>IF(ISNUMBER(T2503),'자료_거시'!$D2485,"")</f>
        <v/>
      </c>
      <c r="V2503">
        <f>IF(ISNUMBER(U2503),IF(U2503&gt;$L$6,T2503,""),"")</f>
        <v/>
      </c>
      <c r="W2503">
        <f>IF(AND(ISNUMBER('자료_거시'!$G2485),ISNUMBER('자료_거시'!$H2485)),'자료_거시'!$H2485,"")</f>
        <v/>
      </c>
      <c r="X2503">
        <f>IF(ISNUMBER(W2503),'자료_거시'!$G2485,"")</f>
        <v/>
      </c>
      <c r="Y2503">
        <f>IF(ISNUMBER(X2503),IF(X2503&gt;$L$7,W2503,""),"")</f>
        <v/>
      </c>
      <c r="Z2503">
        <f>IF(ISNUMBER('자료_거시'!$K2485),'자료_거시'!$K2485,Z2502)</f>
        <v/>
      </c>
      <c r="AA2503">
        <f>IF(AND(ISNUMBER('자료_거시'!$J2485),ISNUMBER('자료_거시'!$K2485)),IFERROR('자료_거시'!$K2485/INDEX($Z$21:$Z$4020,MATCH(EDATE('자료_거시'!$J2485,-'설정'!$B$17),'자료_거시'!$J$3:INDEX('자료_거시'!$J$3:$J$4002,$K$8),1))-1,""),"")</f>
        <v/>
      </c>
      <c r="AB2503">
        <f>IF(ISNUMBER(AA2503),'자료_거시'!$J2485,"")</f>
        <v/>
      </c>
      <c r="AC2503">
        <f>IF(ISNUMBER(AB2503),IF(AB2503&gt;$L$8,AA2503,""),"")</f>
        <v/>
      </c>
    </row>
    <row r="2504">
      <c r="S2504">
        <f>IF(ISNUMBER('자료_거시'!$E2486),'자료_거시'!$E2486,S2503)</f>
        <v/>
      </c>
      <c r="T2504">
        <f>IF(AND(ISNUMBER('자료_거시'!$D2486),ISNUMBER('자료_거시'!$E2486)),IFERROR('자료_거시'!$E2486-INDEX($S$21:$S$4020,MATCH(EDATE('자료_거시'!$D2486,-'설정'!$B$17),'자료_거시'!$D$3:INDEX('자료_거시'!$D$3:$D$4002,$K$6),1)),""),"")</f>
        <v/>
      </c>
      <c r="U2504">
        <f>IF(ISNUMBER(T2504),'자료_거시'!$D2486,"")</f>
        <v/>
      </c>
      <c r="V2504">
        <f>IF(ISNUMBER(U2504),IF(U2504&gt;$L$6,T2504,""),"")</f>
        <v/>
      </c>
      <c r="W2504">
        <f>IF(AND(ISNUMBER('자료_거시'!$G2486),ISNUMBER('자료_거시'!$H2486)),'자료_거시'!$H2486,"")</f>
        <v/>
      </c>
      <c r="X2504">
        <f>IF(ISNUMBER(W2504),'자료_거시'!$G2486,"")</f>
        <v/>
      </c>
      <c r="Y2504">
        <f>IF(ISNUMBER(X2504),IF(X2504&gt;$L$7,W2504,""),"")</f>
        <v/>
      </c>
      <c r="Z2504">
        <f>IF(ISNUMBER('자료_거시'!$K2486),'자료_거시'!$K2486,Z2503)</f>
        <v/>
      </c>
      <c r="AA2504">
        <f>IF(AND(ISNUMBER('자료_거시'!$J2486),ISNUMBER('자료_거시'!$K2486)),IFERROR('자료_거시'!$K2486/INDEX($Z$21:$Z$4020,MATCH(EDATE('자료_거시'!$J2486,-'설정'!$B$17),'자료_거시'!$J$3:INDEX('자료_거시'!$J$3:$J$4002,$K$8),1))-1,""),"")</f>
        <v/>
      </c>
      <c r="AB2504">
        <f>IF(ISNUMBER(AA2504),'자료_거시'!$J2486,"")</f>
        <v/>
      </c>
      <c r="AC2504">
        <f>IF(ISNUMBER(AB2504),IF(AB2504&gt;$L$8,AA2504,""),"")</f>
        <v/>
      </c>
    </row>
    <row r="2505">
      <c r="S2505">
        <f>IF(ISNUMBER('자료_거시'!$E2487),'자료_거시'!$E2487,S2504)</f>
        <v/>
      </c>
      <c r="T2505">
        <f>IF(AND(ISNUMBER('자료_거시'!$D2487),ISNUMBER('자료_거시'!$E2487)),IFERROR('자료_거시'!$E2487-INDEX($S$21:$S$4020,MATCH(EDATE('자료_거시'!$D2487,-'설정'!$B$17),'자료_거시'!$D$3:INDEX('자료_거시'!$D$3:$D$4002,$K$6),1)),""),"")</f>
        <v/>
      </c>
      <c r="U2505">
        <f>IF(ISNUMBER(T2505),'자료_거시'!$D2487,"")</f>
        <v/>
      </c>
      <c r="V2505">
        <f>IF(ISNUMBER(U2505),IF(U2505&gt;$L$6,T2505,""),"")</f>
        <v/>
      </c>
      <c r="W2505">
        <f>IF(AND(ISNUMBER('자료_거시'!$G2487),ISNUMBER('자료_거시'!$H2487)),'자료_거시'!$H2487,"")</f>
        <v/>
      </c>
      <c r="X2505">
        <f>IF(ISNUMBER(W2505),'자료_거시'!$G2487,"")</f>
        <v/>
      </c>
      <c r="Y2505">
        <f>IF(ISNUMBER(X2505),IF(X2505&gt;$L$7,W2505,""),"")</f>
        <v/>
      </c>
      <c r="Z2505">
        <f>IF(ISNUMBER('자료_거시'!$K2487),'자료_거시'!$K2487,Z2504)</f>
        <v/>
      </c>
      <c r="AA2505">
        <f>IF(AND(ISNUMBER('자료_거시'!$J2487),ISNUMBER('자료_거시'!$K2487)),IFERROR('자료_거시'!$K2487/INDEX($Z$21:$Z$4020,MATCH(EDATE('자료_거시'!$J2487,-'설정'!$B$17),'자료_거시'!$J$3:INDEX('자료_거시'!$J$3:$J$4002,$K$8),1))-1,""),"")</f>
        <v/>
      </c>
      <c r="AB2505">
        <f>IF(ISNUMBER(AA2505),'자료_거시'!$J2487,"")</f>
        <v/>
      </c>
      <c r="AC2505">
        <f>IF(ISNUMBER(AB2505),IF(AB2505&gt;$L$8,AA2505,""),"")</f>
        <v/>
      </c>
    </row>
    <row r="2506">
      <c r="S2506">
        <f>IF(ISNUMBER('자료_거시'!$E2488),'자료_거시'!$E2488,S2505)</f>
        <v/>
      </c>
      <c r="T2506">
        <f>IF(AND(ISNUMBER('자료_거시'!$D2488),ISNUMBER('자료_거시'!$E2488)),IFERROR('자료_거시'!$E2488-INDEX($S$21:$S$4020,MATCH(EDATE('자료_거시'!$D2488,-'설정'!$B$17),'자료_거시'!$D$3:INDEX('자료_거시'!$D$3:$D$4002,$K$6),1)),""),"")</f>
        <v/>
      </c>
      <c r="U2506">
        <f>IF(ISNUMBER(T2506),'자료_거시'!$D2488,"")</f>
        <v/>
      </c>
      <c r="V2506">
        <f>IF(ISNUMBER(U2506),IF(U2506&gt;$L$6,T2506,""),"")</f>
        <v/>
      </c>
      <c r="W2506">
        <f>IF(AND(ISNUMBER('자료_거시'!$G2488),ISNUMBER('자료_거시'!$H2488)),'자료_거시'!$H2488,"")</f>
        <v/>
      </c>
      <c r="X2506">
        <f>IF(ISNUMBER(W2506),'자료_거시'!$G2488,"")</f>
        <v/>
      </c>
      <c r="Y2506">
        <f>IF(ISNUMBER(X2506),IF(X2506&gt;$L$7,W2506,""),"")</f>
        <v/>
      </c>
      <c r="Z2506">
        <f>IF(ISNUMBER('자료_거시'!$K2488),'자료_거시'!$K2488,Z2505)</f>
        <v/>
      </c>
      <c r="AA2506">
        <f>IF(AND(ISNUMBER('자료_거시'!$J2488),ISNUMBER('자료_거시'!$K2488)),IFERROR('자료_거시'!$K2488/INDEX($Z$21:$Z$4020,MATCH(EDATE('자료_거시'!$J2488,-'설정'!$B$17),'자료_거시'!$J$3:INDEX('자료_거시'!$J$3:$J$4002,$K$8),1))-1,""),"")</f>
        <v/>
      </c>
      <c r="AB2506">
        <f>IF(ISNUMBER(AA2506),'자료_거시'!$J2488,"")</f>
        <v/>
      </c>
      <c r="AC2506">
        <f>IF(ISNUMBER(AB2506),IF(AB2506&gt;$L$8,AA2506,""),"")</f>
        <v/>
      </c>
    </row>
    <row r="2507">
      <c r="S2507">
        <f>IF(ISNUMBER('자료_거시'!$E2489),'자료_거시'!$E2489,S2506)</f>
        <v/>
      </c>
      <c r="T2507">
        <f>IF(AND(ISNUMBER('자료_거시'!$D2489),ISNUMBER('자료_거시'!$E2489)),IFERROR('자료_거시'!$E2489-INDEX($S$21:$S$4020,MATCH(EDATE('자료_거시'!$D2489,-'설정'!$B$17),'자료_거시'!$D$3:INDEX('자료_거시'!$D$3:$D$4002,$K$6),1)),""),"")</f>
        <v/>
      </c>
      <c r="U2507">
        <f>IF(ISNUMBER(T2507),'자료_거시'!$D2489,"")</f>
        <v/>
      </c>
      <c r="V2507">
        <f>IF(ISNUMBER(U2507),IF(U2507&gt;$L$6,T2507,""),"")</f>
        <v/>
      </c>
      <c r="W2507">
        <f>IF(AND(ISNUMBER('자료_거시'!$G2489),ISNUMBER('자료_거시'!$H2489)),'자료_거시'!$H2489,"")</f>
        <v/>
      </c>
      <c r="X2507">
        <f>IF(ISNUMBER(W2507),'자료_거시'!$G2489,"")</f>
        <v/>
      </c>
      <c r="Y2507">
        <f>IF(ISNUMBER(X2507),IF(X2507&gt;$L$7,W2507,""),"")</f>
        <v/>
      </c>
      <c r="Z2507">
        <f>IF(ISNUMBER('자료_거시'!$K2489),'자료_거시'!$K2489,Z2506)</f>
        <v/>
      </c>
      <c r="AA2507">
        <f>IF(AND(ISNUMBER('자료_거시'!$J2489),ISNUMBER('자료_거시'!$K2489)),IFERROR('자료_거시'!$K2489/INDEX($Z$21:$Z$4020,MATCH(EDATE('자료_거시'!$J2489,-'설정'!$B$17),'자료_거시'!$J$3:INDEX('자료_거시'!$J$3:$J$4002,$K$8),1))-1,""),"")</f>
        <v/>
      </c>
      <c r="AB2507">
        <f>IF(ISNUMBER(AA2507),'자료_거시'!$J2489,"")</f>
        <v/>
      </c>
      <c r="AC2507">
        <f>IF(ISNUMBER(AB2507),IF(AB2507&gt;$L$8,AA2507,""),"")</f>
        <v/>
      </c>
    </row>
    <row r="2508">
      <c r="S2508">
        <f>IF(ISNUMBER('자료_거시'!$E2490),'자료_거시'!$E2490,S2507)</f>
        <v/>
      </c>
      <c r="T2508">
        <f>IF(AND(ISNUMBER('자료_거시'!$D2490),ISNUMBER('자료_거시'!$E2490)),IFERROR('자료_거시'!$E2490-INDEX($S$21:$S$4020,MATCH(EDATE('자료_거시'!$D2490,-'설정'!$B$17),'자료_거시'!$D$3:INDEX('자료_거시'!$D$3:$D$4002,$K$6),1)),""),"")</f>
        <v/>
      </c>
      <c r="U2508">
        <f>IF(ISNUMBER(T2508),'자료_거시'!$D2490,"")</f>
        <v/>
      </c>
      <c r="V2508">
        <f>IF(ISNUMBER(U2508),IF(U2508&gt;$L$6,T2508,""),"")</f>
        <v/>
      </c>
      <c r="W2508">
        <f>IF(AND(ISNUMBER('자료_거시'!$G2490),ISNUMBER('자료_거시'!$H2490)),'자료_거시'!$H2490,"")</f>
        <v/>
      </c>
      <c r="X2508">
        <f>IF(ISNUMBER(W2508),'자료_거시'!$G2490,"")</f>
        <v/>
      </c>
      <c r="Y2508">
        <f>IF(ISNUMBER(X2508),IF(X2508&gt;$L$7,W2508,""),"")</f>
        <v/>
      </c>
      <c r="Z2508">
        <f>IF(ISNUMBER('자료_거시'!$K2490),'자료_거시'!$K2490,Z2507)</f>
        <v/>
      </c>
      <c r="AA2508">
        <f>IF(AND(ISNUMBER('자료_거시'!$J2490),ISNUMBER('자료_거시'!$K2490)),IFERROR('자료_거시'!$K2490/INDEX($Z$21:$Z$4020,MATCH(EDATE('자료_거시'!$J2490,-'설정'!$B$17),'자료_거시'!$J$3:INDEX('자료_거시'!$J$3:$J$4002,$K$8),1))-1,""),"")</f>
        <v/>
      </c>
      <c r="AB2508">
        <f>IF(ISNUMBER(AA2508),'자료_거시'!$J2490,"")</f>
        <v/>
      </c>
      <c r="AC2508">
        <f>IF(ISNUMBER(AB2508),IF(AB2508&gt;$L$8,AA2508,""),"")</f>
        <v/>
      </c>
    </row>
    <row r="2509">
      <c r="S2509">
        <f>IF(ISNUMBER('자료_거시'!$E2491),'자료_거시'!$E2491,S2508)</f>
        <v/>
      </c>
      <c r="T2509">
        <f>IF(AND(ISNUMBER('자료_거시'!$D2491),ISNUMBER('자료_거시'!$E2491)),IFERROR('자료_거시'!$E2491-INDEX($S$21:$S$4020,MATCH(EDATE('자료_거시'!$D2491,-'설정'!$B$17),'자료_거시'!$D$3:INDEX('자료_거시'!$D$3:$D$4002,$K$6),1)),""),"")</f>
        <v/>
      </c>
      <c r="U2509">
        <f>IF(ISNUMBER(T2509),'자료_거시'!$D2491,"")</f>
        <v/>
      </c>
      <c r="V2509">
        <f>IF(ISNUMBER(U2509),IF(U2509&gt;$L$6,T2509,""),"")</f>
        <v/>
      </c>
      <c r="W2509">
        <f>IF(AND(ISNUMBER('자료_거시'!$G2491),ISNUMBER('자료_거시'!$H2491)),'자료_거시'!$H2491,"")</f>
        <v/>
      </c>
      <c r="X2509">
        <f>IF(ISNUMBER(W2509),'자료_거시'!$G2491,"")</f>
        <v/>
      </c>
      <c r="Y2509">
        <f>IF(ISNUMBER(X2509),IF(X2509&gt;$L$7,W2509,""),"")</f>
        <v/>
      </c>
      <c r="Z2509">
        <f>IF(ISNUMBER('자료_거시'!$K2491),'자료_거시'!$K2491,Z2508)</f>
        <v/>
      </c>
      <c r="AA2509">
        <f>IF(AND(ISNUMBER('자료_거시'!$J2491),ISNUMBER('자료_거시'!$K2491)),IFERROR('자료_거시'!$K2491/INDEX($Z$21:$Z$4020,MATCH(EDATE('자료_거시'!$J2491,-'설정'!$B$17),'자료_거시'!$J$3:INDEX('자료_거시'!$J$3:$J$4002,$K$8),1))-1,""),"")</f>
        <v/>
      </c>
      <c r="AB2509">
        <f>IF(ISNUMBER(AA2509),'자료_거시'!$J2491,"")</f>
        <v/>
      </c>
      <c r="AC2509">
        <f>IF(ISNUMBER(AB2509),IF(AB2509&gt;$L$8,AA2509,""),"")</f>
        <v/>
      </c>
    </row>
    <row r="2510">
      <c r="S2510">
        <f>IF(ISNUMBER('자료_거시'!$E2492),'자료_거시'!$E2492,S2509)</f>
        <v/>
      </c>
      <c r="T2510">
        <f>IF(AND(ISNUMBER('자료_거시'!$D2492),ISNUMBER('자료_거시'!$E2492)),IFERROR('자료_거시'!$E2492-INDEX($S$21:$S$4020,MATCH(EDATE('자료_거시'!$D2492,-'설정'!$B$17),'자료_거시'!$D$3:INDEX('자료_거시'!$D$3:$D$4002,$K$6),1)),""),"")</f>
        <v/>
      </c>
      <c r="U2510">
        <f>IF(ISNUMBER(T2510),'자료_거시'!$D2492,"")</f>
        <v/>
      </c>
      <c r="V2510">
        <f>IF(ISNUMBER(U2510),IF(U2510&gt;$L$6,T2510,""),"")</f>
        <v/>
      </c>
      <c r="W2510">
        <f>IF(AND(ISNUMBER('자료_거시'!$G2492),ISNUMBER('자료_거시'!$H2492)),'자료_거시'!$H2492,"")</f>
        <v/>
      </c>
      <c r="X2510">
        <f>IF(ISNUMBER(W2510),'자료_거시'!$G2492,"")</f>
        <v/>
      </c>
      <c r="Y2510">
        <f>IF(ISNUMBER(X2510),IF(X2510&gt;$L$7,W2510,""),"")</f>
        <v/>
      </c>
      <c r="Z2510">
        <f>IF(ISNUMBER('자료_거시'!$K2492),'자료_거시'!$K2492,Z2509)</f>
        <v/>
      </c>
      <c r="AA2510">
        <f>IF(AND(ISNUMBER('자료_거시'!$J2492),ISNUMBER('자료_거시'!$K2492)),IFERROR('자료_거시'!$K2492/INDEX($Z$21:$Z$4020,MATCH(EDATE('자료_거시'!$J2492,-'설정'!$B$17),'자료_거시'!$J$3:INDEX('자료_거시'!$J$3:$J$4002,$K$8),1))-1,""),"")</f>
        <v/>
      </c>
      <c r="AB2510">
        <f>IF(ISNUMBER(AA2510),'자료_거시'!$J2492,"")</f>
        <v/>
      </c>
      <c r="AC2510">
        <f>IF(ISNUMBER(AB2510),IF(AB2510&gt;$L$8,AA2510,""),"")</f>
        <v/>
      </c>
    </row>
    <row r="2511">
      <c r="S2511">
        <f>IF(ISNUMBER('자료_거시'!$E2493),'자료_거시'!$E2493,S2510)</f>
        <v/>
      </c>
      <c r="T2511">
        <f>IF(AND(ISNUMBER('자료_거시'!$D2493),ISNUMBER('자료_거시'!$E2493)),IFERROR('자료_거시'!$E2493-INDEX($S$21:$S$4020,MATCH(EDATE('자료_거시'!$D2493,-'설정'!$B$17),'자료_거시'!$D$3:INDEX('자료_거시'!$D$3:$D$4002,$K$6),1)),""),"")</f>
        <v/>
      </c>
      <c r="U2511">
        <f>IF(ISNUMBER(T2511),'자료_거시'!$D2493,"")</f>
        <v/>
      </c>
      <c r="V2511">
        <f>IF(ISNUMBER(U2511),IF(U2511&gt;$L$6,T2511,""),"")</f>
        <v/>
      </c>
      <c r="W2511">
        <f>IF(AND(ISNUMBER('자료_거시'!$G2493),ISNUMBER('자료_거시'!$H2493)),'자료_거시'!$H2493,"")</f>
        <v/>
      </c>
      <c r="X2511">
        <f>IF(ISNUMBER(W2511),'자료_거시'!$G2493,"")</f>
        <v/>
      </c>
      <c r="Y2511">
        <f>IF(ISNUMBER(X2511),IF(X2511&gt;$L$7,W2511,""),"")</f>
        <v/>
      </c>
      <c r="Z2511">
        <f>IF(ISNUMBER('자료_거시'!$K2493),'자료_거시'!$K2493,Z2510)</f>
        <v/>
      </c>
      <c r="AA2511">
        <f>IF(AND(ISNUMBER('자료_거시'!$J2493),ISNUMBER('자료_거시'!$K2493)),IFERROR('자료_거시'!$K2493/INDEX($Z$21:$Z$4020,MATCH(EDATE('자료_거시'!$J2493,-'설정'!$B$17),'자료_거시'!$J$3:INDEX('자료_거시'!$J$3:$J$4002,$K$8),1))-1,""),"")</f>
        <v/>
      </c>
      <c r="AB2511">
        <f>IF(ISNUMBER(AA2511),'자료_거시'!$J2493,"")</f>
        <v/>
      </c>
      <c r="AC2511">
        <f>IF(ISNUMBER(AB2511),IF(AB2511&gt;$L$8,AA2511,""),"")</f>
        <v/>
      </c>
    </row>
    <row r="2512">
      <c r="S2512">
        <f>IF(ISNUMBER('자료_거시'!$E2494),'자료_거시'!$E2494,S2511)</f>
        <v/>
      </c>
      <c r="T2512">
        <f>IF(AND(ISNUMBER('자료_거시'!$D2494),ISNUMBER('자료_거시'!$E2494)),IFERROR('자료_거시'!$E2494-INDEX($S$21:$S$4020,MATCH(EDATE('자료_거시'!$D2494,-'설정'!$B$17),'자료_거시'!$D$3:INDEX('자료_거시'!$D$3:$D$4002,$K$6),1)),""),"")</f>
        <v/>
      </c>
      <c r="U2512">
        <f>IF(ISNUMBER(T2512),'자료_거시'!$D2494,"")</f>
        <v/>
      </c>
      <c r="V2512">
        <f>IF(ISNUMBER(U2512),IF(U2512&gt;$L$6,T2512,""),"")</f>
        <v/>
      </c>
      <c r="W2512">
        <f>IF(AND(ISNUMBER('자료_거시'!$G2494),ISNUMBER('자료_거시'!$H2494)),'자료_거시'!$H2494,"")</f>
        <v/>
      </c>
      <c r="X2512">
        <f>IF(ISNUMBER(W2512),'자료_거시'!$G2494,"")</f>
        <v/>
      </c>
      <c r="Y2512">
        <f>IF(ISNUMBER(X2512),IF(X2512&gt;$L$7,W2512,""),"")</f>
        <v/>
      </c>
      <c r="Z2512">
        <f>IF(ISNUMBER('자료_거시'!$K2494),'자료_거시'!$K2494,Z2511)</f>
        <v/>
      </c>
      <c r="AA2512">
        <f>IF(AND(ISNUMBER('자료_거시'!$J2494),ISNUMBER('자료_거시'!$K2494)),IFERROR('자료_거시'!$K2494/INDEX($Z$21:$Z$4020,MATCH(EDATE('자료_거시'!$J2494,-'설정'!$B$17),'자료_거시'!$J$3:INDEX('자료_거시'!$J$3:$J$4002,$K$8),1))-1,""),"")</f>
        <v/>
      </c>
      <c r="AB2512">
        <f>IF(ISNUMBER(AA2512),'자료_거시'!$J2494,"")</f>
        <v/>
      </c>
      <c r="AC2512">
        <f>IF(ISNUMBER(AB2512),IF(AB2512&gt;$L$8,AA2512,""),"")</f>
        <v/>
      </c>
    </row>
    <row r="2513">
      <c r="S2513">
        <f>IF(ISNUMBER('자료_거시'!$E2495),'자료_거시'!$E2495,S2512)</f>
        <v/>
      </c>
      <c r="T2513">
        <f>IF(AND(ISNUMBER('자료_거시'!$D2495),ISNUMBER('자료_거시'!$E2495)),IFERROR('자료_거시'!$E2495-INDEX($S$21:$S$4020,MATCH(EDATE('자료_거시'!$D2495,-'설정'!$B$17),'자료_거시'!$D$3:INDEX('자료_거시'!$D$3:$D$4002,$K$6),1)),""),"")</f>
        <v/>
      </c>
      <c r="U2513">
        <f>IF(ISNUMBER(T2513),'자료_거시'!$D2495,"")</f>
        <v/>
      </c>
      <c r="V2513">
        <f>IF(ISNUMBER(U2513),IF(U2513&gt;$L$6,T2513,""),"")</f>
        <v/>
      </c>
      <c r="W2513">
        <f>IF(AND(ISNUMBER('자료_거시'!$G2495),ISNUMBER('자료_거시'!$H2495)),'자료_거시'!$H2495,"")</f>
        <v/>
      </c>
      <c r="X2513">
        <f>IF(ISNUMBER(W2513),'자료_거시'!$G2495,"")</f>
        <v/>
      </c>
      <c r="Y2513">
        <f>IF(ISNUMBER(X2513),IF(X2513&gt;$L$7,W2513,""),"")</f>
        <v/>
      </c>
      <c r="Z2513">
        <f>IF(ISNUMBER('자료_거시'!$K2495),'자료_거시'!$K2495,Z2512)</f>
        <v/>
      </c>
      <c r="AA2513">
        <f>IF(AND(ISNUMBER('자료_거시'!$J2495),ISNUMBER('자료_거시'!$K2495)),IFERROR('자료_거시'!$K2495/INDEX($Z$21:$Z$4020,MATCH(EDATE('자료_거시'!$J2495,-'설정'!$B$17),'자료_거시'!$J$3:INDEX('자료_거시'!$J$3:$J$4002,$K$8),1))-1,""),"")</f>
        <v/>
      </c>
      <c r="AB2513">
        <f>IF(ISNUMBER(AA2513),'자료_거시'!$J2495,"")</f>
        <v/>
      </c>
      <c r="AC2513">
        <f>IF(ISNUMBER(AB2513),IF(AB2513&gt;$L$8,AA2513,""),"")</f>
        <v/>
      </c>
    </row>
    <row r="2514">
      <c r="S2514">
        <f>IF(ISNUMBER('자료_거시'!$E2496),'자료_거시'!$E2496,S2513)</f>
        <v/>
      </c>
      <c r="T2514">
        <f>IF(AND(ISNUMBER('자료_거시'!$D2496),ISNUMBER('자료_거시'!$E2496)),IFERROR('자료_거시'!$E2496-INDEX($S$21:$S$4020,MATCH(EDATE('자료_거시'!$D2496,-'설정'!$B$17),'자료_거시'!$D$3:INDEX('자료_거시'!$D$3:$D$4002,$K$6),1)),""),"")</f>
        <v/>
      </c>
      <c r="U2514">
        <f>IF(ISNUMBER(T2514),'자료_거시'!$D2496,"")</f>
        <v/>
      </c>
      <c r="V2514">
        <f>IF(ISNUMBER(U2514),IF(U2514&gt;$L$6,T2514,""),"")</f>
        <v/>
      </c>
      <c r="W2514">
        <f>IF(AND(ISNUMBER('자료_거시'!$G2496),ISNUMBER('자료_거시'!$H2496)),'자료_거시'!$H2496,"")</f>
        <v/>
      </c>
      <c r="X2514">
        <f>IF(ISNUMBER(W2514),'자료_거시'!$G2496,"")</f>
        <v/>
      </c>
      <c r="Y2514">
        <f>IF(ISNUMBER(X2514),IF(X2514&gt;$L$7,W2514,""),"")</f>
        <v/>
      </c>
      <c r="Z2514">
        <f>IF(ISNUMBER('자료_거시'!$K2496),'자료_거시'!$K2496,Z2513)</f>
        <v/>
      </c>
      <c r="AA2514">
        <f>IF(AND(ISNUMBER('자료_거시'!$J2496),ISNUMBER('자료_거시'!$K2496)),IFERROR('자료_거시'!$K2496/INDEX($Z$21:$Z$4020,MATCH(EDATE('자료_거시'!$J2496,-'설정'!$B$17),'자료_거시'!$J$3:INDEX('자료_거시'!$J$3:$J$4002,$K$8),1))-1,""),"")</f>
        <v/>
      </c>
      <c r="AB2514">
        <f>IF(ISNUMBER(AA2514),'자료_거시'!$J2496,"")</f>
        <v/>
      </c>
      <c r="AC2514">
        <f>IF(ISNUMBER(AB2514),IF(AB2514&gt;$L$8,AA2514,""),"")</f>
        <v/>
      </c>
    </row>
    <row r="2515">
      <c r="S2515">
        <f>IF(ISNUMBER('자료_거시'!$E2497),'자료_거시'!$E2497,S2514)</f>
        <v/>
      </c>
      <c r="T2515">
        <f>IF(AND(ISNUMBER('자료_거시'!$D2497),ISNUMBER('자료_거시'!$E2497)),IFERROR('자료_거시'!$E2497-INDEX($S$21:$S$4020,MATCH(EDATE('자료_거시'!$D2497,-'설정'!$B$17),'자료_거시'!$D$3:INDEX('자료_거시'!$D$3:$D$4002,$K$6),1)),""),"")</f>
        <v/>
      </c>
      <c r="U2515">
        <f>IF(ISNUMBER(T2515),'자료_거시'!$D2497,"")</f>
        <v/>
      </c>
      <c r="V2515">
        <f>IF(ISNUMBER(U2515),IF(U2515&gt;$L$6,T2515,""),"")</f>
        <v/>
      </c>
      <c r="W2515">
        <f>IF(AND(ISNUMBER('자료_거시'!$G2497),ISNUMBER('자료_거시'!$H2497)),'자료_거시'!$H2497,"")</f>
        <v/>
      </c>
      <c r="X2515">
        <f>IF(ISNUMBER(W2515),'자료_거시'!$G2497,"")</f>
        <v/>
      </c>
      <c r="Y2515">
        <f>IF(ISNUMBER(X2515),IF(X2515&gt;$L$7,W2515,""),"")</f>
        <v/>
      </c>
      <c r="Z2515">
        <f>IF(ISNUMBER('자료_거시'!$K2497),'자료_거시'!$K2497,Z2514)</f>
        <v/>
      </c>
      <c r="AA2515">
        <f>IF(AND(ISNUMBER('자료_거시'!$J2497),ISNUMBER('자료_거시'!$K2497)),IFERROR('자료_거시'!$K2497/INDEX($Z$21:$Z$4020,MATCH(EDATE('자료_거시'!$J2497,-'설정'!$B$17),'자료_거시'!$J$3:INDEX('자료_거시'!$J$3:$J$4002,$K$8),1))-1,""),"")</f>
        <v/>
      </c>
      <c r="AB2515">
        <f>IF(ISNUMBER(AA2515),'자료_거시'!$J2497,"")</f>
        <v/>
      </c>
      <c r="AC2515">
        <f>IF(ISNUMBER(AB2515),IF(AB2515&gt;$L$8,AA2515,""),"")</f>
        <v/>
      </c>
    </row>
    <row r="2516">
      <c r="S2516">
        <f>IF(ISNUMBER('자료_거시'!$E2498),'자료_거시'!$E2498,S2515)</f>
        <v/>
      </c>
      <c r="T2516">
        <f>IF(AND(ISNUMBER('자료_거시'!$D2498),ISNUMBER('자료_거시'!$E2498)),IFERROR('자료_거시'!$E2498-INDEX($S$21:$S$4020,MATCH(EDATE('자료_거시'!$D2498,-'설정'!$B$17),'자료_거시'!$D$3:INDEX('자료_거시'!$D$3:$D$4002,$K$6),1)),""),"")</f>
        <v/>
      </c>
      <c r="U2516">
        <f>IF(ISNUMBER(T2516),'자료_거시'!$D2498,"")</f>
        <v/>
      </c>
      <c r="V2516">
        <f>IF(ISNUMBER(U2516),IF(U2516&gt;$L$6,T2516,""),"")</f>
        <v/>
      </c>
      <c r="W2516">
        <f>IF(AND(ISNUMBER('자료_거시'!$G2498),ISNUMBER('자료_거시'!$H2498)),'자료_거시'!$H2498,"")</f>
        <v/>
      </c>
      <c r="X2516">
        <f>IF(ISNUMBER(W2516),'자료_거시'!$G2498,"")</f>
        <v/>
      </c>
      <c r="Y2516">
        <f>IF(ISNUMBER(X2516),IF(X2516&gt;$L$7,W2516,""),"")</f>
        <v/>
      </c>
      <c r="Z2516">
        <f>IF(ISNUMBER('자료_거시'!$K2498),'자료_거시'!$K2498,Z2515)</f>
        <v/>
      </c>
      <c r="AA2516">
        <f>IF(AND(ISNUMBER('자료_거시'!$J2498),ISNUMBER('자료_거시'!$K2498)),IFERROR('자료_거시'!$K2498/INDEX($Z$21:$Z$4020,MATCH(EDATE('자료_거시'!$J2498,-'설정'!$B$17),'자료_거시'!$J$3:INDEX('자료_거시'!$J$3:$J$4002,$K$8),1))-1,""),"")</f>
        <v/>
      </c>
      <c r="AB2516">
        <f>IF(ISNUMBER(AA2516),'자료_거시'!$J2498,"")</f>
        <v/>
      </c>
      <c r="AC2516">
        <f>IF(ISNUMBER(AB2516),IF(AB2516&gt;$L$8,AA2516,""),"")</f>
        <v/>
      </c>
    </row>
    <row r="2517">
      <c r="S2517">
        <f>IF(ISNUMBER('자료_거시'!$E2499),'자료_거시'!$E2499,S2516)</f>
        <v/>
      </c>
      <c r="T2517">
        <f>IF(AND(ISNUMBER('자료_거시'!$D2499),ISNUMBER('자료_거시'!$E2499)),IFERROR('자료_거시'!$E2499-INDEX($S$21:$S$4020,MATCH(EDATE('자료_거시'!$D2499,-'설정'!$B$17),'자료_거시'!$D$3:INDEX('자료_거시'!$D$3:$D$4002,$K$6),1)),""),"")</f>
        <v/>
      </c>
      <c r="U2517">
        <f>IF(ISNUMBER(T2517),'자료_거시'!$D2499,"")</f>
        <v/>
      </c>
      <c r="V2517">
        <f>IF(ISNUMBER(U2517),IF(U2517&gt;$L$6,T2517,""),"")</f>
        <v/>
      </c>
      <c r="W2517">
        <f>IF(AND(ISNUMBER('자료_거시'!$G2499),ISNUMBER('자료_거시'!$H2499)),'자료_거시'!$H2499,"")</f>
        <v/>
      </c>
      <c r="X2517">
        <f>IF(ISNUMBER(W2517),'자료_거시'!$G2499,"")</f>
        <v/>
      </c>
      <c r="Y2517">
        <f>IF(ISNUMBER(X2517),IF(X2517&gt;$L$7,W2517,""),"")</f>
        <v/>
      </c>
      <c r="Z2517">
        <f>IF(ISNUMBER('자료_거시'!$K2499),'자료_거시'!$K2499,Z2516)</f>
        <v/>
      </c>
      <c r="AA2517">
        <f>IF(AND(ISNUMBER('자료_거시'!$J2499),ISNUMBER('자료_거시'!$K2499)),IFERROR('자료_거시'!$K2499/INDEX($Z$21:$Z$4020,MATCH(EDATE('자료_거시'!$J2499,-'설정'!$B$17),'자료_거시'!$J$3:INDEX('자료_거시'!$J$3:$J$4002,$K$8),1))-1,""),"")</f>
        <v/>
      </c>
      <c r="AB2517">
        <f>IF(ISNUMBER(AA2517),'자료_거시'!$J2499,"")</f>
        <v/>
      </c>
      <c r="AC2517">
        <f>IF(ISNUMBER(AB2517),IF(AB2517&gt;$L$8,AA2517,""),"")</f>
        <v/>
      </c>
    </row>
    <row r="2518">
      <c r="S2518">
        <f>IF(ISNUMBER('자료_거시'!$E2500),'자료_거시'!$E2500,S2517)</f>
        <v/>
      </c>
      <c r="T2518">
        <f>IF(AND(ISNUMBER('자료_거시'!$D2500),ISNUMBER('자료_거시'!$E2500)),IFERROR('자료_거시'!$E2500-INDEX($S$21:$S$4020,MATCH(EDATE('자료_거시'!$D2500,-'설정'!$B$17),'자료_거시'!$D$3:INDEX('자료_거시'!$D$3:$D$4002,$K$6),1)),""),"")</f>
        <v/>
      </c>
      <c r="U2518">
        <f>IF(ISNUMBER(T2518),'자료_거시'!$D2500,"")</f>
        <v/>
      </c>
      <c r="V2518">
        <f>IF(ISNUMBER(U2518),IF(U2518&gt;$L$6,T2518,""),"")</f>
        <v/>
      </c>
      <c r="W2518">
        <f>IF(AND(ISNUMBER('자료_거시'!$G2500),ISNUMBER('자료_거시'!$H2500)),'자료_거시'!$H2500,"")</f>
        <v/>
      </c>
      <c r="X2518">
        <f>IF(ISNUMBER(W2518),'자료_거시'!$G2500,"")</f>
        <v/>
      </c>
      <c r="Y2518">
        <f>IF(ISNUMBER(X2518),IF(X2518&gt;$L$7,W2518,""),"")</f>
        <v/>
      </c>
      <c r="Z2518">
        <f>IF(ISNUMBER('자료_거시'!$K2500),'자료_거시'!$K2500,Z2517)</f>
        <v/>
      </c>
      <c r="AA2518">
        <f>IF(AND(ISNUMBER('자료_거시'!$J2500),ISNUMBER('자료_거시'!$K2500)),IFERROR('자료_거시'!$K2500/INDEX($Z$21:$Z$4020,MATCH(EDATE('자료_거시'!$J2500,-'설정'!$B$17),'자료_거시'!$J$3:INDEX('자료_거시'!$J$3:$J$4002,$K$8),1))-1,""),"")</f>
        <v/>
      </c>
      <c r="AB2518">
        <f>IF(ISNUMBER(AA2518),'자료_거시'!$J2500,"")</f>
        <v/>
      </c>
      <c r="AC2518">
        <f>IF(ISNUMBER(AB2518),IF(AB2518&gt;$L$8,AA2518,""),"")</f>
        <v/>
      </c>
    </row>
    <row r="2519">
      <c r="S2519">
        <f>IF(ISNUMBER('자료_거시'!$E2501),'자료_거시'!$E2501,S2518)</f>
        <v/>
      </c>
      <c r="T2519">
        <f>IF(AND(ISNUMBER('자료_거시'!$D2501),ISNUMBER('자료_거시'!$E2501)),IFERROR('자료_거시'!$E2501-INDEX($S$21:$S$4020,MATCH(EDATE('자료_거시'!$D2501,-'설정'!$B$17),'자료_거시'!$D$3:INDEX('자료_거시'!$D$3:$D$4002,$K$6),1)),""),"")</f>
        <v/>
      </c>
      <c r="U2519">
        <f>IF(ISNUMBER(T2519),'자료_거시'!$D2501,"")</f>
        <v/>
      </c>
      <c r="V2519">
        <f>IF(ISNUMBER(U2519),IF(U2519&gt;$L$6,T2519,""),"")</f>
        <v/>
      </c>
      <c r="W2519">
        <f>IF(AND(ISNUMBER('자료_거시'!$G2501),ISNUMBER('자료_거시'!$H2501)),'자료_거시'!$H2501,"")</f>
        <v/>
      </c>
      <c r="X2519">
        <f>IF(ISNUMBER(W2519),'자료_거시'!$G2501,"")</f>
        <v/>
      </c>
      <c r="Y2519">
        <f>IF(ISNUMBER(X2519),IF(X2519&gt;$L$7,W2519,""),"")</f>
        <v/>
      </c>
      <c r="Z2519">
        <f>IF(ISNUMBER('자료_거시'!$K2501),'자료_거시'!$K2501,Z2518)</f>
        <v/>
      </c>
      <c r="AA2519">
        <f>IF(AND(ISNUMBER('자료_거시'!$J2501),ISNUMBER('자료_거시'!$K2501)),IFERROR('자료_거시'!$K2501/INDEX($Z$21:$Z$4020,MATCH(EDATE('자료_거시'!$J2501,-'설정'!$B$17),'자료_거시'!$J$3:INDEX('자료_거시'!$J$3:$J$4002,$K$8),1))-1,""),"")</f>
        <v/>
      </c>
      <c r="AB2519">
        <f>IF(ISNUMBER(AA2519),'자료_거시'!$J2501,"")</f>
        <v/>
      </c>
      <c r="AC2519">
        <f>IF(ISNUMBER(AB2519),IF(AB2519&gt;$L$8,AA2519,""),"")</f>
        <v/>
      </c>
    </row>
    <row r="2520">
      <c r="S2520">
        <f>IF(ISNUMBER('자료_거시'!$E2502),'자료_거시'!$E2502,S2519)</f>
        <v/>
      </c>
      <c r="T2520">
        <f>IF(AND(ISNUMBER('자료_거시'!$D2502),ISNUMBER('자료_거시'!$E2502)),IFERROR('자료_거시'!$E2502-INDEX($S$21:$S$4020,MATCH(EDATE('자료_거시'!$D2502,-'설정'!$B$17),'자료_거시'!$D$3:INDEX('자료_거시'!$D$3:$D$4002,$K$6),1)),""),"")</f>
        <v/>
      </c>
      <c r="U2520">
        <f>IF(ISNUMBER(T2520),'자료_거시'!$D2502,"")</f>
        <v/>
      </c>
      <c r="V2520">
        <f>IF(ISNUMBER(U2520),IF(U2520&gt;$L$6,T2520,""),"")</f>
        <v/>
      </c>
      <c r="W2520">
        <f>IF(AND(ISNUMBER('자료_거시'!$G2502),ISNUMBER('자료_거시'!$H2502)),'자료_거시'!$H2502,"")</f>
        <v/>
      </c>
      <c r="X2520">
        <f>IF(ISNUMBER(W2520),'자료_거시'!$G2502,"")</f>
        <v/>
      </c>
      <c r="Y2520">
        <f>IF(ISNUMBER(X2520),IF(X2520&gt;$L$7,W2520,""),"")</f>
        <v/>
      </c>
      <c r="Z2520">
        <f>IF(ISNUMBER('자료_거시'!$K2502),'자료_거시'!$K2502,Z2519)</f>
        <v/>
      </c>
      <c r="AA2520">
        <f>IF(AND(ISNUMBER('자료_거시'!$J2502),ISNUMBER('자료_거시'!$K2502)),IFERROR('자료_거시'!$K2502/INDEX($Z$21:$Z$4020,MATCH(EDATE('자료_거시'!$J2502,-'설정'!$B$17),'자료_거시'!$J$3:INDEX('자료_거시'!$J$3:$J$4002,$K$8),1))-1,""),"")</f>
        <v/>
      </c>
      <c r="AB2520">
        <f>IF(ISNUMBER(AA2520),'자료_거시'!$J2502,"")</f>
        <v/>
      </c>
      <c r="AC2520">
        <f>IF(ISNUMBER(AB2520),IF(AB2520&gt;$L$8,AA2520,""),"")</f>
        <v/>
      </c>
    </row>
    <row r="2521">
      <c r="S2521">
        <f>IF(ISNUMBER('자료_거시'!$E2503),'자료_거시'!$E2503,S2520)</f>
        <v/>
      </c>
      <c r="T2521">
        <f>IF(AND(ISNUMBER('자료_거시'!$D2503),ISNUMBER('자료_거시'!$E2503)),IFERROR('자료_거시'!$E2503-INDEX($S$21:$S$4020,MATCH(EDATE('자료_거시'!$D2503,-'설정'!$B$17),'자료_거시'!$D$3:INDEX('자료_거시'!$D$3:$D$4002,$K$6),1)),""),"")</f>
        <v/>
      </c>
      <c r="U2521">
        <f>IF(ISNUMBER(T2521),'자료_거시'!$D2503,"")</f>
        <v/>
      </c>
      <c r="V2521">
        <f>IF(ISNUMBER(U2521),IF(U2521&gt;$L$6,T2521,""),"")</f>
        <v/>
      </c>
      <c r="W2521">
        <f>IF(AND(ISNUMBER('자료_거시'!$G2503),ISNUMBER('자료_거시'!$H2503)),'자료_거시'!$H2503,"")</f>
        <v/>
      </c>
      <c r="X2521">
        <f>IF(ISNUMBER(W2521),'자료_거시'!$G2503,"")</f>
        <v/>
      </c>
      <c r="Y2521">
        <f>IF(ISNUMBER(X2521),IF(X2521&gt;$L$7,W2521,""),"")</f>
        <v/>
      </c>
      <c r="Z2521">
        <f>IF(ISNUMBER('자료_거시'!$K2503),'자료_거시'!$K2503,Z2520)</f>
        <v/>
      </c>
      <c r="AA2521">
        <f>IF(AND(ISNUMBER('자료_거시'!$J2503),ISNUMBER('자료_거시'!$K2503)),IFERROR('자료_거시'!$K2503/INDEX($Z$21:$Z$4020,MATCH(EDATE('자료_거시'!$J2503,-'설정'!$B$17),'자료_거시'!$J$3:INDEX('자료_거시'!$J$3:$J$4002,$K$8),1))-1,""),"")</f>
        <v/>
      </c>
      <c r="AB2521">
        <f>IF(ISNUMBER(AA2521),'자료_거시'!$J2503,"")</f>
        <v/>
      </c>
      <c r="AC2521">
        <f>IF(ISNUMBER(AB2521),IF(AB2521&gt;$L$8,AA2521,""),"")</f>
        <v/>
      </c>
    </row>
    <row r="2522">
      <c r="S2522">
        <f>IF(ISNUMBER('자료_거시'!$E2504),'자료_거시'!$E2504,S2521)</f>
        <v/>
      </c>
      <c r="T2522">
        <f>IF(AND(ISNUMBER('자료_거시'!$D2504),ISNUMBER('자료_거시'!$E2504)),IFERROR('자료_거시'!$E2504-INDEX($S$21:$S$4020,MATCH(EDATE('자료_거시'!$D2504,-'설정'!$B$17),'자료_거시'!$D$3:INDEX('자료_거시'!$D$3:$D$4002,$K$6),1)),""),"")</f>
        <v/>
      </c>
      <c r="U2522">
        <f>IF(ISNUMBER(T2522),'자료_거시'!$D2504,"")</f>
        <v/>
      </c>
      <c r="V2522">
        <f>IF(ISNUMBER(U2522),IF(U2522&gt;$L$6,T2522,""),"")</f>
        <v/>
      </c>
      <c r="W2522">
        <f>IF(AND(ISNUMBER('자료_거시'!$G2504),ISNUMBER('자료_거시'!$H2504)),'자료_거시'!$H2504,"")</f>
        <v/>
      </c>
      <c r="X2522">
        <f>IF(ISNUMBER(W2522),'자료_거시'!$G2504,"")</f>
        <v/>
      </c>
      <c r="Y2522">
        <f>IF(ISNUMBER(X2522),IF(X2522&gt;$L$7,W2522,""),"")</f>
        <v/>
      </c>
      <c r="Z2522">
        <f>IF(ISNUMBER('자료_거시'!$K2504),'자료_거시'!$K2504,Z2521)</f>
        <v/>
      </c>
      <c r="AA2522">
        <f>IF(AND(ISNUMBER('자료_거시'!$J2504),ISNUMBER('자료_거시'!$K2504)),IFERROR('자료_거시'!$K2504/INDEX($Z$21:$Z$4020,MATCH(EDATE('자료_거시'!$J2504,-'설정'!$B$17),'자료_거시'!$J$3:INDEX('자료_거시'!$J$3:$J$4002,$K$8),1))-1,""),"")</f>
        <v/>
      </c>
      <c r="AB2522">
        <f>IF(ISNUMBER(AA2522),'자료_거시'!$J2504,"")</f>
        <v/>
      </c>
      <c r="AC2522">
        <f>IF(ISNUMBER(AB2522),IF(AB2522&gt;$L$8,AA2522,""),"")</f>
        <v/>
      </c>
    </row>
    <row r="2523">
      <c r="S2523">
        <f>IF(ISNUMBER('자료_거시'!$E2505),'자료_거시'!$E2505,S2522)</f>
        <v/>
      </c>
      <c r="T2523">
        <f>IF(AND(ISNUMBER('자료_거시'!$D2505),ISNUMBER('자료_거시'!$E2505)),IFERROR('자료_거시'!$E2505-INDEX($S$21:$S$4020,MATCH(EDATE('자료_거시'!$D2505,-'설정'!$B$17),'자료_거시'!$D$3:INDEX('자료_거시'!$D$3:$D$4002,$K$6),1)),""),"")</f>
        <v/>
      </c>
      <c r="U2523">
        <f>IF(ISNUMBER(T2523),'자료_거시'!$D2505,"")</f>
        <v/>
      </c>
      <c r="V2523">
        <f>IF(ISNUMBER(U2523),IF(U2523&gt;$L$6,T2523,""),"")</f>
        <v/>
      </c>
      <c r="W2523">
        <f>IF(AND(ISNUMBER('자료_거시'!$G2505),ISNUMBER('자료_거시'!$H2505)),'자료_거시'!$H2505,"")</f>
        <v/>
      </c>
      <c r="X2523">
        <f>IF(ISNUMBER(W2523),'자료_거시'!$G2505,"")</f>
        <v/>
      </c>
      <c r="Y2523">
        <f>IF(ISNUMBER(X2523),IF(X2523&gt;$L$7,W2523,""),"")</f>
        <v/>
      </c>
      <c r="Z2523">
        <f>IF(ISNUMBER('자료_거시'!$K2505),'자료_거시'!$K2505,Z2522)</f>
        <v/>
      </c>
      <c r="AA2523">
        <f>IF(AND(ISNUMBER('자료_거시'!$J2505),ISNUMBER('자료_거시'!$K2505)),IFERROR('자료_거시'!$K2505/INDEX($Z$21:$Z$4020,MATCH(EDATE('자료_거시'!$J2505,-'설정'!$B$17),'자료_거시'!$J$3:INDEX('자료_거시'!$J$3:$J$4002,$K$8),1))-1,""),"")</f>
        <v/>
      </c>
      <c r="AB2523">
        <f>IF(ISNUMBER(AA2523),'자료_거시'!$J2505,"")</f>
        <v/>
      </c>
      <c r="AC2523">
        <f>IF(ISNUMBER(AB2523),IF(AB2523&gt;$L$8,AA2523,""),"")</f>
        <v/>
      </c>
    </row>
    <row r="2524">
      <c r="S2524">
        <f>IF(ISNUMBER('자료_거시'!$E2506),'자료_거시'!$E2506,S2523)</f>
        <v/>
      </c>
      <c r="T2524">
        <f>IF(AND(ISNUMBER('자료_거시'!$D2506),ISNUMBER('자료_거시'!$E2506)),IFERROR('자료_거시'!$E2506-INDEX($S$21:$S$4020,MATCH(EDATE('자료_거시'!$D2506,-'설정'!$B$17),'자료_거시'!$D$3:INDEX('자료_거시'!$D$3:$D$4002,$K$6),1)),""),"")</f>
        <v/>
      </c>
      <c r="U2524">
        <f>IF(ISNUMBER(T2524),'자료_거시'!$D2506,"")</f>
        <v/>
      </c>
      <c r="V2524">
        <f>IF(ISNUMBER(U2524),IF(U2524&gt;$L$6,T2524,""),"")</f>
        <v/>
      </c>
      <c r="W2524">
        <f>IF(AND(ISNUMBER('자료_거시'!$G2506),ISNUMBER('자료_거시'!$H2506)),'자료_거시'!$H2506,"")</f>
        <v/>
      </c>
      <c r="X2524">
        <f>IF(ISNUMBER(W2524),'자료_거시'!$G2506,"")</f>
        <v/>
      </c>
      <c r="Y2524">
        <f>IF(ISNUMBER(X2524),IF(X2524&gt;$L$7,W2524,""),"")</f>
        <v/>
      </c>
      <c r="Z2524">
        <f>IF(ISNUMBER('자료_거시'!$K2506),'자료_거시'!$K2506,Z2523)</f>
        <v/>
      </c>
      <c r="AA2524">
        <f>IF(AND(ISNUMBER('자료_거시'!$J2506),ISNUMBER('자료_거시'!$K2506)),IFERROR('자료_거시'!$K2506/INDEX($Z$21:$Z$4020,MATCH(EDATE('자료_거시'!$J2506,-'설정'!$B$17),'자료_거시'!$J$3:INDEX('자료_거시'!$J$3:$J$4002,$K$8),1))-1,""),"")</f>
        <v/>
      </c>
      <c r="AB2524">
        <f>IF(ISNUMBER(AA2524),'자료_거시'!$J2506,"")</f>
        <v/>
      </c>
      <c r="AC2524">
        <f>IF(ISNUMBER(AB2524),IF(AB2524&gt;$L$8,AA2524,""),"")</f>
        <v/>
      </c>
    </row>
    <row r="2525">
      <c r="S2525">
        <f>IF(ISNUMBER('자료_거시'!$E2507),'자료_거시'!$E2507,S2524)</f>
        <v/>
      </c>
      <c r="T2525">
        <f>IF(AND(ISNUMBER('자료_거시'!$D2507),ISNUMBER('자료_거시'!$E2507)),IFERROR('자료_거시'!$E2507-INDEX($S$21:$S$4020,MATCH(EDATE('자료_거시'!$D2507,-'설정'!$B$17),'자료_거시'!$D$3:INDEX('자료_거시'!$D$3:$D$4002,$K$6),1)),""),"")</f>
        <v/>
      </c>
      <c r="U2525">
        <f>IF(ISNUMBER(T2525),'자료_거시'!$D2507,"")</f>
        <v/>
      </c>
      <c r="V2525">
        <f>IF(ISNUMBER(U2525),IF(U2525&gt;$L$6,T2525,""),"")</f>
        <v/>
      </c>
      <c r="W2525">
        <f>IF(AND(ISNUMBER('자료_거시'!$G2507),ISNUMBER('자료_거시'!$H2507)),'자료_거시'!$H2507,"")</f>
        <v/>
      </c>
      <c r="X2525">
        <f>IF(ISNUMBER(W2525),'자료_거시'!$G2507,"")</f>
        <v/>
      </c>
      <c r="Y2525">
        <f>IF(ISNUMBER(X2525),IF(X2525&gt;$L$7,W2525,""),"")</f>
        <v/>
      </c>
      <c r="Z2525">
        <f>IF(ISNUMBER('자료_거시'!$K2507),'자료_거시'!$K2507,Z2524)</f>
        <v/>
      </c>
      <c r="AA2525">
        <f>IF(AND(ISNUMBER('자료_거시'!$J2507),ISNUMBER('자료_거시'!$K2507)),IFERROR('자료_거시'!$K2507/INDEX($Z$21:$Z$4020,MATCH(EDATE('자료_거시'!$J2507,-'설정'!$B$17),'자료_거시'!$J$3:INDEX('자료_거시'!$J$3:$J$4002,$K$8),1))-1,""),"")</f>
        <v/>
      </c>
      <c r="AB2525">
        <f>IF(ISNUMBER(AA2525),'자료_거시'!$J2507,"")</f>
        <v/>
      </c>
      <c r="AC2525">
        <f>IF(ISNUMBER(AB2525),IF(AB2525&gt;$L$8,AA2525,""),"")</f>
        <v/>
      </c>
    </row>
    <row r="2526">
      <c r="S2526">
        <f>IF(ISNUMBER('자료_거시'!$E2508),'자료_거시'!$E2508,S2525)</f>
        <v/>
      </c>
      <c r="T2526">
        <f>IF(AND(ISNUMBER('자료_거시'!$D2508),ISNUMBER('자료_거시'!$E2508)),IFERROR('자료_거시'!$E2508-INDEX($S$21:$S$4020,MATCH(EDATE('자료_거시'!$D2508,-'설정'!$B$17),'자료_거시'!$D$3:INDEX('자료_거시'!$D$3:$D$4002,$K$6),1)),""),"")</f>
        <v/>
      </c>
      <c r="U2526">
        <f>IF(ISNUMBER(T2526),'자료_거시'!$D2508,"")</f>
        <v/>
      </c>
      <c r="V2526">
        <f>IF(ISNUMBER(U2526),IF(U2526&gt;$L$6,T2526,""),"")</f>
        <v/>
      </c>
      <c r="W2526">
        <f>IF(AND(ISNUMBER('자료_거시'!$G2508),ISNUMBER('자료_거시'!$H2508)),'자료_거시'!$H2508,"")</f>
        <v/>
      </c>
      <c r="X2526">
        <f>IF(ISNUMBER(W2526),'자료_거시'!$G2508,"")</f>
        <v/>
      </c>
      <c r="Y2526">
        <f>IF(ISNUMBER(X2526),IF(X2526&gt;$L$7,W2526,""),"")</f>
        <v/>
      </c>
      <c r="Z2526">
        <f>IF(ISNUMBER('자료_거시'!$K2508),'자료_거시'!$K2508,Z2525)</f>
        <v/>
      </c>
      <c r="AA2526">
        <f>IF(AND(ISNUMBER('자료_거시'!$J2508),ISNUMBER('자료_거시'!$K2508)),IFERROR('자료_거시'!$K2508/INDEX($Z$21:$Z$4020,MATCH(EDATE('자료_거시'!$J2508,-'설정'!$B$17),'자료_거시'!$J$3:INDEX('자료_거시'!$J$3:$J$4002,$K$8),1))-1,""),"")</f>
        <v/>
      </c>
      <c r="AB2526">
        <f>IF(ISNUMBER(AA2526),'자료_거시'!$J2508,"")</f>
        <v/>
      </c>
      <c r="AC2526">
        <f>IF(ISNUMBER(AB2526),IF(AB2526&gt;$L$8,AA2526,""),"")</f>
        <v/>
      </c>
    </row>
    <row r="2527">
      <c r="S2527">
        <f>IF(ISNUMBER('자료_거시'!$E2509),'자료_거시'!$E2509,S2526)</f>
        <v/>
      </c>
      <c r="T2527">
        <f>IF(AND(ISNUMBER('자료_거시'!$D2509),ISNUMBER('자료_거시'!$E2509)),IFERROR('자료_거시'!$E2509-INDEX($S$21:$S$4020,MATCH(EDATE('자료_거시'!$D2509,-'설정'!$B$17),'자료_거시'!$D$3:INDEX('자료_거시'!$D$3:$D$4002,$K$6),1)),""),"")</f>
        <v/>
      </c>
      <c r="U2527">
        <f>IF(ISNUMBER(T2527),'자료_거시'!$D2509,"")</f>
        <v/>
      </c>
      <c r="V2527">
        <f>IF(ISNUMBER(U2527),IF(U2527&gt;$L$6,T2527,""),"")</f>
        <v/>
      </c>
      <c r="W2527">
        <f>IF(AND(ISNUMBER('자료_거시'!$G2509),ISNUMBER('자료_거시'!$H2509)),'자료_거시'!$H2509,"")</f>
        <v/>
      </c>
      <c r="X2527">
        <f>IF(ISNUMBER(W2527),'자료_거시'!$G2509,"")</f>
        <v/>
      </c>
      <c r="Y2527">
        <f>IF(ISNUMBER(X2527),IF(X2527&gt;$L$7,W2527,""),"")</f>
        <v/>
      </c>
      <c r="Z2527">
        <f>IF(ISNUMBER('자료_거시'!$K2509),'자료_거시'!$K2509,Z2526)</f>
        <v/>
      </c>
      <c r="AA2527">
        <f>IF(AND(ISNUMBER('자료_거시'!$J2509),ISNUMBER('자료_거시'!$K2509)),IFERROR('자료_거시'!$K2509/INDEX($Z$21:$Z$4020,MATCH(EDATE('자료_거시'!$J2509,-'설정'!$B$17),'자료_거시'!$J$3:INDEX('자료_거시'!$J$3:$J$4002,$K$8),1))-1,""),"")</f>
        <v/>
      </c>
      <c r="AB2527">
        <f>IF(ISNUMBER(AA2527),'자료_거시'!$J2509,"")</f>
        <v/>
      </c>
      <c r="AC2527">
        <f>IF(ISNUMBER(AB2527),IF(AB2527&gt;$L$8,AA2527,""),"")</f>
        <v/>
      </c>
    </row>
    <row r="2528">
      <c r="S2528">
        <f>IF(ISNUMBER('자료_거시'!$E2510),'자료_거시'!$E2510,S2527)</f>
        <v/>
      </c>
      <c r="T2528">
        <f>IF(AND(ISNUMBER('자료_거시'!$D2510),ISNUMBER('자료_거시'!$E2510)),IFERROR('자료_거시'!$E2510-INDEX($S$21:$S$4020,MATCH(EDATE('자료_거시'!$D2510,-'설정'!$B$17),'자료_거시'!$D$3:INDEX('자료_거시'!$D$3:$D$4002,$K$6),1)),""),"")</f>
        <v/>
      </c>
      <c r="U2528">
        <f>IF(ISNUMBER(T2528),'자료_거시'!$D2510,"")</f>
        <v/>
      </c>
      <c r="V2528">
        <f>IF(ISNUMBER(U2528),IF(U2528&gt;$L$6,T2528,""),"")</f>
        <v/>
      </c>
      <c r="W2528">
        <f>IF(AND(ISNUMBER('자료_거시'!$G2510),ISNUMBER('자료_거시'!$H2510)),'자료_거시'!$H2510,"")</f>
        <v/>
      </c>
      <c r="X2528">
        <f>IF(ISNUMBER(W2528),'자료_거시'!$G2510,"")</f>
        <v/>
      </c>
      <c r="Y2528">
        <f>IF(ISNUMBER(X2528),IF(X2528&gt;$L$7,W2528,""),"")</f>
        <v/>
      </c>
      <c r="Z2528">
        <f>IF(ISNUMBER('자료_거시'!$K2510),'자료_거시'!$K2510,Z2527)</f>
        <v/>
      </c>
      <c r="AA2528">
        <f>IF(AND(ISNUMBER('자료_거시'!$J2510),ISNUMBER('자료_거시'!$K2510)),IFERROR('자료_거시'!$K2510/INDEX($Z$21:$Z$4020,MATCH(EDATE('자료_거시'!$J2510,-'설정'!$B$17),'자료_거시'!$J$3:INDEX('자료_거시'!$J$3:$J$4002,$K$8),1))-1,""),"")</f>
        <v/>
      </c>
      <c r="AB2528">
        <f>IF(ISNUMBER(AA2528),'자료_거시'!$J2510,"")</f>
        <v/>
      </c>
      <c r="AC2528">
        <f>IF(ISNUMBER(AB2528),IF(AB2528&gt;$L$8,AA2528,""),"")</f>
        <v/>
      </c>
    </row>
    <row r="2529">
      <c r="S2529">
        <f>IF(ISNUMBER('자료_거시'!$E2511),'자료_거시'!$E2511,S2528)</f>
        <v/>
      </c>
      <c r="T2529">
        <f>IF(AND(ISNUMBER('자료_거시'!$D2511),ISNUMBER('자료_거시'!$E2511)),IFERROR('자료_거시'!$E2511-INDEX($S$21:$S$4020,MATCH(EDATE('자료_거시'!$D2511,-'설정'!$B$17),'자료_거시'!$D$3:INDEX('자료_거시'!$D$3:$D$4002,$K$6),1)),""),"")</f>
        <v/>
      </c>
      <c r="U2529">
        <f>IF(ISNUMBER(T2529),'자료_거시'!$D2511,"")</f>
        <v/>
      </c>
      <c r="V2529">
        <f>IF(ISNUMBER(U2529),IF(U2529&gt;$L$6,T2529,""),"")</f>
        <v/>
      </c>
      <c r="W2529">
        <f>IF(AND(ISNUMBER('자료_거시'!$G2511),ISNUMBER('자료_거시'!$H2511)),'자료_거시'!$H2511,"")</f>
        <v/>
      </c>
      <c r="X2529">
        <f>IF(ISNUMBER(W2529),'자료_거시'!$G2511,"")</f>
        <v/>
      </c>
      <c r="Y2529">
        <f>IF(ISNUMBER(X2529),IF(X2529&gt;$L$7,W2529,""),"")</f>
        <v/>
      </c>
      <c r="Z2529">
        <f>IF(ISNUMBER('자료_거시'!$K2511),'자료_거시'!$K2511,Z2528)</f>
        <v/>
      </c>
      <c r="AA2529">
        <f>IF(AND(ISNUMBER('자료_거시'!$J2511),ISNUMBER('자료_거시'!$K2511)),IFERROR('자료_거시'!$K2511/INDEX($Z$21:$Z$4020,MATCH(EDATE('자료_거시'!$J2511,-'설정'!$B$17),'자료_거시'!$J$3:INDEX('자료_거시'!$J$3:$J$4002,$K$8),1))-1,""),"")</f>
        <v/>
      </c>
      <c r="AB2529">
        <f>IF(ISNUMBER(AA2529),'자료_거시'!$J2511,"")</f>
        <v/>
      </c>
      <c r="AC2529">
        <f>IF(ISNUMBER(AB2529),IF(AB2529&gt;$L$8,AA2529,""),"")</f>
        <v/>
      </c>
    </row>
    <row r="2530">
      <c r="S2530">
        <f>IF(ISNUMBER('자료_거시'!$E2512),'자료_거시'!$E2512,S2529)</f>
        <v/>
      </c>
      <c r="T2530">
        <f>IF(AND(ISNUMBER('자료_거시'!$D2512),ISNUMBER('자료_거시'!$E2512)),IFERROR('자료_거시'!$E2512-INDEX($S$21:$S$4020,MATCH(EDATE('자료_거시'!$D2512,-'설정'!$B$17),'자료_거시'!$D$3:INDEX('자료_거시'!$D$3:$D$4002,$K$6),1)),""),"")</f>
        <v/>
      </c>
      <c r="U2530">
        <f>IF(ISNUMBER(T2530),'자료_거시'!$D2512,"")</f>
        <v/>
      </c>
      <c r="V2530">
        <f>IF(ISNUMBER(U2530),IF(U2530&gt;$L$6,T2530,""),"")</f>
        <v/>
      </c>
      <c r="W2530">
        <f>IF(AND(ISNUMBER('자료_거시'!$G2512),ISNUMBER('자료_거시'!$H2512)),'자료_거시'!$H2512,"")</f>
        <v/>
      </c>
      <c r="X2530">
        <f>IF(ISNUMBER(W2530),'자료_거시'!$G2512,"")</f>
        <v/>
      </c>
      <c r="Y2530">
        <f>IF(ISNUMBER(X2530),IF(X2530&gt;$L$7,W2530,""),"")</f>
        <v/>
      </c>
      <c r="Z2530">
        <f>IF(ISNUMBER('자료_거시'!$K2512),'자료_거시'!$K2512,Z2529)</f>
        <v/>
      </c>
      <c r="AA2530">
        <f>IF(AND(ISNUMBER('자료_거시'!$J2512),ISNUMBER('자료_거시'!$K2512)),IFERROR('자료_거시'!$K2512/INDEX($Z$21:$Z$4020,MATCH(EDATE('자료_거시'!$J2512,-'설정'!$B$17),'자료_거시'!$J$3:INDEX('자료_거시'!$J$3:$J$4002,$K$8),1))-1,""),"")</f>
        <v/>
      </c>
      <c r="AB2530">
        <f>IF(ISNUMBER(AA2530),'자료_거시'!$J2512,"")</f>
        <v/>
      </c>
      <c r="AC2530">
        <f>IF(ISNUMBER(AB2530),IF(AB2530&gt;$L$8,AA2530,""),"")</f>
        <v/>
      </c>
    </row>
    <row r="2531">
      <c r="S2531">
        <f>IF(ISNUMBER('자료_거시'!$E2513),'자료_거시'!$E2513,S2530)</f>
        <v/>
      </c>
      <c r="T2531">
        <f>IF(AND(ISNUMBER('자료_거시'!$D2513),ISNUMBER('자료_거시'!$E2513)),IFERROR('자료_거시'!$E2513-INDEX($S$21:$S$4020,MATCH(EDATE('자료_거시'!$D2513,-'설정'!$B$17),'자료_거시'!$D$3:INDEX('자료_거시'!$D$3:$D$4002,$K$6),1)),""),"")</f>
        <v/>
      </c>
      <c r="U2531">
        <f>IF(ISNUMBER(T2531),'자료_거시'!$D2513,"")</f>
        <v/>
      </c>
      <c r="V2531">
        <f>IF(ISNUMBER(U2531),IF(U2531&gt;$L$6,T2531,""),"")</f>
        <v/>
      </c>
      <c r="W2531">
        <f>IF(AND(ISNUMBER('자료_거시'!$G2513),ISNUMBER('자료_거시'!$H2513)),'자료_거시'!$H2513,"")</f>
        <v/>
      </c>
      <c r="X2531">
        <f>IF(ISNUMBER(W2531),'자료_거시'!$G2513,"")</f>
        <v/>
      </c>
      <c r="Y2531">
        <f>IF(ISNUMBER(X2531),IF(X2531&gt;$L$7,W2531,""),"")</f>
        <v/>
      </c>
      <c r="Z2531">
        <f>IF(ISNUMBER('자료_거시'!$K2513),'자료_거시'!$K2513,Z2530)</f>
        <v/>
      </c>
      <c r="AA2531">
        <f>IF(AND(ISNUMBER('자료_거시'!$J2513),ISNUMBER('자료_거시'!$K2513)),IFERROR('자료_거시'!$K2513/INDEX($Z$21:$Z$4020,MATCH(EDATE('자료_거시'!$J2513,-'설정'!$B$17),'자료_거시'!$J$3:INDEX('자료_거시'!$J$3:$J$4002,$K$8),1))-1,""),"")</f>
        <v/>
      </c>
      <c r="AB2531">
        <f>IF(ISNUMBER(AA2531),'자료_거시'!$J2513,"")</f>
        <v/>
      </c>
      <c r="AC2531">
        <f>IF(ISNUMBER(AB2531),IF(AB2531&gt;$L$8,AA2531,""),"")</f>
        <v/>
      </c>
    </row>
    <row r="2532">
      <c r="S2532">
        <f>IF(ISNUMBER('자료_거시'!$E2514),'자료_거시'!$E2514,S2531)</f>
        <v/>
      </c>
      <c r="T2532">
        <f>IF(AND(ISNUMBER('자료_거시'!$D2514),ISNUMBER('자료_거시'!$E2514)),IFERROR('자료_거시'!$E2514-INDEX($S$21:$S$4020,MATCH(EDATE('자료_거시'!$D2514,-'설정'!$B$17),'자료_거시'!$D$3:INDEX('자료_거시'!$D$3:$D$4002,$K$6),1)),""),"")</f>
        <v/>
      </c>
      <c r="U2532">
        <f>IF(ISNUMBER(T2532),'자료_거시'!$D2514,"")</f>
        <v/>
      </c>
      <c r="V2532">
        <f>IF(ISNUMBER(U2532),IF(U2532&gt;$L$6,T2532,""),"")</f>
        <v/>
      </c>
      <c r="W2532">
        <f>IF(AND(ISNUMBER('자료_거시'!$G2514),ISNUMBER('자료_거시'!$H2514)),'자료_거시'!$H2514,"")</f>
        <v/>
      </c>
      <c r="X2532">
        <f>IF(ISNUMBER(W2532),'자료_거시'!$G2514,"")</f>
        <v/>
      </c>
      <c r="Y2532">
        <f>IF(ISNUMBER(X2532),IF(X2532&gt;$L$7,W2532,""),"")</f>
        <v/>
      </c>
      <c r="Z2532">
        <f>IF(ISNUMBER('자료_거시'!$K2514),'자료_거시'!$K2514,Z2531)</f>
        <v/>
      </c>
      <c r="AA2532">
        <f>IF(AND(ISNUMBER('자료_거시'!$J2514),ISNUMBER('자료_거시'!$K2514)),IFERROR('자료_거시'!$K2514/INDEX($Z$21:$Z$4020,MATCH(EDATE('자료_거시'!$J2514,-'설정'!$B$17),'자료_거시'!$J$3:INDEX('자료_거시'!$J$3:$J$4002,$K$8),1))-1,""),"")</f>
        <v/>
      </c>
      <c r="AB2532">
        <f>IF(ISNUMBER(AA2532),'자료_거시'!$J2514,"")</f>
        <v/>
      </c>
      <c r="AC2532">
        <f>IF(ISNUMBER(AB2532),IF(AB2532&gt;$L$8,AA2532,""),"")</f>
        <v/>
      </c>
    </row>
    <row r="2533">
      <c r="S2533">
        <f>IF(ISNUMBER('자료_거시'!$E2515),'자료_거시'!$E2515,S2532)</f>
        <v/>
      </c>
      <c r="T2533">
        <f>IF(AND(ISNUMBER('자료_거시'!$D2515),ISNUMBER('자료_거시'!$E2515)),IFERROR('자료_거시'!$E2515-INDEX($S$21:$S$4020,MATCH(EDATE('자료_거시'!$D2515,-'설정'!$B$17),'자료_거시'!$D$3:INDEX('자료_거시'!$D$3:$D$4002,$K$6),1)),""),"")</f>
        <v/>
      </c>
      <c r="U2533">
        <f>IF(ISNUMBER(T2533),'자료_거시'!$D2515,"")</f>
        <v/>
      </c>
      <c r="V2533">
        <f>IF(ISNUMBER(U2533),IF(U2533&gt;$L$6,T2533,""),"")</f>
        <v/>
      </c>
      <c r="W2533">
        <f>IF(AND(ISNUMBER('자료_거시'!$G2515),ISNUMBER('자료_거시'!$H2515)),'자료_거시'!$H2515,"")</f>
        <v/>
      </c>
      <c r="X2533">
        <f>IF(ISNUMBER(W2533),'자료_거시'!$G2515,"")</f>
        <v/>
      </c>
      <c r="Y2533">
        <f>IF(ISNUMBER(X2533),IF(X2533&gt;$L$7,W2533,""),"")</f>
        <v/>
      </c>
      <c r="Z2533">
        <f>IF(ISNUMBER('자료_거시'!$K2515),'자료_거시'!$K2515,Z2532)</f>
        <v/>
      </c>
      <c r="AA2533">
        <f>IF(AND(ISNUMBER('자료_거시'!$J2515),ISNUMBER('자료_거시'!$K2515)),IFERROR('자료_거시'!$K2515/INDEX($Z$21:$Z$4020,MATCH(EDATE('자료_거시'!$J2515,-'설정'!$B$17),'자료_거시'!$J$3:INDEX('자료_거시'!$J$3:$J$4002,$K$8),1))-1,""),"")</f>
        <v/>
      </c>
      <c r="AB2533">
        <f>IF(ISNUMBER(AA2533),'자료_거시'!$J2515,"")</f>
        <v/>
      </c>
      <c r="AC2533">
        <f>IF(ISNUMBER(AB2533),IF(AB2533&gt;$L$8,AA2533,""),"")</f>
        <v/>
      </c>
    </row>
    <row r="2534">
      <c r="S2534">
        <f>IF(ISNUMBER('자료_거시'!$E2516),'자료_거시'!$E2516,S2533)</f>
        <v/>
      </c>
      <c r="T2534">
        <f>IF(AND(ISNUMBER('자료_거시'!$D2516),ISNUMBER('자료_거시'!$E2516)),IFERROR('자료_거시'!$E2516-INDEX($S$21:$S$4020,MATCH(EDATE('자료_거시'!$D2516,-'설정'!$B$17),'자료_거시'!$D$3:INDEX('자료_거시'!$D$3:$D$4002,$K$6),1)),""),"")</f>
        <v/>
      </c>
      <c r="U2534">
        <f>IF(ISNUMBER(T2534),'자료_거시'!$D2516,"")</f>
        <v/>
      </c>
      <c r="V2534">
        <f>IF(ISNUMBER(U2534),IF(U2534&gt;$L$6,T2534,""),"")</f>
        <v/>
      </c>
      <c r="W2534">
        <f>IF(AND(ISNUMBER('자료_거시'!$G2516),ISNUMBER('자료_거시'!$H2516)),'자료_거시'!$H2516,"")</f>
        <v/>
      </c>
      <c r="X2534">
        <f>IF(ISNUMBER(W2534),'자료_거시'!$G2516,"")</f>
        <v/>
      </c>
      <c r="Y2534">
        <f>IF(ISNUMBER(X2534),IF(X2534&gt;$L$7,W2534,""),"")</f>
        <v/>
      </c>
      <c r="Z2534">
        <f>IF(ISNUMBER('자료_거시'!$K2516),'자료_거시'!$K2516,Z2533)</f>
        <v/>
      </c>
      <c r="AA2534">
        <f>IF(AND(ISNUMBER('자료_거시'!$J2516),ISNUMBER('자료_거시'!$K2516)),IFERROR('자료_거시'!$K2516/INDEX($Z$21:$Z$4020,MATCH(EDATE('자료_거시'!$J2516,-'설정'!$B$17),'자료_거시'!$J$3:INDEX('자료_거시'!$J$3:$J$4002,$K$8),1))-1,""),"")</f>
        <v/>
      </c>
      <c r="AB2534">
        <f>IF(ISNUMBER(AA2534),'자료_거시'!$J2516,"")</f>
        <v/>
      </c>
      <c r="AC2534">
        <f>IF(ISNUMBER(AB2534),IF(AB2534&gt;$L$8,AA2534,""),"")</f>
        <v/>
      </c>
    </row>
    <row r="2535">
      <c r="S2535">
        <f>IF(ISNUMBER('자료_거시'!$E2517),'자료_거시'!$E2517,S2534)</f>
        <v/>
      </c>
      <c r="T2535">
        <f>IF(AND(ISNUMBER('자료_거시'!$D2517),ISNUMBER('자료_거시'!$E2517)),IFERROR('자료_거시'!$E2517-INDEX($S$21:$S$4020,MATCH(EDATE('자료_거시'!$D2517,-'설정'!$B$17),'자료_거시'!$D$3:INDEX('자료_거시'!$D$3:$D$4002,$K$6),1)),""),"")</f>
        <v/>
      </c>
      <c r="U2535">
        <f>IF(ISNUMBER(T2535),'자료_거시'!$D2517,"")</f>
        <v/>
      </c>
      <c r="V2535">
        <f>IF(ISNUMBER(U2535),IF(U2535&gt;$L$6,T2535,""),"")</f>
        <v/>
      </c>
      <c r="W2535">
        <f>IF(AND(ISNUMBER('자료_거시'!$G2517),ISNUMBER('자료_거시'!$H2517)),'자료_거시'!$H2517,"")</f>
        <v/>
      </c>
      <c r="X2535">
        <f>IF(ISNUMBER(W2535),'자료_거시'!$G2517,"")</f>
        <v/>
      </c>
      <c r="Y2535">
        <f>IF(ISNUMBER(X2535),IF(X2535&gt;$L$7,W2535,""),"")</f>
        <v/>
      </c>
      <c r="Z2535">
        <f>IF(ISNUMBER('자료_거시'!$K2517),'자료_거시'!$K2517,Z2534)</f>
        <v/>
      </c>
      <c r="AA2535">
        <f>IF(AND(ISNUMBER('자료_거시'!$J2517),ISNUMBER('자료_거시'!$K2517)),IFERROR('자료_거시'!$K2517/INDEX($Z$21:$Z$4020,MATCH(EDATE('자료_거시'!$J2517,-'설정'!$B$17),'자료_거시'!$J$3:INDEX('자료_거시'!$J$3:$J$4002,$K$8),1))-1,""),"")</f>
        <v/>
      </c>
      <c r="AB2535">
        <f>IF(ISNUMBER(AA2535),'자료_거시'!$J2517,"")</f>
        <v/>
      </c>
      <c r="AC2535">
        <f>IF(ISNUMBER(AB2535),IF(AB2535&gt;$L$8,AA2535,""),"")</f>
        <v/>
      </c>
    </row>
    <row r="2536">
      <c r="S2536">
        <f>IF(ISNUMBER('자료_거시'!$E2518),'자료_거시'!$E2518,S2535)</f>
        <v/>
      </c>
      <c r="T2536">
        <f>IF(AND(ISNUMBER('자료_거시'!$D2518),ISNUMBER('자료_거시'!$E2518)),IFERROR('자료_거시'!$E2518-INDEX($S$21:$S$4020,MATCH(EDATE('자료_거시'!$D2518,-'설정'!$B$17),'자료_거시'!$D$3:INDEX('자료_거시'!$D$3:$D$4002,$K$6),1)),""),"")</f>
        <v/>
      </c>
      <c r="U2536">
        <f>IF(ISNUMBER(T2536),'자료_거시'!$D2518,"")</f>
        <v/>
      </c>
      <c r="V2536">
        <f>IF(ISNUMBER(U2536),IF(U2536&gt;$L$6,T2536,""),"")</f>
        <v/>
      </c>
      <c r="W2536">
        <f>IF(AND(ISNUMBER('자료_거시'!$G2518),ISNUMBER('자료_거시'!$H2518)),'자료_거시'!$H2518,"")</f>
        <v/>
      </c>
      <c r="X2536">
        <f>IF(ISNUMBER(W2536),'자료_거시'!$G2518,"")</f>
        <v/>
      </c>
      <c r="Y2536">
        <f>IF(ISNUMBER(X2536),IF(X2536&gt;$L$7,W2536,""),"")</f>
        <v/>
      </c>
      <c r="Z2536">
        <f>IF(ISNUMBER('자료_거시'!$K2518),'자료_거시'!$K2518,Z2535)</f>
        <v/>
      </c>
      <c r="AA2536">
        <f>IF(AND(ISNUMBER('자료_거시'!$J2518),ISNUMBER('자료_거시'!$K2518)),IFERROR('자료_거시'!$K2518/INDEX($Z$21:$Z$4020,MATCH(EDATE('자료_거시'!$J2518,-'설정'!$B$17),'자료_거시'!$J$3:INDEX('자료_거시'!$J$3:$J$4002,$K$8),1))-1,""),"")</f>
        <v/>
      </c>
      <c r="AB2536">
        <f>IF(ISNUMBER(AA2536),'자료_거시'!$J2518,"")</f>
        <v/>
      </c>
      <c r="AC2536">
        <f>IF(ISNUMBER(AB2536),IF(AB2536&gt;$L$8,AA2536,""),"")</f>
        <v/>
      </c>
    </row>
    <row r="2537">
      <c r="S2537">
        <f>IF(ISNUMBER('자료_거시'!$E2519),'자료_거시'!$E2519,S2536)</f>
        <v/>
      </c>
      <c r="T2537">
        <f>IF(AND(ISNUMBER('자료_거시'!$D2519),ISNUMBER('자료_거시'!$E2519)),IFERROR('자료_거시'!$E2519-INDEX($S$21:$S$4020,MATCH(EDATE('자료_거시'!$D2519,-'설정'!$B$17),'자료_거시'!$D$3:INDEX('자료_거시'!$D$3:$D$4002,$K$6),1)),""),"")</f>
        <v/>
      </c>
      <c r="U2537">
        <f>IF(ISNUMBER(T2537),'자료_거시'!$D2519,"")</f>
        <v/>
      </c>
      <c r="V2537">
        <f>IF(ISNUMBER(U2537),IF(U2537&gt;$L$6,T2537,""),"")</f>
        <v/>
      </c>
      <c r="W2537">
        <f>IF(AND(ISNUMBER('자료_거시'!$G2519),ISNUMBER('자료_거시'!$H2519)),'자료_거시'!$H2519,"")</f>
        <v/>
      </c>
      <c r="X2537">
        <f>IF(ISNUMBER(W2537),'자료_거시'!$G2519,"")</f>
        <v/>
      </c>
      <c r="Y2537">
        <f>IF(ISNUMBER(X2537),IF(X2537&gt;$L$7,W2537,""),"")</f>
        <v/>
      </c>
      <c r="Z2537">
        <f>IF(ISNUMBER('자료_거시'!$K2519),'자료_거시'!$K2519,Z2536)</f>
        <v/>
      </c>
      <c r="AA2537">
        <f>IF(AND(ISNUMBER('자료_거시'!$J2519),ISNUMBER('자료_거시'!$K2519)),IFERROR('자료_거시'!$K2519/INDEX($Z$21:$Z$4020,MATCH(EDATE('자료_거시'!$J2519,-'설정'!$B$17),'자료_거시'!$J$3:INDEX('자료_거시'!$J$3:$J$4002,$K$8),1))-1,""),"")</f>
        <v/>
      </c>
      <c r="AB2537">
        <f>IF(ISNUMBER(AA2537),'자료_거시'!$J2519,"")</f>
        <v/>
      </c>
      <c r="AC2537">
        <f>IF(ISNUMBER(AB2537),IF(AB2537&gt;$L$8,AA2537,""),"")</f>
        <v/>
      </c>
    </row>
    <row r="2538">
      <c r="S2538">
        <f>IF(ISNUMBER('자료_거시'!$E2520),'자료_거시'!$E2520,S2537)</f>
        <v/>
      </c>
      <c r="T2538">
        <f>IF(AND(ISNUMBER('자료_거시'!$D2520),ISNUMBER('자료_거시'!$E2520)),IFERROR('자료_거시'!$E2520-INDEX($S$21:$S$4020,MATCH(EDATE('자료_거시'!$D2520,-'설정'!$B$17),'자료_거시'!$D$3:INDEX('자료_거시'!$D$3:$D$4002,$K$6),1)),""),"")</f>
        <v/>
      </c>
      <c r="U2538">
        <f>IF(ISNUMBER(T2538),'자료_거시'!$D2520,"")</f>
        <v/>
      </c>
      <c r="V2538">
        <f>IF(ISNUMBER(U2538),IF(U2538&gt;$L$6,T2538,""),"")</f>
        <v/>
      </c>
      <c r="W2538">
        <f>IF(AND(ISNUMBER('자료_거시'!$G2520),ISNUMBER('자료_거시'!$H2520)),'자료_거시'!$H2520,"")</f>
        <v/>
      </c>
      <c r="X2538">
        <f>IF(ISNUMBER(W2538),'자료_거시'!$G2520,"")</f>
        <v/>
      </c>
      <c r="Y2538">
        <f>IF(ISNUMBER(X2538),IF(X2538&gt;$L$7,W2538,""),"")</f>
        <v/>
      </c>
      <c r="Z2538">
        <f>IF(ISNUMBER('자료_거시'!$K2520),'자료_거시'!$K2520,Z2537)</f>
        <v/>
      </c>
      <c r="AA2538">
        <f>IF(AND(ISNUMBER('자료_거시'!$J2520),ISNUMBER('자료_거시'!$K2520)),IFERROR('자료_거시'!$K2520/INDEX($Z$21:$Z$4020,MATCH(EDATE('자료_거시'!$J2520,-'설정'!$B$17),'자료_거시'!$J$3:INDEX('자료_거시'!$J$3:$J$4002,$K$8),1))-1,""),"")</f>
        <v/>
      </c>
      <c r="AB2538">
        <f>IF(ISNUMBER(AA2538),'자료_거시'!$J2520,"")</f>
        <v/>
      </c>
      <c r="AC2538">
        <f>IF(ISNUMBER(AB2538),IF(AB2538&gt;$L$8,AA2538,""),"")</f>
        <v/>
      </c>
    </row>
    <row r="2539">
      <c r="S2539">
        <f>IF(ISNUMBER('자료_거시'!$E2521),'자료_거시'!$E2521,S2538)</f>
        <v/>
      </c>
      <c r="T2539">
        <f>IF(AND(ISNUMBER('자료_거시'!$D2521),ISNUMBER('자료_거시'!$E2521)),IFERROR('자료_거시'!$E2521-INDEX($S$21:$S$4020,MATCH(EDATE('자료_거시'!$D2521,-'설정'!$B$17),'자료_거시'!$D$3:INDEX('자료_거시'!$D$3:$D$4002,$K$6),1)),""),"")</f>
        <v/>
      </c>
      <c r="U2539">
        <f>IF(ISNUMBER(T2539),'자료_거시'!$D2521,"")</f>
        <v/>
      </c>
      <c r="V2539">
        <f>IF(ISNUMBER(U2539),IF(U2539&gt;$L$6,T2539,""),"")</f>
        <v/>
      </c>
      <c r="W2539">
        <f>IF(AND(ISNUMBER('자료_거시'!$G2521),ISNUMBER('자료_거시'!$H2521)),'자료_거시'!$H2521,"")</f>
        <v/>
      </c>
      <c r="X2539">
        <f>IF(ISNUMBER(W2539),'자료_거시'!$G2521,"")</f>
        <v/>
      </c>
      <c r="Y2539">
        <f>IF(ISNUMBER(X2539),IF(X2539&gt;$L$7,W2539,""),"")</f>
        <v/>
      </c>
      <c r="Z2539">
        <f>IF(ISNUMBER('자료_거시'!$K2521),'자료_거시'!$K2521,Z2538)</f>
        <v/>
      </c>
      <c r="AA2539">
        <f>IF(AND(ISNUMBER('자료_거시'!$J2521),ISNUMBER('자료_거시'!$K2521)),IFERROR('자료_거시'!$K2521/INDEX($Z$21:$Z$4020,MATCH(EDATE('자료_거시'!$J2521,-'설정'!$B$17),'자료_거시'!$J$3:INDEX('자료_거시'!$J$3:$J$4002,$K$8),1))-1,""),"")</f>
        <v/>
      </c>
      <c r="AB2539">
        <f>IF(ISNUMBER(AA2539),'자료_거시'!$J2521,"")</f>
        <v/>
      </c>
      <c r="AC2539">
        <f>IF(ISNUMBER(AB2539),IF(AB2539&gt;$L$8,AA2539,""),"")</f>
        <v/>
      </c>
    </row>
    <row r="2540">
      <c r="S2540">
        <f>IF(ISNUMBER('자료_거시'!$E2522),'자료_거시'!$E2522,S2539)</f>
        <v/>
      </c>
      <c r="T2540">
        <f>IF(AND(ISNUMBER('자료_거시'!$D2522),ISNUMBER('자료_거시'!$E2522)),IFERROR('자료_거시'!$E2522-INDEX($S$21:$S$4020,MATCH(EDATE('자료_거시'!$D2522,-'설정'!$B$17),'자료_거시'!$D$3:INDEX('자료_거시'!$D$3:$D$4002,$K$6),1)),""),"")</f>
        <v/>
      </c>
      <c r="U2540">
        <f>IF(ISNUMBER(T2540),'자료_거시'!$D2522,"")</f>
        <v/>
      </c>
      <c r="V2540">
        <f>IF(ISNUMBER(U2540),IF(U2540&gt;$L$6,T2540,""),"")</f>
        <v/>
      </c>
      <c r="W2540">
        <f>IF(AND(ISNUMBER('자료_거시'!$G2522),ISNUMBER('자료_거시'!$H2522)),'자료_거시'!$H2522,"")</f>
        <v/>
      </c>
      <c r="X2540">
        <f>IF(ISNUMBER(W2540),'자료_거시'!$G2522,"")</f>
        <v/>
      </c>
      <c r="Y2540">
        <f>IF(ISNUMBER(X2540),IF(X2540&gt;$L$7,W2540,""),"")</f>
        <v/>
      </c>
      <c r="Z2540">
        <f>IF(ISNUMBER('자료_거시'!$K2522),'자료_거시'!$K2522,Z2539)</f>
        <v/>
      </c>
      <c r="AA2540">
        <f>IF(AND(ISNUMBER('자료_거시'!$J2522),ISNUMBER('자료_거시'!$K2522)),IFERROR('자료_거시'!$K2522/INDEX($Z$21:$Z$4020,MATCH(EDATE('자료_거시'!$J2522,-'설정'!$B$17),'자료_거시'!$J$3:INDEX('자료_거시'!$J$3:$J$4002,$K$8),1))-1,""),"")</f>
        <v/>
      </c>
      <c r="AB2540">
        <f>IF(ISNUMBER(AA2540),'자료_거시'!$J2522,"")</f>
        <v/>
      </c>
      <c r="AC2540">
        <f>IF(ISNUMBER(AB2540),IF(AB2540&gt;$L$8,AA2540,""),"")</f>
        <v/>
      </c>
    </row>
    <row r="2541">
      <c r="S2541">
        <f>IF(ISNUMBER('자료_거시'!$E2523),'자료_거시'!$E2523,S2540)</f>
        <v/>
      </c>
      <c r="T2541">
        <f>IF(AND(ISNUMBER('자료_거시'!$D2523),ISNUMBER('자료_거시'!$E2523)),IFERROR('자료_거시'!$E2523-INDEX($S$21:$S$4020,MATCH(EDATE('자료_거시'!$D2523,-'설정'!$B$17),'자료_거시'!$D$3:INDEX('자료_거시'!$D$3:$D$4002,$K$6),1)),""),"")</f>
        <v/>
      </c>
      <c r="U2541">
        <f>IF(ISNUMBER(T2541),'자료_거시'!$D2523,"")</f>
        <v/>
      </c>
      <c r="V2541">
        <f>IF(ISNUMBER(U2541),IF(U2541&gt;$L$6,T2541,""),"")</f>
        <v/>
      </c>
      <c r="W2541">
        <f>IF(AND(ISNUMBER('자료_거시'!$G2523),ISNUMBER('자료_거시'!$H2523)),'자료_거시'!$H2523,"")</f>
        <v/>
      </c>
      <c r="X2541">
        <f>IF(ISNUMBER(W2541),'자료_거시'!$G2523,"")</f>
        <v/>
      </c>
      <c r="Y2541">
        <f>IF(ISNUMBER(X2541),IF(X2541&gt;$L$7,W2541,""),"")</f>
        <v/>
      </c>
      <c r="Z2541">
        <f>IF(ISNUMBER('자료_거시'!$K2523),'자료_거시'!$K2523,Z2540)</f>
        <v/>
      </c>
      <c r="AA2541">
        <f>IF(AND(ISNUMBER('자료_거시'!$J2523),ISNUMBER('자료_거시'!$K2523)),IFERROR('자료_거시'!$K2523/INDEX($Z$21:$Z$4020,MATCH(EDATE('자료_거시'!$J2523,-'설정'!$B$17),'자료_거시'!$J$3:INDEX('자료_거시'!$J$3:$J$4002,$K$8),1))-1,""),"")</f>
        <v/>
      </c>
      <c r="AB2541">
        <f>IF(ISNUMBER(AA2541),'자료_거시'!$J2523,"")</f>
        <v/>
      </c>
      <c r="AC2541">
        <f>IF(ISNUMBER(AB2541),IF(AB2541&gt;$L$8,AA2541,""),"")</f>
        <v/>
      </c>
    </row>
    <row r="2542">
      <c r="S2542">
        <f>IF(ISNUMBER('자료_거시'!$E2524),'자료_거시'!$E2524,S2541)</f>
        <v/>
      </c>
      <c r="T2542">
        <f>IF(AND(ISNUMBER('자료_거시'!$D2524),ISNUMBER('자료_거시'!$E2524)),IFERROR('자료_거시'!$E2524-INDEX($S$21:$S$4020,MATCH(EDATE('자료_거시'!$D2524,-'설정'!$B$17),'자료_거시'!$D$3:INDEX('자료_거시'!$D$3:$D$4002,$K$6),1)),""),"")</f>
        <v/>
      </c>
      <c r="U2542">
        <f>IF(ISNUMBER(T2542),'자료_거시'!$D2524,"")</f>
        <v/>
      </c>
      <c r="V2542">
        <f>IF(ISNUMBER(U2542),IF(U2542&gt;$L$6,T2542,""),"")</f>
        <v/>
      </c>
      <c r="W2542">
        <f>IF(AND(ISNUMBER('자료_거시'!$G2524),ISNUMBER('자료_거시'!$H2524)),'자료_거시'!$H2524,"")</f>
        <v/>
      </c>
      <c r="X2542">
        <f>IF(ISNUMBER(W2542),'자료_거시'!$G2524,"")</f>
        <v/>
      </c>
      <c r="Y2542">
        <f>IF(ISNUMBER(X2542),IF(X2542&gt;$L$7,W2542,""),"")</f>
        <v/>
      </c>
      <c r="Z2542">
        <f>IF(ISNUMBER('자료_거시'!$K2524),'자료_거시'!$K2524,Z2541)</f>
        <v/>
      </c>
      <c r="AA2542">
        <f>IF(AND(ISNUMBER('자료_거시'!$J2524),ISNUMBER('자료_거시'!$K2524)),IFERROR('자료_거시'!$K2524/INDEX($Z$21:$Z$4020,MATCH(EDATE('자료_거시'!$J2524,-'설정'!$B$17),'자료_거시'!$J$3:INDEX('자료_거시'!$J$3:$J$4002,$K$8),1))-1,""),"")</f>
        <v/>
      </c>
      <c r="AB2542">
        <f>IF(ISNUMBER(AA2542),'자료_거시'!$J2524,"")</f>
        <v/>
      </c>
      <c r="AC2542">
        <f>IF(ISNUMBER(AB2542),IF(AB2542&gt;$L$8,AA2542,""),"")</f>
        <v/>
      </c>
    </row>
    <row r="2543">
      <c r="S2543">
        <f>IF(ISNUMBER('자료_거시'!$E2525),'자료_거시'!$E2525,S2542)</f>
        <v/>
      </c>
      <c r="T2543">
        <f>IF(AND(ISNUMBER('자료_거시'!$D2525),ISNUMBER('자료_거시'!$E2525)),IFERROR('자료_거시'!$E2525-INDEX($S$21:$S$4020,MATCH(EDATE('자료_거시'!$D2525,-'설정'!$B$17),'자료_거시'!$D$3:INDEX('자료_거시'!$D$3:$D$4002,$K$6),1)),""),"")</f>
        <v/>
      </c>
      <c r="U2543">
        <f>IF(ISNUMBER(T2543),'자료_거시'!$D2525,"")</f>
        <v/>
      </c>
      <c r="V2543">
        <f>IF(ISNUMBER(U2543),IF(U2543&gt;$L$6,T2543,""),"")</f>
        <v/>
      </c>
      <c r="W2543">
        <f>IF(AND(ISNUMBER('자료_거시'!$G2525),ISNUMBER('자료_거시'!$H2525)),'자료_거시'!$H2525,"")</f>
        <v/>
      </c>
      <c r="X2543">
        <f>IF(ISNUMBER(W2543),'자료_거시'!$G2525,"")</f>
        <v/>
      </c>
      <c r="Y2543">
        <f>IF(ISNUMBER(X2543),IF(X2543&gt;$L$7,W2543,""),"")</f>
        <v/>
      </c>
      <c r="Z2543">
        <f>IF(ISNUMBER('자료_거시'!$K2525),'자료_거시'!$K2525,Z2542)</f>
        <v/>
      </c>
      <c r="AA2543">
        <f>IF(AND(ISNUMBER('자료_거시'!$J2525),ISNUMBER('자료_거시'!$K2525)),IFERROR('자료_거시'!$K2525/INDEX($Z$21:$Z$4020,MATCH(EDATE('자료_거시'!$J2525,-'설정'!$B$17),'자료_거시'!$J$3:INDEX('자료_거시'!$J$3:$J$4002,$K$8),1))-1,""),"")</f>
        <v/>
      </c>
      <c r="AB2543">
        <f>IF(ISNUMBER(AA2543),'자료_거시'!$J2525,"")</f>
        <v/>
      </c>
      <c r="AC2543">
        <f>IF(ISNUMBER(AB2543),IF(AB2543&gt;$L$8,AA2543,""),"")</f>
        <v/>
      </c>
    </row>
    <row r="2544">
      <c r="S2544">
        <f>IF(ISNUMBER('자료_거시'!$E2526),'자료_거시'!$E2526,S2543)</f>
        <v/>
      </c>
      <c r="T2544">
        <f>IF(AND(ISNUMBER('자료_거시'!$D2526),ISNUMBER('자료_거시'!$E2526)),IFERROR('자료_거시'!$E2526-INDEX($S$21:$S$4020,MATCH(EDATE('자료_거시'!$D2526,-'설정'!$B$17),'자료_거시'!$D$3:INDEX('자료_거시'!$D$3:$D$4002,$K$6),1)),""),"")</f>
        <v/>
      </c>
      <c r="U2544">
        <f>IF(ISNUMBER(T2544),'자료_거시'!$D2526,"")</f>
        <v/>
      </c>
      <c r="V2544">
        <f>IF(ISNUMBER(U2544),IF(U2544&gt;$L$6,T2544,""),"")</f>
        <v/>
      </c>
      <c r="W2544">
        <f>IF(AND(ISNUMBER('자료_거시'!$G2526),ISNUMBER('자료_거시'!$H2526)),'자료_거시'!$H2526,"")</f>
        <v/>
      </c>
      <c r="X2544">
        <f>IF(ISNUMBER(W2544),'자료_거시'!$G2526,"")</f>
        <v/>
      </c>
      <c r="Y2544">
        <f>IF(ISNUMBER(X2544),IF(X2544&gt;$L$7,W2544,""),"")</f>
        <v/>
      </c>
      <c r="Z2544">
        <f>IF(ISNUMBER('자료_거시'!$K2526),'자료_거시'!$K2526,Z2543)</f>
        <v/>
      </c>
      <c r="AA2544">
        <f>IF(AND(ISNUMBER('자료_거시'!$J2526),ISNUMBER('자료_거시'!$K2526)),IFERROR('자료_거시'!$K2526/INDEX($Z$21:$Z$4020,MATCH(EDATE('자료_거시'!$J2526,-'설정'!$B$17),'자료_거시'!$J$3:INDEX('자료_거시'!$J$3:$J$4002,$K$8),1))-1,""),"")</f>
        <v/>
      </c>
      <c r="AB2544">
        <f>IF(ISNUMBER(AA2544),'자료_거시'!$J2526,"")</f>
        <v/>
      </c>
      <c r="AC2544">
        <f>IF(ISNUMBER(AB2544),IF(AB2544&gt;$L$8,AA2544,""),"")</f>
        <v/>
      </c>
    </row>
    <row r="2545">
      <c r="S2545">
        <f>IF(ISNUMBER('자료_거시'!$E2527),'자료_거시'!$E2527,S2544)</f>
        <v/>
      </c>
      <c r="T2545">
        <f>IF(AND(ISNUMBER('자료_거시'!$D2527),ISNUMBER('자료_거시'!$E2527)),IFERROR('자료_거시'!$E2527-INDEX($S$21:$S$4020,MATCH(EDATE('자료_거시'!$D2527,-'설정'!$B$17),'자료_거시'!$D$3:INDEX('자료_거시'!$D$3:$D$4002,$K$6),1)),""),"")</f>
        <v/>
      </c>
      <c r="U2545">
        <f>IF(ISNUMBER(T2545),'자료_거시'!$D2527,"")</f>
        <v/>
      </c>
      <c r="V2545">
        <f>IF(ISNUMBER(U2545),IF(U2545&gt;$L$6,T2545,""),"")</f>
        <v/>
      </c>
      <c r="W2545">
        <f>IF(AND(ISNUMBER('자료_거시'!$G2527),ISNUMBER('자료_거시'!$H2527)),'자료_거시'!$H2527,"")</f>
        <v/>
      </c>
      <c r="X2545">
        <f>IF(ISNUMBER(W2545),'자료_거시'!$G2527,"")</f>
        <v/>
      </c>
      <c r="Y2545">
        <f>IF(ISNUMBER(X2545),IF(X2545&gt;$L$7,W2545,""),"")</f>
        <v/>
      </c>
      <c r="Z2545">
        <f>IF(ISNUMBER('자료_거시'!$K2527),'자료_거시'!$K2527,Z2544)</f>
        <v/>
      </c>
      <c r="AA2545">
        <f>IF(AND(ISNUMBER('자료_거시'!$J2527),ISNUMBER('자료_거시'!$K2527)),IFERROR('자료_거시'!$K2527/INDEX($Z$21:$Z$4020,MATCH(EDATE('자료_거시'!$J2527,-'설정'!$B$17),'자료_거시'!$J$3:INDEX('자료_거시'!$J$3:$J$4002,$K$8),1))-1,""),"")</f>
        <v/>
      </c>
      <c r="AB2545">
        <f>IF(ISNUMBER(AA2545),'자료_거시'!$J2527,"")</f>
        <v/>
      </c>
      <c r="AC2545">
        <f>IF(ISNUMBER(AB2545),IF(AB2545&gt;$L$8,AA2545,""),"")</f>
        <v/>
      </c>
    </row>
    <row r="2546">
      <c r="S2546">
        <f>IF(ISNUMBER('자료_거시'!$E2528),'자료_거시'!$E2528,S2545)</f>
        <v/>
      </c>
      <c r="T2546">
        <f>IF(AND(ISNUMBER('자료_거시'!$D2528),ISNUMBER('자료_거시'!$E2528)),IFERROR('자료_거시'!$E2528-INDEX($S$21:$S$4020,MATCH(EDATE('자료_거시'!$D2528,-'설정'!$B$17),'자료_거시'!$D$3:INDEX('자료_거시'!$D$3:$D$4002,$K$6),1)),""),"")</f>
        <v/>
      </c>
      <c r="U2546">
        <f>IF(ISNUMBER(T2546),'자료_거시'!$D2528,"")</f>
        <v/>
      </c>
      <c r="V2546">
        <f>IF(ISNUMBER(U2546),IF(U2546&gt;$L$6,T2546,""),"")</f>
        <v/>
      </c>
      <c r="W2546">
        <f>IF(AND(ISNUMBER('자료_거시'!$G2528),ISNUMBER('자료_거시'!$H2528)),'자료_거시'!$H2528,"")</f>
        <v/>
      </c>
      <c r="X2546">
        <f>IF(ISNUMBER(W2546),'자료_거시'!$G2528,"")</f>
        <v/>
      </c>
      <c r="Y2546">
        <f>IF(ISNUMBER(X2546),IF(X2546&gt;$L$7,W2546,""),"")</f>
        <v/>
      </c>
      <c r="Z2546">
        <f>IF(ISNUMBER('자료_거시'!$K2528),'자료_거시'!$K2528,Z2545)</f>
        <v/>
      </c>
      <c r="AA2546">
        <f>IF(AND(ISNUMBER('자료_거시'!$J2528),ISNUMBER('자료_거시'!$K2528)),IFERROR('자료_거시'!$K2528/INDEX($Z$21:$Z$4020,MATCH(EDATE('자료_거시'!$J2528,-'설정'!$B$17),'자료_거시'!$J$3:INDEX('자료_거시'!$J$3:$J$4002,$K$8),1))-1,""),"")</f>
        <v/>
      </c>
      <c r="AB2546">
        <f>IF(ISNUMBER(AA2546),'자료_거시'!$J2528,"")</f>
        <v/>
      </c>
      <c r="AC2546">
        <f>IF(ISNUMBER(AB2546),IF(AB2546&gt;$L$8,AA2546,""),"")</f>
        <v/>
      </c>
    </row>
    <row r="2547">
      <c r="S2547">
        <f>IF(ISNUMBER('자료_거시'!$E2529),'자료_거시'!$E2529,S2546)</f>
        <v/>
      </c>
      <c r="T2547">
        <f>IF(AND(ISNUMBER('자료_거시'!$D2529),ISNUMBER('자료_거시'!$E2529)),IFERROR('자료_거시'!$E2529-INDEX($S$21:$S$4020,MATCH(EDATE('자료_거시'!$D2529,-'설정'!$B$17),'자료_거시'!$D$3:INDEX('자료_거시'!$D$3:$D$4002,$K$6),1)),""),"")</f>
        <v/>
      </c>
      <c r="U2547">
        <f>IF(ISNUMBER(T2547),'자료_거시'!$D2529,"")</f>
        <v/>
      </c>
      <c r="V2547">
        <f>IF(ISNUMBER(U2547),IF(U2547&gt;$L$6,T2547,""),"")</f>
        <v/>
      </c>
      <c r="W2547">
        <f>IF(AND(ISNUMBER('자료_거시'!$G2529),ISNUMBER('자료_거시'!$H2529)),'자료_거시'!$H2529,"")</f>
        <v/>
      </c>
      <c r="X2547">
        <f>IF(ISNUMBER(W2547),'자료_거시'!$G2529,"")</f>
        <v/>
      </c>
      <c r="Y2547">
        <f>IF(ISNUMBER(X2547),IF(X2547&gt;$L$7,W2547,""),"")</f>
        <v/>
      </c>
      <c r="Z2547">
        <f>IF(ISNUMBER('자료_거시'!$K2529),'자료_거시'!$K2529,Z2546)</f>
        <v/>
      </c>
      <c r="AA2547">
        <f>IF(AND(ISNUMBER('자료_거시'!$J2529),ISNUMBER('자료_거시'!$K2529)),IFERROR('자료_거시'!$K2529/INDEX($Z$21:$Z$4020,MATCH(EDATE('자료_거시'!$J2529,-'설정'!$B$17),'자료_거시'!$J$3:INDEX('자료_거시'!$J$3:$J$4002,$K$8),1))-1,""),"")</f>
        <v/>
      </c>
      <c r="AB2547">
        <f>IF(ISNUMBER(AA2547),'자료_거시'!$J2529,"")</f>
        <v/>
      </c>
      <c r="AC2547">
        <f>IF(ISNUMBER(AB2547),IF(AB2547&gt;$L$8,AA2547,""),"")</f>
        <v/>
      </c>
    </row>
    <row r="2548">
      <c r="S2548">
        <f>IF(ISNUMBER('자료_거시'!$E2530),'자료_거시'!$E2530,S2547)</f>
        <v/>
      </c>
      <c r="T2548">
        <f>IF(AND(ISNUMBER('자료_거시'!$D2530),ISNUMBER('자료_거시'!$E2530)),IFERROR('자료_거시'!$E2530-INDEX($S$21:$S$4020,MATCH(EDATE('자료_거시'!$D2530,-'설정'!$B$17),'자료_거시'!$D$3:INDEX('자료_거시'!$D$3:$D$4002,$K$6),1)),""),"")</f>
        <v/>
      </c>
      <c r="U2548">
        <f>IF(ISNUMBER(T2548),'자료_거시'!$D2530,"")</f>
        <v/>
      </c>
      <c r="V2548">
        <f>IF(ISNUMBER(U2548),IF(U2548&gt;$L$6,T2548,""),"")</f>
        <v/>
      </c>
      <c r="W2548">
        <f>IF(AND(ISNUMBER('자료_거시'!$G2530),ISNUMBER('자료_거시'!$H2530)),'자료_거시'!$H2530,"")</f>
        <v/>
      </c>
      <c r="X2548">
        <f>IF(ISNUMBER(W2548),'자료_거시'!$G2530,"")</f>
        <v/>
      </c>
      <c r="Y2548">
        <f>IF(ISNUMBER(X2548),IF(X2548&gt;$L$7,W2548,""),"")</f>
        <v/>
      </c>
      <c r="Z2548">
        <f>IF(ISNUMBER('자료_거시'!$K2530),'자료_거시'!$K2530,Z2547)</f>
        <v/>
      </c>
      <c r="AA2548">
        <f>IF(AND(ISNUMBER('자료_거시'!$J2530),ISNUMBER('자료_거시'!$K2530)),IFERROR('자료_거시'!$K2530/INDEX($Z$21:$Z$4020,MATCH(EDATE('자료_거시'!$J2530,-'설정'!$B$17),'자료_거시'!$J$3:INDEX('자료_거시'!$J$3:$J$4002,$K$8),1))-1,""),"")</f>
        <v/>
      </c>
      <c r="AB2548">
        <f>IF(ISNUMBER(AA2548),'자료_거시'!$J2530,"")</f>
        <v/>
      </c>
      <c r="AC2548">
        <f>IF(ISNUMBER(AB2548),IF(AB2548&gt;$L$8,AA2548,""),"")</f>
        <v/>
      </c>
    </row>
    <row r="2549">
      <c r="S2549">
        <f>IF(ISNUMBER('자료_거시'!$E2531),'자료_거시'!$E2531,S2548)</f>
        <v/>
      </c>
      <c r="T2549">
        <f>IF(AND(ISNUMBER('자료_거시'!$D2531),ISNUMBER('자료_거시'!$E2531)),IFERROR('자료_거시'!$E2531-INDEX($S$21:$S$4020,MATCH(EDATE('자료_거시'!$D2531,-'설정'!$B$17),'자료_거시'!$D$3:INDEX('자료_거시'!$D$3:$D$4002,$K$6),1)),""),"")</f>
        <v/>
      </c>
      <c r="U2549">
        <f>IF(ISNUMBER(T2549),'자료_거시'!$D2531,"")</f>
        <v/>
      </c>
      <c r="V2549">
        <f>IF(ISNUMBER(U2549),IF(U2549&gt;$L$6,T2549,""),"")</f>
        <v/>
      </c>
      <c r="W2549">
        <f>IF(AND(ISNUMBER('자료_거시'!$G2531),ISNUMBER('자료_거시'!$H2531)),'자료_거시'!$H2531,"")</f>
        <v/>
      </c>
      <c r="X2549">
        <f>IF(ISNUMBER(W2549),'자료_거시'!$G2531,"")</f>
        <v/>
      </c>
      <c r="Y2549">
        <f>IF(ISNUMBER(X2549),IF(X2549&gt;$L$7,W2549,""),"")</f>
        <v/>
      </c>
      <c r="Z2549">
        <f>IF(ISNUMBER('자료_거시'!$K2531),'자료_거시'!$K2531,Z2548)</f>
        <v/>
      </c>
      <c r="AA2549">
        <f>IF(AND(ISNUMBER('자료_거시'!$J2531),ISNUMBER('자료_거시'!$K2531)),IFERROR('자료_거시'!$K2531/INDEX($Z$21:$Z$4020,MATCH(EDATE('자료_거시'!$J2531,-'설정'!$B$17),'자료_거시'!$J$3:INDEX('자료_거시'!$J$3:$J$4002,$K$8),1))-1,""),"")</f>
        <v/>
      </c>
      <c r="AB2549">
        <f>IF(ISNUMBER(AA2549),'자료_거시'!$J2531,"")</f>
        <v/>
      </c>
      <c r="AC2549">
        <f>IF(ISNUMBER(AB2549),IF(AB2549&gt;$L$8,AA2549,""),"")</f>
        <v/>
      </c>
    </row>
    <row r="2550">
      <c r="S2550">
        <f>IF(ISNUMBER('자료_거시'!$E2532),'자료_거시'!$E2532,S2549)</f>
        <v/>
      </c>
      <c r="T2550">
        <f>IF(AND(ISNUMBER('자료_거시'!$D2532),ISNUMBER('자료_거시'!$E2532)),IFERROR('자료_거시'!$E2532-INDEX($S$21:$S$4020,MATCH(EDATE('자료_거시'!$D2532,-'설정'!$B$17),'자료_거시'!$D$3:INDEX('자료_거시'!$D$3:$D$4002,$K$6),1)),""),"")</f>
        <v/>
      </c>
      <c r="U2550">
        <f>IF(ISNUMBER(T2550),'자료_거시'!$D2532,"")</f>
        <v/>
      </c>
      <c r="V2550">
        <f>IF(ISNUMBER(U2550),IF(U2550&gt;$L$6,T2550,""),"")</f>
        <v/>
      </c>
      <c r="W2550">
        <f>IF(AND(ISNUMBER('자료_거시'!$G2532),ISNUMBER('자료_거시'!$H2532)),'자료_거시'!$H2532,"")</f>
        <v/>
      </c>
      <c r="X2550">
        <f>IF(ISNUMBER(W2550),'자료_거시'!$G2532,"")</f>
        <v/>
      </c>
      <c r="Y2550">
        <f>IF(ISNUMBER(X2550),IF(X2550&gt;$L$7,W2550,""),"")</f>
        <v/>
      </c>
      <c r="Z2550">
        <f>IF(ISNUMBER('자료_거시'!$K2532),'자료_거시'!$K2532,Z2549)</f>
        <v/>
      </c>
      <c r="AA2550">
        <f>IF(AND(ISNUMBER('자료_거시'!$J2532),ISNUMBER('자료_거시'!$K2532)),IFERROR('자료_거시'!$K2532/INDEX($Z$21:$Z$4020,MATCH(EDATE('자료_거시'!$J2532,-'설정'!$B$17),'자료_거시'!$J$3:INDEX('자료_거시'!$J$3:$J$4002,$K$8),1))-1,""),"")</f>
        <v/>
      </c>
      <c r="AB2550">
        <f>IF(ISNUMBER(AA2550),'자료_거시'!$J2532,"")</f>
        <v/>
      </c>
      <c r="AC2550">
        <f>IF(ISNUMBER(AB2550),IF(AB2550&gt;$L$8,AA2550,""),"")</f>
        <v/>
      </c>
    </row>
    <row r="2551">
      <c r="S2551">
        <f>IF(ISNUMBER('자료_거시'!$E2533),'자료_거시'!$E2533,S2550)</f>
        <v/>
      </c>
      <c r="T2551">
        <f>IF(AND(ISNUMBER('자료_거시'!$D2533),ISNUMBER('자료_거시'!$E2533)),IFERROR('자료_거시'!$E2533-INDEX($S$21:$S$4020,MATCH(EDATE('자료_거시'!$D2533,-'설정'!$B$17),'자료_거시'!$D$3:INDEX('자료_거시'!$D$3:$D$4002,$K$6),1)),""),"")</f>
        <v/>
      </c>
      <c r="U2551">
        <f>IF(ISNUMBER(T2551),'자료_거시'!$D2533,"")</f>
        <v/>
      </c>
      <c r="V2551">
        <f>IF(ISNUMBER(U2551),IF(U2551&gt;$L$6,T2551,""),"")</f>
        <v/>
      </c>
      <c r="W2551">
        <f>IF(AND(ISNUMBER('자료_거시'!$G2533),ISNUMBER('자료_거시'!$H2533)),'자료_거시'!$H2533,"")</f>
        <v/>
      </c>
      <c r="X2551">
        <f>IF(ISNUMBER(W2551),'자료_거시'!$G2533,"")</f>
        <v/>
      </c>
      <c r="Y2551">
        <f>IF(ISNUMBER(X2551),IF(X2551&gt;$L$7,W2551,""),"")</f>
        <v/>
      </c>
      <c r="Z2551">
        <f>IF(ISNUMBER('자료_거시'!$K2533),'자료_거시'!$K2533,Z2550)</f>
        <v/>
      </c>
      <c r="AA2551">
        <f>IF(AND(ISNUMBER('자료_거시'!$J2533),ISNUMBER('자료_거시'!$K2533)),IFERROR('자료_거시'!$K2533/INDEX($Z$21:$Z$4020,MATCH(EDATE('자료_거시'!$J2533,-'설정'!$B$17),'자료_거시'!$J$3:INDEX('자료_거시'!$J$3:$J$4002,$K$8),1))-1,""),"")</f>
        <v/>
      </c>
      <c r="AB2551">
        <f>IF(ISNUMBER(AA2551),'자료_거시'!$J2533,"")</f>
        <v/>
      </c>
      <c r="AC2551">
        <f>IF(ISNUMBER(AB2551),IF(AB2551&gt;$L$8,AA2551,""),"")</f>
        <v/>
      </c>
    </row>
    <row r="2552">
      <c r="S2552">
        <f>IF(ISNUMBER('자료_거시'!$E2534),'자료_거시'!$E2534,S2551)</f>
        <v/>
      </c>
      <c r="T2552">
        <f>IF(AND(ISNUMBER('자료_거시'!$D2534),ISNUMBER('자료_거시'!$E2534)),IFERROR('자료_거시'!$E2534-INDEX($S$21:$S$4020,MATCH(EDATE('자료_거시'!$D2534,-'설정'!$B$17),'자료_거시'!$D$3:INDEX('자료_거시'!$D$3:$D$4002,$K$6),1)),""),"")</f>
        <v/>
      </c>
      <c r="U2552">
        <f>IF(ISNUMBER(T2552),'자료_거시'!$D2534,"")</f>
        <v/>
      </c>
      <c r="V2552">
        <f>IF(ISNUMBER(U2552),IF(U2552&gt;$L$6,T2552,""),"")</f>
        <v/>
      </c>
      <c r="W2552">
        <f>IF(AND(ISNUMBER('자료_거시'!$G2534),ISNUMBER('자료_거시'!$H2534)),'자료_거시'!$H2534,"")</f>
        <v/>
      </c>
      <c r="X2552">
        <f>IF(ISNUMBER(W2552),'자료_거시'!$G2534,"")</f>
        <v/>
      </c>
      <c r="Y2552">
        <f>IF(ISNUMBER(X2552),IF(X2552&gt;$L$7,W2552,""),"")</f>
        <v/>
      </c>
      <c r="Z2552">
        <f>IF(ISNUMBER('자료_거시'!$K2534),'자료_거시'!$K2534,Z2551)</f>
        <v/>
      </c>
      <c r="AA2552">
        <f>IF(AND(ISNUMBER('자료_거시'!$J2534),ISNUMBER('자료_거시'!$K2534)),IFERROR('자료_거시'!$K2534/INDEX($Z$21:$Z$4020,MATCH(EDATE('자료_거시'!$J2534,-'설정'!$B$17),'자료_거시'!$J$3:INDEX('자료_거시'!$J$3:$J$4002,$K$8),1))-1,""),"")</f>
        <v/>
      </c>
      <c r="AB2552">
        <f>IF(ISNUMBER(AA2552),'자료_거시'!$J2534,"")</f>
        <v/>
      </c>
      <c r="AC2552">
        <f>IF(ISNUMBER(AB2552),IF(AB2552&gt;$L$8,AA2552,""),"")</f>
        <v/>
      </c>
    </row>
    <row r="2553">
      <c r="S2553">
        <f>IF(ISNUMBER('자료_거시'!$E2535),'자료_거시'!$E2535,S2552)</f>
        <v/>
      </c>
      <c r="T2553">
        <f>IF(AND(ISNUMBER('자료_거시'!$D2535),ISNUMBER('자료_거시'!$E2535)),IFERROR('자료_거시'!$E2535-INDEX($S$21:$S$4020,MATCH(EDATE('자료_거시'!$D2535,-'설정'!$B$17),'자료_거시'!$D$3:INDEX('자료_거시'!$D$3:$D$4002,$K$6),1)),""),"")</f>
        <v/>
      </c>
      <c r="U2553">
        <f>IF(ISNUMBER(T2553),'자료_거시'!$D2535,"")</f>
        <v/>
      </c>
      <c r="V2553">
        <f>IF(ISNUMBER(U2553),IF(U2553&gt;$L$6,T2553,""),"")</f>
        <v/>
      </c>
      <c r="W2553">
        <f>IF(AND(ISNUMBER('자료_거시'!$G2535),ISNUMBER('자료_거시'!$H2535)),'자료_거시'!$H2535,"")</f>
        <v/>
      </c>
      <c r="X2553">
        <f>IF(ISNUMBER(W2553),'자료_거시'!$G2535,"")</f>
        <v/>
      </c>
      <c r="Y2553">
        <f>IF(ISNUMBER(X2553),IF(X2553&gt;$L$7,W2553,""),"")</f>
        <v/>
      </c>
      <c r="Z2553">
        <f>IF(ISNUMBER('자료_거시'!$K2535),'자료_거시'!$K2535,Z2552)</f>
        <v/>
      </c>
      <c r="AA2553">
        <f>IF(AND(ISNUMBER('자료_거시'!$J2535),ISNUMBER('자료_거시'!$K2535)),IFERROR('자료_거시'!$K2535/INDEX($Z$21:$Z$4020,MATCH(EDATE('자료_거시'!$J2535,-'설정'!$B$17),'자료_거시'!$J$3:INDEX('자료_거시'!$J$3:$J$4002,$K$8),1))-1,""),"")</f>
        <v/>
      </c>
      <c r="AB2553">
        <f>IF(ISNUMBER(AA2553),'자료_거시'!$J2535,"")</f>
        <v/>
      </c>
      <c r="AC2553">
        <f>IF(ISNUMBER(AB2553),IF(AB2553&gt;$L$8,AA2553,""),"")</f>
        <v/>
      </c>
    </row>
    <row r="2554">
      <c r="S2554">
        <f>IF(ISNUMBER('자료_거시'!$E2536),'자료_거시'!$E2536,S2553)</f>
        <v/>
      </c>
      <c r="T2554">
        <f>IF(AND(ISNUMBER('자료_거시'!$D2536),ISNUMBER('자료_거시'!$E2536)),IFERROR('자료_거시'!$E2536-INDEX($S$21:$S$4020,MATCH(EDATE('자료_거시'!$D2536,-'설정'!$B$17),'자료_거시'!$D$3:INDEX('자료_거시'!$D$3:$D$4002,$K$6),1)),""),"")</f>
        <v/>
      </c>
      <c r="U2554">
        <f>IF(ISNUMBER(T2554),'자료_거시'!$D2536,"")</f>
        <v/>
      </c>
      <c r="V2554">
        <f>IF(ISNUMBER(U2554),IF(U2554&gt;$L$6,T2554,""),"")</f>
        <v/>
      </c>
      <c r="W2554">
        <f>IF(AND(ISNUMBER('자료_거시'!$G2536),ISNUMBER('자료_거시'!$H2536)),'자료_거시'!$H2536,"")</f>
        <v/>
      </c>
      <c r="X2554">
        <f>IF(ISNUMBER(W2554),'자료_거시'!$G2536,"")</f>
        <v/>
      </c>
      <c r="Y2554">
        <f>IF(ISNUMBER(X2554),IF(X2554&gt;$L$7,W2554,""),"")</f>
        <v/>
      </c>
      <c r="Z2554">
        <f>IF(ISNUMBER('자료_거시'!$K2536),'자료_거시'!$K2536,Z2553)</f>
        <v/>
      </c>
      <c r="AA2554">
        <f>IF(AND(ISNUMBER('자료_거시'!$J2536),ISNUMBER('자료_거시'!$K2536)),IFERROR('자료_거시'!$K2536/INDEX($Z$21:$Z$4020,MATCH(EDATE('자료_거시'!$J2536,-'설정'!$B$17),'자료_거시'!$J$3:INDEX('자료_거시'!$J$3:$J$4002,$K$8),1))-1,""),"")</f>
        <v/>
      </c>
      <c r="AB2554">
        <f>IF(ISNUMBER(AA2554),'자료_거시'!$J2536,"")</f>
        <v/>
      </c>
      <c r="AC2554">
        <f>IF(ISNUMBER(AB2554),IF(AB2554&gt;$L$8,AA2554,""),"")</f>
        <v/>
      </c>
    </row>
    <row r="2555">
      <c r="S2555">
        <f>IF(ISNUMBER('자료_거시'!$E2537),'자료_거시'!$E2537,S2554)</f>
        <v/>
      </c>
      <c r="T2555">
        <f>IF(AND(ISNUMBER('자료_거시'!$D2537),ISNUMBER('자료_거시'!$E2537)),IFERROR('자료_거시'!$E2537-INDEX($S$21:$S$4020,MATCH(EDATE('자료_거시'!$D2537,-'설정'!$B$17),'자료_거시'!$D$3:INDEX('자료_거시'!$D$3:$D$4002,$K$6),1)),""),"")</f>
        <v/>
      </c>
      <c r="U2555">
        <f>IF(ISNUMBER(T2555),'자료_거시'!$D2537,"")</f>
        <v/>
      </c>
      <c r="V2555">
        <f>IF(ISNUMBER(U2555),IF(U2555&gt;$L$6,T2555,""),"")</f>
        <v/>
      </c>
      <c r="W2555">
        <f>IF(AND(ISNUMBER('자료_거시'!$G2537),ISNUMBER('자료_거시'!$H2537)),'자료_거시'!$H2537,"")</f>
        <v/>
      </c>
      <c r="X2555">
        <f>IF(ISNUMBER(W2555),'자료_거시'!$G2537,"")</f>
        <v/>
      </c>
      <c r="Y2555">
        <f>IF(ISNUMBER(X2555),IF(X2555&gt;$L$7,W2555,""),"")</f>
        <v/>
      </c>
      <c r="Z2555">
        <f>IF(ISNUMBER('자료_거시'!$K2537),'자료_거시'!$K2537,Z2554)</f>
        <v/>
      </c>
      <c r="AA2555">
        <f>IF(AND(ISNUMBER('자료_거시'!$J2537),ISNUMBER('자료_거시'!$K2537)),IFERROR('자료_거시'!$K2537/INDEX($Z$21:$Z$4020,MATCH(EDATE('자료_거시'!$J2537,-'설정'!$B$17),'자료_거시'!$J$3:INDEX('자료_거시'!$J$3:$J$4002,$K$8),1))-1,""),"")</f>
        <v/>
      </c>
      <c r="AB2555">
        <f>IF(ISNUMBER(AA2555),'자료_거시'!$J2537,"")</f>
        <v/>
      </c>
      <c r="AC2555">
        <f>IF(ISNUMBER(AB2555),IF(AB2555&gt;$L$8,AA2555,""),"")</f>
        <v/>
      </c>
    </row>
    <row r="2556">
      <c r="S2556">
        <f>IF(ISNUMBER('자료_거시'!$E2538),'자료_거시'!$E2538,S2555)</f>
        <v/>
      </c>
      <c r="T2556">
        <f>IF(AND(ISNUMBER('자료_거시'!$D2538),ISNUMBER('자료_거시'!$E2538)),IFERROR('자료_거시'!$E2538-INDEX($S$21:$S$4020,MATCH(EDATE('자료_거시'!$D2538,-'설정'!$B$17),'자료_거시'!$D$3:INDEX('자료_거시'!$D$3:$D$4002,$K$6),1)),""),"")</f>
        <v/>
      </c>
      <c r="U2556">
        <f>IF(ISNUMBER(T2556),'자료_거시'!$D2538,"")</f>
        <v/>
      </c>
      <c r="V2556">
        <f>IF(ISNUMBER(U2556),IF(U2556&gt;$L$6,T2556,""),"")</f>
        <v/>
      </c>
      <c r="W2556">
        <f>IF(AND(ISNUMBER('자료_거시'!$G2538),ISNUMBER('자료_거시'!$H2538)),'자료_거시'!$H2538,"")</f>
        <v/>
      </c>
      <c r="X2556">
        <f>IF(ISNUMBER(W2556),'자료_거시'!$G2538,"")</f>
        <v/>
      </c>
      <c r="Y2556">
        <f>IF(ISNUMBER(X2556),IF(X2556&gt;$L$7,W2556,""),"")</f>
        <v/>
      </c>
      <c r="Z2556">
        <f>IF(ISNUMBER('자료_거시'!$K2538),'자료_거시'!$K2538,Z2555)</f>
        <v/>
      </c>
      <c r="AA2556">
        <f>IF(AND(ISNUMBER('자료_거시'!$J2538),ISNUMBER('자료_거시'!$K2538)),IFERROR('자료_거시'!$K2538/INDEX($Z$21:$Z$4020,MATCH(EDATE('자료_거시'!$J2538,-'설정'!$B$17),'자료_거시'!$J$3:INDEX('자료_거시'!$J$3:$J$4002,$K$8),1))-1,""),"")</f>
        <v/>
      </c>
      <c r="AB2556">
        <f>IF(ISNUMBER(AA2556),'자료_거시'!$J2538,"")</f>
        <v/>
      </c>
      <c r="AC2556">
        <f>IF(ISNUMBER(AB2556),IF(AB2556&gt;$L$8,AA2556,""),"")</f>
        <v/>
      </c>
    </row>
    <row r="2557">
      <c r="S2557">
        <f>IF(ISNUMBER('자료_거시'!$E2539),'자료_거시'!$E2539,S2556)</f>
        <v/>
      </c>
      <c r="T2557">
        <f>IF(AND(ISNUMBER('자료_거시'!$D2539),ISNUMBER('자료_거시'!$E2539)),IFERROR('자료_거시'!$E2539-INDEX($S$21:$S$4020,MATCH(EDATE('자료_거시'!$D2539,-'설정'!$B$17),'자료_거시'!$D$3:INDEX('자료_거시'!$D$3:$D$4002,$K$6),1)),""),"")</f>
        <v/>
      </c>
      <c r="U2557">
        <f>IF(ISNUMBER(T2557),'자료_거시'!$D2539,"")</f>
        <v/>
      </c>
      <c r="V2557">
        <f>IF(ISNUMBER(U2557),IF(U2557&gt;$L$6,T2557,""),"")</f>
        <v/>
      </c>
      <c r="W2557">
        <f>IF(AND(ISNUMBER('자료_거시'!$G2539),ISNUMBER('자료_거시'!$H2539)),'자료_거시'!$H2539,"")</f>
        <v/>
      </c>
      <c r="X2557">
        <f>IF(ISNUMBER(W2557),'자료_거시'!$G2539,"")</f>
        <v/>
      </c>
      <c r="Y2557">
        <f>IF(ISNUMBER(X2557),IF(X2557&gt;$L$7,W2557,""),"")</f>
        <v/>
      </c>
      <c r="Z2557">
        <f>IF(ISNUMBER('자료_거시'!$K2539),'자료_거시'!$K2539,Z2556)</f>
        <v/>
      </c>
      <c r="AA2557">
        <f>IF(AND(ISNUMBER('자료_거시'!$J2539),ISNUMBER('자료_거시'!$K2539)),IFERROR('자료_거시'!$K2539/INDEX($Z$21:$Z$4020,MATCH(EDATE('자료_거시'!$J2539,-'설정'!$B$17),'자료_거시'!$J$3:INDEX('자료_거시'!$J$3:$J$4002,$K$8),1))-1,""),"")</f>
        <v/>
      </c>
      <c r="AB2557">
        <f>IF(ISNUMBER(AA2557),'자료_거시'!$J2539,"")</f>
        <v/>
      </c>
      <c r="AC2557">
        <f>IF(ISNUMBER(AB2557),IF(AB2557&gt;$L$8,AA2557,""),"")</f>
        <v/>
      </c>
    </row>
    <row r="2558">
      <c r="S2558">
        <f>IF(ISNUMBER('자료_거시'!$E2540),'자료_거시'!$E2540,S2557)</f>
        <v/>
      </c>
      <c r="T2558">
        <f>IF(AND(ISNUMBER('자료_거시'!$D2540),ISNUMBER('자료_거시'!$E2540)),IFERROR('자료_거시'!$E2540-INDEX($S$21:$S$4020,MATCH(EDATE('자료_거시'!$D2540,-'설정'!$B$17),'자료_거시'!$D$3:INDEX('자료_거시'!$D$3:$D$4002,$K$6),1)),""),"")</f>
        <v/>
      </c>
      <c r="U2558">
        <f>IF(ISNUMBER(T2558),'자료_거시'!$D2540,"")</f>
        <v/>
      </c>
      <c r="V2558">
        <f>IF(ISNUMBER(U2558),IF(U2558&gt;$L$6,T2558,""),"")</f>
        <v/>
      </c>
      <c r="W2558">
        <f>IF(AND(ISNUMBER('자료_거시'!$G2540),ISNUMBER('자료_거시'!$H2540)),'자료_거시'!$H2540,"")</f>
        <v/>
      </c>
      <c r="X2558">
        <f>IF(ISNUMBER(W2558),'자료_거시'!$G2540,"")</f>
        <v/>
      </c>
      <c r="Y2558">
        <f>IF(ISNUMBER(X2558),IF(X2558&gt;$L$7,W2558,""),"")</f>
        <v/>
      </c>
      <c r="Z2558">
        <f>IF(ISNUMBER('자료_거시'!$K2540),'자료_거시'!$K2540,Z2557)</f>
        <v/>
      </c>
      <c r="AA2558">
        <f>IF(AND(ISNUMBER('자료_거시'!$J2540),ISNUMBER('자료_거시'!$K2540)),IFERROR('자료_거시'!$K2540/INDEX($Z$21:$Z$4020,MATCH(EDATE('자료_거시'!$J2540,-'설정'!$B$17),'자료_거시'!$J$3:INDEX('자료_거시'!$J$3:$J$4002,$K$8),1))-1,""),"")</f>
        <v/>
      </c>
      <c r="AB2558">
        <f>IF(ISNUMBER(AA2558),'자료_거시'!$J2540,"")</f>
        <v/>
      </c>
      <c r="AC2558">
        <f>IF(ISNUMBER(AB2558),IF(AB2558&gt;$L$8,AA2558,""),"")</f>
        <v/>
      </c>
    </row>
    <row r="2559">
      <c r="S2559">
        <f>IF(ISNUMBER('자료_거시'!$E2541),'자료_거시'!$E2541,S2558)</f>
        <v/>
      </c>
      <c r="T2559">
        <f>IF(AND(ISNUMBER('자료_거시'!$D2541),ISNUMBER('자료_거시'!$E2541)),IFERROR('자료_거시'!$E2541-INDEX($S$21:$S$4020,MATCH(EDATE('자료_거시'!$D2541,-'설정'!$B$17),'자료_거시'!$D$3:INDEX('자료_거시'!$D$3:$D$4002,$K$6),1)),""),"")</f>
        <v/>
      </c>
      <c r="U2559">
        <f>IF(ISNUMBER(T2559),'자료_거시'!$D2541,"")</f>
        <v/>
      </c>
      <c r="V2559">
        <f>IF(ISNUMBER(U2559),IF(U2559&gt;$L$6,T2559,""),"")</f>
        <v/>
      </c>
      <c r="W2559">
        <f>IF(AND(ISNUMBER('자료_거시'!$G2541),ISNUMBER('자료_거시'!$H2541)),'자료_거시'!$H2541,"")</f>
        <v/>
      </c>
      <c r="X2559">
        <f>IF(ISNUMBER(W2559),'자료_거시'!$G2541,"")</f>
        <v/>
      </c>
      <c r="Y2559">
        <f>IF(ISNUMBER(X2559),IF(X2559&gt;$L$7,W2559,""),"")</f>
        <v/>
      </c>
      <c r="Z2559">
        <f>IF(ISNUMBER('자료_거시'!$K2541),'자료_거시'!$K2541,Z2558)</f>
        <v/>
      </c>
      <c r="AA2559">
        <f>IF(AND(ISNUMBER('자료_거시'!$J2541),ISNUMBER('자료_거시'!$K2541)),IFERROR('자료_거시'!$K2541/INDEX($Z$21:$Z$4020,MATCH(EDATE('자료_거시'!$J2541,-'설정'!$B$17),'자료_거시'!$J$3:INDEX('자료_거시'!$J$3:$J$4002,$K$8),1))-1,""),"")</f>
        <v/>
      </c>
      <c r="AB2559">
        <f>IF(ISNUMBER(AA2559),'자료_거시'!$J2541,"")</f>
        <v/>
      </c>
      <c r="AC2559">
        <f>IF(ISNUMBER(AB2559),IF(AB2559&gt;$L$8,AA2559,""),"")</f>
        <v/>
      </c>
    </row>
    <row r="2560">
      <c r="S2560">
        <f>IF(ISNUMBER('자료_거시'!$E2542),'자료_거시'!$E2542,S2559)</f>
        <v/>
      </c>
      <c r="T2560">
        <f>IF(AND(ISNUMBER('자료_거시'!$D2542),ISNUMBER('자료_거시'!$E2542)),IFERROR('자료_거시'!$E2542-INDEX($S$21:$S$4020,MATCH(EDATE('자료_거시'!$D2542,-'설정'!$B$17),'자료_거시'!$D$3:INDEX('자료_거시'!$D$3:$D$4002,$K$6),1)),""),"")</f>
        <v/>
      </c>
      <c r="U2560">
        <f>IF(ISNUMBER(T2560),'자료_거시'!$D2542,"")</f>
        <v/>
      </c>
      <c r="V2560">
        <f>IF(ISNUMBER(U2560),IF(U2560&gt;$L$6,T2560,""),"")</f>
        <v/>
      </c>
      <c r="W2560">
        <f>IF(AND(ISNUMBER('자료_거시'!$G2542),ISNUMBER('자료_거시'!$H2542)),'자료_거시'!$H2542,"")</f>
        <v/>
      </c>
      <c r="X2560">
        <f>IF(ISNUMBER(W2560),'자료_거시'!$G2542,"")</f>
        <v/>
      </c>
      <c r="Y2560">
        <f>IF(ISNUMBER(X2560),IF(X2560&gt;$L$7,W2560,""),"")</f>
        <v/>
      </c>
      <c r="Z2560">
        <f>IF(ISNUMBER('자료_거시'!$K2542),'자료_거시'!$K2542,Z2559)</f>
        <v/>
      </c>
      <c r="AA2560">
        <f>IF(AND(ISNUMBER('자료_거시'!$J2542),ISNUMBER('자료_거시'!$K2542)),IFERROR('자료_거시'!$K2542/INDEX($Z$21:$Z$4020,MATCH(EDATE('자료_거시'!$J2542,-'설정'!$B$17),'자료_거시'!$J$3:INDEX('자료_거시'!$J$3:$J$4002,$K$8),1))-1,""),"")</f>
        <v/>
      </c>
      <c r="AB2560">
        <f>IF(ISNUMBER(AA2560),'자료_거시'!$J2542,"")</f>
        <v/>
      </c>
      <c r="AC2560">
        <f>IF(ISNUMBER(AB2560),IF(AB2560&gt;$L$8,AA2560,""),"")</f>
        <v/>
      </c>
    </row>
    <row r="2561">
      <c r="S2561">
        <f>IF(ISNUMBER('자료_거시'!$E2543),'자료_거시'!$E2543,S2560)</f>
        <v/>
      </c>
      <c r="T2561">
        <f>IF(AND(ISNUMBER('자료_거시'!$D2543),ISNUMBER('자료_거시'!$E2543)),IFERROR('자료_거시'!$E2543-INDEX($S$21:$S$4020,MATCH(EDATE('자료_거시'!$D2543,-'설정'!$B$17),'자료_거시'!$D$3:INDEX('자료_거시'!$D$3:$D$4002,$K$6),1)),""),"")</f>
        <v/>
      </c>
      <c r="U2561">
        <f>IF(ISNUMBER(T2561),'자료_거시'!$D2543,"")</f>
        <v/>
      </c>
      <c r="V2561">
        <f>IF(ISNUMBER(U2561),IF(U2561&gt;$L$6,T2561,""),"")</f>
        <v/>
      </c>
      <c r="W2561">
        <f>IF(AND(ISNUMBER('자료_거시'!$G2543),ISNUMBER('자료_거시'!$H2543)),'자료_거시'!$H2543,"")</f>
        <v/>
      </c>
      <c r="X2561">
        <f>IF(ISNUMBER(W2561),'자료_거시'!$G2543,"")</f>
        <v/>
      </c>
      <c r="Y2561">
        <f>IF(ISNUMBER(X2561),IF(X2561&gt;$L$7,W2561,""),"")</f>
        <v/>
      </c>
      <c r="Z2561">
        <f>IF(ISNUMBER('자료_거시'!$K2543),'자료_거시'!$K2543,Z2560)</f>
        <v/>
      </c>
      <c r="AA2561">
        <f>IF(AND(ISNUMBER('자료_거시'!$J2543),ISNUMBER('자료_거시'!$K2543)),IFERROR('자료_거시'!$K2543/INDEX($Z$21:$Z$4020,MATCH(EDATE('자료_거시'!$J2543,-'설정'!$B$17),'자료_거시'!$J$3:INDEX('자료_거시'!$J$3:$J$4002,$K$8),1))-1,""),"")</f>
        <v/>
      </c>
      <c r="AB2561">
        <f>IF(ISNUMBER(AA2561),'자료_거시'!$J2543,"")</f>
        <v/>
      </c>
      <c r="AC2561">
        <f>IF(ISNUMBER(AB2561),IF(AB2561&gt;$L$8,AA2561,""),"")</f>
        <v/>
      </c>
    </row>
    <row r="2562">
      <c r="S2562">
        <f>IF(ISNUMBER('자료_거시'!$E2544),'자료_거시'!$E2544,S2561)</f>
        <v/>
      </c>
      <c r="T2562">
        <f>IF(AND(ISNUMBER('자료_거시'!$D2544),ISNUMBER('자료_거시'!$E2544)),IFERROR('자료_거시'!$E2544-INDEX($S$21:$S$4020,MATCH(EDATE('자료_거시'!$D2544,-'설정'!$B$17),'자료_거시'!$D$3:INDEX('자료_거시'!$D$3:$D$4002,$K$6),1)),""),"")</f>
        <v/>
      </c>
      <c r="U2562">
        <f>IF(ISNUMBER(T2562),'자료_거시'!$D2544,"")</f>
        <v/>
      </c>
      <c r="V2562">
        <f>IF(ISNUMBER(U2562),IF(U2562&gt;$L$6,T2562,""),"")</f>
        <v/>
      </c>
      <c r="W2562">
        <f>IF(AND(ISNUMBER('자료_거시'!$G2544),ISNUMBER('자료_거시'!$H2544)),'자료_거시'!$H2544,"")</f>
        <v/>
      </c>
      <c r="X2562">
        <f>IF(ISNUMBER(W2562),'자료_거시'!$G2544,"")</f>
        <v/>
      </c>
      <c r="Y2562">
        <f>IF(ISNUMBER(X2562),IF(X2562&gt;$L$7,W2562,""),"")</f>
        <v/>
      </c>
      <c r="Z2562">
        <f>IF(ISNUMBER('자료_거시'!$K2544),'자료_거시'!$K2544,Z2561)</f>
        <v/>
      </c>
      <c r="AA2562">
        <f>IF(AND(ISNUMBER('자료_거시'!$J2544),ISNUMBER('자료_거시'!$K2544)),IFERROR('자료_거시'!$K2544/INDEX($Z$21:$Z$4020,MATCH(EDATE('자료_거시'!$J2544,-'설정'!$B$17),'자료_거시'!$J$3:INDEX('자료_거시'!$J$3:$J$4002,$K$8),1))-1,""),"")</f>
        <v/>
      </c>
      <c r="AB2562">
        <f>IF(ISNUMBER(AA2562),'자료_거시'!$J2544,"")</f>
        <v/>
      </c>
      <c r="AC2562">
        <f>IF(ISNUMBER(AB2562),IF(AB2562&gt;$L$8,AA2562,""),"")</f>
        <v/>
      </c>
    </row>
    <row r="2563">
      <c r="S2563">
        <f>IF(ISNUMBER('자료_거시'!$E2545),'자료_거시'!$E2545,S2562)</f>
        <v/>
      </c>
      <c r="T2563">
        <f>IF(AND(ISNUMBER('자료_거시'!$D2545),ISNUMBER('자료_거시'!$E2545)),IFERROR('자료_거시'!$E2545-INDEX($S$21:$S$4020,MATCH(EDATE('자료_거시'!$D2545,-'설정'!$B$17),'자료_거시'!$D$3:INDEX('자료_거시'!$D$3:$D$4002,$K$6),1)),""),"")</f>
        <v/>
      </c>
      <c r="U2563">
        <f>IF(ISNUMBER(T2563),'자료_거시'!$D2545,"")</f>
        <v/>
      </c>
      <c r="V2563">
        <f>IF(ISNUMBER(U2563),IF(U2563&gt;$L$6,T2563,""),"")</f>
        <v/>
      </c>
      <c r="W2563">
        <f>IF(AND(ISNUMBER('자료_거시'!$G2545),ISNUMBER('자료_거시'!$H2545)),'자료_거시'!$H2545,"")</f>
        <v/>
      </c>
      <c r="X2563">
        <f>IF(ISNUMBER(W2563),'자료_거시'!$G2545,"")</f>
        <v/>
      </c>
      <c r="Y2563">
        <f>IF(ISNUMBER(X2563),IF(X2563&gt;$L$7,W2563,""),"")</f>
        <v/>
      </c>
      <c r="Z2563">
        <f>IF(ISNUMBER('자료_거시'!$K2545),'자료_거시'!$K2545,Z2562)</f>
        <v/>
      </c>
      <c r="AA2563">
        <f>IF(AND(ISNUMBER('자료_거시'!$J2545),ISNUMBER('자료_거시'!$K2545)),IFERROR('자료_거시'!$K2545/INDEX($Z$21:$Z$4020,MATCH(EDATE('자료_거시'!$J2545,-'설정'!$B$17),'자료_거시'!$J$3:INDEX('자료_거시'!$J$3:$J$4002,$K$8),1))-1,""),"")</f>
        <v/>
      </c>
      <c r="AB2563">
        <f>IF(ISNUMBER(AA2563),'자료_거시'!$J2545,"")</f>
        <v/>
      </c>
      <c r="AC2563">
        <f>IF(ISNUMBER(AB2563),IF(AB2563&gt;$L$8,AA2563,""),"")</f>
        <v/>
      </c>
    </row>
    <row r="2564">
      <c r="S2564">
        <f>IF(ISNUMBER('자료_거시'!$E2546),'자료_거시'!$E2546,S2563)</f>
        <v/>
      </c>
      <c r="T2564">
        <f>IF(AND(ISNUMBER('자료_거시'!$D2546),ISNUMBER('자료_거시'!$E2546)),IFERROR('자료_거시'!$E2546-INDEX($S$21:$S$4020,MATCH(EDATE('자료_거시'!$D2546,-'설정'!$B$17),'자료_거시'!$D$3:INDEX('자료_거시'!$D$3:$D$4002,$K$6),1)),""),"")</f>
        <v/>
      </c>
      <c r="U2564">
        <f>IF(ISNUMBER(T2564),'자료_거시'!$D2546,"")</f>
        <v/>
      </c>
      <c r="V2564">
        <f>IF(ISNUMBER(U2564),IF(U2564&gt;$L$6,T2564,""),"")</f>
        <v/>
      </c>
      <c r="W2564">
        <f>IF(AND(ISNUMBER('자료_거시'!$G2546),ISNUMBER('자료_거시'!$H2546)),'자료_거시'!$H2546,"")</f>
        <v/>
      </c>
      <c r="X2564">
        <f>IF(ISNUMBER(W2564),'자료_거시'!$G2546,"")</f>
        <v/>
      </c>
      <c r="Y2564">
        <f>IF(ISNUMBER(X2564),IF(X2564&gt;$L$7,W2564,""),"")</f>
        <v/>
      </c>
      <c r="Z2564">
        <f>IF(ISNUMBER('자료_거시'!$K2546),'자료_거시'!$K2546,Z2563)</f>
        <v/>
      </c>
      <c r="AA2564">
        <f>IF(AND(ISNUMBER('자료_거시'!$J2546),ISNUMBER('자료_거시'!$K2546)),IFERROR('자료_거시'!$K2546/INDEX($Z$21:$Z$4020,MATCH(EDATE('자료_거시'!$J2546,-'설정'!$B$17),'자료_거시'!$J$3:INDEX('자료_거시'!$J$3:$J$4002,$K$8),1))-1,""),"")</f>
        <v/>
      </c>
      <c r="AB2564">
        <f>IF(ISNUMBER(AA2564),'자료_거시'!$J2546,"")</f>
        <v/>
      </c>
      <c r="AC2564">
        <f>IF(ISNUMBER(AB2564),IF(AB2564&gt;$L$8,AA2564,""),"")</f>
        <v/>
      </c>
    </row>
    <row r="2565">
      <c r="S2565">
        <f>IF(ISNUMBER('자료_거시'!$E2547),'자료_거시'!$E2547,S2564)</f>
        <v/>
      </c>
      <c r="T2565">
        <f>IF(AND(ISNUMBER('자료_거시'!$D2547),ISNUMBER('자료_거시'!$E2547)),IFERROR('자료_거시'!$E2547-INDEX($S$21:$S$4020,MATCH(EDATE('자료_거시'!$D2547,-'설정'!$B$17),'자료_거시'!$D$3:INDEX('자료_거시'!$D$3:$D$4002,$K$6),1)),""),"")</f>
        <v/>
      </c>
      <c r="U2565">
        <f>IF(ISNUMBER(T2565),'자료_거시'!$D2547,"")</f>
        <v/>
      </c>
      <c r="V2565">
        <f>IF(ISNUMBER(U2565),IF(U2565&gt;$L$6,T2565,""),"")</f>
        <v/>
      </c>
      <c r="W2565">
        <f>IF(AND(ISNUMBER('자료_거시'!$G2547),ISNUMBER('자료_거시'!$H2547)),'자료_거시'!$H2547,"")</f>
        <v/>
      </c>
      <c r="X2565">
        <f>IF(ISNUMBER(W2565),'자료_거시'!$G2547,"")</f>
        <v/>
      </c>
      <c r="Y2565">
        <f>IF(ISNUMBER(X2565),IF(X2565&gt;$L$7,W2565,""),"")</f>
        <v/>
      </c>
      <c r="Z2565">
        <f>IF(ISNUMBER('자료_거시'!$K2547),'자료_거시'!$K2547,Z2564)</f>
        <v/>
      </c>
      <c r="AA2565">
        <f>IF(AND(ISNUMBER('자료_거시'!$J2547),ISNUMBER('자료_거시'!$K2547)),IFERROR('자료_거시'!$K2547/INDEX($Z$21:$Z$4020,MATCH(EDATE('자료_거시'!$J2547,-'설정'!$B$17),'자료_거시'!$J$3:INDEX('자료_거시'!$J$3:$J$4002,$K$8),1))-1,""),"")</f>
        <v/>
      </c>
      <c r="AB2565">
        <f>IF(ISNUMBER(AA2565),'자료_거시'!$J2547,"")</f>
        <v/>
      </c>
      <c r="AC2565">
        <f>IF(ISNUMBER(AB2565),IF(AB2565&gt;$L$8,AA2565,""),"")</f>
        <v/>
      </c>
    </row>
    <row r="2566">
      <c r="S2566">
        <f>IF(ISNUMBER('자료_거시'!$E2548),'자료_거시'!$E2548,S2565)</f>
        <v/>
      </c>
      <c r="T2566">
        <f>IF(AND(ISNUMBER('자료_거시'!$D2548),ISNUMBER('자료_거시'!$E2548)),IFERROR('자료_거시'!$E2548-INDEX($S$21:$S$4020,MATCH(EDATE('자료_거시'!$D2548,-'설정'!$B$17),'자료_거시'!$D$3:INDEX('자료_거시'!$D$3:$D$4002,$K$6),1)),""),"")</f>
        <v/>
      </c>
      <c r="U2566">
        <f>IF(ISNUMBER(T2566),'자료_거시'!$D2548,"")</f>
        <v/>
      </c>
      <c r="V2566">
        <f>IF(ISNUMBER(U2566),IF(U2566&gt;$L$6,T2566,""),"")</f>
        <v/>
      </c>
      <c r="W2566">
        <f>IF(AND(ISNUMBER('자료_거시'!$G2548),ISNUMBER('자료_거시'!$H2548)),'자료_거시'!$H2548,"")</f>
        <v/>
      </c>
      <c r="X2566">
        <f>IF(ISNUMBER(W2566),'자료_거시'!$G2548,"")</f>
        <v/>
      </c>
      <c r="Y2566">
        <f>IF(ISNUMBER(X2566),IF(X2566&gt;$L$7,W2566,""),"")</f>
        <v/>
      </c>
      <c r="Z2566">
        <f>IF(ISNUMBER('자료_거시'!$K2548),'자료_거시'!$K2548,Z2565)</f>
        <v/>
      </c>
      <c r="AA2566">
        <f>IF(AND(ISNUMBER('자료_거시'!$J2548),ISNUMBER('자료_거시'!$K2548)),IFERROR('자료_거시'!$K2548/INDEX($Z$21:$Z$4020,MATCH(EDATE('자료_거시'!$J2548,-'설정'!$B$17),'자료_거시'!$J$3:INDEX('자료_거시'!$J$3:$J$4002,$K$8),1))-1,""),"")</f>
        <v/>
      </c>
      <c r="AB2566">
        <f>IF(ISNUMBER(AA2566),'자료_거시'!$J2548,"")</f>
        <v/>
      </c>
      <c r="AC2566">
        <f>IF(ISNUMBER(AB2566),IF(AB2566&gt;$L$8,AA2566,""),"")</f>
        <v/>
      </c>
    </row>
    <row r="2567">
      <c r="S2567">
        <f>IF(ISNUMBER('자료_거시'!$E2549),'자료_거시'!$E2549,S2566)</f>
        <v/>
      </c>
      <c r="T2567">
        <f>IF(AND(ISNUMBER('자료_거시'!$D2549),ISNUMBER('자료_거시'!$E2549)),IFERROR('자료_거시'!$E2549-INDEX($S$21:$S$4020,MATCH(EDATE('자료_거시'!$D2549,-'설정'!$B$17),'자료_거시'!$D$3:INDEX('자료_거시'!$D$3:$D$4002,$K$6),1)),""),"")</f>
        <v/>
      </c>
      <c r="U2567">
        <f>IF(ISNUMBER(T2567),'자료_거시'!$D2549,"")</f>
        <v/>
      </c>
      <c r="V2567">
        <f>IF(ISNUMBER(U2567),IF(U2567&gt;$L$6,T2567,""),"")</f>
        <v/>
      </c>
      <c r="W2567">
        <f>IF(AND(ISNUMBER('자료_거시'!$G2549),ISNUMBER('자료_거시'!$H2549)),'자료_거시'!$H2549,"")</f>
        <v/>
      </c>
      <c r="X2567">
        <f>IF(ISNUMBER(W2567),'자료_거시'!$G2549,"")</f>
        <v/>
      </c>
      <c r="Y2567">
        <f>IF(ISNUMBER(X2567),IF(X2567&gt;$L$7,W2567,""),"")</f>
        <v/>
      </c>
      <c r="Z2567">
        <f>IF(ISNUMBER('자료_거시'!$K2549),'자료_거시'!$K2549,Z2566)</f>
        <v/>
      </c>
      <c r="AA2567">
        <f>IF(AND(ISNUMBER('자료_거시'!$J2549),ISNUMBER('자료_거시'!$K2549)),IFERROR('자료_거시'!$K2549/INDEX($Z$21:$Z$4020,MATCH(EDATE('자료_거시'!$J2549,-'설정'!$B$17),'자료_거시'!$J$3:INDEX('자료_거시'!$J$3:$J$4002,$K$8),1))-1,""),"")</f>
        <v/>
      </c>
      <c r="AB2567">
        <f>IF(ISNUMBER(AA2567),'자료_거시'!$J2549,"")</f>
        <v/>
      </c>
      <c r="AC2567">
        <f>IF(ISNUMBER(AB2567),IF(AB2567&gt;$L$8,AA2567,""),"")</f>
        <v/>
      </c>
    </row>
    <row r="2568">
      <c r="S2568">
        <f>IF(ISNUMBER('자료_거시'!$E2550),'자료_거시'!$E2550,S2567)</f>
        <v/>
      </c>
      <c r="T2568">
        <f>IF(AND(ISNUMBER('자료_거시'!$D2550),ISNUMBER('자료_거시'!$E2550)),IFERROR('자료_거시'!$E2550-INDEX($S$21:$S$4020,MATCH(EDATE('자료_거시'!$D2550,-'설정'!$B$17),'자료_거시'!$D$3:INDEX('자료_거시'!$D$3:$D$4002,$K$6),1)),""),"")</f>
        <v/>
      </c>
      <c r="U2568">
        <f>IF(ISNUMBER(T2568),'자료_거시'!$D2550,"")</f>
        <v/>
      </c>
      <c r="V2568">
        <f>IF(ISNUMBER(U2568),IF(U2568&gt;$L$6,T2568,""),"")</f>
        <v/>
      </c>
      <c r="W2568">
        <f>IF(AND(ISNUMBER('자료_거시'!$G2550),ISNUMBER('자료_거시'!$H2550)),'자료_거시'!$H2550,"")</f>
        <v/>
      </c>
      <c r="X2568">
        <f>IF(ISNUMBER(W2568),'자료_거시'!$G2550,"")</f>
        <v/>
      </c>
      <c r="Y2568">
        <f>IF(ISNUMBER(X2568),IF(X2568&gt;$L$7,W2568,""),"")</f>
        <v/>
      </c>
      <c r="Z2568">
        <f>IF(ISNUMBER('자료_거시'!$K2550),'자료_거시'!$K2550,Z2567)</f>
        <v/>
      </c>
      <c r="AA2568">
        <f>IF(AND(ISNUMBER('자료_거시'!$J2550),ISNUMBER('자료_거시'!$K2550)),IFERROR('자료_거시'!$K2550/INDEX($Z$21:$Z$4020,MATCH(EDATE('자료_거시'!$J2550,-'설정'!$B$17),'자료_거시'!$J$3:INDEX('자료_거시'!$J$3:$J$4002,$K$8),1))-1,""),"")</f>
        <v/>
      </c>
      <c r="AB2568">
        <f>IF(ISNUMBER(AA2568),'자료_거시'!$J2550,"")</f>
        <v/>
      </c>
      <c r="AC2568">
        <f>IF(ISNUMBER(AB2568),IF(AB2568&gt;$L$8,AA2568,""),"")</f>
        <v/>
      </c>
    </row>
    <row r="2569">
      <c r="S2569">
        <f>IF(ISNUMBER('자료_거시'!$E2551),'자료_거시'!$E2551,S2568)</f>
        <v/>
      </c>
      <c r="T2569">
        <f>IF(AND(ISNUMBER('자료_거시'!$D2551),ISNUMBER('자료_거시'!$E2551)),IFERROR('자료_거시'!$E2551-INDEX($S$21:$S$4020,MATCH(EDATE('자료_거시'!$D2551,-'설정'!$B$17),'자료_거시'!$D$3:INDEX('자료_거시'!$D$3:$D$4002,$K$6),1)),""),"")</f>
        <v/>
      </c>
      <c r="U2569">
        <f>IF(ISNUMBER(T2569),'자료_거시'!$D2551,"")</f>
        <v/>
      </c>
      <c r="V2569">
        <f>IF(ISNUMBER(U2569),IF(U2569&gt;$L$6,T2569,""),"")</f>
        <v/>
      </c>
      <c r="W2569">
        <f>IF(AND(ISNUMBER('자료_거시'!$G2551),ISNUMBER('자료_거시'!$H2551)),'자료_거시'!$H2551,"")</f>
        <v/>
      </c>
      <c r="X2569">
        <f>IF(ISNUMBER(W2569),'자료_거시'!$G2551,"")</f>
        <v/>
      </c>
      <c r="Y2569">
        <f>IF(ISNUMBER(X2569),IF(X2569&gt;$L$7,W2569,""),"")</f>
        <v/>
      </c>
      <c r="Z2569">
        <f>IF(ISNUMBER('자료_거시'!$K2551),'자료_거시'!$K2551,Z2568)</f>
        <v/>
      </c>
      <c r="AA2569">
        <f>IF(AND(ISNUMBER('자료_거시'!$J2551),ISNUMBER('자료_거시'!$K2551)),IFERROR('자료_거시'!$K2551/INDEX($Z$21:$Z$4020,MATCH(EDATE('자료_거시'!$J2551,-'설정'!$B$17),'자료_거시'!$J$3:INDEX('자료_거시'!$J$3:$J$4002,$K$8),1))-1,""),"")</f>
        <v/>
      </c>
      <c r="AB2569">
        <f>IF(ISNUMBER(AA2569),'자료_거시'!$J2551,"")</f>
        <v/>
      </c>
      <c r="AC2569">
        <f>IF(ISNUMBER(AB2569),IF(AB2569&gt;$L$8,AA2569,""),"")</f>
        <v/>
      </c>
    </row>
    <row r="2570">
      <c r="S2570">
        <f>IF(ISNUMBER('자료_거시'!$E2552),'자료_거시'!$E2552,S2569)</f>
        <v/>
      </c>
      <c r="T2570">
        <f>IF(AND(ISNUMBER('자료_거시'!$D2552),ISNUMBER('자료_거시'!$E2552)),IFERROR('자료_거시'!$E2552-INDEX($S$21:$S$4020,MATCH(EDATE('자료_거시'!$D2552,-'설정'!$B$17),'자료_거시'!$D$3:INDEX('자료_거시'!$D$3:$D$4002,$K$6),1)),""),"")</f>
        <v/>
      </c>
      <c r="U2570">
        <f>IF(ISNUMBER(T2570),'자료_거시'!$D2552,"")</f>
        <v/>
      </c>
      <c r="V2570">
        <f>IF(ISNUMBER(U2570),IF(U2570&gt;$L$6,T2570,""),"")</f>
        <v/>
      </c>
      <c r="W2570">
        <f>IF(AND(ISNUMBER('자료_거시'!$G2552),ISNUMBER('자료_거시'!$H2552)),'자료_거시'!$H2552,"")</f>
        <v/>
      </c>
      <c r="X2570">
        <f>IF(ISNUMBER(W2570),'자료_거시'!$G2552,"")</f>
        <v/>
      </c>
      <c r="Y2570">
        <f>IF(ISNUMBER(X2570),IF(X2570&gt;$L$7,W2570,""),"")</f>
        <v/>
      </c>
      <c r="Z2570">
        <f>IF(ISNUMBER('자료_거시'!$K2552),'자료_거시'!$K2552,Z2569)</f>
        <v/>
      </c>
      <c r="AA2570">
        <f>IF(AND(ISNUMBER('자료_거시'!$J2552),ISNUMBER('자료_거시'!$K2552)),IFERROR('자료_거시'!$K2552/INDEX($Z$21:$Z$4020,MATCH(EDATE('자료_거시'!$J2552,-'설정'!$B$17),'자료_거시'!$J$3:INDEX('자료_거시'!$J$3:$J$4002,$K$8),1))-1,""),"")</f>
        <v/>
      </c>
      <c r="AB2570">
        <f>IF(ISNUMBER(AA2570),'자료_거시'!$J2552,"")</f>
        <v/>
      </c>
      <c r="AC2570">
        <f>IF(ISNUMBER(AB2570),IF(AB2570&gt;$L$8,AA2570,""),"")</f>
        <v/>
      </c>
    </row>
    <row r="2571">
      <c r="S2571">
        <f>IF(ISNUMBER('자료_거시'!$E2553),'자료_거시'!$E2553,S2570)</f>
        <v/>
      </c>
      <c r="T2571">
        <f>IF(AND(ISNUMBER('자료_거시'!$D2553),ISNUMBER('자료_거시'!$E2553)),IFERROR('자료_거시'!$E2553-INDEX($S$21:$S$4020,MATCH(EDATE('자료_거시'!$D2553,-'설정'!$B$17),'자료_거시'!$D$3:INDEX('자료_거시'!$D$3:$D$4002,$K$6),1)),""),"")</f>
        <v/>
      </c>
      <c r="U2571">
        <f>IF(ISNUMBER(T2571),'자료_거시'!$D2553,"")</f>
        <v/>
      </c>
      <c r="V2571">
        <f>IF(ISNUMBER(U2571),IF(U2571&gt;$L$6,T2571,""),"")</f>
        <v/>
      </c>
      <c r="W2571">
        <f>IF(AND(ISNUMBER('자료_거시'!$G2553),ISNUMBER('자료_거시'!$H2553)),'자료_거시'!$H2553,"")</f>
        <v/>
      </c>
      <c r="X2571">
        <f>IF(ISNUMBER(W2571),'자료_거시'!$G2553,"")</f>
        <v/>
      </c>
      <c r="Y2571">
        <f>IF(ISNUMBER(X2571),IF(X2571&gt;$L$7,W2571,""),"")</f>
        <v/>
      </c>
      <c r="Z2571">
        <f>IF(ISNUMBER('자료_거시'!$K2553),'자료_거시'!$K2553,Z2570)</f>
        <v/>
      </c>
      <c r="AA2571">
        <f>IF(AND(ISNUMBER('자료_거시'!$J2553),ISNUMBER('자료_거시'!$K2553)),IFERROR('자료_거시'!$K2553/INDEX($Z$21:$Z$4020,MATCH(EDATE('자료_거시'!$J2553,-'설정'!$B$17),'자료_거시'!$J$3:INDEX('자료_거시'!$J$3:$J$4002,$K$8),1))-1,""),"")</f>
        <v/>
      </c>
      <c r="AB2571">
        <f>IF(ISNUMBER(AA2571),'자료_거시'!$J2553,"")</f>
        <v/>
      </c>
      <c r="AC2571">
        <f>IF(ISNUMBER(AB2571),IF(AB2571&gt;$L$8,AA2571,""),"")</f>
        <v/>
      </c>
    </row>
    <row r="2572">
      <c r="S2572">
        <f>IF(ISNUMBER('자료_거시'!$E2554),'자료_거시'!$E2554,S2571)</f>
        <v/>
      </c>
      <c r="T2572">
        <f>IF(AND(ISNUMBER('자료_거시'!$D2554),ISNUMBER('자료_거시'!$E2554)),IFERROR('자료_거시'!$E2554-INDEX($S$21:$S$4020,MATCH(EDATE('자료_거시'!$D2554,-'설정'!$B$17),'자료_거시'!$D$3:INDEX('자료_거시'!$D$3:$D$4002,$K$6),1)),""),"")</f>
        <v/>
      </c>
      <c r="U2572">
        <f>IF(ISNUMBER(T2572),'자료_거시'!$D2554,"")</f>
        <v/>
      </c>
      <c r="V2572">
        <f>IF(ISNUMBER(U2572),IF(U2572&gt;$L$6,T2572,""),"")</f>
        <v/>
      </c>
      <c r="W2572">
        <f>IF(AND(ISNUMBER('자료_거시'!$G2554),ISNUMBER('자료_거시'!$H2554)),'자료_거시'!$H2554,"")</f>
        <v/>
      </c>
      <c r="X2572">
        <f>IF(ISNUMBER(W2572),'자료_거시'!$G2554,"")</f>
        <v/>
      </c>
      <c r="Y2572">
        <f>IF(ISNUMBER(X2572),IF(X2572&gt;$L$7,W2572,""),"")</f>
        <v/>
      </c>
      <c r="Z2572">
        <f>IF(ISNUMBER('자료_거시'!$K2554),'자료_거시'!$K2554,Z2571)</f>
        <v/>
      </c>
      <c r="AA2572">
        <f>IF(AND(ISNUMBER('자료_거시'!$J2554),ISNUMBER('자료_거시'!$K2554)),IFERROR('자료_거시'!$K2554/INDEX($Z$21:$Z$4020,MATCH(EDATE('자료_거시'!$J2554,-'설정'!$B$17),'자료_거시'!$J$3:INDEX('자료_거시'!$J$3:$J$4002,$K$8),1))-1,""),"")</f>
        <v/>
      </c>
      <c r="AB2572">
        <f>IF(ISNUMBER(AA2572),'자료_거시'!$J2554,"")</f>
        <v/>
      </c>
      <c r="AC2572">
        <f>IF(ISNUMBER(AB2572),IF(AB2572&gt;$L$8,AA2572,""),"")</f>
        <v/>
      </c>
    </row>
    <row r="2573">
      <c r="S2573">
        <f>IF(ISNUMBER('자료_거시'!$E2555),'자료_거시'!$E2555,S2572)</f>
        <v/>
      </c>
      <c r="T2573">
        <f>IF(AND(ISNUMBER('자료_거시'!$D2555),ISNUMBER('자료_거시'!$E2555)),IFERROR('자료_거시'!$E2555-INDEX($S$21:$S$4020,MATCH(EDATE('자료_거시'!$D2555,-'설정'!$B$17),'자료_거시'!$D$3:INDEX('자료_거시'!$D$3:$D$4002,$K$6),1)),""),"")</f>
        <v/>
      </c>
      <c r="U2573">
        <f>IF(ISNUMBER(T2573),'자료_거시'!$D2555,"")</f>
        <v/>
      </c>
      <c r="V2573">
        <f>IF(ISNUMBER(U2573),IF(U2573&gt;$L$6,T2573,""),"")</f>
        <v/>
      </c>
      <c r="W2573">
        <f>IF(AND(ISNUMBER('자료_거시'!$G2555),ISNUMBER('자료_거시'!$H2555)),'자료_거시'!$H2555,"")</f>
        <v/>
      </c>
      <c r="X2573">
        <f>IF(ISNUMBER(W2573),'자료_거시'!$G2555,"")</f>
        <v/>
      </c>
      <c r="Y2573">
        <f>IF(ISNUMBER(X2573),IF(X2573&gt;$L$7,W2573,""),"")</f>
        <v/>
      </c>
      <c r="Z2573">
        <f>IF(ISNUMBER('자료_거시'!$K2555),'자료_거시'!$K2555,Z2572)</f>
        <v/>
      </c>
      <c r="AA2573">
        <f>IF(AND(ISNUMBER('자료_거시'!$J2555),ISNUMBER('자료_거시'!$K2555)),IFERROR('자료_거시'!$K2555/INDEX($Z$21:$Z$4020,MATCH(EDATE('자료_거시'!$J2555,-'설정'!$B$17),'자료_거시'!$J$3:INDEX('자료_거시'!$J$3:$J$4002,$K$8),1))-1,""),"")</f>
        <v/>
      </c>
      <c r="AB2573">
        <f>IF(ISNUMBER(AA2573),'자료_거시'!$J2555,"")</f>
        <v/>
      </c>
      <c r="AC2573">
        <f>IF(ISNUMBER(AB2573),IF(AB2573&gt;$L$8,AA2573,""),"")</f>
        <v/>
      </c>
    </row>
    <row r="2574">
      <c r="S2574">
        <f>IF(ISNUMBER('자료_거시'!$E2556),'자료_거시'!$E2556,S2573)</f>
        <v/>
      </c>
      <c r="T2574">
        <f>IF(AND(ISNUMBER('자료_거시'!$D2556),ISNUMBER('자료_거시'!$E2556)),IFERROR('자료_거시'!$E2556-INDEX($S$21:$S$4020,MATCH(EDATE('자료_거시'!$D2556,-'설정'!$B$17),'자료_거시'!$D$3:INDEX('자료_거시'!$D$3:$D$4002,$K$6),1)),""),"")</f>
        <v/>
      </c>
      <c r="U2574">
        <f>IF(ISNUMBER(T2574),'자료_거시'!$D2556,"")</f>
        <v/>
      </c>
      <c r="V2574">
        <f>IF(ISNUMBER(U2574),IF(U2574&gt;$L$6,T2574,""),"")</f>
        <v/>
      </c>
      <c r="W2574">
        <f>IF(AND(ISNUMBER('자료_거시'!$G2556),ISNUMBER('자료_거시'!$H2556)),'자료_거시'!$H2556,"")</f>
        <v/>
      </c>
      <c r="X2574">
        <f>IF(ISNUMBER(W2574),'자료_거시'!$G2556,"")</f>
        <v/>
      </c>
      <c r="Y2574">
        <f>IF(ISNUMBER(X2574),IF(X2574&gt;$L$7,W2574,""),"")</f>
        <v/>
      </c>
      <c r="Z2574">
        <f>IF(ISNUMBER('자료_거시'!$K2556),'자료_거시'!$K2556,Z2573)</f>
        <v/>
      </c>
      <c r="AA2574">
        <f>IF(AND(ISNUMBER('자료_거시'!$J2556),ISNUMBER('자료_거시'!$K2556)),IFERROR('자료_거시'!$K2556/INDEX($Z$21:$Z$4020,MATCH(EDATE('자료_거시'!$J2556,-'설정'!$B$17),'자료_거시'!$J$3:INDEX('자료_거시'!$J$3:$J$4002,$K$8),1))-1,""),"")</f>
        <v/>
      </c>
      <c r="AB2574">
        <f>IF(ISNUMBER(AA2574),'자료_거시'!$J2556,"")</f>
        <v/>
      </c>
      <c r="AC2574">
        <f>IF(ISNUMBER(AB2574),IF(AB2574&gt;$L$8,AA2574,""),"")</f>
        <v/>
      </c>
    </row>
    <row r="2575">
      <c r="S2575">
        <f>IF(ISNUMBER('자료_거시'!$E2557),'자료_거시'!$E2557,S2574)</f>
        <v/>
      </c>
      <c r="T2575">
        <f>IF(AND(ISNUMBER('자료_거시'!$D2557),ISNUMBER('자료_거시'!$E2557)),IFERROR('자료_거시'!$E2557-INDEX($S$21:$S$4020,MATCH(EDATE('자료_거시'!$D2557,-'설정'!$B$17),'자료_거시'!$D$3:INDEX('자료_거시'!$D$3:$D$4002,$K$6),1)),""),"")</f>
        <v/>
      </c>
      <c r="U2575">
        <f>IF(ISNUMBER(T2575),'자료_거시'!$D2557,"")</f>
        <v/>
      </c>
      <c r="V2575">
        <f>IF(ISNUMBER(U2575),IF(U2575&gt;$L$6,T2575,""),"")</f>
        <v/>
      </c>
      <c r="W2575">
        <f>IF(AND(ISNUMBER('자료_거시'!$G2557),ISNUMBER('자료_거시'!$H2557)),'자료_거시'!$H2557,"")</f>
        <v/>
      </c>
      <c r="X2575">
        <f>IF(ISNUMBER(W2575),'자료_거시'!$G2557,"")</f>
        <v/>
      </c>
      <c r="Y2575">
        <f>IF(ISNUMBER(X2575),IF(X2575&gt;$L$7,W2575,""),"")</f>
        <v/>
      </c>
      <c r="Z2575">
        <f>IF(ISNUMBER('자료_거시'!$K2557),'자료_거시'!$K2557,Z2574)</f>
        <v/>
      </c>
      <c r="AA2575">
        <f>IF(AND(ISNUMBER('자료_거시'!$J2557),ISNUMBER('자료_거시'!$K2557)),IFERROR('자료_거시'!$K2557/INDEX($Z$21:$Z$4020,MATCH(EDATE('자료_거시'!$J2557,-'설정'!$B$17),'자료_거시'!$J$3:INDEX('자료_거시'!$J$3:$J$4002,$K$8),1))-1,""),"")</f>
        <v/>
      </c>
      <c r="AB2575">
        <f>IF(ISNUMBER(AA2575),'자료_거시'!$J2557,"")</f>
        <v/>
      </c>
      <c r="AC2575">
        <f>IF(ISNUMBER(AB2575),IF(AB2575&gt;$L$8,AA2575,""),"")</f>
        <v/>
      </c>
    </row>
    <row r="2576">
      <c r="S2576">
        <f>IF(ISNUMBER('자료_거시'!$E2558),'자료_거시'!$E2558,S2575)</f>
        <v/>
      </c>
      <c r="T2576">
        <f>IF(AND(ISNUMBER('자료_거시'!$D2558),ISNUMBER('자료_거시'!$E2558)),IFERROR('자료_거시'!$E2558-INDEX($S$21:$S$4020,MATCH(EDATE('자료_거시'!$D2558,-'설정'!$B$17),'자료_거시'!$D$3:INDEX('자료_거시'!$D$3:$D$4002,$K$6),1)),""),"")</f>
        <v/>
      </c>
      <c r="U2576">
        <f>IF(ISNUMBER(T2576),'자료_거시'!$D2558,"")</f>
        <v/>
      </c>
      <c r="V2576">
        <f>IF(ISNUMBER(U2576),IF(U2576&gt;$L$6,T2576,""),"")</f>
        <v/>
      </c>
      <c r="W2576">
        <f>IF(AND(ISNUMBER('자료_거시'!$G2558),ISNUMBER('자료_거시'!$H2558)),'자료_거시'!$H2558,"")</f>
        <v/>
      </c>
      <c r="X2576">
        <f>IF(ISNUMBER(W2576),'자료_거시'!$G2558,"")</f>
        <v/>
      </c>
      <c r="Y2576">
        <f>IF(ISNUMBER(X2576),IF(X2576&gt;$L$7,W2576,""),"")</f>
        <v/>
      </c>
      <c r="Z2576">
        <f>IF(ISNUMBER('자료_거시'!$K2558),'자료_거시'!$K2558,Z2575)</f>
        <v/>
      </c>
      <c r="AA2576">
        <f>IF(AND(ISNUMBER('자료_거시'!$J2558),ISNUMBER('자료_거시'!$K2558)),IFERROR('자료_거시'!$K2558/INDEX($Z$21:$Z$4020,MATCH(EDATE('자료_거시'!$J2558,-'설정'!$B$17),'자료_거시'!$J$3:INDEX('자료_거시'!$J$3:$J$4002,$K$8),1))-1,""),"")</f>
        <v/>
      </c>
      <c r="AB2576">
        <f>IF(ISNUMBER(AA2576),'자료_거시'!$J2558,"")</f>
        <v/>
      </c>
      <c r="AC2576">
        <f>IF(ISNUMBER(AB2576),IF(AB2576&gt;$L$8,AA2576,""),"")</f>
        <v/>
      </c>
    </row>
    <row r="2577">
      <c r="S2577">
        <f>IF(ISNUMBER('자료_거시'!$E2559),'자료_거시'!$E2559,S2576)</f>
        <v/>
      </c>
      <c r="T2577">
        <f>IF(AND(ISNUMBER('자료_거시'!$D2559),ISNUMBER('자료_거시'!$E2559)),IFERROR('자료_거시'!$E2559-INDEX($S$21:$S$4020,MATCH(EDATE('자료_거시'!$D2559,-'설정'!$B$17),'자료_거시'!$D$3:INDEX('자료_거시'!$D$3:$D$4002,$K$6),1)),""),"")</f>
        <v/>
      </c>
      <c r="U2577">
        <f>IF(ISNUMBER(T2577),'자료_거시'!$D2559,"")</f>
        <v/>
      </c>
      <c r="V2577">
        <f>IF(ISNUMBER(U2577),IF(U2577&gt;$L$6,T2577,""),"")</f>
        <v/>
      </c>
      <c r="W2577">
        <f>IF(AND(ISNUMBER('자료_거시'!$G2559),ISNUMBER('자료_거시'!$H2559)),'자료_거시'!$H2559,"")</f>
        <v/>
      </c>
      <c r="X2577">
        <f>IF(ISNUMBER(W2577),'자료_거시'!$G2559,"")</f>
        <v/>
      </c>
      <c r="Y2577">
        <f>IF(ISNUMBER(X2577),IF(X2577&gt;$L$7,W2577,""),"")</f>
        <v/>
      </c>
      <c r="Z2577">
        <f>IF(ISNUMBER('자료_거시'!$K2559),'자료_거시'!$K2559,Z2576)</f>
        <v/>
      </c>
      <c r="AA2577">
        <f>IF(AND(ISNUMBER('자료_거시'!$J2559),ISNUMBER('자료_거시'!$K2559)),IFERROR('자료_거시'!$K2559/INDEX($Z$21:$Z$4020,MATCH(EDATE('자료_거시'!$J2559,-'설정'!$B$17),'자료_거시'!$J$3:INDEX('자료_거시'!$J$3:$J$4002,$K$8),1))-1,""),"")</f>
        <v/>
      </c>
      <c r="AB2577">
        <f>IF(ISNUMBER(AA2577),'자료_거시'!$J2559,"")</f>
        <v/>
      </c>
      <c r="AC2577">
        <f>IF(ISNUMBER(AB2577),IF(AB2577&gt;$L$8,AA2577,""),"")</f>
        <v/>
      </c>
    </row>
    <row r="2578">
      <c r="S2578">
        <f>IF(ISNUMBER('자료_거시'!$E2560),'자료_거시'!$E2560,S2577)</f>
        <v/>
      </c>
      <c r="T2578">
        <f>IF(AND(ISNUMBER('자료_거시'!$D2560),ISNUMBER('자료_거시'!$E2560)),IFERROR('자료_거시'!$E2560-INDEX($S$21:$S$4020,MATCH(EDATE('자료_거시'!$D2560,-'설정'!$B$17),'자료_거시'!$D$3:INDEX('자료_거시'!$D$3:$D$4002,$K$6),1)),""),"")</f>
        <v/>
      </c>
      <c r="U2578">
        <f>IF(ISNUMBER(T2578),'자료_거시'!$D2560,"")</f>
        <v/>
      </c>
      <c r="V2578">
        <f>IF(ISNUMBER(U2578),IF(U2578&gt;$L$6,T2578,""),"")</f>
        <v/>
      </c>
      <c r="W2578">
        <f>IF(AND(ISNUMBER('자료_거시'!$G2560),ISNUMBER('자료_거시'!$H2560)),'자료_거시'!$H2560,"")</f>
        <v/>
      </c>
      <c r="X2578">
        <f>IF(ISNUMBER(W2578),'자료_거시'!$G2560,"")</f>
        <v/>
      </c>
      <c r="Y2578">
        <f>IF(ISNUMBER(X2578),IF(X2578&gt;$L$7,W2578,""),"")</f>
        <v/>
      </c>
      <c r="Z2578">
        <f>IF(ISNUMBER('자료_거시'!$K2560),'자료_거시'!$K2560,Z2577)</f>
        <v/>
      </c>
      <c r="AA2578">
        <f>IF(AND(ISNUMBER('자료_거시'!$J2560),ISNUMBER('자료_거시'!$K2560)),IFERROR('자료_거시'!$K2560/INDEX($Z$21:$Z$4020,MATCH(EDATE('자료_거시'!$J2560,-'설정'!$B$17),'자료_거시'!$J$3:INDEX('자료_거시'!$J$3:$J$4002,$K$8),1))-1,""),"")</f>
        <v/>
      </c>
      <c r="AB2578">
        <f>IF(ISNUMBER(AA2578),'자료_거시'!$J2560,"")</f>
        <v/>
      </c>
      <c r="AC2578">
        <f>IF(ISNUMBER(AB2578),IF(AB2578&gt;$L$8,AA2578,""),"")</f>
        <v/>
      </c>
    </row>
    <row r="2579">
      <c r="S2579">
        <f>IF(ISNUMBER('자료_거시'!$E2561),'자료_거시'!$E2561,S2578)</f>
        <v/>
      </c>
      <c r="T2579">
        <f>IF(AND(ISNUMBER('자료_거시'!$D2561),ISNUMBER('자료_거시'!$E2561)),IFERROR('자료_거시'!$E2561-INDEX($S$21:$S$4020,MATCH(EDATE('자료_거시'!$D2561,-'설정'!$B$17),'자료_거시'!$D$3:INDEX('자료_거시'!$D$3:$D$4002,$K$6),1)),""),"")</f>
        <v/>
      </c>
      <c r="U2579">
        <f>IF(ISNUMBER(T2579),'자료_거시'!$D2561,"")</f>
        <v/>
      </c>
      <c r="V2579">
        <f>IF(ISNUMBER(U2579),IF(U2579&gt;$L$6,T2579,""),"")</f>
        <v/>
      </c>
      <c r="W2579">
        <f>IF(AND(ISNUMBER('자료_거시'!$G2561),ISNUMBER('자료_거시'!$H2561)),'자료_거시'!$H2561,"")</f>
        <v/>
      </c>
      <c r="X2579">
        <f>IF(ISNUMBER(W2579),'자료_거시'!$G2561,"")</f>
        <v/>
      </c>
      <c r="Y2579">
        <f>IF(ISNUMBER(X2579),IF(X2579&gt;$L$7,W2579,""),"")</f>
        <v/>
      </c>
      <c r="Z2579">
        <f>IF(ISNUMBER('자료_거시'!$K2561),'자료_거시'!$K2561,Z2578)</f>
        <v/>
      </c>
      <c r="AA2579">
        <f>IF(AND(ISNUMBER('자료_거시'!$J2561),ISNUMBER('자료_거시'!$K2561)),IFERROR('자료_거시'!$K2561/INDEX($Z$21:$Z$4020,MATCH(EDATE('자료_거시'!$J2561,-'설정'!$B$17),'자료_거시'!$J$3:INDEX('자료_거시'!$J$3:$J$4002,$K$8),1))-1,""),"")</f>
        <v/>
      </c>
      <c r="AB2579">
        <f>IF(ISNUMBER(AA2579),'자료_거시'!$J2561,"")</f>
        <v/>
      </c>
      <c r="AC2579">
        <f>IF(ISNUMBER(AB2579),IF(AB2579&gt;$L$8,AA2579,""),"")</f>
        <v/>
      </c>
    </row>
    <row r="2580">
      <c r="S2580">
        <f>IF(ISNUMBER('자료_거시'!$E2562),'자료_거시'!$E2562,S2579)</f>
        <v/>
      </c>
      <c r="T2580">
        <f>IF(AND(ISNUMBER('자료_거시'!$D2562),ISNUMBER('자료_거시'!$E2562)),IFERROR('자료_거시'!$E2562-INDEX($S$21:$S$4020,MATCH(EDATE('자료_거시'!$D2562,-'설정'!$B$17),'자료_거시'!$D$3:INDEX('자료_거시'!$D$3:$D$4002,$K$6),1)),""),"")</f>
        <v/>
      </c>
      <c r="U2580">
        <f>IF(ISNUMBER(T2580),'자료_거시'!$D2562,"")</f>
        <v/>
      </c>
      <c r="V2580">
        <f>IF(ISNUMBER(U2580),IF(U2580&gt;$L$6,T2580,""),"")</f>
        <v/>
      </c>
      <c r="W2580">
        <f>IF(AND(ISNUMBER('자료_거시'!$G2562),ISNUMBER('자료_거시'!$H2562)),'자료_거시'!$H2562,"")</f>
        <v/>
      </c>
      <c r="X2580">
        <f>IF(ISNUMBER(W2580),'자료_거시'!$G2562,"")</f>
        <v/>
      </c>
      <c r="Y2580">
        <f>IF(ISNUMBER(X2580),IF(X2580&gt;$L$7,W2580,""),"")</f>
        <v/>
      </c>
      <c r="Z2580">
        <f>IF(ISNUMBER('자료_거시'!$K2562),'자료_거시'!$K2562,Z2579)</f>
        <v/>
      </c>
      <c r="AA2580">
        <f>IF(AND(ISNUMBER('자료_거시'!$J2562),ISNUMBER('자료_거시'!$K2562)),IFERROR('자료_거시'!$K2562/INDEX($Z$21:$Z$4020,MATCH(EDATE('자료_거시'!$J2562,-'설정'!$B$17),'자료_거시'!$J$3:INDEX('자료_거시'!$J$3:$J$4002,$K$8),1))-1,""),"")</f>
        <v/>
      </c>
      <c r="AB2580">
        <f>IF(ISNUMBER(AA2580),'자료_거시'!$J2562,"")</f>
        <v/>
      </c>
      <c r="AC2580">
        <f>IF(ISNUMBER(AB2580),IF(AB2580&gt;$L$8,AA2580,""),"")</f>
        <v/>
      </c>
    </row>
    <row r="2581">
      <c r="S2581">
        <f>IF(ISNUMBER('자료_거시'!$E2563),'자료_거시'!$E2563,S2580)</f>
        <v/>
      </c>
      <c r="T2581">
        <f>IF(AND(ISNUMBER('자료_거시'!$D2563),ISNUMBER('자료_거시'!$E2563)),IFERROR('자료_거시'!$E2563-INDEX($S$21:$S$4020,MATCH(EDATE('자료_거시'!$D2563,-'설정'!$B$17),'자료_거시'!$D$3:INDEX('자료_거시'!$D$3:$D$4002,$K$6),1)),""),"")</f>
        <v/>
      </c>
      <c r="U2581">
        <f>IF(ISNUMBER(T2581),'자료_거시'!$D2563,"")</f>
        <v/>
      </c>
      <c r="V2581">
        <f>IF(ISNUMBER(U2581),IF(U2581&gt;$L$6,T2581,""),"")</f>
        <v/>
      </c>
      <c r="W2581">
        <f>IF(AND(ISNUMBER('자료_거시'!$G2563),ISNUMBER('자료_거시'!$H2563)),'자료_거시'!$H2563,"")</f>
        <v/>
      </c>
      <c r="X2581">
        <f>IF(ISNUMBER(W2581),'자료_거시'!$G2563,"")</f>
        <v/>
      </c>
      <c r="Y2581">
        <f>IF(ISNUMBER(X2581),IF(X2581&gt;$L$7,W2581,""),"")</f>
        <v/>
      </c>
      <c r="Z2581">
        <f>IF(ISNUMBER('자료_거시'!$K2563),'자료_거시'!$K2563,Z2580)</f>
        <v/>
      </c>
      <c r="AA2581">
        <f>IF(AND(ISNUMBER('자료_거시'!$J2563),ISNUMBER('자료_거시'!$K2563)),IFERROR('자료_거시'!$K2563/INDEX($Z$21:$Z$4020,MATCH(EDATE('자료_거시'!$J2563,-'설정'!$B$17),'자료_거시'!$J$3:INDEX('자료_거시'!$J$3:$J$4002,$K$8),1))-1,""),"")</f>
        <v/>
      </c>
      <c r="AB2581">
        <f>IF(ISNUMBER(AA2581),'자료_거시'!$J2563,"")</f>
        <v/>
      </c>
      <c r="AC2581">
        <f>IF(ISNUMBER(AB2581),IF(AB2581&gt;$L$8,AA2581,""),"")</f>
        <v/>
      </c>
    </row>
    <row r="2582">
      <c r="S2582">
        <f>IF(ISNUMBER('자료_거시'!$E2564),'자료_거시'!$E2564,S2581)</f>
        <v/>
      </c>
      <c r="T2582">
        <f>IF(AND(ISNUMBER('자료_거시'!$D2564),ISNUMBER('자료_거시'!$E2564)),IFERROR('자료_거시'!$E2564-INDEX($S$21:$S$4020,MATCH(EDATE('자료_거시'!$D2564,-'설정'!$B$17),'자료_거시'!$D$3:INDEX('자료_거시'!$D$3:$D$4002,$K$6),1)),""),"")</f>
        <v/>
      </c>
      <c r="U2582">
        <f>IF(ISNUMBER(T2582),'자료_거시'!$D2564,"")</f>
        <v/>
      </c>
      <c r="V2582">
        <f>IF(ISNUMBER(U2582),IF(U2582&gt;$L$6,T2582,""),"")</f>
        <v/>
      </c>
      <c r="W2582">
        <f>IF(AND(ISNUMBER('자료_거시'!$G2564),ISNUMBER('자료_거시'!$H2564)),'자료_거시'!$H2564,"")</f>
        <v/>
      </c>
      <c r="X2582">
        <f>IF(ISNUMBER(W2582),'자료_거시'!$G2564,"")</f>
        <v/>
      </c>
      <c r="Y2582">
        <f>IF(ISNUMBER(X2582),IF(X2582&gt;$L$7,W2582,""),"")</f>
        <v/>
      </c>
      <c r="Z2582">
        <f>IF(ISNUMBER('자료_거시'!$K2564),'자료_거시'!$K2564,Z2581)</f>
        <v/>
      </c>
      <c r="AA2582">
        <f>IF(AND(ISNUMBER('자료_거시'!$J2564),ISNUMBER('자료_거시'!$K2564)),IFERROR('자료_거시'!$K2564/INDEX($Z$21:$Z$4020,MATCH(EDATE('자료_거시'!$J2564,-'설정'!$B$17),'자료_거시'!$J$3:INDEX('자료_거시'!$J$3:$J$4002,$K$8),1))-1,""),"")</f>
        <v/>
      </c>
      <c r="AB2582">
        <f>IF(ISNUMBER(AA2582),'자료_거시'!$J2564,"")</f>
        <v/>
      </c>
      <c r="AC2582">
        <f>IF(ISNUMBER(AB2582),IF(AB2582&gt;$L$8,AA2582,""),"")</f>
        <v/>
      </c>
    </row>
    <row r="2583">
      <c r="S2583">
        <f>IF(ISNUMBER('자료_거시'!$E2565),'자료_거시'!$E2565,S2582)</f>
        <v/>
      </c>
      <c r="T2583">
        <f>IF(AND(ISNUMBER('자료_거시'!$D2565),ISNUMBER('자료_거시'!$E2565)),IFERROR('자료_거시'!$E2565-INDEX($S$21:$S$4020,MATCH(EDATE('자료_거시'!$D2565,-'설정'!$B$17),'자료_거시'!$D$3:INDEX('자료_거시'!$D$3:$D$4002,$K$6),1)),""),"")</f>
        <v/>
      </c>
      <c r="U2583">
        <f>IF(ISNUMBER(T2583),'자료_거시'!$D2565,"")</f>
        <v/>
      </c>
      <c r="V2583">
        <f>IF(ISNUMBER(U2583),IF(U2583&gt;$L$6,T2583,""),"")</f>
        <v/>
      </c>
      <c r="W2583">
        <f>IF(AND(ISNUMBER('자료_거시'!$G2565),ISNUMBER('자료_거시'!$H2565)),'자료_거시'!$H2565,"")</f>
        <v/>
      </c>
      <c r="X2583">
        <f>IF(ISNUMBER(W2583),'자료_거시'!$G2565,"")</f>
        <v/>
      </c>
      <c r="Y2583">
        <f>IF(ISNUMBER(X2583),IF(X2583&gt;$L$7,W2583,""),"")</f>
        <v/>
      </c>
      <c r="Z2583">
        <f>IF(ISNUMBER('자료_거시'!$K2565),'자료_거시'!$K2565,Z2582)</f>
        <v/>
      </c>
      <c r="AA2583">
        <f>IF(AND(ISNUMBER('자료_거시'!$J2565),ISNUMBER('자료_거시'!$K2565)),IFERROR('자료_거시'!$K2565/INDEX($Z$21:$Z$4020,MATCH(EDATE('자료_거시'!$J2565,-'설정'!$B$17),'자료_거시'!$J$3:INDEX('자료_거시'!$J$3:$J$4002,$K$8),1))-1,""),"")</f>
        <v/>
      </c>
      <c r="AB2583">
        <f>IF(ISNUMBER(AA2583),'자료_거시'!$J2565,"")</f>
        <v/>
      </c>
      <c r="AC2583">
        <f>IF(ISNUMBER(AB2583),IF(AB2583&gt;$L$8,AA2583,""),"")</f>
        <v/>
      </c>
    </row>
    <row r="2584">
      <c r="S2584">
        <f>IF(ISNUMBER('자료_거시'!$E2566),'자료_거시'!$E2566,S2583)</f>
        <v/>
      </c>
      <c r="T2584">
        <f>IF(AND(ISNUMBER('자료_거시'!$D2566),ISNUMBER('자료_거시'!$E2566)),IFERROR('자료_거시'!$E2566-INDEX($S$21:$S$4020,MATCH(EDATE('자료_거시'!$D2566,-'설정'!$B$17),'자료_거시'!$D$3:INDEX('자료_거시'!$D$3:$D$4002,$K$6),1)),""),"")</f>
        <v/>
      </c>
      <c r="U2584">
        <f>IF(ISNUMBER(T2584),'자료_거시'!$D2566,"")</f>
        <v/>
      </c>
      <c r="V2584">
        <f>IF(ISNUMBER(U2584),IF(U2584&gt;$L$6,T2584,""),"")</f>
        <v/>
      </c>
      <c r="W2584">
        <f>IF(AND(ISNUMBER('자료_거시'!$G2566),ISNUMBER('자료_거시'!$H2566)),'자료_거시'!$H2566,"")</f>
        <v/>
      </c>
      <c r="X2584">
        <f>IF(ISNUMBER(W2584),'자료_거시'!$G2566,"")</f>
        <v/>
      </c>
      <c r="Y2584">
        <f>IF(ISNUMBER(X2584),IF(X2584&gt;$L$7,W2584,""),"")</f>
        <v/>
      </c>
      <c r="Z2584">
        <f>IF(ISNUMBER('자료_거시'!$K2566),'자료_거시'!$K2566,Z2583)</f>
        <v/>
      </c>
      <c r="AA2584">
        <f>IF(AND(ISNUMBER('자료_거시'!$J2566),ISNUMBER('자료_거시'!$K2566)),IFERROR('자료_거시'!$K2566/INDEX($Z$21:$Z$4020,MATCH(EDATE('자료_거시'!$J2566,-'설정'!$B$17),'자료_거시'!$J$3:INDEX('자료_거시'!$J$3:$J$4002,$K$8),1))-1,""),"")</f>
        <v/>
      </c>
      <c r="AB2584">
        <f>IF(ISNUMBER(AA2584),'자료_거시'!$J2566,"")</f>
        <v/>
      </c>
      <c r="AC2584">
        <f>IF(ISNUMBER(AB2584),IF(AB2584&gt;$L$8,AA2584,""),"")</f>
        <v/>
      </c>
    </row>
    <row r="2585">
      <c r="S2585">
        <f>IF(ISNUMBER('자료_거시'!$E2567),'자료_거시'!$E2567,S2584)</f>
        <v/>
      </c>
      <c r="T2585">
        <f>IF(AND(ISNUMBER('자료_거시'!$D2567),ISNUMBER('자료_거시'!$E2567)),IFERROR('자료_거시'!$E2567-INDEX($S$21:$S$4020,MATCH(EDATE('자료_거시'!$D2567,-'설정'!$B$17),'자료_거시'!$D$3:INDEX('자료_거시'!$D$3:$D$4002,$K$6),1)),""),"")</f>
        <v/>
      </c>
      <c r="U2585">
        <f>IF(ISNUMBER(T2585),'자료_거시'!$D2567,"")</f>
        <v/>
      </c>
      <c r="V2585">
        <f>IF(ISNUMBER(U2585),IF(U2585&gt;$L$6,T2585,""),"")</f>
        <v/>
      </c>
      <c r="W2585">
        <f>IF(AND(ISNUMBER('자료_거시'!$G2567),ISNUMBER('자료_거시'!$H2567)),'자료_거시'!$H2567,"")</f>
        <v/>
      </c>
      <c r="X2585">
        <f>IF(ISNUMBER(W2585),'자료_거시'!$G2567,"")</f>
        <v/>
      </c>
      <c r="Y2585">
        <f>IF(ISNUMBER(X2585),IF(X2585&gt;$L$7,W2585,""),"")</f>
        <v/>
      </c>
      <c r="Z2585">
        <f>IF(ISNUMBER('자료_거시'!$K2567),'자료_거시'!$K2567,Z2584)</f>
        <v/>
      </c>
      <c r="AA2585">
        <f>IF(AND(ISNUMBER('자료_거시'!$J2567),ISNUMBER('자료_거시'!$K2567)),IFERROR('자료_거시'!$K2567/INDEX($Z$21:$Z$4020,MATCH(EDATE('자료_거시'!$J2567,-'설정'!$B$17),'자료_거시'!$J$3:INDEX('자료_거시'!$J$3:$J$4002,$K$8),1))-1,""),"")</f>
        <v/>
      </c>
      <c r="AB2585">
        <f>IF(ISNUMBER(AA2585),'자료_거시'!$J2567,"")</f>
        <v/>
      </c>
      <c r="AC2585">
        <f>IF(ISNUMBER(AB2585),IF(AB2585&gt;$L$8,AA2585,""),"")</f>
        <v/>
      </c>
    </row>
    <row r="2586">
      <c r="S2586">
        <f>IF(ISNUMBER('자료_거시'!$E2568),'자료_거시'!$E2568,S2585)</f>
        <v/>
      </c>
      <c r="T2586">
        <f>IF(AND(ISNUMBER('자료_거시'!$D2568),ISNUMBER('자료_거시'!$E2568)),IFERROR('자료_거시'!$E2568-INDEX($S$21:$S$4020,MATCH(EDATE('자료_거시'!$D2568,-'설정'!$B$17),'자료_거시'!$D$3:INDEX('자료_거시'!$D$3:$D$4002,$K$6),1)),""),"")</f>
        <v/>
      </c>
      <c r="U2586">
        <f>IF(ISNUMBER(T2586),'자료_거시'!$D2568,"")</f>
        <v/>
      </c>
      <c r="V2586">
        <f>IF(ISNUMBER(U2586),IF(U2586&gt;$L$6,T2586,""),"")</f>
        <v/>
      </c>
      <c r="W2586">
        <f>IF(AND(ISNUMBER('자료_거시'!$G2568),ISNUMBER('자료_거시'!$H2568)),'자료_거시'!$H2568,"")</f>
        <v/>
      </c>
      <c r="X2586">
        <f>IF(ISNUMBER(W2586),'자료_거시'!$G2568,"")</f>
        <v/>
      </c>
      <c r="Y2586">
        <f>IF(ISNUMBER(X2586),IF(X2586&gt;$L$7,W2586,""),"")</f>
        <v/>
      </c>
      <c r="Z2586">
        <f>IF(ISNUMBER('자료_거시'!$K2568),'자료_거시'!$K2568,Z2585)</f>
        <v/>
      </c>
      <c r="AA2586">
        <f>IF(AND(ISNUMBER('자료_거시'!$J2568),ISNUMBER('자료_거시'!$K2568)),IFERROR('자료_거시'!$K2568/INDEX($Z$21:$Z$4020,MATCH(EDATE('자료_거시'!$J2568,-'설정'!$B$17),'자료_거시'!$J$3:INDEX('자료_거시'!$J$3:$J$4002,$K$8),1))-1,""),"")</f>
        <v/>
      </c>
      <c r="AB2586">
        <f>IF(ISNUMBER(AA2586),'자료_거시'!$J2568,"")</f>
        <v/>
      </c>
      <c r="AC2586">
        <f>IF(ISNUMBER(AB2586),IF(AB2586&gt;$L$8,AA2586,""),"")</f>
        <v/>
      </c>
    </row>
    <row r="2587">
      <c r="S2587">
        <f>IF(ISNUMBER('자료_거시'!$E2569),'자료_거시'!$E2569,S2586)</f>
        <v/>
      </c>
      <c r="T2587">
        <f>IF(AND(ISNUMBER('자료_거시'!$D2569),ISNUMBER('자료_거시'!$E2569)),IFERROR('자료_거시'!$E2569-INDEX($S$21:$S$4020,MATCH(EDATE('자료_거시'!$D2569,-'설정'!$B$17),'자료_거시'!$D$3:INDEX('자료_거시'!$D$3:$D$4002,$K$6),1)),""),"")</f>
        <v/>
      </c>
      <c r="U2587">
        <f>IF(ISNUMBER(T2587),'자료_거시'!$D2569,"")</f>
        <v/>
      </c>
      <c r="V2587">
        <f>IF(ISNUMBER(U2587),IF(U2587&gt;$L$6,T2587,""),"")</f>
        <v/>
      </c>
      <c r="W2587">
        <f>IF(AND(ISNUMBER('자료_거시'!$G2569),ISNUMBER('자료_거시'!$H2569)),'자료_거시'!$H2569,"")</f>
        <v/>
      </c>
      <c r="X2587">
        <f>IF(ISNUMBER(W2587),'자료_거시'!$G2569,"")</f>
        <v/>
      </c>
      <c r="Y2587">
        <f>IF(ISNUMBER(X2587),IF(X2587&gt;$L$7,W2587,""),"")</f>
        <v/>
      </c>
      <c r="Z2587">
        <f>IF(ISNUMBER('자료_거시'!$K2569),'자료_거시'!$K2569,Z2586)</f>
        <v/>
      </c>
      <c r="AA2587">
        <f>IF(AND(ISNUMBER('자료_거시'!$J2569),ISNUMBER('자료_거시'!$K2569)),IFERROR('자료_거시'!$K2569/INDEX($Z$21:$Z$4020,MATCH(EDATE('자료_거시'!$J2569,-'설정'!$B$17),'자료_거시'!$J$3:INDEX('자료_거시'!$J$3:$J$4002,$K$8),1))-1,""),"")</f>
        <v/>
      </c>
      <c r="AB2587">
        <f>IF(ISNUMBER(AA2587),'자료_거시'!$J2569,"")</f>
        <v/>
      </c>
      <c r="AC2587">
        <f>IF(ISNUMBER(AB2587),IF(AB2587&gt;$L$8,AA2587,""),"")</f>
        <v/>
      </c>
    </row>
    <row r="2588">
      <c r="S2588">
        <f>IF(ISNUMBER('자료_거시'!$E2570),'자료_거시'!$E2570,S2587)</f>
        <v/>
      </c>
      <c r="T2588">
        <f>IF(AND(ISNUMBER('자료_거시'!$D2570),ISNUMBER('자료_거시'!$E2570)),IFERROR('자료_거시'!$E2570-INDEX($S$21:$S$4020,MATCH(EDATE('자료_거시'!$D2570,-'설정'!$B$17),'자료_거시'!$D$3:INDEX('자료_거시'!$D$3:$D$4002,$K$6),1)),""),"")</f>
        <v/>
      </c>
      <c r="U2588">
        <f>IF(ISNUMBER(T2588),'자료_거시'!$D2570,"")</f>
        <v/>
      </c>
      <c r="V2588">
        <f>IF(ISNUMBER(U2588),IF(U2588&gt;$L$6,T2588,""),"")</f>
        <v/>
      </c>
      <c r="W2588">
        <f>IF(AND(ISNUMBER('자료_거시'!$G2570),ISNUMBER('자료_거시'!$H2570)),'자료_거시'!$H2570,"")</f>
        <v/>
      </c>
      <c r="X2588">
        <f>IF(ISNUMBER(W2588),'자료_거시'!$G2570,"")</f>
        <v/>
      </c>
      <c r="Y2588">
        <f>IF(ISNUMBER(X2588),IF(X2588&gt;$L$7,W2588,""),"")</f>
        <v/>
      </c>
      <c r="Z2588">
        <f>IF(ISNUMBER('자료_거시'!$K2570),'자료_거시'!$K2570,Z2587)</f>
        <v/>
      </c>
      <c r="AA2588">
        <f>IF(AND(ISNUMBER('자료_거시'!$J2570),ISNUMBER('자료_거시'!$K2570)),IFERROR('자료_거시'!$K2570/INDEX($Z$21:$Z$4020,MATCH(EDATE('자료_거시'!$J2570,-'설정'!$B$17),'자료_거시'!$J$3:INDEX('자료_거시'!$J$3:$J$4002,$K$8),1))-1,""),"")</f>
        <v/>
      </c>
      <c r="AB2588">
        <f>IF(ISNUMBER(AA2588),'자료_거시'!$J2570,"")</f>
        <v/>
      </c>
      <c r="AC2588">
        <f>IF(ISNUMBER(AB2588),IF(AB2588&gt;$L$8,AA2588,""),"")</f>
        <v/>
      </c>
    </row>
    <row r="2589">
      <c r="S2589">
        <f>IF(ISNUMBER('자료_거시'!$E2571),'자료_거시'!$E2571,S2588)</f>
        <v/>
      </c>
      <c r="T2589">
        <f>IF(AND(ISNUMBER('자료_거시'!$D2571),ISNUMBER('자료_거시'!$E2571)),IFERROR('자료_거시'!$E2571-INDEX($S$21:$S$4020,MATCH(EDATE('자료_거시'!$D2571,-'설정'!$B$17),'자료_거시'!$D$3:INDEX('자료_거시'!$D$3:$D$4002,$K$6),1)),""),"")</f>
        <v/>
      </c>
      <c r="U2589">
        <f>IF(ISNUMBER(T2589),'자료_거시'!$D2571,"")</f>
        <v/>
      </c>
      <c r="V2589">
        <f>IF(ISNUMBER(U2589),IF(U2589&gt;$L$6,T2589,""),"")</f>
        <v/>
      </c>
      <c r="W2589">
        <f>IF(AND(ISNUMBER('자료_거시'!$G2571),ISNUMBER('자료_거시'!$H2571)),'자료_거시'!$H2571,"")</f>
        <v/>
      </c>
      <c r="X2589">
        <f>IF(ISNUMBER(W2589),'자료_거시'!$G2571,"")</f>
        <v/>
      </c>
      <c r="Y2589">
        <f>IF(ISNUMBER(X2589),IF(X2589&gt;$L$7,W2589,""),"")</f>
        <v/>
      </c>
      <c r="Z2589">
        <f>IF(ISNUMBER('자료_거시'!$K2571),'자료_거시'!$K2571,Z2588)</f>
        <v/>
      </c>
      <c r="AA2589">
        <f>IF(AND(ISNUMBER('자료_거시'!$J2571),ISNUMBER('자료_거시'!$K2571)),IFERROR('자료_거시'!$K2571/INDEX($Z$21:$Z$4020,MATCH(EDATE('자료_거시'!$J2571,-'설정'!$B$17),'자료_거시'!$J$3:INDEX('자료_거시'!$J$3:$J$4002,$K$8),1))-1,""),"")</f>
        <v/>
      </c>
      <c r="AB2589">
        <f>IF(ISNUMBER(AA2589),'자료_거시'!$J2571,"")</f>
        <v/>
      </c>
      <c r="AC2589">
        <f>IF(ISNUMBER(AB2589),IF(AB2589&gt;$L$8,AA2589,""),"")</f>
        <v/>
      </c>
    </row>
    <row r="2590">
      <c r="S2590">
        <f>IF(ISNUMBER('자료_거시'!$E2572),'자료_거시'!$E2572,S2589)</f>
        <v/>
      </c>
      <c r="T2590">
        <f>IF(AND(ISNUMBER('자료_거시'!$D2572),ISNUMBER('자료_거시'!$E2572)),IFERROR('자료_거시'!$E2572-INDEX($S$21:$S$4020,MATCH(EDATE('자료_거시'!$D2572,-'설정'!$B$17),'자료_거시'!$D$3:INDEX('자료_거시'!$D$3:$D$4002,$K$6),1)),""),"")</f>
        <v/>
      </c>
      <c r="U2590">
        <f>IF(ISNUMBER(T2590),'자료_거시'!$D2572,"")</f>
        <v/>
      </c>
      <c r="V2590">
        <f>IF(ISNUMBER(U2590),IF(U2590&gt;$L$6,T2590,""),"")</f>
        <v/>
      </c>
      <c r="W2590">
        <f>IF(AND(ISNUMBER('자료_거시'!$G2572),ISNUMBER('자료_거시'!$H2572)),'자료_거시'!$H2572,"")</f>
        <v/>
      </c>
      <c r="X2590">
        <f>IF(ISNUMBER(W2590),'자료_거시'!$G2572,"")</f>
        <v/>
      </c>
      <c r="Y2590">
        <f>IF(ISNUMBER(X2590),IF(X2590&gt;$L$7,W2590,""),"")</f>
        <v/>
      </c>
      <c r="Z2590">
        <f>IF(ISNUMBER('자료_거시'!$K2572),'자료_거시'!$K2572,Z2589)</f>
        <v/>
      </c>
      <c r="AA2590">
        <f>IF(AND(ISNUMBER('자료_거시'!$J2572),ISNUMBER('자료_거시'!$K2572)),IFERROR('자료_거시'!$K2572/INDEX($Z$21:$Z$4020,MATCH(EDATE('자료_거시'!$J2572,-'설정'!$B$17),'자료_거시'!$J$3:INDEX('자료_거시'!$J$3:$J$4002,$K$8),1))-1,""),"")</f>
        <v/>
      </c>
      <c r="AB2590">
        <f>IF(ISNUMBER(AA2590),'자료_거시'!$J2572,"")</f>
        <v/>
      </c>
      <c r="AC2590">
        <f>IF(ISNUMBER(AB2590),IF(AB2590&gt;$L$8,AA2590,""),"")</f>
        <v/>
      </c>
    </row>
    <row r="2591">
      <c r="S2591">
        <f>IF(ISNUMBER('자료_거시'!$E2573),'자료_거시'!$E2573,S2590)</f>
        <v/>
      </c>
      <c r="T2591">
        <f>IF(AND(ISNUMBER('자료_거시'!$D2573),ISNUMBER('자료_거시'!$E2573)),IFERROR('자료_거시'!$E2573-INDEX($S$21:$S$4020,MATCH(EDATE('자료_거시'!$D2573,-'설정'!$B$17),'자료_거시'!$D$3:INDEX('자료_거시'!$D$3:$D$4002,$K$6),1)),""),"")</f>
        <v/>
      </c>
      <c r="U2591">
        <f>IF(ISNUMBER(T2591),'자료_거시'!$D2573,"")</f>
        <v/>
      </c>
      <c r="V2591">
        <f>IF(ISNUMBER(U2591),IF(U2591&gt;$L$6,T2591,""),"")</f>
        <v/>
      </c>
      <c r="W2591">
        <f>IF(AND(ISNUMBER('자료_거시'!$G2573),ISNUMBER('자료_거시'!$H2573)),'자료_거시'!$H2573,"")</f>
        <v/>
      </c>
      <c r="X2591">
        <f>IF(ISNUMBER(W2591),'자료_거시'!$G2573,"")</f>
        <v/>
      </c>
      <c r="Y2591">
        <f>IF(ISNUMBER(X2591),IF(X2591&gt;$L$7,W2591,""),"")</f>
        <v/>
      </c>
      <c r="Z2591">
        <f>IF(ISNUMBER('자료_거시'!$K2573),'자료_거시'!$K2573,Z2590)</f>
        <v/>
      </c>
      <c r="AA2591">
        <f>IF(AND(ISNUMBER('자료_거시'!$J2573),ISNUMBER('자료_거시'!$K2573)),IFERROR('자료_거시'!$K2573/INDEX($Z$21:$Z$4020,MATCH(EDATE('자료_거시'!$J2573,-'설정'!$B$17),'자료_거시'!$J$3:INDEX('자료_거시'!$J$3:$J$4002,$K$8),1))-1,""),"")</f>
        <v/>
      </c>
      <c r="AB2591">
        <f>IF(ISNUMBER(AA2591),'자료_거시'!$J2573,"")</f>
        <v/>
      </c>
      <c r="AC2591">
        <f>IF(ISNUMBER(AB2591),IF(AB2591&gt;$L$8,AA2591,""),"")</f>
        <v/>
      </c>
    </row>
    <row r="2592">
      <c r="S2592">
        <f>IF(ISNUMBER('자료_거시'!$E2574),'자료_거시'!$E2574,S2591)</f>
        <v/>
      </c>
      <c r="T2592">
        <f>IF(AND(ISNUMBER('자료_거시'!$D2574),ISNUMBER('자료_거시'!$E2574)),IFERROR('자료_거시'!$E2574-INDEX($S$21:$S$4020,MATCH(EDATE('자료_거시'!$D2574,-'설정'!$B$17),'자료_거시'!$D$3:INDEX('자료_거시'!$D$3:$D$4002,$K$6),1)),""),"")</f>
        <v/>
      </c>
      <c r="U2592">
        <f>IF(ISNUMBER(T2592),'자료_거시'!$D2574,"")</f>
        <v/>
      </c>
      <c r="V2592">
        <f>IF(ISNUMBER(U2592),IF(U2592&gt;$L$6,T2592,""),"")</f>
        <v/>
      </c>
      <c r="W2592">
        <f>IF(AND(ISNUMBER('자료_거시'!$G2574),ISNUMBER('자료_거시'!$H2574)),'자료_거시'!$H2574,"")</f>
        <v/>
      </c>
      <c r="X2592">
        <f>IF(ISNUMBER(W2592),'자료_거시'!$G2574,"")</f>
        <v/>
      </c>
      <c r="Y2592">
        <f>IF(ISNUMBER(X2592),IF(X2592&gt;$L$7,W2592,""),"")</f>
        <v/>
      </c>
      <c r="Z2592">
        <f>IF(ISNUMBER('자료_거시'!$K2574),'자료_거시'!$K2574,Z2591)</f>
        <v/>
      </c>
      <c r="AA2592">
        <f>IF(AND(ISNUMBER('자료_거시'!$J2574),ISNUMBER('자료_거시'!$K2574)),IFERROR('자료_거시'!$K2574/INDEX($Z$21:$Z$4020,MATCH(EDATE('자료_거시'!$J2574,-'설정'!$B$17),'자료_거시'!$J$3:INDEX('자료_거시'!$J$3:$J$4002,$K$8),1))-1,""),"")</f>
        <v/>
      </c>
      <c r="AB2592">
        <f>IF(ISNUMBER(AA2592),'자료_거시'!$J2574,"")</f>
        <v/>
      </c>
      <c r="AC2592">
        <f>IF(ISNUMBER(AB2592),IF(AB2592&gt;$L$8,AA2592,""),"")</f>
        <v/>
      </c>
    </row>
    <row r="2593">
      <c r="S2593">
        <f>IF(ISNUMBER('자료_거시'!$E2575),'자료_거시'!$E2575,S2592)</f>
        <v/>
      </c>
      <c r="T2593">
        <f>IF(AND(ISNUMBER('자료_거시'!$D2575),ISNUMBER('자료_거시'!$E2575)),IFERROR('자료_거시'!$E2575-INDEX($S$21:$S$4020,MATCH(EDATE('자료_거시'!$D2575,-'설정'!$B$17),'자료_거시'!$D$3:INDEX('자료_거시'!$D$3:$D$4002,$K$6),1)),""),"")</f>
        <v/>
      </c>
      <c r="U2593">
        <f>IF(ISNUMBER(T2593),'자료_거시'!$D2575,"")</f>
        <v/>
      </c>
      <c r="V2593">
        <f>IF(ISNUMBER(U2593),IF(U2593&gt;$L$6,T2593,""),"")</f>
        <v/>
      </c>
      <c r="W2593">
        <f>IF(AND(ISNUMBER('자료_거시'!$G2575),ISNUMBER('자료_거시'!$H2575)),'자료_거시'!$H2575,"")</f>
        <v/>
      </c>
      <c r="X2593">
        <f>IF(ISNUMBER(W2593),'자료_거시'!$G2575,"")</f>
        <v/>
      </c>
      <c r="Y2593">
        <f>IF(ISNUMBER(X2593),IF(X2593&gt;$L$7,W2593,""),"")</f>
        <v/>
      </c>
      <c r="Z2593">
        <f>IF(ISNUMBER('자료_거시'!$K2575),'자료_거시'!$K2575,Z2592)</f>
        <v/>
      </c>
      <c r="AA2593">
        <f>IF(AND(ISNUMBER('자료_거시'!$J2575),ISNUMBER('자료_거시'!$K2575)),IFERROR('자료_거시'!$K2575/INDEX($Z$21:$Z$4020,MATCH(EDATE('자료_거시'!$J2575,-'설정'!$B$17),'자료_거시'!$J$3:INDEX('자료_거시'!$J$3:$J$4002,$K$8),1))-1,""),"")</f>
        <v/>
      </c>
      <c r="AB2593">
        <f>IF(ISNUMBER(AA2593),'자료_거시'!$J2575,"")</f>
        <v/>
      </c>
      <c r="AC2593">
        <f>IF(ISNUMBER(AB2593),IF(AB2593&gt;$L$8,AA2593,""),"")</f>
        <v/>
      </c>
    </row>
    <row r="2594">
      <c r="S2594">
        <f>IF(ISNUMBER('자료_거시'!$E2576),'자료_거시'!$E2576,S2593)</f>
        <v/>
      </c>
      <c r="T2594">
        <f>IF(AND(ISNUMBER('자료_거시'!$D2576),ISNUMBER('자료_거시'!$E2576)),IFERROR('자료_거시'!$E2576-INDEX($S$21:$S$4020,MATCH(EDATE('자료_거시'!$D2576,-'설정'!$B$17),'자료_거시'!$D$3:INDEX('자료_거시'!$D$3:$D$4002,$K$6),1)),""),"")</f>
        <v/>
      </c>
      <c r="U2594">
        <f>IF(ISNUMBER(T2594),'자료_거시'!$D2576,"")</f>
        <v/>
      </c>
      <c r="V2594">
        <f>IF(ISNUMBER(U2594),IF(U2594&gt;$L$6,T2594,""),"")</f>
        <v/>
      </c>
      <c r="W2594">
        <f>IF(AND(ISNUMBER('자료_거시'!$G2576),ISNUMBER('자료_거시'!$H2576)),'자료_거시'!$H2576,"")</f>
        <v/>
      </c>
      <c r="X2594">
        <f>IF(ISNUMBER(W2594),'자료_거시'!$G2576,"")</f>
        <v/>
      </c>
      <c r="Y2594">
        <f>IF(ISNUMBER(X2594),IF(X2594&gt;$L$7,W2594,""),"")</f>
        <v/>
      </c>
      <c r="Z2594">
        <f>IF(ISNUMBER('자료_거시'!$K2576),'자료_거시'!$K2576,Z2593)</f>
        <v/>
      </c>
      <c r="AA2594">
        <f>IF(AND(ISNUMBER('자료_거시'!$J2576),ISNUMBER('자료_거시'!$K2576)),IFERROR('자료_거시'!$K2576/INDEX($Z$21:$Z$4020,MATCH(EDATE('자료_거시'!$J2576,-'설정'!$B$17),'자료_거시'!$J$3:INDEX('자료_거시'!$J$3:$J$4002,$K$8),1))-1,""),"")</f>
        <v/>
      </c>
      <c r="AB2594">
        <f>IF(ISNUMBER(AA2594),'자료_거시'!$J2576,"")</f>
        <v/>
      </c>
      <c r="AC2594">
        <f>IF(ISNUMBER(AB2594),IF(AB2594&gt;$L$8,AA2594,""),"")</f>
        <v/>
      </c>
    </row>
    <row r="2595">
      <c r="S2595">
        <f>IF(ISNUMBER('자료_거시'!$E2577),'자료_거시'!$E2577,S2594)</f>
        <v/>
      </c>
      <c r="T2595">
        <f>IF(AND(ISNUMBER('자료_거시'!$D2577),ISNUMBER('자료_거시'!$E2577)),IFERROR('자료_거시'!$E2577-INDEX($S$21:$S$4020,MATCH(EDATE('자료_거시'!$D2577,-'설정'!$B$17),'자료_거시'!$D$3:INDEX('자료_거시'!$D$3:$D$4002,$K$6),1)),""),"")</f>
        <v/>
      </c>
      <c r="U2595">
        <f>IF(ISNUMBER(T2595),'자료_거시'!$D2577,"")</f>
        <v/>
      </c>
      <c r="V2595">
        <f>IF(ISNUMBER(U2595),IF(U2595&gt;$L$6,T2595,""),"")</f>
        <v/>
      </c>
      <c r="W2595">
        <f>IF(AND(ISNUMBER('자료_거시'!$G2577),ISNUMBER('자료_거시'!$H2577)),'자료_거시'!$H2577,"")</f>
        <v/>
      </c>
      <c r="X2595">
        <f>IF(ISNUMBER(W2595),'자료_거시'!$G2577,"")</f>
        <v/>
      </c>
      <c r="Y2595">
        <f>IF(ISNUMBER(X2595),IF(X2595&gt;$L$7,W2595,""),"")</f>
        <v/>
      </c>
      <c r="Z2595">
        <f>IF(ISNUMBER('자료_거시'!$K2577),'자료_거시'!$K2577,Z2594)</f>
        <v/>
      </c>
      <c r="AA2595">
        <f>IF(AND(ISNUMBER('자료_거시'!$J2577),ISNUMBER('자료_거시'!$K2577)),IFERROR('자료_거시'!$K2577/INDEX($Z$21:$Z$4020,MATCH(EDATE('자료_거시'!$J2577,-'설정'!$B$17),'자료_거시'!$J$3:INDEX('자료_거시'!$J$3:$J$4002,$K$8),1))-1,""),"")</f>
        <v/>
      </c>
      <c r="AB2595">
        <f>IF(ISNUMBER(AA2595),'자료_거시'!$J2577,"")</f>
        <v/>
      </c>
      <c r="AC2595">
        <f>IF(ISNUMBER(AB2595),IF(AB2595&gt;$L$8,AA2595,""),"")</f>
        <v/>
      </c>
    </row>
    <row r="2596">
      <c r="S2596">
        <f>IF(ISNUMBER('자료_거시'!$E2578),'자료_거시'!$E2578,S2595)</f>
        <v/>
      </c>
      <c r="T2596">
        <f>IF(AND(ISNUMBER('자료_거시'!$D2578),ISNUMBER('자료_거시'!$E2578)),IFERROR('자료_거시'!$E2578-INDEX($S$21:$S$4020,MATCH(EDATE('자료_거시'!$D2578,-'설정'!$B$17),'자료_거시'!$D$3:INDEX('자료_거시'!$D$3:$D$4002,$K$6),1)),""),"")</f>
        <v/>
      </c>
      <c r="U2596">
        <f>IF(ISNUMBER(T2596),'자료_거시'!$D2578,"")</f>
        <v/>
      </c>
      <c r="V2596">
        <f>IF(ISNUMBER(U2596),IF(U2596&gt;$L$6,T2596,""),"")</f>
        <v/>
      </c>
      <c r="W2596">
        <f>IF(AND(ISNUMBER('자료_거시'!$G2578),ISNUMBER('자료_거시'!$H2578)),'자료_거시'!$H2578,"")</f>
        <v/>
      </c>
      <c r="X2596">
        <f>IF(ISNUMBER(W2596),'자료_거시'!$G2578,"")</f>
        <v/>
      </c>
      <c r="Y2596">
        <f>IF(ISNUMBER(X2596),IF(X2596&gt;$L$7,W2596,""),"")</f>
        <v/>
      </c>
      <c r="Z2596">
        <f>IF(ISNUMBER('자료_거시'!$K2578),'자료_거시'!$K2578,Z2595)</f>
        <v/>
      </c>
      <c r="AA2596">
        <f>IF(AND(ISNUMBER('자료_거시'!$J2578),ISNUMBER('자료_거시'!$K2578)),IFERROR('자료_거시'!$K2578/INDEX($Z$21:$Z$4020,MATCH(EDATE('자료_거시'!$J2578,-'설정'!$B$17),'자료_거시'!$J$3:INDEX('자료_거시'!$J$3:$J$4002,$K$8),1))-1,""),"")</f>
        <v/>
      </c>
      <c r="AB2596">
        <f>IF(ISNUMBER(AA2596),'자료_거시'!$J2578,"")</f>
        <v/>
      </c>
      <c r="AC2596">
        <f>IF(ISNUMBER(AB2596),IF(AB2596&gt;$L$8,AA2596,""),"")</f>
        <v/>
      </c>
    </row>
    <row r="2597">
      <c r="S2597">
        <f>IF(ISNUMBER('자료_거시'!$E2579),'자료_거시'!$E2579,S2596)</f>
        <v/>
      </c>
      <c r="T2597">
        <f>IF(AND(ISNUMBER('자료_거시'!$D2579),ISNUMBER('자료_거시'!$E2579)),IFERROR('자료_거시'!$E2579-INDEX($S$21:$S$4020,MATCH(EDATE('자료_거시'!$D2579,-'설정'!$B$17),'자료_거시'!$D$3:INDEX('자료_거시'!$D$3:$D$4002,$K$6),1)),""),"")</f>
        <v/>
      </c>
      <c r="U2597">
        <f>IF(ISNUMBER(T2597),'자료_거시'!$D2579,"")</f>
        <v/>
      </c>
      <c r="V2597">
        <f>IF(ISNUMBER(U2597),IF(U2597&gt;$L$6,T2597,""),"")</f>
        <v/>
      </c>
      <c r="W2597">
        <f>IF(AND(ISNUMBER('자료_거시'!$G2579),ISNUMBER('자료_거시'!$H2579)),'자료_거시'!$H2579,"")</f>
        <v/>
      </c>
      <c r="X2597">
        <f>IF(ISNUMBER(W2597),'자료_거시'!$G2579,"")</f>
        <v/>
      </c>
      <c r="Y2597">
        <f>IF(ISNUMBER(X2597),IF(X2597&gt;$L$7,W2597,""),"")</f>
        <v/>
      </c>
      <c r="Z2597">
        <f>IF(ISNUMBER('자료_거시'!$K2579),'자료_거시'!$K2579,Z2596)</f>
        <v/>
      </c>
      <c r="AA2597">
        <f>IF(AND(ISNUMBER('자료_거시'!$J2579),ISNUMBER('자료_거시'!$K2579)),IFERROR('자료_거시'!$K2579/INDEX($Z$21:$Z$4020,MATCH(EDATE('자료_거시'!$J2579,-'설정'!$B$17),'자료_거시'!$J$3:INDEX('자료_거시'!$J$3:$J$4002,$K$8),1))-1,""),"")</f>
        <v/>
      </c>
      <c r="AB2597">
        <f>IF(ISNUMBER(AA2597),'자료_거시'!$J2579,"")</f>
        <v/>
      </c>
      <c r="AC2597">
        <f>IF(ISNUMBER(AB2597),IF(AB2597&gt;$L$8,AA2597,""),"")</f>
        <v/>
      </c>
    </row>
    <row r="2598">
      <c r="S2598">
        <f>IF(ISNUMBER('자료_거시'!$E2580),'자료_거시'!$E2580,S2597)</f>
        <v/>
      </c>
      <c r="T2598">
        <f>IF(AND(ISNUMBER('자료_거시'!$D2580),ISNUMBER('자료_거시'!$E2580)),IFERROR('자료_거시'!$E2580-INDEX($S$21:$S$4020,MATCH(EDATE('자료_거시'!$D2580,-'설정'!$B$17),'자료_거시'!$D$3:INDEX('자료_거시'!$D$3:$D$4002,$K$6),1)),""),"")</f>
        <v/>
      </c>
      <c r="U2598">
        <f>IF(ISNUMBER(T2598),'자료_거시'!$D2580,"")</f>
        <v/>
      </c>
      <c r="V2598">
        <f>IF(ISNUMBER(U2598),IF(U2598&gt;$L$6,T2598,""),"")</f>
        <v/>
      </c>
      <c r="W2598">
        <f>IF(AND(ISNUMBER('자료_거시'!$G2580),ISNUMBER('자료_거시'!$H2580)),'자료_거시'!$H2580,"")</f>
        <v/>
      </c>
      <c r="X2598">
        <f>IF(ISNUMBER(W2598),'자료_거시'!$G2580,"")</f>
        <v/>
      </c>
      <c r="Y2598">
        <f>IF(ISNUMBER(X2598),IF(X2598&gt;$L$7,W2598,""),"")</f>
        <v/>
      </c>
      <c r="Z2598">
        <f>IF(ISNUMBER('자료_거시'!$K2580),'자료_거시'!$K2580,Z2597)</f>
        <v/>
      </c>
      <c r="AA2598">
        <f>IF(AND(ISNUMBER('자료_거시'!$J2580),ISNUMBER('자료_거시'!$K2580)),IFERROR('자료_거시'!$K2580/INDEX($Z$21:$Z$4020,MATCH(EDATE('자료_거시'!$J2580,-'설정'!$B$17),'자료_거시'!$J$3:INDEX('자료_거시'!$J$3:$J$4002,$K$8),1))-1,""),"")</f>
        <v/>
      </c>
      <c r="AB2598">
        <f>IF(ISNUMBER(AA2598),'자료_거시'!$J2580,"")</f>
        <v/>
      </c>
      <c r="AC2598">
        <f>IF(ISNUMBER(AB2598),IF(AB2598&gt;$L$8,AA2598,""),"")</f>
        <v/>
      </c>
    </row>
    <row r="2599">
      <c r="S2599">
        <f>IF(ISNUMBER('자료_거시'!$E2581),'자료_거시'!$E2581,S2598)</f>
        <v/>
      </c>
      <c r="T2599">
        <f>IF(AND(ISNUMBER('자료_거시'!$D2581),ISNUMBER('자료_거시'!$E2581)),IFERROR('자료_거시'!$E2581-INDEX($S$21:$S$4020,MATCH(EDATE('자료_거시'!$D2581,-'설정'!$B$17),'자료_거시'!$D$3:INDEX('자료_거시'!$D$3:$D$4002,$K$6),1)),""),"")</f>
        <v/>
      </c>
      <c r="U2599">
        <f>IF(ISNUMBER(T2599),'자료_거시'!$D2581,"")</f>
        <v/>
      </c>
      <c r="V2599">
        <f>IF(ISNUMBER(U2599),IF(U2599&gt;$L$6,T2599,""),"")</f>
        <v/>
      </c>
      <c r="W2599">
        <f>IF(AND(ISNUMBER('자료_거시'!$G2581),ISNUMBER('자료_거시'!$H2581)),'자료_거시'!$H2581,"")</f>
        <v/>
      </c>
      <c r="X2599">
        <f>IF(ISNUMBER(W2599),'자료_거시'!$G2581,"")</f>
        <v/>
      </c>
      <c r="Y2599">
        <f>IF(ISNUMBER(X2599),IF(X2599&gt;$L$7,W2599,""),"")</f>
        <v/>
      </c>
      <c r="Z2599">
        <f>IF(ISNUMBER('자료_거시'!$K2581),'자료_거시'!$K2581,Z2598)</f>
        <v/>
      </c>
      <c r="AA2599">
        <f>IF(AND(ISNUMBER('자료_거시'!$J2581),ISNUMBER('자료_거시'!$K2581)),IFERROR('자료_거시'!$K2581/INDEX($Z$21:$Z$4020,MATCH(EDATE('자료_거시'!$J2581,-'설정'!$B$17),'자료_거시'!$J$3:INDEX('자료_거시'!$J$3:$J$4002,$K$8),1))-1,""),"")</f>
        <v/>
      </c>
      <c r="AB2599">
        <f>IF(ISNUMBER(AA2599),'자료_거시'!$J2581,"")</f>
        <v/>
      </c>
      <c r="AC2599">
        <f>IF(ISNUMBER(AB2599),IF(AB2599&gt;$L$8,AA2599,""),"")</f>
        <v/>
      </c>
    </row>
    <row r="2600">
      <c r="S2600">
        <f>IF(ISNUMBER('자료_거시'!$E2582),'자료_거시'!$E2582,S2599)</f>
        <v/>
      </c>
      <c r="T2600">
        <f>IF(AND(ISNUMBER('자료_거시'!$D2582),ISNUMBER('자료_거시'!$E2582)),IFERROR('자료_거시'!$E2582-INDEX($S$21:$S$4020,MATCH(EDATE('자료_거시'!$D2582,-'설정'!$B$17),'자료_거시'!$D$3:INDEX('자료_거시'!$D$3:$D$4002,$K$6),1)),""),"")</f>
        <v/>
      </c>
      <c r="U2600">
        <f>IF(ISNUMBER(T2600),'자료_거시'!$D2582,"")</f>
        <v/>
      </c>
      <c r="V2600">
        <f>IF(ISNUMBER(U2600),IF(U2600&gt;$L$6,T2600,""),"")</f>
        <v/>
      </c>
      <c r="W2600">
        <f>IF(AND(ISNUMBER('자료_거시'!$G2582),ISNUMBER('자료_거시'!$H2582)),'자료_거시'!$H2582,"")</f>
        <v/>
      </c>
      <c r="X2600">
        <f>IF(ISNUMBER(W2600),'자료_거시'!$G2582,"")</f>
        <v/>
      </c>
      <c r="Y2600">
        <f>IF(ISNUMBER(X2600),IF(X2600&gt;$L$7,W2600,""),"")</f>
        <v/>
      </c>
      <c r="Z2600">
        <f>IF(ISNUMBER('자료_거시'!$K2582),'자료_거시'!$K2582,Z2599)</f>
        <v/>
      </c>
      <c r="AA2600">
        <f>IF(AND(ISNUMBER('자료_거시'!$J2582),ISNUMBER('자료_거시'!$K2582)),IFERROR('자료_거시'!$K2582/INDEX($Z$21:$Z$4020,MATCH(EDATE('자료_거시'!$J2582,-'설정'!$B$17),'자료_거시'!$J$3:INDEX('자료_거시'!$J$3:$J$4002,$K$8),1))-1,""),"")</f>
        <v/>
      </c>
      <c r="AB2600">
        <f>IF(ISNUMBER(AA2600),'자료_거시'!$J2582,"")</f>
        <v/>
      </c>
      <c r="AC2600">
        <f>IF(ISNUMBER(AB2600),IF(AB2600&gt;$L$8,AA2600,""),"")</f>
        <v/>
      </c>
    </row>
    <row r="2601">
      <c r="S2601">
        <f>IF(ISNUMBER('자료_거시'!$E2583),'자료_거시'!$E2583,S2600)</f>
        <v/>
      </c>
      <c r="T2601">
        <f>IF(AND(ISNUMBER('자료_거시'!$D2583),ISNUMBER('자료_거시'!$E2583)),IFERROR('자료_거시'!$E2583-INDEX($S$21:$S$4020,MATCH(EDATE('자료_거시'!$D2583,-'설정'!$B$17),'자료_거시'!$D$3:INDEX('자료_거시'!$D$3:$D$4002,$K$6),1)),""),"")</f>
        <v/>
      </c>
      <c r="U2601">
        <f>IF(ISNUMBER(T2601),'자료_거시'!$D2583,"")</f>
        <v/>
      </c>
      <c r="V2601">
        <f>IF(ISNUMBER(U2601),IF(U2601&gt;$L$6,T2601,""),"")</f>
        <v/>
      </c>
      <c r="W2601">
        <f>IF(AND(ISNUMBER('자료_거시'!$G2583),ISNUMBER('자료_거시'!$H2583)),'자료_거시'!$H2583,"")</f>
        <v/>
      </c>
      <c r="X2601">
        <f>IF(ISNUMBER(W2601),'자료_거시'!$G2583,"")</f>
        <v/>
      </c>
      <c r="Y2601">
        <f>IF(ISNUMBER(X2601),IF(X2601&gt;$L$7,W2601,""),"")</f>
        <v/>
      </c>
      <c r="Z2601">
        <f>IF(ISNUMBER('자료_거시'!$K2583),'자료_거시'!$K2583,Z2600)</f>
        <v/>
      </c>
      <c r="AA2601">
        <f>IF(AND(ISNUMBER('자료_거시'!$J2583),ISNUMBER('자료_거시'!$K2583)),IFERROR('자료_거시'!$K2583/INDEX($Z$21:$Z$4020,MATCH(EDATE('자료_거시'!$J2583,-'설정'!$B$17),'자료_거시'!$J$3:INDEX('자료_거시'!$J$3:$J$4002,$K$8),1))-1,""),"")</f>
        <v/>
      </c>
      <c r="AB2601">
        <f>IF(ISNUMBER(AA2601),'자료_거시'!$J2583,"")</f>
        <v/>
      </c>
      <c r="AC2601">
        <f>IF(ISNUMBER(AB2601),IF(AB2601&gt;$L$8,AA2601,""),"")</f>
        <v/>
      </c>
    </row>
    <row r="2602">
      <c r="S2602">
        <f>IF(ISNUMBER('자료_거시'!$E2584),'자료_거시'!$E2584,S2601)</f>
        <v/>
      </c>
      <c r="T2602">
        <f>IF(AND(ISNUMBER('자료_거시'!$D2584),ISNUMBER('자료_거시'!$E2584)),IFERROR('자료_거시'!$E2584-INDEX($S$21:$S$4020,MATCH(EDATE('자료_거시'!$D2584,-'설정'!$B$17),'자료_거시'!$D$3:INDEX('자료_거시'!$D$3:$D$4002,$K$6),1)),""),"")</f>
        <v/>
      </c>
      <c r="U2602">
        <f>IF(ISNUMBER(T2602),'자료_거시'!$D2584,"")</f>
        <v/>
      </c>
      <c r="V2602">
        <f>IF(ISNUMBER(U2602),IF(U2602&gt;$L$6,T2602,""),"")</f>
        <v/>
      </c>
      <c r="W2602">
        <f>IF(AND(ISNUMBER('자료_거시'!$G2584),ISNUMBER('자료_거시'!$H2584)),'자료_거시'!$H2584,"")</f>
        <v/>
      </c>
      <c r="X2602">
        <f>IF(ISNUMBER(W2602),'자료_거시'!$G2584,"")</f>
        <v/>
      </c>
      <c r="Y2602">
        <f>IF(ISNUMBER(X2602),IF(X2602&gt;$L$7,W2602,""),"")</f>
        <v/>
      </c>
      <c r="Z2602">
        <f>IF(ISNUMBER('자료_거시'!$K2584),'자료_거시'!$K2584,Z2601)</f>
        <v/>
      </c>
      <c r="AA2602">
        <f>IF(AND(ISNUMBER('자료_거시'!$J2584),ISNUMBER('자료_거시'!$K2584)),IFERROR('자료_거시'!$K2584/INDEX($Z$21:$Z$4020,MATCH(EDATE('자료_거시'!$J2584,-'설정'!$B$17),'자료_거시'!$J$3:INDEX('자료_거시'!$J$3:$J$4002,$K$8),1))-1,""),"")</f>
        <v/>
      </c>
      <c r="AB2602">
        <f>IF(ISNUMBER(AA2602),'자료_거시'!$J2584,"")</f>
        <v/>
      </c>
      <c r="AC2602">
        <f>IF(ISNUMBER(AB2602),IF(AB2602&gt;$L$8,AA2602,""),"")</f>
        <v/>
      </c>
    </row>
    <row r="2603">
      <c r="S2603">
        <f>IF(ISNUMBER('자료_거시'!$E2585),'자료_거시'!$E2585,S2602)</f>
        <v/>
      </c>
      <c r="T2603">
        <f>IF(AND(ISNUMBER('자료_거시'!$D2585),ISNUMBER('자료_거시'!$E2585)),IFERROR('자료_거시'!$E2585-INDEX($S$21:$S$4020,MATCH(EDATE('자료_거시'!$D2585,-'설정'!$B$17),'자료_거시'!$D$3:INDEX('자료_거시'!$D$3:$D$4002,$K$6),1)),""),"")</f>
        <v/>
      </c>
      <c r="U2603">
        <f>IF(ISNUMBER(T2603),'자료_거시'!$D2585,"")</f>
        <v/>
      </c>
      <c r="V2603">
        <f>IF(ISNUMBER(U2603),IF(U2603&gt;$L$6,T2603,""),"")</f>
        <v/>
      </c>
      <c r="W2603">
        <f>IF(AND(ISNUMBER('자료_거시'!$G2585),ISNUMBER('자료_거시'!$H2585)),'자료_거시'!$H2585,"")</f>
        <v/>
      </c>
      <c r="X2603">
        <f>IF(ISNUMBER(W2603),'자료_거시'!$G2585,"")</f>
        <v/>
      </c>
      <c r="Y2603">
        <f>IF(ISNUMBER(X2603),IF(X2603&gt;$L$7,W2603,""),"")</f>
        <v/>
      </c>
      <c r="Z2603">
        <f>IF(ISNUMBER('자료_거시'!$K2585),'자료_거시'!$K2585,Z2602)</f>
        <v/>
      </c>
      <c r="AA2603">
        <f>IF(AND(ISNUMBER('자료_거시'!$J2585),ISNUMBER('자료_거시'!$K2585)),IFERROR('자료_거시'!$K2585/INDEX($Z$21:$Z$4020,MATCH(EDATE('자료_거시'!$J2585,-'설정'!$B$17),'자료_거시'!$J$3:INDEX('자료_거시'!$J$3:$J$4002,$K$8),1))-1,""),"")</f>
        <v/>
      </c>
      <c r="AB2603">
        <f>IF(ISNUMBER(AA2603),'자료_거시'!$J2585,"")</f>
        <v/>
      </c>
      <c r="AC2603">
        <f>IF(ISNUMBER(AB2603),IF(AB2603&gt;$L$8,AA2603,""),"")</f>
        <v/>
      </c>
    </row>
    <row r="2604">
      <c r="S2604">
        <f>IF(ISNUMBER('자료_거시'!$E2586),'자료_거시'!$E2586,S2603)</f>
        <v/>
      </c>
      <c r="T2604">
        <f>IF(AND(ISNUMBER('자료_거시'!$D2586),ISNUMBER('자료_거시'!$E2586)),IFERROR('자료_거시'!$E2586-INDEX($S$21:$S$4020,MATCH(EDATE('자료_거시'!$D2586,-'설정'!$B$17),'자료_거시'!$D$3:INDEX('자료_거시'!$D$3:$D$4002,$K$6),1)),""),"")</f>
        <v/>
      </c>
      <c r="U2604">
        <f>IF(ISNUMBER(T2604),'자료_거시'!$D2586,"")</f>
        <v/>
      </c>
      <c r="V2604">
        <f>IF(ISNUMBER(U2604),IF(U2604&gt;$L$6,T2604,""),"")</f>
        <v/>
      </c>
      <c r="W2604">
        <f>IF(AND(ISNUMBER('자료_거시'!$G2586),ISNUMBER('자료_거시'!$H2586)),'자료_거시'!$H2586,"")</f>
        <v/>
      </c>
      <c r="X2604">
        <f>IF(ISNUMBER(W2604),'자료_거시'!$G2586,"")</f>
        <v/>
      </c>
      <c r="Y2604">
        <f>IF(ISNUMBER(X2604),IF(X2604&gt;$L$7,W2604,""),"")</f>
        <v/>
      </c>
      <c r="Z2604">
        <f>IF(ISNUMBER('자료_거시'!$K2586),'자료_거시'!$K2586,Z2603)</f>
        <v/>
      </c>
      <c r="AA2604">
        <f>IF(AND(ISNUMBER('자료_거시'!$J2586),ISNUMBER('자료_거시'!$K2586)),IFERROR('자료_거시'!$K2586/INDEX($Z$21:$Z$4020,MATCH(EDATE('자료_거시'!$J2586,-'설정'!$B$17),'자료_거시'!$J$3:INDEX('자료_거시'!$J$3:$J$4002,$K$8),1))-1,""),"")</f>
        <v/>
      </c>
      <c r="AB2604">
        <f>IF(ISNUMBER(AA2604),'자료_거시'!$J2586,"")</f>
        <v/>
      </c>
      <c r="AC2604">
        <f>IF(ISNUMBER(AB2604),IF(AB2604&gt;$L$8,AA2604,""),"")</f>
        <v/>
      </c>
    </row>
    <row r="2605">
      <c r="S2605">
        <f>IF(ISNUMBER('자료_거시'!$E2587),'자료_거시'!$E2587,S2604)</f>
        <v/>
      </c>
      <c r="T2605">
        <f>IF(AND(ISNUMBER('자료_거시'!$D2587),ISNUMBER('자료_거시'!$E2587)),IFERROR('자료_거시'!$E2587-INDEX($S$21:$S$4020,MATCH(EDATE('자료_거시'!$D2587,-'설정'!$B$17),'자료_거시'!$D$3:INDEX('자료_거시'!$D$3:$D$4002,$K$6),1)),""),"")</f>
        <v/>
      </c>
      <c r="U2605">
        <f>IF(ISNUMBER(T2605),'자료_거시'!$D2587,"")</f>
        <v/>
      </c>
      <c r="V2605">
        <f>IF(ISNUMBER(U2605),IF(U2605&gt;$L$6,T2605,""),"")</f>
        <v/>
      </c>
      <c r="W2605">
        <f>IF(AND(ISNUMBER('자료_거시'!$G2587),ISNUMBER('자료_거시'!$H2587)),'자료_거시'!$H2587,"")</f>
        <v/>
      </c>
      <c r="X2605">
        <f>IF(ISNUMBER(W2605),'자료_거시'!$G2587,"")</f>
        <v/>
      </c>
      <c r="Y2605">
        <f>IF(ISNUMBER(X2605),IF(X2605&gt;$L$7,W2605,""),"")</f>
        <v/>
      </c>
      <c r="Z2605">
        <f>IF(ISNUMBER('자료_거시'!$K2587),'자료_거시'!$K2587,Z2604)</f>
        <v/>
      </c>
      <c r="AA2605">
        <f>IF(AND(ISNUMBER('자료_거시'!$J2587),ISNUMBER('자료_거시'!$K2587)),IFERROR('자료_거시'!$K2587/INDEX($Z$21:$Z$4020,MATCH(EDATE('자료_거시'!$J2587,-'설정'!$B$17),'자료_거시'!$J$3:INDEX('자료_거시'!$J$3:$J$4002,$K$8),1))-1,""),"")</f>
        <v/>
      </c>
      <c r="AB2605">
        <f>IF(ISNUMBER(AA2605),'자료_거시'!$J2587,"")</f>
        <v/>
      </c>
      <c r="AC2605">
        <f>IF(ISNUMBER(AB2605),IF(AB2605&gt;$L$8,AA2605,""),"")</f>
        <v/>
      </c>
    </row>
    <row r="2606">
      <c r="S2606">
        <f>IF(ISNUMBER('자료_거시'!$E2588),'자료_거시'!$E2588,S2605)</f>
        <v/>
      </c>
      <c r="T2606">
        <f>IF(AND(ISNUMBER('자료_거시'!$D2588),ISNUMBER('자료_거시'!$E2588)),IFERROR('자료_거시'!$E2588-INDEX($S$21:$S$4020,MATCH(EDATE('자료_거시'!$D2588,-'설정'!$B$17),'자료_거시'!$D$3:INDEX('자료_거시'!$D$3:$D$4002,$K$6),1)),""),"")</f>
        <v/>
      </c>
      <c r="U2606">
        <f>IF(ISNUMBER(T2606),'자료_거시'!$D2588,"")</f>
        <v/>
      </c>
      <c r="V2606">
        <f>IF(ISNUMBER(U2606),IF(U2606&gt;$L$6,T2606,""),"")</f>
        <v/>
      </c>
      <c r="W2606">
        <f>IF(AND(ISNUMBER('자료_거시'!$G2588),ISNUMBER('자료_거시'!$H2588)),'자료_거시'!$H2588,"")</f>
        <v/>
      </c>
      <c r="X2606">
        <f>IF(ISNUMBER(W2606),'자료_거시'!$G2588,"")</f>
        <v/>
      </c>
      <c r="Y2606">
        <f>IF(ISNUMBER(X2606),IF(X2606&gt;$L$7,W2606,""),"")</f>
        <v/>
      </c>
      <c r="Z2606">
        <f>IF(ISNUMBER('자료_거시'!$K2588),'자료_거시'!$K2588,Z2605)</f>
        <v/>
      </c>
      <c r="AA2606">
        <f>IF(AND(ISNUMBER('자료_거시'!$J2588),ISNUMBER('자료_거시'!$K2588)),IFERROR('자료_거시'!$K2588/INDEX($Z$21:$Z$4020,MATCH(EDATE('자료_거시'!$J2588,-'설정'!$B$17),'자료_거시'!$J$3:INDEX('자료_거시'!$J$3:$J$4002,$K$8),1))-1,""),"")</f>
        <v/>
      </c>
      <c r="AB2606">
        <f>IF(ISNUMBER(AA2606),'자료_거시'!$J2588,"")</f>
        <v/>
      </c>
      <c r="AC2606">
        <f>IF(ISNUMBER(AB2606),IF(AB2606&gt;$L$8,AA2606,""),"")</f>
        <v/>
      </c>
    </row>
    <row r="2607">
      <c r="S2607">
        <f>IF(ISNUMBER('자료_거시'!$E2589),'자료_거시'!$E2589,S2606)</f>
        <v/>
      </c>
      <c r="T2607">
        <f>IF(AND(ISNUMBER('자료_거시'!$D2589),ISNUMBER('자료_거시'!$E2589)),IFERROR('자료_거시'!$E2589-INDEX($S$21:$S$4020,MATCH(EDATE('자료_거시'!$D2589,-'설정'!$B$17),'자료_거시'!$D$3:INDEX('자료_거시'!$D$3:$D$4002,$K$6),1)),""),"")</f>
        <v/>
      </c>
      <c r="U2607">
        <f>IF(ISNUMBER(T2607),'자료_거시'!$D2589,"")</f>
        <v/>
      </c>
      <c r="V2607">
        <f>IF(ISNUMBER(U2607),IF(U2607&gt;$L$6,T2607,""),"")</f>
        <v/>
      </c>
      <c r="W2607">
        <f>IF(AND(ISNUMBER('자료_거시'!$G2589),ISNUMBER('자료_거시'!$H2589)),'자료_거시'!$H2589,"")</f>
        <v/>
      </c>
      <c r="X2607">
        <f>IF(ISNUMBER(W2607),'자료_거시'!$G2589,"")</f>
        <v/>
      </c>
      <c r="Y2607">
        <f>IF(ISNUMBER(X2607),IF(X2607&gt;$L$7,W2607,""),"")</f>
        <v/>
      </c>
      <c r="Z2607">
        <f>IF(ISNUMBER('자료_거시'!$K2589),'자료_거시'!$K2589,Z2606)</f>
        <v/>
      </c>
      <c r="AA2607">
        <f>IF(AND(ISNUMBER('자료_거시'!$J2589),ISNUMBER('자료_거시'!$K2589)),IFERROR('자료_거시'!$K2589/INDEX($Z$21:$Z$4020,MATCH(EDATE('자료_거시'!$J2589,-'설정'!$B$17),'자료_거시'!$J$3:INDEX('자료_거시'!$J$3:$J$4002,$K$8),1))-1,""),"")</f>
        <v/>
      </c>
      <c r="AB2607">
        <f>IF(ISNUMBER(AA2607),'자료_거시'!$J2589,"")</f>
        <v/>
      </c>
      <c r="AC2607">
        <f>IF(ISNUMBER(AB2607),IF(AB2607&gt;$L$8,AA2607,""),"")</f>
        <v/>
      </c>
    </row>
    <row r="2608">
      <c r="S2608">
        <f>IF(ISNUMBER('자료_거시'!$E2590),'자료_거시'!$E2590,S2607)</f>
        <v/>
      </c>
      <c r="T2608">
        <f>IF(AND(ISNUMBER('자료_거시'!$D2590),ISNUMBER('자료_거시'!$E2590)),IFERROR('자료_거시'!$E2590-INDEX($S$21:$S$4020,MATCH(EDATE('자료_거시'!$D2590,-'설정'!$B$17),'자료_거시'!$D$3:INDEX('자료_거시'!$D$3:$D$4002,$K$6),1)),""),"")</f>
        <v/>
      </c>
      <c r="U2608">
        <f>IF(ISNUMBER(T2608),'자료_거시'!$D2590,"")</f>
        <v/>
      </c>
      <c r="V2608">
        <f>IF(ISNUMBER(U2608),IF(U2608&gt;$L$6,T2608,""),"")</f>
        <v/>
      </c>
      <c r="W2608">
        <f>IF(AND(ISNUMBER('자료_거시'!$G2590),ISNUMBER('자료_거시'!$H2590)),'자료_거시'!$H2590,"")</f>
        <v/>
      </c>
      <c r="X2608">
        <f>IF(ISNUMBER(W2608),'자료_거시'!$G2590,"")</f>
        <v/>
      </c>
      <c r="Y2608">
        <f>IF(ISNUMBER(X2608),IF(X2608&gt;$L$7,W2608,""),"")</f>
        <v/>
      </c>
      <c r="Z2608">
        <f>IF(ISNUMBER('자료_거시'!$K2590),'자료_거시'!$K2590,Z2607)</f>
        <v/>
      </c>
      <c r="AA2608">
        <f>IF(AND(ISNUMBER('자료_거시'!$J2590),ISNUMBER('자료_거시'!$K2590)),IFERROR('자료_거시'!$K2590/INDEX($Z$21:$Z$4020,MATCH(EDATE('자료_거시'!$J2590,-'설정'!$B$17),'자료_거시'!$J$3:INDEX('자료_거시'!$J$3:$J$4002,$K$8),1))-1,""),"")</f>
        <v/>
      </c>
      <c r="AB2608">
        <f>IF(ISNUMBER(AA2608),'자료_거시'!$J2590,"")</f>
        <v/>
      </c>
      <c r="AC2608">
        <f>IF(ISNUMBER(AB2608),IF(AB2608&gt;$L$8,AA2608,""),"")</f>
        <v/>
      </c>
    </row>
    <row r="2609">
      <c r="S2609">
        <f>IF(ISNUMBER('자료_거시'!$E2591),'자료_거시'!$E2591,S2608)</f>
        <v/>
      </c>
      <c r="T2609">
        <f>IF(AND(ISNUMBER('자료_거시'!$D2591),ISNUMBER('자료_거시'!$E2591)),IFERROR('자료_거시'!$E2591-INDEX($S$21:$S$4020,MATCH(EDATE('자료_거시'!$D2591,-'설정'!$B$17),'자료_거시'!$D$3:INDEX('자료_거시'!$D$3:$D$4002,$K$6),1)),""),"")</f>
        <v/>
      </c>
      <c r="U2609">
        <f>IF(ISNUMBER(T2609),'자료_거시'!$D2591,"")</f>
        <v/>
      </c>
      <c r="V2609">
        <f>IF(ISNUMBER(U2609),IF(U2609&gt;$L$6,T2609,""),"")</f>
        <v/>
      </c>
      <c r="W2609">
        <f>IF(AND(ISNUMBER('자료_거시'!$G2591),ISNUMBER('자료_거시'!$H2591)),'자료_거시'!$H2591,"")</f>
        <v/>
      </c>
      <c r="X2609">
        <f>IF(ISNUMBER(W2609),'자료_거시'!$G2591,"")</f>
        <v/>
      </c>
      <c r="Y2609">
        <f>IF(ISNUMBER(X2609),IF(X2609&gt;$L$7,W2609,""),"")</f>
        <v/>
      </c>
      <c r="Z2609">
        <f>IF(ISNUMBER('자료_거시'!$K2591),'자료_거시'!$K2591,Z2608)</f>
        <v/>
      </c>
      <c r="AA2609">
        <f>IF(AND(ISNUMBER('자료_거시'!$J2591),ISNUMBER('자료_거시'!$K2591)),IFERROR('자료_거시'!$K2591/INDEX($Z$21:$Z$4020,MATCH(EDATE('자료_거시'!$J2591,-'설정'!$B$17),'자료_거시'!$J$3:INDEX('자료_거시'!$J$3:$J$4002,$K$8),1))-1,""),"")</f>
        <v/>
      </c>
      <c r="AB2609">
        <f>IF(ISNUMBER(AA2609),'자료_거시'!$J2591,"")</f>
        <v/>
      </c>
      <c r="AC2609">
        <f>IF(ISNUMBER(AB2609),IF(AB2609&gt;$L$8,AA2609,""),"")</f>
        <v/>
      </c>
    </row>
    <row r="2610">
      <c r="S2610">
        <f>IF(ISNUMBER('자료_거시'!$E2592),'자료_거시'!$E2592,S2609)</f>
        <v/>
      </c>
      <c r="T2610">
        <f>IF(AND(ISNUMBER('자료_거시'!$D2592),ISNUMBER('자료_거시'!$E2592)),IFERROR('자료_거시'!$E2592-INDEX($S$21:$S$4020,MATCH(EDATE('자료_거시'!$D2592,-'설정'!$B$17),'자료_거시'!$D$3:INDEX('자료_거시'!$D$3:$D$4002,$K$6),1)),""),"")</f>
        <v/>
      </c>
      <c r="U2610">
        <f>IF(ISNUMBER(T2610),'자료_거시'!$D2592,"")</f>
        <v/>
      </c>
      <c r="V2610">
        <f>IF(ISNUMBER(U2610),IF(U2610&gt;$L$6,T2610,""),"")</f>
        <v/>
      </c>
      <c r="W2610">
        <f>IF(AND(ISNUMBER('자료_거시'!$G2592),ISNUMBER('자료_거시'!$H2592)),'자료_거시'!$H2592,"")</f>
        <v/>
      </c>
      <c r="X2610">
        <f>IF(ISNUMBER(W2610),'자료_거시'!$G2592,"")</f>
        <v/>
      </c>
      <c r="Y2610">
        <f>IF(ISNUMBER(X2610),IF(X2610&gt;$L$7,W2610,""),"")</f>
        <v/>
      </c>
      <c r="Z2610">
        <f>IF(ISNUMBER('자료_거시'!$K2592),'자료_거시'!$K2592,Z2609)</f>
        <v/>
      </c>
      <c r="AA2610">
        <f>IF(AND(ISNUMBER('자료_거시'!$J2592),ISNUMBER('자료_거시'!$K2592)),IFERROR('자료_거시'!$K2592/INDEX($Z$21:$Z$4020,MATCH(EDATE('자료_거시'!$J2592,-'설정'!$B$17),'자료_거시'!$J$3:INDEX('자료_거시'!$J$3:$J$4002,$K$8),1))-1,""),"")</f>
        <v/>
      </c>
      <c r="AB2610">
        <f>IF(ISNUMBER(AA2610),'자료_거시'!$J2592,"")</f>
        <v/>
      </c>
      <c r="AC2610">
        <f>IF(ISNUMBER(AB2610),IF(AB2610&gt;$L$8,AA2610,""),"")</f>
        <v/>
      </c>
    </row>
    <row r="2611">
      <c r="S2611">
        <f>IF(ISNUMBER('자료_거시'!$E2593),'자료_거시'!$E2593,S2610)</f>
        <v/>
      </c>
      <c r="T2611">
        <f>IF(AND(ISNUMBER('자료_거시'!$D2593),ISNUMBER('자료_거시'!$E2593)),IFERROR('자료_거시'!$E2593-INDEX($S$21:$S$4020,MATCH(EDATE('자료_거시'!$D2593,-'설정'!$B$17),'자료_거시'!$D$3:INDEX('자료_거시'!$D$3:$D$4002,$K$6),1)),""),"")</f>
        <v/>
      </c>
      <c r="U2611">
        <f>IF(ISNUMBER(T2611),'자료_거시'!$D2593,"")</f>
        <v/>
      </c>
      <c r="V2611">
        <f>IF(ISNUMBER(U2611),IF(U2611&gt;$L$6,T2611,""),"")</f>
        <v/>
      </c>
      <c r="W2611">
        <f>IF(AND(ISNUMBER('자료_거시'!$G2593),ISNUMBER('자료_거시'!$H2593)),'자료_거시'!$H2593,"")</f>
        <v/>
      </c>
      <c r="X2611">
        <f>IF(ISNUMBER(W2611),'자료_거시'!$G2593,"")</f>
        <v/>
      </c>
      <c r="Y2611">
        <f>IF(ISNUMBER(X2611),IF(X2611&gt;$L$7,W2611,""),"")</f>
        <v/>
      </c>
      <c r="Z2611">
        <f>IF(ISNUMBER('자료_거시'!$K2593),'자료_거시'!$K2593,Z2610)</f>
        <v/>
      </c>
      <c r="AA2611">
        <f>IF(AND(ISNUMBER('자료_거시'!$J2593),ISNUMBER('자료_거시'!$K2593)),IFERROR('자료_거시'!$K2593/INDEX($Z$21:$Z$4020,MATCH(EDATE('자료_거시'!$J2593,-'설정'!$B$17),'자료_거시'!$J$3:INDEX('자료_거시'!$J$3:$J$4002,$K$8),1))-1,""),"")</f>
        <v/>
      </c>
      <c r="AB2611">
        <f>IF(ISNUMBER(AA2611),'자료_거시'!$J2593,"")</f>
        <v/>
      </c>
      <c r="AC2611">
        <f>IF(ISNUMBER(AB2611),IF(AB2611&gt;$L$8,AA2611,""),"")</f>
        <v/>
      </c>
    </row>
    <row r="2612">
      <c r="S2612">
        <f>IF(ISNUMBER('자료_거시'!$E2594),'자료_거시'!$E2594,S2611)</f>
        <v/>
      </c>
      <c r="T2612">
        <f>IF(AND(ISNUMBER('자료_거시'!$D2594),ISNUMBER('자료_거시'!$E2594)),IFERROR('자료_거시'!$E2594-INDEX($S$21:$S$4020,MATCH(EDATE('자료_거시'!$D2594,-'설정'!$B$17),'자료_거시'!$D$3:INDEX('자료_거시'!$D$3:$D$4002,$K$6),1)),""),"")</f>
        <v/>
      </c>
      <c r="U2612">
        <f>IF(ISNUMBER(T2612),'자료_거시'!$D2594,"")</f>
        <v/>
      </c>
      <c r="V2612">
        <f>IF(ISNUMBER(U2612),IF(U2612&gt;$L$6,T2612,""),"")</f>
        <v/>
      </c>
      <c r="W2612">
        <f>IF(AND(ISNUMBER('자료_거시'!$G2594),ISNUMBER('자료_거시'!$H2594)),'자료_거시'!$H2594,"")</f>
        <v/>
      </c>
      <c r="X2612">
        <f>IF(ISNUMBER(W2612),'자료_거시'!$G2594,"")</f>
        <v/>
      </c>
      <c r="Y2612">
        <f>IF(ISNUMBER(X2612),IF(X2612&gt;$L$7,W2612,""),"")</f>
        <v/>
      </c>
      <c r="Z2612">
        <f>IF(ISNUMBER('자료_거시'!$K2594),'자료_거시'!$K2594,Z2611)</f>
        <v/>
      </c>
      <c r="AA2612">
        <f>IF(AND(ISNUMBER('자료_거시'!$J2594),ISNUMBER('자료_거시'!$K2594)),IFERROR('자료_거시'!$K2594/INDEX($Z$21:$Z$4020,MATCH(EDATE('자료_거시'!$J2594,-'설정'!$B$17),'자료_거시'!$J$3:INDEX('자료_거시'!$J$3:$J$4002,$K$8),1))-1,""),"")</f>
        <v/>
      </c>
      <c r="AB2612">
        <f>IF(ISNUMBER(AA2612),'자료_거시'!$J2594,"")</f>
        <v/>
      </c>
      <c r="AC2612">
        <f>IF(ISNUMBER(AB2612),IF(AB2612&gt;$L$8,AA2612,""),"")</f>
        <v/>
      </c>
    </row>
    <row r="2613">
      <c r="S2613">
        <f>IF(ISNUMBER('자료_거시'!$E2595),'자료_거시'!$E2595,S2612)</f>
        <v/>
      </c>
      <c r="T2613">
        <f>IF(AND(ISNUMBER('자료_거시'!$D2595),ISNUMBER('자료_거시'!$E2595)),IFERROR('자료_거시'!$E2595-INDEX($S$21:$S$4020,MATCH(EDATE('자료_거시'!$D2595,-'설정'!$B$17),'자료_거시'!$D$3:INDEX('자료_거시'!$D$3:$D$4002,$K$6),1)),""),"")</f>
        <v/>
      </c>
      <c r="U2613">
        <f>IF(ISNUMBER(T2613),'자료_거시'!$D2595,"")</f>
        <v/>
      </c>
      <c r="V2613">
        <f>IF(ISNUMBER(U2613),IF(U2613&gt;$L$6,T2613,""),"")</f>
        <v/>
      </c>
      <c r="W2613">
        <f>IF(AND(ISNUMBER('자료_거시'!$G2595),ISNUMBER('자료_거시'!$H2595)),'자료_거시'!$H2595,"")</f>
        <v/>
      </c>
      <c r="X2613">
        <f>IF(ISNUMBER(W2613),'자료_거시'!$G2595,"")</f>
        <v/>
      </c>
      <c r="Y2613">
        <f>IF(ISNUMBER(X2613),IF(X2613&gt;$L$7,W2613,""),"")</f>
        <v/>
      </c>
      <c r="Z2613">
        <f>IF(ISNUMBER('자료_거시'!$K2595),'자료_거시'!$K2595,Z2612)</f>
        <v/>
      </c>
      <c r="AA2613">
        <f>IF(AND(ISNUMBER('자료_거시'!$J2595),ISNUMBER('자료_거시'!$K2595)),IFERROR('자료_거시'!$K2595/INDEX($Z$21:$Z$4020,MATCH(EDATE('자료_거시'!$J2595,-'설정'!$B$17),'자료_거시'!$J$3:INDEX('자료_거시'!$J$3:$J$4002,$K$8),1))-1,""),"")</f>
        <v/>
      </c>
      <c r="AB2613">
        <f>IF(ISNUMBER(AA2613),'자료_거시'!$J2595,"")</f>
        <v/>
      </c>
      <c r="AC2613">
        <f>IF(ISNUMBER(AB2613),IF(AB2613&gt;$L$8,AA2613,""),"")</f>
        <v/>
      </c>
    </row>
    <row r="2614">
      <c r="S2614">
        <f>IF(ISNUMBER('자료_거시'!$E2596),'자료_거시'!$E2596,S2613)</f>
        <v/>
      </c>
      <c r="T2614">
        <f>IF(AND(ISNUMBER('자료_거시'!$D2596),ISNUMBER('자료_거시'!$E2596)),IFERROR('자료_거시'!$E2596-INDEX($S$21:$S$4020,MATCH(EDATE('자료_거시'!$D2596,-'설정'!$B$17),'자료_거시'!$D$3:INDEX('자료_거시'!$D$3:$D$4002,$K$6),1)),""),"")</f>
        <v/>
      </c>
      <c r="U2614">
        <f>IF(ISNUMBER(T2614),'자료_거시'!$D2596,"")</f>
        <v/>
      </c>
      <c r="V2614">
        <f>IF(ISNUMBER(U2614),IF(U2614&gt;$L$6,T2614,""),"")</f>
        <v/>
      </c>
      <c r="W2614">
        <f>IF(AND(ISNUMBER('자료_거시'!$G2596),ISNUMBER('자료_거시'!$H2596)),'자료_거시'!$H2596,"")</f>
        <v/>
      </c>
      <c r="X2614">
        <f>IF(ISNUMBER(W2614),'자료_거시'!$G2596,"")</f>
        <v/>
      </c>
      <c r="Y2614">
        <f>IF(ISNUMBER(X2614),IF(X2614&gt;$L$7,W2614,""),"")</f>
        <v/>
      </c>
      <c r="Z2614">
        <f>IF(ISNUMBER('자료_거시'!$K2596),'자료_거시'!$K2596,Z2613)</f>
        <v/>
      </c>
      <c r="AA2614">
        <f>IF(AND(ISNUMBER('자료_거시'!$J2596),ISNUMBER('자료_거시'!$K2596)),IFERROR('자료_거시'!$K2596/INDEX($Z$21:$Z$4020,MATCH(EDATE('자료_거시'!$J2596,-'설정'!$B$17),'자료_거시'!$J$3:INDEX('자료_거시'!$J$3:$J$4002,$K$8),1))-1,""),"")</f>
        <v/>
      </c>
      <c r="AB2614">
        <f>IF(ISNUMBER(AA2614),'자료_거시'!$J2596,"")</f>
        <v/>
      </c>
      <c r="AC2614">
        <f>IF(ISNUMBER(AB2614),IF(AB2614&gt;$L$8,AA2614,""),"")</f>
        <v/>
      </c>
    </row>
    <row r="2615">
      <c r="S2615">
        <f>IF(ISNUMBER('자료_거시'!$E2597),'자료_거시'!$E2597,S2614)</f>
        <v/>
      </c>
      <c r="T2615">
        <f>IF(AND(ISNUMBER('자료_거시'!$D2597),ISNUMBER('자료_거시'!$E2597)),IFERROR('자료_거시'!$E2597-INDEX($S$21:$S$4020,MATCH(EDATE('자료_거시'!$D2597,-'설정'!$B$17),'자료_거시'!$D$3:INDEX('자료_거시'!$D$3:$D$4002,$K$6),1)),""),"")</f>
        <v/>
      </c>
      <c r="U2615">
        <f>IF(ISNUMBER(T2615),'자료_거시'!$D2597,"")</f>
        <v/>
      </c>
      <c r="V2615">
        <f>IF(ISNUMBER(U2615),IF(U2615&gt;$L$6,T2615,""),"")</f>
        <v/>
      </c>
      <c r="W2615">
        <f>IF(AND(ISNUMBER('자료_거시'!$G2597),ISNUMBER('자료_거시'!$H2597)),'자료_거시'!$H2597,"")</f>
        <v/>
      </c>
      <c r="X2615">
        <f>IF(ISNUMBER(W2615),'자료_거시'!$G2597,"")</f>
        <v/>
      </c>
      <c r="Y2615">
        <f>IF(ISNUMBER(X2615),IF(X2615&gt;$L$7,W2615,""),"")</f>
        <v/>
      </c>
      <c r="Z2615">
        <f>IF(ISNUMBER('자료_거시'!$K2597),'자료_거시'!$K2597,Z2614)</f>
        <v/>
      </c>
      <c r="AA2615">
        <f>IF(AND(ISNUMBER('자료_거시'!$J2597),ISNUMBER('자료_거시'!$K2597)),IFERROR('자료_거시'!$K2597/INDEX($Z$21:$Z$4020,MATCH(EDATE('자료_거시'!$J2597,-'설정'!$B$17),'자료_거시'!$J$3:INDEX('자료_거시'!$J$3:$J$4002,$K$8),1))-1,""),"")</f>
        <v/>
      </c>
      <c r="AB2615">
        <f>IF(ISNUMBER(AA2615),'자료_거시'!$J2597,"")</f>
        <v/>
      </c>
      <c r="AC2615">
        <f>IF(ISNUMBER(AB2615),IF(AB2615&gt;$L$8,AA2615,""),"")</f>
        <v/>
      </c>
    </row>
    <row r="2616">
      <c r="S2616">
        <f>IF(ISNUMBER('자료_거시'!$E2598),'자료_거시'!$E2598,S2615)</f>
        <v/>
      </c>
      <c r="T2616">
        <f>IF(AND(ISNUMBER('자료_거시'!$D2598),ISNUMBER('자료_거시'!$E2598)),IFERROR('자료_거시'!$E2598-INDEX($S$21:$S$4020,MATCH(EDATE('자료_거시'!$D2598,-'설정'!$B$17),'자료_거시'!$D$3:INDEX('자료_거시'!$D$3:$D$4002,$K$6),1)),""),"")</f>
        <v/>
      </c>
      <c r="U2616">
        <f>IF(ISNUMBER(T2616),'자료_거시'!$D2598,"")</f>
        <v/>
      </c>
      <c r="V2616">
        <f>IF(ISNUMBER(U2616),IF(U2616&gt;$L$6,T2616,""),"")</f>
        <v/>
      </c>
      <c r="W2616">
        <f>IF(AND(ISNUMBER('자료_거시'!$G2598),ISNUMBER('자료_거시'!$H2598)),'자료_거시'!$H2598,"")</f>
        <v/>
      </c>
      <c r="X2616">
        <f>IF(ISNUMBER(W2616),'자료_거시'!$G2598,"")</f>
        <v/>
      </c>
      <c r="Y2616">
        <f>IF(ISNUMBER(X2616),IF(X2616&gt;$L$7,W2616,""),"")</f>
        <v/>
      </c>
      <c r="Z2616">
        <f>IF(ISNUMBER('자료_거시'!$K2598),'자료_거시'!$K2598,Z2615)</f>
        <v/>
      </c>
      <c r="AA2616">
        <f>IF(AND(ISNUMBER('자료_거시'!$J2598),ISNUMBER('자료_거시'!$K2598)),IFERROR('자료_거시'!$K2598/INDEX($Z$21:$Z$4020,MATCH(EDATE('자료_거시'!$J2598,-'설정'!$B$17),'자료_거시'!$J$3:INDEX('자료_거시'!$J$3:$J$4002,$K$8),1))-1,""),"")</f>
        <v/>
      </c>
      <c r="AB2616">
        <f>IF(ISNUMBER(AA2616),'자료_거시'!$J2598,"")</f>
        <v/>
      </c>
      <c r="AC2616">
        <f>IF(ISNUMBER(AB2616),IF(AB2616&gt;$L$8,AA2616,""),"")</f>
        <v/>
      </c>
    </row>
    <row r="2617">
      <c r="S2617">
        <f>IF(ISNUMBER('자료_거시'!$E2599),'자료_거시'!$E2599,S2616)</f>
        <v/>
      </c>
      <c r="T2617">
        <f>IF(AND(ISNUMBER('자료_거시'!$D2599),ISNUMBER('자료_거시'!$E2599)),IFERROR('자료_거시'!$E2599-INDEX($S$21:$S$4020,MATCH(EDATE('자료_거시'!$D2599,-'설정'!$B$17),'자료_거시'!$D$3:INDEX('자료_거시'!$D$3:$D$4002,$K$6),1)),""),"")</f>
        <v/>
      </c>
      <c r="U2617">
        <f>IF(ISNUMBER(T2617),'자료_거시'!$D2599,"")</f>
        <v/>
      </c>
      <c r="V2617">
        <f>IF(ISNUMBER(U2617),IF(U2617&gt;$L$6,T2617,""),"")</f>
        <v/>
      </c>
      <c r="W2617">
        <f>IF(AND(ISNUMBER('자료_거시'!$G2599),ISNUMBER('자료_거시'!$H2599)),'자료_거시'!$H2599,"")</f>
        <v/>
      </c>
      <c r="X2617">
        <f>IF(ISNUMBER(W2617),'자료_거시'!$G2599,"")</f>
        <v/>
      </c>
      <c r="Y2617">
        <f>IF(ISNUMBER(X2617),IF(X2617&gt;$L$7,W2617,""),"")</f>
        <v/>
      </c>
      <c r="Z2617">
        <f>IF(ISNUMBER('자료_거시'!$K2599),'자료_거시'!$K2599,Z2616)</f>
        <v/>
      </c>
      <c r="AA2617">
        <f>IF(AND(ISNUMBER('자료_거시'!$J2599),ISNUMBER('자료_거시'!$K2599)),IFERROR('자료_거시'!$K2599/INDEX($Z$21:$Z$4020,MATCH(EDATE('자료_거시'!$J2599,-'설정'!$B$17),'자료_거시'!$J$3:INDEX('자료_거시'!$J$3:$J$4002,$K$8),1))-1,""),"")</f>
        <v/>
      </c>
      <c r="AB2617">
        <f>IF(ISNUMBER(AA2617),'자료_거시'!$J2599,"")</f>
        <v/>
      </c>
      <c r="AC2617">
        <f>IF(ISNUMBER(AB2617),IF(AB2617&gt;$L$8,AA2617,""),"")</f>
        <v/>
      </c>
    </row>
    <row r="2618">
      <c r="S2618">
        <f>IF(ISNUMBER('자료_거시'!$E2600),'자료_거시'!$E2600,S2617)</f>
        <v/>
      </c>
      <c r="T2618">
        <f>IF(AND(ISNUMBER('자료_거시'!$D2600),ISNUMBER('자료_거시'!$E2600)),IFERROR('자료_거시'!$E2600-INDEX($S$21:$S$4020,MATCH(EDATE('자료_거시'!$D2600,-'설정'!$B$17),'자료_거시'!$D$3:INDEX('자료_거시'!$D$3:$D$4002,$K$6),1)),""),"")</f>
        <v/>
      </c>
      <c r="U2618">
        <f>IF(ISNUMBER(T2618),'자료_거시'!$D2600,"")</f>
        <v/>
      </c>
      <c r="V2618">
        <f>IF(ISNUMBER(U2618),IF(U2618&gt;$L$6,T2618,""),"")</f>
        <v/>
      </c>
      <c r="W2618">
        <f>IF(AND(ISNUMBER('자료_거시'!$G2600),ISNUMBER('자료_거시'!$H2600)),'자료_거시'!$H2600,"")</f>
        <v/>
      </c>
      <c r="X2618">
        <f>IF(ISNUMBER(W2618),'자료_거시'!$G2600,"")</f>
        <v/>
      </c>
      <c r="Y2618">
        <f>IF(ISNUMBER(X2618),IF(X2618&gt;$L$7,W2618,""),"")</f>
        <v/>
      </c>
      <c r="Z2618">
        <f>IF(ISNUMBER('자료_거시'!$K2600),'자료_거시'!$K2600,Z2617)</f>
        <v/>
      </c>
      <c r="AA2618">
        <f>IF(AND(ISNUMBER('자료_거시'!$J2600),ISNUMBER('자료_거시'!$K2600)),IFERROR('자료_거시'!$K2600/INDEX($Z$21:$Z$4020,MATCH(EDATE('자료_거시'!$J2600,-'설정'!$B$17),'자료_거시'!$J$3:INDEX('자료_거시'!$J$3:$J$4002,$K$8),1))-1,""),"")</f>
        <v/>
      </c>
      <c r="AB2618">
        <f>IF(ISNUMBER(AA2618),'자료_거시'!$J2600,"")</f>
        <v/>
      </c>
      <c r="AC2618">
        <f>IF(ISNUMBER(AB2618),IF(AB2618&gt;$L$8,AA2618,""),"")</f>
        <v/>
      </c>
    </row>
    <row r="2619">
      <c r="S2619">
        <f>IF(ISNUMBER('자료_거시'!$E2601),'자료_거시'!$E2601,S2618)</f>
        <v/>
      </c>
      <c r="T2619">
        <f>IF(AND(ISNUMBER('자료_거시'!$D2601),ISNUMBER('자료_거시'!$E2601)),IFERROR('자료_거시'!$E2601-INDEX($S$21:$S$4020,MATCH(EDATE('자료_거시'!$D2601,-'설정'!$B$17),'자료_거시'!$D$3:INDEX('자료_거시'!$D$3:$D$4002,$K$6),1)),""),"")</f>
        <v/>
      </c>
      <c r="U2619">
        <f>IF(ISNUMBER(T2619),'자료_거시'!$D2601,"")</f>
        <v/>
      </c>
      <c r="V2619">
        <f>IF(ISNUMBER(U2619),IF(U2619&gt;$L$6,T2619,""),"")</f>
        <v/>
      </c>
      <c r="W2619">
        <f>IF(AND(ISNUMBER('자료_거시'!$G2601),ISNUMBER('자료_거시'!$H2601)),'자료_거시'!$H2601,"")</f>
        <v/>
      </c>
      <c r="X2619">
        <f>IF(ISNUMBER(W2619),'자료_거시'!$G2601,"")</f>
        <v/>
      </c>
      <c r="Y2619">
        <f>IF(ISNUMBER(X2619),IF(X2619&gt;$L$7,W2619,""),"")</f>
        <v/>
      </c>
      <c r="Z2619">
        <f>IF(ISNUMBER('자료_거시'!$K2601),'자료_거시'!$K2601,Z2618)</f>
        <v/>
      </c>
      <c r="AA2619">
        <f>IF(AND(ISNUMBER('자료_거시'!$J2601),ISNUMBER('자료_거시'!$K2601)),IFERROR('자료_거시'!$K2601/INDEX($Z$21:$Z$4020,MATCH(EDATE('자료_거시'!$J2601,-'설정'!$B$17),'자료_거시'!$J$3:INDEX('자료_거시'!$J$3:$J$4002,$K$8),1))-1,""),"")</f>
        <v/>
      </c>
      <c r="AB2619">
        <f>IF(ISNUMBER(AA2619),'자료_거시'!$J2601,"")</f>
        <v/>
      </c>
      <c r="AC2619">
        <f>IF(ISNUMBER(AB2619),IF(AB2619&gt;$L$8,AA2619,""),"")</f>
        <v/>
      </c>
    </row>
    <row r="2620">
      <c r="S2620">
        <f>IF(ISNUMBER('자료_거시'!$E2602),'자료_거시'!$E2602,S2619)</f>
        <v/>
      </c>
      <c r="T2620">
        <f>IF(AND(ISNUMBER('자료_거시'!$D2602),ISNUMBER('자료_거시'!$E2602)),IFERROR('자료_거시'!$E2602-INDEX($S$21:$S$4020,MATCH(EDATE('자료_거시'!$D2602,-'설정'!$B$17),'자료_거시'!$D$3:INDEX('자료_거시'!$D$3:$D$4002,$K$6),1)),""),"")</f>
        <v/>
      </c>
      <c r="U2620">
        <f>IF(ISNUMBER(T2620),'자료_거시'!$D2602,"")</f>
        <v/>
      </c>
      <c r="V2620">
        <f>IF(ISNUMBER(U2620),IF(U2620&gt;$L$6,T2620,""),"")</f>
        <v/>
      </c>
      <c r="W2620">
        <f>IF(AND(ISNUMBER('자료_거시'!$G2602),ISNUMBER('자료_거시'!$H2602)),'자료_거시'!$H2602,"")</f>
        <v/>
      </c>
      <c r="X2620">
        <f>IF(ISNUMBER(W2620),'자료_거시'!$G2602,"")</f>
        <v/>
      </c>
      <c r="Y2620">
        <f>IF(ISNUMBER(X2620),IF(X2620&gt;$L$7,W2620,""),"")</f>
        <v/>
      </c>
      <c r="Z2620">
        <f>IF(ISNUMBER('자료_거시'!$K2602),'자료_거시'!$K2602,Z2619)</f>
        <v/>
      </c>
      <c r="AA2620">
        <f>IF(AND(ISNUMBER('자료_거시'!$J2602),ISNUMBER('자료_거시'!$K2602)),IFERROR('자료_거시'!$K2602/INDEX($Z$21:$Z$4020,MATCH(EDATE('자료_거시'!$J2602,-'설정'!$B$17),'자료_거시'!$J$3:INDEX('자료_거시'!$J$3:$J$4002,$K$8),1))-1,""),"")</f>
        <v/>
      </c>
      <c r="AB2620">
        <f>IF(ISNUMBER(AA2620),'자료_거시'!$J2602,"")</f>
        <v/>
      </c>
      <c r="AC2620">
        <f>IF(ISNUMBER(AB2620),IF(AB2620&gt;$L$8,AA2620,""),"")</f>
        <v/>
      </c>
    </row>
    <row r="2621">
      <c r="S2621">
        <f>IF(ISNUMBER('자료_거시'!$E2603),'자료_거시'!$E2603,S2620)</f>
        <v/>
      </c>
      <c r="T2621">
        <f>IF(AND(ISNUMBER('자료_거시'!$D2603),ISNUMBER('자료_거시'!$E2603)),IFERROR('자료_거시'!$E2603-INDEX($S$21:$S$4020,MATCH(EDATE('자료_거시'!$D2603,-'설정'!$B$17),'자료_거시'!$D$3:INDEX('자료_거시'!$D$3:$D$4002,$K$6),1)),""),"")</f>
        <v/>
      </c>
      <c r="U2621">
        <f>IF(ISNUMBER(T2621),'자료_거시'!$D2603,"")</f>
        <v/>
      </c>
      <c r="V2621">
        <f>IF(ISNUMBER(U2621),IF(U2621&gt;$L$6,T2621,""),"")</f>
        <v/>
      </c>
      <c r="W2621">
        <f>IF(AND(ISNUMBER('자료_거시'!$G2603),ISNUMBER('자료_거시'!$H2603)),'자료_거시'!$H2603,"")</f>
        <v/>
      </c>
      <c r="X2621">
        <f>IF(ISNUMBER(W2621),'자료_거시'!$G2603,"")</f>
        <v/>
      </c>
      <c r="Y2621">
        <f>IF(ISNUMBER(X2621),IF(X2621&gt;$L$7,W2621,""),"")</f>
        <v/>
      </c>
      <c r="Z2621">
        <f>IF(ISNUMBER('자료_거시'!$K2603),'자료_거시'!$K2603,Z2620)</f>
        <v/>
      </c>
      <c r="AA2621">
        <f>IF(AND(ISNUMBER('자료_거시'!$J2603),ISNUMBER('자료_거시'!$K2603)),IFERROR('자료_거시'!$K2603/INDEX($Z$21:$Z$4020,MATCH(EDATE('자료_거시'!$J2603,-'설정'!$B$17),'자료_거시'!$J$3:INDEX('자료_거시'!$J$3:$J$4002,$K$8),1))-1,""),"")</f>
        <v/>
      </c>
      <c r="AB2621">
        <f>IF(ISNUMBER(AA2621),'자료_거시'!$J2603,"")</f>
        <v/>
      </c>
      <c r="AC2621">
        <f>IF(ISNUMBER(AB2621),IF(AB2621&gt;$L$8,AA2621,""),"")</f>
        <v/>
      </c>
    </row>
    <row r="2622">
      <c r="S2622">
        <f>IF(ISNUMBER('자료_거시'!$E2604),'자료_거시'!$E2604,S2621)</f>
        <v/>
      </c>
      <c r="T2622">
        <f>IF(AND(ISNUMBER('자료_거시'!$D2604),ISNUMBER('자료_거시'!$E2604)),IFERROR('자료_거시'!$E2604-INDEX($S$21:$S$4020,MATCH(EDATE('자료_거시'!$D2604,-'설정'!$B$17),'자료_거시'!$D$3:INDEX('자료_거시'!$D$3:$D$4002,$K$6),1)),""),"")</f>
        <v/>
      </c>
      <c r="U2622">
        <f>IF(ISNUMBER(T2622),'자료_거시'!$D2604,"")</f>
        <v/>
      </c>
      <c r="V2622">
        <f>IF(ISNUMBER(U2622),IF(U2622&gt;$L$6,T2622,""),"")</f>
        <v/>
      </c>
      <c r="W2622">
        <f>IF(AND(ISNUMBER('자료_거시'!$G2604),ISNUMBER('자료_거시'!$H2604)),'자료_거시'!$H2604,"")</f>
        <v/>
      </c>
      <c r="X2622">
        <f>IF(ISNUMBER(W2622),'자료_거시'!$G2604,"")</f>
        <v/>
      </c>
      <c r="Y2622">
        <f>IF(ISNUMBER(X2622),IF(X2622&gt;$L$7,W2622,""),"")</f>
        <v/>
      </c>
      <c r="Z2622">
        <f>IF(ISNUMBER('자료_거시'!$K2604),'자료_거시'!$K2604,Z2621)</f>
        <v/>
      </c>
      <c r="AA2622">
        <f>IF(AND(ISNUMBER('자료_거시'!$J2604),ISNUMBER('자료_거시'!$K2604)),IFERROR('자료_거시'!$K2604/INDEX($Z$21:$Z$4020,MATCH(EDATE('자료_거시'!$J2604,-'설정'!$B$17),'자료_거시'!$J$3:INDEX('자료_거시'!$J$3:$J$4002,$K$8),1))-1,""),"")</f>
        <v/>
      </c>
      <c r="AB2622">
        <f>IF(ISNUMBER(AA2622),'자료_거시'!$J2604,"")</f>
        <v/>
      </c>
      <c r="AC2622">
        <f>IF(ISNUMBER(AB2622),IF(AB2622&gt;$L$8,AA2622,""),"")</f>
        <v/>
      </c>
    </row>
    <row r="2623">
      <c r="S2623">
        <f>IF(ISNUMBER('자료_거시'!$E2605),'자료_거시'!$E2605,S2622)</f>
        <v/>
      </c>
      <c r="T2623">
        <f>IF(AND(ISNUMBER('자료_거시'!$D2605),ISNUMBER('자료_거시'!$E2605)),IFERROR('자료_거시'!$E2605-INDEX($S$21:$S$4020,MATCH(EDATE('자료_거시'!$D2605,-'설정'!$B$17),'자료_거시'!$D$3:INDEX('자료_거시'!$D$3:$D$4002,$K$6),1)),""),"")</f>
        <v/>
      </c>
      <c r="U2623">
        <f>IF(ISNUMBER(T2623),'자료_거시'!$D2605,"")</f>
        <v/>
      </c>
      <c r="V2623">
        <f>IF(ISNUMBER(U2623),IF(U2623&gt;$L$6,T2623,""),"")</f>
        <v/>
      </c>
      <c r="W2623">
        <f>IF(AND(ISNUMBER('자료_거시'!$G2605),ISNUMBER('자료_거시'!$H2605)),'자료_거시'!$H2605,"")</f>
        <v/>
      </c>
      <c r="X2623">
        <f>IF(ISNUMBER(W2623),'자료_거시'!$G2605,"")</f>
        <v/>
      </c>
      <c r="Y2623">
        <f>IF(ISNUMBER(X2623),IF(X2623&gt;$L$7,W2623,""),"")</f>
        <v/>
      </c>
      <c r="Z2623">
        <f>IF(ISNUMBER('자료_거시'!$K2605),'자료_거시'!$K2605,Z2622)</f>
        <v/>
      </c>
      <c r="AA2623">
        <f>IF(AND(ISNUMBER('자료_거시'!$J2605),ISNUMBER('자료_거시'!$K2605)),IFERROR('자료_거시'!$K2605/INDEX($Z$21:$Z$4020,MATCH(EDATE('자료_거시'!$J2605,-'설정'!$B$17),'자료_거시'!$J$3:INDEX('자료_거시'!$J$3:$J$4002,$K$8),1))-1,""),"")</f>
        <v/>
      </c>
      <c r="AB2623">
        <f>IF(ISNUMBER(AA2623),'자료_거시'!$J2605,"")</f>
        <v/>
      </c>
      <c r="AC2623">
        <f>IF(ISNUMBER(AB2623),IF(AB2623&gt;$L$8,AA2623,""),"")</f>
        <v/>
      </c>
    </row>
    <row r="2624">
      <c r="S2624">
        <f>IF(ISNUMBER('자료_거시'!$E2606),'자료_거시'!$E2606,S2623)</f>
        <v/>
      </c>
      <c r="T2624">
        <f>IF(AND(ISNUMBER('자료_거시'!$D2606),ISNUMBER('자료_거시'!$E2606)),IFERROR('자료_거시'!$E2606-INDEX($S$21:$S$4020,MATCH(EDATE('자료_거시'!$D2606,-'설정'!$B$17),'자료_거시'!$D$3:INDEX('자료_거시'!$D$3:$D$4002,$K$6),1)),""),"")</f>
        <v/>
      </c>
      <c r="U2624">
        <f>IF(ISNUMBER(T2624),'자료_거시'!$D2606,"")</f>
        <v/>
      </c>
      <c r="V2624">
        <f>IF(ISNUMBER(U2624),IF(U2624&gt;$L$6,T2624,""),"")</f>
        <v/>
      </c>
      <c r="W2624">
        <f>IF(AND(ISNUMBER('자료_거시'!$G2606),ISNUMBER('자료_거시'!$H2606)),'자료_거시'!$H2606,"")</f>
        <v/>
      </c>
      <c r="X2624">
        <f>IF(ISNUMBER(W2624),'자료_거시'!$G2606,"")</f>
        <v/>
      </c>
      <c r="Y2624">
        <f>IF(ISNUMBER(X2624),IF(X2624&gt;$L$7,W2624,""),"")</f>
        <v/>
      </c>
      <c r="Z2624">
        <f>IF(ISNUMBER('자료_거시'!$K2606),'자료_거시'!$K2606,Z2623)</f>
        <v/>
      </c>
      <c r="AA2624">
        <f>IF(AND(ISNUMBER('자료_거시'!$J2606),ISNUMBER('자료_거시'!$K2606)),IFERROR('자료_거시'!$K2606/INDEX($Z$21:$Z$4020,MATCH(EDATE('자료_거시'!$J2606,-'설정'!$B$17),'자료_거시'!$J$3:INDEX('자료_거시'!$J$3:$J$4002,$K$8),1))-1,""),"")</f>
        <v/>
      </c>
      <c r="AB2624">
        <f>IF(ISNUMBER(AA2624),'자료_거시'!$J2606,"")</f>
        <v/>
      </c>
      <c r="AC2624">
        <f>IF(ISNUMBER(AB2624),IF(AB2624&gt;$L$8,AA2624,""),"")</f>
        <v/>
      </c>
    </row>
    <row r="2625">
      <c r="S2625">
        <f>IF(ISNUMBER('자료_거시'!$E2607),'자료_거시'!$E2607,S2624)</f>
        <v/>
      </c>
      <c r="T2625">
        <f>IF(AND(ISNUMBER('자료_거시'!$D2607),ISNUMBER('자료_거시'!$E2607)),IFERROR('자료_거시'!$E2607-INDEX($S$21:$S$4020,MATCH(EDATE('자료_거시'!$D2607,-'설정'!$B$17),'자료_거시'!$D$3:INDEX('자료_거시'!$D$3:$D$4002,$K$6),1)),""),"")</f>
        <v/>
      </c>
      <c r="U2625">
        <f>IF(ISNUMBER(T2625),'자료_거시'!$D2607,"")</f>
        <v/>
      </c>
      <c r="V2625">
        <f>IF(ISNUMBER(U2625),IF(U2625&gt;$L$6,T2625,""),"")</f>
        <v/>
      </c>
      <c r="W2625">
        <f>IF(AND(ISNUMBER('자료_거시'!$G2607),ISNUMBER('자료_거시'!$H2607)),'자료_거시'!$H2607,"")</f>
        <v/>
      </c>
      <c r="X2625">
        <f>IF(ISNUMBER(W2625),'자료_거시'!$G2607,"")</f>
        <v/>
      </c>
      <c r="Y2625">
        <f>IF(ISNUMBER(X2625),IF(X2625&gt;$L$7,W2625,""),"")</f>
        <v/>
      </c>
      <c r="Z2625">
        <f>IF(ISNUMBER('자료_거시'!$K2607),'자료_거시'!$K2607,Z2624)</f>
        <v/>
      </c>
      <c r="AA2625">
        <f>IF(AND(ISNUMBER('자료_거시'!$J2607),ISNUMBER('자료_거시'!$K2607)),IFERROR('자료_거시'!$K2607/INDEX($Z$21:$Z$4020,MATCH(EDATE('자료_거시'!$J2607,-'설정'!$B$17),'자료_거시'!$J$3:INDEX('자료_거시'!$J$3:$J$4002,$K$8),1))-1,""),"")</f>
        <v/>
      </c>
      <c r="AB2625">
        <f>IF(ISNUMBER(AA2625),'자료_거시'!$J2607,"")</f>
        <v/>
      </c>
      <c r="AC2625">
        <f>IF(ISNUMBER(AB2625),IF(AB2625&gt;$L$8,AA2625,""),"")</f>
        <v/>
      </c>
    </row>
    <row r="2626">
      <c r="S2626">
        <f>IF(ISNUMBER('자료_거시'!$E2608),'자료_거시'!$E2608,S2625)</f>
        <v/>
      </c>
      <c r="T2626">
        <f>IF(AND(ISNUMBER('자료_거시'!$D2608),ISNUMBER('자료_거시'!$E2608)),IFERROR('자료_거시'!$E2608-INDEX($S$21:$S$4020,MATCH(EDATE('자료_거시'!$D2608,-'설정'!$B$17),'자료_거시'!$D$3:INDEX('자료_거시'!$D$3:$D$4002,$K$6),1)),""),"")</f>
        <v/>
      </c>
      <c r="U2626">
        <f>IF(ISNUMBER(T2626),'자료_거시'!$D2608,"")</f>
        <v/>
      </c>
      <c r="V2626">
        <f>IF(ISNUMBER(U2626),IF(U2626&gt;$L$6,T2626,""),"")</f>
        <v/>
      </c>
      <c r="W2626">
        <f>IF(AND(ISNUMBER('자료_거시'!$G2608),ISNUMBER('자료_거시'!$H2608)),'자료_거시'!$H2608,"")</f>
        <v/>
      </c>
      <c r="X2626">
        <f>IF(ISNUMBER(W2626),'자료_거시'!$G2608,"")</f>
        <v/>
      </c>
      <c r="Y2626">
        <f>IF(ISNUMBER(X2626),IF(X2626&gt;$L$7,W2626,""),"")</f>
        <v/>
      </c>
      <c r="Z2626">
        <f>IF(ISNUMBER('자료_거시'!$K2608),'자료_거시'!$K2608,Z2625)</f>
        <v/>
      </c>
      <c r="AA2626">
        <f>IF(AND(ISNUMBER('자료_거시'!$J2608),ISNUMBER('자료_거시'!$K2608)),IFERROR('자료_거시'!$K2608/INDEX($Z$21:$Z$4020,MATCH(EDATE('자료_거시'!$J2608,-'설정'!$B$17),'자료_거시'!$J$3:INDEX('자료_거시'!$J$3:$J$4002,$K$8),1))-1,""),"")</f>
        <v/>
      </c>
      <c r="AB2626">
        <f>IF(ISNUMBER(AA2626),'자료_거시'!$J2608,"")</f>
        <v/>
      </c>
      <c r="AC2626">
        <f>IF(ISNUMBER(AB2626),IF(AB2626&gt;$L$8,AA2626,""),"")</f>
        <v/>
      </c>
    </row>
    <row r="2627">
      <c r="S2627">
        <f>IF(ISNUMBER('자료_거시'!$E2609),'자료_거시'!$E2609,S2626)</f>
        <v/>
      </c>
      <c r="T2627">
        <f>IF(AND(ISNUMBER('자료_거시'!$D2609),ISNUMBER('자료_거시'!$E2609)),IFERROR('자료_거시'!$E2609-INDEX($S$21:$S$4020,MATCH(EDATE('자료_거시'!$D2609,-'설정'!$B$17),'자료_거시'!$D$3:INDEX('자료_거시'!$D$3:$D$4002,$K$6),1)),""),"")</f>
        <v/>
      </c>
      <c r="U2627">
        <f>IF(ISNUMBER(T2627),'자료_거시'!$D2609,"")</f>
        <v/>
      </c>
      <c r="V2627">
        <f>IF(ISNUMBER(U2627),IF(U2627&gt;$L$6,T2627,""),"")</f>
        <v/>
      </c>
      <c r="W2627">
        <f>IF(AND(ISNUMBER('자료_거시'!$G2609),ISNUMBER('자료_거시'!$H2609)),'자료_거시'!$H2609,"")</f>
        <v/>
      </c>
      <c r="X2627">
        <f>IF(ISNUMBER(W2627),'자료_거시'!$G2609,"")</f>
        <v/>
      </c>
      <c r="Y2627">
        <f>IF(ISNUMBER(X2627),IF(X2627&gt;$L$7,W2627,""),"")</f>
        <v/>
      </c>
      <c r="Z2627">
        <f>IF(ISNUMBER('자료_거시'!$K2609),'자료_거시'!$K2609,Z2626)</f>
        <v/>
      </c>
      <c r="AA2627">
        <f>IF(AND(ISNUMBER('자료_거시'!$J2609),ISNUMBER('자료_거시'!$K2609)),IFERROR('자료_거시'!$K2609/INDEX($Z$21:$Z$4020,MATCH(EDATE('자료_거시'!$J2609,-'설정'!$B$17),'자료_거시'!$J$3:INDEX('자료_거시'!$J$3:$J$4002,$K$8),1))-1,""),"")</f>
        <v/>
      </c>
      <c r="AB2627">
        <f>IF(ISNUMBER(AA2627),'자료_거시'!$J2609,"")</f>
        <v/>
      </c>
      <c r="AC2627">
        <f>IF(ISNUMBER(AB2627),IF(AB2627&gt;$L$8,AA2627,""),"")</f>
        <v/>
      </c>
    </row>
    <row r="2628">
      <c r="S2628">
        <f>IF(ISNUMBER('자료_거시'!$E2610),'자료_거시'!$E2610,S2627)</f>
        <v/>
      </c>
      <c r="T2628">
        <f>IF(AND(ISNUMBER('자료_거시'!$D2610),ISNUMBER('자료_거시'!$E2610)),IFERROR('자료_거시'!$E2610-INDEX($S$21:$S$4020,MATCH(EDATE('자료_거시'!$D2610,-'설정'!$B$17),'자료_거시'!$D$3:INDEX('자료_거시'!$D$3:$D$4002,$K$6),1)),""),"")</f>
        <v/>
      </c>
      <c r="U2628">
        <f>IF(ISNUMBER(T2628),'자료_거시'!$D2610,"")</f>
        <v/>
      </c>
      <c r="V2628">
        <f>IF(ISNUMBER(U2628),IF(U2628&gt;$L$6,T2628,""),"")</f>
        <v/>
      </c>
      <c r="W2628">
        <f>IF(AND(ISNUMBER('자료_거시'!$G2610),ISNUMBER('자료_거시'!$H2610)),'자료_거시'!$H2610,"")</f>
        <v/>
      </c>
      <c r="X2628">
        <f>IF(ISNUMBER(W2628),'자료_거시'!$G2610,"")</f>
        <v/>
      </c>
      <c r="Y2628">
        <f>IF(ISNUMBER(X2628),IF(X2628&gt;$L$7,W2628,""),"")</f>
        <v/>
      </c>
      <c r="Z2628">
        <f>IF(ISNUMBER('자료_거시'!$K2610),'자료_거시'!$K2610,Z2627)</f>
        <v/>
      </c>
      <c r="AA2628">
        <f>IF(AND(ISNUMBER('자료_거시'!$J2610),ISNUMBER('자료_거시'!$K2610)),IFERROR('자료_거시'!$K2610/INDEX($Z$21:$Z$4020,MATCH(EDATE('자료_거시'!$J2610,-'설정'!$B$17),'자료_거시'!$J$3:INDEX('자료_거시'!$J$3:$J$4002,$K$8),1))-1,""),"")</f>
        <v/>
      </c>
      <c r="AB2628">
        <f>IF(ISNUMBER(AA2628),'자료_거시'!$J2610,"")</f>
        <v/>
      </c>
      <c r="AC2628">
        <f>IF(ISNUMBER(AB2628),IF(AB2628&gt;$L$8,AA2628,""),"")</f>
        <v/>
      </c>
    </row>
    <row r="2629">
      <c r="S2629">
        <f>IF(ISNUMBER('자료_거시'!$E2611),'자료_거시'!$E2611,S2628)</f>
        <v/>
      </c>
      <c r="T2629">
        <f>IF(AND(ISNUMBER('자료_거시'!$D2611),ISNUMBER('자료_거시'!$E2611)),IFERROR('자료_거시'!$E2611-INDEX($S$21:$S$4020,MATCH(EDATE('자료_거시'!$D2611,-'설정'!$B$17),'자료_거시'!$D$3:INDEX('자료_거시'!$D$3:$D$4002,$K$6),1)),""),"")</f>
        <v/>
      </c>
      <c r="U2629">
        <f>IF(ISNUMBER(T2629),'자료_거시'!$D2611,"")</f>
        <v/>
      </c>
      <c r="V2629">
        <f>IF(ISNUMBER(U2629),IF(U2629&gt;$L$6,T2629,""),"")</f>
        <v/>
      </c>
      <c r="W2629">
        <f>IF(AND(ISNUMBER('자료_거시'!$G2611),ISNUMBER('자료_거시'!$H2611)),'자료_거시'!$H2611,"")</f>
        <v/>
      </c>
      <c r="X2629">
        <f>IF(ISNUMBER(W2629),'자료_거시'!$G2611,"")</f>
        <v/>
      </c>
      <c r="Y2629">
        <f>IF(ISNUMBER(X2629),IF(X2629&gt;$L$7,W2629,""),"")</f>
        <v/>
      </c>
      <c r="Z2629">
        <f>IF(ISNUMBER('자료_거시'!$K2611),'자료_거시'!$K2611,Z2628)</f>
        <v/>
      </c>
      <c r="AA2629">
        <f>IF(AND(ISNUMBER('자료_거시'!$J2611),ISNUMBER('자료_거시'!$K2611)),IFERROR('자료_거시'!$K2611/INDEX($Z$21:$Z$4020,MATCH(EDATE('자료_거시'!$J2611,-'설정'!$B$17),'자료_거시'!$J$3:INDEX('자료_거시'!$J$3:$J$4002,$K$8),1))-1,""),"")</f>
        <v/>
      </c>
      <c r="AB2629">
        <f>IF(ISNUMBER(AA2629),'자료_거시'!$J2611,"")</f>
        <v/>
      </c>
      <c r="AC2629">
        <f>IF(ISNUMBER(AB2629),IF(AB2629&gt;$L$8,AA2629,""),"")</f>
        <v/>
      </c>
    </row>
    <row r="2630">
      <c r="S2630">
        <f>IF(ISNUMBER('자료_거시'!$E2612),'자료_거시'!$E2612,S2629)</f>
        <v/>
      </c>
      <c r="T2630">
        <f>IF(AND(ISNUMBER('자료_거시'!$D2612),ISNUMBER('자료_거시'!$E2612)),IFERROR('자료_거시'!$E2612-INDEX($S$21:$S$4020,MATCH(EDATE('자료_거시'!$D2612,-'설정'!$B$17),'자료_거시'!$D$3:INDEX('자료_거시'!$D$3:$D$4002,$K$6),1)),""),"")</f>
        <v/>
      </c>
      <c r="U2630">
        <f>IF(ISNUMBER(T2630),'자료_거시'!$D2612,"")</f>
        <v/>
      </c>
      <c r="V2630">
        <f>IF(ISNUMBER(U2630),IF(U2630&gt;$L$6,T2630,""),"")</f>
        <v/>
      </c>
      <c r="W2630">
        <f>IF(AND(ISNUMBER('자료_거시'!$G2612),ISNUMBER('자료_거시'!$H2612)),'자료_거시'!$H2612,"")</f>
        <v/>
      </c>
      <c r="X2630">
        <f>IF(ISNUMBER(W2630),'자료_거시'!$G2612,"")</f>
        <v/>
      </c>
      <c r="Y2630">
        <f>IF(ISNUMBER(X2630),IF(X2630&gt;$L$7,W2630,""),"")</f>
        <v/>
      </c>
      <c r="Z2630">
        <f>IF(ISNUMBER('자료_거시'!$K2612),'자료_거시'!$K2612,Z2629)</f>
        <v/>
      </c>
      <c r="AA2630">
        <f>IF(AND(ISNUMBER('자료_거시'!$J2612),ISNUMBER('자료_거시'!$K2612)),IFERROR('자료_거시'!$K2612/INDEX($Z$21:$Z$4020,MATCH(EDATE('자료_거시'!$J2612,-'설정'!$B$17),'자료_거시'!$J$3:INDEX('자료_거시'!$J$3:$J$4002,$K$8),1))-1,""),"")</f>
        <v/>
      </c>
      <c r="AB2630">
        <f>IF(ISNUMBER(AA2630),'자료_거시'!$J2612,"")</f>
        <v/>
      </c>
      <c r="AC2630">
        <f>IF(ISNUMBER(AB2630),IF(AB2630&gt;$L$8,AA2630,""),"")</f>
        <v/>
      </c>
    </row>
    <row r="2631">
      <c r="S2631">
        <f>IF(ISNUMBER('자료_거시'!$E2613),'자료_거시'!$E2613,S2630)</f>
        <v/>
      </c>
      <c r="T2631">
        <f>IF(AND(ISNUMBER('자료_거시'!$D2613),ISNUMBER('자료_거시'!$E2613)),IFERROR('자료_거시'!$E2613-INDEX($S$21:$S$4020,MATCH(EDATE('자료_거시'!$D2613,-'설정'!$B$17),'자료_거시'!$D$3:INDEX('자료_거시'!$D$3:$D$4002,$K$6),1)),""),"")</f>
        <v/>
      </c>
      <c r="U2631">
        <f>IF(ISNUMBER(T2631),'자료_거시'!$D2613,"")</f>
        <v/>
      </c>
      <c r="V2631">
        <f>IF(ISNUMBER(U2631),IF(U2631&gt;$L$6,T2631,""),"")</f>
        <v/>
      </c>
      <c r="W2631">
        <f>IF(AND(ISNUMBER('자료_거시'!$G2613),ISNUMBER('자료_거시'!$H2613)),'자료_거시'!$H2613,"")</f>
        <v/>
      </c>
      <c r="X2631">
        <f>IF(ISNUMBER(W2631),'자료_거시'!$G2613,"")</f>
        <v/>
      </c>
      <c r="Y2631">
        <f>IF(ISNUMBER(X2631),IF(X2631&gt;$L$7,W2631,""),"")</f>
        <v/>
      </c>
      <c r="Z2631">
        <f>IF(ISNUMBER('자료_거시'!$K2613),'자료_거시'!$K2613,Z2630)</f>
        <v/>
      </c>
      <c r="AA2631">
        <f>IF(AND(ISNUMBER('자료_거시'!$J2613),ISNUMBER('자료_거시'!$K2613)),IFERROR('자료_거시'!$K2613/INDEX($Z$21:$Z$4020,MATCH(EDATE('자료_거시'!$J2613,-'설정'!$B$17),'자료_거시'!$J$3:INDEX('자료_거시'!$J$3:$J$4002,$K$8),1))-1,""),"")</f>
        <v/>
      </c>
      <c r="AB2631">
        <f>IF(ISNUMBER(AA2631),'자료_거시'!$J2613,"")</f>
        <v/>
      </c>
      <c r="AC2631">
        <f>IF(ISNUMBER(AB2631),IF(AB2631&gt;$L$8,AA2631,""),"")</f>
        <v/>
      </c>
    </row>
    <row r="2632">
      <c r="S2632">
        <f>IF(ISNUMBER('자료_거시'!$E2614),'자료_거시'!$E2614,S2631)</f>
        <v/>
      </c>
      <c r="T2632">
        <f>IF(AND(ISNUMBER('자료_거시'!$D2614),ISNUMBER('자료_거시'!$E2614)),IFERROR('자료_거시'!$E2614-INDEX($S$21:$S$4020,MATCH(EDATE('자료_거시'!$D2614,-'설정'!$B$17),'자료_거시'!$D$3:INDEX('자료_거시'!$D$3:$D$4002,$K$6),1)),""),"")</f>
        <v/>
      </c>
      <c r="U2632">
        <f>IF(ISNUMBER(T2632),'자료_거시'!$D2614,"")</f>
        <v/>
      </c>
      <c r="V2632">
        <f>IF(ISNUMBER(U2632),IF(U2632&gt;$L$6,T2632,""),"")</f>
        <v/>
      </c>
      <c r="W2632">
        <f>IF(AND(ISNUMBER('자료_거시'!$G2614),ISNUMBER('자료_거시'!$H2614)),'자료_거시'!$H2614,"")</f>
        <v/>
      </c>
      <c r="X2632">
        <f>IF(ISNUMBER(W2632),'자료_거시'!$G2614,"")</f>
        <v/>
      </c>
      <c r="Y2632">
        <f>IF(ISNUMBER(X2632),IF(X2632&gt;$L$7,W2632,""),"")</f>
        <v/>
      </c>
      <c r="Z2632">
        <f>IF(ISNUMBER('자료_거시'!$K2614),'자료_거시'!$K2614,Z2631)</f>
        <v/>
      </c>
      <c r="AA2632">
        <f>IF(AND(ISNUMBER('자료_거시'!$J2614),ISNUMBER('자료_거시'!$K2614)),IFERROR('자료_거시'!$K2614/INDEX($Z$21:$Z$4020,MATCH(EDATE('자료_거시'!$J2614,-'설정'!$B$17),'자료_거시'!$J$3:INDEX('자료_거시'!$J$3:$J$4002,$K$8),1))-1,""),"")</f>
        <v/>
      </c>
      <c r="AB2632">
        <f>IF(ISNUMBER(AA2632),'자료_거시'!$J2614,"")</f>
        <v/>
      </c>
      <c r="AC2632">
        <f>IF(ISNUMBER(AB2632),IF(AB2632&gt;$L$8,AA2632,""),"")</f>
        <v/>
      </c>
    </row>
    <row r="2633">
      <c r="S2633">
        <f>IF(ISNUMBER('자료_거시'!$E2615),'자료_거시'!$E2615,S2632)</f>
        <v/>
      </c>
      <c r="T2633">
        <f>IF(AND(ISNUMBER('자료_거시'!$D2615),ISNUMBER('자료_거시'!$E2615)),IFERROR('자료_거시'!$E2615-INDEX($S$21:$S$4020,MATCH(EDATE('자료_거시'!$D2615,-'설정'!$B$17),'자료_거시'!$D$3:INDEX('자료_거시'!$D$3:$D$4002,$K$6),1)),""),"")</f>
        <v/>
      </c>
      <c r="U2633">
        <f>IF(ISNUMBER(T2633),'자료_거시'!$D2615,"")</f>
        <v/>
      </c>
      <c r="V2633">
        <f>IF(ISNUMBER(U2633),IF(U2633&gt;$L$6,T2633,""),"")</f>
        <v/>
      </c>
      <c r="W2633">
        <f>IF(AND(ISNUMBER('자료_거시'!$G2615),ISNUMBER('자료_거시'!$H2615)),'자료_거시'!$H2615,"")</f>
        <v/>
      </c>
      <c r="X2633">
        <f>IF(ISNUMBER(W2633),'자료_거시'!$G2615,"")</f>
        <v/>
      </c>
      <c r="Y2633">
        <f>IF(ISNUMBER(X2633),IF(X2633&gt;$L$7,W2633,""),"")</f>
        <v/>
      </c>
      <c r="Z2633">
        <f>IF(ISNUMBER('자료_거시'!$K2615),'자료_거시'!$K2615,Z2632)</f>
        <v/>
      </c>
      <c r="AA2633">
        <f>IF(AND(ISNUMBER('자료_거시'!$J2615),ISNUMBER('자료_거시'!$K2615)),IFERROR('자료_거시'!$K2615/INDEX($Z$21:$Z$4020,MATCH(EDATE('자료_거시'!$J2615,-'설정'!$B$17),'자료_거시'!$J$3:INDEX('자료_거시'!$J$3:$J$4002,$K$8),1))-1,""),"")</f>
        <v/>
      </c>
      <c r="AB2633">
        <f>IF(ISNUMBER(AA2633),'자료_거시'!$J2615,"")</f>
        <v/>
      </c>
      <c r="AC2633">
        <f>IF(ISNUMBER(AB2633),IF(AB2633&gt;$L$8,AA2633,""),"")</f>
        <v/>
      </c>
    </row>
    <row r="2634">
      <c r="S2634">
        <f>IF(ISNUMBER('자료_거시'!$E2616),'자료_거시'!$E2616,S2633)</f>
        <v/>
      </c>
      <c r="T2634">
        <f>IF(AND(ISNUMBER('자료_거시'!$D2616),ISNUMBER('자료_거시'!$E2616)),IFERROR('자료_거시'!$E2616-INDEX($S$21:$S$4020,MATCH(EDATE('자료_거시'!$D2616,-'설정'!$B$17),'자료_거시'!$D$3:INDEX('자료_거시'!$D$3:$D$4002,$K$6),1)),""),"")</f>
        <v/>
      </c>
      <c r="U2634">
        <f>IF(ISNUMBER(T2634),'자료_거시'!$D2616,"")</f>
        <v/>
      </c>
      <c r="V2634">
        <f>IF(ISNUMBER(U2634),IF(U2634&gt;$L$6,T2634,""),"")</f>
        <v/>
      </c>
      <c r="W2634">
        <f>IF(AND(ISNUMBER('자료_거시'!$G2616),ISNUMBER('자료_거시'!$H2616)),'자료_거시'!$H2616,"")</f>
        <v/>
      </c>
      <c r="X2634">
        <f>IF(ISNUMBER(W2634),'자료_거시'!$G2616,"")</f>
        <v/>
      </c>
      <c r="Y2634">
        <f>IF(ISNUMBER(X2634),IF(X2634&gt;$L$7,W2634,""),"")</f>
        <v/>
      </c>
      <c r="Z2634">
        <f>IF(ISNUMBER('자료_거시'!$K2616),'자료_거시'!$K2616,Z2633)</f>
        <v/>
      </c>
      <c r="AA2634">
        <f>IF(AND(ISNUMBER('자료_거시'!$J2616),ISNUMBER('자료_거시'!$K2616)),IFERROR('자료_거시'!$K2616/INDEX($Z$21:$Z$4020,MATCH(EDATE('자료_거시'!$J2616,-'설정'!$B$17),'자료_거시'!$J$3:INDEX('자료_거시'!$J$3:$J$4002,$K$8),1))-1,""),"")</f>
        <v/>
      </c>
      <c r="AB2634">
        <f>IF(ISNUMBER(AA2634),'자료_거시'!$J2616,"")</f>
        <v/>
      </c>
      <c r="AC2634">
        <f>IF(ISNUMBER(AB2634),IF(AB2634&gt;$L$8,AA2634,""),"")</f>
        <v/>
      </c>
    </row>
    <row r="2635">
      <c r="S2635">
        <f>IF(ISNUMBER('자료_거시'!$E2617),'자료_거시'!$E2617,S2634)</f>
        <v/>
      </c>
      <c r="T2635">
        <f>IF(AND(ISNUMBER('자료_거시'!$D2617),ISNUMBER('자료_거시'!$E2617)),IFERROR('자료_거시'!$E2617-INDEX($S$21:$S$4020,MATCH(EDATE('자료_거시'!$D2617,-'설정'!$B$17),'자료_거시'!$D$3:INDEX('자료_거시'!$D$3:$D$4002,$K$6),1)),""),"")</f>
        <v/>
      </c>
      <c r="U2635">
        <f>IF(ISNUMBER(T2635),'자료_거시'!$D2617,"")</f>
        <v/>
      </c>
      <c r="V2635">
        <f>IF(ISNUMBER(U2635),IF(U2635&gt;$L$6,T2635,""),"")</f>
        <v/>
      </c>
      <c r="W2635">
        <f>IF(AND(ISNUMBER('자료_거시'!$G2617),ISNUMBER('자료_거시'!$H2617)),'자료_거시'!$H2617,"")</f>
        <v/>
      </c>
      <c r="X2635">
        <f>IF(ISNUMBER(W2635),'자료_거시'!$G2617,"")</f>
        <v/>
      </c>
      <c r="Y2635">
        <f>IF(ISNUMBER(X2635),IF(X2635&gt;$L$7,W2635,""),"")</f>
        <v/>
      </c>
      <c r="Z2635">
        <f>IF(ISNUMBER('자료_거시'!$K2617),'자료_거시'!$K2617,Z2634)</f>
        <v/>
      </c>
      <c r="AA2635">
        <f>IF(AND(ISNUMBER('자료_거시'!$J2617),ISNUMBER('자료_거시'!$K2617)),IFERROR('자료_거시'!$K2617/INDEX($Z$21:$Z$4020,MATCH(EDATE('자료_거시'!$J2617,-'설정'!$B$17),'자료_거시'!$J$3:INDEX('자료_거시'!$J$3:$J$4002,$K$8),1))-1,""),"")</f>
        <v/>
      </c>
      <c r="AB2635">
        <f>IF(ISNUMBER(AA2635),'자료_거시'!$J2617,"")</f>
        <v/>
      </c>
      <c r="AC2635">
        <f>IF(ISNUMBER(AB2635),IF(AB2635&gt;$L$8,AA2635,""),"")</f>
        <v/>
      </c>
    </row>
    <row r="2636">
      <c r="S2636">
        <f>IF(ISNUMBER('자료_거시'!$E2618),'자료_거시'!$E2618,S2635)</f>
        <v/>
      </c>
      <c r="T2636">
        <f>IF(AND(ISNUMBER('자료_거시'!$D2618),ISNUMBER('자료_거시'!$E2618)),IFERROR('자료_거시'!$E2618-INDEX($S$21:$S$4020,MATCH(EDATE('자료_거시'!$D2618,-'설정'!$B$17),'자료_거시'!$D$3:INDEX('자료_거시'!$D$3:$D$4002,$K$6),1)),""),"")</f>
        <v/>
      </c>
      <c r="U2636">
        <f>IF(ISNUMBER(T2636),'자료_거시'!$D2618,"")</f>
        <v/>
      </c>
      <c r="V2636">
        <f>IF(ISNUMBER(U2636),IF(U2636&gt;$L$6,T2636,""),"")</f>
        <v/>
      </c>
      <c r="W2636">
        <f>IF(AND(ISNUMBER('자료_거시'!$G2618),ISNUMBER('자료_거시'!$H2618)),'자료_거시'!$H2618,"")</f>
        <v/>
      </c>
      <c r="X2636">
        <f>IF(ISNUMBER(W2636),'자료_거시'!$G2618,"")</f>
        <v/>
      </c>
      <c r="Y2636">
        <f>IF(ISNUMBER(X2636),IF(X2636&gt;$L$7,W2636,""),"")</f>
        <v/>
      </c>
      <c r="Z2636">
        <f>IF(ISNUMBER('자료_거시'!$K2618),'자료_거시'!$K2618,Z2635)</f>
        <v/>
      </c>
      <c r="AA2636">
        <f>IF(AND(ISNUMBER('자료_거시'!$J2618),ISNUMBER('자료_거시'!$K2618)),IFERROR('자료_거시'!$K2618/INDEX($Z$21:$Z$4020,MATCH(EDATE('자료_거시'!$J2618,-'설정'!$B$17),'자료_거시'!$J$3:INDEX('자료_거시'!$J$3:$J$4002,$K$8),1))-1,""),"")</f>
        <v/>
      </c>
      <c r="AB2636">
        <f>IF(ISNUMBER(AA2636),'자료_거시'!$J2618,"")</f>
        <v/>
      </c>
      <c r="AC2636">
        <f>IF(ISNUMBER(AB2636),IF(AB2636&gt;$L$8,AA2636,""),"")</f>
        <v/>
      </c>
    </row>
    <row r="2637">
      <c r="S2637">
        <f>IF(ISNUMBER('자료_거시'!$E2619),'자료_거시'!$E2619,S2636)</f>
        <v/>
      </c>
      <c r="T2637">
        <f>IF(AND(ISNUMBER('자료_거시'!$D2619),ISNUMBER('자료_거시'!$E2619)),IFERROR('자료_거시'!$E2619-INDEX($S$21:$S$4020,MATCH(EDATE('자료_거시'!$D2619,-'설정'!$B$17),'자료_거시'!$D$3:INDEX('자료_거시'!$D$3:$D$4002,$K$6),1)),""),"")</f>
        <v/>
      </c>
      <c r="U2637">
        <f>IF(ISNUMBER(T2637),'자료_거시'!$D2619,"")</f>
        <v/>
      </c>
      <c r="V2637">
        <f>IF(ISNUMBER(U2637),IF(U2637&gt;$L$6,T2637,""),"")</f>
        <v/>
      </c>
      <c r="W2637">
        <f>IF(AND(ISNUMBER('자료_거시'!$G2619),ISNUMBER('자료_거시'!$H2619)),'자료_거시'!$H2619,"")</f>
        <v/>
      </c>
      <c r="X2637">
        <f>IF(ISNUMBER(W2637),'자료_거시'!$G2619,"")</f>
        <v/>
      </c>
      <c r="Y2637">
        <f>IF(ISNUMBER(X2637),IF(X2637&gt;$L$7,W2637,""),"")</f>
        <v/>
      </c>
      <c r="Z2637">
        <f>IF(ISNUMBER('자료_거시'!$K2619),'자료_거시'!$K2619,Z2636)</f>
        <v/>
      </c>
      <c r="AA2637">
        <f>IF(AND(ISNUMBER('자료_거시'!$J2619),ISNUMBER('자료_거시'!$K2619)),IFERROR('자료_거시'!$K2619/INDEX($Z$21:$Z$4020,MATCH(EDATE('자료_거시'!$J2619,-'설정'!$B$17),'자료_거시'!$J$3:INDEX('자료_거시'!$J$3:$J$4002,$K$8),1))-1,""),"")</f>
        <v/>
      </c>
      <c r="AB2637">
        <f>IF(ISNUMBER(AA2637),'자료_거시'!$J2619,"")</f>
        <v/>
      </c>
      <c r="AC2637">
        <f>IF(ISNUMBER(AB2637),IF(AB2637&gt;$L$8,AA2637,""),"")</f>
        <v/>
      </c>
    </row>
    <row r="2638">
      <c r="S2638">
        <f>IF(ISNUMBER('자료_거시'!$E2620),'자료_거시'!$E2620,S2637)</f>
        <v/>
      </c>
      <c r="T2638">
        <f>IF(AND(ISNUMBER('자료_거시'!$D2620),ISNUMBER('자료_거시'!$E2620)),IFERROR('자료_거시'!$E2620-INDEX($S$21:$S$4020,MATCH(EDATE('자료_거시'!$D2620,-'설정'!$B$17),'자료_거시'!$D$3:INDEX('자료_거시'!$D$3:$D$4002,$K$6),1)),""),"")</f>
        <v/>
      </c>
      <c r="U2638">
        <f>IF(ISNUMBER(T2638),'자료_거시'!$D2620,"")</f>
        <v/>
      </c>
      <c r="V2638">
        <f>IF(ISNUMBER(U2638),IF(U2638&gt;$L$6,T2638,""),"")</f>
        <v/>
      </c>
      <c r="W2638">
        <f>IF(AND(ISNUMBER('자료_거시'!$G2620),ISNUMBER('자료_거시'!$H2620)),'자료_거시'!$H2620,"")</f>
        <v/>
      </c>
      <c r="X2638">
        <f>IF(ISNUMBER(W2638),'자료_거시'!$G2620,"")</f>
        <v/>
      </c>
      <c r="Y2638">
        <f>IF(ISNUMBER(X2638),IF(X2638&gt;$L$7,W2638,""),"")</f>
        <v/>
      </c>
      <c r="Z2638">
        <f>IF(ISNUMBER('자료_거시'!$K2620),'자료_거시'!$K2620,Z2637)</f>
        <v/>
      </c>
      <c r="AA2638">
        <f>IF(AND(ISNUMBER('자료_거시'!$J2620),ISNUMBER('자료_거시'!$K2620)),IFERROR('자료_거시'!$K2620/INDEX($Z$21:$Z$4020,MATCH(EDATE('자료_거시'!$J2620,-'설정'!$B$17),'자료_거시'!$J$3:INDEX('자료_거시'!$J$3:$J$4002,$K$8),1))-1,""),"")</f>
        <v/>
      </c>
      <c r="AB2638">
        <f>IF(ISNUMBER(AA2638),'자료_거시'!$J2620,"")</f>
        <v/>
      </c>
      <c r="AC2638">
        <f>IF(ISNUMBER(AB2638),IF(AB2638&gt;$L$8,AA2638,""),"")</f>
        <v/>
      </c>
    </row>
    <row r="2639">
      <c r="S2639">
        <f>IF(ISNUMBER('자료_거시'!$E2621),'자료_거시'!$E2621,S2638)</f>
        <v/>
      </c>
      <c r="T2639">
        <f>IF(AND(ISNUMBER('자료_거시'!$D2621),ISNUMBER('자료_거시'!$E2621)),IFERROR('자료_거시'!$E2621-INDEX($S$21:$S$4020,MATCH(EDATE('자료_거시'!$D2621,-'설정'!$B$17),'자료_거시'!$D$3:INDEX('자료_거시'!$D$3:$D$4002,$K$6),1)),""),"")</f>
        <v/>
      </c>
      <c r="U2639">
        <f>IF(ISNUMBER(T2639),'자료_거시'!$D2621,"")</f>
        <v/>
      </c>
      <c r="V2639">
        <f>IF(ISNUMBER(U2639),IF(U2639&gt;$L$6,T2639,""),"")</f>
        <v/>
      </c>
      <c r="W2639">
        <f>IF(AND(ISNUMBER('자료_거시'!$G2621),ISNUMBER('자료_거시'!$H2621)),'자료_거시'!$H2621,"")</f>
        <v/>
      </c>
      <c r="X2639">
        <f>IF(ISNUMBER(W2639),'자료_거시'!$G2621,"")</f>
        <v/>
      </c>
      <c r="Y2639">
        <f>IF(ISNUMBER(X2639),IF(X2639&gt;$L$7,W2639,""),"")</f>
        <v/>
      </c>
      <c r="Z2639">
        <f>IF(ISNUMBER('자료_거시'!$K2621),'자료_거시'!$K2621,Z2638)</f>
        <v/>
      </c>
      <c r="AA2639">
        <f>IF(AND(ISNUMBER('자료_거시'!$J2621),ISNUMBER('자료_거시'!$K2621)),IFERROR('자료_거시'!$K2621/INDEX($Z$21:$Z$4020,MATCH(EDATE('자료_거시'!$J2621,-'설정'!$B$17),'자료_거시'!$J$3:INDEX('자료_거시'!$J$3:$J$4002,$K$8),1))-1,""),"")</f>
        <v/>
      </c>
      <c r="AB2639">
        <f>IF(ISNUMBER(AA2639),'자료_거시'!$J2621,"")</f>
        <v/>
      </c>
      <c r="AC2639">
        <f>IF(ISNUMBER(AB2639),IF(AB2639&gt;$L$8,AA2639,""),"")</f>
        <v/>
      </c>
    </row>
    <row r="2640">
      <c r="S2640">
        <f>IF(ISNUMBER('자료_거시'!$E2622),'자료_거시'!$E2622,S2639)</f>
        <v/>
      </c>
      <c r="T2640">
        <f>IF(AND(ISNUMBER('자료_거시'!$D2622),ISNUMBER('자료_거시'!$E2622)),IFERROR('자료_거시'!$E2622-INDEX($S$21:$S$4020,MATCH(EDATE('자료_거시'!$D2622,-'설정'!$B$17),'자료_거시'!$D$3:INDEX('자료_거시'!$D$3:$D$4002,$K$6),1)),""),"")</f>
        <v/>
      </c>
      <c r="U2640">
        <f>IF(ISNUMBER(T2640),'자료_거시'!$D2622,"")</f>
        <v/>
      </c>
      <c r="V2640">
        <f>IF(ISNUMBER(U2640),IF(U2640&gt;$L$6,T2640,""),"")</f>
        <v/>
      </c>
      <c r="W2640">
        <f>IF(AND(ISNUMBER('자료_거시'!$G2622),ISNUMBER('자료_거시'!$H2622)),'자료_거시'!$H2622,"")</f>
        <v/>
      </c>
      <c r="X2640">
        <f>IF(ISNUMBER(W2640),'자료_거시'!$G2622,"")</f>
        <v/>
      </c>
      <c r="Y2640">
        <f>IF(ISNUMBER(X2640),IF(X2640&gt;$L$7,W2640,""),"")</f>
        <v/>
      </c>
      <c r="Z2640">
        <f>IF(ISNUMBER('자료_거시'!$K2622),'자료_거시'!$K2622,Z2639)</f>
        <v/>
      </c>
      <c r="AA2640">
        <f>IF(AND(ISNUMBER('자료_거시'!$J2622),ISNUMBER('자료_거시'!$K2622)),IFERROR('자료_거시'!$K2622/INDEX($Z$21:$Z$4020,MATCH(EDATE('자료_거시'!$J2622,-'설정'!$B$17),'자료_거시'!$J$3:INDEX('자료_거시'!$J$3:$J$4002,$K$8),1))-1,""),"")</f>
        <v/>
      </c>
      <c r="AB2640">
        <f>IF(ISNUMBER(AA2640),'자료_거시'!$J2622,"")</f>
        <v/>
      </c>
      <c r="AC2640">
        <f>IF(ISNUMBER(AB2640),IF(AB2640&gt;$L$8,AA2640,""),"")</f>
        <v/>
      </c>
    </row>
    <row r="2641">
      <c r="S2641">
        <f>IF(ISNUMBER('자료_거시'!$E2623),'자료_거시'!$E2623,S2640)</f>
        <v/>
      </c>
      <c r="T2641">
        <f>IF(AND(ISNUMBER('자료_거시'!$D2623),ISNUMBER('자료_거시'!$E2623)),IFERROR('자료_거시'!$E2623-INDEX($S$21:$S$4020,MATCH(EDATE('자료_거시'!$D2623,-'설정'!$B$17),'자료_거시'!$D$3:INDEX('자료_거시'!$D$3:$D$4002,$K$6),1)),""),"")</f>
        <v/>
      </c>
      <c r="U2641">
        <f>IF(ISNUMBER(T2641),'자료_거시'!$D2623,"")</f>
        <v/>
      </c>
      <c r="V2641">
        <f>IF(ISNUMBER(U2641),IF(U2641&gt;$L$6,T2641,""),"")</f>
        <v/>
      </c>
      <c r="W2641">
        <f>IF(AND(ISNUMBER('자료_거시'!$G2623),ISNUMBER('자료_거시'!$H2623)),'자료_거시'!$H2623,"")</f>
        <v/>
      </c>
      <c r="X2641">
        <f>IF(ISNUMBER(W2641),'자료_거시'!$G2623,"")</f>
        <v/>
      </c>
      <c r="Y2641">
        <f>IF(ISNUMBER(X2641),IF(X2641&gt;$L$7,W2641,""),"")</f>
        <v/>
      </c>
      <c r="Z2641">
        <f>IF(ISNUMBER('자료_거시'!$K2623),'자료_거시'!$K2623,Z2640)</f>
        <v/>
      </c>
      <c r="AA2641">
        <f>IF(AND(ISNUMBER('자료_거시'!$J2623),ISNUMBER('자료_거시'!$K2623)),IFERROR('자료_거시'!$K2623/INDEX($Z$21:$Z$4020,MATCH(EDATE('자료_거시'!$J2623,-'설정'!$B$17),'자료_거시'!$J$3:INDEX('자료_거시'!$J$3:$J$4002,$K$8),1))-1,""),"")</f>
        <v/>
      </c>
      <c r="AB2641">
        <f>IF(ISNUMBER(AA2641),'자료_거시'!$J2623,"")</f>
        <v/>
      </c>
      <c r="AC2641">
        <f>IF(ISNUMBER(AB2641),IF(AB2641&gt;$L$8,AA2641,""),"")</f>
        <v/>
      </c>
    </row>
    <row r="2642">
      <c r="S2642">
        <f>IF(ISNUMBER('자료_거시'!$E2624),'자료_거시'!$E2624,S2641)</f>
        <v/>
      </c>
      <c r="T2642">
        <f>IF(AND(ISNUMBER('자료_거시'!$D2624),ISNUMBER('자료_거시'!$E2624)),IFERROR('자료_거시'!$E2624-INDEX($S$21:$S$4020,MATCH(EDATE('자료_거시'!$D2624,-'설정'!$B$17),'자료_거시'!$D$3:INDEX('자료_거시'!$D$3:$D$4002,$K$6),1)),""),"")</f>
        <v/>
      </c>
      <c r="U2642">
        <f>IF(ISNUMBER(T2642),'자료_거시'!$D2624,"")</f>
        <v/>
      </c>
      <c r="V2642">
        <f>IF(ISNUMBER(U2642),IF(U2642&gt;$L$6,T2642,""),"")</f>
        <v/>
      </c>
      <c r="W2642">
        <f>IF(AND(ISNUMBER('자료_거시'!$G2624),ISNUMBER('자료_거시'!$H2624)),'자료_거시'!$H2624,"")</f>
        <v/>
      </c>
      <c r="X2642">
        <f>IF(ISNUMBER(W2642),'자료_거시'!$G2624,"")</f>
        <v/>
      </c>
      <c r="Y2642">
        <f>IF(ISNUMBER(X2642),IF(X2642&gt;$L$7,W2642,""),"")</f>
        <v/>
      </c>
      <c r="Z2642">
        <f>IF(ISNUMBER('자료_거시'!$K2624),'자료_거시'!$K2624,Z2641)</f>
        <v/>
      </c>
      <c r="AA2642">
        <f>IF(AND(ISNUMBER('자료_거시'!$J2624),ISNUMBER('자료_거시'!$K2624)),IFERROR('자료_거시'!$K2624/INDEX($Z$21:$Z$4020,MATCH(EDATE('자료_거시'!$J2624,-'설정'!$B$17),'자료_거시'!$J$3:INDEX('자료_거시'!$J$3:$J$4002,$K$8),1))-1,""),"")</f>
        <v/>
      </c>
      <c r="AB2642">
        <f>IF(ISNUMBER(AA2642),'자료_거시'!$J2624,"")</f>
        <v/>
      </c>
      <c r="AC2642">
        <f>IF(ISNUMBER(AB2642),IF(AB2642&gt;$L$8,AA2642,""),"")</f>
        <v/>
      </c>
    </row>
    <row r="2643">
      <c r="S2643">
        <f>IF(ISNUMBER('자료_거시'!$E2625),'자료_거시'!$E2625,S2642)</f>
        <v/>
      </c>
      <c r="T2643">
        <f>IF(AND(ISNUMBER('자료_거시'!$D2625),ISNUMBER('자료_거시'!$E2625)),IFERROR('자료_거시'!$E2625-INDEX($S$21:$S$4020,MATCH(EDATE('자료_거시'!$D2625,-'설정'!$B$17),'자료_거시'!$D$3:INDEX('자료_거시'!$D$3:$D$4002,$K$6),1)),""),"")</f>
        <v/>
      </c>
      <c r="U2643">
        <f>IF(ISNUMBER(T2643),'자료_거시'!$D2625,"")</f>
        <v/>
      </c>
      <c r="V2643">
        <f>IF(ISNUMBER(U2643),IF(U2643&gt;$L$6,T2643,""),"")</f>
        <v/>
      </c>
      <c r="W2643">
        <f>IF(AND(ISNUMBER('자료_거시'!$G2625),ISNUMBER('자료_거시'!$H2625)),'자료_거시'!$H2625,"")</f>
        <v/>
      </c>
      <c r="X2643">
        <f>IF(ISNUMBER(W2643),'자료_거시'!$G2625,"")</f>
        <v/>
      </c>
      <c r="Y2643">
        <f>IF(ISNUMBER(X2643),IF(X2643&gt;$L$7,W2643,""),"")</f>
        <v/>
      </c>
      <c r="Z2643">
        <f>IF(ISNUMBER('자료_거시'!$K2625),'자료_거시'!$K2625,Z2642)</f>
        <v/>
      </c>
      <c r="AA2643">
        <f>IF(AND(ISNUMBER('자료_거시'!$J2625),ISNUMBER('자료_거시'!$K2625)),IFERROR('자료_거시'!$K2625/INDEX($Z$21:$Z$4020,MATCH(EDATE('자료_거시'!$J2625,-'설정'!$B$17),'자료_거시'!$J$3:INDEX('자료_거시'!$J$3:$J$4002,$K$8),1))-1,""),"")</f>
        <v/>
      </c>
      <c r="AB2643">
        <f>IF(ISNUMBER(AA2643),'자료_거시'!$J2625,"")</f>
        <v/>
      </c>
      <c r="AC2643">
        <f>IF(ISNUMBER(AB2643),IF(AB2643&gt;$L$8,AA2643,""),"")</f>
        <v/>
      </c>
    </row>
    <row r="2644">
      <c r="S2644">
        <f>IF(ISNUMBER('자료_거시'!$E2626),'자료_거시'!$E2626,S2643)</f>
        <v/>
      </c>
      <c r="T2644">
        <f>IF(AND(ISNUMBER('자료_거시'!$D2626),ISNUMBER('자료_거시'!$E2626)),IFERROR('자료_거시'!$E2626-INDEX($S$21:$S$4020,MATCH(EDATE('자료_거시'!$D2626,-'설정'!$B$17),'자료_거시'!$D$3:INDEX('자료_거시'!$D$3:$D$4002,$K$6),1)),""),"")</f>
        <v/>
      </c>
      <c r="U2644">
        <f>IF(ISNUMBER(T2644),'자료_거시'!$D2626,"")</f>
        <v/>
      </c>
      <c r="V2644">
        <f>IF(ISNUMBER(U2644),IF(U2644&gt;$L$6,T2644,""),"")</f>
        <v/>
      </c>
      <c r="W2644">
        <f>IF(AND(ISNUMBER('자료_거시'!$G2626),ISNUMBER('자료_거시'!$H2626)),'자료_거시'!$H2626,"")</f>
        <v/>
      </c>
      <c r="X2644">
        <f>IF(ISNUMBER(W2644),'자료_거시'!$G2626,"")</f>
        <v/>
      </c>
      <c r="Y2644">
        <f>IF(ISNUMBER(X2644),IF(X2644&gt;$L$7,W2644,""),"")</f>
        <v/>
      </c>
      <c r="Z2644">
        <f>IF(ISNUMBER('자료_거시'!$K2626),'자료_거시'!$K2626,Z2643)</f>
        <v/>
      </c>
      <c r="AA2644">
        <f>IF(AND(ISNUMBER('자료_거시'!$J2626),ISNUMBER('자료_거시'!$K2626)),IFERROR('자료_거시'!$K2626/INDEX($Z$21:$Z$4020,MATCH(EDATE('자료_거시'!$J2626,-'설정'!$B$17),'자료_거시'!$J$3:INDEX('자료_거시'!$J$3:$J$4002,$K$8),1))-1,""),"")</f>
        <v/>
      </c>
      <c r="AB2644">
        <f>IF(ISNUMBER(AA2644),'자료_거시'!$J2626,"")</f>
        <v/>
      </c>
      <c r="AC2644">
        <f>IF(ISNUMBER(AB2644),IF(AB2644&gt;$L$8,AA2644,""),"")</f>
        <v/>
      </c>
    </row>
    <row r="2645">
      <c r="S2645">
        <f>IF(ISNUMBER('자료_거시'!$E2627),'자료_거시'!$E2627,S2644)</f>
        <v/>
      </c>
      <c r="T2645">
        <f>IF(AND(ISNUMBER('자료_거시'!$D2627),ISNUMBER('자료_거시'!$E2627)),IFERROR('자료_거시'!$E2627-INDEX($S$21:$S$4020,MATCH(EDATE('자료_거시'!$D2627,-'설정'!$B$17),'자료_거시'!$D$3:INDEX('자료_거시'!$D$3:$D$4002,$K$6),1)),""),"")</f>
        <v/>
      </c>
      <c r="U2645">
        <f>IF(ISNUMBER(T2645),'자료_거시'!$D2627,"")</f>
        <v/>
      </c>
      <c r="V2645">
        <f>IF(ISNUMBER(U2645),IF(U2645&gt;$L$6,T2645,""),"")</f>
        <v/>
      </c>
      <c r="W2645">
        <f>IF(AND(ISNUMBER('자료_거시'!$G2627),ISNUMBER('자료_거시'!$H2627)),'자료_거시'!$H2627,"")</f>
        <v/>
      </c>
      <c r="X2645">
        <f>IF(ISNUMBER(W2645),'자료_거시'!$G2627,"")</f>
        <v/>
      </c>
      <c r="Y2645">
        <f>IF(ISNUMBER(X2645),IF(X2645&gt;$L$7,W2645,""),"")</f>
        <v/>
      </c>
      <c r="Z2645">
        <f>IF(ISNUMBER('자료_거시'!$K2627),'자료_거시'!$K2627,Z2644)</f>
        <v/>
      </c>
      <c r="AA2645">
        <f>IF(AND(ISNUMBER('자료_거시'!$J2627),ISNUMBER('자료_거시'!$K2627)),IFERROR('자료_거시'!$K2627/INDEX($Z$21:$Z$4020,MATCH(EDATE('자료_거시'!$J2627,-'설정'!$B$17),'자료_거시'!$J$3:INDEX('자료_거시'!$J$3:$J$4002,$K$8),1))-1,""),"")</f>
        <v/>
      </c>
      <c r="AB2645">
        <f>IF(ISNUMBER(AA2645),'자료_거시'!$J2627,"")</f>
        <v/>
      </c>
      <c r="AC2645">
        <f>IF(ISNUMBER(AB2645),IF(AB2645&gt;$L$8,AA2645,""),"")</f>
        <v/>
      </c>
    </row>
    <row r="2646">
      <c r="S2646">
        <f>IF(ISNUMBER('자료_거시'!$E2628),'자료_거시'!$E2628,S2645)</f>
        <v/>
      </c>
      <c r="T2646">
        <f>IF(AND(ISNUMBER('자료_거시'!$D2628),ISNUMBER('자료_거시'!$E2628)),IFERROR('자료_거시'!$E2628-INDEX($S$21:$S$4020,MATCH(EDATE('자료_거시'!$D2628,-'설정'!$B$17),'자료_거시'!$D$3:INDEX('자료_거시'!$D$3:$D$4002,$K$6),1)),""),"")</f>
        <v/>
      </c>
      <c r="U2646">
        <f>IF(ISNUMBER(T2646),'자료_거시'!$D2628,"")</f>
        <v/>
      </c>
      <c r="V2646">
        <f>IF(ISNUMBER(U2646),IF(U2646&gt;$L$6,T2646,""),"")</f>
        <v/>
      </c>
      <c r="W2646">
        <f>IF(AND(ISNUMBER('자료_거시'!$G2628),ISNUMBER('자료_거시'!$H2628)),'자료_거시'!$H2628,"")</f>
        <v/>
      </c>
      <c r="X2646">
        <f>IF(ISNUMBER(W2646),'자료_거시'!$G2628,"")</f>
        <v/>
      </c>
      <c r="Y2646">
        <f>IF(ISNUMBER(X2646),IF(X2646&gt;$L$7,W2646,""),"")</f>
        <v/>
      </c>
      <c r="Z2646">
        <f>IF(ISNUMBER('자료_거시'!$K2628),'자료_거시'!$K2628,Z2645)</f>
        <v/>
      </c>
      <c r="AA2646">
        <f>IF(AND(ISNUMBER('자료_거시'!$J2628),ISNUMBER('자료_거시'!$K2628)),IFERROR('자료_거시'!$K2628/INDEX($Z$21:$Z$4020,MATCH(EDATE('자료_거시'!$J2628,-'설정'!$B$17),'자료_거시'!$J$3:INDEX('자료_거시'!$J$3:$J$4002,$K$8),1))-1,""),"")</f>
        <v/>
      </c>
      <c r="AB2646">
        <f>IF(ISNUMBER(AA2646),'자료_거시'!$J2628,"")</f>
        <v/>
      </c>
      <c r="AC2646">
        <f>IF(ISNUMBER(AB2646),IF(AB2646&gt;$L$8,AA2646,""),"")</f>
        <v/>
      </c>
    </row>
    <row r="2647">
      <c r="S2647">
        <f>IF(ISNUMBER('자료_거시'!$E2629),'자료_거시'!$E2629,S2646)</f>
        <v/>
      </c>
      <c r="T2647">
        <f>IF(AND(ISNUMBER('자료_거시'!$D2629),ISNUMBER('자료_거시'!$E2629)),IFERROR('자료_거시'!$E2629-INDEX($S$21:$S$4020,MATCH(EDATE('자료_거시'!$D2629,-'설정'!$B$17),'자료_거시'!$D$3:INDEX('자료_거시'!$D$3:$D$4002,$K$6),1)),""),"")</f>
        <v/>
      </c>
      <c r="U2647">
        <f>IF(ISNUMBER(T2647),'자료_거시'!$D2629,"")</f>
        <v/>
      </c>
      <c r="V2647">
        <f>IF(ISNUMBER(U2647),IF(U2647&gt;$L$6,T2647,""),"")</f>
        <v/>
      </c>
      <c r="W2647">
        <f>IF(AND(ISNUMBER('자료_거시'!$G2629),ISNUMBER('자료_거시'!$H2629)),'자료_거시'!$H2629,"")</f>
        <v/>
      </c>
      <c r="X2647">
        <f>IF(ISNUMBER(W2647),'자료_거시'!$G2629,"")</f>
        <v/>
      </c>
      <c r="Y2647">
        <f>IF(ISNUMBER(X2647),IF(X2647&gt;$L$7,W2647,""),"")</f>
        <v/>
      </c>
      <c r="Z2647">
        <f>IF(ISNUMBER('자료_거시'!$K2629),'자료_거시'!$K2629,Z2646)</f>
        <v/>
      </c>
      <c r="AA2647">
        <f>IF(AND(ISNUMBER('자료_거시'!$J2629),ISNUMBER('자료_거시'!$K2629)),IFERROR('자료_거시'!$K2629/INDEX($Z$21:$Z$4020,MATCH(EDATE('자료_거시'!$J2629,-'설정'!$B$17),'자료_거시'!$J$3:INDEX('자료_거시'!$J$3:$J$4002,$K$8),1))-1,""),"")</f>
        <v/>
      </c>
      <c r="AB2647">
        <f>IF(ISNUMBER(AA2647),'자료_거시'!$J2629,"")</f>
        <v/>
      </c>
      <c r="AC2647">
        <f>IF(ISNUMBER(AB2647),IF(AB2647&gt;$L$8,AA2647,""),"")</f>
        <v/>
      </c>
    </row>
    <row r="2648">
      <c r="S2648">
        <f>IF(ISNUMBER('자료_거시'!$E2630),'자료_거시'!$E2630,S2647)</f>
        <v/>
      </c>
      <c r="T2648">
        <f>IF(AND(ISNUMBER('자료_거시'!$D2630),ISNUMBER('자료_거시'!$E2630)),IFERROR('자료_거시'!$E2630-INDEX($S$21:$S$4020,MATCH(EDATE('자료_거시'!$D2630,-'설정'!$B$17),'자료_거시'!$D$3:INDEX('자료_거시'!$D$3:$D$4002,$K$6),1)),""),"")</f>
        <v/>
      </c>
      <c r="U2648">
        <f>IF(ISNUMBER(T2648),'자료_거시'!$D2630,"")</f>
        <v/>
      </c>
      <c r="V2648">
        <f>IF(ISNUMBER(U2648),IF(U2648&gt;$L$6,T2648,""),"")</f>
        <v/>
      </c>
      <c r="W2648">
        <f>IF(AND(ISNUMBER('자료_거시'!$G2630),ISNUMBER('자료_거시'!$H2630)),'자료_거시'!$H2630,"")</f>
        <v/>
      </c>
      <c r="X2648">
        <f>IF(ISNUMBER(W2648),'자료_거시'!$G2630,"")</f>
        <v/>
      </c>
      <c r="Y2648">
        <f>IF(ISNUMBER(X2648),IF(X2648&gt;$L$7,W2648,""),"")</f>
        <v/>
      </c>
      <c r="Z2648">
        <f>IF(ISNUMBER('자료_거시'!$K2630),'자료_거시'!$K2630,Z2647)</f>
        <v/>
      </c>
      <c r="AA2648">
        <f>IF(AND(ISNUMBER('자료_거시'!$J2630),ISNUMBER('자료_거시'!$K2630)),IFERROR('자료_거시'!$K2630/INDEX($Z$21:$Z$4020,MATCH(EDATE('자료_거시'!$J2630,-'설정'!$B$17),'자료_거시'!$J$3:INDEX('자료_거시'!$J$3:$J$4002,$K$8),1))-1,""),"")</f>
        <v/>
      </c>
      <c r="AB2648">
        <f>IF(ISNUMBER(AA2648),'자료_거시'!$J2630,"")</f>
        <v/>
      </c>
      <c r="AC2648">
        <f>IF(ISNUMBER(AB2648),IF(AB2648&gt;$L$8,AA2648,""),"")</f>
        <v/>
      </c>
    </row>
    <row r="2649">
      <c r="S2649">
        <f>IF(ISNUMBER('자료_거시'!$E2631),'자료_거시'!$E2631,S2648)</f>
        <v/>
      </c>
      <c r="T2649">
        <f>IF(AND(ISNUMBER('자료_거시'!$D2631),ISNUMBER('자료_거시'!$E2631)),IFERROR('자료_거시'!$E2631-INDEX($S$21:$S$4020,MATCH(EDATE('자료_거시'!$D2631,-'설정'!$B$17),'자료_거시'!$D$3:INDEX('자료_거시'!$D$3:$D$4002,$K$6),1)),""),"")</f>
        <v/>
      </c>
      <c r="U2649">
        <f>IF(ISNUMBER(T2649),'자료_거시'!$D2631,"")</f>
        <v/>
      </c>
      <c r="V2649">
        <f>IF(ISNUMBER(U2649),IF(U2649&gt;$L$6,T2649,""),"")</f>
        <v/>
      </c>
      <c r="W2649">
        <f>IF(AND(ISNUMBER('자료_거시'!$G2631),ISNUMBER('자료_거시'!$H2631)),'자료_거시'!$H2631,"")</f>
        <v/>
      </c>
      <c r="X2649">
        <f>IF(ISNUMBER(W2649),'자료_거시'!$G2631,"")</f>
        <v/>
      </c>
      <c r="Y2649">
        <f>IF(ISNUMBER(X2649),IF(X2649&gt;$L$7,W2649,""),"")</f>
        <v/>
      </c>
      <c r="Z2649">
        <f>IF(ISNUMBER('자료_거시'!$K2631),'자료_거시'!$K2631,Z2648)</f>
        <v/>
      </c>
      <c r="AA2649">
        <f>IF(AND(ISNUMBER('자료_거시'!$J2631),ISNUMBER('자료_거시'!$K2631)),IFERROR('자료_거시'!$K2631/INDEX($Z$21:$Z$4020,MATCH(EDATE('자료_거시'!$J2631,-'설정'!$B$17),'자료_거시'!$J$3:INDEX('자료_거시'!$J$3:$J$4002,$K$8),1))-1,""),"")</f>
        <v/>
      </c>
      <c r="AB2649">
        <f>IF(ISNUMBER(AA2649),'자료_거시'!$J2631,"")</f>
        <v/>
      </c>
      <c r="AC2649">
        <f>IF(ISNUMBER(AB2649),IF(AB2649&gt;$L$8,AA2649,""),"")</f>
        <v/>
      </c>
    </row>
    <row r="2650">
      <c r="S2650">
        <f>IF(ISNUMBER('자료_거시'!$E2632),'자료_거시'!$E2632,S2649)</f>
        <v/>
      </c>
      <c r="T2650">
        <f>IF(AND(ISNUMBER('자료_거시'!$D2632),ISNUMBER('자료_거시'!$E2632)),IFERROR('자료_거시'!$E2632-INDEX($S$21:$S$4020,MATCH(EDATE('자료_거시'!$D2632,-'설정'!$B$17),'자료_거시'!$D$3:INDEX('자료_거시'!$D$3:$D$4002,$K$6),1)),""),"")</f>
        <v/>
      </c>
      <c r="U2650">
        <f>IF(ISNUMBER(T2650),'자료_거시'!$D2632,"")</f>
        <v/>
      </c>
      <c r="V2650">
        <f>IF(ISNUMBER(U2650),IF(U2650&gt;$L$6,T2650,""),"")</f>
        <v/>
      </c>
      <c r="W2650">
        <f>IF(AND(ISNUMBER('자료_거시'!$G2632),ISNUMBER('자료_거시'!$H2632)),'자료_거시'!$H2632,"")</f>
        <v/>
      </c>
      <c r="X2650">
        <f>IF(ISNUMBER(W2650),'자료_거시'!$G2632,"")</f>
        <v/>
      </c>
      <c r="Y2650">
        <f>IF(ISNUMBER(X2650),IF(X2650&gt;$L$7,W2650,""),"")</f>
        <v/>
      </c>
      <c r="Z2650">
        <f>IF(ISNUMBER('자료_거시'!$K2632),'자료_거시'!$K2632,Z2649)</f>
        <v/>
      </c>
      <c r="AA2650">
        <f>IF(AND(ISNUMBER('자료_거시'!$J2632),ISNUMBER('자료_거시'!$K2632)),IFERROR('자료_거시'!$K2632/INDEX($Z$21:$Z$4020,MATCH(EDATE('자료_거시'!$J2632,-'설정'!$B$17),'자료_거시'!$J$3:INDEX('자료_거시'!$J$3:$J$4002,$K$8),1))-1,""),"")</f>
        <v/>
      </c>
      <c r="AB2650">
        <f>IF(ISNUMBER(AA2650),'자료_거시'!$J2632,"")</f>
        <v/>
      </c>
      <c r="AC2650">
        <f>IF(ISNUMBER(AB2650),IF(AB2650&gt;$L$8,AA2650,""),"")</f>
        <v/>
      </c>
    </row>
    <row r="2651">
      <c r="S2651">
        <f>IF(ISNUMBER('자료_거시'!$E2633),'자료_거시'!$E2633,S2650)</f>
        <v/>
      </c>
      <c r="T2651">
        <f>IF(AND(ISNUMBER('자료_거시'!$D2633),ISNUMBER('자료_거시'!$E2633)),IFERROR('자료_거시'!$E2633-INDEX($S$21:$S$4020,MATCH(EDATE('자료_거시'!$D2633,-'설정'!$B$17),'자료_거시'!$D$3:INDEX('자료_거시'!$D$3:$D$4002,$K$6),1)),""),"")</f>
        <v/>
      </c>
      <c r="U2651">
        <f>IF(ISNUMBER(T2651),'자료_거시'!$D2633,"")</f>
        <v/>
      </c>
      <c r="V2651">
        <f>IF(ISNUMBER(U2651),IF(U2651&gt;$L$6,T2651,""),"")</f>
        <v/>
      </c>
      <c r="W2651">
        <f>IF(AND(ISNUMBER('자료_거시'!$G2633),ISNUMBER('자료_거시'!$H2633)),'자료_거시'!$H2633,"")</f>
        <v/>
      </c>
      <c r="X2651">
        <f>IF(ISNUMBER(W2651),'자료_거시'!$G2633,"")</f>
        <v/>
      </c>
      <c r="Y2651">
        <f>IF(ISNUMBER(X2651),IF(X2651&gt;$L$7,W2651,""),"")</f>
        <v/>
      </c>
      <c r="Z2651">
        <f>IF(ISNUMBER('자료_거시'!$K2633),'자료_거시'!$K2633,Z2650)</f>
        <v/>
      </c>
      <c r="AA2651">
        <f>IF(AND(ISNUMBER('자료_거시'!$J2633),ISNUMBER('자료_거시'!$K2633)),IFERROR('자료_거시'!$K2633/INDEX($Z$21:$Z$4020,MATCH(EDATE('자료_거시'!$J2633,-'설정'!$B$17),'자료_거시'!$J$3:INDEX('자료_거시'!$J$3:$J$4002,$K$8),1))-1,""),"")</f>
        <v/>
      </c>
      <c r="AB2651">
        <f>IF(ISNUMBER(AA2651),'자료_거시'!$J2633,"")</f>
        <v/>
      </c>
      <c r="AC2651">
        <f>IF(ISNUMBER(AB2651),IF(AB2651&gt;$L$8,AA2651,""),"")</f>
        <v/>
      </c>
    </row>
    <row r="2652">
      <c r="S2652">
        <f>IF(ISNUMBER('자료_거시'!$E2634),'자료_거시'!$E2634,S2651)</f>
        <v/>
      </c>
      <c r="T2652">
        <f>IF(AND(ISNUMBER('자료_거시'!$D2634),ISNUMBER('자료_거시'!$E2634)),IFERROR('자료_거시'!$E2634-INDEX($S$21:$S$4020,MATCH(EDATE('자료_거시'!$D2634,-'설정'!$B$17),'자료_거시'!$D$3:INDEX('자료_거시'!$D$3:$D$4002,$K$6),1)),""),"")</f>
        <v/>
      </c>
      <c r="U2652">
        <f>IF(ISNUMBER(T2652),'자료_거시'!$D2634,"")</f>
        <v/>
      </c>
      <c r="V2652">
        <f>IF(ISNUMBER(U2652),IF(U2652&gt;$L$6,T2652,""),"")</f>
        <v/>
      </c>
      <c r="W2652">
        <f>IF(AND(ISNUMBER('자료_거시'!$G2634),ISNUMBER('자료_거시'!$H2634)),'자료_거시'!$H2634,"")</f>
        <v/>
      </c>
      <c r="X2652">
        <f>IF(ISNUMBER(W2652),'자료_거시'!$G2634,"")</f>
        <v/>
      </c>
      <c r="Y2652">
        <f>IF(ISNUMBER(X2652),IF(X2652&gt;$L$7,W2652,""),"")</f>
        <v/>
      </c>
      <c r="Z2652">
        <f>IF(ISNUMBER('자료_거시'!$K2634),'자료_거시'!$K2634,Z2651)</f>
        <v/>
      </c>
      <c r="AA2652">
        <f>IF(AND(ISNUMBER('자료_거시'!$J2634),ISNUMBER('자료_거시'!$K2634)),IFERROR('자료_거시'!$K2634/INDEX($Z$21:$Z$4020,MATCH(EDATE('자료_거시'!$J2634,-'설정'!$B$17),'자료_거시'!$J$3:INDEX('자료_거시'!$J$3:$J$4002,$K$8),1))-1,""),"")</f>
        <v/>
      </c>
      <c r="AB2652">
        <f>IF(ISNUMBER(AA2652),'자료_거시'!$J2634,"")</f>
        <v/>
      </c>
      <c r="AC2652">
        <f>IF(ISNUMBER(AB2652),IF(AB2652&gt;$L$8,AA2652,""),"")</f>
        <v/>
      </c>
    </row>
    <row r="2653">
      <c r="S2653">
        <f>IF(ISNUMBER('자료_거시'!$E2635),'자료_거시'!$E2635,S2652)</f>
        <v/>
      </c>
      <c r="T2653">
        <f>IF(AND(ISNUMBER('자료_거시'!$D2635),ISNUMBER('자료_거시'!$E2635)),IFERROR('자료_거시'!$E2635-INDEX($S$21:$S$4020,MATCH(EDATE('자료_거시'!$D2635,-'설정'!$B$17),'자료_거시'!$D$3:INDEX('자료_거시'!$D$3:$D$4002,$K$6),1)),""),"")</f>
        <v/>
      </c>
      <c r="U2653">
        <f>IF(ISNUMBER(T2653),'자료_거시'!$D2635,"")</f>
        <v/>
      </c>
      <c r="V2653">
        <f>IF(ISNUMBER(U2653),IF(U2653&gt;$L$6,T2653,""),"")</f>
        <v/>
      </c>
      <c r="W2653">
        <f>IF(AND(ISNUMBER('자료_거시'!$G2635),ISNUMBER('자료_거시'!$H2635)),'자료_거시'!$H2635,"")</f>
        <v/>
      </c>
      <c r="X2653">
        <f>IF(ISNUMBER(W2653),'자료_거시'!$G2635,"")</f>
        <v/>
      </c>
      <c r="Y2653">
        <f>IF(ISNUMBER(X2653),IF(X2653&gt;$L$7,W2653,""),"")</f>
        <v/>
      </c>
      <c r="Z2653">
        <f>IF(ISNUMBER('자료_거시'!$K2635),'자료_거시'!$K2635,Z2652)</f>
        <v/>
      </c>
      <c r="AA2653">
        <f>IF(AND(ISNUMBER('자료_거시'!$J2635),ISNUMBER('자료_거시'!$K2635)),IFERROR('자료_거시'!$K2635/INDEX($Z$21:$Z$4020,MATCH(EDATE('자료_거시'!$J2635,-'설정'!$B$17),'자료_거시'!$J$3:INDEX('자료_거시'!$J$3:$J$4002,$K$8),1))-1,""),"")</f>
        <v/>
      </c>
      <c r="AB2653">
        <f>IF(ISNUMBER(AA2653),'자료_거시'!$J2635,"")</f>
        <v/>
      </c>
      <c r="AC2653">
        <f>IF(ISNUMBER(AB2653),IF(AB2653&gt;$L$8,AA2653,""),"")</f>
        <v/>
      </c>
    </row>
    <row r="2654">
      <c r="S2654">
        <f>IF(ISNUMBER('자료_거시'!$E2636),'자료_거시'!$E2636,S2653)</f>
        <v/>
      </c>
      <c r="T2654">
        <f>IF(AND(ISNUMBER('자료_거시'!$D2636),ISNUMBER('자료_거시'!$E2636)),IFERROR('자료_거시'!$E2636-INDEX($S$21:$S$4020,MATCH(EDATE('자료_거시'!$D2636,-'설정'!$B$17),'자료_거시'!$D$3:INDEX('자료_거시'!$D$3:$D$4002,$K$6),1)),""),"")</f>
        <v/>
      </c>
      <c r="U2654">
        <f>IF(ISNUMBER(T2654),'자료_거시'!$D2636,"")</f>
        <v/>
      </c>
      <c r="V2654">
        <f>IF(ISNUMBER(U2654),IF(U2654&gt;$L$6,T2654,""),"")</f>
        <v/>
      </c>
      <c r="W2654">
        <f>IF(AND(ISNUMBER('자료_거시'!$G2636),ISNUMBER('자료_거시'!$H2636)),'자료_거시'!$H2636,"")</f>
        <v/>
      </c>
      <c r="X2654">
        <f>IF(ISNUMBER(W2654),'자료_거시'!$G2636,"")</f>
        <v/>
      </c>
      <c r="Y2654">
        <f>IF(ISNUMBER(X2654),IF(X2654&gt;$L$7,W2654,""),"")</f>
        <v/>
      </c>
      <c r="Z2654">
        <f>IF(ISNUMBER('자료_거시'!$K2636),'자료_거시'!$K2636,Z2653)</f>
        <v/>
      </c>
      <c r="AA2654">
        <f>IF(AND(ISNUMBER('자료_거시'!$J2636),ISNUMBER('자료_거시'!$K2636)),IFERROR('자료_거시'!$K2636/INDEX($Z$21:$Z$4020,MATCH(EDATE('자료_거시'!$J2636,-'설정'!$B$17),'자료_거시'!$J$3:INDEX('자료_거시'!$J$3:$J$4002,$K$8),1))-1,""),"")</f>
        <v/>
      </c>
      <c r="AB2654">
        <f>IF(ISNUMBER(AA2654),'자료_거시'!$J2636,"")</f>
        <v/>
      </c>
      <c r="AC2654">
        <f>IF(ISNUMBER(AB2654),IF(AB2654&gt;$L$8,AA2654,""),"")</f>
        <v/>
      </c>
    </row>
    <row r="2655">
      <c r="S2655">
        <f>IF(ISNUMBER('자료_거시'!$E2637),'자료_거시'!$E2637,S2654)</f>
        <v/>
      </c>
      <c r="T2655">
        <f>IF(AND(ISNUMBER('자료_거시'!$D2637),ISNUMBER('자료_거시'!$E2637)),IFERROR('자료_거시'!$E2637-INDEX($S$21:$S$4020,MATCH(EDATE('자료_거시'!$D2637,-'설정'!$B$17),'자료_거시'!$D$3:INDEX('자료_거시'!$D$3:$D$4002,$K$6),1)),""),"")</f>
        <v/>
      </c>
      <c r="U2655">
        <f>IF(ISNUMBER(T2655),'자료_거시'!$D2637,"")</f>
        <v/>
      </c>
      <c r="V2655">
        <f>IF(ISNUMBER(U2655),IF(U2655&gt;$L$6,T2655,""),"")</f>
        <v/>
      </c>
      <c r="W2655">
        <f>IF(AND(ISNUMBER('자료_거시'!$G2637),ISNUMBER('자료_거시'!$H2637)),'자료_거시'!$H2637,"")</f>
        <v/>
      </c>
      <c r="X2655">
        <f>IF(ISNUMBER(W2655),'자료_거시'!$G2637,"")</f>
        <v/>
      </c>
      <c r="Y2655">
        <f>IF(ISNUMBER(X2655),IF(X2655&gt;$L$7,W2655,""),"")</f>
        <v/>
      </c>
      <c r="Z2655">
        <f>IF(ISNUMBER('자료_거시'!$K2637),'자료_거시'!$K2637,Z2654)</f>
        <v/>
      </c>
      <c r="AA2655">
        <f>IF(AND(ISNUMBER('자료_거시'!$J2637),ISNUMBER('자료_거시'!$K2637)),IFERROR('자료_거시'!$K2637/INDEX($Z$21:$Z$4020,MATCH(EDATE('자료_거시'!$J2637,-'설정'!$B$17),'자료_거시'!$J$3:INDEX('자료_거시'!$J$3:$J$4002,$K$8),1))-1,""),"")</f>
        <v/>
      </c>
      <c r="AB2655">
        <f>IF(ISNUMBER(AA2655),'자료_거시'!$J2637,"")</f>
        <v/>
      </c>
      <c r="AC2655">
        <f>IF(ISNUMBER(AB2655),IF(AB2655&gt;$L$8,AA2655,""),"")</f>
        <v/>
      </c>
    </row>
    <row r="2656">
      <c r="S2656">
        <f>IF(ISNUMBER('자료_거시'!$E2638),'자료_거시'!$E2638,S2655)</f>
        <v/>
      </c>
      <c r="T2656">
        <f>IF(AND(ISNUMBER('자료_거시'!$D2638),ISNUMBER('자료_거시'!$E2638)),IFERROR('자료_거시'!$E2638-INDEX($S$21:$S$4020,MATCH(EDATE('자료_거시'!$D2638,-'설정'!$B$17),'자료_거시'!$D$3:INDEX('자료_거시'!$D$3:$D$4002,$K$6),1)),""),"")</f>
        <v/>
      </c>
      <c r="U2656">
        <f>IF(ISNUMBER(T2656),'자료_거시'!$D2638,"")</f>
        <v/>
      </c>
      <c r="V2656">
        <f>IF(ISNUMBER(U2656),IF(U2656&gt;$L$6,T2656,""),"")</f>
        <v/>
      </c>
      <c r="W2656">
        <f>IF(AND(ISNUMBER('자료_거시'!$G2638),ISNUMBER('자료_거시'!$H2638)),'자료_거시'!$H2638,"")</f>
        <v/>
      </c>
      <c r="X2656">
        <f>IF(ISNUMBER(W2656),'자료_거시'!$G2638,"")</f>
        <v/>
      </c>
      <c r="Y2656">
        <f>IF(ISNUMBER(X2656),IF(X2656&gt;$L$7,W2656,""),"")</f>
        <v/>
      </c>
      <c r="Z2656">
        <f>IF(ISNUMBER('자료_거시'!$K2638),'자료_거시'!$K2638,Z2655)</f>
        <v/>
      </c>
      <c r="AA2656">
        <f>IF(AND(ISNUMBER('자료_거시'!$J2638),ISNUMBER('자료_거시'!$K2638)),IFERROR('자료_거시'!$K2638/INDEX($Z$21:$Z$4020,MATCH(EDATE('자료_거시'!$J2638,-'설정'!$B$17),'자료_거시'!$J$3:INDEX('자료_거시'!$J$3:$J$4002,$K$8),1))-1,""),"")</f>
        <v/>
      </c>
      <c r="AB2656">
        <f>IF(ISNUMBER(AA2656),'자료_거시'!$J2638,"")</f>
        <v/>
      </c>
      <c r="AC2656">
        <f>IF(ISNUMBER(AB2656),IF(AB2656&gt;$L$8,AA2656,""),"")</f>
        <v/>
      </c>
    </row>
    <row r="2657">
      <c r="S2657">
        <f>IF(ISNUMBER('자료_거시'!$E2639),'자료_거시'!$E2639,S2656)</f>
        <v/>
      </c>
      <c r="T2657">
        <f>IF(AND(ISNUMBER('자료_거시'!$D2639),ISNUMBER('자료_거시'!$E2639)),IFERROR('자료_거시'!$E2639-INDEX($S$21:$S$4020,MATCH(EDATE('자료_거시'!$D2639,-'설정'!$B$17),'자료_거시'!$D$3:INDEX('자료_거시'!$D$3:$D$4002,$K$6),1)),""),"")</f>
        <v/>
      </c>
      <c r="U2657">
        <f>IF(ISNUMBER(T2657),'자료_거시'!$D2639,"")</f>
        <v/>
      </c>
      <c r="V2657">
        <f>IF(ISNUMBER(U2657),IF(U2657&gt;$L$6,T2657,""),"")</f>
        <v/>
      </c>
      <c r="W2657">
        <f>IF(AND(ISNUMBER('자료_거시'!$G2639),ISNUMBER('자료_거시'!$H2639)),'자료_거시'!$H2639,"")</f>
        <v/>
      </c>
      <c r="X2657">
        <f>IF(ISNUMBER(W2657),'자료_거시'!$G2639,"")</f>
        <v/>
      </c>
      <c r="Y2657">
        <f>IF(ISNUMBER(X2657),IF(X2657&gt;$L$7,W2657,""),"")</f>
        <v/>
      </c>
      <c r="Z2657">
        <f>IF(ISNUMBER('자료_거시'!$K2639),'자료_거시'!$K2639,Z2656)</f>
        <v/>
      </c>
      <c r="AA2657">
        <f>IF(AND(ISNUMBER('자료_거시'!$J2639),ISNUMBER('자료_거시'!$K2639)),IFERROR('자료_거시'!$K2639/INDEX($Z$21:$Z$4020,MATCH(EDATE('자료_거시'!$J2639,-'설정'!$B$17),'자료_거시'!$J$3:INDEX('자료_거시'!$J$3:$J$4002,$K$8),1))-1,""),"")</f>
        <v/>
      </c>
      <c r="AB2657">
        <f>IF(ISNUMBER(AA2657),'자료_거시'!$J2639,"")</f>
        <v/>
      </c>
      <c r="AC2657">
        <f>IF(ISNUMBER(AB2657),IF(AB2657&gt;$L$8,AA2657,""),"")</f>
        <v/>
      </c>
    </row>
    <row r="2658">
      <c r="S2658">
        <f>IF(ISNUMBER('자료_거시'!$E2640),'자료_거시'!$E2640,S2657)</f>
        <v/>
      </c>
      <c r="T2658">
        <f>IF(AND(ISNUMBER('자료_거시'!$D2640),ISNUMBER('자료_거시'!$E2640)),IFERROR('자료_거시'!$E2640-INDEX($S$21:$S$4020,MATCH(EDATE('자료_거시'!$D2640,-'설정'!$B$17),'자료_거시'!$D$3:INDEX('자료_거시'!$D$3:$D$4002,$K$6),1)),""),"")</f>
        <v/>
      </c>
      <c r="U2658">
        <f>IF(ISNUMBER(T2658),'자료_거시'!$D2640,"")</f>
        <v/>
      </c>
      <c r="V2658">
        <f>IF(ISNUMBER(U2658),IF(U2658&gt;$L$6,T2658,""),"")</f>
        <v/>
      </c>
      <c r="W2658">
        <f>IF(AND(ISNUMBER('자료_거시'!$G2640),ISNUMBER('자료_거시'!$H2640)),'자료_거시'!$H2640,"")</f>
        <v/>
      </c>
      <c r="X2658">
        <f>IF(ISNUMBER(W2658),'자료_거시'!$G2640,"")</f>
        <v/>
      </c>
      <c r="Y2658">
        <f>IF(ISNUMBER(X2658),IF(X2658&gt;$L$7,W2658,""),"")</f>
        <v/>
      </c>
      <c r="Z2658">
        <f>IF(ISNUMBER('자료_거시'!$K2640),'자료_거시'!$K2640,Z2657)</f>
        <v/>
      </c>
      <c r="AA2658">
        <f>IF(AND(ISNUMBER('자료_거시'!$J2640),ISNUMBER('자료_거시'!$K2640)),IFERROR('자료_거시'!$K2640/INDEX($Z$21:$Z$4020,MATCH(EDATE('자료_거시'!$J2640,-'설정'!$B$17),'자료_거시'!$J$3:INDEX('자료_거시'!$J$3:$J$4002,$K$8),1))-1,""),"")</f>
        <v/>
      </c>
      <c r="AB2658">
        <f>IF(ISNUMBER(AA2658),'자료_거시'!$J2640,"")</f>
        <v/>
      </c>
      <c r="AC2658">
        <f>IF(ISNUMBER(AB2658),IF(AB2658&gt;$L$8,AA2658,""),"")</f>
        <v/>
      </c>
    </row>
    <row r="2659">
      <c r="S2659">
        <f>IF(ISNUMBER('자료_거시'!$E2641),'자료_거시'!$E2641,S2658)</f>
        <v/>
      </c>
      <c r="T2659">
        <f>IF(AND(ISNUMBER('자료_거시'!$D2641),ISNUMBER('자료_거시'!$E2641)),IFERROR('자료_거시'!$E2641-INDEX($S$21:$S$4020,MATCH(EDATE('자료_거시'!$D2641,-'설정'!$B$17),'자료_거시'!$D$3:INDEX('자료_거시'!$D$3:$D$4002,$K$6),1)),""),"")</f>
        <v/>
      </c>
      <c r="U2659">
        <f>IF(ISNUMBER(T2659),'자료_거시'!$D2641,"")</f>
        <v/>
      </c>
      <c r="V2659">
        <f>IF(ISNUMBER(U2659),IF(U2659&gt;$L$6,T2659,""),"")</f>
        <v/>
      </c>
      <c r="W2659">
        <f>IF(AND(ISNUMBER('자료_거시'!$G2641),ISNUMBER('자료_거시'!$H2641)),'자료_거시'!$H2641,"")</f>
        <v/>
      </c>
      <c r="X2659">
        <f>IF(ISNUMBER(W2659),'자료_거시'!$G2641,"")</f>
        <v/>
      </c>
      <c r="Y2659">
        <f>IF(ISNUMBER(X2659),IF(X2659&gt;$L$7,W2659,""),"")</f>
        <v/>
      </c>
      <c r="Z2659">
        <f>IF(ISNUMBER('자료_거시'!$K2641),'자료_거시'!$K2641,Z2658)</f>
        <v/>
      </c>
      <c r="AA2659">
        <f>IF(AND(ISNUMBER('자료_거시'!$J2641),ISNUMBER('자료_거시'!$K2641)),IFERROR('자료_거시'!$K2641/INDEX($Z$21:$Z$4020,MATCH(EDATE('자료_거시'!$J2641,-'설정'!$B$17),'자료_거시'!$J$3:INDEX('자료_거시'!$J$3:$J$4002,$K$8),1))-1,""),"")</f>
        <v/>
      </c>
      <c r="AB2659">
        <f>IF(ISNUMBER(AA2659),'자료_거시'!$J2641,"")</f>
        <v/>
      </c>
      <c r="AC2659">
        <f>IF(ISNUMBER(AB2659),IF(AB2659&gt;$L$8,AA2659,""),"")</f>
        <v/>
      </c>
    </row>
    <row r="2660">
      <c r="S2660">
        <f>IF(ISNUMBER('자료_거시'!$E2642),'자료_거시'!$E2642,S2659)</f>
        <v/>
      </c>
      <c r="T2660">
        <f>IF(AND(ISNUMBER('자료_거시'!$D2642),ISNUMBER('자료_거시'!$E2642)),IFERROR('자료_거시'!$E2642-INDEX($S$21:$S$4020,MATCH(EDATE('자료_거시'!$D2642,-'설정'!$B$17),'자료_거시'!$D$3:INDEX('자료_거시'!$D$3:$D$4002,$K$6),1)),""),"")</f>
        <v/>
      </c>
      <c r="U2660">
        <f>IF(ISNUMBER(T2660),'자료_거시'!$D2642,"")</f>
        <v/>
      </c>
      <c r="V2660">
        <f>IF(ISNUMBER(U2660),IF(U2660&gt;$L$6,T2660,""),"")</f>
        <v/>
      </c>
      <c r="W2660">
        <f>IF(AND(ISNUMBER('자료_거시'!$G2642),ISNUMBER('자료_거시'!$H2642)),'자료_거시'!$H2642,"")</f>
        <v/>
      </c>
      <c r="X2660">
        <f>IF(ISNUMBER(W2660),'자료_거시'!$G2642,"")</f>
        <v/>
      </c>
      <c r="Y2660">
        <f>IF(ISNUMBER(X2660),IF(X2660&gt;$L$7,W2660,""),"")</f>
        <v/>
      </c>
      <c r="Z2660">
        <f>IF(ISNUMBER('자료_거시'!$K2642),'자료_거시'!$K2642,Z2659)</f>
        <v/>
      </c>
      <c r="AA2660">
        <f>IF(AND(ISNUMBER('자료_거시'!$J2642),ISNUMBER('자료_거시'!$K2642)),IFERROR('자료_거시'!$K2642/INDEX($Z$21:$Z$4020,MATCH(EDATE('자료_거시'!$J2642,-'설정'!$B$17),'자료_거시'!$J$3:INDEX('자료_거시'!$J$3:$J$4002,$K$8),1))-1,""),"")</f>
        <v/>
      </c>
      <c r="AB2660">
        <f>IF(ISNUMBER(AA2660),'자료_거시'!$J2642,"")</f>
        <v/>
      </c>
      <c r="AC2660">
        <f>IF(ISNUMBER(AB2660),IF(AB2660&gt;$L$8,AA2660,""),"")</f>
        <v/>
      </c>
    </row>
    <row r="2661">
      <c r="S2661">
        <f>IF(ISNUMBER('자료_거시'!$E2643),'자료_거시'!$E2643,S2660)</f>
        <v/>
      </c>
      <c r="T2661">
        <f>IF(AND(ISNUMBER('자료_거시'!$D2643),ISNUMBER('자료_거시'!$E2643)),IFERROR('자료_거시'!$E2643-INDEX($S$21:$S$4020,MATCH(EDATE('자료_거시'!$D2643,-'설정'!$B$17),'자료_거시'!$D$3:INDEX('자료_거시'!$D$3:$D$4002,$K$6),1)),""),"")</f>
        <v/>
      </c>
      <c r="U2661">
        <f>IF(ISNUMBER(T2661),'자료_거시'!$D2643,"")</f>
        <v/>
      </c>
      <c r="V2661">
        <f>IF(ISNUMBER(U2661),IF(U2661&gt;$L$6,T2661,""),"")</f>
        <v/>
      </c>
      <c r="W2661">
        <f>IF(AND(ISNUMBER('자료_거시'!$G2643),ISNUMBER('자료_거시'!$H2643)),'자료_거시'!$H2643,"")</f>
        <v/>
      </c>
      <c r="X2661">
        <f>IF(ISNUMBER(W2661),'자료_거시'!$G2643,"")</f>
        <v/>
      </c>
      <c r="Y2661">
        <f>IF(ISNUMBER(X2661),IF(X2661&gt;$L$7,W2661,""),"")</f>
        <v/>
      </c>
      <c r="Z2661">
        <f>IF(ISNUMBER('자료_거시'!$K2643),'자료_거시'!$K2643,Z2660)</f>
        <v/>
      </c>
      <c r="AA2661">
        <f>IF(AND(ISNUMBER('자료_거시'!$J2643),ISNUMBER('자료_거시'!$K2643)),IFERROR('자료_거시'!$K2643/INDEX($Z$21:$Z$4020,MATCH(EDATE('자료_거시'!$J2643,-'설정'!$B$17),'자료_거시'!$J$3:INDEX('자료_거시'!$J$3:$J$4002,$K$8),1))-1,""),"")</f>
        <v/>
      </c>
      <c r="AB2661">
        <f>IF(ISNUMBER(AA2661),'자료_거시'!$J2643,"")</f>
        <v/>
      </c>
      <c r="AC2661">
        <f>IF(ISNUMBER(AB2661),IF(AB2661&gt;$L$8,AA2661,""),"")</f>
        <v/>
      </c>
    </row>
    <row r="2662">
      <c r="S2662">
        <f>IF(ISNUMBER('자료_거시'!$E2644),'자료_거시'!$E2644,S2661)</f>
        <v/>
      </c>
      <c r="T2662">
        <f>IF(AND(ISNUMBER('자료_거시'!$D2644),ISNUMBER('자료_거시'!$E2644)),IFERROR('자료_거시'!$E2644-INDEX($S$21:$S$4020,MATCH(EDATE('자료_거시'!$D2644,-'설정'!$B$17),'자료_거시'!$D$3:INDEX('자료_거시'!$D$3:$D$4002,$K$6),1)),""),"")</f>
        <v/>
      </c>
      <c r="U2662">
        <f>IF(ISNUMBER(T2662),'자료_거시'!$D2644,"")</f>
        <v/>
      </c>
      <c r="V2662">
        <f>IF(ISNUMBER(U2662),IF(U2662&gt;$L$6,T2662,""),"")</f>
        <v/>
      </c>
      <c r="W2662">
        <f>IF(AND(ISNUMBER('자료_거시'!$G2644),ISNUMBER('자료_거시'!$H2644)),'자료_거시'!$H2644,"")</f>
        <v/>
      </c>
      <c r="X2662">
        <f>IF(ISNUMBER(W2662),'자료_거시'!$G2644,"")</f>
        <v/>
      </c>
      <c r="Y2662">
        <f>IF(ISNUMBER(X2662),IF(X2662&gt;$L$7,W2662,""),"")</f>
        <v/>
      </c>
      <c r="Z2662">
        <f>IF(ISNUMBER('자료_거시'!$K2644),'자료_거시'!$K2644,Z2661)</f>
        <v/>
      </c>
      <c r="AA2662">
        <f>IF(AND(ISNUMBER('자료_거시'!$J2644),ISNUMBER('자료_거시'!$K2644)),IFERROR('자료_거시'!$K2644/INDEX($Z$21:$Z$4020,MATCH(EDATE('자료_거시'!$J2644,-'설정'!$B$17),'자료_거시'!$J$3:INDEX('자료_거시'!$J$3:$J$4002,$K$8),1))-1,""),"")</f>
        <v/>
      </c>
      <c r="AB2662">
        <f>IF(ISNUMBER(AA2662),'자료_거시'!$J2644,"")</f>
        <v/>
      </c>
      <c r="AC2662">
        <f>IF(ISNUMBER(AB2662),IF(AB2662&gt;$L$8,AA2662,""),"")</f>
        <v/>
      </c>
    </row>
    <row r="2663">
      <c r="S2663">
        <f>IF(ISNUMBER('자료_거시'!$E2645),'자료_거시'!$E2645,S2662)</f>
        <v/>
      </c>
      <c r="T2663">
        <f>IF(AND(ISNUMBER('자료_거시'!$D2645),ISNUMBER('자료_거시'!$E2645)),IFERROR('자료_거시'!$E2645-INDEX($S$21:$S$4020,MATCH(EDATE('자료_거시'!$D2645,-'설정'!$B$17),'자료_거시'!$D$3:INDEX('자료_거시'!$D$3:$D$4002,$K$6),1)),""),"")</f>
        <v/>
      </c>
      <c r="U2663">
        <f>IF(ISNUMBER(T2663),'자료_거시'!$D2645,"")</f>
        <v/>
      </c>
      <c r="V2663">
        <f>IF(ISNUMBER(U2663),IF(U2663&gt;$L$6,T2663,""),"")</f>
        <v/>
      </c>
      <c r="W2663">
        <f>IF(AND(ISNUMBER('자료_거시'!$G2645),ISNUMBER('자료_거시'!$H2645)),'자료_거시'!$H2645,"")</f>
        <v/>
      </c>
      <c r="X2663">
        <f>IF(ISNUMBER(W2663),'자료_거시'!$G2645,"")</f>
        <v/>
      </c>
      <c r="Y2663">
        <f>IF(ISNUMBER(X2663),IF(X2663&gt;$L$7,W2663,""),"")</f>
        <v/>
      </c>
      <c r="Z2663">
        <f>IF(ISNUMBER('자료_거시'!$K2645),'자료_거시'!$K2645,Z2662)</f>
        <v/>
      </c>
      <c r="AA2663">
        <f>IF(AND(ISNUMBER('자료_거시'!$J2645),ISNUMBER('자료_거시'!$K2645)),IFERROR('자료_거시'!$K2645/INDEX($Z$21:$Z$4020,MATCH(EDATE('자료_거시'!$J2645,-'설정'!$B$17),'자료_거시'!$J$3:INDEX('자료_거시'!$J$3:$J$4002,$K$8),1))-1,""),"")</f>
        <v/>
      </c>
      <c r="AB2663">
        <f>IF(ISNUMBER(AA2663),'자료_거시'!$J2645,"")</f>
        <v/>
      </c>
      <c r="AC2663">
        <f>IF(ISNUMBER(AB2663),IF(AB2663&gt;$L$8,AA2663,""),"")</f>
        <v/>
      </c>
    </row>
    <row r="2664">
      <c r="S2664">
        <f>IF(ISNUMBER('자료_거시'!$E2646),'자료_거시'!$E2646,S2663)</f>
        <v/>
      </c>
      <c r="T2664">
        <f>IF(AND(ISNUMBER('자료_거시'!$D2646),ISNUMBER('자료_거시'!$E2646)),IFERROR('자료_거시'!$E2646-INDEX($S$21:$S$4020,MATCH(EDATE('자료_거시'!$D2646,-'설정'!$B$17),'자료_거시'!$D$3:INDEX('자료_거시'!$D$3:$D$4002,$K$6),1)),""),"")</f>
        <v/>
      </c>
      <c r="U2664">
        <f>IF(ISNUMBER(T2664),'자료_거시'!$D2646,"")</f>
        <v/>
      </c>
      <c r="V2664">
        <f>IF(ISNUMBER(U2664),IF(U2664&gt;$L$6,T2664,""),"")</f>
        <v/>
      </c>
      <c r="W2664">
        <f>IF(AND(ISNUMBER('자료_거시'!$G2646),ISNUMBER('자료_거시'!$H2646)),'자료_거시'!$H2646,"")</f>
        <v/>
      </c>
      <c r="X2664">
        <f>IF(ISNUMBER(W2664),'자료_거시'!$G2646,"")</f>
        <v/>
      </c>
      <c r="Y2664">
        <f>IF(ISNUMBER(X2664),IF(X2664&gt;$L$7,W2664,""),"")</f>
        <v/>
      </c>
      <c r="Z2664">
        <f>IF(ISNUMBER('자료_거시'!$K2646),'자료_거시'!$K2646,Z2663)</f>
        <v/>
      </c>
      <c r="AA2664">
        <f>IF(AND(ISNUMBER('자료_거시'!$J2646),ISNUMBER('자료_거시'!$K2646)),IFERROR('자료_거시'!$K2646/INDEX($Z$21:$Z$4020,MATCH(EDATE('자료_거시'!$J2646,-'설정'!$B$17),'자료_거시'!$J$3:INDEX('자료_거시'!$J$3:$J$4002,$K$8),1))-1,""),"")</f>
        <v/>
      </c>
      <c r="AB2664">
        <f>IF(ISNUMBER(AA2664),'자료_거시'!$J2646,"")</f>
        <v/>
      </c>
      <c r="AC2664">
        <f>IF(ISNUMBER(AB2664),IF(AB2664&gt;$L$8,AA2664,""),"")</f>
        <v/>
      </c>
    </row>
    <row r="2665">
      <c r="S2665">
        <f>IF(ISNUMBER('자료_거시'!$E2647),'자료_거시'!$E2647,S2664)</f>
        <v/>
      </c>
      <c r="T2665">
        <f>IF(AND(ISNUMBER('자료_거시'!$D2647),ISNUMBER('자료_거시'!$E2647)),IFERROR('자료_거시'!$E2647-INDEX($S$21:$S$4020,MATCH(EDATE('자료_거시'!$D2647,-'설정'!$B$17),'자료_거시'!$D$3:INDEX('자료_거시'!$D$3:$D$4002,$K$6),1)),""),"")</f>
        <v/>
      </c>
      <c r="U2665">
        <f>IF(ISNUMBER(T2665),'자료_거시'!$D2647,"")</f>
        <v/>
      </c>
      <c r="V2665">
        <f>IF(ISNUMBER(U2665),IF(U2665&gt;$L$6,T2665,""),"")</f>
        <v/>
      </c>
      <c r="W2665">
        <f>IF(AND(ISNUMBER('자료_거시'!$G2647),ISNUMBER('자료_거시'!$H2647)),'자료_거시'!$H2647,"")</f>
        <v/>
      </c>
      <c r="X2665">
        <f>IF(ISNUMBER(W2665),'자료_거시'!$G2647,"")</f>
        <v/>
      </c>
      <c r="Y2665">
        <f>IF(ISNUMBER(X2665),IF(X2665&gt;$L$7,W2665,""),"")</f>
        <v/>
      </c>
      <c r="Z2665">
        <f>IF(ISNUMBER('자료_거시'!$K2647),'자료_거시'!$K2647,Z2664)</f>
        <v/>
      </c>
      <c r="AA2665">
        <f>IF(AND(ISNUMBER('자료_거시'!$J2647),ISNUMBER('자료_거시'!$K2647)),IFERROR('자료_거시'!$K2647/INDEX($Z$21:$Z$4020,MATCH(EDATE('자료_거시'!$J2647,-'설정'!$B$17),'자료_거시'!$J$3:INDEX('자료_거시'!$J$3:$J$4002,$K$8),1))-1,""),"")</f>
        <v/>
      </c>
      <c r="AB2665">
        <f>IF(ISNUMBER(AA2665),'자료_거시'!$J2647,"")</f>
        <v/>
      </c>
      <c r="AC2665">
        <f>IF(ISNUMBER(AB2665),IF(AB2665&gt;$L$8,AA2665,""),"")</f>
        <v/>
      </c>
    </row>
    <row r="2666">
      <c r="S2666">
        <f>IF(ISNUMBER('자료_거시'!$E2648),'자료_거시'!$E2648,S2665)</f>
        <v/>
      </c>
      <c r="T2666">
        <f>IF(AND(ISNUMBER('자료_거시'!$D2648),ISNUMBER('자료_거시'!$E2648)),IFERROR('자료_거시'!$E2648-INDEX($S$21:$S$4020,MATCH(EDATE('자료_거시'!$D2648,-'설정'!$B$17),'자료_거시'!$D$3:INDEX('자료_거시'!$D$3:$D$4002,$K$6),1)),""),"")</f>
        <v/>
      </c>
      <c r="U2666">
        <f>IF(ISNUMBER(T2666),'자료_거시'!$D2648,"")</f>
        <v/>
      </c>
      <c r="V2666">
        <f>IF(ISNUMBER(U2666),IF(U2666&gt;$L$6,T2666,""),"")</f>
        <v/>
      </c>
      <c r="W2666">
        <f>IF(AND(ISNUMBER('자료_거시'!$G2648),ISNUMBER('자료_거시'!$H2648)),'자료_거시'!$H2648,"")</f>
        <v/>
      </c>
      <c r="X2666">
        <f>IF(ISNUMBER(W2666),'자료_거시'!$G2648,"")</f>
        <v/>
      </c>
      <c r="Y2666">
        <f>IF(ISNUMBER(X2666),IF(X2666&gt;$L$7,W2666,""),"")</f>
        <v/>
      </c>
      <c r="Z2666">
        <f>IF(ISNUMBER('자료_거시'!$K2648),'자료_거시'!$K2648,Z2665)</f>
        <v/>
      </c>
      <c r="AA2666">
        <f>IF(AND(ISNUMBER('자료_거시'!$J2648),ISNUMBER('자료_거시'!$K2648)),IFERROR('자료_거시'!$K2648/INDEX($Z$21:$Z$4020,MATCH(EDATE('자료_거시'!$J2648,-'설정'!$B$17),'자료_거시'!$J$3:INDEX('자료_거시'!$J$3:$J$4002,$K$8),1))-1,""),"")</f>
        <v/>
      </c>
      <c r="AB2666">
        <f>IF(ISNUMBER(AA2666),'자료_거시'!$J2648,"")</f>
        <v/>
      </c>
      <c r="AC2666">
        <f>IF(ISNUMBER(AB2666),IF(AB2666&gt;$L$8,AA2666,""),"")</f>
        <v/>
      </c>
    </row>
    <row r="2667">
      <c r="S2667">
        <f>IF(ISNUMBER('자료_거시'!$E2649),'자료_거시'!$E2649,S2666)</f>
        <v/>
      </c>
      <c r="T2667">
        <f>IF(AND(ISNUMBER('자료_거시'!$D2649),ISNUMBER('자료_거시'!$E2649)),IFERROR('자료_거시'!$E2649-INDEX($S$21:$S$4020,MATCH(EDATE('자료_거시'!$D2649,-'설정'!$B$17),'자료_거시'!$D$3:INDEX('자료_거시'!$D$3:$D$4002,$K$6),1)),""),"")</f>
        <v/>
      </c>
      <c r="U2667">
        <f>IF(ISNUMBER(T2667),'자료_거시'!$D2649,"")</f>
        <v/>
      </c>
      <c r="V2667">
        <f>IF(ISNUMBER(U2667),IF(U2667&gt;$L$6,T2667,""),"")</f>
        <v/>
      </c>
      <c r="W2667">
        <f>IF(AND(ISNUMBER('자료_거시'!$G2649),ISNUMBER('자료_거시'!$H2649)),'자료_거시'!$H2649,"")</f>
        <v/>
      </c>
      <c r="X2667">
        <f>IF(ISNUMBER(W2667),'자료_거시'!$G2649,"")</f>
        <v/>
      </c>
      <c r="Y2667">
        <f>IF(ISNUMBER(X2667),IF(X2667&gt;$L$7,W2667,""),"")</f>
        <v/>
      </c>
      <c r="Z2667">
        <f>IF(ISNUMBER('자료_거시'!$K2649),'자료_거시'!$K2649,Z2666)</f>
        <v/>
      </c>
      <c r="AA2667">
        <f>IF(AND(ISNUMBER('자료_거시'!$J2649),ISNUMBER('자료_거시'!$K2649)),IFERROR('자료_거시'!$K2649/INDEX($Z$21:$Z$4020,MATCH(EDATE('자료_거시'!$J2649,-'설정'!$B$17),'자료_거시'!$J$3:INDEX('자료_거시'!$J$3:$J$4002,$K$8),1))-1,""),"")</f>
        <v/>
      </c>
      <c r="AB2667">
        <f>IF(ISNUMBER(AA2667),'자료_거시'!$J2649,"")</f>
        <v/>
      </c>
      <c r="AC2667">
        <f>IF(ISNUMBER(AB2667),IF(AB2667&gt;$L$8,AA2667,""),"")</f>
        <v/>
      </c>
    </row>
    <row r="2668">
      <c r="S2668">
        <f>IF(ISNUMBER('자료_거시'!$E2650),'자료_거시'!$E2650,S2667)</f>
        <v/>
      </c>
      <c r="T2668">
        <f>IF(AND(ISNUMBER('자료_거시'!$D2650),ISNUMBER('자료_거시'!$E2650)),IFERROR('자료_거시'!$E2650-INDEX($S$21:$S$4020,MATCH(EDATE('자료_거시'!$D2650,-'설정'!$B$17),'자료_거시'!$D$3:INDEX('자료_거시'!$D$3:$D$4002,$K$6),1)),""),"")</f>
        <v/>
      </c>
      <c r="U2668">
        <f>IF(ISNUMBER(T2668),'자료_거시'!$D2650,"")</f>
        <v/>
      </c>
      <c r="V2668">
        <f>IF(ISNUMBER(U2668),IF(U2668&gt;$L$6,T2668,""),"")</f>
        <v/>
      </c>
      <c r="W2668">
        <f>IF(AND(ISNUMBER('자료_거시'!$G2650),ISNUMBER('자료_거시'!$H2650)),'자료_거시'!$H2650,"")</f>
        <v/>
      </c>
      <c r="X2668">
        <f>IF(ISNUMBER(W2668),'자료_거시'!$G2650,"")</f>
        <v/>
      </c>
      <c r="Y2668">
        <f>IF(ISNUMBER(X2668),IF(X2668&gt;$L$7,W2668,""),"")</f>
        <v/>
      </c>
      <c r="Z2668">
        <f>IF(ISNUMBER('자료_거시'!$K2650),'자료_거시'!$K2650,Z2667)</f>
        <v/>
      </c>
      <c r="AA2668">
        <f>IF(AND(ISNUMBER('자료_거시'!$J2650),ISNUMBER('자료_거시'!$K2650)),IFERROR('자료_거시'!$K2650/INDEX($Z$21:$Z$4020,MATCH(EDATE('자료_거시'!$J2650,-'설정'!$B$17),'자료_거시'!$J$3:INDEX('자료_거시'!$J$3:$J$4002,$K$8),1))-1,""),"")</f>
        <v/>
      </c>
      <c r="AB2668">
        <f>IF(ISNUMBER(AA2668),'자료_거시'!$J2650,"")</f>
        <v/>
      </c>
      <c r="AC2668">
        <f>IF(ISNUMBER(AB2668),IF(AB2668&gt;$L$8,AA2668,""),"")</f>
        <v/>
      </c>
    </row>
    <row r="2669">
      <c r="S2669">
        <f>IF(ISNUMBER('자료_거시'!$E2651),'자료_거시'!$E2651,S2668)</f>
        <v/>
      </c>
      <c r="T2669">
        <f>IF(AND(ISNUMBER('자료_거시'!$D2651),ISNUMBER('자료_거시'!$E2651)),IFERROR('자료_거시'!$E2651-INDEX($S$21:$S$4020,MATCH(EDATE('자료_거시'!$D2651,-'설정'!$B$17),'자료_거시'!$D$3:INDEX('자료_거시'!$D$3:$D$4002,$K$6),1)),""),"")</f>
        <v/>
      </c>
      <c r="U2669">
        <f>IF(ISNUMBER(T2669),'자료_거시'!$D2651,"")</f>
        <v/>
      </c>
      <c r="V2669">
        <f>IF(ISNUMBER(U2669),IF(U2669&gt;$L$6,T2669,""),"")</f>
        <v/>
      </c>
      <c r="W2669">
        <f>IF(AND(ISNUMBER('자료_거시'!$G2651),ISNUMBER('자료_거시'!$H2651)),'자료_거시'!$H2651,"")</f>
        <v/>
      </c>
      <c r="X2669">
        <f>IF(ISNUMBER(W2669),'자료_거시'!$G2651,"")</f>
        <v/>
      </c>
      <c r="Y2669">
        <f>IF(ISNUMBER(X2669),IF(X2669&gt;$L$7,W2669,""),"")</f>
        <v/>
      </c>
      <c r="Z2669">
        <f>IF(ISNUMBER('자료_거시'!$K2651),'자료_거시'!$K2651,Z2668)</f>
        <v/>
      </c>
      <c r="AA2669">
        <f>IF(AND(ISNUMBER('자료_거시'!$J2651),ISNUMBER('자료_거시'!$K2651)),IFERROR('자료_거시'!$K2651/INDEX($Z$21:$Z$4020,MATCH(EDATE('자료_거시'!$J2651,-'설정'!$B$17),'자료_거시'!$J$3:INDEX('자료_거시'!$J$3:$J$4002,$K$8),1))-1,""),"")</f>
        <v/>
      </c>
      <c r="AB2669">
        <f>IF(ISNUMBER(AA2669),'자료_거시'!$J2651,"")</f>
        <v/>
      </c>
      <c r="AC2669">
        <f>IF(ISNUMBER(AB2669),IF(AB2669&gt;$L$8,AA2669,""),"")</f>
        <v/>
      </c>
    </row>
    <row r="2670">
      <c r="S2670">
        <f>IF(ISNUMBER('자료_거시'!$E2652),'자료_거시'!$E2652,S2669)</f>
        <v/>
      </c>
      <c r="T2670">
        <f>IF(AND(ISNUMBER('자료_거시'!$D2652),ISNUMBER('자료_거시'!$E2652)),IFERROR('자료_거시'!$E2652-INDEX($S$21:$S$4020,MATCH(EDATE('자료_거시'!$D2652,-'설정'!$B$17),'자료_거시'!$D$3:INDEX('자료_거시'!$D$3:$D$4002,$K$6),1)),""),"")</f>
        <v/>
      </c>
      <c r="U2670">
        <f>IF(ISNUMBER(T2670),'자료_거시'!$D2652,"")</f>
        <v/>
      </c>
      <c r="V2670">
        <f>IF(ISNUMBER(U2670),IF(U2670&gt;$L$6,T2670,""),"")</f>
        <v/>
      </c>
      <c r="W2670">
        <f>IF(AND(ISNUMBER('자료_거시'!$G2652),ISNUMBER('자료_거시'!$H2652)),'자료_거시'!$H2652,"")</f>
        <v/>
      </c>
      <c r="X2670">
        <f>IF(ISNUMBER(W2670),'자료_거시'!$G2652,"")</f>
        <v/>
      </c>
      <c r="Y2670">
        <f>IF(ISNUMBER(X2670),IF(X2670&gt;$L$7,W2670,""),"")</f>
        <v/>
      </c>
      <c r="Z2670">
        <f>IF(ISNUMBER('자료_거시'!$K2652),'자료_거시'!$K2652,Z2669)</f>
        <v/>
      </c>
      <c r="AA2670">
        <f>IF(AND(ISNUMBER('자료_거시'!$J2652),ISNUMBER('자료_거시'!$K2652)),IFERROR('자료_거시'!$K2652/INDEX($Z$21:$Z$4020,MATCH(EDATE('자료_거시'!$J2652,-'설정'!$B$17),'자료_거시'!$J$3:INDEX('자료_거시'!$J$3:$J$4002,$K$8),1))-1,""),"")</f>
        <v/>
      </c>
      <c r="AB2670">
        <f>IF(ISNUMBER(AA2670),'자료_거시'!$J2652,"")</f>
        <v/>
      </c>
      <c r="AC2670">
        <f>IF(ISNUMBER(AB2670),IF(AB2670&gt;$L$8,AA2670,""),"")</f>
        <v/>
      </c>
    </row>
    <row r="2671">
      <c r="S2671">
        <f>IF(ISNUMBER('자료_거시'!$E2653),'자료_거시'!$E2653,S2670)</f>
        <v/>
      </c>
      <c r="T2671">
        <f>IF(AND(ISNUMBER('자료_거시'!$D2653),ISNUMBER('자료_거시'!$E2653)),IFERROR('자료_거시'!$E2653-INDEX($S$21:$S$4020,MATCH(EDATE('자료_거시'!$D2653,-'설정'!$B$17),'자료_거시'!$D$3:INDEX('자료_거시'!$D$3:$D$4002,$K$6),1)),""),"")</f>
        <v/>
      </c>
      <c r="U2671">
        <f>IF(ISNUMBER(T2671),'자료_거시'!$D2653,"")</f>
        <v/>
      </c>
      <c r="V2671">
        <f>IF(ISNUMBER(U2671),IF(U2671&gt;$L$6,T2671,""),"")</f>
        <v/>
      </c>
      <c r="W2671">
        <f>IF(AND(ISNUMBER('자료_거시'!$G2653),ISNUMBER('자료_거시'!$H2653)),'자료_거시'!$H2653,"")</f>
        <v/>
      </c>
      <c r="X2671">
        <f>IF(ISNUMBER(W2671),'자료_거시'!$G2653,"")</f>
        <v/>
      </c>
      <c r="Y2671">
        <f>IF(ISNUMBER(X2671),IF(X2671&gt;$L$7,W2671,""),"")</f>
        <v/>
      </c>
      <c r="Z2671">
        <f>IF(ISNUMBER('자료_거시'!$K2653),'자료_거시'!$K2653,Z2670)</f>
        <v/>
      </c>
      <c r="AA2671">
        <f>IF(AND(ISNUMBER('자료_거시'!$J2653),ISNUMBER('자료_거시'!$K2653)),IFERROR('자료_거시'!$K2653/INDEX($Z$21:$Z$4020,MATCH(EDATE('자료_거시'!$J2653,-'설정'!$B$17),'자료_거시'!$J$3:INDEX('자료_거시'!$J$3:$J$4002,$K$8),1))-1,""),"")</f>
        <v/>
      </c>
      <c r="AB2671">
        <f>IF(ISNUMBER(AA2671),'자료_거시'!$J2653,"")</f>
        <v/>
      </c>
      <c r="AC2671">
        <f>IF(ISNUMBER(AB2671),IF(AB2671&gt;$L$8,AA2671,""),"")</f>
        <v/>
      </c>
    </row>
    <row r="2672">
      <c r="S2672">
        <f>IF(ISNUMBER('자료_거시'!$E2654),'자료_거시'!$E2654,S2671)</f>
        <v/>
      </c>
      <c r="T2672">
        <f>IF(AND(ISNUMBER('자료_거시'!$D2654),ISNUMBER('자료_거시'!$E2654)),IFERROR('자료_거시'!$E2654-INDEX($S$21:$S$4020,MATCH(EDATE('자료_거시'!$D2654,-'설정'!$B$17),'자료_거시'!$D$3:INDEX('자료_거시'!$D$3:$D$4002,$K$6),1)),""),"")</f>
        <v/>
      </c>
      <c r="U2672">
        <f>IF(ISNUMBER(T2672),'자료_거시'!$D2654,"")</f>
        <v/>
      </c>
      <c r="V2672">
        <f>IF(ISNUMBER(U2672),IF(U2672&gt;$L$6,T2672,""),"")</f>
        <v/>
      </c>
      <c r="W2672">
        <f>IF(AND(ISNUMBER('자료_거시'!$G2654),ISNUMBER('자료_거시'!$H2654)),'자료_거시'!$H2654,"")</f>
        <v/>
      </c>
      <c r="X2672">
        <f>IF(ISNUMBER(W2672),'자료_거시'!$G2654,"")</f>
        <v/>
      </c>
      <c r="Y2672">
        <f>IF(ISNUMBER(X2672),IF(X2672&gt;$L$7,W2672,""),"")</f>
        <v/>
      </c>
      <c r="Z2672">
        <f>IF(ISNUMBER('자료_거시'!$K2654),'자료_거시'!$K2654,Z2671)</f>
        <v/>
      </c>
      <c r="AA2672">
        <f>IF(AND(ISNUMBER('자료_거시'!$J2654),ISNUMBER('자료_거시'!$K2654)),IFERROR('자료_거시'!$K2654/INDEX($Z$21:$Z$4020,MATCH(EDATE('자료_거시'!$J2654,-'설정'!$B$17),'자료_거시'!$J$3:INDEX('자료_거시'!$J$3:$J$4002,$K$8),1))-1,""),"")</f>
        <v/>
      </c>
      <c r="AB2672">
        <f>IF(ISNUMBER(AA2672),'자료_거시'!$J2654,"")</f>
        <v/>
      </c>
      <c r="AC2672">
        <f>IF(ISNUMBER(AB2672),IF(AB2672&gt;$L$8,AA2672,""),"")</f>
        <v/>
      </c>
    </row>
    <row r="2673">
      <c r="S2673">
        <f>IF(ISNUMBER('자료_거시'!$E2655),'자료_거시'!$E2655,S2672)</f>
        <v/>
      </c>
      <c r="T2673">
        <f>IF(AND(ISNUMBER('자료_거시'!$D2655),ISNUMBER('자료_거시'!$E2655)),IFERROR('자료_거시'!$E2655-INDEX($S$21:$S$4020,MATCH(EDATE('자료_거시'!$D2655,-'설정'!$B$17),'자료_거시'!$D$3:INDEX('자료_거시'!$D$3:$D$4002,$K$6),1)),""),"")</f>
        <v/>
      </c>
      <c r="U2673">
        <f>IF(ISNUMBER(T2673),'자료_거시'!$D2655,"")</f>
        <v/>
      </c>
      <c r="V2673">
        <f>IF(ISNUMBER(U2673),IF(U2673&gt;$L$6,T2673,""),"")</f>
        <v/>
      </c>
      <c r="W2673">
        <f>IF(AND(ISNUMBER('자료_거시'!$G2655),ISNUMBER('자료_거시'!$H2655)),'자료_거시'!$H2655,"")</f>
        <v/>
      </c>
      <c r="X2673">
        <f>IF(ISNUMBER(W2673),'자료_거시'!$G2655,"")</f>
        <v/>
      </c>
      <c r="Y2673">
        <f>IF(ISNUMBER(X2673),IF(X2673&gt;$L$7,W2673,""),"")</f>
        <v/>
      </c>
      <c r="Z2673">
        <f>IF(ISNUMBER('자료_거시'!$K2655),'자료_거시'!$K2655,Z2672)</f>
        <v/>
      </c>
      <c r="AA2673">
        <f>IF(AND(ISNUMBER('자료_거시'!$J2655),ISNUMBER('자료_거시'!$K2655)),IFERROR('자료_거시'!$K2655/INDEX($Z$21:$Z$4020,MATCH(EDATE('자료_거시'!$J2655,-'설정'!$B$17),'자료_거시'!$J$3:INDEX('자료_거시'!$J$3:$J$4002,$K$8),1))-1,""),"")</f>
        <v/>
      </c>
      <c r="AB2673">
        <f>IF(ISNUMBER(AA2673),'자료_거시'!$J2655,"")</f>
        <v/>
      </c>
      <c r="AC2673">
        <f>IF(ISNUMBER(AB2673),IF(AB2673&gt;$L$8,AA2673,""),"")</f>
        <v/>
      </c>
    </row>
    <row r="2674">
      <c r="S2674">
        <f>IF(ISNUMBER('자료_거시'!$E2656),'자료_거시'!$E2656,S2673)</f>
        <v/>
      </c>
      <c r="T2674">
        <f>IF(AND(ISNUMBER('자료_거시'!$D2656),ISNUMBER('자료_거시'!$E2656)),IFERROR('자료_거시'!$E2656-INDEX($S$21:$S$4020,MATCH(EDATE('자료_거시'!$D2656,-'설정'!$B$17),'자료_거시'!$D$3:INDEX('자료_거시'!$D$3:$D$4002,$K$6),1)),""),"")</f>
        <v/>
      </c>
      <c r="U2674">
        <f>IF(ISNUMBER(T2674),'자료_거시'!$D2656,"")</f>
        <v/>
      </c>
      <c r="V2674">
        <f>IF(ISNUMBER(U2674),IF(U2674&gt;$L$6,T2674,""),"")</f>
        <v/>
      </c>
      <c r="W2674">
        <f>IF(AND(ISNUMBER('자료_거시'!$G2656),ISNUMBER('자료_거시'!$H2656)),'자료_거시'!$H2656,"")</f>
        <v/>
      </c>
      <c r="X2674">
        <f>IF(ISNUMBER(W2674),'자료_거시'!$G2656,"")</f>
        <v/>
      </c>
      <c r="Y2674">
        <f>IF(ISNUMBER(X2674),IF(X2674&gt;$L$7,W2674,""),"")</f>
        <v/>
      </c>
      <c r="Z2674">
        <f>IF(ISNUMBER('자료_거시'!$K2656),'자료_거시'!$K2656,Z2673)</f>
        <v/>
      </c>
      <c r="AA2674">
        <f>IF(AND(ISNUMBER('자료_거시'!$J2656),ISNUMBER('자료_거시'!$K2656)),IFERROR('자료_거시'!$K2656/INDEX($Z$21:$Z$4020,MATCH(EDATE('자료_거시'!$J2656,-'설정'!$B$17),'자료_거시'!$J$3:INDEX('자료_거시'!$J$3:$J$4002,$K$8),1))-1,""),"")</f>
        <v/>
      </c>
      <c r="AB2674">
        <f>IF(ISNUMBER(AA2674),'자료_거시'!$J2656,"")</f>
        <v/>
      </c>
      <c r="AC2674">
        <f>IF(ISNUMBER(AB2674),IF(AB2674&gt;$L$8,AA2674,""),"")</f>
        <v/>
      </c>
    </row>
    <row r="2675">
      <c r="S2675">
        <f>IF(ISNUMBER('자료_거시'!$E2657),'자료_거시'!$E2657,S2674)</f>
        <v/>
      </c>
      <c r="T2675">
        <f>IF(AND(ISNUMBER('자료_거시'!$D2657),ISNUMBER('자료_거시'!$E2657)),IFERROR('자료_거시'!$E2657-INDEX($S$21:$S$4020,MATCH(EDATE('자료_거시'!$D2657,-'설정'!$B$17),'자료_거시'!$D$3:INDEX('자료_거시'!$D$3:$D$4002,$K$6),1)),""),"")</f>
        <v/>
      </c>
      <c r="U2675">
        <f>IF(ISNUMBER(T2675),'자료_거시'!$D2657,"")</f>
        <v/>
      </c>
      <c r="V2675">
        <f>IF(ISNUMBER(U2675),IF(U2675&gt;$L$6,T2675,""),"")</f>
        <v/>
      </c>
      <c r="W2675">
        <f>IF(AND(ISNUMBER('자료_거시'!$G2657),ISNUMBER('자료_거시'!$H2657)),'자료_거시'!$H2657,"")</f>
        <v/>
      </c>
      <c r="X2675">
        <f>IF(ISNUMBER(W2675),'자료_거시'!$G2657,"")</f>
        <v/>
      </c>
      <c r="Y2675">
        <f>IF(ISNUMBER(X2675),IF(X2675&gt;$L$7,W2675,""),"")</f>
        <v/>
      </c>
      <c r="Z2675">
        <f>IF(ISNUMBER('자료_거시'!$K2657),'자료_거시'!$K2657,Z2674)</f>
        <v/>
      </c>
      <c r="AA2675">
        <f>IF(AND(ISNUMBER('자료_거시'!$J2657),ISNUMBER('자료_거시'!$K2657)),IFERROR('자료_거시'!$K2657/INDEX($Z$21:$Z$4020,MATCH(EDATE('자료_거시'!$J2657,-'설정'!$B$17),'자료_거시'!$J$3:INDEX('자료_거시'!$J$3:$J$4002,$K$8),1))-1,""),"")</f>
        <v/>
      </c>
      <c r="AB2675">
        <f>IF(ISNUMBER(AA2675),'자료_거시'!$J2657,"")</f>
        <v/>
      </c>
      <c r="AC2675">
        <f>IF(ISNUMBER(AB2675),IF(AB2675&gt;$L$8,AA2675,""),"")</f>
        <v/>
      </c>
    </row>
    <row r="2676">
      <c r="S2676">
        <f>IF(ISNUMBER('자료_거시'!$E2658),'자료_거시'!$E2658,S2675)</f>
        <v/>
      </c>
      <c r="T2676">
        <f>IF(AND(ISNUMBER('자료_거시'!$D2658),ISNUMBER('자료_거시'!$E2658)),IFERROR('자료_거시'!$E2658-INDEX($S$21:$S$4020,MATCH(EDATE('자료_거시'!$D2658,-'설정'!$B$17),'자료_거시'!$D$3:INDEX('자료_거시'!$D$3:$D$4002,$K$6),1)),""),"")</f>
        <v/>
      </c>
      <c r="U2676">
        <f>IF(ISNUMBER(T2676),'자료_거시'!$D2658,"")</f>
        <v/>
      </c>
      <c r="V2676">
        <f>IF(ISNUMBER(U2676),IF(U2676&gt;$L$6,T2676,""),"")</f>
        <v/>
      </c>
      <c r="W2676">
        <f>IF(AND(ISNUMBER('자료_거시'!$G2658),ISNUMBER('자료_거시'!$H2658)),'자료_거시'!$H2658,"")</f>
        <v/>
      </c>
      <c r="X2676">
        <f>IF(ISNUMBER(W2676),'자료_거시'!$G2658,"")</f>
        <v/>
      </c>
      <c r="Y2676">
        <f>IF(ISNUMBER(X2676),IF(X2676&gt;$L$7,W2676,""),"")</f>
        <v/>
      </c>
      <c r="Z2676">
        <f>IF(ISNUMBER('자료_거시'!$K2658),'자료_거시'!$K2658,Z2675)</f>
        <v/>
      </c>
      <c r="AA2676">
        <f>IF(AND(ISNUMBER('자료_거시'!$J2658),ISNUMBER('자료_거시'!$K2658)),IFERROR('자료_거시'!$K2658/INDEX($Z$21:$Z$4020,MATCH(EDATE('자료_거시'!$J2658,-'설정'!$B$17),'자료_거시'!$J$3:INDEX('자료_거시'!$J$3:$J$4002,$K$8),1))-1,""),"")</f>
        <v/>
      </c>
      <c r="AB2676">
        <f>IF(ISNUMBER(AA2676),'자료_거시'!$J2658,"")</f>
        <v/>
      </c>
      <c r="AC2676">
        <f>IF(ISNUMBER(AB2676),IF(AB2676&gt;$L$8,AA2676,""),"")</f>
        <v/>
      </c>
    </row>
    <row r="2677">
      <c r="S2677">
        <f>IF(ISNUMBER('자료_거시'!$E2659),'자료_거시'!$E2659,S2676)</f>
        <v/>
      </c>
      <c r="T2677">
        <f>IF(AND(ISNUMBER('자료_거시'!$D2659),ISNUMBER('자료_거시'!$E2659)),IFERROR('자료_거시'!$E2659-INDEX($S$21:$S$4020,MATCH(EDATE('자료_거시'!$D2659,-'설정'!$B$17),'자료_거시'!$D$3:INDEX('자료_거시'!$D$3:$D$4002,$K$6),1)),""),"")</f>
        <v/>
      </c>
      <c r="U2677">
        <f>IF(ISNUMBER(T2677),'자료_거시'!$D2659,"")</f>
        <v/>
      </c>
      <c r="V2677">
        <f>IF(ISNUMBER(U2677),IF(U2677&gt;$L$6,T2677,""),"")</f>
        <v/>
      </c>
      <c r="W2677">
        <f>IF(AND(ISNUMBER('자료_거시'!$G2659),ISNUMBER('자료_거시'!$H2659)),'자료_거시'!$H2659,"")</f>
        <v/>
      </c>
      <c r="X2677">
        <f>IF(ISNUMBER(W2677),'자료_거시'!$G2659,"")</f>
        <v/>
      </c>
      <c r="Y2677">
        <f>IF(ISNUMBER(X2677),IF(X2677&gt;$L$7,W2677,""),"")</f>
        <v/>
      </c>
      <c r="Z2677">
        <f>IF(ISNUMBER('자료_거시'!$K2659),'자료_거시'!$K2659,Z2676)</f>
        <v/>
      </c>
      <c r="AA2677">
        <f>IF(AND(ISNUMBER('자료_거시'!$J2659),ISNUMBER('자료_거시'!$K2659)),IFERROR('자료_거시'!$K2659/INDEX($Z$21:$Z$4020,MATCH(EDATE('자료_거시'!$J2659,-'설정'!$B$17),'자료_거시'!$J$3:INDEX('자료_거시'!$J$3:$J$4002,$K$8),1))-1,""),"")</f>
        <v/>
      </c>
      <c r="AB2677">
        <f>IF(ISNUMBER(AA2677),'자료_거시'!$J2659,"")</f>
        <v/>
      </c>
      <c r="AC2677">
        <f>IF(ISNUMBER(AB2677),IF(AB2677&gt;$L$8,AA2677,""),"")</f>
        <v/>
      </c>
    </row>
    <row r="2678">
      <c r="S2678">
        <f>IF(ISNUMBER('자료_거시'!$E2660),'자료_거시'!$E2660,S2677)</f>
        <v/>
      </c>
      <c r="T2678">
        <f>IF(AND(ISNUMBER('자료_거시'!$D2660),ISNUMBER('자료_거시'!$E2660)),IFERROR('자료_거시'!$E2660-INDEX($S$21:$S$4020,MATCH(EDATE('자료_거시'!$D2660,-'설정'!$B$17),'자료_거시'!$D$3:INDEX('자료_거시'!$D$3:$D$4002,$K$6),1)),""),"")</f>
        <v/>
      </c>
      <c r="U2678">
        <f>IF(ISNUMBER(T2678),'자료_거시'!$D2660,"")</f>
        <v/>
      </c>
      <c r="V2678">
        <f>IF(ISNUMBER(U2678),IF(U2678&gt;$L$6,T2678,""),"")</f>
        <v/>
      </c>
      <c r="W2678">
        <f>IF(AND(ISNUMBER('자료_거시'!$G2660),ISNUMBER('자료_거시'!$H2660)),'자료_거시'!$H2660,"")</f>
        <v/>
      </c>
      <c r="X2678">
        <f>IF(ISNUMBER(W2678),'자료_거시'!$G2660,"")</f>
        <v/>
      </c>
      <c r="Y2678">
        <f>IF(ISNUMBER(X2678),IF(X2678&gt;$L$7,W2678,""),"")</f>
        <v/>
      </c>
      <c r="Z2678">
        <f>IF(ISNUMBER('자료_거시'!$K2660),'자료_거시'!$K2660,Z2677)</f>
        <v/>
      </c>
      <c r="AA2678">
        <f>IF(AND(ISNUMBER('자료_거시'!$J2660),ISNUMBER('자료_거시'!$K2660)),IFERROR('자료_거시'!$K2660/INDEX($Z$21:$Z$4020,MATCH(EDATE('자료_거시'!$J2660,-'설정'!$B$17),'자료_거시'!$J$3:INDEX('자료_거시'!$J$3:$J$4002,$K$8),1))-1,""),"")</f>
        <v/>
      </c>
      <c r="AB2678">
        <f>IF(ISNUMBER(AA2678),'자료_거시'!$J2660,"")</f>
        <v/>
      </c>
      <c r="AC2678">
        <f>IF(ISNUMBER(AB2678),IF(AB2678&gt;$L$8,AA2678,""),"")</f>
        <v/>
      </c>
    </row>
    <row r="2679">
      <c r="S2679">
        <f>IF(ISNUMBER('자료_거시'!$E2661),'자료_거시'!$E2661,S2678)</f>
        <v/>
      </c>
      <c r="T2679">
        <f>IF(AND(ISNUMBER('자료_거시'!$D2661),ISNUMBER('자료_거시'!$E2661)),IFERROR('자료_거시'!$E2661-INDEX($S$21:$S$4020,MATCH(EDATE('자료_거시'!$D2661,-'설정'!$B$17),'자료_거시'!$D$3:INDEX('자료_거시'!$D$3:$D$4002,$K$6),1)),""),"")</f>
        <v/>
      </c>
      <c r="U2679">
        <f>IF(ISNUMBER(T2679),'자료_거시'!$D2661,"")</f>
        <v/>
      </c>
      <c r="V2679">
        <f>IF(ISNUMBER(U2679),IF(U2679&gt;$L$6,T2679,""),"")</f>
        <v/>
      </c>
      <c r="W2679">
        <f>IF(AND(ISNUMBER('자료_거시'!$G2661),ISNUMBER('자료_거시'!$H2661)),'자료_거시'!$H2661,"")</f>
        <v/>
      </c>
      <c r="X2679">
        <f>IF(ISNUMBER(W2679),'자료_거시'!$G2661,"")</f>
        <v/>
      </c>
      <c r="Y2679">
        <f>IF(ISNUMBER(X2679),IF(X2679&gt;$L$7,W2679,""),"")</f>
        <v/>
      </c>
      <c r="Z2679">
        <f>IF(ISNUMBER('자료_거시'!$K2661),'자료_거시'!$K2661,Z2678)</f>
        <v/>
      </c>
      <c r="AA2679">
        <f>IF(AND(ISNUMBER('자료_거시'!$J2661),ISNUMBER('자료_거시'!$K2661)),IFERROR('자료_거시'!$K2661/INDEX($Z$21:$Z$4020,MATCH(EDATE('자료_거시'!$J2661,-'설정'!$B$17),'자료_거시'!$J$3:INDEX('자료_거시'!$J$3:$J$4002,$K$8),1))-1,""),"")</f>
        <v/>
      </c>
      <c r="AB2679">
        <f>IF(ISNUMBER(AA2679),'자료_거시'!$J2661,"")</f>
        <v/>
      </c>
      <c r="AC2679">
        <f>IF(ISNUMBER(AB2679),IF(AB2679&gt;$L$8,AA2679,""),"")</f>
        <v/>
      </c>
    </row>
    <row r="2680">
      <c r="S2680">
        <f>IF(ISNUMBER('자료_거시'!$E2662),'자료_거시'!$E2662,S2679)</f>
        <v/>
      </c>
      <c r="T2680">
        <f>IF(AND(ISNUMBER('자료_거시'!$D2662),ISNUMBER('자료_거시'!$E2662)),IFERROR('자료_거시'!$E2662-INDEX($S$21:$S$4020,MATCH(EDATE('자료_거시'!$D2662,-'설정'!$B$17),'자료_거시'!$D$3:INDEX('자료_거시'!$D$3:$D$4002,$K$6),1)),""),"")</f>
        <v/>
      </c>
      <c r="U2680">
        <f>IF(ISNUMBER(T2680),'자료_거시'!$D2662,"")</f>
        <v/>
      </c>
      <c r="V2680">
        <f>IF(ISNUMBER(U2680),IF(U2680&gt;$L$6,T2680,""),"")</f>
        <v/>
      </c>
      <c r="W2680">
        <f>IF(AND(ISNUMBER('자료_거시'!$G2662),ISNUMBER('자료_거시'!$H2662)),'자료_거시'!$H2662,"")</f>
        <v/>
      </c>
      <c r="X2680">
        <f>IF(ISNUMBER(W2680),'자료_거시'!$G2662,"")</f>
        <v/>
      </c>
      <c r="Y2680">
        <f>IF(ISNUMBER(X2680),IF(X2680&gt;$L$7,W2680,""),"")</f>
        <v/>
      </c>
      <c r="Z2680">
        <f>IF(ISNUMBER('자료_거시'!$K2662),'자료_거시'!$K2662,Z2679)</f>
        <v/>
      </c>
      <c r="AA2680">
        <f>IF(AND(ISNUMBER('자료_거시'!$J2662),ISNUMBER('자료_거시'!$K2662)),IFERROR('자료_거시'!$K2662/INDEX($Z$21:$Z$4020,MATCH(EDATE('자료_거시'!$J2662,-'설정'!$B$17),'자료_거시'!$J$3:INDEX('자료_거시'!$J$3:$J$4002,$K$8),1))-1,""),"")</f>
        <v/>
      </c>
      <c r="AB2680">
        <f>IF(ISNUMBER(AA2680),'자료_거시'!$J2662,"")</f>
        <v/>
      </c>
      <c r="AC2680">
        <f>IF(ISNUMBER(AB2680),IF(AB2680&gt;$L$8,AA2680,""),"")</f>
        <v/>
      </c>
    </row>
    <row r="2681">
      <c r="S2681">
        <f>IF(ISNUMBER('자료_거시'!$E2663),'자료_거시'!$E2663,S2680)</f>
        <v/>
      </c>
      <c r="T2681">
        <f>IF(AND(ISNUMBER('자료_거시'!$D2663),ISNUMBER('자료_거시'!$E2663)),IFERROR('자료_거시'!$E2663-INDEX($S$21:$S$4020,MATCH(EDATE('자료_거시'!$D2663,-'설정'!$B$17),'자료_거시'!$D$3:INDEX('자료_거시'!$D$3:$D$4002,$K$6),1)),""),"")</f>
        <v/>
      </c>
      <c r="U2681">
        <f>IF(ISNUMBER(T2681),'자료_거시'!$D2663,"")</f>
        <v/>
      </c>
      <c r="V2681">
        <f>IF(ISNUMBER(U2681),IF(U2681&gt;$L$6,T2681,""),"")</f>
        <v/>
      </c>
      <c r="W2681">
        <f>IF(AND(ISNUMBER('자료_거시'!$G2663),ISNUMBER('자료_거시'!$H2663)),'자료_거시'!$H2663,"")</f>
        <v/>
      </c>
      <c r="X2681">
        <f>IF(ISNUMBER(W2681),'자료_거시'!$G2663,"")</f>
        <v/>
      </c>
      <c r="Y2681">
        <f>IF(ISNUMBER(X2681),IF(X2681&gt;$L$7,W2681,""),"")</f>
        <v/>
      </c>
      <c r="Z2681">
        <f>IF(ISNUMBER('자료_거시'!$K2663),'자료_거시'!$K2663,Z2680)</f>
        <v/>
      </c>
      <c r="AA2681">
        <f>IF(AND(ISNUMBER('자료_거시'!$J2663),ISNUMBER('자료_거시'!$K2663)),IFERROR('자료_거시'!$K2663/INDEX($Z$21:$Z$4020,MATCH(EDATE('자료_거시'!$J2663,-'설정'!$B$17),'자료_거시'!$J$3:INDEX('자료_거시'!$J$3:$J$4002,$K$8),1))-1,""),"")</f>
        <v/>
      </c>
      <c r="AB2681">
        <f>IF(ISNUMBER(AA2681),'자료_거시'!$J2663,"")</f>
        <v/>
      </c>
      <c r="AC2681">
        <f>IF(ISNUMBER(AB2681),IF(AB2681&gt;$L$8,AA2681,""),"")</f>
        <v/>
      </c>
    </row>
    <row r="2682">
      <c r="S2682">
        <f>IF(ISNUMBER('자료_거시'!$E2664),'자료_거시'!$E2664,S2681)</f>
        <v/>
      </c>
      <c r="T2682">
        <f>IF(AND(ISNUMBER('자료_거시'!$D2664),ISNUMBER('자료_거시'!$E2664)),IFERROR('자료_거시'!$E2664-INDEX($S$21:$S$4020,MATCH(EDATE('자료_거시'!$D2664,-'설정'!$B$17),'자료_거시'!$D$3:INDEX('자료_거시'!$D$3:$D$4002,$K$6),1)),""),"")</f>
        <v/>
      </c>
      <c r="U2682">
        <f>IF(ISNUMBER(T2682),'자료_거시'!$D2664,"")</f>
        <v/>
      </c>
      <c r="V2682">
        <f>IF(ISNUMBER(U2682),IF(U2682&gt;$L$6,T2682,""),"")</f>
        <v/>
      </c>
      <c r="W2682">
        <f>IF(AND(ISNUMBER('자료_거시'!$G2664),ISNUMBER('자료_거시'!$H2664)),'자료_거시'!$H2664,"")</f>
        <v/>
      </c>
      <c r="X2682">
        <f>IF(ISNUMBER(W2682),'자료_거시'!$G2664,"")</f>
        <v/>
      </c>
      <c r="Y2682">
        <f>IF(ISNUMBER(X2682),IF(X2682&gt;$L$7,W2682,""),"")</f>
        <v/>
      </c>
      <c r="Z2682">
        <f>IF(ISNUMBER('자료_거시'!$K2664),'자료_거시'!$K2664,Z2681)</f>
        <v/>
      </c>
      <c r="AA2682">
        <f>IF(AND(ISNUMBER('자료_거시'!$J2664),ISNUMBER('자료_거시'!$K2664)),IFERROR('자료_거시'!$K2664/INDEX($Z$21:$Z$4020,MATCH(EDATE('자료_거시'!$J2664,-'설정'!$B$17),'자료_거시'!$J$3:INDEX('자료_거시'!$J$3:$J$4002,$K$8),1))-1,""),"")</f>
        <v/>
      </c>
      <c r="AB2682">
        <f>IF(ISNUMBER(AA2682),'자료_거시'!$J2664,"")</f>
        <v/>
      </c>
      <c r="AC2682">
        <f>IF(ISNUMBER(AB2682),IF(AB2682&gt;$L$8,AA2682,""),"")</f>
        <v/>
      </c>
    </row>
    <row r="2683">
      <c r="S2683">
        <f>IF(ISNUMBER('자료_거시'!$E2665),'자료_거시'!$E2665,S2682)</f>
        <v/>
      </c>
      <c r="T2683">
        <f>IF(AND(ISNUMBER('자료_거시'!$D2665),ISNUMBER('자료_거시'!$E2665)),IFERROR('자료_거시'!$E2665-INDEX($S$21:$S$4020,MATCH(EDATE('자료_거시'!$D2665,-'설정'!$B$17),'자료_거시'!$D$3:INDEX('자료_거시'!$D$3:$D$4002,$K$6),1)),""),"")</f>
        <v/>
      </c>
      <c r="U2683">
        <f>IF(ISNUMBER(T2683),'자료_거시'!$D2665,"")</f>
        <v/>
      </c>
      <c r="V2683">
        <f>IF(ISNUMBER(U2683),IF(U2683&gt;$L$6,T2683,""),"")</f>
        <v/>
      </c>
      <c r="W2683">
        <f>IF(AND(ISNUMBER('자료_거시'!$G2665),ISNUMBER('자료_거시'!$H2665)),'자료_거시'!$H2665,"")</f>
        <v/>
      </c>
      <c r="X2683">
        <f>IF(ISNUMBER(W2683),'자료_거시'!$G2665,"")</f>
        <v/>
      </c>
      <c r="Y2683">
        <f>IF(ISNUMBER(X2683),IF(X2683&gt;$L$7,W2683,""),"")</f>
        <v/>
      </c>
      <c r="Z2683">
        <f>IF(ISNUMBER('자료_거시'!$K2665),'자료_거시'!$K2665,Z2682)</f>
        <v/>
      </c>
      <c r="AA2683">
        <f>IF(AND(ISNUMBER('자료_거시'!$J2665),ISNUMBER('자료_거시'!$K2665)),IFERROR('자료_거시'!$K2665/INDEX($Z$21:$Z$4020,MATCH(EDATE('자료_거시'!$J2665,-'설정'!$B$17),'자료_거시'!$J$3:INDEX('자료_거시'!$J$3:$J$4002,$K$8),1))-1,""),"")</f>
        <v/>
      </c>
      <c r="AB2683">
        <f>IF(ISNUMBER(AA2683),'자료_거시'!$J2665,"")</f>
        <v/>
      </c>
      <c r="AC2683">
        <f>IF(ISNUMBER(AB2683),IF(AB2683&gt;$L$8,AA2683,""),"")</f>
        <v/>
      </c>
    </row>
    <row r="2684">
      <c r="S2684">
        <f>IF(ISNUMBER('자료_거시'!$E2666),'자료_거시'!$E2666,S2683)</f>
        <v/>
      </c>
      <c r="T2684">
        <f>IF(AND(ISNUMBER('자료_거시'!$D2666),ISNUMBER('자료_거시'!$E2666)),IFERROR('자료_거시'!$E2666-INDEX($S$21:$S$4020,MATCH(EDATE('자료_거시'!$D2666,-'설정'!$B$17),'자료_거시'!$D$3:INDEX('자료_거시'!$D$3:$D$4002,$K$6),1)),""),"")</f>
        <v/>
      </c>
      <c r="U2684">
        <f>IF(ISNUMBER(T2684),'자료_거시'!$D2666,"")</f>
        <v/>
      </c>
      <c r="V2684">
        <f>IF(ISNUMBER(U2684),IF(U2684&gt;$L$6,T2684,""),"")</f>
        <v/>
      </c>
      <c r="W2684">
        <f>IF(AND(ISNUMBER('자료_거시'!$G2666),ISNUMBER('자료_거시'!$H2666)),'자료_거시'!$H2666,"")</f>
        <v/>
      </c>
      <c r="X2684">
        <f>IF(ISNUMBER(W2684),'자료_거시'!$G2666,"")</f>
        <v/>
      </c>
      <c r="Y2684">
        <f>IF(ISNUMBER(X2684),IF(X2684&gt;$L$7,W2684,""),"")</f>
        <v/>
      </c>
      <c r="Z2684">
        <f>IF(ISNUMBER('자료_거시'!$K2666),'자료_거시'!$K2666,Z2683)</f>
        <v/>
      </c>
      <c r="AA2684">
        <f>IF(AND(ISNUMBER('자료_거시'!$J2666),ISNUMBER('자료_거시'!$K2666)),IFERROR('자료_거시'!$K2666/INDEX($Z$21:$Z$4020,MATCH(EDATE('자료_거시'!$J2666,-'설정'!$B$17),'자료_거시'!$J$3:INDEX('자료_거시'!$J$3:$J$4002,$K$8),1))-1,""),"")</f>
        <v/>
      </c>
      <c r="AB2684">
        <f>IF(ISNUMBER(AA2684),'자료_거시'!$J2666,"")</f>
        <v/>
      </c>
      <c r="AC2684">
        <f>IF(ISNUMBER(AB2684),IF(AB2684&gt;$L$8,AA2684,""),"")</f>
        <v/>
      </c>
    </row>
    <row r="2685">
      <c r="S2685">
        <f>IF(ISNUMBER('자료_거시'!$E2667),'자료_거시'!$E2667,S2684)</f>
        <v/>
      </c>
      <c r="T2685">
        <f>IF(AND(ISNUMBER('자료_거시'!$D2667),ISNUMBER('자료_거시'!$E2667)),IFERROR('자료_거시'!$E2667-INDEX($S$21:$S$4020,MATCH(EDATE('자료_거시'!$D2667,-'설정'!$B$17),'자료_거시'!$D$3:INDEX('자료_거시'!$D$3:$D$4002,$K$6),1)),""),"")</f>
        <v/>
      </c>
      <c r="U2685">
        <f>IF(ISNUMBER(T2685),'자료_거시'!$D2667,"")</f>
        <v/>
      </c>
      <c r="V2685">
        <f>IF(ISNUMBER(U2685),IF(U2685&gt;$L$6,T2685,""),"")</f>
        <v/>
      </c>
      <c r="W2685">
        <f>IF(AND(ISNUMBER('자료_거시'!$G2667),ISNUMBER('자료_거시'!$H2667)),'자료_거시'!$H2667,"")</f>
        <v/>
      </c>
      <c r="X2685">
        <f>IF(ISNUMBER(W2685),'자료_거시'!$G2667,"")</f>
        <v/>
      </c>
      <c r="Y2685">
        <f>IF(ISNUMBER(X2685),IF(X2685&gt;$L$7,W2685,""),"")</f>
        <v/>
      </c>
      <c r="Z2685">
        <f>IF(ISNUMBER('자료_거시'!$K2667),'자료_거시'!$K2667,Z2684)</f>
        <v/>
      </c>
      <c r="AA2685">
        <f>IF(AND(ISNUMBER('자료_거시'!$J2667),ISNUMBER('자료_거시'!$K2667)),IFERROR('자료_거시'!$K2667/INDEX($Z$21:$Z$4020,MATCH(EDATE('자료_거시'!$J2667,-'설정'!$B$17),'자료_거시'!$J$3:INDEX('자료_거시'!$J$3:$J$4002,$K$8),1))-1,""),"")</f>
        <v/>
      </c>
      <c r="AB2685">
        <f>IF(ISNUMBER(AA2685),'자료_거시'!$J2667,"")</f>
        <v/>
      </c>
      <c r="AC2685">
        <f>IF(ISNUMBER(AB2685),IF(AB2685&gt;$L$8,AA2685,""),"")</f>
        <v/>
      </c>
    </row>
    <row r="2686">
      <c r="S2686">
        <f>IF(ISNUMBER('자료_거시'!$E2668),'자료_거시'!$E2668,S2685)</f>
        <v/>
      </c>
      <c r="T2686">
        <f>IF(AND(ISNUMBER('자료_거시'!$D2668),ISNUMBER('자료_거시'!$E2668)),IFERROR('자료_거시'!$E2668-INDEX($S$21:$S$4020,MATCH(EDATE('자료_거시'!$D2668,-'설정'!$B$17),'자료_거시'!$D$3:INDEX('자료_거시'!$D$3:$D$4002,$K$6),1)),""),"")</f>
        <v/>
      </c>
      <c r="U2686">
        <f>IF(ISNUMBER(T2686),'자료_거시'!$D2668,"")</f>
        <v/>
      </c>
      <c r="V2686">
        <f>IF(ISNUMBER(U2686),IF(U2686&gt;$L$6,T2686,""),"")</f>
        <v/>
      </c>
      <c r="W2686">
        <f>IF(AND(ISNUMBER('자료_거시'!$G2668),ISNUMBER('자료_거시'!$H2668)),'자료_거시'!$H2668,"")</f>
        <v/>
      </c>
      <c r="X2686">
        <f>IF(ISNUMBER(W2686),'자료_거시'!$G2668,"")</f>
        <v/>
      </c>
      <c r="Y2686">
        <f>IF(ISNUMBER(X2686),IF(X2686&gt;$L$7,W2686,""),"")</f>
        <v/>
      </c>
      <c r="Z2686">
        <f>IF(ISNUMBER('자료_거시'!$K2668),'자료_거시'!$K2668,Z2685)</f>
        <v/>
      </c>
      <c r="AA2686">
        <f>IF(AND(ISNUMBER('자료_거시'!$J2668),ISNUMBER('자료_거시'!$K2668)),IFERROR('자료_거시'!$K2668/INDEX($Z$21:$Z$4020,MATCH(EDATE('자료_거시'!$J2668,-'설정'!$B$17),'자료_거시'!$J$3:INDEX('자료_거시'!$J$3:$J$4002,$K$8),1))-1,""),"")</f>
        <v/>
      </c>
      <c r="AB2686">
        <f>IF(ISNUMBER(AA2686),'자료_거시'!$J2668,"")</f>
        <v/>
      </c>
      <c r="AC2686">
        <f>IF(ISNUMBER(AB2686),IF(AB2686&gt;$L$8,AA2686,""),"")</f>
        <v/>
      </c>
    </row>
    <row r="2687">
      <c r="S2687">
        <f>IF(ISNUMBER('자료_거시'!$E2669),'자료_거시'!$E2669,S2686)</f>
        <v/>
      </c>
      <c r="T2687">
        <f>IF(AND(ISNUMBER('자료_거시'!$D2669),ISNUMBER('자료_거시'!$E2669)),IFERROR('자료_거시'!$E2669-INDEX($S$21:$S$4020,MATCH(EDATE('자료_거시'!$D2669,-'설정'!$B$17),'자료_거시'!$D$3:INDEX('자료_거시'!$D$3:$D$4002,$K$6),1)),""),"")</f>
        <v/>
      </c>
      <c r="U2687">
        <f>IF(ISNUMBER(T2687),'자료_거시'!$D2669,"")</f>
        <v/>
      </c>
      <c r="V2687">
        <f>IF(ISNUMBER(U2687),IF(U2687&gt;$L$6,T2687,""),"")</f>
        <v/>
      </c>
      <c r="W2687">
        <f>IF(AND(ISNUMBER('자료_거시'!$G2669),ISNUMBER('자료_거시'!$H2669)),'자료_거시'!$H2669,"")</f>
        <v/>
      </c>
      <c r="X2687">
        <f>IF(ISNUMBER(W2687),'자료_거시'!$G2669,"")</f>
        <v/>
      </c>
      <c r="Y2687">
        <f>IF(ISNUMBER(X2687),IF(X2687&gt;$L$7,W2687,""),"")</f>
        <v/>
      </c>
      <c r="Z2687">
        <f>IF(ISNUMBER('자료_거시'!$K2669),'자료_거시'!$K2669,Z2686)</f>
        <v/>
      </c>
      <c r="AA2687">
        <f>IF(AND(ISNUMBER('자료_거시'!$J2669),ISNUMBER('자료_거시'!$K2669)),IFERROR('자료_거시'!$K2669/INDEX($Z$21:$Z$4020,MATCH(EDATE('자료_거시'!$J2669,-'설정'!$B$17),'자료_거시'!$J$3:INDEX('자료_거시'!$J$3:$J$4002,$K$8),1))-1,""),"")</f>
        <v/>
      </c>
      <c r="AB2687">
        <f>IF(ISNUMBER(AA2687),'자료_거시'!$J2669,"")</f>
        <v/>
      </c>
      <c r="AC2687">
        <f>IF(ISNUMBER(AB2687),IF(AB2687&gt;$L$8,AA2687,""),"")</f>
        <v/>
      </c>
    </row>
    <row r="2688">
      <c r="S2688">
        <f>IF(ISNUMBER('자료_거시'!$E2670),'자료_거시'!$E2670,S2687)</f>
        <v/>
      </c>
      <c r="T2688">
        <f>IF(AND(ISNUMBER('자료_거시'!$D2670),ISNUMBER('자료_거시'!$E2670)),IFERROR('자료_거시'!$E2670-INDEX($S$21:$S$4020,MATCH(EDATE('자료_거시'!$D2670,-'설정'!$B$17),'자료_거시'!$D$3:INDEX('자료_거시'!$D$3:$D$4002,$K$6),1)),""),"")</f>
        <v/>
      </c>
      <c r="U2688">
        <f>IF(ISNUMBER(T2688),'자료_거시'!$D2670,"")</f>
        <v/>
      </c>
      <c r="V2688">
        <f>IF(ISNUMBER(U2688),IF(U2688&gt;$L$6,T2688,""),"")</f>
        <v/>
      </c>
      <c r="W2688">
        <f>IF(AND(ISNUMBER('자료_거시'!$G2670),ISNUMBER('자료_거시'!$H2670)),'자료_거시'!$H2670,"")</f>
        <v/>
      </c>
      <c r="X2688">
        <f>IF(ISNUMBER(W2688),'자료_거시'!$G2670,"")</f>
        <v/>
      </c>
      <c r="Y2688">
        <f>IF(ISNUMBER(X2688),IF(X2688&gt;$L$7,W2688,""),"")</f>
        <v/>
      </c>
      <c r="Z2688">
        <f>IF(ISNUMBER('자료_거시'!$K2670),'자료_거시'!$K2670,Z2687)</f>
        <v/>
      </c>
      <c r="AA2688">
        <f>IF(AND(ISNUMBER('자료_거시'!$J2670),ISNUMBER('자료_거시'!$K2670)),IFERROR('자료_거시'!$K2670/INDEX($Z$21:$Z$4020,MATCH(EDATE('자료_거시'!$J2670,-'설정'!$B$17),'자료_거시'!$J$3:INDEX('자료_거시'!$J$3:$J$4002,$K$8),1))-1,""),"")</f>
        <v/>
      </c>
      <c r="AB2688">
        <f>IF(ISNUMBER(AA2688),'자료_거시'!$J2670,"")</f>
        <v/>
      </c>
      <c r="AC2688">
        <f>IF(ISNUMBER(AB2688),IF(AB2688&gt;$L$8,AA2688,""),"")</f>
        <v/>
      </c>
    </row>
    <row r="2689">
      <c r="S2689">
        <f>IF(ISNUMBER('자료_거시'!$E2671),'자료_거시'!$E2671,S2688)</f>
        <v/>
      </c>
      <c r="T2689">
        <f>IF(AND(ISNUMBER('자료_거시'!$D2671),ISNUMBER('자료_거시'!$E2671)),IFERROR('자료_거시'!$E2671-INDEX($S$21:$S$4020,MATCH(EDATE('자료_거시'!$D2671,-'설정'!$B$17),'자료_거시'!$D$3:INDEX('자료_거시'!$D$3:$D$4002,$K$6),1)),""),"")</f>
        <v/>
      </c>
      <c r="U2689">
        <f>IF(ISNUMBER(T2689),'자료_거시'!$D2671,"")</f>
        <v/>
      </c>
      <c r="V2689">
        <f>IF(ISNUMBER(U2689),IF(U2689&gt;$L$6,T2689,""),"")</f>
        <v/>
      </c>
      <c r="W2689">
        <f>IF(AND(ISNUMBER('자료_거시'!$G2671),ISNUMBER('자료_거시'!$H2671)),'자료_거시'!$H2671,"")</f>
        <v/>
      </c>
      <c r="X2689">
        <f>IF(ISNUMBER(W2689),'자료_거시'!$G2671,"")</f>
        <v/>
      </c>
      <c r="Y2689">
        <f>IF(ISNUMBER(X2689),IF(X2689&gt;$L$7,W2689,""),"")</f>
        <v/>
      </c>
      <c r="Z2689">
        <f>IF(ISNUMBER('자료_거시'!$K2671),'자료_거시'!$K2671,Z2688)</f>
        <v/>
      </c>
      <c r="AA2689">
        <f>IF(AND(ISNUMBER('자료_거시'!$J2671),ISNUMBER('자료_거시'!$K2671)),IFERROR('자료_거시'!$K2671/INDEX($Z$21:$Z$4020,MATCH(EDATE('자료_거시'!$J2671,-'설정'!$B$17),'자료_거시'!$J$3:INDEX('자료_거시'!$J$3:$J$4002,$K$8),1))-1,""),"")</f>
        <v/>
      </c>
      <c r="AB2689">
        <f>IF(ISNUMBER(AA2689),'자료_거시'!$J2671,"")</f>
        <v/>
      </c>
      <c r="AC2689">
        <f>IF(ISNUMBER(AB2689),IF(AB2689&gt;$L$8,AA2689,""),"")</f>
        <v/>
      </c>
    </row>
    <row r="2690">
      <c r="S2690">
        <f>IF(ISNUMBER('자료_거시'!$E2672),'자료_거시'!$E2672,S2689)</f>
        <v/>
      </c>
      <c r="T2690">
        <f>IF(AND(ISNUMBER('자료_거시'!$D2672),ISNUMBER('자료_거시'!$E2672)),IFERROR('자료_거시'!$E2672-INDEX($S$21:$S$4020,MATCH(EDATE('자료_거시'!$D2672,-'설정'!$B$17),'자료_거시'!$D$3:INDEX('자료_거시'!$D$3:$D$4002,$K$6),1)),""),"")</f>
        <v/>
      </c>
      <c r="U2690">
        <f>IF(ISNUMBER(T2690),'자료_거시'!$D2672,"")</f>
        <v/>
      </c>
      <c r="V2690">
        <f>IF(ISNUMBER(U2690),IF(U2690&gt;$L$6,T2690,""),"")</f>
        <v/>
      </c>
      <c r="W2690">
        <f>IF(AND(ISNUMBER('자료_거시'!$G2672),ISNUMBER('자료_거시'!$H2672)),'자료_거시'!$H2672,"")</f>
        <v/>
      </c>
      <c r="X2690">
        <f>IF(ISNUMBER(W2690),'자료_거시'!$G2672,"")</f>
        <v/>
      </c>
      <c r="Y2690">
        <f>IF(ISNUMBER(X2690),IF(X2690&gt;$L$7,W2690,""),"")</f>
        <v/>
      </c>
      <c r="Z2690">
        <f>IF(ISNUMBER('자료_거시'!$K2672),'자료_거시'!$K2672,Z2689)</f>
        <v/>
      </c>
      <c r="AA2690">
        <f>IF(AND(ISNUMBER('자료_거시'!$J2672),ISNUMBER('자료_거시'!$K2672)),IFERROR('자료_거시'!$K2672/INDEX($Z$21:$Z$4020,MATCH(EDATE('자료_거시'!$J2672,-'설정'!$B$17),'자료_거시'!$J$3:INDEX('자료_거시'!$J$3:$J$4002,$K$8),1))-1,""),"")</f>
        <v/>
      </c>
      <c r="AB2690">
        <f>IF(ISNUMBER(AA2690),'자료_거시'!$J2672,"")</f>
        <v/>
      </c>
      <c r="AC2690">
        <f>IF(ISNUMBER(AB2690),IF(AB2690&gt;$L$8,AA2690,""),"")</f>
        <v/>
      </c>
    </row>
    <row r="2691">
      <c r="S2691">
        <f>IF(ISNUMBER('자료_거시'!$E2673),'자료_거시'!$E2673,S2690)</f>
        <v/>
      </c>
      <c r="T2691">
        <f>IF(AND(ISNUMBER('자료_거시'!$D2673),ISNUMBER('자료_거시'!$E2673)),IFERROR('자료_거시'!$E2673-INDEX($S$21:$S$4020,MATCH(EDATE('자료_거시'!$D2673,-'설정'!$B$17),'자료_거시'!$D$3:INDEX('자료_거시'!$D$3:$D$4002,$K$6),1)),""),"")</f>
        <v/>
      </c>
      <c r="U2691">
        <f>IF(ISNUMBER(T2691),'자료_거시'!$D2673,"")</f>
        <v/>
      </c>
      <c r="V2691">
        <f>IF(ISNUMBER(U2691),IF(U2691&gt;$L$6,T2691,""),"")</f>
        <v/>
      </c>
      <c r="W2691">
        <f>IF(AND(ISNUMBER('자료_거시'!$G2673),ISNUMBER('자료_거시'!$H2673)),'자료_거시'!$H2673,"")</f>
        <v/>
      </c>
      <c r="X2691">
        <f>IF(ISNUMBER(W2691),'자료_거시'!$G2673,"")</f>
        <v/>
      </c>
      <c r="Y2691">
        <f>IF(ISNUMBER(X2691),IF(X2691&gt;$L$7,W2691,""),"")</f>
        <v/>
      </c>
      <c r="Z2691">
        <f>IF(ISNUMBER('자료_거시'!$K2673),'자료_거시'!$K2673,Z2690)</f>
        <v/>
      </c>
      <c r="AA2691">
        <f>IF(AND(ISNUMBER('자료_거시'!$J2673),ISNUMBER('자료_거시'!$K2673)),IFERROR('자료_거시'!$K2673/INDEX($Z$21:$Z$4020,MATCH(EDATE('자료_거시'!$J2673,-'설정'!$B$17),'자료_거시'!$J$3:INDEX('자료_거시'!$J$3:$J$4002,$K$8),1))-1,""),"")</f>
        <v/>
      </c>
      <c r="AB2691">
        <f>IF(ISNUMBER(AA2691),'자료_거시'!$J2673,"")</f>
        <v/>
      </c>
      <c r="AC2691">
        <f>IF(ISNUMBER(AB2691),IF(AB2691&gt;$L$8,AA2691,""),"")</f>
        <v/>
      </c>
    </row>
    <row r="2692">
      <c r="S2692">
        <f>IF(ISNUMBER('자료_거시'!$E2674),'자료_거시'!$E2674,S2691)</f>
        <v/>
      </c>
      <c r="T2692">
        <f>IF(AND(ISNUMBER('자료_거시'!$D2674),ISNUMBER('자료_거시'!$E2674)),IFERROR('자료_거시'!$E2674-INDEX($S$21:$S$4020,MATCH(EDATE('자료_거시'!$D2674,-'설정'!$B$17),'자료_거시'!$D$3:INDEX('자료_거시'!$D$3:$D$4002,$K$6),1)),""),"")</f>
        <v/>
      </c>
      <c r="U2692">
        <f>IF(ISNUMBER(T2692),'자료_거시'!$D2674,"")</f>
        <v/>
      </c>
      <c r="V2692">
        <f>IF(ISNUMBER(U2692),IF(U2692&gt;$L$6,T2692,""),"")</f>
        <v/>
      </c>
      <c r="W2692">
        <f>IF(AND(ISNUMBER('자료_거시'!$G2674),ISNUMBER('자료_거시'!$H2674)),'자료_거시'!$H2674,"")</f>
        <v/>
      </c>
      <c r="X2692">
        <f>IF(ISNUMBER(W2692),'자료_거시'!$G2674,"")</f>
        <v/>
      </c>
      <c r="Y2692">
        <f>IF(ISNUMBER(X2692),IF(X2692&gt;$L$7,W2692,""),"")</f>
        <v/>
      </c>
      <c r="Z2692">
        <f>IF(ISNUMBER('자료_거시'!$K2674),'자료_거시'!$K2674,Z2691)</f>
        <v/>
      </c>
      <c r="AA2692">
        <f>IF(AND(ISNUMBER('자료_거시'!$J2674),ISNUMBER('자료_거시'!$K2674)),IFERROR('자료_거시'!$K2674/INDEX($Z$21:$Z$4020,MATCH(EDATE('자료_거시'!$J2674,-'설정'!$B$17),'자료_거시'!$J$3:INDEX('자료_거시'!$J$3:$J$4002,$K$8),1))-1,""),"")</f>
        <v/>
      </c>
      <c r="AB2692">
        <f>IF(ISNUMBER(AA2692),'자료_거시'!$J2674,"")</f>
        <v/>
      </c>
      <c r="AC2692">
        <f>IF(ISNUMBER(AB2692),IF(AB2692&gt;$L$8,AA2692,""),"")</f>
        <v/>
      </c>
    </row>
    <row r="2693">
      <c r="S2693">
        <f>IF(ISNUMBER('자료_거시'!$E2675),'자료_거시'!$E2675,S2692)</f>
        <v/>
      </c>
      <c r="T2693">
        <f>IF(AND(ISNUMBER('자료_거시'!$D2675),ISNUMBER('자료_거시'!$E2675)),IFERROR('자료_거시'!$E2675-INDEX($S$21:$S$4020,MATCH(EDATE('자료_거시'!$D2675,-'설정'!$B$17),'자료_거시'!$D$3:INDEX('자료_거시'!$D$3:$D$4002,$K$6),1)),""),"")</f>
        <v/>
      </c>
      <c r="U2693">
        <f>IF(ISNUMBER(T2693),'자료_거시'!$D2675,"")</f>
        <v/>
      </c>
      <c r="V2693">
        <f>IF(ISNUMBER(U2693),IF(U2693&gt;$L$6,T2693,""),"")</f>
        <v/>
      </c>
      <c r="W2693">
        <f>IF(AND(ISNUMBER('자료_거시'!$G2675),ISNUMBER('자료_거시'!$H2675)),'자료_거시'!$H2675,"")</f>
        <v/>
      </c>
      <c r="X2693">
        <f>IF(ISNUMBER(W2693),'자료_거시'!$G2675,"")</f>
        <v/>
      </c>
      <c r="Y2693">
        <f>IF(ISNUMBER(X2693),IF(X2693&gt;$L$7,W2693,""),"")</f>
        <v/>
      </c>
      <c r="Z2693">
        <f>IF(ISNUMBER('자료_거시'!$K2675),'자료_거시'!$K2675,Z2692)</f>
        <v/>
      </c>
      <c r="AA2693">
        <f>IF(AND(ISNUMBER('자료_거시'!$J2675),ISNUMBER('자료_거시'!$K2675)),IFERROR('자료_거시'!$K2675/INDEX($Z$21:$Z$4020,MATCH(EDATE('자료_거시'!$J2675,-'설정'!$B$17),'자료_거시'!$J$3:INDEX('자료_거시'!$J$3:$J$4002,$K$8),1))-1,""),"")</f>
        <v/>
      </c>
      <c r="AB2693">
        <f>IF(ISNUMBER(AA2693),'자료_거시'!$J2675,"")</f>
        <v/>
      </c>
      <c r="AC2693">
        <f>IF(ISNUMBER(AB2693),IF(AB2693&gt;$L$8,AA2693,""),"")</f>
        <v/>
      </c>
    </row>
    <row r="2694">
      <c r="S2694">
        <f>IF(ISNUMBER('자료_거시'!$E2676),'자료_거시'!$E2676,S2693)</f>
        <v/>
      </c>
      <c r="T2694">
        <f>IF(AND(ISNUMBER('자료_거시'!$D2676),ISNUMBER('자료_거시'!$E2676)),IFERROR('자료_거시'!$E2676-INDEX($S$21:$S$4020,MATCH(EDATE('자료_거시'!$D2676,-'설정'!$B$17),'자료_거시'!$D$3:INDEX('자료_거시'!$D$3:$D$4002,$K$6),1)),""),"")</f>
        <v/>
      </c>
      <c r="U2694">
        <f>IF(ISNUMBER(T2694),'자료_거시'!$D2676,"")</f>
        <v/>
      </c>
      <c r="V2694">
        <f>IF(ISNUMBER(U2694),IF(U2694&gt;$L$6,T2694,""),"")</f>
        <v/>
      </c>
      <c r="W2694">
        <f>IF(AND(ISNUMBER('자료_거시'!$G2676),ISNUMBER('자료_거시'!$H2676)),'자료_거시'!$H2676,"")</f>
        <v/>
      </c>
      <c r="X2694">
        <f>IF(ISNUMBER(W2694),'자료_거시'!$G2676,"")</f>
        <v/>
      </c>
      <c r="Y2694">
        <f>IF(ISNUMBER(X2694),IF(X2694&gt;$L$7,W2694,""),"")</f>
        <v/>
      </c>
      <c r="Z2694">
        <f>IF(ISNUMBER('자료_거시'!$K2676),'자료_거시'!$K2676,Z2693)</f>
        <v/>
      </c>
      <c r="AA2694">
        <f>IF(AND(ISNUMBER('자료_거시'!$J2676),ISNUMBER('자료_거시'!$K2676)),IFERROR('자료_거시'!$K2676/INDEX($Z$21:$Z$4020,MATCH(EDATE('자료_거시'!$J2676,-'설정'!$B$17),'자료_거시'!$J$3:INDEX('자료_거시'!$J$3:$J$4002,$K$8),1))-1,""),"")</f>
        <v/>
      </c>
      <c r="AB2694">
        <f>IF(ISNUMBER(AA2694),'자료_거시'!$J2676,"")</f>
        <v/>
      </c>
      <c r="AC2694">
        <f>IF(ISNUMBER(AB2694),IF(AB2694&gt;$L$8,AA2694,""),"")</f>
        <v/>
      </c>
    </row>
    <row r="2695">
      <c r="S2695">
        <f>IF(ISNUMBER('자료_거시'!$E2677),'자료_거시'!$E2677,S2694)</f>
        <v/>
      </c>
      <c r="T2695">
        <f>IF(AND(ISNUMBER('자료_거시'!$D2677),ISNUMBER('자료_거시'!$E2677)),IFERROR('자료_거시'!$E2677-INDEX($S$21:$S$4020,MATCH(EDATE('자료_거시'!$D2677,-'설정'!$B$17),'자료_거시'!$D$3:INDEX('자료_거시'!$D$3:$D$4002,$K$6),1)),""),"")</f>
        <v/>
      </c>
      <c r="U2695">
        <f>IF(ISNUMBER(T2695),'자료_거시'!$D2677,"")</f>
        <v/>
      </c>
      <c r="V2695">
        <f>IF(ISNUMBER(U2695),IF(U2695&gt;$L$6,T2695,""),"")</f>
        <v/>
      </c>
      <c r="W2695">
        <f>IF(AND(ISNUMBER('자료_거시'!$G2677),ISNUMBER('자료_거시'!$H2677)),'자료_거시'!$H2677,"")</f>
        <v/>
      </c>
      <c r="X2695">
        <f>IF(ISNUMBER(W2695),'자료_거시'!$G2677,"")</f>
        <v/>
      </c>
      <c r="Y2695">
        <f>IF(ISNUMBER(X2695),IF(X2695&gt;$L$7,W2695,""),"")</f>
        <v/>
      </c>
      <c r="Z2695">
        <f>IF(ISNUMBER('자료_거시'!$K2677),'자료_거시'!$K2677,Z2694)</f>
        <v/>
      </c>
      <c r="AA2695">
        <f>IF(AND(ISNUMBER('자료_거시'!$J2677),ISNUMBER('자료_거시'!$K2677)),IFERROR('자료_거시'!$K2677/INDEX($Z$21:$Z$4020,MATCH(EDATE('자료_거시'!$J2677,-'설정'!$B$17),'자료_거시'!$J$3:INDEX('자료_거시'!$J$3:$J$4002,$K$8),1))-1,""),"")</f>
        <v/>
      </c>
      <c r="AB2695">
        <f>IF(ISNUMBER(AA2695),'자료_거시'!$J2677,"")</f>
        <v/>
      </c>
      <c r="AC2695">
        <f>IF(ISNUMBER(AB2695),IF(AB2695&gt;$L$8,AA2695,""),"")</f>
        <v/>
      </c>
    </row>
    <row r="2696">
      <c r="S2696">
        <f>IF(ISNUMBER('자료_거시'!$E2678),'자료_거시'!$E2678,S2695)</f>
        <v/>
      </c>
      <c r="T2696">
        <f>IF(AND(ISNUMBER('자료_거시'!$D2678),ISNUMBER('자료_거시'!$E2678)),IFERROR('자료_거시'!$E2678-INDEX($S$21:$S$4020,MATCH(EDATE('자료_거시'!$D2678,-'설정'!$B$17),'자료_거시'!$D$3:INDEX('자료_거시'!$D$3:$D$4002,$K$6),1)),""),"")</f>
        <v/>
      </c>
      <c r="U2696">
        <f>IF(ISNUMBER(T2696),'자료_거시'!$D2678,"")</f>
        <v/>
      </c>
      <c r="V2696">
        <f>IF(ISNUMBER(U2696),IF(U2696&gt;$L$6,T2696,""),"")</f>
        <v/>
      </c>
      <c r="W2696">
        <f>IF(AND(ISNUMBER('자료_거시'!$G2678),ISNUMBER('자료_거시'!$H2678)),'자료_거시'!$H2678,"")</f>
        <v/>
      </c>
      <c r="X2696">
        <f>IF(ISNUMBER(W2696),'자료_거시'!$G2678,"")</f>
        <v/>
      </c>
      <c r="Y2696">
        <f>IF(ISNUMBER(X2696),IF(X2696&gt;$L$7,W2696,""),"")</f>
        <v/>
      </c>
      <c r="Z2696">
        <f>IF(ISNUMBER('자료_거시'!$K2678),'자료_거시'!$K2678,Z2695)</f>
        <v/>
      </c>
      <c r="AA2696">
        <f>IF(AND(ISNUMBER('자료_거시'!$J2678),ISNUMBER('자료_거시'!$K2678)),IFERROR('자료_거시'!$K2678/INDEX($Z$21:$Z$4020,MATCH(EDATE('자료_거시'!$J2678,-'설정'!$B$17),'자료_거시'!$J$3:INDEX('자료_거시'!$J$3:$J$4002,$K$8),1))-1,""),"")</f>
        <v/>
      </c>
      <c r="AB2696">
        <f>IF(ISNUMBER(AA2696),'자료_거시'!$J2678,"")</f>
        <v/>
      </c>
      <c r="AC2696">
        <f>IF(ISNUMBER(AB2696),IF(AB2696&gt;$L$8,AA2696,""),"")</f>
        <v/>
      </c>
    </row>
    <row r="2697">
      <c r="S2697">
        <f>IF(ISNUMBER('자료_거시'!$E2679),'자료_거시'!$E2679,S2696)</f>
        <v/>
      </c>
      <c r="T2697">
        <f>IF(AND(ISNUMBER('자료_거시'!$D2679),ISNUMBER('자료_거시'!$E2679)),IFERROR('자료_거시'!$E2679-INDEX($S$21:$S$4020,MATCH(EDATE('자료_거시'!$D2679,-'설정'!$B$17),'자료_거시'!$D$3:INDEX('자료_거시'!$D$3:$D$4002,$K$6),1)),""),"")</f>
        <v/>
      </c>
      <c r="U2697">
        <f>IF(ISNUMBER(T2697),'자료_거시'!$D2679,"")</f>
        <v/>
      </c>
      <c r="V2697">
        <f>IF(ISNUMBER(U2697),IF(U2697&gt;$L$6,T2697,""),"")</f>
        <v/>
      </c>
      <c r="W2697">
        <f>IF(AND(ISNUMBER('자료_거시'!$G2679),ISNUMBER('자료_거시'!$H2679)),'자료_거시'!$H2679,"")</f>
        <v/>
      </c>
      <c r="X2697">
        <f>IF(ISNUMBER(W2697),'자료_거시'!$G2679,"")</f>
        <v/>
      </c>
      <c r="Y2697">
        <f>IF(ISNUMBER(X2697),IF(X2697&gt;$L$7,W2697,""),"")</f>
        <v/>
      </c>
      <c r="Z2697">
        <f>IF(ISNUMBER('자료_거시'!$K2679),'자료_거시'!$K2679,Z2696)</f>
        <v/>
      </c>
      <c r="AA2697">
        <f>IF(AND(ISNUMBER('자료_거시'!$J2679),ISNUMBER('자료_거시'!$K2679)),IFERROR('자료_거시'!$K2679/INDEX($Z$21:$Z$4020,MATCH(EDATE('자료_거시'!$J2679,-'설정'!$B$17),'자료_거시'!$J$3:INDEX('자료_거시'!$J$3:$J$4002,$K$8),1))-1,""),"")</f>
        <v/>
      </c>
      <c r="AB2697">
        <f>IF(ISNUMBER(AA2697),'자료_거시'!$J2679,"")</f>
        <v/>
      </c>
      <c r="AC2697">
        <f>IF(ISNUMBER(AB2697),IF(AB2697&gt;$L$8,AA2697,""),"")</f>
        <v/>
      </c>
    </row>
    <row r="2698">
      <c r="S2698">
        <f>IF(ISNUMBER('자료_거시'!$E2680),'자료_거시'!$E2680,S2697)</f>
        <v/>
      </c>
      <c r="T2698">
        <f>IF(AND(ISNUMBER('자료_거시'!$D2680),ISNUMBER('자료_거시'!$E2680)),IFERROR('자료_거시'!$E2680-INDEX($S$21:$S$4020,MATCH(EDATE('자료_거시'!$D2680,-'설정'!$B$17),'자료_거시'!$D$3:INDEX('자료_거시'!$D$3:$D$4002,$K$6),1)),""),"")</f>
        <v/>
      </c>
      <c r="U2698">
        <f>IF(ISNUMBER(T2698),'자료_거시'!$D2680,"")</f>
        <v/>
      </c>
      <c r="V2698">
        <f>IF(ISNUMBER(U2698),IF(U2698&gt;$L$6,T2698,""),"")</f>
        <v/>
      </c>
      <c r="W2698">
        <f>IF(AND(ISNUMBER('자료_거시'!$G2680),ISNUMBER('자료_거시'!$H2680)),'자료_거시'!$H2680,"")</f>
        <v/>
      </c>
      <c r="X2698">
        <f>IF(ISNUMBER(W2698),'자료_거시'!$G2680,"")</f>
        <v/>
      </c>
      <c r="Y2698">
        <f>IF(ISNUMBER(X2698),IF(X2698&gt;$L$7,W2698,""),"")</f>
        <v/>
      </c>
      <c r="Z2698">
        <f>IF(ISNUMBER('자료_거시'!$K2680),'자료_거시'!$K2680,Z2697)</f>
        <v/>
      </c>
      <c r="AA2698">
        <f>IF(AND(ISNUMBER('자료_거시'!$J2680),ISNUMBER('자료_거시'!$K2680)),IFERROR('자료_거시'!$K2680/INDEX($Z$21:$Z$4020,MATCH(EDATE('자료_거시'!$J2680,-'설정'!$B$17),'자료_거시'!$J$3:INDEX('자료_거시'!$J$3:$J$4002,$K$8),1))-1,""),"")</f>
        <v/>
      </c>
      <c r="AB2698">
        <f>IF(ISNUMBER(AA2698),'자료_거시'!$J2680,"")</f>
        <v/>
      </c>
      <c r="AC2698">
        <f>IF(ISNUMBER(AB2698),IF(AB2698&gt;$L$8,AA2698,""),"")</f>
        <v/>
      </c>
    </row>
    <row r="2699">
      <c r="S2699">
        <f>IF(ISNUMBER('자료_거시'!$E2681),'자료_거시'!$E2681,S2698)</f>
        <v/>
      </c>
      <c r="T2699">
        <f>IF(AND(ISNUMBER('자료_거시'!$D2681),ISNUMBER('자료_거시'!$E2681)),IFERROR('자료_거시'!$E2681-INDEX($S$21:$S$4020,MATCH(EDATE('자료_거시'!$D2681,-'설정'!$B$17),'자료_거시'!$D$3:INDEX('자료_거시'!$D$3:$D$4002,$K$6),1)),""),"")</f>
        <v/>
      </c>
      <c r="U2699">
        <f>IF(ISNUMBER(T2699),'자료_거시'!$D2681,"")</f>
        <v/>
      </c>
      <c r="V2699">
        <f>IF(ISNUMBER(U2699),IF(U2699&gt;$L$6,T2699,""),"")</f>
        <v/>
      </c>
      <c r="W2699">
        <f>IF(AND(ISNUMBER('자료_거시'!$G2681),ISNUMBER('자료_거시'!$H2681)),'자료_거시'!$H2681,"")</f>
        <v/>
      </c>
      <c r="X2699">
        <f>IF(ISNUMBER(W2699),'자료_거시'!$G2681,"")</f>
        <v/>
      </c>
      <c r="Y2699">
        <f>IF(ISNUMBER(X2699),IF(X2699&gt;$L$7,W2699,""),"")</f>
        <v/>
      </c>
      <c r="Z2699">
        <f>IF(ISNUMBER('자료_거시'!$K2681),'자료_거시'!$K2681,Z2698)</f>
        <v/>
      </c>
      <c r="AA2699">
        <f>IF(AND(ISNUMBER('자료_거시'!$J2681),ISNUMBER('자료_거시'!$K2681)),IFERROR('자료_거시'!$K2681/INDEX($Z$21:$Z$4020,MATCH(EDATE('자료_거시'!$J2681,-'설정'!$B$17),'자료_거시'!$J$3:INDEX('자료_거시'!$J$3:$J$4002,$K$8),1))-1,""),"")</f>
        <v/>
      </c>
      <c r="AB2699">
        <f>IF(ISNUMBER(AA2699),'자료_거시'!$J2681,"")</f>
        <v/>
      </c>
      <c r="AC2699">
        <f>IF(ISNUMBER(AB2699),IF(AB2699&gt;$L$8,AA2699,""),"")</f>
        <v/>
      </c>
    </row>
    <row r="2700">
      <c r="S2700">
        <f>IF(ISNUMBER('자료_거시'!$E2682),'자료_거시'!$E2682,S2699)</f>
        <v/>
      </c>
      <c r="T2700">
        <f>IF(AND(ISNUMBER('자료_거시'!$D2682),ISNUMBER('자료_거시'!$E2682)),IFERROR('자료_거시'!$E2682-INDEX($S$21:$S$4020,MATCH(EDATE('자료_거시'!$D2682,-'설정'!$B$17),'자료_거시'!$D$3:INDEX('자료_거시'!$D$3:$D$4002,$K$6),1)),""),"")</f>
        <v/>
      </c>
      <c r="U2700">
        <f>IF(ISNUMBER(T2700),'자료_거시'!$D2682,"")</f>
        <v/>
      </c>
      <c r="V2700">
        <f>IF(ISNUMBER(U2700),IF(U2700&gt;$L$6,T2700,""),"")</f>
        <v/>
      </c>
      <c r="W2700">
        <f>IF(AND(ISNUMBER('자료_거시'!$G2682),ISNUMBER('자료_거시'!$H2682)),'자료_거시'!$H2682,"")</f>
        <v/>
      </c>
      <c r="X2700">
        <f>IF(ISNUMBER(W2700),'자료_거시'!$G2682,"")</f>
        <v/>
      </c>
      <c r="Y2700">
        <f>IF(ISNUMBER(X2700),IF(X2700&gt;$L$7,W2700,""),"")</f>
        <v/>
      </c>
      <c r="Z2700">
        <f>IF(ISNUMBER('자료_거시'!$K2682),'자료_거시'!$K2682,Z2699)</f>
        <v/>
      </c>
      <c r="AA2700">
        <f>IF(AND(ISNUMBER('자료_거시'!$J2682),ISNUMBER('자료_거시'!$K2682)),IFERROR('자료_거시'!$K2682/INDEX($Z$21:$Z$4020,MATCH(EDATE('자료_거시'!$J2682,-'설정'!$B$17),'자료_거시'!$J$3:INDEX('자료_거시'!$J$3:$J$4002,$K$8),1))-1,""),"")</f>
        <v/>
      </c>
      <c r="AB2700">
        <f>IF(ISNUMBER(AA2700),'자료_거시'!$J2682,"")</f>
        <v/>
      </c>
      <c r="AC2700">
        <f>IF(ISNUMBER(AB2700),IF(AB2700&gt;$L$8,AA2700,""),"")</f>
        <v/>
      </c>
    </row>
    <row r="2701">
      <c r="S2701">
        <f>IF(ISNUMBER('자료_거시'!$E2683),'자료_거시'!$E2683,S2700)</f>
        <v/>
      </c>
      <c r="T2701">
        <f>IF(AND(ISNUMBER('자료_거시'!$D2683),ISNUMBER('자료_거시'!$E2683)),IFERROR('자료_거시'!$E2683-INDEX($S$21:$S$4020,MATCH(EDATE('자료_거시'!$D2683,-'설정'!$B$17),'자료_거시'!$D$3:INDEX('자료_거시'!$D$3:$D$4002,$K$6),1)),""),"")</f>
        <v/>
      </c>
      <c r="U2701">
        <f>IF(ISNUMBER(T2701),'자료_거시'!$D2683,"")</f>
        <v/>
      </c>
      <c r="V2701">
        <f>IF(ISNUMBER(U2701),IF(U2701&gt;$L$6,T2701,""),"")</f>
        <v/>
      </c>
      <c r="W2701">
        <f>IF(AND(ISNUMBER('자료_거시'!$G2683),ISNUMBER('자료_거시'!$H2683)),'자료_거시'!$H2683,"")</f>
        <v/>
      </c>
      <c r="X2701">
        <f>IF(ISNUMBER(W2701),'자료_거시'!$G2683,"")</f>
        <v/>
      </c>
      <c r="Y2701">
        <f>IF(ISNUMBER(X2701),IF(X2701&gt;$L$7,W2701,""),"")</f>
        <v/>
      </c>
      <c r="Z2701">
        <f>IF(ISNUMBER('자료_거시'!$K2683),'자료_거시'!$K2683,Z2700)</f>
        <v/>
      </c>
      <c r="AA2701">
        <f>IF(AND(ISNUMBER('자료_거시'!$J2683),ISNUMBER('자료_거시'!$K2683)),IFERROR('자료_거시'!$K2683/INDEX($Z$21:$Z$4020,MATCH(EDATE('자료_거시'!$J2683,-'설정'!$B$17),'자료_거시'!$J$3:INDEX('자료_거시'!$J$3:$J$4002,$K$8),1))-1,""),"")</f>
        <v/>
      </c>
      <c r="AB2701">
        <f>IF(ISNUMBER(AA2701),'자료_거시'!$J2683,"")</f>
        <v/>
      </c>
      <c r="AC2701">
        <f>IF(ISNUMBER(AB2701),IF(AB2701&gt;$L$8,AA2701,""),"")</f>
        <v/>
      </c>
    </row>
    <row r="2702">
      <c r="S2702">
        <f>IF(ISNUMBER('자료_거시'!$E2684),'자료_거시'!$E2684,S2701)</f>
        <v/>
      </c>
      <c r="T2702">
        <f>IF(AND(ISNUMBER('자료_거시'!$D2684),ISNUMBER('자료_거시'!$E2684)),IFERROR('자료_거시'!$E2684-INDEX($S$21:$S$4020,MATCH(EDATE('자료_거시'!$D2684,-'설정'!$B$17),'자료_거시'!$D$3:INDEX('자료_거시'!$D$3:$D$4002,$K$6),1)),""),"")</f>
        <v/>
      </c>
      <c r="U2702">
        <f>IF(ISNUMBER(T2702),'자료_거시'!$D2684,"")</f>
        <v/>
      </c>
      <c r="V2702">
        <f>IF(ISNUMBER(U2702),IF(U2702&gt;$L$6,T2702,""),"")</f>
        <v/>
      </c>
      <c r="W2702">
        <f>IF(AND(ISNUMBER('자료_거시'!$G2684),ISNUMBER('자료_거시'!$H2684)),'자료_거시'!$H2684,"")</f>
        <v/>
      </c>
      <c r="X2702">
        <f>IF(ISNUMBER(W2702),'자료_거시'!$G2684,"")</f>
        <v/>
      </c>
      <c r="Y2702">
        <f>IF(ISNUMBER(X2702),IF(X2702&gt;$L$7,W2702,""),"")</f>
        <v/>
      </c>
      <c r="Z2702">
        <f>IF(ISNUMBER('자료_거시'!$K2684),'자료_거시'!$K2684,Z2701)</f>
        <v/>
      </c>
      <c r="AA2702">
        <f>IF(AND(ISNUMBER('자료_거시'!$J2684),ISNUMBER('자료_거시'!$K2684)),IFERROR('자료_거시'!$K2684/INDEX($Z$21:$Z$4020,MATCH(EDATE('자료_거시'!$J2684,-'설정'!$B$17),'자료_거시'!$J$3:INDEX('자료_거시'!$J$3:$J$4002,$K$8),1))-1,""),"")</f>
        <v/>
      </c>
      <c r="AB2702">
        <f>IF(ISNUMBER(AA2702),'자료_거시'!$J2684,"")</f>
        <v/>
      </c>
      <c r="AC2702">
        <f>IF(ISNUMBER(AB2702),IF(AB2702&gt;$L$8,AA2702,""),"")</f>
        <v/>
      </c>
    </row>
    <row r="2703">
      <c r="S2703">
        <f>IF(ISNUMBER('자료_거시'!$E2685),'자료_거시'!$E2685,S2702)</f>
        <v/>
      </c>
      <c r="T2703">
        <f>IF(AND(ISNUMBER('자료_거시'!$D2685),ISNUMBER('자료_거시'!$E2685)),IFERROR('자료_거시'!$E2685-INDEX($S$21:$S$4020,MATCH(EDATE('자료_거시'!$D2685,-'설정'!$B$17),'자료_거시'!$D$3:INDEX('자료_거시'!$D$3:$D$4002,$K$6),1)),""),"")</f>
        <v/>
      </c>
      <c r="U2703">
        <f>IF(ISNUMBER(T2703),'자료_거시'!$D2685,"")</f>
        <v/>
      </c>
      <c r="V2703">
        <f>IF(ISNUMBER(U2703),IF(U2703&gt;$L$6,T2703,""),"")</f>
        <v/>
      </c>
      <c r="W2703">
        <f>IF(AND(ISNUMBER('자료_거시'!$G2685),ISNUMBER('자료_거시'!$H2685)),'자료_거시'!$H2685,"")</f>
        <v/>
      </c>
      <c r="X2703">
        <f>IF(ISNUMBER(W2703),'자료_거시'!$G2685,"")</f>
        <v/>
      </c>
      <c r="Y2703">
        <f>IF(ISNUMBER(X2703),IF(X2703&gt;$L$7,W2703,""),"")</f>
        <v/>
      </c>
      <c r="Z2703">
        <f>IF(ISNUMBER('자료_거시'!$K2685),'자료_거시'!$K2685,Z2702)</f>
        <v/>
      </c>
      <c r="AA2703">
        <f>IF(AND(ISNUMBER('자료_거시'!$J2685),ISNUMBER('자료_거시'!$K2685)),IFERROR('자료_거시'!$K2685/INDEX($Z$21:$Z$4020,MATCH(EDATE('자료_거시'!$J2685,-'설정'!$B$17),'자료_거시'!$J$3:INDEX('자료_거시'!$J$3:$J$4002,$K$8),1))-1,""),"")</f>
        <v/>
      </c>
      <c r="AB2703">
        <f>IF(ISNUMBER(AA2703),'자료_거시'!$J2685,"")</f>
        <v/>
      </c>
      <c r="AC2703">
        <f>IF(ISNUMBER(AB2703),IF(AB2703&gt;$L$8,AA2703,""),"")</f>
        <v/>
      </c>
    </row>
    <row r="2704">
      <c r="S2704">
        <f>IF(ISNUMBER('자료_거시'!$E2686),'자료_거시'!$E2686,S2703)</f>
        <v/>
      </c>
      <c r="T2704">
        <f>IF(AND(ISNUMBER('자료_거시'!$D2686),ISNUMBER('자료_거시'!$E2686)),IFERROR('자료_거시'!$E2686-INDEX($S$21:$S$4020,MATCH(EDATE('자료_거시'!$D2686,-'설정'!$B$17),'자료_거시'!$D$3:INDEX('자료_거시'!$D$3:$D$4002,$K$6),1)),""),"")</f>
        <v/>
      </c>
      <c r="U2704">
        <f>IF(ISNUMBER(T2704),'자료_거시'!$D2686,"")</f>
        <v/>
      </c>
      <c r="V2704">
        <f>IF(ISNUMBER(U2704),IF(U2704&gt;$L$6,T2704,""),"")</f>
        <v/>
      </c>
      <c r="W2704">
        <f>IF(AND(ISNUMBER('자료_거시'!$G2686),ISNUMBER('자료_거시'!$H2686)),'자료_거시'!$H2686,"")</f>
        <v/>
      </c>
      <c r="X2704">
        <f>IF(ISNUMBER(W2704),'자료_거시'!$G2686,"")</f>
        <v/>
      </c>
      <c r="Y2704">
        <f>IF(ISNUMBER(X2704),IF(X2704&gt;$L$7,W2704,""),"")</f>
        <v/>
      </c>
      <c r="Z2704">
        <f>IF(ISNUMBER('자료_거시'!$K2686),'자료_거시'!$K2686,Z2703)</f>
        <v/>
      </c>
      <c r="AA2704">
        <f>IF(AND(ISNUMBER('자료_거시'!$J2686),ISNUMBER('자료_거시'!$K2686)),IFERROR('자료_거시'!$K2686/INDEX($Z$21:$Z$4020,MATCH(EDATE('자료_거시'!$J2686,-'설정'!$B$17),'자료_거시'!$J$3:INDEX('자료_거시'!$J$3:$J$4002,$K$8),1))-1,""),"")</f>
        <v/>
      </c>
      <c r="AB2704">
        <f>IF(ISNUMBER(AA2704),'자료_거시'!$J2686,"")</f>
        <v/>
      </c>
      <c r="AC2704">
        <f>IF(ISNUMBER(AB2704),IF(AB2704&gt;$L$8,AA2704,""),"")</f>
        <v/>
      </c>
    </row>
    <row r="2705">
      <c r="S2705">
        <f>IF(ISNUMBER('자료_거시'!$E2687),'자료_거시'!$E2687,S2704)</f>
        <v/>
      </c>
      <c r="T2705">
        <f>IF(AND(ISNUMBER('자료_거시'!$D2687),ISNUMBER('자료_거시'!$E2687)),IFERROR('자료_거시'!$E2687-INDEX($S$21:$S$4020,MATCH(EDATE('자료_거시'!$D2687,-'설정'!$B$17),'자료_거시'!$D$3:INDEX('자료_거시'!$D$3:$D$4002,$K$6),1)),""),"")</f>
        <v/>
      </c>
      <c r="U2705">
        <f>IF(ISNUMBER(T2705),'자료_거시'!$D2687,"")</f>
        <v/>
      </c>
      <c r="V2705">
        <f>IF(ISNUMBER(U2705),IF(U2705&gt;$L$6,T2705,""),"")</f>
        <v/>
      </c>
      <c r="W2705">
        <f>IF(AND(ISNUMBER('자료_거시'!$G2687),ISNUMBER('자료_거시'!$H2687)),'자료_거시'!$H2687,"")</f>
        <v/>
      </c>
      <c r="X2705">
        <f>IF(ISNUMBER(W2705),'자료_거시'!$G2687,"")</f>
        <v/>
      </c>
      <c r="Y2705">
        <f>IF(ISNUMBER(X2705),IF(X2705&gt;$L$7,W2705,""),"")</f>
        <v/>
      </c>
      <c r="Z2705">
        <f>IF(ISNUMBER('자료_거시'!$K2687),'자료_거시'!$K2687,Z2704)</f>
        <v/>
      </c>
      <c r="AA2705">
        <f>IF(AND(ISNUMBER('자료_거시'!$J2687),ISNUMBER('자료_거시'!$K2687)),IFERROR('자료_거시'!$K2687/INDEX($Z$21:$Z$4020,MATCH(EDATE('자료_거시'!$J2687,-'설정'!$B$17),'자료_거시'!$J$3:INDEX('자료_거시'!$J$3:$J$4002,$K$8),1))-1,""),"")</f>
        <v/>
      </c>
      <c r="AB2705">
        <f>IF(ISNUMBER(AA2705),'자료_거시'!$J2687,"")</f>
        <v/>
      </c>
      <c r="AC2705">
        <f>IF(ISNUMBER(AB2705),IF(AB2705&gt;$L$8,AA2705,""),"")</f>
        <v/>
      </c>
    </row>
    <row r="2706">
      <c r="S2706">
        <f>IF(ISNUMBER('자료_거시'!$E2688),'자료_거시'!$E2688,S2705)</f>
        <v/>
      </c>
      <c r="T2706">
        <f>IF(AND(ISNUMBER('자료_거시'!$D2688),ISNUMBER('자료_거시'!$E2688)),IFERROR('자료_거시'!$E2688-INDEX($S$21:$S$4020,MATCH(EDATE('자료_거시'!$D2688,-'설정'!$B$17),'자료_거시'!$D$3:INDEX('자료_거시'!$D$3:$D$4002,$K$6),1)),""),"")</f>
        <v/>
      </c>
      <c r="U2706">
        <f>IF(ISNUMBER(T2706),'자료_거시'!$D2688,"")</f>
        <v/>
      </c>
      <c r="V2706">
        <f>IF(ISNUMBER(U2706),IF(U2706&gt;$L$6,T2706,""),"")</f>
        <v/>
      </c>
      <c r="W2706">
        <f>IF(AND(ISNUMBER('자료_거시'!$G2688),ISNUMBER('자료_거시'!$H2688)),'자료_거시'!$H2688,"")</f>
        <v/>
      </c>
      <c r="X2706">
        <f>IF(ISNUMBER(W2706),'자료_거시'!$G2688,"")</f>
        <v/>
      </c>
      <c r="Y2706">
        <f>IF(ISNUMBER(X2706),IF(X2706&gt;$L$7,W2706,""),"")</f>
        <v/>
      </c>
      <c r="Z2706">
        <f>IF(ISNUMBER('자료_거시'!$K2688),'자료_거시'!$K2688,Z2705)</f>
        <v/>
      </c>
      <c r="AA2706">
        <f>IF(AND(ISNUMBER('자료_거시'!$J2688),ISNUMBER('자료_거시'!$K2688)),IFERROR('자료_거시'!$K2688/INDEX($Z$21:$Z$4020,MATCH(EDATE('자료_거시'!$J2688,-'설정'!$B$17),'자료_거시'!$J$3:INDEX('자료_거시'!$J$3:$J$4002,$K$8),1))-1,""),"")</f>
        <v/>
      </c>
      <c r="AB2706">
        <f>IF(ISNUMBER(AA2706),'자료_거시'!$J2688,"")</f>
        <v/>
      </c>
      <c r="AC2706">
        <f>IF(ISNUMBER(AB2706),IF(AB2706&gt;$L$8,AA2706,""),"")</f>
        <v/>
      </c>
    </row>
    <row r="2707">
      <c r="S2707">
        <f>IF(ISNUMBER('자료_거시'!$E2689),'자료_거시'!$E2689,S2706)</f>
        <v/>
      </c>
      <c r="T2707">
        <f>IF(AND(ISNUMBER('자료_거시'!$D2689),ISNUMBER('자료_거시'!$E2689)),IFERROR('자료_거시'!$E2689-INDEX($S$21:$S$4020,MATCH(EDATE('자료_거시'!$D2689,-'설정'!$B$17),'자료_거시'!$D$3:INDEX('자료_거시'!$D$3:$D$4002,$K$6),1)),""),"")</f>
        <v/>
      </c>
      <c r="U2707">
        <f>IF(ISNUMBER(T2707),'자료_거시'!$D2689,"")</f>
        <v/>
      </c>
      <c r="V2707">
        <f>IF(ISNUMBER(U2707),IF(U2707&gt;$L$6,T2707,""),"")</f>
        <v/>
      </c>
      <c r="W2707">
        <f>IF(AND(ISNUMBER('자료_거시'!$G2689),ISNUMBER('자료_거시'!$H2689)),'자료_거시'!$H2689,"")</f>
        <v/>
      </c>
      <c r="X2707">
        <f>IF(ISNUMBER(W2707),'자료_거시'!$G2689,"")</f>
        <v/>
      </c>
      <c r="Y2707">
        <f>IF(ISNUMBER(X2707),IF(X2707&gt;$L$7,W2707,""),"")</f>
        <v/>
      </c>
      <c r="Z2707">
        <f>IF(ISNUMBER('자료_거시'!$K2689),'자료_거시'!$K2689,Z2706)</f>
        <v/>
      </c>
      <c r="AA2707">
        <f>IF(AND(ISNUMBER('자료_거시'!$J2689),ISNUMBER('자료_거시'!$K2689)),IFERROR('자료_거시'!$K2689/INDEX($Z$21:$Z$4020,MATCH(EDATE('자료_거시'!$J2689,-'설정'!$B$17),'자료_거시'!$J$3:INDEX('자료_거시'!$J$3:$J$4002,$K$8),1))-1,""),"")</f>
        <v/>
      </c>
      <c r="AB2707">
        <f>IF(ISNUMBER(AA2707),'자료_거시'!$J2689,"")</f>
        <v/>
      </c>
      <c r="AC2707">
        <f>IF(ISNUMBER(AB2707),IF(AB2707&gt;$L$8,AA2707,""),"")</f>
        <v/>
      </c>
    </row>
    <row r="2708">
      <c r="S2708">
        <f>IF(ISNUMBER('자료_거시'!$E2690),'자료_거시'!$E2690,S2707)</f>
        <v/>
      </c>
      <c r="T2708">
        <f>IF(AND(ISNUMBER('자료_거시'!$D2690),ISNUMBER('자료_거시'!$E2690)),IFERROR('자료_거시'!$E2690-INDEX($S$21:$S$4020,MATCH(EDATE('자료_거시'!$D2690,-'설정'!$B$17),'자료_거시'!$D$3:INDEX('자료_거시'!$D$3:$D$4002,$K$6),1)),""),"")</f>
        <v/>
      </c>
      <c r="U2708">
        <f>IF(ISNUMBER(T2708),'자료_거시'!$D2690,"")</f>
        <v/>
      </c>
      <c r="V2708">
        <f>IF(ISNUMBER(U2708),IF(U2708&gt;$L$6,T2708,""),"")</f>
        <v/>
      </c>
      <c r="W2708">
        <f>IF(AND(ISNUMBER('자료_거시'!$G2690),ISNUMBER('자료_거시'!$H2690)),'자료_거시'!$H2690,"")</f>
        <v/>
      </c>
      <c r="X2708">
        <f>IF(ISNUMBER(W2708),'자료_거시'!$G2690,"")</f>
        <v/>
      </c>
      <c r="Y2708">
        <f>IF(ISNUMBER(X2708),IF(X2708&gt;$L$7,W2708,""),"")</f>
        <v/>
      </c>
      <c r="Z2708">
        <f>IF(ISNUMBER('자료_거시'!$K2690),'자료_거시'!$K2690,Z2707)</f>
        <v/>
      </c>
      <c r="AA2708">
        <f>IF(AND(ISNUMBER('자료_거시'!$J2690),ISNUMBER('자료_거시'!$K2690)),IFERROR('자료_거시'!$K2690/INDEX($Z$21:$Z$4020,MATCH(EDATE('자료_거시'!$J2690,-'설정'!$B$17),'자료_거시'!$J$3:INDEX('자료_거시'!$J$3:$J$4002,$K$8),1))-1,""),"")</f>
        <v/>
      </c>
      <c r="AB2708">
        <f>IF(ISNUMBER(AA2708),'자료_거시'!$J2690,"")</f>
        <v/>
      </c>
      <c r="AC2708">
        <f>IF(ISNUMBER(AB2708),IF(AB2708&gt;$L$8,AA2708,""),"")</f>
        <v/>
      </c>
    </row>
    <row r="2709">
      <c r="S2709">
        <f>IF(ISNUMBER('자료_거시'!$E2691),'자료_거시'!$E2691,S2708)</f>
        <v/>
      </c>
      <c r="T2709">
        <f>IF(AND(ISNUMBER('자료_거시'!$D2691),ISNUMBER('자료_거시'!$E2691)),IFERROR('자료_거시'!$E2691-INDEX($S$21:$S$4020,MATCH(EDATE('자료_거시'!$D2691,-'설정'!$B$17),'자료_거시'!$D$3:INDEX('자료_거시'!$D$3:$D$4002,$K$6),1)),""),"")</f>
        <v/>
      </c>
      <c r="U2709">
        <f>IF(ISNUMBER(T2709),'자료_거시'!$D2691,"")</f>
        <v/>
      </c>
      <c r="V2709">
        <f>IF(ISNUMBER(U2709),IF(U2709&gt;$L$6,T2709,""),"")</f>
        <v/>
      </c>
      <c r="W2709">
        <f>IF(AND(ISNUMBER('자료_거시'!$G2691),ISNUMBER('자료_거시'!$H2691)),'자료_거시'!$H2691,"")</f>
        <v/>
      </c>
      <c r="X2709">
        <f>IF(ISNUMBER(W2709),'자료_거시'!$G2691,"")</f>
        <v/>
      </c>
      <c r="Y2709">
        <f>IF(ISNUMBER(X2709),IF(X2709&gt;$L$7,W2709,""),"")</f>
        <v/>
      </c>
      <c r="Z2709">
        <f>IF(ISNUMBER('자료_거시'!$K2691),'자료_거시'!$K2691,Z2708)</f>
        <v/>
      </c>
      <c r="AA2709">
        <f>IF(AND(ISNUMBER('자료_거시'!$J2691),ISNUMBER('자료_거시'!$K2691)),IFERROR('자료_거시'!$K2691/INDEX($Z$21:$Z$4020,MATCH(EDATE('자료_거시'!$J2691,-'설정'!$B$17),'자료_거시'!$J$3:INDEX('자료_거시'!$J$3:$J$4002,$K$8),1))-1,""),"")</f>
        <v/>
      </c>
      <c r="AB2709">
        <f>IF(ISNUMBER(AA2709),'자료_거시'!$J2691,"")</f>
        <v/>
      </c>
      <c r="AC2709">
        <f>IF(ISNUMBER(AB2709),IF(AB2709&gt;$L$8,AA2709,""),"")</f>
        <v/>
      </c>
    </row>
    <row r="2710">
      <c r="S2710">
        <f>IF(ISNUMBER('자료_거시'!$E2692),'자료_거시'!$E2692,S2709)</f>
        <v/>
      </c>
      <c r="T2710">
        <f>IF(AND(ISNUMBER('자료_거시'!$D2692),ISNUMBER('자료_거시'!$E2692)),IFERROR('자료_거시'!$E2692-INDEX($S$21:$S$4020,MATCH(EDATE('자료_거시'!$D2692,-'설정'!$B$17),'자료_거시'!$D$3:INDEX('자료_거시'!$D$3:$D$4002,$K$6),1)),""),"")</f>
        <v/>
      </c>
      <c r="U2710">
        <f>IF(ISNUMBER(T2710),'자료_거시'!$D2692,"")</f>
        <v/>
      </c>
      <c r="V2710">
        <f>IF(ISNUMBER(U2710),IF(U2710&gt;$L$6,T2710,""),"")</f>
        <v/>
      </c>
      <c r="W2710">
        <f>IF(AND(ISNUMBER('자료_거시'!$G2692),ISNUMBER('자료_거시'!$H2692)),'자료_거시'!$H2692,"")</f>
        <v/>
      </c>
      <c r="X2710">
        <f>IF(ISNUMBER(W2710),'자료_거시'!$G2692,"")</f>
        <v/>
      </c>
      <c r="Y2710">
        <f>IF(ISNUMBER(X2710),IF(X2710&gt;$L$7,W2710,""),"")</f>
        <v/>
      </c>
      <c r="Z2710">
        <f>IF(ISNUMBER('자료_거시'!$K2692),'자료_거시'!$K2692,Z2709)</f>
        <v/>
      </c>
      <c r="AA2710">
        <f>IF(AND(ISNUMBER('자료_거시'!$J2692),ISNUMBER('자료_거시'!$K2692)),IFERROR('자료_거시'!$K2692/INDEX($Z$21:$Z$4020,MATCH(EDATE('자료_거시'!$J2692,-'설정'!$B$17),'자료_거시'!$J$3:INDEX('자료_거시'!$J$3:$J$4002,$K$8),1))-1,""),"")</f>
        <v/>
      </c>
      <c r="AB2710">
        <f>IF(ISNUMBER(AA2710),'자료_거시'!$J2692,"")</f>
        <v/>
      </c>
      <c r="AC2710">
        <f>IF(ISNUMBER(AB2710),IF(AB2710&gt;$L$8,AA2710,""),"")</f>
        <v/>
      </c>
    </row>
    <row r="2711">
      <c r="S2711">
        <f>IF(ISNUMBER('자료_거시'!$E2693),'자료_거시'!$E2693,S2710)</f>
        <v/>
      </c>
      <c r="T2711">
        <f>IF(AND(ISNUMBER('자료_거시'!$D2693),ISNUMBER('자료_거시'!$E2693)),IFERROR('자료_거시'!$E2693-INDEX($S$21:$S$4020,MATCH(EDATE('자료_거시'!$D2693,-'설정'!$B$17),'자료_거시'!$D$3:INDEX('자료_거시'!$D$3:$D$4002,$K$6),1)),""),"")</f>
        <v/>
      </c>
      <c r="U2711">
        <f>IF(ISNUMBER(T2711),'자료_거시'!$D2693,"")</f>
        <v/>
      </c>
      <c r="V2711">
        <f>IF(ISNUMBER(U2711),IF(U2711&gt;$L$6,T2711,""),"")</f>
        <v/>
      </c>
      <c r="W2711">
        <f>IF(AND(ISNUMBER('자료_거시'!$G2693),ISNUMBER('자료_거시'!$H2693)),'자료_거시'!$H2693,"")</f>
        <v/>
      </c>
      <c r="X2711">
        <f>IF(ISNUMBER(W2711),'자료_거시'!$G2693,"")</f>
        <v/>
      </c>
      <c r="Y2711">
        <f>IF(ISNUMBER(X2711),IF(X2711&gt;$L$7,W2711,""),"")</f>
        <v/>
      </c>
      <c r="Z2711">
        <f>IF(ISNUMBER('자료_거시'!$K2693),'자료_거시'!$K2693,Z2710)</f>
        <v/>
      </c>
      <c r="AA2711">
        <f>IF(AND(ISNUMBER('자료_거시'!$J2693),ISNUMBER('자료_거시'!$K2693)),IFERROR('자료_거시'!$K2693/INDEX($Z$21:$Z$4020,MATCH(EDATE('자료_거시'!$J2693,-'설정'!$B$17),'자료_거시'!$J$3:INDEX('자료_거시'!$J$3:$J$4002,$K$8),1))-1,""),"")</f>
        <v/>
      </c>
      <c r="AB2711">
        <f>IF(ISNUMBER(AA2711),'자료_거시'!$J2693,"")</f>
        <v/>
      </c>
      <c r="AC2711">
        <f>IF(ISNUMBER(AB2711),IF(AB2711&gt;$L$8,AA2711,""),"")</f>
        <v/>
      </c>
    </row>
    <row r="2712">
      <c r="S2712">
        <f>IF(ISNUMBER('자료_거시'!$E2694),'자료_거시'!$E2694,S2711)</f>
        <v/>
      </c>
      <c r="T2712">
        <f>IF(AND(ISNUMBER('자료_거시'!$D2694),ISNUMBER('자료_거시'!$E2694)),IFERROR('자료_거시'!$E2694-INDEX($S$21:$S$4020,MATCH(EDATE('자료_거시'!$D2694,-'설정'!$B$17),'자료_거시'!$D$3:INDEX('자료_거시'!$D$3:$D$4002,$K$6),1)),""),"")</f>
        <v/>
      </c>
      <c r="U2712">
        <f>IF(ISNUMBER(T2712),'자료_거시'!$D2694,"")</f>
        <v/>
      </c>
      <c r="V2712">
        <f>IF(ISNUMBER(U2712),IF(U2712&gt;$L$6,T2712,""),"")</f>
        <v/>
      </c>
      <c r="W2712">
        <f>IF(AND(ISNUMBER('자료_거시'!$G2694),ISNUMBER('자료_거시'!$H2694)),'자료_거시'!$H2694,"")</f>
        <v/>
      </c>
      <c r="X2712">
        <f>IF(ISNUMBER(W2712),'자료_거시'!$G2694,"")</f>
        <v/>
      </c>
      <c r="Y2712">
        <f>IF(ISNUMBER(X2712),IF(X2712&gt;$L$7,W2712,""),"")</f>
        <v/>
      </c>
      <c r="Z2712">
        <f>IF(ISNUMBER('자료_거시'!$K2694),'자료_거시'!$K2694,Z2711)</f>
        <v/>
      </c>
      <c r="AA2712">
        <f>IF(AND(ISNUMBER('자료_거시'!$J2694),ISNUMBER('자료_거시'!$K2694)),IFERROR('자료_거시'!$K2694/INDEX($Z$21:$Z$4020,MATCH(EDATE('자료_거시'!$J2694,-'설정'!$B$17),'자료_거시'!$J$3:INDEX('자료_거시'!$J$3:$J$4002,$K$8),1))-1,""),"")</f>
        <v/>
      </c>
      <c r="AB2712">
        <f>IF(ISNUMBER(AA2712),'자료_거시'!$J2694,"")</f>
        <v/>
      </c>
      <c r="AC2712">
        <f>IF(ISNUMBER(AB2712),IF(AB2712&gt;$L$8,AA2712,""),"")</f>
        <v/>
      </c>
    </row>
    <row r="2713">
      <c r="S2713">
        <f>IF(ISNUMBER('자료_거시'!$E2695),'자료_거시'!$E2695,S2712)</f>
        <v/>
      </c>
      <c r="T2713">
        <f>IF(AND(ISNUMBER('자료_거시'!$D2695),ISNUMBER('자료_거시'!$E2695)),IFERROR('자료_거시'!$E2695-INDEX($S$21:$S$4020,MATCH(EDATE('자료_거시'!$D2695,-'설정'!$B$17),'자료_거시'!$D$3:INDEX('자료_거시'!$D$3:$D$4002,$K$6),1)),""),"")</f>
        <v/>
      </c>
      <c r="U2713">
        <f>IF(ISNUMBER(T2713),'자료_거시'!$D2695,"")</f>
        <v/>
      </c>
      <c r="V2713">
        <f>IF(ISNUMBER(U2713),IF(U2713&gt;$L$6,T2713,""),"")</f>
        <v/>
      </c>
      <c r="W2713">
        <f>IF(AND(ISNUMBER('자료_거시'!$G2695),ISNUMBER('자료_거시'!$H2695)),'자료_거시'!$H2695,"")</f>
        <v/>
      </c>
      <c r="X2713">
        <f>IF(ISNUMBER(W2713),'자료_거시'!$G2695,"")</f>
        <v/>
      </c>
      <c r="Y2713">
        <f>IF(ISNUMBER(X2713),IF(X2713&gt;$L$7,W2713,""),"")</f>
        <v/>
      </c>
      <c r="Z2713">
        <f>IF(ISNUMBER('자료_거시'!$K2695),'자료_거시'!$K2695,Z2712)</f>
        <v/>
      </c>
      <c r="AA2713">
        <f>IF(AND(ISNUMBER('자료_거시'!$J2695),ISNUMBER('자료_거시'!$K2695)),IFERROR('자료_거시'!$K2695/INDEX($Z$21:$Z$4020,MATCH(EDATE('자료_거시'!$J2695,-'설정'!$B$17),'자료_거시'!$J$3:INDEX('자료_거시'!$J$3:$J$4002,$K$8),1))-1,""),"")</f>
        <v/>
      </c>
      <c r="AB2713">
        <f>IF(ISNUMBER(AA2713),'자료_거시'!$J2695,"")</f>
        <v/>
      </c>
      <c r="AC2713">
        <f>IF(ISNUMBER(AB2713),IF(AB2713&gt;$L$8,AA2713,""),"")</f>
        <v/>
      </c>
    </row>
    <row r="2714">
      <c r="S2714">
        <f>IF(ISNUMBER('자료_거시'!$E2696),'자료_거시'!$E2696,S2713)</f>
        <v/>
      </c>
      <c r="T2714">
        <f>IF(AND(ISNUMBER('자료_거시'!$D2696),ISNUMBER('자료_거시'!$E2696)),IFERROR('자료_거시'!$E2696-INDEX($S$21:$S$4020,MATCH(EDATE('자료_거시'!$D2696,-'설정'!$B$17),'자료_거시'!$D$3:INDEX('자료_거시'!$D$3:$D$4002,$K$6),1)),""),"")</f>
        <v/>
      </c>
      <c r="U2714">
        <f>IF(ISNUMBER(T2714),'자료_거시'!$D2696,"")</f>
        <v/>
      </c>
      <c r="V2714">
        <f>IF(ISNUMBER(U2714),IF(U2714&gt;$L$6,T2714,""),"")</f>
        <v/>
      </c>
      <c r="W2714">
        <f>IF(AND(ISNUMBER('자료_거시'!$G2696),ISNUMBER('자료_거시'!$H2696)),'자료_거시'!$H2696,"")</f>
        <v/>
      </c>
      <c r="X2714">
        <f>IF(ISNUMBER(W2714),'자료_거시'!$G2696,"")</f>
        <v/>
      </c>
      <c r="Y2714">
        <f>IF(ISNUMBER(X2714),IF(X2714&gt;$L$7,W2714,""),"")</f>
        <v/>
      </c>
      <c r="Z2714">
        <f>IF(ISNUMBER('자료_거시'!$K2696),'자료_거시'!$K2696,Z2713)</f>
        <v/>
      </c>
      <c r="AA2714">
        <f>IF(AND(ISNUMBER('자료_거시'!$J2696),ISNUMBER('자료_거시'!$K2696)),IFERROR('자료_거시'!$K2696/INDEX($Z$21:$Z$4020,MATCH(EDATE('자료_거시'!$J2696,-'설정'!$B$17),'자료_거시'!$J$3:INDEX('자료_거시'!$J$3:$J$4002,$K$8),1))-1,""),"")</f>
        <v/>
      </c>
      <c r="AB2714">
        <f>IF(ISNUMBER(AA2714),'자료_거시'!$J2696,"")</f>
        <v/>
      </c>
      <c r="AC2714">
        <f>IF(ISNUMBER(AB2714),IF(AB2714&gt;$L$8,AA2714,""),"")</f>
        <v/>
      </c>
    </row>
    <row r="2715">
      <c r="S2715">
        <f>IF(ISNUMBER('자료_거시'!$E2697),'자료_거시'!$E2697,S2714)</f>
        <v/>
      </c>
      <c r="T2715">
        <f>IF(AND(ISNUMBER('자료_거시'!$D2697),ISNUMBER('자료_거시'!$E2697)),IFERROR('자료_거시'!$E2697-INDEX($S$21:$S$4020,MATCH(EDATE('자료_거시'!$D2697,-'설정'!$B$17),'자료_거시'!$D$3:INDEX('자료_거시'!$D$3:$D$4002,$K$6),1)),""),"")</f>
        <v/>
      </c>
      <c r="U2715">
        <f>IF(ISNUMBER(T2715),'자료_거시'!$D2697,"")</f>
        <v/>
      </c>
      <c r="V2715">
        <f>IF(ISNUMBER(U2715),IF(U2715&gt;$L$6,T2715,""),"")</f>
        <v/>
      </c>
      <c r="W2715">
        <f>IF(AND(ISNUMBER('자료_거시'!$G2697),ISNUMBER('자료_거시'!$H2697)),'자료_거시'!$H2697,"")</f>
        <v/>
      </c>
      <c r="X2715">
        <f>IF(ISNUMBER(W2715),'자료_거시'!$G2697,"")</f>
        <v/>
      </c>
      <c r="Y2715">
        <f>IF(ISNUMBER(X2715),IF(X2715&gt;$L$7,W2715,""),"")</f>
        <v/>
      </c>
      <c r="Z2715">
        <f>IF(ISNUMBER('자료_거시'!$K2697),'자료_거시'!$K2697,Z2714)</f>
        <v/>
      </c>
      <c r="AA2715">
        <f>IF(AND(ISNUMBER('자료_거시'!$J2697),ISNUMBER('자료_거시'!$K2697)),IFERROR('자료_거시'!$K2697/INDEX($Z$21:$Z$4020,MATCH(EDATE('자료_거시'!$J2697,-'설정'!$B$17),'자료_거시'!$J$3:INDEX('자료_거시'!$J$3:$J$4002,$K$8),1))-1,""),"")</f>
        <v/>
      </c>
      <c r="AB2715">
        <f>IF(ISNUMBER(AA2715),'자료_거시'!$J2697,"")</f>
        <v/>
      </c>
      <c r="AC2715">
        <f>IF(ISNUMBER(AB2715),IF(AB2715&gt;$L$8,AA2715,""),"")</f>
        <v/>
      </c>
    </row>
    <row r="2716">
      <c r="S2716">
        <f>IF(ISNUMBER('자료_거시'!$E2698),'자료_거시'!$E2698,S2715)</f>
        <v/>
      </c>
      <c r="T2716">
        <f>IF(AND(ISNUMBER('자료_거시'!$D2698),ISNUMBER('자료_거시'!$E2698)),IFERROR('자료_거시'!$E2698-INDEX($S$21:$S$4020,MATCH(EDATE('자료_거시'!$D2698,-'설정'!$B$17),'자료_거시'!$D$3:INDEX('자료_거시'!$D$3:$D$4002,$K$6),1)),""),"")</f>
        <v/>
      </c>
      <c r="U2716">
        <f>IF(ISNUMBER(T2716),'자료_거시'!$D2698,"")</f>
        <v/>
      </c>
      <c r="V2716">
        <f>IF(ISNUMBER(U2716),IF(U2716&gt;$L$6,T2716,""),"")</f>
        <v/>
      </c>
      <c r="W2716">
        <f>IF(AND(ISNUMBER('자료_거시'!$G2698),ISNUMBER('자료_거시'!$H2698)),'자료_거시'!$H2698,"")</f>
        <v/>
      </c>
      <c r="X2716">
        <f>IF(ISNUMBER(W2716),'자료_거시'!$G2698,"")</f>
        <v/>
      </c>
      <c r="Y2716">
        <f>IF(ISNUMBER(X2716),IF(X2716&gt;$L$7,W2716,""),"")</f>
        <v/>
      </c>
      <c r="Z2716">
        <f>IF(ISNUMBER('자료_거시'!$K2698),'자료_거시'!$K2698,Z2715)</f>
        <v/>
      </c>
      <c r="AA2716">
        <f>IF(AND(ISNUMBER('자료_거시'!$J2698),ISNUMBER('자료_거시'!$K2698)),IFERROR('자료_거시'!$K2698/INDEX($Z$21:$Z$4020,MATCH(EDATE('자료_거시'!$J2698,-'설정'!$B$17),'자료_거시'!$J$3:INDEX('자료_거시'!$J$3:$J$4002,$K$8),1))-1,""),"")</f>
        <v/>
      </c>
      <c r="AB2716">
        <f>IF(ISNUMBER(AA2716),'자료_거시'!$J2698,"")</f>
        <v/>
      </c>
      <c r="AC2716">
        <f>IF(ISNUMBER(AB2716),IF(AB2716&gt;$L$8,AA2716,""),"")</f>
        <v/>
      </c>
    </row>
    <row r="2717">
      <c r="S2717">
        <f>IF(ISNUMBER('자료_거시'!$E2699),'자료_거시'!$E2699,S2716)</f>
        <v/>
      </c>
      <c r="T2717">
        <f>IF(AND(ISNUMBER('자료_거시'!$D2699),ISNUMBER('자료_거시'!$E2699)),IFERROR('자료_거시'!$E2699-INDEX($S$21:$S$4020,MATCH(EDATE('자료_거시'!$D2699,-'설정'!$B$17),'자료_거시'!$D$3:INDEX('자료_거시'!$D$3:$D$4002,$K$6),1)),""),"")</f>
        <v/>
      </c>
      <c r="U2717">
        <f>IF(ISNUMBER(T2717),'자료_거시'!$D2699,"")</f>
        <v/>
      </c>
      <c r="V2717">
        <f>IF(ISNUMBER(U2717),IF(U2717&gt;$L$6,T2717,""),"")</f>
        <v/>
      </c>
      <c r="W2717">
        <f>IF(AND(ISNUMBER('자료_거시'!$G2699),ISNUMBER('자료_거시'!$H2699)),'자료_거시'!$H2699,"")</f>
        <v/>
      </c>
      <c r="X2717">
        <f>IF(ISNUMBER(W2717),'자료_거시'!$G2699,"")</f>
        <v/>
      </c>
      <c r="Y2717">
        <f>IF(ISNUMBER(X2717),IF(X2717&gt;$L$7,W2717,""),"")</f>
        <v/>
      </c>
      <c r="Z2717">
        <f>IF(ISNUMBER('자료_거시'!$K2699),'자료_거시'!$K2699,Z2716)</f>
        <v/>
      </c>
      <c r="AA2717">
        <f>IF(AND(ISNUMBER('자료_거시'!$J2699),ISNUMBER('자료_거시'!$K2699)),IFERROR('자료_거시'!$K2699/INDEX($Z$21:$Z$4020,MATCH(EDATE('자료_거시'!$J2699,-'설정'!$B$17),'자료_거시'!$J$3:INDEX('자료_거시'!$J$3:$J$4002,$K$8),1))-1,""),"")</f>
        <v/>
      </c>
      <c r="AB2717">
        <f>IF(ISNUMBER(AA2717),'자료_거시'!$J2699,"")</f>
        <v/>
      </c>
      <c r="AC2717">
        <f>IF(ISNUMBER(AB2717),IF(AB2717&gt;$L$8,AA2717,""),"")</f>
        <v/>
      </c>
    </row>
    <row r="2718">
      <c r="S2718">
        <f>IF(ISNUMBER('자료_거시'!$E2700),'자료_거시'!$E2700,S2717)</f>
        <v/>
      </c>
      <c r="T2718">
        <f>IF(AND(ISNUMBER('자료_거시'!$D2700),ISNUMBER('자료_거시'!$E2700)),IFERROR('자료_거시'!$E2700-INDEX($S$21:$S$4020,MATCH(EDATE('자료_거시'!$D2700,-'설정'!$B$17),'자료_거시'!$D$3:INDEX('자료_거시'!$D$3:$D$4002,$K$6),1)),""),"")</f>
        <v/>
      </c>
      <c r="U2718">
        <f>IF(ISNUMBER(T2718),'자료_거시'!$D2700,"")</f>
        <v/>
      </c>
      <c r="V2718">
        <f>IF(ISNUMBER(U2718),IF(U2718&gt;$L$6,T2718,""),"")</f>
        <v/>
      </c>
      <c r="W2718">
        <f>IF(AND(ISNUMBER('자료_거시'!$G2700),ISNUMBER('자료_거시'!$H2700)),'자료_거시'!$H2700,"")</f>
        <v/>
      </c>
      <c r="X2718">
        <f>IF(ISNUMBER(W2718),'자료_거시'!$G2700,"")</f>
        <v/>
      </c>
      <c r="Y2718">
        <f>IF(ISNUMBER(X2718),IF(X2718&gt;$L$7,W2718,""),"")</f>
        <v/>
      </c>
      <c r="Z2718">
        <f>IF(ISNUMBER('자료_거시'!$K2700),'자료_거시'!$K2700,Z2717)</f>
        <v/>
      </c>
      <c r="AA2718">
        <f>IF(AND(ISNUMBER('자료_거시'!$J2700),ISNUMBER('자료_거시'!$K2700)),IFERROR('자료_거시'!$K2700/INDEX($Z$21:$Z$4020,MATCH(EDATE('자료_거시'!$J2700,-'설정'!$B$17),'자료_거시'!$J$3:INDEX('자료_거시'!$J$3:$J$4002,$K$8),1))-1,""),"")</f>
        <v/>
      </c>
      <c r="AB2718">
        <f>IF(ISNUMBER(AA2718),'자료_거시'!$J2700,"")</f>
        <v/>
      </c>
      <c r="AC2718">
        <f>IF(ISNUMBER(AB2718),IF(AB2718&gt;$L$8,AA2718,""),"")</f>
        <v/>
      </c>
    </row>
    <row r="2719">
      <c r="S2719">
        <f>IF(ISNUMBER('자료_거시'!$E2701),'자료_거시'!$E2701,S2718)</f>
        <v/>
      </c>
      <c r="T2719">
        <f>IF(AND(ISNUMBER('자료_거시'!$D2701),ISNUMBER('자료_거시'!$E2701)),IFERROR('자료_거시'!$E2701-INDEX($S$21:$S$4020,MATCH(EDATE('자료_거시'!$D2701,-'설정'!$B$17),'자료_거시'!$D$3:INDEX('자료_거시'!$D$3:$D$4002,$K$6),1)),""),"")</f>
        <v/>
      </c>
      <c r="U2719">
        <f>IF(ISNUMBER(T2719),'자료_거시'!$D2701,"")</f>
        <v/>
      </c>
      <c r="V2719">
        <f>IF(ISNUMBER(U2719),IF(U2719&gt;$L$6,T2719,""),"")</f>
        <v/>
      </c>
      <c r="W2719">
        <f>IF(AND(ISNUMBER('자료_거시'!$G2701),ISNUMBER('자료_거시'!$H2701)),'자료_거시'!$H2701,"")</f>
        <v/>
      </c>
      <c r="X2719">
        <f>IF(ISNUMBER(W2719),'자료_거시'!$G2701,"")</f>
        <v/>
      </c>
      <c r="Y2719">
        <f>IF(ISNUMBER(X2719),IF(X2719&gt;$L$7,W2719,""),"")</f>
        <v/>
      </c>
      <c r="Z2719">
        <f>IF(ISNUMBER('자료_거시'!$K2701),'자료_거시'!$K2701,Z2718)</f>
        <v/>
      </c>
      <c r="AA2719">
        <f>IF(AND(ISNUMBER('자료_거시'!$J2701),ISNUMBER('자료_거시'!$K2701)),IFERROR('자료_거시'!$K2701/INDEX($Z$21:$Z$4020,MATCH(EDATE('자료_거시'!$J2701,-'설정'!$B$17),'자료_거시'!$J$3:INDEX('자료_거시'!$J$3:$J$4002,$K$8),1))-1,""),"")</f>
        <v/>
      </c>
      <c r="AB2719">
        <f>IF(ISNUMBER(AA2719),'자료_거시'!$J2701,"")</f>
        <v/>
      </c>
      <c r="AC2719">
        <f>IF(ISNUMBER(AB2719),IF(AB2719&gt;$L$8,AA2719,""),"")</f>
        <v/>
      </c>
    </row>
    <row r="2720">
      <c r="S2720">
        <f>IF(ISNUMBER('자료_거시'!$E2702),'자료_거시'!$E2702,S2719)</f>
        <v/>
      </c>
      <c r="T2720">
        <f>IF(AND(ISNUMBER('자료_거시'!$D2702),ISNUMBER('자료_거시'!$E2702)),IFERROR('자료_거시'!$E2702-INDEX($S$21:$S$4020,MATCH(EDATE('자료_거시'!$D2702,-'설정'!$B$17),'자료_거시'!$D$3:INDEX('자료_거시'!$D$3:$D$4002,$K$6),1)),""),"")</f>
        <v/>
      </c>
      <c r="U2720">
        <f>IF(ISNUMBER(T2720),'자료_거시'!$D2702,"")</f>
        <v/>
      </c>
      <c r="V2720">
        <f>IF(ISNUMBER(U2720),IF(U2720&gt;$L$6,T2720,""),"")</f>
        <v/>
      </c>
      <c r="W2720">
        <f>IF(AND(ISNUMBER('자료_거시'!$G2702),ISNUMBER('자료_거시'!$H2702)),'자료_거시'!$H2702,"")</f>
        <v/>
      </c>
      <c r="X2720">
        <f>IF(ISNUMBER(W2720),'자료_거시'!$G2702,"")</f>
        <v/>
      </c>
      <c r="Y2720">
        <f>IF(ISNUMBER(X2720),IF(X2720&gt;$L$7,W2720,""),"")</f>
        <v/>
      </c>
      <c r="Z2720">
        <f>IF(ISNUMBER('자료_거시'!$K2702),'자료_거시'!$K2702,Z2719)</f>
        <v/>
      </c>
      <c r="AA2720">
        <f>IF(AND(ISNUMBER('자료_거시'!$J2702),ISNUMBER('자료_거시'!$K2702)),IFERROR('자료_거시'!$K2702/INDEX($Z$21:$Z$4020,MATCH(EDATE('자료_거시'!$J2702,-'설정'!$B$17),'자료_거시'!$J$3:INDEX('자료_거시'!$J$3:$J$4002,$K$8),1))-1,""),"")</f>
        <v/>
      </c>
      <c r="AB2720">
        <f>IF(ISNUMBER(AA2720),'자료_거시'!$J2702,"")</f>
        <v/>
      </c>
      <c r="AC2720">
        <f>IF(ISNUMBER(AB2720),IF(AB2720&gt;$L$8,AA2720,""),"")</f>
        <v/>
      </c>
    </row>
    <row r="2721">
      <c r="S2721">
        <f>IF(ISNUMBER('자료_거시'!$E2703),'자료_거시'!$E2703,S2720)</f>
        <v/>
      </c>
      <c r="T2721">
        <f>IF(AND(ISNUMBER('자료_거시'!$D2703),ISNUMBER('자료_거시'!$E2703)),IFERROR('자료_거시'!$E2703-INDEX($S$21:$S$4020,MATCH(EDATE('자료_거시'!$D2703,-'설정'!$B$17),'자료_거시'!$D$3:INDEX('자료_거시'!$D$3:$D$4002,$K$6),1)),""),"")</f>
        <v/>
      </c>
      <c r="U2721">
        <f>IF(ISNUMBER(T2721),'자료_거시'!$D2703,"")</f>
        <v/>
      </c>
      <c r="V2721">
        <f>IF(ISNUMBER(U2721),IF(U2721&gt;$L$6,T2721,""),"")</f>
        <v/>
      </c>
      <c r="W2721">
        <f>IF(AND(ISNUMBER('자료_거시'!$G2703),ISNUMBER('자료_거시'!$H2703)),'자료_거시'!$H2703,"")</f>
        <v/>
      </c>
      <c r="X2721">
        <f>IF(ISNUMBER(W2721),'자료_거시'!$G2703,"")</f>
        <v/>
      </c>
      <c r="Y2721">
        <f>IF(ISNUMBER(X2721),IF(X2721&gt;$L$7,W2721,""),"")</f>
        <v/>
      </c>
      <c r="Z2721">
        <f>IF(ISNUMBER('자료_거시'!$K2703),'자료_거시'!$K2703,Z2720)</f>
        <v/>
      </c>
      <c r="AA2721">
        <f>IF(AND(ISNUMBER('자료_거시'!$J2703),ISNUMBER('자료_거시'!$K2703)),IFERROR('자료_거시'!$K2703/INDEX($Z$21:$Z$4020,MATCH(EDATE('자료_거시'!$J2703,-'설정'!$B$17),'자료_거시'!$J$3:INDEX('자료_거시'!$J$3:$J$4002,$K$8),1))-1,""),"")</f>
        <v/>
      </c>
      <c r="AB2721">
        <f>IF(ISNUMBER(AA2721),'자료_거시'!$J2703,"")</f>
        <v/>
      </c>
      <c r="AC2721">
        <f>IF(ISNUMBER(AB2721),IF(AB2721&gt;$L$8,AA2721,""),"")</f>
        <v/>
      </c>
    </row>
    <row r="2722">
      <c r="S2722">
        <f>IF(ISNUMBER('자료_거시'!$E2704),'자료_거시'!$E2704,S2721)</f>
        <v/>
      </c>
      <c r="T2722">
        <f>IF(AND(ISNUMBER('자료_거시'!$D2704),ISNUMBER('자료_거시'!$E2704)),IFERROR('자료_거시'!$E2704-INDEX($S$21:$S$4020,MATCH(EDATE('자료_거시'!$D2704,-'설정'!$B$17),'자료_거시'!$D$3:INDEX('자료_거시'!$D$3:$D$4002,$K$6),1)),""),"")</f>
        <v/>
      </c>
      <c r="U2722">
        <f>IF(ISNUMBER(T2722),'자료_거시'!$D2704,"")</f>
        <v/>
      </c>
      <c r="V2722">
        <f>IF(ISNUMBER(U2722),IF(U2722&gt;$L$6,T2722,""),"")</f>
        <v/>
      </c>
      <c r="W2722">
        <f>IF(AND(ISNUMBER('자료_거시'!$G2704),ISNUMBER('자료_거시'!$H2704)),'자료_거시'!$H2704,"")</f>
        <v/>
      </c>
      <c r="X2722">
        <f>IF(ISNUMBER(W2722),'자료_거시'!$G2704,"")</f>
        <v/>
      </c>
      <c r="Y2722">
        <f>IF(ISNUMBER(X2722),IF(X2722&gt;$L$7,W2722,""),"")</f>
        <v/>
      </c>
      <c r="Z2722">
        <f>IF(ISNUMBER('자료_거시'!$K2704),'자료_거시'!$K2704,Z2721)</f>
        <v/>
      </c>
      <c r="AA2722">
        <f>IF(AND(ISNUMBER('자료_거시'!$J2704),ISNUMBER('자료_거시'!$K2704)),IFERROR('자료_거시'!$K2704/INDEX($Z$21:$Z$4020,MATCH(EDATE('자료_거시'!$J2704,-'설정'!$B$17),'자료_거시'!$J$3:INDEX('자료_거시'!$J$3:$J$4002,$K$8),1))-1,""),"")</f>
        <v/>
      </c>
      <c r="AB2722">
        <f>IF(ISNUMBER(AA2722),'자료_거시'!$J2704,"")</f>
        <v/>
      </c>
      <c r="AC2722">
        <f>IF(ISNUMBER(AB2722),IF(AB2722&gt;$L$8,AA2722,""),"")</f>
        <v/>
      </c>
    </row>
    <row r="2723">
      <c r="S2723">
        <f>IF(ISNUMBER('자료_거시'!$E2705),'자료_거시'!$E2705,S2722)</f>
        <v/>
      </c>
      <c r="T2723">
        <f>IF(AND(ISNUMBER('자료_거시'!$D2705),ISNUMBER('자료_거시'!$E2705)),IFERROR('자료_거시'!$E2705-INDEX($S$21:$S$4020,MATCH(EDATE('자료_거시'!$D2705,-'설정'!$B$17),'자료_거시'!$D$3:INDEX('자료_거시'!$D$3:$D$4002,$K$6),1)),""),"")</f>
        <v/>
      </c>
      <c r="U2723">
        <f>IF(ISNUMBER(T2723),'자료_거시'!$D2705,"")</f>
        <v/>
      </c>
      <c r="V2723">
        <f>IF(ISNUMBER(U2723),IF(U2723&gt;$L$6,T2723,""),"")</f>
        <v/>
      </c>
      <c r="W2723">
        <f>IF(AND(ISNUMBER('자료_거시'!$G2705),ISNUMBER('자료_거시'!$H2705)),'자료_거시'!$H2705,"")</f>
        <v/>
      </c>
      <c r="X2723">
        <f>IF(ISNUMBER(W2723),'자료_거시'!$G2705,"")</f>
        <v/>
      </c>
      <c r="Y2723">
        <f>IF(ISNUMBER(X2723),IF(X2723&gt;$L$7,W2723,""),"")</f>
        <v/>
      </c>
      <c r="Z2723">
        <f>IF(ISNUMBER('자료_거시'!$K2705),'자료_거시'!$K2705,Z2722)</f>
        <v/>
      </c>
      <c r="AA2723">
        <f>IF(AND(ISNUMBER('자료_거시'!$J2705),ISNUMBER('자료_거시'!$K2705)),IFERROR('자료_거시'!$K2705/INDEX($Z$21:$Z$4020,MATCH(EDATE('자료_거시'!$J2705,-'설정'!$B$17),'자료_거시'!$J$3:INDEX('자료_거시'!$J$3:$J$4002,$K$8),1))-1,""),"")</f>
        <v/>
      </c>
      <c r="AB2723">
        <f>IF(ISNUMBER(AA2723),'자료_거시'!$J2705,"")</f>
        <v/>
      </c>
      <c r="AC2723">
        <f>IF(ISNUMBER(AB2723),IF(AB2723&gt;$L$8,AA2723,""),"")</f>
        <v/>
      </c>
    </row>
    <row r="2724">
      <c r="S2724">
        <f>IF(ISNUMBER('자료_거시'!$E2706),'자료_거시'!$E2706,S2723)</f>
        <v/>
      </c>
      <c r="T2724">
        <f>IF(AND(ISNUMBER('자료_거시'!$D2706),ISNUMBER('자료_거시'!$E2706)),IFERROR('자료_거시'!$E2706-INDEX($S$21:$S$4020,MATCH(EDATE('자료_거시'!$D2706,-'설정'!$B$17),'자료_거시'!$D$3:INDEX('자료_거시'!$D$3:$D$4002,$K$6),1)),""),"")</f>
        <v/>
      </c>
      <c r="U2724">
        <f>IF(ISNUMBER(T2724),'자료_거시'!$D2706,"")</f>
        <v/>
      </c>
      <c r="V2724">
        <f>IF(ISNUMBER(U2724),IF(U2724&gt;$L$6,T2724,""),"")</f>
        <v/>
      </c>
      <c r="W2724">
        <f>IF(AND(ISNUMBER('자료_거시'!$G2706),ISNUMBER('자료_거시'!$H2706)),'자료_거시'!$H2706,"")</f>
        <v/>
      </c>
      <c r="X2724">
        <f>IF(ISNUMBER(W2724),'자료_거시'!$G2706,"")</f>
        <v/>
      </c>
      <c r="Y2724">
        <f>IF(ISNUMBER(X2724),IF(X2724&gt;$L$7,W2724,""),"")</f>
        <v/>
      </c>
      <c r="Z2724">
        <f>IF(ISNUMBER('자료_거시'!$K2706),'자료_거시'!$K2706,Z2723)</f>
        <v/>
      </c>
      <c r="AA2724">
        <f>IF(AND(ISNUMBER('자료_거시'!$J2706),ISNUMBER('자료_거시'!$K2706)),IFERROR('자료_거시'!$K2706/INDEX($Z$21:$Z$4020,MATCH(EDATE('자료_거시'!$J2706,-'설정'!$B$17),'자료_거시'!$J$3:INDEX('자료_거시'!$J$3:$J$4002,$K$8),1))-1,""),"")</f>
        <v/>
      </c>
      <c r="AB2724">
        <f>IF(ISNUMBER(AA2724),'자료_거시'!$J2706,"")</f>
        <v/>
      </c>
      <c r="AC2724">
        <f>IF(ISNUMBER(AB2724),IF(AB2724&gt;$L$8,AA2724,""),"")</f>
        <v/>
      </c>
    </row>
    <row r="2725">
      <c r="S2725">
        <f>IF(ISNUMBER('자료_거시'!$E2707),'자료_거시'!$E2707,S2724)</f>
        <v/>
      </c>
      <c r="T2725">
        <f>IF(AND(ISNUMBER('자료_거시'!$D2707),ISNUMBER('자료_거시'!$E2707)),IFERROR('자료_거시'!$E2707-INDEX($S$21:$S$4020,MATCH(EDATE('자료_거시'!$D2707,-'설정'!$B$17),'자료_거시'!$D$3:INDEX('자료_거시'!$D$3:$D$4002,$K$6),1)),""),"")</f>
        <v/>
      </c>
      <c r="U2725">
        <f>IF(ISNUMBER(T2725),'자료_거시'!$D2707,"")</f>
        <v/>
      </c>
      <c r="V2725">
        <f>IF(ISNUMBER(U2725),IF(U2725&gt;$L$6,T2725,""),"")</f>
        <v/>
      </c>
      <c r="W2725">
        <f>IF(AND(ISNUMBER('자료_거시'!$G2707),ISNUMBER('자료_거시'!$H2707)),'자료_거시'!$H2707,"")</f>
        <v/>
      </c>
      <c r="X2725">
        <f>IF(ISNUMBER(W2725),'자료_거시'!$G2707,"")</f>
        <v/>
      </c>
      <c r="Y2725">
        <f>IF(ISNUMBER(X2725),IF(X2725&gt;$L$7,W2725,""),"")</f>
        <v/>
      </c>
      <c r="Z2725">
        <f>IF(ISNUMBER('자료_거시'!$K2707),'자료_거시'!$K2707,Z2724)</f>
        <v/>
      </c>
      <c r="AA2725">
        <f>IF(AND(ISNUMBER('자료_거시'!$J2707),ISNUMBER('자료_거시'!$K2707)),IFERROR('자료_거시'!$K2707/INDEX($Z$21:$Z$4020,MATCH(EDATE('자료_거시'!$J2707,-'설정'!$B$17),'자료_거시'!$J$3:INDEX('자료_거시'!$J$3:$J$4002,$K$8),1))-1,""),"")</f>
        <v/>
      </c>
      <c r="AB2725">
        <f>IF(ISNUMBER(AA2725),'자료_거시'!$J2707,"")</f>
        <v/>
      </c>
      <c r="AC2725">
        <f>IF(ISNUMBER(AB2725),IF(AB2725&gt;$L$8,AA2725,""),"")</f>
        <v/>
      </c>
    </row>
    <row r="2726">
      <c r="S2726">
        <f>IF(ISNUMBER('자료_거시'!$E2708),'자료_거시'!$E2708,S2725)</f>
        <v/>
      </c>
      <c r="T2726">
        <f>IF(AND(ISNUMBER('자료_거시'!$D2708),ISNUMBER('자료_거시'!$E2708)),IFERROR('자료_거시'!$E2708-INDEX($S$21:$S$4020,MATCH(EDATE('자료_거시'!$D2708,-'설정'!$B$17),'자료_거시'!$D$3:INDEX('자료_거시'!$D$3:$D$4002,$K$6),1)),""),"")</f>
        <v/>
      </c>
      <c r="U2726">
        <f>IF(ISNUMBER(T2726),'자료_거시'!$D2708,"")</f>
        <v/>
      </c>
      <c r="V2726">
        <f>IF(ISNUMBER(U2726),IF(U2726&gt;$L$6,T2726,""),"")</f>
        <v/>
      </c>
      <c r="W2726">
        <f>IF(AND(ISNUMBER('자료_거시'!$G2708),ISNUMBER('자료_거시'!$H2708)),'자료_거시'!$H2708,"")</f>
        <v/>
      </c>
      <c r="X2726">
        <f>IF(ISNUMBER(W2726),'자료_거시'!$G2708,"")</f>
        <v/>
      </c>
      <c r="Y2726">
        <f>IF(ISNUMBER(X2726),IF(X2726&gt;$L$7,W2726,""),"")</f>
        <v/>
      </c>
      <c r="Z2726">
        <f>IF(ISNUMBER('자료_거시'!$K2708),'자료_거시'!$K2708,Z2725)</f>
        <v/>
      </c>
      <c r="AA2726">
        <f>IF(AND(ISNUMBER('자료_거시'!$J2708),ISNUMBER('자료_거시'!$K2708)),IFERROR('자료_거시'!$K2708/INDEX($Z$21:$Z$4020,MATCH(EDATE('자료_거시'!$J2708,-'설정'!$B$17),'자료_거시'!$J$3:INDEX('자료_거시'!$J$3:$J$4002,$K$8),1))-1,""),"")</f>
        <v/>
      </c>
      <c r="AB2726">
        <f>IF(ISNUMBER(AA2726),'자료_거시'!$J2708,"")</f>
        <v/>
      </c>
      <c r="AC2726">
        <f>IF(ISNUMBER(AB2726),IF(AB2726&gt;$L$8,AA2726,""),"")</f>
        <v/>
      </c>
    </row>
    <row r="2727">
      <c r="S2727">
        <f>IF(ISNUMBER('자료_거시'!$E2709),'자료_거시'!$E2709,S2726)</f>
        <v/>
      </c>
      <c r="T2727">
        <f>IF(AND(ISNUMBER('자료_거시'!$D2709),ISNUMBER('자료_거시'!$E2709)),IFERROR('자료_거시'!$E2709-INDEX($S$21:$S$4020,MATCH(EDATE('자료_거시'!$D2709,-'설정'!$B$17),'자료_거시'!$D$3:INDEX('자료_거시'!$D$3:$D$4002,$K$6),1)),""),"")</f>
        <v/>
      </c>
      <c r="U2727">
        <f>IF(ISNUMBER(T2727),'자료_거시'!$D2709,"")</f>
        <v/>
      </c>
      <c r="V2727">
        <f>IF(ISNUMBER(U2727),IF(U2727&gt;$L$6,T2727,""),"")</f>
        <v/>
      </c>
      <c r="W2727">
        <f>IF(AND(ISNUMBER('자료_거시'!$G2709),ISNUMBER('자료_거시'!$H2709)),'자료_거시'!$H2709,"")</f>
        <v/>
      </c>
      <c r="X2727">
        <f>IF(ISNUMBER(W2727),'자료_거시'!$G2709,"")</f>
        <v/>
      </c>
      <c r="Y2727">
        <f>IF(ISNUMBER(X2727),IF(X2727&gt;$L$7,W2727,""),"")</f>
        <v/>
      </c>
      <c r="Z2727">
        <f>IF(ISNUMBER('자료_거시'!$K2709),'자료_거시'!$K2709,Z2726)</f>
        <v/>
      </c>
      <c r="AA2727">
        <f>IF(AND(ISNUMBER('자료_거시'!$J2709),ISNUMBER('자료_거시'!$K2709)),IFERROR('자료_거시'!$K2709/INDEX($Z$21:$Z$4020,MATCH(EDATE('자료_거시'!$J2709,-'설정'!$B$17),'자료_거시'!$J$3:INDEX('자료_거시'!$J$3:$J$4002,$K$8),1))-1,""),"")</f>
        <v/>
      </c>
      <c r="AB2727">
        <f>IF(ISNUMBER(AA2727),'자료_거시'!$J2709,"")</f>
        <v/>
      </c>
      <c r="AC2727">
        <f>IF(ISNUMBER(AB2727),IF(AB2727&gt;$L$8,AA2727,""),"")</f>
        <v/>
      </c>
    </row>
    <row r="2728">
      <c r="S2728">
        <f>IF(ISNUMBER('자료_거시'!$E2710),'자료_거시'!$E2710,S2727)</f>
        <v/>
      </c>
      <c r="T2728">
        <f>IF(AND(ISNUMBER('자료_거시'!$D2710),ISNUMBER('자료_거시'!$E2710)),IFERROR('자료_거시'!$E2710-INDEX($S$21:$S$4020,MATCH(EDATE('자료_거시'!$D2710,-'설정'!$B$17),'자료_거시'!$D$3:INDEX('자료_거시'!$D$3:$D$4002,$K$6),1)),""),"")</f>
        <v/>
      </c>
      <c r="U2728">
        <f>IF(ISNUMBER(T2728),'자료_거시'!$D2710,"")</f>
        <v/>
      </c>
      <c r="V2728">
        <f>IF(ISNUMBER(U2728),IF(U2728&gt;$L$6,T2728,""),"")</f>
        <v/>
      </c>
      <c r="W2728">
        <f>IF(AND(ISNUMBER('자료_거시'!$G2710),ISNUMBER('자료_거시'!$H2710)),'자료_거시'!$H2710,"")</f>
        <v/>
      </c>
      <c r="X2728">
        <f>IF(ISNUMBER(W2728),'자료_거시'!$G2710,"")</f>
        <v/>
      </c>
      <c r="Y2728">
        <f>IF(ISNUMBER(X2728),IF(X2728&gt;$L$7,W2728,""),"")</f>
        <v/>
      </c>
      <c r="Z2728">
        <f>IF(ISNUMBER('자료_거시'!$K2710),'자료_거시'!$K2710,Z2727)</f>
        <v/>
      </c>
      <c r="AA2728">
        <f>IF(AND(ISNUMBER('자료_거시'!$J2710),ISNUMBER('자료_거시'!$K2710)),IFERROR('자료_거시'!$K2710/INDEX($Z$21:$Z$4020,MATCH(EDATE('자료_거시'!$J2710,-'설정'!$B$17),'자료_거시'!$J$3:INDEX('자료_거시'!$J$3:$J$4002,$K$8),1))-1,""),"")</f>
        <v/>
      </c>
      <c r="AB2728">
        <f>IF(ISNUMBER(AA2728),'자료_거시'!$J2710,"")</f>
        <v/>
      </c>
      <c r="AC2728">
        <f>IF(ISNUMBER(AB2728),IF(AB2728&gt;$L$8,AA2728,""),"")</f>
        <v/>
      </c>
    </row>
    <row r="2729">
      <c r="S2729">
        <f>IF(ISNUMBER('자료_거시'!$E2711),'자료_거시'!$E2711,S2728)</f>
        <v/>
      </c>
      <c r="T2729">
        <f>IF(AND(ISNUMBER('자료_거시'!$D2711),ISNUMBER('자료_거시'!$E2711)),IFERROR('자료_거시'!$E2711-INDEX($S$21:$S$4020,MATCH(EDATE('자료_거시'!$D2711,-'설정'!$B$17),'자료_거시'!$D$3:INDEX('자료_거시'!$D$3:$D$4002,$K$6),1)),""),"")</f>
        <v/>
      </c>
      <c r="U2729">
        <f>IF(ISNUMBER(T2729),'자료_거시'!$D2711,"")</f>
        <v/>
      </c>
      <c r="V2729">
        <f>IF(ISNUMBER(U2729),IF(U2729&gt;$L$6,T2729,""),"")</f>
        <v/>
      </c>
      <c r="W2729">
        <f>IF(AND(ISNUMBER('자료_거시'!$G2711),ISNUMBER('자료_거시'!$H2711)),'자료_거시'!$H2711,"")</f>
        <v/>
      </c>
      <c r="X2729">
        <f>IF(ISNUMBER(W2729),'자료_거시'!$G2711,"")</f>
        <v/>
      </c>
      <c r="Y2729">
        <f>IF(ISNUMBER(X2729),IF(X2729&gt;$L$7,W2729,""),"")</f>
        <v/>
      </c>
      <c r="Z2729">
        <f>IF(ISNUMBER('자료_거시'!$K2711),'자료_거시'!$K2711,Z2728)</f>
        <v/>
      </c>
      <c r="AA2729">
        <f>IF(AND(ISNUMBER('자료_거시'!$J2711),ISNUMBER('자료_거시'!$K2711)),IFERROR('자료_거시'!$K2711/INDEX($Z$21:$Z$4020,MATCH(EDATE('자료_거시'!$J2711,-'설정'!$B$17),'자료_거시'!$J$3:INDEX('자료_거시'!$J$3:$J$4002,$K$8),1))-1,""),"")</f>
        <v/>
      </c>
      <c r="AB2729">
        <f>IF(ISNUMBER(AA2729),'자료_거시'!$J2711,"")</f>
        <v/>
      </c>
      <c r="AC2729">
        <f>IF(ISNUMBER(AB2729),IF(AB2729&gt;$L$8,AA2729,""),"")</f>
        <v/>
      </c>
    </row>
    <row r="2730">
      <c r="S2730">
        <f>IF(ISNUMBER('자료_거시'!$E2712),'자료_거시'!$E2712,S2729)</f>
        <v/>
      </c>
      <c r="T2730">
        <f>IF(AND(ISNUMBER('자료_거시'!$D2712),ISNUMBER('자료_거시'!$E2712)),IFERROR('자료_거시'!$E2712-INDEX($S$21:$S$4020,MATCH(EDATE('자료_거시'!$D2712,-'설정'!$B$17),'자료_거시'!$D$3:INDEX('자료_거시'!$D$3:$D$4002,$K$6),1)),""),"")</f>
        <v/>
      </c>
      <c r="U2730">
        <f>IF(ISNUMBER(T2730),'자료_거시'!$D2712,"")</f>
        <v/>
      </c>
      <c r="V2730">
        <f>IF(ISNUMBER(U2730),IF(U2730&gt;$L$6,T2730,""),"")</f>
        <v/>
      </c>
      <c r="W2730">
        <f>IF(AND(ISNUMBER('자료_거시'!$G2712),ISNUMBER('자료_거시'!$H2712)),'자료_거시'!$H2712,"")</f>
        <v/>
      </c>
      <c r="X2730">
        <f>IF(ISNUMBER(W2730),'자료_거시'!$G2712,"")</f>
        <v/>
      </c>
      <c r="Y2730">
        <f>IF(ISNUMBER(X2730),IF(X2730&gt;$L$7,W2730,""),"")</f>
        <v/>
      </c>
      <c r="Z2730">
        <f>IF(ISNUMBER('자료_거시'!$K2712),'자료_거시'!$K2712,Z2729)</f>
        <v/>
      </c>
      <c r="AA2730">
        <f>IF(AND(ISNUMBER('자료_거시'!$J2712),ISNUMBER('자료_거시'!$K2712)),IFERROR('자료_거시'!$K2712/INDEX($Z$21:$Z$4020,MATCH(EDATE('자료_거시'!$J2712,-'설정'!$B$17),'자료_거시'!$J$3:INDEX('자료_거시'!$J$3:$J$4002,$K$8),1))-1,""),"")</f>
        <v/>
      </c>
      <c r="AB2730">
        <f>IF(ISNUMBER(AA2730),'자료_거시'!$J2712,"")</f>
        <v/>
      </c>
      <c r="AC2730">
        <f>IF(ISNUMBER(AB2730),IF(AB2730&gt;$L$8,AA2730,""),"")</f>
        <v/>
      </c>
    </row>
    <row r="2731">
      <c r="S2731">
        <f>IF(ISNUMBER('자료_거시'!$E2713),'자료_거시'!$E2713,S2730)</f>
        <v/>
      </c>
      <c r="T2731">
        <f>IF(AND(ISNUMBER('자료_거시'!$D2713),ISNUMBER('자료_거시'!$E2713)),IFERROR('자료_거시'!$E2713-INDEX($S$21:$S$4020,MATCH(EDATE('자료_거시'!$D2713,-'설정'!$B$17),'자료_거시'!$D$3:INDEX('자료_거시'!$D$3:$D$4002,$K$6),1)),""),"")</f>
        <v/>
      </c>
      <c r="U2731">
        <f>IF(ISNUMBER(T2731),'자료_거시'!$D2713,"")</f>
        <v/>
      </c>
      <c r="V2731">
        <f>IF(ISNUMBER(U2731),IF(U2731&gt;$L$6,T2731,""),"")</f>
        <v/>
      </c>
      <c r="W2731">
        <f>IF(AND(ISNUMBER('자료_거시'!$G2713),ISNUMBER('자료_거시'!$H2713)),'자료_거시'!$H2713,"")</f>
        <v/>
      </c>
      <c r="X2731">
        <f>IF(ISNUMBER(W2731),'자료_거시'!$G2713,"")</f>
        <v/>
      </c>
      <c r="Y2731">
        <f>IF(ISNUMBER(X2731),IF(X2731&gt;$L$7,W2731,""),"")</f>
        <v/>
      </c>
      <c r="Z2731">
        <f>IF(ISNUMBER('자료_거시'!$K2713),'자료_거시'!$K2713,Z2730)</f>
        <v/>
      </c>
      <c r="AA2731">
        <f>IF(AND(ISNUMBER('자료_거시'!$J2713),ISNUMBER('자료_거시'!$K2713)),IFERROR('자료_거시'!$K2713/INDEX($Z$21:$Z$4020,MATCH(EDATE('자료_거시'!$J2713,-'설정'!$B$17),'자료_거시'!$J$3:INDEX('자료_거시'!$J$3:$J$4002,$K$8),1))-1,""),"")</f>
        <v/>
      </c>
      <c r="AB2731">
        <f>IF(ISNUMBER(AA2731),'자료_거시'!$J2713,"")</f>
        <v/>
      </c>
      <c r="AC2731">
        <f>IF(ISNUMBER(AB2731),IF(AB2731&gt;$L$8,AA2731,""),"")</f>
        <v/>
      </c>
    </row>
    <row r="2732">
      <c r="S2732">
        <f>IF(ISNUMBER('자료_거시'!$E2714),'자료_거시'!$E2714,S2731)</f>
        <v/>
      </c>
      <c r="T2732">
        <f>IF(AND(ISNUMBER('자료_거시'!$D2714),ISNUMBER('자료_거시'!$E2714)),IFERROR('자료_거시'!$E2714-INDEX($S$21:$S$4020,MATCH(EDATE('자료_거시'!$D2714,-'설정'!$B$17),'자료_거시'!$D$3:INDEX('자료_거시'!$D$3:$D$4002,$K$6),1)),""),"")</f>
        <v/>
      </c>
      <c r="U2732">
        <f>IF(ISNUMBER(T2732),'자료_거시'!$D2714,"")</f>
        <v/>
      </c>
      <c r="V2732">
        <f>IF(ISNUMBER(U2732),IF(U2732&gt;$L$6,T2732,""),"")</f>
        <v/>
      </c>
      <c r="W2732">
        <f>IF(AND(ISNUMBER('자료_거시'!$G2714),ISNUMBER('자료_거시'!$H2714)),'자료_거시'!$H2714,"")</f>
        <v/>
      </c>
      <c r="X2732">
        <f>IF(ISNUMBER(W2732),'자료_거시'!$G2714,"")</f>
        <v/>
      </c>
      <c r="Y2732">
        <f>IF(ISNUMBER(X2732),IF(X2732&gt;$L$7,W2732,""),"")</f>
        <v/>
      </c>
      <c r="Z2732">
        <f>IF(ISNUMBER('자료_거시'!$K2714),'자료_거시'!$K2714,Z2731)</f>
        <v/>
      </c>
      <c r="AA2732">
        <f>IF(AND(ISNUMBER('자료_거시'!$J2714),ISNUMBER('자료_거시'!$K2714)),IFERROR('자료_거시'!$K2714/INDEX($Z$21:$Z$4020,MATCH(EDATE('자료_거시'!$J2714,-'설정'!$B$17),'자료_거시'!$J$3:INDEX('자료_거시'!$J$3:$J$4002,$K$8),1))-1,""),"")</f>
        <v/>
      </c>
      <c r="AB2732">
        <f>IF(ISNUMBER(AA2732),'자료_거시'!$J2714,"")</f>
        <v/>
      </c>
      <c r="AC2732">
        <f>IF(ISNUMBER(AB2732),IF(AB2732&gt;$L$8,AA2732,""),"")</f>
        <v/>
      </c>
    </row>
    <row r="2733">
      <c r="S2733">
        <f>IF(ISNUMBER('자료_거시'!$E2715),'자료_거시'!$E2715,S2732)</f>
        <v/>
      </c>
      <c r="T2733">
        <f>IF(AND(ISNUMBER('자료_거시'!$D2715),ISNUMBER('자료_거시'!$E2715)),IFERROR('자료_거시'!$E2715-INDEX($S$21:$S$4020,MATCH(EDATE('자료_거시'!$D2715,-'설정'!$B$17),'자료_거시'!$D$3:INDEX('자료_거시'!$D$3:$D$4002,$K$6),1)),""),"")</f>
        <v/>
      </c>
      <c r="U2733">
        <f>IF(ISNUMBER(T2733),'자료_거시'!$D2715,"")</f>
        <v/>
      </c>
      <c r="V2733">
        <f>IF(ISNUMBER(U2733),IF(U2733&gt;$L$6,T2733,""),"")</f>
        <v/>
      </c>
      <c r="W2733">
        <f>IF(AND(ISNUMBER('자료_거시'!$G2715),ISNUMBER('자료_거시'!$H2715)),'자료_거시'!$H2715,"")</f>
        <v/>
      </c>
      <c r="X2733">
        <f>IF(ISNUMBER(W2733),'자료_거시'!$G2715,"")</f>
        <v/>
      </c>
      <c r="Y2733">
        <f>IF(ISNUMBER(X2733),IF(X2733&gt;$L$7,W2733,""),"")</f>
        <v/>
      </c>
      <c r="Z2733">
        <f>IF(ISNUMBER('자료_거시'!$K2715),'자료_거시'!$K2715,Z2732)</f>
        <v/>
      </c>
      <c r="AA2733">
        <f>IF(AND(ISNUMBER('자료_거시'!$J2715),ISNUMBER('자료_거시'!$K2715)),IFERROR('자료_거시'!$K2715/INDEX($Z$21:$Z$4020,MATCH(EDATE('자료_거시'!$J2715,-'설정'!$B$17),'자료_거시'!$J$3:INDEX('자료_거시'!$J$3:$J$4002,$K$8),1))-1,""),"")</f>
        <v/>
      </c>
      <c r="AB2733">
        <f>IF(ISNUMBER(AA2733),'자료_거시'!$J2715,"")</f>
        <v/>
      </c>
      <c r="AC2733">
        <f>IF(ISNUMBER(AB2733),IF(AB2733&gt;$L$8,AA2733,""),"")</f>
        <v/>
      </c>
    </row>
    <row r="2734">
      <c r="S2734">
        <f>IF(ISNUMBER('자료_거시'!$E2716),'자료_거시'!$E2716,S2733)</f>
        <v/>
      </c>
      <c r="T2734">
        <f>IF(AND(ISNUMBER('자료_거시'!$D2716),ISNUMBER('자료_거시'!$E2716)),IFERROR('자료_거시'!$E2716-INDEX($S$21:$S$4020,MATCH(EDATE('자료_거시'!$D2716,-'설정'!$B$17),'자료_거시'!$D$3:INDEX('자료_거시'!$D$3:$D$4002,$K$6),1)),""),"")</f>
        <v/>
      </c>
      <c r="U2734">
        <f>IF(ISNUMBER(T2734),'자료_거시'!$D2716,"")</f>
        <v/>
      </c>
      <c r="V2734">
        <f>IF(ISNUMBER(U2734),IF(U2734&gt;$L$6,T2734,""),"")</f>
        <v/>
      </c>
      <c r="W2734">
        <f>IF(AND(ISNUMBER('자료_거시'!$G2716),ISNUMBER('자료_거시'!$H2716)),'자료_거시'!$H2716,"")</f>
        <v/>
      </c>
      <c r="X2734">
        <f>IF(ISNUMBER(W2734),'자료_거시'!$G2716,"")</f>
        <v/>
      </c>
      <c r="Y2734">
        <f>IF(ISNUMBER(X2734),IF(X2734&gt;$L$7,W2734,""),"")</f>
        <v/>
      </c>
      <c r="Z2734">
        <f>IF(ISNUMBER('자료_거시'!$K2716),'자료_거시'!$K2716,Z2733)</f>
        <v/>
      </c>
      <c r="AA2734">
        <f>IF(AND(ISNUMBER('자료_거시'!$J2716),ISNUMBER('자료_거시'!$K2716)),IFERROR('자료_거시'!$K2716/INDEX($Z$21:$Z$4020,MATCH(EDATE('자료_거시'!$J2716,-'설정'!$B$17),'자료_거시'!$J$3:INDEX('자료_거시'!$J$3:$J$4002,$K$8),1))-1,""),"")</f>
        <v/>
      </c>
      <c r="AB2734">
        <f>IF(ISNUMBER(AA2734),'자료_거시'!$J2716,"")</f>
        <v/>
      </c>
      <c r="AC2734">
        <f>IF(ISNUMBER(AB2734),IF(AB2734&gt;$L$8,AA2734,""),"")</f>
        <v/>
      </c>
    </row>
    <row r="2735">
      <c r="S2735">
        <f>IF(ISNUMBER('자료_거시'!$E2717),'자료_거시'!$E2717,S2734)</f>
        <v/>
      </c>
      <c r="T2735">
        <f>IF(AND(ISNUMBER('자료_거시'!$D2717),ISNUMBER('자료_거시'!$E2717)),IFERROR('자료_거시'!$E2717-INDEX($S$21:$S$4020,MATCH(EDATE('자료_거시'!$D2717,-'설정'!$B$17),'자료_거시'!$D$3:INDEX('자료_거시'!$D$3:$D$4002,$K$6),1)),""),"")</f>
        <v/>
      </c>
      <c r="U2735">
        <f>IF(ISNUMBER(T2735),'자료_거시'!$D2717,"")</f>
        <v/>
      </c>
      <c r="V2735">
        <f>IF(ISNUMBER(U2735),IF(U2735&gt;$L$6,T2735,""),"")</f>
        <v/>
      </c>
      <c r="W2735">
        <f>IF(AND(ISNUMBER('자료_거시'!$G2717),ISNUMBER('자료_거시'!$H2717)),'자료_거시'!$H2717,"")</f>
        <v/>
      </c>
      <c r="X2735">
        <f>IF(ISNUMBER(W2735),'자료_거시'!$G2717,"")</f>
        <v/>
      </c>
      <c r="Y2735">
        <f>IF(ISNUMBER(X2735),IF(X2735&gt;$L$7,W2735,""),"")</f>
        <v/>
      </c>
      <c r="Z2735">
        <f>IF(ISNUMBER('자료_거시'!$K2717),'자료_거시'!$K2717,Z2734)</f>
        <v/>
      </c>
      <c r="AA2735">
        <f>IF(AND(ISNUMBER('자료_거시'!$J2717),ISNUMBER('자료_거시'!$K2717)),IFERROR('자료_거시'!$K2717/INDEX($Z$21:$Z$4020,MATCH(EDATE('자료_거시'!$J2717,-'설정'!$B$17),'자료_거시'!$J$3:INDEX('자료_거시'!$J$3:$J$4002,$K$8),1))-1,""),"")</f>
        <v/>
      </c>
      <c r="AB2735">
        <f>IF(ISNUMBER(AA2735),'자료_거시'!$J2717,"")</f>
        <v/>
      </c>
      <c r="AC2735">
        <f>IF(ISNUMBER(AB2735),IF(AB2735&gt;$L$8,AA2735,""),"")</f>
        <v/>
      </c>
    </row>
    <row r="2736">
      <c r="S2736">
        <f>IF(ISNUMBER('자료_거시'!$E2718),'자료_거시'!$E2718,S2735)</f>
        <v/>
      </c>
      <c r="T2736">
        <f>IF(AND(ISNUMBER('자료_거시'!$D2718),ISNUMBER('자료_거시'!$E2718)),IFERROR('자료_거시'!$E2718-INDEX($S$21:$S$4020,MATCH(EDATE('자료_거시'!$D2718,-'설정'!$B$17),'자료_거시'!$D$3:INDEX('자료_거시'!$D$3:$D$4002,$K$6),1)),""),"")</f>
        <v/>
      </c>
      <c r="U2736">
        <f>IF(ISNUMBER(T2736),'자료_거시'!$D2718,"")</f>
        <v/>
      </c>
      <c r="V2736">
        <f>IF(ISNUMBER(U2736),IF(U2736&gt;$L$6,T2736,""),"")</f>
        <v/>
      </c>
      <c r="W2736">
        <f>IF(AND(ISNUMBER('자료_거시'!$G2718),ISNUMBER('자료_거시'!$H2718)),'자료_거시'!$H2718,"")</f>
        <v/>
      </c>
      <c r="X2736">
        <f>IF(ISNUMBER(W2736),'자료_거시'!$G2718,"")</f>
        <v/>
      </c>
      <c r="Y2736">
        <f>IF(ISNUMBER(X2736),IF(X2736&gt;$L$7,W2736,""),"")</f>
        <v/>
      </c>
      <c r="Z2736">
        <f>IF(ISNUMBER('자료_거시'!$K2718),'자료_거시'!$K2718,Z2735)</f>
        <v/>
      </c>
      <c r="AA2736">
        <f>IF(AND(ISNUMBER('자료_거시'!$J2718),ISNUMBER('자료_거시'!$K2718)),IFERROR('자료_거시'!$K2718/INDEX($Z$21:$Z$4020,MATCH(EDATE('자료_거시'!$J2718,-'설정'!$B$17),'자료_거시'!$J$3:INDEX('자료_거시'!$J$3:$J$4002,$K$8),1))-1,""),"")</f>
        <v/>
      </c>
      <c r="AB2736">
        <f>IF(ISNUMBER(AA2736),'자료_거시'!$J2718,"")</f>
        <v/>
      </c>
      <c r="AC2736">
        <f>IF(ISNUMBER(AB2736),IF(AB2736&gt;$L$8,AA2736,""),"")</f>
        <v/>
      </c>
    </row>
    <row r="2737">
      <c r="S2737">
        <f>IF(ISNUMBER('자료_거시'!$E2719),'자료_거시'!$E2719,S2736)</f>
        <v/>
      </c>
      <c r="T2737">
        <f>IF(AND(ISNUMBER('자료_거시'!$D2719),ISNUMBER('자료_거시'!$E2719)),IFERROR('자료_거시'!$E2719-INDEX($S$21:$S$4020,MATCH(EDATE('자료_거시'!$D2719,-'설정'!$B$17),'자료_거시'!$D$3:INDEX('자료_거시'!$D$3:$D$4002,$K$6),1)),""),"")</f>
        <v/>
      </c>
      <c r="U2737">
        <f>IF(ISNUMBER(T2737),'자료_거시'!$D2719,"")</f>
        <v/>
      </c>
      <c r="V2737">
        <f>IF(ISNUMBER(U2737),IF(U2737&gt;$L$6,T2737,""),"")</f>
        <v/>
      </c>
      <c r="W2737">
        <f>IF(AND(ISNUMBER('자료_거시'!$G2719),ISNUMBER('자료_거시'!$H2719)),'자료_거시'!$H2719,"")</f>
        <v/>
      </c>
      <c r="X2737">
        <f>IF(ISNUMBER(W2737),'자료_거시'!$G2719,"")</f>
        <v/>
      </c>
      <c r="Y2737">
        <f>IF(ISNUMBER(X2737),IF(X2737&gt;$L$7,W2737,""),"")</f>
        <v/>
      </c>
      <c r="Z2737">
        <f>IF(ISNUMBER('자료_거시'!$K2719),'자료_거시'!$K2719,Z2736)</f>
        <v/>
      </c>
      <c r="AA2737">
        <f>IF(AND(ISNUMBER('자료_거시'!$J2719),ISNUMBER('자료_거시'!$K2719)),IFERROR('자료_거시'!$K2719/INDEX($Z$21:$Z$4020,MATCH(EDATE('자료_거시'!$J2719,-'설정'!$B$17),'자료_거시'!$J$3:INDEX('자료_거시'!$J$3:$J$4002,$K$8),1))-1,""),"")</f>
        <v/>
      </c>
      <c r="AB2737">
        <f>IF(ISNUMBER(AA2737),'자료_거시'!$J2719,"")</f>
        <v/>
      </c>
      <c r="AC2737">
        <f>IF(ISNUMBER(AB2737),IF(AB2737&gt;$L$8,AA2737,""),"")</f>
        <v/>
      </c>
    </row>
    <row r="2738">
      <c r="S2738">
        <f>IF(ISNUMBER('자료_거시'!$E2720),'자료_거시'!$E2720,S2737)</f>
        <v/>
      </c>
      <c r="T2738">
        <f>IF(AND(ISNUMBER('자료_거시'!$D2720),ISNUMBER('자료_거시'!$E2720)),IFERROR('자료_거시'!$E2720-INDEX($S$21:$S$4020,MATCH(EDATE('자료_거시'!$D2720,-'설정'!$B$17),'자료_거시'!$D$3:INDEX('자료_거시'!$D$3:$D$4002,$K$6),1)),""),"")</f>
        <v/>
      </c>
      <c r="U2738">
        <f>IF(ISNUMBER(T2738),'자료_거시'!$D2720,"")</f>
        <v/>
      </c>
      <c r="V2738">
        <f>IF(ISNUMBER(U2738),IF(U2738&gt;$L$6,T2738,""),"")</f>
        <v/>
      </c>
      <c r="W2738">
        <f>IF(AND(ISNUMBER('자료_거시'!$G2720),ISNUMBER('자료_거시'!$H2720)),'자료_거시'!$H2720,"")</f>
        <v/>
      </c>
      <c r="X2738">
        <f>IF(ISNUMBER(W2738),'자료_거시'!$G2720,"")</f>
        <v/>
      </c>
      <c r="Y2738">
        <f>IF(ISNUMBER(X2738),IF(X2738&gt;$L$7,W2738,""),"")</f>
        <v/>
      </c>
      <c r="Z2738">
        <f>IF(ISNUMBER('자료_거시'!$K2720),'자료_거시'!$K2720,Z2737)</f>
        <v/>
      </c>
      <c r="AA2738">
        <f>IF(AND(ISNUMBER('자료_거시'!$J2720),ISNUMBER('자료_거시'!$K2720)),IFERROR('자료_거시'!$K2720/INDEX($Z$21:$Z$4020,MATCH(EDATE('자료_거시'!$J2720,-'설정'!$B$17),'자료_거시'!$J$3:INDEX('자료_거시'!$J$3:$J$4002,$K$8),1))-1,""),"")</f>
        <v/>
      </c>
      <c r="AB2738">
        <f>IF(ISNUMBER(AA2738),'자료_거시'!$J2720,"")</f>
        <v/>
      </c>
      <c r="AC2738">
        <f>IF(ISNUMBER(AB2738),IF(AB2738&gt;$L$8,AA2738,""),"")</f>
        <v/>
      </c>
    </row>
    <row r="2739">
      <c r="S2739">
        <f>IF(ISNUMBER('자료_거시'!$E2721),'자료_거시'!$E2721,S2738)</f>
        <v/>
      </c>
      <c r="T2739">
        <f>IF(AND(ISNUMBER('자료_거시'!$D2721),ISNUMBER('자료_거시'!$E2721)),IFERROR('자료_거시'!$E2721-INDEX($S$21:$S$4020,MATCH(EDATE('자료_거시'!$D2721,-'설정'!$B$17),'자료_거시'!$D$3:INDEX('자료_거시'!$D$3:$D$4002,$K$6),1)),""),"")</f>
        <v/>
      </c>
      <c r="U2739">
        <f>IF(ISNUMBER(T2739),'자료_거시'!$D2721,"")</f>
        <v/>
      </c>
      <c r="V2739">
        <f>IF(ISNUMBER(U2739),IF(U2739&gt;$L$6,T2739,""),"")</f>
        <v/>
      </c>
      <c r="W2739">
        <f>IF(AND(ISNUMBER('자료_거시'!$G2721),ISNUMBER('자료_거시'!$H2721)),'자료_거시'!$H2721,"")</f>
        <v/>
      </c>
      <c r="X2739">
        <f>IF(ISNUMBER(W2739),'자료_거시'!$G2721,"")</f>
        <v/>
      </c>
      <c r="Y2739">
        <f>IF(ISNUMBER(X2739),IF(X2739&gt;$L$7,W2739,""),"")</f>
        <v/>
      </c>
      <c r="Z2739">
        <f>IF(ISNUMBER('자료_거시'!$K2721),'자료_거시'!$K2721,Z2738)</f>
        <v/>
      </c>
      <c r="AA2739">
        <f>IF(AND(ISNUMBER('자료_거시'!$J2721),ISNUMBER('자료_거시'!$K2721)),IFERROR('자료_거시'!$K2721/INDEX($Z$21:$Z$4020,MATCH(EDATE('자료_거시'!$J2721,-'설정'!$B$17),'자료_거시'!$J$3:INDEX('자료_거시'!$J$3:$J$4002,$K$8),1))-1,""),"")</f>
        <v/>
      </c>
      <c r="AB2739">
        <f>IF(ISNUMBER(AA2739),'자료_거시'!$J2721,"")</f>
        <v/>
      </c>
      <c r="AC2739">
        <f>IF(ISNUMBER(AB2739),IF(AB2739&gt;$L$8,AA2739,""),"")</f>
        <v/>
      </c>
    </row>
    <row r="2740">
      <c r="S2740">
        <f>IF(ISNUMBER('자료_거시'!$E2722),'자료_거시'!$E2722,S2739)</f>
        <v/>
      </c>
      <c r="T2740">
        <f>IF(AND(ISNUMBER('자료_거시'!$D2722),ISNUMBER('자료_거시'!$E2722)),IFERROR('자료_거시'!$E2722-INDEX($S$21:$S$4020,MATCH(EDATE('자료_거시'!$D2722,-'설정'!$B$17),'자료_거시'!$D$3:INDEX('자료_거시'!$D$3:$D$4002,$K$6),1)),""),"")</f>
        <v/>
      </c>
      <c r="U2740">
        <f>IF(ISNUMBER(T2740),'자료_거시'!$D2722,"")</f>
        <v/>
      </c>
      <c r="V2740">
        <f>IF(ISNUMBER(U2740),IF(U2740&gt;$L$6,T2740,""),"")</f>
        <v/>
      </c>
      <c r="W2740">
        <f>IF(AND(ISNUMBER('자료_거시'!$G2722),ISNUMBER('자료_거시'!$H2722)),'자료_거시'!$H2722,"")</f>
        <v/>
      </c>
      <c r="X2740">
        <f>IF(ISNUMBER(W2740),'자료_거시'!$G2722,"")</f>
        <v/>
      </c>
      <c r="Y2740">
        <f>IF(ISNUMBER(X2740),IF(X2740&gt;$L$7,W2740,""),"")</f>
        <v/>
      </c>
      <c r="Z2740">
        <f>IF(ISNUMBER('자료_거시'!$K2722),'자료_거시'!$K2722,Z2739)</f>
        <v/>
      </c>
      <c r="AA2740">
        <f>IF(AND(ISNUMBER('자료_거시'!$J2722),ISNUMBER('자료_거시'!$K2722)),IFERROR('자료_거시'!$K2722/INDEX($Z$21:$Z$4020,MATCH(EDATE('자료_거시'!$J2722,-'설정'!$B$17),'자료_거시'!$J$3:INDEX('자료_거시'!$J$3:$J$4002,$K$8),1))-1,""),"")</f>
        <v/>
      </c>
      <c r="AB2740">
        <f>IF(ISNUMBER(AA2740),'자료_거시'!$J2722,"")</f>
        <v/>
      </c>
      <c r="AC2740">
        <f>IF(ISNUMBER(AB2740),IF(AB2740&gt;$L$8,AA2740,""),"")</f>
        <v/>
      </c>
    </row>
    <row r="2741">
      <c r="S2741">
        <f>IF(ISNUMBER('자료_거시'!$E2723),'자료_거시'!$E2723,S2740)</f>
        <v/>
      </c>
      <c r="T2741">
        <f>IF(AND(ISNUMBER('자료_거시'!$D2723),ISNUMBER('자료_거시'!$E2723)),IFERROR('자료_거시'!$E2723-INDEX($S$21:$S$4020,MATCH(EDATE('자료_거시'!$D2723,-'설정'!$B$17),'자료_거시'!$D$3:INDEX('자료_거시'!$D$3:$D$4002,$K$6),1)),""),"")</f>
        <v/>
      </c>
      <c r="U2741">
        <f>IF(ISNUMBER(T2741),'자료_거시'!$D2723,"")</f>
        <v/>
      </c>
      <c r="V2741">
        <f>IF(ISNUMBER(U2741),IF(U2741&gt;$L$6,T2741,""),"")</f>
        <v/>
      </c>
      <c r="W2741">
        <f>IF(AND(ISNUMBER('자료_거시'!$G2723),ISNUMBER('자료_거시'!$H2723)),'자료_거시'!$H2723,"")</f>
        <v/>
      </c>
      <c r="X2741">
        <f>IF(ISNUMBER(W2741),'자료_거시'!$G2723,"")</f>
        <v/>
      </c>
      <c r="Y2741">
        <f>IF(ISNUMBER(X2741),IF(X2741&gt;$L$7,W2741,""),"")</f>
        <v/>
      </c>
      <c r="Z2741">
        <f>IF(ISNUMBER('자료_거시'!$K2723),'자료_거시'!$K2723,Z2740)</f>
        <v/>
      </c>
      <c r="AA2741">
        <f>IF(AND(ISNUMBER('자료_거시'!$J2723),ISNUMBER('자료_거시'!$K2723)),IFERROR('자료_거시'!$K2723/INDEX($Z$21:$Z$4020,MATCH(EDATE('자료_거시'!$J2723,-'설정'!$B$17),'자료_거시'!$J$3:INDEX('자료_거시'!$J$3:$J$4002,$K$8),1))-1,""),"")</f>
        <v/>
      </c>
      <c r="AB2741">
        <f>IF(ISNUMBER(AA2741),'자료_거시'!$J2723,"")</f>
        <v/>
      </c>
      <c r="AC2741">
        <f>IF(ISNUMBER(AB2741),IF(AB2741&gt;$L$8,AA2741,""),"")</f>
        <v/>
      </c>
    </row>
    <row r="2742">
      <c r="S2742">
        <f>IF(ISNUMBER('자료_거시'!$E2724),'자료_거시'!$E2724,S2741)</f>
        <v/>
      </c>
      <c r="T2742">
        <f>IF(AND(ISNUMBER('자료_거시'!$D2724),ISNUMBER('자료_거시'!$E2724)),IFERROR('자료_거시'!$E2724-INDEX($S$21:$S$4020,MATCH(EDATE('자료_거시'!$D2724,-'설정'!$B$17),'자료_거시'!$D$3:INDEX('자료_거시'!$D$3:$D$4002,$K$6),1)),""),"")</f>
        <v/>
      </c>
      <c r="U2742">
        <f>IF(ISNUMBER(T2742),'자료_거시'!$D2724,"")</f>
        <v/>
      </c>
      <c r="V2742">
        <f>IF(ISNUMBER(U2742),IF(U2742&gt;$L$6,T2742,""),"")</f>
        <v/>
      </c>
      <c r="W2742">
        <f>IF(AND(ISNUMBER('자료_거시'!$G2724),ISNUMBER('자료_거시'!$H2724)),'자료_거시'!$H2724,"")</f>
        <v/>
      </c>
      <c r="X2742">
        <f>IF(ISNUMBER(W2742),'자료_거시'!$G2724,"")</f>
        <v/>
      </c>
      <c r="Y2742">
        <f>IF(ISNUMBER(X2742),IF(X2742&gt;$L$7,W2742,""),"")</f>
        <v/>
      </c>
      <c r="Z2742">
        <f>IF(ISNUMBER('자료_거시'!$K2724),'자료_거시'!$K2724,Z2741)</f>
        <v/>
      </c>
      <c r="AA2742">
        <f>IF(AND(ISNUMBER('자료_거시'!$J2724),ISNUMBER('자료_거시'!$K2724)),IFERROR('자료_거시'!$K2724/INDEX($Z$21:$Z$4020,MATCH(EDATE('자료_거시'!$J2724,-'설정'!$B$17),'자료_거시'!$J$3:INDEX('자료_거시'!$J$3:$J$4002,$K$8),1))-1,""),"")</f>
        <v/>
      </c>
      <c r="AB2742">
        <f>IF(ISNUMBER(AA2742),'자료_거시'!$J2724,"")</f>
        <v/>
      </c>
      <c r="AC2742">
        <f>IF(ISNUMBER(AB2742),IF(AB2742&gt;$L$8,AA2742,""),"")</f>
        <v/>
      </c>
    </row>
    <row r="2743">
      <c r="S2743">
        <f>IF(ISNUMBER('자료_거시'!$E2725),'자료_거시'!$E2725,S2742)</f>
        <v/>
      </c>
      <c r="T2743">
        <f>IF(AND(ISNUMBER('자료_거시'!$D2725),ISNUMBER('자료_거시'!$E2725)),IFERROR('자료_거시'!$E2725-INDEX($S$21:$S$4020,MATCH(EDATE('자료_거시'!$D2725,-'설정'!$B$17),'자료_거시'!$D$3:INDEX('자료_거시'!$D$3:$D$4002,$K$6),1)),""),"")</f>
        <v/>
      </c>
      <c r="U2743">
        <f>IF(ISNUMBER(T2743),'자료_거시'!$D2725,"")</f>
        <v/>
      </c>
      <c r="V2743">
        <f>IF(ISNUMBER(U2743),IF(U2743&gt;$L$6,T2743,""),"")</f>
        <v/>
      </c>
      <c r="W2743">
        <f>IF(AND(ISNUMBER('자료_거시'!$G2725),ISNUMBER('자료_거시'!$H2725)),'자료_거시'!$H2725,"")</f>
        <v/>
      </c>
      <c r="X2743">
        <f>IF(ISNUMBER(W2743),'자료_거시'!$G2725,"")</f>
        <v/>
      </c>
      <c r="Y2743">
        <f>IF(ISNUMBER(X2743),IF(X2743&gt;$L$7,W2743,""),"")</f>
        <v/>
      </c>
      <c r="Z2743">
        <f>IF(ISNUMBER('자료_거시'!$K2725),'자료_거시'!$K2725,Z2742)</f>
        <v/>
      </c>
      <c r="AA2743">
        <f>IF(AND(ISNUMBER('자료_거시'!$J2725),ISNUMBER('자료_거시'!$K2725)),IFERROR('자료_거시'!$K2725/INDEX($Z$21:$Z$4020,MATCH(EDATE('자료_거시'!$J2725,-'설정'!$B$17),'자료_거시'!$J$3:INDEX('자료_거시'!$J$3:$J$4002,$K$8),1))-1,""),"")</f>
        <v/>
      </c>
      <c r="AB2743">
        <f>IF(ISNUMBER(AA2743),'자료_거시'!$J2725,"")</f>
        <v/>
      </c>
      <c r="AC2743">
        <f>IF(ISNUMBER(AB2743),IF(AB2743&gt;$L$8,AA2743,""),"")</f>
        <v/>
      </c>
    </row>
    <row r="2744">
      <c r="S2744">
        <f>IF(ISNUMBER('자료_거시'!$E2726),'자료_거시'!$E2726,S2743)</f>
        <v/>
      </c>
      <c r="T2744">
        <f>IF(AND(ISNUMBER('자료_거시'!$D2726),ISNUMBER('자료_거시'!$E2726)),IFERROR('자료_거시'!$E2726-INDEX($S$21:$S$4020,MATCH(EDATE('자료_거시'!$D2726,-'설정'!$B$17),'자료_거시'!$D$3:INDEX('자료_거시'!$D$3:$D$4002,$K$6),1)),""),"")</f>
        <v/>
      </c>
      <c r="U2744">
        <f>IF(ISNUMBER(T2744),'자료_거시'!$D2726,"")</f>
        <v/>
      </c>
      <c r="V2744">
        <f>IF(ISNUMBER(U2744),IF(U2744&gt;$L$6,T2744,""),"")</f>
        <v/>
      </c>
      <c r="W2744">
        <f>IF(AND(ISNUMBER('자료_거시'!$G2726),ISNUMBER('자료_거시'!$H2726)),'자료_거시'!$H2726,"")</f>
        <v/>
      </c>
      <c r="X2744">
        <f>IF(ISNUMBER(W2744),'자료_거시'!$G2726,"")</f>
        <v/>
      </c>
      <c r="Y2744">
        <f>IF(ISNUMBER(X2744),IF(X2744&gt;$L$7,W2744,""),"")</f>
        <v/>
      </c>
      <c r="Z2744">
        <f>IF(ISNUMBER('자료_거시'!$K2726),'자료_거시'!$K2726,Z2743)</f>
        <v/>
      </c>
      <c r="AA2744">
        <f>IF(AND(ISNUMBER('자료_거시'!$J2726),ISNUMBER('자료_거시'!$K2726)),IFERROR('자료_거시'!$K2726/INDEX($Z$21:$Z$4020,MATCH(EDATE('자료_거시'!$J2726,-'설정'!$B$17),'자료_거시'!$J$3:INDEX('자료_거시'!$J$3:$J$4002,$K$8),1))-1,""),"")</f>
        <v/>
      </c>
      <c r="AB2744">
        <f>IF(ISNUMBER(AA2744),'자료_거시'!$J2726,"")</f>
        <v/>
      </c>
      <c r="AC2744">
        <f>IF(ISNUMBER(AB2744),IF(AB2744&gt;$L$8,AA2744,""),"")</f>
        <v/>
      </c>
    </row>
    <row r="2745">
      <c r="S2745">
        <f>IF(ISNUMBER('자료_거시'!$E2727),'자료_거시'!$E2727,S2744)</f>
        <v/>
      </c>
      <c r="T2745">
        <f>IF(AND(ISNUMBER('자료_거시'!$D2727),ISNUMBER('자료_거시'!$E2727)),IFERROR('자료_거시'!$E2727-INDEX($S$21:$S$4020,MATCH(EDATE('자료_거시'!$D2727,-'설정'!$B$17),'자료_거시'!$D$3:INDEX('자료_거시'!$D$3:$D$4002,$K$6),1)),""),"")</f>
        <v/>
      </c>
      <c r="U2745">
        <f>IF(ISNUMBER(T2745),'자료_거시'!$D2727,"")</f>
        <v/>
      </c>
      <c r="V2745">
        <f>IF(ISNUMBER(U2745),IF(U2745&gt;$L$6,T2745,""),"")</f>
        <v/>
      </c>
      <c r="W2745">
        <f>IF(AND(ISNUMBER('자료_거시'!$G2727),ISNUMBER('자료_거시'!$H2727)),'자료_거시'!$H2727,"")</f>
        <v/>
      </c>
      <c r="X2745">
        <f>IF(ISNUMBER(W2745),'자료_거시'!$G2727,"")</f>
        <v/>
      </c>
      <c r="Y2745">
        <f>IF(ISNUMBER(X2745),IF(X2745&gt;$L$7,W2745,""),"")</f>
        <v/>
      </c>
      <c r="Z2745">
        <f>IF(ISNUMBER('자료_거시'!$K2727),'자료_거시'!$K2727,Z2744)</f>
        <v/>
      </c>
      <c r="AA2745">
        <f>IF(AND(ISNUMBER('자료_거시'!$J2727),ISNUMBER('자료_거시'!$K2727)),IFERROR('자료_거시'!$K2727/INDEX($Z$21:$Z$4020,MATCH(EDATE('자료_거시'!$J2727,-'설정'!$B$17),'자료_거시'!$J$3:INDEX('자료_거시'!$J$3:$J$4002,$K$8),1))-1,""),"")</f>
        <v/>
      </c>
      <c r="AB2745">
        <f>IF(ISNUMBER(AA2745),'자료_거시'!$J2727,"")</f>
        <v/>
      </c>
      <c r="AC2745">
        <f>IF(ISNUMBER(AB2745),IF(AB2745&gt;$L$8,AA2745,""),"")</f>
        <v/>
      </c>
    </row>
    <row r="2746">
      <c r="S2746">
        <f>IF(ISNUMBER('자료_거시'!$E2728),'자료_거시'!$E2728,S2745)</f>
        <v/>
      </c>
      <c r="T2746">
        <f>IF(AND(ISNUMBER('자료_거시'!$D2728),ISNUMBER('자료_거시'!$E2728)),IFERROR('자료_거시'!$E2728-INDEX($S$21:$S$4020,MATCH(EDATE('자료_거시'!$D2728,-'설정'!$B$17),'자료_거시'!$D$3:INDEX('자료_거시'!$D$3:$D$4002,$K$6),1)),""),"")</f>
        <v/>
      </c>
      <c r="U2746">
        <f>IF(ISNUMBER(T2746),'자료_거시'!$D2728,"")</f>
        <v/>
      </c>
      <c r="V2746">
        <f>IF(ISNUMBER(U2746),IF(U2746&gt;$L$6,T2746,""),"")</f>
        <v/>
      </c>
      <c r="W2746">
        <f>IF(AND(ISNUMBER('자료_거시'!$G2728),ISNUMBER('자료_거시'!$H2728)),'자료_거시'!$H2728,"")</f>
        <v/>
      </c>
      <c r="X2746">
        <f>IF(ISNUMBER(W2746),'자료_거시'!$G2728,"")</f>
        <v/>
      </c>
      <c r="Y2746">
        <f>IF(ISNUMBER(X2746),IF(X2746&gt;$L$7,W2746,""),"")</f>
        <v/>
      </c>
      <c r="Z2746">
        <f>IF(ISNUMBER('자료_거시'!$K2728),'자료_거시'!$K2728,Z2745)</f>
        <v/>
      </c>
      <c r="AA2746">
        <f>IF(AND(ISNUMBER('자료_거시'!$J2728),ISNUMBER('자료_거시'!$K2728)),IFERROR('자료_거시'!$K2728/INDEX($Z$21:$Z$4020,MATCH(EDATE('자료_거시'!$J2728,-'설정'!$B$17),'자료_거시'!$J$3:INDEX('자료_거시'!$J$3:$J$4002,$K$8),1))-1,""),"")</f>
        <v/>
      </c>
      <c r="AB2746">
        <f>IF(ISNUMBER(AA2746),'자료_거시'!$J2728,"")</f>
        <v/>
      </c>
      <c r="AC2746">
        <f>IF(ISNUMBER(AB2746),IF(AB2746&gt;$L$8,AA2746,""),"")</f>
        <v/>
      </c>
    </row>
    <row r="2747">
      <c r="S2747">
        <f>IF(ISNUMBER('자료_거시'!$E2729),'자료_거시'!$E2729,S2746)</f>
        <v/>
      </c>
      <c r="T2747">
        <f>IF(AND(ISNUMBER('자료_거시'!$D2729),ISNUMBER('자료_거시'!$E2729)),IFERROR('자료_거시'!$E2729-INDEX($S$21:$S$4020,MATCH(EDATE('자료_거시'!$D2729,-'설정'!$B$17),'자료_거시'!$D$3:INDEX('자료_거시'!$D$3:$D$4002,$K$6),1)),""),"")</f>
        <v/>
      </c>
      <c r="U2747">
        <f>IF(ISNUMBER(T2747),'자료_거시'!$D2729,"")</f>
        <v/>
      </c>
      <c r="V2747">
        <f>IF(ISNUMBER(U2747),IF(U2747&gt;$L$6,T2747,""),"")</f>
        <v/>
      </c>
      <c r="W2747">
        <f>IF(AND(ISNUMBER('자료_거시'!$G2729),ISNUMBER('자료_거시'!$H2729)),'자료_거시'!$H2729,"")</f>
        <v/>
      </c>
      <c r="X2747">
        <f>IF(ISNUMBER(W2747),'자료_거시'!$G2729,"")</f>
        <v/>
      </c>
      <c r="Y2747">
        <f>IF(ISNUMBER(X2747),IF(X2747&gt;$L$7,W2747,""),"")</f>
        <v/>
      </c>
      <c r="Z2747">
        <f>IF(ISNUMBER('자료_거시'!$K2729),'자료_거시'!$K2729,Z2746)</f>
        <v/>
      </c>
      <c r="AA2747">
        <f>IF(AND(ISNUMBER('자료_거시'!$J2729),ISNUMBER('자료_거시'!$K2729)),IFERROR('자료_거시'!$K2729/INDEX($Z$21:$Z$4020,MATCH(EDATE('자료_거시'!$J2729,-'설정'!$B$17),'자료_거시'!$J$3:INDEX('자료_거시'!$J$3:$J$4002,$K$8),1))-1,""),"")</f>
        <v/>
      </c>
      <c r="AB2747">
        <f>IF(ISNUMBER(AA2747),'자료_거시'!$J2729,"")</f>
        <v/>
      </c>
      <c r="AC2747">
        <f>IF(ISNUMBER(AB2747),IF(AB2747&gt;$L$8,AA2747,""),"")</f>
        <v/>
      </c>
    </row>
    <row r="2748">
      <c r="S2748">
        <f>IF(ISNUMBER('자료_거시'!$E2730),'자료_거시'!$E2730,S2747)</f>
        <v/>
      </c>
      <c r="T2748">
        <f>IF(AND(ISNUMBER('자료_거시'!$D2730),ISNUMBER('자료_거시'!$E2730)),IFERROR('자료_거시'!$E2730-INDEX($S$21:$S$4020,MATCH(EDATE('자료_거시'!$D2730,-'설정'!$B$17),'자료_거시'!$D$3:INDEX('자료_거시'!$D$3:$D$4002,$K$6),1)),""),"")</f>
        <v/>
      </c>
      <c r="U2748">
        <f>IF(ISNUMBER(T2748),'자료_거시'!$D2730,"")</f>
        <v/>
      </c>
      <c r="V2748">
        <f>IF(ISNUMBER(U2748),IF(U2748&gt;$L$6,T2748,""),"")</f>
        <v/>
      </c>
      <c r="W2748">
        <f>IF(AND(ISNUMBER('자료_거시'!$G2730),ISNUMBER('자료_거시'!$H2730)),'자료_거시'!$H2730,"")</f>
        <v/>
      </c>
      <c r="X2748">
        <f>IF(ISNUMBER(W2748),'자료_거시'!$G2730,"")</f>
        <v/>
      </c>
      <c r="Y2748">
        <f>IF(ISNUMBER(X2748),IF(X2748&gt;$L$7,W2748,""),"")</f>
        <v/>
      </c>
      <c r="Z2748">
        <f>IF(ISNUMBER('자료_거시'!$K2730),'자료_거시'!$K2730,Z2747)</f>
        <v/>
      </c>
      <c r="AA2748">
        <f>IF(AND(ISNUMBER('자료_거시'!$J2730),ISNUMBER('자료_거시'!$K2730)),IFERROR('자료_거시'!$K2730/INDEX($Z$21:$Z$4020,MATCH(EDATE('자료_거시'!$J2730,-'설정'!$B$17),'자료_거시'!$J$3:INDEX('자료_거시'!$J$3:$J$4002,$K$8),1))-1,""),"")</f>
        <v/>
      </c>
      <c r="AB2748">
        <f>IF(ISNUMBER(AA2748),'자료_거시'!$J2730,"")</f>
        <v/>
      </c>
      <c r="AC2748">
        <f>IF(ISNUMBER(AB2748),IF(AB2748&gt;$L$8,AA2748,""),"")</f>
        <v/>
      </c>
    </row>
    <row r="2749">
      <c r="S2749">
        <f>IF(ISNUMBER('자료_거시'!$E2731),'자료_거시'!$E2731,S2748)</f>
        <v/>
      </c>
      <c r="T2749">
        <f>IF(AND(ISNUMBER('자료_거시'!$D2731),ISNUMBER('자료_거시'!$E2731)),IFERROR('자료_거시'!$E2731-INDEX($S$21:$S$4020,MATCH(EDATE('자료_거시'!$D2731,-'설정'!$B$17),'자료_거시'!$D$3:INDEX('자료_거시'!$D$3:$D$4002,$K$6),1)),""),"")</f>
        <v/>
      </c>
      <c r="U2749">
        <f>IF(ISNUMBER(T2749),'자료_거시'!$D2731,"")</f>
        <v/>
      </c>
      <c r="V2749">
        <f>IF(ISNUMBER(U2749),IF(U2749&gt;$L$6,T2749,""),"")</f>
        <v/>
      </c>
      <c r="W2749">
        <f>IF(AND(ISNUMBER('자료_거시'!$G2731),ISNUMBER('자료_거시'!$H2731)),'자료_거시'!$H2731,"")</f>
        <v/>
      </c>
      <c r="X2749">
        <f>IF(ISNUMBER(W2749),'자료_거시'!$G2731,"")</f>
        <v/>
      </c>
      <c r="Y2749">
        <f>IF(ISNUMBER(X2749),IF(X2749&gt;$L$7,W2749,""),"")</f>
        <v/>
      </c>
      <c r="Z2749">
        <f>IF(ISNUMBER('자료_거시'!$K2731),'자료_거시'!$K2731,Z2748)</f>
        <v/>
      </c>
      <c r="AA2749">
        <f>IF(AND(ISNUMBER('자료_거시'!$J2731),ISNUMBER('자료_거시'!$K2731)),IFERROR('자료_거시'!$K2731/INDEX($Z$21:$Z$4020,MATCH(EDATE('자료_거시'!$J2731,-'설정'!$B$17),'자료_거시'!$J$3:INDEX('자료_거시'!$J$3:$J$4002,$K$8),1))-1,""),"")</f>
        <v/>
      </c>
      <c r="AB2749">
        <f>IF(ISNUMBER(AA2749),'자료_거시'!$J2731,"")</f>
        <v/>
      </c>
      <c r="AC2749">
        <f>IF(ISNUMBER(AB2749),IF(AB2749&gt;$L$8,AA2749,""),"")</f>
        <v/>
      </c>
    </row>
    <row r="2750">
      <c r="S2750">
        <f>IF(ISNUMBER('자료_거시'!$E2732),'자료_거시'!$E2732,S2749)</f>
        <v/>
      </c>
      <c r="T2750">
        <f>IF(AND(ISNUMBER('자료_거시'!$D2732),ISNUMBER('자료_거시'!$E2732)),IFERROR('자료_거시'!$E2732-INDEX($S$21:$S$4020,MATCH(EDATE('자료_거시'!$D2732,-'설정'!$B$17),'자료_거시'!$D$3:INDEX('자료_거시'!$D$3:$D$4002,$K$6),1)),""),"")</f>
        <v/>
      </c>
      <c r="U2750">
        <f>IF(ISNUMBER(T2750),'자료_거시'!$D2732,"")</f>
        <v/>
      </c>
      <c r="V2750">
        <f>IF(ISNUMBER(U2750),IF(U2750&gt;$L$6,T2750,""),"")</f>
        <v/>
      </c>
      <c r="W2750">
        <f>IF(AND(ISNUMBER('자료_거시'!$G2732),ISNUMBER('자료_거시'!$H2732)),'자료_거시'!$H2732,"")</f>
        <v/>
      </c>
      <c r="X2750">
        <f>IF(ISNUMBER(W2750),'자료_거시'!$G2732,"")</f>
        <v/>
      </c>
      <c r="Y2750">
        <f>IF(ISNUMBER(X2750),IF(X2750&gt;$L$7,W2750,""),"")</f>
        <v/>
      </c>
      <c r="Z2750">
        <f>IF(ISNUMBER('자료_거시'!$K2732),'자료_거시'!$K2732,Z2749)</f>
        <v/>
      </c>
      <c r="AA2750">
        <f>IF(AND(ISNUMBER('자료_거시'!$J2732),ISNUMBER('자료_거시'!$K2732)),IFERROR('자료_거시'!$K2732/INDEX($Z$21:$Z$4020,MATCH(EDATE('자료_거시'!$J2732,-'설정'!$B$17),'자료_거시'!$J$3:INDEX('자료_거시'!$J$3:$J$4002,$K$8),1))-1,""),"")</f>
        <v/>
      </c>
      <c r="AB2750">
        <f>IF(ISNUMBER(AA2750),'자료_거시'!$J2732,"")</f>
        <v/>
      </c>
      <c r="AC2750">
        <f>IF(ISNUMBER(AB2750),IF(AB2750&gt;$L$8,AA2750,""),"")</f>
        <v/>
      </c>
    </row>
    <row r="2751">
      <c r="S2751">
        <f>IF(ISNUMBER('자료_거시'!$E2733),'자료_거시'!$E2733,S2750)</f>
        <v/>
      </c>
      <c r="T2751">
        <f>IF(AND(ISNUMBER('자료_거시'!$D2733),ISNUMBER('자료_거시'!$E2733)),IFERROR('자료_거시'!$E2733-INDEX($S$21:$S$4020,MATCH(EDATE('자료_거시'!$D2733,-'설정'!$B$17),'자료_거시'!$D$3:INDEX('자료_거시'!$D$3:$D$4002,$K$6),1)),""),"")</f>
        <v/>
      </c>
      <c r="U2751">
        <f>IF(ISNUMBER(T2751),'자료_거시'!$D2733,"")</f>
        <v/>
      </c>
      <c r="V2751">
        <f>IF(ISNUMBER(U2751),IF(U2751&gt;$L$6,T2751,""),"")</f>
        <v/>
      </c>
      <c r="W2751">
        <f>IF(AND(ISNUMBER('자료_거시'!$G2733),ISNUMBER('자료_거시'!$H2733)),'자료_거시'!$H2733,"")</f>
        <v/>
      </c>
      <c r="X2751">
        <f>IF(ISNUMBER(W2751),'자료_거시'!$G2733,"")</f>
        <v/>
      </c>
      <c r="Y2751">
        <f>IF(ISNUMBER(X2751),IF(X2751&gt;$L$7,W2751,""),"")</f>
        <v/>
      </c>
      <c r="Z2751">
        <f>IF(ISNUMBER('자료_거시'!$K2733),'자료_거시'!$K2733,Z2750)</f>
        <v/>
      </c>
      <c r="AA2751">
        <f>IF(AND(ISNUMBER('자료_거시'!$J2733),ISNUMBER('자료_거시'!$K2733)),IFERROR('자료_거시'!$K2733/INDEX($Z$21:$Z$4020,MATCH(EDATE('자료_거시'!$J2733,-'설정'!$B$17),'자료_거시'!$J$3:INDEX('자료_거시'!$J$3:$J$4002,$K$8),1))-1,""),"")</f>
        <v/>
      </c>
      <c r="AB2751">
        <f>IF(ISNUMBER(AA2751),'자료_거시'!$J2733,"")</f>
        <v/>
      </c>
      <c r="AC2751">
        <f>IF(ISNUMBER(AB2751),IF(AB2751&gt;$L$8,AA2751,""),"")</f>
        <v/>
      </c>
    </row>
    <row r="2752">
      <c r="S2752">
        <f>IF(ISNUMBER('자료_거시'!$E2734),'자료_거시'!$E2734,S2751)</f>
        <v/>
      </c>
      <c r="T2752">
        <f>IF(AND(ISNUMBER('자료_거시'!$D2734),ISNUMBER('자료_거시'!$E2734)),IFERROR('자료_거시'!$E2734-INDEX($S$21:$S$4020,MATCH(EDATE('자료_거시'!$D2734,-'설정'!$B$17),'자료_거시'!$D$3:INDEX('자료_거시'!$D$3:$D$4002,$K$6),1)),""),"")</f>
        <v/>
      </c>
      <c r="U2752">
        <f>IF(ISNUMBER(T2752),'자료_거시'!$D2734,"")</f>
        <v/>
      </c>
      <c r="V2752">
        <f>IF(ISNUMBER(U2752),IF(U2752&gt;$L$6,T2752,""),"")</f>
        <v/>
      </c>
      <c r="W2752">
        <f>IF(AND(ISNUMBER('자료_거시'!$G2734),ISNUMBER('자료_거시'!$H2734)),'자료_거시'!$H2734,"")</f>
        <v/>
      </c>
      <c r="X2752">
        <f>IF(ISNUMBER(W2752),'자료_거시'!$G2734,"")</f>
        <v/>
      </c>
      <c r="Y2752">
        <f>IF(ISNUMBER(X2752),IF(X2752&gt;$L$7,W2752,""),"")</f>
        <v/>
      </c>
      <c r="Z2752">
        <f>IF(ISNUMBER('자료_거시'!$K2734),'자료_거시'!$K2734,Z2751)</f>
        <v/>
      </c>
      <c r="AA2752">
        <f>IF(AND(ISNUMBER('자료_거시'!$J2734),ISNUMBER('자료_거시'!$K2734)),IFERROR('자료_거시'!$K2734/INDEX($Z$21:$Z$4020,MATCH(EDATE('자료_거시'!$J2734,-'설정'!$B$17),'자료_거시'!$J$3:INDEX('자료_거시'!$J$3:$J$4002,$K$8),1))-1,""),"")</f>
        <v/>
      </c>
      <c r="AB2752">
        <f>IF(ISNUMBER(AA2752),'자료_거시'!$J2734,"")</f>
        <v/>
      </c>
      <c r="AC2752">
        <f>IF(ISNUMBER(AB2752),IF(AB2752&gt;$L$8,AA2752,""),"")</f>
        <v/>
      </c>
    </row>
    <row r="2753">
      <c r="S2753">
        <f>IF(ISNUMBER('자료_거시'!$E2735),'자료_거시'!$E2735,S2752)</f>
        <v/>
      </c>
      <c r="T2753">
        <f>IF(AND(ISNUMBER('자료_거시'!$D2735),ISNUMBER('자료_거시'!$E2735)),IFERROR('자료_거시'!$E2735-INDEX($S$21:$S$4020,MATCH(EDATE('자료_거시'!$D2735,-'설정'!$B$17),'자료_거시'!$D$3:INDEX('자료_거시'!$D$3:$D$4002,$K$6),1)),""),"")</f>
        <v/>
      </c>
      <c r="U2753">
        <f>IF(ISNUMBER(T2753),'자료_거시'!$D2735,"")</f>
        <v/>
      </c>
      <c r="V2753">
        <f>IF(ISNUMBER(U2753),IF(U2753&gt;$L$6,T2753,""),"")</f>
        <v/>
      </c>
      <c r="W2753">
        <f>IF(AND(ISNUMBER('자료_거시'!$G2735),ISNUMBER('자료_거시'!$H2735)),'자료_거시'!$H2735,"")</f>
        <v/>
      </c>
      <c r="X2753">
        <f>IF(ISNUMBER(W2753),'자료_거시'!$G2735,"")</f>
        <v/>
      </c>
      <c r="Y2753">
        <f>IF(ISNUMBER(X2753),IF(X2753&gt;$L$7,W2753,""),"")</f>
        <v/>
      </c>
      <c r="Z2753">
        <f>IF(ISNUMBER('자료_거시'!$K2735),'자료_거시'!$K2735,Z2752)</f>
        <v/>
      </c>
      <c r="AA2753">
        <f>IF(AND(ISNUMBER('자료_거시'!$J2735),ISNUMBER('자료_거시'!$K2735)),IFERROR('자료_거시'!$K2735/INDEX($Z$21:$Z$4020,MATCH(EDATE('자료_거시'!$J2735,-'설정'!$B$17),'자료_거시'!$J$3:INDEX('자료_거시'!$J$3:$J$4002,$K$8),1))-1,""),"")</f>
        <v/>
      </c>
      <c r="AB2753">
        <f>IF(ISNUMBER(AA2753),'자료_거시'!$J2735,"")</f>
        <v/>
      </c>
      <c r="AC2753">
        <f>IF(ISNUMBER(AB2753),IF(AB2753&gt;$L$8,AA2753,""),"")</f>
        <v/>
      </c>
    </row>
    <row r="2754">
      <c r="S2754">
        <f>IF(ISNUMBER('자료_거시'!$E2736),'자료_거시'!$E2736,S2753)</f>
        <v/>
      </c>
      <c r="T2754">
        <f>IF(AND(ISNUMBER('자료_거시'!$D2736),ISNUMBER('자료_거시'!$E2736)),IFERROR('자료_거시'!$E2736-INDEX($S$21:$S$4020,MATCH(EDATE('자료_거시'!$D2736,-'설정'!$B$17),'자료_거시'!$D$3:INDEX('자료_거시'!$D$3:$D$4002,$K$6),1)),""),"")</f>
        <v/>
      </c>
      <c r="U2754">
        <f>IF(ISNUMBER(T2754),'자료_거시'!$D2736,"")</f>
        <v/>
      </c>
      <c r="V2754">
        <f>IF(ISNUMBER(U2754),IF(U2754&gt;$L$6,T2754,""),"")</f>
        <v/>
      </c>
      <c r="W2754">
        <f>IF(AND(ISNUMBER('자료_거시'!$G2736),ISNUMBER('자료_거시'!$H2736)),'자료_거시'!$H2736,"")</f>
        <v/>
      </c>
      <c r="X2754">
        <f>IF(ISNUMBER(W2754),'자료_거시'!$G2736,"")</f>
        <v/>
      </c>
      <c r="Y2754">
        <f>IF(ISNUMBER(X2754),IF(X2754&gt;$L$7,W2754,""),"")</f>
        <v/>
      </c>
      <c r="Z2754">
        <f>IF(ISNUMBER('자료_거시'!$K2736),'자료_거시'!$K2736,Z2753)</f>
        <v/>
      </c>
      <c r="AA2754">
        <f>IF(AND(ISNUMBER('자료_거시'!$J2736),ISNUMBER('자료_거시'!$K2736)),IFERROR('자료_거시'!$K2736/INDEX($Z$21:$Z$4020,MATCH(EDATE('자료_거시'!$J2736,-'설정'!$B$17),'자료_거시'!$J$3:INDEX('자료_거시'!$J$3:$J$4002,$K$8),1))-1,""),"")</f>
        <v/>
      </c>
      <c r="AB2754">
        <f>IF(ISNUMBER(AA2754),'자료_거시'!$J2736,"")</f>
        <v/>
      </c>
      <c r="AC2754">
        <f>IF(ISNUMBER(AB2754),IF(AB2754&gt;$L$8,AA2754,""),"")</f>
        <v/>
      </c>
    </row>
    <row r="2755">
      <c r="S2755">
        <f>IF(ISNUMBER('자료_거시'!$E2737),'자료_거시'!$E2737,S2754)</f>
        <v/>
      </c>
      <c r="T2755">
        <f>IF(AND(ISNUMBER('자료_거시'!$D2737),ISNUMBER('자료_거시'!$E2737)),IFERROR('자료_거시'!$E2737-INDEX($S$21:$S$4020,MATCH(EDATE('자료_거시'!$D2737,-'설정'!$B$17),'자료_거시'!$D$3:INDEX('자료_거시'!$D$3:$D$4002,$K$6),1)),""),"")</f>
        <v/>
      </c>
      <c r="U2755">
        <f>IF(ISNUMBER(T2755),'자료_거시'!$D2737,"")</f>
        <v/>
      </c>
      <c r="V2755">
        <f>IF(ISNUMBER(U2755),IF(U2755&gt;$L$6,T2755,""),"")</f>
        <v/>
      </c>
      <c r="W2755">
        <f>IF(AND(ISNUMBER('자료_거시'!$G2737),ISNUMBER('자료_거시'!$H2737)),'자료_거시'!$H2737,"")</f>
        <v/>
      </c>
      <c r="X2755">
        <f>IF(ISNUMBER(W2755),'자료_거시'!$G2737,"")</f>
        <v/>
      </c>
      <c r="Y2755">
        <f>IF(ISNUMBER(X2755),IF(X2755&gt;$L$7,W2755,""),"")</f>
        <v/>
      </c>
      <c r="Z2755">
        <f>IF(ISNUMBER('자료_거시'!$K2737),'자료_거시'!$K2737,Z2754)</f>
        <v/>
      </c>
      <c r="AA2755">
        <f>IF(AND(ISNUMBER('자료_거시'!$J2737),ISNUMBER('자료_거시'!$K2737)),IFERROR('자료_거시'!$K2737/INDEX($Z$21:$Z$4020,MATCH(EDATE('자료_거시'!$J2737,-'설정'!$B$17),'자료_거시'!$J$3:INDEX('자료_거시'!$J$3:$J$4002,$K$8),1))-1,""),"")</f>
        <v/>
      </c>
      <c r="AB2755">
        <f>IF(ISNUMBER(AA2755),'자료_거시'!$J2737,"")</f>
        <v/>
      </c>
      <c r="AC2755">
        <f>IF(ISNUMBER(AB2755),IF(AB2755&gt;$L$8,AA2755,""),"")</f>
        <v/>
      </c>
    </row>
    <row r="2756">
      <c r="S2756">
        <f>IF(ISNUMBER('자료_거시'!$E2738),'자료_거시'!$E2738,S2755)</f>
        <v/>
      </c>
      <c r="T2756">
        <f>IF(AND(ISNUMBER('자료_거시'!$D2738),ISNUMBER('자료_거시'!$E2738)),IFERROR('자료_거시'!$E2738-INDEX($S$21:$S$4020,MATCH(EDATE('자료_거시'!$D2738,-'설정'!$B$17),'자료_거시'!$D$3:INDEX('자료_거시'!$D$3:$D$4002,$K$6),1)),""),"")</f>
        <v/>
      </c>
      <c r="U2756">
        <f>IF(ISNUMBER(T2756),'자료_거시'!$D2738,"")</f>
        <v/>
      </c>
      <c r="V2756">
        <f>IF(ISNUMBER(U2756),IF(U2756&gt;$L$6,T2756,""),"")</f>
        <v/>
      </c>
      <c r="W2756">
        <f>IF(AND(ISNUMBER('자료_거시'!$G2738),ISNUMBER('자료_거시'!$H2738)),'자료_거시'!$H2738,"")</f>
        <v/>
      </c>
      <c r="X2756">
        <f>IF(ISNUMBER(W2756),'자료_거시'!$G2738,"")</f>
        <v/>
      </c>
      <c r="Y2756">
        <f>IF(ISNUMBER(X2756),IF(X2756&gt;$L$7,W2756,""),"")</f>
        <v/>
      </c>
      <c r="Z2756">
        <f>IF(ISNUMBER('자료_거시'!$K2738),'자료_거시'!$K2738,Z2755)</f>
        <v/>
      </c>
      <c r="AA2756">
        <f>IF(AND(ISNUMBER('자료_거시'!$J2738),ISNUMBER('자료_거시'!$K2738)),IFERROR('자료_거시'!$K2738/INDEX($Z$21:$Z$4020,MATCH(EDATE('자료_거시'!$J2738,-'설정'!$B$17),'자료_거시'!$J$3:INDEX('자료_거시'!$J$3:$J$4002,$K$8),1))-1,""),"")</f>
        <v/>
      </c>
      <c r="AB2756">
        <f>IF(ISNUMBER(AA2756),'자료_거시'!$J2738,"")</f>
        <v/>
      </c>
      <c r="AC2756">
        <f>IF(ISNUMBER(AB2756),IF(AB2756&gt;$L$8,AA2756,""),"")</f>
        <v/>
      </c>
    </row>
    <row r="2757">
      <c r="S2757">
        <f>IF(ISNUMBER('자료_거시'!$E2739),'자료_거시'!$E2739,S2756)</f>
        <v/>
      </c>
      <c r="T2757">
        <f>IF(AND(ISNUMBER('자료_거시'!$D2739),ISNUMBER('자료_거시'!$E2739)),IFERROR('자료_거시'!$E2739-INDEX($S$21:$S$4020,MATCH(EDATE('자료_거시'!$D2739,-'설정'!$B$17),'자료_거시'!$D$3:INDEX('자료_거시'!$D$3:$D$4002,$K$6),1)),""),"")</f>
        <v/>
      </c>
      <c r="U2757">
        <f>IF(ISNUMBER(T2757),'자료_거시'!$D2739,"")</f>
        <v/>
      </c>
      <c r="V2757">
        <f>IF(ISNUMBER(U2757),IF(U2757&gt;$L$6,T2757,""),"")</f>
        <v/>
      </c>
      <c r="W2757">
        <f>IF(AND(ISNUMBER('자료_거시'!$G2739),ISNUMBER('자료_거시'!$H2739)),'자료_거시'!$H2739,"")</f>
        <v/>
      </c>
      <c r="X2757">
        <f>IF(ISNUMBER(W2757),'자료_거시'!$G2739,"")</f>
        <v/>
      </c>
      <c r="Y2757">
        <f>IF(ISNUMBER(X2757),IF(X2757&gt;$L$7,W2757,""),"")</f>
        <v/>
      </c>
      <c r="Z2757">
        <f>IF(ISNUMBER('자료_거시'!$K2739),'자료_거시'!$K2739,Z2756)</f>
        <v/>
      </c>
      <c r="AA2757">
        <f>IF(AND(ISNUMBER('자료_거시'!$J2739),ISNUMBER('자료_거시'!$K2739)),IFERROR('자료_거시'!$K2739/INDEX($Z$21:$Z$4020,MATCH(EDATE('자료_거시'!$J2739,-'설정'!$B$17),'자료_거시'!$J$3:INDEX('자료_거시'!$J$3:$J$4002,$K$8),1))-1,""),"")</f>
        <v/>
      </c>
      <c r="AB2757">
        <f>IF(ISNUMBER(AA2757),'자료_거시'!$J2739,"")</f>
        <v/>
      </c>
      <c r="AC2757">
        <f>IF(ISNUMBER(AB2757),IF(AB2757&gt;$L$8,AA2757,""),"")</f>
        <v/>
      </c>
    </row>
    <row r="2758">
      <c r="S2758">
        <f>IF(ISNUMBER('자료_거시'!$E2740),'자료_거시'!$E2740,S2757)</f>
        <v/>
      </c>
      <c r="T2758">
        <f>IF(AND(ISNUMBER('자료_거시'!$D2740),ISNUMBER('자료_거시'!$E2740)),IFERROR('자료_거시'!$E2740-INDEX($S$21:$S$4020,MATCH(EDATE('자료_거시'!$D2740,-'설정'!$B$17),'자료_거시'!$D$3:INDEX('자료_거시'!$D$3:$D$4002,$K$6),1)),""),"")</f>
        <v/>
      </c>
      <c r="U2758">
        <f>IF(ISNUMBER(T2758),'자료_거시'!$D2740,"")</f>
        <v/>
      </c>
      <c r="V2758">
        <f>IF(ISNUMBER(U2758),IF(U2758&gt;$L$6,T2758,""),"")</f>
        <v/>
      </c>
      <c r="W2758">
        <f>IF(AND(ISNUMBER('자료_거시'!$G2740),ISNUMBER('자료_거시'!$H2740)),'자료_거시'!$H2740,"")</f>
        <v/>
      </c>
      <c r="X2758">
        <f>IF(ISNUMBER(W2758),'자료_거시'!$G2740,"")</f>
        <v/>
      </c>
      <c r="Y2758">
        <f>IF(ISNUMBER(X2758),IF(X2758&gt;$L$7,W2758,""),"")</f>
        <v/>
      </c>
      <c r="Z2758">
        <f>IF(ISNUMBER('자료_거시'!$K2740),'자료_거시'!$K2740,Z2757)</f>
        <v/>
      </c>
      <c r="AA2758">
        <f>IF(AND(ISNUMBER('자료_거시'!$J2740),ISNUMBER('자료_거시'!$K2740)),IFERROR('자료_거시'!$K2740/INDEX($Z$21:$Z$4020,MATCH(EDATE('자료_거시'!$J2740,-'설정'!$B$17),'자료_거시'!$J$3:INDEX('자료_거시'!$J$3:$J$4002,$K$8),1))-1,""),"")</f>
        <v/>
      </c>
      <c r="AB2758">
        <f>IF(ISNUMBER(AA2758),'자료_거시'!$J2740,"")</f>
        <v/>
      </c>
      <c r="AC2758">
        <f>IF(ISNUMBER(AB2758),IF(AB2758&gt;$L$8,AA2758,""),"")</f>
        <v/>
      </c>
    </row>
    <row r="2759">
      <c r="S2759">
        <f>IF(ISNUMBER('자료_거시'!$E2741),'자료_거시'!$E2741,S2758)</f>
        <v/>
      </c>
      <c r="T2759">
        <f>IF(AND(ISNUMBER('자료_거시'!$D2741),ISNUMBER('자료_거시'!$E2741)),IFERROR('자료_거시'!$E2741-INDEX($S$21:$S$4020,MATCH(EDATE('자료_거시'!$D2741,-'설정'!$B$17),'자료_거시'!$D$3:INDEX('자료_거시'!$D$3:$D$4002,$K$6),1)),""),"")</f>
        <v/>
      </c>
      <c r="U2759">
        <f>IF(ISNUMBER(T2759),'자료_거시'!$D2741,"")</f>
        <v/>
      </c>
      <c r="V2759">
        <f>IF(ISNUMBER(U2759),IF(U2759&gt;$L$6,T2759,""),"")</f>
        <v/>
      </c>
      <c r="W2759">
        <f>IF(AND(ISNUMBER('자료_거시'!$G2741),ISNUMBER('자료_거시'!$H2741)),'자료_거시'!$H2741,"")</f>
        <v/>
      </c>
      <c r="X2759">
        <f>IF(ISNUMBER(W2759),'자료_거시'!$G2741,"")</f>
        <v/>
      </c>
      <c r="Y2759">
        <f>IF(ISNUMBER(X2759),IF(X2759&gt;$L$7,W2759,""),"")</f>
        <v/>
      </c>
      <c r="Z2759">
        <f>IF(ISNUMBER('자료_거시'!$K2741),'자료_거시'!$K2741,Z2758)</f>
        <v/>
      </c>
      <c r="AA2759">
        <f>IF(AND(ISNUMBER('자료_거시'!$J2741),ISNUMBER('자료_거시'!$K2741)),IFERROR('자료_거시'!$K2741/INDEX($Z$21:$Z$4020,MATCH(EDATE('자료_거시'!$J2741,-'설정'!$B$17),'자료_거시'!$J$3:INDEX('자료_거시'!$J$3:$J$4002,$K$8),1))-1,""),"")</f>
        <v/>
      </c>
      <c r="AB2759">
        <f>IF(ISNUMBER(AA2759),'자료_거시'!$J2741,"")</f>
        <v/>
      </c>
      <c r="AC2759">
        <f>IF(ISNUMBER(AB2759),IF(AB2759&gt;$L$8,AA2759,""),"")</f>
        <v/>
      </c>
    </row>
    <row r="2760">
      <c r="S2760">
        <f>IF(ISNUMBER('자료_거시'!$E2742),'자료_거시'!$E2742,S2759)</f>
        <v/>
      </c>
      <c r="T2760">
        <f>IF(AND(ISNUMBER('자료_거시'!$D2742),ISNUMBER('자료_거시'!$E2742)),IFERROR('자료_거시'!$E2742-INDEX($S$21:$S$4020,MATCH(EDATE('자료_거시'!$D2742,-'설정'!$B$17),'자료_거시'!$D$3:INDEX('자료_거시'!$D$3:$D$4002,$K$6),1)),""),"")</f>
        <v/>
      </c>
      <c r="U2760">
        <f>IF(ISNUMBER(T2760),'자료_거시'!$D2742,"")</f>
        <v/>
      </c>
      <c r="V2760">
        <f>IF(ISNUMBER(U2760),IF(U2760&gt;$L$6,T2760,""),"")</f>
        <v/>
      </c>
      <c r="W2760">
        <f>IF(AND(ISNUMBER('자료_거시'!$G2742),ISNUMBER('자료_거시'!$H2742)),'자료_거시'!$H2742,"")</f>
        <v/>
      </c>
      <c r="X2760">
        <f>IF(ISNUMBER(W2760),'자료_거시'!$G2742,"")</f>
        <v/>
      </c>
      <c r="Y2760">
        <f>IF(ISNUMBER(X2760),IF(X2760&gt;$L$7,W2760,""),"")</f>
        <v/>
      </c>
      <c r="Z2760">
        <f>IF(ISNUMBER('자료_거시'!$K2742),'자료_거시'!$K2742,Z2759)</f>
        <v/>
      </c>
      <c r="AA2760">
        <f>IF(AND(ISNUMBER('자료_거시'!$J2742),ISNUMBER('자료_거시'!$K2742)),IFERROR('자료_거시'!$K2742/INDEX($Z$21:$Z$4020,MATCH(EDATE('자료_거시'!$J2742,-'설정'!$B$17),'자료_거시'!$J$3:INDEX('자료_거시'!$J$3:$J$4002,$K$8),1))-1,""),"")</f>
        <v/>
      </c>
      <c r="AB2760">
        <f>IF(ISNUMBER(AA2760),'자료_거시'!$J2742,"")</f>
        <v/>
      </c>
      <c r="AC2760">
        <f>IF(ISNUMBER(AB2760),IF(AB2760&gt;$L$8,AA2760,""),"")</f>
        <v/>
      </c>
    </row>
    <row r="2761">
      <c r="S2761">
        <f>IF(ISNUMBER('자료_거시'!$E2743),'자료_거시'!$E2743,S2760)</f>
        <v/>
      </c>
      <c r="T2761">
        <f>IF(AND(ISNUMBER('자료_거시'!$D2743),ISNUMBER('자료_거시'!$E2743)),IFERROR('자료_거시'!$E2743-INDEX($S$21:$S$4020,MATCH(EDATE('자료_거시'!$D2743,-'설정'!$B$17),'자료_거시'!$D$3:INDEX('자료_거시'!$D$3:$D$4002,$K$6),1)),""),"")</f>
        <v/>
      </c>
      <c r="U2761">
        <f>IF(ISNUMBER(T2761),'자료_거시'!$D2743,"")</f>
        <v/>
      </c>
      <c r="V2761">
        <f>IF(ISNUMBER(U2761),IF(U2761&gt;$L$6,T2761,""),"")</f>
        <v/>
      </c>
      <c r="W2761">
        <f>IF(AND(ISNUMBER('자료_거시'!$G2743),ISNUMBER('자료_거시'!$H2743)),'자료_거시'!$H2743,"")</f>
        <v/>
      </c>
      <c r="X2761">
        <f>IF(ISNUMBER(W2761),'자료_거시'!$G2743,"")</f>
        <v/>
      </c>
      <c r="Y2761">
        <f>IF(ISNUMBER(X2761),IF(X2761&gt;$L$7,W2761,""),"")</f>
        <v/>
      </c>
      <c r="Z2761">
        <f>IF(ISNUMBER('자료_거시'!$K2743),'자료_거시'!$K2743,Z2760)</f>
        <v/>
      </c>
      <c r="AA2761">
        <f>IF(AND(ISNUMBER('자료_거시'!$J2743),ISNUMBER('자료_거시'!$K2743)),IFERROR('자료_거시'!$K2743/INDEX($Z$21:$Z$4020,MATCH(EDATE('자료_거시'!$J2743,-'설정'!$B$17),'자료_거시'!$J$3:INDEX('자료_거시'!$J$3:$J$4002,$K$8),1))-1,""),"")</f>
        <v/>
      </c>
      <c r="AB2761">
        <f>IF(ISNUMBER(AA2761),'자료_거시'!$J2743,"")</f>
        <v/>
      </c>
      <c r="AC2761">
        <f>IF(ISNUMBER(AB2761),IF(AB2761&gt;$L$8,AA2761,""),"")</f>
        <v/>
      </c>
    </row>
    <row r="2762">
      <c r="S2762">
        <f>IF(ISNUMBER('자료_거시'!$E2744),'자료_거시'!$E2744,S2761)</f>
        <v/>
      </c>
      <c r="T2762">
        <f>IF(AND(ISNUMBER('자료_거시'!$D2744),ISNUMBER('자료_거시'!$E2744)),IFERROR('자료_거시'!$E2744-INDEX($S$21:$S$4020,MATCH(EDATE('자료_거시'!$D2744,-'설정'!$B$17),'자료_거시'!$D$3:INDEX('자료_거시'!$D$3:$D$4002,$K$6),1)),""),"")</f>
        <v/>
      </c>
      <c r="U2762">
        <f>IF(ISNUMBER(T2762),'자료_거시'!$D2744,"")</f>
        <v/>
      </c>
      <c r="V2762">
        <f>IF(ISNUMBER(U2762),IF(U2762&gt;$L$6,T2762,""),"")</f>
        <v/>
      </c>
      <c r="W2762">
        <f>IF(AND(ISNUMBER('자료_거시'!$G2744),ISNUMBER('자료_거시'!$H2744)),'자료_거시'!$H2744,"")</f>
        <v/>
      </c>
      <c r="X2762">
        <f>IF(ISNUMBER(W2762),'자료_거시'!$G2744,"")</f>
        <v/>
      </c>
      <c r="Y2762">
        <f>IF(ISNUMBER(X2762),IF(X2762&gt;$L$7,W2762,""),"")</f>
        <v/>
      </c>
      <c r="Z2762">
        <f>IF(ISNUMBER('자료_거시'!$K2744),'자료_거시'!$K2744,Z2761)</f>
        <v/>
      </c>
      <c r="AA2762">
        <f>IF(AND(ISNUMBER('자료_거시'!$J2744),ISNUMBER('자료_거시'!$K2744)),IFERROR('자료_거시'!$K2744/INDEX($Z$21:$Z$4020,MATCH(EDATE('자료_거시'!$J2744,-'설정'!$B$17),'자료_거시'!$J$3:INDEX('자료_거시'!$J$3:$J$4002,$K$8),1))-1,""),"")</f>
        <v/>
      </c>
      <c r="AB2762">
        <f>IF(ISNUMBER(AA2762),'자료_거시'!$J2744,"")</f>
        <v/>
      </c>
      <c r="AC2762">
        <f>IF(ISNUMBER(AB2762),IF(AB2762&gt;$L$8,AA2762,""),"")</f>
        <v/>
      </c>
    </row>
    <row r="2763">
      <c r="S2763">
        <f>IF(ISNUMBER('자료_거시'!$E2745),'자료_거시'!$E2745,S2762)</f>
        <v/>
      </c>
      <c r="T2763">
        <f>IF(AND(ISNUMBER('자료_거시'!$D2745),ISNUMBER('자료_거시'!$E2745)),IFERROR('자료_거시'!$E2745-INDEX($S$21:$S$4020,MATCH(EDATE('자료_거시'!$D2745,-'설정'!$B$17),'자료_거시'!$D$3:INDEX('자료_거시'!$D$3:$D$4002,$K$6),1)),""),"")</f>
        <v/>
      </c>
      <c r="U2763">
        <f>IF(ISNUMBER(T2763),'자료_거시'!$D2745,"")</f>
        <v/>
      </c>
      <c r="V2763">
        <f>IF(ISNUMBER(U2763),IF(U2763&gt;$L$6,T2763,""),"")</f>
        <v/>
      </c>
      <c r="W2763">
        <f>IF(AND(ISNUMBER('자료_거시'!$G2745),ISNUMBER('자료_거시'!$H2745)),'자료_거시'!$H2745,"")</f>
        <v/>
      </c>
      <c r="X2763">
        <f>IF(ISNUMBER(W2763),'자료_거시'!$G2745,"")</f>
        <v/>
      </c>
      <c r="Y2763">
        <f>IF(ISNUMBER(X2763),IF(X2763&gt;$L$7,W2763,""),"")</f>
        <v/>
      </c>
      <c r="Z2763">
        <f>IF(ISNUMBER('자료_거시'!$K2745),'자료_거시'!$K2745,Z2762)</f>
        <v/>
      </c>
      <c r="AA2763">
        <f>IF(AND(ISNUMBER('자료_거시'!$J2745),ISNUMBER('자료_거시'!$K2745)),IFERROR('자료_거시'!$K2745/INDEX($Z$21:$Z$4020,MATCH(EDATE('자료_거시'!$J2745,-'설정'!$B$17),'자료_거시'!$J$3:INDEX('자료_거시'!$J$3:$J$4002,$K$8),1))-1,""),"")</f>
        <v/>
      </c>
      <c r="AB2763">
        <f>IF(ISNUMBER(AA2763),'자료_거시'!$J2745,"")</f>
        <v/>
      </c>
      <c r="AC2763">
        <f>IF(ISNUMBER(AB2763),IF(AB2763&gt;$L$8,AA2763,""),"")</f>
        <v/>
      </c>
    </row>
    <row r="2764">
      <c r="S2764">
        <f>IF(ISNUMBER('자료_거시'!$E2746),'자료_거시'!$E2746,S2763)</f>
        <v/>
      </c>
      <c r="T2764">
        <f>IF(AND(ISNUMBER('자료_거시'!$D2746),ISNUMBER('자료_거시'!$E2746)),IFERROR('자료_거시'!$E2746-INDEX($S$21:$S$4020,MATCH(EDATE('자료_거시'!$D2746,-'설정'!$B$17),'자료_거시'!$D$3:INDEX('자료_거시'!$D$3:$D$4002,$K$6),1)),""),"")</f>
        <v/>
      </c>
      <c r="U2764">
        <f>IF(ISNUMBER(T2764),'자료_거시'!$D2746,"")</f>
        <v/>
      </c>
      <c r="V2764">
        <f>IF(ISNUMBER(U2764),IF(U2764&gt;$L$6,T2764,""),"")</f>
        <v/>
      </c>
      <c r="W2764">
        <f>IF(AND(ISNUMBER('자료_거시'!$G2746),ISNUMBER('자료_거시'!$H2746)),'자료_거시'!$H2746,"")</f>
        <v/>
      </c>
      <c r="X2764">
        <f>IF(ISNUMBER(W2764),'자료_거시'!$G2746,"")</f>
        <v/>
      </c>
      <c r="Y2764">
        <f>IF(ISNUMBER(X2764),IF(X2764&gt;$L$7,W2764,""),"")</f>
        <v/>
      </c>
      <c r="Z2764">
        <f>IF(ISNUMBER('자료_거시'!$K2746),'자료_거시'!$K2746,Z2763)</f>
        <v/>
      </c>
      <c r="AA2764">
        <f>IF(AND(ISNUMBER('자료_거시'!$J2746),ISNUMBER('자료_거시'!$K2746)),IFERROR('자료_거시'!$K2746/INDEX($Z$21:$Z$4020,MATCH(EDATE('자료_거시'!$J2746,-'설정'!$B$17),'자료_거시'!$J$3:INDEX('자료_거시'!$J$3:$J$4002,$K$8),1))-1,""),"")</f>
        <v/>
      </c>
      <c r="AB2764">
        <f>IF(ISNUMBER(AA2764),'자료_거시'!$J2746,"")</f>
        <v/>
      </c>
      <c r="AC2764">
        <f>IF(ISNUMBER(AB2764),IF(AB2764&gt;$L$8,AA2764,""),"")</f>
        <v/>
      </c>
    </row>
    <row r="2765">
      <c r="S2765">
        <f>IF(ISNUMBER('자료_거시'!$E2747),'자료_거시'!$E2747,S2764)</f>
        <v/>
      </c>
      <c r="T2765">
        <f>IF(AND(ISNUMBER('자료_거시'!$D2747),ISNUMBER('자료_거시'!$E2747)),IFERROR('자료_거시'!$E2747-INDEX($S$21:$S$4020,MATCH(EDATE('자료_거시'!$D2747,-'설정'!$B$17),'자료_거시'!$D$3:INDEX('자료_거시'!$D$3:$D$4002,$K$6),1)),""),"")</f>
        <v/>
      </c>
      <c r="U2765">
        <f>IF(ISNUMBER(T2765),'자료_거시'!$D2747,"")</f>
        <v/>
      </c>
      <c r="V2765">
        <f>IF(ISNUMBER(U2765),IF(U2765&gt;$L$6,T2765,""),"")</f>
        <v/>
      </c>
      <c r="W2765">
        <f>IF(AND(ISNUMBER('자료_거시'!$G2747),ISNUMBER('자료_거시'!$H2747)),'자료_거시'!$H2747,"")</f>
        <v/>
      </c>
      <c r="X2765">
        <f>IF(ISNUMBER(W2765),'자료_거시'!$G2747,"")</f>
        <v/>
      </c>
      <c r="Y2765">
        <f>IF(ISNUMBER(X2765),IF(X2765&gt;$L$7,W2765,""),"")</f>
        <v/>
      </c>
      <c r="Z2765">
        <f>IF(ISNUMBER('자료_거시'!$K2747),'자료_거시'!$K2747,Z2764)</f>
        <v/>
      </c>
      <c r="AA2765">
        <f>IF(AND(ISNUMBER('자료_거시'!$J2747),ISNUMBER('자료_거시'!$K2747)),IFERROR('자료_거시'!$K2747/INDEX($Z$21:$Z$4020,MATCH(EDATE('자료_거시'!$J2747,-'설정'!$B$17),'자료_거시'!$J$3:INDEX('자료_거시'!$J$3:$J$4002,$K$8),1))-1,""),"")</f>
        <v/>
      </c>
      <c r="AB2765">
        <f>IF(ISNUMBER(AA2765),'자료_거시'!$J2747,"")</f>
        <v/>
      </c>
      <c r="AC2765">
        <f>IF(ISNUMBER(AB2765),IF(AB2765&gt;$L$8,AA2765,""),"")</f>
        <v/>
      </c>
    </row>
    <row r="2766">
      <c r="S2766">
        <f>IF(ISNUMBER('자료_거시'!$E2748),'자료_거시'!$E2748,S2765)</f>
        <v/>
      </c>
      <c r="T2766">
        <f>IF(AND(ISNUMBER('자료_거시'!$D2748),ISNUMBER('자료_거시'!$E2748)),IFERROR('자료_거시'!$E2748-INDEX($S$21:$S$4020,MATCH(EDATE('자료_거시'!$D2748,-'설정'!$B$17),'자료_거시'!$D$3:INDEX('자료_거시'!$D$3:$D$4002,$K$6),1)),""),"")</f>
        <v/>
      </c>
      <c r="U2766">
        <f>IF(ISNUMBER(T2766),'자료_거시'!$D2748,"")</f>
        <v/>
      </c>
      <c r="V2766">
        <f>IF(ISNUMBER(U2766),IF(U2766&gt;$L$6,T2766,""),"")</f>
        <v/>
      </c>
      <c r="W2766">
        <f>IF(AND(ISNUMBER('자료_거시'!$G2748),ISNUMBER('자료_거시'!$H2748)),'자료_거시'!$H2748,"")</f>
        <v/>
      </c>
      <c r="X2766">
        <f>IF(ISNUMBER(W2766),'자료_거시'!$G2748,"")</f>
        <v/>
      </c>
      <c r="Y2766">
        <f>IF(ISNUMBER(X2766),IF(X2766&gt;$L$7,W2766,""),"")</f>
        <v/>
      </c>
      <c r="Z2766">
        <f>IF(ISNUMBER('자료_거시'!$K2748),'자료_거시'!$K2748,Z2765)</f>
        <v/>
      </c>
      <c r="AA2766">
        <f>IF(AND(ISNUMBER('자료_거시'!$J2748),ISNUMBER('자료_거시'!$K2748)),IFERROR('자료_거시'!$K2748/INDEX($Z$21:$Z$4020,MATCH(EDATE('자료_거시'!$J2748,-'설정'!$B$17),'자료_거시'!$J$3:INDEX('자료_거시'!$J$3:$J$4002,$K$8),1))-1,""),"")</f>
        <v/>
      </c>
      <c r="AB2766">
        <f>IF(ISNUMBER(AA2766),'자료_거시'!$J2748,"")</f>
        <v/>
      </c>
      <c r="AC2766">
        <f>IF(ISNUMBER(AB2766),IF(AB2766&gt;$L$8,AA2766,""),"")</f>
        <v/>
      </c>
    </row>
    <row r="2767">
      <c r="S2767">
        <f>IF(ISNUMBER('자료_거시'!$E2749),'자료_거시'!$E2749,S2766)</f>
        <v/>
      </c>
      <c r="T2767">
        <f>IF(AND(ISNUMBER('자료_거시'!$D2749),ISNUMBER('자료_거시'!$E2749)),IFERROR('자료_거시'!$E2749-INDEX($S$21:$S$4020,MATCH(EDATE('자료_거시'!$D2749,-'설정'!$B$17),'자료_거시'!$D$3:INDEX('자료_거시'!$D$3:$D$4002,$K$6),1)),""),"")</f>
        <v/>
      </c>
      <c r="U2767">
        <f>IF(ISNUMBER(T2767),'자료_거시'!$D2749,"")</f>
        <v/>
      </c>
      <c r="V2767">
        <f>IF(ISNUMBER(U2767),IF(U2767&gt;$L$6,T2767,""),"")</f>
        <v/>
      </c>
      <c r="W2767">
        <f>IF(AND(ISNUMBER('자료_거시'!$G2749),ISNUMBER('자료_거시'!$H2749)),'자료_거시'!$H2749,"")</f>
        <v/>
      </c>
      <c r="X2767">
        <f>IF(ISNUMBER(W2767),'자료_거시'!$G2749,"")</f>
        <v/>
      </c>
      <c r="Y2767">
        <f>IF(ISNUMBER(X2767),IF(X2767&gt;$L$7,W2767,""),"")</f>
        <v/>
      </c>
      <c r="Z2767">
        <f>IF(ISNUMBER('자료_거시'!$K2749),'자료_거시'!$K2749,Z2766)</f>
        <v/>
      </c>
      <c r="AA2767">
        <f>IF(AND(ISNUMBER('자료_거시'!$J2749),ISNUMBER('자료_거시'!$K2749)),IFERROR('자료_거시'!$K2749/INDEX($Z$21:$Z$4020,MATCH(EDATE('자료_거시'!$J2749,-'설정'!$B$17),'자료_거시'!$J$3:INDEX('자료_거시'!$J$3:$J$4002,$K$8),1))-1,""),"")</f>
        <v/>
      </c>
      <c r="AB2767">
        <f>IF(ISNUMBER(AA2767),'자료_거시'!$J2749,"")</f>
        <v/>
      </c>
      <c r="AC2767">
        <f>IF(ISNUMBER(AB2767),IF(AB2767&gt;$L$8,AA2767,""),"")</f>
        <v/>
      </c>
    </row>
    <row r="2768">
      <c r="S2768">
        <f>IF(ISNUMBER('자료_거시'!$E2750),'자료_거시'!$E2750,S2767)</f>
        <v/>
      </c>
      <c r="T2768">
        <f>IF(AND(ISNUMBER('자료_거시'!$D2750),ISNUMBER('자료_거시'!$E2750)),IFERROR('자료_거시'!$E2750-INDEX($S$21:$S$4020,MATCH(EDATE('자료_거시'!$D2750,-'설정'!$B$17),'자료_거시'!$D$3:INDEX('자료_거시'!$D$3:$D$4002,$K$6),1)),""),"")</f>
        <v/>
      </c>
      <c r="U2768">
        <f>IF(ISNUMBER(T2768),'자료_거시'!$D2750,"")</f>
        <v/>
      </c>
      <c r="V2768">
        <f>IF(ISNUMBER(U2768),IF(U2768&gt;$L$6,T2768,""),"")</f>
        <v/>
      </c>
      <c r="W2768">
        <f>IF(AND(ISNUMBER('자료_거시'!$G2750),ISNUMBER('자료_거시'!$H2750)),'자료_거시'!$H2750,"")</f>
        <v/>
      </c>
      <c r="X2768">
        <f>IF(ISNUMBER(W2768),'자료_거시'!$G2750,"")</f>
        <v/>
      </c>
      <c r="Y2768">
        <f>IF(ISNUMBER(X2768),IF(X2768&gt;$L$7,W2768,""),"")</f>
        <v/>
      </c>
      <c r="Z2768">
        <f>IF(ISNUMBER('자료_거시'!$K2750),'자료_거시'!$K2750,Z2767)</f>
        <v/>
      </c>
      <c r="AA2768">
        <f>IF(AND(ISNUMBER('자료_거시'!$J2750),ISNUMBER('자료_거시'!$K2750)),IFERROR('자료_거시'!$K2750/INDEX($Z$21:$Z$4020,MATCH(EDATE('자료_거시'!$J2750,-'설정'!$B$17),'자료_거시'!$J$3:INDEX('자료_거시'!$J$3:$J$4002,$K$8),1))-1,""),"")</f>
        <v/>
      </c>
      <c r="AB2768">
        <f>IF(ISNUMBER(AA2768),'자료_거시'!$J2750,"")</f>
        <v/>
      </c>
      <c r="AC2768">
        <f>IF(ISNUMBER(AB2768),IF(AB2768&gt;$L$8,AA2768,""),"")</f>
        <v/>
      </c>
    </row>
    <row r="2769">
      <c r="S2769">
        <f>IF(ISNUMBER('자료_거시'!$E2751),'자료_거시'!$E2751,S2768)</f>
        <v/>
      </c>
      <c r="T2769">
        <f>IF(AND(ISNUMBER('자료_거시'!$D2751),ISNUMBER('자료_거시'!$E2751)),IFERROR('자료_거시'!$E2751-INDEX($S$21:$S$4020,MATCH(EDATE('자료_거시'!$D2751,-'설정'!$B$17),'자료_거시'!$D$3:INDEX('자료_거시'!$D$3:$D$4002,$K$6),1)),""),"")</f>
        <v/>
      </c>
      <c r="U2769">
        <f>IF(ISNUMBER(T2769),'자료_거시'!$D2751,"")</f>
        <v/>
      </c>
      <c r="V2769">
        <f>IF(ISNUMBER(U2769),IF(U2769&gt;$L$6,T2769,""),"")</f>
        <v/>
      </c>
      <c r="W2769">
        <f>IF(AND(ISNUMBER('자료_거시'!$G2751),ISNUMBER('자료_거시'!$H2751)),'자료_거시'!$H2751,"")</f>
        <v/>
      </c>
      <c r="X2769">
        <f>IF(ISNUMBER(W2769),'자료_거시'!$G2751,"")</f>
        <v/>
      </c>
      <c r="Y2769">
        <f>IF(ISNUMBER(X2769),IF(X2769&gt;$L$7,W2769,""),"")</f>
        <v/>
      </c>
      <c r="Z2769">
        <f>IF(ISNUMBER('자료_거시'!$K2751),'자료_거시'!$K2751,Z2768)</f>
        <v/>
      </c>
      <c r="AA2769">
        <f>IF(AND(ISNUMBER('자료_거시'!$J2751),ISNUMBER('자료_거시'!$K2751)),IFERROR('자료_거시'!$K2751/INDEX($Z$21:$Z$4020,MATCH(EDATE('자료_거시'!$J2751,-'설정'!$B$17),'자료_거시'!$J$3:INDEX('자료_거시'!$J$3:$J$4002,$K$8),1))-1,""),"")</f>
        <v/>
      </c>
      <c r="AB2769">
        <f>IF(ISNUMBER(AA2769),'자료_거시'!$J2751,"")</f>
        <v/>
      </c>
      <c r="AC2769">
        <f>IF(ISNUMBER(AB2769),IF(AB2769&gt;$L$8,AA2769,""),"")</f>
        <v/>
      </c>
    </row>
    <row r="2770">
      <c r="S2770">
        <f>IF(ISNUMBER('자료_거시'!$E2752),'자료_거시'!$E2752,S2769)</f>
        <v/>
      </c>
      <c r="T2770">
        <f>IF(AND(ISNUMBER('자료_거시'!$D2752),ISNUMBER('자료_거시'!$E2752)),IFERROR('자료_거시'!$E2752-INDEX($S$21:$S$4020,MATCH(EDATE('자료_거시'!$D2752,-'설정'!$B$17),'자료_거시'!$D$3:INDEX('자료_거시'!$D$3:$D$4002,$K$6),1)),""),"")</f>
        <v/>
      </c>
      <c r="U2770">
        <f>IF(ISNUMBER(T2770),'자료_거시'!$D2752,"")</f>
        <v/>
      </c>
      <c r="V2770">
        <f>IF(ISNUMBER(U2770),IF(U2770&gt;$L$6,T2770,""),"")</f>
        <v/>
      </c>
      <c r="W2770">
        <f>IF(AND(ISNUMBER('자료_거시'!$G2752),ISNUMBER('자료_거시'!$H2752)),'자료_거시'!$H2752,"")</f>
        <v/>
      </c>
      <c r="X2770">
        <f>IF(ISNUMBER(W2770),'자료_거시'!$G2752,"")</f>
        <v/>
      </c>
      <c r="Y2770">
        <f>IF(ISNUMBER(X2770),IF(X2770&gt;$L$7,W2770,""),"")</f>
        <v/>
      </c>
      <c r="Z2770">
        <f>IF(ISNUMBER('자료_거시'!$K2752),'자료_거시'!$K2752,Z2769)</f>
        <v/>
      </c>
      <c r="AA2770">
        <f>IF(AND(ISNUMBER('자료_거시'!$J2752),ISNUMBER('자료_거시'!$K2752)),IFERROR('자료_거시'!$K2752/INDEX($Z$21:$Z$4020,MATCH(EDATE('자료_거시'!$J2752,-'설정'!$B$17),'자료_거시'!$J$3:INDEX('자료_거시'!$J$3:$J$4002,$K$8),1))-1,""),"")</f>
        <v/>
      </c>
      <c r="AB2770">
        <f>IF(ISNUMBER(AA2770),'자료_거시'!$J2752,"")</f>
        <v/>
      </c>
      <c r="AC2770">
        <f>IF(ISNUMBER(AB2770),IF(AB2770&gt;$L$8,AA2770,""),"")</f>
        <v/>
      </c>
    </row>
    <row r="2771">
      <c r="S2771">
        <f>IF(ISNUMBER('자료_거시'!$E2753),'자료_거시'!$E2753,S2770)</f>
        <v/>
      </c>
      <c r="T2771">
        <f>IF(AND(ISNUMBER('자료_거시'!$D2753),ISNUMBER('자료_거시'!$E2753)),IFERROR('자료_거시'!$E2753-INDEX($S$21:$S$4020,MATCH(EDATE('자료_거시'!$D2753,-'설정'!$B$17),'자료_거시'!$D$3:INDEX('자료_거시'!$D$3:$D$4002,$K$6),1)),""),"")</f>
        <v/>
      </c>
      <c r="U2771">
        <f>IF(ISNUMBER(T2771),'자료_거시'!$D2753,"")</f>
        <v/>
      </c>
      <c r="V2771">
        <f>IF(ISNUMBER(U2771),IF(U2771&gt;$L$6,T2771,""),"")</f>
        <v/>
      </c>
      <c r="W2771">
        <f>IF(AND(ISNUMBER('자료_거시'!$G2753),ISNUMBER('자료_거시'!$H2753)),'자료_거시'!$H2753,"")</f>
        <v/>
      </c>
      <c r="X2771">
        <f>IF(ISNUMBER(W2771),'자료_거시'!$G2753,"")</f>
        <v/>
      </c>
      <c r="Y2771">
        <f>IF(ISNUMBER(X2771),IF(X2771&gt;$L$7,W2771,""),"")</f>
        <v/>
      </c>
      <c r="Z2771">
        <f>IF(ISNUMBER('자료_거시'!$K2753),'자료_거시'!$K2753,Z2770)</f>
        <v/>
      </c>
      <c r="AA2771">
        <f>IF(AND(ISNUMBER('자료_거시'!$J2753),ISNUMBER('자료_거시'!$K2753)),IFERROR('자료_거시'!$K2753/INDEX($Z$21:$Z$4020,MATCH(EDATE('자료_거시'!$J2753,-'설정'!$B$17),'자료_거시'!$J$3:INDEX('자료_거시'!$J$3:$J$4002,$K$8),1))-1,""),"")</f>
        <v/>
      </c>
      <c r="AB2771">
        <f>IF(ISNUMBER(AA2771),'자료_거시'!$J2753,"")</f>
        <v/>
      </c>
      <c r="AC2771">
        <f>IF(ISNUMBER(AB2771),IF(AB2771&gt;$L$8,AA2771,""),"")</f>
        <v/>
      </c>
    </row>
    <row r="2772">
      <c r="S2772">
        <f>IF(ISNUMBER('자료_거시'!$E2754),'자료_거시'!$E2754,S2771)</f>
        <v/>
      </c>
      <c r="T2772">
        <f>IF(AND(ISNUMBER('자료_거시'!$D2754),ISNUMBER('자료_거시'!$E2754)),IFERROR('자료_거시'!$E2754-INDEX($S$21:$S$4020,MATCH(EDATE('자료_거시'!$D2754,-'설정'!$B$17),'자료_거시'!$D$3:INDEX('자료_거시'!$D$3:$D$4002,$K$6),1)),""),"")</f>
        <v/>
      </c>
      <c r="U2772">
        <f>IF(ISNUMBER(T2772),'자료_거시'!$D2754,"")</f>
        <v/>
      </c>
      <c r="V2772">
        <f>IF(ISNUMBER(U2772),IF(U2772&gt;$L$6,T2772,""),"")</f>
        <v/>
      </c>
      <c r="W2772">
        <f>IF(AND(ISNUMBER('자료_거시'!$G2754),ISNUMBER('자료_거시'!$H2754)),'자료_거시'!$H2754,"")</f>
        <v/>
      </c>
      <c r="X2772">
        <f>IF(ISNUMBER(W2772),'자료_거시'!$G2754,"")</f>
        <v/>
      </c>
      <c r="Y2772">
        <f>IF(ISNUMBER(X2772),IF(X2772&gt;$L$7,W2772,""),"")</f>
        <v/>
      </c>
      <c r="Z2772">
        <f>IF(ISNUMBER('자료_거시'!$K2754),'자료_거시'!$K2754,Z2771)</f>
        <v/>
      </c>
      <c r="AA2772">
        <f>IF(AND(ISNUMBER('자료_거시'!$J2754),ISNUMBER('자료_거시'!$K2754)),IFERROR('자료_거시'!$K2754/INDEX($Z$21:$Z$4020,MATCH(EDATE('자료_거시'!$J2754,-'설정'!$B$17),'자료_거시'!$J$3:INDEX('자료_거시'!$J$3:$J$4002,$K$8),1))-1,""),"")</f>
        <v/>
      </c>
      <c r="AB2772">
        <f>IF(ISNUMBER(AA2772),'자료_거시'!$J2754,"")</f>
        <v/>
      </c>
      <c r="AC2772">
        <f>IF(ISNUMBER(AB2772),IF(AB2772&gt;$L$8,AA2772,""),"")</f>
        <v/>
      </c>
    </row>
    <row r="2773">
      <c r="S2773">
        <f>IF(ISNUMBER('자료_거시'!$E2755),'자료_거시'!$E2755,S2772)</f>
        <v/>
      </c>
      <c r="T2773">
        <f>IF(AND(ISNUMBER('자료_거시'!$D2755),ISNUMBER('자료_거시'!$E2755)),IFERROR('자료_거시'!$E2755-INDEX($S$21:$S$4020,MATCH(EDATE('자료_거시'!$D2755,-'설정'!$B$17),'자료_거시'!$D$3:INDEX('자료_거시'!$D$3:$D$4002,$K$6),1)),""),"")</f>
        <v/>
      </c>
      <c r="U2773">
        <f>IF(ISNUMBER(T2773),'자료_거시'!$D2755,"")</f>
        <v/>
      </c>
      <c r="V2773">
        <f>IF(ISNUMBER(U2773),IF(U2773&gt;$L$6,T2773,""),"")</f>
        <v/>
      </c>
      <c r="W2773">
        <f>IF(AND(ISNUMBER('자료_거시'!$G2755),ISNUMBER('자료_거시'!$H2755)),'자료_거시'!$H2755,"")</f>
        <v/>
      </c>
      <c r="X2773">
        <f>IF(ISNUMBER(W2773),'자료_거시'!$G2755,"")</f>
        <v/>
      </c>
      <c r="Y2773">
        <f>IF(ISNUMBER(X2773),IF(X2773&gt;$L$7,W2773,""),"")</f>
        <v/>
      </c>
      <c r="Z2773">
        <f>IF(ISNUMBER('자료_거시'!$K2755),'자료_거시'!$K2755,Z2772)</f>
        <v/>
      </c>
      <c r="AA2773">
        <f>IF(AND(ISNUMBER('자료_거시'!$J2755),ISNUMBER('자료_거시'!$K2755)),IFERROR('자료_거시'!$K2755/INDEX($Z$21:$Z$4020,MATCH(EDATE('자료_거시'!$J2755,-'설정'!$B$17),'자료_거시'!$J$3:INDEX('자료_거시'!$J$3:$J$4002,$K$8),1))-1,""),"")</f>
        <v/>
      </c>
      <c r="AB2773">
        <f>IF(ISNUMBER(AA2773),'자료_거시'!$J2755,"")</f>
        <v/>
      </c>
      <c r="AC2773">
        <f>IF(ISNUMBER(AB2773),IF(AB2773&gt;$L$8,AA2773,""),"")</f>
        <v/>
      </c>
    </row>
    <row r="2774">
      <c r="S2774">
        <f>IF(ISNUMBER('자료_거시'!$E2756),'자료_거시'!$E2756,S2773)</f>
        <v/>
      </c>
      <c r="T2774">
        <f>IF(AND(ISNUMBER('자료_거시'!$D2756),ISNUMBER('자료_거시'!$E2756)),IFERROR('자료_거시'!$E2756-INDEX($S$21:$S$4020,MATCH(EDATE('자료_거시'!$D2756,-'설정'!$B$17),'자료_거시'!$D$3:INDEX('자료_거시'!$D$3:$D$4002,$K$6),1)),""),"")</f>
        <v/>
      </c>
      <c r="U2774">
        <f>IF(ISNUMBER(T2774),'자료_거시'!$D2756,"")</f>
        <v/>
      </c>
      <c r="V2774">
        <f>IF(ISNUMBER(U2774),IF(U2774&gt;$L$6,T2774,""),"")</f>
        <v/>
      </c>
      <c r="W2774">
        <f>IF(AND(ISNUMBER('자료_거시'!$G2756),ISNUMBER('자료_거시'!$H2756)),'자료_거시'!$H2756,"")</f>
        <v/>
      </c>
      <c r="X2774">
        <f>IF(ISNUMBER(W2774),'자료_거시'!$G2756,"")</f>
        <v/>
      </c>
      <c r="Y2774">
        <f>IF(ISNUMBER(X2774),IF(X2774&gt;$L$7,W2774,""),"")</f>
        <v/>
      </c>
      <c r="Z2774">
        <f>IF(ISNUMBER('자료_거시'!$K2756),'자료_거시'!$K2756,Z2773)</f>
        <v/>
      </c>
      <c r="AA2774">
        <f>IF(AND(ISNUMBER('자료_거시'!$J2756),ISNUMBER('자료_거시'!$K2756)),IFERROR('자료_거시'!$K2756/INDEX($Z$21:$Z$4020,MATCH(EDATE('자료_거시'!$J2756,-'설정'!$B$17),'자료_거시'!$J$3:INDEX('자료_거시'!$J$3:$J$4002,$K$8),1))-1,""),"")</f>
        <v/>
      </c>
      <c r="AB2774">
        <f>IF(ISNUMBER(AA2774),'자료_거시'!$J2756,"")</f>
        <v/>
      </c>
      <c r="AC2774">
        <f>IF(ISNUMBER(AB2774),IF(AB2774&gt;$L$8,AA2774,""),"")</f>
        <v/>
      </c>
    </row>
    <row r="2775">
      <c r="S2775">
        <f>IF(ISNUMBER('자료_거시'!$E2757),'자료_거시'!$E2757,S2774)</f>
        <v/>
      </c>
      <c r="T2775">
        <f>IF(AND(ISNUMBER('자료_거시'!$D2757),ISNUMBER('자료_거시'!$E2757)),IFERROR('자료_거시'!$E2757-INDEX($S$21:$S$4020,MATCH(EDATE('자료_거시'!$D2757,-'설정'!$B$17),'자료_거시'!$D$3:INDEX('자료_거시'!$D$3:$D$4002,$K$6),1)),""),"")</f>
        <v/>
      </c>
      <c r="U2775">
        <f>IF(ISNUMBER(T2775),'자료_거시'!$D2757,"")</f>
        <v/>
      </c>
      <c r="V2775">
        <f>IF(ISNUMBER(U2775),IF(U2775&gt;$L$6,T2775,""),"")</f>
        <v/>
      </c>
      <c r="W2775">
        <f>IF(AND(ISNUMBER('자료_거시'!$G2757),ISNUMBER('자료_거시'!$H2757)),'자료_거시'!$H2757,"")</f>
        <v/>
      </c>
      <c r="X2775">
        <f>IF(ISNUMBER(W2775),'자료_거시'!$G2757,"")</f>
        <v/>
      </c>
      <c r="Y2775">
        <f>IF(ISNUMBER(X2775),IF(X2775&gt;$L$7,W2775,""),"")</f>
        <v/>
      </c>
      <c r="Z2775">
        <f>IF(ISNUMBER('자료_거시'!$K2757),'자료_거시'!$K2757,Z2774)</f>
        <v/>
      </c>
      <c r="AA2775">
        <f>IF(AND(ISNUMBER('자료_거시'!$J2757),ISNUMBER('자료_거시'!$K2757)),IFERROR('자료_거시'!$K2757/INDEX($Z$21:$Z$4020,MATCH(EDATE('자료_거시'!$J2757,-'설정'!$B$17),'자료_거시'!$J$3:INDEX('자료_거시'!$J$3:$J$4002,$K$8),1))-1,""),"")</f>
        <v/>
      </c>
      <c r="AB2775">
        <f>IF(ISNUMBER(AA2775),'자료_거시'!$J2757,"")</f>
        <v/>
      </c>
      <c r="AC2775">
        <f>IF(ISNUMBER(AB2775),IF(AB2775&gt;$L$8,AA2775,""),"")</f>
        <v/>
      </c>
    </row>
    <row r="2776">
      <c r="S2776">
        <f>IF(ISNUMBER('자료_거시'!$E2758),'자료_거시'!$E2758,S2775)</f>
        <v/>
      </c>
      <c r="T2776">
        <f>IF(AND(ISNUMBER('자료_거시'!$D2758),ISNUMBER('자료_거시'!$E2758)),IFERROR('자료_거시'!$E2758-INDEX($S$21:$S$4020,MATCH(EDATE('자료_거시'!$D2758,-'설정'!$B$17),'자료_거시'!$D$3:INDEX('자료_거시'!$D$3:$D$4002,$K$6),1)),""),"")</f>
        <v/>
      </c>
      <c r="U2776">
        <f>IF(ISNUMBER(T2776),'자료_거시'!$D2758,"")</f>
        <v/>
      </c>
      <c r="V2776">
        <f>IF(ISNUMBER(U2776),IF(U2776&gt;$L$6,T2776,""),"")</f>
        <v/>
      </c>
      <c r="W2776">
        <f>IF(AND(ISNUMBER('자료_거시'!$G2758),ISNUMBER('자료_거시'!$H2758)),'자료_거시'!$H2758,"")</f>
        <v/>
      </c>
      <c r="X2776">
        <f>IF(ISNUMBER(W2776),'자료_거시'!$G2758,"")</f>
        <v/>
      </c>
      <c r="Y2776">
        <f>IF(ISNUMBER(X2776),IF(X2776&gt;$L$7,W2776,""),"")</f>
        <v/>
      </c>
      <c r="Z2776">
        <f>IF(ISNUMBER('자료_거시'!$K2758),'자료_거시'!$K2758,Z2775)</f>
        <v/>
      </c>
      <c r="AA2776">
        <f>IF(AND(ISNUMBER('자료_거시'!$J2758),ISNUMBER('자료_거시'!$K2758)),IFERROR('자료_거시'!$K2758/INDEX($Z$21:$Z$4020,MATCH(EDATE('자료_거시'!$J2758,-'설정'!$B$17),'자료_거시'!$J$3:INDEX('자료_거시'!$J$3:$J$4002,$K$8),1))-1,""),"")</f>
        <v/>
      </c>
      <c r="AB2776">
        <f>IF(ISNUMBER(AA2776),'자료_거시'!$J2758,"")</f>
        <v/>
      </c>
      <c r="AC2776">
        <f>IF(ISNUMBER(AB2776),IF(AB2776&gt;$L$8,AA2776,""),"")</f>
        <v/>
      </c>
    </row>
    <row r="2777">
      <c r="S2777">
        <f>IF(ISNUMBER('자료_거시'!$E2759),'자료_거시'!$E2759,S2776)</f>
        <v/>
      </c>
      <c r="T2777">
        <f>IF(AND(ISNUMBER('자료_거시'!$D2759),ISNUMBER('자료_거시'!$E2759)),IFERROR('자료_거시'!$E2759-INDEX($S$21:$S$4020,MATCH(EDATE('자료_거시'!$D2759,-'설정'!$B$17),'자료_거시'!$D$3:INDEX('자료_거시'!$D$3:$D$4002,$K$6),1)),""),"")</f>
        <v/>
      </c>
      <c r="U2777">
        <f>IF(ISNUMBER(T2777),'자료_거시'!$D2759,"")</f>
        <v/>
      </c>
      <c r="V2777">
        <f>IF(ISNUMBER(U2777),IF(U2777&gt;$L$6,T2777,""),"")</f>
        <v/>
      </c>
      <c r="W2777">
        <f>IF(AND(ISNUMBER('자료_거시'!$G2759),ISNUMBER('자료_거시'!$H2759)),'자료_거시'!$H2759,"")</f>
        <v/>
      </c>
      <c r="X2777">
        <f>IF(ISNUMBER(W2777),'자료_거시'!$G2759,"")</f>
        <v/>
      </c>
      <c r="Y2777">
        <f>IF(ISNUMBER(X2777),IF(X2777&gt;$L$7,W2777,""),"")</f>
        <v/>
      </c>
      <c r="Z2777">
        <f>IF(ISNUMBER('자료_거시'!$K2759),'자료_거시'!$K2759,Z2776)</f>
        <v/>
      </c>
      <c r="AA2777">
        <f>IF(AND(ISNUMBER('자료_거시'!$J2759),ISNUMBER('자료_거시'!$K2759)),IFERROR('자료_거시'!$K2759/INDEX($Z$21:$Z$4020,MATCH(EDATE('자료_거시'!$J2759,-'설정'!$B$17),'자료_거시'!$J$3:INDEX('자료_거시'!$J$3:$J$4002,$K$8),1))-1,""),"")</f>
        <v/>
      </c>
      <c r="AB2777">
        <f>IF(ISNUMBER(AA2777),'자료_거시'!$J2759,"")</f>
        <v/>
      </c>
      <c r="AC2777">
        <f>IF(ISNUMBER(AB2777),IF(AB2777&gt;$L$8,AA2777,""),"")</f>
        <v/>
      </c>
    </row>
    <row r="2778">
      <c r="S2778">
        <f>IF(ISNUMBER('자료_거시'!$E2760),'자료_거시'!$E2760,S2777)</f>
        <v/>
      </c>
      <c r="T2778">
        <f>IF(AND(ISNUMBER('자료_거시'!$D2760),ISNUMBER('자료_거시'!$E2760)),IFERROR('자료_거시'!$E2760-INDEX($S$21:$S$4020,MATCH(EDATE('자료_거시'!$D2760,-'설정'!$B$17),'자료_거시'!$D$3:INDEX('자료_거시'!$D$3:$D$4002,$K$6),1)),""),"")</f>
        <v/>
      </c>
      <c r="U2778">
        <f>IF(ISNUMBER(T2778),'자료_거시'!$D2760,"")</f>
        <v/>
      </c>
      <c r="V2778">
        <f>IF(ISNUMBER(U2778),IF(U2778&gt;$L$6,T2778,""),"")</f>
        <v/>
      </c>
      <c r="W2778">
        <f>IF(AND(ISNUMBER('자료_거시'!$G2760),ISNUMBER('자료_거시'!$H2760)),'자료_거시'!$H2760,"")</f>
        <v/>
      </c>
      <c r="X2778">
        <f>IF(ISNUMBER(W2778),'자료_거시'!$G2760,"")</f>
        <v/>
      </c>
      <c r="Y2778">
        <f>IF(ISNUMBER(X2778),IF(X2778&gt;$L$7,W2778,""),"")</f>
        <v/>
      </c>
      <c r="Z2778">
        <f>IF(ISNUMBER('자료_거시'!$K2760),'자료_거시'!$K2760,Z2777)</f>
        <v/>
      </c>
      <c r="AA2778">
        <f>IF(AND(ISNUMBER('자료_거시'!$J2760),ISNUMBER('자료_거시'!$K2760)),IFERROR('자료_거시'!$K2760/INDEX($Z$21:$Z$4020,MATCH(EDATE('자료_거시'!$J2760,-'설정'!$B$17),'자료_거시'!$J$3:INDEX('자료_거시'!$J$3:$J$4002,$K$8),1))-1,""),"")</f>
        <v/>
      </c>
      <c r="AB2778">
        <f>IF(ISNUMBER(AA2778),'자료_거시'!$J2760,"")</f>
        <v/>
      </c>
      <c r="AC2778">
        <f>IF(ISNUMBER(AB2778),IF(AB2778&gt;$L$8,AA2778,""),"")</f>
        <v/>
      </c>
    </row>
    <row r="2779">
      <c r="S2779">
        <f>IF(ISNUMBER('자료_거시'!$E2761),'자료_거시'!$E2761,S2778)</f>
        <v/>
      </c>
      <c r="T2779">
        <f>IF(AND(ISNUMBER('자료_거시'!$D2761),ISNUMBER('자료_거시'!$E2761)),IFERROR('자료_거시'!$E2761-INDEX($S$21:$S$4020,MATCH(EDATE('자료_거시'!$D2761,-'설정'!$B$17),'자료_거시'!$D$3:INDEX('자료_거시'!$D$3:$D$4002,$K$6),1)),""),"")</f>
        <v/>
      </c>
      <c r="U2779">
        <f>IF(ISNUMBER(T2779),'자료_거시'!$D2761,"")</f>
        <v/>
      </c>
      <c r="V2779">
        <f>IF(ISNUMBER(U2779),IF(U2779&gt;$L$6,T2779,""),"")</f>
        <v/>
      </c>
      <c r="W2779">
        <f>IF(AND(ISNUMBER('자료_거시'!$G2761),ISNUMBER('자료_거시'!$H2761)),'자료_거시'!$H2761,"")</f>
        <v/>
      </c>
      <c r="X2779">
        <f>IF(ISNUMBER(W2779),'자료_거시'!$G2761,"")</f>
        <v/>
      </c>
      <c r="Y2779">
        <f>IF(ISNUMBER(X2779),IF(X2779&gt;$L$7,W2779,""),"")</f>
        <v/>
      </c>
      <c r="Z2779">
        <f>IF(ISNUMBER('자료_거시'!$K2761),'자료_거시'!$K2761,Z2778)</f>
        <v/>
      </c>
      <c r="AA2779">
        <f>IF(AND(ISNUMBER('자료_거시'!$J2761),ISNUMBER('자료_거시'!$K2761)),IFERROR('자료_거시'!$K2761/INDEX($Z$21:$Z$4020,MATCH(EDATE('자료_거시'!$J2761,-'설정'!$B$17),'자료_거시'!$J$3:INDEX('자료_거시'!$J$3:$J$4002,$K$8),1))-1,""),"")</f>
        <v/>
      </c>
      <c r="AB2779">
        <f>IF(ISNUMBER(AA2779),'자료_거시'!$J2761,"")</f>
        <v/>
      </c>
      <c r="AC2779">
        <f>IF(ISNUMBER(AB2779),IF(AB2779&gt;$L$8,AA2779,""),"")</f>
        <v/>
      </c>
    </row>
    <row r="2780">
      <c r="S2780">
        <f>IF(ISNUMBER('자료_거시'!$E2762),'자료_거시'!$E2762,S2779)</f>
        <v/>
      </c>
      <c r="T2780">
        <f>IF(AND(ISNUMBER('자료_거시'!$D2762),ISNUMBER('자료_거시'!$E2762)),IFERROR('자료_거시'!$E2762-INDEX($S$21:$S$4020,MATCH(EDATE('자료_거시'!$D2762,-'설정'!$B$17),'자료_거시'!$D$3:INDEX('자료_거시'!$D$3:$D$4002,$K$6),1)),""),"")</f>
        <v/>
      </c>
      <c r="U2780">
        <f>IF(ISNUMBER(T2780),'자료_거시'!$D2762,"")</f>
        <v/>
      </c>
      <c r="V2780">
        <f>IF(ISNUMBER(U2780),IF(U2780&gt;$L$6,T2780,""),"")</f>
        <v/>
      </c>
      <c r="W2780">
        <f>IF(AND(ISNUMBER('자료_거시'!$G2762),ISNUMBER('자료_거시'!$H2762)),'자료_거시'!$H2762,"")</f>
        <v/>
      </c>
      <c r="X2780">
        <f>IF(ISNUMBER(W2780),'자료_거시'!$G2762,"")</f>
        <v/>
      </c>
      <c r="Y2780">
        <f>IF(ISNUMBER(X2780),IF(X2780&gt;$L$7,W2780,""),"")</f>
        <v/>
      </c>
      <c r="Z2780">
        <f>IF(ISNUMBER('자료_거시'!$K2762),'자료_거시'!$K2762,Z2779)</f>
        <v/>
      </c>
      <c r="AA2780">
        <f>IF(AND(ISNUMBER('자료_거시'!$J2762),ISNUMBER('자료_거시'!$K2762)),IFERROR('자료_거시'!$K2762/INDEX($Z$21:$Z$4020,MATCH(EDATE('자료_거시'!$J2762,-'설정'!$B$17),'자료_거시'!$J$3:INDEX('자료_거시'!$J$3:$J$4002,$K$8),1))-1,""),"")</f>
        <v/>
      </c>
      <c r="AB2780">
        <f>IF(ISNUMBER(AA2780),'자료_거시'!$J2762,"")</f>
        <v/>
      </c>
      <c r="AC2780">
        <f>IF(ISNUMBER(AB2780),IF(AB2780&gt;$L$8,AA2780,""),"")</f>
        <v/>
      </c>
    </row>
    <row r="2781">
      <c r="S2781">
        <f>IF(ISNUMBER('자료_거시'!$E2763),'자료_거시'!$E2763,S2780)</f>
        <v/>
      </c>
      <c r="T2781">
        <f>IF(AND(ISNUMBER('자료_거시'!$D2763),ISNUMBER('자료_거시'!$E2763)),IFERROR('자료_거시'!$E2763-INDEX($S$21:$S$4020,MATCH(EDATE('자료_거시'!$D2763,-'설정'!$B$17),'자료_거시'!$D$3:INDEX('자료_거시'!$D$3:$D$4002,$K$6),1)),""),"")</f>
        <v/>
      </c>
      <c r="U2781">
        <f>IF(ISNUMBER(T2781),'자료_거시'!$D2763,"")</f>
        <v/>
      </c>
      <c r="V2781">
        <f>IF(ISNUMBER(U2781),IF(U2781&gt;$L$6,T2781,""),"")</f>
        <v/>
      </c>
      <c r="W2781">
        <f>IF(AND(ISNUMBER('자료_거시'!$G2763),ISNUMBER('자료_거시'!$H2763)),'자료_거시'!$H2763,"")</f>
        <v/>
      </c>
      <c r="X2781">
        <f>IF(ISNUMBER(W2781),'자료_거시'!$G2763,"")</f>
        <v/>
      </c>
      <c r="Y2781">
        <f>IF(ISNUMBER(X2781),IF(X2781&gt;$L$7,W2781,""),"")</f>
        <v/>
      </c>
      <c r="Z2781">
        <f>IF(ISNUMBER('자료_거시'!$K2763),'자료_거시'!$K2763,Z2780)</f>
        <v/>
      </c>
      <c r="AA2781">
        <f>IF(AND(ISNUMBER('자료_거시'!$J2763),ISNUMBER('자료_거시'!$K2763)),IFERROR('자료_거시'!$K2763/INDEX($Z$21:$Z$4020,MATCH(EDATE('자료_거시'!$J2763,-'설정'!$B$17),'자료_거시'!$J$3:INDEX('자료_거시'!$J$3:$J$4002,$K$8),1))-1,""),"")</f>
        <v/>
      </c>
      <c r="AB2781">
        <f>IF(ISNUMBER(AA2781),'자료_거시'!$J2763,"")</f>
        <v/>
      </c>
      <c r="AC2781">
        <f>IF(ISNUMBER(AB2781),IF(AB2781&gt;$L$8,AA2781,""),"")</f>
        <v/>
      </c>
    </row>
    <row r="2782">
      <c r="S2782">
        <f>IF(ISNUMBER('자료_거시'!$E2764),'자료_거시'!$E2764,S2781)</f>
        <v/>
      </c>
      <c r="T2782">
        <f>IF(AND(ISNUMBER('자료_거시'!$D2764),ISNUMBER('자료_거시'!$E2764)),IFERROR('자료_거시'!$E2764-INDEX($S$21:$S$4020,MATCH(EDATE('자료_거시'!$D2764,-'설정'!$B$17),'자료_거시'!$D$3:INDEX('자료_거시'!$D$3:$D$4002,$K$6),1)),""),"")</f>
        <v/>
      </c>
      <c r="U2782">
        <f>IF(ISNUMBER(T2782),'자료_거시'!$D2764,"")</f>
        <v/>
      </c>
      <c r="V2782">
        <f>IF(ISNUMBER(U2782),IF(U2782&gt;$L$6,T2782,""),"")</f>
        <v/>
      </c>
      <c r="W2782">
        <f>IF(AND(ISNUMBER('자료_거시'!$G2764),ISNUMBER('자료_거시'!$H2764)),'자료_거시'!$H2764,"")</f>
        <v/>
      </c>
      <c r="X2782">
        <f>IF(ISNUMBER(W2782),'자료_거시'!$G2764,"")</f>
        <v/>
      </c>
      <c r="Y2782">
        <f>IF(ISNUMBER(X2782),IF(X2782&gt;$L$7,W2782,""),"")</f>
        <v/>
      </c>
      <c r="Z2782">
        <f>IF(ISNUMBER('자료_거시'!$K2764),'자료_거시'!$K2764,Z2781)</f>
        <v/>
      </c>
      <c r="AA2782">
        <f>IF(AND(ISNUMBER('자료_거시'!$J2764),ISNUMBER('자료_거시'!$K2764)),IFERROR('자료_거시'!$K2764/INDEX($Z$21:$Z$4020,MATCH(EDATE('자료_거시'!$J2764,-'설정'!$B$17),'자료_거시'!$J$3:INDEX('자료_거시'!$J$3:$J$4002,$K$8),1))-1,""),"")</f>
        <v/>
      </c>
      <c r="AB2782">
        <f>IF(ISNUMBER(AA2782),'자료_거시'!$J2764,"")</f>
        <v/>
      </c>
      <c r="AC2782">
        <f>IF(ISNUMBER(AB2782),IF(AB2782&gt;$L$8,AA2782,""),"")</f>
        <v/>
      </c>
    </row>
    <row r="2783">
      <c r="S2783">
        <f>IF(ISNUMBER('자료_거시'!$E2765),'자료_거시'!$E2765,S2782)</f>
        <v/>
      </c>
      <c r="T2783">
        <f>IF(AND(ISNUMBER('자료_거시'!$D2765),ISNUMBER('자료_거시'!$E2765)),IFERROR('자료_거시'!$E2765-INDEX($S$21:$S$4020,MATCH(EDATE('자료_거시'!$D2765,-'설정'!$B$17),'자료_거시'!$D$3:INDEX('자료_거시'!$D$3:$D$4002,$K$6),1)),""),"")</f>
        <v/>
      </c>
      <c r="U2783">
        <f>IF(ISNUMBER(T2783),'자료_거시'!$D2765,"")</f>
        <v/>
      </c>
      <c r="V2783">
        <f>IF(ISNUMBER(U2783),IF(U2783&gt;$L$6,T2783,""),"")</f>
        <v/>
      </c>
      <c r="W2783">
        <f>IF(AND(ISNUMBER('자료_거시'!$G2765),ISNUMBER('자료_거시'!$H2765)),'자료_거시'!$H2765,"")</f>
        <v/>
      </c>
      <c r="X2783">
        <f>IF(ISNUMBER(W2783),'자료_거시'!$G2765,"")</f>
        <v/>
      </c>
      <c r="Y2783">
        <f>IF(ISNUMBER(X2783),IF(X2783&gt;$L$7,W2783,""),"")</f>
        <v/>
      </c>
      <c r="Z2783">
        <f>IF(ISNUMBER('자료_거시'!$K2765),'자료_거시'!$K2765,Z2782)</f>
        <v/>
      </c>
      <c r="AA2783">
        <f>IF(AND(ISNUMBER('자료_거시'!$J2765),ISNUMBER('자료_거시'!$K2765)),IFERROR('자료_거시'!$K2765/INDEX($Z$21:$Z$4020,MATCH(EDATE('자료_거시'!$J2765,-'설정'!$B$17),'자료_거시'!$J$3:INDEX('자료_거시'!$J$3:$J$4002,$K$8),1))-1,""),"")</f>
        <v/>
      </c>
      <c r="AB2783">
        <f>IF(ISNUMBER(AA2783),'자료_거시'!$J2765,"")</f>
        <v/>
      </c>
      <c r="AC2783">
        <f>IF(ISNUMBER(AB2783),IF(AB2783&gt;$L$8,AA2783,""),"")</f>
        <v/>
      </c>
    </row>
    <row r="2784">
      <c r="S2784">
        <f>IF(ISNUMBER('자료_거시'!$E2766),'자료_거시'!$E2766,S2783)</f>
        <v/>
      </c>
      <c r="T2784">
        <f>IF(AND(ISNUMBER('자료_거시'!$D2766),ISNUMBER('자료_거시'!$E2766)),IFERROR('자료_거시'!$E2766-INDEX($S$21:$S$4020,MATCH(EDATE('자료_거시'!$D2766,-'설정'!$B$17),'자료_거시'!$D$3:INDEX('자료_거시'!$D$3:$D$4002,$K$6),1)),""),"")</f>
        <v/>
      </c>
      <c r="U2784">
        <f>IF(ISNUMBER(T2784),'자료_거시'!$D2766,"")</f>
        <v/>
      </c>
      <c r="V2784">
        <f>IF(ISNUMBER(U2784),IF(U2784&gt;$L$6,T2784,""),"")</f>
        <v/>
      </c>
      <c r="W2784">
        <f>IF(AND(ISNUMBER('자료_거시'!$G2766),ISNUMBER('자료_거시'!$H2766)),'자료_거시'!$H2766,"")</f>
        <v/>
      </c>
      <c r="X2784">
        <f>IF(ISNUMBER(W2784),'자료_거시'!$G2766,"")</f>
        <v/>
      </c>
      <c r="Y2784">
        <f>IF(ISNUMBER(X2784),IF(X2784&gt;$L$7,W2784,""),"")</f>
        <v/>
      </c>
      <c r="Z2784">
        <f>IF(ISNUMBER('자료_거시'!$K2766),'자료_거시'!$K2766,Z2783)</f>
        <v/>
      </c>
      <c r="AA2784">
        <f>IF(AND(ISNUMBER('자료_거시'!$J2766),ISNUMBER('자료_거시'!$K2766)),IFERROR('자료_거시'!$K2766/INDEX($Z$21:$Z$4020,MATCH(EDATE('자료_거시'!$J2766,-'설정'!$B$17),'자료_거시'!$J$3:INDEX('자료_거시'!$J$3:$J$4002,$K$8),1))-1,""),"")</f>
        <v/>
      </c>
      <c r="AB2784">
        <f>IF(ISNUMBER(AA2784),'자료_거시'!$J2766,"")</f>
        <v/>
      </c>
      <c r="AC2784">
        <f>IF(ISNUMBER(AB2784),IF(AB2784&gt;$L$8,AA2784,""),"")</f>
        <v/>
      </c>
    </row>
    <row r="2785">
      <c r="S2785">
        <f>IF(ISNUMBER('자료_거시'!$E2767),'자료_거시'!$E2767,S2784)</f>
        <v/>
      </c>
      <c r="T2785">
        <f>IF(AND(ISNUMBER('자료_거시'!$D2767),ISNUMBER('자료_거시'!$E2767)),IFERROR('자료_거시'!$E2767-INDEX($S$21:$S$4020,MATCH(EDATE('자료_거시'!$D2767,-'설정'!$B$17),'자료_거시'!$D$3:INDEX('자료_거시'!$D$3:$D$4002,$K$6),1)),""),"")</f>
        <v/>
      </c>
      <c r="U2785">
        <f>IF(ISNUMBER(T2785),'자료_거시'!$D2767,"")</f>
        <v/>
      </c>
      <c r="V2785">
        <f>IF(ISNUMBER(U2785),IF(U2785&gt;$L$6,T2785,""),"")</f>
        <v/>
      </c>
      <c r="W2785">
        <f>IF(AND(ISNUMBER('자료_거시'!$G2767),ISNUMBER('자료_거시'!$H2767)),'자료_거시'!$H2767,"")</f>
        <v/>
      </c>
      <c r="X2785">
        <f>IF(ISNUMBER(W2785),'자료_거시'!$G2767,"")</f>
        <v/>
      </c>
      <c r="Y2785">
        <f>IF(ISNUMBER(X2785),IF(X2785&gt;$L$7,W2785,""),"")</f>
        <v/>
      </c>
      <c r="Z2785">
        <f>IF(ISNUMBER('자료_거시'!$K2767),'자료_거시'!$K2767,Z2784)</f>
        <v/>
      </c>
      <c r="AA2785">
        <f>IF(AND(ISNUMBER('자료_거시'!$J2767),ISNUMBER('자료_거시'!$K2767)),IFERROR('자료_거시'!$K2767/INDEX($Z$21:$Z$4020,MATCH(EDATE('자료_거시'!$J2767,-'설정'!$B$17),'자료_거시'!$J$3:INDEX('자료_거시'!$J$3:$J$4002,$K$8),1))-1,""),"")</f>
        <v/>
      </c>
      <c r="AB2785">
        <f>IF(ISNUMBER(AA2785),'자료_거시'!$J2767,"")</f>
        <v/>
      </c>
      <c r="AC2785">
        <f>IF(ISNUMBER(AB2785),IF(AB2785&gt;$L$8,AA2785,""),"")</f>
        <v/>
      </c>
    </row>
    <row r="2786">
      <c r="S2786">
        <f>IF(ISNUMBER('자료_거시'!$E2768),'자료_거시'!$E2768,S2785)</f>
        <v/>
      </c>
      <c r="T2786">
        <f>IF(AND(ISNUMBER('자료_거시'!$D2768),ISNUMBER('자료_거시'!$E2768)),IFERROR('자료_거시'!$E2768-INDEX($S$21:$S$4020,MATCH(EDATE('자료_거시'!$D2768,-'설정'!$B$17),'자료_거시'!$D$3:INDEX('자료_거시'!$D$3:$D$4002,$K$6),1)),""),"")</f>
        <v/>
      </c>
      <c r="U2786">
        <f>IF(ISNUMBER(T2786),'자료_거시'!$D2768,"")</f>
        <v/>
      </c>
      <c r="V2786">
        <f>IF(ISNUMBER(U2786),IF(U2786&gt;$L$6,T2786,""),"")</f>
        <v/>
      </c>
      <c r="W2786">
        <f>IF(AND(ISNUMBER('자료_거시'!$G2768),ISNUMBER('자료_거시'!$H2768)),'자료_거시'!$H2768,"")</f>
        <v/>
      </c>
      <c r="X2786">
        <f>IF(ISNUMBER(W2786),'자료_거시'!$G2768,"")</f>
        <v/>
      </c>
      <c r="Y2786">
        <f>IF(ISNUMBER(X2786),IF(X2786&gt;$L$7,W2786,""),"")</f>
        <v/>
      </c>
      <c r="Z2786">
        <f>IF(ISNUMBER('자료_거시'!$K2768),'자료_거시'!$K2768,Z2785)</f>
        <v/>
      </c>
      <c r="AA2786">
        <f>IF(AND(ISNUMBER('자료_거시'!$J2768),ISNUMBER('자료_거시'!$K2768)),IFERROR('자료_거시'!$K2768/INDEX($Z$21:$Z$4020,MATCH(EDATE('자료_거시'!$J2768,-'설정'!$B$17),'자료_거시'!$J$3:INDEX('자료_거시'!$J$3:$J$4002,$K$8),1))-1,""),"")</f>
        <v/>
      </c>
      <c r="AB2786">
        <f>IF(ISNUMBER(AA2786),'자료_거시'!$J2768,"")</f>
        <v/>
      </c>
      <c r="AC2786">
        <f>IF(ISNUMBER(AB2786),IF(AB2786&gt;$L$8,AA2786,""),"")</f>
        <v/>
      </c>
    </row>
    <row r="2787">
      <c r="S2787">
        <f>IF(ISNUMBER('자료_거시'!$E2769),'자료_거시'!$E2769,S2786)</f>
        <v/>
      </c>
      <c r="T2787">
        <f>IF(AND(ISNUMBER('자료_거시'!$D2769),ISNUMBER('자료_거시'!$E2769)),IFERROR('자료_거시'!$E2769-INDEX($S$21:$S$4020,MATCH(EDATE('자료_거시'!$D2769,-'설정'!$B$17),'자료_거시'!$D$3:INDEX('자료_거시'!$D$3:$D$4002,$K$6),1)),""),"")</f>
        <v/>
      </c>
      <c r="U2787">
        <f>IF(ISNUMBER(T2787),'자료_거시'!$D2769,"")</f>
        <v/>
      </c>
      <c r="V2787">
        <f>IF(ISNUMBER(U2787),IF(U2787&gt;$L$6,T2787,""),"")</f>
        <v/>
      </c>
      <c r="W2787">
        <f>IF(AND(ISNUMBER('자료_거시'!$G2769),ISNUMBER('자료_거시'!$H2769)),'자료_거시'!$H2769,"")</f>
        <v/>
      </c>
      <c r="X2787">
        <f>IF(ISNUMBER(W2787),'자료_거시'!$G2769,"")</f>
        <v/>
      </c>
      <c r="Y2787">
        <f>IF(ISNUMBER(X2787),IF(X2787&gt;$L$7,W2787,""),"")</f>
        <v/>
      </c>
      <c r="Z2787">
        <f>IF(ISNUMBER('자료_거시'!$K2769),'자료_거시'!$K2769,Z2786)</f>
        <v/>
      </c>
      <c r="AA2787">
        <f>IF(AND(ISNUMBER('자료_거시'!$J2769),ISNUMBER('자료_거시'!$K2769)),IFERROR('자료_거시'!$K2769/INDEX($Z$21:$Z$4020,MATCH(EDATE('자료_거시'!$J2769,-'설정'!$B$17),'자료_거시'!$J$3:INDEX('자료_거시'!$J$3:$J$4002,$K$8),1))-1,""),"")</f>
        <v/>
      </c>
      <c r="AB2787">
        <f>IF(ISNUMBER(AA2787),'자료_거시'!$J2769,"")</f>
        <v/>
      </c>
      <c r="AC2787">
        <f>IF(ISNUMBER(AB2787),IF(AB2787&gt;$L$8,AA2787,""),"")</f>
        <v/>
      </c>
    </row>
    <row r="2788">
      <c r="S2788">
        <f>IF(ISNUMBER('자료_거시'!$E2770),'자료_거시'!$E2770,S2787)</f>
        <v/>
      </c>
      <c r="T2788">
        <f>IF(AND(ISNUMBER('자료_거시'!$D2770),ISNUMBER('자료_거시'!$E2770)),IFERROR('자료_거시'!$E2770-INDEX($S$21:$S$4020,MATCH(EDATE('자료_거시'!$D2770,-'설정'!$B$17),'자료_거시'!$D$3:INDEX('자료_거시'!$D$3:$D$4002,$K$6),1)),""),"")</f>
        <v/>
      </c>
      <c r="U2788">
        <f>IF(ISNUMBER(T2788),'자료_거시'!$D2770,"")</f>
        <v/>
      </c>
      <c r="V2788">
        <f>IF(ISNUMBER(U2788),IF(U2788&gt;$L$6,T2788,""),"")</f>
        <v/>
      </c>
      <c r="W2788">
        <f>IF(AND(ISNUMBER('자료_거시'!$G2770),ISNUMBER('자료_거시'!$H2770)),'자료_거시'!$H2770,"")</f>
        <v/>
      </c>
      <c r="X2788">
        <f>IF(ISNUMBER(W2788),'자료_거시'!$G2770,"")</f>
        <v/>
      </c>
      <c r="Y2788">
        <f>IF(ISNUMBER(X2788),IF(X2788&gt;$L$7,W2788,""),"")</f>
        <v/>
      </c>
      <c r="Z2788">
        <f>IF(ISNUMBER('자료_거시'!$K2770),'자료_거시'!$K2770,Z2787)</f>
        <v/>
      </c>
      <c r="AA2788">
        <f>IF(AND(ISNUMBER('자료_거시'!$J2770),ISNUMBER('자료_거시'!$K2770)),IFERROR('자료_거시'!$K2770/INDEX($Z$21:$Z$4020,MATCH(EDATE('자료_거시'!$J2770,-'설정'!$B$17),'자료_거시'!$J$3:INDEX('자료_거시'!$J$3:$J$4002,$K$8),1))-1,""),"")</f>
        <v/>
      </c>
      <c r="AB2788">
        <f>IF(ISNUMBER(AA2788),'자료_거시'!$J2770,"")</f>
        <v/>
      </c>
      <c r="AC2788">
        <f>IF(ISNUMBER(AB2788),IF(AB2788&gt;$L$8,AA2788,""),"")</f>
        <v/>
      </c>
    </row>
    <row r="2789">
      <c r="S2789">
        <f>IF(ISNUMBER('자료_거시'!$E2771),'자료_거시'!$E2771,S2788)</f>
        <v/>
      </c>
      <c r="T2789">
        <f>IF(AND(ISNUMBER('자료_거시'!$D2771),ISNUMBER('자료_거시'!$E2771)),IFERROR('자료_거시'!$E2771-INDEX($S$21:$S$4020,MATCH(EDATE('자료_거시'!$D2771,-'설정'!$B$17),'자료_거시'!$D$3:INDEX('자료_거시'!$D$3:$D$4002,$K$6),1)),""),"")</f>
        <v/>
      </c>
      <c r="U2789">
        <f>IF(ISNUMBER(T2789),'자료_거시'!$D2771,"")</f>
        <v/>
      </c>
      <c r="V2789">
        <f>IF(ISNUMBER(U2789),IF(U2789&gt;$L$6,T2789,""),"")</f>
        <v/>
      </c>
      <c r="W2789">
        <f>IF(AND(ISNUMBER('자료_거시'!$G2771),ISNUMBER('자료_거시'!$H2771)),'자료_거시'!$H2771,"")</f>
        <v/>
      </c>
      <c r="X2789">
        <f>IF(ISNUMBER(W2789),'자료_거시'!$G2771,"")</f>
        <v/>
      </c>
      <c r="Y2789">
        <f>IF(ISNUMBER(X2789),IF(X2789&gt;$L$7,W2789,""),"")</f>
        <v/>
      </c>
      <c r="Z2789">
        <f>IF(ISNUMBER('자료_거시'!$K2771),'자료_거시'!$K2771,Z2788)</f>
        <v/>
      </c>
      <c r="AA2789">
        <f>IF(AND(ISNUMBER('자료_거시'!$J2771),ISNUMBER('자료_거시'!$K2771)),IFERROR('자료_거시'!$K2771/INDEX($Z$21:$Z$4020,MATCH(EDATE('자료_거시'!$J2771,-'설정'!$B$17),'자료_거시'!$J$3:INDEX('자료_거시'!$J$3:$J$4002,$K$8),1))-1,""),"")</f>
        <v/>
      </c>
      <c r="AB2789">
        <f>IF(ISNUMBER(AA2789),'자료_거시'!$J2771,"")</f>
        <v/>
      </c>
      <c r="AC2789">
        <f>IF(ISNUMBER(AB2789),IF(AB2789&gt;$L$8,AA2789,""),"")</f>
        <v/>
      </c>
    </row>
    <row r="2790">
      <c r="S2790">
        <f>IF(ISNUMBER('자료_거시'!$E2772),'자료_거시'!$E2772,S2789)</f>
        <v/>
      </c>
      <c r="T2790">
        <f>IF(AND(ISNUMBER('자료_거시'!$D2772),ISNUMBER('자료_거시'!$E2772)),IFERROR('자료_거시'!$E2772-INDEX($S$21:$S$4020,MATCH(EDATE('자료_거시'!$D2772,-'설정'!$B$17),'자료_거시'!$D$3:INDEX('자료_거시'!$D$3:$D$4002,$K$6),1)),""),"")</f>
        <v/>
      </c>
      <c r="U2790">
        <f>IF(ISNUMBER(T2790),'자료_거시'!$D2772,"")</f>
        <v/>
      </c>
      <c r="V2790">
        <f>IF(ISNUMBER(U2790),IF(U2790&gt;$L$6,T2790,""),"")</f>
        <v/>
      </c>
      <c r="W2790">
        <f>IF(AND(ISNUMBER('자료_거시'!$G2772),ISNUMBER('자료_거시'!$H2772)),'자료_거시'!$H2772,"")</f>
        <v/>
      </c>
      <c r="X2790">
        <f>IF(ISNUMBER(W2790),'자료_거시'!$G2772,"")</f>
        <v/>
      </c>
      <c r="Y2790">
        <f>IF(ISNUMBER(X2790),IF(X2790&gt;$L$7,W2790,""),"")</f>
        <v/>
      </c>
      <c r="Z2790">
        <f>IF(ISNUMBER('자료_거시'!$K2772),'자료_거시'!$K2772,Z2789)</f>
        <v/>
      </c>
      <c r="AA2790">
        <f>IF(AND(ISNUMBER('자료_거시'!$J2772),ISNUMBER('자료_거시'!$K2772)),IFERROR('자료_거시'!$K2772/INDEX($Z$21:$Z$4020,MATCH(EDATE('자료_거시'!$J2772,-'설정'!$B$17),'자료_거시'!$J$3:INDEX('자료_거시'!$J$3:$J$4002,$K$8),1))-1,""),"")</f>
        <v/>
      </c>
      <c r="AB2790">
        <f>IF(ISNUMBER(AA2790),'자료_거시'!$J2772,"")</f>
        <v/>
      </c>
      <c r="AC2790">
        <f>IF(ISNUMBER(AB2790),IF(AB2790&gt;$L$8,AA2790,""),"")</f>
        <v/>
      </c>
    </row>
    <row r="2791">
      <c r="S2791">
        <f>IF(ISNUMBER('자료_거시'!$E2773),'자료_거시'!$E2773,S2790)</f>
        <v/>
      </c>
      <c r="T2791">
        <f>IF(AND(ISNUMBER('자료_거시'!$D2773),ISNUMBER('자료_거시'!$E2773)),IFERROR('자료_거시'!$E2773-INDEX($S$21:$S$4020,MATCH(EDATE('자료_거시'!$D2773,-'설정'!$B$17),'자료_거시'!$D$3:INDEX('자료_거시'!$D$3:$D$4002,$K$6),1)),""),"")</f>
        <v/>
      </c>
      <c r="U2791">
        <f>IF(ISNUMBER(T2791),'자료_거시'!$D2773,"")</f>
        <v/>
      </c>
      <c r="V2791">
        <f>IF(ISNUMBER(U2791),IF(U2791&gt;$L$6,T2791,""),"")</f>
        <v/>
      </c>
      <c r="W2791">
        <f>IF(AND(ISNUMBER('자료_거시'!$G2773),ISNUMBER('자료_거시'!$H2773)),'자료_거시'!$H2773,"")</f>
        <v/>
      </c>
      <c r="X2791">
        <f>IF(ISNUMBER(W2791),'자료_거시'!$G2773,"")</f>
        <v/>
      </c>
      <c r="Y2791">
        <f>IF(ISNUMBER(X2791),IF(X2791&gt;$L$7,W2791,""),"")</f>
        <v/>
      </c>
      <c r="Z2791">
        <f>IF(ISNUMBER('자료_거시'!$K2773),'자료_거시'!$K2773,Z2790)</f>
        <v/>
      </c>
      <c r="AA2791">
        <f>IF(AND(ISNUMBER('자료_거시'!$J2773),ISNUMBER('자료_거시'!$K2773)),IFERROR('자료_거시'!$K2773/INDEX($Z$21:$Z$4020,MATCH(EDATE('자료_거시'!$J2773,-'설정'!$B$17),'자료_거시'!$J$3:INDEX('자료_거시'!$J$3:$J$4002,$K$8),1))-1,""),"")</f>
        <v/>
      </c>
      <c r="AB2791">
        <f>IF(ISNUMBER(AA2791),'자료_거시'!$J2773,"")</f>
        <v/>
      </c>
      <c r="AC2791">
        <f>IF(ISNUMBER(AB2791),IF(AB2791&gt;$L$8,AA2791,""),"")</f>
        <v/>
      </c>
    </row>
    <row r="2792">
      <c r="S2792">
        <f>IF(ISNUMBER('자료_거시'!$E2774),'자료_거시'!$E2774,S2791)</f>
        <v/>
      </c>
      <c r="T2792">
        <f>IF(AND(ISNUMBER('자료_거시'!$D2774),ISNUMBER('자료_거시'!$E2774)),IFERROR('자료_거시'!$E2774-INDEX($S$21:$S$4020,MATCH(EDATE('자료_거시'!$D2774,-'설정'!$B$17),'자료_거시'!$D$3:INDEX('자료_거시'!$D$3:$D$4002,$K$6),1)),""),"")</f>
        <v/>
      </c>
      <c r="U2792">
        <f>IF(ISNUMBER(T2792),'자료_거시'!$D2774,"")</f>
        <v/>
      </c>
      <c r="V2792">
        <f>IF(ISNUMBER(U2792),IF(U2792&gt;$L$6,T2792,""),"")</f>
        <v/>
      </c>
      <c r="W2792">
        <f>IF(AND(ISNUMBER('자료_거시'!$G2774),ISNUMBER('자료_거시'!$H2774)),'자료_거시'!$H2774,"")</f>
        <v/>
      </c>
      <c r="X2792">
        <f>IF(ISNUMBER(W2792),'자료_거시'!$G2774,"")</f>
        <v/>
      </c>
      <c r="Y2792">
        <f>IF(ISNUMBER(X2792),IF(X2792&gt;$L$7,W2792,""),"")</f>
        <v/>
      </c>
      <c r="Z2792">
        <f>IF(ISNUMBER('자료_거시'!$K2774),'자료_거시'!$K2774,Z2791)</f>
        <v/>
      </c>
      <c r="AA2792">
        <f>IF(AND(ISNUMBER('자료_거시'!$J2774),ISNUMBER('자료_거시'!$K2774)),IFERROR('자료_거시'!$K2774/INDEX($Z$21:$Z$4020,MATCH(EDATE('자료_거시'!$J2774,-'설정'!$B$17),'자료_거시'!$J$3:INDEX('자료_거시'!$J$3:$J$4002,$K$8),1))-1,""),"")</f>
        <v/>
      </c>
      <c r="AB2792">
        <f>IF(ISNUMBER(AA2792),'자료_거시'!$J2774,"")</f>
        <v/>
      </c>
      <c r="AC2792">
        <f>IF(ISNUMBER(AB2792),IF(AB2792&gt;$L$8,AA2792,""),"")</f>
        <v/>
      </c>
    </row>
    <row r="2793">
      <c r="S2793">
        <f>IF(ISNUMBER('자료_거시'!$E2775),'자료_거시'!$E2775,S2792)</f>
        <v/>
      </c>
      <c r="T2793">
        <f>IF(AND(ISNUMBER('자료_거시'!$D2775),ISNUMBER('자료_거시'!$E2775)),IFERROR('자료_거시'!$E2775-INDEX($S$21:$S$4020,MATCH(EDATE('자료_거시'!$D2775,-'설정'!$B$17),'자료_거시'!$D$3:INDEX('자료_거시'!$D$3:$D$4002,$K$6),1)),""),"")</f>
        <v/>
      </c>
      <c r="U2793">
        <f>IF(ISNUMBER(T2793),'자료_거시'!$D2775,"")</f>
        <v/>
      </c>
      <c r="V2793">
        <f>IF(ISNUMBER(U2793),IF(U2793&gt;$L$6,T2793,""),"")</f>
        <v/>
      </c>
      <c r="W2793">
        <f>IF(AND(ISNUMBER('자료_거시'!$G2775),ISNUMBER('자료_거시'!$H2775)),'자료_거시'!$H2775,"")</f>
        <v/>
      </c>
      <c r="X2793">
        <f>IF(ISNUMBER(W2793),'자료_거시'!$G2775,"")</f>
        <v/>
      </c>
      <c r="Y2793">
        <f>IF(ISNUMBER(X2793),IF(X2793&gt;$L$7,W2793,""),"")</f>
        <v/>
      </c>
      <c r="Z2793">
        <f>IF(ISNUMBER('자료_거시'!$K2775),'자료_거시'!$K2775,Z2792)</f>
        <v/>
      </c>
      <c r="AA2793">
        <f>IF(AND(ISNUMBER('자료_거시'!$J2775),ISNUMBER('자료_거시'!$K2775)),IFERROR('자료_거시'!$K2775/INDEX($Z$21:$Z$4020,MATCH(EDATE('자료_거시'!$J2775,-'설정'!$B$17),'자료_거시'!$J$3:INDEX('자료_거시'!$J$3:$J$4002,$K$8),1))-1,""),"")</f>
        <v/>
      </c>
      <c r="AB2793">
        <f>IF(ISNUMBER(AA2793),'자료_거시'!$J2775,"")</f>
        <v/>
      </c>
      <c r="AC2793">
        <f>IF(ISNUMBER(AB2793),IF(AB2793&gt;$L$8,AA2793,""),"")</f>
        <v/>
      </c>
    </row>
    <row r="2794">
      <c r="S2794">
        <f>IF(ISNUMBER('자료_거시'!$E2776),'자료_거시'!$E2776,S2793)</f>
        <v/>
      </c>
      <c r="T2794">
        <f>IF(AND(ISNUMBER('자료_거시'!$D2776),ISNUMBER('자료_거시'!$E2776)),IFERROR('자료_거시'!$E2776-INDEX($S$21:$S$4020,MATCH(EDATE('자료_거시'!$D2776,-'설정'!$B$17),'자료_거시'!$D$3:INDEX('자료_거시'!$D$3:$D$4002,$K$6),1)),""),"")</f>
        <v/>
      </c>
      <c r="U2794">
        <f>IF(ISNUMBER(T2794),'자료_거시'!$D2776,"")</f>
        <v/>
      </c>
      <c r="V2794">
        <f>IF(ISNUMBER(U2794),IF(U2794&gt;$L$6,T2794,""),"")</f>
        <v/>
      </c>
      <c r="W2794">
        <f>IF(AND(ISNUMBER('자료_거시'!$G2776),ISNUMBER('자료_거시'!$H2776)),'자료_거시'!$H2776,"")</f>
        <v/>
      </c>
      <c r="X2794">
        <f>IF(ISNUMBER(W2794),'자료_거시'!$G2776,"")</f>
        <v/>
      </c>
      <c r="Y2794">
        <f>IF(ISNUMBER(X2794),IF(X2794&gt;$L$7,W2794,""),"")</f>
        <v/>
      </c>
      <c r="Z2794">
        <f>IF(ISNUMBER('자료_거시'!$K2776),'자료_거시'!$K2776,Z2793)</f>
        <v/>
      </c>
      <c r="AA2794">
        <f>IF(AND(ISNUMBER('자료_거시'!$J2776),ISNUMBER('자료_거시'!$K2776)),IFERROR('자료_거시'!$K2776/INDEX($Z$21:$Z$4020,MATCH(EDATE('자료_거시'!$J2776,-'설정'!$B$17),'자료_거시'!$J$3:INDEX('자료_거시'!$J$3:$J$4002,$K$8),1))-1,""),"")</f>
        <v/>
      </c>
      <c r="AB2794">
        <f>IF(ISNUMBER(AA2794),'자료_거시'!$J2776,"")</f>
        <v/>
      </c>
      <c r="AC2794">
        <f>IF(ISNUMBER(AB2794),IF(AB2794&gt;$L$8,AA2794,""),"")</f>
        <v/>
      </c>
    </row>
    <row r="2795">
      <c r="S2795">
        <f>IF(ISNUMBER('자료_거시'!$E2777),'자료_거시'!$E2777,S2794)</f>
        <v/>
      </c>
      <c r="T2795">
        <f>IF(AND(ISNUMBER('자료_거시'!$D2777),ISNUMBER('자료_거시'!$E2777)),IFERROR('자료_거시'!$E2777-INDEX($S$21:$S$4020,MATCH(EDATE('자료_거시'!$D2777,-'설정'!$B$17),'자료_거시'!$D$3:INDEX('자료_거시'!$D$3:$D$4002,$K$6),1)),""),"")</f>
        <v/>
      </c>
      <c r="U2795">
        <f>IF(ISNUMBER(T2795),'자료_거시'!$D2777,"")</f>
        <v/>
      </c>
      <c r="V2795">
        <f>IF(ISNUMBER(U2795),IF(U2795&gt;$L$6,T2795,""),"")</f>
        <v/>
      </c>
      <c r="W2795">
        <f>IF(AND(ISNUMBER('자료_거시'!$G2777),ISNUMBER('자료_거시'!$H2777)),'자료_거시'!$H2777,"")</f>
        <v/>
      </c>
      <c r="X2795">
        <f>IF(ISNUMBER(W2795),'자료_거시'!$G2777,"")</f>
        <v/>
      </c>
      <c r="Y2795">
        <f>IF(ISNUMBER(X2795),IF(X2795&gt;$L$7,W2795,""),"")</f>
        <v/>
      </c>
      <c r="Z2795">
        <f>IF(ISNUMBER('자료_거시'!$K2777),'자료_거시'!$K2777,Z2794)</f>
        <v/>
      </c>
      <c r="AA2795">
        <f>IF(AND(ISNUMBER('자료_거시'!$J2777),ISNUMBER('자료_거시'!$K2777)),IFERROR('자료_거시'!$K2777/INDEX($Z$21:$Z$4020,MATCH(EDATE('자료_거시'!$J2777,-'설정'!$B$17),'자료_거시'!$J$3:INDEX('자료_거시'!$J$3:$J$4002,$K$8),1))-1,""),"")</f>
        <v/>
      </c>
      <c r="AB2795">
        <f>IF(ISNUMBER(AA2795),'자료_거시'!$J2777,"")</f>
        <v/>
      </c>
      <c r="AC2795">
        <f>IF(ISNUMBER(AB2795),IF(AB2795&gt;$L$8,AA2795,""),"")</f>
        <v/>
      </c>
    </row>
    <row r="2796">
      <c r="S2796">
        <f>IF(ISNUMBER('자료_거시'!$E2778),'자료_거시'!$E2778,S2795)</f>
        <v/>
      </c>
      <c r="T2796">
        <f>IF(AND(ISNUMBER('자료_거시'!$D2778),ISNUMBER('자료_거시'!$E2778)),IFERROR('자료_거시'!$E2778-INDEX($S$21:$S$4020,MATCH(EDATE('자료_거시'!$D2778,-'설정'!$B$17),'자료_거시'!$D$3:INDEX('자료_거시'!$D$3:$D$4002,$K$6),1)),""),"")</f>
        <v/>
      </c>
      <c r="U2796">
        <f>IF(ISNUMBER(T2796),'자료_거시'!$D2778,"")</f>
        <v/>
      </c>
      <c r="V2796">
        <f>IF(ISNUMBER(U2796),IF(U2796&gt;$L$6,T2796,""),"")</f>
        <v/>
      </c>
      <c r="W2796">
        <f>IF(AND(ISNUMBER('자료_거시'!$G2778),ISNUMBER('자료_거시'!$H2778)),'자료_거시'!$H2778,"")</f>
        <v/>
      </c>
      <c r="X2796">
        <f>IF(ISNUMBER(W2796),'자료_거시'!$G2778,"")</f>
        <v/>
      </c>
      <c r="Y2796">
        <f>IF(ISNUMBER(X2796),IF(X2796&gt;$L$7,W2796,""),"")</f>
        <v/>
      </c>
      <c r="Z2796">
        <f>IF(ISNUMBER('자료_거시'!$K2778),'자료_거시'!$K2778,Z2795)</f>
        <v/>
      </c>
      <c r="AA2796">
        <f>IF(AND(ISNUMBER('자료_거시'!$J2778),ISNUMBER('자료_거시'!$K2778)),IFERROR('자료_거시'!$K2778/INDEX($Z$21:$Z$4020,MATCH(EDATE('자료_거시'!$J2778,-'설정'!$B$17),'자료_거시'!$J$3:INDEX('자료_거시'!$J$3:$J$4002,$K$8),1))-1,""),"")</f>
        <v/>
      </c>
      <c r="AB2796">
        <f>IF(ISNUMBER(AA2796),'자료_거시'!$J2778,"")</f>
        <v/>
      </c>
      <c r="AC2796">
        <f>IF(ISNUMBER(AB2796),IF(AB2796&gt;$L$8,AA2796,""),"")</f>
        <v/>
      </c>
    </row>
    <row r="2797">
      <c r="S2797">
        <f>IF(ISNUMBER('자료_거시'!$E2779),'자료_거시'!$E2779,S2796)</f>
        <v/>
      </c>
      <c r="T2797">
        <f>IF(AND(ISNUMBER('자료_거시'!$D2779),ISNUMBER('자료_거시'!$E2779)),IFERROR('자료_거시'!$E2779-INDEX($S$21:$S$4020,MATCH(EDATE('자료_거시'!$D2779,-'설정'!$B$17),'자료_거시'!$D$3:INDEX('자료_거시'!$D$3:$D$4002,$K$6),1)),""),"")</f>
        <v/>
      </c>
      <c r="U2797">
        <f>IF(ISNUMBER(T2797),'자료_거시'!$D2779,"")</f>
        <v/>
      </c>
      <c r="V2797">
        <f>IF(ISNUMBER(U2797),IF(U2797&gt;$L$6,T2797,""),"")</f>
        <v/>
      </c>
      <c r="W2797">
        <f>IF(AND(ISNUMBER('자료_거시'!$G2779),ISNUMBER('자료_거시'!$H2779)),'자료_거시'!$H2779,"")</f>
        <v/>
      </c>
      <c r="X2797">
        <f>IF(ISNUMBER(W2797),'자료_거시'!$G2779,"")</f>
        <v/>
      </c>
      <c r="Y2797">
        <f>IF(ISNUMBER(X2797),IF(X2797&gt;$L$7,W2797,""),"")</f>
        <v/>
      </c>
      <c r="Z2797">
        <f>IF(ISNUMBER('자료_거시'!$K2779),'자료_거시'!$K2779,Z2796)</f>
        <v/>
      </c>
      <c r="AA2797">
        <f>IF(AND(ISNUMBER('자료_거시'!$J2779),ISNUMBER('자료_거시'!$K2779)),IFERROR('자료_거시'!$K2779/INDEX($Z$21:$Z$4020,MATCH(EDATE('자료_거시'!$J2779,-'설정'!$B$17),'자료_거시'!$J$3:INDEX('자료_거시'!$J$3:$J$4002,$K$8),1))-1,""),"")</f>
        <v/>
      </c>
      <c r="AB2797">
        <f>IF(ISNUMBER(AA2797),'자료_거시'!$J2779,"")</f>
        <v/>
      </c>
      <c r="AC2797">
        <f>IF(ISNUMBER(AB2797),IF(AB2797&gt;$L$8,AA2797,""),"")</f>
        <v/>
      </c>
    </row>
    <row r="2798">
      <c r="S2798">
        <f>IF(ISNUMBER('자료_거시'!$E2780),'자료_거시'!$E2780,S2797)</f>
        <v/>
      </c>
      <c r="T2798">
        <f>IF(AND(ISNUMBER('자료_거시'!$D2780),ISNUMBER('자료_거시'!$E2780)),IFERROR('자료_거시'!$E2780-INDEX($S$21:$S$4020,MATCH(EDATE('자료_거시'!$D2780,-'설정'!$B$17),'자료_거시'!$D$3:INDEX('자료_거시'!$D$3:$D$4002,$K$6),1)),""),"")</f>
        <v/>
      </c>
      <c r="U2798">
        <f>IF(ISNUMBER(T2798),'자료_거시'!$D2780,"")</f>
        <v/>
      </c>
      <c r="V2798">
        <f>IF(ISNUMBER(U2798),IF(U2798&gt;$L$6,T2798,""),"")</f>
        <v/>
      </c>
      <c r="W2798">
        <f>IF(AND(ISNUMBER('자료_거시'!$G2780),ISNUMBER('자료_거시'!$H2780)),'자료_거시'!$H2780,"")</f>
        <v/>
      </c>
      <c r="X2798">
        <f>IF(ISNUMBER(W2798),'자료_거시'!$G2780,"")</f>
        <v/>
      </c>
      <c r="Y2798">
        <f>IF(ISNUMBER(X2798),IF(X2798&gt;$L$7,W2798,""),"")</f>
        <v/>
      </c>
      <c r="Z2798">
        <f>IF(ISNUMBER('자료_거시'!$K2780),'자료_거시'!$K2780,Z2797)</f>
        <v/>
      </c>
      <c r="AA2798">
        <f>IF(AND(ISNUMBER('자료_거시'!$J2780),ISNUMBER('자료_거시'!$K2780)),IFERROR('자료_거시'!$K2780/INDEX($Z$21:$Z$4020,MATCH(EDATE('자료_거시'!$J2780,-'설정'!$B$17),'자료_거시'!$J$3:INDEX('자료_거시'!$J$3:$J$4002,$K$8),1))-1,""),"")</f>
        <v/>
      </c>
      <c r="AB2798">
        <f>IF(ISNUMBER(AA2798),'자료_거시'!$J2780,"")</f>
        <v/>
      </c>
      <c r="AC2798">
        <f>IF(ISNUMBER(AB2798),IF(AB2798&gt;$L$8,AA2798,""),"")</f>
        <v/>
      </c>
    </row>
    <row r="2799">
      <c r="S2799">
        <f>IF(ISNUMBER('자료_거시'!$E2781),'자료_거시'!$E2781,S2798)</f>
        <v/>
      </c>
      <c r="T2799">
        <f>IF(AND(ISNUMBER('자료_거시'!$D2781),ISNUMBER('자료_거시'!$E2781)),IFERROR('자료_거시'!$E2781-INDEX($S$21:$S$4020,MATCH(EDATE('자료_거시'!$D2781,-'설정'!$B$17),'자료_거시'!$D$3:INDEX('자료_거시'!$D$3:$D$4002,$K$6),1)),""),"")</f>
        <v/>
      </c>
      <c r="U2799">
        <f>IF(ISNUMBER(T2799),'자료_거시'!$D2781,"")</f>
        <v/>
      </c>
      <c r="V2799">
        <f>IF(ISNUMBER(U2799),IF(U2799&gt;$L$6,T2799,""),"")</f>
        <v/>
      </c>
      <c r="W2799">
        <f>IF(AND(ISNUMBER('자료_거시'!$G2781),ISNUMBER('자료_거시'!$H2781)),'자료_거시'!$H2781,"")</f>
        <v/>
      </c>
      <c r="X2799">
        <f>IF(ISNUMBER(W2799),'자료_거시'!$G2781,"")</f>
        <v/>
      </c>
      <c r="Y2799">
        <f>IF(ISNUMBER(X2799),IF(X2799&gt;$L$7,W2799,""),"")</f>
        <v/>
      </c>
      <c r="Z2799">
        <f>IF(ISNUMBER('자료_거시'!$K2781),'자료_거시'!$K2781,Z2798)</f>
        <v/>
      </c>
      <c r="AA2799">
        <f>IF(AND(ISNUMBER('자료_거시'!$J2781),ISNUMBER('자료_거시'!$K2781)),IFERROR('자료_거시'!$K2781/INDEX($Z$21:$Z$4020,MATCH(EDATE('자료_거시'!$J2781,-'설정'!$B$17),'자료_거시'!$J$3:INDEX('자료_거시'!$J$3:$J$4002,$K$8),1))-1,""),"")</f>
        <v/>
      </c>
      <c r="AB2799">
        <f>IF(ISNUMBER(AA2799),'자료_거시'!$J2781,"")</f>
        <v/>
      </c>
      <c r="AC2799">
        <f>IF(ISNUMBER(AB2799),IF(AB2799&gt;$L$8,AA2799,""),"")</f>
        <v/>
      </c>
    </row>
    <row r="2800">
      <c r="S2800">
        <f>IF(ISNUMBER('자료_거시'!$E2782),'자료_거시'!$E2782,S2799)</f>
        <v/>
      </c>
      <c r="T2800">
        <f>IF(AND(ISNUMBER('자료_거시'!$D2782),ISNUMBER('자료_거시'!$E2782)),IFERROR('자료_거시'!$E2782-INDEX($S$21:$S$4020,MATCH(EDATE('자료_거시'!$D2782,-'설정'!$B$17),'자료_거시'!$D$3:INDEX('자료_거시'!$D$3:$D$4002,$K$6),1)),""),"")</f>
        <v/>
      </c>
      <c r="U2800">
        <f>IF(ISNUMBER(T2800),'자료_거시'!$D2782,"")</f>
        <v/>
      </c>
      <c r="V2800">
        <f>IF(ISNUMBER(U2800),IF(U2800&gt;$L$6,T2800,""),"")</f>
        <v/>
      </c>
      <c r="W2800">
        <f>IF(AND(ISNUMBER('자료_거시'!$G2782),ISNUMBER('자료_거시'!$H2782)),'자료_거시'!$H2782,"")</f>
        <v/>
      </c>
      <c r="X2800">
        <f>IF(ISNUMBER(W2800),'자료_거시'!$G2782,"")</f>
        <v/>
      </c>
      <c r="Y2800">
        <f>IF(ISNUMBER(X2800),IF(X2800&gt;$L$7,W2800,""),"")</f>
        <v/>
      </c>
      <c r="Z2800">
        <f>IF(ISNUMBER('자료_거시'!$K2782),'자료_거시'!$K2782,Z2799)</f>
        <v/>
      </c>
      <c r="AA2800">
        <f>IF(AND(ISNUMBER('자료_거시'!$J2782),ISNUMBER('자료_거시'!$K2782)),IFERROR('자료_거시'!$K2782/INDEX($Z$21:$Z$4020,MATCH(EDATE('자료_거시'!$J2782,-'설정'!$B$17),'자료_거시'!$J$3:INDEX('자료_거시'!$J$3:$J$4002,$K$8),1))-1,""),"")</f>
        <v/>
      </c>
      <c r="AB2800">
        <f>IF(ISNUMBER(AA2800),'자료_거시'!$J2782,"")</f>
        <v/>
      </c>
      <c r="AC2800">
        <f>IF(ISNUMBER(AB2800),IF(AB2800&gt;$L$8,AA2800,""),"")</f>
        <v/>
      </c>
    </row>
    <row r="2801">
      <c r="S2801">
        <f>IF(ISNUMBER('자료_거시'!$E2783),'자료_거시'!$E2783,S2800)</f>
        <v/>
      </c>
      <c r="T2801">
        <f>IF(AND(ISNUMBER('자료_거시'!$D2783),ISNUMBER('자료_거시'!$E2783)),IFERROR('자료_거시'!$E2783-INDEX($S$21:$S$4020,MATCH(EDATE('자료_거시'!$D2783,-'설정'!$B$17),'자료_거시'!$D$3:INDEX('자료_거시'!$D$3:$D$4002,$K$6),1)),""),"")</f>
        <v/>
      </c>
      <c r="U2801">
        <f>IF(ISNUMBER(T2801),'자료_거시'!$D2783,"")</f>
        <v/>
      </c>
      <c r="V2801">
        <f>IF(ISNUMBER(U2801),IF(U2801&gt;$L$6,T2801,""),"")</f>
        <v/>
      </c>
      <c r="W2801">
        <f>IF(AND(ISNUMBER('자료_거시'!$G2783),ISNUMBER('자료_거시'!$H2783)),'자료_거시'!$H2783,"")</f>
        <v/>
      </c>
      <c r="X2801">
        <f>IF(ISNUMBER(W2801),'자료_거시'!$G2783,"")</f>
        <v/>
      </c>
      <c r="Y2801">
        <f>IF(ISNUMBER(X2801),IF(X2801&gt;$L$7,W2801,""),"")</f>
        <v/>
      </c>
      <c r="Z2801">
        <f>IF(ISNUMBER('자료_거시'!$K2783),'자료_거시'!$K2783,Z2800)</f>
        <v/>
      </c>
      <c r="AA2801">
        <f>IF(AND(ISNUMBER('자료_거시'!$J2783),ISNUMBER('자료_거시'!$K2783)),IFERROR('자료_거시'!$K2783/INDEX($Z$21:$Z$4020,MATCH(EDATE('자료_거시'!$J2783,-'설정'!$B$17),'자료_거시'!$J$3:INDEX('자료_거시'!$J$3:$J$4002,$K$8),1))-1,""),"")</f>
        <v/>
      </c>
      <c r="AB2801">
        <f>IF(ISNUMBER(AA2801),'자료_거시'!$J2783,"")</f>
        <v/>
      </c>
      <c r="AC2801">
        <f>IF(ISNUMBER(AB2801),IF(AB2801&gt;$L$8,AA2801,""),"")</f>
        <v/>
      </c>
    </row>
    <row r="2802">
      <c r="S2802">
        <f>IF(ISNUMBER('자료_거시'!$E2784),'자료_거시'!$E2784,S2801)</f>
        <v/>
      </c>
      <c r="T2802">
        <f>IF(AND(ISNUMBER('자료_거시'!$D2784),ISNUMBER('자료_거시'!$E2784)),IFERROR('자료_거시'!$E2784-INDEX($S$21:$S$4020,MATCH(EDATE('자료_거시'!$D2784,-'설정'!$B$17),'자료_거시'!$D$3:INDEX('자료_거시'!$D$3:$D$4002,$K$6),1)),""),"")</f>
        <v/>
      </c>
      <c r="U2802">
        <f>IF(ISNUMBER(T2802),'자료_거시'!$D2784,"")</f>
        <v/>
      </c>
      <c r="V2802">
        <f>IF(ISNUMBER(U2802),IF(U2802&gt;$L$6,T2802,""),"")</f>
        <v/>
      </c>
      <c r="W2802">
        <f>IF(AND(ISNUMBER('자료_거시'!$G2784),ISNUMBER('자료_거시'!$H2784)),'자료_거시'!$H2784,"")</f>
        <v/>
      </c>
      <c r="X2802">
        <f>IF(ISNUMBER(W2802),'자료_거시'!$G2784,"")</f>
        <v/>
      </c>
      <c r="Y2802">
        <f>IF(ISNUMBER(X2802),IF(X2802&gt;$L$7,W2802,""),"")</f>
        <v/>
      </c>
      <c r="Z2802">
        <f>IF(ISNUMBER('자료_거시'!$K2784),'자료_거시'!$K2784,Z2801)</f>
        <v/>
      </c>
      <c r="AA2802">
        <f>IF(AND(ISNUMBER('자료_거시'!$J2784),ISNUMBER('자료_거시'!$K2784)),IFERROR('자료_거시'!$K2784/INDEX($Z$21:$Z$4020,MATCH(EDATE('자료_거시'!$J2784,-'설정'!$B$17),'자료_거시'!$J$3:INDEX('자료_거시'!$J$3:$J$4002,$K$8),1))-1,""),"")</f>
        <v/>
      </c>
      <c r="AB2802">
        <f>IF(ISNUMBER(AA2802),'자료_거시'!$J2784,"")</f>
        <v/>
      </c>
      <c r="AC2802">
        <f>IF(ISNUMBER(AB2802),IF(AB2802&gt;$L$8,AA2802,""),"")</f>
        <v/>
      </c>
    </row>
    <row r="2803">
      <c r="S2803">
        <f>IF(ISNUMBER('자료_거시'!$E2785),'자료_거시'!$E2785,S2802)</f>
        <v/>
      </c>
      <c r="T2803">
        <f>IF(AND(ISNUMBER('자료_거시'!$D2785),ISNUMBER('자료_거시'!$E2785)),IFERROR('자료_거시'!$E2785-INDEX($S$21:$S$4020,MATCH(EDATE('자료_거시'!$D2785,-'설정'!$B$17),'자료_거시'!$D$3:INDEX('자료_거시'!$D$3:$D$4002,$K$6),1)),""),"")</f>
        <v/>
      </c>
      <c r="U2803">
        <f>IF(ISNUMBER(T2803),'자료_거시'!$D2785,"")</f>
        <v/>
      </c>
      <c r="V2803">
        <f>IF(ISNUMBER(U2803),IF(U2803&gt;$L$6,T2803,""),"")</f>
        <v/>
      </c>
      <c r="W2803">
        <f>IF(AND(ISNUMBER('자료_거시'!$G2785),ISNUMBER('자료_거시'!$H2785)),'자료_거시'!$H2785,"")</f>
        <v/>
      </c>
      <c r="X2803">
        <f>IF(ISNUMBER(W2803),'자료_거시'!$G2785,"")</f>
        <v/>
      </c>
      <c r="Y2803">
        <f>IF(ISNUMBER(X2803),IF(X2803&gt;$L$7,W2803,""),"")</f>
        <v/>
      </c>
      <c r="Z2803">
        <f>IF(ISNUMBER('자료_거시'!$K2785),'자료_거시'!$K2785,Z2802)</f>
        <v/>
      </c>
      <c r="AA2803">
        <f>IF(AND(ISNUMBER('자료_거시'!$J2785),ISNUMBER('자료_거시'!$K2785)),IFERROR('자료_거시'!$K2785/INDEX($Z$21:$Z$4020,MATCH(EDATE('자료_거시'!$J2785,-'설정'!$B$17),'자료_거시'!$J$3:INDEX('자료_거시'!$J$3:$J$4002,$K$8),1))-1,""),"")</f>
        <v/>
      </c>
      <c r="AB2803">
        <f>IF(ISNUMBER(AA2803),'자료_거시'!$J2785,"")</f>
        <v/>
      </c>
      <c r="AC2803">
        <f>IF(ISNUMBER(AB2803),IF(AB2803&gt;$L$8,AA2803,""),"")</f>
        <v/>
      </c>
    </row>
    <row r="2804">
      <c r="S2804">
        <f>IF(ISNUMBER('자료_거시'!$E2786),'자료_거시'!$E2786,S2803)</f>
        <v/>
      </c>
      <c r="T2804">
        <f>IF(AND(ISNUMBER('자료_거시'!$D2786),ISNUMBER('자료_거시'!$E2786)),IFERROR('자료_거시'!$E2786-INDEX($S$21:$S$4020,MATCH(EDATE('자료_거시'!$D2786,-'설정'!$B$17),'자료_거시'!$D$3:INDEX('자료_거시'!$D$3:$D$4002,$K$6),1)),""),"")</f>
        <v/>
      </c>
      <c r="U2804">
        <f>IF(ISNUMBER(T2804),'자료_거시'!$D2786,"")</f>
        <v/>
      </c>
      <c r="V2804">
        <f>IF(ISNUMBER(U2804),IF(U2804&gt;$L$6,T2804,""),"")</f>
        <v/>
      </c>
      <c r="W2804">
        <f>IF(AND(ISNUMBER('자료_거시'!$G2786),ISNUMBER('자료_거시'!$H2786)),'자료_거시'!$H2786,"")</f>
        <v/>
      </c>
      <c r="X2804">
        <f>IF(ISNUMBER(W2804),'자료_거시'!$G2786,"")</f>
        <v/>
      </c>
      <c r="Y2804">
        <f>IF(ISNUMBER(X2804),IF(X2804&gt;$L$7,W2804,""),"")</f>
        <v/>
      </c>
      <c r="Z2804">
        <f>IF(ISNUMBER('자료_거시'!$K2786),'자료_거시'!$K2786,Z2803)</f>
        <v/>
      </c>
      <c r="AA2804">
        <f>IF(AND(ISNUMBER('자료_거시'!$J2786),ISNUMBER('자료_거시'!$K2786)),IFERROR('자료_거시'!$K2786/INDEX($Z$21:$Z$4020,MATCH(EDATE('자료_거시'!$J2786,-'설정'!$B$17),'자료_거시'!$J$3:INDEX('자료_거시'!$J$3:$J$4002,$K$8),1))-1,""),"")</f>
        <v/>
      </c>
      <c r="AB2804">
        <f>IF(ISNUMBER(AA2804),'자료_거시'!$J2786,"")</f>
        <v/>
      </c>
      <c r="AC2804">
        <f>IF(ISNUMBER(AB2804),IF(AB2804&gt;$L$8,AA2804,""),"")</f>
        <v/>
      </c>
    </row>
    <row r="2805">
      <c r="S2805">
        <f>IF(ISNUMBER('자료_거시'!$E2787),'자료_거시'!$E2787,S2804)</f>
        <v/>
      </c>
      <c r="T2805">
        <f>IF(AND(ISNUMBER('자료_거시'!$D2787),ISNUMBER('자료_거시'!$E2787)),IFERROR('자료_거시'!$E2787-INDEX($S$21:$S$4020,MATCH(EDATE('자료_거시'!$D2787,-'설정'!$B$17),'자료_거시'!$D$3:INDEX('자료_거시'!$D$3:$D$4002,$K$6),1)),""),"")</f>
        <v/>
      </c>
      <c r="U2805">
        <f>IF(ISNUMBER(T2805),'자료_거시'!$D2787,"")</f>
        <v/>
      </c>
      <c r="V2805">
        <f>IF(ISNUMBER(U2805),IF(U2805&gt;$L$6,T2805,""),"")</f>
        <v/>
      </c>
      <c r="W2805">
        <f>IF(AND(ISNUMBER('자료_거시'!$G2787),ISNUMBER('자료_거시'!$H2787)),'자료_거시'!$H2787,"")</f>
        <v/>
      </c>
      <c r="X2805">
        <f>IF(ISNUMBER(W2805),'자료_거시'!$G2787,"")</f>
        <v/>
      </c>
      <c r="Y2805">
        <f>IF(ISNUMBER(X2805),IF(X2805&gt;$L$7,W2805,""),"")</f>
        <v/>
      </c>
      <c r="Z2805">
        <f>IF(ISNUMBER('자료_거시'!$K2787),'자료_거시'!$K2787,Z2804)</f>
        <v/>
      </c>
      <c r="AA2805">
        <f>IF(AND(ISNUMBER('자료_거시'!$J2787),ISNUMBER('자료_거시'!$K2787)),IFERROR('자료_거시'!$K2787/INDEX($Z$21:$Z$4020,MATCH(EDATE('자료_거시'!$J2787,-'설정'!$B$17),'자료_거시'!$J$3:INDEX('자료_거시'!$J$3:$J$4002,$K$8),1))-1,""),"")</f>
        <v/>
      </c>
      <c r="AB2805">
        <f>IF(ISNUMBER(AA2805),'자료_거시'!$J2787,"")</f>
        <v/>
      </c>
      <c r="AC2805">
        <f>IF(ISNUMBER(AB2805),IF(AB2805&gt;$L$8,AA2805,""),"")</f>
        <v/>
      </c>
    </row>
    <row r="2806">
      <c r="S2806">
        <f>IF(ISNUMBER('자료_거시'!$E2788),'자료_거시'!$E2788,S2805)</f>
        <v/>
      </c>
      <c r="T2806">
        <f>IF(AND(ISNUMBER('자료_거시'!$D2788),ISNUMBER('자료_거시'!$E2788)),IFERROR('자료_거시'!$E2788-INDEX($S$21:$S$4020,MATCH(EDATE('자료_거시'!$D2788,-'설정'!$B$17),'자료_거시'!$D$3:INDEX('자료_거시'!$D$3:$D$4002,$K$6),1)),""),"")</f>
        <v/>
      </c>
      <c r="U2806">
        <f>IF(ISNUMBER(T2806),'자료_거시'!$D2788,"")</f>
        <v/>
      </c>
      <c r="V2806">
        <f>IF(ISNUMBER(U2806),IF(U2806&gt;$L$6,T2806,""),"")</f>
        <v/>
      </c>
      <c r="W2806">
        <f>IF(AND(ISNUMBER('자료_거시'!$G2788),ISNUMBER('자료_거시'!$H2788)),'자료_거시'!$H2788,"")</f>
        <v/>
      </c>
      <c r="X2806">
        <f>IF(ISNUMBER(W2806),'자료_거시'!$G2788,"")</f>
        <v/>
      </c>
      <c r="Y2806">
        <f>IF(ISNUMBER(X2806),IF(X2806&gt;$L$7,W2806,""),"")</f>
        <v/>
      </c>
      <c r="Z2806">
        <f>IF(ISNUMBER('자료_거시'!$K2788),'자료_거시'!$K2788,Z2805)</f>
        <v/>
      </c>
      <c r="AA2806">
        <f>IF(AND(ISNUMBER('자료_거시'!$J2788),ISNUMBER('자료_거시'!$K2788)),IFERROR('자료_거시'!$K2788/INDEX($Z$21:$Z$4020,MATCH(EDATE('자료_거시'!$J2788,-'설정'!$B$17),'자료_거시'!$J$3:INDEX('자료_거시'!$J$3:$J$4002,$K$8),1))-1,""),"")</f>
        <v/>
      </c>
      <c r="AB2806">
        <f>IF(ISNUMBER(AA2806),'자료_거시'!$J2788,"")</f>
        <v/>
      </c>
      <c r="AC2806">
        <f>IF(ISNUMBER(AB2806),IF(AB2806&gt;$L$8,AA2806,""),"")</f>
        <v/>
      </c>
    </row>
    <row r="2807">
      <c r="S2807">
        <f>IF(ISNUMBER('자료_거시'!$E2789),'자료_거시'!$E2789,S2806)</f>
        <v/>
      </c>
      <c r="T2807">
        <f>IF(AND(ISNUMBER('자료_거시'!$D2789),ISNUMBER('자료_거시'!$E2789)),IFERROR('자료_거시'!$E2789-INDEX($S$21:$S$4020,MATCH(EDATE('자료_거시'!$D2789,-'설정'!$B$17),'자료_거시'!$D$3:INDEX('자료_거시'!$D$3:$D$4002,$K$6),1)),""),"")</f>
        <v/>
      </c>
      <c r="U2807">
        <f>IF(ISNUMBER(T2807),'자료_거시'!$D2789,"")</f>
        <v/>
      </c>
      <c r="V2807">
        <f>IF(ISNUMBER(U2807),IF(U2807&gt;$L$6,T2807,""),"")</f>
        <v/>
      </c>
      <c r="W2807">
        <f>IF(AND(ISNUMBER('자료_거시'!$G2789),ISNUMBER('자료_거시'!$H2789)),'자료_거시'!$H2789,"")</f>
        <v/>
      </c>
      <c r="X2807">
        <f>IF(ISNUMBER(W2807),'자료_거시'!$G2789,"")</f>
        <v/>
      </c>
      <c r="Y2807">
        <f>IF(ISNUMBER(X2807),IF(X2807&gt;$L$7,W2807,""),"")</f>
        <v/>
      </c>
      <c r="Z2807">
        <f>IF(ISNUMBER('자료_거시'!$K2789),'자료_거시'!$K2789,Z2806)</f>
        <v/>
      </c>
      <c r="AA2807">
        <f>IF(AND(ISNUMBER('자료_거시'!$J2789),ISNUMBER('자료_거시'!$K2789)),IFERROR('자료_거시'!$K2789/INDEX($Z$21:$Z$4020,MATCH(EDATE('자료_거시'!$J2789,-'설정'!$B$17),'자료_거시'!$J$3:INDEX('자료_거시'!$J$3:$J$4002,$K$8),1))-1,""),"")</f>
        <v/>
      </c>
      <c r="AB2807">
        <f>IF(ISNUMBER(AA2807),'자료_거시'!$J2789,"")</f>
        <v/>
      </c>
      <c r="AC2807">
        <f>IF(ISNUMBER(AB2807),IF(AB2807&gt;$L$8,AA2807,""),"")</f>
        <v/>
      </c>
    </row>
    <row r="2808">
      <c r="S2808">
        <f>IF(ISNUMBER('자료_거시'!$E2790),'자료_거시'!$E2790,S2807)</f>
        <v/>
      </c>
      <c r="T2808">
        <f>IF(AND(ISNUMBER('자료_거시'!$D2790),ISNUMBER('자료_거시'!$E2790)),IFERROR('자료_거시'!$E2790-INDEX($S$21:$S$4020,MATCH(EDATE('자료_거시'!$D2790,-'설정'!$B$17),'자료_거시'!$D$3:INDEX('자료_거시'!$D$3:$D$4002,$K$6),1)),""),"")</f>
        <v/>
      </c>
      <c r="U2808">
        <f>IF(ISNUMBER(T2808),'자료_거시'!$D2790,"")</f>
        <v/>
      </c>
      <c r="V2808">
        <f>IF(ISNUMBER(U2808),IF(U2808&gt;$L$6,T2808,""),"")</f>
        <v/>
      </c>
      <c r="W2808">
        <f>IF(AND(ISNUMBER('자료_거시'!$G2790),ISNUMBER('자료_거시'!$H2790)),'자료_거시'!$H2790,"")</f>
        <v/>
      </c>
      <c r="X2808">
        <f>IF(ISNUMBER(W2808),'자료_거시'!$G2790,"")</f>
        <v/>
      </c>
      <c r="Y2808">
        <f>IF(ISNUMBER(X2808),IF(X2808&gt;$L$7,W2808,""),"")</f>
        <v/>
      </c>
      <c r="Z2808">
        <f>IF(ISNUMBER('자료_거시'!$K2790),'자료_거시'!$K2790,Z2807)</f>
        <v/>
      </c>
      <c r="AA2808">
        <f>IF(AND(ISNUMBER('자료_거시'!$J2790),ISNUMBER('자료_거시'!$K2790)),IFERROR('자료_거시'!$K2790/INDEX($Z$21:$Z$4020,MATCH(EDATE('자료_거시'!$J2790,-'설정'!$B$17),'자료_거시'!$J$3:INDEX('자료_거시'!$J$3:$J$4002,$K$8),1))-1,""),"")</f>
        <v/>
      </c>
      <c r="AB2808">
        <f>IF(ISNUMBER(AA2808),'자료_거시'!$J2790,"")</f>
        <v/>
      </c>
      <c r="AC2808">
        <f>IF(ISNUMBER(AB2808),IF(AB2808&gt;$L$8,AA2808,""),"")</f>
        <v/>
      </c>
    </row>
    <row r="2809">
      <c r="S2809">
        <f>IF(ISNUMBER('자료_거시'!$E2791),'자료_거시'!$E2791,S2808)</f>
        <v/>
      </c>
      <c r="T2809">
        <f>IF(AND(ISNUMBER('자료_거시'!$D2791),ISNUMBER('자료_거시'!$E2791)),IFERROR('자료_거시'!$E2791-INDEX($S$21:$S$4020,MATCH(EDATE('자료_거시'!$D2791,-'설정'!$B$17),'자료_거시'!$D$3:INDEX('자료_거시'!$D$3:$D$4002,$K$6),1)),""),"")</f>
        <v/>
      </c>
      <c r="U2809">
        <f>IF(ISNUMBER(T2809),'자료_거시'!$D2791,"")</f>
        <v/>
      </c>
      <c r="V2809">
        <f>IF(ISNUMBER(U2809),IF(U2809&gt;$L$6,T2809,""),"")</f>
        <v/>
      </c>
      <c r="W2809">
        <f>IF(AND(ISNUMBER('자료_거시'!$G2791),ISNUMBER('자료_거시'!$H2791)),'자료_거시'!$H2791,"")</f>
        <v/>
      </c>
      <c r="X2809">
        <f>IF(ISNUMBER(W2809),'자료_거시'!$G2791,"")</f>
        <v/>
      </c>
      <c r="Y2809">
        <f>IF(ISNUMBER(X2809),IF(X2809&gt;$L$7,W2809,""),"")</f>
        <v/>
      </c>
      <c r="Z2809">
        <f>IF(ISNUMBER('자료_거시'!$K2791),'자료_거시'!$K2791,Z2808)</f>
        <v/>
      </c>
      <c r="AA2809">
        <f>IF(AND(ISNUMBER('자료_거시'!$J2791),ISNUMBER('자료_거시'!$K2791)),IFERROR('자료_거시'!$K2791/INDEX($Z$21:$Z$4020,MATCH(EDATE('자료_거시'!$J2791,-'설정'!$B$17),'자료_거시'!$J$3:INDEX('자료_거시'!$J$3:$J$4002,$K$8),1))-1,""),"")</f>
        <v/>
      </c>
      <c r="AB2809">
        <f>IF(ISNUMBER(AA2809),'자료_거시'!$J2791,"")</f>
        <v/>
      </c>
      <c r="AC2809">
        <f>IF(ISNUMBER(AB2809),IF(AB2809&gt;$L$8,AA2809,""),"")</f>
        <v/>
      </c>
    </row>
    <row r="2810">
      <c r="S2810">
        <f>IF(ISNUMBER('자료_거시'!$E2792),'자료_거시'!$E2792,S2809)</f>
        <v/>
      </c>
      <c r="T2810">
        <f>IF(AND(ISNUMBER('자료_거시'!$D2792),ISNUMBER('자료_거시'!$E2792)),IFERROR('자료_거시'!$E2792-INDEX($S$21:$S$4020,MATCH(EDATE('자료_거시'!$D2792,-'설정'!$B$17),'자료_거시'!$D$3:INDEX('자료_거시'!$D$3:$D$4002,$K$6),1)),""),"")</f>
        <v/>
      </c>
      <c r="U2810">
        <f>IF(ISNUMBER(T2810),'자료_거시'!$D2792,"")</f>
        <v/>
      </c>
      <c r="V2810">
        <f>IF(ISNUMBER(U2810),IF(U2810&gt;$L$6,T2810,""),"")</f>
        <v/>
      </c>
      <c r="W2810">
        <f>IF(AND(ISNUMBER('자료_거시'!$G2792),ISNUMBER('자료_거시'!$H2792)),'자료_거시'!$H2792,"")</f>
        <v/>
      </c>
      <c r="X2810">
        <f>IF(ISNUMBER(W2810),'자료_거시'!$G2792,"")</f>
        <v/>
      </c>
      <c r="Y2810">
        <f>IF(ISNUMBER(X2810),IF(X2810&gt;$L$7,W2810,""),"")</f>
        <v/>
      </c>
      <c r="Z2810">
        <f>IF(ISNUMBER('자료_거시'!$K2792),'자료_거시'!$K2792,Z2809)</f>
        <v/>
      </c>
      <c r="AA2810">
        <f>IF(AND(ISNUMBER('자료_거시'!$J2792),ISNUMBER('자료_거시'!$K2792)),IFERROR('자료_거시'!$K2792/INDEX($Z$21:$Z$4020,MATCH(EDATE('자료_거시'!$J2792,-'설정'!$B$17),'자료_거시'!$J$3:INDEX('자료_거시'!$J$3:$J$4002,$K$8),1))-1,""),"")</f>
        <v/>
      </c>
      <c r="AB2810">
        <f>IF(ISNUMBER(AA2810),'자료_거시'!$J2792,"")</f>
        <v/>
      </c>
      <c r="AC2810">
        <f>IF(ISNUMBER(AB2810),IF(AB2810&gt;$L$8,AA2810,""),"")</f>
        <v/>
      </c>
    </row>
    <row r="2811">
      <c r="S2811">
        <f>IF(ISNUMBER('자료_거시'!$E2793),'자료_거시'!$E2793,S2810)</f>
        <v/>
      </c>
      <c r="T2811">
        <f>IF(AND(ISNUMBER('자료_거시'!$D2793),ISNUMBER('자료_거시'!$E2793)),IFERROR('자료_거시'!$E2793-INDEX($S$21:$S$4020,MATCH(EDATE('자료_거시'!$D2793,-'설정'!$B$17),'자료_거시'!$D$3:INDEX('자료_거시'!$D$3:$D$4002,$K$6),1)),""),"")</f>
        <v/>
      </c>
      <c r="U2811">
        <f>IF(ISNUMBER(T2811),'자료_거시'!$D2793,"")</f>
        <v/>
      </c>
      <c r="V2811">
        <f>IF(ISNUMBER(U2811),IF(U2811&gt;$L$6,T2811,""),"")</f>
        <v/>
      </c>
      <c r="W2811">
        <f>IF(AND(ISNUMBER('자료_거시'!$G2793),ISNUMBER('자료_거시'!$H2793)),'자료_거시'!$H2793,"")</f>
        <v/>
      </c>
      <c r="X2811">
        <f>IF(ISNUMBER(W2811),'자료_거시'!$G2793,"")</f>
        <v/>
      </c>
      <c r="Y2811">
        <f>IF(ISNUMBER(X2811),IF(X2811&gt;$L$7,W2811,""),"")</f>
        <v/>
      </c>
      <c r="Z2811">
        <f>IF(ISNUMBER('자료_거시'!$K2793),'자료_거시'!$K2793,Z2810)</f>
        <v/>
      </c>
      <c r="AA2811">
        <f>IF(AND(ISNUMBER('자료_거시'!$J2793),ISNUMBER('자료_거시'!$K2793)),IFERROR('자료_거시'!$K2793/INDEX($Z$21:$Z$4020,MATCH(EDATE('자료_거시'!$J2793,-'설정'!$B$17),'자료_거시'!$J$3:INDEX('자료_거시'!$J$3:$J$4002,$K$8),1))-1,""),"")</f>
        <v/>
      </c>
      <c r="AB2811">
        <f>IF(ISNUMBER(AA2811),'자료_거시'!$J2793,"")</f>
        <v/>
      </c>
      <c r="AC2811">
        <f>IF(ISNUMBER(AB2811),IF(AB2811&gt;$L$8,AA2811,""),"")</f>
        <v/>
      </c>
    </row>
    <row r="2812">
      <c r="S2812">
        <f>IF(ISNUMBER('자료_거시'!$E2794),'자료_거시'!$E2794,S2811)</f>
        <v/>
      </c>
      <c r="T2812">
        <f>IF(AND(ISNUMBER('자료_거시'!$D2794),ISNUMBER('자료_거시'!$E2794)),IFERROR('자료_거시'!$E2794-INDEX($S$21:$S$4020,MATCH(EDATE('자료_거시'!$D2794,-'설정'!$B$17),'자료_거시'!$D$3:INDEX('자료_거시'!$D$3:$D$4002,$K$6),1)),""),"")</f>
        <v/>
      </c>
      <c r="U2812">
        <f>IF(ISNUMBER(T2812),'자료_거시'!$D2794,"")</f>
        <v/>
      </c>
      <c r="V2812">
        <f>IF(ISNUMBER(U2812),IF(U2812&gt;$L$6,T2812,""),"")</f>
        <v/>
      </c>
      <c r="W2812">
        <f>IF(AND(ISNUMBER('자료_거시'!$G2794),ISNUMBER('자료_거시'!$H2794)),'자료_거시'!$H2794,"")</f>
        <v/>
      </c>
      <c r="X2812">
        <f>IF(ISNUMBER(W2812),'자료_거시'!$G2794,"")</f>
        <v/>
      </c>
      <c r="Y2812">
        <f>IF(ISNUMBER(X2812),IF(X2812&gt;$L$7,W2812,""),"")</f>
        <v/>
      </c>
      <c r="Z2812">
        <f>IF(ISNUMBER('자료_거시'!$K2794),'자료_거시'!$K2794,Z2811)</f>
        <v/>
      </c>
      <c r="AA2812">
        <f>IF(AND(ISNUMBER('자료_거시'!$J2794),ISNUMBER('자료_거시'!$K2794)),IFERROR('자료_거시'!$K2794/INDEX($Z$21:$Z$4020,MATCH(EDATE('자료_거시'!$J2794,-'설정'!$B$17),'자료_거시'!$J$3:INDEX('자료_거시'!$J$3:$J$4002,$K$8),1))-1,""),"")</f>
        <v/>
      </c>
      <c r="AB2812">
        <f>IF(ISNUMBER(AA2812),'자료_거시'!$J2794,"")</f>
        <v/>
      </c>
      <c r="AC2812">
        <f>IF(ISNUMBER(AB2812),IF(AB2812&gt;$L$8,AA2812,""),"")</f>
        <v/>
      </c>
    </row>
    <row r="2813">
      <c r="S2813">
        <f>IF(ISNUMBER('자료_거시'!$E2795),'자료_거시'!$E2795,S2812)</f>
        <v/>
      </c>
      <c r="T2813">
        <f>IF(AND(ISNUMBER('자료_거시'!$D2795),ISNUMBER('자료_거시'!$E2795)),IFERROR('자료_거시'!$E2795-INDEX($S$21:$S$4020,MATCH(EDATE('자료_거시'!$D2795,-'설정'!$B$17),'자료_거시'!$D$3:INDEX('자료_거시'!$D$3:$D$4002,$K$6),1)),""),"")</f>
        <v/>
      </c>
      <c r="U2813">
        <f>IF(ISNUMBER(T2813),'자료_거시'!$D2795,"")</f>
        <v/>
      </c>
      <c r="V2813">
        <f>IF(ISNUMBER(U2813),IF(U2813&gt;$L$6,T2813,""),"")</f>
        <v/>
      </c>
      <c r="W2813">
        <f>IF(AND(ISNUMBER('자료_거시'!$G2795),ISNUMBER('자료_거시'!$H2795)),'자료_거시'!$H2795,"")</f>
        <v/>
      </c>
      <c r="X2813">
        <f>IF(ISNUMBER(W2813),'자료_거시'!$G2795,"")</f>
        <v/>
      </c>
      <c r="Y2813">
        <f>IF(ISNUMBER(X2813),IF(X2813&gt;$L$7,W2813,""),"")</f>
        <v/>
      </c>
      <c r="Z2813">
        <f>IF(ISNUMBER('자료_거시'!$K2795),'자료_거시'!$K2795,Z2812)</f>
        <v/>
      </c>
      <c r="AA2813">
        <f>IF(AND(ISNUMBER('자료_거시'!$J2795),ISNUMBER('자료_거시'!$K2795)),IFERROR('자료_거시'!$K2795/INDEX($Z$21:$Z$4020,MATCH(EDATE('자료_거시'!$J2795,-'설정'!$B$17),'자료_거시'!$J$3:INDEX('자료_거시'!$J$3:$J$4002,$K$8),1))-1,""),"")</f>
        <v/>
      </c>
      <c r="AB2813">
        <f>IF(ISNUMBER(AA2813),'자료_거시'!$J2795,"")</f>
        <v/>
      </c>
      <c r="AC2813">
        <f>IF(ISNUMBER(AB2813),IF(AB2813&gt;$L$8,AA2813,""),"")</f>
        <v/>
      </c>
    </row>
    <row r="2814">
      <c r="S2814">
        <f>IF(ISNUMBER('자료_거시'!$E2796),'자료_거시'!$E2796,S2813)</f>
        <v/>
      </c>
      <c r="T2814">
        <f>IF(AND(ISNUMBER('자료_거시'!$D2796),ISNUMBER('자료_거시'!$E2796)),IFERROR('자료_거시'!$E2796-INDEX($S$21:$S$4020,MATCH(EDATE('자료_거시'!$D2796,-'설정'!$B$17),'자료_거시'!$D$3:INDEX('자료_거시'!$D$3:$D$4002,$K$6),1)),""),"")</f>
        <v/>
      </c>
      <c r="U2814">
        <f>IF(ISNUMBER(T2814),'자료_거시'!$D2796,"")</f>
        <v/>
      </c>
      <c r="V2814">
        <f>IF(ISNUMBER(U2814),IF(U2814&gt;$L$6,T2814,""),"")</f>
        <v/>
      </c>
      <c r="W2814">
        <f>IF(AND(ISNUMBER('자료_거시'!$G2796),ISNUMBER('자료_거시'!$H2796)),'자료_거시'!$H2796,"")</f>
        <v/>
      </c>
      <c r="X2814">
        <f>IF(ISNUMBER(W2814),'자료_거시'!$G2796,"")</f>
        <v/>
      </c>
      <c r="Y2814">
        <f>IF(ISNUMBER(X2814),IF(X2814&gt;$L$7,W2814,""),"")</f>
        <v/>
      </c>
      <c r="Z2814">
        <f>IF(ISNUMBER('자료_거시'!$K2796),'자료_거시'!$K2796,Z2813)</f>
        <v/>
      </c>
      <c r="AA2814">
        <f>IF(AND(ISNUMBER('자료_거시'!$J2796),ISNUMBER('자료_거시'!$K2796)),IFERROR('자료_거시'!$K2796/INDEX($Z$21:$Z$4020,MATCH(EDATE('자료_거시'!$J2796,-'설정'!$B$17),'자료_거시'!$J$3:INDEX('자료_거시'!$J$3:$J$4002,$K$8),1))-1,""),"")</f>
        <v/>
      </c>
      <c r="AB2814">
        <f>IF(ISNUMBER(AA2814),'자료_거시'!$J2796,"")</f>
        <v/>
      </c>
      <c r="AC2814">
        <f>IF(ISNUMBER(AB2814),IF(AB2814&gt;$L$8,AA2814,""),"")</f>
        <v/>
      </c>
    </row>
    <row r="2815">
      <c r="S2815">
        <f>IF(ISNUMBER('자료_거시'!$E2797),'자료_거시'!$E2797,S2814)</f>
        <v/>
      </c>
      <c r="T2815">
        <f>IF(AND(ISNUMBER('자료_거시'!$D2797),ISNUMBER('자료_거시'!$E2797)),IFERROR('자료_거시'!$E2797-INDEX($S$21:$S$4020,MATCH(EDATE('자료_거시'!$D2797,-'설정'!$B$17),'자료_거시'!$D$3:INDEX('자료_거시'!$D$3:$D$4002,$K$6),1)),""),"")</f>
        <v/>
      </c>
      <c r="U2815">
        <f>IF(ISNUMBER(T2815),'자료_거시'!$D2797,"")</f>
        <v/>
      </c>
      <c r="V2815">
        <f>IF(ISNUMBER(U2815),IF(U2815&gt;$L$6,T2815,""),"")</f>
        <v/>
      </c>
      <c r="W2815">
        <f>IF(AND(ISNUMBER('자료_거시'!$G2797),ISNUMBER('자료_거시'!$H2797)),'자료_거시'!$H2797,"")</f>
        <v/>
      </c>
      <c r="X2815">
        <f>IF(ISNUMBER(W2815),'자료_거시'!$G2797,"")</f>
        <v/>
      </c>
      <c r="Y2815">
        <f>IF(ISNUMBER(X2815),IF(X2815&gt;$L$7,W2815,""),"")</f>
        <v/>
      </c>
      <c r="Z2815">
        <f>IF(ISNUMBER('자료_거시'!$K2797),'자료_거시'!$K2797,Z2814)</f>
        <v/>
      </c>
      <c r="AA2815">
        <f>IF(AND(ISNUMBER('자료_거시'!$J2797),ISNUMBER('자료_거시'!$K2797)),IFERROR('자료_거시'!$K2797/INDEX($Z$21:$Z$4020,MATCH(EDATE('자료_거시'!$J2797,-'설정'!$B$17),'자료_거시'!$J$3:INDEX('자료_거시'!$J$3:$J$4002,$K$8),1))-1,""),"")</f>
        <v/>
      </c>
      <c r="AB2815">
        <f>IF(ISNUMBER(AA2815),'자료_거시'!$J2797,"")</f>
        <v/>
      </c>
      <c r="AC2815">
        <f>IF(ISNUMBER(AB2815),IF(AB2815&gt;$L$8,AA2815,""),"")</f>
        <v/>
      </c>
    </row>
    <row r="2816">
      <c r="S2816">
        <f>IF(ISNUMBER('자료_거시'!$E2798),'자료_거시'!$E2798,S2815)</f>
        <v/>
      </c>
      <c r="T2816">
        <f>IF(AND(ISNUMBER('자료_거시'!$D2798),ISNUMBER('자료_거시'!$E2798)),IFERROR('자료_거시'!$E2798-INDEX($S$21:$S$4020,MATCH(EDATE('자료_거시'!$D2798,-'설정'!$B$17),'자료_거시'!$D$3:INDEX('자료_거시'!$D$3:$D$4002,$K$6),1)),""),"")</f>
        <v/>
      </c>
      <c r="U2816">
        <f>IF(ISNUMBER(T2816),'자료_거시'!$D2798,"")</f>
        <v/>
      </c>
      <c r="V2816">
        <f>IF(ISNUMBER(U2816),IF(U2816&gt;$L$6,T2816,""),"")</f>
        <v/>
      </c>
      <c r="W2816">
        <f>IF(AND(ISNUMBER('자료_거시'!$G2798),ISNUMBER('자료_거시'!$H2798)),'자료_거시'!$H2798,"")</f>
        <v/>
      </c>
      <c r="X2816">
        <f>IF(ISNUMBER(W2816),'자료_거시'!$G2798,"")</f>
        <v/>
      </c>
      <c r="Y2816">
        <f>IF(ISNUMBER(X2816),IF(X2816&gt;$L$7,W2816,""),"")</f>
        <v/>
      </c>
      <c r="Z2816">
        <f>IF(ISNUMBER('자료_거시'!$K2798),'자료_거시'!$K2798,Z2815)</f>
        <v/>
      </c>
      <c r="AA2816">
        <f>IF(AND(ISNUMBER('자료_거시'!$J2798),ISNUMBER('자료_거시'!$K2798)),IFERROR('자료_거시'!$K2798/INDEX($Z$21:$Z$4020,MATCH(EDATE('자료_거시'!$J2798,-'설정'!$B$17),'자료_거시'!$J$3:INDEX('자료_거시'!$J$3:$J$4002,$K$8),1))-1,""),"")</f>
        <v/>
      </c>
      <c r="AB2816">
        <f>IF(ISNUMBER(AA2816),'자료_거시'!$J2798,"")</f>
        <v/>
      </c>
      <c r="AC2816">
        <f>IF(ISNUMBER(AB2816),IF(AB2816&gt;$L$8,AA2816,""),"")</f>
        <v/>
      </c>
    </row>
    <row r="2817">
      <c r="S2817">
        <f>IF(ISNUMBER('자료_거시'!$E2799),'자료_거시'!$E2799,S2816)</f>
        <v/>
      </c>
      <c r="T2817">
        <f>IF(AND(ISNUMBER('자료_거시'!$D2799),ISNUMBER('자료_거시'!$E2799)),IFERROR('자료_거시'!$E2799-INDEX($S$21:$S$4020,MATCH(EDATE('자료_거시'!$D2799,-'설정'!$B$17),'자료_거시'!$D$3:INDEX('자료_거시'!$D$3:$D$4002,$K$6),1)),""),"")</f>
        <v/>
      </c>
      <c r="U2817">
        <f>IF(ISNUMBER(T2817),'자료_거시'!$D2799,"")</f>
        <v/>
      </c>
      <c r="V2817">
        <f>IF(ISNUMBER(U2817),IF(U2817&gt;$L$6,T2817,""),"")</f>
        <v/>
      </c>
      <c r="W2817">
        <f>IF(AND(ISNUMBER('자료_거시'!$G2799),ISNUMBER('자료_거시'!$H2799)),'자료_거시'!$H2799,"")</f>
        <v/>
      </c>
      <c r="X2817">
        <f>IF(ISNUMBER(W2817),'자료_거시'!$G2799,"")</f>
        <v/>
      </c>
      <c r="Y2817">
        <f>IF(ISNUMBER(X2817),IF(X2817&gt;$L$7,W2817,""),"")</f>
        <v/>
      </c>
      <c r="Z2817">
        <f>IF(ISNUMBER('자료_거시'!$K2799),'자료_거시'!$K2799,Z2816)</f>
        <v/>
      </c>
      <c r="AA2817">
        <f>IF(AND(ISNUMBER('자료_거시'!$J2799),ISNUMBER('자료_거시'!$K2799)),IFERROR('자료_거시'!$K2799/INDEX($Z$21:$Z$4020,MATCH(EDATE('자료_거시'!$J2799,-'설정'!$B$17),'자료_거시'!$J$3:INDEX('자료_거시'!$J$3:$J$4002,$K$8),1))-1,""),"")</f>
        <v/>
      </c>
      <c r="AB2817">
        <f>IF(ISNUMBER(AA2817),'자료_거시'!$J2799,"")</f>
        <v/>
      </c>
      <c r="AC2817">
        <f>IF(ISNUMBER(AB2817),IF(AB2817&gt;$L$8,AA2817,""),"")</f>
        <v/>
      </c>
    </row>
    <row r="2818">
      <c r="S2818">
        <f>IF(ISNUMBER('자료_거시'!$E2800),'자료_거시'!$E2800,S2817)</f>
        <v/>
      </c>
      <c r="T2818">
        <f>IF(AND(ISNUMBER('자료_거시'!$D2800),ISNUMBER('자료_거시'!$E2800)),IFERROR('자료_거시'!$E2800-INDEX($S$21:$S$4020,MATCH(EDATE('자료_거시'!$D2800,-'설정'!$B$17),'자료_거시'!$D$3:INDEX('자료_거시'!$D$3:$D$4002,$K$6),1)),""),"")</f>
        <v/>
      </c>
      <c r="U2818">
        <f>IF(ISNUMBER(T2818),'자료_거시'!$D2800,"")</f>
        <v/>
      </c>
      <c r="V2818">
        <f>IF(ISNUMBER(U2818),IF(U2818&gt;$L$6,T2818,""),"")</f>
        <v/>
      </c>
      <c r="W2818">
        <f>IF(AND(ISNUMBER('자료_거시'!$G2800),ISNUMBER('자료_거시'!$H2800)),'자료_거시'!$H2800,"")</f>
        <v/>
      </c>
      <c r="X2818">
        <f>IF(ISNUMBER(W2818),'자료_거시'!$G2800,"")</f>
        <v/>
      </c>
      <c r="Y2818">
        <f>IF(ISNUMBER(X2818),IF(X2818&gt;$L$7,W2818,""),"")</f>
        <v/>
      </c>
      <c r="Z2818">
        <f>IF(ISNUMBER('자료_거시'!$K2800),'자료_거시'!$K2800,Z2817)</f>
        <v/>
      </c>
      <c r="AA2818">
        <f>IF(AND(ISNUMBER('자료_거시'!$J2800),ISNUMBER('자료_거시'!$K2800)),IFERROR('자료_거시'!$K2800/INDEX($Z$21:$Z$4020,MATCH(EDATE('자료_거시'!$J2800,-'설정'!$B$17),'자료_거시'!$J$3:INDEX('자료_거시'!$J$3:$J$4002,$K$8),1))-1,""),"")</f>
        <v/>
      </c>
      <c r="AB2818">
        <f>IF(ISNUMBER(AA2818),'자료_거시'!$J2800,"")</f>
        <v/>
      </c>
      <c r="AC2818">
        <f>IF(ISNUMBER(AB2818),IF(AB2818&gt;$L$8,AA2818,""),"")</f>
        <v/>
      </c>
    </row>
    <row r="2819">
      <c r="S2819">
        <f>IF(ISNUMBER('자료_거시'!$E2801),'자료_거시'!$E2801,S2818)</f>
        <v/>
      </c>
      <c r="T2819">
        <f>IF(AND(ISNUMBER('자료_거시'!$D2801),ISNUMBER('자료_거시'!$E2801)),IFERROR('자료_거시'!$E2801-INDEX($S$21:$S$4020,MATCH(EDATE('자료_거시'!$D2801,-'설정'!$B$17),'자료_거시'!$D$3:INDEX('자료_거시'!$D$3:$D$4002,$K$6),1)),""),"")</f>
        <v/>
      </c>
      <c r="U2819">
        <f>IF(ISNUMBER(T2819),'자료_거시'!$D2801,"")</f>
        <v/>
      </c>
      <c r="V2819">
        <f>IF(ISNUMBER(U2819),IF(U2819&gt;$L$6,T2819,""),"")</f>
        <v/>
      </c>
      <c r="W2819">
        <f>IF(AND(ISNUMBER('자료_거시'!$G2801),ISNUMBER('자료_거시'!$H2801)),'자료_거시'!$H2801,"")</f>
        <v/>
      </c>
      <c r="X2819">
        <f>IF(ISNUMBER(W2819),'자료_거시'!$G2801,"")</f>
        <v/>
      </c>
      <c r="Y2819">
        <f>IF(ISNUMBER(X2819),IF(X2819&gt;$L$7,W2819,""),"")</f>
        <v/>
      </c>
      <c r="Z2819">
        <f>IF(ISNUMBER('자료_거시'!$K2801),'자료_거시'!$K2801,Z2818)</f>
        <v/>
      </c>
      <c r="AA2819">
        <f>IF(AND(ISNUMBER('자료_거시'!$J2801),ISNUMBER('자료_거시'!$K2801)),IFERROR('자료_거시'!$K2801/INDEX($Z$21:$Z$4020,MATCH(EDATE('자료_거시'!$J2801,-'설정'!$B$17),'자료_거시'!$J$3:INDEX('자료_거시'!$J$3:$J$4002,$K$8),1))-1,""),"")</f>
        <v/>
      </c>
      <c r="AB2819">
        <f>IF(ISNUMBER(AA2819),'자료_거시'!$J2801,"")</f>
        <v/>
      </c>
      <c r="AC2819">
        <f>IF(ISNUMBER(AB2819),IF(AB2819&gt;$L$8,AA2819,""),"")</f>
        <v/>
      </c>
    </row>
    <row r="2820">
      <c r="S2820">
        <f>IF(ISNUMBER('자료_거시'!$E2802),'자료_거시'!$E2802,S2819)</f>
        <v/>
      </c>
      <c r="T2820">
        <f>IF(AND(ISNUMBER('자료_거시'!$D2802),ISNUMBER('자료_거시'!$E2802)),IFERROR('자료_거시'!$E2802-INDEX($S$21:$S$4020,MATCH(EDATE('자료_거시'!$D2802,-'설정'!$B$17),'자료_거시'!$D$3:INDEX('자료_거시'!$D$3:$D$4002,$K$6),1)),""),"")</f>
        <v/>
      </c>
      <c r="U2820">
        <f>IF(ISNUMBER(T2820),'자료_거시'!$D2802,"")</f>
        <v/>
      </c>
      <c r="V2820">
        <f>IF(ISNUMBER(U2820),IF(U2820&gt;$L$6,T2820,""),"")</f>
        <v/>
      </c>
      <c r="W2820">
        <f>IF(AND(ISNUMBER('자료_거시'!$G2802),ISNUMBER('자료_거시'!$H2802)),'자료_거시'!$H2802,"")</f>
        <v/>
      </c>
      <c r="X2820">
        <f>IF(ISNUMBER(W2820),'자료_거시'!$G2802,"")</f>
        <v/>
      </c>
      <c r="Y2820">
        <f>IF(ISNUMBER(X2820),IF(X2820&gt;$L$7,W2820,""),"")</f>
        <v/>
      </c>
      <c r="Z2820">
        <f>IF(ISNUMBER('자료_거시'!$K2802),'자료_거시'!$K2802,Z2819)</f>
        <v/>
      </c>
      <c r="AA2820">
        <f>IF(AND(ISNUMBER('자료_거시'!$J2802),ISNUMBER('자료_거시'!$K2802)),IFERROR('자료_거시'!$K2802/INDEX($Z$21:$Z$4020,MATCH(EDATE('자료_거시'!$J2802,-'설정'!$B$17),'자료_거시'!$J$3:INDEX('자료_거시'!$J$3:$J$4002,$K$8),1))-1,""),"")</f>
        <v/>
      </c>
      <c r="AB2820">
        <f>IF(ISNUMBER(AA2820),'자료_거시'!$J2802,"")</f>
        <v/>
      </c>
      <c r="AC2820">
        <f>IF(ISNUMBER(AB2820),IF(AB2820&gt;$L$8,AA2820,""),"")</f>
        <v/>
      </c>
    </row>
    <row r="2821">
      <c r="S2821">
        <f>IF(ISNUMBER('자료_거시'!$E2803),'자료_거시'!$E2803,S2820)</f>
        <v/>
      </c>
      <c r="T2821">
        <f>IF(AND(ISNUMBER('자료_거시'!$D2803),ISNUMBER('자료_거시'!$E2803)),IFERROR('자료_거시'!$E2803-INDEX($S$21:$S$4020,MATCH(EDATE('자료_거시'!$D2803,-'설정'!$B$17),'자료_거시'!$D$3:INDEX('자료_거시'!$D$3:$D$4002,$K$6),1)),""),"")</f>
        <v/>
      </c>
      <c r="U2821">
        <f>IF(ISNUMBER(T2821),'자료_거시'!$D2803,"")</f>
        <v/>
      </c>
      <c r="V2821">
        <f>IF(ISNUMBER(U2821),IF(U2821&gt;$L$6,T2821,""),"")</f>
        <v/>
      </c>
      <c r="W2821">
        <f>IF(AND(ISNUMBER('자료_거시'!$G2803),ISNUMBER('자료_거시'!$H2803)),'자료_거시'!$H2803,"")</f>
        <v/>
      </c>
      <c r="X2821">
        <f>IF(ISNUMBER(W2821),'자료_거시'!$G2803,"")</f>
        <v/>
      </c>
      <c r="Y2821">
        <f>IF(ISNUMBER(X2821),IF(X2821&gt;$L$7,W2821,""),"")</f>
        <v/>
      </c>
      <c r="Z2821">
        <f>IF(ISNUMBER('자료_거시'!$K2803),'자료_거시'!$K2803,Z2820)</f>
        <v/>
      </c>
      <c r="AA2821">
        <f>IF(AND(ISNUMBER('자료_거시'!$J2803),ISNUMBER('자료_거시'!$K2803)),IFERROR('자료_거시'!$K2803/INDEX($Z$21:$Z$4020,MATCH(EDATE('자료_거시'!$J2803,-'설정'!$B$17),'자료_거시'!$J$3:INDEX('자료_거시'!$J$3:$J$4002,$K$8),1))-1,""),"")</f>
        <v/>
      </c>
      <c r="AB2821">
        <f>IF(ISNUMBER(AA2821),'자료_거시'!$J2803,"")</f>
        <v/>
      </c>
      <c r="AC2821">
        <f>IF(ISNUMBER(AB2821),IF(AB2821&gt;$L$8,AA2821,""),"")</f>
        <v/>
      </c>
    </row>
    <row r="2822">
      <c r="S2822">
        <f>IF(ISNUMBER('자료_거시'!$E2804),'자료_거시'!$E2804,S2821)</f>
        <v/>
      </c>
      <c r="T2822">
        <f>IF(AND(ISNUMBER('자료_거시'!$D2804),ISNUMBER('자료_거시'!$E2804)),IFERROR('자료_거시'!$E2804-INDEX($S$21:$S$4020,MATCH(EDATE('자료_거시'!$D2804,-'설정'!$B$17),'자료_거시'!$D$3:INDEX('자료_거시'!$D$3:$D$4002,$K$6),1)),""),"")</f>
        <v/>
      </c>
      <c r="U2822">
        <f>IF(ISNUMBER(T2822),'자료_거시'!$D2804,"")</f>
        <v/>
      </c>
      <c r="V2822">
        <f>IF(ISNUMBER(U2822),IF(U2822&gt;$L$6,T2822,""),"")</f>
        <v/>
      </c>
      <c r="W2822">
        <f>IF(AND(ISNUMBER('자료_거시'!$G2804),ISNUMBER('자료_거시'!$H2804)),'자료_거시'!$H2804,"")</f>
        <v/>
      </c>
      <c r="X2822">
        <f>IF(ISNUMBER(W2822),'자료_거시'!$G2804,"")</f>
        <v/>
      </c>
      <c r="Y2822">
        <f>IF(ISNUMBER(X2822),IF(X2822&gt;$L$7,W2822,""),"")</f>
        <v/>
      </c>
      <c r="Z2822">
        <f>IF(ISNUMBER('자료_거시'!$K2804),'자료_거시'!$K2804,Z2821)</f>
        <v/>
      </c>
      <c r="AA2822">
        <f>IF(AND(ISNUMBER('자료_거시'!$J2804),ISNUMBER('자료_거시'!$K2804)),IFERROR('자료_거시'!$K2804/INDEX($Z$21:$Z$4020,MATCH(EDATE('자료_거시'!$J2804,-'설정'!$B$17),'자료_거시'!$J$3:INDEX('자료_거시'!$J$3:$J$4002,$K$8),1))-1,""),"")</f>
        <v/>
      </c>
      <c r="AB2822">
        <f>IF(ISNUMBER(AA2822),'자료_거시'!$J2804,"")</f>
        <v/>
      </c>
      <c r="AC2822">
        <f>IF(ISNUMBER(AB2822),IF(AB2822&gt;$L$8,AA2822,""),"")</f>
        <v/>
      </c>
    </row>
    <row r="2823">
      <c r="S2823">
        <f>IF(ISNUMBER('자료_거시'!$E2805),'자료_거시'!$E2805,S2822)</f>
        <v/>
      </c>
      <c r="T2823">
        <f>IF(AND(ISNUMBER('자료_거시'!$D2805),ISNUMBER('자료_거시'!$E2805)),IFERROR('자료_거시'!$E2805-INDEX($S$21:$S$4020,MATCH(EDATE('자료_거시'!$D2805,-'설정'!$B$17),'자료_거시'!$D$3:INDEX('자료_거시'!$D$3:$D$4002,$K$6),1)),""),"")</f>
        <v/>
      </c>
      <c r="U2823">
        <f>IF(ISNUMBER(T2823),'자료_거시'!$D2805,"")</f>
        <v/>
      </c>
      <c r="V2823">
        <f>IF(ISNUMBER(U2823),IF(U2823&gt;$L$6,T2823,""),"")</f>
        <v/>
      </c>
      <c r="W2823">
        <f>IF(AND(ISNUMBER('자료_거시'!$G2805),ISNUMBER('자료_거시'!$H2805)),'자료_거시'!$H2805,"")</f>
        <v/>
      </c>
      <c r="X2823">
        <f>IF(ISNUMBER(W2823),'자료_거시'!$G2805,"")</f>
        <v/>
      </c>
      <c r="Y2823">
        <f>IF(ISNUMBER(X2823),IF(X2823&gt;$L$7,W2823,""),"")</f>
        <v/>
      </c>
      <c r="Z2823">
        <f>IF(ISNUMBER('자료_거시'!$K2805),'자료_거시'!$K2805,Z2822)</f>
        <v/>
      </c>
      <c r="AA2823">
        <f>IF(AND(ISNUMBER('자료_거시'!$J2805),ISNUMBER('자료_거시'!$K2805)),IFERROR('자료_거시'!$K2805/INDEX($Z$21:$Z$4020,MATCH(EDATE('자료_거시'!$J2805,-'설정'!$B$17),'자료_거시'!$J$3:INDEX('자료_거시'!$J$3:$J$4002,$K$8),1))-1,""),"")</f>
        <v/>
      </c>
      <c r="AB2823">
        <f>IF(ISNUMBER(AA2823),'자료_거시'!$J2805,"")</f>
        <v/>
      </c>
      <c r="AC2823">
        <f>IF(ISNUMBER(AB2823),IF(AB2823&gt;$L$8,AA2823,""),"")</f>
        <v/>
      </c>
    </row>
    <row r="2824">
      <c r="S2824">
        <f>IF(ISNUMBER('자료_거시'!$E2806),'자료_거시'!$E2806,S2823)</f>
        <v/>
      </c>
      <c r="T2824">
        <f>IF(AND(ISNUMBER('자료_거시'!$D2806),ISNUMBER('자료_거시'!$E2806)),IFERROR('자료_거시'!$E2806-INDEX($S$21:$S$4020,MATCH(EDATE('자료_거시'!$D2806,-'설정'!$B$17),'자료_거시'!$D$3:INDEX('자료_거시'!$D$3:$D$4002,$K$6),1)),""),"")</f>
        <v/>
      </c>
      <c r="U2824">
        <f>IF(ISNUMBER(T2824),'자료_거시'!$D2806,"")</f>
        <v/>
      </c>
      <c r="V2824">
        <f>IF(ISNUMBER(U2824),IF(U2824&gt;$L$6,T2824,""),"")</f>
        <v/>
      </c>
      <c r="W2824">
        <f>IF(AND(ISNUMBER('자료_거시'!$G2806),ISNUMBER('자료_거시'!$H2806)),'자료_거시'!$H2806,"")</f>
        <v/>
      </c>
      <c r="X2824">
        <f>IF(ISNUMBER(W2824),'자료_거시'!$G2806,"")</f>
        <v/>
      </c>
      <c r="Y2824">
        <f>IF(ISNUMBER(X2824),IF(X2824&gt;$L$7,W2824,""),"")</f>
        <v/>
      </c>
      <c r="Z2824">
        <f>IF(ISNUMBER('자료_거시'!$K2806),'자료_거시'!$K2806,Z2823)</f>
        <v/>
      </c>
      <c r="AA2824">
        <f>IF(AND(ISNUMBER('자료_거시'!$J2806),ISNUMBER('자료_거시'!$K2806)),IFERROR('자료_거시'!$K2806/INDEX($Z$21:$Z$4020,MATCH(EDATE('자료_거시'!$J2806,-'설정'!$B$17),'자료_거시'!$J$3:INDEX('자료_거시'!$J$3:$J$4002,$K$8),1))-1,""),"")</f>
        <v/>
      </c>
      <c r="AB2824">
        <f>IF(ISNUMBER(AA2824),'자료_거시'!$J2806,"")</f>
        <v/>
      </c>
      <c r="AC2824">
        <f>IF(ISNUMBER(AB2824),IF(AB2824&gt;$L$8,AA2824,""),"")</f>
        <v/>
      </c>
    </row>
    <row r="2825">
      <c r="S2825">
        <f>IF(ISNUMBER('자료_거시'!$E2807),'자료_거시'!$E2807,S2824)</f>
        <v/>
      </c>
      <c r="T2825">
        <f>IF(AND(ISNUMBER('자료_거시'!$D2807),ISNUMBER('자료_거시'!$E2807)),IFERROR('자료_거시'!$E2807-INDEX($S$21:$S$4020,MATCH(EDATE('자료_거시'!$D2807,-'설정'!$B$17),'자료_거시'!$D$3:INDEX('자료_거시'!$D$3:$D$4002,$K$6),1)),""),"")</f>
        <v/>
      </c>
      <c r="U2825">
        <f>IF(ISNUMBER(T2825),'자료_거시'!$D2807,"")</f>
        <v/>
      </c>
      <c r="V2825">
        <f>IF(ISNUMBER(U2825),IF(U2825&gt;$L$6,T2825,""),"")</f>
        <v/>
      </c>
      <c r="W2825">
        <f>IF(AND(ISNUMBER('자료_거시'!$G2807),ISNUMBER('자료_거시'!$H2807)),'자료_거시'!$H2807,"")</f>
        <v/>
      </c>
      <c r="X2825">
        <f>IF(ISNUMBER(W2825),'자료_거시'!$G2807,"")</f>
        <v/>
      </c>
      <c r="Y2825">
        <f>IF(ISNUMBER(X2825),IF(X2825&gt;$L$7,W2825,""),"")</f>
        <v/>
      </c>
      <c r="Z2825">
        <f>IF(ISNUMBER('자료_거시'!$K2807),'자료_거시'!$K2807,Z2824)</f>
        <v/>
      </c>
      <c r="AA2825">
        <f>IF(AND(ISNUMBER('자료_거시'!$J2807),ISNUMBER('자료_거시'!$K2807)),IFERROR('자료_거시'!$K2807/INDEX($Z$21:$Z$4020,MATCH(EDATE('자료_거시'!$J2807,-'설정'!$B$17),'자료_거시'!$J$3:INDEX('자료_거시'!$J$3:$J$4002,$K$8),1))-1,""),"")</f>
        <v/>
      </c>
      <c r="AB2825">
        <f>IF(ISNUMBER(AA2825),'자료_거시'!$J2807,"")</f>
        <v/>
      </c>
      <c r="AC2825">
        <f>IF(ISNUMBER(AB2825),IF(AB2825&gt;$L$8,AA2825,""),"")</f>
        <v/>
      </c>
    </row>
    <row r="2826">
      <c r="S2826">
        <f>IF(ISNUMBER('자료_거시'!$E2808),'자료_거시'!$E2808,S2825)</f>
        <v/>
      </c>
      <c r="T2826">
        <f>IF(AND(ISNUMBER('자료_거시'!$D2808),ISNUMBER('자료_거시'!$E2808)),IFERROR('자료_거시'!$E2808-INDEX($S$21:$S$4020,MATCH(EDATE('자료_거시'!$D2808,-'설정'!$B$17),'자료_거시'!$D$3:INDEX('자료_거시'!$D$3:$D$4002,$K$6),1)),""),"")</f>
        <v/>
      </c>
      <c r="U2826">
        <f>IF(ISNUMBER(T2826),'자료_거시'!$D2808,"")</f>
        <v/>
      </c>
      <c r="V2826">
        <f>IF(ISNUMBER(U2826),IF(U2826&gt;$L$6,T2826,""),"")</f>
        <v/>
      </c>
      <c r="W2826">
        <f>IF(AND(ISNUMBER('자료_거시'!$G2808),ISNUMBER('자료_거시'!$H2808)),'자료_거시'!$H2808,"")</f>
        <v/>
      </c>
      <c r="X2826">
        <f>IF(ISNUMBER(W2826),'자료_거시'!$G2808,"")</f>
        <v/>
      </c>
      <c r="Y2826">
        <f>IF(ISNUMBER(X2826),IF(X2826&gt;$L$7,W2826,""),"")</f>
        <v/>
      </c>
      <c r="Z2826">
        <f>IF(ISNUMBER('자료_거시'!$K2808),'자료_거시'!$K2808,Z2825)</f>
        <v/>
      </c>
      <c r="AA2826">
        <f>IF(AND(ISNUMBER('자료_거시'!$J2808),ISNUMBER('자료_거시'!$K2808)),IFERROR('자료_거시'!$K2808/INDEX($Z$21:$Z$4020,MATCH(EDATE('자료_거시'!$J2808,-'설정'!$B$17),'자료_거시'!$J$3:INDEX('자료_거시'!$J$3:$J$4002,$K$8),1))-1,""),"")</f>
        <v/>
      </c>
      <c r="AB2826">
        <f>IF(ISNUMBER(AA2826),'자료_거시'!$J2808,"")</f>
        <v/>
      </c>
      <c r="AC2826">
        <f>IF(ISNUMBER(AB2826),IF(AB2826&gt;$L$8,AA2826,""),"")</f>
        <v/>
      </c>
    </row>
    <row r="2827">
      <c r="S2827">
        <f>IF(ISNUMBER('자료_거시'!$E2809),'자료_거시'!$E2809,S2826)</f>
        <v/>
      </c>
      <c r="T2827">
        <f>IF(AND(ISNUMBER('자료_거시'!$D2809),ISNUMBER('자료_거시'!$E2809)),IFERROR('자료_거시'!$E2809-INDEX($S$21:$S$4020,MATCH(EDATE('자료_거시'!$D2809,-'설정'!$B$17),'자료_거시'!$D$3:INDEX('자료_거시'!$D$3:$D$4002,$K$6),1)),""),"")</f>
        <v/>
      </c>
      <c r="U2827">
        <f>IF(ISNUMBER(T2827),'자료_거시'!$D2809,"")</f>
        <v/>
      </c>
      <c r="V2827">
        <f>IF(ISNUMBER(U2827),IF(U2827&gt;$L$6,T2827,""),"")</f>
        <v/>
      </c>
      <c r="W2827">
        <f>IF(AND(ISNUMBER('자료_거시'!$G2809),ISNUMBER('자료_거시'!$H2809)),'자료_거시'!$H2809,"")</f>
        <v/>
      </c>
      <c r="X2827">
        <f>IF(ISNUMBER(W2827),'자료_거시'!$G2809,"")</f>
        <v/>
      </c>
      <c r="Y2827">
        <f>IF(ISNUMBER(X2827),IF(X2827&gt;$L$7,W2827,""),"")</f>
        <v/>
      </c>
      <c r="Z2827">
        <f>IF(ISNUMBER('자료_거시'!$K2809),'자료_거시'!$K2809,Z2826)</f>
        <v/>
      </c>
      <c r="AA2827">
        <f>IF(AND(ISNUMBER('자료_거시'!$J2809),ISNUMBER('자료_거시'!$K2809)),IFERROR('자료_거시'!$K2809/INDEX($Z$21:$Z$4020,MATCH(EDATE('자료_거시'!$J2809,-'설정'!$B$17),'자료_거시'!$J$3:INDEX('자료_거시'!$J$3:$J$4002,$K$8),1))-1,""),"")</f>
        <v/>
      </c>
      <c r="AB2827">
        <f>IF(ISNUMBER(AA2827),'자료_거시'!$J2809,"")</f>
        <v/>
      </c>
      <c r="AC2827">
        <f>IF(ISNUMBER(AB2827),IF(AB2827&gt;$L$8,AA2827,""),"")</f>
        <v/>
      </c>
    </row>
    <row r="2828">
      <c r="S2828">
        <f>IF(ISNUMBER('자료_거시'!$E2810),'자료_거시'!$E2810,S2827)</f>
        <v/>
      </c>
      <c r="T2828">
        <f>IF(AND(ISNUMBER('자료_거시'!$D2810),ISNUMBER('자료_거시'!$E2810)),IFERROR('자료_거시'!$E2810-INDEX($S$21:$S$4020,MATCH(EDATE('자료_거시'!$D2810,-'설정'!$B$17),'자료_거시'!$D$3:INDEX('자료_거시'!$D$3:$D$4002,$K$6),1)),""),"")</f>
        <v/>
      </c>
      <c r="U2828">
        <f>IF(ISNUMBER(T2828),'자료_거시'!$D2810,"")</f>
        <v/>
      </c>
      <c r="V2828">
        <f>IF(ISNUMBER(U2828),IF(U2828&gt;$L$6,T2828,""),"")</f>
        <v/>
      </c>
      <c r="W2828">
        <f>IF(AND(ISNUMBER('자료_거시'!$G2810),ISNUMBER('자료_거시'!$H2810)),'자료_거시'!$H2810,"")</f>
        <v/>
      </c>
      <c r="X2828">
        <f>IF(ISNUMBER(W2828),'자료_거시'!$G2810,"")</f>
        <v/>
      </c>
      <c r="Y2828">
        <f>IF(ISNUMBER(X2828),IF(X2828&gt;$L$7,W2828,""),"")</f>
        <v/>
      </c>
      <c r="Z2828">
        <f>IF(ISNUMBER('자료_거시'!$K2810),'자료_거시'!$K2810,Z2827)</f>
        <v/>
      </c>
      <c r="AA2828">
        <f>IF(AND(ISNUMBER('자료_거시'!$J2810),ISNUMBER('자료_거시'!$K2810)),IFERROR('자료_거시'!$K2810/INDEX($Z$21:$Z$4020,MATCH(EDATE('자료_거시'!$J2810,-'설정'!$B$17),'자료_거시'!$J$3:INDEX('자료_거시'!$J$3:$J$4002,$K$8),1))-1,""),"")</f>
        <v/>
      </c>
      <c r="AB2828">
        <f>IF(ISNUMBER(AA2828),'자료_거시'!$J2810,"")</f>
        <v/>
      </c>
      <c r="AC2828">
        <f>IF(ISNUMBER(AB2828),IF(AB2828&gt;$L$8,AA2828,""),"")</f>
        <v/>
      </c>
    </row>
    <row r="2829">
      <c r="S2829">
        <f>IF(ISNUMBER('자료_거시'!$E2811),'자료_거시'!$E2811,S2828)</f>
        <v/>
      </c>
      <c r="T2829">
        <f>IF(AND(ISNUMBER('자료_거시'!$D2811),ISNUMBER('자료_거시'!$E2811)),IFERROR('자료_거시'!$E2811-INDEX($S$21:$S$4020,MATCH(EDATE('자료_거시'!$D2811,-'설정'!$B$17),'자료_거시'!$D$3:INDEX('자료_거시'!$D$3:$D$4002,$K$6),1)),""),"")</f>
        <v/>
      </c>
      <c r="U2829">
        <f>IF(ISNUMBER(T2829),'자료_거시'!$D2811,"")</f>
        <v/>
      </c>
      <c r="V2829">
        <f>IF(ISNUMBER(U2829),IF(U2829&gt;$L$6,T2829,""),"")</f>
        <v/>
      </c>
      <c r="W2829">
        <f>IF(AND(ISNUMBER('자료_거시'!$G2811),ISNUMBER('자료_거시'!$H2811)),'자료_거시'!$H2811,"")</f>
        <v/>
      </c>
      <c r="X2829">
        <f>IF(ISNUMBER(W2829),'자료_거시'!$G2811,"")</f>
        <v/>
      </c>
      <c r="Y2829">
        <f>IF(ISNUMBER(X2829),IF(X2829&gt;$L$7,W2829,""),"")</f>
        <v/>
      </c>
      <c r="Z2829">
        <f>IF(ISNUMBER('자료_거시'!$K2811),'자료_거시'!$K2811,Z2828)</f>
        <v/>
      </c>
      <c r="AA2829">
        <f>IF(AND(ISNUMBER('자료_거시'!$J2811),ISNUMBER('자료_거시'!$K2811)),IFERROR('자료_거시'!$K2811/INDEX($Z$21:$Z$4020,MATCH(EDATE('자료_거시'!$J2811,-'설정'!$B$17),'자료_거시'!$J$3:INDEX('자료_거시'!$J$3:$J$4002,$K$8),1))-1,""),"")</f>
        <v/>
      </c>
      <c r="AB2829">
        <f>IF(ISNUMBER(AA2829),'자료_거시'!$J2811,"")</f>
        <v/>
      </c>
      <c r="AC2829">
        <f>IF(ISNUMBER(AB2829),IF(AB2829&gt;$L$8,AA2829,""),"")</f>
        <v/>
      </c>
    </row>
    <row r="2830">
      <c r="S2830">
        <f>IF(ISNUMBER('자료_거시'!$E2812),'자료_거시'!$E2812,S2829)</f>
        <v/>
      </c>
      <c r="T2830">
        <f>IF(AND(ISNUMBER('자료_거시'!$D2812),ISNUMBER('자료_거시'!$E2812)),IFERROR('자료_거시'!$E2812-INDEX($S$21:$S$4020,MATCH(EDATE('자료_거시'!$D2812,-'설정'!$B$17),'자료_거시'!$D$3:INDEX('자료_거시'!$D$3:$D$4002,$K$6),1)),""),"")</f>
        <v/>
      </c>
      <c r="U2830">
        <f>IF(ISNUMBER(T2830),'자료_거시'!$D2812,"")</f>
        <v/>
      </c>
      <c r="V2830">
        <f>IF(ISNUMBER(U2830),IF(U2830&gt;$L$6,T2830,""),"")</f>
        <v/>
      </c>
      <c r="W2830">
        <f>IF(AND(ISNUMBER('자료_거시'!$G2812),ISNUMBER('자료_거시'!$H2812)),'자료_거시'!$H2812,"")</f>
        <v/>
      </c>
      <c r="X2830">
        <f>IF(ISNUMBER(W2830),'자료_거시'!$G2812,"")</f>
        <v/>
      </c>
      <c r="Y2830">
        <f>IF(ISNUMBER(X2830),IF(X2830&gt;$L$7,W2830,""),"")</f>
        <v/>
      </c>
      <c r="Z2830">
        <f>IF(ISNUMBER('자료_거시'!$K2812),'자료_거시'!$K2812,Z2829)</f>
        <v/>
      </c>
      <c r="AA2830">
        <f>IF(AND(ISNUMBER('자료_거시'!$J2812),ISNUMBER('자료_거시'!$K2812)),IFERROR('자료_거시'!$K2812/INDEX($Z$21:$Z$4020,MATCH(EDATE('자료_거시'!$J2812,-'설정'!$B$17),'자료_거시'!$J$3:INDEX('자료_거시'!$J$3:$J$4002,$K$8),1))-1,""),"")</f>
        <v/>
      </c>
      <c r="AB2830">
        <f>IF(ISNUMBER(AA2830),'자료_거시'!$J2812,"")</f>
        <v/>
      </c>
      <c r="AC2830">
        <f>IF(ISNUMBER(AB2830),IF(AB2830&gt;$L$8,AA2830,""),"")</f>
        <v/>
      </c>
    </row>
    <row r="2831">
      <c r="S2831">
        <f>IF(ISNUMBER('자료_거시'!$E2813),'자료_거시'!$E2813,S2830)</f>
        <v/>
      </c>
      <c r="T2831">
        <f>IF(AND(ISNUMBER('자료_거시'!$D2813),ISNUMBER('자료_거시'!$E2813)),IFERROR('자료_거시'!$E2813-INDEX($S$21:$S$4020,MATCH(EDATE('자료_거시'!$D2813,-'설정'!$B$17),'자료_거시'!$D$3:INDEX('자료_거시'!$D$3:$D$4002,$K$6),1)),""),"")</f>
        <v/>
      </c>
      <c r="U2831">
        <f>IF(ISNUMBER(T2831),'자료_거시'!$D2813,"")</f>
        <v/>
      </c>
      <c r="V2831">
        <f>IF(ISNUMBER(U2831),IF(U2831&gt;$L$6,T2831,""),"")</f>
        <v/>
      </c>
      <c r="W2831">
        <f>IF(AND(ISNUMBER('자료_거시'!$G2813),ISNUMBER('자료_거시'!$H2813)),'자료_거시'!$H2813,"")</f>
        <v/>
      </c>
      <c r="X2831">
        <f>IF(ISNUMBER(W2831),'자료_거시'!$G2813,"")</f>
        <v/>
      </c>
      <c r="Y2831">
        <f>IF(ISNUMBER(X2831),IF(X2831&gt;$L$7,W2831,""),"")</f>
        <v/>
      </c>
      <c r="Z2831">
        <f>IF(ISNUMBER('자료_거시'!$K2813),'자료_거시'!$K2813,Z2830)</f>
        <v/>
      </c>
      <c r="AA2831">
        <f>IF(AND(ISNUMBER('자료_거시'!$J2813),ISNUMBER('자료_거시'!$K2813)),IFERROR('자료_거시'!$K2813/INDEX($Z$21:$Z$4020,MATCH(EDATE('자료_거시'!$J2813,-'설정'!$B$17),'자료_거시'!$J$3:INDEX('자료_거시'!$J$3:$J$4002,$K$8),1))-1,""),"")</f>
        <v/>
      </c>
      <c r="AB2831">
        <f>IF(ISNUMBER(AA2831),'자료_거시'!$J2813,"")</f>
        <v/>
      </c>
      <c r="AC2831">
        <f>IF(ISNUMBER(AB2831),IF(AB2831&gt;$L$8,AA2831,""),"")</f>
        <v/>
      </c>
    </row>
    <row r="2832">
      <c r="S2832">
        <f>IF(ISNUMBER('자료_거시'!$E2814),'자료_거시'!$E2814,S2831)</f>
        <v/>
      </c>
      <c r="T2832">
        <f>IF(AND(ISNUMBER('자료_거시'!$D2814),ISNUMBER('자료_거시'!$E2814)),IFERROR('자료_거시'!$E2814-INDEX($S$21:$S$4020,MATCH(EDATE('자료_거시'!$D2814,-'설정'!$B$17),'자료_거시'!$D$3:INDEX('자료_거시'!$D$3:$D$4002,$K$6),1)),""),"")</f>
        <v/>
      </c>
      <c r="U2832">
        <f>IF(ISNUMBER(T2832),'자료_거시'!$D2814,"")</f>
        <v/>
      </c>
      <c r="V2832">
        <f>IF(ISNUMBER(U2832),IF(U2832&gt;$L$6,T2832,""),"")</f>
        <v/>
      </c>
      <c r="W2832">
        <f>IF(AND(ISNUMBER('자료_거시'!$G2814),ISNUMBER('자료_거시'!$H2814)),'자료_거시'!$H2814,"")</f>
        <v/>
      </c>
      <c r="X2832">
        <f>IF(ISNUMBER(W2832),'자료_거시'!$G2814,"")</f>
        <v/>
      </c>
      <c r="Y2832">
        <f>IF(ISNUMBER(X2832),IF(X2832&gt;$L$7,W2832,""),"")</f>
        <v/>
      </c>
      <c r="Z2832">
        <f>IF(ISNUMBER('자료_거시'!$K2814),'자료_거시'!$K2814,Z2831)</f>
        <v/>
      </c>
      <c r="AA2832">
        <f>IF(AND(ISNUMBER('자료_거시'!$J2814),ISNUMBER('자료_거시'!$K2814)),IFERROR('자료_거시'!$K2814/INDEX($Z$21:$Z$4020,MATCH(EDATE('자료_거시'!$J2814,-'설정'!$B$17),'자료_거시'!$J$3:INDEX('자료_거시'!$J$3:$J$4002,$K$8),1))-1,""),"")</f>
        <v/>
      </c>
      <c r="AB2832">
        <f>IF(ISNUMBER(AA2832),'자료_거시'!$J2814,"")</f>
        <v/>
      </c>
      <c r="AC2832">
        <f>IF(ISNUMBER(AB2832),IF(AB2832&gt;$L$8,AA2832,""),"")</f>
        <v/>
      </c>
    </row>
    <row r="2833">
      <c r="S2833">
        <f>IF(ISNUMBER('자료_거시'!$E2815),'자료_거시'!$E2815,S2832)</f>
        <v/>
      </c>
      <c r="T2833">
        <f>IF(AND(ISNUMBER('자료_거시'!$D2815),ISNUMBER('자료_거시'!$E2815)),IFERROR('자료_거시'!$E2815-INDEX($S$21:$S$4020,MATCH(EDATE('자료_거시'!$D2815,-'설정'!$B$17),'자료_거시'!$D$3:INDEX('자료_거시'!$D$3:$D$4002,$K$6),1)),""),"")</f>
        <v/>
      </c>
      <c r="U2833">
        <f>IF(ISNUMBER(T2833),'자료_거시'!$D2815,"")</f>
        <v/>
      </c>
      <c r="V2833">
        <f>IF(ISNUMBER(U2833),IF(U2833&gt;$L$6,T2833,""),"")</f>
        <v/>
      </c>
      <c r="W2833">
        <f>IF(AND(ISNUMBER('자료_거시'!$G2815),ISNUMBER('자료_거시'!$H2815)),'자료_거시'!$H2815,"")</f>
        <v/>
      </c>
      <c r="X2833">
        <f>IF(ISNUMBER(W2833),'자료_거시'!$G2815,"")</f>
        <v/>
      </c>
      <c r="Y2833">
        <f>IF(ISNUMBER(X2833),IF(X2833&gt;$L$7,W2833,""),"")</f>
        <v/>
      </c>
      <c r="Z2833">
        <f>IF(ISNUMBER('자료_거시'!$K2815),'자료_거시'!$K2815,Z2832)</f>
        <v/>
      </c>
      <c r="AA2833">
        <f>IF(AND(ISNUMBER('자료_거시'!$J2815),ISNUMBER('자료_거시'!$K2815)),IFERROR('자료_거시'!$K2815/INDEX($Z$21:$Z$4020,MATCH(EDATE('자료_거시'!$J2815,-'설정'!$B$17),'자료_거시'!$J$3:INDEX('자료_거시'!$J$3:$J$4002,$K$8),1))-1,""),"")</f>
        <v/>
      </c>
      <c r="AB2833">
        <f>IF(ISNUMBER(AA2833),'자료_거시'!$J2815,"")</f>
        <v/>
      </c>
      <c r="AC2833">
        <f>IF(ISNUMBER(AB2833),IF(AB2833&gt;$L$8,AA2833,""),"")</f>
        <v/>
      </c>
    </row>
    <row r="2834">
      <c r="S2834">
        <f>IF(ISNUMBER('자료_거시'!$E2816),'자료_거시'!$E2816,S2833)</f>
        <v/>
      </c>
      <c r="T2834">
        <f>IF(AND(ISNUMBER('자료_거시'!$D2816),ISNUMBER('자료_거시'!$E2816)),IFERROR('자료_거시'!$E2816-INDEX($S$21:$S$4020,MATCH(EDATE('자료_거시'!$D2816,-'설정'!$B$17),'자료_거시'!$D$3:INDEX('자료_거시'!$D$3:$D$4002,$K$6),1)),""),"")</f>
        <v/>
      </c>
      <c r="U2834">
        <f>IF(ISNUMBER(T2834),'자료_거시'!$D2816,"")</f>
        <v/>
      </c>
      <c r="V2834">
        <f>IF(ISNUMBER(U2834),IF(U2834&gt;$L$6,T2834,""),"")</f>
        <v/>
      </c>
      <c r="W2834">
        <f>IF(AND(ISNUMBER('자료_거시'!$G2816),ISNUMBER('자료_거시'!$H2816)),'자료_거시'!$H2816,"")</f>
        <v/>
      </c>
      <c r="X2834">
        <f>IF(ISNUMBER(W2834),'자료_거시'!$G2816,"")</f>
        <v/>
      </c>
      <c r="Y2834">
        <f>IF(ISNUMBER(X2834),IF(X2834&gt;$L$7,W2834,""),"")</f>
        <v/>
      </c>
      <c r="Z2834">
        <f>IF(ISNUMBER('자료_거시'!$K2816),'자료_거시'!$K2816,Z2833)</f>
        <v/>
      </c>
      <c r="AA2834">
        <f>IF(AND(ISNUMBER('자료_거시'!$J2816),ISNUMBER('자료_거시'!$K2816)),IFERROR('자료_거시'!$K2816/INDEX($Z$21:$Z$4020,MATCH(EDATE('자료_거시'!$J2816,-'설정'!$B$17),'자료_거시'!$J$3:INDEX('자료_거시'!$J$3:$J$4002,$K$8),1))-1,""),"")</f>
        <v/>
      </c>
      <c r="AB2834">
        <f>IF(ISNUMBER(AA2834),'자료_거시'!$J2816,"")</f>
        <v/>
      </c>
      <c r="AC2834">
        <f>IF(ISNUMBER(AB2834),IF(AB2834&gt;$L$8,AA2834,""),"")</f>
        <v/>
      </c>
    </row>
    <row r="2835">
      <c r="S2835">
        <f>IF(ISNUMBER('자료_거시'!$E2817),'자료_거시'!$E2817,S2834)</f>
        <v/>
      </c>
      <c r="T2835">
        <f>IF(AND(ISNUMBER('자료_거시'!$D2817),ISNUMBER('자료_거시'!$E2817)),IFERROR('자료_거시'!$E2817-INDEX($S$21:$S$4020,MATCH(EDATE('자료_거시'!$D2817,-'설정'!$B$17),'자료_거시'!$D$3:INDEX('자료_거시'!$D$3:$D$4002,$K$6),1)),""),"")</f>
        <v/>
      </c>
      <c r="U2835">
        <f>IF(ISNUMBER(T2835),'자료_거시'!$D2817,"")</f>
        <v/>
      </c>
      <c r="V2835">
        <f>IF(ISNUMBER(U2835),IF(U2835&gt;$L$6,T2835,""),"")</f>
        <v/>
      </c>
      <c r="W2835">
        <f>IF(AND(ISNUMBER('자료_거시'!$G2817),ISNUMBER('자료_거시'!$H2817)),'자료_거시'!$H2817,"")</f>
        <v/>
      </c>
      <c r="X2835">
        <f>IF(ISNUMBER(W2835),'자료_거시'!$G2817,"")</f>
        <v/>
      </c>
      <c r="Y2835">
        <f>IF(ISNUMBER(X2835),IF(X2835&gt;$L$7,W2835,""),"")</f>
        <v/>
      </c>
      <c r="Z2835">
        <f>IF(ISNUMBER('자료_거시'!$K2817),'자료_거시'!$K2817,Z2834)</f>
        <v/>
      </c>
      <c r="AA2835">
        <f>IF(AND(ISNUMBER('자료_거시'!$J2817),ISNUMBER('자료_거시'!$K2817)),IFERROR('자료_거시'!$K2817/INDEX($Z$21:$Z$4020,MATCH(EDATE('자료_거시'!$J2817,-'설정'!$B$17),'자료_거시'!$J$3:INDEX('자료_거시'!$J$3:$J$4002,$K$8),1))-1,""),"")</f>
        <v/>
      </c>
      <c r="AB2835">
        <f>IF(ISNUMBER(AA2835),'자료_거시'!$J2817,"")</f>
        <v/>
      </c>
      <c r="AC2835">
        <f>IF(ISNUMBER(AB2835),IF(AB2835&gt;$L$8,AA2835,""),"")</f>
        <v/>
      </c>
    </row>
    <row r="2836">
      <c r="S2836">
        <f>IF(ISNUMBER('자료_거시'!$E2818),'자료_거시'!$E2818,S2835)</f>
        <v/>
      </c>
      <c r="T2836">
        <f>IF(AND(ISNUMBER('자료_거시'!$D2818),ISNUMBER('자료_거시'!$E2818)),IFERROR('자료_거시'!$E2818-INDEX($S$21:$S$4020,MATCH(EDATE('자료_거시'!$D2818,-'설정'!$B$17),'자료_거시'!$D$3:INDEX('자료_거시'!$D$3:$D$4002,$K$6),1)),""),"")</f>
        <v/>
      </c>
      <c r="U2836">
        <f>IF(ISNUMBER(T2836),'자료_거시'!$D2818,"")</f>
        <v/>
      </c>
      <c r="V2836">
        <f>IF(ISNUMBER(U2836),IF(U2836&gt;$L$6,T2836,""),"")</f>
        <v/>
      </c>
      <c r="W2836">
        <f>IF(AND(ISNUMBER('자료_거시'!$G2818),ISNUMBER('자료_거시'!$H2818)),'자료_거시'!$H2818,"")</f>
        <v/>
      </c>
      <c r="X2836">
        <f>IF(ISNUMBER(W2836),'자료_거시'!$G2818,"")</f>
        <v/>
      </c>
      <c r="Y2836">
        <f>IF(ISNUMBER(X2836),IF(X2836&gt;$L$7,W2836,""),"")</f>
        <v/>
      </c>
      <c r="Z2836">
        <f>IF(ISNUMBER('자료_거시'!$K2818),'자료_거시'!$K2818,Z2835)</f>
        <v/>
      </c>
      <c r="AA2836">
        <f>IF(AND(ISNUMBER('자료_거시'!$J2818),ISNUMBER('자료_거시'!$K2818)),IFERROR('자료_거시'!$K2818/INDEX($Z$21:$Z$4020,MATCH(EDATE('자료_거시'!$J2818,-'설정'!$B$17),'자료_거시'!$J$3:INDEX('자료_거시'!$J$3:$J$4002,$K$8),1))-1,""),"")</f>
        <v/>
      </c>
      <c r="AB2836">
        <f>IF(ISNUMBER(AA2836),'자료_거시'!$J2818,"")</f>
        <v/>
      </c>
      <c r="AC2836">
        <f>IF(ISNUMBER(AB2836),IF(AB2836&gt;$L$8,AA2836,""),"")</f>
        <v/>
      </c>
    </row>
    <row r="2837">
      <c r="S2837">
        <f>IF(ISNUMBER('자료_거시'!$E2819),'자료_거시'!$E2819,S2836)</f>
        <v/>
      </c>
      <c r="T2837">
        <f>IF(AND(ISNUMBER('자료_거시'!$D2819),ISNUMBER('자료_거시'!$E2819)),IFERROR('자료_거시'!$E2819-INDEX($S$21:$S$4020,MATCH(EDATE('자료_거시'!$D2819,-'설정'!$B$17),'자료_거시'!$D$3:INDEX('자료_거시'!$D$3:$D$4002,$K$6),1)),""),"")</f>
        <v/>
      </c>
      <c r="U2837">
        <f>IF(ISNUMBER(T2837),'자료_거시'!$D2819,"")</f>
        <v/>
      </c>
      <c r="V2837">
        <f>IF(ISNUMBER(U2837),IF(U2837&gt;$L$6,T2837,""),"")</f>
        <v/>
      </c>
      <c r="W2837">
        <f>IF(AND(ISNUMBER('자료_거시'!$G2819),ISNUMBER('자료_거시'!$H2819)),'자료_거시'!$H2819,"")</f>
        <v/>
      </c>
      <c r="X2837">
        <f>IF(ISNUMBER(W2837),'자료_거시'!$G2819,"")</f>
        <v/>
      </c>
      <c r="Y2837">
        <f>IF(ISNUMBER(X2837),IF(X2837&gt;$L$7,W2837,""),"")</f>
        <v/>
      </c>
      <c r="Z2837">
        <f>IF(ISNUMBER('자료_거시'!$K2819),'자료_거시'!$K2819,Z2836)</f>
        <v/>
      </c>
      <c r="AA2837">
        <f>IF(AND(ISNUMBER('자료_거시'!$J2819),ISNUMBER('자료_거시'!$K2819)),IFERROR('자료_거시'!$K2819/INDEX($Z$21:$Z$4020,MATCH(EDATE('자료_거시'!$J2819,-'설정'!$B$17),'자료_거시'!$J$3:INDEX('자료_거시'!$J$3:$J$4002,$K$8),1))-1,""),"")</f>
        <v/>
      </c>
      <c r="AB2837">
        <f>IF(ISNUMBER(AA2837),'자료_거시'!$J2819,"")</f>
        <v/>
      </c>
      <c r="AC2837">
        <f>IF(ISNUMBER(AB2837),IF(AB2837&gt;$L$8,AA2837,""),"")</f>
        <v/>
      </c>
    </row>
    <row r="2838">
      <c r="S2838">
        <f>IF(ISNUMBER('자료_거시'!$E2820),'자료_거시'!$E2820,S2837)</f>
        <v/>
      </c>
      <c r="T2838">
        <f>IF(AND(ISNUMBER('자료_거시'!$D2820),ISNUMBER('자료_거시'!$E2820)),IFERROR('자료_거시'!$E2820-INDEX($S$21:$S$4020,MATCH(EDATE('자료_거시'!$D2820,-'설정'!$B$17),'자료_거시'!$D$3:INDEX('자료_거시'!$D$3:$D$4002,$K$6),1)),""),"")</f>
        <v/>
      </c>
      <c r="U2838">
        <f>IF(ISNUMBER(T2838),'자료_거시'!$D2820,"")</f>
        <v/>
      </c>
      <c r="V2838">
        <f>IF(ISNUMBER(U2838),IF(U2838&gt;$L$6,T2838,""),"")</f>
        <v/>
      </c>
      <c r="W2838">
        <f>IF(AND(ISNUMBER('자료_거시'!$G2820),ISNUMBER('자료_거시'!$H2820)),'자료_거시'!$H2820,"")</f>
        <v/>
      </c>
      <c r="X2838">
        <f>IF(ISNUMBER(W2838),'자료_거시'!$G2820,"")</f>
        <v/>
      </c>
      <c r="Y2838">
        <f>IF(ISNUMBER(X2838),IF(X2838&gt;$L$7,W2838,""),"")</f>
        <v/>
      </c>
      <c r="Z2838">
        <f>IF(ISNUMBER('자료_거시'!$K2820),'자료_거시'!$K2820,Z2837)</f>
        <v/>
      </c>
      <c r="AA2838">
        <f>IF(AND(ISNUMBER('자료_거시'!$J2820),ISNUMBER('자료_거시'!$K2820)),IFERROR('자료_거시'!$K2820/INDEX($Z$21:$Z$4020,MATCH(EDATE('자료_거시'!$J2820,-'설정'!$B$17),'자료_거시'!$J$3:INDEX('자료_거시'!$J$3:$J$4002,$K$8),1))-1,""),"")</f>
        <v/>
      </c>
      <c r="AB2838">
        <f>IF(ISNUMBER(AA2838),'자료_거시'!$J2820,"")</f>
        <v/>
      </c>
      <c r="AC2838">
        <f>IF(ISNUMBER(AB2838),IF(AB2838&gt;$L$8,AA2838,""),"")</f>
        <v/>
      </c>
    </row>
    <row r="2839">
      <c r="S2839">
        <f>IF(ISNUMBER('자료_거시'!$E2821),'자료_거시'!$E2821,S2838)</f>
        <v/>
      </c>
      <c r="T2839">
        <f>IF(AND(ISNUMBER('자료_거시'!$D2821),ISNUMBER('자료_거시'!$E2821)),IFERROR('자료_거시'!$E2821-INDEX($S$21:$S$4020,MATCH(EDATE('자료_거시'!$D2821,-'설정'!$B$17),'자료_거시'!$D$3:INDEX('자료_거시'!$D$3:$D$4002,$K$6),1)),""),"")</f>
        <v/>
      </c>
      <c r="U2839">
        <f>IF(ISNUMBER(T2839),'자료_거시'!$D2821,"")</f>
        <v/>
      </c>
      <c r="V2839">
        <f>IF(ISNUMBER(U2839),IF(U2839&gt;$L$6,T2839,""),"")</f>
        <v/>
      </c>
      <c r="W2839">
        <f>IF(AND(ISNUMBER('자료_거시'!$G2821),ISNUMBER('자료_거시'!$H2821)),'자료_거시'!$H2821,"")</f>
        <v/>
      </c>
      <c r="X2839">
        <f>IF(ISNUMBER(W2839),'자료_거시'!$G2821,"")</f>
        <v/>
      </c>
      <c r="Y2839">
        <f>IF(ISNUMBER(X2839),IF(X2839&gt;$L$7,W2839,""),"")</f>
        <v/>
      </c>
      <c r="Z2839">
        <f>IF(ISNUMBER('자료_거시'!$K2821),'자료_거시'!$K2821,Z2838)</f>
        <v/>
      </c>
      <c r="AA2839">
        <f>IF(AND(ISNUMBER('자료_거시'!$J2821),ISNUMBER('자료_거시'!$K2821)),IFERROR('자료_거시'!$K2821/INDEX($Z$21:$Z$4020,MATCH(EDATE('자료_거시'!$J2821,-'설정'!$B$17),'자료_거시'!$J$3:INDEX('자료_거시'!$J$3:$J$4002,$K$8),1))-1,""),"")</f>
        <v/>
      </c>
      <c r="AB2839">
        <f>IF(ISNUMBER(AA2839),'자료_거시'!$J2821,"")</f>
        <v/>
      </c>
      <c r="AC2839">
        <f>IF(ISNUMBER(AB2839),IF(AB2839&gt;$L$8,AA2839,""),"")</f>
        <v/>
      </c>
    </row>
    <row r="2840">
      <c r="S2840">
        <f>IF(ISNUMBER('자료_거시'!$E2822),'자료_거시'!$E2822,S2839)</f>
        <v/>
      </c>
      <c r="T2840">
        <f>IF(AND(ISNUMBER('자료_거시'!$D2822),ISNUMBER('자료_거시'!$E2822)),IFERROR('자료_거시'!$E2822-INDEX($S$21:$S$4020,MATCH(EDATE('자료_거시'!$D2822,-'설정'!$B$17),'자료_거시'!$D$3:INDEX('자료_거시'!$D$3:$D$4002,$K$6),1)),""),"")</f>
        <v/>
      </c>
      <c r="U2840">
        <f>IF(ISNUMBER(T2840),'자료_거시'!$D2822,"")</f>
        <v/>
      </c>
      <c r="V2840">
        <f>IF(ISNUMBER(U2840),IF(U2840&gt;$L$6,T2840,""),"")</f>
        <v/>
      </c>
      <c r="W2840">
        <f>IF(AND(ISNUMBER('자료_거시'!$G2822),ISNUMBER('자료_거시'!$H2822)),'자료_거시'!$H2822,"")</f>
        <v/>
      </c>
      <c r="X2840">
        <f>IF(ISNUMBER(W2840),'자료_거시'!$G2822,"")</f>
        <v/>
      </c>
      <c r="Y2840">
        <f>IF(ISNUMBER(X2840),IF(X2840&gt;$L$7,W2840,""),"")</f>
        <v/>
      </c>
      <c r="Z2840">
        <f>IF(ISNUMBER('자료_거시'!$K2822),'자료_거시'!$K2822,Z2839)</f>
        <v/>
      </c>
      <c r="AA2840">
        <f>IF(AND(ISNUMBER('자료_거시'!$J2822),ISNUMBER('자료_거시'!$K2822)),IFERROR('자료_거시'!$K2822/INDEX($Z$21:$Z$4020,MATCH(EDATE('자료_거시'!$J2822,-'설정'!$B$17),'자료_거시'!$J$3:INDEX('자료_거시'!$J$3:$J$4002,$K$8),1))-1,""),"")</f>
        <v/>
      </c>
      <c r="AB2840">
        <f>IF(ISNUMBER(AA2840),'자료_거시'!$J2822,"")</f>
        <v/>
      </c>
      <c r="AC2840">
        <f>IF(ISNUMBER(AB2840),IF(AB2840&gt;$L$8,AA2840,""),"")</f>
        <v/>
      </c>
    </row>
    <row r="2841">
      <c r="S2841">
        <f>IF(ISNUMBER('자료_거시'!$E2823),'자료_거시'!$E2823,S2840)</f>
        <v/>
      </c>
      <c r="T2841">
        <f>IF(AND(ISNUMBER('자료_거시'!$D2823),ISNUMBER('자료_거시'!$E2823)),IFERROR('자료_거시'!$E2823-INDEX($S$21:$S$4020,MATCH(EDATE('자료_거시'!$D2823,-'설정'!$B$17),'자료_거시'!$D$3:INDEX('자료_거시'!$D$3:$D$4002,$K$6),1)),""),"")</f>
        <v/>
      </c>
      <c r="U2841">
        <f>IF(ISNUMBER(T2841),'자료_거시'!$D2823,"")</f>
        <v/>
      </c>
      <c r="V2841">
        <f>IF(ISNUMBER(U2841),IF(U2841&gt;$L$6,T2841,""),"")</f>
        <v/>
      </c>
      <c r="W2841">
        <f>IF(AND(ISNUMBER('자료_거시'!$G2823),ISNUMBER('자료_거시'!$H2823)),'자료_거시'!$H2823,"")</f>
        <v/>
      </c>
      <c r="X2841">
        <f>IF(ISNUMBER(W2841),'자료_거시'!$G2823,"")</f>
        <v/>
      </c>
      <c r="Y2841">
        <f>IF(ISNUMBER(X2841),IF(X2841&gt;$L$7,W2841,""),"")</f>
        <v/>
      </c>
      <c r="Z2841">
        <f>IF(ISNUMBER('자료_거시'!$K2823),'자료_거시'!$K2823,Z2840)</f>
        <v/>
      </c>
      <c r="AA2841">
        <f>IF(AND(ISNUMBER('자료_거시'!$J2823),ISNUMBER('자료_거시'!$K2823)),IFERROR('자료_거시'!$K2823/INDEX($Z$21:$Z$4020,MATCH(EDATE('자료_거시'!$J2823,-'설정'!$B$17),'자료_거시'!$J$3:INDEX('자료_거시'!$J$3:$J$4002,$K$8),1))-1,""),"")</f>
        <v/>
      </c>
      <c r="AB2841">
        <f>IF(ISNUMBER(AA2841),'자료_거시'!$J2823,"")</f>
        <v/>
      </c>
      <c r="AC2841">
        <f>IF(ISNUMBER(AB2841),IF(AB2841&gt;$L$8,AA2841,""),"")</f>
        <v/>
      </c>
    </row>
    <row r="2842">
      <c r="S2842">
        <f>IF(ISNUMBER('자료_거시'!$E2824),'자료_거시'!$E2824,S2841)</f>
        <v/>
      </c>
      <c r="T2842">
        <f>IF(AND(ISNUMBER('자료_거시'!$D2824),ISNUMBER('자료_거시'!$E2824)),IFERROR('자료_거시'!$E2824-INDEX($S$21:$S$4020,MATCH(EDATE('자료_거시'!$D2824,-'설정'!$B$17),'자료_거시'!$D$3:INDEX('자료_거시'!$D$3:$D$4002,$K$6),1)),""),"")</f>
        <v/>
      </c>
      <c r="U2842">
        <f>IF(ISNUMBER(T2842),'자료_거시'!$D2824,"")</f>
        <v/>
      </c>
      <c r="V2842">
        <f>IF(ISNUMBER(U2842),IF(U2842&gt;$L$6,T2842,""),"")</f>
        <v/>
      </c>
      <c r="W2842">
        <f>IF(AND(ISNUMBER('자료_거시'!$G2824),ISNUMBER('자료_거시'!$H2824)),'자료_거시'!$H2824,"")</f>
        <v/>
      </c>
      <c r="X2842">
        <f>IF(ISNUMBER(W2842),'자료_거시'!$G2824,"")</f>
        <v/>
      </c>
      <c r="Y2842">
        <f>IF(ISNUMBER(X2842),IF(X2842&gt;$L$7,W2842,""),"")</f>
        <v/>
      </c>
      <c r="Z2842">
        <f>IF(ISNUMBER('자료_거시'!$K2824),'자료_거시'!$K2824,Z2841)</f>
        <v/>
      </c>
      <c r="AA2842">
        <f>IF(AND(ISNUMBER('자료_거시'!$J2824),ISNUMBER('자료_거시'!$K2824)),IFERROR('자료_거시'!$K2824/INDEX($Z$21:$Z$4020,MATCH(EDATE('자료_거시'!$J2824,-'설정'!$B$17),'자료_거시'!$J$3:INDEX('자료_거시'!$J$3:$J$4002,$K$8),1))-1,""),"")</f>
        <v/>
      </c>
      <c r="AB2842">
        <f>IF(ISNUMBER(AA2842),'자료_거시'!$J2824,"")</f>
        <v/>
      </c>
      <c r="AC2842">
        <f>IF(ISNUMBER(AB2842),IF(AB2842&gt;$L$8,AA2842,""),"")</f>
        <v/>
      </c>
    </row>
    <row r="2843">
      <c r="S2843">
        <f>IF(ISNUMBER('자료_거시'!$E2825),'자료_거시'!$E2825,S2842)</f>
        <v/>
      </c>
      <c r="T2843">
        <f>IF(AND(ISNUMBER('자료_거시'!$D2825),ISNUMBER('자료_거시'!$E2825)),IFERROR('자료_거시'!$E2825-INDEX($S$21:$S$4020,MATCH(EDATE('자료_거시'!$D2825,-'설정'!$B$17),'자료_거시'!$D$3:INDEX('자료_거시'!$D$3:$D$4002,$K$6),1)),""),"")</f>
        <v/>
      </c>
      <c r="U2843">
        <f>IF(ISNUMBER(T2843),'자료_거시'!$D2825,"")</f>
        <v/>
      </c>
      <c r="V2843">
        <f>IF(ISNUMBER(U2843),IF(U2843&gt;$L$6,T2843,""),"")</f>
        <v/>
      </c>
      <c r="W2843">
        <f>IF(AND(ISNUMBER('자료_거시'!$G2825),ISNUMBER('자료_거시'!$H2825)),'자료_거시'!$H2825,"")</f>
        <v/>
      </c>
      <c r="X2843">
        <f>IF(ISNUMBER(W2843),'자료_거시'!$G2825,"")</f>
        <v/>
      </c>
      <c r="Y2843">
        <f>IF(ISNUMBER(X2843),IF(X2843&gt;$L$7,W2843,""),"")</f>
        <v/>
      </c>
      <c r="Z2843">
        <f>IF(ISNUMBER('자료_거시'!$K2825),'자료_거시'!$K2825,Z2842)</f>
        <v/>
      </c>
      <c r="AA2843">
        <f>IF(AND(ISNUMBER('자료_거시'!$J2825),ISNUMBER('자료_거시'!$K2825)),IFERROR('자료_거시'!$K2825/INDEX($Z$21:$Z$4020,MATCH(EDATE('자료_거시'!$J2825,-'설정'!$B$17),'자료_거시'!$J$3:INDEX('자료_거시'!$J$3:$J$4002,$K$8),1))-1,""),"")</f>
        <v/>
      </c>
      <c r="AB2843">
        <f>IF(ISNUMBER(AA2843),'자료_거시'!$J2825,"")</f>
        <v/>
      </c>
      <c r="AC2843">
        <f>IF(ISNUMBER(AB2843),IF(AB2843&gt;$L$8,AA2843,""),"")</f>
        <v/>
      </c>
    </row>
    <row r="2844">
      <c r="S2844">
        <f>IF(ISNUMBER('자료_거시'!$E2826),'자료_거시'!$E2826,S2843)</f>
        <v/>
      </c>
      <c r="T2844">
        <f>IF(AND(ISNUMBER('자료_거시'!$D2826),ISNUMBER('자료_거시'!$E2826)),IFERROR('자료_거시'!$E2826-INDEX($S$21:$S$4020,MATCH(EDATE('자료_거시'!$D2826,-'설정'!$B$17),'자료_거시'!$D$3:INDEX('자료_거시'!$D$3:$D$4002,$K$6),1)),""),"")</f>
        <v/>
      </c>
      <c r="U2844">
        <f>IF(ISNUMBER(T2844),'자료_거시'!$D2826,"")</f>
        <v/>
      </c>
      <c r="V2844">
        <f>IF(ISNUMBER(U2844),IF(U2844&gt;$L$6,T2844,""),"")</f>
        <v/>
      </c>
      <c r="W2844">
        <f>IF(AND(ISNUMBER('자료_거시'!$G2826),ISNUMBER('자료_거시'!$H2826)),'자료_거시'!$H2826,"")</f>
        <v/>
      </c>
      <c r="X2844">
        <f>IF(ISNUMBER(W2844),'자료_거시'!$G2826,"")</f>
        <v/>
      </c>
      <c r="Y2844">
        <f>IF(ISNUMBER(X2844),IF(X2844&gt;$L$7,W2844,""),"")</f>
        <v/>
      </c>
      <c r="Z2844">
        <f>IF(ISNUMBER('자료_거시'!$K2826),'자료_거시'!$K2826,Z2843)</f>
        <v/>
      </c>
      <c r="AA2844">
        <f>IF(AND(ISNUMBER('자료_거시'!$J2826),ISNUMBER('자료_거시'!$K2826)),IFERROR('자료_거시'!$K2826/INDEX($Z$21:$Z$4020,MATCH(EDATE('자료_거시'!$J2826,-'설정'!$B$17),'자료_거시'!$J$3:INDEX('자료_거시'!$J$3:$J$4002,$K$8),1))-1,""),"")</f>
        <v/>
      </c>
      <c r="AB2844">
        <f>IF(ISNUMBER(AA2844),'자료_거시'!$J2826,"")</f>
        <v/>
      </c>
      <c r="AC2844">
        <f>IF(ISNUMBER(AB2844),IF(AB2844&gt;$L$8,AA2844,""),"")</f>
        <v/>
      </c>
    </row>
    <row r="2845">
      <c r="S2845">
        <f>IF(ISNUMBER('자료_거시'!$E2827),'자료_거시'!$E2827,S2844)</f>
        <v/>
      </c>
      <c r="T2845">
        <f>IF(AND(ISNUMBER('자료_거시'!$D2827),ISNUMBER('자료_거시'!$E2827)),IFERROR('자료_거시'!$E2827-INDEX($S$21:$S$4020,MATCH(EDATE('자료_거시'!$D2827,-'설정'!$B$17),'자료_거시'!$D$3:INDEX('자료_거시'!$D$3:$D$4002,$K$6),1)),""),"")</f>
        <v/>
      </c>
      <c r="U2845">
        <f>IF(ISNUMBER(T2845),'자료_거시'!$D2827,"")</f>
        <v/>
      </c>
      <c r="V2845">
        <f>IF(ISNUMBER(U2845),IF(U2845&gt;$L$6,T2845,""),"")</f>
        <v/>
      </c>
      <c r="W2845">
        <f>IF(AND(ISNUMBER('자료_거시'!$G2827),ISNUMBER('자료_거시'!$H2827)),'자료_거시'!$H2827,"")</f>
        <v/>
      </c>
      <c r="X2845">
        <f>IF(ISNUMBER(W2845),'자료_거시'!$G2827,"")</f>
        <v/>
      </c>
      <c r="Y2845">
        <f>IF(ISNUMBER(X2845),IF(X2845&gt;$L$7,W2845,""),"")</f>
        <v/>
      </c>
      <c r="Z2845">
        <f>IF(ISNUMBER('자료_거시'!$K2827),'자료_거시'!$K2827,Z2844)</f>
        <v/>
      </c>
      <c r="AA2845">
        <f>IF(AND(ISNUMBER('자료_거시'!$J2827),ISNUMBER('자료_거시'!$K2827)),IFERROR('자료_거시'!$K2827/INDEX($Z$21:$Z$4020,MATCH(EDATE('자료_거시'!$J2827,-'설정'!$B$17),'자료_거시'!$J$3:INDEX('자료_거시'!$J$3:$J$4002,$K$8),1))-1,""),"")</f>
        <v/>
      </c>
      <c r="AB2845">
        <f>IF(ISNUMBER(AA2845),'자료_거시'!$J2827,"")</f>
        <v/>
      </c>
      <c r="AC2845">
        <f>IF(ISNUMBER(AB2845),IF(AB2845&gt;$L$8,AA2845,""),"")</f>
        <v/>
      </c>
    </row>
    <row r="2846">
      <c r="S2846">
        <f>IF(ISNUMBER('자료_거시'!$E2828),'자료_거시'!$E2828,S2845)</f>
        <v/>
      </c>
      <c r="T2846">
        <f>IF(AND(ISNUMBER('자료_거시'!$D2828),ISNUMBER('자료_거시'!$E2828)),IFERROR('자료_거시'!$E2828-INDEX($S$21:$S$4020,MATCH(EDATE('자료_거시'!$D2828,-'설정'!$B$17),'자료_거시'!$D$3:INDEX('자료_거시'!$D$3:$D$4002,$K$6),1)),""),"")</f>
        <v/>
      </c>
      <c r="U2846">
        <f>IF(ISNUMBER(T2846),'자료_거시'!$D2828,"")</f>
        <v/>
      </c>
      <c r="V2846">
        <f>IF(ISNUMBER(U2846),IF(U2846&gt;$L$6,T2846,""),"")</f>
        <v/>
      </c>
      <c r="W2846">
        <f>IF(AND(ISNUMBER('자료_거시'!$G2828),ISNUMBER('자료_거시'!$H2828)),'자료_거시'!$H2828,"")</f>
        <v/>
      </c>
      <c r="X2846">
        <f>IF(ISNUMBER(W2846),'자료_거시'!$G2828,"")</f>
        <v/>
      </c>
      <c r="Y2846">
        <f>IF(ISNUMBER(X2846),IF(X2846&gt;$L$7,W2846,""),"")</f>
        <v/>
      </c>
      <c r="Z2846">
        <f>IF(ISNUMBER('자료_거시'!$K2828),'자료_거시'!$K2828,Z2845)</f>
        <v/>
      </c>
      <c r="AA2846">
        <f>IF(AND(ISNUMBER('자료_거시'!$J2828),ISNUMBER('자료_거시'!$K2828)),IFERROR('자료_거시'!$K2828/INDEX($Z$21:$Z$4020,MATCH(EDATE('자료_거시'!$J2828,-'설정'!$B$17),'자료_거시'!$J$3:INDEX('자료_거시'!$J$3:$J$4002,$K$8),1))-1,""),"")</f>
        <v/>
      </c>
      <c r="AB2846">
        <f>IF(ISNUMBER(AA2846),'자료_거시'!$J2828,"")</f>
        <v/>
      </c>
      <c r="AC2846">
        <f>IF(ISNUMBER(AB2846),IF(AB2846&gt;$L$8,AA2846,""),"")</f>
        <v/>
      </c>
    </row>
    <row r="2847">
      <c r="S2847">
        <f>IF(ISNUMBER('자료_거시'!$E2829),'자료_거시'!$E2829,S2846)</f>
        <v/>
      </c>
      <c r="T2847">
        <f>IF(AND(ISNUMBER('자료_거시'!$D2829),ISNUMBER('자료_거시'!$E2829)),IFERROR('자료_거시'!$E2829-INDEX($S$21:$S$4020,MATCH(EDATE('자료_거시'!$D2829,-'설정'!$B$17),'자료_거시'!$D$3:INDEX('자료_거시'!$D$3:$D$4002,$K$6),1)),""),"")</f>
        <v/>
      </c>
      <c r="U2847">
        <f>IF(ISNUMBER(T2847),'자료_거시'!$D2829,"")</f>
        <v/>
      </c>
      <c r="V2847">
        <f>IF(ISNUMBER(U2847),IF(U2847&gt;$L$6,T2847,""),"")</f>
        <v/>
      </c>
      <c r="W2847">
        <f>IF(AND(ISNUMBER('자료_거시'!$G2829),ISNUMBER('자료_거시'!$H2829)),'자료_거시'!$H2829,"")</f>
        <v/>
      </c>
      <c r="X2847">
        <f>IF(ISNUMBER(W2847),'자료_거시'!$G2829,"")</f>
        <v/>
      </c>
      <c r="Y2847">
        <f>IF(ISNUMBER(X2847),IF(X2847&gt;$L$7,W2847,""),"")</f>
        <v/>
      </c>
      <c r="Z2847">
        <f>IF(ISNUMBER('자료_거시'!$K2829),'자료_거시'!$K2829,Z2846)</f>
        <v/>
      </c>
      <c r="AA2847">
        <f>IF(AND(ISNUMBER('자료_거시'!$J2829),ISNUMBER('자료_거시'!$K2829)),IFERROR('자료_거시'!$K2829/INDEX($Z$21:$Z$4020,MATCH(EDATE('자료_거시'!$J2829,-'설정'!$B$17),'자료_거시'!$J$3:INDEX('자료_거시'!$J$3:$J$4002,$K$8),1))-1,""),"")</f>
        <v/>
      </c>
      <c r="AB2847">
        <f>IF(ISNUMBER(AA2847),'자료_거시'!$J2829,"")</f>
        <v/>
      </c>
      <c r="AC2847">
        <f>IF(ISNUMBER(AB2847),IF(AB2847&gt;$L$8,AA2847,""),"")</f>
        <v/>
      </c>
    </row>
    <row r="2848">
      <c r="S2848">
        <f>IF(ISNUMBER('자료_거시'!$E2830),'자료_거시'!$E2830,S2847)</f>
        <v/>
      </c>
      <c r="T2848">
        <f>IF(AND(ISNUMBER('자료_거시'!$D2830),ISNUMBER('자료_거시'!$E2830)),IFERROR('자료_거시'!$E2830-INDEX($S$21:$S$4020,MATCH(EDATE('자료_거시'!$D2830,-'설정'!$B$17),'자료_거시'!$D$3:INDEX('자료_거시'!$D$3:$D$4002,$K$6),1)),""),"")</f>
        <v/>
      </c>
      <c r="U2848">
        <f>IF(ISNUMBER(T2848),'자료_거시'!$D2830,"")</f>
        <v/>
      </c>
      <c r="V2848">
        <f>IF(ISNUMBER(U2848),IF(U2848&gt;$L$6,T2848,""),"")</f>
        <v/>
      </c>
      <c r="W2848">
        <f>IF(AND(ISNUMBER('자료_거시'!$G2830),ISNUMBER('자료_거시'!$H2830)),'자료_거시'!$H2830,"")</f>
        <v/>
      </c>
      <c r="X2848">
        <f>IF(ISNUMBER(W2848),'자료_거시'!$G2830,"")</f>
        <v/>
      </c>
      <c r="Y2848">
        <f>IF(ISNUMBER(X2848),IF(X2848&gt;$L$7,W2848,""),"")</f>
        <v/>
      </c>
      <c r="Z2848">
        <f>IF(ISNUMBER('자료_거시'!$K2830),'자료_거시'!$K2830,Z2847)</f>
        <v/>
      </c>
      <c r="AA2848">
        <f>IF(AND(ISNUMBER('자료_거시'!$J2830),ISNUMBER('자료_거시'!$K2830)),IFERROR('자료_거시'!$K2830/INDEX($Z$21:$Z$4020,MATCH(EDATE('자료_거시'!$J2830,-'설정'!$B$17),'자료_거시'!$J$3:INDEX('자료_거시'!$J$3:$J$4002,$K$8),1))-1,""),"")</f>
        <v/>
      </c>
      <c r="AB2848">
        <f>IF(ISNUMBER(AA2848),'자료_거시'!$J2830,"")</f>
        <v/>
      </c>
      <c r="AC2848">
        <f>IF(ISNUMBER(AB2848),IF(AB2848&gt;$L$8,AA2848,""),"")</f>
        <v/>
      </c>
    </row>
    <row r="2849">
      <c r="S2849">
        <f>IF(ISNUMBER('자료_거시'!$E2831),'자료_거시'!$E2831,S2848)</f>
        <v/>
      </c>
      <c r="T2849">
        <f>IF(AND(ISNUMBER('자료_거시'!$D2831),ISNUMBER('자료_거시'!$E2831)),IFERROR('자료_거시'!$E2831-INDEX($S$21:$S$4020,MATCH(EDATE('자료_거시'!$D2831,-'설정'!$B$17),'자료_거시'!$D$3:INDEX('자료_거시'!$D$3:$D$4002,$K$6),1)),""),"")</f>
        <v/>
      </c>
      <c r="U2849">
        <f>IF(ISNUMBER(T2849),'자료_거시'!$D2831,"")</f>
        <v/>
      </c>
      <c r="V2849">
        <f>IF(ISNUMBER(U2849),IF(U2849&gt;$L$6,T2849,""),"")</f>
        <v/>
      </c>
      <c r="W2849">
        <f>IF(AND(ISNUMBER('자료_거시'!$G2831),ISNUMBER('자료_거시'!$H2831)),'자료_거시'!$H2831,"")</f>
        <v/>
      </c>
      <c r="X2849">
        <f>IF(ISNUMBER(W2849),'자료_거시'!$G2831,"")</f>
        <v/>
      </c>
      <c r="Y2849">
        <f>IF(ISNUMBER(X2849),IF(X2849&gt;$L$7,W2849,""),"")</f>
        <v/>
      </c>
      <c r="Z2849">
        <f>IF(ISNUMBER('자료_거시'!$K2831),'자료_거시'!$K2831,Z2848)</f>
        <v/>
      </c>
      <c r="AA2849">
        <f>IF(AND(ISNUMBER('자료_거시'!$J2831),ISNUMBER('자료_거시'!$K2831)),IFERROR('자료_거시'!$K2831/INDEX($Z$21:$Z$4020,MATCH(EDATE('자료_거시'!$J2831,-'설정'!$B$17),'자료_거시'!$J$3:INDEX('자료_거시'!$J$3:$J$4002,$K$8),1))-1,""),"")</f>
        <v/>
      </c>
      <c r="AB2849">
        <f>IF(ISNUMBER(AA2849),'자료_거시'!$J2831,"")</f>
        <v/>
      </c>
      <c r="AC2849">
        <f>IF(ISNUMBER(AB2849),IF(AB2849&gt;$L$8,AA2849,""),"")</f>
        <v/>
      </c>
    </row>
    <row r="2850">
      <c r="S2850">
        <f>IF(ISNUMBER('자료_거시'!$E2832),'자료_거시'!$E2832,S2849)</f>
        <v/>
      </c>
      <c r="T2850">
        <f>IF(AND(ISNUMBER('자료_거시'!$D2832),ISNUMBER('자료_거시'!$E2832)),IFERROR('자료_거시'!$E2832-INDEX($S$21:$S$4020,MATCH(EDATE('자료_거시'!$D2832,-'설정'!$B$17),'자료_거시'!$D$3:INDEX('자료_거시'!$D$3:$D$4002,$K$6),1)),""),"")</f>
        <v/>
      </c>
      <c r="U2850">
        <f>IF(ISNUMBER(T2850),'자료_거시'!$D2832,"")</f>
        <v/>
      </c>
      <c r="V2850">
        <f>IF(ISNUMBER(U2850),IF(U2850&gt;$L$6,T2850,""),"")</f>
        <v/>
      </c>
      <c r="W2850">
        <f>IF(AND(ISNUMBER('자료_거시'!$G2832),ISNUMBER('자료_거시'!$H2832)),'자료_거시'!$H2832,"")</f>
        <v/>
      </c>
      <c r="X2850">
        <f>IF(ISNUMBER(W2850),'자료_거시'!$G2832,"")</f>
        <v/>
      </c>
      <c r="Y2850">
        <f>IF(ISNUMBER(X2850),IF(X2850&gt;$L$7,W2850,""),"")</f>
        <v/>
      </c>
      <c r="Z2850">
        <f>IF(ISNUMBER('자료_거시'!$K2832),'자료_거시'!$K2832,Z2849)</f>
        <v/>
      </c>
      <c r="AA2850">
        <f>IF(AND(ISNUMBER('자료_거시'!$J2832),ISNUMBER('자료_거시'!$K2832)),IFERROR('자료_거시'!$K2832/INDEX($Z$21:$Z$4020,MATCH(EDATE('자료_거시'!$J2832,-'설정'!$B$17),'자료_거시'!$J$3:INDEX('자료_거시'!$J$3:$J$4002,$K$8),1))-1,""),"")</f>
        <v/>
      </c>
      <c r="AB2850">
        <f>IF(ISNUMBER(AA2850),'자료_거시'!$J2832,"")</f>
        <v/>
      </c>
      <c r="AC2850">
        <f>IF(ISNUMBER(AB2850),IF(AB2850&gt;$L$8,AA2850,""),"")</f>
        <v/>
      </c>
    </row>
    <row r="2851">
      <c r="S2851">
        <f>IF(ISNUMBER('자료_거시'!$E2833),'자료_거시'!$E2833,S2850)</f>
        <v/>
      </c>
      <c r="T2851">
        <f>IF(AND(ISNUMBER('자료_거시'!$D2833),ISNUMBER('자료_거시'!$E2833)),IFERROR('자료_거시'!$E2833-INDEX($S$21:$S$4020,MATCH(EDATE('자료_거시'!$D2833,-'설정'!$B$17),'자료_거시'!$D$3:INDEX('자료_거시'!$D$3:$D$4002,$K$6),1)),""),"")</f>
        <v/>
      </c>
      <c r="U2851">
        <f>IF(ISNUMBER(T2851),'자료_거시'!$D2833,"")</f>
        <v/>
      </c>
      <c r="V2851">
        <f>IF(ISNUMBER(U2851),IF(U2851&gt;$L$6,T2851,""),"")</f>
        <v/>
      </c>
      <c r="W2851">
        <f>IF(AND(ISNUMBER('자료_거시'!$G2833),ISNUMBER('자료_거시'!$H2833)),'자료_거시'!$H2833,"")</f>
        <v/>
      </c>
      <c r="X2851">
        <f>IF(ISNUMBER(W2851),'자료_거시'!$G2833,"")</f>
        <v/>
      </c>
      <c r="Y2851">
        <f>IF(ISNUMBER(X2851),IF(X2851&gt;$L$7,W2851,""),"")</f>
        <v/>
      </c>
      <c r="Z2851">
        <f>IF(ISNUMBER('자료_거시'!$K2833),'자료_거시'!$K2833,Z2850)</f>
        <v/>
      </c>
      <c r="AA2851">
        <f>IF(AND(ISNUMBER('자료_거시'!$J2833),ISNUMBER('자료_거시'!$K2833)),IFERROR('자료_거시'!$K2833/INDEX($Z$21:$Z$4020,MATCH(EDATE('자료_거시'!$J2833,-'설정'!$B$17),'자료_거시'!$J$3:INDEX('자료_거시'!$J$3:$J$4002,$K$8),1))-1,""),"")</f>
        <v/>
      </c>
      <c r="AB2851">
        <f>IF(ISNUMBER(AA2851),'자료_거시'!$J2833,"")</f>
        <v/>
      </c>
      <c r="AC2851">
        <f>IF(ISNUMBER(AB2851),IF(AB2851&gt;$L$8,AA2851,""),"")</f>
        <v/>
      </c>
    </row>
    <row r="2852">
      <c r="S2852">
        <f>IF(ISNUMBER('자료_거시'!$E2834),'자료_거시'!$E2834,S2851)</f>
        <v/>
      </c>
      <c r="T2852">
        <f>IF(AND(ISNUMBER('자료_거시'!$D2834),ISNUMBER('자료_거시'!$E2834)),IFERROR('자료_거시'!$E2834-INDEX($S$21:$S$4020,MATCH(EDATE('자료_거시'!$D2834,-'설정'!$B$17),'자료_거시'!$D$3:INDEX('자료_거시'!$D$3:$D$4002,$K$6),1)),""),"")</f>
        <v/>
      </c>
      <c r="U2852">
        <f>IF(ISNUMBER(T2852),'자료_거시'!$D2834,"")</f>
        <v/>
      </c>
      <c r="V2852">
        <f>IF(ISNUMBER(U2852),IF(U2852&gt;$L$6,T2852,""),"")</f>
        <v/>
      </c>
      <c r="W2852">
        <f>IF(AND(ISNUMBER('자료_거시'!$G2834),ISNUMBER('자료_거시'!$H2834)),'자료_거시'!$H2834,"")</f>
        <v/>
      </c>
      <c r="X2852">
        <f>IF(ISNUMBER(W2852),'자료_거시'!$G2834,"")</f>
        <v/>
      </c>
      <c r="Y2852">
        <f>IF(ISNUMBER(X2852),IF(X2852&gt;$L$7,W2852,""),"")</f>
        <v/>
      </c>
      <c r="Z2852">
        <f>IF(ISNUMBER('자료_거시'!$K2834),'자료_거시'!$K2834,Z2851)</f>
        <v/>
      </c>
      <c r="AA2852">
        <f>IF(AND(ISNUMBER('자료_거시'!$J2834),ISNUMBER('자료_거시'!$K2834)),IFERROR('자료_거시'!$K2834/INDEX($Z$21:$Z$4020,MATCH(EDATE('자료_거시'!$J2834,-'설정'!$B$17),'자료_거시'!$J$3:INDEX('자료_거시'!$J$3:$J$4002,$K$8),1))-1,""),"")</f>
        <v/>
      </c>
      <c r="AB2852">
        <f>IF(ISNUMBER(AA2852),'자료_거시'!$J2834,"")</f>
        <v/>
      </c>
      <c r="AC2852">
        <f>IF(ISNUMBER(AB2852),IF(AB2852&gt;$L$8,AA2852,""),"")</f>
        <v/>
      </c>
    </row>
    <row r="2853">
      <c r="S2853">
        <f>IF(ISNUMBER('자료_거시'!$E2835),'자료_거시'!$E2835,S2852)</f>
        <v/>
      </c>
      <c r="T2853">
        <f>IF(AND(ISNUMBER('자료_거시'!$D2835),ISNUMBER('자료_거시'!$E2835)),IFERROR('자료_거시'!$E2835-INDEX($S$21:$S$4020,MATCH(EDATE('자료_거시'!$D2835,-'설정'!$B$17),'자료_거시'!$D$3:INDEX('자료_거시'!$D$3:$D$4002,$K$6),1)),""),"")</f>
        <v/>
      </c>
      <c r="U2853">
        <f>IF(ISNUMBER(T2853),'자료_거시'!$D2835,"")</f>
        <v/>
      </c>
      <c r="V2853">
        <f>IF(ISNUMBER(U2853),IF(U2853&gt;$L$6,T2853,""),"")</f>
        <v/>
      </c>
      <c r="W2853">
        <f>IF(AND(ISNUMBER('자료_거시'!$G2835),ISNUMBER('자료_거시'!$H2835)),'자료_거시'!$H2835,"")</f>
        <v/>
      </c>
      <c r="X2853">
        <f>IF(ISNUMBER(W2853),'자료_거시'!$G2835,"")</f>
        <v/>
      </c>
      <c r="Y2853">
        <f>IF(ISNUMBER(X2853),IF(X2853&gt;$L$7,W2853,""),"")</f>
        <v/>
      </c>
      <c r="Z2853">
        <f>IF(ISNUMBER('자료_거시'!$K2835),'자료_거시'!$K2835,Z2852)</f>
        <v/>
      </c>
      <c r="AA2853">
        <f>IF(AND(ISNUMBER('자료_거시'!$J2835),ISNUMBER('자료_거시'!$K2835)),IFERROR('자료_거시'!$K2835/INDEX($Z$21:$Z$4020,MATCH(EDATE('자료_거시'!$J2835,-'설정'!$B$17),'자료_거시'!$J$3:INDEX('자료_거시'!$J$3:$J$4002,$K$8),1))-1,""),"")</f>
        <v/>
      </c>
      <c r="AB2853">
        <f>IF(ISNUMBER(AA2853),'자료_거시'!$J2835,"")</f>
        <v/>
      </c>
      <c r="AC2853">
        <f>IF(ISNUMBER(AB2853),IF(AB2853&gt;$L$8,AA2853,""),"")</f>
        <v/>
      </c>
    </row>
    <row r="2854">
      <c r="S2854">
        <f>IF(ISNUMBER('자료_거시'!$E2836),'자료_거시'!$E2836,S2853)</f>
        <v/>
      </c>
      <c r="T2854">
        <f>IF(AND(ISNUMBER('자료_거시'!$D2836),ISNUMBER('자료_거시'!$E2836)),IFERROR('자료_거시'!$E2836-INDEX($S$21:$S$4020,MATCH(EDATE('자료_거시'!$D2836,-'설정'!$B$17),'자료_거시'!$D$3:INDEX('자료_거시'!$D$3:$D$4002,$K$6),1)),""),"")</f>
        <v/>
      </c>
      <c r="U2854">
        <f>IF(ISNUMBER(T2854),'자료_거시'!$D2836,"")</f>
        <v/>
      </c>
      <c r="V2854">
        <f>IF(ISNUMBER(U2854),IF(U2854&gt;$L$6,T2854,""),"")</f>
        <v/>
      </c>
      <c r="W2854">
        <f>IF(AND(ISNUMBER('자료_거시'!$G2836),ISNUMBER('자료_거시'!$H2836)),'자료_거시'!$H2836,"")</f>
        <v/>
      </c>
      <c r="X2854">
        <f>IF(ISNUMBER(W2854),'자료_거시'!$G2836,"")</f>
        <v/>
      </c>
      <c r="Y2854">
        <f>IF(ISNUMBER(X2854),IF(X2854&gt;$L$7,W2854,""),"")</f>
        <v/>
      </c>
      <c r="Z2854">
        <f>IF(ISNUMBER('자료_거시'!$K2836),'자료_거시'!$K2836,Z2853)</f>
        <v/>
      </c>
      <c r="AA2854">
        <f>IF(AND(ISNUMBER('자료_거시'!$J2836),ISNUMBER('자료_거시'!$K2836)),IFERROR('자료_거시'!$K2836/INDEX($Z$21:$Z$4020,MATCH(EDATE('자료_거시'!$J2836,-'설정'!$B$17),'자료_거시'!$J$3:INDEX('자료_거시'!$J$3:$J$4002,$K$8),1))-1,""),"")</f>
        <v/>
      </c>
      <c r="AB2854">
        <f>IF(ISNUMBER(AA2854),'자료_거시'!$J2836,"")</f>
        <v/>
      </c>
      <c r="AC2854">
        <f>IF(ISNUMBER(AB2854),IF(AB2854&gt;$L$8,AA2854,""),"")</f>
        <v/>
      </c>
    </row>
    <row r="2855">
      <c r="S2855">
        <f>IF(ISNUMBER('자료_거시'!$E2837),'자료_거시'!$E2837,S2854)</f>
        <v/>
      </c>
      <c r="T2855">
        <f>IF(AND(ISNUMBER('자료_거시'!$D2837),ISNUMBER('자료_거시'!$E2837)),IFERROR('자료_거시'!$E2837-INDEX($S$21:$S$4020,MATCH(EDATE('자료_거시'!$D2837,-'설정'!$B$17),'자료_거시'!$D$3:INDEX('자료_거시'!$D$3:$D$4002,$K$6),1)),""),"")</f>
        <v/>
      </c>
      <c r="U2855">
        <f>IF(ISNUMBER(T2855),'자료_거시'!$D2837,"")</f>
        <v/>
      </c>
      <c r="V2855">
        <f>IF(ISNUMBER(U2855),IF(U2855&gt;$L$6,T2855,""),"")</f>
        <v/>
      </c>
      <c r="W2855">
        <f>IF(AND(ISNUMBER('자료_거시'!$G2837),ISNUMBER('자료_거시'!$H2837)),'자료_거시'!$H2837,"")</f>
        <v/>
      </c>
      <c r="X2855">
        <f>IF(ISNUMBER(W2855),'자료_거시'!$G2837,"")</f>
        <v/>
      </c>
      <c r="Y2855">
        <f>IF(ISNUMBER(X2855),IF(X2855&gt;$L$7,W2855,""),"")</f>
        <v/>
      </c>
      <c r="Z2855">
        <f>IF(ISNUMBER('자료_거시'!$K2837),'자료_거시'!$K2837,Z2854)</f>
        <v/>
      </c>
      <c r="AA2855">
        <f>IF(AND(ISNUMBER('자료_거시'!$J2837),ISNUMBER('자료_거시'!$K2837)),IFERROR('자료_거시'!$K2837/INDEX($Z$21:$Z$4020,MATCH(EDATE('자료_거시'!$J2837,-'설정'!$B$17),'자료_거시'!$J$3:INDEX('자료_거시'!$J$3:$J$4002,$K$8),1))-1,""),"")</f>
        <v/>
      </c>
      <c r="AB2855">
        <f>IF(ISNUMBER(AA2855),'자료_거시'!$J2837,"")</f>
        <v/>
      </c>
      <c r="AC2855">
        <f>IF(ISNUMBER(AB2855),IF(AB2855&gt;$L$8,AA2855,""),"")</f>
        <v/>
      </c>
    </row>
    <row r="2856">
      <c r="S2856">
        <f>IF(ISNUMBER('자료_거시'!$E2838),'자료_거시'!$E2838,S2855)</f>
        <v/>
      </c>
      <c r="T2856">
        <f>IF(AND(ISNUMBER('자료_거시'!$D2838),ISNUMBER('자료_거시'!$E2838)),IFERROR('자료_거시'!$E2838-INDEX($S$21:$S$4020,MATCH(EDATE('자료_거시'!$D2838,-'설정'!$B$17),'자료_거시'!$D$3:INDEX('자료_거시'!$D$3:$D$4002,$K$6),1)),""),"")</f>
        <v/>
      </c>
      <c r="U2856">
        <f>IF(ISNUMBER(T2856),'자료_거시'!$D2838,"")</f>
        <v/>
      </c>
      <c r="V2856">
        <f>IF(ISNUMBER(U2856),IF(U2856&gt;$L$6,T2856,""),"")</f>
        <v/>
      </c>
      <c r="W2856">
        <f>IF(AND(ISNUMBER('자료_거시'!$G2838),ISNUMBER('자료_거시'!$H2838)),'자료_거시'!$H2838,"")</f>
        <v/>
      </c>
      <c r="X2856">
        <f>IF(ISNUMBER(W2856),'자료_거시'!$G2838,"")</f>
        <v/>
      </c>
      <c r="Y2856">
        <f>IF(ISNUMBER(X2856),IF(X2856&gt;$L$7,W2856,""),"")</f>
        <v/>
      </c>
      <c r="Z2856">
        <f>IF(ISNUMBER('자료_거시'!$K2838),'자료_거시'!$K2838,Z2855)</f>
        <v/>
      </c>
      <c r="AA2856">
        <f>IF(AND(ISNUMBER('자료_거시'!$J2838),ISNUMBER('자료_거시'!$K2838)),IFERROR('자료_거시'!$K2838/INDEX($Z$21:$Z$4020,MATCH(EDATE('자료_거시'!$J2838,-'설정'!$B$17),'자료_거시'!$J$3:INDEX('자료_거시'!$J$3:$J$4002,$K$8),1))-1,""),"")</f>
        <v/>
      </c>
      <c r="AB2856">
        <f>IF(ISNUMBER(AA2856),'자료_거시'!$J2838,"")</f>
        <v/>
      </c>
      <c r="AC2856">
        <f>IF(ISNUMBER(AB2856),IF(AB2856&gt;$L$8,AA2856,""),"")</f>
        <v/>
      </c>
    </row>
    <row r="2857">
      <c r="S2857">
        <f>IF(ISNUMBER('자료_거시'!$E2839),'자료_거시'!$E2839,S2856)</f>
        <v/>
      </c>
      <c r="T2857">
        <f>IF(AND(ISNUMBER('자료_거시'!$D2839),ISNUMBER('자료_거시'!$E2839)),IFERROR('자료_거시'!$E2839-INDEX($S$21:$S$4020,MATCH(EDATE('자료_거시'!$D2839,-'설정'!$B$17),'자료_거시'!$D$3:INDEX('자료_거시'!$D$3:$D$4002,$K$6),1)),""),"")</f>
        <v/>
      </c>
      <c r="U2857">
        <f>IF(ISNUMBER(T2857),'자료_거시'!$D2839,"")</f>
        <v/>
      </c>
      <c r="V2857">
        <f>IF(ISNUMBER(U2857),IF(U2857&gt;$L$6,T2857,""),"")</f>
        <v/>
      </c>
      <c r="W2857">
        <f>IF(AND(ISNUMBER('자료_거시'!$G2839),ISNUMBER('자료_거시'!$H2839)),'자료_거시'!$H2839,"")</f>
        <v/>
      </c>
      <c r="X2857">
        <f>IF(ISNUMBER(W2857),'자료_거시'!$G2839,"")</f>
        <v/>
      </c>
      <c r="Y2857">
        <f>IF(ISNUMBER(X2857),IF(X2857&gt;$L$7,W2857,""),"")</f>
        <v/>
      </c>
      <c r="Z2857">
        <f>IF(ISNUMBER('자료_거시'!$K2839),'자료_거시'!$K2839,Z2856)</f>
        <v/>
      </c>
      <c r="AA2857">
        <f>IF(AND(ISNUMBER('자료_거시'!$J2839),ISNUMBER('자료_거시'!$K2839)),IFERROR('자료_거시'!$K2839/INDEX($Z$21:$Z$4020,MATCH(EDATE('자료_거시'!$J2839,-'설정'!$B$17),'자료_거시'!$J$3:INDEX('자료_거시'!$J$3:$J$4002,$K$8),1))-1,""),"")</f>
        <v/>
      </c>
      <c r="AB2857">
        <f>IF(ISNUMBER(AA2857),'자료_거시'!$J2839,"")</f>
        <v/>
      </c>
      <c r="AC2857">
        <f>IF(ISNUMBER(AB2857),IF(AB2857&gt;$L$8,AA2857,""),"")</f>
        <v/>
      </c>
    </row>
    <row r="2858">
      <c r="S2858">
        <f>IF(ISNUMBER('자료_거시'!$E2840),'자료_거시'!$E2840,S2857)</f>
        <v/>
      </c>
      <c r="T2858">
        <f>IF(AND(ISNUMBER('자료_거시'!$D2840),ISNUMBER('자료_거시'!$E2840)),IFERROR('자료_거시'!$E2840-INDEX($S$21:$S$4020,MATCH(EDATE('자료_거시'!$D2840,-'설정'!$B$17),'자료_거시'!$D$3:INDEX('자료_거시'!$D$3:$D$4002,$K$6),1)),""),"")</f>
        <v/>
      </c>
      <c r="U2858">
        <f>IF(ISNUMBER(T2858),'자료_거시'!$D2840,"")</f>
        <v/>
      </c>
      <c r="V2858">
        <f>IF(ISNUMBER(U2858),IF(U2858&gt;$L$6,T2858,""),"")</f>
        <v/>
      </c>
      <c r="W2858">
        <f>IF(AND(ISNUMBER('자료_거시'!$G2840),ISNUMBER('자료_거시'!$H2840)),'자료_거시'!$H2840,"")</f>
        <v/>
      </c>
      <c r="X2858">
        <f>IF(ISNUMBER(W2858),'자료_거시'!$G2840,"")</f>
        <v/>
      </c>
      <c r="Y2858">
        <f>IF(ISNUMBER(X2858),IF(X2858&gt;$L$7,W2858,""),"")</f>
        <v/>
      </c>
      <c r="Z2858">
        <f>IF(ISNUMBER('자료_거시'!$K2840),'자료_거시'!$K2840,Z2857)</f>
        <v/>
      </c>
      <c r="AA2858">
        <f>IF(AND(ISNUMBER('자료_거시'!$J2840),ISNUMBER('자료_거시'!$K2840)),IFERROR('자료_거시'!$K2840/INDEX($Z$21:$Z$4020,MATCH(EDATE('자료_거시'!$J2840,-'설정'!$B$17),'자료_거시'!$J$3:INDEX('자료_거시'!$J$3:$J$4002,$K$8),1))-1,""),"")</f>
        <v/>
      </c>
      <c r="AB2858">
        <f>IF(ISNUMBER(AA2858),'자료_거시'!$J2840,"")</f>
        <v/>
      </c>
      <c r="AC2858">
        <f>IF(ISNUMBER(AB2858),IF(AB2858&gt;$L$8,AA2858,""),"")</f>
        <v/>
      </c>
    </row>
    <row r="2859">
      <c r="S2859">
        <f>IF(ISNUMBER('자료_거시'!$E2841),'자료_거시'!$E2841,S2858)</f>
        <v/>
      </c>
      <c r="T2859">
        <f>IF(AND(ISNUMBER('자료_거시'!$D2841),ISNUMBER('자료_거시'!$E2841)),IFERROR('자료_거시'!$E2841-INDEX($S$21:$S$4020,MATCH(EDATE('자료_거시'!$D2841,-'설정'!$B$17),'자료_거시'!$D$3:INDEX('자료_거시'!$D$3:$D$4002,$K$6),1)),""),"")</f>
        <v/>
      </c>
      <c r="U2859">
        <f>IF(ISNUMBER(T2859),'자료_거시'!$D2841,"")</f>
        <v/>
      </c>
      <c r="V2859">
        <f>IF(ISNUMBER(U2859),IF(U2859&gt;$L$6,T2859,""),"")</f>
        <v/>
      </c>
      <c r="W2859">
        <f>IF(AND(ISNUMBER('자료_거시'!$G2841),ISNUMBER('자료_거시'!$H2841)),'자료_거시'!$H2841,"")</f>
        <v/>
      </c>
      <c r="X2859">
        <f>IF(ISNUMBER(W2859),'자료_거시'!$G2841,"")</f>
        <v/>
      </c>
      <c r="Y2859">
        <f>IF(ISNUMBER(X2859),IF(X2859&gt;$L$7,W2859,""),"")</f>
        <v/>
      </c>
      <c r="Z2859">
        <f>IF(ISNUMBER('자료_거시'!$K2841),'자료_거시'!$K2841,Z2858)</f>
        <v/>
      </c>
      <c r="AA2859">
        <f>IF(AND(ISNUMBER('자료_거시'!$J2841),ISNUMBER('자료_거시'!$K2841)),IFERROR('자료_거시'!$K2841/INDEX($Z$21:$Z$4020,MATCH(EDATE('자료_거시'!$J2841,-'설정'!$B$17),'자료_거시'!$J$3:INDEX('자료_거시'!$J$3:$J$4002,$K$8),1))-1,""),"")</f>
        <v/>
      </c>
      <c r="AB2859">
        <f>IF(ISNUMBER(AA2859),'자료_거시'!$J2841,"")</f>
        <v/>
      </c>
      <c r="AC2859">
        <f>IF(ISNUMBER(AB2859),IF(AB2859&gt;$L$8,AA2859,""),"")</f>
        <v/>
      </c>
    </row>
    <row r="2860">
      <c r="S2860">
        <f>IF(ISNUMBER('자료_거시'!$E2842),'자료_거시'!$E2842,S2859)</f>
        <v/>
      </c>
      <c r="T2860">
        <f>IF(AND(ISNUMBER('자료_거시'!$D2842),ISNUMBER('자료_거시'!$E2842)),IFERROR('자료_거시'!$E2842-INDEX($S$21:$S$4020,MATCH(EDATE('자료_거시'!$D2842,-'설정'!$B$17),'자료_거시'!$D$3:INDEX('자료_거시'!$D$3:$D$4002,$K$6),1)),""),"")</f>
        <v/>
      </c>
      <c r="U2860">
        <f>IF(ISNUMBER(T2860),'자료_거시'!$D2842,"")</f>
        <v/>
      </c>
      <c r="V2860">
        <f>IF(ISNUMBER(U2860),IF(U2860&gt;$L$6,T2860,""),"")</f>
        <v/>
      </c>
      <c r="W2860">
        <f>IF(AND(ISNUMBER('자료_거시'!$G2842),ISNUMBER('자료_거시'!$H2842)),'자료_거시'!$H2842,"")</f>
        <v/>
      </c>
      <c r="X2860">
        <f>IF(ISNUMBER(W2860),'자료_거시'!$G2842,"")</f>
        <v/>
      </c>
      <c r="Y2860">
        <f>IF(ISNUMBER(X2860),IF(X2860&gt;$L$7,W2860,""),"")</f>
        <v/>
      </c>
      <c r="Z2860">
        <f>IF(ISNUMBER('자료_거시'!$K2842),'자료_거시'!$K2842,Z2859)</f>
        <v/>
      </c>
      <c r="AA2860">
        <f>IF(AND(ISNUMBER('자료_거시'!$J2842),ISNUMBER('자료_거시'!$K2842)),IFERROR('자료_거시'!$K2842/INDEX($Z$21:$Z$4020,MATCH(EDATE('자료_거시'!$J2842,-'설정'!$B$17),'자료_거시'!$J$3:INDEX('자료_거시'!$J$3:$J$4002,$K$8),1))-1,""),"")</f>
        <v/>
      </c>
      <c r="AB2860">
        <f>IF(ISNUMBER(AA2860),'자료_거시'!$J2842,"")</f>
        <v/>
      </c>
      <c r="AC2860">
        <f>IF(ISNUMBER(AB2860),IF(AB2860&gt;$L$8,AA2860,""),"")</f>
        <v/>
      </c>
    </row>
    <row r="2861">
      <c r="S2861">
        <f>IF(ISNUMBER('자료_거시'!$E2843),'자료_거시'!$E2843,S2860)</f>
        <v/>
      </c>
      <c r="T2861">
        <f>IF(AND(ISNUMBER('자료_거시'!$D2843),ISNUMBER('자료_거시'!$E2843)),IFERROR('자료_거시'!$E2843-INDEX($S$21:$S$4020,MATCH(EDATE('자료_거시'!$D2843,-'설정'!$B$17),'자료_거시'!$D$3:INDEX('자료_거시'!$D$3:$D$4002,$K$6),1)),""),"")</f>
        <v/>
      </c>
      <c r="U2861">
        <f>IF(ISNUMBER(T2861),'자료_거시'!$D2843,"")</f>
        <v/>
      </c>
      <c r="V2861">
        <f>IF(ISNUMBER(U2861),IF(U2861&gt;$L$6,T2861,""),"")</f>
        <v/>
      </c>
      <c r="W2861">
        <f>IF(AND(ISNUMBER('자료_거시'!$G2843),ISNUMBER('자료_거시'!$H2843)),'자료_거시'!$H2843,"")</f>
        <v/>
      </c>
      <c r="X2861">
        <f>IF(ISNUMBER(W2861),'자료_거시'!$G2843,"")</f>
        <v/>
      </c>
      <c r="Y2861">
        <f>IF(ISNUMBER(X2861),IF(X2861&gt;$L$7,W2861,""),"")</f>
        <v/>
      </c>
      <c r="Z2861">
        <f>IF(ISNUMBER('자료_거시'!$K2843),'자료_거시'!$K2843,Z2860)</f>
        <v/>
      </c>
      <c r="AA2861">
        <f>IF(AND(ISNUMBER('자료_거시'!$J2843),ISNUMBER('자료_거시'!$K2843)),IFERROR('자료_거시'!$K2843/INDEX($Z$21:$Z$4020,MATCH(EDATE('자료_거시'!$J2843,-'설정'!$B$17),'자료_거시'!$J$3:INDEX('자료_거시'!$J$3:$J$4002,$K$8),1))-1,""),"")</f>
        <v/>
      </c>
      <c r="AB2861">
        <f>IF(ISNUMBER(AA2861),'자료_거시'!$J2843,"")</f>
        <v/>
      </c>
      <c r="AC2861">
        <f>IF(ISNUMBER(AB2861),IF(AB2861&gt;$L$8,AA2861,""),"")</f>
        <v/>
      </c>
    </row>
    <row r="2862">
      <c r="S2862">
        <f>IF(ISNUMBER('자료_거시'!$E2844),'자료_거시'!$E2844,S2861)</f>
        <v/>
      </c>
      <c r="T2862">
        <f>IF(AND(ISNUMBER('자료_거시'!$D2844),ISNUMBER('자료_거시'!$E2844)),IFERROR('자료_거시'!$E2844-INDEX($S$21:$S$4020,MATCH(EDATE('자료_거시'!$D2844,-'설정'!$B$17),'자료_거시'!$D$3:INDEX('자료_거시'!$D$3:$D$4002,$K$6),1)),""),"")</f>
        <v/>
      </c>
      <c r="U2862">
        <f>IF(ISNUMBER(T2862),'자료_거시'!$D2844,"")</f>
        <v/>
      </c>
      <c r="V2862">
        <f>IF(ISNUMBER(U2862),IF(U2862&gt;$L$6,T2862,""),"")</f>
        <v/>
      </c>
      <c r="W2862">
        <f>IF(AND(ISNUMBER('자료_거시'!$G2844),ISNUMBER('자료_거시'!$H2844)),'자료_거시'!$H2844,"")</f>
        <v/>
      </c>
      <c r="X2862">
        <f>IF(ISNUMBER(W2862),'자료_거시'!$G2844,"")</f>
        <v/>
      </c>
      <c r="Y2862">
        <f>IF(ISNUMBER(X2862),IF(X2862&gt;$L$7,W2862,""),"")</f>
        <v/>
      </c>
      <c r="Z2862">
        <f>IF(ISNUMBER('자료_거시'!$K2844),'자료_거시'!$K2844,Z2861)</f>
        <v/>
      </c>
      <c r="AA2862">
        <f>IF(AND(ISNUMBER('자료_거시'!$J2844),ISNUMBER('자료_거시'!$K2844)),IFERROR('자료_거시'!$K2844/INDEX($Z$21:$Z$4020,MATCH(EDATE('자료_거시'!$J2844,-'설정'!$B$17),'자료_거시'!$J$3:INDEX('자료_거시'!$J$3:$J$4002,$K$8),1))-1,""),"")</f>
        <v/>
      </c>
      <c r="AB2862">
        <f>IF(ISNUMBER(AA2862),'자료_거시'!$J2844,"")</f>
        <v/>
      </c>
      <c r="AC2862">
        <f>IF(ISNUMBER(AB2862),IF(AB2862&gt;$L$8,AA2862,""),"")</f>
        <v/>
      </c>
    </row>
    <row r="2863">
      <c r="S2863">
        <f>IF(ISNUMBER('자료_거시'!$E2845),'자료_거시'!$E2845,S2862)</f>
        <v/>
      </c>
      <c r="T2863">
        <f>IF(AND(ISNUMBER('자료_거시'!$D2845),ISNUMBER('자료_거시'!$E2845)),IFERROR('자료_거시'!$E2845-INDEX($S$21:$S$4020,MATCH(EDATE('자료_거시'!$D2845,-'설정'!$B$17),'자료_거시'!$D$3:INDEX('자료_거시'!$D$3:$D$4002,$K$6),1)),""),"")</f>
        <v/>
      </c>
      <c r="U2863">
        <f>IF(ISNUMBER(T2863),'자료_거시'!$D2845,"")</f>
        <v/>
      </c>
      <c r="V2863">
        <f>IF(ISNUMBER(U2863),IF(U2863&gt;$L$6,T2863,""),"")</f>
        <v/>
      </c>
      <c r="W2863">
        <f>IF(AND(ISNUMBER('자료_거시'!$G2845),ISNUMBER('자료_거시'!$H2845)),'자료_거시'!$H2845,"")</f>
        <v/>
      </c>
      <c r="X2863">
        <f>IF(ISNUMBER(W2863),'자료_거시'!$G2845,"")</f>
        <v/>
      </c>
      <c r="Y2863">
        <f>IF(ISNUMBER(X2863),IF(X2863&gt;$L$7,W2863,""),"")</f>
        <v/>
      </c>
      <c r="Z2863">
        <f>IF(ISNUMBER('자료_거시'!$K2845),'자료_거시'!$K2845,Z2862)</f>
        <v/>
      </c>
      <c r="AA2863">
        <f>IF(AND(ISNUMBER('자료_거시'!$J2845),ISNUMBER('자료_거시'!$K2845)),IFERROR('자료_거시'!$K2845/INDEX($Z$21:$Z$4020,MATCH(EDATE('자료_거시'!$J2845,-'설정'!$B$17),'자료_거시'!$J$3:INDEX('자료_거시'!$J$3:$J$4002,$K$8),1))-1,""),"")</f>
        <v/>
      </c>
      <c r="AB2863">
        <f>IF(ISNUMBER(AA2863),'자료_거시'!$J2845,"")</f>
        <v/>
      </c>
      <c r="AC2863">
        <f>IF(ISNUMBER(AB2863),IF(AB2863&gt;$L$8,AA2863,""),"")</f>
        <v/>
      </c>
    </row>
    <row r="2864">
      <c r="S2864">
        <f>IF(ISNUMBER('자료_거시'!$E2846),'자료_거시'!$E2846,S2863)</f>
        <v/>
      </c>
      <c r="T2864">
        <f>IF(AND(ISNUMBER('자료_거시'!$D2846),ISNUMBER('자료_거시'!$E2846)),IFERROR('자료_거시'!$E2846-INDEX($S$21:$S$4020,MATCH(EDATE('자료_거시'!$D2846,-'설정'!$B$17),'자료_거시'!$D$3:INDEX('자료_거시'!$D$3:$D$4002,$K$6),1)),""),"")</f>
        <v/>
      </c>
      <c r="U2864">
        <f>IF(ISNUMBER(T2864),'자료_거시'!$D2846,"")</f>
        <v/>
      </c>
      <c r="V2864">
        <f>IF(ISNUMBER(U2864),IF(U2864&gt;$L$6,T2864,""),"")</f>
        <v/>
      </c>
      <c r="W2864">
        <f>IF(AND(ISNUMBER('자료_거시'!$G2846),ISNUMBER('자료_거시'!$H2846)),'자료_거시'!$H2846,"")</f>
        <v/>
      </c>
      <c r="X2864">
        <f>IF(ISNUMBER(W2864),'자료_거시'!$G2846,"")</f>
        <v/>
      </c>
      <c r="Y2864">
        <f>IF(ISNUMBER(X2864),IF(X2864&gt;$L$7,W2864,""),"")</f>
        <v/>
      </c>
      <c r="Z2864">
        <f>IF(ISNUMBER('자료_거시'!$K2846),'자료_거시'!$K2846,Z2863)</f>
        <v/>
      </c>
      <c r="AA2864">
        <f>IF(AND(ISNUMBER('자료_거시'!$J2846),ISNUMBER('자료_거시'!$K2846)),IFERROR('자료_거시'!$K2846/INDEX($Z$21:$Z$4020,MATCH(EDATE('자료_거시'!$J2846,-'설정'!$B$17),'자료_거시'!$J$3:INDEX('자료_거시'!$J$3:$J$4002,$K$8),1))-1,""),"")</f>
        <v/>
      </c>
      <c r="AB2864">
        <f>IF(ISNUMBER(AA2864),'자료_거시'!$J2846,"")</f>
        <v/>
      </c>
      <c r="AC2864">
        <f>IF(ISNUMBER(AB2864),IF(AB2864&gt;$L$8,AA2864,""),"")</f>
        <v/>
      </c>
    </row>
    <row r="2865">
      <c r="S2865">
        <f>IF(ISNUMBER('자료_거시'!$E2847),'자료_거시'!$E2847,S2864)</f>
        <v/>
      </c>
      <c r="T2865">
        <f>IF(AND(ISNUMBER('자료_거시'!$D2847),ISNUMBER('자료_거시'!$E2847)),IFERROR('자료_거시'!$E2847-INDEX($S$21:$S$4020,MATCH(EDATE('자료_거시'!$D2847,-'설정'!$B$17),'자료_거시'!$D$3:INDEX('자료_거시'!$D$3:$D$4002,$K$6),1)),""),"")</f>
        <v/>
      </c>
      <c r="U2865">
        <f>IF(ISNUMBER(T2865),'자료_거시'!$D2847,"")</f>
        <v/>
      </c>
      <c r="V2865">
        <f>IF(ISNUMBER(U2865),IF(U2865&gt;$L$6,T2865,""),"")</f>
        <v/>
      </c>
      <c r="W2865">
        <f>IF(AND(ISNUMBER('자료_거시'!$G2847),ISNUMBER('자료_거시'!$H2847)),'자료_거시'!$H2847,"")</f>
        <v/>
      </c>
      <c r="X2865">
        <f>IF(ISNUMBER(W2865),'자료_거시'!$G2847,"")</f>
        <v/>
      </c>
      <c r="Y2865">
        <f>IF(ISNUMBER(X2865),IF(X2865&gt;$L$7,W2865,""),"")</f>
        <v/>
      </c>
      <c r="Z2865">
        <f>IF(ISNUMBER('자료_거시'!$K2847),'자료_거시'!$K2847,Z2864)</f>
        <v/>
      </c>
      <c r="AA2865">
        <f>IF(AND(ISNUMBER('자료_거시'!$J2847),ISNUMBER('자료_거시'!$K2847)),IFERROR('자료_거시'!$K2847/INDEX($Z$21:$Z$4020,MATCH(EDATE('자료_거시'!$J2847,-'설정'!$B$17),'자료_거시'!$J$3:INDEX('자료_거시'!$J$3:$J$4002,$K$8),1))-1,""),"")</f>
        <v/>
      </c>
      <c r="AB2865">
        <f>IF(ISNUMBER(AA2865),'자료_거시'!$J2847,"")</f>
        <v/>
      </c>
      <c r="AC2865">
        <f>IF(ISNUMBER(AB2865),IF(AB2865&gt;$L$8,AA2865,""),"")</f>
        <v/>
      </c>
    </row>
    <row r="2866">
      <c r="S2866">
        <f>IF(ISNUMBER('자료_거시'!$E2848),'자료_거시'!$E2848,S2865)</f>
        <v/>
      </c>
      <c r="T2866">
        <f>IF(AND(ISNUMBER('자료_거시'!$D2848),ISNUMBER('자료_거시'!$E2848)),IFERROR('자료_거시'!$E2848-INDEX($S$21:$S$4020,MATCH(EDATE('자료_거시'!$D2848,-'설정'!$B$17),'자료_거시'!$D$3:INDEX('자료_거시'!$D$3:$D$4002,$K$6),1)),""),"")</f>
        <v/>
      </c>
      <c r="U2866">
        <f>IF(ISNUMBER(T2866),'자료_거시'!$D2848,"")</f>
        <v/>
      </c>
      <c r="V2866">
        <f>IF(ISNUMBER(U2866),IF(U2866&gt;$L$6,T2866,""),"")</f>
        <v/>
      </c>
      <c r="W2866">
        <f>IF(AND(ISNUMBER('자료_거시'!$G2848),ISNUMBER('자료_거시'!$H2848)),'자료_거시'!$H2848,"")</f>
        <v/>
      </c>
      <c r="X2866">
        <f>IF(ISNUMBER(W2866),'자료_거시'!$G2848,"")</f>
        <v/>
      </c>
      <c r="Y2866">
        <f>IF(ISNUMBER(X2866),IF(X2866&gt;$L$7,W2866,""),"")</f>
        <v/>
      </c>
      <c r="Z2866">
        <f>IF(ISNUMBER('자료_거시'!$K2848),'자료_거시'!$K2848,Z2865)</f>
        <v/>
      </c>
      <c r="AA2866">
        <f>IF(AND(ISNUMBER('자료_거시'!$J2848),ISNUMBER('자료_거시'!$K2848)),IFERROR('자료_거시'!$K2848/INDEX($Z$21:$Z$4020,MATCH(EDATE('자료_거시'!$J2848,-'설정'!$B$17),'자료_거시'!$J$3:INDEX('자료_거시'!$J$3:$J$4002,$K$8),1))-1,""),"")</f>
        <v/>
      </c>
      <c r="AB2866">
        <f>IF(ISNUMBER(AA2866),'자료_거시'!$J2848,"")</f>
        <v/>
      </c>
      <c r="AC2866">
        <f>IF(ISNUMBER(AB2866),IF(AB2866&gt;$L$8,AA2866,""),"")</f>
        <v/>
      </c>
    </row>
    <row r="2867">
      <c r="S2867">
        <f>IF(ISNUMBER('자료_거시'!$E2849),'자료_거시'!$E2849,S2866)</f>
        <v/>
      </c>
      <c r="T2867">
        <f>IF(AND(ISNUMBER('자료_거시'!$D2849),ISNUMBER('자료_거시'!$E2849)),IFERROR('자료_거시'!$E2849-INDEX($S$21:$S$4020,MATCH(EDATE('자료_거시'!$D2849,-'설정'!$B$17),'자료_거시'!$D$3:INDEX('자료_거시'!$D$3:$D$4002,$K$6),1)),""),"")</f>
        <v/>
      </c>
      <c r="U2867">
        <f>IF(ISNUMBER(T2867),'자료_거시'!$D2849,"")</f>
        <v/>
      </c>
      <c r="V2867">
        <f>IF(ISNUMBER(U2867),IF(U2867&gt;$L$6,T2867,""),"")</f>
        <v/>
      </c>
      <c r="W2867">
        <f>IF(AND(ISNUMBER('자료_거시'!$G2849),ISNUMBER('자료_거시'!$H2849)),'자료_거시'!$H2849,"")</f>
        <v/>
      </c>
      <c r="X2867">
        <f>IF(ISNUMBER(W2867),'자료_거시'!$G2849,"")</f>
        <v/>
      </c>
      <c r="Y2867">
        <f>IF(ISNUMBER(X2867),IF(X2867&gt;$L$7,W2867,""),"")</f>
        <v/>
      </c>
      <c r="Z2867">
        <f>IF(ISNUMBER('자료_거시'!$K2849),'자료_거시'!$K2849,Z2866)</f>
        <v/>
      </c>
      <c r="AA2867">
        <f>IF(AND(ISNUMBER('자료_거시'!$J2849),ISNUMBER('자료_거시'!$K2849)),IFERROR('자료_거시'!$K2849/INDEX($Z$21:$Z$4020,MATCH(EDATE('자료_거시'!$J2849,-'설정'!$B$17),'자료_거시'!$J$3:INDEX('자료_거시'!$J$3:$J$4002,$K$8),1))-1,""),"")</f>
        <v/>
      </c>
      <c r="AB2867">
        <f>IF(ISNUMBER(AA2867),'자료_거시'!$J2849,"")</f>
        <v/>
      </c>
      <c r="AC2867">
        <f>IF(ISNUMBER(AB2867),IF(AB2867&gt;$L$8,AA2867,""),"")</f>
        <v/>
      </c>
    </row>
    <row r="2868">
      <c r="S2868">
        <f>IF(ISNUMBER('자료_거시'!$E2850),'자료_거시'!$E2850,S2867)</f>
        <v/>
      </c>
      <c r="T2868">
        <f>IF(AND(ISNUMBER('자료_거시'!$D2850),ISNUMBER('자료_거시'!$E2850)),IFERROR('자료_거시'!$E2850-INDEX($S$21:$S$4020,MATCH(EDATE('자료_거시'!$D2850,-'설정'!$B$17),'자료_거시'!$D$3:INDEX('자료_거시'!$D$3:$D$4002,$K$6),1)),""),"")</f>
        <v/>
      </c>
      <c r="U2868">
        <f>IF(ISNUMBER(T2868),'자료_거시'!$D2850,"")</f>
        <v/>
      </c>
      <c r="V2868">
        <f>IF(ISNUMBER(U2868),IF(U2868&gt;$L$6,T2868,""),"")</f>
        <v/>
      </c>
      <c r="W2868">
        <f>IF(AND(ISNUMBER('자료_거시'!$G2850),ISNUMBER('자료_거시'!$H2850)),'자료_거시'!$H2850,"")</f>
        <v/>
      </c>
      <c r="X2868">
        <f>IF(ISNUMBER(W2868),'자료_거시'!$G2850,"")</f>
        <v/>
      </c>
      <c r="Y2868">
        <f>IF(ISNUMBER(X2868),IF(X2868&gt;$L$7,W2868,""),"")</f>
        <v/>
      </c>
      <c r="Z2868">
        <f>IF(ISNUMBER('자료_거시'!$K2850),'자료_거시'!$K2850,Z2867)</f>
        <v/>
      </c>
      <c r="AA2868">
        <f>IF(AND(ISNUMBER('자료_거시'!$J2850),ISNUMBER('자료_거시'!$K2850)),IFERROR('자료_거시'!$K2850/INDEX($Z$21:$Z$4020,MATCH(EDATE('자료_거시'!$J2850,-'설정'!$B$17),'자료_거시'!$J$3:INDEX('자료_거시'!$J$3:$J$4002,$K$8),1))-1,""),"")</f>
        <v/>
      </c>
      <c r="AB2868">
        <f>IF(ISNUMBER(AA2868),'자료_거시'!$J2850,"")</f>
        <v/>
      </c>
      <c r="AC2868">
        <f>IF(ISNUMBER(AB2868),IF(AB2868&gt;$L$8,AA2868,""),"")</f>
        <v/>
      </c>
    </row>
    <row r="2869">
      <c r="S2869">
        <f>IF(ISNUMBER('자료_거시'!$E2851),'자료_거시'!$E2851,S2868)</f>
        <v/>
      </c>
      <c r="T2869">
        <f>IF(AND(ISNUMBER('자료_거시'!$D2851),ISNUMBER('자료_거시'!$E2851)),IFERROR('자료_거시'!$E2851-INDEX($S$21:$S$4020,MATCH(EDATE('자료_거시'!$D2851,-'설정'!$B$17),'자료_거시'!$D$3:INDEX('자료_거시'!$D$3:$D$4002,$K$6),1)),""),"")</f>
        <v/>
      </c>
      <c r="U2869">
        <f>IF(ISNUMBER(T2869),'자료_거시'!$D2851,"")</f>
        <v/>
      </c>
      <c r="V2869">
        <f>IF(ISNUMBER(U2869),IF(U2869&gt;$L$6,T2869,""),"")</f>
        <v/>
      </c>
      <c r="W2869">
        <f>IF(AND(ISNUMBER('자료_거시'!$G2851),ISNUMBER('자료_거시'!$H2851)),'자료_거시'!$H2851,"")</f>
        <v/>
      </c>
      <c r="X2869">
        <f>IF(ISNUMBER(W2869),'자료_거시'!$G2851,"")</f>
        <v/>
      </c>
      <c r="Y2869">
        <f>IF(ISNUMBER(X2869),IF(X2869&gt;$L$7,W2869,""),"")</f>
        <v/>
      </c>
      <c r="Z2869">
        <f>IF(ISNUMBER('자료_거시'!$K2851),'자료_거시'!$K2851,Z2868)</f>
        <v/>
      </c>
      <c r="AA2869">
        <f>IF(AND(ISNUMBER('자료_거시'!$J2851),ISNUMBER('자료_거시'!$K2851)),IFERROR('자료_거시'!$K2851/INDEX($Z$21:$Z$4020,MATCH(EDATE('자료_거시'!$J2851,-'설정'!$B$17),'자료_거시'!$J$3:INDEX('자료_거시'!$J$3:$J$4002,$K$8),1))-1,""),"")</f>
        <v/>
      </c>
      <c r="AB2869">
        <f>IF(ISNUMBER(AA2869),'자료_거시'!$J2851,"")</f>
        <v/>
      </c>
      <c r="AC2869">
        <f>IF(ISNUMBER(AB2869),IF(AB2869&gt;$L$8,AA2869,""),"")</f>
        <v/>
      </c>
    </row>
    <row r="2870">
      <c r="S2870">
        <f>IF(ISNUMBER('자료_거시'!$E2852),'자료_거시'!$E2852,S2869)</f>
        <v/>
      </c>
      <c r="T2870">
        <f>IF(AND(ISNUMBER('자료_거시'!$D2852),ISNUMBER('자료_거시'!$E2852)),IFERROR('자료_거시'!$E2852-INDEX($S$21:$S$4020,MATCH(EDATE('자료_거시'!$D2852,-'설정'!$B$17),'자료_거시'!$D$3:INDEX('자료_거시'!$D$3:$D$4002,$K$6),1)),""),"")</f>
        <v/>
      </c>
      <c r="U2870">
        <f>IF(ISNUMBER(T2870),'자료_거시'!$D2852,"")</f>
        <v/>
      </c>
      <c r="V2870">
        <f>IF(ISNUMBER(U2870),IF(U2870&gt;$L$6,T2870,""),"")</f>
        <v/>
      </c>
      <c r="W2870">
        <f>IF(AND(ISNUMBER('자료_거시'!$G2852),ISNUMBER('자료_거시'!$H2852)),'자료_거시'!$H2852,"")</f>
        <v/>
      </c>
      <c r="X2870">
        <f>IF(ISNUMBER(W2870),'자료_거시'!$G2852,"")</f>
        <v/>
      </c>
      <c r="Y2870">
        <f>IF(ISNUMBER(X2870),IF(X2870&gt;$L$7,W2870,""),"")</f>
        <v/>
      </c>
      <c r="Z2870">
        <f>IF(ISNUMBER('자료_거시'!$K2852),'자료_거시'!$K2852,Z2869)</f>
        <v/>
      </c>
      <c r="AA2870">
        <f>IF(AND(ISNUMBER('자료_거시'!$J2852),ISNUMBER('자료_거시'!$K2852)),IFERROR('자료_거시'!$K2852/INDEX($Z$21:$Z$4020,MATCH(EDATE('자료_거시'!$J2852,-'설정'!$B$17),'자료_거시'!$J$3:INDEX('자료_거시'!$J$3:$J$4002,$K$8),1))-1,""),"")</f>
        <v/>
      </c>
      <c r="AB2870">
        <f>IF(ISNUMBER(AA2870),'자료_거시'!$J2852,"")</f>
        <v/>
      </c>
      <c r="AC2870">
        <f>IF(ISNUMBER(AB2870),IF(AB2870&gt;$L$8,AA2870,""),"")</f>
        <v/>
      </c>
    </row>
    <row r="2871">
      <c r="S2871">
        <f>IF(ISNUMBER('자료_거시'!$E2853),'자료_거시'!$E2853,S2870)</f>
        <v/>
      </c>
      <c r="T2871">
        <f>IF(AND(ISNUMBER('자료_거시'!$D2853),ISNUMBER('자료_거시'!$E2853)),IFERROR('자료_거시'!$E2853-INDEX($S$21:$S$4020,MATCH(EDATE('자료_거시'!$D2853,-'설정'!$B$17),'자료_거시'!$D$3:INDEX('자료_거시'!$D$3:$D$4002,$K$6),1)),""),"")</f>
        <v/>
      </c>
      <c r="U2871">
        <f>IF(ISNUMBER(T2871),'자료_거시'!$D2853,"")</f>
        <v/>
      </c>
      <c r="V2871">
        <f>IF(ISNUMBER(U2871),IF(U2871&gt;$L$6,T2871,""),"")</f>
        <v/>
      </c>
      <c r="W2871">
        <f>IF(AND(ISNUMBER('자료_거시'!$G2853),ISNUMBER('자료_거시'!$H2853)),'자료_거시'!$H2853,"")</f>
        <v/>
      </c>
      <c r="X2871">
        <f>IF(ISNUMBER(W2871),'자료_거시'!$G2853,"")</f>
        <v/>
      </c>
      <c r="Y2871">
        <f>IF(ISNUMBER(X2871),IF(X2871&gt;$L$7,W2871,""),"")</f>
        <v/>
      </c>
      <c r="Z2871">
        <f>IF(ISNUMBER('자료_거시'!$K2853),'자료_거시'!$K2853,Z2870)</f>
        <v/>
      </c>
      <c r="AA2871">
        <f>IF(AND(ISNUMBER('자료_거시'!$J2853),ISNUMBER('자료_거시'!$K2853)),IFERROR('자료_거시'!$K2853/INDEX($Z$21:$Z$4020,MATCH(EDATE('자료_거시'!$J2853,-'설정'!$B$17),'자료_거시'!$J$3:INDEX('자료_거시'!$J$3:$J$4002,$K$8),1))-1,""),"")</f>
        <v/>
      </c>
      <c r="AB2871">
        <f>IF(ISNUMBER(AA2871),'자료_거시'!$J2853,"")</f>
        <v/>
      </c>
      <c r="AC2871">
        <f>IF(ISNUMBER(AB2871),IF(AB2871&gt;$L$8,AA2871,""),"")</f>
        <v/>
      </c>
    </row>
    <row r="2872">
      <c r="S2872">
        <f>IF(ISNUMBER('자료_거시'!$E2854),'자료_거시'!$E2854,S2871)</f>
        <v/>
      </c>
      <c r="T2872">
        <f>IF(AND(ISNUMBER('자료_거시'!$D2854),ISNUMBER('자료_거시'!$E2854)),IFERROR('자료_거시'!$E2854-INDEX($S$21:$S$4020,MATCH(EDATE('자료_거시'!$D2854,-'설정'!$B$17),'자료_거시'!$D$3:INDEX('자료_거시'!$D$3:$D$4002,$K$6),1)),""),"")</f>
        <v/>
      </c>
      <c r="U2872">
        <f>IF(ISNUMBER(T2872),'자료_거시'!$D2854,"")</f>
        <v/>
      </c>
      <c r="V2872">
        <f>IF(ISNUMBER(U2872),IF(U2872&gt;$L$6,T2872,""),"")</f>
        <v/>
      </c>
      <c r="W2872">
        <f>IF(AND(ISNUMBER('자료_거시'!$G2854),ISNUMBER('자료_거시'!$H2854)),'자료_거시'!$H2854,"")</f>
        <v/>
      </c>
      <c r="X2872">
        <f>IF(ISNUMBER(W2872),'자료_거시'!$G2854,"")</f>
        <v/>
      </c>
      <c r="Y2872">
        <f>IF(ISNUMBER(X2872),IF(X2872&gt;$L$7,W2872,""),"")</f>
        <v/>
      </c>
      <c r="Z2872">
        <f>IF(ISNUMBER('자료_거시'!$K2854),'자료_거시'!$K2854,Z2871)</f>
        <v/>
      </c>
      <c r="AA2872">
        <f>IF(AND(ISNUMBER('자료_거시'!$J2854),ISNUMBER('자료_거시'!$K2854)),IFERROR('자료_거시'!$K2854/INDEX($Z$21:$Z$4020,MATCH(EDATE('자료_거시'!$J2854,-'설정'!$B$17),'자료_거시'!$J$3:INDEX('자료_거시'!$J$3:$J$4002,$K$8),1))-1,""),"")</f>
        <v/>
      </c>
      <c r="AB2872">
        <f>IF(ISNUMBER(AA2872),'자료_거시'!$J2854,"")</f>
        <v/>
      </c>
      <c r="AC2872">
        <f>IF(ISNUMBER(AB2872),IF(AB2872&gt;$L$8,AA2872,""),"")</f>
        <v/>
      </c>
    </row>
    <row r="2873">
      <c r="S2873">
        <f>IF(ISNUMBER('자료_거시'!$E2855),'자료_거시'!$E2855,S2872)</f>
        <v/>
      </c>
      <c r="T2873">
        <f>IF(AND(ISNUMBER('자료_거시'!$D2855),ISNUMBER('자료_거시'!$E2855)),IFERROR('자료_거시'!$E2855-INDEX($S$21:$S$4020,MATCH(EDATE('자료_거시'!$D2855,-'설정'!$B$17),'자료_거시'!$D$3:INDEX('자료_거시'!$D$3:$D$4002,$K$6),1)),""),"")</f>
        <v/>
      </c>
      <c r="U2873">
        <f>IF(ISNUMBER(T2873),'자료_거시'!$D2855,"")</f>
        <v/>
      </c>
      <c r="V2873">
        <f>IF(ISNUMBER(U2873),IF(U2873&gt;$L$6,T2873,""),"")</f>
        <v/>
      </c>
      <c r="W2873">
        <f>IF(AND(ISNUMBER('자료_거시'!$G2855),ISNUMBER('자료_거시'!$H2855)),'자료_거시'!$H2855,"")</f>
        <v/>
      </c>
      <c r="X2873">
        <f>IF(ISNUMBER(W2873),'자료_거시'!$G2855,"")</f>
        <v/>
      </c>
      <c r="Y2873">
        <f>IF(ISNUMBER(X2873),IF(X2873&gt;$L$7,W2873,""),"")</f>
        <v/>
      </c>
      <c r="Z2873">
        <f>IF(ISNUMBER('자료_거시'!$K2855),'자료_거시'!$K2855,Z2872)</f>
        <v/>
      </c>
      <c r="AA2873">
        <f>IF(AND(ISNUMBER('자료_거시'!$J2855),ISNUMBER('자료_거시'!$K2855)),IFERROR('자료_거시'!$K2855/INDEX($Z$21:$Z$4020,MATCH(EDATE('자료_거시'!$J2855,-'설정'!$B$17),'자료_거시'!$J$3:INDEX('자료_거시'!$J$3:$J$4002,$K$8),1))-1,""),"")</f>
        <v/>
      </c>
      <c r="AB2873">
        <f>IF(ISNUMBER(AA2873),'자료_거시'!$J2855,"")</f>
        <v/>
      </c>
      <c r="AC2873">
        <f>IF(ISNUMBER(AB2873),IF(AB2873&gt;$L$8,AA2873,""),"")</f>
        <v/>
      </c>
    </row>
    <row r="2874">
      <c r="S2874">
        <f>IF(ISNUMBER('자료_거시'!$E2856),'자료_거시'!$E2856,S2873)</f>
        <v/>
      </c>
      <c r="T2874">
        <f>IF(AND(ISNUMBER('자료_거시'!$D2856),ISNUMBER('자료_거시'!$E2856)),IFERROR('자료_거시'!$E2856-INDEX($S$21:$S$4020,MATCH(EDATE('자료_거시'!$D2856,-'설정'!$B$17),'자료_거시'!$D$3:INDEX('자료_거시'!$D$3:$D$4002,$K$6),1)),""),"")</f>
        <v/>
      </c>
      <c r="U2874">
        <f>IF(ISNUMBER(T2874),'자료_거시'!$D2856,"")</f>
        <v/>
      </c>
      <c r="V2874">
        <f>IF(ISNUMBER(U2874),IF(U2874&gt;$L$6,T2874,""),"")</f>
        <v/>
      </c>
      <c r="W2874">
        <f>IF(AND(ISNUMBER('자료_거시'!$G2856),ISNUMBER('자료_거시'!$H2856)),'자료_거시'!$H2856,"")</f>
        <v/>
      </c>
      <c r="X2874">
        <f>IF(ISNUMBER(W2874),'자료_거시'!$G2856,"")</f>
        <v/>
      </c>
      <c r="Y2874">
        <f>IF(ISNUMBER(X2874),IF(X2874&gt;$L$7,W2874,""),"")</f>
        <v/>
      </c>
      <c r="Z2874">
        <f>IF(ISNUMBER('자료_거시'!$K2856),'자료_거시'!$K2856,Z2873)</f>
        <v/>
      </c>
      <c r="AA2874">
        <f>IF(AND(ISNUMBER('자료_거시'!$J2856),ISNUMBER('자료_거시'!$K2856)),IFERROR('자료_거시'!$K2856/INDEX($Z$21:$Z$4020,MATCH(EDATE('자료_거시'!$J2856,-'설정'!$B$17),'자료_거시'!$J$3:INDEX('자료_거시'!$J$3:$J$4002,$K$8),1))-1,""),"")</f>
        <v/>
      </c>
      <c r="AB2874">
        <f>IF(ISNUMBER(AA2874),'자료_거시'!$J2856,"")</f>
        <v/>
      </c>
      <c r="AC2874">
        <f>IF(ISNUMBER(AB2874),IF(AB2874&gt;$L$8,AA2874,""),"")</f>
        <v/>
      </c>
    </row>
    <row r="2875">
      <c r="S2875">
        <f>IF(ISNUMBER('자료_거시'!$E2857),'자료_거시'!$E2857,S2874)</f>
        <v/>
      </c>
      <c r="T2875">
        <f>IF(AND(ISNUMBER('자료_거시'!$D2857),ISNUMBER('자료_거시'!$E2857)),IFERROR('자료_거시'!$E2857-INDEX($S$21:$S$4020,MATCH(EDATE('자료_거시'!$D2857,-'설정'!$B$17),'자료_거시'!$D$3:INDEX('자료_거시'!$D$3:$D$4002,$K$6),1)),""),"")</f>
        <v/>
      </c>
      <c r="U2875">
        <f>IF(ISNUMBER(T2875),'자료_거시'!$D2857,"")</f>
        <v/>
      </c>
      <c r="V2875">
        <f>IF(ISNUMBER(U2875),IF(U2875&gt;$L$6,T2875,""),"")</f>
        <v/>
      </c>
      <c r="W2875">
        <f>IF(AND(ISNUMBER('자료_거시'!$G2857),ISNUMBER('자료_거시'!$H2857)),'자료_거시'!$H2857,"")</f>
        <v/>
      </c>
      <c r="X2875">
        <f>IF(ISNUMBER(W2875),'자료_거시'!$G2857,"")</f>
        <v/>
      </c>
      <c r="Y2875">
        <f>IF(ISNUMBER(X2875),IF(X2875&gt;$L$7,W2875,""),"")</f>
        <v/>
      </c>
      <c r="Z2875">
        <f>IF(ISNUMBER('자료_거시'!$K2857),'자료_거시'!$K2857,Z2874)</f>
        <v/>
      </c>
      <c r="AA2875">
        <f>IF(AND(ISNUMBER('자료_거시'!$J2857),ISNUMBER('자료_거시'!$K2857)),IFERROR('자료_거시'!$K2857/INDEX($Z$21:$Z$4020,MATCH(EDATE('자료_거시'!$J2857,-'설정'!$B$17),'자료_거시'!$J$3:INDEX('자료_거시'!$J$3:$J$4002,$K$8),1))-1,""),"")</f>
        <v/>
      </c>
      <c r="AB2875">
        <f>IF(ISNUMBER(AA2875),'자료_거시'!$J2857,"")</f>
        <v/>
      </c>
      <c r="AC2875">
        <f>IF(ISNUMBER(AB2875),IF(AB2875&gt;$L$8,AA2875,""),"")</f>
        <v/>
      </c>
    </row>
    <row r="2876">
      <c r="S2876">
        <f>IF(ISNUMBER('자료_거시'!$E2858),'자료_거시'!$E2858,S2875)</f>
        <v/>
      </c>
      <c r="T2876">
        <f>IF(AND(ISNUMBER('자료_거시'!$D2858),ISNUMBER('자료_거시'!$E2858)),IFERROR('자료_거시'!$E2858-INDEX($S$21:$S$4020,MATCH(EDATE('자료_거시'!$D2858,-'설정'!$B$17),'자료_거시'!$D$3:INDEX('자료_거시'!$D$3:$D$4002,$K$6),1)),""),"")</f>
        <v/>
      </c>
      <c r="U2876">
        <f>IF(ISNUMBER(T2876),'자료_거시'!$D2858,"")</f>
        <v/>
      </c>
      <c r="V2876">
        <f>IF(ISNUMBER(U2876),IF(U2876&gt;$L$6,T2876,""),"")</f>
        <v/>
      </c>
      <c r="W2876">
        <f>IF(AND(ISNUMBER('자료_거시'!$G2858),ISNUMBER('자료_거시'!$H2858)),'자료_거시'!$H2858,"")</f>
        <v/>
      </c>
      <c r="X2876">
        <f>IF(ISNUMBER(W2876),'자료_거시'!$G2858,"")</f>
        <v/>
      </c>
      <c r="Y2876">
        <f>IF(ISNUMBER(X2876),IF(X2876&gt;$L$7,W2876,""),"")</f>
        <v/>
      </c>
      <c r="Z2876">
        <f>IF(ISNUMBER('자료_거시'!$K2858),'자료_거시'!$K2858,Z2875)</f>
        <v/>
      </c>
      <c r="AA2876">
        <f>IF(AND(ISNUMBER('자료_거시'!$J2858),ISNUMBER('자료_거시'!$K2858)),IFERROR('자료_거시'!$K2858/INDEX($Z$21:$Z$4020,MATCH(EDATE('자료_거시'!$J2858,-'설정'!$B$17),'자료_거시'!$J$3:INDEX('자료_거시'!$J$3:$J$4002,$K$8),1))-1,""),"")</f>
        <v/>
      </c>
      <c r="AB2876">
        <f>IF(ISNUMBER(AA2876),'자료_거시'!$J2858,"")</f>
        <v/>
      </c>
      <c r="AC2876">
        <f>IF(ISNUMBER(AB2876),IF(AB2876&gt;$L$8,AA2876,""),"")</f>
        <v/>
      </c>
    </row>
    <row r="2877">
      <c r="S2877">
        <f>IF(ISNUMBER('자료_거시'!$E2859),'자료_거시'!$E2859,S2876)</f>
        <v/>
      </c>
      <c r="T2877">
        <f>IF(AND(ISNUMBER('자료_거시'!$D2859),ISNUMBER('자료_거시'!$E2859)),IFERROR('자료_거시'!$E2859-INDEX($S$21:$S$4020,MATCH(EDATE('자료_거시'!$D2859,-'설정'!$B$17),'자료_거시'!$D$3:INDEX('자료_거시'!$D$3:$D$4002,$K$6),1)),""),"")</f>
        <v/>
      </c>
      <c r="U2877">
        <f>IF(ISNUMBER(T2877),'자료_거시'!$D2859,"")</f>
        <v/>
      </c>
      <c r="V2877">
        <f>IF(ISNUMBER(U2877),IF(U2877&gt;$L$6,T2877,""),"")</f>
        <v/>
      </c>
      <c r="W2877">
        <f>IF(AND(ISNUMBER('자료_거시'!$G2859),ISNUMBER('자료_거시'!$H2859)),'자료_거시'!$H2859,"")</f>
        <v/>
      </c>
      <c r="X2877">
        <f>IF(ISNUMBER(W2877),'자료_거시'!$G2859,"")</f>
        <v/>
      </c>
      <c r="Y2877">
        <f>IF(ISNUMBER(X2877),IF(X2877&gt;$L$7,W2877,""),"")</f>
        <v/>
      </c>
      <c r="Z2877">
        <f>IF(ISNUMBER('자료_거시'!$K2859),'자료_거시'!$K2859,Z2876)</f>
        <v/>
      </c>
      <c r="AA2877">
        <f>IF(AND(ISNUMBER('자료_거시'!$J2859),ISNUMBER('자료_거시'!$K2859)),IFERROR('자료_거시'!$K2859/INDEX($Z$21:$Z$4020,MATCH(EDATE('자료_거시'!$J2859,-'설정'!$B$17),'자료_거시'!$J$3:INDEX('자료_거시'!$J$3:$J$4002,$K$8),1))-1,""),"")</f>
        <v/>
      </c>
      <c r="AB2877">
        <f>IF(ISNUMBER(AA2877),'자료_거시'!$J2859,"")</f>
        <v/>
      </c>
      <c r="AC2877">
        <f>IF(ISNUMBER(AB2877),IF(AB2877&gt;$L$8,AA2877,""),"")</f>
        <v/>
      </c>
    </row>
    <row r="2878">
      <c r="S2878">
        <f>IF(ISNUMBER('자료_거시'!$E2860),'자료_거시'!$E2860,S2877)</f>
        <v/>
      </c>
      <c r="T2878">
        <f>IF(AND(ISNUMBER('자료_거시'!$D2860),ISNUMBER('자료_거시'!$E2860)),IFERROR('자료_거시'!$E2860-INDEX($S$21:$S$4020,MATCH(EDATE('자료_거시'!$D2860,-'설정'!$B$17),'자료_거시'!$D$3:INDEX('자료_거시'!$D$3:$D$4002,$K$6),1)),""),"")</f>
        <v/>
      </c>
      <c r="U2878">
        <f>IF(ISNUMBER(T2878),'자료_거시'!$D2860,"")</f>
        <v/>
      </c>
      <c r="V2878">
        <f>IF(ISNUMBER(U2878),IF(U2878&gt;$L$6,T2878,""),"")</f>
        <v/>
      </c>
      <c r="W2878">
        <f>IF(AND(ISNUMBER('자료_거시'!$G2860),ISNUMBER('자료_거시'!$H2860)),'자료_거시'!$H2860,"")</f>
        <v/>
      </c>
      <c r="X2878">
        <f>IF(ISNUMBER(W2878),'자료_거시'!$G2860,"")</f>
        <v/>
      </c>
      <c r="Y2878">
        <f>IF(ISNUMBER(X2878),IF(X2878&gt;$L$7,W2878,""),"")</f>
        <v/>
      </c>
      <c r="Z2878">
        <f>IF(ISNUMBER('자료_거시'!$K2860),'자료_거시'!$K2860,Z2877)</f>
        <v/>
      </c>
      <c r="AA2878">
        <f>IF(AND(ISNUMBER('자료_거시'!$J2860),ISNUMBER('자료_거시'!$K2860)),IFERROR('자료_거시'!$K2860/INDEX($Z$21:$Z$4020,MATCH(EDATE('자료_거시'!$J2860,-'설정'!$B$17),'자료_거시'!$J$3:INDEX('자료_거시'!$J$3:$J$4002,$K$8),1))-1,""),"")</f>
        <v/>
      </c>
      <c r="AB2878">
        <f>IF(ISNUMBER(AA2878),'자료_거시'!$J2860,"")</f>
        <v/>
      </c>
      <c r="AC2878">
        <f>IF(ISNUMBER(AB2878),IF(AB2878&gt;$L$8,AA2878,""),"")</f>
        <v/>
      </c>
    </row>
    <row r="2879">
      <c r="S2879">
        <f>IF(ISNUMBER('자료_거시'!$E2861),'자료_거시'!$E2861,S2878)</f>
        <v/>
      </c>
      <c r="T2879">
        <f>IF(AND(ISNUMBER('자료_거시'!$D2861),ISNUMBER('자료_거시'!$E2861)),IFERROR('자료_거시'!$E2861-INDEX($S$21:$S$4020,MATCH(EDATE('자료_거시'!$D2861,-'설정'!$B$17),'자료_거시'!$D$3:INDEX('자료_거시'!$D$3:$D$4002,$K$6),1)),""),"")</f>
        <v/>
      </c>
      <c r="U2879">
        <f>IF(ISNUMBER(T2879),'자료_거시'!$D2861,"")</f>
        <v/>
      </c>
      <c r="V2879">
        <f>IF(ISNUMBER(U2879),IF(U2879&gt;$L$6,T2879,""),"")</f>
        <v/>
      </c>
      <c r="W2879">
        <f>IF(AND(ISNUMBER('자료_거시'!$G2861),ISNUMBER('자료_거시'!$H2861)),'자료_거시'!$H2861,"")</f>
        <v/>
      </c>
      <c r="X2879">
        <f>IF(ISNUMBER(W2879),'자료_거시'!$G2861,"")</f>
        <v/>
      </c>
      <c r="Y2879">
        <f>IF(ISNUMBER(X2879),IF(X2879&gt;$L$7,W2879,""),"")</f>
        <v/>
      </c>
      <c r="Z2879">
        <f>IF(ISNUMBER('자료_거시'!$K2861),'자료_거시'!$K2861,Z2878)</f>
        <v/>
      </c>
      <c r="AA2879">
        <f>IF(AND(ISNUMBER('자료_거시'!$J2861),ISNUMBER('자료_거시'!$K2861)),IFERROR('자료_거시'!$K2861/INDEX($Z$21:$Z$4020,MATCH(EDATE('자료_거시'!$J2861,-'설정'!$B$17),'자료_거시'!$J$3:INDEX('자료_거시'!$J$3:$J$4002,$K$8),1))-1,""),"")</f>
        <v/>
      </c>
      <c r="AB2879">
        <f>IF(ISNUMBER(AA2879),'자료_거시'!$J2861,"")</f>
        <v/>
      </c>
      <c r="AC2879">
        <f>IF(ISNUMBER(AB2879),IF(AB2879&gt;$L$8,AA2879,""),"")</f>
        <v/>
      </c>
    </row>
    <row r="2880">
      <c r="S2880">
        <f>IF(ISNUMBER('자료_거시'!$E2862),'자료_거시'!$E2862,S2879)</f>
        <v/>
      </c>
      <c r="T2880">
        <f>IF(AND(ISNUMBER('자료_거시'!$D2862),ISNUMBER('자료_거시'!$E2862)),IFERROR('자료_거시'!$E2862-INDEX($S$21:$S$4020,MATCH(EDATE('자료_거시'!$D2862,-'설정'!$B$17),'자료_거시'!$D$3:INDEX('자료_거시'!$D$3:$D$4002,$K$6),1)),""),"")</f>
        <v/>
      </c>
      <c r="U2880">
        <f>IF(ISNUMBER(T2880),'자료_거시'!$D2862,"")</f>
        <v/>
      </c>
      <c r="V2880">
        <f>IF(ISNUMBER(U2880),IF(U2880&gt;$L$6,T2880,""),"")</f>
        <v/>
      </c>
      <c r="W2880">
        <f>IF(AND(ISNUMBER('자료_거시'!$G2862),ISNUMBER('자료_거시'!$H2862)),'자료_거시'!$H2862,"")</f>
        <v/>
      </c>
      <c r="X2880">
        <f>IF(ISNUMBER(W2880),'자료_거시'!$G2862,"")</f>
        <v/>
      </c>
      <c r="Y2880">
        <f>IF(ISNUMBER(X2880),IF(X2880&gt;$L$7,W2880,""),"")</f>
        <v/>
      </c>
      <c r="Z2880">
        <f>IF(ISNUMBER('자료_거시'!$K2862),'자료_거시'!$K2862,Z2879)</f>
        <v/>
      </c>
      <c r="AA2880">
        <f>IF(AND(ISNUMBER('자료_거시'!$J2862),ISNUMBER('자료_거시'!$K2862)),IFERROR('자료_거시'!$K2862/INDEX($Z$21:$Z$4020,MATCH(EDATE('자료_거시'!$J2862,-'설정'!$B$17),'자료_거시'!$J$3:INDEX('자료_거시'!$J$3:$J$4002,$K$8),1))-1,""),"")</f>
        <v/>
      </c>
      <c r="AB2880">
        <f>IF(ISNUMBER(AA2880),'자료_거시'!$J2862,"")</f>
        <v/>
      </c>
      <c r="AC2880">
        <f>IF(ISNUMBER(AB2880),IF(AB2880&gt;$L$8,AA2880,""),"")</f>
        <v/>
      </c>
    </row>
    <row r="2881">
      <c r="S2881">
        <f>IF(ISNUMBER('자료_거시'!$E2863),'자료_거시'!$E2863,S2880)</f>
        <v/>
      </c>
      <c r="T2881">
        <f>IF(AND(ISNUMBER('자료_거시'!$D2863),ISNUMBER('자료_거시'!$E2863)),IFERROR('자료_거시'!$E2863-INDEX($S$21:$S$4020,MATCH(EDATE('자료_거시'!$D2863,-'설정'!$B$17),'자료_거시'!$D$3:INDEX('자료_거시'!$D$3:$D$4002,$K$6),1)),""),"")</f>
        <v/>
      </c>
      <c r="U2881">
        <f>IF(ISNUMBER(T2881),'자료_거시'!$D2863,"")</f>
        <v/>
      </c>
      <c r="V2881">
        <f>IF(ISNUMBER(U2881),IF(U2881&gt;$L$6,T2881,""),"")</f>
        <v/>
      </c>
      <c r="W2881">
        <f>IF(AND(ISNUMBER('자료_거시'!$G2863),ISNUMBER('자료_거시'!$H2863)),'자료_거시'!$H2863,"")</f>
        <v/>
      </c>
      <c r="X2881">
        <f>IF(ISNUMBER(W2881),'자료_거시'!$G2863,"")</f>
        <v/>
      </c>
      <c r="Y2881">
        <f>IF(ISNUMBER(X2881),IF(X2881&gt;$L$7,W2881,""),"")</f>
        <v/>
      </c>
      <c r="Z2881">
        <f>IF(ISNUMBER('자료_거시'!$K2863),'자료_거시'!$K2863,Z2880)</f>
        <v/>
      </c>
      <c r="AA2881">
        <f>IF(AND(ISNUMBER('자료_거시'!$J2863),ISNUMBER('자료_거시'!$K2863)),IFERROR('자료_거시'!$K2863/INDEX($Z$21:$Z$4020,MATCH(EDATE('자료_거시'!$J2863,-'설정'!$B$17),'자료_거시'!$J$3:INDEX('자료_거시'!$J$3:$J$4002,$K$8),1))-1,""),"")</f>
        <v/>
      </c>
      <c r="AB2881">
        <f>IF(ISNUMBER(AA2881),'자료_거시'!$J2863,"")</f>
        <v/>
      </c>
      <c r="AC2881">
        <f>IF(ISNUMBER(AB2881),IF(AB2881&gt;$L$8,AA2881,""),"")</f>
        <v/>
      </c>
    </row>
    <row r="2882">
      <c r="S2882">
        <f>IF(ISNUMBER('자료_거시'!$E2864),'자료_거시'!$E2864,S2881)</f>
        <v/>
      </c>
      <c r="T2882">
        <f>IF(AND(ISNUMBER('자료_거시'!$D2864),ISNUMBER('자료_거시'!$E2864)),IFERROR('자료_거시'!$E2864-INDEX($S$21:$S$4020,MATCH(EDATE('자료_거시'!$D2864,-'설정'!$B$17),'자료_거시'!$D$3:INDEX('자료_거시'!$D$3:$D$4002,$K$6),1)),""),"")</f>
        <v/>
      </c>
      <c r="U2882">
        <f>IF(ISNUMBER(T2882),'자료_거시'!$D2864,"")</f>
        <v/>
      </c>
      <c r="V2882">
        <f>IF(ISNUMBER(U2882),IF(U2882&gt;$L$6,T2882,""),"")</f>
        <v/>
      </c>
      <c r="W2882">
        <f>IF(AND(ISNUMBER('자료_거시'!$G2864),ISNUMBER('자료_거시'!$H2864)),'자료_거시'!$H2864,"")</f>
        <v/>
      </c>
      <c r="X2882">
        <f>IF(ISNUMBER(W2882),'자료_거시'!$G2864,"")</f>
        <v/>
      </c>
      <c r="Y2882">
        <f>IF(ISNUMBER(X2882),IF(X2882&gt;$L$7,W2882,""),"")</f>
        <v/>
      </c>
      <c r="Z2882">
        <f>IF(ISNUMBER('자료_거시'!$K2864),'자료_거시'!$K2864,Z2881)</f>
        <v/>
      </c>
      <c r="AA2882">
        <f>IF(AND(ISNUMBER('자료_거시'!$J2864),ISNUMBER('자료_거시'!$K2864)),IFERROR('자료_거시'!$K2864/INDEX($Z$21:$Z$4020,MATCH(EDATE('자료_거시'!$J2864,-'설정'!$B$17),'자료_거시'!$J$3:INDEX('자료_거시'!$J$3:$J$4002,$K$8),1))-1,""),"")</f>
        <v/>
      </c>
      <c r="AB2882">
        <f>IF(ISNUMBER(AA2882),'자료_거시'!$J2864,"")</f>
        <v/>
      </c>
      <c r="AC2882">
        <f>IF(ISNUMBER(AB2882),IF(AB2882&gt;$L$8,AA2882,""),"")</f>
        <v/>
      </c>
    </row>
    <row r="2883">
      <c r="S2883">
        <f>IF(ISNUMBER('자료_거시'!$E2865),'자료_거시'!$E2865,S2882)</f>
        <v/>
      </c>
      <c r="T2883">
        <f>IF(AND(ISNUMBER('자료_거시'!$D2865),ISNUMBER('자료_거시'!$E2865)),IFERROR('자료_거시'!$E2865-INDEX($S$21:$S$4020,MATCH(EDATE('자료_거시'!$D2865,-'설정'!$B$17),'자료_거시'!$D$3:INDEX('자료_거시'!$D$3:$D$4002,$K$6),1)),""),"")</f>
        <v/>
      </c>
      <c r="U2883">
        <f>IF(ISNUMBER(T2883),'자료_거시'!$D2865,"")</f>
        <v/>
      </c>
      <c r="V2883">
        <f>IF(ISNUMBER(U2883),IF(U2883&gt;$L$6,T2883,""),"")</f>
        <v/>
      </c>
      <c r="W2883">
        <f>IF(AND(ISNUMBER('자료_거시'!$G2865),ISNUMBER('자료_거시'!$H2865)),'자료_거시'!$H2865,"")</f>
        <v/>
      </c>
      <c r="X2883">
        <f>IF(ISNUMBER(W2883),'자료_거시'!$G2865,"")</f>
        <v/>
      </c>
      <c r="Y2883">
        <f>IF(ISNUMBER(X2883),IF(X2883&gt;$L$7,W2883,""),"")</f>
        <v/>
      </c>
      <c r="Z2883">
        <f>IF(ISNUMBER('자료_거시'!$K2865),'자료_거시'!$K2865,Z2882)</f>
        <v/>
      </c>
      <c r="AA2883">
        <f>IF(AND(ISNUMBER('자료_거시'!$J2865),ISNUMBER('자료_거시'!$K2865)),IFERROR('자료_거시'!$K2865/INDEX($Z$21:$Z$4020,MATCH(EDATE('자료_거시'!$J2865,-'설정'!$B$17),'자료_거시'!$J$3:INDEX('자료_거시'!$J$3:$J$4002,$K$8),1))-1,""),"")</f>
        <v/>
      </c>
      <c r="AB2883">
        <f>IF(ISNUMBER(AA2883),'자료_거시'!$J2865,"")</f>
        <v/>
      </c>
      <c r="AC2883">
        <f>IF(ISNUMBER(AB2883),IF(AB2883&gt;$L$8,AA2883,""),"")</f>
        <v/>
      </c>
    </row>
    <row r="2884">
      <c r="S2884">
        <f>IF(ISNUMBER('자료_거시'!$E2866),'자료_거시'!$E2866,S2883)</f>
        <v/>
      </c>
      <c r="T2884">
        <f>IF(AND(ISNUMBER('자료_거시'!$D2866),ISNUMBER('자료_거시'!$E2866)),IFERROR('자료_거시'!$E2866-INDEX($S$21:$S$4020,MATCH(EDATE('자료_거시'!$D2866,-'설정'!$B$17),'자료_거시'!$D$3:INDEX('자료_거시'!$D$3:$D$4002,$K$6),1)),""),"")</f>
        <v/>
      </c>
      <c r="U2884">
        <f>IF(ISNUMBER(T2884),'자료_거시'!$D2866,"")</f>
        <v/>
      </c>
      <c r="V2884">
        <f>IF(ISNUMBER(U2884),IF(U2884&gt;$L$6,T2884,""),"")</f>
        <v/>
      </c>
      <c r="W2884">
        <f>IF(AND(ISNUMBER('자료_거시'!$G2866),ISNUMBER('자료_거시'!$H2866)),'자료_거시'!$H2866,"")</f>
        <v/>
      </c>
      <c r="X2884">
        <f>IF(ISNUMBER(W2884),'자료_거시'!$G2866,"")</f>
        <v/>
      </c>
      <c r="Y2884">
        <f>IF(ISNUMBER(X2884),IF(X2884&gt;$L$7,W2884,""),"")</f>
        <v/>
      </c>
      <c r="Z2884">
        <f>IF(ISNUMBER('자료_거시'!$K2866),'자료_거시'!$K2866,Z2883)</f>
        <v/>
      </c>
      <c r="AA2884">
        <f>IF(AND(ISNUMBER('자료_거시'!$J2866),ISNUMBER('자료_거시'!$K2866)),IFERROR('자료_거시'!$K2866/INDEX($Z$21:$Z$4020,MATCH(EDATE('자료_거시'!$J2866,-'설정'!$B$17),'자료_거시'!$J$3:INDEX('자료_거시'!$J$3:$J$4002,$K$8),1))-1,""),"")</f>
        <v/>
      </c>
      <c r="AB2884">
        <f>IF(ISNUMBER(AA2884),'자료_거시'!$J2866,"")</f>
        <v/>
      </c>
      <c r="AC2884">
        <f>IF(ISNUMBER(AB2884),IF(AB2884&gt;$L$8,AA2884,""),"")</f>
        <v/>
      </c>
    </row>
    <row r="2885">
      <c r="S2885">
        <f>IF(ISNUMBER('자료_거시'!$E2867),'자료_거시'!$E2867,S2884)</f>
        <v/>
      </c>
      <c r="T2885">
        <f>IF(AND(ISNUMBER('자료_거시'!$D2867),ISNUMBER('자료_거시'!$E2867)),IFERROR('자료_거시'!$E2867-INDEX($S$21:$S$4020,MATCH(EDATE('자료_거시'!$D2867,-'설정'!$B$17),'자료_거시'!$D$3:INDEX('자료_거시'!$D$3:$D$4002,$K$6),1)),""),"")</f>
        <v/>
      </c>
      <c r="U2885">
        <f>IF(ISNUMBER(T2885),'자료_거시'!$D2867,"")</f>
        <v/>
      </c>
      <c r="V2885">
        <f>IF(ISNUMBER(U2885),IF(U2885&gt;$L$6,T2885,""),"")</f>
        <v/>
      </c>
      <c r="W2885">
        <f>IF(AND(ISNUMBER('자료_거시'!$G2867),ISNUMBER('자료_거시'!$H2867)),'자료_거시'!$H2867,"")</f>
        <v/>
      </c>
      <c r="X2885">
        <f>IF(ISNUMBER(W2885),'자료_거시'!$G2867,"")</f>
        <v/>
      </c>
      <c r="Y2885">
        <f>IF(ISNUMBER(X2885),IF(X2885&gt;$L$7,W2885,""),"")</f>
        <v/>
      </c>
      <c r="Z2885">
        <f>IF(ISNUMBER('자료_거시'!$K2867),'자료_거시'!$K2867,Z2884)</f>
        <v/>
      </c>
      <c r="AA2885">
        <f>IF(AND(ISNUMBER('자료_거시'!$J2867),ISNUMBER('자료_거시'!$K2867)),IFERROR('자료_거시'!$K2867/INDEX($Z$21:$Z$4020,MATCH(EDATE('자료_거시'!$J2867,-'설정'!$B$17),'자료_거시'!$J$3:INDEX('자료_거시'!$J$3:$J$4002,$K$8),1))-1,""),"")</f>
        <v/>
      </c>
      <c r="AB2885">
        <f>IF(ISNUMBER(AA2885),'자료_거시'!$J2867,"")</f>
        <v/>
      </c>
      <c r="AC2885">
        <f>IF(ISNUMBER(AB2885),IF(AB2885&gt;$L$8,AA2885,""),"")</f>
        <v/>
      </c>
    </row>
    <row r="2886">
      <c r="S2886">
        <f>IF(ISNUMBER('자료_거시'!$E2868),'자료_거시'!$E2868,S2885)</f>
        <v/>
      </c>
      <c r="T2886">
        <f>IF(AND(ISNUMBER('자료_거시'!$D2868),ISNUMBER('자료_거시'!$E2868)),IFERROR('자료_거시'!$E2868-INDEX($S$21:$S$4020,MATCH(EDATE('자료_거시'!$D2868,-'설정'!$B$17),'자료_거시'!$D$3:INDEX('자료_거시'!$D$3:$D$4002,$K$6),1)),""),"")</f>
        <v/>
      </c>
      <c r="U2886">
        <f>IF(ISNUMBER(T2886),'자료_거시'!$D2868,"")</f>
        <v/>
      </c>
      <c r="V2886">
        <f>IF(ISNUMBER(U2886),IF(U2886&gt;$L$6,T2886,""),"")</f>
        <v/>
      </c>
      <c r="W2886">
        <f>IF(AND(ISNUMBER('자료_거시'!$G2868),ISNUMBER('자료_거시'!$H2868)),'자료_거시'!$H2868,"")</f>
        <v/>
      </c>
      <c r="X2886">
        <f>IF(ISNUMBER(W2886),'자료_거시'!$G2868,"")</f>
        <v/>
      </c>
      <c r="Y2886">
        <f>IF(ISNUMBER(X2886),IF(X2886&gt;$L$7,W2886,""),"")</f>
        <v/>
      </c>
      <c r="Z2886">
        <f>IF(ISNUMBER('자료_거시'!$K2868),'자료_거시'!$K2868,Z2885)</f>
        <v/>
      </c>
      <c r="AA2886">
        <f>IF(AND(ISNUMBER('자료_거시'!$J2868),ISNUMBER('자료_거시'!$K2868)),IFERROR('자료_거시'!$K2868/INDEX($Z$21:$Z$4020,MATCH(EDATE('자료_거시'!$J2868,-'설정'!$B$17),'자료_거시'!$J$3:INDEX('자료_거시'!$J$3:$J$4002,$K$8),1))-1,""),"")</f>
        <v/>
      </c>
      <c r="AB2886">
        <f>IF(ISNUMBER(AA2886),'자료_거시'!$J2868,"")</f>
        <v/>
      </c>
      <c r="AC2886">
        <f>IF(ISNUMBER(AB2886),IF(AB2886&gt;$L$8,AA2886,""),"")</f>
        <v/>
      </c>
    </row>
    <row r="2887">
      <c r="S2887">
        <f>IF(ISNUMBER('자료_거시'!$E2869),'자료_거시'!$E2869,S2886)</f>
        <v/>
      </c>
      <c r="T2887">
        <f>IF(AND(ISNUMBER('자료_거시'!$D2869),ISNUMBER('자료_거시'!$E2869)),IFERROR('자료_거시'!$E2869-INDEX($S$21:$S$4020,MATCH(EDATE('자료_거시'!$D2869,-'설정'!$B$17),'자료_거시'!$D$3:INDEX('자료_거시'!$D$3:$D$4002,$K$6),1)),""),"")</f>
        <v/>
      </c>
      <c r="U2887">
        <f>IF(ISNUMBER(T2887),'자료_거시'!$D2869,"")</f>
        <v/>
      </c>
      <c r="V2887">
        <f>IF(ISNUMBER(U2887),IF(U2887&gt;$L$6,T2887,""),"")</f>
        <v/>
      </c>
      <c r="W2887">
        <f>IF(AND(ISNUMBER('자료_거시'!$G2869),ISNUMBER('자료_거시'!$H2869)),'자료_거시'!$H2869,"")</f>
        <v/>
      </c>
      <c r="X2887">
        <f>IF(ISNUMBER(W2887),'자료_거시'!$G2869,"")</f>
        <v/>
      </c>
      <c r="Y2887">
        <f>IF(ISNUMBER(X2887),IF(X2887&gt;$L$7,W2887,""),"")</f>
        <v/>
      </c>
      <c r="Z2887">
        <f>IF(ISNUMBER('자료_거시'!$K2869),'자료_거시'!$K2869,Z2886)</f>
        <v/>
      </c>
      <c r="AA2887">
        <f>IF(AND(ISNUMBER('자료_거시'!$J2869),ISNUMBER('자료_거시'!$K2869)),IFERROR('자료_거시'!$K2869/INDEX($Z$21:$Z$4020,MATCH(EDATE('자료_거시'!$J2869,-'설정'!$B$17),'자료_거시'!$J$3:INDEX('자료_거시'!$J$3:$J$4002,$K$8),1))-1,""),"")</f>
        <v/>
      </c>
      <c r="AB2887">
        <f>IF(ISNUMBER(AA2887),'자료_거시'!$J2869,"")</f>
        <v/>
      </c>
      <c r="AC2887">
        <f>IF(ISNUMBER(AB2887),IF(AB2887&gt;$L$8,AA2887,""),"")</f>
        <v/>
      </c>
    </row>
    <row r="2888">
      <c r="S2888">
        <f>IF(ISNUMBER('자료_거시'!$E2870),'자료_거시'!$E2870,S2887)</f>
        <v/>
      </c>
      <c r="T2888">
        <f>IF(AND(ISNUMBER('자료_거시'!$D2870),ISNUMBER('자료_거시'!$E2870)),IFERROR('자료_거시'!$E2870-INDEX($S$21:$S$4020,MATCH(EDATE('자료_거시'!$D2870,-'설정'!$B$17),'자료_거시'!$D$3:INDEX('자료_거시'!$D$3:$D$4002,$K$6),1)),""),"")</f>
        <v/>
      </c>
      <c r="U2888">
        <f>IF(ISNUMBER(T2888),'자료_거시'!$D2870,"")</f>
        <v/>
      </c>
      <c r="V2888">
        <f>IF(ISNUMBER(U2888),IF(U2888&gt;$L$6,T2888,""),"")</f>
        <v/>
      </c>
      <c r="W2888">
        <f>IF(AND(ISNUMBER('자료_거시'!$G2870),ISNUMBER('자료_거시'!$H2870)),'자료_거시'!$H2870,"")</f>
        <v/>
      </c>
      <c r="X2888">
        <f>IF(ISNUMBER(W2888),'자료_거시'!$G2870,"")</f>
        <v/>
      </c>
      <c r="Y2888">
        <f>IF(ISNUMBER(X2888),IF(X2888&gt;$L$7,W2888,""),"")</f>
        <v/>
      </c>
      <c r="Z2888">
        <f>IF(ISNUMBER('자료_거시'!$K2870),'자료_거시'!$K2870,Z2887)</f>
        <v/>
      </c>
      <c r="AA2888">
        <f>IF(AND(ISNUMBER('자료_거시'!$J2870),ISNUMBER('자료_거시'!$K2870)),IFERROR('자료_거시'!$K2870/INDEX($Z$21:$Z$4020,MATCH(EDATE('자료_거시'!$J2870,-'설정'!$B$17),'자료_거시'!$J$3:INDEX('자료_거시'!$J$3:$J$4002,$K$8),1))-1,""),"")</f>
        <v/>
      </c>
      <c r="AB2888">
        <f>IF(ISNUMBER(AA2888),'자료_거시'!$J2870,"")</f>
        <v/>
      </c>
      <c r="AC2888">
        <f>IF(ISNUMBER(AB2888),IF(AB2888&gt;$L$8,AA2888,""),"")</f>
        <v/>
      </c>
    </row>
    <row r="2889">
      <c r="S2889">
        <f>IF(ISNUMBER('자료_거시'!$E2871),'자료_거시'!$E2871,S2888)</f>
        <v/>
      </c>
      <c r="T2889">
        <f>IF(AND(ISNUMBER('자료_거시'!$D2871),ISNUMBER('자료_거시'!$E2871)),IFERROR('자료_거시'!$E2871-INDEX($S$21:$S$4020,MATCH(EDATE('자료_거시'!$D2871,-'설정'!$B$17),'자료_거시'!$D$3:INDEX('자료_거시'!$D$3:$D$4002,$K$6),1)),""),"")</f>
        <v/>
      </c>
      <c r="U2889">
        <f>IF(ISNUMBER(T2889),'자료_거시'!$D2871,"")</f>
        <v/>
      </c>
      <c r="V2889">
        <f>IF(ISNUMBER(U2889),IF(U2889&gt;$L$6,T2889,""),"")</f>
        <v/>
      </c>
      <c r="W2889">
        <f>IF(AND(ISNUMBER('자료_거시'!$G2871),ISNUMBER('자료_거시'!$H2871)),'자료_거시'!$H2871,"")</f>
        <v/>
      </c>
      <c r="X2889">
        <f>IF(ISNUMBER(W2889),'자료_거시'!$G2871,"")</f>
        <v/>
      </c>
      <c r="Y2889">
        <f>IF(ISNUMBER(X2889),IF(X2889&gt;$L$7,W2889,""),"")</f>
        <v/>
      </c>
      <c r="Z2889">
        <f>IF(ISNUMBER('자료_거시'!$K2871),'자료_거시'!$K2871,Z2888)</f>
        <v/>
      </c>
      <c r="AA2889">
        <f>IF(AND(ISNUMBER('자료_거시'!$J2871),ISNUMBER('자료_거시'!$K2871)),IFERROR('자료_거시'!$K2871/INDEX($Z$21:$Z$4020,MATCH(EDATE('자료_거시'!$J2871,-'설정'!$B$17),'자료_거시'!$J$3:INDEX('자료_거시'!$J$3:$J$4002,$K$8),1))-1,""),"")</f>
        <v/>
      </c>
      <c r="AB2889">
        <f>IF(ISNUMBER(AA2889),'자료_거시'!$J2871,"")</f>
        <v/>
      </c>
      <c r="AC2889">
        <f>IF(ISNUMBER(AB2889),IF(AB2889&gt;$L$8,AA2889,""),"")</f>
        <v/>
      </c>
    </row>
    <row r="2890">
      <c r="S2890">
        <f>IF(ISNUMBER('자료_거시'!$E2872),'자료_거시'!$E2872,S2889)</f>
        <v/>
      </c>
      <c r="T2890">
        <f>IF(AND(ISNUMBER('자료_거시'!$D2872),ISNUMBER('자료_거시'!$E2872)),IFERROR('자료_거시'!$E2872-INDEX($S$21:$S$4020,MATCH(EDATE('자료_거시'!$D2872,-'설정'!$B$17),'자료_거시'!$D$3:INDEX('자료_거시'!$D$3:$D$4002,$K$6),1)),""),"")</f>
        <v/>
      </c>
      <c r="U2890">
        <f>IF(ISNUMBER(T2890),'자료_거시'!$D2872,"")</f>
        <v/>
      </c>
      <c r="V2890">
        <f>IF(ISNUMBER(U2890),IF(U2890&gt;$L$6,T2890,""),"")</f>
        <v/>
      </c>
      <c r="W2890">
        <f>IF(AND(ISNUMBER('자료_거시'!$G2872),ISNUMBER('자료_거시'!$H2872)),'자료_거시'!$H2872,"")</f>
        <v/>
      </c>
      <c r="X2890">
        <f>IF(ISNUMBER(W2890),'자료_거시'!$G2872,"")</f>
        <v/>
      </c>
      <c r="Y2890">
        <f>IF(ISNUMBER(X2890),IF(X2890&gt;$L$7,W2890,""),"")</f>
        <v/>
      </c>
      <c r="Z2890">
        <f>IF(ISNUMBER('자료_거시'!$K2872),'자료_거시'!$K2872,Z2889)</f>
        <v/>
      </c>
      <c r="AA2890">
        <f>IF(AND(ISNUMBER('자료_거시'!$J2872),ISNUMBER('자료_거시'!$K2872)),IFERROR('자료_거시'!$K2872/INDEX($Z$21:$Z$4020,MATCH(EDATE('자료_거시'!$J2872,-'설정'!$B$17),'자료_거시'!$J$3:INDEX('자료_거시'!$J$3:$J$4002,$K$8),1))-1,""),"")</f>
        <v/>
      </c>
      <c r="AB2890">
        <f>IF(ISNUMBER(AA2890),'자료_거시'!$J2872,"")</f>
        <v/>
      </c>
      <c r="AC2890">
        <f>IF(ISNUMBER(AB2890),IF(AB2890&gt;$L$8,AA2890,""),"")</f>
        <v/>
      </c>
    </row>
    <row r="2891">
      <c r="S2891">
        <f>IF(ISNUMBER('자료_거시'!$E2873),'자료_거시'!$E2873,S2890)</f>
        <v/>
      </c>
      <c r="T2891">
        <f>IF(AND(ISNUMBER('자료_거시'!$D2873),ISNUMBER('자료_거시'!$E2873)),IFERROR('자료_거시'!$E2873-INDEX($S$21:$S$4020,MATCH(EDATE('자료_거시'!$D2873,-'설정'!$B$17),'자료_거시'!$D$3:INDEX('자료_거시'!$D$3:$D$4002,$K$6),1)),""),"")</f>
        <v/>
      </c>
      <c r="U2891">
        <f>IF(ISNUMBER(T2891),'자료_거시'!$D2873,"")</f>
        <v/>
      </c>
      <c r="V2891">
        <f>IF(ISNUMBER(U2891),IF(U2891&gt;$L$6,T2891,""),"")</f>
        <v/>
      </c>
      <c r="W2891">
        <f>IF(AND(ISNUMBER('자료_거시'!$G2873),ISNUMBER('자료_거시'!$H2873)),'자료_거시'!$H2873,"")</f>
        <v/>
      </c>
      <c r="X2891">
        <f>IF(ISNUMBER(W2891),'자료_거시'!$G2873,"")</f>
        <v/>
      </c>
      <c r="Y2891">
        <f>IF(ISNUMBER(X2891),IF(X2891&gt;$L$7,W2891,""),"")</f>
        <v/>
      </c>
      <c r="Z2891">
        <f>IF(ISNUMBER('자료_거시'!$K2873),'자료_거시'!$K2873,Z2890)</f>
        <v/>
      </c>
      <c r="AA2891">
        <f>IF(AND(ISNUMBER('자료_거시'!$J2873),ISNUMBER('자료_거시'!$K2873)),IFERROR('자료_거시'!$K2873/INDEX($Z$21:$Z$4020,MATCH(EDATE('자료_거시'!$J2873,-'설정'!$B$17),'자료_거시'!$J$3:INDEX('자료_거시'!$J$3:$J$4002,$K$8),1))-1,""),"")</f>
        <v/>
      </c>
      <c r="AB2891">
        <f>IF(ISNUMBER(AA2891),'자료_거시'!$J2873,"")</f>
        <v/>
      </c>
      <c r="AC2891">
        <f>IF(ISNUMBER(AB2891),IF(AB2891&gt;$L$8,AA2891,""),"")</f>
        <v/>
      </c>
    </row>
    <row r="2892">
      <c r="S2892">
        <f>IF(ISNUMBER('자료_거시'!$E2874),'자료_거시'!$E2874,S2891)</f>
        <v/>
      </c>
      <c r="T2892">
        <f>IF(AND(ISNUMBER('자료_거시'!$D2874),ISNUMBER('자료_거시'!$E2874)),IFERROR('자료_거시'!$E2874-INDEX($S$21:$S$4020,MATCH(EDATE('자료_거시'!$D2874,-'설정'!$B$17),'자료_거시'!$D$3:INDEX('자료_거시'!$D$3:$D$4002,$K$6),1)),""),"")</f>
        <v/>
      </c>
      <c r="U2892">
        <f>IF(ISNUMBER(T2892),'자료_거시'!$D2874,"")</f>
        <v/>
      </c>
      <c r="V2892">
        <f>IF(ISNUMBER(U2892),IF(U2892&gt;$L$6,T2892,""),"")</f>
        <v/>
      </c>
      <c r="W2892">
        <f>IF(AND(ISNUMBER('자료_거시'!$G2874),ISNUMBER('자료_거시'!$H2874)),'자료_거시'!$H2874,"")</f>
        <v/>
      </c>
      <c r="X2892">
        <f>IF(ISNUMBER(W2892),'자료_거시'!$G2874,"")</f>
        <v/>
      </c>
      <c r="Y2892">
        <f>IF(ISNUMBER(X2892),IF(X2892&gt;$L$7,W2892,""),"")</f>
        <v/>
      </c>
      <c r="Z2892">
        <f>IF(ISNUMBER('자료_거시'!$K2874),'자료_거시'!$K2874,Z2891)</f>
        <v/>
      </c>
      <c r="AA2892">
        <f>IF(AND(ISNUMBER('자료_거시'!$J2874),ISNUMBER('자료_거시'!$K2874)),IFERROR('자료_거시'!$K2874/INDEX($Z$21:$Z$4020,MATCH(EDATE('자료_거시'!$J2874,-'설정'!$B$17),'자료_거시'!$J$3:INDEX('자료_거시'!$J$3:$J$4002,$K$8),1))-1,""),"")</f>
        <v/>
      </c>
      <c r="AB2892">
        <f>IF(ISNUMBER(AA2892),'자료_거시'!$J2874,"")</f>
        <v/>
      </c>
      <c r="AC2892">
        <f>IF(ISNUMBER(AB2892),IF(AB2892&gt;$L$8,AA2892,""),"")</f>
        <v/>
      </c>
    </row>
    <row r="2893">
      <c r="S2893">
        <f>IF(ISNUMBER('자료_거시'!$E2875),'자료_거시'!$E2875,S2892)</f>
        <v/>
      </c>
      <c r="T2893">
        <f>IF(AND(ISNUMBER('자료_거시'!$D2875),ISNUMBER('자료_거시'!$E2875)),IFERROR('자료_거시'!$E2875-INDEX($S$21:$S$4020,MATCH(EDATE('자료_거시'!$D2875,-'설정'!$B$17),'자료_거시'!$D$3:INDEX('자료_거시'!$D$3:$D$4002,$K$6),1)),""),"")</f>
        <v/>
      </c>
      <c r="U2893">
        <f>IF(ISNUMBER(T2893),'자료_거시'!$D2875,"")</f>
        <v/>
      </c>
      <c r="V2893">
        <f>IF(ISNUMBER(U2893),IF(U2893&gt;$L$6,T2893,""),"")</f>
        <v/>
      </c>
      <c r="W2893">
        <f>IF(AND(ISNUMBER('자료_거시'!$G2875),ISNUMBER('자료_거시'!$H2875)),'자료_거시'!$H2875,"")</f>
        <v/>
      </c>
      <c r="X2893">
        <f>IF(ISNUMBER(W2893),'자료_거시'!$G2875,"")</f>
        <v/>
      </c>
      <c r="Y2893">
        <f>IF(ISNUMBER(X2893),IF(X2893&gt;$L$7,W2893,""),"")</f>
        <v/>
      </c>
      <c r="Z2893">
        <f>IF(ISNUMBER('자료_거시'!$K2875),'자료_거시'!$K2875,Z2892)</f>
        <v/>
      </c>
      <c r="AA2893">
        <f>IF(AND(ISNUMBER('자료_거시'!$J2875),ISNUMBER('자료_거시'!$K2875)),IFERROR('자료_거시'!$K2875/INDEX($Z$21:$Z$4020,MATCH(EDATE('자료_거시'!$J2875,-'설정'!$B$17),'자료_거시'!$J$3:INDEX('자료_거시'!$J$3:$J$4002,$K$8),1))-1,""),"")</f>
        <v/>
      </c>
      <c r="AB2893">
        <f>IF(ISNUMBER(AA2893),'자료_거시'!$J2875,"")</f>
        <v/>
      </c>
      <c r="AC2893">
        <f>IF(ISNUMBER(AB2893),IF(AB2893&gt;$L$8,AA2893,""),"")</f>
        <v/>
      </c>
    </row>
    <row r="2894">
      <c r="S2894">
        <f>IF(ISNUMBER('자료_거시'!$E2876),'자료_거시'!$E2876,S2893)</f>
        <v/>
      </c>
      <c r="T2894">
        <f>IF(AND(ISNUMBER('자료_거시'!$D2876),ISNUMBER('자료_거시'!$E2876)),IFERROR('자료_거시'!$E2876-INDEX($S$21:$S$4020,MATCH(EDATE('자료_거시'!$D2876,-'설정'!$B$17),'자료_거시'!$D$3:INDEX('자료_거시'!$D$3:$D$4002,$K$6),1)),""),"")</f>
        <v/>
      </c>
      <c r="U2894">
        <f>IF(ISNUMBER(T2894),'자료_거시'!$D2876,"")</f>
        <v/>
      </c>
      <c r="V2894">
        <f>IF(ISNUMBER(U2894),IF(U2894&gt;$L$6,T2894,""),"")</f>
        <v/>
      </c>
      <c r="W2894">
        <f>IF(AND(ISNUMBER('자료_거시'!$G2876),ISNUMBER('자료_거시'!$H2876)),'자료_거시'!$H2876,"")</f>
        <v/>
      </c>
      <c r="X2894">
        <f>IF(ISNUMBER(W2894),'자료_거시'!$G2876,"")</f>
        <v/>
      </c>
      <c r="Y2894">
        <f>IF(ISNUMBER(X2894),IF(X2894&gt;$L$7,W2894,""),"")</f>
        <v/>
      </c>
      <c r="Z2894">
        <f>IF(ISNUMBER('자료_거시'!$K2876),'자료_거시'!$K2876,Z2893)</f>
        <v/>
      </c>
      <c r="AA2894">
        <f>IF(AND(ISNUMBER('자료_거시'!$J2876),ISNUMBER('자료_거시'!$K2876)),IFERROR('자료_거시'!$K2876/INDEX($Z$21:$Z$4020,MATCH(EDATE('자료_거시'!$J2876,-'설정'!$B$17),'자료_거시'!$J$3:INDEX('자료_거시'!$J$3:$J$4002,$K$8),1))-1,""),"")</f>
        <v/>
      </c>
      <c r="AB2894">
        <f>IF(ISNUMBER(AA2894),'자료_거시'!$J2876,"")</f>
        <v/>
      </c>
      <c r="AC2894">
        <f>IF(ISNUMBER(AB2894),IF(AB2894&gt;$L$8,AA2894,""),"")</f>
        <v/>
      </c>
    </row>
    <row r="2895">
      <c r="S2895">
        <f>IF(ISNUMBER('자료_거시'!$E2877),'자료_거시'!$E2877,S2894)</f>
        <v/>
      </c>
      <c r="T2895">
        <f>IF(AND(ISNUMBER('자료_거시'!$D2877),ISNUMBER('자료_거시'!$E2877)),IFERROR('자료_거시'!$E2877-INDEX($S$21:$S$4020,MATCH(EDATE('자료_거시'!$D2877,-'설정'!$B$17),'자료_거시'!$D$3:INDEX('자료_거시'!$D$3:$D$4002,$K$6),1)),""),"")</f>
        <v/>
      </c>
      <c r="U2895">
        <f>IF(ISNUMBER(T2895),'자료_거시'!$D2877,"")</f>
        <v/>
      </c>
      <c r="V2895">
        <f>IF(ISNUMBER(U2895),IF(U2895&gt;$L$6,T2895,""),"")</f>
        <v/>
      </c>
      <c r="W2895">
        <f>IF(AND(ISNUMBER('자료_거시'!$G2877),ISNUMBER('자료_거시'!$H2877)),'자료_거시'!$H2877,"")</f>
        <v/>
      </c>
      <c r="X2895">
        <f>IF(ISNUMBER(W2895),'자료_거시'!$G2877,"")</f>
        <v/>
      </c>
      <c r="Y2895">
        <f>IF(ISNUMBER(X2895),IF(X2895&gt;$L$7,W2895,""),"")</f>
        <v/>
      </c>
      <c r="Z2895">
        <f>IF(ISNUMBER('자료_거시'!$K2877),'자료_거시'!$K2877,Z2894)</f>
        <v/>
      </c>
      <c r="AA2895">
        <f>IF(AND(ISNUMBER('자료_거시'!$J2877),ISNUMBER('자료_거시'!$K2877)),IFERROR('자료_거시'!$K2877/INDEX($Z$21:$Z$4020,MATCH(EDATE('자료_거시'!$J2877,-'설정'!$B$17),'자료_거시'!$J$3:INDEX('자료_거시'!$J$3:$J$4002,$K$8),1))-1,""),"")</f>
        <v/>
      </c>
      <c r="AB2895">
        <f>IF(ISNUMBER(AA2895),'자료_거시'!$J2877,"")</f>
        <v/>
      </c>
      <c r="AC2895">
        <f>IF(ISNUMBER(AB2895),IF(AB2895&gt;$L$8,AA2895,""),"")</f>
        <v/>
      </c>
    </row>
    <row r="2896">
      <c r="S2896">
        <f>IF(ISNUMBER('자료_거시'!$E2878),'자료_거시'!$E2878,S2895)</f>
        <v/>
      </c>
      <c r="T2896">
        <f>IF(AND(ISNUMBER('자료_거시'!$D2878),ISNUMBER('자료_거시'!$E2878)),IFERROR('자료_거시'!$E2878-INDEX($S$21:$S$4020,MATCH(EDATE('자료_거시'!$D2878,-'설정'!$B$17),'자료_거시'!$D$3:INDEX('자료_거시'!$D$3:$D$4002,$K$6),1)),""),"")</f>
        <v/>
      </c>
      <c r="U2896">
        <f>IF(ISNUMBER(T2896),'자료_거시'!$D2878,"")</f>
        <v/>
      </c>
      <c r="V2896">
        <f>IF(ISNUMBER(U2896),IF(U2896&gt;$L$6,T2896,""),"")</f>
        <v/>
      </c>
      <c r="W2896">
        <f>IF(AND(ISNUMBER('자료_거시'!$G2878),ISNUMBER('자료_거시'!$H2878)),'자료_거시'!$H2878,"")</f>
        <v/>
      </c>
      <c r="X2896">
        <f>IF(ISNUMBER(W2896),'자료_거시'!$G2878,"")</f>
        <v/>
      </c>
      <c r="Y2896">
        <f>IF(ISNUMBER(X2896),IF(X2896&gt;$L$7,W2896,""),"")</f>
        <v/>
      </c>
      <c r="Z2896">
        <f>IF(ISNUMBER('자료_거시'!$K2878),'자료_거시'!$K2878,Z2895)</f>
        <v/>
      </c>
      <c r="AA2896">
        <f>IF(AND(ISNUMBER('자료_거시'!$J2878),ISNUMBER('자료_거시'!$K2878)),IFERROR('자료_거시'!$K2878/INDEX($Z$21:$Z$4020,MATCH(EDATE('자료_거시'!$J2878,-'설정'!$B$17),'자료_거시'!$J$3:INDEX('자료_거시'!$J$3:$J$4002,$K$8),1))-1,""),"")</f>
        <v/>
      </c>
      <c r="AB2896">
        <f>IF(ISNUMBER(AA2896),'자료_거시'!$J2878,"")</f>
        <v/>
      </c>
      <c r="AC2896">
        <f>IF(ISNUMBER(AB2896),IF(AB2896&gt;$L$8,AA2896,""),"")</f>
        <v/>
      </c>
    </row>
    <row r="2897">
      <c r="S2897">
        <f>IF(ISNUMBER('자료_거시'!$E2879),'자료_거시'!$E2879,S2896)</f>
        <v/>
      </c>
      <c r="T2897">
        <f>IF(AND(ISNUMBER('자료_거시'!$D2879),ISNUMBER('자료_거시'!$E2879)),IFERROR('자료_거시'!$E2879-INDEX($S$21:$S$4020,MATCH(EDATE('자료_거시'!$D2879,-'설정'!$B$17),'자료_거시'!$D$3:INDEX('자료_거시'!$D$3:$D$4002,$K$6),1)),""),"")</f>
        <v/>
      </c>
      <c r="U2897">
        <f>IF(ISNUMBER(T2897),'자료_거시'!$D2879,"")</f>
        <v/>
      </c>
      <c r="V2897">
        <f>IF(ISNUMBER(U2897),IF(U2897&gt;$L$6,T2897,""),"")</f>
        <v/>
      </c>
      <c r="W2897">
        <f>IF(AND(ISNUMBER('자료_거시'!$G2879),ISNUMBER('자료_거시'!$H2879)),'자료_거시'!$H2879,"")</f>
        <v/>
      </c>
      <c r="X2897">
        <f>IF(ISNUMBER(W2897),'자료_거시'!$G2879,"")</f>
        <v/>
      </c>
      <c r="Y2897">
        <f>IF(ISNUMBER(X2897),IF(X2897&gt;$L$7,W2897,""),"")</f>
        <v/>
      </c>
      <c r="Z2897">
        <f>IF(ISNUMBER('자료_거시'!$K2879),'자료_거시'!$K2879,Z2896)</f>
        <v/>
      </c>
      <c r="AA2897">
        <f>IF(AND(ISNUMBER('자료_거시'!$J2879),ISNUMBER('자료_거시'!$K2879)),IFERROR('자료_거시'!$K2879/INDEX($Z$21:$Z$4020,MATCH(EDATE('자료_거시'!$J2879,-'설정'!$B$17),'자료_거시'!$J$3:INDEX('자료_거시'!$J$3:$J$4002,$K$8),1))-1,""),"")</f>
        <v/>
      </c>
      <c r="AB2897">
        <f>IF(ISNUMBER(AA2897),'자료_거시'!$J2879,"")</f>
        <v/>
      </c>
      <c r="AC2897">
        <f>IF(ISNUMBER(AB2897),IF(AB2897&gt;$L$8,AA2897,""),"")</f>
        <v/>
      </c>
    </row>
    <row r="2898">
      <c r="S2898">
        <f>IF(ISNUMBER('자료_거시'!$E2880),'자료_거시'!$E2880,S2897)</f>
        <v/>
      </c>
      <c r="T2898">
        <f>IF(AND(ISNUMBER('자료_거시'!$D2880),ISNUMBER('자료_거시'!$E2880)),IFERROR('자료_거시'!$E2880-INDEX($S$21:$S$4020,MATCH(EDATE('자료_거시'!$D2880,-'설정'!$B$17),'자료_거시'!$D$3:INDEX('자료_거시'!$D$3:$D$4002,$K$6),1)),""),"")</f>
        <v/>
      </c>
      <c r="U2898">
        <f>IF(ISNUMBER(T2898),'자료_거시'!$D2880,"")</f>
        <v/>
      </c>
      <c r="V2898">
        <f>IF(ISNUMBER(U2898),IF(U2898&gt;$L$6,T2898,""),"")</f>
        <v/>
      </c>
      <c r="W2898">
        <f>IF(AND(ISNUMBER('자료_거시'!$G2880),ISNUMBER('자료_거시'!$H2880)),'자료_거시'!$H2880,"")</f>
        <v/>
      </c>
      <c r="X2898">
        <f>IF(ISNUMBER(W2898),'자료_거시'!$G2880,"")</f>
        <v/>
      </c>
      <c r="Y2898">
        <f>IF(ISNUMBER(X2898),IF(X2898&gt;$L$7,W2898,""),"")</f>
        <v/>
      </c>
      <c r="Z2898">
        <f>IF(ISNUMBER('자료_거시'!$K2880),'자료_거시'!$K2880,Z2897)</f>
        <v/>
      </c>
      <c r="AA2898">
        <f>IF(AND(ISNUMBER('자료_거시'!$J2880),ISNUMBER('자료_거시'!$K2880)),IFERROR('자료_거시'!$K2880/INDEX($Z$21:$Z$4020,MATCH(EDATE('자료_거시'!$J2880,-'설정'!$B$17),'자료_거시'!$J$3:INDEX('자료_거시'!$J$3:$J$4002,$K$8),1))-1,""),"")</f>
        <v/>
      </c>
      <c r="AB2898">
        <f>IF(ISNUMBER(AA2898),'자료_거시'!$J2880,"")</f>
        <v/>
      </c>
      <c r="AC2898">
        <f>IF(ISNUMBER(AB2898),IF(AB2898&gt;$L$8,AA2898,""),"")</f>
        <v/>
      </c>
    </row>
    <row r="2899">
      <c r="S2899">
        <f>IF(ISNUMBER('자료_거시'!$E2881),'자료_거시'!$E2881,S2898)</f>
        <v/>
      </c>
      <c r="T2899">
        <f>IF(AND(ISNUMBER('자료_거시'!$D2881),ISNUMBER('자료_거시'!$E2881)),IFERROR('자료_거시'!$E2881-INDEX($S$21:$S$4020,MATCH(EDATE('자료_거시'!$D2881,-'설정'!$B$17),'자료_거시'!$D$3:INDEX('자료_거시'!$D$3:$D$4002,$K$6),1)),""),"")</f>
        <v/>
      </c>
      <c r="U2899">
        <f>IF(ISNUMBER(T2899),'자료_거시'!$D2881,"")</f>
        <v/>
      </c>
      <c r="V2899">
        <f>IF(ISNUMBER(U2899),IF(U2899&gt;$L$6,T2899,""),"")</f>
        <v/>
      </c>
      <c r="W2899">
        <f>IF(AND(ISNUMBER('자료_거시'!$G2881),ISNUMBER('자료_거시'!$H2881)),'자료_거시'!$H2881,"")</f>
        <v/>
      </c>
      <c r="X2899">
        <f>IF(ISNUMBER(W2899),'자료_거시'!$G2881,"")</f>
        <v/>
      </c>
      <c r="Y2899">
        <f>IF(ISNUMBER(X2899),IF(X2899&gt;$L$7,W2899,""),"")</f>
        <v/>
      </c>
      <c r="Z2899">
        <f>IF(ISNUMBER('자료_거시'!$K2881),'자료_거시'!$K2881,Z2898)</f>
        <v/>
      </c>
      <c r="AA2899">
        <f>IF(AND(ISNUMBER('자료_거시'!$J2881),ISNUMBER('자료_거시'!$K2881)),IFERROR('자료_거시'!$K2881/INDEX($Z$21:$Z$4020,MATCH(EDATE('자료_거시'!$J2881,-'설정'!$B$17),'자료_거시'!$J$3:INDEX('자료_거시'!$J$3:$J$4002,$K$8),1))-1,""),"")</f>
        <v/>
      </c>
      <c r="AB2899">
        <f>IF(ISNUMBER(AA2899),'자료_거시'!$J2881,"")</f>
        <v/>
      </c>
      <c r="AC2899">
        <f>IF(ISNUMBER(AB2899),IF(AB2899&gt;$L$8,AA2899,""),"")</f>
        <v/>
      </c>
    </row>
    <row r="2900">
      <c r="S2900">
        <f>IF(ISNUMBER('자료_거시'!$E2882),'자료_거시'!$E2882,S2899)</f>
        <v/>
      </c>
      <c r="T2900">
        <f>IF(AND(ISNUMBER('자료_거시'!$D2882),ISNUMBER('자료_거시'!$E2882)),IFERROR('자료_거시'!$E2882-INDEX($S$21:$S$4020,MATCH(EDATE('자료_거시'!$D2882,-'설정'!$B$17),'자료_거시'!$D$3:INDEX('자료_거시'!$D$3:$D$4002,$K$6),1)),""),"")</f>
        <v/>
      </c>
      <c r="U2900">
        <f>IF(ISNUMBER(T2900),'자료_거시'!$D2882,"")</f>
        <v/>
      </c>
      <c r="V2900">
        <f>IF(ISNUMBER(U2900),IF(U2900&gt;$L$6,T2900,""),"")</f>
        <v/>
      </c>
      <c r="W2900">
        <f>IF(AND(ISNUMBER('자료_거시'!$G2882),ISNUMBER('자료_거시'!$H2882)),'자료_거시'!$H2882,"")</f>
        <v/>
      </c>
      <c r="X2900">
        <f>IF(ISNUMBER(W2900),'자료_거시'!$G2882,"")</f>
        <v/>
      </c>
      <c r="Y2900">
        <f>IF(ISNUMBER(X2900),IF(X2900&gt;$L$7,W2900,""),"")</f>
        <v/>
      </c>
      <c r="Z2900">
        <f>IF(ISNUMBER('자료_거시'!$K2882),'자료_거시'!$K2882,Z2899)</f>
        <v/>
      </c>
      <c r="AA2900">
        <f>IF(AND(ISNUMBER('자료_거시'!$J2882),ISNUMBER('자료_거시'!$K2882)),IFERROR('자료_거시'!$K2882/INDEX($Z$21:$Z$4020,MATCH(EDATE('자료_거시'!$J2882,-'설정'!$B$17),'자료_거시'!$J$3:INDEX('자료_거시'!$J$3:$J$4002,$K$8),1))-1,""),"")</f>
        <v/>
      </c>
      <c r="AB2900">
        <f>IF(ISNUMBER(AA2900),'자료_거시'!$J2882,"")</f>
        <v/>
      </c>
      <c r="AC2900">
        <f>IF(ISNUMBER(AB2900),IF(AB2900&gt;$L$8,AA2900,""),"")</f>
        <v/>
      </c>
    </row>
    <row r="2901">
      <c r="S2901">
        <f>IF(ISNUMBER('자료_거시'!$E2883),'자료_거시'!$E2883,S2900)</f>
        <v/>
      </c>
      <c r="T2901">
        <f>IF(AND(ISNUMBER('자료_거시'!$D2883),ISNUMBER('자료_거시'!$E2883)),IFERROR('자료_거시'!$E2883-INDEX($S$21:$S$4020,MATCH(EDATE('자료_거시'!$D2883,-'설정'!$B$17),'자료_거시'!$D$3:INDEX('자료_거시'!$D$3:$D$4002,$K$6),1)),""),"")</f>
        <v/>
      </c>
      <c r="U2901">
        <f>IF(ISNUMBER(T2901),'자료_거시'!$D2883,"")</f>
        <v/>
      </c>
      <c r="V2901">
        <f>IF(ISNUMBER(U2901),IF(U2901&gt;$L$6,T2901,""),"")</f>
        <v/>
      </c>
      <c r="W2901">
        <f>IF(AND(ISNUMBER('자료_거시'!$G2883),ISNUMBER('자료_거시'!$H2883)),'자료_거시'!$H2883,"")</f>
        <v/>
      </c>
      <c r="X2901">
        <f>IF(ISNUMBER(W2901),'자료_거시'!$G2883,"")</f>
        <v/>
      </c>
      <c r="Y2901">
        <f>IF(ISNUMBER(X2901),IF(X2901&gt;$L$7,W2901,""),"")</f>
        <v/>
      </c>
      <c r="Z2901">
        <f>IF(ISNUMBER('자료_거시'!$K2883),'자료_거시'!$K2883,Z2900)</f>
        <v/>
      </c>
      <c r="AA2901">
        <f>IF(AND(ISNUMBER('자료_거시'!$J2883),ISNUMBER('자료_거시'!$K2883)),IFERROR('자료_거시'!$K2883/INDEX($Z$21:$Z$4020,MATCH(EDATE('자료_거시'!$J2883,-'설정'!$B$17),'자료_거시'!$J$3:INDEX('자료_거시'!$J$3:$J$4002,$K$8),1))-1,""),"")</f>
        <v/>
      </c>
      <c r="AB2901">
        <f>IF(ISNUMBER(AA2901),'자료_거시'!$J2883,"")</f>
        <v/>
      </c>
      <c r="AC2901">
        <f>IF(ISNUMBER(AB2901),IF(AB2901&gt;$L$8,AA2901,""),"")</f>
        <v/>
      </c>
    </row>
    <row r="2902">
      <c r="S2902">
        <f>IF(ISNUMBER('자료_거시'!$E2884),'자료_거시'!$E2884,S2901)</f>
        <v/>
      </c>
      <c r="T2902">
        <f>IF(AND(ISNUMBER('자료_거시'!$D2884),ISNUMBER('자료_거시'!$E2884)),IFERROR('자료_거시'!$E2884-INDEX($S$21:$S$4020,MATCH(EDATE('자료_거시'!$D2884,-'설정'!$B$17),'자료_거시'!$D$3:INDEX('자료_거시'!$D$3:$D$4002,$K$6),1)),""),"")</f>
        <v/>
      </c>
      <c r="U2902">
        <f>IF(ISNUMBER(T2902),'자료_거시'!$D2884,"")</f>
        <v/>
      </c>
      <c r="V2902">
        <f>IF(ISNUMBER(U2902),IF(U2902&gt;$L$6,T2902,""),"")</f>
        <v/>
      </c>
      <c r="W2902">
        <f>IF(AND(ISNUMBER('자료_거시'!$G2884),ISNUMBER('자료_거시'!$H2884)),'자료_거시'!$H2884,"")</f>
        <v/>
      </c>
      <c r="X2902">
        <f>IF(ISNUMBER(W2902),'자료_거시'!$G2884,"")</f>
        <v/>
      </c>
      <c r="Y2902">
        <f>IF(ISNUMBER(X2902),IF(X2902&gt;$L$7,W2902,""),"")</f>
        <v/>
      </c>
      <c r="Z2902">
        <f>IF(ISNUMBER('자료_거시'!$K2884),'자료_거시'!$K2884,Z2901)</f>
        <v/>
      </c>
      <c r="AA2902">
        <f>IF(AND(ISNUMBER('자료_거시'!$J2884),ISNUMBER('자료_거시'!$K2884)),IFERROR('자료_거시'!$K2884/INDEX($Z$21:$Z$4020,MATCH(EDATE('자료_거시'!$J2884,-'설정'!$B$17),'자료_거시'!$J$3:INDEX('자료_거시'!$J$3:$J$4002,$K$8),1))-1,""),"")</f>
        <v/>
      </c>
      <c r="AB2902">
        <f>IF(ISNUMBER(AA2902),'자료_거시'!$J2884,"")</f>
        <v/>
      </c>
      <c r="AC2902">
        <f>IF(ISNUMBER(AB2902),IF(AB2902&gt;$L$8,AA2902,""),"")</f>
        <v/>
      </c>
    </row>
    <row r="2903">
      <c r="S2903">
        <f>IF(ISNUMBER('자료_거시'!$E2885),'자료_거시'!$E2885,S2902)</f>
        <v/>
      </c>
      <c r="T2903">
        <f>IF(AND(ISNUMBER('자료_거시'!$D2885),ISNUMBER('자료_거시'!$E2885)),IFERROR('자료_거시'!$E2885-INDEX($S$21:$S$4020,MATCH(EDATE('자료_거시'!$D2885,-'설정'!$B$17),'자료_거시'!$D$3:INDEX('자료_거시'!$D$3:$D$4002,$K$6),1)),""),"")</f>
        <v/>
      </c>
      <c r="U2903">
        <f>IF(ISNUMBER(T2903),'자료_거시'!$D2885,"")</f>
        <v/>
      </c>
      <c r="V2903">
        <f>IF(ISNUMBER(U2903),IF(U2903&gt;$L$6,T2903,""),"")</f>
        <v/>
      </c>
      <c r="W2903">
        <f>IF(AND(ISNUMBER('자료_거시'!$G2885),ISNUMBER('자료_거시'!$H2885)),'자료_거시'!$H2885,"")</f>
        <v/>
      </c>
      <c r="X2903">
        <f>IF(ISNUMBER(W2903),'자료_거시'!$G2885,"")</f>
        <v/>
      </c>
      <c r="Y2903">
        <f>IF(ISNUMBER(X2903),IF(X2903&gt;$L$7,W2903,""),"")</f>
        <v/>
      </c>
      <c r="Z2903">
        <f>IF(ISNUMBER('자료_거시'!$K2885),'자료_거시'!$K2885,Z2902)</f>
        <v/>
      </c>
      <c r="AA2903">
        <f>IF(AND(ISNUMBER('자료_거시'!$J2885),ISNUMBER('자료_거시'!$K2885)),IFERROR('자료_거시'!$K2885/INDEX($Z$21:$Z$4020,MATCH(EDATE('자료_거시'!$J2885,-'설정'!$B$17),'자료_거시'!$J$3:INDEX('자료_거시'!$J$3:$J$4002,$K$8),1))-1,""),"")</f>
        <v/>
      </c>
      <c r="AB2903">
        <f>IF(ISNUMBER(AA2903),'자료_거시'!$J2885,"")</f>
        <v/>
      </c>
      <c r="AC2903">
        <f>IF(ISNUMBER(AB2903),IF(AB2903&gt;$L$8,AA2903,""),"")</f>
        <v/>
      </c>
    </row>
    <row r="2904">
      <c r="S2904">
        <f>IF(ISNUMBER('자료_거시'!$E2886),'자료_거시'!$E2886,S2903)</f>
        <v/>
      </c>
      <c r="T2904">
        <f>IF(AND(ISNUMBER('자료_거시'!$D2886),ISNUMBER('자료_거시'!$E2886)),IFERROR('자료_거시'!$E2886-INDEX($S$21:$S$4020,MATCH(EDATE('자료_거시'!$D2886,-'설정'!$B$17),'자료_거시'!$D$3:INDEX('자료_거시'!$D$3:$D$4002,$K$6),1)),""),"")</f>
        <v/>
      </c>
      <c r="U2904">
        <f>IF(ISNUMBER(T2904),'자료_거시'!$D2886,"")</f>
        <v/>
      </c>
      <c r="V2904">
        <f>IF(ISNUMBER(U2904),IF(U2904&gt;$L$6,T2904,""),"")</f>
        <v/>
      </c>
      <c r="W2904">
        <f>IF(AND(ISNUMBER('자료_거시'!$G2886),ISNUMBER('자료_거시'!$H2886)),'자료_거시'!$H2886,"")</f>
        <v/>
      </c>
      <c r="X2904">
        <f>IF(ISNUMBER(W2904),'자료_거시'!$G2886,"")</f>
        <v/>
      </c>
      <c r="Y2904">
        <f>IF(ISNUMBER(X2904),IF(X2904&gt;$L$7,W2904,""),"")</f>
        <v/>
      </c>
      <c r="Z2904">
        <f>IF(ISNUMBER('자료_거시'!$K2886),'자료_거시'!$K2886,Z2903)</f>
        <v/>
      </c>
      <c r="AA2904">
        <f>IF(AND(ISNUMBER('자료_거시'!$J2886),ISNUMBER('자료_거시'!$K2886)),IFERROR('자료_거시'!$K2886/INDEX($Z$21:$Z$4020,MATCH(EDATE('자료_거시'!$J2886,-'설정'!$B$17),'자료_거시'!$J$3:INDEX('자료_거시'!$J$3:$J$4002,$K$8),1))-1,""),"")</f>
        <v/>
      </c>
      <c r="AB2904">
        <f>IF(ISNUMBER(AA2904),'자료_거시'!$J2886,"")</f>
        <v/>
      </c>
      <c r="AC2904">
        <f>IF(ISNUMBER(AB2904),IF(AB2904&gt;$L$8,AA2904,""),"")</f>
        <v/>
      </c>
    </row>
    <row r="2905">
      <c r="S2905">
        <f>IF(ISNUMBER('자료_거시'!$E2887),'자료_거시'!$E2887,S2904)</f>
        <v/>
      </c>
      <c r="T2905">
        <f>IF(AND(ISNUMBER('자료_거시'!$D2887),ISNUMBER('자료_거시'!$E2887)),IFERROR('자료_거시'!$E2887-INDEX($S$21:$S$4020,MATCH(EDATE('자료_거시'!$D2887,-'설정'!$B$17),'자료_거시'!$D$3:INDEX('자료_거시'!$D$3:$D$4002,$K$6),1)),""),"")</f>
        <v/>
      </c>
      <c r="U2905">
        <f>IF(ISNUMBER(T2905),'자료_거시'!$D2887,"")</f>
        <v/>
      </c>
      <c r="V2905">
        <f>IF(ISNUMBER(U2905),IF(U2905&gt;$L$6,T2905,""),"")</f>
        <v/>
      </c>
      <c r="W2905">
        <f>IF(AND(ISNUMBER('자료_거시'!$G2887),ISNUMBER('자료_거시'!$H2887)),'자료_거시'!$H2887,"")</f>
        <v/>
      </c>
      <c r="X2905">
        <f>IF(ISNUMBER(W2905),'자료_거시'!$G2887,"")</f>
        <v/>
      </c>
      <c r="Y2905">
        <f>IF(ISNUMBER(X2905),IF(X2905&gt;$L$7,W2905,""),"")</f>
        <v/>
      </c>
      <c r="Z2905">
        <f>IF(ISNUMBER('자료_거시'!$K2887),'자료_거시'!$K2887,Z2904)</f>
        <v/>
      </c>
      <c r="AA2905">
        <f>IF(AND(ISNUMBER('자료_거시'!$J2887),ISNUMBER('자료_거시'!$K2887)),IFERROR('자료_거시'!$K2887/INDEX($Z$21:$Z$4020,MATCH(EDATE('자료_거시'!$J2887,-'설정'!$B$17),'자료_거시'!$J$3:INDEX('자료_거시'!$J$3:$J$4002,$K$8),1))-1,""),"")</f>
        <v/>
      </c>
      <c r="AB2905">
        <f>IF(ISNUMBER(AA2905),'자료_거시'!$J2887,"")</f>
        <v/>
      </c>
      <c r="AC2905">
        <f>IF(ISNUMBER(AB2905),IF(AB2905&gt;$L$8,AA2905,""),"")</f>
        <v/>
      </c>
    </row>
    <row r="2906">
      <c r="S2906">
        <f>IF(ISNUMBER('자료_거시'!$E2888),'자료_거시'!$E2888,S2905)</f>
        <v/>
      </c>
      <c r="T2906">
        <f>IF(AND(ISNUMBER('자료_거시'!$D2888),ISNUMBER('자료_거시'!$E2888)),IFERROR('자료_거시'!$E2888-INDEX($S$21:$S$4020,MATCH(EDATE('자료_거시'!$D2888,-'설정'!$B$17),'자료_거시'!$D$3:INDEX('자료_거시'!$D$3:$D$4002,$K$6),1)),""),"")</f>
        <v/>
      </c>
      <c r="U2906">
        <f>IF(ISNUMBER(T2906),'자료_거시'!$D2888,"")</f>
        <v/>
      </c>
      <c r="V2906">
        <f>IF(ISNUMBER(U2906),IF(U2906&gt;$L$6,T2906,""),"")</f>
        <v/>
      </c>
      <c r="W2906">
        <f>IF(AND(ISNUMBER('자료_거시'!$G2888),ISNUMBER('자료_거시'!$H2888)),'자료_거시'!$H2888,"")</f>
        <v/>
      </c>
      <c r="X2906">
        <f>IF(ISNUMBER(W2906),'자료_거시'!$G2888,"")</f>
        <v/>
      </c>
      <c r="Y2906">
        <f>IF(ISNUMBER(X2906),IF(X2906&gt;$L$7,W2906,""),"")</f>
        <v/>
      </c>
      <c r="Z2906">
        <f>IF(ISNUMBER('자료_거시'!$K2888),'자료_거시'!$K2888,Z2905)</f>
        <v/>
      </c>
      <c r="AA2906">
        <f>IF(AND(ISNUMBER('자료_거시'!$J2888),ISNUMBER('자료_거시'!$K2888)),IFERROR('자료_거시'!$K2888/INDEX($Z$21:$Z$4020,MATCH(EDATE('자료_거시'!$J2888,-'설정'!$B$17),'자료_거시'!$J$3:INDEX('자료_거시'!$J$3:$J$4002,$K$8),1))-1,""),"")</f>
        <v/>
      </c>
      <c r="AB2906">
        <f>IF(ISNUMBER(AA2906),'자료_거시'!$J2888,"")</f>
        <v/>
      </c>
      <c r="AC2906">
        <f>IF(ISNUMBER(AB2906),IF(AB2906&gt;$L$8,AA2906,""),"")</f>
        <v/>
      </c>
    </row>
    <row r="2907">
      <c r="S2907">
        <f>IF(ISNUMBER('자료_거시'!$E2889),'자료_거시'!$E2889,S2906)</f>
        <v/>
      </c>
      <c r="T2907">
        <f>IF(AND(ISNUMBER('자료_거시'!$D2889),ISNUMBER('자료_거시'!$E2889)),IFERROR('자료_거시'!$E2889-INDEX($S$21:$S$4020,MATCH(EDATE('자료_거시'!$D2889,-'설정'!$B$17),'자료_거시'!$D$3:INDEX('자료_거시'!$D$3:$D$4002,$K$6),1)),""),"")</f>
        <v/>
      </c>
      <c r="U2907">
        <f>IF(ISNUMBER(T2907),'자료_거시'!$D2889,"")</f>
        <v/>
      </c>
      <c r="V2907">
        <f>IF(ISNUMBER(U2907),IF(U2907&gt;$L$6,T2907,""),"")</f>
        <v/>
      </c>
      <c r="W2907">
        <f>IF(AND(ISNUMBER('자료_거시'!$G2889),ISNUMBER('자료_거시'!$H2889)),'자료_거시'!$H2889,"")</f>
        <v/>
      </c>
      <c r="X2907">
        <f>IF(ISNUMBER(W2907),'자료_거시'!$G2889,"")</f>
        <v/>
      </c>
      <c r="Y2907">
        <f>IF(ISNUMBER(X2907),IF(X2907&gt;$L$7,W2907,""),"")</f>
        <v/>
      </c>
      <c r="Z2907">
        <f>IF(ISNUMBER('자료_거시'!$K2889),'자료_거시'!$K2889,Z2906)</f>
        <v/>
      </c>
      <c r="AA2907">
        <f>IF(AND(ISNUMBER('자료_거시'!$J2889),ISNUMBER('자료_거시'!$K2889)),IFERROR('자료_거시'!$K2889/INDEX($Z$21:$Z$4020,MATCH(EDATE('자료_거시'!$J2889,-'설정'!$B$17),'자료_거시'!$J$3:INDEX('자료_거시'!$J$3:$J$4002,$K$8),1))-1,""),"")</f>
        <v/>
      </c>
      <c r="AB2907">
        <f>IF(ISNUMBER(AA2907),'자료_거시'!$J2889,"")</f>
        <v/>
      </c>
      <c r="AC2907">
        <f>IF(ISNUMBER(AB2907),IF(AB2907&gt;$L$8,AA2907,""),"")</f>
        <v/>
      </c>
    </row>
    <row r="2908">
      <c r="S2908">
        <f>IF(ISNUMBER('자료_거시'!$E2890),'자료_거시'!$E2890,S2907)</f>
        <v/>
      </c>
      <c r="T2908">
        <f>IF(AND(ISNUMBER('자료_거시'!$D2890),ISNUMBER('자료_거시'!$E2890)),IFERROR('자료_거시'!$E2890-INDEX($S$21:$S$4020,MATCH(EDATE('자료_거시'!$D2890,-'설정'!$B$17),'자료_거시'!$D$3:INDEX('자료_거시'!$D$3:$D$4002,$K$6),1)),""),"")</f>
        <v/>
      </c>
      <c r="U2908">
        <f>IF(ISNUMBER(T2908),'자료_거시'!$D2890,"")</f>
        <v/>
      </c>
      <c r="V2908">
        <f>IF(ISNUMBER(U2908),IF(U2908&gt;$L$6,T2908,""),"")</f>
        <v/>
      </c>
      <c r="W2908">
        <f>IF(AND(ISNUMBER('자료_거시'!$G2890),ISNUMBER('자료_거시'!$H2890)),'자료_거시'!$H2890,"")</f>
        <v/>
      </c>
      <c r="X2908">
        <f>IF(ISNUMBER(W2908),'자료_거시'!$G2890,"")</f>
        <v/>
      </c>
      <c r="Y2908">
        <f>IF(ISNUMBER(X2908),IF(X2908&gt;$L$7,W2908,""),"")</f>
        <v/>
      </c>
      <c r="Z2908">
        <f>IF(ISNUMBER('자료_거시'!$K2890),'자료_거시'!$K2890,Z2907)</f>
        <v/>
      </c>
      <c r="AA2908">
        <f>IF(AND(ISNUMBER('자료_거시'!$J2890),ISNUMBER('자료_거시'!$K2890)),IFERROR('자료_거시'!$K2890/INDEX($Z$21:$Z$4020,MATCH(EDATE('자료_거시'!$J2890,-'설정'!$B$17),'자료_거시'!$J$3:INDEX('자료_거시'!$J$3:$J$4002,$K$8),1))-1,""),"")</f>
        <v/>
      </c>
      <c r="AB2908">
        <f>IF(ISNUMBER(AA2908),'자료_거시'!$J2890,"")</f>
        <v/>
      </c>
      <c r="AC2908">
        <f>IF(ISNUMBER(AB2908),IF(AB2908&gt;$L$8,AA2908,""),"")</f>
        <v/>
      </c>
    </row>
    <row r="2909">
      <c r="S2909">
        <f>IF(ISNUMBER('자료_거시'!$E2891),'자료_거시'!$E2891,S2908)</f>
        <v/>
      </c>
      <c r="T2909">
        <f>IF(AND(ISNUMBER('자료_거시'!$D2891),ISNUMBER('자료_거시'!$E2891)),IFERROR('자료_거시'!$E2891-INDEX($S$21:$S$4020,MATCH(EDATE('자료_거시'!$D2891,-'설정'!$B$17),'자료_거시'!$D$3:INDEX('자료_거시'!$D$3:$D$4002,$K$6),1)),""),"")</f>
        <v/>
      </c>
      <c r="U2909">
        <f>IF(ISNUMBER(T2909),'자료_거시'!$D2891,"")</f>
        <v/>
      </c>
      <c r="V2909">
        <f>IF(ISNUMBER(U2909),IF(U2909&gt;$L$6,T2909,""),"")</f>
        <v/>
      </c>
      <c r="W2909">
        <f>IF(AND(ISNUMBER('자료_거시'!$G2891),ISNUMBER('자료_거시'!$H2891)),'자료_거시'!$H2891,"")</f>
        <v/>
      </c>
      <c r="X2909">
        <f>IF(ISNUMBER(W2909),'자료_거시'!$G2891,"")</f>
        <v/>
      </c>
      <c r="Y2909">
        <f>IF(ISNUMBER(X2909),IF(X2909&gt;$L$7,W2909,""),"")</f>
        <v/>
      </c>
      <c r="Z2909">
        <f>IF(ISNUMBER('자료_거시'!$K2891),'자료_거시'!$K2891,Z2908)</f>
        <v/>
      </c>
      <c r="AA2909">
        <f>IF(AND(ISNUMBER('자료_거시'!$J2891),ISNUMBER('자료_거시'!$K2891)),IFERROR('자료_거시'!$K2891/INDEX($Z$21:$Z$4020,MATCH(EDATE('자료_거시'!$J2891,-'설정'!$B$17),'자료_거시'!$J$3:INDEX('자료_거시'!$J$3:$J$4002,$K$8),1))-1,""),"")</f>
        <v/>
      </c>
      <c r="AB2909">
        <f>IF(ISNUMBER(AA2909),'자료_거시'!$J2891,"")</f>
        <v/>
      </c>
      <c r="AC2909">
        <f>IF(ISNUMBER(AB2909),IF(AB2909&gt;$L$8,AA2909,""),"")</f>
        <v/>
      </c>
    </row>
    <row r="2910">
      <c r="S2910">
        <f>IF(ISNUMBER('자료_거시'!$E2892),'자료_거시'!$E2892,S2909)</f>
        <v/>
      </c>
      <c r="T2910">
        <f>IF(AND(ISNUMBER('자료_거시'!$D2892),ISNUMBER('자료_거시'!$E2892)),IFERROR('자료_거시'!$E2892-INDEX($S$21:$S$4020,MATCH(EDATE('자료_거시'!$D2892,-'설정'!$B$17),'자료_거시'!$D$3:INDEX('자료_거시'!$D$3:$D$4002,$K$6),1)),""),"")</f>
        <v/>
      </c>
      <c r="U2910">
        <f>IF(ISNUMBER(T2910),'자료_거시'!$D2892,"")</f>
        <v/>
      </c>
      <c r="V2910">
        <f>IF(ISNUMBER(U2910),IF(U2910&gt;$L$6,T2910,""),"")</f>
        <v/>
      </c>
      <c r="W2910">
        <f>IF(AND(ISNUMBER('자료_거시'!$G2892),ISNUMBER('자료_거시'!$H2892)),'자료_거시'!$H2892,"")</f>
        <v/>
      </c>
      <c r="X2910">
        <f>IF(ISNUMBER(W2910),'자료_거시'!$G2892,"")</f>
        <v/>
      </c>
      <c r="Y2910">
        <f>IF(ISNUMBER(X2910),IF(X2910&gt;$L$7,W2910,""),"")</f>
        <v/>
      </c>
      <c r="Z2910">
        <f>IF(ISNUMBER('자료_거시'!$K2892),'자료_거시'!$K2892,Z2909)</f>
        <v/>
      </c>
      <c r="AA2910">
        <f>IF(AND(ISNUMBER('자료_거시'!$J2892),ISNUMBER('자료_거시'!$K2892)),IFERROR('자료_거시'!$K2892/INDEX($Z$21:$Z$4020,MATCH(EDATE('자료_거시'!$J2892,-'설정'!$B$17),'자료_거시'!$J$3:INDEX('자료_거시'!$J$3:$J$4002,$K$8),1))-1,""),"")</f>
        <v/>
      </c>
      <c r="AB2910">
        <f>IF(ISNUMBER(AA2910),'자료_거시'!$J2892,"")</f>
        <v/>
      </c>
      <c r="AC2910">
        <f>IF(ISNUMBER(AB2910),IF(AB2910&gt;$L$8,AA2910,""),"")</f>
        <v/>
      </c>
    </row>
    <row r="2911">
      <c r="S2911">
        <f>IF(ISNUMBER('자료_거시'!$E2893),'자료_거시'!$E2893,S2910)</f>
        <v/>
      </c>
      <c r="T2911">
        <f>IF(AND(ISNUMBER('자료_거시'!$D2893),ISNUMBER('자료_거시'!$E2893)),IFERROR('자료_거시'!$E2893-INDEX($S$21:$S$4020,MATCH(EDATE('자료_거시'!$D2893,-'설정'!$B$17),'자료_거시'!$D$3:INDEX('자료_거시'!$D$3:$D$4002,$K$6),1)),""),"")</f>
        <v/>
      </c>
      <c r="U2911">
        <f>IF(ISNUMBER(T2911),'자료_거시'!$D2893,"")</f>
        <v/>
      </c>
      <c r="V2911">
        <f>IF(ISNUMBER(U2911),IF(U2911&gt;$L$6,T2911,""),"")</f>
        <v/>
      </c>
      <c r="W2911">
        <f>IF(AND(ISNUMBER('자료_거시'!$G2893),ISNUMBER('자료_거시'!$H2893)),'자료_거시'!$H2893,"")</f>
        <v/>
      </c>
      <c r="X2911">
        <f>IF(ISNUMBER(W2911),'자료_거시'!$G2893,"")</f>
        <v/>
      </c>
      <c r="Y2911">
        <f>IF(ISNUMBER(X2911),IF(X2911&gt;$L$7,W2911,""),"")</f>
        <v/>
      </c>
      <c r="Z2911">
        <f>IF(ISNUMBER('자료_거시'!$K2893),'자료_거시'!$K2893,Z2910)</f>
        <v/>
      </c>
      <c r="AA2911">
        <f>IF(AND(ISNUMBER('자료_거시'!$J2893),ISNUMBER('자료_거시'!$K2893)),IFERROR('자료_거시'!$K2893/INDEX($Z$21:$Z$4020,MATCH(EDATE('자료_거시'!$J2893,-'설정'!$B$17),'자료_거시'!$J$3:INDEX('자료_거시'!$J$3:$J$4002,$K$8),1))-1,""),"")</f>
        <v/>
      </c>
      <c r="AB2911">
        <f>IF(ISNUMBER(AA2911),'자료_거시'!$J2893,"")</f>
        <v/>
      </c>
      <c r="AC2911">
        <f>IF(ISNUMBER(AB2911),IF(AB2911&gt;$L$8,AA2911,""),"")</f>
        <v/>
      </c>
    </row>
    <row r="2912">
      <c r="S2912">
        <f>IF(ISNUMBER('자료_거시'!$E2894),'자료_거시'!$E2894,S2911)</f>
        <v/>
      </c>
      <c r="T2912">
        <f>IF(AND(ISNUMBER('자료_거시'!$D2894),ISNUMBER('자료_거시'!$E2894)),IFERROR('자료_거시'!$E2894-INDEX($S$21:$S$4020,MATCH(EDATE('자료_거시'!$D2894,-'설정'!$B$17),'자료_거시'!$D$3:INDEX('자료_거시'!$D$3:$D$4002,$K$6),1)),""),"")</f>
        <v/>
      </c>
      <c r="U2912">
        <f>IF(ISNUMBER(T2912),'자료_거시'!$D2894,"")</f>
        <v/>
      </c>
      <c r="V2912">
        <f>IF(ISNUMBER(U2912),IF(U2912&gt;$L$6,T2912,""),"")</f>
        <v/>
      </c>
      <c r="W2912">
        <f>IF(AND(ISNUMBER('자료_거시'!$G2894),ISNUMBER('자료_거시'!$H2894)),'자료_거시'!$H2894,"")</f>
        <v/>
      </c>
      <c r="X2912">
        <f>IF(ISNUMBER(W2912),'자료_거시'!$G2894,"")</f>
        <v/>
      </c>
      <c r="Y2912">
        <f>IF(ISNUMBER(X2912),IF(X2912&gt;$L$7,W2912,""),"")</f>
        <v/>
      </c>
      <c r="Z2912">
        <f>IF(ISNUMBER('자료_거시'!$K2894),'자료_거시'!$K2894,Z2911)</f>
        <v/>
      </c>
      <c r="AA2912">
        <f>IF(AND(ISNUMBER('자료_거시'!$J2894),ISNUMBER('자료_거시'!$K2894)),IFERROR('자료_거시'!$K2894/INDEX($Z$21:$Z$4020,MATCH(EDATE('자료_거시'!$J2894,-'설정'!$B$17),'자료_거시'!$J$3:INDEX('자료_거시'!$J$3:$J$4002,$K$8),1))-1,""),"")</f>
        <v/>
      </c>
      <c r="AB2912">
        <f>IF(ISNUMBER(AA2912),'자료_거시'!$J2894,"")</f>
        <v/>
      </c>
      <c r="AC2912">
        <f>IF(ISNUMBER(AB2912),IF(AB2912&gt;$L$8,AA2912,""),"")</f>
        <v/>
      </c>
    </row>
    <row r="2913">
      <c r="S2913">
        <f>IF(ISNUMBER('자료_거시'!$E2895),'자료_거시'!$E2895,S2912)</f>
        <v/>
      </c>
      <c r="T2913">
        <f>IF(AND(ISNUMBER('자료_거시'!$D2895),ISNUMBER('자료_거시'!$E2895)),IFERROR('자료_거시'!$E2895-INDEX($S$21:$S$4020,MATCH(EDATE('자료_거시'!$D2895,-'설정'!$B$17),'자료_거시'!$D$3:INDEX('자료_거시'!$D$3:$D$4002,$K$6),1)),""),"")</f>
        <v/>
      </c>
      <c r="U2913">
        <f>IF(ISNUMBER(T2913),'자료_거시'!$D2895,"")</f>
        <v/>
      </c>
      <c r="V2913">
        <f>IF(ISNUMBER(U2913),IF(U2913&gt;$L$6,T2913,""),"")</f>
        <v/>
      </c>
      <c r="W2913">
        <f>IF(AND(ISNUMBER('자료_거시'!$G2895),ISNUMBER('자료_거시'!$H2895)),'자료_거시'!$H2895,"")</f>
        <v/>
      </c>
      <c r="X2913">
        <f>IF(ISNUMBER(W2913),'자료_거시'!$G2895,"")</f>
        <v/>
      </c>
      <c r="Y2913">
        <f>IF(ISNUMBER(X2913),IF(X2913&gt;$L$7,W2913,""),"")</f>
        <v/>
      </c>
      <c r="Z2913">
        <f>IF(ISNUMBER('자료_거시'!$K2895),'자료_거시'!$K2895,Z2912)</f>
        <v/>
      </c>
      <c r="AA2913">
        <f>IF(AND(ISNUMBER('자료_거시'!$J2895),ISNUMBER('자료_거시'!$K2895)),IFERROR('자료_거시'!$K2895/INDEX($Z$21:$Z$4020,MATCH(EDATE('자료_거시'!$J2895,-'설정'!$B$17),'자료_거시'!$J$3:INDEX('자료_거시'!$J$3:$J$4002,$K$8),1))-1,""),"")</f>
        <v/>
      </c>
      <c r="AB2913">
        <f>IF(ISNUMBER(AA2913),'자료_거시'!$J2895,"")</f>
        <v/>
      </c>
      <c r="AC2913">
        <f>IF(ISNUMBER(AB2913),IF(AB2913&gt;$L$8,AA2913,""),"")</f>
        <v/>
      </c>
    </row>
    <row r="2914">
      <c r="S2914">
        <f>IF(ISNUMBER('자료_거시'!$E2896),'자료_거시'!$E2896,S2913)</f>
        <v/>
      </c>
      <c r="T2914">
        <f>IF(AND(ISNUMBER('자료_거시'!$D2896),ISNUMBER('자료_거시'!$E2896)),IFERROR('자료_거시'!$E2896-INDEX($S$21:$S$4020,MATCH(EDATE('자료_거시'!$D2896,-'설정'!$B$17),'자료_거시'!$D$3:INDEX('자료_거시'!$D$3:$D$4002,$K$6),1)),""),"")</f>
        <v/>
      </c>
      <c r="U2914">
        <f>IF(ISNUMBER(T2914),'자료_거시'!$D2896,"")</f>
        <v/>
      </c>
      <c r="V2914">
        <f>IF(ISNUMBER(U2914),IF(U2914&gt;$L$6,T2914,""),"")</f>
        <v/>
      </c>
      <c r="W2914">
        <f>IF(AND(ISNUMBER('자료_거시'!$G2896),ISNUMBER('자료_거시'!$H2896)),'자료_거시'!$H2896,"")</f>
        <v/>
      </c>
      <c r="X2914">
        <f>IF(ISNUMBER(W2914),'자료_거시'!$G2896,"")</f>
        <v/>
      </c>
      <c r="Y2914">
        <f>IF(ISNUMBER(X2914),IF(X2914&gt;$L$7,W2914,""),"")</f>
        <v/>
      </c>
      <c r="Z2914">
        <f>IF(ISNUMBER('자료_거시'!$K2896),'자료_거시'!$K2896,Z2913)</f>
        <v/>
      </c>
      <c r="AA2914">
        <f>IF(AND(ISNUMBER('자료_거시'!$J2896),ISNUMBER('자료_거시'!$K2896)),IFERROR('자료_거시'!$K2896/INDEX($Z$21:$Z$4020,MATCH(EDATE('자료_거시'!$J2896,-'설정'!$B$17),'자료_거시'!$J$3:INDEX('자료_거시'!$J$3:$J$4002,$K$8),1))-1,""),"")</f>
        <v/>
      </c>
      <c r="AB2914">
        <f>IF(ISNUMBER(AA2914),'자료_거시'!$J2896,"")</f>
        <v/>
      </c>
      <c r="AC2914">
        <f>IF(ISNUMBER(AB2914),IF(AB2914&gt;$L$8,AA2914,""),"")</f>
        <v/>
      </c>
    </row>
    <row r="2915">
      <c r="S2915">
        <f>IF(ISNUMBER('자료_거시'!$E2897),'자료_거시'!$E2897,S2914)</f>
        <v/>
      </c>
      <c r="T2915">
        <f>IF(AND(ISNUMBER('자료_거시'!$D2897),ISNUMBER('자료_거시'!$E2897)),IFERROR('자료_거시'!$E2897-INDEX($S$21:$S$4020,MATCH(EDATE('자료_거시'!$D2897,-'설정'!$B$17),'자료_거시'!$D$3:INDEX('자료_거시'!$D$3:$D$4002,$K$6),1)),""),"")</f>
        <v/>
      </c>
      <c r="U2915">
        <f>IF(ISNUMBER(T2915),'자료_거시'!$D2897,"")</f>
        <v/>
      </c>
      <c r="V2915">
        <f>IF(ISNUMBER(U2915),IF(U2915&gt;$L$6,T2915,""),"")</f>
        <v/>
      </c>
      <c r="W2915">
        <f>IF(AND(ISNUMBER('자료_거시'!$G2897),ISNUMBER('자료_거시'!$H2897)),'자료_거시'!$H2897,"")</f>
        <v/>
      </c>
      <c r="X2915">
        <f>IF(ISNUMBER(W2915),'자료_거시'!$G2897,"")</f>
        <v/>
      </c>
      <c r="Y2915">
        <f>IF(ISNUMBER(X2915),IF(X2915&gt;$L$7,W2915,""),"")</f>
        <v/>
      </c>
      <c r="Z2915">
        <f>IF(ISNUMBER('자료_거시'!$K2897),'자료_거시'!$K2897,Z2914)</f>
        <v/>
      </c>
      <c r="AA2915">
        <f>IF(AND(ISNUMBER('자료_거시'!$J2897),ISNUMBER('자료_거시'!$K2897)),IFERROR('자료_거시'!$K2897/INDEX($Z$21:$Z$4020,MATCH(EDATE('자료_거시'!$J2897,-'설정'!$B$17),'자료_거시'!$J$3:INDEX('자료_거시'!$J$3:$J$4002,$K$8),1))-1,""),"")</f>
        <v/>
      </c>
      <c r="AB2915">
        <f>IF(ISNUMBER(AA2915),'자료_거시'!$J2897,"")</f>
        <v/>
      </c>
      <c r="AC2915">
        <f>IF(ISNUMBER(AB2915),IF(AB2915&gt;$L$8,AA2915,""),"")</f>
        <v/>
      </c>
    </row>
    <row r="2916">
      <c r="S2916">
        <f>IF(ISNUMBER('자료_거시'!$E2898),'자료_거시'!$E2898,S2915)</f>
        <v/>
      </c>
      <c r="T2916">
        <f>IF(AND(ISNUMBER('자료_거시'!$D2898),ISNUMBER('자료_거시'!$E2898)),IFERROR('자료_거시'!$E2898-INDEX($S$21:$S$4020,MATCH(EDATE('자료_거시'!$D2898,-'설정'!$B$17),'자료_거시'!$D$3:INDEX('자료_거시'!$D$3:$D$4002,$K$6),1)),""),"")</f>
        <v/>
      </c>
      <c r="U2916">
        <f>IF(ISNUMBER(T2916),'자료_거시'!$D2898,"")</f>
        <v/>
      </c>
      <c r="V2916">
        <f>IF(ISNUMBER(U2916),IF(U2916&gt;$L$6,T2916,""),"")</f>
        <v/>
      </c>
      <c r="W2916">
        <f>IF(AND(ISNUMBER('자료_거시'!$G2898),ISNUMBER('자료_거시'!$H2898)),'자료_거시'!$H2898,"")</f>
        <v/>
      </c>
      <c r="X2916">
        <f>IF(ISNUMBER(W2916),'자료_거시'!$G2898,"")</f>
        <v/>
      </c>
      <c r="Y2916">
        <f>IF(ISNUMBER(X2916),IF(X2916&gt;$L$7,W2916,""),"")</f>
        <v/>
      </c>
      <c r="Z2916">
        <f>IF(ISNUMBER('자료_거시'!$K2898),'자료_거시'!$K2898,Z2915)</f>
        <v/>
      </c>
      <c r="AA2916">
        <f>IF(AND(ISNUMBER('자료_거시'!$J2898),ISNUMBER('자료_거시'!$K2898)),IFERROR('자료_거시'!$K2898/INDEX($Z$21:$Z$4020,MATCH(EDATE('자료_거시'!$J2898,-'설정'!$B$17),'자료_거시'!$J$3:INDEX('자료_거시'!$J$3:$J$4002,$K$8),1))-1,""),"")</f>
        <v/>
      </c>
      <c r="AB2916">
        <f>IF(ISNUMBER(AA2916),'자료_거시'!$J2898,"")</f>
        <v/>
      </c>
      <c r="AC2916">
        <f>IF(ISNUMBER(AB2916),IF(AB2916&gt;$L$8,AA2916,""),"")</f>
        <v/>
      </c>
    </row>
    <row r="2917">
      <c r="S2917">
        <f>IF(ISNUMBER('자료_거시'!$E2899),'자료_거시'!$E2899,S2916)</f>
        <v/>
      </c>
      <c r="T2917">
        <f>IF(AND(ISNUMBER('자료_거시'!$D2899),ISNUMBER('자료_거시'!$E2899)),IFERROR('자료_거시'!$E2899-INDEX($S$21:$S$4020,MATCH(EDATE('자료_거시'!$D2899,-'설정'!$B$17),'자료_거시'!$D$3:INDEX('자료_거시'!$D$3:$D$4002,$K$6),1)),""),"")</f>
        <v/>
      </c>
      <c r="U2917">
        <f>IF(ISNUMBER(T2917),'자료_거시'!$D2899,"")</f>
        <v/>
      </c>
      <c r="V2917">
        <f>IF(ISNUMBER(U2917),IF(U2917&gt;$L$6,T2917,""),"")</f>
        <v/>
      </c>
      <c r="W2917">
        <f>IF(AND(ISNUMBER('자료_거시'!$G2899),ISNUMBER('자료_거시'!$H2899)),'자료_거시'!$H2899,"")</f>
        <v/>
      </c>
      <c r="X2917">
        <f>IF(ISNUMBER(W2917),'자료_거시'!$G2899,"")</f>
        <v/>
      </c>
      <c r="Y2917">
        <f>IF(ISNUMBER(X2917),IF(X2917&gt;$L$7,W2917,""),"")</f>
        <v/>
      </c>
      <c r="Z2917">
        <f>IF(ISNUMBER('자료_거시'!$K2899),'자료_거시'!$K2899,Z2916)</f>
        <v/>
      </c>
      <c r="AA2917">
        <f>IF(AND(ISNUMBER('자료_거시'!$J2899),ISNUMBER('자료_거시'!$K2899)),IFERROR('자료_거시'!$K2899/INDEX($Z$21:$Z$4020,MATCH(EDATE('자료_거시'!$J2899,-'설정'!$B$17),'자료_거시'!$J$3:INDEX('자료_거시'!$J$3:$J$4002,$K$8),1))-1,""),"")</f>
        <v/>
      </c>
      <c r="AB2917">
        <f>IF(ISNUMBER(AA2917),'자료_거시'!$J2899,"")</f>
        <v/>
      </c>
      <c r="AC2917">
        <f>IF(ISNUMBER(AB2917),IF(AB2917&gt;$L$8,AA2917,""),"")</f>
        <v/>
      </c>
    </row>
    <row r="2918">
      <c r="S2918">
        <f>IF(ISNUMBER('자료_거시'!$E2900),'자료_거시'!$E2900,S2917)</f>
        <v/>
      </c>
      <c r="T2918">
        <f>IF(AND(ISNUMBER('자료_거시'!$D2900),ISNUMBER('자료_거시'!$E2900)),IFERROR('자료_거시'!$E2900-INDEX($S$21:$S$4020,MATCH(EDATE('자료_거시'!$D2900,-'설정'!$B$17),'자료_거시'!$D$3:INDEX('자료_거시'!$D$3:$D$4002,$K$6),1)),""),"")</f>
        <v/>
      </c>
      <c r="U2918">
        <f>IF(ISNUMBER(T2918),'자료_거시'!$D2900,"")</f>
        <v/>
      </c>
      <c r="V2918">
        <f>IF(ISNUMBER(U2918),IF(U2918&gt;$L$6,T2918,""),"")</f>
        <v/>
      </c>
      <c r="W2918">
        <f>IF(AND(ISNUMBER('자료_거시'!$G2900),ISNUMBER('자료_거시'!$H2900)),'자료_거시'!$H2900,"")</f>
        <v/>
      </c>
      <c r="X2918">
        <f>IF(ISNUMBER(W2918),'자료_거시'!$G2900,"")</f>
        <v/>
      </c>
      <c r="Y2918">
        <f>IF(ISNUMBER(X2918),IF(X2918&gt;$L$7,W2918,""),"")</f>
        <v/>
      </c>
      <c r="Z2918">
        <f>IF(ISNUMBER('자료_거시'!$K2900),'자료_거시'!$K2900,Z2917)</f>
        <v/>
      </c>
      <c r="AA2918">
        <f>IF(AND(ISNUMBER('자료_거시'!$J2900),ISNUMBER('자료_거시'!$K2900)),IFERROR('자료_거시'!$K2900/INDEX($Z$21:$Z$4020,MATCH(EDATE('자료_거시'!$J2900,-'설정'!$B$17),'자료_거시'!$J$3:INDEX('자료_거시'!$J$3:$J$4002,$K$8),1))-1,""),"")</f>
        <v/>
      </c>
      <c r="AB2918">
        <f>IF(ISNUMBER(AA2918),'자료_거시'!$J2900,"")</f>
        <v/>
      </c>
      <c r="AC2918">
        <f>IF(ISNUMBER(AB2918),IF(AB2918&gt;$L$8,AA2918,""),"")</f>
        <v/>
      </c>
    </row>
    <row r="2919">
      <c r="S2919">
        <f>IF(ISNUMBER('자료_거시'!$E2901),'자료_거시'!$E2901,S2918)</f>
        <v/>
      </c>
      <c r="T2919">
        <f>IF(AND(ISNUMBER('자료_거시'!$D2901),ISNUMBER('자료_거시'!$E2901)),IFERROR('자료_거시'!$E2901-INDEX($S$21:$S$4020,MATCH(EDATE('자료_거시'!$D2901,-'설정'!$B$17),'자료_거시'!$D$3:INDEX('자료_거시'!$D$3:$D$4002,$K$6),1)),""),"")</f>
        <v/>
      </c>
      <c r="U2919">
        <f>IF(ISNUMBER(T2919),'자료_거시'!$D2901,"")</f>
        <v/>
      </c>
      <c r="V2919">
        <f>IF(ISNUMBER(U2919),IF(U2919&gt;$L$6,T2919,""),"")</f>
        <v/>
      </c>
      <c r="W2919">
        <f>IF(AND(ISNUMBER('자료_거시'!$G2901),ISNUMBER('자료_거시'!$H2901)),'자료_거시'!$H2901,"")</f>
        <v/>
      </c>
      <c r="X2919">
        <f>IF(ISNUMBER(W2919),'자료_거시'!$G2901,"")</f>
        <v/>
      </c>
      <c r="Y2919">
        <f>IF(ISNUMBER(X2919),IF(X2919&gt;$L$7,W2919,""),"")</f>
        <v/>
      </c>
      <c r="Z2919">
        <f>IF(ISNUMBER('자료_거시'!$K2901),'자료_거시'!$K2901,Z2918)</f>
        <v/>
      </c>
      <c r="AA2919">
        <f>IF(AND(ISNUMBER('자료_거시'!$J2901),ISNUMBER('자료_거시'!$K2901)),IFERROR('자료_거시'!$K2901/INDEX($Z$21:$Z$4020,MATCH(EDATE('자료_거시'!$J2901,-'설정'!$B$17),'자료_거시'!$J$3:INDEX('자료_거시'!$J$3:$J$4002,$K$8),1))-1,""),"")</f>
        <v/>
      </c>
      <c r="AB2919">
        <f>IF(ISNUMBER(AA2919),'자료_거시'!$J2901,"")</f>
        <v/>
      </c>
      <c r="AC2919">
        <f>IF(ISNUMBER(AB2919),IF(AB2919&gt;$L$8,AA2919,""),"")</f>
        <v/>
      </c>
    </row>
    <row r="2920">
      <c r="S2920">
        <f>IF(ISNUMBER('자료_거시'!$E2902),'자료_거시'!$E2902,S2919)</f>
        <v/>
      </c>
      <c r="T2920">
        <f>IF(AND(ISNUMBER('자료_거시'!$D2902),ISNUMBER('자료_거시'!$E2902)),IFERROR('자료_거시'!$E2902-INDEX($S$21:$S$4020,MATCH(EDATE('자료_거시'!$D2902,-'설정'!$B$17),'자료_거시'!$D$3:INDEX('자료_거시'!$D$3:$D$4002,$K$6),1)),""),"")</f>
        <v/>
      </c>
      <c r="U2920">
        <f>IF(ISNUMBER(T2920),'자료_거시'!$D2902,"")</f>
        <v/>
      </c>
      <c r="V2920">
        <f>IF(ISNUMBER(U2920),IF(U2920&gt;$L$6,T2920,""),"")</f>
        <v/>
      </c>
      <c r="W2920">
        <f>IF(AND(ISNUMBER('자료_거시'!$G2902),ISNUMBER('자료_거시'!$H2902)),'자료_거시'!$H2902,"")</f>
        <v/>
      </c>
      <c r="X2920">
        <f>IF(ISNUMBER(W2920),'자료_거시'!$G2902,"")</f>
        <v/>
      </c>
      <c r="Y2920">
        <f>IF(ISNUMBER(X2920),IF(X2920&gt;$L$7,W2920,""),"")</f>
        <v/>
      </c>
      <c r="Z2920">
        <f>IF(ISNUMBER('자료_거시'!$K2902),'자료_거시'!$K2902,Z2919)</f>
        <v/>
      </c>
      <c r="AA2920">
        <f>IF(AND(ISNUMBER('자료_거시'!$J2902),ISNUMBER('자료_거시'!$K2902)),IFERROR('자료_거시'!$K2902/INDEX($Z$21:$Z$4020,MATCH(EDATE('자료_거시'!$J2902,-'설정'!$B$17),'자료_거시'!$J$3:INDEX('자료_거시'!$J$3:$J$4002,$K$8),1))-1,""),"")</f>
        <v/>
      </c>
      <c r="AB2920">
        <f>IF(ISNUMBER(AA2920),'자료_거시'!$J2902,"")</f>
        <v/>
      </c>
      <c r="AC2920">
        <f>IF(ISNUMBER(AB2920),IF(AB2920&gt;$L$8,AA2920,""),"")</f>
        <v/>
      </c>
    </row>
    <row r="2921">
      <c r="S2921">
        <f>IF(ISNUMBER('자료_거시'!$E2903),'자료_거시'!$E2903,S2920)</f>
        <v/>
      </c>
      <c r="T2921">
        <f>IF(AND(ISNUMBER('자료_거시'!$D2903),ISNUMBER('자료_거시'!$E2903)),IFERROR('자료_거시'!$E2903-INDEX($S$21:$S$4020,MATCH(EDATE('자료_거시'!$D2903,-'설정'!$B$17),'자료_거시'!$D$3:INDEX('자료_거시'!$D$3:$D$4002,$K$6),1)),""),"")</f>
        <v/>
      </c>
      <c r="U2921">
        <f>IF(ISNUMBER(T2921),'자료_거시'!$D2903,"")</f>
        <v/>
      </c>
      <c r="V2921">
        <f>IF(ISNUMBER(U2921),IF(U2921&gt;$L$6,T2921,""),"")</f>
        <v/>
      </c>
      <c r="W2921">
        <f>IF(AND(ISNUMBER('자료_거시'!$G2903),ISNUMBER('자료_거시'!$H2903)),'자료_거시'!$H2903,"")</f>
        <v/>
      </c>
      <c r="X2921">
        <f>IF(ISNUMBER(W2921),'자료_거시'!$G2903,"")</f>
        <v/>
      </c>
      <c r="Y2921">
        <f>IF(ISNUMBER(X2921),IF(X2921&gt;$L$7,W2921,""),"")</f>
        <v/>
      </c>
      <c r="Z2921">
        <f>IF(ISNUMBER('자료_거시'!$K2903),'자료_거시'!$K2903,Z2920)</f>
        <v/>
      </c>
      <c r="AA2921">
        <f>IF(AND(ISNUMBER('자료_거시'!$J2903),ISNUMBER('자료_거시'!$K2903)),IFERROR('자료_거시'!$K2903/INDEX($Z$21:$Z$4020,MATCH(EDATE('자료_거시'!$J2903,-'설정'!$B$17),'자료_거시'!$J$3:INDEX('자료_거시'!$J$3:$J$4002,$K$8),1))-1,""),"")</f>
        <v/>
      </c>
      <c r="AB2921">
        <f>IF(ISNUMBER(AA2921),'자료_거시'!$J2903,"")</f>
        <v/>
      </c>
      <c r="AC2921">
        <f>IF(ISNUMBER(AB2921),IF(AB2921&gt;$L$8,AA2921,""),"")</f>
        <v/>
      </c>
    </row>
    <row r="2922">
      <c r="S2922">
        <f>IF(ISNUMBER('자료_거시'!$E2904),'자료_거시'!$E2904,S2921)</f>
        <v/>
      </c>
      <c r="T2922">
        <f>IF(AND(ISNUMBER('자료_거시'!$D2904),ISNUMBER('자료_거시'!$E2904)),IFERROR('자료_거시'!$E2904-INDEX($S$21:$S$4020,MATCH(EDATE('자료_거시'!$D2904,-'설정'!$B$17),'자료_거시'!$D$3:INDEX('자료_거시'!$D$3:$D$4002,$K$6),1)),""),"")</f>
        <v/>
      </c>
      <c r="U2922">
        <f>IF(ISNUMBER(T2922),'자료_거시'!$D2904,"")</f>
        <v/>
      </c>
      <c r="V2922">
        <f>IF(ISNUMBER(U2922),IF(U2922&gt;$L$6,T2922,""),"")</f>
        <v/>
      </c>
      <c r="W2922">
        <f>IF(AND(ISNUMBER('자료_거시'!$G2904),ISNUMBER('자료_거시'!$H2904)),'자료_거시'!$H2904,"")</f>
        <v/>
      </c>
      <c r="X2922">
        <f>IF(ISNUMBER(W2922),'자료_거시'!$G2904,"")</f>
        <v/>
      </c>
      <c r="Y2922">
        <f>IF(ISNUMBER(X2922),IF(X2922&gt;$L$7,W2922,""),"")</f>
        <v/>
      </c>
      <c r="Z2922">
        <f>IF(ISNUMBER('자료_거시'!$K2904),'자료_거시'!$K2904,Z2921)</f>
        <v/>
      </c>
      <c r="AA2922">
        <f>IF(AND(ISNUMBER('자료_거시'!$J2904),ISNUMBER('자료_거시'!$K2904)),IFERROR('자료_거시'!$K2904/INDEX($Z$21:$Z$4020,MATCH(EDATE('자료_거시'!$J2904,-'설정'!$B$17),'자료_거시'!$J$3:INDEX('자료_거시'!$J$3:$J$4002,$K$8),1))-1,""),"")</f>
        <v/>
      </c>
      <c r="AB2922">
        <f>IF(ISNUMBER(AA2922),'자료_거시'!$J2904,"")</f>
        <v/>
      </c>
      <c r="AC2922">
        <f>IF(ISNUMBER(AB2922),IF(AB2922&gt;$L$8,AA2922,""),"")</f>
        <v/>
      </c>
    </row>
    <row r="2923">
      <c r="S2923">
        <f>IF(ISNUMBER('자료_거시'!$E2905),'자료_거시'!$E2905,S2922)</f>
        <v/>
      </c>
      <c r="T2923">
        <f>IF(AND(ISNUMBER('자료_거시'!$D2905),ISNUMBER('자료_거시'!$E2905)),IFERROR('자료_거시'!$E2905-INDEX($S$21:$S$4020,MATCH(EDATE('자료_거시'!$D2905,-'설정'!$B$17),'자료_거시'!$D$3:INDEX('자료_거시'!$D$3:$D$4002,$K$6),1)),""),"")</f>
        <v/>
      </c>
      <c r="U2923">
        <f>IF(ISNUMBER(T2923),'자료_거시'!$D2905,"")</f>
        <v/>
      </c>
      <c r="V2923">
        <f>IF(ISNUMBER(U2923),IF(U2923&gt;$L$6,T2923,""),"")</f>
        <v/>
      </c>
      <c r="W2923">
        <f>IF(AND(ISNUMBER('자료_거시'!$G2905),ISNUMBER('자료_거시'!$H2905)),'자료_거시'!$H2905,"")</f>
        <v/>
      </c>
      <c r="X2923">
        <f>IF(ISNUMBER(W2923),'자료_거시'!$G2905,"")</f>
        <v/>
      </c>
      <c r="Y2923">
        <f>IF(ISNUMBER(X2923),IF(X2923&gt;$L$7,W2923,""),"")</f>
        <v/>
      </c>
      <c r="Z2923">
        <f>IF(ISNUMBER('자료_거시'!$K2905),'자료_거시'!$K2905,Z2922)</f>
        <v/>
      </c>
      <c r="AA2923">
        <f>IF(AND(ISNUMBER('자료_거시'!$J2905),ISNUMBER('자료_거시'!$K2905)),IFERROR('자료_거시'!$K2905/INDEX($Z$21:$Z$4020,MATCH(EDATE('자료_거시'!$J2905,-'설정'!$B$17),'자료_거시'!$J$3:INDEX('자료_거시'!$J$3:$J$4002,$K$8),1))-1,""),"")</f>
        <v/>
      </c>
      <c r="AB2923">
        <f>IF(ISNUMBER(AA2923),'자료_거시'!$J2905,"")</f>
        <v/>
      </c>
      <c r="AC2923">
        <f>IF(ISNUMBER(AB2923),IF(AB2923&gt;$L$8,AA2923,""),"")</f>
        <v/>
      </c>
    </row>
    <row r="2924">
      <c r="S2924">
        <f>IF(ISNUMBER('자료_거시'!$E2906),'자료_거시'!$E2906,S2923)</f>
        <v/>
      </c>
      <c r="T2924">
        <f>IF(AND(ISNUMBER('자료_거시'!$D2906),ISNUMBER('자료_거시'!$E2906)),IFERROR('자료_거시'!$E2906-INDEX($S$21:$S$4020,MATCH(EDATE('자료_거시'!$D2906,-'설정'!$B$17),'자료_거시'!$D$3:INDEX('자료_거시'!$D$3:$D$4002,$K$6),1)),""),"")</f>
        <v/>
      </c>
      <c r="U2924">
        <f>IF(ISNUMBER(T2924),'자료_거시'!$D2906,"")</f>
        <v/>
      </c>
      <c r="V2924">
        <f>IF(ISNUMBER(U2924),IF(U2924&gt;$L$6,T2924,""),"")</f>
        <v/>
      </c>
      <c r="W2924">
        <f>IF(AND(ISNUMBER('자료_거시'!$G2906),ISNUMBER('자료_거시'!$H2906)),'자료_거시'!$H2906,"")</f>
        <v/>
      </c>
      <c r="X2924">
        <f>IF(ISNUMBER(W2924),'자료_거시'!$G2906,"")</f>
        <v/>
      </c>
      <c r="Y2924">
        <f>IF(ISNUMBER(X2924),IF(X2924&gt;$L$7,W2924,""),"")</f>
        <v/>
      </c>
      <c r="Z2924">
        <f>IF(ISNUMBER('자료_거시'!$K2906),'자료_거시'!$K2906,Z2923)</f>
        <v/>
      </c>
      <c r="AA2924">
        <f>IF(AND(ISNUMBER('자료_거시'!$J2906),ISNUMBER('자료_거시'!$K2906)),IFERROR('자료_거시'!$K2906/INDEX($Z$21:$Z$4020,MATCH(EDATE('자료_거시'!$J2906,-'설정'!$B$17),'자료_거시'!$J$3:INDEX('자료_거시'!$J$3:$J$4002,$K$8),1))-1,""),"")</f>
        <v/>
      </c>
      <c r="AB2924">
        <f>IF(ISNUMBER(AA2924),'자료_거시'!$J2906,"")</f>
        <v/>
      </c>
      <c r="AC2924">
        <f>IF(ISNUMBER(AB2924),IF(AB2924&gt;$L$8,AA2924,""),"")</f>
        <v/>
      </c>
    </row>
    <row r="2925">
      <c r="S2925">
        <f>IF(ISNUMBER('자료_거시'!$E2907),'자료_거시'!$E2907,S2924)</f>
        <v/>
      </c>
      <c r="T2925">
        <f>IF(AND(ISNUMBER('자료_거시'!$D2907),ISNUMBER('자료_거시'!$E2907)),IFERROR('자료_거시'!$E2907-INDEX($S$21:$S$4020,MATCH(EDATE('자료_거시'!$D2907,-'설정'!$B$17),'자료_거시'!$D$3:INDEX('자료_거시'!$D$3:$D$4002,$K$6),1)),""),"")</f>
        <v/>
      </c>
      <c r="U2925">
        <f>IF(ISNUMBER(T2925),'자료_거시'!$D2907,"")</f>
        <v/>
      </c>
      <c r="V2925">
        <f>IF(ISNUMBER(U2925),IF(U2925&gt;$L$6,T2925,""),"")</f>
        <v/>
      </c>
      <c r="W2925">
        <f>IF(AND(ISNUMBER('자료_거시'!$G2907),ISNUMBER('자료_거시'!$H2907)),'자료_거시'!$H2907,"")</f>
        <v/>
      </c>
      <c r="X2925">
        <f>IF(ISNUMBER(W2925),'자료_거시'!$G2907,"")</f>
        <v/>
      </c>
      <c r="Y2925">
        <f>IF(ISNUMBER(X2925),IF(X2925&gt;$L$7,W2925,""),"")</f>
        <v/>
      </c>
      <c r="Z2925">
        <f>IF(ISNUMBER('자료_거시'!$K2907),'자료_거시'!$K2907,Z2924)</f>
        <v/>
      </c>
      <c r="AA2925">
        <f>IF(AND(ISNUMBER('자료_거시'!$J2907),ISNUMBER('자료_거시'!$K2907)),IFERROR('자료_거시'!$K2907/INDEX($Z$21:$Z$4020,MATCH(EDATE('자료_거시'!$J2907,-'설정'!$B$17),'자료_거시'!$J$3:INDEX('자료_거시'!$J$3:$J$4002,$K$8),1))-1,""),"")</f>
        <v/>
      </c>
      <c r="AB2925">
        <f>IF(ISNUMBER(AA2925),'자료_거시'!$J2907,"")</f>
        <v/>
      </c>
      <c r="AC2925">
        <f>IF(ISNUMBER(AB2925),IF(AB2925&gt;$L$8,AA2925,""),"")</f>
        <v/>
      </c>
    </row>
    <row r="2926">
      <c r="S2926">
        <f>IF(ISNUMBER('자료_거시'!$E2908),'자료_거시'!$E2908,S2925)</f>
        <v/>
      </c>
      <c r="T2926">
        <f>IF(AND(ISNUMBER('자료_거시'!$D2908),ISNUMBER('자료_거시'!$E2908)),IFERROR('자료_거시'!$E2908-INDEX($S$21:$S$4020,MATCH(EDATE('자료_거시'!$D2908,-'설정'!$B$17),'자료_거시'!$D$3:INDEX('자료_거시'!$D$3:$D$4002,$K$6),1)),""),"")</f>
        <v/>
      </c>
      <c r="U2926">
        <f>IF(ISNUMBER(T2926),'자료_거시'!$D2908,"")</f>
        <v/>
      </c>
      <c r="V2926">
        <f>IF(ISNUMBER(U2926),IF(U2926&gt;$L$6,T2926,""),"")</f>
        <v/>
      </c>
      <c r="W2926">
        <f>IF(AND(ISNUMBER('자료_거시'!$G2908),ISNUMBER('자료_거시'!$H2908)),'자료_거시'!$H2908,"")</f>
        <v/>
      </c>
      <c r="X2926">
        <f>IF(ISNUMBER(W2926),'자료_거시'!$G2908,"")</f>
        <v/>
      </c>
      <c r="Y2926">
        <f>IF(ISNUMBER(X2926),IF(X2926&gt;$L$7,W2926,""),"")</f>
        <v/>
      </c>
      <c r="Z2926">
        <f>IF(ISNUMBER('자료_거시'!$K2908),'자료_거시'!$K2908,Z2925)</f>
        <v/>
      </c>
      <c r="AA2926">
        <f>IF(AND(ISNUMBER('자료_거시'!$J2908),ISNUMBER('자료_거시'!$K2908)),IFERROR('자료_거시'!$K2908/INDEX($Z$21:$Z$4020,MATCH(EDATE('자료_거시'!$J2908,-'설정'!$B$17),'자료_거시'!$J$3:INDEX('자료_거시'!$J$3:$J$4002,$K$8),1))-1,""),"")</f>
        <v/>
      </c>
      <c r="AB2926">
        <f>IF(ISNUMBER(AA2926),'자료_거시'!$J2908,"")</f>
        <v/>
      </c>
      <c r="AC2926">
        <f>IF(ISNUMBER(AB2926),IF(AB2926&gt;$L$8,AA2926,""),"")</f>
        <v/>
      </c>
    </row>
    <row r="2927">
      <c r="S2927">
        <f>IF(ISNUMBER('자료_거시'!$E2909),'자료_거시'!$E2909,S2926)</f>
        <v/>
      </c>
      <c r="T2927">
        <f>IF(AND(ISNUMBER('자료_거시'!$D2909),ISNUMBER('자료_거시'!$E2909)),IFERROR('자료_거시'!$E2909-INDEX($S$21:$S$4020,MATCH(EDATE('자료_거시'!$D2909,-'설정'!$B$17),'자료_거시'!$D$3:INDEX('자료_거시'!$D$3:$D$4002,$K$6),1)),""),"")</f>
        <v/>
      </c>
      <c r="U2927">
        <f>IF(ISNUMBER(T2927),'자료_거시'!$D2909,"")</f>
        <v/>
      </c>
      <c r="V2927">
        <f>IF(ISNUMBER(U2927),IF(U2927&gt;$L$6,T2927,""),"")</f>
        <v/>
      </c>
      <c r="W2927">
        <f>IF(AND(ISNUMBER('자료_거시'!$G2909),ISNUMBER('자료_거시'!$H2909)),'자료_거시'!$H2909,"")</f>
        <v/>
      </c>
      <c r="X2927">
        <f>IF(ISNUMBER(W2927),'자료_거시'!$G2909,"")</f>
        <v/>
      </c>
      <c r="Y2927">
        <f>IF(ISNUMBER(X2927),IF(X2927&gt;$L$7,W2927,""),"")</f>
        <v/>
      </c>
      <c r="Z2927">
        <f>IF(ISNUMBER('자료_거시'!$K2909),'자료_거시'!$K2909,Z2926)</f>
        <v/>
      </c>
      <c r="AA2927">
        <f>IF(AND(ISNUMBER('자료_거시'!$J2909),ISNUMBER('자료_거시'!$K2909)),IFERROR('자료_거시'!$K2909/INDEX($Z$21:$Z$4020,MATCH(EDATE('자료_거시'!$J2909,-'설정'!$B$17),'자료_거시'!$J$3:INDEX('자료_거시'!$J$3:$J$4002,$K$8),1))-1,""),"")</f>
        <v/>
      </c>
      <c r="AB2927">
        <f>IF(ISNUMBER(AA2927),'자료_거시'!$J2909,"")</f>
        <v/>
      </c>
      <c r="AC2927">
        <f>IF(ISNUMBER(AB2927),IF(AB2927&gt;$L$8,AA2927,""),"")</f>
        <v/>
      </c>
    </row>
    <row r="2928">
      <c r="S2928">
        <f>IF(ISNUMBER('자료_거시'!$E2910),'자료_거시'!$E2910,S2927)</f>
        <v/>
      </c>
      <c r="T2928">
        <f>IF(AND(ISNUMBER('자료_거시'!$D2910),ISNUMBER('자료_거시'!$E2910)),IFERROR('자료_거시'!$E2910-INDEX($S$21:$S$4020,MATCH(EDATE('자료_거시'!$D2910,-'설정'!$B$17),'자료_거시'!$D$3:INDEX('자료_거시'!$D$3:$D$4002,$K$6),1)),""),"")</f>
        <v/>
      </c>
      <c r="U2928">
        <f>IF(ISNUMBER(T2928),'자료_거시'!$D2910,"")</f>
        <v/>
      </c>
      <c r="V2928">
        <f>IF(ISNUMBER(U2928),IF(U2928&gt;$L$6,T2928,""),"")</f>
        <v/>
      </c>
      <c r="W2928">
        <f>IF(AND(ISNUMBER('자료_거시'!$G2910),ISNUMBER('자료_거시'!$H2910)),'자료_거시'!$H2910,"")</f>
        <v/>
      </c>
      <c r="X2928">
        <f>IF(ISNUMBER(W2928),'자료_거시'!$G2910,"")</f>
        <v/>
      </c>
      <c r="Y2928">
        <f>IF(ISNUMBER(X2928),IF(X2928&gt;$L$7,W2928,""),"")</f>
        <v/>
      </c>
      <c r="Z2928">
        <f>IF(ISNUMBER('자료_거시'!$K2910),'자료_거시'!$K2910,Z2927)</f>
        <v/>
      </c>
      <c r="AA2928">
        <f>IF(AND(ISNUMBER('자료_거시'!$J2910),ISNUMBER('자료_거시'!$K2910)),IFERROR('자료_거시'!$K2910/INDEX($Z$21:$Z$4020,MATCH(EDATE('자료_거시'!$J2910,-'설정'!$B$17),'자료_거시'!$J$3:INDEX('자료_거시'!$J$3:$J$4002,$K$8),1))-1,""),"")</f>
        <v/>
      </c>
      <c r="AB2928">
        <f>IF(ISNUMBER(AA2928),'자료_거시'!$J2910,"")</f>
        <v/>
      </c>
      <c r="AC2928">
        <f>IF(ISNUMBER(AB2928),IF(AB2928&gt;$L$8,AA2928,""),"")</f>
        <v/>
      </c>
    </row>
    <row r="2929">
      <c r="S2929">
        <f>IF(ISNUMBER('자료_거시'!$E2911),'자료_거시'!$E2911,S2928)</f>
        <v/>
      </c>
      <c r="T2929">
        <f>IF(AND(ISNUMBER('자료_거시'!$D2911),ISNUMBER('자료_거시'!$E2911)),IFERROR('자료_거시'!$E2911-INDEX($S$21:$S$4020,MATCH(EDATE('자료_거시'!$D2911,-'설정'!$B$17),'자료_거시'!$D$3:INDEX('자료_거시'!$D$3:$D$4002,$K$6),1)),""),"")</f>
        <v/>
      </c>
      <c r="U2929">
        <f>IF(ISNUMBER(T2929),'자료_거시'!$D2911,"")</f>
        <v/>
      </c>
      <c r="V2929">
        <f>IF(ISNUMBER(U2929),IF(U2929&gt;$L$6,T2929,""),"")</f>
        <v/>
      </c>
      <c r="W2929">
        <f>IF(AND(ISNUMBER('자료_거시'!$G2911),ISNUMBER('자료_거시'!$H2911)),'자료_거시'!$H2911,"")</f>
        <v/>
      </c>
      <c r="X2929">
        <f>IF(ISNUMBER(W2929),'자료_거시'!$G2911,"")</f>
        <v/>
      </c>
      <c r="Y2929">
        <f>IF(ISNUMBER(X2929),IF(X2929&gt;$L$7,W2929,""),"")</f>
        <v/>
      </c>
      <c r="Z2929">
        <f>IF(ISNUMBER('자료_거시'!$K2911),'자료_거시'!$K2911,Z2928)</f>
        <v/>
      </c>
      <c r="AA2929">
        <f>IF(AND(ISNUMBER('자료_거시'!$J2911),ISNUMBER('자료_거시'!$K2911)),IFERROR('자료_거시'!$K2911/INDEX($Z$21:$Z$4020,MATCH(EDATE('자료_거시'!$J2911,-'설정'!$B$17),'자료_거시'!$J$3:INDEX('자료_거시'!$J$3:$J$4002,$K$8),1))-1,""),"")</f>
        <v/>
      </c>
      <c r="AB2929">
        <f>IF(ISNUMBER(AA2929),'자료_거시'!$J2911,"")</f>
        <v/>
      </c>
      <c r="AC2929">
        <f>IF(ISNUMBER(AB2929),IF(AB2929&gt;$L$8,AA2929,""),"")</f>
        <v/>
      </c>
    </row>
    <row r="2930">
      <c r="S2930">
        <f>IF(ISNUMBER('자료_거시'!$E2912),'자료_거시'!$E2912,S2929)</f>
        <v/>
      </c>
      <c r="T2930">
        <f>IF(AND(ISNUMBER('자료_거시'!$D2912),ISNUMBER('자료_거시'!$E2912)),IFERROR('자료_거시'!$E2912-INDEX($S$21:$S$4020,MATCH(EDATE('자료_거시'!$D2912,-'설정'!$B$17),'자료_거시'!$D$3:INDEX('자료_거시'!$D$3:$D$4002,$K$6),1)),""),"")</f>
        <v/>
      </c>
      <c r="U2930">
        <f>IF(ISNUMBER(T2930),'자료_거시'!$D2912,"")</f>
        <v/>
      </c>
      <c r="V2930">
        <f>IF(ISNUMBER(U2930),IF(U2930&gt;$L$6,T2930,""),"")</f>
        <v/>
      </c>
      <c r="W2930">
        <f>IF(AND(ISNUMBER('자료_거시'!$G2912),ISNUMBER('자료_거시'!$H2912)),'자료_거시'!$H2912,"")</f>
        <v/>
      </c>
      <c r="X2930">
        <f>IF(ISNUMBER(W2930),'자료_거시'!$G2912,"")</f>
        <v/>
      </c>
      <c r="Y2930">
        <f>IF(ISNUMBER(X2930),IF(X2930&gt;$L$7,W2930,""),"")</f>
        <v/>
      </c>
      <c r="Z2930">
        <f>IF(ISNUMBER('자료_거시'!$K2912),'자료_거시'!$K2912,Z2929)</f>
        <v/>
      </c>
      <c r="AA2930">
        <f>IF(AND(ISNUMBER('자료_거시'!$J2912),ISNUMBER('자료_거시'!$K2912)),IFERROR('자료_거시'!$K2912/INDEX($Z$21:$Z$4020,MATCH(EDATE('자료_거시'!$J2912,-'설정'!$B$17),'자료_거시'!$J$3:INDEX('자료_거시'!$J$3:$J$4002,$K$8),1))-1,""),"")</f>
        <v/>
      </c>
      <c r="AB2930">
        <f>IF(ISNUMBER(AA2930),'자료_거시'!$J2912,"")</f>
        <v/>
      </c>
      <c r="AC2930">
        <f>IF(ISNUMBER(AB2930),IF(AB2930&gt;$L$8,AA2930,""),"")</f>
        <v/>
      </c>
    </row>
    <row r="2931">
      <c r="S2931">
        <f>IF(ISNUMBER('자료_거시'!$E2913),'자료_거시'!$E2913,S2930)</f>
        <v/>
      </c>
      <c r="T2931">
        <f>IF(AND(ISNUMBER('자료_거시'!$D2913),ISNUMBER('자료_거시'!$E2913)),IFERROR('자료_거시'!$E2913-INDEX($S$21:$S$4020,MATCH(EDATE('자료_거시'!$D2913,-'설정'!$B$17),'자료_거시'!$D$3:INDEX('자료_거시'!$D$3:$D$4002,$K$6),1)),""),"")</f>
        <v/>
      </c>
      <c r="U2931">
        <f>IF(ISNUMBER(T2931),'자료_거시'!$D2913,"")</f>
        <v/>
      </c>
      <c r="V2931">
        <f>IF(ISNUMBER(U2931),IF(U2931&gt;$L$6,T2931,""),"")</f>
        <v/>
      </c>
      <c r="W2931">
        <f>IF(AND(ISNUMBER('자료_거시'!$G2913),ISNUMBER('자료_거시'!$H2913)),'자료_거시'!$H2913,"")</f>
        <v/>
      </c>
      <c r="X2931">
        <f>IF(ISNUMBER(W2931),'자료_거시'!$G2913,"")</f>
        <v/>
      </c>
      <c r="Y2931">
        <f>IF(ISNUMBER(X2931),IF(X2931&gt;$L$7,W2931,""),"")</f>
        <v/>
      </c>
      <c r="Z2931">
        <f>IF(ISNUMBER('자료_거시'!$K2913),'자료_거시'!$K2913,Z2930)</f>
        <v/>
      </c>
      <c r="AA2931">
        <f>IF(AND(ISNUMBER('자료_거시'!$J2913),ISNUMBER('자료_거시'!$K2913)),IFERROR('자료_거시'!$K2913/INDEX($Z$21:$Z$4020,MATCH(EDATE('자료_거시'!$J2913,-'설정'!$B$17),'자료_거시'!$J$3:INDEX('자료_거시'!$J$3:$J$4002,$K$8),1))-1,""),"")</f>
        <v/>
      </c>
      <c r="AB2931">
        <f>IF(ISNUMBER(AA2931),'자료_거시'!$J2913,"")</f>
        <v/>
      </c>
      <c r="AC2931">
        <f>IF(ISNUMBER(AB2931),IF(AB2931&gt;$L$8,AA2931,""),"")</f>
        <v/>
      </c>
    </row>
    <row r="2932">
      <c r="S2932">
        <f>IF(ISNUMBER('자료_거시'!$E2914),'자료_거시'!$E2914,S2931)</f>
        <v/>
      </c>
      <c r="T2932">
        <f>IF(AND(ISNUMBER('자료_거시'!$D2914),ISNUMBER('자료_거시'!$E2914)),IFERROR('자료_거시'!$E2914-INDEX($S$21:$S$4020,MATCH(EDATE('자료_거시'!$D2914,-'설정'!$B$17),'자료_거시'!$D$3:INDEX('자료_거시'!$D$3:$D$4002,$K$6),1)),""),"")</f>
        <v/>
      </c>
      <c r="U2932">
        <f>IF(ISNUMBER(T2932),'자료_거시'!$D2914,"")</f>
        <v/>
      </c>
      <c r="V2932">
        <f>IF(ISNUMBER(U2932),IF(U2932&gt;$L$6,T2932,""),"")</f>
        <v/>
      </c>
      <c r="W2932">
        <f>IF(AND(ISNUMBER('자료_거시'!$G2914),ISNUMBER('자료_거시'!$H2914)),'자료_거시'!$H2914,"")</f>
        <v/>
      </c>
      <c r="X2932">
        <f>IF(ISNUMBER(W2932),'자료_거시'!$G2914,"")</f>
        <v/>
      </c>
      <c r="Y2932">
        <f>IF(ISNUMBER(X2932),IF(X2932&gt;$L$7,W2932,""),"")</f>
        <v/>
      </c>
      <c r="Z2932">
        <f>IF(ISNUMBER('자료_거시'!$K2914),'자료_거시'!$K2914,Z2931)</f>
        <v/>
      </c>
      <c r="AA2932">
        <f>IF(AND(ISNUMBER('자료_거시'!$J2914),ISNUMBER('자료_거시'!$K2914)),IFERROR('자료_거시'!$K2914/INDEX($Z$21:$Z$4020,MATCH(EDATE('자료_거시'!$J2914,-'설정'!$B$17),'자료_거시'!$J$3:INDEX('자료_거시'!$J$3:$J$4002,$K$8),1))-1,""),"")</f>
        <v/>
      </c>
      <c r="AB2932">
        <f>IF(ISNUMBER(AA2932),'자료_거시'!$J2914,"")</f>
        <v/>
      </c>
      <c r="AC2932">
        <f>IF(ISNUMBER(AB2932),IF(AB2932&gt;$L$8,AA2932,""),"")</f>
        <v/>
      </c>
    </row>
    <row r="2933">
      <c r="S2933">
        <f>IF(ISNUMBER('자료_거시'!$E2915),'자료_거시'!$E2915,S2932)</f>
        <v/>
      </c>
      <c r="T2933">
        <f>IF(AND(ISNUMBER('자료_거시'!$D2915),ISNUMBER('자료_거시'!$E2915)),IFERROR('자료_거시'!$E2915-INDEX($S$21:$S$4020,MATCH(EDATE('자료_거시'!$D2915,-'설정'!$B$17),'자료_거시'!$D$3:INDEX('자료_거시'!$D$3:$D$4002,$K$6),1)),""),"")</f>
        <v/>
      </c>
      <c r="U2933">
        <f>IF(ISNUMBER(T2933),'자료_거시'!$D2915,"")</f>
        <v/>
      </c>
      <c r="V2933">
        <f>IF(ISNUMBER(U2933),IF(U2933&gt;$L$6,T2933,""),"")</f>
        <v/>
      </c>
      <c r="W2933">
        <f>IF(AND(ISNUMBER('자료_거시'!$G2915),ISNUMBER('자료_거시'!$H2915)),'자료_거시'!$H2915,"")</f>
        <v/>
      </c>
      <c r="X2933">
        <f>IF(ISNUMBER(W2933),'자료_거시'!$G2915,"")</f>
        <v/>
      </c>
      <c r="Y2933">
        <f>IF(ISNUMBER(X2933),IF(X2933&gt;$L$7,W2933,""),"")</f>
        <v/>
      </c>
      <c r="Z2933">
        <f>IF(ISNUMBER('자료_거시'!$K2915),'자료_거시'!$K2915,Z2932)</f>
        <v/>
      </c>
      <c r="AA2933">
        <f>IF(AND(ISNUMBER('자료_거시'!$J2915),ISNUMBER('자료_거시'!$K2915)),IFERROR('자료_거시'!$K2915/INDEX($Z$21:$Z$4020,MATCH(EDATE('자료_거시'!$J2915,-'설정'!$B$17),'자료_거시'!$J$3:INDEX('자료_거시'!$J$3:$J$4002,$K$8),1))-1,""),"")</f>
        <v/>
      </c>
      <c r="AB2933">
        <f>IF(ISNUMBER(AA2933),'자료_거시'!$J2915,"")</f>
        <v/>
      </c>
      <c r="AC2933">
        <f>IF(ISNUMBER(AB2933),IF(AB2933&gt;$L$8,AA2933,""),"")</f>
        <v/>
      </c>
    </row>
    <row r="2934">
      <c r="S2934">
        <f>IF(ISNUMBER('자료_거시'!$E2916),'자료_거시'!$E2916,S2933)</f>
        <v/>
      </c>
      <c r="T2934">
        <f>IF(AND(ISNUMBER('자료_거시'!$D2916),ISNUMBER('자료_거시'!$E2916)),IFERROR('자료_거시'!$E2916-INDEX($S$21:$S$4020,MATCH(EDATE('자료_거시'!$D2916,-'설정'!$B$17),'자료_거시'!$D$3:INDEX('자료_거시'!$D$3:$D$4002,$K$6),1)),""),"")</f>
        <v/>
      </c>
      <c r="U2934">
        <f>IF(ISNUMBER(T2934),'자료_거시'!$D2916,"")</f>
        <v/>
      </c>
      <c r="V2934">
        <f>IF(ISNUMBER(U2934),IF(U2934&gt;$L$6,T2934,""),"")</f>
        <v/>
      </c>
      <c r="W2934">
        <f>IF(AND(ISNUMBER('자료_거시'!$G2916),ISNUMBER('자료_거시'!$H2916)),'자료_거시'!$H2916,"")</f>
        <v/>
      </c>
      <c r="X2934">
        <f>IF(ISNUMBER(W2934),'자료_거시'!$G2916,"")</f>
        <v/>
      </c>
      <c r="Y2934">
        <f>IF(ISNUMBER(X2934),IF(X2934&gt;$L$7,W2934,""),"")</f>
        <v/>
      </c>
      <c r="Z2934">
        <f>IF(ISNUMBER('자료_거시'!$K2916),'자료_거시'!$K2916,Z2933)</f>
        <v/>
      </c>
      <c r="AA2934">
        <f>IF(AND(ISNUMBER('자료_거시'!$J2916),ISNUMBER('자료_거시'!$K2916)),IFERROR('자료_거시'!$K2916/INDEX($Z$21:$Z$4020,MATCH(EDATE('자료_거시'!$J2916,-'설정'!$B$17),'자료_거시'!$J$3:INDEX('자료_거시'!$J$3:$J$4002,$K$8),1))-1,""),"")</f>
        <v/>
      </c>
      <c r="AB2934">
        <f>IF(ISNUMBER(AA2934),'자료_거시'!$J2916,"")</f>
        <v/>
      </c>
      <c r="AC2934">
        <f>IF(ISNUMBER(AB2934),IF(AB2934&gt;$L$8,AA2934,""),"")</f>
        <v/>
      </c>
    </row>
    <row r="2935">
      <c r="S2935">
        <f>IF(ISNUMBER('자료_거시'!$E2917),'자료_거시'!$E2917,S2934)</f>
        <v/>
      </c>
      <c r="T2935">
        <f>IF(AND(ISNUMBER('자료_거시'!$D2917),ISNUMBER('자료_거시'!$E2917)),IFERROR('자료_거시'!$E2917-INDEX($S$21:$S$4020,MATCH(EDATE('자료_거시'!$D2917,-'설정'!$B$17),'자료_거시'!$D$3:INDEX('자료_거시'!$D$3:$D$4002,$K$6),1)),""),"")</f>
        <v/>
      </c>
      <c r="U2935">
        <f>IF(ISNUMBER(T2935),'자료_거시'!$D2917,"")</f>
        <v/>
      </c>
      <c r="V2935">
        <f>IF(ISNUMBER(U2935),IF(U2935&gt;$L$6,T2935,""),"")</f>
        <v/>
      </c>
      <c r="W2935">
        <f>IF(AND(ISNUMBER('자료_거시'!$G2917),ISNUMBER('자료_거시'!$H2917)),'자료_거시'!$H2917,"")</f>
        <v/>
      </c>
      <c r="X2935">
        <f>IF(ISNUMBER(W2935),'자료_거시'!$G2917,"")</f>
        <v/>
      </c>
      <c r="Y2935">
        <f>IF(ISNUMBER(X2935),IF(X2935&gt;$L$7,W2935,""),"")</f>
        <v/>
      </c>
      <c r="Z2935">
        <f>IF(ISNUMBER('자료_거시'!$K2917),'자료_거시'!$K2917,Z2934)</f>
        <v/>
      </c>
      <c r="AA2935">
        <f>IF(AND(ISNUMBER('자료_거시'!$J2917),ISNUMBER('자료_거시'!$K2917)),IFERROR('자료_거시'!$K2917/INDEX($Z$21:$Z$4020,MATCH(EDATE('자료_거시'!$J2917,-'설정'!$B$17),'자료_거시'!$J$3:INDEX('자료_거시'!$J$3:$J$4002,$K$8),1))-1,""),"")</f>
        <v/>
      </c>
      <c r="AB2935">
        <f>IF(ISNUMBER(AA2935),'자료_거시'!$J2917,"")</f>
        <v/>
      </c>
      <c r="AC2935">
        <f>IF(ISNUMBER(AB2935),IF(AB2935&gt;$L$8,AA2935,""),"")</f>
        <v/>
      </c>
    </row>
    <row r="2936">
      <c r="S2936">
        <f>IF(ISNUMBER('자료_거시'!$E2918),'자료_거시'!$E2918,S2935)</f>
        <v/>
      </c>
      <c r="T2936">
        <f>IF(AND(ISNUMBER('자료_거시'!$D2918),ISNUMBER('자료_거시'!$E2918)),IFERROR('자료_거시'!$E2918-INDEX($S$21:$S$4020,MATCH(EDATE('자료_거시'!$D2918,-'설정'!$B$17),'자료_거시'!$D$3:INDEX('자료_거시'!$D$3:$D$4002,$K$6),1)),""),"")</f>
        <v/>
      </c>
      <c r="U2936">
        <f>IF(ISNUMBER(T2936),'자료_거시'!$D2918,"")</f>
        <v/>
      </c>
      <c r="V2936">
        <f>IF(ISNUMBER(U2936),IF(U2936&gt;$L$6,T2936,""),"")</f>
        <v/>
      </c>
      <c r="W2936">
        <f>IF(AND(ISNUMBER('자료_거시'!$G2918),ISNUMBER('자료_거시'!$H2918)),'자료_거시'!$H2918,"")</f>
        <v/>
      </c>
      <c r="X2936">
        <f>IF(ISNUMBER(W2936),'자료_거시'!$G2918,"")</f>
        <v/>
      </c>
      <c r="Y2936">
        <f>IF(ISNUMBER(X2936),IF(X2936&gt;$L$7,W2936,""),"")</f>
        <v/>
      </c>
      <c r="Z2936">
        <f>IF(ISNUMBER('자료_거시'!$K2918),'자료_거시'!$K2918,Z2935)</f>
        <v/>
      </c>
      <c r="AA2936">
        <f>IF(AND(ISNUMBER('자료_거시'!$J2918),ISNUMBER('자료_거시'!$K2918)),IFERROR('자료_거시'!$K2918/INDEX($Z$21:$Z$4020,MATCH(EDATE('자료_거시'!$J2918,-'설정'!$B$17),'자료_거시'!$J$3:INDEX('자료_거시'!$J$3:$J$4002,$K$8),1))-1,""),"")</f>
        <v/>
      </c>
      <c r="AB2936">
        <f>IF(ISNUMBER(AA2936),'자료_거시'!$J2918,"")</f>
        <v/>
      </c>
      <c r="AC2936">
        <f>IF(ISNUMBER(AB2936),IF(AB2936&gt;$L$8,AA2936,""),"")</f>
        <v/>
      </c>
    </row>
    <row r="2937">
      <c r="S2937">
        <f>IF(ISNUMBER('자료_거시'!$E2919),'자료_거시'!$E2919,S2936)</f>
        <v/>
      </c>
      <c r="T2937">
        <f>IF(AND(ISNUMBER('자료_거시'!$D2919),ISNUMBER('자료_거시'!$E2919)),IFERROR('자료_거시'!$E2919-INDEX($S$21:$S$4020,MATCH(EDATE('자료_거시'!$D2919,-'설정'!$B$17),'자료_거시'!$D$3:INDEX('자료_거시'!$D$3:$D$4002,$K$6),1)),""),"")</f>
        <v/>
      </c>
      <c r="U2937">
        <f>IF(ISNUMBER(T2937),'자료_거시'!$D2919,"")</f>
        <v/>
      </c>
      <c r="V2937">
        <f>IF(ISNUMBER(U2937),IF(U2937&gt;$L$6,T2937,""),"")</f>
        <v/>
      </c>
      <c r="W2937">
        <f>IF(AND(ISNUMBER('자료_거시'!$G2919),ISNUMBER('자료_거시'!$H2919)),'자료_거시'!$H2919,"")</f>
        <v/>
      </c>
      <c r="X2937">
        <f>IF(ISNUMBER(W2937),'자료_거시'!$G2919,"")</f>
        <v/>
      </c>
      <c r="Y2937">
        <f>IF(ISNUMBER(X2937),IF(X2937&gt;$L$7,W2937,""),"")</f>
        <v/>
      </c>
      <c r="Z2937">
        <f>IF(ISNUMBER('자료_거시'!$K2919),'자료_거시'!$K2919,Z2936)</f>
        <v/>
      </c>
      <c r="AA2937">
        <f>IF(AND(ISNUMBER('자료_거시'!$J2919),ISNUMBER('자료_거시'!$K2919)),IFERROR('자료_거시'!$K2919/INDEX($Z$21:$Z$4020,MATCH(EDATE('자료_거시'!$J2919,-'설정'!$B$17),'자료_거시'!$J$3:INDEX('자료_거시'!$J$3:$J$4002,$K$8),1))-1,""),"")</f>
        <v/>
      </c>
      <c r="AB2937">
        <f>IF(ISNUMBER(AA2937),'자료_거시'!$J2919,"")</f>
        <v/>
      </c>
      <c r="AC2937">
        <f>IF(ISNUMBER(AB2937),IF(AB2937&gt;$L$8,AA2937,""),"")</f>
        <v/>
      </c>
    </row>
    <row r="2938">
      <c r="S2938">
        <f>IF(ISNUMBER('자료_거시'!$E2920),'자료_거시'!$E2920,S2937)</f>
        <v/>
      </c>
      <c r="T2938">
        <f>IF(AND(ISNUMBER('자료_거시'!$D2920),ISNUMBER('자료_거시'!$E2920)),IFERROR('자료_거시'!$E2920-INDEX($S$21:$S$4020,MATCH(EDATE('자료_거시'!$D2920,-'설정'!$B$17),'자료_거시'!$D$3:INDEX('자료_거시'!$D$3:$D$4002,$K$6),1)),""),"")</f>
        <v/>
      </c>
      <c r="U2938">
        <f>IF(ISNUMBER(T2938),'자료_거시'!$D2920,"")</f>
        <v/>
      </c>
      <c r="V2938">
        <f>IF(ISNUMBER(U2938),IF(U2938&gt;$L$6,T2938,""),"")</f>
        <v/>
      </c>
      <c r="W2938">
        <f>IF(AND(ISNUMBER('자료_거시'!$G2920),ISNUMBER('자료_거시'!$H2920)),'자료_거시'!$H2920,"")</f>
        <v/>
      </c>
      <c r="X2938">
        <f>IF(ISNUMBER(W2938),'자료_거시'!$G2920,"")</f>
        <v/>
      </c>
      <c r="Y2938">
        <f>IF(ISNUMBER(X2938),IF(X2938&gt;$L$7,W2938,""),"")</f>
        <v/>
      </c>
      <c r="Z2938">
        <f>IF(ISNUMBER('자료_거시'!$K2920),'자료_거시'!$K2920,Z2937)</f>
        <v/>
      </c>
      <c r="AA2938">
        <f>IF(AND(ISNUMBER('자료_거시'!$J2920),ISNUMBER('자료_거시'!$K2920)),IFERROR('자료_거시'!$K2920/INDEX($Z$21:$Z$4020,MATCH(EDATE('자료_거시'!$J2920,-'설정'!$B$17),'자료_거시'!$J$3:INDEX('자료_거시'!$J$3:$J$4002,$K$8),1))-1,""),"")</f>
        <v/>
      </c>
      <c r="AB2938">
        <f>IF(ISNUMBER(AA2938),'자료_거시'!$J2920,"")</f>
        <v/>
      </c>
      <c r="AC2938">
        <f>IF(ISNUMBER(AB2938),IF(AB2938&gt;$L$8,AA2938,""),"")</f>
        <v/>
      </c>
    </row>
    <row r="2939">
      <c r="S2939">
        <f>IF(ISNUMBER('자료_거시'!$E2921),'자료_거시'!$E2921,S2938)</f>
        <v/>
      </c>
      <c r="T2939">
        <f>IF(AND(ISNUMBER('자료_거시'!$D2921),ISNUMBER('자료_거시'!$E2921)),IFERROR('자료_거시'!$E2921-INDEX($S$21:$S$4020,MATCH(EDATE('자료_거시'!$D2921,-'설정'!$B$17),'자료_거시'!$D$3:INDEX('자료_거시'!$D$3:$D$4002,$K$6),1)),""),"")</f>
        <v/>
      </c>
      <c r="U2939">
        <f>IF(ISNUMBER(T2939),'자료_거시'!$D2921,"")</f>
        <v/>
      </c>
      <c r="V2939">
        <f>IF(ISNUMBER(U2939),IF(U2939&gt;$L$6,T2939,""),"")</f>
        <v/>
      </c>
      <c r="W2939">
        <f>IF(AND(ISNUMBER('자료_거시'!$G2921),ISNUMBER('자료_거시'!$H2921)),'자료_거시'!$H2921,"")</f>
        <v/>
      </c>
      <c r="X2939">
        <f>IF(ISNUMBER(W2939),'자료_거시'!$G2921,"")</f>
        <v/>
      </c>
      <c r="Y2939">
        <f>IF(ISNUMBER(X2939),IF(X2939&gt;$L$7,W2939,""),"")</f>
        <v/>
      </c>
      <c r="Z2939">
        <f>IF(ISNUMBER('자료_거시'!$K2921),'자료_거시'!$K2921,Z2938)</f>
        <v/>
      </c>
      <c r="AA2939">
        <f>IF(AND(ISNUMBER('자료_거시'!$J2921),ISNUMBER('자료_거시'!$K2921)),IFERROR('자료_거시'!$K2921/INDEX($Z$21:$Z$4020,MATCH(EDATE('자료_거시'!$J2921,-'설정'!$B$17),'자료_거시'!$J$3:INDEX('자료_거시'!$J$3:$J$4002,$K$8),1))-1,""),"")</f>
        <v/>
      </c>
      <c r="AB2939">
        <f>IF(ISNUMBER(AA2939),'자료_거시'!$J2921,"")</f>
        <v/>
      </c>
      <c r="AC2939">
        <f>IF(ISNUMBER(AB2939),IF(AB2939&gt;$L$8,AA2939,""),"")</f>
        <v/>
      </c>
    </row>
    <row r="2940">
      <c r="S2940">
        <f>IF(ISNUMBER('자료_거시'!$E2922),'자료_거시'!$E2922,S2939)</f>
        <v/>
      </c>
      <c r="T2940">
        <f>IF(AND(ISNUMBER('자료_거시'!$D2922),ISNUMBER('자료_거시'!$E2922)),IFERROR('자료_거시'!$E2922-INDEX($S$21:$S$4020,MATCH(EDATE('자료_거시'!$D2922,-'설정'!$B$17),'자료_거시'!$D$3:INDEX('자료_거시'!$D$3:$D$4002,$K$6),1)),""),"")</f>
        <v/>
      </c>
      <c r="U2940">
        <f>IF(ISNUMBER(T2940),'자료_거시'!$D2922,"")</f>
        <v/>
      </c>
      <c r="V2940">
        <f>IF(ISNUMBER(U2940),IF(U2940&gt;$L$6,T2940,""),"")</f>
        <v/>
      </c>
      <c r="W2940">
        <f>IF(AND(ISNUMBER('자료_거시'!$G2922),ISNUMBER('자료_거시'!$H2922)),'자료_거시'!$H2922,"")</f>
        <v/>
      </c>
      <c r="X2940">
        <f>IF(ISNUMBER(W2940),'자료_거시'!$G2922,"")</f>
        <v/>
      </c>
      <c r="Y2940">
        <f>IF(ISNUMBER(X2940),IF(X2940&gt;$L$7,W2940,""),"")</f>
        <v/>
      </c>
      <c r="Z2940">
        <f>IF(ISNUMBER('자료_거시'!$K2922),'자료_거시'!$K2922,Z2939)</f>
        <v/>
      </c>
      <c r="AA2940">
        <f>IF(AND(ISNUMBER('자료_거시'!$J2922),ISNUMBER('자료_거시'!$K2922)),IFERROR('자료_거시'!$K2922/INDEX($Z$21:$Z$4020,MATCH(EDATE('자료_거시'!$J2922,-'설정'!$B$17),'자료_거시'!$J$3:INDEX('자료_거시'!$J$3:$J$4002,$K$8),1))-1,""),"")</f>
        <v/>
      </c>
      <c r="AB2940">
        <f>IF(ISNUMBER(AA2940),'자료_거시'!$J2922,"")</f>
        <v/>
      </c>
      <c r="AC2940">
        <f>IF(ISNUMBER(AB2940),IF(AB2940&gt;$L$8,AA2940,""),"")</f>
        <v/>
      </c>
    </row>
    <row r="2941">
      <c r="S2941">
        <f>IF(ISNUMBER('자료_거시'!$E2923),'자료_거시'!$E2923,S2940)</f>
        <v/>
      </c>
      <c r="T2941">
        <f>IF(AND(ISNUMBER('자료_거시'!$D2923),ISNUMBER('자료_거시'!$E2923)),IFERROR('자료_거시'!$E2923-INDEX($S$21:$S$4020,MATCH(EDATE('자료_거시'!$D2923,-'설정'!$B$17),'자료_거시'!$D$3:INDEX('자료_거시'!$D$3:$D$4002,$K$6),1)),""),"")</f>
        <v/>
      </c>
      <c r="U2941">
        <f>IF(ISNUMBER(T2941),'자료_거시'!$D2923,"")</f>
        <v/>
      </c>
      <c r="V2941">
        <f>IF(ISNUMBER(U2941),IF(U2941&gt;$L$6,T2941,""),"")</f>
        <v/>
      </c>
      <c r="W2941">
        <f>IF(AND(ISNUMBER('자료_거시'!$G2923),ISNUMBER('자료_거시'!$H2923)),'자료_거시'!$H2923,"")</f>
        <v/>
      </c>
      <c r="X2941">
        <f>IF(ISNUMBER(W2941),'자료_거시'!$G2923,"")</f>
        <v/>
      </c>
      <c r="Y2941">
        <f>IF(ISNUMBER(X2941),IF(X2941&gt;$L$7,W2941,""),"")</f>
        <v/>
      </c>
      <c r="Z2941">
        <f>IF(ISNUMBER('자료_거시'!$K2923),'자료_거시'!$K2923,Z2940)</f>
        <v/>
      </c>
      <c r="AA2941">
        <f>IF(AND(ISNUMBER('자료_거시'!$J2923),ISNUMBER('자료_거시'!$K2923)),IFERROR('자료_거시'!$K2923/INDEX($Z$21:$Z$4020,MATCH(EDATE('자료_거시'!$J2923,-'설정'!$B$17),'자료_거시'!$J$3:INDEX('자료_거시'!$J$3:$J$4002,$K$8),1))-1,""),"")</f>
        <v/>
      </c>
      <c r="AB2941">
        <f>IF(ISNUMBER(AA2941),'자료_거시'!$J2923,"")</f>
        <v/>
      </c>
      <c r="AC2941">
        <f>IF(ISNUMBER(AB2941),IF(AB2941&gt;$L$8,AA2941,""),"")</f>
        <v/>
      </c>
    </row>
    <row r="2942">
      <c r="S2942">
        <f>IF(ISNUMBER('자료_거시'!$E2924),'자료_거시'!$E2924,S2941)</f>
        <v/>
      </c>
      <c r="T2942">
        <f>IF(AND(ISNUMBER('자료_거시'!$D2924),ISNUMBER('자료_거시'!$E2924)),IFERROR('자료_거시'!$E2924-INDEX($S$21:$S$4020,MATCH(EDATE('자료_거시'!$D2924,-'설정'!$B$17),'자료_거시'!$D$3:INDEX('자료_거시'!$D$3:$D$4002,$K$6),1)),""),"")</f>
        <v/>
      </c>
      <c r="U2942">
        <f>IF(ISNUMBER(T2942),'자료_거시'!$D2924,"")</f>
        <v/>
      </c>
      <c r="V2942">
        <f>IF(ISNUMBER(U2942),IF(U2942&gt;$L$6,T2942,""),"")</f>
        <v/>
      </c>
      <c r="W2942">
        <f>IF(AND(ISNUMBER('자료_거시'!$G2924),ISNUMBER('자료_거시'!$H2924)),'자료_거시'!$H2924,"")</f>
        <v/>
      </c>
      <c r="X2942">
        <f>IF(ISNUMBER(W2942),'자료_거시'!$G2924,"")</f>
        <v/>
      </c>
      <c r="Y2942">
        <f>IF(ISNUMBER(X2942),IF(X2942&gt;$L$7,W2942,""),"")</f>
        <v/>
      </c>
      <c r="Z2942">
        <f>IF(ISNUMBER('자료_거시'!$K2924),'자료_거시'!$K2924,Z2941)</f>
        <v/>
      </c>
      <c r="AA2942">
        <f>IF(AND(ISNUMBER('자료_거시'!$J2924),ISNUMBER('자료_거시'!$K2924)),IFERROR('자료_거시'!$K2924/INDEX($Z$21:$Z$4020,MATCH(EDATE('자료_거시'!$J2924,-'설정'!$B$17),'자료_거시'!$J$3:INDEX('자료_거시'!$J$3:$J$4002,$K$8),1))-1,""),"")</f>
        <v/>
      </c>
      <c r="AB2942">
        <f>IF(ISNUMBER(AA2942),'자료_거시'!$J2924,"")</f>
        <v/>
      </c>
      <c r="AC2942">
        <f>IF(ISNUMBER(AB2942),IF(AB2942&gt;$L$8,AA2942,""),"")</f>
        <v/>
      </c>
    </row>
    <row r="2943">
      <c r="S2943">
        <f>IF(ISNUMBER('자료_거시'!$E2925),'자료_거시'!$E2925,S2942)</f>
        <v/>
      </c>
      <c r="T2943">
        <f>IF(AND(ISNUMBER('자료_거시'!$D2925),ISNUMBER('자료_거시'!$E2925)),IFERROR('자료_거시'!$E2925-INDEX($S$21:$S$4020,MATCH(EDATE('자료_거시'!$D2925,-'설정'!$B$17),'자료_거시'!$D$3:INDEX('자료_거시'!$D$3:$D$4002,$K$6),1)),""),"")</f>
        <v/>
      </c>
      <c r="U2943">
        <f>IF(ISNUMBER(T2943),'자료_거시'!$D2925,"")</f>
        <v/>
      </c>
      <c r="V2943">
        <f>IF(ISNUMBER(U2943),IF(U2943&gt;$L$6,T2943,""),"")</f>
        <v/>
      </c>
      <c r="W2943">
        <f>IF(AND(ISNUMBER('자료_거시'!$G2925),ISNUMBER('자료_거시'!$H2925)),'자료_거시'!$H2925,"")</f>
        <v/>
      </c>
      <c r="X2943">
        <f>IF(ISNUMBER(W2943),'자료_거시'!$G2925,"")</f>
        <v/>
      </c>
      <c r="Y2943">
        <f>IF(ISNUMBER(X2943),IF(X2943&gt;$L$7,W2943,""),"")</f>
        <v/>
      </c>
      <c r="Z2943">
        <f>IF(ISNUMBER('자료_거시'!$K2925),'자료_거시'!$K2925,Z2942)</f>
        <v/>
      </c>
      <c r="AA2943">
        <f>IF(AND(ISNUMBER('자료_거시'!$J2925),ISNUMBER('자료_거시'!$K2925)),IFERROR('자료_거시'!$K2925/INDEX($Z$21:$Z$4020,MATCH(EDATE('자료_거시'!$J2925,-'설정'!$B$17),'자료_거시'!$J$3:INDEX('자료_거시'!$J$3:$J$4002,$K$8),1))-1,""),"")</f>
        <v/>
      </c>
      <c r="AB2943">
        <f>IF(ISNUMBER(AA2943),'자료_거시'!$J2925,"")</f>
        <v/>
      </c>
      <c r="AC2943">
        <f>IF(ISNUMBER(AB2943),IF(AB2943&gt;$L$8,AA2943,""),"")</f>
        <v/>
      </c>
    </row>
    <row r="2944">
      <c r="S2944">
        <f>IF(ISNUMBER('자료_거시'!$E2926),'자료_거시'!$E2926,S2943)</f>
        <v/>
      </c>
      <c r="T2944">
        <f>IF(AND(ISNUMBER('자료_거시'!$D2926),ISNUMBER('자료_거시'!$E2926)),IFERROR('자료_거시'!$E2926-INDEX($S$21:$S$4020,MATCH(EDATE('자료_거시'!$D2926,-'설정'!$B$17),'자료_거시'!$D$3:INDEX('자료_거시'!$D$3:$D$4002,$K$6),1)),""),"")</f>
        <v/>
      </c>
      <c r="U2944">
        <f>IF(ISNUMBER(T2944),'자료_거시'!$D2926,"")</f>
        <v/>
      </c>
      <c r="V2944">
        <f>IF(ISNUMBER(U2944),IF(U2944&gt;$L$6,T2944,""),"")</f>
        <v/>
      </c>
      <c r="W2944">
        <f>IF(AND(ISNUMBER('자료_거시'!$G2926),ISNUMBER('자료_거시'!$H2926)),'자료_거시'!$H2926,"")</f>
        <v/>
      </c>
      <c r="X2944">
        <f>IF(ISNUMBER(W2944),'자료_거시'!$G2926,"")</f>
        <v/>
      </c>
      <c r="Y2944">
        <f>IF(ISNUMBER(X2944),IF(X2944&gt;$L$7,W2944,""),"")</f>
        <v/>
      </c>
      <c r="Z2944">
        <f>IF(ISNUMBER('자료_거시'!$K2926),'자료_거시'!$K2926,Z2943)</f>
        <v/>
      </c>
      <c r="AA2944">
        <f>IF(AND(ISNUMBER('자료_거시'!$J2926),ISNUMBER('자료_거시'!$K2926)),IFERROR('자료_거시'!$K2926/INDEX($Z$21:$Z$4020,MATCH(EDATE('자료_거시'!$J2926,-'설정'!$B$17),'자료_거시'!$J$3:INDEX('자료_거시'!$J$3:$J$4002,$K$8),1))-1,""),"")</f>
        <v/>
      </c>
      <c r="AB2944">
        <f>IF(ISNUMBER(AA2944),'자료_거시'!$J2926,"")</f>
        <v/>
      </c>
      <c r="AC2944">
        <f>IF(ISNUMBER(AB2944),IF(AB2944&gt;$L$8,AA2944,""),"")</f>
        <v/>
      </c>
    </row>
    <row r="2945">
      <c r="S2945">
        <f>IF(ISNUMBER('자료_거시'!$E2927),'자료_거시'!$E2927,S2944)</f>
        <v/>
      </c>
      <c r="T2945">
        <f>IF(AND(ISNUMBER('자료_거시'!$D2927),ISNUMBER('자료_거시'!$E2927)),IFERROR('자료_거시'!$E2927-INDEX($S$21:$S$4020,MATCH(EDATE('자료_거시'!$D2927,-'설정'!$B$17),'자료_거시'!$D$3:INDEX('자료_거시'!$D$3:$D$4002,$K$6),1)),""),"")</f>
        <v/>
      </c>
      <c r="U2945">
        <f>IF(ISNUMBER(T2945),'자료_거시'!$D2927,"")</f>
        <v/>
      </c>
      <c r="V2945">
        <f>IF(ISNUMBER(U2945),IF(U2945&gt;$L$6,T2945,""),"")</f>
        <v/>
      </c>
      <c r="W2945">
        <f>IF(AND(ISNUMBER('자료_거시'!$G2927),ISNUMBER('자료_거시'!$H2927)),'자료_거시'!$H2927,"")</f>
        <v/>
      </c>
      <c r="X2945">
        <f>IF(ISNUMBER(W2945),'자료_거시'!$G2927,"")</f>
        <v/>
      </c>
      <c r="Y2945">
        <f>IF(ISNUMBER(X2945),IF(X2945&gt;$L$7,W2945,""),"")</f>
        <v/>
      </c>
      <c r="Z2945">
        <f>IF(ISNUMBER('자료_거시'!$K2927),'자료_거시'!$K2927,Z2944)</f>
        <v/>
      </c>
      <c r="AA2945">
        <f>IF(AND(ISNUMBER('자료_거시'!$J2927),ISNUMBER('자료_거시'!$K2927)),IFERROR('자료_거시'!$K2927/INDEX($Z$21:$Z$4020,MATCH(EDATE('자료_거시'!$J2927,-'설정'!$B$17),'자료_거시'!$J$3:INDEX('자료_거시'!$J$3:$J$4002,$K$8),1))-1,""),"")</f>
        <v/>
      </c>
      <c r="AB2945">
        <f>IF(ISNUMBER(AA2945),'자료_거시'!$J2927,"")</f>
        <v/>
      </c>
      <c r="AC2945">
        <f>IF(ISNUMBER(AB2945),IF(AB2945&gt;$L$8,AA2945,""),"")</f>
        <v/>
      </c>
    </row>
    <row r="2946">
      <c r="S2946">
        <f>IF(ISNUMBER('자료_거시'!$E2928),'자료_거시'!$E2928,S2945)</f>
        <v/>
      </c>
      <c r="T2946">
        <f>IF(AND(ISNUMBER('자료_거시'!$D2928),ISNUMBER('자료_거시'!$E2928)),IFERROR('자료_거시'!$E2928-INDEX($S$21:$S$4020,MATCH(EDATE('자료_거시'!$D2928,-'설정'!$B$17),'자료_거시'!$D$3:INDEX('자료_거시'!$D$3:$D$4002,$K$6),1)),""),"")</f>
        <v/>
      </c>
      <c r="U2946">
        <f>IF(ISNUMBER(T2946),'자료_거시'!$D2928,"")</f>
        <v/>
      </c>
      <c r="V2946">
        <f>IF(ISNUMBER(U2946),IF(U2946&gt;$L$6,T2946,""),"")</f>
        <v/>
      </c>
      <c r="W2946">
        <f>IF(AND(ISNUMBER('자료_거시'!$G2928),ISNUMBER('자료_거시'!$H2928)),'자료_거시'!$H2928,"")</f>
        <v/>
      </c>
      <c r="X2946">
        <f>IF(ISNUMBER(W2946),'자료_거시'!$G2928,"")</f>
        <v/>
      </c>
      <c r="Y2946">
        <f>IF(ISNUMBER(X2946),IF(X2946&gt;$L$7,W2946,""),"")</f>
        <v/>
      </c>
      <c r="Z2946">
        <f>IF(ISNUMBER('자료_거시'!$K2928),'자료_거시'!$K2928,Z2945)</f>
        <v/>
      </c>
      <c r="AA2946">
        <f>IF(AND(ISNUMBER('자료_거시'!$J2928),ISNUMBER('자료_거시'!$K2928)),IFERROR('자료_거시'!$K2928/INDEX($Z$21:$Z$4020,MATCH(EDATE('자료_거시'!$J2928,-'설정'!$B$17),'자료_거시'!$J$3:INDEX('자료_거시'!$J$3:$J$4002,$K$8),1))-1,""),"")</f>
        <v/>
      </c>
      <c r="AB2946">
        <f>IF(ISNUMBER(AA2946),'자료_거시'!$J2928,"")</f>
        <v/>
      </c>
      <c r="AC2946">
        <f>IF(ISNUMBER(AB2946),IF(AB2946&gt;$L$8,AA2946,""),"")</f>
        <v/>
      </c>
    </row>
    <row r="2947">
      <c r="S2947">
        <f>IF(ISNUMBER('자료_거시'!$E2929),'자료_거시'!$E2929,S2946)</f>
        <v/>
      </c>
      <c r="T2947">
        <f>IF(AND(ISNUMBER('자료_거시'!$D2929),ISNUMBER('자료_거시'!$E2929)),IFERROR('자료_거시'!$E2929-INDEX($S$21:$S$4020,MATCH(EDATE('자료_거시'!$D2929,-'설정'!$B$17),'자료_거시'!$D$3:INDEX('자료_거시'!$D$3:$D$4002,$K$6),1)),""),"")</f>
        <v/>
      </c>
      <c r="U2947">
        <f>IF(ISNUMBER(T2947),'자료_거시'!$D2929,"")</f>
        <v/>
      </c>
      <c r="V2947">
        <f>IF(ISNUMBER(U2947),IF(U2947&gt;$L$6,T2947,""),"")</f>
        <v/>
      </c>
      <c r="W2947">
        <f>IF(AND(ISNUMBER('자료_거시'!$G2929),ISNUMBER('자료_거시'!$H2929)),'자료_거시'!$H2929,"")</f>
        <v/>
      </c>
      <c r="X2947">
        <f>IF(ISNUMBER(W2947),'자료_거시'!$G2929,"")</f>
        <v/>
      </c>
      <c r="Y2947">
        <f>IF(ISNUMBER(X2947),IF(X2947&gt;$L$7,W2947,""),"")</f>
        <v/>
      </c>
      <c r="Z2947">
        <f>IF(ISNUMBER('자료_거시'!$K2929),'자료_거시'!$K2929,Z2946)</f>
        <v/>
      </c>
      <c r="AA2947">
        <f>IF(AND(ISNUMBER('자료_거시'!$J2929),ISNUMBER('자료_거시'!$K2929)),IFERROR('자료_거시'!$K2929/INDEX($Z$21:$Z$4020,MATCH(EDATE('자료_거시'!$J2929,-'설정'!$B$17),'자료_거시'!$J$3:INDEX('자료_거시'!$J$3:$J$4002,$K$8),1))-1,""),"")</f>
        <v/>
      </c>
      <c r="AB2947">
        <f>IF(ISNUMBER(AA2947),'자료_거시'!$J2929,"")</f>
        <v/>
      </c>
      <c r="AC2947">
        <f>IF(ISNUMBER(AB2947),IF(AB2947&gt;$L$8,AA2947,""),"")</f>
        <v/>
      </c>
    </row>
    <row r="2948">
      <c r="S2948">
        <f>IF(ISNUMBER('자료_거시'!$E2930),'자료_거시'!$E2930,S2947)</f>
        <v/>
      </c>
      <c r="T2948">
        <f>IF(AND(ISNUMBER('자료_거시'!$D2930),ISNUMBER('자료_거시'!$E2930)),IFERROR('자료_거시'!$E2930-INDEX($S$21:$S$4020,MATCH(EDATE('자료_거시'!$D2930,-'설정'!$B$17),'자료_거시'!$D$3:INDEX('자료_거시'!$D$3:$D$4002,$K$6),1)),""),"")</f>
        <v/>
      </c>
      <c r="U2948">
        <f>IF(ISNUMBER(T2948),'자료_거시'!$D2930,"")</f>
        <v/>
      </c>
      <c r="V2948">
        <f>IF(ISNUMBER(U2948),IF(U2948&gt;$L$6,T2948,""),"")</f>
        <v/>
      </c>
      <c r="W2948">
        <f>IF(AND(ISNUMBER('자료_거시'!$G2930),ISNUMBER('자료_거시'!$H2930)),'자료_거시'!$H2930,"")</f>
        <v/>
      </c>
      <c r="X2948">
        <f>IF(ISNUMBER(W2948),'자료_거시'!$G2930,"")</f>
        <v/>
      </c>
      <c r="Y2948">
        <f>IF(ISNUMBER(X2948),IF(X2948&gt;$L$7,W2948,""),"")</f>
        <v/>
      </c>
      <c r="Z2948">
        <f>IF(ISNUMBER('자료_거시'!$K2930),'자료_거시'!$K2930,Z2947)</f>
        <v/>
      </c>
      <c r="AA2948">
        <f>IF(AND(ISNUMBER('자료_거시'!$J2930),ISNUMBER('자료_거시'!$K2930)),IFERROR('자료_거시'!$K2930/INDEX($Z$21:$Z$4020,MATCH(EDATE('자료_거시'!$J2930,-'설정'!$B$17),'자료_거시'!$J$3:INDEX('자료_거시'!$J$3:$J$4002,$K$8),1))-1,""),"")</f>
        <v/>
      </c>
      <c r="AB2948">
        <f>IF(ISNUMBER(AA2948),'자료_거시'!$J2930,"")</f>
        <v/>
      </c>
      <c r="AC2948">
        <f>IF(ISNUMBER(AB2948),IF(AB2948&gt;$L$8,AA2948,""),"")</f>
        <v/>
      </c>
    </row>
    <row r="2949">
      <c r="S2949">
        <f>IF(ISNUMBER('자료_거시'!$E2931),'자료_거시'!$E2931,S2948)</f>
        <v/>
      </c>
      <c r="T2949">
        <f>IF(AND(ISNUMBER('자료_거시'!$D2931),ISNUMBER('자료_거시'!$E2931)),IFERROR('자료_거시'!$E2931-INDEX($S$21:$S$4020,MATCH(EDATE('자료_거시'!$D2931,-'설정'!$B$17),'자료_거시'!$D$3:INDEX('자료_거시'!$D$3:$D$4002,$K$6),1)),""),"")</f>
        <v/>
      </c>
      <c r="U2949">
        <f>IF(ISNUMBER(T2949),'자료_거시'!$D2931,"")</f>
        <v/>
      </c>
      <c r="V2949">
        <f>IF(ISNUMBER(U2949),IF(U2949&gt;$L$6,T2949,""),"")</f>
        <v/>
      </c>
      <c r="W2949">
        <f>IF(AND(ISNUMBER('자료_거시'!$G2931),ISNUMBER('자료_거시'!$H2931)),'자료_거시'!$H2931,"")</f>
        <v/>
      </c>
      <c r="X2949">
        <f>IF(ISNUMBER(W2949),'자료_거시'!$G2931,"")</f>
        <v/>
      </c>
      <c r="Y2949">
        <f>IF(ISNUMBER(X2949),IF(X2949&gt;$L$7,W2949,""),"")</f>
        <v/>
      </c>
      <c r="Z2949">
        <f>IF(ISNUMBER('자료_거시'!$K2931),'자료_거시'!$K2931,Z2948)</f>
        <v/>
      </c>
      <c r="AA2949">
        <f>IF(AND(ISNUMBER('자료_거시'!$J2931),ISNUMBER('자료_거시'!$K2931)),IFERROR('자료_거시'!$K2931/INDEX($Z$21:$Z$4020,MATCH(EDATE('자료_거시'!$J2931,-'설정'!$B$17),'자료_거시'!$J$3:INDEX('자료_거시'!$J$3:$J$4002,$K$8),1))-1,""),"")</f>
        <v/>
      </c>
      <c r="AB2949">
        <f>IF(ISNUMBER(AA2949),'자료_거시'!$J2931,"")</f>
        <v/>
      </c>
      <c r="AC2949">
        <f>IF(ISNUMBER(AB2949),IF(AB2949&gt;$L$8,AA2949,""),"")</f>
        <v/>
      </c>
    </row>
    <row r="2950">
      <c r="S2950">
        <f>IF(ISNUMBER('자료_거시'!$E2932),'자료_거시'!$E2932,S2949)</f>
        <v/>
      </c>
      <c r="T2950">
        <f>IF(AND(ISNUMBER('자료_거시'!$D2932),ISNUMBER('자료_거시'!$E2932)),IFERROR('자료_거시'!$E2932-INDEX($S$21:$S$4020,MATCH(EDATE('자료_거시'!$D2932,-'설정'!$B$17),'자료_거시'!$D$3:INDEX('자료_거시'!$D$3:$D$4002,$K$6),1)),""),"")</f>
        <v/>
      </c>
      <c r="U2950">
        <f>IF(ISNUMBER(T2950),'자료_거시'!$D2932,"")</f>
        <v/>
      </c>
      <c r="V2950">
        <f>IF(ISNUMBER(U2950),IF(U2950&gt;$L$6,T2950,""),"")</f>
        <v/>
      </c>
      <c r="W2950">
        <f>IF(AND(ISNUMBER('자료_거시'!$G2932),ISNUMBER('자료_거시'!$H2932)),'자료_거시'!$H2932,"")</f>
        <v/>
      </c>
      <c r="X2950">
        <f>IF(ISNUMBER(W2950),'자료_거시'!$G2932,"")</f>
        <v/>
      </c>
      <c r="Y2950">
        <f>IF(ISNUMBER(X2950),IF(X2950&gt;$L$7,W2950,""),"")</f>
        <v/>
      </c>
      <c r="Z2950">
        <f>IF(ISNUMBER('자료_거시'!$K2932),'자료_거시'!$K2932,Z2949)</f>
        <v/>
      </c>
      <c r="AA2950">
        <f>IF(AND(ISNUMBER('자료_거시'!$J2932),ISNUMBER('자료_거시'!$K2932)),IFERROR('자료_거시'!$K2932/INDEX($Z$21:$Z$4020,MATCH(EDATE('자료_거시'!$J2932,-'설정'!$B$17),'자료_거시'!$J$3:INDEX('자료_거시'!$J$3:$J$4002,$K$8),1))-1,""),"")</f>
        <v/>
      </c>
      <c r="AB2950">
        <f>IF(ISNUMBER(AA2950),'자료_거시'!$J2932,"")</f>
        <v/>
      </c>
      <c r="AC2950">
        <f>IF(ISNUMBER(AB2950),IF(AB2950&gt;$L$8,AA2950,""),"")</f>
        <v/>
      </c>
    </row>
    <row r="2951">
      <c r="S2951">
        <f>IF(ISNUMBER('자료_거시'!$E2933),'자료_거시'!$E2933,S2950)</f>
        <v/>
      </c>
      <c r="T2951">
        <f>IF(AND(ISNUMBER('자료_거시'!$D2933),ISNUMBER('자료_거시'!$E2933)),IFERROR('자료_거시'!$E2933-INDEX($S$21:$S$4020,MATCH(EDATE('자료_거시'!$D2933,-'설정'!$B$17),'자료_거시'!$D$3:INDEX('자료_거시'!$D$3:$D$4002,$K$6),1)),""),"")</f>
        <v/>
      </c>
      <c r="U2951">
        <f>IF(ISNUMBER(T2951),'자료_거시'!$D2933,"")</f>
        <v/>
      </c>
      <c r="V2951">
        <f>IF(ISNUMBER(U2951),IF(U2951&gt;$L$6,T2951,""),"")</f>
        <v/>
      </c>
      <c r="W2951">
        <f>IF(AND(ISNUMBER('자료_거시'!$G2933),ISNUMBER('자료_거시'!$H2933)),'자료_거시'!$H2933,"")</f>
        <v/>
      </c>
      <c r="X2951">
        <f>IF(ISNUMBER(W2951),'자료_거시'!$G2933,"")</f>
        <v/>
      </c>
      <c r="Y2951">
        <f>IF(ISNUMBER(X2951),IF(X2951&gt;$L$7,W2951,""),"")</f>
        <v/>
      </c>
      <c r="Z2951">
        <f>IF(ISNUMBER('자료_거시'!$K2933),'자료_거시'!$K2933,Z2950)</f>
        <v/>
      </c>
      <c r="AA2951">
        <f>IF(AND(ISNUMBER('자료_거시'!$J2933),ISNUMBER('자료_거시'!$K2933)),IFERROR('자료_거시'!$K2933/INDEX($Z$21:$Z$4020,MATCH(EDATE('자료_거시'!$J2933,-'설정'!$B$17),'자료_거시'!$J$3:INDEX('자료_거시'!$J$3:$J$4002,$K$8),1))-1,""),"")</f>
        <v/>
      </c>
      <c r="AB2951">
        <f>IF(ISNUMBER(AA2951),'자료_거시'!$J2933,"")</f>
        <v/>
      </c>
      <c r="AC2951">
        <f>IF(ISNUMBER(AB2951),IF(AB2951&gt;$L$8,AA2951,""),"")</f>
        <v/>
      </c>
    </row>
    <row r="2952">
      <c r="S2952">
        <f>IF(ISNUMBER('자료_거시'!$E2934),'자료_거시'!$E2934,S2951)</f>
        <v/>
      </c>
      <c r="T2952">
        <f>IF(AND(ISNUMBER('자료_거시'!$D2934),ISNUMBER('자료_거시'!$E2934)),IFERROR('자료_거시'!$E2934-INDEX($S$21:$S$4020,MATCH(EDATE('자료_거시'!$D2934,-'설정'!$B$17),'자료_거시'!$D$3:INDEX('자료_거시'!$D$3:$D$4002,$K$6),1)),""),"")</f>
        <v/>
      </c>
      <c r="U2952">
        <f>IF(ISNUMBER(T2952),'자료_거시'!$D2934,"")</f>
        <v/>
      </c>
      <c r="V2952">
        <f>IF(ISNUMBER(U2952),IF(U2952&gt;$L$6,T2952,""),"")</f>
        <v/>
      </c>
      <c r="W2952">
        <f>IF(AND(ISNUMBER('자료_거시'!$G2934),ISNUMBER('자료_거시'!$H2934)),'자료_거시'!$H2934,"")</f>
        <v/>
      </c>
      <c r="X2952">
        <f>IF(ISNUMBER(W2952),'자료_거시'!$G2934,"")</f>
        <v/>
      </c>
      <c r="Y2952">
        <f>IF(ISNUMBER(X2952),IF(X2952&gt;$L$7,W2952,""),"")</f>
        <v/>
      </c>
      <c r="Z2952">
        <f>IF(ISNUMBER('자료_거시'!$K2934),'자료_거시'!$K2934,Z2951)</f>
        <v/>
      </c>
      <c r="AA2952">
        <f>IF(AND(ISNUMBER('자료_거시'!$J2934),ISNUMBER('자료_거시'!$K2934)),IFERROR('자료_거시'!$K2934/INDEX($Z$21:$Z$4020,MATCH(EDATE('자료_거시'!$J2934,-'설정'!$B$17),'자료_거시'!$J$3:INDEX('자료_거시'!$J$3:$J$4002,$K$8),1))-1,""),"")</f>
        <v/>
      </c>
      <c r="AB2952">
        <f>IF(ISNUMBER(AA2952),'자료_거시'!$J2934,"")</f>
        <v/>
      </c>
      <c r="AC2952">
        <f>IF(ISNUMBER(AB2952),IF(AB2952&gt;$L$8,AA2952,""),"")</f>
        <v/>
      </c>
    </row>
    <row r="2953">
      <c r="S2953">
        <f>IF(ISNUMBER('자료_거시'!$E2935),'자료_거시'!$E2935,S2952)</f>
        <v/>
      </c>
      <c r="T2953">
        <f>IF(AND(ISNUMBER('자료_거시'!$D2935),ISNUMBER('자료_거시'!$E2935)),IFERROR('자료_거시'!$E2935-INDEX($S$21:$S$4020,MATCH(EDATE('자료_거시'!$D2935,-'설정'!$B$17),'자료_거시'!$D$3:INDEX('자료_거시'!$D$3:$D$4002,$K$6),1)),""),"")</f>
        <v/>
      </c>
      <c r="U2953">
        <f>IF(ISNUMBER(T2953),'자료_거시'!$D2935,"")</f>
        <v/>
      </c>
      <c r="V2953">
        <f>IF(ISNUMBER(U2953),IF(U2953&gt;$L$6,T2953,""),"")</f>
        <v/>
      </c>
      <c r="W2953">
        <f>IF(AND(ISNUMBER('자료_거시'!$G2935),ISNUMBER('자료_거시'!$H2935)),'자료_거시'!$H2935,"")</f>
        <v/>
      </c>
      <c r="X2953">
        <f>IF(ISNUMBER(W2953),'자료_거시'!$G2935,"")</f>
        <v/>
      </c>
      <c r="Y2953">
        <f>IF(ISNUMBER(X2953),IF(X2953&gt;$L$7,W2953,""),"")</f>
        <v/>
      </c>
      <c r="Z2953">
        <f>IF(ISNUMBER('자료_거시'!$K2935),'자료_거시'!$K2935,Z2952)</f>
        <v/>
      </c>
      <c r="AA2953">
        <f>IF(AND(ISNUMBER('자료_거시'!$J2935),ISNUMBER('자료_거시'!$K2935)),IFERROR('자료_거시'!$K2935/INDEX($Z$21:$Z$4020,MATCH(EDATE('자료_거시'!$J2935,-'설정'!$B$17),'자료_거시'!$J$3:INDEX('자료_거시'!$J$3:$J$4002,$K$8),1))-1,""),"")</f>
        <v/>
      </c>
      <c r="AB2953">
        <f>IF(ISNUMBER(AA2953),'자료_거시'!$J2935,"")</f>
        <v/>
      </c>
      <c r="AC2953">
        <f>IF(ISNUMBER(AB2953),IF(AB2953&gt;$L$8,AA2953,""),"")</f>
        <v/>
      </c>
    </row>
    <row r="2954">
      <c r="S2954">
        <f>IF(ISNUMBER('자료_거시'!$E2936),'자료_거시'!$E2936,S2953)</f>
        <v/>
      </c>
      <c r="T2954">
        <f>IF(AND(ISNUMBER('자료_거시'!$D2936),ISNUMBER('자료_거시'!$E2936)),IFERROR('자료_거시'!$E2936-INDEX($S$21:$S$4020,MATCH(EDATE('자료_거시'!$D2936,-'설정'!$B$17),'자료_거시'!$D$3:INDEX('자료_거시'!$D$3:$D$4002,$K$6),1)),""),"")</f>
        <v/>
      </c>
      <c r="U2954">
        <f>IF(ISNUMBER(T2954),'자료_거시'!$D2936,"")</f>
        <v/>
      </c>
      <c r="V2954">
        <f>IF(ISNUMBER(U2954),IF(U2954&gt;$L$6,T2954,""),"")</f>
        <v/>
      </c>
      <c r="W2954">
        <f>IF(AND(ISNUMBER('자료_거시'!$G2936),ISNUMBER('자료_거시'!$H2936)),'자료_거시'!$H2936,"")</f>
        <v/>
      </c>
      <c r="X2954">
        <f>IF(ISNUMBER(W2954),'자료_거시'!$G2936,"")</f>
        <v/>
      </c>
      <c r="Y2954">
        <f>IF(ISNUMBER(X2954),IF(X2954&gt;$L$7,W2954,""),"")</f>
        <v/>
      </c>
      <c r="Z2954">
        <f>IF(ISNUMBER('자료_거시'!$K2936),'자료_거시'!$K2936,Z2953)</f>
        <v/>
      </c>
      <c r="AA2954">
        <f>IF(AND(ISNUMBER('자료_거시'!$J2936),ISNUMBER('자료_거시'!$K2936)),IFERROR('자료_거시'!$K2936/INDEX($Z$21:$Z$4020,MATCH(EDATE('자료_거시'!$J2936,-'설정'!$B$17),'자료_거시'!$J$3:INDEX('자료_거시'!$J$3:$J$4002,$K$8),1))-1,""),"")</f>
        <v/>
      </c>
      <c r="AB2954">
        <f>IF(ISNUMBER(AA2954),'자료_거시'!$J2936,"")</f>
        <v/>
      </c>
      <c r="AC2954">
        <f>IF(ISNUMBER(AB2954),IF(AB2954&gt;$L$8,AA2954,""),"")</f>
        <v/>
      </c>
    </row>
    <row r="2955">
      <c r="S2955">
        <f>IF(ISNUMBER('자료_거시'!$E2937),'자료_거시'!$E2937,S2954)</f>
        <v/>
      </c>
      <c r="T2955">
        <f>IF(AND(ISNUMBER('자료_거시'!$D2937),ISNUMBER('자료_거시'!$E2937)),IFERROR('자료_거시'!$E2937-INDEX($S$21:$S$4020,MATCH(EDATE('자료_거시'!$D2937,-'설정'!$B$17),'자료_거시'!$D$3:INDEX('자료_거시'!$D$3:$D$4002,$K$6),1)),""),"")</f>
        <v/>
      </c>
      <c r="U2955">
        <f>IF(ISNUMBER(T2955),'자료_거시'!$D2937,"")</f>
        <v/>
      </c>
      <c r="V2955">
        <f>IF(ISNUMBER(U2955),IF(U2955&gt;$L$6,T2955,""),"")</f>
        <v/>
      </c>
      <c r="W2955">
        <f>IF(AND(ISNUMBER('자료_거시'!$G2937),ISNUMBER('자료_거시'!$H2937)),'자료_거시'!$H2937,"")</f>
        <v/>
      </c>
      <c r="X2955">
        <f>IF(ISNUMBER(W2955),'자료_거시'!$G2937,"")</f>
        <v/>
      </c>
      <c r="Y2955">
        <f>IF(ISNUMBER(X2955),IF(X2955&gt;$L$7,W2955,""),"")</f>
        <v/>
      </c>
      <c r="Z2955">
        <f>IF(ISNUMBER('자료_거시'!$K2937),'자료_거시'!$K2937,Z2954)</f>
        <v/>
      </c>
      <c r="AA2955">
        <f>IF(AND(ISNUMBER('자료_거시'!$J2937),ISNUMBER('자료_거시'!$K2937)),IFERROR('자료_거시'!$K2937/INDEX($Z$21:$Z$4020,MATCH(EDATE('자료_거시'!$J2937,-'설정'!$B$17),'자료_거시'!$J$3:INDEX('자료_거시'!$J$3:$J$4002,$K$8),1))-1,""),"")</f>
        <v/>
      </c>
      <c r="AB2955">
        <f>IF(ISNUMBER(AA2955),'자료_거시'!$J2937,"")</f>
        <v/>
      </c>
      <c r="AC2955">
        <f>IF(ISNUMBER(AB2955),IF(AB2955&gt;$L$8,AA2955,""),"")</f>
        <v/>
      </c>
    </row>
    <row r="2956">
      <c r="S2956">
        <f>IF(ISNUMBER('자료_거시'!$E2938),'자료_거시'!$E2938,S2955)</f>
        <v/>
      </c>
      <c r="T2956">
        <f>IF(AND(ISNUMBER('자료_거시'!$D2938),ISNUMBER('자료_거시'!$E2938)),IFERROR('자료_거시'!$E2938-INDEX($S$21:$S$4020,MATCH(EDATE('자료_거시'!$D2938,-'설정'!$B$17),'자료_거시'!$D$3:INDEX('자료_거시'!$D$3:$D$4002,$K$6),1)),""),"")</f>
        <v/>
      </c>
      <c r="U2956">
        <f>IF(ISNUMBER(T2956),'자료_거시'!$D2938,"")</f>
        <v/>
      </c>
      <c r="V2956">
        <f>IF(ISNUMBER(U2956),IF(U2956&gt;$L$6,T2956,""),"")</f>
        <v/>
      </c>
      <c r="W2956">
        <f>IF(AND(ISNUMBER('자료_거시'!$G2938),ISNUMBER('자료_거시'!$H2938)),'자료_거시'!$H2938,"")</f>
        <v/>
      </c>
      <c r="X2956">
        <f>IF(ISNUMBER(W2956),'자료_거시'!$G2938,"")</f>
        <v/>
      </c>
      <c r="Y2956">
        <f>IF(ISNUMBER(X2956),IF(X2956&gt;$L$7,W2956,""),"")</f>
        <v/>
      </c>
      <c r="Z2956">
        <f>IF(ISNUMBER('자료_거시'!$K2938),'자료_거시'!$K2938,Z2955)</f>
        <v/>
      </c>
      <c r="AA2956">
        <f>IF(AND(ISNUMBER('자료_거시'!$J2938),ISNUMBER('자료_거시'!$K2938)),IFERROR('자료_거시'!$K2938/INDEX($Z$21:$Z$4020,MATCH(EDATE('자료_거시'!$J2938,-'설정'!$B$17),'자료_거시'!$J$3:INDEX('자료_거시'!$J$3:$J$4002,$K$8),1))-1,""),"")</f>
        <v/>
      </c>
      <c r="AB2956">
        <f>IF(ISNUMBER(AA2956),'자료_거시'!$J2938,"")</f>
        <v/>
      </c>
      <c r="AC2956">
        <f>IF(ISNUMBER(AB2956),IF(AB2956&gt;$L$8,AA2956,""),"")</f>
        <v/>
      </c>
    </row>
    <row r="2957">
      <c r="S2957">
        <f>IF(ISNUMBER('자료_거시'!$E2939),'자료_거시'!$E2939,S2956)</f>
        <v/>
      </c>
      <c r="T2957">
        <f>IF(AND(ISNUMBER('자료_거시'!$D2939),ISNUMBER('자료_거시'!$E2939)),IFERROR('자료_거시'!$E2939-INDEX($S$21:$S$4020,MATCH(EDATE('자료_거시'!$D2939,-'설정'!$B$17),'자료_거시'!$D$3:INDEX('자료_거시'!$D$3:$D$4002,$K$6),1)),""),"")</f>
        <v/>
      </c>
      <c r="U2957">
        <f>IF(ISNUMBER(T2957),'자료_거시'!$D2939,"")</f>
        <v/>
      </c>
      <c r="V2957">
        <f>IF(ISNUMBER(U2957),IF(U2957&gt;$L$6,T2957,""),"")</f>
        <v/>
      </c>
      <c r="W2957">
        <f>IF(AND(ISNUMBER('자료_거시'!$G2939),ISNUMBER('자료_거시'!$H2939)),'자료_거시'!$H2939,"")</f>
        <v/>
      </c>
      <c r="X2957">
        <f>IF(ISNUMBER(W2957),'자료_거시'!$G2939,"")</f>
        <v/>
      </c>
      <c r="Y2957">
        <f>IF(ISNUMBER(X2957),IF(X2957&gt;$L$7,W2957,""),"")</f>
        <v/>
      </c>
      <c r="Z2957">
        <f>IF(ISNUMBER('자료_거시'!$K2939),'자료_거시'!$K2939,Z2956)</f>
        <v/>
      </c>
      <c r="AA2957">
        <f>IF(AND(ISNUMBER('자료_거시'!$J2939),ISNUMBER('자료_거시'!$K2939)),IFERROR('자료_거시'!$K2939/INDEX($Z$21:$Z$4020,MATCH(EDATE('자료_거시'!$J2939,-'설정'!$B$17),'자료_거시'!$J$3:INDEX('자료_거시'!$J$3:$J$4002,$K$8),1))-1,""),"")</f>
        <v/>
      </c>
      <c r="AB2957">
        <f>IF(ISNUMBER(AA2957),'자료_거시'!$J2939,"")</f>
        <v/>
      </c>
      <c r="AC2957">
        <f>IF(ISNUMBER(AB2957),IF(AB2957&gt;$L$8,AA2957,""),"")</f>
        <v/>
      </c>
    </row>
    <row r="2958">
      <c r="S2958">
        <f>IF(ISNUMBER('자료_거시'!$E2940),'자료_거시'!$E2940,S2957)</f>
        <v/>
      </c>
      <c r="T2958">
        <f>IF(AND(ISNUMBER('자료_거시'!$D2940),ISNUMBER('자료_거시'!$E2940)),IFERROR('자료_거시'!$E2940-INDEX($S$21:$S$4020,MATCH(EDATE('자료_거시'!$D2940,-'설정'!$B$17),'자료_거시'!$D$3:INDEX('자료_거시'!$D$3:$D$4002,$K$6),1)),""),"")</f>
        <v/>
      </c>
      <c r="U2958">
        <f>IF(ISNUMBER(T2958),'자료_거시'!$D2940,"")</f>
        <v/>
      </c>
      <c r="V2958">
        <f>IF(ISNUMBER(U2958),IF(U2958&gt;$L$6,T2958,""),"")</f>
        <v/>
      </c>
      <c r="W2958">
        <f>IF(AND(ISNUMBER('자료_거시'!$G2940),ISNUMBER('자료_거시'!$H2940)),'자료_거시'!$H2940,"")</f>
        <v/>
      </c>
      <c r="X2958">
        <f>IF(ISNUMBER(W2958),'자료_거시'!$G2940,"")</f>
        <v/>
      </c>
      <c r="Y2958">
        <f>IF(ISNUMBER(X2958),IF(X2958&gt;$L$7,W2958,""),"")</f>
        <v/>
      </c>
      <c r="Z2958">
        <f>IF(ISNUMBER('자료_거시'!$K2940),'자료_거시'!$K2940,Z2957)</f>
        <v/>
      </c>
      <c r="AA2958">
        <f>IF(AND(ISNUMBER('자료_거시'!$J2940),ISNUMBER('자료_거시'!$K2940)),IFERROR('자료_거시'!$K2940/INDEX($Z$21:$Z$4020,MATCH(EDATE('자료_거시'!$J2940,-'설정'!$B$17),'자료_거시'!$J$3:INDEX('자료_거시'!$J$3:$J$4002,$K$8),1))-1,""),"")</f>
        <v/>
      </c>
      <c r="AB2958">
        <f>IF(ISNUMBER(AA2958),'자료_거시'!$J2940,"")</f>
        <v/>
      </c>
      <c r="AC2958">
        <f>IF(ISNUMBER(AB2958),IF(AB2958&gt;$L$8,AA2958,""),"")</f>
        <v/>
      </c>
    </row>
    <row r="2959">
      <c r="S2959">
        <f>IF(ISNUMBER('자료_거시'!$E2941),'자료_거시'!$E2941,S2958)</f>
        <v/>
      </c>
      <c r="T2959">
        <f>IF(AND(ISNUMBER('자료_거시'!$D2941),ISNUMBER('자료_거시'!$E2941)),IFERROR('자료_거시'!$E2941-INDEX($S$21:$S$4020,MATCH(EDATE('자료_거시'!$D2941,-'설정'!$B$17),'자료_거시'!$D$3:INDEX('자료_거시'!$D$3:$D$4002,$K$6),1)),""),"")</f>
        <v/>
      </c>
      <c r="U2959">
        <f>IF(ISNUMBER(T2959),'자료_거시'!$D2941,"")</f>
        <v/>
      </c>
      <c r="V2959">
        <f>IF(ISNUMBER(U2959),IF(U2959&gt;$L$6,T2959,""),"")</f>
        <v/>
      </c>
      <c r="W2959">
        <f>IF(AND(ISNUMBER('자료_거시'!$G2941),ISNUMBER('자료_거시'!$H2941)),'자료_거시'!$H2941,"")</f>
        <v/>
      </c>
      <c r="X2959">
        <f>IF(ISNUMBER(W2959),'자료_거시'!$G2941,"")</f>
        <v/>
      </c>
      <c r="Y2959">
        <f>IF(ISNUMBER(X2959),IF(X2959&gt;$L$7,W2959,""),"")</f>
        <v/>
      </c>
      <c r="Z2959">
        <f>IF(ISNUMBER('자료_거시'!$K2941),'자료_거시'!$K2941,Z2958)</f>
        <v/>
      </c>
      <c r="AA2959">
        <f>IF(AND(ISNUMBER('자료_거시'!$J2941),ISNUMBER('자료_거시'!$K2941)),IFERROR('자료_거시'!$K2941/INDEX($Z$21:$Z$4020,MATCH(EDATE('자료_거시'!$J2941,-'설정'!$B$17),'자료_거시'!$J$3:INDEX('자료_거시'!$J$3:$J$4002,$K$8),1))-1,""),"")</f>
        <v/>
      </c>
      <c r="AB2959">
        <f>IF(ISNUMBER(AA2959),'자료_거시'!$J2941,"")</f>
        <v/>
      </c>
      <c r="AC2959">
        <f>IF(ISNUMBER(AB2959),IF(AB2959&gt;$L$8,AA2959,""),"")</f>
        <v/>
      </c>
    </row>
    <row r="2960">
      <c r="S2960">
        <f>IF(ISNUMBER('자료_거시'!$E2942),'자료_거시'!$E2942,S2959)</f>
        <v/>
      </c>
      <c r="T2960">
        <f>IF(AND(ISNUMBER('자료_거시'!$D2942),ISNUMBER('자료_거시'!$E2942)),IFERROR('자료_거시'!$E2942-INDEX($S$21:$S$4020,MATCH(EDATE('자료_거시'!$D2942,-'설정'!$B$17),'자료_거시'!$D$3:INDEX('자료_거시'!$D$3:$D$4002,$K$6),1)),""),"")</f>
        <v/>
      </c>
      <c r="U2960">
        <f>IF(ISNUMBER(T2960),'자료_거시'!$D2942,"")</f>
        <v/>
      </c>
      <c r="V2960">
        <f>IF(ISNUMBER(U2960),IF(U2960&gt;$L$6,T2960,""),"")</f>
        <v/>
      </c>
      <c r="W2960">
        <f>IF(AND(ISNUMBER('자료_거시'!$G2942),ISNUMBER('자료_거시'!$H2942)),'자료_거시'!$H2942,"")</f>
        <v/>
      </c>
      <c r="X2960">
        <f>IF(ISNUMBER(W2960),'자료_거시'!$G2942,"")</f>
        <v/>
      </c>
      <c r="Y2960">
        <f>IF(ISNUMBER(X2960),IF(X2960&gt;$L$7,W2960,""),"")</f>
        <v/>
      </c>
      <c r="Z2960">
        <f>IF(ISNUMBER('자료_거시'!$K2942),'자료_거시'!$K2942,Z2959)</f>
        <v/>
      </c>
      <c r="AA2960">
        <f>IF(AND(ISNUMBER('자료_거시'!$J2942),ISNUMBER('자료_거시'!$K2942)),IFERROR('자료_거시'!$K2942/INDEX($Z$21:$Z$4020,MATCH(EDATE('자료_거시'!$J2942,-'설정'!$B$17),'자료_거시'!$J$3:INDEX('자료_거시'!$J$3:$J$4002,$K$8),1))-1,""),"")</f>
        <v/>
      </c>
      <c r="AB2960">
        <f>IF(ISNUMBER(AA2960),'자료_거시'!$J2942,"")</f>
        <v/>
      </c>
      <c r="AC2960">
        <f>IF(ISNUMBER(AB2960),IF(AB2960&gt;$L$8,AA2960,""),"")</f>
        <v/>
      </c>
    </row>
    <row r="2961">
      <c r="S2961">
        <f>IF(ISNUMBER('자료_거시'!$E2943),'자료_거시'!$E2943,S2960)</f>
        <v/>
      </c>
      <c r="T2961">
        <f>IF(AND(ISNUMBER('자료_거시'!$D2943),ISNUMBER('자료_거시'!$E2943)),IFERROR('자료_거시'!$E2943-INDEX($S$21:$S$4020,MATCH(EDATE('자료_거시'!$D2943,-'설정'!$B$17),'자료_거시'!$D$3:INDEX('자료_거시'!$D$3:$D$4002,$K$6),1)),""),"")</f>
        <v/>
      </c>
      <c r="U2961">
        <f>IF(ISNUMBER(T2961),'자료_거시'!$D2943,"")</f>
        <v/>
      </c>
      <c r="V2961">
        <f>IF(ISNUMBER(U2961),IF(U2961&gt;$L$6,T2961,""),"")</f>
        <v/>
      </c>
      <c r="W2961">
        <f>IF(AND(ISNUMBER('자료_거시'!$G2943),ISNUMBER('자료_거시'!$H2943)),'자료_거시'!$H2943,"")</f>
        <v/>
      </c>
      <c r="X2961">
        <f>IF(ISNUMBER(W2961),'자료_거시'!$G2943,"")</f>
        <v/>
      </c>
      <c r="Y2961">
        <f>IF(ISNUMBER(X2961),IF(X2961&gt;$L$7,W2961,""),"")</f>
        <v/>
      </c>
      <c r="Z2961">
        <f>IF(ISNUMBER('자료_거시'!$K2943),'자료_거시'!$K2943,Z2960)</f>
        <v/>
      </c>
      <c r="AA2961">
        <f>IF(AND(ISNUMBER('자료_거시'!$J2943),ISNUMBER('자료_거시'!$K2943)),IFERROR('자료_거시'!$K2943/INDEX($Z$21:$Z$4020,MATCH(EDATE('자료_거시'!$J2943,-'설정'!$B$17),'자료_거시'!$J$3:INDEX('자료_거시'!$J$3:$J$4002,$K$8),1))-1,""),"")</f>
        <v/>
      </c>
      <c r="AB2961">
        <f>IF(ISNUMBER(AA2961),'자료_거시'!$J2943,"")</f>
        <v/>
      </c>
      <c r="AC2961">
        <f>IF(ISNUMBER(AB2961),IF(AB2961&gt;$L$8,AA2961,""),"")</f>
        <v/>
      </c>
    </row>
    <row r="2962">
      <c r="S2962">
        <f>IF(ISNUMBER('자료_거시'!$E2944),'자료_거시'!$E2944,S2961)</f>
        <v/>
      </c>
      <c r="T2962">
        <f>IF(AND(ISNUMBER('자료_거시'!$D2944),ISNUMBER('자료_거시'!$E2944)),IFERROR('자료_거시'!$E2944-INDEX($S$21:$S$4020,MATCH(EDATE('자료_거시'!$D2944,-'설정'!$B$17),'자료_거시'!$D$3:INDEX('자료_거시'!$D$3:$D$4002,$K$6),1)),""),"")</f>
        <v/>
      </c>
      <c r="U2962">
        <f>IF(ISNUMBER(T2962),'자료_거시'!$D2944,"")</f>
        <v/>
      </c>
      <c r="V2962">
        <f>IF(ISNUMBER(U2962),IF(U2962&gt;$L$6,T2962,""),"")</f>
        <v/>
      </c>
      <c r="W2962">
        <f>IF(AND(ISNUMBER('자료_거시'!$G2944),ISNUMBER('자료_거시'!$H2944)),'자료_거시'!$H2944,"")</f>
        <v/>
      </c>
      <c r="X2962">
        <f>IF(ISNUMBER(W2962),'자료_거시'!$G2944,"")</f>
        <v/>
      </c>
      <c r="Y2962">
        <f>IF(ISNUMBER(X2962),IF(X2962&gt;$L$7,W2962,""),"")</f>
        <v/>
      </c>
      <c r="Z2962">
        <f>IF(ISNUMBER('자료_거시'!$K2944),'자료_거시'!$K2944,Z2961)</f>
        <v/>
      </c>
      <c r="AA2962">
        <f>IF(AND(ISNUMBER('자료_거시'!$J2944),ISNUMBER('자료_거시'!$K2944)),IFERROR('자료_거시'!$K2944/INDEX($Z$21:$Z$4020,MATCH(EDATE('자료_거시'!$J2944,-'설정'!$B$17),'자료_거시'!$J$3:INDEX('자료_거시'!$J$3:$J$4002,$K$8),1))-1,""),"")</f>
        <v/>
      </c>
      <c r="AB2962">
        <f>IF(ISNUMBER(AA2962),'자료_거시'!$J2944,"")</f>
        <v/>
      </c>
      <c r="AC2962">
        <f>IF(ISNUMBER(AB2962),IF(AB2962&gt;$L$8,AA2962,""),"")</f>
        <v/>
      </c>
    </row>
    <row r="2963">
      <c r="S2963">
        <f>IF(ISNUMBER('자료_거시'!$E2945),'자료_거시'!$E2945,S2962)</f>
        <v/>
      </c>
      <c r="T2963">
        <f>IF(AND(ISNUMBER('자료_거시'!$D2945),ISNUMBER('자료_거시'!$E2945)),IFERROR('자료_거시'!$E2945-INDEX($S$21:$S$4020,MATCH(EDATE('자료_거시'!$D2945,-'설정'!$B$17),'자료_거시'!$D$3:INDEX('자료_거시'!$D$3:$D$4002,$K$6),1)),""),"")</f>
        <v/>
      </c>
      <c r="U2963">
        <f>IF(ISNUMBER(T2963),'자료_거시'!$D2945,"")</f>
        <v/>
      </c>
      <c r="V2963">
        <f>IF(ISNUMBER(U2963),IF(U2963&gt;$L$6,T2963,""),"")</f>
        <v/>
      </c>
      <c r="W2963">
        <f>IF(AND(ISNUMBER('자료_거시'!$G2945),ISNUMBER('자료_거시'!$H2945)),'자료_거시'!$H2945,"")</f>
        <v/>
      </c>
      <c r="X2963">
        <f>IF(ISNUMBER(W2963),'자료_거시'!$G2945,"")</f>
        <v/>
      </c>
      <c r="Y2963">
        <f>IF(ISNUMBER(X2963),IF(X2963&gt;$L$7,W2963,""),"")</f>
        <v/>
      </c>
      <c r="Z2963">
        <f>IF(ISNUMBER('자료_거시'!$K2945),'자료_거시'!$K2945,Z2962)</f>
        <v/>
      </c>
      <c r="AA2963">
        <f>IF(AND(ISNUMBER('자료_거시'!$J2945),ISNUMBER('자료_거시'!$K2945)),IFERROR('자료_거시'!$K2945/INDEX($Z$21:$Z$4020,MATCH(EDATE('자료_거시'!$J2945,-'설정'!$B$17),'자료_거시'!$J$3:INDEX('자료_거시'!$J$3:$J$4002,$K$8),1))-1,""),"")</f>
        <v/>
      </c>
      <c r="AB2963">
        <f>IF(ISNUMBER(AA2963),'자료_거시'!$J2945,"")</f>
        <v/>
      </c>
      <c r="AC2963">
        <f>IF(ISNUMBER(AB2963),IF(AB2963&gt;$L$8,AA2963,""),"")</f>
        <v/>
      </c>
    </row>
    <row r="2964">
      <c r="S2964">
        <f>IF(ISNUMBER('자료_거시'!$E2946),'자료_거시'!$E2946,S2963)</f>
        <v/>
      </c>
      <c r="T2964">
        <f>IF(AND(ISNUMBER('자료_거시'!$D2946),ISNUMBER('자료_거시'!$E2946)),IFERROR('자료_거시'!$E2946-INDEX($S$21:$S$4020,MATCH(EDATE('자료_거시'!$D2946,-'설정'!$B$17),'자료_거시'!$D$3:INDEX('자료_거시'!$D$3:$D$4002,$K$6),1)),""),"")</f>
        <v/>
      </c>
      <c r="U2964">
        <f>IF(ISNUMBER(T2964),'자료_거시'!$D2946,"")</f>
        <v/>
      </c>
      <c r="V2964">
        <f>IF(ISNUMBER(U2964),IF(U2964&gt;$L$6,T2964,""),"")</f>
        <v/>
      </c>
      <c r="W2964">
        <f>IF(AND(ISNUMBER('자료_거시'!$G2946),ISNUMBER('자료_거시'!$H2946)),'자료_거시'!$H2946,"")</f>
        <v/>
      </c>
      <c r="X2964">
        <f>IF(ISNUMBER(W2964),'자료_거시'!$G2946,"")</f>
        <v/>
      </c>
      <c r="Y2964">
        <f>IF(ISNUMBER(X2964),IF(X2964&gt;$L$7,W2964,""),"")</f>
        <v/>
      </c>
      <c r="Z2964">
        <f>IF(ISNUMBER('자료_거시'!$K2946),'자료_거시'!$K2946,Z2963)</f>
        <v/>
      </c>
      <c r="AA2964">
        <f>IF(AND(ISNUMBER('자료_거시'!$J2946),ISNUMBER('자료_거시'!$K2946)),IFERROR('자료_거시'!$K2946/INDEX($Z$21:$Z$4020,MATCH(EDATE('자료_거시'!$J2946,-'설정'!$B$17),'자료_거시'!$J$3:INDEX('자료_거시'!$J$3:$J$4002,$K$8),1))-1,""),"")</f>
        <v/>
      </c>
      <c r="AB2964">
        <f>IF(ISNUMBER(AA2964),'자료_거시'!$J2946,"")</f>
        <v/>
      </c>
      <c r="AC2964">
        <f>IF(ISNUMBER(AB2964),IF(AB2964&gt;$L$8,AA2964,""),"")</f>
        <v/>
      </c>
    </row>
    <row r="2965">
      <c r="S2965">
        <f>IF(ISNUMBER('자료_거시'!$E2947),'자료_거시'!$E2947,S2964)</f>
        <v/>
      </c>
      <c r="T2965">
        <f>IF(AND(ISNUMBER('자료_거시'!$D2947),ISNUMBER('자료_거시'!$E2947)),IFERROR('자료_거시'!$E2947-INDEX($S$21:$S$4020,MATCH(EDATE('자료_거시'!$D2947,-'설정'!$B$17),'자료_거시'!$D$3:INDEX('자료_거시'!$D$3:$D$4002,$K$6),1)),""),"")</f>
        <v/>
      </c>
      <c r="U2965">
        <f>IF(ISNUMBER(T2965),'자료_거시'!$D2947,"")</f>
        <v/>
      </c>
      <c r="V2965">
        <f>IF(ISNUMBER(U2965),IF(U2965&gt;$L$6,T2965,""),"")</f>
        <v/>
      </c>
      <c r="W2965">
        <f>IF(AND(ISNUMBER('자료_거시'!$G2947),ISNUMBER('자료_거시'!$H2947)),'자료_거시'!$H2947,"")</f>
        <v/>
      </c>
      <c r="X2965">
        <f>IF(ISNUMBER(W2965),'자료_거시'!$G2947,"")</f>
        <v/>
      </c>
      <c r="Y2965">
        <f>IF(ISNUMBER(X2965),IF(X2965&gt;$L$7,W2965,""),"")</f>
        <v/>
      </c>
      <c r="Z2965">
        <f>IF(ISNUMBER('자료_거시'!$K2947),'자료_거시'!$K2947,Z2964)</f>
        <v/>
      </c>
      <c r="AA2965">
        <f>IF(AND(ISNUMBER('자료_거시'!$J2947),ISNUMBER('자료_거시'!$K2947)),IFERROR('자료_거시'!$K2947/INDEX($Z$21:$Z$4020,MATCH(EDATE('자료_거시'!$J2947,-'설정'!$B$17),'자료_거시'!$J$3:INDEX('자료_거시'!$J$3:$J$4002,$K$8),1))-1,""),"")</f>
        <v/>
      </c>
      <c r="AB2965">
        <f>IF(ISNUMBER(AA2965),'자료_거시'!$J2947,"")</f>
        <v/>
      </c>
      <c r="AC2965">
        <f>IF(ISNUMBER(AB2965),IF(AB2965&gt;$L$8,AA2965,""),"")</f>
        <v/>
      </c>
    </row>
    <row r="2966">
      <c r="S2966">
        <f>IF(ISNUMBER('자료_거시'!$E2948),'자료_거시'!$E2948,S2965)</f>
        <v/>
      </c>
      <c r="T2966">
        <f>IF(AND(ISNUMBER('자료_거시'!$D2948),ISNUMBER('자료_거시'!$E2948)),IFERROR('자료_거시'!$E2948-INDEX($S$21:$S$4020,MATCH(EDATE('자료_거시'!$D2948,-'설정'!$B$17),'자료_거시'!$D$3:INDEX('자료_거시'!$D$3:$D$4002,$K$6),1)),""),"")</f>
        <v/>
      </c>
      <c r="U2966">
        <f>IF(ISNUMBER(T2966),'자료_거시'!$D2948,"")</f>
        <v/>
      </c>
      <c r="V2966">
        <f>IF(ISNUMBER(U2966),IF(U2966&gt;$L$6,T2966,""),"")</f>
        <v/>
      </c>
      <c r="W2966">
        <f>IF(AND(ISNUMBER('자료_거시'!$G2948),ISNUMBER('자료_거시'!$H2948)),'자료_거시'!$H2948,"")</f>
        <v/>
      </c>
      <c r="X2966">
        <f>IF(ISNUMBER(W2966),'자료_거시'!$G2948,"")</f>
        <v/>
      </c>
      <c r="Y2966">
        <f>IF(ISNUMBER(X2966),IF(X2966&gt;$L$7,W2966,""),"")</f>
        <v/>
      </c>
      <c r="Z2966">
        <f>IF(ISNUMBER('자료_거시'!$K2948),'자료_거시'!$K2948,Z2965)</f>
        <v/>
      </c>
      <c r="AA2966">
        <f>IF(AND(ISNUMBER('자료_거시'!$J2948),ISNUMBER('자료_거시'!$K2948)),IFERROR('자료_거시'!$K2948/INDEX($Z$21:$Z$4020,MATCH(EDATE('자료_거시'!$J2948,-'설정'!$B$17),'자료_거시'!$J$3:INDEX('자료_거시'!$J$3:$J$4002,$K$8),1))-1,""),"")</f>
        <v/>
      </c>
      <c r="AB2966">
        <f>IF(ISNUMBER(AA2966),'자료_거시'!$J2948,"")</f>
        <v/>
      </c>
      <c r="AC2966">
        <f>IF(ISNUMBER(AB2966),IF(AB2966&gt;$L$8,AA2966,""),"")</f>
        <v/>
      </c>
    </row>
    <row r="2967">
      <c r="S2967">
        <f>IF(ISNUMBER('자료_거시'!$E2949),'자료_거시'!$E2949,S2966)</f>
        <v/>
      </c>
      <c r="T2967">
        <f>IF(AND(ISNUMBER('자료_거시'!$D2949),ISNUMBER('자료_거시'!$E2949)),IFERROR('자료_거시'!$E2949-INDEX($S$21:$S$4020,MATCH(EDATE('자료_거시'!$D2949,-'설정'!$B$17),'자료_거시'!$D$3:INDEX('자료_거시'!$D$3:$D$4002,$K$6),1)),""),"")</f>
        <v/>
      </c>
      <c r="U2967">
        <f>IF(ISNUMBER(T2967),'자료_거시'!$D2949,"")</f>
        <v/>
      </c>
      <c r="V2967">
        <f>IF(ISNUMBER(U2967),IF(U2967&gt;$L$6,T2967,""),"")</f>
        <v/>
      </c>
      <c r="W2967">
        <f>IF(AND(ISNUMBER('자료_거시'!$G2949),ISNUMBER('자료_거시'!$H2949)),'자료_거시'!$H2949,"")</f>
        <v/>
      </c>
      <c r="X2967">
        <f>IF(ISNUMBER(W2967),'자료_거시'!$G2949,"")</f>
        <v/>
      </c>
      <c r="Y2967">
        <f>IF(ISNUMBER(X2967),IF(X2967&gt;$L$7,W2967,""),"")</f>
        <v/>
      </c>
      <c r="Z2967">
        <f>IF(ISNUMBER('자료_거시'!$K2949),'자료_거시'!$K2949,Z2966)</f>
        <v/>
      </c>
      <c r="AA2967">
        <f>IF(AND(ISNUMBER('자료_거시'!$J2949),ISNUMBER('자료_거시'!$K2949)),IFERROR('자료_거시'!$K2949/INDEX($Z$21:$Z$4020,MATCH(EDATE('자료_거시'!$J2949,-'설정'!$B$17),'자료_거시'!$J$3:INDEX('자료_거시'!$J$3:$J$4002,$K$8),1))-1,""),"")</f>
        <v/>
      </c>
      <c r="AB2967">
        <f>IF(ISNUMBER(AA2967),'자료_거시'!$J2949,"")</f>
        <v/>
      </c>
      <c r="AC2967">
        <f>IF(ISNUMBER(AB2967),IF(AB2967&gt;$L$8,AA2967,""),"")</f>
        <v/>
      </c>
    </row>
    <row r="2968">
      <c r="S2968">
        <f>IF(ISNUMBER('자료_거시'!$E2950),'자료_거시'!$E2950,S2967)</f>
        <v/>
      </c>
      <c r="T2968">
        <f>IF(AND(ISNUMBER('자료_거시'!$D2950),ISNUMBER('자료_거시'!$E2950)),IFERROR('자료_거시'!$E2950-INDEX($S$21:$S$4020,MATCH(EDATE('자료_거시'!$D2950,-'설정'!$B$17),'자료_거시'!$D$3:INDEX('자료_거시'!$D$3:$D$4002,$K$6),1)),""),"")</f>
        <v/>
      </c>
      <c r="U2968">
        <f>IF(ISNUMBER(T2968),'자료_거시'!$D2950,"")</f>
        <v/>
      </c>
      <c r="V2968">
        <f>IF(ISNUMBER(U2968),IF(U2968&gt;$L$6,T2968,""),"")</f>
        <v/>
      </c>
      <c r="W2968">
        <f>IF(AND(ISNUMBER('자료_거시'!$G2950),ISNUMBER('자료_거시'!$H2950)),'자료_거시'!$H2950,"")</f>
        <v/>
      </c>
      <c r="X2968">
        <f>IF(ISNUMBER(W2968),'자료_거시'!$G2950,"")</f>
        <v/>
      </c>
      <c r="Y2968">
        <f>IF(ISNUMBER(X2968),IF(X2968&gt;$L$7,W2968,""),"")</f>
        <v/>
      </c>
      <c r="Z2968">
        <f>IF(ISNUMBER('자료_거시'!$K2950),'자료_거시'!$K2950,Z2967)</f>
        <v/>
      </c>
      <c r="AA2968">
        <f>IF(AND(ISNUMBER('자료_거시'!$J2950),ISNUMBER('자료_거시'!$K2950)),IFERROR('자료_거시'!$K2950/INDEX($Z$21:$Z$4020,MATCH(EDATE('자료_거시'!$J2950,-'설정'!$B$17),'자료_거시'!$J$3:INDEX('자료_거시'!$J$3:$J$4002,$K$8),1))-1,""),"")</f>
        <v/>
      </c>
      <c r="AB2968">
        <f>IF(ISNUMBER(AA2968),'자료_거시'!$J2950,"")</f>
        <v/>
      </c>
      <c r="AC2968">
        <f>IF(ISNUMBER(AB2968),IF(AB2968&gt;$L$8,AA2968,""),"")</f>
        <v/>
      </c>
    </row>
    <row r="2969">
      <c r="S2969">
        <f>IF(ISNUMBER('자료_거시'!$E2951),'자료_거시'!$E2951,S2968)</f>
        <v/>
      </c>
      <c r="T2969">
        <f>IF(AND(ISNUMBER('자료_거시'!$D2951),ISNUMBER('자료_거시'!$E2951)),IFERROR('자료_거시'!$E2951-INDEX($S$21:$S$4020,MATCH(EDATE('자료_거시'!$D2951,-'설정'!$B$17),'자료_거시'!$D$3:INDEX('자료_거시'!$D$3:$D$4002,$K$6),1)),""),"")</f>
        <v/>
      </c>
      <c r="U2969">
        <f>IF(ISNUMBER(T2969),'자료_거시'!$D2951,"")</f>
        <v/>
      </c>
      <c r="V2969">
        <f>IF(ISNUMBER(U2969),IF(U2969&gt;$L$6,T2969,""),"")</f>
        <v/>
      </c>
      <c r="W2969">
        <f>IF(AND(ISNUMBER('자료_거시'!$G2951),ISNUMBER('자료_거시'!$H2951)),'자료_거시'!$H2951,"")</f>
        <v/>
      </c>
      <c r="X2969">
        <f>IF(ISNUMBER(W2969),'자료_거시'!$G2951,"")</f>
        <v/>
      </c>
      <c r="Y2969">
        <f>IF(ISNUMBER(X2969),IF(X2969&gt;$L$7,W2969,""),"")</f>
        <v/>
      </c>
      <c r="Z2969">
        <f>IF(ISNUMBER('자료_거시'!$K2951),'자료_거시'!$K2951,Z2968)</f>
        <v/>
      </c>
      <c r="AA2969">
        <f>IF(AND(ISNUMBER('자료_거시'!$J2951),ISNUMBER('자료_거시'!$K2951)),IFERROR('자료_거시'!$K2951/INDEX($Z$21:$Z$4020,MATCH(EDATE('자료_거시'!$J2951,-'설정'!$B$17),'자료_거시'!$J$3:INDEX('자료_거시'!$J$3:$J$4002,$K$8),1))-1,""),"")</f>
        <v/>
      </c>
      <c r="AB2969">
        <f>IF(ISNUMBER(AA2969),'자료_거시'!$J2951,"")</f>
        <v/>
      </c>
      <c r="AC2969">
        <f>IF(ISNUMBER(AB2969),IF(AB2969&gt;$L$8,AA2969,""),"")</f>
        <v/>
      </c>
    </row>
    <row r="2970">
      <c r="S2970">
        <f>IF(ISNUMBER('자료_거시'!$E2952),'자료_거시'!$E2952,S2969)</f>
        <v/>
      </c>
      <c r="T2970">
        <f>IF(AND(ISNUMBER('자료_거시'!$D2952),ISNUMBER('자료_거시'!$E2952)),IFERROR('자료_거시'!$E2952-INDEX($S$21:$S$4020,MATCH(EDATE('자료_거시'!$D2952,-'설정'!$B$17),'자료_거시'!$D$3:INDEX('자료_거시'!$D$3:$D$4002,$K$6),1)),""),"")</f>
        <v/>
      </c>
      <c r="U2970">
        <f>IF(ISNUMBER(T2970),'자료_거시'!$D2952,"")</f>
        <v/>
      </c>
      <c r="V2970">
        <f>IF(ISNUMBER(U2970),IF(U2970&gt;$L$6,T2970,""),"")</f>
        <v/>
      </c>
      <c r="W2970">
        <f>IF(AND(ISNUMBER('자료_거시'!$G2952),ISNUMBER('자료_거시'!$H2952)),'자료_거시'!$H2952,"")</f>
        <v/>
      </c>
      <c r="X2970">
        <f>IF(ISNUMBER(W2970),'자료_거시'!$G2952,"")</f>
        <v/>
      </c>
      <c r="Y2970">
        <f>IF(ISNUMBER(X2970),IF(X2970&gt;$L$7,W2970,""),"")</f>
        <v/>
      </c>
      <c r="Z2970">
        <f>IF(ISNUMBER('자료_거시'!$K2952),'자료_거시'!$K2952,Z2969)</f>
        <v/>
      </c>
      <c r="AA2970">
        <f>IF(AND(ISNUMBER('자료_거시'!$J2952),ISNUMBER('자료_거시'!$K2952)),IFERROR('자료_거시'!$K2952/INDEX($Z$21:$Z$4020,MATCH(EDATE('자료_거시'!$J2952,-'설정'!$B$17),'자료_거시'!$J$3:INDEX('자료_거시'!$J$3:$J$4002,$K$8),1))-1,""),"")</f>
        <v/>
      </c>
      <c r="AB2970">
        <f>IF(ISNUMBER(AA2970),'자료_거시'!$J2952,"")</f>
        <v/>
      </c>
      <c r="AC2970">
        <f>IF(ISNUMBER(AB2970),IF(AB2970&gt;$L$8,AA2970,""),"")</f>
        <v/>
      </c>
    </row>
    <row r="2971">
      <c r="S2971">
        <f>IF(ISNUMBER('자료_거시'!$E2953),'자료_거시'!$E2953,S2970)</f>
        <v/>
      </c>
      <c r="T2971">
        <f>IF(AND(ISNUMBER('자료_거시'!$D2953),ISNUMBER('자료_거시'!$E2953)),IFERROR('자료_거시'!$E2953-INDEX($S$21:$S$4020,MATCH(EDATE('자료_거시'!$D2953,-'설정'!$B$17),'자료_거시'!$D$3:INDEX('자료_거시'!$D$3:$D$4002,$K$6),1)),""),"")</f>
        <v/>
      </c>
      <c r="U2971">
        <f>IF(ISNUMBER(T2971),'자료_거시'!$D2953,"")</f>
        <v/>
      </c>
      <c r="V2971">
        <f>IF(ISNUMBER(U2971),IF(U2971&gt;$L$6,T2971,""),"")</f>
        <v/>
      </c>
      <c r="W2971">
        <f>IF(AND(ISNUMBER('자료_거시'!$G2953),ISNUMBER('자료_거시'!$H2953)),'자료_거시'!$H2953,"")</f>
        <v/>
      </c>
      <c r="X2971">
        <f>IF(ISNUMBER(W2971),'자료_거시'!$G2953,"")</f>
        <v/>
      </c>
      <c r="Y2971">
        <f>IF(ISNUMBER(X2971),IF(X2971&gt;$L$7,W2971,""),"")</f>
        <v/>
      </c>
      <c r="Z2971">
        <f>IF(ISNUMBER('자료_거시'!$K2953),'자료_거시'!$K2953,Z2970)</f>
        <v/>
      </c>
      <c r="AA2971">
        <f>IF(AND(ISNUMBER('자료_거시'!$J2953),ISNUMBER('자료_거시'!$K2953)),IFERROR('자료_거시'!$K2953/INDEX($Z$21:$Z$4020,MATCH(EDATE('자료_거시'!$J2953,-'설정'!$B$17),'자료_거시'!$J$3:INDEX('자료_거시'!$J$3:$J$4002,$K$8),1))-1,""),"")</f>
        <v/>
      </c>
      <c r="AB2971">
        <f>IF(ISNUMBER(AA2971),'자료_거시'!$J2953,"")</f>
        <v/>
      </c>
      <c r="AC2971">
        <f>IF(ISNUMBER(AB2971),IF(AB2971&gt;$L$8,AA2971,""),"")</f>
        <v/>
      </c>
    </row>
    <row r="2972">
      <c r="S2972">
        <f>IF(ISNUMBER('자료_거시'!$E2954),'자료_거시'!$E2954,S2971)</f>
        <v/>
      </c>
      <c r="T2972">
        <f>IF(AND(ISNUMBER('자료_거시'!$D2954),ISNUMBER('자료_거시'!$E2954)),IFERROR('자료_거시'!$E2954-INDEX($S$21:$S$4020,MATCH(EDATE('자료_거시'!$D2954,-'설정'!$B$17),'자료_거시'!$D$3:INDEX('자료_거시'!$D$3:$D$4002,$K$6),1)),""),"")</f>
        <v/>
      </c>
      <c r="U2972">
        <f>IF(ISNUMBER(T2972),'자료_거시'!$D2954,"")</f>
        <v/>
      </c>
      <c r="V2972">
        <f>IF(ISNUMBER(U2972),IF(U2972&gt;$L$6,T2972,""),"")</f>
        <v/>
      </c>
      <c r="W2972">
        <f>IF(AND(ISNUMBER('자료_거시'!$G2954),ISNUMBER('자료_거시'!$H2954)),'자료_거시'!$H2954,"")</f>
        <v/>
      </c>
      <c r="X2972">
        <f>IF(ISNUMBER(W2972),'자료_거시'!$G2954,"")</f>
        <v/>
      </c>
      <c r="Y2972">
        <f>IF(ISNUMBER(X2972),IF(X2972&gt;$L$7,W2972,""),"")</f>
        <v/>
      </c>
      <c r="Z2972">
        <f>IF(ISNUMBER('자료_거시'!$K2954),'자료_거시'!$K2954,Z2971)</f>
        <v/>
      </c>
      <c r="AA2972">
        <f>IF(AND(ISNUMBER('자료_거시'!$J2954),ISNUMBER('자료_거시'!$K2954)),IFERROR('자료_거시'!$K2954/INDEX($Z$21:$Z$4020,MATCH(EDATE('자료_거시'!$J2954,-'설정'!$B$17),'자료_거시'!$J$3:INDEX('자료_거시'!$J$3:$J$4002,$K$8),1))-1,""),"")</f>
        <v/>
      </c>
      <c r="AB2972">
        <f>IF(ISNUMBER(AA2972),'자료_거시'!$J2954,"")</f>
        <v/>
      </c>
      <c r="AC2972">
        <f>IF(ISNUMBER(AB2972),IF(AB2972&gt;$L$8,AA2972,""),"")</f>
        <v/>
      </c>
    </row>
    <row r="2973">
      <c r="S2973">
        <f>IF(ISNUMBER('자료_거시'!$E2955),'자료_거시'!$E2955,S2972)</f>
        <v/>
      </c>
      <c r="T2973">
        <f>IF(AND(ISNUMBER('자료_거시'!$D2955),ISNUMBER('자료_거시'!$E2955)),IFERROR('자료_거시'!$E2955-INDEX($S$21:$S$4020,MATCH(EDATE('자료_거시'!$D2955,-'설정'!$B$17),'자료_거시'!$D$3:INDEX('자료_거시'!$D$3:$D$4002,$K$6),1)),""),"")</f>
        <v/>
      </c>
      <c r="U2973">
        <f>IF(ISNUMBER(T2973),'자료_거시'!$D2955,"")</f>
        <v/>
      </c>
      <c r="V2973">
        <f>IF(ISNUMBER(U2973),IF(U2973&gt;$L$6,T2973,""),"")</f>
        <v/>
      </c>
      <c r="W2973">
        <f>IF(AND(ISNUMBER('자료_거시'!$G2955),ISNUMBER('자료_거시'!$H2955)),'자료_거시'!$H2955,"")</f>
        <v/>
      </c>
      <c r="X2973">
        <f>IF(ISNUMBER(W2973),'자료_거시'!$G2955,"")</f>
        <v/>
      </c>
      <c r="Y2973">
        <f>IF(ISNUMBER(X2973),IF(X2973&gt;$L$7,W2973,""),"")</f>
        <v/>
      </c>
      <c r="Z2973">
        <f>IF(ISNUMBER('자료_거시'!$K2955),'자료_거시'!$K2955,Z2972)</f>
        <v/>
      </c>
      <c r="AA2973">
        <f>IF(AND(ISNUMBER('자료_거시'!$J2955),ISNUMBER('자료_거시'!$K2955)),IFERROR('자료_거시'!$K2955/INDEX($Z$21:$Z$4020,MATCH(EDATE('자료_거시'!$J2955,-'설정'!$B$17),'자료_거시'!$J$3:INDEX('자료_거시'!$J$3:$J$4002,$K$8),1))-1,""),"")</f>
        <v/>
      </c>
      <c r="AB2973">
        <f>IF(ISNUMBER(AA2973),'자료_거시'!$J2955,"")</f>
        <v/>
      </c>
      <c r="AC2973">
        <f>IF(ISNUMBER(AB2973),IF(AB2973&gt;$L$8,AA2973,""),"")</f>
        <v/>
      </c>
    </row>
    <row r="2974">
      <c r="S2974">
        <f>IF(ISNUMBER('자료_거시'!$E2956),'자료_거시'!$E2956,S2973)</f>
        <v/>
      </c>
      <c r="T2974">
        <f>IF(AND(ISNUMBER('자료_거시'!$D2956),ISNUMBER('자료_거시'!$E2956)),IFERROR('자료_거시'!$E2956-INDEX($S$21:$S$4020,MATCH(EDATE('자료_거시'!$D2956,-'설정'!$B$17),'자료_거시'!$D$3:INDEX('자료_거시'!$D$3:$D$4002,$K$6),1)),""),"")</f>
        <v/>
      </c>
      <c r="U2974">
        <f>IF(ISNUMBER(T2974),'자료_거시'!$D2956,"")</f>
        <v/>
      </c>
      <c r="V2974">
        <f>IF(ISNUMBER(U2974),IF(U2974&gt;$L$6,T2974,""),"")</f>
        <v/>
      </c>
      <c r="W2974">
        <f>IF(AND(ISNUMBER('자료_거시'!$G2956),ISNUMBER('자료_거시'!$H2956)),'자료_거시'!$H2956,"")</f>
        <v/>
      </c>
      <c r="X2974">
        <f>IF(ISNUMBER(W2974),'자료_거시'!$G2956,"")</f>
        <v/>
      </c>
      <c r="Y2974">
        <f>IF(ISNUMBER(X2974),IF(X2974&gt;$L$7,W2974,""),"")</f>
        <v/>
      </c>
      <c r="Z2974">
        <f>IF(ISNUMBER('자료_거시'!$K2956),'자료_거시'!$K2956,Z2973)</f>
        <v/>
      </c>
      <c r="AA2974">
        <f>IF(AND(ISNUMBER('자료_거시'!$J2956),ISNUMBER('자료_거시'!$K2956)),IFERROR('자료_거시'!$K2956/INDEX($Z$21:$Z$4020,MATCH(EDATE('자료_거시'!$J2956,-'설정'!$B$17),'자료_거시'!$J$3:INDEX('자료_거시'!$J$3:$J$4002,$K$8),1))-1,""),"")</f>
        <v/>
      </c>
      <c r="AB2974">
        <f>IF(ISNUMBER(AA2974),'자료_거시'!$J2956,"")</f>
        <v/>
      </c>
      <c r="AC2974">
        <f>IF(ISNUMBER(AB2974),IF(AB2974&gt;$L$8,AA2974,""),"")</f>
        <v/>
      </c>
    </row>
    <row r="2975">
      <c r="S2975">
        <f>IF(ISNUMBER('자료_거시'!$E2957),'자료_거시'!$E2957,S2974)</f>
        <v/>
      </c>
      <c r="T2975">
        <f>IF(AND(ISNUMBER('자료_거시'!$D2957),ISNUMBER('자료_거시'!$E2957)),IFERROR('자료_거시'!$E2957-INDEX($S$21:$S$4020,MATCH(EDATE('자료_거시'!$D2957,-'설정'!$B$17),'자료_거시'!$D$3:INDEX('자료_거시'!$D$3:$D$4002,$K$6),1)),""),"")</f>
        <v/>
      </c>
      <c r="U2975">
        <f>IF(ISNUMBER(T2975),'자료_거시'!$D2957,"")</f>
        <v/>
      </c>
      <c r="V2975">
        <f>IF(ISNUMBER(U2975),IF(U2975&gt;$L$6,T2975,""),"")</f>
        <v/>
      </c>
      <c r="W2975">
        <f>IF(AND(ISNUMBER('자료_거시'!$G2957),ISNUMBER('자료_거시'!$H2957)),'자료_거시'!$H2957,"")</f>
        <v/>
      </c>
      <c r="X2975">
        <f>IF(ISNUMBER(W2975),'자료_거시'!$G2957,"")</f>
        <v/>
      </c>
      <c r="Y2975">
        <f>IF(ISNUMBER(X2975),IF(X2975&gt;$L$7,W2975,""),"")</f>
        <v/>
      </c>
      <c r="Z2975">
        <f>IF(ISNUMBER('자료_거시'!$K2957),'자료_거시'!$K2957,Z2974)</f>
        <v/>
      </c>
      <c r="AA2975">
        <f>IF(AND(ISNUMBER('자료_거시'!$J2957),ISNUMBER('자료_거시'!$K2957)),IFERROR('자료_거시'!$K2957/INDEX($Z$21:$Z$4020,MATCH(EDATE('자료_거시'!$J2957,-'설정'!$B$17),'자료_거시'!$J$3:INDEX('자료_거시'!$J$3:$J$4002,$K$8),1))-1,""),"")</f>
        <v/>
      </c>
      <c r="AB2975">
        <f>IF(ISNUMBER(AA2975),'자료_거시'!$J2957,"")</f>
        <v/>
      </c>
      <c r="AC2975">
        <f>IF(ISNUMBER(AB2975),IF(AB2975&gt;$L$8,AA2975,""),"")</f>
        <v/>
      </c>
    </row>
    <row r="2976">
      <c r="S2976">
        <f>IF(ISNUMBER('자료_거시'!$E2958),'자료_거시'!$E2958,S2975)</f>
        <v/>
      </c>
      <c r="T2976">
        <f>IF(AND(ISNUMBER('자료_거시'!$D2958),ISNUMBER('자료_거시'!$E2958)),IFERROR('자료_거시'!$E2958-INDEX($S$21:$S$4020,MATCH(EDATE('자료_거시'!$D2958,-'설정'!$B$17),'자료_거시'!$D$3:INDEX('자료_거시'!$D$3:$D$4002,$K$6),1)),""),"")</f>
        <v/>
      </c>
      <c r="U2976">
        <f>IF(ISNUMBER(T2976),'자료_거시'!$D2958,"")</f>
        <v/>
      </c>
      <c r="V2976">
        <f>IF(ISNUMBER(U2976),IF(U2976&gt;$L$6,T2976,""),"")</f>
        <v/>
      </c>
      <c r="W2976">
        <f>IF(AND(ISNUMBER('자료_거시'!$G2958),ISNUMBER('자료_거시'!$H2958)),'자료_거시'!$H2958,"")</f>
        <v/>
      </c>
      <c r="X2976">
        <f>IF(ISNUMBER(W2976),'자료_거시'!$G2958,"")</f>
        <v/>
      </c>
      <c r="Y2976">
        <f>IF(ISNUMBER(X2976),IF(X2976&gt;$L$7,W2976,""),"")</f>
        <v/>
      </c>
      <c r="Z2976">
        <f>IF(ISNUMBER('자료_거시'!$K2958),'자료_거시'!$K2958,Z2975)</f>
        <v/>
      </c>
      <c r="AA2976">
        <f>IF(AND(ISNUMBER('자료_거시'!$J2958),ISNUMBER('자료_거시'!$K2958)),IFERROR('자료_거시'!$K2958/INDEX($Z$21:$Z$4020,MATCH(EDATE('자료_거시'!$J2958,-'설정'!$B$17),'자료_거시'!$J$3:INDEX('자료_거시'!$J$3:$J$4002,$K$8),1))-1,""),"")</f>
        <v/>
      </c>
      <c r="AB2976">
        <f>IF(ISNUMBER(AA2976),'자료_거시'!$J2958,"")</f>
        <v/>
      </c>
      <c r="AC2976">
        <f>IF(ISNUMBER(AB2976),IF(AB2976&gt;$L$8,AA2976,""),"")</f>
        <v/>
      </c>
    </row>
    <row r="2977">
      <c r="S2977">
        <f>IF(ISNUMBER('자료_거시'!$E2959),'자료_거시'!$E2959,S2976)</f>
        <v/>
      </c>
      <c r="T2977">
        <f>IF(AND(ISNUMBER('자료_거시'!$D2959),ISNUMBER('자료_거시'!$E2959)),IFERROR('자료_거시'!$E2959-INDEX($S$21:$S$4020,MATCH(EDATE('자료_거시'!$D2959,-'설정'!$B$17),'자료_거시'!$D$3:INDEX('자료_거시'!$D$3:$D$4002,$K$6),1)),""),"")</f>
        <v/>
      </c>
      <c r="U2977">
        <f>IF(ISNUMBER(T2977),'자료_거시'!$D2959,"")</f>
        <v/>
      </c>
      <c r="V2977">
        <f>IF(ISNUMBER(U2977),IF(U2977&gt;$L$6,T2977,""),"")</f>
        <v/>
      </c>
      <c r="W2977">
        <f>IF(AND(ISNUMBER('자료_거시'!$G2959),ISNUMBER('자료_거시'!$H2959)),'자료_거시'!$H2959,"")</f>
        <v/>
      </c>
      <c r="X2977">
        <f>IF(ISNUMBER(W2977),'자료_거시'!$G2959,"")</f>
        <v/>
      </c>
      <c r="Y2977">
        <f>IF(ISNUMBER(X2977),IF(X2977&gt;$L$7,W2977,""),"")</f>
        <v/>
      </c>
      <c r="Z2977">
        <f>IF(ISNUMBER('자료_거시'!$K2959),'자료_거시'!$K2959,Z2976)</f>
        <v/>
      </c>
      <c r="AA2977">
        <f>IF(AND(ISNUMBER('자료_거시'!$J2959),ISNUMBER('자료_거시'!$K2959)),IFERROR('자료_거시'!$K2959/INDEX($Z$21:$Z$4020,MATCH(EDATE('자료_거시'!$J2959,-'설정'!$B$17),'자료_거시'!$J$3:INDEX('자료_거시'!$J$3:$J$4002,$K$8),1))-1,""),"")</f>
        <v/>
      </c>
      <c r="AB2977">
        <f>IF(ISNUMBER(AA2977),'자료_거시'!$J2959,"")</f>
        <v/>
      </c>
      <c r="AC2977">
        <f>IF(ISNUMBER(AB2977),IF(AB2977&gt;$L$8,AA2977,""),"")</f>
        <v/>
      </c>
    </row>
    <row r="2978">
      <c r="S2978">
        <f>IF(ISNUMBER('자료_거시'!$E2960),'자료_거시'!$E2960,S2977)</f>
        <v/>
      </c>
      <c r="T2978">
        <f>IF(AND(ISNUMBER('자료_거시'!$D2960),ISNUMBER('자료_거시'!$E2960)),IFERROR('자료_거시'!$E2960-INDEX($S$21:$S$4020,MATCH(EDATE('자료_거시'!$D2960,-'설정'!$B$17),'자료_거시'!$D$3:INDEX('자료_거시'!$D$3:$D$4002,$K$6),1)),""),"")</f>
        <v/>
      </c>
      <c r="U2978">
        <f>IF(ISNUMBER(T2978),'자료_거시'!$D2960,"")</f>
        <v/>
      </c>
      <c r="V2978">
        <f>IF(ISNUMBER(U2978),IF(U2978&gt;$L$6,T2978,""),"")</f>
        <v/>
      </c>
      <c r="W2978">
        <f>IF(AND(ISNUMBER('자료_거시'!$G2960),ISNUMBER('자료_거시'!$H2960)),'자료_거시'!$H2960,"")</f>
        <v/>
      </c>
      <c r="X2978">
        <f>IF(ISNUMBER(W2978),'자료_거시'!$G2960,"")</f>
        <v/>
      </c>
      <c r="Y2978">
        <f>IF(ISNUMBER(X2978),IF(X2978&gt;$L$7,W2978,""),"")</f>
        <v/>
      </c>
      <c r="Z2978">
        <f>IF(ISNUMBER('자료_거시'!$K2960),'자료_거시'!$K2960,Z2977)</f>
        <v/>
      </c>
      <c r="AA2978">
        <f>IF(AND(ISNUMBER('자료_거시'!$J2960),ISNUMBER('자료_거시'!$K2960)),IFERROR('자료_거시'!$K2960/INDEX($Z$21:$Z$4020,MATCH(EDATE('자료_거시'!$J2960,-'설정'!$B$17),'자료_거시'!$J$3:INDEX('자료_거시'!$J$3:$J$4002,$K$8),1))-1,""),"")</f>
        <v/>
      </c>
      <c r="AB2978">
        <f>IF(ISNUMBER(AA2978),'자료_거시'!$J2960,"")</f>
        <v/>
      </c>
      <c r="AC2978">
        <f>IF(ISNUMBER(AB2978),IF(AB2978&gt;$L$8,AA2978,""),"")</f>
        <v/>
      </c>
    </row>
    <row r="2979">
      <c r="S2979">
        <f>IF(ISNUMBER('자료_거시'!$E2961),'자료_거시'!$E2961,S2978)</f>
        <v/>
      </c>
      <c r="T2979">
        <f>IF(AND(ISNUMBER('자료_거시'!$D2961),ISNUMBER('자료_거시'!$E2961)),IFERROR('자료_거시'!$E2961-INDEX($S$21:$S$4020,MATCH(EDATE('자료_거시'!$D2961,-'설정'!$B$17),'자료_거시'!$D$3:INDEX('자료_거시'!$D$3:$D$4002,$K$6),1)),""),"")</f>
        <v/>
      </c>
      <c r="U2979">
        <f>IF(ISNUMBER(T2979),'자료_거시'!$D2961,"")</f>
        <v/>
      </c>
      <c r="V2979">
        <f>IF(ISNUMBER(U2979),IF(U2979&gt;$L$6,T2979,""),"")</f>
        <v/>
      </c>
      <c r="W2979">
        <f>IF(AND(ISNUMBER('자료_거시'!$G2961),ISNUMBER('자료_거시'!$H2961)),'자료_거시'!$H2961,"")</f>
        <v/>
      </c>
      <c r="X2979">
        <f>IF(ISNUMBER(W2979),'자료_거시'!$G2961,"")</f>
        <v/>
      </c>
      <c r="Y2979">
        <f>IF(ISNUMBER(X2979),IF(X2979&gt;$L$7,W2979,""),"")</f>
        <v/>
      </c>
      <c r="Z2979">
        <f>IF(ISNUMBER('자료_거시'!$K2961),'자료_거시'!$K2961,Z2978)</f>
        <v/>
      </c>
      <c r="AA2979">
        <f>IF(AND(ISNUMBER('자료_거시'!$J2961),ISNUMBER('자료_거시'!$K2961)),IFERROR('자료_거시'!$K2961/INDEX($Z$21:$Z$4020,MATCH(EDATE('자료_거시'!$J2961,-'설정'!$B$17),'자료_거시'!$J$3:INDEX('자료_거시'!$J$3:$J$4002,$K$8),1))-1,""),"")</f>
        <v/>
      </c>
      <c r="AB2979">
        <f>IF(ISNUMBER(AA2979),'자료_거시'!$J2961,"")</f>
        <v/>
      </c>
      <c r="AC2979">
        <f>IF(ISNUMBER(AB2979),IF(AB2979&gt;$L$8,AA2979,""),"")</f>
        <v/>
      </c>
    </row>
    <row r="2980">
      <c r="S2980">
        <f>IF(ISNUMBER('자료_거시'!$E2962),'자료_거시'!$E2962,S2979)</f>
        <v/>
      </c>
      <c r="T2980">
        <f>IF(AND(ISNUMBER('자료_거시'!$D2962),ISNUMBER('자료_거시'!$E2962)),IFERROR('자료_거시'!$E2962-INDEX($S$21:$S$4020,MATCH(EDATE('자료_거시'!$D2962,-'설정'!$B$17),'자료_거시'!$D$3:INDEX('자료_거시'!$D$3:$D$4002,$K$6),1)),""),"")</f>
        <v/>
      </c>
      <c r="U2980">
        <f>IF(ISNUMBER(T2980),'자료_거시'!$D2962,"")</f>
        <v/>
      </c>
      <c r="V2980">
        <f>IF(ISNUMBER(U2980),IF(U2980&gt;$L$6,T2980,""),"")</f>
        <v/>
      </c>
      <c r="W2980">
        <f>IF(AND(ISNUMBER('자료_거시'!$G2962),ISNUMBER('자료_거시'!$H2962)),'자료_거시'!$H2962,"")</f>
        <v/>
      </c>
      <c r="X2980">
        <f>IF(ISNUMBER(W2980),'자료_거시'!$G2962,"")</f>
        <v/>
      </c>
      <c r="Y2980">
        <f>IF(ISNUMBER(X2980),IF(X2980&gt;$L$7,W2980,""),"")</f>
        <v/>
      </c>
      <c r="Z2980">
        <f>IF(ISNUMBER('자료_거시'!$K2962),'자료_거시'!$K2962,Z2979)</f>
        <v/>
      </c>
      <c r="AA2980">
        <f>IF(AND(ISNUMBER('자료_거시'!$J2962),ISNUMBER('자료_거시'!$K2962)),IFERROR('자료_거시'!$K2962/INDEX($Z$21:$Z$4020,MATCH(EDATE('자료_거시'!$J2962,-'설정'!$B$17),'자료_거시'!$J$3:INDEX('자료_거시'!$J$3:$J$4002,$K$8),1))-1,""),"")</f>
        <v/>
      </c>
      <c r="AB2980">
        <f>IF(ISNUMBER(AA2980),'자료_거시'!$J2962,"")</f>
        <v/>
      </c>
      <c r="AC2980">
        <f>IF(ISNUMBER(AB2980),IF(AB2980&gt;$L$8,AA2980,""),"")</f>
        <v/>
      </c>
    </row>
    <row r="2981">
      <c r="S2981">
        <f>IF(ISNUMBER('자료_거시'!$E2963),'자료_거시'!$E2963,S2980)</f>
        <v/>
      </c>
      <c r="T2981">
        <f>IF(AND(ISNUMBER('자료_거시'!$D2963),ISNUMBER('자료_거시'!$E2963)),IFERROR('자료_거시'!$E2963-INDEX($S$21:$S$4020,MATCH(EDATE('자료_거시'!$D2963,-'설정'!$B$17),'자료_거시'!$D$3:INDEX('자료_거시'!$D$3:$D$4002,$K$6),1)),""),"")</f>
        <v/>
      </c>
      <c r="U2981">
        <f>IF(ISNUMBER(T2981),'자료_거시'!$D2963,"")</f>
        <v/>
      </c>
      <c r="V2981">
        <f>IF(ISNUMBER(U2981),IF(U2981&gt;$L$6,T2981,""),"")</f>
        <v/>
      </c>
      <c r="W2981">
        <f>IF(AND(ISNUMBER('자료_거시'!$G2963),ISNUMBER('자료_거시'!$H2963)),'자료_거시'!$H2963,"")</f>
        <v/>
      </c>
      <c r="X2981">
        <f>IF(ISNUMBER(W2981),'자료_거시'!$G2963,"")</f>
        <v/>
      </c>
      <c r="Y2981">
        <f>IF(ISNUMBER(X2981),IF(X2981&gt;$L$7,W2981,""),"")</f>
        <v/>
      </c>
      <c r="Z2981">
        <f>IF(ISNUMBER('자료_거시'!$K2963),'자료_거시'!$K2963,Z2980)</f>
        <v/>
      </c>
      <c r="AA2981">
        <f>IF(AND(ISNUMBER('자료_거시'!$J2963),ISNUMBER('자료_거시'!$K2963)),IFERROR('자료_거시'!$K2963/INDEX($Z$21:$Z$4020,MATCH(EDATE('자료_거시'!$J2963,-'설정'!$B$17),'자료_거시'!$J$3:INDEX('자료_거시'!$J$3:$J$4002,$K$8),1))-1,""),"")</f>
        <v/>
      </c>
      <c r="AB2981">
        <f>IF(ISNUMBER(AA2981),'자료_거시'!$J2963,"")</f>
        <v/>
      </c>
      <c r="AC2981">
        <f>IF(ISNUMBER(AB2981),IF(AB2981&gt;$L$8,AA2981,""),"")</f>
        <v/>
      </c>
    </row>
    <row r="2982">
      <c r="S2982">
        <f>IF(ISNUMBER('자료_거시'!$E2964),'자료_거시'!$E2964,S2981)</f>
        <v/>
      </c>
      <c r="T2982">
        <f>IF(AND(ISNUMBER('자료_거시'!$D2964),ISNUMBER('자료_거시'!$E2964)),IFERROR('자료_거시'!$E2964-INDEX($S$21:$S$4020,MATCH(EDATE('자료_거시'!$D2964,-'설정'!$B$17),'자료_거시'!$D$3:INDEX('자료_거시'!$D$3:$D$4002,$K$6),1)),""),"")</f>
        <v/>
      </c>
      <c r="U2982">
        <f>IF(ISNUMBER(T2982),'자료_거시'!$D2964,"")</f>
        <v/>
      </c>
      <c r="V2982">
        <f>IF(ISNUMBER(U2982),IF(U2982&gt;$L$6,T2982,""),"")</f>
        <v/>
      </c>
      <c r="W2982">
        <f>IF(AND(ISNUMBER('자료_거시'!$G2964),ISNUMBER('자료_거시'!$H2964)),'자료_거시'!$H2964,"")</f>
        <v/>
      </c>
      <c r="X2982">
        <f>IF(ISNUMBER(W2982),'자료_거시'!$G2964,"")</f>
        <v/>
      </c>
      <c r="Y2982">
        <f>IF(ISNUMBER(X2982),IF(X2982&gt;$L$7,W2982,""),"")</f>
        <v/>
      </c>
      <c r="Z2982">
        <f>IF(ISNUMBER('자료_거시'!$K2964),'자료_거시'!$K2964,Z2981)</f>
        <v/>
      </c>
      <c r="AA2982">
        <f>IF(AND(ISNUMBER('자료_거시'!$J2964),ISNUMBER('자료_거시'!$K2964)),IFERROR('자료_거시'!$K2964/INDEX($Z$21:$Z$4020,MATCH(EDATE('자료_거시'!$J2964,-'설정'!$B$17),'자료_거시'!$J$3:INDEX('자료_거시'!$J$3:$J$4002,$K$8),1))-1,""),"")</f>
        <v/>
      </c>
      <c r="AB2982">
        <f>IF(ISNUMBER(AA2982),'자료_거시'!$J2964,"")</f>
        <v/>
      </c>
      <c r="AC2982">
        <f>IF(ISNUMBER(AB2982),IF(AB2982&gt;$L$8,AA2982,""),"")</f>
        <v/>
      </c>
    </row>
    <row r="2983">
      <c r="S2983">
        <f>IF(ISNUMBER('자료_거시'!$E2965),'자료_거시'!$E2965,S2982)</f>
        <v/>
      </c>
      <c r="T2983">
        <f>IF(AND(ISNUMBER('자료_거시'!$D2965),ISNUMBER('자료_거시'!$E2965)),IFERROR('자료_거시'!$E2965-INDEX($S$21:$S$4020,MATCH(EDATE('자료_거시'!$D2965,-'설정'!$B$17),'자료_거시'!$D$3:INDEX('자료_거시'!$D$3:$D$4002,$K$6),1)),""),"")</f>
        <v/>
      </c>
      <c r="U2983">
        <f>IF(ISNUMBER(T2983),'자료_거시'!$D2965,"")</f>
        <v/>
      </c>
      <c r="V2983">
        <f>IF(ISNUMBER(U2983),IF(U2983&gt;$L$6,T2983,""),"")</f>
        <v/>
      </c>
      <c r="W2983">
        <f>IF(AND(ISNUMBER('자료_거시'!$G2965),ISNUMBER('자료_거시'!$H2965)),'자료_거시'!$H2965,"")</f>
        <v/>
      </c>
      <c r="X2983">
        <f>IF(ISNUMBER(W2983),'자료_거시'!$G2965,"")</f>
        <v/>
      </c>
      <c r="Y2983">
        <f>IF(ISNUMBER(X2983),IF(X2983&gt;$L$7,W2983,""),"")</f>
        <v/>
      </c>
      <c r="Z2983">
        <f>IF(ISNUMBER('자료_거시'!$K2965),'자료_거시'!$K2965,Z2982)</f>
        <v/>
      </c>
      <c r="AA2983">
        <f>IF(AND(ISNUMBER('자료_거시'!$J2965),ISNUMBER('자료_거시'!$K2965)),IFERROR('자료_거시'!$K2965/INDEX($Z$21:$Z$4020,MATCH(EDATE('자료_거시'!$J2965,-'설정'!$B$17),'자료_거시'!$J$3:INDEX('자료_거시'!$J$3:$J$4002,$K$8),1))-1,""),"")</f>
        <v/>
      </c>
      <c r="AB2983">
        <f>IF(ISNUMBER(AA2983),'자료_거시'!$J2965,"")</f>
        <v/>
      </c>
      <c r="AC2983">
        <f>IF(ISNUMBER(AB2983),IF(AB2983&gt;$L$8,AA2983,""),"")</f>
        <v/>
      </c>
    </row>
    <row r="2984">
      <c r="S2984">
        <f>IF(ISNUMBER('자료_거시'!$E2966),'자료_거시'!$E2966,S2983)</f>
        <v/>
      </c>
      <c r="T2984">
        <f>IF(AND(ISNUMBER('자료_거시'!$D2966),ISNUMBER('자료_거시'!$E2966)),IFERROR('자료_거시'!$E2966-INDEX($S$21:$S$4020,MATCH(EDATE('자료_거시'!$D2966,-'설정'!$B$17),'자료_거시'!$D$3:INDEX('자료_거시'!$D$3:$D$4002,$K$6),1)),""),"")</f>
        <v/>
      </c>
      <c r="U2984">
        <f>IF(ISNUMBER(T2984),'자료_거시'!$D2966,"")</f>
        <v/>
      </c>
      <c r="V2984">
        <f>IF(ISNUMBER(U2984),IF(U2984&gt;$L$6,T2984,""),"")</f>
        <v/>
      </c>
      <c r="W2984">
        <f>IF(AND(ISNUMBER('자료_거시'!$G2966),ISNUMBER('자료_거시'!$H2966)),'자료_거시'!$H2966,"")</f>
        <v/>
      </c>
      <c r="X2984">
        <f>IF(ISNUMBER(W2984),'자료_거시'!$G2966,"")</f>
        <v/>
      </c>
      <c r="Y2984">
        <f>IF(ISNUMBER(X2984),IF(X2984&gt;$L$7,W2984,""),"")</f>
        <v/>
      </c>
      <c r="Z2984">
        <f>IF(ISNUMBER('자료_거시'!$K2966),'자료_거시'!$K2966,Z2983)</f>
        <v/>
      </c>
      <c r="AA2984">
        <f>IF(AND(ISNUMBER('자료_거시'!$J2966),ISNUMBER('자료_거시'!$K2966)),IFERROR('자료_거시'!$K2966/INDEX($Z$21:$Z$4020,MATCH(EDATE('자료_거시'!$J2966,-'설정'!$B$17),'자료_거시'!$J$3:INDEX('자료_거시'!$J$3:$J$4002,$K$8),1))-1,""),"")</f>
        <v/>
      </c>
      <c r="AB2984">
        <f>IF(ISNUMBER(AA2984),'자료_거시'!$J2966,"")</f>
        <v/>
      </c>
      <c r="AC2984">
        <f>IF(ISNUMBER(AB2984),IF(AB2984&gt;$L$8,AA2984,""),"")</f>
        <v/>
      </c>
    </row>
    <row r="2985">
      <c r="S2985">
        <f>IF(ISNUMBER('자료_거시'!$E2967),'자료_거시'!$E2967,S2984)</f>
        <v/>
      </c>
      <c r="T2985">
        <f>IF(AND(ISNUMBER('자료_거시'!$D2967),ISNUMBER('자료_거시'!$E2967)),IFERROR('자료_거시'!$E2967-INDEX($S$21:$S$4020,MATCH(EDATE('자료_거시'!$D2967,-'설정'!$B$17),'자료_거시'!$D$3:INDEX('자료_거시'!$D$3:$D$4002,$K$6),1)),""),"")</f>
        <v/>
      </c>
      <c r="U2985">
        <f>IF(ISNUMBER(T2985),'자료_거시'!$D2967,"")</f>
        <v/>
      </c>
      <c r="V2985">
        <f>IF(ISNUMBER(U2985),IF(U2985&gt;$L$6,T2985,""),"")</f>
        <v/>
      </c>
      <c r="W2985">
        <f>IF(AND(ISNUMBER('자료_거시'!$G2967),ISNUMBER('자료_거시'!$H2967)),'자료_거시'!$H2967,"")</f>
        <v/>
      </c>
      <c r="X2985">
        <f>IF(ISNUMBER(W2985),'자료_거시'!$G2967,"")</f>
        <v/>
      </c>
      <c r="Y2985">
        <f>IF(ISNUMBER(X2985),IF(X2985&gt;$L$7,W2985,""),"")</f>
        <v/>
      </c>
      <c r="Z2985">
        <f>IF(ISNUMBER('자료_거시'!$K2967),'자료_거시'!$K2967,Z2984)</f>
        <v/>
      </c>
      <c r="AA2985">
        <f>IF(AND(ISNUMBER('자료_거시'!$J2967),ISNUMBER('자료_거시'!$K2967)),IFERROR('자료_거시'!$K2967/INDEX($Z$21:$Z$4020,MATCH(EDATE('자료_거시'!$J2967,-'설정'!$B$17),'자료_거시'!$J$3:INDEX('자료_거시'!$J$3:$J$4002,$K$8),1))-1,""),"")</f>
        <v/>
      </c>
      <c r="AB2985">
        <f>IF(ISNUMBER(AA2985),'자료_거시'!$J2967,"")</f>
        <v/>
      </c>
      <c r="AC2985">
        <f>IF(ISNUMBER(AB2985),IF(AB2985&gt;$L$8,AA2985,""),"")</f>
        <v/>
      </c>
    </row>
    <row r="2986">
      <c r="S2986">
        <f>IF(ISNUMBER('자료_거시'!$E2968),'자료_거시'!$E2968,S2985)</f>
        <v/>
      </c>
      <c r="T2986">
        <f>IF(AND(ISNUMBER('자료_거시'!$D2968),ISNUMBER('자료_거시'!$E2968)),IFERROR('자료_거시'!$E2968-INDEX($S$21:$S$4020,MATCH(EDATE('자료_거시'!$D2968,-'설정'!$B$17),'자료_거시'!$D$3:INDEX('자료_거시'!$D$3:$D$4002,$K$6),1)),""),"")</f>
        <v/>
      </c>
      <c r="U2986">
        <f>IF(ISNUMBER(T2986),'자료_거시'!$D2968,"")</f>
        <v/>
      </c>
      <c r="V2986">
        <f>IF(ISNUMBER(U2986),IF(U2986&gt;$L$6,T2986,""),"")</f>
        <v/>
      </c>
      <c r="W2986">
        <f>IF(AND(ISNUMBER('자료_거시'!$G2968),ISNUMBER('자료_거시'!$H2968)),'자료_거시'!$H2968,"")</f>
        <v/>
      </c>
      <c r="X2986">
        <f>IF(ISNUMBER(W2986),'자료_거시'!$G2968,"")</f>
        <v/>
      </c>
      <c r="Y2986">
        <f>IF(ISNUMBER(X2986),IF(X2986&gt;$L$7,W2986,""),"")</f>
        <v/>
      </c>
      <c r="Z2986">
        <f>IF(ISNUMBER('자료_거시'!$K2968),'자료_거시'!$K2968,Z2985)</f>
        <v/>
      </c>
      <c r="AA2986">
        <f>IF(AND(ISNUMBER('자료_거시'!$J2968),ISNUMBER('자료_거시'!$K2968)),IFERROR('자료_거시'!$K2968/INDEX($Z$21:$Z$4020,MATCH(EDATE('자료_거시'!$J2968,-'설정'!$B$17),'자료_거시'!$J$3:INDEX('자료_거시'!$J$3:$J$4002,$K$8),1))-1,""),"")</f>
        <v/>
      </c>
      <c r="AB2986">
        <f>IF(ISNUMBER(AA2986),'자료_거시'!$J2968,"")</f>
        <v/>
      </c>
      <c r="AC2986">
        <f>IF(ISNUMBER(AB2986),IF(AB2986&gt;$L$8,AA2986,""),"")</f>
        <v/>
      </c>
    </row>
    <row r="2987">
      <c r="S2987">
        <f>IF(ISNUMBER('자료_거시'!$E2969),'자료_거시'!$E2969,S2986)</f>
        <v/>
      </c>
      <c r="T2987">
        <f>IF(AND(ISNUMBER('자료_거시'!$D2969),ISNUMBER('자료_거시'!$E2969)),IFERROR('자료_거시'!$E2969-INDEX($S$21:$S$4020,MATCH(EDATE('자료_거시'!$D2969,-'설정'!$B$17),'자료_거시'!$D$3:INDEX('자료_거시'!$D$3:$D$4002,$K$6),1)),""),"")</f>
        <v/>
      </c>
      <c r="U2987">
        <f>IF(ISNUMBER(T2987),'자료_거시'!$D2969,"")</f>
        <v/>
      </c>
      <c r="V2987">
        <f>IF(ISNUMBER(U2987),IF(U2987&gt;$L$6,T2987,""),"")</f>
        <v/>
      </c>
      <c r="W2987">
        <f>IF(AND(ISNUMBER('자료_거시'!$G2969),ISNUMBER('자료_거시'!$H2969)),'자료_거시'!$H2969,"")</f>
        <v/>
      </c>
      <c r="X2987">
        <f>IF(ISNUMBER(W2987),'자료_거시'!$G2969,"")</f>
        <v/>
      </c>
      <c r="Y2987">
        <f>IF(ISNUMBER(X2987),IF(X2987&gt;$L$7,W2987,""),"")</f>
        <v/>
      </c>
      <c r="Z2987">
        <f>IF(ISNUMBER('자료_거시'!$K2969),'자료_거시'!$K2969,Z2986)</f>
        <v/>
      </c>
      <c r="AA2987">
        <f>IF(AND(ISNUMBER('자료_거시'!$J2969),ISNUMBER('자료_거시'!$K2969)),IFERROR('자료_거시'!$K2969/INDEX($Z$21:$Z$4020,MATCH(EDATE('자료_거시'!$J2969,-'설정'!$B$17),'자료_거시'!$J$3:INDEX('자료_거시'!$J$3:$J$4002,$K$8),1))-1,""),"")</f>
        <v/>
      </c>
      <c r="AB2987">
        <f>IF(ISNUMBER(AA2987),'자료_거시'!$J2969,"")</f>
        <v/>
      </c>
      <c r="AC2987">
        <f>IF(ISNUMBER(AB2987),IF(AB2987&gt;$L$8,AA2987,""),"")</f>
        <v/>
      </c>
    </row>
    <row r="2988">
      <c r="S2988">
        <f>IF(ISNUMBER('자료_거시'!$E2970),'자료_거시'!$E2970,S2987)</f>
        <v/>
      </c>
      <c r="T2988">
        <f>IF(AND(ISNUMBER('자료_거시'!$D2970),ISNUMBER('자료_거시'!$E2970)),IFERROR('자료_거시'!$E2970-INDEX($S$21:$S$4020,MATCH(EDATE('자료_거시'!$D2970,-'설정'!$B$17),'자료_거시'!$D$3:INDEX('자료_거시'!$D$3:$D$4002,$K$6),1)),""),"")</f>
        <v/>
      </c>
      <c r="U2988">
        <f>IF(ISNUMBER(T2988),'자료_거시'!$D2970,"")</f>
        <v/>
      </c>
      <c r="V2988">
        <f>IF(ISNUMBER(U2988),IF(U2988&gt;$L$6,T2988,""),"")</f>
        <v/>
      </c>
      <c r="W2988">
        <f>IF(AND(ISNUMBER('자료_거시'!$G2970),ISNUMBER('자료_거시'!$H2970)),'자료_거시'!$H2970,"")</f>
        <v/>
      </c>
      <c r="X2988">
        <f>IF(ISNUMBER(W2988),'자료_거시'!$G2970,"")</f>
        <v/>
      </c>
      <c r="Y2988">
        <f>IF(ISNUMBER(X2988),IF(X2988&gt;$L$7,W2988,""),"")</f>
        <v/>
      </c>
      <c r="Z2988">
        <f>IF(ISNUMBER('자료_거시'!$K2970),'자료_거시'!$K2970,Z2987)</f>
        <v/>
      </c>
      <c r="AA2988">
        <f>IF(AND(ISNUMBER('자료_거시'!$J2970),ISNUMBER('자료_거시'!$K2970)),IFERROR('자료_거시'!$K2970/INDEX($Z$21:$Z$4020,MATCH(EDATE('자료_거시'!$J2970,-'설정'!$B$17),'자료_거시'!$J$3:INDEX('자료_거시'!$J$3:$J$4002,$K$8),1))-1,""),"")</f>
        <v/>
      </c>
      <c r="AB2988">
        <f>IF(ISNUMBER(AA2988),'자료_거시'!$J2970,"")</f>
        <v/>
      </c>
      <c r="AC2988">
        <f>IF(ISNUMBER(AB2988),IF(AB2988&gt;$L$8,AA2988,""),"")</f>
        <v/>
      </c>
    </row>
    <row r="2989">
      <c r="S2989">
        <f>IF(ISNUMBER('자료_거시'!$E2971),'자료_거시'!$E2971,S2988)</f>
        <v/>
      </c>
      <c r="T2989">
        <f>IF(AND(ISNUMBER('자료_거시'!$D2971),ISNUMBER('자료_거시'!$E2971)),IFERROR('자료_거시'!$E2971-INDEX($S$21:$S$4020,MATCH(EDATE('자료_거시'!$D2971,-'설정'!$B$17),'자료_거시'!$D$3:INDEX('자료_거시'!$D$3:$D$4002,$K$6),1)),""),"")</f>
        <v/>
      </c>
      <c r="U2989">
        <f>IF(ISNUMBER(T2989),'자료_거시'!$D2971,"")</f>
        <v/>
      </c>
      <c r="V2989">
        <f>IF(ISNUMBER(U2989),IF(U2989&gt;$L$6,T2989,""),"")</f>
        <v/>
      </c>
      <c r="W2989">
        <f>IF(AND(ISNUMBER('자료_거시'!$G2971),ISNUMBER('자료_거시'!$H2971)),'자료_거시'!$H2971,"")</f>
        <v/>
      </c>
      <c r="X2989">
        <f>IF(ISNUMBER(W2989),'자료_거시'!$G2971,"")</f>
        <v/>
      </c>
      <c r="Y2989">
        <f>IF(ISNUMBER(X2989),IF(X2989&gt;$L$7,W2989,""),"")</f>
        <v/>
      </c>
      <c r="Z2989">
        <f>IF(ISNUMBER('자료_거시'!$K2971),'자료_거시'!$K2971,Z2988)</f>
        <v/>
      </c>
      <c r="AA2989">
        <f>IF(AND(ISNUMBER('자료_거시'!$J2971),ISNUMBER('자료_거시'!$K2971)),IFERROR('자료_거시'!$K2971/INDEX($Z$21:$Z$4020,MATCH(EDATE('자료_거시'!$J2971,-'설정'!$B$17),'자료_거시'!$J$3:INDEX('자료_거시'!$J$3:$J$4002,$K$8),1))-1,""),"")</f>
        <v/>
      </c>
      <c r="AB2989">
        <f>IF(ISNUMBER(AA2989),'자료_거시'!$J2971,"")</f>
        <v/>
      </c>
      <c r="AC2989">
        <f>IF(ISNUMBER(AB2989),IF(AB2989&gt;$L$8,AA2989,""),"")</f>
        <v/>
      </c>
    </row>
    <row r="2990">
      <c r="S2990">
        <f>IF(ISNUMBER('자료_거시'!$E2972),'자료_거시'!$E2972,S2989)</f>
        <v/>
      </c>
      <c r="T2990">
        <f>IF(AND(ISNUMBER('자료_거시'!$D2972),ISNUMBER('자료_거시'!$E2972)),IFERROR('자료_거시'!$E2972-INDEX($S$21:$S$4020,MATCH(EDATE('자료_거시'!$D2972,-'설정'!$B$17),'자료_거시'!$D$3:INDEX('자료_거시'!$D$3:$D$4002,$K$6),1)),""),"")</f>
        <v/>
      </c>
      <c r="U2990">
        <f>IF(ISNUMBER(T2990),'자료_거시'!$D2972,"")</f>
        <v/>
      </c>
      <c r="V2990">
        <f>IF(ISNUMBER(U2990),IF(U2990&gt;$L$6,T2990,""),"")</f>
        <v/>
      </c>
      <c r="W2990">
        <f>IF(AND(ISNUMBER('자료_거시'!$G2972),ISNUMBER('자료_거시'!$H2972)),'자료_거시'!$H2972,"")</f>
        <v/>
      </c>
      <c r="X2990">
        <f>IF(ISNUMBER(W2990),'자료_거시'!$G2972,"")</f>
        <v/>
      </c>
      <c r="Y2990">
        <f>IF(ISNUMBER(X2990),IF(X2990&gt;$L$7,W2990,""),"")</f>
        <v/>
      </c>
      <c r="Z2990">
        <f>IF(ISNUMBER('자료_거시'!$K2972),'자료_거시'!$K2972,Z2989)</f>
        <v/>
      </c>
      <c r="AA2990">
        <f>IF(AND(ISNUMBER('자료_거시'!$J2972),ISNUMBER('자료_거시'!$K2972)),IFERROR('자료_거시'!$K2972/INDEX($Z$21:$Z$4020,MATCH(EDATE('자료_거시'!$J2972,-'설정'!$B$17),'자료_거시'!$J$3:INDEX('자료_거시'!$J$3:$J$4002,$K$8),1))-1,""),"")</f>
        <v/>
      </c>
      <c r="AB2990">
        <f>IF(ISNUMBER(AA2990),'자료_거시'!$J2972,"")</f>
        <v/>
      </c>
      <c r="AC2990">
        <f>IF(ISNUMBER(AB2990),IF(AB2990&gt;$L$8,AA2990,""),"")</f>
        <v/>
      </c>
    </row>
    <row r="2991">
      <c r="S2991">
        <f>IF(ISNUMBER('자료_거시'!$E2973),'자료_거시'!$E2973,S2990)</f>
        <v/>
      </c>
      <c r="T2991">
        <f>IF(AND(ISNUMBER('자료_거시'!$D2973),ISNUMBER('자료_거시'!$E2973)),IFERROR('자료_거시'!$E2973-INDEX($S$21:$S$4020,MATCH(EDATE('자료_거시'!$D2973,-'설정'!$B$17),'자료_거시'!$D$3:INDEX('자료_거시'!$D$3:$D$4002,$K$6),1)),""),"")</f>
        <v/>
      </c>
      <c r="U2991">
        <f>IF(ISNUMBER(T2991),'자료_거시'!$D2973,"")</f>
        <v/>
      </c>
      <c r="V2991">
        <f>IF(ISNUMBER(U2991),IF(U2991&gt;$L$6,T2991,""),"")</f>
        <v/>
      </c>
      <c r="W2991">
        <f>IF(AND(ISNUMBER('자료_거시'!$G2973),ISNUMBER('자료_거시'!$H2973)),'자료_거시'!$H2973,"")</f>
        <v/>
      </c>
      <c r="X2991">
        <f>IF(ISNUMBER(W2991),'자료_거시'!$G2973,"")</f>
        <v/>
      </c>
      <c r="Y2991">
        <f>IF(ISNUMBER(X2991),IF(X2991&gt;$L$7,W2991,""),"")</f>
        <v/>
      </c>
      <c r="Z2991">
        <f>IF(ISNUMBER('자료_거시'!$K2973),'자료_거시'!$K2973,Z2990)</f>
        <v/>
      </c>
      <c r="AA2991">
        <f>IF(AND(ISNUMBER('자료_거시'!$J2973),ISNUMBER('자료_거시'!$K2973)),IFERROR('자료_거시'!$K2973/INDEX($Z$21:$Z$4020,MATCH(EDATE('자료_거시'!$J2973,-'설정'!$B$17),'자료_거시'!$J$3:INDEX('자료_거시'!$J$3:$J$4002,$K$8),1))-1,""),"")</f>
        <v/>
      </c>
      <c r="AB2991">
        <f>IF(ISNUMBER(AA2991),'자료_거시'!$J2973,"")</f>
        <v/>
      </c>
      <c r="AC2991">
        <f>IF(ISNUMBER(AB2991),IF(AB2991&gt;$L$8,AA2991,""),"")</f>
        <v/>
      </c>
    </row>
    <row r="2992">
      <c r="S2992">
        <f>IF(ISNUMBER('자료_거시'!$E2974),'자료_거시'!$E2974,S2991)</f>
        <v/>
      </c>
      <c r="T2992">
        <f>IF(AND(ISNUMBER('자료_거시'!$D2974),ISNUMBER('자료_거시'!$E2974)),IFERROR('자료_거시'!$E2974-INDEX($S$21:$S$4020,MATCH(EDATE('자료_거시'!$D2974,-'설정'!$B$17),'자료_거시'!$D$3:INDEX('자료_거시'!$D$3:$D$4002,$K$6),1)),""),"")</f>
        <v/>
      </c>
      <c r="U2992">
        <f>IF(ISNUMBER(T2992),'자료_거시'!$D2974,"")</f>
        <v/>
      </c>
      <c r="V2992">
        <f>IF(ISNUMBER(U2992),IF(U2992&gt;$L$6,T2992,""),"")</f>
        <v/>
      </c>
      <c r="W2992">
        <f>IF(AND(ISNUMBER('자료_거시'!$G2974),ISNUMBER('자료_거시'!$H2974)),'자료_거시'!$H2974,"")</f>
        <v/>
      </c>
      <c r="X2992">
        <f>IF(ISNUMBER(W2992),'자료_거시'!$G2974,"")</f>
        <v/>
      </c>
      <c r="Y2992">
        <f>IF(ISNUMBER(X2992),IF(X2992&gt;$L$7,W2992,""),"")</f>
        <v/>
      </c>
      <c r="Z2992">
        <f>IF(ISNUMBER('자료_거시'!$K2974),'자료_거시'!$K2974,Z2991)</f>
        <v/>
      </c>
      <c r="AA2992">
        <f>IF(AND(ISNUMBER('자료_거시'!$J2974),ISNUMBER('자료_거시'!$K2974)),IFERROR('자료_거시'!$K2974/INDEX($Z$21:$Z$4020,MATCH(EDATE('자료_거시'!$J2974,-'설정'!$B$17),'자료_거시'!$J$3:INDEX('자료_거시'!$J$3:$J$4002,$K$8),1))-1,""),"")</f>
        <v/>
      </c>
      <c r="AB2992">
        <f>IF(ISNUMBER(AA2992),'자료_거시'!$J2974,"")</f>
        <v/>
      </c>
      <c r="AC2992">
        <f>IF(ISNUMBER(AB2992),IF(AB2992&gt;$L$8,AA2992,""),"")</f>
        <v/>
      </c>
    </row>
    <row r="2993">
      <c r="S2993">
        <f>IF(ISNUMBER('자료_거시'!$E2975),'자료_거시'!$E2975,S2992)</f>
        <v/>
      </c>
      <c r="T2993">
        <f>IF(AND(ISNUMBER('자료_거시'!$D2975),ISNUMBER('자료_거시'!$E2975)),IFERROR('자료_거시'!$E2975-INDEX($S$21:$S$4020,MATCH(EDATE('자료_거시'!$D2975,-'설정'!$B$17),'자료_거시'!$D$3:INDEX('자료_거시'!$D$3:$D$4002,$K$6),1)),""),"")</f>
        <v/>
      </c>
      <c r="U2993">
        <f>IF(ISNUMBER(T2993),'자료_거시'!$D2975,"")</f>
        <v/>
      </c>
      <c r="V2993">
        <f>IF(ISNUMBER(U2993),IF(U2993&gt;$L$6,T2993,""),"")</f>
        <v/>
      </c>
      <c r="W2993">
        <f>IF(AND(ISNUMBER('자료_거시'!$G2975),ISNUMBER('자료_거시'!$H2975)),'자료_거시'!$H2975,"")</f>
        <v/>
      </c>
      <c r="X2993">
        <f>IF(ISNUMBER(W2993),'자료_거시'!$G2975,"")</f>
        <v/>
      </c>
      <c r="Y2993">
        <f>IF(ISNUMBER(X2993),IF(X2993&gt;$L$7,W2993,""),"")</f>
        <v/>
      </c>
      <c r="Z2993">
        <f>IF(ISNUMBER('자료_거시'!$K2975),'자료_거시'!$K2975,Z2992)</f>
        <v/>
      </c>
      <c r="AA2993">
        <f>IF(AND(ISNUMBER('자료_거시'!$J2975),ISNUMBER('자료_거시'!$K2975)),IFERROR('자료_거시'!$K2975/INDEX($Z$21:$Z$4020,MATCH(EDATE('자료_거시'!$J2975,-'설정'!$B$17),'자료_거시'!$J$3:INDEX('자료_거시'!$J$3:$J$4002,$K$8),1))-1,""),"")</f>
        <v/>
      </c>
      <c r="AB2993">
        <f>IF(ISNUMBER(AA2993),'자료_거시'!$J2975,"")</f>
        <v/>
      </c>
      <c r="AC2993">
        <f>IF(ISNUMBER(AB2993),IF(AB2993&gt;$L$8,AA2993,""),"")</f>
        <v/>
      </c>
    </row>
    <row r="2994">
      <c r="S2994">
        <f>IF(ISNUMBER('자료_거시'!$E2976),'자료_거시'!$E2976,S2993)</f>
        <v/>
      </c>
      <c r="T2994">
        <f>IF(AND(ISNUMBER('자료_거시'!$D2976),ISNUMBER('자료_거시'!$E2976)),IFERROR('자료_거시'!$E2976-INDEX($S$21:$S$4020,MATCH(EDATE('자료_거시'!$D2976,-'설정'!$B$17),'자료_거시'!$D$3:INDEX('자료_거시'!$D$3:$D$4002,$K$6),1)),""),"")</f>
        <v/>
      </c>
      <c r="U2994">
        <f>IF(ISNUMBER(T2994),'자료_거시'!$D2976,"")</f>
        <v/>
      </c>
      <c r="V2994">
        <f>IF(ISNUMBER(U2994),IF(U2994&gt;$L$6,T2994,""),"")</f>
        <v/>
      </c>
      <c r="W2994">
        <f>IF(AND(ISNUMBER('자료_거시'!$G2976),ISNUMBER('자료_거시'!$H2976)),'자료_거시'!$H2976,"")</f>
        <v/>
      </c>
      <c r="X2994">
        <f>IF(ISNUMBER(W2994),'자료_거시'!$G2976,"")</f>
        <v/>
      </c>
      <c r="Y2994">
        <f>IF(ISNUMBER(X2994),IF(X2994&gt;$L$7,W2994,""),"")</f>
        <v/>
      </c>
      <c r="Z2994">
        <f>IF(ISNUMBER('자료_거시'!$K2976),'자료_거시'!$K2976,Z2993)</f>
        <v/>
      </c>
      <c r="AA2994">
        <f>IF(AND(ISNUMBER('자료_거시'!$J2976),ISNUMBER('자료_거시'!$K2976)),IFERROR('자료_거시'!$K2976/INDEX($Z$21:$Z$4020,MATCH(EDATE('자료_거시'!$J2976,-'설정'!$B$17),'자료_거시'!$J$3:INDEX('자료_거시'!$J$3:$J$4002,$K$8),1))-1,""),"")</f>
        <v/>
      </c>
      <c r="AB2994">
        <f>IF(ISNUMBER(AA2994),'자료_거시'!$J2976,"")</f>
        <v/>
      </c>
      <c r="AC2994">
        <f>IF(ISNUMBER(AB2994),IF(AB2994&gt;$L$8,AA2994,""),"")</f>
        <v/>
      </c>
    </row>
    <row r="2995">
      <c r="S2995">
        <f>IF(ISNUMBER('자료_거시'!$E2977),'자료_거시'!$E2977,S2994)</f>
        <v/>
      </c>
      <c r="T2995">
        <f>IF(AND(ISNUMBER('자료_거시'!$D2977),ISNUMBER('자료_거시'!$E2977)),IFERROR('자료_거시'!$E2977-INDEX($S$21:$S$4020,MATCH(EDATE('자료_거시'!$D2977,-'설정'!$B$17),'자료_거시'!$D$3:INDEX('자료_거시'!$D$3:$D$4002,$K$6),1)),""),"")</f>
        <v/>
      </c>
      <c r="U2995">
        <f>IF(ISNUMBER(T2995),'자료_거시'!$D2977,"")</f>
        <v/>
      </c>
      <c r="V2995">
        <f>IF(ISNUMBER(U2995),IF(U2995&gt;$L$6,T2995,""),"")</f>
        <v/>
      </c>
      <c r="W2995">
        <f>IF(AND(ISNUMBER('자료_거시'!$G2977),ISNUMBER('자료_거시'!$H2977)),'자료_거시'!$H2977,"")</f>
        <v/>
      </c>
      <c r="X2995">
        <f>IF(ISNUMBER(W2995),'자료_거시'!$G2977,"")</f>
        <v/>
      </c>
      <c r="Y2995">
        <f>IF(ISNUMBER(X2995),IF(X2995&gt;$L$7,W2995,""),"")</f>
        <v/>
      </c>
      <c r="Z2995">
        <f>IF(ISNUMBER('자료_거시'!$K2977),'자료_거시'!$K2977,Z2994)</f>
        <v/>
      </c>
      <c r="AA2995">
        <f>IF(AND(ISNUMBER('자료_거시'!$J2977),ISNUMBER('자료_거시'!$K2977)),IFERROR('자료_거시'!$K2977/INDEX($Z$21:$Z$4020,MATCH(EDATE('자료_거시'!$J2977,-'설정'!$B$17),'자료_거시'!$J$3:INDEX('자료_거시'!$J$3:$J$4002,$K$8),1))-1,""),"")</f>
        <v/>
      </c>
      <c r="AB2995">
        <f>IF(ISNUMBER(AA2995),'자료_거시'!$J2977,"")</f>
        <v/>
      </c>
      <c r="AC2995">
        <f>IF(ISNUMBER(AB2995),IF(AB2995&gt;$L$8,AA2995,""),"")</f>
        <v/>
      </c>
    </row>
    <row r="2996">
      <c r="S2996">
        <f>IF(ISNUMBER('자료_거시'!$E2978),'자료_거시'!$E2978,S2995)</f>
        <v/>
      </c>
      <c r="T2996">
        <f>IF(AND(ISNUMBER('자료_거시'!$D2978),ISNUMBER('자료_거시'!$E2978)),IFERROR('자료_거시'!$E2978-INDEX($S$21:$S$4020,MATCH(EDATE('자료_거시'!$D2978,-'설정'!$B$17),'자료_거시'!$D$3:INDEX('자료_거시'!$D$3:$D$4002,$K$6),1)),""),"")</f>
        <v/>
      </c>
      <c r="U2996">
        <f>IF(ISNUMBER(T2996),'자료_거시'!$D2978,"")</f>
        <v/>
      </c>
      <c r="V2996">
        <f>IF(ISNUMBER(U2996),IF(U2996&gt;$L$6,T2996,""),"")</f>
        <v/>
      </c>
      <c r="W2996">
        <f>IF(AND(ISNUMBER('자료_거시'!$G2978),ISNUMBER('자료_거시'!$H2978)),'자료_거시'!$H2978,"")</f>
        <v/>
      </c>
      <c r="X2996">
        <f>IF(ISNUMBER(W2996),'자료_거시'!$G2978,"")</f>
        <v/>
      </c>
      <c r="Y2996">
        <f>IF(ISNUMBER(X2996),IF(X2996&gt;$L$7,W2996,""),"")</f>
        <v/>
      </c>
      <c r="Z2996">
        <f>IF(ISNUMBER('자료_거시'!$K2978),'자료_거시'!$K2978,Z2995)</f>
        <v/>
      </c>
      <c r="AA2996">
        <f>IF(AND(ISNUMBER('자료_거시'!$J2978),ISNUMBER('자료_거시'!$K2978)),IFERROR('자료_거시'!$K2978/INDEX($Z$21:$Z$4020,MATCH(EDATE('자료_거시'!$J2978,-'설정'!$B$17),'자료_거시'!$J$3:INDEX('자료_거시'!$J$3:$J$4002,$K$8),1))-1,""),"")</f>
        <v/>
      </c>
      <c r="AB2996">
        <f>IF(ISNUMBER(AA2996),'자료_거시'!$J2978,"")</f>
        <v/>
      </c>
      <c r="AC2996">
        <f>IF(ISNUMBER(AB2996),IF(AB2996&gt;$L$8,AA2996,""),"")</f>
        <v/>
      </c>
    </row>
    <row r="2997">
      <c r="S2997">
        <f>IF(ISNUMBER('자료_거시'!$E2979),'자료_거시'!$E2979,S2996)</f>
        <v/>
      </c>
      <c r="T2997">
        <f>IF(AND(ISNUMBER('자료_거시'!$D2979),ISNUMBER('자료_거시'!$E2979)),IFERROR('자료_거시'!$E2979-INDEX($S$21:$S$4020,MATCH(EDATE('자료_거시'!$D2979,-'설정'!$B$17),'자료_거시'!$D$3:INDEX('자료_거시'!$D$3:$D$4002,$K$6),1)),""),"")</f>
        <v/>
      </c>
      <c r="U2997">
        <f>IF(ISNUMBER(T2997),'자료_거시'!$D2979,"")</f>
        <v/>
      </c>
      <c r="V2997">
        <f>IF(ISNUMBER(U2997),IF(U2997&gt;$L$6,T2997,""),"")</f>
        <v/>
      </c>
      <c r="W2997">
        <f>IF(AND(ISNUMBER('자료_거시'!$G2979),ISNUMBER('자료_거시'!$H2979)),'자료_거시'!$H2979,"")</f>
        <v/>
      </c>
      <c r="X2997">
        <f>IF(ISNUMBER(W2997),'자료_거시'!$G2979,"")</f>
        <v/>
      </c>
      <c r="Y2997">
        <f>IF(ISNUMBER(X2997),IF(X2997&gt;$L$7,W2997,""),"")</f>
        <v/>
      </c>
      <c r="Z2997">
        <f>IF(ISNUMBER('자료_거시'!$K2979),'자료_거시'!$K2979,Z2996)</f>
        <v/>
      </c>
      <c r="AA2997">
        <f>IF(AND(ISNUMBER('자료_거시'!$J2979),ISNUMBER('자료_거시'!$K2979)),IFERROR('자료_거시'!$K2979/INDEX($Z$21:$Z$4020,MATCH(EDATE('자료_거시'!$J2979,-'설정'!$B$17),'자료_거시'!$J$3:INDEX('자료_거시'!$J$3:$J$4002,$K$8),1))-1,""),"")</f>
        <v/>
      </c>
      <c r="AB2997">
        <f>IF(ISNUMBER(AA2997),'자료_거시'!$J2979,"")</f>
        <v/>
      </c>
      <c r="AC2997">
        <f>IF(ISNUMBER(AB2997),IF(AB2997&gt;$L$8,AA2997,""),"")</f>
        <v/>
      </c>
    </row>
    <row r="2998">
      <c r="S2998">
        <f>IF(ISNUMBER('자료_거시'!$E2980),'자료_거시'!$E2980,S2997)</f>
        <v/>
      </c>
      <c r="T2998">
        <f>IF(AND(ISNUMBER('자료_거시'!$D2980),ISNUMBER('자료_거시'!$E2980)),IFERROR('자료_거시'!$E2980-INDEX($S$21:$S$4020,MATCH(EDATE('자료_거시'!$D2980,-'설정'!$B$17),'자료_거시'!$D$3:INDEX('자료_거시'!$D$3:$D$4002,$K$6),1)),""),"")</f>
        <v/>
      </c>
      <c r="U2998">
        <f>IF(ISNUMBER(T2998),'자료_거시'!$D2980,"")</f>
        <v/>
      </c>
      <c r="V2998">
        <f>IF(ISNUMBER(U2998),IF(U2998&gt;$L$6,T2998,""),"")</f>
        <v/>
      </c>
      <c r="W2998">
        <f>IF(AND(ISNUMBER('자료_거시'!$G2980),ISNUMBER('자료_거시'!$H2980)),'자료_거시'!$H2980,"")</f>
        <v/>
      </c>
      <c r="X2998">
        <f>IF(ISNUMBER(W2998),'자료_거시'!$G2980,"")</f>
        <v/>
      </c>
      <c r="Y2998">
        <f>IF(ISNUMBER(X2998),IF(X2998&gt;$L$7,W2998,""),"")</f>
        <v/>
      </c>
      <c r="Z2998">
        <f>IF(ISNUMBER('자료_거시'!$K2980),'자료_거시'!$K2980,Z2997)</f>
        <v/>
      </c>
      <c r="AA2998">
        <f>IF(AND(ISNUMBER('자료_거시'!$J2980),ISNUMBER('자료_거시'!$K2980)),IFERROR('자료_거시'!$K2980/INDEX($Z$21:$Z$4020,MATCH(EDATE('자료_거시'!$J2980,-'설정'!$B$17),'자료_거시'!$J$3:INDEX('자료_거시'!$J$3:$J$4002,$K$8),1))-1,""),"")</f>
        <v/>
      </c>
      <c r="AB2998">
        <f>IF(ISNUMBER(AA2998),'자료_거시'!$J2980,"")</f>
        <v/>
      </c>
      <c r="AC2998">
        <f>IF(ISNUMBER(AB2998),IF(AB2998&gt;$L$8,AA2998,""),"")</f>
        <v/>
      </c>
    </row>
    <row r="2999">
      <c r="S2999">
        <f>IF(ISNUMBER('자료_거시'!$E2981),'자료_거시'!$E2981,S2998)</f>
        <v/>
      </c>
      <c r="T2999">
        <f>IF(AND(ISNUMBER('자료_거시'!$D2981),ISNUMBER('자료_거시'!$E2981)),IFERROR('자료_거시'!$E2981-INDEX($S$21:$S$4020,MATCH(EDATE('자료_거시'!$D2981,-'설정'!$B$17),'자료_거시'!$D$3:INDEX('자료_거시'!$D$3:$D$4002,$K$6),1)),""),"")</f>
        <v/>
      </c>
      <c r="U2999">
        <f>IF(ISNUMBER(T2999),'자료_거시'!$D2981,"")</f>
        <v/>
      </c>
      <c r="V2999">
        <f>IF(ISNUMBER(U2999),IF(U2999&gt;$L$6,T2999,""),"")</f>
        <v/>
      </c>
      <c r="W2999">
        <f>IF(AND(ISNUMBER('자료_거시'!$G2981),ISNUMBER('자료_거시'!$H2981)),'자료_거시'!$H2981,"")</f>
        <v/>
      </c>
      <c r="X2999">
        <f>IF(ISNUMBER(W2999),'자료_거시'!$G2981,"")</f>
        <v/>
      </c>
      <c r="Y2999">
        <f>IF(ISNUMBER(X2999),IF(X2999&gt;$L$7,W2999,""),"")</f>
        <v/>
      </c>
      <c r="Z2999">
        <f>IF(ISNUMBER('자료_거시'!$K2981),'자료_거시'!$K2981,Z2998)</f>
        <v/>
      </c>
      <c r="AA2999">
        <f>IF(AND(ISNUMBER('자료_거시'!$J2981),ISNUMBER('자료_거시'!$K2981)),IFERROR('자료_거시'!$K2981/INDEX($Z$21:$Z$4020,MATCH(EDATE('자료_거시'!$J2981,-'설정'!$B$17),'자료_거시'!$J$3:INDEX('자료_거시'!$J$3:$J$4002,$K$8),1))-1,""),"")</f>
        <v/>
      </c>
      <c r="AB2999">
        <f>IF(ISNUMBER(AA2999),'자료_거시'!$J2981,"")</f>
        <v/>
      </c>
      <c r="AC2999">
        <f>IF(ISNUMBER(AB2999),IF(AB2999&gt;$L$8,AA2999,""),"")</f>
        <v/>
      </c>
    </row>
    <row r="3000">
      <c r="S3000">
        <f>IF(ISNUMBER('자료_거시'!$E2982),'자료_거시'!$E2982,S2999)</f>
        <v/>
      </c>
      <c r="T3000">
        <f>IF(AND(ISNUMBER('자료_거시'!$D2982),ISNUMBER('자료_거시'!$E2982)),IFERROR('자료_거시'!$E2982-INDEX($S$21:$S$4020,MATCH(EDATE('자료_거시'!$D2982,-'설정'!$B$17),'자료_거시'!$D$3:INDEX('자료_거시'!$D$3:$D$4002,$K$6),1)),""),"")</f>
        <v/>
      </c>
      <c r="U3000">
        <f>IF(ISNUMBER(T3000),'자료_거시'!$D2982,"")</f>
        <v/>
      </c>
      <c r="V3000">
        <f>IF(ISNUMBER(U3000),IF(U3000&gt;$L$6,T3000,""),"")</f>
        <v/>
      </c>
      <c r="W3000">
        <f>IF(AND(ISNUMBER('자료_거시'!$G2982),ISNUMBER('자료_거시'!$H2982)),'자료_거시'!$H2982,"")</f>
        <v/>
      </c>
      <c r="X3000">
        <f>IF(ISNUMBER(W3000),'자료_거시'!$G2982,"")</f>
        <v/>
      </c>
      <c r="Y3000">
        <f>IF(ISNUMBER(X3000),IF(X3000&gt;$L$7,W3000,""),"")</f>
        <v/>
      </c>
      <c r="Z3000">
        <f>IF(ISNUMBER('자료_거시'!$K2982),'자료_거시'!$K2982,Z2999)</f>
        <v/>
      </c>
      <c r="AA3000">
        <f>IF(AND(ISNUMBER('자료_거시'!$J2982),ISNUMBER('자료_거시'!$K2982)),IFERROR('자료_거시'!$K2982/INDEX($Z$21:$Z$4020,MATCH(EDATE('자료_거시'!$J2982,-'설정'!$B$17),'자료_거시'!$J$3:INDEX('자료_거시'!$J$3:$J$4002,$K$8),1))-1,""),"")</f>
        <v/>
      </c>
      <c r="AB3000">
        <f>IF(ISNUMBER(AA3000),'자료_거시'!$J2982,"")</f>
        <v/>
      </c>
      <c r="AC3000">
        <f>IF(ISNUMBER(AB3000),IF(AB3000&gt;$L$8,AA3000,""),"")</f>
        <v/>
      </c>
    </row>
    <row r="3001">
      <c r="S3001">
        <f>IF(ISNUMBER('자료_거시'!$E2983),'자료_거시'!$E2983,S3000)</f>
        <v/>
      </c>
      <c r="T3001">
        <f>IF(AND(ISNUMBER('자료_거시'!$D2983),ISNUMBER('자료_거시'!$E2983)),IFERROR('자료_거시'!$E2983-INDEX($S$21:$S$4020,MATCH(EDATE('자료_거시'!$D2983,-'설정'!$B$17),'자료_거시'!$D$3:INDEX('자료_거시'!$D$3:$D$4002,$K$6),1)),""),"")</f>
        <v/>
      </c>
      <c r="U3001">
        <f>IF(ISNUMBER(T3001),'자료_거시'!$D2983,"")</f>
        <v/>
      </c>
      <c r="V3001">
        <f>IF(ISNUMBER(U3001),IF(U3001&gt;$L$6,T3001,""),"")</f>
        <v/>
      </c>
      <c r="W3001">
        <f>IF(AND(ISNUMBER('자료_거시'!$G2983),ISNUMBER('자료_거시'!$H2983)),'자료_거시'!$H2983,"")</f>
        <v/>
      </c>
      <c r="X3001">
        <f>IF(ISNUMBER(W3001),'자료_거시'!$G2983,"")</f>
        <v/>
      </c>
      <c r="Y3001">
        <f>IF(ISNUMBER(X3001),IF(X3001&gt;$L$7,W3001,""),"")</f>
        <v/>
      </c>
      <c r="Z3001">
        <f>IF(ISNUMBER('자료_거시'!$K2983),'자료_거시'!$K2983,Z3000)</f>
        <v/>
      </c>
      <c r="AA3001">
        <f>IF(AND(ISNUMBER('자료_거시'!$J2983),ISNUMBER('자료_거시'!$K2983)),IFERROR('자료_거시'!$K2983/INDEX($Z$21:$Z$4020,MATCH(EDATE('자료_거시'!$J2983,-'설정'!$B$17),'자료_거시'!$J$3:INDEX('자료_거시'!$J$3:$J$4002,$K$8),1))-1,""),"")</f>
        <v/>
      </c>
      <c r="AB3001">
        <f>IF(ISNUMBER(AA3001),'자료_거시'!$J2983,"")</f>
        <v/>
      </c>
      <c r="AC3001">
        <f>IF(ISNUMBER(AB3001),IF(AB3001&gt;$L$8,AA3001,""),"")</f>
        <v/>
      </c>
    </row>
    <row r="3002">
      <c r="S3002">
        <f>IF(ISNUMBER('자료_거시'!$E2984),'자료_거시'!$E2984,S3001)</f>
        <v/>
      </c>
      <c r="T3002">
        <f>IF(AND(ISNUMBER('자료_거시'!$D2984),ISNUMBER('자료_거시'!$E2984)),IFERROR('자료_거시'!$E2984-INDEX($S$21:$S$4020,MATCH(EDATE('자료_거시'!$D2984,-'설정'!$B$17),'자료_거시'!$D$3:INDEX('자료_거시'!$D$3:$D$4002,$K$6),1)),""),"")</f>
        <v/>
      </c>
      <c r="U3002">
        <f>IF(ISNUMBER(T3002),'자료_거시'!$D2984,"")</f>
        <v/>
      </c>
      <c r="V3002">
        <f>IF(ISNUMBER(U3002),IF(U3002&gt;$L$6,T3002,""),"")</f>
        <v/>
      </c>
      <c r="W3002">
        <f>IF(AND(ISNUMBER('자료_거시'!$G2984),ISNUMBER('자료_거시'!$H2984)),'자료_거시'!$H2984,"")</f>
        <v/>
      </c>
      <c r="X3002">
        <f>IF(ISNUMBER(W3002),'자료_거시'!$G2984,"")</f>
        <v/>
      </c>
      <c r="Y3002">
        <f>IF(ISNUMBER(X3002),IF(X3002&gt;$L$7,W3002,""),"")</f>
        <v/>
      </c>
      <c r="Z3002">
        <f>IF(ISNUMBER('자료_거시'!$K2984),'자료_거시'!$K2984,Z3001)</f>
        <v/>
      </c>
      <c r="AA3002">
        <f>IF(AND(ISNUMBER('자료_거시'!$J2984),ISNUMBER('자료_거시'!$K2984)),IFERROR('자료_거시'!$K2984/INDEX($Z$21:$Z$4020,MATCH(EDATE('자료_거시'!$J2984,-'설정'!$B$17),'자료_거시'!$J$3:INDEX('자료_거시'!$J$3:$J$4002,$K$8),1))-1,""),"")</f>
        <v/>
      </c>
      <c r="AB3002">
        <f>IF(ISNUMBER(AA3002),'자료_거시'!$J2984,"")</f>
        <v/>
      </c>
      <c r="AC3002">
        <f>IF(ISNUMBER(AB3002),IF(AB3002&gt;$L$8,AA3002,""),"")</f>
        <v/>
      </c>
    </row>
    <row r="3003">
      <c r="S3003">
        <f>IF(ISNUMBER('자료_거시'!$E2985),'자료_거시'!$E2985,S3002)</f>
        <v/>
      </c>
      <c r="T3003">
        <f>IF(AND(ISNUMBER('자료_거시'!$D2985),ISNUMBER('자료_거시'!$E2985)),IFERROR('자료_거시'!$E2985-INDEX($S$21:$S$4020,MATCH(EDATE('자료_거시'!$D2985,-'설정'!$B$17),'자료_거시'!$D$3:INDEX('자료_거시'!$D$3:$D$4002,$K$6),1)),""),"")</f>
        <v/>
      </c>
      <c r="U3003">
        <f>IF(ISNUMBER(T3003),'자료_거시'!$D2985,"")</f>
        <v/>
      </c>
      <c r="V3003">
        <f>IF(ISNUMBER(U3003),IF(U3003&gt;$L$6,T3003,""),"")</f>
        <v/>
      </c>
      <c r="W3003">
        <f>IF(AND(ISNUMBER('자료_거시'!$G2985),ISNUMBER('자료_거시'!$H2985)),'자료_거시'!$H2985,"")</f>
        <v/>
      </c>
      <c r="X3003">
        <f>IF(ISNUMBER(W3003),'자료_거시'!$G2985,"")</f>
        <v/>
      </c>
      <c r="Y3003">
        <f>IF(ISNUMBER(X3003),IF(X3003&gt;$L$7,W3003,""),"")</f>
        <v/>
      </c>
      <c r="Z3003">
        <f>IF(ISNUMBER('자료_거시'!$K2985),'자료_거시'!$K2985,Z3002)</f>
        <v/>
      </c>
      <c r="AA3003">
        <f>IF(AND(ISNUMBER('자료_거시'!$J2985),ISNUMBER('자료_거시'!$K2985)),IFERROR('자료_거시'!$K2985/INDEX($Z$21:$Z$4020,MATCH(EDATE('자료_거시'!$J2985,-'설정'!$B$17),'자료_거시'!$J$3:INDEX('자료_거시'!$J$3:$J$4002,$K$8),1))-1,""),"")</f>
        <v/>
      </c>
      <c r="AB3003">
        <f>IF(ISNUMBER(AA3003),'자료_거시'!$J2985,"")</f>
        <v/>
      </c>
      <c r="AC3003">
        <f>IF(ISNUMBER(AB3003),IF(AB3003&gt;$L$8,AA3003,""),"")</f>
        <v/>
      </c>
    </row>
    <row r="3004">
      <c r="S3004">
        <f>IF(ISNUMBER('자료_거시'!$E2986),'자료_거시'!$E2986,S3003)</f>
        <v/>
      </c>
      <c r="T3004">
        <f>IF(AND(ISNUMBER('자료_거시'!$D2986),ISNUMBER('자료_거시'!$E2986)),IFERROR('자료_거시'!$E2986-INDEX($S$21:$S$4020,MATCH(EDATE('자료_거시'!$D2986,-'설정'!$B$17),'자료_거시'!$D$3:INDEX('자료_거시'!$D$3:$D$4002,$K$6),1)),""),"")</f>
        <v/>
      </c>
      <c r="U3004">
        <f>IF(ISNUMBER(T3004),'자료_거시'!$D2986,"")</f>
        <v/>
      </c>
      <c r="V3004">
        <f>IF(ISNUMBER(U3004),IF(U3004&gt;$L$6,T3004,""),"")</f>
        <v/>
      </c>
      <c r="W3004">
        <f>IF(AND(ISNUMBER('자료_거시'!$G2986),ISNUMBER('자료_거시'!$H2986)),'자료_거시'!$H2986,"")</f>
        <v/>
      </c>
      <c r="X3004">
        <f>IF(ISNUMBER(W3004),'자료_거시'!$G2986,"")</f>
        <v/>
      </c>
      <c r="Y3004">
        <f>IF(ISNUMBER(X3004),IF(X3004&gt;$L$7,W3004,""),"")</f>
        <v/>
      </c>
      <c r="Z3004">
        <f>IF(ISNUMBER('자료_거시'!$K2986),'자료_거시'!$K2986,Z3003)</f>
        <v/>
      </c>
      <c r="AA3004">
        <f>IF(AND(ISNUMBER('자료_거시'!$J2986),ISNUMBER('자료_거시'!$K2986)),IFERROR('자료_거시'!$K2986/INDEX($Z$21:$Z$4020,MATCH(EDATE('자료_거시'!$J2986,-'설정'!$B$17),'자료_거시'!$J$3:INDEX('자료_거시'!$J$3:$J$4002,$K$8),1))-1,""),"")</f>
        <v/>
      </c>
      <c r="AB3004">
        <f>IF(ISNUMBER(AA3004),'자료_거시'!$J2986,"")</f>
        <v/>
      </c>
      <c r="AC3004">
        <f>IF(ISNUMBER(AB3004),IF(AB3004&gt;$L$8,AA3004,""),"")</f>
        <v/>
      </c>
    </row>
    <row r="3005">
      <c r="S3005">
        <f>IF(ISNUMBER('자료_거시'!$E2987),'자료_거시'!$E2987,S3004)</f>
        <v/>
      </c>
      <c r="T3005">
        <f>IF(AND(ISNUMBER('자료_거시'!$D2987),ISNUMBER('자료_거시'!$E2987)),IFERROR('자료_거시'!$E2987-INDEX($S$21:$S$4020,MATCH(EDATE('자료_거시'!$D2987,-'설정'!$B$17),'자료_거시'!$D$3:INDEX('자료_거시'!$D$3:$D$4002,$K$6),1)),""),"")</f>
        <v/>
      </c>
      <c r="U3005">
        <f>IF(ISNUMBER(T3005),'자료_거시'!$D2987,"")</f>
        <v/>
      </c>
      <c r="V3005">
        <f>IF(ISNUMBER(U3005),IF(U3005&gt;$L$6,T3005,""),"")</f>
        <v/>
      </c>
      <c r="W3005">
        <f>IF(AND(ISNUMBER('자료_거시'!$G2987),ISNUMBER('자료_거시'!$H2987)),'자료_거시'!$H2987,"")</f>
        <v/>
      </c>
      <c r="X3005">
        <f>IF(ISNUMBER(W3005),'자료_거시'!$G2987,"")</f>
        <v/>
      </c>
      <c r="Y3005">
        <f>IF(ISNUMBER(X3005),IF(X3005&gt;$L$7,W3005,""),"")</f>
        <v/>
      </c>
      <c r="Z3005">
        <f>IF(ISNUMBER('자료_거시'!$K2987),'자료_거시'!$K2987,Z3004)</f>
        <v/>
      </c>
      <c r="AA3005">
        <f>IF(AND(ISNUMBER('자료_거시'!$J2987),ISNUMBER('자료_거시'!$K2987)),IFERROR('자료_거시'!$K2987/INDEX($Z$21:$Z$4020,MATCH(EDATE('자료_거시'!$J2987,-'설정'!$B$17),'자료_거시'!$J$3:INDEX('자료_거시'!$J$3:$J$4002,$K$8),1))-1,""),"")</f>
        <v/>
      </c>
      <c r="AB3005">
        <f>IF(ISNUMBER(AA3005),'자료_거시'!$J2987,"")</f>
        <v/>
      </c>
      <c r="AC3005">
        <f>IF(ISNUMBER(AB3005),IF(AB3005&gt;$L$8,AA3005,""),"")</f>
        <v/>
      </c>
    </row>
    <row r="3006">
      <c r="S3006">
        <f>IF(ISNUMBER('자료_거시'!$E2988),'자료_거시'!$E2988,S3005)</f>
        <v/>
      </c>
      <c r="T3006">
        <f>IF(AND(ISNUMBER('자료_거시'!$D2988),ISNUMBER('자료_거시'!$E2988)),IFERROR('자료_거시'!$E2988-INDEX($S$21:$S$4020,MATCH(EDATE('자료_거시'!$D2988,-'설정'!$B$17),'자료_거시'!$D$3:INDEX('자료_거시'!$D$3:$D$4002,$K$6),1)),""),"")</f>
        <v/>
      </c>
      <c r="U3006">
        <f>IF(ISNUMBER(T3006),'자료_거시'!$D2988,"")</f>
        <v/>
      </c>
      <c r="V3006">
        <f>IF(ISNUMBER(U3006),IF(U3006&gt;$L$6,T3006,""),"")</f>
        <v/>
      </c>
      <c r="W3006">
        <f>IF(AND(ISNUMBER('자료_거시'!$G2988),ISNUMBER('자료_거시'!$H2988)),'자료_거시'!$H2988,"")</f>
        <v/>
      </c>
      <c r="X3006">
        <f>IF(ISNUMBER(W3006),'자료_거시'!$G2988,"")</f>
        <v/>
      </c>
      <c r="Y3006">
        <f>IF(ISNUMBER(X3006),IF(X3006&gt;$L$7,W3006,""),"")</f>
        <v/>
      </c>
      <c r="Z3006">
        <f>IF(ISNUMBER('자료_거시'!$K2988),'자료_거시'!$K2988,Z3005)</f>
        <v/>
      </c>
      <c r="AA3006">
        <f>IF(AND(ISNUMBER('자료_거시'!$J2988),ISNUMBER('자료_거시'!$K2988)),IFERROR('자료_거시'!$K2988/INDEX($Z$21:$Z$4020,MATCH(EDATE('자료_거시'!$J2988,-'설정'!$B$17),'자료_거시'!$J$3:INDEX('자료_거시'!$J$3:$J$4002,$K$8),1))-1,""),"")</f>
        <v/>
      </c>
      <c r="AB3006">
        <f>IF(ISNUMBER(AA3006),'자료_거시'!$J2988,"")</f>
        <v/>
      </c>
      <c r="AC3006">
        <f>IF(ISNUMBER(AB3006),IF(AB3006&gt;$L$8,AA3006,""),"")</f>
        <v/>
      </c>
    </row>
    <row r="3007">
      <c r="S3007">
        <f>IF(ISNUMBER('자료_거시'!$E2989),'자료_거시'!$E2989,S3006)</f>
        <v/>
      </c>
      <c r="T3007">
        <f>IF(AND(ISNUMBER('자료_거시'!$D2989),ISNUMBER('자료_거시'!$E2989)),IFERROR('자료_거시'!$E2989-INDEX($S$21:$S$4020,MATCH(EDATE('자료_거시'!$D2989,-'설정'!$B$17),'자료_거시'!$D$3:INDEX('자료_거시'!$D$3:$D$4002,$K$6),1)),""),"")</f>
        <v/>
      </c>
      <c r="U3007">
        <f>IF(ISNUMBER(T3007),'자료_거시'!$D2989,"")</f>
        <v/>
      </c>
      <c r="V3007">
        <f>IF(ISNUMBER(U3007),IF(U3007&gt;$L$6,T3007,""),"")</f>
        <v/>
      </c>
      <c r="W3007">
        <f>IF(AND(ISNUMBER('자료_거시'!$G2989),ISNUMBER('자료_거시'!$H2989)),'자료_거시'!$H2989,"")</f>
        <v/>
      </c>
      <c r="X3007">
        <f>IF(ISNUMBER(W3007),'자료_거시'!$G2989,"")</f>
        <v/>
      </c>
      <c r="Y3007">
        <f>IF(ISNUMBER(X3007),IF(X3007&gt;$L$7,W3007,""),"")</f>
        <v/>
      </c>
      <c r="Z3007">
        <f>IF(ISNUMBER('자료_거시'!$K2989),'자료_거시'!$K2989,Z3006)</f>
        <v/>
      </c>
      <c r="AA3007">
        <f>IF(AND(ISNUMBER('자료_거시'!$J2989),ISNUMBER('자료_거시'!$K2989)),IFERROR('자료_거시'!$K2989/INDEX($Z$21:$Z$4020,MATCH(EDATE('자료_거시'!$J2989,-'설정'!$B$17),'자료_거시'!$J$3:INDEX('자료_거시'!$J$3:$J$4002,$K$8),1))-1,""),"")</f>
        <v/>
      </c>
      <c r="AB3007">
        <f>IF(ISNUMBER(AA3007),'자료_거시'!$J2989,"")</f>
        <v/>
      </c>
      <c r="AC3007">
        <f>IF(ISNUMBER(AB3007),IF(AB3007&gt;$L$8,AA3007,""),"")</f>
        <v/>
      </c>
    </row>
    <row r="3008">
      <c r="S3008">
        <f>IF(ISNUMBER('자료_거시'!$E2990),'자료_거시'!$E2990,S3007)</f>
        <v/>
      </c>
      <c r="T3008">
        <f>IF(AND(ISNUMBER('자료_거시'!$D2990),ISNUMBER('자료_거시'!$E2990)),IFERROR('자료_거시'!$E2990-INDEX($S$21:$S$4020,MATCH(EDATE('자료_거시'!$D2990,-'설정'!$B$17),'자료_거시'!$D$3:INDEX('자료_거시'!$D$3:$D$4002,$K$6),1)),""),"")</f>
        <v/>
      </c>
      <c r="U3008">
        <f>IF(ISNUMBER(T3008),'자료_거시'!$D2990,"")</f>
        <v/>
      </c>
      <c r="V3008">
        <f>IF(ISNUMBER(U3008),IF(U3008&gt;$L$6,T3008,""),"")</f>
        <v/>
      </c>
      <c r="W3008">
        <f>IF(AND(ISNUMBER('자료_거시'!$G2990),ISNUMBER('자료_거시'!$H2990)),'자료_거시'!$H2990,"")</f>
        <v/>
      </c>
      <c r="X3008">
        <f>IF(ISNUMBER(W3008),'자료_거시'!$G2990,"")</f>
        <v/>
      </c>
      <c r="Y3008">
        <f>IF(ISNUMBER(X3008),IF(X3008&gt;$L$7,W3008,""),"")</f>
        <v/>
      </c>
      <c r="Z3008">
        <f>IF(ISNUMBER('자료_거시'!$K2990),'자료_거시'!$K2990,Z3007)</f>
        <v/>
      </c>
      <c r="AA3008">
        <f>IF(AND(ISNUMBER('자료_거시'!$J2990),ISNUMBER('자료_거시'!$K2990)),IFERROR('자료_거시'!$K2990/INDEX($Z$21:$Z$4020,MATCH(EDATE('자료_거시'!$J2990,-'설정'!$B$17),'자료_거시'!$J$3:INDEX('자료_거시'!$J$3:$J$4002,$K$8),1))-1,""),"")</f>
        <v/>
      </c>
      <c r="AB3008">
        <f>IF(ISNUMBER(AA3008),'자료_거시'!$J2990,"")</f>
        <v/>
      </c>
      <c r="AC3008">
        <f>IF(ISNUMBER(AB3008),IF(AB3008&gt;$L$8,AA3008,""),"")</f>
        <v/>
      </c>
    </row>
    <row r="3009">
      <c r="S3009">
        <f>IF(ISNUMBER('자료_거시'!$E2991),'자료_거시'!$E2991,S3008)</f>
        <v/>
      </c>
      <c r="T3009">
        <f>IF(AND(ISNUMBER('자료_거시'!$D2991),ISNUMBER('자료_거시'!$E2991)),IFERROR('자료_거시'!$E2991-INDEX($S$21:$S$4020,MATCH(EDATE('자료_거시'!$D2991,-'설정'!$B$17),'자료_거시'!$D$3:INDEX('자료_거시'!$D$3:$D$4002,$K$6),1)),""),"")</f>
        <v/>
      </c>
      <c r="U3009">
        <f>IF(ISNUMBER(T3009),'자료_거시'!$D2991,"")</f>
        <v/>
      </c>
      <c r="V3009">
        <f>IF(ISNUMBER(U3009),IF(U3009&gt;$L$6,T3009,""),"")</f>
        <v/>
      </c>
      <c r="W3009">
        <f>IF(AND(ISNUMBER('자료_거시'!$G2991),ISNUMBER('자료_거시'!$H2991)),'자료_거시'!$H2991,"")</f>
        <v/>
      </c>
      <c r="X3009">
        <f>IF(ISNUMBER(W3009),'자료_거시'!$G2991,"")</f>
        <v/>
      </c>
      <c r="Y3009">
        <f>IF(ISNUMBER(X3009),IF(X3009&gt;$L$7,W3009,""),"")</f>
        <v/>
      </c>
      <c r="Z3009">
        <f>IF(ISNUMBER('자료_거시'!$K2991),'자료_거시'!$K2991,Z3008)</f>
        <v/>
      </c>
      <c r="AA3009">
        <f>IF(AND(ISNUMBER('자료_거시'!$J2991),ISNUMBER('자료_거시'!$K2991)),IFERROR('자료_거시'!$K2991/INDEX($Z$21:$Z$4020,MATCH(EDATE('자료_거시'!$J2991,-'설정'!$B$17),'자료_거시'!$J$3:INDEX('자료_거시'!$J$3:$J$4002,$K$8),1))-1,""),"")</f>
        <v/>
      </c>
      <c r="AB3009">
        <f>IF(ISNUMBER(AA3009),'자료_거시'!$J2991,"")</f>
        <v/>
      </c>
      <c r="AC3009">
        <f>IF(ISNUMBER(AB3009),IF(AB3009&gt;$L$8,AA3009,""),"")</f>
        <v/>
      </c>
    </row>
    <row r="3010">
      <c r="S3010">
        <f>IF(ISNUMBER('자료_거시'!$E2992),'자료_거시'!$E2992,S3009)</f>
        <v/>
      </c>
      <c r="T3010">
        <f>IF(AND(ISNUMBER('자료_거시'!$D2992),ISNUMBER('자료_거시'!$E2992)),IFERROR('자료_거시'!$E2992-INDEX($S$21:$S$4020,MATCH(EDATE('자료_거시'!$D2992,-'설정'!$B$17),'자료_거시'!$D$3:INDEX('자료_거시'!$D$3:$D$4002,$K$6),1)),""),"")</f>
        <v/>
      </c>
      <c r="U3010">
        <f>IF(ISNUMBER(T3010),'자료_거시'!$D2992,"")</f>
        <v/>
      </c>
      <c r="V3010">
        <f>IF(ISNUMBER(U3010),IF(U3010&gt;$L$6,T3010,""),"")</f>
        <v/>
      </c>
      <c r="W3010">
        <f>IF(AND(ISNUMBER('자료_거시'!$G2992),ISNUMBER('자료_거시'!$H2992)),'자료_거시'!$H2992,"")</f>
        <v/>
      </c>
      <c r="X3010">
        <f>IF(ISNUMBER(W3010),'자료_거시'!$G2992,"")</f>
        <v/>
      </c>
      <c r="Y3010">
        <f>IF(ISNUMBER(X3010),IF(X3010&gt;$L$7,W3010,""),"")</f>
        <v/>
      </c>
      <c r="Z3010">
        <f>IF(ISNUMBER('자료_거시'!$K2992),'자료_거시'!$K2992,Z3009)</f>
        <v/>
      </c>
      <c r="AA3010">
        <f>IF(AND(ISNUMBER('자료_거시'!$J2992),ISNUMBER('자료_거시'!$K2992)),IFERROR('자료_거시'!$K2992/INDEX($Z$21:$Z$4020,MATCH(EDATE('자료_거시'!$J2992,-'설정'!$B$17),'자료_거시'!$J$3:INDEX('자료_거시'!$J$3:$J$4002,$K$8),1))-1,""),"")</f>
        <v/>
      </c>
      <c r="AB3010">
        <f>IF(ISNUMBER(AA3010),'자료_거시'!$J2992,"")</f>
        <v/>
      </c>
      <c r="AC3010">
        <f>IF(ISNUMBER(AB3010),IF(AB3010&gt;$L$8,AA3010,""),"")</f>
        <v/>
      </c>
    </row>
    <row r="3011">
      <c r="S3011">
        <f>IF(ISNUMBER('자료_거시'!$E2993),'자료_거시'!$E2993,S3010)</f>
        <v/>
      </c>
      <c r="T3011">
        <f>IF(AND(ISNUMBER('자료_거시'!$D2993),ISNUMBER('자료_거시'!$E2993)),IFERROR('자료_거시'!$E2993-INDEX($S$21:$S$4020,MATCH(EDATE('자료_거시'!$D2993,-'설정'!$B$17),'자료_거시'!$D$3:INDEX('자료_거시'!$D$3:$D$4002,$K$6),1)),""),"")</f>
        <v/>
      </c>
      <c r="U3011">
        <f>IF(ISNUMBER(T3011),'자료_거시'!$D2993,"")</f>
        <v/>
      </c>
      <c r="V3011">
        <f>IF(ISNUMBER(U3011),IF(U3011&gt;$L$6,T3011,""),"")</f>
        <v/>
      </c>
      <c r="W3011">
        <f>IF(AND(ISNUMBER('자료_거시'!$G2993),ISNUMBER('자료_거시'!$H2993)),'자료_거시'!$H2993,"")</f>
        <v/>
      </c>
      <c r="X3011">
        <f>IF(ISNUMBER(W3011),'자료_거시'!$G2993,"")</f>
        <v/>
      </c>
      <c r="Y3011">
        <f>IF(ISNUMBER(X3011),IF(X3011&gt;$L$7,W3011,""),"")</f>
        <v/>
      </c>
      <c r="Z3011">
        <f>IF(ISNUMBER('자료_거시'!$K2993),'자료_거시'!$K2993,Z3010)</f>
        <v/>
      </c>
      <c r="AA3011">
        <f>IF(AND(ISNUMBER('자료_거시'!$J2993),ISNUMBER('자료_거시'!$K2993)),IFERROR('자료_거시'!$K2993/INDEX($Z$21:$Z$4020,MATCH(EDATE('자료_거시'!$J2993,-'설정'!$B$17),'자료_거시'!$J$3:INDEX('자료_거시'!$J$3:$J$4002,$K$8),1))-1,""),"")</f>
        <v/>
      </c>
      <c r="AB3011">
        <f>IF(ISNUMBER(AA3011),'자료_거시'!$J2993,"")</f>
        <v/>
      </c>
      <c r="AC3011">
        <f>IF(ISNUMBER(AB3011),IF(AB3011&gt;$L$8,AA3011,""),"")</f>
        <v/>
      </c>
    </row>
    <row r="3012">
      <c r="S3012">
        <f>IF(ISNUMBER('자료_거시'!$E2994),'자료_거시'!$E2994,S3011)</f>
        <v/>
      </c>
      <c r="T3012">
        <f>IF(AND(ISNUMBER('자료_거시'!$D2994),ISNUMBER('자료_거시'!$E2994)),IFERROR('자료_거시'!$E2994-INDEX($S$21:$S$4020,MATCH(EDATE('자료_거시'!$D2994,-'설정'!$B$17),'자료_거시'!$D$3:INDEX('자료_거시'!$D$3:$D$4002,$K$6),1)),""),"")</f>
        <v/>
      </c>
      <c r="U3012">
        <f>IF(ISNUMBER(T3012),'자료_거시'!$D2994,"")</f>
        <v/>
      </c>
      <c r="V3012">
        <f>IF(ISNUMBER(U3012),IF(U3012&gt;$L$6,T3012,""),"")</f>
        <v/>
      </c>
      <c r="W3012">
        <f>IF(AND(ISNUMBER('자료_거시'!$G2994),ISNUMBER('자료_거시'!$H2994)),'자료_거시'!$H2994,"")</f>
        <v/>
      </c>
      <c r="X3012">
        <f>IF(ISNUMBER(W3012),'자료_거시'!$G2994,"")</f>
        <v/>
      </c>
      <c r="Y3012">
        <f>IF(ISNUMBER(X3012),IF(X3012&gt;$L$7,W3012,""),"")</f>
        <v/>
      </c>
      <c r="Z3012">
        <f>IF(ISNUMBER('자료_거시'!$K2994),'자료_거시'!$K2994,Z3011)</f>
        <v/>
      </c>
      <c r="AA3012">
        <f>IF(AND(ISNUMBER('자료_거시'!$J2994),ISNUMBER('자료_거시'!$K2994)),IFERROR('자료_거시'!$K2994/INDEX($Z$21:$Z$4020,MATCH(EDATE('자료_거시'!$J2994,-'설정'!$B$17),'자료_거시'!$J$3:INDEX('자료_거시'!$J$3:$J$4002,$K$8),1))-1,""),"")</f>
        <v/>
      </c>
      <c r="AB3012">
        <f>IF(ISNUMBER(AA3012),'자료_거시'!$J2994,"")</f>
        <v/>
      </c>
      <c r="AC3012">
        <f>IF(ISNUMBER(AB3012),IF(AB3012&gt;$L$8,AA3012,""),"")</f>
        <v/>
      </c>
    </row>
    <row r="3013">
      <c r="S3013">
        <f>IF(ISNUMBER('자료_거시'!$E2995),'자료_거시'!$E2995,S3012)</f>
        <v/>
      </c>
      <c r="T3013">
        <f>IF(AND(ISNUMBER('자료_거시'!$D2995),ISNUMBER('자료_거시'!$E2995)),IFERROR('자료_거시'!$E2995-INDEX($S$21:$S$4020,MATCH(EDATE('자료_거시'!$D2995,-'설정'!$B$17),'자료_거시'!$D$3:INDEX('자료_거시'!$D$3:$D$4002,$K$6),1)),""),"")</f>
        <v/>
      </c>
      <c r="U3013">
        <f>IF(ISNUMBER(T3013),'자료_거시'!$D2995,"")</f>
        <v/>
      </c>
      <c r="V3013">
        <f>IF(ISNUMBER(U3013),IF(U3013&gt;$L$6,T3013,""),"")</f>
        <v/>
      </c>
      <c r="W3013">
        <f>IF(AND(ISNUMBER('자료_거시'!$G2995),ISNUMBER('자료_거시'!$H2995)),'자료_거시'!$H2995,"")</f>
        <v/>
      </c>
      <c r="X3013">
        <f>IF(ISNUMBER(W3013),'자료_거시'!$G2995,"")</f>
        <v/>
      </c>
      <c r="Y3013">
        <f>IF(ISNUMBER(X3013),IF(X3013&gt;$L$7,W3013,""),"")</f>
        <v/>
      </c>
      <c r="Z3013">
        <f>IF(ISNUMBER('자료_거시'!$K2995),'자료_거시'!$K2995,Z3012)</f>
        <v/>
      </c>
      <c r="AA3013">
        <f>IF(AND(ISNUMBER('자료_거시'!$J2995),ISNUMBER('자료_거시'!$K2995)),IFERROR('자료_거시'!$K2995/INDEX($Z$21:$Z$4020,MATCH(EDATE('자료_거시'!$J2995,-'설정'!$B$17),'자료_거시'!$J$3:INDEX('자료_거시'!$J$3:$J$4002,$K$8),1))-1,""),"")</f>
        <v/>
      </c>
      <c r="AB3013">
        <f>IF(ISNUMBER(AA3013),'자료_거시'!$J2995,"")</f>
        <v/>
      </c>
      <c r="AC3013">
        <f>IF(ISNUMBER(AB3013),IF(AB3013&gt;$L$8,AA3013,""),"")</f>
        <v/>
      </c>
    </row>
    <row r="3014">
      <c r="S3014">
        <f>IF(ISNUMBER('자료_거시'!$E2996),'자료_거시'!$E2996,S3013)</f>
        <v/>
      </c>
      <c r="T3014">
        <f>IF(AND(ISNUMBER('자료_거시'!$D2996),ISNUMBER('자료_거시'!$E2996)),IFERROR('자료_거시'!$E2996-INDEX($S$21:$S$4020,MATCH(EDATE('자료_거시'!$D2996,-'설정'!$B$17),'자료_거시'!$D$3:INDEX('자료_거시'!$D$3:$D$4002,$K$6),1)),""),"")</f>
        <v/>
      </c>
      <c r="U3014">
        <f>IF(ISNUMBER(T3014),'자료_거시'!$D2996,"")</f>
        <v/>
      </c>
      <c r="V3014">
        <f>IF(ISNUMBER(U3014),IF(U3014&gt;$L$6,T3014,""),"")</f>
        <v/>
      </c>
      <c r="W3014">
        <f>IF(AND(ISNUMBER('자료_거시'!$G2996),ISNUMBER('자료_거시'!$H2996)),'자료_거시'!$H2996,"")</f>
        <v/>
      </c>
      <c r="X3014">
        <f>IF(ISNUMBER(W3014),'자료_거시'!$G2996,"")</f>
        <v/>
      </c>
      <c r="Y3014">
        <f>IF(ISNUMBER(X3014),IF(X3014&gt;$L$7,W3014,""),"")</f>
        <v/>
      </c>
      <c r="Z3014">
        <f>IF(ISNUMBER('자료_거시'!$K2996),'자료_거시'!$K2996,Z3013)</f>
        <v/>
      </c>
      <c r="AA3014">
        <f>IF(AND(ISNUMBER('자료_거시'!$J2996),ISNUMBER('자료_거시'!$K2996)),IFERROR('자료_거시'!$K2996/INDEX($Z$21:$Z$4020,MATCH(EDATE('자료_거시'!$J2996,-'설정'!$B$17),'자료_거시'!$J$3:INDEX('자료_거시'!$J$3:$J$4002,$K$8),1))-1,""),"")</f>
        <v/>
      </c>
      <c r="AB3014">
        <f>IF(ISNUMBER(AA3014),'자료_거시'!$J2996,"")</f>
        <v/>
      </c>
      <c r="AC3014">
        <f>IF(ISNUMBER(AB3014),IF(AB3014&gt;$L$8,AA3014,""),"")</f>
        <v/>
      </c>
    </row>
    <row r="3015">
      <c r="S3015">
        <f>IF(ISNUMBER('자료_거시'!$E2997),'자료_거시'!$E2997,S3014)</f>
        <v/>
      </c>
      <c r="T3015">
        <f>IF(AND(ISNUMBER('자료_거시'!$D2997),ISNUMBER('자료_거시'!$E2997)),IFERROR('자료_거시'!$E2997-INDEX($S$21:$S$4020,MATCH(EDATE('자료_거시'!$D2997,-'설정'!$B$17),'자료_거시'!$D$3:INDEX('자료_거시'!$D$3:$D$4002,$K$6),1)),""),"")</f>
        <v/>
      </c>
      <c r="U3015">
        <f>IF(ISNUMBER(T3015),'자료_거시'!$D2997,"")</f>
        <v/>
      </c>
      <c r="V3015">
        <f>IF(ISNUMBER(U3015),IF(U3015&gt;$L$6,T3015,""),"")</f>
        <v/>
      </c>
      <c r="W3015">
        <f>IF(AND(ISNUMBER('자료_거시'!$G2997),ISNUMBER('자료_거시'!$H2997)),'자료_거시'!$H2997,"")</f>
        <v/>
      </c>
      <c r="X3015">
        <f>IF(ISNUMBER(W3015),'자료_거시'!$G2997,"")</f>
        <v/>
      </c>
      <c r="Y3015">
        <f>IF(ISNUMBER(X3015),IF(X3015&gt;$L$7,W3015,""),"")</f>
        <v/>
      </c>
      <c r="Z3015">
        <f>IF(ISNUMBER('자료_거시'!$K2997),'자료_거시'!$K2997,Z3014)</f>
        <v/>
      </c>
      <c r="AA3015">
        <f>IF(AND(ISNUMBER('자료_거시'!$J2997),ISNUMBER('자료_거시'!$K2997)),IFERROR('자료_거시'!$K2997/INDEX($Z$21:$Z$4020,MATCH(EDATE('자료_거시'!$J2997,-'설정'!$B$17),'자료_거시'!$J$3:INDEX('자료_거시'!$J$3:$J$4002,$K$8),1))-1,""),"")</f>
        <v/>
      </c>
      <c r="AB3015">
        <f>IF(ISNUMBER(AA3015),'자료_거시'!$J2997,"")</f>
        <v/>
      </c>
      <c r="AC3015">
        <f>IF(ISNUMBER(AB3015),IF(AB3015&gt;$L$8,AA3015,""),"")</f>
        <v/>
      </c>
    </row>
    <row r="3016">
      <c r="S3016">
        <f>IF(ISNUMBER('자료_거시'!$E2998),'자료_거시'!$E2998,S3015)</f>
        <v/>
      </c>
      <c r="T3016">
        <f>IF(AND(ISNUMBER('자료_거시'!$D2998),ISNUMBER('자료_거시'!$E2998)),IFERROR('자료_거시'!$E2998-INDEX($S$21:$S$4020,MATCH(EDATE('자료_거시'!$D2998,-'설정'!$B$17),'자료_거시'!$D$3:INDEX('자료_거시'!$D$3:$D$4002,$K$6),1)),""),"")</f>
        <v/>
      </c>
      <c r="U3016">
        <f>IF(ISNUMBER(T3016),'자료_거시'!$D2998,"")</f>
        <v/>
      </c>
      <c r="V3016">
        <f>IF(ISNUMBER(U3016),IF(U3016&gt;$L$6,T3016,""),"")</f>
        <v/>
      </c>
      <c r="W3016">
        <f>IF(AND(ISNUMBER('자료_거시'!$G2998),ISNUMBER('자료_거시'!$H2998)),'자료_거시'!$H2998,"")</f>
        <v/>
      </c>
      <c r="X3016">
        <f>IF(ISNUMBER(W3016),'자료_거시'!$G2998,"")</f>
        <v/>
      </c>
      <c r="Y3016">
        <f>IF(ISNUMBER(X3016),IF(X3016&gt;$L$7,W3016,""),"")</f>
        <v/>
      </c>
      <c r="Z3016">
        <f>IF(ISNUMBER('자료_거시'!$K2998),'자료_거시'!$K2998,Z3015)</f>
        <v/>
      </c>
      <c r="AA3016">
        <f>IF(AND(ISNUMBER('자료_거시'!$J2998),ISNUMBER('자료_거시'!$K2998)),IFERROR('자료_거시'!$K2998/INDEX($Z$21:$Z$4020,MATCH(EDATE('자료_거시'!$J2998,-'설정'!$B$17),'자료_거시'!$J$3:INDEX('자료_거시'!$J$3:$J$4002,$K$8),1))-1,""),"")</f>
        <v/>
      </c>
      <c r="AB3016">
        <f>IF(ISNUMBER(AA3016),'자료_거시'!$J2998,"")</f>
        <v/>
      </c>
      <c r="AC3016">
        <f>IF(ISNUMBER(AB3016),IF(AB3016&gt;$L$8,AA3016,""),"")</f>
        <v/>
      </c>
    </row>
    <row r="3017">
      <c r="S3017">
        <f>IF(ISNUMBER('자료_거시'!$E2999),'자료_거시'!$E2999,S3016)</f>
        <v/>
      </c>
      <c r="T3017">
        <f>IF(AND(ISNUMBER('자료_거시'!$D2999),ISNUMBER('자료_거시'!$E2999)),IFERROR('자료_거시'!$E2999-INDEX($S$21:$S$4020,MATCH(EDATE('자료_거시'!$D2999,-'설정'!$B$17),'자료_거시'!$D$3:INDEX('자료_거시'!$D$3:$D$4002,$K$6),1)),""),"")</f>
        <v/>
      </c>
      <c r="U3017">
        <f>IF(ISNUMBER(T3017),'자료_거시'!$D2999,"")</f>
        <v/>
      </c>
      <c r="V3017">
        <f>IF(ISNUMBER(U3017),IF(U3017&gt;$L$6,T3017,""),"")</f>
        <v/>
      </c>
      <c r="W3017">
        <f>IF(AND(ISNUMBER('자료_거시'!$G2999),ISNUMBER('자료_거시'!$H2999)),'자료_거시'!$H2999,"")</f>
        <v/>
      </c>
      <c r="X3017">
        <f>IF(ISNUMBER(W3017),'자료_거시'!$G2999,"")</f>
        <v/>
      </c>
      <c r="Y3017">
        <f>IF(ISNUMBER(X3017),IF(X3017&gt;$L$7,W3017,""),"")</f>
        <v/>
      </c>
      <c r="Z3017">
        <f>IF(ISNUMBER('자료_거시'!$K2999),'자료_거시'!$K2999,Z3016)</f>
        <v/>
      </c>
      <c r="AA3017">
        <f>IF(AND(ISNUMBER('자료_거시'!$J2999),ISNUMBER('자료_거시'!$K2999)),IFERROR('자료_거시'!$K2999/INDEX($Z$21:$Z$4020,MATCH(EDATE('자료_거시'!$J2999,-'설정'!$B$17),'자료_거시'!$J$3:INDEX('자료_거시'!$J$3:$J$4002,$K$8),1))-1,""),"")</f>
        <v/>
      </c>
      <c r="AB3017">
        <f>IF(ISNUMBER(AA3017),'자료_거시'!$J2999,"")</f>
        <v/>
      </c>
      <c r="AC3017">
        <f>IF(ISNUMBER(AB3017),IF(AB3017&gt;$L$8,AA3017,""),"")</f>
        <v/>
      </c>
    </row>
    <row r="3018">
      <c r="S3018">
        <f>IF(ISNUMBER('자료_거시'!$E3000),'자료_거시'!$E3000,S3017)</f>
        <v/>
      </c>
      <c r="T3018">
        <f>IF(AND(ISNUMBER('자료_거시'!$D3000),ISNUMBER('자료_거시'!$E3000)),IFERROR('자료_거시'!$E3000-INDEX($S$21:$S$4020,MATCH(EDATE('자료_거시'!$D3000,-'설정'!$B$17),'자료_거시'!$D$3:INDEX('자료_거시'!$D$3:$D$4002,$K$6),1)),""),"")</f>
        <v/>
      </c>
      <c r="U3018">
        <f>IF(ISNUMBER(T3018),'자료_거시'!$D3000,"")</f>
        <v/>
      </c>
      <c r="V3018">
        <f>IF(ISNUMBER(U3018),IF(U3018&gt;$L$6,T3018,""),"")</f>
        <v/>
      </c>
      <c r="W3018">
        <f>IF(AND(ISNUMBER('자료_거시'!$G3000),ISNUMBER('자료_거시'!$H3000)),'자료_거시'!$H3000,"")</f>
        <v/>
      </c>
      <c r="X3018">
        <f>IF(ISNUMBER(W3018),'자료_거시'!$G3000,"")</f>
        <v/>
      </c>
      <c r="Y3018">
        <f>IF(ISNUMBER(X3018),IF(X3018&gt;$L$7,W3018,""),"")</f>
        <v/>
      </c>
      <c r="Z3018">
        <f>IF(ISNUMBER('자료_거시'!$K3000),'자료_거시'!$K3000,Z3017)</f>
        <v/>
      </c>
      <c r="AA3018">
        <f>IF(AND(ISNUMBER('자료_거시'!$J3000),ISNUMBER('자료_거시'!$K3000)),IFERROR('자료_거시'!$K3000/INDEX($Z$21:$Z$4020,MATCH(EDATE('자료_거시'!$J3000,-'설정'!$B$17),'자료_거시'!$J$3:INDEX('자료_거시'!$J$3:$J$4002,$K$8),1))-1,""),"")</f>
        <v/>
      </c>
      <c r="AB3018">
        <f>IF(ISNUMBER(AA3018),'자료_거시'!$J3000,"")</f>
        <v/>
      </c>
      <c r="AC3018">
        <f>IF(ISNUMBER(AB3018),IF(AB3018&gt;$L$8,AA3018,""),"")</f>
        <v/>
      </c>
    </row>
    <row r="3019">
      <c r="S3019">
        <f>IF(ISNUMBER('자료_거시'!$E3001),'자료_거시'!$E3001,S3018)</f>
        <v/>
      </c>
      <c r="T3019">
        <f>IF(AND(ISNUMBER('자료_거시'!$D3001),ISNUMBER('자료_거시'!$E3001)),IFERROR('자료_거시'!$E3001-INDEX($S$21:$S$4020,MATCH(EDATE('자료_거시'!$D3001,-'설정'!$B$17),'자료_거시'!$D$3:INDEX('자료_거시'!$D$3:$D$4002,$K$6),1)),""),"")</f>
        <v/>
      </c>
      <c r="U3019">
        <f>IF(ISNUMBER(T3019),'자료_거시'!$D3001,"")</f>
        <v/>
      </c>
      <c r="V3019">
        <f>IF(ISNUMBER(U3019),IF(U3019&gt;$L$6,T3019,""),"")</f>
        <v/>
      </c>
      <c r="W3019">
        <f>IF(AND(ISNUMBER('자료_거시'!$G3001),ISNUMBER('자료_거시'!$H3001)),'자료_거시'!$H3001,"")</f>
        <v/>
      </c>
      <c r="X3019">
        <f>IF(ISNUMBER(W3019),'자료_거시'!$G3001,"")</f>
        <v/>
      </c>
      <c r="Y3019">
        <f>IF(ISNUMBER(X3019),IF(X3019&gt;$L$7,W3019,""),"")</f>
        <v/>
      </c>
      <c r="Z3019">
        <f>IF(ISNUMBER('자료_거시'!$K3001),'자료_거시'!$K3001,Z3018)</f>
        <v/>
      </c>
      <c r="AA3019">
        <f>IF(AND(ISNUMBER('자료_거시'!$J3001),ISNUMBER('자료_거시'!$K3001)),IFERROR('자료_거시'!$K3001/INDEX($Z$21:$Z$4020,MATCH(EDATE('자료_거시'!$J3001,-'설정'!$B$17),'자료_거시'!$J$3:INDEX('자료_거시'!$J$3:$J$4002,$K$8),1))-1,""),"")</f>
        <v/>
      </c>
      <c r="AB3019">
        <f>IF(ISNUMBER(AA3019),'자료_거시'!$J3001,"")</f>
        <v/>
      </c>
      <c r="AC3019">
        <f>IF(ISNUMBER(AB3019),IF(AB3019&gt;$L$8,AA3019,""),"")</f>
        <v/>
      </c>
    </row>
    <row r="3020">
      <c r="S3020">
        <f>IF(ISNUMBER('자료_거시'!$E3002),'자료_거시'!$E3002,S3019)</f>
        <v/>
      </c>
      <c r="T3020">
        <f>IF(AND(ISNUMBER('자료_거시'!$D3002),ISNUMBER('자료_거시'!$E3002)),IFERROR('자료_거시'!$E3002-INDEX($S$21:$S$4020,MATCH(EDATE('자료_거시'!$D3002,-'설정'!$B$17),'자료_거시'!$D$3:INDEX('자료_거시'!$D$3:$D$4002,$K$6),1)),""),"")</f>
        <v/>
      </c>
      <c r="U3020">
        <f>IF(ISNUMBER(T3020),'자료_거시'!$D3002,"")</f>
        <v/>
      </c>
      <c r="V3020">
        <f>IF(ISNUMBER(U3020),IF(U3020&gt;$L$6,T3020,""),"")</f>
        <v/>
      </c>
      <c r="W3020">
        <f>IF(AND(ISNUMBER('자료_거시'!$G3002),ISNUMBER('자료_거시'!$H3002)),'자료_거시'!$H3002,"")</f>
        <v/>
      </c>
      <c r="X3020">
        <f>IF(ISNUMBER(W3020),'자료_거시'!$G3002,"")</f>
        <v/>
      </c>
      <c r="Y3020">
        <f>IF(ISNUMBER(X3020),IF(X3020&gt;$L$7,W3020,""),"")</f>
        <v/>
      </c>
      <c r="Z3020">
        <f>IF(ISNUMBER('자료_거시'!$K3002),'자료_거시'!$K3002,Z3019)</f>
        <v/>
      </c>
      <c r="AA3020">
        <f>IF(AND(ISNUMBER('자료_거시'!$J3002),ISNUMBER('자료_거시'!$K3002)),IFERROR('자료_거시'!$K3002/INDEX($Z$21:$Z$4020,MATCH(EDATE('자료_거시'!$J3002,-'설정'!$B$17),'자료_거시'!$J$3:INDEX('자료_거시'!$J$3:$J$4002,$K$8),1))-1,""),"")</f>
        <v/>
      </c>
      <c r="AB3020">
        <f>IF(ISNUMBER(AA3020),'자료_거시'!$J3002,"")</f>
        <v/>
      </c>
      <c r="AC3020">
        <f>IF(ISNUMBER(AB3020),IF(AB3020&gt;$L$8,AA3020,""),"")</f>
        <v/>
      </c>
    </row>
    <row r="3021">
      <c r="S3021">
        <f>IF(ISNUMBER('자료_거시'!$E3003),'자료_거시'!$E3003,S3020)</f>
        <v/>
      </c>
      <c r="T3021">
        <f>IF(AND(ISNUMBER('자료_거시'!$D3003),ISNUMBER('자료_거시'!$E3003)),IFERROR('자료_거시'!$E3003-INDEX($S$21:$S$4020,MATCH(EDATE('자료_거시'!$D3003,-'설정'!$B$17),'자료_거시'!$D$3:INDEX('자료_거시'!$D$3:$D$4002,$K$6),1)),""),"")</f>
        <v/>
      </c>
      <c r="U3021">
        <f>IF(ISNUMBER(T3021),'자료_거시'!$D3003,"")</f>
        <v/>
      </c>
      <c r="V3021">
        <f>IF(ISNUMBER(U3021),IF(U3021&gt;$L$6,T3021,""),"")</f>
        <v/>
      </c>
      <c r="W3021">
        <f>IF(AND(ISNUMBER('자료_거시'!$G3003),ISNUMBER('자료_거시'!$H3003)),'자료_거시'!$H3003,"")</f>
        <v/>
      </c>
      <c r="X3021">
        <f>IF(ISNUMBER(W3021),'자료_거시'!$G3003,"")</f>
        <v/>
      </c>
      <c r="Y3021">
        <f>IF(ISNUMBER(X3021),IF(X3021&gt;$L$7,W3021,""),"")</f>
        <v/>
      </c>
      <c r="Z3021">
        <f>IF(ISNUMBER('자료_거시'!$K3003),'자료_거시'!$K3003,Z3020)</f>
        <v/>
      </c>
      <c r="AA3021">
        <f>IF(AND(ISNUMBER('자료_거시'!$J3003),ISNUMBER('자료_거시'!$K3003)),IFERROR('자료_거시'!$K3003/INDEX($Z$21:$Z$4020,MATCH(EDATE('자료_거시'!$J3003,-'설정'!$B$17),'자료_거시'!$J$3:INDEX('자료_거시'!$J$3:$J$4002,$K$8),1))-1,""),"")</f>
        <v/>
      </c>
      <c r="AB3021">
        <f>IF(ISNUMBER(AA3021),'자료_거시'!$J3003,"")</f>
        <v/>
      </c>
      <c r="AC3021">
        <f>IF(ISNUMBER(AB3021),IF(AB3021&gt;$L$8,AA3021,""),"")</f>
        <v/>
      </c>
    </row>
    <row r="3022">
      <c r="S3022">
        <f>IF(ISNUMBER('자료_거시'!$E3004),'자료_거시'!$E3004,S3021)</f>
        <v/>
      </c>
      <c r="T3022">
        <f>IF(AND(ISNUMBER('자료_거시'!$D3004),ISNUMBER('자료_거시'!$E3004)),IFERROR('자료_거시'!$E3004-INDEX($S$21:$S$4020,MATCH(EDATE('자료_거시'!$D3004,-'설정'!$B$17),'자료_거시'!$D$3:INDEX('자료_거시'!$D$3:$D$4002,$K$6),1)),""),"")</f>
        <v/>
      </c>
      <c r="U3022">
        <f>IF(ISNUMBER(T3022),'자료_거시'!$D3004,"")</f>
        <v/>
      </c>
      <c r="V3022">
        <f>IF(ISNUMBER(U3022),IF(U3022&gt;$L$6,T3022,""),"")</f>
        <v/>
      </c>
      <c r="W3022">
        <f>IF(AND(ISNUMBER('자료_거시'!$G3004),ISNUMBER('자료_거시'!$H3004)),'자료_거시'!$H3004,"")</f>
        <v/>
      </c>
      <c r="X3022">
        <f>IF(ISNUMBER(W3022),'자료_거시'!$G3004,"")</f>
        <v/>
      </c>
      <c r="Y3022">
        <f>IF(ISNUMBER(X3022),IF(X3022&gt;$L$7,W3022,""),"")</f>
        <v/>
      </c>
      <c r="Z3022">
        <f>IF(ISNUMBER('자료_거시'!$K3004),'자료_거시'!$K3004,Z3021)</f>
        <v/>
      </c>
      <c r="AA3022">
        <f>IF(AND(ISNUMBER('자료_거시'!$J3004),ISNUMBER('자료_거시'!$K3004)),IFERROR('자료_거시'!$K3004/INDEX($Z$21:$Z$4020,MATCH(EDATE('자료_거시'!$J3004,-'설정'!$B$17),'자료_거시'!$J$3:INDEX('자료_거시'!$J$3:$J$4002,$K$8),1))-1,""),"")</f>
        <v/>
      </c>
      <c r="AB3022">
        <f>IF(ISNUMBER(AA3022),'자료_거시'!$J3004,"")</f>
        <v/>
      </c>
      <c r="AC3022">
        <f>IF(ISNUMBER(AB3022),IF(AB3022&gt;$L$8,AA3022,""),"")</f>
        <v/>
      </c>
    </row>
    <row r="3023">
      <c r="S3023">
        <f>IF(ISNUMBER('자료_거시'!$E3005),'자료_거시'!$E3005,S3022)</f>
        <v/>
      </c>
      <c r="T3023">
        <f>IF(AND(ISNUMBER('자료_거시'!$D3005),ISNUMBER('자료_거시'!$E3005)),IFERROR('자료_거시'!$E3005-INDEX($S$21:$S$4020,MATCH(EDATE('자료_거시'!$D3005,-'설정'!$B$17),'자료_거시'!$D$3:INDEX('자료_거시'!$D$3:$D$4002,$K$6),1)),""),"")</f>
        <v/>
      </c>
      <c r="U3023">
        <f>IF(ISNUMBER(T3023),'자료_거시'!$D3005,"")</f>
        <v/>
      </c>
      <c r="V3023">
        <f>IF(ISNUMBER(U3023),IF(U3023&gt;$L$6,T3023,""),"")</f>
        <v/>
      </c>
      <c r="W3023">
        <f>IF(AND(ISNUMBER('자료_거시'!$G3005),ISNUMBER('자료_거시'!$H3005)),'자료_거시'!$H3005,"")</f>
        <v/>
      </c>
      <c r="X3023">
        <f>IF(ISNUMBER(W3023),'자료_거시'!$G3005,"")</f>
        <v/>
      </c>
      <c r="Y3023">
        <f>IF(ISNUMBER(X3023),IF(X3023&gt;$L$7,W3023,""),"")</f>
        <v/>
      </c>
      <c r="Z3023">
        <f>IF(ISNUMBER('자료_거시'!$K3005),'자료_거시'!$K3005,Z3022)</f>
        <v/>
      </c>
      <c r="AA3023">
        <f>IF(AND(ISNUMBER('자료_거시'!$J3005),ISNUMBER('자료_거시'!$K3005)),IFERROR('자료_거시'!$K3005/INDEX($Z$21:$Z$4020,MATCH(EDATE('자료_거시'!$J3005,-'설정'!$B$17),'자료_거시'!$J$3:INDEX('자료_거시'!$J$3:$J$4002,$K$8),1))-1,""),"")</f>
        <v/>
      </c>
      <c r="AB3023">
        <f>IF(ISNUMBER(AA3023),'자료_거시'!$J3005,"")</f>
        <v/>
      </c>
      <c r="AC3023">
        <f>IF(ISNUMBER(AB3023),IF(AB3023&gt;$L$8,AA3023,""),"")</f>
        <v/>
      </c>
    </row>
    <row r="3024">
      <c r="S3024">
        <f>IF(ISNUMBER('자료_거시'!$E3006),'자료_거시'!$E3006,S3023)</f>
        <v/>
      </c>
      <c r="T3024">
        <f>IF(AND(ISNUMBER('자료_거시'!$D3006),ISNUMBER('자료_거시'!$E3006)),IFERROR('자료_거시'!$E3006-INDEX($S$21:$S$4020,MATCH(EDATE('자료_거시'!$D3006,-'설정'!$B$17),'자료_거시'!$D$3:INDEX('자료_거시'!$D$3:$D$4002,$K$6),1)),""),"")</f>
        <v/>
      </c>
      <c r="U3024">
        <f>IF(ISNUMBER(T3024),'자료_거시'!$D3006,"")</f>
        <v/>
      </c>
      <c r="V3024">
        <f>IF(ISNUMBER(U3024),IF(U3024&gt;$L$6,T3024,""),"")</f>
        <v/>
      </c>
      <c r="W3024">
        <f>IF(AND(ISNUMBER('자료_거시'!$G3006),ISNUMBER('자료_거시'!$H3006)),'자료_거시'!$H3006,"")</f>
        <v/>
      </c>
      <c r="X3024">
        <f>IF(ISNUMBER(W3024),'자료_거시'!$G3006,"")</f>
        <v/>
      </c>
      <c r="Y3024">
        <f>IF(ISNUMBER(X3024),IF(X3024&gt;$L$7,W3024,""),"")</f>
        <v/>
      </c>
      <c r="Z3024">
        <f>IF(ISNUMBER('자료_거시'!$K3006),'자료_거시'!$K3006,Z3023)</f>
        <v/>
      </c>
      <c r="AA3024">
        <f>IF(AND(ISNUMBER('자료_거시'!$J3006),ISNUMBER('자료_거시'!$K3006)),IFERROR('자료_거시'!$K3006/INDEX($Z$21:$Z$4020,MATCH(EDATE('자료_거시'!$J3006,-'설정'!$B$17),'자료_거시'!$J$3:INDEX('자료_거시'!$J$3:$J$4002,$K$8),1))-1,""),"")</f>
        <v/>
      </c>
      <c r="AB3024">
        <f>IF(ISNUMBER(AA3024),'자료_거시'!$J3006,"")</f>
        <v/>
      </c>
      <c r="AC3024">
        <f>IF(ISNUMBER(AB3024),IF(AB3024&gt;$L$8,AA3024,""),"")</f>
        <v/>
      </c>
    </row>
    <row r="3025">
      <c r="S3025">
        <f>IF(ISNUMBER('자료_거시'!$E3007),'자료_거시'!$E3007,S3024)</f>
        <v/>
      </c>
      <c r="T3025">
        <f>IF(AND(ISNUMBER('자료_거시'!$D3007),ISNUMBER('자료_거시'!$E3007)),IFERROR('자료_거시'!$E3007-INDEX($S$21:$S$4020,MATCH(EDATE('자료_거시'!$D3007,-'설정'!$B$17),'자료_거시'!$D$3:INDEX('자료_거시'!$D$3:$D$4002,$K$6),1)),""),"")</f>
        <v/>
      </c>
      <c r="U3025">
        <f>IF(ISNUMBER(T3025),'자료_거시'!$D3007,"")</f>
        <v/>
      </c>
      <c r="V3025">
        <f>IF(ISNUMBER(U3025),IF(U3025&gt;$L$6,T3025,""),"")</f>
        <v/>
      </c>
      <c r="W3025">
        <f>IF(AND(ISNUMBER('자료_거시'!$G3007),ISNUMBER('자료_거시'!$H3007)),'자료_거시'!$H3007,"")</f>
        <v/>
      </c>
      <c r="X3025">
        <f>IF(ISNUMBER(W3025),'자료_거시'!$G3007,"")</f>
        <v/>
      </c>
      <c r="Y3025">
        <f>IF(ISNUMBER(X3025),IF(X3025&gt;$L$7,W3025,""),"")</f>
        <v/>
      </c>
      <c r="Z3025">
        <f>IF(ISNUMBER('자료_거시'!$K3007),'자료_거시'!$K3007,Z3024)</f>
        <v/>
      </c>
      <c r="AA3025">
        <f>IF(AND(ISNUMBER('자료_거시'!$J3007),ISNUMBER('자료_거시'!$K3007)),IFERROR('자료_거시'!$K3007/INDEX($Z$21:$Z$4020,MATCH(EDATE('자료_거시'!$J3007,-'설정'!$B$17),'자료_거시'!$J$3:INDEX('자료_거시'!$J$3:$J$4002,$K$8),1))-1,""),"")</f>
        <v/>
      </c>
      <c r="AB3025">
        <f>IF(ISNUMBER(AA3025),'자료_거시'!$J3007,"")</f>
        <v/>
      </c>
      <c r="AC3025">
        <f>IF(ISNUMBER(AB3025),IF(AB3025&gt;$L$8,AA3025,""),"")</f>
        <v/>
      </c>
    </row>
    <row r="3026">
      <c r="S3026">
        <f>IF(ISNUMBER('자료_거시'!$E3008),'자료_거시'!$E3008,S3025)</f>
        <v/>
      </c>
      <c r="T3026">
        <f>IF(AND(ISNUMBER('자료_거시'!$D3008),ISNUMBER('자료_거시'!$E3008)),IFERROR('자료_거시'!$E3008-INDEX($S$21:$S$4020,MATCH(EDATE('자료_거시'!$D3008,-'설정'!$B$17),'자료_거시'!$D$3:INDEX('자료_거시'!$D$3:$D$4002,$K$6),1)),""),"")</f>
        <v/>
      </c>
      <c r="U3026">
        <f>IF(ISNUMBER(T3026),'자료_거시'!$D3008,"")</f>
        <v/>
      </c>
      <c r="V3026">
        <f>IF(ISNUMBER(U3026),IF(U3026&gt;$L$6,T3026,""),"")</f>
        <v/>
      </c>
      <c r="W3026">
        <f>IF(AND(ISNUMBER('자료_거시'!$G3008),ISNUMBER('자료_거시'!$H3008)),'자료_거시'!$H3008,"")</f>
        <v/>
      </c>
      <c r="X3026">
        <f>IF(ISNUMBER(W3026),'자료_거시'!$G3008,"")</f>
        <v/>
      </c>
      <c r="Y3026">
        <f>IF(ISNUMBER(X3026),IF(X3026&gt;$L$7,W3026,""),"")</f>
        <v/>
      </c>
      <c r="Z3026">
        <f>IF(ISNUMBER('자료_거시'!$K3008),'자료_거시'!$K3008,Z3025)</f>
        <v/>
      </c>
      <c r="AA3026">
        <f>IF(AND(ISNUMBER('자료_거시'!$J3008),ISNUMBER('자료_거시'!$K3008)),IFERROR('자료_거시'!$K3008/INDEX($Z$21:$Z$4020,MATCH(EDATE('자료_거시'!$J3008,-'설정'!$B$17),'자료_거시'!$J$3:INDEX('자료_거시'!$J$3:$J$4002,$K$8),1))-1,""),"")</f>
        <v/>
      </c>
      <c r="AB3026">
        <f>IF(ISNUMBER(AA3026),'자료_거시'!$J3008,"")</f>
        <v/>
      </c>
      <c r="AC3026">
        <f>IF(ISNUMBER(AB3026),IF(AB3026&gt;$L$8,AA3026,""),"")</f>
        <v/>
      </c>
    </row>
    <row r="3027">
      <c r="S3027">
        <f>IF(ISNUMBER('자료_거시'!$E3009),'자료_거시'!$E3009,S3026)</f>
        <v/>
      </c>
      <c r="T3027">
        <f>IF(AND(ISNUMBER('자료_거시'!$D3009),ISNUMBER('자료_거시'!$E3009)),IFERROR('자료_거시'!$E3009-INDEX($S$21:$S$4020,MATCH(EDATE('자료_거시'!$D3009,-'설정'!$B$17),'자료_거시'!$D$3:INDEX('자료_거시'!$D$3:$D$4002,$K$6),1)),""),"")</f>
        <v/>
      </c>
      <c r="U3027">
        <f>IF(ISNUMBER(T3027),'자료_거시'!$D3009,"")</f>
        <v/>
      </c>
      <c r="V3027">
        <f>IF(ISNUMBER(U3027),IF(U3027&gt;$L$6,T3027,""),"")</f>
        <v/>
      </c>
      <c r="W3027">
        <f>IF(AND(ISNUMBER('자료_거시'!$G3009),ISNUMBER('자료_거시'!$H3009)),'자료_거시'!$H3009,"")</f>
        <v/>
      </c>
      <c r="X3027">
        <f>IF(ISNUMBER(W3027),'자료_거시'!$G3009,"")</f>
        <v/>
      </c>
      <c r="Y3027">
        <f>IF(ISNUMBER(X3027),IF(X3027&gt;$L$7,W3027,""),"")</f>
        <v/>
      </c>
      <c r="Z3027">
        <f>IF(ISNUMBER('자료_거시'!$K3009),'자료_거시'!$K3009,Z3026)</f>
        <v/>
      </c>
      <c r="AA3027">
        <f>IF(AND(ISNUMBER('자료_거시'!$J3009),ISNUMBER('자료_거시'!$K3009)),IFERROR('자료_거시'!$K3009/INDEX($Z$21:$Z$4020,MATCH(EDATE('자료_거시'!$J3009,-'설정'!$B$17),'자료_거시'!$J$3:INDEX('자료_거시'!$J$3:$J$4002,$K$8),1))-1,""),"")</f>
        <v/>
      </c>
      <c r="AB3027">
        <f>IF(ISNUMBER(AA3027),'자료_거시'!$J3009,"")</f>
        <v/>
      </c>
      <c r="AC3027">
        <f>IF(ISNUMBER(AB3027),IF(AB3027&gt;$L$8,AA3027,""),"")</f>
        <v/>
      </c>
    </row>
    <row r="3028">
      <c r="S3028">
        <f>IF(ISNUMBER('자료_거시'!$E3010),'자료_거시'!$E3010,S3027)</f>
        <v/>
      </c>
      <c r="T3028">
        <f>IF(AND(ISNUMBER('자료_거시'!$D3010),ISNUMBER('자료_거시'!$E3010)),IFERROR('자료_거시'!$E3010-INDEX($S$21:$S$4020,MATCH(EDATE('자료_거시'!$D3010,-'설정'!$B$17),'자료_거시'!$D$3:INDEX('자료_거시'!$D$3:$D$4002,$K$6),1)),""),"")</f>
        <v/>
      </c>
      <c r="U3028">
        <f>IF(ISNUMBER(T3028),'자료_거시'!$D3010,"")</f>
        <v/>
      </c>
      <c r="V3028">
        <f>IF(ISNUMBER(U3028),IF(U3028&gt;$L$6,T3028,""),"")</f>
        <v/>
      </c>
      <c r="W3028">
        <f>IF(AND(ISNUMBER('자료_거시'!$G3010),ISNUMBER('자료_거시'!$H3010)),'자료_거시'!$H3010,"")</f>
        <v/>
      </c>
      <c r="X3028">
        <f>IF(ISNUMBER(W3028),'자료_거시'!$G3010,"")</f>
        <v/>
      </c>
      <c r="Y3028">
        <f>IF(ISNUMBER(X3028),IF(X3028&gt;$L$7,W3028,""),"")</f>
        <v/>
      </c>
      <c r="Z3028">
        <f>IF(ISNUMBER('자료_거시'!$K3010),'자료_거시'!$K3010,Z3027)</f>
        <v/>
      </c>
      <c r="AA3028">
        <f>IF(AND(ISNUMBER('자료_거시'!$J3010),ISNUMBER('자료_거시'!$K3010)),IFERROR('자료_거시'!$K3010/INDEX($Z$21:$Z$4020,MATCH(EDATE('자료_거시'!$J3010,-'설정'!$B$17),'자료_거시'!$J$3:INDEX('자료_거시'!$J$3:$J$4002,$K$8),1))-1,""),"")</f>
        <v/>
      </c>
      <c r="AB3028">
        <f>IF(ISNUMBER(AA3028),'자료_거시'!$J3010,"")</f>
        <v/>
      </c>
      <c r="AC3028">
        <f>IF(ISNUMBER(AB3028),IF(AB3028&gt;$L$8,AA3028,""),"")</f>
        <v/>
      </c>
    </row>
    <row r="3029">
      <c r="S3029">
        <f>IF(ISNUMBER('자료_거시'!$E3011),'자료_거시'!$E3011,S3028)</f>
        <v/>
      </c>
      <c r="T3029">
        <f>IF(AND(ISNUMBER('자료_거시'!$D3011),ISNUMBER('자료_거시'!$E3011)),IFERROR('자료_거시'!$E3011-INDEX($S$21:$S$4020,MATCH(EDATE('자료_거시'!$D3011,-'설정'!$B$17),'자료_거시'!$D$3:INDEX('자료_거시'!$D$3:$D$4002,$K$6),1)),""),"")</f>
        <v/>
      </c>
      <c r="U3029">
        <f>IF(ISNUMBER(T3029),'자료_거시'!$D3011,"")</f>
        <v/>
      </c>
      <c r="V3029">
        <f>IF(ISNUMBER(U3029),IF(U3029&gt;$L$6,T3029,""),"")</f>
        <v/>
      </c>
      <c r="W3029">
        <f>IF(AND(ISNUMBER('자료_거시'!$G3011),ISNUMBER('자료_거시'!$H3011)),'자료_거시'!$H3011,"")</f>
        <v/>
      </c>
      <c r="X3029">
        <f>IF(ISNUMBER(W3029),'자료_거시'!$G3011,"")</f>
        <v/>
      </c>
      <c r="Y3029">
        <f>IF(ISNUMBER(X3029),IF(X3029&gt;$L$7,W3029,""),"")</f>
        <v/>
      </c>
      <c r="Z3029">
        <f>IF(ISNUMBER('자료_거시'!$K3011),'자료_거시'!$K3011,Z3028)</f>
        <v/>
      </c>
      <c r="AA3029">
        <f>IF(AND(ISNUMBER('자료_거시'!$J3011),ISNUMBER('자료_거시'!$K3011)),IFERROR('자료_거시'!$K3011/INDEX($Z$21:$Z$4020,MATCH(EDATE('자료_거시'!$J3011,-'설정'!$B$17),'자료_거시'!$J$3:INDEX('자료_거시'!$J$3:$J$4002,$K$8),1))-1,""),"")</f>
        <v/>
      </c>
      <c r="AB3029">
        <f>IF(ISNUMBER(AA3029),'자료_거시'!$J3011,"")</f>
        <v/>
      </c>
      <c r="AC3029">
        <f>IF(ISNUMBER(AB3029),IF(AB3029&gt;$L$8,AA3029,""),"")</f>
        <v/>
      </c>
    </row>
    <row r="3030">
      <c r="S3030">
        <f>IF(ISNUMBER('자료_거시'!$E3012),'자료_거시'!$E3012,S3029)</f>
        <v/>
      </c>
      <c r="T3030">
        <f>IF(AND(ISNUMBER('자료_거시'!$D3012),ISNUMBER('자료_거시'!$E3012)),IFERROR('자료_거시'!$E3012-INDEX($S$21:$S$4020,MATCH(EDATE('자료_거시'!$D3012,-'설정'!$B$17),'자료_거시'!$D$3:INDEX('자료_거시'!$D$3:$D$4002,$K$6),1)),""),"")</f>
        <v/>
      </c>
      <c r="U3030">
        <f>IF(ISNUMBER(T3030),'자료_거시'!$D3012,"")</f>
        <v/>
      </c>
      <c r="V3030">
        <f>IF(ISNUMBER(U3030),IF(U3030&gt;$L$6,T3030,""),"")</f>
        <v/>
      </c>
      <c r="W3030">
        <f>IF(AND(ISNUMBER('자료_거시'!$G3012),ISNUMBER('자료_거시'!$H3012)),'자료_거시'!$H3012,"")</f>
        <v/>
      </c>
      <c r="X3030">
        <f>IF(ISNUMBER(W3030),'자료_거시'!$G3012,"")</f>
        <v/>
      </c>
      <c r="Y3030">
        <f>IF(ISNUMBER(X3030),IF(X3030&gt;$L$7,W3030,""),"")</f>
        <v/>
      </c>
      <c r="Z3030">
        <f>IF(ISNUMBER('자료_거시'!$K3012),'자료_거시'!$K3012,Z3029)</f>
        <v/>
      </c>
      <c r="AA3030">
        <f>IF(AND(ISNUMBER('자료_거시'!$J3012),ISNUMBER('자료_거시'!$K3012)),IFERROR('자료_거시'!$K3012/INDEX($Z$21:$Z$4020,MATCH(EDATE('자료_거시'!$J3012,-'설정'!$B$17),'자료_거시'!$J$3:INDEX('자료_거시'!$J$3:$J$4002,$K$8),1))-1,""),"")</f>
        <v/>
      </c>
      <c r="AB3030">
        <f>IF(ISNUMBER(AA3030),'자료_거시'!$J3012,"")</f>
        <v/>
      </c>
      <c r="AC3030">
        <f>IF(ISNUMBER(AB3030),IF(AB3030&gt;$L$8,AA3030,""),"")</f>
        <v/>
      </c>
    </row>
    <row r="3031">
      <c r="S3031">
        <f>IF(ISNUMBER('자료_거시'!$E3013),'자료_거시'!$E3013,S3030)</f>
        <v/>
      </c>
      <c r="T3031">
        <f>IF(AND(ISNUMBER('자료_거시'!$D3013),ISNUMBER('자료_거시'!$E3013)),IFERROR('자료_거시'!$E3013-INDEX($S$21:$S$4020,MATCH(EDATE('자료_거시'!$D3013,-'설정'!$B$17),'자료_거시'!$D$3:INDEX('자료_거시'!$D$3:$D$4002,$K$6),1)),""),"")</f>
        <v/>
      </c>
      <c r="U3031">
        <f>IF(ISNUMBER(T3031),'자료_거시'!$D3013,"")</f>
        <v/>
      </c>
      <c r="V3031">
        <f>IF(ISNUMBER(U3031),IF(U3031&gt;$L$6,T3031,""),"")</f>
        <v/>
      </c>
      <c r="W3031">
        <f>IF(AND(ISNUMBER('자료_거시'!$G3013),ISNUMBER('자료_거시'!$H3013)),'자료_거시'!$H3013,"")</f>
        <v/>
      </c>
      <c r="X3031">
        <f>IF(ISNUMBER(W3031),'자료_거시'!$G3013,"")</f>
        <v/>
      </c>
      <c r="Y3031">
        <f>IF(ISNUMBER(X3031),IF(X3031&gt;$L$7,W3031,""),"")</f>
        <v/>
      </c>
      <c r="Z3031">
        <f>IF(ISNUMBER('자료_거시'!$K3013),'자료_거시'!$K3013,Z3030)</f>
        <v/>
      </c>
      <c r="AA3031">
        <f>IF(AND(ISNUMBER('자료_거시'!$J3013),ISNUMBER('자료_거시'!$K3013)),IFERROR('자료_거시'!$K3013/INDEX($Z$21:$Z$4020,MATCH(EDATE('자료_거시'!$J3013,-'설정'!$B$17),'자료_거시'!$J$3:INDEX('자료_거시'!$J$3:$J$4002,$K$8),1))-1,""),"")</f>
        <v/>
      </c>
      <c r="AB3031">
        <f>IF(ISNUMBER(AA3031),'자료_거시'!$J3013,"")</f>
        <v/>
      </c>
      <c r="AC3031">
        <f>IF(ISNUMBER(AB3031),IF(AB3031&gt;$L$8,AA3031,""),"")</f>
        <v/>
      </c>
    </row>
    <row r="3032">
      <c r="S3032">
        <f>IF(ISNUMBER('자료_거시'!$E3014),'자료_거시'!$E3014,S3031)</f>
        <v/>
      </c>
      <c r="T3032">
        <f>IF(AND(ISNUMBER('자료_거시'!$D3014),ISNUMBER('자료_거시'!$E3014)),IFERROR('자료_거시'!$E3014-INDEX($S$21:$S$4020,MATCH(EDATE('자료_거시'!$D3014,-'설정'!$B$17),'자료_거시'!$D$3:INDEX('자료_거시'!$D$3:$D$4002,$K$6),1)),""),"")</f>
        <v/>
      </c>
      <c r="U3032">
        <f>IF(ISNUMBER(T3032),'자료_거시'!$D3014,"")</f>
        <v/>
      </c>
      <c r="V3032">
        <f>IF(ISNUMBER(U3032),IF(U3032&gt;$L$6,T3032,""),"")</f>
        <v/>
      </c>
      <c r="W3032">
        <f>IF(AND(ISNUMBER('자료_거시'!$G3014),ISNUMBER('자료_거시'!$H3014)),'자료_거시'!$H3014,"")</f>
        <v/>
      </c>
      <c r="X3032">
        <f>IF(ISNUMBER(W3032),'자료_거시'!$G3014,"")</f>
        <v/>
      </c>
      <c r="Y3032">
        <f>IF(ISNUMBER(X3032),IF(X3032&gt;$L$7,W3032,""),"")</f>
        <v/>
      </c>
      <c r="Z3032">
        <f>IF(ISNUMBER('자료_거시'!$K3014),'자료_거시'!$K3014,Z3031)</f>
        <v/>
      </c>
      <c r="AA3032">
        <f>IF(AND(ISNUMBER('자료_거시'!$J3014),ISNUMBER('자료_거시'!$K3014)),IFERROR('자료_거시'!$K3014/INDEX($Z$21:$Z$4020,MATCH(EDATE('자료_거시'!$J3014,-'설정'!$B$17),'자료_거시'!$J$3:INDEX('자료_거시'!$J$3:$J$4002,$K$8),1))-1,""),"")</f>
        <v/>
      </c>
      <c r="AB3032">
        <f>IF(ISNUMBER(AA3032),'자료_거시'!$J3014,"")</f>
        <v/>
      </c>
      <c r="AC3032">
        <f>IF(ISNUMBER(AB3032),IF(AB3032&gt;$L$8,AA3032,""),"")</f>
        <v/>
      </c>
    </row>
    <row r="3033">
      <c r="S3033">
        <f>IF(ISNUMBER('자료_거시'!$E3015),'자료_거시'!$E3015,S3032)</f>
        <v/>
      </c>
      <c r="T3033">
        <f>IF(AND(ISNUMBER('자료_거시'!$D3015),ISNUMBER('자료_거시'!$E3015)),IFERROR('자료_거시'!$E3015-INDEX($S$21:$S$4020,MATCH(EDATE('자료_거시'!$D3015,-'설정'!$B$17),'자료_거시'!$D$3:INDEX('자료_거시'!$D$3:$D$4002,$K$6),1)),""),"")</f>
        <v/>
      </c>
      <c r="U3033">
        <f>IF(ISNUMBER(T3033),'자료_거시'!$D3015,"")</f>
        <v/>
      </c>
      <c r="V3033">
        <f>IF(ISNUMBER(U3033),IF(U3033&gt;$L$6,T3033,""),"")</f>
        <v/>
      </c>
      <c r="W3033">
        <f>IF(AND(ISNUMBER('자료_거시'!$G3015),ISNUMBER('자료_거시'!$H3015)),'자료_거시'!$H3015,"")</f>
        <v/>
      </c>
      <c r="X3033">
        <f>IF(ISNUMBER(W3033),'자료_거시'!$G3015,"")</f>
        <v/>
      </c>
      <c r="Y3033">
        <f>IF(ISNUMBER(X3033),IF(X3033&gt;$L$7,W3033,""),"")</f>
        <v/>
      </c>
      <c r="Z3033">
        <f>IF(ISNUMBER('자료_거시'!$K3015),'자료_거시'!$K3015,Z3032)</f>
        <v/>
      </c>
      <c r="AA3033">
        <f>IF(AND(ISNUMBER('자료_거시'!$J3015),ISNUMBER('자료_거시'!$K3015)),IFERROR('자료_거시'!$K3015/INDEX($Z$21:$Z$4020,MATCH(EDATE('자료_거시'!$J3015,-'설정'!$B$17),'자료_거시'!$J$3:INDEX('자료_거시'!$J$3:$J$4002,$K$8),1))-1,""),"")</f>
        <v/>
      </c>
      <c r="AB3033">
        <f>IF(ISNUMBER(AA3033),'자료_거시'!$J3015,"")</f>
        <v/>
      </c>
      <c r="AC3033">
        <f>IF(ISNUMBER(AB3033),IF(AB3033&gt;$L$8,AA3033,""),"")</f>
        <v/>
      </c>
    </row>
    <row r="3034">
      <c r="S3034">
        <f>IF(ISNUMBER('자료_거시'!$E3016),'자료_거시'!$E3016,S3033)</f>
        <v/>
      </c>
      <c r="T3034">
        <f>IF(AND(ISNUMBER('자료_거시'!$D3016),ISNUMBER('자료_거시'!$E3016)),IFERROR('자료_거시'!$E3016-INDEX($S$21:$S$4020,MATCH(EDATE('자료_거시'!$D3016,-'설정'!$B$17),'자료_거시'!$D$3:INDEX('자료_거시'!$D$3:$D$4002,$K$6),1)),""),"")</f>
        <v/>
      </c>
      <c r="U3034">
        <f>IF(ISNUMBER(T3034),'자료_거시'!$D3016,"")</f>
        <v/>
      </c>
      <c r="V3034">
        <f>IF(ISNUMBER(U3034),IF(U3034&gt;$L$6,T3034,""),"")</f>
        <v/>
      </c>
      <c r="W3034">
        <f>IF(AND(ISNUMBER('자료_거시'!$G3016),ISNUMBER('자료_거시'!$H3016)),'자료_거시'!$H3016,"")</f>
        <v/>
      </c>
      <c r="X3034">
        <f>IF(ISNUMBER(W3034),'자료_거시'!$G3016,"")</f>
        <v/>
      </c>
      <c r="Y3034">
        <f>IF(ISNUMBER(X3034),IF(X3034&gt;$L$7,W3034,""),"")</f>
        <v/>
      </c>
      <c r="Z3034">
        <f>IF(ISNUMBER('자료_거시'!$K3016),'자료_거시'!$K3016,Z3033)</f>
        <v/>
      </c>
      <c r="AA3034">
        <f>IF(AND(ISNUMBER('자료_거시'!$J3016),ISNUMBER('자료_거시'!$K3016)),IFERROR('자료_거시'!$K3016/INDEX($Z$21:$Z$4020,MATCH(EDATE('자료_거시'!$J3016,-'설정'!$B$17),'자료_거시'!$J$3:INDEX('자료_거시'!$J$3:$J$4002,$K$8),1))-1,""),"")</f>
        <v/>
      </c>
      <c r="AB3034">
        <f>IF(ISNUMBER(AA3034),'자료_거시'!$J3016,"")</f>
        <v/>
      </c>
      <c r="AC3034">
        <f>IF(ISNUMBER(AB3034),IF(AB3034&gt;$L$8,AA3034,""),"")</f>
        <v/>
      </c>
    </row>
    <row r="3035">
      <c r="S3035">
        <f>IF(ISNUMBER('자료_거시'!$E3017),'자료_거시'!$E3017,S3034)</f>
        <v/>
      </c>
      <c r="T3035">
        <f>IF(AND(ISNUMBER('자료_거시'!$D3017),ISNUMBER('자료_거시'!$E3017)),IFERROR('자료_거시'!$E3017-INDEX($S$21:$S$4020,MATCH(EDATE('자료_거시'!$D3017,-'설정'!$B$17),'자료_거시'!$D$3:INDEX('자료_거시'!$D$3:$D$4002,$K$6),1)),""),"")</f>
        <v/>
      </c>
      <c r="U3035">
        <f>IF(ISNUMBER(T3035),'자료_거시'!$D3017,"")</f>
        <v/>
      </c>
      <c r="V3035">
        <f>IF(ISNUMBER(U3035),IF(U3035&gt;$L$6,T3035,""),"")</f>
        <v/>
      </c>
      <c r="W3035">
        <f>IF(AND(ISNUMBER('자료_거시'!$G3017),ISNUMBER('자료_거시'!$H3017)),'자료_거시'!$H3017,"")</f>
        <v/>
      </c>
      <c r="X3035">
        <f>IF(ISNUMBER(W3035),'자료_거시'!$G3017,"")</f>
        <v/>
      </c>
      <c r="Y3035">
        <f>IF(ISNUMBER(X3035),IF(X3035&gt;$L$7,W3035,""),"")</f>
        <v/>
      </c>
      <c r="Z3035">
        <f>IF(ISNUMBER('자료_거시'!$K3017),'자료_거시'!$K3017,Z3034)</f>
        <v/>
      </c>
      <c r="AA3035">
        <f>IF(AND(ISNUMBER('자료_거시'!$J3017),ISNUMBER('자료_거시'!$K3017)),IFERROR('자료_거시'!$K3017/INDEX($Z$21:$Z$4020,MATCH(EDATE('자료_거시'!$J3017,-'설정'!$B$17),'자료_거시'!$J$3:INDEX('자료_거시'!$J$3:$J$4002,$K$8),1))-1,""),"")</f>
        <v/>
      </c>
      <c r="AB3035">
        <f>IF(ISNUMBER(AA3035),'자료_거시'!$J3017,"")</f>
        <v/>
      </c>
      <c r="AC3035">
        <f>IF(ISNUMBER(AB3035),IF(AB3035&gt;$L$8,AA3035,""),"")</f>
        <v/>
      </c>
    </row>
    <row r="3036">
      <c r="S3036">
        <f>IF(ISNUMBER('자료_거시'!$E3018),'자료_거시'!$E3018,S3035)</f>
        <v/>
      </c>
      <c r="T3036">
        <f>IF(AND(ISNUMBER('자료_거시'!$D3018),ISNUMBER('자료_거시'!$E3018)),IFERROR('자료_거시'!$E3018-INDEX($S$21:$S$4020,MATCH(EDATE('자료_거시'!$D3018,-'설정'!$B$17),'자료_거시'!$D$3:INDEX('자료_거시'!$D$3:$D$4002,$K$6),1)),""),"")</f>
        <v/>
      </c>
      <c r="U3036">
        <f>IF(ISNUMBER(T3036),'자료_거시'!$D3018,"")</f>
        <v/>
      </c>
      <c r="V3036">
        <f>IF(ISNUMBER(U3036),IF(U3036&gt;$L$6,T3036,""),"")</f>
        <v/>
      </c>
      <c r="W3036">
        <f>IF(AND(ISNUMBER('자료_거시'!$G3018),ISNUMBER('자료_거시'!$H3018)),'자료_거시'!$H3018,"")</f>
        <v/>
      </c>
      <c r="X3036">
        <f>IF(ISNUMBER(W3036),'자료_거시'!$G3018,"")</f>
        <v/>
      </c>
      <c r="Y3036">
        <f>IF(ISNUMBER(X3036),IF(X3036&gt;$L$7,W3036,""),"")</f>
        <v/>
      </c>
      <c r="Z3036">
        <f>IF(ISNUMBER('자료_거시'!$K3018),'자료_거시'!$K3018,Z3035)</f>
        <v/>
      </c>
      <c r="AA3036">
        <f>IF(AND(ISNUMBER('자료_거시'!$J3018),ISNUMBER('자료_거시'!$K3018)),IFERROR('자료_거시'!$K3018/INDEX($Z$21:$Z$4020,MATCH(EDATE('자료_거시'!$J3018,-'설정'!$B$17),'자료_거시'!$J$3:INDEX('자료_거시'!$J$3:$J$4002,$K$8),1))-1,""),"")</f>
        <v/>
      </c>
      <c r="AB3036">
        <f>IF(ISNUMBER(AA3036),'자료_거시'!$J3018,"")</f>
        <v/>
      </c>
      <c r="AC3036">
        <f>IF(ISNUMBER(AB3036),IF(AB3036&gt;$L$8,AA3036,""),"")</f>
        <v/>
      </c>
    </row>
    <row r="3037">
      <c r="S3037">
        <f>IF(ISNUMBER('자료_거시'!$E3019),'자료_거시'!$E3019,S3036)</f>
        <v/>
      </c>
      <c r="T3037">
        <f>IF(AND(ISNUMBER('자료_거시'!$D3019),ISNUMBER('자료_거시'!$E3019)),IFERROR('자료_거시'!$E3019-INDEX($S$21:$S$4020,MATCH(EDATE('자료_거시'!$D3019,-'설정'!$B$17),'자료_거시'!$D$3:INDEX('자료_거시'!$D$3:$D$4002,$K$6),1)),""),"")</f>
        <v/>
      </c>
      <c r="U3037">
        <f>IF(ISNUMBER(T3037),'자료_거시'!$D3019,"")</f>
        <v/>
      </c>
      <c r="V3037">
        <f>IF(ISNUMBER(U3037),IF(U3037&gt;$L$6,T3037,""),"")</f>
        <v/>
      </c>
      <c r="W3037">
        <f>IF(AND(ISNUMBER('자료_거시'!$G3019),ISNUMBER('자료_거시'!$H3019)),'자료_거시'!$H3019,"")</f>
        <v/>
      </c>
      <c r="X3037">
        <f>IF(ISNUMBER(W3037),'자료_거시'!$G3019,"")</f>
        <v/>
      </c>
      <c r="Y3037">
        <f>IF(ISNUMBER(X3037),IF(X3037&gt;$L$7,W3037,""),"")</f>
        <v/>
      </c>
      <c r="Z3037">
        <f>IF(ISNUMBER('자료_거시'!$K3019),'자료_거시'!$K3019,Z3036)</f>
        <v/>
      </c>
      <c r="AA3037">
        <f>IF(AND(ISNUMBER('자료_거시'!$J3019),ISNUMBER('자료_거시'!$K3019)),IFERROR('자료_거시'!$K3019/INDEX($Z$21:$Z$4020,MATCH(EDATE('자료_거시'!$J3019,-'설정'!$B$17),'자료_거시'!$J$3:INDEX('자료_거시'!$J$3:$J$4002,$K$8),1))-1,""),"")</f>
        <v/>
      </c>
      <c r="AB3037">
        <f>IF(ISNUMBER(AA3037),'자료_거시'!$J3019,"")</f>
        <v/>
      </c>
      <c r="AC3037">
        <f>IF(ISNUMBER(AB3037),IF(AB3037&gt;$L$8,AA3037,""),"")</f>
        <v/>
      </c>
    </row>
    <row r="3038">
      <c r="S3038">
        <f>IF(ISNUMBER('자료_거시'!$E3020),'자료_거시'!$E3020,S3037)</f>
        <v/>
      </c>
      <c r="T3038">
        <f>IF(AND(ISNUMBER('자료_거시'!$D3020),ISNUMBER('자료_거시'!$E3020)),IFERROR('자료_거시'!$E3020-INDEX($S$21:$S$4020,MATCH(EDATE('자료_거시'!$D3020,-'설정'!$B$17),'자료_거시'!$D$3:INDEX('자료_거시'!$D$3:$D$4002,$K$6),1)),""),"")</f>
        <v/>
      </c>
      <c r="U3038">
        <f>IF(ISNUMBER(T3038),'자료_거시'!$D3020,"")</f>
        <v/>
      </c>
      <c r="V3038">
        <f>IF(ISNUMBER(U3038),IF(U3038&gt;$L$6,T3038,""),"")</f>
        <v/>
      </c>
      <c r="W3038">
        <f>IF(AND(ISNUMBER('자료_거시'!$G3020),ISNUMBER('자료_거시'!$H3020)),'자료_거시'!$H3020,"")</f>
        <v/>
      </c>
      <c r="X3038">
        <f>IF(ISNUMBER(W3038),'자료_거시'!$G3020,"")</f>
        <v/>
      </c>
      <c r="Y3038">
        <f>IF(ISNUMBER(X3038),IF(X3038&gt;$L$7,W3038,""),"")</f>
        <v/>
      </c>
      <c r="Z3038">
        <f>IF(ISNUMBER('자료_거시'!$K3020),'자료_거시'!$K3020,Z3037)</f>
        <v/>
      </c>
      <c r="AA3038">
        <f>IF(AND(ISNUMBER('자료_거시'!$J3020),ISNUMBER('자료_거시'!$K3020)),IFERROR('자료_거시'!$K3020/INDEX($Z$21:$Z$4020,MATCH(EDATE('자료_거시'!$J3020,-'설정'!$B$17),'자료_거시'!$J$3:INDEX('자료_거시'!$J$3:$J$4002,$K$8),1))-1,""),"")</f>
        <v/>
      </c>
      <c r="AB3038">
        <f>IF(ISNUMBER(AA3038),'자료_거시'!$J3020,"")</f>
        <v/>
      </c>
      <c r="AC3038">
        <f>IF(ISNUMBER(AB3038),IF(AB3038&gt;$L$8,AA3038,""),"")</f>
        <v/>
      </c>
    </row>
    <row r="3039">
      <c r="S3039">
        <f>IF(ISNUMBER('자료_거시'!$E3021),'자료_거시'!$E3021,S3038)</f>
        <v/>
      </c>
      <c r="T3039">
        <f>IF(AND(ISNUMBER('자료_거시'!$D3021),ISNUMBER('자료_거시'!$E3021)),IFERROR('자료_거시'!$E3021-INDEX($S$21:$S$4020,MATCH(EDATE('자료_거시'!$D3021,-'설정'!$B$17),'자료_거시'!$D$3:INDEX('자료_거시'!$D$3:$D$4002,$K$6),1)),""),"")</f>
        <v/>
      </c>
      <c r="U3039">
        <f>IF(ISNUMBER(T3039),'자료_거시'!$D3021,"")</f>
        <v/>
      </c>
      <c r="V3039">
        <f>IF(ISNUMBER(U3039),IF(U3039&gt;$L$6,T3039,""),"")</f>
        <v/>
      </c>
      <c r="W3039">
        <f>IF(AND(ISNUMBER('자료_거시'!$G3021),ISNUMBER('자료_거시'!$H3021)),'자료_거시'!$H3021,"")</f>
        <v/>
      </c>
      <c r="X3039">
        <f>IF(ISNUMBER(W3039),'자료_거시'!$G3021,"")</f>
        <v/>
      </c>
      <c r="Y3039">
        <f>IF(ISNUMBER(X3039),IF(X3039&gt;$L$7,W3039,""),"")</f>
        <v/>
      </c>
      <c r="Z3039">
        <f>IF(ISNUMBER('자료_거시'!$K3021),'자료_거시'!$K3021,Z3038)</f>
        <v/>
      </c>
      <c r="AA3039">
        <f>IF(AND(ISNUMBER('자료_거시'!$J3021),ISNUMBER('자료_거시'!$K3021)),IFERROR('자료_거시'!$K3021/INDEX($Z$21:$Z$4020,MATCH(EDATE('자료_거시'!$J3021,-'설정'!$B$17),'자료_거시'!$J$3:INDEX('자료_거시'!$J$3:$J$4002,$K$8),1))-1,""),"")</f>
        <v/>
      </c>
      <c r="AB3039">
        <f>IF(ISNUMBER(AA3039),'자료_거시'!$J3021,"")</f>
        <v/>
      </c>
      <c r="AC3039">
        <f>IF(ISNUMBER(AB3039),IF(AB3039&gt;$L$8,AA3039,""),"")</f>
        <v/>
      </c>
    </row>
    <row r="3040">
      <c r="S3040">
        <f>IF(ISNUMBER('자료_거시'!$E3022),'자료_거시'!$E3022,S3039)</f>
        <v/>
      </c>
      <c r="T3040">
        <f>IF(AND(ISNUMBER('자료_거시'!$D3022),ISNUMBER('자료_거시'!$E3022)),IFERROR('자료_거시'!$E3022-INDEX($S$21:$S$4020,MATCH(EDATE('자료_거시'!$D3022,-'설정'!$B$17),'자료_거시'!$D$3:INDEX('자료_거시'!$D$3:$D$4002,$K$6),1)),""),"")</f>
        <v/>
      </c>
      <c r="U3040">
        <f>IF(ISNUMBER(T3040),'자료_거시'!$D3022,"")</f>
        <v/>
      </c>
      <c r="V3040">
        <f>IF(ISNUMBER(U3040),IF(U3040&gt;$L$6,T3040,""),"")</f>
        <v/>
      </c>
      <c r="W3040">
        <f>IF(AND(ISNUMBER('자료_거시'!$G3022),ISNUMBER('자료_거시'!$H3022)),'자료_거시'!$H3022,"")</f>
        <v/>
      </c>
      <c r="X3040">
        <f>IF(ISNUMBER(W3040),'자료_거시'!$G3022,"")</f>
        <v/>
      </c>
      <c r="Y3040">
        <f>IF(ISNUMBER(X3040),IF(X3040&gt;$L$7,W3040,""),"")</f>
        <v/>
      </c>
      <c r="Z3040">
        <f>IF(ISNUMBER('자료_거시'!$K3022),'자료_거시'!$K3022,Z3039)</f>
        <v/>
      </c>
      <c r="AA3040">
        <f>IF(AND(ISNUMBER('자료_거시'!$J3022),ISNUMBER('자료_거시'!$K3022)),IFERROR('자료_거시'!$K3022/INDEX($Z$21:$Z$4020,MATCH(EDATE('자료_거시'!$J3022,-'설정'!$B$17),'자료_거시'!$J$3:INDEX('자료_거시'!$J$3:$J$4002,$K$8),1))-1,""),"")</f>
        <v/>
      </c>
      <c r="AB3040">
        <f>IF(ISNUMBER(AA3040),'자료_거시'!$J3022,"")</f>
        <v/>
      </c>
      <c r="AC3040">
        <f>IF(ISNUMBER(AB3040),IF(AB3040&gt;$L$8,AA3040,""),"")</f>
        <v/>
      </c>
    </row>
    <row r="3041">
      <c r="S3041">
        <f>IF(ISNUMBER('자료_거시'!$E3023),'자료_거시'!$E3023,S3040)</f>
        <v/>
      </c>
      <c r="T3041">
        <f>IF(AND(ISNUMBER('자료_거시'!$D3023),ISNUMBER('자료_거시'!$E3023)),IFERROR('자료_거시'!$E3023-INDEX($S$21:$S$4020,MATCH(EDATE('자료_거시'!$D3023,-'설정'!$B$17),'자료_거시'!$D$3:INDEX('자료_거시'!$D$3:$D$4002,$K$6),1)),""),"")</f>
        <v/>
      </c>
      <c r="U3041">
        <f>IF(ISNUMBER(T3041),'자료_거시'!$D3023,"")</f>
        <v/>
      </c>
      <c r="V3041">
        <f>IF(ISNUMBER(U3041),IF(U3041&gt;$L$6,T3041,""),"")</f>
        <v/>
      </c>
      <c r="W3041">
        <f>IF(AND(ISNUMBER('자료_거시'!$G3023),ISNUMBER('자료_거시'!$H3023)),'자료_거시'!$H3023,"")</f>
        <v/>
      </c>
      <c r="X3041">
        <f>IF(ISNUMBER(W3041),'자료_거시'!$G3023,"")</f>
        <v/>
      </c>
      <c r="Y3041">
        <f>IF(ISNUMBER(X3041),IF(X3041&gt;$L$7,W3041,""),"")</f>
        <v/>
      </c>
      <c r="Z3041">
        <f>IF(ISNUMBER('자료_거시'!$K3023),'자료_거시'!$K3023,Z3040)</f>
        <v/>
      </c>
      <c r="AA3041">
        <f>IF(AND(ISNUMBER('자료_거시'!$J3023),ISNUMBER('자료_거시'!$K3023)),IFERROR('자료_거시'!$K3023/INDEX($Z$21:$Z$4020,MATCH(EDATE('자료_거시'!$J3023,-'설정'!$B$17),'자료_거시'!$J$3:INDEX('자료_거시'!$J$3:$J$4002,$K$8),1))-1,""),"")</f>
        <v/>
      </c>
      <c r="AB3041">
        <f>IF(ISNUMBER(AA3041),'자료_거시'!$J3023,"")</f>
        <v/>
      </c>
      <c r="AC3041">
        <f>IF(ISNUMBER(AB3041),IF(AB3041&gt;$L$8,AA3041,""),"")</f>
        <v/>
      </c>
    </row>
    <row r="3042">
      <c r="S3042">
        <f>IF(ISNUMBER('자료_거시'!$E3024),'자료_거시'!$E3024,S3041)</f>
        <v/>
      </c>
      <c r="T3042">
        <f>IF(AND(ISNUMBER('자료_거시'!$D3024),ISNUMBER('자료_거시'!$E3024)),IFERROR('자료_거시'!$E3024-INDEX($S$21:$S$4020,MATCH(EDATE('자료_거시'!$D3024,-'설정'!$B$17),'자료_거시'!$D$3:INDEX('자료_거시'!$D$3:$D$4002,$K$6),1)),""),"")</f>
        <v/>
      </c>
      <c r="U3042">
        <f>IF(ISNUMBER(T3042),'자료_거시'!$D3024,"")</f>
        <v/>
      </c>
      <c r="V3042">
        <f>IF(ISNUMBER(U3042),IF(U3042&gt;$L$6,T3042,""),"")</f>
        <v/>
      </c>
      <c r="W3042">
        <f>IF(AND(ISNUMBER('자료_거시'!$G3024),ISNUMBER('자료_거시'!$H3024)),'자료_거시'!$H3024,"")</f>
        <v/>
      </c>
      <c r="X3042">
        <f>IF(ISNUMBER(W3042),'자료_거시'!$G3024,"")</f>
        <v/>
      </c>
      <c r="Y3042">
        <f>IF(ISNUMBER(X3042),IF(X3042&gt;$L$7,W3042,""),"")</f>
        <v/>
      </c>
      <c r="Z3042">
        <f>IF(ISNUMBER('자료_거시'!$K3024),'자료_거시'!$K3024,Z3041)</f>
        <v/>
      </c>
      <c r="AA3042">
        <f>IF(AND(ISNUMBER('자료_거시'!$J3024),ISNUMBER('자료_거시'!$K3024)),IFERROR('자료_거시'!$K3024/INDEX($Z$21:$Z$4020,MATCH(EDATE('자료_거시'!$J3024,-'설정'!$B$17),'자료_거시'!$J$3:INDEX('자료_거시'!$J$3:$J$4002,$K$8),1))-1,""),"")</f>
        <v/>
      </c>
      <c r="AB3042">
        <f>IF(ISNUMBER(AA3042),'자료_거시'!$J3024,"")</f>
        <v/>
      </c>
      <c r="AC3042">
        <f>IF(ISNUMBER(AB3042),IF(AB3042&gt;$L$8,AA3042,""),"")</f>
        <v/>
      </c>
    </row>
    <row r="3043">
      <c r="S3043">
        <f>IF(ISNUMBER('자료_거시'!$E3025),'자료_거시'!$E3025,S3042)</f>
        <v/>
      </c>
      <c r="T3043">
        <f>IF(AND(ISNUMBER('자료_거시'!$D3025),ISNUMBER('자료_거시'!$E3025)),IFERROR('자료_거시'!$E3025-INDEX($S$21:$S$4020,MATCH(EDATE('자료_거시'!$D3025,-'설정'!$B$17),'자료_거시'!$D$3:INDEX('자료_거시'!$D$3:$D$4002,$K$6),1)),""),"")</f>
        <v/>
      </c>
      <c r="U3043">
        <f>IF(ISNUMBER(T3043),'자료_거시'!$D3025,"")</f>
        <v/>
      </c>
      <c r="V3043">
        <f>IF(ISNUMBER(U3043),IF(U3043&gt;$L$6,T3043,""),"")</f>
        <v/>
      </c>
      <c r="W3043">
        <f>IF(AND(ISNUMBER('자료_거시'!$G3025),ISNUMBER('자료_거시'!$H3025)),'자료_거시'!$H3025,"")</f>
        <v/>
      </c>
      <c r="X3043">
        <f>IF(ISNUMBER(W3043),'자료_거시'!$G3025,"")</f>
        <v/>
      </c>
      <c r="Y3043">
        <f>IF(ISNUMBER(X3043),IF(X3043&gt;$L$7,W3043,""),"")</f>
        <v/>
      </c>
      <c r="Z3043">
        <f>IF(ISNUMBER('자료_거시'!$K3025),'자료_거시'!$K3025,Z3042)</f>
        <v/>
      </c>
      <c r="AA3043">
        <f>IF(AND(ISNUMBER('자료_거시'!$J3025),ISNUMBER('자료_거시'!$K3025)),IFERROR('자료_거시'!$K3025/INDEX($Z$21:$Z$4020,MATCH(EDATE('자료_거시'!$J3025,-'설정'!$B$17),'자료_거시'!$J$3:INDEX('자료_거시'!$J$3:$J$4002,$K$8),1))-1,""),"")</f>
        <v/>
      </c>
      <c r="AB3043">
        <f>IF(ISNUMBER(AA3043),'자료_거시'!$J3025,"")</f>
        <v/>
      </c>
      <c r="AC3043">
        <f>IF(ISNUMBER(AB3043),IF(AB3043&gt;$L$8,AA3043,""),"")</f>
        <v/>
      </c>
    </row>
    <row r="3044">
      <c r="S3044">
        <f>IF(ISNUMBER('자료_거시'!$E3026),'자료_거시'!$E3026,S3043)</f>
        <v/>
      </c>
      <c r="T3044">
        <f>IF(AND(ISNUMBER('자료_거시'!$D3026),ISNUMBER('자료_거시'!$E3026)),IFERROR('자료_거시'!$E3026-INDEX($S$21:$S$4020,MATCH(EDATE('자료_거시'!$D3026,-'설정'!$B$17),'자료_거시'!$D$3:INDEX('자료_거시'!$D$3:$D$4002,$K$6),1)),""),"")</f>
        <v/>
      </c>
      <c r="U3044">
        <f>IF(ISNUMBER(T3044),'자료_거시'!$D3026,"")</f>
        <v/>
      </c>
      <c r="V3044">
        <f>IF(ISNUMBER(U3044),IF(U3044&gt;$L$6,T3044,""),"")</f>
        <v/>
      </c>
      <c r="W3044">
        <f>IF(AND(ISNUMBER('자료_거시'!$G3026),ISNUMBER('자료_거시'!$H3026)),'자료_거시'!$H3026,"")</f>
        <v/>
      </c>
      <c r="X3044">
        <f>IF(ISNUMBER(W3044),'자료_거시'!$G3026,"")</f>
        <v/>
      </c>
      <c r="Y3044">
        <f>IF(ISNUMBER(X3044),IF(X3044&gt;$L$7,W3044,""),"")</f>
        <v/>
      </c>
      <c r="Z3044">
        <f>IF(ISNUMBER('자료_거시'!$K3026),'자료_거시'!$K3026,Z3043)</f>
        <v/>
      </c>
      <c r="AA3044">
        <f>IF(AND(ISNUMBER('자료_거시'!$J3026),ISNUMBER('자료_거시'!$K3026)),IFERROR('자료_거시'!$K3026/INDEX($Z$21:$Z$4020,MATCH(EDATE('자료_거시'!$J3026,-'설정'!$B$17),'자료_거시'!$J$3:INDEX('자료_거시'!$J$3:$J$4002,$K$8),1))-1,""),"")</f>
        <v/>
      </c>
      <c r="AB3044">
        <f>IF(ISNUMBER(AA3044),'자료_거시'!$J3026,"")</f>
        <v/>
      </c>
      <c r="AC3044">
        <f>IF(ISNUMBER(AB3044),IF(AB3044&gt;$L$8,AA3044,""),"")</f>
        <v/>
      </c>
    </row>
    <row r="3045">
      <c r="S3045">
        <f>IF(ISNUMBER('자료_거시'!$E3027),'자료_거시'!$E3027,S3044)</f>
        <v/>
      </c>
      <c r="T3045">
        <f>IF(AND(ISNUMBER('자료_거시'!$D3027),ISNUMBER('자료_거시'!$E3027)),IFERROR('자료_거시'!$E3027-INDEX($S$21:$S$4020,MATCH(EDATE('자료_거시'!$D3027,-'설정'!$B$17),'자료_거시'!$D$3:INDEX('자료_거시'!$D$3:$D$4002,$K$6),1)),""),"")</f>
        <v/>
      </c>
      <c r="U3045">
        <f>IF(ISNUMBER(T3045),'자료_거시'!$D3027,"")</f>
        <v/>
      </c>
      <c r="V3045">
        <f>IF(ISNUMBER(U3045),IF(U3045&gt;$L$6,T3045,""),"")</f>
        <v/>
      </c>
      <c r="W3045">
        <f>IF(AND(ISNUMBER('자료_거시'!$G3027),ISNUMBER('자료_거시'!$H3027)),'자료_거시'!$H3027,"")</f>
        <v/>
      </c>
      <c r="X3045">
        <f>IF(ISNUMBER(W3045),'자료_거시'!$G3027,"")</f>
        <v/>
      </c>
      <c r="Y3045">
        <f>IF(ISNUMBER(X3045),IF(X3045&gt;$L$7,W3045,""),"")</f>
        <v/>
      </c>
      <c r="Z3045">
        <f>IF(ISNUMBER('자료_거시'!$K3027),'자료_거시'!$K3027,Z3044)</f>
        <v/>
      </c>
      <c r="AA3045">
        <f>IF(AND(ISNUMBER('자료_거시'!$J3027),ISNUMBER('자료_거시'!$K3027)),IFERROR('자료_거시'!$K3027/INDEX($Z$21:$Z$4020,MATCH(EDATE('자료_거시'!$J3027,-'설정'!$B$17),'자료_거시'!$J$3:INDEX('자료_거시'!$J$3:$J$4002,$K$8),1))-1,""),"")</f>
        <v/>
      </c>
      <c r="AB3045">
        <f>IF(ISNUMBER(AA3045),'자료_거시'!$J3027,"")</f>
        <v/>
      </c>
      <c r="AC3045">
        <f>IF(ISNUMBER(AB3045),IF(AB3045&gt;$L$8,AA3045,""),"")</f>
        <v/>
      </c>
    </row>
    <row r="3046">
      <c r="S3046">
        <f>IF(ISNUMBER('자료_거시'!$E3028),'자료_거시'!$E3028,S3045)</f>
        <v/>
      </c>
      <c r="T3046">
        <f>IF(AND(ISNUMBER('자료_거시'!$D3028),ISNUMBER('자료_거시'!$E3028)),IFERROR('자료_거시'!$E3028-INDEX($S$21:$S$4020,MATCH(EDATE('자료_거시'!$D3028,-'설정'!$B$17),'자료_거시'!$D$3:INDEX('자료_거시'!$D$3:$D$4002,$K$6),1)),""),"")</f>
        <v/>
      </c>
      <c r="U3046">
        <f>IF(ISNUMBER(T3046),'자료_거시'!$D3028,"")</f>
        <v/>
      </c>
      <c r="V3046">
        <f>IF(ISNUMBER(U3046),IF(U3046&gt;$L$6,T3046,""),"")</f>
        <v/>
      </c>
      <c r="W3046">
        <f>IF(AND(ISNUMBER('자료_거시'!$G3028),ISNUMBER('자료_거시'!$H3028)),'자료_거시'!$H3028,"")</f>
        <v/>
      </c>
      <c r="X3046">
        <f>IF(ISNUMBER(W3046),'자료_거시'!$G3028,"")</f>
        <v/>
      </c>
      <c r="Y3046">
        <f>IF(ISNUMBER(X3046),IF(X3046&gt;$L$7,W3046,""),"")</f>
        <v/>
      </c>
      <c r="Z3046">
        <f>IF(ISNUMBER('자료_거시'!$K3028),'자료_거시'!$K3028,Z3045)</f>
        <v/>
      </c>
      <c r="AA3046">
        <f>IF(AND(ISNUMBER('자료_거시'!$J3028),ISNUMBER('자료_거시'!$K3028)),IFERROR('자료_거시'!$K3028/INDEX($Z$21:$Z$4020,MATCH(EDATE('자료_거시'!$J3028,-'설정'!$B$17),'자료_거시'!$J$3:INDEX('자료_거시'!$J$3:$J$4002,$K$8),1))-1,""),"")</f>
        <v/>
      </c>
      <c r="AB3046">
        <f>IF(ISNUMBER(AA3046),'자료_거시'!$J3028,"")</f>
        <v/>
      </c>
      <c r="AC3046">
        <f>IF(ISNUMBER(AB3046),IF(AB3046&gt;$L$8,AA3046,""),"")</f>
        <v/>
      </c>
    </row>
    <row r="3047">
      <c r="S3047">
        <f>IF(ISNUMBER('자료_거시'!$E3029),'자료_거시'!$E3029,S3046)</f>
        <v/>
      </c>
      <c r="T3047">
        <f>IF(AND(ISNUMBER('자료_거시'!$D3029),ISNUMBER('자료_거시'!$E3029)),IFERROR('자료_거시'!$E3029-INDEX($S$21:$S$4020,MATCH(EDATE('자료_거시'!$D3029,-'설정'!$B$17),'자료_거시'!$D$3:INDEX('자료_거시'!$D$3:$D$4002,$K$6),1)),""),"")</f>
        <v/>
      </c>
      <c r="U3047">
        <f>IF(ISNUMBER(T3047),'자료_거시'!$D3029,"")</f>
        <v/>
      </c>
      <c r="V3047">
        <f>IF(ISNUMBER(U3047),IF(U3047&gt;$L$6,T3047,""),"")</f>
        <v/>
      </c>
      <c r="W3047">
        <f>IF(AND(ISNUMBER('자료_거시'!$G3029),ISNUMBER('자료_거시'!$H3029)),'자료_거시'!$H3029,"")</f>
        <v/>
      </c>
      <c r="X3047">
        <f>IF(ISNUMBER(W3047),'자료_거시'!$G3029,"")</f>
        <v/>
      </c>
      <c r="Y3047">
        <f>IF(ISNUMBER(X3047),IF(X3047&gt;$L$7,W3047,""),"")</f>
        <v/>
      </c>
      <c r="Z3047">
        <f>IF(ISNUMBER('자료_거시'!$K3029),'자료_거시'!$K3029,Z3046)</f>
        <v/>
      </c>
      <c r="AA3047">
        <f>IF(AND(ISNUMBER('자료_거시'!$J3029),ISNUMBER('자료_거시'!$K3029)),IFERROR('자료_거시'!$K3029/INDEX($Z$21:$Z$4020,MATCH(EDATE('자료_거시'!$J3029,-'설정'!$B$17),'자료_거시'!$J$3:INDEX('자료_거시'!$J$3:$J$4002,$K$8),1))-1,""),"")</f>
        <v/>
      </c>
      <c r="AB3047">
        <f>IF(ISNUMBER(AA3047),'자료_거시'!$J3029,"")</f>
        <v/>
      </c>
      <c r="AC3047">
        <f>IF(ISNUMBER(AB3047),IF(AB3047&gt;$L$8,AA3047,""),"")</f>
        <v/>
      </c>
    </row>
    <row r="3048">
      <c r="S3048">
        <f>IF(ISNUMBER('자료_거시'!$E3030),'자료_거시'!$E3030,S3047)</f>
        <v/>
      </c>
      <c r="T3048">
        <f>IF(AND(ISNUMBER('자료_거시'!$D3030),ISNUMBER('자료_거시'!$E3030)),IFERROR('자료_거시'!$E3030-INDEX($S$21:$S$4020,MATCH(EDATE('자료_거시'!$D3030,-'설정'!$B$17),'자료_거시'!$D$3:INDEX('자료_거시'!$D$3:$D$4002,$K$6),1)),""),"")</f>
        <v/>
      </c>
      <c r="U3048">
        <f>IF(ISNUMBER(T3048),'자료_거시'!$D3030,"")</f>
        <v/>
      </c>
      <c r="V3048">
        <f>IF(ISNUMBER(U3048),IF(U3048&gt;$L$6,T3048,""),"")</f>
        <v/>
      </c>
      <c r="W3048">
        <f>IF(AND(ISNUMBER('자료_거시'!$G3030),ISNUMBER('자료_거시'!$H3030)),'자료_거시'!$H3030,"")</f>
        <v/>
      </c>
      <c r="X3048">
        <f>IF(ISNUMBER(W3048),'자료_거시'!$G3030,"")</f>
        <v/>
      </c>
      <c r="Y3048">
        <f>IF(ISNUMBER(X3048),IF(X3048&gt;$L$7,W3048,""),"")</f>
        <v/>
      </c>
      <c r="Z3048">
        <f>IF(ISNUMBER('자료_거시'!$K3030),'자료_거시'!$K3030,Z3047)</f>
        <v/>
      </c>
      <c r="AA3048">
        <f>IF(AND(ISNUMBER('자료_거시'!$J3030),ISNUMBER('자료_거시'!$K3030)),IFERROR('자료_거시'!$K3030/INDEX($Z$21:$Z$4020,MATCH(EDATE('자료_거시'!$J3030,-'설정'!$B$17),'자료_거시'!$J$3:INDEX('자료_거시'!$J$3:$J$4002,$K$8),1))-1,""),"")</f>
        <v/>
      </c>
      <c r="AB3048">
        <f>IF(ISNUMBER(AA3048),'자료_거시'!$J3030,"")</f>
        <v/>
      </c>
      <c r="AC3048">
        <f>IF(ISNUMBER(AB3048),IF(AB3048&gt;$L$8,AA3048,""),"")</f>
        <v/>
      </c>
    </row>
    <row r="3049">
      <c r="S3049">
        <f>IF(ISNUMBER('자료_거시'!$E3031),'자료_거시'!$E3031,S3048)</f>
        <v/>
      </c>
      <c r="T3049">
        <f>IF(AND(ISNUMBER('자료_거시'!$D3031),ISNUMBER('자료_거시'!$E3031)),IFERROR('자료_거시'!$E3031-INDEX($S$21:$S$4020,MATCH(EDATE('자료_거시'!$D3031,-'설정'!$B$17),'자료_거시'!$D$3:INDEX('자료_거시'!$D$3:$D$4002,$K$6),1)),""),"")</f>
        <v/>
      </c>
      <c r="U3049">
        <f>IF(ISNUMBER(T3049),'자료_거시'!$D3031,"")</f>
        <v/>
      </c>
      <c r="V3049">
        <f>IF(ISNUMBER(U3049),IF(U3049&gt;$L$6,T3049,""),"")</f>
        <v/>
      </c>
      <c r="W3049">
        <f>IF(AND(ISNUMBER('자료_거시'!$G3031),ISNUMBER('자료_거시'!$H3031)),'자료_거시'!$H3031,"")</f>
        <v/>
      </c>
      <c r="X3049">
        <f>IF(ISNUMBER(W3049),'자료_거시'!$G3031,"")</f>
        <v/>
      </c>
      <c r="Y3049">
        <f>IF(ISNUMBER(X3049),IF(X3049&gt;$L$7,W3049,""),"")</f>
        <v/>
      </c>
      <c r="Z3049">
        <f>IF(ISNUMBER('자료_거시'!$K3031),'자료_거시'!$K3031,Z3048)</f>
        <v/>
      </c>
      <c r="AA3049">
        <f>IF(AND(ISNUMBER('자료_거시'!$J3031),ISNUMBER('자료_거시'!$K3031)),IFERROR('자료_거시'!$K3031/INDEX($Z$21:$Z$4020,MATCH(EDATE('자료_거시'!$J3031,-'설정'!$B$17),'자료_거시'!$J$3:INDEX('자료_거시'!$J$3:$J$4002,$K$8),1))-1,""),"")</f>
        <v/>
      </c>
      <c r="AB3049">
        <f>IF(ISNUMBER(AA3049),'자료_거시'!$J3031,"")</f>
        <v/>
      </c>
      <c r="AC3049">
        <f>IF(ISNUMBER(AB3049),IF(AB3049&gt;$L$8,AA3049,""),"")</f>
        <v/>
      </c>
    </row>
    <row r="3050">
      <c r="S3050">
        <f>IF(ISNUMBER('자료_거시'!$E3032),'자료_거시'!$E3032,S3049)</f>
        <v/>
      </c>
      <c r="T3050">
        <f>IF(AND(ISNUMBER('자료_거시'!$D3032),ISNUMBER('자료_거시'!$E3032)),IFERROR('자료_거시'!$E3032-INDEX($S$21:$S$4020,MATCH(EDATE('자료_거시'!$D3032,-'설정'!$B$17),'자료_거시'!$D$3:INDEX('자료_거시'!$D$3:$D$4002,$K$6),1)),""),"")</f>
        <v/>
      </c>
      <c r="U3050">
        <f>IF(ISNUMBER(T3050),'자료_거시'!$D3032,"")</f>
        <v/>
      </c>
      <c r="V3050">
        <f>IF(ISNUMBER(U3050),IF(U3050&gt;$L$6,T3050,""),"")</f>
        <v/>
      </c>
      <c r="W3050">
        <f>IF(AND(ISNUMBER('자료_거시'!$G3032),ISNUMBER('자료_거시'!$H3032)),'자료_거시'!$H3032,"")</f>
        <v/>
      </c>
      <c r="X3050">
        <f>IF(ISNUMBER(W3050),'자료_거시'!$G3032,"")</f>
        <v/>
      </c>
      <c r="Y3050">
        <f>IF(ISNUMBER(X3050),IF(X3050&gt;$L$7,W3050,""),"")</f>
        <v/>
      </c>
      <c r="Z3050">
        <f>IF(ISNUMBER('자료_거시'!$K3032),'자료_거시'!$K3032,Z3049)</f>
        <v/>
      </c>
      <c r="AA3050">
        <f>IF(AND(ISNUMBER('자료_거시'!$J3032),ISNUMBER('자료_거시'!$K3032)),IFERROR('자료_거시'!$K3032/INDEX($Z$21:$Z$4020,MATCH(EDATE('자료_거시'!$J3032,-'설정'!$B$17),'자료_거시'!$J$3:INDEX('자료_거시'!$J$3:$J$4002,$K$8),1))-1,""),"")</f>
        <v/>
      </c>
      <c r="AB3050">
        <f>IF(ISNUMBER(AA3050),'자료_거시'!$J3032,"")</f>
        <v/>
      </c>
      <c r="AC3050">
        <f>IF(ISNUMBER(AB3050),IF(AB3050&gt;$L$8,AA3050,""),"")</f>
        <v/>
      </c>
    </row>
    <row r="3051">
      <c r="S3051">
        <f>IF(ISNUMBER('자료_거시'!$E3033),'자료_거시'!$E3033,S3050)</f>
        <v/>
      </c>
      <c r="T3051">
        <f>IF(AND(ISNUMBER('자료_거시'!$D3033),ISNUMBER('자료_거시'!$E3033)),IFERROR('자료_거시'!$E3033-INDEX($S$21:$S$4020,MATCH(EDATE('자료_거시'!$D3033,-'설정'!$B$17),'자료_거시'!$D$3:INDEX('자료_거시'!$D$3:$D$4002,$K$6),1)),""),"")</f>
        <v/>
      </c>
      <c r="U3051">
        <f>IF(ISNUMBER(T3051),'자료_거시'!$D3033,"")</f>
        <v/>
      </c>
      <c r="V3051">
        <f>IF(ISNUMBER(U3051),IF(U3051&gt;$L$6,T3051,""),"")</f>
        <v/>
      </c>
      <c r="W3051">
        <f>IF(AND(ISNUMBER('자료_거시'!$G3033),ISNUMBER('자료_거시'!$H3033)),'자료_거시'!$H3033,"")</f>
        <v/>
      </c>
      <c r="X3051">
        <f>IF(ISNUMBER(W3051),'자료_거시'!$G3033,"")</f>
        <v/>
      </c>
      <c r="Y3051">
        <f>IF(ISNUMBER(X3051),IF(X3051&gt;$L$7,W3051,""),"")</f>
        <v/>
      </c>
      <c r="Z3051">
        <f>IF(ISNUMBER('자료_거시'!$K3033),'자료_거시'!$K3033,Z3050)</f>
        <v/>
      </c>
      <c r="AA3051">
        <f>IF(AND(ISNUMBER('자료_거시'!$J3033),ISNUMBER('자료_거시'!$K3033)),IFERROR('자료_거시'!$K3033/INDEX($Z$21:$Z$4020,MATCH(EDATE('자료_거시'!$J3033,-'설정'!$B$17),'자료_거시'!$J$3:INDEX('자료_거시'!$J$3:$J$4002,$K$8),1))-1,""),"")</f>
        <v/>
      </c>
      <c r="AB3051">
        <f>IF(ISNUMBER(AA3051),'자료_거시'!$J3033,"")</f>
        <v/>
      </c>
      <c r="AC3051">
        <f>IF(ISNUMBER(AB3051),IF(AB3051&gt;$L$8,AA3051,""),"")</f>
        <v/>
      </c>
    </row>
    <row r="3052">
      <c r="S3052">
        <f>IF(ISNUMBER('자료_거시'!$E3034),'자료_거시'!$E3034,S3051)</f>
        <v/>
      </c>
      <c r="T3052">
        <f>IF(AND(ISNUMBER('자료_거시'!$D3034),ISNUMBER('자료_거시'!$E3034)),IFERROR('자료_거시'!$E3034-INDEX($S$21:$S$4020,MATCH(EDATE('자료_거시'!$D3034,-'설정'!$B$17),'자료_거시'!$D$3:INDEX('자료_거시'!$D$3:$D$4002,$K$6),1)),""),"")</f>
        <v/>
      </c>
      <c r="U3052">
        <f>IF(ISNUMBER(T3052),'자료_거시'!$D3034,"")</f>
        <v/>
      </c>
      <c r="V3052">
        <f>IF(ISNUMBER(U3052),IF(U3052&gt;$L$6,T3052,""),"")</f>
        <v/>
      </c>
      <c r="W3052">
        <f>IF(AND(ISNUMBER('자료_거시'!$G3034),ISNUMBER('자료_거시'!$H3034)),'자료_거시'!$H3034,"")</f>
        <v/>
      </c>
      <c r="X3052">
        <f>IF(ISNUMBER(W3052),'자료_거시'!$G3034,"")</f>
        <v/>
      </c>
      <c r="Y3052">
        <f>IF(ISNUMBER(X3052),IF(X3052&gt;$L$7,W3052,""),"")</f>
        <v/>
      </c>
      <c r="Z3052">
        <f>IF(ISNUMBER('자료_거시'!$K3034),'자료_거시'!$K3034,Z3051)</f>
        <v/>
      </c>
      <c r="AA3052">
        <f>IF(AND(ISNUMBER('자료_거시'!$J3034),ISNUMBER('자료_거시'!$K3034)),IFERROR('자료_거시'!$K3034/INDEX($Z$21:$Z$4020,MATCH(EDATE('자료_거시'!$J3034,-'설정'!$B$17),'자료_거시'!$J$3:INDEX('자료_거시'!$J$3:$J$4002,$K$8),1))-1,""),"")</f>
        <v/>
      </c>
      <c r="AB3052">
        <f>IF(ISNUMBER(AA3052),'자료_거시'!$J3034,"")</f>
        <v/>
      </c>
      <c r="AC3052">
        <f>IF(ISNUMBER(AB3052),IF(AB3052&gt;$L$8,AA3052,""),"")</f>
        <v/>
      </c>
    </row>
    <row r="3053">
      <c r="S3053">
        <f>IF(ISNUMBER('자료_거시'!$E3035),'자료_거시'!$E3035,S3052)</f>
        <v/>
      </c>
      <c r="T3053">
        <f>IF(AND(ISNUMBER('자료_거시'!$D3035),ISNUMBER('자료_거시'!$E3035)),IFERROR('자료_거시'!$E3035-INDEX($S$21:$S$4020,MATCH(EDATE('자료_거시'!$D3035,-'설정'!$B$17),'자료_거시'!$D$3:INDEX('자료_거시'!$D$3:$D$4002,$K$6),1)),""),"")</f>
        <v/>
      </c>
      <c r="U3053">
        <f>IF(ISNUMBER(T3053),'자료_거시'!$D3035,"")</f>
        <v/>
      </c>
      <c r="V3053">
        <f>IF(ISNUMBER(U3053),IF(U3053&gt;$L$6,T3053,""),"")</f>
        <v/>
      </c>
      <c r="W3053">
        <f>IF(AND(ISNUMBER('자료_거시'!$G3035),ISNUMBER('자료_거시'!$H3035)),'자료_거시'!$H3035,"")</f>
        <v/>
      </c>
      <c r="X3053">
        <f>IF(ISNUMBER(W3053),'자료_거시'!$G3035,"")</f>
        <v/>
      </c>
      <c r="Y3053">
        <f>IF(ISNUMBER(X3053),IF(X3053&gt;$L$7,W3053,""),"")</f>
        <v/>
      </c>
      <c r="Z3053">
        <f>IF(ISNUMBER('자료_거시'!$K3035),'자료_거시'!$K3035,Z3052)</f>
        <v/>
      </c>
      <c r="AA3053">
        <f>IF(AND(ISNUMBER('자료_거시'!$J3035),ISNUMBER('자료_거시'!$K3035)),IFERROR('자료_거시'!$K3035/INDEX($Z$21:$Z$4020,MATCH(EDATE('자료_거시'!$J3035,-'설정'!$B$17),'자료_거시'!$J$3:INDEX('자료_거시'!$J$3:$J$4002,$K$8),1))-1,""),"")</f>
        <v/>
      </c>
      <c r="AB3053">
        <f>IF(ISNUMBER(AA3053),'자료_거시'!$J3035,"")</f>
        <v/>
      </c>
      <c r="AC3053">
        <f>IF(ISNUMBER(AB3053),IF(AB3053&gt;$L$8,AA3053,""),"")</f>
        <v/>
      </c>
    </row>
    <row r="3054">
      <c r="S3054">
        <f>IF(ISNUMBER('자료_거시'!$E3036),'자료_거시'!$E3036,S3053)</f>
        <v/>
      </c>
      <c r="T3054">
        <f>IF(AND(ISNUMBER('자료_거시'!$D3036),ISNUMBER('자료_거시'!$E3036)),IFERROR('자료_거시'!$E3036-INDEX($S$21:$S$4020,MATCH(EDATE('자료_거시'!$D3036,-'설정'!$B$17),'자료_거시'!$D$3:INDEX('자료_거시'!$D$3:$D$4002,$K$6),1)),""),"")</f>
        <v/>
      </c>
      <c r="U3054">
        <f>IF(ISNUMBER(T3054),'자료_거시'!$D3036,"")</f>
        <v/>
      </c>
      <c r="V3054">
        <f>IF(ISNUMBER(U3054),IF(U3054&gt;$L$6,T3054,""),"")</f>
        <v/>
      </c>
      <c r="W3054">
        <f>IF(AND(ISNUMBER('자료_거시'!$G3036),ISNUMBER('자료_거시'!$H3036)),'자료_거시'!$H3036,"")</f>
        <v/>
      </c>
      <c r="X3054">
        <f>IF(ISNUMBER(W3054),'자료_거시'!$G3036,"")</f>
        <v/>
      </c>
      <c r="Y3054">
        <f>IF(ISNUMBER(X3054),IF(X3054&gt;$L$7,W3054,""),"")</f>
        <v/>
      </c>
      <c r="Z3054">
        <f>IF(ISNUMBER('자료_거시'!$K3036),'자료_거시'!$K3036,Z3053)</f>
        <v/>
      </c>
      <c r="AA3054">
        <f>IF(AND(ISNUMBER('자료_거시'!$J3036),ISNUMBER('자료_거시'!$K3036)),IFERROR('자료_거시'!$K3036/INDEX($Z$21:$Z$4020,MATCH(EDATE('자료_거시'!$J3036,-'설정'!$B$17),'자료_거시'!$J$3:INDEX('자료_거시'!$J$3:$J$4002,$K$8),1))-1,""),"")</f>
        <v/>
      </c>
      <c r="AB3054">
        <f>IF(ISNUMBER(AA3054),'자료_거시'!$J3036,"")</f>
        <v/>
      </c>
      <c r="AC3054">
        <f>IF(ISNUMBER(AB3054),IF(AB3054&gt;$L$8,AA3054,""),"")</f>
        <v/>
      </c>
    </row>
    <row r="3055">
      <c r="S3055">
        <f>IF(ISNUMBER('자료_거시'!$E3037),'자료_거시'!$E3037,S3054)</f>
        <v/>
      </c>
      <c r="T3055">
        <f>IF(AND(ISNUMBER('자료_거시'!$D3037),ISNUMBER('자료_거시'!$E3037)),IFERROR('자료_거시'!$E3037-INDEX($S$21:$S$4020,MATCH(EDATE('자료_거시'!$D3037,-'설정'!$B$17),'자료_거시'!$D$3:INDEX('자료_거시'!$D$3:$D$4002,$K$6),1)),""),"")</f>
        <v/>
      </c>
      <c r="U3055">
        <f>IF(ISNUMBER(T3055),'자료_거시'!$D3037,"")</f>
        <v/>
      </c>
      <c r="V3055">
        <f>IF(ISNUMBER(U3055),IF(U3055&gt;$L$6,T3055,""),"")</f>
        <v/>
      </c>
      <c r="W3055">
        <f>IF(AND(ISNUMBER('자료_거시'!$G3037),ISNUMBER('자료_거시'!$H3037)),'자료_거시'!$H3037,"")</f>
        <v/>
      </c>
      <c r="X3055">
        <f>IF(ISNUMBER(W3055),'자료_거시'!$G3037,"")</f>
        <v/>
      </c>
      <c r="Y3055">
        <f>IF(ISNUMBER(X3055),IF(X3055&gt;$L$7,W3055,""),"")</f>
        <v/>
      </c>
      <c r="Z3055">
        <f>IF(ISNUMBER('자료_거시'!$K3037),'자료_거시'!$K3037,Z3054)</f>
        <v/>
      </c>
      <c r="AA3055">
        <f>IF(AND(ISNUMBER('자료_거시'!$J3037),ISNUMBER('자료_거시'!$K3037)),IFERROR('자료_거시'!$K3037/INDEX($Z$21:$Z$4020,MATCH(EDATE('자료_거시'!$J3037,-'설정'!$B$17),'자료_거시'!$J$3:INDEX('자료_거시'!$J$3:$J$4002,$K$8),1))-1,""),"")</f>
        <v/>
      </c>
      <c r="AB3055">
        <f>IF(ISNUMBER(AA3055),'자료_거시'!$J3037,"")</f>
        <v/>
      </c>
      <c r="AC3055">
        <f>IF(ISNUMBER(AB3055),IF(AB3055&gt;$L$8,AA3055,""),"")</f>
        <v/>
      </c>
    </row>
    <row r="3056">
      <c r="S3056">
        <f>IF(ISNUMBER('자료_거시'!$E3038),'자료_거시'!$E3038,S3055)</f>
        <v/>
      </c>
      <c r="T3056">
        <f>IF(AND(ISNUMBER('자료_거시'!$D3038),ISNUMBER('자료_거시'!$E3038)),IFERROR('자료_거시'!$E3038-INDEX($S$21:$S$4020,MATCH(EDATE('자료_거시'!$D3038,-'설정'!$B$17),'자료_거시'!$D$3:INDEX('자료_거시'!$D$3:$D$4002,$K$6),1)),""),"")</f>
        <v/>
      </c>
      <c r="U3056">
        <f>IF(ISNUMBER(T3056),'자료_거시'!$D3038,"")</f>
        <v/>
      </c>
      <c r="V3056">
        <f>IF(ISNUMBER(U3056),IF(U3056&gt;$L$6,T3056,""),"")</f>
        <v/>
      </c>
      <c r="W3056">
        <f>IF(AND(ISNUMBER('자료_거시'!$G3038),ISNUMBER('자료_거시'!$H3038)),'자료_거시'!$H3038,"")</f>
        <v/>
      </c>
      <c r="X3056">
        <f>IF(ISNUMBER(W3056),'자료_거시'!$G3038,"")</f>
        <v/>
      </c>
      <c r="Y3056">
        <f>IF(ISNUMBER(X3056),IF(X3056&gt;$L$7,W3056,""),"")</f>
        <v/>
      </c>
      <c r="Z3056">
        <f>IF(ISNUMBER('자료_거시'!$K3038),'자료_거시'!$K3038,Z3055)</f>
        <v/>
      </c>
      <c r="AA3056">
        <f>IF(AND(ISNUMBER('자료_거시'!$J3038),ISNUMBER('자료_거시'!$K3038)),IFERROR('자료_거시'!$K3038/INDEX($Z$21:$Z$4020,MATCH(EDATE('자료_거시'!$J3038,-'설정'!$B$17),'자료_거시'!$J$3:INDEX('자료_거시'!$J$3:$J$4002,$K$8),1))-1,""),"")</f>
        <v/>
      </c>
      <c r="AB3056">
        <f>IF(ISNUMBER(AA3056),'자료_거시'!$J3038,"")</f>
        <v/>
      </c>
      <c r="AC3056">
        <f>IF(ISNUMBER(AB3056),IF(AB3056&gt;$L$8,AA3056,""),"")</f>
        <v/>
      </c>
    </row>
    <row r="3057">
      <c r="S3057">
        <f>IF(ISNUMBER('자료_거시'!$E3039),'자료_거시'!$E3039,S3056)</f>
        <v/>
      </c>
      <c r="T3057">
        <f>IF(AND(ISNUMBER('자료_거시'!$D3039),ISNUMBER('자료_거시'!$E3039)),IFERROR('자료_거시'!$E3039-INDEX($S$21:$S$4020,MATCH(EDATE('자료_거시'!$D3039,-'설정'!$B$17),'자료_거시'!$D$3:INDEX('자료_거시'!$D$3:$D$4002,$K$6),1)),""),"")</f>
        <v/>
      </c>
      <c r="U3057">
        <f>IF(ISNUMBER(T3057),'자료_거시'!$D3039,"")</f>
        <v/>
      </c>
      <c r="V3057">
        <f>IF(ISNUMBER(U3057),IF(U3057&gt;$L$6,T3057,""),"")</f>
        <v/>
      </c>
      <c r="W3057">
        <f>IF(AND(ISNUMBER('자료_거시'!$G3039),ISNUMBER('자료_거시'!$H3039)),'자료_거시'!$H3039,"")</f>
        <v/>
      </c>
      <c r="X3057">
        <f>IF(ISNUMBER(W3057),'자료_거시'!$G3039,"")</f>
        <v/>
      </c>
      <c r="Y3057">
        <f>IF(ISNUMBER(X3057),IF(X3057&gt;$L$7,W3057,""),"")</f>
        <v/>
      </c>
      <c r="Z3057">
        <f>IF(ISNUMBER('자료_거시'!$K3039),'자료_거시'!$K3039,Z3056)</f>
        <v/>
      </c>
      <c r="AA3057">
        <f>IF(AND(ISNUMBER('자료_거시'!$J3039),ISNUMBER('자료_거시'!$K3039)),IFERROR('자료_거시'!$K3039/INDEX($Z$21:$Z$4020,MATCH(EDATE('자료_거시'!$J3039,-'설정'!$B$17),'자료_거시'!$J$3:INDEX('자료_거시'!$J$3:$J$4002,$K$8),1))-1,""),"")</f>
        <v/>
      </c>
      <c r="AB3057">
        <f>IF(ISNUMBER(AA3057),'자료_거시'!$J3039,"")</f>
        <v/>
      </c>
      <c r="AC3057">
        <f>IF(ISNUMBER(AB3057),IF(AB3057&gt;$L$8,AA3057,""),"")</f>
        <v/>
      </c>
    </row>
    <row r="3058">
      <c r="S3058">
        <f>IF(ISNUMBER('자료_거시'!$E3040),'자료_거시'!$E3040,S3057)</f>
        <v/>
      </c>
      <c r="T3058">
        <f>IF(AND(ISNUMBER('자료_거시'!$D3040),ISNUMBER('자료_거시'!$E3040)),IFERROR('자료_거시'!$E3040-INDEX($S$21:$S$4020,MATCH(EDATE('자료_거시'!$D3040,-'설정'!$B$17),'자료_거시'!$D$3:INDEX('자료_거시'!$D$3:$D$4002,$K$6),1)),""),"")</f>
        <v/>
      </c>
      <c r="U3058">
        <f>IF(ISNUMBER(T3058),'자료_거시'!$D3040,"")</f>
        <v/>
      </c>
      <c r="V3058">
        <f>IF(ISNUMBER(U3058),IF(U3058&gt;$L$6,T3058,""),"")</f>
        <v/>
      </c>
      <c r="W3058">
        <f>IF(AND(ISNUMBER('자료_거시'!$G3040),ISNUMBER('자료_거시'!$H3040)),'자료_거시'!$H3040,"")</f>
        <v/>
      </c>
      <c r="X3058">
        <f>IF(ISNUMBER(W3058),'자료_거시'!$G3040,"")</f>
        <v/>
      </c>
      <c r="Y3058">
        <f>IF(ISNUMBER(X3058),IF(X3058&gt;$L$7,W3058,""),"")</f>
        <v/>
      </c>
      <c r="Z3058">
        <f>IF(ISNUMBER('자료_거시'!$K3040),'자료_거시'!$K3040,Z3057)</f>
        <v/>
      </c>
      <c r="AA3058">
        <f>IF(AND(ISNUMBER('자료_거시'!$J3040),ISNUMBER('자료_거시'!$K3040)),IFERROR('자료_거시'!$K3040/INDEX($Z$21:$Z$4020,MATCH(EDATE('자료_거시'!$J3040,-'설정'!$B$17),'자료_거시'!$J$3:INDEX('자료_거시'!$J$3:$J$4002,$K$8),1))-1,""),"")</f>
        <v/>
      </c>
      <c r="AB3058">
        <f>IF(ISNUMBER(AA3058),'자료_거시'!$J3040,"")</f>
        <v/>
      </c>
      <c r="AC3058">
        <f>IF(ISNUMBER(AB3058),IF(AB3058&gt;$L$8,AA3058,""),"")</f>
        <v/>
      </c>
    </row>
    <row r="3059">
      <c r="S3059">
        <f>IF(ISNUMBER('자료_거시'!$E3041),'자료_거시'!$E3041,S3058)</f>
        <v/>
      </c>
      <c r="T3059">
        <f>IF(AND(ISNUMBER('자료_거시'!$D3041),ISNUMBER('자료_거시'!$E3041)),IFERROR('자료_거시'!$E3041-INDEX($S$21:$S$4020,MATCH(EDATE('자료_거시'!$D3041,-'설정'!$B$17),'자료_거시'!$D$3:INDEX('자료_거시'!$D$3:$D$4002,$K$6),1)),""),"")</f>
        <v/>
      </c>
      <c r="U3059">
        <f>IF(ISNUMBER(T3059),'자료_거시'!$D3041,"")</f>
        <v/>
      </c>
      <c r="V3059">
        <f>IF(ISNUMBER(U3059),IF(U3059&gt;$L$6,T3059,""),"")</f>
        <v/>
      </c>
      <c r="W3059">
        <f>IF(AND(ISNUMBER('자료_거시'!$G3041),ISNUMBER('자료_거시'!$H3041)),'자료_거시'!$H3041,"")</f>
        <v/>
      </c>
      <c r="X3059">
        <f>IF(ISNUMBER(W3059),'자료_거시'!$G3041,"")</f>
        <v/>
      </c>
      <c r="Y3059">
        <f>IF(ISNUMBER(X3059),IF(X3059&gt;$L$7,W3059,""),"")</f>
        <v/>
      </c>
      <c r="Z3059">
        <f>IF(ISNUMBER('자료_거시'!$K3041),'자료_거시'!$K3041,Z3058)</f>
        <v/>
      </c>
      <c r="AA3059">
        <f>IF(AND(ISNUMBER('자료_거시'!$J3041),ISNUMBER('자료_거시'!$K3041)),IFERROR('자료_거시'!$K3041/INDEX($Z$21:$Z$4020,MATCH(EDATE('자료_거시'!$J3041,-'설정'!$B$17),'자료_거시'!$J$3:INDEX('자료_거시'!$J$3:$J$4002,$K$8),1))-1,""),"")</f>
        <v/>
      </c>
      <c r="AB3059">
        <f>IF(ISNUMBER(AA3059),'자료_거시'!$J3041,"")</f>
        <v/>
      </c>
      <c r="AC3059">
        <f>IF(ISNUMBER(AB3059),IF(AB3059&gt;$L$8,AA3059,""),"")</f>
        <v/>
      </c>
    </row>
    <row r="3060">
      <c r="S3060">
        <f>IF(ISNUMBER('자료_거시'!$E3042),'자료_거시'!$E3042,S3059)</f>
        <v/>
      </c>
      <c r="T3060">
        <f>IF(AND(ISNUMBER('자료_거시'!$D3042),ISNUMBER('자료_거시'!$E3042)),IFERROR('자료_거시'!$E3042-INDEX($S$21:$S$4020,MATCH(EDATE('자료_거시'!$D3042,-'설정'!$B$17),'자료_거시'!$D$3:INDEX('자료_거시'!$D$3:$D$4002,$K$6),1)),""),"")</f>
        <v/>
      </c>
      <c r="U3060">
        <f>IF(ISNUMBER(T3060),'자료_거시'!$D3042,"")</f>
        <v/>
      </c>
      <c r="V3060">
        <f>IF(ISNUMBER(U3060),IF(U3060&gt;$L$6,T3060,""),"")</f>
        <v/>
      </c>
      <c r="W3060">
        <f>IF(AND(ISNUMBER('자료_거시'!$G3042),ISNUMBER('자료_거시'!$H3042)),'자료_거시'!$H3042,"")</f>
        <v/>
      </c>
      <c r="X3060">
        <f>IF(ISNUMBER(W3060),'자료_거시'!$G3042,"")</f>
        <v/>
      </c>
      <c r="Y3060">
        <f>IF(ISNUMBER(X3060),IF(X3060&gt;$L$7,W3060,""),"")</f>
        <v/>
      </c>
      <c r="Z3060">
        <f>IF(ISNUMBER('자료_거시'!$K3042),'자료_거시'!$K3042,Z3059)</f>
        <v/>
      </c>
      <c r="AA3060">
        <f>IF(AND(ISNUMBER('자료_거시'!$J3042),ISNUMBER('자료_거시'!$K3042)),IFERROR('자료_거시'!$K3042/INDEX($Z$21:$Z$4020,MATCH(EDATE('자료_거시'!$J3042,-'설정'!$B$17),'자료_거시'!$J$3:INDEX('자료_거시'!$J$3:$J$4002,$K$8),1))-1,""),"")</f>
        <v/>
      </c>
      <c r="AB3060">
        <f>IF(ISNUMBER(AA3060),'자료_거시'!$J3042,"")</f>
        <v/>
      </c>
      <c r="AC3060">
        <f>IF(ISNUMBER(AB3060),IF(AB3060&gt;$L$8,AA3060,""),"")</f>
        <v/>
      </c>
    </row>
    <row r="3061">
      <c r="S3061">
        <f>IF(ISNUMBER('자료_거시'!$E3043),'자료_거시'!$E3043,S3060)</f>
        <v/>
      </c>
      <c r="T3061">
        <f>IF(AND(ISNUMBER('자료_거시'!$D3043),ISNUMBER('자료_거시'!$E3043)),IFERROR('자료_거시'!$E3043-INDEX($S$21:$S$4020,MATCH(EDATE('자료_거시'!$D3043,-'설정'!$B$17),'자료_거시'!$D$3:INDEX('자료_거시'!$D$3:$D$4002,$K$6),1)),""),"")</f>
        <v/>
      </c>
      <c r="U3061">
        <f>IF(ISNUMBER(T3061),'자료_거시'!$D3043,"")</f>
        <v/>
      </c>
      <c r="V3061">
        <f>IF(ISNUMBER(U3061),IF(U3061&gt;$L$6,T3061,""),"")</f>
        <v/>
      </c>
      <c r="W3061">
        <f>IF(AND(ISNUMBER('자료_거시'!$G3043),ISNUMBER('자료_거시'!$H3043)),'자료_거시'!$H3043,"")</f>
        <v/>
      </c>
      <c r="X3061">
        <f>IF(ISNUMBER(W3061),'자료_거시'!$G3043,"")</f>
        <v/>
      </c>
      <c r="Y3061">
        <f>IF(ISNUMBER(X3061),IF(X3061&gt;$L$7,W3061,""),"")</f>
        <v/>
      </c>
      <c r="Z3061">
        <f>IF(ISNUMBER('자료_거시'!$K3043),'자료_거시'!$K3043,Z3060)</f>
        <v/>
      </c>
      <c r="AA3061">
        <f>IF(AND(ISNUMBER('자료_거시'!$J3043),ISNUMBER('자료_거시'!$K3043)),IFERROR('자료_거시'!$K3043/INDEX($Z$21:$Z$4020,MATCH(EDATE('자료_거시'!$J3043,-'설정'!$B$17),'자료_거시'!$J$3:INDEX('자료_거시'!$J$3:$J$4002,$K$8),1))-1,""),"")</f>
        <v/>
      </c>
      <c r="AB3061">
        <f>IF(ISNUMBER(AA3061),'자료_거시'!$J3043,"")</f>
        <v/>
      </c>
      <c r="AC3061">
        <f>IF(ISNUMBER(AB3061),IF(AB3061&gt;$L$8,AA3061,""),"")</f>
        <v/>
      </c>
    </row>
    <row r="3062">
      <c r="S3062">
        <f>IF(ISNUMBER('자료_거시'!$E3044),'자료_거시'!$E3044,S3061)</f>
        <v/>
      </c>
      <c r="T3062">
        <f>IF(AND(ISNUMBER('자료_거시'!$D3044),ISNUMBER('자료_거시'!$E3044)),IFERROR('자료_거시'!$E3044-INDEX($S$21:$S$4020,MATCH(EDATE('자료_거시'!$D3044,-'설정'!$B$17),'자료_거시'!$D$3:INDEX('자료_거시'!$D$3:$D$4002,$K$6),1)),""),"")</f>
        <v/>
      </c>
      <c r="U3062">
        <f>IF(ISNUMBER(T3062),'자료_거시'!$D3044,"")</f>
        <v/>
      </c>
      <c r="V3062">
        <f>IF(ISNUMBER(U3062),IF(U3062&gt;$L$6,T3062,""),"")</f>
        <v/>
      </c>
      <c r="W3062">
        <f>IF(AND(ISNUMBER('자료_거시'!$G3044),ISNUMBER('자료_거시'!$H3044)),'자료_거시'!$H3044,"")</f>
        <v/>
      </c>
      <c r="X3062">
        <f>IF(ISNUMBER(W3062),'자료_거시'!$G3044,"")</f>
        <v/>
      </c>
      <c r="Y3062">
        <f>IF(ISNUMBER(X3062),IF(X3062&gt;$L$7,W3062,""),"")</f>
        <v/>
      </c>
      <c r="Z3062">
        <f>IF(ISNUMBER('자료_거시'!$K3044),'자료_거시'!$K3044,Z3061)</f>
        <v/>
      </c>
      <c r="AA3062">
        <f>IF(AND(ISNUMBER('자료_거시'!$J3044),ISNUMBER('자료_거시'!$K3044)),IFERROR('자료_거시'!$K3044/INDEX($Z$21:$Z$4020,MATCH(EDATE('자료_거시'!$J3044,-'설정'!$B$17),'자료_거시'!$J$3:INDEX('자료_거시'!$J$3:$J$4002,$K$8),1))-1,""),"")</f>
        <v/>
      </c>
      <c r="AB3062">
        <f>IF(ISNUMBER(AA3062),'자료_거시'!$J3044,"")</f>
        <v/>
      </c>
      <c r="AC3062">
        <f>IF(ISNUMBER(AB3062),IF(AB3062&gt;$L$8,AA3062,""),"")</f>
        <v/>
      </c>
    </row>
    <row r="3063">
      <c r="S3063">
        <f>IF(ISNUMBER('자료_거시'!$E3045),'자료_거시'!$E3045,S3062)</f>
        <v/>
      </c>
      <c r="T3063">
        <f>IF(AND(ISNUMBER('자료_거시'!$D3045),ISNUMBER('자료_거시'!$E3045)),IFERROR('자료_거시'!$E3045-INDEX($S$21:$S$4020,MATCH(EDATE('자료_거시'!$D3045,-'설정'!$B$17),'자료_거시'!$D$3:INDEX('자료_거시'!$D$3:$D$4002,$K$6),1)),""),"")</f>
        <v/>
      </c>
      <c r="U3063">
        <f>IF(ISNUMBER(T3063),'자료_거시'!$D3045,"")</f>
        <v/>
      </c>
      <c r="V3063">
        <f>IF(ISNUMBER(U3063),IF(U3063&gt;$L$6,T3063,""),"")</f>
        <v/>
      </c>
      <c r="W3063">
        <f>IF(AND(ISNUMBER('자료_거시'!$G3045),ISNUMBER('자료_거시'!$H3045)),'자료_거시'!$H3045,"")</f>
        <v/>
      </c>
      <c r="X3063">
        <f>IF(ISNUMBER(W3063),'자료_거시'!$G3045,"")</f>
        <v/>
      </c>
      <c r="Y3063">
        <f>IF(ISNUMBER(X3063),IF(X3063&gt;$L$7,W3063,""),"")</f>
        <v/>
      </c>
      <c r="Z3063">
        <f>IF(ISNUMBER('자료_거시'!$K3045),'자료_거시'!$K3045,Z3062)</f>
        <v/>
      </c>
      <c r="AA3063">
        <f>IF(AND(ISNUMBER('자료_거시'!$J3045),ISNUMBER('자료_거시'!$K3045)),IFERROR('자료_거시'!$K3045/INDEX($Z$21:$Z$4020,MATCH(EDATE('자료_거시'!$J3045,-'설정'!$B$17),'자료_거시'!$J$3:INDEX('자료_거시'!$J$3:$J$4002,$K$8),1))-1,""),"")</f>
        <v/>
      </c>
      <c r="AB3063">
        <f>IF(ISNUMBER(AA3063),'자료_거시'!$J3045,"")</f>
        <v/>
      </c>
      <c r="AC3063">
        <f>IF(ISNUMBER(AB3063),IF(AB3063&gt;$L$8,AA3063,""),"")</f>
        <v/>
      </c>
    </row>
    <row r="3064">
      <c r="S3064">
        <f>IF(ISNUMBER('자료_거시'!$E3046),'자료_거시'!$E3046,S3063)</f>
        <v/>
      </c>
      <c r="T3064">
        <f>IF(AND(ISNUMBER('자료_거시'!$D3046),ISNUMBER('자료_거시'!$E3046)),IFERROR('자료_거시'!$E3046-INDEX($S$21:$S$4020,MATCH(EDATE('자료_거시'!$D3046,-'설정'!$B$17),'자료_거시'!$D$3:INDEX('자료_거시'!$D$3:$D$4002,$K$6),1)),""),"")</f>
        <v/>
      </c>
      <c r="U3064">
        <f>IF(ISNUMBER(T3064),'자료_거시'!$D3046,"")</f>
        <v/>
      </c>
      <c r="V3064">
        <f>IF(ISNUMBER(U3064),IF(U3064&gt;$L$6,T3064,""),"")</f>
        <v/>
      </c>
      <c r="W3064">
        <f>IF(AND(ISNUMBER('자료_거시'!$G3046),ISNUMBER('자료_거시'!$H3046)),'자료_거시'!$H3046,"")</f>
        <v/>
      </c>
      <c r="X3064">
        <f>IF(ISNUMBER(W3064),'자료_거시'!$G3046,"")</f>
        <v/>
      </c>
      <c r="Y3064">
        <f>IF(ISNUMBER(X3064),IF(X3064&gt;$L$7,W3064,""),"")</f>
        <v/>
      </c>
      <c r="Z3064">
        <f>IF(ISNUMBER('자료_거시'!$K3046),'자료_거시'!$K3046,Z3063)</f>
        <v/>
      </c>
      <c r="AA3064">
        <f>IF(AND(ISNUMBER('자료_거시'!$J3046),ISNUMBER('자료_거시'!$K3046)),IFERROR('자료_거시'!$K3046/INDEX($Z$21:$Z$4020,MATCH(EDATE('자료_거시'!$J3046,-'설정'!$B$17),'자료_거시'!$J$3:INDEX('자료_거시'!$J$3:$J$4002,$K$8),1))-1,""),"")</f>
        <v/>
      </c>
      <c r="AB3064">
        <f>IF(ISNUMBER(AA3064),'자료_거시'!$J3046,"")</f>
        <v/>
      </c>
      <c r="AC3064">
        <f>IF(ISNUMBER(AB3064),IF(AB3064&gt;$L$8,AA3064,""),"")</f>
        <v/>
      </c>
    </row>
    <row r="3065">
      <c r="S3065">
        <f>IF(ISNUMBER('자료_거시'!$E3047),'자료_거시'!$E3047,S3064)</f>
        <v/>
      </c>
      <c r="T3065">
        <f>IF(AND(ISNUMBER('자료_거시'!$D3047),ISNUMBER('자료_거시'!$E3047)),IFERROR('자료_거시'!$E3047-INDEX($S$21:$S$4020,MATCH(EDATE('자료_거시'!$D3047,-'설정'!$B$17),'자료_거시'!$D$3:INDEX('자료_거시'!$D$3:$D$4002,$K$6),1)),""),"")</f>
        <v/>
      </c>
      <c r="U3065">
        <f>IF(ISNUMBER(T3065),'자료_거시'!$D3047,"")</f>
        <v/>
      </c>
      <c r="V3065">
        <f>IF(ISNUMBER(U3065),IF(U3065&gt;$L$6,T3065,""),"")</f>
        <v/>
      </c>
      <c r="W3065">
        <f>IF(AND(ISNUMBER('자료_거시'!$G3047),ISNUMBER('자료_거시'!$H3047)),'자료_거시'!$H3047,"")</f>
        <v/>
      </c>
      <c r="X3065">
        <f>IF(ISNUMBER(W3065),'자료_거시'!$G3047,"")</f>
        <v/>
      </c>
      <c r="Y3065">
        <f>IF(ISNUMBER(X3065),IF(X3065&gt;$L$7,W3065,""),"")</f>
        <v/>
      </c>
      <c r="Z3065">
        <f>IF(ISNUMBER('자료_거시'!$K3047),'자료_거시'!$K3047,Z3064)</f>
        <v/>
      </c>
      <c r="AA3065">
        <f>IF(AND(ISNUMBER('자료_거시'!$J3047),ISNUMBER('자료_거시'!$K3047)),IFERROR('자료_거시'!$K3047/INDEX($Z$21:$Z$4020,MATCH(EDATE('자료_거시'!$J3047,-'설정'!$B$17),'자료_거시'!$J$3:INDEX('자료_거시'!$J$3:$J$4002,$K$8),1))-1,""),"")</f>
        <v/>
      </c>
      <c r="AB3065">
        <f>IF(ISNUMBER(AA3065),'자료_거시'!$J3047,"")</f>
        <v/>
      </c>
      <c r="AC3065">
        <f>IF(ISNUMBER(AB3065),IF(AB3065&gt;$L$8,AA3065,""),"")</f>
        <v/>
      </c>
    </row>
    <row r="3066">
      <c r="S3066">
        <f>IF(ISNUMBER('자료_거시'!$E3048),'자료_거시'!$E3048,S3065)</f>
        <v/>
      </c>
      <c r="T3066">
        <f>IF(AND(ISNUMBER('자료_거시'!$D3048),ISNUMBER('자료_거시'!$E3048)),IFERROR('자료_거시'!$E3048-INDEX($S$21:$S$4020,MATCH(EDATE('자료_거시'!$D3048,-'설정'!$B$17),'자료_거시'!$D$3:INDEX('자료_거시'!$D$3:$D$4002,$K$6),1)),""),"")</f>
        <v/>
      </c>
      <c r="U3066">
        <f>IF(ISNUMBER(T3066),'자료_거시'!$D3048,"")</f>
        <v/>
      </c>
      <c r="V3066">
        <f>IF(ISNUMBER(U3066),IF(U3066&gt;$L$6,T3066,""),"")</f>
        <v/>
      </c>
      <c r="W3066">
        <f>IF(AND(ISNUMBER('자료_거시'!$G3048),ISNUMBER('자료_거시'!$H3048)),'자료_거시'!$H3048,"")</f>
        <v/>
      </c>
      <c r="X3066">
        <f>IF(ISNUMBER(W3066),'자료_거시'!$G3048,"")</f>
        <v/>
      </c>
      <c r="Y3066">
        <f>IF(ISNUMBER(X3066),IF(X3066&gt;$L$7,W3066,""),"")</f>
        <v/>
      </c>
      <c r="Z3066">
        <f>IF(ISNUMBER('자료_거시'!$K3048),'자료_거시'!$K3048,Z3065)</f>
        <v/>
      </c>
      <c r="AA3066">
        <f>IF(AND(ISNUMBER('자료_거시'!$J3048),ISNUMBER('자료_거시'!$K3048)),IFERROR('자료_거시'!$K3048/INDEX($Z$21:$Z$4020,MATCH(EDATE('자료_거시'!$J3048,-'설정'!$B$17),'자료_거시'!$J$3:INDEX('자료_거시'!$J$3:$J$4002,$K$8),1))-1,""),"")</f>
        <v/>
      </c>
      <c r="AB3066">
        <f>IF(ISNUMBER(AA3066),'자료_거시'!$J3048,"")</f>
        <v/>
      </c>
      <c r="AC3066">
        <f>IF(ISNUMBER(AB3066),IF(AB3066&gt;$L$8,AA3066,""),"")</f>
        <v/>
      </c>
    </row>
    <row r="3067">
      <c r="S3067">
        <f>IF(ISNUMBER('자료_거시'!$E3049),'자료_거시'!$E3049,S3066)</f>
        <v/>
      </c>
      <c r="T3067">
        <f>IF(AND(ISNUMBER('자료_거시'!$D3049),ISNUMBER('자료_거시'!$E3049)),IFERROR('자료_거시'!$E3049-INDEX($S$21:$S$4020,MATCH(EDATE('자료_거시'!$D3049,-'설정'!$B$17),'자료_거시'!$D$3:INDEX('자료_거시'!$D$3:$D$4002,$K$6),1)),""),"")</f>
        <v/>
      </c>
      <c r="U3067">
        <f>IF(ISNUMBER(T3067),'자료_거시'!$D3049,"")</f>
        <v/>
      </c>
      <c r="V3067">
        <f>IF(ISNUMBER(U3067),IF(U3067&gt;$L$6,T3067,""),"")</f>
        <v/>
      </c>
      <c r="W3067">
        <f>IF(AND(ISNUMBER('자료_거시'!$G3049),ISNUMBER('자료_거시'!$H3049)),'자료_거시'!$H3049,"")</f>
        <v/>
      </c>
      <c r="X3067">
        <f>IF(ISNUMBER(W3067),'자료_거시'!$G3049,"")</f>
        <v/>
      </c>
      <c r="Y3067">
        <f>IF(ISNUMBER(X3067),IF(X3067&gt;$L$7,W3067,""),"")</f>
        <v/>
      </c>
      <c r="Z3067">
        <f>IF(ISNUMBER('자료_거시'!$K3049),'자료_거시'!$K3049,Z3066)</f>
        <v/>
      </c>
      <c r="AA3067">
        <f>IF(AND(ISNUMBER('자료_거시'!$J3049),ISNUMBER('자료_거시'!$K3049)),IFERROR('자료_거시'!$K3049/INDEX($Z$21:$Z$4020,MATCH(EDATE('자료_거시'!$J3049,-'설정'!$B$17),'자료_거시'!$J$3:INDEX('자료_거시'!$J$3:$J$4002,$K$8),1))-1,""),"")</f>
        <v/>
      </c>
      <c r="AB3067">
        <f>IF(ISNUMBER(AA3067),'자료_거시'!$J3049,"")</f>
        <v/>
      </c>
      <c r="AC3067">
        <f>IF(ISNUMBER(AB3067),IF(AB3067&gt;$L$8,AA3067,""),"")</f>
        <v/>
      </c>
    </row>
    <row r="3068">
      <c r="S3068">
        <f>IF(ISNUMBER('자료_거시'!$E3050),'자료_거시'!$E3050,S3067)</f>
        <v/>
      </c>
      <c r="T3068">
        <f>IF(AND(ISNUMBER('자료_거시'!$D3050),ISNUMBER('자료_거시'!$E3050)),IFERROR('자료_거시'!$E3050-INDEX($S$21:$S$4020,MATCH(EDATE('자료_거시'!$D3050,-'설정'!$B$17),'자료_거시'!$D$3:INDEX('자료_거시'!$D$3:$D$4002,$K$6),1)),""),"")</f>
        <v/>
      </c>
      <c r="U3068">
        <f>IF(ISNUMBER(T3068),'자료_거시'!$D3050,"")</f>
        <v/>
      </c>
      <c r="V3068">
        <f>IF(ISNUMBER(U3068),IF(U3068&gt;$L$6,T3068,""),"")</f>
        <v/>
      </c>
      <c r="W3068">
        <f>IF(AND(ISNUMBER('자료_거시'!$G3050),ISNUMBER('자료_거시'!$H3050)),'자료_거시'!$H3050,"")</f>
        <v/>
      </c>
      <c r="X3068">
        <f>IF(ISNUMBER(W3068),'자료_거시'!$G3050,"")</f>
        <v/>
      </c>
      <c r="Y3068">
        <f>IF(ISNUMBER(X3068),IF(X3068&gt;$L$7,W3068,""),"")</f>
        <v/>
      </c>
      <c r="Z3068">
        <f>IF(ISNUMBER('자료_거시'!$K3050),'자료_거시'!$K3050,Z3067)</f>
        <v/>
      </c>
      <c r="AA3068">
        <f>IF(AND(ISNUMBER('자료_거시'!$J3050),ISNUMBER('자료_거시'!$K3050)),IFERROR('자료_거시'!$K3050/INDEX($Z$21:$Z$4020,MATCH(EDATE('자료_거시'!$J3050,-'설정'!$B$17),'자료_거시'!$J$3:INDEX('자료_거시'!$J$3:$J$4002,$K$8),1))-1,""),"")</f>
        <v/>
      </c>
      <c r="AB3068">
        <f>IF(ISNUMBER(AA3068),'자료_거시'!$J3050,"")</f>
        <v/>
      </c>
      <c r="AC3068">
        <f>IF(ISNUMBER(AB3068),IF(AB3068&gt;$L$8,AA3068,""),"")</f>
        <v/>
      </c>
    </row>
    <row r="3069">
      <c r="S3069">
        <f>IF(ISNUMBER('자료_거시'!$E3051),'자료_거시'!$E3051,S3068)</f>
        <v/>
      </c>
      <c r="T3069">
        <f>IF(AND(ISNUMBER('자료_거시'!$D3051),ISNUMBER('자료_거시'!$E3051)),IFERROR('자료_거시'!$E3051-INDEX($S$21:$S$4020,MATCH(EDATE('자료_거시'!$D3051,-'설정'!$B$17),'자료_거시'!$D$3:INDEX('자료_거시'!$D$3:$D$4002,$K$6),1)),""),"")</f>
        <v/>
      </c>
      <c r="U3069">
        <f>IF(ISNUMBER(T3069),'자료_거시'!$D3051,"")</f>
        <v/>
      </c>
      <c r="V3069">
        <f>IF(ISNUMBER(U3069),IF(U3069&gt;$L$6,T3069,""),"")</f>
        <v/>
      </c>
      <c r="W3069">
        <f>IF(AND(ISNUMBER('자료_거시'!$G3051),ISNUMBER('자료_거시'!$H3051)),'자료_거시'!$H3051,"")</f>
        <v/>
      </c>
      <c r="X3069">
        <f>IF(ISNUMBER(W3069),'자료_거시'!$G3051,"")</f>
        <v/>
      </c>
      <c r="Y3069">
        <f>IF(ISNUMBER(X3069),IF(X3069&gt;$L$7,W3069,""),"")</f>
        <v/>
      </c>
      <c r="Z3069">
        <f>IF(ISNUMBER('자료_거시'!$K3051),'자료_거시'!$K3051,Z3068)</f>
        <v/>
      </c>
      <c r="AA3069">
        <f>IF(AND(ISNUMBER('자료_거시'!$J3051),ISNUMBER('자료_거시'!$K3051)),IFERROR('자료_거시'!$K3051/INDEX($Z$21:$Z$4020,MATCH(EDATE('자료_거시'!$J3051,-'설정'!$B$17),'자료_거시'!$J$3:INDEX('자료_거시'!$J$3:$J$4002,$K$8),1))-1,""),"")</f>
        <v/>
      </c>
      <c r="AB3069">
        <f>IF(ISNUMBER(AA3069),'자료_거시'!$J3051,"")</f>
        <v/>
      </c>
      <c r="AC3069">
        <f>IF(ISNUMBER(AB3069),IF(AB3069&gt;$L$8,AA3069,""),"")</f>
        <v/>
      </c>
    </row>
    <row r="3070">
      <c r="S3070">
        <f>IF(ISNUMBER('자료_거시'!$E3052),'자료_거시'!$E3052,S3069)</f>
        <v/>
      </c>
      <c r="T3070">
        <f>IF(AND(ISNUMBER('자료_거시'!$D3052),ISNUMBER('자료_거시'!$E3052)),IFERROR('자료_거시'!$E3052-INDEX($S$21:$S$4020,MATCH(EDATE('자료_거시'!$D3052,-'설정'!$B$17),'자료_거시'!$D$3:INDEX('자료_거시'!$D$3:$D$4002,$K$6),1)),""),"")</f>
        <v/>
      </c>
      <c r="U3070">
        <f>IF(ISNUMBER(T3070),'자료_거시'!$D3052,"")</f>
        <v/>
      </c>
      <c r="V3070">
        <f>IF(ISNUMBER(U3070),IF(U3070&gt;$L$6,T3070,""),"")</f>
        <v/>
      </c>
      <c r="W3070">
        <f>IF(AND(ISNUMBER('자료_거시'!$G3052),ISNUMBER('자료_거시'!$H3052)),'자료_거시'!$H3052,"")</f>
        <v/>
      </c>
      <c r="X3070">
        <f>IF(ISNUMBER(W3070),'자료_거시'!$G3052,"")</f>
        <v/>
      </c>
      <c r="Y3070">
        <f>IF(ISNUMBER(X3070),IF(X3070&gt;$L$7,W3070,""),"")</f>
        <v/>
      </c>
      <c r="Z3070">
        <f>IF(ISNUMBER('자료_거시'!$K3052),'자료_거시'!$K3052,Z3069)</f>
        <v/>
      </c>
      <c r="AA3070">
        <f>IF(AND(ISNUMBER('자료_거시'!$J3052),ISNUMBER('자료_거시'!$K3052)),IFERROR('자료_거시'!$K3052/INDEX($Z$21:$Z$4020,MATCH(EDATE('자료_거시'!$J3052,-'설정'!$B$17),'자료_거시'!$J$3:INDEX('자료_거시'!$J$3:$J$4002,$K$8),1))-1,""),"")</f>
        <v/>
      </c>
      <c r="AB3070">
        <f>IF(ISNUMBER(AA3070),'자료_거시'!$J3052,"")</f>
        <v/>
      </c>
      <c r="AC3070">
        <f>IF(ISNUMBER(AB3070),IF(AB3070&gt;$L$8,AA3070,""),"")</f>
        <v/>
      </c>
    </row>
    <row r="3071">
      <c r="S3071">
        <f>IF(ISNUMBER('자료_거시'!$E3053),'자료_거시'!$E3053,S3070)</f>
        <v/>
      </c>
      <c r="T3071">
        <f>IF(AND(ISNUMBER('자료_거시'!$D3053),ISNUMBER('자료_거시'!$E3053)),IFERROR('자료_거시'!$E3053-INDEX($S$21:$S$4020,MATCH(EDATE('자료_거시'!$D3053,-'설정'!$B$17),'자료_거시'!$D$3:INDEX('자료_거시'!$D$3:$D$4002,$K$6),1)),""),"")</f>
        <v/>
      </c>
      <c r="U3071">
        <f>IF(ISNUMBER(T3071),'자료_거시'!$D3053,"")</f>
        <v/>
      </c>
      <c r="V3071">
        <f>IF(ISNUMBER(U3071),IF(U3071&gt;$L$6,T3071,""),"")</f>
        <v/>
      </c>
      <c r="W3071">
        <f>IF(AND(ISNUMBER('자료_거시'!$G3053),ISNUMBER('자료_거시'!$H3053)),'자료_거시'!$H3053,"")</f>
        <v/>
      </c>
      <c r="X3071">
        <f>IF(ISNUMBER(W3071),'자료_거시'!$G3053,"")</f>
        <v/>
      </c>
      <c r="Y3071">
        <f>IF(ISNUMBER(X3071),IF(X3071&gt;$L$7,W3071,""),"")</f>
        <v/>
      </c>
      <c r="Z3071">
        <f>IF(ISNUMBER('자료_거시'!$K3053),'자료_거시'!$K3053,Z3070)</f>
        <v/>
      </c>
      <c r="AA3071">
        <f>IF(AND(ISNUMBER('자료_거시'!$J3053),ISNUMBER('자료_거시'!$K3053)),IFERROR('자료_거시'!$K3053/INDEX($Z$21:$Z$4020,MATCH(EDATE('자료_거시'!$J3053,-'설정'!$B$17),'자료_거시'!$J$3:INDEX('자료_거시'!$J$3:$J$4002,$K$8),1))-1,""),"")</f>
        <v/>
      </c>
      <c r="AB3071">
        <f>IF(ISNUMBER(AA3071),'자료_거시'!$J3053,"")</f>
        <v/>
      </c>
      <c r="AC3071">
        <f>IF(ISNUMBER(AB3071),IF(AB3071&gt;$L$8,AA3071,""),"")</f>
        <v/>
      </c>
    </row>
    <row r="3072">
      <c r="S3072">
        <f>IF(ISNUMBER('자료_거시'!$E3054),'자료_거시'!$E3054,S3071)</f>
        <v/>
      </c>
      <c r="T3072">
        <f>IF(AND(ISNUMBER('자료_거시'!$D3054),ISNUMBER('자료_거시'!$E3054)),IFERROR('자료_거시'!$E3054-INDEX($S$21:$S$4020,MATCH(EDATE('자료_거시'!$D3054,-'설정'!$B$17),'자료_거시'!$D$3:INDEX('자료_거시'!$D$3:$D$4002,$K$6),1)),""),"")</f>
        <v/>
      </c>
      <c r="U3072">
        <f>IF(ISNUMBER(T3072),'자료_거시'!$D3054,"")</f>
        <v/>
      </c>
      <c r="V3072">
        <f>IF(ISNUMBER(U3072),IF(U3072&gt;$L$6,T3072,""),"")</f>
        <v/>
      </c>
      <c r="W3072">
        <f>IF(AND(ISNUMBER('자료_거시'!$G3054),ISNUMBER('자료_거시'!$H3054)),'자료_거시'!$H3054,"")</f>
        <v/>
      </c>
      <c r="X3072">
        <f>IF(ISNUMBER(W3072),'자료_거시'!$G3054,"")</f>
        <v/>
      </c>
      <c r="Y3072">
        <f>IF(ISNUMBER(X3072),IF(X3072&gt;$L$7,W3072,""),"")</f>
        <v/>
      </c>
      <c r="Z3072">
        <f>IF(ISNUMBER('자료_거시'!$K3054),'자료_거시'!$K3054,Z3071)</f>
        <v/>
      </c>
      <c r="AA3072">
        <f>IF(AND(ISNUMBER('자료_거시'!$J3054),ISNUMBER('자료_거시'!$K3054)),IFERROR('자료_거시'!$K3054/INDEX($Z$21:$Z$4020,MATCH(EDATE('자료_거시'!$J3054,-'설정'!$B$17),'자료_거시'!$J$3:INDEX('자료_거시'!$J$3:$J$4002,$K$8),1))-1,""),"")</f>
        <v/>
      </c>
      <c r="AB3072">
        <f>IF(ISNUMBER(AA3072),'자료_거시'!$J3054,"")</f>
        <v/>
      </c>
      <c r="AC3072">
        <f>IF(ISNUMBER(AB3072),IF(AB3072&gt;$L$8,AA3072,""),"")</f>
        <v/>
      </c>
    </row>
    <row r="3073">
      <c r="S3073">
        <f>IF(ISNUMBER('자료_거시'!$E3055),'자료_거시'!$E3055,S3072)</f>
        <v/>
      </c>
      <c r="T3073">
        <f>IF(AND(ISNUMBER('자료_거시'!$D3055),ISNUMBER('자료_거시'!$E3055)),IFERROR('자료_거시'!$E3055-INDEX($S$21:$S$4020,MATCH(EDATE('자료_거시'!$D3055,-'설정'!$B$17),'자료_거시'!$D$3:INDEX('자료_거시'!$D$3:$D$4002,$K$6),1)),""),"")</f>
        <v/>
      </c>
      <c r="U3073">
        <f>IF(ISNUMBER(T3073),'자료_거시'!$D3055,"")</f>
        <v/>
      </c>
      <c r="V3073">
        <f>IF(ISNUMBER(U3073),IF(U3073&gt;$L$6,T3073,""),"")</f>
        <v/>
      </c>
      <c r="W3073">
        <f>IF(AND(ISNUMBER('자료_거시'!$G3055),ISNUMBER('자료_거시'!$H3055)),'자료_거시'!$H3055,"")</f>
        <v/>
      </c>
      <c r="X3073">
        <f>IF(ISNUMBER(W3073),'자료_거시'!$G3055,"")</f>
        <v/>
      </c>
      <c r="Y3073">
        <f>IF(ISNUMBER(X3073),IF(X3073&gt;$L$7,W3073,""),"")</f>
        <v/>
      </c>
      <c r="Z3073">
        <f>IF(ISNUMBER('자료_거시'!$K3055),'자료_거시'!$K3055,Z3072)</f>
        <v/>
      </c>
      <c r="AA3073">
        <f>IF(AND(ISNUMBER('자료_거시'!$J3055),ISNUMBER('자료_거시'!$K3055)),IFERROR('자료_거시'!$K3055/INDEX($Z$21:$Z$4020,MATCH(EDATE('자료_거시'!$J3055,-'설정'!$B$17),'자료_거시'!$J$3:INDEX('자료_거시'!$J$3:$J$4002,$K$8),1))-1,""),"")</f>
        <v/>
      </c>
      <c r="AB3073">
        <f>IF(ISNUMBER(AA3073),'자료_거시'!$J3055,"")</f>
        <v/>
      </c>
      <c r="AC3073">
        <f>IF(ISNUMBER(AB3073),IF(AB3073&gt;$L$8,AA3073,""),"")</f>
        <v/>
      </c>
    </row>
    <row r="3074">
      <c r="S3074">
        <f>IF(ISNUMBER('자료_거시'!$E3056),'자료_거시'!$E3056,S3073)</f>
        <v/>
      </c>
      <c r="T3074">
        <f>IF(AND(ISNUMBER('자료_거시'!$D3056),ISNUMBER('자료_거시'!$E3056)),IFERROR('자료_거시'!$E3056-INDEX($S$21:$S$4020,MATCH(EDATE('자료_거시'!$D3056,-'설정'!$B$17),'자료_거시'!$D$3:INDEX('자료_거시'!$D$3:$D$4002,$K$6),1)),""),"")</f>
        <v/>
      </c>
      <c r="U3074">
        <f>IF(ISNUMBER(T3074),'자료_거시'!$D3056,"")</f>
        <v/>
      </c>
      <c r="V3074">
        <f>IF(ISNUMBER(U3074),IF(U3074&gt;$L$6,T3074,""),"")</f>
        <v/>
      </c>
      <c r="W3074">
        <f>IF(AND(ISNUMBER('자료_거시'!$G3056),ISNUMBER('자료_거시'!$H3056)),'자료_거시'!$H3056,"")</f>
        <v/>
      </c>
      <c r="X3074">
        <f>IF(ISNUMBER(W3074),'자료_거시'!$G3056,"")</f>
        <v/>
      </c>
      <c r="Y3074">
        <f>IF(ISNUMBER(X3074),IF(X3074&gt;$L$7,W3074,""),"")</f>
        <v/>
      </c>
      <c r="Z3074">
        <f>IF(ISNUMBER('자료_거시'!$K3056),'자료_거시'!$K3056,Z3073)</f>
        <v/>
      </c>
      <c r="AA3074">
        <f>IF(AND(ISNUMBER('자료_거시'!$J3056),ISNUMBER('자료_거시'!$K3056)),IFERROR('자료_거시'!$K3056/INDEX($Z$21:$Z$4020,MATCH(EDATE('자료_거시'!$J3056,-'설정'!$B$17),'자료_거시'!$J$3:INDEX('자료_거시'!$J$3:$J$4002,$K$8),1))-1,""),"")</f>
        <v/>
      </c>
      <c r="AB3074">
        <f>IF(ISNUMBER(AA3074),'자료_거시'!$J3056,"")</f>
        <v/>
      </c>
      <c r="AC3074">
        <f>IF(ISNUMBER(AB3074),IF(AB3074&gt;$L$8,AA3074,""),"")</f>
        <v/>
      </c>
    </row>
    <row r="3075">
      <c r="S3075">
        <f>IF(ISNUMBER('자료_거시'!$E3057),'자료_거시'!$E3057,S3074)</f>
        <v/>
      </c>
      <c r="T3075">
        <f>IF(AND(ISNUMBER('자료_거시'!$D3057),ISNUMBER('자료_거시'!$E3057)),IFERROR('자료_거시'!$E3057-INDEX($S$21:$S$4020,MATCH(EDATE('자료_거시'!$D3057,-'설정'!$B$17),'자료_거시'!$D$3:INDEX('자료_거시'!$D$3:$D$4002,$K$6),1)),""),"")</f>
        <v/>
      </c>
      <c r="U3075">
        <f>IF(ISNUMBER(T3075),'자료_거시'!$D3057,"")</f>
        <v/>
      </c>
      <c r="V3075">
        <f>IF(ISNUMBER(U3075),IF(U3075&gt;$L$6,T3075,""),"")</f>
        <v/>
      </c>
      <c r="W3075">
        <f>IF(AND(ISNUMBER('자료_거시'!$G3057),ISNUMBER('자료_거시'!$H3057)),'자료_거시'!$H3057,"")</f>
        <v/>
      </c>
      <c r="X3075">
        <f>IF(ISNUMBER(W3075),'자료_거시'!$G3057,"")</f>
        <v/>
      </c>
      <c r="Y3075">
        <f>IF(ISNUMBER(X3075),IF(X3075&gt;$L$7,W3075,""),"")</f>
        <v/>
      </c>
      <c r="Z3075">
        <f>IF(ISNUMBER('자료_거시'!$K3057),'자료_거시'!$K3057,Z3074)</f>
        <v/>
      </c>
      <c r="AA3075">
        <f>IF(AND(ISNUMBER('자료_거시'!$J3057),ISNUMBER('자료_거시'!$K3057)),IFERROR('자료_거시'!$K3057/INDEX($Z$21:$Z$4020,MATCH(EDATE('자료_거시'!$J3057,-'설정'!$B$17),'자료_거시'!$J$3:INDEX('자료_거시'!$J$3:$J$4002,$K$8),1))-1,""),"")</f>
        <v/>
      </c>
      <c r="AB3075">
        <f>IF(ISNUMBER(AA3075),'자료_거시'!$J3057,"")</f>
        <v/>
      </c>
      <c r="AC3075">
        <f>IF(ISNUMBER(AB3075),IF(AB3075&gt;$L$8,AA3075,""),"")</f>
        <v/>
      </c>
    </row>
    <row r="3076">
      <c r="S3076">
        <f>IF(ISNUMBER('자료_거시'!$E3058),'자료_거시'!$E3058,S3075)</f>
        <v/>
      </c>
      <c r="T3076">
        <f>IF(AND(ISNUMBER('자료_거시'!$D3058),ISNUMBER('자료_거시'!$E3058)),IFERROR('자료_거시'!$E3058-INDEX($S$21:$S$4020,MATCH(EDATE('자료_거시'!$D3058,-'설정'!$B$17),'자료_거시'!$D$3:INDEX('자료_거시'!$D$3:$D$4002,$K$6),1)),""),"")</f>
        <v/>
      </c>
      <c r="U3076">
        <f>IF(ISNUMBER(T3076),'자료_거시'!$D3058,"")</f>
        <v/>
      </c>
      <c r="V3076">
        <f>IF(ISNUMBER(U3076),IF(U3076&gt;$L$6,T3076,""),"")</f>
        <v/>
      </c>
      <c r="W3076">
        <f>IF(AND(ISNUMBER('자료_거시'!$G3058),ISNUMBER('자료_거시'!$H3058)),'자료_거시'!$H3058,"")</f>
        <v/>
      </c>
      <c r="X3076">
        <f>IF(ISNUMBER(W3076),'자료_거시'!$G3058,"")</f>
        <v/>
      </c>
      <c r="Y3076">
        <f>IF(ISNUMBER(X3076),IF(X3076&gt;$L$7,W3076,""),"")</f>
        <v/>
      </c>
      <c r="Z3076">
        <f>IF(ISNUMBER('자료_거시'!$K3058),'자료_거시'!$K3058,Z3075)</f>
        <v/>
      </c>
      <c r="AA3076">
        <f>IF(AND(ISNUMBER('자료_거시'!$J3058),ISNUMBER('자료_거시'!$K3058)),IFERROR('자료_거시'!$K3058/INDEX($Z$21:$Z$4020,MATCH(EDATE('자료_거시'!$J3058,-'설정'!$B$17),'자료_거시'!$J$3:INDEX('자료_거시'!$J$3:$J$4002,$K$8),1))-1,""),"")</f>
        <v/>
      </c>
      <c r="AB3076">
        <f>IF(ISNUMBER(AA3076),'자료_거시'!$J3058,"")</f>
        <v/>
      </c>
      <c r="AC3076">
        <f>IF(ISNUMBER(AB3076),IF(AB3076&gt;$L$8,AA3076,""),"")</f>
        <v/>
      </c>
    </row>
    <row r="3077">
      <c r="S3077">
        <f>IF(ISNUMBER('자료_거시'!$E3059),'자료_거시'!$E3059,S3076)</f>
        <v/>
      </c>
      <c r="T3077">
        <f>IF(AND(ISNUMBER('자료_거시'!$D3059),ISNUMBER('자료_거시'!$E3059)),IFERROR('자료_거시'!$E3059-INDEX($S$21:$S$4020,MATCH(EDATE('자료_거시'!$D3059,-'설정'!$B$17),'자료_거시'!$D$3:INDEX('자료_거시'!$D$3:$D$4002,$K$6),1)),""),"")</f>
        <v/>
      </c>
      <c r="U3077">
        <f>IF(ISNUMBER(T3077),'자료_거시'!$D3059,"")</f>
        <v/>
      </c>
      <c r="V3077">
        <f>IF(ISNUMBER(U3077),IF(U3077&gt;$L$6,T3077,""),"")</f>
        <v/>
      </c>
      <c r="W3077">
        <f>IF(AND(ISNUMBER('자료_거시'!$G3059),ISNUMBER('자료_거시'!$H3059)),'자료_거시'!$H3059,"")</f>
        <v/>
      </c>
      <c r="X3077">
        <f>IF(ISNUMBER(W3077),'자료_거시'!$G3059,"")</f>
        <v/>
      </c>
      <c r="Y3077">
        <f>IF(ISNUMBER(X3077),IF(X3077&gt;$L$7,W3077,""),"")</f>
        <v/>
      </c>
      <c r="Z3077">
        <f>IF(ISNUMBER('자료_거시'!$K3059),'자료_거시'!$K3059,Z3076)</f>
        <v/>
      </c>
      <c r="AA3077">
        <f>IF(AND(ISNUMBER('자료_거시'!$J3059),ISNUMBER('자료_거시'!$K3059)),IFERROR('자료_거시'!$K3059/INDEX($Z$21:$Z$4020,MATCH(EDATE('자료_거시'!$J3059,-'설정'!$B$17),'자료_거시'!$J$3:INDEX('자료_거시'!$J$3:$J$4002,$K$8),1))-1,""),"")</f>
        <v/>
      </c>
      <c r="AB3077">
        <f>IF(ISNUMBER(AA3077),'자료_거시'!$J3059,"")</f>
        <v/>
      </c>
      <c r="AC3077">
        <f>IF(ISNUMBER(AB3077),IF(AB3077&gt;$L$8,AA3077,""),"")</f>
        <v/>
      </c>
    </row>
    <row r="3078">
      <c r="S3078">
        <f>IF(ISNUMBER('자료_거시'!$E3060),'자료_거시'!$E3060,S3077)</f>
        <v/>
      </c>
      <c r="T3078">
        <f>IF(AND(ISNUMBER('자료_거시'!$D3060),ISNUMBER('자료_거시'!$E3060)),IFERROR('자료_거시'!$E3060-INDEX($S$21:$S$4020,MATCH(EDATE('자료_거시'!$D3060,-'설정'!$B$17),'자료_거시'!$D$3:INDEX('자료_거시'!$D$3:$D$4002,$K$6),1)),""),"")</f>
        <v/>
      </c>
      <c r="U3078">
        <f>IF(ISNUMBER(T3078),'자료_거시'!$D3060,"")</f>
        <v/>
      </c>
      <c r="V3078">
        <f>IF(ISNUMBER(U3078),IF(U3078&gt;$L$6,T3078,""),"")</f>
        <v/>
      </c>
      <c r="W3078">
        <f>IF(AND(ISNUMBER('자료_거시'!$G3060),ISNUMBER('자료_거시'!$H3060)),'자료_거시'!$H3060,"")</f>
        <v/>
      </c>
      <c r="X3078">
        <f>IF(ISNUMBER(W3078),'자료_거시'!$G3060,"")</f>
        <v/>
      </c>
      <c r="Y3078">
        <f>IF(ISNUMBER(X3078),IF(X3078&gt;$L$7,W3078,""),"")</f>
        <v/>
      </c>
      <c r="Z3078">
        <f>IF(ISNUMBER('자료_거시'!$K3060),'자료_거시'!$K3060,Z3077)</f>
        <v/>
      </c>
      <c r="AA3078">
        <f>IF(AND(ISNUMBER('자료_거시'!$J3060),ISNUMBER('자료_거시'!$K3060)),IFERROR('자료_거시'!$K3060/INDEX($Z$21:$Z$4020,MATCH(EDATE('자료_거시'!$J3060,-'설정'!$B$17),'자료_거시'!$J$3:INDEX('자료_거시'!$J$3:$J$4002,$K$8),1))-1,""),"")</f>
        <v/>
      </c>
      <c r="AB3078">
        <f>IF(ISNUMBER(AA3078),'자료_거시'!$J3060,"")</f>
        <v/>
      </c>
      <c r="AC3078">
        <f>IF(ISNUMBER(AB3078),IF(AB3078&gt;$L$8,AA3078,""),"")</f>
        <v/>
      </c>
    </row>
    <row r="3079">
      <c r="S3079">
        <f>IF(ISNUMBER('자료_거시'!$E3061),'자료_거시'!$E3061,S3078)</f>
        <v/>
      </c>
      <c r="T3079">
        <f>IF(AND(ISNUMBER('자료_거시'!$D3061),ISNUMBER('자료_거시'!$E3061)),IFERROR('자료_거시'!$E3061-INDEX($S$21:$S$4020,MATCH(EDATE('자료_거시'!$D3061,-'설정'!$B$17),'자료_거시'!$D$3:INDEX('자료_거시'!$D$3:$D$4002,$K$6),1)),""),"")</f>
        <v/>
      </c>
      <c r="U3079">
        <f>IF(ISNUMBER(T3079),'자료_거시'!$D3061,"")</f>
        <v/>
      </c>
      <c r="V3079">
        <f>IF(ISNUMBER(U3079),IF(U3079&gt;$L$6,T3079,""),"")</f>
        <v/>
      </c>
      <c r="W3079">
        <f>IF(AND(ISNUMBER('자료_거시'!$G3061),ISNUMBER('자료_거시'!$H3061)),'자료_거시'!$H3061,"")</f>
        <v/>
      </c>
      <c r="X3079">
        <f>IF(ISNUMBER(W3079),'자료_거시'!$G3061,"")</f>
        <v/>
      </c>
      <c r="Y3079">
        <f>IF(ISNUMBER(X3079),IF(X3079&gt;$L$7,W3079,""),"")</f>
        <v/>
      </c>
      <c r="Z3079">
        <f>IF(ISNUMBER('자료_거시'!$K3061),'자료_거시'!$K3061,Z3078)</f>
        <v/>
      </c>
      <c r="AA3079">
        <f>IF(AND(ISNUMBER('자료_거시'!$J3061),ISNUMBER('자료_거시'!$K3061)),IFERROR('자료_거시'!$K3061/INDEX($Z$21:$Z$4020,MATCH(EDATE('자료_거시'!$J3061,-'설정'!$B$17),'자료_거시'!$J$3:INDEX('자료_거시'!$J$3:$J$4002,$K$8),1))-1,""),"")</f>
        <v/>
      </c>
      <c r="AB3079">
        <f>IF(ISNUMBER(AA3079),'자료_거시'!$J3061,"")</f>
        <v/>
      </c>
      <c r="AC3079">
        <f>IF(ISNUMBER(AB3079),IF(AB3079&gt;$L$8,AA3079,""),"")</f>
        <v/>
      </c>
    </row>
    <row r="3080">
      <c r="S3080">
        <f>IF(ISNUMBER('자료_거시'!$E3062),'자료_거시'!$E3062,S3079)</f>
        <v/>
      </c>
      <c r="T3080">
        <f>IF(AND(ISNUMBER('자료_거시'!$D3062),ISNUMBER('자료_거시'!$E3062)),IFERROR('자료_거시'!$E3062-INDEX($S$21:$S$4020,MATCH(EDATE('자료_거시'!$D3062,-'설정'!$B$17),'자료_거시'!$D$3:INDEX('자료_거시'!$D$3:$D$4002,$K$6),1)),""),"")</f>
        <v/>
      </c>
      <c r="U3080">
        <f>IF(ISNUMBER(T3080),'자료_거시'!$D3062,"")</f>
        <v/>
      </c>
      <c r="V3080">
        <f>IF(ISNUMBER(U3080),IF(U3080&gt;$L$6,T3080,""),"")</f>
        <v/>
      </c>
      <c r="W3080">
        <f>IF(AND(ISNUMBER('자료_거시'!$G3062),ISNUMBER('자료_거시'!$H3062)),'자료_거시'!$H3062,"")</f>
        <v/>
      </c>
      <c r="X3080">
        <f>IF(ISNUMBER(W3080),'자료_거시'!$G3062,"")</f>
        <v/>
      </c>
      <c r="Y3080">
        <f>IF(ISNUMBER(X3080),IF(X3080&gt;$L$7,W3080,""),"")</f>
        <v/>
      </c>
      <c r="Z3080">
        <f>IF(ISNUMBER('자료_거시'!$K3062),'자료_거시'!$K3062,Z3079)</f>
        <v/>
      </c>
      <c r="AA3080">
        <f>IF(AND(ISNUMBER('자료_거시'!$J3062),ISNUMBER('자료_거시'!$K3062)),IFERROR('자료_거시'!$K3062/INDEX($Z$21:$Z$4020,MATCH(EDATE('자료_거시'!$J3062,-'설정'!$B$17),'자료_거시'!$J$3:INDEX('자료_거시'!$J$3:$J$4002,$K$8),1))-1,""),"")</f>
        <v/>
      </c>
      <c r="AB3080">
        <f>IF(ISNUMBER(AA3080),'자료_거시'!$J3062,"")</f>
        <v/>
      </c>
      <c r="AC3080">
        <f>IF(ISNUMBER(AB3080),IF(AB3080&gt;$L$8,AA3080,""),"")</f>
        <v/>
      </c>
    </row>
    <row r="3081">
      <c r="S3081">
        <f>IF(ISNUMBER('자료_거시'!$E3063),'자료_거시'!$E3063,S3080)</f>
        <v/>
      </c>
      <c r="T3081">
        <f>IF(AND(ISNUMBER('자료_거시'!$D3063),ISNUMBER('자료_거시'!$E3063)),IFERROR('자료_거시'!$E3063-INDEX($S$21:$S$4020,MATCH(EDATE('자료_거시'!$D3063,-'설정'!$B$17),'자료_거시'!$D$3:INDEX('자료_거시'!$D$3:$D$4002,$K$6),1)),""),"")</f>
        <v/>
      </c>
      <c r="U3081">
        <f>IF(ISNUMBER(T3081),'자료_거시'!$D3063,"")</f>
        <v/>
      </c>
      <c r="V3081">
        <f>IF(ISNUMBER(U3081),IF(U3081&gt;$L$6,T3081,""),"")</f>
        <v/>
      </c>
      <c r="W3081">
        <f>IF(AND(ISNUMBER('자료_거시'!$G3063),ISNUMBER('자료_거시'!$H3063)),'자료_거시'!$H3063,"")</f>
        <v/>
      </c>
      <c r="X3081">
        <f>IF(ISNUMBER(W3081),'자료_거시'!$G3063,"")</f>
        <v/>
      </c>
      <c r="Y3081">
        <f>IF(ISNUMBER(X3081),IF(X3081&gt;$L$7,W3081,""),"")</f>
        <v/>
      </c>
      <c r="Z3081">
        <f>IF(ISNUMBER('자료_거시'!$K3063),'자료_거시'!$K3063,Z3080)</f>
        <v/>
      </c>
      <c r="AA3081">
        <f>IF(AND(ISNUMBER('자료_거시'!$J3063),ISNUMBER('자료_거시'!$K3063)),IFERROR('자료_거시'!$K3063/INDEX($Z$21:$Z$4020,MATCH(EDATE('자료_거시'!$J3063,-'설정'!$B$17),'자료_거시'!$J$3:INDEX('자료_거시'!$J$3:$J$4002,$K$8),1))-1,""),"")</f>
        <v/>
      </c>
      <c r="AB3081">
        <f>IF(ISNUMBER(AA3081),'자료_거시'!$J3063,"")</f>
        <v/>
      </c>
      <c r="AC3081">
        <f>IF(ISNUMBER(AB3081),IF(AB3081&gt;$L$8,AA3081,""),"")</f>
        <v/>
      </c>
    </row>
    <row r="3082">
      <c r="S3082">
        <f>IF(ISNUMBER('자료_거시'!$E3064),'자료_거시'!$E3064,S3081)</f>
        <v/>
      </c>
      <c r="T3082">
        <f>IF(AND(ISNUMBER('자료_거시'!$D3064),ISNUMBER('자료_거시'!$E3064)),IFERROR('자료_거시'!$E3064-INDEX($S$21:$S$4020,MATCH(EDATE('자료_거시'!$D3064,-'설정'!$B$17),'자료_거시'!$D$3:INDEX('자료_거시'!$D$3:$D$4002,$K$6),1)),""),"")</f>
        <v/>
      </c>
      <c r="U3082">
        <f>IF(ISNUMBER(T3082),'자료_거시'!$D3064,"")</f>
        <v/>
      </c>
      <c r="V3082">
        <f>IF(ISNUMBER(U3082),IF(U3082&gt;$L$6,T3082,""),"")</f>
        <v/>
      </c>
      <c r="W3082">
        <f>IF(AND(ISNUMBER('자료_거시'!$G3064),ISNUMBER('자료_거시'!$H3064)),'자료_거시'!$H3064,"")</f>
        <v/>
      </c>
      <c r="X3082">
        <f>IF(ISNUMBER(W3082),'자료_거시'!$G3064,"")</f>
        <v/>
      </c>
      <c r="Y3082">
        <f>IF(ISNUMBER(X3082),IF(X3082&gt;$L$7,W3082,""),"")</f>
        <v/>
      </c>
      <c r="Z3082">
        <f>IF(ISNUMBER('자료_거시'!$K3064),'자료_거시'!$K3064,Z3081)</f>
        <v/>
      </c>
      <c r="AA3082">
        <f>IF(AND(ISNUMBER('자료_거시'!$J3064),ISNUMBER('자료_거시'!$K3064)),IFERROR('자료_거시'!$K3064/INDEX($Z$21:$Z$4020,MATCH(EDATE('자료_거시'!$J3064,-'설정'!$B$17),'자료_거시'!$J$3:INDEX('자료_거시'!$J$3:$J$4002,$K$8),1))-1,""),"")</f>
        <v/>
      </c>
      <c r="AB3082">
        <f>IF(ISNUMBER(AA3082),'자료_거시'!$J3064,"")</f>
        <v/>
      </c>
      <c r="AC3082">
        <f>IF(ISNUMBER(AB3082),IF(AB3082&gt;$L$8,AA3082,""),"")</f>
        <v/>
      </c>
    </row>
    <row r="3083">
      <c r="S3083">
        <f>IF(ISNUMBER('자료_거시'!$E3065),'자료_거시'!$E3065,S3082)</f>
        <v/>
      </c>
      <c r="T3083">
        <f>IF(AND(ISNUMBER('자료_거시'!$D3065),ISNUMBER('자료_거시'!$E3065)),IFERROR('자료_거시'!$E3065-INDEX($S$21:$S$4020,MATCH(EDATE('자료_거시'!$D3065,-'설정'!$B$17),'자료_거시'!$D$3:INDEX('자료_거시'!$D$3:$D$4002,$K$6),1)),""),"")</f>
        <v/>
      </c>
      <c r="U3083">
        <f>IF(ISNUMBER(T3083),'자료_거시'!$D3065,"")</f>
        <v/>
      </c>
      <c r="V3083">
        <f>IF(ISNUMBER(U3083),IF(U3083&gt;$L$6,T3083,""),"")</f>
        <v/>
      </c>
      <c r="W3083">
        <f>IF(AND(ISNUMBER('자료_거시'!$G3065),ISNUMBER('자료_거시'!$H3065)),'자료_거시'!$H3065,"")</f>
        <v/>
      </c>
      <c r="X3083">
        <f>IF(ISNUMBER(W3083),'자료_거시'!$G3065,"")</f>
        <v/>
      </c>
      <c r="Y3083">
        <f>IF(ISNUMBER(X3083),IF(X3083&gt;$L$7,W3083,""),"")</f>
        <v/>
      </c>
      <c r="Z3083">
        <f>IF(ISNUMBER('자료_거시'!$K3065),'자료_거시'!$K3065,Z3082)</f>
        <v/>
      </c>
      <c r="AA3083">
        <f>IF(AND(ISNUMBER('자료_거시'!$J3065),ISNUMBER('자료_거시'!$K3065)),IFERROR('자료_거시'!$K3065/INDEX($Z$21:$Z$4020,MATCH(EDATE('자료_거시'!$J3065,-'설정'!$B$17),'자료_거시'!$J$3:INDEX('자료_거시'!$J$3:$J$4002,$K$8),1))-1,""),"")</f>
        <v/>
      </c>
      <c r="AB3083">
        <f>IF(ISNUMBER(AA3083),'자료_거시'!$J3065,"")</f>
        <v/>
      </c>
      <c r="AC3083">
        <f>IF(ISNUMBER(AB3083),IF(AB3083&gt;$L$8,AA3083,""),"")</f>
        <v/>
      </c>
    </row>
    <row r="3084">
      <c r="S3084">
        <f>IF(ISNUMBER('자료_거시'!$E3066),'자료_거시'!$E3066,S3083)</f>
        <v/>
      </c>
      <c r="T3084">
        <f>IF(AND(ISNUMBER('자료_거시'!$D3066),ISNUMBER('자료_거시'!$E3066)),IFERROR('자료_거시'!$E3066-INDEX($S$21:$S$4020,MATCH(EDATE('자료_거시'!$D3066,-'설정'!$B$17),'자료_거시'!$D$3:INDEX('자료_거시'!$D$3:$D$4002,$K$6),1)),""),"")</f>
        <v/>
      </c>
      <c r="U3084">
        <f>IF(ISNUMBER(T3084),'자료_거시'!$D3066,"")</f>
        <v/>
      </c>
      <c r="V3084">
        <f>IF(ISNUMBER(U3084),IF(U3084&gt;$L$6,T3084,""),"")</f>
        <v/>
      </c>
      <c r="W3084">
        <f>IF(AND(ISNUMBER('자료_거시'!$G3066),ISNUMBER('자료_거시'!$H3066)),'자료_거시'!$H3066,"")</f>
        <v/>
      </c>
      <c r="X3084">
        <f>IF(ISNUMBER(W3084),'자료_거시'!$G3066,"")</f>
        <v/>
      </c>
      <c r="Y3084">
        <f>IF(ISNUMBER(X3084),IF(X3084&gt;$L$7,W3084,""),"")</f>
        <v/>
      </c>
      <c r="Z3084">
        <f>IF(ISNUMBER('자료_거시'!$K3066),'자료_거시'!$K3066,Z3083)</f>
        <v/>
      </c>
      <c r="AA3084">
        <f>IF(AND(ISNUMBER('자료_거시'!$J3066),ISNUMBER('자료_거시'!$K3066)),IFERROR('자료_거시'!$K3066/INDEX($Z$21:$Z$4020,MATCH(EDATE('자료_거시'!$J3066,-'설정'!$B$17),'자료_거시'!$J$3:INDEX('자료_거시'!$J$3:$J$4002,$K$8),1))-1,""),"")</f>
        <v/>
      </c>
      <c r="AB3084">
        <f>IF(ISNUMBER(AA3084),'자료_거시'!$J3066,"")</f>
        <v/>
      </c>
      <c r="AC3084">
        <f>IF(ISNUMBER(AB3084),IF(AB3084&gt;$L$8,AA3084,""),"")</f>
        <v/>
      </c>
    </row>
    <row r="3085">
      <c r="S3085">
        <f>IF(ISNUMBER('자료_거시'!$E3067),'자료_거시'!$E3067,S3084)</f>
        <v/>
      </c>
      <c r="T3085">
        <f>IF(AND(ISNUMBER('자료_거시'!$D3067),ISNUMBER('자료_거시'!$E3067)),IFERROR('자료_거시'!$E3067-INDEX($S$21:$S$4020,MATCH(EDATE('자료_거시'!$D3067,-'설정'!$B$17),'자료_거시'!$D$3:INDEX('자료_거시'!$D$3:$D$4002,$K$6),1)),""),"")</f>
        <v/>
      </c>
      <c r="U3085">
        <f>IF(ISNUMBER(T3085),'자료_거시'!$D3067,"")</f>
        <v/>
      </c>
      <c r="V3085">
        <f>IF(ISNUMBER(U3085),IF(U3085&gt;$L$6,T3085,""),"")</f>
        <v/>
      </c>
      <c r="W3085">
        <f>IF(AND(ISNUMBER('자료_거시'!$G3067),ISNUMBER('자료_거시'!$H3067)),'자료_거시'!$H3067,"")</f>
        <v/>
      </c>
      <c r="X3085">
        <f>IF(ISNUMBER(W3085),'자료_거시'!$G3067,"")</f>
        <v/>
      </c>
      <c r="Y3085">
        <f>IF(ISNUMBER(X3085),IF(X3085&gt;$L$7,W3085,""),"")</f>
        <v/>
      </c>
      <c r="Z3085">
        <f>IF(ISNUMBER('자료_거시'!$K3067),'자료_거시'!$K3067,Z3084)</f>
        <v/>
      </c>
      <c r="AA3085">
        <f>IF(AND(ISNUMBER('자료_거시'!$J3067),ISNUMBER('자료_거시'!$K3067)),IFERROR('자료_거시'!$K3067/INDEX($Z$21:$Z$4020,MATCH(EDATE('자료_거시'!$J3067,-'설정'!$B$17),'자료_거시'!$J$3:INDEX('자료_거시'!$J$3:$J$4002,$K$8),1))-1,""),"")</f>
        <v/>
      </c>
      <c r="AB3085">
        <f>IF(ISNUMBER(AA3085),'자료_거시'!$J3067,"")</f>
        <v/>
      </c>
      <c r="AC3085">
        <f>IF(ISNUMBER(AB3085),IF(AB3085&gt;$L$8,AA3085,""),"")</f>
        <v/>
      </c>
    </row>
    <row r="3086">
      <c r="S3086">
        <f>IF(ISNUMBER('자료_거시'!$E3068),'자료_거시'!$E3068,S3085)</f>
        <v/>
      </c>
      <c r="T3086">
        <f>IF(AND(ISNUMBER('자료_거시'!$D3068),ISNUMBER('자료_거시'!$E3068)),IFERROR('자료_거시'!$E3068-INDEX($S$21:$S$4020,MATCH(EDATE('자료_거시'!$D3068,-'설정'!$B$17),'자료_거시'!$D$3:INDEX('자료_거시'!$D$3:$D$4002,$K$6),1)),""),"")</f>
        <v/>
      </c>
      <c r="U3086">
        <f>IF(ISNUMBER(T3086),'자료_거시'!$D3068,"")</f>
        <v/>
      </c>
      <c r="V3086">
        <f>IF(ISNUMBER(U3086),IF(U3086&gt;$L$6,T3086,""),"")</f>
        <v/>
      </c>
      <c r="W3086">
        <f>IF(AND(ISNUMBER('자료_거시'!$G3068),ISNUMBER('자료_거시'!$H3068)),'자료_거시'!$H3068,"")</f>
        <v/>
      </c>
      <c r="X3086">
        <f>IF(ISNUMBER(W3086),'자료_거시'!$G3068,"")</f>
        <v/>
      </c>
      <c r="Y3086">
        <f>IF(ISNUMBER(X3086),IF(X3086&gt;$L$7,W3086,""),"")</f>
        <v/>
      </c>
      <c r="Z3086">
        <f>IF(ISNUMBER('자료_거시'!$K3068),'자료_거시'!$K3068,Z3085)</f>
        <v/>
      </c>
      <c r="AA3086">
        <f>IF(AND(ISNUMBER('자료_거시'!$J3068),ISNUMBER('자료_거시'!$K3068)),IFERROR('자료_거시'!$K3068/INDEX($Z$21:$Z$4020,MATCH(EDATE('자료_거시'!$J3068,-'설정'!$B$17),'자료_거시'!$J$3:INDEX('자료_거시'!$J$3:$J$4002,$K$8),1))-1,""),"")</f>
        <v/>
      </c>
      <c r="AB3086">
        <f>IF(ISNUMBER(AA3086),'자료_거시'!$J3068,"")</f>
        <v/>
      </c>
      <c r="AC3086">
        <f>IF(ISNUMBER(AB3086),IF(AB3086&gt;$L$8,AA3086,""),"")</f>
        <v/>
      </c>
    </row>
    <row r="3087">
      <c r="S3087">
        <f>IF(ISNUMBER('자료_거시'!$E3069),'자료_거시'!$E3069,S3086)</f>
        <v/>
      </c>
      <c r="T3087">
        <f>IF(AND(ISNUMBER('자료_거시'!$D3069),ISNUMBER('자료_거시'!$E3069)),IFERROR('자료_거시'!$E3069-INDEX($S$21:$S$4020,MATCH(EDATE('자료_거시'!$D3069,-'설정'!$B$17),'자료_거시'!$D$3:INDEX('자료_거시'!$D$3:$D$4002,$K$6),1)),""),"")</f>
        <v/>
      </c>
      <c r="U3087">
        <f>IF(ISNUMBER(T3087),'자료_거시'!$D3069,"")</f>
        <v/>
      </c>
      <c r="V3087">
        <f>IF(ISNUMBER(U3087),IF(U3087&gt;$L$6,T3087,""),"")</f>
        <v/>
      </c>
      <c r="W3087">
        <f>IF(AND(ISNUMBER('자료_거시'!$G3069),ISNUMBER('자료_거시'!$H3069)),'자료_거시'!$H3069,"")</f>
        <v/>
      </c>
      <c r="X3087">
        <f>IF(ISNUMBER(W3087),'자료_거시'!$G3069,"")</f>
        <v/>
      </c>
      <c r="Y3087">
        <f>IF(ISNUMBER(X3087),IF(X3087&gt;$L$7,W3087,""),"")</f>
        <v/>
      </c>
      <c r="Z3087">
        <f>IF(ISNUMBER('자료_거시'!$K3069),'자료_거시'!$K3069,Z3086)</f>
        <v/>
      </c>
      <c r="AA3087">
        <f>IF(AND(ISNUMBER('자료_거시'!$J3069),ISNUMBER('자료_거시'!$K3069)),IFERROR('자료_거시'!$K3069/INDEX($Z$21:$Z$4020,MATCH(EDATE('자료_거시'!$J3069,-'설정'!$B$17),'자료_거시'!$J$3:INDEX('자료_거시'!$J$3:$J$4002,$K$8),1))-1,""),"")</f>
        <v/>
      </c>
      <c r="AB3087">
        <f>IF(ISNUMBER(AA3087),'자료_거시'!$J3069,"")</f>
        <v/>
      </c>
      <c r="AC3087">
        <f>IF(ISNUMBER(AB3087),IF(AB3087&gt;$L$8,AA3087,""),"")</f>
        <v/>
      </c>
    </row>
    <row r="3088">
      <c r="S3088">
        <f>IF(ISNUMBER('자료_거시'!$E3070),'자료_거시'!$E3070,S3087)</f>
        <v/>
      </c>
      <c r="T3088">
        <f>IF(AND(ISNUMBER('자료_거시'!$D3070),ISNUMBER('자료_거시'!$E3070)),IFERROR('자료_거시'!$E3070-INDEX($S$21:$S$4020,MATCH(EDATE('자료_거시'!$D3070,-'설정'!$B$17),'자료_거시'!$D$3:INDEX('자료_거시'!$D$3:$D$4002,$K$6),1)),""),"")</f>
        <v/>
      </c>
      <c r="U3088">
        <f>IF(ISNUMBER(T3088),'자료_거시'!$D3070,"")</f>
        <v/>
      </c>
      <c r="V3088">
        <f>IF(ISNUMBER(U3088),IF(U3088&gt;$L$6,T3088,""),"")</f>
        <v/>
      </c>
      <c r="W3088">
        <f>IF(AND(ISNUMBER('자료_거시'!$G3070),ISNUMBER('자료_거시'!$H3070)),'자료_거시'!$H3070,"")</f>
        <v/>
      </c>
      <c r="X3088">
        <f>IF(ISNUMBER(W3088),'자료_거시'!$G3070,"")</f>
        <v/>
      </c>
      <c r="Y3088">
        <f>IF(ISNUMBER(X3088),IF(X3088&gt;$L$7,W3088,""),"")</f>
        <v/>
      </c>
      <c r="Z3088">
        <f>IF(ISNUMBER('자료_거시'!$K3070),'자료_거시'!$K3070,Z3087)</f>
        <v/>
      </c>
      <c r="AA3088">
        <f>IF(AND(ISNUMBER('자료_거시'!$J3070),ISNUMBER('자료_거시'!$K3070)),IFERROR('자료_거시'!$K3070/INDEX($Z$21:$Z$4020,MATCH(EDATE('자료_거시'!$J3070,-'설정'!$B$17),'자료_거시'!$J$3:INDEX('자료_거시'!$J$3:$J$4002,$K$8),1))-1,""),"")</f>
        <v/>
      </c>
      <c r="AB3088">
        <f>IF(ISNUMBER(AA3088),'자료_거시'!$J3070,"")</f>
        <v/>
      </c>
      <c r="AC3088">
        <f>IF(ISNUMBER(AB3088),IF(AB3088&gt;$L$8,AA3088,""),"")</f>
        <v/>
      </c>
    </row>
    <row r="3089">
      <c r="S3089">
        <f>IF(ISNUMBER('자료_거시'!$E3071),'자료_거시'!$E3071,S3088)</f>
        <v/>
      </c>
      <c r="T3089">
        <f>IF(AND(ISNUMBER('자료_거시'!$D3071),ISNUMBER('자료_거시'!$E3071)),IFERROR('자료_거시'!$E3071-INDEX($S$21:$S$4020,MATCH(EDATE('자료_거시'!$D3071,-'설정'!$B$17),'자료_거시'!$D$3:INDEX('자료_거시'!$D$3:$D$4002,$K$6),1)),""),"")</f>
        <v/>
      </c>
      <c r="U3089">
        <f>IF(ISNUMBER(T3089),'자료_거시'!$D3071,"")</f>
        <v/>
      </c>
      <c r="V3089">
        <f>IF(ISNUMBER(U3089),IF(U3089&gt;$L$6,T3089,""),"")</f>
        <v/>
      </c>
      <c r="W3089">
        <f>IF(AND(ISNUMBER('자료_거시'!$G3071),ISNUMBER('자료_거시'!$H3071)),'자료_거시'!$H3071,"")</f>
        <v/>
      </c>
      <c r="X3089">
        <f>IF(ISNUMBER(W3089),'자료_거시'!$G3071,"")</f>
        <v/>
      </c>
      <c r="Y3089">
        <f>IF(ISNUMBER(X3089),IF(X3089&gt;$L$7,W3089,""),"")</f>
        <v/>
      </c>
      <c r="Z3089">
        <f>IF(ISNUMBER('자료_거시'!$K3071),'자료_거시'!$K3071,Z3088)</f>
        <v/>
      </c>
      <c r="AA3089">
        <f>IF(AND(ISNUMBER('자료_거시'!$J3071),ISNUMBER('자료_거시'!$K3071)),IFERROR('자료_거시'!$K3071/INDEX($Z$21:$Z$4020,MATCH(EDATE('자료_거시'!$J3071,-'설정'!$B$17),'자료_거시'!$J$3:INDEX('자료_거시'!$J$3:$J$4002,$K$8),1))-1,""),"")</f>
        <v/>
      </c>
      <c r="AB3089">
        <f>IF(ISNUMBER(AA3089),'자료_거시'!$J3071,"")</f>
        <v/>
      </c>
      <c r="AC3089">
        <f>IF(ISNUMBER(AB3089),IF(AB3089&gt;$L$8,AA3089,""),"")</f>
        <v/>
      </c>
    </row>
    <row r="3090">
      <c r="S3090">
        <f>IF(ISNUMBER('자료_거시'!$E3072),'자료_거시'!$E3072,S3089)</f>
        <v/>
      </c>
      <c r="T3090">
        <f>IF(AND(ISNUMBER('자료_거시'!$D3072),ISNUMBER('자료_거시'!$E3072)),IFERROR('자료_거시'!$E3072-INDEX($S$21:$S$4020,MATCH(EDATE('자료_거시'!$D3072,-'설정'!$B$17),'자료_거시'!$D$3:INDEX('자료_거시'!$D$3:$D$4002,$K$6),1)),""),"")</f>
        <v/>
      </c>
      <c r="U3090">
        <f>IF(ISNUMBER(T3090),'자료_거시'!$D3072,"")</f>
        <v/>
      </c>
      <c r="V3090">
        <f>IF(ISNUMBER(U3090),IF(U3090&gt;$L$6,T3090,""),"")</f>
        <v/>
      </c>
      <c r="W3090">
        <f>IF(AND(ISNUMBER('자료_거시'!$G3072),ISNUMBER('자료_거시'!$H3072)),'자료_거시'!$H3072,"")</f>
        <v/>
      </c>
      <c r="X3090">
        <f>IF(ISNUMBER(W3090),'자료_거시'!$G3072,"")</f>
        <v/>
      </c>
      <c r="Y3090">
        <f>IF(ISNUMBER(X3090),IF(X3090&gt;$L$7,W3090,""),"")</f>
        <v/>
      </c>
      <c r="Z3090">
        <f>IF(ISNUMBER('자료_거시'!$K3072),'자료_거시'!$K3072,Z3089)</f>
        <v/>
      </c>
      <c r="AA3090">
        <f>IF(AND(ISNUMBER('자료_거시'!$J3072),ISNUMBER('자료_거시'!$K3072)),IFERROR('자료_거시'!$K3072/INDEX($Z$21:$Z$4020,MATCH(EDATE('자료_거시'!$J3072,-'설정'!$B$17),'자료_거시'!$J$3:INDEX('자료_거시'!$J$3:$J$4002,$K$8),1))-1,""),"")</f>
        <v/>
      </c>
      <c r="AB3090">
        <f>IF(ISNUMBER(AA3090),'자료_거시'!$J3072,"")</f>
        <v/>
      </c>
      <c r="AC3090">
        <f>IF(ISNUMBER(AB3090),IF(AB3090&gt;$L$8,AA3090,""),"")</f>
        <v/>
      </c>
    </row>
    <row r="3091">
      <c r="S3091">
        <f>IF(ISNUMBER('자료_거시'!$E3073),'자료_거시'!$E3073,S3090)</f>
        <v/>
      </c>
      <c r="T3091">
        <f>IF(AND(ISNUMBER('자료_거시'!$D3073),ISNUMBER('자료_거시'!$E3073)),IFERROR('자료_거시'!$E3073-INDEX($S$21:$S$4020,MATCH(EDATE('자료_거시'!$D3073,-'설정'!$B$17),'자료_거시'!$D$3:INDEX('자료_거시'!$D$3:$D$4002,$K$6),1)),""),"")</f>
        <v/>
      </c>
      <c r="U3091">
        <f>IF(ISNUMBER(T3091),'자료_거시'!$D3073,"")</f>
        <v/>
      </c>
      <c r="V3091">
        <f>IF(ISNUMBER(U3091),IF(U3091&gt;$L$6,T3091,""),"")</f>
        <v/>
      </c>
      <c r="W3091">
        <f>IF(AND(ISNUMBER('자료_거시'!$G3073),ISNUMBER('자료_거시'!$H3073)),'자료_거시'!$H3073,"")</f>
        <v/>
      </c>
      <c r="X3091">
        <f>IF(ISNUMBER(W3091),'자료_거시'!$G3073,"")</f>
        <v/>
      </c>
      <c r="Y3091">
        <f>IF(ISNUMBER(X3091),IF(X3091&gt;$L$7,W3091,""),"")</f>
        <v/>
      </c>
      <c r="Z3091">
        <f>IF(ISNUMBER('자료_거시'!$K3073),'자료_거시'!$K3073,Z3090)</f>
        <v/>
      </c>
      <c r="AA3091">
        <f>IF(AND(ISNUMBER('자료_거시'!$J3073),ISNUMBER('자료_거시'!$K3073)),IFERROR('자료_거시'!$K3073/INDEX($Z$21:$Z$4020,MATCH(EDATE('자료_거시'!$J3073,-'설정'!$B$17),'자료_거시'!$J$3:INDEX('자료_거시'!$J$3:$J$4002,$K$8),1))-1,""),"")</f>
        <v/>
      </c>
      <c r="AB3091">
        <f>IF(ISNUMBER(AA3091),'자료_거시'!$J3073,"")</f>
        <v/>
      </c>
      <c r="AC3091">
        <f>IF(ISNUMBER(AB3091),IF(AB3091&gt;$L$8,AA3091,""),"")</f>
        <v/>
      </c>
    </row>
    <row r="3092">
      <c r="S3092">
        <f>IF(ISNUMBER('자료_거시'!$E3074),'자료_거시'!$E3074,S3091)</f>
        <v/>
      </c>
      <c r="T3092">
        <f>IF(AND(ISNUMBER('자료_거시'!$D3074),ISNUMBER('자료_거시'!$E3074)),IFERROR('자료_거시'!$E3074-INDEX($S$21:$S$4020,MATCH(EDATE('자료_거시'!$D3074,-'설정'!$B$17),'자료_거시'!$D$3:INDEX('자료_거시'!$D$3:$D$4002,$K$6),1)),""),"")</f>
        <v/>
      </c>
      <c r="U3092">
        <f>IF(ISNUMBER(T3092),'자료_거시'!$D3074,"")</f>
        <v/>
      </c>
      <c r="V3092">
        <f>IF(ISNUMBER(U3092),IF(U3092&gt;$L$6,T3092,""),"")</f>
        <v/>
      </c>
      <c r="W3092">
        <f>IF(AND(ISNUMBER('자료_거시'!$G3074),ISNUMBER('자료_거시'!$H3074)),'자료_거시'!$H3074,"")</f>
        <v/>
      </c>
      <c r="X3092">
        <f>IF(ISNUMBER(W3092),'자료_거시'!$G3074,"")</f>
        <v/>
      </c>
      <c r="Y3092">
        <f>IF(ISNUMBER(X3092),IF(X3092&gt;$L$7,W3092,""),"")</f>
        <v/>
      </c>
      <c r="Z3092">
        <f>IF(ISNUMBER('자료_거시'!$K3074),'자료_거시'!$K3074,Z3091)</f>
        <v/>
      </c>
      <c r="AA3092">
        <f>IF(AND(ISNUMBER('자료_거시'!$J3074),ISNUMBER('자료_거시'!$K3074)),IFERROR('자료_거시'!$K3074/INDEX($Z$21:$Z$4020,MATCH(EDATE('자료_거시'!$J3074,-'설정'!$B$17),'자료_거시'!$J$3:INDEX('자료_거시'!$J$3:$J$4002,$K$8),1))-1,""),"")</f>
        <v/>
      </c>
      <c r="AB3092">
        <f>IF(ISNUMBER(AA3092),'자료_거시'!$J3074,"")</f>
        <v/>
      </c>
      <c r="AC3092">
        <f>IF(ISNUMBER(AB3092),IF(AB3092&gt;$L$8,AA3092,""),"")</f>
        <v/>
      </c>
    </row>
    <row r="3093">
      <c r="S3093">
        <f>IF(ISNUMBER('자료_거시'!$E3075),'자료_거시'!$E3075,S3092)</f>
        <v/>
      </c>
      <c r="T3093">
        <f>IF(AND(ISNUMBER('자료_거시'!$D3075),ISNUMBER('자료_거시'!$E3075)),IFERROR('자료_거시'!$E3075-INDEX($S$21:$S$4020,MATCH(EDATE('자료_거시'!$D3075,-'설정'!$B$17),'자료_거시'!$D$3:INDEX('자료_거시'!$D$3:$D$4002,$K$6),1)),""),"")</f>
        <v/>
      </c>
      <c r="U3093">
        <f>IF(ISNUMBER(T3093),'자료_거시'!$D3075,"")</f>
        <v/>
      </c>
      <c r="V3093">
        <f>IF(ISNUMBER(U3093),IF(U3093&gt;$L$6,T3093,""),"")</f>
        <v/>
      </c>
      <c r="W3093">
        <f>IF(AND(ISNUMBER('자료_거시'!$G3075),ISNUMBER('자료_거시'!$H3075)),'자료_거시'!$H3075,"")</f>
        <v/>
      </c>
      <c r="X3093">
        <f>IF(ISNUMBER(W3093),'자료_거시'!$G3075,"")</f>
        <v/>
      </c>
      <c r="Y3093">
        <f>IF(ISNUMBER(X3093),IF(X3093&gt;$L$7,W3093,""),"")</f>
        <v/>
      </c>
      <c r="Z3093">
        <f>IF(ISNUMBER('자료_거시'!$K3075),'자료_거시'!$K3075,Z3092)</f>
        <v/>
      </c>
      <c r="AA3093">
        <f>IF(AND(ISNUMBER('자료_거시'!$J3075),ISNUMBER('자료_거시'!$K3075)),IFERROR('자료_거시'!$K3075/INDEX($Z$21:$Z$4020,MATCH(EDATE('자료_거시'!$J3075,-'설정'!$B$17),'자료_거시'!$J$3:INDEX('자료_거시'!$J$3:$J$4002,$K$8),1))-1,""),"")</f>
        <v/>
      </c>
      <c r="AB3093">
        <f>IF(ISNUMBER(AA3093),'자료_거시'!$J3075,"")</f>
        <v/>
      </c>
      <c r="AC3093">
        <f>IF(ISNUMBER(AB3093),IF(AB3093&gt;$L$8,AA3093,""),"")</f>
        <v/>
      </c>
    </row>
    <row r="3094">
      <c r="S3094">
        <f>IF(ISNUMBER('자료_거시'!$E3076),'자료_거시'!$E3076,S3093)</f>
        <v/>
      </c>
      <c r="T3094">
        <f>IF(AND(ISNUMBER('자료_거시'!$D3076),ISNUMBER('자료_거시'!$E3076)),IFERROR('자료_거시'!$E3076-INDEX($S$21:$S$4020,MATCH(EDATE('자료_거시'!$D3076,-'설정'!$B$17),'자료_거시'!$D$3:INDEX('자료_거시'!$D$3:$D$4002,$K$6),1)),""),"")</f>
        <v/>
      </c>
      <c r="U3094">
        <f>IF(ISNUMBER(T3094),'자료_거시'!$D3076,"")</f>
        <v/>
      </c>
      <c r="V3094">
        <f>IF(ISNUMBER(U3094),IF(U3094&gt;$L$6,T3094,""),"")</f>
        <v/>
      </c>
      <c r="W3094">
        <f>IF(AND(ISNUMBER('자료_거시'!$G3076),ISNUMBER('자료_거시'!$H3076)),'자료_거시'!$H3076,"")</f>
        <v/>
      </c>
      <c r="X3094">
        <f>IF(ISNUMBER(W3094),'자료_거시'!$G3076,"")</f>
        <v/>
      </c>
      <c r="Y3094">
        <f>IF(ISNUMBER(X3094),IF(X3094&gt;$L$7,W3094,""),"")</f>
        <v/>
      </c>
      <c r="Z3094">
        <f>IF(ISNUMBER('자료_거시'!$K3076),'자료_거시'!$K3076,Z3093)</f>
        <v/>
      </c>
      <c r="AA3094">
        <f>IF(AND(ISNUMBER('자료_거시'!$J3076),ISNUMBER('자료_거시'!$K3076)),IFERROR('자료_거시'!$K3076/INDEX($Z$21:$Z$4020,MATCH(EDATE('자료_거시'!$J3076,-'설정'!$B$17),'자료_거시'!$J$3:INDEX('자료_거시'!$J$3:$J$4002,$K$8),1))-1,""),"")</f>
        <v/>
      </c>
      <c r="AB3094">
        <f>IF(ISNUMBER(AA3094),'자료_거시'!$J3076,"")</f>
        <v/>
      </c>
      <c r="AC3094">
        <f>IF(ISNUMBER(AB3094),IF(AB3094&gt;$L$8,AA3094,""),"")</f>
        <v/>
      </c>
    </row>
    <row r="3095">
      <c r="S3095">
        <f>IF(ISNUMBER('자료_거시'!$E3077),'자료_거시'!$E3077,S3094)</f>
        <v/>
      </c>
      <c r="T3095">
        <f>IF(AND(ISNUMBER('자료_거시'!$D3077),ISNUMBER('자료_거시'!$E3077)),IFERROR('자료_거시'!$E3077-INDEX($S$21:$S$4020,MATCH(EDATE('자료_거시'!$D3077,-'설정'!$B$17),'자료_거시'!$D$3:INDEX('자료_거시'!$D$3:$D$4002,$K$6),1)),""),"")</f>
        <v/>
      </c>
      <c r="U3095">
        <f>IF(ISNUMBER(T3095),'자료_거시'!$D3077,"")</f>
        <v/>
      </c>
      <c r="V3095">
        <f>IF(ISNUMBER(U3095),IF(U3095&gt;$L$6,T3095,""),"")</f>
        <v/>
      </c>
      <c r="W3095">
        <f>IF(AND(ISNUMBER('자료_거시'!$G3077),ISNUMBER('자료_거시'!$H3077)),'자료_거시'!$H3077,"")</f>
        <v/>
      </c>
      <c r="X3095">
        <f>IF(ISNUMBER(W3095),'자료_거시'!$G3077,"")</f>
        <v/>
      </c>
      <c r="Y3095">
        <f>IF(ISNUMBER(X3095),IF(X3095&gt;$L$7,W3095,""),"")</f>
        <v/>
      </c>
      <c r="Z3095">
        <f>IF(ISNUMBER('자료_거시'!$K3077),'자료_거시'!$K3077,Z3094)</f>
        <v/>
      </c>
      <c r="AA3095">
        <f>IF(AND(ISNUMBER('자료_거시'!$J3077),ISNUMBER('자료_거시'!$K3077)),IFERROR('자료_거시'!$K3077/INDEX($Z$21:$Z$4020,MATCH(EDATE('자료_거시'!$J3077,-'설정'!$B$17),'자료_거시'!$J$3:INDEX('자료_거시'!$J$3:$J$4002,$K$8),1))-1,""),"")</f>
        <v/>
      </c>
      <c r="AB3095">
        <f>IF(ISNUMBER(AA3095),'자료_거시'!$J3077,"")</f>
        <v/>
      </c>
      <c r="AC3095">
        <f>IF(ISNUMBER(AB3095),IF(AB3095&gt;$L$8,AA3095,""),"")</f>
        <v/>
      </c>
    </row>
    <row r="3096">
      <c r="S3096">
        <f>IF(ISNUMBER('자료_거시'!$E3078),'자료_거시'!$E3078,S3095)</f>
        <v/>
      </c>
      <c r="T3096">
        <f>IF(AND(ISNUMBER('자료_거시'!$D3078),ISNUMBER('자료_거시'!$E3078)),IFERROR('자료_거시'!$E3078-INDEX($S$21:$S$4020,MATCH(EDATE('자료_거시'!$D3078,-'설정'!$B$17),'자료_거시'!$D$3:INDEX('자료_거시'!$D$3:$D$4002,$K$6),1)),""),"")</f>
        <v/>
      </c>
      <c r="U3096">
        <f>IF(ISNUMBER(T3096),'자료_거시'!$D3078,"")</f>
        <v/>
      </c>
      <c r="V3096">
        <f>IF(ISNUMBER(U3096),IF(U3096&gt;$L$6,T3096,""),"")</f>
        <v/>
      </c>
      <c r="W3096">
        <f>IF(AND(ISNUMBER('자료_거시'!$G3078),ISNUMBER('자료_거시'!$H3078)),'자료_거시'!$H3078,"")</f>
        <v/>
      </c>
      <c r="X3096">
        <f>IF(ISNUMBER(W3096),'자료_거시'!$G3078,"")</f>
        <v/>
      </c>
      <c r="Y3096">
        <f>IF(ISNUMBER(X3096),IF(X3096&gt;$L$7,W3096,""),"")</f>
        <v/>
      </c>
      <c r="Z3096">
        <f>IF(ISNUMBER('자료_거시'!$K3078),'자료_거시'!$K3078,Z3095)</f>
        <v/>
      </c>
      <c r="AA3096">
        <f>IF(AND(ISNUMBER('자료_거시'!$J3078),ISNUMBER('자료_거시'!$K3078)),IFERROR('자료_거시'!$K3078/INDEX($Z$21:$Z$4020,MATCH(EDATE('자료_거시'!$J3078,-'설정'!$B$17),'자료_거시'!$J$3:INDEX('자료_거시'!$J$3:$J$4002,$K$8),1))-1,""),"")</f>
        <v/>
      </c>
      <c r="AB3096">
        <f>IF(ISNUMBER(AA3096),'자료_거시'!$J3078,"")</f>
        <v/>
      </c>
      <c r="AC3096">
        <f>IF(ISNUMBER(AB3096),IF(AB3096&gt;$L$8,AA3096,""),"")</f>
        <v/>
      </c>
    </row>
    <row r="3097">
      <c r="S3097">
        <f>IF(ISNUMBER('자료_거시'!$E3079),'자료_거시'!$E3079,S3096)</f>
        <v/>
      </c>
      <c r="T3097">
        <f>IF(AND(ISNUMBER('자료_거시'!$D3079),ISNUMBER('자료_거시'!$E3079)),IFERROR('자료_거시'!$E3079-INDEX($S$21:$S$4020,MATCH(EDATE('자료_거시'!$D3079,-'설정'!$B$17),'자료_거시'!$D$3:INDEX('자료_거시'!$D$3:$D$4002,$K$6),1)),""),"")</f>
        <v/>
      </c>
      <c r="U3097">
        <f>IF(ISNUMBER(T3097),'자료_거시'!$D3079,"")</f>
        <v/>
      </c>
      <c r="V3097">
        <f>IF(ISNUMBER(U3097),IF(U3097&gt;$L$6,T3097,""),"")</f>
        <v/>
      </c>
      <c r="W3097">
        <f>IF(AND(ISNUMBER('자료_거시'!$G3079),ISNUMBER('자료_거시'!$H3079)),'자료_거시'!$H3079,"")</f>
        <v/>
      </c>
      <c r="X3097">
        <f>IF(ISNUMBER(W3097),'자료_거시'!$G3079,"")</f>
        <v/>
      </c>
      <c r="Y3097">
        <f>IF(ISNUMBER(X3097),IF(X3097&gt;$L$7,W3097,""),"")</f>
        <v/>
      </c>
      <c r="Z3097">
        <f>IF(ISNUMBER('자료_거시'!$K3079),'자료_거시'!$K3079,Z3096)</f>
        <v/>
      </c>
      <c r="AA3097">
        <f>IF(AND(ISNUMBER('자료_거시'!$J3079),ISNUMBER('자료_거시'!$K3079)),IFERROR('자료_거시'!$K3079/INDEX($Z$21:$Z$4020,MATCH(EDATE('자료_거시'!$J3079,-'설정'!$B$17),'자료_거시'!$J$3:INDEX('자료_거시'!$J$3:$J$4002,$K$8),1))-1,""),"")</f>
        <v/>
      </c>
      <c r="AB3097">
        <f>IF(ISNUMBER(AA3097),'자료_거시'!$J3079,"")</f>
        <v/>
      </c>
      <c r="AC3097">
        <f>IF(ISNUMBER(AB3097),IF(AB3097&gt;$L$8,AA3097,""),"")</f>
        <v/>
      </c>
    </row>
    <row r="3098">
      <c r="S3098">
        <f>IF(ISNUMBER('자료_거시'!$E3080),'자료_거시'!$E3080,S3097)</f>
        <v/>
      </c>
      <c r="T3098">
        <f>IF(AND(ISNUMBER('자료_거시'!$D3080),ISNUMBER('자료_거시'!$E3080)),IFERROR('자료_거시'!$E3080-INDEX($S$21:$S$4020,MATCH(EDATE('자료_거시'!$D3080,-'설정'!$B$17),'자료_거시'!$D$3:INDEX('자료_거시'!$D$3:$D$4002,$K$6),1)),""),"")</f>
        <v/>
      </c>
      <c r="U3098">
        <f>IF(ISNUMBER(T3098),'자료_거시'!$D3080,"")</f>
        <v/>
      </c>
      <c r="V3098">
        <f>IF(ISNUMBER(U3098),IF(U3098&gt;$L$6,T3098,""),"")</f>
        <v/>
      </c>
      <c r="W3098">
        <f>IF(AND(ISNUMBER('자료_거시'!$G3080),ISNUMBER('자료_거시'!$H3080)),'자료_거시'!$H3080,"")</f>
        <v/>
      </c>
      <c r="X3098">
        <f>IF(ISNUMBER(W3098),'자료_거시'!$G3080,"")</f>
        <v/>
      </c>
      <c r="Y3098">
        <f>IF(ISNUMBER(X3098),IF(X3098&gt;$L$7,W3098,""),"")</f>
        <v/>
      </c>
      <c r="Z3098">
        <f>IF(ISNUMBER('자료_거시'!$K3080),'자료_거시'!$K3080,Z3097)</f>
        <v/>
      </c>
      <c r="AA3098">
        <f>IF(AND(ISNUMBER('자료_거시'!$J3080),ISNUMBER('자료_거시'!$K3080)),IFERROR('자료_거시'!$K3080/INDEX($Z$21:$Z$4020,MATCH(EDATE('자료_거시'!$J3080,-'설정'!$B$17),'자료_거시'!$J$3:INDEX('자료_거시'!$J$3:$J$4002,$K$8),1))-1,""),"")</f>
        <v/>
      </c>
      <c r="AB3098">
        <f>IF(ISNUMBER(AA3098),'자료_거시'!$J3080,"")</f>
        <v/>
      </c>
      <c r="AC3098">
        <f>IF(ISNUMBER(AB3098),IF(AB3098&gt;$L$8,AA3098,""),"")</f>
        <v/>
      </c>
    </row>
    <row r="3099">
      <c r="S3099">
        <f>IF(ISNUMBER('자료_거시'!$E3081),'자료_거시'!$E3081,S3098)</f>
        <v/>
      </c>
      <c r="T3099">
        <f>IF(AND(ISNUMBER('자료_거시'!$D3081),ISNUMBER('자료_거시'!$E3081)),IFERROR('자료_거시'!$E3081-INDEX($S$21:$S$4020,MATCH(EDATE('자료_거시'!$D3081,-'설정'!$B$17),'자료_거시'!$D$3:INDEX('자료_거시'!$D$3:$D$4002,$K$6),1)),""),"")</f>
        <v/>
      </c>
      <c r="U3099">
        <f>IF(ISNUMBER(T3099),'자료_거시'!$D3081,"")</f>
        <v/>
      </c>
      <c r="V3099">
        <f>IF(ISNUMBER(U3099),IF(U3099&gt;$L$6,T3099,""),"")</f>
        <v/>
      </c>
      <c r="W3099">
        <f>IF(AND(ISNUMBER('자료_거시'!$G3081),ISNUMBER('자료_거시'!$H3081)),'자료_거시'!$H3081,"")</f>
        <v/>
      </c>
      <c r="X3099">
        <f>IF(ISNUMBER(W3099),'자료_거시'!$G3081,"")</f>
        <v/>
      </c>
      <c r="Y3099">
        <f>IF(ISNUMBER(X3099),IF(X3099&gt;$L$7,W3099,""),"")</f>
        <v/>
      </c>
      <c r="Z3099">
        <f>IF(ISNUMBER('자료_거시'!$K3081),'자료_거시'!$K3081,Z3098)</f>
        <v/>
      </c>
      <c r="AA3099">
        <f>IF(AND(ISNUMBER('자료_거시'!$J3081),ISNUMBER('자료_거시'!$K3081)),IFERROR('자료_거시'!$K3081/INDEX($Z$21:$Z$4020,MATCH(EDATE('자료_거시'!$J3081,-'설정'!$B$17),'자료_거시'!$J$3:INDEX('자료_거시'!$J$3:$J$4002,$K$8),1))-1,""),"")</f>
        <v/>
      </c>
      <c r="AB3099">
        <f>IF(ISNUMBER(AA3099),'자료_거시'!$J3081,"")</f>
        <v/>
      </c>
      <c r="AC3099">
        <f>IF(ISNUMBER(AB3099),IF(AB3099&gt;$L$8,AA3099,""),"")</f>
        <v/>
      </c>
    </row>
    <row r="3100">
      <c r="S3100">
        <f>IF(ISNUMBER('자료_거시'!$E3082),'자료_거시'!$E3082,S3099)</f>
        <v/>
      </c>
      <c r="T3100">
        <f>IF(AND(ISNUMBER('자료_거시'!$D3082),ISNUMBER('자료_거시'!$E3082)),IFERROR('자료_거시'!$E3082-INDEX($S$21:$S$4020,MATCH(EDATE('자료_거시'!$D3082,-'설정'!$B$17),'자료_거시'!$D$3:INDEX('자료_거시'!$D$3:$D$4002,$K$6),1)),""),"")</f>
        <v/>
      </c>
      <c r="U3100">
        <f>IF(ISNUMBER(T3100),'자료_거시'!$D3082,"")</f>
        <v/>
      </c>
      <c r="V3100">
        <f>IF(ISNUMBER(U3100),IF(U3100&gt;$L$6,T3100,""),"")</f>
        <v/>
      </c>
      <c r="W3100">
        <f>IF(AND(ISNUMBER('자료_거시'!$G3082),ISNUMBER('자료_거시'!$H3082)),'자료_거시'!$H3082,"")</f>
        <v/>
      </c>
      <c r="X3100">
        <f>IF(ISNUMBER(W3100),'자료_거시'!$G3082,"")</f>
        <v/>
      </c>
      <c r="Y3100">
        <f>IF(ISNUMBER(X3100),IF(X3100&gt;$L$7,W3100,""),"")</f>
        <v/>
      </c>
      <c r="Z3100">
        <f>IF(ISNUMBER('자료_거시'!$K3082),'자료_거시'!$K3082,Z3099)</f>
        <v/>
      </c>
      <c r="AA3100">
        <f>IF(AND(ISNUMBER('자료_거시'!$J3082),ISNUMBER('자료_거시'!$K3082)),IFERROR('자료_거시'!$K3082/INDEX($Z$21:$Z$4020,MATCH(EDATE('자료_거시'!$J3082,-'설정'!$B$17),'자료_거시'!$J$3:INDEX('자료_거시'!$J$3:$J$4002,$K$8),1))-1,""),"")</f>
        <v/>
      </c>
      <c r="AB3100">
        <f>IF(ISNUMBER(AA3100),'자료_거시'!$J3082,"")</f>
        <v/>
      </c>
      <c r="AC3100">
        <f>IF(ISNUMBER(AB3100),IF(AB3100&gt;$L$8,AA3100,""),"")</f>
        <v/>
      </c>
    </row>
    <row r="3101">
      <c r="S3101">
        <f>IF(ISNUMBER('자료_거시'!$E3083),'자료_거시'!$E3083,S3100)</f>
        <v/>
      </c>
      <c r="T3101">
        <f>IF(AND(ISNUMBER('자료_거시'!$D3083),ISNUMBER('자료_거시'!$E3083)),IFERROR('자료_거시'!$E3083-INDEX($S$21:$S$4020,MATCH(EDATE('자료_거시'!$D3083,-'설정'!$B$17),'자료_거시'!$D$3:INDEX('자료_거시'!$D$3:$D$4002,$K$6),1)),""),"")</f>
        <v/>
      </c>
      <c r="U3101">
        <f>IF(ISNUMBER(T3101),'자료_거시'!$D3083,"")</f>
        <v/>
      </c>
      <c r="V3101">
        <f>IF(ISNUMBER(U3101),IF(U3101&gt;$L$6,T3101,""),"")</f>
        <v/>
      </c>
      <c r="W3101">
        <f>IF(AND(ISNUMBER('자료_거시'!$G3083),ISNUMBER('자료_거시'!$H3083)),'자료_거시'!$H3083,"")</f>
        <v/>
      </c>
      <c r="X3101">
        <f>IF(ISNUMBER(W3101),'자료_거시'!$G3083,"")</f>
        <v/>
      </c>
      <c r="Y3101">
        <f>IF(ISNUMBER(X3101),IF(X3101&gt;$L$7,W3101,""),"")</f>
        <v/>
      </c>
      <c r="Z3101">
        <f>IF(ISNUMBER('자료_거시'!$K3083),'자료_거시'!$K3083,Z3100)</f>
        <v/>
      </c>
      <c r="AA3101">
        <f>IF(AND(ISNUMBER('자료_거시'!$J3083),ISNUMBER('자료_거시'!$K3083)),IFERROR('자료_거시'!$K3083/INDEX($Z$21:$Z$4020,MATCH(EDATE('자료_거시'!$J3083,-'설정'!$B$17),'자료_거시'!$J$3:INDEX('자료_거시'!$J$3:$J$4002,$K$8),1))-1,""),"")</f>
        <v/>
      </c>
      <c r="AB3101">
        <f>IF(ISNUMBER(AA3101),'자료_거시'!$J3083,"")</f>
        <v/>
      </c>
      <c r="AC3101">
        <f>IF(ISNUMBER(AB3101),IF(AB3101&gt;$L$8,AA3101,""),"")</f>
        <v/>
      </c>
    </row>
    <row r="3102">
      <c r="S3102">
        <f>IF(ISNUMBER('자료_거시'!$E3084),'자료_거시'!$E3084,S3101)</f>
        <v/>
      </c>
      <c r="T3102">
        <f>IF(AND(ISNUMBER('자료_거시'!$D3084),ISNUMBER('자료_거시'!$E3084)),IFERROR('자료_거시'!$E3084-INDEX($S$21:$S$4020,MATCH(EDATE('자료_거시'!$D3084,-'설정'!$B$17),'자료_거시'!$D$3:INDEX('자료_거시'!$D$3:$D$4002,$K$6),1)),""),"")</f>
        <v/>
      </c>
      <c r="U3102">
        <f>IF(ISNUMBER(T3102),'자료_거시'!$D3084,"")</f>
        <v/>
      </c>
      <c r="V3102">
        <f>IF(ISNUMBER(U3102),IF(U3102&gt;$L$6,T3102,""),"")</f>
        <v/>
      </c>
      <c r="W3102">
        <f>IF(AND(ISNUMBER('자료_거시'!$G3084),ISNUMBER('자료_거시'!$H3084)),'자료_거시'!$H3084,"")</f>
        <v/>
      </c>
      <c r="X3102">
        <f>IF(ISNUMBER(W3102),'자료_거시'!$G3084,"")</f>
        <v/>
      </c>
      <c r="Y3102">
        <f>IF(ISNUMBER(X3102),IF(X3102&gt;$L$7,W3102,""),"")</f>
        <v/>
      </c>
      <c r="Z3102">
        <f>IF(ISNUMBER('자료_거시'!$K3084),'자료_거시'!$K3084,Z3101)</f>
        <v/>
      </c>
      <c r="AA3102">
        <f>IF(AND(ISNUMBER('자료_거시'!$J3084),ISNUMBER('자료_거시'!$K3084)),IFERROR('자료_거시'!$K3084/INDEX($Z$21:$Z$4020,MATCH(EDATE('자료_거시'!$J3084,-'설정'!$B$17),'자료_거시'!$J$3:INDEX('자료_거시'!$J$3:$J$4002,$K$8),1))-1,""),"")</f>
        <v/>
      </c>
      <c r="AB3102">
        <f>IF(ISNUMBER(AA3102),'자료_거시'!$J3084,"")</f>
        <v/>
      </c>
      <c r="AC3102">
        <f>IF(ISNUMBER(AB3102),IF(AB3102&gt;$L$8,AA3102,""),"")</f>
        <v/>
      </c>
    </row>
    <row r="3103">
      <c r="S3103">
        <f>IF(ISNUMBER('자료_거시'!$E3085),'자료_거시'!$E3085,S3102)</f>
        <v/>
      </c>
      <c r="T3103">
        <f>IF(AND(ISNUMBER('자료_거시'!$D3085),ISNUMBER('자료_거시'!$E3085)),IFERROR('자료_거시'!$E3085-INDEX($S$21:$S$4020,MATCH(EDATE('자료_거시'!$D3085,-'설정'!$B$17),'자료_거시'!$D$3:INDEX('자료_거시'!$D$3:$D$4002,$K$6),1)),""),"")</f>
        <v/>
      </c>
      <c r="U3103">
        <f>IF(ISNUMBER(T3103),'자료_거시'!$D3085,"")</f>
        <v/>
      </c>
      <c r="V3103">
        <f>IF(ISNUMBER(U3103),IF(U3103&gt;$L$6,T3103,""),"")</f>
        <v/>
      </c>
      <c r="W3103">
        <f>IF(AND(ISNUMBER('자료_거시'!$G3085),ISNUMBER('자료_거시'!$H3085)),'자료_거시'!$H3085,"")</f>
        <v/>
      </c>
      <c r="X3103">
        <f>IF(ISNUMBER(W3103),'자료_거시'!$G3085,"")</f>
        <v/>
      </c>
      <c r="Y3103">
        <f>IF(ISNUMBER(X3103),IF(X3103&gt;$L$7,W3103,""),"")</f>
        <v/>
      </c>
      <c r="Z3103">
        <f>IF(ISNUMBER('자료_거시'!$K3085),'자료_거시'!$K3085,Z3102)</f>
        <v/>
      </c>
      <c r="AA3103">
        <f>IF(AND(ISNUMBER('자료_거시'!$J3085),ISNUMBER('자료_거시'!$K3085)),IFERROR('자료_거시'!$K3085/INDEX($Z$21:$Z$4020,MATCH(EDATE('자료_거시'!$J3085,-'설정'!$B$17),'자료_거시'!$J$3:INDEX('자료_거시'!$J$3:$J$4002,$K$8),1))-1,""),"")</f>
        <v/>
      </c>
      <c r="AB3103">
        <f>IF(ISNUMBER(AA3103),'자료_거시'!$J3085,"")</f>
        <v/>
      </c>
      <c r="AC3103">
        <f>IF(ISNUMBER(AB3103),IF(AB3103&gt;$L$8,AA3103,""),"")</f>
        <v/>
      </c>
    </row>
    <row r="3104">
      <c r="S3104">
        <f>IF(ISNUMBER('자료_거시'!$E3086),'자료_거시'!$E3086,S3103)</f>
        <v/>
      </c>
      <c r="T3104">
        <f>IF(AND(ISNUMBER('자료_거시'!$D3086),ISNUMBER('자료_거시'!$E3086)),IFERROR('자료_거시'!$E3086-INDEX($S$21:$S$4020,MATCH(EDATE('자료_거시'!$D3086,-'설정'!$B$17),'자료_거시'!$D$3:INDEX('자료_거시'!$D$3:$D$4002,$K$6),1)),""),"")</f>
        <v/>
      </c>
      <c r="U3104">
        <f>IF(ISNUMBER(T3104),'자료_거시'!$D3086,"")</f>
        <v/>
      </c>
      <c r="V3104">
        <f>IF(ISNUMBER(U3104),IF(U3104&gt;$L$6,T3104,""),"")</f>
        <v/>
      </c>
      <c r="W3104">
        <f>IF(AND(ISNUMBER('자료_거시'!$G3086),ISNUMBER('자료_거시'!$H3086)),'자료_거시'!$H3086,"")</f>
        <v/>
      </c>
      <c r="X3104">
        <f>IF(ISNUMBER(W3104),'자료_거시'!$G3086,"")</f>
        <v/>
      </c>
      <c r="Y3104">
        <f>IF(ISNUMBER(X3104),IF(X3104&gt;$L$7,W3104,""),"")</f>
        <v/>
      </c>
      <c r="Z3104">
        <f>IF(ISNUMBER('자료_거시'!$K3086),'자료_거시'!$K3086,Z3103)</f>
        <v/>
      </c>
      <c r="AA3104">
        <f>IF(AND(ISNUMBER('자료_거시'!$J3086),ISNUMBER('자료_거시'!$K3086)),IFERROR('자료_거시'!$K3086/INDEX($Z$21:$Z$4020,MATCH(EDATE('자료_거시'!$J3086,-'설정'!$B$17),'자료_거시'!$J$3:INDEX('자료_거시'!$J$3:$J$4002,$K$8),1))-1,""),"")</f>
        <v/>
      </c>
      <c r="AB3104">
        <f>IF(ISNUMBER(AA3104),'자료_거시'!$J3086,"")</f>
        <v/>
      </c>
      <c r="AC3104">
        <f>IF(ISNUMBER(AB3104),IF(AB3104&gt;$L$8,AA3104,""),"")</f>
        <v/>
      </c>
    </row>
    <row r="3105">
      <c r="S3105">
        <f>IF(ISNUMBER('자료_거시'!$E3087),'자료_거시'!$E3087,S3104)</f>
        <v/>
      </c>
      <c r="T3105">
        <f>IF(AND(ISNUMBER('자료_거시'!$D3087),ISNUMBER('자료_거시'!$E3087)),IFERROR('자료_거시'!$E3087-INDEX($S$21:$S$4020,MATCH(EDATE('자료_거시'!$D3087,-'설정'!$B$17),'자료_거시'!$D$3:INDEX('자료_거시'!$D$3:$D$4002,$K$6),1)),""),"")</f>
        <v/>
      </c>
      <c r="U3105">
        <f>IF(ISNUMBER(T3105),'자료_거시'!$D3087,"")</f>
        <v/>
      </c>
      <c r="V3105">
        <f>IF(ISNUMBER(U3105),IF(U3105&gt;$L$6,T3105,""),"")</f>
        <v/>
      </c>
      <c r="W3105">
        <f>IF(AND(ISNUMBER('자료_거시'!$G3087),ISNUMBER('자료_거시'!$H3087)),'자료_거시'!$H3087,"")</f>
        <v/>
      </c>
      <c r="X3105">
        <f>IF(ISNUMBER(W3105),'자료_거시'!$G3087,"")</f>
        <v/>
      </c>
      <c r="Y3105">
        <f>IF(ISNUMBER(X3105),IF(X3105&gt;$L$7,W3105,""),"")</f>
        <v/>
      </c>
      <c r="Z3105">
        <f>IF(ISNUMBER('자료_거시'!$K3087),'자료_거시'!$K3087,Z3104)</f>
        <v/>
      </c>
      <c r="AA3105">
        <f>IF(AND(ISNUMBER('자료_거시'!$J3087),ISNUMBER('자료_거시'!$K3087)),IFERROR('자료_거시'!$K3087/INDEX($Z$21:$Z$4020,MATCH(EDATE('자료_거시'!$J3087,-'설정'!$B$17),'자료_거시'!$J$3:INDEX('자료_거시'!$J$3:$J$4002,$K$8),1))-1,""),"")</f>
        <v/>
      </c>
      <c r="AB3105">
        <f>IF(ISNUMBER(AA3105),'자료_거시'!$J3087,"")</f>
        <v/>
      </c>
      <c r="AC3105">
        <f>IF(ISNUMBER(AB3105),IF(AB3105&gt;$L$8,AA3105,""),"")</f>
        <v/>
      </c>
    </row>
    <row r="3106">
      <c r="S3106">
        <f>IF(ISNUMBER('자료_거시'!$E3088),'자료_거시'!$E3088,S3105)</f>
        <v/>
      </c>
      <c r="T3106">
        <f>IF(AND(ISNUMBER('자료_거시'!$D3088),ISNUMBER('자료_거시'!$E3088)),IFERROR('자료_거시'!$E3088-INDEX($S$21:$S$4020,MATCH(EDATE('자료_거시'!$D3088,-'설정'!$B$17),'자료_거시'!$D$3:INDEX('자료_거시'!$D$3:$D$4002,$K$6),1)),""),"")</f>
        <v/>
      </c>
      <c r="U3106">
        <f>IF(ISNUMBER(T3106),'자료_거시'!$D3088,"")</f>
        <v/>
      </c>
      <c r="V3106">
        <f>IF(ISNUMBER(U3106),IF(U3106&gt;$L$6,T3106,""),"")</f>
        <v/>
      </c>
      <c r="W3106">
        <f>IF(AND(ISNUMBER('자료_거시'!$G3088),ISNUMBER('자료_거시'!$H3088)),'자료_거시'!$H3088,"")</f>
        <v/>
      </c>
      <c r="X3106">
        <f>IF(ISNUMBER(W3106),'자료_거시'!$G3088,"")</f>
        <v/>
      </c>
      <c r="Y3106">
        <f>IF(ISNUMBER(X3106),IF(X3106&gt;$L$7,W3106,""),"")</f>
        <v/>
      </c>
      <c r="Z3106">
        <f>IF(ISNUMBER('자료_거시'!$K3088),'자료_거시'!$K3088,Z3105)</f>
        <v/>
      </c>
      <c r="AA3106">
        <f>IF(AND(ISNUMBER('자료_거시'!$J3088),ISNUMBER('자료_거시'!$K3088)),IFERROR('자료_거시'!$K3088/INDEX($Z$21:$Z$4020,MATCH(EDATE('자료_거시'!$J3088,-'설정'!$B$17),'자료_거시'!$J$3:INDEX('자료_거시'!$J$3:$J$4002,$K$8),1))-1,""),"")</f>
        <v/>
      </c>
      <c r="AB3106">
        <f>IF(ISNUMBER(AA3106),'자료_거시'!$J3088,"")</f>
        <v/>
      </c>
      <c r="AC3106">
        <f>IF(ISNUMBER(AB3106),IF(AB3106&gt;$L$8,AA3106,""),"")</f>
        <v/>
      </c>
    </row>
    <row r="3107">
      <c r="S3107">
        <f>IF(ISNUMBER('자료_거시'!$E3089),'자료_거시'!$E3089,S3106)</f>
        <v/>
      </c>
      <c r="T3107">
        <f>IF(AND(ISNUMBER('자료_거시'!$D3089),ISNUMBER('자료_거시'!$E3089)),IFERROR('자료_거시'!$E3089-INDEX($S$21:$S$4020,MATCH(EDATE('자료_거시'!$D3089,-'설정'!$B$17),'자료_거시'!$D$3:INDEX('자료_거시'!$D$3:$D$4002,$K$6),1)),""),"")</f>
        <v/>
      </c>
      <c r="U3107">
        <f>IF(ISNUMBER(T3107),'자료_거시'!$D3089,"")</f>
        <v/>
      </c>
      <c r="V3107">
        <f>IF(ISNUMBER(U3107),IF(U3107&gt;$L$6,T3107,""),"")</f>
        <v/>
      </c>
      <c r="W3107">
        <f>IF(AND(ISNUMBER('자료_거시'!$G3089),ISNUMBER('자료_거시'!$H3089)),'자료_거시'!$H3089,"")</f>
        <v/>
      </c>
      <c r="X3107">
        <f>IF(ISNUMBER(W3107),'자료_거시'!$G3089,"")</f>
        <v/>
      </c>
      <c r="Y3107">
        <f>IF(ISNUMBER(X3107),IF(X3107&gt;$L$7,W3107,""),"")</f>
        <v/>
      </c>
      <c r="Z3107">
        <f>IF(ISNUMBER('자료_거시'!$K3089),'자료_거시'!$K3089,Z3106)</f>
        <v/>
      </c>
      <c r="AA3107">
        <f>IF(AND(ISNUMBER('자료_거시'!$J3089),ISNUMBER('자료_거시'!$K3089)),IFERROR('자료_거시'!$K3089/INDEX($Z$21:$Z$4020,MATCH(EDATE('자료_거시'!$J3089,-'설정'!$B$17),'자료_거시'!$J$3:INDEX('자료_거시'!$J$3:$J$4002,$K$8),1))-1,""),"")</f>
        <v/>
      </c>
      <c r="AB3107">
        <f>IF(ISNUMBER(AA3107),'자료_거시'!$J3089,"")</f>
        <v/>
      </c>
      <c r="AC3107">
        <f>IF(ISNUMBER(AB3107),IF(AB3107&gt;$L$8,AA3107,""),"")</f>
        <v/>
      </c>
    </row>
    <row r="3108">
      <c r="S3108">
        <f>IF(ISNUMBER('자료_거시'!$E3090),'자료_거시'!$E3090,S3107)</f>
        <v/>
      </c>
      <c r="T3108">
        <f>IF(AND(ISNUMBER('자료_거시'!$D3090),ISNUMBER('자료_거시'!$E3090)),IFERROR('자료_거시'!$E3090-INDEX($S$21:$S$4020,MATCH(EDATE('자료_거시'!$D3090,-'설정'!$B$17),'자료_거시'!$D$3:INDEX('자료_거시'!$D$3:$D$4002,$K$6),1)),""),"")</f>
        <v/>
      </c>
      <c r="U3108">
        <f>IF(ISNUMBER(T3108),'자료_거시'!$D3090,"")</f>
        <v/>
      </c>
      <c r="V3108">
        <f>IF(ISNUMBER(U3108),IF(U3108&gt;$L$6,T3108,""),"")</f>
        <v/>
      </c>
      <c r="W3108">
        <f>IF(AND(ISNUMBER('자료_거시'!$G3090),ISNUMBER('자료_거시'!$H3090)),'자료_거시'!$H3090,"")</f>
        <v/>
      </c>
      <c r="X3108">
        <f>IF(ISNUMBER(W3108),'자료_거시'!$G3090,"")</f>
        <v/>
      </c>
      <c r="Y3108">
        <f>IF(ISNUMBER(X3108),IF(X3108&gt;$L$7,W3108,""),"")</f>
        <v/>
      </c>
      <c r="Z3108">
        <f>IF(ISNUMBER('자료_거시'!$K3090),'자료_거시'!$K3090,Z3107)</f>
        <v/>
      </c>
      <c r="AA3108">
        <f>IF(AND(ISNUMBER('자료_거시'!$J3090),ISNUMBER('자료_거시'!$K3090)),IFERROR('자료_거시'!$K3090/INDEX($Z$21:$Z$4020,MATCH(EDATE('자료_거시'!$J3090,-'설정'!$B$17),'자료_거시'!$J$3:INDEX('자료_거시'!$J$3:$J$4002,$K$8),1))-1,""),"")</f>
        <v/>
      </c>
      <c r="AB3108">
        <f>IF(ISNUMBER(AA3108),'자료_거시'!$J3090,"")</f>
        <v/>
      </c>
      <c r="AC3108">
        <f>IF(ISNUMBER(AB3108),IF(AB3108&gt;$L$8,AA3108,""),"")</f>
        <v/>
      </c>
    </row>
    <row r="3109">
      <c r="S3109">
        <f>IF(ISNUMBER('자료_거시'!$E3091),'자료_거시'!$E3091,S3108)</f>
        <v/>
      </c>
      <c r="T3109">
        <f>IF(AND(ISNUMBER('자료_거시'!$D3091),ISNUMBER('자료_거시'!$E3091)),IFERROR('자료_거시'!$E3091-INDEX($S$21:$S$4020,MATCH(EDATE('자료_거시'!$D3091,-'설정'!$B$17),'자료_거시'!$D$3:INDEX('자료_거시'!$D$3:$D$4002,$K$6),1)),""),"")</f>
        <v/>
      </c>
      <c r="U3109">
        <f>IF(ISNUMBER(T3109),'자료_거시'!$D3091,"")</f>
        <v/>
      </c>
      <c r="V3109">
        <f>IF(ISNUMBER(U3109),IF(U3109&gt;$L$6,T3109,""),"")</f>
        <v/>
      </c>
      <c r="W3109">
        <f>IF(AND(ISNUMBER('자료_거시'!$G3091),ISNUMBER('자료_거시'!$H3091)),'자료_거시'!$H3091,"")</f>
        <v/>
      </c>
      <c r="X3109">
        <f>IF(ISNUMBER(W3109),'자료_거시'!$G3091,"")</f>
        <v/>
      </c>
      <c r="Y3109">
        <f>IF(ISNUMBER(X3109),IF(X3109&gt;$L$7,W3109,""),"")</f>
        <v/>
      </c>
      <c r="Z3109">
        <f>IF(ISNUMBER('자료_거시'!$K3091),'자료_거시'!$K3091,Z3108)</f>
        <v/>
      </c>
      <c r="AA3109">
        <f>IF(AND(ISNUMBER('자료_거시'!$J3091),ISNUMBER('자료_거시'!$K3091)),IFERROR('자료_거시'!$K3091/INDEX($Z$21:$Z$4020,MATCH(EDATE('자료_거시'!$J3091,-'설정'!$B$17),'자료_거시'!$J$3:INDEX('자료_거시'!$J$3:$J$4002,$K$8),1))-1,""),"")</f>
        <v/>
      </c>
      <c r="AB3109">
        <f>IF(ISNUMBER(AA3109),'자료_거시'!$J3091,"")</f>
        <v/>
      </c>
      <c r="AC3109">
        <f>IF(ISNUMBER(AB3109),IF(AB3109&gt;$L$8,AA3109,""),"")</f>
        <v/>
      </c>
    </row>
    <row r="3110">
      <c r="S3110">
        <f>IF(ISNUMBER('자료_거시'!$E3092),'자료_거시'!$E3092,S3109)</f>
        <v/>
      </c>
      <c r="T3110">
        <f>IF(AND(ISNUMBER('자료_거시'!$D3092),ISNUMBER('자료_거시'!$E3092)),IFERROR('자료_거시'!$E3092-INDEX($S$21:$S$4020,MATCH(EDATE('자료_거시'!$D3092,-'설정'!$B$17),'자료_거시'!$D$3:INDEX('자료_거시'!$D$3:$D$4002,$K$6),1)),""),"")</f>
        <v/>
      </c>
      <c r="U3110">
        <f>IF(ISNUMBER(T3110),'자료_거시'!$D3092,"")</f>
        <v/>
      </c>
      <c r="V3110">
        <f>IF(ISNUMBER(U3110),IF(U3110&gt;$L$6,T3110,""),"")</f>
        <v/>
      </c>
      <c r="W3110">
        <f>IF(AND(ISNUMBER('자료_거시'!$G3092),ISNUMBER('자료_거시'!$H3092)),'자료_거시'!$H3092,"")</f>
        <v/>
      </c>
      <c r="X3110">
        <f>IF(ISNUMBER(W3110),'자료_거시'!$G3092,"")</f>
        <v/>
      </c>
      <c r="Y3110">
        <f>IF(ISNUMBER(X3110),IF(X3110&gt;$L$7,W3110,""),"")</f>
        <v/>
      </c>
      <c r="Z3110">
        <f>IF(ISNUMBER('자료_거시'!$K3092),'자료_거시'!$K3092,Z3109)</f>
        <v/>
      </c>
      <c r="AA3110">
        <f>IF(AND(ISNUMBER('자료_거시'!$J3092),ISNUMBER('자료_거시'!$K3092)),IFERROR('자료_거시'!$K3092/INDEX($Z$21:$Z$4020,MATCH(EDATE('자료_거시'!$J3092,-'설정'!$B$17),'자료_거시'!$J$3:INDEX('자료_거시'!$J$3:$J$4002,$K$8),1))-1,""),"")</f>
        <v/>
      </c>
      <c r="AB3110">
        <f>IF(ISNUMBER(AA3110),'자료_거시'!$J3092,"")</f>
        <v/>
      </c>
      <c r="AC3110">
        <f>IF(ISNUMBER(AB3110),IF(AB3110&gt;$L$8,AA3110,""),"")</f>
        <v/>
      </c>
    </row>
    <row r="3111">
      <c r="S3111">
        <f>IF(ISNUMBER('자료_거시'!$E3093),'자료_거시'!$E3093,S3110)</f>
        <v/>
      </c>
      <c r="T3111">
        <f>IF(AND(ISNUMBER('자료_거시'!$D3093),ISNUMBER('자료_거시'!$E3093)),IFERROR('자료_거시'!$E3093-INDEX($S$21:$S$4020,MATCH(EDATE('자료_거시'!$D3093,-'설정'!$B$17),'자료_거시'!$D$3:INDEX('자료_거시'!$D$3:$D$4002,$K$6),1)),""),"")</f>
        <v/>
      </c>
      <c r="U3111">
        <f>IF(ISNUMBER(T3111),'자료_거시'!$D3093,"")</f>
        <v/>
      </c>
      <c r="V3111">
        <f>IF(ISNUMBER(U3111),IF(U3111&gt;$L$6,T3111,""),"")</f>
        <v/>
      </c>
      <c r="W3111">
        <f>IF(AND(ISNUMBER('자료_거시'!$G3093),ISNUMBER('자료_거시'!$H3093)),'자료_거시'!$H3093,"")</f>
        <v/>
      </c>
      <c r="X3111">
        <f>IF(ISNUMBER(W3111),'자료_거시'!$G3093,"")</f>
        <v/>
      </c>
      <c r="Y3111">
        <f>IF(ISNUMBER(X3111),IF(X3111&gt;$L$7,W3111,""),"")</f>
        <v/>
      </c>
      <c r="Z3111">
        <f>IF(ISNUMBER('자료_거시'!$K3093),'자료_거시'!$K3093,Z3110)</f>
        <v/>
      </c>
      <c r="AA3111">
        <f>IF(AND(ISNUMBER('자료_거시'!$J3093),ISNUMBER('자료_거시'!$K3093)),IFERROR('자료_거시'!$K3093/INDEX($Z$21:$Z$4020,MATCH(EDATE('자료_거시'!$J3093,-'설정'!$B$17),'자료_거시'!$J$3:INDEX('자료_거시'!$J$3:$J$4002,$K$8),1))-1,""),"")</f>
        <v/>
      </c>
      <c r="AB3111">
        <f>IF(ISNUMBER(AA3111),'자료_거시'!$J3093,"")</f>
        <v/>
      </c>
      <c r="AC3111">
        <f>IF(ISNUMBER(AB3111),IF(AB3111&gt;$L$8,AA3111,""),"")</f>
        <v/>
      </c>
    </row>
    <row r="3112">
      <c r="S3112">
        <f>IF(ISNUMBER('자료_거시'!$E3094),'자료_거시'!$E3094,S3111)</f>
        <v/>
      </c>
      <c r="T3112">
        <f>IF(AND(ISNUMBER('자료_거시'!$D3094),ISNUMBER('자료_거시'!$E3094)),IFERROR('자료_거시'!$E3094-INDEX($S$21:$S$4020,MATCH(EDATE('자료_거시'!$D3094,-'설정'!$B$17),'자료_거시'!$D$3:INDEX('자료_거시'!$D$3:$D$4002,$K$6),1)),""),"")</f>
        <v/>
      </c>
      <c r="U3112">
        <f>IF(ISNUMBER(T3112),'자료_거시'!$D3094,"")</f>
        <v/>
      </c>
      <c r="V3112">
        <f>IF(ISNUMBER(U3112),IF(U3112&gt;$L$6,T3112,""),"")</f>
        <v/>
      </c>
      <c r="W3112">
        <f>IF(AND(ISNUMBER('자료_거시'!$G3094),ISNUMBER('자료_거시'!$H3094)),'자료_거시'!$H3094,"")</f>
        <v/>
      </c>
      <c r="X3112">
        <f>IF(ISNUMBER(W3112),'자료_거시'!$G3094,"")</f>
        <v/>
      </c>
      <c r="Y3112">
        <f>IF(ISNUMBER(X3112),IF(X3112&gt;$L$7,W3112,""),"")</f>
        <v/>
      </c>
      <c r="Z3112">
        <f>IF(ISNUMBER('자료_거시'!$K3094),'자료_거시'!$K3094,Z3111)</f>
        <v/>
      </c>
      <c r="AA3112">
        <f>IF(AND(ISNUMBER('자료_거시'!$J3094),ISNUMBER('자료_거시'!$K3094)),IFERROR('자료_거시'!$K3094/INDEX($Z$21:$Z$4020,MATCH(EDATE('자료_거시'!$J3094,-'설정'!$B$17),'자료_거시'!$J$3:INDEX('자료_거시'!$J$3:$J$4002,$K$8),1))-1,""),"")</f>
        <v/>
      </c>
      <c r="AB3112">
        <f>IF(ISNUMBER(AA3112),'자료_거시'!$J3094,"")</f>
        <v/>
      </c>
      <c r="AC3112">
        <f>IF(ISNUMBER(AB3112),IF(AB3112&gt;$L$8,AA3112,""),"")</f>
        <v/>
      </c>
    </row>
    <row r="3113">
      <c r="S3113">
        <f>IF(ISNUMBER('자료_거시'!$E3095),'자료_거시'!$E3095,S3112)</f>
        <v/>
      </c>
      <c r="T3113">
        <f>IF(AND(ISNUMBER('자료_거시'!$D3095),ISNUMBER('자료_거시'!$E3095)),IFERROR('자료_거시'!$E3095-INDEX($S$21:$S$4020,MATCH(EDATE('자료_거시'!$D3095,-'설정'!$B$17),'자료_거시'!$D$3:INDEX('자료_거시'!$D$3:$D$4002,$K$6),1)),""),"")</f>
        <v/>
      </c>
      <c r="U3113">
        <f>IF(ISNUMBER(T3113),'자료_거시'!$D3095,"")</f>
        <v/>
      </c>
      <c r="V3113">
        <f>IF(ISNUMBER(U3113),IF(U3113&gt;$L$6,T3113,""),"")</f>
        <v/>
      </c>
      <c r="W3113">
        <f>IF(AND(ISNUMBER('자료_거시'!$G3095),ISNUMBER('자료_거시'!$H3095)),'자료_거시'!$H3095,"")</f>
        <v/>
      </c>
      <c r="X3113">
        <f>IF(ISNUMBER(W3113),'자료_거시'!$G3095,"")</f>
        <v/>
      </c>
      <c r="Y3113">
        <f>IF(ISNUMBER(X3113),IF(X3113&gt;$L$7,W3113,""),"")</f>
        <v/>
      </c>
      <c r="Z3113">
        <f>IF(ISNUMBER('자료_거시'!$K3095),'자료_거시'!$K3095,Z3112)</f>
        <v/>
      </c>
      <c r="AA3113">
        <f>IF(AND(ISNUMBER('자료_거시'!$J3095),ISNUMBER('자료_거시'!$K3095)),IFERROR('자료_거시'!$K3095/INDEX($Z$21:$Z$4020,MATCH(EDATE('자료_거시'!$J3095,-'설정'!$B$17),'자료_거시'!$J$3:INDEX('자료_거시'!$J$3:$J$4002,$K$8),1))-1,""),"")</f>
        <v/>
      </c>
      <c r="AB3113">
        <f>IF(ISNUMBER(AA3113),'자료_거시'!$J3095,"")</f>
        <v/>
      </c>
      <c r="AC3113">
        <f>IF(ISNUMBER(AB3113),IF(AB3113&gt;$L$8,AA3113,""),"")</f>
        <v/>
      </c>
    </row>
    <row r="3114">
      <c r="S3114">
        <f>IF(ISNUMBER('자료_거시'!$E3096),'자료_거시'!$E3096,S3113)</f>
        <v/>
      </c>
      <c r="T3114">
        <f>IF(AND(ISNUMBER('자료_거시'!$D3096),ISNUMBER('자료_거시'!$E3096)),IFERROR('자료_거시'!$E3096-INDEX($S$21:$S$4020,MATCH(EDATE('자료_거시'!$D3096,-'설정'!$B$17),'자료_거시'!$D$3:INDEX('자료_거시'!$D$3:$D$4002,$K$6),1)),""),"")</f>
        <v/>
      </c>
      <c r="U3114">
        <f>IF(ISNUMBER(T3114),'자료_거시'!$D3096,"")</f>
        <v/>
      </c>
      <c r="V3114">
        <f>IF(ISNUMBER(U3114),IF(U3114&gt;$L$6,T3114,""),"")</f>
        <v/>
      </c>
      <c r="W3114">
        <f>IF(AND(ISNUMBER('자료_거시'!$G3096),ISNUMBER('자료_거시'!$H3096)),'자료_거시'!$H3096,"")</f>
        <v/>
      </c>
      <c r="X3114">
        <f>IF(ISNUMBER(W3114),'자료_거시'!$G3096,"")</f>
        <v/>
      </c>
      <c r="Y3114">
        <f>IF(ISNUMBER(X3114),IF(X3114&gt;$L$7,W3114,""),"")</f>
        <v/>
      </c>
      <c r="Z3114">
        <f>IF(ISNUMBER('자료_거시'!$K3096),'자료_거시'!$K3096,Z3113)</f>
        <v/>
      </c>
      <c r="AA3114">
        <f>IF(AND(ISNUMBER('자료_거시'!$J3096),ISNUMBER('자료_거시'!$K3096)),IFERROR('자료_거시'!$K3096/INDEX($Z$21:$Z$4020,MATCH(EDATE('자료_거시'!$J3096,-'설정'!$B$17),'자료_거시'!$J$3:INDEX('자료_거시'!$J$3:$J$4002,$K$8),1))-1,""),"")</f>
        <v/>
      </c>
      <c r="AB3114">
        <f>IF(ISNUMBER(AA3114),'자료_거시'!$J3096,"")</f>
        <v/>
      </c>
      <c r="AC3114">
        <f>IF(ISNUMBER(AB3114),IF(AB3114&gt;$L$8,AA3114,""),"")</f>
        <v/>
      </c>
    </row>
    <row r="3115">
      <c r="S3115">
        <f>IF(ISNUMBER('자료_거시'!$E3097),'자료_거시'!$E3097,S3114)</f>
        <v/>
      </c>
      <c r="T3115">
        <f>IF(AND(ISNUMBER('자료_거시'!$D3097),ISNUMBER('자료_거시'!$E3097)),IFERROR('자료_거시'!$E3097-INDEX($S$21:$S$4020,MATCH(EDATE('자료_거시'!$D3097,-'설정'!$B$17),'자료_거시'!$D$3:INDEX('자료_거시'!$D$3:$D$4002,$K$6),1)),""),"")</f>
        <v/>
      </c>
      <c r="U3115">
        <f>IF(ISNUMBER(T3115),'자료_거시'!$D3097,"")</f>
        <v/>
      </c>
      <c r="V3115">
        <f>IF(ISNUMBER(U3115),IF(U3115&gt;$L$6,T3115,""),"")</f>
        <v/>
      </c>
      <c r="W3115">
        <f>IF(AND(ISNUMBER('자료_거시'!$G3097),ISNUMBER('자료_거시'!$H3097)),'자료_거시'!$H3097,"")</f>
        <v/>
      </c>
      <c r="X3115">
        <f>IF(ISNUMBER(W3115),'자료_거시'!$G3097,"")</f>
        <v/>
      </c>
      <c r="Y3115">
        <f>IF(ISNUMBER(X3115),IF(X3115&gt;$L$7,W3115,""),"")</f>
        <v/>
      </c>
      <c r="Z3115">
        <f>IF(ISNUMBER('자료_거시'!$K3097),'자료_거시'!$K3097,Z3114)</f>
        <v/>
      </c>
      <c r="AA3115">
        <f>IF(AND(ISNUMBER('자료_거시'!$J3097),ISNUMBER('자료_거시'!$K3097)),IFERROR('자료_거시'!$K3097/INDEX($Z$21:$Z$4020,MATCH(EDATE('자료_거시'!$J3097,-'설정'!$B$17),'자료_거시'!$J$3:INDEX('자료_거시'!$J$3:$J$4002,$K$8),1))-1,""),"")</f>
        <v/>
      </c>
      <c r="AB3115">
        <f>IF(ISNUMBER(AA3115),'자료_거시'!$J3097,"")</f>
        <v/>
      </c>
      <c r="AC3115">
        <f>IF(ISNUMBER(AB3115),IF(AB3115&gt;$L$8,AA3115,""),"")</f>
        <v/>
      </c>
    </row>
    <row r="3116">
      <c r="S3116">
        <f>IF(ISNUMBER('자료_거시'!$E3098),'자료_거시'!$E3098,S3115)</f>
        <v/>
      </c>
      <c r="T3116">
        <f>IF(AND(ISNUMBER('자료_거시'!$D3098),ISNUMBER('자료_거시'!$E3098)),IFERROR('자료_거시'!$E3098-INDEX($S$21:$S$4020,MATCH(EDATE('자료_거시'!$D3098,-'설정'!$B$17),'자료_거시'!$D$3:INDEX('자료_거시'!$D$3:$D$4002,$K$6),1)),""),"")</f>
        <v/>
      </c>
      <c r="U3116">
        <f>IF(ISNUMBER(T3116),'자료_거시'!$D3098,"")</f>
        <v/>
      </c>
      <c r="V3116">
        <f>IF(ISNUMBER(U3116),IF(U3116&gt;$L$6,T3116,""),"")</f>
        <v/>
      </c>
      <c r="W3116">
        <f>IF(AND(ISNUMBER('자료_거시'!$G3098),ISNUMBER('자료_거시'!$H3098)),'자료_거시'!$H3098,"")</f>
        <v/>
      </c>
      <c r="X3116">
        <f>IF(ISNUMBER(W3116),'자료_거시'!$G3098,"")</f>
        <v/>
      </c>
      <c r="Y3116">
        <f>IF(ISNUMBER(X3116),IF(X3116&gt;$L$7,W3116,""),"")</f>
        <v/>
      </c>
      <c r="Z3116">
        <f>IF(ISNUMBER('자료_거시'!$K3098),'자료_거시'!$K3098,Z3115)</f>
        <v/>
      </c>
      <c r="AA3116">
        <f>IF(AND(ISNUMBER('자료_거시'!$J3098),ISNUMBER('자료_거시'!$K3098)),IFERROR('자료_거시'!$K3098/INDEX($Z$21:$Z$4020,MATCH(EDATE('자료_거시'!$J3098,-'설정'!$B$17),'자료_거시'!$J$3:INDEX('자료_거시'!$J$3:$J$4002,$K$8),1))-1,""),"")</f>
        <v/>
      </c>
      <c r="AB3116">
        <f>IF(ISNUMBER(AA3116),'자료_거시'!$J3098,"")</f>
        <v/>
      </c>
      <c r="AC3116">
        <f>IF(ISNUMBER(AB3116),IF(AB3116&gt;$L$8,AA3116,""),"")</f>
        <v/>
      </c>
    </row>
    <row r="3117">
      <c r="S3117">
        <f>IF(ISNUMBER('자료_거시'!$E3099),'자료_거시'!$E3099,S3116)</f>
        <v/>
      </c>
      <c r="T3117">
        <f>IF(AND(ISNUMBER('자료_거시'!$D3099),ISNUMBER('자료_거시'!$E3099)),IFERROR('자료_거시'!$E3099-INDEX($S$21:$S$4020,MATCH(EDATE('자료_거시'!$D3099,-'설정'!$B$17),'자료_거시'!$D$3:INDEX('자료_거시'!$D$3:$D$4002,$K$6),1)),""),"")</f>
        <v/>
      </c>
      <c r="U3117">
        <f>IF(ISNUMBER(T3117),'자료_거시'!$D3099,"")</f>
        <v/>
      </c>
      <c r="V3117">
        <f>IF(ISNUMBER(U3117),IF(U3117&gt;$L$6,T3117,""),"")</f>
        <v/>
      </c>
      <c r="W3117">
        <f>IF(AND(ISNUMBER('자료_거시'!$G3099),ISNUMBER('자료_거시'!$H3099)),'자료_거시'!$H3099,"")</f>
        <v/>
      </c>
      <c r="X3117">
        <f>IF(ISNUMBER(W3117),'자료_거시'!$G3099,"")</f>
        <v/>
      </c>
      <c r="Y3117">
        <f>IF(ISNUMBER(X3117),IF(X3117&gt;$L$7,W3117,""),"")</f>
        <v/>
      </c>
      <c r="Z3117">
        <f>IF(ISNUMBER('자료_거시'!$K3099),'자료_거시'!$K3099,Z3116)</f>
        <v/>
      </c>
      <c r="AA3117">
        <f>IF(AND(ISNUMBER('자료_거시'!$J3099),ISNUMBER('자료_거시'!$K3099)),IFERROR('자료_거시'!$K3099/INDEX($Z$21:$Z$4020,MATCH(EDATE('자료_거시'!$J3099,-'설정'!$B$17),'자료_거시'!$J$3:INDEX('자료_거시'!$J$3:$J$4002,$K$8),1))-1,""),"")</f>
        <v/>
      </c>
      <c r="AB3117">
        <f>IF(ISNUMBER(AA3117),'자료_거시'!$J3099,"")</f>
        <v/>
      </c>
      <c r="AC3117">
        <f>IF(ISNUMBER(AB3117),IF(AB3117&gt;$L$8,AA3117,""),"")</f>
        <v/>
      </c>
    </row>
    <row r="3118">
      <c r="S3118">
        <f>IF(ISNUMBER('자료_거시'!$E3100),'자료_거시'!$E3100,S3117)</f>
        <v/>
      </c>
      <c r="T3118">
        <f>IF(AND(ISNUMBER('자료_거시'!$D3100),ISNUMBER('자료_거시'!$E3100)),IFERROR('자료_거시'!$E3100-INDEX($S$21:$S$4020,MATCH(EDATE('자료_거시'!$D3100,-'설정'!$B$17),'자료_거시'!$D$3:INDEX('자료_거시'!$D$3:$D$4002,$K$6),1)),""),"")</f>
        <v/>
      </c>
      <c r="U3118">
        <f>IF(ISNUMBER(T3118),'자료_거시'!$D3100,"")</f>
        <v/>
      </c>
      <c r="V3118">
        <f>IF(ISNUMBER(U3118),IF(U3118&gt;$L$6,T3118,""),"")</f>
        <v/>
      </c>
      <c r="W3118">
        <f>IF(AND(ISNUMBER('자료_거시'!$G3100),ISNUMBER('자료_거시'!$H3100)),'자료_거시'!$H3100,"")</f>
        <v/>
      </c>
      <c r="X3118">
        <f>IF(ISNUMBER(W3118),'자료_거시'!$G3100,"")</f>
        <v/>
      </c>
      <c r="Y3118">
        <f>IF(ISNUMBER(X3118),IF(X3118&gt;$L$7,W3118,""),"")</f>
        <v/>
      </c>
      <c r="Z3118">
        <f>IF(ISNUMBER('자료_거시'!$K3100),'자료_거시'!$K3100,Z3117)</f>
        <v/>
      </c>
      <c r="AA3118">
        <f>IF(AND(ISNUMBER('자료_거시'!$J3100),ISNUMBER('자료_거시'!$K3100)),IFERROR('자료_거시'!$K3100/INDEX($Z$21:$Z$4020,MATCH(EDATE('자료_거시'!$J3100,-'설정'!$B$17),'자료_거시'!$J$3:INDEX('자료_거시'!$J$3:$J$4002,$K$8),1))-1,""),"")</f>
        <v/>
      </c>
      <c r="AB3118">
        <f>IF(ISNUMBER(AA3118),'자료_거시'!$J3100,"")</f>
        <v/>
      </c>
      <c r="AC3118">
        <f>IF(ISNUMBER(AB3118),IF(AB3118&gt;$L$8,AA3118,""),"")</f>
        <v/>
      </c>
    </row>
    <row r="3119">
      <c r="S3119">
        <f>IF(ISNUMBER('자료_거시'!$E3101),'자료_거시'!$E3101,S3118)</f>
        <v/>
      </c>
      <c r="T3119">
        <f>IF(AND(ISNUMBER('자료_거시'!$D3101),ISNUMBER('자료_거시'!$E3101)),IFERROR('자료_거시'!$E3101-INDEX($S$21:$S$4020,MATCH(EDATE('자료_거시'!$D3101,-'설정'!$B$17),'자료_거시'!$D$3:INDEX('자료_거시'!$D$3:$D$4002,$K$6),1)),""),"")</f>
        <v/>
      </c>
      <c r="U3119">
        <f>IF(ISNUMBER(T3119),'자료_거시'!$D3101,"")</f>
        <v/>
      </c>
      <c r="V3119">
        <f>IF(ISNUMBER(U3119),IF(U3119&gt;$L$6,T3119,""),"")</f>
        <v/>
      </c>
      <c r="W3119">
        <f>IF(AND(ISNUMBER('자료_거시'!$G3101),ISNUMBER('자료_거시'!$H3101)),'자료_거시'!$H3101,"")</f>
        <v/>
      </c>
      <c r="X3119">
        <f>IF(ISNUMBER(W3119),'자료_거시'!$G3101,"")</f>
        <v/>
      </c>
      <c r="Y3119">
        <f>IF(ISNUMBER(X3119),IF(X3119&gt;$L$7,W3119,""),"")</f>
        <v/>
      </c>
      <c r="Z3119">
        <f>IF(ISNUMBER('자료_거시'!$K3101),'자료_거시'!$K3101,Z3118)</f>
        <v/>
      </c>
      <c r="AA3119">
        <f>IF(AND(ISNUMBER('자료_거시'!$J3101),ISNUMBER('자료_거시'!$K3101)),IFERROR('자료_거시'!$K3101/INDEX($Z$21:$Z$4020,MATCH(EDATE('자료_거시'!$J3101,-'설정'!$B$17),'자료_거시'!$J$3:INDEX('자료_거시'!$J$3:$J$4002,$K$8),1))-1,""),"")</f>
        <v/>
      </c>
      <c r="AB3119">
        <f>IF(ISNUMBER(AA3119),'자료_거시'!$J3101,"")</f>
        <v/>
      </c>
      <c r="AC3119">
        <f>IF(ISNUMBER(AB3119),IF(AB3119&gt;$L$8,AA3119,""),"")</f>
        <v/>
      </c>
    </row>
    <row r="3120">
      <c r="S3120">
        <f>IF(ISNUMBER('자료_거시'!$E3102),'자료_거시'!$E3102,S3119)</f>
        <v/>
      </c>
      <c r="T3120">
        <f>IF(AND(ISNUMBER('자료_거시'!$D3102),ISNUMBER('자료_거시'!$E3102)),IFERROR('자료_거시'!$E3102-INDEX($S$21:$S$4020,MATCH(EDATE('자료_거시'!$D3102,-'설정'!$B$17),'자료_거시'!$D$3:INDEX('자료_거시'!$D$3:$D$4002,$K$6),1)),""),"")</f>
        <v/>
      </c>
      <c r="U3120">
        <f>IF(ISNUMBER(T3120),'자료_거시'!$D3102,"")</f>
        <v/>
      </c>
      <c r="V3120">
        <f>IF(ISNUMBER(U3120),IF(U3120&gt;$L$6,T3120,""),"")</f>
        <v/>
      </c>
      <c r="W3120">
        <f>IF(AND(ISNUMBER('자료_거시'!$G3102),ISNUMBER('자료_거시'!$H3102)),'자료_거시'!$H3102,"")</f>
        <v/>
      </c>
      <c r="X3120">
        <f>IF(ISNUMBER(W3120),'자료_거시'!$G3102,"")</f>
        <v/>
      </c>
      <c r="Y3120">
        <f>IF(ISNUMBER(X3120),IF(X3120&gt;$L$7,W3120,""),"")</f>
        <v/>
      </c>
      <c r="Z3120">
        <f>IF(ISNUMBER('자료_거시'!$K3102),'자료_거시'!$K3102,Z3119)</f>
        <v/>
      </c>
      <c r="AA3120">
        <f>IF(AND(ISNUMBER('자료_거시'!$J3102),ISNUMBER('자료_거시'!$K3102)),IFERROR('자료_거시'!$K3102/INDEX($Z$21:$Z$4020,MATCH(EDATE('자료_거시'!$J3102,-'설정'!$B$17),'자료_거시'!$J$3:INDEX('자료_거시'!$J$3:$J$4002,$K$8),1))-1,""),"")</f>
        <v/>
      </c>
      <c r="AB3120">
        <f>IF(ISNUMBER(AA3120),'자료_거시'!$J3102,"")</f>
        <v/>
      </c>
      <c r="AC3120">
        <f>IF(ISNUMBER(AB3120),IF(AB3120&gt;$L$8,AA3120,""),"")</f>
        <v/>
      </c>
    </row>
    <row r="3121">
      <c r="S3121">
        <f>IF(ISNUMBER('자료_거시'!$E3103),'자료_거시'!$E3103,S3120)</f>
        <v/>
      </c>
      <c r="T3121">
        <f>IF(AND(ISNUMBER('자료_거시'!$D3103),ISNUMBER('자료_거시'!$E3103)),IFERROR('자료_거시'!$E3103-INDEX($S$21:$S$4020,MATCH(EDATE('자료_거시'!$D3103,-'설정'!$B$17),'자료_거시'!$D$3:INDEX('자료_거시'!$D$3:$D$4002,$K$6),1)),""),"")</f>
        <v/>
      </c>
      <c r="U3121">
        <f>IF(ISNUMBER(T3121),'자료_거시'!$D3103,"")</f>
        <v/>
      </c>
      <c r="V3121">
        <f>IF(ISNUMBER(U3121),IF(U3121&gt;$L$6,T3121,""),"")</f>
        <v/>
      </c>
      <c r="W3121">
        <f>IF(AND(ISNUMBER('자료_거시'!$G3103),ISNUMBER('자료_거시'!$H3103)),'자료_거시'!$H3103,"")</f>
        <v/>
      </c>
      <c r="X3121">
        <f>IF(ISNUMBER(W3121),'자료_거시'!$G3103,"")</f>
        <v/>
      </c>
      <c r="Y3121">
        <f>IF(ISNUMBER(X3121),IF(X3121&gt;$L$7,W3121,""),"")</f>
        <v/>
      </c>
      <c r="Z3121">
        <f>IF(ISNUMBER('자료_거시'!$K3103),'자료_거시'!$K3103,Z3120)</f>
        <v/>
      </c>
      <c r="AA3121">
        <f>IF(AND(ISNUMBER('자료_거시'!$J3103),ISNUMBER('자료_거시'!$K3103)),IFERROR('자료_거시'!$K3103/INDEX($Z$21:$Z$4020,MATCH(EDATE('자료_거시'!$J3103,-'설정'!$B$17),'자료_거시'!$J$3:INDEX('자료_거시'!$J$3:$J$4002,$K$8),1))-1,""),"")</f>
        <v/>
      </c>
      <c r="AB3121">
        <f>IF(ISNUMBER(AA3121),'자료_거시'!$J3103,"")</f>
        <v/>
      </c>
      <c r="AC3121">
        <f>IF(ISNUMBER(AB3121),IF(AB3121&gt;$L$8,AA3121,""),"")</f>
        <v/>
      </c>
    </row>
    <row r="3122">
      <c r="S3122">
        <f>IF(ISNUMBER('자료_거시'!$E3104),'자료_거시'!$E3104,S3121)</f>
        <v/>
      </c>
      <c r="T3122">
        <f>IF(AND(ISNUMBER('자료_거시'!$D3104),ISNUMBER('자료_거시'!$E3104)),IFERROR('자료_거시'!$E3104-INDEX($S$21:$S$4020,MATCH(EDATE('자료_거시'!$D3104,-'설정'!$B$17),'자료_거시'!$D$3:INDEX('자료_거시'!$D$3:$D$4002,$K$6),1)),""),"")</f>
        <v/>
      </c>
      <c r="U3122">
        <f>IF(ISNUMBER(T3122),'자료_거시'!$D3104,"")</f>
        <v/>
      </c>
      <c r="V3122">
        <f>IF(ISNUMBER(U3122),IF(U3122&gt;$L$6,T3122,""),"")</f>
        <v/>
      </c>
      <c r="W3122">
        <f>IF(AND(ISNUMBER('자료_거시'!$G3104),ISNUMBER('자료_거시'!$H3104)),'자료_거시'!$H3104,"")</f>
        <v/>
      </c>
      <c r="X3122">
        <f>IF(ISNUMBER(W3122),'자료_거시'!$G3104,"")</f>
        <v/>
      </c>
      <c r="Y3122">
        <f>IF(ISNUMBER(X3122),IF(X3122&gt;$L$7,W3122,""),"")</f>
        <v/>
      </c>
      <c r="Z3122">
        <f>IF(ISNUMBER('자료_거시'!$K3104),'자료_거시'!$K3104,Z3121)</f>
        <v/>
      </c>
      <c r="AA3122">
        <f>IF(AND(ISNUMBER('자료_거시'!$J3104),ISNUMBER('자료_거시'!$K3104)),IFERROR('자료_거시'!$K3104/INDEX($Z$21:$Z$4020,MATCH(EDATE('자료_거시'!$J3104,-'설정'!$B$17),'자료_거시'!$J$3:INDEX('자료_거시'!$J$3:$J$4002,$K$8),1))-1,""),"")</f>
        <v/>
      </c>
      <c r="AB3122">
        <f>IF(ISNUMBER(AA3122),'자료_거시'!$J3104,"")</f>
        <v/>
      </c>
      <c r="AC3122">
        <f>IF(ISNUMBER(AB3122),IF(AB3122&gt;$L$8,AA3122,""),"")</f>
        <v/>
      </c>
    </row>
    <row r="3123">
      <c r="S3123">
        <f>IF(ISNUMBER('자료_거시'!$E3105),'자료_거시'!$E3105,S3122)</f>
        <v/>
      </c>
      <c r="T3123">
        <f>IF(AND(ISNUMBER('자료_거시'!$D3105),ISNUMBER('자료_거시'!$E3105)),IFERROR('자료_거시'!$E3105-INDEX($S$21:$S$4020,MATCH(EDATE('자료_거시'!$D3105,-'설정'!$B$17),'자료_거시'!$D$3:INDEX('자료_거시'!$D$3:$D$4002,$K$6),1)),""),"")</f>
        <v/>
      </c>
      <c r="U3123">
        <f>IF(ISNUMBER(T3123),'자료_거시'!$D3105,"")</f>
        <v/>
      </c>
      <c r="V3123">
        <f>IF(ISNUMBER(U3123),IF(U3123&gt;$L$6,T3123,""),"")</f>
        <v/>
      </c>
      <c r="W3123">
        <f>IF(AND(ISNUMBER('자료_거시'!$G3105),ISNUMBER('자료_거시'!$H3105)),'자료_거시'!$H3105,"")</f>
        <v/>
      </c>
      <c r="X3123">
        <f>IF(ISNUMBER(W3123),'자료_거시'!$G3105,"")</f>
        <v/>
      </c>
      <c r="Y3123">
        <f>IF(ISNUMBER(X3123),IF(X3123&gt;$L$7,W3123,""),"")</f>
        <v/>
      </c>
      <c r="Z3123">
        <f>IF(ISNUMBER('자료_거시'!$K3105),'자료_거시'!$K3105,Z3122)</f>
        <v/>
      </c>
      <c r="AA3123">
        <f>IF(AND(ISNUMBER('자료_거시'!$J3105),ISNUMBER('자료_거시'!$K3105)),IFERROR('자료_거시'!$K3105/INDEX($Z$21:$Z$4020,MATCH(EDATE('자료_거시'!$J3105,-'설정'!$B$17),'자료_거시'!$J$3:INDEX('자료_거시'!$J$3:$J$4002,$K$8),1))-1,""),"")</f>
        <v/>
      </c>
      <c r="AB3123">
        <f>IF(ISNUMBER(AA3123),'자료_거시'!$J3105,"")</f>
        <v/>
      </c>
      <c r="AC3123">
        <f>IF(ISNUMBER(AB3123),IF(AB3123&gt;$L$8,AA3123,""),"")</f>
        <v/>
      </c>
    </row>
    <row r="3124">
      <c r="S3124">
        <f>IF(ISNUMBER('자료_거시'!$E3106),'자료_거시'!$E3106,S3123)</f>
        <v/>
      </c>
      <c r="T3124">
        <f>IF(AND(ISNUMBER('자료_거시'!$D3106),ISNUMBER('자료_거시'!$E3106)),IFERROR('자료_거시'!$E3106-INDEX($S$21:$S$4020,MATCH(EDATE('자료_거시'!$D3106,-'설정'!$B$17),'자료_거시'!$D$3:INDEX('자료_거시'!$D$3:$D$4002,$K$6),1)),""),"")</f>
        <v/>
      </c>
      <c r="U3124">
        <f>IF(ISNUMBER(T3124),'자료_거시'!$D3106,"")</f>
        <v/>
      </c>
      <c r="V3124">
        <f>IF(ISNUMBER(U3124),IF(U3124&gt;$L$6,T3124,""),"")</f>
        <v/>
      </c>
      <c r="W3124">
        <f>IF(AND(ISNUMBER('자료_거시'!$G3106),ISNUMBER('자료_거시'!$H3106)),'자료_거시'!$H3106,"")</f>
        <v/>
      </c>
      <c r="X3124">
        <f>IF(ISNUMBER(W3124),'자료_거시'!$G3106,"")</f>
        <v/>
      </c>
      <c r="Y3124">
        <f>IF(ISNUMBER(X3124),IF(X3124&gt;$L$7,W3124,""),"")</f>
        <v/>
      </c>
      <c r="Z3124">
        <f>IF(ISNUMBER('자료_거시'!$K3106),'자료_거시'!$K3106,Z3123)</f>
        <v/>
      </c>
      <c r="AA3124">
        <f>IF(AND(ISNUMBER('자료_거시'!$J3106),ISNUMBER('자료_거시'!$K3106)),IFERROR('자료_거시'!$K3106/INDEX($Z$21:$Z$4020,MATCH(EDATE('자료_거시'!$J3106,-'설정'!$B$17),'자료_거시'!$J$3:INDEX('자료_거시'!$J$3:$J$4002,$K$8),1))-1,""),"")</f>
        <v/>
      </c>
      <c r="AB3124">
        <f>IF(ISNUMBER(AA3124),'자료_거시'!$J3106,"")</f>
        <v/>
      </c>
      <c r="AC3124">
        <f>IF(ISNUMBER(AB3124),IF(AB3124&gt;$L$8,AA3124,""),"")</f>
        <v/>
      </c>
    </row>
    <row r="3125">
      <c r="S3125">
        <f>IF(ISNUMBER('자료_거시'!$E3107),'자료_거시'!$E3107,S3124)</f>
        <v/>
      </c>
      <c r="T3125">
        <f>IF(AND(ISNUMBER('자료_거시'!$D3107),ISNUMBER('자료_거시'!$E3107)),IFERROR('자료_거시'!$E3107-INDEX($S$21:$S$4020,MATCH(EDATE('자료_거시'!$D3107,-'설정'!$B$17),'자료_거시'!$D$3:INDEX('자료_거시'!$D$3:$D$4002,$K$6),1)),""),"")</f>
        <v/>
      </c>
      <c r="U3125">
        <f>IF(ISNUMBER(T3125),'자료_거시'!$D3107,"")</f>
        <v/>
      </c>
      <c r="V3125">
        <f>IF(ISNUMBER(U3125),IF(U3125&gt;$L$6,T3125,""),"")</f>
        <v/>
      </c>
      <c r="W3125">
        <f>IF(AND(ISNUMBER('자료_거시'!$G3107),ISNUMBER('자료_거시'!$H3107)),'자료_거시'!$H3107,"")</f>
        <v/>
      </c>
      <c r="X3125">
        <f>IF(ISNUMBER(W3125),'자료_거시'!$G3107,"")</f>
        <v/>
      </c>
      <c r="Y3125">
        <f>IF(ISNUMBER(X3125),IF(X3125&gt;$L$7,W3125,""),"")</f>
        <v/>
      </c>
      <c r="Z3125">
        <f>IF(ISNUMBER('자료_거시'!$K3107),'자료_거시'!$K3107,Z3124)</f>
        <v/>
      </c>
      <c r="AA3125">
        <f>IF(AND(ISNUMBER('자료_거시'!$J3107),ISNUMBER('자료_거시'!$K3107)),IFERROR('자료_거시'!$K3107/INDEX($Z$21:$Z$4020,MATCH(EDATE('자료_거시'!$J3107,-'설정'!$B$17),'자료_거시'!$J$3:INDEX('자료_거시'!$J$3:$J$4002,$K$8),1))-1,""),"")</f>
        <v/>
      </c>
      <c r="AB3125">
        <f>IF(ISNUMBER(AA3125),'자료_거시'!$J3107,"")</f>
        <v/>
      </c>
      <c r="AC3125">
        <f>IF(ISNUMBER(AB3125),IF(AB3125&gt;$L$8,AA3125,""),"")</f>
        <v/>
      </c>
    </row>
    <row r="3126">
      <c r="S3126">
        <f>IF(ISNUMBER('자료_거시'!$E3108),'자료_거시'!$E3108,S3125)</f>
        <v/>
      </c>
      <c r="T3126">
        <f>IF(AND(ISNUMBER('자료_거시'!$D3108),ISNUMBER('자료_거시'!$E3108)),IFERROR('자료_거시'!$E3108-INDEX($S$21:$S$4020,MATCH(EDATE('자료_거시'!$D3108,-'설정'!$B$17),'자료_거시'!$D$3:INDEX('자료_거시'!$D$3:$D$4002,$K$6),1)),""),"")</f>
        <v/>
      </c>
      <c r="U3126">
        <f>IF(ISNUMBER(T3126),'자료_거시'!$D3108,"")</f>
        <v/>
      </c>
      <c r="V3126">
        <f>IF(ISNUMBER(U3126),IF(U3126&gt;$L$6,T3126,""),"")</f>
        <v/>
      </c>
      <c r="W3126">
        <f>IF(AND(ISNUMBER('자료_거시'!$G3108),ISNUMBER('자료_거시'!$H3108)),'자료_거시'!$H3108,"")</f>
        <v/>
      </c>
      <c r="X3126">
        <f>IF(ISNUMBER(W3126),'자료_거시'!$G3108,"")</f>
        <v/>
      </c>
      <c r="Y3126">
        <f>IF(ISNUMBER(X3126),IF(X3126&gt;$L$7,W3126,""),"")</f>
        <v/>
      </c>
      <c r="Z3126">
        <f>IF(ISNUMBER('자료_거시'!$K3108),'자료_거시'!$K3108,Z3125)</f>
        <v/>
      </c>
      <c r="AA3126">
        <f>IF(AND(ISNUMBER('자료_거시'!$J3108),ISNUMBER('자료_거시'!$K3108)),IFERROR('자료_거시'!$K3108/INDEX($Z$21:$Z$4020,MATCH(EDATE('자료_거시'!$J3108,-'설정'!$B$17),'자료_거시'!$J$3:INDEX('자료_거시'!$J$3:$J$4002,$K$8),1))-1,""),"")</f>
        <v/>
      </c>
      <c r="AB3126">
        <f>IF(ISNUMBER(AA3126),'자료_거시'!$J3108,"")</f>
        <v/>
      </c>
      <c r="AC3126">
        <f>IF(ISNUMBER(AB3126),IF(AB3126&gt;$L$8,AA3126,""),"")</f>
        <v/>
      </c>
    </row>
    <row r="3127">
      <c r="S3127">
        <f>IF(ISNUMBER('자료_거시'!$E3109),'자료_거시'!$E3109,S3126)</f>
        <v/>
      </c>
      <c r="T3127">
        <f>IF(AND(ISNUMBER('자료_거시'!$D3109),ISNUMBER('자료_거시'!$E3109)),IFERROR('자료_거시'!$E3109-INDEX($S$21:$S$4020,MATCH(EDATE('자료_거시'!$D3109,-'설정'!$B$17),'자료_거시'!$D$3:INDEX('자료_거시'!$D$3:$D$4002,$K$6),1)),""),"")</f>
        <v/>
      </c>
      <c r="U3127">
        <f>IF(ISNUMBER(T3127),'자료_거시'!$D3109,"")</f>
        <v/>
      </c>
      <c r="V3127">
        <f>IF(ISNUMBER(U3127),IF(U3127&gt;$L$6,T3127,""),"")</f>
        <v/>
      </c>
      <c r="W3127">
        <f>IF(AND(ISNUMBER('자료_거시'!$G3109),ISNUMBER('자료_거시'!$H3109)),'자료_거시'!$H3109,"")</f>
        <v/>
      </c>
      <c r="X3127">
        <f>IF(ISNUMBER(W3127),'자료_거시'!$G3109,"")</f>
        <v/>
      </c>
      <c r="Y3127">
        <f>IF(ISNUMBER(X3127),IF(X3127&gt;$L$7,W3127,""),"")</f>
        <v/>
      </c>
      <c r="Z3127">
        <f>IF(ISNUMBER('자료_거시'!$K3109),'자료_거시'!$K3109,Z3126)</f>
        <v/>
      </c>
      <c r="AA3127">
        <f>IF(AND(ISNUMBER('자료_거시'!$J3109),ISNUMBER('자료_거시'!$K3109)),IFERROR('자료_거시'!$K3109/INDEX($Z$21:$Z$4020,MATCH(EDATE('자료_거시'!$J3109,-'설정'!$B$17),'자료_거시'!$J$3:INDEX('자료_거시'!$J$3:$J$4002,$K$8),1))-1,""),"")</f>
        <v/>
      </c>
      <c r="AB3127">
        <f>IF(ISNUMBER(AA3127),'자료_거시'!$J3109,"")</f>
        <v/>
      </c>
      <c r="AC3127">
        <f>IF(ISNUMBER(AB3127),IF(AB3127&gt;$L$8,AA3127,""),"")</f>
        <v/>
      </c>
    </row>
    <row r="3128">
      <c r="S3128">
        <f>IF(ISNUMBER('자료_거시'!$E3110),'자료_거시'!$E3110,S3127)</f>
        <v/>
      </c>
      <c r="T3128">
        <f>IF(AND(ISNUMBER('자료_거시'!$D3110),ISNUMBER('자료_거시'!$E3110)),IFERROR('자료_거시'!$E3110-INDEX($S$21:$S$4020,MATCH(EDATE('자료_거시'!$D3110,-'설정'!$B$17),'자료_거시'!$D$3:INDEX('자료_거시'!$D$3:$D$4002,$K$6),1)),""),"")</f>
        <v/>
      </c>
      <c r="U3128">
        <f>IF(ISNUMBER(T3128),'자료_거시'!$D3110,"")</f>
        <v/>
      </c>
      <c r="V3128">
        <f>IF(ISNUMBER(U3128),IF(U3128&gt;$L$6,T3128,""),"")</f>
        <v/>
      </c>
      <c r="W3128">
        <f>IF(AND(ISNUMBER('자료_거시'!$G3110),ISNUMBER('자료_거시'!$H3110)),'자료_거시'!$H3110,"")</f>
        <v/>
      </c>
      <c r="X3128">
        <f>IF(ISNUMBER(W3128),'자료_거시'!$G3110,"")</f>
        <v/>
      </c>
      <c r="Y3128">
        <f>IF(ISNUMBER(X3128),IF(X3128&gt;$L$7,W3128,""),"")</f>
        <v/>
      </c>
      <c r="Z3128">
        <f>IF(ISNUMBER('자료_거시'!$K3110),'자료_거시'!$K3110,Z3127)</f>
        <v/>
      </c>
      <c r="AA3128">
        <f>IF(AND(ISNUMBER('자료_거시'!$J3110),ISNUMBER('자료_거시'!$K3110)),IFERROR('자료_거시'!$K3110/INDEX($Z$21:$Z$4020,MATCH(EDATE('자료_거시'!$J3110,-'설정'!$B$17),'자료_거시'!$J$3:INDEX('자료_거시'!$J$3:$J$4002,$K$8),1))-1,""),"")</f>
        <v/>
      </c>
      <c r="AB3128">
        <f>IF(ISNUMBER(AA3128),'자료_거시'!$J3110,"")</f>
        <v/>
      </c>
      <c r="AC3128">
        <f>IF(ISNUMBER(AB3128),IF(AB3128&gt;$L$8,AA3128,""),"")</f>
        <v/>
      </c>
    </row>
    <row r="3129">
      <c r="S3129">
        <f>IF(ISNUMBER('자료_거시'!$E3111),'자료_거시'!$E3111,S3128)</f>
        <v/>
      </c>
      <c r="T3129">
        <f>IF(AND(ISNUMBER('자료_거시'!$D3111),ISNUMBER('자료_거시'!$E3111)),IFERROR('자료_거시'!$E3111-INDEX($S$21:$S$4020,MATCH(EDATE('자료_거시'!$D3111,-'설정'!$B$17),'자료_거시'!$D$3:INDEX('자료_거시'!$D$3:$D$4002,$K$6),1)),""),"")</f>
        <v/>
      </c>
      <c r="U3129">
        <f>IF(ISNUMBER(T3129),'자료_거시'!$D3111,"")</f>
        <v/>
      </c>
      <c r="V3129">
        <f>IF(ISNUMBER(U3129),IF(U3129&gt;$L$6,T3129,""),"")</f>
        <v/>
      </c>
      <c r="W3129">
        <f>IF(AND(ISNUMBER('자료_거시'!$G3111),ISNUMBER('자료_거시'!$H3111)),'자료_거시'!$H3111,"")</f>
        <v/>
      </c>
      <c r="X3129">
        <f>IF(ISNUMBER(W3129),'자료_거시'!$G3111,"")</f>
        <v/>
      </c>
      <c r="Y3129">
        <f>IF(ISNUMBER(X3129),IF(X3129&gt;$L$7,W3129,""),"")</f>
        <v/>
      </c>
      <c r="Z3129">
        <f>IF(ISNUMBER('자료_거시'!$K3111),'자료_거시'!$K3111,Z3128)</f>
        <v/>
      </c>
      <c r="AA3129">
        <f>IF(AND(ISNUMBER('자료_거시'!$J3111),ISNUMBER('자료_거시'!$K3111)),IFERROR('자료_거시'!$K3111/INDEX($Z$21:$Z$4020,MATCH(EDATE('자료_거시'!$J3111,-'설정'!$B$17),'자료_거시'!$J$3:INDEX('자료_거시'!$J$3:$J$4002,$K$8),1))-1,""),"")</f>
        <v/>
      </c>
      <c r="AB3129">
        <f>IF(ISNUMBER(AA3129),'자료_거시'!$J3111,"")</f>
        <v/>
      </c>
      <c r="AC3129">
        <f>IF(ISNUMBER(AB3129),IF(AB3129&gt;$L$8,AA3129,""),"")</f>
        <v/>
      </c>
    </row>
    <row r="3130">
      <c r="S3130">
        <f>IF(ISNUMBER('자료_거시'!$E3112),'자료_거시'!$E3112,S3129)</f>
        <v/>
      </c>
      <c r="T3130">
        <f>IF(AND(ISNUMBER('자료_거시'!$D3112),ISNUMBER('자료_거시'!$E3112)),IFERROR('자료_거시'!$E3112-INDEX($S$21:$S$4020,MATCH(EDATE('자료_거시'!$D3112,-'설정'!$B$17),'자료_거시'!$D$3:INDEX('자료_거시'!$D$3:$D$4002,$K$6),1)),""),"")</f>
        <v/>
      </c>
      <c r="U3130">
        <f>IF(ISNUMBER(T3130),'자료_거시'!$D3112,"")</f>
        <v/>
      </c>
      <c r="V3130">
        <f>IF(ISNUMBER(U3130),IF(U3130&gt;$L$6,T3130,""),"")</f>
        <v/>
      </c>
      <c r="W3130">
        <f>IF(AND(ISNUMBER('자료_거시'!$G3112),ISNUMBER('자료_거시'!$H3112)),'자료_거시'!$H3112,"")</f>
        <v/>
      </c>
      <c r="X3130">
        <f>IF(ISNUMBER(W3130),'자료_거시'!$G3112,"")</f>
        <v/>
      </c>
      <c r="Y3130">
        <f>IF(ISNUMBER(X3130),IF(X3130&gt;$L$7,W3130,""),"")</f>
        <v/>
      </c>
      <c r="Z3130">
        <f>IF(ISNUMBER('자료_거시'!$K3112),'자료_거시'!$K3112,Z3129)</f>
        <v/>
      </c>
      <c r="AA3130">
        <f>IF(AND(ISNUMBER('자료_거시'!$J3112),ISNUMBER('자료_거시'!$K3112)),IFERROR('자료_거시'!$K3112/INDEX($Z$21:$Z$4020,MATCH(EDATE('자료_거시'!$J3112,-'설정'!$B$17),'자료_거시'!$J$3:INDEX('자료_거시'!$J$3:$J$4002,$K$8),1))-1,""),"")</f>
        <v/>
      </c>
      <c r="AB3130">
        <f>IF(ISNUMBER(AA3130),'자료_거시'!$J3112,"")</f>
        <v/>
      </c>
      <c r="AC3130">
        <f>IF(ISNUMBER(AB3130),IF(AB3130&gt;$L$8,AA3130,""),"")</f>
        <v/>
      </c>
    </row>
    <row r="3131">
      <c r="S3131">
        <f>IF(ISNUMBER('자료_거시'!$E3113),'자료_거시'!$E3113,S3130)</f>
        <v/>
      </c>
      <c r="T3131">
        <f>IF(AND(ISNUMBER('자료_거시'!$D3113),ISNUMBER('자료_거시'!$E3113)),IFERROR('자료_거시'!$E3113-INDEX($S$21:$S$4020,MATCH(EDATE('자료_거시'!$D3113,-'설정'!$B$17),'자료_거시'!$D$3:INDEX('자료_거시'!$D$3:$D$4002,$K$6),1)),""),"")</f>
        <v/>
      </c>
      <c r="U3131">
        <f>IF(ISNUMBER(T3131),'자료_거시'!$D3113,"")</f>
        <v/>
      </c>
      <c r="V3131">
        <f>IF(ISNUMBER(U3131),IF(U3131&gt;$L$6,T3131,""),"")</f>
        <v/>
      </c>
      <c r="W3131">
        <f>IF(AND(ISNUMBER('자료_거시'!$G3113),ISNUMBER('자료_거시'!$H3113)),'자료_거시'!$H3113,"")</f>
        <v/>
      </c>
      <c r="X3131">
        <f>IF(ISNUMBER(W3131),'자료_거시'!$G3113,"")</f>
        <v/>
      </c>
      <c r="Y3131">
        <f>IF(ISNUMBER(X3131),IF(X3131&gt;$L$7,W3131,""),"")</f>
        <v/>
      </c>
      <c r="Z3131">
        <f>IF(ISNUMBER('자료_거시'!$K3113),'자료_거시'!$K3113,Z3130)</f>
        <v/>
      </c>
      <c r="AA3131">
        <f>IF(AND(ISNUMBER('자료_거시'!$J3113),ISNUMBER('자료_거시'!$K3113)),IFERROR('자료_거시'!$K3113/INDEX($Z$21:$Z$4020,MATCH(EDATE('자료_거시'!$J3113,-'설정'!$B$17),'자료_거시'!$J$3:INDEX('자료_거시'!$J$3:$J$4002,$K$8),1))-1,""),"")</f>
        <v/>
      </c>
      <c r="AB3131">
        <f>IF(ISNUMBER(AA3131),'자료_거시'!$J3113,"")</f>
        <v/>
      </c>
      <c r="AC3131">
        <f>IF(ISNUMBER(AB3131),IF(AB3131&gt;$L$8,AA3131,""),"")</f>
        <v/>
      </c>
    </row>
    <row r="3132">
      <c r="S3132">
        <f>IF(ISNUMBER('자료_거시'!$E3114),'자료_거시'!$E3114,S3131)</f>
        <v/>
      </c>
      <c r="T3132">
        <f>IF(AND(ISNUMBER('자료_거시'!$D3114),ISNUMBER('자료_거시'!$E3114)),IFERROR('자료_거시'!$E3114-INDEX($S$21:$S$4020,MATCH(EDATE('자료_거시'!$D3114,-'설정'!$B$17),'자료_거시'!$D$3:INDEX('자료_거시'!$D$3:$D$4002,$K$6),1)),""),"")</f>
        <v/>
      </c>
      <c r="U3132">
        <f>IF(ISNUMBER(T3132),'자료_거시'!$D3114,"")</f>
        <v/>
      </c>
      <c r="V3132">
        <f>IF(ISNUMBER(U3132),IF(U3132&gt;$L$6,T3132,""),"")</f>
        <v/>
      </c>
      <c r="W3132">
        <f>IF(AND(ISNUMBER('자료_거시'!$G3114),ISNUMBER('자료_거시'!$H3114)),'자료_거시'!$H3114,"")</f>
        <v/>
      </c>
      <c r="X3132">
        <f>IF(ISNUMBER(W3132),'자료_거시'!$G3114,"")</f>
        <v/>
      </c>
      <c r="Y3132">
        <f>IF(ISNUMBER(X3132),IF(X3132&gt;$L$7,W3132,""),"")</f>
        <v/>
      </c>
      <c r="Z3132">
        <f>IF(ISNUMBER('자료_거시'!$K3114),'자료_거시'!$K3114,Z3131)</f>
        <v/>
      </c>
      <c r="AA3132">
        <f>IF(AND(ISNUMBER('자료_거시'!$J3114),ISNUMBER('자료_거시'!$K3114)),IFERROR('자료_거시'!$K3114/INDEX($Z$21:$Z$4020,MATCH(EDATE('자료_거시'!$J3114,-'설정'!$B$17),'자료_거시'!$J$3:INDEX('자료_거시'!$J$3:$J$4002,$K$8),1))-1,""),"")</f>
        <v/>
      </c>
      <c r="AB3132">
        <f>IF(ISNUMBER(AA3132),'자료_거시'!$J3114,"")</f>
        <v/>
      </c>
      <c r="AC3132">
        <f>IF(ISNUMBER(AB3132),IF(AB3132&gt;$L$8,AA3132,""),"")</f>
        <v/>
      </c>
    </row>
    <row r="3133">
      <c r="S3133">
        <f>IF(ISNUMBER('자료_거시'!$E3115),'자료_거시'!$E3115,S3132)</f>
        <v/>
      </c>
      <c r="T3133">
        <f>IF(AND(ISNUMBER('자료_거시'!$D3115),ISNUMBER('자료_거시'!$E3115)),IFERROR('자료_거시'!$E3115-INDEX($S$21:$S$4020,MATCH(EDATE('자료_거시'!$D3115,-'설정'!$B$17),'자료_거시'!$D$3:INDEX('자료_거시'!$D$3:$D$4002,$K$6),1)),""),"")</f>
        <v/>
      </c>
      <c r="U3133">
        <f>IF(ISNUMBER(T3133),'자료_거시'!$D3115,"")</f>
        <v/>
      </c>
      <c r="V3133">
        <f>IF(ISNUMBER(U3133),IF(U3133&gt;$L$6,T3133,""),"")</f>
        <v/>
      </c>
      <c r="W3133">
        <f>IF(AND(ISNUMBER('자료_거시'!$G3115),ISNUMBER('자료_거시'!$H3115)),'자료_거시'!$H3115,"")</f>
        <v/>
      </c>
      <c r="X3133">
        <f>IF(ISNUMBER(W3133),'자료_거시'!$G3115,"")</f>
        <v/>
      </c>
      <c r="Y3133">
        <f>IF(ISNUMBER(X3133),IF(X3133&gt;$L$7,W3133,""),"")</f>
        <v/>
      </c>
      <c r="Z3133">
        <f>IF(ISNUMBER('자료_거시'!$K3115),'자료_거시'!$K3115,Z3132)</f>
        <v/>
      </c>
      <c r="AA3133">
        <f>IF(AND(ISNUMBER('자료_거시'!$J3115),ISNUMBER('자료_거시'!$K3115)),IFERROR('자료_거시'!$K3115/INDEX($Z$21:$Z$4020,MATCH(EDATE('자료_거시'!$J3115,-'설정'!$B$17),'자료_거시'!$J$3:INDEX('자료_거시'!$J$3:$J$4002,$K$8),1))-1,""),"")</f>
        <v/>
      </c>
      <c r="AB3133">
        <f>IF(ISNUMBER(AA3133),'자료_거시'!$J3115,"")</f>
        <v/>
      </c>
      <c r="AC3133">
        <f>IF(ISNUMBER(AB3133),IF(AB3133&gt;$L$8,AA3133,""),"")</f>
        <v/>
      </c>
    </row>
    <row r="3134">
      <c r="S3134">
        <f>IF(ISNUMBER('자료_거시'!$E3116),'자료_거시'!$E3116,S3133)</f>
        <v/>
      </c>
      <c r="T3134">
        <f>IF(AND(ISNUMBER('자료_거시'!$D3116),ISNUMBER('자료_거시'!$E3116)),IFERROR('자료_거시'!$E3116-INDEX($S$21:$S$4020,MATCH(EDATE('자료_거시'!$D3116,-'설정'!$B$17),'자료_거시'!$D$3:INDEX('자료_거시'!$D$3:$D$4002,$K$6),1)),""),"")</f>
        <v/>
      </c>
      <c r="U3134">
        <f>IF(ISNUMBER(T3134),'자료_거시'!$D3116,"")</f>
        <v/>
      </c>
      <c r="V3134">
        <f>IF(ISNUMBER(U3134),IF(U3134&gt;$L$6,T3134,""),"")</f>
        <v/>
      </c>
      <c r="W3134">
        <f>IF(AND(ISNUMBER('자료_거시'!$G3116),ISNUMBER('자료_거시'!$H3116)),'자료_거시'!$H3116,"")</f>
        <v/>
      </c>
      <c r="X3134">
        <f>IF(ISNUMBER(W3134),'자료_거시'!$G3116,"")</f>
        <v/>
      </c>
      <c r="Y3134">
        <f>IF(ISNUMBER(X3134),IF(X3134&gt;$L$7,W3134,""),"")</f>
        <v/>
      </c>
      <c r="Z3134">
        <f>IF(ISNUMBER('자료_거시'!$K3116),'자료_거시'!$K3116,Z3133)</f>
        <v/>
      </c>
      <c r="AA3134">
        <f>IF(AND(ISNUMBER('자료_거시'!$J3116),ISNUMBER('자료_거시'!$K3116)),IFERROR('자료_거시'!$K3116/INDEX($Z$21:$Z$4020,MATCH(EDATE('자료_거시'!$J3116,-'설정'!$B$17),'자료_거시'!$J$3:INDEX('자료_거시'!$J$3:$J$4002,$K$8),1))-1,""),"")</f>
        <v/>
      </c>
      <c r="AB3134">
        <f>IF(ISNUMBER(AA3134),'자료_거시'!$J3116,"")</f>
        <v/>
      </c>
      <c r="AC3134">
        <f>IF(ISNUMBER(AB3134),IF(AB3134&gt;$L$8,AA3134,""),"")</f>
        <v/>
      </c>
    </row>
    <row r="3135">
      <c r="S3135">
        <f>IF(ISNUMBER('자료_거시'!$E3117),'자료_거시'!$E3117,S3134)</f>
        <v/>
      </c>
      <c r="T3135">
        <f>IF(AND(ISNUMBER('자료_거시'!$D3117),ISNUMBER('자료_거시'!$E3117)),IFERROR('자료_거시'!$E3117-INDEX($S$21:$S$4020,MATCH(EDATE('자료_거시'!$D3117,-'설정'!$B$17),'자료_거시'!$D$3:INDEX('자료_거시'!$D$3:$D$4002,$K$6),1)),""),"")</f>
        <v/>
      </c>
      <c r="U3135">
        <f>IF(ISNUMBER(T3135),'자료_거시'!$D3117,"")</f>
        <v/>
      </c>
      <c r="V3135">
        <f>IF(ISNUMBER(U3135),IF(U3135&gt;$L$6,T3135,""),"")</f>
        <v/>
      </c>
      <c r="W3135">
        <f>IF(AND(ISNUMBER('자료_거시'!$G3117),ISNUMBER('자료_거시'!$H3117)),'자료_거시'!$H3117,"")</f>
        <v/>
      </c>
      <c r="X3135">
        <f>IF(ISNUMBER(W3135),'자료_거시'!$G3117,"")</f>
        <v/>
      </c>
      <c r="Y3135">
        <f>IF(ISNUMBER(X3135),IF(X3135&gt;$L$7,W3135,""),"")</f>
        <v/>
      </c>
      <c r="Z3135">
        <f>IF(ISNUMBER('자료_거시'!$K3117),'자료_거시'!$K3117,Z3134)</f>
        <v/>
      </c>
      <c r="AA3135">
        <f>IF(AND(ISNUMBER('자료_거시'!$J3117),ISNUMBER('자료_거시'!$K3117)),IFERROR('자료_거시'!$K3117/INDEX($Z$21:$Z$4020,MATCH(EDATE('자료_거시'!$J3117,-'설정'!$B$17),'자료_거시'!$J$3:INDEX('자료_거시'!$J$3:$J$4002,$K$8),1))-1,""),"")</f>
        <v/>
      </c>
      <c r="AB3135">
        <f>IF(ISNUMBER(AA3135),'자료_거시'!$J3117,"")</f>
        <v/>
      </c>
      <c r="AC3135">
        <f>IF(ISNUMBER(AB3135),IF(AB3135&gt;$L$8,AA3135,""),"")</f>
        <v/>
      </c>
    </row>
    <row r="3136">
      <c r="S3136">
        <f>IF(ISNUMBER('자료_거시'!$E3118),'자료_거시'!$E3118,S3135)</f>
        <v/>
      </c>
      <c r="T3136">
        <f>IF(AND(ISNUMBER('자료_거시'!$D3118),ISNUMBER('자료_거시'!$E3118)),IFERROR('자료_거시'!$E3118-INDEX($S$21:$S$4020,MATCH(EDATE('자료_거시'!$D3118,-'설정'!$B$17),'자료_거시'!$D$3:INDEX('자료_거시'!$D$3:$D$4002,$K$6),1)),""),"")</f>
        <v/>
      </c>
      <c r="U3136">
        <f>IF(ISNUMBER(T3136),'자료_거시'!$D3118,"")</f>
        <v/>
      </c>
      <c r="V3136">
        <f>IF(ISNUMBER(U3136),IF(U3136&gt;$L$6,T3136,""),"")</f>
        <v/>
      </c>
      <c r="W3136">
        <f>IF(AND(ISNUMBER('자료_거시'!$G3118),ISNUMBER('자료_거시'!$H3118)),'자료_거시'!$H3118,"")</f>
        <v/>
      </c>
      <c r="X3136">
        <f>IF(ISNUMBER(W3136),'자료_거시'!$G3118,"")</f>
        <v/>
      </c>
      <c r="Y3136">
        <f>IF(ISNUMBER(X3136),IF(X3136&gt;$L$7,W3136,""),"")</f>
        <v/>
      </c>
      <c r="Z3136">
        <f>IF(ISNUMBER('자료_거시'!$K3118),'자료_거시'!$K3118,Z3135)</f>
        <v/>
      </c>
      <c r="AA3136">
        <f>IF(AND(ISNUMBER('자료_거시'!$J3118),ISNUMBER('자료_거시'!$K3118)),IFERROR('자료_거시'!$K3118/INDEX($Z$21:$Z$4020,MATCH(EDATE('자료_거시'!$J3118,-'설정'!$B$17),'자료_거시'!$J$3:INDEX('자료_거시'!$J$3:$J$4002,$K$8),1))-1,""),"")</f>
        <v/>
      </c>
      <c r="AB3136">
        <f>IF(ISNUMBER(AA3136),'자료_거시'!$J3118,"")</f>
        <v/>
      </c>
      <c r="AC3136">
        <f>IF(ISNUMBER(AB3136),IF(AB3136&gt;$L$8,AA3136,""),"")</f>
        <v/>
      </c>
    </row>
    <row r="3137">
      <c r="S3137">
        <f>IF(ISNUMBER('자료_거시'!$E3119),'자료_거시'!$E3119,S3136)</f>
        <v/>
      </c>
      <c r="T3137">
        <f>IF(AND(ISNUMBER('자료_거시'!$D3119),ISNUMBER('자료_거시'!$E3119)),IFERROR('자료_거시'!$E3119-INDEX($S$21:$S$4020,MATCH(EDATE('자료_거시'!$D3119,-'설정'!$B$17),'자료_거시'!$D$3:INDEX('자료_거시'!$D$3:$D$4002,$K$6),1)),""),"")</f>
        <v/>
      </c>
      <c r="U3137">
        <f>IF(ISNUMBER(T3137),'자료_거시'!$D3119,"")</f>
        <v/>
      </c>
      <c r="V3137">
        <f>IF(ISNUMBER(U3137),IF(U3137&gt;$L$6,T3137,""),"")</f>
        <v/>
      </c>
      <c r="W3137">
        <f>IF(AND(ISNUMBER('자료_거시'!$G3119),ISNUMBER('자료_거시'!$H3119)),'자료_거시'!$H3119,"")</f>
        <v/>
      </c>
      <c r="X3137">
        <f>IF(ISNUMBER(W3137),'자료_거시'!$G3119,"")</f>
        <v/>
      </c>
      <c r="Y3137">
        <f>IF(ISNUMBER(X3137),IF(X3137&gt;$L$7,W3137,""),"")</f>
        <v/>
      </c>
      <c r="Z3137">
        <f>IF(ISNUMBER('자료_거시'!$K3119),'자료_거시'!$K3119,Z3136)</f>
        <v/>
      </c>
      <c r="AA3137">
        <f>IF(AND(ISNUMBER('자료_거시'!$J3119),ISNUMBER('자료_거시'!$K3119)),IFERROR('자료_거시'!$K3119/INDEX($Z$21:$Z$4020,MATCH(EDATE('자료_거시'!$J3119,-'설정'!$B$17),'자료_거시'!$J$3:INDEX('자료_거시'!$J$3:$J$4002,$K$8),1))-1,""),"")</f>
        <v/>
      </c>
      <c r="AB3137">
        <f>IF(ISNUMBER(AA3137),'자료_거시'!$J3119,"")</f>
        <v/>
      </c>
      <c r="AC3137">
        <f>IF(ISNUMBER(AB3137),IF(AB3137&gt;$L$8,AA3137,""),"")</f>
        <v/>
      </c>
    </row>
    <row r="3138">
      <c r="S3138">
        <f>IF(ISNUMBER('자료_거시'!$E3120),'자료_거시'!$E3120,S3137)</f>
        <v/>
      </c>
      <c r="T3138">
        <f>IF(AND(ISNUMBER('자료_거시'!$D3120),ISNUMBER('자료_거시'!$E3120)),IFERROR('자료_거시'!$E3120-INDEX($S$21:$S$4020,MATCH(EDATE('자료_거시'!$D3120,-'설정'!$B$17),'자료_거시'!$D$3:INDEX('자료_거시'!$D$3:$D$4002,$K$6),1)),""),"")</f>
        <v/>
      </c>
      <c r="U3138">
        <f>IF(ISNUMBER(T3138),'자료_거시'!$D3120,"")</f>
        <v/>
      </c>
      <c r="V3138">
        <f>IF(ISNUMBER(U3138),IF(U3138&gt;$L$6,T3138,""),"")</f>
        <v/>
      </c>
      <c r="W3138">
        <f>IF(AND(ISNUMBER('자료_거시'!$G3120),ISNUMBER('자료_거시'!$H3120)),'자료_거시'!$H3120,"")</f>
        <v/>
      </c>
      <c r="X3138">
        <f>IF(ISNUMBER(W3138),'자료_거시'!$G3120,"")</f>
        <v/>
      </c>
      <c r="Y3138">
        <f>IF(ISNUMBER(X3138),IF(X3138&gt;$L$7,W3138,""),"")</f>
        <v/>
      </c>
      <c r="Z3138">
        <f>IF(ISNUMBER('자료_거시'!$K3120),'자료_거시'!$K3120,Z3137)</f>
        <v/>
      </c>
      <c r="AA3138">
        <f>IF(AND(ISNUMBER('자료_거시'!$J3120),ISNUMBER('자료_거시'!$K3120)),IFERROR('자료_거시'!$K3120/INDEX($Z$21:$Z$4020,MATCH(EDATE('자료_거시'!$J3120,-'설정'!$B$17),'자료_거시'!$J$3:INDEX('자료_거시'!$J$3:$J$4002,$K$8),1))-1,""),"")</f>
        <v/>
      </c>
      <c r="AB3138">
        <f>IF(ISNUMBER(AA3138),'자료_거시'!$J3120,"")</f>
        <v/>
      </c>
      <c r="AC3138">
        <f>IF(ISNUMBER(AB3138),IF(AB3138&gt;$L$8,AA3138,""),"")</f>
        <v/>
      </c>
    </row>
    <row r="3139">
      <c r="S3139">
        <f>IF(ISNUMBER('자료_거시'!$E3121),'자료_거시'!$E3121,S3138)</f>
        <v/>
      </c>
      <c r="T3139">
        <f>IF(AND(ISNUMBER('자료_거시'!$D3121),ISNUMBER('자료_거시'!$E3121)),IFERROR('자료_거시'!$E3121-INDEX($S$21:$S$4020,MATCH(EDATE('자료_거시'!$D3121,-'설정'!$B$17),'자료_거시'!$D$3:INDEX('자료_거시'!$D$3:$D$4002,$K$6),1)),""),"")</f>
        <v/>
      </c>
      <c r="U3139">
        <f>IF(ISNUMBER(T3139),'자료_거시'!$D3121,"")</f>
        <v/>
      </c>
      <c r="V3139">
        <f>IF(ISNUMBER(U3139),IF(U3139&gt;$L$6,T3139,""),"")</f>
        <v/>
      </c>
      <c r="W3139">
        <f>IF(AND(ISNUMBER('자료_거시'!$G3121),ISNUMBER('자료_거시'!$H3121)),'자료_거시'!$H3121,"")</f>
        <v/>
      </c>
      <c r="X3139">
        <f>IF(ISNUMBER(W3139),'자료_거시'!$G3121,"")</f>
        <v/>
      </c>
      <c r="Y3139">
        <f>IF(ISNUMBER(X3139),IF(X3139&gt;$L$7,W3139,""),"")</f>
        <v/>
      </c>
      <c r="Z3139">
        <f>IF(ISNUMBER('자료_거시'!$K3121),'자료_거시'!$K3121,Z3138)</f>
        <v/>
      </c>
      <c r="AA3139">
        <f>IF(AND(ISNUMBER('자료_거시'!$J3121),ISNUMBER('자료_거시'!$K3121)),IFERROR('자료_거시'!$K3121/INDEX($Z$21:$Z$4020,MATCH(EDATE('자료_거시'!$J3121,-'설정'!$B$17),'자료_거시'!$J$3:INDEX('자료_거시'!$J$3:$J$4002,$K$8),1))-1,""),"")</f>
        <v/>
      </c>
      <c r="AB3139">
        <f>IF(ISNUMBER(AA3139),'자료_거시'!$J3121,"")</f>
        <v/>
      </c>
      <c r="AC3139">
        <f>IF(ISNUMBER(AB3139),IF(AB3139&gt;$L$8,AA3139,""),"")</f>
        <v/>
      </c>
    </row>
    <row r="3140">
      <c r="S3140">
        <f>IF(ISNUMBER('자료_거시'!$E3122),'자료_거시'!$E3122,S3139)</f>
        <v/>
      </c>
      <c r="T3140">
        <f>IF(AND(ISNUMBER('자료_거시'!$D3122),ISNUMBER('자료_거시'!$E3122)),IFERROR('자료_거시'!$E3122-INDEX($S$21:$S$4020,MATCH(EDATE('자료_거시'!$D3122,-'설정'!$B$17),'자료_거시'!$D$3:INDEX('자료_거시'!$D$3:$D$4002,$K$6),1)),""),"")</f>
        <v/>
      </c>
      <c r="U3140">
        <f>IF(ISNUMBER(T3140),'자료_거시'!$D3122,"")</f>
        <v/>
      </c>
      <c r="V3140">
        <f>IF(ISNUMBER(U3140),IF(U3140&gt;$L$6,T3140,""),"")</f>
        <v/>
      </c>
      <c r="W3140">
        <f>IF(AND(ISNUMBER('자료_거시'!$G3122),ISNUMBER('자료_거시'!$H3122)),'자료_거시'!$H3122,"")</f>
        <v/>
      </c>
      <c r="X3140">
        <f>IF(ISNUMBER(W3140),'자료_거시'!$G3122,"")</f>
        <v/>
      </c>
      <c r="Y3140">
        <f>IF(ISNUMBER(X3140),IF(X3140&gt;$L$7,W3140,""),"")</f>
        <v/>
      </c>
      <c r="Z3140">
        <f>IF(ISNUMBER('자료_거시'!$K3122),'자료_거시'!$K3122,Z3139)</f>
        <v/>
      </c>
      <c r="AA3140">
        <f>IF(AND(ISNUMBER('자료_거시'!$J3122),ISNUMBER('자료_거시'!$K3122)),IFERROR('자료_거시'!$K3122/INDEX($Z$21:$Z$4020,MATCH(EDATE('자료_거시'!$J3122,-'설정'!$B$17),'자료_거시'!$J$3:INDEX('자료_거시'!$J$3:$J$4002,$K$8),1))-1,""),"")</f>
        <v/>
      </c>
      <c r="AB3140">
        <f>IF(ISNUMBER(AA3140),'자료_거시'!$J3122,"")</f>
        <v/>
      </c>
      <c r="AC3140">
        <f>IF(ISNUMBER(AB3140),IF(AB3140&gt;$L$8,AA3140,""),"")</f>
        <v/>
      </c>
    </row>
    <row r="3141">
      <c r="S3141">
        <f>IF(ISNUMBER('자료_거시'!$E3123),'자료_거시'!$E3123,S3140)</f>
        <v/>
      </c>
      <c r="T3141">
        <f>IF(AND(ISNUMBER('자료_거시'!$D3123),ISNUMBER('자료_거시'!$E3123)),IFERROR('자료_거시'!$E3123-INDEX($S$21:$S$4020,MATCH(EDATE('자료_거시'!$D3123,-'설정'!$B$17),'자료_거시'!$D$3:INDEX('자료_거시'!$D$3:$D$4002,$K$6),1)),""),"")</f>
        <v/>
      </c>
      <c r="U3141">
        <f>IF(ISNUMBER(T3141),'자료_거시'!$D3123,"")</f>
        <v/>
      </c>
      <c r="V3141">
        <f>IF(ISNUMBER(U3141),IF(U3141&gt;$L$6,T3141,""),"")</f>
        <v/>
      </c>
      <c r="W3141">
        <f>IF(AND(ISNUMBER('자료_거시'!$G3123),ISNUMBER('자료_거시'!$H3123)),'자료_거시'!$H3123,"")</f>
        <v/>
      </c>
      <c r="X3141">
        <f>IF(ISNUMBER(W3141),'자료_거시'!$G3123,"")</f>
        <v/>
      </c>
      <c r="Y3141">
        <f>IF(ISNUMBER(X3141),IF(X3141&gt;$L$7,W3141,""),"")</f>
        <v/>
      </c>
      <c r="Z3141">
        <f>IF(ISNUMBER('자료_거시'!$K3123),'자료_거시'!$K3123,Z3140)</f>
        <v/>
      </c>
      <c r="AA3141">
        <f>IF(AND(ISNUMBER('자료_거시'!$J3123),ISNUMBER('자료_거시'!$K3123)),IFERROR('자료_거시'!$K3123/INDEX($Z$21:$Z$4020,MATCH(EDATE('자료_거시'!$J3123,-'설정'!$B$17),'자료_거시'!$J$3:INDEX('자료_거시'!$J$3:$J$4002,$K$8),1))-1,""),"")</f>
        <v/>
      </c>
      <c r="AB3141">
        <f>IF(ISNUMBER(AA3141),'자료_거시'!$J3123,"")</f>
        <v/>
      </c>
      <c r="AC3141">
        <f>IF(ISNUMBER(AB3141),IF(AB3141&gt;$L$8,AA3141,""),"")</f>
        <v/>
      </c>
    </row>
    <row r="3142">
      <c r="S3142">
        <f>IF(ISNUMBER('자료_거시'!$E3124),'자료_거시'!$E3124,S3141)</f>
        <v/>
      </c>
      <c r="T3142">
        <f>IF(AND(ISNUMBER('자료_거시'!$D3124),ISNUMBER('자료_거시'!$E3124)),IFERROR('자료_거시'!$E3124-INDEX($S$21:$S$4020,MATCH(EDATE('자료_거시'!$D3124,-'설정'!$B$17),'자료_거시'!$D$3:INDEX('자료_거시'!$D$3:$D$4002,$K$6),1)),""),"")</f>
        <v/>
      </c>
      <c r="U3142">
        <f>IF(ISNUMBER(T3142),'자료_거시'!$D3124,"")</f>
        <v/>
      </c>
      <c r="V3142">
        <f>IF(ISNUMBER(U3142),IF(U3142&gt;$L$6,T3142,""),"")</f>
        <v/>
      </c>
      <c r="W3142">
        <f>IF(AND(ISNUMBER('자료_거시'!$G3124),ISNUMBER('자료_거시'!$H3124)),'자료_거시'!$H3124,"")</f>
        <v/>
      </c>
      <c r="X3142">
        <f>IF(ISNUMBER(W3142),'자료_거시'!$G3124,"")</f>
        <v/>
      </c>
      <c r="Y3142">
        <f>IF(ISNUMBER(X3142),IF(X3142&gt;$L$7,W3142,""),"")</f>
        <v/>
      </c>
      <c r="Z3142">
        <f>IF(ISNUMBER('자료_거시'!$K3124),'자료_거시'!$K3124,Z3141)</f>
        <v/>
      </c>
      <c r="AA3142">
        <f>IF(AND(ISNUMBER('자료_거시'!$J3124),ISNUMBER('자료_거시'!$K3124)),IFERROR('자료_거시'!$K3124/INDEX($Z$21:$Z$4020,MATCH(EDATE('자료_거시'!$J3124,-'설정'!$B$17),'자료_거시'!$J$3:INDEX('자료_거시'!$J$3:$J$4002,$K$8),1))-1,""),"")</f>
        <v/>
      </c>
      <c r="AB3142">
        <f>IF(ISNUMBER(AA3142),'자료_거시'!$J3124,"")</f>
        <v/>
      </c>
      <c r="AC3142">
        <f>IF(ISNUMBER(AB3142),IF(AB3142&gt;$L$8,AA3142,""),"")</f>
        <v/>
      </c>
    </row>
    <row r="3143">
      <c r="S3143">
        <f>IF(ISNUMBER('자료_거시'!$E3125),'자료_거시'!$E3125,S3142)</f>
        <v/>
      </c>
      <c r="T3143">
        <f>IF(AND(ISNUMBER('자료_거시'!$D3125),ISNUMBER('자료_거시'!$E3125)),IFERROR('자료_거시'!$E3125-INDEX($S$21:$S$4020,MATCH(EDATE('자료_거시'!$D3125,-'설정'!$B$17),'자료_거시'!$D$3:INDEX('자료_거시'!$D$3:$D$4002,$K$6),1)),""),"")</f>
        <v/>
      </c>
      <c r="U3143">
        <f>IF(ISNUMBER(T3143),'자료_거시'!$D3125,"")</f>
        <v/>
      </c>
      <c r="V3143">
        <f>IF(ISNUMBER(U3143),IF(U3143&gt;$L$6,T3143,""),"")</f>
        <v/>
      </c>
      <c r="W3143">
        <f>IF(AND(ISNUMBER('자료_거시'!$G3125),ISNUMBER('자료_거시'!$H3125)),'자료_거시'!$H3125,"")</f>
        <v/>
      </c>
      <c r="X3143">
        <f>IF(ISNUMBER(W3143),'자료_거시'!$G3125,"")</f>
        <v/>
      </c>
      <c r="Y3143">
        <f>IF(ISNUMBER(X3143),IF(X3143&gt;$L$7,W3143,""),"")</f>
        <v/>
      </c>
      <c r="Z3143">
        <f>IF(ISNUMBER('자료_거시'!$K3125),'자료_거시'!$K3125,Z3142)</f>
        <v/>
      </c>
      <c r="AA3143">
        <f>IF(AND(ISNUMBER('자료_거시'!$J3125),ISNUMBER('자료_거시'!$K3125)),IFERROR('자료_거시'!$K3125/INDEX($Z$21:$Z$4020,MATCH(EDATE('자료_거시'!$J3125,-'설정'!$B$17),'자료_거시'!$J$3:INDEX('자료_거시'!$J$3:$J$4002,$K$8),1))-1,""),"")</f>
        <v/>
      </c>
      <c r="AB3143">
        <f>IF(ISNUMBER(AA3143),'자료_거시'!$J3125,"")</f>
        <v/>
      </c>
      <c r="AC3143">
        <f>IF(ISNUMBER(AB3143),IF(AB3143&gt;$L$8,AA3143,""),"")</f>
        <v/>
      </c>
    </row>
    <row r="3144">
      <c r="S3144">
        <f>IF(ISNUMBER('자료_거시'!$E3126),'자료_거시'!$E3126,S3143)</f>
        <v/>
      </c>
      <c r="T3144">
        <f>IF(AND(ISNUMBER('자료_거시'!$D3126),ISNUMBER('자료_거시'!$E3126)),IFERROR('자료_거시'!$E3126-INDEX($S$21:$S$4020,MATCH(EDATE('자료_거시'!$D3126,-'설정'!$B$17),'자료_거시'!$D$3:INDEX('자료_거시'!$D$3:$D$4002,$K$6),1)),""),"")</f>
        <v/>
      </c>
      <c r="U3144">
        <f>IF(ISNUMBER(T3144),'자료_거시'!$D3126,"")</f>
        <v/>
      </c>
      <c r="V3144">
        <f>IF(ISNUMBER(U3144),IF(U3144&gt;$L$6,T3144,""),"")</f>
        <v/>
      </c>
      <c r="W3144">
        <f>IF(AND(ISNUMBER('자료_거시'!$G3126),ISNUMBER('자료_거시'!$H3126)),'자료_거시'!$H3126,"")</f>
        <v/>
      </c>
      <c r="X3144">
        <f>IF(ISNUMBER(W3144),'자료_거시'!$G3126,"")</f>
        <v/>
      </c>
      <c r="Y3144">
        <f>IF(ISNUMBER(X3144),IF(X3144&gt;$L$7,W3144,""),"")</f>
        <v/>
      </c>
      <c r="Z3144">
        <f>IF(ISNUMBER('자료_거시'!$K3126),'자료_거시'!$K3126,Z3143)</f>
        <v/>
      </c>
      <c r="AA3144">
        <f>IF(AND(ISNUMBER('자료_거시'!$J3126),ISNUMBER('자료_거시'!$K3126)),IFERROR('자료_거시'!$K3126/INDEX($Z$21:$Z$4020,MATCH(EDATE('자료_거시'!$J3126,-'설정'!$B$17),'자료_거시'!$J$3:INDEX('자료_거시'!$J$3:$J$4002,$K$8),1))-1,""),"")</f>
        <v/>
      </c>
      <c r="AB3144">
        <f>IF(ISNUMBER(AA3144),'자료_거시'!$J3126,"")</f>
        <v/>
      </c>
      <c r="AC3144">
        <f>IF(ISNUMBER(AB3144),IF(AB3144&gt;$L$8,AA3144,""),"")</f>
        <v/>
      </c>
    </row>
    <row r="3145">
      <c r="S3145">
        <f>IF(ISNUMBER('자료_거시'!$E3127),'자료_거시'!$E3127,S3144)</f>
        <v/>
      </c>
      <c r="T3145">
        <f>IF(AND(ISNUMBER('자료_거시'!$D3127),ISNUMBER('자료_거시'!$E3127)),IFERROR('자료_거시'!$E3127-INDEX($S$21:$S$4020,MATCH(EDATE('자료_거시'!$D3127,-'설정'!$B$17),'자료_거시'!$D$3:INDEX('자료_거시'!$D$3:$D$4002,$K$6),1)),""),"")</f>
        <v/>
      </c>
      <c r="U3145">
        <f>IF(ISNUMBER(T3145),'자료_거시'!$D3127,"")</f>
        <v/>
      </c>
      <c r="V3145">
        <f>IF(ISNUMBER(U3145),IF(U3145&gt;$L$6,T3145,""),"")</f>
        <v/>
      </c>
      <c r="W3145">
        <f>IF(AND(ISNUMBER('자료_거시'!$G3127),ISNUMBER('자료_거시'!$H3127)),'자료_거시'!$H3127,"")</f>
        <v/>
      </c>
      <c r="X3145">
        <f>IF(ISNUMBER(W3145),'자료_거시'!$G3127,"")</f>
        <v/>
      </c>
      <c r="Y3145">
        <f>IF(ISNUMBER(X3145),IF(X3145&gt;$L$7,W3145,""),"")</f>
        <v/>
      </c>
      <c r="Z3145">
        <f>IF(ISNUMBER('자료_거시'!$K3127),'자료_거시'!$K3127,Z3144)</f>
        <v/>
      </c>
      <c r="AA3145">
        <f>IF(AND(ISNUMBER('자료_거시'!$J3127),ISNUMBER('자료_거시'!$K3127)),IFERROR('자료_거시'!$K3127/INDEX($Z$21:$Z$4020,MATCH(EDATE('자료_거시'!$J3127,-'설정'!$B$17),'자료_거시'!$J$3:INDEX('자료_거시'!$J$3:$J$4002,$K$8),1))-1,""),"")</f>
        <v/>
      </c>
      <c r="AB3145">
        <f>IF(ISNUMBER(AA3145),'자료_거시'!$J3127,"")</f>
        <v/>
      </c>
      <c r="AC3145">
        <f>IF(ISNUMBER(AB3145),IF(AB3145&gt;$L$8,AA3145,""),"")</f>
        <v/>
      </c>
    </row>
    <row r="3146">
      <c r="S3146">
        <f>IF(ISNUMBER('자료_거시'!$E3128),'자료_거시'!$E3128,S3145)</f>
        <v/>
      </c>
      <c r="T3146">
        <f>IF(AND(ISNUMBER('자료_거시'!$D3128),ISNUMBER('자료_거시'!$E3128)),IFERROR('자료_거시'!$E3128-INDEX($S$21:$S$4020,MATCH(EDATE('자료_거시'!$D3128,-'설정'!$B$17),'자료_거시'!$D$3:INDEX('자료_거시'!$D$3:$D$4002,$K$6),1)),""),"")</f>
        <v/>
      </c>
      <c r="U3146">
        <f>IF(ISNUMBER(T3146),'자료_거시'!$D3128,"")</f>
        <v/>
      </c>
      <c r="V3146">
        <f>IF(ISNUMBER(U3146),IF(U3146&gt;$L$6,T3146,""),"")</f>
        <v/>
      </c>
      <c r="W3146">
        <f>IF(AND(ISNUMBER('자료_거시'!$G3128),ISNUMBER('자료_거시'!$H3128)),'자료_거시'!$H3128,"")</f>
        <v/>
      </c>
      <c r="X3146">
        <f>IF(ISNUMBER(W3146),'자료_거시'!$G3128,"")</f>
        <v/>
      </c>
      <c r="Y3146">
        <f>IF(ISNUMBER(X3146),IF(X3146&gt;$L$7,W3146,""),"")</f>
        <v/>
      </c>
      <c r="Z3146">
        <f>IF(ISNUMBER('자료_거시'!$K3128),'자료_거시'!$K3128,Z3145)</f>
        <v/>
      </c>
      <c r="AA3146">
        <f>IF(AND(ISNUMBER('자료_거시'!$J3128),ISNUMBER('자료_거시'!$K3128)),IFERROR('자료_거시'!$K3128/INDEX($Z$21:$Z$4020,MATCH(EDATE('자료_거시'!$J3128,-'설정'!$B$17),'자료_거시'!$J$3:INDEX('자료_거시'!$J$3:$J$4002,$K$8),1))-1,""),"")</f>
        <v/>
      </c>
      <c r="AB3146">
        <f>IF(ISNUMBER(AA3146),'자료_거시'!$J3128,"")</f>
        <v/>
      </c>
      <c r="AC3146">
        <f>IF(ISNUMBER(AB3146),IF(AB3146&gt;$L$8,AA3146,""),"")</f>
        <v/>
      </c>
    </row>
    <row r="3147">
      <c r="S3147">
        <f>IF(ISNUMBER('자료_거시'!$E3129),'자료_거시'!$E3129,S3146)</f>
        <v/>
      </c>
      <c r="T3147">
        <f>IF(AND(ISNUMBER('자료_거시'!$D3129),ISNUMBER('자료_거시'!$E3129)),IFERROR('자료_거시'!$E3129-INDEX($S$21:$S$4020,MATCH(EDATE('자료_거시'!$D3129,-'설정'!$B$17),'자료_거시'!$D$3:INDEX('자료_거시'!$D$3:$D$4002,$K$6),1)),""),"")</f>
        <v/>
      </c>
      <c r="U3147">
        <f>IF(ISNUMBER(T3147),'자료_거시'!$D3129,"")</f>
        <v/>
      </c>
      <c r="V3147">
        <f>IF(ISNUMBER(U3147),IF(U3147&gt;$L$6,T3147,""),"")</f>
        <v/>
      </c>
      <c r="W3147">
        <f>IF(AND(ISNUMBER('자료_거시'!$G3129),ISNUMBER('자료_거시'!$H3129)),'자료_거시'!$H3129,"")</f>
        <v/>
      </c>
      <c r="X3147">
        <f>IF(ISNUMBER(W3147),'자료_거시'!$G3129,"")</f>
        <v/>
      </c>
      <c r="Y3147">
        <f>IF(ISNUMBER(X3147),IF(X3147&gt;$L$7,W3147,""),"")</f>
        <v/>
      </c>
      <c r="Z3147">
        <f>IF(ISNUMBER('자료_거시'!$K3129),'자료_거시'!$K3129,Z3146)</f>
        <v/>
      </c>
      <c r="AA3147">
        <f>IF(AND(ISNUMBER('자료_거시'!$J3129),ISNUMBER('자료_거시'!$K3129)),IFERROR('자료_거시'!$K3129/INDEX($Z$21:$Z$4020,MATCH(EDATE('자료_거시'!$J3129,-'설정'!$B$17),'자료_거시'!$J$3:INDEX('자료_거시'!$J$3:$J$4002,$K$8),1))-1,""),"")</f>
        <v/>
      </c>
      <c r="AB3147">
        <f>IF(ISNUMBER(AA3147),'자료_거시'!$J3129,"")</f>
        <v/>
      </c>
      <c r="AC3147">
        <f>IF(ISNUMBER(AB3147),IF(AB3147&gt;$L$8,AA3147,""),"")</f>
        <v/>
      </c>
    </row>
    <row r="3148">
      <c r="S3148">
        <f>IF(ISNUMBER('자료_거시'!$E3130),'자료_거시'!$E3130,S3147)</f>
        <v/>
      </c>
      <c r="T3148">
        <f>IF(AND(ISNUMBER('자료_거시'!$D3130),ISNUMBER('자료_거시'!$E3130)),IFERROR('자료_거시'!$E3130-INDEX($S$21:$S$4020,MATCH(EDATE('자료_거시'!$D3130,-'설정'!$B$17),'자료_거시'!$D$3:INDEX('자료_거시'!$D$3:$D$4002,$K$6),1)),""),"")</f>
        <v/>
      </c>
      <c r="U3148">
        <f>IF(ISNUMBER(T3148),'자료_거시'!$D3130,"")</f>
        <v/>
      </c>
      <c r="V3148">
        <f>IF(ISNUMBER(U3148),IF(U3148&gt;$L$6,T3148,""),"")</f>
        <v/>
      </c>
      <c r="W3148">
        <f>IF(AND(ISNUMBER('자료_거시'!$G3130),ISNUMBER('자료_거시'!$H3130)),'자료_거시'!$H3130,"")</f>
        <v/>
      </c>
      <c r="X3148">
        <f>IF(ISNUMBER(W3148),'자료_거시'!$G3130,"")</f>
        <v/>
      </c>
      <c r="Y3148">
        <f>IF(ISNUMBER(X3148),IF(X3148&gt;$L$7,W3148,""),"")</f>
        <v/>
      </c>
      <c r="Z3148">
        <f>IF(ISNUMBER('자료_거시'!$K3130),'자료_거시'!$K3130,Z3147)</f>
        <v/>
      </c>
      <c r="AA3148">
        <f>IF(AND(ISNUMBER('자료_거시'!$J3130),ISNUMBER('자료_거시'!$K3130)),IFERROR('자료_거시'!$K3130/INDEX($Z$21:$Z$4020,MATCH(EDATE('자료_거시'!$J3130,-'설정'!$B$17),'자료_거시'!$J$3:INDEX('자료_거시'!$J$3:$J$4002,$K$8),1))-1,""),"")</f>
        <v/>
      </c>
      <c r="AB3148">
        <f>IF(ISNUMBER(AA3148),'자료_거시'!$J3130,"")</f>
        <v/>
      </c>
      <c r="AC3148">
        <f>IF(ISNUMBER(AB3148),IF(AB3148&gt;$L$8,AA3148,""),"")</f>
        <v/>
      </c>
    </row>
    <row r="3149">
      <c r="S3149">
        <f>IF(ISNUMBER('자료_거시'!$E3131),'자료_거시'!$E3131,S3148)</f>
        <v/>
      </c>
      <c r="T3149">
        <f>IF(AND(ISNUMBER('자료_거시'!$D3131),ISNUMBER('자료_거시'!$E3131)),IFERROR('자료_거시'!$E3131-INDEX($S$21:$S$4020,MATCH(EDATE('자료_거시'!$D3131,-'설정'!$B$17),'자료_거시'!$D$3:INDEX('자료_거시'!$D$3:$D$4002,$K$6),1)),""),"")</f>
        <v/>
      </c>
      <c r="U3149">
        <f>IF(ISNUMBER(T3149),'자료_거시'!$D3131,"")</f>
        <v/>
      </c>
      <c r="V3149">
        <f>IF(ISNUMBER(U3149),IF(U3149&gt;$L$6,T3149,""),"")</f>
        <v/>
      </c>
      <c r="W3149">
        <f>IF(AND(ISNUMBER('자료_거시'!$G3131),ISNUMBER('자료_거시'!$H3131)),'자료_거시'!$H3131,"")</f>
        <v/>
      </c>
      <c r="X3149">
        <f>IF(ISNUMBER(W3149),'자료_거시'!$G3131,"")</f>
        <v/>
      </c>
      <c r="Y3149">
        <f>IF(ISNUMBER(X3149),IF(X3149&gt;$L$7,W3149,""),"")</f>
        <v/>
      </c>
      <c r="Z3149">
        <f>IF(ISNUMBER('자료_거시'!$K3131),'자료_거시'!$K3131,Z3148)</f>
        <v/>
      </c>
      <c r="AA3149">
        <f>IF(AND(ISNUMBER('자료_거시'!$J3131),ISNUMBER('자료_거시'!$K3131)),IFERROR('자료_거시'!$K3131/INDEX($Z$21:$Z$4020,MATCH(EDATE('자료_거시'!$J3131,-'설정'!$B$17),'자료_거시'!$J$3:INDEX('자료_거시'!$J$3:$J$4002,$K$8),1))-1,""),"")</f>
        <v/>
      </c>
      <c r="AB3149">
        <f>IF(ISNUMBER(AA3149),'자료_거시'!$J3131,"")</f>
        <v/>
      </c>
      <c r="AC3149">
        <f>IF(ISNUMBER(AB3149),IF(AB3149&gt;$L$8,AA3149,""),"")</f>
        <v/>
      </c>
    </row>
    <row r="3150">
      <c r="S3150">
        <f>IF(ISNUMBER('자료_거시'!$E3132),'자료_거시'!$E3132,S3149)</f>
        <v/>
      </c>
      <c r="T3150">
        <f>IF(AND(ISNUMBER('자료_거시'!$D3132),ISNUMBER('자료_거시'!$E3132)),IFERROR('자료_거시'!$E3132-INDEX($S$21:$S$4020,MATCH(EDATE('자료_거시'!$D3132,-'설정'!$B$17),'자료_거시'!$D$3:INDEX('자료_거시'!$D$3:$D$4002,$K$6),1)),""),"")</f>
        <v/>
      </c>
      <c r="U3150">
        <f>IF(ISNUMBER(T3150),'자료_거시'!$D3132,"")</f>
        <v/>
      </c>
      <c r="V3150">
        <f>IF(ISNUMBER(U3150),IF(U3150&gt;$L$6,T3150,""),"")</f>
        <v/>
      </c>
      <c r="W3150">
        <f>IF(AND(ISNUMBER('자료_거시'!$G3132),ISNUMBER('자료_거시'!$H3132)),'자료_거시'!$H3132,"")</f>
        <v/>
      </c>
      <c r="X3150">
        <f>IF(ISNUMBER(W3150),'자료_거시'!$G3132,"")</f>
        <v/>
      </c>
      <c r="Y3150">
        <f>IF(ISNUMBER(X3150),IF(X3150&gt;$L$7,W3150,""),"")</f>
        <v/>
      </c>
      <c r="Z3150">
        <f>IF(ISNUMBER('자료_거시'!$K3132),'자료_거시'!$K3132,Z3149)</f>
        <v/>
      </c>
      <c r="AA3150">
        <f>IF(AND(ISNUMBER('자료_거시'!$J3132),ISNUMBER('자료_거시'!$K3132)),IFERROR('자료_거시'!$K3132/INDEX($Z$21:$Z$4020,MATCH(EDATE('자료_거시'!$J3132,-'설정'!$B$17),'자료_거시'!$J$3:INDEX('자료_거시'!$J$3:$J$4002,$K$8),1))-1,""),"")</f>
        <v/>
      </c>
      <c r="AB3150">
        <f>IF(ISNUMBER(AA3150),'자료_거시'!$J3132,"")</f>
        <v/>
      </c>
      <c r="AC3150">
        <f>IF(ISNUMBER(AB3150),IF(AB3150&gt;$L$8,AA3150,""),"")</f>
        <v/>
      </c>
    </row>
    <row r="3151">
      <c r="S3151">
        <f>IF(ISNUMBER('자료_거시'!$E3133),'자료_거시'!$E3133,S3150)</f>
        <v/>
      </c>
      <c r="T3151">
        <f>IF(AND(ISNUMBER('자료_거시'!$D3133),ISNUMBER('자료_거시'!$E3133)),IFERROR('자료_거시'!$E3133-INDEX($S$21:$S$4020,MATCH(EDATE('자료_거시'!$D3133,-'설정'!$B$17),'자료_거시'!$D$3:INDEX('자료_거시'!$D$3:$D$4002,$K$6),1)),""),"")</f>
        <v/>
      </c>
      <c r="U3151">
        <f>IF(ISNUMBER(T3151),'자료_거시'!$D3133,"")</f>
        <v/>
      </c>
      <c r="V3151">
        <f>IF(ISNUMBER(U3151),IF(U3151&gt;$L$6,T3151,""),"")</f>
        <v/>
      </c>
      <c r="W3151">
        <f>IF(AND(ISNUMBER('자료_거시'!$G3133),ISNUMBER('자료_거시'!$H3133)),'자료_거시'!$H3133,"")</f>
        <v/>
      </c>
      <c r="X3151">
        <f>IF(ISNUMBER(W3151),'자료_거시'!$G3133,"")</f>
        <v/>
      </c>
      <c r="Y3151">
        <f>IF(ISNUMBER(X3151),IF(X3151&gt;$L$7,W3151,""),"")</f>
        <v/>
      </c>
      <c r="Z3151">
        <f>IF(ISNUMBER('자료_거시'!$K3133),'자료_거시'!$K3133,Z3150)</f>
        <v/>
      </c>
      <c r="AA3151">
        <f>IF(AND(ISNUMBER('자료_거시'!$J3133),ISNUMBER('자료_거시'!$K3133)),IFERROR('자료_거시'!$K3133/INDEX($Z$21:$Z$4020,MATCH(EDATE('자료_거시'!$J3133,-'설정'!$B$17),'자료_거시'!$J$3:INDEX('자료_거시'!$J$3:$J$4002,$K$8),1))-1,""),"")</f>
        <v/>
      </c>
      <c r="AB3151">
        <f>IF(ISNUMBER(AA3151),'자료_거시'!$J3133,"")</f>
        <v/>
      </c>
      <c r="AC3151">
        <f>IF(ISNUMBER(AB3151),IF(AB3151&gt;$L$8,AA3151,""),"")</f>
        <v/>
      </c>
    </row>
    <row r="3152">
      <c r="S3152">
        <f>IF(ISNUMBER('자료_거시'!$E3134),'자료_거시'!$E3134,S3151)</f>
        <v/>
      </c>
      <c r="T3152">
        <f>IF(AND(ISNUMBER('자료_거시'!$D3134),ISNUMBER('자료_거시'!$E3134)),IFERROR('자료_거시'!$E3134-INDEX($S$21:$S$4020,MATCH(EDATE('자료_거시'!$D3134,-'설정'!$B$17),'자료_거시'!$D$3:INDEX('자료_거시'!$D$3:$D$4002,$K$6),1)),""),"")</f>
        <v/>
      </c>
      <c r="U3152">
        <f>IF(ISNUMBER(T3152),'자료_거시'!$D3134,"")</f>
        <v/>
      </c>
      <c r="V3152">
        <f>IF(ISNUMBER(U3152),IF(U3152&gt;$L$6,T3152,""),"")</f>
        <v/>
      </c>
      <c r="W3152">
        <f>IF(AND(ISNUMBER('자료_거시'!$G3134),ISNUMBER('자료_거시'!$H3134)),'자료_거시'!$H3134,"")</f>
        <v/>
      </c>
      <c r="X3152">
        <f>IF(ISNUMBER(W3152),'자료_거시'!$G3134,"")</f>
        <v/>
      </c>
      <c r="Y3152">
        <f>IF(ISNUMBER(X3152),IF(X3152&gt;$L$7,W3152,""),"")</f>
        <v/>
      </c>
      <c r="Z3152">
        <f>IF(ISNUMBER('자료_거시'!$K3134),'자료_거시'!$K3134,Z3151)</f>
        <v/>
      </c>
      <c r="AA3152">
        <f>IF(AND(ISNUMBER('자료_거시'!$J3134),ISNUMBER('자료_거시'!$K3134)),IFERROR('자료_거시'!$K3134/INDEX($Z$21:$Z$4020,MATCH(EDATE('자료_거시'!$J3134,-'설정'!$B$17),'자료_거시'!$J$3:INDEX('자료_거시'!$J$3:$J$4002,$K$8),1))-1,""),"")</f>
        <v/>
      </c>
      <c r="AB3152">
        <f>IF(ISNUMBER(AA3152),'자료_거시'!$J3134,"")</f>
        <v/>
      </c>
      <c r="AC3152">
        <f>IF(ISNUMBER(AB3152),IF(AB3152&gt;$L$8,AA3152,""),"")</f>
        <v/>
      </c>
    </row>
    <row r="3153">
      <c r="S3153">
        <f>IF(ISNUMBER('자료_거시'!$E3135),'자료_거시'!$E3135,S3152)</f>
        <v/>
      </c>
      <c r="T3153">
        <f>IF(AND(ISNUMBER('자료_거시'!$D3135),ISNUMBER('자료_거시'!$E3135)),IFERROR('자료_거시'!$E3135-INDEX($S$21:$S$4020,MATCH(EDATE('자료_거시'!$D3135,-'설정'!$B$17),'자료_거시'!$D$3:INDEX('자료_거시'!$D$3:$D$4002,$K$6),1)),""),"")</f>
        <v/>
      </c>
      <c r="U3153">
        <f>IF(ISNUMBER(T3153),'자료_거시'!$D3135,"")</f>
        <v/>
      </c>
      <c r="V3153">
        <f>IF(ISNUMBER(U3153),IF(U3153&gt;$L$6,T3153,""),"")</f>
        <v/>
      </c>
      <c r="W3153">
        <f>IF(AND(ISNUMBER('자료_거시'!$G3135),ISNUMBER('자료_거시'!$H3135)),'자료_거시'!$H3135,"")</f>
        <v/>
      </c>
      <c r="X3153">
        <f>IF(ISNUMBER(W3153),'자료_거시'!$G3135,"")</f>
        <v/>
      </c>
      <c r="Y3153">
        <f>IF(ISNUMBER(X3153),IF(X3153&gt;$L$7,W3153,""),"")</f>
        <v/>
      </c>
      <c r="Z3153">
        <f>IF(ISNUMBER('자료_거시'!$K3135),'자료_거시'!$K3135,Z3152)</f>
        <v/>
      </c>
      <c r="AA3153">
        <f>IF(AND(ISNUMBER('자료_거시'!$J3135),ISNUMBER('자료_거시'!$K3135)),IFERROR('자료_거시'!$K3135/INDEX($Z$21:$Z$4020,MATCH(EDATE('자료_거시'!$J3135,-'설정'!$B$17),'자료_거시'!$J$3:INDEX('자료_거시'!$J$3:$J$4002,$K$8),1))-1,""),"")</f>
        <v/>
      </c>
      <c r="AB3153">
        <f>IF(ISNUMBER(AA3153),'자료_거시'!$J3135,"")</f>
        <v/>
      </c>
      <c r="AC3153">
        <f>IF(ISNUMBER(AB3153),IF(AB3153&gt;$L$8,AA3153,""),"")</f>
        <v/>
      </c>
    </row>
    <row r="3154">
      <c r="S3154">
        <f>IF(ISNUMBER('자료_거시'!$E3136),'자료_거시'!$E3136,S3153)</f>
        <v/>
      </c>
      <c r="T3154">
        <f>IF(AND(ISNUMBER('자료_거시'!$D3136),ISNUMBER('자료_거시'!$E3136)),IFERROR('자료_거시'!$E3136-INDEX($S$21:$S$4020,MATCH(EDATE('자료_거시'!$D3136,-'설정'!$B$17),'자료_거시'!$D$3:INDEX('자료_거시'!$D$3:$D$4002,$K$6),1)),""),"")</f>
        <v/>
      </c>
      <c r="U3154">
        <f>IF(ISNUMBER(T3154),'자료_거시'!$D3136,"")</f>
        <v/>
      </c>
      <c r="V3154">
        <f>IF(ISNUMBER(U3154),IF(U3154&gt;$L$6,T3154,""),"")</f>
        <v/>
      </c>
      <c r="W3154">
        <f>IF(AND(ISNUMBER('자료_거시'!$G3136),ISNUMBER('자료_거시'!$H3136)),'자료_거시'!$H3136,"")</f>
        <v/>
      </c>
      <c r="X3154">
        <f>IF(ISNUMBER(W3154),'자료_거시'!$G3136,"")</f>
        <v/>
      </c>
      <c r="Y3154">
        <f>IF(ISNUMBER(X3154),IF(X3154&gt;$L$7,W3154,""),"")</f>
        <v/>
      </c>
      <c r="Z3154">
        <f>IF(ISNUMBER('자료_거시'!$K3136),'자료_거시'!$K3136,Z3153)</f>
        <v/>
      </c>
      <c r="AA3154">
        <f>IF(AND(ISNUMBER('자료_거시'!$J3136),ISNUMBER('자료_거시'!$K3136)),IFERROR('자료_거시'!$K3136/INDEX($Z$21:$Z$4020,MATCH(EDATE('자료_거시'!$J3136,-'설정'!$B$17),'자료_거시'!$J$3:INDEX('자료_거시'!$J$3:$J$4002,$K$8),1))-1,""),"")</f>
        <v/>
      </c>
      <c r="AB3154">
        <f>IF(ISNUMBER(AA3154),'자료_거시'!$J3136,"")</f>
        <v/>
      </c>
      <c r="AC3154">
        <f>IF(ISNUMBER(AB3154),IF(AB3154&gt;$L$8,AA3154,""),"")</f>
        <v/>
      </c>
    </row>
    <row r="3155">
      <c r="S3155">
        <f>IF(ISNUMBER('자료_거시'!$E3137),'자료_거시'!$E3137,S3154)</f>
        <v/>
      </c>
      <c r="T3155">
        <f>IF(AND(ISNUMBER('자료_거시'!$D3137),ISNUMBER('자료_거시'!$E3137)),IFERROR('자료_거시'!$E3137-INDEX($S$21:$S$4020,MATCH(EDATE('자료_거시'!$D3137,-'설정'!$B$17),'자료_거시'!$D$3:INDEX('자료_거시'!$D$3:$D$4002,$K$6),1)),""),"")</f>
        <v/>
      </c>
      <c r="U3155">
        <f>IF(ISNUMBER(T3155),'자료_거시'!$D3137,"")</f>
        <v/>
      </c>
      <c r="V3155">
        <f>IF(ISNUMBER(U3155),IF(U3155&gt;$L$6,T3155,""),"")</f>
        <v/>
      </c>
      <c r="W3155">
        <f>IF(AND(ISNUMBER('자료_거시'!$G3137),ISNUMBER('자료_거시'!$H3137)),'자료_거시'!$H3137,"")</f>
        <v/>
      </c>
      <c r="X3155">
        <f>IF(ISNUMBER(W3155),'자료_거시'!$G3137,"")</f>
        <v/>
      </c>
      <c r="Y3155">
        <f>IF(ISNUMBER(X3155),IF(X3155&gt;$L$7,W3155,""),"")</f>
        <v/>
      </c>
      <c r="Z3155">
        <f>IF(ISNUMBER('자료_거시'!$K3137),'자료_거시'!$K3137,Z3154)</f>
        <v/>
      </c>
      <c r="AA3155">
        <f>IF(AND(ISNUMBER('자료_거시'!$J3137),ISNUMBER('자료_거시'!$K3137)),IFERROR('자료_거시'!$K3137/INDEX($Z$21:$Z$4020,MATCH(EDATE('자료_거시'!$J3137,-'설정'!$B$17),'자료_거시'!$J$3:INDEX('자료_거시'!$J$3:$J$4002,$K$8),1))-1,""),"")</f>
        <v/>
      </c>
      <c r="AB3155">
        <f>IF(ISNUMBER(AA3155),'자료_거시'!$J3137,"")</f>
        <v/>
      </c>
      <c r="AC3155">
        <f>IF(ISNUMBER(AB3155),IF(AB3155&gt;$L$8,AA3155,""),"")</f>
        <v/>
      </c>
    </row>
    <row r="3156">
      <c r="S3156">
        <f>IF(ISNUMBER('자료_거시'!$E3138),'자료_거시'!$E3138,S3155)</f>
        <v/>
      </c>
      <c r="T3156">
        <f>IF(AND(ISNUMBER('자료_거시'!$D3138),ISNUMBER('자료_거시'!$E3138)),IFERROR('자료_거시'!$E3138-INDEX($S$21:$S$4020,MATCH(EDATE('자료_거시'!$D3138,-'설정'!$B$17),'자료_거시'!$D$3:INDEX('자료_거시'!$D$3:$D$4002,$K$6),1)),""),"")</f>
        <v/>
      </c>
      <c r="U3156">
        <f>IF(ISNUMBER(T3156),'자료_거시'!$D3138,"")</f>
        <v/>
      </c>
      <c r="V3156">
        <f>IF(ISNUMBER(U3156),IF(U3156&gt;$L$6,T3156,""),"")</f>
        <v/>
      </c>
      <c r="W3156">
        <f>IF(AND(ISNUMBER('자료_거시'!$G3138),ISNUMBER('자료_거시'!$H3138)),'자료_거시'!$H3138,"")</f>
        <v/>
      </c>
      <c r="X3156">
        <f>IF(ISNUMBER(W3156),'자료_거시'!$G3138,"")</f>
        <v/>
      </c>
      <c r="Y3156">
        <f>IF(ISNUMBER(X3156),IF(X3156&gt;$L$7,W3156,""),"")</f>
        <v/>
      </c>
      <c r="Z3156">
        <f>IF(ISNUMBER('자료_거시'!$K3138),'자료_거시'!$K3138,Z3155)</f>
        <v/>
      </c>
      <c r="AA3156">
        <f>IF(AND(ISNUMBER('자료_거시'!$J3138),ISNUMBER('자료_거시'!$K3138)),IFERROR('자료_거시'!$K3138/INDEX($Z$21:$Z$4020,MATCH(EDATE('자료_거시'!$J3138,-'설정'!$B$17),'자료_거시'!$J$3:INDEX('자료_거시'!$J$3:$J$4002,$K$8),1))-1,""),"")</f>
        <v/>
      </c>
      <c r="AB3156">
        <f>IF(ISNUMBER(AA3156),'자료_거시'!$J3138,"")</f>
        <v/>
      </c>
      <c r="AC3156">
        <f>IF(ISNUMBER(AB3156),IF(AB3156&gt;$L$8,AA3156,""),"")</f>
        <v/>
      </c>
    </row>
    <row r="3157">
      <c r="S3157">
        <f>IF(ISNUMBER('자료_거시'!$E3139),'자료_거시'!$E3139,S3156)</f>
        <v/>
      </c>
      <c r="T3157">
        <f>IF(AND(ISNUMBER('자료_거시'!$D3139),ISNUMBER('자료_거시'!$E3139)),IFERROR('자료_거시'!$E3139-INDEX($S$21:$S$4020,MATCH(EDATE('자료_거시'!$D3139,-'설정'!$B$17),'자료_거시'!$D$3:INDEX('자료_거시'!$D$3:$D$4002,$K$6),1)),""),"")</f>
        <v/>
      </c>
      <c r="U3157">
        <f>IF(ISNUMBER(T3157),'자료_거시'!$D3139,"")</f>
        <v/>
      </c>
      <c r="V3157">
        <f>IF(ISNUMBER(U3157),IF(U3157&gt;$L$6,T3157,""),"")</f>
        <v/>
      </c>
      <c r="W3157">
        <f>IF(AND(ISNUMBER('자료_거시'!$G3139),ISNUMBER('자료_거시'!$H3139)),'자료_거시'!$H3139,"")</f>
        <v/>
      </c>
      <c r="X3157">
        <f>IF(ISNUMBER(W3157),'자료_거시'!$G3139,"")</f>
        <v/>
      </c>
      <c r="Y3157">
        <f>IF(ISNUMBER(X3157),IF(X3157&gt;$L$7,W3157,""),"")</f>
        <v/>
      </c>
      <c r="Z3157">
        <f>IF(ISNUMBER('자료_거시'!$K3139),'자료_거시'!$K3139,Z3156)</f>
        <v/>
      </c>
      <c r="AA3157">
        <f>IF(AND(ISNUMBER('자료_거시'!$J3139),ISNUMBER('자료_거시'!$K3139)),IFERROR('자료_거시'!$K3139/INDEX($Z$21:$Z$4020,MATCH(EDATE('자료_거시'!$J3139,-'설정'!$B$17),'자료_거시'!$J$3:INDEX('자료_거시'!$J$3:$J$4002,$K$8),1))-1,""),"")</f>
        <v/>
      </c>
      <c r="AB3157">
        <f>IF(ISNUMBER(AA3157),'자료_거시'!$J3139,"")</f>
        <v/>
      </c>
      <c r="AC3157">
        <f>IF(ISNUMBER(AB3157),IF(AB3157&gt;$L$8,AA3157,""),"")</f>
        <v/>
      </c>
    </row>
    <row r="3158">
      <c r="S3158">
        <f>IF(ISNUMBER('자료_거시'!$E3140),'자료_거시'!$E3140,S3157)</f>
        <v/>
      </c>
      <c r="T3158">
        <f>IF(AND(ISNUMBER('자료_거시'!$D3140),ISNUMBER('자료_거시'!$E3140)),IFERROR('자료_거시'!$E3140-INDEX($S$21:$S$4020,MATCH(EDATE('자료_거시'!$D3140,-'설정'!$B$17),'자료_거시'!$D$3:INDEX('자료_거시'!$D$3:$D$4002,$K$6),1)),""),"")</f>
        <v/>
      </c>
      <c r="U3158">
        <f>IF(ISNUMBER(T3158),'자료_거시'!$D3140,"")</f>
        <v/>
      </c>
      <c r="V3158">
        <f>IF(ISNUMBER(U3158),IF(U3158&gt;$L$6,T3158,""),"")</f>
        <v/>
      </c>
      <c r="W3158">
        <f>IF(AND(ISNUMBER('자료_거시'!$G3140),ISNUMBER('자료_거시'!$H3140)),'자료_거시'!$H3140,"")</f>
        <v/>
      </c>
      <c r="X3158">
        <f>IF(ISNUMBER(W3158),'자료_거시'!$G3140,"")</f>
        <v/>
      </c>
      <c r="Y3158">
        <f>IF(ISNUMBER(X3158),IF(X3158&gt;$L$7,W3158,""),"")</f>
        <v/>
      </c>
      <c r="Z3158">
        <f>IF(ISNUMBER('자료_거시'!$K3140),'자료_거시'!$K3140,Z3157)</f>
        <v/>
      </c>
      <c r="AA3158">
        <f>IF(AND(ISNUMBER('자료_거시'!$J3140),ISNUMBER('자료_거시'!$K3140)),IFERROR('자료_거시'!$K3140/INDEX($Z$21:$Z$4020,MATCH(EDATE('자료_거시'!$J3140,-'설정'!$B$17),'자료_거시'!$J$3:INDEX('자료_거시'!$J$3:$J$4002,$K$8),1))-1,""),"")</f>
        <v/>
      </c>
      <c r="AB3158">
        <f>IF(ISNUMBER(AA3158),'자료_거시'!$J3140,"")</f>
        <v/>
      </c>
      <c r="AC3158">
        <f>IF(ISNUMBER(AB3158),IF(AB3158&gt;$L$8,AA3158,""),"")</f>
        <v/>
      </c>
    </row>
    <row r="3159">
      <c r="S3159">
        <f>IF(ISNUMBER('자료_거시'!$E3141),'자료_거시'!$E3141,S3158)</f>
        <v/>
      </c>
      <c r="T3159">
        <f>IF(AND(ISNUMBER('자료_거시'!$D3141),ISNUMBER('자료_거시'!$E3141)),IFERROR('자료_거시'!$E3141-INDEX($S$21:$S$4020,MATCH(EDATE('자료_거시'!$D3141,-'설정'!$B$17),'자료_거시'!$D$3:INDEX('자료_거시'!$D$3:$D$4002,$K$6),1)),""),"")</f>
        <v/>
      </c>
      <c r="U3159">
        <f>IF(ISNUMBER(T3159),'자료_거시'!$D3141,"")</f>
        <v/>
      </c>
      <c r="V3159">
        <f>IF(ISNUMBER(U3159),IF(U3159&gt;$L$6,T3159,""),"")</f>
        <v/>
      </c>
      <c r="W3159">
        <f>IF(AND(ISNUMBER('자료_거시'!$G3141),ISNUMBER('자료_거시'!$H3141)),'자료_거시'!$H3141,"")</f>
        <v/>
      </c>
      <c r="X3159">
        <f>IF(ISNUMBER(W3159),'자료_거시'!$G3141,"")</f>
        <v/>
      </c>
      <c r="Y3159">
        <f>IF(ISNUMBER(X3159),IF(X3159&gt;$L$7,W3159,""),"")</f>
        <v/>
      </c>
      <c r="Z3159">
        <f>IF(ISNUMBER('자료_거시'!$K3141),'자료_거시'!$K3141,Z3158)</f>
        <v/>
      </c>
      <c r="AA3159">
        <f>IF(AND(ISNUMBER('자료_거시'!$J3141),ISNUMBER('자료_거시'!$K3141)),IFERROR('자료_거시'!$K3141/INDEX($Z$21:$Z$4020,MATCH(EDATE('자료_거시'!$J3141,-'설정'!$B$17),'자료_거시'!$J$3:INDEX('자료_거시'!$J$3:$J$4002,$K$8),1))-1,""),"")</f>
        <v/>
      </c>
      <c r="AB3159">
        <f>IF(ISNUMBER(AA3159),'자료_거시'!$J3141,"")</f>
        <v/>
      </c>
      <c r="AC3159">
        <f>IF(ISNUMBER(AB3159),IF(AB3159&gt;$L$8,AA3159,""),"")</f>
        <v/>
      </c>
    </row>
    <row r="3160">
      <c r="S3160">
        <f>IF(ISNUMBER('자료_거시'!$E3142),'자료_거시'!$E3142,S3159)</f>
        <v/>
      </c>
      <c r="T3160">
        <f>IF(AND(ISNUMBER('자료_거시'!$D3142),ISNUMBER('자료_거시'!$E3142)),IFERROR('자료_거시'!$E3142-INDEX($S$21:$S$4020,MATCH(EDATE('자료_거시'!$D3142,-'설정'!$B$17),'자료_거시'!$D$3:INDEX('자료_거시'!$D$3:$D$4002,$K$6),1)),""),"")</f>
        <v/>
      </c>
      <c r="U3160">
        <f>IF(ISNUMBER(T3160),'자료_거시'!$D3142,"")</f>
        <v/>
      </c>
      <c r="V3160">
        <f>IF(ISNUMBER(U3160),IF(U3160&gt;$L$6,T3160,""),"")</f>
        <v/>
      </c>
      <c r="W3160">
        <f>IF(AND(ISNUMBER('자료_거시'!$G3142),ISNUMBER('자료_거시'!$H3142)),'자료_거시'!$H3142,"")</f>
        <v/>
      </c>
      <c r="X3160">
        <f>IF(ISNUMBER(W3160),'자료_거시'!$G3142,"")</f>
        <v/>
      </c>
      <c r="Y3160">
        <f>IF(ISNUMBER(X3160),IF(X3160&gt;$L$7,W3160,""),"")</f>
        <v/>
      </c>
      <c r="Z3160">
        <f>IF(ISNUMBER('자료_거시'!$K3142),'자료_거시'!$K3142,Z3159)</f>
        <v/>
      </c>
      <c r="AA3160">
        <f>IF(AND(ISNUMBER('자료_거시'!$J3142),ISNUMBER('자료_거시'!$K3142)),IFERROR('자료_거시'!$K3142/INDEX($Z$21:$Z$4020,MATCH(EDATE('자료_거시'!$J3142,-'설정'!$B$17),'자료_거시'!$J$3:INDEX('자료_거시'!$J$3:$J$4002,$K$8),1))-1,""),"")</f>
        <v/>
      </c>
      <c r="AB3160">
        <f>IF(ISNUMBER(AA3160),'자료_거시'!$J3142,"")</f>
        <v/>
      </c>
      <c r="AC3160">
        <f>IF(ISNUMBER(AB3160),IF(AB3160&gt;$L$8,AA3160,""),"")</f>
        <v/>
      </c>
    </row>
    <row r="3161">
      <c r="S3161">
        <f>IF(ISNUMBER('자료_거시'!$E3143),'자료_거시'!$E3143,S3160)</f>
        <v/>
      </c>
      <c r="T3161">
        <f>IF(AND(ISNUMBER('자료_거시'!$D3143),ISNUMBER('자료_거시'!$E3143)),IFERROR('자료_거시'!$E3143-INDEX($S$21:$S$4020,MATCH(EDATE('자료_거시'!$D3143,-'설정'!$B$17),'자료_거시'!$D$3:INDEX('자료_거시'!$D$3:$D$4002,$K$6),1)),""),"")</f>
        <v/>
      </c>
      <c r="U3161">
        <f>IF(ISNUMBER(T3161),'자료_거시'!$D3143,"")</f>
        <v/>
      </c>
      <c r="V3161">
        <f>IF(ISNUMBER(U3161),IF(U3161&gt;$L$6,T3161,""),"")</f>
        <v/>
      </c>
      <c r="W3161">
        <f>IF(AND(ISNUMBER('자료_거시'!$G3143),ISNUMBER('자료_거시'!$H3143)),'자료_거시'!$H3143,"")</f>
        <v/>
      </c>
      <c r="X3161">
        <f>IF(ISNUMBER(W3161),'자료_거시'!$G3143,"")</f>
        <v/>
      </c>
      <c r="Y3161">
        <f>IF(ISNUMBER(X3161),IF(X3161&gt;$L$7,W3161,""),"")</f>
        <v/>
      </c>
      <c r="Z3161">
        <f>IF(ISNUMBER('자료_거시'!$K3143),'자료_거시'!$K3143,Z3160)</f>
        <v/>
      </c>
      <c r="AA3161">
        <f>IF(AND(ISNUMBER('자료_거시'!$J3143),ISNUMBER('자료_거시'!$K3143)),IFERROR('자료_거시'!$K3143/INDEX($Z$21:$Z$4020,MATCH(EDATE('자료_거시'!$J3143,-'설정'!$B$17),'자료_거시'!$J$3:INDEX('자료_거시'!$J$3:$J$4002,$K$8),1))-1,""),"")</f>
        <v/>
      </c>
      <c r="AB3161">
        <f>IF(ISNUMBER(AA3161),'자료_거시'!$J3143,"")</f>
        <v/>
      </c>
      <c r="AC3161">
        <f>IF(ISNUMBER(AB3161),IF(AB3161&gt;$L$8,AA3161,""),"")</f>
        <v/>
      </c>
    </row>
    <row r="3162">
      <c r="S3162">
        <f>IF(ISNUMBER('자료_거시'!$E3144),'자료_거시'!$E3144,S3161)</f>
        <v/>
      </c>
      <c r="T3162">
        <f>IF(AND(ISNUMBER('자료_거시'!$D3144),ISNUMBER('자료_거시'!$E3144)),IFERROR('자료_거시'!$E3144-INDEX($S$21:$S$4020,MATCH(EDATE('자료_거시'!$D3144,-'설정'!$B$17),'자료_거시'!$D$3:INDEX('자료_거시'!$D$3:$D$4002,$K$6),1)),""),"")</f>
        <v/>
      </c>
      <c r="U3162">
        <f>IF(ISNUMBER(T3162),'자료_거시'!$D3144,"")</f>
        <v/>
      </c>
      <c r="V3162">
        <f>IF(ISNUMBER(U3162),IF(U3162&gt;$L$6,T3162,""),"")</f>
        <v/>
      </c>
      <c r="W3162">
        <f>IF(AND(ISNUMBER('자료_거시'!$G3144),ISNUMBER('자료_거시'!$H3144)),'자료_거시'!$H3144,"")</f>
        <v/>
      </c>
      <c r="X3162">
        <f>IF(ISNUMBER(W3162),'자료_거시'!$G3144,"")</f>
        <v/>
      </c>
      <c r="Y3162">
        <f>IF(ISNUMBER(X3162),IF(X3162&gt;$L$7,W3162,""),"")</f>
        <v/>
      </c>
      <c r="Z3162">
        <f>IF(ISNUMBER('자료_거시'!$K3144),'자료_거시'!$K3144,Z3161)</f>
        <v/>
      </c>
      <c r="AA3162">
        <f>IF(AND(ISNUMBER('자료_거시'!$J3144),ISNUMBER('자료_거시'!$K3144)),IFERROR('자료_거시'!$K3144/INDEX($Z$21:$Z$4020,MATCH(EDATE('자료_거시'!$J3144,-'설정'!$B$17),'자료_거시'!$J$3:INDEX('자료_거시'!$J$3:$J$4002,$K$8),1))-1,""),"")</f>
        <v/>
      </c>
      <c r="AB3162">
        <f>IF(ISNUMBER(AA3162),'자료_거시'!$J3144,"")</f>
        <v/>
      </c>
      <c r="AC3162">
        <f>IF(ISNUMBER(AB3162),IF(AB3162&gt;$L$8,AA3162,""),"")</f>
        <v/>
      </c>
    </row>
    <row r="3163">
      <c r="S3163">
        <f>IF(ISNUMBER('자료_거시'!$E3145),'자료_거시'!$E3145,S3162)</f>
        <v/>
      </c>
      <c r="T3163">
        <f>IF(AND(ISNUMBER('자료_거시'!$D3145),ISNUMBER('자료_거시'!$E3145)),IFERROR('자료_거시'!$E3145-INDEX($S$21:$S$4020,MATCH(EDATE('자료_거시'!$D3145,-'설정'!$B$17),'자료_거시'!$D$3:INDEX('자료_거시'!$D$3:$D$4002,$K$6),1)),""),"")</f>
        <v/>
      </c>
      <c r="U3163">
        <f>IF(ISNUMBER(T3163),'자료_거시'!$D3145,"")</f>
        <v/>
      </c>
      <c r="V3163">
        <f>IF(ISNUMBER(U3163),IF(U3163&gt;$L$6,T3163,""),"")</f>
        <v/>
      </c>
      <c r="W3163">
        <f>IF(AND(ISNUMBER('자료_거시'!$G3145),ISNUMBER('자료_거시'!$H3145)),'자료_거시'!$H3145,"")</f>
        <v/>
      </c>
      <c r="X3163">
        <f>IF(ISNUMBER(W3163),'자료_거시'!$G3145,"")</f>
        <v/>
      </c>
      <c r="Y3163">
        <f>IF(ISNUMBER(X3163),IF(X3163&gt;$L$7,W3163,""),"")</f>
        <v/>
      </c>
      <c r="Z3163">
        <f>IF(ISNUMBER('자료_거시'!$K3145),'자료_거시'!$K3145,Z3162)</f>
        <v/>
      </c>
      <c r="AA3163">
        <f>IF(AND(ISNUMBER('자료_거시'!$J3145),ISNUMBER('자료_거시'!$K3145)),IFERROR('자료_거시'!$K3145/INDEX($Z$21:$Z$4020,MATCH(EDATE('자료_거시'!$J3145,-'설정'!$B$17),'자료_거시'!$J$3:INDEX('자료_거시'!$J$3:$J$4002,$K$8),1))-1,""),"")</f>
        <v/>
      </c>
      <c r="AB3163">
        <f>IF(ISNUMBER(AA3163),'자료_거시'!$J3145,"")</f>
        <v/>
      </c>
      <c r="AC3163">
        <f>IF(ISNUMBER(AB3163),IF(AB3163&gt;$L$8,AA3163,""),"")</f>
        <v/>
      </c>
    </row>
    <row r="3164">
      <c r="S3164">
        <f>IF(ISNUMBER('자료_거시'!$E3146),'자료_거시'!$E3146,S3163)</f>
        <v/>
      </c>
      <c r="T3164">
        <f>IF(AND(ISNUMBER('자료_거시'!$D3146),ISNUMBER('자료_거시'!$E3146)),IFERROR('자료_거시'!$E3146-INDEX($S$21:$S$4020,MATCH(EDATE('자료_거시'!$D3146,-'설정'!$B$17),'자료_거시'!$D$3:INDEX('자료_거시'!$D$3:$D$4002,$K$6),1)),""),"")</f>
        <v/>
      </c>
      <c r="U3164">
        <f>IF(ISNUMBER(T3164),'자료_거시'!$D3146,"")</f>
        <v/>
      </c>
      <c r="V3164">
        <f>IF(ISNUMBER(U3164),IF(U3164&gt;$L$6,T3164,""),"")</f>
        <v/>
      </c>
      <c r="W3164">
        <f>IF(AND(ISNUMBER('자료_거시'!$G3146),ISNUMBER('자료_거시'!$H3146)),'자료_거시'!$H3146,"")</f>
        <v/>
      </c>
      <c r="X3164">
        <f>IF(ISNUMBER(W3164),'자료_거시'!$G3146,"")</f>
        <v/>
      </c>
      <c r="Y3164">
        <f>IF(ISNUMBER(X3164),IF(X3164&gt;$L$7,W3164,""),"")</f>
        <v/>
      </c>
      <c r="Z3164">
        <f>IF(ISNUMBER('자료_거시'!$K3146),'자료_거시'!$K3146,Z3163)</f>
        <v/>
      </c>
      <c r="AA3164">
        <f>IF(AND(ISNUMBER('자료_거시'!$J3146),ISNUMBER('자료_거시'!$K3146)),IFERROR('자료_거시'!$K3146/INDEX($Z$21:$Z$4020,MATCH(EDATE('자료_거시'!$J3146,-'설정'!$B$17),'자료_거시'!$J$3:INDEX('자료_거시'!$J$3:$J$4002,$K$8),1))-1,""),"")</f>
        <v/>
      </c>
      <c r="AB3164">
        <f>IF(ISNUMBER(AA3164),'자료_거시'!$J3146,"")</f>
        <v/>
      </c>
      <c r="AC3164">
        <f>IF(ISNUMBER(AB3164),IF(AB3164&gt;$L$8,AA3164,""),"")</f>
        <v/>
      </c>
    </row>
    <row r="3165">
      <c r="S3165">
        <f>IF(ISNUMBER('자료_거시'!$E3147),'자료_거시'!$E3147,S3164)</f>
        <v/>
      </c>
      <c r="T3165">
        <f>IF(AND(ISNUMBER('자료_거시'!$D3147),ISNUMBER('자료_거시'!$E3147)),IFERROR('자료_거시'!$E3147-INDEX($S$21:$S$4020,MATCH(EDATE('자료_거시'!$D3147,-'설정'!$B$17),'자료_거시'!$D$3:INDEX('자료_거시'!$D$3:$D$4002,$K$6),1)),""),"")</f>
        <v/>
      </c>
      <c r="U3165">
        <f>IF(ISNUMBER(T3165),'자료_거시'!$D3147,"")</f>
        <v/>
      </c>
      <c r="V3165">
        <f>IF(ISNUMBER(U3165),IF(U3165&gt;$L$6,T3165,""),"")</f>
        <v/>
      </c>
      <c r="W3165">
        <f>IF(AND(ISNUMBER('자료_거시'!$G3147),ISNUMBER('자료_거시'!$H3147)),'자료_거시'!$H3147,"")</f>
        <v/>
      </c>
      <c r="X3165">
        <f>IF(ISNUMBER(W3165),'자료_거시'!$G3147,"")</f>
        <v/>
      </c>
      <c r="Y3165">
        <f>IF(ISNUMBER(X3165),IF(X3165&gt;$L$7,W3165,""),"")</f>
        <v/>
      </c>
      <c r="Z3165">
        <f>IF(ISNUMBER('자료_거시'!$K3147),'자료_거시'!$K3147,Z3164)</f>
        <v/>
      </c>
      <c r="AA3165">
        <f>IF(AND(ISNUMBER('자료_거시'!$J3147),ISNUMBER('자료_거시'!$K3147)),IFERROR('자료_거시'!$K3147/INDEX($Z$21:$Z$4020,MATCH(EDATE('자료_거시'!$J3147,-'설정'!$B$17),'자료_거시'!$J$3:INDEX('자료_거시'!$J$3:$J$4002,$K$8),1))-1,""),"")</f>
        <v/>
      </c>
      <c r="AB3165">
        <f>IF(ISNUMBER(AA3165),'자료_거시'!$J3147,"")</f>
        <v/>
      </c>
      <c r="AC3165">
        <f>IF(ISNUMBER(AB3165),IF(AB3165&gt;$L$8,AA3165,""),"")</f>
        <v/>
      </c>
    </row>
    <row r="3166">
      <c r="S3166">
        <f>IF(ISNUMBER('자료_거시'!$E3148),'자료_거시'!$E3148,S3165)</f>
        <v/>
      </c>
      <c r="T3166">
        <f>IF(AND(ISNUMBER('자료_거시'!$D3148),ISNUMBER('자료_거시'!$E3148)),IFERROR('자료_거시'!$E3148-INDEX($S$21:$S$4020,MATCH(EDATE('자료_거시'!$D3148,-'설정'!$B$17),'자료_거시'!$D$3:INDEX('자료_거시'!$D$3:$D$4002,$K$6),1)),""),"")</f>
        <v/>
      </c>
      <c r="U3166">
        <f>IF(ISNUMBER(T3166),'자료_거시'!$D3148,"")</f>
        <v/>
      </c>
      <c r="V3166">
        <f>IF(ISNUMBER(U3166),IF(U3166&gt;$L$6,T3166,""),"")</f>
        <v/>
      </c>
      <c r="W3166">
        <f>IF(AND(ISNUMBER('자료_거시'!$G3148),ISNUMBER('자료_거시'!$H3148)),'자료_거시'!$H3148,"")</f>
        <v/>
      </c>
      <c r="X3166">
        <f>IF(ISNUMBER(W3166),'자료_거시'!$G3148,"")</f>
        <v/>
      </c>
      <c r="Y3166">
        <f>IF(ISNUMBER(X3166),IF(X3166&gt;$L$7,W3166,""),"")</f>
        <v/>
      </c>
      <c r="Z3166">
        <f>IF(ISNUMBER('자료_거시'!$K3148),'자료_거시'!$K3148,Z3165)</f>
        <v/>
      </c>
      <c r="AA3166">
        <f>IF(AND(ISNUMBER('자료_거시'!$J3148),ISNUMBER('자료_거시'!$K3148)),IFERROR('자료_거시'!$K3148/INDEX($Z$21:$Z$4020,MATCH(EDATE('자료_거시'!$J3148,-'설정'!$B$17),'자료_거시'!$J$3:INDEX('자료_거시'!$J$3:$J$4002,$K$8),1))-1,""),"")</f>
        <v/>
      </c>
      <c r="AB3166">
        <f>IF(ISNUMBER(AA3166),'자료_거시'!$J3148,"")</f>
        <v/>
      </c>
      <c r="AC3166">
        <f>IF(ISNUMBER(AB3166),IF(AB3166&gt;$L$8,AA3166,""),"")</f>
        <v/>
      </c>
    </row>
    <row r="3167">
      <c r="S3167">
        <f>IF(ISNUMBER('자료_거시'!$E3149),'자료_거시'!$E3149,S3166)</f>
        <v/>
      </c>
      <c r="T3167">
        <f>IF(AND(ISNUMBER('자료_거시'!$D3149),ISNUMBER('자료_거시'!$E3149)),IFERROR('자료_거시'!$E3149-INDEX($S$21:$S$4020,MATCH(EDATE('자료_거시'!$D3149,-'설정'!$B$17),'자료_거시'!$D$3:INDEX('자료_거시'!$D$3:$D$4002,$K$6),1)),""),"")</f>
        <v/>
      </c>
      <c r="U3167">
        <f>IF(ISNUMBER(T3167),'자료_거시'!$D3149,"")</f>
        <v/>
      </c>
      <c r="V3167">
        <f>IF(ISNUMBER(U3167),IF(U3167&gt;$L$6,T3167,""),"")</f>
        <v/>
      </c>
      <c r="W3167">
        <f>IF(AND(ISNUMBER('자료_거시'!$G3149),ISNUMBER('자료_거시'!$H3149)),'자료_거시'!$H3149,"")</f>
        <v/>
      </c>
      <c r="X3167">
        <f>IF(ISNUMBER(W3167),'자료_거시'!$G3149,"")</f>
        <v/>
      </c>
      <c r="Y3167">
        <f>IF(ISNUMBER(X3167),IF(X3167&gt;$L$7,W3167,""),"")</f>
        <v/>
      </c>
      <c r="Z3167">
        <f>IF(ISNUMBER('자료_거시'!$K3149),'자료_거시'!$K3149,Z3166)</f>
        <v/>
      </c>
      <c r="AA3167">
        <f>IF(AND(ISNUMBER('자료_거시'!$J3149),ISNUMBER('자료_거시'!$K3149)),IFERROR('자료_거시'!$K3149/INDEX($Z$21:$Z$4020,MATCH(EDATE('자료_거시'!$J3149,-'설정'!$B$17),'자료_거시'!$J$3:INDEX('자료_거시'!$J$3:$J$4002,$K$8),1))-1,""),"")</f>
        <v/>
      </c>
      <c r="AB3167">
        <f>IF(ISNUMBER(AA3167),'자료_거시'!$J3149,"")</f>
        <v/>
      </c>
      <c r="AC3167">
        <f>IF(ISNUMBER(AB3167),IF(AB3167&gt;$L$8,AA3167,""),"")</f>
        <v/>
      </c>
    </row>
    <row r="3168">
      <c r="S3168">
        <f>IF(ISNUMBER('자료_거시'!$E3150),'자료_거시'!$E3150,S3167)</f>
        <v/>
      </c>
      <c r="T3168">
        <f>IF(AND(ISNUMBER('자료_거시'!$D3150),ISNUMBER('자료_거시'!$E3150)),IFERROR('자료_거시'!$E3150-INDEX($S$21:$S$4020,MATCH(EDATE('자료_거시'!$D3150,-'설정'!$B$17),'자료_거시'!$D$3:INDEX('자료_거시'!$D$3:$D$4002,$K$6),1)),""),"")</f>
        <v/>
      </c>
      <c r="U3168">
        <f>IF(ISNUMBER(T3168),'자료_거시'!$D3150,"")</f>
        <v/>
      </c>
      <c r="V3168">
        <f>IF(ISNUMBER(U3168),IF(U3168&gt;$L$6,T3168,""),"")</f>
        <v/>
      </c>
      <c r="W3168">
        <f>IF(AND(ISNUMBER('자료_거시'!$G3150),ISNUMBER('자료_거시'!$H3150)),'자료_거시'!$H3150,"")</f>
        <v/>
      </c>
      <c r="X3168">
        <f>IF(ISNUMBER(W3168),'자료_거시'!$G3150,"")</f>
        <v/>
      </c>
      <c r="Y3168">
        <f>IF(ISNUMBER(X3168),IF(X3168&gt;$L$7,W3168,""),"")</f>
        <v/>
      </c>
      <c r="Z3168">
        <f>IF(ISNUMBER('자료_거시'!$K3150),'자료_거시'!$K3150,Z3167)</f>
        <v/>
      </c>
      <c r="AA3168">
        <f>IF(AND(ISNUMBER('자료_거시'!$J3150),ISNUMBER('자료_거시'!$K3150)),IFERROR('자료_거시'!$K3150/INDEX($Z$21:$Z$4020,MATCH(EDATE('자료_거시'!$J3150,-'설정'!$B$17),'자료_거시'!$J$3:INDEX('자료_거시'!$J$3:$J$4002,$K$8),1))-1,""),"")</f>
        <v/>
      </c>
      <c r="AB3168">
        <f>IF(ISNUMBER(AA3168),'자료_거시'!$J3150,"")</f>
        <v/>
      </c>
      <c r="AC3168">
        <f>IF(ISNUMBER(AB3168),IF(AB3168&gt;$L$8,AA3168,""),"")</f>
        <v/>
      </c>
    </row>
    <row r="3169">
      <c r="S3169">
        <f>IF(ISNUMBER('자료_거시'!$E3151),'자료_거시'!$E3151,S3168)</f>
        <v/>
      </c>
      <c r="T3169">
        <f>IF(AND(ISNUMBER('자료_거시'!$D3151),ISNUMBER('자료_거시'!$E3151)),IFERROR('자료_거시'!$E3151-INDEX($S$21:$S$4020,MATCH(EDATE('자료_거시'!$D3151,-'설정'!$B$17),'자료_거시'!$D$3:INDEX('자료_거시'!$D$3:$D$4002,$K$6),1)),""),"")</f>
        <v/>
      </c>
      <c r="U3169">
        <f>IF(ISNUMBER(T3169),'자료_거시'!$D3151,"")</f>
        <v/>
      </c>
      <c r="V3169">
        <f>IF(ISNUMBER(U3169),IF(U3169&gt;$L$6,T3169,""),"")</f>
        <v/>
      </c>
      <c r="W3169">
        <f>IF(AND(ISNUMBER('자료_거시'!$G3151),ISNUMBER('자료_거시'!$H3151)),'자료_거시'!$H3151,"")</f>
        <v/>
      </c>
      <c r="X3169">
        <f>IF(ISNUMBER(W3169),'자료_거시'!$G3151,"")</f>
        <v/>
      </c>
      <c r="Y3169">
        <f>IF(ISNUMBER(X3169),IF(X3169&gt;$L$7,W3169,""),"")</f>
        <v/>
      </c>
      <c r="Z3169">
        <f>IF(ISNUMBER('자료_거시'!$K3151),'자료_거시'!$K3151,Z3168)</f>
        <v/>
      </c>
      <c r="AA3169">
        <f>IF(AND(ISNUMBER('자료_거시'!$J3151),ISNUMBER('자료_거시'!$K3151)),IFERROR('자료_거시'!$K3151/INDEX($Z$21:$Z$4020,MATCH(EDATE('자료_거시'!$J3151,-'설정'!$B$17),'자료_거시'!$J$3:INDEX('자료_거시'!$J$3:$J$4002,$K$8),1))-1,""),"")</f>
        <v/>
      </c>
      <c r="AB3169">
        <f>IF(ISNUMBER(AA3169),'자료_거시'!$J3151,"")</f>
        <v/>
      </c>
      <c r="AC3169">
        <f>IF(ISNUMBER(AB3169),IF(AB3169&gt;$L$8,AA3169,""),"")</f>
        <v/>
      </c>
    </row>
    <row r="3170">
      <c r="S3170">
        <f>IF(ISNUMBER('자료_거시'!$E3152),'자료_거시'!$E3152,S3169)</f>
        <v/>
      </c>
      <c r="T3170">
        <f>IF(AND(ISNUMBER('자료_거시'!$D3152),ISNUMBER('자료_거시'!$E3152)),IFERROR('자료_거시'!$E3152-INDEX($S$21:$S$4020,MATCH(EDATE('자료_거시'!$D3152,-'설정'!$B$17),'자료_거시'!$D$3:INDEX('자료_거시'!$D$3:$D$4002,$K$6),1)),""),"")</f>
        <v/>
      </c>
      <c r="U3170">
        <f>IF(ISNUMBER(T3170),'자료_거시'!$D3152,"")</f>
        <v/>
      </c>
      <c r="V3170">
        <f>IF(ISNUMBER(U3170),IF(U3170&gt;$L$6,T3170,""),"")</f>
        <v/>
      </c>
      <c r="W3170">
        <f>IF(AND(ISNUMBER('자료_거시'!$G3152),ISNUMBER('자료_거시'!$H3152)),'자료_거시'!$H3152,"")</f>
        <v/>
      </c>
      <c r="X3170">
        <f>IF(ISNUMBER(W3170),'자료_거시'!$G3152,"")</f>
        <v/>
      </c>
      <c r="Y3170">
        <f>IF(ISNUMBER(X3170),IF(X3170&gt;$L$7,W3170,""),"")</f>
        <v/>
      </c>
      <c r="Z3170">
        <f>IF(ISNUMBER('자료_거시'!$K3152),'자료_거시'!$K3152,Z3169)</f>
        <v/>
      </c>
      <c r="AA3170">
        <f>IF(AND(ISNUMBER('자료_거시'!$J3152),ISNUMBER('자료_거시'!$K3152)),IFERROR('자료_거시'!$K3152/INDEX($Z$21:$Z$4020,MATCH(EDATE('자료_거시'!$J3152,-'설정'!$B$17),'자료_거시'!$J$3:INDEX('자료_거시'!$J$3:$J$4002,$K$8),1))-1,""),"")</f>
        <v/>
      </c>
      <c r="AB3170">
        <f>IF(ISNUMBER(AA3170),'자료_거시'!$J3152,"")</f>
        <v/>
      </c>
      <c r="AC3170">
        <f>IF(ISNUMBER(AB3170),IF(AB3170&gt;$L$8,AA3170,""),"")</f>
        <v/>
      </c>
    </row>
    <row r="3171">
      <c r="S3171">
        <f>IF(ISNUMBER('자료_거시'!$E3153),'자료_거시'!$E3153,S3170)</f>
        <v/>
      </c>
      <c r="T3171">
        <f>IF(AND(ISNUMBER('자료_거시'!$D3153),ISNUMBER('자료_거시'!$E3153)),IFERROR('자료_거시'!$E3153-INDEX($S$21:$S$4020,MATCH(EDATE('자료_거시'!$D3153,-'설정'!$B$17),'자료_거시'!$D$3:INDEX('자료_거시'!$D$3:$D$4002,$K$6),1)),""),"")</f>
        <v/>
      </c>
      <c r="U3171">
        <f>IF(ISNUMBER(T3171),'자료_거시'!$D3153,"")</f>
        <v/>
      </c>
      <c r="V3171">
        <f>IF(ISNUMBER(U3171),IF(U3171&gt;$L$6,T3171,""),"")</f>
        <v/>
      </c>
      <c r="W3171">
        <f>IF(AND(ISNUMBER('자료_거시'!$G3153),ISNUMBER('자료_거시'!$H3153)),'자료_거시'!$H3153,"")</f>
        <v/>
      </c>
      <c r="X3171">
        <f>IF(ISNUMBER(W3171),'자료_거시'!$G3153,"")</f>
        <v/>
      </c>
      <c r="Y3171">
        <f>IF(ISNUMBER(X3171),IF(X3171&gt;$L$7,W3171,""),"")</f>
        <v/>
      </c>
      <c r="Z3171">
        <f>IF(ISNUMBER('자료_거시'!$K3153),'자료_거시'!$K3153,Z3170)</f>
        <v/>
      </c>
      <c r="AA3171">
        <f>IF(AND(ISNUMBER('자료_거시'!$J3153),ISNUMBER('자료_거시'!$K3153)),IFERROR('자료_거시'!$K3153/INDEX($Z$21:$Z$4020,MATCH(EDATE('자료_거시'!$J3153,-'설정'!$B$17),'자료_거시'!$J$3:INDEX('자료_거시'!$J$3:$J$4002,$K$8),1))-1,""),"")</f>
        <v/>
      </c>
      <c r="AB3171">
        <f>IF(ISNUMBER(AA3171),'자료_거시'!$J3153,"")</f>
        <v/>
      </c>
      <c r="AC3171">
        <f>IF(ISNUMBER(AB3171),IF(AB3171&gt;$L$8,AA3171,""),"")</f>
        <v/>
      </c>
    </row>
    <row r="3172">
      <c r="S3172">
        <f>IF(ISNUMBER('자료_거시'!$E3154),'자료_거시'!$E3154,S3171)</f>
        <v/>
      </c>
      <c r="T3172">
        <f>IF(AND(ISNUMBER('자료_거시'!$D3154),ISNUMBER('자료_거시'!$E3154)),IFERROR('자료_거시'!$E3154-INDEX($S$21:$S$4020,MATCH(EDATE('자료_거시'!$D3154,-'설정'!$B$17),'자료_거시'!$D$3:INDEX('자료_거시'!$D$3:$D$4002,$K$6),1)),""),"")</f>
        <v/>
      </c>
      <c r="U3172">
        <f>IF(ISNUMBER(T3172),'자료_거시'!$D3154,"")</f>
        <v/>
      </c>
      <c r="V3172">
        <f>IF(ISNUMBER(U3172),IF(U3172&gt;$L$6,T3172,""),"")</f>
        <v/>
      </c>
      <c r="W3172">
        <f>IF(AND(ISNUMBER('자료_거시'!$G3154),ISNUMBER('자료_거시'!$H3154)),'자료_거시'!$H3154,"")</f>
        <v/>
      </c>
      <c r="X3172">
        <f>IF(ISNUMBER(W3172),'자료_거시'!$G3154,"")</f>
        <v/>
      </c>
      <c r="Y3172">
        <f>IF(ISNUMBER(X3172),IF(X3172&gt;$L$7,W3172,""),"")</f>
        <v/>
      </c>
      <c r="Z3172">
        <f>IF(ISNUMBER('자료_거시'!$K3154),'자료_거시'!$K3154,Z3171)</f>
        <v/>
      </c>
      <c r="AA3172">
        <f>IF(AND(ISNUMBER('자료_거시'!$J3154),ISNUMBER('자료_거시'!$K3154)),IFERROR('자료_거시'!$K3154/INDEX($Z$21:$Z$4020,MATCH(EDATE('자료_거시'!$J3154,-'설정'!$B$17),'자료_거시'!$J$3:INDEX('자료_거시'!$J$3:$J$4002,$K$8),1))-1,""),"")</f>
        <v/>
      </c>
      <c r="AB3172">
        <f>IF(ISNUMBER(AA3172),'자료_거시'!$J3154,"")</f>
        <v/>
      </c>
      <c r="AC3172">
        <f>IF(ISNUMBER(AB3172),IF(AB3172&gt;$L$8,AA3172,""),"")</f>
        <v/>
      </c>
    </row>
    <row r="3173">
      <c r="S3173">
        <f>IF(ISNUMBER('자료_거시'!$E3155),'자료_거시'!$E3155,S3172)</f>
        <v/>
      </c>
      <c r="T3173">
        <f>IF(AND(ISNUMBER('자료_거시'!$D3155),ISNUMBER('자료_거시'!$E3155)),IFERROR('자료_거시'!$E3155-INDEX($S$21:$S$4020,MATCH(EDATE('자료_거시'!$D3155,-'설정'!$B$17),'자료_거시'!$D$3:INDEX('자료_거시'!$D$3:$D$4002,$K$6),1)),""),"")</f>
        <v/>
      </c>
      <c r="U3173">
        <f>IF(ISNUMBER(T3173),'자료_거시'!$D3155,"")</f>
        <v/>
      </c>
      <c r="V3173">
        <f>IF(ISNUMBER(U3173),IF(U3173&gt;$L$6,T3173,""),"")</f>
        <v/>
      </c>
      <c r="W3173">
        <f>IF(AND(ISNUMBER('자료_거시'!$G3155),ISNUMBER('자료_거시'!$H3155)),'자료_거시'!$H3155,"")</f>
        <v/>
      </c>
      <c r="X3173">
        <f>IF(ISNUMBER(W3173),'자료_거시'!$G3155,"")</f>
        <v/>
      </c>
      <c r="Y3173">
        <f>IF(ISNUMBER(X3173),IF(X3173&gt;$L$7,W3173,""),"")</f>
        <v/>
      </c>
      <c r="Z3173">
        <f>IF(ISNUMBER('자료_거시'!$K3155),'자료_거시'!$K3155,Z3172)</f>
        <v/>
      </c>
      <c r="AA3173">
        <f>IF(AND(ISNUMBER('자료_거시'!$J3155),ISNUMBER('자료_거시'!$K3155)),IFERROR('자료_거시'!$K3155/INDEX($Z$21:$Z$4020,MATCH(EDATE('자료_거시'!$J3155,-'설정'!$B$17),'자료_거시'!$J$3:INDEX('자료_거시'!$J$3:$J$4002,$K$8),1))-1,""),"")</f>
        <v/>
      </c>
      <c r="AB3173">
        <f>IF(ISNUMBER(AA3173),'자료_거시'!$J3155,"")</f>
        <v/>
      </c>
      <c r="AC3173">
        <f>IF(ISNUMBER(AB3173),IF(AB3173&gt;$L$8,AA3173,""),"")</f>
        <v/>
      </c>
    </row>
    <row r="3174">
      <c r="S3174">
        <f>IF(ISNUMBER('자료_거시'!$E3156),'자료_거시'!$E3156,S3173)</f>
        <v/>
      </c>
      <c r="T3174">
        <f>IF(AND(ISNUMBER('자료_거시'!$D3156),ISNUMBER('자료_거시'!$E3156)),IFERROR('자료_거시'!$E3156-INDEX($S$21:$S$4020,MATCH(EDATE('자료_거시'!$D3156,-'설정'!$B$17),'자료_거시'!$D$3:INDEX('자료_거시'!$D$3:$D$4002,$K$6),1)),""),"")</f>
        <v/>
      </c>
      <c r="U3174">
        <f>IF(ISNUMBER(T3174),'자료_거시'!$D3156,"")</f>
        <v/>
      </c>
      <c r="V3174">
        <f>IF(ISNUMBER(U3174),IF(U3174&gt;$L$6,T3174,""),"")</f>
        <v/>
      </c>
      <c r="W3174">
        <f>IF(AND(ISNUMBER('자료_거시'!$G3156),ISNUMBER('자료_거시'!$H3156)),'자료_거시'!$H3156,"")</f>
        <v/>
      </c>
      <c r="X3174">
        <f>IF(ISNUMBER(W3174),'자료_거시'!$G3156,"")</f>
        <v/>
      </c>
      <c r="Y3174">
        <f>IF(ISNUMBER(X3174),IF(X3174&gt;$L$7,W3174,""),"")</f>
        <v/>
      </c>
      <c r="Z3174">
        <f>IF(ISNUMBER('자료_거시'!$K3156),'자료_거시'!$K3156,Z3173)</f>
        <v/>
      </c>
      <c r="AA3174">
        <f>IF(AND(ISNUMBER('자료_거시'!$J3156),ISNUMBER('자료_거시'!$K3156)),IFERROR('자료_거시'!$K3156/INDEX($Z$21:$Z$4020,MATCH(EDATE('자료_거시'!$J3156,-'설정'!$B$17),'자료_거시'!$J$3:INDEX('자료_거시'!$J$3:$J$4002,$K$8),1))-1,""),"")</f>
        <v/>
      </c>
      <c r="AB3174">
        <f>IF(ISNUMBER(AA3174),'자료_거시'!$J3156,"")</f>
        <v/>
      </c>
      <c r="AC3174">
        <f>IF(ISNUMBER(AB3174),IF(AB3174&gt;$L$8,AA3174,""),"")</f>
        <v/>
      </c>
    </row>
    <row r="3175">
      <c r="S3175">
        <f>IF(ISNUMBER('자료_거시'!$E3157),'자료_거시'!$E3157,S3174)</f>
        <v/>
      </c>
      <c r="T3175">
        <f>IF(AND(ISNUMBER('자료_거시'!$D3157),ISNUMBER('자료_거시'!$E3157)),IFERROR('자료_거시'!$E3157-INDEX($S$21:$S$4020,MATCH(EDATE('자료_거시'!$D3157,-'설정'!$B$17),'자료_거시'!$D$3:INDEX('자료_거시'!$D$3:$D$4002,$K$6),1)),""),"")</f>
        <v/>
      </c>
      <c r="U3175">
        <f>IF(ISNUMBER(T3175),'자료_거시'!$D3157,"")</f>
        <v/>
      </c>
      <c r="V3175">
        <f>IF(ISNUMBER(U3175),IF(U3175&gt;$L$6,T3175,""),"")</f>
        <v/>
      </c>
      <c r="W3175">
        <f>IF(AND(ISNUMBER('자료_거시'!$G3157),ISNUMBER('자료_거시'!$H3157)),'자료_거시'!$H3157,"")</f>
        <v/>
      </c>
      <c r="X3175">
        <f>IF(ISNUMBER(W3175),'자료_거시'!$G3157,"")</f>
        <v/>
      </c>
      <c r="Y3175">
        <f>IF(ISNUMBER(X3175),IF(X3175&gt;$L$7,W3175,""),"")</f>
        <v/>
      </c>
      <c r="Z3175">
        <f>IF(ISNUMBER('자료_거시'!$K3157),'자료_거시'!$K3157,Z3174)</f>
        <v/>
      </c>
      <c r="AA3175">
        <f>IF(AND(ISNUMBER('자료_거시'!$J3157),ISNUMBER('자료_거시'!$K3157)),IFERROR('자료_거시'!$K3157/INDEX($Z$21:$Z$4020,MATCH(EDATE('자료_거시'!$J3157,-'설정'!$B$17),'자료_거시'!$J$3:INDEX('자료_거시'!$J$3:$J$4002,$K$8),1))-1,""),"")</f>
        <v/>
      </c>
      <c r="AB3175">
        <f>IF(ISNUMBER(AA3175),'자료_거시'!$J3157,"")</f>
        <v/>
      </c>
      <c r="AC3175">
        <f>IF(ISNUMBER(AB3175),IF(AB3175&gt;$L$8,AA3175,""),"")</f>
        <v/>
      </c>
    </row>
    <row r="3176">
      <c r="S3176">
        <f>IF(ISNUMBER('자료_거시'!$E3158),'자료_거시'!$E3158,S3175)</f>
        <v/>
      </c>
      <c r="T3176">
        <f>IF(AND(ISNUMBER('자료_거시'!$D3158),ISNUMBER('자료_거시'!$E3158)),IFERROR('자료_거시'!$E3158-INDEX($S$21:$S$4020,MATCH(EDATE('자료_거시'!$D3158,-'설정'!$B$17),'자료_거시'!$D$3:INDEX('자료_거시'!$D$3:$D$4002,$K$6),1)),""),"")</f>
        <v/>
      </c>
      <c r="U3176">
        <f>IF(ISNUMBER(T3176),'자료_거시'!$D3158,"")</f>
        <v/>
      </c>
      <c r="V3176">
        <f>IF(ISNUMBER(U3176),IF(U3176&gt;$L$6,T3176,""),"")</f>
        <v/>
      </c>
      <c r="W3176">
        <f>IF(AND(ISNUMBER('자료_거시'!$G3158),ISNUMBER('자료_거시'!$H3158)),'자료_거시'!$H3158,"")</f>
        <v/>
      </c>
      <c r="X3176">
        <f>IF(ISNUMBER(W3176),'자료_거시'!$G3158,"")</f>
        <v/>
      </c>
      <c r="Y3176">
        <f>IF(ISNUMBER(X3176),IF(X3176&gt;$L$7,W3176,""),"")</f>
        <v/>
      </c>
      <c r="Z3176">
        <f>IF(ISNUMBER('자료_거시'!$K3158),'자료_거시'!$K3158,Z3175)</f>
        <v/>
      </c>
      <c r="AA3176">
        <f>IF(AND(ISNUMBER('자료_거시'!$J3158),ISNUMBER('자료_거시'!$K3158)),IFERROR('자료_거시'!$K3158/INDEX($Z$21:$Z$4020,MATCH(EDATE('자료_거시'!$J3158,-'설정'!$B$17),'자료_거시'!$J$3:INDEX('자료_거시'!$J$3:$J$4002,$K$8),1))-1,""),"")</f>
        <v/>
      </c>
      <c r="AB3176">
        <f>IF(ISNUMBER(AA3176),'자료_거시'!$J3158,"")</f>
        <v/>
      </c>
      <c r="AC3176">
        <f>IF(ISNUMBER(AB3176),IF(AB3176&gt;$L$8,AA3176,""),"")</f>
        <v/>
      </c>
    </row>
    <row r="3177">
      <c r="S3177">
        <f>IF(ISNUMBER('자료_거시'!$E3159),'자료_거시'!$E3159,S3176)</f>
        <v/>
      </c>
      <c r="T3177">
        <f>IF(AND(ISNUMBER('자료_거시'!$D3159),ISNUMBER('자료_거시'!$E3159)),IFERROR('자료_거시'!$E3159-INDEX($S$21:$S$4020,MATCH(EDATE('자료_거시'!$D3159,-'설정'!$B$17),'자료_거시'!$D$3:INDEX('자료_거시'!$D$3:$D$4002,$K$6),1)),""),"")</f>
        <v/>
      </c>
      <c r="U3177">
        <f>IF(ISNUMBER(T3177),'자료_거시'!$D3159,"")</f>
        <v/>
      </c>
      <c r="V3177">
        <f>IF(ISNUMBER(U3177),IF(U3177&gt;$L$6,T3177,""),"")</f>
        <v/>
      </c>
      <c r="W3177">
        <f>IF(AND(ISNUMBER('자료_거시'!$G3159),ISNUMBER('자료_거시'!$H3159)),'자료_거시'!$H3159,"")</f>
        <v/>
      </c>
      <c r="X3177">
        <f>IF(ISNUMBER(W3177),'자료_거시'!$G3159,"")</f>
        <v/>
      </c>
      <c r="Y3177">
        <f>IF(ISNUMBER(X3177),IF(X3177&gt;$L$7,W3177,""),"")</f>
        <v/>
      </c>
      <c r="Z3177">
        <f>IF(ISNUMBER('자료_거시'!$K3159),'자료_거시'!$K3159,Z3176)</f>
        <v/>
      </c>
      <c r="AA3177">
        <f>IF(AND(ISNUMBER('자료_거시'!$J3159),ISNUMBER('자료_거시'!$K3159)),IFERROR('자료_거시'!$K3159/INDEX($Z$21:$Z$4020,MATCH(EDATE('자료_거시'!$J3159,-'설정'!$B$17),'자료_거시'!$J$3:INDEX('자료_거시'!$J$3:$J$4002,$K$8),1))-1,""),"")</f>
        <v/>
      </c>
      <c r="AB3177">
        <f>IF(ISNUMBER(AA3177),'자료_거시'!$J3159,"")</f>
        <v/>
      </c>
      <c r="AC3177">
        <f>IF(ISNUMBER(AB3177),IF(AB3177&gt;$L$8,AA3177,""),"")</f>
        <v/>
      </c>
    </row>
    <row r="3178">
      <c r="S3178">
        <f>IF(ISNUMBER('자료_거시'!$E3160),'자료_거시'!$E3160,S3177)</f>
        <v/>
      </c>
      <c r="T3178">
        <f>IF(AND(ISNUMBER('자료_거시'!$D3160),ISNUMBER('자료_거시'!$E3160)),IFERROR('자료_거시'!$E3160-INDEX($S$21:$S$4020,MATCH(EDATE('자료_거시'!$D3160,-'설정'!$B$17),'자료_거시'!$D$3:INDEX('자료_거시'!$D$3:$D$4002,$K$6),1)),""),"")</f>
        <v/>
      </c>
      <c r="U3178">
        <f>IF(ISNUMBER(T3178),'자료_거시'!$D3160,"")</f>
        <v/>
      </c>
      <c r="V3178">
        <f>IF(ISNUMBER(U3178),IF(U3178&gt;$L$6,T3178,""),"")</f>
        <v/>
      </c>
      <c r="W3178">
        <f>IF(AND(ISNUMBER('자료_거시'!$G3160),ISNUMBER('자료_거시'!$H3160)),'자료_거시'!$H3160,"")</f>
        <v/>
      </c>
      <c r="X3178">
        <f>IF(ISNUMBER(W3178),'자료_거시'!$G3160,"")</f>
        <v/>
      </c>
      <c r="Y3178">
        <f>IF(ISNUMBER(X3178),IF(X3178&gt;$L$7,W3178,""),"")</f>
        <v/>
      </c>
      <c r="Z3178">
        <f>IF(ISNUMBER('자료_거시'!$K3160),'자료_거시'!$K3160,Z3177)</f>
        <v/>
      </c>
      <c r="AA3178">
        <f>IF(AND(ISNUMBER('자료_거시'!$J3160),ISNUMBER('자료_거시'!$K3160)),IFERROR('자료_거시'!$K3160/INDEX($Z$21:$Z$4020,MATCH(EDATE('자료_거시'!$J3160,-'설정'!$B$17),'자료_거시'!$J$3:INDEX('자료_거시'!$J$3:$J$4002,$K$8),1))-1,""),"")</f>
        <v/>
      </c>
      <c r="AB3178">
        <f>IF(ISNUMBER(AA3178),'자료_거시'!$J3160,"")</f>
        <v/>
      </c>
      <c r="AC3178">
        <f>IF(ISNUMBER(AB3178),IF(AB3178&gt;$L$8,AA3178,""),"")</f>
        <v/>
      </c>
    </row>
    <row r="3179">
      <c r="S3179">
        <f>IF(ISNUMBER('자료_거시'!$E3161),'자료_거시'!$E3161,S3178)</f>
        <v/>
      </c>
      <c r="T3179">
        <f>IF(AND(ISNUMBER('자료_거시'!$D3161),ISNUMBER('자료_거시'!$E3161)),IFERROR('자료_거시'!$E3161-INDEX($S$21:$S$4020,MATCH(EDATE('자료_거시'!$D3161,-'설정'!$B$17),'자료_거시'!$D$3:INDEX('자료_거시'!$D$3:$D$4002,$K$6),1)),""),"")</f>
        <v/>
      </c>
      <c r="U3179">
        <f>IF(ISNUMBER(T3179),'자료_거시'!$D3161,"")</f>
        <v/>
      </c>
      <c r="V3179">
        <f>IF(ISNUMBER(U3179),IF(U3179&gt;$L$6,T3179,""),"")</f>
        <v/>
      </c>
      <c r="W3179">
        <f>IF(AND(ISNUMBER('자료_거시'!$G3161),ISNUMBER('자료_거시'!$H3161)),'자료_거시'!$H3161,"")</f>
        <v/>
      </c>
      <c r="X3179">
        <f>IF(ISNUMBER(W3179),'자료_거시'!$G3161,"")</f>
        <v/>
      </c>
      <c r="Y3179">
        <f>IF(ISNUMBER(X3179),IF(X3179&gt;$L$7,W3179,""),"")</f>
        <v/>
      </c>
      <c r="Z3179">
        <f>IF(ISNUMBER('자료_거시'!$K3161),'자료_거시'!$K3161,Z3178)</f>
        <v/>
      </c>
      <c r="AA3179">
        <f>IF(AND(ISNUMBER('자료_거시'!$J3161),ISNUMBER('자료_거시'!$K3161)),IFERROR('자료_거시'!$K3161/INDEX($Z$21:$Z$4020,MATCH(EDATE('자료_거시'!$J3161,-'설정'!$B$17),'자료_거시'!$J$3:INDEX('자료_거시'!$J$3:$J$4002,$K$8),1))-1,""),"")</f>
        <v/>
      </c>
      <c r="AB3179">
        <f>IF(ISNUMBER(AA3179),'자료_거시'!$J3161,"")</f>
        <v/>
      </c>
      <c r="AC3179">
        <f>IF(ISNUMBER(AB3179),IF(AB3179&gt;$L$8,AA3179,""),"")</f>
        <v/>
      </c>
    </row>
    <row r="3180">
      <c r="S3180">
        <f>IF(ISNUMBER('자료_거시'!$E3162),'자료_거시'!$E3162,S3179)</f>
        <v/>
      </c>
      <c r="T3180">
        <f>IF(AND(ISNUMBER('자료_거시'!$D3162),ISNUMBER('자료_거시'!$E3162)),IFERROR('자료_거시'!$E3162-INDEX($S$21:$S$4020,MATCH(EDATE('자료_거시'!$D3162,-'설정'!$B$17),'자료_거시'!$D$3:INDEX('자료_거시'!$D$3:$D$4002,$K$6),1)),""),"")</f>
        <v/>
      </c>
      <c r="U3180">
        <f>IF(ISNUMBER(T3180),'자료_거시'!$D3162,"")</f>
        <v/>
      </c>
      <c r="V3180">
        <f>IF(ISNUMBER(U3180),IF(U3180&gt;$L$6,T3180,""),"")</f>
        <v/>
      </c>
      <c r="W3180">
        <f>IF(AND(ISNUMBER('자료_거시'!$G3162),ISNUMBER('자료_거시'!$H3162)),'자료_거시'!$H3162,"")</f>
        <v/>
      </c>
      <c r="X3180">
        <f>IF(ISNUMBER(W3180),'자료_거시'!$G3162,"")</f>
        <v/>
      </c>
      <c r="Y3180">
        <f>IF(ISNUMBER(X3180),IF(X3180&gt;$L$7,W3180,""),"")</f>
        <v/>
      </c>
      <c r="Z3180">
        <f>IF(ISNUMBER('자료_거시'!$K3162),'자료_거시'!$K3162,Z3179)</f>
        <v/>
      </c>
      <c r="AA3180">
        <f>IF(AND(ISNUMBER('자료_거시'!$J3162),ISNUMBER('자료_거시'!$K3162)),IFERROR('자료_거시'!$K3162/INDEX($Z$21:$Z$4020,MATCH(EDATE('자료_거시'!$J3162,-'설정'!$B$17),'자료_거시'!$J$3:INDEX('자료_거시'!$J$3:$J$4002,$K$8),1))-1,""),"")</f>
        <v/>
      </c>
      <c r="AB3180">
        <f>IF(ISNUMBER(AA3180),'자료_거시'!$J3162,"")</f>
        <v/>
      </c>
      <c r="AC3180">
        <f>IF(ISNUMBER(AB3180),IF(AB3180&gt;$L$8,AA3180,""),"")</f>
        <v/>
      </c>
    </row>
    <row r="3181">
      <c r="S3181">
        <f>IF(ISNUMBER('자료_거시'!$E3163),'자료_거시'!$E3163,S3180)</f>
        <v/>
      </c>
      <c r="T3181">
        <f>IF(AND(ISNUMBER('자료_거시'!$D3163),ISNUMBER('자료_거시'!$E3163)),IFERROR('자료_거시'!$E3163-INDEX($S$21:$S$4020,MATCH(EDATE('자료_거시'!$D3163,-'설정'!$B$17),'자료_거시'!$D$3:INDEX('자료_거시'!$D$3:$D$4002,$K$6),1)),""),"")</f>
        <v/>
      </c>
      <c r="U3181">
        <f>IF(ISNUMBER(T3181),'자료_거시'!$D3163,"")</f>
        <v/>
      </c>
      <c r="V3181">
        <f>IF(ISNUMBER(U3181),IF(U3181&gt;$L$6,T3181,""),"")</f>
        <v/>
      </c>
      <c r="W3181">
        <f>IF(AND(ISNUMBER('자료_거시'!$G3163),ISNUMBER('자료_거시'!$H3163)),'자료_거시'!$H3163,"")</f>
        <v/>
      </c>
      <c r="X3181">
        <f>IF(ISNUMBER(W3181),'자료_거시'!$G3163,"")</f>
        <v/>
      </c>
      <c r="Y3181">
        <f>IF(ISNUMBER(X3181),IF(X3181&gt;$L$7,W3181,""),"")</f>
        <v/>
      </c>
      <c r="Z3181">
        <f>IF(ISNUMBER('자료_거시'!$K3163),'자료_거시'!$K3163,Z3180)</f>
        <v/>
      </c>
      <c r="AA3181">
        <f>IF(AND(ISNUMBER('자료_거시'!$J3163),ISNUMBER('자료_거시'!$K3163)),IFERROR('자료_거시'!$K3163/INDEX($Z$21:$Z$4020,MATCH(EDATE('자료_거시'!$J3163,-'설정'!$B$17),'자료_거시'!$J$3:INDEX('자료_거시'!$J$3:$J$4002,$K$8),1))-1,""),"")</f>
        <v/>
      </c>
      <c r="AB3181">
        <f>IF(ISNUMBER(AA3181),'자료_거시'!$J3163,"")</f>
        <v/>
      </c>
      <c r="AC3181">
        <f>IF(ISNUMBER(AB3181),IF(AB3181&gt;$L$8,AA3181,""),"")</f>
        <v/>
      </c>
    </row>
    <row r="3182">
      <c r="S3182">
        <f>IF(ISNUMBER('자료_거시'!$E3164),'자료_거시'!$E3164,S3181)</f>
        <v/>
      </c>
      <c r="T3182">
        <f>IF(AND(ISNUMBER('자료_거시'!$D3164),ISNUMBER('자료_거시'!$E3164)),IFERROR('자료_거시'!$E3164-INDEX($S$21:$S$4020,MATCH(EDATE('자료_거시'!$D3164,-'설정'!$B$17),'자료_거시'!$D$3:INDEX('자료_거시'!$D$3:$D$4002,$K$6),1)),""),"")</f>
        <v/>
      </c>
      <c r="U3182">
        <f>IF(ISNUMBER(T3182),'자료_거시'!$D3164,"")</f>
        <v/>
      </c>
      <c r="V3182">
        <f>IF(ISNUMBER(U3182),IF(U3182&gt;$L$6,T3182,""),"")</f>
        <v/>
      </c>
      <c r="W3182">
        <f>IF(AND(ISNUMBER('자료_거시'!$G3164),ISNUMBER('자료_거시'!$H3164)),'자료_거시'!$H3164,"")</f>
        <v/>
      </c>
      <c r="X3182">
        <f>IF(ISNUMBER(W3182),'자료_거시'!$G3164,"")</f>
        <v/>
      </c>
      <c r="Y3182">
        <f>IF(ISNUMBER(X3182),IF(X3182&gt;$L$7,W3182,""),"")</f>
        <v/>
      </c>
      <c r="Z3182">
        <f>IF(ISNUMBER('자료_거시'!$K3164),'자료_거시'!$K3164,Z3181)</f>
        <v/>
      </c>
      <c r="AA3182">
        <f>IF(AND(ISNUMBER('자료_거시'!$J3164),ISNUMBER('자료_거시'!$K3164)),IFERROR('자료_거시'!$K3164/INDEX($Z$21:$Z$4020,MATCH(EDATE('자료_거시'!$J3164,-'설정'!$B$17),'자료_거시'!$J$3:INDEX('자료_거시'!$J$3:$J$4002,$K$8),1))-1,""),"")</f>
        <v/>
      </c>
      <c r="AB3182">
        <f>IF(ISNUMBER(AA3182),'자료_거시'!$J3164,"")</f>
        <v/>
      </c>
      <c r="AC3182">
        <f>IF(ISNUMBER(AB3182),IF(AB3182&gt;$L$8,AA3182,""),"")</f>
        <v/>
      </c>
    </row>
    <row r="3183">
      <c r="S3183">
        <f>IF(ISNUMBER('자료_거시'!$E3165),'자료_거시'!$E3165,S3182)</f>
        <v/>
      </c>
      <c r="T3183">
        <f>IF(AND(ISNUMBER('자료_거시'!$D3165),ISNUMBER('자료_거시'!$E3165)),IFERROR('자료_거시'!$E3165-INDEX($S$21:$S$4020,MATCH(EDATE('자료_거시'!$D3165,-'설정'!$B$17),'자료_거시'!$D$3:INDEX('자료_거시'!$D$3:$D$4002,$K$6),1)),""),"")</f>
        <v/>
      </c>
      <c r="U3183">
        <f>IF(ISNUMBER(T3183),'자료_거시'!$D3165,"")</f>
        <v/>
      </c>
      <c r="V3183">
        <f>IF(ISNUMBER(U3183),IF(U3183&gt;$L$6,T3183,""),"")</f>
        <v/>
      </c>
      <c r="W3183">
        <f>IF(AND(ISNUMBER('자료_거시'!$G3165),ISNUMBER('자료_거시'!$H3165)),'자료_거시'!$H3165,"")</f>
        <v/>
      </c>
      <c r="X3183">
        <f>IF(ISNUMBER(W3183),'자료_거시'!$G3165,"")</f>
        <v/>
      </c>
      <c r="Y3183">
        <f>IF(ISNUMBER(X3183),IF(X3183&gt;$L$7,W3183,""),"")</f>
        <v/>
      </c>
      <c r="Z3183">
        <f>IF(ISNUMBER('자료_거시'!$K3165),'자료_거시'!$K3165,Z3182)</f>
        <v/>
      </c>
      <c r="AA3183">
        <f>IF(AND(ISNUMBER('자료_거시'!$J3165),ISNUMBER('자료_거시'!$K3165)),IFERROR('자료_거시'!$K3165/INDEX($Z$21:$Z$4020,MATCH(EDATE('자료_거시'!$J3165,-'설정'!$B$17),'자료_거시'!$J$3:INDEX('자료_거시'!$J$3:$J$4002,$K$8),1))-1,""),"")</f>
        <v/>
      </c>
      <c r="AB3183">
        <f>IF(ISNUMBER(AA3183),'자료_거시'!$J3165,"")</f>
        <v/>
      </c>
      <c r="AC3183">
        <f>IF(ISNUMBER(AB3183),IF(AB3183&gt;$L$8,AA3183,""),"")</f>
        <v/>
      </c>
    </row>
    <row r="3184">
      <c r="S3184">
        <f>IF(ISNUMBER('자료_거시'!$E3166),'자료_거시'!$E3166,S3183)</f>
        <v/>
      </c>
      <c r="T3184">
        <f>IF(AND(ISNUMBER('자료_거시'!$D3166),ISNUMBER('자료_거시'!$E3166)),IFERROR('자료_거시'!$E3166-INDEX($S$21:$S$4020,MATCH(EDATE('자료_거시'!$D3166,-'설정'!$B$17),'자료_거시'!$D$3:INDEX('자료_거시'!$D$3:$D$4002,$K$6),1)),""),"")</f>
        <v/>
      </c>
      <c r="U3184">
        <f>IF(ISNUMBER(T3184),'자료_거시'!$D3166,"")</f>
        <v/>
      </c>
      <c r="V3184">
        <f>IF(ISNUMBER(U3184),IF(U3184&gt;$L$6,T3184,""),"")</f>
        <v/>
      </c>
      <c r="W3184">
        <f>IF(AND(ISNUMBER('자료_거시'!$G3166),ISNUMBER('자료_거시'!$H3166)),'자료_거시'!$H3166,"")</f>
        <v/>
      </c>
      <c r="X3184">
        <f>IF(ISNUMBER(W3184),'자료_거시'!$G3166,"")</f>
        <v/>
      </c>
      <c r="Y3184">
        <f>IF(ISNUMBER(X3184),IF(X3184&gt;$L$7,W3184,""),"")</f>
        <v/>
      </c>
      <c r="Z3184">
        <f>IF(ISNUMBER('자료_거시'!$K3166),'자료_거시'!$K3166,Z3183)</f>
        <v/>
      </c>
      <c r="AA3184">
        <f>IF(AND(ISNUMBER('자료_거시'!$J3166),ISNUMBER('자료_거시'!$K3166)),IFERROR('자료_거시'!$K3166/INDEX($Z$21:$Z$4020,MATCH(EDATE('자료_거시'!$J3166,-'설정'!$B$17),'자료_거시'!$J$3:INDEX('자료_거시'!$J$3:$J$4002,$K$8),1))-1,""),"")</f>
        <v/>
      </c>
      <c r="AB3184">
        <f>IF(ISNUMBER(AA3184),'자료_거시'!$J3166,"")</f>
        <v/>
      </c>
      <c r="AC3184">
        <f>IF(ISNUMBER(AB3184),IF(AB3184&gt;$L$8,AA3184,""),"")</f>
        <v/>
      </c>
    </row>
    <row r="3185">
      <c r="S3185">
        <f>IF(ISNUMBER('자료_거시'!$E3167),'자료_거시'!$E3167,S3184)</f>
        <v/>
      </c>
      <c r="T3185">
        <f>IF(AND(ISNUMBER('자료_거시'!$D3167),ISNUMBER('자료_거시'!$E3167)),IFERROR('자료_거시'!$E3167-INDEX($S$21:$S$4020,MATCH(EDATE('자료_거시'!$D3167,-'설정'!$B$17),'자료_거시'!$D$3:INDEX('자료_거시'!$D$3:$D$4002,$K$6),1)),""),"")</f>
        <v/>
      </c>
      <c r="U3185">
        <f>IF(ISNUMBER(T3185),'자료_거시'!$D3167,"")</f>
        <v/>
      </c>
      <c r="V3185">
        <f>IF(ISNUMBER(U3185),IF(U3185&gt;$L$6,T3185,""),"")</f>
        <v/>
      </c>
      <c r="W3185">
        <f>IF(AND(ISNUMBER('자료_거시'!$G3167),ISNUMBER('자료_거시'!$H3167)),'자료_거시'!$H3167,"")</f>
        <v/>
      </c>
      <c r="X3185">
        <f>IF(ISNUMBER(W3185),'자료_거시'!$G3167,"")</f>
        <v/>
      </c>
      <c r="Y3185">
        <f>IF(ISNUMBER(X3185),IF(X3185&gt;$L$7,W3185,""),"")</f>
        <v/>
      </c>
      <c r="Z3185">
        <f>IF(ISNUMBER('자료_거시'!$K3167),'자료_거시'!$K3167,Z3184)</f>
        <v/>
      </c>
      <c r="AA3185">
        <f>IF(AND(ISNUMBER('자료_거시'!$J3167),ISNUMBER('자료_거시'!$K3167)),IFERROR('자료_거시'!$K3167/INDEX($Z$21:$Z$4020,MATCH(EDATE('자료_거시'!$J3167,-'설정'!$B$17),'자료_거시'!$J$3:INDEX('자료_거시'!$J$3:$J$4002,$K$8),1))-1,""),"")</f>
        <v/>
      </c>
      <c r="AB3185">
        <f>IF(ISNUMBER(AA3185),'자료_거시'!$J3167,"")</f>
        <v/>
      </c>
      <c r="AC3185">
        <f>IF(ISNUMBER(AB3185),IF(AB3185&gt;$L$8,AA3185,""),"")</f>
        <v/>
      </c>
    </row>
    <row r="3186">
      <c r="S3186">
        <f>IF(ISNUMBER('자료_거시'!$E3168),'자료_거시'!$E3168,S3185)</f>
        <v/>
      </c>
      <c r="T3186">
        <f>IF(AND(ISNUMBER('자료_거시'!$D3168),ISNUMBER('자료_거시'!$E3168)),IFERROR('자료_거시'!$E3168-INDEX($S$21:$S$4020,MATCH(EDATE('자료_거시'!$D3168,-'설정'!$B$17),'자료_거시'!$D$3:INDEX('자료_거시'!$D$3:$D$4002,$K$6),1)),""),"")</f>
        <v/>
      </c>
      <c r="U3186">
        <f>IF(ISNUMBER(T3186),'자료_거시'!$D3168,"")</f>
        <v/>
      </c>
      <c r="V3186">
        <f>IF(ISNUMBER(U3186),IF(U3186&gt;$L$6,T3186,""),"")</f>
        <v/>
      </c>
      <c r="W3186">
        <f>IF(AND(ISNUMBER('자료_거시'!$G3168),ISNUMBER('자료_거시'!$H3168)),'자료_거시'!$H3168,"")</f>
        <v/>
      </c>
      <c r="X3186">
        <f>IF(ISNUMBER(W3186),'자료_거시'!$G3168,"")</f>
        <v/>
      </c>
      <c r="Y3186">
        <f>IF(ISNUMBER(X3186),IF(X3186&gt;$L$7,W3186,""),"")</f>
        <v/>
      </c>
      <c r="Z3186">
        <f>IF(ISNUMBER('자료_거시'!$K3168),'자료_거시'!$K3168,Z3185)</f>
        <v/>
      </c>
      <c r="AA3186">
        <f>IF(AND(ISNUMBER('자료_거시'!$J3168),ISNUMBER('자료_거시'!$K3168)),IFERROR('자료_거시'!$K3168/INDEX($Z$21:$Z$4020,MATCH(EDATE('자료_거시'!$J3168,-'설정'!$B$17),'자료_거시'!$J$3:INDEX('자료_거시'!$J$3:$J$4002,$K$8),1))-1,""),"")</f>
        <v/>
      </c>
      <c r="AB3186">
        <f>IF(ISNUMBER(AA3186),'자료_거시'!$J3168,"")</f>
        <v/>
      </c>
      <c r="AC3186">
        <f>IF(ISNUMBER(AB3186),IF(AB3186&gt;$L$8,AA3186,""),"")</f>
        <v/>
      </c>
    </row>
    <row r="3187">
      <c r="S3187">
        <f>IF(ISNUMBER('자료_거시'!$E3169),'자료_거시'!$E3169,S3186)</f>
        <v/>
      </c>
      <c r="T3187">
        <f>IF(AND(ISNUMBER('자료_거시'!$D3169),ISNUMBER('자료_거시'!$E3169)),IFERROR('자료_거시'!$E3169-INDEX($S$21:$S$4020,MATCH(EDATE('자료_거시'!$D3169,-'설정'!$B$17),'자료_거시'!$D$3:INDEX('자료_거시'!$D$3:$D$4002,$K$6),1)),""),"")</f>
        <v/>
      </c>
      <c r="U3187">
        <f>IF(ISNUMBER(T3187),'자료_거시'!$D3169,"")</f>
        <v/>
      </c>
      <c r="V3187">
        <f>IF(ISNUMBER(U3187),IF(U3187&gt;$L$6,T3187,""),"")</f>
        <v/>
      </c>
      <c r="W3187">
        <f>IF(AND(ISNUMBER('자료_거시'!$G3169),ISNUMBER('자료_거시'!$H3169)),'자료_거시'!$H3169,"")</f>
        <v/>
      </c>
      <c r="X3187">
        <f>IF(ISNUMBER(W3187),'자료_거시'!$G3169,"")</f>
        <v/>
      </c>
      <c r="Y3187">
        <f>IF(ISNUMBER(X3187),IF(X3187&gt;$L$7,W3187,""),"")</f>
        <v/>
      </c>
      <c r="Z3187">
        <f>IF(ISNUMBER('자료_거시'!$K3169),'자료_거시'!$K3169,Z3186)</f>
        <v/>
      </c>
      <c r="AA3187">
        <f>IF(AND(ISNUMBER('자료_거시'!$J3169),ISNUMBER('자료_거시'!$K3169)),IFERROR('자료_거시'!$K3169/INDEX($Z$21:$Z$4020,MATCH(EDATE('자료_거시'!$J3169,-'설정'!$B$17),'자료_거시'!$J$3:INDEX('자료_거시'!$J$3:$J$4002,$K$8),1))-1,""),"")</f>
        <v/>
      </c>
      <c r="AB3187">
        <f>IF(ISNUMBER(AA3187),'자료_거시'!$J3169,"")</f>
        <v/>
      </c>
      <c r="AC3187">
        <f>IF(ISNUMBER(AB3187),IF(AB3187&gt;$L$8,AA3187,""),"")</f>
        <v/>
      </c>
    </row>
    <row r="3188">
      <c r="S3188">
        <f>IF(ISNUMBER('자료_거시'!$E3170),'자료_거시'!$E3170,S3187)</f>
        <v/>
      </c>
      <c r="T3188">
        <f>IF(AND(ISNUMBER('자료_거시'!$D3170),ISNUMBER('자료_거시'!$E3170)),IFERROR('자료_거시'!$E3170-INDEX($S$21:$S$4020,MATCH(EDATE('자료_거시'!$D3170,-'설정'!$B$17),'자료_거시'!$D$3:INDEX('자료_거시'!$D$3:$D$4002,$K$6),1)),""),"")</f>
        <v/>
      </c>
      <c r="U3188">
        <f>IF(ISNUMBER(T3188),'자료_거시'!$D3170,"")</f>
        <v/>
      </c>
      <c r="V3188">
        <f>IF(ISNUMBER(U3188),IF(U3188&gt;$L$6,T3188,""),"")</f>
        <v/>
      </c>
      <c r="W3188">
        <f>IF(AND(ISNUMBER('자료_거시'!$G3170),ISNUMBER('자료_거시'!$H3170)),'자료_거시'!$H3170,"")</f>
        <v/>
      </c>
      <c r="X3188">
        <f>IF(ISNUMBER(W3188),'자료_거시'!$G3170,"")</f>
        <v/>
      </c>
      <c r="Y3188">
        <f>IF(ISNUMBER(X3188),IF(X3188&gt;$L$7,W3188,""),"")</f>
        <v/>
      </c>
      <c r="Z3188">
        <f>IF(ISNUMBER('자료_거시'!$K3170),'자료_거시'!$K3170,Z3187)</f>
        <v/>
      </c>
      <c r="AA3188">
        <f>IF(AND(ISNUMBER('자료_거시'!$J3170),ISNUMBER('자료_거시'!$K3170)),IFERROR('자료_거시'!$K3170/INDEX($Z$21:$Z$4020,MATCH(EDATE('자료_거시'!$J3170,-'설정'!$B$17),'자료_거시'!$J$3:INDEX('자료_거시'!$J$3:$J$4002,$K$8),1))-1,""),"")</f>
        <v/>
      </c>
      <c r="AB3188">
        <f>IF(ISNUMBER(AA3188),'자료_거시'!$J3170,"")</f>
        <v/>
      </c>
      <c r="AC3188">
        <f>IF(ISNUMBER(AB3188),IF(AB3188&gt;$L$8,AA3188,""),"")</f>
        <v/>
      </c>
    </row>
    <row r="3189">
      <c r="S3189">
        <f>IF(ISNUMBER('자료_거시'!$E3171),'자료_거시'!$E3171,S3188)</f>
        <v/>
      </c>
      <c r="T3189">
        <f>IF(AND(ISNUMBER('자료_거시'!$D3171),ISNUMBER('자료_거시'!$E3171)),IFERROR('자료_거시'!$E3171-INDEX($S$21:$S$4020,MATCH(EDATE('자료_거시'!$D3171,-'설정'!$B$17),'자료_거시'!$D$3:INDEX('자료_거시'!$D$3:$D$4002,$K$6),1)),""),"")</f>
        <v/>
      </c>
      <c r="U3189">
        <f>IF(ISNUMBER(T3189),'자료_거시'!$D3171,"")</f>
        <v/>
      </c>
      <c r="V3189">
        <f>IF(ISNUMBER(U3189),IF(U3189&gt;$L$6,T3189,""),"")</f>
        <v/>
      </c>
      <c r="W3189">
        <f>IF(AND(ISNUMBER('자료_거시'!$G3171),ISNUMBER('자료_거시'!$H3171)),'자료_거시'!$H3171,"")</f>
        <v/>
      </c>
      <c r="X3189">
        <f>IF(ISNUMBER(W3189),'자료_거시'!$G3171,"")</f>
        <v/>
      </c>
      <c r="Y3189">
        <f>IF(ISNUMBER(X3189),IF(X3189&gt;$L$7,W3189,""),"")</f>
        <v/>
      </c>
      <c r="Z3189">
        <f>IF(ISNUMBER('자료_거시'!$K3171),'자료_거시'!$K3171,Z3188)</f>
        <v/>
      </c>
      <c r="AA3189">
        <f>IF(AND(ISNUMBER('자료_거시'!$J3171),ISNUMBER('자료_거시'!$K3171)),IFERROR('자료_거시'!$K3171/INDEX($Z$21:$Z$4020,MATCH(EDATE('자료_거시'!$J3171,-'설정'!$B$17),'자료_거시'!$J$3:INDEX('자료_거시'!$J$3:$J$4002,$K$8),1))-1,""),"")</f>
        <v/>
      </c>
      <c r="AB3189">
        <f>IF(ISNUMBER(AA3189),'자료_거시'!$J3171,"")</f>
        <v/>
      </c>
      <c r="AC3189">
        <f>IF(ISNUMBER(AB3189),IF(AB3189&gt;$L$8,AA3189,""),"")</f>
        <v/>
      </c>
    </row>
    <row r="3190">
      <c r="S3190">
        <f>IF(ISNUMBER('자료_거시'!$E3172),'자료_거시'!$E3172,S3189)</f>
        <v/>
      </c>
      <c r="T3190">
        <f>IF(AND(ISNUMBER('자료_거시'!$D3172),ISNUMBER('자료_거시'!$E3172)),IFERROR('자료_거시'!$E3172-INDEX($S$21:$S$4020,MATCH(EDATE('자료_거시'!$D3172,-'설정'!$B$17),'자료_거시'!$D$3:INDEX('자료_거시'!$D$3:$D$4002,$K$6),1)),""),"")</f>
        <v/>
      </c>
      <c r="U3190">
        <f>IF(ISNUMBER(T3190),'자료_거시'!$D3172,"")</f>
        <v/>
      </c>
      <c r="V3190">
        <f>IF(ISNUMBER(U3190),IF(U3190&gt;$L$6,T3190,""),"")</f>
        <v/>
      </c>
      <c r="W3190">
        <f>IF(AND(ISNUMBER('자료_거시'!$G3172),ISNUMBER('자료_거시'!$H3172)),'자료_거시'!$H3172,"")</f>
        <v/>
      </c>
      <c r="X3190">
        <f>IF(ISNUMBER(W3190),'자료_거시'!$G3172,"")</f>
        <v/>
      </c>
      <c r="Y3190">
        <f>IF(ISNUMBER(X3190),IF(X3190&gt;$L$7,W3190,""),"")</f>
        <v/>
      </c>
      <c r="Z3190">
        <f>IF(ISNUMBER('자료_거시'!$K3172),'자료_거시'!$K3172,Z3189)</f>
        <v/>
      </c>
      <c r="AA3190">
        <f>IF(AND(ISNUMBER('자료_거시'!$J3172),ISNUMBER('자료_거시'!$K3172)),IFERROR('자료_거시'!$K3172/INDEX($Z$21:$Z$4020,MATCH(EDATE('자료_거시'!$J3172,-'설정'!$B$17),'자료_거시'!$J$3:INDEX('자료_거시'!$J$3:$J$4002,$K$8),1))-1,""),"")</f>
        <v/>
      </c>
      <c r="AB3190">
        <f>IF(ISNUMBER(AA3190),'자료_거시'!$J3172,"")</f>
        <v/>
      </c>
      <c r="AC3190">
        <f>IF(ISNUMBER(AB3190),IF(AB3190&gt;$L$8,AA3190,""),"")</f>
        <v/>
      </c>
    </row>
    <row r="3191">
      <c r="S3191">
        <f>IF(ISNUMBER('자료_거시'!$E3173),'자료_거시'!$E3173,S3190)</f>
        <v/>
      </c>
      <c r="T3191">
        <f>IF(AND(ISNUMBER('자료_거시'!$D3173),ISNUMBER('자료_거시'!$E3173)),IFERROR('자료_거시'!$E3173-INDEX($S$21:$S$4020,MATCH(EDATE('자료_거시'!$D3173,-'설정'!$B$17),'자료_거시'!$D$3:INDEX('자료_거시'!$D$3:$D$4002,$K$6),1)),""),"")</f>
        <v/>
      </c>
      <c r="U3191">
        <f>IF(ISNUMBER(T3191),'자료_거시'!$D3173,"")</f>
        <v/>
      </c>
      <c r="V3191">
        <f>IF(ISNUMBER(U3191),IF(U3191&gt;$L$6,T3191,""),"")</f>
        <v/>
      </c>
      <c r="W3191">
        <f>IF(AND(ISNUMBER('자료_거시'!$G3173),ISNUMBER('자료_거시'!$H3173)),'자료_거시'!$H3173,"")</f>
        <v/>
      </c>
      <c r="X3191">
        <f>IF(ISNUMBER(W3191),'자료_거시'!$G3173,"")</f>
        <v/>
      </c>
      <c r="Y3191">
        <f>IF(ISNUMBER(X3191),IF(X3191&gt;$L$7,W3191,""),"")</f>
        <v/>
      </c>
      <c r="Z3191">
        <f>IF(ISNUMBER('자료_거시'!$K3173),'자료_거시'!$K3173,Z3190)</f>
        <v/>
      </c>
      <c r="AA3191">
        <f>IF(AND(ISNUMBER('자료_거시'!$J3173),ISNUMBER('자료_거시'!$K3173)),IFERROR('자료_거시'!$K3173/INDEX($Z$21:$Z$4020,MATCH(EDATE('자료_거시'!$J3173,-'설정'!$B$17),'자료_거시'!$J$3:INDEX('자료_거시'!$J$3:$J$4002,$K$8),1))-1,""),"")</f>
        <v/>
      </c>
      <c r="AB3191">
        <f>IF(ISNUMBER(AA3191),'자료_거시'!$J3173,"")</f>
        <v/>
      </c>
      <c r="AC3191">
        <f>IF(ISNUMBER(AB3191),IF(AB3191&gt;$L$8,AA3191,""),"")</f>
        <v/>
      </c>
    </row>
    <row r="3192">
      <c r="S3192">
        <f>IF(ISNUMBER('자료_거시'!$E3174),'자료_거시'!$E3174,S3191)</f>
        <v/>
      </c>
      <c r="T3192">
        <f>IF(AND(ISNUMBER('자료_거시'!$D3174),ISNUMBER('자료_거시'!$E3174)),IFERROR('자료_거시'!$E3174-INDEX($S$21:$S$4020,MATCH(EDATE('자료_거시'!$D3174,-'설정'!$B$17),'자료_거시'!$D$3:INDEX('자료_거시'!$D$3:$D$4002,$K$6),1)),""),"")</f>
        <v/>
      </c>
      <c r="U3192">
        <f>IF(ISNUMBER(T3192),'자료_거시'!$D3174,"")</f>
        <v/>
      </c>
      <c r="V3192">
        <f>IF(ISNUMBER(U3192),IF(U3192&gt;$L$6,T3192,""),"")</f>
        <v/>
      </c>
      <c r="W3192">
        <f>IF(AND(ISNUMBER('자료_거시'!$G3174),ISNUMBER('자료_거시'!$H3174)),'자료_거시'!$H3174,"")</f>
        <v/>
      </c>
      <c r="X3192">
        <f>IF(ISNUMBER(W3192),'자료_거시'!$G3174,"")</f>
        <v/>
      </c>
      <c r="Y3192">
        <f>IF(ISNUMBER(X3192),IF(X3192&gt;$L$7,W3192,""),"")</f>
        <v/>
      </c>
      <c r="Z3192">
        <f>IF(ISNUMBER('자료_거시'!$K3174),'자료_거시'!$K3174,Z3191)</f>
        <v/>
      </c>
      <c r="AA3192">
        <f>IF(AND(ISNUMBER('자료_거시'!$J3174),ISNUMBER('자료_거시'!$K3174)),IFERROR('자료_거시'!$K3174/INDEX($Z$21:$Z$4020,MATCH(EDATE('자료_거시'!$J3174,-'설정'!$B$17),'자료_거시'!$J$3:INDEX('자료_거시'!$J$3:$J$4002,$K$8),1))-1,""),"")</f>
        <v/>
      </c>
      <c r="AB3192">
        <f>IF(ISNUMBER(AA3192),'자료_거시'!$J3174,"")</f>
        <v/>
      </c>
      <c r="AC3192">
        <f>IF(ISNUMBER(AB3192),IF(AB3192&gt;$L$8,AA3192,""),"")</f>
        <v/>
      </c>
    </row>
    <row r="3193">
      <c r="S3193">
        <f>IF(ISNUMBER('자료_거시'!$E3175),'자료_거시'!$E3175,S3192)</f>
        <v/>
      </c>
      <c r="T3193">
        <f>IF(AND(ISNUMBER('자료_거시'!$D3175),ISNUMBER('자료_거시'!$E3175)),IFERROR('자료_거시'!$E3175-INDEX($S$21:$S$4020,MATCH(EDATE('자료_거시'!$D3175,-'설정'!$B$17),'자료_거시'!$D$3:INDEX('자료_거시'!$D$3:$D$4002,$K$6),1)),""),"")</f>
        <v/>
      </c>
      <c r="U3193">
        <f>IF(ISNUMBER(T3193),'자료_거시'!$D3175,"")</f>
        <v/>
      </c>
      <c r="V3193">
        <f>IF(ISNUMBER(U3193),IF(U3193&gt;$L$6,T3193,""),"")</f>
        <v/>
      </c>
      <c r="W3193">
        <f>IF(AND(ISNUMBER('자료_거시'!$G3175),ISNUMBER('자료_거시'!$H3175)),'자료_거시'!$H3175,"")</f>
        <v/>
      </c>
      <c r="X3193">
        <f>IF(ISNUMBER(W3193),'자료_거시'!$G3175,"")</f>
        <v/>
      </c>
      <c r="Y3193">
        <f>IF(ISNUMBER(X3193),IF(X3193&gt;$L$7,W3193,""),"")</f>
        <v/>
      </c>
      <c r="Z3193">
        <f>IF(ISNUMBER('자료_거시'!$K3175),'자료_거시'!$K3175,Z3192)</f>
        <v/>
      </c>
      <c r="AA3193">
        <f>IF(AND(ISNUMBER('자료_거시'!$J3175),ISNUMBER('자료_거시'!$K3175)),IFERROR('자료_거시'!$K3175/INDEX($Z$21:$Z$4020,MATCH(EDATE('자료_거시'!$J3175,-'설정'!$B$17),'자료_거시'!$J$3:INDEX('자료_거시'!$J$3:$J$4002,$K$8),1))-1,""),"")</f>
        <v/>
      </c>
      <c r="AB3193">
        <f>IF(ISNUMBER(AA3193),'자료_거시'!$J3175,"")</f>
        <v/>
      </c>
      <c r="AC3193">
        <f>IF(ISNUMBER(AB3193),IF(AB3193&gt;$L$8,AA3193,""),"")</f>
        <v/>
      </c>
    </row>
    <row r="3194">
      <c r="S3194">
        <f>IF(ISNUMBER('자료_거시'!$E3176),'자료_거시'!$E3176,S3193)</f>
        <v/>
      </c>
      <c r="T3194">
        <f>IF(AND(ISNUMBER('자료_거시'!$D3176),ISNUMBER('자료_거시'!$E3176)),IFERROR('자료_거시'!$E3176-INDEX($S$21:$S$4020,MATCH(EDATE('자료_거시'!$D3176,-'설정'!$B$17),'자료_거시'!$D$3:INDEX('자료_거시'!$D$3:$D$4002,$K$6),1)),""),"")</f>
        <v/>
      </c>
      <c r="U3194">
        <f>IF(ISNUMBER(T3194),'자료_거시'!$D3176,"")</f>
        <v/>
      </c>
      <c r="V3194">
        <f>IF(ISNUMBER(U3194),IF(U3194&gt;$L$6,T3194,""),"")</f>
        <v/>
      </c>
      <c r="W3194">
        <f>IF(AND(ISNUMBER('자료_거시'!$G3176),ISNUMBER('자료_거시'!$H3176)),'자료_거시'!$H3176,"")</f>
        <v/>
      </c>
      <c r="X3194">
        <f>IF(ISNUMBER(W3194),'자료_거시'!$G3176,"")</f>
        <v/>
      </c>
      <c r="Y3194">
        <f>IF(ISNUMBER(X3194),IF(X3194&gt;$L$7,W3194,""),"")</f>
        <v/>
      </c>
      <c r="Z3194">
        <f>IF(ISNUMBER('자료_거시'!$K3176),'자료_거시'!$K3176,Z3193)</f>
        <v/>
      </c>
      <c r="AA3194">
        <f>IF(AND(ISNUMBER('자료_거시'!$J3176),ISNUMBER('자료_거시'!$K3176)),IFERROR('자료_거시'!$K3176/INDEX($Z$21:$Z$4020,MATCH(EDATE('자료_거시'!$J3176,-'설정'!$B$17),'자료_거시'!$J$3:INDEX('자료_거시'!$J$3:$J$4002,$K$8),1))-1,""),"")</f>
        <v/>
      </c>
      <c r="AB3194">
        <f>IF(ISNUMBER(AA3194),'자료_거시'!$J3176,"")</f>
        <v/>
      </c>
      <c r="AC3194">
        <f>IF(ISNUMBER(AB3194),IF(AB3194&gt;$L$8,AA3194,""),"")</f>
        <v/>
      </c>
    </row>
    <row r="3195">
      <c r="S3195">
        <f>IF(ISNUMBER('자료_거시'!$E3177),'자료_거시'!$E3177,S3194)</f>
        <v/>
      </c>
      <c r="T3195">
        <f>IF(AND(ISNUMBER('자료_거시'!$D3177),ISNUMBER('자료_거시'!$E3177)),IFERROR('자료_거시'!$E3177-INDEX($S$21:$S$4020,MATCH(EDATE('자료_거시'!$D3177,-'설정'!$B$17),'자료_거시'!$D$3:INDEX('자료_거시'!$D$3:$D$4002,$K$6),1)),""),"")</f>
        <v/>
      </c>
      <c r="U3195">
        <f>IF(ISNUMBER(T3195),'자료_거시'!$D3177,"")</f>
        <v/>
      </c>
      <c r="V3195">
        <f>IF(ISNUMBER(U3195),IF(U3195&gt;$L$6,T3195,""),"")</f>
        <v/>
      </c>
      <c r="W3195">
        <f>IF(AND(ISNUMBER('자료_거시'!$G3177),ISNUMBER('자료_거시'!$H3177)),'자료_거시'!$H3177,"")</f>
        <v/>
      </c>
      <c r="X3195">
        <f>IF(ISNUMBER(W3195),'자료_거시'!$G3177,"")</f>
        <v/>
      </c>
      <c r="Y3195">
        <f>IF(ISNUMBER(X3195),IF(X3195&gt;$L$7,W3195,""),"")</f>
        <v/>
      </c>
      <c r="Z3195">
        <f>IF(ISNUMBER('자료_거시'!$K3177),'자료_거시'!$K3177,Z3194)</f>
        <v/>
      </c>
      <c r="AA3195">
        <f>IF(AND(ISNUMBER('자료_거시'!$J3177),ISNUMBER('자료_거시'!$K3177)),IFERROR('자료_거시'!$K3177/INDEX($Z$21:$Z$4020,MATCH(EDATE('자료_거시'!$J3177,-'설정'!$B$17),'자료_거시'!$J$3:INDEX('자료_거시'!$J$3:$J$4002,$K$8),1))-1,""),"")</f>
        <v/>
      </c>
      <c r="AB3195">
        <f>IF(ISNUMBER(AA3195),'자료_거시'!$J3177,"")</f>
        <v/>
      </c>
      <c r="AC3195">
        <f>IF(ISNUMBER(AB3195),IF(AB3195&gt;$L$8,AA3195,""),"")</f>
        <v/>
      </c>
    </row>
    <row r="3196">
      <c r="S3196">
        <f>IF(ISNUMBER('자료_거시'!$E3178),'자료_거시'!$E3178,S3195)</f>
        <v/>
      </c>
      <c r="T3196">
        <f>IF(AND(ISNUMBER('자료_거시'!$D3178),ISNUMBER('자료_거시'!$E3178)),IFERROR('자료_거시'!$E3178-INDEX($S$21:$S$4020,MATCH(EDATE('자료_거시'!$D3178,-'설정'!$B$17),'자료_거시'!$D$3:INDEX('자료_거시'!$D$3:$D$4002,$K$6),1)),""),"")</f>
        <v/>
      </c>
      <c r="U3196">
        <f>IF(ISNUMBER(T3196),'자료_거시'!$D3178,"")</f>
        <v/>
      </c>
      <c r="V3196">
        <f>IF(ISNUMBER(U3196),IF(U3196&gt;$L$6,T3196,""),"")</f>
        <v/>
      </c>
      <c r="W3196">
        <f>IF(AND(ISNUMBER('자료_거시'!$G3178),ISNUMBER('자료_거시'!$H3178)),'자료_거시'!$H3178,"")</f>
        <v/>
      </c>
      <c r="X3196">
        <f>IF(ISNUMBER(W3196),'자료_거시'!$G3178,"")</f>
        <v/>
      </c>
      <c r="Y3196">
        <f>IF(ISNUMBER(X3196),IF(X3196&gt;$L$7,W3196,""),"")</f>
        <v/>
      </c>
      <c r="Z3196">
        <f>IF(ISNUMBER('자료_거시'!$K3178),'자료_거시'!$K3178,Z3195)</f>
        <v/>
      </c>
      <c r="AA3196">
        <f>IF(AND(ISNUMBER('자료_거시'!$J3178),ISNUMBER('자료_거시'!$K3178)),IFERROR('자료_거시'!$K3178/INDEX($Z$21:$Z$4020,MATCH(EDATE('자료_거시'!$J3178,-'설정'!$B$17),'자료_거시'!$J$3:INDEX('자료_거시'!$J$3:$J$4002,$K$8),1))-1,""),"")</f>
        <v/>
      </c>
      <c r="AB3196">
        <f>IF(ISNUMBER(AA3196),'자료_거시'!$J3178,"")</f>
        <v/>
      </c>
      <c r="AC3196">
        <f>IF(ISNUMBER(AB3196),IF(AB3196&gt;$L$8,AA3196,""),"")</f>
        <v/>
      </c>
    </row>
    <row r="3197">
      <c r="S3197">
        <f>IF(ISNUMBER('자료_거시'!$E3179),'자료_거시'!$E3179,S3196)</f>
        <v/>
      </c>
      <c r="T3197">
        <f>IF(AND(ISNUMBER('자료_거시'!$D3179),ISNUMBER('자료_거시'!$E3179)),IFERROR('자료_거시'!$E3179-INDEX($S$21:$S$4020,MATCH(EDATE('자료_거시'!$D3179,-'설정'!$B$17),'자료_거시'!$D$3:INDEX('자료_거시'!$D$3:$D$4002,$K$6),1)),""),"")</f>
        <v/>
      </c>
      <c r="U3197">
        <f>IF(ISNUMBER(T3197),'자료_거시'!$D3179,"")</f>
        <v/>
      </c>
      <c r="V3197">
        <f>IF(ISNUMBER(U3197),IF(U3197&gt;$L$6,T3197,""),"")</f>
        <v/>
      </c>
      <c r="W3197">
        <f>IF(AND(ISNUMBER('자료_거시'!$G3179),ISNUMBER('자료_거시'!$H3179)),'자료_거시'!$H3179,"")</f>
        <v/>
      </c>
      <c r="X3197">
        <f>IF(ISNUMBER(W3197),'자료_거시'!$G3179,"")</f>
        <v/>
      </c>
      <c r="Y3197">
        <f>IF(ISNUMBER(X3197),IF(X3197&gt;$L$7,W3197,""),"")</f>
        <v/>
      </c>
      <c r="Z3197">
        <f>IF(ISNUMBER('자료_거시'!$K3179),'자료_거시'!$K3179,Z3196)</f>
        <v/>
      </c>
      <c r="AA3197">
        <f>IF(AND(ISNUMBER('자료_거시'!$J3179),ISNUMBER('자료_거시'!$K3179)),IFERROR('자료_거시'!$K3179/INDEX($Z$21:$Z$4020,MATCH(EDATE('자료_거시'!$J3179,-'설정'!$B$17),'자료_거시'!$J$3:INDEX('자료_거시'!$J$3:$J$4002,$K$8),1))-1,""),"")</f>
        <v/>
      </c>
      <c r="AB3197">
        <f>IF(ISNUMBER(AA3197),'자료_거시'!$J3179,"")</f>
        <v/>
      </c>
      <c r="AC3197">
        <f>IF(ISNUMBER(AB3197),IF(AB3197&gt;$L$8,AA3197,""),"")</f>
        <v/>
      </c>
    </row>
    <row r="3198">
      <c r="S3198">
        <f>IF(ISNUMBER('자료_거시'!$E3180),'자료_거시'!$E3180,S3197)</f>
        <v/>
      </c>
      <c r="T3198">
        <f>IF(AND(ISNUMBER('자료_거시'!$D3180),ISNUMBER('자료_거시'!$E3180)),IFERROR('자료_거시'!$E3180-INDEX($S$21:$S$4020,MATCH(EDATE('자료_거시'!$D3180,-'설정'!$B$17),'자료_거시'!$D$3:INDEX('자료_거시'!$D$3:$D$4002,$K$6),1)),""),"")</f>
        <v/>
      </c>
      <c r="U3198">
        <f>IF(ISNUMBER(T3198),'자료_거시'!$D3180,"")</f>
        <v/>
      </c>
      <c r="V3198">
        <f>IF(ISNUMBER(U3198),IF(U3198&gt;$L$6,T3198,""),"")</f>
        <v/>
      </c>
      <c r="W3198">
        <f>IF(AND(ISNUMBER('자료_거시'!$G3180),ISNUMBER('자료_거시'!$H3180)),'자료_거시'!$H3180,"")</f>
        <v/>
      </c>
      <c r="X3198">
        <f>IF(ISNUMBER(W3198),'자료_거시'!$G3180,"")</f>
        <v/>
      </c>
      <c r="Y3198">
        <f>IF(ISNUMBER(X3198),IF(X3198&gt;$L$7,W3198,""),"")</f>
        <v/>
      </c>
      <c r="Z3198">
        <f>IF(ISNUMBER('자료_거시'!$K3180),'자료_거시'!$K3180,Z3197)</f>
        <v/>
      </c>
      <c r="AA3198">
        <f>IF(AND(ISNUMBER('자료_거시'!$J3180),ISNUMBER('자료_거시'!$K3180)),IFERROR('자료_거시'!$K3180/INDEX($Z$21:$Z$4020,MATCH(EDATE('자료_거시'!$J3180,-'설정'!$B$17),'자료_거시'!$J$3:INDEX('자료_거시'!$J$3:$J$4002,$K$8),1))-1,""),"")</f>
        <v/>
      </c>
      <c r="AB3198">
        <f>IF(ISNUMBER(AA3198),'자료_거시'!$J3180,"")</f>
        <v/>
      </c>
      <c r="AC3198">
        <f>IF(ISNUMBER(AB3198),IF(AB3198&gt;$L$8,AA3198,""),"")</f>
        <v/>
      </c>
    </row>
    <row r="3199">
      <c r="S3199">
        <f>IF(ISNUMBER('자료_거시'!$E3181),'자료_거시'!$E3181,S3198)</f>
        <v/>
      </c>
      <c r="T3199">
        <f>IF(AND(ISNUMBER('자료_거시'!$D3181),ISNUMBER('자료_거시'!$E3181)),IFERROR('자료_거시'!$E3181-INDEX($S$21:$S$4020,MATCH(EDATE('자료_거시'!$D3181,-'설정'!$B$17),'자료_거시'!$D$3:INDEX('자료_거시'!$D$3:$D$4002,$K$6),1)),""),"")</f>
        <v/>
      </c>
      <c r="U3199">
        <f>IF(ISNUMBER(T3199),'자료_거시'!$D3181,"")</f>
        <v/>
      </c>
      <c r="V3199">
        <f>IF(ISNUMBER(U3199),IF(U3199&gt;$L$6,T3199,""),"")</f>
        <v/>
      </c>
      <c r="W3199">
        <f>IF(AND(ISNUMBER('자료_거시'!$G3181),ISNUMBER('자료_거시'!$H3181)),'자료_거시'!$H3181,"")</f>
        <v/>
      </c>
      <c r="X3199">
        <f>IF(ISNUMBER(W3199),'자료_거시'!$G3181,"")</f>
        <v/>
      </c>
      <c r="Y3199">
        <f>IF(ISNUMBER(X3199),IF(X3199&gt;$L$7,W3199,""),"")</f>
        <v/>
      </c>
      <c r="Z3199">
        <f>IF(ISNUMBER('자료_거시'!$K3181),'자료_거시'!$K3181,Z3198)</f>
        <v/>
      </c>
      <c r="AA3199">
        <f>IF(AND(ISNUMBER('자료_거시'!$J3181),ISNUMBER('자료_거시'!$K3181)),IFERROR('자료_거시'!$K3181/INDEX($Z$21:$Z$4020,MATCH(EDATE('자료_거시'!$J3181,-'설정'!$B$17),'자료_거시'!$J$3:INDEX('자료_거시'!$J$3:$J$4002,$K$8),1))-1,""),"")</f>
        <v/>
      </c>
      <c r="AB3199">
        <f>IF(ISNUMBER(AA3199),'자료_거시'!$J3181,"")</f>
        <v/>
      </c>
      <c r="AC3199">
        <f>IF(ISNUMBER(AB3199),IF(AB3199&gt;$L$8,AA3199,""),"")</f>
        <v/>
      </c>
    </row>
    <row r="3200">
      <c r="S3200">
        <f>IF(ISNUMBER('자료_거시'!$E3182),'자료_거시'!$E3182,S3199)</f>
        <v/>
      </c>
      <c r="T3200">
        <f>IF(AND(ISNUMBER('자료_거시'!$D3182),ISNUMBER('자료_거시'!$E3182)),IFERROR('자료_거시'!$E3182-INDEX($S$21:$S$4020,MATCH(EDATE('자료_거시'!$D3182,-'설정'!$B$17),'자료_거시'!$D$3:INDEX('자료_거시'!$D$3:$D$4002,$K$6),1)),""),"")</f>
        <v/>
      </c>
      <c r="U3200">
        <f>IF(ISNUMBER(T3200),'자료_거시'!$D3182,"")</f>
        <v/>
      </c>
      <c r="V3200">
        <f>IF(ISNUMBER(U3200),IF(U3200&gt;$L$6,T3200,""),"")</f>
        <v/>
      </c>
      <c r="W3200">
        <f>IF(AND(ISNUMBER('자료_거시'!$G3182),ISNUMBER('자료_거시'!$H3182)),'자료_거시'!$H3182,"")</f>
        <v/>
      </c>
      <c r="X3200">
        <f>IF(ISNUMBER(W3200),'자료_거시'!$G3182,"")</f>
        <v/>
      </c>
      <c r="Y3200">
        <f>IF(ISNUMBER(X3200),IF(X3200&gt;$L$7,W3200,""),"")</f>
        <v/>
      </c>
      <c r="Z3200">
        <f>IF(ISNUMBER('자료_거시'!$K3182),'자료_거시'!$K3182,Z3199)</f>
        <v/>
      </c>
      <c r="AA3200">
        <f>IF(AND(ISNUMBER('자료_거시'!$J3182),ISNUMBER('자료_거시'!$K3182)),IFERROR('자료_거시'!$K3182/INDEX($Z$21:$Z$4020,MATCH(EDATE('자료_거시'!$J3182,-'설정'!$B$17),'자료_거시'!$J$3:INDEX('자료_거시'!$J$3:$J$4002,$K$8),1))-1,""),"")</f>
        <v/>
      </c>
      <c r="AB3200">
        <f>IF(ISNUMBER(AA3200),'자료_거시'!$J3182,"")</f>
        <v/>
      </c>
      <c r="AC3200">
        <f>IF(ISNUMBER(AB3200),IF(AB3200&gt;$L$8,AA3200,""),"")</f>
        <v/>
      </c>
    </row>
    <row r="3201">
      <c r="S3201">
        <f>IF(ISNUMBER('자료_거시'!$E3183),'자료_거시'!$E3183,S3200)</f>
        <v/>
      </c>
      <c r="T3201">
        <f>IF(AND(ISNUMBER('자료_거시'!$D3183),ISNUMBER('자료_거시'!$E3183)),IFERROR('자료_거시'!$E3183-INDEX($S$21:$S$4020,MATCH(EDATE('자료_거시'!$D3183,-'설정'!$B$17),'자료_거시'!$D$3:INDEX('자료_거시'!$D$3:$D$4002,$K$6),1)),""),"")</f>
        <v/>
      </c>
      <c r="U3201">
        <f>IF(ISNUMBER(T3201),'자료_거시'!$D3183,"")</f>
        <v/>
      </c>
      <c r="V3201">
        <f>IF(ISNUMBER(U3201),IF(U3201&gt;$L$6,T3201,""),"")</f>
        <v/>
      </c>
      <c r="W3201">
        <f>IF(AND(ISNUMBER('자료_거시'!$G3183),ISNUMBER('자료_거시'!$H3183)),'자료_거시'!$H3183,"")</f>
        <v/>
      </c>
      <c r="X3201">
        <f>IF(ISNUMBER(W3201),'자료_거시'!$G3183,"")</f>
        <v/>
      </c>
      <c r="Y3201">
        <f>IF(ISNUMBER(X3201),IF(X3201&gt;$L$7,W3201,""),"")</f>
        <v/>
      </c>
      <c r="Z3201">
        <f>IF(ISNUMBER('자료_거시'!$K3183),'자료_거시'!$K3183,Z3200)</f>
        <v/>
      </c>
      <c r="AA3201">
        <f>IF(AND(ISNUMBER('자료_거시'!$J3183),ISNUMBER('자료_거시'!$K3183)),IFERROR('자료_거시'!$K3183/INDEX($Z$21:$Z$4020,MATCH(EDATE('자료_거시'!$J3183,-'설정'!$B$17),'자료_거시'!$J$3:INDEX('자료_거시'!$J$3:$J$4002,$K$8),1))-1,""),"")</f>
        <v/>
      </c>
      <c r="AB3201">
        <f>IF(ISNUMBER(AA3201),'자료_거시'!$J3183,"")</f>
        <v/>
      </c>
      <c r="AC3201">
        <f>IF(ISNUMBER(AB3201),IF(AB3201&gt;$L$8,AA3201,""),"")</f>
        <v/>
      </c>
    </row>
    <row r="3202">
      <c r="S3202">
        <f>IF(ISNUMBER('자료_거시'!$E3184),'자료_거시'!$E3184,S3201)</f>
        <v/>
      </c>
      <c r="T3202">
        <f>IF(AND(ISNUMBER('자료_거시'!$D3184),ISNUMBER('자료_거시'!$E3184)),IFERROR('자료_거시'!$E3184-INDEX($S$21:$S$4020,MATCH(EDATE('자료_거시'!$D3184,-'설정'!$B$17),'자료_거시'!$D$3:INDEX('자료_거시'!$D$3:$D$4002,$K$6),1)),""),"")</f>
        <v/>
      </c>
      <c r="U3202">
        <f>IF(ISNUMBER(T3202),'자료_거시'!$D3184,"")</f>
        <v/>
      </c>
      <c r="V3202">
        <f>IF(ISNUMBER(U3202),IF(U3202&gt;$L$6,T3202,""),"")</f>
        <v/>
      </c>
      <c r="W3202">
        <f>IF(AND(ISNUMBER('자료_거시'!$G3184),ISNUMBER('자료_거시'!$H3184)),'자료_거시'!$H3184,"")</f>
        <v/>
      </c>
      <c r="X3202">
        <f>IF(ISNUMBER(W3202),'자료_거시'!$G3184,"")</f>
        <v/>
      </c>
      <c r="Y3202">
        <f>IF(ISNUMBER(X3202),IF(X3202&gt;$L$7,W3202,""),"")</f>
        <v/>
      </c>
      <c r="Z3202">
        <f>IF(ISNUMBER('자료_거시'!$K3184),'자료_거시'!$K3184,Z3201)</f>
        <v/>
      </c>
      <c r="AA3202">
        <f>IF(AND(ISNUMBER('자료_거시'!$J3184),ISNUMBER('자료_거시'!$K3184)),IFERROR('자료_거시'!$K3184/INDEX($Z$21:$Z$4020,MATCH(EDATE('자료_거시'!$J3184,-'설정'!$B$17),'자료_거시'!$J$3:INDEX('자료_거시'!$J$3:$J$4002,$K$8),1))-1,""),"")</f>
        <v/>
      </c>
      <c r="AB3202">
        <f>IF(ISNUMBER(AA3202),'자료_거시'!$J3184,"")</f>
        <v/>
      </c>
      <c r="AC3202">
        <f>IF(ISNUMBER(AB3202),IF(AB3202&gt;$L$8,AA3202,""),"")</f>
        <v/>
      </c>
    </row>
    <row r="3203">
      <c r="S3203">
        <f>IF(ISNUMBER('자료_거시'!$E3185),'자료_거시'!$E3185,S3202)</f>
        <v/>
      </c>
      <c r="T3203">
        <f>IF(AND(ISNUMBER('자료_거시'!$D3185),ISNUMBER('자료_거시'!$E3185)),IFERROR('자료_거시'!$E3185-INDEX($S$21:$S$4020,MATCH(EDATE('자료_거시'!$D3185,-'설정'!$B$17),'자료_거시'!$D$3:INDEX('자료_거시'!$D$3:$D$4002,$K$6),1)),""),"")</f>
        <v/>
      </c>
      <c r="U3203">
        <f>IF(ISNUMBER(T3203),'자료_거시'!$D3185,"")</f>
        <v/>
      </c>
      <c r="V3203">
        <f>IF(ISNUMBER(U3203),IF(U3203&gt;$L$6,T3203,""),"")</f>
        <v/>
      </c>
      <c r="W3203">
        <f>IF(AND(ISNUMBER('자료_거시'!$G3185),ISNUMBER('자료_거시'!$H3185)),'자료_거시'!$H3185,"")</f>
        <v/>
      </c>
      <c r="X3203">
        <f>IF(ISNUMBER(W3203),'자료_거시'!$G3185,"")</f>
        <v/>
      </c>
      <c r="Y3203">
        <f>IF(ISNUMBER(X3203),IF(X3203&gt;$L$7,W3203,""),"")</f>
        <v/>
      </c>
      <c r="Z3203">
        <f>IF(ISNUMBER('자료_거시'!$K3185),'자료_거시'!$K3185,Z3202)</f>
        <v/>
      </c>
      <c r="AA3203">
        <f>IF(AND(ISNUMBER('자료_거시'!$J3185),ISNUMBER('자료_거시'!$K3185)),IFERROR('자료_거시'!$K3185/INDEX($Z$21:$Z$4020,MATCH(EDATE('자료_거시'!$J3185,-'설정'!$B$17),'자료_거시'!$J$3:INDEX('자료_거시'!$J$3:$J$4002,$K$8),1))-1,""),"")</f>
        <v/>
      </c>
      <c r="AB3203">
        <f>IF(ISNUMBER(AA3203),'자료_거시'!$J3185,"")</f>
        <v/>
      </c>
      <c r="AC3203">
        <f>IF(ISNUMBER(AB3203),IF(AB3203&gt;$L$8,AA3203,""),"")</f>
        <v/>
      </c>
    </row>
    <row r="3204">
      <c r="S3204">
        <f>IF(ISNUMBER('자료_거시'!$E3186),'자료_거시'!$E3186,S3203)</f>
        <v/>
      </c>
      <c r="T3204">
        <f>IF(AND(ISNUMBER('자료_거시'!$D3186),ISNUMBER('자료_거시'!$E3186)),IFERROR('자료_거시'!$E3186-INDEX($S$21:$S$4020,MATCH(EDATE('자료_거시'!$D3186,-'설정'!$B$17),'자료_거시'!$D$3:INDEX('자료_거시'!$D$3:$D$4002,$K$6),1)),""),"")</f>
        <v/>
      </c>
      <c r="U3204">
        <f>IF(ISNUMBER(T3204),'자료_거시'!$D3186,"")</f>
        <v/>
      </c>
      <c r="V3204">
        <f>IF(ISNUMBER(U3204),IF(U3204&gt;$L$6,T3204,""),"")</f>
        <v/>
      </c>
      <c r="W3204">
        <f>IF(AND(ISNUMBER('자료_거시'!$G3186),ISNUMBER('자료_거시'!$H3186)),'자료_거시'!$H3186,"")</f>
        <v/>
      </c>
      <c r="X3204">
        <f>IF(ISNUMBER(W3204),'자료_거시'!$G3186,"")</f>
        <v/>
      </c>
      <c r="Y3204">
        <f>IF(ISNUMBER(X3204),IF(X3204&gt;$L$7,W3204,""),"")</f>
        <v/>
      </c>
      <c r="Z3204">
        <f>IF(ISNUMBER('자료_거시'!$K3186),'자료_거시'!$K3186,Z3203)</f>
        <v/>
      </c>
      <c r="AA3204">
        <f>IF(AND(ISNUMBER('자료_거시'!$J3186),ISNUMBER('자료_거시'!$K3186)),IFERROR('자료_거시'!$K3186/INDEX($Z$21:$Z$4020,MATCH(EDATE('자료_거시'!$J3186,-'설정'!$B$17),'자료_거시'!$J$3:INDEX('자료_거시'!$J$3:$J$4002,$K$8),1))-1,""),"")</f>
        <v/>
      </c>
      <c r="AB3204">
        <f>IF(ISNUMBER(AA3204),'자료_거시'!$J3186,"")</f>
        <v/>
      </c>
      <c r="AC3204">
        <f>IF(ISNUMBER(AB3204),IF(AB3204&gt;$L$8,AA3204,""),"")</f>
        <v/>
      </c>
    </row>
    <row r="3205">
      <c r="S3205">
        <f>IF(ISNUMBER('자료_거시'!$E3187),'자료_거시'!$E3187,S3204)</f>
        <v/>
      </c>
      <c r="T3205">
        <f>IF(AND(ISNUMBER('자료_거시'!$D3187),ISNUMBER('자료_거시'!$E3187)),IFERROR('자료_거시'!$E3187-INDEX($S$21:$S$4020,MATCH(EDATE('자료_거시'!$D3187,-'설정'!$B$17),'자료_거시'!$D$3:INDEX('자료_거시'!$D$3:$D$4002,$K$6),1)),""),"")</f>
        <v/>
      </c>
      <c r="U3205">
        <f>IF(ISNUMBER(T3205),'자료_거시'!$D3187,"")</f>
        <v/>
      </c>
      <c r="V3205">
        <f>IF(ISNUMBER(U3205),IF(U3205&gt;$L$6,T3205,""),"")</f>
        <v/>
      </c>
      <c r="W3205">
        <f>IF(AND(ISNUMBER('자료_거시'!$G3187),ISNUMBER('자료_거시'!$H3187)),'자료_거시'!$H3187,"")</f>
        <v/>
      </c>
      <c r="X3205">
        <f>IF(ISNUMBER(W3205),'자료_거시'!$G3187,"")</f>
        <v/>
      </c>
      <c r="Y3205">
        <f>IF(ISNUMBER(X3205),IF(X3205&gt;$L$7,W3205,""),"")</f>
        <v/>
      </c>
      <c r="Z3205">
        <f>IF(ISNUMBER('자료_거시'!$K3187),'자료_거시'!$K3187,Z3204)</f>
        <v/>
      </c>
      <c r="AA3205">
        <f>IF(AND(ISNUMBER('자료_거시'!$J3187),ISNUMBER('자료_거시'!$K3187)),IFERROR('자료_거시'!$K3187/INDEX($Z$21:$Z$4020,MATCH(EDATE('자료_거시'!$J3187,-'설정'!$B$17),'자료_거시'!$J$3:INDEX('자료_거시'!$J$3:$J$4002,$K$8),1))-1,""),"")</f>
        <v/>
      </c>
      <c r="AB3205">
        <f>IF(ISNUMBER(AA3205),'자료_거시'!$J3187,"")</f>
        <v/>
      </c>
      <c r="AC3205">
        <f>IF(ISNUMBER(AB3205),IF(AB3205&gt;$L$8,AA3205,""),"")</f>
        <v/>
      </c>
    </row>
    <row r="3206">
      <c r="S3206">
        <f>IF(ISNUMBER('자료_거시'!$E3188),'자료_거시'!$E3188,S3205)</f>
        <v/>
      </c>
      <c r="T3206">
        <f>IF(AND(ISNUMBER('자료_거시'!$D3188),ISNUMBER('자료_거시'!$E3188)),IFERROR('자료_거시'!$E3188-INDEX($S$21:$S$4020,MATCH(EDATE('자료_거시'!$D3188,-'설정'!$B$17),'자료_거시'!$D$3:INDEX('자료_거시'!$D$3:$D$4002,$K$6),1)),""),"")</f>
        <v/>
      </c>
      <c r="U3206">
        <f>IF(ISNUMBER(T3206),'자료_거시'!$D3188,"")</f>
        <v/>
      </c>
      <c r="V3206">
        <f>IF(ISNUMBER(U3206),IF(U3206&gt;$L$6,T3206,""),"")</f>
        <v/>
      </c>
      <c r="W3206">
        <f>IF(AND(ISNUMBER('자료_거시'!$G3188),ISNUMBER('자료_거시'!$H3188)),'자료_거시'!$H3188,"")</f>
        <v/>
      </c>
      <c r="X3206">
        <f>IF(ISNUMBER(W3206),'자료_거시'!$G3188,"")</f>
        <v/>
      </c>
      <c r="Y3206">
        <f>IF(ISNUMBER(X3206),IF(X3206&gt;$L$7,W3206,""),"")</f>
        <v/>
      </c>
      <c r="Z3206">
        <f>IF(ISNUMBER('자료_거시'!$K3188),'자료_거시'!$K3188,Z3205)</f>
        <v/>
      </c>
      <c r="AA3206">
        <f>IF(AND(ISNUMBER('자료_거시'!$J3188),ISNUMBER('자료_거시'!$K3188)),IFERROR('자료_거시'!$K3188/INDEX($Z$21:$Z$4020,MATCH(EDATE('자료_거시'!$J3188,-'설정'!$B$17),'자료_거시'!$J$3:INDEX('자료_거시'!$J$3:$J$4002,$K$8),1))-1,""),"")</f>
        <v/>
      </c>
      <c r="AB3206">
        <f>IF(ISNUMBER(AA3206),'자료_거시'!$J3188,"")</f>
        <v/>
      </c>
      <c r="AC3206">
        <f>IF(ISNUMBER(AB3206),IF(AB3206&gt;$L$8,AA3206,""),"")</f>
        <v/>
      </c>
    </row>
    <row r="3207">
      <c r="S3207">
        <f>IF(ISNUMBER('자료_거시'!$E3189),'자료_거시'!$E3189,S3206)</f>
        <v/>
      </c>
      <c r="T3207">
        <f>IF(AND(ISNUMBER('자료_거시'!$D3189),ISNUMBER('자료_거시'!$E3189)),IFERROR('자료_거시'!$E3189-INDEX($S$21:$S$4020,MATCH(EDATE('자료_거시'!$D3189,-'설정'!$B$17),'자료_거시'!$D$3:INDEX('자료_거시'!$D$3:$D$4002,$K$6),1)),""),"")</f>
        <v/>
      </c>
      <c r="U3207">
        <f>IF(ISNUMBER(T3207),'자료_거시'!$D3189,"")</f>
        <v/>
      </c>
      <c r="V3207">
        <f>IF(ISNUMBER(U3207),IF(U3207&gt;$L$6,T3207,""),"")</f>
        <v/>
      </c>
      <c r="W3207">
        <f>IF(AND(ISNUMBER('자료_거시'!$G3189),ISNUMBER('자료_거시'!$H3189)),'자료_거시'!$H3189,"")</f>
        <v/>
      </c>
      <c r="X3207">
        <f>IF(ISNUMBER(W3207),'자료_거시'!$G3189,"")</f>
        <v/>
      </c>
      <c r="Y3207">
        <f>IF(ISNUMBER(X3207),IF(X3207&gt;$L$7,W3207,""),"")</f>
        <v/>
      </c>
      <c r="Z3207">
        <f>IF(ISNUMBER('자료_거시'!$K3189),'자료_거시'!$K3189,Z3206)</f>
        <v/>
      </c>
      <c r="AA3207">
        <f>IF(AND(ISNUMBER('자료_거시'!$J3189),ISNUMBER('자료_거시'!$K3189)),IFERROR('자료_거시'!$K3189/INDEX($Z$21:$Z$4020,MATCH(EDATE('자료_거시'!$J3189,-'설정'!$B$17),'자료_거시'!$J$3:INDEX('자료_거시'!$J$3:$J$4002,$K$8),1))-1,""),"")</f>
        <v/>
      </c>
      <c r="AB3207">
        <f>IF(ISNUMBER(AA3207),'자료_거시'!$J3189,"")</f>
        <v/>
      </c>
      <c r="AC3207">
        <f>IF(ISNUMBER(AB3207),IF(AB3207&gt;$L$8,AA3207,""),"")</f>
        <v/>
      </c>
    </row>
    <row r="3208">
      <c r="S3208">
        <f>IF(ISNUMBER('자료_거시'!$E3190),'자료_거시'!$E3190,S3207)</f>
        <v/>
      </c>
      <c r="T3208">
        <f>IF(AND(ISNUMBER('자료_거시'!$D3190),ISNUMBER('자료_거시'!$E3190)),IFERROR('자료_거시'!$E3190-INDEX($S$21:$S$4020,MATCH(EDATE('자료_거시'!$D3190,-'설정'!$B$17),'자료_거시'!$D$3:INDEX('자료_거시'!$D$3:$D$4002,$K$6),1)),""),"")</f>
        <v/>
      </c>
      <c r="U3208">
        <f>IF(ISNUMBER(T3208),'자료_거시'!$D3190,"")</f>
        <v/>
      </c>
      <c r="V3208">
        <f>IF(ISNUMBER(U3208),IF(U3208&gt;$L$6,T3208,""),"")</f>
        <v/>
      </c>
      <c r="W3208">
        <f>IF(AND(ISNUMBER('자료_거시'!$G3190),ISNUMBER('자료_거시'!$H3190)),'자료_거시'!$H3190,"")</f>
        <v/>
      </c>
      <c r="X3208">
        <f>IF(ISNUMBER(W3208),'자료_거시'!$G3190,"")</f>
        <v/>
      </c>
      <c r="Y3208">
        <f>IF(ISNUMBER(X3208),IF(X3208&gt;$L$7,W3208,""),"")</f>
        <v/>
      </c>
      <c r="Z3208">
        <f>IF(ISNUMBER('자료_거시'!$K3190),'자료_거시'!$K3190,Z3207)</f>
        <v/>
      </c>
      <c r="AA3208">
        <f>IF(AND(ISNUMBER('자료_거시'!$J3190),ISNUMBER('자료_거시'!$K3190)),IFERROR('자료_거시'!$K3190/INDEX($Z$21:$Z$4020,MATCH(EDATE('자료_거시'!$J3190,-'설정'!$B$17),'자료_거시'!$J$3:INDEX('자료_거시'!$J$3:$J$4002,$K$8),1))-1,""),"")</f>
        <v/>
      </c>
      <c r="AB3208">
        <f>IF(ISNUMBER(AA3208),'자료_거시'!$J3190,"")</f>
        <v/>
      </c>
      <c r="AC3208">
        <f>IF(ISNUMBER(AB3208),IF(AB3208&gt;$L$8,AA3208,""),"")</f>
        <v/>
      </c>
    </row>
    <row r="3209">
      <c r="S3209">
        <f>IF(ISNUMBER('자료_거시'!$E3191),'자료_거시'!$E3191,S3208)</f>
        <v/>
      </c>
      <c r="T3209">
        <f>IF(AND(ISNUMBER('자료_거시'!$D3191),ISNUMBER('자료_거시'!$E3191)),IFERROR('자료_거시'!$E3191-INDEX($S$21:$S$4020,MATCH(EDATE('자료_거시'!$D3191,-'설정'!$B$17),'자료_거시'!$D$3:INDEX('자료_거시'!$D$3:$D$4002,$K$6),1)),""),"")</f>
        <v/>
      </c>
      <c r="U3209">
        <f>IF(ISNUMBER(T3209),'자료_거시'!$D3191,"")</f>
        <v/>
      </c>
      <c r="V3209">
        <f>IF(ISNUMBER(U3209),IF(U3209&gt;$L$6,T3209,""),"")</f>
        <v/>
      </c>
      <c r="W3209">
        <f>IF(AND(ISNUMBER('자료_거시'!$G3191),ISNUMBER('자료_거시'!$H3191)),'자료_거시'!$H3191,"")</f>
        <v/>
      </c>
      <c r="X3209">
        <f>IF(ISNUMBER(W3209),'자료_거시'!$G3191,"")</f>
        <v/>
      </c>
      <c r="Y3209">
        <f>IF(ISNUMBER(X3209),IF(X3209&gt;$L$7,W3209,""),"")</f>
        <v/>
      </c>
      <c r="Z3209">
        <f>IF(ISNUMBER('자료_거시'!$K3191),'자료_거시'!$K3191,Z3208)</f>
        <v/>
      </c>
      <c r="AA3209">
        <f>IF(AND(ISNUMBER('자료_거시'!$J3191),ISNUMBER('자료_거시'!$K3191)),IFERROR('자료_거시'!$K3191/INDEX($Z$21:$Z$4020,MATCH(EDATE('자료_거시'!$J3191,-'설정'!$B$17),'자료_거시'!$J$3:INDEX('자료_거시'!$J$3:$J$4002,$K$8),1))-1,""),"")</f>
        <v/>
      </c>
      <c r="AB3209">
        <f>IF(ISNUMBER(AA3209),'자료_거시'!$J3191,"")</f>
        <v/>
      </c>
      <c r="AC3209">
        <f>IF(ISNUMBER(AB3209),IF(AB3209&gt;$L$8,AA3209,""),"")</f>
        <v/>
      </c>
    </row>
    <row r="3210">
      <c r="S3210">
        <f>IF(ISNUMBER('자료_거시'!$E3192),'자료_거시'!$E3192,S3209)</f>
        <v/>
      </c>
      <c r="T3210">
        <f>IF(AND(ISNUMBER('자료_거시'!$D3192),ISNUMBER('자료_거시'!$E3192)),IFERROR('자료_거시'!$E3192-INDEX($S$21:$S$4020,MATCH(EDATE('자료_거시'!$D3192,-'설정'!$B$17),'자료_거시'!$D$3:INDEX('자료_거시'!$D$3:$D$4002,$K$6),1)),""),"")</f>
        <v/>
      </c>
      <c r="U3210">
        <f>IF(ISNUMBER(T3210),'자료_거시'!$D3192,"")</f>
        <v/>
      </c>
      <c r="V3210">
        <f>IF(ISNUMBER(U3210),IF(U3210&gt;$L$6,T3210,""),"")</f>
        <v/>
      </c>
      <c r="W3210">
        <f>IF(AND(ISNUMBER('자료_거시'!$G3192),ISNUMBER('자료_거시'!$H3192)),'자료_거시'!$H3192,"")</f>
        <v/>
      </c>
      <c r="X3210">
        <f>IF(ISNUMBER(W3210),'자료_거시'!$G3192,"")</f>
        <v/>
      </c>
      <c r="Y3210">
        <f>IF(ISNUMBER(X3210),IF(X3210&gt;$L$7,W3210,""),"")</f>
        <v/>
      </c>
      <c r="Z3210">
        <f>IF(ISNUMBER('자료_거시'!$K3192),'자료_거시'!$K3192,Z3209)</f>
        <v/>
      </c>
      <c r="AA3210">
        <f>IF(AND(ISNUMBER('자료_거시'!$J3192),ISNUMBER('자료_거시'!$K3192)),IFERROR('자료_거시'!$K3192/INDEX($Z$21:$Z$4020,MATCH(EDATE('자료_거시'!$J3192,-'설정'!$B$17),'자료_거시'!$J$3:INDEX('자료_거시'!$J$3:$J$4002,$K$8),1))-1,""),"")</f>
        <v/>
      </c>
      <c r="AB3210">
        <f>IF(ISNUMBER(AA3210),'자료_거시'!$J3192,"")</f>
        <v/>
      </c>
      <c r="AC3210">
        <f>IF(ISNUMBER(AB3210),IF(AB3210&gt;$L$8,AA3210,""),"")</f>
        <v/>
      </c>
    </row>
    <row r="3211">
      <c r="S3211">
        <f>IF(ISNUMBER('자료_거시'!$E3193),'자료_거시'!$E3193,S3210)</f>
        <v/>
      </c>
      <c r="T3211">
        <f>IF(AND(ISNUMBER('자료_거시'!$D3193),ISNUMBER('자료_거시'!$E3193)),IFERROR('자료_거시'!$E3193-INDEX($S$21:$S$4020,MATCH(EDATE('자료_거시'!$D3193,-'설정'!$B$17),'자료_거시'!$D$3:INDEX('자료_거시'!$D$3:$D$4002,$K$6),1)),""),"")</f>
        <v/>
      </c>
      <c r="U3211">
        <f>IF(ISNUMBER(T3211),'자료_거시'!$D3193,"")</f>
        <v/>
      </c>
      <c r="V3211">
        <f>IF(ISNUMBER(U3211),IF(U3211&gt;$L$6,T3211,""),"")</f>
        <v/>
      </c>
      <c r="W3211">
        <f>IF(AND(ISNUMBER('자료_거시'!$G3193),ISNUMBER('자료_거시'!$H3193)),'자료_거시'!$H3193,"")</f>
        <v/>
      </c>
      <c r="X3211">
        <f>IF(ISNUMBER(W3211),'자료_거시'!$G3193,"")</f>
        <v/>
      </c>
      <c r="Y3211">
        <f>IF(ISNUMBER(X3211),IF(X3211&gt;$L$7,W3211,""),"")</f>
        <v/>
      </c>
      <c r="Z3211">
        <f>IF(ISNUMBER('자료_거시'!$K3193),'자료_거시'!$K3193,Z3210)</f>
        <v/>
      </c>
      <c r="AA3211">
        <f>IF(AND(ISNUMBER('자료_거시'!$J3193),ISNUMBER('자료_거시'!$K3193)),IFERROR('자료_거시'!$K3193/INDEX($Z$21:$Z$4020,MATCH(EDATE('자료_거시'!$J3193,-'설정'!$B$17),'자료_거시'!$J$3:INDEX('자료_거시'!$J$3:$J$4002,$K$8),1))-1,""),"")</f>
        <v/>
      </c>
      <c r="AB3211">
        <f>IF(ISNUMBER(AA3211),'자료_거시'!$J3193,"")</f>
        <v/>
      </c>
      <c r="AC3211">
        <f>IF(ISNUMBER(AB3211),IF(AB3211&gt;$L$8,AA3211,""),"")</f>
        <v/>
      </c>
    </row>
    <row r="3212">
      <c r="S3212">
        <f>IF(ISNUMBER('자료_거시'!$E3194),'자료_거시'!$E3194,S3211)</f>
        <v/>
      </c>
      <c r="T3212">
        <f>IF(AND(ISNUMBER('자료_거시'!$D3194),ISNUMBER('자료_거시'!$E3194)),IFERROR('자료_거시'!$E3194-INDEX($S$21:$S$4020,MATCH(EDATE('자료_거시'!$D3194,-'설정'!$B$17),'자료_거시'!$D$3:INDEX('자료_거시'!$D$3:$D$4002,$K$6),1)),""),"")</f>
        <v/>
      </c>
      <c r="U3212">
        <f>IF(ISNUMBER(T3212),'자료_거시'!$D3194,"")</f>
        <v/>
      </c>
      <c r="V3212">
        <f>IF(ISNUMBER(U3212),IF(U3212&gt;$L$6,T3212,""),"")</f>
        <v/>
      </c>
      <c r="W3212">
        <f>IF(AND(ISNUMBER('자료_거시'!$G3194),ISNUMBER('자료_거시'!$H3194)),'자료_거시'!$H3194,"")</f>
        <v/>
      </c>
      <c r="X3212">
        <f>IF(ISNUMBER(W3212),'자료_거시'!$G3194,"")</f>
        <v/>
      </c>
      <c r="Y3212">
        <f>IF(ISNUMBER(X3212),IF(X3212&gt;$L$7,W3212,""),"")</f>
        <v/>
      </c>
      <c r="Z3212">
        <f>IF(ISNUMBER('자료_거시'!$K3194),'자료_거시'!$K3194,Z3211)</f>
        <v/>
      </c>
      <c r="AA3212">
        <f>IF(AND(ISNUMBER('자료_거시'!$J3194),ISNUMBER('자료_거시'!$K3194)),IFERROR('자료_거시'!$K3194/INDEX($Z$21:$Z$4020,MATCH(EDATE('자료_거시'!$J3194,-'설정'!$B$17),'자료_거시'!$J$3:INDEX('자료_거시'!$J$3:$J$4002,$K$8),1))-1,""),"")</f>
        <v/>
      </c>
      <c r="AB3212">
        <f>IF(ISNUMBER(AA3212),'자료_거시'!$J3194,"")</f>
        <v/>
      </c>
      <c r="AC3212">
        <f>IF(ISNUMBER(AB3212),IF(AB3212&gt;$L$8,AA3212,""),"")</f>
        <v/>
      </c>
    </row>
    <row r="3213">
      <c r="S3213">
        <f>IF(ISNUMBER('자료_거시'!$E3195),'자료_거시'!$E3195,S3212)</f>
        <v/>
      </c>
      <c r="T3213">
        <f>IF(AND(ISNUMBER('자료_거시'!$D3195),ISNUMBER('자료_거시'!$E3195)),IFERROR('자료_거시'!$E3195-INDEX($S$21:$S$4020,MATCH(EDATE('자료_거시'!$D3195,-'설정'!$B$17),'자료_거시'!$D$3:INDEX('자료_거시'!$D$3:$D$4002,$K$6),1)),""),"")</f>
        <v/>
      </c>
      <c r="U3213">
        <f>IF(ISNUMBER(T3213),'자료_거시'!$D3195,"")</f>
        <v/>
      </c>
      <c r="V3213">
        <f>IF(ISNUMBER(U3213),IF(U3213&gt;$L$6,T3213,""),"")</f>
        <v/>
      </c>
      <c r="W3213">
        <f>IF(AND(ISNUMBER('자료_거시'!$G3195),ISNUMBER('자료_거시'!$H3195)),'자료_거시'!$H3195,"")</f>
        <v/>
      </c>
      <c r="X3213">
        <f>IF(ISNUMBER(W3213),'자료_거시'!$G3195,"")</f>
        <v/>
      </c>
      <c r="Y3213">
        <f>IF(ISNUMBER(X3213),IF(X3213&gt;$L$7,W3213,""),"")</f>
        <v/>
      </c>
      <c r="Z3213">
        <f>IF(ISNUMBER('자료_거시'!$K3195),'자료_거시'!$K3195,Z3212)</f>
        <v/>
      </c>
      <c r="AA3213">
        <f>IF(AND(ISNUMBER('자료_거시'!$J3195),ISNUMBER('자료_거시'!$K3195)),IFERROR('자료_거시'!$K3195/INDEX($Z$21:$Z$4020,MATCH(EDATE('자료_거시'!$J3195,-'설정'!$B$17),'자료_거시'!$J$3:INDEX('자료_거시'!$J$3:$J$4002,$K$8),1))-1,""),"")</f>
        <v/>
      </c>
      <c r="AB3213">
        <f>IF(ISNUMBER(AA3213),'자료_거시'!$J3195,"")</f>
        <v/>
      </c>
      <c r="AC3213">
        <f>IF(ISNUMBER(AB3213),IF(AB3213&gt;$L$8,AA3213,""),"")</f>
        <v/>
      </c>
    </row>
    <row r="3214">
      <c r="S3214">
        <f>IF(ISNUMBER('자료_거시'!$E3196),'자료_거시'!$E3196,S3213)</f>
        <v/>
      </c>
      <c r="T3214">
        <f>IF(AND(ISNUMBER('자료_거시'!$D3196),ISNUMBER('자료_거시'!$E3196)),IFERROR('자료_거시'!$E3196-INDEX($S$21:$S$4020,MATCH(EDATE('자료_거시'!$D3196,-'설정'!$B$17),'자료_거시'!$D$3:INDEX('자료_거시'!$D$3:$D$4002,$K$6),1)),""),"")</f>
        <v/>
      </c>
      <c r="U3214">
        <f>IF(ISNUMBER(T3214),'자료_거시'!$D3196,"")</f>
        <v/>
      </c>
      <c r="V3214">
        <f>IF(ISNUMBER(U3214),IF(U3214&gt;$L$6,T3214,""),"")</f>
        <v/>
      </c>
      <c r="W3214">
        <f>IF(AND(ISNUMBER('자료_거시'!$G3196),ISNUMBER('자료_거시'!$H3196)),'자료_거시'!$H3196,"")</f>
        <v/>
      </c>
      <c r="X3214">
        <f>IF(ISNUMBER(W3214),'자료_거시'!$G3196,"")</f>
        <v/>
      </c>
      <c r="Y3214">
        <f>IF(ISNUMBER(X3214),IF(X3214&gt;$L$7,W3214,""),"")</f>
        <v/>
      </c>
      <c r="Z3214">
        <f>IF(ISNUMBER('자료_거시'!$K3196),'자료_거시'!$K3196,Z3213)</f>
        <v/>
      </c>
      <c r="AA3214">
        <f>IF(AND(ISNUMBER('자료_거시'!$J3196),ISNUMBER('자료_거시'!$K3196)),IFERROR('자료_거시'!$K3196/INDEX($Z$21:$Z$4020,MATCH(EDATE('자료_거시'!$J3196,-'설정'!$B$17),'자료_거시'!$J$3:INDEX('자료_거시'!$J$3:$J$4002,$K$8),1))-1,""),"")</f>
        <v/>
      </c>
      <c r="AB3214">
        <f>IF(ISNUMBER(AA3214),'자료_거시'!$J3196,"")</f>
        <v/>
      </c>
      <c r="AC3214">
        <f>IF(ISNUMBER(AB3214),IF(AB3214&gt;$L$8,AA3214,""),"")</f>
        <v/>
      </c>
    </row>
    <row r="3215">
      <c r="S3215">
        <f>IF(ISNUMBER('자료_거시'!$E3197),'자료_거시'!$E3197,S3214)</f>
        <v/>
      </c>
      <c r="T3215">
        <f>IF(AND(ISNUMBER('자료_거시'!$D3197),ISNUMBER('자료_거시'!$E3197)),IFERROR('자료_거시'!$E3197-INDEX($S$21:$S$4020,MATCH(EDATE('자료_거시'!$D3197,-'설정'!$B$17),'자료_거시'!$D$3:INDEX('자료_거시'!$D$3:$D$4002,$K$6),1)),""),"")</f>
        <v/>
      </c>
      <c r="U3215">
        <f>IF(ISNUMBER(T3215),'자료_거시'!$D3197,"")</f>
        <v/>
      </c>
      <c r="V3215">
        <f>IF(ISNUMBER(U3215),IF(U3215&gt;$L$6,T3215,""),"")</f>
        <v/>
      </c>
      <c r="W3215">
        <f>IF(AND(ISNUMBER('자료_거시'!$G3197),ISNUMBER('자료_거시'!$H3197)),'자료_거시'!$H3197,"")</f>
        <v/>
      </c>
      <c r="X3215">
        <f>IF(ISNUMBER(W3215),'자료_거시'!$G3197,"")</f>
        <v/>
      </c>
      <c r="Y3215">
        <f>IF(ISNUMBER(X3215),IF(X3215&gt;$L$7,W3215,""),"")</f>
        <v/>
      </c>
      <c r="Z3215">
        <f>IF(ISNUMBER('자료_거시'!$K3197),'자료_거시'!$K3197,Z3214)</f>
        <v/>
      </c>
      <c r="AA3215">
        <f>IF(AND(ISNUMBER('자료_거시'!$J3197),ISNUMBER('자료_거시'!$K3197)),IFERROR('자료_거시'!$K3197/INDEX($Z$21:$Z$4020,MATCH(EDATE('자료_거시'!$J3197,-'설정'!$B$17),'자료_거시'!$J$3:INDEX('자료_거시'!$J$3:$J$4002,$K$8),1))-1,""),"")</f>
        <v/>
      </c>
      <c r="AB3215">
        <f>IF(ISNUMBER(AA3215),'자료_거시'!$J3197,"")</f>
        <v/>
      </c>
      <c r="AC3215">
        <f>IF(ISNUMBER(AB3215),IF(AB3215&gt;$L$8,AA3215,""),"")</f>
        <v/>
      </c>
    </row>
    <row r="3216">
      <c r="S3216">
        <f>IF(ISNUMBER('자료_거시'!$E3198),'자료_거시'!$E3198,S3215)</f>
        <v/>
      </c>
      <c r="T3216">
        <f>IF(AND(ISNUMBER('자료_거시'!$D3198),ISNUMBER('자료_거시'!$E3198)),IFERROR('자료_거시'!$E3198-INDEX($S$21:$S$4020,MATCH(EDATE('자료_거시'!$D3198,-'설정'!$B$17),'자료_거시'!$D$3:INDEX('자료_거시'!$D$3:$D$4002,$K$6),1)),""),"")</f>
        <v/>
      </c>
      <c r="U3216">
        <f>IF(ISNUMBER(T3216),'자료_거시'!$D3198,"")</f>
        <v/>
      </c>
      <c r="V3216">
        <f>IF(ISNUMBER(U3216),IF(U3216&gt;$L$6,T3216,""),"")</f>
        <v/>
      </c>
      <c r="W3216">
        <f>IF(AND(ISNUMBER('자료_거시'!$G3198),ISNUMBER('자료_거시'!$H3198)),'자료_거시'!$H3198,"")</f>
        <v/>
      </c>
      <c r="X3216">
        <f>IF(ISNUMBER(W3216),'자료_거시'!$G3198,"")</f>
        <v/>
      </c>
      <c r="Y3216">
        <f>IF(ISNUMBER(X3216),IF(X3216&gt;$L$7,W3216,""),"")</f>
        <v/>
      </c>
      <c r="Z3216">
        <f>IF(ISNUMBER('자료_거시'!$K3198),'자료_거시'!$K3198,Z3215)</f>
        <v/>
      </c>
      <c r="AA3216">
        <f>IF(AND(ISNUMBER('자료_거시'!$J3198),ISNUMBER('자료_거시'!$K3198)),IFERROR('자료_거시'!$K3198/INDEX($Z$21:$Z$4020,MATCH(EDATE('자료_거시'!$J3198,-'설정'!$B$17),'자료_거시'!$J$3:INDEX('자료_거시'!$J$3:$J$4002,$K$8),1))-1,""),"")</f>
        <v/>
      </c>
      <c r="AB3216">
        <f>IF(ISNUMBER(AA3216),'자료_거시'!$J3198,"")</f>
        <v/>
      </c>
      <c r="AC3216">
        <f>IF(ISNUMBER(AB3216),IF(AB3216&gt;$L$8,AA3216,""),"")</f>
        <v/>
      </c>
    </row>
    <row r="3217">
      <c r="S3217">
        <f>IF(ISNUMBER('자료_거시'!$E3199),'자료_거시'!$E3199,S3216)</f>
        <v/>
      </c>
      <c r="T3217">
        <f>IF(AND(ISNUMBER('자료_거시'!$D3199),ISNUMBER('자료_거시'!$E3199)),IFERROR('자료_거시'!$E3199-INDEX($S$21:$S$4020,MATCH(EDATE('자료_거시'!$D3199,-'설정'!$B$17),'자료_거시'!$D$3:INDEX('자료_거시'!$D$3:$D$4002,$K$6),1)),""),"")</f>
        <v/>
      </c>
      <c r="U3217">
        <f>IF(ISNUMBER(T3217),'자료_거시'!$D3199,"")</f>
        <v/>
      </c>
      <c r="V3217">
        <f>IF(ISNUMBER(U3217),IF(U3217&gt;$L$6,T3217,""),"")</f>
        <v/>
      </c>
      <c r="W3217">
        <f>IF(AND(ISNUMBER('자료_거시'!$G3199),ISNUMBER('자료_거시'!$H3199)),'자료_거시'!$H3199,"")</f>
        <v/>
      </c>
      <c r="X3217">
        <f>IF(ISNUMBER(W3217),'자료_거시'!$G3199,"")</f>
        <v/>
      </c>
      <c r="Y3217">
        <f>IF(ISNUMBER(X3217),IF(X3217&gt;$L$7,W3217,""),"")</f>
        <v/>
      </c>
      <c r="Z3217">
        <f>IF(ISNUMBER('자료_거시'!$K3199),'자료_거시'!$K3199,Z3216)</f>
        <v/>
      </c>
      <c r="AA3217">
        <f>IF(AND(ISNUMBER('자료_거시'!$J3199),ISNUMBER('자료_거시'!$K3199)),IFERROR('자료_거시'!$K3199/INDEX($Z$21:$Z$4020,MATCH(EDATE('자료_거시'!$J3199,-'설정'!$B$17),'자료_거시'!$J$3:INDEX('자료_거시'!$J$3:$J$4002,$K$8),1))-1,""),"")</f>
        <v/>
      </c>
      <c r="AB3217">
        <f>IF(ISNUMBER(AA3217),'자료_거시'!$J3199,"")</f>
        <v/>
      </c>
      <c r="AC3217">
        <f>IF(ISNUMBER(AB3217),IF(AB3217&gt;$L$8,AA3217,""),"")</f>
        <v/>
      </c>
    </row>
    <row r="3218">
      <c r="S3218">
        <f>IF(ISNUMBER('자료_거시'!$E3200),'자료_거시'!$E3200,S3217)</f>
        <v/>
      </c>
      <c r="T3218">
        <f>IF(AND(ISNUMBER('자료_거시'!$D3200),ISNUMBER('자료_거시'!$E3200)),IFERROR('자료_거시'!$E3200-INDEX($S$21:$S$4020,MATCH(EDATE('자료_거시'!$D3200,-'설정'!$B$17),'자료_거시'!$D$3:INDEX('자료_거시'!$D$3:$D$4002,$K$6),1)),""),"")</f>
        <v/>
      </c>
      <c r="U3218">
        <f>IF(ISNUMBER(T3218),'자료_거시'!$D3200,"")</f>
        <v/>
      </c>
      <c r="V3218">
        <f>IF(ISNUMBER(U3218),IF(U3218&gt;$L$6,T3218,""),"")</f>
        <v/>
      </c>
      <c r="W3218">
        <f>IF(AND(ISNUMBER('자료_거시'!$G3200),ISNUMBER('자료_거시'!$H3200)),'자료_거시'!$H3200,"")</f>
        <v/>
      </c>
      <c r="X3218">
        <f>IF(ISNUMBER(W3218),'자료_거시'!$G3200,"")</f>
        <v/>
      </c>
      <c r="Y3218">
        <f>IF(ISNUMBER(X3218),IF(X3218&gt;$L$7,W3218,""),"")</f>
        <v/>
      </c>
      <c r="Z3218">
        <f>IF(ISNUMBER('자료_거시'!$K3200),'자료_거시'!$K3200,Z3217)</f>
        <v/>
      </c>
      <c r="AA3218">
        <f>IF(AND(ISNUMBER('자료_거시'!$J3200),ISNUMBER('자료_거시'!$K3200)),IFERROR('자료_거시'!$K3200/INDEX($Z$21:$Z$4020,MATCH(EDATE('자료_거시'!$J3200,-'설정'!$B$17),'자료_거시'!$J$3:INDEX('자료_거시'!$J$3:$J$4002,$K$8),1))-1,""),"")</f>
        <v/>
      </c>
      <c r="AB3218">
        <f>IF(ISNUMBER(AA3218),'자료_거시'!$J3200,"")</f>
        <v/>
      </c>
      <c r="AC3218">
        <f>IF(ISNUMBER(AB3218),IF(AB3218&gt;$L$8,AA3218,""),"")</f>
        <v/>
      </c>
    </row>
    <row r="3219">
      <c r="S3219">
        <f>IF(ISNUMBER('자료_거시'!$E3201),'자료_거시'!$E3201,S3218)</f>
        <v/>
      </c>
      <c r="T3219">
        <f>IF(AND(ISNUMBER('자료_거시'!$D3201),ISNUMBER('자료_거시'!$E3201)),IFERROR('자료_거시'!$E3201-INDEX($S$21:$S$4020,MATCH(EDATE('자료_거시'!$D3201,-'설정'!$B$17),'자료_거시'!$D$3:INDEX('자료_거시'!$D$3:$D$4002,$K$6),1)),""),"")</f>
        <v/>
      </c>
      <c r="U3219">
        <f>IF(ISNUMBER(T3219),'자료_거시'!$D3201,"")</f>
        <v/>
      </c>
      <c r="V3219">
        <f>IF(ISNUMBER(U3219),IF(U3219&gt;$L$6,T3219,""),"")</f>
        <v/>
      </c>
      <c r="W3219">
        <f>IF(AND(ISNUMBER('자료_거시'!$G3201),ISNUMBER('자료_거시'!$H3201)),'자료_거시'!$H3201,"")</f>
        <v/>
      </c>
      <c r="X3219">
        <f>IF(ISNUMBER(W3219),'자료_거시'!$G3201,"")</f>
        <v/>
      </c>
      <c r="Y3219">
        <f>IF(ISNUMBER(X3219),IF(X3219&gt;$L$7,W3219,""),"")</f>
        <v/>
      </c>
      <c r="Z3219">
        <f>IF(ISNUMBER('자료_거시'!$K3201),'자료_거시'!$K3201,Z3218)</f>
        <v/>
      </c>
      <c r="AA3219">
        <f>IF(AND(ISNUMBER('자료_거시'!$J3201),ISNUMBER('자료_거시'!$K3201)),IFERROR('자료_거시'!$K3201/INDEX($Z$21:$Z$4020,MATCH(EDATE('자료_거시'!$J3201,-'설정'!$B$17),'자료_거시'!$J$3:INDEX('자료_거시'!$J$3:$J$4002,$K$8),1))-1,""),"")</f>
        <v/>
      </c>
      <c r="AB3219">
        <f>IF(ISNUMBER(AA3219),'자료_거시'!$J3201,"")</f>
        <v/>
      </c>
      <c r="AC3219">
        <f>IF(ISNUMBER(AB3219),IF(AB3219&gt;$L$8,AA3219,""),"")</f>
        <v/>
      </c>
    </row>
    <row r="3220">
      <c r="S3220">
        <f>IF(ISNUMBER('자료_거시'!$E3202),'자료_거시'!$E3202,S3219)</f>
        <v/>
      </c>
      <c r="T3220">
        <f>IF(AND(ISNUMBER('자료_거시'!$D3202),ISNUMBER('자료_거시'!$E3202)),IFERROR('자료_거시'!$E3202-INDEX($S$21:$S$4020,MATCH(EDATE('자료_거시'!$D3202,-'설정'!$B$17),'자료_거시'!$D$3:INDEX('자료_거시'!$D$3:$D$4002,$K$6),1)),""),"")</f>
        <v/>
      </c>
      <c r="U3220">
        <f>IF(ISNUMBER(T3220),'자료_거시'!$D3202,"")</f>
        <v/>
      </c>
      <c r="V3220">
        <f>IF(ISNUMBER(U3220),IF(U3220&gt;$L$6,T3220,""),"")</f>
        <v/>
      </c>
      <c r="W3220">
        <f>IF(AND(ISNUMBER('자료_거시'!$G3202),ISNUMBER('자료_거시'!$H3202)),'자료_거시'!$H3202,"")</f>
        <v/>
      </c>
      <c r="X3220">
        <f>IF(ISNUMBER(W3220),'자료_거시'!$G3202,"")</f>
        <v/>
      </c>
      <c r="Y3220">
        <f>IF(ISNUMBER(X3220),IF(X3220&gt;$L$7,W3220,""),"")</f>
        <v/>
      </c>
      <c r="Z3220">
        <f>IF(ISNUMBER('자료_거시'!$K3202),'자료_거시'!$K3202,Z3219)</f>
        <v/>
      </c>
      <c r="AA3220">
        <f>IF(AND(ISNUMBER('자료_거시'!$J3202),ISNUMBER('자료_거시'!$K3202)),IFERROR('자료_거시'!$K3202/INDEX($Z$21:$Z$4020,MATCH(EDATE('자료_거시'!$J3202,-'설정'!$B$17),'자료_거시'!$J$3:INDEX('자료_거시'!$J$3:$J$4002,$K$8),1))-1,""),"")</f>
        <v/>
      </c>
      <c r="AB3220">
        <f>IF(ISNUMBER(AA3220),'자료_거시'!$J3202,"")</f>
        <v/>
      </c>
      <c r="AC3220">
        <f>IF(ISNUMBER(AB3220),IF(AB3220&gt;$L$8,AA3220,""),"")</f>
        <v/>
      </c>
    </row>
    <row r="3221">
      <c r="S3221">
        <f>IF(ISNUMBER('자료_거시'!$E3203),'자료_거시'!$E3203,S3220)</f>
        <v/>
      </c>
      <c r="T3221">
        <f>IF(AND(ISNUMBER('자료_거시'!$D3203),ISNUMBER('자료_거시'!$E3203)),IFERROR('자료_거시'!$E3203-INDEX($S$21:$S$4020,MATCH(EDATE('자료_거시'!$D3203,-'설정'!$B$17),'자료_거시'!$D$3:INDEX('자료_거시'!$D$3:$D$4002,$K$6),1)),""),"")</f>
        <v/>
      </c>
      <c r="U3221">
        <f>IF(ISNUMBER(T3221),'자료_거시'!$D3203,"")</f>
        <v/>
      </c>
      <c r="V3221">
        <f>IF(ISNUMBER(U3221),IF(U3221&gt;$L$6,T3221,""),"")</f>
        <v/>
      </c>
      <c r="W3221">
        <f>IF(AND(ISNUMBER('자료_거시'!$G3203),ISNUMBER('자료_거시'!$H3203)),'자료_거시'!$H3203,"")</f>
        <v/>
      </c>
      <c r="X3221">
        <f>IF(ISNUMBER(W3221),'자료_거시'!$G3203,"")</f>
        <v/>
      </c>
      <c r="Y3221">
        <f>IF(ISNUMBER(X3221),IF(X3221&gt;$L$7,W3221,""),"")</f>
        <v/>
      </c>
      <c r="Z3221">
        <f>IF(ISNUMBER('자료_거시'!$K3203),'자료_거시'!$K3203,Z3220)</f>
        <v/>
      </c>
      <c r="AA3221">
        <f>IF(AND(ISNUMBER('자료_거시'!$J3203),ISNUMBER('자료_거시'!$K3203)),IFERROR('자료_거시'!$K3203/INDEX($Z$21:$Z$4020,MATCH(EDATE('자료_거시'!$J3203,-'설정'!$B$17),'자료_거시'!$J$3:INDEX('자료_거시'!$J$3:$J$4002,$K$8),1))-1,""),"")</f>
        <v/>
      </c>
      <c r="AB3221">
        <f>IF(ISNUMBER(AA3221),'자료_거시'!$J3203,"")</f>
        <v/>
      </c>
      <c r="AC3221">
        <f>IF(ISNUMBER(AB3221),IF(AB3221&gt;$L$8,AA3221,""),"")</f>
        <v/>
      </c>
    </row>
    <row r="3222">
      <c r="S3222">
        <f>IF(ISNUMBER('자료_거시'!$E3204),'자료_거시'!$E3204,S3221)</f>
        <v/>
      </c>
      <c r="T3222">
        <f>IF(AND(ISNUMBER('자료_거시'!$D3204),ISNUMBER('자료_거시'!$E3204)),IFERROR('자료_거시'!$E3204-INDEX($S$21:$S$4020,MATCH(EDATE('자료_거시'!$D3204,-'설정'!$B$17),'자료_거시'!$D$3:INDEX('자료_거시'!$D$3:$D$4002,$K$6),1)),""),"")</f>
        <v/>
      </c>
      <c r="U3222">
        <f>IF(ISNUMBER(T3222),'자료_거시'!$D3204,"")</f>
        <v/>
      </c>
      <c r="V3222">
        <f>IF(ISNUMBER(U3222),IF(U3222&gt;$L$6,T3222,""),"")</f>
        <v/>
      </c>
      <c r="W3222">
        <f>IF(AND(ISNUMBER('자료_거시'!$G3204),ISNUMBER('자료_거시'!$H3204)),'자료_거시'!$H3204,"")</f>
        <v/>
      </c>
      <c r="X3222">
        <f>IF(ISNUMBER(W3222),'자료_거시'!$G3204,"")</f>
        <v/>
      </c>
      <c r="Y3222">
        <f>IF(ISNUMBER(X3222),IF(X3222&gt;$L$7,W3222,""),"")</f>
        <v/>
      </c>
      <c r="Z3222">
        <f>IF(ISNUMBER('자료_거시'!$K3204),'자료_거시'!$K3204,Z3221)</f>
        <v/>
      </c>
      <c r="AA3222">
        <f>IF(AND(ISNUMBER('자료_거시'!$J3204),ISNUMBER('자료_거시'!$K3204)),IFERROR('자료_거시'!$K3204/INDEX($Z$21:$Z$4020,MATCH(EDATE('자료_거시'!$J3204,-'설정'!$B$17),'자료_거시'!$J$3:INDEX('자료_거시'!$J$3:$J$4002,$K$8),1))-1,""),"")</f>
        <v/>
      </c>
      <c r="AB3222">
        <f>IF(ISNUMBER(AA3222),'자료_거시'!$J3204,"")</f>
        <v/>
      </c>
      <c r="AC3222">
        <f>IF(ISNUMBER(AB3222),IF(AB3222&gt;$L$8,AA3222,""),"")</f>
        <v/>
      </c>
    </row>
    <row r="3223">
      <c r="S3223">
        <f>IF(ISNUMBER('자료_거시'!$E3205),'자료_거시'!$E3205,S3222)</f>
        <v/>
      </c>
      <c r="T3223">
        <f>IF(AND(ISNUMBER('자료_거시'!$D3205),ISNUMBER('자료_거시'!$E3205)),IFERROR('자료_거시'!$E3205-INDEX($S$21:$S$4020,MATCH(EDATE('자료_거시'!$D3205,-'설정'!$B$17),'자료_거시'!$D$3:INDEX('자료_거시'!$D$3:$D$4002,$K$6),1)),""),"")</f>
        <v/>
      </c>
      <c r="U3223">
        <f>IF(ISNUMBER(T3223),'자료_거시'!$D3205,"")</f>
        <v/>
      </c>
      <c r="V3223">
        <f>IF(ISNUMBER(U3223),IF(U3223&gt;$L$6,T3223,""),"")</f>
        <v/>
      </c>
      <c r="W3223">
        <f>IF(AND(ISNUMBER('자료_거시'!$G3205),ISNUMBER('자료_거시'!$H3205)),'자료_거시'!$H3205,"")</f>
        <v/>
      </c>
      <c r="X3223">
        <f>IF(ISNUMBER(W3223),'자료_거시'!$G3205,"")</f>
        <v/>
      </c>
      <c r="Y3223">
        <f>IF(ISNUMBER(X3223),IF(X3223&gt;$L$7,W3223,""),"")</f>
        <v/>
      </c>
      <c r="Z3223">
        <f>IF(ISNUMBER('자료_거시'!$K3205),'자료_거시'!$K3205,Z3222)</f>
        <v/>
      </c>
      <c r="AA3223">
        <f>IF(AND(ISNUMBER('자료_거시'!$J3205),ISNUMBER('자료_거시'!$K3205)),IFERROR('자료_거시'!$K3205/INDEX($Z$21:$Z$4020,MATCH(EDATE('자료_거시'!$J3205,-'설정'!$B$17),'자료_거시'!$J$3:INDEX('자료_거시'!$J$3:$J$4002,$K$8),1))-1,""),"")</f>
        <v/>
      </c>
      <c r="AB3223">
        <f>IF(ISNUMBER(AA3223),'자료_거시'!$J3205,"")</f>
        <v/>
      </c>
      <c r="AC3223">
        <f>IF(ISNUMBER(AB3223),IF(AB3223&gt;$L$8,AA3223,""),"")</f>
        <v/>
      </c>
    </row>
    <row r="3224">
      <c r="S3224">
        <f>IF(ISNUMBER('자료_거시'!$E3206),'자료_거시'!$E3206,S3223)</f>
        <v/>
      </c>
      <c r="T3224">
        <f>IF(AND(ISNUMBER('자료_거시'!$D3206),ISNUMBER('자료_거시'!$E3206)),IFERROR('자료_거시'!$E3206-INDEX($S$21:$S$4020,MATCH(EDATE('자료_거시'!$D3206,-'설정'!$B$17),'자료_거시'!$D$3:INDEX('자료_거시'!$D$3:$D$4002,$K$6),1)),""),"")</f>
        <v/>
      </c>
      <c r="U3224">
        <f>IF(ISNUMBER(T3224),'자료_거시'!$D3206,"")</f>
        <v/>
      </c>
      <c r="V3224">
        <f>IF(ISNUMBER(U3224),IF(U3224&gt;$L$6,T3224,""),"")</f>
        <v/>
      </c>
      <c r="W3224">
        <f>IF(AND(ISNUMBER('자료_거시'!$G3206),ISNUMBER('자료_거시'!$H3206)),'자료_거시'!$H3206,"")</f>
        <v/>
      </c>
      <c r="X3224">
        <f>IF(ISNUMBER(W3224),'자료_거시'!$G3206,"")</f>
        <v/>
      </c>
      <c r="Y3224">
        <f>IF(ISNUMBER(X3224),IF(X3224&gt;$L$7,W3224,""),"")</f>
        <v/>
      </c>
      <c r="Z3224">
        <f>IF(ISNUMBER('자료_거시'!$K3206),'자료_거시'!$K3206,Z3223)</f>
        <v/>
      </c>
      <c r="AA3224">
        <f>IF(AND(ISNUMBER('자료_거시'!$J3206),ISNUMBER('자료_거시'!$K3206)),IFERROR('자료_거시'!$K3206/INDEX($Z$21:$Z$4020,MATCH(EDATE('자료_거시'!$J3206,-'설정'!$B$17),'자료_거시'!$J$3:INDEX('자료_거시'!$J$3:$J$4002,$K$8),1))-1,""),"")</f>
        <v/>
      </c>
      <c r="AB3224">
        <f>IF(ISNUMBER(AA3224),'자료_거시'!$J3206,"")</f>
        <v/>
      </c>
      <c r="AC3224">
        <f>IF(ISNUMBER(AB3224),IF(AB3224&gt;$L$8,AA3224,""),"")</f>
        <v/>
      </c>
    </row>
    <row r="3225">
      <c r="S3225">
        <f>IF(ISNUMBER('자료_거시'!$E3207),'자료_거시'!$E3207,S3224)</f>
        <v/>
      </c>
      <c r="T3225">
        <f>IF(AND(ISNUMBER('자료_거시'!$D3207),ISNUMBER('자료_거시'!$E3207)),IFERROR('자료_거시'!$E3207-INDEX($S$21:$S$4020,MATCH(EDATE('자료_거시'!$D3207,-'설정'!$B$17),'자료_거시'!$D$3:INDEX('자료_거시'!$D$3:$D$4002,$K$6),1)),""),"")</f>
        <v/>
      </c>
      <c r="U3225">
        <f>IF(ISNUMBER(T3225),'자료_거시'!$D3207,"")</f>
        <v/>
      </c>
      <c r="V3225">
        <f>IF(ISNUMBER(U3225),IF(U3225&gt;$L$6,T3225,""),"")</f>
        <v/>
      </c>
      <c r="W3225">
        <f>IF(AND(ISNUMBER('자료_거시'!$G3207),ISNUMBER('자료_거시'!$H3207)),'자료_거시'!$H3207,"")</f>
        <v/>
      </c>
      <c r="X3225">
        <f>IF(ISNUMBER(W3225),'자료_거시'!$G3207,"")</f>
        <v/>
      </c>
      <c r="Y3225">
        <f>IF(ISNUMBER(X3225),IF(X3225&gt;$L$7,W3225,""),"")</f>
        <v/>
      </c>
      <c r="Z3225">
        <f>IF(ISNUMBER('자료_거시'!$K3207),'자료_거시'!$K3207,Z3224)</f>
        <v/>
      </c>
      <c r="AA3225">
        <f>IF(AND(ISNUMBER('자료_거시'!$J3207),ISNUMBER('자료_거시'!$K3207)),IFERROR('자료_거시'!$K3207/INDEX($Z$21:$Z$4020,MATCH(EDATE('자료_거시'!$J3207,-'설정'!$B$17),'자료_거시'!$J$3:INDEX('자료_거시'!$J$3:$J$4002,$K$8),1))-1,""),"")</f>
        <v/>
      </c>
      <c r="AB3225">
        <f>IF(ISNUMBER(AA3225),'자료_거시'!$J3207,"")</f>
        <v/>
      </c>
      <c r="AC3225">
        <f>IF(ISNUMBER(AB3225),IF(AB3225&gt;$L$8,AA3225,""),"")</f>
        <v/>
      </c>
    </row>
    <row r="3226">
      <c r="S3226">
        <f>IF(ISNUMBER('자료_거시'!$E3208),'자료_거시'!$E3208,S3225)</f>
        <v/>
      </c>
      <c r="T3226">
        <f>IF(AND(ISNUMBER('자료_거시'!$D3208),ISNUMBER('자료_거시'!$E3208)),IFERROR('자료_거시'!$E3208-INDEX($S$21:$S$4020,MATCH(EDATE('자료_거시'!$D3208,-'설정'!$B$17),'자료_거시'!$D$3:INDEX('자료_거시'!$D$3:$D$4002,$K$6),1)),""),"")</f>
        <v/>
      </c>
      <c r="U3226">
        <f>IF(ISNUMBER(T3226),'자료_거시'!$D3208,"")</f>
        <v/>
      </c>
      <c r="V3226">
        <f>IF(ISNUMBER(U3226),IF(U3226&gt;$L$6,T3226,""),"")</f>
        <v/>
      </c>
      <c r="W3226">
        <f>IF(AND(ISNUMBER('자료_거시'!$G3208),ISNUMBER('자료_거시'!$H3208)),'자료_거시'!$H3208,"")</f>
        <v/>
      </c>
      <c r="X3226">
        <f>IF(ISNUMBER(W3226),'자료_거시'!$G3208,"")</f>
        <v/>
      </c>
      <c r="Y3226">
        <f>IF(ISNUMBER(X3226),IF(X3226&gt;$L$7,W3226,""),"")</f>
        <v/>
      </c>
      <c r="Z3226">
        <f>IF(ISNUMBER('자료_거시'!$K3208),'자료_거시'!$K3208,Z3225)</f>
        <v/>
      </c>
      <c r="AA3226">
        <f>IF(AND(ISNUMBER('자료_거시'!$J3208),ISNUMBER('자료_거시'!$K3208)),IFERROR('자료_거시'!$K3208/INDEX($Z$21:$Z$4020,MATCH(EDATE('자료_거시'!$J3208,-'설정'!$B$17),'자료_거시'!$J$3:INDEX('자료_거시'!$J$3:$J$4002,$K$8),1))-1,""),"")</f>
        <v/>
      </c>
      <c r="AB3226">
        <f>IF(ISNUMBER(AA3226),'자료_거시'!$J3208,"")</f>
        <v/>
      </c>
      <c r="AC3226">
        <f>IF(ISNUMBER(AB3226),IF(AB3226&gt;$L$8,AA3226,""),"")</f>
        <v/>
      </c>
    </row>
    <row r="3227">
      <c r="S3227">
        <f>IF(ISNUMBER('자료_거시'!$E3209),'자료_거시'!$E3209,S3226)</f>
        <v/>
      </c>
      <c r="T3227">
        <f>IF(AND(ISNUMBER('자료_거시'!$D3209),ISNUMBER('자료_거시'!$E3209)),IFERROR('자료_거시'!$E3209-INDEX($S$21:$S$4020,MATCH(EDATE('자료_거시'!$D3209,-'설정'!$B$17),'자료_거시'!$D$3:INDEX('자료_거시'!$D$3:$D$4002,$K$6),1)),""),"")</f>
        <v/>
      </c>
      <c r="U3227">
        <f>IF(ISNUMBER(T3227),'자료_거시'!$D3209,"")</f>
        <v/>
      </c>
      <c r="V3227">
        <f>IF(ISNUMBER(U3227),IF(U3227&gt;$L$6,T3227,""),"")</f>
        <v/>
      </c>
      <c r="W3227">
        <f>IF(AND(ISNUMBER('자료_거시'!$G3209),ISNUMBER('자료_거시'!$H3209)),'자료_거시'!$H3209,"")</f>
        <v/>
      </c>
      <c r="X3227">
        <f>IF(ISNUMBER(W3227),'자료_거시'!$G3209,"")</f>
        <v/>
      </c>
      <c r="Y3227">
        <f>IF(ISNUMBER(X3227),IF(X3227&gt;$L$7,W3227,""),"")</f>
        <v/>
      </c>
      <c r="Z3227">
        <f>IF(ISNUMBER('자료_거시'!$K3209),'자료_거시'!$K3209,Z3226)</f>
        <v/>
      </c>
      <c r="AA3227">
        <f>IF(AND(ISNUMBER('자료_거시'!$J3209),ISNUMBER('자료_거시'!$K3209)),IFERROR('자료_거시'!$K3209/INDEX($Z$21:$Z$4020,MATCH(EDATE('자료_거시'!$J3209,-'설정'!$B$17),'자료_거시'!$J$3:INDEX('자료_거시'!$J$3:$J$4002,$K$8),1))-1,""),"")</f>
        <v/>
      </c>
      <c r="AB3227">
        <f>IF(ISNUMBER(AA3227),'자료_거시'!$J3209,"")</f>
        <v/>
      </c>
      <c r="AC3227">
        <f>IF(ISNUMBER(AB3227),IF(AB3227&gt;$L$8,AA3227,""),"")</f>
        <v/>
      </c>
    </row>
    <row r="3228">
      <c r="S3228">
        <f>IF(ISNUMBER('자료_거시'!$E3210),'자료_거시'!$E3210,S3227)</f>
        <v/>
      </c>
      <c r="T3228">
        <f>IF(AND(ISNUMBER('자료_거시'!$D3210),ISNUMBER('자료_거시'!$E3210)),IFERROR('자료_거시'!$E3210-INDEX($S$21:$S$4020,MATCH(EDATE('자료_거시'!$D3210,-'설정'!$B$17),'자료_거시'!$D$3:INDEX('자료_거시'!$D$3:$D$4002,$K$6),1)),""),"")</f>
        <v/>
      </c>
      <c r="U3228">
        <f>IF(ISNUMBER(T3228),'자료_거시'!$D3210,"")</f>
        <v/>
      </c>
      <c r="V3228">
        <f>IF(ISNUMBER(U3228),IF(U3228&gt;$L$6,T3228,""),"")</f>
        <v/>
      </c>
      <c r="W3228">
        <f>IF(AND(ISNUMBER('자료_거시'!$G3210),ISNUMBER('자료_거시'!$H3210)),'자료_거시'!$H3210,"")</f>
        <v/>
      </c>
      <c r="X3228">
        <f>IF(ISNUMBER(W3228),'자료_거시'!$G3210,"")</f>
        <v/>
      </c>
      <c r="Y3228">
        <f>IF(ISNUMBER(X3228),IF(X3228&gt;$L$7,W3228,""),"")</f>
        <v/>
      </c>
      <c r="Z3228">
        <f>IF(ISNUMBER('자료_거시'!$K3210),'자료_거시'!$K3210,Z3227)</f>
        <v/>
      </c>
      <c r="AA3228">
        <f>IF(AND(ISNUMBER('자료_거시'!$J3210),ISNUMBER('자료_거시'!$K3210)),IFERROR('자료_거시'!$K3210/INDEX($Z$21:$Z$4020,MATCH(EDATE('자료_거시'!$J3210,-'설정'!$B$17),'자료_거시'!$J$3:INDEX('자료_거시'!$J$3:$J$4002,$K$8),1))-1,""),"")</f>
        <v/>
      </c>
      <c r="AB3228">
        <f>IF(ISNUMBER(AA3228),'자료_거시'!$J3210,"")</f>
        <v/>
      </c>
      <c r="AC3228">
        <f>IF(ISNUMBER(AB3228),IF(AB3228&gt;$L$8,AA3228,""),"")</f>
        <v/>
      </c>
    </row>
    <row r="3229">
      <c r="S3229">
        <f>IF(ISNUMBER('자료_거시'!$E3211),'자료_거시'!$E3211,S3228)</f>
        <v/>
      </c>
      <c r="T3229">
        <f>IF(AND(ISNUMBER('자료_거시'!$D3211),ISNUMBER('자료_거시'!$E3211)),IFERROR('자료_거시'!$E3211-INDEX($S$21:$S$4020,MATCH(EDATE('자료_거시'!$D3211,-'설정'!$B$17),'자료_거시'!$D$3:INDEX('자료_거시'!$D$3:$D$4002,$K$6),1)),""),"")</f>
        <v/>
      </c>
      <c r="U3229">
        <f>IF(ISNUMBER(T3229),'자료_거시'!$D3211,"")</f>
        <v/>
      </c>
      <c r="V3229">
        <f>IF(ISNUMBER(U3229),IF(U3229&gt;$L$6,T3229,""),"")</f>
        <v/>
      </c>
      <c r="W3229">
        <f>IF(AND(ISNUMBER('자료_거시'!$G3211),ISNUMBER('자료_거시'!$H3211)),'자료_거시'!$H3211,"")</f>
        <v/>
      </c>
      <c r="X3229">
        <f>IF(ISNUMBER(W3229),'자료_거시'!$G3211,"")</f>
        <v/>
      </c>
      <c r="Y3229">
        <f>IF(ISNUMBER(X3229),IF(X3229&gt;$L$7,W3229,""),"")</f>
        <v/>
      </c>
      <c r="Z3229">
        <f>IF(ISNUMBER('자료_거시'!$K3211),'자료_거시'!$K3211,Z3228)</f>
        <v/>
      </c>
      <c r="AA3229">
        <f>IF(AND(ISNUMBER('자료_거시'!$J3211),ISNUMBER('자료_거시'!$K3211)),IFERROR('자료_거시'!$K3211/INDEX($Z$21:$Z$4020,MATCH(EDATE('자료_거시'!$J3211,-'설정'!$B$17),'자료_거시'!$J$3:INDEX('자료_거시'!$J$3:$J$4002,$K$8),1))-1,""),"")</f>
        <v/>
      </c>
      <c r="AB3229">
        <f>IF(ISNUMBER(AA3229),'자료_거시'!$J3211,"")</f>
        <v/>
      </c>
      <c r="AC3229">
        <f>IF(ISNUMBER(AB3229),IF(AB3229&gt;$L$8,AA3229,""),"")</f>
        <v/>
      </c>
    </row>
    <row r="3230">
      <c r="S3230">
        <f>IF(ISNUMBER('자료_거시'!$E3212),'자료_거시'!$E3212,S3229)</f>
        <v/>
      </c>
      <c r="T3230">
        <f>IF(AND(ISNUMBER('자료_거시'!$D3212),ISNUMBER('자료_거시'!$E3212)),IFERROR('자료_거시'!$E3212-INDEX($S$21:$S$4020,MATCH(EDATE('자료_거시'!$D3212,-'설정'!$B$17),'자료_거시'!$D$3:INDEX('자료_거시'!$D$3:$D$4002,$K$6),1)),""),"")</f>
        <v/>
      </c>
      <c r="U3230">
        <f>IF(ISNUMBER(T3230),'자료_거시'!$D3212,"")</f>
        <v/>
      </c>
      <c r="V3230">
        <f>IF(ISNUMBER(U3230),IF(U3230&gt;$L$6,T3230,""),"")</f>
        <v/>
      </c>
      <c r="W3230">
        <f>IF(AND(ISNUMBER('자료_거시'!$G3212),ISNUMBER('자료_거시'!$H3212)),'자료_거시'!$H3212,"")</f>
        <v/>
      </c>
      <c r="X3230">
        <f>IF(ISNUMBER(W3230),'자료_거시'!$G3212,"")</f>
        <v/>
      </c>
      <c r="Y3230">
        <f>IF(ISNUMBER(X3230),IF(X3230&gt;$L$7,W3230,""),"")</f>
        <v/>
      </c>
      <c r="Z3230">
        <f>IF(ISNUMBER('자료_거시'!$K3212),'자료_거시'!$K3212,Z3229)</f>
        <v/>
      </c>
      <c r="AA3230">
        <f>IF(AND(ISNUMBER('자료_거시'!$J3212),ISNUMBER('자료_거시'!$K3212)),IFERROR('자료_거시'!$K3212/INDEX($Z$21:$Z$4020,MATCH(EDATE('자료_거시'!$J3212,-'설정'!$B$17),'자료_거시'!$J$3:INDEX('자료_거시'!$J$3:$J$4002,$K$8),1))-1,""),"")</f>
        <v/>
      </c>
      <c r="AB3230">
        <f>IF(ISNUMBER(AA3230),'자료_거시'!$J3212,"")</f>
        <v/>
      </c>
      <c r="AC3230">
        <f>IF(ISNUMBER(AB3230),IF(AB3230&gt;$L$8,AA3230,""),"")</f>
        <v/>
      </c>
    </row>
    <row r="3231">
      <c r="S3231">
        <f>IF(ISNUMBER('자료_거시'!$E3213),'자료_거시'!$E3213,S3230)</f>
        <v/>
      </c>
      <c r="T3231">
        <f>IF(AND(ISNUMBER('자료_거시'!$D3213),ISNUMBER('자료_거시'!$E3213)),IFERROR('자료_거시'!$E3213-INDEX($S$21:$S$4020,MATCH(EDATE('자료_거시'!$D3213,-'설정'!$B$17),'자료_거시'!$D$3:INDEX('자료_거시'!$D$3:$D$4002,$K$6),1)),""),"")</f>
        <v/>
      </c>
      <c r="U3231">
        <f>IF(ISNUMBER(T3231),'자료_거시'!$D3213,"")</f>
        <v/>
      </c>
      <c r="V3231">
        <f>IF(ISNUMBER(U3231),IF(U3231&gt;$L$6,T3231,""),"")</f>
        <v/>
      </c>
      <c r="W3231">
        <f>IF(AND(ISNUMBER('자료_거시'!$G3213),ISNUMBER('자료_거시'!$H3213)),'자료_거시'!$H3213,"")</f>
        <v/>
      </c>
      <c r="X3231">
        <f>IF(ISNUMBER(W3231),'자료_거시'!$G3213,"")</f>
        <v/>
      </c>
      <c r="Y3231">
        <f>IF(ISNUMBER(X3231),IF(X3231&gt;$L$7,W3231,""),"")</f>
        <v/>
      </c>
      <c r="Z3231">
        <f>IF(ISNUMBER('자료_거시'!$K3213),'자료_거시'!$K3213,Z3230)</f>
        <v/>
      </c>
      <c r="AA3231">
        <f>IF(AND(ISNUMBER('자료_거시'!$J3213),ISNUMBER('자료_거시'!$K3213)),IFERROR('자료_거시'!$K3213/INDEX($Z$21:$Z$4020,MATCH(EDATE('자료_거시'!$J3213,-'설정'!$B$17),'자료_거시'!$J$3:INDEX('자료_거시'!$J$3:$J$4002,$K$8),1))-1,""),"")</f>
        <v/>
      </c>
      <c r="AB3231">
        <f>IF(ISNUMBER(AA3231),'자료_거시'!$J3213,"")</f>
        <v/>
      </c>
      <c r="AC3231">
        <f>IF(ISNUMBER(AB3231),IF(AB3231&gt;$L$8,AA3231,""),"")</f>
        <v/>
      </c>
    </row>
    <row r="3232">
      <c r="S3232">
        <f>IF(ISNUMBER('자료_거시'!$E3214),'자료_거시'!$E3214,S3231)</f>
        <v/>
      </c>
      <c r="T3232">
        <f>IF(AND(ISNUMBER('자료_거시'!$D3214),ISNUMBER('자료_거시'!$E3214)),IFERROR('자료_거시'!$E3214-INDEX($S$21:$S$4020,MATCH(EDATE('자료_거시'!$D3214,-'설정'!$B$17),'자료_거시'!$D$3:INDEX('자료_거시'!$D$3:$D$4002,$K$6),1)),""),"")</f>
        <v/>
      </c>
      <c r="U3232">
        <f>IF(ISNUMBER(T3232),'자료_거시'!$D3214,"")</f>
        <v/>
      </c>
      <c r="V3232">
        <f>IF(ISNUMBER(U3232),IF(U3232&gt;$L$6,T3232,""),"")</f>
        <v/>
      </c>
      <c r="W3232">
        <f>IF(AND(ISNUMBER('자료_거시'!$G3214),ISNUMBER('자료_거시'!$H3214)),'자료_거시'!$H3214,"")</f>
        <v/>
      </c>
      <c r="X3232">
        <f>IF(ISNUMBER(W3232),'자료_거시'!$G3214,"")</f>
        <v/>
      </c>
      <c r="Y3232">
        <f>IF(ISNUMBER(X3232),IF(X3232&gt;$L$7,W3232,""),"")</f>
        <v/>
      </c>
      <c r="Z3232">
        <f>IF(ISNUMBER('자료_거시'!$K3214),'자료_거시'!$K3214,Z3231)</f>
        <v/>
      </c>
      <c r="AA3232">
        <f>IF(AND(ISNUMBER('자료_거시'!$J3214),ISNUMBER('자료_거시'!$K3214)),IFERROR('자료_거시'!$K3214/INDEX($Z$21:$Z$4020,MATCH(EDATE('자료_거시'!$J3214,-'설정'!$B$17),'자료_거시'!$J$3:INDEX('자료_거시'!$J$3:$J$4002,$K$8),1))-1,""),"")</f>
        <v/>
      </c>
      <c r="AB3232">
        <f>IF(ISNUMBER(AA3232),'자료_거시'!$J3214,"")</f>
        <v/>
      </c>
      <c r="AC3232">
        <f>IF(ISNUMBER(AB3232),IF(AB3232&gt;$L$8,AA3232,""),"")</f>
        <v/>
      </c>
    </row>
    <row r="3233">
      <c r="S3233">
        <f>IF(ISNUMBER('자료_거시'!$E3215),'자료_거시'!$E3215,S3232)</f>
        <v/>
      </c>
      <c r="T3233">
        <f>IF(AND(ISNUMBER('자료_거시'!$D3215),ISNUMBER('자료_거시'!$E3215)),IFERROR('자료_거시'!$E3215-INDEX($S$21:$S$4020,MATCH(EDATE('자료_거시'!$D3215,-'설정'!$B$17),'자료_거시'!$D$3:INDEX('자료_거시'!$D$3:$D$4002,$K$6),1)),""),"")</f>
        <v/>
      </c>
      <c r="U3233">
        <f>IF(ISNUMBER(T3233),'자료_거시'!$D3215,"")</f>
        <v/>
      </c>
      <c r="V3233">
        <f>IF(ISNUMBER(U3233),IF(U3233&gt;$L$6,T3233,""),"")</f>
        <v/>
      </c>
      <c r="W3233">
        <f>IF(AND(ISNUMBER('자료_거시'!$G3215),ISNUMBER('자료_거시'!$H3215)),'자료_거시'!$H3215,"")</f>
        <v/>
      </c>
      <c r="X3233">
        <f>IF(ISNUMBER(W3233),'자료_거시'!$G3215,"")</f>
        <v/>
      </c>
      <c r="Y3233">
        <f>IF(ISNUMBER(X3233),IF(X3233&gt;$L$7,W3233,""),"")</f>
        <v/>
      </c>
      <c r="Z3233">
        <f>IF(ISNUMBER('자료_거시'!$K3215),'자료_거시'!$K3215,Z3232)</f>
        <v/>
      </c>
      <c r="AA3233">
        <f>IF(AND(ISNUMBER('자료_거시'!$J3215),ISNUMBER('자료_거시'!$K3215)),IFERROR('자료_거시'!$K3215/INDEX($Z$21:$Z$4020,MATCH(EDATE('자료_거시'!$J3215,-'설정'!$B$17),'자료_거시'!$J$3:INDEX('자료_거시'!$J$3:$J$4002,$K$8),1))-1,""),"")</f>
        <v/>
      </c>
      <c r="AB3233">
        <f>IF(ISNUMBER(AA3233),'자료_거시'!$J3215,"")</f>
        <v/>
      </c>
      <c r="AC3233">
        <f>IF(ISNUMBER(AB3233),IF(AB3233&gt;$L$8,AA3233,""),"")</f>
        <v/>
      </c>
    </row>
    <row r="3234">
      <c r="S3234">
        <f>IF(ISNUMBER('자료_거시'!$E3216),'자료_거시'!$E3216,S3233)</f>
        <v/>
      </c>
      <c r="T3234">
        <f>IF(AND(ISNUMBER('자료_거시'!$D3216),ISNUMBER('자료_거시'!$E3216)),IFERROR('자료_거시'!$E3216-INDEX($S$21:$S$4020,MATCH(EDATE('자료_거시'!$D3216,-'설정'!$B$17),'자료_거시'!$D$3:INDEX('자료_거시'!$D$3:$D$4002,$K$6),1)),""),"")</f>
        <v/>
      </c>
      <c r="U3234">
        <f>IF(ISNUMBER(T3234),'자료_거시'!$D3216,"")</f>
        <v/>
      </c>
      <c r="V3234">
        <f>IF(ISNUMBER(U3234),IF(U3234&gt;$L$6,T3234,""),"")</f>
        <v/>
      </c>
      <c r="W3234">
        <f>IF(AND(ISNUMBER('자료_거시'!$G3216),ISNUMBER('자료_거시'!$H3216)),'자료_거시'!$H3216,"")</f>
        <v/>
      </c>
      <c r="X3234">
        <f>IF(ISNUMBER(W3234),'자료_거시'!$G3216,"")</f>
        <v/>
      </c>
      <c r="Y3234">
        <f>IF(ISNUMBER(X3234),IF(X3234&gt;$L$7,W3234,""),"")</f>
        <v/>
      </c>
      <c r="Z3234">
        <f>IF(ISNUMBER('자료_거시'!$K3216),'자료_거시'!$K3216,Z3233)</f>
        <v/>
      </c>
      <c r="AA3234">
        <f>IF(AND(ISNUMBER('자료_거시'!$J3216),ISNUMBER('자료_거시'!$K3216)),IFERROR('자료_거시'!$K3216/INDEX($Z$21:$Z$4020,MATCH(EDATE('자료_거시'!$J3216,-'설정'!$B$17),'자료_거시'!$J$3:INDEX('자료_거시'!$J$3:$J$4002,$K$8),1))-1,""),"")</f>
        <v/>
      </c>
      <c r="AB3234">
        <f>IF(ISNUMBER(AA3234),'자료_거시'!$J3216,"")</f>
        <v/>
      </c>
      <c r="AC3234">
        <f>IF(ISNUMBER(AB3234),IF(AB3234&gt;$L$8,AA3234,""),"")</f>
        <v/>
      </c>
    </row>
    <row r="3235">
      <c r="S3235">
        <f>IF(ISNUMBER('자료_거시'!$E3217),'자료_거시'!$E3217,S3234)</f>
        <v/>
      </c>
      <c r="T3235">
        <f>IF(AND(ISNUMBER('자료_거시'!$D3217),ISNUMBER('자료_거시'!$E3217)),IFERROR('자료_거시'!$E3217-INDEX($S$21:$S$4020,MATCH(EDATE('자료_거시'!$D3217,-'설정'!$B$17),'자료_거시'!$D$3:INDEX('자료_거시'!$D$3:$D$4002,$K$6),1)),""),"")</f>
        <v/>
      </c>
      <c r="U3235">
        <f>IF(ISNUMBER(T3235),'자료_거시'!$D3217,"")</f>
        <v/>
      </c>
      <c r="V3235">
        <f>IF(ISNUMBER(U3235),IF(U3235&gt;$L$6,T3235,""),"")</f>
        <v/>
      </c>
      <c r="W3235">
        <f>IF(AND(ISNUMBER('자료_거시'!$G3217),ISNUMBER('자료_거시'!$H3217)),'자료_거시'!$H3217,"")</f>
        <v/>
      </c>
      <c r="X3235">
        <f>IF(ISNUMBER(W3235),'자료_거시'!$G3217,"")</f>
        <v/>
      </c>
      <c r="Y3235">
        <f>IF(ISNUMBER(X3235),IF(X3235&gt;$L$7,W3235,""),"")</f>
        <v/>
      </c>
      <c r="Z3235">
        <f>IF(ISNUMBER('자료_거시'!$K3217),'자료_거시'!$K3217,Z3234)</f>
        <v/>
      </c>
      <c r="AA3235">
        <f>IF(AND(ISNUMBER('자료_거시'!$J3217),ISNUMBER('자료_거시'!$K3217)),IFERROR('자료_거시'!$K3217/INDEX($Z$21:$Z$4020,MATCH(EDATE('자료_거시'!$J3217,-'설정'!$B$17),'자료_거시'!$J$3:INDEX('자료_거시'!$J$3:$J$4002,$K$8),1))-1,""),"")</f>
        <v/>
      </c>
      <c r="AB3235">
        <f>IF(ISNUMBER(AA3235),'자료_거시'!$J3217,"")</f>
        <v/>
      </c>
      <c r="AC3235">
        <f>IF(ISNUMBER(AB3235),IF(AB3235&gt;$L$8,AA3235,""),"")</f>
        <v/>
      </c>
    </row>
    <row r="3236">
      <c r="S3236">
        <f>IF(ISNUMBER('자료_거시'!$E3218),'자료_거시'!$E3218,S3235)</f>
        <v/>
      </c>
      <c r="T3236">
        <f>IF(AND(ISNUMBER('자료_거시'!$D3218),ISNUMBER('자료_거시'!$E3218)),IFERROR('자료_거시'!$E3218-INDEX($S$21:$S$4020,MATCH(EDATE('자료_거시'!$D3218,-'설정'!$B$17),'자료_거시'!$D$3:INDEX('자료_거시'!$D$3:$D$4002,$K$6),1)),""),"")</f>
        <v/>
      </c>
      <c r="U3236">
        <f>IF(ISNUMBER(T3236),'자료_거시'!$D3218,"")</f>
        <v/>
      </c>
      <c r="V3236">
        <f>IF(ISNUMBER(U3236),IF(U3236&gt;$L$6,T3236,""),"")</f>
        <v/>
      </c>
      <c r="W3236">
        <f>IF(AND(ISNUMBER('자료_거시'!$G3218),ISNUMBER('자료_거시'!$H3218)),'자료_거시'!$H3218,"")</f>
        <v/>
      </c>
      <c r="X3236">
        <f>IF(ISNUMBER(W3236),'자료_거시'!$G3218,"")</f>
        <v/>
      </c>
      <c r="Y3236">
        <f>IF(ISNUMBER(X3236),IF(X3236&gt;$L$7,W3236,""),"")</f>
        <v/>
      </c>
      <c r="Z3236">
        <f>IF(ISNUMBER('자료_거시'!$K3218),'자료_거시'!$K3218,Z3235)</f>
        <v/>
      </c>
      <c r="AA3236">
        <f>IF(AND(ISNUMBER('자료_거시'!$J3218),ISNUMBER('자료_거시'!$K3218)),IFERROR('자료_거시'!$K3218/INDEX($Z$21:$Z$4020,MATCH(EDATE('자료_거시'!$J3218,-'설정'!$B$17),'자료_거시'!$J$3:INDEX('자료_거시'!$J$3:$J$4002,$K$8),1))-1,""),"")</f>
        <v/>
      </c>
      <c r="AB3236">
        <f>IF(ISNUMBER(AA3236),'자료_거시'!$J3218,"")</f>
        <v/>
      </c>
      <c r="AC3236">
        <f>IF(ISNUMBER(AB3236),IF(AB3236&gt;$L$8,AA3236,""),"")</f>
        <v/>
      </c>
    </row>
    <row r="3237">
      <c r="S3237">
        <f>IF(ISNUMBER('자료_거시'!$E3219),'자료_거시'!$E3219,S3236)</f>
        <v/>
      </c>
      <c r="T3237">
        <f>IF(AND(ISNUMBER('자료_거시'!$D3219),ISNUMBER('자료_거시'!$E3219)),IFERROR('자료_거시'!$E3219-INDEX($S$21:$S$4020,MATCH(EDATE('자료_거시'!$D3219,-'설정'!$B$17),'자료_거시'!$D$3:INDEX('자료_거시'!$D$3:$D$4002,$K$6),1)),""),"")</f>
        <v/>
      </c>
      <c r="U3237">
        <f>IF(ISNUMBER(T3237),'자료_거시'!$D3219,"")</f>
        <v/>
      </c>
      <c r="V3237">
        <f>IF(ISNUMBER(U3237),IF(U3237&gt;$L$6,T3237,""),"")</f>
        <v/>
      </c>
      <c r="W3237">
        <f>IF(AND(ISNUMBER('자료_거시'!$G3219),ISNUMBER('자료_거시'!$H3219)),'자료_거시'!$H3219,"")</f>
        <v/>
      </c>
      <c r="X3237">
        <f>IF(ISNUMBER(W3237),'자료_거시'!$G3219,"")</f>
        <v/>
      </c>
      <c r="Y3237">
        <f>IF(ISNUMBER(X3237),IF(X3237&gt;$L$7,W3237,""),"")</f>
        <v/>
      </c>
      <c r="Z3237">
        <f>IF(ISNUMBER('자료_거시'!$K3219),'자료_거시'!$K3219,Z3236)</f>
        <v/>
      </c>
      <c r="AA3237">
        <f>IF(AND(ISNUMBER('자료_거시'!$J3219),ISNUMBER('자료_거시'!$K3219)),IFERROR('자료_거시'!$K3219/INDEX($Z$21:$Z$4020,MATCH(EDATE('자료_거시'!$J3219,-'설정'!$B$17),'자료_거시'!$J$3:INDEX('자료_거시'!$J$3:$J$4002,$K$8),1))-1,""),"")</f>
        <v/>
      </c>
      <c r="AB3237">
        <f>IF(ISNUMBER(AA3237),'자료_거시'!$J3219,"")</f>
        <v/>
      </c>
      <c r="AC3237">
        <f>IF(ISNUMBER(AB3237),IF(AB3237&gt;$L$8,AA3237,""),"")</f>
        <v/>
      </c>
    </row>
    <row r="3238">
      <c r="S3238">
        <f>IF(ISNUMBER('자료_거시'!$E3220),'자료_거시'!$E3220,S3237)</f>
        <v/>
      </c>
      <c r="T3238">
        <f>IF(AND(ISNUMBER('자료_거시'!$D3220),ISNUMBER('자료_거시'!$E3220)),IFERROR('자료_거시'!$E3220-INDEX($S$21:$S$4020,MATCH(EDATE('자료_거시'!$D3220,-'설정'!$B$17),'자료_거시'!$D$3:INDEX('자료_거시'!$D$3:$D$4002,$K$6),1)),""),"")</f>
        <v/>
      </c>
      <c r="U3238">
        <f>IF(ISNUMBER(T3238),'자료_거시'!$D3220,"")</f>
        <v/>
      </c>
      <c r="V3238">
        <f>IF(ISNUMBER(U3238),IF(U3238&gt;$L$6,T3238,""),"")</f>
        <v/>
      </c>
      <c r="W3238">
        <f>IF(AND(ISNUMBER('자료_거시'!$G3220),ISNUMBER('자료_거시'!$H3220)),'자료_거시'!$H3220,"")</f>
        <v/>
      </c>
      <c r="X3238">
        <f>IF(ISNUMBER(W3238),'자료_거시'!$G3220,"")</f>
        <v/>
      </c>
      <c r="Y3238">
        <f>IF(ISNUMBER(X3238),IF(X3238&gt;$L$7,W3238,""),"")</f>
        <v/>
      </c>
      <c r="Z3238">
        <f>IF(ISNUMBER('자료_거시'!$K3220),'자료_거시'!$K3220,Z3237)</f>
        <v/>
      </c>
      <c r="AA3238">
        <f>IF(AND(ISNUMBER('자료_거시'!$J3220),ISNUMBER('자료_거시'!$K3220)),IFERROR('자료_거시'!$K3220/INDEX($Z$21:$Z$4020,MATCH(EDATE('자료_거시'!$J3220,-'설정'!$B$17),'자료_거시'!$J$3:INDEX('자료_거시'!$J$3:$J$4002,$K$8),1))-1,""),"")</f>
        <v/>
      </c>
      <c r="AB3238">
        <f>IF(ISNUMBER(AA3238),'자료_거시'!$J3220,"")</f>
        <v/>
      </c>
      <c r="AC3238">
        <f>IF(ISNUMBER(AB3238),IF(AB3238&gt;$L$8,AA3238,""),"")</f>
        <v/>
      </c>
    </row>
    <row r="3239">
      <c r="S3239">
        <f>IF(ISNUMBER('자료_거시'!$E3221),'자료_거시'!$E3221,S3238)</f>
        <v/>
      </c>
      <c r="T3239">
        <f>IF(AND(ISNUMBER('자료_거시'!$D3221),ISNUMBER('자료_거시'!$E3221)),IFERROR('자료_거시'!$E3221-INDEX($S$21:$S$4020,MATCH(EDATE('자료_거시'!$D3221,-'설정'!$B$17),'자료_거시'!$D$3:INDEX('자료_거시'!$D$3:$D$4002,$K$6),1)),""),"")</f>
        <v/>
      </c>
      <c r="U3239">
        <f>IF(ISNUMBER(T3239),'자료_거시'!$D3221,"")</f>
        <v/>
      </c>
      <c r="V3239">
        <f>IF(ISNUMBER(U3239),IF(U3239&gt;$L$6,T3239,""),"")</f>
        <v/>
      </c>
      <c r="W3239">
        <f>IF(AND(ISNUMBER('자료_거시'!$G3221),ISNUMBER('자료_거시'!$H3221)),'자료_거시'!$H3221,"")</f>
        <v/>
      </c>
      <c r="X3239">
        <f>IF(ISNUMBER(W3239),'자료_거시'!$G3221,"")</f>
        <v/>
      </c>
      <c r="Y3239">
        <f>IF(ISNUMBER(X3239),IF(X3239&gt;$L$7,W3239,""),"")</f>
        <v/>
      </c>
      <c r="Z3239">
        <f>IF(ISNUMBER('자료_거시'!$K3221),'자료_거시'!$K3221,Z3238)</f>
        <v/>
      </c>
      <c r="AA3239">
        <f>IF(AND(ISNUMBER('자료_거시'!$J3221),ISNUMBER('자료_거시'!$K3221)),IFERROR('자료_거시'!$K3221/INDEX($Z$21:$Z$4020,MATCH(EDATE('자료_거시'!$J3221,-'설정'!$B$17),'자료_거시'!$J$3:INDEX('자료_거시'!$J$3:$J$4002,$K$8),1))-1,""),"")</f>
        <v/>
      </c>
      <c r="AB3239">
        <f>IF(ISNUMBER(AA3239),'자료_거시'!$J3221,"")</f>
        <v/>
      </c>
      <c r="AC3239">
        <f>IF(ISNUMBER(AB3239),IF(AB3239&gt;$L$8,AA3239,""),"")</f>
        <v/>
      </c>
    </row>
    <row r="3240">
      <c r="S3240">
        <f>IF(ISNUMBER('자료_거시'!$E3222),'자료_거시'!$E3222,S3239)</f>
        <v/>
      </c>
      <c r="T3240">
        <f>IF(AND(ISNUMBER('자료_거시'!$D3222),ISNUMBER('자료_거시'!$E3222)),IFERROR('자료_거시'!$E3222-INDEX($S$21:$S$4020,MATCH(EDATE('자료_거시'!$D3222,-'설정'!$B$17),'자료_거시'!$D$3:INDEX('자료_거시'!$D$3:$D$4002,$K$6),1)),""),"")</f>
        <v/>
      </c>
      <c r="U3240">
        <f>IF(ISNUMBER(T3240),'자료_거시'!$D3222,"")</f>
        <v/>
      </c>
      <c r="V3240">
        <f>IF(ISNUMBER(U3240),IF(U3240&gt;$L$6,T3240,""),"")</f>
        <v/>
      </c>
      <c r="W3240">
        <f>IF(AND(ISNUMBER('자료_거시'!$G3222),ISNUMBER('자료_거시'!$H3222)),'자료_거시'!$H3222,"")</f>
        <v/>
      </c>
      <c r="X3240">
        <f>IF(ISNUMBER(W3240),'자료_거시'!$G3222,"")</f>
        <v/>
      </c>
      <c r="Y3240">
        <f>IF(ISNUMBER(X3240),IF(X3240&gt;$L$7,W3240,""),"")</f>
        <v/>
      </c>
      <c r="Z3240">
        <f>IF(ISNUMBER('자료_거시'!$K3222),'자료_거시'!$K3222,Z3239)</f>
        <v/>
      </c>
      <c r="AA3240">
        <f>IF(AND(ISNUMBER('자료_거시'!$J3222),ISNUMBER('자료_거시'!$K3222)),IFERROR('자료_거시'!$K3222/INDEX($Z$21:$Z$4020,MATCH(EDATE('자료_거시'!$J3222,-'설정'!$B$17),'자료_거시'!$J$3:INDEX('자료_거시'!$J$3:$J$4002,$K$8),1))-1,""),"")</f>
        <v/>
      </c>
      <c r="AB3240">
        <f>IF(ISNUMBER(AA3240),'자료_거시'!$J3222,"")</f>
        <v/>
      </c>
      <c r="AC3240">
        <f>IF(ISNUMBER(AB3240),IF(AB3240&gt;$L$8,AA3240,""),"")</f>
        <v/>
      </c>
    </row>
    <row r="3241">
      <c r="S3241">
        <f>IF(ISNUMBER('자료_거시'!$E3223),'자료_거시'!$E3223,S3240)</f>
        <v/>
      </c>
      <c r="T3241">
        <f>IF(AND(ISNUMBER('자료_거시'!$D3223),ISNUMBER('자료_거시'!$E3223)),IFERROR('자료_거시'!$E3223-INDEX($S$21:$S$4020,MATCH(EDATE('자료_거시'!$D3223,-'설정'!$B$17),'자료_거시'!$D$3:INDEX('자료_거시'!$D$3:$D$4002,$K$6),1)),""),"")</f>
        <v/>
      </c>
      <c r="U3241">
        <f>IF(ISNUMBER(T3241),'자료_거시'!$D3223,"")</f>
        <v/>
      </c>
      <c r="V3241">
        <f>IF(ISNUMBER(U3241),IF(U3241&gt;$L$6,T3241,""),"")</f>
        <v/>
      </c>
      <c r="W3241">
        <f>IF(AND(ISNUMBER('자료_거시'!$G3223),ISNUMBER('자료_거시'!$H3223)),'자료_거시'!$H3223,"")</f>
        <v/>
      </c>
      <c r="X3241">
        <f>IF(ISNUMBER(W3241),'자료_거시'!$G3223,"")</f>
        <v/>
      </c>
      <c r="Y3241">
        <f>IF(ISNUMBER(X3241),IF(X3241&gt;$L$7,W3241,""),"")</f>
        <v/>
      </c>
      <c r="Z3241">
        <f>IF(ISNUMBER('자료_거시'!$K3223),'자료_거시'!$K3223,Z3240)</f>
        <v/>
      </c>
      <c r="AA3241">
        <f>IF(AND(ISNUMBER('자료_거시'!$J3223),ISNUMBER('자료_거시'!$K3223)),IFERROR('자료_거시'!$K3223/INDEX($Z$21:$Z$4020,MATCH(EDATE('자료_거시'!$J3223,-'설정'!$B$17),'자료_거시'!$J$3:INDEX('자료_거시'!$J$3:$J$4002,$K$8),1))-1,""),"")</f>
        <v/>
      </c>
      <c r="AB3241">
        <f>IF(ISNUMBER(AA3241),'자료_거시'!$J3223,"")</f>
        <v/>
      </c>
      <c r="AC3241">
        <f>IF(ISNUMBER(AB3241),IF(AB3241&gt;$L$8,AA3241,""),"")</f>
        <v/>
      </c>
    </row>
    <row r="3242">
      <c r="S3242">
        <f>IF(ISNUMBER('자료_거시'!$E3224),'자료_거시'!$E3224,S3241)</f>
        <v/>
      </c>
      <c r="T3242">
        <f>IF(AND(ISNUMBER('자료_거시'!$D3224),ISNUMBER('자료_거시'!$E3224)),IFERROR('자료_거시'!$E3224-INDEX($S$21:$S$4020,MATCH(EDATE('자료_거시'!$D3224,-'설정'!$B$17),'자료_거시'!$D$3:INDEX('자료_거시'!$D$3:$D$4002,$K$6),1)),""),"")</f>
        <v/>
      </c>
      <c r="U3242">
        <f>IF(ISNUMBER(T3242),'자료_거시'!$D3224,"")</f>
        <v/>
      </c>
      <c r="V3242">
        <f>IF(ISNUMBER(U3242),IF(U3242&gt;$L$6,T3242,""),"")</f>
        <v/>
      </c>
      <c r="W3242">
        <f>IF(AND(ISNUMBER('자료_거시'!$G3224),ISNUMBER('자료_거시'!$H3224)),'자료_거시'!$H3224,"")</f>
        <v/>
      </c>
      <c r="X3242">
        <f>IF(ISNUMBER(W3242),'자료_거시'!$G3224,"")</f>
        <v/>
      </c>
      <c r="Y3242">
        <f>IF(ISNUMBER(X3242),IF(X3242&gt;$L$7,W3242,""),"")</f>
        <v/>
      </c>
      <c r="Z3242">
        <f>IF(ISNUMBER('자료_거시'!$K3224),'자료_거시'!$K3224,Z3241)</f>
        <v/>
      </c>
      <c r="AA3242">
        <f>IF(AND(ISNUMBER('자료_거시'!$J3224),ISNUMBER('자료_거시'!$K3224)),IFERROR('자료_거시'!$K3224/INDEX($Z$21:$Z$4020,MATCH(EDATE('자료_거시'!$J3224,-'설정'!$B$17),'자료_거시'!$J$3:INDEX('자료_거시'!$J$3:$J$4002,$K$8),1))-1,""),"")</f>
        <v/>
      </c>
      <c r="AB3242">
        <f>IF(ISNUMBER(AA3242),'자료_거시'!$J3224,"")</f>
        <v/>
      </c>
      <c r="AC3242">
        <f>IF(ISNUMBER(AB3242),IF(AB3242&gt;$L$8,AA3242,""),"")</f>
        <v/>
      </c>
    </row>
    <row r="3243">
      <c r="S3243">
        <f>IF(ISNUMBER('자료_거시'!$E3225),'자료_거시'!$E3225,S3242)</f>
        <v/>
      </c>
      <c r="T3243">
        <f>IF(AND(ISNUMBER('자료_거시'!$D3225),ISNUMBER('자료_거시'!$E3225)),IFERROR('자료_거시'!$E3225-INDEX($S$21:$S$4020,MATCH(EDATE('자료_거시'!$D3225,-'설정'!$B$17),'자료_거시'!$D$3:INDEX('자료_거시'!$D$3:$D$4002,$K$6),1)),""),"")</f>
        <v/>
      </c>
      <c r="U3243">
        <f>IF(ISNUMBER(T3243),'자료_거시'!$D3225,"")</f>
        <v/>
      </c>
      <c r="V3243">
        <f>IF(ISNUMBER(U3243),IF(U3243&gt;$L$6,T3243,""),"")</f>
        <v/>
      </c>
      <c r="W3243">
        <f>IF(AND(ISNUMBER('자료_거시'!$G3225),ISNUMBER('자료_거시'!$H3225)),'자료_거시'!$H3225,"")</f>
        <v/>
      </c>
      <c r="X3243">
        <f>IF(ISNUMBER(W3243),'자료_거시'!$G3225,"")</f>
        <v/>
      </c>
      <c r="Y3243">
        <f>IF(ISNUMBER(X3243),IF(X3243&gt;$L$7,W3243,""),"")</f>
        <v/>
      </c>
      <c r="Z3243">
        <f>IF(ISNUMBER('자료_거시'!$K3225),'자료_거시'!$K3225,Z3242)</f>
        <v/>
      </c>
      <c r="AA3243">
        <f>IF(AND(ISNUMBER('자료_거시'!$J3225),ISNUMBER('자료_거시'!$K3225)),IFERROR('자료_거시'!$K3225/INDEX($Z$21:$Z$4020,MATCH(EDATE('자료_거시'!$J3225,-'설정'!$B$17),'자료_거시'!$J$3:INDEX('자료_거시'!$J$3:$J$4002,$K$8),1))-1,""),"")</f>
        <v/>
      </c>
      <c r="AB3243">
        <f>IF(ISNUMBER(AA3243),'자료_거시'!$J3225,"")</f>
        <v/>
      </c>
      <c r="AC3243">
        <f>IF(ISNUMBER(AB3243),IF(AB3243&gt;$L$8,AA3243,""),"")</f>
        <v/>
      </c>
    </row>
    <row r="3244">
      <c r="S3244">
        <f>IF(ISNUMBER('자료_거시'!$E3226),'자료_거시'!$E3226,S3243)</f>
        <v/>
      </c>
      <c r="T3244">
        <f>IF(AND(ISNUMBER('자료_거시'!$D3226),ISNUMBER('자료_거시'!$E3226)),IFERROR('자료_거시'!$E3226-INDEX($S$21:$S$4020,MATCH(EDATE('자료_거시'!$D3226,-'설정'!$B$17),'자료_거시'!$D$3:INDEX('자료_거시'!$D$3:$D$4002,$K$6),1)),""),"")</f>
        <v/>
      </c>
      <c r="U3244">
        <f>IF(ISNUMBER(T3244),'자료_거시'!$D3226,"")</f>
        <v/>
      </c>
      <c r="V3244">
        <f>IF(ISNUMBER(U3244),IF(U3244&gt;$L$6,T3244,""),"")</f>
        <v/>
      </c>
      <c r="W3244">
        <f>IF(AND(ISNUMBER('자료_거시'!$G3226),ISNUMBER('자료_거시'!$H3226)),'자료_거시'!$H3226,"")</f>
        <v/>
      </c>
      <c r="X3244">
        <f>IF(ISNUMBER(W3244),'자료_거시'!$G3226,"")</f>
        <v/>
      </c>
      <c r="Y3244">
        <f>IF(ISNUMBER(X3244),IF(X3244&gt;$L$7,W3244,""),"")</f>
        <v/>
      </c>
      <c r="Z3244">
        <f>IF(ISNUMBER('자료_거시'!$K3226),'자료_거시'!$K3226,Z3243)</f>
        <v/>
      </c>
      <c r="AA3244">
        <f>IF(AND(ISNUMBER('자료_거시'!$J3226),ISNUMBER('자료_거시'!$K3226)),IFERROR('자료_거시'!$K3226/INDEX($Z$21:$Z$4020,MATCH(EDATE('자료_거시'!$J3226,-'설정'!$B$17),'자료_거시'!$J$3:INDEX('자료_거시'!$J$3:$J$4002,$K$8),1))-1,""),"")</f>
        <v/>
      </c>
      <c r="AB3244">
        <f>IF(ISNUMBER(AA3244),'자료_거시'!$J3226,"")</f>
        <v/>
      </c>
      <c r="AC3244">
        <f>IF(ISNUMBER(AB3244),IF(AB3244&gt;$L$8,AA3244,""),"")</f>
        <v/>
      </c>
    </row>
    <row r="3245">
      <c r="S3245">
        <f>IF(ISNUMBER('자료_거시'!$E3227),'자료_거시'!$E3227,S3244)</f>
        <v/>
      </c>
      <c r="T3245">
        <f>IF(AND(ISNUMBER('자료_거시'!$D3227),ISNUMBER('자료_거시'!$E3227)),IFERROR('자료_거시'!$E3227-INDEX($S$21:$S$4020,MATCH(EDATE('자료_거시'!$D3227,-'설정'!$B$17),'자료_거시'!$D$3:INDEX('자료_거시'!$D$3:$D$4002,$K$6),1)),""),"")</f>
        <v/>
      </c>
      <c r="U3245">
        <f>IF(ISNUMBER(T3245),'자료_거시'!$D3227,"")</f>
        <v/>
      </c>
      <c r="V3245">
        <f>IF(ISNUMBER(U3245),IF(U3245&gt;$L$6,T3245,""),"")</f>
        <v/>
      </c>
      <c r="W3245">
        <f>IF(AND(ISNUMBER('자료_거시'!$G3227),ISNUMBER('자료_거시'!$H3227)),'자료_거시'!$H3227,"")</f>
        <v/>
      </c>
      <c r="X3245">
        <f>IF(ISNUMBER(W3245),'자료_거시'!$G3227,"")</f>
        <v/>
      </c>
      <c r="Y3245">
        <f>IF(ISNUMBER(X3245),IF(X3245&gt;$L$7,W3245,""),"")</f>
        <v/>
      </c>
      <c r="Z3245">
        <f>IF(ISNUMBER('자료_거시'!$K3227),'자료_거시'!$K3227,Z3244)</f>
        <v/>
      </c>
      <c r="AA3245">
        <f>IF(AND(ISNUMBER('자료_거시'!$J3227),ISNUMBER('자료_거시'!$K3227)),IFERROR('자료_거시'!$K3227/INDEX($Z$21:$Z$4020,MATCH(EDATE('자료_거시'!$J3227,-'설정'!$B$17),'자료_거시'!$J$3:INDEX('자료_거시'!$J$3:$J$4002,$K$8),1))-1,""),"")</f>
        <v/>
      </c>
      <c r="AB3245">
        <f>IF(ISNUMBER(AA3245),'자료_거시'!$J3227,"")</f>
        <v/>
      </c>
      <c r="AC3245">
        <f>IF(ISNUMBER(AB3245),IF(AB3245&gt;$L$8,AA3245,""),"")</f>
        <v/>
      </c>
    </row>
    <row r="3246">
      <c r="S3246">
        <f>IF(ISNUMBER('자료_거시'!$E3228),'자료_거시'!$E3228,S3245)</f>
        <v/>
      </c>
      <c r="T3246">
        <f>IF(AND(ISNUMBER('자료_거시'!$D3228),ISNUMBER('자료_거시'!$E3228)),IFERROR('자료_거시'!$E3228-INDEX($S$21:$S$4020,MATCH(EDATE('자료_거시'!$D3228,-'설정'!$B$17),'자료_거시'!$D$3:INDEX('자료_거시'!$D$3:$D$4002,$K$6),1)),""),"")</f>
        <v/>
      </c>
      <c r="U3246">
        <f>IF(ISNUMBER(T3246),'자료_거시'!$D3228,"")</f>
        <v/>
      </c>
      <c r="V3246">
        <f>IF(ISNUMBER(U3246),IF(U3246&gt;$L$6,T3246,""),"")</f>
        <v/>
      </c>
      <c r="W3246">
        <f>IF(AND(ISNUMBER('자료_거시'!$G3228),ISNUMBER('자료_거시'!$H3228)),'자료_거시'!$H3228,"")</f>
        <v/>
      </c>
      <c r="X3246">
        <f>IF(ISNUMBER(W3246),'자료_거시'!$G3228,"")</f>
        <v/>
      </c>
      <c r="Y3246">
        <f>IF(ISNUMBER(X3246),IF(X3246&gt;$L$7,W3246,""),"")</f>
        <v/>
      </c>
      <c r="Z3246">
        <f>IF(ISNUMBER('자료_거시'!$K3228),'자료_거시'!$K3228,Z3245)</f>
        <v/>
      </c>
      <c r="AA3246">
        <f>IF(AND(ISNUMBER('자료_거시'!$J3228),ISNUMBER('자료_거시'!$K3228)),IFERROR('자료_거시'!$K3228/INDEX($Z$21:$Z$4020,MATCH(EDATE('자료_거시'!$J3228,-'설정'!$B$17),'자료_거시'!$J$3:INDEX('자료_거시'!$J$3:$J$4002,$K$8),1))-1,""),"")</f>
        <v/>
      </c>
      <c r="AB3246">
        <f>IF(ISNUMBER(AA3246),'자료_거시'!$J3228,"")</f>
        <v/>
      </c>
      <c r="AC3246">
        <f>IF(ISNUMBER(AB3246),IF(AB3246&gt;$L$8,AA3246,""),"")</f>
        <v/>
      </c>
    </row>
    <row r="3247">
      <c r="S3247">
        <f>IF(ISNUMBER('자료_거시'!$E3229),'자료_거시'!$E3229,S3246)</f>
        <v/>
      </c>
      <c r="T3247">
        <f>IF(AND(ISNUMBER('자료_거시'!$D3229),ISNUMBER('자료_거시'!$E3229)),IFERROR('자료_거시'!$E3229-INDEX($S$21:$S$4020,MATCH(EDATE('자료_거시'!$D3229,-'설정'!$B$17),'자료_거시'!$D$3:INDEX('자료_거시'!$D$3:$D$4002,$K$6),1)),""),"")</f>
        <v/>
      </c>
      <c r="U3247">
        <f>IF(ISNUMBER(T3247),'자료_거시'!$D3229,"")</f>
        <v/>
      </c>
      <c r="V3247">
        <f>IF(ISNUMBER(U3247),IF(U3247&gt;$L$6,T3247,""),"")</f>
        <v/>
      </c>
      <c r="W3247">
        <f>IF(AND(ISNUMBER('자료_거시'!$G3229),ISNUMBER('자료_거시'!$H3229)),'자료_거시'!$H3229,"")</f>
        <v/>
      </c>
      <c r="X3247">
        <f>IF(ISNUMBER(W3247),'자료_거시'!$G3229,"")</f>
        <v/>
      </c>
      <c r="Y3247">
        <f>IF(ISNUMBER(X3247),IF(X3247&gt;$L$7,W3247,""),"")</f>
        <v/>
      </c>
      <c r="Z3247">
        <f>IF(ISNUMBER('자료_거시'!$K3229),'자료_거시'!$K3229,Z3246)</f>
        <v/>
      </c>
      <c r="AA3247">
        <f>IF(AND(ISNUMBER('자료_거시'!$J3229),ISNUMBER('자료_거시'!$K3229)),IFERROR('자료_거시'!$K3229/INDEX($Z$21:$Z$4020,MATCH(EDATE('자료_거시'!$J3229,-'설정'!$B$17),'자료_거시'!$J$3:INDEX('자료_거시'!$J$3:$J$4002,$K$8),1))-1,""),"")</f>
        <v/>
      </c>
      <c r="AB3247">
        <f>IF(ISNUMBER(AA3247),'자료_거시'!$J3229,"")</f>
        <v/>
      </c>
      <c r="AC3247">
        <f>IF(ISNUMBER(AB3247),IF(AB3247&gt;$L$8,AA3247,""),"")</f>
        <v/>
      </c>
    </row>
    <row r="3248">
      <c r="S3248">
        <f>IF(ISNUMBER('자료_거시'!$E3230),'자료_거시'!$E3230,S3247)</f>
        <v/>
      </c>
      <c r="T3248">
        <f>IF(AND(ISNUMBER('자료_거시'!$D3230),ISNUMBER('자료_거시'!$E3230)),IFERROR('자료_거시'!$E3230-INDEX($S$21:$S$4020,MATCH(EDATE('자료_거시'!$D3230,-'설정'!$B$17),'자료_거시'!$D$3:INDEX('자료_거시'!$D$3:$D$4002,$K$6),1)),""),"")</f>
        <v/>
      </c>
      <c r="U3248">
        <f>IF(ISNUMBER(T3248),'자료_거시'!$D3230,"")</f>
        <v/>
      </c>
      <c r="V3248">
        <f>IF(ISNUMBER(U3248),IF(U3248&gt;$L$6,T3248,""),"")</f>
        <v/>
      </c>
      <c r="W3248">
        <f>IF(AND(ISNUMBER('자료_거시'!$G3230),ISNUMBER('자료_거시'!$H3230)),'자료_거시'!$H3230,"")</f>
        <v/>
      </c>
      <c r="X3248">
        <f>IF(ISNUMBER(W3248),'자료_거시'!$G3230,"")</f>
        <v/>
      </c>
      <c r="Y3248">
        <f>IF(ISNUMBER(X3248),IF(X3248&gt;$L$7,W3248,""),"")</f>
        <v/>
      </c>
      <c r="Z3248">
        <f>IF(ISNUMBER('자료_거시'!$K3230),'자료_거시'!$K3230,Z3247)</f>
        <v/>
      </c>
      <c r="AA3248">
        <f>IF(AND(ISNUMBER('자료_거시'!$J3230),ISNUMBER('자료_거시'!$K3230)),IFERROR('자료_거시'!$K3230/INDEX($Z$21:$Z$4020,MATCH(EDATE('자료_거시'!$J3230,-'설정'!$B$17),'자료_거시'!$J$3:INDEX('자료_거시'!$J$3:$J$4002,$K$8),1))-1,""),"")</f>
        <v/>
      </c>
      <c r="AB3248">
        <f>IF(ISNUMBER(AA3248),'자료_거시'!$J3230,"")</f>
        <v/>
      </c>
      <c r="AC3248">
        <f>IF(ISNUMBER(AB3248),IF(AB3248&gt;$L$8,AA3248,""),"")</f>
        <v/>
      </c>
    </row>
    <row r="3249">
      <c r="S3249">
        <f>IF(ISNUMBER('자료_거시'!$E3231),'자료_거시'!$E3231,S3248)</f>
        <v/>
      </c>
      <c r="T3249">
        <f>IF(AND(ISNUMBER('자료_거시'!$D3231),ISNUMBER('자료_거시'!$E3231)),IFERROR('자료_거시'!$E3231-INDEX($S$21:$S$4020,MATCH(EDATE('자료_거시'!$D3231,-'설정'!$B$17),'자료_거시'!$D$3:INDEX('자료_거시'!$D$3:$D$4002,$K$6),1)),""),"")</f>
        <v/>
      </c>
      <c r="U3249">
        <f>IF(ISNUMBER(T3249),'자료_거시'!$D3231,"")</f>
        <v/>
      </c>
      <c r="V3249">
        <f>IF(ISNUMBER(U3249),IF(U3249&gt;$L$6,T3249,""),"")</f>
        <v/>
      </c>
      <c r="W3249">
        <f>IF(AND(ISNUMBER('자료_거시'!$G3231),ISNUMBER('자료_거시'!$H3231)),'자료_거시'!$H3231,"")</f>
        <v/>
      </c>
      <c r="X3249">
        <f>IF(ISNUMBER(W3249),'자료_거시'!$G3231,"")</f>
        <v/>
      </c>
      <c r="Y3249">
        <f>IF(ISNUMBER(X3249),IF(X3249&gt;$L$7,W3249,""),"")</f>
        <v/>
      </c>
      <c r="Z3249">
        <f>IF(ISNUMBER('자료_거시'!$K3231),'자료_거시'!$K3231,Z3248)</f>
        <v/>
      </c>
      <c r="AA3249">
        <f>IF(AND(ISNUMBER('자료_거시'!$J3231),ISNUMBER('자료_거시'!$K3231)),IFERROR('자료_거시'!$K3231/INDEX($Z$21:$Z$4020,MATCH(EDATE('자료_거시'!$J3231,-'설정'!$B$17),'자료_거시'!$J$3:INDEX('자료_거시'!$J$3:$J$4002,$K$8),1))-1,""),"")</f>
        <v/>
      </c>
      <c r="AB3249">
        <f>IF(ISNUMBER(AA3249),'자료_거시'!$J3231,"")</f>
        <v/>
      </c>
      <c r="AC3249">
        <f>IF(ISNUMBER(AB3249),IF(AB3249&gt;$L$8,AA3249,""),"")</f>
        <v/>
      </c>
    </row>
    <row r="3250">
      <c r="S3250">
        <f>IF(ISNUMBER('자료_거시'!$E3232),'자료_거시'!$E3232,S3249)</f>
        <v/>
      </c>
      <c r="T3250">
        <f>IF(AND(ISNUMBER('자료_거시'!$D3232),ISNUMBER('자료_거시'!$E3232)),IFERROR('자료_거시'!$E3232-INDEX($S$21:$S$4020,MATCH(EDATE('자료_거시'!$D3232,-'설정'!$B$17),'자료_거시'!$D$3:INDEX('자료_거시'!$D$3:$D$4002,$K$6),1)),""),"")</f>
        <v/>
      </c>
      <c r="U3250">
        <f>IF(ISNUMBER(T3250),'자료_거시'!$D3232,"")</f>
        <v/>
      </c>
      <c r="V3250">
        <f>IF(ISNUMBER(U3250),IF(U3250&gt;$L$6,T3250,""),"")</f>
        <v/>
      </c>
      <c r="W3250">
        <f>IF(AND(ISNUMBER('자료_거시'!$G3232),ISNUMBER('자료_거시'!$H3232)),'자료_거시'!$H3232,"")</f>
        <v/>
      </c>
      <c r="X3250">
        <f>IF(ISNUMBER(W3250),'자료_거시'!$G3232,"")</f>
        <v/>
      </c>
      <c r="Y3250">
        <f>IF(ISNUMBER(X3250),IF(X3250&gt;$L$7,W3250,""),"")</f>
        <v/>
      </c>
      <c r="Z3250">
        <f>IF(ISNUMBER('자료_거시'!$K3232),'자료_거시'!$K3232,Z3249)</f>
        <v/>
      </c>
      <c r="AA3250">
        <f>IF(AND(ISNUMBER('자료_거시'!$J3232),ISNUMBER('자료_거시'!$K3232)),IFERROR('자료_거시'!$K3232/INDEX($Z$21:$Z$4020,MATCH(EDATE('자료_거시'!$J3232,-'설정'!$B$17),'자료_거시'!$J$3:INDEX('자료_거시'!$J$3:$J$4002,$K$8),1))-1,""),"")</f>
        <v/>
      </c>
      <c r="AB3250">
        <f>IF(ISNUMBER(AA3250),'자료_거시'!$J3232,"")</f>
        <v/>
      </c>
      <c r="AC3250">
        <f>IF(ISNUMBER(AB3250),IF(AB3250&gt;$L$8,AA3250,""),"")</f>
        <v/>
      </c>
    </row>
    <row r="3251">
      <c r="S3251">
        <f>IF(ISNUMBER('자료_거시'!$E3233),'자료_거시'!$E3233,S3250)</f>
        <v/>
      </c>
      <c r="T3251">
        <f>IF(AND(ISNUMBER('자료_거시'!$D3233),ISNUMBER('자료_거시'!$E3233)),IFERROR('자료_거시'!$E3233-INDEX($S$21:$S$4020,MATCH(EDATE('자료_거시'!$D3233,-'설정'!$B$17),'자료_거시'!$D$3:INDEX('자료_거시'!$D$3:$D$4002,$K$6),1)),""),"")</f>
        <v/>
      </c>
      <c r="U3251">
        <f>IF(ISNUMBER(T3251),'자료_거시'!$D3233,"")</f>
        <v/>
      </c>
      <c r="V3251">
        <f>IF(ISNUMBER(U3251),IF(U3251&gt;$L$6,T3251,""),"")</f>
        <v/>
      </c>
      <c r="W3251">
        <f>IF(AND(ISNUMBER('자료_거시'!$G3233),ISNUMBER('자료_거시'!$H3233)),'자료_거시'!$H3233,"")</f>
        <v/>
      </c>
      <c r="X3251">
        <f>IF(ISNUMBER(W3251),'자료_거시'!$G3233,"")</f>
        <v/>
      </c>
      <c r="Y3251">
        <f>IF(ISNUMBER(X3251),IF(X3251&gt;$L$7,W3251,""),"")</f>
        <v/>
      </c>
      <c r="Z3251">
        <f>IF(ISNUMBER('자료_거시'!$K3233),'자료_거시'!$K3233,Z3250)</f>
        <v/>
      </c>
      <c r="AA3251">
        <f>IF(AND(ISNUMBER('자료_거시'!$J3233),ISNUMBER('자료_거시'!$K3233)),IFERROR('자료_거시'!$K3233/INDEX($Z$21:$Z$4020,MATCH(EDATE('자료_거시'!$J3233,-'설정'!$B$17),'자료_거시'!$J$3:INDEX('자료_거시'!$J$3:$J$4002,$K$8),1))-1,""),"")</f>
        <v/>
      </c>
      <c r="AB3251">
        <f>IF(ISNUMBER(AA3251),'자료_거시'!$J3233,"")</f>
        <v/>
      </c>
      <c r="AC3251">
        <f>IF(ISNUMBER(AB3251),IF(AB3251&gt;$L$8,AA3251,""),"")</f>
        <v/>
      </c>
    </row>
    <row r="3252">
      <c r="S3252">
        <f>IF(ISNUMBER('자료_거시'!$E3234),'자료_거시'!$E3234,S3251)</f>
        <v/>
      </c>
      <c r="T3252">
        <f>IF(AND(ISNUMBER('자료_거시'!$D3234),ISNUMBER('자료_거시'!$E3234)),IFERROR('자료_거시'!$E3234-INDEX($S$21:$S$4020,MATCH(EDATE('자료_거시'!$D3234,-'설정'!$B$17),'자료_거시'!$D$3:INDEX('자료_거시'!$D$3:$D$4002,$K$6),1)),""),"")</f>
        <v/>
      </c>
      <c r="U3252">
        <f>IF(ISNUMBER(T3252),'자료_거시'!$D3234,"")</f>
        <v/>
      </c>
      <c r="V3252">
        <f>IF(ISNUMBER(U3252),IF(U3252&gt;$L$6,T3252,""),"")</f>
        <v/>
      </c>
      <c r="W3252">
        <f>IF(AND(ISNUMBER('자료_거시'!$G3234),ISNUMBER('자료_거시'!$H3234)),'자료_거시'!$H3234,"")</f>
        <v/>
      </c>
      <c r="X3252">
        <f>IF(ISNUMBER(W3252),'자료_거시'!$G3234,"")</f>
        <v/>
      </c>
      <c r="Y3252">
        <f>IF(ISNUMBER(X3252),IF(X3252&gt;$L$7,W3252,""),"")</f>
        <v/>
      </c>
      <c r="Z3252">
        <f>IF(ISNUMBER('자료_거시'!$K3234),'자료_거시'!$K3234,Z3251)</f>
        <v/>
      </c>
      <c r="AA3252">
        <f>IF(AND(ISNUMBER('자료_거시'!$J3234),ISNUMBER('자료_거시'!$K3234)),IFERROR('자료_거시'!$K3234/INDEX($Z$21:$Z$4020,MATCH(EDATE('자료_거시'!$J3234,-'설정'!$B$17),'자료_거시'!$J$3:INDEX('자료_거시'!$J$3:$J$4002,$K$8),1))-1,""),"")</f>
        <v/>
      </c>
      <c r="AB3252">
        <f>IF(ISNUMBER(AA3252),'자료_거시'!$J3234,"")</f>
        <v/>
      </c>
      <c r="AC3252">
        <f>IF(ISNUMBER(AB3252),IF(AB3252&gt;$L$8,AA3252,""),"")</f>
        <v/>
      </c>
    </row>
    <row r="3253">
      <c r="S3253">
        <f>IF(ISNUMBER('자료_거시'!$E3235),'자료_거시'!$E3235,S3252)</f>
        <v/>
      </c>
      <c r="T3253">
        <f>IF(AND(ISNUMBER('자료_거시'!$D3235),ISNUMBER('자료_거시'!$E3235)),IFERROR('자료_거시'!$E3235-INDEX($S$21:$S$4020,MATCH(EDATE('자료_거시'!$D3235,-'설정'!$B$17),'자료_거시'!$D$3:INDEX('자료_거시'!$D$3:$D$4002,$K$6),1)),""),"")</f>
        <v/>
      </c>
      <c r="U3253">
        <f>IF(ISNUMBER(T3253),'자료_거시'!$D3235,"")</f>
        <v/>
      </c>
      <c r="V3253">
        <f>IF(ISNUMBER(U3253),IF(U3253&gt;$L$6,T3253,""),"")</f>
        <v/>
      </c>
      <c r="W3253">
        <f>IF(AND(ISNUMBER('자료_거시'!$G3235),ISNUMBER('자료_거시'!$H3235)),'자료_거시'!$H3235,"")</f>
        <v/>
      </c>
      <c r="X3253">
        <f>IF(ISNUMBER(W3253),'자료_거시'!$G3235,"")</f>
        <v/>
      </c>
      <c r="Y3253">
        <f>IF(ISNUMBER(X3253),IF(X3253&gt;$L$7,W3253,""),"")</f>
        <v/>
      </c>
      <c r="Z3253">
        <f>IF(ISNUMBER('자료_거시'!$K3235),'자료_거시'!$K3235,Z3252)</f>
        <v/>
      </c>
      <c r="AA3253">
        <f>IF(AND(ISNUMBER('자료_거시'!$J3235),ISNUMBER('자료_거시'!$K3235)),IFERROR('자료_거시'!$K3235/INDEX($Z$21:$Z$4020,MATCH(EDATE('자료_거시'!$J3235,-'설정'!$B$17),'자료_거시'!$J$3:INDEX('자료_거시'!$J$3:$J$4002,$K$8),1))-1,""),"")</f>
        <v/>
      </c>
      <c r="AB3253">
        <f>IF(ISNUMBER(AA3253),'자료_거시'!$J3235,"")</f>
        <v/>
      </c>
      <c r="AC3253">
        <f>IF(ISNUMBER(AB3253),IF(AB3253&gt;$L$8,AA3253,""),"")</f>
        <v/>
      </c>
    </row>
    <row r="3254">
      <c r="S3254">
        <f>IF(ISNUMBER('자료_거시'!$E3236),'자료_거시'!$E3236,S3253)</f>
        <v/>
      </c>
      <c r="T3254">
        <f>IF(AND(ISNUMBER('자료_거시'!$D3236),ISNUMBER('자료_거시'!$E3236)),IFERROR('자료_거시'!$E3236-INDEX($S$21:$S$4020,MATCH(EDATE('자료_거시'!$D3236,-'설정'!$B$17),'자료_거시'!$D$3:INDEX('자료_거시'!$D$3:$D$4002,$K$6),1)),""),"")</f>
        <v/>
      </c>
      <c r="U3254">
        <f>IF(ISNUMBER(T3254),'자료_거시'!$D3236,"")</f>
        <v/>
      </c>
      <c r="V3254">
        <f>IF(ISNUMBER(U3254),IF(U3254&gt;$L$6,T3254,""),"")</f>
        <v/>
      </c>
      <c r="W3254">
        <f>IF(AND(ISNUMBER('자료_거시'!$G3236),ISNUMBER('자료_거시'!$H3236)),'자료_거시'!$H3236,"")</f>
        <v/>
      </c>
      <c r="X3254">
        <f>IF(ISNUMBER(W3254),'자료_거시'!$G3236,"")</f>
        <v/>
      </c>
      <c r="Y3254">
        <f>IF(ISNUMBER(X3254),IF(X3254&gt;$L$7,W3254,""),"")</f>
        <v/>
      </c>
      <c r="Z3254">
        <f>IF(ISNUMBER('자료_거시'!$K3236),'자료_거시'!$K3236,Z3253)</f>
        <v/>
      </c>
      <c r="AA3254">
        <f>IF(AND(ISNUMBER('자료_거시'!$J3236),ISNUMBER('자료_거시'!$K3236)),IFERROR('자료_거시'!$K3236/INDEX($Z$21:$Z$4020,MATCH(EDATE('자료_거시'!$J3236,-'설정'!$B$17),'자료_거시'!$J$3:INDEX('자료_거시'!$J$3:$J$4002,$K$8),1))-1,""),"")</f>
        <v/>
      </c>
      <c r="AB3254">
        <f>IF(ISNUMBER(AA3254),'자료_거시'!$J3236,"")</f>
        <v/>
      </c>
      <c r="AC3254">
        <f>IF(ISNUMBER(AB3254),IF(AB3254&gt;$L$8,AA3254,""),"")</f>
        <v/>
      </c>
    </row>
    <row r="3255">
      <c r="S3255">
        <f>IF(ISNUMBER('자료_거시'!$E3237),'자료_거시'!$E3237,S3254)</f>
        <v/>
      </c>
      <c r="T3255">
        <f>IF(AND(ISNUMBER('자료_거시'!$D3237),ISNUMBER('자료_거시'!$E3237)),IFERROR('자료_거시'!$E3237-INDEX($S$21:$S$4020,MATCH(EDATE('자료_거시'!$D3237,-'설정'!$B$17),'자료_거시'!$D$3:INDEX('자료_거시'!$D$3:$D$4002,$K$6),1)),""),"")</f>
        <v/>
      </c>
      <c r="U3255">
        <f>IF(ISNUMBER(T3255),'자료_거시'!$D3237,"")</f>
        <v/>
      </c>
      <c r="V3255">
        <f>IF(ISNUMBER(U3255),IF(U3255&gt;$L$6,T3255,""),"")</f>
        <v/>
      </c>
      <c r="W3255">
        <f>IF(AND(ISNUMBER('자료_거시'!$G3237),ISNUMBER('자료_거시'!$H3237)),'자료_거시'!$H3237,"")</f>
        <v/>
      </c>
      <c r="X3255">
        <f>IF(ISNUMBER(W3255),'자료_거시'!$G3237,"")</f>
        <v/>
      </c>
      <c r="Y3255">
        <f>IF(ISNUMBER(X3255),IF(X3255&gt;$L$7,W3255,""),"")</f>
        <v/>
      </c>
      <c r="Z3255">
        <f>IF(ISNUMBER('자료_거시'!$K3237),'자료_거시'!$K3237,Z3254)</f>
        <v/>
      </c>
      <c r="AA3255">
        <f>IF(AND(ISNUMBER('자료_거시'!$J3237),ISNUMBER('자료_거시'!$K3237)),IFERROR('자료_거시'!$K3237/INDEX($Z$21:$Z$4020,MATCH(EDATE('자료_거시'!$J3237,-'설정'!$B$17),'자료_거시'!$J$3:INDEX('자료_거시'!$J$3:$J$4002,$K$8),1))-1,""),"")</f>
        <v/>
      </c>
      <c r="AB3255">
        <f>IF(ISNUMBER(AA3255),'자료_거시'!$J3237,"")</f>
        <v/>
      </c>
      <c r="AC3255">
        <f>IF(ISNUMBER(AB3255),IF(AB3255&gt;$L$8,AA3255,""),"")</f>
        <v/>
      </c>
    </row>
    <row r="3256">
      <c r="S3256">
        <f>IF(ISNUMBER('자료_거시'!$E3238),'자료_거시'!$E3238,S3255)</f>
        <v/>
      </c>
      <c r="T3256">
        <f>IF(AND(ISNUMBER('자료_거시'!$D3238),ISNUMBER('자료_거시'!$E3238)),IFERROR('자료_거시'!$E3238-INDEX($S$21:$S$4020,MATCH(EDATE('자료_거시'!$D3238,-'설정'!$B$17),'자료_거시'!$D$3:INDEX('자료_거시'!$D$3:$D$4002,$K$6),1)),""),"")</f>
        <v/>
      </c>
      <c r="U3256">
        <f>IF(ISNUMBER(T3256),'자료_거시'!$D3238,"")</f>
        <v/>
      </c>
      <c r="V3256">
        <f>IF(ISNUMBER(U3256),IF(U3256&gt;$L$6,T3256,""),"")</f>
        <v/>
      </c>
      <c r="W3256">
        <f>IF(AND(ISNUMBER('자료_거시'!$G3238),ISNUMBER('자료_거시'!$H3238)),'자료_거시'!$H3238,"")</f>
        <v/>
      </c>
      <c r="X3256">
        <f>IF(ISNUMBER(W3256),'자료_거시'!$G3238,"")</f>
        <v/>
      </c>
      <c r="Y3256">
        <f>IF(ISNUMBER(X3256),IF(X3256&gt;$L$7,W3256,""),"")</f>
        <v/>
      </c>
      <c r="Z3256">
        <f>IF(ISNUMBER('자료_거시'!$K3238),'자료_거시'!$K3238,Z3255)</f>
        <v/>
      </c>
      <c r="AA3256">
        <f>IF(AND(ISNUMBER('자료_거시'!$J3238),ISNUMBER('자료_거시'!$K3238)),IFERROR('자료_거시'!$K3238/INDEX($Z$21:$Z$4020,MATCH(EDATE('자료_거시'!$J3238,-'설정'!$B$17),'자료_거시'!$J$3:INDEX('자료_거시'!$J$3:$J$4002,$K$8),1))-1,""),"")</f>
        <v/>
      </c>
      <c r="AB3256">
        <f>IF(ISNUMBER(AA3256),'자료_거시'!$J3238,"")</f>
        <v/>
      </c>
      <c r="AC3256">
        <f>IF(ISNUMBER(AB3256),IF(AB3256&gt;$L$8,AA3256,""),"")</f>
        <v/>
      </c>
    </row>
    <row r="3257">
      <c r="S3257">
        <f>IF(ISNUMBER('자료_거시'!$E3239),'자료_거시'!$E3239,S3256)</f>
        <v/>
      </c>
      <c r="T3257">
        <f>IF(AND(ISNUMBER('자료_거시'!$D3239),ISNUMBER('자료_거시'!$E3239)),IFERROR('자료_거시'!$E3239-INDEX($S$21:$S$4020,MATCH(EDATE('자료_거시'!$D3239,-'설정'!$B$17),'자료_거시'!$D$3:INDEX('자료_거시'!$D$3:$D$4002,$K$6),1)),""),"")</f>
        <v/>
      </c>
      <c r="U3257">
        <f>IF(ISNUMBER(T3257),'자료_거시'!$D3239,"")</f>
        <v/>
      </c>
      <c r="V3257">
        <f>IF(ISNUMBER(U3257),IF(U3257&gt;$L$6,T3257,""),"")</f>
        <v/>
      </c>
      <c r="W3257">
        <f>IF(AND(ISNUMBER('자료_거시'!$G3239),ISNUMBER('자료_거시'!$H3239)),'자료_거시'!$H3239,"")</f>
        <v/>
      </c>
      <c r="X3257">
        <f>IF(ISNUMBER(W3257),'자료_거시'!$G3239,"")</f>
        <v/>
      </c>
      <c r="Y3257">
        <f>IF(ISNUMBER(X3257),IF(X3257&gt;$L$7,W3257,""),"")</f>
        <v/>
      </c>
      <c r="Z3257">
        <f>IF(ISNUMBER('자료_거시'!$K3239),'자료_거시'!$K3239,Z3256)</f>
        <v/>
      </c>
      <c r="AA3257">
        <f>IF(AND(ISNUMBER('자료_거시'!$J3239),ISNUMBER('자료_거시'!$K3239)),IFERROR('자료_거시'!$K3239/INDEX($Z$21:$Z$4020,MATCH(EDATE('자료_거시'!$J3239,-'설정'!$B$17),'자료_거시'!$J$3:INDEX('자료_거시'!$J$3:$J$4002,$K$8),1))-1,""),"")</f>
        <v/>
      </c>
      <c r="AB3257">
        <f>IF(ISNUMBER(AA3257),'자료_거시'!$J3239,"")</f>
        <v/>
      </c>
      <c r="AC3257">
        <f>IF(ISNUMBER(AB3257),IF(AB3257&gt;$L$8,AA3257,""),"")</f>
        <v/>
      </c>
    </row>
    <row r="3258">
      <c r="S3258">
        <f>IF(ISNUMBER('자료_거시'!$E3240),'자료_거시'!$E3240,S3257)</f>
        <v/>
      </c>
      <c r="T3258">
        <f>IF(AND(ISNUMBER('자료_거시'!$D3240),ISNUMBER('자료_거시'!$E3240)),IFERROR('자료_거시'!$E3240-INDEX($S$21:$S$4020,MATCH(EDATE('자료_거시'!$D3240,-'설정'!$B$17),'자료_거시'!$D$3:INDEX('자료_거시'!$D$3:$D$4002,$K$6),1)),""),"")</f>
        <v/>
      </c>
      <c r="U3258">
        <f>IF(ISNUMBER(T3258),'자료_거시'!$D3240,"")</f>
        <v/>
      </c>
      <c r="V3258">
        <f>IF(ISNUMBER(U3258),IF(U3258&gt;$L$6,T3258,""),"")</f>
        <v/>
      </c>
      <c r="W3258">
        <f>IF(AND(ISNUMBER('자료_거시'!$G3240),ISNUMBER('자료_거시'!$H3240)),'자료_거시'!$H3240,"")</f>
        <v/>
      </c>
      <c r="X3258">
        <f>IF(ISNUMBER(W3258),'자료_거시'!$G3240,"")</f>
        <v/>
      </c>
      <c r="Y3258">
        <f>IF(ISNUMBER(X3258),IF(X3258&gt;$L$7,W3258,""),"")</f>
        <v/>
      </c>
      <c r="Z3258">
        <f>IF(ISNUMBER('자료_거시'!$K3240),'자료_거시'!$K3240,Z3257)</f>
        <v/>
      </c>
      <c r="AA3258">
        <f>IF(AND(ISNUMBER('자료_거시'!$J3240),ISNUMBER('자료_거시'!$K3240)),IFERROR('자료_거시'!$K3240/INDEX($Z$21:$Z$4020,MATCH(EDATE('자료_거시'!$J3240,-'설정'!$B$17),'자료_거시'!$J$3:INDEX('자료_거시'!$J$3:$J$4002,$K$8),1))-1,""),"")</f>
        <v/>
      </c>
      <c r="AB3258">
        <f>IF(ISNUMBER(AA3258),'자료_거시'!$J3240,"")</f>
        <v/>
      </c>
      <c r="AC3258">
        <f>IF(ISNUMBER(AB3258),IF(AB3258&gt;$L$8,AA3258,""),"")</f>
        <v/>
      </c>
    </row>
    <row r="3259">
      <c r="S3259">
        <f>IF(ISNUMBER('자료_거시'!$E3241),'자료_거시'!$E3241,S3258)</f>
        <v/>
      </c>
      <c r="T3259">
        <f>IF(AND(ISNUMBER('자료_거시'!$D3241),ISNUMBER('자료_거시'!$E3241)),IFERROR('자료_거시'!$E3241-INDEX($S$21:$S$4020,MATCH(EDATE('자료_거시'!$D3241,-'설정'!$B$17),'자료_거시'!$D$3:INDEX('자료_거시'!$D$3:$D$4002,$K$6),1)),""),"")</f>
        <v/>
      </c>
      <c r="U3259">
        <f>IF(ISNUMBER(T3259),'자료_거시'!$D3241,"")</f>
        <v/>
      </c>
      <c r="V3259">
        <f>IF(ISNUMBER(U3259),IF(U3259&gt;$L$6,T3259,""),"")</f>
        <v/>
      </c>
      <c r="W3259">
        <f>IF(AND(ISNUMBER('자료_거시'!$G3241),ISNUMBER('자료_거시'!$H3241)),'자료_거시'!$H3241,"")</f>
        <v/>
      </c>
      <c r="X3259">
        <f>IF(ISNUMBER(W3259),'자료_거시'!$G3241,"")</f>
        <v/>
      </c>
      <c r="Y3259">
        <f>IF(ISNUMBER(X3259),IF(X3259&gt;$L$7,W3259,""),"")</f>
        <v/>
      </c>
      <c r="Z3259">
        <f>IF(ISNUMBER('자료_거시'!$K3241),'자료_거시'!$K3241,Z3258)</f>
        <v/>
      </c>
      <c r="AA3259">
        <f>IF(AND(ISNUMBER('자료_거시'!$J3241),ISNUMBER('자료_거시'!$K3241)),IFERROR('자료_거시'!$K3241/INDEX($Z$21:$Z$4020,MATCH(EDATE('자료_거시'!$J3241,-'설정'!$B$17),'자료_거시'!$J$3:INDEX('자료_거시'!$J$3:$J$4002,$K$8),1))-1,""),"")</f>
        <v/>
      </c>
      <c r="AB3259">
        <f>IF(ISNUMBER(AA3259),'자료_거시'!$J3241,"")</f>
        <v/>
      </c>
      <c r="AC3259">
        <f>IF(ISNUMBER(AB3259),IF(AB3259&gt;$L$8,AA3259,""),"")</f>
        <v/>
      </c>
    </row>
    <row r="3260">
      <c r="S3260">
        <f>IF(ISNUMBER('자료_거시'!$E3242),'자료_거시'!$E3242,S3259)</f>
        <v/>
      </c>
      <c r="T3260">
        <f>IF(AND(ISNUMBER('자료_거시'!$D3242),ISNUMBER('자료_거시'!$E3242)),IFERROR('자료_거시'!$E3242-INDEX($S$21:$S$4020,MATCH(EDATE('자료_거시'!$D3242,-'설정'!$B$17),'자료_거시'!$D$3:INDEX('자료_거시'!$D$3:$D$4002,$K$6),1)),""),"")</f>
        <v/>
      </c>
      <c r="U3260">
        <f>IF(ISNUMBER(T3260),'자료_거시'!$D3242,"")</f>
        <v/>
      </c>
      <c r="V3260">
        <f>IF(ISNUMBER(U3260),IF(U3260&gt;$L$6,T3260,""),"")</f>
        <v/>
      </c>
      <c r="W3260">
        <f>IF(AND(ISNUMBER('자료_거시'!$G3242),ISNUMBER('자료_거시'!$H3242)),'자료_거시'!$H3242,"")</f>
        <v/>
      </c>
      <c r="X3260">
        <f>IF(ISNUMBER(W3260),'자료_거시'!$G3242,"")</f>
        <v/>
      </c>
      <c r="Y3260">
        <f>IF(ISNUMBER(X3260),IF(X3260&gt;$L$7,W3260,""),"")</f>
        <v/>
      </c>
      <c r="Z3260">
        <f>IF(ISNUMBER('자료_거시'!$K3242),'자료_거시'!$K3242,Z3259)</f>
        <v/>
      </c>
      <c r="AA3260">
        <f>IF(AND(ISNUMBER('자료_거시'!$J3242),ISNUMBER('자료_거시'!$K3242)),IFERROR('자료_거시'!$K3242/INDEX($Z$21:$Z$4020,MATCH(EDATE('자료_거시'!$J3242,-'설정'!$B$17),'자료_거시'!$J$3:INDEX('자료_거시'!$J$3:$J$4002,$K$8),1))-1,""),"")</f>
        <v/>
      </c>
      <c r="AB3260">
        <f>IF(ISNUMBER(AA3260),'자료_거시'!$J3242,"")</f>
        <v/>
      </c>
      <c r="AC3260">
        <f>IF(ISNUMBER(AB3260),IF(AB3260&gt;$L$8,AA3260,""),"")</f>
        <v/>
      </c>
    </row>
    <row r="3261">
      <c r="S3261">
        <f>IF(ISNUMBER('자료_거시'!$E3243),'자료_거시'!$E3243,S3260)</f>
        <v/>
      </c>
      <c r="T3261">
        <f>IF(AND(ISNUMBER('자료_거시'!$D3243),ISNUMBER('자료_거시'!$E3243)),IFERROR('자료_거시'!$E3243-INDEX($S$21:$S$4020,MATCH(EDATE('자료_거시'!$D3243,-'설정'!$B$17),'자료_거시'!$D$3:INDEX('자료_거시'!$D$3:$D$4002,$K$6),1)),""),"")</f>
        <v/>
      </c>
      <c r="U3261">
        <f>IF(ISNUMBER(T3261),'자료_거시'!$D3243,"")</f>
        <v/>
      </c>
      <c r="V3261">
        <f>IF(ISNUMBER(U3261),IF(U3261&gt;$L$6,T3261,""),"")</f>
        <v/>
      </c>
      <c r="W3261">
        <f>IF(AND(ISNUMBER('자료_거시'!$G3243),ISNUMBER('자료_거시'!$H3243)),'자료_거시'!$H3243,"")</f>
        <v/>
      </c>
      <c r="X3261">
        <f>IF(ISNUMBER(W3261),'자료_거시'!$G3243,"")</f>
        <v/>
      </c>
      <c r="Y3261">
        <f>IF(ISNUMBER(X3261),IF(X3261&gt;$L$7,W3261,""),"")</f>
        <v/>
      </c>
      <c r="Z3261">
        <f>IF(ISNUMBER('자료_거시'!$K3243),'자료_거시'!$K3243,Z3260)</f>
        <v/>
      </c>
      <c r="AA3261">
        <f>IF(AND(ISNUMBER('자료_거시'!$J3243),ISNUMBER('자료_거시'!$K3243)),IFERROR('자료_거시'!$K3243/INDEX($Z$21:$Z$4020,MATCH(EDATE('자료_거시'!$J3243,-'설정'!$B$17),'자료_거시'!$J$3:INDEX('자료_거시'!$J$3:$J$4002,$K$8),1))-1,""),"")</f>
        <v/>
      </c>
      <c r="AB3261">
        <f>IF(ISNUMBER(AA3261),'자료_거시'!$J3243,"")</f>
        <v/>
      </c>
      <c r="AC3261">
        <f>IF(ISNUMBER(AB3261),IF(AB3261&gt;$L$8,AA3261,""),"")</f>
        <v/>
      </c>
    </row>
    <row r="3262">
      <c r="S3262">
        <f>IF(ISNUMBER('자료_거시'!$E3244),'자료_거시'!$E3244,S3261)</f>
        <v/>
      </c>
      <c r="T3262">
        <f>IF(AND(ISNUMBER('자료_거시'!$D3244),ISNUMBER('자료_거시'!$E3244)),IFERROR('자료_거시'!$E3244-INDEX($S$21:$S$4020,MATCH(EDATE('자료_거시'!$D3244,-'설정'!$B$17),'자료_거시'!$D$3:INDEX('자료_거시'!$D$3:$D$4002,$K$6),1)),""),"")</f>
        <v/>
      </c>
      <c r="U3262">
        <f>IF(ISNUMBER(T3262),'자료_거시'!$D3244,"")</f>
        <v/>
      </c>
      <c r="V3262">
        <f>IF(ISNUMBER(U3262),IF(U3262&gt;$L$6,T3262,""),"")</f>
        <v/>
      </c>
      <c r="W3262">
        <f>IF(AND(ISNUMBER('자료_거시'!$G3244),ISNUMBER('자료_거시'!$H3244)),'자료_거시'!$H3244,"")</f>
        <v/>
      </c>
      <c r="X3262">
        <f>IF(ISNUMBER(W3262),'자료_거시'!$G3244,"")</f>
        <v/>
      </c>
      <c r="Y3262">
        <f>IF(ISNUMBER(X3262),IF(X3262&gt;$L$7,W3262,""),"")</f>
        <v/>
      </c>
      <c r="Z3262">
        <f>IF(ISNUMBER('자료_거시'!$K3244),'자료_거시'!$K3244,Z3261)</f>
        <v/>
      </c>
      <c r="AA3262">
        <f>IF(AND(ISNUMBER('자료_거시'!$J3244),ISNUMBER('자료_거시'!$K3244)),IFERROR('자료_거시'!$K3244/INDEX($Z$21:$Z$4020,MATCH(EDATE('자료_거시'!$J3244,-'설정'!$B$17),'자료_거시'!$J$3:INDEX('자료_거시'!$J$3:$J$4002,$K$8),1))-1,""),"")</f>
        <v/>
      </c>
      <c r="AB3262">
        <f>IF(ISNUMBER(AA3262),'자료_거시'!$J3244,"")</f>
        <v/>
      </c>
      <c r="AC3262">
        <f>IF(ISNUMBER(AB3262),IF(AB3262&gt;$L$8,AA3262,""),"")</f>
        <v/>
      </c>
    </row>
    <row r="3263">
      <c r="S3263">
        <f>IF(ISNUMBER('자료_거시'!$E3245),'자료_거시'!$E3245,S3262)</f>
        <v/>
      </c>
      <c r="T3263">
        <f>IF(AND(ISNUMBER('자료_거시'!$D3245),ISNUMBER('자료_거시'!$E3245)),IFERROR('자료_거시'!$E3245-INDEX($S$21:$S$4020,MATCH(EDATE('자료_거시'!$D3245,-'설정'!$B$17),'자료_거시'!$D$3:INDEX('자료_거시'!$D$3:$D$4002,$K$6),1)),""),"")</f>
        <v/>
      </c>
      <c r="U3263">
        <f>IF(ISNUMBER(T3263),'자료_거시'!$D3245,"")</f>
        <v/>
      </c>
      <c r="V3263">
        <f>IF(ISNUMBER(U3263),IF(U3263&gt;$L$6,T3263,""),"")</f>
        <v/>
      </c>
      <c r="W3263">
        <f>IF(AND(ISNUMBER('자료_거시'!$G3245),ISNUMBER('자료_거시'!$H3245)),'자료_거시'!$H3245,"")</f>
        <v/>
      </c>
      <c r="X3263">
        <f>IF(ISNUMBER(W3263),'자료_거시'!$G3245,"")</f>
        <v/>
      </c>
      <c r="Y3263">
        <f>IF(ISNUMBER(X3263),IF(X3263&gt;$L$7,W3263,""),"")</f>
        <v/>
      </c>
      <c r="Z3263">
        <f>IF(ISNUMBER('자료_거시'!$K3245),'자료_거시'!$K3245,Z3262)</f>
        <v/>
      </c>
      <c r="AA3263">
        <f>IF(AND(ISNUMBER('자료_거시'!$J3245),ISNUMBER('자료_거시'!$K3245)),IFERROR('자료_거시'!$K3245/INDEX($Z$21:$Z$4020,MATCH(EDATE('자료_거시'!$J3245,-'설정'!$B$17),'자료_거시'!$J$3:INDEX('자료_거시'!$J$3:$J$4002,$K$8),1))-1,""),"")</f>
        <v/>
      </c>
      <c r="AB3263">
        <f>IF(ISNUMBER(AA3263),'자료_거시'!$J3245,"")</f>
        <v/>
      </c>
      <c r="AC3263">
        <f>IF(ISNUMBER(AB3263),IF(AB3263&gt;$L$8,AA3263,""),"")</f>
        <v/>
      </c>
    </row>
    <row r="3264">
      <c r="S3264">
        <f>IF(ISNUMBER('자료_거시'!$E3246),'자료_거시'!$E3246,S3263)</f>
        <v/>
      </c>
      <c r="T3264">
        <f>IF(AND(ISNUMBER('자료_거시'!$D3246),ISNUMBER('자료_거시'!$E3246)),IFERROR('자료_거시'!$E3246-INDEX($S$21:$S$4020,MATCH(EDATE('자료_거시'!$D3246,-'설정'!$B$17),'자료_거시'!$D$3:INDEX('자료_거시'!$D$3:$D$4002,$K$6),1)),""),"")</f>
        <v/>
      </c>
      <c r="U3264">
        <f>IF(ISNUMBER(T3264),'자료_거시'!$D3246,"")</f>
        <v/>
      </c>
      <c r="V3264">
        <f>IF(ISNUMBER(U3264),IF(U3264&gt;$L$6,T3264,""),"")</f>
        <v/>
      </c>
      <c r="W3264">
        <f>IF(AND(ISNUMBER('자료_거시'!$G3246),ISNUMBER('자료_거시'!$H3246)),'자료_거시'!$H3246,"")</f>
        <v/>
      </c>
      <c r="X3264">
        <f>IF(ISNUMBER(W3264),'자료_거시'!$G3246,"")</f>
        <v/>
      </c>
      <c r="Y3264">
        <f>IF(ISNUMBER(X3264),IF(X3264&gt;$L$7,W3264,""),"")</f>
        <v/>
      </c>
      <c r="Z3264">
        <f>IF(ISNUMBER('자료_거시'!$K3246),'자료_거시'!$K3246,Z3263)</f>
        <v/>
      </c>
      <c r="AA3264">
        <f>IF(AND(ISNUMBER('자료_거시'!$J3246),ISNUMBER('자료_거시'!$K3246)),IFERROR('자료_거시'!$K3246/INDEX($Z$21:$Z$4020,MATCH(EDATE('자료_거시'!$J3246,-'설정'!$B$17),'자료_거시'!$J$3:INDEX('자료_거시'!$J$3:$J$4002,$K$8),1))-1,""),"")</f>
        <v/>
      </c>
      <c r="AB3264">
        <f>IF(ISNUMBER(AA3264),'자료_거시'!$J3246,"")</f>
        <v/>
      </c>
      <c r="AC3264">
        <f>IF(ISNUMBER(AB3264),IF(AB3264&gt;$L$8,AA3264,""),"")</f>
        <v/>
      </c>
    </row>
    <row r="3265">
      <c r="S3265">
        <f>IF(ISNUMBER('자료_거시'!$E3247),'자료_거시'!$E3247,S3264)</f>
        <v/>
      </c>
      <c r="T3265">
        <f>IF(AND(ISNUMBER('자료_거시'!$D3247),ISNUMBER('자료_거시'!$E3247)),IFERROR('자료_거시'!$E3247-INDEX($S$21:$S$4020,MATCH(EDATE('자료_거시'!$D3247,-'설정'!$B$17),'자료_거시'!$D$3:INDEX('자료_거시'!$D$3:$D$4002,$K$6),1)),""),"")</f>
        <v/>
      </c>
      <c r="U3265">
        <f>IF(ISNUMBER(T3265),'자료_거시'!$D3247,"")</f>
        <v/>
      </c>
      <c r="V3265">
        <f>IF(ISNUMBER(U3265),IF(U3265&gt;$L$6,T3265,""),"")</f>
        <v/>
      </c>
      <c r="W3265">
        <f>IF(AND(ISNUMBER('자료_거시'!$G3247),ISNUMBER('자료_거시'!$H3247)),'자료_거시'!$H3247,"")</f>
        <v/>
      </c>
      <c r="X3265">
        <f>IF(ISNUMBER(W3265),'자료_거시'!$G3247,"")</f>
        <v/>
      </c>
      <c r="Y3265">
        <f>IF(ISNUMBER(X3265),IF(X3265&gt;$L$7,W3265,""),"")</f>
        <v/>
      </c>
      <c r="Z3265">
        <f>IF(ISNUMBER('자료_거시'!$K3247),'자료_거시'!$K3247,Z3264)</f>
        <v/>
      </c>
      <c r="AA3265">
        <f>IF(AND(ISNUMBER('자료_거시'!$J3247),ISNUMBER('자료_거시'!$K3247)),IFERROR('자료_거시'!$K3247/INDEX($Z$21:$Z$4020,MATCH(EDATE('자료_거시'!$J3247,-'설정'!$B$17),'자료_거시'!$J$3:INDEX('자료_거시'!$J$3:$J$4002,$K$8),1))-1,""),"")</f>
        <v/>
      </c>
      <c r="AB3265">
        <f>IF(ISNUMBER(AA3265),'자료_거시'!$J3247,"")</f>
        <v/>
      </c>
      <c r="AC3265">
        <f>IF(ISNUMBER(AB3265),IF(AB3265&gt;$L$8,AA3265,""),"")</f>
        <v/>
      </c>
    </row>
    <row r="3266">
      <c r="S3266">
        <f>IF(ISNUMBER('자료_거시'!$E3248),'자료_거시'!$E3248,S3265)</f>
        <v/>
      </c>
      <c r="T3266">
        <f>IF(AND(ISNUMBER('자료_거시'!$D3248),ISNUMBER('자료_거시'!$E3248)),IFERROR('자료_거시'!$E3248-INDEX($S$21:$S$4020,MATCH(EDATE('자료_거시'!$D3248,-'설정'!$B$17),'자료_거시'!$D$3:INDEX('자료_거시'!$D$3:$D$4002,$K$6),1)),""),"")</f>
        <v/>
      </c>
      <c r="U3266">
        <f>IF(ISNUMBER(T3266),'자료_거시'!$D3248,"")</f>
        <v/>
      </c>
      <c r="V3266">
        <f>IF(ISNUMBER(U3266),IF(U3266&gt;$L$6,T3266,""),"")</f>
        <v/>
      </c>
      <c r="W3266">
        <f>IF(AND(ISNUMBER('자료_거시'!$G3248),ISNUMBER('자료_거시'!$H3248)),'자료_거시'!$H3248,"")</f>
        <v/>
      </c>
      <c r="X3266">
        <f>IF(ISNUMBER(W3266),'자료_거시'!$G3248,"")</f>
        <v/>
      </c>
      <c r="Y3266">
        <f>IF(ISNUMBER(X3266),IF(X3266&gt;$L$7,W3266,""),"")</f>
        <v/>
      </c>
      <c r="Z3266">
        <f>IF(ISNUMBER('자료_거시'!$K3248),'자료_거시'!$K3248,Z3265)</f>
        <v/>
      </c>
      <c r="AA3266">
        <f>IF(AND(ISNUMBER('자료_거시'!$J3248),ISNUMBER('자료_거시'!$K3248)),IFERROR('자료_거시'!$K3248/INDEX($Z$21:$Z$4020,MATCH(EDATE('자료_거시'!$J3248,-'설정'!$B$17),'자료_거시'!$J$3:INDEX('자료_거시'!$J$3:$J$4002,$K$8),1))-1,""),"")</f>
        <v/>
      </c>
      <c r="AB3266">
        <f>IF(ISNUMBER(AA3266),'자료_거시'!$J3248,"")</f>
        <v/>
      </c>
      <c r="AC3266">
        <f>IF(ISNUMBER(AB3266),IF(AB3266&gt;$L$8,AA3266,""),"")</f>
        <v/>
      </c>
    </row>
    <row r="3267">
      <c r="S3267">
        <f>IF(ISNUMBER('자료_거시'!$E3249),'자료_거시'!$E3249,S3266)</f>
        <v/>
      </c>
      <c r="T3267">
        <f>IF(AND(ISNUMBER('자료_거시'!$D3249),ISNUMBER('자료_거시'!$E3249)),IFERROR('자료_거시'!$E3249-INDEX($S$21:$S$4020,MATCH(EDATE('자료_거시'!$D3249,-'설정'!$B$17),'자료_거시'!$D$3:INDEX('자료_거시'!$D$3:$D$4002,$K$6),1)),""),"")</f>
        <v/>
      </c>
      <c r="U3267">
        <f>IF(ISNUMBER(T3267),'자료_거시'!$D3249,"")</f>
        <v/>
      </c>
      <c r="V3267">
        <f>IF(ISNUMBER(U3267),IF(U3267&gt;$L$6,T3267,""),"")</f>
        <v/>
      </c>
      <c r="W3267">
        <f>IF(AND(ISNUMBER('자료_거시'!$G3249),ISNUMBER('자료_거시'!$H3249)),'자료_거시'!$H3249,"")</f>
        <v/>
      </c>
      <c r="X3267">
        <f>IF(ISNUMBER(W3267),'자료_거시'!$G3249,"")</f>
        <v/>
      </c>
      <c r="Y3267">
        <f>IF(ISNUMBER(X3267),IF(X3267&gt;$L$7,W3267,""),"")</f>
        <v/>
      </c>
      <c r="Z3267">
        <f>IF(ISNUMBER('자료_거시'!$K3249),'자료_거시'!$K3249,Z3266)</f>
        <v/>
      </c>
      <c r="AA3267">
        <f>IF(AND(ISNUMBER('자료_거시'!$J3249),ISNUMBER('자료_거시'!$K3249)),IFERROR('자료_거시'!$K3249/INDEX($Z$21:$Z$4020,MATCH(EDATE('자료_거시'!$J3249,-'설정'!$B$17),'자료_거시'!$J$3:INDEX('자료_거시'!$J$3:$J$4002,$K$8),1))-1,""),"")</f>
        <v/>
      </c>
      <c r="AB3267">
        <f>IF(ISNUMBER(AA3267),'자료_거시'!$J3249,"")</f>
        <v/>
      </c>
      <c r="AC3267">
        <f>IF(ISNUMBER(AB3267),IF(AB3267&gt;$L$8,AA3267,""),"")</f>
        <v/>
      </c>
    </row>
    <row r="3268">
      <c r="S3268">
        <f>IF(ISNUMBER('자료_거시'!$E3250),'자료_거시'!$E3250,S3267)</f>
        <v/>
      </c>
      <c r="T3268">
        <f>IF(AND(ISNUMBER('자료_거시'!$D3250),ISNUMBER('자료_거시'!$E3250)),IFERROR('자료_거시'!$E3250-INDEX($S$21:$S$4020,MATCH(EDATE('자료_거시'!$D3250,-'설정'!$B$17),'자료_거시'!$D$3:INDEX('자료_거시'!$D$3:$D$4002,$K$6),1)),""),"")</f>
        <v/>
      </c>
      <c r="U3268">
        <f>IF(ISNUMBER(T3268),'자료_거시'!$D3250,"")</f>
        <v/>
      </c>
      <c r="V3268">
        <f>IF(ISNUMBER(U3268),IF(U3268&gt;$L$6,T3268,""),"")</f>
        <v/>
      </c>
      <c r="W3268">
        <f>IF(AND(ISNUMBER('자료_거시'!$G3250),ISNUMBER('자료_거시'!$H3250)),'자료_거시'!$H3250,"")</f>
        <v/>
      </c>
      <c r="X3268">
        <f>IF(ISNUMBER(W3268),'자료_거시'!$G3250,"")</f>
        <v/>
      </c>
      <c r="Y3268">
        <f>IF(ISNUMBER(X3268),IF(X3268&gt;$L$7,W3268,""),"")</f>
        <v/>
      </c>
      <c r="Z3268">
        <f>IF(ISNUMBER('자료_거시'!$K3250),'자료_거시'!$K3250,Z3267)</f>
        <v/>
      </c>
      <c r="AA3268">
        <f>IF(AND(ISNUMBER('자료_거시'!$J3250),ISNUMBER('자료_거시'!$K3250)),IFERROR('자료_거시'!$K3250/INDEX($Z$21:$Z$4020,MATCH(EDATE('자료_거시'!$J3250,-'설정'!$B$17),'자료_거시'!$J$3:INDEX('자료_거시'!$J$3:$J$4002,$K$8),1))-1,""),"")</f>
        <v/>
      </c>
      <c r="AB3268">
        <f>IF(ISNUMBER(AA3268),'자료_거시'!$J3250,"")</f>
        <v/>
      </c>
      <c r="AC3268">
        <f>IF(ISNUMBER(AB3268),IF(AB3268&gt;$L$8,AA3268,""),"")</f>
        <v/>
      </c>
    </row>
    <row r="3269">
      <c r="S3269">
        <f>IF(ISNUMBER('자료_거시'!$E3251),'자료_거시'!$E3251,S3268)</f>
        <v/>
      </c>
      <c r="T3269">
        <f>IF(AND(ISNUMBER('자료_거시'!$D3251),ISNUMBER('자료_거시'!$E3251)),IFERROR('자료_거시'!$E3251-INDEX($S$21:$S$4020,MATCH(EDATE('자료_거시'!$D3251,-'설정'!$B$17),'자료_거시'!$D$3:INDEX('자료_거시'!$D$3:$D$4002,$K$6),1)),""),"")</f>
        <v/>
      </c>
      <c r="U3269">
        <f>IF(ISNUMBER(T3269),'자료_거시'!$D3251,"")</f>
        <v/>
      </c>
      <c r="V3269">
        <f>IF(ISNUMBER(U3269),IF(U3269&gt;$L$6,T3269,""),"")</f>
        <v/>
      </c>
      <c r="W3269">
        <f>IF(AND(ISNUMBER('자료_거시'!$G3251),ISNUMBER('자료_거시'!$H3251)),'자료_거시'!$H3251,"")</f>
        <v/>
      </c>
      <c r="X3269">
        <f>IF(ISNUMBER(W3269),'자료_거시'!$G3251,"")</f>
        <v/>
      </c>
      <c r="Y3269">
        <f>IF(ISNUMBER(X3269),IF(X3269&gt;$L$7,W3269,""),"")</f>
        <v/>
      </c>
      <c r="Z3269">
        <f>IF(ISNUMBER('자료_거시'!$K3251),'자료_거시'!$K3251,Z3268)</f>
        <v/>
      </c>
      <c r="AA3269">
        <f>IF(AND(ISNUMBER('자료_거시'!$J3251),ISNUMBER('자료_거시'!$K3251)),IFERROR('자료_거시'!$K3251/INDEX($Z$21:$Z$4020,MATCH(EDATE('자료_거시'!$J3251,-'설정'!$B$17),'자료_거시'!$J$3:INDEX('자료_거시'!$J$3:$J$4002,$K$8),1))-1,""),"")</f>
        <v/>
      </c>
      <c r="AB3269">
        <f>IF(ISNUMBER(AA3269),'자료_거시'!$J3251,"")</f>
        <v/>
      </c>
      <c r="AC3269">
        <f>IF(ISNUMBER(AB3269),IF(AB3269&gt;$L$8,AA3269,""),"")</f>
        <v/>
      </c>
    </row>
    <row r="3270">
      <c r="S3270">
        <f>IF(ISNUMBER('자료_거시'!$E3252),'자료_거시'!$E3252,S3269)</f>
        <v/>
      </c>
      <c r="T3270">
        <f>IF(AND(ISNUMBER('자료_거시'!$D3252),ISNUMBER('자료_거시'!$E3252)),IFERROR('자료_거시'!$E3252-INDEX($S$21:$S$4020,MATCH(EDATE('자료_거시'!$D3252,-'설정'!$B$17),'자료_거시'!$D$3:INDEX('자료_거시'!$D$3:$D$4002,$K$6),1)),""),"")</f>
        <v/>
      </c>
      <c r="U3270">
        <f>IF(ISNUMBER(T3270),'자료_거시'!$D3252,"")</f>
        <v/>
      </c>
      <c r="V3270">
        <f>IF(ISNUMBER(U3270),IF(U3270&gt;$L$6,T3270,""),"")</f>
        <v/>
      </c>
      <c r="W3270">
        <f>IF(AND(ISNUMBER('자료_거시'!$G3252),ISNUMBER('자료_거시'!$H3252)),'자료_거시'!$H3252,"")</f>
        <v/>
      </c>
      <c r="X3270">
        <f>IF(ISNUMBER(W3270),'자료_거시'!$G3252,"")</f>
        <v/>
      </c>
      <c r="Y3270">
        <f>IF(ISNUMBER(X3270),IF(X3270&gt;$L$7,W3270,""),"")</f>
        <v/>
      </c>
      <c r="Z3270">
        <f>IF(ISNUMBER('자료_거시'!$K3252),'자료_거시'!$K3252,Z3269)</f>
        <v/>
      </c>
      <c r="AA3270">
        <f>IF(AND(ISNUMBER('자료_거시'!$J3252),ISNUMBER('자료_거시'!$K3252)),IFERROR('자료_거시'!$K3252/INDEX($Z$21:$Z$4020,MATCH(EDATE('자료_거시'!$J3252,-'설정'!$B$17),'자료_거시'!$J$3:INDEX('자료_거시'!$J$3:$J$4002,$K$8),1))-1,""),"")</f>
        <v/>
      </c>
      <c r="AB3270">
        <f>IF(ISNUMBER(AA3270),'자료_거시'!$J3252,"")</f>
        <v/>
      </c>
      <c r="AC3270">
        <f>IF(ISNUMBER(AB3270),IF(AB3270&gt;$L$8,AA3270,""),"")</f>
        <v/>
      </c>
    </row>
    <row r="3271">
      <c r="S3271">
        <f>IF(ISNUMBER('자료_거시'!$E3253),'자료_거시'!$E3253,S3270)</f>
        <v/>
      </c>
      <c r="T3271">
        <f>IF(AND(ISNUMBER('자료_거시'!$D3253),ISNUMBER('자료_거시'!$E3253)),IFERROR('자료_거시'!$E3253-INDEX($S$21:$S$4020,MATCH(EDATE('자료_거시'!$D3253,-'설정'!$B$17),'자료_거시'!$D$3:INDEX('자료_거시'!$D$3:$D$4002,$K$6),1)),""),"")</f>
        <v/>
      </c>
      <c r="U3271">
        <f>IF(ISNUMBER(T3271),'자료_거시'!$D3253,"")</f>
        <v/>
      </c>
      <c r="V3271">
        <f>IF(ISNUMBER(U3271),IF(U3271&gt;$L$6,T3271,""),"")</f>
        <v/>
      </c>
      <c r="W3271">
        <f>IF(AND(ISNUMBER('자료_거시'!$G3253),ISNUMBER('자료_거시'!$H3253)),'자료_거시'!$H3253,"")</f>
        <v/>
      </c>
      <c r="X3271">
        <f>IF(ISNUMBER(W3271),'자료_거시'!$G3253,"")</f>
        <v/>
      </c>
      <c r="Y3271">
        <f>IF(ISNUMBER(X3271),IF(X3271&gt;$L$7,W3271,""),"")</f>
        <v/>
      </c>
      <c r="Z3271">
        <f>IF(ISNUMBER('자료_거시'!$K3253),'자료_거시'!$K3253,Z3270)</f>
        <v/>
      </c>
      <c r="AA3271">
        <f>IF(AND(ISNUMBER('자료_거시'!$J3253),ISNUMBER('자료_거시'!$K3253)),IFERROR('자료_거시'!$K3253/INDEX($Z$21:$Z$4020,MATCH(EDATE('자료_거시'!$J3253,-'설정'!$B$17),'자료_거시'!$J$3:INDEX('자료_거시'!$J$3:$J$4002,$K$8),1))-1,""),"")</f>
        <v/>
      </c>
      <c r="AB3271">
        <f>IF(ISNUMBER(AA3271),'자료_거시'!$J3253,"")</f>
        <v/>
      </c>
      <c r="AC3271">
        <f>IF(ISNUMBER(AB3271),IF(AB3271&gt;$L$8,AA3271,""),"")</f>
        <v/>
      </c>
    </row>
    <row r="3272">
      <c r="S3272">
        <f>IF(ISNUMBER('자료_거시'!$E3254),'자료_거시'!$E3254,S3271)</f>
        <v/>
      </c>
      <c r="T3272">
        <f>IF(AND(ISNUMBER('자료_거시'!$D3254),ISNUMBER('자료_거시'!$E3254)),IFERROR('자료_거시'!$E3254-INDEX($S$21:$S$4020,MATCH(EDATE('자료_거시'!$D3254,-'설정'!$B$17),'자료_거시'!$D$3:INDEX('자료_거시'!$D$3:$D$4002,$K$6),1)),""),"")</f>
        <v/>
      </c>
      <c r="U3272">
        <f>IF(ISNUMBER(T3272),'자료_거시'!$D3254,"")</f>
        <v/>
      </c>
      <c r="V3272">
        <f>IF(ISNUMBER(U3272),IF(U3272&gt;$L$6,T3272,""),"")</f>
        <v/>
      </c>
      <c r="W3272">
        <f>IF(AND(ISNUMBER('자료_거시'!$G3254),ISNUMBER('자료_거시'!$H3254)),'자료_거시'!$H3254,"")</f>
        <v/>
      </c>
      <c r="X3272">
        <f>IF(ISNUMBER(W3272),'자료_거시'!$G3254,"")</f>
        <v/>
      </c>
      <c r="Y3272">
        <f>IF(ISNUMBER(X3272),IF(X3272&gt;$L$7,W3272,""),"")</f>
        <v/>
      </c>
      <c r="Z3272">
        <f>IF(ISNUMBER('자료_거시'!$K3254),'자료_거시'!$K3254,Z3271)</f>
        <v/>
      </c>
      <c r="AA3272">
        <f>IF(AND(ISNUMBER('자료_거시'!$J3254),ISNUMBER('자료_거시'!$K3254)),IFERROR('자료_거시'!$K3254/INDEX($Z$21:$Z$4020,MATCH(EDATE('자료_거시'!$J3254,-'설정'!$B$17),'자료_거시'!$J$3:INDEX('자료_거시'!$J$3:$J$4002,$K$8),1))-1,""),"")</f>
        <v/>
      </c>
      <c r="AB3272">
        <f>IF(ISNUMBER(AA3272),'자료_거시'!$J3254,"")</f>
        <v/>
      </c>
      <c r="AC3272">
        <f>IF(ISNUMBER(AB3272),IF(AB3272&gt;$L$8,AA3272,""),"")</f>
        <v/>
      </c>
    </row>
    <row r="3273">
      <c r="S3273">
        <f>IF(ISNUMBER('자료_거시'!$E3255),'자료_거시'!$E3255,S3272)</f>
        <v/>
      </c>
      <c r="T3273">
        <f>IF(AND(ISNUMBER('자료_거시'!$D3255),ISNUMBER('자료_거시'!$E3255)),IFERROR('자료_거시'!$E3255-INDEX($S$21:$S$4020,MATCH(EDATE('자료_거시'!$D3255,-'설정'!$B$17),'자료_거시'!$D$3:INDEX('자료_거시'!$D$3:$D$4002,$K$6),1)),""),"")</f>
        <v/>
      </c>
      <c r="U3273">
        <f>IF(ISNUMBER(T3273),'자료_거시'!$D3255,"")</f>
        <v/>
      </c>
      <c r="V3273">
        <f>IF(ISNUMBER(U3273),IF(U3273&gt;$L$6,T3273,""),"")</f>
        <v/>
      </c>
      <c r="W3273">
        <f>IF(AND(ISNUMBER('자료_거시'!$G3255),ISNUMBER('자료_거시'!$H3255)),'자료_거시'!$H3255,"")</f>
        <v/>
      </c>
      <c r="X3273">
        <f>IF(ISNUMBER(W3273),'자료_거시'!$G3255,"")</f>
        <v/>
      </c>
      <c r="Y3273">
        <f>IF(ISNUMBER(X3273),IF(X3273&gt;$L$7,W3273,""),"")</f>
        <v/>
      </c>
      <c r="Z3273">
        <f>IF(ISNUMBER('자료_거시'!$K3255),'자료_거시'!$K3255,Z3272)</f>
        <v/>
      </c>
      <c r="AA3273">
        <f>IF(AND(ISNUMBER('자료_거시'!$J3255),ISNUMBER('자료_거시'!$K3255)),IFERROR('자료_거시'!$K3255/INDEX($Z$21:$Z$4020,MATCH(EDATE('자료_거시'!$J3255,-'설정'!$B$17),'자료_거시'!$J$3:INDEX('자료_거시'!$J$3:$J$4002,$K$8),1))-1,""),"")</f>
        <v/>
      </c>
      <c r="AB3273">
        <f>IF(ISNUMBER(AA3273),'자료_거시'!$J3255,"")</f>
        <v/>
      </c>
      <c r="AC3273">
        <f>IF(ISNUMBER(AB3273),IF(AB3273&gt;$L$8,AA3273,""),"")</f>
        <v/>
      </c>
    </row>
    <row r="3274">
      <c r="S3274">
        <f>IF(ISNUMBER('자료_거시'!$E3256),'자료_거시'!$E3256,S3273)</f>
        <v/>
      </c>
      <c r="T3274">
        <f>IF(AND(ISNUMBER('자료_거시'!$D3256),ISNUMBER('자료_거시'!$E3256)),IFERROR('자료_거시'!$E3256-INDEX($S$21:$S$4020,MATCH(EDATE('자료_거시'!$D3256,-'설정'!$B$17),'자료_거시'!$D$3:INDEX('자료_거시'!$D$3:$D$4002,$K$6),1)),""),"")</f>
        <v/>
      </c>
      <c r="U3274">
        <f>IF(ISNUMBER(T3274),'자료_거시'!$D3256,"")</f>
        <v/>
      </c>
      <c r="V3274">
        <f>IF(ISNUMBER(U3274),IF(U3274&gt;$L$6,T3274,""),"")</f>
        <v/>
      </c>
      <c r="W3274">
        <f>IF(AND(ISNUMBER('자료_거시'!$G3256),ISNUMBER('자료_거시'!$H3256)),'자료_거시'!$H3256,"")</f>
        <v/>
      </c>
      <c r="X3274">
        <f>IF(ISNUMBER(W3274),'자료_거시'!$G3256,"")</f>
        <v/>
      </c>
      <c r="Y3274">
        <f>IF(ISNUMBER(X3274),IF(X3274&gt;$L$7,W3274,""),"")</f>
        <v/>
      </c>
      <c r="Z3274">
        <f>IF(ISNUMBER('자료_거시'!$K3256),'자료_거시'!$K3256,Z3273)</f>
        <v/>
      </c>
      <c r="AA3274">
        <f>IF(AND(ISNUMBER('자료_거시'!$J3256),ISNUMBER('자료_거시'!$K3256)),IFERROR('자료_거시'!$K3256/INDEX($Z$21:$Z$4020,MATCH(EDATE('자료_거시'!$J3256,-'설정'!$B$17),'자료_거시'!$J$3:INDEX('자료_거시'!$J$3:$J$4002,$K$8),1))-1,""),"")</f>
        <v/>
      </c>
      <c r="AB3274">
        <f>IF(ISNUMBER(AA3274),'자료_거시'!$J3256,"")</f>
        <v/>
      </c>
      <c r="AC3274">
        <f>IF(ISNUMBER(AB3274),IF(AB3274&gt;$L$8,AA3274,""),"")</f>
        <v/>
      </c>
    </row>
    <row r="3275">
      <c r="S3275">
        <f>IF(ISNUMBER('자료_거시'!$E3257),'자료_거시'!$E3257,S3274)</f>
        <v/>
      </c>
      <c r="T3275">
        <f>IF(AND(ISNUMBER('자료_거시'!$D3257),ISNUMBER('자료_거시'!$E3257)),IFERROR('자료_거시'!$E3257-INDEX($S$21:$S$4020,MATCH(EDATE('자료_거시'!$D3257,-'설정'!$B$17),'자료_거시'!$D$3:INDEX('자료_거시'!$D$3:$D$4002,$K$6),1)),""),"")</f>
        <v/>
      </c>
      <c r="U3275">
        <f>IF(ISNUMBER(T3275),'자료_거시'!$D3257,"")</f>
        <v/>
      </c>
      <c r="V3275">
        <f>IF(ISNUMBER(U3275),IF(U3275&gt;$L$6,T3275,""),"")</f>
        <v/>
      </c>
      <c r="W3275">
        <f>IF(AND(ISNUMBER('자료_거시'!$G3257),ISNUMBER('자료_거시'!$H3257)),'자료_거시'!$H3257,"")</f>
        <v/>
      </c>
      <c r="X3275">
        <f>IF(ISNUMBER(W3275),'자료_거시'!$G3257,"")</f>
        <v/>
      </c>
      <c r="Y3275">
        <f>IF(ISNUMBER(X3275),IF(X3275&gt;$L$7,W3275,""),"")</f>
        <v/>
      </c>
      <c r="Z3275">
        <f>IF(ISNUMBER('자료_거시'!$K3257),'자료_거시'!$K3257,Z3274)</f>
        <v/>
      </c>
      <c r="AA3275">
        <f>IF(AND(ISNUMBER('자료_거시'!$J3257),ISNUMBER('자료_거시'!$K3257)),IFERROR('자료_거시'!$K3257/INDEX($Z$21:$Z$4020,MATCH(EDATE('자료_거시'!$J3257,-'설정'!$B$17),'자료_거시'!$J$3:INDEX('자료_거시'!$J$3:$J$4002,$K$8),1))-1,""),"")</f>
        <v/>
      </c>
      <c r="AB3275">
        <f>IF(ISNUMBER(AA3275),'자료_거시'!$J3257,"")</f>
        <v/>
      </c>
      <c r="AC3275">
        <f>IF(ISNUMBER(AB3275),IF(AB3275&gt;$L$8,AA3275,""),"")</f>
        <v/>
      </c>
    </row>
    <row r="3276">
      <c r="S3276">
        <f>IF(ISNUMBER('자료_거시'!$E3258),'자료_거시'!$E3258,S3275)</f>
        <v/>
      </c>
      <c r="T3276">
        <f>IF(AND(ISNUMBER('자료_거시'!$D3258),ISNUMBER('자료_거시'!$E3258)),IFERROR('자료_거시'!$E3258-INDEX($S$21:$S$4020,MATCH(EDATE('자료_거시'!$D3258,-'설정'!$B$17),'자료_거시'!$D$3:INDEX('자료_거시'!$D$3:$D$4002,$K$6),1)),""),"")</f>
        <v/>
      </c>
      <c r="U3276">
        <f>IF(ISNUMBER(T3276),'자료_거시'!$D3258,"")</f>
        <v/>
      </c>
      <c r="V3276">
        <f>IF(ISNUMBER(U3276),IF(U3276&gt;$L$6,T3276,""),"")</f>
        <v/>
      </c>
      <c r="W3276">
        <f>IF(AND(ISNUMBER('자료_거시'!$G3258),ISNUMBER('자료_거시'!$H3258)),'자료_거시'!$H3258,"")</f>
        <v/>
      </c>
      <c r="X3276">
        <f>IF(ISNUMBER(W3276),'자료_거시'!$G3258,"")</f>
        <v/>
      </c>
      <c r="Y3276">
        <f>IF(ISNUMBER(X3276),IF(X3276&gt;$L$7,W3276,""),"")</f>
        <v/>
      </c>
      <c r="Z3276">
        <f>IF(ISNUMBER('자료_거시'!$K3258),'자료_거시'!$K3258,Z3275)</f>
        <v/>
      </c>
      <c r="AA3276">
        <f>IF(AND(ISNUMBER('자료_거시'!$J3258),ISNUMBER('자료_거시'!$K3258)),IFERROR('자료_거시'!$K3258/INDEX($Z$21:$Z$4020,MATCH(EDATE('자료_거시'!$J3258,-'설정'!$B$17),'자료_거시'!$J$3:INDEX('자료_거시'!$J$3:$J$4002,$K$8),1))-1,""),"")</f>
        <v/>
      </c>
      <c r="AB3276">
        <f>IF(ISNUMBER(AA3276),'자료_거시'!$J3258,"")</f>
        <v/>
      </c>
      <c r="AC3276">
        <f>IF(ISNUMBER(AB3276),IF(AB3276&gt;$L$8,AA3276,""),"")</f>
        <v/>
      </c>
    </row>
    <row r="3277">
      <c r="S3277">
        <f>IF(ISNUMBER('자료_거시'!$E3259),'자료_거시'!$E3259,S3276)</f>
        <v/>
      </c>
      <c r="T3277">
        <f>IF(AND(ISNUMBER('자료_거시'!$D3259),ISNUMBER('자료_거시'!$E3259)),IFERROR('자료_거시'!$E3259-INDEX($S$21:$S$4020,MATCH(EDATE('자료_거시'!$D3259,-'설정'!$B$17),'자료_거시'!$D$3:INDEX('자료_거시'!$D$3:$D$4002,$K$6),1)),""),"")</f>
        <v/>
      </c>
      <c r="U3277">
        <f>IF(ISNUMBER(T3277),'자료_거시'!$D3259,"")</f>
        <v/>
      </c>
      <c r="V3277">
        <f>IF(ISNUMBER(U3277),IF(U3277&gt;$L$6,T3277,""),"")</f>
        <v/>
      </c>
      <c r="W3277">
        <f>IF(AND(ISNUMBER('자료_거시'!$G3259),ISNUMBER('자료_거시'!$H3259)),'자료_거시'!$H3259,"")</f>
        <v/>
      </c>
      <c r="X3277">
        <f>IF(ISNUMBER(W3277),'자료_거시'!$G3259,"")</f>
        <v/>
      </c>
      <c r="Y3277">
        <f>IF(ISNUMBER(X3277),IF(X3277&gt;$L$7,W3277,""),"")</f>
        <v/>
      </c>
      <c r="Z3277">
        <f>IF(ISNUMBER('자료_거시'!$K3259),'자료_거시'!$K3259,Z3276)</f>
        <v/>
      </c>
      <c r="AA3277">
        <f>IF(AND(ISNUMBER('자료_거시'!$J3259),ISNUMBER('자료_거시'!$K3259)),IFERROR('자료_거시'!$K3259/INDEX($Z$21:$Z$4020,MATCH(EDATE('자료_거시'!$J3259,-'설정'!$B$17),'자료_거시'!$J$3:INDEX('자료_거시'!$J$3:$J$4002,$K$8),1))-1,""),"")</f>
        <v/>
      </c>
      <c r="AB3277">
        <f>IF(ISNUMBER(AA3277),'자료_거시'!$J3259,"")</f>
        <v/>
      </c>
      <c r="AC3277">
        <f>IF(ISNUMBER(AB3277),IF(AB3277&gt;$L$8,AA3277,""),"")</f>
        <v/>
      </c>
    </row>
    <row r="3278">
      <c r="S3278">
        <f>IF(ISNUMBER('자료_거시'!$E3260),'자료_거시'!$E3260,S3277)</f>
        <v/>
      </c>
      <c r="T3278">
        <f>IF(AND(ISNUMBER('자료_거시'!$D3260),ISNUMBER('자료_거시'!$E3260)),IFERROR('자료_거시'!$E3260-INDEX($S$21:$S$4020,MATCH(EDATE('자료_거시'!$D3260,-'설정'!$B$17),'자료_거시'!$D$3:INDEX('자료_거시'!$D$3:$D$4002,$K$6),1)),""),"")</f>
        <v/>
      </c>
      <c r="U3278">
        <f>IF(ISNUMBER(T3278),'자료_거시'!$D3260,"")</f>
        <v/>
      </c>
      <c r="V3278">
        <f>IF(ISNUMBER(U3278),IF(U3278&gt;$L$6,T3278,""),"")</f>
        <v/>
      </c>
      <c r="W3278">
        <f>IF(AND(ISNUMBER('자료_거시'!$G3260),ISNUMBER('자료_거시'!$H3260)),'자료_거시'!$H3260,"")</f>
        <v/>
      </c>
      <c r="X3278">
        <f>IF(ISNUMBER(W3278),'자료_거시'!$G3260,"")</f>
        <v/>
      </c>
      <c r="Y3278">
        <f>IF(ISNUMBER(X3278),IF(X3278&gt;$L$7,W3278,""),"")</f>
        <v/>
      </c>
      <c r="Z3278">
        <f>IF(ISNUMBER('자료_거시'!$K3260),'자료_거시'!$K3260,Z3277)</f>
        <v/>
      </c>
      <c r="AA3278">
        <f>IF(AND(ISNUMBER('자료_거시'!$J3260),ISNUMBER('자료_거시'!$K3260)),IFERROR('자료_거시'!$K3260/INDEX($Z$21:$Z$4020,MATCH(EDATE('자료_거시'!$J3260,-'설정'!$B$17),'자료_거시'!$J$3:INDEX('자료_거시'!$J$3:$J$4002,$K$8),1))-1,""),"")</f>
        <v/>
      </c>
      <c r="AB3278">
        <f>IF(ISNUMBER(AA3278),'자료_거시'!$J3260,"")</f>
        <v/>
      </c>
      <c r="AC3278">
        <f>IF(ISNUMBER(AB3278),IF(AB3278&gt;$L$8,AA3278,""),"")</f>
        <v/>
      </c>
    </row>
    <row r="3279">
      <c r="S3279">
        <f>IF(ISNUMBER('자료_거시'!$E3261),'자료_거시'!$E3261,S3278)</f>
        <v/>
      </c>
      <c r="T3279">
        <f>IF(AND(ISNUMBER('자료_거시'!$D3261),ISNUMBER('자료_거시'!$E3261)),IFERROR('자료_거시'!$E3261-INDEX($S$21:$S$4020,MATCH(EDATE('자료_거시'!$D3261,-'설정'!$B$17),'자료_거시'!$D$3:INDEX('자료_거시'!$D$3:$D$4002,$K$6),1)),""),"")</f>
        <v/>
      </c>
      <c r="U3279">
        <f>IF(ISNUMBER(T3279),'자료_거시'!$D3261,"")</f>
        <v/>
      </c>
      <c r="V3279">
        <f>IF(ISNUMBER(U3279),IF(U3279&gt;$L$6,T3279,""),"")</f>
        <v/>
      </c>
      <c r="W3279">
        <f>IF(AND(ISNUMBER('자료_거시'!$G3261),ISNUMBER('자료_거시'!$H3261)),'자료_거시'!$H3261,"")</f>
        <v/>
      </c>
      <c r="X3279">
        <f>IF(ISNUMBER(W3279),'자료_거시'!$G3261,"")</f>
        <v/>
      </c>
      <c r="Y3279">
        <f>IF(ISNUMBER(X3279),IF(X3279&gt;$L$7,W3279,""),"")</f>
        <v/>
      </c>
      <c r="Z3279">
        <f>IF(ISNUMBER('자료_거시'!$K3261),'자료_거시'!$K3261,Z3278)</f>
        <v/>
      </c>
      <c r="AA3279">
        <f>IF(AND(ISNUMBER('자료_거시'!$J3261),ISNUMBER('자료_거시'!$K3261)),IFERROR('자료_거시'!$K3261/INDEX($Z$21:$Z$4020,MATCH(EDATE('자료_거시'!$J3261,-'설정'!$B$17),'자료_거시'!$J$3:INDEX('자료_거시'!$J$3:$J$4002,$K$8),1))-1,""),"")</f>
        <v/>
      </c>
      <c r="AB3279">
        <f>IF(ISNUMBER(AA3279),'자료_거시'!$J3261,"")</f>
        <v/>
      </c>
      <c r="AC3279">
        <f>IF(ISNUMBER(AB3279),IF(AB3279&gt;$L$8,AA3279,""),"")</f>
        <v/>
      </c>
    </row>
    <row r="3280">
      <c r="S3280">
        <f>IF(ISNUMBER('자료_거시'!$E3262),'자료_거시'!$E3262,S3279)</f>
        <v/>
      </c>
      <c r="T3280">
        <f>IF(AND(ISNUMBER('자료_거시'!$D3262),ISNUMBER('자료_거시'!$E3262)),IFERROR('자료_거시'!$E3262-INDEX($S$21:$S$4020,MATCH(EDATE('자료_거시'!$D3262,-'설정'!$B$17),'자료_거시'!$D$3:INDEX('자료_거시'!$D$3:$D$4002,$K$6),1)),""),"")</f>
        <v/>
      </c>
      <c r="U3280">
        <f>IF(ISNUMBER(T3280),'자료_거시'!$D3262,"")</f>
        <v/>
      </c>
      <c r="V3280">
        <f>IF(ISNUMBER(U3280),IF(U3280&gt;$L$6,T3280,""),"")</f>
        <v/>
      </c>
      <c r="W3280">
        <f>IF(AND(ISNUMBER('자료_거시'!$G3262),ISNUMBER('자료_거시'!$H3262)),'자료_거시'!$H3262,"")</f>
        <v/>
      </c>
      <c r="X3280">
        <f>IF(ISNUMBER(W3280),'자료_거시'!$G3262,"")</f>
        <v/>
      </c>
      <c r="Y3280">
        <f>IF(ISNUMBER(X3280),IF(X3280&gt;$L$7,W3280,""),"")</f>
        <v/>
      </c>
      <c r="Z3280">
        <f>IF(ISNUMBER('자료_거시'!$K3262),'자료_거시'!$K3262,Z3279)</f>
        <v/>
      </c>
      <c r="AA3280">
        <f>IF(AND(ISNUMBER('자료_거시'!$J3262),ISNUMBER('자료_거시'!$K3262)),IFERROR('자료_거시'!$K3262/INDEX($Z$21:$Z$4020,MATCH(EDATE('자료_거시'!$J3262,-'설정'!$B$17),'자료_거시'!$J$3:INDEX('자료_거시'!$J$3:$J$4002,$K$8),1))-1,""),"")</f>
        <v/>
      </c>
      <c r="AB3280">
        <f>IF(ISNUMBER(AA3280),'자료_거시'!$J3262,"")</f>
        <v/>
      </c>
      <c r="AC3280">
        <f>IF(ISNUMBER(AB3280),IF(AB3280&gt;$L$8,AA3280,""),"")</f>
        <v/>
      </c>
    </row>
    <row r="3281">
      <c r="S3281">
        <f>IF(ISNUMBER('자료_거시'!$E3263),'자료_거시'!$E3263,S3280)</f>
        <v/>
      </c>
      <c r="T3281">
        <f>IF(AND(ISNUMBER('자료_거시'!$D3263),ISNUMBER('자료_거시'!$E3263)),IFERROR('자료_거시'!$E3263-INDEX($S$21:$S$4020,MATCH(EDATE('자료_거시'!$D3263,-'설정'!$B$17),'자료_거시'!$D$3:INDEX('자료_거시'!$D$3:$D$4002,$K$6),1)),""),"")</f>
        <v/>
      </c>
      <c r="U3281">
        <f>IF(ISNUMBER(T3281),'자료_거시'!$D3263,"")</f>
        <v/>
      </c>
      <c r="V3281">
        <f>IF(ISNUMBER(U3281),IF(U3281&gt;$L$6,T3281,""),"")</f>
        <v/>
      </c>
      <c r="W3281">
        <f>IF(AND(ISNUMBER('자료_거시'!$G3263),ISNUMBER('자료_거시'!$H3263)),'자료_거시'!$H3263,"")</f>
        <v/>
      </c>
      <c r="X3281">
        <f>IF(ISNUMBER(W3281),'자료_거시'!$G3263,"")</f>
        <v/>
      </c>
      <c r="Y3281">
        <f>IF(ISNUMBER(X3281),IF(X3281&gt;$L$7,W3281,""),"")</f>
        <v/>
      </c>
      <c r="Z3281">
        <f>IF(ISNUMBER('자료_거시'!$K3263),'자료_거시'!$K3263,Z3280)</f>
        <v/>
      </c>
      <c r="AA3281">
        <f>IF(AND(ISNUMBER('자료_거시'!$J3263),ISNUMBER('자료_거시'!$K3263)),IFERROR('자료_거시'!$K3263/INDEX($Z$21:$Z$4020,MATCH(EDATE('자료_거시'!$J3263,-'설정'!$B$17),'자료_거시'!$J$3:INDEX('자료_거시'!$J$3:$J$4002,$K$8),1))-1,""),"")</f>
        <v/>
      </c>
      <c r="AB3281">
        <f>IF(ISNUMBER(AA3281),'자료_거시'!$J3263,"")</f>
        <v/>
      </c>
      <c r="AC3281">
        <f>IF(ISNUMBER(AB3281),IF(AB3281&gt;$L$8,AA3281,""),"")</f>
        <v/>
      </c>
    </row>
    <row r="3282">
      <c r="S3282">
        <f>IF(ISNUMBER('자료_거시'!$E3264),'자료_거시'!$E3264,S3281)</f>
        <v/>
      </c>
      <c r="T3282">
        <f>IF(AND(ISNUMBER('자료_거시'!$D3264),ISNUMBER('자료_거시'!$E3264)),IFERROR('자료_거시'!$E3264-INDEX($S$21:$S$4020,MATCH(EDATE('자료_거시'!$D3264,-'설정'!$B$17),'자료_거시'!$D$3:INDEX('자료_거시'!$D$3:$D$4002,$K$6),1)),""),"")</f>
        <v/>
      </c>
      <c r="U3282">
        <f>IF(ISNUMBER(T3282),'자료_거시'!$D3264,"")</f>
        <v/>
      </c>
      <c r="V3282">
        <f>IF(ISNUMBER(U3282),IF(U3282&gt;$L$6,T3282,""),"")</f>
        <v/>
      </c>
      <c r="W3282">
        <f>IF(AND(ISNUMBER('자료_거시'!$G3264),ISNUMBER('자료_거시'!$H3264)),'자료_거시'!$H3264,"")</f>
        <v/>
      </c>
      <c r="X3282">
        <f>IF(ISNUMBER(W3282),'자료_거시'!$G3264,"")</f>
        <v/>
      </c>
      <c r="Y3282">
        <f>IF(ISNUMBER(X3282),IF(X3282&gt;$L$7,W3282,""),"")</f>
        <v/>
      </c>
      <c r="Z3282">
        <f>IF(ISNUMBER('자료_거시'!$K3264),'자료_거시'!$K3264,Z3281)</f>
        <v/>
      </c>
      <c r="AA3282">
        <f>IF(AND(ISNUMBER('자료_거시'!$J3264),ISNUMBER('자료_거시'!$K3264)),IFERROR('자료_거시'!$K3264/INDEX($Z$21:$Z$4020,MATCH(EDATE('자료_거시'!$J3264,-'설정'!$B$17),'자료_거시'!$J$3:INDEX('자료_거시'!$J$3:$J$4002,$K$8),1))-1,""),"")</f>
        <v/>
      </c>
      <c r="AB3282">
        <f>IF(ISNUMBER(AA3282),'자료_거시'!$J3264,"")</f>
        <v/>
      </c>
      <c r="AC3282">
        <f>IF(ISNUMBER(AB3282),IF(AB3282&gt;$L$8,AA3282,""),"")</f>
        <v/>
      </c>
    </row>
    <row r="3283">
      <c r="S3283">
        <f>IF(ISNUMBER('자료_거시'!$E3265),'자료_거시'!$E3265,S3282)</f>
        <v/>
      </c>
      <c r="T3283">
        <f>IF(AND(ISNUMBER('자료_거시'!$D3265),ISNUMBER('자료_거시'!$E3265)),IFERROR('자료_거시'!$E3265-INDEX($S$21:$S$4020,MATCH(EDATE('자료_거시'!$D3265,-'설정'!$B$17),'자료_거시'!$D$3:INDEX('자료_거시'!$D$3:$D$4002,$K$6),1)),""),"")</f>
        <v/>
      </c>
      <c r="U3283">
        <f>IF(ISNUMBER(T3283),'자료_거시'!$D3265,"")</f>
        <v/>
      </c>
      <c r="V3283">
        <f>IF(ISNUMBER(U3283),IF(U3283&gt;$L$6,T3283,""),"")</f>
        <v/>
      </c>
      <c r="W3283">
        <f>IF(AND(ISNUMBER('자료_거시'!$G3265),ISNUMBER('자료_거시'!$H3265)),'자료_거시'!$H3265,"")</f>
        <v/>
      </c>
      <c r="X3283">
        <f>IF(ISNUMBER(W3283),'자료_거시'!$G3265,"")</f>
        <v/>
      </c>
      <c r="Y3283">
        <f>IF(ISNUMBER(X3283),IF(X3283&gt;$L$7,W3283,""),"")</f>
        <v/>
      </c>
      <c r="Z3283">
        <f>IF(ISNUMBER('자료_거시'!$K3265),'자료_거시'!$K3265,Z3282)</f>
        <v/>
      </c>
      <c r="AA3283">
        <f>IF(AND(ISNUMBER('자료_거시'!$J3265),ISNUMBER('자료_거시'!$K3265)),IFERROR('자료_거시'!$K3265/INDEX($Z$21:$Z$4020,MATCH(EDATE('자료_거시'!$J3265,-'설정'!$B$17),'자료_거시'!$J$3:INDEX('자료_거시'!$J$3:$J$4002,$K$8),1))-1,""),"")</f>
        <v/>
      </c>
      <c r="AB3283">
        <f>IF(ISNUMBER(AA3283),'자료_거시'!$J3265,"")</f>
        <v/>
      </c>
      <c r="AC3283">
        <f>IF(ISNUMBER(AB3283),IF(AB3283&gt;$L$8,AA3283,""),"")</f>
        <v/>
      </c>
    </row>
    <row r="3284">
      <c r="S3284">
        <f>IF(ISNUMBER('자료_거시'!$E3266),'자료_거시'!$E3266,S3283)</f>
        <v/>
      </c>
      <c r="T3284">
        <f>IF(AND(ISNUMBER('자료_거시'!$D3266),ISNUMBER('자료_거시'!$E3266)),IFERROR('자료_거시'!$E3266-INDEX($S$21:$S$4020,MATCH(EDATE('자료_거시'!$D3266,-'설정'!$B$17),'자료_거시'!$D$3:INDEX('자료_거시'!$D$3:$D$4002,$K$6),1)),""),"")</f>
        <v/>
      </c>
      <c r="U3284">
        <f>IF(ISNUMBER(T3284),'자료_거시'!$D3266,"")</f>
        <v/>
      </c>
      <c r="V3284">
        <f>IF(ISNUMBER(U3284),IF(U3284&gt;$L$6,T3284,""),"")</f>
        <v/>
      </c>
      <c r="W3284">
        <f>IF(AND(ISNUMBER('자료_거시'!$G3266),ISNUMBER('자료_거시'!$H3266)),'자료_거시'!$H3266,"")</f>
        <v/>
      </c>
      <c r="X3284">
        <f>IF(ISNUMBER(W3284),'자료_거시'!$G3266,"")</f>
        <v/>
      </c>
      <c r="Y3284">
        <f>IF(ISNUMBER(X3284),IF(X3284&gt;$L$7,W3284,""),"")</f>
        <v/>
      </c>
      <c r="Z3284">
        <f>IF(ISNUMBER('자료_거시'!$K3266),'자료_거시'!$K3266,Z3283)</f>
        <v/>
      </c>
      <c r="AA3284">
        <f>IF(AND(ISNUMBER('자료_거시'!$J3266),ISNUMBER('자료_거시'!$K3266)),IFERROR('자료_거시'!$K3266/INDEX($Z$21:$Z$4020,MATCH(EDATE('자료_거시'!$J3266,-'설정'!$B$17),'자료_거시'!$J$3:INDEX('자료_거시'!$J$3:$J$4002,$K$8),1))-1,""),"")</f>
        <v/>
      </c>
      <c r="AB3284">
        <f>IF(ISNUMBER(AA3284),'자료_거시'!$J3266,"")</f>
        <v/>
      </c>
      <c r="AC3284">
        <f>IF(ISNUMBER(AB3284),IF(AB3284&gt;$L$8,AA3284,""),"")</f>
        <v/>
      </c>
    </row>
    <row r="3285">
      <c r="S3285">
        <f>IF(ISNUMBER('자료_거시'!$E3267),'자료_거시'!$E3267,S3284)</f>
        <v/>
      </c>
      <c r="T3285">
        <f>IF(AND(ISNUMBER('자료_거시'!$D3267),ISNUMBER('자료_거시'!$E3267)),IFERROR('자료_거시'!$E3267-INDEX($S$21:$S$4020,MATCH(EDATE('자료_거시'!$D3267,-'설정'!$B$17),'자료_거시'!$D$3:INDEX('자료_거시'!$D$3:$D$4002,$K$6),1)),""),"")</f>
        <v/>
      </c>
      <c r="U3285">
        <f>IF(ISNUMBER(T3285),'자료_거시'!$D3267,"")</f>
        <v/>
      </c>
      <c r="V3285">
        <f>IF(ISNUMBER(U3285),IF(U3285&gt;$L$6,T3285,""),"")</f>
        <v/>
      </c>
      <c r="W3285">
        <f>IF(AND(ISNUMBER('자료_거시'!$G3267),ISNUMBER('자료_거시'!$H3267)),'자료_거시'!$H3267,"")</f>
        <v/>
      </c>
      <c r="X3285">
        <f>IF(ISNUMBER(W3285),'자료_거시'!$G3267,"")</f>
        <v/>
      </c>
      <c r="Y3285">
        <f>IF(ISNUMBER(X3285),IF(X3285&gt;$L$7,W3285,""),"")</f>
        <v/>
      </c>
      <c r="Z3285">
        <f>IF(ISNUMBER('자료_거시'!$K3267),'자료_거시'!$K3267,Z3284)</f>
        <v/>
      </c>
      <c r="AA3285">
        <f>IF(AND(ISNUMBER('자료_거시'!$J3267),ISNUMBER('자료_거시'!$K3267)),IFERROR('자료_거시'!$K3267/INDEX($Z$21:$Z$4020,MATCH(EDATE('자료_거시'!$J3267,-'설정'!$B$17),'자료_거시'!$J$3:INDEX('자료_거시'!$J$3:$J$4002,$K$8),1))-1,""),"")</f>
        <v/>
      </c>
      <c r="AB3285">
        <f>IF(ISNUMBER(AA3285),'자료_거시'!$J3267,"")</f>
        <v/>
      </c>
      <c r="AC3285">
        <f>IF(ISNUMBER(AB3285),IF(AB3285&gt;$L$8,AA3285,""),"")</f>
        <v/>
      </c>
    </row>
    <row r="3286">
      <c r="S3286">
        <f>IF(ISNUMBER('자료_거시'!$E3268),'자료_거시'!$E3268,S3285)</f>
        <v/>
      </c>
      <c r="T3286">
        <f>IF(AND(ISNUMBER('자료_거시'!$D3268),ISNUMBER('자료_거시'!$E3268)),IFERROR('자료_거시'!$E3268-INDEX($S$21:$S$4020,MATCH(EDATE('자료_거시'!$D3268,-'설정'!$B$17),'자료_거시'!$D$3:INDEX('자료_거시'!$D$3:$D$4002,$K$6),1)),""),"")</f>
        <v/>
      </c>
      <c r="U3286">
        <f>IF(ISNUMBER(T3286),'자료_거시'!$D3268,"")</f>
        <v/>
      </c>
      <c r="V3286">
        <f>IF(ISNUMBER(U3286),IF(U3286&gt;$L$6,T3286,""),"")</f>
        <v/>
      </c>
      <c r="W3286">
        <f>IF(AND(ISNUMBER('자료_거시'!$G3268),ISNUMBER('자료_거시'!$H3268)),'자료_거시'!$H3268,"")</f>
        <v/>
      </c>
      <c r="X3286">
        <f>IF(ISNUMBER(W3286),'자료_거시'!$G3268,"")</f>
        <v/>
      </c>
      <c r="Y3286">
        <f>IF(ISNUMBER(X3286),IF(X3286&gt;$L$7,W3286,""),"")</f>
        <v/>
      </c>
      <c r="Z3286">
        <f>IF(ISNUMBER('자료_거시'!$K3268),'자료_거시'!$K3268,Z3285)</f>
        <v/>
      </c>
      <c r="AA3286">
        <f>IF(AND(ISNUMBER('자료_거시'!$J3268),ISNUMBER('자료_거시'!$K3268)),IFERROR('자료_거시'!$K3268/INDEX($Z$21:$Z$4020,MATCH(EDATE('자료_거시'!$J3268,-'설정'!$B$17),'자료_거시'!$J$3:INDEX('자료_거시'!$J$3:$J$4002,$K$8),1))-1,""),"")</f>
        <v/>
      </c>
      <c r="AB3286">
        <f>IF(ISNUMBER(AA3286),'자료_거시'!$J3268,"")</f>
        <v/>
      </c>
      <c r="AC3286">
        <f>IF(ISNUMBER(AB3286),IF(AB3286&gt;$L$8,AA3286,""),"")</f>
        <v/>
      </c>
    </row>
    <row r="3287">
      <c r="S3287">
        <f>IF(ISNUMBER('자료_거시'!$E3269),'자료_거시'!$E3269,S3286)</f>
        <v/>
      </c>
      <c r="T3287">
        <f>IF(AND(ISNUMBER('자료_거시'!$D3269),ISNUMBER('자료_거시'!$E3269)),IFERROR('자료_거시'!$E3269-INDEX($S$21:$S$4020,MATCH(EDATE('자료_거시'!$D3269,-'설정'!$B$17),'자료_거시'!$D$3:INDEX('자료_거시'!$D$3:$D$4002,$K$6),1)),""),"")</f>
        <v/>
      </c>
      <c r="U3287">
        <f>IF(ISNUMBER(T3287),'자료_거시'!$D3269,"")</f>
        <v/>
      </c>
      <c r="V3287">
        <f>IF(ISNUMBER(U3287),IF(U3287&gt;$L$6,T3287,""),"")</f>
        <v/>
      </c>
      <c r="W3287">
        <f>IF(AND(ISNUMBER('자료_거시'!$G3269),ISNUMBER('자료_거시'!$H3269)),'자료_거시'!$H3269,"")</f>
        <v/>
      </c>
      <c r="X3287">
        <f>IF(ISNUMBER(W3287),'자료_거시'!$G3269,"")</f>
        <v/>
      </c>
      <c r="Y3287">
        <f>IF(ISNUMBER(X3287),IF(X3287&gt;$L$7,W3287,""),"")</f>
        <v/>
      </c>
      <c r="Z3287">
        <f>IF(ISNUMBER('자료_거시'!$K3269),'자료_거시'!$K3269,Z3286)</f>
        <v/>
      </c>
      <c r="AA3287">
        <f>IF(AND(ISNUMBER('자료_거시'!$J3269),ISNUMBER('자료_거시'!$K3269)),IFERROR('자료_거시'!$K3269/INDEX($Z$21:$Z$4020,MATCH(EDATE('자료_거시'!$J3269,-'설정'!$B$17),'자료_거시'!$J$3:INDEX('자료_거시'!$J$3:$J$4002,$K$8),1))-1,""),"")</f>
        <v/>
      </c>
      <c r="AB3287">
        <f>IF(ISNUMBER(AA3287),'자료_거시'!$J3269,"")</f>
        <v/>
      </c>
      <c r="AC3287">
        <f>IF(ISNUMBER(AB3287),IF(AB3287&gt;$L$8,AA3287,""),"")</f>
        <v/>
      </c>
    </row>
    <row r="3288">
      <c r="S3288">
        <f>IF(ISNUMBER('자료_거시'!$E3270),'자료_거시'!$E3270,S3287)</f>
        <v/>
      </c>
      <c r="T3288">
        <f>IF(AND(ISNUMBER('자료_거시'!$D3270),ISNUMBER('자료_거시'!$E3270)),IFERROR('자료_거시'!$E3270-INDEX($S$21:$S$4020,MATCH(EDATE('자료_거시'!$D3270,-'설정'!$B$17),'자료_거시'!$D$3:INDEX('자료_거시'!$D$3:$D$4002,$K$6),1)),""),"")</f>
        <v/>
      </c>
      <c r="U3288">
        <f>IF(ISNUMBER(T3288),'자료_거시'!$D3270,"")</f>
        <v/>
      </c>
      <c r="V3288">
        <f>IF(ISNUMBER(U3288),IF(U3288&gt;$L$6,T3288,""),"")</f>
        <v/>
      </c>
      <c r="W3288">
        <f>IF(AND(ISNUMBER('자료_거시'!$G3270),ISNUMBER('자료_거시'!$H3270)),'자료_거시'!$H3270,"")</f>
        <v/>
      </c>
      <c r="X3288">
        <f>IF(ISNUMBER(W3288),'자료_거시'!$G3270,"")</f>
        <v/>
      </c>
      <c r="Y3288">
        <f>IF(ISNUMBER(X3288),IF(X3288&gt;$L$7,W3288,""),"")</f>
        <v/>
      </c>
      <c r="Z3288">
        <f>IF(ISNUMBER('자료_거시'!$K3270),'자료_거시'!$K3270,Z3287)</f>
        <v/>
      </c>
      <c r="AA3288">
        <f>IF(AND(ISNUMBER('자료_거시'!$J3270),ISNUMBER('자료_거시'!$K3270)),IFERROR('자료_거시'!$K3270/INDEX($Z$21:$Z$4020,MATCH(EDATE('자료_거시'!$J3270,-'설정'!$B$17),'자료_거시'!$J$3:INDEX('자료_거시'!$J$3:$J$4002,$K$8),1))-1,""),"")</f>
        <v/>
      </c>
      <c r="AB3288">
        <f>IF(ISNUMBER(AA3288),'자료_거시'!$J3270,"")</f>
        <v/>
      </c>
      <c r="AC3288">
        <f>IF(ISNUMBER(AB3288),IF(AB3288&gt;$L$8,AA3288,""),"")</f>
        <v/>
      </c>
    </row>
    <row r="3289">
      <c r="S3289">
        <f>IF(ISNUMBER('자료_거시'!$E3271),'자료_거시'!$E3271,S3288)</f>
        <v/>
      </c>
      <c r="T3289">
        <f>IF(AND(ISNUMBER('자료_거시'!$D3271),ISNUMBER('자료_거시'!$E3271)),IFERROR('자료_거시'!$E3271-INDEX($S$21:$S$4020,MATCH(EDATE('자료_거시'!$D3271,-'설정'!$B$17),'자료_거시'!$D$3:INDEX('자료_거시'!$D$3:$D$4002,$K$6),1)),""),"")</f>
        <v/>
      </c>
      <c r="U3289">
        <f>IF(ISNUMBER(T3289),'자료_거시'!$D3271,"")</f>
        <v/>
      </c>
      <c r="V3289">
        <f>IF(ISNUMBER(U3289),IF(U3289&gt;$L$6,T3289,""),"")</f>
        <v/>
      </c>
      <c r="W3289">
        <f>IF(AND(ISNUMBER('자료_거시'!$G3271),ISNUMBER('자료_거시'!$H3271)),'자료_거시'!$H3271,"")</f>
        <v/>
      </c>
      <c r="X3289">
        <f>IF(ISNUMBER(W3289),'자료_거시'!$G3271,"")</f>
        <v/>
      </c>
      <c r="Y3289">
        <f>IF(ISNUMBER(X3289),IF(X3289&gt;$L$7,W3289,""),"")</f>
        <v/>
      </c>
      <c r="Z3289">
        <f>IF(ISNUMBER('자료_거시'!$K3271),'자료_거시'!$K3271,Z3288)</f>
        <v/>
      </c>
      <c r="AA3289">
        <f>IF(AND(ISNUMBER('자료_거시'!$J3271),ISNUMBER('자료_거시'!$K3271)),IFERROR('자료_거시'!$K3271/INDEX($Z$21:$Z$4020,MATCH(EDATE('자료_거시'!$J3271,-'설정'!$B$17),'자료_거시'!$J$3:INDEX('자료_거시'!$J$3:$J$4002,$K$8),1))-1,""),"")</f>
        <v/>
      </c>
      <c r="AB3289">
        <f>IF(ISNUMBER(AA3289),'자료_거시'!$J3271,"")</f>
        <v/>
      </c>
      <c r="AC3289">
        <f>IF(ISNUMBER(AB3289),IF(AB3289&gt;$L$8,AA3289,""),"")</f>
        <v/>
      </c>
    </row>
    <row r="3290">
      <c r="S3290">
        <f>IF(ISNUMBER('자료_거시'!$E3272),'자료_거시'!$E3272,S3289)</f>
        <v/>
      </c>
      <c r="T3290">
        <f>IF(AND(ISNUMBER('자료_거시'!$D3272),ISNUMBER('자료_거시'!$E3272)),IFERROR('자료_거시'!$E3272-INDEX($S$21:$S$4020,MATCH(EDATE('자료_거시'!$D3272,-'설정'!$B$17),'자료_거시'!$D$3:INDEX('자료_거시'!$D$3:$D$4002,$K$6),1)),""),"")</f>
        <v/>
      </c>
      <c r="U3290">
        <f>IF(ISNUMBER(T3290),'자료_거시'!$D3272,"")</f>
        <v/>
      </c>
      <c r="V3290">
        <f>IF(ISNUMBER(U3290),IF(U3290&gt;$L$6,T3290,""),"")</f>
        <v/>
      </c>
      <c r="W3290">
        <f>IF(AND(ISNUMBER('자료_거시'!$G3272),ISNUMBER('자료_거시'!$H3272)),'자료_거시'!$H3272,"")</f>
        <v/>
      </c>
      <c r="X3290">
        <f>IF(ISNUMBER(W3290),'자료_거시'!$G3272,"")</f>
        <v/>
      </c>
      <c r="Y3290">
        <f>IF(ISNUMBER(X3290),IF(X3290&gt;$L$7,W3290,""),"")</f>
        <v/>
      </c>
      <c r="Z3290">
        <f>IF(ISNUMBER('자료_거시'!$K3272),'자료_거시'!$K3272,Z3289)</f>
        <v/>
      </c>
      <c r="AA3290">
        <f>IF(AND(ISNUMBER('자료_거시'!$J3272),ISNUMBER('자료_거시'!$K3272)),IFERROR('자료_거시'!$K3272/INDEX($Z$21:$Z$4020,MATCH(EDATE('자료_거시'!$J3272,-'설정'!$B$17),'자료_거시'!$J$3:INDEX('자료_거시'!$J$3:$J$4002,$K$8),1))-1,""),"")</f>
        <v/>
      </c>
      <c r="AB3290">
        <f>IF(ISNUMBER(AA3290),'자료_거시'!$J3272,"")</f>
        <v/>
      </c>
      <c r="AC3290">
        <f>IF(ISNUMBER(AB3290),IF(AB3290&gt;$L$8,AA3290,""),"")</f>
        <v/>
      </c>
    </row>
    <row r="3291">
      <c r="S3291">
        <f>IF(ISNUMBER('자료_거시'!$E3273),'자료_거시'!$E3273,S3290)</f>
        <v/>
      </c>
      <c r="T3291">
        <f>IF(AND(ISNUMBER('자료_거시'!$D3273),ISNUMBER('자료_거시'!$E3273)),IFERROR('자료_거시'!$E3273-INDEX($S$21:$S$4020,MATCH(EDATE('자료_거시'!$D3273,-'설정'!$B$17),'자료_거시'!$D$3:INDEX('자료_거시'!$D$3:$D$4002,$K$6),1)),""),"")</f>
        <v/>
      </c>
      <c r="U3291">
        <f>IF(ISNUMBER(T3291),'자료_거시'!$D3273,"")</f>
        <v/>
      </c>
      <c r="V3291">
        <f>IF(ISNUMBER(U3291),IF(U3291&gt;$L$6,T3291,""),"")</f>
        <v/>
      </c>
      <c r="W3291">
        <f>IF(AND(ISNUMBER('자료_거시'!$G3273),ISNUMBER('자료_거시'!$H3273)),'자료_거시'!$H3273,"")</f>
        <v/>
      </c>
      <c r="X3291">
        <f>IF(ISNUMBER(W3291),'자료_거시'!$G3273,"")</f>
        <v/>
      </c>
      <c r="Y3291">
        <f>IF(ISNUMBER(X3291),IF(X3291&gt;$L$7,W3291,""),"")</f>
        <v/>
      </c>
      <c r="Z3291">
        <f>IF(ISNUMBER('자료_거시'!$K3273),'자료_거시'!$K3273,Z3290)</f>
        <v/>
      </c>
      <c r="AA3291">
        <f>IF(AND(ISNUMBER('자료_거시'!$J3273),ISNUMBER('자료_거시'!$K3273)),IFERROR('자료_거시'!$K3273/INDEX($Z$21:$Z$4020,MATCH(EDATE('자료_거시'!$J3273,-'설정'!$B$17),'자료_거시'!$J$3:INDEX('자료_거시'!$J$3:$J$4002,$K$8),1))-1,""),"")</f>
        <v/>
      </c>
      <c r="AB3291">
        <f>IF(ISNUMBER(AA3291),'자료_거시'!$J3273,"")</f>
        <v/>
      </c>
      <c r="AC3291">
        <f>IF(ISNUMBER(AB3291),IF(AB3291&gt;$L$8,AA3291,""),"")</f>
        <v/>
      </c>
    </row>
    <row r="3292">
      <c r="S3292">
        <f>IF(ISNUMBER('자료_거시'!$E3274),'자료_거시'!$E3274,S3291)</f>
        <v/>
      </c>
      <c r="T3292">
        <f>IF(AND(ISNUMBER('자료_거시'!$D3274),ISNUMBER('자료_거시'!$E3274)),IFERROR('자료_거시'!$E3274-INDEX($S$21:$S$4020,MATCH(EDATE('자료_거시'!$D3274,-'설정'!$B$17),'자료_거시'!$D$3:INDEX('자료_거시'!$D$3:$D$4002,$K$6),1)),""),"")</f>
        <v/>
      </c>
      <c r="U3292">
        <f>IF(ISNUMBER(T3292),'자료_거시'!$D3274,"")</f>
        <v/>
      </c>
      <c r="V3292">
        <f>IF(ISNUMBER(U3292),IF(U3292&gt;$L$6,T3292,""),"")</f>
        <v/>
      </c>
      <c r="W3292">
        <f>IF(AND(ISNUMBER('자료_거시'!$G3274),ISNUMBER('자료_거시'!$H3274)),'자료_거시'!$H3274,"")</f>
        <v/>
      </c>
      <c r="X3292">
        <f>IF(ISNUMBER(W3292),'자료_거시'!$G3274,"")</f>
        <v/>
      </c>
      <c r="Y3292">
        <f>IF(ISNUMBER(X3292),IF(X3292&gt;$L$7,W3292,""),"")</f>
        <v/>
      </c>
      <c r="Z3292">
        <f>IF(ISNUMBER('자료_거시'!$K3274),'자료_거시'!$K3274,Z3291)</f>
        <v/>
      </c>
      <c r="AA3292">
        <f>IF(AND(ISNUMBER('자료_거시'!$J3274),ISNUMBER('자료_거시'!$K3274)),IFERROR('자료_거시'!$K3274/INDEX($Z$21:$Z$4020,MATCH(EDATE('자료_거시'!$J3274,-'설정'!$B$17),'자료_거시'!$J$3:INDEX('자료_거시'!$J$3:$J$4002,$K$8),1))-1,""),"")</f>
        <v/>
      </c>
      <c r="AB3292">
        <f>IF(ISNUMBER(AA3292),'자료_거시'!$J3274,"")</f>
        <v/>
      </c>
      <c r="AC3292">
        <f>IF(ISNUMBER(AB3292),IF(AB3292&gt;$L$8,AA3292,""),"")</f>
        <v/>
      </c>
    </row>
    <row r="3293">
      <c r="S3293">
        <f>IF(ISNUMBER('자료_거시'!$E3275),'자료_거시'!$E3275,S3292)</f>
        <v/>
      </c>
      <c r="T3293">
        <f>IF(AND(ISNUMBER('자료_거시'!$D3275),ISNUMBER('자료_거시'!$E3275)),IFERROR('자료_거시'!$E3275-INDEX($S$21:$S$4020,MATCH(EDATE('자료_거시'!$D3275,-'설정'!$B$17),'자료_거시'!$D$3:INDEX('자료_거시'!$D$3:$D$4002,$K$6),1)),""),"")</f>
        <v/>
      </c>
      <c r="U3293">
        <f>IF(ISNUMBER(T3293),'자료_거시'!$D3275,"")</f>
        <v/>
      </c>
      <c r="V3293">
        <f>IF(ISNUMBER(U3293),IF(U3293&gt;$L$6,T3293,""),"")</f>
        <v/>
      </c>
      <c r="W3293">
        <f>IF(AND(ISNUMBER('자료_거시'!$G3275),ISNUMBER('자료_거시'!$H3275)),'자료_거시'!$H3275,"")</f>
        <v/>
      </c>
      <c r="X3293">
        <f>IF(ISNUMBER(W3293),'자료_거시'!$G3275,"")</f>
        <v/>
      </c>
      <c r="Y3293">
        <f>IF(ISNUMBER(X3293),IF(X3293&gt;$L$7,W3293,""),"")</f>
        <v/>
      </c>
      <c r="Z3293">
        <f>IF(ISNUMBER('자료_거시'!$K3275),'자료_거시'!$K3275,Z3292)</f>
        <v/>
      </c>
      <c r="AA3293">
        <f>IF(AND(ISNUMBER('자료_거시'!$J3275),ISNUMBER('자료_거시'!$K3275)),IFERROR('자료_거시'!$K3275/INDEX($Z$21:$Z$4020,MATCH(EDATE('자료_거시'!$J3275,-'설정'!$B$17),'자료_거시'!$J$3:INDEX('자료_거시'!$J$3:$J$4002,$K$8),1))-1,""),"")</f>
        <v/>
      </c>
      <c r="AB3293">
        <f>IF(ISNUMBER(AA3293),'자료_거시'!$J3275,"")</f>
        <v/>
      </c>
      <c r="AC3293">
        <f>IF(ISNUMBER(AB3293),IF(AB3293&gt;$L$8,AA3293,""),"")</f>
        <v/>
      </c>
    </row>
    <row r="3294">
      <c r="S3294">
        <f>IF(ISNUMBER('자료_거시'!$E3276),'자료_거시'!$E3276,S3293)</f>
        <v/>
      </c>
      <c r="T3294">
        <f>IF(AND(ISNUMBER('자료_거시'!$D3276),ISNUMBER('자료_거시'!$E3276)),IFERROR('자료_거시'!$E3276-INDEX($S$21:$S$4020,MATCH(EDATE('자료_거시'!$D3276,-'설정'!$B$17),'자료_거시'!$D$3:INDEX('자료_거시'!$D$3:$D$4002,$K$6),1)),""),"")</f>
        <v/>
      </c>
      <c r="U3294">
        <f>IF(ISNUMBER(T3294),'자료_거시'!$D3276,"")</f>
        <v/>
      </c>
      <c r="V3294">
        <f>IF(ISNUMBER(U3294),IF(U3294&gt;$L$6,T3294,""),"")</f>
        <v/>
      </c>
      <c r="W3294">
        <f>IF(AND(ISNUMBER('자료_거시'!$G3276),ISNUMBER('자료_거시'!$H3276)),'자료_거시'!$H3276,"")</f>
        <v/>
      </c>
      <c r="X3294">
        <f>IF(ISNUMBER(W3294),'자료_거시'!$G3276,"")</f>
        <v/>
      </c>
      <c r="Y3294">
        <f>IF(ISNUMBER(X3294),IF(X3294&gt;$L$7,W3294,""),"")</f>
        <v/>
      </c>
      <c r="Z3294">
        <f>IF(ISNUMBER('자료_거시'!$K3276),'자료_거시'!$K3276,Z3293)</f>
        <v/>
      </c>
      <c r="AA3294">
        <f>IF(AND(ISNUMBER('자료_거시'!$J3276),ISNUMBER('자료_거시'!$K3276)),IFERROR('자료_거시'!$K3276/INDEX($Z$21:$Z$4020,MATCH(EDATE('자료_거시'!$J3276,-'설정'!$B$17),'자료_거시'!$J$3:INDEX('자료_거시'!$J$3:$J$4002,$K$8),1))-1,""),"")</f>
        <v/>
      </c>
      <c r="AB3294">
        <f>IF(ISNUMBER(AA3294),'자료_거시'!$J3276,"")</f>
        <v/>
      </c>
      <c r="AC3294">
        <f>IF(ISNUMBER(AB3294),IF(AB3294&gt;$L$8,AA3294,""),"")</f>
        <v/>
      </c>
    </row>
    <row r="3295">
      <c r="S3295">
        <f>IF(ISNUMBER('자료_거시'!$E3277),'자료_거시'!$E3277,S3294)</f>
        <v/>
      </c>
      <c r="T3295">
        <f>IF(AND(ISNUMBER('자료_거시'!$D3277),ISNUMBER('자료_거시'!$E3277)),IFERROR('자료_거시'!$E3277-INDEX($S$21:$S$4020,MATCH(EDATE('자료_거시'!$D3277,-'설정'!$B$17),'자료_거시'!$D$3:INDEX('자료_거시'!$D$3:$D$4002,$K$6),1)),""),"")</f>
        <v/>
      </c>
      <c r="U3295">
        <f>IF(ISNUMBER(T3295),'자료_거시'!$D3277,"")</f>
        <v/>
      </c>
      <c r="V3295">
        <f>IF(ISNUMBER(U3295),IF(U3295&gt;$L$6,T3295,""),"")</f>
        <v/>
      </c>
      <c r="W3295">
        <f>IF(AND(ISNUMBER('자료_거시'!$G3277),ISNUMBER('자료_거시'!$H3277)),'자료_거시'!$H3277,"")</f>
        <v/>
      </c>
      <c r="X3295">
        <f>IF(ISNUMBER(W3295),'자료_거시'!$G3277,"")</f>
        <v/>
      </c>
      <c r="Y3295">
        <f>IF(ISNUMBER(X3295),IF(X3295&gt;$L$7,W3295,""),"")</f>
        <v/>
      </c>
      <c r="Z3295">
        <f>IF(ISNUMBER('자료_거시'!$K3277),'자료_거시'!$K3277,Z3294)</f>
        <v/>
      </c>
      <c r="AA3295">
        <f>IF(AND(ISNUMBER('자료_거시'!$J3277),ISNUMBER('자료_거시'!$K3277)),IFERROR('자료_거시'!$K3277/INDEX($Z$21:$Z$4020,MATCH(EDATE('자료_거시'!$J3277,-'설정'!$B$17),'자료_거시'!$J$3:INDEX('자료_거시'!$J$3:$J$4002,$K$8),1))-1,""),"")</f>
        <v/>
      </c>
      <c r="AB3295">
        <f>IF(ISNUMBER(AA3295),'자료_거시'!$J3277,"")</f>
        <v/>
      </c>
      <c r="AC3295">
        <f>IF(ISNUMBER(AB3295),IF(AB3295&gt;$L$8,AA3295,""),"")</f>
        <v/>
      </c>
    </row>
    <row r="3296">
      <c r="S3296">
        <f>IF(ISNUMBER('자료_거시'!$E3278),'자료_거시'!$E3278,S3295)</f>
        <v/>
      </c>
      <c r="T3296">
        <f>IF(AND(ISNUMBER('자료_거시'!$D3278),ISNUMBER('자료_거시'!$E3278)),IFERROR('자료_거시'!$E3278-INDEX($S$21:$S$4020,MATCH(EDATE('자료_거시'!$D3278,-'설정'!$B$17),'자료_거시'!$D$3:INDEX('자료_거시'!$D$3:$D$4002,$K$6),1)),""),"")</f>
        <v/>
      </c>
      <c r="U3296">
        <f>IF(ISNUMBER(T3296),'자료_거시'!$D3278,"")</f>
        <v/>
      </c>
      <c r="V3296">
        <f>IF(ISNUMBER(U3296),IF(U3296&gt;$L$6,T3296,""),"")</f>
        <v/>
      </c>
      <c r="W3296">
        <f>IF(AND(ISNUMBER('자료_거시'!$G3278),ISNUMBER('자료_거시'!$H3278)),'자료_거시'!$H3278,"")</f>
        <v/>
      </c>
      <c r="X3296">
        <f>IF(ISNUMBER(W3296),'자료_거시'!$G3278,"")</f>
        <v/>
      </c>
      <c r="Y3296">
        <f>IF(ISNUMBER(X3296),IF(X3296&gt;$L$7,W3296,""),"")</f>
        <v/>
      </c>
      <c r="Z3296">
        <f>IF(ISNUMBER('자료_거시'!$K3278),'자료_거시'!$K3278,Z3295)</f>
        <v/>
      </c>
      <c r="AA3296">
        <f>IF(AND(ISNUMBER('자료_거시'!$J3278),ISNUMBER('자료_거시'!$K3278)),IFERROR('자료_거시'!$K3278/INDEX($Z$21:$Z$4020,MATCH(EDATE('자료_거시'!$J3278,-'설정'!$B$17),'자료_거시'!$J$3:INDEX('자료_거시'!$J$3:$J$4002,$K$8),1))-1,""),"")</f>
        <v/>
      </c>
      <c r="AB3296">
        <f>IF(ISNUMBER(AA3296),'자료_거시'!$J3278,"")</f>
        <v/>
      </c>
      <c r="AC3296">
        <f>IF(ISNUMBER(AB3296),IF(AB3296&gt;$L$8,AA3296,""),"")</f>
        <v/>
      </c>
    </row>
    <row r="3297">
      <c r="S3297">
        <f>IF(ISNUMBER('자료_거시'!$E3279),'자료_거시'!$E3279,S3296)</f>
        <v/>
      </c>
      <c r="T3297">
        <f>IF(AND(ISNUMBER('자료_거시'!$D3279),ISNUMBER('자료_거시'!$E3279)),IFERROR('자료_거시'!$E3279-INDEX($S$21:$S$4020,MATCH(EDATE('자료_거시'!$D3279,-'설정'!$B$17),'자료_거시'!$D$3:INDEX('자료_거시'!$D$3:$D$4002,$K$6),1)),""),"")</f>
        <v/>
      </c>
      <c r="U3297">
        <f>IF(ISNUMBER(T3297),'자료_거시'!$D3279,"")</f>
        <v/>
      </c>
      <c r="V3297">
        <f>IF(ISNUMBER(U3297),IF(U3297&gt;$L$6,T3297,""),"")</f>
        <v/>
      </c>
      <c r="W3297">
        <f>IF(AND(ISNUMBER('자료_거시'!$G3279),ISNUMBER('자료_거시'!$H3279)),'자료_거시'!$H3279,"")</f>
        <v/>
      </c>
      <c r="X3297">
        <f>IF(ISNUMBER(W3297),'자료_거시'!$G3279,"")</f>
        <v/>
      </c>
      <c r="Y3297">
        <f>IF(ISNUMBER(X3297),IF(X3297&gt;$L$7,W3297,""),"")</f>
        <v/>
      </c>
      <c r="Z3297">
        <f>IF(ISNUMBER('자료_거시'!$K3279),'자료_거시'!$K3279,Z3296)</f>
        <v/>
      </c>
      <c r="AA3297">
        <f>IF(AND(ISNUMBER('자료_거시'!$J3279),ISNUMBER('자료_거시'!$K3279)),IFERROR('자료_거시'!$K3279/INDEX($Z$21:$Z$4020,MATCH(EDATE('자료_거시'!$J3279,-'설정'!$B$17),'자료_거시'!$J$3:INDEX('자료_거시'!$J$3:$J$4002,$K$8),1))-1,""),"")</f>
        <v/>
      </c>
      <c r="AB3297">
        <f>IF(ISNUMBER(AA3297),'자료_거시'!$J3279,"")</f>
        <v/>
      </c>
      <c r="AC3297">
        <f>IF(ISNUMBER(AB3297),IF(AB3297&gt;$L$8,AA3297,""),"")</f>
        <v/>
      </c>
    </row>
    <row r="3298">
      <c r="S3298">
        <f>IF(ISNUMBER('자료_거시'!$E3280),'자료_거시'!$E3280,S3297)</f>
        <v/>
      </c>
      <c r="T3298">
        <f>IF(AND(ISNUMBER('자료_거시'!$D3280),ISNUMBER('자료_거시'!$E3280)),IFERROR('자료_거시'!$E3280-INDEX($S$21:$S$4020,MATCH(EDATE('자료_거시'!$D3280,-'설정'!$B$17),'자료_거시'!$D$3:INDEX('자료_거시'!$D$3:$D$4002,$K$6),1)),""),"")</f>
        <v/>
      </c>
      <c r="U3298">
        <f>IF(ISNUMBER(T3298),'자료_거시'!$D3280,"")</f>
        <v/>
      </c>
      <c r="V3298">
        <f>IF(ISNUMBER(U3298),IF(U3298&gt;$L$6,T3298,""),"")</f>
        <v/>
      </c>
      <c r="W3298">
        <f>IF(AND(ISNUMBER('자료_거시'!$G3280),ISNUMBER('자료_거시'!$H3280)),'자료_거시'!$H3280,"")</f>
        <v/>
      </c>
      <c r="X3298">
        <f>IF(ISNUMBER(W3298),'자료_거시'!$G3280,"")</f>
        <v/>
      </c>
      <c r="Y3298">
        <f>IF(ISNUMBER(X3298),IF(X3298&gt;$L$7,W3298,""),"")</f>
        <v/>
      </c>
      <c r="Z3298">
        <f>IF(ISNUMBER('자료_거시'!$K3280),'자료_거시'!$K3280,Z3297)</f>
        <v/>
      </c>
      <c r="AA3298">
        <f>IF(AND(ISNUMBER('자료_거시'!$J3280),ISNUMBER('자료_거시'!$K3280)),IFERROR('자료_거시'!$K3280/INDEX($Z$21:$Z$4020,MATCH(EDATE('자료_거시'!$J3280,-'설정'!$B$17),'자료_거시'!$J$3:INDEX('자료_거시'!$J$3:$J$4002,$K$8),1))-1,""),"")</f>
        <v/>
      </c>
      <c r="AB3298">
        <f>IF(ISNUMBER(AA3298),'자료_거시'!$J3280,"")</f>
        <v/>
      </c>
      <c r="AC3298">
        <f>IF(ISNUMBER(AB3298),IF(AB3298&gt;$L$8,AA3298,""),"")</f>
        <v/>
      </c>
    </row>
    <row r="3299">
      <c r="S3299">
        <f>IF(ISNUMBER('자료_거시'!$E3281),'자료_거시'!$E3281,S3298)</f>
        <v/>
      </c>
      <c r="T3299">
        <f>IF(AND(ISNUMBER('자료_거시'!$D3281),ISNUMBER('자료_거시'!$E3281)),IFERROR('자료_거시'!$E3281-INDEX($S$21:$S$4020,MATCH(EDATE('자료_거시'!$D3281,-'설정'!$B$17),'자료_거시'!$D$3:INDEX('자료_거시'!$D$3:$D$4002,$K$6),1)),""),"")</f>
        <v/>
      </c>
      <c r="U3299">
        <f>IF(ISNUMBER(T3299),'자료_거시'!$D3281,"")</f>
        <v/>
      </c>
      <c r="V3299">
        <f>IF(ISNUMBER(U3299),IF(U3299&gt;$L$6,T3299,""),"")</f>
        <v/>
      </c>
      <c r="W3299">
        <f>IF(AND(ISNUMBER('자료_거시'!$G3281),ISNUMBER('자료_거시'!$H3281)),'자료_거시'!$H3281,"")</f>
        <v/>
      </c>
      <c r="X3299">
        <f>IF(ISNUMBER(W3299),'자료_거시'!$G3281,"")</f>
        <v/>
      </c>
      <c r="Y3299">
        <f>IF(ISNUMBER(X3299),IF(X3299&gt;$L$7,W3299,""),"")</f>
        <v/>
      </c>
      <c r="Z3299">
        <f>IF(ISNUMBER('자료_거시'!$K3281),'자료_거시'!$K3281,Z3298)</f>
        <v/>
      </c>
      <c r="AA3299">
        <f>IF(AND(ISNUMBER('자료_거시'!$J3281),ISNUMBER('자료_거시'!$K3281)),IFERROR('자료_거시'!$K3281/INDEX($Z$21:$Z$4020,MATCH(EDATE('자료_거시'!$J3281,-'설정'!$B$17),'자료_거시'!$J$3:INDEX('자료_거시'!$J$3:$J$4002,$K$8),1))-1,""),"")</f>
        <v/>
      </c>
      <c r="AB3299">
        <f>IF(ISNUMBER(AA3299),'자료_거시'!$J3281,"")</f>
        <v/>
      </c>
      <c r="AC3299">
        <f>IF(ISNUMBER(AB3299),IF(AB3299&gt;$L$8,AA3299,""),"")</f>
        <v/>
      </c>
    </row>
    <row r="3300">
      <c r="S3300">
        <f>IF(ISNUMBER('자료_거시'!$E3282),'자료_거시'!$E3282,S3299)</f>
        <v/>
      </c>
      <c r="T3300">
        <f>IF(AND(ISNUMBER('자료_거시'!$D3282),ISNUMBER('자료_거시'!$E3282)),IFERROR('자료_거시'!$E3282-INDEX($S$21:$S$4020,MATCH(EDATE('자료_거시'!$D3282,-'설정'!$B$17),'자료_거시'!$D$3:INDEX('자료_거시'!$D$3:$D$4002,$K$6),1)),""),"")</f>
        <v/>
      </c>
      <c r="U3300">
        <f>IF(ISNUMBER(T3300),'자료_거시'!$D3282,"")</f>
        <v/>
      </c>
      <c r="V3300">
        <f>IF(ISNUMBER(U3300),IF(U3300&gt;$L$6,T3300,""),"")</f>
        <v/>
      </c>
      <c r="W3300">
        <f>IF(AND(ISNUMBER('자료_거시'!$G3282),ISNUMBER('자료_거시'!$H3282)),'자료_거시'!$H3282,"")</f>
        <v/>
      </c>
      <c r="X3300">
        <f>IF(ISNUMBER(W3300),'자료_거시'!$G3282,"")</f>
        <v/>
      </c>
      <c r="Y3300">
        <f>IF(ISNUMBER(X3300),IF(X3300&gt;$L$7,W3300,""),"")</f>
        <v/>
      </c>
      <c r="Z3300">
        <f>IF(ISNUMBER('자료_거시'!$K3282),'자료_거시'!$K3282,Z3299)</f>
        <v/>
      </c>
      <c r="AA3300">
        <f>IF(AND(ISNUMBER('자료_거시'!$J3282),ISNUMBER('자료_거시'!$K3282)),IFERROR('자료_거시'!$K3282/INDEX($Z$21:$Z$4020,MATCH(EDATE('자료_거시'!$J3282,-'설정'!$B$17),'자료_거시'!$J$3:INDEX('자료_거시'!$J$3:$J$4002,$K$8),1))-1,""),"")</f>
        <v/>
      </c>
      <c r="AB3300">
        <f>IF(ISNUMBER(AA3300),'자료_거시'!$J3282,"")</f>
        <v/>
      </c>
      <c r="AC3300">
        <f>IF(ISNUMBER(AB3300),IF(AB3300&gt;$L$8,AA3300,""),"")</f>
        <v/>
      </c>
    </row>
    <row r="3301">
      <c r="S3301">
        <f>IF(ISNUMBER('자료_거시'!$E3283),'자료_거시'!$E3283,S3300)</f>
        <v/>
      </c>
      <c r="T3301">
        <f>IF(AND(ISNUMBER('자료_거시'!$D3283),ISNUMBER('자료_거시'!$E3283)),IFERROR('자료_거시'!$E3283-INDEX($S$21:$S$4020,MATCH(EDATE('자료_거시'!$D3283,-'설정'!$B$17),'자료_거시'!$D$3:INDEX('자료_거시'!$D$3:$D$4002,$K$6),1)),""),"")</f>
        <v/>
      </c>
      <c r="U3301">
        <f>IF(ISNUMBER(T3301),'자료_거시'!$D3283,"")</f>
        <v/>
      </c>
      <c r="V3301">
        <f>IF(ISNUMBER(U3301),IF(U3301&gt;$L$6,T3301,""),"")</f>
        <v/>
      </c>
      <c r="W3301">
        <f>IF(AND(ISNUMBER('자료_거시'!$G3283),ISNUMBER('자료_거시'!$H3283)),'자료_거시'!$H3283,"")</f>
        <v/>
      </c>
      <c r="X3301">
        <f>IF(ISNUMBER(W3301),'자료_거시'!$G3283,"")</f>
        <v/>
      </c>
      <c r="Y3301">
        <f>IF(ISNUMBER(X3301),IF(X3301&gt;$L$7,W3301,""),"")</f>
        <v/>
      </c>
      <c r="Z3301">
        <f>IF(ISNUMBER('자료_거시'!$K3283),'자료_거시'!$K3283,Z3300)</f>
        <v/>
      </c>
      <c r="AA3301">
        <f>IF(AND(ISNUMBER('자료_거시'!$J3283),ISNUMBER('자료_거시'!$K3283)),IFERROR('자료_거시'!$K3283/INDEX($Z$21:$Z$4020,MATCH(EDATE('자료_거시'!$J3283,-'설정'!$B$17),'자료_거시'!$J$3:INDEX('자료_거시'!$J$3:$J$4002,$K$8),1))-1,""),"")</f>
        <v/>
      </c>
      <c r="AB3301">
        <f>IF(ISNUMBER(AA3301),'자료_거시'!$J3283,"")</f>
        <v/>
      </c>
      <c r="AC3301">
        <f>IF(ISNUMBER(AB3301),IF(AB3301&gt;$L$8,AA3301,""),"")</f>
        <v/>
      </c>
    </row>
    <row r="3302">
      <c r="S3302">
        <f>IF(ISNUMBER('자료_거시'!$E3284),'자료_거시'!$E3284,S3301)</f>
        <v/>
      </c>
      <c r="T3302">
        <f>IF(AND(ISNUMBER('자료_거시'!$D3284),ISNUMBER('자료_거시'!$E3284)),IFERROR('자료_거시'!$E3284-INDEX($S$21:$S$4020,MATCH(EDATE('자료_거시'!$D3284,-'설정'!$B$17),'자료_거시'!$D$3:INDEX('자료_거시'!$D$3:$D$4002,$K$6),1)),""),"")</f>
        <v/>
      </c>
      <c r="U3302">
        <f>IF(ISNUMBER(T3302),'자료_거시'!$D3284,"")</f>
        <v/>
      </c>
      <c r="V3302">
        <f>IF(ISNUMBER(U3302),IF(U3302&gt;$L$6,T3302,""),"")</f>
        <v/>
      </c>
      <c r="W3302">
        <f>IF(AND(ISNUMBER('자료_거시'!$G3284),ISNUMBER('자료_거시'!$H3284)),'자료_거시'!$H3284,"")</f>
        <v/>
      </c>
      <c r="X3302">
        <f>IF(ISNUMBER(W3302),'자료_거시'!$G3284,"")</f>
        <v/>
      </c>
      <c r="Y3302">
        <f>IF(ISNUMBER(X3302),IF(X3302&gt;$L$7,W3302,""),"")</f>
        <v/>
      </c>
      <c r="Z3302">
        <f>IF(ISNUMBER('자료_거시'!$K3284),'자료_거시'!$K3284,Z3301)</f>
        <v/>
      </c>
      <c r="AA3302">
        <f>IF(AND(ISNUMBER('자료_거시'!$J3284),ISNUMBER('자료_거시'!$K3284)),IFERROR('자료_거시'!$K3284/INDEX($Z$21:$Z$4020,MATCH(EDATE('자료_거시'!$J3284,-'설정'!$B$17),'자료_거시'!$J$3:INDEX('자료_거시'!$J$3:$J$4002,$K$8),1))-1,""),"")</f>
        <v/>
      </c>
      <c r="AB3302">
        <f>IF(ISNUMBER(AA3302),'자료_거시'!$J3284,"")</f>
        <v/>
      </c>
      <c r="AC3302">
        <f>IF(ISNUMBER(AB3302),IF(AB3302&gt;$L$8,AA3302,""),"")</f>
        <v/>
      </c>
    </row>
    <row r="3303">
      <c r="S3303">
        <f>IF(ISNUMBER('자료_거시'!$E3285),'자료_거시'!$E3285,S3302)</f>
        <v/>
      </c>
      <c r="T3303">
        <f>IF(AND(ISNUMBER('자료_거시'!$D3285),ISNUMBER('자료_거시'!$E3285)),IFERROR('자료_거시'!$E3285-INDEX($S$21:$S$4020,MATCH(EDATE('자료_거시'!$D3285,-'설정'!$B$17),'자료_거시'!$D$3:INDEX('자료_거시'!$D$3:$D$4002,$K$6),1)),""),"")</f>
        <v/>
      </c>
      <c r="U3303">
        <f>IF(ISNUMBER(T3303),'자료_거시'!$D3285,"")</f>
        <v/>
      </c>
      <c r="V3303">
        <f>IF(ISNUMBER(U3303),IF(U3303&gt;$L$6,T3303,""),"")</f>
        <v/>
      </c>
      <c r="W3303">
        <f>IF(AND(ISNUMBER('자료_거시'!$G3285),ISNUMBER('자료_거시'!$H3285)),'자료_거시'!$H3285,"")</f>
        <v/>
      </c>
      <c r="X3303">
        <f>IF(ISNUMBER(W3303),'자료_거시'!$G3285,"")</f>
        <v/>
      </c>
      <c r="Y3303">
        <f>IF(ISNUMBER(X3303),IF(X3303&gt;$L$7,W3303,""),"")</f>
        <v/>
      </c>
      <c r="Z3303">
        <f>IF(ISNUMBER('자료_거시'!$K3285),'자료_거시'!$K3285,Z3302)</f>
        <v/>
      </c>
      <c r="AA3303">
        <f>IF(AND(ISNUMBER('자료_거시'!$J3285),ISNUMBER('자료_거시'!$K3285)),IFERROR('자료_거시'!$K3285/INDEX($Z$21:$Z$4020,MATCH(EDATE('자료_거시'!$J3285,-'설정'!$B$17),'자료_거시'!$J$3:INDEX('자료_거시'!$J$3:$J$4002,$K$8),1))-1,""),"")</f>
        <v/>
      </c>
      <c r="AB3303">
        <f>IF(ISNUMBER(AA3303),'자료_거시'!$J3285,"")</f>
        <v/>
      </c>
      <c r="AC3303">
        <f>IF(ISNUMBER(AB3303),IF(AB3303&gt;$L$8,AA3303,""),"")</f>
        <v/>
      </c>
    </row>
    <row r="3304">
      <c r="S3304">
        <f>IF(ISNUMBER('자료_거시'!$E3286),'자료_거시'!$E3286,S3303)</f>
        <v/>
      </c>
      <c r="T3304">
        <f>IF(AND(ISNUMBER('자료_거시'!$D3286),ISNUMBER('자료_거시'!$E3286)),IFERROR('자료_거시'!$E3286-INDEX($S$21:$S$4020,MATCH(EDATE('자료_거시'!$D3286,-'설정'!$B$17),'자료_거시'!$D$3:INDEX('자료_거시'!$D$3:$D$4002,$K$6),1)),""),"")</f>
        <v/>
      </c>
      <c r="U3304">
        <f>IF(ISNUMBER(T3304),'자료_거시'!$D3286,"")</f>
        <v/>
      </c>
      <c r="V3304">
        <f>IF(ISNUMBER(U3304),IF(U3304&gt;$L$6,T3304,""),"")</f>
        <v/>
      </c>
      <c r="W3304">
        <f>IF(AND(ISNUMBER('자료_거시'!$G3286),ISNUMBER('자료_거시'!$H3286)),'자료_거시'!$H3286,"")</f>
        <v/>
      </c>
      <c r="X3304">
        <f>IF(ISNUMBER(W3304),'자료_거시'!$G3286,"")</f>
        <v/>
      </c>
      <c r="Y3304">
        <f>IF(ISNUMBER(X3304),IF(X3304&gt;$L$7,W3304,""),"")</f>
        <v/>
      </c>
      <c r="Z3304">
        <f>IF(ISNUMBER('자료_거시'!$K3286),'자료_거시'!$K3286,Z3303)</f>
        <v/>
      </c>
      <c r="AA3304">
        <f>IF(AND(ISNUMBER('자료_거시'!$J3286),ISNUMBER('자료_거시'!$K3286)),IFERROR('자료_거시'!$K3286/INDEX($Z$21:$Z$4020,MATCH(EDATE('자료_거시'!$J3286,-'설정'!$B$17),'자료_거시'!$J$3:INDEX('자료_거시'!$J$3:$J$4002,$K$8),1))-1,""),"")</f>
        <v/>
      </c>
      <c r="AB3304">
        <f>IF(ISNUMBER(AA3304),'자료_거시'!$J3286,"")</f>
        <v/>
      </c>
      <c r="AC3304">
        <f>IF(ISNUMBER(AB3304),IF(AB3304&gt;$L$8,AA3304,""),"")</f>
        <v/>
      </c>
    </row>
    <row r="3305">
      <c r="S3305">
        <f>IF(ISNUMBER('자료_거시'!$E3287),'자료_거시'!$E3287,S3304)</f>
        <v/>
      </c>
      <c r="T3305">
        <f>IF(AND(ISNUMBER('자료_거시'!$D3287),ISNUMBER('자료_거시'!$E3287)),IFERROR('자료_거시'!$E3287-INDEX($S$21:$S$4020,MATCH(EDATE('자료_거시'!$D3287,-'설정'!$B$17),'자료_거시'!$D$3:INDEX('자료_거시'!$D$3:$D$4002,$K$6),1)),""),"")</f>
        <v/>
      </c>
      <c r="U3305">
        <f>IF(ISNUMBER(T3305),'자료_거시'!$D3287,"")</f>
        <v/>
      </c>
      <c r="V3305">
        <f>IF(ISNUMBER(U3305),IF(U3305&gt;$L$6,T3305,""),"")</f>
        <v/>
      </c>
      <c r="W3305">
        <f>IF(AND(ISNUMBER('자료_거시'!$G3287),ISNUMBER('자료_거시'!$H3287)),'자료_거시'!$H3287,"")</f>
        <v/>
      </c>
      <c r="X3305">
        <f>IF(ISNUMBER(W3305),'자료_거시'!$G3287,"")</f>
        <v/>
      </c>
      <c r="Y3305">
        <f>IF(ISNUMBER(X3305),IF(X3305&gt;$L$7,W3305,""),"")</f>
        <v/>
      </c>
      <c r="Z3305">
        <f>IF(ISNUMBER('자료_거시'!$K3287),'자료_거시'!$K3287,Z3304)</f>
        <v/>
      </c>
      <c r="AA3305">
        <f>IF(AND(ISNUMBER('자료_거시'!$J3287),ISNUMBER('자료_거시'!$K3287)),IFERROR('자료_거시'!$K3287/INDEX($Z$21:$Z$4020,MATCH(EDATE('자료_거시'!$J3287,-'설정'!$B$17),'자료_거시'!$J$3:INDEX('자료_거시'!$J$3:$J$4002,$K$8),1))-1,""),"")</f>
        <v/>
      </c>
      <c r="AB3305">
        <f>IF(ISNUMBER(AA3305),'자료_거시'!$J3287,"")</f>
        <v/>
      </c>
      <c r="AC3305">
        <f>IF(ISNUMBER(AB3305),IF(AB3305&gt;$L$8,AA3305,""),"")</f>
        <v/>
      </c>
    </row>
    <row r="3306">
      <c r="S3306">
        <f>IF(ISNUMBER('자료_거시'!$E3288),'자료_거시'!$E3288,S3305)</f>
        <v/>
      </c>
      <c r="T3306">
        <f>IF(AND(ISNUMBER('자료_거시'!$D3288),ISNUMBER('자료_거시'!$E3288)),IFERROR('자료_거시'!$E3288-INDEX($S$21:$S$4020,MATCH(EDATE('자료_거시'!$D3288,-'설정'!$B$17),'자료_거시'!$D$3:INDEX('자료_거시'!$D$3:$D$4002,$K$6),1)),""),"")</f>
        <v/>
      </c>
      <c r="U3306">
        <f>IF(ISNUMBER(T3306),'자료_거시'!$D3288,"")</f>
        <v/>
      </c>
      <c r="V3306">
        <f>IF(ISNUMBER(U3306),IF(U3306&gt;$L$6,T3306,""),"")</f>
        <v/>
      </c>
      <c r="W3306">
        <f>IF(AND(ISNUMBER('자료_거시'!$G3288),ISNUMBER('자료_거시'!$H3288)),'자료_거시'!$H3288,"")</f>
        <v/>
      </c>
      <c r="X3306">
        <f>IF(ISNUMBER(W3306),'자료_거시'!$G3288,"")</f>
        <v/>
      </c>
      <c r="Y3306">
        <f>IF(ISNUMBER(X3306),IF(X3306&gt;$L$7,W3306,""),"")</f>
        <v/>
      </c>
      <c r="Z3306">
        <f>IF(ISNUMBER('자료_거시'!$K3288),'자료_거시'!$K3288,Z3305)</f>
        <v/>
      </c>
      <c r="AA3306">
        <f>IF(AND(ISNUMBER('자료_거시'!$J3288),ISNUMBER('자료_거시'!$K3288)),IFERROR('자료_거시'!$K3288/INDEX($Z$21:$Z$4020,MATCH(EDATE('자료_거시'!$J3288,-'설정'!$B$17),'자료_거시'!$J$3:INDEX('자료_거시'!$J$3:$J$4002,$K$8),1))-1,""),"")</f>
        <v/>
      </c>
      <c r="AB3306">
        <f>IF(ISNUMBER(AA3306),'자료_거시'!$J3288,"")</f>
        <v/>
      </c>
      <c r="AC3306">
        <f>IF(ISNUMBER(AB3306),IF(AB3306&gt;$L$8,AA3306,""),"")</f>
        <v/>
      </c>
    </row>
    <row r="3307">
      <c r="S3307">
        <f>IF(ISNUMBER('자료_거시'!$E3289),'자료_거시'!$E3289,S3306)</f>
        <v/>
      </c>
      <c r="T3307">
        <f>IF(AND(ISNUMBER('자료_거시'!$D3289),ISNUMBER('자료_거시'!$E3289)),IFERROR('자료_거시'!$E3289-INDEX($S$21:$S$4020,MATCH(EDATE('자료_거시'!$D3289,-'설정'!$B$17),'자료_거시'!$D$3:INDEX('자료_거시'!$D$3:$D$4002,$K$6),1)),""),"")</f>
        <v/>
      </c>
      <c r="U3307">
        <f>IF(ISNUMBER(T3307),'자료_거시'!$D3289,"")</f>
        <v/>
      </c>
      <c r="V3307">
        <f>IF(ISNUMBER(U3307),IF(U3307&gt;$L$6,T3307,""),"")</f>
        <v/>
      </c>
      <c r="W3307">
        <f>IF(AND(ISNUMBER('자료_거시'!$G3289),ISNUMBER('자료_거시'!$H3289)),'자료_거시'!$H3289,"")</f>
        <v/>
      </c>
      <c r="X3307">
        <f>IF(ISNUMBER(W3307),'자료_거시'!$G3289,"")</f>
        <v/>
      </c>
      <c r="Y3307">
        <f>IF(ISNUMBER(X3307),IF(X3307&gt;$L$7,W3307,""),"")</f>
        <v/>
      </c>
      <c r="Z3307">
        <f>IF(ISNUMBER('자료_거시'!$K3289),'자료_거시'!$K3289,Z3306)</f>
        <v/>
      </c>
      <c r="AA3307">
        <f>IF(AND(ISNUMBER('자료_거시'!$J3289),ISNUMBER('자료_거시'!$K3289)),IFERROR('자료_거시'!$K3289/INDEX($Z$21:$Z$4020,MATCH(EDATE('자료_거시'!$J3289,-'설정'!$B$17),'자료_거시'!$J$3:INDEX('자료_거시'!$J$3:$J$4002,$K$8),1))-1,""),"")</f>
        <v/>
      </c>
      <c r="AB3307">
        <f>IF(ISNUMBER(AA3307),'자료_거시'!$J3289,"")</f>
        <v/>
      </c>
      <c r="AC3307">
        <f>IF(ISNUMBER(AB3307),IF(AB3307&gt;$L$8,AA3307,""),"")</f>
        <v/>
      </c>
    </row>
    <row r="3308">
      <c r="S3308">
        <f>IF(ISNUMBER('자료_거시'!$E3290),'자료_거시'!$E3290,S3307)</f>
        <v/>
      </c>
      <c r="T3308">
        <f>IF(AND(ISNUMBER('자료_거시'!$D3290),ISNUMBER('자료_거시'!$E3290)),IFERROR('자료_거시'!$E3290-INDEX($S$21:$S$4020,MATCH(EDATE('자료_거시'!$D3290,-'설정'!$B$17),'자료_거시'!$D$3:INDEX('자료_거시'!$D$3:$D$4002,$K$6),1)),""),"")</f>
        <v/>
      </c>
      <c r="U3308">
        <f>IF(ISNUMBER(T3308),'자료_거시'!$D3290,"")</f>
        <v/>
      </c>
      <c r="V3308">
        <f>IF(ISNUMBER(U3308),IF(U3308&gt;$L$6,T3308,""),"")</f>
        <v/>
      </c>
      <c r="W3308">
        <f>IF(AND(ISNUMBER('자료_거시'!$G3290),ISNUMBER('자료_거시'!$H3290)),'자료_거시'!$H3290,"")</f>
        <v/>
      </c>
      <c r="X3308">
        <f>IF(ISNUMBER(W3308),'자료_거시'!$G3290,"")</f>
        <v/>
      </c>
      <c r="Y3308">
        <f>IF(ISNUMBER(X3308),IF(X3308&gt;$L$7,W3308,""),"")</f>
        <v/>
      </c>
      <c r="Z3308">
        <f>IF(ISNUMBER('자료_거시'!$K3290),'자료_거시'!$K3290,Z3307)</f>
        <v/>
      </c>
      <c r="AA3308">
        <f>IF(AND(ISNUMBER('자료_거시'!$J3290),ISNUMBER('자료_거시'!$K3290)),IFERROR('자료_거시'!$K3290/INDEX($Z$21:$Z$4020,MATCH(EDATE('자료_거시'!$J3290,-'설정'!$B$17),'자료_거시'!$J$3:INDEX('자료_거시'!$J$3:$J$4002,$K$8),1))-1,""),"")</f>
        <v/>
      </c>
      <c r="AB3308">
        <f>IF(ISNUMBER(AA3308),'자료_거시'!$J3290,"")</f>
        <v/>
      </c>
      <c r="AC3308">
        <f>IF(ISNUMBER(AB3308),IF(AB3308&gt;$L$8,AA3308,""),"")</f>
        <v/>
      </c>
    </row>
    <row r="3309">
      <c r="S3309">
        <f>IF(ISNUMBER('자료_거시'!$E3291),'자료_거시'!$E3291,S3308)</f>
        <v/>
      </c>
      <c r="T3309">
        <f>IF(AND(ISNUMBER('자료_거시'!$D3291),ISNUMBER('자료_거시'!$E3291)),IFERROR('자료_거시'!$E3291-INDEX($S$21:$S$4020,MATCH(EDATE('자료_거시'!$D3291,-'설정'!$B$17),'자료_거시'!$D$3:INDEX('자료_거시'!$D$3:$D$4002,$K$6),1)),""),"")</f>
        <v/>
      </c>
      <c r="U3309">
        <f>IF(ISNUMBER(T3309),'자료_거시'!$D3291,"")</f>
        <v/>
      </c>
      <c r="V3309">
        <f>IF(ISNUMBER(U3309),IF(U3309&gt;$L$6,T3309,""),"")</f>
        <v/>
      </c>
      <c r="W3309">
        <f>IF(AND(ISNUMBER('자료_거시'!$G3291),ISNUMBER('자료_거시'!$H3291)),'자료_거시'!$H3291,"")</f>
        <v/>
      </c>
      <c r="X3309">
        <f>IF(ISNUMBER(W3309),'자료_거시'!$G3291,"")</f>
        <v/>
      </c>
      <c r="Y3309">
        <f>IF(ISNUMBER(X3309),IF(X3309&gt;$L$7,W3309,""),"")</f>
        <v/>
      </c>
      <c r="Z3309">
        <f>IF(ISNUMBER('자료_거시'!$K3291),'자료_거시'!$K3291,Z3308)</f>
        <v/>
      </c>
      <c r="AA3309">
        <f>IF(AND(ISNUMBER('자료_거시'!$J3291),ISNUMBER('자료_거시'!$K3291)),IFERROR('자료_거시'!$K3291/INDEX($Z$21:$Z$4020,MATCH(EDATE('자료_거시'!$J3291,-'설정'!$B$17),'자료_거시'!$J$3:INDEX('자료_거시'!$J$3:$J$4002,$K$8),1))-1,""),"")</f>
        <v/>
      </c>
      <c r="AB3309">
        <f>IF(ISNUMBER(AA3309),'자료_거시'!$J3291,"")</f>
        <v/>
      </c>
      <c r="AC3309">
        <f>IF(ISNUMBER(AB3309),IF(AB3309&gt;$L$8,AA3309,""),"")</f>
        <v/>
      </c>
    </row>
    <row r="3310">
      <c r="S3310">
        <f>IF(ISNUMBER('자료_거시'!$E3292),'자료_거시'!$E3292,S3309)</f>
        <v/>
      </c>
      <c r="T3310">
        <f>IF(AND(ISNUMBER('자료_거시'!$D3292),ISNUMBER('자료_거시'!$E3292)),IFERROR('자료_거시'!$E3292-INDEX($S$21:$S$4020,MATCH(EDATE('자료_거시'!$D3292,-'설정'!$B$17),'자료_거시'!$D$3:INDEX('자료_거시'!$D$3:$D$4002,$K$6),1)),""),"")</f>
        <v/>
      </c>
      <c r="U3310">
        <f>IF(ISNUMBER(T3310),'자료_거시'!$D3292,"")</f>
        <v/>
      </c>
      <c r="V3310">
        <f>IF(ISNUMBER(U3310),IF(U3310&gt;$L$6,T3310,""),"")</f>
        <v/>
      </c>
      <c r="W3310">
        <f>IF(AND(ISNUMBER('자료_거시'!$G3292),ISNUMBER('자료_거시'!$H3292)),'자료_거시'!$H3292,"")</f>
        <v/>
      </c>
      <c r="X3310">
        <f>IF(ISNUMBER(W3310),'자료_거시'!$G3292,"")</f>
        <v/>
      </c>
      <c r="Y3310">
        <f>IF(ISNUMBER(X3310),IF(X3310&gt;$L$7,W3310,""),"")</f>
        <v/>
      </c>
      <c r="Z3310">
        <f>IF(ISNUMBER('자료_거시'!$K3292),'자료_거시'!$K3292,Z3309)</f>
        <v/>
      </c>
      <c r="AA3310">
        <f>IF(AND(ISNUMBER('자료_거시'!$J3292),ISNUMBER('자료_거시'!$K3292)),IFERROR('자료_거시'!$K3292/INDEX($Z$21:$Z$4020,MATCH(EDATE('자료_거시'!$J3292,-'설정'!$B$17),'자료_거시'!$J$3:INDEX('자료_거시'!$J$3:$J$4002,$K$8),1))-1,""),"")</f>
        <v/>
      </c>
      <c r="AB3310">
        <f>IF(ISNUMBER(AA3310),'자료_거시'!$J3292,"")</f>
        <v/>
      </c>
      <c r="AC3310">
        <f>IF(ISNUMBER(AB3310),IF(AB3310&gt;$L$8,AA3310,""),"")</f>
        <v/>
      </c>
    </row>
    <row r="3311">
      <c r="S3311">
        <f>IF(ISNUMBER('자료_거시'!$E3293),'자료_거시'!$E3293,S3310)</f>
        <v/>
      </c>
      <c r="T3311">
        <f>IF(AND(ISNUMBER('자료_거시'!$D3293),ISNUMBER('자료_거시'!$E3293)),IFERROR('자료_거시'!$E3293-INDEX($S$21:$S$4020,MATCH(EDATE('자료_거시'!$D3293,-'설정'!$B$17),'자료_거시'!$D$3:INDEX('자료_거시'!$D$3:$D$4002,$K$6),1)),""),"")</f>
        <v/>
      </c>
      <c r="U3311">
        <f>IF(ISNUMBER(T3311),'자료_거시'!$D3293,"")</f>
        <v/>
      </c>
      <c r="V3311">
        <f>IF(ISNUMBER(U3311),IF(U3311&gt;$L$6,T3311,""),"")</f>
        <v/>
      </c>
      <c r="W3311">
        <f>IF(AND(ISNUMBER('자료_거시'!$G3293),ISNUMBER('자료_거시'!$H3293)),'자료_거시'!$H3293,"")</f>
        <v/>
      </c>
      <c r="X3311">
        <f>IF(ISNUMBER(W3311),'자료_거시'!$G3293,"")</f>
        <v/>
      </c>
      <c r="Y3311">
        <f>IF(ISNUMBER(X3311),IF(X3311&gt;$L$7,W3311,""),"")</f>
        <v/>
      </c>
      <c r="Z3311">
        <f>IF(ISNUMBER('자료_거시'!$K3293),'자료_거시'!$K3293,Z3310)</f>
        <v/>
      </c>
      <c r="AA3311">
        <f>IF(AND(ISNUMBER('자료_거시'!$J3293),ISNUMBER('자료_거시'!$K3293)),IFERROR('자료_거시'!$K3293/INDEX($Z$21:$Z$4020,MATCH(EDATE('자료_거시'!$J3293,-'설정'!$B$17),'자료_거시'!$J$3:INDEX('자료_거시'!$J$3:$J$4002,$K$8),1))-1,""),"")</f>
        <v/>
      </c>
      <c r="AB3311">
        <f>IF(ISNUMBER(AA3311),'자료_거시'!$J3293,"")</f>
        <v/>
      </c>
      <c r="AC3311">
        <f>IF(ISNUMBER(AB3311),IF(AB3311&gt;$L$8,AA3311,""),"")</f>
        <v/>
      </c>
    </row>
    <row r="3312">
      <c r="S3312">
        <f>IF(ISNUMBER('자료_거시'!$E3294),'자료_거시'!$E3294,S3311)</f>
        <v/>
      </c>
      <c r="T3312">
        <f>IF(AND(ISNUMBER('자료_거시'!$D3294),ISNUMBER('자료_거시'!$E3294)),IFERROR('자료_거시'!$E3294-INDEX($S$21:$S$4020,MATCH(EDATE('자료_거시'!$D3294,-'설정'!$B$17),'자료_거시'!$D$3:INDEX('자료_거시'!$D$3:$D$4002,$K$6),1)),""),"")</f>
        <v/>
      </c>
      <c r="U3312">
        <f>IF(ISNUMBER(T3312),'자료_거시'!$D3294,"")</f>
        <v/>
      </c>
      <c r="V3312">
        <f>IF(ISNUMBER(U3312),IF(U3312&gt;$L$6,T3312,""),"")</f>
        <v/>
      </c>
      <c r="W3312">
        <f>IF(AND(ISNUMBER('자료_거시'!$G3294),ISNUMBER('자료_거시'!$H3294)),'자료_거시'!$H3294,"")</f>
        <v/>
      </c>
      <c r="X3312">
        <f>IF(ISNUMBER(W3312),'자료_거시'!$G3294,"")</f>
        <v/>
      </c>
      <c r="Y3312">
        <f>IF(ISNUMBER(X3312),IF(X3312&gt;$L$7,W3312,""),"")</f>
        <v/>
      </c>
      <c r="Z3312">
        <f>IF(ISNUMBER('자료_거시'!$K3294),'자료_거시'!$K3294,Z3311)</f>
        <v/>
      </c>
      <c r="AA3312">
        <f>IF(AND(ISNUMBER('자료_거시'!$J3294),ISNUMBER('자료_거시'!$K3294)),IFERROR('자료_거시'!$K3294/INDEX($Z$21:$Z$4020,MATCH(EDATE('자료_거시'!$J3294,-'설정'!$B$17),'자료_거시'!$J$3:INDEX('자료_거시'!$J$3:$J$4002,$K$8),1))-1,""),"")</f>
        <v/>
      </c>
      <c r="AB3312">
        <f>IF(ISNUMBER(AA3312),'자료_거시'!$J3294,"")</f>
        <v/>
      </c>
      <c r="AC3312">
        <f>IF(ISNUMBER(AB3312),IF(AB3312&gt;$L$8,AA3312,""),"")</f>
        <v/>
      </c>
    </row>
    <row r="3313">
      <c r="S3313">
        <f>IF(ISNUMBER('자료_거시'!$E3295),'자료_거시'!$E3295,S3312)</f>
        <v/>
      </c>
      <c r="T3313">
        <f>IF(AND(ISNUMBER('자료_거시'!$D3295),ISNUMBER('자료_거시'!$E3295)),IFERROR('자료_거시'!$E3295-INDEX($S$21:$S$4020,MATCH(EDATE('자료_거시'!$D3295,-'설정'!$B$17),'자료_거시'!$D$3:INDEX('자료_거시'!$D$3:$D$4002,$K$6),1)),""),"")</f>
        <v/>
      </c>
      <c r="U3313">
        <f>IF(ISNUMBER(T3313),'자료_거시'!$D3295,"")</f>
        <v/>
      </c>
      <c r="V3313">
        <f>IF(ISNUMBER(U3313),IF(U3313&gt;$L$6,T3313,""),"")</f>
        <v/>
      </c>
      <c r="W3313">
        <f>IF(AND(ISNUMBER('자료_거시'!$G3295),ISNUMBER('자료_거시'!$H3295)),'자료_거시'!$H3295,"")</f>
        <v/>
      </c>
      <c r="X3313">
        <f>IF(ISNUMBER(W3313),'자료_거시'!$G3295,"")</f>
        <v/>
      </c>
      <c r="Y3313">
        <f>IF(ISNUMBER(X3313),IF(X3313&gt;$L$7,W3313,""),"")</f>
        <v/>
      </c>
      <c r="Z3313">
        <f>IF(ISNUMBER('자료_거시'!$K3295),'자료_거시'!$K3295,Z3312)</f>
        <v/>
      </c>
      <c r="AA3313">
        <f>IF(AND(ISNUMBER('자료_거시'!$J3295),ISNUMBER('자료_거시'!$K3295)),IFERROR('자료_거시'!$K3295/INDEX($Z$21:$Z$4020,MATCH(EDATE('자료_거시'!$J3295,-'설정'!$B$17),'자료_거시'!$J$3:INDEX('자료_거시'!$J$3:$J$4002,$K$8),1))-1,""),"")</f>
        <v/>
      </c>
      <c r="AB3313">
        <f>IF(ISNUMBER(AA3313),'자료_거시'!$J3295,"")</f>
        <v/>
      </c>
      <c r="AC3313">
        <f>IF(ISNUMBER(AB3313),IF(AB3313&gt;$L$8,AA3313,""),"")</f>
        <v/>
      </c>
    </row>
    <row r="3314">
      <c r="S3314">
        <f>IF(ISNUMBER('자료_거시'!$E3296),'자료_거시'!$E3296,S3313)</f>
        <v/>
      </c>
      <c r="T3314">
        <f>IF(AND(ISNUMBER('자료_거시'!$D3296),ISNUMBER('자료_거시'!$E3296)),IFERROR('자료_거시'!$E3296-INDEX($S$21:$S$4020,MATCH(EDATE('자료_거시'!$D3296,-'설정'!$B$17),'자료_거시'!$D$3:INDEX('자료_거시'!$D$3:$D$4002,$K$6),1)),""),"")</f>
        <v/>
      </c>
      <c r="U3314">
        <f>IF(ISNUMBER(T3314),'자료_거시'!$D3296,"")</f>
        <v/>
      </c>
      <c r="V3314">
        <f>IF(ISNUMBER(U3314),IF(U3314&gt;$L$6,T3314,""),"")</f>
        <v/>
      </c>
      <c r="W3314">
        <f>IF(AND(ISNUMBER('자료_거시'!$G3296),ISNUMBER('자료_거시'!$H3296)),'자료_거시'!$H3296,"")</f>
        <v/>
      </c>
      <c r="X3314">
        <f>IF(ISNUMBER(W3314),'자료_거시'!$G3296,"")</f>
        <v/>
      </c>
      <c r="Y3314">
        <f>IF(ISNUMBER(X3314),IF(X3314&gt;$L$7,W3314,""),"")</f>
        <v/>
      </c>
      <c r="Z3314">
        <f>IF(ISNUMBER('자료_거시'!$K3296),'자료_거시'!$K3296,Z3313)</f>
        <v/>
      </c>
      <c r="AA3314">
        <f>IF(AND(ISNUMBER('자료_거시'!$J3296),ISNUMBER('자료_거시'!$K3296)),IFERROR('자료_거시'!$K3296/INDEX($Z$21:$Z$4020,MATCH(EDATE('자료_거시'!$J3296,-'설정'!$B$17),'자료_거시'!$J$3:INDEX('자료_거시'!$J$3:$J$4002,$K$8),1))-1,""),"")</f>
        <v/>
      </c>
      <c r="AB3314">
        <f>IF(ISNUMBER(AA3314),'자료_거시'!$J3296,"")</f>
        <v/>
      </c>
      <c r="AC3314">
        <f>IF(ISNUMBER(AB3314),IF(AB3314&gt;$L$8,AA3314,""),"")</f>
        <v/>
      </c>
    </row>
    <row r="3315">
      <c r="S3315">
        <f>IF(ISNUMBER('자료_거시'!$E3297),'자료_거시'!$E3297,S3314)</f>
        <v/>
      </c>
      <c r="T3315">
        <f>IF(AND(ISNUMBER('자료_거시'!$D3297),ISNUMBER('자료_거시'!$E3297)),IFERROR('자료_거시'!$E3297-INDEX($S$21:$S$4020,MATCH(EDATE('자료_거시'!$D3297,-'설정'!$B$17),'자료_거시'!$D$3:INDEX('자료_거시'!$D$3:$D$4002,$K$6),1)),""),"")</f>
        <v/>
      </c>
      <c r="U3315">
        <f>IF(ISNUMBER(T3315),'자료_거시'!$D3297,"")</f>
        <v/>
      </c>
      <c r="V3315">
        <f>IF(ISNUMBER(U3315),IF(U3315&gt;$L$6,T3315,""),"")</f>
        <v/>
      </c>
      <c r="W3315">
        <f>IF(AND(ISNUMBER('자료_거시'!$G3297),ISNUMBER('자료_거시'!$H3297)),'자료_거시'!$H3297,"")</f>
        <v/>
      </c>
      <c r="X3315">
        <f>IF(ISNUMBER(W3315),'자료_거시'!$G3297,"")</f>
        <v/>
      </c>
      <c r="Y3315">
        <f>IF(ISNUMBER(X3315),IF(X3315&gt;$L$7,W3315,""),"")</f>
        <v/>
      </c>
      <c r="Z3315">
        <f>IF(ISNUMBER('자료_거시'!$K3297),'자료_거시'!$K3297,Z3314)</f>
        <v/>
      </c>
      <c r="AA3315">
        <f>IF(AND(ISNUMBER('자료_거시'!$J3297),ISNUMBER('자료_거시'!$K3297)),IFERROR('자료_거시'!$K3297/INDEX($Z$21:$Z$4020,MATCH(EDATE('자료_거시'!$J3297,-'설정'!$B$17),'자료_거시'!$J$3:INDEX('자료_거시'!$J$3:$J$4002,$K$8),1))-1,""),"")</f>
        <v/>
      </c>
      <c r="AB3315">
        <f>IF(ISNUMBER(AA3315),'자료_거시'!$J3297,"")</f>
        <v/>
      </c>
      <c r="AC3315">
        <f>IF(ISNUMBER(AB3315),IF(AB3315&gt;$L$8,AA3315,""),"")</f>
        <v/>
      </c>
    </row>
    <row r="3316">
      <c r="S3316">
        <f>IF(ISNUMBER('자료_거시'!$E3298),'자료_거시'!$E3298,S3315)</f>
        <v/>
      </c>
      <c r="T3316">
        <f>IF(AND(ISNUMBER('자료_거시'!$D3298),ISNUMBER('자료_거시'!$E3298)),IFERROR('자료_거시'!$E3298-INDEX($S$21:$S$4020,MATCH(EDATE('자료_거시'!$D3298,-'설정'!$B$17),'자료_거시'!$D$3:INDEX('자료_거시'!$D$3:$D$4002,$K$6),1)),""),"")</f>
        <v/>
      </c>
      <c r="U3316">
        <f>IF(ISNUMBER(T3316),'자료_거시'!$D3298,"")</f>
        <v/>
      </c>
      <c r="V3316">
        <f>IF(ISNUMBER(U3316),IF(U3316&gt;$L$6,T3316,""),"")</f>
        <v/>
      </c>
      <c r="W3316">
        <f>IF(AND(ISNUMBER('자료_거시'!$G3298),ISNUMBER('자료_거시'!$H3298)),'자료_거시'!$H3298,"")</f>
        <v/>
      </c>
      <c r="X3316">
        <f>IF(ISNUMBER(W3316),'자료_거시'!$G3298,"")</f>
        <v/>
      </c>
      <c r="Y3316">
        <f>IF(ISNUMBER(X3316),IF(X3316&gt;$L$7,W3316,""),"")</f>
        <v/>
      </c>
      <c r="Z3316">
        <f>IF(ISNUMBER('자료_거시'!$K3298),'자료_거시'!$K3298,Z3315)</f>
        <v/>
      </c>
      <c r="AA3316">
        <f>IF(AND(ISNUMBER('자료_거시'!$J3298),ISNUMBER('자료_거시'!$K3298)),IFERROR('자료_거시'!$K3298/INDEX($Z$21:$Z$4020,MATCH(EDATE('자료_거시'!$J3298,-'설정'!$B$17),'자료_거시'!$J$3:INDEX('자료_거시'!$J$3:$J$4002,$K$8),1))-1,""),"")</f>
        <v/>
      </c>
      <c r="AB3316">
        <f>IF(ISNUMBER(AA3316),'자료_거시'!$J3298,"")</f>
        <v/>
      </c>
      <c r="AC3316">
        <f>IF(ISNUMBER(AB3316),IF(AB3316&gt;$L$8,AA3316,""),"")</f>
        <v/>
      </c>
    </row>
    <row r="3317">
      <c r="S3317">
        <f>IF(ISNUMBER('자료_거시'!$E3299),'자료_거시'!$E3299,S3316)</f>
        <v/>
      </c>
      <c r="T3317">
        <f>IF(AND(ISNUMBER('자료_거시'!$D3299),ISNUMBER('자료_거시'!$E3299)),IFERROR('자료_거시'!$E3299-INDEX($S$21:$S$4020,MATCH(EDATE('자료_거시'!$D3299,-'설정'!$B$17),'자료_거시'!$D$3:INDEX('자료_거시'!$D$3:$D$4002,$K$6),1)),""),"")</f>
        <v/>
      </c>
      <c r="U3317">
        <f>IF(ISNUMBER(T3317),'자료_거시'!$D3299,"")</f>
        <v/>
      </c>
      <c r="V3317">
        <f>IF(ISNUMBER(U3317),IF(U3317&gt;$L$6,T3317,""),"")</f>
        <v/>
      </c>
      <c r="W3317">
        <f>IF(AND(ISNUMBER('자료_거시'!$G3299),ISNUMBER('자료_거시'!$H3299)),'자료_거시'!$H3299,"")</f>
        <v/>
      </c>
      <c r="X3317">
        <f>IF(ISNUMBER(W3317),'자료_거시'!$G3299,"")</f>
        <v/>
      </c>
      <c r="Y3317">
        <f>IF(ISNUMBER(X3317),IF(X3317&gt;$L$7,W3317,""),"")</f>
        <v/>
      </c>
      <c r="Z3317">
        <f>IF(ISNUMBER('자료_거시'!$K3299),'자료_거시'!$K3299,Z3316)</f>
        <v/>
      </c>
      <c r="AA3317">
        <f>IF(AND(ISNUMBER('자료_거시'!$J3299),ISNUMBER('자료_거시'!$K3299)),IFERROR('자료_거시'!$K3299/INDEX($Z$21:$Z$4020,MATCH(EDATE('자료_거시'!$J3299,-'설정'!$B$17),'자료_거시'!$J$3:INDEX('자료_거시'!$J$3:$J$4002,$K$8),1))-1,""),"")</f>
        <v/>
      </c>
      <c r="AB3317">
        <f>IF(ISNUMBER(AA3317),'자료_거시'!$J3299,"")</f>
        <v/>
      </c>
      <c r="AC3317">
        <f>IF(ISNUMBER(AB3317),IF(AB3317&gt;$L$8,AA3317,""),"")</f>
        <v/>
      </c>
    </row>
    <row r="3318">
      <c r="S3318">
        <f>IF(ISNUMBER('자료_거시'!$E3300),'자료_거시'!$E3300,S3317)</f>
        <v/>
      </c>
      <c r="T3318">
        <f>IF(AND(ISNUMBER('자료_거시'!$D3300),ISNUMBER('자료_거시'!$E3300)),IFERROR('자료_거시'!$E3300-INDEX($S$21:$S$4020,MATCH(EDATE('자료_거시'!$D3300,-'설정'!$B$17),'자료_거시'!$D$3:INDEX('자료_거시'!$D$3:$D$4002,$K$6),1)),""),"")</f>
        <v/>
      </c>
      <c r="U3318">
        <f>IF(ISNUMBER(T3318),'자료_거시'!$D3300,"")</f>
        <v/>
      </c>
      <c r="V3318">
        <f>IF(ISNUMBER(U3318),IF(U3318&gt;$L$6,T3318,""),"")</f>
        <v/>
      </c>
      <c r="W3318">
        <f>IF(AND(ISNUMBER('자료_거시'!$G3300),ISNUMBER('자료_거시'!$H3300)),'자료_거시'!$H3300,"")</f>
        <v/>
      </c>
      <c r="X3318">
        <f>IF(ISNUMBER(W3318),'자료_거시'!$G3300,"")</f>
        <v/>
      </c>
      <c r="Y3318">
        <f>IF(ISNUMBER(X3318),IF(X3318&gt;$L$7,W3318,""),"")</f>
        <v/>
      </c>
      <c r="Z3318">
        <f>IF(ISNUMBER('자료_거시'!$K3300),'자료_거시'!$K3300,Z3317)</f>
        <v/>
      </c>
      <c r="AA3318">
        <f>IF(AND(ISNUMBER('자료_거시'!$J3300),ISNUMBER('자료_거시'!$K3300)),IFERROR('자료_거시'!$K3300/INDEX($Z$21:$Z$4020,MATCH(EDATE('자료_거시'!$J3300,-'설정'!$B$17),'자료_거시'!$J$3:INDEX('자료_거시'!$J$3:$J$4002,$K$8),1))-1,""),"")</f>
        <v/>
      </c>
      <c r="AB3318">
        <f>IF(ISNUMBER(AA3318),'자료_거시'!$J3300,"")</f>
        <v/>
      </c>
      <c r="AC3318">
        <f>IF(ISNUMBER(AB3318),IF(AB3318&gt;$L$8,AA3318,""),"")</f>
        <v/>
      </c>
    </row>
    <row r="3319">
      <c r="S3319">
        <f>IF(ISNUMBER('자료_거시'!$E3301),'자료_거시'!$E3301,S3318)</f>
        <v/>
      </c>
      <c r="T3319">
        <f>IF(AND(ISNUMBER('자료_거시'!$D3301),ISNUMBER('자료_거시'!$E3301)),IFERROR('자료_거시'!$E3301-INDEX($S$21:$S$4020,MATCH(EDATE('자료_거시'!$D3301,-'설정'!$B$17),'자료_거시'!$D$3:INDEX('자료_거시'!$D$3:$D$4002,$K$6),1)),""),"")</f>
        <v/>
      </c>
      <c r="U3319">
        <f>IF(ISNUMBER(T3319),'자료_거시'!$D3301,"")</f>
        <v/>
      </c>
      <c r="V3319">
        <f>IF(ISNUMBER(U3319),IF(U3319&gt;$L$6,T3319,""),"")</f>
        <v/>
      </c>
      <c r="W3319">
        <f>IF(AND(ISNUMBER('자료_거시'!$G3301),ISNUMBER('자료_거시'!$H3301)),'자료_거시'!$H3301,"")</f>
        <v/>
      </c>
      <c r="X3319">
        <f>IF(ISNUMBER(W3319),'자료_거시'!$G3301,"")</f>
        <v/>
      </c>
      <c r="Y3319">
        <f>IF(ISNUMBER(X3319),IF(X3319&gt;$L$7,W3319,""),"")</f>
        <v/>
      </c>
      <c r="Z3319">
        <f>IF(ISNUMBER('자료_거시'!$K3301),'자료_거시'!$K3301,Z3318)</f>
        <v/>
      </c>
      <c r="AA3319">
        <f>IF(AND(ISNUMBER('자료_거시'!$J3301),ISNUMBER('자료_거시'!$K3301)),IFERROR('자료_거시'!$K3301/INDEX($Z$21:$Z$4020,MATCH(EDATE('자료_거시'!$J3301,-'설정'!$B$17),'자료_거시'!$J$3:INDEX('자료_거시'!$J$3:$J$4002,$K$8),1))-1,""),"")</f>
        <v/>
      </c>
      <c r="AB3319">
        <f>IF(ISNUMBER(AA3319),'자료_거시'!$J3301,"")</f>
        <v/>
      </c>
      <c r="AC3319">
        <f>IF(ISNUMBER(AB3319),IF(AB3319&gt;$L$8,AA3319,""),"")</f>
        <v/>
      </c>
    </row>
    <row r="3320">
      <c r="S3320">
        <f>IF(ISNUMBER('자료_거시'!$E3302),'자료_거시'!$E3302,S3319)</f>
        <v/>
      </c>
      <c r="T3320">
        <f>IF(AND(ISNUMBER('자료_거시'!$D3302),ISNUMBER('자료_거시'!$E3302)),IFERROR('자료_거시'!$E3302-INDEX($S$21:$S$4020,MATCH(EDATE('자료_거시'!$D3302,-'설정'!$B$17),'자료_거시'!$D$3:INDEX('자료_거시'!$D$3:$D$4002,$K$6),1)),""),"")</f>
        <v/>
      </c>
      <c r="U3320">
        <f>IF(ISNUMBER(T3320),'자료_거시'!$D3302,"")</f>
        <v/>
      </c>
      <c r="V3320">
        <f>IF(ISNUMBER(U3320),IF(U3320&gt;$L$6,T3320,""),"")</f>
        <v/>
      </c>
      <c r="W3320">
        <f>IF(AND(ISNUMBER('자료_거시'!$G3302),ISNUMBER('자료_거시'!$H3302)),'자료_거시'!$H3302,"")</f>
        <v/>
      </c>
      <c r="X3320">
        <f>IF(ISNUMBER(W3320),'자료_거시'!$G3302,"")</f>
        <v/>
      </c>
      <c r="Y3320">
        <f>IF(ISNUMBER(X3320),IF(X3320&gt;$L$7,W3320,""),"")</f>
        <v/>
      </c>
      <c r="Z3320">
        <f>IF(ISNUMBER('자료_거시'!$K3302),'자료_거시'!$K3302,Z3319)</f>
        <v/>
      </c>
      <c r="AA3320">
        <f>IF(AND(ISNUMBER('자료_거시'!$J3302),ISNUMBER('자료_거시'!$K3302)),IFERROR('자료_거시'!$K3302/INDEX($Z$21:$Z$4020,MATCH(EDATE('자료_거시'!$J3302,-'설정'!$B$17),'자료_거시'!$J$3:INDEX('자료_거시'!$J$3:$J$4002,$K$8),1))-1,""),"")</f>
        <v/>
      </c>
      <c r="AB3320">
        <f>IF(ISNUMBER(AA3320),'자료_거시'!$J3302,"")</f>
        <v/>
      </c>
      <c r="AC3320">
        <f>IF(ISNUMBER(AB3320),IF(AB3320&gt;$L$8,AA3320,""),"")</f>
        <v/>
      </c>
    </row>
    <row r="3321">
      <c r="S3321">
        <f>IF(ISNUMBER('자료_거시'!$E3303),'자료_거시'!$E3303,S3320)</f>
        <v/>
      </c>
      <c r="T3321">
        <f>IF(AND(ISNUMBER('자료_거시'!$D3303),ISNUMBER('자료_거시'!$E3303)),IFERROR('자료_거시'!$E3303-INDEX($S$21:$S$4020,MATCH(EDATE('자료_거시'!$D3303,-'설정'!$B$17),'자료_거시'!$D$3:INDEX('자료_거시'!$D$3:$D$4002,$K$6),1)),""),"")</f>
        <v/>
      </c>
      <c r="U3321">
        <f>IF(ISNUMBER(T3321),'자료_거시'!$D3303,"")</f>
        <v/>
      </c>
      <c r="V3321">
        <f>IF(ISNUMBER(U3321),IF(U3321&gt;$L$6,T3321,""),"")</f>
        <v/>
      </c>
      <c r="W3321">
        <f>IF(AND(ISNUMBER('자료_거시'!$G3303),ISNUMBER('자료_거시'!$H3303)),'자료_거시'!$H3303,"")</f>
        <v/>
      </c>
      <c r="X3321">
        <f>IF(ISNUMBER(W3321),'자료_거시'!$G3303,"")</f>
        <v/>
      </c>
      <c r="Y3321">
        <f>IF(ISNUMBER(X3321),IF(X3321&gt;$L$7,W3321,""),"")</f>
        <v/>
      </c>
      <c r="Z3321">
        <f>IF(ISNUMBER('자료_거시'!$K3303),'자료_거시'!$K3303,Z3320)</f>
        <v/>
      </c>
      <c r="AA3321">
        <f>IF(AND(ISNUMBER('자료_거시'!$J3303),ISNUMBER('자료_거시'!$K3303)),IFERROR('자료_거시'!$K3303/INDEX($Z$21:$Z$4020,MATCH(EDATE('자료_거시'!$J3303,-'설정'!$B$17),'자료_거시'!$J$3:INDEX('자료_거시'!$J$3:$J$4002,$K$8),1))-1,""),"")</f>
        <v/>
      </c>
      <c r="AB3321">
        <f>IF(ISNUMBER(AA3321),'자료_거시'!$J3303,"")</f>
        <v/>
      </c>
      <c r="AC3321">
        <f>IF(ISNUMBER(AB3321),IF(AB3321&gt;$L$8,AA3321,""),"")</f>
        <v/>
      </c>
    </row>
    <row r="3322">
      <c r="S3322">
        <f>IF(ISNUMBER('자료_거시'!$E3304),'자료_거시'!$E3304,S3321)</f>
        <v/>
      </c>
      <c r="T3322">
        <f>IF(AND(ISNUMBER('자료_거시'!$D3304),ISNUMBER('자료_거시'!$E3304)),IFERROR('자료_거시'!$E3304-INDEX($S$21:$S$4020,MATCH(EDATE('자료_거시'!$D3304,-'설정'!$B$17),'자료_거시'!$D$3:INDEX('자료_거시'!$D$3:$D$4002,$K$6),1)),""),"")</f>
        <v/>
      </c>
      <c r="U3322">
        <f>IF(ISNUMBER(T3322),'자료_거시'!$D3304,"")</f>
        <v/>
      </c>
      <c r="V3322">
        <f>IF(ISNUMBER(U3322),IF(U3322&gt;$L$6,T3322,""),"")</f>
        <v/>
      </c>
      <c r="W3322">
        <f>IF(AND(ISNUMBER('자료_거시'!$G3304),ISNUMBER('자료_거시'!$H3304)),'자료_거시'!$H3304,"")</f>
        <v/>
      </c>
      <c r="X3322">
        <f>IF(ISNUMBER(W3322),'자료_거시'!$G3304,"")</f>
        <v/>
      </c>
      <c r="Y3322">
        <f>IF(ISNUMBER(X3322),IF(X3322&gt;$L$7,W3322,""),"")</f>
        <v/>
      </c>
      <c r="Z3322">
        <f>IF(ISNUMBER('자료_거시'!$K3304),'자료_거시'!$K3304,Z3321)</f>
        <v/>
      </c>
      <c r="AA3322">
        <f>IF(AND(ISNUMBER('자료_거시'!$J3304),ISNUMBER('자료_거시'!$K3304)),IFERROR('자료_거시'!$K3304/INDEX($Z$21:$Z$4020,MATCH(EDATE('자료_거시'!$J3304,-'설정'!$B$17),'자료_거시'!$J$3:INDEX('자료_거시'!$J$3:$J$4002,$K$8),1))-1,""),"")</f>
        <v/>
      </c>
      <c r="AB3322">
        <f>IF(ISNUMBER(AA3322),'자료_거시'!$J3304,"")</f>
        <v/>
      </c>
      <c r="AC3322">
        <f>IF(ISNUMBER(AB3322),IF(AB3322&gt;$L$8,AA3322,""),"")</f>
        <v/>
      </c>
    </row>
    <row r="3323">
      <c r="S3323">
        <f>IF(ISNUMBER('자료_거시'!$E3305),'자료_거시'!$E3305,S3322)</f>
        <v/>
      </c>
      <c r="T3323">
        <f>IF(AND(ISNUMBER('자료_거시'!$D3305),ISNUMBER('자료_거시'!$E3305)),IFERROR('자료_거시'!$E3305-INDEX($S$21:$S$4020,MATCH(EDATE('자료_거시'!$D3305,-'설정'!$B$17),'자료_거시'!$D$3:INDEX('자료_거시'!$D$3:$D$4002,$K$6),1)),""),"")</f>
        <v/>
      </c>
      <c r="U3323">
        <f>IF(ISNUMBER(T3323),'자료_거시'!$D3305,"")</f>
        <v/>
      </c>
      <c r="V3323">
        <f>IF(ISNUMBER(U3323),IF(U3323&gt;$L$6,T3323,""),"")</f>
        <v/>
      </c>
      <c r="W3323">
        <f>IF(AND(ISNUMBER('자료_거시'!$G3305),ISNUMBER('자료_거시'!$H3305)),'자료_거시'!$H3305,"")</f>
        <v/>
      </c>
      <c r="X3323">
        <f>IF(ISNUMBER(W3323),'자료_거시'!$G3305,"")</f>
        <v/>
      </c>
      <c r="Y3323">
        <f>IF(ISNUMBER(X3323),IF(X3323&gt;$L$7,W3323,""),"")</f>
        <v/>
      </c>
      <c r="Z3323">
        <f>IF(ISNUMBER('자료_거시'!$K3305),'자료_거시'!$K3305,Z3322)</f>
        <v/>
      </c>
      <c r="AA3323">
        <f>IF(AND(ISNUMBER('자료_거시'!$J3305),ISNUMBER('자료_거시'!$K3305)),IFERROR('자료_거시'!$K3305/INDEX($Z$21:$Z$4020,MATCH(EDATE('자료_거시'!$J3305,-'설정'!$B$17),'자료_거시'!$J$3:INDEX('자료_거시'!$J$3:$J$4002,$K$8),1))-1,""),"")</f>
        <v/>
      </c>
      <c r="AB3323">
        <f>IF(ISNUMBER(AA3323),'자료_거시'!$J3305,"")</f>
        <v/>
      </c>
      <c r="AC3323">
        <f>IF(ISNUMBER(AB3323),IF(AB3323&gt;$L$8,AA3323,""),"")</f>
        <v/>
      </c>
    </row>
    <row r="3324">
      <c r="S3324">
        <f>IF(ISNUMBER('자료_거시'!$E3306),'자료_거시'!$E3306,S3323)</f>
        <v/>
      </c>
      <c r="T3324">
        <f>IF(AND(ISNUMBER('자료_거시'!$D3306),ISNUMBER('자료_거시'!$E3306)),IFERROR('자료_거시'!$E3306-INDEX($S$21:$S$4020,MATCH(EDATE('자료_거시'!$D3306,-'설정'!$B$17),'자료_거시'!$D$3:INDEX('자료_거시'!$D$3:$D$4002,$K$6),1)),""),"")</f>
        <v/>
      </c>
      <c r="U3324">
        <f>IF(ISNUMBER(T3324),'자료_거시'!$D3306,"")</f>
        <v/>
      </c>
      <c r="V3324">
        <f>IF(ISNUMBER(U3324),IF(U3324&gt;$L$6,T3324,""),"")</f>
        <v/>
      </c>
      <c r="W3324">
        <f>IF(AND(ISNUMBER('자료_거시'!$G3306),ISNUMBER('자료_거시'!$H3306)),'자료_거시'!$H3306,"")</f>
        <v/>
      </c>
      <c r="X3324">
        <f>IF(ISNUMBER(W3324),'자료_거시'!$G3306,"")</f>
        <v/>
      </c>
      <c r="Y3324">
        <f>IF(ISNUMBER(X3324),IF(X3324&gt;$L$7,W3324,""),"")</f>
        <v/>
      </c>
      <c r="Z3324">
        <f>IF(ISNUMBER('자료_거시'!$K3306),'자료_거시'!$K3306,Z3323)</f>
        <v/>
      </c>
      <c r="AA3324">
        <f>IF(AND(ISNUMBER('자료_거시'!$J3306),ISNUMBER('자료_거시'!$K3306)),IFERROR('자료_거시'!$K3306/INDEX($Z$21:$Z$4020,MATCH(EDATE('자료_거시'!$J3306,-'설정'!$B$17),'자료_거시'!$J$3:INDEX('자료_거시'!$J$3:$J$4002,$K$8),1))-1,""),"")</f>
        <v/>
      </c>
      <c r="AB3324">
        <f>IF(ISNUMBER(AA3324),'자료_거시'!$J3306,"")</f>
        <v/>
      </c>
      <c r="AC3324">
        <f>IF(ISNUMBER(AB3324),IF(AB3324&gt;$L$8,AA3324,""),"")</f>
        <v/>
      </c>
    </row>
    <row r="3325">
      <c r="S3325">
        <f>IF(ISNUMBER('자료_거시'!$E3307),'자료_거시'!$E3307,S3324)</f>
        <v/>
      </c>
      <c r="T3325">
        <f>IF(AND(ISNUMBER('자료_거시'!$D3307),ISNUMBER('자료_거시'!$E3307)),IFERROR('자료_거시'!$E3307-INDEX($S$21:$S$4020,MATCH(EDATE('자료_거시'!$D3307,-'설정'!$B$17),'자료_거시'!$D$3:INDEX('자료_거시'!$D$3:$D$4002,$K$6),1)),""),"")</f>
        <v/>
      </c>
      <c r="U3325">
        <f>IF(ISNUMBER(T3325),'자료_거시'!$D3307,"")</f>
        <v/>
      </c>
      <c r="V3325">
        <f>IF(ISNUMBER(U3325),IF(U3325&gt;$L$6,T3325,""),"")</f>
        <v/>
      </c>
      <c r="W3325">
        <f>IF(AND(ISNUMBER('자료_거시'!$G3307),ISNUMBER('자료_거시'!$H3307)),'자료_거시'!$H3307,"")</f>
        <v/>
      </c>
      <c r="X3325">
        <f>IF(ISNUMBER(W3325),'자료_거시'!$G3307,"")</f>
        <v/>
      </c>
      <c r="Y3325">
        <f>IF(ISNUMBER(X3325),IF(X3325&gt;$L$7,W3325,""),"")</f>
        <v/>
      </c>
      <c r="Z3325">
        <f>IF(ISNUMBER('자료_거시'!$K3307),'자료_거시'!$K3307,Z3324)</f>
        <v/>
      </c>
      <c r="AA3325">
        <f>IF(AND(ISNUMBER('자료_거시'!$J3307),ISNUMBER('자료_거시'!$K3307)),IFERROR('자료_거시'!$K3307/INDEX($Z$21:$Z$4020,MATCH(EDATE('자료_거시'!$J3307,-'설정'!$B$17),'자료_거시'!$J$3:INDEX('자료_거시'!$J$3:$J$4002,$K$8),1))-1,""),"")</f>
        <v/>
      </c>
      <c r="AB3325">
        <f>IF(ISNUMBER(AA3325),'자료_거시'!$J3307,"")</f>
        <v/>
      </c>
      <c r="AC3325">
        <f>IF(ISNUMBER(AB3325),IF(AB3325&gt;$L$8,AA3325,""),"")</f>
        <v/>
      </c>
    </row>
    <row r="3326">
      <c r="S3326">
        <f>IF(ISNUMBER('자료_거시'!$E3308),'자료_거시'!$E3308,S3325)</f>
        <v/>
      </c>
      <c r="T3326">
        <f>IF(AND(ISNUMBER('자료_거시'!$D3308),ISNUMBER('자료_거시'!$E3308)),IFERROR('자료_거시'!$E3308-INDEX($S$21:$S$4020,MATCH(EDATE('자료_거시'!$D3308,-'설정'!$B$17),'자료_거시'!$D$3:INDEX('자료_거시'!$D$3:$D$4002,$K$6),1)),""),"")</f>
        <v/>
      </c>
      <c r="U3326">
        <f>IF(ISNUMBER(T3326),'자료_거시'!$D3308,"")</f>
        <v/>
      </c>
      <c r="V3326">
        <f>IF(ISNUMBER(U3326),IF(U3326&gt;$L$6,T3326,""),"")</f>
        <v/>
      </c>
      <c r="W3326">
        <f>IF(AND(ISNUMBER('자료_거시'!$G3308),ISNUMBER('자료_거시'!$H3308)),'자료_거시'!$H3308,"")</f>
        <v/>
      </c>
      <c r="X3326">
        <f>IF(ISNUMBER(W3326),'자료_거시'!$G3308,"")</f>
        <v/>
      </c>
      <c r="Y3326">
        <f>IF(ISNUMBER(X3326),IF(X3326&gt;$L$7,W3326,""),"")</f>
        <v/>
      </c>
      <c r="Z3326">
        <f>IF(ISNUMBER('자료_거시'!$K3308),'자료_거시'!$K3308,Z3325)</f>
        <v/>
      </c>
      <c r="AA3326">
        <f>IF(AND(ISNUMBER('자료_거시'!$J3308),ISNUMBER('자료_거시'!$K3308)),IFERROR('자료_거시'!$K3308/INDEX($Z$21:$Z$4020,MATCH(EDATE('자료_거시'!$J3308,-'설정'!$B$17),'자료_거시'!$J$3:INDEX('자료_거시'!$J$3:$J$4002,$K$8),1))-1,""),"")</f>
        <v/>
      </c>
      <c r="AB3326">
        <f>IF(ISNUMBER(AA3326),'자료_거시'!$J3308,"")</f>
        <v/>
      </c>
      <c r="AC3326">
        <f>IF(ISNUMBER(AB3326),IF(AB3326&gt;$L$8,AA3326,""),"")</f>
        <v/>
      </c>
    </row>
    <row r="3327">
      <c r="S3327">
        <f>IF(ISNUMBER('자료_거시'!$E3309),'자료_거시'!$E3309,S3326)</f>
        <v/>
      </c>
      <c r="T3327">
        <f>IF(AND(ISNUMBER('자료_거시'!$D3309),ISNUMBER('자료_거시'!$E3309)),IFERROR('자료_거시'!$E3309-INDEX($S$21:$S$4020,MATCH(EDATE('자료_거시'!$D3309,-'설정'!$B$17),'자료_거시'!$D$3:INDEX('자료_거시'!$D$3:$D$4002,$K$6),1)),""),"")</f>
        <v/>
      </c>
      <c r="U3327">
        <f>IF(ISNUMBER(T3327),'자료_거시'!$D3309,"")</f>
        <v/>
      </c>
      <c r="V3327">
        <f>IF(ISNUMBER(U3327),IF(U3327&gt;$L$6,T3327,""),"")</f>
        <v/>
      </c>
      <c r="W3327">
        <f>IF(AND(ISNUMBER('자료_거시'!$G3309),ISNUMBER('자료_거시'!$H3309)),'자료_거시'!$H3309,"")</f>
        <v/>
      </c>
      <c r="X3327">
        <f>IF(ISNUMBER(W3327),'자료_거시'!$G3309,"")</f>
        <v/>
      </c>
      <c r="Y3327">
        <f>IF(ISNUMBER(X3327),IF(X3327&gt;$L$7,W3327,""),"")</f>
        <v/>
      </c>
      <c r="Z3327">
        <f>IF(ISNUMBER('자료_거시'!$K3309),'자료_거시'!$K3309,Z3326)</f>
        <v/>
      </c>
      <c r="AA3327">
        <f>IF(AND(ISNUMBER('자료_거시'!$J3309),ISNUMBER('자료_거시'!$K3309)),IFERROR('자료_거시'!$K3309/INDEX($Z$21:$Z$4020,MATCH(EDATE('자료_거시'!$J3309,-'설정'!$B$17),'자료_거시'!$J$3:INDEX('자료_거시'!$J$3:$J$4002,$K$8),1))-1,""),"")</f>
        <v/>
      </c>
      <c r="AB3327">
        <f>IF(ISNUMBER(AA3327),'자료_거시'!$J3309,"")</f>
        <v/>
      </c>
      <c r="AC3327">
        <f>IF(ISNUMBER(AB3327),IF(AB3327&gt;$L$8,AA3327,""),"")</f>
        <v/>
      </c>
    </row>
    <row r="3328">
      <c r="S3328">
        <f>IF(ISNUMBER('자료_거시'!$E3310),'자료_거시'!$E3310,S3327)</f>
        <v/>
      </c>
      <c r="T3328">
        <f>IF(AND(ISNUMBER('자료_거시'!$D3310),ISNUMBER('자료_거시'!$E3310)),IFERROR('자료_거시'!$E3310-INDEX($S$21:$S$4020,MATCH(EDATE('자료_거시'!$D3310,-'설정'!$B$17),'자료_거시'!$D$3:INDEX('자료_거시'!$D$3:$D$4002,$K$6),1)),""),"")</f>
        <v/>
      </c>
      <c r="U3328">
        <f>IF(ISNUMBER(T3328),'자료_거시'!$D3310,"")</f>
        <v/>
      </c>
      <c r="V3328">
        <f>IF(ISNUMBER(U3328),IF(U3328&gt;$L$6,T3328,""),"")</f>
        <v/>
      </c>
      <c r="W3328">
        <f>IF(AND(ISNUMBER('자료_거시'!$G3310),ISNUMBER('자료_거시'!$H3310)),'자료_거시'!$H3310,"")</f>
        <v/>
      </c>
      <c r="X3328">
        <f>IF(ISNUMBER(W3328),'자료_거시'!$G3310,"")</f>
        <v/>
      </c>
      <c r="Y3328">
        <f>IF(ISNUMBER(X3328),IF(X3328&gt;$L$7,W3328,""),"")</f>
        <v/>
      </c>
      <c r="Z3328">
        <f>IF(ISNUMBER('자료_거시'!$K3310),'자료_거시'!$K3310,Z3327)</f>
        <v/>
      </c>
      <c r="AA3328">
        <f>IF(AND(ISNUMBER('자료_거시'!$J3310),ISNUMBER('자료_거시'!$K3310)),IFERROR('자료_거시'!$K3310/INDEX($Z$21:$Z$4020,MATCH(EDATE('자료_거시'!$J3310,-'설정'!$B$17),'자료_거시'!$J$3:INDEX('자료_거시'!$J$3:$J$4002,$K$8),1))-1,""),"")</f>
        <v/>
      </c>
      <c r="AB3328">
        <f>IF(ISNUMBER(AA3328),'자료_거시'!$J3310,"")</f>
        <v/>
      </c>
      <c r="AC3328">
        <f>IF(ISNUMBER(AB3328),IF(AB3328&gt;$L$8,AA3328,""),"")</f>
        <v/>
      </c>
    </row>
    <row r="3329">
      <c r="S3329">
        <f>IF(ISNUMBER('자료_거시'!$E3311),'자료_거시'!$E3311,S3328)</f>
        <v/>
      </c>
      <c r="T3329">
        <f>IF(AND(ISNUMBER('자료_거시'!$D3311),ISNUMBER('자료_거시'!$E3311)),IFERROR('자료_거시'!$E3311-INDEX($S$21:$S$4020,MATCH(EDATE('자료_거시'!$D3311,-'설정'!$B$17),'자료_거시'!$D$3:INDEX('자료_거시'!$D$3:$D$4002,$K$6),1)),""),"")</f>
        <v/>
      </c>
      <c r="U3329">
        <f>IF(ISNUMBER(T3329),'자료_거시'!$D3311,"")</f>
        <v/>
      </c>
      <c r="V3329">
        <f>IF(ISNUMBER(U3329),IF(U3329&gt;$L$6,T3329,""),"")</f>
        <v/>
      </c>
      <c r="W3329">
        <f>IF(AND(ISNUMBER('자료_거시'!$G3311),ISNUMBER('자료_거시'!$H3311)),'자료_거시'!$H3311,"")</f>
        <v/>
      </c>
      <c r="X3329">
        <f>IF(ISNUMBER(W3329),'자료_거시'!$G3311,"")</f>
        <v/>
      </c>
      <c r="Y3329">
        <f>IF(ISNUMBER(X3329),IF(X3329&gt;$L$7,W3329,""),"")</f>
        <v/>
      </c>
      <c r="Z3329">
        <f>IF(ISNUMBER('자료_거시'!$K3311),'자료_거시'!$K3311,Z3328)</f>
        <v/>
      </c>
      <c r="AA3329">
        <f>IF(AND(ISNUMBER('자료_거시'!$J3311),ISNUMBER('자료_거시'!$K3311)),IFERROR('자료_거시'!$K3311/INDEX($Z$21:$Z$4020,MATCH(EDATE('자료_거시'!$J3311,-'설정'!$B$17),'자료_거시'!$J$3:INDEX('자료_거시'!$J$3:$J$4002,$K$8),1))-1,""),"")</f>
        <v/>
      </c>
      <c r="AB3329">
        <f>IF(ISNUMBER(AA3329),'자료_거시'!$J3311,"")</f>
        <v/>
      </c>
      <c r="AC3329">
        <f>IF(ISNUMBER(AB3329),IF(AB3329&gt;$L$8,AA3329,""),"")</f>
        <v/>
      </c>
    </row>
    <row r="3330">
      <c r="S3330">
        <f>IF(ISNUMBER('자료_거시'!$E3312),'자료_거시'!$E3312,S3329)</f>
        <v/>
      </c>
      <c r="T3330">
        <f>IF(AND(ISNUMBER('자료_거시'!$D3312),ISNUMBER('자료_거시'!$E3312)),IFERROR('자료_거시'!$E3312-INDEX($S$21:$S$4020,MATCH(EDATE('자료_거시'!$D3312,-'설정'!$B$17),'자료_거시'!$D$3:INDEX('자료_거시'!$D$3:$D$4002,$K$6),1)),""),"")</f>
        <v/>
      </c>
      <c r="U3330">
        <f>IF(ISNUMBER(T3330),'자료_거시'!$D3312,"")</f>
        <v/>
      </c>
      <c r="V3330">
        <f>IF(ISNUMBER(U3330),IF(U3330&gt;$L$6,T3330,""),"")</f>
        <v/>
      </c>
      <c r="W3330">
        <f>IF(AND(ISNUMBER('자료_거시'!$G3312),ISNUMBER('자료_거시'!$H3312)),'자료_거시'!$H3312,"")</f>
        <v/>
      </c>
      <c r="X3330">
        <f>IF(ISNUMBER(W3330),'자료_거시'!$G3312,"")</f>
        <v/>
      </c>
      <c r="Y3330">
        <f>IF(ISNUMBER(X3330),IF(X3330&gt;$L$7,W3330,""),"")</f>
        <v/>
      </c>
      <c r="Z3330">
        <f>IF(ISNUMBER('자료_거시'!$K3312),'자료_거시'!$K3312,Z3329)</f>
        <v/>
      </c>
      <c r="AA3330">
        <f>IF(AND(ISNUMBER('자료_거시'!$J3312),ISNUMBER('자료_거시'!$K3312)),IFERROR('자료_거시'!$K3312/INDEX($Z$21:$Z$4020,MATCH(EDATE('자료_거시'!$J3312,-'설정'!$B$17),'자료_거시'!$J$3:INDEX('자료_거시'!$J$3:$J$4002,$K$8),1))-1,""),"")</f>
        <v/>
      </c>
      <c r="AB3330">
        <f>IF(ISNUMBER(AA3330),'자료_거시'!$J3312,"")</f>
        <v/>
      </c>
      <c r="AC3330">
        <f>IF(ISNUMBER(AB3330),IF(AB3330&gt;$L$8,AA3330,""),"")</f>
        <v/>
      </c>
    </row>
    <row r="3331">
      <c r="S3331">
        <f>IF(ISNUMBER('자료_거시'!$E3313),'자료_거시'!$E3313,S3330)</f>
        <v/>
      </c>
      <c r="T3331">
        <f>IF(AND(ISNUMBER('자료_거시'!$D3313),ISNUMBER('자료_거시'!$E3313)),IFERROR('자료_거시'!$E3313-INDEX($S$21:$S$4020,MATCH(EDATE('자료_거시'!$D3313,-'설정'!$B$17),'자료_거시'!$D$3:INDEX('자료_거시'!$D$3:$D$4002,$K$6),1)),""),"")</f>
        <v/>
      </c>
      <c r="U3331">
        <f>IF(ISNUMBER(T3331),'자료_거시'!$D3313,"")</f>
        <v/>
      </c>
      <c r="V3331">
        <f>IF(ISNUMBER(U3331),IF(U3331&gt;$L$6,T3331,""),"")</f>
        <v/>
      </c>
      <c r="W3331">
        <f>IF(AND(ISNUMBER('자료_거시'!$G3313),ISNUMBER('자료_거시'!$H3313)),'자료_거시'!$H3313,"")</f>
        <v/>
      </c>
      <c r="X3331">
        <f>IF(ISNUMBER(W3331),'자료_거시'!$G3313,"")</f>
        <v/>
      </c>
      <c r="Y3331">
        <f>IF(ISNUMBER(X3331),IF(X3331&gt;$L$7,W3331,""),"")</f>
        <v/>
      </c>
      <c r="Z3331">
        <f>IF(ISNUMBER('자료_거시'!$K3313),'자료_거시'!$K3313,Z3330)</f>
        <v/>
      </c>
      <c r="AA3331">
        <f>IF(AND(ISNUMBER('자료_거시'!$J3313),ISNUMBER('자료_거시'!$K3313)),IFERROR('자료_거시'!$K3313/INDEX($Z$21:$Z$4020,MATCH(EDATE('자료_거시'!$J3313,-'설정'!$B$17),'자료_거시'!$J$3:INDEX('자료_거시'!$J$3:$J$4002,$K$8),1))-1,""),"")</f>
        <v/>
      </c>
      <c r="AB3331">
        <f>IF(ISNUMBER(AA3331),'자료_거시'!$J3313,"")</f>
        <v/>
      </c>
      <c r="AC3331">
        <f>IF(ISNUMBER(AB3331),IF(AB3331&gt;$L$8,AA3331,""),"")</f>
        <v/>
      </c>
    </row>
    <row r="3332">
      <c r="S3332">
        <f>IF(ISNUMBER('자료_거시'!$E3314),'자료_거시'!$E3314,S3331)</f>
        <v/>
      </c>
      <c r="T3332">
        <f>IF(AND(ISNUMBER('자료_거시'!$D3314),ISNUMBER('자료_거시'!$E3314)),IFERROR('자료_거시'!$E3314-INDEX($S$21:$S$4020,MATCH(EDATE('자료_거시'!$D3314,-'설정'!$B$17),'자료_거시'!$D$3:INDEX('자료_거시'!$D$3:$D$4002,$K$6),1)),""),"")</f>
        <v/>
      </c>
      <c r="U3332">
        <f>IF(ISNUMBER(T3332),'자료_거시'!$D3314,"")</f>
        <v/>
      </c>
      <c r="V3332">
        <f>IF(ISNUMBER(U3332),IF(U3332&gt;$L$6,T3332,""),"")</f>
        <v/>
      </c>
      <c r="W3332">
        <f>IF(AND(ISNUMBER('자료_거시'!$G3314),ISNUMBER('자료_거시'!$H3314)),'자료_거시'!$H3314,"")</f>
        <v/>
      </c>
      <c r="X3332">
        <f>IF(ISNUMBER(W3332),'자료_거시'!$G3314,"")</f>
        <v/>
      </c>
      <c r="Y3332">
        <f>IF(ISNUMBER(X3332),IF(X3332&gt;$L$7,W3332,""),"")</f>
        <v/>
      </c>
      <c r="Z3332">
        <f>IF(ISNUMBER('자료_거시'!$K3314),'자료_거시'!$K3314,Z3331)</f>
        <v/>
      </c>
      <c r="AA3332">
        <f>IF(AND(ISNUMBER('자료_거시'!$J3314),ISNUMBER('자료_거시'!$K3314)),IFERROR('자료_거시'!$K3314/INDEX($Z$21:$Z$4020,MATCH(EDATE('자료_거시'!$J3314,-'설정'!$B$17),'자료_거시'!$J$3:INDEX('자료_거시'!$J$3:$J$4002,$K$8),1))-1,""),"")</f>
        <v/>
      </c>
      <c r="AB3332">
        <f>IF(ISNUMBER(AA3332),'자료_거시'!$J3314,"")</f>
        <v/>
      </c>
      <c r="AC3332">
        <f>IF(ISNUMBER(AB3332),IF(AB3332&gt;$L$8,AA3332,""),"")</f>
        <v/>
      </c>
    </row>
    <row r="3333">
      <c r="S3333">
        <f>IF(ISNUMBER('자료_거시'!$E3315),'자료_거시'!$E3315,S3332)</f>
        <v/>
      </c>
      <c r="T3333">
        <f>IF(AND(ISNUMBER('자료_거시'!$D3315),ISNUMBER('자료_거시'!$E3315)),IFERROR('자료_거시'!$E3315-INDEX($S$21:$S$4020,MATCH(EDATE('자료_거시'!$D3315,-'설정'!$B$17),'자료_거시'!$D$3:INDEX('자료_거시'!$D$3:$D$4002,$K$6),1)),""),"")</f>
        <v/>
      </c>
      <c r="U3333">
        <f>IF(ISNUMBER(T3333),'자료_거시'!$D3315,"")</f>
        <v/>
      </c>
      <c r="V3333">
        <f>IF(ISNUMBER(U3333),IF(U3333&gt;$L$6,T3333,""),"")</f>
        <v/>
      </c>
      <c r="W3333">
        <f>IF(AND(ISNUMBER('자료_거시'!$G3315),ISNUMBER('자료_거시'!$H3315)),'자료_거시'!$H3315,"")</f>
        <v/>
      </c>
      <c r="X3333">
        <f>IF(ISNUMBER(W3333),'자료_거시'!$G3315,"")</f>
        <v/>
      </c>
      <c r="Y3333">
        <f>IF(ISNUMBER(X3333),IF(X3333&gt;$L$7,W3333,""),"")</f>
        <v/>
      </c>
      <c r="Z3333">
        <f>IF(ISNUMBER('자료_거시'!$K3315),'자료_거시'!$K3315,Z3332)</f>
        <v/>
      </c>
      <c r="AA3333">
        <f>IF(AND(ISNUMBER('자료_거시'!$J3315),ISNUMBER('자료_거시'!$K3315)),IFERROR('자료_거시'!$K3315/INDEX($Z$21:$Z$4020,MATCH(EDATE('자료_거시'!$J3315,-'설정'!$B$17),'자료_거시'!$J$3:INDEX('자료_거시'!$J$3:$J$4002,$K$8),1))-1,""),"")</f>
        <v/>
      </c>
      <c r="AB3333">
        <f>IF(ISNUMBER(AA3333),'자료_거시'!$J3315,"")</f>
        <v/>
      </c>
      <c r="AC3333">
        <f>IF(ISNUMBER(AB3333),IF(AB3333&gt;$L$8,AA3333,""),"")</f>
        <v/>
      </c>
    </row>
    <row r="3334">
      <c r="S3334">
        <f>IF(ISNUMBER('자료_거시'!$E3316),'자료_거시'!$E3316,S3333)</f>
        <v/>
      </c>
      <c r="T3334">
        <f>IF(AND(ISNUMBER('자료_거시'!$D3316),ISNUMBER('자료_거시'!$E3316)),IFERROR('자료_거시'!$E3316-INDEX($S$21:$S$4020,MATCH(EDATE('자료_거시'!$D3316,-'설정'!$B$17),'자료_거시'!$D$3:INDEX('자료_거시'!$D$3:$D$4002,$K$6),1)),""),"")</f>
        <v/>
      </c>
      <c r="U3334">
        <f>IF(ISNUMBER(T3334),'자료_거시'!$D3316,"")</f>
        <v/>
      </c>
      <c r="V3334">
        <f>IF(ISNUMBER(U3334),IF(U3334&gt;$L$6,T3334,""),"")</f>
        <v/>
      </c>
      <c r="W3334">
        <f>IF(AND(ISNUMBER('자료_거시'!$G3316),ISNUMBER('자료_거시'!$H3316)),'자료_거시'!$H3316,"")</f>
        <v/>
      </c>
      <c r="X3334">
        <f>IF(ISNUMBER(W3334),'자료_거시'!$G3316,"")</f>
        <v/>
      </c>
      <c r="Y3334">
        <f>IF(ISNUMBER(X3334),IF(X3334&gt;$L$7,W3334,""),"")</f>
        <v/>
      </c>
      <c r="Z3334">
        <f>IF(ISNUMBER('자료_거시'!$K3316),'자료_거시'!$K3316,Z3333)</f>
        <v/>
      </c>
      <c r="AA3334">
        <f>IF(AND(ISNUMBER('자료_거시'!$J3316),ISNUMBER('자료_거시'!$K3316)),IFERROR('자료_거시'!$K3316/INDEX($Z$21:$Z$4020,MATCH(EDATE('자료_거시'!$J3316,-'설정'!$B$17),'자료_거시'!$J$3:INDEX('자료_거시'!$J$3:$J$4002,$K$8),1))-1,""),"")</f>
        <v/>
      </c>
      <c r="AB3334">
        <f>IF(ISNUMBER(AA3334),'자료_거시'!$J3316,"")</f>
        <v/>
      </c>
      <c r="AC3334">
        <f>IF(ISNUMBER(AB3334),IF(AB3334&gt;$L$8,AA3334,""),"")</f>
        <v/>
      </c>
    </row>
    <row r="3335">
      <c r="S3335">
        <f>IF(ISNUMBER('자료_거시'!$E3317),'자료_거시'!$E3317,S3334)</f>
        <v/>
      </c>
      <c r="T3335">
        <f>IF(AND(ISNUMBER('자료_거시'!$D3317),ISNUMBER('자료_거시'!$E3317)),IFERROR('자료_거시'!$E3317-INDEX($S$21:$S$4020,MATCH(EDATE('자료_거시'!$D3317,-'설정'!$B$17),'자료_거시'!$D$3:INDEX('자료_거시'!$D$3:$D$4002,$K$6),1)),""),"")</f>
        <v/>
      </c>
      <c r="U3335">
        <f>IF(ISNUMBER(T3335),'자료_거시'!$D3317,"")</f>
        <v/>
      </c>
      <c r="V3335">
        <f>IF(ISNUMBER(U3335),IF(U3335&gt;$L$6,T3335,""),"")</f>
        <v/>
      </c>
      <c r="W3335">
        <f>IF(AND(ISNUMBER('자료_거시'!$G3317),ISNUMBER('자료_거시'!$H3317)),'자료_거시'!$H3317,"")</f>
        <v/>
      </c>
      <c r="X3335">
        <f>IF(ISNUMBER(W3335),'자료_거시'!$G3317,"")</f>
        <v/>
      </c>
      <c r="Y3335">
        <f>IF(ISNUMBER(X3335),IF(X3335&gt;$L$7,W3335,""),"")</f>
        <v/>
      </c>
      <c r="Z3335">
        <f>IF(ISNUMBER('자료_거시'!$K3317),'자료_거시'!$K3317,Z3334)</f>
        <v/>
      </c>
      <c r="AA3335">
        <f>IF(AND(ISNUMBER('자료_거시'!$J3317),ISNUMBER('자료_거시'!$K3317)),IFERROR('자료_거시'!$K3317/INDEX($Z$21:$Z$4020,MATCH(EDATE('자료_거시'!$J3317,-'설정'!$B$17),'자료_거시'!$J$3:INDEX('자료_거시'!$J$3:$J$4002,$K$8),1))-1,""),"")</f>
        <v/>
      </c>
      <c r="AB3335">
        <f>IF(ISNUMBER(AA3335),'자료_거시'!$J3317,"")</f>
        <v/>
      </c>
      <c r="AC3335">
        <f>IF(ISNUMBER(AB3335),IF(AB3335&gt;$L$8,AA3335,""),"")</f>
        <v/>
      </c>
    </row>
    <row r="3336">
      <c r="S3336">
        <f>IF(ISNUMBER('자료_거시'!$E3318),'자료_거시'!$E3318,S3335)</f>
        <v/>
      </c>
      <c r="T3336">
        <f>IF(AND(ISNUMBER('자료_거시'!$D3318),ISNUMBER('자료_거시'!$E3318)),IFERROR('자료_거시'!$E3318-INDEX($S$21:$S$4020,MATCH(EDATE('자료_거시'!$D3318,-'설정'!$B$17),'자료_거시'!$D$3:INDEX('자료_거시'!$D$3:$D$4002,$K$6),1)),""),"")</f>
        <v/>
      </c>
      <c r="U3336">
        <f>IF(ISNUMBER(T3336),'자료_거시'!$D3318,"")</f>
        <v/>
      </c>
      <c r="V3336">
        <f>IF(ISNUMBER(U3336),IF(U3336&gt;$L$6,T3336,""),"")</f>
        <v/>
      </c>
      <c r="W3336">
        <f>IF(AND(ISNUMBER('자료_거시'!$G3318),ISNUMBER('자료_거시'!$H3318)),'자료_거시'!$H3318,"")</f>
        <v/>
      </c>
      <c r="X3336">
        <f>IF(ISNUMBER(W3336),'자료_거시'!$G3318,"")</f>
        <v/>
      </c>
      <c r="Y3336">
        <f>IF(ISNUMBER(X3336),IF(X3336&gt;$L$7,W3336,""),"")</f>
        <v/>
      </c>
      <c r="Z3336">
        <f>IF(ISNUMBER('자료_거시'!$K3318),'자료_거시'!$K3318,Z3335)</f>
        <v/>
      </c>
      <c r="AA3336">
        <f>IF(AND(ISNUMBER('자료_거시'!$J3318),ISNUMBER('자료_거시'!$K3318)),IFERROR('자료_거시'!$K3318/INDEX($Z$21:$Z$4020,MATCH(EDATE('자료_거시'!$J3318,-'설정'!$B$17),'자료_거시'!$J$3:INDEX('자료_거시'!$J$3:$J$4002,$K$8),1))-1,""),"")</f>
        <v/>
      </c>
      <c r="AB3336">
        <f>IF(ISNUMBER(AA3336),'자료_거시'!$J3318,"")</f>
        <v/>
      </c>
      <c r="AC3336">
        <f>IF(ISNUMBER(AB3336),IF(AB3336&gt;$L$8,AA3336,""),"")</f>
        <v/>
      </c>
    </row>
    <row r="3337">
      <c r="S3337">
        <f>IF(ISNUMBER('자료_거시'!$E3319),'자료_거시'!$E3319,S3336)</f>
        <v/>
      </c>
      <c r="T3337">
        <f>IF(AND(ISNUMBER('자료_거시'!$D3319),ISNUMBER('자료_거시'!$E3319)),IFERROR('자료_거시'!$E3319-INDEX($S$21:$S$4020,MATCH(EDATE('자료_거시'!$D3319,-'설정'!$B$17),'자료_거시'!$D$3:INDEX('자료_거시'!$D$3:$D$4002,$K$6),1)),""),"")</f>
        <v/>
      </c>
      <c r="U3337">
        <f>IF(ISNUMBER(T3337),'자료_거시'!$D3319,"")</f>
        <v/>
      </c>
      <c r="V3337">
        <f>IF(ISNUMBER(U3337),IF(U3337&gt;$L$6,T3337,""),"")</f>
        <v/>
      </c>
      <c r="W3337">
        <f>IF(AND(ISNUMBER('자료_거시'!$G3319),ISNUMBER('자료_거시'!$H3319)),'자료_거시'!$H3319,"")</f>
        <v/>
      </c>
      <c r="X3337">
        <f>IF(ISNUMBER(W3337),'자료_거시'!$G3319,"")</f>
        <v/>
      </c>
      <c r="Y3337">
        <f>IF(ISNUMBER(X3337),IF(X3337&gt;$L$7,W3337,""),"")</f>
        <v/>
      </c>
      <c r="Z3337">
        <f>IF(ISNUMBER('자료_거시'!$K3319),'자료_거시'!$K3319,Z3336)</f>
        <v/>
      </c>
      <c r="AA3337">
        <f>IF(AND(ISNUMBER('자료_거시'!$J3319),ISNUMBER('자료_거시'!$K3319)),IFERROR('자료_거시'!$K3319/INDEX($Z$21:$Z$4020,MATCH(EDATE('자료_거시'!$J3319,-'설정'!$B$17),'자료_거시'!$J$3:INDEX('자료_거시'!$J$3:$J$4002,$K$8),1))-1,""),"")</f>
        <v/>
      </c>
      <c r="AB3337">
        <f>IF(ISNUMBER(AA3337),'자료_거시'!$J3319,"")</f>
        <v/>
      </c>
      <c r="AC3337">
        <f>IF(ISNUMBER(AB3337),IF(AB3337&gt;$L$8,AA3337,""),"")</f>
        <v/>
      </c>
    </row>
    <row r="3338">
      <c r="S3338">
        <f>IF(ISNUMBER('자료_거시'!$E3320),'자료_거시'!$E3320,S3337)</f>
        <v/>
      </c>
      <c r="T3338">
        <f>IF(AND(ISNUMBER('자료_거시'!$D3320),ISNUMBER('자료_거시'!$E3320)),IFERROR('자료_거시'!$E3320-INDEX($S$21:$S$4020,MATCH(EDATE('자료_거시'!$D3320,-'설정'!$B$17),'자료_거시'!$D$3:INDEX('자료_거시'!$D$3:$D$4002,$K$6),1)),""),"")</f>
        <v/>
      </c>
      <c r="U3338">
        <f>IF(ISNUMBER(T3338),'자료_거시'!$D3320,"")</f>
        <v/>
      </c>
      <c r="V3338">
        <f>IF(ISNUMBER(U3338),IF(U3338&gt;$L$6,T3338,""),"")</f>
        <v/>
      </c>
      <c r="W3338">
        <f>IF(AND(ISNUMBER('자료_거시'!$G3320),ISNUMBER('자료_거시'!$H3320)),'자료_거시'!$H3320,"")</f>
        <v/>
      </c>
      <c r="X3338">
        <f>IF(ISNUMBER(W3338),'자료_거시'!$G3320,"")</f>
        <v/>
      </c>
      <c r="Y3338">
        <f>IF(ISNUMBER(X3338),IF(X3338&gt;$L$7,W3338,""),"")</f>
        <v/>
      </c>
      <c r="Z3338">
        <f>IF(ISNUMBER('자료_거시'!$K3320),'자료_거시'!$K3320,Z3337)</f>
        <v/>
      </c>
      <c r="AA3338">
        <f>IF(AND(ISNUMBER('자료_거시'!$J3320),ISNUMBER('자료_거시'!$K3320)),IFERROR('자료_거시'!$K3320/INDEX($Z$21:$Z$4020,MATCH(EDATE('자료_거시'!$J3320,-'설정'!$B$17),'자료_거시'!$J$3:INDEX('자료_거시'!$J$3:$J$4002,$K$8),1))-1,""),"")</f>
        <v/>
      </c>
      <c r="AB3338">
        <f>IF(ISNUMBER(AA3338),'자료_거시'!$J3320,"")</f>
        <v/>
      </c>
      <c r="AC3338">
        <f>IF(ISNUMBER(AB3338),IF(AB3338&gt;$L$8,AA3338,""),"")</f>
        <v/>
      </c>
    </row>
    <row r="3339">
      <c r="S3339">
        <f>IF(ISNUMBER('자료_거시'!$E3321),'자료_거시'!$E3321,S3338)</f>
        <v/>
      </c>
      <c r="T3339">
        <f>IF(AND(ISNUMBER('자료_거시'!$D3321),ISNUMBER('자료_거시'!$E3321)),IFERROR('자료_거시'!$E3321-INDEX($S$21:$S$4020,MATCH(EDATE('자료_거시'!$D3321,-'설정'!$B$17),'자료_거시'!$D$3:INDEX('자료_거시'!$D$3:$D$4002,$K$6),1)),""),"")</f>
        <v/>
      </c>
      <c r="U3339">
        <f>IF(ISNUMBER(T3339),'자료_거시'!$D3321,"")</f>
        <v/>
      </c>
      <c r="V3339">
        <f>IF(ISNUMBER(U3339),IF(U3339&gt;$L$6,T3339,""),"")</f>
        <v/>
      </c>
      <c r="W3339">
        <f>IF(AND(ISNUMBER('자료_거시'!$G3321),ISNUMBER('자료_거시'!$H3321)),'자료_거시'!$H3321,"")</f>
        <v/>
      </c>
      <c r="X3339">
        <f>IF(ISNUMBER(W3339),'자료_거시'!$G3321,"")</f>
        <v/>
      </c>
      <c r="Y3339">
        <f>IF(ISNUMBER(X3339),IF(X3339&gt;$L$7,W3339,""),"")</f>
        <v/>
      </c>
      <c r="Z3339">
        <f>IF(ISNUMBER('자료_거시'!$K3321),'자료_거시'!$K3321,Z3338)</f>
        <v/>
      </c>
      <c r="AA3339">
        <f>IF(AND(ISNUMBER('자료_거시'!$J3321),ISNUMBER('자료_거시'!$K3321)),IFERROR('자료_거시'!$K3321/INDEX($Z$21:$Z$4020,MATCH(EDATE('자료_거시'!$J3321,-'설정'!$B$17),'자료_거시'!$J$3:INDEX('자료_거시'!$J$3:$J$4002,$K$8),1))-1,""),"")</f>
        <v/>
      </c>
      <c r="AB3339">
        <f>IF(ISNUMBER(AA3339),'자료_거시'!$J3321,"")</f>
        <v/>
      </c>
      <c r="AC3339">
        <f>IF(ISNUMBER(AB3339),IF(AB3339&gt;$L$8,AA3339,""),"")</f>
        <v/>
      </c>
    </row>
    <row r="3340">
      <c r="S3340">
        <f>IF(ISNUMBER('자료_거시'!$E3322),'자료_거시'!$E3322,S3339)</f>
        <v/>
      </c>
      <c r="T3340">
        <f>IF(AND(ISNUMBER('자료_거시'!$D3322),ISNUMBER('자료_거시'!$E3322)),IFERROR('자료_거시'!$E3322-INDEX($S$21:$S$4020,MATCH(EDATE('자료_거시'!$D3322,-'설정'!$B$17),'자료_거시'!$D$3:INDEX('자료_거시'!$D$3:$D$4002,$K$6),1)),""),"")</f>
        <v/>
      </c>
      <c r="U3340">
        <f>IF(ISNUMBER(T3340),'자료_거시'!$D3322,"")</f>
        <v/>
      </c>
      <c r="V3340">
        <f>IF(ISNUMBER(U3340),IF(U3340&gt;$L$6,T3340,""),"")</f>
        <v/>
      </c>
      <c r="W3340">
        <f>IF(AND(ISNUMBER('자료_거시'!$G3322),ISNUMBER('자료_거시'!$H3322)),'자료_거시'!$H3322,"")</f>
        <v/>
      </c>
      <c r="X3340">
        <f>IF(ISNUMBER(W3340),'자료_거시'!$G3322,"")</f>
        <v/>
      </c>
      <c r="Y3340">
        <f>IF(ISNUMBER(X3340),IF(X3340&gt;$L$7,W3340,""),"")</f>
        <v/>
      </c>
      <c r="Z3340">
        <f>IF(ISNUMBER('자료_거시'!$K3322),'자료_거시'!$K3322,Z3339)</f>
        <v/>
      </c>
      <c r="AA3340">
        <f>IF(AND(ISNUMBER('자료_거시'!$J3322),ISNUMBER('자료_거시'!$K3322)),IFERROR('자료_거시'!$K3322/INDEX($Z$21:$Z$4020,MATCH(EDATE('자료_거시'!$J3322,-'설정'!$B$17),'자료_거시'!$J$3:INDEX('자료_거시'!$J$3:$J$4002,$K$8),1))-1,""),"")</f>
        <v/>
      </c>
      <c r="AB3340">
        <f>IF(ISNUMBER(AA3340),'자료_거시'!$J3322,"")</f>
        <v/>
      </c>
      <c r="AC3340">
        <f>IF(ISNUMBER(AB3340),IF(AB3340&gt;$L$8,AA3340,""),"")</f>
        <v/>
      </c>
    </row>
    <row r="3341">
      <c r="S3341">
        <f>IF(ISNUMBER('자료_거시'!$E3323),'자료_거시'!$E3323,S3340)</f>
        <v/>
      </c>
      <c r="T3341">
        <f>IF(AND(ISNUMBER('자료_거시'!$D3323),ISNUMBER('자료_거시'!$E3323)),IFERROR('자료_거시'!$E3323-INDEX($S$21:$S$4020,MATCH(EDATE('자료_거시'!$D3323,-'설정'!$B$17),'자료_거시'!$D$3:INDEX('자료_거시'!$D$3:$D$4002,$K$6),1)),""),"")</f>
        <v/>
      </c>
      <c r="U3341">
        <f>IF(ISNUMBER(T3341),'자료_거시'!$D3323,"")</f>
        <v/>
      </c>
      <c r="V3341">
        <f>IF(ISNUMBER(U3341),IF(U3341&gt;$L$6,T3341,""),"")</f>
        <v/>
      </c>
      <c r="W3341">
        <f>IF(AND(ISNUMBER('자료_거시'!$G3323),ISNUMBER('자료_거시'!$H3323)),'자료_거시'!$H3323,"")</f>
        <v/>
      </c>
      <c r="X3341">
        <f>IF(ISNUMBER(W3341),'자료_거시'!$G3323,"")</f>
        <v/>
      </c>
      <c r="Y3341">
        <f>IF(ISNUMBER(X3341),IF(X3341&gt;$L$7,W3341,""),"")</f>
        <v/>
      </c>
      <c r="Z3341">
        <f>IF(ISNUMBER('자료_거시'!$K3323),'자료_거시'!$K3323,Z3340)</f>
        <v/>
      </c>
      <c r="AA3341">
        <f>IF(AND(ISNUMBER('자료_거시'!$J3323),ISNUMBER('자료_거시'!$K3323)),IFERROR('자료_거시'!$K3323/INDEX($Z$21:$Z$4020,MATCH(EDATE('자료_거시'!$J3323,-'설정'!$B$17),'자료_거시'!$J$3:INDEX('자료_거시'!$J$3:$J$4002,$K$8),1))-1,""),"")</f>
        <v/>
      </c>
      <c r="AB3341">
        <f>IF(ISNUMBER(AA3341),'자료_거시'!$J3323,"")</f>
        <v/>
      </c>
      <c r="AC3341">
        <f>IF(ISNUMBER(AB3341),IF(AB3341&gt;$L$8,AA3341,""),"")</f>
        <v/>
      </c>
    </row>
    <row r="3342">
      <c r="S3342">
        <f>IF(ISNUMBER('자료_거시'!$E3324),'자료_거시'!$E3324,S3341)</f>
        <v/>
      </c>
      <c r="T3342">
        <f>IF(AND(ISNUMBER('자료_거시'!$D3324),ISNUMBER('자료_거시'!$E3324)),IFERROR('자료_거시'!$E3324-INDEX($S$21:$S$4020,MATCH(EDATE('자료_거시'!$D3324,-'설정'!$B$17),'자료_거시'!$D$3:INDEX('자료_거시'!$D$3:$D$4002,$K$6),1)),""),"")</f>
        <v/>
      </c>
      <c r="U3342">
        <f>IF(ISNUMBER(T3342),'자료_거시'!$D3324,"")</f>
        <v/>
      </c>
      <c r="V3342">
        <f>IF(ISNUMBER(U3342),IF(U3342&gt;$L$6,T3342,""),"")</f>
        <v/>
      </c>
      <c r="W3342">
        <f>IF(AND(ISNUMBER('자료_거시'!$G3324),ISNUMBER('자료_거시'!$H3324)),'자료_거시'!$H3324,"")</f>
        <v/>
      </c>
      <c r="X3342">
        <f>IF(ISNUMBER(W3342),'자료_거시'!$G3324,"")</f>
        <v/>
      </c>
      <c r="Y3342">
        <f>IF(ISNUMBER(X3342),IF(X3342&gt;$L$7,W3342,""),"")</f>
        <v/>
      </c>
      <c r="Z3342">
        <f>IF(ISNUMBER('자료_거시'!$K3324),'자료_거시'!$K3324,Z3341)</f>
        <v/>
      </c>
      <c r="AA3342">
        <f>IF(AND(ISNUMBER('자료_거시'!$J3324),ISNUMBER('자료_거시'!$K3324)),IFERROR('자료_거시'!$K3324/INDEX($Z$21:$Z$4020,MATCH(EDATE('자료_거시'!$J3324,-'설정'!$B$17),'자료_거시'!$J$3:INDEX('자료_거시'!$J$3:$J$4002,$K$8),1))-1,""),"")</f>
        <v/>
      </c>
      <c r="AB3342">
        <f>IF(ISNUMBER(AA3342),'자료_거시'!$J3324,"")</f>
        <v/>
      </c>
      <c r="AC3342">
        <f>IF(ISNUMBER(AB3342),IF(AB3342&gt;$L$8,AA3342,""),"")</f>
        <v/>
      </c>
    </row>
    <row r="3343">
      <c r="S3343">
        <f>IF(ISNUMBER('자료_거시'!$E3325),'자료_거시'!$E3325,S3342)</f>
        <v/>
      </c>
      <c r="T3343">
        <f>IF(AND(ISNUMBER('자료_거시'!$D3325),ISNUMBER('자료_거시'!$E3325)),IFERROR('자료_거시'!$E3325-INDEX($S$21:$S$4020,MATCH(EDATE('자료_거시'!$D3325,-'설정'!$B$17),'자료_거시'!$D$3:INDEX('자료_거시'!$D$3:$D$4002,$K$6),1)),""),"")</f>
        <v/>
      </c>
      <c r="U3343">
        <f>IF(ISNUMBER(T3343),'자료_거시'!$D3325,"")</f>
        <v/>
      </c>
      <c r="V3343">
        <f>IF(ISNUMBER(U3343),IF(U3343&gt;$L$6,T3343,""),"")</f>
        <v/>
      </c>
      <c r="W3343">
        <f>IF(AND(ISNUMBER('자료_거시'!$G3325),ISNUMBER('자료_거시'!$H3325)),'자료_거시'!$H3325,"")</f>
        <v/>
      </c>
      <c r="X3343">
        <f>IF(ISNUMBER(W3343),'자료_거시'!$G3325,"")</f>
        <v/>
      </c>
      <c r="Y3343">
        <f>IF(ISNUMBER(X3343),IF(X3343&gt;$L$7,W3343,""),"")</f>
        <v/>
      </c>
      <c r="Z3343">
        <f>IF(ISNUMBER('자료_거시'!$K3325),'자료_거시'!$K3325,Z3342)</f>
        <v/>
      </c>
      <c r="AA3343">
        <f>IF(AND(ISNUMBER('자료_거시'!$J3325),ISNUMBER('자료_거시'!$K3325)),IFERROR('자료_거시'!$K3325/INDEX($Z$21:$Z$4020,MATCH(EDATE('자료_거시'!$J3325,-'설정'!$B$17),'자료_거시'!$J$3:INDEX('자료_거시'!$J$3:$J$4002,$K$8),1))-1,""),"")</f>
        <v/>
      </c>
      <c r="AB3343">
        <f>IF(ISNUMBER(AA3343),'자료_거시'!$J3325,"")</f>
        <v/>
      </c>
      <c r="AC3343">
        <f>IF(ISNUMBER(AB3343),IF(AB3343&gt;$L$8,AA3343,""),"")</f>
        <v/>
      </c>
    </row>
    <row r="3344">
      <c r="S3344">
        <f>IF(ISNUMBER('자료_거시'!$E3326),'자료_거시'!$E3326,S3343)</f>
        <v/>
      </c>
      <c r="T3344">
        <f>IF(AND(ISNUMBER('자료_거시'!$D3326),ISNUMBER('자료_거시'!$E3326)),IFERROR('자료_거시'!$E3326-INDEX($S$21:$S$4020,MATCH(EDATE('자료_거시'!$D3326,-'설정'!$B$17),'자료_거시'!$D$3:INDEX('자료_거시'!$D$3:$D$4002,$K$6),1)),""),"")</f>
        <v/>
      </c>
      <c r="U3344">
        <f>IF(ISNUMBER(T3344),'자료_거시'!$D3326,"")</f>
        <v/>
      </c>
      <c r="V3344">
        <f>IF(ISNUMBER(U3344),IF(U3344&gt;$L$6,T3344,""),"")</f>
        <v/>
      </c>
      <c r="W3344">
        <f>IF(AND(ISNUMBER('자료_거시'!$G3326),ISNUMBER('자료_거시'!$H3326)),'자료_거시'!$H3326,"")</f>
        <v/>
      </c>
      <c r="X3344">
        <f>IF(ISNUMBER(W3344),'자료_거시'!$G3326,"")</f>
        <v/>
      </c>
      <c r="Y3344">
        <f>IF(ISNUMBER(X3344),IF(X3344&gt;$L$7,W3344,""),"")</f>
        <v/>
      </c>
      <c r="Z3344">
        <f>IF(ISNUMBER('자료_거시'!$K3326),'자료_거시'!$K3326,Z3343)</f>
        <v/>
      </c>
      <c r="AA3344">
        <f>IF(AND(ISNUMBER('자료_거시'!$J3326),ISNUMBER('자료_거시'!$K3326)),IFERROR('자료_거시'!$K3326/INDEX($Z$21:$Z$4020,MATCH(EDATE('자료_거시'!$J3326,-'설정'!$B$17),'자료_거시'!$J$3:INDEX('자료_거시'!$J$3:$J$4002,$K$8),1))-1,""),"")</f>
        <v/>
      </c>
      <c r="AB3344">
        <f>IF(ISNUMBER(AA3344),'자료_거시'!$J3326,"")</f>
        <v/>
      </c>
      <c r="AC3344">
        <f>IF(ISNUMBER(AB3344),IF(AB3344&gt;$L$8,AA3344,""),"")</f>
        <v/>
      </c>
    </row>
    <row r="3345">
      <c r="S3345">
        <f>IF(ISNUMBER('자료_거시'!$E3327),'자료_거시'!$E3327,S3344)</f>
        <v/>
      </c>
      <c r="T3345">
        <f>IF(AND(ISNUMBER('자료_거시'!$D3327),ISNUMBER('자료_거시'!$E3327)),IFERROR('자료_거시'!$E3327-INDEX($S$21:$S$4020,MATCH(EDATE('자료_거시'!$D3327,-'설정'!$B$17),'자료_거시'!$D$3:INDEX('자료_거시'!$D$3:$D$4002,$K$6),1)),""),"")</f>
        <v/>
      </c>
      <c r="U3345">
        <f>IF(ISNUMBER(T3345),'자료_거시'!$D3327,"")</f>
        <v/>
      </c>
      <c r="V3345">
        <f>IF(ISNUMBER(U3345),IF(U3345&gt;$L$6,T3345,""),"")</f>
        <v/>
      </c>
      <c r="W3345">
        <f>IF(AND(ISNUMBER('자료_거시'!$G3327),ISNUMBER('자료_거시'!$H3327)),'자료_거시'!$H3327,"")</f>
        <v/>
      </c>
      <c r="X3345">
        <f>IF(ISNUMBER(W3345),'자료_거시'!$G3327,"")</f>
        <v/>
      </c>
      <c r="Y3345">
        <f>IF(ISNUMBER(X3345),IF(X3345&gt;$L$7,W3345,""),"")</f>
        <v/>
      </c>
      <c r="Z3345">
        <f>IF(ISNUMBER('자료_거시'!$K3327),'자료_거시'!$K3327,Z3344)</f>
        <v/>
      </c>
      <c r="AA3345">
        <f>IF(AND(ISNUMBER('자료_거시'!$J3327),ISNUMBER('자료_거시'!$K3327)),IFERROR('자료_거시'!$K3327/INDEX($Z$21:$Z$4020,MATCH(EDATE('자료_거시'!$J3327,-'설정'!$B$17),'자료_거시'!$J$3:INDEX('자료_거시'!$J$3:$J$4002,$K$8),1))-1,""),"")</f>
        <v/>
      </c>
      <c r="AB3345">
        <f>IF(ISNUMBER(AA3345),'자료_거시'!$J3327,"")</f>
        <v/>
      </c>
      <c r="AC3345">
        <f>IF(ISNUMBER(AB3345),IF(AB3345&gt;$L$8,AA3345,""),"")</f>
        <v/>
      </c>
    </row>
    <row r="3346">
      <c r="S3346">
        <f>IF(ISNUMBER('자료_거시'!$E3328),'자료_거시'!$E3328,S3345)</f>
        <v/>
      </c>
      <c r="T3346">
        <f>IF(AND(ISNUMBER('자료_거시'!$D3328),ISNUMBER('자료_거시'!$E3328)),IFERROR('자료_거시'!$E3328-INDEX($S$21:$S$4020,MATCH(EDATE('자료_거시'!$D3328,-'설정'!$B$17),'자료_거시'!$D$3:INDEX('자료_거시'!$D$3:$D$4002,$K$6),1)),""),"")</f>
        <v/>
      </c>
      <c r="U3346">
        <f>IF(ISNUMBER(T3346),'자료_거시'!$D3328,"")</f>
        <v/>
      </c>
      <c r="V3346">
        <f>IF(ISNUMBER(U3346),IF(U3346&gt;$L$6,T3346,""),"")</f>
        <v/>
      </c>
      <c r="W3346">
        <f>IF(AND(ISNUMBER('자료_거시'!$G3328),ISNUMBER('자료_거시'!$H3328)),'자료_거시'!$H3328,"")</f>
        <v/>
      </c>
      <c r="X3346">
        <f>IF(ISNUMBER(W3346),'자료_거시'!$G3328,"")</f>
        <v/>
      </c>
      <c r="Y3346">
        <f>IF(ISNUMBER(X3346),IF(X3346&gt;$L$7,W3346,""),"")</f>
        <v/>
      </c>
      <c r="Z3346">
        <f>IF(ISNUMBER('자료_거시'!$K3328),'자료_거시'!$K3328,Z3345)</f>
        <v/>
      </c>
      <c r="AA3346">
        <f>IF(AND(ISNUMBER('자료_거시'!$J3328),ISNUMBER('자료_거시'!$K3328)),IFERROR('자료_거시'!$K3328/INDEX($Z$21:$Z$4020,MATCH(EDATE('자료_거시'!$J3328,-'설정'!$B$17),'자료_거시'!$J$3:INDEX('자료_거시'!$J$3:$J$4002,$K$8),1))-1,""),"")</f>
        <v/>
      </c>
      <c r="AB3346">
        <f>IF(ISNUMBER(AA3346),'자료_거시'!$J3328,"")</f>
        <v/>
      </c>
      <c r="AC3346">
        <f>IF(ISNUMBER(AB3346),IF(AB3346&gt;$L$8,AA3346,""),"")</f>
        <v/>
      </c>
    </row>
    <row r="3347">
      <c r="S3347">
        <f>IF(ISNUMBER('자료_거시'!$E3329),'자료_거시'!$E3329,S3346)</f>
        <v/>
      </c>
      <c r="T3347">
        <f>IF(AND(ISNUMBER('자료_거시'!$D3329),ISNUMBER('자료_거시'!$E3329)),IFERROR('자료_거시'!$E3329-INDEX($S$21:$S$4020,MATCH(EDATE('자료_거시'!$D3329,-'설정'!$B$17),'자료_거시'!$D$3:INDEX('자료_거시'!$D$3:$D$4002,$K$6),1)),""),"")</f>
        <v/>
      </c>
      <c r="U3347">
        <f>IF(ISNUMBER(T3347),'자료_거시'!$D3329,"")</f>
        <v/>
      </c>
      <c r="V3347">
        <f>IF(ISNUMBER(U3347),IF(U3347&gt;$L$6,T3347,""),"")</f>
        <v/>
      </c>
      <c r="W3347">
        <f>IF(AND(ISNUMBER('자료_거시'!$G3329),ISNUMBER('자료_거시'!$H3329)),'자료_거시'!$H3329,"")</f>
        <v/>
      </c>
      <c r="X3347">
        <f>IF(ISNUMBER(W3347),'자료_거시'!$G3329,"")</f>
        <v/>
      </c>
      <c r="Y3347">
        <f>IF(ISNUMBER(X3347),IF(X3347&gt;$L$7,W3347,""),"")</f>
        <v/>
      </c>
      <c r="Z3347">
        <f>IF(ISNUMBER('자료_거시'!$K3329),'자료_거시'!$K3329,Z3346)</f>
        <v/>
      </c>
      <c r="AA3347">
        <f>IF(AND(ISNUMBER('자료_거시'!$J3329),ISNUMBER('자료_거시'!$K3329)),IFERROR('자료_거시'!$K3329/INDEX($Z$21:$Z$4020,MATCH(EDATE('자료_거시'!$J3329,-'설정'!$B$17),'자료_거시'!$J$3:INDEX('자료_거시'!$J$3:$J$4002,$K$8),1))-1,""),"")</f>
        <v/>
      </c>
      <c r="AB3347">
        <f>IF(ISNUMBER(AA3347),'자료_거시'!$J3329,"")</f>
        <v/>
      </c>
      <c r="AC3347">
        <f>IF(ISNUMBER(AB3347),IF(AB3347&gt;$L$8,AA3347,""),"")</f>
        <v/>
      </c>
    </row>
    <row r="3348">
      <c r="S3348">
        <f>IF(ISNUMBER('자료_거시'!$E3330),'자료_거시'!$E3330,S3347)</f>
        <v/>
      </c>
      <c r="T3348">
        <f>IF(AND(ISNUMBER('자료_거시'!$D3330),ISNUMBER('자료_거시'!$E3330)),IFERROR('자료_거시'!$E3330-INDEX($S$21:$S$4020,MATCH(EDATE('자료_거시'!$D3330,-'설정'!$B$17),'자료_거시'!$D$3:INDEX('자료_거시'!$D$3:$D$4002,$K$6),1)),""),"")</f>
        <v/>
      </c>
      <c r="U3348">
        <f>IF(ISNUMBER(T3348),'자료_거시'!$D3330,"")</f>
        <v/>
      </c>
      <c r="V3348">
        <f>IF(ISNUMBER(U3348),IF(U3348&gt;$L$6,T3348,""),"")</f>
        <v/>
      </c>
      <c r="W3348">
        <f>IF(AND(ISNUMBER('자료_거시'!$G3330),ISNUMBER('자료_거시'!$H3330)),'자료_거시'!$H3330,"")</f>
        <v/>
      </c>
      <c r="X3348">
        <f>IF(ISNUMBER(W3348),'자료_거시'!$G3330,"")</f>
        <v/>
      </c>
      <c r="Y3348">
        <f>IF(ISNUMBER(X3348),IF(X3348&gt;$L$7,W3348,""),"")</f>
        <v/>
      </c>
      <c r="Z3348">
        <f>IF(ISNUMBER('자료_거시'!$K3330),'자료_거시'!$K3330,Z3347)</f>
        <v/>
      </c>
      <c r="AA3348">
        <f>IF(AND(ISNUMBER('자료_거시'!$J3330),ISNUMBER('자료_거시'!$K3330)),IFERROR('자료_거시'!$K3330/INDEX($Z$21:$Z$4020,MATCH(EDATE('자료_거시'!$J3330,-'설정'!$B$17),'자료_거시'!$J$3:INDEX('자료_거시'!$J$3:$J$4002,$K$8),1))-1,""),"")</f>
        <v/>
      </c>
      <c r="AB3348">
        <f>IF(ISNUMBER(AA3348),'자료_거시'!$J3330,"")</f>
        <v/>
      </c>
      <c r="AC3348">
        <f>IF(ISNUMBER(AB3348),IF(AB3348&gt;$L$8,AA3348,""),"")</f>
        <v/>
      </c>
    </row>
    <row r="3349">
      <c r="S3349">
        <f>IF(ISNUMBER('자료_거시'!$E3331),'자료_거시'!$E3331,S3348)</f>
        <v/>
      </c>
      <c r="T3349">
        <f>IF(AND(ISNUMBER('자료_거시'!$D3331),ISNUMBER('자료_거시'!$E3331)),IFERROR('자료_거시'!$E3331-INDEX($S$21:$S$4020,MATCH(EDATE('자료_거시'!$D3331,-'설정'!$B$17),'자료_거시'!$D$3:INDEX('자료_거시'!$D$3:$D$4002,$K$6),1)),""),"")</f>
        <v/>
      </c>
      <c r="U3349">
        <f>IF(ISNUMBER(T3349),'자료_거시'!$D3331,"")</f>
        <v/>
      </c>
      <c r="V3349">
        <f>IF(ISNUMBER(U3349),IF(U3349&gt;$L$6,T3349,""),"")</f>
        <v/>
      </c>
      <c r="W3349">
        <f>IF(AND(ISNUMBER('자료_거시'!$G3331),ISNUMBER('자료_거시'!$H3331)),'자료_거시'!$H3331,"")</f>
        <v/>
      </c>
      <c r="X3349">
        <f>IF(ISNUMBER(W3349),'자료_거시'!$G3331,"")</f>
        <v/>
      </c>
      <c r="Y3349">
        <f>IF(ISNUMBER(X3349),IF(X3349&gt;$L$7,W3349,""),"")</f>
        <v/>
      </c>
      <c r="Z3349">
        <f>IF(ISNUMBER('자료_거시'!$K3331),'자료_거시'!$K3331,Z3348)</f>
        <v/>
      </c>
      <c r="AA3349">
        <f>IF(AND(ISNUMBER('자료_거시'!$J3331),ISNUMBER('자료_거시'!$K3331)),IFERROR('자료_거시'!$K3331/INDEX($Z$21:$Z$4020,MATCH(EDATE('자료_거시'!$J3331,-'설정'!$B$17),'자료_거시'!$J$3:INDEX('자료_거시'!$J$3:$J$4002,$K$8),1))-1,""),"")</f>
        <v/>
      </c>
      <c r="AB3349">
        <f>IF(ISNUMBER(AA3349),'자료_거시'!$J3331,"")</f>
        <v/>
      </c>
      <c r="AC3349">
        <f>IF(ISNUMBER(AB3349),IF(AB3349&gt;$L$8,AA3349,""),"")</f>
        <v/>
      </c>
    </row>
    <row r="3350">
      <c r="S3350">
        <f>IF(ISNUMBER('자료_거시'!$E3332),'자료_거시'!$E3332,S3349)</f>
        <v/>
      </c>
      <c r="T3350">
        <f>IF(AND(ISNUMBER('자료_거시'!$D3332),ISNUMBER('자료_거시'!$E3332)),IFERROR('자료_거시'!$E3332-INDEX($S$21:$S$4020,MATCH(EDATE('자료_거시'!$D3332,-'설정'!$B$17),'자료_거시'!$D$3:INDEX('자료_거시'!$D$3:$D$4002,$K$6),1)),""),"")</f>
        <v/>
      </c>
      <c r="U3350">
        <f>IF(ISNUMBER(T3350),'자료_거시'!$D3332,"")</f>
        <v/>
      </c>
      <c r="V3350">
        <f>IF(ISNUMBER(U3350),IF(U3350&gt;$L$6,T3350,""),"")</f>
        <v/>
      </c>
      <c r="W3350">
        <f>IF(AND(ISNUMBER('자료_거시'!$G3332),ISNUMBER('자료_거시'!$H3332)),'자료_거시'!$H3332,"")</f>
        <v/>
      </c>
      <c r="X3350">
        <f>IF(ISNUMBER(W3350),'자료_거시'!$G3332,"")</f>
        <v/>
      </c>
      <c r="Y3350">
        <f>IF(ISNUMBER(X3350),IF(X3350&gt;$L$7,W3350,""),"")</f>
        <v/>
      </c>
      <c r="Z3350">
        <f>IF(ISNUMBER('자료_거시'!$K3332),'자료_거시'!$K3332,Z3349)</f>
        <v/>
      </c>
      <c r="AA3350">
        <f>IF(AND(ISNUMBER('자료_거시'!$J3332),ISNUMBER('자료_거시'!$K3332)),IFERROR('자료_거시'!$K3332/INDEX($Z$21:$Z$4020,MATCH(EDATE('자료_거시'!$J3332,-'설정'!$B$17),'자료_거시'!$J$3:INDEX('자료_거시'!$J$3:$J$4002,$K$8),1))-1,""),"")</f>
        <v/>
      </c>
      <c r="AB3350">
        <f>IF(ISNUMBER(AA3350),'자료_거시'!$J3332,"")</f>
        <v/>
      </c>
      <c r="AC3350">
        <f>IF(ISNUMBER(AB3350),IF(AB3350&gt;$L$8,AA3350,""),"")</f>
        <v/>
      </c>
    </row>
    <row r="3351">
      <c r="S3351">
        <f>IF(ISNUMBER('자료_거시'!$E3333),'자료_거시'!$E3333,S3350)</f>
        <v/>
      </c>
      <c r="T3351">
        <f>IF(AND(ISNUMBER('자료_거시'!$D3333),ISNUMBER('자료_거시'!$E3333)),IFERROR('자료_거시'!$E3333-INDEX($S$21:$S$4020,MATCH(EDATE('자료_거시'!$D3333,-'설정'!$B$17),'자료_거시'!$D$3:INDEX('자료_거시'!$D$3:$D$4002,$K$6),1)),""),"")</f>
        <v/>
      </c>
      <c r="U3351">
        <f>IF(ISNUMBER(T3351),'자료_거시'!$D3333,"")</f>
        <v/>
      </c>
      <c r="V3351">
        <f>IF(ISNUMBER(U3351),IF(U3351&gt;$L$6,T3351,""),"")</f>
        <v/>
      </c>
      <c r="W3351">
        <f>IF(AND(ISNUMBER('자료_거시'!$G3333),ISNUMBER('자료_거시'!$H3333)),'자료_거시'!$H3333,"")</f>
        <v/>
      </c>
      <c r="X3351">
        <f>IF(ISNUMBER(W3351),'자료_거시'!$G3333,"")</f>
        <v/>
      </c>
      <c r="Y3351">
        <f>IF(ISNUMBER(X3351),IF(X3351&gt;$L$7,W3351,""),"")</f>
        <v/>
      </c>
      <c r="Z3351">
        <f>IF(ISNUMBER('자료_거시'!$K3333),'자료_거시'!$K3333,Z3350)</f>
        <v/>
      </c>
      <c r="AA3351">
        <f>IF(AND(ISNUMBER('자료_거시'!$J3333),ISNUMBER('자료_거시'!$K3333)),IFERROR('자료_거시'!$K3333/INDEX($Z$21:$Z$4020,MATCH(EDATE('자료_거시'!$J3333,-'설정'!$B$17),'자료_거시'!$J$3:INDEX('자료_거시'!$J$3:$J$4002,$K$8),1))-1,""),"")</f>
        <v/>
      </c>
      <c r="AB3351">
        <f>IF(ISNUMBER(AA3351),'자료_거시'!$J3333,"")</f>
        <v/>
      </c>
      <c r="AC3351">
        <f>IF(ISNUMBER(AB3351),IF(AB3351&gt;$L$8,AA3351,""),"")</f>
        <v/>
      </c>
    </row>
    <row r="3352">
      <c r="S3352">
        <f>IF(ISNUMBER('자료_거시'!$E3334),'자료_거시'!$E3334,S3351)</f>
        <v/>
      </c>
      <c r="T3352">
        <f>IF(AND(ISNUMBER('자료_거시'!$D3334),ISNUMBER('자료_거시'!$E3334)),IFERROR('자료_거시'!$E3334-INDEX($S$21:$S$4020,MATCH(EDATE('자료_거시'!$D3334,-'설정'!$B$17),'자료_거시'!$D$3:INDEX('자료_거시'!$D$3:$D$4002,$K$6),1)),""),"")</f>
        <v/>
      </c>
      <c r="U3352">
        <f>IF(ISNUMBER(T3352),'자료_거시'!$D3334,"")</f>
        <v/>
      </c>
      <c r="V3352">
        <f>IF(ISNUMBER(U3352),IF(U3352&gt;$L$6,T3352,""),"")</f>
        <v/>
      </c>
      <c r="W3352">
        <f>IF(AND(ISNUMBER('자료_거시'!$G3334),ISNUMBER('자료_거시'!$H3334)),'자료_거시'!$H3334,"")</f>
        <v/>
      </c>
      <c r="X3352">
        <f>IF(ISNUMBER(W3352),'자료_거시'!$G3334,"")</f>
        <v/>
      </c>
      <c r="Y3352">
        <f>IF(ISNUMBER(X3352),IF(X3352&gt;$L$7,W3352,""),"")</f>
        <v/>
      </c>
      <c r="Z3352">
        <f>IF(ISNUMBER('자료_거시'!$K3334),'자료_거시'!$K3334,Z3351)</f>
        <v/>
      </c>
      <c r="AA3352">
        <f>IF(AND(ISNUMBER('자료_거시'!$J3334),ISNUMBER('자료_거시'!$K3334)),IFERROR('자료_거시'!$K3334/INDEX($Z$21:$Z$4020,MATCH(EDATE('자료_거시'!$J3334,-'설정'!$B$17),'자료_거시'!$J$3:INDEX('자료_거시'!$J$3:$J$4002,$K$8),1))-1,""),"")</f>
        <v/>
      </c>
      <c r="AB3352">
        <f>IF(ISNUMBER(AA3352),'자료_거시'!$J3334,"")</f>
        <v/>
      </c>
      <c r="AC3352">
        <f>IF(ISNUMBER(AB3352),IF(AB3352&gt;$L$8,AA3352,""),"")</f>
        <v/>
      </c>
    </row>
    <row r="3353">
      <c r="S3353">
        <f>IF(ISNUMBER('자료_거시'!$E3335),'자료_거시'!$E3335,S3352)</f>
        <v/>
      </c>
      <c r="T3353">
        <f>IF(AND(ISNUMBER('자료_거시'!$D3335),ISNUMBER('자료_거시'!$E3335)),IFERROR('자료_거시'!$E3335-INDEX($S$21:$S$4020,MATCH(EDATE('자료_거시'!$D3335,-'설정'!$B$17),'자료_거시'!$D$3:INDEX('자료_거시'!$D$3:$D$4002,$K$6),1)),""),"")</f>
        <v/>
      </c>
      <c r="U3353">
        <f>IF(ISNUMBER(T3353),'자료_거시'!$D3335,"")</f>
        <v/>
      </c>
      <c r="V3353">
        <f>IF(ISNUMBER(U3353),IF(U3353&gt;$L$6,T3353,""),"")</f>
        <v/>
      </c>
      <c r="W3353">
        <f>IF(AND(ISNUMBER('자료_거시'!$G3335),ISNUMBER('자료_거시'!$H3335)),'자료_거시'!$H3335,"")</f>
        <v/>
      </c>
      <c r="X3353">
        <f>IF(ISNUMBER(W3353),'자료_거시'!$G3335,"")</f>
        <v/>
      </c>
      <c r="Y3353">
        <f>IF(ISNUMBER(X3353),IF(X3353&gt;$L$7,W3353,""),"")</f>
        <v/>
      </c>
      <c r="Z3353">
        <f>IF(ISNUMBER('자료_거시'!$K3335),'자료_거시'!$K3335,Z3352)</f>
        <v/>
      </c>
      <c r="AA3353">
        <f>IF(AND(ISNUMBER('자료_거시'!$J3335),ISNUMBER('자료_거시'!$K3335)),IFERROR('자료_거시'!$K3335/INDEX($Z$21:$Z$4020,MATCH(EDATE('자료_거시'!$J3335,-'설정'!$B$17),'자료_거시'!$J$3:INDEX('자료_거시'!$J$3:$J$4002,$K$8),1))-1,""),"")</f>
        <v/>
      </c>
      <c r="AB3353">
        <f>IF(ISNUMBER(AA3353),'자료_거시'!$J3335,"")</f>
        <v/>
      </c>
      <c r="AC3353">
        <f>IF(ISNUMBER(AB3353),IF(AB3353&gt;$L$8,AA3353,""),"")</f>
        <v/>
      </c>
    </row>
    <row r="3354">
      <c r="S3354">
        <f>IF(ISNUMBER('자료_거시'!$E3336),'자료_거시'!$E3336,S3353)</f>
        <v/>
      </c>
      <c r="T3354">
        <f>IF(AND(ISNUMBER('자료_거시'!$D3336),ISNUMBER('자료_거시'!$E3336)),IFERROR('자료_거시'!$E3336-INDEX($S$21:$S$4020,MATCH(EDATE('자료_거시'!$D3336,-'설정'!$B$17),'자료_거시'!$D$3:INDEX('자료_거시'!$D$3:$D$4002,$K$6),1)),""),"")</f>
        <v/>
      </c>
      <c r="U3354">
        <f>IF(ISNUMBER(T3354),'자료_거시'!$D3336,"")</f>
        <v/>
      </c>
      <c r="V3354">
        <f>IF(ISNUMBER(U3354),IF(U3354&gt;$L$6,T3354,""),"")</f>
        <v/>
      </c>
      <c r="W3354">
        <f>IF(AND(ISNUMBER('자료_거시'!$G3336),ISNUMBER('자료_거시'!$H3336)),'자료_거시'!$H3336,"")</f>
        <v/>
      </c>
      <c r="X3354">
        <f>IF(ISNUMBER(W3354),'자료_거시'!$G3336,"")</f>
        <v/>
      </c>
      <c r="Y3354">
        <f>IF(ISNUMBER(X3354),IF(X3354&gt;$L$7,W3354,""),"")</f>
        <v/>
      </c>
      <c r="Z3354">
        <f>IF(ISNUMBER('자료_거시'!$K3336),'자료_거시'!$K3336,Z3353)</f>
        <v/>
      </c>
      <c r="AA3354">
        <f>IF(AND(ISNUMBER('자료_거시'!$J3336),ISNUMBER('자료_거시'!$K3336)),IFERROR('자료_거시'!$K3336/INDEX($Z$21:$Z$4020,MATCH(EDATE('자료_거시'!$J3336,-'설정'!$B$17),'자료_거시'!$J$3:INDEX('자료_거시'!$J$3:$J$4002,$K$8),1))-1,""),"")</f>
        <v/>
      </c>
      <c r="AB3354">
        <f>IF(ISNUMBER(AA3354),'자료_거시'!$J3336,"")</f>
        <v/>
      </c>
      <c r="AC3354">
        <f>IF(ISNUMBER(AB3354),IF(AB3354&gt;$L$8,AA3354,""),"")</f>
        <v/>
      </c>
    </row>
    <row r="3355">
      <c r="S3355">
        <f>IF(ISNUMBER('자료_거시'!$E3337),'자료_거시'!$E3337,S3354)</f>
        <v/>
      </c>
      <c r="T3355">
        <f>IF(AND(ISNUMBER('자료_거시'!$D3337),ISNUMBER('자료_거시'!$E3337)),IFERROR('자료_거시'!$E3337-INDEX($S$21:$S$4020,MATCH(EDATE('자료_거시'!$D3337,-'설정'!$B$17),'자료_거시'!$D$3:INDEX('자료_거시'!$D$3:$D$4002,$K$6),1)),""),"")</f>
        <v/>
      </c>
      <c r="U3355">
        <f>IF(ISNUMBER(T3355),'자료_거시'!$D3337,"")</f>
        <v/>
      </c>
      <c r="V3355">
        <f>IF(ISNUMBER(U3355),IF(U3355&gt;$L$6,T3355,""),"")</f>
        <v/>
      </c>
      <c r="W3355">
        <f>IF(AND(ISNUMBER('자료_거시'!$G3337),ISNUMBER('자료_거시'!$H3337)),'자료_거시'!$H3337,"")</f>
        <v/>
      </c>
      <c r="X3355">
        <f>IF(ISNUMBER(W3355),'자료_거시'!$G3337,"")</f>
        <v/>
      </c>
      <c r="Y3355">
        <f>IF(ISNUMBER(X3355),IF(X3355&gt;$L$7,W3355,""),"")</f>
        <v/>
      </c>
      <c r="Z3355">
        <f>IF(ISNUMBER('자료_거시'!$K3337),'자료_거시'!$K3337,Z3354)</f>
        <v/>
      </c>
      <c r="AA3355">
        <f>IF(AND(ISNUMBER('자료_거시'!$J3337),ISNUMBER('자료_거시'!$K3337)),IFERROR('자료_거시'!$K3337/INDEX($Z$21:$Z$4020,MATCH(EDATE('자료_거시'!$J3337,-'설정'!$B$17),'자료_거시'!$J$3:INDEX('자료_거시'!$J$3:$J$4002,$K$8),1))-1,""),"")</f>
        <v/>
      </c>
      <c r="AB3355">
        <f>IF(ISNUMBER(AA3355),'자료_거시'!$J3337,"")</f>
        <v/>
      </c>
      <c r="AC3355">
        <f>IF(ISNUMBER(AB3355),IF(AB3355&gt;$L$8,AA3355,""),"")</f>
        <v/>
      </c>
    </row>
    <row r="3356">
      <c r="S3356">
        <f>IF(ISNUMBER('자료_거시'!$E3338),'자료_거시'!$E3338,S3355)</f>
        <v/>
      </c>
      <c r="T3356">
        <f>IF(AND(ISNUMBER('자료_거시'!$D3338),ISNUMBER('자료_거시'!$E3338)),IFERROR('자료_거시'!$E3338-INDEX($S$21:$S$4020,MATCH(EDATE('자료_거시'!$D3338,-'설정'!$B$17),'자료_거시'!$D$3:INDEX('자료_거시'!$D$3:$D$4002,$K$6),1)),""),"")</f>
        <v/>
      </c>
      <c r="U3356">
        <f>IF(ISNUMBER(T3356),'자료_거시'!$D3338,"")</f>
        <v/>
      </c>
      <c r="V3356">
        <f>IF(ISNUMBER(U3356),IF(U3356&gt;$L$6,T3356,""),"")</f>
        <v/>
      </c>
      <c r="W3356">
        <f>IF(AND(ISNUMBER('자료_거시'!$G3338),ISNUMBER('자료_거시'!$H3338)),'자료_거시'!$H3338,"")</f>
        <v/>
      </c>
      <c r="X3356">
        <f>IF(ISNUMBER(W3356),'자료_거시'!$G3338,"")</f>
        <v/>
      </c>
      <c r="Y3356">
        <f>IF(ISNUMBER(X3356),IF(X3356&gt;$L$7,W3356,""),"")</f>
        <v/>
      </c>
      <c r="Z3356">
        <f>IF(ISNUMBER('자료_거시'!$K3338),'자료_거시'!$K3338,Z3355)</f>
        <v/>
      </c>
      <c r="AA3356">
        <f>IF(AND(ISNUMBER('자료_거시'!$J3338),ISNUMBER('자료_거시'!$K3338)),IFERROR('자료_거시'!$K3338/INDEX($Z$21:$Z$4020,MATCH(EDATE('자료_거시'!$J3338,-'설정'!$B$17),'자료_거시'!$J$3:INDEX('자료_거시'!$J$3:$J$4002,$K$8),1))-1,""),"")</f>
        <v/>
      </c>
      <c r="AB3356">
        <f>IF(ISNUMBER(AA3356),'자료_거시'!$J3338,"")</f>
        <v/>
      </c>
      <c r="AC3356">
        <f>IF(ISNUMBER(AB3356),IF(AB3356&gt;$L$8,AA3356,""),"")</f>
        <v/>
      </c>
    </row>
    <row r="3357">
      <c r="S3357">
        <f>IF(ISNUMBER('자료_거시'!$E3339),'자료_거시'!$E3339,S3356)</f>
        <v/>
      </c>
      <c r="T3357">
        <f>IF(AND(ISNUMBER('자료_거시'!$D3339),ISNUMBER('자료_거시'!$E3339)),IFERROR('자료_거시'!$E3339-INDEX($S$21:$S$4020,MATCH(EDATE('자료_거시'!$D3339,-'설정'!$B$17),'자료_거시'!$D$3:INDEX('자료_거시'!$D$3:$D$4002,$K$6),1)),""),"")</f>
        <v/>
      </c>
      <c r="U3357">
        <f>IF(ISNUMBER(T3357),'자료_거시'!$D3339,"")</f>
        <v/>
      </c>
      <c r="V3357">
        <f>IF(ISNUMBER(U3357),IF(U3357&gt;$L$6,T3357,""),"")</f>
        <v/>
      </c>
      <c r="W3357">
        <f>IF(AND(ISNUMBER('자료_거시'!$G3339),ISNUMBER('자료_거시'!$H3339)),'자료_거시'!$H3339,"")</f>
        <v/>
      </c>
      <c r="X3357">
        <f>IF(ISNUMBER(W3357),'자료_거시'!$G3339,"")</f>
        <v/>
      </c>
      <c r="Y3357">
        <f>IF(ISNUMBER(X3357),IF(X3357&gt;$L$7,W3357,""),"")</f>
        <v/>
      </c>
      <c r="Z3357">
        <f>IF(ISNUMBER('자료_거시'!$K3339),'자료_거시'!$K3339,Z3356)</f>
        <v/>
      </c>
      <c r="AA3357">
        <f>IF(AND(ISNUMBER('자료_거시'!$J3339),ISNUMBER('자료_거시'!$K3339)),IFERROR('자료_거시'!$K3339/INDEX($Z$21:$Z$4020,MATCH(EDATE('자료_거시'!$J3339,-'설정'!$B$17),'자료_거시'!$J$3:INDEX('자료_거시'!$J$3:$J$4002,$K$8),1))-1,""),"")</f>
        <v/>
      </c>
      <c r="AB3357">
        <f>IF(ISNUMBER(AA3357),'자료_거시'!$J3339,"")</f>
        <v/>
      </c>
      <c r="AC3357">
        <f>IF(ISNUMBER(AB3357),IF(AB3357&gt;$L$8,AA3357,""),"")</f>
        <v/>
      </c>
    </row>
    <row r="3358">
      <c r="S3358">
        <f>IF(ISNUMBER('자료_거시'!$E3340),'자료_거시'!$E3340,S3357)</f>
        <v/>
      </c>
      <c r="T3358">
        <f>IF(AND(ISNUMBER('자료_거시'!$D3340),ISNUMBER('자료_거시'!$E3340)),IFERROR('자료_거시'!$E3340-INDEX($S$21:$S$4020,MATCH(EDATE('자료_거시'!$D3340,-'설정'!$B$17),'자료_거시'!$D$3:INDEX('자료_거시'!$D$3:$D$4002,$K$6),1)),""),"")</f>
        <v/>
      </c>
      <c r="U3358">
        <f>IF(ISNUMBER(T3358),'자료_거시'!$D3340,"")</f>
        <v/>
      </c>
      <c r="V3358">
        <f>IF(ISNUMBER(U3358),IF(U3358&gt;$L$6,T3358,""),"")</f>
        <v/>
      </c>
      <c r="W3358">
        <f>IF(AND(ISNUMBER('자료_거시'!$G3340),ISNUMBER('자료_거시'!$H3340)),'자료_거시'!$H3340,"")</f>
        <v/>
      </c>
      <c r="X3358">
        <f>IF(ISNUMBER(W3358),'자료_거시'!$G3340,"")</f>
        <v/>
      </c>
      <c r="Y3358">
        <f>IF(ISNUMBER(X3358),IF(X3358&gt;$L$7,W3358,""),"")</f>
        <v/>
      </c>
      <c r="Z3358">
        <f>IF(ISNUMBER('자료_거시'!$K3340),'자료_거시'!$K3340,Z3357)</f>
        <v/>
      </c>
      <c r="AA3358">
        <f>IF(AND(ISNUMBER('자료_거시'!$J3340),ISNUMBER('자료_거시'!$K3340)),IFERROR('자료_거시'!$K3340/INDEX($Z$21:$Z$4020,MATCH(EDATE('자료_거시'!$J3340,-'설정'!$B$17),'자료_거시'!$J$3:INDEX('자료_거시'!$J$3:$J$4002,$K$8),1))-1,""),"")</f>
        <v/>
      </c>
      <c r="AB3358">
        <f>IF(ISNUMBER(AA3358),'자료_거시'!$J3340,"")</f>
        <v/>
      </c>
      <c r="AC3358">
        <f>IF(ISNUMBER(AB3358),IF(AB3358&gt;$L$8,AA3358,""),"")</f>
        <v/>
      </c>
    </row>
    <row r="3359">
      <c r="S3359">
        <f>IF(ISNUMBER('자료_거시'!$E3341),'자료_거시'!$E3341,S3358)</f>
        <v/>
      </c>
      <c r="T3359">
        <f>IF(AND(ISNUMBER('자료_거시'!$D3341),ISNUMBER('자료_거시'!$E3341)),IFERROR('자료_거시'!$E3341-INDEX($S$21:$S$4020,MATCH(EDATE('자료_거시'!$D3341,-'설정'!$B$17),'자료_거시'!$D$3:INDEX('자료_거시'!$D$3:$D$4002,$K$6),1)),""),"")</f>
        <v/>
      </c>
      <c r="U3359">
        <f>IF(ISNUMBER(T3359),'자료_거시'!$D3341,"")</f>
        <v/>
      </c>
      <c r="V3359">
        <f>IF(ISNUMBER(U3359),IF(U3359&gt;$L$6,T3359,""),"")</f>
        <v/>
      </c>
      <c r="W3359">
        <f>IF(AND(ISNUMBER('자료_거시'!$G3341),ISNUMBER('자료_거시'!$H3341)),'자료_거시'!$H3341,"")</f>
        <v/>
      </c>
      <c r="X3359">
        <f>IF(ISNUMBER(W3359),'자료_거시'!$G3341,"")</f>
        <v/>
      </c>
      <c r="Y3359">
        <f>IF(ISNUMBER(X3359),IF(X3359&gt;$L$7,W3359,""),"")</f>
        <v/>
      </c>
      <c r="Z3359">
        <f>IF(ISNUMBER('자료_거시'!$K3341),'자료_거시'!$K3341,Z3358)</f>
        <v/>
      </c>
      <c r="AA3359">
        <f>IF(AND(ISNUMBER('자료_거시'!$J3341),ISNUMBER('자료_거시'!$K3341)),IFERROR('자료_거시'!$K3341/INDEX($Z$21:$Z$4020,MATCH(EDATE('자료_거시'!$J3341,-'설정'!$B$17),'자료_거시'!$J$3:INDEX('자료_거시'!$J$3:$J$4002,$K$8),1))-1,""),"")</f>
        <v/>
      </c>
      <c r="AB3359">
        <f>IF(ISNUMBER(AA3359),'자료_거시'!$J3341,"")</f>
        <v/>
      </c>
      <c r="AC3359">
        <f>IF(ISNUMBER(AB3359),IF(AB3359&gt;$L$8,AA3359,""),"")</f>
        <v/>
      </c>
    </row>
    <row r="3360">
      <c r="S3360">
        <f>IF(ISNUMBER('자료_거시'!$E3342),'자료_거시'!$E3342,S3359)</f>
        <v/>
      </c>
      <c r="T3360">
        <f>IF(AND(ISNUMBER('자료_거시'!$D3342),ISNUMBER('자료_거시'!$E3342)),IFERROR('자료_거시'!$E3342-INDEX($S$21:$S$4020,MATCH(EDATE('자료_거시'!$D3342,-'설정'!$B$17),'자료_거시'!$D$3:INDEX('자료_거시'!$D$3:$D$4002,$K$6),1)),""),"")</f>
        <v/>
      </c>
      <c r="U3360">
        <f>IF(ISNUMBER(T3360),'자료_거시'!$D3342,"")</f>
        <v/>
      </c>
      <c r="V3360">
        <f>IF(ISNUMBER(U3360),IF(U3360&gt;$L$6,T3360,""),"")</f>
        <v/>
      </c>
      <c r="W3360">
        <f>IF(AND(ISNUMBER('자료_거시'!$G3342),ISNUMBER('자료_거시'!$H3342)),'자료_거시'!$H3342,"")</f>
        <v/>
      </c>
      <c r="X3360">
        <f>IF(ISNUMBER(W3360),'자료_거시'!$G3342,"")</f>
        <v/>
      </c>
      <c r="Y3360">
        <f>IF(ISNUMBER(X3360),IF(X3360&gt;$L$7,W3360,""),"")</f>
        <v/>
      </c>
      <c r="Z3360">
        <f>IF(ISNUMBER('자료_거시'!$K3342),'자료_거시'!$K3342,Z3359)</f>
        <v/>
      </c>
      <c r="AA3360">
        <f>IF(AND(ISNUMBER('자료_거시'!$J3342),ISNUMBER('자료_거시'!$K3342)),IFERROR('자료_거시'!$K3342/INDEX($Z$21:$Z$4020,MATCH(EDATE('자료_거시'!$J3342,-'설정'!$B$17),'자료_거시'!$J$3:INDEX('자료_거시'!$J$3:$J$4002,$K$8),1))-1,""),"")</f>
        <v/>
      </c>
      <c r="AB3360">
        <f>IF(ISNUMBER(AA3360),'자료_거시'!$J3342,"")</f>
        <v/>
      </c>
      <c r="AC3360">
        <f>IF(ISNUMBER(AB3360),IF(AB3360&gt;$L$8,AA3360,""),"")</f>
        <v/>
      </c>
    </row>
    <row r="3361">
      <c r="S3361">
        <f>IF(ISNUMBER('자료_거시'!$E3343),'자료_거시'!$E3343,S3360)</f>
        <v/>
      </c>
      <c r="T3361">
        <f>IF(AND(ISNUMBER('자료_거시'!$D3343),ISNUMBER('자료_거시'!$E3343)),IFERROR('자료_거시'!$E3343-INDEX($S$21:$S$4020,MATCH(EDATE('자료_거시'!$D3343,-'설정'!$B$17),'자료_거시'!$D$3:INDEX('자료_거시'!$D$3:$D$4002,$K$6),1)),""),"")</f>
        <v/>
      </c>
      <c r="U3361">
        <f>IF(ISNUMBER(T3361),'자료_거시'!$D3343,"")</f>
        <v/>
      </c>
      <c r="V3361">
        <f>IF(ISNUMBER(U3361),IF(U3361&gt;$L$6,T3361,""),"")</f>
        <v/>
      </c>
      <c r="W3361">
        <f>IF(AND(ISNUMBER('자료_거시'!$G3343),ISNUMBER('자료_거시'!$H3343)),'자료_거시'!$H3343,"")</f>
        <v/>
      </c>
      <c r="X3361">
        <f>IF(ISNUMBER(W3361),'자료_거시'!$G3343,"")</f>
        <v/>
      </c>
      <c r="Y3361">
        <f>IF(ISNUMBER(X3361),IF(X3361&gt;$L$7,W3361,""),"")</f>
        <v/>
      </c>
      <c r="Z3361">
        <f>IF(ISNUMBER('자료_거시'!$K3343),'자료_거시'!$K3343,Z3360)</f>
        <v/>
      </c>
      <c r="AA3361">
        <f>IF(AND(ISNUMBER('자료_거시'!$J3343),ISNUMBER('자료_거시'!$K3343)),IFERROR('자료_거시'!$K3343/INDEX($Z$21:$Z$4020,MATCH(EDATE('자료_거시'!$J3343,-'설정'!$B$17),'자료_거시'!$J$3:INDEX('자료_거시'!$J$3:$J$4002,$K$8),1))-1,""),"")</f>
        <v/>
      </c>
      <c r="AB3361">
        <f>IF(ISNUMBER(AA3361),'자료_거시'!$J3343,"")</f>
        <v/>
      </c>
      <c r="AC3361">
        <f>IF(ISNUMBER(AB3361),IF(AB3361&gt;$L$8,AA3361,""),"")</f>
        <v/>
      </c>
    </row>
    <row r="3362">
      <c r="S3362">
        <f>IF(ISNUMBER('자료_거시'!$E3344),'자료_거시'!$E3344,S3361)</f>
        <v/>
      </c>
      <c r="T3362">
        <f>IF(AND(ISNUMBER('자료_거시'!$D3344),ISNUMBER('자료_거시'!$E3344)),IFERROR('자료_거시'!$E3344-INDEX($S$21:$S$4020,MATCH(EDATE('자료_거시'!$D3344,-'설정'!$B$17),'자료_거시'!$D$3:INDEX('자료_거시'!$D$3:$D$4002,$K$6),1)),""),"")</f>
        <v/>
      </c>
      <c r="U3362">
        <f>IF(ISNUMBER(T3362),'자료_거시'!$D3344,"")</f>
        <v/>
      </c>
      <c r="V3362">
        <f>IF(ISNUMBER(U3362),IF(U3362&gt;$L$6,T3362,""),"")</f>
        <v/>
      </c>
      <c r="W3362">
        <f>IF(AND(ISNUMBER('자료_거시'!$G3344),ISNUMBER('자료_거시'!$H3344)),'자료_거시'!$H3344,"")</f>
        <v/>
      </c>
      <c r="X3362">
        <f>IF(ISNUMBER(W3362),'자료_거시'!$G3344,"")</f>
        <v/>
      </c>
      <c r="Y3362">
        <f>IF(ISNUMBER(X3362),IF(X3362&gt;$L$7,W3362,""),"")</f>
        <v/>
      </c>
      <c r="Z3362">
        <f>IF(ISNUMBER('자료_거시'!$K3344),'자료_거시'!$K3344,Z3361)</f>
        <v/>
      </c>
      <c r="AA3362">
        <f>IF(AND(ISNUMBER('자료_거시'!$J3344),ISNUMBER('자료_거시'!$K3344)),IFERROR('자료_거시'!$K3344/INDEX($Z$21:$Z$4020,MATCH(EDATE('자료_거시'!$J3344,-'설정'!$B$17),'자료_거시'!$J$3:INDEX('자료_거시'!$J$3:$J$4002,$K$8),1))-1,""),"")</f>
        <v/>
      </c>
      <c r="AB3362">
        <f>IF(ISNUMBER(AA3362),'자료_거시'!$J3344,"")</f>
        <v/>
      </c>
      <c r="AC3362">
        <f>IF(ISNUMBER(AB3362),IF(AB3362&gt;$L$8,AA3362,""),"")</f>
        <v/>
      </c>
    </row>
    <row r="3363">
      <c r="S3363">
        <f>IF(ISNUMBER('자료_거시'!$E3345),'자료_거시'!$E3345,S3362)</f>
        <v/>
      </c>
      <c r="T3363">
        <f>IF(AND(ISNUMBER('자료_거시'!$D3345),ISNUMBER('자료_거시'!$E3345)),IFERROR('자료_거시'!$E3345-INDEX($S$21:$S$4020,MATCH(EDATE('자료_거시'!$D3345,-'설정'!$B$17),'자료_거시'!$D$3:INDEX('자료_거시'!$D$3:$D$4002,$K$6),1)),""),"")</f>
        <v/>
      </c>
      <c r="U3363">
        <f>IF(ISNUMBER(T3363),'자료_거시'!$D3345,"")</f>
        <v/>
      </c>
      <c r="V3363">
        <f>IF(ISNUMBER(U3363),IF(U3363&gt;$L$6,T3363,""),"")</f>
        <v/>
      </c>
      <c r="W3363">
        <f>IF(AND(ISNUMBER('자료_거시'!$G3345),ISNUMBER('자료_거시'!$H3345)),'자료_거시'!$H3345,"")</f>
        <v/>
      </c>
      <c r="X3363">
        <f>IF(ISNUMBER(W3363),'자료_거시'!$G3345,"")</f>
        <v/>
      </c>
      <c r="Y3363">
        <f>IF(ISNUMBER(X3363),IF(X3363&gt;$L$7,W3363,""),"")</f>
        <v/>
      </c>
      <c r="Z3363">
        <f>IF(ISNUMBER('자료_거시'!$K3345),'자료_거시'!$K3345,Z3362)</f>
        <v/>
      </c>
      <c r="AA3363">
        <f>IF(AND(ISNUMBER('자료_거시'!$J3345),ISNUMBER('자료_거시'!$K3345)),IFERROR('자료_거시'!$K3345/INDEX($Z$21:$Z$4020,MATCH(EDATE('자료_거시'!$J3345,-'설정'!$B$17),'자료_거시'!$J$3:INDEX('자료_거시'!$J$3:$J$4002,$K$8),1))-1,""),"")</f>
        <v/>
      </c>
      <c r="AB3363">
        <f>IF(ISNUMBER(AA3363),'자료_거시'!$J3345,"")</f>
        <v/>
      </c>
      <c r="AC3363">
        <f>IF(ISNUMBER(AB3363),IF(AB3363&gt;$L$8,AA3363,""),"")</f>
        <v/>
      </c>
    </row>
    <row r="3364">
      <c r="S3364">
        <f>IF(ISNUMBER('자료_거시'!$E3346),'자료_거시'!$E3346,S3363)</f>
        <v/>
      </c>
      <c r="T3364">
        <f>IF(AND(ISNUMBER('자료_거시'!$D3346),ISNUMBER('자료_거시'!$E3346)),IFERROR('자료_거시'!$E3346-INDEX($S$21:$S$4020,MATCH(EDATE('자료_거시'!$D3346,-'설정'!$B$17),'자료_거시'!$D$3:INDEX('자료_거시'!$D$3:$D$4002,$K$6),1)),""),"")</f>
        <v/>
      </c>
      <c r="U3364">
        <f>IF(ISNUMBER(T3364),'자료_거시'!$D3346,"")</f>
        <v/>
      </c>
      <c r="V3364">
        <f>IF(ISNUMBER(U3364),IF(U3364&gt;$L$6,T3364,""),"")</f>
        <v/>
      </c>
      <c r="W3364">
        <f>IF(AND(ISNUMBER('자료_거시'!$G3346),ISNUMBER('자료_거시'!$H3346)),'자료_거시'!$H3346,"")</f>
        <v/>
      </c>
      <c r="X3364">
        <f>IF(ISNUMBER(W3364),'자료_거시'!$G3346,"")</f>
        <v/>
      </c>
      <c r="Y3364">
        <f>IF(ISNUMBER(X3364),IF(X3364&gt;$L$7,W3364,""),"")</f>
        <v/>
      </c>
      <c r="Z3364">
        <f>IF(ISNUMBER('자료_거시'!$K3346),'자료_거시'!$K3346,Z3363)</f>
        <v/>
      </c>
      <c r="AA3364">
        <f>IF(AND(ISNUMBER('자료_거시'!$J3346),ISNUMBER('자료_거시'!$K3346)),IFERROR('자료_거시'!$K3346/INDEX($Z$21:$Z$4020,MATCH(EDATE('자료_거시'!$J3346,-'설정'!$B$17),'자료_거시'!$J$3:INDEX('자료_거시'!$J$3:$J$4002,$K$8),1))-1,""),"")</f>
        <v/>
      </c>
      <c r="AB3364">
        <f>IF(ISNUMBER(AA3364),'자료_거시'!$J3346,"")</f>
        <v/>
      </c>
      <c r="AC3364">
        <f>IF(ISNUMBER(AB3364),IF(AB3364&gt;$L$8,AA3364,""),"")</f>
        <v/>
      </c>
    </row>
    <row r="3365">
      <c r="S3365">
        <f>IF(ISNUMBER('자료_거시'!$E3347),'자료_거시'!$E3347,S3364)</f>
        <v/>
      </c>
      <c r="T3365">
        <f>IF(AND(ISNUMBER('자료_거시'!$D3347),ISNUMBER('자료_거시'!$E3347)),IFERROR('자료_거시'!$E3347-INDEX($S$21:$S$4020,MATCH(EDATE('자료_거시'!$D3347,-'설정'!$B$17),'자료_거시'!$D$3:INDEX('자료_거시'!$D$3:$D$4002,$K$6),1)),""),"")</f>
        <v/>
      </c>
      <c r="U3365">
        <f>IF(ISNUMBER(T3365),'자료_거시'!$D3347,"")</f>
        <v/>
      </c>
      <c r="V3365">
        <f>IF(ISNUMBER(U3365),IF(U3365&gt;$L$6,T3365,""),"")</f>
        <v/>
      </c>
      <c r="W3365">
        <f>IF(AND(ISNUMBER('자료_거시'!$G3347),ISNUMBER('자료_거시'!$H3347)),'자료_거시'!$H3347,"")</f>
        <v/>
      </c>
      <c r="X3365">
        <f>IF(ISNUMBER(W3365),'자료_거시'!$G3347,"")</f>
        <v/>
      </c>
      <c r="Y3365">
        <f>IF(ISNUMBER(X3365),IF(X3365&gt;$L$7,W3365,""),"")</f>
        <v/>
      </c>
      <c r="Z3365">
        <f>IF(ISNUMBER('자료_거시'!$K3347),'자료_거시'!$K3347,Z3364)</f>
        <v/>
      </c>
      <c r="AA3365">
        <f>IF(AND(ISNUMBER('자료_거시'!$J3347),ISNUMBER('자료_거시'!$K3347)),IFERROR('자료_거시'!$K3347/INDEX($Z$21:$Z$4020,MATCH(EDATE('자료_거시'!$J3347,-'설정'!$B$17),'자료_거시'!$J$3:INDEX('자료_거시'!$J$3:$J$4002,$K$8),1))-1,""),"")</f>
        <v/>
      </c>
      <c r="AB3365">
        <f>IF(ISNUMBER(AA3365),'자료_거시'!$J3347,"")</f>
        <v/>
      </c>
      <c r="AC3365">
        <f>IF(ISNUMBER(AB3365),IF(AB3365&gt;$L$8,AA3365,""),"")</f>
        <v/>
      </c>
    </row>
    <row r="3366">
      <c r="S3366">
        <f>IF(ISNUMBER('자료_거시'!$E3348),'자료_거시'!$E3348,S3365)</f>
        <v/>
      </c>
      <c r="T3366">
        <f>IF(AND(ISNUMBER('자료_거시'!$D3348),ISNUMBER('자료_거시'!$E3348)),IFERROR('자료_거시'!$E3348-INDEX($S$21:$S$4020,MATCH(EDATE('자료_거시'!$D3348,-'설정'!$B$17),'자료_거시'!$D$3:INDEX('자료_거시'!$D$3:$D$4002,$K$6),1)),""),"")</f>
        <v/>
      </c>
      <c r="U3366">
        <f>IF(ISNUMBER(T3366),'자료_거시'!$D3348,"")</f>
        <v/>
      </c>
      <c r="V3366">
        <f>IF(ISNUMBER(U3366),IF(U3366&gt;$L$6,T3366,""),"")</f>
        <v/>
      </c>
      <c r="W3366">
        <f>IF(AND(ISNUMBER('자료_거시'!$G3348),ISNUMBER('자료_거시'!$H3348)),'자료_거시'!$H3348,"")</f>
        <v/>
      </c>
      <c r="X3366">
        <f>IF(ISNUMBER(W3366),'자료_거시'!$G3348,"")</f>
        <v/>
      </c>
      <c r="Y3366">
        <f>IF(ISNUMBER(X3366),IF(X3366&gt;$L$7,W3366,""),"")</f>
        <v/>
      </c>
      <c r="Z3366">
        <f>IF(ISNUMBER('자료_거시'!$K3348),'자료_거시'!$K3348,Z3365)</f>
        <v/>
      </c>
      <c r="AA3366">
        <f>IF(AND(ISNUMBER('자료_거시'!$J3348),ISNUMBER('자료_거시'!$K3348)),IFERROR('자료_거시'!$K3348/INDEX($Z$21:$Z$4020,MATCH(EDATE('자료_거시'!$J3348,-'설정'!$B$17),'자료_거시'!$J$3:INDEX('자료_거시'!$J$3:$J$4002,$K$8),1))-1,""),"")</f>
        <v/>
      </c>
      <c r="AB3366">
        <f>IF(ISNUMBER(AA3366),'자료_거시'!$J3348,"")</f>
        <v/>
      </c>
      <c r="AC3366">
        <f>IF(ISNUMBER(AB3366),IF(AB3366&gt;$L$8,AA3366,""),"")</f>
        <v/>
      </c>
    </row>
    <row r="3367">
      <c r="S3367">
        <f>IF(ISNUMBER('자료_거시'!$E3349),'자료_거시'!$E3349,S3366)</f>
        <v/>
      </c>
      <c r="T3367">
        <f>IF(AND(ISNUMBER('자료_거시'!$D3349),ISNUMBER('자료_거시'!$E3349)),IFERROR('자료_거시'!$E3349-INDEX($S$21:$S$4020,MATCH(EDATE('자료_거시'!$D3349,-'설정'!$B$17),'자료_거시'!$D$3:INDEX('자료_거시'!$D$3:$D$4002,$K$6),1)),""),"")</f>
        <v/>
      </c>
      <c r="U3367">
        <f>IF(ISNUMBER(T3367),'자료_거시'!$D3349,"")</f>
        <v/>
      </c>
      <c r="V3367">
        <f>IF(ISNUMBER(U3367),IF(U3367&gt;$L$6,T3367,""),"")</f>
        <v/>
      </c>
      <c r="W3367">
        <f>IF(AND(ISNUMBER('자료_거시'!$G3349),ISNUMBER('자료_거시'!$H3349)),'자료_거시'!$H3349,"")</f>
        <v/>
      </c>
      <c r="X3367">
        <f>IF(ISNUMBER(W3367),'자료_거시'!$G3349,"")</f>
        <v/>
      </c>
      <c r="Y3367">
        <f>IF(ISNUMBER(X3367),IF(X3367&gt;$L$7,W3367,""),"")</f>
        <v/>
      </c>
      <c r="Z3367">
        <f>IF(ISNUMBER('자료_거시'!$K3349),'자료_거시'!$K3349,Z3366)</f>
        <v/>
      </c>
      <c r="AA3367">
        <f>IF(AND(ISNUMBER('자료_거시'!$J3349),ISNUMBER('자료_거시'!$K3349)),IFERROR('자료_거시'!$K3349/INDEX($Z$21:$Z$4020,MATCH(EDATE('자료_거시'!$J3349,-'설정'!$B$17),'자료_거시'!$J$3:INDEX('자료_거시'!$J$3:$J$4002,$K$8),1))-1,""),"")</f>
        <v/>
      </c>
      <c r="AB3367">
        <f>IF(ISNUMBER(AA3367),'자료_거시'!$J3349,"")</f>
        <v/>
      </c>
      <c r="AC3367">
        <f>IF(ISNUMBER(AB3367),IF(AB3367&gt;$L$8,AA3367,""),"")</f>
        <v/>
      </c>
    </row>
    <row r="3368">
      <c r="S3368">
        <f>IF(ISNUMBER('자료_거시'!$E3350),'자료_거시'!$E3350,S3367)</f>
        <v/>
      </c>
      <c r="T3368">
        <f>IF(AND(ISNUMBER('자료_거시'!$D3350),ISNUMBER('자료_거시'!$E3350)),IFERROR('자료_거시'!$E3350-INDEX($S$21:$S$4020,MATCH(EDATE('자료_거시'!$D3350,-'설정'!$B$17),'자료_거시'!$D$3:INDEX('자료_거시'!$D$3:$D$4002,$K$6),1)),""),"")</f>
        <v/>
      </c>
      <c r="U3368">
        <f>IF(ISNUMBER(T3368),'자료_거시'!$D3350,"")</f>
        <v/>
      </c>
      <c r="V3368">
        <f>IF(ISNUMBER(U3368),IF(U3368&gt;$L$6,T3368,""),"")</f>
        <v/>
      </c>
      <c r="W3368">
        <f>IF(AND(ISNUMBER('자료_거시'!$G3350),ISNUMBER('자료_거시'!$H3350)),'자료_거시'!$H3350,"")</f>
        <v/>
      </c>
      <c r="X3368">
        <f>IF(ISNUMBER(W3368),'자료_거시'!$G3350,"")</f>
        <v/>
      </c>
      <c r="Y3368">
        <f>IF(ISNUMBER(X3368),IF(X3368&gt;$L$7,W3368,""),"")</f>
        <v/>
      </c>
      <c r="Z3368">
        <f>IF(ISNUMBER('자료_거시'!$K3350),'자료_거시'!$K3350,Z3367)</f>
        <v/>
      </c>
      <c r="AA3368">
        <f>IF(AND(ISNUMBER('자료_거시'!$J3350),ISNUMBER('자료_거시'!$K3350)),IFERROR('자료_거시'!$K3350/INDEX($Z$21:$Z$4020,MATCH(EDATE('자료_거시'!$J3350,-'설정'!$B$17),'자료_거시'!$J$3:INDEX('자료_거시'!$J$3:$J$4002,$K$8),1))-1,""),"")</f>
        <v/>
      </c>
      <c r="AB3368">
        <f>IF(ISNUMBER(AA3368),'자료_거시'!$J3350,"")</f>
        <v/>
      </c>
      <c r="AC3368">
        <f>IF(ISNUMBER(AB3368),IF(AB3368&gt;$L$8,AA3368,""),"")</f>
        <v/>
      </c>
    </row>
    <row r="3369">
      <c r="S3369">
        <f>IF(ISNUMBER('자료_거시'!$E3351),'자료_거시'!$E3351,S3368)</f>
        <v/>
      </c>
      <c r="T3369">
        <f>IF(AND(ISNUMBER('자료_거시'!$D3351),ISNUMBER('자료_거시'!$E3351)),IFERROR('자료_거시'!$E3351-INDEX($S$21:$S$4020,MATCH(EDATE('자료_거시'!$D3351,-'설정'!$B$17),'자료_거시'!$D$3:INDEX('자료_거시'!$D$3:$D$4002,$K$6),1)),""),"")</f>
        <v/>
      </c>
      <c r="U3369">
        <f>IF(ISNUMBER(T3369),'자료_거시'!$D3351,"")</f>
        <v/>
      </c>
      <c r="V3369">
        <f>IF(ISNUMBER(U3369),IF(U3369&gt;$L$6,T3369,""),"")</f>
        <v/>
      </c>
      <c r="W3369">
        <f>IF(AND(ISNUMBER('자료_거시'!$G3351),ISNUMBER('자료_거시'!$H3351)),'자료_거시'!$H3351,"")</f>
        <v/>
      </c>
      <c r="X3369">
        <f>IF(ISNUMBER(W3369),'자료_거시'!$G3351,"")</f>
        <v/>
      </c>
      <c r="Y3369">
        <f>IF(ISNUMBER(X3369),IF(X3369&gt;$L$7,W3369,""),"")</f>
        <v/>
      </c>
      <c r="Z3369">
        <f>IF(ISNUMBER('자료_거시'!$K3351),'자료_거시'!$K3351,Z3368)</f>
        <v/>
      </c>
      <c r="AA3369">
        <f>IF(AND(ISNUMBER('자료_거시'!$J3351),ISNUMBER('자료_거시'!$K3351)),IFERROR('자료_거시'!$K3351/INDEX($Z$21:$Z$4020,MATCH(EDATE('자료_거시'!$J3351,-'설정'!$B$17),'자료_거시'!$J$3:INDEX('자료_거시'!$J$3:$J$4002,$K$8),1))-1,""),"")</f>
        <v/>
      </c>
      <c r="AB3369">
        <f>IF(ISNUMBER(AA3369),'자료_거시'!$J3351,"")</f>
        <v/>
      </c>
      <c r="AC3369">
        <f>IF(ISNUMBER(AB3369),IF(AB3369&gt;$L$8,AA3369,""),"")</f>
        <v/>
      </c>
    </row>
    <row r="3370">
      <c r="S3370">
        <f>IF(ISNUMBER('자료_거시'!$E3352),'자료_거시'!$E3352,S3369)</f>
        <v/>
      </c>
      <c r="T3370">
        <f>IF(AND(ISNUMBER('자료_거시'!$D3352),ISNUMBER('자료_거시'!$E3352)),IFERROR('자료_거시'!$E3352-INDEX($S$21:$S$4020,MATCH(EDATE('자료_거시'!$D3352,-'설정'!$B$17),'자료_거시'!$D$3:INDEX('자료_거시'!$D$3:$D$4002,$K$6),1)),""),"")</f>
        <v/>
      </c>
      <c r="U3370">
        <f>IF(ISNUMBER(T3370),'자료_거시'!$D3352,"")</f>
        <v/>
      </c>
      <c r="V3370">
        <f>IF(ISNUMBER(U3370),IF(U3370&gt;$L$6,T3370,""),"")</f>
        <v/>
      </c>
      <c r="W3370">
        <f>IF(AND(ISNUMBER('자료_거시'!$G3352),ISNUMBER('자료_거시'!$H3352)),'자료_거시'!$H3352,"")</f>
        <v/>
      </c>
      <c r="X3370">
        <f>IF(ISNUMBER(W3370),'자료_거시'!$G3352,"")</f>
        <v/>
      </c>
      <c r="Y3370">
        <f>IF(ISNUMBER(X3370),IF(X3370&gt;$L$7,W3370,""),"")</f>
        <v/>
      </c>
      <c r="Z3370">
        <f>IF(ISNUMBER('자료_거시'!$K3352),'자료_거시'!$K3352,Z3369)</f>
        <v/>
      </c>
      <c r="AA3370">
        <f>IF(AND(ISNUMBER('자료_거시'!$J3352),ISNUMBER('자료_거시'!$K3352)),IFERROR('자료_거시'!$K3352/INDEX($Z$21:$Z$4020,MATCH(EDATE('자료_거시'!$J3352,-'설정'!$B$17),'자료_거시'!$J$3:INDEX('자료_거시'!$J$3:$J$4002,$K$8),1))-1,""),"")</f>
        <v/>
      </c>
      <c r="AB3370">
        <f>IF(ISNUMBER(AA3370),'자료_거시'!$J3352,"")</f>
        <v/>
      </c>
      <c r="AC3370">
        <f>IF(ISNUMBER(AB3370),IF(AB3370&gt;$L$8,AA3370,""),"")</f>
        <v/>
      </c>
    </row>
    <row r="3371">
      <c r="S3371">
        <f>IF(ISNUMBER('자료_거시'!$E3353),'자료_거시'!$E3353,S3370)</f>
        <v/>
      </c>
      <c r="T3371">
        <f>IF(AND(ISNUMBER('자료_거시'!$D3353),ISNUMBER('자료_거시'!$E3353)),IFERROR('자료_거시'!$E3353-INDEX($S$21:$S$4020,MATCH(EDATE('자료_거시'!$D3353,-'설정'!$B$17),'자료_거시'!$D$3:INDEX('자료_거시'!$D$3:$D$4002,$K$6),1)),""),"")</f>
        <v/>
      </c>
      <c r="U3371">
        <f>IF(ISNUMBER(T3371),'자료_거시'!$D3353,"")</f>
        <v/>
      </c>
      <c r="V3371">
        <f>IF(ISNUMBER(U3371),IF(U3371&gt;$L$6,T3371,""),"")</f>
        <v/>
      </c>
      <c r="W3371">
        <f>IF(AND(ISNUMBER('자료_거시'!$G3353),ISNUMBER('자료_거시'!$H3353)),'자료_거시'!$H3353,"")</f>
        <v/>
      </c>
      <c r="X3371">
        <f>IF(ISNUMBER(W3371),'자료_거시'!$G3353,"")</f>
        <v/>
      </c>
      <c r="Y3371">
        <f>IF(ISNUMBER(X3371),IF(X3371&gt;$L$7,W3371,""),"")</f>
        <v/>
      </c>
      <c r="Z3371">
        <f>IF(ISNUMBER('자료_거시'!$K3353),'자료_거시'!$K3353,Z3370)</f>
        <v/>
      </c>
      <c r="AA3371">
        <f>IF(AND(ISNUMBER('자료_거시'!$J3353),ISNUMBER('자료_거시'!$K3353)),IFERROR('자료_거시'!$K3353/INDEX($Z$21:$Z$4020,MATCH(EDATE('자료_거시'!$J3353,-'설정'!$B$17),'자료_거시'!$J$3:INDEX('자료_거시'!$J$3:$J$4002,$K$8),1))-1,""),"")</f>
        <v/>
      </c>
      <c r="AB3371">
        <f>IF(ISNUMBER(AA3371),'자료_거시'!$J3353,"")</f>
        <v/>
      </c>
      <c r="AC3371">
        <f>IF(ISNUMBER(AB3371),IF(AB3371&gt;$L$8,AA3371,""),"")</f>
        <v/>
      </c>
    </row>
    <row r="3372">
      <c r="S3372">
        <f>IF(ISNUMBER('자료_거시'!$E3354),'자료_거시'!$E3354,S3371)</f>
        <v/>
      </c>
      <c r="T3372">
        <f>IF(AND(ISNUMBER('자료_거시'!$D3354),ISNUMBER('자료_거시'!$E3354)),IFERROR('자료_거시'!$E3354-INDEX($S$21:$S$4020,MATCH(EDATE('자료_거시'!$D3354,-'설정'!$B$17),'자료_거시'!$D$3:INDEX('자료_거시'!$D$3:$D$4002,$K$6),1)),""),"")</f>
        <v/>
      </c>
      <c r="U3372">
        <f>IF(ISNUMBER(T3372),'자료_거시'!$D3354,"")</f>
        <v/>
      </c>
      <c r="V3372">
        <f>IF(ISNUMBER(U3372),IF(U3372&gt;$L$6,T3372,""),"")</f>
        <v/>
      </c>
      <c r="W3372">
        <f>IF(AND(ISNUMBER('자료_거시'!$G3354),ISNUMBER('자료_거시'!$H3354)),'자료_거시'!$H3354,"")</f>
        <v/>
      </c>
      <c r="X3372">
        <f>IF(ISNUMBER(W3372),'자료_거시'!$G3354,"")</f>
        <v/>
      </c>
      <c r="Y3372">
        <f>IF(ISNUMBER(X3372),IF(X3372&gt;$L$7,W3372,""),"")</f>
        <v/>
      </c>
      <c r="Z3372">
        <f>IF(ISNUMBER('자료_거시'!$K3354),'자료_거시'!$K3354,Z3371)</f>
        <v/>
      </c>
      <c r="AA3372">
        <f>IF(AND(ISNUMBER('자료_거시'!$J3354),ISNUMBER('자료_거시'!$K3354)),IFERROR('자료_거시'!$K3354/INDEX($Z$21:$Z$4020,MATCH(EDATE('자료_거시'!$J3354,-'설정'!$B$17),'자료_거시'!$J$3:INDEX('자료_거시'!$J$3:$J$4002,$K$8),1))-1,""),"")</f>
        <v/>
      </c>
      <c r="AB3372">
        <f>IF(ISNUMBER(AA3372),'자료_거시'!$J3354,"")</f>
        <v/>
      </c>
      <c r="AC3372">
        <f>IF(ISNUMBER(AB3372),IF(AB3372&gt;$L$8,AA3372,""),"")</f>
        <v/>
      </c>
    </row>
    <row r="3373">
      <c r="S3373">
        <f>IF(ISNUMBER('자료_거시'!$E3355),'자료_거시'!$E3355,S3372)</f>
        <v/>
      </c>
      <c r="T3373">
        <f>IF(AND(ISNUMBER('자료_거시'!$D3355),ISNUMBER('자료_거시'!$E3355)),IFERROR('자료_거시'!$E3355-INDEX($S$21:$S$4020,MATCH(EDATE('자료_거시'!$D3355,-'설정'!$B$17),'자료_거시'!$D$3:INDEX('자료_거시'!$D$3:$D$4002,$K$6),1)),""),"")</f>
        <v/>
      </c>
      <c r="U3373">
        <f>IF(ISNUMBER(T3373),'자료_거시'!$D3355,"")</f>
        <v/>
      </c>
      <c r="V3373">
        <f>IF(ISNUMBER(U3373),IF(U3373&gt;$L$6,T3373,""),"")</f>
        <v/>
      </c>
      <c r="W3373">
        <f>IF(AND(ISNUMBER('자료_거시'!$G3355),ISNUMBER('자료_거시'!$H3355)),'자료_거시'!$H3355,"")</f>
        <v/>
      </c>
      <c r="X3373">
        <f>IF(ISNUMBER(W3373),'자료_거시'!$G3355,"")</f>
        <v/>
      </c>
      <c r="Y3373">
        <f>IF(ISNUMBER(X3373),IF(X3373&gt;$L$7,W3373,""),"")</f>
        <v/>
      </c>
      <c r="Z3373">
        <f>IF(ISNUMBER('자료_거시'!$K3355),'자료_거시'!$K3355,Z3372)</f>
        <v/>
      </c>
      <c r="AA3373">
        <f>IF(AND(ISNUMBER('자료_거시'!$J3355),ISNUMBER('자료_거시'!$K3355)),IFERROR('자료_거시'!$K3355/INDEX($Z$21:$Z$4020,MATCH(EDATE('자료_거시'!$J3355,-'설정'!$B$17),'자료_거시'!$J$3:INDEX('자료_거시'!$J$3:$J$4002,$K$8),1))-1,""),"")</f>
        <v/>
      </c>
      <c r="AB3373">
        <f>IF(ISNUMBER(AA3373),'자료_거시'!$J3355,"")</f>
        <v/>
      </c>
      <c r="AC3373">
        <f>IF(ISNUMBER(AB3373),IF(AB3373&gt;$L$8,AA3373,""),"")</f>
        <v/>
      </c>
    </row>
    <row r="3374">
      <c r="S3374">
        <f>IF(ISNUMBER('자료_거시'!$E3356),'자료_거시'!$E3356,S3373)</f>
        <v/>
      </c>
      <c r="T3374">
        <f>IF(AND(ISNUMBER('자료_거시'!$D3356),ISNUMBER('자료_거시'!$E3356)),IFERROR('자료_거시'!$E3356-INDEX($S$21:$S$4020,MATCH(EDATE('자료_거시'!$D3356,-'설정'!$B$17),'자료_거시'!$D$3:INDEX('자료_거시'!$D$3:$D$4002,$K$6),1)),""),"")</f>
        <v/>
      </c>
      <c r="U3374">
        <f>IF(ISNUMBER(T3374),'자료_거시'!$D3356,"")</f>
        <v/>
      </c>
      <c r="V3374">
        <f>IF(ISNUMBER(U3374),IF(U3374&gt;$L$6,T3374,""),"")</f>
        <v/>
      </c>
      <c r="W3374">
        <f>IF(AND(ISNUMBER('자료_거시'!$G3356),ISNUMBER('자료_거시'!$H3356)),'자료_거시'!$H3356,"")</f>
        <v/>
      </c>
      <c r="X3374">
        <f>IF(ISNUMBER(W3374),'자료_거시'!$G3356,"")</f>
        <v/>
      </c>
      <c r="Y3374">
        <f>IF(ISNUMBER(X3374),IF(X3374&gt;$L$7,W3374,""),"")</f>
        <v/>
      </c>
      <c r="Z3374">
        <f>IF(ISNUMBER('자료_거시'!$K3356),'자료_거시'!$K3356,Z3373)</f>
        <v/>
      </c>
      <c r="AA3374">
        <f>IF(AND(ISNUMBER('자료_거시'!$J3356),ISNUMBER('자료_거시'!$K3356)),IFERROR('자료_거시'!$K3356/INDEX($Z$21:$Z$4020,MATCH(EDATE('자료_거시'!$J3356,-'설정'!$B$17),'자료_거시'!$J$3:INDEX('자료_거시'!$J$3:$J$4002,$K$8),1))-1,""),"")</f>
        <v/>
      </c>
      <c r="AB3374">
        <f>IF(ISNUMBER(AA3374),'자료_거시'!$J3356,"")</f>
        <v/>
      </c>
      <c r="AC3374">
        <f>IF(ISNUMBER(AB3374),IF(AB3374&gt;$L$8,AA3374,""),"")</f>
        <v/>
      </c>
    </row>
    <row r="3375">
      <c r="S3375">
        <f>IF(ISNUMBER('자료_거시'!$E3357),'자료_거시'!$E3357,S3374)</f>
        <v/>
      </c>
      <c r="T3375">
        <f>IF(AND(ISNUMBER('자료_거시'!$D3357),ISNUMBER('자료_거시'!$E3357)),IFERROR('자료_거시'!$E3357-INDEX($S$21:$S$4020,MATCH(EDATE('자료_거시'!$D3357,-'설정'!$B$17),'자료_거시'!$D$3:INDEX('자료_거시'!$D$3:$D$4002,$K$6),1)),""),"")</f>
        <v/>
      </c>
      <c r="U3375">
        <f>IF(ISNUMBER(T3375),'자료_거시'!$D3357,"")</f>
        <v/>
      </c>
      <c r="V3375">
        <f>IF(ISNUMBER(U3375),IF(U3375&gt;$L$6,T3375,""),"")</f>
        <v/>
      </c>
      <c r="W3375">
        <f>IF(AND(ISNUMBER('자료_거시'!$G3357),ISNUMBER('자료_거시'!$H3357)),'자료_거시'!$H3357,"")</f>
        <v/>
      </c>
      <c r="X3375">
        <f>IF(ISNUMBER(W3375),'자료_거시'!$G3357,"")</f>
        <v/>
      </c>
      <c r="Y3375">
        <f>IF(ISNUMBER(X3375),IF(X3375&gt;$L$7,W3375,""),"")</f>
        <v/>
      </c>
      <c r="Z3375">
        <f>IF(ISNUMBER('자료_거시'!$K3357),'자료_거시'!$K3357,Z3374)</f>
        <v/>
      </c>
      <c r="AA3375">
        <f>IF(AND(ISNUMBER('자료_거시'!$J3357),ISNUMBER('자료_거시'!$K3357)),IFERROR('자료_거시'!$K3357/INDEX($Z$21:$Z$4020,MATCH(EDATE('자료_거시'!$J3357,-'설정'!$B$17),'자료_거시'!$J$3:INDEX('자료_거시'!$J$3:$J$4002,$K$8),1))-1,""),"")</f>
        <v/>
      </c>
      <c r="AB3375">
        <f>IF(ISNUMBER(AA3375),'자료_거시'!$J3357,"")</f>
        <v/>
      </c>
      <c r="AC3375">
        <f>IF(ISNUMBER(AB3375),IF(AB3375&gt;$L$8,AA3375,""),"")</f>
        <v/>
      </c>
    </row>
    <row r="3376">
      <c r="S3376">
        <f>IF(ISNUMBER('자료_거시'!$E3358),'자료_거시'!$E3358,S3375)</f>
        <v/>
      </c>
      <c r="T3376">
        <f>IF(AND(ISNUMBER('자료_거시'!$D3358),ISNUMBER('자료_거시'!$E3358)),IFERROR('자료_거시'!$E3358-INDEX($S$21:$S$4020,MATCH(EDATE('자료_거시'!$D3358,-'설정'!$B$17),'자료_거시'!$D$3:INDEX('자료_거시'!$D$3:$D$4002,$K$6),1)),""),"")</f>
        <v/>
      </c>
      <c r="U3376">
        <f>IF(ISNUMBER(T3376),'자료_거시'!$D3358,"")</f>
        <v/>
      </c>
      <c r="V3376">
        <f>IF(ISNUMBER(U3376),IF(U3376&gt;$L$6,T3376,""),"")</f>
        <v/>
      </c>
      <c r="W3376">
        <f>IF(AND(ISNUMBER('자료_거시'!$G3358),ISNUMBER('자료_거시'!$H3358)),'자료_거시'!$H3358,"")</f>
        <v/>
      </c>
      <c r="X3376">
        <f>IF(ISNUMBER(W3376),'자료_거시'!$G3358,"")</f>
        <v/>
      </c>
      <c r="Y3376">
        <f>IF(ISNUMBER(X3376),IF(X3376&gt;$L$7,W3376,""),"")</f>
        <v/>
      </c>
      <c r="Z3376">
        <f>IF(ISNUMBER('자료_거시'!$K3358),'자료_거시'!$K3358,Z3375)</f>
        <v/>
      </c>
      <c r="AA3376">
        <f>IF(AND(ISNUMBER('자료_거시'!$J3358),ISNUMBER('자료_거시'!$K3358)),IFERROR('자료_거시'!$K3358/INDEX($Z$21:$Z$4020,MATCH(EDATE('자료_거시'!$J3358,-'설정'!$B$17),'자료_거시'!$J$3:INDEX('자료_거시'!$J$3:$J$4002,$K$8),1))-1,""),"")</f>
        <v/>
      </c>
      <c r="AB3376">
        <f>IF(ISNUMBER(AA3376),'자료_거시'!$J3358,"")</f>
        <v/>
      </c>
      <c r="AC3376">
        <f>IF(ISNUMBER(AB3376),IF(AB3376&gt;$L$8,AA3376,""),"")</f>
        <v/>
      </c>
    </row>
    <row r="3377">
      <c r="S3377">
        <f>IF(ISNUMBER('자료_거시'!$E3359),'자료_거시'!$E3359,S3376)</f>
        <v/>
      </c>
      <c r="T3377">
        <f>IF(AND(ISNUMBER('자료_거시'!$D3359),ISNUMBER('자료_거시'!$E3359)),IFERROR('자료_거시'!$E3359-INDEX($S$21:$S$4020,MATCH(EDATE('자료_거시'!$D3359,-'설정'!$B$17),'자료_거시'!$D$3:INDEX('자료_거시'!$D$3:$D$4002,$K$6),1)),""),"")</f>
        <v/>
      </c>
      <c r="U3377">
        <f>IF(ISNUMBER(T3377),'자료_거시'!$D3359,"")</f>
        <v/>
      </c>
      <c r="V3377">
        <f>IF(ISNUMBER(U3377),IF(U3377&gt;$L$6,T3377,""),"")</f>
        <v/>
      </c>
      <c r="W3377">
        <f>IF(AND(ISNUMBER('자료_거시'!$G3359),ISNUMBER('자료_거시'!$H3359)),'자료_거시'!$H3359,"")</f>
        <v/>
      </c>
      <c r="X3377">
        <f>IF(ISNUMBER(W3377),'자료_거시'!$G3359,"")</f>
        <v/>
      </c>
      <c r="Y3377">
        <f>IF(ISNUMBER(X3377),IF(X3377&gt;$L$7,W3377,""),"")</f>
        <v/>
      </c>
      <c r="Z3377">
        <f>IF(ISNUMBER('자료_거시'!$K3359),'자료_거시'!$K3359,Z3376)</f>
        <v/>
      </c>
      <c r="AA3377">
        <f>IF(AND(ISNUMBER('자료_거시'!$J3359),ISNUMBER('자료_거시'!$K3359)),IFERROR('자료_거시'!$K3359/INDEX($Z$21:$Z$4020,MATCH(EDATE('자료_거시'!$J3359,-'설정'!$B$17),'자료_거시'!$J$3:INDEX('자료_거시'!$J$3:$J$4002,$K$8),1))-1,""),"")</f>
        <v/>
      </c>
      <c r="AB3377">
        <f>IF(ISNUMBER(AA3377),'자료_거시'!$J3359,"")</f>
        <v/>
      </c>
      <c r="AC3377">
        <f>IF(ISNUMBER(AB3377),IF(AB3377&gt;$L$8,AA3377,""),"")</f>
        <v/>
      </c>
    </row>
    <row r="3378">
      <c r="S3378">
        <f>IF(ISNUMBER('자료_거시'!$E3360),'자료_거시'!$E3360,S3377)</f>
        <v/>
      </c>
      <c r="T3378">
        <f>IF(AND(ISNUMBER('자료_거시'!$D3360),ISNUMBER('자료_거시'!$E3360)),IFERROR('자료_거시'!$E3360-INDEX($S$21:$S$4020,MATCH(EDATE('자료_거시'!$D3360,-'설정'!$B$17),'자료_거시'!$D$3:INDEX('자료_거시'!$D$3:$D$4002,$K$6),1)),""),"")</f>
        <v/>
      </c>
      <c r="U3378">
        <f>IF(ISNUMBER(T3378),'자료_거시'!$D3360,"")</f>
        <v/>
      </c>
      <c r="V3378">
        <f>IF(ISNUMBER(U3378),IF(U3378&gt;$L$6,T3378,""),"")</f>
        <v/>
      </c>
      <c r="W3378">
        <f>IF(AND(ISNUMBER('자료_거시'!$G3360),ISNUMBER('자료_거시'!$H3360)),'자료_거시'!$H3360,"")</f>
        <v/>
      </c>
      <c r="X3378">
        <f>IF(ISNUMBER(W3378),'자료_거시'!$G3360,"")</f>
        <v/>
      </c>
      <c r="Y3378">
        <f>IF(ISNUMBER(X3378),IF(X3378&gt;$L$7,W3378,""),"")</f>
        <v/>
      </c>
      <c r="Z3378">
        <f>IF(ISNUMBER('자료_거시'!$K3360),'자료_거시'!$K3360,Z3377)</f>
        <v/>
      </c>
      <c r="AA3378">
        <f>IF(AND(ISNUMBER('자료_거시'!$J3360),ISNUMBER('자료_거시'!$K3360)),IFERROR('자료_거시'!$K3360/INDEX($Z$21:$Z$4020,MATCH(EDATE('자료_거시'!$J3360,-'설정'!$B$17),'자료_거시'!$J$3:INDEX('자료_거시'!$J$3:$J$4002,$K$8),1))-1,""),"")</f>
        <v/>
      </c>
      <c r="AB3378">
        <f>IF(ISNUMBER(AA3378),'자료_거시'!$J3360,"")</f>
        <v/>
      </c>
      <c r="AC3378">
        <f>IF(ISNUMBER(AB3378),IF(AB3378&gt;$L$8,AA3378,""),"")</f>
        <v/>
      </c>
    </row>
    <row r="3379">
      <c r="S3379">
        <f>IF(ISNUMBER('자료_거시'!$E3361),'자료_거시'!$E3361,S3378)</f>
        <v/>
      </c>
      <c r="T3379">
        <f>IF(AND(ISNUMBER('자료_거시'!$D3361),ISNUMBER('자료_거시'!$E3361)),IFERROR('자료_거시'!$E3361-INDEX($S$21:$S$4020,MATCH(EDATE('자료_거시'!$D3361,-'설정'!$B$17),'자료_거시'!$D$3:INDEX('자료_거시'!$D$3:$D$4002,$K$6),1)),""),"")</f>
        <v/>
      </c>
      <c r="U3379">
        <f>IF(ISNUMBER(T3379),'자료_거시'!$D3361,"")</f>
        <v/>
      </c>
      <c r="V3379">
        <f>IF(ISNUMBER(U3379),IF(U3379&gt;$L$6,T3379,""),"")</f>
        <v/>
      </c>
      <c r="W3379">
        <f>IF(AND(ISNUMBER('자료_거시'!$G3361),ISNUMBER('자료_거시'!$H3361)),'자료_거시'!$H3361,"")</f>
        <v/>
      </c>
      <c r="X3379">
        <f>IF(ISNUMBER(W3379),'자료_거시'!$G3361,"")</f>
        <v/>
      </c>
      <c r="Y3379">
        <f>IF(ISNUMBER(X3379),IF(X3379&gt;$L$7,W3379,""),"")</f>
        <v/>
      </c>
      <c r="Z3379">
        <f>IF(ISNUMBER('자료_거시'!$K3361),'자료_거시'!$K3361,Z3378)</f>
        <v/>
      </c>
      <c r="AA3379">
        <f>IF(AND(ISNUMBER('자료_거시'!$J3361),ISNUMBER('자료_거시'!$K3361)),IFERROR('자료_거시'!$K3361/INDEX($Z$21:$Z$4020,MATCH(EDATE('자료_거시'!$J3361,-'설정'!$B$17),'자료_거시'!$J$3:INDEX('자료_거시'!$J$3:$J$4002,$K$8),1))-1,""),"")</f>
        <v/>
      </c>
      <c r="AB3379">
        <f>IF(ISNUMBER(AA3379),'자료_거시'!$J3361,"")</f>
        <v/>
      </c>
      <c r="AC3379">
        <f>IF(ISNUMBER(AB3379),IF(AB3379&gt;$L$8,AA3379,""),"")</f>
        <v/>
      </c>
    </row>
    <row r="3380">
      <c r="S3380">
        <f>IF(ISNUMBER('자료_거시'!$E3362),'자료_거시'!$E3362,S3379)</f>
        <v/>
      </c>
      <c r="T3380">
        <f>IF(AND(ISNUMBER('자료_거시'!$D3362),ISNUMBER('자료_거시'!$E3362)),IFERROR('자료_거시'!$E3362-INDEX($S$21:$S$4020,MATCH(EDATE('자료_거시'!$D3362,-'설정'!$B$17),'자료_거시'!$D$3:INDEX('자료_거시'!$D$3:$D$4002,$K$6),1)),""),"")</f>
        <v/>
      </c>
      <c r="U3380">
        <f>IF(ISNUMBER(T3380),'자료_거시'!$D3362,"")</f>
        <v/>
      </c>
      <c r="V3380">
        <f>IF(ISNUMBER(U3380),IF(U3380&gt;$L$6,T3380,""),"")</f>
        <v/>
      </c>
      <c r="W3380">
        <f>IF(AND(ISNUMBER('자료_거시'!$G3362),ISNUMBER('자료_거시'!$H3362)),'자료_거시'!$H3362,"")</f>
        <v/>
      </c>
      <c r="X3380">
        <f>IF(ISNUMBER(W3380),'자료_거시'!$G3362,"")</f>
        <v/>
      </c>
      <c r="Y3380">
        <f>IF(ISNUMBER(X3380),IF(X3380&gt;$L$7,W3380,""),"")</f>
        <v/>
      </c>
      <c r="Z3380">
        <f>IF(ISNUMBER('자료_거시'!$K3362),'자료_거시'!$K3362,Z3379)</f>
        <v/>
      </c>
      <c r="AA3380">
        <f>IF(AND(ISNUMBER('자료_거시'!$J3362),ISNUMBER('자료_거시'!$K3362)),IFERROR('자료_거시'!$K3362/INDEX($Z$21:$Z$4020,MATCH(EDATE('자료_거시'!$J3362,-'설정'!$B$17),'자료_거시'!$J$3:INDEX('자료_거시'!$J$3:$J$4002,$K$8),1))-1,""),"")</f>
        <v/>
      </c>
      <c r="AB3380">
        <f>IF(ISNUMBER(AA3380),'자료_거시'!$J3362,"")</f>
        <v/>
      </c>
      <c r="AC3380">
        <f>IF(ISNUMBER(AB3380),IF(AB3380&gt;$L$8,AA3380,""),"")</f>
        <v/>
      </c>
    </row>
    <row r="3381">
      <c r="S3381">
        <f>IF(ISNUMBER('자료_거시'!$E3363),'자료_거시'!$E3363,S3380)</f>
        <v/>
      </c>
      <c r="T3381">
        <f>IF(AND(ISNUMBER('자료_거시'!$D3363),ISNUMBER('자료_거시'!$E3363)),IFERROR('자료_거시'!$E3363-INDEX($S$21:$S$4020,MATCH(EDATE('자료_거시'!$D3363,-'설정'!$B$17),'자료_거시'!$D$3:INDEX('자료_거시'!$D$3:$D$4002,$K$6),1)),""),"")</f>
        <v/>
      </c>
      <c r="U3381">
        <f>IF(ISNUMBER(T3381),'자료_거시'!$D3363,"")</f>
        <v/>
      </c>
      <c r="V3381">
        <f>IF(ISNUMBER(U3381),IF(U3381&gt;$L$6,T3381,""),"")</f>
        <v/>
      </c>
      <c r="W3381">
        <f>IF(AND(ISNUMBER('자료_거시'!$G3363),ISNUMBER('자료_거시'!$H3363)),'자료_거시'!$H3363,"")</f>
        <v/>
      </c>
      <c r="X3381">
        <f>IF(ISNUMBER(W3381),'자료_거시'!$G3363,"")</f>
        <v/>
      </c>
      <c r="Y3381">
        <f>IF(ISNUMBER(X3381),IF(X3381&gt;$L$7,W3381,""),"")</f>
        <v/>
      </c>
      <c r="Z3381">
        <f>IF(ISNUMBER('자료_거시'!$K3363),'자료_거시'!$K3363,Z3380)</f>
        <v/>
      </c>
      <c r="AA3381">
        <f>IF(AND(ISNUMBER('자료_거시'!$J3363),ISNUMBER('자료_거시'!$K3363)),IFERROR('자료_거시'!$K3363/INDEX($Z$21:$Z$4020,MATCH(EDATE('자료_거시'!$J3363,-'설정'!$B$17),'자료_거시'!$J$3:INDEX('자료_거시'!$J$3:$J$4002,$K$8),1))-1,""),"")</f>
        <v/>
      </c>
      <c r="AB3381">
        <f>IF(ISNUMBER(AA3381),'자료_거시'!$J3363,"")</f>
        <v/>
      </c>
      <c r="AC3381">
        <f>IF(ISNUMBER(AB3381),IF(AB3381&gt;$L$8,AA3381,""),"")</f>
        <v/>
      </c>
    </row>
    <row r="3382">
      <c r="S3382">
        <f>IF(ISNUMBER('자료_거시'!$E3364),'자료_거시'!$E3364,S3381)</f>
        <v/>
      </c>
      <c r="T3382">
        <f>IF(AND(ISNUMBER('자료_거시'!$D3364),ISNUMBER('자료_거시'!$E3364)),IFERROR('자료_거시'!$E3364-INDEX($S$21:$S$4020,MATCH(EDATE('자료_거시'!$D3364,-'설정'!$B$17),'자료_거시'!$D$3:INDEX('자료_거시'!$D$3:$D$4002,$K$6),1)),""),"")</f>
        <v/>
      </c>
      <c r="U3382">
        <f>IF(ISNUMBER(T3382),'자료_거시'!$D3364,"")</f>
        <v/>
      </c>
      <c r="V3382">
        <f>IF(ISNUMBER(U3382),IF(U3382&gt;$L$6,T3382,""),"")</f>
        <v/>
      </c>
      <c r="W3382">
        <f>IF(AND(ISNUMBER('자료_거시'!$G3364),ISNUMBER('자료_거시'!$H3364)),'자료_거시'!$H3364,"")</f>
        <v/>
      </c>
      <c r="X3382">
        <f>IF(ISNUMBER(W3382),'자료_거시'!$G3364,"")</f>
        <v/>
      </c>
      <c r="Y3382">
        <f>IF(ISNUMBER(X3382),IF(X3382&gt;$L$7,W3382,""),"")</f>
        <v/>
      </c>
      <c r="Z3382">
        <f>IF(ISNUMBER('자료_거시'!$K3364),'자료_거시'!$K3364,Z3381)</f>
        <v/>
      </c>
      <c r="AA3382">
        <f>IF(AND(ISNUMBER('자료_거시'!$J3364),ISNUMBER('자료_거시'!$K3364)),IFERROR('자료_거시'!$K3364/INDEX($Z$21:$Z$4020,MATCH(EDATE('자료_거시'!$J3364,-'설정'!$B$17),'자료_거시'!$J$3:INDEX('자료_거시'!$J$3:$J$4002,$K$8),1))-1,""),"")</f>
        <v/>
      </c>
      <c r="AB3382">
        <f>IF(ISNUMBER(AA3382),'자료_거시'!$J3364,"")</f>
        <v/>
      </c>
      <c r="AC3382">
        <f>IF(ISNUMBER(AB3382),IF(AB3382&gt;$L$8,AA3382,""),"")</f>
        <v/>
      </c>
    </row>
    <row r="3383">
      <c r="S3383">
        <f>IF(ISNUMBER('자료_거시'!$E3365),'자료_거시'!$E3365,S3382)</f>
        <v/>
      </c>
      <c r="T3383">
        <f>IF(AND(ISNUMBER('자료_거시'!$D3365),ISNUMBER('자료_거시'!$E3365)),IFERROR('자료_거시'!$E3365-INDEX($S$21:$S$4020,MATCH(EDATE('자료_거시'!$D3365,-'설정'!$B$17),'자료_거시'!$D$3:INDEX('자료_거시'!$D$3:$D$4002,$K$6),1)),""),"")</f>
        <v/>
      </c>
      <c r="U3383">
        <f>IF(ISNUMBER(T3383),'자료_거시'!$D3365,"")</f>
        <v/>
      </c>
      <c r="V3383">
        <f>IF(ISNUMBER(U3383),IF(U3383&gt;$L$6,T3383,""),"")</f>
        <v/>
      </c>
      <c r="W3383">
        <f>IF(AND(ISNUMBER('자료_거시'!$G3365),ISNUMBER('자료_거시'!$H3365)),'자료_거시'!$H3365,"")</f>
        <v/>
      </c>
      <c r="X3383">
        <f>IF(ISNUMBER(W3383),'자료_거시'!$G3365,"")</f>
        <v/>
      </c>
      <c r="Y3383">
        <f>IF(ISNUMBER(X3383),IF(X3383&gt;$L$7,W3383,""),"")</f>
        <v/>
      </c>
      <c r="Z3383">
        <f>IF(ISNUMBER('자료_거시'!$K3365),'자료_거시'!$K3365,Z3382)</f>
        <v/>
      </c>
      <c r="AA3383">
        <f>IF(AND(ISNUMBER('자료_거시'!$J3365),ISNUMBER('자료_거시'!$K3365)),IFERROR('자료_거시'!$K3365/INDEX($Z$21:$Z$4020,MATCH(EDATE('자료_거시'!$J3365,-'설정'!$B$17),'자료_거시'!$J$3:INDEX('자료_거시'!$J$3:$J$4002,$K$8),1))-1,""),"")</f>
        <v/>
      </c>
      <c r="AB3383">
        <f>IF(ISNUMBER(AA3383),'자료_거시'!$J3365,"")</f>
        <v/>
      </c>
      <c r="AC3383">
        <f>IF(ISNUMBER(AB3383),IF(AB3383&gt;$L$8,AA3383,""),"")</f>
        <v/>
      </c>
    </row>
    <row r="3384">
      <c r="S3384">
        <f>IF(ISNUMBER('자료_거시'!$E3366),'자료_거시'!$E3366,S3383)</f>
        <v/>
      </c>
      <c r="T3384">
        <f>IF(AND(ISNUMBER('자료_거시'!$D3366),ISNUMBER('자료_거시'!$E3366)),IFERROR('자료_거시'!$E3366-INDEX($S$21:$S$4020,MATCH(EDATE('자료_거시'!$D3366,-'설정'!$B$17),'자료_거시'!$D$3:INDEX('자료_거시'!$D$3:$D$4002,$K$6),1)),""),"")</f>
        <v/>
      </c>
      <c r="U3384">
        <f>IF(ISNUMBER(T3384),'자료_거시'!$D3366,"")</f>
        <v/>
      </c>
      <c r="V3384">
        <f>IF(ISNUMBER(U3384),IF(U3384&gt;$L$6,T3384,""),"")</f>
        <v/>
      </c>
      <c r="W3384">
        <f>IF(AND(ISNUMBER('자료_거시'!$G3366),ISNUMBER('자료_거시'!$H3366)),'자료_거시'!$H3366,"")</f>
        <v/>
      </c>
      <c r="X3384">
        <f>IF(ISNUMBER(W3384),'자료_거시'!$G3366,"")</f>
        <v/>
      </c>
      <c r="Y3384">
        <f>IF(ISNUMBER(X3384),IF(X3384&gt;$L$7,W3384,""),"")</f>
        <v/>
      </c>
      <c r="Z3384">
        <f>IF(ISNUMBER('자료_거시'!$K3366),'자료_거시'!$K3366,Z3383)</f>
        <v/>
      </c>
      <c r="AA3384">
        <f>IF(AND(ISNUMBER('자료_거시'!$J3366),ISNUMBER('자료_거시'!$K3366)),IFERROR('자료_거시'!$K3366/INDEX($Z$21:$Z$4020,MATCH(EDATE('자료_거시'!$J3366,-'설정'!$B$17),'자료_거시'!$J$3:INDEX('자료_거시'!$J$3:$J$4002,$K$8),1))-1,""),"")</f>
        <v/>
      </c>
      <c r="AB3384">
        <f>IF(ISNUMBER(AA3384),'자료_거시'!$J3366,"")</f>
        <v/>
      </c>
      <c r="AC3384">
        <f>IF(ISNUMBER(AB3384),IF(AB3384&gt;$L$8,AA3384,""),"")</f>
        <v/>
      </c>
    </row>
    <row r="3385">
      <c r="S3385">
        <f>IF(ISNUMBER('자료_거시'!$E3367),'자료_거시'!$E3367,S3384)</f>
        <v/>
      </c>
      <c r="T3385">
        <f>IF(AND(ISNUMBER('자료_거시'!$D3367),ISNUMBER('자료_거시'!$E3367)),IFERROR('자료_거시'!$E3367-INDEX($S$21:$S$4020,MATCH(EDATE('자료_거시'!$D3367,-'설정'!$B$17),'자료_거시'!$D$3:INDEX('자료_거시'!$D$3:$D$4002,$K$6),1)),""),"")</f>
        <v/>
      </c>
      <c r="U3385">
        <f>IF(ISNUMBER(T3385),'자료_거시'!$D3367,"")</f>
        <v/>
      </c>
      <c r="V3385">
        <f>IF(ISNUMBER(U3385),IF(U3385&gt;$L$6,T3385,""),"")</f>
        <v/>
      </c>
      <c r="W3385">
        <f>IF(AND(ISNUMBER('자료_거시'!$G3367),ISNUMBER('자료_거시'!$H3367)),'자료_거시'!$H3367,"")</f>
        <v/>
      </c>
      <c r="X3385">
        <f>IF(ISNUMBER(W3385),'자료_거시'!$G3367,"")</f>
        <v/>
      </c>
      <c r="Y3385">
        <f>IF(ISNUMBER(X3385),IF(X3385&gt;$L$7,W3385,""),"")</f>
        <v/>
      </c>
      <c r="Z3385">
        <f>IF(ISNUMBER('자료_거시'!$K3367),'자료_거시'!$K3367,Z3384)</f>
        <v/>
      </c>
      <c r="AA3385">
        <f>IF(AND(ISNUMBER('자료_거시'!$J3367),ISNUMBER('자료_거시'!$K3367)),IFERROR('자료_거시'!$K3367/INDEX($Z$21:$Z$4020,MATCH(EDATE('자료_거시'!$J3367,-'설정'!$B$17),'자료_거시'!$J$3:INDEX('자료_거시'!$J$3:$J$4002,$K$8),1))-1,""),"")</f>
        <v/>
      </c>
      <c r="AB3385">
        <f>IF(ISNUMBER(AA3385),'자료_거시'!$J3367,"")</f>
        <v/>
      </c>
      <c r="AC3385">
        <f>IF(ISNUMBER(AB3385),IF(AB3385&gt;$L$8,AA3385,""),"")</f>
        <v/>
      </c>
    </row>
    <row r="3386">
      <c r="S3386">
        <f>IF(ISNUMBER('자료_거시'!$E3368),'자료_거시'!$E3368,S3385)</f>
        <v/>
      </c>
      <c r="T3386">
        <f>IF(AND(ISNUMBER('자료_거시'!$D3368),ISNUMBER('자료_거시'!$E3368)),IFERROR('자료_거시'!$E3368-INDEX($S$21:$S$4020,MATCH(EDATE('자료_거시'!$D3368,-'설정'!$B$17),'자료_거시'!$D$3:INDEX('자료_거시'!$D$3:$D$4002,$K$6),1)),""),"")</f>
        <v/>
      </c>
      <c r="U3386">
        <f>IF(ISNUMBER(T3386),'자료_거시'!$D3368,"")</f>
        <v/>
      </c>
      <c r="V3386">
        <f>IF(ISNUMBER(U3386),IF(U3386&gt;$L$6,T3386,""),"")</f>
        <v/>
      </c>
      <c r="W3386">
        <f>IF(AND(ISNUMBER('자료_거시'!$G3368),ISNUMBER('자료_거시'!$H3368)),'자료_거시'!$H3368,"")</f>
        <v/>
      </c>
      <c r="X3386">
        <f>IF(ISNUMBER(W3386),'자료_거시'!$G3368,"")</f>
        <v/>
      </c>
      <c r="Y3386">
        <f>IF(ISNUMBER(X3386),IF(X3386&gt;$L$7,W3386,""),"")</f>
        <v/>
      </c>
      <c r="Z3386">
        <f>IF(ISNUMBER('자료_거시'!$K3368),'자료_거시'!$K3368,Z3385)</f>
        <v/>
      </c>
      <c r="AA3386">
        <f>IF(AND(ISNUMBER('자료_거시'!$J3368),ISNUMBER('자료_거시'!$K3368)),IFERROR('자료_거시'!$K3368/INDEX($Z$21:$Z$4020,MATCH(EDATE('자료_거시'!$J3368,-'설정'!$B$17),'자료_거시'!$J$3:INDEX('자료_거시'!$J$3:$J$4002,$K$8),1))-1,""),"")</f>
        <v/>
      </c>
      <c r="AB3386">
        <f>IF(ISNUMBER(AA3386),'자료_거시'!$J3368,"")</f>
        <v/>
      </c>
      <c r="AC3386">
        <f>IF(ISNUMBER(AB3386),IF(AB3386&gt;$L$8,AA3386,""),"")</f>
        <v/>
      </c>
    </row>
    <row r="3387">
      <c r="S3387">
        <f>IF(ISNUMBER('자료_거시'!$E3369),'자료_거시'!$E3369,S3386)</f>
        <v/>
      </c>
      <c r="T3387">
        <f>IF(AND(ISNUMBER('자료_거시'!$D3369),ISNUMBER('자료_거시'!$E3369)),IFERROR('자료_거시'!$E3369-INDEX($S$21:$S$4020,MATCH(EDATE('자료_거시'!$D3369,-'설정'!$B$17),'자료_거시'!$D$3:INDEX('자료_거시'!$D$3:$D$4002,$K$6),1)),""),"")</f>
        <v/>
      </c>
      <c r="U3387">
        <f>IF(ISNUMBER(T3387),'자료_거시'!$D3369,"")</f>
        <v/>
      </c>
      <c r="V3387">
        <f>IF(ISNUMBER(U3387),IF(U3387&gt;$L$6,T3387,""),"")</f>
        <v/>
      </c>
      <c r="W3387">
        <f>IF(AND(ISNUMBER('자료_거시'!$G3369),ISNUMBER('자료_거시'!$H3369)),'자료_거시'!$H3369,"")</f>
        <v/>
      </c>
      <c r="X3387">
        <f>IF(ISNUMBER(W3387),'자료_거시'!$G3369,"")</f>
        <v/>
      </c>
      <c r="Y3387">
        <f>IF(ISNUMBER(X3387),IF(X3387&gt;$L$7,W3387,""),"")</f>
        <v/>
      </c>
      <c r="Z3387">
        <f>IF(ISNUMBER('자료_거시'!$K3369),'자료_거시'!$K3369,Z3386)</f>
        <v/>
      </c>
      <c r="AA3387">
        <f>IF(AND(ISNUMBER('자료_거시'!$J3369),ISNUMBER('자료_거시'!$K3369)),IFERROR('자료_거시'!$K3369/INDEX($Z$21:$Z$4020,MATCH(EDATE('자료_거시'!$J3369,-'설정'!$B$17),'자료_거시'!$J$3:INDEX('자료_거시'!$J$3:$J$4002,$K$8),1))-1,""),"")</f>
        <v/>
      </c>
      <c r="AB3387">
        <f>IF(ISNUMBER(AA3387),'자료_거시'!$J3369,"")</f>
        <v/>
      </c>
      <c r="AC3387">
        <f>IF(ISNUMBER(AB3387),IF(AB3387&gt;$L$8,AA3387,""),"")</f>
        <v/>
      </c>
    </row>
    <row r="3388">
      <c r="S3388">
        <f>IF(ISNUMBER('자료_거시'!$E3370),'자료_거시'!$E3370,S3387)</f>
        <v/>
      </c>
      <c r="T3388">
        <f>IF(AND(ISNUMBER('자료_거시'!$D3370),ISNUMBER('자료_거시'!$E3370)),IFERROR('자료_거시'!$E3370-INDEX($S$21:$S$4020,MATCH(EDATE('자료_거시'!$D3370,-'설정'!$B$17),'자료_거시'!$D$3:INDEX('자료_거시'!$D$3:$D$4002,$K$6),1)),""),"")</f>
        <v/>
      </c>
      <c r="U3388">
        <f>IF(ISNUMBER(T3388),'자료_거시'!$D3370,"")</f>
        <v/>
      </c>
      <c r="V3388">
        <f>IF(ISNUMBER(U3388),IF(U3388&gt;$L$6,T3388,""),"")</f>
        <v/>
      </c>
      <c r="W3388">
        <f>IF(AND(ISNUMBER('자료_거시'!$G3370),ISNUMBER('자료_거시'!$H3370)),'자료_거시'!$H3370,"")</f>
        <v/>
      </c>
      <c r="X3388">
        <f>IF(ISNUMBER(W3388),'자료_거시'!$G3370,"")</f>
        <v/>
      </c>
      <c r="Y3388">
        <f>IF(ISNUMBER(X3388),IF(X3388&gt;$L$7,W3388,""),"")</f>
        <v/>
      </c>
      <c r="Z3388">
        <f>IF(ISNUMBER('자료_거시'!$K3370),'자료_거시'!$K3370,Z3387)</f>
        <v/>
      </c>
      <c r="AA3388">
        <f>IF(AND(ISNUMBER('자료_거시'!$J3370),ISNUMBER('자료_거시'!$K3370)),IFERROR('자료_거시'!$K3370/INDEX($Z$21:$Z$4020,MATCH(EDATE('자료_거시'!$J3370,-'설정'!$B$17),'자료_거시'!$J$3:INDEX('자료_거시'!$J$3:$J$4002,$K$8),1))-1,""),"")</f>
        <v/>
      </c>
      <c r="AB3388">
        <f>IF(ISNUMBER(AA3388),'자료_거시'!$J3370,"")</f>
        <v/>
      </c>
      <c r="AC3388">
        <f>IF(ISNUMBER(AB3388),IF(AB3388&gt;$L$8,AA3388,""),"")</f>
        <v/>
      </c>
    </row>
    <row r="3389">
      <c r="S3389">
        <f>IF(ISNUMBER('자료_거시'!$E3371),'자료_거시'!$E3371,S3388)</f>
        <v/>
      </c>
      <c r="T3389">
        <f>IF(AND(ISNUMBER('자료_거시'!$D3371),ISNUMBER('자료_거시'!$E3371)),IFERROR('자료_거시'!$E3371-INDEX($S$21:$S$4020,MATCH(EDATE('자료_거시'!$D3371,-'설정'!$B$17),'자료_거시'!$D$3:INDEX('자료_거시'!$D$3:$D$4002,$K$6),1)),""),"")</f>
        <v/>
      </c>
      <c r="U3389">
        <f>IF(ISNUMBER(T3389),'자료_거시'!$D3371,"")</f>
        <v/>
      </c>
      <c r="V3389">
        <f>IF(ISNUMBER(U3389),IF(U3389&gt;$L$6,T3389,""),"")</f>
        <v/>
      </c>
      <c r="W3389">
        <f>IF(AND(ISNUMBER('자료_거시'!$G3371),ISNUMBER('자료_거시'!$H3371)),'자료_거시'!$H3371,"")</f>
        <v/>
      </c>
      <c r="X3389">
        <f>IF(ISNUMBER(W3389),'자료_거시'!$G3371,"")</f>
        <v/>
      </c>
      <c r="Y3389">
        <f>IF(ISNUMBER(X3389),IF(X3389&gt;$L$7,W3389,""),"")</f>
        <v/>
      </c>
      <c r="Z3389">
        <f>IF(ISNUMBER('자료_거시'!$K3371),'자료_거시'!$K3371,Z3388)</f>
        <v/>
      </c>
      <c r="AA3389">
        <f>IF(AND(ISNUMBER('자료_거시'!$J3371),ISNUMBER('자료_거시'!$K3371)),IFERROR('자료_거시'!$K3371/INDEX($Z$21:$Z$4020,MATCH(EDATE('자료_거시'!$J3371,-'설정'!$B$17),'자료_거시'!$J$3:INDEX('자료_거시'!$J$3:$J$4002,$K$8),1))-1,""),"")</f>
        <v/>
      </c>
      <c r="AB3389">
        <f>IF(ISNUMBER(AA3389),'자료_거시'!$J3371,"")</f>
        <v/>
      </c>
      <c r="AC3389">
        <f>IF(ISNUMBER(AB3389),IF(AB3389&gt;$L$8,AA3389,""),"")</f>
        <v/>
      </c>
    </row>
    <row r="3390">
      <c r="S3390">
        <f>IF(ISNUMBER('자료_거시'!$E3372),'자료_거시'!$E3372,S3389)</f>
        <v/>
      </c>
      <c r="T3390">
        <f>IF(AND(ISNUMBER('자료_거시'!$D3372),ISNUMBER('자료_거시'!$E3372)),IFERROR('자료_거시'!$E3372-INDEX($S$21:$S$4020,MATCH(EDATE('자료_거시'!$D3372,-'설정'!$B$17),'자료_거시'!$D$3:INDEX('자료_거시'!$D$3:$D$4002,$K$6),1)),""),"")</f>
        <v/>
      </c>
      <c r="U3390">
        <f>IF(ISNUMBER(T3390),'자료_거시'!$D3372,"")</f>
        <v/>
      </c>
      <c r="V3390">
        <f>IF(ISNUMBER(U3390),IF(U3390&gt;$L$6,T3390,""),"")</f>
        <v/>
      </c>
      <c r="W3390">
        <f>IF(AND(ISNUMBER('자료_거시'!$G3372),ISNUMBER('자료_거시'!$H3372)),'자료_거시'!$H3372,"")</f>
        <v/>
      </c>
      <c r="X3390">
        <f>IF(ISNUMBER(W3390),'자료_거시'!$G3372,"")</f>
        <v/>
      </c>
      <c r="Y3390">
        <f>IF(ISNUMBER(X3390),IF(X3390&gt;$L$7,W3390,""),"")</f>
        <v/>
      </c>
      <c r="Z3390">
        <f>IF(ISNUMBER('자료_거시'!$K3372),'자료_거시'!$K3372,Z3389)</f>
        <v/>
      </c>
      <c r="AA3390">
        <f>IF(AND(ISNUMBER('자료_거시'!$J3372),ISNUMBER('자료_거시'!$K3372)),IFERROR('자료_거시'!$K3372/INDEX($Z$21:$Z$4020,MATCH(EDATE('자료_거시'!$J3372,-'설정'!$B$17),'자료_거시'!$J$3:INDEX('자료_거시'!$J$3:$J$4002,$K$8),1))-1,""),"")</f>
        <v/>
      </c>
      <c r="AB3390">
        <f>IF(ISNUMBER(AA3390),'자료_거시'!$J3372,"")</f>
        <v/>
      </c>
      <c r="AC3390">
        <f>IF(ISNUMBER(AB3390),IF(AB3390&gt;$L$8,AA3390,""),"")</f>
        <v/>
      </c>
    </row>
    <row r="3391">
      <c r="S3391">
        <f>IF(ISNUMBER('자료_거시'!$E3373),'자료_거시'!$E3373,S3390)</f>
        <v/>
      </c>
      <c r="T3391">
        <f>IF(AND(ISNUMBER('자료_거시'!$D3373),ISNUMBER('자료_거시'!$E3373)),IFERROR('자료_거시'!$E3373-INDEX($S$21:$S$4020,MATCH(EDATE('자료_거시'!$D3373,-'설정'!$B$17),'자료_거시'!$D$3:INDEX('자료_거시'!$D$3:$D$4002,$K$6),1)),""),"")</f>
        <v/>
      </c>
      <c r="U3391">
        <f>IF(ISNUMBER(T3391),'자료_거시'!$D3373,"")</f>
        <v/>
      </c>
      <c r="V3391">
        <f>IF(ISNUMBER(U3391),IF(U3391&gt;$L$6,T3391,""),"")</f>
        <v/>
      </c>
      <c r="W3391">
        <f>IF(AND(ISNUMBER('자료_거시'!$G3373),ISNUMBER('자료_거시'!$H3373)),'자료_거시'!$H3373,"")</f>
        <v/>
      </c>
      <c r="X3391">
        <f>IF(ISNUMBER(W3391),'자료_거시'!$G3373,"")</f>
        <v/>
      </c>
      <c r="Y3391">
        <f>IF(ISNUMBER(X3391),IF(X3391&gt;$L$7,W3391,""),"")</f>
        <v/>
      </c>
      <c r="Z3391">
        <f>IF(ISNUMBER('자료_거시'!$K3373),'자료_거시'!$K3373,Z3390)</f>
        <v/>
      </c>
      <c r="AA3391">
        <f>IF(AND(ISNUMBER('자료_거시'!$J3373),ISNUMBER('자료_거시'!$K3373)),IFERROR('자료_거시'!$K3373/INDEX($Z$21:$Z$4020,MATCH(EDATE('자료_거시'!$J3373,-'설정'!$B$17),'자료_거시'!$J$3:INDEX('자료_거시'!$J$3:$J$4002,$K$8),1))-1,""),"")</f>
        <v/>
      </c>
      <c r="AB3391">
        <f>IF(ISNUMBER(AA3391),'자료_거시'!$J3373,"")</f>
        <v/>
      </c>
      <c r="AC3391">
        <f>IF(ISNUMBER(AB3391),IF(AB3391&gt;$L$8,AA3391,""),"")</f>
        <v/>
      </c>
    </row>
    <row r="3392">
      <c r="S3392">
        <f>IF(ISNUMBER('자료_거시'!$E3374),'자료_거시'!$E3374,S3391)</f>
        <v/>
      </c>
      <c r="T3392">
        <f>IF(AND(ISNUMBER('자료_거시'!$D3374),ISNUMBER('자료_거시'!$E3374)),IFERROR('자료_거시'!$E3374-INDEX($S$21:$S$4020,MATCH(EDATE('자료_거시'!$D3374,-'설정'!$B$17),'자료_거시'!$D$3:INDEX('자료_거시'!$D$3:$D$4002,$K$6),1)),""),"")</f>
        <v/>
      </c>
      <c r="U3392">
        <f>IF(ISNUMBER(T3392),'자료_거시'!$D3374,"")</f>
        <v/>
      </c>
      <c r="V3392">
        <f>IF(ISNUMBER(U3392),IF(U3392&gt;$L$6,T3392,""),"")</f>
        <v/>
      </c>
      <c r="W3392">
        <f>IF(AND(ISNUMBER('자료_거시'!$G3374),ISNUMBER('자료_거시'!$H3374)),'자료_거시'!$H3374,"")</f>
        <v/>
      </c>
      <c r="X3392">
        <f>IF(ISNUMBER(W3392),'자료_거시'!$G3374,"")</f>
        <v/>
      </c>
      <c r="Y3392">
        <f>IF(ISNUMBER(X3392),IF(X3392&gt;$L$7,W3392,""),"")</f>
        <v/>
      </c>
      <c r="Z3392">
        <f>IF(ISNUMBER('자료_거시'!$K3374),'자료_거시'!$K3374,Z3391)</f>
        <v/>
      </c>
      <c r="AA3392">
        <f>IF(AND(ISNUMBER('자료_거시'!$J3374),ISNUMBER('자료_거시'!$K3374)),IFERROR('자료_거시'!$K3374/INDEX($Z$21:$Z$4020,MATCH(EDATE('자료_거시'!$J3374,-'설정'!$B$17),'자료_거시'!$J$3:INDEX('자료_거시'!$J$3:$J$4002,$K$8),1))-1,""),"")</f>
        <v/>
      </c>
      <c r="AB3392">
        <f>IF(ISNUMBER(AA3392),'자료_거시'!$J3374,"")</f>
        <v/>
      </c>
      <c r="AC3392">
        <f>IF(ISNUMBER(AB3392),IF(AB3392&gt;$L$8,AA3392,""),"")</f>
        <v/>
      </c>
    </row>
    <row r="3393">
      <c r="S3393">
        <f>IF(ISNUMBER('자료_거시'!$E3375),'자료_거시'!$E3375,S3392)</f>
        <v/>
      </c>
      <c r="T3393">
        <f>IF(AND(ISNUMBER('자료_거시'!$D3375),ISNUMBER('자료_거시'!$E3375)),IFERROR('자료_거시'!$E3375-INDEX($S$21:$S$4020,MATCH(EDATE('자료_거시'!$D3375,-'설정'!$B$17),'자료_거시'!$D$3:INDEX('자료_거시'!$D$3:$D$4002,$K$6),1)),""),"")</f>
        <v/>
      </c>
      <c r="U3393">
        <f>IF(ISNUMBER(T3393),'자료_거시'!$D3375,"")</f>
        <v/>
      </c>
      <c r="V3393">
        <f>IF(ISNUMBER(U3393),IF(U3393&gt;$L$6,T3393,""),"")</f>
        <v/>
      </c>
      <c r="W3393">
        <f>IF(AND(ISNUMBER('자료_거시'!$G3375),ISNUMBER('자료_거시'!$H3375)),'자료_거시'!$H3375,"")</f>
        <v/>
      </c>
      <c r="X3393">
        <f>IF(ISNUMBER(W3393),'자료_거시'!$G3375,"")</f>
        <v/>
      </c>
      <c r="Y3393">
        <f>IF(ISNUMBER(X3393),IF(X3393&gt;$L$7,W3393,""),"")</f>
        <v/>
      </c>
      <c r="Z3393">
        <f>IF(ISNUMBER('자료_거시'!$K3375),'자료_거시'!$K3375,Z3392)</f>
        <v/>
      </c>
      <c r="AA3393">
        <f>IF(AND(ISNUMBER('자료_거시'!$J3375),ISNUMBER('자료_거시'!$K3375)),IFERROR('자료_거시'!$K3375/INDEX($Z$21:$Z$4020,MATCH(EDATE('자료_거시'!$J3375,-'설정'!$B$17),'자료_거시'!$J$3:INDEX('자료_거시'!$J$3:$J$4002,$K$8),1))-1,""),"")</f>
        <v/>
      </c>
      <c r="AB3393">
        <f>IF(ISNUMBER(AA3393),'자료_거시'!$J3375,"")</f>
        <v/>
      </c>
      <c r="AC3393">
        <f>IF(ISNUMBER(AB3393),IF(AB3393&gt;$L$8,AA3393,""),"")</f>
        <v/>
      </c>
    </row>
    <row r="3394">
      <c r="S3394">
        <f>IF(ISNUMBER('자료_거시'!$E3376),'자료_거시'!$E3376,S3393)</f>
        <v/>
      </c>
      <c r="T3394">
        <f>IF(AND(ISNUMBER('자료_거시'!$D3376),ISNUMBER('자료_거시'!$E3376)),IFERROR('자료_거시'!$E3376-INDEX($S$21:$S$4020,MATCH(EDATE('자료_거시'!$D3376,-'설정'!$B$17),'자료_거시'!$D$3:INDEX('자료_거시'!$D$3:$D$4002,$K$6),1)),""),"")</f>
        <v/>
      </c>
      <c r="U3394">
        <f>IF(ISNUMBER(T3394),'자료_거시'!$D3376,"")</f>
        <v/>
      </c>
      <c r="V3394">
        <f>IF(ISNUMBER(U3394),IF(U3394&gt;$L$6,T3394,""),"")</f>
        <v/>
      </c>
      <c r="W3394">
        <f>IF(AND(ISNUMBER('자료_거시'!$G3376),ISNUMBER('자료_거시'!$H3376)),'자료_거시'!$H3376,"")</f>
        <v/>
      </c>
      <c r="X3394">
        <f>IF(ISNUMBER(W3394),'자료_거시'!$G3376,"")</f>
        <v/>
      </c>
      <c r="Y3394">
        <f>IF(ISNUMBER(X3394),IF(X3394&gt;$L$7,W3394,""),"")</f>
        <v/>
      </c>
      <c r="Z3394">
        <f>IF(ISNUMBER('자료_거시'!$K3376),'자료_거시'!$K3376,Z3393)</f>
        <v/>
      </c>
      <c r="AA3394">
        <f>IF(AND(ISNUMBER('자료_거시'!$J3376),ISNUMBER('자료_거시'!$K3376)),IFERROR('자료_거시'!$K3376/INDEX($Z$21:$Z$4020,MATCH(EDATE('자료_거시'!$J3376,-'설정'!$B$17),'자료_거시'!$J$3:INDEX('자료_거시'!$J$3:$J$4002,$K$8),1))-1,""),"")</f>
        <v/>
      </c>
      <c r="AB3394">
        <f>IF(ISNUMBER(AA3394),'자료_거시'!$J3376,"")</f>
        <v/>
      </c>
      <c r="AC3394">
        <f>IF(ISNUMBER(AB3394),IF(AB3394&gt;$L$8,AA3394,""),"")</f>
        <v/>
      </c>
    </row>
    <row r="3395">
      <c r="S3395">
        <f>IF(ISNUMBER('자료_거시'!$E3377),'자료_거시'!$E3377,S3394)</f>
        <v/>
      </c>
      <c r="T3395">
        <f>IF(AND(ISNUMBER('자료_거시'!$D3377),ISNUMBER('자료_거시'!$E3377)),IFERROR('자료_거시'!$E3377-INDEX($S$21:$S$4020,MATCH(EDATE('자료_거시'!$D3377,-'설정'!$B$17),'자료_거시'!$D$3:INDEX('자료_거시'!$D$3:$D$4002,$K$6),1)),""),"")</f>
        <v/>
      </c>
      <c r="U3395">
        <f>IF(ISNUMBER(T3395),'자료_거시'!$D3377,"")</f>
        <v/>
      </c>
      <c r="V3395">
        <f>IF(ISNUMBER(U3395),IF(U3395&gt;$L$6,T3395,""),"")</f>
        <v/>
      </c>
      <c r="W3395">
        <f>IF(AND(ISNUMBER('자료_거시'!$G3377),ISNUMBER('자료_거시'!$H3377)),'자료_거시'!$H3377,"")</f>
        <v/>
      </c>
      <c r="X3395">
        <f>IF(ISNUMBER(W3395),'자료_거시'!$G3377,"")</f>
        <v/>
      </c>
      <c r="Y3395">
        <f>IF(ISNUMBER(X3395),IF(X3395&gt;$L$7,W3395,""),"")</f>
        <v/>
      </c>
      <c r="Z3395">
        <f>IF(ISNUMBER('자료_거시'!$K3377),'자료_거시'!$K3377,Z3394)</f>
        <v/>
      </c>
      <c r="AA3395">
        <f>IF(AND(ISNUMBER('자료_거시'!$J3377),ISNUMBER('자료_거시'!$K3377)),IFERROR('자료_거시'!$K3377/INDEX($Z$21:$Z$4020,MATCH(EDATE('자료_거시'!$J3377,-'설정'!$B$17),'자료_거시'!$J$3:INDEX('자료_거시'!$J$3:$J$4002,$K$8),1))-1,""),"")</f>
        <v/>
      </c>
      <c r="AB3395">
        <f>IF(ISNUMBER(AA3395),'자료_거시'!$J3377,"")</f>
        <v/>
      </c>
      <c r="AC3395">
        <f>IF(ISNUMBER(AB3395),IF(AB3395&gt;$L$8,AA3395,""),"")</f>
        <v/>
      </c>
    </row>
    <row r="3396">
      <c r="S3396">
        <f>IF(ISNUMBER('자료_거시'!$E3378),'자료_거시'!$E3378,S3395)</f>
        <v/>
      </c>
      <c r="T3396">
        <f>IF(AND(ISNUMBER('자료_거시'!$D3378),ISNUMBER('자료_거시'!$E3378)),IFERROR('자료_거시'!$E3378-INDEX($S$21:$S$4020,MATCH(EDATE('자료_거시'!$D3378,-'설정'!$B$17),'자료_거시'!$D$3:INDEX('자료_거시'!$D$3:$D$4002,$K$6),1)),""),"")</f>
        <v/>
      </c>
      <c r="U3396">
        <f>IF(ISNUMBER(T3396),'자료_거시'!$D3378,"")</f>
        <v/>
      </c>
      <c r="V3396">
        <f>IF(ISNUMBER(U3396),IF(U3396&gt;$L$6,T3396,""),"")</f>
        <v/>
      </c>
      <c r="W3396">
        <f>IF(AND(ISNUMBER('자료_거시'!$G3378),ISNUMBER('자료_거시'!$H3378)),'자료_거시'!$H3378,"")</f>
        <v/>
      </c>
      <c r="X3396">
        <f>IF(ISNUMBER(W3396),'자료_거시'!$G3378,"")</f>
        <v/>
      </c>
      <c r="Y3396">
        <f>IF(ISNUMBER(X3396),IF(X3396&gt;$L$7,W3396,""),"")</f>
        <v/>
      </c>
      <c r="Z3396">
        <f>IF(ISNUMBER('자료_거시'!$K3378),'자료_거시'!$K3378,Z3395)</f>
        <v/>
      </c>
      <c r="AA3396">
        <f>IF(AND(ISNUMBER('자료_거시'!$J3378),ISNUMBER('자료_거시'!$K3378)),IFERROR('자료_거시'!$K3378/INDEX($Z$21:$Z$4020,MATCH(EDATE('자료_거시'!$J3378,-'설정'!$B$17),'자료_거시'!$J$3:INDEX('자료_거시'!$J$3:$J$4002,$K$8),1))-1,""),"")</f>
        <v/>
      </c>
      <c r="AB3396">
        <f>IF(ISNUMBER(AA3396),'자료_거시'!$J3378,"")</f>
        <v/>
      </c>
      <c r="AC3396">
        <f>IF(ISNUMBER(AB3396),IF(AB3396&gt;$L$8,AA3396,""),"")</f>
        <v/>
      </c>
    </row>
    <row r="3397">
      <c r="S3397">
        <f>IF(ISNUMBER('자료_거시'!$E3379),'자료_거시'!$E3379,S3396)</f>
        <v/>
      </c>
      <c r="T3397">
        <f>IF(AND(ISNUMBER('자료_거시'!$D3379),ISNUMBER('자료_거시'!$E3379)),IFERROR('자료_거시'!$E3379-INDEX($S$21:$S$4020,MATCH(EDATE('자료_거시'!$D3379,-'설정'!$B$17),'자료_거시'!$D$3:INDEX('자료_거시'!$D$3:$D$4002,$K$6),1)),""),"")</f>
        <v/>
      </c>
      <c r="U3397">
        <f>IF(ISNUMBER(T3397),'자료_거시'!$D3379,"")</f>
        <v/>
      </c>
      <c r="V3397">
        <f>IF(ISNUMBER(U3397),IF(U3397&gt;$L$6,T3397,""),"")</f>
        <v/>
      </c>
      <c r="W3397">
        <f>IF(AND(ISNUMBER('자료_거시'!$G3379),ISNUMBER('자료_거시'!$H3379)),'자료_거시'!$H3379,"")</f>
        <v/>
      </c>
      <c r="X3397">
        <f>IF(ISNUMBER(W3397),'자료_거시'!$G3379,"")</f>
        <v/>
      </c>
      <c r="Y3397">
        <f>IF(ISNUMBER(X3397),IF(X3397&gt;$L$7,W3397,""),"")</f>
        <v/>
      </c>
      <c r="Z3397">
        <f>IF(ISNUMBER('자료_거시'!$K3379),'자료_거시'!$K3379,Z3396)</f>
        <v/>
      </c>
      <c r="AA3397">
        <f>IF(AND(ISNUMBER('자료_거시'!$J3379),ISNUMBER('자료_거시'!$K3379)),IFERROR('자료_거시'!$K3379/INDEX($Z$21:$Z$4020,MATCH(EDATE('자료_거시'!$J3379,-'설정'!$B$17),'자료_거시'!$J$3:INDEX('자료_거시'!$J$3:$J$4002,$K$8),1))-1,""),"")</f>
        <v/>
      </c>
      <c r="AB3397">
        <f>IF(ISNUMBER(AA3397),'자료_거시'!$J3379,"")</f>
        <v/>
      </c>
      <c r="AC3397">
        <f>IF(ISNUMBER(AB3397),IF(AB3397&gt;$L$8,AA3397,""),"")</f>
        <v/>
      </c>
    </row>
    <row r="3398">
      <c r="S3398">
        <f>IF(ISNUMBER('자료_거시'!$E3380),'자료_거시'!$E3380,S3397)</f>
        <v/>
      </c>
      <c r="T3398">
        <f>IF(AND(ISNUMBER('자료_거시'!$D3380),ISNUMBER('자료_거시'!$E3380)),IFERROR('자료_거시'!$E3380-INDEX($S$21:$S$4020,MATCH(EDATE('자료_거시'!$D3380,-'설정'!$B$17),'자료_거시'!$D$3:INDEX('자료_거시'!$D$3:$D$4002,$K$6),1)),""),"")</f>
        <v/>
      </c>
      <c r="U3398">
        <f>IF(ISNUMBER(T3398),'자료_거시'!$D3380,"")</f>
        <v/>
      </c>
      <c r="V3398">
        <f>IF(ISNUMBER(U3398),IF(U3398&gt;$L$6,T3398,""),"")</f>
        <v/>
      </c>
      <c r="W3398">
        <f>IF(AND(ISNUMBER('자료_거시'!$G3380),ISNUMBER('자료_거시'!$H3380)),'자료_거시'!$H3380,"")</f>
        <v/>
      </c>
      <c r="X3398">
        <f>IF(ISNUMBER(W3398),'자료_거시'!$G3380,"")</f>
        <v/>
      </c>
      <c r="Y3398">
        <f>IF(ISNUMBER(X3398),IF(X3398&gt;$L$7,W3398,""),"")</f>
        <v/>
      </c>
      <c r="Z3398">
        <f>IF(ISNUMBER('자료_거시'!$K3380),'자료_거시'!$K3380,Z3397)</f>
        <v/>
      </c>
      <c r="AA3398">
        <f>IF(AND(ISNUMBER('자료_거시'!$J3380),ISNUMBER('자료_거시'!$K3380)),IFERROR('자료_거시'!$K3380/INDEX($Z$21:$Z$4020,MATCH(EDATE('자료_거시'!$J3380,-'설정'!$B$17),'자료_거시'!$J$3:INDEX('자료_거시'!$J$3:$J$4002,$K$8),1))-1,""),"")</f>
        <v/>
      </c>
      <c r="AB3398">
        <f>IF(ISNUMBER(AA3398),'자료_거시'!$J3380,"")</f>
        <v/>
      </c>
      <c r="AC3398">
        <f>IF(ISNUMBER(AB3398),IF(AB3398&gt;$L$8,AA3398,""),"")</f>
        <v/>
      </c>
    </row>
    <row r="3399">
      <c r="S3399">
        <f>IF(ISNUMBER('자료_거시'!$E3381),'자료_거시'!$E3381,S3398)</f>
        <v/>
      </c>
      <c r="T3399">
        <f>IF(AND(ISNUMBER('자료_거시'!$D3381),ISNUMBER('자료_거시'!$E3381)),IFERROR('자료_거시'!$E3381-INDEX($S$21:$S$4020,MATCH(EDATE('자료_거시'!$D3381,-'설정'!$B$17),'자료_거시'!$D$3:INDEX('자료_거시'!$D$3:$D$4002,$K$6),1)),""),"")</f>
        <v/>
      </c>
      <c r="U3399">
        <f>IF(ISNUMBER(T3399),'자료_거시'!$D3381,"")</f>
        <v/>
      </c>
      <c r="V3399">
        <f>IF(ISNUMBER(U3399),IF(U3399&gt;$L$6,T3399,""),"")</f>
        <v/>
      </c>
      <c r="W3399">
        <f>IF(AND(ISNUMBER('자료_거시'!$G3381),ISNUMBER('자료_거시'!$H3381)),'자료_거시'!$H3381,"")</f>
        <v/>
      </c>
      <c r="X3399">
        <f>IF(ISNUMBER(W3399),'자료_거시'!$G3381,"")</f>
        <v/>
      </c>
      <c r="Y3399">
        <f>IF(ISNUMBER(X3399),IF(X3399&gt;$L$7,W3399,""),"")</f>
        <v/>
      </c>
      <c r="Z3399">
        <f>IF(ISNUMBER('자료_거시'!$K3381),'자료_거시'!$K3381,Z3398)</f>
        <v/>
      </c>
      <c r="AA3399">
        <f>IF(AND(ISNUMBER('자료_거시'!$J3381),ISNUMBER('자료_거시'!$K3381)),IFERROR('자료_거시'!$K3381/INDEX($Z$21:$Z$4020,MATCH(EDATE('자료_거시'!$J3381,-'설정'!$B$17),'자료_거시'!$J$3:INDEX('자료_거시'!$J$3:$J$4002,$K$8),1))-1,""),"")</f>
        <v/>
      </c>
      <c r="AB3399">
        <f>IF(ISNUMBER(AA3399),'자료_거시'!$J3381,"")</f>
        <v/>
      </c>
      <c r="AC3399">
        <f>IF(ISNUMBER(AB3399),IF(AB3399&gt;$L$8,AA3399,""),"")</f>
        <v/>
      </c>
    </row>
    <row r="3400">
      <c r="S3400">
        <f>IF(ISNUMBER('자료_거시'!$E3382),'자료_거시'!$E3382,S3399)</f>
        <v/>
      </c>
      <c r="T3400">
        <f>IF(AND(ISNUMBER('자료_거시'!$D3382),ISNUMBER('자료_거시'!$E3382)),IFERROR('자료_거시'!$E3382-INDEX($S$21:$S$4020,MATCH(EDATE('자료_거시'!$D3382,-'설정'!$B$17),'자료_거시'!$D$3:INDEX('자료_거시'!$D$3:$D$4002,$K$6),1)),""),"")</f>
        <v/>
      </c>
      <c r="U3400">
        <f>IF(ISNUMBER(T3400),'자료_거시'!$D3382,"")</f>
        <v/>
      </c>
      <c r="V3400">
        <f>IF(ISNUMBER(U3400),IF(U3400&gt;$L$6,T3400,""),"")</f>
        <v/>
      </c>
      <c r="W3400">
        <f>IF(AND(ISNUMBER('자료_거시'!$G3382),ISNUMBER('자료_거시'!$H3382)),'자료_거시'!$H3382,"")</f>
        <v/>
      </c>
      <c r="X3400">
        <f>IF(ISNUMBER(W3400),'자료_거시'!$G3382,"")</f>
        <v/>
      </c>
      <c r="Y3400">
        <f>IF(ISNUMBER(X3400),IF(X3400&gt;$L$7,W3400,""),"")</f>
        <v/>
      </c>
      <c r="Z3400">
        <f>IF(ISNUMBER('자료_거시'!$K3382),'자료_거시'!$K3382,Z3399)</f>
        <v/>
      </c>
      <c r="AA3400">
        <f>IF(AND(ISNUMBER('자료_거시'!$J3382),ISNUMBER('자료_거시'!$K3382)),IFERROR('자료_거시'!$K3382/INDEX($Z$21:$Z$4020,MATCH(EDATE('자료_거시'!$J3382,-'설정'!$B$17),'자료_거시'!$J$3:INDEX('자료_거시'!$J$3:$J$4002,$K$8),1))-1,""),"")</f>
        <v/>
      </c>
      <c r="AB3400">
        <f>IF(ISNUMBER(AA3400),'자료_거시'!$J3382,"")</f>
        <v/>
      </c>
      <c r="AC3400">
        <f>IF(ISNUMBER(AB3400),IF(AB3400&gt;$L$8,AA3400,""),"")</f>
        <v/>
      </c>
    </row>
    <row r="3401">
      <c r="S3401">
        <f>IF(ISNUMBER('자료_거시'!$E3383),'자료_거시'!$E3383,S3400)</f>
        <v/>
      </c>
      <c r="T3401">
        <f>IF(AND(ISNUMBER('자료_거시'!$D3383),ISNUMBER('자료_거시'!$E3383)),IFERROR('자료_거시'!$E3383-INDEX($S$21:$S$4020,MATCH(EDATE('자료_거시'!$D3383,-'설정'!$B$17),'자료_거시'!$D$3:INDEX('자료_거시'!$D$3:$D$4002,$K$6),1)),""),"")</f>
        <v/>
      </c>
      <c r="U3401">
        <f>IF(ISNUMBER(T3401),'자료_거시'!$D3383,"")</f>
        <v/>
      </c>
      <c r="V3401">
        <f>IF(ISNUMBER(U3401),IF(U3401&gt;$L$6,T3401,""),"")</f>
        <v/>
      </c>
      <c r="W3401">
        <f>IF(AND(ISNUMBER('자료_거시'!$G3383),ISNUMBER('자료_거시'!$H3383)),'자료_거시'!$H3383,"")</f>
        <v/>
      </c>
      <c r="X3401">
        <f>IF(ISNUMBER(W3401),'자료_거시'!$G3383,"")</f>
        <v/>
      </c>
      <c r="Y3401">
        <f>IF(ISNUMBER(X3401),IF(X3401&gt;$L$7,W3401,""),"")</f>
        <v/>
      </c>
      <c r="Z3401">
        <f>IF(ISNUMBER('자료_거시'!$K3383),'자료_거시'!$K3383,Z3400)</f>
        <v/>
      </c>
      <c r="AA3401">
        <f>IF(AND(ISNUMBER('자료_거시'!$J3383),ISNUMBER('자료_거시'!$K3383)),IFERROR('자료_거시'!$K3383/INDEX($Z$21:$Z$4020,MATCH(EDATE('자료_거시'!$J3383,-'설정'!$B$17),'자료_거시'!$J$3:INDEX('자료_거시'!$J$3:$J$4002,$K$8),1))-1,""),"")</f>
        <v/>
      </c>
      <c r="AB3401">
        <f>IF(ISNUMBER(AA3401),'자료_거시'!$J3383,"")</f>
        <v/>
      </c>
      <c r="AC3401">
        <f>IF(ISNUMBER(AB3401),IF(AB3401&gt;$L$8,AA3401,""),"")</f>
        <v/>
      </c>
    </row>
    <row r="3402">
      <c r="S3402">
        <f>IF(ISNUMBER('자료_거시'!$E3384),'자료_거시'!$E3384,S3401)</f>
        <v/>
      </c>
      <c r="T3402">
        <f>IF(AND(ISNUMBER('자료_거시'!$D3384),ISNUMBER('자료_거시'!$E3384)),IFERROR('자료_거시'!$E3384-INDEX($S$21:$S$4020,MATCH(EDATE('자료_거시'!$D3384,-'설정'!$B$17),'자료_거시'!$D$3:INDEX('자료_거시'!$D$3:$D$4002,$K$6),1)),""),"")</f>
        <v/>
      </c>
      <c r="U3402">
        <f>IF(ISNUMBER(T3402),'자료_거시'!$D3384,"")</f>
        <v/>
      </c>
      <c r="V3402">
        <f>IF(ISNUMBER(U3402),IF(U3402&gt;$L$6,T3402,""),"")</f>
        <v/>
      </c>
      <c r="W3402">
        <f>IF(AND(ISNUMBER('자료_거시'!$G3384),ISNUMBER('자료_거시'!$H3384)),'자료_거시'!$H3384,"")</f>
        <v/>
      </c>
      <c r="X3402">
        <f>IF(ISNUMBER(W3402),'자료_거시'!$G3384,"")</f>
        <v/>
      </c>
      <c r="Y3402">
        <f>IF(ISNUMBER(X3402),IF(X3402&gt;$L$7,W3402,""),"")</f>
        <v/>
      </c>
      <c r="Z3402">
        <f>IF(ISNUMBER('자료_거시'!$K3384),'자료_거시'!$K3384,Z3401)</f>
        <v/>
      </c>
      <c r="AA3402">
        <f>IF(AND(ISNUMBER('자료_거시'!$J3384),ISNUMBER('자료_거시'!$K3384)),IFERROR('자료_거시'!$K3384/INDEX($Z$21:$Z$4020,MATCH(EDATE('자료_거시'!$J3384,-'설정'!$B$17),'자료_거시'!$J$3:INDEX('자료_거시'!$J$3:$J$4002,$K$8),1))-1,""),"")</f>
        <v/>
      </c>
      <c r="AB3402">
        <f>IF(ISNUMBER(AA3402),'자료_거시'!$J3384,"")</f>
        <v/>
      </c>
      <c r="AC3402">
        <f>IF(ISNUMBER(AB3402),IF(AB3402&gt;$L$8,AA3402,""),"")</f>
        <v/>
      </c>
    </row>
    <row r="3403">
      <c r="S3403">
        <f>IF(ISNUMBER('자료_거시'!$E3385),'자료_거시'!$E3385,S3402)</f>
        <v/>
      </c>
      <c r="T3403">
        <f>IF(AND(ISNUMBER('자료_거시'!$D3385),ISNUMBER('자료_거시'!$E3385)),IFERROR('자료_거시'!$E3385-INDEX($S$21:$S$4020,MATCH(EDATE('자료_거시'!$D3385,-'설정'!$B$17),'자료_거시'!$D$3:INDEX('자료_거시'!$D$3:$D$4002,$K$6),1)),""),"")</f>
        <v/>
      </c>
      <c r="U3403">
        <f>IF(ISNUMBER(T3403),'자료_거시'!$D3385,"")</f>
        <v/>
      </c>
      <c r="V3403">
        <f>IF(ISNUMBER(U3403),IF(U3403&gt;$L$6,T3403,""),"")</f>
        <v/>
      </c>
      <c r="W3403">
        <f>IF(AND(ISNUMBER('자료_거시'!$G3385),ISNUMBER('자료_거시'!$H3385)),'자료_거시'!$H3385,"")</f>
        <v/>
      </c>
      <c r="X3403">
        <f>IF(ISNUMBER(W3403),'자료_거시'!$G3385,"")</f>
        <v/>
      </c>
      <c r="Y3403">
        <f>IF(ISNUMBER(X3403),IF(X3403&gt;$L$7,W3403,""),"")</f>
        <v/>
      </c>
      <c r="Z3403">
        <f>IF(ISNUMBER('자료_거시'!$K3385),'자료_거시'!$K3385,Z3402)</f>
        <v/>
      </c>
      <c r="AA3403">
        <f>IF(AND(ISNUMBER('자료_거시'!$J3385),ISNUMBER('자료_거시'!$K3385)),IFERROR('자료_거시'!$K3385/INDEX($Z$21:$Z$4020,MATCH(EDATE('자료_거시'!$J3385,-'설정'!$B$17),'자료_거시'!$J$3:INDEX('자료_거시'!$J$3:$J$4002,$K$8),1))-1,""),"")</f>
        <v/>
      </c>
      <c r="AB3403">
        <f>IF(ISNUMBER(AA3403),'자료_거시'!$J3385,"")</f>
        <v/>
      </c>
      <c r="AC3403">
        <f>IF(ISNUMBER(AB3403),IF(AB3403&gt;$L$8,AA3403,""),"")</f>
        <v/>
      </c>
    </row>
    <row r="3404">
      <c r="S3404">
        <f>IF(ISNUMBER('자료_거시'!$E3386),'자료_거시'!$E3386,S3403)</f>
        <v/>
      </c>
      <c r="T3404">
        <f>IF(AND(ISNUMBER('자료_거시'!$D3386),ISNUMBER('자료_거시'!$E3386)),IFERROR('자료_거시'!$E3386-INDEX($S$21:$S$4020,MATCH(EDATE('자료_거시'!$D3386,-'설정'!$B$17),'자료_거시'!$D$3:INDEX('자료_거시'!$D$3:$D$4002,$K$6),1)),""),"")</f>
        <v/>
      </c>
      <c r="U3404">
        <f>IF(ISNUMBER(T3404),'자료_거시'!$D3386,"")</f>
        <v/>
      </c>
      <c r="V3404">
        <f>IF(ISNUMBER(U3404),IF(U3404&gt;$L$6,T3404,""),"")</f>
        <v/>
      </c>
      <c r="W3404">
        <f>IF(AND(ISNUMBER('자료_거시'!$G3386),ISNUMBER('자료_거시'!$H3386)),'자료_거시'!$H3386,"")</f>
        <v/>
      </c>
      <c r="X3404">
        <f>IF(ISNUMBER(W3404),'자료_거시'!$G3386,"")</f>
        <v/>
      </c>
      <c r="Y3404">
        <f>IF(ISNUMBER(X3404),IF(X3404&gt;$L$7,W3404,""),"")</f>
        <v/>
      </c>
      <c r="Z3404">
        <f>IF(ISNUMBER('자료_거시'!$K3386),'자료_거시'!$K3386,Z3403)</f>
        <v/>
      </c>
      <c r="AA3404">
        <f>IF(AND(ISNUMBER('자료_거시'!$J3386),ISNUMBER('자료_거시'!$K3386)),IFERROR('자료_거시'!$K3386/INDEX($Z$21:$Z$4020,MATCH(EDATE('자료_거시'!$J3386,-'설정'!$B$17),'자료_거시'!$J$3:INDEX('자료_거시'!$J$3:$J$4002,$K$8),1))-1,""),"")</f>
        <v/>
      </c>
      <c r="AB3404">
        <f>IF(ISNUMBER(AA3404),'자료_거시'!$J3386,"")</f>
        <v/>
      </c>
      <c r="AC3404">
        <f>IF(ISNUMBER(AB3404),IF(AB3404&gt;$L$8,AA3404,""),"")</f>
        <v/>
      </c>
    </row>
    <row r="3405">
      <c r="S3405">
        <f>IF(ISNUMBER('자료_거시'!$E3387),'자료_거시'!$E3387,S3404)</f>
        <v/>
      </c>
      <c r="T3405">
        <f>IF(AND(ISNUMBER('자료_거시'!$D3387),ISNUMBER('자료_거시'!$E3387)),IFERROR('자료_거시'!$E3387-INDEX($S$21:$S$4020,MATCH(EDATE('자료_거시'!$D3387,-'설정'!$B$17),'자료_거시'!$D$3:INDEX('자료_거시'!$D$3:$D$4002,$K$6),1)),""),"")</f>
        <v/>
      </c>
      <c r="U3405">
        <f>IF(ISNUMBER(T3405),'자료_거시'!$D3387,"")</f>
        <v/>
      </c>
      <c r="V3405">
        <f>IF(ISNUMBER(U3405),IF(U3405&gt;$L$6,T3405,""),"")</f>
        <v/>
      </c>
      <c r="W3405">
        <f>IF(AND(ISNUMBER('자료_거시'!$G3387),ISNUMBER('자료_거시'!$H3387)),'자료_거시'!$H3387,"")</f>
        <v/>
      </c>
      <c r="X3405">
        <f>IF(ISNUMBER(W3405),'자료_거시'!$G3387,"")</f>
        <v/>
      </c>
      <c r="Y3405">
        <f>IF(ISNUMBER(X3405),IF(X3405&gt;$L$7,W3405,""),"")</f>
        <v/>
      </c>
      <c r="Z3405">
        <f>IF(ISNUMBER('자료_거시'!$K3387),'자료_거시'!$K3387,Z3404)</f>
        <v/>
      </c>
      <c r="AA3405">
        <f>IF(AND(ISNUMBER('자료_거시'!$J3387),ISNUMBER('자료_거시'!$K3387)),IFERROR('자료_거시'!$K3387/INDEX($Z$21:$Z$4020,MATCH(EDATE('자료_거시'!$J3387,-'설정'!$B$17),'자료_거시'!$J$3:INDEX('자료_거시'!$J$3:$J$4002,$K$8),1))-1,""),"")</f>
        <v/>
      </c>
      <c r="AB3405">
        <f>IF(ISNUMBER(AA3405),'자료_거시'!$J3387,"")</f>
        <v/>
      </c>
      <c r="AC3405">
        <f>IF(ISNUMBER(AB3405),IF(AB3405&gt;$L$8,AA3405,""),"")</f>
        <v/>
      </c>
    </row>
    <row r="3406">
      <c r="S3406">
        <f>IF(ISNUMBER('자료_거시'!$E3388),'자료_거시'!$E3388,S3405)</f>
        <v/>
      </c>
      <c r="T3406">
        <f>IF(AND(ISNUMBER('자료_거시'!$D3388),ISNUMBER('자료_거시'!$E3388)),IFERROR('자료_거시'!$E3388-INDEX($S$21:$S$4020,MATCH(EDATE('자료_거시'!$D3388,-'설정'!$B$17),'자료_거시'!$D$3:INDEX('자료_거시'!$D$3:$D$4002,$K$6),1)),""),"")</f>
        <v/>
      </c>
      <c r="U3406">
        <f>IF(ISNUMBER(T3406),'자료_거시'!$D3388,"")</f>
        <v/>
      </c>
      <c r="V3406">
        <f>IF(ISNUMBER(U3406),IF(U3406&gt;$L$6,T3406,""),"")</f>
        <v/>
      </c>
      <c r="W3406">
        <f>IF(AND(ISNUMBER('자료_거시'!$G3388),ISNUMBER('자료_거시'!$H3388)),'자료_거시'!$H3388,"")</f>
        <v/>
      </c>
      <c r="X3406">
        <f>IF(ISNUMBER(W3406),'자료_거시'!$G3388,"")</f>
        <v/>
      </c>
      <c r="Y3406">
        <f>IF(ISNUMBER(X3406),IF(X3406&gt;$L$7,W3406,""),"")</f>
        <v/>
      </c>
      <c r="Z3406">
        <f>IF(ISNUMBER('자료_거시'!$K3388),'자료_거시'!$K3388,Z3405)</f>
        <v/>
      </c>
      <c r="AA3406">
        <f>IF(AND(ISNUMBER('자료_거시'!$J3388),ISNUMBER('자료_거시'!$K3388)),IFERROR('자료_거시'!$K3388/INDEX($Z$21:$Z$4020,MATCH(EDATE('자료_거시'!$J3388,-'설정'!$B$17),'자료_거시'!$J$3:INDEX('자료_거시'!$J$3:$J$4002,$K$8),1))-1,""),"")</f>
        <v/>
      </c>
      <c r="AB3406">
        <f>IF(ISNUMBER(AA3406),'자료_거시'!$J3388,"")</f>
        <v/>
      </c>
      <c r="AC3406">
        <f>IF(ISNUMBER(AB3406),IF(AB3406&gt;$L$8,AA3406,""),"")</f>
        <v/>
      </c>
    </row>
    <row r="3407">
      <c r="S3407">
        <f>IF(ISNUMBER('자료_거시'!$E3389),'자료_거시'!$E3389,S3406)</f>
        <v/>
      </c>
      <c r="T3407">
        <f>IF(AND(ISNUMBER('자료_거시'!$D3389),ISNUMBER('자료_거시'!$E3389)),IFERROR('자료_거시'!$E3389-INDEX($S$21:$S$4020,MATCH(EDATE('자료_거시'!$D3389,-'설정'!$B$17),'자료_거시'!$D$3:INDEX('자료_거시'!$D$3:$D$4002,$K$6),1)),""),"")</f>
        <v/>
      </c>
      <c r="U3407">
        <f>IF(ISNUMBER(T3407),'자료_거시'!$D3389,"")</f>
        <v/>
      </c>
      <c r="V3407">
        <f>IF(ISNUMBER(U3407),IF(U3407&gt;$L$6,T3407,""),"")</f>
        <v/>
      </c>
      <c r="W3407">
        <f>IF(AND(ISNUMBER('자료_거시'!$G3389),ISNUMBER('자료_거시'!$H3389)),'자료_거시'!$H3389,"")</f>
        <v/>
      </c>
      <c r="X3407">
        <f>IF(ISNUMBER(W3407),'자료_거시'!$G3389,"")</f>
        <v/>
      </c>
      <c r="Y3407">
        <f>IF(ISNUMBER(X3407),IF(X3407&gt;$L$7,W3407,""),"")</f>
        <v/>
      </c>
      <c r="Z3407">
        <f>IF(ISNUMBER('자료_거시'!$K3389),'자료_거시'!$K3389,Z3406)</f>
        <v/>
      </c>
      <c r="AA3407">
        <f>IF(AND(ISNUMBER('자료_거시'!$J3389),ISNUMBER('자료_거시'!$K3389)),IFERROR('자료_거시'!$K3389/INDEX($Z$21:$Z$4020,MATCH(EDATE('자료_거시'!$J3389,-'설정'!$B$17),'자료_거시'!$J$3:INDEX('자료_거시'!$J$3:$J$4002,$K$8),1))-1,""),"")</f>
        <v/>
      </c>
      <c r="AB3407">
        <f>IF(ISNUMBER(AA3407),'자료_거시'!$J3389,"")</f>
        <v/>
      </c>
      <c r="AC3407">
        <f>IF(ISNUMBER(AB3407),IF(AB3407&gt;$L$8,AA3407,""),"")</f>
        <v/>
      </c>
    </row>
    <row r="3408">
      <c r="S3408">
        <f>IF(ISNUMBER('자료_거시'!$E3390),'자료_거시'!$E3390,S3407)</f>
        <v/>
      </c>
      <c r="T3408">
        <f>IF(AND(ISNUMBER('자료_거시'!$D3390),ISNUMBER('자료_거시'!$E3390)),IFERROR('자료_거시'!$E3390-INDEX($S$21:$S$4020,MATCH(EDATE('자료_거시'!$D3390,-'설정'!$B$17),'자료_거시'!$D$3:INDEX('자료_거시'!$D$3:$D$4002,$K$6),1)),""),"")</f>
        <v/>
      </c>
      <c r="U3408">
        <f>IF(ISNUMBER(T3408),'자료_거시'!$D3390,"")</f>
        <v/>
      </c>
      <c r="V3408">
        <f>IF(ISNUMBER(U3408),IF(U3408&gt;$L$6,T3408,""),"")</f>
        <v/>
      </c>
      <c r="W3408">
        <f>IF(AND(ISNUMBER('자료_거시'!$G3390),ISNUMBER('자료_거시'!$H3390)),'자료_거시'!$H3390,"")</f>
        <v/>
      </c>
      <c r="X3408">
        <f>IF(ISNUMBER(W3408),'자료_거시'!$G3390,"")</f>
        <v/>
      </c>
      <c r="Y3408">
        <f>IF(ISNUMBER(X3408),IF(X3408&gt;$L$7,W3408,""),"")</f>
        <v/>
      </c>
      <c r="Z3408">
        <f>IF(ISNUMBER('자료_거시'!$K3390),'자료_거시'!$K3390,Z3407)</f>
        <v/>
      </c>
      <c r="AA3408">
        <f>IF(AND(ISNUMBER('자료_거시'!$J3390),ISNUMBER('자료_거시'!$K3390)),IFERROR('자료_거시'!$K3390/INDEX($Z$21:$Z$4020,MATCH(EDATE('자료_거시'!$J3390,-'설정'!$B$17),'자료_거시'!$J$3:INDEX('자료_거시'!$J$3:$J$4002,$K$8),1))-1,""),"")</f>
        <v/>
      </c>
      <c r="AB3408">
        <f>IF(ISNUMBER(AA3408),'자료_거시'!$J3390,"")</f>
        <v/>
      </c>
      <c r="AC3408">
        <f>IF(ISNUMBER(AB3408),IF(AB3408&gt;$L$8,AA3408,""),"")</f>
        <v/>
      </c>
    </row>
    <row r="3409">
      <c r="S3409">
        <f>IF(ISNUMBER('자료_거시'!$E3391),'자료_거시'!$E3391,S3408)</f>
        <v/>
      </c>
      <c r="T3409">
        <f>IF(AND(ISNUMBER('자료_거시'!$D3391),ISNUMBER('자료_거시'!$E3391)),IFERROR('자료_거시'!$E3391-INDEX($S$21:$S$4020,MATCH(EDATE('자료_거시'!$D3391,-'설정'!$B$17),'자료_거시'!$D$3:INDEX('자료_거시'!$D$3:$D$4002,$K$6),1)),""),"")</f>
        <v/>
      </c>
      <c r="U3409">
        <f>IF(ISNUMBER(T3409),'자료_거시'!$D3391,"")</f>
        <v/>
      </c>
      <c r="V3409">
        <f>IF(ISNUMBER(U3409),IF(U3409&gt;$L$6,T3409,""),"")</f>
        <v/>
      </c>
      <c r="W3409">
        <f>IF(AND(ISNUMBER('자료_거시'!$G3391),ISNUMBER('자료_거시'!$H3391)),'자료_거시'!$H3391,"")</f>
        <v/>
      </c>
      <c r="X3409">
        <f>IF(ISNUMBER(W3409),'자료_거시'!$G3391,"")</f>
        <v/>
      </c>
      <c r="Y3409">
        <f>IF(ISNUMBER(X3409),IF(X3409&gt;$L$7,W3409,""),"")</f>
        <v/>
      </c>
      <c r="Z3409">
        <f>IF(ISNUMBER('자료_거시'!$K3391),'자료_거시'!$K3391,Z3408)</f>
        <v/>
      </c>
      <c r="AA3409">
        <f>IF(AND(ISNUMBER('자료_거시'!$J3391),ISNUMBER('자료_거시'!$K3391)),IFERROR('자료_거시'!$K3391/INDEX($Z$21:$Z$4020,MATCH(EDATE('자료_거시'!$J3391,-'설정'!$B$17),'자료_거시'!$J$3:INDEX('자료_거시'!$J$3:$J$4002,$K$8),1))-1,""),"")</f>
        <v/>
      </c>
      <c r="AB3409">
        <f>IF(ISNUMBER(AA3409),'자료_거시'!$J3391,"")</f>
        <v/>
      </c>
      <c r="AC3409">
        <f>IF(ISNUMBER(AB3409),IF(AB3409&gt;$L$8,AA3409,""),"")</f>
        <v/>
      </c>
    </row>
    <row r="3410">
      <c r="S3410">
        <f>IF(ISNUMBER('자료_거시'!$E3392),'자료_거시'!$E3392,S3409)</f>
        <v/>
      </c>
      <c r="T3410">
        <f>IF(AND(ISNUMBER('자료_거시'!$D3392),ISNUMBER('자료_거시'!$E3392)),IFERROR('자료_거시'!$E3392-INDEX($S$21:$S$4020,MATCH(EDATE('자료_거시'!$D3392,-'설정'!$B$17),'자료_거시'!$D$3:INDEX('자료_거시'!$D$3:$D$4002,$K$6),1)),""),"")</f>
        <v/>
      </c>
      <c r="U3410">
        <f>IF(ISNUMBER(T3410),'자료_거시'!$D3392,"")</f>
        <v/>
      </c>
      <c r="V3410">
        <f>IF(ISNUMBER(U3410),IF(U3410&gt;$L$6,T3410,""),"")</f>
        <v/>
      </c>
      <c r="W3410">
        <f>IF(AND(ISNUMBER('자료_거시'!$G3392),ISNUMBER('자료_거시'!$H3392)),'자료_거시'!$H3392,"")</f>
        <v/>
      </c>
      <c r="X3410">
        <f>IF(ISNUMBER(W3410),'자료_거시'!$G3392,"")</f>
        <v/>
      </c>
      <c r="Y3410">
        <f>IF(ISNUMBER(X3410),IF(X3410&gt;$L$7,W3410,""),"")</f>
        <v/>
      </c>
      <c r="Z3410">
        <f>IF(ISNUMBER('자료_거시'!$K3392),'자료_거시'!$K3392,Z3409)</f>
        <v/>
      </c>
      <c r="AA3410">
        <f>IF(AND(ISNUMBER('자료_거시'!$J3392),ISNUMBER('자료_거시'!$K3392)),IFERROR('자료_거시'!$K3392/INDEX($Z$21:$Z$4020,MATCH(EDATE('자료_거시'!$J3392,-'설정'!$B$17),'자료_거시'!$J$3:INDEX('자료_거시'!$J$3:$J$4002,$K$8),1))-1,""),"")</f>
        <v/>
      </c>
      <c r="AB3410">
        <f>IF(ISNUMBER(AA3410),'자료_거시'!$J3392,"")</f>
        <v/>
      </c>
      <c r="AC3410">
        <f>IF(ISNUMBER(AB3410),IF(AB3410&gt;$L$8,AA3410,""),"")</f>
        <v/>
      </c>
    </row>
    <row r="3411">
      <c r="S3411">
        <f>IF(ISNUMBER('자료_거시'!$E3393),'자료_거시'!$E3393,S3410)</f>
        <v/>
      </c>
      <c r="T3411">
        <f>IF(AND(ISNUMBER('자료_거시'!$D3393),ISNUMBER('자료_거시'!$E3393)),IFERROR('자료_거시'!$E3393-INDEX($S$21:$S$4020,MATCH(EDATE('자료_거시'!$D3393,-'설정'!$B$17),'자료_거시'!$D$3:INDEX('자료_거시'!$D$3:$D$4002,$K$6),1)),""),"")</f>
        <v/>
      </c>
      <c r="U3411">
        <f>IF(ISNUMBER(T3411),'자료_거시'!$D3393,"")</f>
        <v/>
      </c>
      <c r="V3411">
        <f>IF(ISNUMBER(U3411),IF(U3411&gt;$L$6,T3411,""),"")</f>
        <v/>
      </c>
      <c r="W3411">
        <f>IF(AND(ISNUMBER('자료_거시'!$G3393),ISNUMBER('자료_거시'!$H3393)),'자료_거시'!$H3393,"")</f>
        <v/>
      </c>
      <c r="X3411">
        <f>IF(ISNUMBER(W3411),'자료_거시'!$G3393,"")</f>
        <v/>
      </c>
      <c r="Y3411">
        <f>IF(ISNUMBER(X3411),IF(X3411&gt;$L$7,W3411,""),"")</f>
        <v/>
      </c>
      <c r="Z3411">
        <f>IF(ISNUMBER('자료_거시'!$K3393),'자료_거시'!$K3393,Z3410)</f>
        <v/>
      </c>
      <c r="AA3411">
        <f>IF(AND(ISNUMBER('자료_거시'!$J3393),ISNUMBER('자료_거시'!$K3393)),IFERROR('자료_거시'!$K3393/INDEX($Z$21:$Z$4020,MATCH(EDATE('자료_거시'!$J3393,-'설정'!$B$17),'자료_거시'!$J$3:INDEX('자료_거시'!$J$3:$J$4002,$K$8),1))-1,""),"")</f>
        <v/>
      </c>
      <c r="AB3411">
        <f>IF(ISNUMBER(AA3411),'자료_거시'!$J3393,"")</f>
        <v/>
      </c>
      <c r="AC3411">
        <f>IF(ISNUMBER(AB3411),IF(AB3411&gt;$L$8,AA3411,""),"")</f>
        <v/>
      </c>
    </row>
    <row r="3412">
      <c r="S3412">
        <f>IF(ISNUMBER('자료_거시'!$E3394),'자료_거시'!$E3394,S3411)</f>
        <v/>
      </c>
      <c r="T3412">
        <f>IF(AND(ISNUMBER('자료_거시'!$D3394),ISNUMBER('자료_거시'!$E3394)),IFERROR('자료_거시'!$E3394-INDEX($S$21:$S$4020,MATCH(EDATE('자료_거시'!$D3394,-'설정'!$B$17),'자료_거시'!$D$3:INDEX('자료_거시'!$D$3:$D$4002,$K$6),1)),""),"")</f>
        <v/>
      </c>
      <c r="U3412">
        <f>IF(ISNUMBER(T3412),'자료_거시'!$D3394,"")</f>
        <v/>
      </c>
      <c r="V3412">
        <f>IF(ISNUMBER(U3412),IF(U3412&gt;$L$6,T3412,""),"")</f>
        <v/>
      </c>
      <c r="W3412">
        <f>IF(AND(ISNUMBER('자료_거시'!$G3394),ISNUMBER('자료_거시'!$H3394)),'자료_거시'!$H3394,"")</f>
        <v/>
      </c>
      <c r="X3412">
        <f>IF(ISNUMBER(W3412),'자료_거시'!$G3394,"")</f>
        <v/>
      </c>
      <c r="Y3412">
        <f>IF(ISNUMBER(X3412),IF(X3412&gt;$L$7,W3412,""),"")</f>
        <v/>
      </c>
      <c r="Z3412">
        <f>IF(ISNUMBER('자료_거시'!$K3394),'자료_거시'!$K3394,Z3411)</f>
        <v/>
      </c>
      <c r="AA3412">
        <f>IF(AND(ISNUMBER('자료_거시'!$J3394),ISNUMBER('자료_거시'!$K3394)),IFERROR('자료_거시'!$K3394/INDEX($Z$21:$Z$4020,MATCH(EDATE('자료_거시'!$J3394,-'설정'!$B$17),'자료_거시'!$J$3:INDEX('자료_거시'!$J$3:$J$4002,$K$8),1))-1,""),"")</f>
        <v/>
      </c>
      <c r="AB3412">
        <f>IF(ISNUMBER(AA3412),'자료_거시'!$J3394,"")</f>
        <v/>
      </c>
      <c r="AC3412">
        <f>IF(ISNUMBER(AB3412),IF(AB3412&gt;$L$8,AA3412,""),"")</f>
        <v/>
      </c>
    </row>
    <row r="3413">
      <c r="S3413">
        <f>IF(ISNUMBER('자료_거시'!$E3395),'자료_거시'!$E3395,S3412)</f>
        <v/>
      </c>
      <c r="T3413">
        <f>IF(AND(ISNUMBER('자료_거시'!$D3395),ISNUMBER('자료_거시'!$E3395)),IFERROR('자료_거시'!$E3395-INDEX($S$21:$S$4020,MATCH(EDATE('자료_거시'!$D3395,-'설정'!$B$17),'자료_거시'!$D$3:INDEX('자료_거시'!$D$3:$D$4002,$K$6),1)),""),"")</f>
        <v/>
      </c>
      <c r="U3413">
        <f>IF(ISNUMBER(T3413),'자료_거시'!$D3395,"")</f>
        <v/>
      </c>
      <c r="V3413">
        <f>IF(ISNUMBER(U3413),IF(U3413&gt;$L$6,T3413,""),"")</f>
        <v/>
      </c>
      <c r="W3413">
        <f>IF(AND(ISNUMBER('자료_거시'!$G3395),ISNUMBER('자료_거시'!$H3395)),'자료_거시'!$H3395,"")</f>
        <v/>
      </c>
      <c r="X3413">
        <f>IF(ISNUMBER(W3413),'자료_거시'!$G3395,"")</f>
        <v/>
      </c>
      <c r="Y3413">
        <f>IF(ISNUMBER(X3413),IF(X3413&gt;$L$7,W3413,""),"")</f>
        <v/>
      </c>
      <c r="Z3413">
        <f>IF(ISNUMBER('자료_거시'!$K3395),'자료_거시'!$K3395,Z3412)</f>
        <v/>
      </c>
      <c r="AA3413">
        <f>IF(AND(ISNUMBER('자료_거시'!$J3395),ISNUMBER('자료_거시'!$K3395)),IFERROR('자료_거시'!$K3395/INDEX($Z$21:$Z$4020,MATCH(EDATE('자료_거시'!$J3395,-'설정'!$B$17),'자료_거시'!$J$3:INDEX('자료_거시'!$J$3:$J$4002,$K$8),1))-1,""),"")</f>
        <v/>
      </c>
      <c r="AB3413">
        <f>IF(ISNUMBER(AA3413),'자료_거시'!$J3395,"")</f>
        <v/>
      </c>
      <c r="AC3413">
        <f>IF(ISNUMBER(AB3413),IF(AB3413&gt;$L$8,AA3413,""),"")</f>
        <v/>
      </c>
    </row>
    <row r="3414">
      <c r="S3414">
        <f>IF(ISNUMBER('자료_거시'!$E3396),'자료_거시'!$E3396,S3413)</f>
        <v/>
      </c>
      <c r="T3414">
        <f>IF(AND(ISNUMBER('자료_거시'!$D3396),ISNUMBER('자료_거시'!$E3396)),IFERROR('자료_거시'!$E3396-INDEX($S$21:$S$4020,MATCH(EDATE('자료_거시'!$D3396,-'설정'!$B$17),'자료_거시'!$D$3:INDEX('자료_거시'!$D$3:$D$4002,$K$6),1)),""),"")</f>
        <v/>
      </c>
      <c r="U3414">
        <f>IF(ISNUMBER(T3414),'자료_거시'!$D3396,"")</f>
        <v/>
      </c>
      <c r="V3414">
        <f>IF(ISNUMBER(U3414),IF(U3414&gt;$L$6,T3414,""),"")</f>
        <v/>
      </c>
      <c r="W3414">
        <f>IF(AND(ISNUMBER('자료_거시'!$G3396),ISNUMBER('자료_거시'!$H3396)),'자료_거시'!$H3396,"")</f>
        <v/>
      </c>
      <c r="X3414">
        <f>IF(ISNUMBER(W3414),'자료_거시'!$G3396,"")</f>
        <v/>
      </c>
      <c r="Y3414">
        <f>IF(ISNUMBER(X3414),IF(X3414&gt;$L$7,W3414,""),"")</f>
        <v/>
      </c>
      <c r="Z3414">
        <f>IF(ISNUMBER('자료_거시'!$K3396),'자료_거시'!$K3396,Z3413)</f>
        <v/>
      </c>
      <c r="AA3414">
        <f>IF(AND(ISNUMBER('자료_거시'!$J3396),ISNUMBER('자료_거시'!$K3396)),IFERROR('자료_거시'!$K3396/INDEX($Z$21:$Z$4020,MATCH(EDATE('자료_거시'!$J3396,-'설정'!$B$17),'자료_거시'!$J$3:INDEX('자료_거시'!$J$3:$J$4002,$K$8),1))-1,""),"")</f>
        <v/>
      </c>
      <c r="AB3414">
        <f>IF(ISNUMBER(AA3414),'자료_거시'!$J3396,"")</f>
        <v/>
      </c>
      <c r="AC3414">
        <f>IF(ISNUMBER(AB3414),IF(AB3414&gt;$L$8,AA3414,""),"")</f>
        <v/>
      </c>
    </row>
    <row r="3415">
      <c r="S3415">
        <f>IF(ISNUMBER('자료_거시'!$E3397),'자료_거시'!$E3397,S3414)</f>
        <v/>
      </c>
      <c r="T3415">
        <f>IF(AND(ISNUMBER('자료_거시'!$D3397),ISNUMBER('자료_거시'!$E3397)),IFERROR('자료_거시'!$E3397-INDEX($S$21:$S$4020,MATCH(EDATE('자료_거시'!$D3397,-'설정'!$B$17),'자료_거시'!$D$3:INDEX('자료_거시'!$D$3:$D$4002,$K$6),1)),""),"")</f>
        <v/>
      </c>
      <c r="U3415">
        <f>IF(ISNUMBER(T3415),'자료_거시'!$D3397,"")</f>
        <v/>
      </c>
      <c r="V3415">
        <f>IF(ISNUMBER(U3415),IF(U3415&gt;$L$6,T3415,""),"")</f>
        <v/>
      </c>
      <c r="W3415">
        <f>IF(AND(ISNUMBER('자료_거시'!$G3397),ISNUMBER('자료_거시'!$H3397)),'자료_거시'!$H3397,"")</f>
        <v/>
      </c>
      <c r="X3415">
        <f>IF(ISNUMBER(W3415),'자료_거시'!$G3397,"")</f>
        <v/>
      </c>
      <c r="Y3415">
        <f>IF(ISNUMBER(X3415),IF(X3415&gt;$L$7,W3415,""),"")</f>
        <v/>
      </c>
      <c r="Z3415">
        <f>IF(ISNUMBER('자료_거시'!$K3397),'자료_거시'!$K3397,Z3414)</f>
        <v/>
      </c>
      <c r="AA3415">
        <f>IF(AND(ISNUMBER('자료_거시'!$J3397),ISNUMBER('자료_거시'!$K3397)),IFERROR('자료_거시'!$K3397/INDEX($Z$21:$Z$4020,MATCH(EDATE('자료_거시'!$J3397,-'설정'!$B$17),'자료_거시'!$J$3:INDEX('자료_거시'!$J$3:$J$4002,$K$8),1))-1,""),"")</f>
        <v/>
      </c>
      <c r="AB3415">
        <f>IF(ISNUMBER(AA3415),'자료_거시'!$J3397,"")</f>
        <v/>
      </c>
      <c r="AC3415">
        <f>IF(ISNUMBER(AB3415),IF(AB3415&gt;$L$8,AA3415,""),"")</f>
        <v/>
      </c>
    </row>
    <row r="3416">
      <c r="S3416">
        <f>IF(ISNUMBER('자료_거시'!$E3398),'자료_거시'!$E3398,S3415)</f>
        <v/>
      </c>
      <c r="T3416">
        <f>IF(AND(ISNUMBER('자료_거시'!$D3398),ISNUMBER('자료_거시'!$E3398)),IFERROR('자료_거시'!$E3398-INDEX($S$21:$S$4020,MATCH(EDATE('자료_거시'!$D3398,-'설정'!$B$17),'자료_거시'!$D$3:INDEX('자료_거시'!$D$3:$D$4002,$K$6),1)),""),"")</f>
        <v/>
      </c>
      <c r="U3416">
        <f>IF(ISNUMBER(T3416),'자료_거시'!$D3398,"")</f>
        <v/>
      </c>
      <c r="V3416">
        <f>IF(ISNUMBER(U3416),IF(U3416&gt;$L$6,T3416,""),"")</f>
        <v/>
      </c>
      <c r="W3416">
        <f>IF(AND(ISNUMBER('자료_거시'!$G3398),ISNUMBER('자료_거시'!$H3398)),'자료_거시'!$H3398,"")</f>
        <v/>
      </c>
      <c r="X3416">
        <f>IF(ISNUMBER(W3416),'자료_거시'!$G3398,"")</f>
        <v/>
      </c>
      <c r="Y3416">
        <f>IF(ISNUMBER(X3416),IF(X3416&gt;$L$7,W3416,""),"")</f>
        <v/>
      </c>
      <c r="Z3416">
        <f>IF(ISNUMBER('자료_거시'!$K3398),'자료_거시'!$K3398,Z3415)</f>
        <v/>
      </c>
      <c r="AA3416">
        <f>IF(AND(ISNUMBER('자료_거시'!$J3398),ISNUMBER('자료_거시'!$K3398)),IFERROR('자료_거시'!$K3398/INDEX($Z$21:$Z$4020,MATCH(EDATE('자료_거시'!$J3398,-'설정'!$B$17),'자료_거시'!$J$3:INDEX('자료_거시'!$J$3:$J$4002,$K$8),1))-1,""),"")</f>
        <v/>
      </c>
      <c r="AB3416">
        <f>IF(ISNUMBER(AA3416),'자료_거시'!$J3398,"")</f>
        <v/>
      </c>
      <c r="AC3416">
        <f>IF(ISNUMBER(AB3416),IF(AB3416&gt;$L$8,AA3416,""),"")</f>
        <v/>
      </c>
    </row>
    <row r="3417">
      <c r="S3417">
        <f>IF(ISNUMBER('자료_거시'!$E3399),'자료_거시'!$E3399,S3416)</f>
        <v/>
      </c>
      <c r="T3417">
        <f>IF(AND(ISNUMBER('자료_거시'!$D3399),ISNUMBER('자료_거시'!$E3399)),IFERROR('자료_거시'!$E3399-INDEX($S$21:$S$4020,MATCH(EDATE('자료_거시'!$D3399,-'설정'!$B$17),'자료_거시'!$D$3:INDEX('자료_거시'!$D$3:$D$4002,$K$6),1)),""),"")</f>
        <v/>
      </c>
      <c r="U3417">
        <f>IF(ISNUMBER(T3417),'자료_거시'!$D3399,"")</f>
        <v/>
      </c>
      <c r="V3417">
        <f>IF(ISNUMBER(U3417),IF(U3417&gt;$L$6,T3417,""),"")</f>
        <v/>
      </c>
      <c r="W3417">
        <f>IF(AND(ISNUMBER('자료_거시'!$G3399),ISNUMBER('자료_거시'!$H3399)),'자료_거시'!$H3399,"")</f>
        <v/>
      </c>
      <c r="X3417">
        <f>IF(ISNUMBER(W3417),'자료_거시'!$G3399,"")</f>
        <v/>
      </c>
      <c r="Y3417">
        <f>IF(ISNUMBER(X3417),IF(X3417&gt;$L$7,W3417,""),"")</f>
        <v/>
      </c>
      <c r="Z3417">
        <f>IF(ISNUMBER('자료_거시'!$K3399),'자료_거시'!$K3399,Z3416)</f>
        <v/>
      </c>
      <c r="AA3417">
        <f>IF(AND(ISNUMBER('자료_거시'!$J3399),ISNUMBER('자료_거시'!$K3399)),IFERROR('자료_거시'!$K3399/INDEX($Z$21:$Z$4020,MATCH(EDATE('자료_거시'!$J3399,-'설정'!$B$17),'자료_거시'!$J$3:INDEX('자료_거시'!$J$3:$J$4002,$K$8),1))-1,""),"")</f>
        <v/>
      </c>
      <c r="AB3417">
        <f>IF(ISNUMBER(AA3417),'자료_거시'!$J3399,"")</f>
        <v/>
      </c>
      <c r="AC3417">
        <f>IF(ISNUMBER(AB3417),IF(AB3417&gt;$L$8,AA3417,""),"")</f>
        <v/>
      </c>
    </row>
    <row r="3418">
      <c r="S3418">
        <f>IF(ISNUMBER('자료_거시'!$E3400),'자료_거시'!$E3400,S3417)</f>
        <v/>
      </c>
      <c r="T3418">
        <f>IF(AND(ISNUMBER('자료_거시'!$D3400),ISNUMBER('자료_거시'!$E3400)),IFERROR('자료_거시'!$E3400-INDEX($S$21:$S$4020,MATCH(EDATE('자료_거시'!$D3400,-'설정'!$B$17),'자료_거시'!$D$3:INDEX('자료_거시'!$D$3:$D$4002,$K$6),1)),""),"")</f>
        <v/>
      </c>
      <c r="U3418">
        <f>IF(ISNUMBER(T3418),'자료_거시'!$D3400,"")</f>
        <v/>
      </c>
      <c r="V3418">
        <f>IF(ISNUMBER(U3418),IF(U3418&gt;$L$6,T3418,""),"")</f>
        <v/>
      </c>
      <c r="W3418">
        <f>IF(AND(ISNUMBER('자료_거시'!$G3400),ISNUMBER('자료_거시'!$H3400)),'자료_거시'!$H3400,"")</f>
        <v/>
      </c>
      <c r="X3418">
        <f>IF(ISNUMBER(W3418),'자료_거시'!$G3400,"")</f>
        <v/>
      </c>
      <c r="Y3418">
        <f>IF(ISNUMBER(X3418),IF(X3418&gt;$L$7,W3418,""),"")</f>
        <v/>
      </c>
      <c r="Z3418">
        <f>IF(ISNUMBER('자료_거시'!$K3400),'자료_거시'!$K3400,Z3417)</f>
        <v/>
      </c>
      <c r="AA3418">
        <f>IF(AND(ISNUMBER('자료_거시'!$J3400),ISNUMBER('자료_거시'!$K3400)),IFERROR('자료_거시'!$K3400/INDEX($Z$21:$Z$4020,MATCH(EDATE('자료_거시'!$J3400,-'설정'!$B$17),'자료_거시'!$J$3:INDEX('자료_거시'!$J$3:$J$4002,$K$8),1))-1,""),"")</f>
        <v/>
      </c>
      <c r="AB3418">
        <f>IF(ISNUMBER(AA3418),'자료_거시'!$J3400,"")</f>
        <v/>
      </c>
      <c r="AC3418">
        <f>IF(ISNUMBER(AB3418),IF(AB3418&gt;$L$8,AA3418,""),"")</f>
        <v/>
      </c>
    </row>
    <row r="3419">
      <c r="S3419">
        <f>IF(ISNUMBER('자료_거시'!$E3401),'자료_거시'!$E3401,S3418)</f>
        <v/>
      </c>
      <c r="T3419">
        <f>IF(AND(ISNUMBER('자료_거시'!$D3401),ISNUMBER('자료_거시'!$E3401)),IFERROR('자료_거시'!$E3401-INDEX($S$21:$S$4020,MATCH(EDATE('자료_거시'!$D3401,-'설정'!$B$17),'자료_거시'!$D$3:INDEX('자료_거시'!$D$3:$D$4002,$K$6),1)),""),"")</f>
        <v/>
      </c>
      <c r="U3419">
        <f>IF(ISNUMBER(T3419),'자료_거시'!$D3401,"")</f>
        <v/>
      </c>
      <c r="V3419">
        <f>IF(ISNUMBER(U3419),IF(U3419&gt;$L$6,T3419,""),"")</f>
        <v/>
      </c>
      <c r="W3419">
        <f>IF(AND(ISNUMBER('자료_거시'!$G3401),ISNUMBER('자료_거시'!$H3401)),'자료_거시'!$H3401,"")</f>
        <v/>
      </c>
      <c r="X3419">
        <f>IF(ISNUMBER(W3419),'자료_거시'!$G3401,"")</f>
        <v/>
      </c>
      <c r="Y3419">
        <f>IF(ISNUMBER(X3419),IF(X3419&gt;$L$7,W3419,""),"")</f>
        <v/>
      </c>
      <c r="Z3419">
        <f>IF(ISNUMBER('자료_거시'!$K3401),'자료_거시'!$K3401,Z3418)</f>
        <v/>
      </c>
      <c r="AA3419">
        <f>IF(AND(ISNUMBER('자료_거시'!$J3401),ISNUMBER('자료_거시'!$K3401)),IFERROR('자료_거시'!$K3401/INDEX($Z$21:$Z$4020,MATCH(EDATE('자료_거시'!$J3401,-'설정'!$B$17),'자료_거시'!$J$3:INDEX('자료_거시'!$J$3:$J$4002,$K$8),1))-1,""),"")</f>
        <v/>
      </c>
      <c r="AB3419">
        <f>IF(ISNUMBER(AA3419),'자료_거시'!$J3401,"")</f>
        <v/>
      </c>
      <c r="AC3419">
        <f>IF(ISNUMBER(AB3419),IF(AB3419&gt;$L$8,AA3419,""),"")</f>
        <v/>
      </c>
    </row>
    <row r="3420">
      <c r="S3420">
        <f>IF(ISNUMBER('자료_거시'!$E3402),'자료_거시'!$E3402,S3419)</f>
        <v/>
      </c>
      <c r="T3420">
        <f>IF(AND(ISNUMBER('자료_거시'!$D3402),ISNUMBER('자료_거시'!$E3402)),IFERROR('자료_거시'!$E3402-INDEX($S$21:$S$4020,MATCH(EDATE('자료_거시'!$D3402,-'설정'!$B$17),'자료_거시'!$D$3:INDEX('자료_거시'!$D$3:$D$4002,$K$6),1)),""),"")</f>
        <v/>
      </c>
      <c r="U3420">
        <f>IF(ISNUMBER(T3420),'자료_거시'!$D3402,"")</f>
        <v/>
      </c>
      <c r="V3420">
        <f>IF(ISNUMBER(U3420),IF(U3420&gt;$L$6,T3420,""),"")</f>
        <v/>
      </c>
      <c r="W3420">
        <f>IF(AND(ISNUMBER('자료_거시'!$G3402),ISNUMBER('자료_거시'!$H3402)),'자료_거시'!$H3402,"")</f>
        <v/>
      </c>
      <c r="X3420">
        <f>IF(ISNUMBER(W3420),'자료_거시'!$G3402,"")</f>
        <v/>
      </c>
      <c r="Y3420">
        <f>IF(ISNUMBER(X3420),IF(X3420&gt;$L$7,W3420,""),"")</f>
        <v/>
      </c>
      <c r="Z3420">
        <f>IF(ISNUMBER('자료_거시'!$K3402),'자료_거시'!$K3402,Z3419)</f>
        <v/>
      </c>
      <c r="AA3420">
        <f>IF(AND(ISNUMBER('자료_거시'!$J3402),ISNUMBER('자료_거시'!$K3402)),IFERROR('자료_거시'!$K3402/INDEX($Z$21:$Z$4020,MATCH(EDATE('자료_거시'!$J3402,-'설정'!$B$17),'자료_거시'!$J$3:INDEX('자료_거시'!$J$3:$J$4002,$K$8),1))-1,""),"")</f>
        <v/>
      </c>
      <c r="AB3420">
        <f>IF(ISNUMBER(AA3420),'자료_거시'!$J3402,"")</f>
        <v/>
      </c>
      <c r="AC3420">
        <f>IF(ISNUMBER(AB3420),IF(AB3420&gt;$L$8,AA3420,""),"")</f>
        <v/>
      </c>
    </row>
    <row r="3421">
      <c r="S3421">
        <f>IF(ISNUMBER('자료_거시'!$E3403),'자료_거시'!$E3403,S3420)</f>
        <v/>
      </c>
      <c r="T3421">
        <f>IF(AND(ISNUMBER('자료_거시'!$D3403),ISNUMBER('자료_거시'!$E3403)),IFERROR('자료_거시'!$E3403-INDEX($S$21:$S$4020,MATCH(EDATE('자료_거시'!$D3403,-'설정'!$B$17),'자료_거시'!$D$3:INDEX('자료_거시'!$D$3:$D$4002,$K$6),1)),""),"")</f>
        <v/>
      </c>
      <c r="U3421">
        <f>IF(ISNUMBER(T3421),'자료_거시'!$D3403,"")</f>
        <v/>
      </c>
      <c r="V3421">
        <f>IF(ISNUMBER(U3421),IF(U3421&gt;$L$6,T3421,""),"")</f>
        <v/>
      </c>
      <c r="W3421">
        <f>IF(AND(ISNUMBER('자료_거시'!$G3403),ISNUMBER('자료_거시'!$H3403)),'자료_거시'!$H3403,"")</f>
        <v/>
      </c>
      <c r="X3421">
        <f>IF(ISNUMBER(W3421),'자료_거시'!$G3403,"")</f>
        <v/>
      </c>
      <c r="Y3421">
        <f>IF(ISNUMBER(X3421),IF(X3421&gt;$L$7,W3421,""),"")</f>
        <v/>
      </c>
      <c r="Z3421">
        <f>IF(ISNUMBER('자료_거시'!$K3403),'자료_거시'!$K3403,Z3420)</f>
        <v/>
      </c>
      <c r="AA3421">
        <f>IF(AND(ISNUMBER('자료_거시'!$J3403),ISNUMBER('자료_거시'!$K3403)),IFERROR('자료_거시'!$K3403/INDEX($Z$21:$Z$4020,MATCH(EDATE('자료_거시'!$J3403,-'설정'!$B$17),'자료_거시'!$J$3:INDEX('자료_거시'!$J$3:$J$4002,$K$8),1))-1,""),"")</f>
        <v/>
      </c>
      <c r="AB3421">
        <f>IF(ISNUMBER(AA3421),'자료_거시'!$J3403,"")</f>
        <v/>
      </c>
      <c r="AC3421">
        <f>IF(ISNUMBER(AB3421),IF(AB3421&gt;$L$8,AA3421,""),"")</f>
        <v/>
      </c>
    </row>
    <row r="3422">
      <c r="S3422">
        <f>IF(ISNUMBER('자료_거시'!$E3404),'자료_거시'!$E3404,S3421)</f>
        <v/>
      </c>
      <c r="T3422">
        <f>IF(AND(ISNUMBER('자료_거시'!$D3404),ISNUMBER('자료_거시'!$E3404)),IFERROR('자료_거시'!$E3404-INDEX($S$21:$S$4020,MATCH(EDATE('자료_거시'!$D3404,-'설정'!$B$17),'자료_거시'!$D$3:INDEX('자료_거시'!$D$3:$D$4002,$K$6),1)),""),"")</f>
        <v/>
      </c>
      <c r="U3422">
        <f>IF(ISNUMBER(T3422),'자료_거시'!$D3404,"")</f>
        <v/>
      </c>
      <c r="V3422">
        <f>IF(ISNUMBER(U3422),IF(U3422&gt;$L$6,T3422,""),"")</f>
        <v/>
      </c>
      <c r="W3422">
        <f>IF(AND(ISNUMBER('자료_거시'!$G3404),ISNUMBER('자료_거시'!$H3404)),'자료_거시'!$H3404,"")</f>
        <v/>
      </c>
      <c r="X3422">
        <f>IF(ISNUMBER(W3422),'자료_거시'!$G3404,"")</f>
        <v/>
      </c>
      <c r="Y3422">
        <f>IF(ISNUMBER(X3422),IF(X3422&gt;$L$7,W3422,""),"")</f>
        <v/>
      </c>
      <c r="Z3422">
        <f>IF(ISNUMBER('자료_거시'!$K3404),'자료_거시'!$K3404,Z3421)</f>
        <v/>
      </c>
      <c r="AA3422">
        <f>IF(AND(ISNUMBER('자료_거시'!$J3404),ISNUMBER('자료_거시'!$K3404)),IFERROR('자료_거시'!$K3404/INDEX($Z$21:$Z$4020,MATCH(EDATE('자료_거시'!$J3404,-'설정'!$B$17),'자료_거시'!$J$3:INDEX('자료_거시'!$J$3:$J$4002,$K$8),1))-1,""),"")</f>
        <v/>
      </c>
      <c r="AB3422">
        <f>IF(ISNUMBER(AA3422),'자료_거시'!$J3404,"")</f>
        <v/>
      </c>
      <c r="AC3422">
        <f>IF(ISNUMBER(AB3422),IF(AB3422&gt;$L$8,AA3422,""),"")</f>
        <v/>
      </c>
    </row>
    <row r="3423">
      <c r="S3423">
        <f>IF(ISNUMBER('자료_거시'!$E3405),'자료_거시'!$E3405,S3422)</f>
        <v/>
      </c>
      <c r="T3423">
        <f>IF(AND(ISNUMBER('자료_거시'!$D3405),ISNUMBER('자료_거시'!$E3405)),IFERROR('자료_거시'!$E3405-INDEX($S$21:$S$4020,MATCH(EDATE('자료_거시'!$D3405,-'설정'!$B$17),'자료_거시'!$D$3:INDEX('자료_거시'!$D$3:$D$4002,$K$6),1)),""),"")</f>
        <v/>
      </c>
      <c r="U3423">
        <f>IF(ISNUMBER(T3423),'자료_거시'!$D3405,"")</f>
        <v/>
      </c>
      <c r="V3423">
        <f>IF(ISNUMBER(U3423),IF(U3423&gt;$L$6,T3423,""),"")</f>
        <v/>
      </c>
      <c r="W3423">
        <f>IF(AND(ISNUMBER('자료_거시'!$G3405),ISNUMBER('자료_거시'!$H3405)),'자료_거시'!$H3405,"")</f>
        <v/>
      </c>
      <c r="X3423">
        <f>IF(ISNUMBER(W3423),'자료_거시'!$G3405,"")</f>
        <v/>
      </c>
      <c r="Y3423">
        <f>IF(ISNUMBER(X3423),IF(X3423&gt;$L$7,W3423,""),"")</f>
        <v/>
      </c>
      <c r="Z3423">
        <f>IF(ISNUMBER('자료_거시'!$K3405),'자료_거시'!$K3405,Z3422)</f>
        <v/>
      </c>
      <c r="AA3423">
        <f>IF(AND(ISNUMBER('자료_거시'!$J3405),ISNUMBER('자료_거시'!$K3405)),IFERROR('자료_거시'!$K3405/INDEX($Z$21:$Z$4020,MATCH(EDATE('자료_거시'!$J3405,-'설정'!$B$17),'자료_거시'!$J$3:INDEX('자료_거시'!$J$3:$J$4002,$K$8),1))-1,""),"")</f>
        <v/>
      </c>
      <c r="AB3423">
        <f>IF(ISNUMBER(AA3423),'자료_거시'!$J3405,"")</f>
        <v/>
      </c>
      <c r="AC3423">
        <f>IF(ISNUMBER(AB3423),IF(AB3423&gt;$L$8,AA3423,""),"")</f>
        <v/>
      </c>
    </row>
    <row r="3424">
      <c r="S3424">
        <f>IF(ISNUMBER('자료_거시'!$E3406),'자료_거시'!$E3406,S3423)</f>
        <v/>
      </c>
      <c r="T3424">
        <f>IF(AND(ISNUMBER('자료_거시'!$D3406),ISNUMBER('자료_거시'!$E3406)),IFERROR('자료_거시'!$E3406-INDEX($S$21:$S$4020,MATCH(EDATE('자료_거시'!$D3406,-'설정'!$B$17),'자료_거시'!$D$3:INDEX('자료_거시'!$D$3:$D$4002,$K$6),1)),""),"")</f>
        <v/>
      </c>
      <c r="U3424">
        <f>IF(ISNUMBER(T3424),'자료_거시'!$D3406,"")</f>
        <v/>
      </c>
      <c r="V3424">
        <f>IF(ISNUMBER(U3424),IF(U3424&gt;$L$6,T3424,""),"")</f>
        <v/>
      </c>
      <c r="W3424">
        <f>IF(AND(ISNUMBER('자료_거시'!$G3406),ISNUMBER('자료_거시'!$H3406)),'자료_거시'!$H3406,"")</f>
        <v/>
      </c>
      <c r="X3424">
        <f>IF(ISNUMBER(W3424),'자료_거시'!$G3406,"")</f>
        <v/>
      </c>
      <c r="Y3424">
        <f>IF(ISNUMBER(X3424),IF(X3424&gt;$L$7,W3424,""),"")</f>
        <v/>
      </c>
      <c r="Z3424">
        <f>IF(ISNUMBER('자료_거시'!$K3406),'자료_거시'!$K3406,Z3423)</f>
        <v/>
      </c>
      <c r="AA3424">
        <f>IF(AND(ISNUMBER('자료_거시'!$J3406),ISNUMBER('자료_거시'!$K3406)),IFERROR('자료_거시'!$K3406/INDEX($Z$21:$Z$4020,MATCH(EDATE('자료_거시'!$J3406,-'설정'!$B$17),'자료_거시'!$J$3:INDEX('자료_거시'!$J$3:$J$4002,$K$8),1))-1,""),"")</f>
        <v/>
      </c>
      <c r="AB3424">
        <f>IF(ISNUMBER(AA3424),'자료_거시'!$J3406,"")</f>
        <v/>
      </c>
      <c r="AC3424">
        <f>IF(ISNUMBER(AB3424),IF(AB3424&gt;$L$8,AA3424,""),"")</f>
        <v/>
      </c>
    </row>
    <row r="3425">
      <c r="S3425">
        <f>IF(ISNUMBER('자료_거시'!$E3407),'자료_거시'!$E3407,S3424)</f>
        <v/>
      </c>
      <c r="T3425">
        <f>IF(AND(ISNUMBER('자료_거시'!$D3407),ISNUMBER('자료_거시'!$E3407)),IFERROR('자료_거시'!$E3407-INDEX($S$21:$S$4020,MATCH(EDATE('자료_거시'!$D3407,-'설정'!$B$17),'자료_거시'!$D$3:INDEX('자료_거시'!$D$3:$D$4002,$K$6),1)),""),"")</f>
        <v/>
      </c>
      <c r="U3425">
        <f>IF(ISNUMBER(T3425),'자료_거시'!$D3407,"")</f>
        <v/>
      </c>
      <c r="V3425">
        <f>IF(ISNUMBER(U3425),IF(U3425&gt;$L$6,T3425,""),"")</f>
        <v/>
      </c>
      <c r="W3425">
        <f>IF(AND(ISNUMBER('자료_거시'!$G3407),ISNUMBER('자료_거시'!$H3407)),'자료_거시'!$H3407,"")</f>
        <v/>
      </c>
      <c r="X3425">
        <f>IF(ISNUMBER(W3425),'자료_거시'!$G3407,"")</f>
        <v/>
      </c>
      <c r="Y3425">
        <f>IF(ISNUMBER(X3425),IF(X3425&gt;$L$7,W3425,""),"")</f>
        <v/>
      </c>
      <c r="Z3425">
        <f>IF(ISNUMBER('자료_거시'!$K3407),'자료_거시'!$K3407,Z3424)</f>
        <v/>
      </c>
      <c r="AA3425">
        <f>IF(AND(ISNUMBER('자료_거시'!$J3407),ISNUMBER('자료_거시'!$K3407)),IFERROR('자료_거시'!$K3407/INDEX($Z$21:$Z$4020,MATCH(EDATE('자료_거시'!$J3407,-'설정'!$B$17),'자료_거시'!$J$3:INDEX('자료_거시'!$J$3:$J$4002,$K$8),1))-1,""),"")</f>
        <v/>
      </c>
      <c r="AB3425">
        <f>IF(ISNUMBER(AA3425),'자료_거시'!$J3407,"")</f>
        <v/>
      </c>
      <c r="AC3425">
        <f>IF(ISNUMBER(AB3425),IF(AB3425&gt;$L$8,AA3425,""),"")</f>
        <v/>
      </c>
    </row>
    <row r="3426">
      <c r="S3426">
        <f>IF(ISNUMBER('자료_거시'!$E3408),'자료_거시'!$E3408,S3425)</f>
        <v/>
      </c>
      <c r="T3426">
        <f>IF(AND(ISNUMBER('자료_거시'!$D3408),ISNUMBER('자료_거시'!$E3408)),IFERROR('자료_거시'!$E3408-INDEX($S$21:$S$4020,MATCH(EDATE('자료_거시'!$D3408,-'설정'!$B$17),'자료_거시'!$D$3:INDEX('자료_거시'!$D$3:$D$4002,$K$6),1)),""),"")</f>
        <v/>
      </c>
      <c r="U3426">
        <f>IF(ISNUMBER(T3426),'자료_거시'!$D3408,"")</f>
        <v/>
      </c>
      <c r="V3426">
        <f>IF(ISNUMBER(U3426),IF(U3426&gt;$L$6,T3426,""),"")</f>
        <v/>
      </c>
      <c r="W3426">
        <f>IF(AND(ISNUMBER('자료_거시'!$G3408),ISNUMBER('자료_거시'!$H3408)),'자료_거시'!$H3408,"")</f>
        <v/>
      </c>
      <c r="X3426">
        <f>IF(ISNUMBER(W3426),'자료_거시'!$G3408,"")</f>
        <v/>
      </c>
      <c r="Y3426">
        <f>IF(ISNUMBER(X3426),IF(X3426&gt;$L$7,W3426,""),"")</f>
        <v/>
      </c>
      <c r="Z3426">
        <f>IF(ISNUMBER('자료_거시'!$K3408),'자료_거시'!$K3408,Z3425)</f>
        <v/>
      </c>
      <c r="AA3426">
        <f>IF(AND(ISNUMBER('자료_거시'!$J3408),ISNUMBER('자료_거시'!$K3408)),IFERROR('자료_거시'!$K3408/INDEX($Z$21:$Z$4020,MATCH(EDATE('자료_거시'!$J3408,-'설정'!$B$17),'자료_거시'!$J$3:INDEX('자료_거시'!$J$3:$J$4002,$K$8),1))-1,""),"")</f>
        <v/>
      </c>
      <c r="AB3426">
        <f>IF(ISNUMBER(AA3426),'자료_거시'!$J3408,"")</f>
        <v/>
      </c>
      <c r="AC3426">
        <f>IF(ISNUMBER(AB3426),IF(AB3426&gt;$L$8,AA3426,""),"")</f>
        <v/>
      </c>
    </row>
    <row r="3427">
      <c r="S3427">
        <f>IF(ISNUMBER('자료_거시'!$E3409),'자료_거시'!$E3409,S3426)</f>
        <v/>
      </c>
      <c r="T3427">
        <f>IF(AND(ISNUMBER('자료_거시'!$D3409),ISNUMBER('자료_거시'!$E3409)),IFERROR('자료_거시'!$E3409-INDEX($S$21:$S$4020,MATCH(EDATE('자료_거시'!$D3409,-'설정'!$B$17),'자료_거시'!$D$3:INDEX('자료_거시'!$D$3:$D$4002,$K$6),1)),""),"")</f>
        <v/>
      </c>
      <c r="U3427">
        <f>IF(ISNUMBER(T3427),'자료_거시'!$D3409,"")</f>
        <v/>
      </c>
      <c r="V3427">
        <f>IF(ISNUMBER(U3427),IF(U3427&gt;$L$6,T3427,""),"")</f>
        <v/>
      </c>
      <c r="W3427">
        <f>IF(AND(ISNUMBER('자료_거시'!$G3409),ISNUMBER('자료_거시'!$H3409)),'자료_거시'!$H3409,"")</f>
        <v/>
      </c>
      <c r="X3427">
        <f>IF(ISNUMBER(W3427),'자료_거시'!$G3409,"")</f>
        <v/>
      </c>
      <c r="Y3427">
        <f>IF(ISNUMBER(X3427),IF(X3427&gt;$L$7,W3427,""),"")</f>
        <v/>
      </c>
      <c r="Z3427">
        <f>IF(ISNUMBER('자료_거시'!$K3409),'자료_거시'!$K3409,Z3426)</f>
        <v/>
      </c>
      <c r="AA3427">
        <f>IF(AND(ISNUMBER('자료_거시'!$J3409),ISNUMBER('자료_거시'!$K3409)),IFERROR('자료_거시'!$K3409/INDEX($Z$21:$Z$4020,MATCH(EDATE('자료_거시'!$J3409,-'설정'!$B$17),'자료_거시'!$J$3:INDEX('자료_거시'!$J$3:$J$4002,$K$8),1))-1,""),"")</f>
        <v/>
      </c>
      <c r="AB3427">
        <f>IF(ISNUMBER(AA3427),'자료_거시'!$J3409,"")</f>
        <v/>
      </c>
      <c r="AC3427">
        <f>IF(ISNUMBER(AB3427),IF(AB3427&gt;$L$8,AA3427,""),"")</f>
        <v/>
      </c>
    </row>
    <row r="3428">
      <c r="S3428">
        <f>IF(ISNUMBER('자료_거시'!$E3410),'자료_거시'!$E3410,S3427)</f>
        <v/>
      </c>
      <c r="T3428">
        <f>IF(AND(ISNUMBER('자료_거시'!$D3410),ISNUMBER('자료_거시'!$E3410)),IFERROR('자료_거시'!$E3410-INDEX($S$21:$S$4020,MATCH(EDATE('자료_거시'!$D3410,-'설정'!$B$17),'자료_거시'!$D$3:INDEX('자료_거시'!$D$3:$D$4002,$K$6),1)),""),"")</f>
        <v/>
      </c>
      <c r="U3428">
        <f>IF(ISNUMBER(T3428),'자료_거시'!$D3410,"")</f>
        <v/>
      </c>
      <c r="V3428">
        <f>IF(ISNUMBER(U3428),IF(U3428&gt;$L$6,T3428,""),"")</f>
        <v/>
      </c>
      <c r="W3428">
        <f>IF(AND(ISNUMBER('자료_거시'!$G3410),ISNUMBER('자료_거시'!$H3410)),'자료_거시'!$H3410,"")</f>
        <v/>
      </c>
      <c r="X3428">
        <f>IF(ISNUMBER(W3428),'자료_거시'!$G3410,"")</f>
        <v/>
      </c>
      <c r="Y3428">
        <f>IF(ISNUMBER(X3428),IF(X3428&gt;$L$7,W3428,""),"")</f>
        <v/>
      </c>
      <c r="Z3428">
        <f>IF(ISNUMBER('자료_거시'!$K3410),'자료_거시'!$K3410,Z3427)</f>
        <v/>
      </c>
      <c r="AA3428">
        <f>IF(AND(ISNUMBER('자료_거시'!$J3410),ISNUMBER('자료_거시'!$K3410)),IFERROR('자료_거시'!$K3410/INDEX($Z$21:$Z$4020,MATCH(EDATE('자료_거시'!$J3410,-'설정'!$B$17),'자료_거시'!$J$3:INDEX('자료_거시'!$J$3:$J$4002,$K$8),1))-1,""),"")</f>
        <v/>
      </c>
      <c r="AB3428">
        <f>IF(ISNUMBER(AA3428),'자료_거시'!$J3410,"")</f>
        <v/>
      </c>
      <c r="AC3428">
        <f>IF(ISNUMBER(AB3428),IF(AB3428&gt;$L$8,AA3428,""),"")</f>
        <v/>
      </c>
    </row>
    <row r="3429">
      <c r="S3429">
        <f>IF(ISNUMBER('자료_거시'!$E3411),'자료_거시'!$E3411,S3428)</f>
        <v/>
      </c>
      <c r="T3429">
        <f>IF(AND(ISNUMBER('자료_거시'!$D3411),ISNUMBER('자료_거시'!$E3411)),IFERROR('자료_거시'!$E3411-INDEX($S$21:$S$4020,MATCH(EDATE('자료_거시'!$D3411,-'설정'!$B$17),'자료_거시'!$D$3:INDEX('자료_거시'!$D$3:$D$4002,$K$6),1)),""),"")</f>
        <v/>
      </c>
      <c r="U3429">
        <f>IF(ISNUMBER(T3429),'자료_거시'!$D3411,"")</f>
        <v/>
      </c>
      <c r="V3429">
        <f>IF(ISNUMBER(U3429),IF(U3429&gt;$L$6,T3429,""),"")</f>
        <v/>
      </c>
      <c r="W3429">
        <f>IF(AND(ISNUMBER('자료_거시'!$G3411),ISNUMBER('자료_거시'!$H3411)),'자료_거시'!$H3411,"")</f>
        <v/>
      </c>
      <c r="X3429">
        <f>IF(ISNUMBER(W3429),'자료_거시'!$G3411,"")</f>
        <v/>
      </c>
      <c r="Y3429">
        <f>IF(ISNUMBER(X3429),IF(X3429&gt;$L$7,W3429,""),"")</f>
        <v/>
      </c>
      <c r="Z3429">
        <f>IF(ISNUMBER('자료_거시'!$K3411),'자료_거시'!$K3411,Z3428)</f>
        <v/>
      </c>
      <c r="AA3429">
        <f>IF(AND(ISNUMBER('자료_거시'!$J3411),ISNUMBER('자료_거시'!$K3411)),IFERROR('자료_거시'!$K3411/INDEX($Z$21:$Z$4020,MATCH(EDATE('자료_거시'!$J3411,-'설정'!$B$17),'자료_거시'!$J$3:INDEX('자료_거시'!$J$3:$J$4002,$K$8),1))-1,""),"")</f>
        <v/>
      </c>
      <c r="AB3429">
        <f>IF(ISNUMBER(AA3429),'자료_거시'!$J3411,"")</f>
        <v/>
      </c>
      <c r="AC3429">
        <f>IF(ISNUMBER(AB3429),IF(AB3429&gt;$L$8,AA3429,""),"")</f>
        <v/>
      </c>
    </row>
    <row r="3430">
      <c r="S3430">
        <f>IF(ISNUMBER('자료_거시'!$E3412),'자료_거시'!$E3412,S3429)</f>
        <v/>
      </c>
      <c r="T3430">
        <f>IF(AND(ISNUMBER('자료_거시'!$D3412),ISNUMBER('자료_거시'!$E3412)),IFERROR('자료_거시'!$E3412-INDEX($S$21:$S$4020,MATCH(EDATE('자료_거시'!$D3412,-'설정'!$B$17),'자료_거시'!$D$3:INDEX('자료_거시'!$D$3:$D$4002,$K$6),1)),""),"")</f>
        <v/>
      </c>
      <c r="U3430">
        <f>IF(ISNUMBER(T3430),'자료_거시'!$D3412,"")</f>
        <v/>
      </c>
      <c r="V3430">
        <f>IF(ISNUMBER(U3430),IF(U3430&gt;$L$6,T3430,""),"")</f>
        <v/>
      </c>
      <c r="W3430">
        <f>IF(AND(ISNUMBER('자료_거시'!$G3412),ISNUMBER('자료_거시'!$H3412)),'자료_거시'!$H3412,"")</f>
        <v/>
      </c>
      <c r="X3430">
        <f>IF(ISNUMBER(W3430),'자료_거시'!$G3412,"")</f>
        <v/>
      </c>
      <c r="Y3430">
        <f>IF(ISNUMBER(X3430),IF(X3430&gt;$L$7,W3430,""),"")</f>
        <v/>
      </c>
      <c r="Z3430">
        <f>IF(ISNUMBER('자료_거시'!$K3412),'자료_거시'!$K3412,Z3429)</f>
        <v/>
      </c>
      <c r="AA3430">
        <f>IF(AND(ISNUMBER('자료_거시'!$J3412),ISNUMBER('자료_거시'!$K3412)),IFERROR('자료_거시'!$K3412/INDEX($Z$21:$Z$4020,MATCH(EDATE('자료_거시'!$J3412,-'설정'!$B$17),'자료_거시'!$J$3:INDEX('자료_거시'!$J$3:$J$4002,$K$8),1))-1,""),"")</f>
        <v/>
      </c>
      <c r="AB3430">
        <f>IF(ISNUMBER(AA3430),'자료_거시'!$J3412,"")</f>
        <v/>
      </c>
      <c r="AC3430">
        <f>IF(ISNUMBER(AB3430),IF(AB3430&gt;$L$8,AA3430,""),"")</f>
        <v/>
      </c>
    </row>
    <row r="3431">
      <c r="S3431">
        <f>IF(ISNUMBER('자료_거시'!$E3413),'자료_거시'!$E3413,S3430)</f>
        <v/>
      </c>
      <c r="T3431">
        <f>IF(AND(ISNUMBER('자료_거시'!$D3413),ISNUMBER('자료_거시'!$E3413)),IFERROR('자료_거시'!$E3413-INDEX($S$21:$S$4020,MATCH(EDATE('자료_거시'!$D3413,-'설정'!$B$17),'자료_거시'!$D$3:INDEX('자료_거시'!$D$3:$D$4002,$K$6),1)),""),"")</f>
        <v/>
      </c>
      <c r="U3431">
        <f>IF(ISNUMBER(T3431),'자료_거시'!$D3413,"")</f>
        <v/>
      </c>
      <c r="V3431">
        <f>IF(ISNUMBER(U3431),IF(U3431&gt;$L$6,T3431,""),"")</f>
        <v/>
      </c>
      <c r="W3431">
        <f>IF(AND(ISNUMBER('자료_거시'!$G3413),ISNUMBER('자료_거시'!$H3413)),'자료_거시'!$H3413,"")</f>
        <v/>
      </c>
      <c r="X3431">
        <f>IF(ISNUMBER(W3431),'자료_거시'!$G3413,"")</f>
        <v/>
      </c>
      <c r="Y3431">
        <f>IF(ISNUMBER(X3431),IF(X3431&gt;$L$7,W3431,""),"")</f>
        <v/>
      </c>
      <c r="Z3431">
        <f>IF(ISNUMBER('자료_거시'!$K3413),'자료_거시'!$K3413,Z3430)</f>
        <v/>
      </c>
      <c r="AA3431">
        <f>IF(AND(ISNUMBER('자료_거시'!$J3413),ISNUMBER('자료_거시'!$K3413)),IFERROR('자료_거시'!$K3413/INDEX($Z$21:$Z$4020,MATCH(EDATE('자료_거시'!$J3413,-'설정'!$B$17),'자료_거시'!$J$3:INDEX('자료_거시'!$J$3:$J$4002,$K$8),1))-1,""),"")</f>
        <v/>
      </c>
      <c r="AB3431">
        <f>IF(ISNUMBER(AA3431),'자료_거시'!$J3413,"")</f>
        <v/>
      </c>
      <c r="AC3431">
        <f>IF(ISNUMBER(AB3431),IF(AB3431&gt;$L$8,AA3431,""),"")</f>
        <v/>
      </c>
    </row>
    <row r="3432">
      <c r="S3432">
        <f>IF(ISNUMBER('자료_거시'!$E3414),'자료_거시'!$E3414,S3431)</f>
        <v/>
      </c>
      <c r="T3432">
        <f>IF(AND(ISNUMBER('자료_거시'!$D3414),ISNUMBER('자료_거시'!$E3414)),IFERROR('자료_거시'!$E3414-INDEX($S$21:$S$4020,MATCH(EDATE('자료_거시'!$D3414,-'설정'!$B$17),'자료_거시'!$D$3:INDEX('자료_거시'!$D$3:$D$4002,$K$6),1)),""),"")</f>
        <v/>
      </c>
      <c r="U3432">
        <f>IF(ISNUMBER(T3432),'자료_거시'!$D3414,"")</f>
        <v/>
      </c>
      <c r="V3432">
        <f>IF(ISNUMBER(U3432),IF(U3432&gt;$L$6,T3432,""),"")</f>
        <v/>
      </c>
      <c r="W3432">
        <f>IF(AND(ISNUMBER('자료_거시'!$G3414),ISNUMBER('자료_거시'!$H3414)),'자료_거시'!$H3414,"")</f>
        <v/>
      </c>
      <c r="X3432">
        <f>IF(ISNUMBER(W3432),'자료_거시'!$G3414,"")</f>
        <v/>
      </c>
      <c r="Y3432">
        <f>IF(ISNUMBER(X3432),IF(X3432&gt;$L$7,W3432,""),"")</f>
        <v/>
      </c>
      <c r="Z3432">
        <f>IF(ISNUMBER('자료_거시'!$K3414),'자료_거시'!$K3414,Z3431)</f>
        <v/>
      </c>
      <c r="AA3432">
        <f>IF(AND(ISNUMBER('자료_거시'!$J3414),ISNUMBER('자료_거시'!$K3414)),IFERROR('자료_거시'!$K3414/INDEX($Z$21:$Z$4020,MATCH(EDATE('자료_거시'!$J3414,-'설정'!$B$17),'자료_거시'!$J$3:INDEX('자료_거시'!$J$3:$J$4002,$K$8),1))-1,""),"")</f>
        <v/>
      </c>
      <c r="AB3432">
        <f>IF(ISNUMBER(AA3432),'자료_거시'!$J3414,"")</f>
        <v/>
      </c>
      <c r="AC3432">
        <f>IF(ISNUMBER(AB3432),IF(AB3432&gt;$L$8,AA3432,""),"")</f>
        <v/>
      </c>
    </row>
    <row r="3433">
      <c r="S3433">
        <f>IF(ISNUMBER('자료_거시'!$E3415),'자료_거시'!$E3415,S3432)</f>
        <v/>
      </c>
      <c r="T3433">
        <f>IF(AND(ISNUMBER('자료_거시'!$D3415),ISNUMBER('자료_거시'!$E3415)),IFERROR('자료_거시'!$E3415-INDEX($S$21:$S$4020,MATCH(EDATE('자료_거시'!$D3415,-'설정'!$B$17),'자료_거시'!$D$3:INDEX('자료_거시'!$D$3:$D$4002,$K$6),1)),""),"")</f>
        <v/>
      </c>
      <c r="U3433">
        <f>IF(ISNUMBER(T3433),'자료_거시'!$D3415,"")</f>
        <v/>
      </c>
      <c r="V3433">
        <f>IF(ISNUMBER(U3433),IF(U3433&gt;$L$6,T3433,""),"")</f>
        <v/>
      </c>
      <c r="W3433">
        <f>IF(AND(ISNUMBER('자료_거시'!$G3415),ISNUMBER('자료_거시'!$H3415)),'자료_거시'!$H3415,"")</f>
        <v/>
      </c>
      <c r="X3433">
        <f>IF(ISNUMBER(W3433),'자료_거시'!$G3415,"")</f>
        <v/>
      </c>
      <c r="Y3433">
        <f>IF(ISNUMBER(X3433),IF(X3433&gt;$L$7,W3433,""),"")</f>
        <v/>
      </c>
      <c r="Z3433">
        <f>IF(ISNUMBER('자료_거시'!$K3415),'자료_거시'!$K3415,Z3432)</f>
        <v/>
      </c>
      <c r="AA3433">
        <f>IF(AND(ISNUMBER('자료_거시'!$J3415),ISNUMBER('자료_거시'!$K3415)),IFERROR('자료_거시'!$K3415/INDEX($Z$21:$Z$4020,MATCH(EDATE('자료_거시'!$J3415,-'설정'!$B$17),'자료_거시'!$J$3:INDEX('자료_거시'!$J$3:$J$4002,$K$8),1))-1,""),"")</f>
        <v/>
      </c>
      <c r="AB3433">
        <f>IF(ISNUMBER(AA3433),'자료_거시'!$J3415,"")</f>
        <v/>
      </c>
      <c r="AC3433">
        <f>IF(ISNUMBER(AB3433),IF(AB3433&gt;$L$8,AA3433,""),"")</f>
        <v/>
      </c>
    </row>
    <row r="3434">
      <c r="S3434">
        <f>IF(ISNUMBER('자료_거시'!$E3416),'자료_거시'!$E3416,S3433)</f>
        <v/>
      </c>
      <c r="T3434">
        <f>IF(AND(ISNUMBER('자료_거시'!$D3416),ISNUMBER('자료_거시'!$E3416)),IFERROR('자료_거시'!$E3416-INDEX($S$21:$S$4020,MATCH(EDATE('자료_거시'!$D3416,-'설정'!$B$17),'자료_거시'!$D$3:INDEX('자료_거시'!$D$3:$D$4002,$K$6),1)),""),"")</f>
        <v/>
      </c>
      <c r="U3434">
        <f>IF(ISNUMBER(T3434),'자료_거시'!$D3416,"")</f>
        <v/>
      </c>
      <c r="V3434">
        <f>IF(ISNUMBER(U3434),IF(U3434&gt;$L$6,T3434,""),"")</f>
        <v/>
      </c>
      <c r="W3434">
        <f>IF(AND(ISNUMBER('자료_거시'!$G3416),ISNUMBER('자료_거시'!$H3416)),'자료_거시'!$H3416,"")</f>
        <v/>
      </c>
      <c r="X3434">
        <f>IF(ISNUMBER(W3434),'자료_거시'!$G3416,"")</f>
        <v/>
      </c>
      <c r="Y3434">
        <f>IF(ISNUMBER(X3434),IF(X3434&gt;$L$7,W3434,""),"")</f>
        <v/>
      </c>
      <c r="Z3434">
        <f>IF(ISNUMBER('자료_거시'!$K3416),'자료_거시'!$K3416,Z3433)</f>
        <v/>
      </c>
      <c r="AA3434">
        <f>IF(AND(ISNUMBER('자료_거시'!$J3416),ISNUMBER('자료_거시'!$K3416)),IFERROR('자료_거시'!$K3416/INDEX($Z$21:$Z$4020,MATCH(EDATE('자료_거시'!$J3416,-'설정'!$B$17),'자료_거시'!$J$3:INDEX('자료_거시'!$J$3:$J$4002,$K$8),1))-1,""),"")</f>
        <v/>
      </c>
      <c r="AB3434">
        <f>IF(ISNUMBER(AA3434),'자료_거시'!$J3416,"")</f>
        <v/>
      </c>
      <c r="AC3434">
        <f>IF(ISNUMBER(AB3434),IF(AB3434&gt;$L$8,AA3434,""),"")</f>
        <v/>
      </c>
    </row>
    <row r="3435">
      <c r="S3435">
        <f>IF(ISNUMBER('자료_거시'!$E3417),'자료_거시'!$E3417,S3434)</f>
        <v/>
      </c>
      <c r="T3435">
        <f>IF(AND(ISNUMBER('자료_거시'!$D3417),ISNUMBER('자료_거시'!$E3417)),IFERROR('자료_거시'!$E3417-INDEX($S$21:$S$4020,MATCH(EDATE('자료_거시'!$D3417,-'설정'!$B$17),'자료_거시'!$D$3:INDEX('자료_거시'!$D$3:$D$4002,$K$6),1)),""),"")</f>
        <v/>
      </c>
      <c r="U3435">
        <f>IF(ISNUMBER(T3435),'자료_거시'!$D3417,"")</f>
        <v/>
      </c>
      <c r="V3435">
        <f>IF(ISNUMBER(U3435),IF(U3435&gt;$L$6,T3435,""),"")</f>
        <v/>
      </c>
      <c r="W3435">
        <f>IF(AND(ISNUMBER('자료_거시'!$G3417),ISNUMBER('자료_거시'!$H3417)),'자료_거시'!$H3417,"")</f>
        <v/>
      </c>
      <c r="X3435">
        <f>IF(ISNUMBER(W3435),'자료_거시'!$G3417,"")</f>
        <v/>
      </c>
      <c r="Y3435">
        <f>IF(ISNUMBER(X3435),IF(X3435&gt;$L$7,W3435,""),"")</f>
        <v/>
      </c>
      <c r="Z3435">
        <f>IF(ISNUMBER('자료_거시'!$K3417),'자료_거시'!$K3417,Z3434)</f>
        <v/>
      </c>
      <c r="AA3435">
        <f>IF(AND(ISNUMBER('자료_거시'!$J3417),ISNUMBER('자료_거시'!$K3417)),IFERROR('자료_거시'!$K3417/INDEX($Z$21:$Z$4020,MATCH(EDATE('자료_거시'!$J3417,-'설정'!$B$17),'자료_거시'!$J$3:INDEX('자료_거시'!$J$3:$J$4002,$K$8),1))-1,""),"")</f>
        <v/>
      </c>
      <c r="AB3435">
        <f>IF(ISNUMBER(AA3435),'자료_거시'!$J3417,"")</f>
        <v/>
      </c>
      <c r="AC3435">
        <f>IF(ISNUMBER(AB3435),IF(AB3435&gt;$L$8,AA3435,""),"")</f>
        <v/>
      </c>
    </row>
    <row r="3436">
      <c r="S3436">
        <f>IF(ISNUMBER('자료_거시'!$E3418),'자료_거시'!$E3418,S3435)</f>
        <v/>
      </c>
      <c r="T3436">
        <f>IF(AND(ISNUMBER('자료_거시'!$D3418),ISNUMBER('자료_거시'!$E3418)),IFERROR('자료_거시'!$E3418-INDEX($S$21:$S$4020,MATCH(EDATE('자료_거시'!$D3418,-'설정'!$B$17),'자료_거시'!$D$3:INDEX('자료_거시'!$D$3:$D$4002,$K$6),1)),""),"")</f>
        <v/>
      </c>
      <c r="U3436">
        <f>IF(ISNUMBER(T3436),'자료_거시'!$D3418,"")</f>
        <v/>
      </c>
      <c r="V3436">
        <f>IF(ISNUMBER(U3436),IF(U3436&gt;$L$6,T3436,""),"")</f>
        <v/>
      </c>
      <c r="W3436">
        <f>IF(AND(ISNUMBER('자료_거시'!$G3418),ISNUMBER('자료_거시'!$H3418)),'자료_거시'!$H3418,"")</f>
        <v/>
      </c>
      <c r="X3436">
        <f>IF(ISNUMBER(W3436),'자료_거시'!$G3418,"")</f>
        <v/>
      </c>
      <c r="Y3436">
        <f>IF(ISNUMBER(X3436),IF(X3436&gt;$L$7,W3436,""),"")</f>
        <v/>
      </c>
      <c r="Z3436">
        <f>IF(ISNUMBER('자료_거시'!$K3418),'자료_거시'!$K3418,Z3435)</f>
        <v/>
      </c>
      <c r="AA3436">
        <f>IF(AND(ISNUMBER('자료_거시'!$J3418),ISNUMBER('자료_거시'!$K3418)),IFERROR('자료_거시'!$K3418/INDEX($Z$21:$Z$4020,MATCH(EDATE('자료_거시'!$J3418,-'설정'!$B$17),'자료_거시'!$J$3:INDEX('자료_거시'!$J$3:$J$4002,$K$8),1))-1,""),"")</f>
        <v/>
      </c>
      <c r="AB3436">
        <f>IF(ISNUMBER(AA3436),'자료_거시'!$J3418,"")</f>
        <v/>
      </c>
      <c r="AC3436">
        <f>IF(ISNUMBER(AB3436),IF(AB3436&gt;$L$8,AA3436,""),"")</f>
        <v/>
      </c>
    </row>
    <row r="3437">
      <c r="S3437">
        <f>IF(ISNUMBER('자료_거시'!$E3419),'자료_거시'!$E3419,S3436)</f>
        <v/>
      </c>
      <c r="T3437">
        <f>IF(AND(ISNUMBER('자료_거시'!$D3419),ISNUMBER('자료_거시'!$E3419)),IFERROR('자료_거시'!$E3419-INDEX($S$21:$S$4020,MATCH(EDATE('자료_거시'!$D3419,-'설정'!$B$17),'자료_거시'!$D$3:INDEX('자료_거시'!$D$3:$D$4002,$K$6),1)),""),"")</f>
        <v/>
      </c>
      <c r="U3437">
        <f>IF(ISNUMBER(T3437),'자료_거시'!$D3419,"")</f>
        <v/>
      </c>
      <c r="V3437">
        <f>IF(ISNUMBER(U3437),IF(U3437&gt;$L$6,T3437,""),"")</f>
        <v/>
      </c>
      <c r="W3437">
        <f>IF(AND(ISNUMBER('자료_거시'!$G3419),ISNUMBER('자료_거시'!$H3419)),'자료_거시'!$H3419,"")</f>
        <v/>
      </c>
      <c r="X3437">
        <f>IF(ISNUMBER(W3437),'자료_거시'!$G3419,"")</f>
        <v/>
      </c>
      <c r="Y3437">
        <f>IF(ISNUMBER(X3437),IF(X3437&gt;$L$7,W3437,""),"")</f>
        <v/>
      </c>
      <c r="Z3437">
        <f>IF(ISNUMBER('자료_거시'!$K3419),'자료_거시'!$K3419,Z3436)</f>
        <v/>
      </c>
      <c r="AA3437">
        <f>IF(AND(ISNUMBER('자료_거시'!$J3419),ISNUMBER('자료_거시'!$K3419)),IFERROR('자료_거시'!$K3419/INDEX($Z$21:$Z$4020,MATCH(EDATE('자료_거시'!$J3419,-'설정'!$B$17),'자료_거시'!$J$3:INDEX('자료_거시'!$J$3:$J$4002,$K$8),1))-1,""),"")</f>
        <v/>
      </c>
      <c r="AB3437">
        <f>IF(ISNUMBER(AA3437),'자료_거시'!$J3419,"")</f>
        <v/>
      </c>
      <c r="AC3437">
        <f>IF(ISNUMBER(AB3437),IF(AB3437&gt;$L$8,AA3437,""),"")</f>
        <v/>
      </c>
    </row>
    <row r="3438">
      <c r="S3438">
        <f>IF(ISNUMBER('자료_거시'!$E3420),'자료_거시'!$E3420,S3437)</f>
        <v/>
      </c>
      <c r="T3438">
        <f>IF(AND(ISNUMBER('자료_거시'!$D3420),ISNUMBER('자료_거시'!$E3420)),IFERROR('자료_거시'!$E3420-INDEX($S$21:$S$4020,MATCH(EDATE('자료_거시'!$D3420,-'설정'!$B$17),'자료_거시'!$D$3:INDEX('자료_거시'!$D$3:$D$4002,$K$6),1)),""),"")</f>
        <v/>
      </c>
      <c r="U3438">
        <f>IF(ISNUMBER(T3438),'자료_거시'!$D3420,"")</f>
        <v/>
      </c>
      <c r="V3438">
        <f>IF(ISNUMBER(U3438),IF(U3438&gt;$L$6,T3438,""),"")</f>
        <v/>
      </c>
      <c r="W3438">
        <f>IF(AND(ISNUMBER('자료_거시'!$G3420),ISNUMBER('자료_거시'!$H3420)),'자료_거시'!$H3420,"")</f>
        <v/>
      </c>
      <c r="X3438">
        <f>IF(ISNUMBER(W3438),'자료_거시'!$G3420,"")</f>
        <v/>
      </c>
      <c r="Y3438">
        <f>IF(ISNUMBER(X3438),IF(X3438&gt;$L$7,W3438,""),"")</f>
        <v/>
      </c>
      <c r="Z3438">
        <f>IF(ISNUMBER('자료_거시'!$K3420),'자료_거시'!$K3420,Z3437)</f>
        <v/>
      </c>
      <c r="AA3438">
        <f>IF(AND(ISNUMBER('자료_거시'!$J3420),ISNUMBER('자료_거시'!$K3420)),IFERROR('자료_거시'!$K3420/INDEX($Z$21:$Z$4020,MATCH(EDATE('자료_거시'!$J3420,-'설정'!$B$17),'자료_거시'!$J$3:INDEX('자료_거시'!$J$3:$J$4002,$K$8),1))-1,""),"")</f>
        <v/>
      </c>
      <c r="AB3438">
        <f>IF(ISNUMBER(AA3438),'자료_거시'!$J3420,"")</f>
        <v/>
      </c>
      <c r="AC3438">
        <f>IF(ISNUMBER(AB3438),IF(AB3438&gt;$L$8,AA3438,""),"")</f>
        <v/>
      </c>
    </row>
    <row r="3439">
      <c r="S3439">
        <f>IF(ISNUMBER('자료_거시'!$E3421),'자료_거시'!$E3421,S3438)</f>
        <v/>
      </c>
      <c r="T3439">
        <f>IF(AND(ISNUMBER('자료_거시'!$D3421),ISNUMBER('자료_거시'!$E3421)),IFERROR('자료_거시'!$E3421-INDEX($S$21:$S$4020,MATCH(EDATE('자료_거시'!$D3421,-'설정'!$B$17),'자료_거시'!$D$3:INDEX('자료_거시'!$D$3:$D$4002,$K$6),1)),""),"")</f>
        <v/>
      </c>
      <c r="U3439">
        <f>IF(ISNUMBER(T3439),'자료_거시'!$D3421,"")</f>
        <v/>
      </c>
      <c r="V3439">
        <f>IF(ISNUMBER(U3439),IF(U3439&gt;$L$6,T3439,""),"")</f>
        <v/>
      </c>
      <c r="W3439">
        <f>IF(AND(ISNUMBER('자료_거시'!$G3421),ISNUMBER('자료_거시'!$H3421)),'자료_거시'!$H3421,"")</f>
        <v/>
      </c>
      <c r="X3439">
        <f>IF(ISNUMBER(W3439),'자료_거시'!$G3421,"")</f>
        <v/>
      </c>
      <c r="Y3439">
        <f>IF(ISNUMBER(X3439),IF(X3439&gt;$L$7,W3439,""),"")</f>
        <v/>
      </c>
      <c r="Z3439">
        <f>IF(ISNUMBER('자료_거시'!$K3421),'자료_거시'!$K3421,Z3438)</f>
        <v/>
      </c>
      <c r="AA3439">
        <f>IF(AND(ISNUMBER('자료_거시'!$J3421),ISNUMBER('자료_거시'!$K3421)),IFERROR('자료_거시'!$K3421/INDEX($Z$21:$Z$4020,MATCH(EDATE('자료_거시'!$J3421,-'설정'!$B$17),'자료_거시'!$J$3:INDEX('자료_거시'!$J$3:$J$4002,$K$8),1))-1,""),"")</f>
        <v/>
      </c>
      <c r="AB3439">
        <f>IF(ISNUMBER(AA3439),'자료_거시'!$J3421,"")</f>
        <v/>
      </c>
      <c r="AC3439">
        <f>IF(ISNUMBER(AB3439),IF(AB3439&gt;$L$8,AA3439,""),"")</f>
        <v/>
      </c>
    </row>
    <row r="3440">
      <c r="S3440">
        <f>IF(ISNUMBER('자료_거시'!$E3422),'자료_거시'!$E3422,S3439)</f>
        <v/>
      </c>
      <c r="T3440">
        <f>IF(AND(ISNUMBER('자료_거시'!$D3422),ISNUMBER('자료_거시'!$E3422)),IFERROR('자료_거시'!$E3422-INDEX($S$21:$S$4020,MATCH(EDATE('자료_거시'!$D3422,-'설정'!$B$17),'자료_거시'!$D$3:INDEX('자료_거시'!$D$3:$D$4002,$K$6),1)),""),"")</f>
        <v/>
      </c>
      <c r="U3440">
        <f>IF(ISNUMBER(T3440),'자료_거시'!$D3422,"")</f>
        <v/>
      </c>
      <c r="V3440">
        <f>IF(ISNUMBER(U3440),IF(U3440&gt;$L$6,T3440,""),"")</f>
        <v/>
      </c>
      <c r="W3440">
        <f>IF(AND(ISNUMBER('자료_거시'!$G3422),ISNUMBER('자료_거시'!$H3422)),'자료_거시'!$H3422,"")</f>
        <v/>
      </c>
      <c r="X3440">
        <f>IF(ISNUMBER(W3440),'자료_거시'!$G3422,"")</f>
        <v/>
      </c>
      <c r="Y3440">
        <f>IF(ISNUMBER(X3440),IF(X3440&gt;$L$7,W3440,""),"")</f>
        <v/>
      </c>
      <c r="Z3440">
        <f>IF(ISNUMBER('자료_거시'!$K3422),'자료_거시'!$K3422,Z3439)</f>
        <v/>
      </c>
      <c r="AA3440">
        <f>IF(AND(ISNUMBER('자료_거시'!$J3422),ISNUMBER('자료_거시'!$K3422)),IFERROR('자료_거시'!$K3422/INDEX($Z$21:$Z$4020,MATCH(EDATE('자료_거시'!$J3422,-'설정'!$B$17),'자료_거시'!$J$3:INDEX('자료_거시'!$J$3:$J$4002,$K$8),1))-1,""),"")</f>
        <v/>
      </c>
      <c r="AB3440">
        <f>IF(ISNUMBER(AA3440),'자료_거시'!$J3422,"")</f>
        <v/>
      </c>
      <c r="AC3440">
        <f>IF(ISNUMBER(AB3440),IF(AB3440&gt;$L$8,AA3440,""),"")</f>
        <v/>
      </c>
    </row>
    <row r="3441">
      <c r="S3441">
        <f>IF(ISNUMBER('자료_거시'!$E3423),'자료_거시'!$E3423,S3440)</f>
        <v/>
      </c>
      <c r="T3441">
        <f>IF(AND(ISNUMBER('자료_거시'!$D3423),ISNUMBER('자료_거시'!$E3423)),IFERROR('자료_거시'!$E3423-INDEX($S$21:$S$4020,MATCH(EDATE('자료_거시'!$D3423,-'설정'!$B$17),'자료_거시'!$D$3:INDEX('자료_거시'!$D$3:$D$4002,$K$6),1)),""),"")</f>
        <v/>
      </c>
      <c r="U3441">
        <f>IF(ISNUMBER(T3441),'자료_거시'!$D3423,"")</f>
        <v/>
      </c>
      <c r="V3441">
        <f>IF(ISNUMBER(U3441),IF(U3441&gt;$L$6,T3441,""),"")</f>
        <v/>
      </c>
      <c r="W3441">
        <f>IF(AND(ISNUMBER('자료_거시'!$G3423),ISNUMBER('자료_거시'!$H3423)),'자료_거시'!$H3423,"")</f>
        <v/>
      </c>
      <c r="X3441">
        <f>IF(ISNUMBER(W3441),'자료_거시'!$G3423,"")</f>
        <v/>
      </c>
      <c r="Y3441">
        <f>IF(ISNUMBER(X3441),IF(X3441&gt;$L$7,W3441,""),"")</f>
        <v/>
      </c>
      <c r="Z3441">
        <f>IF(ISNUMBER('자료_거시'!$K3423),'자료_거시'!$K3423,Z3440)</f>
        <v/>
      </c>
      <c r="AA3441">
        <f>IF(AND(ISNUMBER('자료_거시'!$J3423),ISNUMBER('자료_거시'!$K3423)),IFERROR('자료_거시'!$K3423/INDEX($Z$21:$Z$4020,MATCH(EDATE('자료_거시'!$J3423,-'설정'!$B$17),'자료_거시'!$J$3:INDEX('자료_거시'!$J$3:$J$4002,$K$8),1))-1,""),"")</f>
        <v/>
      </c>
      <c r="AB3441">
        <f>IF(ISNUMBER(AA3441),'자료_거시'!$J3423,"")</f>
        <v/>
      </c>
      <c r="AC3441">
        <f>IF(ISNUMBER(AB3441),IF(AB3441&gt;$L$8,AA3441,""),"")</f>
        <v/>
      </c>
    </row>
    <row r="3442">
      <c r="S3442">
        <f>IF(ISNUMBER('자료_거시'!$E3424),'자료_거시'!$E3424,S3441)</f>
        <v/>
      </c>
      <c r="T3442">
        <f>IF(AND(ISNUMBER('자료_거시'!$D3424),ISNUMBER('자료_거시'!$E3424)),IFERROR('자료_거시'!$E3424-INDEX($S$21:$S$4020,MATCH(EDATE('자료_거시'!$D3424,-'설정'!$B$17),'자료_거시'!$D$3:INDEX('자료_거시'!$D$3:$D$4002,$K$6),1)),""),"")</f>
        <v/>
      </c>
      <c r="U3442">
        <f>IF(ISNUMBER(T3442),'자료_거시'!$D3424,"")</f>
        <v/>
      </c>
      <c r="V3442">
        <f>IF(ISNUMBER(U3442),IF(U3442&gt;$L$6,T3442,""),"")</f>
        <v/>
      </c>
      <c r="W3442">
        <f>IF(AND(ISNUMBER('자료_거시'!$G3424),ISNUMBER('자료_거시'!$H3424)),'자료_거시'!$H3424,"")</f>
        <v/>
      </c>
      <c r="X3442">
        <f>IF(ISNUMBER(W3442),'자료_거시'!$G3424,"")</f>
        <v/>
      </c>
      <c r="Y3442">
        <f>IF(ISNUMBER(X3442),IF(X3442&gt;$L$7,W3442,""),"")</f>
        <v/>
      </c>
      <c r="Z3442">
        <f>IF(ISNUMBER('자료_거시'!$K3424),'자료_거시'!$K3424,Z3441)</f>
        <v/>
      </c>
      <c r="AA3442">
        <f>IF(AND(ISNUMBER('자료_거시'!$J3424),ISNUMBER('자료_거시'!$K3424)),IFERROR('자료_거시'!$K3424/INDEX($Z$21:$Z$4020,MATCH(EDATE('자료_거시'!$J3424,-'설정'!$B$17),'자료_거시'!$J$3:INDEX('자료_거시'!$J$3:$J$4002,$K$8),1))-1,""),"")</f>
        <v/>
      </c>
      <c r="AB3442">
        <f>IF(ISNUMBER(AA3442),'자료_거시'!$J3424,"")</f>
        <v/>
      </c>
      <c r="AC3442">
        <f>IF(ISNUMBER(AB3442),IF(AB3442&gt;$L$8,AA3442,""),"")</f>
        <v/>
      </c>
    </row>
    <row r="3443">
      <c r="S3443">
        <f>IF(ISNUMBER('자료_거시'!$E3425),'자료_거시'!$E3425,S3442)</f>
        <v/>
      </c>
      <c r="T3443">
        <f>IF(AND(ISNUMBER('자료_거시'!$D3425),ISNUMBER('자료_거시'!$E3425)),IFERROR('자료_거시'!$E3425-INDEX($S$21:$S$4020,MATCH(EDATE('자료_거시'!$D3425,-'설정'!$B$17),'자료_거시'!$D$3:INDEX('자료_거시'!$D$3:$D$4002,$K$6),1)),""),"")</f>
        <v/>
      </c>
      <c r="U3443">
        <f>IF(ISNUMBER(T3443),'자료_거시'!$D3425,"")</f>
        <v/>
      </c>
      <c r="V3443">
        <f>IF(ISNUMBER(U3443),IF(U3443&gt;$L$6,T3443,""),"")</f>
        <v/>
      </c>
      <c r="W3443">
        <f>IF(AND(ISNUMBER('자료_거시'!$G3425),ISNUMBER('자료_거시'!$H3425)),'자료_거시'!$H3425,"")</f>
        <v/>
      </c>
      <c r="X3443">
        <f>IF(ISNUMBER(W3443),'자료_거시'!$G3425,"")</f>
        <v/>
      </c>
      <c r="Y3443">
        <f>IF(ISNUMBER(X3443),IF(X3443&gt;$L$7,W3443,""),"")</f>
        <v/>
      </c>
      <c r="Z3443">
        <f>IF(ISNUMBER('자료_거시'!$K3425),'자료_거시'!$K3425,Z3442)</f>
        <v/>
      </c>
      <c r="AA3443">
        <f>IF(AND(ISNUMBER('자료_거시'!$J3425),ISNUMBER('자료_거시'!$K3425)),IFERROR('자료_거시'!$K3425/INDEX($Z$21:$Z$4020,MATCH(EDATE('자료_거시'!$J3425,-'설정'!$B$17),'자료_거시'!$J$3:INDEX('자료_거시'!$J$3:$J$4002,$K$8),1))-1,""),"")</f>
        <v/>
      </c>
      <c r="AB3443">
        <f>IF(ISNUMBER(AA3443),'자료_거시'!$J3425,"")</f>
        <v/>
      </c>
      <c r="AC3443">
        <f>IF(ISNUMBER(AB3443),IF(AB3443&gt;$L$8,AA3443,""),"")</f>
        <v/>
      </c>
    </row>
    <row r="3444">
      <c r="S3444">
        <f>IF(ISNUMBER('자료_거시'!$E3426),'자료_거시'!$E3426,S3443)</f>
        <v/>
      </c>
      <c r="T3444">
        <f>IF(AND(ISNUMBER('자료_거시'!$D3426),ISNUMBER('자료_거시'!$E3426)),IFERROR('자료_거시'!$E3426-INDEX($S$21:$S$4020,MATCH(EDATE('자료_거시'!$D3426,-'설정'!$B$17),'자료_거시'!$D$3:INDEX('자료_거시'!$D$3:$D$4002,$K$6),1)),""),"")</f>
        <v/>
      </c>
      <c r="U3444">
        <f>IF(ISNUMBER(T3444),'자료_거시'!$D3426,"")</f>
        <v/>
      </c>
      <c r="V3444">
        <f>IF(ISNUMBER(U3444),IF(U3444&gt;$L$6,T3444,""),"")</f>
        <v/>
      </c>
      <c r="W3444">
        <f>IF(AND(ISNUMBER('자료_거시'!$G3426),ISNUMBER('자료_거시'!$H3426)),'자료_거시'!$H3426,"")</f>
        <v/>
      </c>
      <c r="X3444">
        <f>IF(ISNUMBER(W3444),'자료_거시'!$G3426,"")</f>
        <v/>
      </c>
      <c r="Y3444">
        <f>IF(ISNUMBER(X3444),IF(X3444&gt;$L$7,W3444,""),"")</f>
        <v/>
      </c>
      <c r="Z3444">
        <f>IF(ISNUMBER('자료_거시'!$K3426),'자료_거시'!$K3426,Z3443)</f>
        <v/>
      </c>
      <c r="AA3444">
        <f>IF(AND(ISNUMBER('자료_거시'!$J3426),ISNUMBER('자료_거시'!$K3426)),IFERROR('자료_거시'!$K3426/INDEX($Z$21:$Z$4020,MATCH(EDATE('자료_거시'!$J3426,-'설정'!$B$17),'자료_거시'!$J$3:INDEX('자료_거시'!$J$3:$J$4002,$K$8),1))-1,""),"")</f>
        <v/>
      </c>
      <c r="AB3444">
        <f>IF(ISNUMBER(AA3444),'자료_거시'!$J3426,"")</f>
        <v/>
      </c>
      <c r="AC3444">
        <f>IF(ISNUMBER(AB3444),IF(AB3444&gt;$L$8,AA3444,""),"")</f>
        <v/>
      </c>
    </row>
    <row r="3445">
      <c r="S3445">
        <f>IF(ISNUMBER('자료_거시'!$E3427),'자료_거시'!$E3427,S3444)</f>
        <v/>
      </c>
      <c r="T3445">
        <f>IF(AND(ISNUMBER('자료_거시'!$D3427),ISNUMBER('자료_거시'!$E3427)),IFERROR('자료_거시'!$E3427-INDEX($S$21:$S$4020,MATCH(EDATE('자료_거시'!$D3427,-'설정'!$B$17),'자료_거시'!$D$3:INDEX('자료_거시'!$D$3:$D$4002,$K$6),1)),""),"")</f>
        <v/>
      </c>
      <c r="U3445">
        <f>IF(ISNUMBER(T3445),'자료_거시'!$D3427,"")</f>
        <v/>
      </c>
      <c r="V3445">
        <f>IF(ISNUMBER(U3445),IF(U3445&gt;$L$6,T3445,""),"")</f>
        <v/>
      </c>
      <c r="W3445">
        <f>IF(AND(ISNUMBER('자료_거시'!$G3427),ISNUMBER('자료_거시'!$H3427)),'자료_거시'!$H3427,"")</f>
        <v/>
      </c>
      <c r="X3445">
        <f>IF(ISNUMBER(W3445),'자료_거시'!$G3427,"")</f>
        <v/>
      </c>
      <c r="Y3445">
        <f>IF(ISNUMBER(X3445),IF(X3445&gt;$L$7,W3445,""),"")</f>
        <v/>
      </c>
      <c r="Z3445">
        <f>IF(ISNUMBER('자료_거시'!$K3427),'자료_거시'!$K3427,Z3444)</f>
        <v/>
      </c>
      <c r="AA3445">
        <f>IF(AND(ISNUMBER('자료_거시'!$J3427),ISNUMBER('자료_거시'!$K3427)),IFERROR('자료_거시'!$K3427/INDEX($Z$21:$Z$4020,MATCH(EDATE('자료_거시'!$J3427,-'설정'!$B$17),'자료_거시'!$J$3:INDEX('자료_거시'!$J$3:$J$4002,$K$8),1))-1,""),"")</f>
        <v/>
      </c>
      <c r="AB3445">
        <f>IF(ISNUMBER(AA3445),'자료_거시'!$J3427,"")</f>
        <v/>
      </c>
      <c r="AC3445">
        <f>IF(ISNUMBER(AB3445),IF(AB3445&gt;$L$8,AA3445,""),"")</f>
        <v/>
      </c>
    </row>
    <row r="3446">
      <c r="S3446">
        <f>IF(ISNUMBER('자료_거시'!$E3428),'자료_거시'!$E3428,S3445)</f>
        <v/>
      </c>
      <c r="T3446">
        <f>IF(AND(ISNUMBER('자료_거시'!$D3428),ISNUMBER('자료_거시'!$E3428)),IFERROR('자료_거시'!$E3428-INDEX($S$21:$S$4020,MATCH(EDATE('자료_거시'!$D3428,-'설정'!$B$17),'자료_거시'!$D$3:INDEX('자료_거시'!$D$3:$D$4002,$K$6),1)),""),"")</f>
        <v/>
      </c>
      <c r="U3446">
        <f>IF(ISNUMBER(T3446),'자료_거시'!$D3428,"")</f>
        <v/>
      </c>
      <c r="V3446">
        <f>IF(ISNUMBER(U3446),IF(U3446&gt;$L$6,T3446,""),"")</f>
        <v/>
      </c>
      <c r="W3446">
        <f>IF(AND(ISNUMBER('자료_거시'!$G3428),ISNUMBER('자료_거시'!$H3428)),'자료_거시'!$H3428,"")</f>
        <v/>
      </c>
      <c r="X3446">
        <f>IF(ISNUMBER(W3446),'자료_거시'!$G3428,"")</f>
        <v/>
      </c>
      <c r="Y3446">
        <f>IF(ISNUMBER(X3446),IF(X3446&gt;$L$7,W3446,""),"")</f>
        <v/>
      </c>
      <c r="Z3446">
        <f>IF(ISNUMBER('자료_거시'!$K3428),'자료_거시'!$K3428,Z3445)</f>
        <v/>
      </c>
      <c r="AA3446">
        <f>IF(AND(ISNUMBER('자료_거시'!$J3428),ISNUMBER('자료_거시'!$K3428)),IFERROR('자료_거시'!$K3428/INDEX($Z$21:$Z$4020,MATCH(EDATE('자료_거시'!$J3428,-'설정'!$B$17),'자료_거시'!$J$3:INDEX('자료_거시'!$J$3:$J$4002,$K$8),1))-1,""),"")</f>
        <v/>
      </c>
      <c r="AB3446">
        <f>IF(ISNUMBER(AA3446),'자료_거시'!$J3428,"")</f>
        <v/>
      </c>
      <c r="AC3446">
        <f>IF(ISNUMBER(AB3446),IF(AB3446&gt;$L$8,AA3446,""),"")</f>
        <v/>
      </c>
    </row>
    <row r="3447">
      <c r="S3447">
        <f>IF(ISNUMBER('자료_거시'!$E3429),'자료_거시'!$E3429,S3446)</f>
        <v/>
      </c>
      <c r="T3447">
        <f>IF(AND(ISNUMBER('자료_거시'!$D3429),ISNUMBER('자료_거시'!$E3429)),IFERROR('자료_거시'!$E3429-INDEX($S$21:$S$4020,MATCH(EDATE('자료_거시'!$D3429,-'설정'!$B$17),'자료_거시'!$D$3:INDEX('자료_거시'!$D$3:$D$4002,$K$6),1)),""),"")</f>
        <v/>
      </c>
      <c r="U3447">
        <f>IF(ISNUMBER(T3447),'자료_거시'!$D3429,"")</f>
        <v/>
      </c>
      <c r="V3447">
        <f>IF(ISNUMBER(U3447),IF(U3447&gt;$L$6,T3447,""),"")</f>
        <v/>
      </c>
      <c r="W3447">
        <f>IF(AND(ISNUMBER('자료_거시'!$G3429),ISNUMBER('자료_거시'!$H3429)),'자료_거시'!$H3429,"")</f>
        <v/>
      </c>
      <c r="X3447">
        <f>IF(ISNUMBER(W3447),'자료_거시'!$G3429,"")</f>
        <v/>
      </c>
      <c r="Y3447">
        <f>IF(ISNUMBER(X3447),IF(X3447&gt;$L$7,W3447,""),"")</f>
        <v/>
      </c>
      <c r="Z3447">
        <f>IF(ISNUMBER('자료_거시'!$K3429),'자료_거시'!$K3429,Z3446)</f>
        <v/>
      </c>
      <c r="AA3447">
        <f>IF(AND(ISNUMBER('자료_거시'!$J3429),ISNUMBER('자료_거시'!$K3429)),IFERROR('자료_거시'!$K3429/INDEX($Z$21:$Z$4020,MATCH(EDATE('자료_거시'!$J3429,-'설정'!$B$17),'자료_거시'!$J$3:INDEX('자료_거시'!$J$3:$J$4002,$K$8),1))-1,""),"")</f>
        <v/>
      </c>
      <c r="AB3447">
        <f>IF(ISNUMBER(AA3447),'자료_거시'!$J3429,"")</f>
        <v/>
      </c>
      <c r="AC3447">
        <f>IF(ISNUMBER(AB3447),IF(AB3447&gt;$L$8,AA3447,""),"")</f>
        <v/>
      </c>
    </row>
    <row r="3448">
      <c r="S3448">
        <f>IF(ISNUMBER('자료_거시'!$E3430),'자료_거시'!$E3430,S3447)</f>
        <v/>
      </c>
      <c r="T3448">
        <f>IF(AND(ISNUMBER('자료_거시'!$D3430),ISNUMBER('자료_거시'!$E3430)),IFERROR('자료_거시'!$E3430-INDEX($S$21:$S$4020,MATCH(EDATE('자료_거시'!$D3430,-'설정'!$B$17),'자료_거시'!$D$3:INDEX('자료_거시'!$D$3:$D$4002,$K$6),1)),""),"")</f>
        <v/>
      </c>
      <c r="U3448">
        <f>IF(ISNUMBER(T3448),'자료_거시'!$D3430,"")</f>
        <v/>
      </c>
      <c r="V3448">
        <f>IF(ISNUMBER(U3448),IF(U3448&gt;$L$6,T3448,""),"")</f>
        <v/>
      </c>
      <c r="W3448">
        <f>IF(AND(ISNUMBER('자료_거시'!$G3430),ISNUMBER('자료_거시'!$H3430)),'자료_거시'!$H3430,"")</f>
        <v/>
      </c>
      <c r="X3448">
        <f>IF(ISNUMBER(W3448),'자료_거시'!$G3430,"")</f>
        <v/>
      </c>
      <c r="Y3448">
        <f>IF(ISNUMBER(X3448),IF(X3448&gt;$L$7,W3448,""),"")</f>
        <v/>
      </c>
      <c r="Z3448">
        <f>IF(ISNUMBER('자료_거시'!$K3430),'자료_거시'!$K3430,Z3447)</f>
        <v/>
      </c>
      <c r="AA3448">
        <f>IF(AND(ISNUMBER('자료_거시'!$J3430),ISNUMBER('자료_거시'!$K3430)),IFERROR('자료_거시'!$K3430/INDEX($Z$21:$Z$4020,MATCH(EDATE('자료_거시'!$J3430,-'설정'!$B$17),'자료_거시'!$J$3:INDEX('자료_거시'!$J$3:$J$4002,$K$8),1))-1,""),"")</f>
        <v/>
      </c>
      <c r="AB3448">
        <f>IF(ISNUMBER(AA3448),'자료_거시'!$J3430,"")</f>
        <v/>
      </c>
      <c r="AC3448">
        <f>IF(ISNUMBER(AB3448),IF(AB3448&gt;$L$8,AA3448,""),"")</f>
        <v/>
      </c>
    </row>
    <row r="3449">
      <c r="S3449">
        <f>IF(ISNUMBER('자료_거시'!$E3431),'자료_거시'!$E3431,S3448)</f>
        <v/>
      </c>
      <c r="T3449">
        <f>IF(AND(ISNUMBER('자료_거시'!$D3431),ISNUMBER('자료_거시'!$E3431)),IFERROR('자료_거시'!$E3431-INDEX($S$21:$S$4020,MATCH(EDATE('자료_거시'!$D3431,-'설정'!$B$17),'자료_거시'!$D$3:INDEX('자료_거시'!$D$3:$D$4002,$K$6),1)),""),"")</f>
        <v/>
      </c>
      <c r="U3449">
        <f>IF(ISNUMBER(T3449),'자료_거시'!$D3431,"")</f>
        <v/>
      </c>
      <c r="V3449">
        <f>IF(ISNUMBER(U3449),IF(U3449&gt;$L$6,T3449,""),"")</f>
        <v/>
      </c>
      <c r="W3449">
        <f>IF(AND(ISNUMBER('자료_거시'!$G3431),ISNUMBER('자료_거시'!$H3431)),'자료_거시'!$H3431,"")</f>
        <v/>
      </c>
      <c r="X3449">
        <f>IF(ISNUMBER(W3449),'자료_거시'!$G3431,"")</f>
        <v/>
      </c>
      <c r="Y3449">
        <f>IF(ISNUMBER(X3449),IF(X3449&gt;$L$7,W3449,""),"")</f>
        <v/>
      </c>
      <c r="Z3449">
        <f>IF(ISNUMBER('자료_거시'!$K3431),'자료_거시'!$K3431,Z3448)</f>
        <v/>
      </c>
      <c r="AA3449">
        <f>IF(AND(ISNUMBER('자료_거시'!$J3431),ISNUMBER('자료_거시'!$K3431)),IFERROR('자료_거시'!$K3431/INDEX($Z$21:$Z$4020,MATCH(EDATE('자료_거시'!$J3431,-'설정'!$B$17),'자료_거시'!$J$3:INDEX('자료_거시'!$J$3:$J$4002,$K$8),1))-1,""),"")</f>
        <v/>
      </c>
      <c r="AB3449">
        <f>IF(ISNUMBER(AA3449),'자료_거시'!$J3431,"")</f>
        <v/>
      </c>
      <c r="AC3449">
        <f>IF(ISNUMBER(AB3449),IF(AB3449&gt;$L$8,AA3449,""),"")</f>
        <v/>
      </c>
    </row>
    <row r="3450">
      <c r="S3450">
        <f>IF(ISNUMBER('자료_거시'!$E3432),'자료_거시'!$E3432,S3449)</f>
        <v/>
      </c>
      <c r="T3450">
        <f>IF(AND(ISNUMBER('자료_거시'!$D3432),ISNUMBER('자료_거시'!$E3432)),IFERROR('자료_거시'!$E3432-INDEX($S$21:$S$4020,MATCH(EDATE('자료_거시'!$D3432,-'설정'!$B$17),'자료_거시'!$D$3:INDEX('자료_거시'!$D$3:$D$4002,$K$6),1)),""),"")</f>
        <v/>
      </c>
      <c r="U3450">
        <f>IF(ISNUMBER(T3450),'자료_거시'!$D3432,"")</f>
        <v/>
      </c>
      <c r="V3450">
        <f>IF(ISNUMBER(U3450),IF(U3450&gt;$L$6,T3450,""),"")</f>
        <v/>
      </c>
      <c r="W3450">
        <f>IF(AND(ISNUMBER('자료_거시'!$G3432),ISNUMBER('자료_거시'!$H3432)),'자료_거시'!$H3432,"")</f>
        <v/>
      </c>
      <c r="X3450">
        <f>IF(ISNUMBER(W3450),'자료_거시'!$G3432,"")</f>
        <v/>
      </c>
      <c r="Y3450">
        <f>IF(ISNUMBER(X3450),IF(X3450&gt;$L$7,W3450,""),"")</f>
        <v/>
      </c>
      <c r="Z3450">
        <f>IF(ISNUMBER('자료_거시'!$K3432),'자료_거시'!$K3432,Z3449)</f>
        <v/>
      </c>
      <c r="AA3450">
        <f>IF(AND(ISNUMBER('자료_거시'!$J3432),ISNUMBER('자료_거시'!$K3432)),IFERROR('자료_거시'!$K3432/INDEX($Z$21:$Z$4020,MATCH(EDATE('자료_거시'!$J3432,-'설정'!$B$17),'자료_거시'!$J$3:INDEX('자료_거시'!$J$3:$J$4002,$K$8),1))-1,""),"")</f>
        <v/>
      </c>
      <c r="AB3450">
        <f>IF(ISNUMBER(AA3450),'자료_거시'!$J3432,"")</f>
        <v/>
      </c>
      <c r="AC3450">
        <f>IF(ISNUMBER(AB3450),IF(AB3450&gt;$L$8,AA3450,""),"")</f>
        <v/>
      </c>
    </row>
    <row r="3451">
      <c r="S3451">
        <f>IF(ISNUMBER('자료_거시'!$E3433),'자료_거시'!$E3433,S3450)</f>
        <v/>
      </c>
      <c r="T3451">
        <f>IF(AND(ISNUMBER('자료_거시'!$D3433),ISNUMBER('자료_거시'!$E3433)),IFERROR('자료_거시'!$E3433-INDEX($S$21:$S$4020,MATCH(EDATE('자료_거시'!$D3433,-'설정'!$B$17),'자료_거시'!$D$3:INDEX('자료_거시'!$D$3:$D$4002,$K$6),1)),""),"")</f>
        <v/>
      </c>
      <c r="U3451">
        <f>IF(ISNUMBER(T3451),'자료_거시'!$D3433,"")</f>
        <v/>
      </c>
      <c r="V3451">
        <f>IF(ISNUMBER(U3451),IF(U3451&gt;$L$6,T3451,""),"")</f>
        <v/>
      </c>
      <c r="W3451">
        <f>IF(AND(ISNUMBER('자료_거시'!$G3433),ISNUMBER('자료_거시'!$H3433)),'자료_거시'!$H3433,"")</f>
        <v/>
      </c>
      <c r="X3451">
        <f>IF(ISNUMBER(W3451),'자료_거시'!$G3433,"")</f>
        <v/>
      </c>
      <c r="Y3451">
        <f>IF(ISNUMBER(X3451),IF(X3451&gt;$L$7,W3451,""),"")</f>
        <v/>
      </c>
      <c r="Z3451">
        <f>IF(ISNUMBER('자료_거시'!$K3433),'자료_거시'!$K3433,Z3450)</f>
        <v/>
      </c>
      <c r="AA3451">
        <f>IF(AND(ISNUMBER('자료_거시'!$J3433),ISNUMBER('자료_거시'!$K3433)),IFERROR('자료_거시'!$K3433/INDEX($Z$21:$Z$4020,MATCH(EDATE('자료_거시'!$J3433,-'설정'!$B$17),'자료_거시'!$J$3:INDEX('자료_거시'!$J$3:$J$4002,$K$8),1))-1,""),"")</f>
        <v/>
      </c>
      <c r="AB3451">
        <f>IF(ISNUMBER(AA3451),'자료_거시'!$J3433,"")</f>
        <v/>
      </c>
      <c r="AC3451">
        <f>IF(ISNUMBER(AB3451),IF(AB3451&gt;$L$8,AA3451,""),"")</f>
        <v/>
      </c>
    </row>
    <row r="3452">
      <c r="S3452">
        <f>IF(ISNUMBER('자료_거시'!$E3434),'자료_거시'!$E3434,S3451)</f>
        <v/>
      </c>
      <c r="T3452">
        <f>IF(AND(ISNUMBER('자료_거시'!$D3434),ISNUMBER('자료_거시'!$E3434)),IFERROR('자료_거시'!$E3434-INDEX($S$21:$S$4020,MATCH(EDATE('자료_거시'!$D3434,-'설정'!$B$17),'자료_거시'!$D$3:INDEX('자료_거시'!$D$3:$D$4002,$K$6),1)),""),"")</f>
        <v/>
      </c>
      <c r="U3452">
        <f>IF(ISNUMBER(T3452),'자료_거시'!$D3434,"")</f>
        <v/>
      </c>
      <c r="V3452">
        <f>IF(ISNUMBER(U3452),IF(U3452&gt;$L$6,T3452,""),"")</f>
        <v/>
      </c>
      <c r="W3452">
        <f>IF(AND(ISNUMBER('자료_거시'!$G3434),ISNUMBER('자료_거시'!$H3434)),'자료_거시'!$H3434,"")</f>
        <v/>
      </c>
      <c r="X3452">
        <f>IF(ISNUMBER(W3452),'자료_거시'!$G3434,"")</f>
        <v/>
      </c>
      <c r="Y3452">
        <f>IF(ISNUMBER(X3452),IF(X3452&gt;$L$7,W3452,""),"")</f>
        <v/>
      </c>
      <c r="Z3452">
        <f>IF(ISNUMBER('자료_거시'!$K3434),'자료_거시'!$K3434,Z3451)</f>
        <v/>
      </c>
      <c r="AA3452">
        <f>IF(AND(ISNUMBER('자료_거시'!$J3434),ISNUMBER('자료_거시'!$K3434)),IFERROR('자료_거시'!$K3434/INDEX($Z$21:$Z$4020,MATCH(EDATE('자료_거시'!$J3434,-'설정'!$B$17),'자료_거시'!$J$3:INDEX('자료_거시'!$J$3:$J$4002,$K$8),1))-1,""),"")</f>
        <v/>
      </c>
      <c r="AB3452">
        <f>IF(ISNUMBER(AA3452),'자료_거시'!$J3434,"")</f>
        <v/>
      </c>
      <c r="AC3452">
        <f>IF(ISNUMBER(AB3452),IF(AB3452&gt;$L$8,AA3452,""),"")</f>
        <v/>
      </c>
    </row>
    <row r="3453">
      <c r="S3453">
        <f>IF(ISNUMBER('자료_거시'!$E3435),'자료_거시'!$E3435,S3452)</f>
        <v/>
      </c>
      <c r="T3453">
        <f>IF(AND(ISNUMBER('자료_거시'!$D3435),ISNUMBER('자료_거시'!$E3435)),IFERROR('자료_거시'!$E3435-INDEX($S$21:$S$4020,MATCH(EDATE('자료_거시'!$D3435,-'설정'!$B$17),'자료_거시'!$D$3:INDEX('자료_거시'!$D$3:$D$4002,$K$6),1)),""),"")</f>
        <v/>
      </c>
      <c r="U3453">
        <f>IF(ISNUMBER(T3453),'자료_거시'!$D3435,"")</f>
        <v/>
      </c>
      <c r="V3453">
        <f>IF(ISNUMBER(U3453),IF(U3453&gt;$L$6,T3453,""),"")</f>
        <v/>
      </c>
      <c r="W3453">
        <f>IF(AND(ISNUMBER('자료_거시'!$G3435),ISNUMBER('자료_거시'!$H3435)),'자료_거시'!$H3435,"")</f>
        <v/>
      </c>
      <c r="X3453">
        <f>IF(ISNUMBER(W3453),'자료_거시'!$G3435,"")</f>
        <v/>
      </c>
      <c r="Y3453">
        <f>IF(ISNUMBER(X3453),IF(X3453&gt;$L$7,W3453,""),"")</f>
        <v/>
      </c>
      <c r="Z3453">
        <f>IF(ISNUMBER('자료_거시'!$K3435),'자료_거시'!$K3435,Z3452)</f>
        <v/>
      </c>
      <c r="AA3453">
        <f>IF(AND(ISNUMBER('자료_거시'!$J3435),ISNUMBER('자료_거시'!$K3435)),IFERROR('자료_거시'!$K3435/INDEX($Z$21:$Z$4020,MATCH(EDATE('자료_거시'!$J3435,-'설정'!$B$17),'자료_거시'!$J$3:INDEX('자료_거시'!$J$3:$J$4002,$K$8),1))-1,""),"")</f>
        <v/>
      </c>
      <c r="AB3453">
        <f>IF(ISNUMBER(AA3453),'자료_거시'!$J3435,"")</f>
        <v/>
      </c>
      <c r="AC3453">
        <f>IF(ISNUMBER(AB3453),IF(AB3453&gt;$L$8,AA3453,""),"")</f>
        <v/>
      </c>
    </row>
    <row r="3454">
      <c r="S3454">
        <f>IF(ISNUMBER('자료_거시'!$E3436),'자료_거시'!$E3436,S3453)</f>
        <v/>
      </c>
      <c r="T3454">
        <f>IF(AND(ISNUMBER('자료_거시'!$D3436),ISNUMBER('자료_거시'!$E3436)),IFERROR('자료_거시'!$E3436-INDEX($S$21:$S$4020,MATCH(EDATE('자료_거시'!$D3436,-'설정'!$B$17),'자료_거시'!$D$3:INDEX('자료_거시'!$D$3:$D$4002,$K$6),1)),""),"")</f>
        <v/>
      </c>
      <c r="U3454">
        <f>IF(ISNUMBER(T3454),'자료_거시'!$D3436,"")</f>
        <v/>
      </c>
      <c r="V3454">
        <f>IF(ISNUMBER(U3454),IF(U3454&gt;$L$6,T3454,""),"")</f>
        <v/>
      </c>
      <c r="W3454">
        <f>IF(AND(ISNUMBER('자료_거시'!$G3436),ISNUMBER('자료_거시'!$H3436)),'자료_거시'!$H3436,"")</f>
        <v/>
      </c>
      <c r="X3454">
        <f>IF(ISNUMBER(W3454),'자료_거시'!$G3436,"")</f>
        <v/>
      </c>
      <c r="Y3454">
        <f>IF(ISNUMBER(X3454),IF(X3454&gt;$L$7,W3454,""),"")</f>
        <v/>
      </c>
      <c r="Z3454">
        <f>IF(ISNUMBER('자료_거시'!$K3436),'자료_거시'!$K3436,Z3453)</f>
        <v/>
      </c>
      <c r="AA3454">
        <f>IF(AND(ISNUMBER('자료_거시'!$J3436),ISNUMBER('자료_거시'!$K3436)),IFERROR('자료_거시'!$K3436/INDEX($Z$21:$Z$4020,MATCH(EDATE('자료_거시'!$J3436,-'설정'!$B$17),'자료_거시'!$J$3:INDEX('자료_거시'!$J$3:$J$4002,$K$8),1))-1,""),"")</f>
        <v/>
      </c>
      <c r="AB3454">
        <f>IF(ISNUMBER(AA3454),'자료_거시'!$J3436,"")</f>
        <v/>
      </c>
      <c r="AC3454">
        <f>IF(ISNUMBER(AB3454),IF(AB3454&gt;$L$8,AA3454,""),"")</f>
        <v/>
      </c>
    </row>
    <row r="3455">
      <c r="S3455">
        <f>IF(ISNUMBER('자료_거시'!$E3437),'자료_거시'!$E3437,S3454)</f>
        <v/>
      </c>
      <c r="T3455">
        <f>IF(AND(ISNUMBER('자료_거시'!$D3437),ISNUMBER('자료_거시'!$E3437)),IFERROR('자료_거시'!$E3437-INDEX($S$21:$S$4020,MATCH(EDATE('자료_거시'!$D3437,-'설정'!$B$17),'자료_거시'!$D$3:INDEX('자료_거시'!$D$3:$D$4002,$K$6),1)),""),"")</f>
        <v/>
      </c>
      <c r="U3455">
        <f>IF(ISNUMBER(T3455),'자료_거시'!$D3437,"")</f>
        <v/>
      </c>
      <c r="V3455">
        <f>IF(ISNUMBER(U3455),IF(U3455&gt;$L$6,T3455,""),"")</f>
        <v/>
      </c>
      <c r="W3455">
        <f>IF(AND(ISNUMBER('자료_거시'!$G3437),ISNUMBER('자료_거시'!$H3437)),'자료_거시'!$H3437,"")</f>
        <v/>
      </c>
      <c r="X3455">
        <f>IF(ISNUMBER(W3455),'자료_거시'!$G3437,"")</f>
        <v/>
      </c>
      <c r="Y3455">
        <f>IF(ISNUMBER(X3455),IF(X3455&gt;$L$7,W3455,""),"")</f>
        <v/>
      </c>
      <c r="Z3455">
        <f>IF(ISNUMBER('자료_거시'!$K3437),'자료_거시'!$K3437,Z3454)</f>
        <v/>
      </c>
      <c r="AA3455">
        <f>IF(AND(ISNUMBER('자료_거시'!$J3437),ISNUMBER('자료_거시'!$K3437)),IFERROR('자료_거시'!$K3437/INDEX($Z$21:$Z$4020,MATCH(EDATE('자료_거시'!$J3437,-'설정'!$B$17),'자료_거시'!$J$3:INDEX('자료_거시'!$J$3:$J$4002,$K$8),1))-1,""),"")</f>
        <v/>
      </c>
      <c r="AB3455">
        <f>IF(ISNUMBER(AA3455),'자료_거시'!$J3437,"")</f>
        <v/>
      </c>
      <c r="AC3455">
        <f>IF(ISNUMBER(AB3455),IF(AB3455&gt;$L$8,AA3455,""),"")</f>
        <v/>
      </c>
    </row>
    <row r="3456">
      <c r="S3456">
        <f>IF(ISNUMBER('자료_거시'!$E3438),'자료_거시'!$E3438,S3455)</f>
        <v/>
      </c>
      <c r="T3456">
        <f>IF(AND(ISNUMBER('자료_거시'!$D3438),ISNUMBER('자료_거시'!$E3438)),IFERROR('자료_거시'!$E3438-INDEX($S$21:$S$4020,MATCH(EDATE('자료_거시'!$D3438,-'설정'!$B$17),'자료_거시'!$D$3:INDEX('자료_거시'!$D$3:$D$4002,$K$6),1)),""),"")</f>
        <v/>
      </c>
      <c r="U3456">
        <f>IF(ISNUMBER(T3456),'자료_거시'!$D3438,"")</f>
        <v/>
      </c>
      <c r="V3456">
        <f>IF(ISNUMBER(U3456),IF(U3456&gt;$L$6,T3456,""),"")</f>
        <v/>
      </c>
      <c r="W3456">
        <f>IF(AND(ISNUMBER('자료_거시'!$G3438),ISNUMBER('자료_거시'!$H3438)),'자료_거시'!$H3438,"")</f>
        <v/>
      </c>
      <c r="X3456">
        <f>IF(ISNUMBER(W3456),'자료_거시'!$G3438,"")</f>
        <v/>
      </c>
      <c r="Y3456">
        <f>IF(ISNUMBER(X3456),IF(X3456&gt;$L$7,W3456,""),"")</f>
        <v/>
      </c>
      <c r="Z3456">
        <f>IF(ISNUMBER('자료_거시'!$K3438),'자료_거시'!$K3438,Z3455)</f>
        <v/>
      </c>
      <c r="AA3456">
        <f>IF(AND(ISNUMBER('자료_거시'!$J3438),ISNUMBER('자료_거시'!$K3438)),IFERROR('자료_거시'!$K3438/INDEX($Z$21:$Z$4020,MATCH(EDATE('자료_거시'!$J3438,-'설정'!$B$17),'자료_거시'!$J$3:INDEX('자료_거시'!$J$3:$J$4002,$K$8),1))-1,""),"")</f>
        <v/>
      </c>
      <c r="AB3456">
        <f>IF(ISNUMBER(AA3456),'자료_거시'!$J3438,"")</f>
        <v/>
      </c>
      <c r="AC3456">
        <f>IF(ISNUMBER(AB3456),IF(AB3456&gt;$L$8,AA3456,""),"")</f>
        <v/>
      </c>
    </row>
    <row r="3457">
      <c r="S3457">
        <f>IF(ISNUMBER('자료_거시'!$E3439),'자료_거시'!$E3439,S3456)</f>
        <v/>
      </c>
      <c r="T3457">
        <f>IF(AND(ISNUMBER('자료_거시'!$D3439),ISNUMBER('자료_거시'!$E3439)),IFERROR('자료_거시'!$E3439-INDEX($S$21:$S$4020,MATCH(EDATE('자료_거시'!$D3439,-'설정'!$B$17),'자료_거시'!$D$3:INDEX('자료_거시'!$D$3:$D$4002,$K$6),1)),""),"")</f>
        <v/>
      </c>
      <c r="U3457">
        <f>IF(ISNUMBER(T3457),'자료_거시'!$D3439,"")</f>
        <v/>
      </c>
      <c r="V3457">
        <f>IF(ISNUMBER(U3457),IF(U3457&gt;$L$6,T3457,""),"")</f>
        <v/>
      </c>
      <c r="W3457">
        <f>IF(AND(ISNUMBER('자료_거시'!$G3439),ISNUMBER('자료_거시'!$H3439)),'자료_거시'!$H3439,"")</f>
        <v/>
      </c>
      <c r="X3457">
        <f>IF(ISNUMBER(W3457),'자료_거시'!$G3439,"")</f>
        <v/>
      </c>
      <c r="Y3457">
        <f>IF(ISNUMBER(X3457),IF(X3457&gt;$L$7,W3457,""),"")</f>
        <v/>
      </c>
      <c r="Z3457">
        <f>IF(ISNUMBER('자료_거시'!$K3439),'자료_거시'!$K3439,Z3456)</f>
        <v/>
      </c>
      <c r="AA3457">
        <f>IF(AND(ISNUMBER('자료_거시'!$J3439),ISNUMBER('자료_거시'!$K3439)),IFERROR('자료_거시'!$K3439/INDEX($Z$21:$Z$4020,MATCH(EDATE('자료_거시'!$J3439,-'설정'!$B$17),'자료_거시'!$J$3:INDEX('자료_거시'!$J$3:$J$4002,$K$8),1))-1,""),"")</f>
        <v/>
      </c>
      <c r="AB3457">
        <f>IF(ISNUMBER(AA3457),'자료_거시'!$J3439,"")</f>
        <v/>
      </c>
      <c r="AC3457">
        <f>IF(ISNUMBER(AB3457),IF(AB3457&gt;$L$8,AA3457,""),"")</f>
        <v/>
      </c>
    </row>
    <row r="3458">
      <c r="S3458">
        <f>IF(ISNUMBER('자료_거시'!$E3440),'자료_거시'!$E3440,S3457)</f>
        <v/>
      </c>
      <c r="T3458">
        <f>IF(AND(ISNUMBER('자료_거시'!$D3440),ISNUMBER('자료_거시'!$E3440)),IFERROR('자료_거시'!$E3440-INDEX($S$21:$S$4020,MATCH(EDATE('자료_거시'!$D3440,-'설정'!$B$17),'자료_거시'!$D$3:INDEX('자료_거시'!$D$3:$D$4002,$K$6),1)),""),"")</f>
        <v/>
      </c>
      <c r="U3458">
        <f>IF(ISNUMBER(T3458),'자료_거시'!$D3440,"")</f>
        <v/>
      </c>
      <c r="V3458">
        <f>IF(ISNUMBER(U3458),IF(U3458&gt;$L$6,T3458,""),"")</f>
        <v/>
      </c>
      <c r="W3458">
        <f>IF(AND(ISNUMBER('자료_거시'!$G3440),ISNUMBER('자료_거시'!$H3440)),'자료_거시'!$H3440,"")</f>
        <v/>
      </c>
      <c r="X3458">
        <f>IF(ISNUMBER(W3458),'자료_거시'!$G3440,"")</f>
        <v/>
      </c>
      <c r="Y3458">
        <f>IF(ISNUMBER(X3458),IF(X3458&gt;$L$7,W3458,""),"")</f>
        <v/>
      </c>
      <c r="Z3458">
        <f>IF(ISNUMBER('자료_거시'!$K3440),'자료_거시'!$K3440,Z3457)</f>
        <v/>
      </c>
      <c r="AA3458">
        <f>IF(AND(ISNUMBER('자료_거시'!$J3440),ISNUMBER('자료_거시'!$K3440)),IFERROR('자료_거시'!$K3440/INDEX($Z$21:$Z$4020,MATCH(EDATE('자료_거시'!$J3440,-'설정'!$B$17),'자료_거시'!$J$3:INDEX('자료_거시'!$J$3:$J$4002,$K$8),1))-1,""),"")</f>
        <v/>
      </c>
      <c r="AB3458">
        <f>IF(ISNUMBER(AA3458),'자료_거시'!$J3440,"")</f>
        <v/>
      </c>
      <c r="AC3458">
        <f>IF(ISNUMBER(AB3458),IF(AB3458&gt;$L$8,AA3458,""),"")</f>
        <v/>
      </c>
    </row>
    <row r="3459">
      <c r="S3459">
        <f>IF(ISNUMBER('자료_거시'!$E3441),'자료_거시'!$E3441,S3458)</f>
        <v/>
      </c>
      <c r="T3459">
        <f>IF(AND(ISNUMBER('자료_거시'!$D3441),ISNUMBER('자료_거시'!$E3441)),IFERROR('자료_거시'!$E3441-INDEX($S$21:$S$4020,MATCH(EDATE('자료_거시'!$D3441,-'설정'!$B$17),'자료_거시'!$D$3:INDEX('자료_거시'!$D$3:$D$4002,$K$6),1)),""),"")</f>
        <v/>
      </c>
      <c r="U3459">
        <f>IF(ISNUMBER(T3459),'자료_거시'!$D3441,"")</f>
        <v/>
      </c>
      <c r="V3459">
        <f>IF(ISNUMBER(U3459),IF(U3459&gt;$L$6,T3459,""),"")</f>
        <v/>
      </c>
      <c r="W3459">
        <f>IF(AND(ISNUMBER('자료_거시'!$G3441),ISNUMBER('자료_거시'!$H3441)),'자료_거시'!$H3441,"")</f>
        <v/>
      </c>
      <c r="X3459">
        <f>IF(ISNUMBER(W3459),'자료_거시'!$G3441,"")</f>
        <v/>
      </c>
      <c r="Y3459">
        <f>IF(ISNUMBER(X3459),IF(X3459&gt;$L$7,W3459,""),"")</f>
        <v/>
      </c>
      <c r="Z3459">
        <f>IF(ISNUMBER('자료_거시'!$K3441),'자료_거시'!$K3441,Z3458)</f>
        <v/>
      </c>
      <c r="AA3459">
        <f>IF(AND(ISNUMBER('자료_거시'!$J3441),ISNUMBER('자료_거시'!$K3441)),IFERROR('자료_거시'!$K3441/INDEX($Z$21:$Z$4020,MATCH(EDATE('자료_거시'!$J3441,-'설정'!$B$17),'자료_거시'!$J$3:INDEX('자료_거시'!$J$3:$J$4002,$K$8),1))-1,""),"")</f>
        <v/>
      </c>
      <c r="AB3459">
        <f>IF(ISNUMBER(AA3459),'자료_거시'!$J3441,"")</f>
        <v/>
      </c>
      <c r="AC3459">
        <f>IF(ISNUMBER(AB3459),IF(AB3459&gt;$L$8,AA3459,""),"")</f>
        <v/>
      </c>
    </row>
    <row r="3460">
      <c r="S3460">
        <f>IF(ISNUMBER('자료_거시'!$E3442),'자료_거시'!$E3442,S3459)</f>
        <v/>
      </c>
      <c r="T3460">
        <f>IF(AND(ISNUMBER('자료_거시'!$D3442),ISNUMBER('자료_거시'!$E3442)),IFERROR('자료_거시'!$E3442-INDEX($S$21:$S$4020,MATCH(EDATE('자료_거시'!$D3442,-'설정'!$B$17),'자료_거시'!$D$3:INDEX('자료_거시'!$D$3:$D$4002,$K$6),1)),""),"")</f>
        <v/>
      </c>
      <c r="U3460">
        <f>IF(ISNUMBER(T3460),'자료_거시'!$D3442,"")</f>
        <v/>
      </c>
      <c r="V3460">
        <f>IF(ISNUMBER(U3460),IF(U3460&gt;$L$6,T3460,""),"")</f>
        <v/>
      </c>
      <c r="W3460">
        <f>IF(AND(ISNUMBER('자료_거시'!$G3442),ISNUMBER('자료_거시'!$H3442)),'자료_거시'!$H3442,"")</f>
        <v/>
      </c>
      <c r="X3460">
        <f>IF(ISNUMBER(W3460),'자료_거시'!$G3442,"")</f>
        <v/>
      </c>
      <c r="Y3460">
        <f>IF(ISNUMBER(X3460),IF(X3460&gt;$L$7,W3460,""),"")</f>
        <v/>
      </c>
      <c r="Z3460">
        <f>IF(ISNUMBER('자료_거시'!$K3442),'자료_거시'!$K3442,Z3459)</f>
        <v/>
      </c>
      <c r="AA3460">
        <f>IF(AND(ISNUMBER('자료_거시'!$J3442),ISNUMBER('자료_거시'!$K3442)),IFERROR('자료_거시'!$K3442/INDEX($Z$21:$Z$4020,MATCH(EDATE('자료_거시'!$J3442,-'설정'!$B$17),'자료_거시'!$J$3:INDEX('자료_거시'!$J$3:$J$4002,$K$8),1))-1,""),"")</f>
        <v/>
      </c>
      <c r="AB3460">
        <f>IF(ISNUMBER(AA3460),'자료_거시'!$J3442,"")</f>
        <v/>
      </c>
      <c r="AC3460">
        <f>IF(ISNUMBER(AB3460),IF(AB3460&gt;$L$8,AA3460,""),"")</f>
        <v/>
      </c>
    </row>
    <row r="3461">
      <c r="S3461">
        <f>IF(ISNUMBER('자료_거시'!$E3443),'자료_거시'!$E3443,S3460)</f>
        <v/>
      </c>
      <c r="T3461">
        <f>IF(AND(ISNUMBER('자료_거시'!$D3443),ISNUMBER('자료_거시'!$E3443)),IFERROR('자료_거시'!$E3443-INDEX($S$21:$S$4020,MATCH(EDATE('자료_거시'!$D3443,-'설정'!$B$17),'자료_거시'!$D$3:INDEX('자료_거시'!$D$3:$D$4002,$K$6),1)),""),"")</f>
        <v/>
      </c>
      <c r="U3461">
        <f>IF(ISNUMBER(T3461),'자료_거시'!$D3443,"")</f>
        <v/>
      </c>
      <c r="V3461">
        <f>IF(ISNUMBER(U3461),IF(U3461&gt;$L$6,T3461,""),"")</f>
        <v/>
      </c>
      <c r="W3461">
        <f>IF(AND(ISNUMBER('자료_거시'!$G3443),ISNUMBER('자료_거시'!$H3443)),'자료_거시'!$H3443,"")</f>
        <v/>
      </c>
      <c r="X3461">
        <f>IF(ISNUMBER(W3461),'자료_거시'!$G3443,"")</f>
        <v/>
      </c>
      <c r="Y3461">
        <f>IF(ISNUMBER(X3461),IF(X3461&gt;$L$7,W3461,""),"")</f>
        <v/>
      </c>
      <c r="Z3461">
        <f>IF(ISNUMBER('자료_거시'!$K3443),'자료_거시'!$K3443,Z3460)</f>
        <v/>
      </c>
      <c r="AA3461">
        <f>IF(AND(ISNUMBER('자료_거시'!$J3443),ISNUMBER('자료_거시'!$K3443)),IFERROR('자료_거시'!$K3443/INDEX($Z$21:$Z$4020,MATCH(EDATE('자료_거시'!$J3443,-'설정'!$B$17),'자료_거시'!$J$3:INDEX('자료_거시'!$J$3:$J$4002,$K$8),1))-1,""),"")</f>
        <v/>
      </c>
      <c r="AB3461">
        <f>IF(ISNUMBER(AA3461),'자료_거시'!$J3443,"")</f>
        <v/>
      </c>
      <c r="AC3461">
        <f>IF(ISNUMBER(AB3461),IF(AB3461&gt;$L$8,AA3461,""),"")</f>
        <v/>
      </c>
    </row>
    <row r="3462">
      <c r="S3462">
        <f>IF(ISNUMBER('자료_거시'!$E3444),'자료_거시'!$E3444,S3461)</f>
        <v/>
      </c>
      <c r="T3462">
        <f>IF(AND(ISNUMBER('자료_거시'!$D3444),ISNUMBER('자료_거시'!$E3444)),IFERROR('자료_거시'!$E3444-INDEX($S$21:$S$4020,MATCH(EDATE('자료_거시'!$D3444,-'설정'!$B$17),'자료_거시'!$D$3:INDEX('자료_거시'!$D$3:$D$4002,$K$6),1)),""),"")</f>
        <v/>
      </c>
      <c r="U3462">
        <f>IF(ISNUMBER(T3462),'자료_거시'!$D3444,"")</f>
        <v/>
      </c>
      <c r="V3462">
        <f>IF(ISNUMBER(U3462),IF(U3462&gt;$L$6,T3462,""),"")</f>
        <v/>
      </c>
      <c r="W3462">
        <f>IF(AND(ISNUMBER('자료_거시'!$G3444),ISNUMBER('자료_거시'!$H3444)),'자료_거시'!$H3444,"")</f>
        <v/>
      </c>
      <c r="X3462">
        <f>IF(ISNUMBER(W3462),'자료_거시'!$G3444,"")</f>
        <v/>
      </c>
      <c r="Y3462">
        <f>IF(ISNUMBER(X3462),IF(X3462&gt;$L$7,W3462,""),"")</f>
        <v/>
      </c>
      <c r="Z3462">
        <f>IF(ISNUMBER('자료_거시'!$K3444),'자료_거시'!$K3444,Z3461)</f>
        <v/>
      </c>
      <c r="AA3462">
        <f>IF(AND(ISNUMBER('자료_거시'!$J3444),ISNUMBER('자료_거시'!$K3444)),IFERROR('자료_거시'!$K3444/INDEX($Z$21:$Z$4020,MATCH(EDATE('자료_거시'!$J3444,-'설정'!$B$17),'자료_거시'!$J$3:INDEX('자료_거시'!$J$3:$J$4002,$K$8),1))-1,""),"")</f>
        <v/>
      </c>
      <c r="AB3462">
        <f>IF(ISNUMBER(AA3462),'자료_거시'!$J3444,"")</f>
        <v/>
      </c>
      <c r="AC3462">
        <f>IF(ISNUMBER(AB3462),IF(AB3462&gt;$L$8,AA3462,""),"")</f>
        <v/>
      </c>
    </row>
    <row r="3463">
      <c r="S3463">
        <f>IF(ISNUMBER('자료_거시'!$E3445),'자료_거시'!$E3445,S3462)</f>
        <v/>
      </c>
      <c r="T3463">
        <f>IF(AND(ISNUMBER('자료_거시'!$D3445),ISNUMBER('자료_거시'!$E3445)),IFERROR('자료_거시'!$E3445-INDEX($S$21:$S$4020,MATCH(EDATE('자료_거시'!$D3445,-'설정'!$B$17),'자료_거시'!$D$3:INDEX('자료_거시'!$D$3:$D$4002,$K$6),1)),""),"")</f>
        <v/>
      </c>
      <c r="U3463">
        <f>IF(ISNUMBER(T3463),'자료_거시'!$D3445,"")</f>
        <v/>
      </c>
      <c r="V3463">
        <f>IF(ISNUMBER(U3463),IF(U3463&gt;$L$6,T3463,""),"")</f>
        <v/>
      </c>
      <c r="W3463">
        <f>IF(AND(ISNUMBER('자료_거시'!$G3445),ISNUMBER('자료_거시'!$H3445)),'자료_거시'!$H3445,"")</f>
        <v/>
      </c>
      <c r="X3463">
        <f>IF(ISNUMBER(W3463),'자료_거시'!$G3445,"")</f>
        <v/>
      </c>
      <c r="Y3463">
        <f>IF(ISNUMBER(X3463),IF(X3463&gt;$L$7,W3463,""),"")</f>
        <v/>
      </c>
      <c r="Z3463">
        <f>IF(ISNUMBER('자료_거시'!$K3445),'자료_거시'!$K3445,Z3462)</f>
        <v/>
      </c>
      <c r="AA3463">
        <f>IF(AND(ISNUMBER('자료_거시'!$J3445),ISNUMBER('자료_거시'!$K3445)),IFERROR('자료_거시'!$K3445/INDEX($Z$21:$Z$4020,MATCH(EDATE('자료_거시'!$J3445,-'설정'!$B$17),'자료_거시'!$J$3:INDEX('자료_거시'!$J$3:$J$4002,$K$8),1))-1,""),"")</f>
        <v/>
      </c>
      <c r="AB3463">
        <f>IF(ISNUMBER(AA3463),'자료_거시'!$J3445,"")</f>
        <v/>
      </c>
      <c r="AC3463">
        <f>IF(ISNUMBER(AB3463),IF(AB3463&gt;$L$8,AA3463,""),"")</f>
        <v/>
      </c>
    </row>
    <row r="3464">
      <c r="S3464">
        <f>IF(ISNUMBER('자료_거시'!$E3446),'자료_거시'!$E3446,S3463)</f>
        <v/>
      </c>
      <c r="T3464">
        <f>IF(AND(ISNUMBER('자료_거시'!$D3446),ISNUMBER('자료_거시'!$E3446)),IFERROR('자료_거시'!$E3446-INDEX($S$21:$S$4020,MATCH(EDATE('자료_거시'!$D3446,-'설정'!$B$17),'자료_거시'!$D$3:INDEX('자료_거시'!$D$3:$D$4002,$K$6),1)),""),"")</f>
        <v/>
      </c>
      <c r="U3464">
        <f>IF(ISNUMBER(T3464),'자료_거시'!$D3446,"")</f>
        <v/>
      </c>
      <c r="V3464">
        <f>IF(ISNUMBER(U3464),IF(U3464&gt;$L$6,T3464,""),"")</f>
        <v/>
      </c>
      <c r="W3464">
        <f>IF(AND(ISNUMBER('자료_거시'!$G3446),ISNUMBER('자료_거시'!$H3446)),'자료_거시'!$H3446,"")</f>
        <v/>
      </c>
      <c r="X3464">
        <f>IF(ISNUMBER(W3464),'자료_거시'!$G3446,"")</f>
        <v/>
      </c>
      <c r="Y3464">
        <f>IF(ISNUMBER(X3464),IF(X3464&gt;$L$7,W3464,""),"")</f>
        <v/>
      </c>
      <c r="Z3464">
        <f>IF(ISNUMBER('자료_거시'!$K3446),'자료_거시'!$K3446,Z3463)</f>
        <v/>
      </c>
      <c r="AA3464">
        <f>IF(AND(ISNUMBER('자료_거시'!$J3446),ISNUMBER('자료_거시'!$K3446)),IFERROR('자료_거시'!$K3446/INDEX($Z$21:$Z$4020,MATCH(EDATE('자료_거시'!$J3446,-'설정'!$B$17),'자료_거시'!$J$3:INDEX('자료_거시'!$J$3:$J$4002,$K$8),1))-1,""),"")</f>
        <v/>
      </c>
      <c r="AB3464">
        <f>IF(ISNUMBER(AA3464),'자료_거시'!$J3446,"")</f>
        <v/>
      </c>
      <c r="AC3464">
        <f>IF(ISNUMBER(AB3464),IF(AB3464&gt;$L$8,AA3464,""),"")</f>
        <v/>
      </c>
    </row>
    <row r="3465">
      <c r="S3465">
        <f>IF(ISNUMBER('자료_거시'!$E3447),'자료_거시'!$E3447,S3464)</f>
        <v/>
      </c>
      <c r="T3465">
        <f>IF(AND(ISNUMBER('자료_거시'!$D3447),ISNUMBER('자료_거시'!$E3447)),IFERROR('자료_거시'!$E3447-INDEX($S$21:$S$4020,MATCH(EDATE('자료_거시'!$D3447,-'설정'!$B$17),'자료_거시'!$D$3:INDEX('자료_거시'!$D$3:$D$4002,$K$6),1)),""),"")</f>
        <v/>
      </c>
      <c r="U3465">
        <f>IF(ISNUMBER(T3465),'자료_거시'!$D3447,"")</f>
        <v/>
      </c>
      <c r="V3465">
        <f>IF(ISNUMBER(U3465),IF(U3465&gt;$L$6,T3465,""),"")</f>
        <v/>
      </c>
      <c r="W3465">
        <f>IF(AND(ISNUMBER('자료_거시'!$G3447),ISNUMBER('자료_거시'!$H3447)),'자료_거시'!$H3447,"")</f>
        <v/>
      </c>
      <c r="X3465">
        <f>IF(ISNUMBER(W3465),'자료_거시'!$G3447,"")</f>
        <v/>
      </c>
      <c r="Y3465">
        <f>IF(ISNUMBER(X3465),IF(X3465&gt;$L$7,W3465,""),"")</f>
        <v/>
      </c>
      <c r="Z3465">
        <f>IF(ISNUMBER('자료_거시'!$K3447),'자료_거시'!$K3447,Z3464)</f>
        <v/>
      </c>
      <c r="AA3465">
        <f>IF(AND(ISNUMBER('자료_거시'!$J3447),ISNUMBER('자료_거시'!$K3447)),IFERROR('자료_거시'!$K3447/INDEX($Z$21:$Z$4020,MATCH(EDATE('자료_거시'!$J3447,-'설정'!$B$17),'자료_거시'!$J$3:INDEX('자료_거시'!$J$3:$J$4002,$K$8),1))-1,""),"")</f>
        <v/>
      </c>
      <c r="AB3465">
        <f>IF(ISNUMBER(AA3465),'자료_거시'!$J3447,"")</f>
        <v/>
      </c>
      <c r="AC3465">
        <f>IF(ISNUMBER(AB3465),IF(AB3465&gt;$L$8,AA3465,""),"")</f>
        <v/>
      </c>
    </row>
    <row r="3466">
      <c r="S3466">
        <f>IF(ISNUMBER('자료_거시'!$E3448),'자료_거시'!$E3448,S3465)</f>
        <v/>
      </c>
      <c r="T3466">
        <f>IF(AND(ISNUMBER('자료_거시'!$D3448),ISNUMBER('자료_거시'!$E3448)),IFERROR('자료_거시'!$E3448-INDEX($S$21:$S$4020,MATCH(EDATE('자료_거시'!$D3448,-'설정'!$B$17),'자료_거시'!$D$3:INDEX('자료_거시'!$D$3:$D$4002,$K$6),1)),""),"")</f>
        <v/>
      </c>
      <c r="U3466">
        <f>IF(ISNUMBER(T3466),'자료_거시'!$D3448,"")</f>
        <v/>
      </c>
      <c r="V3466">
        <f>IF(ISNUMBER(U3466),IF(U3466&gt;$L$6,T3466,""),"")</f>
        <v/>
      </c>
      <c r="W3466">
        <f>IF(AND(ISNUMBER('자료_거시'!$G3448),ISNUMBER('자료_거시'!$H3448)),'자료_거시'!$H3448,"")</f>
        <v/>
      </c>
      <c r="X3466">
        <f>IF(ISNUMBER(W3466),'자료_거시'!$G3448,"")</f>
        <v/>
      </c>
      <c r="Y3466">
        <f>IF(ISNUMBER(X3466),IF(X3466&gt;$L$7,W3466,""),"")</f>
        <v/>
      </c>
      <c r="Z3466">
        <f>IF(ISNUMBER('자료_거시'!$K3448),'자료_거시'!$K3448,Z3465)</f>
        <v/>
      </c>
      <c r="AA3466">
        <f>IF(AND(ISNUMBER('자료_거시'!$J3448),ISNUMBER('자료_거시'!$K3448)),IFERROR('자료_거시'!$K3448/INDEX($Z$21:$Z$4020,MATCH(EDATE('자료_거시'!$J3448,-'설정'!$B$17),'자료_거시'!$J$3:INDEX('자료_거시'!$J$3:$J$4002,$K$8),1))-1,""),"")</f>
        <v/>
      </c>
      <c r="AB3466">
        <f>IF(ISNUMBER(AA3466),'자료_거시'!$J3448,"")</f>
        <v/>
      </c>
      <c r="AC3466">
        <f>IF(ISNUMBER(AB3466),IF(AB3466&gt;$L$8,AA3466,""),"")</f>
        <v/>
      </c>
    </row>
    <row r="3467">
      <c r="S3467">
        <f>IF(ISNUMBER('자료_거시'!$E3449),'자료_거시'!$E3449,S3466)</f>
        <v/>
      </c>
      <c r="T3467">
        <f>IF(AND(ISNUMBER('자료_거시'!$D3449),ISNUMBER('자료_거시'!$E3449)),IFERROR('자료_거시'!$E3449-INDEX($S$21:$S$4020,MATCH(EDATE('자료_거시'!$D3449,-'설정'!$B$17),'자료_거시'!$D$3:INDEX('자료_거시'!$D$3:$D$4002,$K$6),1)),""),"")</f>
        <v/>
      </c>
      <c r="U3467">
        <f>IF(ISNUMBER(T3467),'자료_거시'!$D3449,"")</f>
        <v/>
      </c>
      <c r="V3467">
        <f>IF(ISNUMBER(U3467),IF(U3467&gt;$L$6,T3467,""),"")</f>
        <v/>
      </c>
      <c r="W3467">
        <f>IF(AND(ISNUMBER('자료_거시'!$G3449),ISNUMBER('자료_거시'!$H3449)),'자료_거시'!$H3449,"")</f>
        <v/>
      </c>
      <c r="X3467">
        <f>IF(ISNUMBER(W3467),'자료_거시'!$G3449,"")</f>
        <v/>
      </c>
      <c r="Y3467">
        <f>IF(ISNUMBER(X3467),IF(X3467&gt;$L$7,W3467,""),"")</f>
        <v/>
      </c>
      <c r="Z3467">
        <f>IF(ISNUMBER('자료_거시'!$K3449),'자료_거시'!$K3449,Z3466)</f>
        <v/>
      </c>
      <c r="AA3467">
        <f>IF(AND(ISNUMBER('자료_거시'!$J3449),ISNUMBER('자료_거시'!$K3449)),IFERROR('자료_거시'!$K3449/INDEX($Z$21:$Z$4020,MATCH(EDATE('자료_거시'!$J3449,-'설정'!$B$17),'자료_거시'!$J$3:INDEX('자료_거시'!$J$3:$J$4002,$K$8),1))-1,""),"")</f>
        <v/>
      </c>
      <c r="AB3467">
        <f>IF(ISNUMBER(AA3467),'자료_거시'!$J3449,"")</f>
        <v/>
      </c>
      <c r="AC3467">
        <f>IF(ISNUMBER(AB3467),IF(AB3467&gt;$L$8,AA3467,""),"")</f>
        <v/>
      </c>
    </row>
    <row r="3468">
      <c r="S3468">
        <f>IF(ISNUMBER('자료_거시'!$E3450),'자료_거시'!$E3450,S3467)</f>
        <v/>
      </c>
      <c r="T3468">
        <f>IF(AND(ISNUMBER('자료_거시'!$D3450),ISNUMBER('자료_거시'!$E3450)),IFERROR('자료_거시'!$E3450-INDEX($S$21:$S$4020,MATCH(EDATE('자료_거시'!$D3450,-'설정'!$B$17),'자료_거시'!$D$3:INDEX('자료_거시'!$D$3:$D$4002,$K$6),1)),""),"")</f>
        <v/>
      </c>
      <c r="U3468">
        <f>IF(ISNUMBER(T3468),'자료_거시'!$D3450,"")</f>
        <v/>
      </c>
      <c r="V3468">
        <f>IF(ISNUMBER(U3468),IF(U3468&gt;$L$6,T3468,""),"")</f>
        <v/>
      </c>
      <c r="W3468">
        <f>IF(AND(ISNUMBER('자료_거시'!$G3450),ISNUMBER('자료_거시'!$H3450)),'자료_거시'!$H3450,"")</f>
        <v/>
      </c>
      <c r="X3468">
        <f>IF(ISNUMBER(W3468),'자료_거시'!$G3450,"")</f>
        <v/>
      </c>
      <c r="Y3468">
        <f>IF(ISNUMBER(X3468),IF(X3468&gt;$L$7,W3468,""),"")</f>
        <v/>
      </c>
      <c r="Z3468">
        <f>IF(ISNUMBER('자료_거시'!$K3450),'자료_거시'!$K3450,Z3467)</f>
        <v/>
      </c>
      <c r="AA3468">
        <f>IF(AND(ISNUMBER('자료_거시'!$J3450),ISNUMBER('자료_거시'!$K3450)),IFERROR('자료_거시'!$K3450/INDEX($Z$21:$Z$4020,MATCH(EDATE('자료_거시'!$J3450,-'설정'!$B$17),'자료_거시'!$J$3:INDEX('자료_거시'!$J$3:$J$4002,$K$8),1))-1,""),"")</f>
        <v/>
      </c>
      <c r="AB3468">
        <f>IF(ISNUMBER(AA3468),'자료_거시'!$J3450,"")</f>
        <v/>
      </c>
      <c r="AC3468">
        <f>IF(ISNUMBER(AB3468),IF(AB3468&gt;$L$8,AA3468,""),"")</f>
        <v/>
      </c>
    </row>
    <row r="3469">
      <c r="S3469">
        <f>IF(ISNUMBER('자료_거시'!$E3451),'자료_거시'!$E3451,S3468)</f>
        <v/>
      </c>
      <c r="T3469">
        <f>IF(AND(ISNUMBER('자료_거시'!$D3451),ISNUMBER('자료_거시'!$E3451)),IFERROR('자료_거시'!$E3451-INDEX($S$21:$S$4020,MATCH(EDATE('자료_거시'!$D3451,-'설정'!$B$17),'자료_거시'!$D$3:INDEX('자료_거시'!$D$3:$D$4002,$K$6),1)),""),"")</f>
        <v/>
      </c>
      <c r="U3469">
        <f>IF(ISNUMBER(T3469),'자료_거시'!$D3451,"")</f>
        <v/>
      </c>
      <c r="V3469">
        <f>IF(ISNUMBER(U3469),IF(U3469&gt;$L$6,T3469,""),"")</f>
        <v/>
      </c>
      <c r="W3469">
        <f>IF(AND(ISNUMBER('자료_거시'!$G3451),ISNUMBER('자료_거시'!$H3451)),'자료_거시'!$H3451,"")</f>
        <v/>
      </c>
      <c r="X3469">
        <f>IF(ISNUMBER(W3469),'자료_거시'!$G3451,"")</f>
        <v/>
      </c>
      <c r="Y3469">
        <f>IF(ISNUMBER(X3469),IF(X3469&gt;$L$7,W3469,""),"")</f>
        <v/>
      </c>
      <c r="Z3469">
        <f>IF(ISNUMBER('자료_거시'!$K3451),'자료_거시'!$K3451,Z3468)</f>
        <v/>
      </c>
      <c r="AA3469">
        <f>IF(AND(ISNUMBER('자료_거시'!$J3451),ISNUMBER('자료_거시'!$K3451)),IFERROR('자료_거시'!$K3451/INDEX($Z$21:$Z$4020,MATCH(EDATE('자료_거시'!$J3451,-'설정'!$B$17),'자료_거시'!$J$3:INDEX('자료_거시'!$J$3:$J$4002,$K$8),1))-1,""),"")</f>
        <v/>
      </c>
      <c r="AB3469">
        <f>IF(ISNUMBER(AA3469),'자료_거시'!$J3451,"")</f>
        <v/>
      </c>
      <c r="AC3469">
        <f>IF(ISNUMBER(AB3469),IF(AB3469&gt;$L$8,AA3469,""),"")</f>
        <v/>
      </c>
    </row>
    <row r="3470">
      <c r="S3470">
        <f>IF(ISNUMBER('자료_거시'!$E3452),'자료_거시'!$E3452,S3469)</f>
        <v/>
      </c>
      <c r="T3470">
        <f>IF(AND(ISNUMBER('자료_거시'!$D3452),ISNUMBER('자료_거시'!$E3452)),IFERROR('자료_거시'!$E3452-INDEX($S$21:$S$4020,MATCH(EDATE('자료_거시'!$D3452,-'설정'!$B$17),'자료_거시'!$D$3:INDEX('자료_거시'!$D$3:$D$4002,$K$6),1)),""),"")</f>
        <v/>
      </c>
      <c r="U3470">
        <f>IF(ISNUMBER(T3470),'자료_거시'!$D3452,"")</f>
        <v/>
      </c>
      <c r="V3470">
        <f>IF(ISNUMBER(U3470),IF(U3470&gt;$L$6,T3470,""),"")</f>
        <v/>
      </c>
      <c r="W3470">
        <f>IF(AND(ISNUMBER('자료_거시'!$G3452),ISNUMBER('자료_거시'!$H3452)),'자료_거시'!$H3452,"")</f>
        <v/>
      </c>
      <c r="X3470">
        <f>IF(ISNUMBER(W3470),'자료_거시'!$G3452,"")</f>
        <v/>
      </c>
      <c r="Y3470">
        <f>IF(ISNUMBER(X3470),IF(X3470&gt;$L$7,W3470,""),"")</f>
        <v/>
      </c>
      <c r="Z3470">
        <f>IF(ISNUMBER('자료_거시'!$K3452),'자료_거시'!$K3452,Z3469)</f>
        <v/>
      </c>
      <c r="AA3470">
        <f>IF(AND(ISNUMBER('자료_거시'!$J3452),ISNUMBER('자료_거시'!$K3452)),IFERROR('자료_거시'!$K3452/INDEX($Z$21:$Z$4020,MATCH(EDATE('자료_거시'!$J3452,-'설정'!$B$17),'자료_거시'!$J$3:INDEX('자료_거시'!$J$3:$J$4002,$K$8),1))-1,""),"")</f>
        <v/>
      </c>
      <c r="AB3470">
        <f>IF(ISNUMBER(AA3470),'자료_거시'!$J3452,"")</f>
        <v/>
      </c>
      <c r="AC3470">
        <f>IF(ISNUMBER(AB3470),IF(AB3470&gt;$L$8,AA3470,""),"")</f>
        <v/>
      </c>
    </row>
    <row r="3471">
      <c r="S3471">
        <f>IF(ISNUMBER('자료_거시'!$E3453),'자료_거시'!$E3453,S3470)</f>
        <v/>
      </c>
      <c r="T3471">
        <f>IF(AND(ISNUMBER('자료_거시'!$D3453),ISNUMBER('자료_거시'!$E3453)),IFERROR('자료_거시'!$E3453-INDEX($S$21:$S$4020,MATCH(EDATE('자료_거시'!$D3453,-'설정'!$B$17),'자료_거시'!$D$3:INDEX('자료_거시'!$D$3:$D$4002,$K$6),1)),""),"")</f>
        <v/>
      </c>
      <c r="U3471">
        <f>IF(ISNUMBER(T3471),'자료_거시'!$D3453,"")</f>
        <v/>
      </c>
      <c r="V3471">
        <f>IF(ISNUMBER(U3471),IF(U3471&gt;$L$6,T3471,""),"")</f>
        <v/>
      </c>
      <c r="W3471">
        <f>IF(AND(ISNUMBER('자료_거시'!$G3453),ISNUMBER('자료_거시'!$H3453)),'자료_거시'!$H3453,"")</f>
        <v/>
      </c>
      <c r="X3471">
        <f>IF(ISNUMBER(W3471),'자료_거시'!$G3453,"")</f>
        <v/>
      </c>
      <c r="Y3471">
        <f>IF(ISNUMBER(X3471),IF(X3471&gt;$L$7,W3471,""),"")</f>
        <v/>
      </c>
      <c r="Z3471">
        <f>IF(ISNUMBER('자료_거시'!$K3453),'자료_거시'!$K3453,Z3470)</f>
        <v/>
      </c>
      <c r="AA3471">
        <f>IF(AND(ISNUMBER('자료_거시'!$J3453),ISNUMBER('자료_거시'!$K3453)),IFERROR('자료_거시'!$K3453/INDEX($Z$21:$Z$4020,MATCH(EDATE('자료_거시'!$J3453,-'설정'!$B$17),'자료_거시'!$J$3:INDEX('자료_거시'!$J$3:$J$4002,$K$8),1))-1,""),"")</f>
        <v/>
      </c>
      <c r="AB3471">
        <f>IF(ISNUMBER(AA3471),'자료_거시'!$J3453,"")</f>
        <v/>
      </c>
      <c r="AC3471">
        <f>IF(ISNUMBER(AB3471),IF(AB3471&gt;$L$8,AA3471,""),"")</f>
        <v/>
      </c>
    </row>
    <row r="3472">
      <c r="S3472">
        <f>IF(ISNUMBER('자료_거시'!$E3454),'자료_거시'!$E3454,S3471)</f>
        <v/>
      </c>
      <c r="T3472">
        <f>IF(AND(ISNUMBER('자료_거시'!$D3454),ISNUMBER('자료_거시'!$E3454)),IFERROR('자료_거시'!$E3454-INDEX($S$21:$S$4020,MATCH(EDATE('자료_거시'!$D3454,-'설정'!$B$17),'자료_거시'!$D$3:INDEX('자료_거시'!$D$3:$D$4002,$K$6),1)),""),"")</f>
        <v/>
      </c>
      <c r="U3472">
        <f>IF(ISNUMBER(T3472),'자료_거시'!$D3454,"")</f>
        <v/>
      </c>
      <c r="V3472">
        <f>IF(ISNUMBER(U3472),IF(U3472&gt;$L$6,T3472,""),"")</f>
        <v/>
      </c>
      <c r="W3472">
        <f>IF(AND(ISNUMBER('자료_거시'!$G3454),ISNUMBER('자료_거시'!$H3454)),'자료_거시'!$H3454,"")</f>
        <v/>
      </c>
      <c r="X3472">
        <f>IF(ISNUMBER(W3472),'자료_거시'!$G3454,"")</f>
        <v/>
      </c>
      <c r="Y3472">
        <f>IF(ISNUMBER(X3472),IF(X3472&gt;$L$7,W3472,""),"")</f>
        <v/>
      </c>
      <c r="Z3472">
        <f>IF(ISNUMBER('자료_거시'!$K3454),'자료_거시'!$K3454,Z3471)</f>
        <v/>
      </c>
      <c r="AA3472">
        <f>IF(AND(ISNUMBER('자료_거시'!$J3454),ISNUMBER('자료_거시'!$K3454)),IFERROR('자료_거시'!$K3454/INDEX($Z$21:$Z$4020,MATCH(EDATE('자료_거시'!$J3454,-'설정'!$B$17),'자료_거시'!$J$3:INDEX('자료_거시'!$J$3:$J$4002,$K$8),1))-1,""),"")</f>
        <v/>
      </c>
      <c r="AB3472">
        <f>IF(ISNUMBER(AA3472),'자료_거시'!$J3454,"")</f>
        <v/>
      </c>
      <c r="AC3472">
        <f>IF(ISNUMBER(AB3472),IF(AB3472&gt;$L$8,AA3472,""),"")</f>
        <v/>
      </c>
    </row>
    <row r="3473">
      <c r="S3473">
        <f>IF(ISNUMBER('자료_거시'!$E3455),'자료_거시'!$E3455,S3472)</f>
        <v/>
      </c>
      <c r="T3473">
        <f>IF(AND(ISNUMBER('자료_거시'!$D3455),ISNUMBER('자료_거시'!$E3455)),IFERROR('자료_거시'!$E3455-INDEX($S$21:$S$4020,MATCH(EDATE('자료_거시'!$D3455,-'설정'!$B$17),'자료_거시'!$D$3:INDEX('자료_거시'!$D$3:$D$4002,$K$6),1)),""),"")</f>
        <v/>
      </c>
      <c r="U3473">
        <f>IF(ISNUMBER(T3473),'자료_거시'!$D3455,"")</f>
        <v/>
      </c>
      <c r="V3473">
        <f>IF(ISNUMBER(U3473),IF(U3473&gt;$L$6,T3473,""),"")</f>
        <v/>
      </c>
      <c r="W3473">
        <f>IF(AND(ISNUMBER('자료_거시'!$G3455),ISNUMBER('자료_거시'!$H3455)),'자료_거시'!$H3455,"")</f>
        <v/>
      </c>
      <c r="X3473">
        <f>IF(ISNUMBER(W3473),'자료_거시'!$G3455,"")</f>
        <v/>
      </c>
      <c r="Y3473">
        <f>IF(ISNUMBER(X3473),IF(X3473&gt;$L$7,W3473,""),"")</f>
        <v/>
      </c>
      <c r="Z3473">
        <f>IF(ISNUMBER('자료_거시'!$K3455),'자료_거시'!$K3455,Z3472)</f>
        <v/>
      </c>
      <c r="AA3473">
        <f>IF(AND(ISNUMBER('자료_거시'!$J3455),ISNUMBER('자료_거시'!$K3455)),IFERROR('자료_거시'!$K3455/INDEX($Z$21:$Z$4020,MATCH(EDATE('자료_거시'!$J3455,-'설정'!$B$17),'자료_거시'!$J$3:INDEX('자료_거시'!$J$3:$J$4002,$K$8),1))-1,""),"")</f>
        <v/>
      </c>
      <c r="AB3473">
        <f>IF(ISNUMBER(AA3473),'자료_거시'!$J3455,"")</f>
        <v/>
      </c>
      <c r="AC3473">
        <f>IF(ISNUMBER(AB3473),IF(AB3473&gt;$L$8,AA3473,""),"")</f>
        <v/>
      </c>
    </row>
    <row r="3474">
      <c r="S3474">
        <f>IF(ISNUMBER('자료_거시'!$E3456),'자료_거시'!$E3456,S3473)</f>
        <v/>
      </c>
      <c r="T3474">
        <f>IF(AND(ISNUMBER('자료_거시'!$D3456),ISNUMBER('자료_거시'!$E3456)),IFERROR('자료_거시'!$E3456-INDEX($S$21:$S$4020,MATCH(EDATE('자료_거시'!$D3456,-'설정'!$B$17),'자료_거시'!$D$3:INDEX('자료_거시'!$D$3:$D$4002,$K$6),1)),""),"")</f>
        <v/>
      </c>
      <c r="U3474">
        <f>IF(ISNUMBER(T3474),'자료_거시'!$D3456,"")</f>
        <v/>
      </c>
      <c r="V3474">
        <f>IF(ISNUMBER(U3474),IF(U3474&gt;$L$6,T3474,""),"")</f>
        <v/>
      </c>
      <c r="W3474">
        <f>IF(AND(ISNUMBER('자료_거시'!$G3456),ISNUMBER('자료_거시'!$H3456)),'자료_거시'!$H3456,"")</f>
        <v/>
      </c>
      <c r="X3474">
        <f>IF(ISNUMBER(W3474),'자료_거시'!$G3456,"")</f>
        <v/>
      </c>
      <c r="Y3474">
        <f>IF(ISNUMBER(X3474),IF(X3474&gt;$L$7,W3474,""),"")</f>
        <v/>
      </c>
      <c r="Z3474">
        <f>IF(ISNUMBER('자료_거시'!$K3456),'자료_거시'!$K3456,Z3473)</f>
        <v/>
      </c>
      <c r="AA3474">
        <f>IF(AND(ISNUMBER('자료_거시'!$J3456),ISNUMBER('자료_거시'!$K3456)),IFERROR('자료_거시'!$K3456/INDEX($Z$21:$Z$4020,MATCH(EDATE('자료_거시'!$J3456,-'설정'!$B$17),'자료_거시'!$J$3:INDEX('자료_거시'!$J$3:$J$4002,$K$8),1))-1,""),"")</f>
        <v/>
      </c>
      <c r="AB3474">
        <f>IF(ISNUMBER(AA3474),'자료_거시'!$J3456,"")</f>
        <v/>
      </c>
      <c r="AC3474">
        <f>IF(ISNUMBER(AB3474),IF(AB3474&gt;$L$8,AA3474,""),"")</f>
        <v/>
      </c>
    </row>
    <row r="3475">
      <c r="S3475">
        <f>IF(ISNUMBER('자료_거시'!$E3457),'자료_거시'!$E3457,S3474)</f>
        <v/>
      </c>
      <c r="T3475">
        <f>IF(AND(ISNUMBER('자료_거시'!$D3457),ISNUMBER('자료_거시'!$E3457)),IFERROR('자료_거시'!$E3457-INDEX($S$21:$S$4020,MATCH(EDATE('자료_거시'!$D3457,-'설정'!$B$17),'자료_거시'!$D$3:INDEX('자료_거시'!$D$3:$D$4002,$K$6),1)),""),"")</f>
        <v/>
      </c>
      <c r="U3475">
        <f>IF(ISNUMBER(T3475),'자료_거시'!$D3457,"")</f>
        <v/>
      </c>
      <c r="V3475">
        <f>IF(ISNUMBER(U3475),IF(U3475&gt;$L$6,T3475,""),"")</f>
        <v/>
      </c>
      <c r="W3475">
        <f>IF(AND(ISNUMBER('자료_거시'!$G3457),ISNUMBER('자료_거시'!$H3457)),'자료_거시'!$H3457,"")</f>
        <v/>
      </c>
      <c r="X3475">
        <f>IF(ISNUMBER(W3475),'자료_거시'!$G3457,"")</f>
        <v/>
      </c>
      <c r="Y3475">
        <f>IF(ISNUMBER(X3475),IF(X3475&gt;$L$7,W3475,""),"")</f>
        <v/>
      </c>
      <c r="Z3475">
        <f>IF(ISNUMBER('자료_거시'!$K3457),'자료_거시'!$K3457,Z3474)</f>
        <v/>
      </c>
      <c r="AA3475">
        <f>IF(AND(ISNUMBER('자료_거시'!$J3457),ISNUMBER('자료_거시'!$K3457)),IFERROR('자료_거시'!$K3457/INDEX($Z$21:$Z$4020,MATCH(EDATE('자료_거시'!$J3457,-'설정'!$B$17),'자료_거시'!$J$3:INDEX('자료_거시'!$J$3:$J$4002,$K$8),1))-1,""),"")</f>
        <v/>
      </c>
      <c r="AB3475">
        <f>IF(ISNUMBER(AA3475),'자료_거시'!$J3457,"")</f>
        <v/>
      </c>
      <c r="AC3475">
        <f>IF(ISNUMBER(AB3475),IF(AB3475&gt;$L$8,AA3475,""),"")</f>
        <v/>
      </c>
    </row>
    <row r="3476">
      <c r="S3476">
        <f>IF(ISNUMBER('자료_거시'!$E3458),'자료_거시'!$E3458,S3475)</f>
        <v/>
      </c>
      <c r="T3476">
        <f>IF(AND(ISNUMBER('자료_거시'!$D3458),ISNUMBER('자료_거시'!$E3458)),IFERROR('자료_거시'!$E3458-INDEX($S$21:$S$4020,MATCH(EDATE('자료_거시'!$D3458,-'설정'!$B$17),'자료_거시'!$D$3:INDEX('자료_거시'!$D$3:$D$4002,$K$6),1)),""),"")</f>
        <v/>
      </c>
      <c r="U3476">
        <f>IF(ISNUMBER(T3476),'자료_거시'!$D3458,"")</f>
        <v/>
      </c>
      <c r="V3476">
        <f>IF(ISNUMBER(U3476),IF(U3476&gt;$L$6,T3476,""),"")</f>
        <v/>
      </c>
      <c r="W3476">
        <f>IF(AND(ISNUMBER('자료_거시'!$G3458),ISNUMBER('자료_거시'!$H3458)),'자료_거시'!$H3458,"")</f>
        <v/>
      </c>
      <c r="X3476">
        <f>IF(ISNUMBER(W3476),'자료_거시'!$G3458,"")</f>
        <v/>
      </c>
      <c r="Y3476">
        <f>IF(ISNUMBER(X3476),IF(X3476&gt;$L$7,W3476,""),"")</f>
        <v/>
      </c>
      <c r="Z3476">
        <f>IF(ISNUMBER('자료_거시'!$K3458),'자료_거시'!$K3458,Z3475)</f>
        <v/>
      </c>
      <c r="AA3476">
        <f>IF(AND(ISNUMBER('자료_거시'!$J3458),ISNUMBER('자료_거시'!$K3458)),IFERROR('자료_거시'!$K3458/INDEX($Z$21:$Z$4020,MATCH(EDATE('자료_거시'!$J3458,-'설정'!$B$17),'자료_거시'!$J$3:INDEX('자료_거시'!$J$3:$J$4002,$K$8),1))-1,""),"")</f>
        <v/>
      </c>
      <c r="AB3476">
        <f>IF(ISNUMBER(AA3476),'자료_거시'!$J3458,"")</f>
        <v/>
      </c>
      <c r="AC3476">
        <f>IF(ISNUMBER(AB3476),IF(AB3476&gt;$L$8,AA3476,""),"")</f>
        <v/>
      </c>
    </row>
    <row r="3477">
      <c r="S3477">
        <f>IF(ISNUMBER('자료_거시'!$E3459),'자료_거시'!$E3459,S3476)</f>
        <v/>
      </c>
      <c r="T3477">
        <f>IF(AND(ISNUMBER('자료_거시'!$D3459),ISNUMBER('자료_거시'!$E3459)),IFERROR('자료_거시'!$E3459-INDEX($S$21:$S$4020,MATCH(EDATE('자료_거시'!$D3459,-'설정'!$B$17),'자료_거시'!$D$3:INDEX('자료_거시'!$D$3:$D$4002,$K$6),1)),""),"")</f>
        <v/>
      </c>
      <c r="U3477">
        <f>IF(ISNUMBER(T3477),'자료_거시'!$D3459,"")</f>
        <v/>
      </c>
      <c r="V3477">
        <f>IF(ISNUMBER(U3477),IF(U3477&gt;$L$6,T3477,""),"")</f>
        <v/>
      </c>
      <c r="W3477">
        <f>IF(AND(ISNUMBER('자료_거시'!$G3459),ISNUMBER('자료_거시'!$H3459)),'자료_거시'!$H3459,"")</f>
        <v/>
      </c>
      <c r="X3477">
        <f>IF(ISNUMBER(W3477),'자료_거시'!$G3459,"")</f>
        <v/>
      </c>
      <c r="Y3477">
        <f>IF(ISNUMBER(X3477),IF(X3477&gt;$L$7,W3477,""),"")</f>
        <v/>
      </c>
      <c r="Z3477">
        <f>IF(ISNUMBER('자료_거시'!$K3459),'자료_거시'!$K3459,Z3476)</f>
        <v/>
      </c>
      <c r="AA3477">
        <f>IF(AND(ISNUMBER('자료_거시'!$J3459),ISNUMBER('자료_거시'!$K3459)),IFERROR('자료_거시'!$K3459/INDEX($Z$21:$Z$4020,MATCH(EDATE('자료_거시'!$J3459,-'설정'!$B$17),'자료_거시'!$J$3:INDEX('자료_거시'!$J$3:$J$4002,$K$8),1))-1,""),"")</f>
        <v/>
      </c>
      <c r="AB3477">
        <f>IF(ISNUMBER(AA3477),'자료_거시'!$J3459,"")</f>
        <v/>
      </c>
      <c r="AC3477">
        <f>IF(ISNUMBER(AB3477),IF(AB3477&gt;$L$8,AA3477,""),"")</f>
        <v/>
      </c>
    </row>
    <row r="3478">
      <c r="S3478">
        <f>IF(ISNUMBER('자료_거시'!$E3460),'자료_거시'!$E3460,S3477)</f>
        <v/>
      </c>
      <c r="T3478">
        <f>IF(AND(ISNUMBER('자료_거시'!$D3460),ISNUMBER('자료_거시'!$E3460)),IFERROR('자료_거시'!$E3460-INDEX($S$21:$S$4020,MATCH(EDATE('자료_거시'!$D3460,-'설정'!$B$17),'자료_거시'!$D$3:INDEX('자료_거시'!$D$3:$D$4002,$K$6),1)),""),"")</f>
        <v/>
      </c>
      <c r="U3478">
        <f>IF(ISNUMBER(T3478),'자료_거시'!$D3460,"")</f>
        <v/>
      </c>
      <c r="V3478">
        <f>IF(ISNUMBER(U3478),IF(U3478&gt;$L$6,T3478,""),"")</f>
        <v/>
      </c>
      <c r="W3478">
        <f>IF(AND(ISNUMBER('자료_거시'!$G3460),ISNUMBER('자료_거시'!$H3460)),'자료_거시'!$H3460,"")</f>
        <v/>
      </c>
      <c r="X3478">
        <f>IF(ISNUMBER(W3478),'자료_거시'!$G3460,"")</f>
        <v/>
      </c>
      <c r="Y3478">
        <f>IF(ISNUMBER(X3478),IF(X3478&gt;$L$7,W3478,""),"")</f>
        <v/>
      </c>
      <c r="Z3478">
        <f>IF(ISNUMBER('자료_거시'!$K3460),'자료_거시'!$K3460,Z3477)</f>
        <v/>
      </c>
      <c r="AA3478">
        <f>IF(AND(ISNUMBER('자료_거시'!$J3460),ISNUMBER('자료_거시'!$K3460)),IFERROR('자료_거시'!$K3460/INDEX($Z$21:$Z$4020,MATCH(EDATE('자료_거시'!$J3460,-'설정'!$B$17),'자료_거시'!$J$3:INDEX('자료_거시'!$J$3:$J$4002,$K$8),1))-1,""),"")</f>
        <v/>
      </c>
      <c r="AB3478">
        <f>IF(ISNUMBER(AA3478),'자료_거시'!$J3460,"")</f>
        <v/>
      </c>
      <c r="AC3478">
        <f>IF(ISNUMBER(AB3478),IF(AB3478&gt;$L$8,AA3478,""),"")</f>
        <v/>
      </c>
    </row>
    <row r="3479">
      <c r="S3479">
        <f>IF(ISNUMBER('자료_거시'!$E3461),'자료_거시'!$E3461,S3478)</f>
        <v/>
      </c>
      <c r="T3479">
        <f>IF(AND(ISNUMBER('자료_거시'!$D3461),ISNUMBER('자료_거시'!$E3461)),IFERROR('자료_거시'!$E3461-INDEX($S$21:$S$4020,MATCH(EDATE('자료_거시'!$D3461,-'설정'!$B$17),'자료_거시'!$D$3:INDEX('자료_거시'!$D$3:$D$4002,$K$6),1)),""),"")</f>
        <v/>
      </c>
      <c r="U3479">
        <f>IF(ISNUMBER(T3479),'자료_거시'!$D3461,"")</f>
        <v/>
      </c>
      <c r="V3479">
        <f>IF(ISNUMBER(U3479),IF(U3479&gt;$L$6,T3479,""),"")</f>
        <v/>
      </c>
      <c r="W3479">
        <f>IF(AND(ISNUMBER('자료_거시'!$G3461),ISNUMBER('자료_거시'!$H3461)),'자료_거시'!$H3461,"")</f>
        <v/>
      </c>
      <c r="X3479">
        <f>IF(ISNUMBER(W3479),'자료_거시'!$G3461,"")</f>
        <v/>
      </c>
      <c r="Y3479">
        <f>IF(ISNUMBER(X3479),IF(X3479&gt;$L$7,W3479,""),"")</f>
        <v/>
      </c>
      <c r="Z3479">
        <f>IF(ISNUMBER('자료_거시'!$K3461),'자료_거시'!$K3461,Z3478)</f>
        <v/>
      </c>
      <c r="AA3479">
        <f>IF(AND(ISNUMBER('자료_거시'!$J3461),ISNUMBER('자료_거시'!$K3461)),IFERROR('자료_거시'!$K3461/INDEX($Z$21:$Z$4020,MATCH(EDATE('자료_거시'!$J3461,-'설정'!$B$17),'자료_거시'!$J$3:INDEX('자료_거시'!$J$3:$J$4002,$K$8),1))-1,""),"")</f>
        <v/>
      </c>
      <c r="AB3479">
        <f>IF(ISNUMBER(AA3479),'자료_거시'!$J3461,"")</f>
        <v/>
      </c>
      <c r="AC3479">
        <f>IF(ISNUMBER(AB3479),IF(AB3479&gt;$L$8,AA3479,""),"")</f>
        <v/>
      </c>
    </row>
    <row r="3480">
      <c r="S3480">
        <f>IF(ISNUMBER('자료_거시'!$E3462),'자료_거시'!$E3462,S3479)</f>
        <v/>
      </c>
      <c r="T3480">
        <f>IF(AND(ISNUMBER('자료_거시'!$D3462),ISNUMBER('자료_거시'!$E3462)),IFERROR('자료_거시'!$E3462-INDEX($S$21:$S$4020,MATCH(EDATE('자료_거시'!$D3462,-'설정'!$B$17),'자료_거시'!$D$3:INDEX('자료_거시'!$D$3:$D$4002,$K$6),1)),""),"")</f>
        <v/>
      </c>
      <c r="U3480">
        <f>IF(ISNUMBER(T3480),'자료_거시'!$D3462,"")</f>
        <v/>
      </c>
      <c r="V3480">
        <f>IF(ISNUMBER(U3480),IF(U3480&gt;$L$6,T3480,""),"")</f>
        <v/>
      </c>
      <c r="W3480">
        <f>IF(AND(ISNUMBER('자료_거시'!$G3462),ISNUMBER('자료_거시'!$H3462)),'자료_거시'!$H3462,"")</f>
        <v/>
      </c>
      <c r="X3480">
        <f>IF(ISNUMBER(W3480),'자료_거시'!$G3462,"")</f>
        <v/>
      </c>
      <c r="Y3480">
        <f>IF(ISNUMBER(X3480),IF(X3480&gt;$L$7,W3480,""),"")</f>
        <v/>
      </c>
      <c r="Z3480">
        <f>IF(ISNUMBER('자료_거시'!$K3462),'자료_거시'!$K3462,Z3479)</f>
        <v/>
      </c>
      <c r="AA3480">
        <f>IF(AND(ISNUMBER('자료_거시'!$J3462),ISNUMBER('자료_거시'!$K3462)),IFERROR('자료_거시'!$K3462/INDEX($Z$21:$Z$4020,MATCH(EDATE('자료_거시'!$J3462,-'설정'!$B$17),'자료_거시'!$J$3:INDEX('자료_거시'!$J$3:$J$4002,$K$8),1))-1,""),"")</f>
        <v/>
      </c>
      <c r="AB3480">
        <f>IF(ISNUMBER(AA3480),'자료_거시'!$J3462,"")</f>
        <v/>
      </c>
      <c r="AC3480">
        <f>IF(ISNUMBER(AB3480),IF(AB3480&gt;$L$8,AA3480,""),"")</f>
        <v/>
      </c>
    </row>
    <row r="3481">
      <c r="S3481">
        <f>IF(ISNUMBER('자료_거시'!$E3463),'자료_거시'!$E3463,S3480)</f>
        <v/>
      </c>
      <c r="T3481">
        <f>IF(AND(ISNUMBER('자료_거시'!$D3463),ISNUMBER('자료_거시'!$E3463)),IFERROR('자료_거시'!$E3463-INDEX($S$21:$S$4020,MATCH(EDATE('자료_거시'!$D3463,-'설정'!$B$17),'자료_거시'!$D$3:INDEX('자료_거시'!$D$3:$D$4002,$K$6),1)),""),"")</f>
        <v/>
      </c>
      <c r="U3481">
        <f>IF(ISNUMBER(T3481),'자료_거시'!$D3463,"")</f>
        <v/>
      </c>
      <c r="V3481">
        <f>IF(ISNUMBER(U3481),IF(U3481&gt;$L$6,T3481,""),"")</f>
        <v/>
      </c>
      <c r="W3481">
        <f>IF(AND(ISNUMBER('자료_거시'!$G3463),ISNUMBER('자료_거시'!$H3463)),'자료_거시'!$H3463,"")</f>
        <v/>
      </c>
      <c r="X3481">
        <f>IF(ISNUMBER(W3481),'자료_거시'!$G3463,"")</f>
        <v/>
      </c>
      <c r="Y3481">
        <f>IF(ISNUMBER(X3481),IF(X3481&gt;$L$7,W3481,""),"")</f>
        <v/>
      </c>
      <c r="Z3481">
        <f>IF(ISNUMBER('자료_거시'!$K3463),'자료_거시'!$K3463,Z3480)</f>
        <v/>
      </c>
      <c r="AA3481">
        <f>IF(AND(ISNUMBER('자료_거시'!$J3463),ISNUMBER('자료_거시'!$K3463)),IFERROR('자료_거시'!$K3463/INDEX($Z$21:$Z$4020,MATCH(EDATE('자료_거시'!$J3463,-'설정'!$B$17),'자료_거시'!$J$3:INDEX('자료_거시'!$J$3:$J$4002,$K$8),1))-1,""),"")</f>
        <v/>
      </c>
      <c r="AB3481">
        <f>IF(ISNUMBER(AA3481),'자료_거시'!$J3463,"")</f>
        <v/>
      </c>
      <c r="AC3481">
        <f>IF(ISNUMBER(AB3481),IF(AB3481&gt;$L$8,AA3481,""),"")</f>
        <v/>
      </c>
    </row>
    <row r="3482">
      <c r="S3482">
        <f>IF(ISNUMBER('자료_거시'!$E3464),'자료_거시'!$E3464,S3481)</f>
        <v/>
      </c>
      <c r="T3482">
        <f>IF(AND(ISNUMBER('자료_거시'!$D3464),ISNUMBER('자료_거시'!$E3464)),IFERROR('자료_거시'!$E3464-INDEX($S$21:$S$4020,MATCH(EDATE('자료_거시'!$D3464,-'설정'!$B$17),'자료_거시'!$D$3:INDEX('자료_거시'!$D$3:$D$4002,$K$6),1)),""),"")</f>
        <v/>
      </c>
      <c r="U3482">
        <f>IF(ISNUMBER(T3482),'자료_거시'!$D3464,"")</f>
        <v/>
      </c>
      <c r="V3482">
        <f>IF(ISNUMBER(U3482),IF(U3482&gt;$L$6,T3482,""),"")</f>
        <v/>
      </c>
      <c r="W3482">
        <f>IF(AND(ISNUMBER('자료_거시'!$G3464),ISNUMBER('자료_거시'!$H3464)),'자료_거시'!$H3464,"")</f>
        <v/>
      </c>
      <c r="X3482">
        <f>IF(ISNUMBER(W3482),'자료_거시'!$G3464,"")</f>
        <v/>
      </c>
      <c r="Y3482">
        <f>IF(ISNUMBER(X3482),IF(X3482&gt;$L$7,W3482,""),"")</f>
        <v/>
      </c>
      <c r="Z3482">
        <f>IF(ISNUMBER('자료_거시'!$K3464),'자료_거시'!$K3464,Z3481)</f>
        <v/>
      </c>
      <c r="AA3482">
        <f>IF(AND(ISNUMBER('자료_거시'!$J3464),ISNUMBER('자료_거시'!$K3464)),IFERROR('자료_거시'!$K3464/INDEX($Z$21:$Z$4020,MATCH(EDATE('자료_거시'!$J3464,-'설정'!$B$17),'자료_거시'!$J$3:INDEX('자료_거시'!$J$3:$J$4002,$K$8),1))-1,""),"")</f>
        <v/>
      </c>
      <c r="AB3482">
        <f>IF(ISNUMBER(AA3482),'자료_거시'!$J3464,"")</f>
        <v/>
      </c>
      <c r="AC3482">
        <f>IF(ISNUMBER(AB3482),IF(AB3482&gt;$L$8,AA3482,""),"")</f>
        <v/>
      </c>
    </row>
    <row r="3483">
      <c r="S3483">
        <f>IF(ISNUMBER('자료_거시'!$E3465),'자료_거시'!$E3465,S3482)</f>
        <v/>
      </c>
      <c r="T3483">
        <f>IF(AND(ISNUMBER('자료_거시'!$D3465),ISNUMBER('자료_거시'!$E3465)),IFERROR('자료_거시'!$E3465-INDEX($S$21:$S$4020,MATCH(EDATE('자료_거시'!$D3465,-'설정'!$B$17),'자료_거시'!$D$3:INDEX('자료_거시'!$D$3:$D$4002,$K$6),1)),""),"")</f>
        <v/>
      </c>
      <c r="U3483">
        <f>IF(ISNUMBER(T3483),'자료_거시'!$D3465,"")</f>
        <v/>
      </c>
      <c r="V3483">
        <f>IF(ISNUMBER(U3483),IF(U3483&gt;$L$6,T3483,""),"")</f>
        <v/>
      </c>
      <c r="W3483">
        <f>IF(AND(ISNUMBER('자료_거시'!$G3465),ISNUMBER('자료_거시'!$H3465)),'자료_거시'!$H3465,"")</f>
        <v/>
      </c>
      <c r="X3483">
        <f>IF(ISNUMBER(W3483),'자료_거시'!$G3465,"")</f>
        <v/>
      </c>
      <c r="Y3483">
        <f>IF(ISNUMBER(X3483),IF(X3483&gt;$L$7,W3483,""),"")</f>
        <v/>
      </c>
      <c r="Z3483">
        <f>IF(ISNUMBER('자료_거시'!$K3465),'자료_거시'!$K3465,Z3482)</f>
        <v/>
      </c>
      <c r="AA3483">
        <f>IF(AND(ISNUMBER('자료_거시'!$J3465),ISNUMBER('자료_거시'!$K3465)),IFERROR('자료_거시'!$K3465/INDEX($Z$21:$Z$4020,MATCH(EDATE('자료_거시'!$J3465,-'설정'!$B$17),'자료_거시'!$J$3:INDEX('자료_거시'!$J$3:$J$4002,$K$8),1))-1,""),"")</f>
        <v/>
      </c>
      <c r="AB3483">
        <f>IF(ISNUMBER(AA3483),'자료_거시'!$J3465,"")</f>
        <v/>
      </c>
      <c r="AC3483">
        <f>IF(ISNUMBER(AB3483),IF(AB3483&gt;$L$8,AA3483,""),"")</f>
        <v/>
      </c>
    </row>
    <row r="3484">
      <c r="S3484">
        <f>IF(ISNUMBER('자료_거시'!$E3466),'자료_거시'!$E3466,S3483)</f>
        <v/>
      </c>
      <c r="T3484">
        <f>IF(AND(ISNUMBER('자료_거시'!$D3466),ISNUMBER('자료_거시'!$E3466)),IFERROR('자료_거시'!$E3466-INDEX($S$21:$S$4020,MATCH(EDATE('자료_거시'!$D3466,-'설정'!$B$17),'자료_거시'!$D$3:INDEX('자료_거시'!$D$3:$D$4002,$K$6),1)),""),"")</f>
        <v/>
      </c>
      <c r="U3484">
        <f>IF(ISNUMBER(T3484),'자료_거시'!$D3466,"")</f>
        <v/>
      </c>
      <c r="V3484">
        <f>IF(ISNUMBER(U3484),IF(U3484&gt;$L$6,T3484,""),"")</f>
        <v/>
      </c>
      <c r="W3484">
        <f>IF(AND(ISNUMBER('자료_거시'!$G3466),ISNUMBER('자료_거시'!$H3466)),'자료_거시'!$H3466,"")</f>
        <v/>
      </c>
      <c r="X3484">
        <f>IF(ISNUMBER(W3484),'자료_거시'!$G3466,"")</f>
        <v/>
      </c>
      <c r="Y3484">
        <f>IF(ISNUMBER(X3484),IF(X3484&gt;$L$7,W3484,""),"")</f>
        <v/>
      </c>
      <c r="Z3484">
        <f>IF(ISNUMBER('자료_거시'!$K3466),'자료_거시'!$K3466,Z3483)</f>
        <v/>
      </c>
      <c r="AA3484">
        <f>IF(AND(ISNUMBER('자료_거시'!$J3466),ISNUMBER('자료_거시'!$K3466)),IFERROR('자료_거시'!$K3466/INDEX($Z$21:$Z$4020,MATCH(EDATE('자료_거시'!$J3466,-'설정'!$B$17),'자료_거시'!$J$3:INDEX('자료_거시'!$J$3:$J$4002,$K$8),1))-1,""),"")</f>
        <v/>
      </c>
      <c r="AB3484">
        <f>IF(ISNUMBER(AA3484),'자료_거시'!$J3466,"")</f>
        <v/>
      </c>
      <c r="AC3484">
        <f>IF(ISNUMBER(AB3484),IF(AB3484&gt;$L$8,AA3484,""),"")</f>
        <v/>
      </c>
    </row>
    <row r="3485">
      <c r="S3485">
        <f>IF(ISNUMBER('자료_거시'!$E3467),'자료_거시'!$E3467,S3484)</f>
        <v/>
      </c>
      <c r="T3485">
        <f>IF(AND(ISNUMBER('자료_거시'!$D3467),ISNUMBER('자료_거시'!$E3467)),IFERROR('자료_거시'!$E3467-INDEX($S$21:$S$4020,MATCH(EDATE('자료_거시'!$D3467,-'설정'!$B$17),'자료_거시'!$D$3:INDEX('자료_거시'!$D$3:$D$4002,$K$6),1)),""),"")</f>
        <v/>
      </c>
      <c r="U3485">
        <f>IF(ISNUMBER(T3485),'자료_거시'!$D3467,"")</f>
        <v/>
      </c>
      <c r="V3485">
        <f>IF(ISNUMBER(U3485),IF(U3485&gt;$L$6,T3485,""),"")</f>
        <v/>
      </c>
      <c r="W3485">
        <f>IF(AND(ISNUMBER('자료_거시'!$G3467),ISNUMBER('자료_거시'!$H3467)),'자료_거시'!$H3467,"")</f>
        <v/>
      </c>
      <c r="X3485">
        <f>IF(ISNUMBER(W3485),'자료_거시'!$G3467,"")</f>
        <v/>
      </c>
      <c r="Y3485">
        <f>IF(ISNUMBER(X3485),IF(X3485&gt;$L$7,W3485,""),"")</f>
        <v/>
      </c>
      <c r="Z3485">
        <f>IF(ISNUMBER('자료_거시'!$K3467),'자료_거시'!$K3467,Z3484)</f>
        <v/>
      </c>
      <c r="AA3485">
        <f>IF(AND(ISNUMBER('자료_거시'!$J3467),ISNUMBER('자료_거시'!$K3467)),IFERROR('자료_거시'!$K3467/INDEX($Z$21:$Z$4020,MATCH(EDATE('자료_거시'!$J3467,-'설정'!$B$17),'자료_거시'!$J$3:INDEX('자료_거시'!$J$3:$J$4002,$K$8),1))-1,""),"")</f>
        <v/>
      </c>
      <c r="AB3485">
        <f>IF(ISNUMBER(AA3485),'자료_거시'!$J3467,"")</f>
        <v/>
      </c>
      <c r="AC3485">
        <f>IF(ISNUMBER(AB3485),IF(AB3485&gt;$L$8,AA3485,""),"")</f>
        <v/>
      </c>
    </row>
    <row r="3486">
      <c r="S3486">
        <f>IF(ISNUMBER('자료_거시'!$E3468),'자료_거시'!$E3468,S3485)</f>
        <v/>
      </c>
      <c r="T3486">
        <f>IF(AND(ISNUMBER('자료_거시'!$D3468),ISNUMBER('자료_거시'!$E3468)),IFERROR('자료_거시'!$E3468-INDEX($S$21:$S$4020,MATCH(EDATE('자료_거시'!$D3468,-'설정'!$B$17),'자료_거시'!$D$3:INDEX('자료_거시'!$D$3:$D$4002,$K$6),1)),""),"")</f>
        <v/>
      </c>
      <c r="U3486">
        <f>IF(ISNUMBER(T3486),'자료_거시'!$D3468,"")</f>
        <v/>
      </c>
      <c r="V3486">
        <f>IF(ISNUMBER(U3486),IF(U3486&gt;$L$6,T3486,""),"")</f>
        <v/>
      </c>
      <c r="W3486">
        <f>IF(AND(ISNUMBER('자료_거시'!$G3468),ISNUMBER('자료_거시'!$H3468)),'자료_거시'!$H3468,"")</f>
        <v/>
      </c>
      <c r="X3486">
        <f>IF(ISNUMBER(W3486),'자료_거시'!$G3468,"")</f>
        <v/>
      </c>
      <c r="Y3486">
        <f>IF(ISNUMBER(X3486),IF(X3486&gt;$L$7,W3486,""),"")</f>
        <v/>
      </c>
      <c r="Z3486">
        <f>IF(ISNUMBER('자료_거시'!$K3468),'자료_거시'!$K3468,Z3485)</f>
        <v/>
      </c>
      <c r="AA3486">
        <f>IF(AND(ISNUMBER('자료_거시'!$J3468),ISNUMBER('자료_거시'!$K3468)),IFERROR('자료_거시'!$K3468/INDEX($Z$21:$Z$4020,MATCH(EDATE('자료_거시'!$J3468,-'설정'!$B$17),'자료_거시'!$J$3:INDEX('자료_거시'!$J$3:$J$4002,$K$8),1))-1,""),"")</f>
        <v/>
      </c>
      <c r="AB3486">
        <f>IF(ISNUMBER(AA3486),'자료_거시'!$J3468,"")</f>
        <v/>
      </c>
      <c r="AC3486">
        <f>IF(ISNUMBER(AB3486),IF(AB3486&gt;$L$8,AA3486,""),"")</f>
        <v/>
      </c>
    </row>
    <row r="3487">
      <c r="S3487">
        <f>IF(ISNUMBER('자료_거시'!$E3469),'자료_거시'!$E3469,S3486)</f>
        <v/>
      </c>
      <c r="T3487">
        <f>IF(AND(ISNUMBER('자료_거시'!$D3469),ISNUMBER('자료_거시'!$E3469)),IFERROR('자료_거시'!$E3469-INDEX($S$21:$S$4020,MATCH(EDATE('자료_거시'!$D3469,-'설정'!$B$17),'자료_거시'!$D$3:INDEX('자료_거시'!$D$3:$D$4002,$K$6),1)),""),"")</f>
        <v/>
      </c>
      <c r="U3487">
        <f>IF(ISNUMBER(T3487),'자료_거시'!$D3469,"")</f>
        <v/>
      </c>
      <c r="V3487">
        <f>IF(ISNUMBER(U3487),IF(U3487&gt;$L$6,T3487,""),"")</f>
        <v/>
      </c>
      <c r="W3487">
        <f>IF(AND(ISNUMBER('자료_거시'!$G3469),ISNUMBER('자료_거시'!$H3469)),'자료_거시'!$H3469,"")</f>
        <v/>
      </c>
      <c r="X3487">
        <f>IF(ISNUMBER(W3487),'자료_거시'!$G3469,"")</f>
        <v/>
      </c>
      <c r="Y3487">
        <f>IF(ISNUMBER(X3487),IF(X3487&gt;$L$7,W3487,""),"")</f>
        <v/>
      </c>
      <c r="Z3487">
        <f>IF(ISNUMBER('자료_거시'!$K3469),'자료_거시'!$K3469,Z3486)</f>
        <v/>
      </c>
      <c r="AA3487">
        <f>IF(AND(ISNUMBER('자료_거시'!$J3469),ISNUMBER('자료_거시'!$K3469)),IFERROR('자료_거시'!$K3469/INDEX($Z$21:$Z$4020,MATCH(EDATE('자료_거시'!$J3469,-'설정'!$B$17),'자료_거시'!$J$3:INDEX('자료_거시'!$J$3:$J$4002,$K$8),1))-1,""),"")</f>
        <v/>
      </c>
      <c r="AB3487">
        <f>IF(ISNUMBER(AA3487),'자료_거시'!$J3469,"")</f>
        <v/>
      </c>
      <c r="AC3487">
        <f>IF(ISNUMBER(AB3487),IF(AB3487&gt;$L$8,AA3487,""),"")</f>
        <v/>
      </c>
    </row>
    <row r="3488">
      <c r="S3488">
        <f>IF(ISNUMBER('자료_거시'!$E3470),'자료_거시'!$E3470,S3487)</f>
        <v/>
      </c>
      <c r="T3488">
        <f>IF(AND(ISNUMBER('자료_거시'!$D3470),ISNUMBER('자료_거시'!$E3470)),IFERROR('자료_거시'!$E3470-INDEX($S$21:$S$4020,MATCH(EDATE('자료_거시'!$D3470,-'설정'!$B$17),'자료_거시'!$D$3:INDEX('자료_거시'!$D$3:$D$4002,$K$6),1)),""),"")</f>
        <v/>
      </c>
      <c r="U3488">
        <f>IF(ISNUMBER(T3488),'자료_거시'!$D3470,"")</f>
        <v/>
      </c>
      <c r="V3488">
        <f>IF(ISNUMBER(U3488),IF(U3488&gt;$L$6,T3488,""),"")</f>
        <v/>
      </c>
      <c r="W3488">
        <f>IF(AND(ISNUMBER('자료_거시'!$G3470),ISNUMBER('자료_거시'!$H3470)),'자료_거시'!$H3470,"")</f>
        <v/>
      </c>
      <c r="X3488">
        <f>IF(ISNUMBER(W3488),'자료_거시'!$G3470,"")</f>
        <v/>
      </c>
      <c r="Y3488">
        <f>IF(ISNUMBER(X3488),IF(X3488&gt;$L$7,W3488,""),"")</f>
        <v/>
      </c>
      <c r="Z3488">
        <f>IF(ISNUMBER('자료_거시'!$K3470),'자료_거시'!$K3470,Z3487)</f>
        <v/>
      </c>
      <c r="AA3488">
        <f>IF(AND(ISNUMBER('자료_거시'!$J3470),ISNUMBER('자료_거시'!$K3470)),IFERROR('자료_거시'!$K3470/INDEX($Z$21:$Z$4020,MATCH(EDATE('자료_거시'!$J3470,-'설정'!$B$17),'자료_거시'!$J$3:INDEX('자료_거시'!$J$3:$J$4002,$K$8),1))-1,""),"")</f>
        <v/>
      </c>
      <c r="AB3488">
        <f>IF(ISNUMBER(AA3488),'자료_거시'!$J3470,"")</f>
        <v/>
      </c>
      <c r="AC3488">
        <f>IF(ISNUMBER(AB3488),IF(AB3488&gt;$L$8,AA3488,""),"")</f>
        <v/>
      </c>
    </row>
    <row r="3489">
      <c r="S3489">
        <f>IF(ISNUMBER('자료_거시'!$E3471),'자료_거시'!$E3471,S3488)</f>
        <v/>
      </c>
      <c r="T3489">
        <f>IF(AND(ISNUMBER('자료_거시'!$D3471),ISNUMBER('자료_거시'!$E3471)),IFERROR('자료_거시'!$E3471-INDEX($S$21:$S$4020,MATCH(EDATE('자료_거시'!$D3471,-'설정'!$B$17),'자료_거시'!$D$3:INDEX('자료_거시'!$D$3:$D$4002,$K$6),1)),""),"")</f>
        <v/>
      </c>
      <c r="U3489">
        <f>IF(ISNUMBER(T3489),'자료_거시'!$D3471,"")</f>
        <v/>
      </c>
      <c r="V3489">
        <f>IF(ISNUMBER(U3489),IF(U3489&gt;$L$6,T3489,""),"")</f>
        <v/>
      </c>
      <c r="W3489">
        <f>IF(AND(ISNUMBER('자료_거시'!$G3471),ISNUMBER('자료_거시'!$H3471)),'자료_거시'!$H3471,"")</f>
        <v/>
      </c>
      <c r="X3489">
        <f>IF(ISNUMBER(W3489),'자료_거시'!$G3471,"")</f>
        <v/>
      </c>
      <c r="Y3489">
        <f>IF(ISNUMBER(X3489),IF(X3489&gt;$L$7,W3489,""),"")</f>
        <v/>
      </c>
      <c r="Z3489">
        <f>IF(ISNUMBER('자료_거시'!$K3471),'자료_거시'!$K3471,Z3488)</f>
        <v/>
      </c>
      <c r="AA3489">
        <f>IF(AND(ISNUMBER('자료_거시'!$J3471),ISNUMBER('자료_거시'!$K3471)),IFERROR('자료_거시'!$K3471/INDEX($Z$21:$Z$4020,MATCH(EDATE('자료_거시'!$J3471,-'설정'!$B$17),'자료_거시'!$J$3:INDEX('자료_거시'!$J$3:$J$4002,$K$8),1))-1,""),"")</f>
        <v/>
      </c>
      <c r="AB3489">
        <f>IF(ISNUMBER(AA3489),'자료_거시'!$J3471,"")</f>
        <v/>
      </c>
      <c r="AC3489">
        <f>IF(ISNUMBER(AB3489),IF(AB3489&gt;$L$8,AA3489,""),"")</f>
        <v/>
      </c>
    </row>
    <row r="3490">
      <c r="S3490">
        <f>IF(ISNUMBER('자료_거시'!$E3472),'자료_거시'!$E3472,S3489)</f>
        <v/>
      </c>
      <c r="T3490">
        <f>IF(AND(ISNUMBER('자료_거시'!$D3472),ISNUMBER('자료_거시'!$E3472)),IFERROR('자료_거시'!$E3472-INDEX($S$21:$S$4020,MATCH(EDATE('자료_거시'!$D3472,-'설정'!$B$17),'자료_거시'!$D$3:INDEX('자료_거시'!$D$3:$D$4002,$K$6),1)),""),"")</f>
        <v/>
      </c>
      <c r="U3490">
        <f>IF(ISNUMBER(T3490),'자료_거시'!$D3472,"")</f>
        <v/>
      </c>
      <c r="V3490">
        <f>IF(ISNUMBER(U3490),IF(U3490&gt;$L$6,T3490,""),"")</f>
        <v/>
      </c>
      <c r="W3490">
        <f>IF(AND(ISNUMBER('자료_거시'!$G3472),ISNUMBER('자료_거시'!$H3472)),'자료_거시'!$H3472,"")</f>
        <v/>
      </c>
      <c r="X3490">
        <f>IF(ISNUMBER(W3490),'자료_거시'!$G3472,"")</f>
        <v/>
      </c>
      <c r="Y3490">
        <f>IF(ISNUMBER(X3490),IF(X3490&gt;$L$7,W3490,""),"")</f>
        <v/>
      </c>
      <c r="Z3490">
        <f>IF(ISNUMBER('자료_거시'!$K3472),'자료_거시'!$K3472,Z3489)</f>
        <v/>
      </c>
      <c r="AA3490">
        <f>IF(AND(ISNUMBER('자료_거시'!$J3472),ISNUMBER('자료_거시'!$K3472)),IFERROR('자료_거시'!$K3472/INDEX($Z$21:$Z$4020,MATCH(EDATE('자료_거시'!$J3472,-'설정'!$B$17),'자료_거시'!$J$3:INDEX('자료_거시'!$J$3:$J$4002,$K$8),1))-1,""),"")</f>
        <v/>
      </c>
      <c r="AB3490">
        <f>IF(ISNUMBER(AA3490),'자료_거시'!$J3472,"")</f>
        <v/>
      </c>
      <c r="AC3490">
        <f>IF(ISNUMBER(AB3490),IF(AB3490&gt;$L$8,AA3490,""),"")</f>
        <v/>
      </c>
    </row>
    <row r="3491">
      <c r="S3491">
        <f>IF(ISNUMBER('자료_거시'!$E3473),'자료_거시'!$E3473,S3490)</f>
        <v/>
      </c>
      <c r="T3491">
        <f>IF(AND(ISNUMBER('자료_거시'!$D3473),ISNUMBER('자료_거시'!$E3473)),IFERROR('자료_거시'!$E3473-INDEX($S$21:$S$4020,MATCH(EDATE('자료_거시'!$D3473,-'설정'!$B$17),'자료_거시'!$D$3:INDEX('자료_거시'!$D$3:$D$4002,$K$6),1)),""),"")</f>
        <v/>
      </c>
      <c r="U3491">
        <f>IF(ISNUMBER(T3491),'자료_거시'!$D3473,"")</f>
        <v/>
      </c>
      <c r="V3491">
        <f>IF(ISNUMBER(U3491),IF(U3491&gt;$L$6,T3491,""),"")</f>
        <v/>
      </c>
      <c r="W3491">
        <f>IF(AND(ISNUMBER('자료_거시'!$G3473),ISNUMBER('자료_거시'!$H3473)),'자료_거시'!$H3473,"")</f>
        <v/>
      </c>
      <c r="X3491">
        <f>IF(ISNUMBER(W3491),'자료_거시'!$G3473,"")</f>
        <v/>
      </c>
      <c r="Y3491">
        <f>IF(ISNUMBER(X3491),IF(X3491&gt;$L$7,W3491,""),"")</f>
        <v/>
      </c>
      <c r="Z3491">
        <f>IF(ISNUMBER('자료_거시'!$K3473),'자료_거시'!$K3473,Z3490)</f>
        <v/>
      </c>
      <c r="AA3491">
        <f>IF(AND(ISNUMBER('자료_거시'!$J3473),ISNUMBER('자료_거시'!$K3473)),IFERROR('자료_거시'!$K3473/INDEX($Z$21:$Z$4020,MATCH(EDATE('자료_거시'!$J3473,-'설정'!$B$17),'자료_거시'!$J$3:INDEX('자료_거시'!$J$3:$J$4002,$K$8),1))-1,""),"")</f>
        <v/>
      </c>
      <c r="AB3491">
        <f>IF(ISNUMBER(AA3491),'자료_거시'!$J3473,"")</f>
        <v/>
      </c>
      <c r="AC3491">
        <f>IF(ISNUMBER(AB3491),IF(AB3491&gt;$L$8,AA3491,""),"")</f>
        <v/>
      </c>
    </row>
    <row r="3492">
      <c r="S3492">
        <f>IF(ISNUMBER('자료_거시'!$E3474),'자료_거시'!$E3474,S3491)</f>
        <v/>
      </c>
      <c r="T3492">
        <f>IF(AND(ISNUMBER('자료_거시'!$D3474),ISNUMBER('자료_거시'!$E3474)),IFERROR('자료_거시'!$E3474-INDEX($S$21:$S$4020,MATCH(EDATE('자료_거시'!$D3474,-'설정'!$B$17),'자료_거시'!$D$3:INDEX('자료_거시'!$D$3:$D$4002,$K$6),1)),""),"")</f>
        <v/>
      </c>
      <c r="U3492">
        <f>IF(ISNUMBER(T3492),'자료_거시'!$D3474,"")</f>
        <v/>
      </c>
      <c r="V3492">
        <f>IF(ISNUMBER(U3492),IF(U3492&gt;$L$6,T3492,""),"")</f>
        <v/>
      </c>
      <c r="W3492">
        <f>IF(AND(ISNUMBER('자료_거시'!$G3474),ISNUMBER('자료_거시'!$H3474)),'자료_거시'!$H3474,"")</f>
        <v/>
      </c>
      <c r="X3492">
        <f>IF(ISNUMBER(W3492),'자료_거시'!$G3474,"")</f>
        <v/>
      </c>
      <c r="Y3492">
        <f>IF(ISNUMBER(X3492),IF(X3492&gt;$L$7,W3492,""),"")</f>
        <v/>
      </c>
      <c r="Z3492">
        <f>IF(ISNUMBER('자료_거시'!$K3474),'자료_거시'!$K3474,Z3491)</f>
        <v/>
      </c>
      <c r="AA3492">
        <f>IF(AND(ISNUMBER('자료_거시'!$J3474),ISNUMBER('자료_거시'!$K3474)),IFERROR('자료_거시'!$K3474/INDEX($Z$21:$Z$4020,MATCH(EDATE('자료_거시'!$J3474,-'설정'!$B$17),'자료_거시'!$J$3:INDEX('자료_거시'!$J$3:$J$4002,$K$8),1))-1,""),"")</f>
        <v/>
      </c>
      <c r="AB3492">
        <f>IF(ISNUMBER(AA3492),'자료_거시'!$J3474,"")</f>
        <v/>
      </c>
      <c r="AC3492">
        <f>IF(ISNUMBER(AB3492),IF(AB3492&gt;$L$8,AA3492,""),"")</f>
        <v/>
      </c>
    </row>
    <row r="3493">
      <c r="S3493">
        <f>IF(ISNUMBER('자료_거시'!$E3475),'자료_거시'!$E3475,S3492)</f>
        <v/>
      </c>
      <c r="T3493">
        <f>IF(AND(ISNUMBER('자료_거시'!$D3475),ISNUMBER('자료_거시'!$E3475)),IFERROR('자료_거시'!$E3475-INDEX($S$21:$S$4020,MATCH(EDATE('자료_거시'!$D3475,-'설정'!$B$17),'자료_거시'!$D$3:INDEX('자료_거시'!$D$3:$D$4002,$K$6),1)),""),"")</f>
        <v/>
      </c>
      <c r="U3493">
        <f>IF(ISNUMBER(T3493),'자료_거시'!$D3475,"")</f>
        <v/>
      </c>
      <c r="V3493">
        <f>IF(ISNUMBER(U3493),IF(U3493&gt;$L$6,T3493,""),"")</f>
        <v/>
      </c>
      <c r="W3493">
        <f>IF(AND(ISNUMBER('자료_거시'!$G3475),ISNUMBER('자료_거시'!$H3475)),'자료_거시'!$H3475,"")</f>
        <v/>
      </c>
      <c r="X3493">
        <f>IF(ISNUMBER(W3493),'자료_거시'!$G3475,"")</f>
        <v/>
      </c>
      <c r="Y3493">
        <f>IF(ISNUMBER(X3493),IF(X3493&gt;$L$7,W3493,""),"")</f>
        <v/>
      </c>
      <c r="Z3493">
        <f>IF(ISNUMBER('자료_거시'!$K3475),'자료_거시'!$K3475,Z3492)</f>
        <v/>
      </c>
      <c r="AA3493">
        <f>IF(AND(ISNUMBER('자료_거시'!$J3475),ISNUMBER('자료_거시'!$K3475)),IFERROR('자료_거시'!$K3475/INDEX($Z$21:$Z$4020,MATCH(EDATE('자료_거시'!$J3475,-'설정'!$B$17),'자료_거시'!$J$3:INDEX('자료_거시'!$J$3:$J$4002,$K$8),1))-1,""),"")</f>
        <v/>
      </c>
      <c r="AB3493">
        <f>IF(ISNUMBER(AA3493),'자료_거시'!$J3475,"")</f>
        <v/>
      </c>
      <c r="AC3493">
        <f>IF(ISNUMBER(AB3493),IF(AB3493&gt;$L$8,AA3493,""),"")</f>
        <v/>
      </c>
    </row>
    <row r="3494">
      <c r="S3494">
        <f>IF(ISNUMBER('자료_거시'!$E3476),'자료_거시'!$E3476,S3493)</f>
        <v/>
      </c>
      <c r="T3494">
        <f>IF(AND(ISNUMBER('자료_거시'!$D3476),ISNUMBER('자료_거시'!$E3476)),IFERROR('자료_거시'!$E3476-INDEX($S$21:$S$4020,MATCH(EDATE('자료_거시'!$D3476,-'설정'!$B$17),'자료_거시'!$D$3:INDEX('자료_거시'!$D$3:$D$4002,$K$6),1)),""),"")</f>
        <v/>
      </c>
      <c r="U3494">
        <f>IF(ISNUMBER(T3494),'자료_거시'!$D3476,"")</f>
        <v/>
      </c>
      <c r="V3494">
        <f>IF(ISNUMBER(U3494),IF(U3494&gt;$L$6,T3494,""),"")</f>
        <v/>
      </c>
      <c r="W3494">
        <f>IF(AND(ISNUMBER('자료_거시'!$G3476),ISNUMBER('자료_거시'!$H3476)),'자료_거시'!$H3476,"")</f>
        <v/>
      </c>
      <c r="X3494">
        <f>IF(ISNUMBER(W3494),'자료_거시'!$G3476,"")</f>
        <v/>
      </c>
      <c r="Y3494">
        <f>IF(ISNUMBER(X3494),IF(X3494&gt;$L$7,W3494,""),"")</f>
        <v/>
      </c>
      <c r="Z3494">
        <f>IF(ISNUMBER('자료_거시'!$K3476),'자료_거시'!$K3476,Z3493)</f>
        <v/>
      </c>
      <c r="AA3494">
        <f>IF(AND(ISNUMBER('자료_거시'!$J3476),ISNUMBER('자료_거시'!$K3476)),IFERROR('자료_거시'!$K3476/INDEX($Z$21:$Z$4020,MATCH(EDATE('자료_거시'!$J3476,-'설정'!$B$17),'자료_거시'!$J$3:INDEX('자료_거시'!$J$3:$J$4002,$K$8),1))-1,""),"")</f>
        <v/>
      </c>
      <c r="AB3494">
        <f>IF(ISNUMBER(AA3494),'자료_거시'!$J3476,"")</f>
        <v/>
      </c>
      <c r="AC3494">
        <f>IF(ISNUMBER(AB3494),IF(AB3494&gt;$L$8,AA3494,""),"")</f>
        <v/>
      </c>
    </row>
    <row r="3495">
      <c r="S3495">
        <f>IF(ISNUMBER('자료_거시'!$E3477),'자료_거시'!$E3477,S3494)</f>
        <v/>
      </c>
      <c r="T3495">
        <f>IF(AND(ISNUMBER('자료_거시'!$D3477),ISNUMBER('자료_거시'!$E3477)),IFERROR('자료_거시'!$E3477-INDEX($S$21:$S$4020,MATCH(EDATE('자료_거시'!$D3477,-'설정'!$B$17),'자료_거시'!$D$3:INDEX('자료_거시'!$D$3:$D$4002,$K$6),1)),""),"")</f>
        <v/>
      </c>
      <c r="U3495">
        <f>IF(ISNUMBER(T3495),'자료_거시'!$D3477,"")</f>
        <v/>
      </c>
      <c r="V3495">
        <f>IF(ISNUMBER(U3495),IF(U3495&gt;$L$6,T3495,""),"")</f>
        <v/>
      </c>
      <c r="W3495">
        <f>IF(AND(ISNUMBER('자료_거시'!$G3477),ISNUMBER('자료_거시'!$H3477)),'자료_거시'!$H3477,"")</f>
        <v/>
      </c>
      <c r="X3495">
        <f>IF(ISNUMBER(W3495),'자료_거시'!$G3477,"")</f>
        <v/>
      </c>
      <c r="Y3495">
        <f>IF(ISNUMBER(X3495),IF(X3495&gt;$L$7,W3495,""),"")</f>
        <v/>
      </c>
      <c r="Z3495">
        <f>IF(ISNUMBER('자료_거시'!$K3477),'자료_거시'!$K3477,Z3494)</f>
        <v/>
      </c>
      <c r="AA3495">
        <f>IF(AND(ISNUMBER('자료_거시'!$J3477),ISNUMBER('자료_거시'!$K3477)),IFERROR('자료_거시'!$K3477/INDEX($Z$21:$Z$4020,MATCH(EDATE('자료_거시'!$J3477,-'설정'!$B$17),'자료_거시'!$J$3:INDEX('자료_거시'!$J$3:$J$4002,$K$8),1))-1,""),"")</f>
        <v/>
      </c>
      <c r="AB3495">
        <f>IF(ISNUMBER(AA3495),'자료_거시'!$J3477,"")</f>
        <v/>
      </c>
      <c r="AC3495">
        <f>IF(ISNUMBER(AB3495),IF(AB3495&gt;$L$8,AA3495,""),"")</f>
        <v/>
      </c>
    </row>
    <row r="3496">
      <c r="S3496">
        <f>IF(ISNUMBER('자료_거시'!$E3478),'자료_거시'!$E3478,S3495)</f>
        <v/>
      </c>
      <c r="T3496">
        <f>IF(AND(ISNUMBER('자료_거시'!$D3478),ISNUMBER('자료_거시'!$E3478)),IFERROR('자료_거시'!$E3478-INDEX($S$21:$S$4020,MATCH(EDATE('자료_거시'!$D3478,-'설정'!$B$17),'자료_거시'!$D$3:INDEX('자료_거시'!$D$3:$D$4002,$K$6),1)),""),"")</f>
        <v/>
      </c>
      <c r="U3496">
        <f>IF(ISNUMBER(T3496),'자료_거시'!$D3478,"")</f>
        <v/>
      </c>
      <c r="V3496">
        <f>IF(ISNUMBER(U3496),IF(U3496&gt;$L$6,T3496,""),"")</f>
        <v/>
      </c>
      <c r="W3496">
        <f>IF(AND(ISNUMBER('자료_거시'!$G3478),ISNUMBER('자료_거시'!$H3478)),'자료_거시'!$H3478,"")</f>
        <v/>
      </c>
      <c r="X3496">
        <f>IF(ISNUMBER(W3496),'자료_거시'!$G3478,"")</f>
        <v/>
      </c>
      <c r="Y3496">
        <f>IF(ISNUMBER(X3496),IF(X3496&gt;$L$7,W3496,""),"")</f>
        <v/>
      </c>
      <c r="Z3496">
        <f>IF(ISNUMBER('자료_거시'!$K3478),'자료_거시'!$K3478,Z3495)</f>
        <v/>
      </c>
      <c r="AA3496">
        <f>IF(AND(ISNUMBER('자료_거시'!$J3478),ISNUMBER('자료_거시'!$K3478)),IFERROR('자료_거시'!$K3478/INDEX($Z$21:$Z$4020,MATCH(EDATE('자료_거시'!$J3478,-'설정'!$B$17),'자료_거시'!$J$3:INDEX('자료_거시'!$J$3:$J$4002,$K$8),1))-1,""),"")</f>
        <v/>
      </c>
      <c r="AB3496">
        <f>IF(ISNUMBER(AA3496),'자료_거시'!$J3478,"")</f>
        <v/>
      </c>
      <c r="AC3496">
        <f>IF(ISNUMBER(AB3496),IF(AB3496&gt;$L$8,AA3496,""),"")</f>
        <v/>
      </c>
    </row>
    <row r="3497">
      <c r="S3497">
        <f>IF(ISNUMBER('자료_거시'!$E3479),'자료_거시'!$E3479,S3496)</f>
        <v/>
      </c>
      <c r="T3497">
        <f>IF(AND(ISNUMBER('자료_거시'!$D3479),ISNUMBER('자료_거시'!$E3479)),IFERROR('자료_거시'!$E3479-INDEX($S$21:$S$4020,MATCH(EDATE('자료_거시'!$D3479,-'설정'!$B$17),'자료_거시'!$D$3:INDEX('자료_거시'!$D$3:$D$4002,$K$6),1)),""),"")</f>
        <v/>
      </c>
      <c r="U3497">
        <f>IF(ISNUMBER(T3497),'자료_거시'!$D3479,"")</f>
        <v/>
      </c>
      <c r="V3497">
        <f>IF(ISNUMBER(U3497),IF(U3497&gt;$L$6,T3497,""),"")</f>
        <v/>
      </c>
      <c r="W3497">
        <f>IF(AND(ISNUMBER('자료_거시'!$G3479),ISNUMBER('자료_거시'!$H3479)),'자료_거시'!$H3479,"")</f>
        <v/>
      </c>
      <c r="X3497">
        <f>IF(ISNUMBER(W3497),'자료_거시'!$G3479,"")</f>
        <v/>
      </c>
      <c r="Y3497">
        <f>IF(ISNUMBER(X3497),IF(X3497&gt;$L$7,W3497,""),"")</f>
        <v/>
      </c>
      <c r="Z3497">
        <f>IF(ISNUMBER('자료_거시'!$K3479),'자료_거시'!$K3479,Z3496)</f>
        <v/>
      </c>
      <c r="AA3497">
        <f>IF(AND(ISNUMBER('자료_거시'!$J3479),ISNUMBER('자료_거시'!$K3479)),IFERROR('자료_거시'!$K3479/INDEX($Z$21:$Z$4020,MATCH(EDATE('자료_거시'!$J3479,-'설정'!$B$17),'자료_거시'!$J$3:INDEX('자료_거시'!$J$3:$J$4002,$K$8),1))-1,""),"")</f>
        <v/>
      </c>
      <c r="AB3497">
        <f>IF(ISNUMBER(AA3497),'자료_거시'!$J3479,"")</f>
        <v/>
      </c>
      <c r="AC3497">
        <f>IF(ISNUMBER(AB3497),IF(AB3497&gt;$L$8,AA3497,""),"")</f>
        <v/>
      </c>
    </row>
    <row r="3498">
      <c r="S3498">
        <f>IF(ISNUMBER('자료_거시'!$E3480),'자료_거시'!$E3480,S3497)</f>
        <v/>
      </c>
      <c r="T3498">
        <f>IF(AND(ISNUMBER('자료_거시'!$D3480),ISNUMBER('자료_거시'!$E3480)),IFERROR('자료_거시'!$E3480-INDEX($S$21:$S$4020,MATCH(EDATE('자료_거시'!$D3480,-'설정'!$B$17),'자료_거시'!$D$3:INDEX('자료_거시'!$D$3:$D$4002,$K$6),1)),""),"")</f>
        <v/>
      </c>
      <c r="U3498">
        <f>IF(ISNUMBER(T3498),'자료_거시'!$D3480,"")</f>
        <v/>
      </c>
      <c r="V3498">
        <f>IF(ISNUMBER(U3498),IF(U3498&gt;$L$6,T3498,""),"")</f>
        <v/>
      </c>
      <c r="W3498">
        <f>IF(AND(ISNUMBER('자료_거시'!$G3480),ISNUMBER('자료_거시'!$H3480)),'자료_거시'!$H3480,"")</f>
        <v/>
      </c>
      <c r="X3498">
        <f>IF(ISNUMBER(W3498),'자료_거시'!$G3480,"")</f>
        <v/>
      </c>
      <c r="Y3498">
        <f>IF(ISNUMBER(X3498),IF(X3498&gt;$L$7,W3498,""),"")</f>
        <v/>
      </c>
      <c r="Z3498">
        <f>IF(ISNUMBER('자료_거시'!$K3480),'자료_거시'!$K3480,Z3497)</f>
        <v/>
      </c>
      <c r="AA3498">
        <f>IF(AND(ISNUMBER('자료_거시'!$J3480),ISNUMBER('자료_거시'!$K3480)),IFERROR('자료_거시'!$K3480/INDEX($Z$21:$Z$4020,MATCH(EDATE('자료_거시'!$J3480,-'설정'!$B$17),'자료_거시'!$J$3:INDEX('자료_거시'!$J$3:$J$4002,$K$8),1))-1,""),"")</f>
        <v/>
      </c>
      <c r="AB3498">
        <f>IF(ISNUMBER(AA3498),'자료_거시'!$J3480,"")</f>
        <v/>
      </c>
      <c r="AC3498">
        <f>IF(ISNUMBER(AB3498),IF(AB3498&gt;$L$8,AA3498,""),"")</f>
        <v/>
      </c>
    </row>
    <row r="3499">
      <c r="S3499">
        <f>IF(ISNUMBER('자료_거시'!$E3481),'자료_거시'!$E3481,S3498)</f>
        <v/>
      </c>
      <c r="T3499">
        <f>IF(AND(ISNUMBER('자료_거시'!$D3481),ISNUMBER('자료_거시'!$E3481)),IFERROR('자료_거시'!$E3481-INDEX($S$21:$S$4020,MATCH(EDATE('자료_거시'!$D3481,-'설정'!$B$17),'자료_거시'!$D$3:INDEX('자료_거시'!$D$3:$D$4002,$K$6),1)),""),"")</f>
        <v/>
      </c>
      <c r="U3499">
        <f>IF(ISNUMBER(T3499),'자료_거시'!$D3481,"")</f>
        <v/>
      </c>
      <c r="V3499">
        <f>IF(ISNUMBER(U3499),IF(U3499&gt;$L$6,T3499,""),"")</f>
        <v/>
      </c>
      <c r="W3499">
        <f>IF(AND(ISNUMBER('자료_거시'!$G3481),ISNUMBER('자료_거시'!$H3481)),'자료_거시'!$H3481,"")</f>
        <v/>
      </c>
      <c r="X3499">
        <f>IF(ISNUMBER(W3499),'자료_거시'!$G3481,"")</f>
        <v/>
      </c>
      <c r="Y3499">
        <f>IF(ISNUMBER(X3499),IF(X3499&gt;$L$7,W3499,""),"")</f>
        <v/>
      </c>
      <c r="Z3499">
        <f>IF(ISNUMBER('자료_거시'!$K3481),'자료_거시'!$K3481,Z3498)</f>
        <v/>
      </c>
      <c r="AA3499">
        <f>IF(AND(ISNUMBER('자료_거시'!$J3481),ISNUMBER('자료_거시'!$K3481)),IFERROR('자료_거시'!$K3481/INDEX($Z$21:$Z$4020,MATCH(EDATE('자료_거시'!$J3481,-'설정'!$B$17),'자료_거시'!$J$3:INDEX('자료_거시'!$J$3:$J$4002,$K$8),1))-1,""),"")</f>
        <v/>
      </c>
      <c r="AB3499">
        <f>IF(ISNUMBER(AA3499),'자료_거시'!$J3481,"")</f>
        <v/>
      </c>
      <c r="AC3499">
        <f>IF(ISNUMBER(AB3499),IF(AB3499&gt;$L$8,AA3499,""),"")</f>
        <v/>
      </c>
    </row>
    <row r="3500">
      <c r="S3500">
        <f>IF(ISNUMBER('자료_거시'!$E3482),'자료_거시'!$E3482,S3499)</f>
        <v/>
      </c>
      <c r="T3500">
        <f>IF(AND(ISNUMBER('자료_거시'!$D3482),ISNUMBER('자료_거시'!$E3482)),IFERROR('자료_거시'!$E3482-INDEX($S$21:$S$4020,MATCH(EDATE('자료_거시'!$D3482,-'설정'!$B$17),'자료_거시'!$D$3:INDEX('자료_거시'!$D$3:$D$4002,$K$6),1)),""),"")</f>
        <v/>
      </c>
      <c r="U3500">
        <f>IF(ISNUMBER(T3500),'자료_거시'!$D3482,"")</f>
        <v/>
      </c>
      <c r="V3500">
        <f>IF(ISNUMBER(U3500),IF(U3500&gt;$L$6,T3500,""),"")</f>
        <v/>
      </c>
      <c r="W3500">
        <f>IF(AND(ISNUMBER('자료_거시'!$G3482),ISNUMBER('자료_거시'!$H3482)),'자료_거시'!$H3482,"")</f>
        <v/>
      </c>
      <c r="X3500">
        <f>IF(ISNUMBER(W3500),'자료_거시'!$G3482,"")</f>
        <v/>
      </c>
      <c r="Y3500">
        <f>IF(ISNUMBER(X3500),IF(X3500&gt;$L$7,W3500,""),"")</f>
        <v/>
      </c>
      <c r="Z3500">
        <f>IF(ISNUMBER('자료_거시'!$K3482),'자료_거시'!$K3482,Z3499)</f>
        <v/>
      </c>
      <c r="AA3500">
        <f>IF(AND(ISNUMBER('자료_거시'!$J3482),ISNUMBER('자료_거시'!$K3482)),IFERROR('자료_거시'!$K3482/INDEX($Z$21:$Z$4020,MATCH(EDATE('자료_거시'!$J3482,-'설정'!$B$17),'자료_거시'!$J$3:INDEX('자료_거시'!$J$3:$J$4002,$K$8),1))-1,""),"")</f>
        <v/>
      </c>
      <c r="AB3500">
        <f>IF(ISNUMBER(AA3500),'자료_거시'!$J3482,"")</f>
        <v/>
      </c>
      <c r="AC3500">
        <f>IF(ISNUMBER(AB3500),IF(AB3500&gt;$L$8,AA3500,""),"")</f>
        <v/>
      </c>
    </row>
    <row r="3501">
      <c r="S3501">
        <f>IF(ISNUMBER('자료_거시'!$E3483),'자료_거시'!$E3483,S3500)</f>
        <v/>
      </c>
      <c r="T3501">
        <f>IF(AND(ISNUMBER('자료_거시'!$D3483),ISNUMBER('자료_거시'!$E3483)),IFERROR('자료_거시'!$E3483-INDEX($S$21:$S$4020,MATCH(EDATE('자료_거시'!$D3483,-'설정'!$B$17),'자료_거시'!$D$3:INDEX('자료_거시'!$D$3:$D$4002,$K$6),1)),""),"")</f>
        <v/>
      </c>
      <c r="U3501">
        <f>IF(ISNUMBER(T3501),'자료_거시'!$D3483,"")</f>
        <v/>
      </c>
      <c r="V3501">
        <f>IF(ISNUMBER(U3501),IF(U3501&gt;$L$6,T3501,""),"")</f>
        <v/>
      </c>
      <c r="W3501">
        <f>IF(AND(ISNUMBER('자료_거시'!$G3483),ISNUMBER('자료_거시'!$H3483)),'자료_거시'!$H3483,"")</f>
        <v/>
      </c>
      <c r="X3501">
        <f>IF(ISNUMBER(W3501),'자료_거시'!$G3483,"")</f>
        <v/>
      </c>
      <c r="Y3501">
        <f>IF(ISNUMBER(X3501),IF(X3501&gt;$L$7,W3501,""),"")</f>
        <v/>
      </c>
      <c r="Z3501">
        <f>IF(ISNUMBER('자료_거시'!$K3483),'자료_거시'!$K3483,Z3500)</f>
        <v/>
      </c>
      <c r="AA3501">
        <f>IF(AND(ISNUMBER('자료_거시'!$J3483),ISNUMBER('자료_거시'!$K3483)),IFERROR('자료_거시'!$K3483/INDEX($Z$21:$Z$4020,MATCH(EDATE('자료_거시'!$J3483,-'설정'!$B$17),'자료_거시'!$J$3:INDEX('자료_거시'!$J$3:$J$4002,$K$8),1))-1,""),"")</f>
        <v/>
      </c>
      <c r="AB3501">
        <f>IF(ISNUMBER(AA3501),'자료_거시'!$J3483,"")</f>
        <v/>
      </c>
      <c r="AC3501">
        <f>IF(ISNUMBER(AB3501),IF(AB3501&gt;$L$8,AA3501,""),"")</f>
        <v/>
      </c>
    </row>
    <row r="3502">
      <c r="S3502">
        <f>IF(ISNUMBER('자료_거시'!$E3484),'자료_거시'!$E3484,S3501)</f>
        <v/>
      </c>
      <c r="T3502">
        <f>IF(AND(ISNUMBER('자료_거시'!$D3484),ISNUMBER('자료_거시'!$E3484)),IFERROR('자료_거시'!$E3484-INDEX($S$21:$S$4020,MATCH(EDATE('자료_거시'!$D3484,-'설정'!$B$17),'자료_거시'!$D$3:INDEX('자료_거시'!$D$3:$D$4002,$K$6),1)),""),"")</f>
        <v/>
      </c>
      <c r="U3502">
        <f>IF(ISNUMBER(T3502),'자료_거시'!$D3484,"")</f>
        <v/>
      </c>
      <c r="V3502">
        <f>IF(ISNUMBER(U3502),IF(U3502&gt;$L$6,T3502,""),"")</f>
        <v/>
      </c>
      <c r="W3502">
        <f>IF(AND(ISNUMBER('자료_거시'!$G3484),ISNUMBER('자료_거시'!$H3484)),'자료_거시'!$H3484,"")</f>
        <v/>
      </c>
      <c r="X3502">
        <f>IF(ISNUMBER(W3502),'자료_거시'!$G3484,"")</f>
        <v/>
      </c>
      <c r="Y3502">
        <f>IF(ISNUMBER(X3502),IF(X3502&gt;$L$7,W3502,""),"")</f>
        <v/>
      </c>
      <c r="Z3502">
        <f>IF(ISNUMBER('자료_거시'!$K3484),'자료_거시'!$K3484,Z3501)</f>
        <v/>
      </c>
      <c r="AA3502">
        <f>IF(AND(ISNUMBER('자료_거시'!$J3484),ISNUMBER('자료_거시'!$K3484)),IFERROR('자료_거시'!$K3484/INDEX($Z$21:$Z$4020,MATCH(EDATE('자료_거시'!$J3484,-'설정'!$B$17),'자료_거시'!$J$3:INDEX('자료_거시'!$J$3:$J$4002,$K$8),1))-1,""),"")</f>
        <v/>
      </c>
      <c r="AB3502">
        <f>IF(ISNUMBER(AA3502),'자료_거시'!$J3484,"")</f>
        <v/>
      </c>
      <c r="AC3502">
        <f>IF(ISNUMBER(AB3502),IF(AB3502&gt;$L$8,AA3502,""),"")</f>
        <v/>
      </c>
    </row>
    <row r="3503">
      <c r="S3503">
        <f>IF(ISNUMBER('자료_거시'!$E3485),'자료_거시'!$E3485,S3502)</f>
        <v/>
      </c>
      <c r="T3503">
        <f>IF(AND(ISNUMBER('자료_거시'!$D3485),ISNUMBER('자료_거시'!$E3485)),IFERROR('자료_거시'!$E3485-INDEX($S$21:$S$4020,MATCH(EDATE('자료_거시'!$D3485,-'설정'!$B$17),'자료_거시'!$D$3:INDEX('자료_거시'!$D$3:$D$4002,$K$6),1)),""),"")</f>
        <v/>
      </c>
      <c r="U3503">
        <f>IF(ISNUMBER(T3503),'자료_거시'!$D3485,"")</f>
        <v/>
      </c>
      <c r="V3503">
        <f>IF(ISNUMBER(U3503),IF(U3503&gt;$L$6,T3503,""),"")</f>
        <v/>
      </c>
      <c r="W3503">
        <f>IF(AND(ISNUMBER('자료_거시'!$G3485),ISNUMBER('자료_거시'!$H3485)),'자료_거시'!$H3485,"")</f>
        <v/>
      </c>
      <c r="X3503">
        <f>IF(ISNUMBER(W3503),'자료_거시'!$G3485,"")</f>
        <v/>
      </c>
      <c r="Y3503">
        <f>IF(ISNUMBER(X3503),IF(X3503&gt;$L$7,W3503,""),"")</f>
        <v/>
      </c>
      <c r="Z3503">
        <f>IF(ISNUMBER('자료_거시'!$K3485),'자료_거시'!$K3485,Z3502)</f>
        <v/>
      </c>
      <c r="AA3503">
        <f>IF(AND(ISNUMBER('자료_거시'!$J3485),ISNUMBER('자료_거시'!$K3485)),IFERROR('자료_거시'!$K3485/INDEX($Z$21:$Z$4020,MATCH(EDATE('자료_거시'!$J3485,-'설정'!$B$17),'자료_거시'!$J$3:INDEX('자료_거시'!$J$3:$J$4002,$K$8),1))-1,""),"")</f>
        <v/>
      </c>
      <c r="AB3503">
        <f>IF(ISNUMBER(AA3503),'자료_거시'!$J3485,"")</f>
        <v/>
      </c>
      <c r="AC3503">
        <f>IF(ISNUMBER(AB3503),IF(AB3503&gt;$L$8,AA3503,""),"")</f>
        <v/>
      </c>
    </row>
    <row r="3504">
      <c r="S3504">
        <f>IF(ISNUMBER('자료_거시'!$E3486),'자료_거시'!$E3486,S3503)</f>
        <v/>
      </c>
      <c r="T3504">
        <f>IF(AND(ISNUMBER('자료_거시'!$D3486),ISNUMBER('자료_거시'!$E3486)),IFERROR('자료_거시'!$E3486-INDEX($S$21:$S$4020,MATCH(EDATE('자료_거시'!$D3486,-'설정'!$B$17),'자료_거시'!$D$3:INDEX('자료_거시'!$D$3:$D$4002,$K$6),1)),""),"")</f>
        <v/>
      </c>
      <c r="U3504">
        <f>IF(ISNUMBER(T3504),'자료_거시'!$D3486,"")</f>
        <v/>
      </c>
      <c r="V3504">
        <f>IF(ISNUMBER(U3504),IF(U3504&gt;$L$6,T3504,""),"")</f>
        <v/>
      </c>
      <c r="W3504">
        <f>IF(AND(ISNUMBER('자료_거시'!$G3486),ISNUMBER('자료_거시'!$H3486)),'자료_거시'!$H3486,"")</f>
        <v/>
      </c>
      <c r="X3504">
        <f>IF(ISNUMBER(W3504),'자료_거시'!$G3486,"")</f>
        <v/>
      </c>
      <c r="Y3504">
        <f>IF(ISNUMBER(X3504),IF(X3504&gt;$L$7,W3504,""),"")</f>
        <v/>
      </c>
      <c r="Z3504">
        <f>IF(ISNUMBER('자료_거시'!$K3486),'자료_거시'!$K3486,Z3503)</f>
        <v/>
      </c>
      <c r="AA3504">
        <f>IF(AND(ISNUMBER('자료_거시'!$J3486),ISNUMBER('자료_거시'!$K3486)),IFERROR('자료_거시'!$K3486/INDEX($Z$21:$Z$4020,MATCH(EDATE('자료_거시'!$J3486,-'설정'!$B$17),'자료_거시'!$J$3:INDEX('자료_거시'!$J$3:$J$4002,$K$8),1))-1,""),"")</f>
        <v/>
      </c>
      <c r="AB3504">
        <f>IF(ISNUMBER(AA3504),'자료_거시'!$J3486,"")</f>
        <v/>
      </c>
      <c r="AC3504">
        <f>IF(ISNUMBER(AB3504),IF(AB3504&gt;$L$8,AA3504,""),"")</f>
        <v/>
      </c>
    </row>
    <row r="3505">
      <c r="S3505">
        <f>IF(ISNUMBER('자료_거시'!$E3487),'자료_거시'!$E3487,S3504)</f>
        <v/>
      </c>
      <c r="T3505">
        <f>IF(AND(ISNUMBER('자료_거시'!$D3487),ISNUMBER('자료_거시'!$E3487)),IFERROR('자료_거시'!$E3487-INDEX($S$21:$S$4020,MATCH(EDATE('자료_거시'!$D3487,-'설정'!$B$17),'자료_거시'!$D$3:INDEX('자료_거시'!$D$3:$D$4002,$K$6),1)),""),"")</f>
        <v/>
      </c>
      <c r="U3505">
        <f>IF(ISNUMBER(T3505),'자료_거시'!$D3487,"")</f>
        <v/>
      </c>
      <c r="V3505">
        <f>IF(ISNUMBER(U3505),IF(U3505&gt;$L$6,T3505,""),"")</f>
        <v/>
      </c>
      <c r="W3505">
        <f>IF(AND(ISNUMBER('자료_거시'!$G3487),ISNUMBER('자료_거시'!$H3487)),'자료_거시'!$H3487,"")</f>
        <v/>
      </c>
      <c r="X3505">
        <f>IF(ISNUMBER(W3505),'자료_거시'!$G3487,"")</f>
        <v/>
      </c>
      <c r="Y3505">
        <f>IF(ISNUMBER(X3505),IF(X3505&gt;$L$7,W3505,""),"")</f>
        <v/>
      </c>
      <c r="Z3505">
        <f>IF(ISNUMBER('자료_거시'!$K3487),'자료_거시'!$K3487,Z3504)</f>
        <v/>
      </c>
      <c r="AA3505">
        <f>IF(AND(ISNUMBER('자료_거시'!$J3487),ISNUMBER('자료_거시'!$K3487)),IFERROR('자료_거시'!$K3487/INDEX($Z$21:$Z$4020,MATCH(EDATE('자료_거시'!$J3487,-'설정'!$B$17),'자료_거시'!$J$3:INDEX('자료_거시'!$J$3:$J$4002,$K$8),1))-1,""),"")</f>
        <v/>
      </c>
      <c r="AB3505">
        <f>IF(ISNUMBER(AA3505),'자료_거시'!$J3487,"")</f>
        <v/>
      </c>
      <c r="AC3505">
        <f>IF(ISNUMBER(AB3505),IF(AB3505&gt;$L$8,AA3505,""),"")</f>
        <v/>
      </c>
    </row>
    <row r="3506">
      <c r="S3506">
        <f>IF(ISNUMBER('자료_거시'!$E3488),'자료_거시'!$E3488,S3505)</f>
        <v/>
      </c>
      <c r="T3506">
        <f>IF(AND(ISNUMBER('자료_거시'!$D3488),ISNUMBER('자료_거시'!$E3488)),IFERROR('자료_거시'!$E3488-INDEX($S$21:$S$4020,MATCH(EDATE('자료_거시'!$D3488,-'설정'!$B$17),'자료_거시'!$D$3:INDEX('자료_거시'!$D$3:$D$4002,$K$6),1)),""),"")</f>
        <v/>
      </c>
      <c r="U3506">
        <f>IF(ISNUMBER(T3506),'자료_거시'!$D3488,"")</f>
        <v/>
      </c>
      <c r="V3506">
        <f>IF(ISNUMBER(U3506),IF(U3506&gt;$L$6,T3506,""),"")</f>
        <v/>
      </c>
      <c r="W3506">
        <f>IF(AND(ISNUMBER('자료_거시'!$G3488),ISNUMBER('자료_거시'!$H3488)),'자료_거시'!$H3488,"")</f>
        <v/>
      </c>
      <c r="X3506">
        <f>IF(ISNUMBER(W3506),'자료_거시'!$G3488,"")</f>
        <v/>
      </c>
      <c r="Y3506">
        <f>IF(ISNUMBER(X3506),IF(X3506&gt;$L$7,W3506,""),"")</f>
        <v/>
      </c>
      <c r="Z3506">
        <f>IF(ISNUMBER('자료_거시'!$K3488),'자료_거시'!$K3488,Z3505)</f>
        <v/>
      </c>
      <c r="AA3506">
        <f>IF(AND(ISNUMBER('자료_거시'!$J3488),ISNUMBER('자료_거시'!$K3488)),IFERROR('자료_거시'!$K3488/INDEX($Z$21:$Z$4020,MATCH(EDATE('자료_거시'!$J3488,-'설정'!$B$17),'자료_거시'!$J$3:INDEX('자료_거시'!$J$3:$J$4002,$K$8),1))-1,""),"")</f>
        <v/>
      </c>
      <c r="AB3506">
        <f>IF(ISNUMBER(AA3506),'자료_거시'!$J3488,"")</f>
        <v/>
      </c>
      <c r="AC3506">
        <f>IF(ISNUMBER(AB3506),IF(AB3506&gt;$L$8,AA3506,""),"")</f>
        <v/>
      </c>
    </row>
    <row r="3507">
      <c r="S3507">
        <f>IF(ISNUMBER('자료_거시'!$E3489),'자료_거시'!$E3489,S3506)</f>
        <v/>
      </c>
      <c r="T3507">
        <f>IF(AND(ISNUMBER('자료_거시'!$D3489),ISNUMBER('자료_거시'!$E3489)),IFERROR('자료_거시'!$E3489-INDEX($S$21:$S$4020,MATCH(EDATE('자료_거시'!$D3489,-'설정'!$B$17),'자료_거시'!$D$3:INDEX('자료_거시'!$D$3:$D$4002,$K$6),1)),""),"")</f>
        <v/>
      </c>
      <c r="U3507">
        <f>IF(ISNUMBER(T3507),'자료_거시'!$D3489,"")</f>
        <v/>
      </c>
      <c r="V3507">
        <f>IF(ISNUMBER(U3507),IF(U3507&gt;$L$6,T3507,""),"")</f>
        <v/>
      </c>
      <c r="W3507">
        <f>IF(AND(ISNUMBER('자료_거시'!$G3489),ISNUMBER('자료_거시'!$H3489)),'자료_거시'!$H3489,"")</f>
        <v/>
      </c>
      <c r="X3507">
        <f>IF(ISNUMBER(W3507),'자료_거시'!$G3489,"")</f>
        <v/>
      </c>
      <c r="Y3507">
        <f>IF(ISNUMBER(X3507),IF(X3507&gt;$L$7,W3507,""),"")</f>
        <v/>
      </c>
      <c r="Z3507">
        <f>IF(ISNUMBER('자료_거시'!$K3489),'자료_거시'!$K3489,Z3506)</f>
        <v/>
      </c>
      <c r="AA3507">
        <f>IF(AND(ISNUMBER('자료_거시'!$J3489),ISNUMBER('자료_거시'!$K3489)),IFERROR('자료_거시'!$K3489/INDEX($Z$21:$Z$4020,MATCH(EDATE('자료_거시'!$J3489,-'설정'!$B$17),'자료_거시'!$J$3:INDEX('자료_거시'!$J$3:$J$4002,$K$8),1))-1,""),"")</f>
        <v/>
      </c>
      <c r="AB3507">
        <f>IF(ISNUMBER(AA3507),'자료_거시'!$J3489,"")</f>
        <v/>
      </c>
      <c r="AC3507">
        <f>IF(ISNUMBER(AB3507),IF(AB3507&gt;$L$8,AA3507,""),"")</f>
        <v/>
      </c>
    </row>
    <row r="3508">
      <c r="S3508">
        <f>IF(ISNUMBER('자료_거시'!$E3490),'자료_거시'!$E3490,S3507)</f>
        <v/>
      </c>
      <c r="T3508">
        <f>IF(AND(ISNUMBER('자료_거시'!$D3490),ISNUMBER('자료_거시'!$E3490)),IFERROR('자료_거시'!$E3490-INDEX($S$21:$S$4020,MATCH(EDATE('자료_거시'!$D3490,-'설정'!$B$17),'자료_거시'!$D$3:INDEX('자료_거시'!$D$3:$D$4002,$K$6),1)),""),"")</f>
        <v/>
      </c>
      <c r="U3508">
        <f>IF(ISNUMBER(T3508),'자료_거시'!$D3490,"")</f>
        <v/>
      </c>
      <c r="V3508">
        <f>IF(ISNUMBER(U3508),IF(U3508&gt;$L$6,T3508,""),"")</f>
        <v/>
      </c>
      <c r="W3508">
        <f>IF(AND(ISNUMBER('자료_거시'!$G3490),ISNUMBER('자료_거시'!$H3490)),'자료_거시'!$H3490,"")</f>
        <v/>
      </c>
      <c r="X3508">
        <f>IF(ISNUMBER(W3508),'자료_거시'!$G3490,"")</f>
        <v/>
      </c>
      <c r="Y3508">
        <f>IF(ISNUMBER(X3508),IF(X3508&gt;$L$7,W3508,""),"")</f>
        <v/>
      </c>
      <c r="Z3508">
        <f>IF(ISNUMBER('자료_거시'!$K3490),'자료_거시'!$K3490,Z3507)</f>
        <v/>
      </c>
      <c r="AA3508">
        <f>IF(AND(ISNUMBER('자료_거시'!$J3490),ISNUMBER('자료_거시'!$K3490)),IFERROR('자료_거시'!$K3490/INDEX($Z$21:$Z$4020,MATCH(EDATE('자료_거시'!$J3490,-'설정'!$B$17),'자료_거시'!$J$3:INDEX('자료_거시'!$J$3:$J$4002,$K$8),1))-1,""),"")</f>
        <v/>
      </c>
      <c r="AB3508">
        <f>IF(ISNUMBER(AA3508),'자료_거시'!$J3490,"")</f>
        <v/>
      </c>
      <c r="AC3508">
        <f>IF(ISNUMBER(AB3508),IF(AB3508&gt;$L$8,AA3508,""),"")</f>
        <v/>
      </c>
    </row>
    <row r="3509">
      <c r="S3509">
        <f>IF(ISNUMBER('자료_거시'!$E3491),'자료_거시'!$E3491,S3508)</f>
        <v/>
      </c>
      <c r="T3509">
        <f>IF(AND(ISNUMBER('자료_거시'!$D3491),ISNUMBER('자료_거시'!$E3491)),IFERROR('자료_거시'!$E3491-INDEX($S$21:$S$4020,MATCH(EDATE('자료_거시'!$D3491,-'설정'!$B$17),'자료_거시'!$D$3:INDEX('자료_거시'!$D$3:$D$4002,$K$6),1)),""),"")</f>
        <v/>
      </c>
      <c r="U3509">
        <f>IF(ISNUMBER(T3509),'자료_거시'!$D3491,"")</f>
        <v/>
      </c>
      <c r="V3509">
        <f>IF(ISNUMBER(U3509),IF(U3509&gt;$L$6,T3509,""),"")</f>
        <v/>
      </c>
      <c r="W3509">
        <f>IF(AND(ISNUMBER('자료_거시'!$G3491),ISNUMBER('자료_거시'!$H3491)),'자료_거시'!$H3491,"")</f>
        <v/>
      </c>
      <c r="X3509">
        <f>IF(ISNUMBER(W3509),'자료_거시'!$G3491,"")</f>
        <v/>
      </c>
      <c r="Y3509">
        <f>IF(ISNUMBER(X3509),IF(X3509&gt;$L$7,W3509,""),"")</f>
        <v/>
      </c>
      <c r="Z3509">
        <f>IF(ISNUMBER('자료_거시'!$K3491),'자료_거시'!$K3491,Z3508)</f>
        <v/>
      </c>
      <c r="AA3509">
        <f>IF(AND(ISNUMBER('자료_거시'!$J3491),ISNUMBER('자료_거시'!$K3491)),IFERROR('자료_거시'!$K3491/INDEX($Z$21:$Z$4020,MATCH(EDATE('자료_거시'!$J3491,-'설정'!$B$17),'자료_거시'!$J$3:INDEX('자료_거시'!$J$3:$J$4002,$K$8),1))-1,""),"")</f>
        <v/>
      </c>
      <c r="AB3509">
        <f>IF(ISNUMBER(AA3509),'자료_거시'!$J3491,"")</f>
        <v/>
      </c>
      <c r="AC3509">
        <f>IF(ISNUMBER(AB3509),IF(AB3509&gt;$L$8,AA3509,""),"")</f>
        <v/>
      </c>
    </row>
    <row r="3510">
      <c r="S3510">
        <f>IF(ISNUMBER('자료_거시'!$E3492),'자료_거시'!$E3492,S3509)</f>
        <v/>
      </c>
      <c r="T3510">
        <f>IF(AND(ISNUMBER('자료_거시'!$D3492),ISNUMBER('자료_거시'!$E3492)),IFERROR('자료_거시'!$E3492-INDEX($S$21:$S$4020,MATCH(EDATE('자료_거시'!$D3492,-'설정'!$B$17),'자료_거시'!$D$3:INDEX('자료_거시'!$D$3:$D$4002,$K$6),1)),""),"")</f>
        <v/>
      </c>
      <c r="U3510">
        <f>IF(ISNUMBER(T3510),'자료_거시'!$D3492,"")</f>
        <v/>
      </c>
      <c r="V3510">
        <f>IF(ISNUMBER(U3510),IF(U3510&gt;$L$6,T3510,""),"")</f>
        <v/>
      </c>
      <c r="W3510">
        <f>IF(AND(ISNUMBER('자료_거시'!$G3492),ISNUMBER('자료_거시'!$H3492)),'자료_거시'!$H3492,"")</f>
        <v/>
      </c>
      <c r="X3510">
        <f>IF(ISNUMBER(W3510),'자료_거시'!$G3492,"")</f>
        <v/>
      </c>
      <c r="Y3510">
        <f>IF(ISNUMBER(X3510),IF(X3510&gt;$L$7,W3510,""),"")</f>
        <v/>
      </c>
      <c r="Z3510">
        <f>IF(ISNUMBER('자료_거시'!$K3492),'자료_거시'!$K3492,Z3509)</f>
        <v/>
      </c>
      <c r="AA3510">
        <f>IF(AND(ISNUMBER('자료_거시'!$J3492),ISNUMBER('자료_거시'!$K3492)),IFERROR('자료_거시'!$K3492/INDEX($Z$21:$Z$4020,MATCH(EDATE('자료_거시'!$J3492,-'설정'!$B$17),'자료_거시'!$J$3:INDEX('자료_거시'!$J$3:$J$4002,$K$8),1))-1,""),"")</f>
        <v/>
      </c>
      <c r="AB3510">
        <f>IF(ISNUMBER(AA3510),'자료_거시'!$J3492,"")</f>
        <v/>
      </c>
      <c r="AC3510">
        <f>IF(ISNUMBER(AB3510),IF(AB3510&gt;$L$8,AA3510,""),"")</f>
        <v/>
      </c>
    </row>
    <row r="3511">
      <c r="S3511">
        <f>IF(ISNUMBER('자료_거시'!$E3493),'자료_거시'!$E3493,S3510)</f>
        <v/>
      </c>
      <c r="T3511">
        <f>IF(AND(ISNUMBER('자료_거시'!$D3493),ISNUMBER('자료_거시'!$E3493)),IFERROR('자료_거시'!$E3493-INDEX($S$21:$S$4020,MATCH(EDATE('자료_거시'!$D3493,-'설정'!$B$17),'자료_거시'!$D$3:INDEX('자료_거시'!$D$3:$D$4002,$K$6),1)),""),"")</f>
        <v/>
      </c>
      <c r="U3511">
        <f>IF(ISNUMBER(T3511),'자료_거시'!$D3493,"")</f>
        <v/>
      </c>
      <c r="V3511">
        <f>IF(ISNUMBER(U3511),IF(U3511&gt;$L$6,T3511,""),"")</f>
        <v/>
      </c>
      <c r="W3511">
        <f>IF(AND(ISNUMBER('자료_거시'!$G3493),ISNUMBER('자료_거시'!$H3493)),'자료_거시'!$H3493,"")</f>
        <v/>
      </c>
      <c r="X3511">
        <f>IF(ISNUMBER(W3511),'자료_거시'!$G3493,"")</f>
        <v/>
      </c>
      <c r="Y3511">
        <f>IF(ISNUMBER(X3511),IF(X3511&gt;$L$7,W3511,""),"")</f>
        <v/>
      </c>
      <c r="Z3511">
        <f>IF(ISNUMBER('자료_거시'!$K3493),'자료_거시'!$K3493,Z3510)</f>
        <v/>
      </c>
      <c r="AA3511">
        <f>IF(AND(ISNUMBER('자료_거시'!$J3493),ISNUMBER('자료_거시'!$K3493)),IFERROR('자료_거시'!$K3493/INDEX($Z$21:$Z$4020,MATCH(EDATE('자료_거시'!$J3493,-'설정'!$B$17),'자료_거시'!$J$3:INDEX('자료_거시'!$J$3:$J$4002,$K$8),1))-1,""),"")</f>
        <v/>
      </c>
      <c r="AB3511">
        <f>IF(ISNUMBER(AA3511),'자료_거시'!$J3493,"")</f>
        <v/>
      </c>
      <c r="AC3511">
        <f>IF(ISNUMBER(AB3511),IF(AB3511&gt;$L$8,AA3511,""),"")</f>
        <v/>
      </c>
    </row>
    <row r="3512">
      <c r="S3512">
        <f>IF(ISNUMBER('자료_거시'!$E3494),'자료_거시'!$E3494,S3511)</f>
        <v/>
      </c>
      <c r="T3512">
        <f>IF(AND(ISNUMBER('자료_거시'!$D3494),ISNUMBER('자료_거시'!$E3494)),IFERROR('자료_거시'!$E3494-INDEX($S$21:$S$4020,MATCH(EDATE('자료_거시'!$D3494,-'설정'!$B$17),'자료_거시'!$D$3:INDEX('자료_거시'!$D$3:$D$4002,$K$6),1)),""),"")</f>
        <v/>
      </c>
      <c r="U3512">
        <f>IF(ISNUMBER(T3512),'자료_거시'!$D3494,"")</f>
        <v/>
      </c>
      <c r="V3512">
        <f>IF(ISNUMBER(U3512),IF(U3512&gt;$L$6,T3512,""),"")</f>
        <v/>
      </c>
      <c r="W3512">
        <f>IF(AND(ISNUMBER('자료_거시'!$G3494),ISNUMBER('자료_거시'!$H3494)),'자료_거시'!$H3494,"")</f>
        <v/>
      </c>
      <c r="X3512">
        <f>IF(ISNUMBER(W3512),'자료_거시'!$G3494,"")</f>
        <v/>
      </c>
      <c r="Y3512">
        <f>IF(ISNUMBER(X3512),IF(X3512&gt;$L$7,W3512,""),"")</f>
        <v/>
      </c>
      <c r="Z3512">
        <f>IF(ISNUMBER('자료_거시'!$K3494),'자료_거시'!$K3494,Z3511)</f>
        <v/>
      </c>
      <c r="AA3512">
        <f>IF(AND(ISNUMBER('자료_거시'!$J3494),ISNUMBER('자료_거시'!$K3494)),IFERROR('자료_거시'!$K3494/INDEX($Z$21:$Z$4020,MATCH(EDATE('자료_거시'!$J3494,-'설정'!$B$17),'자료_거시'!$J$3:INDEX('자료_거시'!$J$3:$J$4002,$K$8),1))-1,""),"")</f>
        <v/>
      </c>
      <c r="AB3512">
        <f>IF(ISNUMBER(AA3512),'자료_거시'!$J3494,"")</f>
        <v/>
      </c>
      <c r="AC3512">
        <f>IF(ISNUMBER(AB3512),IF(AB3512&gt;$L$8,AA3512,""),"")</f>
        <v/>
      </c>
    </row>
    <row r="3513">
      <c r="S3513">
        <f>IF(ISNUMBER('자료_거시'!$E3495),'자료_거시'!$E3495,S3512)</f>
        <v/>
      </c>
      <c r="T3513">
        <f>IF(AND(ISNUMBER('자료_거시'!$D3495),ISNUMBER('자료_거시'!$E3495)),IFERROR('자료_거시'!$E3495-INDEX($S$21:$S$4020,MATCH(EDATE('자료_거시'!$D3495,-'설정'!$B$17),'자료_거시'!$D$3:INDEX('자료_거시'!$D$3:$D$4002,$K$6),1)),""),"")</f>
        <v/>
      </c>
      <c r="U3513">
        <f>IF(ISNUMBER(T3513),'자료_거시'!$D3495,"")</f>
        <v/>
      </c>
      <c r="V3513">
        <f>IF(ISNUMBER(U3513),IF(U3513&gt;$L$6,T3513,""),"")</f>
        <v/>
      </c>
      <c r="W3513">
        <f>IF(AND(ISNUMBER('자료_거시'!$G3495),ISNUMBER('자료_거시'!$H3495)),'자료_거시'!$H3495,"")</f>
        <v/>
      </c>
      <c r="X3513">
        <f>IF(ISNUMBER(W3513),'자료_거시'!$G3495,"")</f>
        <v/>
      </c>
      <c r="Y3513">
        <f>IF(ISNUMBER(X3513),IF(X3513&gt;$L$7,W3513,""),"")</f>
        <v/>
      </c>
      <c r="Z3513">
        <f>IF(ISNUMBER('자료_거시'!$K3495),'자료_거시'!$K3495,Z3512)</f>
        <v/>
      </c>
      <c r="AA3513">
        <f>IF(AND(ISNUMBER('자료_거시'!$J3495),ISNUMBER('자료_거시'!$K3495)),IFERROR('자료_거시'!$K3495/INDEX($Z$21:$Z$4020,MATCH(EDATE('자료_거시'!$J3495,-'설정'!$B$17),'자료_거시'!$J$3:INDEX('자료_거시'!$J$3:$J$4002,$K$8),1))-1,""),"")</f>
        <v/>
      </c>
      <c r="AB3513">
        <f>IF(ISNUMBER(AA3513),'자료_거시'!$J3495,"")</f>
        <v/>
      </c>
      <c r="AC3513">
        <f>IF(ISNUMBER(AB3513),IF(AB3513&gt;$L$8,AA3513,""),"")</f>
        <v/>
      </c>
    </row>
    <row r="3514">
      <c r="S3514">
        <f>IF(ISNUMBER('자료_거시'!$E3496),'자료_거시'!$E3496,S3513)</f>
        <v/>
      </c>
      <c r="T3514">
        <f>IF(AND(ISNUMBER('자료_거시'!$D3496),ISNUMBER('자료_거시'!$E3496)),IFERROR('자료_거시'!$E3496-INDEX($S$21:$S$4020,MATCH(EDATE('자료_거시'!$D3496,-'설정'!$B$17),'자료_거시'!$D$3:INDEX('자료_거시'!$D$3:$D$4002,$K$6),1)),""),"")</f>
        <v/>
      </c>
      <c r="U3514">
        <f>IF(ISNUMBER(T3514),'자료_거시'!$D3496,"")</f>
        <v/>
      </c>
      <c r="V3514">
        <f>IF(ISNUMBER(U3514),IF(U3514&gt;$L$6,T3514,""),"")</f>
        <v/>
      </c>
      <c r="W3514">
        <f>IF(AND(ISNUMBER('자료_거시'!$G3496),ISNUMBER('자료_거시'!$H3496)),'자료_거시'!$H3496,"")</f>
        <v/>
      </c>
      <c r="X3514">
        <f>IF(ISNUMBER(W3514),'자료_거시'!$G3496,"")</f>
        <v/>
      </c>
      <c r="Y3514">
        <f>IF(ISNUMBER(X3514),IF(X3514&gt;$L$7,W3514,""),"")</f>
        <v/>
      </c>
      <c r="Z3514">
        <f>IF(ISNUMBER('자료_거시'!$K3496),'자료_거시'!$K3496,Z3513)</f>
        <v/>
      </c>
      <c r="AA3514">
        <f>IF(AND(ISNUMBER('자료_거시'!$J3496),ISNUMBER('자료_거시'!$K3496)),IFERROR('자료_거시'!$K3496/INDEX($Z$21:$Z$4020,MATCH(EDATE('자료_거시'!$J3496,-'설정'!$B$17),'자료_거시'!$J$3:INDEX('자료_거시'!$J$3:$J$4002,$K$8),1))-1,""),"")</f>
        <v/>
      </c>
      <c r="AB3514">
        <f>IF(ISNUMBER(AA3514),'자료_거시'!$J3496,"")</f>
        <v/>
      </c>
      <c r="AC3514">
        <f>IF(ISNUMBER(AB3514),IF(AB3514&gt;$L$8,AA3514,""),"")</f>
        <v/>
      </c>
    </row>
    <row r="3515">
      <c r="S3515">
        <f>IF(ISNUMBER('자료_거시'!$E3497),'자료_거시'!$E3497,S3514)</f>
        <v/>
      </c>
      <c r="T3515">
        <f>IF(AND(ISNUMBER('자료_거시'!$D3497),ISNUMBER('자료_거시'!$E3497)),IFERROR('자료_거시'!$E3497-INDEX($S$21:$S$4020,MATCH(EDATE('자료_거시'!$D3497,-'설정'!$B$17),'자료_거시'!$D$3:INDEX('자료_거시'!$D$3:$D$4002,$K$6),1)),""),"")</f>
        <v/>
      </c>
      <c r="U3515">
        <f>IF(ISNUMBER(T3515),'자료_거시'!$D3497,"")</f>
        <v/>
      </c>
      <c r="V3515">
        <f>IF(ISNUMBER(U3515),IF(U3515&gt;$L$6,T3515,""),"")</f>
        <v/>
      </c>
      <c r="W3515">
        <f>IF(AND(ISNUMBER('자료_거시'!$G3497),ISNUMBER('자료_거시'!$H3497)),'자료_거시'!$H3497,"")</f>
        <v/>
      </c>
      <c r="X3515">
        <f>IF(ISNUMBER(W3515),'자료_거시'!$G3497,"")</f>
        <v/>
      </c>
      <c r="Y3515">
        <f>IF(ISNUMBER(X3515),IF(X3515&gt;$L$7,W3515,""),"")</f>
        <v/>
      </c>
      <c r="Z3515">
        <f>IF(ISNUMBER('자료_거시'!$K3497),'자료_거시'!$K3497,Z3514)</f>
        <v/>
      </c>
      <c r="AA3515">
        <f>IF(AND(ISNUMBER('자료_거시'!$J3497),ISNUMBER('자료_거시'!$K3497)),IFERROR('자료_거시'!$K3497/INDEX($Z$21:$Z$4020,MATCH(EDATE('자료_거시'!$J3497,-'설정'!$B$17),'자료_거시'!$J$3:INDEX('자료_거시'!$J$3:$J$4002,$K$8),1))-1,""),"")</f>
        <v/>
      </c>
      <c r="AB3515">
        <f>IF(ISNUMBER(AA3515),'자료_거시'!$J3497,"")</f>
        <v/>
      </c>
      <c r="AC3515">
        <f>IF(ISNUMBER(AB3515),IF(AB3515&gt;$L$8,AA3515,""),"")</f>
        <v/>
      </c>
    </row>
    <row r="3516">
      <c r="S3516">
        <f>IF(ISNUMBER('자료_거시'!$E3498),'자료_거시'!$E3498,S3515)</f>
        <v/>
      </c>
      <c r="T3516">
        <f>IF(AND(ISNUMBER('자료_거시'!$D3498),ISNUMBER('자료_거시'!$E3498)),IFERROR('자료_거시'!$E3498-INDEX($S$21:$S$4020,MATCH(EDATE('자료_거시'!$D3498,-'설정'!$B$17),'자료_거시'!$D$3:INDEX('자료_거시'!$D$3:$D$4002,$K$6),1)),""),"")</f>
        <v/>
      </c>
      <c r="U3516">
        <f>IF(ISNUMBER(T3516),'자료_거시'!$D3498,"")</f>
        <v/>
      </c>
      <c r="V3516">
        <f>IF(ISNUMBER(U3516),IF(U3516&gt;$L$6,T3516,""),"")</f>
        <v/>
      </c>
      <c r="W3516">
        <f>IF(AND(ISNUMBER('자료_거시'!$G3498),ISNUMBER('자료_거시'!$H3498)),'자료_거시'!$H3498,"")</f>
        <v/>
      </c>
      <c r="X3516">
        <f>IF(ISNUMBER(W3516),'자료_거시'!$G3498,"")</f>
        <v/>
      </c>
      <c r="Y3516">
        <f>IF(ISNUMBER(X3516),IF(X3516&gt;$L$7,W3516,""),"")</f>
        <v/>
      </c>
      <c r="Z3516">
        <f>IF(ISNUMBER('자료_거시'!$K3498),'자료_거시'!$K3498,Z3515)</f>
        <v/>
      </c>
      <c r="AA3516">
        <f>IF(AND(ISNUMBER('자료_거시'!$J3498),ISNUMBER('자료_거시'!$K3498)),IFERROR('자료_거시'!$K3498/INDEX($Z$21:$Z$4020,MATCH(EDATE('자료_거시'!$J3498,-'설정'!$B$17),'자료_거시'!$J$3:INDEX('자료_거시'!$J$3:$J$4002,$K$8),1))-1,""),"")</f>
        <v/>
      </c>
      <c r="AB3516">
        <f>IF(ISNUMBER(AA3516),'자료_거시'!$J3498,"")</f>
        <v/>
      </c>
      <c r="AC3516">
        <f>IF(ISNUMBER(AB3516),IF(AB3516&gt;$L$8,AA3516,""),"")</f>
        <v/>
      </c>
    </row>
    <row r="3517">
      <c r="S3517">
        <f>IF(ISNUMBER('자료_거시'!$E3499),'자료_거시'!$E3499,S3516)</f>
        <v/>
      </c>
      <c r="T3517">
        <f>IF(AND(ISNUMBER('자료_거시'!$D3499),ISNUMBER('자료_거시'!$E3499)),IFERROR('자료_거시'!$E3499-INDEX($S$21:$S$4020,MATCH(EDATE('자료_거시'!$D3499,-'설정'!$B$17),'자료_거시'!$D$3:INDEX('자료_거시'!$D$3:$D$4002,$K$6),1)),""),"")</f>
        <v/>
      </c>
      <c r="U3517">
        <f>IF(ISNUMBER(T3517),'자료_거시'!$D3499,"")</f>
        <v/>
      </c>
      <c r="V3517">
        <f>IF(ISNUMBER(U3517),IF(U3517&gt;$L$6,T3517,""),"")</f>
        <v/>
      </c>
      <c r="W3517">
        <f>IF(AND(ISNUMBER('자료_거시'!$G3499),ISNUMBER('자료_거시'!$H3499)),'자료_거시'!$H3499,"")</f>
        <v/>
      </c>
      <c r="X3517">
        <f>IF(ISNUMBER(W3517),'자료_거시'!$G3499,"")</f>
        <v/>
      </c>
      <c r="Y3517">
        <f>IF(ISNUMBER(X3517),IF(X3517&gt;$L$7,W3517,""),"")</f>
        <v/>
      </c>
      <c r="Z3517">
        <f>IF(ISNUMBER('자료_거시'!$K3499),'자료_거시'!$K3499,Z3516)</f>
        <v/>
      </c>
      <c r="AA3517">
        <f>IF(AND(ISNUMBER('자료_거시'!$J3499),ISNUMBER('자료_거시'!$K3499)),IFERROR('자료_거시'!$K3499/INDEX($Z$21:$Z$4020,MATCH(EDATE('자료_거시'!$J3499,-'설정'!$B$17),'자료_거시'!$J$3:INDEX('자료_거시'!$J$3:$J$4002,$K$8),1))-1,""),"")</f>
        <v/>
      </c>
      <c r="AB3517">
        <f>IF(ISNUMBER(AA3517),'자료_거시'!$J3499,"")</f>
        <v/>
      </c>
      <c r="AC3517">
        <f>IF(ISNUMBER(AB3517),IF(AB3517&gt;$L$8,AA3517,""),"")</f>
        <v/>
      </c>
    </row>
    <row r="3518">
      <c r="S3518">
        <f>IF(ISNUMBER('자료_거시'!$E3500),'자료_거시'!$E3500,S3517)</f>
        <v/>
      </c>
      <c r="T3518">
        <f>IF(AND(ISNUMBER('자료_거시'!$D3500),ISNUMBER('자료_거시'!$E3500)),IFERROR('자료_거시'!$E3500-INDEX($S$21:$S$4020,MATCH(EDATE('자료_거시'!$D3500,-'설정'!$B$17),'자료_거시'!$D$3:INDEX('자료_거시'!$D$3:$D$4002,$K$6),1)),""),"")</f>
        <v/>
      </c>
      <c r="U3518">
        <f>IF(ISNUMBER(T3518),'자료_거시'!$D3500,"")</f>
        <v/>
      </c>
      <c r="V3518">
        <f>IF(ISNUMBER(U3518),IF(U3518&gt;$L$6,T3518,""),"")</f>
        <v/>
      </c>
      <c r="W3518">
        <f>IF(AND(ISNUMBER('자료_거시'!$G3500),ISNUMBER('자료_거시'!$H3500)),'자료_거시'!$H3500,"")</f>
        <v/>
      </c>
      <c r="X3518">
        <f>IF(ISNUMBER(W3518),'자료_거시'!$G3500,"")</f>
        <v/>
      </c>
      <c r="Y3518">
        <f>IF(ISNUMBER(X3518),IF(X3518&gt;$L$7,W3518,""),"")</f>
        <v/>
      </c>
      <c r="Z3518">
        <f>IF(ISNUMBER('자료_거시'!$K3500),'자료_거시'!$K3500,Z3517)</f>
        <v/>
      </c>
      <c r="AA3518">
        <f>IF(AND(ISNUMBER('자료_거시'!$J3500),ISNUMBER('자료_거시'!$K3500)),IFERROR('자료_거시'!$K3500/INDEX($Z$21:$Z$4020,MATCH(EDATE('자료_거시'!$J3500,-'설정'!$B$17),'자료_거시'!$J$3:INDEX('자료_거시'!$J$3:$J$4002,$K$8),1))-1,""),"")</f>
        <v/>
      </c>
      <c r="AB3518">
        <f>IF(ISNUMBER(AA3518),'자료_거시'!$J3500,"")</f>
        <v/>
      </c>
      <c r="AC3518">
        <f>IF(ISNUMBER(AB3518),IF(AB3518&gt;$L$8,AA3518,""),"")</f>
        <v/>
      </c>
    </row>
    <row r="3519">
      <c r="S3519">
        <f>IF(ISNUMBER('자료_거시'!$E3501),'자료_거시'!$E3501,S3518)</f>
        <v/>
      </c>
      <c r="T3519">
        <f>IF(AND(ISNUMBER('자료_거시'!$D3501),ISNUMBER('자료_거시'!$E3501)),IFERROR('자료_거시'!$E3501-INDEX($S$21:$S$4020,MATCH(EDATE('자료_거시'!$D3501,-'설정'!$B$17),'자료_거시'!$D$3:INDEX('자료_거시'!$D$3:$D$4002,$K$6),1)),""),"")</f>
        <v/>
      </c>
      <c r="U3519">
        <f>IF(ISNUMBER(T3519),'자료_거시'!$D3501,"")</f>
        <v/>
      </c>
      <c r="V3519">
        <f>IF(ISNUMBER(U3519),IF(U3519&gt;$L$6,T3519,""),"")</f>
        <v/>
      </c>
      <c r="W3519">
        <f>IF(AND(ISNUMBER('자료_거시'!$G3501),ISNUMBER('자료_거시'!$H3501)),'자료_거시'!$H3501,"")</f>
        <v/>
      </c>
      <c r="X3519">
        <f>IF(ISNUMBER(W3519),'자료_거시'!$G3501,"")</f>
        <v/>
      </c>
      <c r="Y3519">
        <f>IF(ISNUMBER(X3519),IF(X3519&gt;$L$7,W3519,""),"")</f>
        <v/>
      </c>
      <c r="Z3519">
        <f>IF(ISNUMBER('자료_거시'!$K3501),'자료_거시'!$K3501,Z3518)</f>
        <v/>
      </c>
      <c r="AA3519">
        <f>IF(AND(ISNUMBER('자료_거시'!$J3501),ISNUMBER('자료_거시'!$K3501)),IFERROR('자료_거시'!$K3501/INDEX($Z$21:$Z$4020,MATCH(EDATE('자료_거시'!$J3501,-'설정'!$B$17),'자료_거시'!$J$3:INDEX('자료_거시'!$J$3:$J$4002,$K$8),1))-1,""),"")</f>
        <v/>
      </c>
      <c r="AB3519">
        <f>IF(ISNUMBER(AA3519),'자료_거시'!$J3501,"")</f>
        <v/>
      </c>
      <c r="AC3519">
        <f>IF(ISNUMBER(AB3519),IF(AB3519&gt;$L$8,AA3519,""),"")</f>
        <v/>
      </c>
    </row>
    <row r="3520">
      <c r="S3520">
        <f>IF(ISNUMBER('자료_거시'!$E3502),'자료_거시'!$E3502,S3519)</f>
        <v/>
      </c>
      <c r="T3520">
        <f>IF(AND(ISNUMBER('자료_거시'!$D3502),ISNUMBER('자료_거시'!$E3502)),IFERROR('자료_거시'!$E3502-INDEX($S$21:$S$4020,MATCH(EDATE('자료_거시'!$D3502,-'설정'!$B$17),'자료_거시'!$D$3:INDEX('자료_거시'!$D$3:$D$4002,$K$6),1)),""),"")</f>
        <v/>
      </c>
      <c r="U3520">
        <f>IF(ISNUMBER(T3520),'자료_거시'!$D3502,"")</f>
        <v/>
      </c>
      <c r="V3520">
        <f>IF(ISNUMBER(U3520),IF(U3520&gt;$L$6,T3520,""),"")</f>
        <v/>
      </c>
      <c r="W3520">
        <f>IF(AND(ISNUMBER('자료_거시'!$G3502),ISNUMBER('자료_거시'!$H3502)),'자료_거시'!$H3502,"")</f>
        <v/>
      </c>
      <c r="X3520">
        <f>IF(ISNUMBER(W3520),'자료_거시'!$G3502,"")</f>
        <v/>
      </c>
      <c r="Y3520">
        <f>IF(ISNUMBER(X3520),IF(X3520&gt;$L$7,W3520,""),"")</f>
        <v/>
      </c>
      <c r="Z3520">
        <f>IF(ISNUMBER('자료_거시'!$K3502),'자료_거시'!$K3502,Z3519)</f>
        <v/>
      </c>
      <c r="AA3520">
        <f>IF(AND(ISNUMBER('자료_거시'!$J3502),ISNUMBER('자료_거시'!$K3502)),IFERROR('자료_거시'!$K3502/INDEX($Z$21:$Z$4020,MATCH(EDATE('자료_거시'!$J3502,-'설정'!$B$17),'자료_거시'!$J$3:INDEX('자료_거시'!$J$3:$J$4002,$K$8),1))-1,""),"")</f>
        <v/>
      </c>
      <c r="AB3520">
        <f>IF(ISNUMBER(AA3520),'자료_거시'!$J3502,"")</f>
        <v/>
      </c>
      <c r="AC3520">
        <f>IF(ISNUMBER(AB3520),IF(AB3520&gt;$L$8,AA3520,""),"")</f>
        <v/>
      </c>
    </row>
    <row r="3521">
      <c r="S3521">
        <f>IF(ISNUMBER('자료_거시'!$E3503),'자료_거시'!$E3503,S3520)</f>
        <v/>
      </c>
      <c r="T3521">
        <f>IF(AND(ISNUMBER('자료_거시'!$D3503),ISNUMBER('자료_거시'!$E3503)),IFERROR('자료_거시'!$E3503-INDEX($S$21:$S$4020,MATCH(EDATE('자료_거시'!$D3503,-'설정'!$B$17),'자료_거시'!$D$3:INDEX('자료_거시'!$D$3:$D$4002,$K$6),1)),""),"")</f>
        <v/>
      </c>
      <c r="U3521">
        <f>IF(ISNUMBER(T3521),'자료_거시'!$D3503,"")</f>
        <v/>
      </c>
      <c r="V3521">
        <f>IF(ISNUMBER(U3521),IF(U3521&gt;$L$6,T3521,""),"")</f>
        <v/>
      </c>
      <c r="W3521">
        <f>IF(AND(ISNUMBER('자료_거시'!$G3503),ISNUMBER('자료_거시'!$H3503)),'자료_거시'!$H3503,"")</f>
        <v/>
      </c>
      <c r="X3521">
        <f>IF(ISNUMBER(W3521),'자료_거시'!$G3503,"")</f>
        <v/>
      </c>
      <c r="Y3521">
        <f>IF(ISNUMBER(X3521),IF(X3521&gt;$L$7,W3521,""),"")</f>
        <v/>
      </c>
      <c r="Z3521">
        <f>IF(ISNUMBER('자료_거시'!$K3503),'자료_거시'!$K3503,Z3520)</f>
        <v/>
      </c>
      <c r="AA3521">
        <f>IF(AND(ISNUMBER('자료_거시'!$J3503),ISNUMBER('자료_거시'!$K3503)),IFERROR('자료_거시'!$K3503/INDEX($Z$21:$Z$4020,MATCH(EDATE('자료_거시'!$J3503,-'설정'!$B$17),'자료_거시'!$J$3:INDEX('자료_거시'!$J$3:$J$4002,$K$8),1))-1,""),"")</f>
        <v/>
      </c>
      <c r="AB3521">
        <f>IF(ISNUMBER(AA3521),'자료_거시'!$J3503,"")</f>
        <v/>
      </c>
      <c r="AC3521">
        <f>IF(ISNUMBER(AB3521),IF(AB3521&gt;$L$8,AA3521,""),"")</f>
        <v/>
      </c>
    </row>
    <row r="3522">
      <c r="S3522">
        <f>IF(ISNUMBER('자료_거시'!$E3504),'자료_거시'!$E3504,S3521)</f>
        <v/>
      </c>
      <c r="T3522">
        <f>IF(AND(ISNUMBER('자료_거시'!$D3504),ISNUMBER('자료_거시'!$E3504)),IFERROR('자료_거시'!$E3504-INDEX($S$21:$S$4020,MATCH(EDATE('자료_거시'!$D3504,-'설정'!$B$17),'자료_거시'!$D$3:INDEX('자료_거시'!$D$3:$D$4002,$K$6),1)),""),"")</f>
        <v/>
      </c>
      <c r="U3522">
        <f>IF(ISNUMBER(T3522),'자료_거시'!$D3504,"")</f>
        <v/>
      </c>
      <c r="V3522">
        <f>IF(ISNUMBER(U3522),IF(U3522&gt;$L$6,T3522,""),"")</f>
        <v/>
      </c>
      <c r="W3522">
        <f>IF(AND(ISNUMBER('자료_거시'!$G3504),ISNUMBER('자료_거시'!$H3504)),'자료_거시'!$H3504,"")</f>
        <v/>
      </c>
      <c r="X3522">
        <f>IF(ISNUMBER(W3522),'자료_거시'!$G3504,"")</f>
        <v/>
      </c>
      <c r="Y3522">
        <f>IF(ISNUMBER(X3522),IF(X3522&gt;$L$7,W3522,""),"")</f>
        <v/>
      </c>
      <c r="Z3522">
        <f>IF(ISNUMBER('자료_거시'!$K3504),'자료_거시'!$K3504,Z3521)</f>
        <v/>
      </c>
      <c r="AA3522">
        <f>IF(AND(ISNUMBER('자료_거시'!$J3504),ISNUMBER('자료_거시'!$K3504)),IFERROR('자료_거시'!$K3504/INDEX($Z$21:$Z$4020,MATCH(EDATE('자료_거시'!$J3504,-'설정'!$B$17),'자료_거시'!$J$3:INDEX('자료_거시'!$J$3:$J$4002,$K$8),1))-1,""),"")</f>
        <v/>
      </c>
      <c r="AB3522">
        <f>IF(ISNUMBER(AA3522),'자료_거시'!$J3504,"")</f>
        <v/>
      </c>
      <c r="AC3522">
        <f>IF(ISNUMBER(AB3522),IF(AB3522&gt;$L$8,AA3522,""),"")</f>
        <v/>
      </c>
    </row>
    <row r="3523">
      <c r="S3523">
        <f>IF(ISNUMBER('자료_거시'!$E3505),'자료_거시'!$E3505,S3522)</f>
        <v/>
      </c>
      <c r="T3523">
        <f>IF(AND(ISNUMBER('자료_거시'!$D3505),ISNUMBER('자료_거시'!$E3505)),IFERROR('자료_거시'!$E3505-INDEX($S$21:$S$4020,MATCH(EDATE('자료_거시'!$D3505,-'설정'!$B$17),'자료_거시'!$D$3:INDEX('자료_거시'!$D$3:$D$4002,$K$6),1)),""),"")</f>
        <v/>
      </c>
      <c r="U3523">
        <f>IF(ISNUMBER(T3523),'자료_거시'!$D3505,"")</f>
        <v/>
      </c>
      <c r="V3523">
        <f>IF(ISNUMBER(U3523),IF(U3523&gt;$L$6,T3523,""),"")</f>
        <v/>
      </c>
      <c r="W3523">
        <f>IF(AND(ISNUMBER('자료_거시'!$G3505),ISNUMBER('자료_거시'!$H3505)),'자료_거시'!$H3505,"")</f>
        <v/>
      </c>
      <c r="X3523">
        <f>IF(ISNUMBER(W3523),'자료_거시'!$G3505,"")</f>
        <v/>
      </c>
      <c r="Y3523">
        <f>IF(ISNUMBER(X3523),IF(X3523&gt;$L$7,W3523,""),"")</f>
        <v/>
      </c>
      <c r="Z3523">
        <f>IF(ISNUMBER('자료_거시'!$K3505),'자료_거시'!$K3505,Z3522)</f>
        <v/>
      </c>
      <c r="AA3523">
        <f>IF(AND(ISNUMBER('자료_거시'!$J3505),ISNUMBER('자료_거시'!$K3505)),IFERROR('자료_거시'!$K3505/INDEX($Z$21:$Z$4020,MATCH(EDATE('자료_거시'!$J3505,-'설정'!$B$17),'자료_거시'!$J$3:INDEX('자료_거시'!$J$3:$J$4002,$K$8),1))-1,""),"")</f>
        <v/>
      </c>
      <c r="AB3523">
        <f>IF(ISNUMBER(AA3523),'자료_거시'!$J3505,"")</f>
        <v/>
      </c>
      <c r="AC3523">
        <f>IF(ISNUMBER(AB3523),IF(AB3523&gt;$L$8,AA3523,""),"")</f>
        <v/>
      </c>
    </row>
    <row r="3524">
      <c r="S3524">
        <f>IF(ISNUMBER('자료_거시'!$E3506),'자료_거시'!$E3506,S3523)</f>
        <v/>
      </c>
      <c r="T3524">
        <f>IF(AND(ISNUMBER('자료_거시'!$D3506),ISNUMBER('자료_거시'!$E3506)),IFERROR('자료_거시'!$E3506-INDEX($S$21:$S$4020,MATCH(EDATE('자료_거시'!$D3506,-'설정'!$B$17),'자료_거시'!$D$3:INDEX('자료_거시'!$D$3:$D$4002,$K$6),1)),""),"")</f>
        <v/>
      </c>
      <c r="U3524">
        <f>IF(ISNUMBER(T3524),'자료_거시'!$D3506,"")</f>
        <v/>
      </c>
      <c r="V3524">
        <f>IF(ISNUMBER(U3524),IF(U3524&gt;$L$6,T3524,""),"")</f>
        <v/>
      </c>
      <c r="W3524">
        <f>IF(AND(ISNUMBER('자료_거시'!$G3506),ISNUMBER('자료_거시'!$H3506)),'자료_거시'!$H3506,"")</f>
        <v/>
      </c>
      <c r="X3524">
        <f>IF(ISNUMBER(W3524),'자료_거시'!$G3506,"")</f>
        <v/>
      </c>
      <c r="Y3524">
        <f>IF(ISNUMBER(X3524),IF(X3524&gt;$L$7,W3524,""),"")</f>
        <v/>
      </c>
      <c r="Z3524">
        <f>IF(ISNUMBER('자료_거시'!$K3506),'자료_거시'!$K3506,Z3523)</f>
        <v/>
      </c>
      <c r="AA3524">
        <f>IF(AND(ISNUMBER('자료_거시'!$J3506),ISNUMBER('자료_거시'!$K3506)),IFERROR('자료_거시'!$K3506/INDEX($Z$21:$Z$4020,MATCH(EDATE('자료_거시'!$J3506,-'설정'!$B$17),'자료_거시'!$J$3:INDEX('자료_거시'!$J$3:$J$4002,$K$8),1))-1,""),"")</f>
        <v/>
      </c>
      <c r="AB3524">
        <f>IF(ISNUMBER(AA3524),'자료_거시'!$J3506,"")</f>
        <v/>
      </c>
      <c r="AC3524">
        <f>IF(ISNUMBER(AB3524),IF(AB3524&gt;$L$8,AA3524,""),"")</f>
        <v/>
      </c>
    </row>
    <row r="3525">
      <c r="S3525">
        <f>IF(ISNUMBER('자료_거시'!$E3507),'자료_거시'!$E3507,S3524)</f>
        <v/>
      </c>
      <c r="T3525">
        <f>IF(AND(ISNUMBER('자료_거시'!$D3507),ISNUMBER('자료_거시'!$E3507)),IFERROR('자료_거시'!$E3507-INDEX($S$21:$S$4020,MATCH(EDATE('자료_거시'!$D3507,-'설정'!$B$17),'자료_거시'!$D$3:INDEX('자료_거시'!$D$3:$D$4002,$K$6),1)),""),"")</f>
        <v/>
      </c>
      <c r="U3525">
        <f>IF(ISNUMBER(T3525),'자료_거시'!$D3507,"")</f>
        <v/>
      </c>
      <c r="V3525">
        <f>IF(ISNUMBER(U3525),IF(U3525&gt;$L$6,T3525,""),"")</f>
        <v/>
      </c>
      <c r="W3525">
        <f>IF(AND(ISNUMBER('자료_거시'!$G3507),ISNUMBER('자료_거시'!$H3507)),'자료_거시'!$H3507,"")</f>
        <v/>
      </c>
      <c r="X3525">
        <f>IF(ISNUMBER(W3525),'자료_거시'!$G3507,"")</f>
        <v/>
      </c>
      <c r="Y3525">
        <f>IF(ISNUMBER(X3525),IF(X3525&gt;$L$7,W3525,""),"")</f>
        <v/>
      </c>
      <c r="Z3525">
        <f>IF(ISNUMBER('자료_거시'!$K3507),'자료_거시'!$K3507,Z3524)</f>
        <v/>
      </c>
      <c r="AA3525">
        <f>IF(AND(ISNUMBER('자료_거시'!$J3507),ISNUMBER('자료_거시'!$K3507)),IFERROR('자료_거시'!$K3507/INDEX($Z$21:$Z$4020,MATCH(EDATE('자료_거시'!$J3507,-'설정'!$B$17),'자료_거시'!$J$3:INDEX('자료_거시'!$J$3:$J$4002,$K$8),1))-1,""),"")</f>
        <v/>
      </c>
      <c r="AB3525">
        <f>IF(ISNUMBER(AA3525),'자료_거시'!$J3507,"")</f>
        <v/>
      </c>
      <c r="AC3525">
        <f>IF(ISNUMBER(AB3525),IF(AB3525&gt;$L$8,AA3525,""),"")</f>
        <v/>
      </c>
    </row>
    <row r="3526">
      <c r="S3526">
        <f>IF(ISNUMBER('자료_거시'!$E3508),'자료_거시'!$E3508,S3525)</f>
        <v/>
      </c>
      <c r="T3526">
        <f>IF(AND(ISNUMBER('자료_거시'!$D3508),ISNUMBER('자료_거시'!$E3508)),IFERROR('자료_거시'!$E3508-INDEX($S$21:$S$4020,MATCH(EDATE('자료_거시'!$D3508,-'설정'!$B$17),'자료_거시'!$D$3:INDEX('자료_거시'!$D$3:$D$4002,$K$6),1)),""),"")</f>
        <v/>
      </c>
      <c r="U3526">
        <f>IF(ISNUMBER(T3526),'자료_거시'!$D3508,"")</f>
        <v/>
      </c>
      <c r="V3526">
        <f>IF(ISNUMBER(U3526),IF(U3526&gt;$L$6,T3526,""),"")</f>
        <v/>
      </c>
      <c r="W3526">
        <f>IF(AND(ISNUMBER('자료_거시'!$G3508),ISNUMBER('자료_거시'!$H3508)),'자료_거시'!$H3508,"")</f>
        <v/>
      </c>
      <c r="X3526">
        <f>IF(ISNUMBER(W3526),'자료_거시'!$G3508,"")</f>
        <v/>
      </c>
      <c r="Y3526">
        <f>IF(ISNUMBER(X3526),IF(X3526&gt;$L$7,W3526,""),"")</f>
        <v/>
      </c>
      <c r="Z3526">
        <f>IF(ISNUMBER('자료_거시'!$K3508),'자료_거시'!$K3508,Z3525)</f>
        <v/>
      </c>
      <c r="AA3526">
        <f>IF(AND(ISNUMBER('자료_거시'!$J3508),ISNUMBER('자료_거시'!$K3508)),IFERROR('자료_거시'!$K3508/INDEX($Z$21:$Z$4020,MATCH(EDATE('자료_거시'!$J3508,-'설정'!$B$17),'자료_거시'!$J$3:INDEX('자료_거시'!$J$3:$J$4002,$K$8),1))-1,""),"")</f>
        <v/>
      </c>
      <c r="AB3526">
        <f>IF(ISNUMBER(AA3526),'자료_거시'!$J3508,"")</f>
        <v/>
      </c>
      <c r="AC3526">
        <f>IF(ISNUMBER(AB3526),IF(AB3526&gt;$L$8,AA3526,""),"")</f>
        <v/>
      </c>
    </row>
    <row r="3527">
      <c r="S3527">
        <f>IF(ISNUMBER('자료_거시'!$E3509),'자료_거시'!$E3509,S3526)</f>
        <v/>
      </c>
      <c r="T3527">
        <f>IF(AND(ISNUMBER('자료_거시'!$D3509),ISNUMBER('자료_거시'!$E3509)),IFERROR('자료_거시'!$E3509-INDEX($S$21:$S$4020,MATCH(EDATE('자료_거시'!$D3509,-'설정'!$B$17),'자료_거시'!$D$3:INDEX('자료_거시'!$D$3:$D$4002,$K$6),1)),""),"")</f>
        <v/>
      </c>
      <c r="U3527">
        <f>IF(ISNUMBER(T3527),'자료_거시'!$D3509,"")</f>
        <v/>
      </c>
      <c r="V3527">
        <f>IF(ISNUMBER(U3527),IF(U3527&gt;$L$6,T3527,""),"")</f>
        <v/>
      </c>
      <c r="W3527">
        <f>IF(AND(ISNUMBER('자료_거시'!$G3509),ISNUMBER('자료_거시'!$H3509)),'자료_거시'!$H3509,"")</f>
        <v/>
      </c>
      <c r="X3527">
        <f>IF(ISNUMBER(W3527),'자료_거시'!$G3509,"")</f>
        <v/>
      </c>
      <c r="Y3527">
        <f>IF(ISNUMBER(X3527),IF(X3527&gt;$L$7,W3527,""),"")</f>
        <v/>
      </c>
      <c r="Z3527">
        <f>IF(ISNUMBER('자료_거시'!$K3509),'자료_거시'!$K3509,Z3526)</f>
        <v/>
      </c>
      <c r="AA3527">
        <f>IF(AND(ISNUMBER('자료_거시'!$J3509),ISNUMBER('자료_거시'!$K3509)),IFERROR('자료_거시'!$K3509/INDEX($Z$21:$Z$4020,MATCH(EDATE('자료_거시'!$J3509,-'설정'!$B$17),'자료_거시'!$J$3:INDEX('자료_거시'!$J$3:$J$4002,$K$8),1))-1,""),"")</f>
        <v/>
      </c>
      <c r="AB3527">
        <f>IF(ISNUMBER(AA3527),'자료_거시'!$J3509,"")</f>
        <v/>
      </c>
      <c r="AC3527">
        <f>IF(ISNUMBER(AB3527),IF(AB3527&gt;$L$8,AA3527,""),"")</f>
        <v/>
      </c>
    </row>
    <row r="3528">
      <c r="S3528">
        <f>IF(ISNUMBER('자료_거시'!$E3510),'자료_거시'!$E3510,S3527)</f>
        <v/>
      </c>
      <c r="T3528">
        <f>IF(AND(ISNUMBER('자료_거시'!$D3510),ISNUMBER('자료_거시'!$E3510)),IFERROR('자료_거시'!$E3510-INDEX($S$21:$S$4020,MATCH(EDATE('자료_거시'!$D3510,-'설정'!$B$17),'자료_거시'!$D$3:INDEX('자료_거시'!$D$3:$D$4002,$K$6),1)),""),"")</f>
        <v/>
      </c>
      <c r="U3528">
        <f>IF(ISNUMBER(T3528),'자료_거시'!$D3510,"")</f>
        <v/>
      </c>
      <c r="V3528">
        <f>IF(ISNUMBER(U3528),IF(U3528&gt;$L$6,T3528,""),"")</f>
        <v/>
      </c>
      <c r="W3528">
        <f>IF(AND(ISNUMBER('자료_거시'!$G3510),ISNUMBER('자료_거시'!$H3510)),'자료_거시'!$H3510,"")</f>
        <v/>
      </c>
      <c r="X3528">
        <f>IF(ISNUMBER(W3528),'자료_거시'!$G3510,"")</f>
        <v/>
      </c>
      <c r="Y3528">
        <f>IF(ISNUMBER(X3528),IF(X3528&gt;$L$7,W3528,""),"")</f>
        <v/>
      </c>
      <c r="Z3528">
        <f>IF(ISNUMBER('자료_거시'!$K3510),'자료_거시'!$K3510,Z3527)</f>
        <v/>
      </c>
      <c r="AA3528">
        <f>IF(AND(ISNUMBER('자료_거시'!$J3510),ISNUMBER('자료_거시'!$K3510)),IFERROR('자료_거시'!$K3510/INDEX($Z$21:$Z$4020,MATCH(EDATE('자료_거시'!$J3510,-'설정'!$B$17),'자료_거시'!$J$3:INDEX('자료_거시'!$J$3:$J$4002,$K$8),1))-1,""),"")</f>
        <v/>
      </c>
      <c r="AB3528">
        <f>IF(ISNUMBER(AA3528),'자료_거시'!$J3510,"")</f>
        <v/>
      </c>
      <c r="AC3528">
        <f>IF(ISNUMBER(AB3528),IF(AB3528&gt;$L$8,AA3528,""),"")</f>
        <v/>
      </c>
    </row>
    <row r="3529">
      <c r="S3529">
        <f>IF(ISNUMBER('자료_거시'!$E3511),'자료_거시'!$E3511,S3528)</f>
        <v/>
      </c>
      <c r="T3529">
        <f>IF(AND(ISNUMBER('자료_거시'!$D3511),ISNUMBER('자료_거시'!$E3511)),IFERROR('자료_거시'!$E3511-INDEX($S$21:$S$4020,MATCH(EDATE('자료_거시'!$D3511,-'설정'!$B$17),'자료_거시'!$D$3:INDEX('자료_거시'!$D$3:$D$4002,$K$6),1)),""),"")</f>
        <v/>
      </c>
      <c r="U3529">
        <f>IF(ISNUMBER(T3529),'자료_거시'!$D3511,"")</f>
        <v/>
      </c>
      <c r="V3529">
        <f>IF(ISNUMBER(U3529),IF(U3529&gt;$L$6,T3529,""),"")</f>
        <v/>
      </c>
      <c r="W3529">
        <f>IF(AND(ISNUMBER('자료_거시'!$G3511),ISNUMBER('자료_거시'!$H3511)),'자료_거시'!$H3511,"")</f>
        <v/>
      </c>
      <c r="X3529">
        <f>IF(ISNUMBER(W3529),'자료_거시'!$G3511,"")</f>
        <v/>
      </c>
      <c r="Y3529">
        <f>IF(ISNUMBER(X3529),IF(X3529&gt;$L$7,W3529,""),"")</f>
        <v/>
      </c>
      <c r="Z3529">
        <f>IF(ISNUMBER('자료_거시'!$K3511),'자료_거시'!$K3511,Z3528)</f>
        <v/>
      </c>
      <c r="AA3529">
        <f>IF(AND(ISNUMBER('자료_거시'!$J3511),ISNUMBER('자료_거시'!$K3511)),IFERROR('자료_거시'!$K3511/INDEX($Z$21:$Z$4020,MATCH(EDATE('자료_거시'!$J3511,-'설정'!$B$17),'자료_거시'!$J$3:INDEX('자료_거시'!$J$3:$J$4002,$K$8),1))-1,""),"")</f>
        <v/>
      </c>
      <c r="AB3529">
        <f>IF(ISNUMBER(AA3529),'자료_거시'!$J3511,"")</f>
        <v/>
      </c>
      <c r="AC3529">
        <f>IF(ISNUMBER(AB3529),IF(AB3529&gt;$L$8,AA3529,""),"")</f>
        <v/>
      </c>
    </row>
    <row r="3530">
      <c r="S3530">
        <f>IF(ISNUMBER('자료_거시'!$E3512),'자료_거시'!$E3512,S3529)</f>
        <v/>
      </c>
      <c r="T3530">
        <f>IF(AND(ISNUMBER('자료_거시'!$D3512),ISNUMBER('자료_거시'!$E3512)),IFERROR('자료_거시'!$E3512-INDEX($S$21:$S$4020,MATCH(EDATE('자료_거시'!$D3512,-'설정'!$B$17),'자료_거시'!$D$3:INDEX('자료_거시'!$D$3:$D$4002,$K$6),1)),""),"")</f>
        <v/>
      </c>
      <c r="U3530">
        <f>IF(ISNUMBER(T3530),'자료_거시'!$D3512,"")</f>
        <v/>
      </c>
      <c r="V3530">
        <f>IF(ISNUMBER(U3530),IF(U3530&gt;$L$6,T3530,""),"")</f>
        <v/>
      </c>
      <c r="W3530">
        <f>IF(AND(ISNUMBER('자료_거시'!$G3512),ISNUMBER('자료_거시'!$H3512)),'자료_거시'!$H3512,"")</f>
        <v/>
      </c>
      <c r="X3530">
        <f>IF(ISNUMBER(W3530),'자료_거시'!$G3512,"")</f>
        <v/>
      </c>
      <c r="Y3530">
        <f>IF(ISNUMBER(X3530),IF(X3530&gt;$L$7,W3530,""),"")</f>
        <v/>
      </c>
      <c r="Z3530">
        <f>IF(ISNUMBER('자료_거시'!$K3512),'자료_거시'!$K3512,Z3529)</f>
        <v/>
      </c>
      <c r="AA3530">
        <f>IF(AND(ISNUMBER('자료_거시'!$J3512),ISNUMBER('자료_거시'!$K3512)),IFERROR('자료_거시'!$K3512/INDEX($Z$21:$Z$4020,MATCH(EDATE('자료_거시'!$J3512,-'설정'!$B$17),'자료_거시'!$J$3:INDEX('자료_거시'!$J$3:$J$4002,$K$8),1))-1,""),"")</f>
        <v/>
      </c>
      <c r="AB3530">
        <f>IF(ISNUMBER(AA3530),'자료_거시'!$J3512,"")</f>
        <v/>
      </c>
      <c r="AC3530">
        <f>IF(ISNUMBER(AB3530),IF(AB3530&gt;$L$8,AA3530,""),"")</f>
        <v/>
      </c>
    </row>
    <row r="3531">
      <c r="S3531">
        <f>IF(ISNUMBER('자료_거시'!$E3513),'자료_거시'!$E3513,S3530)</f>
        <v/>
      </c>
      <c r="T3531">
        <f>IF(AND(ISNUMBER('자료_거시'!$D3513),ISNUMBER('자료_거시'!$E3513)),IFERROR('자료_거시'!$E3513-INDEX($S$21:$S$4020,MATCH(EDATE('자료_거시'!$D3513,-'설정'!$B$17),'자료_거시'!$D$3:INDEX('자료_거시'!$D$3:$D$4002,$K$6),1)),""),"")</f>
        <v/>
      </c>
      <c r="U3531">
        <f>IF(ISNUMBER(T3531),'자료_거시'!$D3513,"")</f>
        <v/>
      </c>
      <c r="V3531">
        <f>IF(ISNUMBER(U3531),IF(U3531&gt;$L$6,T3531,""),"")</f>
        <v/>
      </c>
      <c r="W3531">
        <f>IF(AND(ISNUMBER('자료_거시'!$G3513),ISNUMBER('자료_거시'!$H3513)),'자료_거시'!$H3513,"")</f>
        <v/>
      </c>
      <c r="X3531">
        <f>IF(ISNUMBER(W3531),'자료_거시'!$G3513,"")</f>
        <v/>
      </c>
      <c r="Y3531">
        <f>IF(ISNUMBER(X3531),IF(X3531&gt;$L$7,W3531,""),"")</f>
        <v/>
      </c>
      <c r="Z3531">
        <f>IF(ISNUMBER('자료_거시'!$K3513),'자료_거시'!$K3513,Z3530)</f>
        <v/>
      </c>
      <c r="AA3531">
        <f>IF(AND(ISNUMBER('자료_거시'!$J3513),ISNUMBER('자료_거시'!$K3513)),IFERROR('자료_거시'!$K3513/INDEX($Z$21:$Z$4020,MATCH(EDATE('자료_거시'!$J3513,-'설정'!$B$17),'자료_거시'!$J$3:INDEX('자료_거시'!$J$3:$J$4002,$K$8),1))-1,""),"")</f>
        <v/>
      </c>
      <c r="AB3531">
        <f>IF(ISNUMBER(AA3531),'자료_거시'!$J3513,"")</f>
        <v/>
      </c>
      <c r="AC3531">
        <f>IF(ISNUMBER(AB3531),IF(AB3531&gt;$L$8,AA3531,""),"")</f>
        <v/>
      </c>
    </row>
    <row r="3532">
      <c r="S3532">
        <f>IF(ISNUMBER('자료_거시'!$E3514),'자료_거시'!$E3514,S3531)</f>
        <v/>
      </c>
      <c r="T3532">
        <f>IF(AND(ISNUMBER('자료_거시'!$D3514),ISNUMBER('자료_거시'!$E3514)),IFERROR('자료_거시'!$E3514-INDEX($S$21:$S$4020,MATCH(EDATE('자료_거시'!$D3514,-'설정'!$B$17),'자료_거시'!$D$3:INDEX('자료_거시'!$D$3:$D$4002,$K$6),1)),""),"")</f>
        <v/>
      </c>
      <c r="U3532">
        <f>IF(ISNUMBER(T3532),'자료_거시'!$D3514,"")</f>
        <v/>
      </c>
      <c r="V3532">
        <f>IF(ISNUMBER(U3532),IF(U3532&gt;$L$6,T3532,""),"")</f>
        <v/>
      </c>
      <c r="W3532">
        <f>IF(AND(ISNUMBER('자료_거시'!$G3514),ISNUMBER('자료_거시'!$H3514)),'자료_거시'!$H3514,"")</f>
        <v/>
      </c>
      <c r="X3532">
        <f>IF(ISNUMBER(W3532),'자료_거시'!$G3514,"")</f>
        <v/>
      </c>
      <c r="Y3532">
        <f>IF(ISNUMBER(X3532),IF(X3532&gt;$L$7,W3532,""),"")</f>
        <v/>
      </c>
      <c r="Z3532">
        <f>IF(ISNUMBER('자료_거시'!$K3514),'자료_거시'!$K3514,Z3531)</f>
        <v/>
      </c>
      <c r="AA3532">
        <f>IF(AND(ISNUMBER('자료_거시'!$J3514),ISNUMBER('자료_거시'!$K3514)),IFERROR('자료_거시'!$K3514/INDEX($Z$21:$Z$4020,MATCH(EDATE('자료_거시'!$J3514,-'설정'!$B$17),'자료_거시'!$J$3:INDEX('자료_거시'!$J$3:$J$4002,$K$8),1))-1,""),"")</f>
        <v/>
      </c>
      <c r="AB3532">
        <f>IF(ISNUMBER(AA3532),'자료_거시'!$J3514,"")</f>
        <v/>
      </c>
      <c r="AC3532">
        <f>IF(ISNUMBER(AB3532),IF(AB3532&gt;$L$8,AA3532,""),"")</f>
        <v/>
      </c>
    </row>
    <row r="3533">
      <c r="S3533">
        <f>IF(ISNUMBER('자료_거시'!$E3515),'자료_거시'!$E3515,S3532)</f>
        <v/>
      </c>
      <c r="T3533">
        <f>IF(AND(ISNUMBER('자료_거시'!$D3515),ISNUMBER('자료_거시'!$E3515)),IFERROR('자료_거시'!$E3515-INDEX($S$21:$S$4020,MATCH(EDATE('자료_거시'!$D3515,-'설정'!$B$17),'자료_거시'!$D$3:INDEX('자료_거시'!$D$3:$D$4002,$K$6),1)),""),"")</f>
        <v/>
      </c>
      <c r="U3533">
        <f>IF(ISNUMBER(T3533),'자료_거시'!$D3515,"")</f>
        <v/>
      </c>
      <c r="V3533">
        <f>IF(ISNUMBER(U3533),IF(U3533&gt;$L$6,T3533,""),"")</f>
        <v/>
      </c>
      <c r="W3533">
        <f>IF(AND(ISNUMBER('자료_거시'!$G3515),ISNUMBER('자료_거시'!$H3515)),'자료_거시'!$H3515,"")</f>
        <v/>
      </c>
      <c r="X3533">
        <f>IF(ISNUMBER(W3533),'자료_거시'!$G3515,"")</f>
        <v/>
      </c>
      <c r="Y3533">
        <f>IF(ISNUMBER(X3533),IF(X3533&gt;$L$7,W3533,""),"")</f>
        <v/>
      </c>
      <c r="Z3533">
        <f>IF(ISNUMBER('자료_거시'!$K3515),'자료_거시'!$K3515,Z3532)</f>
        <v/>
      </c>
      <c r="AA3533">
        <f>IF(AND(ISNUMBER('자료_거시'!$J3515),ISNUMBER('자료_거시'!$K3515)),IFERROR('자료_거시'!$K3515/INDEX($Z$21:$Z$4020,MATCH(EDATE('자료_거시'!$J3515,-'설정'!$B$17),'자료_거시'!$J$3:INDEX('자료_거시'!$J$3:$J$4002,$K$8),1))-1,""),"")</f>
        <v/>
      </c>
      <c r="AB3533">
        <f>IF(ISNUMBER(AA3533),'자료_거시'!$J3515,"")</f>
        <v/>
      </c>
      <c r="AC3533">
        <f>IF(ISNUMBER(AB3533),IF(AB3533&gt;$L$8,AA3533,""),"")</f>
        <v/>
      </c>
    </row>
    <row r="3534">
      <c r="S3534">
        <f>IF(ISNUMBER('자료_거시'!$E3516),'자료_거시'!$E3516,S3533)</f>
        <v/>
      </c>
      <c r="T3534">
        <f>IF(AND(ISNUMBER('자료_거시'!$D3516),ISNUMBER('자료_거시'!$E3516)),IFERROR('자료_거시'!$E3516-INDEX($S$21:$S$4020,MATCH(EDATE('자료_거시'!$D3516,-'설정'!$B$17),'자료_거시'!$D$3:INDEX('자료_거시'!$D$3:$D$4002,$K$6),1)),""),"")</f>
        <v/>
      </c>
      <c r="U3534">
        <f>IF(ISNUMBER(T3534),'자료_거시'!$D3516,"")</f>
        <v/>
      </c>
      <c r="V3534">
        <f>IF(ISNUMBER(U3534),IF(U3534&gt;$L$6,T3534,""),"")</f>
        <v/>
      </c>
      <c r="W3534">
        <f>IF(AND(ISNUMBER('자료_거시'!$G3516),ISNUMBER('자료_거시'!$H3516)),'자료_거시'!$H3516,"")</f>
        <v/>
      </c>
      <c r="X3534">
        <f>IF(ISNUMBER(W3534),'자료_거시'!$G3516,"")</f>
        <v/>
      </c>
      <c r="Y3534">
        <f>IF(ISNUMBER(X3534),IF(X3534&gt;$L$7,W3534,""),"")</f>
        <v/>
      </c>
      <c r="Z3534">
        <f>IF(ISNUMBER('자료_거시'!$K3516),'자료_거시'!$K3516,Z3533)</f>
        <v/>
      </c>
      <c r="AA3534">
        <f>IF(AND(ISNUMBER('자료_거시'!$J3516),ISNUMBER('자료_거시'!$K3516)),IFERROR('자료_거시'!$K3516/INDEX($Z$21:$Z$4020,MATCH(EDATE('자료_거시'!$J3516,-'설정'!$B$17),'자료_거시'!$J$3:INDEX('자료_거시'!$J$3:$J$4002,$K$8),1))-1,""),"")</f>
        <v/>
      </c>
      <c r="AB3534">
        <f>IF(ISNUMBER(AA3534),'자료_거시'!$J3516,"")</f>
        <v/>
      </c>
      <c r="AC3534">
        <f>IF(ISNUMBER(AB3534),IF(AB3534&gt;$L$8,AA3534,""),"")</f>
        <v/>
      </c>
    </row>
    <row r="3535">
      <c r="S3535">
        <f>IF(ISNUMBER('자료_거시'!$E3517),'자료_거시'!$E3517,S3534)</f>
        <v/>
      </c>
      <c r="T3535">
        <f>IF(AND(ISNUMBER('자료_거시'!$D3517),ISNUMBER('자료_거시'!$E3517)),IFERROR('자료_거시'!$E3517-INDEX($S$21:$S$4020,MATCH(EDATE('자료_거시'!$D3517,-'설정'!$B$17),'자료_거시'!$D$3:INDEX('자료_거시'!$D$3:$D$4002,$K$6),1)),""),"")</f>
        <v/>
      </c>
      <c r="U3535">
        <f>IF(ISNUMBER(T3535),'자료_거시'!$D3517,"")</f>
        <v/>
      </c>
      <c r="V3535">
        <f>IF(ISNUMBER(U3535),IF(U3535&gt;$L$6,T3535,""),"")</f>
        <v/>
      </c>
      <c r="W3535">
        <f>IF(AND(ISNUMBER('자료_거시'!$G3517),ISNUMBER('자료_거시'!$H3517)),'자료_거시'!$H3517,"")</f>
        <v/>
      </c>
      <c r="X3535">
        <f>IF(ISNUMBER(W3535),'자료_거시'!$G3517,"")</f>
        <v/>
      </c>
      <c r="Y3535">
        <f>IF(ISNUMBER(X3535),IF(X3535&gt;$L$7,W3535,""),"")</f>
        <v/>
      </c>
      <c r="Z3535">
        <f>IF(ISNUMBER('자료_거시'!$K3517),'자료_거시'!$K3517,Z3534)</f>
        <v/>
      </c>
      <c r="AA3535">
        <f>IF(AND(ISNUMBER('자료_거시'!$J3517),ISNUMBER('자료_거시'!$K3517)),IFERROR('자료_거시'!$K3517/INDEX($Z$21:$Z$4020,MATCH(EDATE('자료_거시'!$J3517,-'설정'!$B$17),'자료_거시'!$J$3:INDEX('자료_거시'!$J$3:$J$4002,$K$8),1))-1,""),"")</f>
        <v/>
      </c>
      <c r="AB3535">
        <f>IF(ISNUMBER(AA3535),'자료_거시'!$J3517,"")</f>
        <v/>
      </c>
      <c r="AC3535">
        <f>IF(ISNUMBER(AB3535),IF(AB3535&gt;$L$8,AA3535,""),"")</f>
        <v/>
      </c>
    </row>
    <row r="3536">
      <c r="S3536">
        <f>IF(ISNUMBER('자료_거시'!$E3518),'자료_거시'!$E3518,S3535)</f>
        <v/>
      </c>
      <c r="T3536">
        <f>IF(AND(ISNUMBER('자료_거시'!$D3518),ISNUMBER('자료_거시'!$E3518)),IFERROR('자료_거시'!$E3518-INDEX($S$21:$S$4020,MATCH(EDATE('자료_거시'!$D3518,-'설정'!$B$17),'자료_거시'!$D$3:INDEX('자료_거시'!$D$3:$D$4002,$K$6),1)),""),"")</f>
        <v/>
      </c>
      <c r="U3536">
        <f>IF(ISNUMBER(T3536),'자료_거시'!$D3518,"")</f>
        <v/>
      </c>
      <c r="V3536">
        <f>IF(ISNUMBER(U3536),IF(U3536&gt;$L$6,T3536,""),"")</f>
        <v/>
      </c>
      <c r="W3536">
        <f>IF(AND(ISNUMBER('자료_거시'!$G3518),ISNUMBER('자료_거시'!$H3518)),'자료_거시'!$H3518,"")</f>
        <v/>
      </c>
      <c r="X3536">
        <f>IF(ISNUMBER(W3536),'자료_거시'!$G3518,"")</f>
        <v/>
      </c>
      <c r="Y3536">
        <f>IF(ISNUMBER(X3536),IF(X3536&gt;$L$7,W3536,""),"")</f>
        <v/>
      </c>
      <c r="Z3536">
        <f>IF(ISNUMBER('자료_거시'!$K3518),'자료_거시'!$K3518,Z3535)</f>
        <v/>
      </c>
      <c r="AA3536">
        <f>IF(AND(ISNUMBER('자료_거시'!$J3518),ISNUMBER('자료_거시'!$K3518)),IFERROR('자료_거시'!$K3518/INDEX($Z$21:$Z$4020,MATCH(EDATE('자료_거시'!$J3518,-'설정'!$B$17),'자료_거시'!$J$3:INDEX('자료_거시'!$J$3:$J$4002,$K$8),1))-1,""),"")</f>
        <v/>
      </c>
      <c r="AB3536">
        <f>IF(ISNUMBER(AA3536),'자료_거시'!$J3518,"")</f>
        <v/>
      </c>
      <c r="AC3536">
        <f>IF(ISNUMBER(AB3536),IF(AB3536&gt;$L$8,AA3536,""),"")</f>
        <v/>
      </c>
    </row>
    <row r="3537">
      <c r="S3537">
        <f>IF(ISNUMBER('자료_거시'!$E3519),'자료_거시'!$E3519,S3536)</f>
        <v/>
      </c>
      <c r="T3537">
        <f>IF(AND(ISNUMBER('자료_거시'!$D3519),ISNUMBER('자료_거시'!$E3519)),IFERROR('자료_거시'!$E3519-INDEX($S$21:$S$4020,MATCH(EDATE('자료_거시'!$D3519,-'설정'!$B$17),'자료_거시'!$D$3:INDEX('자료_거시'!$D$3:$D$4002,$K$6),1)),""),"")</f>
        <v/>
      </c>
      <c r="U3537">
        <f>IF(ISNUMBER(T3537),'자료_거시'!$D3519,"")</f>
        <v/>
      </c>
      <c r="V3537">
        <f>IF(ISNUMBER(U3537),IF(U3537&gt;$L$6,T3537,""),"")</f>
        <v/>
      </c>
      <c r="W3537">
        <f>IF(AND(ISNUMBER('자료_거시'!$G3519),ISNUMBER('자료_거시'!$H3519)),'자료_거시'!$H3519,"")</f>
        <v/>
      </c>
      <c r="X3537">
        <f>IF(ISNUMBER(W3537),'자료_거시'!$G3519,"")</f>
        <v/>
      </c>
      <c r="Y3537">
        <f>IF(ISNUMBER(X3537),IF(X3537&gt;$L$7,W3537,""),"")</f>
        <v/>
      </c>
      <c r="Z3537">
        <f>IF(ISNUMBER('자료_거시'!$K3519),'자료_거시'!$K3519,Z3536)</f>
        <v/>
      </c>
      <c r="AA3537">
        <f>IF(AND(ISNUMBER('자료_거시'!$J3519),ISNUMBER('자료_거시'!$K3519)),IFERROR('자료_거시'!$K3519/INDEX($Z$21:$Z$4020,MATCH(EDATE('자료_거시'!$J3519,-'설정'!$B$17),'자료_거시'!$J$3:INDEX('자료_거시'!$J$3:$J$4002,$K$8),1))-1,""),"")</f>
        <v/>
      </c>
      <c r="AB3537">
        <f>IF(ISNUMBER(AA3537),'자료_거시'!$J3519,"")</f>
        <v/>
      </c>
      <c r="AC3537">
        <f>IF(ISNUMBER(AB3537),IF(AB3537&gt;$L$8,AA3537,""),"")</f>
        <v/>
      </c>
    </row>
    <row r="3538">
      <c r="S3538">
        <f>IF(ISNUMBER('자료_거시'!$E3520),'자료_거시'!$E3520,S3537)</f>
        <v/>
      </c>
      <c r="T3538">
        <f>IF(AND(ISNUMBER('자료_거시'!$D3520),ISNUMBER('자료_거시'!$E3520)),IFERROR('자료_거시'!$E3520-INDEX($S$21:$S$4020,MATCH(EDATE('자료_거시'!$D3520,-'설정'!$B$17),'자료_거시'!$D$3:INDEX('자료_거시'!$D$3:$D$4002,$K$6),1)),""),"")</f>
        <v/>
      </c>
      <c r="U3538">
        <f>IF(ISNUMBER(T3538),'자료_거시'!$D3520,"")</f>
        <v/>
      </c>
      <c r="V3538">
        <f>IF(ISNUMBER(U3538),IF(U3538&gt;$L$6,T3538,""),"")</f>
        <v/>
      </c>
      <c r="W3538">
        <f>IF(AND(ISNUMBER('자료_거시'!$G3520),ISNUMBER('자료_거시'!$H3520)),'자료_거시'!$H3520,"")</f>
        <v/>
      </c>
      <c r="X3538">
        <f>IF(ISNUMBER(W3538),'자료_거시'!$G3520,"")</f>
        <v/>
      </c>
      <c r="Y3538">
        <f>IF(ISNUMBER(X3538),IF(X3538&gt;$L$7,W3538,""),"")</f>
        <v/>
      </c>
      <c r="Z3538">
        <f>IF(ISNUMBER('자료_거시'!$K3520),'자료_거시'!$K3520,Z3537)</f>
        <v/>
      </c>
      <c r="AA3538">
        <f>IF(AND(ISNUMBER('자료_거시'!$J3520),ISNUMBER('자료_거시'!$K3520)),IFERROR('자료_거시'!$K3520/INDEX($Z$21:$Z$4020,MATCH(EDATE('자료_거시'!$J3520,-'설정'!$B$17),'자료_거시'!$J$3:INDEX('자료_거시'!$J$3:$J$4002,$K$8),1))-1,""),"")</f>
        <v/>
      </c>
      <c r="AB3538">
        <f>IF(ISNUMBER(AA3538),'자료_거시'!$J3520,"")</f>
        <v/>
      </c>
      <c r="AC3538">
        <f>IF(ISNUMBER(AB3538),IF(AB3538&gt;$L$8,AA3538,""),"")</f>
        <v/>
      </c>
    </row>
    <row r="3539">
      <c r="S3539">
        <f>IF(ISNUMBER('자료_거시'!$E3521),'자료_거시'!$E3521,S3538)</f>
        <v/>
      </c>
      <c r="T3539">
        <f>IF(AND(ISNUMBER('자료_거시'!$D3521),ISNUMBER('자료_거시'!$E3521)),IFERROR('자료_거시'!$E3521-INDEX($S$21:$S$4020,MATCH(EDATE('자료_거시'!$D3521,-'설정'!$B$17),'자료_거시'!$D$3:INDEX('자료_거시'!$D$3:$D$4002,$K$6),1)),""),"")</f>
        <v/>
      </c>
      <c r="U3539">
        <f>IF(ISNUMBER(T3539),'자료_거시'!$D3521,"")</f>
        <v/>
      </c>
      <c r="V3539">
        <f>IF(ISNUMBER(U3539),IF(U3539&gt;$L$6,T3539,""),"")</f>
        <v/>
      </c>
      <c r="W3539">
        <f>IF(AND(ISNUMBER('자료_거시'!$G3521),ISNUMBER('자료_거시'!$H3521)),'자료_거시'!$H3521,"")</f>
        <v/>
      </c>
      <c r="X3539">
        <f>IF(ISNUMBER(W3539),'자료_거시'!$G3521,"")</f>
        <v/>
      </c>
      <c r="Y3539">
        <f>IF(ISNUMBER(X3539),IF(X3539&gt;$L$7,W3539,""),"")</f>
        <v/>
      </c>
      <c r="Z3539">
        <f>IF(ISNUMBER('자료_거시'!$K3521),'자료_거시'!$K3521,Z3538)</f>
        <v/>
      </c>
      <c r="AA3539">
        <f>IF(AND(ISNUMBER('자료_거시'!$J3521),ISNUMBER('자료_거시'!$K3521)),IFERROR('자료_거시'!$K3521/INDEX($Z$21:$Z$4020,MATCH(EDATE('자료_거시'!$J3521,-'설정'!$B$17),'자료_거시'!$J$3:INDEX('자료_거시'!$J$3:$J$4002,$K$8),1))-1,""),"")</f>
        <v/>
      </c>
      <c r="AB3539">
        <f>IF(ISNUMBER(AA3539),'자료_거시'!$J3521,"")</f>
        <v/>
      </c>
      <c r="AC3539">
        <f>IF(ISNUMBER(AB3539),IF(AB3539&gt;$L$8,AA3539,""),"")</f>
        <v/>
      </c>
    </row>
    <row r="3540">
      <c r="S3540">
        <f>IF(ISNUMBER('자료_거시'!$E3522),'자료_거시'!$E3522,S3539)</f>
        <v/>
      </c>
      <c r="T3540">
        <f>IF(AND(ISNUMBER('자료_거시'!$D3522),ISNUMBER('자료_거시'!$E3522)),IFERROR('자료_거시'!$E3522-INDEX($S$21:$S$4020,MATCH(EDATE('자료_거시'!$D3522,-'설정'!$B$17),'자료_거시'!$D$3:INDEX('자료_거시'!$D$3:$D$4002,$K$6),1)),""),"")</f>
        <v/>
      </c>
      <c r="U3540">
        <f>IF(ISNUMBER(T3540),'자료_거시'!$D3522,"")</f>
        <v/>
      </c>
      <c r="V3540">
        <f>IF(ISNUMBER(U3540),IF(U3540&gt;$L$6,T3540,""),"")</f>
        <v/>
      </c>
      <c r="W3540">
        <f>IF(AND(ISNUMBER('자료_거시'!$G3522),ISNUMBER('자료_거시'!$H3522)),'자료_거시'!$H3522,"")</f>
        <v/>
      </c>
      <c r="X3540">
        <f>IF(ISNUMBER(W3540),'자료_거시'!$G3522,"")</f>
        <v/>
      </c>
      <c r="Y3540">
        <f>IF(ISNUMBER(X3540),IF(X3540&gt;$L$7,W3540,""),"")</f>
        <v/>
      </c>
      <c r="Z3540">
        <f>IF(ISNUMBER('자료_거시'!$K3522),'자료_거시'!$K3522,Z3539)</f>
        <v/>
      </c>
      <c r="AA3540">
        <f>IF(AND(ISNUMBER('자료_거시'!$J3522),ISNUMBER('자료_거시'!$K3522)),IFERROR('자료_거시'!$K3522/INDEX($Z$21:$Z$4020,MATCH(EDATE('자료_거시'!$J3522,-'설정'!$B$17),'자료_거시'!$J$3:INDEX('자료_거시'!$J$3:$J$4002,$K$8),1))-1,""),"")</f>
        <v/>
      </c>
      <c r="AB3540">
        <f>IF(ISNUMBER(AA3540),'자료_거시'!$J3522,"")</f>
        <v/>
      </c>
      <c r="AC3540">
        <f>IF(ISNUMBER(AB3540),IF(AB3540&gt;$L$8,AA3540,""),"")</f>
        <v/>
      </c>
    </row>
    <row r="3541">
      <c r="S3541">
        <f>IF(ISNUMBER('자료_거시'!$E3523),'자료_거시'!$E3523,S3540)</f>
        <v/>
      </c>
      <c r="T3541">
        <f>IF(AND(ISNUMBER('자료_거시'!$D3523),ISNUMBER('자료_거시'!$E3523)),IFERROR('자료_거시'!$E3523-INDEX($S$21:$S$4020,MATCH(EDATE('자료_거시'!$D3523,-'설정'!$B$17),'자료_거시'!$D$3:INDEX('자료_거시'!$D$3:$D$4002,$K$6),1)),""),"")</f>
        <v/>
      </c>
      <c r="U3541">
        <f>IF(ISNUMBER(T3541),'자료_거시'!$D3523,"")</f>
        <v/>
      </c>
      <c r="V3541">
        <f>IF(ISNUMBER(U3541),IF(U3541&gt;$L$6,T3541,""),"")</f>
        <v/>
      </c>
      <c r="W3541">
        <f>IF(AND(ISNUMBER('자료_거시'!$G3523),ISNUMBER('자료_거시'!$H3523)),'자료_거시'!$H3523,"")</f>
        <v/>
      </c>
      <c r="X3541">
        <f>IF(ISNUMBER(W3541),'자료_거시'!$G3523,"")</f>
        <v/>
      </c>
      <c r="Y3541">
        <f>IF(ISNUMBER(X3541),IF(X3541&gt;$L$7,W3541,""),"")</f>
        <v/>
      </c>
      <c r="Z3541">
        <f>IF(ISNUMBER('자료_거시'!$K3523),'자료_거시'!$K3523,Z3540)</f>
        <v/>
      </c>
      <c r="AA3541">
        <f>IF(AND(ISNUMBER('자료_거시'!$J3523),ISNUMBER('자료_거시'!$K3523)),IFERROR('자료_거시'!$K3523/INDEX($Z$21:$Z$4020,MATCH(EDATE('자료_거시'!$J3523,-'설정'!$B$17),'자료_거시'!$J$3:INDEX('자료_거시'!$J$3:$J$4002,$K$8),1))-1,""),"")</f>
        <v/>
      </c>
      <c r="AB3541">
        <f>IF(ISNUMBER(AA3541),'자료_거시'!$J3523,"")</f>
        <v/>
      </c>
      <c r="AC3541">
        <f>IF(ISNUMBER(AB3541),IF(AB3541&gt;$L$8,AA3541,""),"")</f>
        <v/>
      </c>
    </row>
    <row r="3542">
      <c r="S3542">
        <f>IF(ISNUMBER('자료_거시'!$E3524),'자료_거시'!$E3524,S3541)</f>
        <v/>
      </c>
      <c r="T3542">
        <f>IF(AND(ISNUMBER('자료_거시'!$D3524),ISNUMBER('자료_거시'!$E3524)),IFERROR('자료_거시'!$E3524-INDEX($S$21:$S$4020,MATCH(EDATE('자료_거시'!$D3524,-'설정'!$B$17),'자료_거시'!$D$3:INDEX('자료_거시'!$D$3:$D$4002,$K$6),1)),""),"")</f>
        <v/>
      </c>
      <c r="U3542">
        <f>IF(ISNUMBER(T3542),'자료_거시'!$D3524,"")</f>
        <v/>
      </c>
      <c r="V3542">
        <f>IF(ISNUMBER(U3542),IF(U3542&gt;$L$6,T3542,""),"")</f>
        <v/>
      </c>
      <c r="W3542">
        <f>IF(AND(ISNUMBER('자료_거시'!$G3524),ISNUMBER('자료_거시'!$H3524)),'자료_거시'!$H3524,"")</f>
        <v/>
      </c>
      <c r="X3542">
        <f>IF(ISNUMBER(W3542),'자료_거시'!$G3524,"")</f>
        <v/>
      </c>
      <c r="Y3542">
        <f>IF(ISNUMBER(X3542),IF(X3542&gt;$L$7,W3542,""),"")</f>
        <v/>
      </c>
      <c r="Z3542">
        <f>IF(ISNUMBER('자료_거시'!$K3524),'자료_거시'!$K3524,Z3541)</f>
        <v/>
      </c>
      <c r="AA3542">
        <f>IF(AND(ISNUMBER('자료_거시'!$J3524),ISNUMBER('자료_거시'!$K3524)),IFERROR('자료_거시'!$K3524/INDEX($Z$21:$Z$4020,MATCH(EDATE('자료_거시'!$J3524,-'설정'!$B$17),'자료_거시'!$J$3:INDEX('자료_거시'!$J$3:$J$4002,$K$8),1))-1,""),"")</f>
        <v/>
      </c>
      <c r="AB3542">
        <f>IF(ISNUMBER(AA3542),'자료_거시'!$J3524,"")</f>
        <v/>
      </c>
      <c r="AC3542">
        <f>IF(ISNUMBER(AB3542),IF(AB3542&gt;$L$8,AA3542,""),"")</f>
        <v/>
      </c>
    </row>
    <row r="3543">
      <c r="S3543">
        <f>IF(ISNUMBER('자료_거시'!$E3525),'자료_거시'!$E3525,S3542)</f>
        <v/>
      </c>
      <c r="T3543">
        <f>IF(AND(ISNUMBER('자료_거시'!$D3525),ISNUMBER('자료_거시'!$E3525)),IFERROR('자료_거시'!$E3525-INDEX($S$21:$S$4020,MATCH(EDATE('자료_거시'!$D3525,-'설정'!$B$17),'자료_거시'!$D$3:INDEX('자료_거시'!$D$3:$D$4002,$K$6),1)),""),"")</f>
        <v/>
      </c>
      <c r="U3543">
        <f>IF(ISNUMBER(T3543),'자료_거시'!$D3525,"")</f>
        <v/>
      </c>
      <c r="V3543">
        <f>IF(ISNUMBER(U3543),IF(U3543&gt;$L$6,T3543,""),"")</f>
        <v/>
      </c>
      <c r="W3543">
        <f>IF(AND(ISNUMBER('자료_거시'!$G3525),ISNUMBER('자료_거시'!$H3525)),'자료_거시'!$H3525,"")</f>
        <v/>
      </c>
      <c r="X3543">
        <f>IF(ISNUMBER(W3543),'자료_거시'!$G3525,"")</f>
        <v/>
      </c>
      <c r="Y3543">
        <f>IF(ISNUMBER(X3543),IF(X3543&gt;$L$7,W3543,""),"")</f>
        <v/>
      </c>
      <c r="Z3543">
        <f>IF(ISNUMBER('자료_거시'!$K3525),'자료_거시'!$K3525,Z3542)</f>
        <v/>
      </c>
      <c r="AA3543">
        <f>IF(AND(ISNUMBER('자료_거시'!$J3525),ISNUMBER('자료_거시'!$K3525)),IFERROR('자료_거시'!$K3525/INDEX($Z$21:$Z$4020,MATCH(EDATE('자료_거시'!$J3525,-'설정'!$B$17),'자료_거시'!$J$3:INDEX('자료_거시'!$J$3:$J$4002,$K$8),1))-1,""),"")</f>
        <v/>
      </c>
      <c r="AB3543">
        <f>IF(ISNUMBER(AA3543),'자료_거시'!$J3525,"")</f>
        <v/>
      </c>
      <c r="AC3543">
        <f>IF(ISNUMBER(AB3543),IF(AB3543&gt;$L$8,AA3543,""),"")</f>
        <v/>
      </c>
    </row>
    <row r="3544">
      <c r="S3544">
        <f>IF(ISNUMBER('자료_거시'!$E3526),'자료_거시'!$E3526,S3543)</f>
        <v/>
      </c>
      <c r="T3544">
        <f>IF(AND(ISNUMBER('자료_거시'!$D3526),ISNUMBER('자료_거시'!$E3526)),IFERROR('자료_거시'!$E3526-INDEX($S$21:$S$4020,MATCH(EDATE('자료_거시'!$D3526,-'설정'!$B$17),'자료_거시'!$D$3:INDEX('자료_거시'!$D$3:$D$4002,$K$6),1)),""),"")</f>
        <v/>
      </c>
      <c r="U3544">
        <f>IF(ISNUMBER(T3544),'자료_거시'!$D3526,"")</f>
        <v/>
      </c>
      <c r="V3544">
        <f>IF(ISNUMBER(U3544),IF(U3544&gt;$L$6,T3544,""),"")</f>
        <v/>
      </c>
      <c r="W3544">
        <f>IF(AND(ISNUMBER('자료_거시'!$G3526),ISNUMBER('자료_거시'!$H3526)),'자료_거시'!$H3526,"")</f>
        <v/>
      </c>
      <c r="X3544">
        <f>IF(ISNUMBER(W3544),'자료_거시'!$G3526,"")</f>
        <v/>
      </c>
      <c r="Y3544">
        <f>IF(ISNUMBER(X3544),IF(X3544&gt;$L$7,W3544,""),"")</f>
        <v/>
      </c>
      <c r="Z3544">
        <f>IF(ISNUMBER('자료_거시'!$K3526),'자료_거시'!$K3526,Z3543)</f>
        <v/>
      </c>
      <c r="AA3544">
        <f>IF(AND(ISNUMBER('자료_거시'!$J3526),ISNUMBER('자료_거시'!$K3526)),IFERROR('자료_거시'!$K3526/INDEX($Z$21:$Z$4020,MATCH(EDATE('자료_거시'!$J3526,-'설정'!$B$17),'자료_거시'!$J$3:INDEX('자료_거시'!$J$3:$J$4002,$K$8),1))-1,""),"")</f>
        <v/>
      </c>
      <c r="AB3544">
        <f>IF(ISNUMBER(AA3544),'자료_거시'!$J3526,"")</f>
        <v/>
      </c>
      <c r="AC3544">
        <f>IF(ISNUMBER(AB3544),IF(AB3544&gt;$L$8,AA3544,""),"")</f>
        <v/>
      </c>
    </row>
    <row r="3545">
      <c r="S3545">
        <f>IF(ISNUMBER('자료_거시'!$E3527),'자료_거시'!$E3527,S3544)</f>
        <v/>
      </c>
      <c r="T3545">
        <f>IF(AND(ISNUMBER('자료_거시'!$D3527),ISNUMBER('자료_거시'!$E3527)),IFERROR('자료_거시'!$E3527-INDEX($S$21:$S$4020,MATCH(EDATE('자료_거시'!$D3527,-'설정'!$B$17),'자료_거시'!$D$3:INDEX('자료_거시'!$D$3:$D$4002,$K$6),1)),""),"")</f>
        <v/>
      </c>
      <c r="U3545">
        <f>IF(ISNUMBER(T3545),'자료_거시'!$D3527,"")</f>
        <v/>
      </c>
      <c r="V3545">
        <f>IF(ISNUMBER(U3545),IF(U3545&gt;$L$6,T3545,""),"")</f>
        <v/>
      </c>
      <c r="W3545">
        <f>IF(AND(ISNUMBER('자료_거시'!$G3527),ISNUMBER('자료_거시'!$H3527)),'자료_거시'!$H3527,"")</f>
        <v/>
      </c>
      <c r="X3545">
        <f>IF(ISNUMBER(W3545),'자료_거시'!$G3527,"")</f>
        <v/>
      </c>
      <c r="Y3545">
        <f>IF(ISNUMBER(X3545),IF(X3545&gt;$L$7,W3545,""),"")</f>
        <v/>
      </c>
      <c r="Z3545">
        <f>IF(ISNUMBER('자료_거시'!$K3527),'자료_거시'!$K3527,Z3544)</f>
        <v/>
      </c>
      <c r="AA3545">
        <f>IF(AND(ISNUMBER('자료_거시'!$J3527),ISNUMBER('자료_거시'!$K3527)),IFERROR('자료_거시'!$K3527/INDEX($Z$21:$Z$4020,MATCH(EDATE('자료_거시'!$J3527,-'설정'!$B$17),'자료_거시'!$J$3:INDEX('자료_거시'!$J$3:$J$4002,$K$8),1))-1,""),"")</f>
        <v/>
      </c>
      <c r="AB3545">
        <f>IF(ISNUMBER(AA3545),'자료_거시'!$J3527,"")</f>
        <v/>
      </c>
      <c r="AC3545">
        <f>IF(ISNUMBER(AB3545),IF(AB3545&gt;$L$8,AA3545,""),"")</f>
        <v/>
      </c>
    </row>
    <row r="3546">
      <c r="S3546">
        <f>IF(ISNUMBER('자료_거시'!$E3528),'자료_거시'!$E3528,S3545)</f>
        <v/>
      </c>
      <c r="T3546">
        <f>IF(AND(ISNUMBER('자료_거시'!$D3528),ISNUMBER('자료_거시'!$E3528)),IFERROR('자료_거시'!$E3528-INDEX($S$21:$S$4020,MATCH(EDATE('자료_거시'!$D3528,-'설정'!$B$17),'자료_거시'!$D$3:INDEX('자료_거시'!$D$3:$D$4002,$K$6),1)),""),"")</f>
        <v/>
      </c>
      <c r="U3546">
        <f>IF(ISNUMBER(T3546),'자료_거시'!$D3528,"")</f>
        <v/>
      </c>
      <c r="V3546">
        <f>IF(ISNUMBER(U3546),IF(U3546&gt;$L$6,T3546,""),"")</f>
        <v/>
      </c>
      <c r="W3546">
        <f>IF(AND(ISNUMBER('자료_거시'!$G3528),ISNUMBER('자료_거시'!$H3528)),'자료_거시'!$H3528,"")</f>
        <v/>
      </c>
      <c r="X3546">
        <f>IF(ISNUMBER(W3546),'자료_거시'!$G3528,"")</f>
        <v/>
      </c>
      <c r="Y3546">
        <f>IF(ISNUMBER(X3546),IF(X3546&gt;$L$7,W3546,""),"")</f>
        <v/>
      </c>
      <c r="Z3546">
        <f>IF(ISNUMBER('자료_거시'!$K3528),'자료_거시'!$K3528,Z3545)</f>
        <v/>
      </c>
      <c r="AA3546">
        <f>IF(AND(ISNUMBER('자료_거시'!$J3528),ISNUMBER('자료_거시'!$K3528)),IFERROR('자료_거시'!$K3528/INDEX($Z$21:$Z$4020,MATCH(EDATE('자료_거시'!$J3528,-'설정'!$B$17),'자료_거시'!$J$3:INDEX('자료_거시'!$J$3:$J$4002,$K$8),1))-1,""),"")</f>
        <v/>
      </c>
      <c r="AB3546">
        <f>IF(ISNUMBER(AA3546),'자료_거시'!$J3528,"")</f>
        <v/>
      </c>
      <c r="AC3546">
        <f>IF(ISNUMBER(AB3546),IF(AB3546&gt;$L$8,AA3546,""),"")</f>
        <v/>
      </c>
    </row>
    <row r="3547">
      <c r="S3547">
        <f>IF(ISNUMBER('자료_거시'!$E3529),'자료_거시'!$E3529,S3546)</f>
        <v/>
      </c>
      <c r="T3547">
        <f>IF(AND(ISNUMBER('자료_거시'!$D3529),ISNUMBER('자료_거시'!$E3529)),IFERROR('자료_거시'!$E3529-INDEX($S$21:$S$4020,MATCH(EDATE('자료_거시'!$D3529,-'설정'!$B$17),'자료_거시'!$D$3:INDEX('자료_거시'!$D$3:$D$4002,$K$6),1)),""),"")</f>
        <v/>
      </c>
      <c r="U3547">
        <f>IF(ISNUMBER(T3547),'자료_거시'!$D3529,"")</f>
        <v/>
      </c>
      <c r="V3547">
        <f>IF(ISNUMBER(U3547),IF(U3547&gt;$L$6,T3547,""),"")</f>
        <v/>
      </c>
      <c r="W3547">
        <f>IF(AND(ISNUMBER('자료_거시'!$G3529),ISNUMBER('자료_거시'!$H3529)),'자료_거시'!$H3529,"")</f>
        <v/>
      </c>
      <c r="X3547">
        <f>IF(ISNUMBER(W3547),'자료_거시'!$G3529,"")</f>
        <v/>
      </c>
      <c r="Y3547">
        <f>IF(ISNUMBER(X3547),IF(X3547&gt;$L$7,W3547,""),"")</f>
        <v/>
      </c>
      <c r="Z3547">
        <f>IF(ISNUMBER('자료_거시'!$K3529),'자료_거시'!$K3529,Z3546)</f>
        <v/>
      </c>
      <c r="AA3547">
        <f>IF(AND(ISNUMBER('자료_거시'!$J3529),ISNUMBER('자료_거시'!$K3529)),IFERROR('자료_거시'!$K3529/INDEX($Z$21:$Z$4020,MATCH(EDATE('자료_거시'!$J3529,-'설정'!$B$17),'자료_거시'!$J$3:INDEX('자료_거시'!$J$3:$J$4002,$K$8),1))-1,""),"")</f>
        <v/>
      </c>
      <c r="AB3547">
        <f>IF(ISNUMBER(AA3547),'자료_거시'!$J3529,"")</f>
        <v/>
      </c>
      <c r="AC3547">
        <f>IF(ISNUMBER(AB3547),IF(AB3547&gt;$L$8,AA3547,""),"")</f>
        <v/>
      </c>
    </row>
    <row r="3548">
      <c r="S3548">
        <f>IF(ISNUMBER('자료_거시'!$E3530),'자료_거시'!$E3530,S3547)</f>
        <v/>
      </c>
      <c r="T3548">
        <f>IF(AND(ISNUMBER('자료_거시'!$D3530),ISNUMBER('자료_거시'!$E3530)),IFERROR('자료_거시'!$E3530-INDEX($S$21:$S$4020,MATCH(EDATE('자료_거시'!$D3530,-'설정'!$B$17),'자료_거시'!$D$3:INDEX('자료_거시'!$D$3:$D$4002,$K$6),1)),""),"")</f>
        <v/>
      </c>
      <c r="U3548">
        <f>IF(ISNUMBER(T3548),'자료_거시'!$D3530,"")</f>
        <v/>
      </c>
      <c r="V3548">
        <f>IF(ISNUMBER(U3548),IF(U3548&gt;$L$6,T3548,""),"")</f>
        <v/>
      </c>
      <c r="W3548">
        <f>IF(AND(ISNUMBER('자료_거시'!$G3530),ISNUMBER('자료_거시'!$H3530)),'자료_거시'!$H3530,"")</f>
        <v/>
      </c>
      <c r="X3548">
        <f>IF(ISNUMBER(W3548),'자료_거시'!$G3530,"")</f>
        <v/>
      </c>
      <c r="Y3548">
        <f>IF(ISNUMBER(X3548),IF(X3548&gt;$L$7,W3548,""),"")</f>
        <v/>
      </c>
      <c r="Z3548">
        <f>IF(ISNUMBER('자료_거시'!$K3530),'자료_거시'!$K3530,Z3547)</f>
        <v/>
      </c>
      <c r="AA3548">
        <f>IF(AND(ISNUMBER('자료_거시'!$J3530),ISNUMBER('자료_거시'!$K3530)),IFERROR('자료_거시'!$K3530/INDEX($Z$21:$Z$4020,MATCH(EDATE('자료_거시'!$J3530,-'설정'!$B$17),'자료_거시'!$J$3:INDEX('자료_거시'!$J$3:$J$4002,$K$8),1))-1,""),"")</f>
        <v/>
      </c>
      <c r="AB3548">
        <f>IF(ISNUMBER(AA3548),'자료_거시'!$J3530,"")</f>
        <v/>
      </c>
      <c r="AC3548">
        <f>IF(ISNUMBER(AB3548),IF(AB3548&gt;$L$8,AA3548,""),"")</f>
        <v/>
      </c>
    </row>
    <row r="3549">
      <c r="S3549">
        <f>IF(ISNUMBER('자료_거시'!$E3531),'자료_거시'!$E3531,S3548)</f>
        <v/>
      </c>
      <c r="T3549">
        <f>IF(AND(ISNUMBER('자료_거시'!$D3531),ISNUMBER('자료_거시'!$E3531)),IFERROR('자료_거시'!$E3531-INDEX($S$21:$S$4020,MATCH(EDATE('자료_거시'!$D3531,-'설정'!$B$17),'자료_거시'!$D$3:INDEX('자료_거시'!$D$3:$D$4002,$K$6),1)),""),"")</f>
        <v/>
      </c>
      <c r="U3549">
        <f>IF(ISNUMBER(T3549),'자료_거시'!$D3531,"")</f>
        <v/>
      </c>
      <c r="V3549">
        <f>IF(ISNUMBER(U3549),IF(U3549&gt;$L$6,T3549,""),"")</f>
        <v/>
      </c>
      <c r="W3549">
        <f>IF(AND(ISNUMBER('자료_거시'!$G3531),ISNUMBER('자료_거시'!$H3531)),'자료_거시'!$H3531,"")</f>
        <v/>
      </c>
      <c r="X3549">
        <f>IF(ISNUMBER(W3549),'자료_거시'!$G3531,"")</f>
        <v/>
      </c>
      <c r="Y3549">
        <f>IF(ISNUMBER(X3549),IF(X3549&gt;$L$7,W3549,""),"")</f>
        <v/>
      </c>
      <c r="Z3549">
        <f>IF(ISNUMBER('자료_거시'!$K3531),'자료_거시'!$K3531,Z3548)</f>
        <v/>
      </c>
      <c r="AA3549">
        <f>IF(AND(ISNUMBER('자료_거시'!$J3531),ISNUMBER('자료_거시'!$K3531)),IFERROR('자료_거시'!$K3531/INDEX($Z$21:$Z$4020,MATCH(EDATE('자료_거시'!$J3531,-'설정'!$B$17),'자료_거시'!$J$3:INDEX('자료_거시'!$J$3:$J$4002,$K$8),1))-1,""),"")</f>
        <v/>
      </c>
      <c r="AB3549">
        <f>IF(ISNUMBER(AA3549),'자료_거시'!$J3531,"")</f>
        <v/>
      </c>
      <c r="AC3549">
        <f>IF(ISNUMBER(AB3549),IF(AB3549&gt;$L$8,AA3549,""),"")</f>
        <v/>
      </c>
    </row>
    <row r="3550">
      <c r="S3550">
        <f>IF(ISNUMBER('자료_거시'!$E3532),'자료_거시'!$E3532,S3549)</f>
        <v/>
      </c>
      <c r="T3550">
        <f>IF(AND(ISNUMBER('자료_거시'!$D3532),ISNUMBER('자료_거시'!$E3532)),IFERROR('자료_거시'!$E3532-INDEX($S$21:$S$4020,MATCH(EDATE('자료_거시'!$D3532,-'설정'!$B$17),'자료_거시'!$D$3:INDEX('자료_거시'!$D$3:$D$4002,$K$6),1)),""),"")</f>
        <v/>
      </c>
      <c r="U3550">
        <f>IF(ISNUMBER(T3550),'자료_거시'!$D3532,"")</f>
        <v/>
      </c>
      <c r="V3550">
        <f>IF(ISNUMBER(U3550),IF(U3550&gt;$L$6,T3550,""),"")</f>
        <v/>
      </c>
      <c r="W3550">
        <f>IF(AND(ISNUMBER('자료_거시'!$G3532),ISNUMBER('자료_거시'!$H3532)),'자료_거시'!$H3532,"")</f>
        <v/>
      </c>
      <c r="X3550">
        <f>IF(ISNUMBER(W3550),'자료_거시'!$G3532,"")</f>
        <v/>
      </c>
      <c r="Y3550">
        <f>IF(ISNUMBER(X3550),IF(X3550&gt;$L$7,W3550,""),"")</f>
        <v/>
      </c>
      <c r="Z3550">
        <f>IF(ISNUMBER('자료_거시'!$K3532),'자료_거시'!$K3532,Z3549)</f>
        <v/>
      </c>
      <c r="AA3550">
        <f>IF(AND(ISNUMBER('자료_거시'!$J3532),ISNUMBER('자료_거시'!$K3532)),IFERROR('자료_거시'!$K3532/INDEX($Z$21:$Z$4020,MATCH(EDATE('자료_거시'!$J3532,-'설정'!$B$17),'자료_거시'!$J$3:INDEX('자료_거시'!$J$3:$J$4002,$K$8),1))-1,""),"")</f>
        <v/>
      </c>
      <c r="AB3550">
        <f>IF(ISNUMBER(AA3550),'자료_거시'!$J3532,"")</f>
        <v/>
      </c>
      <c r="AC3550">
        <f>IF(ISNUMBER(AB3550),IF(AB3550&gt;$L$8,AA3550,""),"")</f>
        <v/>
      </c>
    </row>
    <row r="3551">
      <c r="S3551">
        <f>IF(ISNUMBER('자료_거시'!$E3533),'자료_거시'!$E3533,S3550)</f>
        <v/>
      </c>
      <c r="T3551">
        <f>IF(AND(ISNUMBER('자료_거시'!$D3533),ISNUMBER('자료_거시'!$E3533)),IFERROR('자료_거시'!$E3533-INDEX($S$21:$S$4020,MATCH(EDATE('자료_거시'!$D3533,-'설정'!$B$17),'자료_거시'!$D$3:INDEX('자료_거시'!$D$3:$D$4002,$K$6),1)),""),"")</f>
        <v/>
      </c>
      <c r="U3551">
        <f>IF(ISNUMBER(T3551),'자료_거시'!$D3533,"")</f>
        <v/>
      </c>
      <c r="V3551">
        <f>IF(ISNUMBER(U3551),IF(U3551&gt;$L$6,T3551,""),"")</f>
        <v/>
      </c>
      <c r="W3551">
        <f>IF(AND(ISNUMBER('자료_거시'!$G3533),ISNUMBER('자료_거시'!$H3533)),'자료_거시'!$H3533,"")</f>
        <v/>
      </c>
      <c r="X3551">
        <f>IF(ISNUMBER(W3551),'자료_거시'!$G3533,"")</f>
        <v/>
      </c>
      <c r="Y3551">
        <f>IF(ISNUMBER(X3551),IF(X3551&gt;$L$7,W3551,""),"")</f>
        <v/>
      </c>
      <c r="Z3551">
        <f>IF(ISNUMBER('자료_거시'!$K3533),'자료_거시'!$K3533,Z3550)</f>
        <v/>
      </c>
      <c r="AA3551">
        <f>IF(AND(ISNUMBER('자료_거시'!$J3533),ISNUMBER('자료_거시'!$K3533)),IFERROR('자료_거시'!$K3533/INDEX($Z$21:$Z$4020,MATCH(EDATE('자료_거시'!$J3533,-'설정'!$B$17),'자료_거시'!$J$3:INDEX('자료_거시'!$J$3:$J$4002,$K$8),1))-1,""),"")</f>
        <v/>
      </c>
      <c r="AB3551">
        <f>IF(ISNUMBER(AA3551),'자료_거시'!$J3533,"")</f>
        <v/>
      </c>
      <c r="AC3551">
        <f>IF(ISNUMBER(AB3551),IF(AB3551&gt;$L$8,AA3551,""),"")</f>
        <v/>
      </c>
    </row>
    <row r="3552">
      <c r="S3552">
        <f>IF(ISNUMBER('자료_거시'!$E3534),'자료_거시'!$E3534,S3551)</f>
        <v/>
      </c>
      <c r="T3552">
        <f>IF(AND(ISNUMBER('자료_거시'!$D3534),ISNUMBER('자료_거시'!$E3534)),IFERROR('자료_거시'!$E3534-INDEX($S$21:$S$4020,MATCH(EDATE('자료_거시'!$D3534,-'설정'!$B$17),'자료_거시'!$D$3:INDEX('자료_거시'!$D$3:$D$4002,$K$6),1)),""),"")</f>
        <v/>
      </c>
      <c r="U3552">
        <f>IF(ISNUMBER(T3552),'자료_거시'!$D3534,"")</f>
        <v/>
      </c>
      <c r="V3552">
        <f>IF(ISNUMBER(U3552),IF(U3552&gt;$L$6,T3552,""),"")</f>
        <v/>
      </c>
      <c r="W3552">
        <f>IF(AND(ISNUMBER('자료_거시'!$G3534),ISNUMBER('자료_거시'!$H3534)),'자료_거시'!$H3534,"")</f>
        <v/>
      </c>
      <c r="X3552">
        <f>IF(ISNUMBER(W3552),'자료_거시'!$G3534,"")</f>
        <v/>
      </c>
      <c r="Y3552">
        <f>IF(ISNUMBER(X3552),IF(X3552&gt;$L$7,W3552,""),"")</f>
        <v/>
      </c>
      <c r="Z3552">
        <f>IF(ISNUMBER('자료_거시'!$K3534),'자료_거시'!$K3534,Z3551)</f>
        <v/>
      </c>
      <c r="AA3552">
        <f>IF(AND(ISNUMBER('자료_거시'!$J3534),ISNUMBER('자료_거시'!$K3534)),IFERROR('자료_거시'!$K3534/INDEX($Z$21:$Z$4020,MATCH(EDATE('자료_거시'!$J3534,-'설정'!$B$17),'자료_거시'!$J$3:INDEX('자료_거시'!$J$3:$J$4002,$K$8),1))-1,""),"")</f>
        <v/>
      </c>
      <c r="AB3552">
        <f>IF(ISNUMBER(AA3552),'자료_거시'!$J3534,"")</f>
        <v/>
      </c>
      <c r="AC3552">
        <f>IF(ISNUMBER(AB3552),IF(AB3552&gt;$L$8,AA3552,""),"")</f>
        <v/>
      </c>
    </row>
    <row r="3553">
      <c r="S3553">
        <f>IF(ISNUMBER('자료_거시'!$E3535),'자료_거시'!$E3535,S3552)</f>
        <v/>
      </c>
      <c r="T3553">
        <f>IF(AND(ISNUMBER('자료_거시'!$D3535),ISNUMBER('자료_거시'!$E3535)),IFERROR('자료_거시'!$E3535-INDEX($S$21:$S$4020,MATCH(EDATE('자료_거시'!$D3535,-'설정'!$B$17),'자료_거시'!$D$3:INDEX('자료_거시'!$D$3:$D$4002,$K$6),1)),""),"")</f>
        <v/>
      </c>
      <c r="U3553">
        <f>IF(ISNUMBER(T3553),'자료_거시'!$D3535,"")</f>
        <v/>
      </c>
      <c r="V3553">
        <f>IF(ISNUMBER(U3553),IF(U3553&gt;$L$6,T3553,""),"")</f>
        <v/>
      </c>
      <c r="W3553">
        <f>IF(AND(ISNUMBER('자료_거시'!$G3535),ISNUMBER('자료_거시'!$H3535)),'자료_거시'!$H3535,"")</f>
        <v/>
      </c>
      <c r="X3553">
        <f>IF(ISNUMBER(W3553),'자료_거시'!$G3535,"")</f>
        <v/>
      </c>
      <c r="Y3553">
        <f>IF(ISNUMBER(X3553),IF(X3553&gt;$L$7,W3553,""),"")</f>
        <v/>
      </c>
      <c r="Z3553">
        <f>IF(ISNUMBER('자료_거시'!$K3535),'자료_거시'!$K3535,Z3552)</f>
        <v/>
      </c>
      <c r="AA3553">
        <f>IF(AND(ISNUMBER('자료_거시'!$J3535),ISNUMBER('자료_거시'!$K3535)),IFERROR('자료_거시'!$K3535/INDEX($Z$21:$Z$4020,MATCH(EDATE('자료_거시'!$J3535,-'설정'!$B$17),'자료_거시'!$J$3:INDEX('자료_거시'!$J$3:$J$4002,$K$8),1))-1,""),"")</f>
        <v/>
      </c>
      <c r="AB3553">
        <f>IF(ISNUMBER(AA3553),'자료_거시'!$J3535,"")</f>
        <v/>
      </c>
      <c r="AC3553">
        <f>IF(ISNUMBER(AB3553),IF(AB3553&gt;$L$8,AA3553,""),"")</f>
        <v/>
      </c>
    </row>
    <row r="3554">
      <c r="S3554">
        <f>IF(ISNUMBER('자료_거시'!$E3536),'자료_거시'!$E3536,S3553)</f>
        <v/>
      </c>
      <c r="T3554">
        <f>IF(AND(ISNUMBER('자료_거시'!$D3536),ISNUMBER('자료_거시'!$E3536)),IFERROR('자료_거시'!$E3536-INDEX($S$21:$S$4020,MATCH(EDATE('자료_거시'!$D3536,-'설정'!$B$17),'자료_거시'!$D$3:INDEX('자료_거시'!$D$3:$D$4002,$K$6),1)),""),"")</f>
        <v/>
      </c>
      <c r="U3554">
        <f>IF(ISNUMBER(T3554),'자료_거시'!$D3536,"")</f>
        <v/>
      </c>
      <c r="V3554">
        <f>IF(ISNUMBER(U3554),IF(U3554&gt;$L$6,T3554,""),"")</f>
        <v/>
      </c>
      <c r="W3554">
        <f>IF(AND(ISNUMBER('자료_거시'!$G3536),ISNUMBER('자료_거시'!$H3536)),'자료_거시'!$H3536,"")</f>
        <v/>
      </c>
      <c r="X3554">
        <f>IF(ISNUMBER(W3554),'자료_거시'!$G3536,"")</f>
        <v/>
      </c>
      <c r="Y3554">
        <f>IF(ISNUMBER(X3554),IF(X3554&gt;$L$7,W3554,""),"")</f>
        <v/>
      </c>
      <c r="Z3554">
        <f>IF(ISNUMBER('자료_거시'!$K3536),'자료_거시'!$K3536,Z3553)</f>
        <v/>
      </c>
      <c r="AA3554">
        <f>IF(AND(ISNUMBER('자료_거시'!$J3536),ISNUMBER('자료_거시'!$K3536)),IFERROR('자료_거시'!$K3536/INDEX($Z$21:$Z$4020,MATCH(EDATE('자료_거시'!$J3536,-'설정'!$B$17),'자료_거시'!$J$3:INDEX('자료_거시'!$J$3:$J$4002,$K$8),1))-1,""),"")</f>
        <v/>
      </c>
      <c r="AB3554">
        <f>IF(ISNUMBER(AA3554),'자료_거시'!$J3536,"")</f>
        <v/>
      </c>
      <c r="AC3554">
        <f>IF(ISNUMBER(AB3554),IF(AB3554&gt;$L$8,AA3554,""),"")</f>
        <v/>
      </c>
    </row>
    <row r="3555">
      <c r="S3555">
        <f>IF(ISNUMBER('자료_거시'!$E3537),'자료_거시'!$E3537,S3554)</f>
        <v/>
      </c>
      <c r="T3555">
        <f>IF(AND(ISNUMBER('자료_거시'!$D3537),ISNUMBER('자료_거시'!$E3537)),IFERROR('자료_거시'!$E3537-INDEX($S$21:$S$4020,MATCH(EDATE('자료_거시'!$D3537,-'설정'!$B$17),'자료_거시'!$D$3:INDEX('자료_거시'!$D$3:$D$4002,$K$6),1)),""),"")</f>
        <v/>
      </c>
      <c r="U3555">
        <f>IF(ISNUMBER(T3555),'자료_거시'!$D3537,"")</f>
        <v/>
      </c>
      <c r="V3555">
        <f>IF(ISNUMBER(U3555),IF(U3555&gt;$L$6,T3555,""),"")</f>
        <v/>
      </c>
      <c r="W3555">
        <f>IF(AND(ISNUMBER('자료_거시'!$G3537),ISNUMBER('자료_거시'!$H3537)),'자료_거시'!$H3537,"")</f>
        <v/>
      </c>
      <c r="X3555">
        <f>IF(ISNUMBER(W3555),'자료_거시'!$G3537,"")</f>
        <v/>
      </c>
      <c r="Y3555">
        <f>IF(ISNUMBER(X3555),IF(X3555&gt;$L$7,W3555,""),"")</f>
        <v/>
      </c>
      <c r="Z3555">
        <f>IF(ISNUMBER('자료_거시'!$K3537),'자료_거시'!$K3537,Z3554)</f>
        <v/>
      </c>
      <c r="AA3555">
        <f>IF(AND(ISNUMBER('자료_거시'!$J3537),ISNUMBER('자료_거시'!$K3537)),IFERROR('자료_거시'!$K3537/INDEX($Z$21:$Z$4020,MATCH(EDATE('자료_거시'!$J3537,-'설정'!$B$17),'자료_거시'!$J$3:INDEX('자료_거시'!$J$3:$J$4002,$K$8),1))-1,""),"")</f>
        <v/>
      </c>
      <c r="AB3555">
        <f>IF(ISNUMBER(AA3555),'자료_거시'!$J3537,"")</f>
        <v/>
      </c>
      <c r="AC3555">
        <f>IF(ISNUMBER(AB3555),IF(AB3555&gt;$L$8,AA3555,""),"")</f>
        <v/>
      </c>
    </row>
    <row r="3556">
      <c r="S3556">
        <f>IF(ISNUMBER('자료_거시'!$E3538),'자료_거시'!$E3538,S3555)</f>
        <v/>
      </c>
      <c r="T3556">
        <f>IF(AND(ISNUMBER('자료_거시'!$D3538),ISNUMBER('자료_거시'!$E3538)),IFERROR('자료_거시'!$E3538-INDEX($S$21:$S$4020,MATCH(EDATE('자료_거시'!$D3538,-'설정'!$B$17),'자료_거시'!$D$3:INDEX('자료_거시'!$D$3:$D$4002,$K$6),1)),""),"")</f>
        <v/>
      </c>
      <c r="U3556">
        <f>IF(ISNUMBER(T3556),'자료_거시'!$D3538,"")</f>
        <v/>
      </c>
      <c r="V3556">
        <f>IF(ISNUMBER(U3556),IF(U3556&gt;$L$6,T3556,""),"")</f>
        <v/>
      </c>
      <c r="W3556">
        <f>IF(AND(ISNUMBER('자료_거시'!$G3538),ISNUMBER('자료_거시'!$H3538)),'자료_거시'!$H3538,"")</f>
        <v/>
      </c>
      <c r="X3556">
        <f>IF(ISNUMBER(W3556),'자료_거시'!$G3538,"")</f>
        <v/>
      </c>
      <c r="Y3556">
        <f>IF(ISNUMBER(X3556),IF(X3556&gt;$L$7,W3556,""),"")</f>
        <v/>
      </c>
      <c r="Z3556">
        <f>IF(ISNUMBER('자료_거시'!$K3538),'자료_거시'!$K3538,Z3555)</f>
        <v/>
      </c>
      <c r="AA3556">
        <f>IF(AND(ISNUMBER('자료_거시'!$J3538),ISNUMBER('자료_거시'!$K3538)),IFERROR('자료_거시'!$K3538/INDEX($Z$21:$Z$4020,MATCH(EDATE('자료_거시'!$J3538,-'설정'!$B$17),'자료_거시'!$J$3:INDEX('자료_거시'!$J$3:$J$4002,$K$8),1))-1,""),"")</f>
        <v/>
      </c>
      <c r="AB3556">
        <f>IF(ISNUMBER(AA3556),'자료_거시'!$J3538,"")</f>
        <v/>
      </c>
      <c r="AC3556">
        <f>IF(ISNUMBER(AB3556),IF(AB3556&gt;$L$8,AA3556,""),"")</f>
        <v/>
      </c>
    </row>
    <row r="3557">
      <c r="S3557">
        <f>IF(ISNUMBER('자료_거시'!$E3539),'자료_거시'!$E3539,S3556)</f>
        <v/>
      </c>
      <c r="T3557">
        <f>IF(AND(ISNUMBER('자료_거시'!$D3539),ISNUMBER('자료_거시'!$E3539)),IFERROR('자료_거시'!$E3539-INDEX($S$21:$S$4020,MATCH(EDATE('자료_거시'!$D3539,-'설정'!$B$17),'자료_거시'!$D$3:INDEX('자료_거시'!$D$3:$D$4002,$K$6),1)),""),"")</f>
        <v/>
      </c>
      <c r="U3557">
        <f>IF(ISNUMBER(T3557),'자료_거시'!$D3539,"")</f>
        <v/>
      </c>
      <c r="V3557">
        <f>IF(ISNUMBER(U3557),IF(U3557&gt;$L$6,T3557,""),"")</f>
        <v/>
      </c>
      <c r="W3557">
        <f>IF(AND(ISNUMBER('자료_거시'!$G3539),ISNUMBER('자료_거시'!$H3539)),'자료_거시'!$H3539,"")</f>
        <v/>
      </c>
      <c r="X3557">
        <f>IF(ISNUMBER(W3557),'자료_거시'!$G3539,"")</f>
        <v/>
      </c>
      <c r="Y3557">
        <f>IF(ISNUMBER(X3557),IF(X3557&gt;$L$7,W3557,""),"")</f>
        <v/>
      </c>
      <c r="Z3557">
        <f>IF(ISNUMBER('자료_거시'!$K3539),'자료_거시'!$K3539,Z3556)</f>
        <v/>
      </c>
      <c r="AA3557">
        <f>IF(AND(ISNUMBER('자료_거시'!$J3539),ISNUMBER('자료_거시'!$K3539)),IFERROR('자료_거시'!$K3539/INDEX($Z$21:$Z$4020,MATCH(EDATE('자료_거시'!$J3539,-'설정'!$B$17),'자료_거시'!$J$3:INDEX('자료_거시'!$J$3:$J$4002,$K$8),1))-1,""),"")</f>
        <v/>
      </c>
      <c r="AB3557">
        <f>IF(ISNUMBER(AA3557),'자료_거시'!$J3539,"")</f>
        <v/>
      </c>
      <c r="AC3557">
        <f>IF(ISNUMBER(AB3557),IF(AB3557&gt;$L$8,AA3557,""),"")</f>
        <v/>
      </c>
    </row>
    <row r="3558">
      <c r="S3558">
        <f>IF(ISNUMBER('자료_거시'!$E3540),'자료_거시'!$E3540,S3557)</f>
        <v/>
      </c>
      <c r="T3558">
        <f>IF(AND(ISNUMBER('자료_거시'!$D3540),ISNUMBER('자료_거시'!$E3540)),IFERROR('자료_거시'!$E3540-INDEX($S$21:$S$4020,MATCH(EDATE('자료_거시'!$D3540,-'설정'!$B$17),'자료_거시'!$D$3:INDEX('자료_거시'!$D$3:$D$4002,$K$6),1)),""),"")</f>
        <v/>
      </c>
      <c r="U3558">
        <f>IF(ISNUMBER(T3558),'자료_거시'!$D3540,"")</f>
        <v/>
      </c>
      <c r="V3558">
        <f>IF(ISNUMBER(U3558),IF(U3558&gt;$L$6,T3558,""),"")</f>
        <v/>
      </c>
      <c r="W3558">
        <f>IF(AND(ISNUMBER('자료_거시'!$G3540),ISNUMBER('자료_거시'!$H3540)),'자료_거시'!$H3540,"")</f>
        <v/>
      </c>
      <c r="X3558">
        <f>IF(ISNUMBER(W3558),'자료_거시'!$G3540,"")</f>
        <v/>
      </c>
      <c r="Y3558">
        <f>IF(ISNUMBER(X3558),IF(X3558&gt;$L$7,W3558,""),"")</f>
        <v/>
      </c>
      <c r="Z3558">
        <f>IF(ISNUMBER('자료_거시'!$K3540),'자료_거시'!$K3540,Z3557)</f>
        <v/>
      </c>
      <c r="AA3558">
        <f>IF(AND(ISNUMBER('자료_거시'!$J3540),ISNUMBER('자료_거시'!$K3540)),IFERROR('자료_거시'!$K3540/INDEX($Z$21:$Z$4020,MATCH(EDATE('자료_거시'!$J3540,-'설정'!$B$17),'자료_거시'!$J$3:INDEX('자료_거시'!$J$3:$J$4002,$K$8),1))-1,""),"")</f>
        <v/>
      </c>
      <c r="AB3558">
        <f>IF(ISNUMBER(AA3558),'자료_거시'!$J3540,"")</f>
        <v/>
      </c>
      <c r="AC3558">
        <f>IF(ISNUMBER(AB3558),IF(AB3558&gt;$L$8,AA3558,""),"")</f>
        <v/>
      </c>
    </row>
    <row r="3559">
      <c r="S3559">
        <f>IF(ISNUMBER('자료_거시'!$E3541),'자료_거시'!$E3541,S3558)</f>
        <v/>
      </c>
      <c r="T3559">
        <f>IF(AND(ISNUMBER('자료_거시'!$D3541),ISNUMBER('자료_거시'!$E3541)),IFERROR('자료_거시'!$E3541-INDEX($S$21:$S$4020,MATCH(EDATE('자료_거시'!$D3541,-'설정'!$B$17),'자료_거시'!$D$3:INDEX('자료_거시'!$D$3:$D$4002,$K$6),1)),""),"")</f>
        <v/>
      </c>
      <c r="U3559">
        <f>IF(ISNUMBER(T3559),'자료_거시'!$D3541,"")</f>
        <v/>
      </c>
      <c r="V3559">
        <f>IF(ISNUMBER(U3559),IF(U3559&gt;$L$6,T3559,""),"")</f>
        <v/>
      </c>
      <c r="W3559">
        <f>IF(AND(ISNUMBER('자료_거시'!$G3541),ISNUMBER('자료_거시'!$H3541)),'자료_거시'!$H3541,"")</f>
        <v/>
      </c>
      <c r="X3559">
        <f>IF(ISNUMBER(W3559),'자료_거시'!$G3541,"")</f>
        <v/>
      </c>
      <c r="Y3559">
        <f>IF(ISNUMBER(X3559),IF(X3559&gt;$L$7,W3559,""),"")</f>
        <v/>
      </c>
      <c r="Z3559">
        <f>IF(ISNUMBER('자료_거시'!$K3541),'자료_거시'!$K3541,Z3558)</f>
        <v/>
      </c>
      <c r="AA3559">
        <f>IF(AND(ISNUMBER('자료_거시'!$J3541),ISNUMBER('자료_거시'!$K3541)),IFERROR('자료_거시'!$K3541/INDEX($Z$21:$Z$4020,MATCH(EDATE('자료_거시'!$J3541,-'설정'!$B$17),'자료_거시'!$J$3:INDEX('자료_거시'!$J$3:$J$4002,$K$8),1))-1,""),"")</f>
        <v/>
      </c>
      <c r="AB3559">
        <f>IF(ISNUMBER(AA3559),'자료_거시'!$J3541,"")</f>
        <v/>
      </c>
      <c r="AC3559">
        <f>IF(ISNUMBER(AB3559),IF(AB3559&gt;$L$8,AA3559,""),"")</f>
        <v/>
      </c>
    </row>
    <row r="3560">
      <c r="S3560">
        <f>IF(ISNUMBER('자료_거시'!$E3542),'자료_거시'!$E3542,S3559)</f>
        <v/>
      </c>
      <c r="T3560">
        <f>IF(AND(ISNUMBER('자료_거시'!$D3542),ISNUMBER('자료_거시'!$E3542)),IFERROR('자료_거시'!$E3542-INDEX($S$21:$S$4020,MATCH(EDATE('자료_거시'!$D3542,-'설정'!$B$17),'자료_거시'!$D$3:INDEX('자료_거시'!$D$3:$D$4002,$K$6),1)),""),"")</f>
        <v/>
      </c>
      <c r="U3560">
        <f>IF(ISNUMBER(T3560),'자료_거시'!$D3542,"")</f>
        <v/>
      </c>
      <c r="V3560">
        <f>IF(ISNUMBER(U3560),IF(U3560&gt;$L$6,T3560,""),"")</f>
        <v/>
      </c>
      <c r="W3560">
        <f>IF(AND(ISNUMBER('자료_거시'!$G3542),ISNUMBER('자료_거시'!$H3542)),'자료_거시'!$H3542,"")</f>
        <v/>
      </c>
      <c r="X3560">
        <f>IF(ISNUMBER(W3560),'자료_거시'!$G3542,"")</f>
        <v/>
      </c>
      <c r="Y3560">
        <f>IF(ISNUMBER(X3560),IF(X3560&gt;$L$7,W3560,""),"")</f>
        <v/>
      </c>
      <c r="Z3560">
        <f>IF(ISNUMBER('자료_거시'!$K3542),'자료_거시'!$K3542,Z3559)</f>
        <v/>
      </c>
      <c r="AA3560">
        <f>IF(AND(ISNUMBER('자료_거시'!$J3542),ISNUMBER('자료_거시'!$K3542)),IFERROR('자료_거시'!$K3542/INDEX($Z$21:$Z$4020,MATCH(EDATE('자료_거시'!$J3542,-'설정'!$B$17),'자료_거시'!$J$3:INDEX('자료_거시'!$J$3:$J$4002,$K$8),1))-1,""),"")</f>
        <v/>
      </c>
      <c r="AB3560">
        <f>IF(ISNUMBER(AA3560),'자료_거시'!$J3542,"")</f>
        <v/>
      </c>
      <c r="AC3560">
        <f>IF(ISNUMBER(AB3560),IF(AB3560&gt;$L$8,AA3560,""),"")</f>
        <v/>
      </c>
    </row>
    <row r="3561">
      <c r="S3561">
        <f>IF(ISNUMBER('자료_거시'!$E3543),'자료_거시'!$E3543,S3560)</f>
        <v/>
      </c>
      <c r="T3561">
        <f>IF(AND(ISNUMBER('자료_거시'!$D3543),ISNUMBER('자료_거시'!$E3543)),IFERROR('자료_거시'!$E3543-INDEX($S$21:$S$4020,MATCH(EDATE('자료_거시'!$D3543,-'설정'!$B$17),'자료_거시'!$D$3:INDEX('자료_거시'!$D$3:$D$4002,$K$6),1)),""),"")</f>
        <v/>
      </c>
      <c r="U3561">
        <f>IF(ISNUMBER(T3561),'자료_거시'!$D3543,"")</f>
        <v/>
      </c>
      <c r="V3561">
        <f>IF(ISNUMBER(U3561),IF(U3561&gt;$L$6,T3561,""),"")</f>
        <v/>
      </c>
      <c r="W3561">
        <f>IF(AND(ISNUMBER('자료_거시'!$G3543),ISNUMBER('자료_거시'!$H3543)),'자료_거시'!$H3543,"")</f>
        <v/>
      </c>
      <c r="X3561">
        <f>IF(ISNUMBER(W3561),'자료_거시'!$G3543,"")</f>
        <v/>
      </c>
      <c r="Y3561">
        <f>IF(ISNUMBER(X3561),IF(X3561&gt;$L$7,W3561,""),"")</f>
        <v/>
      </c>
      <c r="Z3561">
        <f>IF(ISNUMBER('자료_거시'!$K3543),'자료_거시'!$K3543,Z3560)</f>
        <v/>
      </c>
      <c r="AA3561">
        <f>IF(AND(ISNUMBER('자료_거시'!$J3543),ISNUMBER('자료_거시'!$K3543)),IFERROR('자료_거시'!$K3543/INDEX($Z$21:$Z$4020,MATCH(EDATE('자료_거시'!$J3543,-'설정'!$B$17),'자료_거시'!$J$3:INDEX('자료_거시'!$J$3:$J$4002,$K$8),1))-1,""),"")</f>
        <v/>
      </c>
      <c r="AB3561">
        <f>IF(ISNUMBER(AA3561),'자료_거시'!$J3543,"")</f>
        <v/>
      </c>
      <c r="AC3561">
        <f>IF(ISNUMBER(AB3561),IF(AB3561&gt;$L$8,AA3561,""),"")</f>
        <v/>
      </c>
    </row>
    <row r="3562">
      <c r="S3562">
        <f>IF(ISNUMBER('자료_거시'!$E3544),'자료_거시'!$E3544,S3561)</f>
        <v/>
      </c>
      <c r="T3562">
        <f>IF(AND(ISNUMBER('자료_거시'!$D3544),ISNUMBER('자료_거시'!$E3544)),IFERROR('자료_거시'!$E3544-INDEX($S$21:$S$4020,MATCH(EDATE('자료_거시'!$D3544,-'설정'!$B$17),'자료_거시'!$D$3:INDEX('자료_거시'!$D$3:$D$4002,$K$6),1)),""),"")</f>
        <v/>
      </c>
      <c r="U3562">
        <f>IF(ISNUMBER(T3562),'자료_거시'!$D3544,"")</f>
        <v/>
      </c>
      <c r="V3562">
        <f>IF(ISNUMBER(U3562),IF(U3562&gt;$L$6,T3562,""),"")</f>
        <v/>
      </c>
      <c r="W3562">
        <f>IF(AND(ISNUMBER('자료_거시'!$G3544),ISNUMBER('자료_거시'!$H3544)),'자료_거시'!$H3544,"")</f>
        <v/>
      </c>
      <c r="X3562">
        <f>IF(ISNUMBER(W3562),'자료_거시'!$G3544,"")</f>
        <v/>
      </c>
      <c r="Y3562">
        <f>IF(ISNUMBER(X3562),IF(X3562&gt;$L$7,W3562,""),"")</f>
        <v/>
      </c>
      <c r="Z3562">
        <f>IF(ISNUMBER('자료_거시'!$K3544),'자료_거시'!$K3544,Z3561)</f>
        <v/>
      </c>
      <c r="AA3562">
        <f>IF(AND(ISNUMBER('자료_거시'!$J3544),ISNUMBER('자료_거시'!$K3544)),IFERROR('자료_거시'!$K3544/INDEX($Z$21:$Z$4020,MATCH(EDATE('자료_거시'!$J3544,-'설정'!$B$17),'자료_거시'!$J$3:INDEX('자료_거시'!$J$3:$J$4002,$K$8),1))-1,""),"")</f>
        <v/>
      </c>
      <c r="AB3562">
        <f>IF(ISNUMBER(AA3562),'자료_거시'!$J3544,"")</f>
        <v/>
      </c>
      <c r="AC3562">
        <f>IF(ISNUMBER(AB3562),IF(AB3562&gt;$L$8,AA3562,""),"")</f>
        <v/>
      </c>
    </row>
    <row r="3563">
      <c r="S3563">
        <f>IF(ISNUMBER('자료_거시'!$E3545),'자료_거시'!$E3545,S3562)</f>
        <v/>
      </c>
      <c r="T3563">
        <f>IF(AND(ISNUMBER('자료_거시'!$D3545),ISNUMBER('자료_거시'!$E3545)),IFERROR('자료_거시'!$E3545-INDEX($S$21:$S$4020,MATCH(EDATE('자료_거시'!$D3545,-'설정'!$B$17),'자료_거시'!$D$3:INDEX('자료_거시'!$D$3:$D$4002,$K$6),1)),""),"")</f>
        <v/>
      </c>
      <c r="U3563">
        <f>IF(ISNUMBER(T3563),'자료_거시'!$D3545,"")</f>
        <v/>
      </c>
      <c r="V3563">
        <f>IF(ISNUMBER(U3563),IF(U3563&gt;$L$6,T3563,""),"")</f>
        <v/>
      </c>
      <c r="W3563">
        <f>IF(AND(ISNUMBER('자료_거시'!$G3545),ISNUMBER('자료_거시'!$H3545)),'자료_거시'!$H3545,"")</f>
        <v/>
      </c>
      <c r="X3563">
        <f>IF(ISNUMBER(W3563),'자료_거시'!$G3545,"")</f>
        <v/>
      </c>
      <c r="Y3563">
        <f>IF(ISNUMBER(X3563),IF(X3563&gt;$L$7,W3563,""),"")</f>
        <v/>
      </c>
      <c r="Z3563">
        <f>IF(ISNUMBER('자료_거시'!$K3545),'자료_거시'!$K3545,Z3562)</f>
        <v/>
      </c>
      <c r="AA3563">
        <f>IF(AND(ISNUMBER('자료_거시'!$J3545),ISNUMBER('자료_거시'!$K3545)),IFERROR('자료_거시'!$K3545/INDEX($Z$21:$Z$4020,MATCH(EDATE('자료_거시'!$J3545,-'설정'!$B$17),'자료_거시'!$J$3:INDEX('자료_거시'!$J$3:$J$4002,$K$8),1))-1,""),"")</f>
        <v/>
      </c>
      <c r="AB3563">
        <f>IF(ISNUMBER(AA3563),'자료_거시'!$J3545,"")</f>
        <v/>
      </c>
      <c r="AC3563">
        <f>IF(ISNUMBER(AB3563),IF(AB3563&gt;$L$8,AA3563,""),"")</f>
        <v/>
      </c>
    </row>
    <row r="3564">
      <c r="S3564">
        <f>IF(ISNUMBER('자료_거시'!$E3546),'자료_거시'!$E3546,S3563)</f>
        <v/>
      </c>
      <c r="T3564">
        <f>IF(AND(ISNUMBER('자료_거시'!$D3546),ISNUMBER('자료_거시'!$E3546)),IFERROR('자료_거시'!$E3546-INDEX($S$21:$S$4020,MATCH(EDATE('자료_거시'!$D3546,-'설정'!$B$17),'자료_거시'!$D$3:INDEX('자료_거시'!$D$3:$D$4002,$K$6),1)),""),"")</f>
        <v/>
      </c>
      <c r="U3564">
        <f>IF(ISNUMBER(T3564),'자료_거시'!$D3546,"")</f>
        <v/>
      </c>
      <c r="V3564">
        <f>IF(ISNUMBER(U3564),IF(U3564&gt;$L$6,T3564,""),"")</f>
        <v/>
      </c>
      <c r="W3564">
        <f>IF(AND(ISNUMBER('자료_거시'!$G3546),ISNUMBER('자료_거시'!$H3546)),'자료_거시'!$H3546,"")</f>
        <v/>
      </c>
      <c r="X3564">
        <f>IF(ISNUMBER(W3564),'자료_거시'!$G3546,"")</f>
        <v/>
      </c>
      <c r="Y3564">
        <f>IF(ISNUMBER(X3564),IF(X3564&gt;$L$7,W3564,""),"")</f>
        <v/>
      </c>
      <c r="Z3564">
        <f>IF(ISNUMBER('자료_거시'!$K3546),'자료_거시'!$K3546,Z3563)</f>
        <v/>
      </c>
      <c r="AA3564">
        <f>IF(AND(ISNUMBER('자료_거시'!$J3546),ISNUMBER('자료_거시'!$K3546)),IFERROR('자료_거시'!$K3546/INDEX($Z$21:$Z$4020,MATCH(EDATE('자료_거시'!$J3546,-'설정'!$B$17),'자료_거시'!$J$3:INDEX('자료_거시'!$J$3:$J$4002,$K$8),1))-1,""),"")</f>
        <v/>
      </c>
      <c r="AB3564">
        <f>IF(ISNUMBER(AA3564),'자료_거시'!$J3546,"")</f>
        <v/>
      </c>
      <c r="AC3564">
        <f>IF(ISNUMBER(AB3564),IF(AB3564&gt;$L$8,AA3564,""),"")</f>
        <v/>
      </c>
    </row>
    <row r="3565">
      <c r="S3565">
        <f>IF(ISNUMBER('자료_거시'!$E3547),'자료_거시'!$E3547,S3564)</f>
        <v/>
      </c>
      <c r="T3565">
        <f>IF(AND(ISNUMBER('자료_거시'!$D3547),ISNUMBER('자료_거시'!$E3547)),IFERROR('자료_거시'!$E3547-INDEX($S$21:$S$4020,MATCH(EDATE('자료_거시'!$D3547,-'설정'!$B$17),'자료_거시'!$D$3:INDEX('자료_거시'!$D$3:$D$4002,$K$6),1)),""),"")</f>
        <v/>
      </c>
      <c r="U3565">
        <f>IF(ISNUMBER(T3565),'자료_거시'!$D3547,"")</f>
        <v/>
      </c>
      <c r="V3565">
        <f>IF(ISNUMBER(U3565),IF(U3565&gt;$L$6,T3565,""),"")</f>
        <v/>
      </c>
      <c r="W3565">
        <f>IF(AND(ISNUMBER('자료_거시'!$G3547),ISNUMBER('자료_거시'!$H3547)),'자료_거시'!$H3547,"")</f>
        <v/>
      </c>
      <c r="X3565">
        <f>IF(ISNUMBER(W3565),'자료_거시'!$G3547,"")</f>
        <v/>
      </c>
      <c r="Y3565">
        <f>IF(ISNUMBER(X3565),IF(X3565&gt;$L$7,W3565,""),"")</f>
        <v/>
      </c>
      <c r="Z3565">
        <f>IF(ISNUMBER('자료_거시'!$K3547),'자료_거시'!$K3547,Z3564)</f>
        <v/>
      </c>
      <c r="AA3565">
        <f>IF(AND(ISNUMBER('자료_거시'!$J3547),ISNUMBER('자료_거시'!$K3547)),IFERROR('자료_거시'!$K3547/INDEX($Z$21:$Z$4020,MATCH(EDATE('자료_거시'!$J3547,-'설정'!$B$17),'자료_거시'!$J$3:INDEX('자료_거시'!$J$3:$J$4002,$K$8),1))-1,""),"")</f>
        <v/>
      </c>
      <c r="AB3565">
        <f>IF(ISNUMBER(AA3565),'자료_거시'!$J3547,"")</f>
        <v/>
      </c>
      <c r="AC3565">
        <f>IF(ISNUMBER(AB3565),IF(AB3565&gt;$L$8,AA3565,""),"")</f>
        <v/>
      </c>
    </row>
    <row r="3566">
      <c r="S3566">
        <f>IF(ISNUMBER('자료_거시'!$E3548),'자료_거시'!$E3548,S3565)</f>
        <v/>
      </c>
      <c r="T3566">
        <f>IF(AND(ISNUMBER('자료_거시'!$D3548),ISNUMBER('자료_거시'!$E3548)),IFERROR('자료_거시'!$E3548-INDEX($S$21:$S$4020,MATCH(EDATE('자료_거시'!$D3548,-'설정'!$B$17),'자료_거시'!$D$3:INDEX('자료_거시'!$D$3:$D$4002,$K$6),1)),""),"")</f>
        <v/>
      </c>
      <c r="U3566">
        <f>IF(ISNUMBER(T3566),'자료_거시'!$D3548,"")</f>
        <v/>
      </c>
      <c r="V3566">
        <f>IF(ISNUMBER(U3566),IF(U3566&gt;$L$6,T3566,""),"")</f>
        <v/>
      </c>
      <c r="W3566">
        <f>IF(AND(ISNUMBER('자료_거시'!$G3548),ISNUMBER('자료_거시'!$H3548)),'자료_거시'!$H3548,"")</f>
        <v/>
      </c>
      <c r="X3566">
        <f>IF(ISNUMBER(W3566),'자료_거시'!$G3548,"")</f>
        <v/>
      </c>
      <c r="Y3566">
        <f>IF(ISNUMBER(X3566),IF(X3566&gt;$L$7,W3566,""),"")</f>
        <v/>
      </c>
      <c r="Z3566">
        <f>IF(ISNUMBER('자료_거시'!$K3548),'자료_거시'!$K3548,Z3565)</f>
        <v/>
      </c>
      <c r="AA3566">
        <f>IF(AND(ISNUMBER('자료_거시'!$J3548),ISNUMBER('자료_거시'!$K3548)),IFERROR('자료_거시'!$K3548/INDEX($Z$21:$Z$4020,MATCH(EDATE('자료_거시'!$J3548,-'설정'!$B$17),'자료_거시'!$J$3:INDEX('자료_거시'!$J$3:$J$4002,$K$8),1))-1,""),"")</f>
        <v/>
      </c>
      <c r="AB3566">
        <f>IF(ISNUMBER(AA3566),'자료_거시'!$J3548,"")</f>
        <v/>
      </c>
      <c r="AC3566">
        <f>IF(ISNUMBER(AB3566),IF(AB3566&gt;$L$8,AA3566,""),"")</f>
        <v/>
      </c>
    </row>
    <row r="3567">
      <c r="S3567">
        <f>IF(ISNUMBER('자료_거시'!$E3549),'자료_거시'!$E3549,S3566)</f>
        <v/>
      </c>
      <c r="T3567">
        <f>IF(AND(ISNUMBER('자료_거시'!$D3549),ISNUMBER('자료_거시'!$E3549)),IFERROR('자료_거시'!$E3549-INDEX($S$21:$S$4020,MATCH(EDATE('자료_거시'!$D3549,-'설정'!$B$17),'자료_거시'!$D$3:INDEX('자료_거시'!$D$3:$D$4002,$K$6),1)),""),"")</f>
        <v/>
      </c>
      <c r="U3567">
        <f>IF(ISNUMBER(T3567),'자료_거시'!$D3549,"")</f>
        <v/>
      </c>
      <c r="V3567">
        <f>IF(ISNUMBER(U3567),IF(U3567&gt;$L$6,T3567,""),"")</f>
        <v/>
      </c>
      <c r="W3567">
        <f>IF(AND(ISNUMBER('자료_거시'!$G3549),ISNUMBER('자료_거시'!$H3549)),'자료_거시'!$H3549,"")</f>
        <v/>
      </c>
      <c r="X3567">
        <f>IF(ISNUMBER(W3567),'자료_거시'!$G3549,"")</f>
        <v/>
      </c>
      <c r="Y3567">
        <f>IF(ISNUMBER(X3567),IF(X3567&gt;$L$7,W3567,""),"")</f>
        <v/>
      </c>
      <c r="Z3567">
        <f>IF(ISNUMBER('자료_거시'!$K3549),'자료_거시'!$K3549,Z3566)</f>
        <v/>
      </c>
      <c r="AA3567">
        <f>IF(AND(ISNUMBER('자료_거시'!$J3549),ISNUMBER('자료_거시'!$K3549)),IFERROR('자료_거시'!$K3549/INDEX($Z$21:$Z$4020,MATCH(EDATE('자료_거시'!$J3549,-'설정'!$B$17),'자료_거시'!$J$3:INDEX('자료_거시'!$J$3:$J$4002,$K$8),1))-1,""),"")</f>
        <v/>
      </c>
      <c r="AB3567">
        <f>IF(ISNUMBER(AA3567),'자료_거시'!$J3549,"")</f>
        <v/>
      </c>
      <c r="AC3567">
        <f>IF(ISNUMBER(AB3567),IF(AB3567&gt;$L$8,AA3567,""),"")</f>
        <v/>
      </c>
    </row>
    <row r="3568">
      <c r="S3568">
        <f>IF(ISNUMBER('자료_거시'!$E3550),'자료_거시'!$E3550,S3567)</f>
        <v/>
      </c>
      <c r="T3568">
        <f>IF(AND(ISNUMBER('자료_거시'!$D3550),ISNUMBER('자료_거시'!$E3550)),IFERROR('자료_거시'!$E3550-INDEX($S$21:$S$4020,MATCH(EDATE('자료_거시'!$D3550,-'설정'!$B$17),'자료_거시'!$D$3:INDEX('자료_거시'!$D$3:$D$4002,$K$6),1)),""),"")</f>
        <v/>
      </c>
      <c r="U3568">
        <f>IF(ISNUMBER(T3568),'자료_거시'!$D3550,"")</f>
        <v/>
      </c>
      <c r="V3568">
        <f>IF(ISNUMBER(U3568),IF(U3568&gt;$L$6,T3568,""),"")</f>
        <v/>
      </c>
      <c r="W3568">
        <f>IF(AND(ISNUMBER('자료_거시'!$G3550),ISNUMBER('자료_거시'!$H3550)),'자료_거시'!$H3550,"")</f>
        <v/>
      </c>
      <c r="X3568">
        <f>IF(ISNUMBER(W3568),'자료_거시'!$G3550,"")</f>
        <v/>
      </c>
      <c r="Y3568">
        <f>IF(ISNUMBER(X3568),IF(X3568&gt;$L$7,W3568,""),"")</f>
        <v/>
      </c>
      <c r="Z3568">
        <f>IF(ISNUMBER('자료_거시'!$K3550),'자료_거시'!$K3550,Z3567)</f>
        <v/>
      </c>
      <c r="AA3568">
        <f>IF(AND(ISNUMBER('자료_거시'!$J3550),ISNUMBER('자료_거시'!$K3550)),IFERROR('자료_거시'!$K3550/INDEX($Z$21:$Z$4020,MATCH(EDATE('자료_거시'!$J3550,-'설정'!$B$17),'자료_거시'!$J$3:INDEX('자료_거시'!$J$3:$J$4002,$K$8),1))-1,""),"")</f>
        <v/>
      </c>
      <c r="AB3568">
        <f>IF(ISNUMBER(AA3568),'자료_거시'!$J3550,"")</f>
        <v/>
      </c>
      <c r="AC3568">
        <f>IF(ISNUMBER(AB3568),IF(AB3568&gt;$L$8,AA3568,""),"")</f>
        <v/>
      </c>
    </row>
    <row r="3569">
      <c r="S3569">
        <f>IF(ISNUMBER('자료_거시'!$E3551),'자료_거시'!$E3551,S3568)</f>
        <v/>
      </c>
      <c r="T3569">
        <f>IF(AND(ISNUMBER('자료_거시'!$D3551),ISNUMBER('자료_거시'!$E3551)),IFERROR('자료_거시'!$E3551-INDEX($S$21:$S$4020,MATCH(EDATE('자료_거시'!$D3551,-'설정'!$B$17),'자료_거시'!$D$3:INDEX('자료_거시'!$D$3:$D$4002,$K$6),1)),""),"")</f>
        <v/>
      </c>
      <c r="U3569">
        <f>IF(ISNUMBER(T3569),'자료_거시'!$D3551,"")</f>
        <v/>
      </c>
      <c r="V3569">
        <f>IF(ISNUMBER(U3569),IF(U3569&gt;$L$6,T3569,""),"")</f>
        <v/>
      </c>
      <c r="W3569">
        <f>IF(AND(ISNUMBER('자료_거시'!$G3551),ISNUMBER('자료_거시'!$H3551)),'자료_거시'!$H3551,"")</f>
        <v/>
      </c>
      <c r="X3569">
        <f>IF(ISNUMBER(W3569),'자료_거시'!$G3551,"")</f>
        <v/>
      </c>
      <c r="Y3569">
        <f>IF(ISNUMBER(X3569),IF(X3569&gt;$L$7,W3569,""),"")</f>
        <v/>
      </c>
      <c r="Z3569">
        <f>IF(ISNUMBER('자료_거시'!$K3551),'자료_거시'!$K3551,Z3568)</f>
        <v/>
      </c>
      <c r="AA3569">
        <f>IF(AND(ISNUMBER('자료_거시'!$J3551),ISNUMBER('자료_거시'!$K3551)),IFERROR('자료_거시'!$K3551/INDEX($Z$21:$Z$4020,MATCH(EDATE('자료_거시'!$J3551,-'설정'!$B$17),'자료_거시'!$J$3:INDEX('자료_거시'!$J$3:$J$4002,$K$8),1))-1,""),"")</f>
        <v/>
      </c>
      <c r="AB3569">
        <f>IF(ISNUMBER(AA3569),'자료_거시'!$J3551,"")</f>
        <v/>
      </c>
      <c r="AC3569">
        <f>IF(ISNUMBER(AB3569),IF(AB3569&gt;$L$8,AA3569,""),"")</f>
        <v/>
      </c>
    </row>
    <row r="3570">
      <c r="S3570">
        <f>IF(ISNUMBER('자료_거시'!$E3552),'자료_거시'!$E3552,S3569)</f>
        <v/>
      </c>
      <c r="T3570">
        <f>IF(AND(ISNUMBER('자료_거시'!$D3552),ISNUMBER('자료_거시'!$E3552)),IFERROR('자료_거시'!$E3552-INDEX($S$21:$S$4020,MATCH(EDATE('자료_거시'!$D3552,-'설정'!$B$17),'자료_거시'!$D$3:INDEX('자료_거시'!$D$3:$D$4002,$K$6),1)),""),"")</f>
        <v/>
      </c>
      <c r="U3570">
        <f>IF(ISNUMBER(T3570),'자료_거시'!$D3552,"")</f>
        <v/>
      </c>
      <c r="V3570">
        <f>IF(ISNUMBER(U3570),IF(U3570&gt;$L$6,T3570,""),"")</f>
        <v/>
      </c>
      <c r="W3570">
        <f>IF(AND(ISNUMBER('자료_거시'!$G3552),ISNUMBER('자료_거시'!$H3552)),'자료_거시'!$H3552,"")</f>
        <v/>
      </c>
      <c r="X3570">
        <f>IF(ISNUMBER(W3570),'자료_거시'!$G3552,"")</f>
        <v/>
      </c>
      <c r="Y3570">
        <f>IF(ISNUMBER(X3570),IF(X3570&gt;$L$7,W3570,""),"")</f>
        <v/>
      </c>
      <c r="Z3570">
        <f>IF(ISNUMBER('자료_거시'!$K3552),'자료_거시'!$K3552,Z3569)</f>
        <v/>
      </c>
      <c r="AA3570">
        <f>IF(AND(ISNUMBER('자료_거시'!$J3552),ISNUMBER('자료_거시'!$K3552)),IFERROR('자료_거시'!$K3552/INDEX($Z$21:$Z$4020,MATCH(EDATE('자료_거시'!$J3552,-'설정'!$B$17),'자료_거시'!$J$3:INDEX('자료_거시'!$J$3:$J$4002,$K$8),1))-1,""),"")</f>
        <v/>
      </c>
      <c r="AB3570">
        <f>IF(ISNUMBER(AA3570),'자료_거시'!$J3552,"")</f>
        <v/>
      </c>
      <c r="AC3570">
        <f>IF(ISNUMBER(AB3570),IF(AB3570&gt;$L$8,AA3570,""),"")</f>
        <v/>
      </c>
    </row>
    <row r="3571">
      <c r="S3571">
        <f>IF(ISNUMBER('자료_거시'!$E3553),'자료_거시'!$E3553,S3570)</f>
        <v/>
      </c>
      <c r="T3571">
        <f>IF(AND(ISNUMBER('자료_거시'!$D3553),ISNUMBER('자료_거시'!$E3553)),IFERROR('자료_거시'!$E3553-INDEX($S$21:$S$4020,MATCH(EDATE('자료_거시'!$D3553,-'설정'!$B$17),'자료_거시'!$D$3:INDEX('자료_거시'!$D$3:$D$4002,$K$6),1)),""),"")</f>
        <v/>
      </c>
      <c r="U3571">
        <f>IF(ISNUMBER(T3571),'자료_거시'!$D3553,"")</f>
        <v/>
      </c>
      <c r="V3571">
        <f>IF(ISNUMBER(U3571),IF(U3571&gt;$L$6,T3571,""),"")</f>
        <v/>
      </c>
      <c r="W3571">
        <f>IF(AND(ISNUMBER('자료_거시'!$G3553),ISNUMBER('자료_거시'!$H3553)),'자료_거시'!$H3553,"")</f>
        <v/>
      </c>
      <c r="X3571">
        <f>IF(ISNUMBER(W3571),'자료_거시'!$G3553,"")</f>
        <v/>
      </c>
      <c r="Y3571">
        <f>IF(ISNUMBER(X3571),IF(X3571&gt;$L$7,W3571,""),"")</f>
        <v/>
      </c>
      <c r="Z3571">
        <f>IF(ISNUMBER('자료_거시'!$K3553),'자료_거시'!$K3553,Z3570)</f>
        <v/>
      </c>
      <c r="AA3571">
        <f>IF(AND(ISNUMBER('자료_거시'!$J3553),ISNUMBER('자료_거시'!$K3553)),IFERROR('자료_거시'!$K3553/INDEX($Z$21:$Z$4020,MATCH(EDATE('자료_거시'!$J3553,-'설정'!$B$17),'자료_거시'!$J$3:INDEX('자료_거시'!$J$3:$J$4002,$K$8),1))-1,""),"")</f>
        <v/>
      </c>
      <c r="AB3571">
        <f>IF(ISNUMBER(AA3571),'자료_거시'!$J3553,"")</f>
        <v/>
      </c>
      <c r="AC3571">
        <f>IF(ISNUMBER(AB3571),IF(AB3571&gt;$L$8,AA3571,""),"")</f>
        <v/>
      </c>
    </row>
    <row r="3572">
      <c r="S3572">
        <f>IF(ISNUMBER('자료_거시'!$E3554),'자료_거시'!$E3554,S3571)</f>
        <v/>
      </c>
      <c r="T3572">
        <f>IF(AND(ISNUMBER('자료_거시'!$D3554),ISNUMBER('자료_거시'!$E3554)),IFERROR('자료_거시'!$E3554-INDEX($S$21:$S$4020,MATCH(EDATE('자료_거시'!$D3554,-'설정'!$B$17),'자료_거시'!$D$3:INDEX('자료_거시'!$D$3:$D$4002,$K$6),1)),""),"")</f>
        <v/>
      </c>
      <c r="U3572">
        <f>IF(ISNUMBER(T3572),'자료_거시'!$D3554,"")</f>
        <v/>
      </c>
      <c r="V3572">
        <f>IF(ISNUMBER(U3572),IF(U3572&gt;$L$6,T3572,""),"")</f>
        <v/>
      </c>
      <c r="W3572">
        <f>IF(AND(ISNUMBER('자료_거시'!$G3554),ISNUMBER('자료_거시'!$H3554)),'자료_거시'!$H3554,"")</f>
        <v/>
      </c>
      <c r="X3572">
        <f>IF(ISNUMBER(W3572),'자료_거시'!$G3554,"")</f>
        <v/>
      </c>
      <c r="Y3572">
        <f>IF(ISNUMBER(X3572),IF(X3572&gt;$L$7,W3572,""),"")</f>
        <v/>
      </c>
      <c r="Z3572">
        <f>IF(ISNUMBER('자료_거시'!$K3554),'자료_거시'!$K3554,Z3571)</f>
        <v/>
      </c>
      <c r="AA3572">
        <f>IF(AND(ISNUMBER('자료_거시'!$J3554),ISNUMBER('자료_거시'!$K3554)),IFERROR('자료_거시'!$K3554/INDEX($Z$21:$Z$4020,MATCH(EDATE('자료_거시'!$J3554,-'설정'!$B$17),'자료_거시'!$J$3:INDEX('자료_거시'!$J$3:$J$4002,$K$8),1))-1,""),"")</f>
        <v/>
      </c>
      <c r="AB3572">
        <f>IF(ISNUMBER(AA3572),'자료_거시'!$J3554,"")</f>
        <v/>
      </c>
      <c r="AC3572">
        <f>IF(ISNUMBER(AB3572),IF(AB3572&gt;$L$8,AA3572,""),"")</f>
        <v/>
      </c>
    </row>
    <row r="3573">
      <c r="S3573">
        <f>IF(ISNUMBER('자료_거시'!$E3555),'자료_거시'!$E3555,S3572)</f>
        <v/>
      </c>
      <c r="T3573">
        <f>IF(AND(ISNUMBER('자료_거시'!$D3555),ISNUMBER('자료_거시'!$E3555)),IFERROR('자료_거시'!$E3555-INDEX($S$21:$S$4020,MATCH(EDATE('자료_거시'!$D3555,-'설정'!$B$17),'자료_거시'!$D$3:INDEX('자료_거시'!$D$3:$D$4002,$K$6),1)),""),"")</f>
        <v/>
      </c>
      <c r="U3573">
        <f>IF(ISNUMBER(T3573),'자료_거시'!$D3555,"")</f>
        <v/>
      </c>
      <c r="V3573">
        <f>IF(ISNUMBER(U3573),IF(U3573&gt;$L$6,T3573,""),"")</f>
        <v/>
      </c>
      <c r="W3573">
        <f>IF(AND(ISNUMBER('자료_거시'!$G3555),ISNUMBER('자료_거시'!$H3555)),'자료_거시'!$H3555,"")</f>
        <v/>
      </c>
      <c r="X3573">
        <f>IF(ISNUMBER(W3573),'자료_거시'!$G3555,"")</f>
        <v/>
      </c>
      <c r="Y3573">
        <f>IF(ISNUMBER(X3573),IF(X3573&gt;$L$7,W3573,""),"")</f>
        <v/>
      </c>
      <c r="Z3573">
        <f>IF(ISNUMBER('자료_거시'!$K3555),'자료_거시'!$K3555,Z3572)</f>
        <v/>
      </c>
      <c r="AA3573">
        <f>IF(AND(ISNUMBER('자료_거시'!$J3555),ISNUMBER('자료_거시'!$K3555)),IFERROR('자료_거시'!$K3555/INDEX($Z$21:$Z$4020,MATCH(EDATE('자료_거시'!$J3555,-'설정'!$B$17),'자료_거시'!$J$3:INDEX('자료_거시'!$J$3:$J$4002,$K$8),1))-1,""),"")</f>
        <v/>
      </c>
      <c r="AB3573">
        <f>IF(ISNUMBER(AA3573),'자료_거시'!$J3555,"")</f>
        <v/>
      </c>
      <c r="AC3573">
        <f>IF(ISNUMBER(AB3573),IF(AB3573&gt;$L$8,AA3573,""),"")</f>
        <v/>
      </c>
    </row>
    <row r="3574">
      <c r="S3574">
        <f>IF(ISNUMBER('자료_거시'!$E3556),'자료_거시'!$E3556,S3573)</f>
        <v/>
      </c>
      <c r="T3574">
        <f>IF(AND(ISNUMBER('자료_거시'!$D3556),ISNUMBER('자료_거시'!$E3556)),IFERROR('자료_거시'!$E3556-INDEX($S$21:$S$4020,MATCH(EDATE('자료_거시'!$D3556,-'설정'!$B$17),'자료_거시'!$D$3:INDEX('자료_거시'!$D$3:$D$4002,$K$6),1)),""),"")</f>
        <v/>
      </c>
      <c r="U3574">
        <f>IF(ISNUMBER(T3574),'자료_거시'!$D3556,"")</f>
        <v/>
      </c>
      <c r="V3574">
        <f>IF(ISNUMBER(U3574),IF(U3574&gt;$L$6,T3574,""),"")</f>
        <v/>
      </c>
      <c r="W3574">
        <f>IF(AND(ISNUMBER('자료_거시'!$G3556),ISNUMBER('자료_거시'!$H3556)),'자료_거시'!$H3556,"")</f>
        <v/>
      </c>
      <c r="X3574">
        <f>IF(ISNUMBER(W3574),'자료_거시'!$G3556,"")</f>
        <v/>
      </c>
      <c r="Y3574">
        <f>IF(ISNUMBER(X3574),IF(X3574&gt;$L$7,W3574,""),"")</f>
        <v/>
      </c>
      <c r="Z3574">
        <f>IF(ISNUMBER('자료_거시'!$K3556),'자료_거시'!$K3556,Z3573)</f>
        <v/>
      </c>
      <c r="AA3574">
        <f>IF(AND(ISNUMBER('자료_거시'!$J3556),ISNUMBER('자료_거시'!$K3556)),IFERROR('자료_거시'!$K3556/INDEX($Z$21:$Z$4020,MATCH(EDATE('자료_거시'!$J3556,-'설정'!$B$17),'자료_거시'!$J$3:INDEX('자료_거시'!$J$3:$J$4002,$K$8),1))-1,""),"")</f>
        <v/>
      </c>
      <c r="AB3574">
        <f>IF(ISNUMBER(AA3574),'자료_거시'!$J3556,"")</f>
        <v/>
      </c>
      <c r="AC3574">
        <f>IF(ISNUMBER(AB3574),IF(AB3574&gt;$L$8,AA3574,""),"")</f>
        <v/>
      </c>
    </row>
    <row r="3575">
      <c r="S3575">
        <f>IF(ISNUMBER('자료_거시'!$E3557),'자료_거시'!$E3557,S3574)</f>
        <v/>
      </c>
      <c r="T3575">
        <f>IF(AND(ISNUMBER('자료_거시'!$D3557),ISNUMBER('자료_거시'!$E3557)),IFERROR('자료_거시'!$E3557-INDEX($S$21:$S$4020,MATCH(EDATE('자료_거시'!$D3557,-'설정'!$B$17),'자료_거시'!$D$3:INDEX('자료_거시'!$D$3:$D$4002,$K$6),1)),""),"")</f>
        <v/>
      </c>
      <c r="U3575">
        <f>IF(ISNUMBER(T3575),'자료_거시'!$D3557,"")</f>
        <v/>
      </c>
      <c r="V3575">
        <f>IF(ISNUMBER(U3575),IF(U3575&gt;$L$6,T3575,""),"")</f>
        <v/>
      </c>
      <c r="W3575">
        <f>IF(AND(ISNUMBER('자료_거시'!$G3557),ISNUMBER('자료_거시'!$H3557)),'자료_거시'!$H3557,"")</f>
        <v/>
      </c>
      <c r="X3575">
        <f>IF(ISNUMBER(W3575),'자료_거시'!$G3557,"")</f>
        <v/>
      </c>
      <c r="Y3575">
        <f>IF(ISNUMBER(X3575),IF(X3575&gt;$L$7,W3575,""),"")</f>
        <v/>
      </c>
      <c r="Z3575">
        <f>IF(ISNUMBER('자료_거시'!$K3557),'자료_거시'!$K3557,Z3574)</f>
        <v/>
      </c>
      <c r="AA3575">
        <f>IF(AND(ISNUMBER('자료_거시'!$J3557),ISNUMBER('자료_거시'!$K3557)),IFERROR('자료_거시'!$K3557/INDEX($Z$21:$Z$4020,MATCH(EDATE('자료_거시'!$J3557,-'설정'!$B$17),'자료_거시'!$J$3:INDEX('자료_거시'!$J$3:$J$4002,$K$8),1))-1,""),"")</f>
        <v/>
      </c>
      <c r="AB3575">
        <f>IF(ISNUMBER(AA3575),'자료_거시'!$J3557,"")</f>
        <v/>
      </c>
      <c r="AC3575">
        <f>IF(ISNUMBER(AB3575),IF(AB3575&gt;$L$8,AA3575,""),"")</f>
        <v/>
      </c>
    </row>
    <row r="3576">
      <c r="S3576">
        <f>IF(ISNUMBER('자료_거시'!$E3558),'자료_거시'!$E3558,S3575)</f>
        <v/>
      </c>
      <c r="T3576">
        <f>IF(AND(ISNUMBER('자료_거시'!$D3558),ISNUMBER('자료_거시'!$E3558)),IFERROR('자료_거시'!$E3558-INDEX($S$21:$S$4020,MATCH(EDATE('자료_거시'!$D3558,-'설정'!$B$17),'자료_거시'!$D$3:INDEX('자료_거시'!$D$3:$D$4002,$K$6),1)),""),"")</f>
        <v/>
      </c>
      <c r="U3576">
        <f>IF(ISNUMBER(T3576),'자료_거시'!$D3558,"")</f>
        <v/>
      </c>
      <c r="V3576">
        <f>IF(ISNUMBER(U3576),IF(U3576&gt;$L$6,T3576,""),"")</f>
        <v/>
      </c>
      <c r="W3576">
        <f>IF(AND(ISNUMBER('자료_거시'!$G3558),ISNUMBER('자료_거시'!$H3558)),'자료_거시'!$H3558,"")</f>
        <v/>
      </c>
      <c r="X3576">
        <f>IF(ISNUMBER(W3576),'자료_거시'!$G3558,"")</f>
        <v/>
      </c>
      <c r="Y3576">
        <f>IF(ISNUMBER(X3576),IF(X3576&gt;$L$7,W3576,""),"")</f>
        <v/>
      </c>
      <c r="Z3576">
        <f>IF(ISNUMBER('자료_거시'!$K3558),'자료_거시'!$K3558,Z3575)</f>
        <v/>
      </c>
      <c r="AA3576">
        <f>IF(AND(ISNUMBER('자료_거시'!$J3558),ISNUMBER('자료_거시'!$K3558)),IFERROR('자료_거시'!$K3558/INDEX($Z$21:$Z$4020,MATCH(EDATE('자료_거시'!$J3558,-'설정'!$B$17),'자료_거시'!$J$3:INDEX('자료_거시'!$J$3:$J$4002,$K$8),1))-1,""),"")</f>
        <v/>
      </c>
      <c r="AB3576">
        <f>IF(ISNUMBER(AA3576),'자료_거시'!$J3558,"")</f>
        <v/>
      </c>
      <c r="AC3576">
        <f>IF(ISNUMBER(AB3576),IF(AB3576&gt;$L$8,AA3576,""),"")</f>
        <v/>
      </c>
    </row>
    <row r="3577">
      <c r="S3577">
        <f>IF(ISNUMBER('자료_거시'!$E3559),'자료_거시'!$E3559,S3576)</f>
        <v/>
      </c>
      <c r="T3577">
        <f>IF(AND(ISNUMBER('자료_거시'!$D3559),ISNUMBER('자료_거시'!$E3559)),IFERROR('자료_거시'!$E3559-INDEX($S$21:$S$4020,MATCH(EDATE('자료_거시'!$D3559,-'설정'!$B$17),'자료_거시'!$D$3:INDEX('자료_거시'!$D$3:$D$4002,$K$6),1)),""),"")</f>
        <v/>
      </c>
      <c r="U3577">
        <f>IF(ISNUMBER(T3577),'자료_거시'!$D3559,"")</f>
        <v/>
      </c>
      <c r="V3577">
        <f>IF(ISNUMBER(U3577),IF(U3577&gt;$L$6,T3577,""),"")</f>
        <v/>
      </c>
      <c r="W3577">
        <f>IF(AND(ISNUMBER('자료_거시'!$G3559),ISNUMBER('자료_거시'!$H3559)),'자료_거시'!$H3559,"")</f>
        <v/>
      </c>
      <c r="X3577">
        <f>IF(ISNUMBER(W3577),'자료_거시'!$G3559,"")</f>
        <v/>
      </c>
      <c r="Y3577">
        <f>IF(ISNUMBER(X3577),IF(X3577&gt;$L$7,W3577,""),"")</f>
        <v/>
      </c>
      <c r="Z3577">
        <f>IF(ISNUMBER('자료_거시'!$K3559),'자료_거시'!$K3559,Z3576)</f>
        <v/>
      </c>
      <c r="AA3577">
        <f>IF(AND(ISNUMBER('자료_거시'!$J3559),ISNUMBER('자료_거시'!$K3559)),IFERROR('자료_거시'!$K3559/INDEX($Z$21:$Z$4020,MATCH(EDATE('자료_거시'!$J3559,-'설정'!$B$17),'자료_거시'!$J$3:INDEX('자료_거시'!$J$3:$J$4002,$K$8),1))-1,""),"")</f>
        <v/>
      </c>
      <c r="AB3577">
        <f>IF(ISNUMBER(AA3577),'자료_거시'!$J3559,"")</f>
        <v/>
      </c>
      <c r="AC3577">
        <f>IF(ISNUMBER(AB3577),IF(AB3577&gt;$L$8,AA3577,""),"")</f>
        <v/>
      </c>
    </row>
    <row r="3578">
      <c r="S3578">
        <f>IF(ISNUMBER('자료_거시'!$E3560),'자료_거시'!$E3560,S3577)</f>
        <v/>
      </c>
      <c r="T3578">
        <f>IF(AND(ISNUMBER('자료_거시'!$D3560),ISNUMBER('자료_거시'!$E3560)),IFERROR('자료_거시'!$E3560-INDEX($S$21:$S$4020,MATCH(EDATE('자료_거시'!$D3560,-'설정'!$B$17),'자료_거시'!$D$3:INDEX('자료_거시'!$D$3:$D$4002,$K$6),1)),""),"")</f>
        <v/>
      </c>
      <c r="U3578">
        <f>IF(ISNUMBER(T3578),'자료_거시'!$D3560,"")</f>
        <v/>
      </c>
      <c r="V3578">
        <f>IF(ISNUMBER(U3578),IF(U3578&gt;$L$6,T3578,""),"")</f>
        <v/>
      </c>
      <c r="W3578">
        <f>IF(AND(ISNUMBER('자료_거시'!$G3560),ISNUMBER('자료_거시'!$H3560)),'자료_거시'!$H3560,"")</f>
        <v/>
      </c>
      <c r="X3578">
        <f>IF(ISNUMBER(W3578),'자료_거시'!$G3560,"")</f>
        <v/>
      </c>
      <c r="Y3578">
        <f>IF(ISNUMBER(X3578),IF(X3578&gt;$L$7,W3578,""),"")</f>
        <v/>
      </c>
      <c r="Z3578">
        <f>IF(ISNUMBER('자료_거시'!$K3560),'자료_거시'!$K3560,Z3577)</f>
        <v/>
      </c>
      <c r="AA3578">
        <f>IF(AND(ISNUMBER('자료_거시'!$J3560),ISNUMBER('자료_거시'!$K3560)),IFERROR('자료_거시'!$K3560/INDEX($Z$21:$Z$4020,MATCH(EDATE('자료_거시'!$J3560,-'설정'!$B$17),'자료_거시'!$J$3:INDEX('자료_거시'!$J$3:$J$4002,$K$8),1))-1,""),"")</f>
        <v/>
      </c>
      <c r="AB3578">
        <f>IF(ISNUMBER(AA3578),'자료_거시'!$J3560,"")</f>
        <v/>
      </c>
      <c r="AC3578">
        <f>IF(ISNUMBER(AB3578),IF(AB3578&gt;$L$8,AA3578,""),"")</f>
        <v/>
      </c>
    </row>
    <row r="3579">
      <c r="S3579">
        <f>IF(ISNUMBER('자료_거시'!$E3561),'자료_거시'!$E3561,S3578)</f>
        <v/>
      </c>
      <c r="T3579">
        <f>IF(AND(ISNUMBER('자료_거시'!$D3561),ISNUMBER('자료_거시'!$E3561)),IFERROR('자료_거시'!$E3561-INDEX($S$21:$S$4020,MATCH(EDATE('자료_거시'!$D3561,-'설정'!$B$17),'자료_거시'!$D$3:INDEX('자료_거시'!$D$3:$D$4002,$K$6),1)),""),"")</f>
        <v/>
      </c>
      <c r="U3579">
        <f>IF(ISNUMBER(T3579),'자료_거시'!$D3561,"")</f>
        <v/>
      </c>
      <c r="V3579">
        <f>IF(ISNUMBER(U3579),IF(U3579&gt;$L$6,T3579,""),"")</f>
        <v/>
      </c>
      <c r="W3579">
        <f>IF(AND(ISNUMBER('자료_거시'!$G3561),ISNUMBER('자료_거시'!$H3561)),'자료_거시'!$H3561,"")</f>
        <v/>
      </c>
      <c r="X3579">
        <f>IF(ISNUMBER(W3579),'자료_거시'!$G3561,"")</f>
        <v/>
      </c>
      <c r="Y3579">
        <f>IF(ISNUMBER(X3579),IF(X3579&gt;$L$7,W3579,""),"")</f>
        <v/>
      </c>
      <c r="Z3579">
        <f>IF(ISNUMBER('자료_거시'!$K3561),'자료_거시'!$K3561,Z3578)</f>
        <v/>
      </c>
      <c r="AA3579">
        <f>IF(AND(ISNUMBER('자료_거시'!$J3561),ISNUMBER('자료_거시'!$K3561)),IFERROR('자료_거시'!$K3561/INDEX($Z$21:$Z$4020,MATCH(EDATE('자료_거시'!$J3561,-'설정'!$B$17),'자료_거시'!$J$3:INDEX('자료_거시'!$J$3:$J$4002,$K$8),1))-1,""),"")</f>
        <v/>
      </c>
      <c r="AB3579">
        <f>IF(ISNUMBER(AA3579),'자료_거시'!$J3561,"")</f>
        <v/>
      </c>
      <c r="AC3579">
        <f>IF(ISNUMBER(AB3579),IF(AB3579&gt;$L$8,AA3579,""),"")</f>
        <v/>
      </c>
    </row>
    <row r="3580">
      <c r="S3580">
        <f>IF(ISNUMBER('자료_거시'!$E3562),'자료_거시'!$E3562,S3579)</f>
        <v/>
      </c>
      <c r="T3580">
        <f>IF(AND(ISNUMBER('자료_거시'!$D3562),ISNUMBER('자료_거시'!$E3562)),IFERROR('자료_거시'!$E3562-INDEX($S$21:$S$4020,MATCH(EDATE('자료_거시'!$D3562,-'설정'!$B$17),'자료_거시'!$D$3:INDEX('자료_거시'!$D$3:$D$4002,$K$6),1)),""),"")</f>
        <v/>
      </c>
      <c r="U3580">
        <f>IF(ISNUMBER(T3580),'자료_거시'!$D3562,"")</f>
        <v/>
      </c>
      <c r="V3580">
        <f>IF(ISNUMBER(U3580),IF(U3580&gt;$L$6,T3580,""),"")</f>
        <v/>
      </c>
      <c r="W3580">
        <f>IF(AND(ISNUMBER('자료_거시'!$G3562),ISNUMBER('자료_거시'!$H3562)),'자료_거시'!$H3562,"")</f>
        <v/>
      </c>
      <c r="X3580">
        <f>IF(ISNUMBER(W3580),'자료_거시'!$G3562,"")</f>
        <v/>
      </c>
      <c r="Y3580">
        <f>IF(ISNUMBER(X3580),IF(X3580&gt;$L$7,W3580,""),"")</f>
        <v/>
      </c>
      <c r="Z3580">
        <f>IF(ISNUMBER('자료_거시'!$K3562),'자료_거시'!$K3562,Z3579)</f>
        <v/>
      </c>
      <c r="AA3580">
        <f>IF(AND(ISNUMBER('자료_거시'!$J3562),ISNUMBER('자료_거시'!$K3562)),IFERROR('자료_거시'!$K3562/INDEX($Z$21:$Z$4020,MATCH(EDATE('자료_거시'!$J3562,-'설정'!$B$17),'자료_거시'!$J$3:INDEX('자료_거시'!$J$3:$J$4002,$K$8),1))-1,""),"")</f>
        <v/>
      </c>
      <c r="AB3580">
        <f>IF(ISNUMBER(AA3580),'자료_거시'!$J3562,"")</f>
        <v/>
      </c>
      <c r="AC3580">
        <f>IF(ISNUMBER(AB3580),IF(AB3580&gt;$L$8,AA3580,""),"")</f>
        <v/>
      </c>
    </row>
    <row r="3581">
      <c r="S3581">
        <f>IF(ISNUMBER('자료_거시'!$E3563),'자료_거시'!$E3563,S3580)</f>
        <v/>
      </c>
      <c r="T3581">
        <f>IF(AND(ISNUMBER('자료_거시'!$D3563),ISNUMBER('자료_거시'!$E3563)),IFERROR('자료_거시'!$E3563-INDEX($S$21:$S$4020,MATCH(EDATE('자료_거시'!$D3563,-'설정'!$B$17),'자료_거시'!$D$3:INDEX('자료_거시'!$D$3:$D$4002,$K$6),1)),""),"")</f>
        <v/>
      </c>
      <c r="U3581">
        <f>IF(ISNUMBER(T3581),'자료_거시'!$D3563,"")</f>
        <v/>
      </c>
      <c r="V3581">
        <f>IF(ISNUMBER(U3581),IF(U3581&gt;$L$6,T3581,""),"")</f>
        <v/>
      </c>
      <c r="W3581">
        <f>IF(AND(ISNUMBER('자료_거시'!$G3563),ISNUMBER('자료_거시'!$H3563)),'자료_거시'!$H3563,"")</f>
        <v/>
      </c>
      <c r="X3581">
        <f>IF(ISNUMBER(W3581),'자료_거시'!$G3563,"")</f>
        <v/>
      </c>
      <c r="Y3581">
        <f>IF(ISNUMBER(X3581),IF(X3581&gt;$L$7,W3581,""),"")</f>
        <v/>
      </c>
      <c r="Z3581">
        <f>IF(ISNUMBER('자료_거시'!$K3563),'자료_거시'!$K3563,Z3580)</f>
        <v/>
      </c>
      <c r="AA3581">
        <f>IF(AND(ISNUMBER('자료_거시'!$J3563),ISNUMBER('자료_거시'!$K3563)),IFERROR('자료_거시'!$K3563/INDEX($Z$21:$Z$4020,MATCH(EDATE('자료_거시'!$J3563,-'설정'!$B$17),'자료_거시'!$J$3:INDEX('자료_거시'!$J$3:$J$4002,$K$8),1))-1,""),"")</f>
        <v/>
      </c>
      <c r="AB3581">
        <f>IF(ISNUMBER(AA3581),'자료_거시'!$J3563,"")</f>
        <v/>
      </c>
      <c r="AC3581">
        <f>IF(ISNUMBER(AB3581),IF(AB3581&gt;$L$8,AA3581,""),"")</f>
        <v/>
      </c>
    </row>
    <row r="3582">
      <c r="S3582">
        <f>IF(ISNUMBER('자료_거시'!$E3564),'자료_거시'!$E3564,S3581)</f>
        <v/>
      </c>
      <c r="T3582">
        <f>IF(AND(ISNUMBER('자료_거시'!$D3564),ISNUMBER('자료_거시'!$E3564)),IFERROR('자료_거시'!$E3564-INDEX($S$21:$S$4020,MATCH(EDATE('자료_거시'!$D3564,-'설정'!$B$17),'자료_거시'!$D$3:INDEX('자료_거시'!$D$3:$D$4002,$K$6),1)),""),"")</f>
        <v/>
      </c>
      <c r="U3582">
        <f>IF(ISNUMBER(T3582),'자료_거시'!$D3564,"")</f>
        <v/>
      </c>
      <c r="V3582">
        <f>IF(ISNUMBER(U3582),IF(U3582&gt;$L$6,T3582,""),"")</f>
        <v/>
      </c>
      <c r="W3582">
        <f>IF(AND(ISNUMBER('자료_거시'!$G3564),ISNUMBER('자료_거시'!$H3564)),'자료_거시'!$H3564,"")</f>
        <v/>
      </c>
      <c r="X3582">
        <f>IF(ISNUMBER(W3582),'자료_거시'!$G3564,"")</f>
        <v/>
      </c>
      <c r="Y3582">
        <f>IF(ISNUMBER(X3582),IF(X3582&gt;$L$7,W3582,""),"")</f>
        <v/>
      </c>
      <c r="Z3582">
        <f>IF(ISNUMBER('자료_거시'!$K3564),'자료_거시'!$K3564,Z3581)</f>
        <v/>
      </c>
      <c r="AA3582">
        <f>IF(AND(ISNUMBER('자료_거시'!$J3564),ISNUMBER('자료_거시'!$K3564)),IFERROR('자료_거시'!$K3564/INDEX($Z$21:$Z$4020,MATCH(EDATE('자료_거시'!$J3564,-'설정'!$B$17),'자료_거시'!$J$3:INDEX('자료_거시'!$J$3:$J$4002,$K$8),1))-1,""),"")</f>
        <v/>
      </c>
      <c r="AB3582">
        <f>IF(ISNUMBER(AA3582),'자료_거시'!$J3564,"")</f>
        <v/>
      </c>
      <c r="AC3582">
        <f>IF(ISNUMBER(AB3582),IF(AB3582&gt;$L$8,AA3582,""),"")</f>
        <v/>
      </c>
    </row>
    <row r="3583">
      <c r="S3583">
        <f>IF(ISNUMBER('자료_거시'!$E3565),'자료_거시'!$E3565,S3582)</f>
        <v/>
      </c>
      <c r="T3583">
        <f>IF(AND(ISNUMBER('자료_거시'!$D3565),ISNUMBER('자료_거시'!$E3565)),IFERROR('자료_거시'!$E3565-INDEX($S$21:$S$4020,MATCH(EDATE('자료_거시'!$D3565,-'설정'!$B$17),'자료_거시'!$D$3:INDEX('자료_거시'!$D$3:$D$4002,$K$6),1)),""),"")</f>
        <v/>
      </c>
      <c r="U3583">
        <f>IF(ISNUMBER(T3583),'자료_거시'!$D3565,"")</f>
        <v/>
      </c>
      <c r="V3583">
        <f>IF(ISNUMBER(U3583),IF(U3583&gt;$L$6,T3583,""),"")</f>
        <v/>
      </c>
      <c r="W3583">
        <f>IF(AND(ISNUMBER('자료_거시'!$G3565),ISNUMBER('자료_거시'!$H3565)),'자료_거시'!$H3565,"")</f>
        <v/>
      </c>
      <c r="X3583">
        <f>IF(ISNUMBER(W3583),'자료_거시'!$G3565,"")</f>
        <v/>
      </c>
      <c r="Y3583">
        <f>IF(ISNUMBER(X3583),IF(X3583&gt;$L$7,W3583,""),"")</f>
        <v/>
      </c>
      <c r="Z3583">
        <f>IF(ISNUMBER('자료_거시'!$K3565),'자료_거시'!$K3565,Z3582)</f>
        <v/>
      </c>
      <c r="AA3583">
        <f>IF(AND(ISNUMBER('자료_거시'!$J3565),ISNUMBER('자료_거시'!$K3565)),IFERROR('자료_거시'!$K3565/INDEX($Z$21:$Z$4020,MATCH(EDATE('자료_거시'!$J3565,-'설정'!$B$17),'자료_거시'!$J$3:INDEX('자료_거시'!$J$3:$J$4002,$K$8),1))-1,""),"")</f>
        <v/>
      </c>
      <c r="AB3583">
        <f>IF(ISNUMBER(AA3583),'자료_거시'!$J3565,"")</f>
        <v/>
      </c>
      <c r="AC3583">
        <f>IF(ISNUMBER(AB3583),IF(AB3583&gt;$L$8,AA3583,""),"")</f>
        <v/>
      </c>
    </row>
    <row r="3584">
      <c r="S3584">
        <f>IF(ISNUMBER('자료_거시'!$E3566),'자료_거시'!$E3566,S3583)</f>
        <v/>
      </c>
      <c r="T3584">
        <f>IF(AND(ISNUMBER('자료_거시'!$D3566),ISNUMBER('자료_거시'!$E3566)),IFERROR('자료_거시'!$E3566-INDEX($S$21:$S$4020,MATCH(EDATE('자료_거시'!$D3566,-'설정'!$B$17),'자료_거시'!$D$3:INDEX('자료_거시'!$D$3:$D$4002,$K$6),1)),""),"")</f>
        <v/>
      </c>
      <c r="U3584">
        <f>IF(ISNUMBER(T3584),'자료_거시'!$D3566,"")</f>
        <v/>
      </c>
      <c r="V3584">
        <f>IF(ISNUMBER(U3584),IF(U3584&gt;$L$6,T3584,""),"")</f>
        <v/>
      </c>
      <c r="W3584">
        <f>IF(AND(ISNUMBER('자료_거시'!$G3566),ISNUMBER('자료_거시'!$H3566)),'자료_거시'!$H3566,"")</f>
        <v/>
      </c>
      <c r="X3584">
        <f>IF(ISNUMBER(W3584),'자료_거시'!$G3566,"")</f>
        <v/>
      </c>
      <c r="Y3584">
        <f>IF(ISNUMBER(X3584),IF(X3584&gt;$L$7,W3584,""),"")</f>
        <v/>
      </c>
      <c r="Z3584">
        <f>IF(ISNUMBER('자료_거시'!$K3566),'자료_거시'!$K3566,Z3583)</f>
        <v/>
      </c>
      <c r="AA3584">
        <f>IF(AND(ISNUMBER('자료_거시'!$J3566),ISNUMBER('자료_거시'!$K3566)),IFERROR('자료_거시'!$K3566/INDEX($Z$21:$Z$4020,MATCH(EDATE('자료_거시'!$J3566,-'설정'!$B$17),'자료_거시'!$J$3:INDEX('자료_거시'!$J$3:$J$4002,$K$8),1))-1,""),"")</f>
        <v/>
      </c>
      <c r="AB3584">
        <f>IF(ISNUMBER(AA3584),'자료_거시'!$J3566,"")</f>
        <v/>
      </c>
      <c r="AC3584">
        <f>IF(ISNUMBER(AB3584),IF(AB3584&gt;$L$8,AA3584,""),"")</f>
        <v/>
      </c>
    </row>
    <row r="3585">
      <c r="S3585">
        <f>IF(ISNUMBER('자료_거시'!$E3567),'자료_거시'!$E3567,S3584)</f>
        <v/>
      </c>
      <c r="T3585">
        <f>IF(AND(ISNUMBER('자료_거시'!$D3567),ISNUMBER('자료_거시'!$E3567)),IFERROR('자료_거시'!$E3567-INDEX($S$21:$S$4020,MATCH(EDATE('자료_거시'!$D3567,-'설정'!$B$17),'자료_거시'!$D$3:INDEX('자료_거시'!$D$3:$D$4002,$K$6),1)),""),"")</f>
        <v/>
      </c>
      <c r="U3585">
        <f>IF(ISNUMBER(T3585),'자료_거시'!$D3567,"")</f>
        <v/>
      </c>
      <c r="V3585">
        <f>IF(ISNUMBER(U3585),IF(U3585&gt;$L$6,T3585,""),"")</f>
        <v/>
      </c>
      <c r="W3585">
        <f>IF(AND(ISNUMBER('자료_거시'!$G3567),ISNUMBER('자료_거시'!$H3567)),'자료_거시'!$H3567,"")</f>
        <v/>
      </c>
      <c r="X3585">
        <f>IF(ISNUMBER(W3585),'자료_거시'!$G3567,"")</f>
        <v/>
      </c>
      <c r="Y3585">
        <f>IF(ISNUMBER(X3585),IF(X3585&gt;$L$7,W3585,""),"")</f>
        <v/>
      </c>
      <c r="Z3585">
        <f>IF(ISNUMBER('자료_거시'!$K3567),'자료_거시'!$K3567,Z3584)</f>
        <v/>
      </c>
      <c r="AA3585">
        <f>IF(AND(ISNUMBER('자료_거시'!$J3567),ISNUMBER('자료_거시'!$K3567)),IFERROR('자료_거시'!$K3567/INDEX($Z$21:$Z$4020,MATCH(EDATE('자료_거시'!$J3567,-'설정'!$B$17),'자료_거시'!$J$3:INDEX('자료_거시'!$J$3:$J$4002,$K$8),1))-1,""),"")</f>
        <v/>
      </c>
      <c r="AB3585">
        <f>IF(ISNUMBER(AA3585),'자료_거시'!$J3567,"")</f>
        <v/>
      </c>
      <c r="AC3585">
        <f>IF(ISNUMBER(AB3585),IF(AB3585&gt;$L$8,AA3585,""),"")</f>
        <v/>
      </c>
    </row>
    <row r="3586">
      <c r="S3586">
        <f>IF(ISNUMBER('자료_거시'!$E3568),'자료_거시'!$E3568,S3585)</f>
        <v/>
      </c>
      <c r="T3586">
        <f>IF(AND(ISNUMBER('자료_거시'!$D3568),ISNUMBER('자료_거시'!$E3568)),IFERROR('자료_거시'!$E3568-INDEX($S$21:$S$4020,MATCH(EDATE('자료_거시'!$D3568,-'설정'!$B$17),'자료_거시'!$D$3:INDEX('자료_거시'!$D$3:$D$4002,$K$6),1)),""),"")</f>
        <v/>
      </c>
      <c r="U3586">
        <f>IF(ISNUMBER(T3586),'자료_거시'!$D3568,"")</f>
        <v/>
      </c>
      <c r="V3586">
        <f>IF(ISNUMBER(U3586),IF(U3586&gt;$L$6,T3586,""),"")</f>
        <v/>
      </c>
      <c r="W3586">
        <f>IF(AND(ISNUMBER('자료_거시'!$G3568),ISNUMBER('자료_거시'!$H3568)),'자료_거시'!$H3568,"")</f>
        <v/>
      </c>
      <c r="X3586">
        <f>IF(ISNUMBER(W3586),'자료_거시'!$G3568,"")</f>
        <v/>
      </c>
      <c r="Y3586">
        <f>IF(ISNUMBER(X3586),IF(X3586&gt;$L$7,W3586,""),"")</f>
        <v/>
      </c>
      <c r="Z3586">
        <f>IF(ISNUMBER('자료_거시'!$K3568),'자료_거시'!$K3568,Z3585)</f>
        <v/>
      </c>
      <c r="AA3586">
        <f>IF(AND(ISNUMBER('자료_거시'!$J3568),ISNUMBER('자료_거시'!$K3568)),IFERROR('자료_거시'!$K3568/INDEX($Z$21:$Z$4020,MATCH(EDATE('자료_거시'!$J3568,-'설정'!$B$17),'자료_거시'!$J$3:INDEX('자료_거시'!$J$3:$J$4002,$K$8),1))-1,""),"")</f>
        <v/>
      </c>
      <c r="AB3586">
        <f>IF(ISNUMBER(AA3586),'자료_거시'!$J3568,"")</f>
        <v/>
      </c>
      <c r="AC3586">
        <f>IF(ISNUMBER(AB3586),IF(AB3586&gt;$L$8,AA3586,""),"")</f>
        <v/>
      </c>
    </row>
    <row r="3587">
      <c r="S3587">
        <f>IF(ISNUMBER('자료_거시'!$E3569),'자료_거시'!$E3569,S3586)</f>
        <v/>
      </c>
      <c r="T3587">
        <f>IF(AND(ISNUMBER('자료_거시'!$D3569),ISNUMBER('자료_거시'!$E3569)),IFERROR('자료_거시'!$E3569-INDEX($S$21:$S$4020,MATCH(EDATE('자료_거시'!$D3569,-'설정'!$B$17),'자료_거시'!$D$3:INDEX('자료_거시'!$D$3:$D$4002,$K$6),1)),""),"")</f>
        <v/>
      </c>
      <c r="U3587">
        <f>IF(ISNUMBER(T3587),'자료_거시'!$D3569,"")</f>
        <v/>
      </c>
      <c r="V3587">
        <f>IF(ISNUMBER(U3587),IF(U3587&gt;$L$6,T3587,""),"")</f>
        <v/>
      </c>
      <c r="W3587">
        <f>IF(AND(ISNUMBER('자료_거시'!$G3569),ISNUMBER('자료_거시'!$H3569)),'자료_거시'!$H3569,"")</f>
        <v/>
      </c>
      <c r="X3587">
        <f>IF(ISNUMBER(W3587),'자료_거시'!$G3569,"")</f>
        <v/>
      </c>
      <c r="Y3587">
        <f>IF(ISNUMBER(X3587),IF(X3587&gt;$L$7,W3587,""),"")</f>
        <v/>
      </c>
      <c r="Z3587">
        <f>IF(ISNUMBER('자료_거시'!$K3569),'자료_거시'!$K3569,Z3586)</f>
        <v/>
      </c>
      <c r="AA3587">
        <f>IF(AND(ISNUMBER('자료_거시'!$J3569),ISNUMBER('자료_거시'!$K3569)),IFERROR('자료_거시'!$K3569/INDEX($Z$21:$Z$4020,MATCH(EDATE('자료_거시'!$J3569,-'설정'!$B$17),'자료_거시'!$J$3:INDEX('자료_거시'!$J$3:$J$4002,$K$8),1))-1,""),"")</f>
        <v/>
      </c>
      <c r="AB3587">
        <f>IF(ISNUMBER(AA3587),'자료_거시'!$J3569,"")</f>
        <v/>
      </c>
      <c r="AC3587">
        <f>IF(ISNUMBER(AB3587),IF(AB3587&gt;$L$8,AA3587,""),"")</f>
        <v/>
      </c>
    </row>
    <row r="3588">
      <c r="S3588">
        <f>IF(ISNUMBER('자료_거시'!$E3570),'자료_거시'!$E3570,S3587)</f>
        <v/>
      </c>
      <c r="T3588">
        <f>IF(AND(ISNUMBER('자료_거시'!$D3570),ISNUMBER('자료_거시'!$E3570)),IFERROR('자료_거시'!$E3570-INDEX($S$21:$S$4020,MATCH(EDATE('자료_거시'!$D3570,-'설정'!$B$17),'자료_거시'!$D$3:INDEX('자료_거시'!$D$3:$D$4002,$K$6),1)),""),"")</f>
        <v/>
      </c>
      <c r="U3588">
        <f>IF(ISNUMBER(T3588),'자료_거시'!$D3570,"")</f>
        <v/>
      </c>
      <c r="V3588">
        <f>IF(ISNUMBER(U3588),IF(U3588&gt;$L$6,T3588,""),"")</f>
        <v/>
      </c>
      <c r="W3588">
        <f>IF(AND(ISNUMBER('자료_거시'!$G3570),ISNUMBER('자료_거시'!$H3570)),'자료_거시'!$H3570,"")</f>
        <v/>
      </c>
      <c r="X3588">
        <f>IF(ISNUMBER(W3588),'자료_거시'!$G3570,"")</f>
        <v/>
      </c>
      <c r="Y3588">
        <f>IF(ISNUMBER(X3588),IF(X3588&gt;$L$7,W3588,""),"")</f>
        <v/>
      </c>
      <c r="Z3588">
        <f>IF(ISNUMBER('자료_거시'!$K3570),'자료_거시'!$K3570,Z3587)</f>
        <v/>
      </c>
      <c r="AA3588">
        <f>IF(AND(ISNUMBER('자료_거시'!$J3570),ISNUMBER('자료_거시'!$K3570)),IFERROR('자료_거시'!$K3570/INDEX($Z$21:$Z$4020,MATCH(EDATE('자료_거시'!$J3570,-'설정'!$B$17),'자료_거시'!$J$3:INDEX('자료_거시'!$J$3:$J$4002,$K$8),1))-1,""),"")</f>
        <v/>
      </c>
      <c r="AB3588">
        <f>IF(ISNUMBER(AA3588),'자료_거시'!$J3570,"")</f>
        <v/>
      </c>
      <c r="AC3588">
        <f>IF(ISNUMBER(AB3588),IF(AB3588&gt;$L$8,AA3588,""),"")</f>
        <v/>
      </c>
    </row>
    <row r="3589">
      <c r="S3589">
        <f>IF(ISNUMBER('자료_거시'!$E3571),'자료_거시'!$E3571,S3588)</f>
        <v/>
      </c>
      <c r="T3589">
        <f>IF(AND(ISNUMBER('자료_거시'!$D3571),ISNUMBER('자료_거시'!$E3571)),IFERROR('자료_거시'!$E3571-INDEX($S$21:$S$4020,MATCH(EDATE('자료_거시'!$D3571,-'설정'!$B$17),'자료_거시'!$D$3:INDEX('자료_거시'!$D$3:$D$4002,$K$6),1)),""),"")</f>
        <v/>
      </c>
      <c r="U3589">
        <f>IF(ISNUMBER(T3589),'자료_거시'!$D3571,"")</f>
        <v/>
      </c>
      <c r="V3589">
        <f>IF(ISNUMBER(U3589),IF(U3589&gt;$L$6,T3589,""),"")</f>
        <v/>
      </c>
      <c r="W3589">
        <f>IF(AND(ISNUMBER('자료_거시'!$G3571),ISNUMBER('자료_거시'!$H3571)),'자료_거시'!$H3571,"")</f>
        <v/>
      </c>
      <c r="X3589">
        <f>IF(ISNUMBER(W3589),'자료_거시'!$G3571,"")</f>
        <v/>
      </c>
      <c r="Y3589">
        <f>IF(ISNUMBER(X3589),IF(X3589&gt;$L$7,W3589,""),"")</f>
        <v/>
      </c>
      <c r="Z3589">
        <f>IF(ISNUMBER('자료_거시'!$K3571),'자료_거시'!$K3571,Z3588)</f>
        <v/>
      </c>
      <c r="AA3589">
        <f>IF(AND(ISNUMBER('자료_거시'!$J3571),ISNUMBER('자료_거시'!$K3571)),IFERROR('자료_거시'!$K3571/INDEX($Z$21:$Z$4020,MATCH(EDATE('자료_거시'!$J3571,-'설정'!$B$17),'자료_거시'!$J$3:INDEX('자료_거시'!$J$3:$J$4002,$K$8),1))-1,""),"")</f>
        <v/>
      </c>
      <c r="AB3589">
        <f>IF(ISNUMBER(AA3589),'자료_거시'!$J3571,"")</f>
        <v/>
      </c>
      <c r="AC3589">
        <f>IF(ISNUMBER(AB3589),IF(AB3589&gt;$L$8,AA3589,""),"")</f>
        <v/>
      </c>
    </row>
    <row r="3590">
      <c r="S3590">
        <f>IF(ISNUMBER('자료_거시'!$E3572),'자료_거시'!$E3572,S3589)</f>
        <v/>
      </c>
      <c r="T3590">
        <f>IF(AND(ISNUMBER('자료_거시'!$D3572),ISNUMBER('자료_거시'!$E3572)),IFERROR('자료_거시'!$E3572-INDEX($S$21:$S$4020,MATCH(EDATE('자료_거시'!$D3572,-'설정'!$B$17),'자료_거시'!$D$3:INDEX('자료_거시'!$D$3:$D$4002,$K$6),1)),""),"")</f>
        <v/>
      </c>
      <c r="U3590">
        <f>IF(ISNUMBER(T3590),'자료_거시'!$D3572,"")</f>
        <v/>
      </c>
      <c r="V3590">
        <f>IF(ISNUMBER(U3590),IF(U3590&gt;$L$6,T3590,""),"")</f>
        <v/>
      </c>
      <c r="W3590">
        <f>IF(AND(ISNUMBER('자료_거시'!$G3572),ISNUMBER('자료_거시'!$H3572)),'자료_거시'!$H3572,"")</f>
        <v/>
      </c>
      <c r="X3590">
        <f>IF(ISNUMBER(W3590),'자료_거시'!$G3572,"")</f>
        <v/>
      </c>
      <c r="Y3590">
        <f>IF(ISNUMBER(X3590),IF(X3590&gt;$L$7,W3590,""),"")</f>
        <v/>
      </c>
      <c r="Z3590">
        <f>IF(ISNUMBER('자료_거시'!$K3572),'자료_거시'!$K3572,Z3589)</f>
        <v/>
      </c>
      <c r="AA3590">
        <f>IF(AND(ISNUMBER('자료_거시'!$J3572),ISNUMBER('자료_거시'!$K3572)),IFERROR('자료_거시'!$K3572/INDEX($Z$21:$Z$4020,MATCH(EDATE('자료_거시'!$J3572,-'설정'!$B$17),'자료_거시'!$J$3:INDEX('자료_거시'!$J$3:$J$4002,$K$8),1))-1,""),"")</f>
        <v/>
      </c>
      <c r="AB3590">
        <f>IF(ISNUMBER(AA3590),'자료_거시'!$J3572,"")</f>
        <v/>
      </c>
      <c r="AC3590">
        <f>IF(ISNUMBER(AB3590),IF(AB3590&gt;$L$8,AA3590,""),"")</f>
        <v/>
      </c>
    </row>
    <row r="3591">
      <c r="S3591">
        <f>IF(ISNUMBER('자료_거시'!$E3573),'자료_거시'!$E3573,S3590)</f>
        <v/>
      </c>
      <c r="T3591">
        <f>IF(AND(ISNUMBER('자료_거시'!$D3573),ISNUMBER('자료_거시'!$E3573)),IFERROR('자료_거시'!$E3573-INDEX($S$21:$S$4020,MATCH(EDATE('자료_거시'!$D3573,-'설정'!$B$17),'자료_거시'!$D$3:INDEX('자료_거시'!$D$3:$D$4002,$K$6),1)),""),"")</f>
        <v/>
      </c>
      <c r="U3591">
        <f>IF(ISNUMBER(T3591),'자료_거시'!$D3573,"")</f>
        <v/>
      </c>
      <c r="V3591">
        <f>IF(ISNUMBER(U3591),IF(U3591&gt;$L$6,T3591,""),"")</f>
        <v/>
      </c>
      <c r="W3591">
        <f>IF(AND(ISNUMBER('자료_거시'!$G3573),ISNUMBER('자료_거시'!$H3573)),'자료_거시'!$H3573,"")</f>
        <v/>
      </c>
      <c r="X3591">
        <f>IF(ISNUMBER(W3591),'자료_거시'!$G3573,"")</f>
        <v/>
      </c>
      <c r="Y3591">
        <f>IF(ISNUMBER(X3591),IF(X3591&gt;$L$7,W3591,""),"")</f>
        <v/>
      </c>
      <c r="Z3591">
        <f>IF(ISNUMBER('자료_거시'!$K3573),'자료_거시'!$K3573,Z3590)</f>
        <v/>
      </c>
      <c r="AA3591">
        <f>IF(AND(ISNUMBER('자료_거시'!$J3573),ISNUMBER('자료_거시'!$K3573)),IFERROR('자료_거시'!$K3573/INDEX($Z$21:$Z$4020,MATCH(EDATE('자료_거시'!$J3573,-'설정'!$B$17),'자료_거시'!$J$3:INDEX('자료_거시'!$J$3:$J$4002,$K$8),1))-1,""),"")</f>
        <v/>
      </c>
      <c r="AB3591">
        <f>IF(ISNUMBER(AA3591),'자료_거시'!$J3573,"")</f>
        <v/>
      </c>
      <c r="AC3591">
        <f>IF(ISNUMBER(AB3591),IF(AB3591&gt;$L$8,AA3591,""),"")</f>
        <v/>
      </c>
    </row>
    <row r="3592">
      <c r="S3592">
        <f>IF(ISNUMBER('자료_거시'!$E3574),'자료_거시'!$E3574,S3591)</f>
        <v/>
      </c>
      <c r="T3592">
        <f>IF(AND(ISNUMBER('자료_거시'!$D3574),ISNUMBER('자료_거시'!$E3574)),IFERROR('자료_거시'!$E3574-INDEX($S$21:$S$4020,MATCH(EDATE('자료_거시'!$D3574,-'설정'!$B$17),'자료_거시'!$D$3:INDEX('자료_거시'!$D$3:$D$4002,$K$6),1)),""),"")</f>
        <v/>
      </c>
      <c r="U3592">
        <f>IF(ISNUMBER(T3592),'자료_거시'!$D3574,"")</f>
        <v/>
      </c>
      <c r="V3592">
        <f>IF(ISNUMBER(U3592),IF(U3592&gt;$L$6,T3592,""),"")</f>
        <v/>
      </c>
      <c r="W3592">
        <f>IF(AND(ISNUMBER('자료_거시'!$G3574),ISNUMBER('자료_거시'!$H3574)),'자료_거시'!$H3574,"")</f>
        <v/>
      </c>
      <c r="X3592">
        <f>IF(ISNUMBER(W3592),'자료_거시'!$G3574,"")</f>
        <v/>
      </c>
      <c r="Y3592">
        <f>IF(ISNUMBER(X3592),IF(X3592&gt;$L$7,W3592,""),"")</f>
        <v/>
      </c>
      <c r="Z3592">
        <f>IF(ISNUMBER('자료_거시'!$K3574),'자료_거시'!$K3574,Z3591)</f>
        <v/>
      </c>
      <c r="AA3592">
        <f>IF(AND(ISNUMBER('자료_거시'!$J3574),ISNUMBER('자료_거시'!$K3574)),IFERROR('자료_거시'!$K3574/INDEX($Z$21:$Z$4020,MATCH(EDATE('자료_거시'!$J3574,-'설정'!$B$17),'자료_거시'!$J$3:INDEX('자료_거시'!$J$3:$J$4002,$K$8),1))-1,""),"")</f>
        <v/>
      </c>
      <c r="AB3592">
        <f>IF(ISNUMBER(AA3592),'자료_거시'!$J3574,"")</f>
        <v/>
      </c>
      <c r="AC3592">
        <f>IF(ISNUMBER(AB3592),IF(AB3592&gt;$L$8,AA3592,""),"")</f>
        <v/>
      </c>
    </row>
    <row r="3593">
      <c r="S3593">
        <f>IF(ISNUMBER('자료_거시'!$E3575),'자료_거시'!$E3575,S3592)</f>
        <v/>
      </c>
      <c r="T3593">
        <f>IF(AND(ISNUMBER('자료_거시'!$D3575),ISNUMBER('자료_거시'!$E3575)),IFERROR('자료_거시'!$E3575-INDEX($S$21:$S$4020,MATCH(EDATE('자료_거시'!$D3575,-'설정'!$B$17),'자료_거시'!$D$3:INDEX('자료_거시'!$D$3:$D$4002,$K$6),1)),""),"")</f>
        <v/>
      </c>
      <c r="U3593">
        <f>IF(ISNUMBER(T3593),'자료_거시'!$D3575,"")</f>
        <v/>
      </c>
      <c r="V3593">
        <f>IF(ISNUMBER(U3593),IF(U3593&gt;$L$6,T3593,""),"")</f>
        <v/>
      </c>
      <c r="W3593">
        <f>IF(AND(ISNUMBER('자료_거시'!$G3575),ISNUMBER('자료_거시'!$H3575)),'자료_거시'!$H3575,"")</f>
        <v/>
      </c>
      <c r="X3593">
        <f>IF(ISNUMBER(W3593),'자료_거시'!$G3575,"")</f>
        <v/>
      </c>
      <c r="Y3593">
        <f>IF(ISNUMBER(X3593),IF(X3593&gt;$L$7,W3593,""),"")</f>
        <v/>
      </c>
      <c r="Z3593">
        <f>IF(ISNUMBER('자료_거시'!$K3575),'자료_거시'!$K3575,Z3592)</f>
        <v/>
      </c>
      <c r="AA3593">
        <f>IF(AND(ISNUMBER('자료_거시'!$J3575),ISNUMBER('자료_거시'!$K3575)),IFERROR('자료_거시'!$K3575/INDEX($Z$21:$Z$4020,MATCH(EDATE('자료_거시'!$J3575,-'설정'!$B$17),'자료_거시'!$J$3:INDEX('자료_거시'!$J$3:$J$4002,$K$8),1))-1,""),"")</f>
        <v/>
      </c>
      <c r="AB3593">
        <f>IF(ISNUMBER(AA3593),'자료_거시'!$J3575,"")</f>
        <v/>
      </c>
      <c r="AC3593">
        <f>IF(ISNUMBER(AB3593),IF(AB3593&gt;$L$8,AA3593,""),"")</f>
        <v/>
      </c>
    </row>
    <row r="3594">
      <c r="S3594">
        <f>IF(ISNUMBER('자료_거시'!$E3576),'자료_거시'!$E3576,S3593)</f>
        <v/>
      </c>
      <c r="T3594">
        <f>IF(AND(ISNUMBER('자료_거시'!$D3576),ISNUMBER('자료_거시'!$E3576)),IFERROR('자료_거시'!$E3576-INDEX($S$21:$S$4020,MATCH(EDATE('자료_거시'!$D3576,-'설정'!$B$17),'자료_거시'!$D$3:INDEX('자료_거시'!$D$3:$D$4002,$K$6),1)),""),"")</f>
        <v/>
      </c>
      <c r="U3594">
        <f>IF(ISNUMBER(T3594),'자료_거시'!$D3576,"")</f>
        <v/>
      </c>
      <c r="V3594">
        <f>IF(ISNUMBER(U3594),IF(U3594&gt;$L$6,T3594,""),"")</f>
        <v/>
      </c>
      <c r="W3594">
        <f>IF(AND(ISNUMBER('자료_거시'!$G3576),ISNUMBER('자료_거시'!$H3576)),'자료_거시'!$H3576,"")</f>
        <v/>
      </c>
      <c r="X3594">
        <f>IF(ISNUMBER(W3594),'자료_거시'!$G3576,"")</f>
        <v/>
      </c>
      <c r="Y3594">
        <f>IF(ISNUMBER(X3594),IF(X3594&gt;$L$7,W3594,""),"")</f>
        <v/>
      </c>
      <c r="Z3594">
        <f>IF(ISNUMBER('자료_거시'!$K3576),'자료_거시'!$K3576,Z3593)</f>
        <v/>
      </c>
      <c r="AA3594">
        <f>IF(AND(ISNUMBER('자료_거시'!$J3576),ISNUMBER('자료_거시'!$K3576)),IFERROR('자료_거시'!$K3576/INDEX($Z$21:$Z$4020,MATCH(EDATE('자료_거시'!$J3576,-'설정'!$B$17),'자료_거시'!$J$3:INDEX('자료_거시'!$J$3:$J$4002,$K$8),1))-1,""),"")</f>
        <v/>
      </c>
      <c r="AB3594">
        <f>IF(ISNUMBER(AA3594),'자료_거시'!$J3576,"")</f>
        <v/>
      </c>
      <c r="AC3594">
        <f>IF(ISNUMBER(AB3594),IF(AB3594&gt;$L$8,AA3594,""),"")</f>
        <v/>
      </c>
    </row>
    <row r="3595">
      <c r="S3595">
        <f>IF(ISNUMBER('자료_거시'!$E3577),'자료_거시'!$E3577,S3594)</f>
        <v/>
      </c>
      <c r="T3595">
        <f>IF(AND(ISNUMBER('자료_거시'!$D3577),ISNUMBER('자료_거시'!$E3577)),IFERROR('자료_거시'!$E3577-INDEX($S$21:$S$4020,MATCH(EDATE('자료_거시'!$D3577,-'설정'!$B$17),'자료_거시'!$D$3:INDEX('자료_거시'!$D$3:$D$4002,$K$6),1)),""),"")</f>
        <v/>
      </c>
      <c r="U3595">
        <f>IF(ISNUMBER(T3595),'자료_거시'!$D3577,"")</f>
        <v/>
      </c>
      <c r="V3595">
        <f>IF(ISNUMBER(U3595),IF(U3595&gt;$L$6,T3595,""),"")</f>
        <v/>
      </c>
      <c r="W3595">
        <f>IF(AND(ISNUMBER('자료_거시'!$G3577),ISNUMBER('자료_거시'!$H3577)),'자료_거시'!$H3577,"")</f>
        <v/>
      </c>
      <c r="X3595">
        <f>IF(ISNUMBER(W3595),'자료_거시'!$G3577,"")</f>
        <v/>
      </c>
      <c r="Y3595">
        <f>IF(ISNUMBER(X3595),IF(X3595&gt;$L$7,W3595,""),"")</f>
        <v/>
      </c>
      <c r="Z3595">
        <f>IF(ISNUMBER('자료_거시'!$K3577),'자료_거시'!$K3577,Z3594)</f>
        <v/>
      </c>
      <c r="AA3595">
        <f>IF(AND(ISNUMBER('자료_거시'!$J3577),ISNUMBER('자료_거시'!$K3577)),IFERROR('자료_거시'!$K3577/INDEX($Z$21:$Z$4020,MATCH(EDATE('자료_거시'!$J3577,-'설정'!$B$17),'자료_거시'!$J$3:INDEX('자료_거시'!$J$3:$J$4002,$K$8),1))-1,""),"")</f>
        <v/>
      </c>
      <c r="AB3595">
        <f>IF(ISNUMBER(AA3595),'자료_거시'!$J3577,"")</f>
        <v/>
      </c>
      <c r="AC3595">
        <f>IF(ISNUMBER(AB3595),IF(AB3595&gt;$L$8,AA3595,""),"")</f>
        <v/>
      </c>
    </row>
    <row r="3596">
      <c r="S3596">
        <f>IF(ISNUMBER('자료_거시'!$E3578),'자료_거시'!$E3578,S3595)</f>
        <v/>
      </c>
      <c r="T3596">
        <f>IF(AND(ISNUMBER('자료_거시'!$D3578),ISNUMBER('자료_거시'!$E3578)),IFERROR('자료_거시'!$E3578-INDEX($S$21:$S$4020,MATCH(EDATE('자료_거시'!$D3578,-'설정'!$B$17),'자료_거시'!$D$3:INDEX('자료_거시'!$D$3:$D$4002,$K$6),1)),""),"")</f>
        <v/>
      </c>
      <c r="U3596">
        <f>IF(ISNUMBER(T3596),'자료_거시'!$D3578,"")</f>
        <v/>
      </c>
      <c r="V3596">
        <f>IF(ISNUMBER(U3596),IF(U3596&gt;$L$6,T3596,""),"")</f>
        <v/>
      </c>
      <c r="W3596">
        <f>IF(AND(ISNUMBER('자료_거시'!$G3578),ISNUMBER('자료_거시'!$H3578)),'자료_거시'!$H3578,"")</f>
        <v/>
      </c>
      <c r="X3596">
        <f>IF(ISNUMBER(W3596),'자료_거시'!$G3578,"")</f>
        <v/>
      </c>
      <c r="Y3596">
        <f>IF(ISNUMBER(X3596),IF(X3596&gt;$L$7,W3596,""),"")</f>
        <v/>
      </c>
      <c r="Z3596">
        <f>IF(ISNUMBER('자료_거시'!$K3578),'자료_거시'!$K3578,Z3595)</f>
        <v/>
      </c>
      <c r="AA3596">
        <f>IF(AND(ISNUMBER('자료_거시'!$J3578),ISNUMBER('자료_거시'!$K3578)),IFERROR('자료_거시'!$K3578/INDEX($Z$21:$Z$4020,MATCH(EDATE('자료_거시'!$J3578,-'설정'!$B$17),'자료_거시'!$J$3:INDEX('자료_거시'!$J$3:$J$4002,$K$8),1))-1,""),"")</f>
        <v/>
      </c>
      <c r="AB3596">
        <f>IF(ISNUMBER(AA3596),'자료_거시'!$J3578,"")</f>
        <v/>
      </c>
      <c r="AC3596">
        <f>IF(ISNUMBER(AB3596),IF(AB3596&gt;$L$8,AA3596,""),"")</f>
        <v/>
      </c>
    </row>
    <row r="3597">
      <c r="S3597">
        <f>IF(ISNUMBER('자료_거시'!$E3579),'자료_거시'!$E3579,S3596)</f>
        <v/>
      </c>
      <c r="T3597">
        <f>IF(AND(ISNUMBER('자료_거시'!$D3579),ISNUMBER('자료_거시'!$E3579)),IFERROR('자료_거시'!$E3579-INDEX($S$21:$S$4020,MATCH(EDATE('자료_거시'!$D3579,-'설정'!$B$17),'자료_거시'!$D$3:INDEX('자료_거시'!$D$3:$D$4002,$K$6),1)),""),"")</f>
        <v/>
      </c>
      <c r="U3597">
        <f>IF(ISNUMBER(T3597),'자료_거시'!$D3579,"")</f>
        <v/>
      </c>
      <c r="V3597">
        <f>IF(ISNUMBER(U3597),IF(U3597&gt;$L$6,T3597,""),"")</f>
        <v/>
      </c>
      <c r="W3597">
        <f>IF(AND(ISNUMBER('자료_거시'!$G3579),ISNUMBER('자료_거시'!$H3579)),'자료_거시'!$H3579,"")</f>
        <v/>
      </c>
      <c r="X3597">
        <f>IF(ISNUMBER(W3597),'자료_거시'!$G3579,"")</f>
        <v/>
      </c>
      <c r="Y3597">
        <f>IF(ISNUMBER(X3597),IF(X3597&gt;$L$7,W3597,""),"")</f>
        <v/>
      </c>
      <c r="Z3597">
        <f>IF(ISNUMBER('자료_거시'!$K3579),'자료_거시'!$K3579,Z3596)</f>
        <v/>
      </c>
      <c r="AA3597">
        <f>IF(AND(ISNUMBER('자료_거시'!$J3579),ISNUMBER('자료_거시'!$K3579)),IFERROR('자료_거시'!$K3579/INDEX($Z$21:$Z$4020,MATCH(EDATE('자료_거시'!$J3579,-'설정'!$B$17),'자료_거시'!$J$3:INDEX('자료_거시'!$J$3:$J$4002,$K$8),1))-1,""),"")</f>
        <v/>
      </c>
      <c r="AB3597">
        <f>IF(ISNUMBER(AA3597),'자료_거시'!$J3579,"")</f>
        <v/>
      </c>
      <c r="AC3597">
        <f>IF(ISNUMBER(AB3597),IF(AB3597&gt;$L$8,AA3597,""),"")</f>
        <v/>
      </c>
    </row>
    <row r="3598">
      <c r="S3598">
        <f>IF(ISNUMBER('자료_거시'!$E3580),'자료_거시'!$E3580,S3597)</f>
        <v/>
      </c>
      <c r="T3598">
        <f>IF(AND(ISNUMBER('자료_거시'!$D3580),ISNUMBER('자료_거시'!$E3580)),IFERROR('자료_거시'!$E3580-INDEX($S$21:$S$4020,MATCH(EDATE('자료_거시'!$D3580,-'설정'!$B$17),'자료_거시'!$D$3:INDEX('자료_거시'!$D$3:$D$4002,$K$6),1)),""),"")</f>
        <v/>
      </c>
      <c r="U3598">
        <f>IF(ISNUMBER(T3598),'자료_거시'!$D3580,"")</f>
        <v/>
      </c>
      <c r="V3598">
        <f>IF(ISNUMBER(U3598),IF(U3598&gt;$L$6,T3598,""),"")</f>
        <v/>
      </c>
      <c r="W3598">
        <f>IF(AND(ISNUMBER('자료_거시'!$G3580),ISNUMBER('자료_거시'!$H3580)),'자료_거시'!$H3580,"")</f>
        <v/>
      </c>
      <c r="X3598">
        <f>IF(ISNUMBER(W3598),'자료_거시'!$G3580,"")</f>
        <v/>
      </c>
      <c r="Y3598">
        <f>IF(ISNUMBER(X3598),IF(X3598&gt;$L$7,W3598,""),"")</f>
        <v/>
      </c>
      <c r="Z3598">
        <f>IF(ISNUMBER('자료_거시'!$K3580),'자료_거시'!$K3580,Z3597)</f>
        <v/>
      </c>
      <c r="AA3598">
        <f>IF(AND(ISNUMBER('자료_거시'!$J3580),ISNUMBER('자료_거시'!$K3580)),IFERROR('자료_거시'!$K3580/INDEX($Z$21:$Z$4020,MATCH(EDATE('자료_거시'!$J3580,-'설정'!$B$17),'자료_거시'!$J$3:INDEX('자료_거시'!$J$3:$J$4002,$K$8),1))-1,""),"")</f>
        <v/>
      </c>
      <c r="AB3598">
        <f>IF(ISNUMBER(AA3598),'자료_거시'!$J3580,"")</f>
        <v/>
      </c>
      <c r="AC3598">
        <f>IF(ISNUMBER(AB3598),IF(AB3598&gt;$L$8,AA3598,""),"")</f>
        <v/>
      </c>
    </row>
    <row r="3599">
      <c r="S3599">
        <f>IF(ISNUMBER('자료_거시'!$E3581),'자료_거시'!$E3581,S3598)</f>
        <v/>
      </c>
      <c r="T3599">
        <f>IF(AND(ISNUMBER('자료_거시'!$D3581),ISNUMBER('자료_거시'!$E3581)),IFERROR('자료_거시'!$E3581-INDEX($S$21:$S$4020,MATCH(EDATE('자료_거시'!$D3581,-'설정'!$B$17),'자료_거시'!$D$3:INDEX('자료_거시'!$D$3:$D$4002,$K$6),1)),""),"")</f>
        <v/>
      </c>
      <c r="U3599">
        <f>IF(ISNUMBER(T3599),'자료_거시'!$D3581,"")</f>
        <v/>
      </c>
      <c r="V3599">
        <f>IF(ISNUMBER(U3599),IF(U3599&gt;$L$6,T3599,""),"")</f>
        <v/>
      </c>
      <c r="W3599">
        <f>IF(AND(ISNUMBER('자료_거시'!$G3581),ISNUMBER('자료_거시'!$H3581)),'자료_거시'!$H3581,"")</f>
        <v/>
      </c>
      <c r="X3599">
        <f>IF(ISNUMBER(W3599),'자료_거시'!$G3581,"")</f>
        <v/>
      </c>
      <c r="Y3599">
        <f>IF(ISNUMBER(X3599),IF(X3599&gt;$L$7,W3599,""),"")</f>
        <v/>
      </c>
      <c r="Z3599">
        <f>IF(ISNUMBER('자료_거시'!$K3581),'자료_거시'!$K3581,Z3598)</f>
        <v/>
      </c>
      <c r="AA3599">
        <f>IF(AND(ISNUMBER('자료_거시'!$J3581),ISNUMBER('자료_거시'!$K3581)),IFERROR('자료_거시'!$K3581/INDEX($Z$21:$Z$4020,MATCH(EDATE('자료_거시'!$J3581,-'설정'!$B$17),'자료_거시'!$J$3:INDEX('자료_거시'!$J$3:$J$4002,$K$8),1))-1,""),"")</f>
        <v/>
      </c>
      <c r="AB3599">
        <f>IF(ISNUMBER(AA3599),'자료_거시'!$J3581,"")</f>
        <v/>
      </c>
      <c r="AC3599">
        <f>IF(ISNUMBER(AB3599),IF(AB3599&gt;$L$8,AA3599,""),"")</f>
        <v/>
      </c>
    </row>
    <row r="3600">
      <c r="S3600">
        <f>IF(ISNUMBER('자료_거시'!$E3582),'자료_거시'!$E3582,S3599)</f>
        <v/>
      </c>
      <c r="T3600">
        <f>IF(AND(ISNUMBER('자료_거시'!$D3582),ISNUMBER('자료_거시'!$E3582)),IFERROR('자료_거시'!$E3582-INDEX($S$21:$S$4020,MATCH(EDATE('자료_거시'!$D3582,-'설정'!$B$17),'자료_거시'!$D$3:INDEX('자료_거시'!$D$3:$D$4002,$K$6),1)),""),"")</f>
        <v/>
      </c>
      <c r="U3600">
        <f>IF(ISNUMBER(T3600),'자료_거시'!$D3582,"")</f>
        <v/>
      </c>
      <c r="V3600">
        <f>IF(ISNUMBER(U3600),IF(U3600&gt;$L$6,T3600,""),"")</f>
        <v/>
      </c>
      <c r="W3600">
        <f>IF(AND(ISNUMBER('자료_거시'!$G3582),ISNUMBER('자료_거시'!$H3582)),'자료_거시'!$H3582,"")</f>
        <v/>
      </c>
      <c r="X3600">
        <f>IF(ISNUMBER(W3600),'자료_거시'!$G3582,"")</f>
        <v/>
      </c>
      <c r="Y3600">
        <f>IF(ISNUMBER(X3600),IF(X3600&gt;$L$7,W3600,""),"")</f>
        <v/>
      </c>
      <c r="Z3600">
        <f>IF(ISNUMBER('자료_거시'!$K3582),'자료_거시'!$K3582,Z3599)</f>
        <v/>
      </c>
      <c r="AA3600">
        <f>IF(AND(ISNUMBER('자료_거시'!$J3582),ISNUMBER('자료_거시'!$K3582)),IFERROR('자료_거시'!$K3582/INDEX($Z$21:$Z$4020,MATCH(EDATE('자료_거시'!$J3582,-'설정'!$B$17),'자료_거시'!$J$3:INDEX('자료_거시'!$J$3:$J$4002,$K$8),1))-1,""),"")</f>
        <v/>
      </c>
      <c r="AB3600">
        <f>IF(ISNUMBER(AA3600),'자료_거시'!$J3582,"")</f>
        <v/>
      </c>
      <c r="AC3600">
        <f>IF(ISNUMBER(AB3600),IF(AB3600&gt;$L$8,AA3600,""),"")</f>
        <v/>
      </c>
    </row>
    <row r="3601">
      <c r="S3601">
        <f>IF(ISNUMBER('자료_거시'!$E3583),'자료_거시'!$E3583,S3600)</f>
        <v/>
      </c>
      <c r="T3601">
        <f>IF(AND(ISNUMBER('자료_거시'!$D3583),ISNUMBER('자료_거시'!$E3583)),IFERROR('자료_거시'!$E3583-INDEX($S$21:$S$4020,MATCH(EDATE('자료_거시'!$D3583,-'설정'!$B$17),'자료_거시'!$D$3:INDEX('자료_거시'!$D$3:$D$4002,$K$6),1)),""),"")</f>
        <v/>
      </c>
      <c r="U3601">
        <f>IF(ISNUMBER(T3601),'자료_거시'!$D3583,"")</f>
        <v/>
      </c>
      <c r="V3601">
        <f>IF(ISNUMBER(U3601),IF(U3601&gt;$L$6,T3601,""),"")</f>
        <v/>
      </c>
      <c r="W3601">
        <f>IF(AND(ISNUMBER('자료_거시'!$G3583),ISNUMBER('자료_거시'!$H3583)),'자료_거시'!$H3583,"")</f>
        <v/>
      </c>
      <c r="X3601">
        <f>IF(ISNUMBER(W3601),'자료_거시'!$G3583,"")</f>
        <v/>
      </c>
      <c r="Y3601">
        <f>IF(ISNUMBER(X3601),IF(X3601&gt;$L$7,W3601,""),"")</f>
        <v/>
      </c>
      <c r="Z3601">
        <f>IF(ISNUMBER('자료_거시'!$K3583),'자료_거시'!$K3583,Z3600)</f>
        <v/>
      </c>
      <c r="AA3601">
        <f>IF(AND(ISNUMBER('자료_거시'!$J3583),ISNUMBER('자료_거시'!$K3583)),IFERROR('자료_거시'!$K3583/INDEX($Z$21:$Z$4020,MATCH(EDATE('자료_거시'!$J3583,-'설정'!$B$17),'자료_거시'!$J$3:INDEX('자료_거시'!$J$3:$J$4002,$K$8),1))-1,""),"")</f>
        <v/>
      </c>
      <c r="AB3601">
        <f>IF(ISNUMBER(AA3601),'자료_거시'!$J3583,"")</f>
        <v/>
      </c>
      <c r="AC3601">
        <f>IF(ISNUMBER(AB3601),IF(AB3601&gt;$L$8,AA3601,""),"")</f>
        <v/>
      </c>
    </row>
    <row r="3602">
      <c r="S3602">
        <f>IF(ISNUMBER('자료_거시'!$E3584),'자료_거시'!$E3584,S3601)</f>
        <v/>
      </c>
      <c r="T3602">
        <f>IF(AND(ISNUMBER('자료_거시'!$D3584),ISNUMBER('자료_거시'!$E3584)),IFERROR('자료_거시'!$E3584-INDEX($S$21:$S$4020,MATCH(EDATE('자료_거시'!$D3584,-'설정'!$B$17),'자료_거시'!$D$3:INDEX('자료_거시'!$D$3:$D$4002,$K$6),1)),""),"")</f>
        <v/>
      </c>
      <c r="U3602">
        <f>IF(ISNUMBER(T3602),'자료_거시'!$D3584,"")</f>
        <v/>
      </c>
      <c r="V3602">
        <f>IF(ISNUMBER(U3602),IF(U3602&gt;$L$6,T3602,""),"")</f>
        <v/>
      </c>
      <c r="W3602">
        <f>IF(AND(ISNUMBER('자료_거시'!$G3584),ISNUMBER('자료_거시'!$H3584)),'자료_거시'!$H3584,"")</f>
        <v/>
      </c>
      <c r="X3602">
        <f>IF(ISNUMBER(W3602),'자료_거시'!$G3584,"")</f>
        <v/>
      </c>
      <c r="Y3602">
        <f>IF(ISNUMBER(X3602),IF(X3602&gt;$L$7,W3602,""),"")</f>
        <v/>
      </c>
      <c r="Z3602">
        <f>IF(ISNUMBER('자료_거시'!$K3584),'자료_거시'!$K3584,Z3601)</f>
        <v/>
      </c>
      <c r="AA3602">
        <f>IF(AND(ISNUMBER('자료_거시'!$J3584),ISNUMBER('자료_거시'!$K3584)),IFERROR('자료_거시'!$K3584/INDEX($Z$21:$Z$4020,MATCH(EDATE('자료_거시'!$J3584,-'설정'!$B$17),'자료_거시'!$J$3:INDEX('자료_거시'!$J$3:$J$4002,$K$8),1))-1,""),"")</f>
        <v/>
      </c>
      <c r="AB3602">
        <f>IF(ISNUMBER(AA3602),'자료_거시'!$J3584,"")</f>
        <v/>
      </c>
      <c r="AC3602">
        <f>IF(ISNUMBER(AB3602),IF(AB3602&gt;$L$8,AA3602,""),"")</f>
        <v/>
      </c>
    </row>
    <row r="3603">
      <c r="S3603">
        <f>IF(ISNUMBER('자료_거시'!$E3585),'자료_거시'!$E3585,S3602)</f>
        <v/>
      </c>
      <c r="T3603">
        <f>IF(AND(ISNUMBER('자료_거시'!$D3585),ISNUMBER('자료_거시'!$E3585)),IFERROR('자료_거시'!$E3585-INDEX($S$21:$S$4020,MATCH(EDATE('자료_거시'!$D3585,-'설정'!$B$17),'자료_거시'!$D$3:INDEX('자료_거시'!$D$3:$D$4002,$K$6),1)),""),"")</f>
        <v/>
      </c>
      <c r="U3603">
        <f>IF(ISNUMBER(T3603),'자료_거시'!$D3585,"")</f>
        <v/>
      </c>
      <c r="V3603">
        <f>IF(ISNUMBER(U3603),IF(U3603&gt;$L$6,T3603,""),"")</f>
        <v/>
      </c>
      <c r="W3603">
        <f>IF(AND(ISNUMBER('자료_거시'!$G3585),ISNUMBER('자료_거시'!$H3585)),'자료_거시'!$H3585,"")</f>
        <v/>
      </c>
      <c r="X3603">
        <f>IF(ISNUMBER(W3603),'자료_거시'!$G3585,"")</f>
        <v/>
      </c>
      <c r="Y3603">
        <f>IF(ISNUMBER(X3603),IF(X3603&gt;$L$7,W3603,""),"")</f>
        <v/>
      </c>
      <c r="Z3603">
        <f>IF(ISNUMBER('자료_거시'!$K3585),'자료_거시'!$K3585,Z3602)</f>
        <v/>
      </c>
      <c r="AA3603">
        <f>IF(AND(ISNUMBER('자료_거시'!$J3585),ISNUMBER('자료_거시'!$K3585)),IFERROR('자료_거시'!$K3585/INDEX($Z$21:$Z$4020,MATCH(EDATE('자료_거시'!$J3585,-'설정'!$B$17),'자료_거시'!$J$3:INDEX('자료_거시'!$J$3:$J$4002,$K$8),1))-1,""),"")</f>
        <v/>
      </c>
      <c r="AB3603">
        <f>IF(ISNUMBER(AA3603),'자료_거시'!$J3585,"")</f>
        <v/>
      </c>
      <c r="AC3603">
        <f>IF(ISNUMBER(AB3603),IF(AB3603&gt;$L$8,AA3603,""),"")</f>
        <v/>
      </c>
    </row>
    <row r="3604">
      <c r="S3604">
        <f>IF(ISNUMBER('자료_거시'!$E3586),'자료_거시'!$E3586,S3603)</f>
        <v/>
      </c>
      <c r="T3604">
        <f>IF(AND(ISNUMBER('자료_거시'!$D3586),ISNUMBER('자료_거시'!$E3586)),IFERROR('자료_거시'!$E3586-INDEX($S$21:$S$4020,MATCH(EDATE('자료_거시'!$D3586,-'설정'!$B$17),'자료_거시'!$D$3:INDEX('자료_거시'!$D$3:$D$4002,$K$6),1)),""),"")</f>
        <v/>
      </c>
      <c r="U3604">
        <f>IF(ISNUMBER(T3604),'자료_거시'!$D3586,"")</f>
        <v/>
      </c>
      <c r="V3604">
        <f>IF(ISNUMBER(U3604),IF(U3604&gt;$L$6,T3604,""),"")</f>
        <v/>
      </c>
      <c r="W3604">
        <f>IF(AND(ISNUMBER('자료_거시'!$G3586),ISNUMBER('자료_거시'!$H3586)),'자료_거시'!$H3586,"")</f>
        <v/>
      </c>
      <c r="X3604">
        <f>IF(ISNUMBER(W3604),'자료_거시'!$G3586,"")</f>
        <v/>
      </c>
      <c r="Y3604">
        <f>IF(ISNUMBER(X3604),IF(X3604&gt;$L$7,W3604,""),"")</f>
        <v/>
      </c>
      <c r="Z3604">
        <f>IF(ISNUMBER('자료_거시'!$K3586),'자료_거시'!$K3586,Z3603)</f>
        <v/>
      </c>
      <c r="AA3604">
        <f>IF(AND(ISNUMBER('자료_거시'!$J3586),ISNUMBER('자료_거시'!$K3586)),IFERROR('자료_거시'!$K3586/INDEX($Z$21:$Z$4020,MATCH(EDATE('자료_거시'!$J3586,-'설정'!$B$17),'자료_거시'!$J$3:INDEX('자료_거시'!$J$3:$J$4002,$K$8),1))-1,""),"")</f>
        <v/>
      </c>
      <c r="AB3604">
        <f>IF(ISNUMBER(AA3604),'자료_거시'!$J3586,"")</f>
        <v/>
      </c>
      <c r="AC3604">
        <f>IF(ISNUMBER(AB3604),IF(AB3604&gt;$L$8,AA3604,""),"")</f>
        <v/>
      </c>
    </row>
    <row r="3605">
      <c r="S3605">
        <f>IF(ISNUMBER('자료_거시'!$E3587),'자료_거시'!$E3587,S3604)</f>
        <v/>
      </c>
      <c r="T3605">
        <f>IF(AND(ISNUMBER('자료_거시'!$D3587),ISNUMBER('자료_거시'!$E3587)),IFERROR('자료_거시'!$E3587-INDEX($S$21:$S$4020,MATCH(EDATE('자료_거시'!$D3587,-'설정'!$B$17),'자료_거시'!$D$3:INDEX('자료_거시'!$D$3:$D$4002,$K$6),1)),""),"")</f>
        <v/>
      </c>
      <c r="U3605">
        <f>IF(ISNUMBER(T3605),'자료_거시'!$D3587,"")</f>
        <v/>
      </c>
      <c r="V3605">
        <f>IF(ISNUMBER(U3605),IF(U3605&gt;$L$6,T3605,""),"")</f>
        <v/>
      </c>
      <c r="W3605">
        <f>IF(AND(ISNUMBER('자료_거시'!$G3587),ISNUMBER('자료_거시'!$H3587)),'자료_거시'!$H3587,"")</f>
        <v/>
      </c>
      <c r="X3605">
        <f>IF(ISNUMBER(W3605),'자료_거시'!$G3587,"")</f>
        <v/>
      </c>
      <c r="Y3605">
        <f>IF(ISNUMBER(X3605),IF(X3605&gt;$L$7,W3605,""),"")</f>
        <v/>
      </c>
      <c r="Z3605">
        <f>IF(ISNUMBER('자료_거시'!$K3587),'자료_거시'!$K3587,Z3604)</f>
        <v/>
      </c>
      <c r="AA3605">
        <f>IF(AND(ISNUMBER('자료_거시'!$J3587),ISNUMBER('자료_거시'!$K3587)),IFERROR('자료_거시'!$K3587/INDEX($Z$21:$Z$4020,MATCH(EDATE('자료_거시'!$J3587,-'설정'!$B$17),'자료_거시'!$J$3:INDEX('자료_거시'!$J$3:$J$4002,$K$8),1))-1,""),"")</f>
        <v/>
      </c>
      <c r="AB3605">
        <f>IF(ISNUMBER(AA3605),'자료_거시'!$J3587,"")</f>
        <v/>
      </c>
      <c r="AC3605">
        <f>IF(ISNUMBER(AB3605),IF(AB3605&gt;$L$8,AA3605,""),"")</f>
        <v/>
      </c>
    </row>
    <row r="3606">
      <c r="S3606">
        <f>IF(ISNUMBER('자료_거시'!$E3588),'자료_거시'!$E3588,S3605)</f>
        <v/>
      </c>
      <c r="T3606">
        <f>IF(AND(ISNUMBER('자료_거시'!$D3588),ISNUMBER('자료_거시'!$E3588)),IFERROR('자료_거시'!$E3588-INDEX($S$21:$S$4020,MATCH(EDATE('자료_거시'!$D3588,-'설정'!$B$17),'자료_거시'!$D$3:INDEX('자료_거시'!$D$3:$D$4002,$K$6),1)),""),"")</f>
        <v/>
      </c>
      <c r="U3606">
        <f>IF(ISNUMBER(T3606),'자료_거시'!$D3588,"")</f>
        <v/>
      </c>
      <c r="V3606">
        <f>IF(ISNUMBER(U3606),IF(U3606&gt;$L$6,T3606,""),"")</f>
        <v/>
      </c>
      <c r="W3606">
        <f>IF(AND(ISNUMBER('자료_거시'!$G3588),ISNUMBER('자료_거시'!$H3588)),'자료_거시'!$H3588,"")</f>
        <v/>
      </c>
      <c r="X3606">
        <f>IF(ISNUMBER(W3606),'자료_거시'!$G3588,"")</f>
        <v/>
      </c>
      <c r="Y3606">
        <f>IF(ISNUMBER(X3606),IF(X3606&gt;$L$7,W3606,""),"")</f>
        <v/>
      </c>
      <c r="Z3606">
        <f>IF(ISNUMBER('자료_거시'!$K3588),'자료_거시'!$K3588,Z3605)</f>
        <v/>
      </c>
      <c r="AA3606">
        <f>IF(AND(ISNUMBER('자료_거시'!$J3588),ISNUMBER('자료_거시'!$K3588)),IFERROR('자료_거시'!$K3588/INDEX($Z$21:$Z$4020,MATCH(EDATE('자료_거시'!$J3588,-'설정'!$B$17),'자료_거시'!$J$3:INDEX('자료_거시'!$J$3:$J$4002,$K$8),1))-1,""),"")</f>
        <v/>
      </c>
      <c r="AB3606">
        <f>IF(ISNUMBER(AA3606),'자료_거시'!$J3588,"")</f>
        <v/>
      </c>
      <c r="AC3606">
        <f>IF(ISNUMBER(AB3606),IF(AB3606&gt;$L$8,AA3606,""),"")</f>
        <v/>
      </c>
    </row>
    <row r="3607">
      <c r="S3607">
        <f>IF(ISNUMBER('자료_거시'!$E3589),'자료_거시'!$E3589,S3606)</f>
        <v/>
      </c>
      <c r="T3607">
        <f>IF(AND(ISNUMBER('자료_거시'!$D3589),ISNUMBER('자료_거시'!$E3589)),IFERROR('자료_거시'!$E3589-INDEX($S$21:$S$4020,MATCH(EDATE('자료_거시'!$D3589,-'설정'!$B$17),'자료_거시'!$D$3:INDEX('자료_거시'!$D$3:$D$4002,$K$6),1)),""),"")</f>
        <v/>
      </c>
      <c r="U3607">
        <f>IF(ISNUMBER(T3607),'자료_거시'!$D3589,"")</f>
        <v/>
      </c>
      <c r="V3607">
        <f>IF(ISNUMBER(U3607),IF(U3607&gt;$L$6,T3607,""),"")</f>
        <v/>
      </c>
      <c r="W3607">
        <f>IF(AND(ISNUMBER('자료_거시'!$G3589),ISNUMBER('자료_거시'!$H3589)),'자료_거시'!$H3589,"")</f>
        <v/>
      </c>
      <c r="X3607">
        <f>IF(ISNUMBER(W3607),'자료_거시'!$G3589,"")</f>
        <v/>
      </c>
      <c r="Y3607">
        <f>IF(ISNUMBER(X3607),IF(X3607&gt;$L$7,W3607,""),"")</f>
        <v/>
      </c>
      <c r="Z3607">
        <f>IF(ISNUMBER('자료_거시'!$K3589),'자료_거시'!$K3589,Z3606)</f>
        <v/>
      </c>
      <c r="AA3607">
        <f>IF(AND(ISNUMBER('자료_거시'!$J3589),ISNUMBER('자료_거시'!$K3589)),IFERROR('자료_거시'!$K3589/INDEX($Z$21:$Z$4020,MATCH(EDATE('자료_거시'!$J3589,-'설정'!$B$17),'자료_거시'!$J$3:INDEX('자료_거시'!$J$3:$J$4002,$K$8),1))-1,""),"")</f>
        <v/>
      </c>
      <c r="AB3607">
        <f>IF(ISNUMBER(AA3607),'자료_거시'!$J3589,"")</f>
        <v/>
      </c>
      <c r="AC3607">
        <f>IF(ISNUMBER(AB3607),IF(AB3607&gt;$L$8,AA3607,""),"")</f>
        <v/>
      </c>
    </row>
    <row r="3608">
      <c r="S3608">
        <f>IF(ISNUMBER('자료_거시'!$E3590),'자료_거시'!$E3590,S3607)</f>
        <v/>
      </c>
      <c r="T3608">
        <f>IF(AND(ISNUMBER('자료_거시'!$D3590),ISNUMBER('자료_거시'!$E3590)),IFERROR('자료_거시'!$E3590-INDEX($S$21:$S$4020,MATCH(EDATE('자료_거시'!$D3590,-'설정'!$B$17),'자료_거시'!$D$3:INDEX('자료_거시'!$D$3:$D$4002,$K$6),1)),""),"")</f>
        <v/>
      </c>
      <c r="U3608">
        <f>IF(ISNUMBER(T3608),'자료_거시'!$D3590,"")</f>
        <v/>
      </c>
      <c r="V3608">
        <f>IF(ISNUMBER(U3608),IF(U3608&gt;$L$6,T3608,""),"")</f>
        <v/>
      </c>
      <c r="W3608">
        <f>IF(AND(ISNUMBER('자료_거시'!$G3590),ISNUMBER('자료_거시'!$H3590)),'자료_거시'!$H3590,"")</f>
        <v/>
      </c>
      <c r="X3608">
        <f>IF(ISNUMBER(W3608),'자료_거시'!$G3590,"")</f>
        <v/>
      </c>
      <c r="Y3608">
        <f>IF(ISNUMBER(X3608),IF(X3608&gt;$L$7,W3608,""),"")</f>
        <v/>
      </c>
      <c r="Z3608">
        <f>IF(ISNUMBER('자료_거시'!$K3590),'자료_거시'!$K3590,Z3607)</f>
        <v/>
      </c>
      <c r="AA3608">
        <f>IF(AND(ISNUMBER('자료_거시'!$J3590),ISNUMBER('자료_거시'!$K3590)),IFERROR('자료_거시'!$K3590/INDEX($Z$21:$Z$4020,MATCH(EDATE('자료_거시'!$J3590,-'설정'!$B$17),'자료_거시'!$J$3:INDEX('자료_거시'!$J$3:$J$4002,$K$8),1))-1,""),"")</f>
        <v/>
      </c>
      <c r="AB3608">
        <f>IF(ISNUMBER(AA3608),'자료_거시'!$J3590,"")</f>
        <v/>
      </c>
      <c r="AC3608">
        <f>IF(ISNUMBER(AB3608),IF(AB3608&gt;$L$8,AA3608,""),"")</f>
        <v/>
      </c>
    </row>
    <row r="3609">
      <c r="S3609">
        <f>IF(ISNUMBER('자료_거시'!$E3591),'자료_거시'!$E3591,S3608)</f>
        <v/>
      </c>
      <c r="T3609">
        <f>IF(AND(ISNUMBER('자료_거시'!$D3591),ISNUMBER('자료_거시'!$E3591)),IFERROR('자료_거시'!$E3591-INDEX($S$21:$S$4020,MATCH(EDATE('자료_거시'!$D3591,-'설정'!$B$17),'자료_거시'!$D$3:INDEX('자료_거시'!$D$3:$D$4002,$K$6),1)),""),"")</f>
        <v/>
      </c>
      <c r="U3609">
        <f>IF(ISNUMBER(T3609),'자료_거시'!$D3591,"")</f>
        <v/>
      </c>
      <c r="V3609">
        <f>IF(ISNUMBER(U3609),IF(U3609&gt;$L$6,T3609,""),"")</f>
        <v/>
      </c>
      <c r="W3609">
        <f>IF(AND(ISNUMBER('자료_거시'!$G3591),ISNUMBER('자료_거시'!$H3591)),'자료_거시'!$H3591,"")</f>
        <v/>
      </c>
      <c r="X3609">
        <f>IF(ISNUMBER(W3609),'자료_거시'!$G3591,"")</f>
        <v/>
      </c>
      <c r="Y3609">
        <f>IF(ISNUMBER(X3609),IF(X3609&gt;$L$7,W3609,""),"")</f>
        <v/>
      </c>
      <c r="Z3609">
        <f>IF(ISNUMBER('자료_거시'!$K3591),'자료_거시'!$K3591,Z3608)</f>
        <v/>
      </c>
      <c r="AA3609">
        <f>IF(AND(ISNUMBER('자료_거시'!$J3591),ISNUMBER('자료_거시'!$K3591)),IFERROR('자료_거시'!$K3591/INDEX($Z$21:$Z$4020,MATCH(EDATE('자료_거시'!$J3591,-'설정'!$B$17),'자료_거시'!$J$3:INDEX('자료_거시'!$J$3:$J$4002,$K$8),1))-1,""),"")</f>
        <v/>
      </c>
      <c r="AB3609">
        <f>IF(ISNUMBER(AA3609),'자료_거시'!$J3591,"")</f>
        <v/>
      </c>
      <c r="AC3609">
        <f>IF(ISNUMBER(AB3609),IF(AB3609&gt;$L$8,AA3609,""),"")</f>
        <v/>
      </c>
    </row>
    <row r="3610">
      <c r="S3610">
        <f>IF(ISNUMBER('자료_거시'!$E3592),'자료_거시'!$E3592,S3609)</f>
        <v/>
      </c>
      <c r="T3610">
        <f>IF(AND(ISNUMBER('자료_거시'!$D3592),ISNUMBER('자료_거시'!$E3592)),IFERROR('자료_거시'!$E3592-INDEX($S$21:$S$4020,MATCH(EDATE('자료_거시'!$D3592,-'설정'!$B$17),'자료_거시'!$D$3:INDEX('자료_거시'!$D$3:$D$4002,$K$6),1)),""),"")</f>
        <v/>
      </c>
      <c r="U3610">
        <f>IF(ISNUMBER(T3610),'자료_거시'!$D3592,"")</f>
        <v/>
      </c>
      <c r="V3610">
        <f>IF(ISNUMBER(U3610),IF(U3610&gt;$L$6,T3610,""),"")</f>
        <v/>
      </c>
      <c r="W3610">
        <f>IF(AND(ISNUMBER('자료_거시'!$G3592),ISNUMBER('자료_거시'!$H3592)),'자료_거시'!$H3592,"")</f>
        <v/>
      </c>
      <c r="X3610">
        <f>IF(ISNUMBER(W3610),'자료_거시'!$G3592,"")</f>
        <v/>
      </c>
      <c r="Y3610">
        <f>IF(ISNUMBER(X3610),IF(X3610&gt;$L$7,W3610,""),"")</f>
        <v/>
      </c>
      <c r="Z3610">
        <f>IF(ISNUMBER('자료_거시'!$K3592),'자료_거시'!$K3592,Z3609)</f>
        <v/>
      </c>
      <c r="AA3610">
        <f>IF(AND(ISNUMBER('자료_거시'!$J3592),ISNUMBER('자료_거시'!$K3592)),IFERROR('자료_거시'!$K3592/INDEX($Z$21:$Z$4020,MATCH(EDATE('자료_거시'!$J3592,-'설정'!$B$17),'자료_거시'!$J$3:INDEX('자료_거시'!$J$3:$J$4002,$K$8),1))-1,""),"")</f>
        <v/>
      </c>
      <c r="AB3610">
        <f>IF(ISNUMBER(AA3610),'자료_거시'!$J3592,"")</f>
        <v/>
      </c>
      <c r="AC3610">
        <f>IF(ISNUMBER(AB3610),IF(AB3610&gt;$L$8,AA3610,""),"")</f>
        <v/>
      </c>
    </row>
    <row r="3611">
      <c r="S3611">
        <f>IF(ISNUMBER('자료_거시'!$E3593),'자료_거시'!$E3593,S3610)</f>
        <v/>
      </c>
      <c r="T3611">
        <f>IF(AND(ISNUMBER('자료_거시'!$D3593),ISNUMBER('자료_거시'!$E3593)),IFERROR('자료_거시'!$E3593-INDEX($S$21:$S$4020,MATCH(EDATE('자료_거시'!$D3593,-'설정'!$B$17),'자료_거시'!$D$3:INDEX('자료_거시'!$D$3:$D$4002,$K$6),1)),""),"")</f>
        <v/>
      </c>
      <c r="U3611">
        <f>IF(ISNUMBER(T3611),'자료_거시'!$D3593,"")</f>
        <v/>
      </c>
      <c r="V3611">
        <f>IF(ISNUMBER(U3611),IF(U3611&gt;$L$6,T3611,""),"")</f>
        <v/>
      </c>
      <c r="W3611">
        <f>IF(AND(ISNUMBER('자료_거시'!$G3593),ISNUMBER('자료_거시'!$H3593)),'자료_거시'!$H3593,"")</f>
        <v/>
      </c>
      <c r="X3611">
        <f>IF(ISNUMBER(W3611),'자료_거시'!$G3593,"")</f>
        <v/>
      </c>
      <c r="Y3611">
        <f>IF(ISNUMBER(X3611),IF(X3611&gt;$L$7,W3611,""),"")</f>
        <v/>
      </c>
      <c r="Z3611">
        <f>IF(ISNUMBER('자료_거시'!$K3593),'자료_거시'!$K3593,Z3610)</f>
        <v/>
      </c>
      <c r="AA3611">
        <f>IF(AND(ISNUMBER('자료_거시'!$J3593),ISNUMBER('자료_거시'!$K3593)),IFERROR('자료_거시'!$K3593/INDEX($Z$21:$Z$4020,MATCH(EDATE('자료_거시'!$J3593,-'설정'!$B$17),'자료_거시'!$J$3:INDEX('자료_거시'!$J$3:$J$4002,$K$8),1))-1,""),"")</f>
        <v/>
      </c>
      <c r="AB3611">
        <f>IF(ISNUMBER(AA3611),'자료_거시'!$J3593,"")</f>
        <v/>
      </c>
      <c r="AC3611">
        <f>IF(ISNUMBER(AB3611),IF(AB3611&gt;$L$8,AA3611,""),"")</f>
        <v/>
      </c>
    </row>
    <row r="3612">
      <c r="S3612">
        <f>IF(ISNUMBER('자료_거시'!$E3594),'자료_거시'!$E3594,S3611)</f>
        <v/>
      </c>
      <c r="T3612">
        <f>IF(AND(ISNUMBER('자료_거시'!$D3594),ISNUMBER('자료_거시'!$E3594)),IFERROR('자료_거시'!$E3594-INDEX($S$21:$S$4020,MATCH(EDATE('자료_거시'!$D3594,-'설정'!$B$17),'자료_거시'!$D$3:INDEX('자료_거시'!$D$3:$D$4002,$K$6),1)),""),"")</f>
        <v/>
      </c>
      <c r="U3612">
        <f>IF(ISNUMBER(T3612),'자료_거시'!$D3594,"")</f>
        <v/>
      </c>
      <c r="V3612">
        <f>IF(ISNUMBER(U3612),IF(U3612&gt;$L$6,T3612,""),"")</f>
        <v/>
      </c>
      <c r="W3612">
        <f>IF(AND(ISNUMBER('자료_거시'!$G3594),ISNUMBER('자료_거시'!$H3594)),'자료_거시'!$H3594,"")</f>
        <v/>
      </c>
      <c r="X3612">
        <f>IF(ISNUMBER(W3612),'자료_거시'!$G3594,"")</f>
        <v/>
      </c>
      <c r="Y3612">
        <f>IF(ISNUMBER(X3612),IF(X3612&gt;$L$7,W3612,""),"")</f>
        <v/>
      </c>
      <c r="Z3612">
        <f>IF(ISNUMBER('자료_거시'!$K3594),'자료_거시'!$K3594,Z3611)</f>
        <v/>
      </c>
      <c r="AA3612">
        <f>IF(AND(ISNUMBER('자료_거시'!$J3594),ISNUMBER('자료_거시'!$K3594)),IFERROR('자료_거시'!$K3594/INDEX($Z$21:$Z$4020,MATCH(EDATE('자료_거시'!$J3594,-'설정'!$B$17),'자료_거시'!$J$3:INDEX('자료_거시'!$J$3:$J$4002,$K$8),1))-1,""),"")</f>
        <v/>
      </c>
      <c r="AB3612">
        <f>IF(ISNUMBER(AA3612),'자료_거시'!$J3594,"")</f>
        <v/>
      </c>
      <c r="AC3612">
        <f>IF(ISNUMBER(AB3612),IF(AB3612&gt;$L$8,AA3612,""),"")</f>
        <v/>
      </c>
    </row>
    <row r="3613">
      <c r="S3613">
        <f>IF(ISNUMBER('자료_거시'!$E3595),'자료_거시'!$E3595,S3612)</f>
        <v/>
      </c>
      <c r="T3613">
        <f>IF(AND(ISNUMBER('자료_거시'!$D3595),ISNUMBER('자료_거시'!$E3595)),IFERROR('자료_거시'!$E3595-INDEX($S$21:$S$4020,MATCH(EDATE('자료_거시'!$D3595,-'설정'!$B$17),'자료_거시'!$D$3:INDEX('자료_거시'!$D$3:$D$4002,$K$6),1)),""),"")</f>
        <v/>
      </c>
      <c r="U3613">
        <f>IF(ISNUMBER(T3613),'자료_거시'!$D3595,"")</f>
        <v/>
      </c>
      <c r="V3613">
        <f>IF(ISNUMBER(U3613),IF(U3613&gt;$L$6,T3613,""),"")</f>
        <v/>
      </c>
      <c r="W3613">
        <f>IF(AND(ISNUMBER('자료_거시'!$G3595),ISNUMBER('자료_거시'!$H3595)),'자료_거시'!$H3595,"")</f>
        <v/>
      </c>
      <c r="X3613">
        <f>IF(ISNUMBER(W3613),'자료_거시'!$G3595,"")</f>
        <v/>
      </c>
      <c r="Y3613">
        <f>IF(ISNUMBER(X3613),IF(X3613&gt;$L$7,W3613,""),"")</f>
        <v/>
      </c>
      <c r="Z3613">
        <f>IF(ISNUMBER('자료_거시'!$K3595),'자료_거시'!$K3595,Z3612)</f>
        <v/>
      </c>
      <c r="AA3613">
        <f>IF(AND(ISNUMBER('자료_거시'!$J3595),ISNUMBER('자료_거시'!$K3595)),IFERROR('자료_거시'!$K3595/INDEX($Z$21:$Z$4020,MATCH(EDATE('자료_거시'!$J3595,-'설정'!$B$17),'자료_거시'!$J$3:INDEX('자료_거시'!$J$3:$J$4002,$K$8),1))-1,""),"")</f>
        <v/>
      </c>
      <c r="AB3613">
        <f>IF(ISNUMBER(AA3613),'자료_거시'!$J3595,"")</f>
        <v/>
      </c>
      <c r="AC3613">
        <f>IF(ISNUMBER(AB3613),IF(AB3613&gt;$L$8,AA3613,""),"")</f>
        <v/>
      </c>
    </row>
    <row r="3614">
      <c r="S3614">
        <f>IF(ISNUMBER('자료_거시'!$E3596),'자료_거시'!$E3596,S3613)</f>
        <v/>
      </c>
      <c r="T3614">
        <f>IF(AND(ISNUMBER('자료_거시'!$D3596),ISNUMBER('자료_거시'!$E3596)),IFERROR('자료_거시'!$E3596-INDEX($S$21:$S$4020,MATCH(EDATE('자료_거시'!$D3596,-'설정'!$B$17),'자료_거시'!$D$3:INDEX('자료_거시'!$D$3:$D$4002,$K$6),1)),""),"")</f>
        <v/>
      </c>
      <c r="U3614">
        <f>IF(ISNUMBER(T3614),'자료_거시'!$D3596,"")</f>
        <v/>
      </c>
      <c r="V3614">
        <f>IF(ISNUMBER(U3614),IF(U3614&gt;$L$6,T3614,""),"")</f>
        <v/>
      </c>
      <c r="W3614">
        <f>IF(AND(ISNUMBER('자료_거시'!$G3596),ISNUMBER('자료_거시'!$H3596)),'자료_거시'!$H3596,"")</f>
        <v/>
      </c>
      <c r="X3614">
        <f>IF(ISNUMBER(W3614),'자료_거시'!$G3596,"")</f>
        <v/>
      </c>
      <c r="Y3614">
        <f>IF(ISNUMBER(X3614),IF(X3614&gt;$L$7,W3614,""),"")</f>
        <v/>
      </c>
      <c r="Z3614">
        <f>IF(ISNUMBER('자료_거시'!$K3596),'자료_거시'!$K3596,Z3613)</f>
        <v/>
      </c>
      <c r="AA3614">
        <f>IF(AND(ISNUMBER('자료_거시'!$J3596),ISNUMBER('자료_거시'!$K3596)),IFERROR('자료_거시'!$K3596/INDEX($Z$21:$Z$4020,MATCH(EDATE('자료_거시'!$J3596,-'설정'!$B$17),'자료_거시'!$J$3:INDEX('자료_거시'!$J$3:$J$4002,$K$8),1))-1,""),"")</f>
        <v/>
      </c>
      <c r="AB3614">
        <f>IF(ISNUMBER(AA3614),'자료_거시'!$J3596,"")</f>
        <v/>
      </c>
      <c r="AC3614">
        <f>IF(ISNUMBER(AB3614),IF(AB3614&gt;$L$8,AA3614,""),"")</f>
        <v/>
      </c>
    </row>
    <row r="3615">
      <c r="S3615">
        <f>IF(ISNUMBER('자료_거시'!$E3597),'자료_거시'!$E3597,S3614)</f>
        <v/>
      </c>
      <c r="T3615">
        <f>IF(AND(ISNUMBER('자료_거시'!$D3597),ISNUMBER('자료_거시'!$E3597)),IFERROR('자료_거시'!$E3597-INDEX($S$21:$S$4020,MATCH(EDATE('자료_거시'!$D3597,-'설정'!$B$17),'자료_거시'!$D$3:INDEX('자료_거시'!$D$3:$D$4002,$K$6),1)),""),"")</f>
        <v/>
      </c>
      <c r="U3615">
        <f>IF(ISNUMBER(T3615),'자료_거시'!$D3597,"")</f>
        <v/>
      </c>
      <c r="V3615">
        <f>IF(ISNUMBER(U3615),IF(U3615&gt;$L$6,T3615,""),"")</f>
        <v/>
      </c>
      <c r="W3615">
        <f>IF(AND(ISNUMBER('자료_거시'!$G3597),ISNUMBER('자료_거시'!$H3597)),'자료_거시'!$H3597,"")</f>
        <v/>
      </c>
      <c r="X3615">
        <f>IF(ISNUMBER(W3615),'자료_거시'!$G3597,"")</f>
        <v/>
      </c>
      <c r="Y3615">
        <f>IF(ISNUMBER(X3615),IF(X3615&gt;$L$7,W3615,""),"")</f>
        <v/>
      </c>
      <c r="Z3615">
        <f>IF(ISNUMBER('자료_거시'!$K3597),'자료_거시'!$K3597,Z3614)</f>
        <v/>
      </c>
      <c r="AA3615">
        <f>IF(AND(ISNUMBER('자료_거시'!$J3597),ISNUMBER('자료_거시'!$K3597)),IFERROR('자료_거시'!$K3597/INDEX($Z$21:$Z$4020,MATCH(EDATE('자료_거시'!$J3597,-'설정'!$B$17),'자료_거시'!$J$3:INDEX('자료_거시'!$J$3:$J$4002,$K$8),1))-1,""),"")</f>
        <v/>
      </c>
      <c r="AB3615">
        <f>IF(ISNUMBER(AA3615),'자료_거시'!$J3597,"")</f>
        <v/>
      </c>
      <c r="AC3615">
        <f>IF(ISNUMBER(AB3615),IF(AB3615&gt;$L$8,AA3615,""),"")</f>
        <v/>
      </c>
    </row>
    <row r="3616">
      <c r="S3616">
        <f>IF(ISNUMBER('자료_거시'!$E3598),'자료_거시'!$E3598,S3615)</f>
        <v/>
      </c>
      <c r="T3616">
        <f>IF(AND(ISNUMBER('자료_거시'!$D3598),ISNUMBER('자료_거시'!$E3598)),IFERROR('자료_거시'!$E3598-INDEX($S$21:$S$4020,MATCH(EDATE('자료_거시'!$D3598,-'설정'!$B$17),'자료_거시'!$D$3:INDEX('자료_거시'!$D$3:$D$4002,$K$6),1)),""),"")</f>
        <v/>
      </c>
      <c r="U3616">
        <f>IF(ISNUMBER(T3616),'자료_거시'!$D3598,"")</f>
        <v/>
      </c>
      <c r="V3616">
        <f>IF(ISNUMBER(U3616),IF(U3616&gt;$L$6,T3616,""),"")</f>
        <v/>
      </c>
      <c r="W3616">
        <f>IF(AND(ISNUMBER('자료_거시'!$G3598),ISNUMBER('자료_거시'!$H3598)),'자료_거시'!$H3598,"")</f>
        <v/>
      </c>
      <c r="X3616">
        <f>IF(ISNUMBER(W3616),'자료_거시'!$G3598,"")</f>
        <v/>
      </c>
      <c r="Y3616">
        <f>IF(ISNUMBER(X3616),IF(X3616&gt;$L$7,W3616,""),"")</f>
        <v/>
      </c>
      <c r="Z3616">
        <f>IF(ISNUMBER('자료_거시'!$K3598),'자료_거시'!$K3598,Z3615)</f>
        <v/>
      </c>
      <c r="AA3616">
        <f>IF(AND(ISNUMBER('자료_거시'!$J3598),ISNUMBER('자료_거시'!$K3598)),IFERROR('자료_거시'!$K3598/INDEX($Z$21:$Z$4020,MATCH(EDATE('자료_거시'!$J3598,-'설정'!$B$17),'자료_거시'!$J$3:INDEX('자료_거시'!$J$3:$J$4002,$K$8),1))-1,""),"")</f>
        <v/>
      </c>
      <c r="AB3616">
        <f>IF(ISNUMBER(AA3616),'자료_거시'!$J3598,"")</f>
        <v/>
      </c>
      <c r="AC3616">
        <f>IF(ISNUMBER(AB3616),IF(AB3616&gt;$L$8,AA3616,""),"")</f>
        <v/>
      </c>
    </row>
    <row r="3617">
      <c r="S3617">
        <f>IF(ISNUMBER('자료_거시'!$E3599),'자료_거시'!$E3599,S3616)</f>
        <v/>
      </c>
      <c r="T3617">
        <f>IF(AND(ISNUMBER('자료_거시'!$D3599),ISNUMBER('자료_거시'!$E3599)),IFERROR('자료_거시'!$E3599-INDEX($S$21:$S$4020,MATCH(EDATE('자료_거시'!$D3599,-'설정'!$B$17),'자료_거시'!$D$3:INDEX('자료_거시'!$D$3:$D$4002,$K$6),1)),""),"")</f>
        <v/>
      </c>
      <c r="U3617">
        <f>IF(ISNUMBER(T3617),'자료_거시'!$D3599,"")</f>
        <v/>
      </c>
      <c r="V3617">
        <f>IF(ISNUMBER(U3617),IF(U3617&gt;$L$6,T3617,""),"")</f>
        <v/>
      </c>
      <c r="W3617">
        <f>IF(AND(ISNUMBER('자료_거시'!$G3599),ISNUMBER('자료_거시'!$H3599)),'자료_거시'!$H3599,"")</f>
        <v/>
      </c>
      <c r="X3617">
        <f>IF(ISNUMBER(W3617),'자료_거시'!$G3599,"")</f>
        <v/>
      </c>
      <c r="Y3617">
        <f>IF(ISNUMBER(X3617),IF(X3617&gt;$L$7,W3617,""),"")</f>
        <v/>
      </c>
      <c r="Z3617">
        <f>IF(ISNUMBER('자료_거시'!$K3599),'자료_거시'!$K3599,Z3616)</f>
        <v/>
      </c>
      <c r="AA3617">
        <f>IF(AND(ISNUMBER('자료_거시'!$J3599),ISNUMBER('자료_거시'!$K3599)),IFERROR('자료_거시'!$K3599/INDEX($Z$21:$Z$4020,MATCH(EDATE('자료_거시'!$J3599,-'설정'!$B$17),'자료_거시'!$J$3:INDEX('자료_거시'!$J$3:$J$4002,$K$8),1))-1,""),"")</f>
        <v/>
      </c>
      <c r="AB3617">
        <f>IF(ISNUMBER(AA3617),'자료_거시'!$J3599,"")</f>
        <v/>
      </c>
      <c r="AC3617">
        <f>IF(ISNUMBER(AB3617),IF(AB3617&gt;$L$8,AA3617,""),"")</f>
        <v/>
      </c>
    </row>
    <row r="3618">
      <c r="S3618">
        <f>IF(ISNUMBER('자료_거시'!$E3600),'자료_거시'!$E3600,S3617)</f>
        <v/>
      </c>
      <c r="T3618">
        <f>IF(AND(ISNUMBER('자료_거시'!$D3600),ISNUMBER('자료_거시'!$E3600)),IFERROR('자료_거시'!$E3600-INDEX($S$21:$S$4020,MATCH(EDATE('자료_거시'!$D3600,-'설정'!$B$17),'자료_거시'!$D$3:INDEX('자료_거시'!$D$3:$D$4002,$K$6),1)),""),"")</f>
        <v/>
      </c>
      <c r="U3618">
        <f>IF(ISNUMBER(T3618),'자료_거시'!$D3600,"")</f>
        <v/>
      </c>
      <c r="V3618">
        <f>IF(ISNUMBER(U3618),IF(U3618&gt;$L$6,T3618,""),"")</f>
        <v/>
      </c>
      <c r="W3618">
        <f>IF(AND(ISNUMBER('자료_거시'!$G3600),ISNUMBER('자료_거시'!$H3600)),'자료_거시'!$H3600,"")</f>
        <v/>
      </c>
      <c r="X3618">
        <f>IF(ISNUMBER(W3618),'자료_거시'!$G3600,"")</f>
        <v/>
      </c>
      <c r="Y3618">
        <f>IF(ISNUMBER(X3618),IF(X3618&gt;$L$7,W3618,""),"")</f>
        <v/>
      </c>
      <c r="Z3618">
        <f>IF(ISNUMBER('자료_거시'!$K3600),'자료_거시'!$K3600,Z3617)</f>
        <v/>
      </c>
      <c r="AA3618">
        <f>IF(AND(ISNUMBER('자료_거시'!$J3600),ISNUMBER('자료_거시'!$K3600)),IFERROR('자료_거시'!$K3600/INDEX($Z$21:$Z$4020,MATCH(EDATE('자료_거시'!$J3600,-'설정'!$B$17),'자료_거시'!$J$3:INDEX('자료_거시'!$J$3:$J$4002,$K$8),1))-1,""),"")</f>
        <v/>
      </c>
      <c r="AB3618">
        <f>IF(ISNUMBER(AA3618),'자료_거시'!$J3600,"")</f>
        <v/>
      </c>
      <c r="AC3618">
        <f>IF(ISNUMBER(AB3618),IF(AB3618&gt;$L$8,AA3618,""),"")</f>
        <v/>
      </c>
    </row>
    <row r="3619">
      <c r="S3619">
        <f>IF(ISNUMBER('자료_거시'!$E3601),'자료_거시'!$E3601,S3618)</f>
        <v/>
      </c>
      <c r="T3619">
        <f>IF(AND(ISNUMBER('자료_거시'!$D3601),ISNUMBER('자료_거시'!$E3601)),IFERROR('자료_거시'!$E3601-INDEX($S$21:$S$4020,MATCH(EDATE('자료_거시'!$D3601,-'설정'!$B$17),'자료_거시'!$D$3:INDEX('자료_거시'!$D$3:$D$4002,$K$6),1)),""),"")</f>
        <v/>
      </c>
      <c r="U3619">
        <f>IF(ISNUMBER(T3619),'자료_거시'!$D3601,"")</f>
        <v/>
      </c>
      <c r="V3619">
        <f>IF(ISNUMBER(U3619),IF(U3619&gt;$L$6,T3619,""),"")</f>
        <v/>
      </c>
      <c r="W3619">
        <f>IF(AND(ISNUMBER('자료_거시'!$G3601),ISNUMBER('자료_거시'!$H3601)),'자료_거시'!$H3601,"")</f>
        <v/>
      </c>
      <c r="X3619">
        <f>IF(ISNUMBER(W3619),'자료_거시'!$G3601,"")</f>
        <v/>
      </c>
      <c r="Y3619">
        <f>IF(ISNUMBER(X3619),IF(X3619&gt;$L$7,W3619,""),"")</f>
        <v/>
      </c>
      <c r="Z3619">
        <f>IF(ISNUMBER('자료_거시'!$K3601),'자료_거시'!$K3601,Z3618)</f>
        <v/>
      </c>
      <c r="AA3619">
        <f>IF(AND(ISNUMBER('자료_거시'!$J3601),ISNUMBER('자료_거시'!$K3601)),IFERROR('자료_거시'!$K3601/INDEX($Z$21:$Z$4020,MATCH(EDATE('자료_거시'!$J3601,-'설정'!$B$17),'자료_거시'!$J$3:INDEX('자료_거시'!$J$3:$J$4002,$K$8),1))-1,""),"")</f>
        <v/>
      </c>
      <c r="AB3619">
        <f>IF(ISNUMBER(AA3619),'자료_거시'!$J3601,"")</f>
        <v/>
      </c>
      <c r="AC3619">
        <f>IF(ISNUMBER(AB3619),IF(AB3619&gt;$L$8,AA3619,""),"")</f>
        <v/>
      </c>
    </row>
    <row r="3620">
      <c r="S3620">
        <f>IF(ISNUMBER('자료_거시'!$E3602),'자료_거시'!$E3602,S3619)</f>
        <v/>
      </c>
      <c r="T3620">
        <f>IF(AND(ISNUMBER('자료_거시'!$D3602),ISNUMBER('자료_거시'!$E3602)),IFERROR('자료_거시'!$E3602-INDEX($S$21:$S$4020,MATCH(EDATE('자료_거시'!$D3602,-'설정'!$B$17),'자료_거시'!$D$3:INDEX('자료_거시'!$D$3:$D$4002,$K$6),1)),""),"")</f>
        <v/>
      </c>
      <c r="U3620">
        <f>IF(ISNUMBER(T3620),'자료_거시'!$D3602,"")</f>
        <v/>
      </c>
      <c r="V3620">
        <f>IF(ISNUMBER(U3620),IF(U3620&gt;$L$6,T3620,""),"")</f>
        <v/>
      </c>
      <c r="W3620">
        <f>IF(AND(ISNUMBER('자료_거시'!$G3602),ISNUMBER('자료_거시'!$H3602)),'자료_거시'!$H3602,"")</f>
        <v/>
      </c>
      <c r="X3620">
        <f>IF(ISNUMBER(W3620),'자료_거시'!$G3602,"")</f>
        <v/>
      </c>
      <c r="Y3620">
        <f>IF(ISNUMBER(X3620),IF(X3620&gt;$L$7,W3620,""),"")</f>
        <v/>
      </c>
      <c r="Z3620">
        <f>IF(ISNUMBER('자료_거시'!$K3602),'자료_거시'!$K3602,Z3619)</f>
        <v/>
      </c>
      <c r="AA3620">
        <f>IF(AND(ISNUMBER('자료_거시'!$J3602),ISNUMBER('자료_거시'!$K3602)),IFERROR('자료_거시'!$K3602/INDEX($Z$21:$Z$4020,MATCH(EDATE('자료_거시'!$J3602,-'설정'!$B$17),'자료_거시'!$J$3:INDEX('자료_거시'!$J$3:$J$4002,$K$8),1))-1,""),"")</f>
        <v/>
      </c>
      <c r="AB3620">
        <f>IF(ISNUMBER(AA3620),'자료_거시'!$J3602,"")</f>
        <v/>
      </c>
      <c r="AC3620">
        <f>IF(ISNUMBER(AB3620),IF(AB3620&gt;$L$8,AA3620,""),"")</f>
        <v/>
      </c>
    </row>
    <row r="3621">
      <c r="S3621">
        <f>IF(ISNUMBER('자료_거시'!$E3603),'자료_거시'!$E3603,S3620)</f>
        <v/>
      </c>
      <c r="T3621">
        <f>IF(AND(ISNUMBER('자료_거시'!$D3603),ISNUMBER('자료_거시'!$E3603)),IFERROR('자료_거시'!$E3603-INDEX($S$21:$S$4020,MATCH(EDATE('자료_거시'!$D3603,-'설정'!$B$17),'자료_거시'!$D$3:INDEX('자료_거시'!$D$3:$D$4002,$K$6),1)),""),"")</f>
        <v/>
      </c>
      <c r="U3621">
        <f>IF(ISNUMBER(T3621),'자료_거시'!$D3603,"")</f>
        <v/>
      </c>
      <c r="V3621">
        <f>IF(ISNUMBER(U3621),IF(U3621&gt;$L$6,T3621,""),"")</f>
        <v/>
      </c>
      <c r="W3621">
        <f>IF(AND(ISNUMBER('자료_거시'!$G3603),ISNUMBER('자료_거시'!$H3603)),'자료_거시'!$H3603,"")</f>
        <v/>
      </c>
      <c r="X3621">
        <f>IF(ISNUMBER(W3621),'자료_거시'!$G3603,"")</f>
        <v/>
      </c>
      <c r="Y3621">
        <f>IF(ISNUMBER(X3621),IF(X3621&gt;$L$7,W3621,""),"")</f>
        <v/>
      </c>
      <c r="Z3621">
        <f>IF(ISNUMBER('자료_거시'!$K3603),'자료_거시'!$K3603,Z3620)</f>
        <v/>
      </c>
      <c r="AA3621">
        <f>IF(AND(ISNUMBER('자료_거시'!$J3603),ISNUMBER('자료_거시'!$K3603)),IFERROR('자료_거시'!$K3603/INDEX($Z$21:$Z$4020,MATCH(EDATE('자료_거시'!$J3603,-'설정'!$B$17),'자료_거시'!$J$3:INDEX('자료_거시'!$J$3:$J$4002,$K$8),1))-1,""),"")</f>
        <v/>
      </c>
      <c r="AB3621">
        <f>IF(ISNUMBER(AA3621),'자료_거시'!$J3603,"")</f>
        <v/>
      </c>
      <c r="AC3621">
        <f>IF(ISNUMBER(AB3621),IF(AB3621&gt;$L$8,AA3621,""),"")</f>
        <v/>
      </c>
    </row>
    <row r="3622">
      <c r="S3622">
        <f>IF(ISNUMBER('자료_거시'!$E3604),'자료_거시'!$E3604,S3621)</f>
        <v/>
      </c>
      <c r="T3622">
        <f>IF(AND(ISNUMBER('자료_거시'!$D3604),ISNUMBER('자료_거시'!$E3604)),IFERROR('자료_거시'!$E3604-INDEX($S$21:$S$4020,MATCH(EDATE('자료_거시'!$D3604,-'설정'!$B$17),'자료_거시'!$D$3:INDEX('자료_거시'!$D$3:$D$4002,$K$6),1)),""),"")</f>
        <v/>
      </c>
      <c r="U3622">
        <f>IF(ISNUMBER(T3622),'자료_거시'!$D3604,"")</f>
        <v/>
      </c>
      <c r="V3622">
        <f>IF(ISNUMBER(U3622),IF(U3622&gt;$L$6,T3622,""),"")</f>
        <v/>
      </c>
      <c r="W3622">
        <f>IF(AND(ISNUMBER('자료_거시'!$G3604),ISNUMBER('자료_거시'!$H3604)),'자료_거시'!$H3604,"")</f>
        <v/>
      </c>
      <c r="X3622">
        <f>IF(ISNUMBER(W3622),'자료_거시'!$G3604,"")</f>
        <v/>
      </c>
      <c r="Y3622">
        <f>IF(ISNUMBER(X3622),IF(X3622&gt;$L$7,W3622,""),"")</f>
        <v/>
      </c>
      <c r="Z3622">
        <f>IF(ISNUMBER('자료_거시'!$K3604),'자료_거시'!$K3604,Z3621)</f>
        <v/>
      </c>
      <c r="AA3622">
        <f>IF(AND(ISNUMBER('자료_거시'!$J3604),ISNUMBER('자료_거시'!$K3604)),IFERROR('자료_거시'!$K3604/INDEX($Z$21:$Z$4020,MATCH(EDATE('자료_거시'!$J3604,-'설정'!$B$17),'자료_거시'!$J$3:INDEX('자료_거시'!$J$3:$J$4002,$K$8),1))-1,""),"")</f>
        <v/>
      </c>
      <c r="AB3622">
        <f>IF(ISNUMBER(AA3622),'자료_거시'!$J3604,"")</f>
        <v/>
      </c>
      <c r="AC3622">
        <f>IF(ISNUMBER(AB3622),IF(AB3622&gt;$L$8,AA3622,""),"")</f>
        <v/>
      </c>
    </row>
    <row r="3623">
      <c r="S3623">
        <f>IF(ISNUMBER('자료_거시'!$E3605),'자료_거시'!$E3605,S3622)</f>
        <v/>
      </c>
      <c r="T3623">
        <f>IF(AND(ISNUMBER('자료_거시'!$D3605),ISNUMBER('자료_거시'!$E3605)),IFERROR('자료_거시'!$E3605-INDEX($S$21:$S$4020,MATCH(EDATE('자료_거시'!$D3605,-'설정'!$B$17),'자료_거시'!$D$3:INDEX('자료_거시'!$D$3:$D$4002,$K$6),1)),""),"")</f>
        <v/>
      </c>
      <c r="U3623">
        <f>IF(ISNUMBER(T3623),'자료_거시'!$D3605,"")</f>
        <v/>
      </c>
      <c r="V3623">
        <f>IF(ISNUMBER(U3623),IF(U3623&gt;$L$6,T3623,""),"")</f>
        <v/>
      </c>
      <c r="W3623">
        <f>IF(AND(ISNUMBER('자료_거시'!$G3605),ISNUMBER('자료_거시'!$H3605)),'자료_거시'!$H3605,"")</f>
        <v/>
      </c>
      <c r="X3623">
        <f>IF(ISNUMBER(W3623),'자료_거시'!$G3605,"")</f>
        <v/>
      </c>
      <c r="Y3623">
        <f>IF(ISNUMBER(X3623),IF(X3623&gt;$L$7,W3623,""),"")</f>
        <v/>
      </c>
      <c r="Z3623">
        <f>IF(ISNUMBER('자료_거시'!$K3605),'자료_거시'!$K3605,Z3622)</f>
        <v/>
      </c>
      <c r="AA3623">
        <f>IF(AND(ISNUMBER('자료_거시'!$J3605),ISNUMBER('자료_거시'!$K3605)),IFERROR('자료_거시'!$K3605/INDEX($Z$21:$Z$4020,MATCH(EDATE('자료_거시'!$J3605,-'설정'!$B$17),'자료_거시'!$J$3:INDEX('자료_거시'!$J$3:$J$4002,$K$8),1))-1,""),"")</f>
        <v/>
      </c>
      <c r="AB3623">
        <f>IF(ISNUMBER(AA3623),'자료_거시'!$J3605,"")</f>
        <v/>
      </c>
      <c r="AC3623">
        <f>IF(ISNUMBER(AB3623),IF(AB3623&gt;$L$8,AA3623,""),"")</f>
        <v/>
      </c>
    </row>
    <row r="3624">
      <c r="S3624">
        <f>IF(ISNUMBER('자료_거시'!$E3606),'자료_거시'!$E3606,S3623)</f>
        <v/>
      </c>
      <c r="T3624">
        <f>IF(AND(ISNUMBER('자료_거시'!$D3606),ISNUMBER('자료_거시'!$E3606)),IFERROR('자료_거시'!$E3606-INDEX($S$21:$S$4020,MATCH(EDATE('자료_거시'!$D3606,-'설정'!$B$17),'자료_거시'!$D$3:INDEX('자료_거시'!$D$3:$D$4002,$K$6),1)),""),"")</f>
        <v/>
      </c>
      <c r="U3624">
        <f>IF(ISNUMBER(T3624),'자료_거시'!$D3606,"")</f>
        <v/>
      </c>
      <c r="V3624">
        <f>IF(ISNUMBER(U3624),IF(U3624&gt;$L$6,T3624,""),"")</f>
        <v/>
      </c>
      <c r="W3624">
        <f>IF(AND(ISNUMBER('자료_거시'!$G3606),ISNUMBER('자료_거시'!$H3606)),'자료_거시'!$H3606,"")</f>
        <v/>
      </c>
      <c r="X3624">
        <f>IF(ISNUMBER(W3624),'자료_거시'!$G3606,"")</f>
        <v/>
      </c>
      <c r="Y3624">
        <f>IF(ISNUMBER(X3624),IF(X3624&gt;$L$7,W3624,""),"")</f>
        <v/>
      </c>
      <c r="Z3624">
        <f>IF(ISNUMBER('자료_거시'!$K3606),'자료_거시'!$K3606,Z3623)</f>
        <v/>
      </c>
      <c r="AA3624">
        <f>IF(AND(ISNUMBER('자료_거시'!$J3606),ISNUMBER('자료_거시'!$K3606)),IFERROR('자료_거시'!$K3606/INDEX($Z$21:$Z$4020,MATCH(EDATE('자료_거시'!$J3606,-'설정'!$B$17),'자료_거시'!$J$3:INDEX('자료_거시'!$J$3:$J$4002,$K$8),1))-1,""),"")</f>
        <v/>
      </c>
      <c r="AB3624">
        <f>IF(ISNUMBER(AA3624),'자료_거시'!$J3606,"")</f>
        <v/>
      </c>
      <c r="AC3624">
        <f>IF(ISNUMBER(AB3624),IF(AB3624&gt;$L$8,AA3624,""),"")</f>
        <v/>
      </c>
    </row>
    <row r="3625">
      <c r="S3625">
        <f>IF(ISNUMBER('자료_거시'!$E3607),'자료_거시'!$E3607,S3624)</f>
        <v/>
      </c>
      <c r="T3625">
        <f>IF(AND(ISNUMBER('자료_거시'!$D3607),ISNUMBER('자료_거시'!$E3607)),IFERROR('자료_거시'!$E3607-INDEX($S$21:$S$4020,MATCH(EDATE('자료_거시'!$D3607,-'설정'!$B$17),'자료_거시'!$D$3:INDEX('자료_거시'!$D$3:$D$4002,$K$6),1)),""),"")</f>
        <v/>
      </c>
      <c r="U3625">
        <f>IF(ISNUMBER(T3625),'자료_거시'!$D3607,"")</f>
        <v/>
      </c>
      <c r="V3625">
        <f>IF(ISNUMBER(U3625),IF(U3625&gt;$L$6,T3625,""),"")</f>
        <v/>
      </c>
      <c r="W3625">
        <f>IF(AND(ISNUMBER('자료_거시'!$G3607),ISNUMBER('자료_거시'!$H3607)),'자료_거시'!$H3607,"")</f>
        <v/>
      </c>
      <c r="X3625">
        <f>IF(ISNUMBER(W3625),'자료_거시'!$G3607,"")</f>
        <v/>
      </c>
      <c r="Y3625">
        <f>IF(ISNUMBER(X3625),IF(X3625&gt;$L$7,W3625,""),"")</f>
        <v/>
      </c>
      <c r="Z3625">
        <f>IF(ISNUMBER('자료_거시'!$K3607),'자료_거시'!$K3607,Z3624)</f>
        <v/>
      </c>
      <c r="AA3625">
        <f>IF(AND(ISNUMBER('자료_거시'!$J3607),ISNUMBER('자료_거시'!$K3607)),IFERROR('자료_거시'!$K3607/INDEX($Z$21:$Z$4020,MATCH(EDATE('자료_거시'!$J3607,-'설정'!$B$17),'자료_거시'!$J$3:INDEX('자료_거시'!$J$3:$J$4002,$K$8),1))-1,""),"")</f>
        <v/>
      </c>
      <c r="AB3625">
        <f>IF(ISNUMBER(AA3625),'자료_거시'!$J3607,"")</f>
        <v/>
      </c>
      <c r="AC3625">
        <f>IF(ISNUMBER(AB3625),IF(AB3625&gt;$L$8,AA3625,""),"")</f>
        <v/>
      </c>
    </row>
    <row r="3626">
      <c r="S3626">
        <f>IF(ISNUMBER('자료_거시'!$E3608),'자료_거시'!$E3608,S3625)</f>
        <v/>
      </c>
      <c r="T3626">
        <f>IF(AND(ISNUMBER('자료_거시'!$D3608),ISNUMBER('자료_거시'!$E3608)),IFERROR('자료_거시'!$E3608-INDEX($S$21:$S$4020,MATCH(EDATE('자료_거시'!$D3608,-'설정'!$B$17),'자료_거시'!$D$3:INDEX('자료_거시'!$D$3:$D$4002,$K$6),1)),""),"")</f>
        <v/>
      </c>
      <c r="U3626">
        <f>IF(ISNUMBER(T3626),'자료_거시'!$D3608,"")</f>
        <v/>
      </c>
      <c r="V3626">
        <f>IF(ISNUMBER(U3626),IF(U3626&gt;$L$6,T3626,""),"")</f>
        <v/>
      </c>
      <c r="W3626">
        <f>IF(AND(ISNUMBER('자료_거시'!$G3608),ISNUMBER('자료_거시'!$H3608)),'자료_거시'!$H3608,"")</f>
        <v/>
      </c>
      <c r="X3626">
        <f>IF(ISNUMBER(W3626),'자료_거시'!$G3608,"")</f>
        <v/>
      </c>
      <c r="Y3626">
        <f>IF(ISNUMBER(X3626),IF(X3626&gt;$L$7,W3626,""),"")</f>
        <v/>
      </c>
      <c r="Z3626">
        <f>IF(ISNUMBER('자료_거시'!$K3608),'자료_거시'!$K3608,Z3625)</f>
        <v/>
      </c>
      <c r="AA3626">
        <f>IF(AND(ISNUMBER('자료_거시'!$J3608),ISNUMBER('자료_거시'!$K3608)),IFERROR('자료_거시'!$K3608/INDEX($Z$21:$Z$4020,MATCH(EDATE('자료_거시'!$J3608,-'설정'!$B$17),'자료_거시'!$J$3:INDEX('자료_거시'!$J$3:$J$4002,$K$8),1))-1,""),"")</f>
        <v/>
      </c>
      <c r="AB3626">
        <f>IF(ISNUMBER(AA3626),'자료_거시'!$J3608,"")</f>
        <v/>
      </c>
      <c r="AC3626">
        <f>IF(ISNUMBER(AB3626),IF(AB3626&gt;$L$8,AA3626,""),"")</f>
        <v/>
      </c>
    </row>
    <row r="3627">
      <c r="S3627">
        <f>IF(ISNUMBER('자료_거시'!$E3609),'자료_거시'!$E3609,S3626)</f>
        <v/>
      </c>
      <c r="T3627">
        <f>IF(AND(ISNUMBER('자료_거시'!$D3609),ISNUMBER('자료_거시'!$E3609)),IFERROR('자료_거시'!$E3609-INDEX($S$21:$S$4020,MATCH(EDATE('자료_거시'!$D3609,-'설정'!$B$17),'자료_거시'!$D$3:INDEX('자료_거시'!$D$3:$D$4002,$K$6),1)),""),"")</f>
        <v/>
      </c>
      <c r="U3627">
        <f>IF(ISNUMBER(T3627),'자료_거시'!$D3609,"")</f>
        <v/>
      </c>
      <c r="V3627">
        <f>IF(ISNUMBER(U3627),IF(U3627&gt;$L$6,T3627,""),"")</f>
        <v/>
      </c>
      <c r="W3627">
        <f>IF(AND(ISNUMBER('자료_거시'!$G3609),ISNUMBER('자료_거시'!$H3609)),'자료_거시'!$H3609,"")</f>
        <v/>
      </c>
      <c r="X3627">
        <f>IF(ISNUMBER(W3627),'자료_거시'!$G3609,"")</f>
        <v/>
      </c>
      <c r="Y3627">
        <f>IF(ISNUMBER(X3627),IF(X3627&gt;$L$7,W3627,""),"")</f>
        <v/>
      </c>
      <c r="Z3627">
        <f>IF(ISNUMBER('자료_거시'!$K3609),'자료_거시'!$K3609,Z3626)</f>
        <v/>
      </c>
      <c r="AA3627">
        <f>IF(AND(ISNUMBER('자료_거시'!$J3609),ISNUMBER('자료_거시'!$K3609)),IFERROR('자료_거시'!$K3609/INDEX($Z$21:$Z$4020,MATCH(EDATE('자료_거시'!$J3609,-'설정'!$B$17),'자료_거시'!$J$3:INDEX('자료_거시'!$J$3:$J$4002,$K$8),1))-1,""),"")</f>
        <v/>
      </c>
      <c r="AB3627">
        <f>IF(ISNUMBER(AA3627),'자료_거시'!$J3609,"")</f>
        <v/>
      </c>
      <c r="AC3627">
        <f>IF(ISNUMBER(AB3627),IF(AB3627&gt;$L$8,AA3627,""),"")</f>
        <v/>
      </c>
    </row>
    <row r="3628">
      <c r="S3628">
        <f>IF(ISNUMBER('자료_거시'!$E3610),'자료_거시'!$E3610,S3627)</f>
        <v/>
      </c>
      <c r="T3628">
        <f>IF(AND(ISNUMBER('자료_거시'!$D3610),ISNUMBER('자료_거시'!$E3610)),IFERROR('자료_거시'!$E3610-INDEX($S$21:$S$4020,MATCH(EDATE('자료_거시'!$D3610,-'설정'!$B$17),'자료_거시'!$D$3:INDEX('자료_거시'!$D$3:$D$4002,$K$6),1)),""),"")</f>
        <v/>
      </c>
      <c r="U3628">
        <f>IF(ISNUMBER(T3628),'자료_거시'!$D3610,"")</f>
        <v/>
      </c>
      <c r="V3628">
        <f>IF(ISNUMBER(U3628),IF(U3628&gt;$L$6,T3628,""),"")</f>
        <v/>
      </c>
      <c r="W3628">
        <f>IF(AND(ISNUMBER('자료_거시'!$G3610),ISNUMBER('자료_거시'!$H3610)),'자료_거시'!$H3610,"")</f>
        <v/>
      </c>
      <c r="X3628">
        <f>IF(ISNUMBER(W3628),'자료_거시'!$G3610,"")</f>
        <v/>
      </c>
      <c r="Y3628">
        <f>IF(ISNUMBER(X3628),IF(X3628&gt;$L$7,W3628,""),"")</f>
        <v/>
      </c>
      <c r="Z3628">
        <f>IF(ISNUMBER('자료_거시'!$K3610),'자료_거시'!$K3610,Z3627)</f>
        <v/>
      </c>
      <c r="AA3628">
        <f>IF(AND(ISNUMBER('자료_거시'!$J3610),ISNUMBER('자료_거시'!$K3610)),IFERROR('자료_거시'!$K3610/INDEX($Z$21:$Z$4020,MATCH(EDATE('자료_거시'!$J3610,-'설정'!$B$17),'자료_거시'!$J$3:INDEX('자료_거시'!$J$3:$J$4002,$K$8),1))-1,""),"")</f>
        <v/>
      </c>
      <c r="AB3628">
        <f>IF(ISNUMBER(AA3628),'자료_거시'!$J3610,"")</f>
        <v/>
      </c>
      <c r="AC3628">
        <f>IF(ISNUMBER(AB3628),IF(AB3628&gt;$L$8,AA3628,""),"")</f>
        <v/>
      </c>
    </row>
    <row r="3629">
      <c r="S3629">
        <f>IF(ISNUMBER('자료_거시'!$E3611),'자료_거시'!$E3611,S3628)</f>
        <v/>
      </c>
      <c r="T3629">
        <f>IF(AND(ISNUMBER('자료_거시'!$D3611),ISNUMBER('자료_거시'!$E3611)),IFERROR('자료_거시'!$E3611-INDEX($S$21:$S$4020,MATCH(EDATE('자료_거시'!$D3611,-'설정'!$B$17),'자료_거시'!$D$3:INDEX('자료_거시'!$D$3:$D$4002,$K$6),1)),""),"")</f>
        <v/>
      </c>
      <c r="U3629">
        <f>IF(ISNUMBER(T3629),'자료_거시'!$D3611,"")</f>
        <v/>
      </c>
      <c r="V3629">
        <f>IF(ISNUMBER(U3629),IF(U3629&gt;$L$6,T3629,""),"")</f>
        <v/>
      </c>
      <c r="W3629">
        <f>IF(AND(ISNUMBER('자료_거시'!$G3611),ISNUMBER('자료_거시'!$H3611)),'자료_거시'!$H3611,"")</f>
        <v/>
      </c>
      <c r="X3629">
        <f>IF(ISNUMBER(W3629),'자료_거시'!$G3611,"")</f>
        <v/>
      </c>
      <c r="Y3629">
        <f>IF(ISNUMBER(X3629),IF(X3629&gt;$L$7,W3629,""),"")</f>
        <v/>
      </c>
      <c r="Z3629">
        <f>IF(ISNUMBER('자료_거시'!$K3611),'자료_거시'!$K3611,Z3628)</f>
        <v/>
      </c>
      <c r="AA3629">
        <f>IF(AND(ISNUMBER('자료_거시'!$J3611),ISNUMBER('자료_거시'!$K3611)),IFERROR('자료_거시'!$K3611/INDEX($Z$21:$Z$4020,MATCH(EDATE('자료_거시'!$J3611,-'설정'!$B$17),'자료_거시'!$J$3:INDEX('자료_거시'!$J$3:$J$4002,$K$8),1))-1,""),"")</f>
        <v/>
      </c>
      <c r="AB3629">
        <f>IF(ISNUMBER(AA3629),'자료_거시'!$J3611,"")</f>
        <v/>
      </c>
      <c r="AC3629">
        <f>IF(ISNUMBER(AB3629),IF(AB3629&gt;$L$8,AA3629,""),"")</f>
        <v/>
      </c>
    </row>
    <row r="3630">
      <c r="S3630">
        <f>IF(ISNUMBER('자료_거시'!$E3612),'자료_거시'!$E3612,S3629)</f>
        <v/>
      </c>
      <c r="T3630">
        <f>IF(AND(ISNUMBER('자료_거시'!$D3612),ISNUMBER('자료_거시'!$E3612)),IFERROR('자료_거시'!$E3612-INDEX($S$21:$S$4020,MATCH(EDATE('자료_거시'!$D3612,-'설정'!$B$17),'자료_거시'!$D$3:INDEX('자료_거시'!$D$3:$D$4002,$K$6),1)),""),"")</f>
        <v/>
      </c>
      <c r="U3630">
        <f>IF(ISNUMBER(T3630),'자료_거시'!$D3612,"")</f>
        <v/>
      </c>
      <c r="V3630">
        <f>IF(ISNUMBER(U3630),IF(U3630&gt;$L$6,T3630,""),"")</f>
        <v/>
      </c>
      <c r="W3630">
        <f>IF(AND(ISNUMBER('자료_거시'!$G3612),ISNUMBER('자료_거시'!$H3612)),'자료_거시'!$H3612,"")</f>
        <v/>
      </c>
      <c r="X3630">
        <f>IF(ISNUMBER(W3630),'자료_거시'!$G3612,"")</f>
        <v/>
      </c>
      <c r="Y3630">
        <f>IF(ISNUMBER(X3630),IF(X3630&gt;$L$7,W3630,""),"")</f>
        <v/>
      </c>
      <c r="Z3630">
        <f>IF(ISNUMBER('자료_거시'!$K3612),'자료_거시'!$K3612,Z3629)</f>
        <v/>
      </c>
      <c r="AA3630">
        <f>IF(AND(ISNUMBER('자료_거시'!$J3612),ISNUMBER('자료_거시'!$K3612)),IFERROR('자료_거시'!$K3612/INDEX($Z$21:$Z$4020,MATCH(EDATE('자료_거시'!$J3612,-'설정'!$B$17),'자료_거시'!$J$3:INDEX('자료_거시'!$J$3:$J$4002,$K$8),1))-1,""),"")</f>
        <v/>
      </c>
      <c r="AB3630">
        <f>IF(ISNUMBER(AA3630),'자료_거시'!$J3612,"")</f>
        <v/>
      </c>
      <c r="AC3630">
        <f>IF(ISNUMBER(AB3630),IF(AB3630&gt;$L$8,AA3630,""),"")</f>
        <v/>
      </c>
    </row>
    <row r="3631">
      <c r="S3631">
        <f>IF(ISNUMBER('자료_거시'!$E3613),'자료_거시'!$E3613,S3630)</f>
        <v/>
      </c>
      <c r="T3631">
        <f>IF(AND(ISNUMBER('자료_거시'!$D3613),ISNUMBER('자료_거시'!$E3613)),IFERROR('자료_거시'!$E3613-INDEX($S$21:$S$4020,MATCH(EDATE('자료_거시'!$D3613,-'설정'!$B$17),'자료_거시'!$D$3:INDEX('자료_거시'!$D$3:$D$4002,$K$6),1)),""),"")</f>
        <v/>
      </c>
      <c r="U3631">
        <f>IF(ISNUMBER(T3631),'자료_거시'!$D3613,"")</f>
        <v/>
      </c>
      <c r="V3631">
        <f>IF(ISNUMBER(U3631),IF(U3631&gt;$L$6,T3631,""),"")</f>
        <v/>
      </c>
      <c r="W3631">
        <f>IF(AND(ISNUMBER('자료_거시'!$G3613),ISNUMBER('자료_거시'!$H3613)),'자료_거시'!$H3613,"")</f>
        <v/>
      </c>
      <c r="X3631">
        <f>IF(ISNUMBER(W3631),'자료_거시'!$G3613,"")</f>
        <v/>
      </c>
      <c r="Y3631">
        <f>IF(ISNUMBER(X3631),IF(X3631&gt;$L$7,W3631,""),"")</f>
        <v/>
      </c>
      <c r="Z3631">
        <f>IF(ISNUMBER('자료_거시'!$K3613),'자료_거시'!$K3613,Z3630)</f>
        <v/>
      </c>
      <c r="AA3631">
        <f>IF(AND(ISNUMBER('자료_거시'!$J3613),ISNUMBER('자료_거시'!$K3613)),IFERROR('자료_거시'!$K3613/INDEX($Z$21:$Z$4020,MATCH(EDATE('자료_거시'!$J3613,-'설정'!$B$17),'자료_거시'!$J$3:INDEX('자료_거시'!$J$3:$J$4002,$K$8),1))-1,""),"")</f>
        <v/>
      </c>
      <c r="AB3631">
        <f>IF(ISNUMBER(AA3631),'자료_거시'!$J3613,"")</f>
        <v/>
      </c>
      <c r="AC3631">
        <f>IF(ISNUMBER(AB3631),IF(AB3631&gt;$L$8,AA3631,""),"")</f>
        <v/>
      </c>
    </row>
    <row r="3632">
      <c r="S3632">
        <f>IF(ISNUMBER('자료_거시'!$E3614),'자료_거시'!$E3614,S3631)</f>
        <v/>
      </c>
      <c r="T3632">
        <f>IF(AND(ISNUMBER('자료_거시'!$D3614),ISNUMBER('자료_거시'!$E3614)),IFERROR('자료_거시'!$E3614-INDEX($S$21:$S$4020,MATCH(EDATE('자료_거시'!$D3614,-'설정'!$B$17),'자료_거시'!$D$3:INDEX('자료_거시'!$D$3:$D$4002,$K$6),1)),""),"")</f>
        <v/>
      </c>
      <c r="U3632">
        <f>IF(ISNUMBER(T3632),'자료_거시'!$D3614,"")</f>
        <v/>
      </c>
      <c r="V3632">
        <f>IF(ISNUMBER(U3632),IF(U3632&gt;$L$6,T3632,""),"")</f>
        <v/>
      </c>
      <c r="W3632">
        <f>IF(AND(ISNUMBER('자료_거시'!$G3614),ISNUMBER('자료_거시'!$H3614)),'자료_거시'!$H3614,"")</f>
        <v/>
      </c>
      <c r="X3632">
        <f>IF(ISNUMBER(W3632),'자료_거시'!$G3614,"")</f>
        <v/>
      </c>
      <c r="Y3632">
        <f>IF(ISNUMBER(X3632),IF(X3632&gt;$L$7,W3632,""),"")</f>
        <v/>
      </c>
      <c r="Z3632">
        <f>IF(ISNUMBER('자료_거시'!$K3614),'자료_거시'!$K3614,Z3631)</f>
        <v/>
      </c>
      <c r="AA3632">
        <f>IF(AND(ISNUMBER('자료_거시'!$J3614),ISNUMBER('자료_거시'!$K3614)),IFERROR('자료_거시'!$K3614/INDEX($Z$21:$Z$4020,MATCH(EDATE('자료_거시'!$J3614,-'설정'!$B$17),'자료_거시'!$J$3:INDEX('자료_거시'!$J$3:$J$4002,$K$8),1))-1,""),"")</f>
        <v/>
      </c>
      <c r="AB3632">
        <f>IF(ISNUMBER(AA3632),'자료_거시'!$J3614,"")</f>
        <v/>
      </c>
      <c r="AC3632">
        <f>IF(ISNUMBER(AB3632),IF(AB3632&gt;$L$8,AA3632,""),"")</f>
        <v/>
      </c>
    </row>
    <row r="3633">
      <c r="S3633">
        <f>IF(ISNUMBER('자료_거시'!$E3615),'자료_거시'!$E3615,S3632)</f>
        <v/>
      </c>
      <c r="T3633">
        <f>IF(AND(ISNUMBER('자료_거시'!$D3615),ISNUMBER('자료_거시'!$E3615)),IFERROR('자료_거시'!$E3615-INDEX($S$21:$S$4020,MATCH(EDATE('자료_거시'!$D3615,-'설정'!$B$17),'자료_거시'!$D$3:INDEX('자료_거시'!$D$3:$D$4002,$K$6),1)),""),"")</f>
        <v/>
      </c>
      <c r="U3633">
        <f>IF(ISNUMBER(T3633),'자료_거시'!$D3615,"")</f>
        <v/>
      </c>
      <c r="V3633">
        <f>IF(ISNUMBER(U3633),IF(U3633&gt;$L$6,T3633,""),"")</f>
        <v/>
      </c>
      <c r="W3633">
        <f>IF(AND(ISNUMBER('자료_거시'!$G3615),ISNUMBER('자료_거시'!$H3615)),'자료_거시'!$H3615,"")</f>
        <v/>
      </c>
      <c r="X3633">
        <f>IF(ISNUMBER(W3633),'자료_거시'!$G3615,"")</f>
        <v/>
      </c>
      <c r="Y3633">
        <f>IF(ISNUMBER(X3633),IF(X3633&gt;$L$7,W3633,""),"")</f>
        <v/>
      </c>
      <c r="Z3633">
        <f>IF(ISNUMBER('자료_거시'!$K3615),'자료_거시'!$K3615,Z3632)</f>
        <v/>
      </c>
      <c r="AA3633">
        <f>IF(AND(ISNUMBER('자료_거시'!$J3615),ISNUMBER('자료_거시'!$K3615)),IFERROR('자료_거시'!$K3615/INDEX($Z$21:$Z$4020,MATCH(EDATE('자료_거시'!$J3615,-'설정'!$B$17),'자료_거시'!$J$3:INDEX('자료_거시'!$J$3:$J$4002,$K$8),1))-1,""),"")</f>
        <v/>
      </c>
      <c r="AB3633">
        <f>IF(ISNUMBER(AA3633),'자료_거시'!$J3615,"")</f>
        <v/>
      </c>
      <c r="AC3633">
        <f>IF(ISNUMBER(AB3633),IF(AB3633&gt;$L$8,AA3633,""),"")</f>
        <v/>
      </c>
    </row>
    <row r="3634">
      <c r="S3634">
        <f>IF(ISNUMBER('자료_거시'!$E3616),'자료_거시'!$E3616,S3633)</f>
        <v/>
      </c>
      <c r="T3634">
        <f>IF(AND(ISNUMBER('자료_거시'!$D3616),ISNUMBER('자료_거시'!$E3616)),IFERROR('자료_거시'!$E3616-INDEX($S$21:$S$4020,MATCH(EDATE('자료_거시'!$D3616,-'설정'!$B$17),'자료_거시'!$D$3:INDEX('자료_거시'!$D$3:$D$4002,$K$6),1)),""),"")</f>
        <v/>
      </c>
      <c r="U3634">
        <f>IF(ISNUMBER(T3634),'자료_거시'!$D3616,"")</f>
        <v/>
      </c>
      <c r="V3634">
        <f>IF(ISNUMBER(U3634),IF(U3634&gt;$L$6,T3634,""),"")</f>
        <v/>
      </c>
      <c r="W3634">
        <f>IF(AND(ISNUMBER('자료_거시'!$G3616),ISNUMBER('자료_거시'!$H3616)),'자료_거시'!$H3616,"")</f>
        <v/>
      </c>
      <c r="X3634">
        <f>IF(ISNUMBER(W3634),'자료_거시'!$G3616,"")</f>
        <v/>
      </c>
      <c r="Y3634">
        <f>IF(ISNUMBER(X3634),IF(X3634&gt;$L$7,W3634,""),"")</f>
        <v/>
      </c>
      <c r="Z3634">
        <f>IF(ISNUMBER('자료_거시'!$K3616),'자료_거시'!$K3616,Z3633)</f>
        <v/>
      </c>
      <c r="AA3634">
        <f>IF(AND(ISNUMBER('자료_거시'!$J3616),ISNUMBER('자료_거시'!$K3616)),IFERROR('자료_거시'!$K3616/INDEX($Z$21:$Z$4020,MATCH(EDATE('자료_거시'!$J3616,-'설정'!$B$17),'자료_거시'!$J$3:INDEX('자료_거시'!$J$3:$J$4002,$K$8),1))-1,""),"")</f>
        <v/>
      </c>
      <c r="AB3634">
        <f>IF(ISNUMBER(AA3634),'자료_거시'!$J3616,"")</f>
        <v/>
      </c>
      <c r="AC3634">
        <f>IF(ISNUMBER(AB3634),IF(AB3634&gt;$L$8,AA3634,""),"")</f>
        <v/>
      </c>
    </row>
    <row r="3635">
      <c r="S3635">
        <f>IF(ISNUMBER('자료_거시'!$E3617),'자료_거시'!$E3617,S3634)</f>
        <v/>
      </c>
      <c r="T3635">
        <f>IF(AND(ISNUMBER('자료_거시'!$D3617),ISNUMBER('자료_거시'!$E3617)),IFERROR('자료_거시'!$E3617-INDEX($S$21:$S$4020,MATCH(EDATE('자료_거시'!$D3617,-'설정'!$B$17),'자료_거시'!$D$3:INDEX('자료_거시'!$D$3:$D$4002,$K$6),1)),""),"")</f>
        <v/>
      </c>
      <c r="U3635">
        <f>IF(ISNUMBER(T3635),'자료_거시'!$D3617,"")</f>
        <v/>
      </c>
      <c r="V3635">
        <f>IF(ISNUMBER(U3635),IF(U3635&gt;$L$6,T3635,""),"")</f>
        <v/>
      </c>
      <c r="W3635">
        <f>IF(AND(ISNUMBER('자료_거시'!$G3617),ISNUMBER('자료_거시'!$H3617)),'자료_거시'!$H3617,"")</f>
        <v/>
      </c>
      <c r="X3635">
        <f>IF(ISNUMBER(W3635),'자료_거시'!$G3617,"")</f>
        <v/>
      </c>
      <c r="Y3635">
        <f>IF(ISNUMBER(X3635),IF(X3635&gt;$L$7,W3635,""),"")</f>
        <v/>
      </c>
      <c r="Z3635">
        <f>IF(ISNUMBER('자료_거시'!$K3617),'자료_거시'!$K3617,Z3634)</f>
        <v/>
      </c>
      <c r="AA3635">
        <f>IF(AND(ISNUMBER('자료_거시'!$J3617),ISNUMBER('자료_거시'!$K3617)),IFERROR('자료_거시'!$K3617/INDEX($Z$21:$Z$4020,MATCH(EDATE('자료_거시'!$J3617,-'설정'!$B$17),'자료_거시'!$J$3:INDEX('자료_거시'!$J$3:$J$4002,$K$8),1))-1,""),"")</f>
        <v/>
      </c>
      <c r="AB3635">
        <f>IF(ISNUMBER(AA3635),'자료_거시'!$J3617,"")</f>
        <v/>
      </c>
      <c r="AC3635">
        <f>IF(ISNUMBER(AB3635),IF(AB3635&gt;$L$8,AA3635,""),"")</f>
        <v/>
      </c>
    </row>
    <row r="3636">
      <c r="S3636">
        <f>IF(ISNUMBER('자료_거시'!$E3618),'자료_거시'!$E3618,S3635)</f>
        <v/>
      </c>
      <c r="T3636">
        <f>IF(AND(ISNUMBER('자료_거시'!$D3618),ISNUMBER('자료_거시'!$E3618)),IFERROR('자료_거시'!$E3618-INDEX($S$21:$S$4020,MATCH(EDATE('자료_거시'!$D3618,-'설정'!$B$17),'자료_거시'!$D$3:INDEX('자료_거시'!$D$3:$D$4002,$K$6),1)),""),"")</f>
        <v/>
      </c>
      <c r="U3636">
        <f>IF(ISNUMBER(T3636),'자료_거시'!$D3618,"")</f>
        <v/>
      </c>
      <c r="V3636">
        <f>IF(ISNUMBER(U3636),IF(U3636&gt;$L$6,T3636,""),"")</f>
        <v/>
      </c>
      <c r="W3636">
        <f>IF(AND(ISNUMBER('자료_거시'!$G3618),ISNUMBER('자료_거시'!$H3618)),'자료_거시'!$H3618,"")</f>
        <v/>
      </c>
      <c r="X3636">
        <f>IF(ISNUMBER(W3636),'자료_거시'!$G3618,"")</f>
        <v/>
      </c>
      <c r="Y3636">
        <f>IF(ISNUMBER(X3636),IF(X3636&gt;$L$7,W3636,""),"")</f>
        <v/>
      </c>
      <c r="Z3636">
        <f>IF(ISNUMBER('자료_거시'!$K3618),'자료_거시'!$K3618,Z3635)</f>
        <v/>
      </c>
      <c r="AA3636">
        <f>IF(AND(ISNUMBER('자료_거시'!$J3618),ISNUMBER('자료_거시'!$K3618)),IFERROR('자료_거시'!$K3618/INDEX($Z$21:$Z$4020,MATCH(EDATE('자료_거시'!$J3618,-'설정'!$B$17),'자료_거시'!$J$3:INDEX('자료_거시'!$J$3:$J$4002,$K$8),1))-1,""),"")</f>
        <v/>
      </c>
      <c r="AB3636">
        <f>IF(ISNUMBER(AA3636),'자료_거시'!$J3618,"")</f>
        <v/>
      </c>
      <c r="AC3636">
        <f>IF(ISNUMBER(AB3636),IF(AB3636&gt;$L$8,AA3636,""),"")</f>
        <v/>
      </c>
    </row>
    <row r="3637">
      <c r="S3637">
        <f>IF(ISNUMBER('자료_거시'!$E3619),'자료_거시'!$E3619,S3636)</f>
        <v/>
      </c>
      <c r="T3637">
        <f>IF(AND(ISNUMBER('자료_거시'!$D3619),ISNUMBER('자료_거시'!$E3619)),IFERROR('자료_거시'!$E3619-INDEX($S$21:$S$4020,MATCH(EDATE('자료_거시'!$D3619,-'설정'!$B$17),'자료_거시'!$D$3:INDEX('자료_거시'!$D$3:$D$4002,$K$6),1)),""),"")</f>
        <v/>
      </c>
      <c r="U3637">
        <f>IF(ISNUMBER(T3637),'자료_거시'!$D3619,"")</f>
        <v/>
      </c>
      <c r="V3637">
        <f>IF(ISNUMBER(U3637),IF(U3637&gt;$L$6,T3637,""),"")</f>
        <v/>
      </c>
      <c r="W3637">
        <f>IF(AND(ISNUMBER('자료_거시'!$G3619),ISNUMBER('자료_거시'!$H3619)),'자료_거시'!$H3619,"")</f>
        <v/>
      </c>
      <c r="X3637">
        <f>IF(ISNUMBER(W3637),'자료_거시'!$G3619,"")</f>
        <v/>
      </c>
      <c r="Y3637">
        <f>IF(ISNUMBER(X3637),IF(X3637&gt;$L$7,W3637,""),"")</f>
        <v/>
      </c>
      <c r="Z3637">
        <f>IF(ISNUMBER('자료_거시'!$K3619),'자료_거시'!$K3619,Z3636)</f>
        <v/>
      </c>
      <c r="AA3637">
        <f>IF(AND(ISNUMBER('자료_거시'!$J3619),ISNUMBER('자료_거시'!$K3619)),IFERROR('자료_거시'!$K3619/INDEX($Z$21:$Z$4020,MATCH(EDATE('자료_거시'!$J3619,-'설정'!$B$17),'자료_거시'!$J$3:INDEX('자료_거시'!$J$3:$J$4002,$K$8),1))-1,""),"")</f>
        <v/>
      </c>
      <c r="AB3637">
        <f>IF(ISNUMBER(AA3637),'자료_거시'!$J3619,"")</f>
        <v/>
      </c>
      <c r="AC3637">
        <f>IF(ISNUMBER(AB3637),IF(AB3637&gt;$L$8,AA3637,""),"")</f>
        <v/>
      </c>
    </row>
    <row r="3638">
      <c r="S3638">
        <f>IF(ISNUMBER('자료_거시'!$E3620),'자료_거시'!$E3620,S3637)</f>
        <v/>
      </c>
      <c r="T3638">
        <f>IF(AND(ISNUMBER('자료_거시'!$D3620),ISNUMBER('자료_거시'!$E3620)),IFERROR('자료_거시'!$E3620-INDEX($S$21:$S$4020,MATCH(EDATE('자료_거시'!$D3620,-'설정'!$B$17),'자료_거시'!$D$3:INDEX('자료_거시'!$D$3:$D$4002,$K$6),1)),""),"")</f>
        <v/>
      </c>
      <c r="U3638">
        <f>IF(ISNUMBER(T3638),'자료_거시'!$D3620,"")</f>
        <v/>
      </c>
      <c r="V3638">
        <f>IF(ISNUMBER(U3638),IF(U3638&gt;$L$6,T3638,""),"")</f>
        <v/>
      </c>
      <c r="W3638">
        <f>IF(AND(ISNUMBER('자료_거시'!$G3620),ISNUMBER('자료_거시'!$H3620)),'자료_거시'!$H3620,"")</f>
        <v/>
      </c>
      <c r="X3638">
        <f>IF(ISNUMBER(W3638),'자료_거시'!$G3620,"")</f>
        <v/>
      </c>
      <c r="Y3638">
        <f>IF(ISNUMBER(X3638),IF(X3638&gt;$L$7,W3638,""),"")</f>
        <v/>
      </c>
      <c r="Z3638">
        <f>IF(ISNUMBER('자료_거시'!$K3620),'자료_거시'!$K3620,Z3637)</f>
        <v/>
      </c>
      <c r="AA3638">
        <f>IF(AND(ISNUMBER('자료_거시'!$J3620),ISNUMBER('자료_거시'!$K3620)),IFERROR('자료_거시'!$K3620/INDEX($Z$21:$Z$4020,MATCH(EDATE('자료_거시'!$J3620,-'설정'!$B$17),'자료_거시'!$J$3:INDEX('자료_거시'!$J$3:$J$4002,$K$8),1))-1,""),"")</f>
        <v/>
      </c>
      <c r="AB3638">
        <f>IF(ISNUMBER(AA3638),'자료_거시'!$J3620,"")</f>
        <v/>
      </c>
      <c r="AC3638">
        <f>IF(ISNUMBER(AB3638),IF(AB3638&gt;$L$8,AA3638,""),"")</f>
        <v/>
      </c>
    </row>
    <row r="3639">
      <c r="S3639">
        <f>IF(ISNUMBER('자료_거시'!$E3621),'자료_거시'!$E3621,S3638)</f>
        <v/>
      </c>
      <c r="T3639">
        <f>IF(AND(ISNUMBER('자료_거시'!$D3621),ISNUMBER('자료_거시'!$E3621)),IFERROR('자료_거시'!$E3621-INDEX($S$21:$S$4020,MATCH(EDATE('자료_거시'!$D3621,-'설정'!$B$17),'자료_거시'!$D$3:INDEX('자료_거시'!$D$3:$D$4002,$K$6),1)),""),"")</f>
        <v/>
      </c>
      <c r="U3639">
        <f>IF(ISNUMBER(T3639),'자료_거시'!$D3621,"")</f>
        <v/>
      </c>
      <c r="V3639">
        <f>IF(ISNUMBER(U3639),IF(U3639&gt;$L$6,T3639,""),"")</f>
        <v/>
      </c>
      <c r="W3639">
        <f>IF(AND(ISNUMBER('자료_거시'!$G3621),ISNUMBER('자료_거시'!$H3621)),'자료_거시'!$H3621,"")</f>
        <v/>
      </c>
      <c r="X3639">
        <f>IF(ISNUMBER(W3639),'자료_거시'!$G3621,"")</f>
        <v/>
      </c>
      <c r="Y3639">
        <f>IF(ISNUMBER(X3639),IF(X3639&gt;$L$7,W3639,""),"")</f>
        <v/>
      </c>
      <c r="Z3639">
        <f>IF(ISNUMBER('자료_거시'!$K3621),'자료_거시'!$K3621,Z3638)</f>
        <v/>
      </c>
      <c r="AA3639">
        <f>IF(AND(ISNUMBER('자료_거시'!$J3621),ISNUMBER('자료_거시'!$K3621)),IFERROR('자료_거시'!$K3621/INDEX($Z$21:$Z$4020,MATCH(EDATE('자료_거시'!$J3621,-'설정'!$B$17),'자료_거시'!$J$3:INDEX('자료_거시'!$J$3:$J$4002,$K$8),1))-1,""),"")</f>
        <v/>
      </c>
      <c r="AB3639">
        <f>IF(ISNUMBER(AA3639),'자료_거시'!$J3621,"")</f>
        <v/>
      </c>
      <c r="AC3639">
        <f>IF(ISNUMBER(AB3639),IF(AB3639&gt;$L$8,AA3639,""),"")</f>
        <v/>
      </c>
    </row>
    <row r="3640">
      <c r="S3640">
        <f>IF(ISNUMBER('자료_거시'!$E3622),'자료_거시'!$E3622,S3639)</f>
        <v/>
      </c>
      <c r="T3640">
        <f>IF(AND(ISNUMBER('자료_거시'!$D3622),ISNUMBER('자료_거시'!$E3622)),IFERROR('자료_거시'!$E3622-INDEX($S$21:$S$4020,MATCH(EDATE('자료_거시'!$D3622,-'설정'!$B$17),'자료_거시'!$D$3:INDEX('자료_거시'!$D$3:$D$4002,$K$6),1)),""),"")</f>
        <v/>
      </c>
      <c r="U3640">
        <f>IF(ISNUMBER(T3640),'자료_거시'!$D3622,"")</f>
        <v/>
      </c>
      <c r="V3640">
        <f>IF(ISNUMBER(U3640),IF(U3640&gt;$L$6,T3640,""),"")</f>
        <v/>
      </c>
      <c r="W3640">
        <f>IF(AND(ISNUMBER('자료_거시'!$G3622),ISNUMBER('자료_거시'!$H3622)),'자료_거시'!$H3622,"")</f>
        <v/>
      </c>
      <c r="X3640">
        <f>IF(ISNUMBER(W3640),'자료_거시'!$G3622,"")</f>
        <v/>
      </c>
      <c r="Y3640">
        <f>IF(ISNUMBER(X3640),IF(X3640&gt;$L$7,W3640,""),"")</f>
        <v/>
      </c>
      <c r="Z3640">
        <f>IF(ISNUMBER('자료_거시'!$K3622),'자료_거시'!$K3622,Z3639)</f>
        <v/>
      </c>
      <c r="AA3640">
        <f>IF(AND(ISNUMBER('자료_거시'!$J3622),ISNUMBER('자료_거시'!$K3622)),IFERROR('자료_거시'!$K3622/INDEX($Z$21:$Z$4020,MATCH(EDATE('자료_거시'!$J3622,-'설정'!$B$17),'자료_거시'!$J$3:INDEX('자료_거시'!$J$3:$J$4002,$K$8),1))-1,""),"")</f>
        <v/>
      </c>
      <c r="AB3640">
        <f>IF(ISNUMBER(AA3640),'자료_거시'!$J3622,"")</f>
        <v/>
      </c>
      <c r="AC3640">
        <f>IF(ISNUMBER(AB3640),IF(AB3640&gt;$L$8,AA3640,""),"")</f>
        <v/>
      </c>
    </row>
    <row r="3641">
      <c r="S3641">
        <f>IF(ISNUMBER('자료_거시'!$E3623),'자료_거시'!$E3623,S3640)</f>
        <v/>
      </c>
      <c r="T3641">
        <f>IF(AND(ISNUMBER('자료_거시'!$D3623),ISNUMBER('자료_거시'!$E3623)),IFERROR('자료_거시'!$E3623-INDEX($S$21:$S$4020,MATCH(EDATE('자료_거시'!$D3623,-'설정'!$B$17),'자료_거시'!$D$3:INDEX('자료_거시'!$D$3:$D$4002,$K$6),1)),""),"")</f>
        <v/>
      </c>
      <c r="U3641">
        <f>IF(ISNUMBER(T3641),'자료_거시'!$D3623,"")</f>
        <v/>
      </c>
      <c r="V3641">
        <f>IF(ISNUMBER(U3641),IF(U3641&gt;$L$6,T3641,""),"")</f>
        <v/>
      </c>
      <c r="W3641">
        <f>IF(AND(ISNUMBER('자료_거시'!$G3623),ISNUMBER('자료_거시'!$H3623)),'자료_거시'!$H3623,"")</f>
        <v/>
      </c>
      <c r="X3641">
        <f>IF(ISNUMBER(W3641),'자료_거시'!$G3623,"")</f>
        <v/>
      </c>
      <c r="Y3641">
        <f>IF(ISNUMBER(X3641),IF(X3641&gt;$L$7,W3641,""),"")</f>
        <v/>
      </c>
      <c r="Z3641">
        <f>IF(ISNUMBER('자료_거시'!$K3623),'자료_거시'!$K3623,Z3640)</f>
        <v/>
      </c>
      <c r="AA3641">
        <f>IF(AND(ISNUMBER('자료_거시'!$J3623),ISNUMBER('자료_거시'!$K3623)),IFERROR('자료_거시'!$K3623/INDEX($Z$21:$Z$4020,MATCH(EDATE('자료_거시'!$J3623,-'설정'!$B$17),'자료_거시'!$J$3:INDEX('자료_거시'!$J$3:$J$4002,$K$8),1))-1,""),"")</f>
        <v/>
      </c>
      <c r="AB3641">
        <f>IF(ISNUMBER(AA3641),'자료_거시'!$J3623,"")</f>
        <v/>
      </c>
      <c r="AC3641">
        <f>IF(ISNUMBER(AB3641),IF(AB3641&gt;$L$8,AA3641,""),"")</f>
        <v/>
      </c>
    </row>
    <row r="3642">
      <c r="S3642">
        <f>IF(ISNUMBER('자료_거시'!$E3624),'자료_거시'!$E3624,S3641)</f>
        <v/>
      </c>
      <c r="T3642">
        <f>IF(AND(ISNUMBER('자료_거시'!$D3624),ISNUMBER('자료_거시'!$E3624)),IFERROR('자료_거시'!$E3624-INDEX($S$21:$S$4020,MATCH(EDATE('자료_거시'!$D3624,-'설정'!$B$17),'자료_거시'!$D$3:INDEX('자료_거시'!$D$3:$D$4002,$K$6),1)),""),"")</f>
        <v/>
      </c>
      <c r="U3642">
        <f>IF(ISNUMBER(T3642),'자료_거시'!$D3624,"")</f>
        <v/>
      </c>
      <c r="V3642">
        <f>IF(ISNUMBER(U3642),IF(U3642&gt;$L$6,T3642,""),"")</f>
        <v/>
      </c>
      <c r="W3642">
        <f>IF(AND(ISNUMBER('자료_거시'!$G3624),ISNUMBER('자료_거시'!$H3624)),'자료_거시'!$H3624,"")</f>
        <v/>
      </c>
      <c r="X3642">
        <f>IF(ISNUMBER(W3642),'자료_거시'!$G3624,"")</f>
        <v/>
      </c>
      <c r="Y3642">
        <f>IF(ISNUMBER(X3642),IF(X3642&gt;$L$7,W3642,""),"")</f>
        <v/>
      </c>
      <c r="Z3642">
        <f>IF(ISNUMBER('자료_거시'!$K3624),'자료_거시'!$K3624,Z3641)</f>
        <v/>
      </c>
      <c r="AA3642">
        <f>IF(AND(ISNUMBER('자료_거시'!$J3624),ISNUMBER('자료_거시'!$K3624)),IFERROR('자료_거시'!$K3624/INDEX($Z$21:$Z$4020,MATCH(EDATE('자료_거시'!$J3624,-'설정'!$B$17),'자료_거시'!$J$3:INDEX('자료_거시'!$J$3:$J$4002,$K$8),1))-1,""),"")</f>
        <v/>
      </c>
      <c r="AB3642">
        <f>IF(ISNUMBER(AA3642),'자료_거시'!$J3624,"")</f>
        <v/>
      </c>
      <c r="AC3642">
        <f>IF(ISNUMBER(AB3642),IF(AB3642&gt;$L$8,AA3642,""),"")</f>
        <v/>
      </c>
    </row>
    <row r="3643">
      <c r="S3643">
        <f>IF(ISNUMBER('자료_거시'!$E3625),'자료_거시'!$E3625,S3642)</f>
        <v/>
      </c>
      <c r="T3643">
        <f>IF(AND(ISNUMBER('자료_거시'!$D3625),ISNUMBER('자료_거시'!$E3625)),IFERROR('자료_거시'!$E3625-INDEX($S$21:$S$4020,MATCH(EDATE('자료_거시'!$D3625,-'설정'!$B$17),'자료_거시'!$D$3:INDEX('자료_거시'!$D$3:$D$4002,$K$6),1)),""),"")</f>
        <v/>
      </c>
      <c r="U3643">
        <f>IF(ISNUMBER(T3643),'자료_거시'!$D3625,"")</f>
        <v/>
      </c>
      <c r="V3643">
        <f>IF(ISNUMBER(U3643),IF(U3643&gt;$L$6,T3643,""),"")</f>
        <v/>
      </c>
      <c r="W3643">
        <f>IF(AND(ISNUMBER('자료_거시'!$G3625),ISNUMBER('자료_거시'!$H3625)),'자료_거시'!$H3625,"")</f>
        <v/>
      </c>
      <c r="X3643">
        <f>IF(ISNUMBER(W3643),'자료_거시'!$G3625,"")</f>
        <v/>
      </c>
      <c r="Y3643">
        <f>IF(ISNUMBER(X3643),IF(X3643&gt;$L$7,W3643,""),"")</f>
        <v/>
      </c>
      <c r="Z3643">
        <f>IF(ISNUMBER('자료_거시'!$K3625),'자료_거시'!$K3625,Z3642)</f>
        <v/>
      </c>
      <c r="AA3643">
        <f>IF(AND(ISNUMBER('자료_거시'!$J3625),ISNUMBER('자료_거시'!$K3625)),IFERROR('자료_거시'!$K3625/INDEX($Z$21:$Z$4020,MATCH(EDATE('자료_거시'!$J3625,-'설정'!$B$17),'자료_거시'!$J$3:INDEX('자료_거시'!$J$3:$J$4002,$K$8),1))-1,""),"")</f>
        <v/>
      </c>
      <c r="AB3643">
        <f>IF(ISNUMBER(AA3643),'자료_거시'!$J3625,"")</f>
        <v/>
      </c>
      <c r="AC3643">
        <f>IF(ISNUMBER(AB3643),IF(AB3643&gt;$L$8,AA3643,""),"")</f>
        <v/>
      </c>
    </row>
    <row r="3644">
      <c r="S3644">
        <f>IF(ISNUMBER('자료_거시'!$E3626),'자료_거시'!$E3626,S3643)</f>
        <v/>
      </c>
      <c r="T3644">
        <f>IF(AND(ISNUMBER('자료_거시'!$D3626),ISNUMBER('자료_거시'!$E3626)),IFERROR('자료_거시'!$E3626-INDEX($S$21:$S$4020,MATCH(EDATE('자료_거시'!$D3626,-'설정'!$B$17),'자료_거시'!$D$3:INDEX('자료_거시'!$D$3:$D$4002,$K$6),1)),""),"")</f>
        <v/>
      </c>
      <c r="U3644">
        <f>IF(ISNUMBER(T3644),'자료_거시'!$D3626,"")</f>
        <v/>
      </c>
      <c r="V3644">
        <f>IF(ISNUMBER(U3644),IF(U3644&gt;$L$6,T3644,""),"")</f>
        <v/>
      </c>
      <c r="W3644">
        <f>IF(AND(ISNUMBER('자료_거시'!$G3626),ISNUMBER('자료_거시'!$H3626)),'자료_거시'!$H3626,"")</f>
        <v/>
      </c>
      <c r="X3644">
        <f>IF(ISNUMBER(W3644),'자료_거시'!$G3626,"")</f>
        <v/>
      </c>
      <c r="Y3644">
        <f>IF(ISNUMBER(X3644),IF(X3644&gt;$L$7,W3644,""),"")</f>
        <v/>
      </c>
      <c r="Z3644">
        <f>IF(ISNUMBER('자료_거시'!$K3626),'자료_거시'!$K3626,Z3643)</f>
        <v/>
      </c>
      <c r="AA3644">
        <f>IF(AND(ISNUMBER('자료_거시'!$J3626),ISNUMBER('자료_거시'!$K3626)),IFERROR('자료_거시'!$K3626/INDEX($Z$21:$Z$4020,MATCH(EDATE('자료_거시'!$J3626,-'설정'!$B$17),'자료_거시'!$J$3:INDEX('자료_거시'!$J$3:$J$4002,$K$8),1))-1,""),"")</f>
        <v/>
      </c>
      <c r="AB3644">
        <f>IF(ISNUMBER(AA3644),'자료_거시'!$J3626,"")</f>
        <v/>
      </c>
      <c r="AC3644">
        <f>IF(ISNUMBER(AB3644),IF(AB3644&gt;$L$8,AA3644,""),"")</f>
        <v/>
      </c>
    </row>
    <row r="3645">
      <c r="S3645">
        <f>IF(ISNUMBER('자료_거시'!$E3627),'자료_거시'!$E3627,S3644)</f>
        <v/>
      </c>
      <c r="T3645">
        <f>IF(AND(ISNUMBER('자료_거시'!$D3627),ISNUMBER('자료_거시'!$E3627)),IFERROR('자료_거시'!$E3627-INDEX($S$21:$S$4020,MATCH(EDATE('자료_거시'!$D3627,-'설정'!$B$17),'자료_거시'!$D$3:INDEX('자료_거시'!$D$3:$D$4002,$K$6),1)),""),"")</f>
        <v/>
      </c>
      <c r="U3645">
        <f>IF(ISNUMBER(T3645),'자료_거시'!$D3627,"")</f>
        <v/>
      </c>
      <c r="V3645">
        <f>IF(ISNUMBER(U3645),IF(U3645&gt;$L$6,T3645,""),"")</f>
        <v/>
      </c>
      <c r="W3645">
        <f>IF(AND(ISNUMBER('자료_거시'!$G3627),ISNUMBER('자료_거시'!$H3627)),'자료_거시'!$H3627,"")</f>
        <v/>
      </c>
      <c r="X3645">
        <f>IF(ISNUMBER(W3645),'자료_거시'!$G3627,"")</f>
        <v/>
      </c>
      <c r="Y3645">
        <f>IF(ISNUMBER(X3645),IF(X3645&gt;$L$7,W3645,""),"")</f>
        <v/>
      </c>
      <c r="Z3645">
        <f>IF(ISNUMBER('자료_거시'!$K3627),'자료_거시'!$K3627,Z3644)</f>
        <v/>
      </c>
      <c r="AA3645">
        <f>IF(AND(ISNUMBER('자료_거시'!$J3627),ISNUMBER('자료_거시'!$K3627)),IFERROR('자료_거시'!$K3627/INDEX($Z$21:$Z$4020,MATCH(EDATE('자료_거시'!$J3627,-'설정'!$B$17),'자료_거시'!$J$3:INDEX('자료_거시'!$J$3:$J$4002,$K$8),1))-1,""),"")</f>
        <v/>
      </c>
      <c r="AB3645">
        <f>IF(ISNUMBER(AA3645),'자료_거시'!$J3627,"")</f>
        <v/>
      </c>
      <c r="AC3645">
        <f>IF(ISNUMBER(AB3645),IF(AB3645&gt;$L$8,AA3645,""),"")</f>
        <v/>
      </c>
    </row>
    <row r="3646">
      <c r="S3646">
        <f>IF(ISNUMBER('자료_거시'!$E3628),'자료_거시'!$E3628,S3645)</f>
        <v/>
      </c>
      <c r="T3646">
        <f>IF(AND(ISNUMBER('자료_거시'!$D3628),ISNUMBER('자료_거시'!$E3628)),IFERROR('자료_거시'!$E3628-INDEX($S$21:$S$4020,MATCH(EDATE('자료_거시'!$D3628,-'설정'!$B$17),'자료_거시'!$D$3:INDEX('자료_거시'!$D$3:$D$4002,$K$6),1)),""),"")</f>
        <v/>
      </c>
      <c r="U3646">
        <f>IF(ISNUMBER(T3646),'자료_거시'!$D3628,"")</f>
        <v/>
      </c>
      <c r="V3646">
        <f>IF(ISNUMBER(U3646),IF(U3646&gt;$L$6,T3646,""),"")</f>
        <v/>
      </c>
      <c r="W3646">
        <f>IF(AND(ISNUMBER('자료_거시'!$G3628),ISNUMBER('자료_거시'!$H3628)),'자료_거시'!$H3628,"")</f>
        <v/>
      </c>
      <c r="X3646">
        <f>IF(ISNUMBER(W3646),'자료_거시'!$G3628,"")</f>
        <v/>
      </c>
      <c r="Y3646">
        <f>IF(ISNUMBER(X3646),IF(X3646&gt;$L$7,W3646,""),"")</f>
        <v/>
      </c>
      <c r="Z3646">
        <f>IF(ISNUMBER('자료_거시'!$K3628),'자료_거시'!$K3628,Z3645)</f>
        <v/>
      </c>
      <c r="AA3646">
        <f>IF(AND(ISNUMBER('자료_거시'!$J3628),ISNUMBER('자료_거시'!$K3628)),IFERROR('자료_거시'!$K3628/INDEX($Z$21:$Z$4020,MATCH(EDATE('자료_거시'!$J3628,-'설정'!$B$17),'자료_거시'!$J$3:INDEX('자료_거시'!$J$3:$J$4002,$K$8),1))-1,""),"")</f>
        <v/>
      </c>
      <c r="AB3646">
        <f>IF(ISNUMBER(AA3646),'자료_거시'!$J3628,"")</f>
        <v/>
      </c>
      <c r="AC3646">
        <f>IF(ISNUMBER(AB3646),IF(AB3646&gt;$L$8,AA3646,""),"")</f>
        <v/>
      </c>
    </row>
    <row r="3647">
      <c r="S3647">
        <f>IF(ISNUMBER('자료_거시'!$E3629),'자료_거시'!$E3629,S3646)</f>
        <v/>
      </c>
      <c r="T3647">
        <f>IF(AND(ISNUMBER('자료_거시'!$D3629),ISNUMBER('자료_거시'!$E3629)),IFERROR('자료_거시'!$E3629-INDEX($S$21:$S$4020,MATCH(EDATE('자료_거시'!$D3629,-'설정'!$B$17),'자료_거시'!$D$3:INDEX('자료_거시'!$D$3:$D$4002,$K$6),1)),""),"")</f>
        <v/>
      </c>
      <c r="U3647">
        <f>IF(ISNUMBER(T3647),'자료_거시'!$D3629,"")</f>
        <v/>
      </c>
      <c r="V3647">
        <f>IF(ISNUMBER(U3647),IF(U3647&gt;$L$6,T3647,""),"")</f>
        <v/>
      </c>
      <c r="W3647">
        <f>IF(AND(ISNUMBER('자료_거시'!$G3629),ISNUMBER('자료_거시'!$H3629)),'자료_거시'!$H3629,"")</f>
        <v/>
      </c>
      <c r="X3647">
        <f>IF(ISNUMBER(W3647),'자료_거시'!$G3629,"")</f>
        <v/>
      </c>
      <c r="Y3647">
        <f>IF(ISNUMBER(X3647),IF(X3647&gt;$L$7,W3647,""),"")</f>
        <v/>
      </c>
      <c r="Z3647">
        <f>IF(ISNUMBER('자료_거시'!$K3629),'자료_거시'!$K3629,Z3646)</f>
        <v/>
      </c>
      <c r="AA3647">
        <f>IF(AND(ISNUMBER('자료_거시'!$J3629),ISNUMBER('자료_거시'!$K3629)),IFERROR('자료_거시'!$K3629/INDEX($Z$21:$Z$4020,MATCH(EDATE('자료_거시'!$J3629,-'설정'!$B$17),'자료_거시'!$J$3:INDEX('자료_거시'!$J$3:$J$4002,$K$8),1))-1,""),"")</f>
        <v/>
      </c>
      <c r="AB3647">
        <f>IF(ISNUMBER(AA3647),'자료_거시'!$J3629,"")</f>
        <v/>
      </c>
      <c r="AC3647">
        <f>IF(ISNUMBER(AB3647),IF(AB3647&gt;$L$8,AA3647,""),"")</f>
        <v/>
      </c>
    </row>
    <row r="3648">
      <c r="S3648">
        <f>IF(ISNUMBER('자료_거시'!$E3630),'자료_거시'!$E3630,S3647)</f>
        <v/>
      </c>
      <c r="T3648">
        <f>IF(AND(ISNUMBER('자료_거시'!$D3630),ISNUMBER('자료_거시'!$E3630)),IFERROR('자료_거시'!$E3630-INDEX($S$21:$S$4020,MATCH(EDATE('자료_거시'!$D3630,-'설정'!$B$17),'자료_거시'!$D$3:INDEX('자료_거시'!$D$3:$D$4002,$K$6),1)),""),"")</f>
        <v/>
      </c>
      <c r="U3648">
        <f>IF(ISNUMBER(T3648),'자료_거시'!$D3630,"")</f>
        <v/>
      </c>
      <c r="V3648">
        <f>IF(ISNUMBER(U3648),IF(U3648&gt;$L$6,T3648,""),"")</f>
        <v/>
      </c>
      <c r="W3648">
        <f>IF(AND(ISNUMBER('자료_거시'!$G3630),ISNUMBER('자료_거시'!$H3630)),'자료_거시'!$H3630,"")</f>
        <v/>
      </c>
      <c r="X3648">
        <f>IF(ISNUMBER(W3648),'자료_거시'!$G3630,"")</f>
        <v/>
      </c>
      <c r="Y3648">
        <f>IF(ISNUMBER(X3648),IF(X3648&gt;$L$7,W3648,""),"")</f>
        <v/>
      </c>
      <c r="Z3648">
        <f>IF(ISNUMBER('자료_거시'!$K3630),'자료_거시'!$K3630,Z3647)</f>
        <v/>
      </c>
      <c r="AA3648">
        <f>IF(AND(ISNUMBER('자료_거시'!$J3630),ISNUMBER('자료_거시'!$K3630)),IFERROR('자료_거시'!$K3630/INDEX($Z$21:$Z$4020,MATCH(EDATE('자료_거시'!$J3630,-'설정'!$B$17),'자료_거시'!$J$3:INDEX('자료_거시'!$J$3:$J$4002,$K$8),1))-1,""),"")</f>
        <v/>
      </c>
      <c r="AB3648">
        <f>IF(ISNUMBER(AA3648),'자료_거시'!$J3630,"")</f>
        <v/>
      </c>
      <c r="AC3648">
        <f>IF(ISNUMBER(AB3648),IF(AB3648&gt;$L$8,AA3648,""),"")</f>
        <v/>
      </c>
    </row>
    <row r="3649">
      <c r="S3649">
        <f>IF(ISNUMBER('자료_거시'!$E3631),'자료_거시'!$E3631,S3648)</f>
        <v/>
      </c>
      <c r="T3649">
        <f>IF(AND(ISNUMBER('자료_거시'!$D3631),ISNUMBER('자료_거시'!$E3631)),IFERROR('자료_거시'!$E3631-INDEX($S$21:$S$4020,MATCH(EDATE('자료_거시'!$D3631,-'설정'!$B$17),'자료_거시'!$D$3:INDEX('자료_거시'!$D$3:$D$4002,$K$6),1)),""),"")</f>
        <v/>
      </c>
      <c r="U3649">
        <f>IF(ISNUMBER(T3649),'자료_거시'!$D3631,"")</f>
        <v/>
      </c>
      <c r="V3649">
        <f>IF(ISNUMBER(U3649),IF(U3649&gt;$L$6,T3649,""),"")</f>
        <v/>
      </c>
      <c r="W3649">
        <f>IF(AND(ISNUMBER('자료_거시'!$G3631),ISNUMBER('자료_거시'!$H3631)),'자료_거시'!$H3631,"")</f>
        <v/>
      </c>
      <c r="X3649">
        <f>IF(ISNUMBER(W3649),'자료_거시'!$G3631,"")</f>
        <v/>
      </c>
      <c r="Y3649">
        <f>IF(ISNUMBER(X3649),IF(X3649&gt;$L$7,W3649,""),"")</f>
        <v/>
      </c>
      <c r="Z3649">
        <f>IF(ISNUMBER('자료_거시'!$K3631),'자료_거시'!$K3631,Z3648)</f>
        <v/>
      </c>
      <c r="AA3649">
        <f>IF(AND(ISNUMBER('자료_거시'!$J3631),ISNUMBER('자료_거시'!$K3631)),IFERROR('자료_거시'!$K3631/INDEX($Z$21:$Z$4020,MATCH(EDATE('자료_거시'!$J3631,-'설정'!$B$17),'자료_거시'!$J$3:INDEX('자료_거시'!$J$3:$J$4002,$K$8),1))-1,""),"")</f>
        <v/>
      </c>
      <c r="AB3649">
        <f>IF(ISNUMBER(AA3649),'자료_거시'!$J3631,"")</f>
        <v/>
      </c>
      <c r="AC3649">
        <f>IF(ISNUMBER(AB3649),IF(AB3649&gt;$L$8,AA3649,""),"")</f>
        <v/>
      </c>
    </row>
    <row r="3650">
      <c r="S3650">
        <f>IF(ISNUMBER('자료_거시'!$E3632),'자료_거시'!$E3632,S3649)</f>
        <v/>
      </c>
      <c r="T3650">
        <f>IF(AND(ISNUMBER('자료_거시'!$D3632),ISNUMBER('자료_거시'!$E3632)),IFERROR('자료_거시'!$E3632-INDEX($S$21:$S$4020,MATCH(EDATE('자료_거시'!$D3632,-'설정'!$B$17),'자료_거시'!$D$3:INDEX('자료_거시'!$D$3:$D$4002,$K$6),1)),""),"")</f>
        <v/>
      </c>
      <c r="U3650">
        <f>IF(ISNUMBER(T3650),'자료_거시'!$D3632,"")</f>
        <v/>
      </c>
      <c r="V3650">
        <f>IF(ISNUMBER(U3650),IF(U3650&gt;$L$6,T3650,""),"")</f>
        <v/>
      </c>
      <c r="W3650">
        <f>IF(AND(ISNUMBER('자료_거시'!$G3632),ISNUMBER('자료_거시'!$H3632)),'자료_거시'!$H3632,"")</f>
        <v/>
      </c>
      <c r="X3650">
        <f>IF(ISNUMBER(W3650),'자료_거시'!$G3632,"")</f>
        <v/>
      </c>
      <c r="Y3650">
        <f>IF(ISNUMBER(X3650),IF(X3650&gt;$L$7,W3650,""),"")</f>
        <v/>
      </c>
      <c r="Z3650">
        <f>IF(ISNUMBER('자료_거시'!$K3632),'자료_거시'!$K3632,Z3649)</f>
        <v/>
      </c>
      <c r="AA3650">
        <f>IF(AND(ISNUMBER('자료_거시'!$J3632),ISNUMBER('자료_거시'!$K3632)),IFERROR('자료_거시'!$K3632/INDEX($Z$21:$Z$4020,MATCH(EDATE('자료_거시'!$J3632,-'설정'!$B$17),'자료_거시'!$J$3:INDEX('자료_거시'!$J$3:$J$4002,$K$8),1))-1,""),"")</f>
        <v/>
      </c>
      <c r="AB3650">
        <f>IF(ISNUMBER(AA3650),'자료_거시'!$J3632,"")</f>
        <v/>
      </c>
      <c r="AC3650">
        <f>IF(ISNUMBER(AB3650),IF(AB3650&gt;$L$8,AA3650,""),"")</f>
        <v/>
      </c>
    </row>
    <row r="3651">
      <c r="S3651">
        <f>IF(ISNUMBER('자료_거시'!$E3633),'자료_거시'!$E3633,S3650)</f>
        <v/>
      </c>
      <c r="T3651">
        <f>IF(AND(ISNUMBER('자료_거시'!$D3633),ISNUMBER('자료_거시'!$E3633)),IFERROR('자료_거시'!$E3633-INDEX($S$21:$S$4020,MATCH(EDATE('자료_거시'!$D3633,-'설정'!$B$17),'자료_거시'!$D$3:INDEX('자료_거시'!$D$3:$D$4002,$K$6),1)),""),"")</f>
        <v/>
      </c>
      <c r="U3651">
        <f>IF(ISNUMBER(T3651),'자료_거시'!$D3633,"")</f>
        <v/>
      </c>
      <c r="V3651">
        <f>IF(ISNUMBER(U3651),IF(U3651&gt;$L$6,T3651,""),"")</f>
        <v/>
      </c>
      <c r="W3651">
        <f>IF(AND(ISNUMBER('자료_거시'!$G3633),ISNUMBER('자료_거시'!$H3633)),'자료_거시'!$H3633,"")</f>
        <v/>
      </c>
      <c r="X3651">
        <f>IF(ISNUMBER(W3651),'자료_거시'!$G3633,"")</f>
        <v/>
      </c>
      <c r="Y3651">
        <f>IF(ISNUMBER(X3651),IF(X3651&gt;$L$7,W3651,""),"")</f>
        <v/>
      </c>
      <c r="Z3651">
        <f>IF(ISNUMBER('자료_거시'!$K3633),'자료_거시'!$K3633,Z3650)</f>
        <v/>
      </c>
      <c r="AA3651">
        <f>IF(AND(ISNUMBER('자료_거시'!$J3633),ISNUMBER('자료_거시'!$K3633)),IFERROR('자료_거시'!$K3633/INDEX($Z$21:$Z$4020,MATCH(EDATE('자료_거시'!$J3633,-'설정'!$B$17),'자료_거시'!$J$3:INDEX('자료_거시'!$J$3:$J$4002,$K$8),1))-1,""),"")</f>
        <v/>
      </c>
      <c r="AB3651">
        <f>IF(ISNUMBER(AA3651),'자료_거시'!$J3633,"")</f>
        <v/>
      </c>
      <c r="AC3651">
        <f>IF(ISNUMBER(AB3651),IF(AB3651&gt;$L$8,AA3651,""),"")</f>
        <v/>
      </c>
    </row>
    <row r="3652">
      <c r="S3652">
        <f>IF(ISNUMBER('자료_거시'!$E3634),'자료_거시'!$E3634,S3651)</f>
        <v/>
      </c>
      <c r="T3652">
        <f>IF(AND(ISNUMBER('자료_거시'!$D3634),ISNUMBER('자료_거시'!$E3634)),IFERROR('자료_거시'!$E3634-INDEX($S$21:$S$4020,MATCH(EDATE('자료_거시'!$D3634,-'설정'!$B$17),'자료_거시'!$D$3:INDEX('자료_거시'!$D$3:$D$4002,$K$6),1)),""),"")</f>
        <v/>
      </c>
      <c r="U3652">
        <f>IF(ISNUMBER(T3652),'자료_거시'!$D3634,"")</f>
        <v/>
      </c>
      <c r="V3652">
        <f>IF(ISNUMBER(U3652),IF(U3652&gt;$L$6,T3652,""),"")</f>
        <v/>
      </c>
      <c r="W3652">
        <f>IF(AND(ISNUMBER('자료_거시'!$G3634),ISNUMBER('자료_거시'!$H3634)),'자료_거시'!$H3634,"")</f>
        <v/>
      </c>
      <c r="X3652">
        <f>IF(ISNUMBER(W3652),'자료_거시'!$G3634,"")</f>
        <v/>
      </c>
      <c r="Y3652">
        <f>IF(ISNUMBER(X3652),IF(X3652&gt;$L$7,W3652,""),"")</f>
        <v/>
      </c>
      <c r="Z3652">
        <f>IF(ISNUMBER('자료_거시'!$K3634),'자료_거시'!$K3634,Z3651)</f>
        <v/>
      </c>
      <c r="AA3652">
        <f>IF(AND(ISNUMBER('자료_거시'!$J3634),ISNUMBER('자료_거시'!$K3634)),IFERROR('자료_거시'!$K3634/INDEX($Z$21:$Z$4020,MATCH(EDATE('자료_거시'!$J3634,-'설정'!$B$17),'자료_거시'!$J$3:INDEX('자료_거시'!$J$3:$J$4002,$K$8),1))-1,""),"")</f>
        <v/>
      </c>
      <c r="AB3652">
        <f>IF(ISNUMBER(AA3652),'자료_거시'!$J3634,"")</f>
        <v/>
      </c>
      <c r="AC3652">
        <f>IF(ISNUMBER(AB3652),IF(AB3652&gt;$L$8,AA3652,""),"")</f>
        <v/>
      </c>
    </row>
    <row r="3653">
      <c r="S3653">
        <f>IF(ISNUMBER('자료_거시'!$E3635),'자료_거시'!$E3635,S3652)</f>
        <v/>
      </c>
      <c r="T3653">
        <f>IF(AND(ISNUMBER('자료_거시'!$D3635),ISNUMBER('자료_거시'!$E3635)),IFERROR('자료_거시'!$E3635-INDEX($S$21:$S$4020,MATCH(EDATE('자료_거시'!$D3635,-'설정'!$B$17),'자료_거시'!$D$3:INDEX('자료_거시'!$D$3:$D$4002,$K$6),1)),""),"")</f>
        <v/>
      </c>
      <c r="U3653">
        <f>IF(ISNUMBER(T3653),'자료_거시'!$D3635,"")</f>
        <v/>
      </c>
      <c r="V3653">
        <f>IF(ISNUMBER(U3653),IF(U3653&gt;$L$6,T3653,""),"")</f>
        <v/>
      </c>
      <c r="W3653">
        <f>IF(AND(ISNUMBER('자료_거시'!$G3635),ISNUMBER('자료_거시'!$H3635)),'자료_거시'!$H3635,"")</f>
        <v/>
      </c>
      <c r="X3653">
        <f>IF(ISNUMBER(W3653),'자료_거시'!$G3635,"")</f>
        <v/>
      </c>
      <c r="Y3653">
        <f>IF(ISNUMBER(X3653),IF(X3653&gt;$L$7,W3653,""),"")</f>
        <v/>
      </c>
      <c r="Z3653">
        <f>IF(ISNUMBER('자료_거시'!$K3635),'자료_거시'!$K3635,Z3652)</f>
        <v/>
      </c>
      <c r="AA3653">
        <f>IF(AND(ISNUMBER('자료_거시'!$J3635),ISNUMBER('자료_거시'!$K3635)),IFERROR('자료_거시'!$K3635/INDEX($Z$21:$Z$4020,MATCH(EDATE('자료_거시'!$J3635,-'설정'!$B$17),'자료_거시'!$J$3:INDEX('자료_거시'!$J$3:$J$4002,$K$8),1))-1,""),"")</f>
        <v/>
      </c>
      <c r="AB3653">
        <f>IF(ISNUMBER(AA3653),'자료_거시'!$J3635,"")</f>
        <v/>
      </c>
      <c r="AC3653">
        <f>IF(ISNUMBER(AB3653),IF(AB3653&gt;$L$8,AA3653,""),"")</f>
        <v/>
      </c>
    </row>
    <row r="3654">
      <c r="S3654">
        <f>IF(ISNUMBER('자료_거시'!$E3636),'자료_거시'!$E3636,S3653)</f>
        <v/>
      </c>
      <c r="T3654">
        <f>IF(AND(ISNUMBER('자료_거시'!$D3636),ISNUMBER('자료_거시'!$E3636)),IFERROR('자료_거시'!$E3636-INDEX($S$21:$S$4020,MATCH(EDATE('자료_거시'!$D3636,-'설정'!$B$17),'자료_거시'!$D$3:INDEX('자료_거시'!$D$3:$D$4002,$K$6),1)),""),"")</f>
        <v/>
      </c>
      <c r="U3654">
        <f>IF(ISNUMBER(T3654),'자료_거시'!$D3636,"")</f>
        <v/>
      </c>
      <c r="V3654">
        <f>IF(ISNUMBER(U3654),IF(U3654&gt;$L$6,T3654,""),"")</f>
        <v/>
      </c>
      <c r="W3654">
        <f>IF(AND(ISNUMBER('자료_거시'!$G3636),ISNUMBER('자료_거시'!$H3636)),'자료_거시'!$H3636,"")</f>
        <v/>
      </c>
      <c r="X3654">
        <f>IF(ISNUMBER(W3654),'자료_거시'!$G3636,"")</f>
        <v/>
      </c>
      <c r="Y3654">
        <f>IF(ISNUMBER(X3654),IF(X3654&gt;$L$7,W3654,""),"")</f>
        <v/>
      </c>
      <c r="Z3654">
        <f>IF(ISNUMBER('자료_거시'!$K3636),'자료_거시'!$K3636,Z3653)</f>
        <v/>
      </c>
      <c r="AA3654">
        <f>IF(AND(ISNUMBER('자료_거시'!$J3636),ISNUMBER('자료_거시'!$K3636)),IFERROR('자료_거시'!$K3636/INDEX($Z$21:$Z$4020,MATCH(EDATE('자료_거시'!$J3636,-'설정'!$B$17),'자료_거시'!$J$3:INDEX('자료_거시'!$J$3:$J$4002,$K$8),1))-1,""),"")</f>
        <v/>
      </c>
      <c r="AB3654">
        <f>IF(ISNUMBER(AA3654),'자료_거시'!$J3636,"")</f>
        <v/>
      </c>
      <c r="AC3654">
        <f>IF(ISNUMBER(AB3654),IF(AB3654&gt;$L$8,AA3654,""),"")</f>
        <v/>
      </c>
    </row>
    <row r="3655">
      <c r="S3655">
        <f>IF(ISNUMBER('자료_거시'!$E3637),'자료_거시'!$E3637,S3654)</f>
        <v/>
      </c>
      <c r="T3655">
        <f>IF(AND(ISNUMBER('자료_거시'!$D3637),ISNUMBER('자료_거시'!$E3637)),IFERROR('자료_거시'!$E3637-INDEX($S$21:$S$4020,MATCH(EDATE('자료_거시'!$D3637,-'설정'!$B$17),'자료_거시'!$D$3:INDEX('자료_거시'!$D$3:$D$4002,$K$6),1)),""),"")</f>
        <v/>
      </c>
      <c r="U3655">
        <f>IF(ISNUMBER(T3655),'자료_거시'!$D3637,"")</f>
        <v/>
      </c>
      <c r="V3655">
        <f>IF(ISNUMBER(U3655),IF(U3655&gt;$L$6,T3655,""),"")</f>
        <v/>
      </c>
      <c r="W3655">
        <f>IF(AND(ISNUMBER('자료_거시'!$G3637),ISNUMBER('자료_거시'!$H3637)),'자료_거시'!$H3637,"")</f>
        <v/>
      </c>
      <c r="X3655">
        <f>IF(ISNUMBER(W3655),'자료_거시'!$G3637,"")</f>
        <v/>
      </c>
      <c r="Y3655">
        <f>IF(ISNUMBER(X3655),IF(X3655&gt;$L$7,W3655,""),"")</f>
        <v/>
      </c>
      <c r="Z3655">
        <f>IF(ISNUMBER('자료_거시'!$K3637),'자료_거시'!$K3637,Z3654)</f>
        <v/>
      </c>
      <c r="AA3655">
        <f>IF(AND(ISNUMBER('자료_거시'!$J3637),ISNUMBER('자료_거시'!$K3637)),IFERROR('자료_거시'!$K3637/INDEX($Z$21:$Z$4020,MATCH(EDATE('자료_거시'!$J3637,-'설정'!$B$17),'자료_거시'!$J$3:INDEX('자료_거시'!$J$3:$J$4002,$K$8),1))-1,""),"")</f>
        <v/>
      </c>
      <c r="AB3655">
        <f>IF(ISNUMBER(AA3655),'자료_거시'!$J3637,"")</f>
        <v/>
      </c>
      <c r="AC3655">
        <f>IF(ISNUMBER(AB3655),IF(AB3655&gt;$L$8,AA3655,""),"")</f>
        <v/>
      </c>
    </row>
    <row r="3656">
      <c r="S3656">
        <f>IF(ISNUMBER('자료_거시'!$E3638),'자료_거시'!$E3638,S3655)</f>
        <v/>
      </c>
      <c r="T3656">
        <f>IF(AND(ISNUMBER('자료_거시'!$D3638),ISNUMBER('자료_거시'!$E3638)),IFERROR('자료_거시'!$E3638-INDEX($S$21:$S$4020,MATCH(EDATE('자료_거시'!$D3638,-'설정'!$B$17),'자료_거시'!$D$3:INDEX('자료_거시'!$D$3:$D$4002,$K$6),1)),""),"")</f>
        <v/>
      </c>
      <c r="U3656">
        <f>IF(ISNUMBER(T3656),'자료_거시'!$D3638,"")</f>
        <v/>
      </c>
      <c r="V3656">
        <f>IF(ISNUMBER(U3656),IF(U3656&gt;$L$6,T3656,""),"")</f>
        <v/>
      </c>
      <c r="W3656">
        <f>IF(AND(ISNUMBER('자료_거시'!$G3638),ISNUMBER('자료_거시'!$H3638)),'자료_거시'!$H3638,"")</f>
        <v/>
      </c>
      <c r="X3656">
        <f>IF(ISNUMBER(W3656),'자료_거시'!$G3638,"")</f>
        <v/>
      </c>
      <c r="Y3656">
        <f>IF(ISNUMBER(X3656),IF(X3656&gt;$L$7,W3656,""),"")</f>
        <v/>
      </c>
      <c r="Z3656">
        <f>IF(ISNUMBER('자료_거시'!$K3638),'자료_거시'!$K3638,Z3655)</f>
        <v/>
      </c>
      <c r="AA3656">
        <f>IF(AND(ISNUMBER('자료_거시'!$J3638),ISNUMBER('자료_거시'!$K3638)),IFERROR('자료_거시'!$K3638/INDEX($Z$21:$Z$4020,MATCH(EDATE('자료_거시'!$J3638,-'설정'!$B$17),'자료_거시'!$J$3:INDEX('자료_거시'!$J$3:$J$4002,$K$8),1))-1,""),"")</f>
        <v/>
      </c>
      <c r="AB3656">
        <f>IF(ISNUMBER(AA3656),'자료_거시'!$J3638,"")</f>
        <v/>
      </c>
      <c r="AC3656">
        <f>IF(ISNUMBER(AB3656),IF(AB3656&gt;$L$8,AA3656,""),"")</f>
        <v/>
      </c>
    </row>
    <row r="3657">
      <c r="S3657">
        <f>IF(ISNUMBER('자료_거시'!$E3639),'자료_거시'!$E3639,S3656)</f>
        <v/>
      </c>
      <c r="T3657">
        <f>IF(AND(ISNUMBER('자료_거시'!$D3639),ISNUMBER('자료_거시'!$E3639)),IFERROR('자료_거시'!$E3639-INDEX($S$21:$S$4020,MATCH(EDATE('자료_거시'!$D3639,-'설정'!$B$17),'자료_거시'!$D$3:INDEX('자료_거시'!$D$3:$D$4002,$K$6),1)),""),"")</f>
        <v/>
      </c>
      <c r="U3657">
        <f>IF(ISNUMBER(T3657),'자료_거시'!$D3639,"")</f>
        <v/>
      </c>
      <c r="V3657">
        <f>IF(ISNUMBER(U3657),IF(U3657&gt;$L$6,T3657,""),"")</f>
        <v/>
      </c>
      <c r="W3657">
        <f>IF(AND(ISNUMBER('자료_거시'!$G3639),ISNUMBER('자료_거시'!$H3639)),'자료_거시'!$H3639,"")</f>
        <v/>
      </c>
      <c r="X3657">
        <f>IF(ISNUMBER(W3657),'자료_거시'!$G3639,"")</f>
        <v/>
      </c>
      <c r="Y3657">
        <f>IF(ISNUMBER(X3657),IF(X3657&gt;$L$7,W3657,""),"")</f>
        <v/>
      </c>
      <c r="Z3657">
        <f>IF(ISNUMBER('자료_거시'!$K3639),'자료_거시'!$K3639,Z3656)</f>
        <v/>
      </c>
      <c r="AA3657">
        <f>IF(AND(ISNUMBER('자료_거시'!$J3639),ISNUMBER('자료_거시'!$K3639)),IFERROR('자료_거시'!$K3639/INDEX($Z$21:$Z$4020,MATCH(EDATE('자료_거시'!$J3639,-'설정'!$B$17),'자료_거시'!$J$3:INDEX('자료_거시'!$J$3:$J$4002,$K$8),1))-1,""),"")</f>
        <v/>
      </c>
      <c r="AB3657">
        <f>IF(ISNUMBER(AA3657),'자료_거시'!$J3639,"")</f>
        <v/>
      </c>
      <c r="AC3657">
        <f>IF(ISNUMBER(AB3657),IF(AB3657&gt;$L$8,AA3657,""),"")</f>
        <v/>
      </c>
    </row>
    <row r="3658">
      <c r="S3658">
        <f>IF(ISNUMBER('자료_거시'!$E3640),'자료_거시'!$E3640,S3657)</f>
        <v/>
      </c>
      <c r="T3658">
        <f>IF(AND(ISNUMBER('자료_거시'!$D3640),ISNUMBER('자료_거시'!$E3640)),IFERROR('자료_거시'!$E3640-INDEX($S$21:$S$4020,MATCH(EDATE('자료_거시'!$D3640,-'설정'!$B$17),'자료_거시'!$D$3:INDEX('자료_거시'!$D$3:$D$4002,$K$6),1)),""),"")</f>
        <v/>
      </c>
      <c r="U3658">
        <f>IF(ISNUMBER(T3658),'자료_거시'!$D3640,"")</f>
        <v/>
      </c>
      <c r="V3658">
        <f>IF(ISNUMBER(U3658),IF(U3658&gt;$L$6,T3658,""),"")</f>
        <v/>
      </c>
      <c r="W3658">
        <f>IF(AND(ISNUMBER('자료_거시'!$G3640),ISNUMBER('자료_거시'!$H3640)),'자료_거시'!$H3640,"")</f>
        <v/>
      </c>
      <c r="X3658">
        <f>IF(ISNUMBER(W3658),'자료_거시'!$G3640,"")</f>
        <v/>
      </c>
      <c r="Y3658">
        <f>IF(ISNUMBER(X3658),IF(X3658&gt;$L$7,W3658,""),"")</f>
        <v/>
      </c>
      <c r="Z3658">
        <f>IF(ISNUMBER('자료_거시'!$K3640),'자료_거시'!$K3640,Z3657)</f>
        <v/>
      </c>
      <c r="AA3658">
        <f>IF(AND(ISNUMBER('자료_거시'!$J3640),ISNUMBER('자료_거시'!$K3640)),IFERROR('자료_거시'!$K3640/INDEX($Z$21:$Z$4020,MATCH(EDATE('자료_거시'!$J3640,-'설정'!$B$17),'자료_거시'!$J$3:INDEX('자료_거시'!$J$3:$J$4002,$K$8),1))-1,""),"")</f>
        <v/>
      </c>
      <c r="AB3658">
        <f>IF(ISNUMBER(AA3658),'자료_거시'!$J3640,"")</f>
        <v/>
      </c>
      <c r="AC3658">
        <f>IF(ISNUMBER(AB3658),IF(AB3658&gt;$L$8,AA3658,""),"")</f>
        <v/>
      </c>
    </row>
    <row r="3659">
      <c r="S3659">
        <f>IF(ISNUMBER('자료_거시'!$E3641),'자료_거시'!$E3641,S3658)</f>
        <v/>
      </c>
      <c r="T3659">
        <f>IF(AND(ISNUMBER('자료_거시'!$D3641),ISNUMBER('자료_거시'!$E3641)),IFERROR('자료_거시'!$E3641-INDEX($S$21:$S$4020,MATCH(EDATE('자료_거시'!$D3641,-'설정'!$B$17),'자료_거시'!$D$3:INDEX('자료_거시'!$D$3:$D$4002,$K$6),1)),""),"")</f>
        <v/>
      </c>
      <c r="U3659">
        <f>IF(ISNUMBER(T3659),'자료_거시'!$D3641,"")</f>
        <v/>
      </c>
      <c r="V3659">
        <f>IF(ISNUMBER(U3659),IF(U3659&gt;$L$6,T3659,""),"")</f>
        <v/>
      </c>
      <c r="W3659">
        <f>IF(AND(ISNUMBER('자료_거시'!$G3641),ISNUMBER('자료_거시'!$H3641)),'자료_거시'!$H3641,"")</f>
        <v/>
      </c>
      <c r="X3659">
        <f>IF(ISNUMBER(W3659),'자료_거시'!$G3641,"")</f>
        <v/>
      </c>
      <c r="Y3659">
        <f>IF(ISNUMBER(X3659),IF(X3659&gt;$L$7,W3659,""),"")</f>
        <v/>
      </c>
      <c r="Z3659">
        <f>IF(ISNUMBER('자료_거시'!$K3641),'자료_거시'!$K3641,Z3658)</f>
        <v/>
      </c>
      <c r="AA3659">
        <f>IF(AND(ISNUMBER('자료_거시'!$J3641),ISNUMBER('자료_거시'!$K3641)),IFERROR('자료_거시'!$K3641/INDEX($Z$21:$Z$4020,MATCH(EDATE('자료_거시'!$J3641,-'설정'!$B$17),'자료_거시'!$J$3:INDEX('자료_거시'!$J$3:$J$4002,$K$8),1))-1,""),"")</f>
        <v/>
      </c>
      <c r="AB3659">
        <f>IF(ISNUMBER(AA3659),'자료_거시'!$J3641,"")</f>
        <v/>
      </c>
      <c r="AC3659">
        <f>IF(ISNUMBER(AB3659),IF(AB3659&gt;$L$8,AA3659,""),"")</f>
        <v/>
      </c>
    </row>
    <row r="3660">
      <c r="S3660">
        <f>IF(ISNUMBER('자료_거시'!$E3642),'자료_거시'!$E3642,S3659)</f>
        <v/>
      </c>
      <c r="T3660">
        <f>IF(AND(ISNUMBER('자료_거시'!$D3642),ISNUMBER('자료_거시'!$E3642)),IFERROR('자료_거시'!$E3642-INDEX($S$21:$S$4020,MATCH(EDATE('자료_거시'!$D3642,-'설정'!$B$17),'자료_거시'!$D$3:INDEX('자료_거시'!$D$3:$D$4002,$K$6),1)),""),"")</f>
        <v/>
      </c>
      <c r="U3660">
        <f>IF(ISNUMBER(T3660),'자료_거시'!$D3642,"")</f>
        <v/>
      </c>
      <c r="V3660">
        <f>IF(ISNUMBER(U3660),IF(U3660&gt;$L$6,T3660,""),"")</f>
        <v/>
      </c>
      <c r="W3660">
        <f>IF(AND(ISNUMBER('자료_거시'!$G3642),ISNUMBER('자료_거시'!$H3642)),'자료_거시'!$H3642,"")</f>
        <v/>
      </c>
      <c r="X3660">
        <f>IF(ISNUMBER(W3660),'자료_거시'!$G3642,"")</f>
        <v/>
      </c>
      <c r="Y3660">
        <f>IF(ISNUMBER(X3660),IF(X3660&gt;$L$7,W3660,""),"")</f>
        <v/>
      </c>
      <c r="Z3660">
        <f>IF(ISNUMBER('자료_거시'!$K3642),'자료_거시'!$K3642,Z3659)</f>
        <v/>
      </c>
      <c r="AA3660">
        <f>IF(AND(ISNUMBER('자료_거시'!$J3642),ISNUMBER('자료_거시'!$K3642)),IFERROR('자료_거시'!$K3642/INDEX($Z$21:$Z$4020,MATCH(EDATE('자료_거시'!$J3642,-'설정'!$B$17),'자료_거시'!$J$3:INDEX('자료_거시'!$J$3:$J$4002,$K$8),1))-1,""),"")</f>
        <v/>
      </c>
      <c r="AB3660">
        <f>IF(ISNUMBER(AA3660),'자료_거시'!$J3642,"")</f>
        <v/>
      </c>
      <c r="AC3660">
        <f>IF(ISNUMBER(AB3660),IF(AB3660&gt;$L$8,AA3660,""),"")</f>
        <v/>
      </c>
    </row>
    <row r="3661">
      <c r="S3661">
        <f>IF(ISNUMBER('자료_거시'!$E3643),'자료_거시'!$E3643,S3660)</f>
        <v/>
      </c>
      <c r="T3661">
        <f>IF(AND(ISNUMBER('자료_거시'!$D3643),ISNUMBER('자료_거시'!$E3643)),IFERROR('자료_거시'!$E3643-INDEX($S$21:$S$4020,MATCH(EDATE('자료_거시'!$D3643,-'설정'!$B$17),'자료_거시'!$D$3:INDEX('자료_거시'!$D$3:$D$4002,$K$6),1)),""),"")</f>
        <v/>
      </c>
      <c r="U3661">
        <f>IF(ISNUMBER(T3661),'자료_거시'!$D3643,"")</f>
        <v/>
      </c>
      <c r="V3661">
        <f>IF(ISNUMBER(U3661),IF(U3661&gt;$L$6,T3661,""),"")</f>
        <v/>
      </c>
      <c r="W3661">
        <f>IF(AND(ISNUMBER('자료_거시'!$G3643),ISNUMBER('자료_거시'!$H3643)),'자료_거시'!$H3643,"")</f>
        <v/>
      </c>
      <c r="X3661">
        <f>IF(ISNUMBER(W3661),'자료_거시'!$G3643,"")</f>
        <v/>
      </c>
      <c r="Y3661">
        <f>IF(ISNUMBER(X3661),IF(X3661&gt;$L$7,W3661,""),"")</f>
        <v/>
      </c>
      <c r="Z3661">
        <f>IF(ISNUMBER('자료_거시'!$K3643),'자료_거시'!$K3643,Z3660)</f>
        <v/>
      </c>
      <c r="AA3661">
        <f>IF(AND(ISNUMBER('자료_거시'!$J3643),ISNUMBER('자료_거시'!$K3643)),IFERROR('자료_거시'!$K3643/INDEX($Z$21:$Z$4020,MATCH(EDATE('자료_거시'!$J3643,-'설정'!$B$17),'자료_거시'!$J$3:INDEX('자료_거시'!$J$3:$J$4002,$K$8),1))-1,""),"")</f>
        <v/>
      </c>
      <c r="AB3661">
        <f>IF(ISNUMBER(AA3661),'자료_거시'!$J3643,"")</f>
        <v/>
      </c>
      <c r="AC3661">
        <f>IF(ISNUMBER(AB3661),IF(AB3661&gt;$L$8,AA3661,""),"")</f>
        <v/>
      </c>
    </row>
    <row r="3662">
      <c r="S3662">
        <f>IF(ISNUMBER('자료_거시'!$E3644),'자료_거시'!$E3644,S3661)</f>
        <v/>
      </c>
      <c r="T3662">
        <f>IF(AND(ISNUMBER('자료_거시'!$D3644),ISNUMBER('자료_거시'!$E3644)),IFERROR('자료_거시'!$E3644-INDEX($S$21:$S$4020,MATCH(EDATE('자료_거시'!$D3644,-'설정'!$B$17),'자료_거시'!$D$3:INDEX('자료_거시'!$D$3:$D$4002,$K$6),1)),""),"")</f>
        <v/>
      </c>
      <c r="U3662">
        <f>IF(ISNUMBER(T3662),'자료_거시'!$D3644,"")</f>
        <v/>
      </c>
      <c r="V3662">
        <f>IF(ISNUMBER(U3662),IF(U3662&gt;$L$6,T3662,""),"")</f>
        <v/>
      </c>
      <c r="W3662">
        <f>IF(AND(ISNUMBER('자료_거시'!$G3644),ISNUMBER('자료_거시'!$H3644)),'자료_거시'!$H3644,"")</f>
        <v/>
      </c>
      <c r="X3662">
        <f>IF(ISNUMBER(W3662),'자료_거시'!$G3644,"")</f>
        <v/>
      </c>
      <c r="Y3662">
        <f>IF(ISNUMBER(X3662),IF(X3662&gt;$L$7,W3662,""),"")</f>
        <v/>
      </c>
      <c r="Z3662">
        <f>IF(ISNUMBER('자료_거시'!$K3644),'자료_거시'!$K3644,Z3661)</f>
        <v/>
      </c>
      <c r="AA3662">
        <f>IF(AND(ISNUMBER('자료_거시'!$J3644),ISNUMBER('자료_거시'!$K3644)),IFERROR('자료_거시'!$K3644/INDEX($Z$21:$Z$4020,MATCH(EDATE('자료_거시'!$J3644,-'설정'!$B$17),'자료_거시'!$J$3:INDEX('자료_거시'!$J$3:$J$4002,$K$8),1))-1,""),"")</f>
        <v/>
      </c>
      <c r="AB3662">
        <f>IF(ISNUMBER(AA3662),'자료_거시'!$J3644,"")</f>
        <v/>
      </c>
      <c r="AC3662">
        <f>IF(ISNUMBER(AB3662),IF(AB3662&gt;$L$8,AA3662,""),"")</f>
        <v/>
      </c>
    </row>
    <row r="3663">
      <c r="S3663">
        <f>IF(ISNUMBER('자료_거시'!$E3645),'자료_거시'!$E3645,S3662)</f>
        <v/>
      </c>
      <c r="T3663">
        <f>IF(AND(ISNUMBER('자료_거시'!$D3645),ISNUMBER('자료_거시'!$E3645)),IFERROR('자료_거시'!$E3645-INDEX($S$21:$S$4020,MATCH(EDATE('자료_거시'!$D3645,-'설정'!$B$17),'자료_거시'!$D$3:INDEX('자료_거시'!$D$3:$D$4002,$K$6),1)),""),"")</f>
        <v/>
      </c>
      <c r="U3663">
        <f>IF(ISNUMBER(T3663),'자료_거시'!$D3645,"")</f>
        <v/>
      </c>
      <c r="V3663">
        <f>IF(ISNUMBER(U3663),IF(U3663&gt;$L$6,T3663,""),"")</f>
        <v/>
      </c>
      <c r="W3663">
        <f>IF(AND(ISNUMBER('자료_거시'!$G3645),ISNUMBER('자료_거시'!$H3645)),'자료_거시'!$H3645,"")</f>
        <v/>
      </c>
      <c r="X3663">
        <f>IF(ISNUMBER(W3663),'자료_거시'!$G3645,"")</f>
        <v/>
      </c>
      <c r="Y3663">
        <f>IF(ISNUMBER(X3663),IF(X3663&gt;$L$7,W3663,""),"")</f>
        <v/>
      </c>
      <c r="Z3663">
        <f>IF(ISNUMBER('자료_거시'!$K3645),'자료_거시'!$K3645,Z3662)</f>
        <v/>
      </c>
      <c r="AA3663">
        <f>IF(AND(ISNUMBER('자료_거시'!$J3645),ISNUMBER('자료_거시'!$K3645)),IFERROR('자료_거시'!$K3645/INDEX($Z$21:$Z$4020,MATCH(EDATE('자료_거시'!$J3645,-'설정'!$B$17),'자료_거시'!$J$3:INDEX('자료_거시'!$J$3:$J$4002,$K$8),1))-1,""),"")</f>
        <v/>
      </c>
      <c r="AB3663">
        <f>IF(ISNUMBER(AA3663),'자료_거시'!$J3645,"")</f>
        <v/>
      </c>
      <c r="AC3663">
        <f>IF(ISNUMBER(AB3663),IF(AB3663&gt;$L$8,AA3663,""),"")</f>
        <v/>
      </c>
    </row>
    <row r="3664">
      <c r="S3664">
        <f>IF(ISNUMBER('자료_거시'!$E3646),'자료_거시'!$E3646,S3663)</f>
        <v/>
      </c>
      <c r="T3664">
        <f>IF(AND(ISNUMBER('자료_거시'!$D3646),ISNUMBER('자료_거시'!$E3646)),IFERROR('자료_거시'!$E3646-INDEX($S$21:$S$4020,MATCH(EDATE('자료_거시'!$D3646,-'설정'!$B$17),'자료_거시'!$D$3:INDEX('자료_거시'!$D$3:$D$4002,$K$6),1)),""),"")</f>
        <v/>
      </c>
      <c r="U3664">
        <f>IF(ISNUMBER(T3664),'자료_거시'!$D3646,"")</f>
        <v/>
      </c>
      <c r="V3664">
        <f>IF(ISNUMBER(U3664),IF(U3664&gt;$L$6,T3664,""),"")</f>
        <v/>
      </c>
      <c r="W3664">
        <f>IF(AND(ISNUMBER('자료_거시'!$G3646),ISNUMBER('자료_거시'!$H3646)),'자료_거시'!$H3646,"")</f>
        <v/>
      </c>
      <c r="X3664">
        <f>IF(ISNUMBER(W3664),'자료_거시'!$G3646,"")</f>
        <v/>
      </c>
      <c r="Y3664">
        <f>IF(ISNUMBER(X3664),IF(X3664&gt;$L$7,W3664,""),"")</f>
        <v/>
      </c>
      <c r="Z3664">
        <f>IF(ISNUMBER('자료_거시'!$K3646),'자료_거시'!$K3646,Z3663)</f>
        <v/>
      </c>
      <c r="AA3664">
        <f>IF(AND(ISNUMBER('자료_거시'!$J3646),ISNUMBER('자료_거시'!$K3646)),IFERROR('자료_거시'!$K3646/INDEX($Z$21:$Z$4020,MATCH(EDATE('자료_거시'!$J3646,-'설정'!$B$17),'자료_거시'!$J$3:INDEX('자료_거시'!$J$3:$J$4002,$K$8),1))-1,""),"")</f>
        <v/>
      </c>
      <c r="AB3664">
        <f>IF(ISNUMBER(AA3664),'자료_거시'!$J3646,"")</f>
        <v/>
      </c>
      <c r="AC3664">
        <f>IF(ISNUMBER(AB3664),IF(AB3664&gt;$L$8,AA3664,""),"")</f>
        <v/>
      </c>
    </row>
    <row r="3665">
      <c r="S3665">
        <f>IF(ISNUMBER('자료_거시'!$E3647),'자료_거시'!$E3647,S3664)</f>
        <v/>
      </c>
      <c r="T3665">
        <f>IF(AND(ISNUMBER('자료_거시'!$D3647),ISNUMBER('자료_거시'!$E3647)),IFERROR('자료_거시'!$E3647-INDEX($S$21:$S$4020,MATCH(EDATE('자료_거시'!$D3647,-'설정'!$B$17),'자료_거시'!$D$3:INDEX('자료_거시'!$D$3:$D$4002,$K$6),1)),""),"")</f>
        <v/>
      </c>
      <c r="U3665">
        <f>IF(ISNUMBER(T3665),'자료_거시'!$D3647,"")</f>
        <v/>
      </c>
      <c r="V3665">
        <f>IF(ISNUMBER(U3665),IF(U3665&gt;$L$6,T3665,""),"")</f>
        <v/>
      </c>
      <c r="W3665">
        <f>IF(AND(ISNUMBER('자료_거시'!$G3647),ISNUMBER('자료_거시'!$H3647)),'자료_거시'!$H3647,"")</f>
        <v/>
      </c>
      <c r="X3665">
        <f>IF(ISNUMBER(W3665),'자료_거시'!$G3647,"")</f>
        <v/>
      </c>
      <c r="Y3665">
        <f>IF(ISNUMBER(X3665),IF(X3665&gt;$L$7,W3665,""),"")</f>
        <v/>
      </c>
      <c r="Z3665">
        <f>IF(ISNUMBER('자료_거시'!$K3647),'자료_거시'!$K3647,Z3664)</f>
        <v/>
      </c>
      <c r="AA3665">
        <f>IF(AND(ISNUMBER('자료_거시'!$J3647),ISNUMBER('자료_거시'!$K3647)),IFERROR('자료_거시'!$K3647/INDEX($Z$21:$Z$4020,MATCH(EDATE('자료_거시'!$J3647,-'설정'!$B$17),'자료_거시'!$J$3:INDEX('자료_거시'!$J$3:$J$4002,$K$8),1))-1,""),"")</f>
        <v/>
      </c>
      <c r="AB3665">
        <f>IF(ISNUMBER(AA3665),'자료_거시'!$J3647,"")</f>
        <v/>
      </c>
      <c r="AC3665">
        <f>IF(ISNUMBER(AB3665),IF(AB3665&gt;$L$8,AA3665,""),"")</f>
        <v/>
      </c>
    </row>
    <row r="3666">
      <c r="S3666">
        <f>IF(ISNUMBER('자료_거시'!$E3648),'자료_거시'!$E3648,S3665)</f>
        <v/>
      </c>
      <c r="T3666">
        <f>IF(AND(ISNUMBER('자료_거시'!$D3648),ISNUMBER('자료_거시'!$E3648)),IFERROR('자료_거시'!$E3648-INDEX($S$21:$S$4020,MATCH(EDATE('자료_거시'!$D3648,-'설정'!$B$17),'자료_거시'!$D$3:INDEX('자료_거시'!$D$3:$D$4002,$K$6),1)),""),"")</f>
        <v/>
      </c>
      <c r="U3666">
        <f>IF(ISNUMBER(T3666),'자료_거시'!$D3648,"")</f>
        <v/>
      </c>
      <c r="V3666">
        <f>IF(ISNUMBER(U3666),IF(U3666&gt;$L$6,T3666,""),"")</f>
        <v/>
      </c>
      <c r="W3666">
        <f>IF(AND(ISNUMBER('자료_거시'!$G3648),ISNUMBER('자료_거시'!$H3648)),'자료_거시'!$H3648,"")</f>
        <v/>
      </c>
      <c r="X3666">
        <f>IF(ISNUMBER(W3666),'자료_거시'!$G3648,"")</f>
        <v/>
      </c>
      <c r="Y3666">
        <f>IF(ISNUMBER(X3666),IF(X3666&gt;$L$7,W3666,""),"")</f>
        <v/>
      </c>
      <c r="Z3666">
        <f>IF(ISNUMBER('자료_거시'!$K3648),'자료_거시'!$K3648,Z3665)</f>
        <v/>
      </c>
      <c r="AA3666">
        <f>IF(AND(ISNUMBER('자료_거시'!$J3648),ISNUMBER('자료_거시'!$K3648)),IFERROR('자료_거시'!$K3648/INDEX($Z$21:$Z$4020,MATCH(EDATE('자료_거시'!$J3648,-'설정'!$B$17),'자료_거시'!$J$3:INDEX('자료_거시'!$J$3:$J$4002,$K$8),1))-1,""),"")</f>
        <v/>
      </c>
      <c r="AB3666">
        <f>IF(ISNUMBER(AA3666),'자료_거시'!$J3648,"")</f>
        <v/>
      </c>
      <c r="AC3666">
        <f>IF(ISNUMBER(AB3666),IF(AB3666&gt;$L$8,AA3666,""),"")</f>
        <v/>
      </c>
    </row>
    <row r="3667">
      <c r="S3667">
        <f>IF(ISNUMBER('자료_거시'!$E3649),'자료_거시'!$E3649,S3666)</f>
        <v/>
      </c>
      <c r="T3667">
        <f>IF(AND(ISNUMBER('자료_거시'!$D3649),ISNUMBER('자료_거시'!$E3649)),IFERROR('자료_거시'!$E3649-INDEX($S$21:$S$4020,MATCH(EDATE('자료_거시'!$D3649,-'설정'!$B$17),'자료_거시'!$D$3:INDEX('자료_거시'!$D$3:$D$4002,$K$6),1)),""),"")</f>
        <v/>
      </c>
      <c r="U3667">
        <f>IF(ISNUMBER(T3667),'자료_거시'!$D3649,"")</f>
        <v/>
      </c>
      <c r="V3667">
        <f>IF(ISNUMBER(U3667),IF(U3667&gt;$L$6,T3667,""),"")</f>
        <v/>
      </c>
      <c r="W3667">
        <f>IF(AND(ISNUMBER('자료_거시'!$G3649),ISNUMBER('자료_거시'!$H3649)),'자료_거시'!$H3649,"")</f>
        <v/>
      </c>
      <c r="X3667">
        <f>IF(ISNUMBER(W3667),'자료_거시'!$G3649,"")</f>
        <v/>
      </c>
      <c r="Y3667">
        <f>IF(ISNUMBER(X3667),IF(X3667&gt;$L$7,W3667,""),"")</f>
        <v/>
      </c>
      <c r="Z3667">
        <f>IF(ISNUMBER('자료_거시'!$K3649),'자료_거시'!$K3649,Z3666)</f>
        <v/>
      </c>
      <c r="AA3667">
        <f>IF(AND(ISNUMBER('자료_거시'!$J3649),ISNUMBER('자료_거시'!$K3649)),IFERROR('자료_거시'!$K3649/INDEX($Z$21:$Z$4020,MATCH(EDATE('자료_거시'!$J3649,-'설정'!$B$17),'자료_거시'!$J$3:INDEX('자료_거시'!$J$3:$J$4002,$K$8),1))-1,""),"")</f>
        <v/>
      </c>
      <c r="AB3667">
        <f>IF(ISNUMBER(AA3667),'자료_거시'!$J3649,"")</f>
        <v/>
      </c>
      <c r="AC3667">
        <f>IF(ISNUMBER(AB3667),IF(AB3667&gt;$L$8,AA3667,""),"")</f>
        <v/>
      </c>
    </row>
    <row r="3668">
      <c r="S3668">
        <f>IF(ISNUMBER('자료_거시'!$E3650),'자료_거시'!$E3650,S3667)</f>
        <v/>
      </c>
      <c r="T3668">
        <f>IF(AND(ISNUMBER('자료_거시'!$D3650),ISNUMBER('자료_거시'!$E3650)),IFERROR('자료_거시'!$E3650-INDEX($S$21:$S$4020,MATCH(EDATE('자료_거시'!$D3650,-'설정'!$B$17),'자료_거시'!$D$3:INDEX('자료_거시'!$D$3:$D$4002,$K$6),1)),""),"")</f>
        <v/>
      </c>
      <c r="U3668">
        <f>IF(ISNUMBER(T3668),'자료_거시'!$D3650,"")</f>
        <v/>
      </c>
      <c r="V3668">
        <f>IF(ISNUMBER(U3668),IF(U3668&gt;$L$6,T3668,""),"")</f>
        <v/>
      </c>
      <c r="W3668">
        <f>IF(AND(ISNUMBER('자료_거시'!$G3650),ISNUMBER('자료_거시'!$H3650)),'자료_거시'!$H3650,"")</f>
        <v/>
      </c>
      <c r="X3668">
        <f>IF(ISNUMBER(W3668),'자료_거시'!$G3650,"")</f>
        <v/>
      </c>
      <c r="Y3668">
        <f>IF(ISNUMBER(X3668),IF(X3668&gt;$L$7,W3668,""),"")</f>
        <v/>
      </c>
      <c r="Z3668">
        <f>IF(ISNUMBER('자료_거시'!$K3650),'자료_거시'!$K3650,Z3667)</f>
        <v/>
      </c>
      <c r="AA3668">
        <f>IF(AND(ISNUMBER('자료_거시'!$J3650),ISNUMBER('자료_거시'!$K3650)),IFERROR('자료_거시'!$K3650/INDEX($Z$21:$Z$4020,MATCH(EDATE('자료_거시'!$J3650,-'설정'!$B$17),'자료_거시'!$J$3:INDEX('자료_거시'!$J$3:$J$4002,$K$8),1))-1,""),"")</f>
        <v/>
      </c>
      <c r="AB3668">
        <f>IF(ISNUMBER(AA3668),'자료_거시'!$J3650,"")</f>
        <v/>
      </c>
      <c r="AC3668">
        <f>IF(ISNUMBER(AB3668),IF(AB3668&gt;$L$8,AA3668,""),"")</f>
        <v/>
      </c>
    </row>
    <row r="3669">
      <c r="S3669">
        <f>IF(ISNUMBER('자료_거시'!$E3651),'자료_거시'!$E3651,S3668)</f>
        <v/>
      </c>
      <c r="T3669">
        <f>IF(AND(ISNUMBER('자료_거시'!$D3651),ISNUMBER('자료_거시'!$E3651)),IFERROR('자료_거시'!$E3651-INDEX($S$21:$S$4020,MATCH(EDATE('자료_거시'!$D3651,-'설정'!$B$17),'자료_거시'!$D$3:INDEX('자료_거시'!$D$3:$D$4002,$K$6),1)),""),"")</f>
        <v/>
      </c>
      <c r="U3669">
        <f>IF(ISNUMBER(T3669),'자료_거시'!$D3651,"")</f>
        <v/>
      </c>
      <c r="V3669">
        <f>IF(ISNUMBER(U3669),IF(U3669&gt;$L$6,T3669,""),"")</f>
        <v/>
      </c>
      <c r="W3669">
        <f>IF(AND(ISNUMBER('자료_거시'!$G3651),ISNUMBER('자료_거시'!$H3651)),'자료_거시'!$H3651,"")</f>
        <v/>
      </c>
      <c r="X3669">
        <f>IF(ISNUMBER(W3669),'자료_거시'!$G3651,"")</f>
        <v/>
      </c>
      <c r="Y3669">
        <f>IF(ISNUMBER(X3669),IF(X3669&gt;$L$7,W3669,""),"")</f>
        <v/>
      </c>
      <c r="Z3669">
        <f>IF(ISNUMBER('자료_거시'!$K3651),'자료_거시'!$K3651,Z3668)</f>
        <v/>
      </c>
      <c r="AA3669">
        <f>IF(AND(ISNUMBER('자료_거시'!$J3651),ISNUMBER('자료_거시'!$K3651)),IFERROR('자료_거시'!$K3651/INDEX($Z$21:$Z$4020,MATCH(EDATE('자료_거시'!$J3651,-'설정'!$B$17),'자료_거시'!$J$3:INDEX('자료_거시'!$J$3:$J$4002,$K$8),1))-1,""),"")</f>
        <v/>
      </c>
      <c r="AB3669">
        <f>IF(ISNUMBER(AA3669),'자료_거시'!$J3651,"")</f>
        <v/>
      </c>
      <c r="AC3669">
        <f>IF(ISNUMBER(AB3669),IF(AB3669&gt;$L$8,AA3669,""),"")</f>
        <v/>
      </c>
    </row>
    <row r="3670">
      <c r="S3670">
        <f>IF(ISNUMBER('자료_거시'!$E3652),'자료_거시'!$E3652,S3669)</f>
        <v/>
      </c>
      <c r="T3670">
        <f>IF(AND(ISNUMBER('자료_거시'!$D3652),ISNUMBER('자료_거시'!$E3652)),IFERROR('자료_거시'!$E3652-INDEX($S$21:$S$4020,MATCH(EDATE('자료_거시'!$D3652,-'설정'!$B$17),'자료_거시'!$D$3:INDEX('자료_거시'!$D$3:$D$4002,$K$6),1)),""),"")</f>
        <v/>
      </c>
      <c r="U3670">
        <f>IF(ISNUMBER(T3670),'자료_거시'!$D3652,"")</f>
        <v/>
      </c>
      <c r="V3670">
        <f>IF(ISNUMBER(U3670),IF(U3670&gt;$L$6,T3670,""),"")</f>
        <v/>
      </c>
      <c r="W3670">
        <f>IF(AND(ISNUMBER('자료_거시'!$G3652),ISNUMBER('자료_거시'!$H3652)),'자료_거시'!$H3652,"")</f>
        <v/>
      </c>
      <c r="X3670">
        <f>IF(ISNUMBER(W3670),'자료_거시'!$G3652,"")</f>
        <v/>
      </c>
      <c r="Y3670">
        <f>IF(ISNUMBER(X3670),IF(X3670&gt;$L$7,W3670,""),"")</f>
        <v/>
      </c>
      <c r="Z3670">
        <f>IF(ISNUMBER('자료_거시'!$K3652),'자료_거시'!$K3652,Z3669)</f>
        <v/>
      </c>
      <c r="AA3670">
        <f>IF(AND(ISNUMBER('자료_거시'!$J3652),ISNUMBER('자료_거시'!$K3652)),IFERROR('자료_거시'!$K3652/INDEX($Z$21:$Z$4020,MATCH(EDATE('자료_거시'!$J3652,-'설정'!$B$17),'자료_거시'!$J$3:INDEX('자료_거시'!$J$3:$J$4002,$K$8),1))-1,""),"")</f>
        <v/>
      </c>
      <c r="AB3670">
        <f>IF(ISNUMBER(AA3670),'자료_거시'!$J3652,"")</f>
        <v/>
      </c>
      <c r="AC3670">
        <f>IF(ISNUMBER(AB3670),IF(AB3670&gt;$L$8,AA3670,""),"")</f>
        <v/>
      </c>
    </row>
    <row r="3671">
      <c r="S3671">
        <f>IF(ISNUMBER('자료_거시'!$E3653),'자료_거시'!$E3653,S3670)</f>
        <v/>
      </c>
      <c r="T3671">
        <f>IF(AND(ISNUMBER('자료_거시'!$D3653),ISNUMBER('자료_거시'!$E3653)),IFERROR('자료_거시'!$E3653-INDEX($S$21:$S$4020,MATCH(EDATE('자료_거시'!$D3653,-'설정'!$B$17),'자료_거시'!$D$3:INDEX('자료_거시'!$D$3:$D$4002,$K$6),1)),""),"")</f>
        <v/>
      </c>
      <c r="U3671">
        <f>IF(ISNUMBER(T3671),'자료_거시'!$D3653,"")</f>
        <v/>
      </c>
      <c r="V3671">
        <f>IF(ISNUMBER(U3671),IF(U3671&gt;$L$6,T3671,""),"")</f>
        <v/>
      </c>
      <c r="W3671">
        <f>IF(AND(ISNUMBER('자료_거시'!$G3653),ISNUMBER('자료_거시'!$H3653)),'자료_거시'!$H3653,"")</f>
        <v/>
      </c>
      <c r="X3671">
        <f>IF(ISNUMBER(W3671),'자료_거시'!$G3653,"")</f>
        <v/>
      </c>
      <c r="Y3671">
        <f>IF(ISNUMBER(X3671),IF(X3671&gt;$L$7,W3671,""),"")</f>
        <v/>
      </c>
      <c r="Z3671">
        <f>IF(ISNUMBER('자료_거시'!$K3653),'자료_거시'!$K3653,Z3670)</f>
        <v/>
      </c>
      <c r="AA3671">
        <f>IF(AND(ISNUMBER('자료_거시'!$J3653),ISNUMBER('자료_거시'!$K3653)),IFERROR('자료_거시'!$K3653/INDEX($Z$21:$Z$4020,MATCH(EDATE('자료_거시'!$J3653,-'설정'!$B$17),'자료_거시'!$J$3:INDEX('자료_거시'!$J$3:$J$4002,$K$8),1))-1,""),"")</f>
        <v/>
      </c>
      <c r="AB3671">
        <f>IF(ISNUMBER(AA3671),'자료_거시'!$J3653,"")</f>
        <v/>
      </c>
      <c r="AC3671">
        <f>IF(ISNUMBER(AB3671),IF(AB3671&gt;$L$8,AA3671,""),"")</f>
        <v/>
      </c>
    </row>
    <row r="3672">
      <c r="S3672">
        <f>IF(ISNUMBER('자료_거시'!$E3654),'자료_거시'!$E3654,S3671)</f>
        <v/>
      </c>
      <c r="T3672">
        <f>IF(AND(ISNUMBER('자료_거시'!$D3654),ISNUMBER('자료_거시'!$E3654)),IFERROR('자료_거시'!$E3654-INDEX($S$21:$S$4020,MATCH(EDATE('자료_거시'!$D3654,-'설정'!$B$17),'자료_거시'!$D$3:INDEX('자료_거시'!$D$3:$D$4002,$K$6),1)),""),"")</f>
        <v/>
      </c>
      <c r="U3672">
        <f>IF(ISNUMBER(T3672),'자료_거시'!$D3654,"")</f>
        <v/>
      </c>
      <c r="V3672">
        <f>IF(ISNUMBER(U3672),IF(U3672&gt;$L$6,T3672,""),"")</f>
        <v/>
      </c>
      <c r="W3672">
        <f>IF(AND(ISNUMBER('자료_거시'!$G3654),ISNUMBER('자료_거시'!$H3654)),'자료_거시'!$H3654,"")</f>
        <v/>
      </c>
      <c r="X3672">
        <f>IF(ISNUMBER(W3672),'자료_거시'!$G3654,"")</f>
        <v/>
      </c>
      <c r="Y3672">
        <f>IF(ISNUMBER(X3672),IF(X3672&gt;$L$7,W3672,""),"")</f>
        <v/>
      </c>
      <c r="Z3672">
        <f>IF(ISNUMBER('자료_거시'!$K3654),'자료_거시'!$K3654,Z3671)</f>
        <v/>
      </c>
      <c r="AA3672">
        <f>IF(AND(ISNUMBER('자료_거시'!$J3654),ISNUMBER('자료_거시'!$K3654)),IFERROR('자료_거시'!$K3654/INDEX($Z$21:$Z$4020,MATCH(EDATE('자료_거시'!$J3654,-'설정'!$B$17),'자료_거시'!$J$3:INDEX('자료_거시'!$J$3:$J$4002,$K$8),1))-1,""),"")</f>
        <v/>
      </c>
      <c r="AB3672">
        <f>IF(ISNUMBER(AA3672),'자료_거시'!$J3654,"")</f>
        <v/>
      </c>
      <c r="AC3672">
        <f>IF(ISNUMBER(AB3672),IF(AB3672&gt;$L$8,AA3672,""),"")</f>
        <v/>
      </c>
    </row>
    <row r="3673">
      <c r="S3673">
        <f>IF(ISNUMBER('자료_거시'!$E3655),'자료_거시'!$E3655,S3672)</f>
        <v/>
      </c>
      <c r="T3673">
        <f>IF(AND(ISNUMBER('자료_거시'!$D3655),ISNUMBER('자료_거시'!$E3655)),IFERROR('자료_거시'!$E3655-INDEX($S$21:$S$4020,MATCH(EDATE('자료_거시'!$D3655,-'설정'!$B$17),'자료_거시'!$D$3:INDEX('자료_거시'!$D$3:$D$4002,$K$6),1)),""),"")</f>
        <v/>
      </c>
      <c r="U3673">
        <f>IF(ISNUMBER(T3673),'자료_거시'!$D3655,"")</f>
        <v/>
      </c>
      <c r="V3673">
        <f>IF(ISNUMBER(U3673),IF(U3673&gt;$L$6,T3673,""),"")</f>
        <v/>
      </c>
      <c r="W3673">
        <f>IF(AND(ISNUMBER('자료_거시'!$G3655),ISNUMBER('자료_거시'!$H3655)),'자료_거시'!$H3655,"")</f>
        <v/>
      </c>
      <c r="X3673">
        <f>IF(ISNUMBER(W3673),'자료_거시'!$G3655,"")</f>
        <v/>
      </c>
      <c r="Y3673">
        <f>IF(ISNUMBER(X3673),IF(X3673&gt;$L$7,W3673,""),"")</f>
        <v/>
      </c>
      <c r="Z3673">
        <f>IF(ISNUMBER('자료_거시'!$K3655),'자료_거시'!$K3655,Z3672)</f>
        <v/>
      </c>
      <c r="AA3673">
        <f>IF(AND(ISNUMBER('자료_거시'!$J3655),ISNUMBER('자료_거시'!$K3655)),IFERROR('자료_거시'!$K3655/INDEX($Z$21:$Z$4020,MATCH(EDATE('자료_거시'!$J3655,-'설정'!$B$17),'자료_거시'!$J$3:INDEX('자료_거시'!$J$3:$J$4002,$K$8),1))-1,""),"")</f>
        <v/>
      </c>
      <c r="AB3673">
        <f>IF(ISNUMBER(AA3673),'자료_거시'!$J3655,"")</f>
        <v/>
      </c>
      <c r="AC3673">
        <f>IF(ISNUMBER(AB3673),IF(AB3673&gt;$L$8,AA3673,""),"")</f>
        <v/>
      </c>
    </row>
    <row r="3674">
      <c r="S3674">
        <f>IF(ISNUMBER('자료_거시'!$E3656),'자료_거시'!$E3656,S3673)</f>
        <v/>
      </c>
      <c r="T3674">
        <f>IF(AND(ISNUMBER('자료_거시'!$D3656),ISNUMBER('자료_거시'!$E3656)),IFERROR('자료_거시'!$E3656-INDEX($S$21:$S$4020,MATCH(EDATE('자료_거시'!$D3656,-'설정'!$B$17),'자료_거시'!$D$3:INDEX('자료_거시'!$D$3:$D$4002,$K$6),1)),""),"")</f>
        <v/>
      </c>
      <c r="U3674">
        <f>IF(ISNUMBER(T3674),'자료_거시'!$D3656,"")</f>
        <v/>
      </c>
      <c r="V3674">
        <f>IF(ISNUMBER(U3674),IF(U3674&gt;$L$6,T3674,""),"")</f>
        <v/>
      </c>
      <c r="W3674">
        <f>IF(AND(ISNUMBER('자료_거시'!$G3656),ISNUMBER('자료_거시'!$H3656)),'자료_거시'!$H3656,"")</f>
        <v/>
      </c>
      <c r="X3674">
        <f>IF(ISNUMBER(W3674),'자료_거시'!$G3656,"")</f>
        <v/>
      </c>
      <c r="Y3674">
        <f>IF(ISNUMBER(X3674),IF(X3674&gt;$L$7,W3674,""),"")</f>
        <v/>
      </c>
      <c r="Z3674">
        <f>IF(ISNUMBER('자료_거시'!$K3656),'자료_거시'!$K3656,Z3673)</f>
        <v/>
      </c>
      <c r="AA3674">
        <f>IF(AND(ISNUMBER('자료_거시'!$J3656),ISNUMBER('자료_거시'!$K3656)),IFERROR('자료_거시'!$K3656/INDEX($Z$21:$Z$4020,MATCH(EDATE('자료_거시'!$J3656,-'설정'!$B$17),'자료_거시'!$J$3:INDEX('자료_거시'!$J$3:$J$4002,$K$8),1))-1,""),"")</f>
        <v/>
      </c>
      <c r="AB3674">
        <f>IF(ISNUMBER(AA3674),'자료_거시'!$J3656,"")</f>
        <v/>
      </c>
      <c r="AC3674">
        <f>IF(ISNUMBER(AB3674),IF(AB3674&gt;$L$8,AA3674,""),"")</f>
        <v/>
      </c>
    </row>
    <row r="3675">
      <c r="S3675">
        <f>IF(ISNUMBER('자료_거시'!$E3657),'자료_거시'!$E3657,S3674)</f>
        <v/>
      </c>
      <c r="T3675">
        <f>IF(AND(ISNUMBER('자료_거시'!$D3657),ISNUMBER('자료_거시'!$E3657)),IFERROR('자료_거시'!$E3657-INDEX($S$21:$S$4020,MATCH(EDATE('자료_거시'!$D3657,-'설정'!$B$17),'자료_거시'!$D$3:INDEX('자료_거시'!$D$3:$D$4002,$K$6),1)),""),"")</f>
        <v/>
      </c>
      <c r="U3675">
        <f>IF(ISNUMBER(T3675),'자료_거시'!$D3657,"")</f>
        <v/>
      </c>
      <c r="V3675">
        <f>IF(ISNUMBER(U3675),IF(U3675&gt;$L$6,T3675,""),"")</f>
        <v/>
      </c>
      <c r="W3675">
        <f>IF(AND(ISNUMBER('자료_거시'!$G3657),ISNUMBER('자료_거시'!$H3657)),'자료_거시'!$H3657,"")</f>
        <v/>
      </c>
      <c r="X3675">
        <f>IF(ISNUMBER(W3675),'자료_거시'!$G3657,"")</f>
        <v/>
      </c>
      <c r="Y3675">
        <f>IF(ISNUMBER(X3675),IF(X3675&gt;$L$7,W3675,""),"")</f>
        <v/>
      </c>
      <c r="Z3675">
        <f>IF(ISNUMBER('자료_거시'!$K3657),'자료_거시'!$K3657,Z3674)</f>
        <v/>
      </c>
      <c r="AA3675">
        <f>IF(AND(ISNUMBER('자료_거시'!$J3657),ISNUMBER('자료_거시'!$K3657)),IFERROR('자료_거시'!$K3657/INDEX($Z$21:$Z$4020,MATCH(EDATE('자료_거시'!$J3657,-'설정'!$B$17),'자료_거시'!$J$3:INDEX('자료_거시'!$J$3:$J$4002,$K$8),1))-1,""),"")</f>
        <v/>
      </c>
      <c r="AB3675">
        <f>IF(ISNUMBER(AA3675),'자료_거시'!$J3657,"")</f>
        <v/>
      </c>
      <c r="AC3675">
        <f>IF(ISNUMBER(AB3675),IF(AB3675&gt;$L$8,AA3675,""),"")</f>
        <v/>
      </c>
    </row>
    <row r="3676">
      <c r="S3676">
        <f>IF(ISNUMBER('자료_거시'!$E3658),'자료_거시'!$E3658,S3675)</f>
        <v/>
      </c>
      <c r="T3676">
        <f>IF(AND(ISNUMBER('자료_거시'!$D3658),ISNUMBER('자료_거시'!$E3658)),IFERROR('자료_거시'!$E3658-INDEX($S$21:$S$4020,MATCH(EDATE('자료_거시'!$D3658,-'설정'!$B$17),'자료_거시'!$D$3:INDEX('자료_거시'!$D$3:$D$4002,$K$6),1)),""),"")</f>
        <v/>
      </c>
      <c r="U3676">
        <f>IF(ISNUMBER(T3676),'자료_거시'!$D3658,"")</f>
        <v/>
      </c>
      <c r="V3676">
        <f>IF(ISNUMBER(U3676),IF(U3676&gt;$L$6,T3676,""),"")</f>
        <v/>
      </c>
      <c r="W3676">
        <f>IF(AND(ISNUMBER('자료_거시'!$G3658),ISNUMBER('자료_거시'!$H3658)),'자료_거시'!$H3658,"")</f>
        <v/>
      </c>
      <c r="X3676">
        <f>IF(ISNUMBER(W3676),'자료_거시'!$G3658,"")</f>
        <v/>
      </c>
      <c r="Y3676">
        <f>IF(ISNUMBER(X3676),IF(X3676&gt;$L$7,W3676,""),"")</f>
        <v/>
      </c>
      <c r="Z3676">
        <f>IF(ISNUMBER('자료_거시'!$K3658),'자료_거시'!$K3658,Z3675)</f>
        <v/>
      </c>
      <c r="AA3676">
        <f>IF(AND(ISNUMBER('자료_거시'!$J3658),ISNUMBER('자료_거시'!$K3658)),IFERROR('자료_거시'!$K3658/INDEX($Z$21:$Z$4020,MATCH(EDATE('자료_거시'!$J3658,-'설정'!$B$17),'자료_거시'!$J$3:INDEX('자료_거시'!$J$3:$J$4002,$K$8),1))-1,""),"")</f>
        <v/>
      </c>
      <c r="AB3676">
        <f>IF(ISNUMBER(AA3676),'자료_거시'!$J3658,"")</f>
        <v/>
      </c>
      <c r="AC3676">
        <f>IF(ISNUMBER(AB3676),IF(AB3676&gt;$L$8,AA3676,""),"")</f>
        <v/>
      </c>
    </row>
    <row r="3677">
      <c r="S3677">
        <f>IF(ISNUMBER('자료_거시'!$E3659),'자료_거시'!$E3659,S3676)</f>
        <v/>
      </c>
      <c r="T3677">
        <f>IF(AND(ISNUMBER('자료_거시'!$D3659),ISNUMBER('자료_거시'!$E3659)),IFERROR('자료_거시'!$E3659-INDEX($S$21:$S$4020,MATCH(EDATE('자료_거시'!$D3659,-'설정'!$B$17),'자료_거시'!$D$3:INDEX('자료_거시'!$D$3:$D$4002,$K$6),1)),""),"")</f>
        <v/>
      </c>
      <c r="U3677">
        <f>IF(ISNUMBER(T3677),'자료_거시'!$D3659,"")</f>
        <v/>
      </c>
      <c r="V3677">
        <f>IF(ISNUMBER(U3677),IF(U3677&gt;$L$6,T3677,""),"")</f>
        <v/>
      </c>
      <c r="W3677">
        <f>IF(AND(ISNUMBER('자료_거시'!$G3659),ISNUMBER('자료_거시'!$H3659)),'자료_거시'!$H3659,"")</f>
        <v/>
      </c>
      <c r="X3677">
        <f>IF(ISNUMBER(W3677),'자료_거시'!$G3659,"")</f>
        <v/>
      </c>
      <c r="Y3677">
        <f>IF(ISNUMBER(X3677),IF(X3677&gt;$L$7,W3677,""),"")</f>
        <v/>
      </c>
      <c r="Z3677">
        <f>IF(ISNUMBER('자료_거시'!$K3659),'자료_거시'!$K3659,Z3676)</f>
        <v/>
      </c>
      <c r="AA3677">
        <f>IF(AND(ISNUMBER('자료_거시'!$J3659),ISNUMBER('자료_거시'!$K3659)),IFERROR('자료_거시'!$K3659/INDEX($Z$21:$Z$4020,MATCH(EDATE('자료_거시'!$J3659,-'설정'!$B$17),'자료_거시'!$J$3:INDEX('자료_거시'!$J$3:$J$4002,$K$8),1))-1,""),"")</f>
        <v/>
      </c>
      <c r="AB3677">
        <f>IF(ISNUMBER(AA3677),'자료_거시'!$J3659,"")</f>
        <v/>
      </c>
      <c r="AC3677">
        <f>IF(ISNUMBER(AB3677),IF(AB3677&gt;$L$8,AA3677,""),"")</f>
        <v/>
      </c>
    </row>
    <row r="3678">
      <c r="S3678">
        <f>IF(ISNUMBER('자료_거시'!$E3660),'자료_거시'!$E3660,S3677)</f>
        <v/>
      </c>
      <c r="T3678">
        <f>IF(AND(ISNUMBER('자료_거시'!$D3660),ISNUMBER('자료_거시'!$E3660)),IFERROR('자료_거시'!$E3660-INDEX($S$21:$S$4020,MATCH(EDATE('자료_거시'!$D3660,-'설정'!$B$17),'자료_거시'!$D$3:INDEX('자료_거시'!$D$3:$D$4002,$K$6),1)),""),"")</f>
        <v/>
      </c>
      <c r="U3678">
        <f>IF(ISNUMBER(T3678),'자료_거시'!$D3660,"")</f>
        <v/>
      </c>
      <c r="V3678">
        <f>IF(ISNUMBER(U3678),IF(U3678&gt;$L$6,T3678,""),"")</f>
        <v/>
      </c>
      <c r="W3678">
        <f>IF(AND(ISNUMBER('자료_거시'!$G3660),ISNUMBER('자료_거시'!$H3660)),'자료_거시'!$H3660,"")</f>
        <v/>
      </c>
      <c r="X3678">
        <f>IF(ISNUMBER(W3678),'자료_거시'!$G3660,"")</f>
        <v/>
      </c>
      <c r="Y3678">
        <f>IF(ISNUMBER(X3678),IF(X3678&gt;$L$7,W3678,""),"")</f>
        <v/>
      </c>
      <c r="Z3678">
        <f>IF(ISNUMBER('자료_거시'!$K3660),'자료_거시'!$K3660,Z3677)</f>
        <v/>
      </c>
      <c r="AA3678">
        <f>IF(AND(ISNUMBER('자료_거시'!$J3660),ISNUMBER('자료_거시'!$K3660)),IFERROR('자료_거시'!$K3660/INDEX($Z$21:$Z$4020,MATCH(EDATE('자료_거시'!$J3660,-'설정'!$B$17),'자료_거시'!$J$3:INDEX('자료_거시'!$J$3:$J$4002,$K$8),1))-1,""),"")</f>
        <v/>
      </c>
      <c r="AB3678">
        <f>IF(ISNUMBER(AA3678),'자료_거시'!$J3660,"")</f>
        <v/>
      </c>
      <c r="AC3678">
        <f>IF(ISNUMBER(AB3678),IF(AB3678&gt;$L$8,AA3678,""),"")</f>
        <v/>
      </c>
    </row>
    <row r="3679">
      <c r="S3679">
        <f>IF(ISNUMBER('자료_거시'!$E3661),'자료_거시'!$E3661,S3678)</f>
        <v/>
      </c>
      <c r="T3679">
        <f>IF(AND(ISNUMBER('자료_거시'!$D3661),ISNUMBER('자료_거시'!$E3661)),IFERROR('자료_거시'!$E3661-INDEX($S$21:$S$4020,MATCH(EDATE('자료_거시'!$D3661,-'설정'!$B$17),'자료_거시'!$D$3:INDEX('자료_거시'!$D$3:$D$4002,$K$6),1)),""),"")</f>
        <v/>
      </c>
      <c r="U3679">
        <f>IF(ISNUMBER(T3679),'자료_거시'!$D3661,"")</f>
        <v/>
      </c>
      <c r="V3679">
        <f>IF(ISNUMBER(U3679),IF(U3679&gt;$L$6,T3679,""),"")</f>
        <v/>
      </c>
      <c r="W3679">
        <f>IF(AND(ISNUMBER('자료_거시'!$G3661),ISNUMBER('자료_거시'!$H3661)),'자료_거시'!$H3661,"")</f>
        <v/>
      </c>
      <c r="X3679">
        <f>IF(ISNUMBER(W3679),'자료_거시'!$G3661,"")</f>
        <v/>
      </c>
      <c r="Y3679">
        <f>IF(ISNUMBER(X3679),IF(X3679&gt;$L$7,W3679,""),"")</f>
        <v/>
      </c>
      <c r="Z3679">
        <f>IF(ISNUMBER('자료_거시'!$K3661),'자료_거시'!$K3661,Z3678)</f>
        <v/>
      </c>
      <c r="AA3679">
        <f>IF(AND(ISNUMBER('자료_거시'!$J3661),ISNUMBER('자료_거시'!$K3661)),IFERROR('자료_거시'!$K3661/INDEX($Z$21:$Z$4020,MATCH(EDATE('자료_거시'!$J3661,-'설정'!$B$17),'자료_거시'!$J$3:INDEX('자료_거시'!$J$3:$J$4002,$K$8),1))-1,""),"")</f>
        <v/>
      </c>
      <c r="AB3679">
        <f>IF(ISNUMBER(AA3679),'자료_거시'!$J3661,"")</f>
        <v/>
      </c>
      <c r="AC3679">
        <f>IF(ISNUMBER(AB3679),IF(AB3679&gt;$L$8,AA3679,""),"")</f>
        <v/>
      </c>
    </row>
    <row r="3680">
      <c r="S3680">
        <f>IF(ISNUMBER('자료_거시'!$E3662),'자료_거시'!$E3662,S3679)</f>
        <v/>
      </c>
      <c r="T3680">
        <f>IF(AND(ISNUMBER('자료_거시'!$D3662),ISNUMBER('자료_거시'!$E3662)),IFERROR('자료_거시'!$E3662-INDEX($S$21:$S$4020,MATCH(EDATE('자료_거시'!$D3662,-'설정'!$B$17),'자료_거시'!$D$3:INDEX('자료_거시'!$D$3:$D$4002,$K$6),1)),""),"")</f>
        <v/>
      </c>
      <c r="U3680">
        <f>IF(ISNUMBER(T3680),'자료_거시'!$D3662,"")</f>
        <v/>
      </c>
      <c r="V3680">
        <f>IF(ISNUMBER(U3680),IF(U3680&gt;$L$6,T3680,""),"")</f>
        <v/>
      </c>
      <c r="W3680">
        <f>IF(AND(ISNUMBER('자료_거시'!$G3662),ISNUMBER('자료_거시'!$H3662)),'자료_거시'!$H3662,"")</f>
        <v/>
      </c>
      <c r="X3680">
        <f>IF(ISNUMBER(W3680),'자료_거시'!$G3662,"")</f>
        <v/>
      </c>
      <c r="Y3680">
        <f>IF(ISNUMBER(X3680),IF(X3680&gt;$L$7,W3680,""),"")</f>
        <v/>
      </c>
      <c r="Z3680">
        <f>IF(ISNUMBER('자료_거시'!$K3662),'자료_거시'!$K3662,Z3679)</f>
        <v/>
      </c>
      <c r="AA3680">
        <f>IF(AND(ISNUMBER('자료_거시'!$J3662),ISNUMBER('자료_거시'!$K3662)),IFERROR('자료_거시'!$K3662/INDEX($Z$21:$Z$4020,MATCH(EDATE('자료_거시'!$J3662,-'설정'!$B$17),'자료_거시'!$J$3:INDEX('자료_거시'!$J$3:$J$4002,$K$8),1))-1,""),"")</f>
        <v/>
      </c>
      <c r="AB3680">
        <f>IF(ISNUMBER(AA3680),'자료_거시'!$J3662,"")</f>
        <v/>
      </c>
      <c r="AC3680">
        <f>IF(ISNUMBER(AB3680),IF(AB3680&gt;$L$8,AA3680,""),"")</f>
        <v/>
      </c>
    </row>
    <row r="3681">
      <c r="S3681">
        <f>IF(ISNUMBER('자료_거시'!$E3663),'자료_거시'!$E3663,S3680)</f>
        <v/>
      </c>
      <c r="T3681">
        <f>IF(AND(ISNUMBER('자료_거시'!$D3663),ISNUMBER('자료_거시'!$E3663)),IFERROR('자료_거시'!$E3663-INDEX($S$21:$S$4020,MATCH(EDATE('자료_거시'!$D3663,-'설정'!$B$17),'자료_거시'!$D$3:INDEX('자료_거시'!$D$3:$D$4002,$K$6),1)),""),"")</f>
        <v/>
      </c>
      <c r="U3681">
        <f>IF(ISNUMBER(T3681),'자료_거시'!$D3663,"")</f>
        <v/>
      </c>
      <c r="V3681">
        <f>IF(ISNUMBER(U3681),IF(U3681&gt;$L$6,T3681,""),"")</f>
        <v/>
      </c>
      <c r="W3681">
        <f>IF(AND(ISNUMBER('자료_거시'!$G3663),ISNUMBER('자료_거시'!$H3663)),'자료_거시'!$H3663,"")</f>
        <v/>
      </c>
      <c r="X3681">
        <f>IF(ISNUMBER(W3681),'자료_거시'!$G3663,"")</f>
        <v/>
      </c>
      <c r="Y3681">
        <f>IF(ISNUMBER(X3681),IF(X3681&gt;$L$7,W3681,""),"")</f>
        <v/>
      </c>
      <c r="Z3681">
        <f>IF(ISNUMBER('자료_거시'!$K3663),'자료_거시'!$K3663,Z3680)</f>
        <v/>
      </c>
      <c r="AA3681">
        <f>IF(AND(ISNUMBER('자료_거시'!$J3663),ISNUMBER('자료_거시'!$K3663)),IFERROR('자료_거시'!$K3663/INDEX($Z$21:$Z$4020,MATCH(EDATE('자료_거시'!$J3663,-'설정'!$B$17),'자료_거시'!$J$3:INDEX('자료_거시'!$J$3:$J$4002,$K$8),1))-1,""),"")</f>
        <v/>
      </c>
      <c r="AB3681">
        <f>IF(ISNUMBER(AA3681),'자료_거시'!$J3663,"")</f>
        <v/>
      </c>
      <c r="AC3681">
        <f>IF(ISNUMBER(AB3681),IF(AB3681&gt;$L$8,AA3681,""),"")</f>
        <v/>
      </c>
    </row>
    <row r="3682">
      <c r="S3682">
        <f>IF(ISNUMBER('자료_거시'!$E3664),'자료_거시'!$E3664,S3681)</f>
        <v/>
      </c>
      <c r="T3682">
        <f>IF(AND(ISNUMBER('자료_거시'!$D3664),ISNUMBER('자료_거시'!$E3664)),IFERROR('자료_거시'!$E3664-INDEX($S$21:$S$4020,MATCH(EDATE('자료_거시'!$D3664,-'설정'!$B$17),'자료_거시'!$D$3:INDEX('자료_거시'!$D$3:$D$4002,$K$6),1)),""),"")</f>
        <v/>
      </c>
      <c r="U3682">
        <f>IF(ISNUMBER(T3682),'자료_거시'!$D3664,"")</f>
        <v/>
      </c>
      <c r="V3682">
        <f>IF(ISNUMBER(U3682),IF(U3682&gt;$L$6,T3682,""),"")</f>
        <v/>
      </c>
      <c r="W3682">
        <f>IF(AND(ISNUMBER('자료_거시'!$G3664),ISNUMBER('자료_거시'!$H3664)),'자료_거시'!$H3664,"")</f>
        <v/>
      </c>
      <c r="X3682">
        <f>IF(ISNUMBER(W3682),'자료_거시'!$G3664,"")</f>
        <v/>
      </c>
      <c r="Y3682">
        <f>IF(ISNUMBER(X3682),IF(X3682&gt;$L$7,W3682,""),"")</f>
        <v/>
      </c>
      <c r="Z3682">
        <f>IF(ISNUMBER('자료_거시'!$K3664),'자료_거시'!$K3664,Z3681)</f>
        <v/>
      </c>
      <c r="AA3682">
        <f>IF(AND(ISNUMBER('자료_거시'!$J3664),ISNUMBER('자료_거시'!$K3664)),IFERROR('자료_거시'!$K3664/INDEX($Z$21:$Z$4020,MATCH(EDATE('자료_거시'!$J3664,-'설정'!$B$17),'자료_거시'!$J$3:INDEX('자료_거시'!$J$3:$J$4002,$K$8),1))-1,""),"")</f>
        <v/>
      </c>
      <c r="AB3682">
        <f>IF(ISNUMBER(AA3682),'자료_거시'!$J3664,"")</f>
        <v/>
      </c>
      <c r="AC3682">
        <f>IF(ISNUMBER(AB3682),IF(AB3682&gt;$L$8,AA3682,""),"")</f>
        <v/>
      </c>
    </row>
    <row r="3683">
      <c r="S3683">
        <f>IF(ISNUMBER('자료_거시'!$E3665),'자료_거시'!$E3665,S3682)</f>
        <v/>
      </c>
      <c r="T3683">
        <f>IF(AND(ISNUMBER('자료_거시'!$D3665),ISNUMBER('자료_거시'!$E3665)),IFERROR('자료_거시'!$E3665-INDEX($S$21:$S$4020,MATCH(EDATE('자료_거시'!$D3665,-'설정'!$B$17),'자료_거시'!$D$3:INDEX('자료_거시'!$D$3:$D$4002,$K$6),1)),""),"")</f>
        <v/>
      </c>
      <c r="U3683">
        <f>IF(ISNUMBER(T3683),'자료_거시'!$D3665,"")</f>
        <v/>
      </c>
      <c r="V3683">
        <f>IF(ISNUMBER(U3683),IF(U3683&gt;$L$6,T3683,""),"")</f>
        <v/>
      </c>
      <c r="W3683">
        <f>IF(AND(ISNUMBER('자료_거시'!$G3665),ISNUMBER('자료_거시'!$H3665)),'자료_거시'!$H3665,"")</f>
        <v/>
      </c>
      <c r="X3683">
        <f>IF(ISNUMBER(W3683),'자료_거시'!$G3665,"")</f>
        <v/>
      </c>
      <c r="Y3683">
        <f>IF(ISNUMBER(X3683),IF(X3683&gt;$L$7,W3683,""),"")</f>
        <v/>
      </c>
      <c r="Z3683">
        <f>IF(ISNUMBER('자료_거시'!$K3665),'자료_거시'!$K3665,Z3682)</f>
        <v/>
      </c>
      <c r="AA3683">
        <f>IF(AND(ISNUMBER('자료_거시'!$J3665),ISNUMBER('자료_거시'!$K3665)),IFERROR('자료_거시'!$K3665/INDEX($Z$21:$Z$4020,MATCH(EDATE('자료_거시'!$J3665,-'설정'!$B$17),'자료_거시'!$J$3:INDEX('자료_거시'!$J$3:$J$4002,$K$8),1))-1,""),"")</f>
        <v/>
      </c>
      <c r="AB3683">
        <f>IF(ISNUMBER(AA3683),'자료_거시'!$J3665,"")</f>
        <v/>
      </c>
      <c r="AC3683">
        <f>IF(ISNUMBER(AB3683),IF(AB3683&gt;$L$8,AA3683,""),"")</f>
        <v/>
      </c>
    </row>
    <row r="3684">
      <c r="S3684">
        <f>IF(ISNUMBER('자료_거시'!$E3666),'자료_거시'!$E3666,S3683)</f>
        <v/>
      </c>
      <c r="T3684">
        <f>IF(AND(ISNUMBER('자료_거시'!$D3666),ISNUMBER('자료_거시'!$E3666)),IFERROR('자료_거시'!$E3666-INDEX($S$21:$S$4020,MATCH(EDATE('자료_거시'!$D3666,-'설정'!$B$17),'자료_거시'!$D$3:INDEX('자료_거시'!$D$3:$D$4002,$K$6),1)),""),"")</f>
        <v/>
      </c>
      <c r="U3684">
        <f>IF(ISNUMBER(T3684),'자료_거시'!$D3666,"")</f>
        <v/>
      </c>
      <c r="V3684">
        <f>IF(ISNUMBER(U3684),IF(U3684&gt;$L$6,T3684,""),"")</f>
        <v/>
      </c>
      <c r="W3684">
        <f>IF(AND(ISNUMBER('자료_거시'!$G3666),ISNUMBER('자료_거시'!$H3666)),'자료_거시'!$H3666,"")</f>
        <v/>
      </c>
      <c r="X3684">
        <f>IF(ISNUMBER(W3684),'자료_거시'!$G3666,"")</f>
        <v/>
      </c>
      <c r="Y3684">
        <f>IF(ISNUMBER(X3684),IF(X3684&gt;$L$7,W3684,""),"")</f>
        <v/>
      </c>
      <c r="Z3684">
        <f>IF(ISNUMBER('자료_거시'!$K3666),'자료_거시'!$K3666,Z3683)</f>
        <v/>
      </c>
      <c r="AA3684">
        <f>IF(AND(ISNUMBER('자료_거시'!$J3666),ISNUMBER('자료_거시'!$K3666)),IFERROR('자료_거시'!$K3666/INDEX($Z$21:$Z$4020,MATCH(EDATE('자료_거시'!$J3666,-'설정'!$B$17),'자료_거시'!$J$3:INDEX('자료_거시'!$J$3:$J$4002,$K$8),1))-1,""),"")</f>
        <v/>
      </c>
      <c r="AB3684">
        <f>IF(ISNUMBER(AA3684),'자료_거시'!$J3666,"")</f>
        <v/>
      </c>
      <c r="AC3684">
        <f>IF(ISNUMBER(AB3684),IF(AB3684&gt;$L$8,AA3684,""),"")</f>
        <v/>
      </c>
    </row>
    <row r="3685">
      <c r="S3685">
        <f>IF(ISNUMBER('자료_거시'!$E3667),'자료_거시'!$E3667,S3684)</f>
        <v/>
      </c>
      <c r="T3685">
        <f>IF(AND(ISNUMBER('자료_거시'!$D3667),ISNUMBER('자료_거시'!$E3667)),IFERROR('자료_거시'!$E3667-INDEX($S$21:$S$4020,MATCH(EDATE('자료_거시'!$D3667,-'설정'!$B$17),'자료_거시'!$D$3:INDEX('자료_거시'!$D$3:$D$4002,$K$6),1)),""),"")</f>
        <v/>
      </c>
      <c r="U3685">
        <f>IF(ISNUMBER(T3685),'자료_거시'!$D3667,"")</f>
        <v/>
      </c>
      <c r="V3685">
        <f>IF(ISNUMBER(U3685),IF(U3685&gt;$L$6,T3685,""),"")</f>
        <v/>
      </c>
      <c r="W3685">
        <f>IF(AND(ISNUMBER('자료_거시'!$G3667),ISNUMBER('자료_거시'!$H3667)),'자료_거시'!$H3667,"")</f>
        <v/>
      </c>
      <c r="X3685">
        <f>IF(ISNUMBER(W3685),'자료_거시'!$G3667,"")</f>
        <v/>
      </c>
      <c r="Y3685">
        <f>IF(ISNUMBER(X3685),IF(X3685&gt;$L$7,W3685,""),"")</f>
        <v/>
      </c>
      <c r="Z3685">
        <f>IF(ISNUMBER('자료_거시'!$K3667),'자료_거시'!$K3667,Z3684)</f>
        <v/>
      </c>
      <c r="AA3685">
        <f>IF(AND(ISNUMBER('자료_거시'!$J3667),ISNUMBER('자료_거시'!$K3667)),IFERROR('자료_거시'!$K3667/INDEX($Z$21:$Z$4020,MATCH(EDATE('자료_거시'!$J3667,-'설정'!$B$17),'자료_거시'!$J$3:INDEX('자료_거시'!$J$3:$J$4002,$K$8),1))-1,""),"")</f>
        <v/>
      </c>
      <c r="AB3685">
        <f>IF(ISNUMBER(AA3685),'자료_거시'!$J3667,"")</f>
        <v/>
      </c>
      <c r="AC3685">
        <f>IF(ISNUMBER(AB3685),IF(AB3685&gt;$L$8,AA3685,""),"")</f>
        <v/>
      </c>
    </row>
    <row r="3686">
      <c r="S3686">
        <f>IF(ISNUMBER('자료_거시'!$E3668),'자료_거시'!$E3668,S3685)</f>
        <v/>
      </c>
      <c r="T3686">
        <f>IF(AND(ISNUMBER('자료_거시'!$D3668),ISNUMBER('자료_거시'!$E3668)),IFERROR('자료_거시'!$E3668-INDEX($S$21:$S$4020,MATCH(EDATE('자료_거시'!$D3668,-'설정'!$B$17),'자료_거시'!$D$3:INDEX('자료_거시'!$D$3:$D$4002,$K$6),1)),""),"")</f>
        <v/>
      </c>
      <c r="U3686">
        <f>IF(ISNUMBER(T3686),'자료_거시'!$D3668,"")</f>
        <v/>
      </c>
      <c r="V3686">
        <f>IF(ISNUMBER(U3686),IF(U3686&gt;$L$6,T3686,""),"")</f>
        <v/>
      </c>
      <c r="W3686">
        <f>IF(AND(ISNUMBER('자료_거시'!$G3668),ISNUMBER('자료_거시'!$H3668)),'자료_거시'!$H3668,"")</f>
        <v/>
      </c>
      <c r="X3686">
        <f>IF(ISNUMBER(W3686),'자료_거시'!$G3668,"")</f>
        <v/>
      </c>
      <c r="Y3686">
        <f>IF(ISNUMBER(X3686),IF(X3686&gt;$L$7,W3686,""),"")</f>
        <v/>
      </c>
      <c r="Z3686">
        <f>IF(ISNUMBER('자료_거시'!$K3668),'자료_거시'!$K3668,Z3685)</f>
        <v/>
      </c>
      <c r="AA3686">
        <f>IF(AND(ISNUMBER('자료_거시'!$J3668),ISNUMBER('자료_거시'!$K3668)),IFERROR('자료_거시'!$K3668/INDEX($Z$21:$Z$4020,MATCH(EDATE('자료_거시'!$J3668,-'설정'!$B$17),'자료_거시'!$J$3:INDEX('자료_거시'!$J$3:$J$4002,$K$8),1))-1,""),"")</f>
        <v/>
      </c>
      <c r="AB3686">
        <f>IF(ISNUMBER(AA3686),'자료_거시'!$J3668,"")</f>
        <v/>
      </c>
      <c r="AC3686">
        <f>IF(ISNUMBER(AB3686),IF(AB3686&gt;$L$8,AA3686,""),"")</f>
        <v/>
      </c>
    </row>
    <row r="3687">
      <c r="S3687">
        <f>IF(ISNUMBER('자료_거시'!$E3669),'자료_거시'!$E3669,S3686)</f>
        <v/>
      </c>
      <c r="T3687">
        <f>IF(AND(ISNUMBER('자료_거시'!$D3669),ISNUMBER('자료_거시'!$E3669)),IFERROR('자료_거시'!$E3669-INDEX($S$21:$S$4020,MATCH(EDATE('자료_거시'!$D3669,-'설정'!$B$17),'자료_거시'!$D$3:INDEX('자료_거시'!$D$3:$D$4002,$K$6),1)),""),"")</f>
        <v/>
      </c>
      <c r="U3687">
        <f>IF(ISNUMBER(T3687),'자료_거시'!$D3669,"")</f>
        <v/>
      </c>
      <c r="V3687">
        <f>IF(ISNUMBER(U3687),IF(U3687&gt;$L$6,T3687,""),"")</f>
        <v/>
      </c>
      <c r="W3687">
        <f>IF(AND(ISNUMBER('자료_거시'!$G3669),ISNUMBER('자료_거시'!$H3669)),'자료_거시'!$H3669,"")</f>
        <v/>
      </c>
      <c r="X3687">
        <f>IF(ISNUMBER(W3687),'자료_거시'!$G3669,"")</f>
        <v/>
      </c>
      <c r="Y3687">
        <f>IF(ISNUMBER(X3687),IF(X3687&gt;$L$7,W3687,""),"")</f>
        <v/>
      </c>
      <c r="Z3687">
        <f>IF(ISNUMBER('자료_거시'!$K3669),'자료_거시'!$K3669,Z3686)</f>
        <v/>
      </c>
      <c r="AA3687">
        <f>IF(AND(ISNUMBER('자료_거시'!$J3669),ISNUMBER('자료_거시'!$K3669)),IFERROR('자료_거시'!$K3669/INDEX($Z$21:$Z$4020,MATCH(EDATE('자료_거시'!$J3669,-'설정'!$B$17),'자료_거시'!$J$3:INDEX('자료_거시'!$J$3:$J$4002,$K$8),1))-1,""),"")</f>
        <v/>
      </c>
      <c r="AB3687">
        <f>IF(ISNUMBER(AA3687),'자료_거시'!$J3669,"")</f>
        <v/>
      </c>
      <c r="AC3687">
        <f>IF(ISNUMBER(AB3687),IF(AB3687&gt;$L$8,AA3687,""),"")</f>
        <v/>
      </c>
    </row>
    <row r="3688">
      <c r="S3688">
        <f>IF(ISNUMBER('자료_거시'!$E3670),'자료_거시'!$E3670,S3687)</f>
        <v/>
      </c>
      <c r="T3688">
        <f>IF(AND(ISNUMBER('자료_거시'!$D3670),ISNUMBER('자료_거시'!$E3670)),IFERROR('자료_거시'!$E3670-INDEX($S$21:$S$4020,MATCH(EDATE('자료_거시'!$D3670,-'설정'!$B$17),'자료_거시'!$D$3:INDEX('자료_거시'!$D$3:$D$4002,$K$6),1)),""),"")</f>
        <v/>
      </c>
      <c r="U3688">
        <f>IF(ISNUMBER(T3688),'자료_거시'!$D3670,"")</f>
        <v/>
      </c>
      <c r="V3688">
        <f>IF(ISNUMBER(U3688),IF(U3688&gt;$L$6,T3688,""),"")</f>
        <v/>
      </c>
      <c r="W3688">
        <f>IF(AND(ISNUMBER('자료_거시'!$G3670),ISNUMBER('자료_거시'!$H3670)),'자료_거시'!$H3670,"")</f>
        <v/>
      </c>
      <c r="X3688">
        <f>IF(ISNUMBER(W3688),'자료_거시'!$G3670,"")</f>
        <v/>
      </c>
      <c r="Y3688">
        <f>IF(ISNUMBER(X3688),IF(X3688&gt;$L$7,W3688,""),"")</f>
        <v/>
      </c>
      <c r="Z3688">
        <f>IF(ISNUMBER('자료_거시'!$K3670),'자료_거시'!$K3670,Z3687)</f>
        <v/>
      </c>
      <c r="AA3688">
        <f>IF(AND(ISNUMBER('자료_거시'!$J3670),ISNUMBER('자료_거시'!$K3670)),IFERROR('자료_거시'!$K3670/INDEX($Z$21:$Z$4020,MATCH(EDATE('자료_거시'!$J3670,-'설정'!$B$17),'자료_거시'!$J$3:INDEX('자료_거시'!$J$3:$J$4002,$K$8),1))-1,""),"")</f>
        <v/>
      </c>
      <c r="AB3688">
        <f>IF(ISNUMBER(AA3688),'자료_거시'!$J3670,"")</f>
        <v/>
      </c>
      <c r="AC3688">
        <f>IF(ISNUMBER(AB3688),IF(AB3688&gt;$L$8,AA3688,""),"")</f>
        <v/>
      </c>
    </row>
    <row r="3689">
      <c r="S3689">
        <f>IF(ISNUMBER('자료_거시'!$E3671),'자료_거시'!$E3671,S3688)</f>
        <v/>
      </c>
      <c r="T3689">
        <f>IF(AND(ISNUMBER('자료_거시'!$D3671),ISNUMBER('자료_거시'!$E3671)),IFERROR('자료_거시'!$E3671-INDEX($S$21:$S$4020,MATCH(EDATE('자료_거시'!$D3671,-'설정'!$B$17),'자료_거시'!$D$3:INDEX('자료_거시'!$D$3:$D$4002,$K$6),1)),""),"")</f>
        <v/>
      </c>
      <c r="U3689">
        <f>IF(ISNUMBER(T3689),'자료_거시'!$D3671,"")</f>
        <v/>
      </c>
      <c r="V3689">
        <f>IF(ISNUMBER(U3689),IF(U3689&gt;$L$6,T3689,""),"")</f>
        <v/>
      </c>
      <c r="W3689">
        <f>IF(AND(ISNUMBER('자료_거시'!$G3671),ISNUMBER('자료_거시'!$H3671)),'자료_거시'!$H3671,"")</f>
        <v/>
      </c>
      <c r="X3689">
        <f>IF(ISNUMBER(W3689),'자료_거시'!$G3671,"")</f>
        <v/>
      </c>
      <c r="Y3689">
        <f>IF(ISNUMBER(X3689),IF(X3689&gt;$L$7,W3689,""),"")</f>
        <v/>
      </c>
      <c r="Z3689">
        <f>IF(ISNUMBER('자료_거시'!$K3671),'자료_거시'!$K3671,Z3688)</f>
        <v/>
      </c>
      <c r="AA3689">
        <f>IF(AND(ISNUMBER('자료_거시'!$J3671),ISNUMBER('자료_거시'!$K3671)),IFERROR('자료_거시'!$K3671/INDEX($Z$21:$Z$4020,MATCH(EDATE('자료_거시'!$J3671,-'설정'!$B$17),'자료_거시'!$J$3:INDEX('자료_거시'!$J$3:$J$4002,$K$8),1))-1,""),"")</f>
        <v/>
      </c>
      <c r="AB3689">
        <f>IF(ISNUMBER(AA3689),'자료_거시'!$J3671,"")</f>
        <v/>
      </c>
      <c r="AC3689">
        <f>IF(ISNUMBER(AB3689),IF(AB3689&gt;$L$8,AA3689,""),"")</f>
        <v/>
      </c>
    </row>
    <row r="3690">
      <c r="S3690">
        <f>IF(ISNUMBER('자료_거시'!$E3672),'자료_거시'!$E3672,S3689)</f>
        <v/>
      </c>
      <c r="T3690">
        <f>IF(AND(ISNUMBER('자료_거시'!$D3672),ISNUMBER('자료_거시'!$E3672)),IFERROR('자료_거시'!$E3672-INDEX($S$21:$S$4020,MATCH(EDATE('자료_거시'!$D3672,-'설정'!$B$17),'자료_거시'!$D$3:INDEX('자료_거시'!$D$3:$D$4002,$K$6),1)),""),"")</f>
        <v/>
      </c>
      <c r="U3690">
        <f>IF(ISNUMBER(T3690),'자료_거시'!$D3672,"")</f>
        <v/>
      </c>
      <c r="V3690">
        <f>IF(ISNUMBER(U3690),IF(U3690&gt;$L$6,T3690,""),"")</f>
        <v/>
      </c>
      <c r="W3690">
        <f>IF(AND(ISNUMBER('자료_거시'!$G3672),ISNUMBER('자료_거시'!$H3672)),'자료_거시'!$H3672,"")</f>
        <v/>
      </c>
      <c r="X3690">
        <f>IF(ISNUMBER(W3690),'자료_거시'!$G3672,"")</f>
        <v/>
      </c>
      <c r="Y3690">
        <f>IF(ISNUMBER(X3690),IF(X3690&gt;$L$7,W3690,""),"")</f>
        <v/>
      </c>
      <c r="Z3690">
        <f>IF(ISNUMBER('자료_거시'!$K3672),'자료_거시'!$K3672,Z3689)</f>
        <v/>
      </c>
      <c r="AA3690">
        <f>IF(AND(ISNUMBER('자료_거시'!$J3672),ISNUMBER('자료_거시'!$K3672)),IFERROR('자료_거시'!$K3672/INDEX($Z$21:$Z$4020,MATCH(EDATE('자료_거시'!$J3672,-'설정'!$B$17),'자료_거시'!$J$3:INDEX('자료_거시'!$J$3:$J$4002,$K$8),1))-1,""),"")</f>
        <v/>
      </c>
      <c r="AB3690">
        <f>IF(ISNUMBER(AA3690),'자료_거시'!$J3672,"")</f>
        <v/>
      </c>
      <c r="AC3690">
        <f>IF(ISNUMBER(AB3690),IF(AB3690&gt;$L$8,AA3690,""),"")</f>
        <v/>
      </c>
    </row>
    <row r="3691">
      <c r="S3691">
        <f>IF(ISNUMBER('자료_거시'!$E3673),'자료_거시'!$E3673,S3690)</f>
        <v/>
      </c>
      <c r="T3691">
        <f>IF(AND(ISNUMBER('자료_거시'!$D3673),ISNUMBER('자료_거시'!$E3673)),IFERROR('자료_거시'!$E3673-INDEX($S$21:$S$4020,MATCH(EDATE('자료_거시'!$D3673,-'설정'!$B$17),'자료_거시'!$D$3:INDEX('자료_거시'!$D$3:$D$4002,$K$6),1)),""),"")</f>
        <v/>
      </c>
      <c r="U3691">
        <f>IF(ISNUMBER(T3691),'자료_거시'!$D3673,"")</f>
        <v/>
      </c>
      <c r="V3691">
        <f>IF(ISNUMBER(U3691),IF(U3691&gt;$L$6,T3691,""),"")</f>
        <v/>
      </c>
      <c r="W3691">
        <f>IF(AND(ISNUMBER('자료_거시'!$G3673),ISNUMBER('자료_거시'!$H3673)),'자료_거시'!$H3673,"")</f>
        <v/>
      </c>
      <c r="X3691">
        <f>IF(ISNUMBER(W3691),'자료_거시'!$G3673,"")</f>
        <v/>
      </c>
      <c r="Y3691">
        <f>IF(ISNUMBER(X3691),IF(X3691&gt;$L$7,W3691,""),"")</f>
        <v/>
      </c>
      <c r="Z3691">
        <f>IF(ISNUMBER('자료_거시'!$K3673),'자료_거시'!$K3673,Z3690)</f>
        <v/>
      </c>
      <c r="AA3691">
        <f>IF(AND(ISNUMBER('자료_거시'!$J3673),ISNUMBER('자료_거시'!$K3673)),IFERROR('자료_거시'!$K3673/INDEX($Z$21:$Z$4020,MATCH(EDATE('자료_거시'!$J3673,-'설정'!$B$17),'자료_거시'!$J$3:INDEX('자료_거시'!$J$3:$J$4002,$K$8),1))-1,""),"")</f>
        <v/>
      </c>
      <c r="AB3691">
        <f>IF(ISNUMBER(AA3691),'자료_거시'!$J3673,"")</f>
        <v/>
      </c>
      <c r="AC3691">
        <f>IF(ISNUMBER(AB3691),IF(AB3691&gt;$L$8,AA3691,""),"")</f>
        <v/>
      </c>
    </row>
    <row r="3692">
      <c r="S3692">
        <f>IF(ISNUMBER('자료_거시'!$E3674),'자료_거시'!$E3674,S3691)</f>
        <v/>
      </c>
      <c r="T3692">
        <f>IF(AND(ISNUMBER('자료_거시'!$D3674),ISNUMBER('자료_거시'!$E3674)),IFERROR('자료_거시'!$E3674-INDEX($S$21:$S$4020,MATCH(EDATE('자료_거시'!$D3674,-'설정'!$B$17),'자료_거시'!$D$3:INDEX('자료_거시'!$D$3:$D$4002,$K$6),1)),""),"")</f>
        <v/>
      </c>
      <c r="U3692">
        <f>IF(ISNUMBER(T3692),'자료_거시'!$D3674,"")</f>
        <v/>
      </c>
      <c r="V3692">
        <f>IF(ISNUMBER(U3692),IF(U3692&gt;$L$6,T3692,""),"")</f>
        <v/>
      </c>
      <c r="W3692">
        <f>IF(AND(ISNUMBER('자료_거시'!$G3674),ISNUMBER('자료_거시'!$H3674)),'자료_거시'!$H3674,"")</f>
        <v/>
      </c>
      <c r="X3692">
        <f>IF(ISNUMBER(W3692),'자료_거시'!$G3674,"")</f>
        <v/>
      </c>
      <c r="Y3692">
        <f>IF(ISNUMBER(X3692),IF(X3692&gt;$L$7,W3692,""),"")</f>
        <v/>
      </c>
      <c r="Z3692">
        <f>IF(ISNUMBER('자료_거시'!$K3674),'자료_거시'!$K3674,Z3691)</f>
        <v/>
      </c>
      <c r="AA3692">
        <f>IF(AND(ISNUMBER('자료_거시'!$J3674),ISNUMBER('자료_거시'!$K3674)),IFERROR('자료_거시'!$K3674/INDEX($Z$21:$Z$4020,MATCH(EDATE('자료_거시'!$J3674,-'설정'!$B$17),'자료_거시'!$J$3:INDEX('자료_거시'!$J$3:$J$4002,$K$8),1))-1,""),"")</f>
        <v/>
      </c>
      <c r="AB3692">
        <f>IF(ISNUMBER(AA3692),'자료_거시'!$J3674,"")</f>
        <v/>
      </c>
      <c r="AC3692">
        <f>IF(ISNUMBER(AB3692),IF(AB3692&gt;$L$8,AA3692,""),"")</f>
        <v/>
      </c>
    </row>
    <row r="3693">
      <c r="S3693">
        <f>IF(ISNUMBER('자료_거시'!$E3675),'자료_거시'!$E3675,S3692)</f>
        <v/>
      </c>
      <c r="T3693">
        <f>IF(AND(ISNUMBER('자료_거시'!$D3675),ISNUMBER('자료_거시'!$E3675)),IFERROR('자료_거시'!$E3675-INDEX($S$21:$S$4020,MATCH(EDATE('자료_거시'!$D3675,-'설정'!$B$17),'자료_거시'!$D$3:INDEX('자료_거시'!$D$3:$D$4002,$K$6),1)),""),"")</f>
        <v/>
      </c>
      <c r="U3693">
        <f>IF(ISNUMBER(T3693),'자료_거시'!$D3675,"")</f>
        <v/>
      </c>
      <c r="V3693">
        <f>IF(ISNUMBER(U3693),IF(U3693&gt;$L$6,T3693,""),"")</f>
        <v/>
      </c>
      <c r="W3693">
        <f>IF(AND(ISNUMBER('자료_거시'!$G3675),ISNUMBER('자료_거시'!$H3675)),'자료_거시'!$H3675,"")</f>
        <v/>
      </c>
      <c r="X3693">
        <f>IF(ISNUMBER(W3693),'자료_거시'!$G3675,"")</f>
        <v/>
      </c>
      <c r="Y3693">
        <f>IF(ISNUMBER(X3693),IF(X3693&gt;$L$7,W3693,""),"")</f>
        <v/>
      </c>
      <c r="Z3693">
        <f>IF(ISNUMBER('자료_거시'!$K3675),'자료_거시'!$K3675,Z3692)</f>
        <v/>
      </c>
      <c r="AA3693">
        <f>IF(AND(ISNUMBER('자료_거시'!$J3675),ISNUMBER('자료_거시'!$K3675)),IFERROR('자료_거시'!$K3675/INDEX($Z$21:$Z$4020,MATCH(EDATE('자료_거시'!$J3675,-'설정'!$B$17),'자료_거시'!$J$3:INDEX('자료_거시'!$J$3:$J$4002,$K$8),1))-1,""),"")</f>
        <v/>
      </c>
      <c r="AB3693">
        <f>IF(ISNUMBER(AA3693),'자료_거시'!$J3675,"")</f>
        <v/>
      </c>
      <c r="AC3693">
        <f>IF(ISNUMBER(AB3693),IF(AB3693&gt;$L$8,AA3693,""),"")</f>
        <v/>
      </c>
    </row>
    <row r="3694">
      <c r="S3694">
        <f>IF(ISNUMBER('자료_거시'!$E3676),'자료_거시'!$E3676,S3693)</f>
        <v/>
      </c>
      <c r="T3694">
        <f>IF(AND(ISNUMBER('자료_거시'!$D3676),ISNUMBER('자료_거시'!$E3676)),IFERROR('자료_거시'!$E3676-INDEX($S$21:$S$4020,MATCH(EDATE('자료_거시'!$D3676,-'설정'!$B$17),'자료_거시'!$D$3:INDEX('자료_거시'!$D$3:$D$4002,$K$6),1)),""),"")</f>
        <v/>
      </c>
      <c r="U3694">
        <f>IF(ISNUMBER(T3694),'자료_거시'!$D3676,"")</f>
        <v/>
      </c>
      <c r="V3694">
        <f>IF(ISNUMBER(U3694),IF(U3694&gt;$L$6,T3694,""),"")</f>
        <v/>
      </c>
      <c r="W3694">
        <f>IF(AND(ISNUMBER('자료_거시'!$G3676),ISNUMBER('자료_거시'!$H3676)),'자료_거시'!$H3676,"")</f>
        <v/>
      </c>
      <c r="X3694">
        <f>IF(ISNUMBER(W3694),'자료_거시'!$G3676,"")</f>
        <v/>
      </c>
      <c r="Y3694">
        <f>IF(ISNUMBER(X3694),IF(X3694&gt;$L$7,W3694,""),"")</f>
        <v/>
      </c>
      <c r="Z3694">
        <f>IF(ISNUMBER('자료_거시'!$K3676),'자료_거시'!$K3676,Z3693)</f>
        <v/>
      </c>
      <c r="AA3694">
        <f>IF(AND(ISNUMBER('자료_거시'!$J3676),ISNUMBER('자료_거시'!$K3676)),IFERROR('자료_거시'!$K3676/INDEX($Z$21:$Z$4020,MATCH(EDATE('자료_거시'!$J3676,-'설정'!$B$17),'자료_거시'!$J$3:INDEX('자료_거시'!$J$3:$J$4002,$K$8),1))-1,""),"")</f>
        <v/>
      </c>
      <c r="AB3694">
        <f>IF(ISNUMBER(AA3694),'자료_거시'!$J3676,"")</f>
        <v/>
      </c>
      <c r="AC3694">
        <f>IF(ISNUMBER(AB3694),IF(AB3694&gt;$L$8,AA3694,""),"")</f>
        <v/>
      </c>
    </row>
    <row r="3695">
      <c r="S3695">
        <f>IF(ISNUMBER('자료_거시'!$E3677),'자료_거시'!$E3677,S3694)</f>
        <v/>
      </c>
      <c r="T3695">
        <f>IF(AND(ISNUMBER('자료_거시'!$D3677),ISNUMBER('자료_거시'!$E3677)),IFERROR('자료_거시'!$E3677-INDEX($S$21:$S$4020,MATCH(EDATE('자료_거시'!$D3677,-'설정'!$B$17),'자료_거시'!$D$3:INDEX('자료_거시'!$D$3:$D$4002,$K$6),1)),""),"")</f>
        <v/>
      </c>
      <c r="U3695">
        <f>IF(ISNUMBER(T3695),'자료_거시'!$D3677,"")</f>
        <v/>
      </c>
      <c r="V3695">
        <f>IF(ISNUMBER(U3695),IF(U3695&gt;$L$6,T3695,""),"")</f>
        <v/>
      </c>
      <c r="W3695">
        <f>IF(AND(ISNUMBER('자료_거시'!$G3677),ISNUMBER('자료_거시'!$H3677)),'자료_거시'!$H3677,"")</f>
        <v/>
      </c>
      <c r="X3695">
        <f>IF(ISNUMBER(W3695),'자료_거시'!$G3677,"")</f>
        <v/>
      </c>
      <c r="Y3695">
        <f>IF(ISNUMBER(X3695),IF(X3695&gt;$L$7,W3695,""),"")</f>
        <v/>
      </c>
      <c r="Z3695">
        <f>IF(ISNUMBER('자료_거시'!$K3677),'자료_거시'!$K3677,Z3694)</f>
        <v/>
      </c>
      <c r="AA3695">
        <f>IF(AND(ISNUMBER('자료_거시'!$J3677),ISNUMBER('자료_거시'!$K3677)),IFERROR('자료_거시'!$K3677/INDEX($Z$21:$Z$4020,MATCH(EDATE('자료_거시'!$J3677,-'설정'!$B$17),'자료_거시'!$J$3:INDEX('자료_거시'!$J$3:$J$4002,$K$8),1))-1,""),"")</f>
        <v/>
      </c>
      <c r="AB3695">
        <f>IF(ISNUMBER(AA3695),'자료_거시'!$J3677,"")</f>
        <v/>
      </c>
      <c r="AC3695">
        <f>IF(ISNUMBER(AB3695),IF(AB3695&gt;$L$8,AA3695,""),"")</f>
        <v/>
      </c>
    </row>
    <row r="3696">
      <c r="S3696">
        <f>IF(ISNUMBER('자료_거시'!$E3678),'자료_거시'!$E3678,S3695)</f>
        <v/>
      </c>
      <c r="T3696">
        <f>IF(AND(ISNUMBER('자료_거시'!$D3678),ISNUMBER('자료_거시'!$E3678)),IFERROR('자료_거시'!$E3678-INDEX($S$21:$S$4020,MATCH(EDATE('자료_거시'!$D3678,-'설정'!$B$17),'자료_거시'!$D$3:INDEX('자료_거시'!$D$3:$D$4002,$K$6),1)),""),"")</f>
        <v/>
      </c>
      <c r="U3696">
        <f>IF(ISNUMBER(T3696),'자료_거시'!$D3678,"")</f>
        <v/>
      </c>
      <c r="V3696">
        <f>IF(ISNUMBER(U3696),IF(U3696&gt;$L$6,T3696,""),"")</f>
        <v/>
      </c>
      <c r="W3696">
        <f>IF(AND(ISNUMBER('자료_거시'!$G3678),ISNUMBER('자료_거시'!$H3678)),'자료_거시'!$H3678,"")</f>
        <v/>
      </c>
      <c r="X3696">
        <f>IF(ISNUMBER(W3696),'자료_거시'!$G3678,"")</f>
        <v/>
      </c>
      <c r="Y3696">
        <f>IF(ISNUMBER(X3696),IF(X3696&gt;$L$7,W3696,""),"")</f>
        <v/>
      </c>
      <c r="Z3696">
        <f>IF(ISNUMBER('자료_거시'!$K3678),'자료_거시'!$K3678,Z3695)</f>
        <v/>
      </c>
      <c r="AA3696">
        <f>IF(AND(ISNUMBER('자료_거시'!$J3678),ISNUMBER('자료_거시'!$K3678)),IFERROR('자료_거시'!$K3678/INDEX($Z$21:$Z$4020,MATCH(EDATE('자료_거시'!$J3678,-'설정'!$B$17),'자료_거시'!$J$3:INDEX('자료_거시'!$J$3:$J$4002,$K$8),1))-1,""),"")</f>
        <v/>
      </c>
      <c r="AB3696">
        <f>IF(ISNUMBER(AA3696),'자료_거시'!$J3678,"")</f>
        <v/>
      </c>
      <c r="AC3696">
        <f>IF(ISNUMBER(AB3696),IF(AB3696&gt;$L$8,AA3696,""),"")</f>
        <v/>
      </c>
    </row>
    <row r="3697">
      <c r="S3697">
        <f>IF(ISNUMBER('자료_거시'!$E3679),'자료_거시'!$E3679,S3696)</f>
        <v/>
      </c>
      <c r="T3697">
        <f>IF(AND(ISNUMBER('자료_거시'!$D3679),ISNUMBER('자료_거시'!$E3679)),IFERROR('자료_거시'!$E3679-INDEX($S$21:$S$4020,MATCH(EDATE('자료_거시'!$D3679,-'설정'!$B$17),'자료_거시'!$D$3:INDEX('자료_거시'!$D$3:$D$4002,$K$6),1)),""),"")</f>
        <v/>
      </c>
      <c r="U3697">
        <f>IF(ISNUMBER(T3697),'자료_거시'!$D3679,"")</f>
        <v/>
      </c>
      <c r="V3697">
        <f>IF(ISNUMBER(U3697),IF(U3697&gt;$L$6,T3697,""),"")</f>
        <v/>
      </c>
      <c r="W3697">
        <f>IF(AND(ISNUMBER('자료_거시'!$G3679),ISNUMBER('자료_거시'!$H3679)),'자료_거시'!$H3679,"")</f>
        <v/>
      </c>
      <c r="X3697">
        <f>IF(ISNUMBER(W3697),'자료_거시'!$G3679,"")</f>
        <v/>
      </c>
      <c r="Y3697">
        <f>IF(ISNUMBER(X3697),IF(X3697&gt;$L$7,W3697,""),"")</f>
        <v/>
      </c>
      <c r="Z3697">
        <f>IF(ISNUMBER('자료_거시'!$K3679),'자료_거시'!$K3679,Z3696)</f>
        <v/>
      </c>
      <c r="AA3697">
        <f>IF(AND(ISNUMBER('자료_거시'!$J3679),ISNUMBER('자료_거시'!$K3679)),IFERROR('자료_거시'!$K3679/INDEX($Z$21:$Z$4020,MATCH(EDATE('자료_거시'!$J3679,-'설정'!$B$17),'자료_거시'!$J$3:INDEX('자료_거시'!$J$3:$J$4002,$K$8),1))-1,""),"")</f>
        <v/>
      </c>
      <c r="AB3697">
        <f>IF(ISNUMBER(AA3697),'자료_거시'!$J3679,"")</f>
        <v/>
      </c>
      <c r="AC3697">
        <f>IF(ISNUMBER(AB3697),IF(AB3697&gt;$L$8,AA3697,""),"")</f>
        <v/>
      </c>
    </row>
    <row r="3698">
      <c r="S3698">
        <f>IF(ISNUMBER('자료_거시'!$E3680),'자료_거시'!$E3680,S3697)</f>
        <v/>
      </c>
      <c r="T3698">
        <f>IF(AND(ISNUMBER('자료_거시'!$D3680),ISNUMBER('자료_거시'!$E3680)),IFERROR('자료_거시'!$E3680-INDEX($S$21:$S$4020,MATCH(EDATE('자료_거시'!$D3680,-'설정'!$B$17),'자료_거시'!$D$3:INDEX('자료_거시'!$D$3:$D$4002,$K$6),1)),""),"")</f>
        <v/>
      </c>
      <c r="U3698">
        <f>IF(ISNUMBER(T3698),'자료_거시'!$D3680,"")</f>
        <v/>
      </c>
      <c r="V3698">
        <f>IF(ISNUMBER(U3698),IF(U3698&gt;$L$6,T3698,""),"")</f>
        <v/>
      </c>
      <c r="W3698">
        <f>IF(AND(ISNUMBER('자료_거시'!$G3680),ISNUMBER('자료_거시'!$H3680)),'자료_거시'!$H3680,"")</f>
        <v/>
      </c>
      <c r="X3698">
        <f>IF(ISNUMBER(W3698),'자료_거시'!$G3680,"")</f>
        <v/>
      </c>
      <c r="Y3698">
        <f>IF(ISNUMBER(X3698),IF(X3698&gt;$L$7,W3698,""),"")</f>
        <v/>
      </c>
      <c r="Z3698">
        <f>IF(ISNUMBER('자료_거시'!$K3680),'자료_거시'!$K3680,Z3697)</f>
        <v/>
      </c>
      <c r="AA3698">
        <f>IF(AND(ISNUMBER('자료_거시'!$J3680),ISNUMBER('자료_거시'!$K3680)),IFERROR('자료_거시'!$K3680/INDEX($Z$21:$Z$4020,MATCH(EDATE('자료_거시'!$J3680,-'설정'!$B$17),'자료_거시'!$J$3:INDEX('자료_거시'!$J$3:$J$4002,$K$8),1))-1,""),"")</f>
        <v/>
      </c>
      <c r="AB3698">
        <f>IF(ISNUMBER(AA3698),'자료_거시'!$J3680,"")</f>
        <v/>
      </c>
      <c r="AC3698">
        <f>IF(ISNUMBER(AB3698),IF(AB3698&gt;$L$8,AA3698,""),"")</f>
        <v/>
      </c>
    </row>
    <row r="3699">
      <c r="S3699">
        <f>IF(ISNUMBER('자료_거시'!$E3681),'자료_거시'!$E3681,S3698)</f>
        <v/>
      </c>
      <c r="T3699">
        <f>IF(AND(ISNUMBER('자료_거시'!$D3681),ISNUMBER('자료_거시'!$E3681)),IFERROR('자료_거시'!$E3681-INDEX($S$21:$S$4020,MATCH(EDATE('자료_거시'!$D3681,-'설정'!$B$17),'자료_거시'!$D$3:INDEX('자료_거시'!$D$3:$D$4002,$K$6),1)),""),"")</f>
        <v/>
      </c>
      <c r="U3699">
        <f>IF(ISNUMBER(T3699),'자료_거시'!$D3681,"")</f>
        <v/>
      </c>
      <c r="V3699">
        <f>IF(ISNUMBER(U3699),IF(U3699&gt;$L$6,T3699,""),"")</f>
        <v/>
      </c>
      <c r="W3699">
        <f>IF(AND(ISNUMBER('자료_거시'!$G3681),ISNUMBER('자료_거시'!$H3681)),'자료_거시'!$H3681,"")</f>
        <v/>
      </c>
      <c r="X3699">
        <f>IF(ISNUMBER(W3699),'자료_거시'!$G3681,"")</f>
        <v/>
      </c>
      <c r="Y3699">
        <f>IF(ISNUMBER(X3699),IF(X3699&gt;$L$7,W3699,""),"")</f>
        <v/>
      </c>
      <c r="Z3699">
        <f>IF(ISNUMBER('자료_거시'!$K3681),'자료_거시'!$K3681,Z3698)</f>
        <v/>
      </c>
      <c r="AA3699">
        <f>IF(AND(ISNUMBER('자료_거시'!$J3681),ISNUMBER('자료_거시'!$K3681)),IFERROR('자료_거시'!$K3681/INDEX($Z$21:$Z$4020,MATCH(EDATE('자료_거시'!$J3681,-'설정'!$B$17),'자료_거시'!$J$3:INDEX('자료_거시'!$J$3:$J$4002,$K$8),1))-1,""),"")</f>
        <v/>
      </c>
      <c r="AB3699">
        <f>IF(ISNUMBER(AA3699),'자료_거시'!$J3681,"")</f>
        <v/>
      </c>
      <c r="AC3699">
        <f>IF(ISNUMBER(AB3699),IF(AB3699&gt;$L$8,AA3699,""),"")</f>
        <v/>
      </c>
    </row>
    <row r="3700">
      <c r="S3700">
        <f>IF(ISNUMBER('자료_거시'!$E3682),'자료_거시'!$E3682,S3699)</f>
        <v/>
      </c>
      <c r="T3700">
        <f>IF(AND(ISNUMBER('자료_거시'!$D3682),ISNUMBER('자료_거시'!$E3682)),IFERROR('자료_거시'!$E3682-INDEX($S$21:$S$4020,MATCH(EDATE('자료_거시'!$D3682,-'설정'!$B$17),'자료_거시'!$D$3:INDEX('자료_거시'!$D$3:$D$4002,$K$6),1)),""),"")</f>
        <v/>
      </c>
      <c r="U3700">
        <f>IF(ISNUMBER(T3700),'자료_거시'!$D3682,"")</f>
        <v/>
      </c>
      <c r="V3700">
        <f>IF(ISNUMBER(U3700),IF(U3700&gt;$L$6,T3700,""),"")</f>
        <v/>
      </c>
      <c r="W3700">
        <f>IF(AND(ISNUMBER('자료_거시'!$G3682),ISNUMBER('자료_거시'!$H3682)),'자료_거시'!$H3682,"")</f>
        <v/>
      </c>
      <c r="X3700">
        <f>IF(ISNUMBER(W3700),'자료_거시'!$G3682,"")</f>
        <v/>
      </c>
      <c r="Y3700">
        <f>IF(ISNUMBER(X3700),IF(X3700&gt;$L$7,W3700,""),"")</f>
        <v/>
      </c>
      <c r="Z3700">
        <f>IF(ISNUMBER('자료_거시'!$K3682),'자료_거시'!$K3682,Z3699)</f>
        <v/>
      </c>
      <c r="AA3700">
        <f>IF(AND(ISNUMBER('자료_거시'!$J3682),ISNUMBER('자료_거시'!$K3682)),IFERROR('자료_거시'!$K3682/INDEX($Z$21:$Z$4020,MATCH(EDATE('자료_거시'!$J3682,-'설정'!$B$17),'자료_거시'!$J$3:INDEX('자료_거시'!$J$3:$J$4002,$K$8),1))-1,""),"")</f>
        <v/>
      </c>
      <c r="AB3700">
        <f>IF(ISNUMBER(AA3700),'자료_거시'!$J3682,"")</f>
        <v/>
      </c>
      <c r="AC3700">
        <f>IF(ISNUMBER(AB3700),IF(AB3700&gt;$L$8,AA3700,""),"")</f>
        <v/>
      </c>
    </row>
    <row r="3701">
      <c r="S3701">
        <f>IF(ISNUMBER('자료_거시'!$E3683),'자료_거시'!$E3683,S3700)</f>
        <v/>
      </c>
      <c r="T3701">
        <f>IF(AND(ISNUMBER('자료_거시'!$D3683),ISNUMBER('자료_거시'!$E3683)),IFERROR('자료_거시'!$E3683-INDEX($S$21:$S$4020,MATCH(EDATE('자료_거시'!$D3683,-'설정'!$B$17),'자료_거시'!$D$3:INDEX('자료_거시'!$D$3:$D$4002,$K$6),1)),""),"")</f>
        <v/>
      </c>
      <c r="U3701">
        <f>IF(ISNUMBER(T3701),'자료_거시'!$D3683,"")</f>
        <v/>
      </c>
      <c r="V3701">
        <f>IF(ISNUMBER(U3701),IF(U3701&gt;$L$6,T3701,""),"")</f>
        <v/>
      </c>
      <c r="W3701">
        <f>IF(AND(ISNUMBER('자료_거시'!$G3683),ISNUMBER('자료_거시'!$H3683)),'자료_거시'!$H3683,"")</f>
        <v/>
      </c>
      <c r="X3701">
        <f>IF(ISNUMBER(W3701),'자료_거시'!$G3683,"")</f>
        <v/>
      </c>
      <c r="Y3701">
        <f>IF(ISNUMBER(X3701),IF(X3701&gt;$L$7,W3701,""),"")</f>
        <v/>
      </c>
      <c r="Z3701">
        <f>IF(ISNUMBER('자료_거시'!$K3683),'자료_거시'!$K3683,Z3700)</f>
        <v/>
      </c>
      <c r="AA3701">
        <f>IF(AND(ISNUMBER('자료_거시'!$J3683),ISNUMBER('자료_거시'!$K3683)),IFERROR('자료_거시'!$K3683/INDEX($Z$21:$Z$4020,MATCH(EDATE('자료_거시'!$J3683,-'설정'!$B$17),'자료_거시'!$J$3:INDEX('자료_거시'!$J$3:$J$4002,$K$8),1))-1,""),"")</f>
        <v/>
      </c>
      <c r="AB3701">
        <f>IF(ISNUMBER(AA3701),'자료_거시'!$J3683,"")</f>
        <v/>
      </c>
      <c r="AC3701">
        <f>IF(ISNUMBER(AB3701),IF(AB3701&gt;$L$8,AA3701,""),"")</f>
        <v/>
      </c>
    </row>
    <row r="3702">
      <c r="S3702">
        <f>IF(ISNUMBER('자료_거시'!$E3684),'자료_거시'!$E3684,S3701)</f>
        <v/>
      </c>
      <c r="T3702">
        <f>IF(AND(ISNUMBER('자료_거시'!$D3684),ISNUMBER('자료_거시'!$E3684)),IFERROR('자료_거시'!$E3684-INDEX($S$21:$S$4020,MATCH(EDATE('자료_거시'!$D3684,-'설정'!$B$17),'자료_거시'!$D$3:INDEX('자료_거시'!$D$3:$D$4002,$K$6),1)),""),"")</f>
        <v/>
      </c>
      <c r="U3702">
        <f>IF(ISNUMBER(T3702),'자료_거시'!$D3684,"")</f>
        <v/>
      </c>
      <c r="V3702">
        <f>IF(ISNUMBER(U3702),IF(U3702&gt;$L$6,T3702,""),"")</f>
        <v/>
      </c>
      <c r="W3702">
        <f>IF(AND(ISNUMBER('자료_거시'!$G3684),ISNUMBER('자료_거시'!$H3684)),'자료_거시'!$H3684,"")</f>
        <v/>
      </c>
      <c r="X3702">
        <f>IF(ISNUMBER(W3702),'자료_거시'!$G3684,"")</f>
        <v/>
      </c>
      <c r="Y3702">
        <f>IF(ISNUMBER(X3702),IF(X3702&gt;$L$7,W3702,""),"")</f>
        <v/>
      </c>
      <c r="Z3702">
        <f>IF(ISNUMBER('자료_거시'!$K3684),'자료_거시'!$K3684,Z3701)</f>
        <v/>
      </c>
      <c r="AA3702">
        <f>IF(AND(ISNUMBER('자료_거시'!$J3684),ISNUMBER('자료_거시'!$K3684)),IFERROR('자료_거시'!$K3684/INDEX($Z$21:$Z$4020,MATCH(EDATE('자료_거시'!$J3684,-'설정'!$B$17),'자료_거시'!$J$3:INDEX('자료_거시'!$J$3:$J$4002,$K$8),1))-1,""),"")</f>
        <v/>
      </c>
      <c r="AB3702">
        <f>IF(ISNUMBER(AA3702),'자료_거시'!$J3684,"")</f>
        <v/>
      </c>
      <c r="AC3702">
        <f>IF(ISNUMBER(AB3702),IF(AB3702&gt;$L$8,AA3702,""),"")</f>
        <v/>
      </c>
    </row>
    <row r="3703">
      <c r="S3703">
        <f>IF(ISNUMBER('자료_거시'!$E3685),'자료_거시'!$E3685,S3702)</f>
        <v/>
      </c>
      <c r="T3703">
        <f>IF(AND(ISNUMBER('자료_거시'!$D3685),ISNUMBER('자료_거시'!$E3685)),IFERROR('자료_거시'!$E3685-INDEX($S$21:$S$4020,MATCH(EDATE('자료_거시'!$D3685,-'설정'!$B$17),'자료_거시'!$D$3:INDEX('자료_거시'!$D$3:$D$4002,$K$6),1)),""),"")</f>
        <v/>
      </c>
      <c r="U3703">
        <f>IF(ISNUMBER(T3703),'자료_거시'!$D3685,"")</f>
        <v/>
      </c>
      <c r="V3703">
        <f>IF(ISNUMBER(U3703),IF(U3703&gt;$L$6,T3703,""),"")</f>
        <v/>
      </c>
      <c r="W3703">
        <f>IF(AND(ISNUMBER('자료_거시'!$G3685),ISNUMBER('자료_거시'!$H3685)),'자료_거시'!$H3685,"")</f>
        <v/>
      </c>
      <c r="X3703">
        <f>IF(ISNUMBER(W3703),'자료_거시'!$G3685,"")</f>
        <v/>
      </c>
      <c r="Y3703">
        <f>IF(ISNUMBER(X3703),IF(X3703&gt;$L$7,W3703,""),"")</f>
        <v/>
      </c>
      <c r="Z3703">
        <f>IF(ISNUMBER('자료_거시'!$K3685),'자료_거시'!$K3685,Z3702)</f>
        <v/>
      </c>
      <c r="AA3703">
        <f>IF(AND(ISNUMBER('자료_거시'!$J3685),ISNUMBER('자료_거시'!$K3685)),IFERROR('자료_거시'!$K3685/INDEX($Z$21:$Z$4020,MATCH(EDATE('자료_거시'!$J3685,-'설정'!$B$17),'자료_거시'!$J$3:INDEX('자료_거시'!$J$3:$J$4002,$K$8),1))-1,""),"")</f>
        <v/>
      </c>
      <c r="AB3703">
        <f>IF(ISNUMBER(AA3703),'자료_거시'!$J3685,"")</f>
        <v/>
      </c>
      <c r="AC3703">
        <f>IF(ISNUMBER(AB3703),IF(AB3703&gt;$L$8,AA3703,""),"")</f>
        <v/>
      </c>
    </row>
    <row r="3704">
      <c r="S3704">
        <f>IF(ISNUMBER('자료_거시'!$E3686),'자료_거시'!$E3686,S3703)</f>
        <v/>
      </c>
      <c r="T3704">
        <f>IF(AND(ISNUMBER('자료_거시'!$D3686),ISNUMBER('자료_거시'!$E3686)),IFERROR('자료_거시'!$E3686-INDEX($S$21:$S$4020,MATCH(EDATE('자료_거시'!$D3686,-'설정'!$B$17),'자료_거시'!$D$3:INDEX('자료_거시'!$D$3:$D$4002,$K$6),1)),""),"")</f>
        <v/>
      </c>
      <c r="U3704">
        <f>IF(ISNUMBER(T3704),'자료_거시'!$D3686,"")</f>
        <v/>
      </c>
      <c r="V3704">
        <f>IF(ISNUMBER(U3704),IF(U3704&gt;$L$6,T3704,""),"")</f>
        <v/>
      </c>
      <c r="W3704">
        <f>IF(AND(ISNUMBER('자료_거시'!$G3686),ISNUMBER('자료_거시'!$H3686)),'자료_거시'!$H3686,"")</f>
        <v/>
      </c>
      <c r="X3704">
        <f>IF(ISNUMBER(W3704),'자료_거시'!$G3686,"")</f>
        <v/>
      </c>
      <c r="Y3704">
        <f>IF(ISNUMBER(X3704),IF(X3704&gt;$L$7,W3704,""),"")</f>
        <v/>
      </c>
      <c r="Z3704">
        <f>IF(ISNUMBER('자료_거시'!$K3686),'자료_거시'!$K3686,Z3703)</f>
        <v/>
      </c>
      <c r="AA3704">
        <f>IF(AND(ISNUMBER('자료_거시'!$J3686),ISNUMBER('자료_거시'!$K3686)),IFERROR('자료_거시'!$K3686/INDEX($Z$21:$Z$4020,MATCH(EDATE('자료_거시'!$J3686,-'설정'!$B$17),'자료_거시'!$J$3:INDEX('자료_거시'!$J$3:$J$4002,$K$8),1))-1,""),"")</f>
        <v/>
      </c>
      <c r="AB3704">
        <f>IF(ISNUMBER(AA3704),'자료_거시'!$J3686,"")</f>
        <v/>
      </c>
      <c r="AC3704">
        <f>IF(ISNUMBER(AB3704),IF(AB3704&gt;$L$8,AA3704,""),"")</f>
        <v/>
      </c>
    </row>
    <row r="3705">
      <c r="S3705">
        <f>IF(ISNUMBER('자료_거시'!$E3687),'자료_거시'!$E3687,S3704)</f>
        <v/>
      </c>
      <c r="T3705">
        <f>IF(AND(ISNUMBER('자료_거시'!$D3687),ISNUMBER('자료_거시'!$E3687)),IFERROR('자료_거시'!$E3687-INDEX($S$21:$S$4020,MATCH(EDATE('자료_거시'!$D3687,-'설정'!$B$17),'자료_거시'!$D$3:INDEX('자료_거시'!$D$3:$D$4002,$K$6),1)),""),"")</f>
        <v/>
      </c>
      <c r="U3705">
        <f>IF(ISNUMBER(T3705),'자료_거시'!$D3687,"")</f>
        <v/>
      </c>
      <c r="V3705">
        <f>IF(ISNUMBER(U3705),IF(U3705&gt;$L$6,T3705,""),"")</f>
        <v/>
      </c>
      <c r="W3705">
        <f>IF(AND(ISNUMBER('자료_거시'!$G3687),ISNUMBER('자료_거시'!$H3687)),'자료_거시'!$H3687,"")</f>
        <v/>
      </c>
      <c r="X3705">
        <f>IF(ISNUMBER(W3705),'자료_거시'!$G3687,"")</f>
        <v/>
      </c>
      <c r="Y3705">
        <f>IF(ISNUMBER(X3705),IF(X3705&gt;$L$7,W3705,""),"")</f>
        <v/>
      </c>
      <c r="Z3705">
        <f>IF(ISNUMBER('자료_거시'!$K3687),'자료_거시'!$K3687,Z3704)</f>
        <v/>
      </c>
      <c r="AA3705">
        <f>IF(AND(ISNUMBER('자료_거시'!$J3687),ISNUMBER('자료_거시'!$K3687)),IFERROR('자료_거시'!$K3687/INDEX($Z$21:$Z$4020,MATCH(EDATE('자료_거시'!$J3687,-'설정'!$B$17),'자료_거시'!$J$3:INDEX('자료_거시'!$J$3:$J$4002,$K$8),1))-1,""),"")</f>
        <v/>
      </c>
      <c r="AB3705">
        <f>IF(ISNUMBER(AA3705),'자료_거시'!$J3687,"")</f>
        <v/>
      </c>
      <c r="AC3705">
        <f>IF(ISNUMBER(AB3705),IF(AB3705&gt;$L$8,AA3705,""),"")</f>
        <v/>
      </c>
    </row>
    <row r="3706">
      <c r="S3706">
        <f>IF(ISNUMBER('자료_거시'!$E3688),'자료_거시'!$E3688,S3705)</f>
        <v/>
      </c>
      <c r="T3706">
        <f>IF(AND(ISNUMBER('자료_거시'!$D3688),ISNUMBER('자료_거시'!$E3688)),IFERROR('자료_거시'!$E3688-INDEX($S$21:$S$4020,MATCH(EDATE('자료_거시'!$D3688,-'설정'!$B$17),'자료_거시'!$D$3:INDEX('자료_거시'!$D$3:$D$4002,$K$6),1)),""),"")</f>
        <v/>
      </c>
      <c r="U3706">
        <f>IF(ISNUMBER(T3706),'자료_거시'!$D3688,"")</f>
        <v/>
      </c>
      <c r="V3706">
        <f>IF(ISNUMBER(U3706),IF(U3706&gt;$L$6,T3706,""),"")</f>
        <v/>
      </c>
      <c r="W3706">
        <f>IF(AND(ISNUMBER('자료_거시'!$G3688),ISNUMBER('자료_거시'!$H3688)),'자료_거시'!$H3688,"")</f>
        <v/>
      </c>
      <c r="X3706">
        <f>IF(ISNUMBER(W3706),'자료_거시'!$G3688,"")</f>
        <v/>
      </c>
      <c r="Y3706">
        <f>IF(ISNUMBER(X3706),IF(X3706&gt;$L$7,W3706,""),"")</f>
        <v/>
      </c>
      <c r="Z3706">
        <f>IF(ISNUMBER('자료_거시'!$K3688),'자료_거시'!$K3688,Z3705)</f>
        <v/>
      </c>
      <c r="AA3706">
        <f>IF(AND(ISNUMBER('자료_거시'!$J3688),ISNUMBER('자료_거시'!$K3688)),IFERROR('자료_거시'!$K3688/INDEX($Z$21:$Z$4020,MATCH(EDATE('자료_거시'!$J3688,-'설정'!$B$17),'자료_거시'!$J$3:INDEX('자료_거시'!$J$3:$J$4002,$K$8),1))-1,""),"")</f>
        <v/>
      </c>
      <c r="AB3706">
        <f>IF(ISNUMBER(AA3706),'자료_거시'!$J3688,"")</f>
        <v/>
      </c>
      <c r="AC3706">
        <f>IF(ISNUMBER(AB3706),IF(AB3706&gt;$L$8,AA3706,""),"")</f>
        <v/>
      </c>
    </row>
    <row r="3707">
      <c r="S3707">
        <f>IF(ISNUMBER('자료_거시'!$E3689),'자료_거시'!$E3689,S3706)</f>
        <v/>
      </c>
      <c r="T3707">
        <f>IF(AND(ISNUMBER('자료_거시'!$D3689),ISNUMBER('자료_거시'!$E3689)),IFERROR('자료_거시'!$E3689-INDEX($S$21:$S$4020,MATCH(EDATE('자료_거시'!$D3689,-'설정'!$B$17),'자료_거시'!$D$3:INDEX('자료_거시'!$D$3:$D$4002,$K$6),1)),""),"")</f>
        <v/>
      </c>
      <c r="U3707">
        <f>IF(ISNUMBER(T3707),'자료_거시'!$D3689,"")</f>
        <v/>
      </c>
      <c r="V3707">
        <f>IF(ISNUMBER(U3707),IF(U3707&gt;$L$6,T3707,""),"")</f>
        <v/>
      </c>
      <c r="W3707">
        <f>IF(AND(ISNUMBER('자료_거시'!$G3689),ISNUMBER('자료_거시'!$H3689)),'자료_거시'!$H3689,"")</f>
        <v/>
      </c>
      <c r="X3707">
        <f>IF(ISNUMBER(W3707),'자료_거시'!$G3689,"")</f>
        <v/>
      </c>
      <c r="Y3707">
        <f>IF(ISNUMBER(X3707),IF(X3707&gt;$L$7,W3707,""),"")</f>
        <v/>
      </c>
      <c r="Z3707">
        <f>IF(ISNUMBER('자료_거시'!$K3689),'자료_거시'!$K3689,Z3706)</f>
        <v/>
      </c>
      <c r="AA3707">
        <f>IF(AND(ISNUMBER('자료_거시'!$J3689),ISNUMBER('자료_거시'!$K3689)),IFERROR('자료_거시'!$K3689/INDEX($Z$21:$Z$4020,MATCH(EDATE('자료_거시'!$J3689,-'설정'!$B$17),'자료_거시'!$J$3:INDEX('자료_거시'!$J$3:$J$4002,$K$8),1))-1,""),"")</f>
        <v/>
      </c>
      <c r="AB3707">
        <f>IF(ISNUMBER(AA3707),'자료_거시'!$J3689,"")</f>
        <v/>
      </c>
      <c r="AC3707">
        <f>IF(ISNUMBER(AB3707),IF(AB3707&gt;$L$8,AA3707,""),"")</f>
        <v/>
      </c>
    </row>
    <row r="3708">
      <c r="S3708">
        <f>IF(ISNUMBER('자료_거시'!$E3690),'자료_거시'!$E3690,S3707)</f>
        <v/>
      </c>
      <c r="T3708">
        <f>IF(AND(ISNUMBER('자료_거시'!$D3690),ISNUMBER('자료_거시'!$E3690)),IFERROR('자료_거시'!$E3690-INDEX($S$21:$S$4020,MATCH(EDATE('자료_거시'!$D3690,-'설정'!$B$17),'자료_거시'!$D$3:INDEX('자료_거시'!$D$3:$D$4002,$K$6),1)),""),"")</f>
        <v/>
      </c>
      <c r="U3708">
        <f>IF(ISNUMBER(T3708),'자료_거시'!$D3690,"")</f>
        <v/>
      </c>
      <c r="V3708">
        <f>IF(ISNUMBER(U3708),IF(U3708&gt;$L$6,T3708,""),"")</f>
        <v/>
      </c>
      <c r="W3708">
        <f>IF(AND(ISNUMBER('자료_거시'!$G3690),ISNUMBER('자료_거시'!$H3690)),'자료_거시'!$H3690,"")</f>
        <v/>
      </c>
      <c r="X3708">
        <f>IF(ISNUMBER(W3708),'자료_거시'!$G3690,"")</f>
        <v/>
      </c>
      <c r="Y3708">
        <f>IF(ISNUMBER(X3708),IF(X3708&gt;$L$7,W3708,""),"")</f>
        <v/>
      </c>
      <c r="Z3708">
        <f>IF(ISNUMBER('자료_거시'!$K3690),'자료_거시'!$K3690,Z3707)</f>
        <v/>
      </c>
      <c r="AA3708">
        <f>IF(AND(ISNUMBER('자료_거시'!$J3690),ISNUMBER('자료_거시'!$K3690)),IFERROR('자료_거시'!$K3690/INDEX($Z$21:$Z$4020,MATCH(EDATE('자료_거시'!$J3690,-'설정'!$B$17),'자료_거시'!$J$3:INDEX('자료_거시'!$J$3:$J$4002,$K$8),1))-1,""),"")</f>
        <v/>
      </c>
      <c r="AB3708">
        <f>IF(ISNUMBER(AA3708),'자료_거시'!$J3690,"")</f>
        <v/>
      </c>
      <c r="AC3708">
        <f>IF(ISNUMBER(AB3708),IF(AB3708&gt;$L$8,AA3708,""),"")</f>
        <v/>
      </c>
    </row>
    <row r="3709">
      <c r="S3709">
        <f>IF(ISNUMBER('자료_거시'!$E3691),'자료_거시'!$E3691,S3708)</f>
        <v/>
      </c>
      <c r="T3709">
        <f>IF(AND(ISNUMBER('자료_거시'!$D3691),ISNUMBER('자료_거시'!$E3691)),IFERROR('자료_거시'!$E3691-INDEX($S$21:$S$4020,MATCH(EDATE('자료_거시'!$D3691,-'설정'!$B$17),'자료_거시'!$D$3:INDEX('자료_거시'!$D$3:$D$4002,$K$6),1)),""),"")</f>
        <v/>
      </c>
      <c r="U3709">
        <f>IF(ISNUMBER(T3709),'자료_거시'!$D3691,"")</f>
        <v/>
      </c>
      <c r="V3709">
        <f>IF(ISNUMBER(U3709),IF(U3709&gt;$L$6,T3709,""),"")</f>
        <v/>
      </c>
      <c r="W3709">
        <f>IF(AND(ISNUMBER('자료_거시'!$G3691),ISNUMBER('자료_거시'!$H3691)),'자료_거시'!$H3691,"")</f>
        <v/>
      </c>
      <c r="X3709">
        <f>IF(ISNUMBER(W3709),'자료_거시'!$G3691,"")</f>
        <v/>
      </c>
      <c r="Y3709">
        <f>IF(ISNUMBER(X3709),IF(X3709&gt;$L$7,W3709,""),"")</f>
        <v/>
      </c>
      <c r="Z3709">
        <f>IF(ISNUMBER('자료_거시'!$K3691),'자료_거시'!$K3691,Z3708)</f>
        <v/>
      </c>
      <c r="AA3709">
        <f>IF(AND(ISNUMBER('자료_거시'!$J3691),ISNUMBER('자료_거시'!$K3691)),IFERROR('자료_거시'!$K3691/INDEX($Z$21:$Z$4020,MATCH(EDATE('자료_거시'!$J3691,-'설정'!$B$17),'자료_거시'!$J$3:INDEX('자료_거시'!$J$3:$J$4002,$K$8),1))-1,""),"")</f>
        <v/>
      </c>
      <c r="AB3709">
        <f>IF(ISNUMBER(AA3709),'자료_거시'!$J3691,"")</f>
        <v/>
      </c>
      <c r="AC3709">
        <f>IF(ISNUMBER(AB3709),IF(AB3709&gt;$L$8,AA3709,""),"")</f>
        <v/>
      </c>
    </row>
    <row r="3710">
      <c r="S3710">
        <f>IF(ISNUMBER('자료_거시'!$E3692),'자료_거시'!$E3692,S3709)</f>
        <v/>
      </c>
      <c r="T3710">
        <f>IF(AND(ISNUMBER('자료_거시'!$D3692),ISNUMBER('자료_거시'!$E3692)),IFERROR('자료_거시'!$E3692-INDEX($S$21:$S$4020,MATCH(EDATE('자료_거시'!$D3692,-'설정'!$B$17),'자료_거시'!$D$3:INDEX('자료_거시'!$D$3:$D$4002,$K$6),1)),""),"")</f>
        <v/>
      </c>
      <c r="U3710">
        <f>IF(ISNUMBER(T3710),'자료_거시'!$D3692,"")</f>
        <v/>
      </c>
      <c r="V3710">
        <f>IF(ISNUMBER(U3710),IF(U3710&gt;$L$6,T3710,""),"")</f>
        <v/>
      </c>
      <c r="W3710">
        <f>IF(AND(ISNUMBER('자료_거시'!$G3692),ISNUMBER('자료_거시'!$H3692)),'자료_거시'!$H3692,"")</f>
        <v/>
      </c>
      <c r="X3710">
        <f>IF(ISNUMBER(W3710),'자료_거시'!$G3692,"")</f>
        <v/>
      </c>
      <c r="Y3710">
        <f>IF(ISNUMBER(X3710),IF(X3710&gt;$L$7,W3710,""),"")</f>
        <v/>
      </c>
      <c r="Z3710">
        <f>IF(ISNUMBER('자료_거시'!$K3692),'자료_거시'!$K3692,Z3709)</f>
        <v/>
      </c>
      <c r="AA3710">
        <f>IF(AND(ISNUMBER('자료_거시'!$J3692),ISNUMBER('자료_거시'!$K3692)),IFERROR('자료_거시'!$K3692/INDEX($Z$21:$Z$4020,MATCH(EDATE('자료_거시'!$J3692,-'설정'!$B$17),'자료_거시'!$J$3:INDEX('자료_거시'!$J$3:$J$4002,$K$8),1))-1,""),"")</f>
        <v/>
      </c>
      <c r="AB3710">
        <f>IF(ISNUMBER(AA3710),'자료_거시'!$J3692,"")</f>
        <v/>
      </c>
      <c r="AC3710">
        <f>IF(ISNUMBER(AB3710),IF(AB3710&gt;$L$8,AA3710,""),"")</f>
        <v/>
      </c>
    </row>
    <row r="3711">
      <c r="S3711">
        <f>IF(ISNUMBER('자료_거시'!$E3693),'자료_거시'!$E3693,S3710)</f>
        <v/>
      </c>
      <c r="T3711">
        <f>IF(AND(ISNUMBER('자료_거시'!$D3693),ISNUMBER('자료_거시'!$E3693)),IFERROR('자료_거시'!$E3693-INDEX($S$21:$S$4020,MATCH(EDATE('자료_거시'!$D3693,-'설정'!$B$17),'자료_거시'!$D$3:INDEX('자료_거시'!$D$3:$D$4002,$K$6),1)),""),"")</f>
        <v/>
      </c>
      <c r="U3711">
        <f>IF(ISNUMBER(T3711),'자료_거시'!$D3693,"")</f>
        <v/>
      </c>
      <c r="V3711">
        <f>IF(ISNUMBER(U3711),IF(U3711&gt;$L$6,T3711,""),"")</f>
        <v/>
      </c>
      <c r="W3711">
        <f>IF(AND(ISNUMBER('자료_거시'!$G3693),ISNUMBER('자료_거시'!$H3693)),'자료_거시'!$H3693,"")</f>
        <v/>
      </c>
      <c r="X3711">
        <f>IF(ISNUMBER(W3711),'자료_거시'!$G3693,"")</f>
        <v/>
      </c>
      <c r="Y3711">
        <f>IF(ISNUMBER(X3711),IF(X3711&gt;$L$7,W3711,""),"")</f>
        <v/>
      </c>
      <c r="Z3711">
        <f>IF(ISNUMBER('자료_거시'!$K3693),'자료_거시'!$K3693,Z3710)</f>
        <v/>
      </c>
      <c r="AA3711">
        <f>IF(AND(ISNUMBER('자료_거시'!$J3693),ISNUMBER('자료_거시'!$K3693)),IFERROR('자료_거시'!$K3693/INDEX($Z$21:$Z$4020,MATCH(EDATE('자료_거시'!$J3693,-'설정'!$B$17),'자료_거시'!$J$3:INDEX('자료_거시'!$J$3:$J$4002,$K$8),1))-1,""),"")</f>
        <v/>
      </c>
      <c r="AB3711">
        <f>IF(ISNUMBER(AA3711),'자료_거시'!$J3693,"")</f>
        <v/>
      </c>
      <c r="AC3711">
        <f>IF(ISNUMBER(AB3711),IF(AB3711&gt;$L$8,AA3711,""),"")</f>
        <v/>
      </c>
    </row>
    <row r="3712">
      <c r="S3712">
        <f>IF(ISNUMBER('자료_거시'!$E3694),'자료_거시'!$E3694,S3711)</f>
        <v/>
      </c>
      <c r="T3712">
        <f>IF(AND(ISNUMBER('자료_거시'!$D3694),ISNUMBER('자료_거시'!$E3694)),IFERROR('자료_거시'!$E3694-INDEX($S$21:$S$4020,MATCH(EDATE('자료_거시'!$D3694,-'설정'!$B$17),'자료_거시'!$D$3:INDEX('자료_거시'!$D$3:$D$4002,$K$6),1)),""),"")</f>
        <v/>
      </c>
      <c r="U3712">
        <f>IF(ISNUMBER(T3712),'자료_거시'!$D3694,"")</f>
        <v/>
      </c>
      <c r="V3712">
        <f>IF(ISNUMBER(U3712),IF(U3712&gt;$L$6,T3712,""),"")</f>
        <v/>
      </c>
      <c r="W3712">
        <f>IF(AND(ISNUMBER('자료_거시'!$G3694),ISNUMBER('자료_거시'!$H3694)),'자료_거시'!$H3694,"")</f>
        <v/>
      </c>
      <c r="X3712">
        <f>IF(ISNUMBER(W3712),'자료_거시'!$G3694,"")</f>
        <v/>
      </c>
      <c r="Y3712">
        <f>IF(ISNUMBER(X3712),IF(X3712&gt;$L$7,W3712,""),"")</f>
        <v/>
      </c>
      <c r="Z3712">
        <f>IF(ISNUMBER('자료_거시'!$K3694),'자료_거시'!$K3694,Z3711)</f>
        <v/>
      </c>
      <c r="AA3712">
        <f>IF(AND(ISNUMBER('자료_거시'!$J3694),ISNUMBER('자료_거시'!$K3694)),IFERROR('자료_거시'!$K3694/INDEX($Z$21:$Z$4020,MATCH(EDATE('자료_거시'!$J3694,-'설정'!$B$17),'자료_거시'!$J$3:INDEX('자료_거시'!$J$3:$J$4002,$K$8),1))-1,""),"")</f>
        <v/>
      </c>
      <c r="AB3712">
        <f>IF(ISNUMBER(AA3712),'자료_거시'!$J3694,"")</f>
        <v/>
      </c>
      <c r="AC3712">
        <f>IF(ISNUMBER(AB3712),IF(AB3712&gt;$L$8,AA3712,""),"")</f>
        <v/>
      </c>
    </row>
    <row r="3713">
      <c r="S3713">
        <f>IF(ISNUMBER('자료_거시'!$E3695),'자료_거시'!$E3695,S3712)</f>
        <v/>
      </c>
      <c r="T3713">
        <f>IF(AND(ISNUMBER('자료_거시'!$D3695),ISNUMBER('자료_거시'!$E3695)),IFERROR('자료_거시'!$E3695-INDEX($S$21:$S$4020,MATCH(EDATE('자료_거시'!$D3695,-'설정'!$B$17),'자료_거시'!$D$3:INDEX('자료_거시'!$D$3:$D$4002,$K$6),1)),""),"")</f>
        <v/>
      </c>
      <c r="U3713">
        <f>IF(ISNUMBER(T3713),'자료_거시'!$D3695,"")</f>
        <v/>
      </c>
      <c r="V3713">
        <f>IF(ISNUMBER(U3713),IF(U3713&gt;$L$6,T3713,""),"")</f>
        <v/>
      </c>
      <c r="W3713">
        <f>IF(AND(ISNUMBER('자료_거시'!$G3695),ISNUMBER('자료_거시'!$H3695)),'자료_거시'!$H3695,"")</f>
        <v/>
      </c>
      <c r="X3713">
        <f>IF(ISNUMBER(W3713),'자료_거시'!$G3695,"")</f>
        <v/>
      </c>
      <c r="Y3713">
        <f>IF(ISNUMBER(X3713),IF(X3713&gt;$L$7,W3713,""),"")</f>
        <v/>
      </c>
      <c r="Z3713">
        <f>IF(ISNUMBER('자료_거시'!$K3695),'자료_거시'!$K3695,Z3712)</f>
        <v/>
      </c>
      <c r="AA3713">
        <f>IF(AND(ISNUMBER('자료_거시'!$J3695),ISNUMBER('자료_거시'!$K3695)),IFERROR('자료_거시'!$K3695/INDEX($Z$21:$Z$4020,MATCH(EDATE('자료_거시'!$J3695,-'설정'!$B$17),'자료_거시'!$J$3:INDEX('자료_거시'!$J$3:$J$4002,$K$8),1))-1,""),"")</f>
        <v/>
      </c>
      <c r="AB3713">
        <f>IF(ISNUMBER(AA3713),'자료_거시'!$J3695,"")</f>
        <v/>
      </c>
      <c r="AC3713">
        <f>IF(ISNUMBER(AB3713),IF(AB3713&gt;$L$8,AA3713,""),"")</f>
        <v/>
      </c>
    </row>
    <row r="3714">
      <c r="S3714">
        <f>IF(ISNUMBER('자료_거시'!$E3696),'자료_거시'!$E3696,S3713)</f>
        <v/>
      </c>
      <c r="T3714">
        <f>IF(AND(ISNUMBER('자료_거시'!$D3696),ISNUMBER('자료_거시'!$E3696)),IFERROR('자료_거시'!$E3696-INDEX($S$21:$S$4020,MATCH(EDATE('자료_거시'!$D3696,-'설정'!$B$17),'자료_거시'!$D$3:INDEX('자료_거시'!$D$3:$D$4002,$K$6),1)),""),"")</f>
        <v/>
      </c>
      <c r="U3714">
        <f>IF(ISNUMBER(T3714),'자료_거시'!$D3696,"")</f>
        <v/>
      </c>
      <c r="V3714">
        <f>IF(ISNUMBER(U3714),IF(U3714&gt;$L$6,T3714,""),"")</f>
        <v/>
      </c>
      <c r="W3714">
        <f>IF(AND(ISNUMBER('자료_거시'!$G3696),ISNUMBER('자료_거시'!$H3696)),'자료_거시'!$H3696,"")</f>
        <v/>
      </c>
      <c r="X3714">
        <f>IF(ISNUMBER(W3714),'자료_거시'!$G3696,"")</f>
        <v/>
      </c>
      <c r="Y3714">
        <f>IF(ISNUMBER(X3714),IF(X3714&gt;$L$7,W3714,""),"")</f>
        <v/>
      </c>
      <c r="Z3714">
        <f>IF(ISNUMBER('자료_거시'!$K3696),'자료_거시'!$K3696,Z3713)</f>
        <v/>
      </c>
      <c r="AA3714">
        <f>IF(AND(ISNUMBER('자료_거시'!$J3696),ISNUMBER('자료_거시'!$K3696)),IFERROR('자료_거시'!$K3696/INDEX($Z$21:$Z$4020,MATCH(EDATE('자료_거시'!$J3696,-'설정'!$B$17),'자료_거시'!$J$3:INDEX('자료_거시'!$J$3:$J$4002,$K$8),1))-1,""),"")</f>
        <v/>
      </c>
      <c r="AB3714">
        <f>IF(ISNUMBER(AA3714),'자료_거시'!$J3696,"")</f>
        <v/>
      </c>
      <c r="AC3714">
        <f>IF(ISNUMBER(AB3714),IF(AB3714&gt;$L$8,AA3714,""),"")</f>
        <v/>
      </c>
    </row>
    <row r="3715">
      <c r="S3715">
        <f>IF(ISNUMBER('자료_거시'!$E3697),'자료_거시'!$E3697,S3714)</f>
        <v/>
      </c>
      <c r="T3715">
        <f>IF(AND(ISNUMBER('자료_거시'!$D3697),ISNUMBER('자료_거시'!$E3697)),IFERROR('자료_거시'!$E3697-INDEX($S$21:$S$4020,MATCH(EDATE('자료_거시'!$D3697,-'설정'!$B$17),'자료_거시'!$D$3:INDEX('자료_거시'!$D$3:$D$4002,$K$6),1)),""),"")</f>
        <v/>
      </c>
      <c r="U3715">
        <f>IF(ISNUMBER(T3715),'자료_거시'!$D3697,"")</f>
        <v/>
      </c>
      <c r="V3715">
        <f>IF(ISNUMBER(U3715),IF(U3715&gt;$L$6,T3715,""),"")</f>
        <v/>
      </c>
      <c r="W3715">
        <f>IF(AND(ISNUMBER('자료_거시'!$G3697),ISNUMBER('자료_거시'!$H3697)),'자료_거시'!$H3697,"")</f>
        <v/>
      </c>
      <c r="X3715">
        <f>IF(ISNUMBER(W3715),'자료_거시'!$G3697,"")</f>
        <v/>
      </c>
      <c r="Y3715">
        <f>IF(ISNUMBER(X3715),IF(X3715&gt;$L$7,W3715,""),"")</f>
        <v/>
      </c>
      <c r="Z3715">
        <f>IF(ISNUMBER('자료_거시'!$K3697),'자료_거시'!$K3697,Z3714)</f>
        <v/>
      </c>
      <c r="AA3715">
        <f>IF(AND(ISNUMBER('자료_거시'!$J3697),ISNUMBER('자료_거시'!$K3697)),IFERROR('자료_거시'!$K3697/INDEX($Z$21:$Z$4020,MATCH(EDATE('자료_거시'!$J3697,-'설정'!$B$17),'자료_거시'!$J$3:INDEX('자료_거시'!$J$3:$J$4002,$K$8),1))-1,""),"")</f>
        <v/>
      </c>
      <c r="AB3715">
        <f>IF(ISNUMBER(AA3715),'자료_거시'!$J3697,"")</f>
        <v/>
      </c>
      <c r="AC3715">
        <f>IF(ISNUMBER(AB3715),IF(AB3715&gt;$L$8,AA3715,""),"")</f>
        <v/>
      </c>
    </row>
    <row r="3716">
      <c r="S3716">
        <f>IF(ISNUMBER('자료_거시'!$E3698),'자료_거시'!$E3698,S3715)</f>
        <v/>
      </c>
      <c r="T3716">
        <f>IF(AND(ISNUMBER('자료_거시'!$D3698),ISNUMBER('자료_거시'!$E3698)),IFERROR('자료_거시'!$E3698-INDEX($S$21:$S$4020,MATCH(EDATE('자료_거시'!$D3698,-'설정'!$B$17),'자료_거시'!$D$3:INDEX('자료_거시'!$D$3:$D$4002,$K$6),1)),""),"")</f>
        <v/>
      </c>
      <c r="U3716">
        <f>IF(ISNUMBER(T3716),'자료_거시'!$D3698,"")</f>
        <v/>
      </c>
      <c r="V3716">
        <f>IF(ISNUMBER(U3716),IF(U3716&gt;$L$6,T3716,""),"")</f>
        <v/>
      </c>
      <c r="W3716">
        <f>IF(AND(ISNUMBER('자료_거시'!$G3698),ISNUMBER('자료_거시'!$H3698)),'자료_거시'!$H3698,"")</f>
        <v/>
      </c>
      <c r="X3716">
        <f>IF(ISNUMBER(W3716),'자료_거시'!$G3698,"")</f>
        <v/>
      </c>
      <c r="Y3716">
        <f>IF(ISNUMBER(X3716),IF(X3716&gt;$L$7,W3716,""),"")</f>
        <v/>
      </c>
      <c r="Z3716">
        <f>IF(ISNUMBER('자료_거시'!$K3698),'자료_거시'!$K3698,Z3715)</f>
        <v/>
      </c>
      <c r="AA3716">
        <f>IF(AND(ISNUMBER('자료_거시'!$J3698),ISNUMBER('자료_거시'!$K3698)),IFERROR('자료_거시'!$K3698/INDEX($Z$21:$Z$4020,MATCH(EDATE('자료_거시'!$J3698,-'설정'!$B$17),'자료_거시'!$J$3:INDEX('자료_거시'!$J$3:$J$4002,$K$8),1))-1,""),"")</f>
        <v/>
      </c>
      <c r="AB3716">
        <f>IF(ISNUMBER(AA3716),'자료_거시'!$J3698,"")</f>
        <v/>
      </c>
      <c r="AC3716">
        <f>IF(ISNUMBER(AB3716),IF(AB3716&gt;$L$8,AA3716,""),"")</f>
        <v/>
      </c>
    </row>
    <row r="3717">
      <c r="S3717">
        <f>IF(ISNUMBER('자료_거시'!$E3699),'자료_거시'!$E3699,S3716)</f>
        <v/>
      </c>
      <c r="T3717">
        <f>IF(AND(ISNUMBER('자료_거시'!$D3699),ISNUMBER('자료_거시'!$E3699)),IFERROR('자료_거시'!$E3699-INDEX($S$21:$S$4020,MATCH(EDATE('자료_거시'!$D3699,-'설정'!$B$17),'자료_거시'!$D$3:INDEX('자료_거시'!$D$3:$D$4002,$K$6),1)),""),"")</f>
        <v/>
      </c>
      <c r="U3717">
        <f>IF(ISNUMBER(T3717),'자료_거시'!$D3699,"")</f>
        <v/>
      </c>
      <c r="V3717">
        <f>IF(ISNUMBER(U3717),IF(U3717&gt;$L$6,T3717,""),"")</f>
        <v/>
      </c>
      <c r="W3717">
        <f>IF(AND(ISNUMBER('자료_거시'!$G3699),ISNUMBER('자료_거시'!$H3699)),'자료_거시'!$H3699,"")</f>
        <v/>
      </c>
      <c r="X3717">
        <f>IF(ISNUMBER(W3717),'자료_거시'!$G3699,"")</f>
        <v/>
      </c>
      <c r="Y3717">
        <f>IF(ISNUMBER(X3717),IF(X3717&gt;$L$7,W3717,""),"")</f>
        <v/>
      </c>
      <c r="Z3717">
        <f>IF(ISNUMBER('자료_거시'!$K3699),'자료_거시'!$K3699,Z3716)</f>
        <v/>
      </c>
      <c r="AA3717">
        <f>IF(AND(ISNUMBER('자료_거시'!$J3699),ISNUMBER('자료_거시'!$K3699)),IFERROR('자료_거시'!$K3699/INDEX($Z$21:$Z$4020,MATCH(EDATE('자료_거시'!$J3699,-'설정'!$B$17),'자료_거시'!$J$3:INDEX('자료_거시'!$J$3:$J$4002,$K$8),1))-1,""),"")</f>
        <v/>
      </c>
      <c r="AB3717">
        <f>IF(ISNUMBER(AA3717),'자료_거시'!$J3699,"")</f>
        <v/>
      </c>
      <c r="AC3717">
        <f>IF(ISNUMBER(AB3717),IF(AB3717&gt;$L$8,AA3717,""),"")</f>
        <v/>
      </c>
    </row>
    <row r="3718">
      <c r="S3718">
        <f>IF(ISNUMBER('자료_거시'!$E3700),'자료_거시'!$E3700,S3717)</f>
        <v/>
      </c>
      <c r="T3718">
        <f>IF(AND(ISNUMBER('자료_거시'!$D3700),ISNUMBER('자료_거시'!$E3700)),IFERROR('자료_거시'!$E3700-INDEX($S$21:$S$4020,MATCH(EDATE('자료_거시'!$D3700,-'설정'!$B$17),'자료_거시'!$D$3:INDEX('자료_거시'!$D$3:$D$4002,$K$6),1)),""),"")</f>
        <v/>
      </c>
      <c r="U3718">
        <f>IF(ISNUMBER(T3718),'자료_거시'!$D3700,"")</f>
        <v/>
      </c>
      <c r="V3718">
        <f>IF(ISNUMBER(U3718),IF(U3718&gt;$L$6,T3718,""),"")</f>
        <v/>
      </c>
      <c r="W3718">
        <f>IF(AND(ISNUMBER('자료_거시'!$G3700),ISNUMBER('자료_거시'!$H3700)),'자료_거시'!$H3700,"")</f>
        <v/>
      </c>
      <c r="X3718">
        <f>IF(ISNUMBER(W3718),'자료_거시'!$G3700,"")</f>
        <v/>
      </c>
      <c r="Y3718">
        <f>IF(ISNUMBER(X3718),IF(X3718&gt;$L$7,W3718,""),"")</f>
        <v/>
      </c>
      <c r="Z3718">
        <f>IF(ISNUMBER('자료_거시'!$K3700),'자료_거시'!$K3700,Z3717)</f>
        <v/>
      </c>
      <c r="AA3718">
        <f>IF(AND(ISNUMBER('자료_거시'!$J3700),ISNUMBER('자료_거시'!$K3700)),IFERROR('자료_거시'!$K3700/INDEX($Z$21:$Z$4020,MATCH(EDATE('자료_거시'!$J3700,-'설정'!$B$17),'자료_거시'!$J$3:INDEX('자료_거시'!$J$3:$J$4002,$K$8),1))-1,""),"")</f>
        <v/>
      </c>
      <c r="AB3718">
        <f>IF(ISNUMBER(AA3718),'자료_거시'!$J3700,"")</f>
        <v/>
      </c>
      <c r="AC3718">
        <f>IF(ISNUMBER(AB3718),IF(AB3718&gt;$L$8,AA3718,""),"")</f>
        <v/>
      </c>
    </row>
    <row r="3719">
      <c r="S3719">
        <f>IF(ISNUMBER('자료_거시'!$E3701),'자료_거시'!$E3701,S3718)</f>
        <v/>
      </c>
      <c r="T3719">
        <f>IF(AND(ISNUMBER('자료_거시'!$D3701),ISNUMBER('자료_거시'!$E3701)),IFERROR('자료_거시'!$E3701-INDEX($S$21:$S$4020,MATCH(EDATE('자료_거시'!$D3701,-'설정'!$B$17),'자료_거시'!$D$3:INDEX('자료_거시'!$D$3:$D$4002,$K$6),1)),""),"")</f>
        <v/>
      </c>
      <c r="U3719">
        <f>IF(ISNUMBER(T3719),'자료_거시'!$D3701,"")</f>
        <v/>
      </c>
      <c r="V3719">
        <f>IF(ISNUMBER(U3719),IF(U3719&gt;$L$6,T3719,""),"")</f>
        <v/>
      </c>
      <c r="W3719">
        <f>IF(AND(ISNUMBER('자료_거시'!$G3701),ISNUMBER('자료_거시'!$H3701)),'자료_거시'!$H3701,"")</f>
        <v/>
      </c>
      <c r="X3719">
        <f>IF(ISNUMBER(W3719),'자료_거시'!$G3701,"")</f>
        <v/>
      </c>
      <c r="Y3719">
        <f>IF(ISNUMBER(X3719),IF(X3719&gt;$L$7,W3719,""),"")</f>
        <v/>
      </c>
      <c r="Z3719">
        <f>IF(ISNUMBER('자료_거시'!$K3701),'자료_거시'!$K3701,Z3718)</f>
        <v/>
      </c>
      <c r="AA3719">
        <f>IF(AND(ISNUMBER('자료_거시'!$J3701),ISNUMBER('자료_거시'!$K3701)),IFERROR('자료_거시'!$K3701/INDEX($Z$21:$Z$4020,MATCH(EDATE('자료_거시'!$J3701,-'설정'!$B$17),'자료_거시'!$J$3:INDEX('자료_거시'!$J$3:$J$4002,$K$8),1))-1,""),"")</f>
        <v/>
      </c>
      <c r="AB3719">
        <f>IF(ISNUMBER(AA3719),'자료_거시'!$J3701,"")</f>
        <v/>
      </c>
      <c r="AC3719">
        <f>IF(ISNUMBER(AB3719),IF(AB3719&gt;$L$8,AA3719,""),"")</f>
        <v/>
      </c>
    </row>
    <row r="3720">
      <c r="S3720">
        <f>IF(ISNUMBER('자료_거시'!$E3702),'자료_거시'!$E3702,S3719)</f>
        <v/>
      </c>
      <c r="T3720">
        <f>IF(AND(ISNUMBER('자료_거시'!$D3702),ISNUMBER('자료_거시'!$E3702)),IFERROR('자료_거시'!$E3702-INDEX($S$21:$S$4020,MATCH(EDATE('자료_거시'!$D3702,-'설정'!$B$17),'자료_거시'!$D$3:INDEX('자료_거시'!$D$3:$D$4002,$K$6),1)),""),"")</f>
        <v/>
      </c>
      <c r="U3720">
        <f>IF(ISNUMBER(T3720),'자료_거시'!$D3702,"")</f>
        <v/>
      </c>
      <c r="V3720">
        <f>IF(ISNUMBER(U3720),IF(U3720&gt;$L$6,T3720,""),"")</f>
        <v/>
      </c>
      <c r="W3720">
        <f>IF(AND(ISNUMBER('자료_거시'!$G3702),ISNUMBER('자료_거시'!$H3702)),'자료_거시'!$H3702,"")</f>
        <v/>
      </c>
      <c r="X3720">
        <f>IF(ISNUMBER(W3720),'자료_거시'!$G3702,"")</f>
        <v/>
      </c>
      <c r="Y3720">
        <f>IF(ISNUMBER(X3720),IF(X3720&gt;$L$7,W3720,""),"")</f>
        <v/>
      </c>
      <c r="Z3720">
        <f>IF(ISNUMBER('자료_거시'!$K3702),'자료_거시'!$K3702,Z3719)</f>
        <v/>
      </c>
      <c r="AA3720">
        <f>IF(AND(ISNUMBER('자료_거시'!$J3702),ISNUMBER('자료_거시'!$K3702)),IFERROR('자료_거시'!$K3702/INDEX($Z$21:$Z$4020,MATCH(EDATE('자료_거시'!$J3702,-'설정'!$B$17),'자료_거시'!$J$3:INDEX('자료_거시'!$J$3:$J$4002,$K$8),1))-1,""),"")</f>
        <v/>
      </c>
      <c r="AB3720">
        <f>IF(ISNUMBER(AA3720),'자료_거시'!$J3702,"")</f>
        <v/>
      </c>
      <c r="AC3720">
        <f>IF(ISNUMBER(AB3720),IF(AB3720&gt;$L$8,AA3720,""),"")</f>
        <v/>
      </c>
    </row>
    <row r="3721">
      <c r="S3721">
        <f>IF(ISNUMBER('자료_거시'!$E3703),'자료_거시'!$E3703,S3720)</f>
        <v/>
      </c>
      <c r="T3721">
        <f>IF(AND(ISNUMBER('자료_거시'!$D3703),ISNUMBER('자료_거시'!$E3703)),IFERROR('자료_거시'!$E3703-INDEX($S$21:$S$4020,MATCH(EDATE('자료_거시'!$D3703,-'설정'!$B$17),'자료_거시'!$D$3:INDEX('자료_거시'!$D$3:$D$4002,$K$6),1)),""),"")</f>
        <v/>
      </c>
      <c r="U3721">
        <f>IF(ISNUMBER(T3721),'자료_거시'!$D3703,"")</f>
        <v/>
      </c>
      <c r="V3721">
        <f>IF(ISNUMBER(U3721),IF(U3721&gt;$L$6,T3721,""),"")</f>
        <v/>
      </c>
      <c r="W3721">
        <f>IF(AND(ISNUMBER('자료_거시'!$G3703),ISNUMBER('자료_거시'!$H3703)),'자료_거시'!$H3703,"")</f>
        <v/>
      </c>
      <c r="X3721">
        <f>IF(ISNUMBER(W3721),'자료_거시'!$G3703,"")</f>
        <v/>
      </c>
      <c r="Y3721">
        <f>IF(ISNUMBER(X3721),IF(X3721&gt;$L$7,W3721,""),"")</f>
        <v/>
      </c>
      <c r="Z3721">
        <f>IF(ISNUMBER('자료_거시'!$K3703),'자료_거시'!$K3703,Z3720)</f>
        <v/>
      </c>
      <c r="AA3721">
        <f>IF(AND(ISNUMBER('자료_거시'!$J3703),ISNUMBER('자료_거시'!$K3703)),IFERROR('자료_거시'!$K3703/INDEX($Z$21:$Z$4020,MATCH(EDATE('자료_거시'!$J3703,-'설정'!$B$17),'자료_거시'!$J$3:INDEX('자료_거시'!$J$3:$J$4002,$K$8),1))-1,""),"")</f>
        <v/>
      </c>
      <c r="AB3721">
        <f>IF(ISNUMBER(AA3721),'자료_거시'!$J3703,"")</f>
        <v/>
      </c>
      <c r="AC3721">
        <f>IF(ISNUMBER(AB3721),IF(AB3721&gt;$L$8,AA3721,""),"")</f>
        <v/>
      </c>
    </row>
    <row r="3722">
      <c r="S3722">
        <f>IF(ISNUMBER('자료_거시'!$E3704),'자료_거시'!$E3704,S3721)</f>
        <v/>
      </c>
      <c r="T3722">
        <f>IF(AND(ISNUMBER('자료_거시'!$D3704),ISNUMBER('자료_거시'!$E3704)),IFERROR('자료_거시'!$E3704-INDEX($S$21:$S$4020,MATCH(EDATE('자료_거시'!$D3704,-'설정'!$B$17),'자료_거시'!$D$3:INDEX('자료_거시'!$D$3:$D$4002,$K$6),1)),""),"")</f>
        <v/>
      </c>
      <c r="U3722">
        <f>IF(ISNUMBER(T3722),'자료_거시'!$D3704,"")</f>
        <v/>
      </c>
      <c r="V3722">
        <f>IF(ISNUMBER(U3722),IF(U3722&gt;$L$6,T3722,""),"")</f>
        <v/>
      </c>
      <c r="W3722">
        <f>IF(AND(ISNUMBER('자료_거시'!$G3704),ISNUMBER('자료_거시'!$H3704)),'자료_거시'!$H3704,"")</f>
        <v/>
      </c>
      <c r="X3722">
        <f>IF(ISNUMBER(W3722),'자료_거시'!$G3704,"")</f>
        <v/>
      </c>
      <c r="Y3722">
        <f>IF(ISNUMBER(X3722),IF(X3722&gt;$L$7,W3722,""),"")</f>
        <v/>
      </c>
      <c r="Z3722">
        <f>IF(ISNUMBER('자료_거시'!$K3704),'자료_거시'!$K3704,Z3721)</f>
        <v/>
      </c>
      <c r="AA3722">
        <f>IF(AND(ISNUMBER('자료_거시'!$J3704),ISNUMBER('자료_거시'!$K3704)),IFERROR('자료_거시'!$K3704/INDEX($Z$21:$Z$4020,MATCH(EDATE('자료_거시'!$J3704,-'설정'!$B$17),'자료_거시'!$J$3:INDEX('자료_거시'!$J$3:$J$4002,$K$8),1))-1,""),"")</f>
        <v/>
      </c>
      <c r="AB3722">
        <f>IF(ISNUMBER(AA3722),'자료_거시'!$J3704,"")</f>
        <v/>
      </c>
      <c r="AC3722">
        <f>IF(ISNUMBER(AB3722),IF(AB3722&gt;$L$8,AA3722,""),"")</f>
        <v/>
      </c>
    </row>
    <row r="3723">
      <c r="S3723">
        <f>IF(ISNUMBER('자료_거시'!$E3705),'자료_거시'!$E3705,S3722)</f>
        <v/>
      </c>
      <c r="T3723">
        <f>IF(AND(ISNUMBER('자료_거시'!$D3705),ISNUMBER('자료_거시'!$E3705)),IFERROR('자료_거시'!$E3705-INDEX($S$21:$S$4020,MATCH(EDATE('자료_거시'!$D3705,-'설정'!$B$17),'자료_거시'!$D$3:INDEX('자료_거시'!$D$3:$D$4002,$K$6),1)),""),"")</f>
        <v/>
      </c>
      <c r="U3723">
        <f>IF(ISNUMBER(T3723),'자료_거시'!$D3705,"")</f>
        <v/>
      </c>
      <c r="V3723">
        <f>IF(ISNUMBER(U3723),IF(U3723&gt;$L$6,T3723,""),"")</f>
        <v/>
      </c>
      <c r="W3723">
        <f>IF(AND(ISNUMBER('자료_거시'!$G3705),ISNUMBER('자료_거시'!$H3705)),'자료_거시'!$H3705,"")</f>
        <v/>
      </c>
      <c r="X3723">
        <f>IF(ISNUMBER(W3723),'자료_거시'!$G3705,"")</f>
        <v/>
      </c>
      <c r="Y3723">
        <f>IF(ISNUMBER(X3723),IF(X3723&gt;$L$7,W3723,""),"")</f>
        <v/>
      </c>
      <c r="Z3723">
        <f>IF(ISNUMBER('자료_거시'!$K3705),'자료_거시'!$K3705,Z3722)</f>
        <v/>
      </c>
      <c r="AA3723">
        <f>IF(AND(ISNUMBER('자료_거시'!$J3705),ISNUMBER('자료_거시'!$K3705)),IFERROR('자료_거시'!$K3705/INDEX($Z$21:$Z$4020,MATCH(EDATE('자료_거시'!$J3705,-'설정'!$B$17),'자료_거시'!$J$3:INDEX('자료_거시'!$J$3:$J$4002,$K$8),1))-1,""),"")</f>
        <v/>
      </c>
      <c r="AB3723">
        <f>IF(ISNUMBER(AA3723),'자료_거시'!$J3705,"")</f>
        <v/>
      </c>
      <c r="AC3723">
        <f>IF(ISNUMBER(AB3723),IF(AB3723&gt;$L$8,AA3723,""),"")</f>
        <v/>
      </c>
    </row>
    <row r="3724">
      <c r="S3724">
        <f>IF(ISNUMBER('자료_거시'!$E3706),'자료_거시'!$E3706,S3723)</f>
        <v/>
      </c>
      <c r="T3724">
        <f>IF(AND(ISNUMBER('자료_거시'!$D3706),ISNUMBER('자료_거시'!$E3706)),IFERROR('자료_거시'!$E3706-INDEX($S$21:$S$4020,MATCH(EDATE('자료_거시'!$D3706,-'설정'!$B$17),'자료_거시'!$D$3:INDEX('자료_거시'!$D$3:$D$4002,$K$6),1)),""),"")</f>
        <v/>
      </c>
      <c r="U3724">
        <f>IF(ISNUMBER(T3724),'자료_거시'!$D3706,"")</f>
        <v/>
      </c>
      <c r="V3724">
        <f>IF(ISNUMBER(U3724),IF(U3724&gt;$L$6,T3724,""),"")</f>
        <v/>
      </c>
      <c r="W3724">
        <f>IF(AND(ISNUMBER('자료_거시'!$G3706),ISNUMBER('자료_거시'!$H3706)),'자료_거시'!$H3706,"")</f>
        <v/>
      </c>
      <c r="X3724">
        <f>IF(ISNUMBER(W3724),'자료_거시'!$G3706,"")</f>
        <v/>
      </c>
      <c r="Y3724">
        <f>IF(ISNUMBER(X3724),IF(X3724&gt;$L$7,W3724,""),"")</f>
        <v/>
      </c>
      <c r="Z3724">
        <f>IF(ISNUMBER('자료_거시'!$K3706),'자료_거시'!$K3706,Z3723)</f>
        <v/>
      </c>
      <c r="AA3724">
        <f>IF(AND(ISNUMBER('자료_거시'!$J3706),ISNUMBER('자료_거시'!$K3706)),IFERROR('자료_거시'!$K3706/INDEX($Z$21:$Z$4020,MATCH(EDATE('자료_거시'!$J3706,-'설정'!$B$17),'자료_거시'!$J$3:INDEX('자료_거시'!$J$3:$J$4002,$K$8),1))-1,""),"")</f>
        <v/>
      </c>
      <c r="AB3724">
        <f>IF(ISNUMBER(AA3724),'자료_거시'!$J3706,"")</f>
        <v/>
      </c>
      <c r="AC3724">
        <f>IF(ISNUMBER(AB3724),IF(AB3724&gt;$L$8,AA3724,""),"")</f>
        <v/>
      </c>
    </row>
    <row r="3725">
      <c r="S3725">
        <f>IF(ISNUMBER('자료_거시'!$E3707),'자료_거시'!$E3707,S3724)</f>
        <v/>
      </c>
      <c r="T3725">
        <f>IF(AND(ISNUMBER('자료_거시'!$D3707),ISNUMBER('자료_거시'!$E3707)),IFERROR('자료_거시'!$E3707-INDEX($S$21:$S$4020,MATCH(EDATE('자료_거시'!$D3707,-'설정'!$B$17),'자료_거시'!$D$3:INDEX('자료_거시'!$D$3:$D$4002,$K$6),1)),""),"")</f>
        <v/>
      </c>
      <c r="U3725">
        <f>IF(ISNUMBER(T3725),'자료_거시'!$D3707,"")</f>
        <v/>
      </c>
      <c r="V3725">
        <f>IF(ISNUMBER(U3725),IF(U3725&gt;$L$6,T3725,""),"")</f>
        <v/>
      </c>
      <c r="W3725">
        <f>IF(AND(ISNUMBER('자료_거시'!$G3707),ISNUMBER('자료_거시'!$H3707)),'자료_거시'!$H3707,"")</f>
        <v/>
      </c>
      <c r="X3725">
        <f>IF(ISNUMBER(W3725),'자료_거시'!$G3707,"")</f>
        <v/>
      </c>
      <c r="Y3725">
        <f>IF(ISNUMBER(X3725),IF(X3725&gt;$L$7,W3725,""),"")</f>
        <v/>
      </c>
      <c r="Z3725">
        <f>IF(ISNUMBER('자료_거시'!$K3707),'자료_거시'!$K3707,Z3724)</f>
        <v/>
      </c>
      <c r="AA3725">
        <f>IF(AND(ISNUMBER('자료_거시'!$J3707),ISNUMBER('자료_거시'!$K3707)),IFERROR('자료_거시'!$K3707/INDEX($Z$21:$Z$4020,MATCH(EDATE('자료_거시'!$J3707,-'설정'!$B$17),'자료_거시'!$J$3:INDEX('자료_거시'!$J$3:$J$4002,$K$8),1))-1,""),"")</f>
        <v/>
      </c>
      <c r="AB3725">
        <f>IF(ISNUMBER(AA3725),'자료_거시'!$J3707,"")</f>
        <v/>
      </c>
      <c r="AC3725">
        <f>IF(ISNUMBER(AB3725),IF(AB3725&gt;$L$8,AA3725,""),"")</f>
        <v/>
      </c>
    </row>
    <row r="3726">
      <c r="S3726">
        <f>IF(ISNUMBER('자료_거시'!$E3708),'자료_거시'!$E3708,S3725)</f>
        <v/>
      </c>
      <c r="T3726">
        <f>IF(AND(ISNUMBER('자료_거시'!$D3708),ISNUMBER('자료_거시'!$E3708)),IFERROR('자료_거시'!$E3708-INDEX($S$21:$S$4020,MATCH(EDATE('자료_거시'!$D3708,-'설정'!$B$17),'자료_거시'!$D$3:INDEX('자료_거시'!$D$3:$D$4002,$K$6),1)),""),"")</f>
        <v/>
      </c>
      <c r="U3726">
        <f>IF(ISNUMBER(T3726),'자료_거시'!$D3708,"")</f>
        <v/>
      </c>
      <c r="V3726">
        <f>IF(ISNUMBER(U3726),IF(U3726&gt;$L$6,T3726,""),"")</f>
        <v/>
      </c>
      <c r="W3726">
        <f>IF(AND(ISNUMBER('자료_거시'!$G3708),ISNUMBER('자료_거시'!$H3708)),'자료_거시'!$H3708,"")</f>
        <v/>
      </c>
      <c r="X3726">
        <f>IF(ISNUMBER(W3726),'자료_거시'!$G3708,"")</f>
        <v/>
      </c>
      <c r="Y3726">
        <f>IF(ISNUMBER(X3726),IF(X3726&gt;$L$7,W3726,""),"")</f>
        <v/>
      </c>
      <c r="Z3726">
        <f>IF(ISNUMBER('자료_거시'!$K3708),'자료_거시'!$K3708,Z3725)</f>
        <v/>
      </c>
      <c r="AA3726">
        <f>IF(AND(ISNUMBER('자료_거시'!$J3708),ISNUMBER('자료_거시'!$K3708)),IFERROR('자료_거시'!$K3708/INDEX($Z$21:$Z$4020,MATCH(EDATE('자료_거시'!$J3708,-'설정'!$B$17),'자료_거시'!$J$3:INDEX('자료_거시'!$J$3:$J$4002,$K$8),1))-1,""),"")</f>
        <v/>
      </c>
      <c r="AB3726">
        <f>IF(ISNUMBER(AA3726),'자료_거시'!$J3708,"")</f>
        <v/>
      </c>
      <c r="AC3726">
        <f>IF(ISNUMBER(AB3726),IF(AB3726&gt;$L$8,AA3726,""),"")</f>
        <v/>
      </c>
    </row>
    <row r="3727">
      <c r="S3727">
        <f>IF(ISNUMBER('자료_거시'!$E3709),'자료_거시'!$E3709,S3726)</f>
        <v/>
      </c>
      <c r="T3727">
        <f>IF(AND(ISNUMBER('자료_거시'!$D3709),ISNUMBER('자료_거시'!$E3709)),IFERROR('자료_거시'!$E3709-INDEX($S$21:$S$4020,MATCH(EDATE('자료_거시'!$D3709,-'설정'!$B$17),'자료_거시'!$D$3:INDEX('자료_거시'!$D$3:$D$4002,$K$6),1)),""),"")</f>
        <v/>
      </c>
      <c r="U3727">
        <f>IF(ISNUMBER(T3727),'자료_거시'!$D3709,"")</f>
        <v/>
      </c>
      <c r="V3727">
        <f>IF(ISNUMBER(U3727),IF(U3727&gt;$L$6,T3727,""),"")</f>
        <v/>
      </c>
      <c r="W3727">
        <f>IF(AND(ISNUMBER('자료_거시'!$G3709),ISNUMBER('자료_거시'!$H3709)),'자료_거시'!$H3709,"")</f>
        <v/>
      </c>
      <c r="X3727">
        <f>IF(ISNUMBER(W3727),'자료_거시'!$G3709,"")</f>
        <v/>
      </c>
      <c r="Y3727">
        <f>IF(ISNUMBER(X3727),IF(X3727&gt;$L$7,W3727,""),"")</f>
        <v/>
      </c>
      <c r="Z3727">
        <f>IF(ISNUMBER('자료_거시'!$K3709),'자료_거시'!$K3709,Z3726)</f>
        <v/>
      </c>
      <c r="AA3727">
        <f>IF(AND(ISNUMBER('자료_거시'!$J3709),ISNUMBER('자료_거시'!$K3709)),IFERROR('자료_거시'!$K3709/INDEX($Z$21:$Z$4020,MATCH(EDATE('자료_거시'!$J3709,-'설정'!$B$17),'자료_거시'!$J$3:INDEX('자료_거시'!$J$3:$J$4002,$K$8),1))-1,""),"")</f>
        <v/>
      </c>
      <c r="AB3727">
        <f>IF(ISNUMBER(AA3727),'자료_거시'!$J3709,"")</f>
        <v/>
      </c>
      <c r="AC3727">
        <f>IF(ISNUMBER(AB3727),IF(AB3727&gt;$L$8,AA3727,""),"")</f>
        <v/>
      </c>
    </row>
    <row r="3728">
      <c r="S3728">
        <f>IF(ISNUMBER('자료_거시'!$E3710),'자료_거시'!$E3710,S3727)</f>
        <v/>
      </c>
      <c r="T3728">
        <f>IF(AND(ISNUMBER('자료_거시'!$D3710),ISNUMBER('자료_거시'!$E3710)),IFERROR('자료_거시'!$E3710-INDEX($S$21:$S$4020,MATCH(EDATE('자료_거시'!$D3710,-'설정'!$B$17),'자료_거시'!$D$3:INDEX('자료_거시'!$D$3:$D$4002,$K$6),1)),""),"")</f>
        <v/>
      </c>
      <c r="U3728">
        <f>IF(ISNUMBER(T3728),'자료_거시'!$D3710,"")</f>
        <v/>
      </c>
      <c r="V3728">
        <f>IF(ISNUMBER(U3728),IF(U3728&gt;$L$6,T3728,""),"")</f>
        <v/>
      </c>
      <c r="W3728">
        <f>IF(AND(ISNUMBER('자료_거시'!$G3710),ISNUMBER('자료_거시'!$H3710)),'자료_거시'!$H3710,"")</f>
        <v/>
      </c>
      <c r="X3728">
        <f>IF(ISNUMBER(W3728),'자료_거시'!$G3710,"")</f>
        <v/>
      </c>
      <c r="Y3728">
        <f>IF(ISNUMBER(X3728),IF(X3728&gt;$L$7,W3728,""),"")</f>
        <v/>
      </c>
      <c r="Z3728">
        <f>IF(ISNUMBER('자료_거시'!$K3710),'자료_거시'!$K3710,Z3727)</f>
        <v/>
      </c>
      <c r="AA3728">
        <f>IF(AND(ISNUMBER('자료_거시'!$J3710),ISNUMBER('자료_거시'!$K3710)),IFERROR('자료_거시'!$K3710/INDEX($Z$21:$Z$4020,MATCH(EDATE('자료_거시'!$J3710,-'설정'!$B$17),'자료_거시'!$J$3:INDEX('자료_거시'!$J$3:$J$4002,$K$8),1))-1,""),"")</f>
        <v/>
      </c>
      <c r="AB3728">
        <f>IF(ISNUMBER(AA3728),'자료_거시'!$J3710,"")</f>
        <v/>
      </c>
      <c r="AC3728">
        <f>IF(ISNUMBER(AB3728),IF(AB3728&gt;$L$8,AA3728,""),"")</f>
        <v/>
      </c>
    </row>
    <row r="3729">
      <c r="S3729">
        <f>IF(ISNUMBER('자료_거시'!$E3711),'자료_거시'!$E3711,S3728)</f>
        <v/>
      </c>
      <c r="T3729">
        <f>IF(AND(ISNUMBER('자료_거시'!$D3711),ISNUMBER('자료_거시'!$E3711)),IFERROR('자료_거시'!$E3711-INDEX($S$21:$S$4020,MATCH(EDATE('자료_거시'!$D3711,-'설정'!$B$17),'자료_거시'!$D$3:INDEX('자료_거시'!$D$3:$D$4002,$K$6),1)),""),"")</f>
        <v/>
      </c>
      <c r="U3729">
        <f>IF(ISNUMBER(T3729),'자료_거시'!$D3711,"")</f>
        <v/>
      </c>
      <c r="V3729">
        <f>IF(ISNUMBER(U3729),IF(U3729&gt;$L$6,T3729,""),"")</f>
        <v/>
      </c>
      <c r="W3729">
        <f>IF(AND(ISNUMBER('자료_거시'!$G3711),ISNUMBER('자료_거시'!$H3711)),'자료_거시'!$H3711,"")</f>
        <v/>
      </c>
      <c r="X3729">
        <f>IF(ISNUMBER(W3729),'자료_거시'!$G3711,"")</f>
        <v/>
      </c>
      <c r="Y3729">
        <f>IF(ISNUMBER(X3729),IF(X3729&gt;$L$7,W3729,""),"")</f>
        <v/>
      </c>
      <c r="Z3729">
        <f>IF(ISNUMBER('자료_거시'!$K3711),'자료_거시'!$K3711,Z3728)</f>
        <v/>
      </c>
      <c r="AA3729">
        <f>IF(AND(ISNUMBER('자료_거시'!$J3711),ISNUMBER('자료_거시'!$K3711)),IFERROR('자료_거시'!$K3711/INDEX($Z$21:$Z$4020,MATCH(EDATE('자료_거시'!$J3711,-'설정'!$B$17),'자료_거시'!$J$3:INDEX('자료_거시'!$J$3:$J$4002,$K$8),1))-1,""),"")</f>
        <v/>
      </c>
      <c r="AB3729">
        <f>IF(ISNUMBER(AA3729),'자료_거시'!$J3711,"")</f>
        <v/>
      </c>
      <c r="AC3729">
        <f>IF(ISNUMBER(AB3729),IF(AB3729&gt;$L$8,AA3729,""),"")</f>
        <v/>
      </c>
    </row>
    <row r="3730">
      <c r="S3730">
        <f>IF(ISNUMBER('자료_거시'!$E3712),'자료_거시'!$E3712,S3729)</f>
        <v/>
      </c>
      <c r="T3730">
        <f>IF(AND(ISNUMBER('자료_거시'!$D3712),ISNUMBER('자료_거시'!$E3712)),IFERROR('자료_거시'!$E3712-INDEX($S$21:$S$4020,MATCH(EDATE('자료_거시'!$D3712,-'설정'!$B$17),'자료_거시'!$D$3:INDEX('자료_거시'!$D$3:$D$4002,$K$6),1)),""),"")</f>
        <v/>
      </c>
      <c r="U3730">
        <f>IF(ISNUMBER(T3730),'자료_거시'!$D3712,"")</f>
        <v/>
      </c>
      <c r="V3730">
        <f>IF(ISNUMBER(U3730),IF(U3730&gt;$L$6,T3730,""),"")</f>
        <v/>
      </c>
      <c r="W3730">
        <f>IF(AND(ISNUMBER('자료_거시'!$G3712),ISNUMBER('자료_거시'!$H3712)),'자료_거시'!$H3712,"")</f>
        <v/>
      </c>
      <c r="X3730">
        <f>IF(ISNUMBER(W3730),'자료_거시'!$G3712,"")</f>
        <v/>
      </c>
      <c r="Y3730">
        <f>IF(ISNUMBER(X3730),IF(X3730&gt;$L$7,W3730,""),"")</f>
        <v/>
      </c>
      <c r="Z3730">
        <f>IF(ISNUMBER('자료_거시'!$K3712),'자료_거시'!$K3712,Z3729)</f>
        <v/>
      </c>
      <c r="AA3730">
        <f>IF(AND(ISNUMBER('자료_거시'!$J3712),ISNUMBER('자료_거시'!$K3712)),IFERROR('자료_거시'!$K3712/INDEX($Z$21:$Z$4020,MATCH(EDATE('자료_거시'!$J3712,-'설정'!$B$17),'자료_거시'!$J$3:INDEX('자료_거시'!$J$3:$J$4002,$K$8),1))-1,""),"")</f>
        <v/>
      </c>
      <c r="AB3730">
        <f>IF(ISNUMBER(AA3730),'자료_거시'!$J3712,"")</f>
        <v/>
      </c>
      <c r="AC3730">
        <f>IF(ISNUMBER(AB3730),IF(AB3730&gt;$L$8,AA3730,""),"")</f>
        <v/>
      </c>
    </row>
    <row r="3731">
      <c r="S3731">
        <f>IF(ISNUMBER('자료_거시'!$E3713),'자료_거시'!$E3713,S3730)</f>
        <v/>
      </c>
      <c r="T3731">
        <f>IF(AND(ISNUMBER('자료_거시'!$D3713),ISNUMBER('자료_거시'!$E3713)),IFERROR('자료_거시'!$E3713-INDEX($S$21:$S$4020,MATCH(EDATE('자료_거시'!$D3713,-'설정'!$B$17),'자료_거시'!$D$3:INDEX('자료_거시'!$D$3:$D$4002,$K$6),1)),""),"")</f>
        <v/>
      </c>
      <c r="U3731">
        <f>IF(ISNUMBER(T3731),'자료_거시'!$D3713,"")</f>
        <v/>
      </c>
      <c r="V3731">
        <f>IF(ISNUMBER(U3731),IF(U3731&gt;$L$6,T3731,""),"")</f>
        <v/>
      </c>
      <c r="W3731">
        <f>IF(AND(ISNUMBER('자료_거시'!$G3713),ISNUMBER('자료_거시'!$H3713)),'자료_거시'!$H3713,"")</f>
        <v/>
      </c>
      <c r="X3731">
        <f>IF(ISNUMBER(W3731),'자료_거시'!$G3713,"")</f>
        <v/>
      </c>
      <c r="Y3731">
        <f>IF(ISNUMBER(X3731),IF(X3731&gt;$L$7,W3731,""),"")</f>
        <v/>
      </c>
      <c r="Z3731">
        <f>IF(ISNUMBER('자료_거시'!$K3713),'자료_거시'!$K3713,Z3730)</f>
        <v/>
      </c>
      <c r="AA3731">
        <f>IF(AND(ISNUMBER('자료_거시'!$J3713),ISNUMBER('자료_거시'!$K3713)),IFERROR('자료_거시'!$K3713/INDEX($Z$21:$Z$4020,MATCH(EDATE('자료_거시'!$J3713,-'설정'!$B$17),'자료_거시'!$J$3:INDEX('자료_거시'!$J$3:$J$4002,$K$8),1))-1,""),"")</f>
        <v/>
      </c>
      <c r="AB3731">
        <f>IF(ISNUMBER(AA3731),'자료_거시'!$J3713,"")</f>
        <v/>
      </c>
      <c r="AC3731">
        <f>IF(ISNUMBER(AB3731),IF(AB3731&gt;$L$8,AA3731,""),"")</f>
        <v/>
      </c>
    </row>
    <row r="3732">
      <c r="S3732">
        <f>IF(ISNUMBER('자료_거시'!$E3714),'자료_거시'!$E3714,S3731)</f>
        <v/>
      </c>
      <c r="T3732">
        <f>IF(AND(ISNUMBER('자료_거시'!$D3714),ISNUMBER('자료_거시'!$E3714)),IFERROR('자료_거시'!$E3714-INDEX($S$21:$S$4020,MATCH(EDATE('자료_거시'!$D3714,-'설정'!$B$17),'자료_거시'!$D$3:INDEX('자료_거시'!$D$3:$D$4002,$K$6),1)),""),"")</f>
        <v/>
      </c>
      <c r="U3732">
        <f>IF(ISNUMBER(T3732),'자료_거시'!$D3714,"")</f>
        <v/>
      </c>
      <c r="V3732">
        <f>IF(ISNUMBER(U3732),IF(U3732&gt;$L$6,T3732,""),"")</f>
        <v/>
      </c>
      <c r="W3732">
        <f>IF(AND(ISNUMBER('자료_거시'!$G3714),ISNUMBER('자료_거시'!$H3714)),'자료_거시'!$H3714,"")</f>
        <v/>
      </c>
      <c r="X3732">
        <f>IF(ISNUMBER(W3732),'자료_거시'!$G3714,"")</f>
        <v/>
      </c>
      <c r="Y3732">
        <f>IF(ISNUMBER(X3732),IF(X3732&gt;$L$7,W3732,""),"")</f>
        <v/>
      </c>
      <c r="Z3732">
        <f>IF(ISNUMBER('자료_거시'!$K3714),'자료_거시'!$K3714,Z3731)</f>
        <v/>
      </c>
      <c r="AA3732">
        <f>IF(AND(ISNUMBER('자료_거시'!$J3714),ISNUMBER('자료_거시'!$K3714)),IFERROR('자료_거시'!$K3714/INDEX($Z$21:$Z$4020,MATCH(EDATE('자료_거시'!$J3714,-'설정'!$B$17),'자료_거시'!$J$3:INDEX('자료_거시'!$J$3:$J$4002,$K$8),1))-1,""),"")</f>
        <v/>
      </c>
      <c r="AB3732">
        <f>IF(ISNUMBER(AA3732),'자료_거시'!$J3714,"")</f>
        <v/>
      </c>
      <c r="AC3732">
        <f>IF(ISNUMBER(AB3732),IF(AB3732&gt;$L$8,AA3732,""),"")</f>
        <v/>
      </c>
    </row>
    <row r="3733">
      <c r="S3733">
        <f>IF(ISNUMBER('자료_거시'!$E3715),'자료_거시'!$E3715,S3732)</f>
        <v/>
      </c>
      <c r="T3733">
        <f>IF(AND(ISNUMBER('자료_거시'!$D3715),ISNUMBER('자료_거시'!$E3715)),IFERROR('자료_거시'!$E3715-INDEX($S$21:$S$4020,MATCH(EDATE('자료_거시'!$D3715,-'설정'!$B$17),'자료_거시'!$D$3:INDEX('자료_거시'!$D$3:$D$4002,$K$6),1)),""),"")</f>
        <v/>
      </c>
      <c r="U3733">
        <f>IF(ISNUMBER(T3733),'자료_거시'!$D3715,"")</f>
        <v/>
      </c>
      <c r="V3733">
        <f>IF(ISNUMBER(U3733),IF(U3733&gt;$L$6,T3733,""),"")</f>
        <v/>
      </c>
      <c r="W3733">
        <f>IF(AND(ISNUMBER('자료_거시'!$G3715),ISNUMBER('자료_거시'!$H3715)),'자료_거시'!$H3715,"")</f>
        <v/>
      </c>
      <c r="X3733">
        <f>IF(ISNUMBER(W3733),'자료_거시'!$G3715,"")</f>
        <v/>
      </c>
      <c r="Y3733">
        <f>IF(ISNUMBER(X3733),IF(X3733&gt;$L$7,W3733,""),"")</f>
        <v/>
      </c>
      <c r="Z3733">
        <f>IF(ISNUMBER('자료_거시'!$K3715),'자료_거시'!$K3715,Z3732)</f>
        <v/>
      </c>
      <c r="AA3733">
        <f>IF(AND(ISNUMBER('자료_거시'!$J3715),ISNUMBER('자료_거시'!$K3715)),IFERROR('자료_거시'!$K3715/INDEX($Z$21:$Z$4020,MATCH(EDATE('자료_거시'!$J3715,-'설정'!$B$17),'자료_거시'!$J$3:INDEX('자료_거시'!$J$3:$J$4002,$K$8),1))-1,""),"")</f>
        <v/>
      </c>
      <c r="AB3733">
        <f>IF(ISNUMBER(AA3733),'자료_거시'!$J3715,"")</f>
        <v/>
      </c>
      <c r="AC3733">
        <f>IF(ISNUMBER(AB3733),IF(AB3733&gt;$L$8,AA3733,""),"")</f>
        <v/>
      </c>
    </row>
    <row r="3734">
      <c r="S3734">
        <f>IF(ISNUMBER('자료_거시'!$E3716),'자료_거시'!$E3716,S3733)</f>
        <v/>
      </c>
      <c r="T3734">
        <f>IF(AND(ISNUMBER('자료_거시'!$D3716),ISNUMBER('자료_거시'!$E3716)),IFERROR('자료_거시'!$E3716-INDEX($S$21:$S$4020,MATCH(EDATE('자료_거시'!$D3716,-'설정'!$B$17),'자료_거시'!$D$3:INDEX('자료_거시'!$D$3:$D$4002,$K$6),1)),""),"")</f>
        <v/>
      </c>
      <c r="U3734">
        <f>IF(ISNUMBER(T3734),'자료_거시'!$D3716,"")</f>
        <v/>
      </c>
      <c r="V3734">
        <f>IF(ISNUMBER(U3734),IF(U3734&gt;$L$6,T3734,""),"")</f>
        <v/>
      </c>
      <c r="W3734">
        <f>IF(AND(ISNUMBER('자료_거시'!$G3716),ISNUMBER('자료_거시'!$H3716)),'자료_거시'!$H3716,"")</f>
        <v/>
      </c>
      <c r="X3734">
        <f>IF(ISNUMBER(W3734),'자료_거시'!$G3716,"")</f>
        <v/>
      </c>
      <c r="Y3734">
        <f>IF(ISNUMBER(X3734),IF(X3734&gt;$L$7,W3734,""),"")</f>
        <v/>
      </c>
      <c r="Z3734">
        <f>IF(ISNUMBER('자료_거시'!$K3716),'자료_거시'!$K3716,Z3733)</f>
        <v/>
      </c>
      <c r="AA3734">
        <f>IF(AND(ISNUMBER('자료_거시'!$J3716),ISNUMBER('자료_거시'!$K3716)),IFERROR('자료_거시'!$K3716/INDEX($Z$21:$Z$4020,MATCH(EDATE('자료_거시'!$J3716,-'설정'!$B$17),'자료_거시'!$J$3:INDEX('자료_거시'!$J$3:$J$4002,$K$8),1))-1,""),"")</f>
        <v/>
      </c>
      <c r="AB3734">
        <f>IF(ISNUMBER(AA3734),'자료_거시'!$J3716,"")</f>
        <v/>
      </c>
      <c r="AC3734">
        <f>IF(ISNUMBER(AB3734),IF(AB3734&gt;$L$8,AA3734,""),"")</f>
        <v/>
      </c>
    </row>
    <row r="3735">
      <c r="S3735">
        <f>IF(ISNUMBER('자료_거시'!$E3717),'자료_거시'!$E3717,S3734)</f>
        <v/>
      </c>
      <c r="T3735">
        <f>IF(AND(ISNUMBER('자료_거시'!$D3717),ISNUMBER('자료_거시'!$E3717)),IFERROR('자료_거시'!$E3717-INDEX($S$21:$S$4020,MATCH(EDATE('자료_거시'!$D3717,-'설정'!$B$17),'자료_거시'!$D$3:INDEX('자료_거시'!$D$3:$D$4002,$K$6),1)),""),"")</f>
        <v/>
      </c>
      <c r="U3735">
        <f>IF(ISNUMBER(T3735),'자료_거시'!$D3717,"")</f>
        <v/>
      </c>
      <c r="V3735">
        <f>IF(ISNUMBER(U3735),IF(U3735&gt;$L$6,T3735,""),"")</f>
        <v/>
      </c>
      <c r="W3735">
        <f>IF(AND(ISNUMBER('자료_거시'!$G3717),ISNUMBER('자료_거시'!$H3717)),'자료_거시'!$H3717,"")</f>
        <v/>
      </c>
      <c r="X3735">
        <f>IF(ISNUMBER(W3735),'자료_거시'!$G3717,"")</f>
        <v/>
      </c>
      <c r="Y3735">
        <f>IF(ISNUMBER(X3735),IF(X3735&gt;$L$7,W3735,""),"")</f>
        <v/>
      </c>
      <c r="Z3735">
        <f>IF(ISNUMBER('자료_거시'!$K3717),'자료_거시'!$K3717,Z3734)</f>
        <v/>
      </c>
      <c r="AA3735">
        <f>IF(AND(ISNUMBER('자료_거시'!$J3717),ISNUMBER('자료_거시'!$K3717)),IFERROR('자료_거시'!$K3717/INDEX($Z$21:$Z$4020,MATCH(EDATE('자료_거시'!$J3717,-'설정'!$B$17),'자료_거시'!$J$3:INDEX('자료_거시'!$J$3:$J$4002,$K$8),1))-1,""),"")</f>
        <v/>
      </c>
      <c r="AB3735">
        <f>IF(ISNUMBER(AA3735),'자료_거시'!$J3717,"")</f>
        <v/>
      </c>
      <c r="AC3735">
        <f>IF(ISNUMBER(AB3735),IF(AB3735&gt;$L$8,AA3735,""),"")</f>
        <v/>
      </c>
    </row>
    <row r="3736">
      <c r="S3736">
        <f>IF(ISNUMBER('자료_거시'!$E3718),'자료_거시'!$E3718,S3735)</f>
        <v/>
      </c>
      <c r="T3736">
        <f>IF(AND(ISNUMBER('자료_거시'!$D3718),ISNUMBER('자료_거시'!$E3718)),IFERROR('자료_거시'!$E3718-INDEX($S$21:$S$4020,MATCH(EDATE('자료_거시'!$D3718,-'설정'!$B$17),'자료_거시'!$D$3:INDEX('자료_거시'!$D$3:$D$4002,$K$6),1)),""),"")</f>
        <v/>
      </c>
      <c r="U3736">
        <f>IF(ISNUMBER(T3736),'자료_거시'!$D3718,"")</f>
        <v/>
      </c>
      <c r="V3736">
        <f>IF(ISNUMBER(U3736),IF(U3736&gt;$L$6,T3736,""),"")</f>
        <v/>
      </c>
      <c r="W3736">
        <f>IF(AND(ISNUMBER('자료_거시'!$G3718),ISNUMBER('자료_거시'!$H3718)),'자료_거시'!$H3718,"")</f>
        <v/>
      </c>
      <c r="X3736">
        <f>IF(ISNUMBER(W3736),'자료_거시'!$G3718,"")</f>
        <v/>
      </c>
      <c r="Y3736">
        <f>IF(ISNUMBER(X3736),IF(X3736&gt;$L$7,W3736,""),"")</f>
        <v/>
      </c>
      <c r="Z3736">
        <f>IF(ISNUMBER('자료_거시'!$K3718),'자료_거시'!$K3718,Z3735)</f>
        <v/>
      </c>
      <c r="AA3736">
        <f>IF(AND(ISNUMBER('자료_거시'!$J3718),ISNUMBER('자료_거시'!$K3718)),IFERROR('자료_거시'!$K3718/INDEX($Z$21:$Z$4020,MATCH(EDATE('자료_거시'!$J3718,-'설정'!$B$17),'자료_거시'!$J$3:INDEX('자료_거시'!$J$3:$J$4002,$K$8),1))-1,""),"")</f>
        <v/>
      </c>
      <c r="AB3736">
        <f>IF(ISNUMBER(AA3736),'자료_거시'!$J3718,"")</f>
        <v/>
      </c>
      <c r="AC3736">
        <f>IF(ISNUMBER(AB3736),IF(AB3736&gt;$L$8,AA3736,""),"")</f>
        <v/>
      </c>
    </row>
    <row r="3737">
      <c r="S3737">
        <f>IF(ISNUMBER('자료_거시'!$E3719),'자료_거시'!$E3719,S3736)</f>
        <v/>
      </c>
      <c r="T3737">
        <f>IF(AND(ISNUMBER('자료_거시'!$D3719),ISNUMBER('자료_거시'!$E3719)),IFERROR('자료_거시'!$E3719-INDEX($S$21:$S$4020,MATCH(EDATE('자료_거시'!$D3719,-'설정'!$B$17),'자료_거시'!$D$3:INDEX('자료_거시'!$D$3:$D$4002,$K$6),1)),""),"")</f>
        <v/>
      </c>
      <c r="U3737">
        <f>IF(ISNUMBER(T3737),'자료_거시'!$D3719,"")</f>
        <v/>
      </c>
      <c r="V3737">
        <f>IF(ISNUMBER(U3737),IF(U3737&gt;$L$6,T3737,""),"")</f>
        <v/>
      </c>
      <c r="W3737">
        <f>IF(AND(ISNUMBER('자료_거시'!$G3719),ISNUMBER('자료_거시'!$H3719)),'자료_거시'!$H3719,"")</f>
        <v/>
      </c>
      <c r="X3737">
        <f>IF(ISNUMBER(W3737),'자료_거시'!$G3719,"")</f>
        <v/>
      </c>
      <c r="Y3737">
        <f>IF(ISNUMBER(X3737),IF(X3737&gt;$L$7,W3737,""),"")</f>
        <v/>
      </c>
      <c r="Z3737">
        <f>IF(ISNUMBER('자료_거시'!$K3719),'자료_거시'!$K3719,Z3736)</f>
        <v/>
      </c>
      <c r="AA3737">
        <f>IF(AND(ISNUMBER('자료_거시'!$J3719),ISNUMBER('자료_거시'!$K3719)),IFERROR('자료_거시'!$K3719/INDEX($Z$21:$Z$4020,MATCH(EDATE('자료_거시'!$J3719,-'설정'!$B$17),'자료_거시'!$J$3:INDEX('자료_거시'!$J$3:$J$4002,$K$8),1))-1,""),"")</f>
        <v/>
      </c>
      <c r="AB3737">
        <f>IF(ISNUMBER(AA3737),'자료_거시'!$J3719,"")</f>
        <v/>
      </c>
      <c r="AC3737">
        <f>IF(ISNUMBER(AB3737),IF(AB3737&gt;$L$8,AA3737,""),"")</f>
        <v/>
      </c>
    </row>
    <row r="3738">
      <c r="S3738">
        <f>IF(ISNUMBER('자료_거시'!$E3720),'자료_거시'!$E3720,S3737)</f>
        <v/>
      </c>
      <c r="T3738">
        <f>IF(AND(ISNUMBER('자료_거시'!$D3720),ISNUMBER('자료_거시'!$E3720)),IFERROR('자료_거시'!$E3720-INDEX($S$21:$S$4020,MATCH(EDATE('자료_거시'!$D3720,-'설정'!$B$17),'자료_거시'!$D$3:INDEX('자료_거시'!$D$3:$D$4002,$K$6),1)),""),"")</f>
        <v/>
      </c>
      <c r="U3738">
        <f>IF(ISNUMBER(T3738),'자료_거시'!$D3720,"")</f>
        <v/>
      </c>
      <c r="V3738">
        <f>IF(ISNUMBER(U3738),IF(U3738&gt;$L$6,T3738,""),"")</f>
        <v/>
      </c>
      <c r="W3738">
        <f>IF(AND(ISNUMBER('자료_거시'!$G3720),ISNUMBER('자료_거시'!$H3720)),'자료_거시'!$H3720,"")</f>
        <v/>
      </c>
      <c r="X3738">
        <f>IF(ISNUMBER(W3738),'자료_거시'!$G3720,"")</f>
        <v/>
      </c>
      <c r="Y3738">
        <f>IF(ISNUMBER(X3738),IF(X3738&gt;$L$7,W3738,""),"")</f>
        <v/>
      </c>
      <c r="Z3738">
        <f>IF(ISNUMBER('자료_거시'!$K3720),'자료_거시'!$K3720,Z3737)</f>
        <v/>
      </c>
      <c r="AA3738">
        <f>IF(AND(ISNUMBER('자료_거시'!$J3720),ISNUMBER('자료_거시'!$K3720)),IFERROR('자료_거시'!$K3720/INDEX($Z$21:$Z$4020,MATCH(EDATE('자료_거시'!$J3720,-'설정'!$B$17),'자료_거시'!$J$3:INDEX('자료_거시'!$J$3:$J$4002,$K$8),1))-1,""),"")</f>
        <v/>
      </c>
      <c r="AB3738">
        <f>IF(ISNUMBER(AA3738),'자료_거시'!$J3720,"")</f>
        <v/>
      </c>
      <c r="AC3738">
        <f>IF(ISNUMBER(AB3738),IF(AB3738&gt;$L$8,AA3738,""),"")</f>
        <v/>
      </c>
    </row>
    <row r="3739">
      <c r="S3739">
        <f>IF(ISNUMBER('자료_거시'!$E3721),'자료_거시'!$E3721,S3738)</f>
        <v/>
      </c>
      <c r="T3739">
        <f>IF(AND(ISNUMBER('자료_거시'!$D3721),ISNUMBER('자료_거시'!$E3721)),IFERROR('자료_거시'!$E3721-INDEX($S$21:$S$4020,MATCH(EDATE('자료_거시'!$D3721,-'설정'!$B$17),'자료_거시'!$D$3:INDEX('자료_거시'!$D$3:$D$4002,$K$6),1)),""),"")</f>
        <v/>
      </c>
      <c r="U3739">
        <f>IF(ISNUMBER(T3739),'자료_거시'!$D3721,"")</f>
        <v/>
      </c>
      <c r="V3739">
        <f>IF(ISNUMBER(U3739),IF(U3739&gt;$L$6,T3739,""),"")</f>
        <v/>
      </c>
      <c r="W3739">
        <f>IF(AND(ISNUMBER('자료_거시'!$G3721),ISNUMBER('자료_거시'!$H3721)),'자료_거시'!$H3721,"")</f>
        <v/>
      </c>
      <c r="X3739">
        <f>IF(ISNUMBER(W3739),'자료_거시'!$G3721,"")</f>
        <v/>
      </c>
      <c r="Y3739">
        <f>IF(ISNUMBER(X3739),IF(X3739&gt;$L$7,W3739,""),"")</f>
        <v/>
      </c>
      <c r="Z3739">
        <f>IF(ISNUMBER('자료_거시'!$K3721),'자료_거시'!$K3721,Z3738)</f>
        <v/>
      </c>
      <c r="AA3739">
        <f>IF(AND(ISNUMBER('자료_거시'!$J3721),ISNUMBER('자료_거시'!$K3721)),IFERROR('자료_거시'!$K3721/INDEX($Z$21:$Z$4020,MATCH(EDATE('자료_거시'!$J3721,-'설정'!$B$17),'자료_거시'!$J$3:INDEX('자료_거시'!$J$3:$J$4002,$K$8),1))-1,""),"")</f>
        <v/>
      </c>
      <c r="AB3739">
        <f>IF(ISNUMBER(AA3739),'자료_거시'!$J3721,"")</f>
        <v/>
      </c>
      <c r="AC3739">
        <f>IF(ISNUMBER(AB3739),IF(AB3739&gt;$L$8,AA3739,""),"")</f>
        <v/>
      </c>
    </row>
    <row r="3740">
      <c r="S3740">
        <f>IF(ISNUMBER('자료_거시'!$E3722),'자료_거시'!$E3722,S3739)</f>
        <v/>
      </c>
      <c r="T3740">
        <f>IF(AND(ISNUMBER('자료_거시'!$D3722),ISNUMBER('자료_거시'!$E3722)),IFERROR('자료_거시'!$E3722-INDEX($S$21:$S$4020,MATCH(EDATE('자료_거시'!$D3722,-'설정'!$B$17),'자료_거시'!$D$3:INDEX('자료_거시'!$D$3:$D$4002,$K$6),1)),""),"")</f>
        <v/>
      </c>
      <c r="U3740">
        <f>IF(ISNUMBER(T3740),'자료_거시'!$D3722,"")</f>
        <v/>
      </c>
      <c r="V3740">
        <f>IF(ISNUMBER(U3740),IF(U3740&gt;$L$6,T3740,""),"")</f>
        <v/>
      </c>
      <c r="W3740">
        <f>IF(AND(ISNUMBER('자료_거시'!$G3722),ISNUMBER('자료_거시'!$H3722)),'자료_거시'!$H3722,"")</f>
        <v/>
      </c>
      <c r="X3740">
        <f>IF(ISNUMBER(W3740),'자료_거시'!$G3722,"")</f>
        <v/>
      </c>
      <c r="Y3740">
        <f>IF(ISNUMBER(X3740),IF(X3740&gt;$L$7,W3740,""),"")</f>
        <v/>
      </c>
      <c r="Z3740">
        <f>IF(ISNUMBER('자료_거시'!$K3722),'자료_거시'!$K3722,Z3739)</f>
        <v/>
      </c>
      <c r="AA3740">
        <f>IF(AND(ISNUMBER('자료_거시'!$J3722),ISNUMBER('자료_거시'!$K3722)),IFERROR('자료_거시'!$K3722/INDEX($Z$21:$Z$4020,MATCH(EDATE('자료_거시'!$J3722,-'설정'!$B$17),'자료_거시'!$J$3:INDEX('자료_거시'!$J$3:$J$4002,$K$8),1))-1,""),"")</f>
        <v/>
      </c>
      <c r="AB3740">
        <f>IF(ISNUMBER(AA3740),'자료_거시'!$J3722,"")</f>
        <v/>
      </c>
      <c r="AC3740">
        <f>IF(ISNUMBER(AB3740),IF(AB3740&gt;$L$8,AA3740,""),"")</f>
        <v/>
      </c>
    </row>
    <row r="3741">
      <c r="S3741">
        <f>IF(ISNUMBER('자료_거시'!$E3723),'자료_거시'!$E3723,S3740)</f>
        <v/>
      </c>
      <c r="T3741">
        <f>IF(AND(ISNUMBER('자료_거시'!$D3723),ISNUMBER('자료_거시'!$E3723)),IFERROR('자료_거시'!$E3723-INDEX($S$21:$S$4020,MATCH(EDATE('자료_거시'!$D3723,-'설정'!$B$17),'자료_거시'!$D$3:INDEX('자료_거시'!$D$3:$D$4002,$K$6),1)),""),"")</f>
        <v/>
      </c>
      <c r="U3741">
        <f>IF(ISNUMBER(T3741),'자료_거시'!$D3723,"")</f>
        <v/>
      </c>
      <c r="V3741">
        <f>IF(ISNUMBER(U3741),IF(U3741&gt;$L$6,T3741,""),"")</f>
        <v/>
      </c>
      <c r="W3741">
        <f>IF(AND(ISNUMBER('자료_거시'!$G3723),ISNUMBER('자료_거시'!$H3723)),'자료_거시'!$H3723,"")</f>
        <v/>
      </c>
      <c r="X3741">
        <f>IF(ISNUMBER(W3741),'자료_거시'!$G3723,"")</f>
        <v/>
      </c>
      <c r="Y3741">
        <f>IF(ISNUMBER(X3741),IF(X3741&gt;$L$7,W3741,""),"")</f>
        <v/>
      </c>
      <c r="Z3741">
        <f>IF(ISNUMBER('자료_거시'!$K3723),'자료_거시'!$K3723,Z3740)</f>
        <v/>
      </c>
      <c r="AA3741">
        <f>IF(AND(ISNUMBER('자료_거시'!$J3723),ISNUMBER('자료_거시'!$K3723)),IFERROR('자료_거시'!$K3723/INDEX($Z$21:$Z$4020,MATCH(EDATE('자료_거시'!$J3723,-'설정'!$B$17),'자료_거시'!$J$3:INDEX('자료_거시'!$J$3:$J$4002,$K$8),1))-1,""),"")</f>
        <v/>
      </c>
      <c r="AB3741">
        <f>IF(ISNUMBER(AA3741),'자료_거시'!$J3723,"")</f>
        <v/>
      </c>
      <c r="AC3741">
        <f>IF(ISNUMBER(AB3741),IF(AB3741&gt;$L$8,AA3741,""),"")</f>
        <v/>
      </c>
    </row>
    <row r="3742">
      <c r="S3742">
        <f>IF(ISNUMBER('자료_거시'!$E3724),'자료_거시'!$E3724,S3741)</f>
        <v/>
      </c>
      <c r="T3742">
        <f>IF(AND(ISNUMBER('자료_거시'!$D3724),ISNUMBER('자료_거시'!$E3724)),IFERROR('자료_거시'!$E3724-INDEX($S$21:$S$4020,MATCH(EDATE('자료_거시'!$D3724,-'설정'!$B$17),'자료_거시'!$D$3:INDEX('자료_거시'!$D$3:$D$4002,$K$6),1)),""),"")</f>
        <v/>
      </c>
      <c r="U3742">
        <f>IF(ISNUMBER(T3742),'자료_거시'!$D3724,"")</f>
        <v/>
      </c>
      <c r="V3742">
        <f>IF(ISNUMBER(U3742),IF(U3742&gt;$L$6,T3742,""),"")</f>
        <v/>
      </c>
      <c r="W3742">
        <f>IF(AND(ISNUMBER('자료_거시'!$G3724),ISNUMBER('자료_거시'!$H3724)),'자료_거시'!$H3724,"")</f>
        <v/>
      </c>
      <c r="X3742">
        <f>IF(ISNUMBER(W3742),'자료_거시'!$G3724,"")</f>
        <v/>
      </c>
      <c r="Y3742">
        <f>IF(ISNUMBER(X3742),IF(X3742&gt;$L$7,W3742,""),"")</f>
        <v/>
      </c>
      <c r="Z3742">
        <f>IF(ISNUMBER('자료_거시'!$K3724),'자료_거시'!$K3724,Z3741)</f>
        <v/>
      </c>
      <c r="AA3742">
        <f>IF(AND(ISNUMBER('자료_거시'!$J3724),ISNUMBER('자료_거시'!$K3724)),IFERROR('자료_거시'!$K3724/INDEX($Z$21:$Z$4020,MATCH(EDATE('자료_거시'!$J3724,-'설정'!$B$17),'자료_거시'!$J$3:INDEX('자료_거시'!$J$3:$J$4002,$K$8),1))-1,""),"")</f>
        <v/>
      </c>
      <c r="AB3742">
        <f>IF(ISNUMBER(AA3742),'자료_거시'!$J3724,"")</f>
        <v/>
      </c>
      <c r="AC3742">
        <f>IF(ISNUMBER(AB3742),IF(AB3742&gt;$L$8,AA3742,""),"")</f>
        <v/>
      </c>
    </row>
    <row r="3743">
      <c r="S3743">
        <f>IF(ISNUMBER('자료_거시'!$E3725),'자료_거시'!$E3725,S3742)</f>
        <v/>
      </c>
      <c r="T3743">
        <f>IF(AND(ISNUMBER('자료_거시'!$D3725),ISNUMBER('자료_거시'!$E3725)),IFERROR('자료_거시'!$E3725-INDEX($S$21:$S$4020,MATCH(EDATE('자료_거시'!$D3725,-'설정'!$B$17),'자료_거시'!$D$3:INDEX('자료_거시'!$D$3:$D$4002,$K$6),1)),""),"")</f>
        <v/>
      </c>
      <c r="U3743">
        <f>IF(ISNUMBER(T3743),'자료_거시'!$D3725,"")</f>
        <v/>
      </c>
      <c r="V3743">
        <f>IF(ISNUMBER(U3743),IF(U3743&gt;$L$6,T3743,""),"")</f>
        <v/>
      </c>
      <c r="W3743">
        <f>IF(AND(ISNUMBER('자료_거시'!$G3725),ISNUMBER('자료_거시'!$H3725)),'자료_거시'!$H3725,"")</f>
        <v/>
      </c>
      <c r="X3743">
        <f>IF(ISNUMBER(W3743),'자료_거시'!$G3725,"")</f>
        <v/>
      </c>
      <c r="Y3743">
        <f>IF(ISNUMBER(X3743),IF(X3743&gt;$L$7,W3743,""),"")</f>
        <v/>
      </c>
      <c r="Z3743">
        <f>IF(ISNUMBER('자료_거시'!$K3725),'자료_거시'!$K3725,Z3742)</f>
        <v/>
      </c>
      <c r="AA3743">
        <f>IF(AND(ISNUMBER('자료_거시'!$J3725),ISNUMBER('자료_거시'!$K3725)),IFERROR('자료_거시'!$K3725/INDEX($Z$21:$Z$4020,MATCH(EDATE('자료_거시'!$J3725,-'설정'!$B$17),'자료_거시'!$J$3:INDEX('자료_거시'!$J$3:$J$4002,$K$8),1))-1,""),"")</f>
        <v/>
      </c>
      <c r="AB3743">
        <f>IF(ISNUMBER(AA3743),'자료_거시'!$J3725,"")</f>
        <v/>
      </c>
      <c r="AC3743">
        <f>IF(ISNUMBER(AB3743),IF(AB3743&gt;$L$8,AA3743,""),"")</f>
        <v/>
      </c>
    </row>
    <row r="3744">
      <c r="S3744">
        <f>IF(ISNUMBER('자료_거시'!$E3726),'자료_거시'!$E3726,S3743)</f>
        <v/>
      </c>
      <c r="T3744">
        <f>IF(AND(ISNUMBER('자료_거시'!$D3726),ISNUMBER('자료_거시'!$E3726)),IFERROR('자료_거시'!$E3726-INDEX($S$21:$S$4020,MATCH(EDATE('자료_거시'!$D3726,-'설정'!$B$17),'자료_거시'!$D$3:INDEX('자료_거시'!$D$3:$D$4002,$K$6),1)),""),"")</f>
        <v/>
      </c>
      <c r="U3744">
        <f>IF(ISNUMBER(T3744),'자료_거시'!$D3726,"")</f>
        <v/>
      </c>
      <c r="V3744">
        <f>IF(ISNUMBER(U3744),IF(U3744&gt;$L$6,T3744,""),"")</f>
        <v/>
      </c>
      <c r="W3744">
        <f>IF(AND(ISNUMBER('자료_거시'!$G3726),ISNUMBER('자료_거시'!$H3726)),'자료_거시'!$H3726,"")</f>
        <v/>
      </c>
      <c r="X3744">
        <f>IF(ISNUMBER(W3744),'자료_거시'!$G3726,"")</f>
        <v/>
      </c>
      <c r="Y3744">
        <f>IF(ISNUMBER(X3744),IF(X3744&gt;$L$7,W3744,""),"")</f>
        <v/>
      </c>
      <c r="Z3744">
        <f>IF(ISNUMBER('자료_거시'!$K3726),'자료_거시'!$K3726,Z3743)</f>
        <v/>
      </c>
      <c r="AA3744">
        <f>IF(AND(ISNUMBER('자료_거시'!$J3726),ISNUMBER('자료_거시'!$K3726)),IFERROR('자료_거시'!$K3726/INDEX($Z$21:$Z$4020,MATCH(EDATE('자료_거시'!$J3726,-'설정'!$B$17),'자료_거시'!$J$3:INDEX('자료_거시'!$J$3:$J$4002,$K$8),1))-1,""),"")</f>
        <v/>
      </c>
      <c r="AB3744">
        <f>IF(ISNUMBER(AA3744),'자료_거시'!$J3726,"")</f>
        <v/>
      </c>
      <c r="AC3744">
        <f>IF(ISNUMBER(AB3744),IF(AB3744&gt;$L$8,AA3744,""),"")</f>
        <v/>
      </c>
    </row>
    <row r="3745">
      <c r="S3745">
        <f>IF(ISNUMBER('자료_거시'!$E3727),'자료_거시'!$E3727,S3744)</f>
        <v/>
      </c>
      <c r="T3745">
        <f>IF(AND(ISNUMBER('자료_거시'!$D3727),ISNUMBER('자료_거시'!$E3727)),IFERROR('자료_거시'!$E3727-INDEX($S$21:$S$4020,MATCH(EDATE('자료_거시'!$D3727,-'설정'!$B$17),'자료_거시'!$D$3:INDEX('자료_거시'!$D$3:$D$4002,$K$6),1)),""),"")</f>
        <v/>
      </c>
      <c r="U3745">
        <f>IF(ISNUMBER(T3745),'자료_거시'!$D3727,"")</f>
        <v/>
      </c>
      <c r="V3745">
        <f>IF(ISNUMBER(U3745),IF(U3745&gt;$L$6,T3745,""),"")</f>
        <v/>
      </c>
      <c r="W3745">
        <f>IF(AND(ISNUMBER('자료_거시'!$G3727),ISNUMBER('자료_거시'!$H3727)),'자료_거시'!$H3727,"")</f>
        <v/>
      </c>
      <c r="X3745">
        <f>IF(ISNUMBER(W3745),'자료_거시'!$G3727,"")</f>
        <v/>
      </c>
      <c r="Y3745">
        <f>IF(ISNUMBER(X3745),IF(X3745&gt;$L$7,W3745,""),"")</f>
        <v/>
      </c>
      <c r="Z3745">
        <f>IF(ISNUMBER('자료_거시'!$K3727),'자료_거시'!$K3727,Z3744)</f>
        <v/>
      </c>
      <c r="AA3745">
        <f>IF(AND(ISNUMBER('자료_거시'!$J3727),ISNUMBER('자료_거시'!$K3727)),IFERROR('자료_거시'!$K3727/INDEX($Z$21:$Z$4020,MATCH(EDATE('자료_거시'!$J3727,-'설정'!$B$17),'자료_거시'!$J$3:INDEX('자료_거시'!$J$3:$J$4002,$K$8),1))-1,""),"")</f>
        <v/>
      </c>
      <c r="AB3745">
        <f>IF(ISNUMBER(AA3745),'자료_거시'!$J3727,"")</f>
        <v/>
      </c>
      <c r="AC3745">
        <f>IF(ISNUMBER(AB3745),IF(AB3745&gt;$L$8,AA3745,""),"")</f>
        <v/>
      </c>
    </row>
    <row r="3746">
      <c r="S3746">
        <f>IF(ISNUMBER('자료_거시'!$E3728),'자료_거시'!$E3728,S3745)</f>
        <v/>
      </c>
      <c r="T3746">
        <f>IF(AND(ISNUMBER('자료_거시'!$D3728),ISNUMBER('자료_거시'!$E3728)),IFERROR('자료_거시'!$E3728-INDEX($S$21:$S$4020,MATCH(EDATE('자료_거시'!$D3728,-'설정'!$B$17),'자료_거시'!$D$3:INDEX('자료_거시'!$D$3:$D$4002,$K$6),1)),""),"")</f>
        <v/>
      </c>
      <c r="U3746">
        <f>IF(ISNUMBER(T3746),'자료_거시'!$D3728,"")</f>
        <v/>
      </c>
      <c r="V3746">
        <f>IF(ISNUMBER(U3746),IF(U3746&gt;$L$6,T3746,""),"")</f>
        <v/>
      </c>
      <c r="W3746">
        <f>IF(AND(ISNUMBER('자료_거시'!$G3728),ISNUMBER('자료_거시'!$H3728)),'자료_거시'!$H3728,"")</f>
        <v/>
      </c>
      <c r="X3746">
        <f>IF(ISNUMBER(W3746),'자료_거시'!$G3728,"")</f>
        <v/>
      </c>
      <c r="Y3746">
        <f>IF(ISNUMBER(X3746),IF(X3746&gt;$L$7,W3746,""),"")</f>
        <v/>
      </c>
      <c r="Z3746">
        <f>IF(ISNUMBER('자료_거시'!$K3728),'자료_거시'!$K3728,Z3745)</f>
        <v/>
      </c>
      <c r="AA3746">
        <f>IF(AND(ISNUMBER('자료_거시'!$J3728),ISNUMBER('자료_거시'!$K3728)),IFERROR('자료_거시'!$K3728/INDEX($Z$21:$Z$4020,MATCH(EDATE('자료_거시'!$J3728,-'설정'!$B$17),'자료_거시'!$J$3:INDEX('자료_거시'!$J$3:$J$4002,$K$8),1))-1,""),"")</f>
        <v/>
      </c>
      <c r="AB3746">
        <f>IF(ISNUMBER(AA3746),'자료_거시'!$J3728,"")</f>
        <v/>
      </c>
      <c r="AC3746">
        <f>IF(ISNUMBER(AB3746),IF(AB3746&gt;$L$8,AA3746,""),"")</f>
        <v/>
      </c>
    </row>
    <row r="3747">
      <c r="S3747">
        <f>IF(ISNUMBER('자료_거시'!$E3729),'자료_거시'!$E3729,S3746)</f>
        <v/>
      </c>
      <c r="T3747">
        <f>IF(AND(ISNUMBER('자료_거시'!$D3729),ISNUMBER('자료_거시'!$E3729)),IFERROR('자료_거시'!$E3729-INDEX($S$21:$S$4020,MATCH(EDATE('자료_거시'!$D3729,-'설정'!$B$17),'자료_거시'!$D$3:INDEX('자료_거시'!$D$3:$D$4002,$K$6),1)),""),"")</f>
        <v/>
      </c>
      <c r="U3747">
        <f>IF(ISNUMBER(T3747),'자료_거시'!$D3729,"")</f>
        <v/>
      </c>
      <c r="V3747">
        <f>IF(ISNUMBER(U3747),IF(U3747&gt;$L$6,T3747,""),"")</f>
        <v/>
      </c>
      <c r="W3747">
        <f>IF(AND(ISNUMBER('자료_거시'!$G3729),ISNUMBER('자료_거시'!$H3729)),'자료_거시'!$H3729,"")</f>
        <v/>
      </c>
      <c r="X3747">
        <f>IF(ISNUMBER(W3747),'자료_거시'!$G3729,"")</f>
        <v/>
      </c>
      <c r="Y3747">
        <f>IF(ISNUMBER(X3747),IF(X3747&gt;$L$7,W3747,""),"")</f>
        <v/>
      </c>
      <c r="Z3747">
        <f>IF(ISNUMBER('자료_거시'!$K3729),'자료_거시'!$K3729,Z3746)</f>
        <v/>
      </c>
      <c r="AA3747">
        <f>IF(AND(ISNUMBER('자료_거시'!$J3729),ISNUMBER('자료_거시'!$K3729)),IFERROR('자료_거시'!$K3729/INDEX($Z$21:$Z$4020,MATCH(EDATE('자료_거시'!$J3729,-'설정'!$B$17),'자료_거시'!$J$3:INDEX('자료_거시'!$J$3:$J$4002,$K$8),1))-1,""),"")</f>
        <v/>
      </c>
      <c r="AB3747">
        <f>IF(ISNUMBER(AA3747),'자료_거시'!$J3729,"")</f>
        <v/>
      </c>
      <c r="AC3747">
        <f>IF(ISNUMBER(AB3747),IF(AB3747&gt;$L$8,AA3747,""),"")</f>
        <v/>
      </c>
    </row>
    <row r="3748">
      <c r="S3748">
        <f>IF(ISNUMBER('자료_거시'!$E3730),'자료_거시'!$E3730,S3747)</f>
        <v/>
      </c>
      <c r="T3748">
        <f>IF(AND(ISNUMBER('자료_거시'!$D3730),ISNUMBER('자료_거시'!$E3730)),IFERROR('자료_거시'!$E3730-INDEX($S$21:$S$4020,MATCH(EDATE('자료_거시'!$D3730,-'설정'!$B$17),'자료_거시'!$D$3:INDEX('자료_거시'!$D$3:$D$4002,$K$6),1)),""),"")</f>
        <v/>
      </c>
      <c r="U3748">
        <f>IF(ISNUMBER(T3748),'자료_거시'!$D3730,"")</f>
        <v/>
      </c>
      <c r="V3748">
        <f>IF(ISNUMBER(U3748),IF(U3748&gt;$L$6,T3748,""),"")</f>
        <v/>
      </c>
      <c r="W3748">
        <f>IF(AND(ISNUMBER('자료_거시'!$G3730),ISNUMBER('자료_거시'!$H3730)),'자료_거시'!$H3730,"")</f>
        <v/>
      </c>
      <c r="X3748">
        <f>IF(ISNUMBER(W3748),'자료_거시'!$G3730,"")</f>
        <v/>
      </c>
      <c r="Y3748">
        <f>IF(ISNUMBER(X3748),IF(X3748&gt;$L$7,W3748,""),"")</f>
        <v/>
      </c>
      <c r="Z3748">
        <f>IF(ISNUMBER('자료_거시'!$K3730),'자료_거시'!$K3730,Z3747)</f>
        <v/>
      </c>
      <c r="AA3748">
        <f>IF(AND(ISNUMBER('자료_거시'!$J3730),ISNUMBER('자료_거시'!$K3730)),IFERROR('자료_거시'!$K3730/INDEX($Z$21:$Z$4020,MATCH(EDATE('자료_거시'!$J3730,-'설정'!$B$17),'자료_거시'!$J$3:INDEX('자료_거시'!$J$3:$J$4002,$K$8),1))-1,""),"")</f>
        <v/>
      </c>
      <c r="AB3748">
        <f>IF(ISNUMBER(AA3748),'자료_거시'!$J3730,"")</f>
        <v/>
      </c>
      <c r="AC3748">
        <f>IF(ISNUMBER(AB3748),IF(AB3748&gt;$L$8,AA3748,""),"")</f>
        <v/>
      </c>
    </row>
    <row r="3749">
      <c r="S3749">
        <f>IF(ISNUMBER('자료_거시'!$E3731),'자료_거시'!$E3731,S3748)</f>
        <v/>
      </c>
      <c r="T3749">
        <f>IF(AND(ISNUMBER('자료_거시'!$D3731),ISNUMBER('자료_거시'!$E3731)),IFERROR('자료_거시'!$E3731-INDEX($S$21:$S$4020,MATCH(EDATE('자료_거시'!$D3731,-'설정'!$B$17),'자료_거시'!$D$3:INDEX('자료_거시'!$D$3:$D$4002,$K$6),1)),""),"")</f>
        <v/>
      </c>
      <c r="U3749">
        <f>IF(ISNUMBER(T3749),'자료_거시'!$D3731,"")</f>
        <v/>
      </c>
      <c r="V3749">
        <f>IF(ISNUMBER(U3749),IF(U3749&gt;$L$6,T3749,""),"")</f>
        <v/>
      </c>
      <c r="W3749">
        <f>IF(AND(ISNUMBER('자료_거시'!$G3731),ISNUMBER('자료_거시'!$H3731)),'자료_거시'!$H3731,"")</f>
        <v/>
      </c>
      <c r="X3749">
        <f>IF(ISNUMBER(W3749),'자료_거시'!$G3731,"")</f>
        <v/>
      </c>
      <c r="Y3749">
        <f>IF(ISNUMBER(X3749),IF(X3749&gt;$L$7,W3749,""),"")</f>
        <v/>
      </c>
      <c r="Z3749">
        <f>IF(ISNUMBER('자료_거시'!$K3731),'자료_거시'!$K3731,Z3748)</f>
        <v/>
      </c>
      <c r="AA3749">
        <f>IF(AND(ISNUMBER('자료_거시'!$J3731),ISNUMBER('자료_거시'!$K3731)),IFERROR('자료_거시'!$K3731/INDEX($Z$21:$Z$4020,MATCH(EDATE('자료_거시'!$J3731,-'설정'!$B$17),'자료_거시'!$J$3:INDEX('자료_거시'!$J$3:$J$4002,$K$8),1))-1,""),"")</f>
        <v/>
      </c>
      <c r="AB3749">
        <f>IF(ISNUMBER(AA3749),'자료_거시'!$J3731,"")</f>
        <v/>
      </c>
      <c r="AC3749">
        <f>IF(ISNUMBER(AB3749),IF(AB3749&gt;$L$8,AA3749,""),"")</f>
        <v/>
      </c>
    </row>
    <row r="3750">
      <c r="S3750">
        <f>IF(ISNUMBER('자료_거시'!$E3732),'자료_거시'!$E3732,S3749)</f>
        <v/>
      </c>
      <c r="T3750">
        <f>IF(AND(ISNUMBER('자료_거시'!$D3732),ISNUMBER('자료_거시'!$E3732)),IFERROR('자료_거시'!$E3732-INDEX($S$21:$S$4020,MATCH(EDATE('자료_거시'!$D3732,-'설정'!$B$17),'자료_거시'!$D$3:INDEX('자료_거시'!$D$3:$D$4002,$K$6),1)),""),"")</f>
        <v/>
      </c>
      <c r="U3750">
        <f>IF(ISNUMBER(T3750),'자료_거시'!$D3732,"")</f>
        <v/>
      </c>
      <c r="V3750">
        <f>IF(ISNUMBER(U3750),IF(U3750&gt;$L$6,T3750,""),"")</f>
        <v/>
      </c>
      <c r="W3750">
        <f>IF(AND(ISNUMBER('자료_거시'!$G3732),ISNUMBER('자료_거시'!$H3732)),'자료_거시'!$H3732,"")</f>
        <v/>
      </c>
      <c r="X3750">
        <f>IF(ISNUMBER(W3750),'자료_거시'!$G3732,"")</f>
        <v/>
      </c>
      <c r="Y3750">
        <f>IF(ISNUMBER(X3750),IF(X3750&gt;$L$7,W3750,""),"")</f>
        <v/>
      </c>
      <c r="Z3750">
        <f>IF(ISNUMBER('자료_거시'!$K3732),'자료_거시'!$K3732,Z3749)</f>
        <v/>
      </c>
      <c r="AA3750">
        <f>IF(AND(ISNUMBER('자료_거시'!$J3732),ISNUMBER('자료_거시'!$K3732)),IFERROR('자료_거시'!$K3732/INDEX($Z$21:$Z$4020,MATCH(EDATE('자료_거시'!$J3732,-'설정'!$B$17),'자료_거시'!$J$3:INDEX('자료_거시'!$J$3:$J$4002,$K$8),1))-1,""),"")</f>
        <v/>
      </c>
      <c r="AB3750">
        <f>IF(ISNUMBER(AA3750),'자료_거시'!$J3732,"")</f>
        <v/>
      </c>
      <c r="AC3750">
        <f>IF(ISNUMBER(AB3750),IF(AB3750&gt;$L$8,AA3750,""),"")</f>
        <v/>
      </c>
    </row>
    <row r="3751">
      <c r="S3751">
        <f>IF(ISNUMBER('자료_거시'!$E3733),'자료_거시'!$E3733,S3750)</f>
        <v/>
      </c>
      <c r="T3751">
        <f>IF(AND(ISNUMBER('자료_거시'!$D3733),ISNUMBER('자료_거시'!$E3733)),IFERROR('자료_거시'!$E3733-INDEX($S$21:$S$4020,MATCH(EDATE('자료_거시'!$D3733,-'설정'!$B$17),'자료_거시'!$D$3:INDEX('자료_거시'!$D$3:$D$4002,$K$6),1)),""),"")</f>
        <v/>
      </c>
      <c r="U3751">
        <f>IF(ISNUMBER(T3751),'자료_거시'!$D3733,"")</f>
        <v/>
      </c>
      <c r="V3751">
        <f>IF(ISNUMBER(U3751),IF(U3751&gt;$L$6,T3751,""),"")</f>
        <v/>
      </c>
      <c r="W3751">
        <f>IF(AND(ISNUMBER('자료_거시'!$G3733),ISNUMBER('자료_거시'!$H3733)),'자료_거시'!$H3733,"")</f>
        <v/>
      </c>
      <c r="X3751">
        <f>IF(ISNUMBER(W3751),'자료_거시'!$G3733,"")</f>
        <v/>
      </c>
      <c r="Y3751">
        <f>IF(ISNUMBER(X3751),IF(X3751&gt;$L$7,W3751,""),"")</f>
        <v/>
      </c>
      <c r="Z3751">
        <f>IF(ISNUMBER('자료_거시'!$K3733),'자료_거시'!$K3733,Z3750)</f>
        <v/>
      </c>
      <c r="AA3751">
        <f>IF(AND(ISNUMBER('자료_거시'!$J3733),ISNUMBER('자료_거시'!$K3733)),IFERROR('자료_거시'!$K3733/INDEX($Z$21:$Z$4020,MATCH(EDATE('자료_거시'!$J3733,-'설정'!$B$17),'자료_거시'!$J$3:INDEX('자료_거시'!$J$3:$J$4002,$K$8),1))-1,""),"")</f>
        <v/>
      </c>
      <c r="AB3751">
        <f>IF(ISNUMBER(AA3751),'자료_거시'!$J3733,"")</f>
        <v/>
      </c>
      <c r="AC3751">
        <f>IF(ISNUMBER(AB3751),IF(AB3751&gt;$L$8,AA3751,""),"")</f>
        <v/>
      </c>
    </row>
    <row r="3752">
      <c r="S3752">
        <f>IF(ISNUMBER('자료_거시'!$E3734),'자료_거시'!$E3734,S3751)</f>
        <v/>
      </c>
      <c r="T3752">
        <f>IF(AND(ISNUMBER('자료_거시'!$D3734),ISNUMBER('자료_거시'!$E3734)),IFERROR('자료_거시'!$E3734-INDEX($S$21:$S$4020,MATCH(EDATE('자료_거시'!$D3734,-'설정'!$B$17),'자료_거시'!$D$3:INDEX('자료_거시'!$D$3:$D$4002,$K$6),1)),""),"")</f>
        <v/>
      </c>
      <c r="U3752">
        <f>IF(ISNUMBER(T3752),'자료_거시'!$D3734,"")</f>
        <v/>
      </c>
      <c r="V3752">
        <f>IF(ISNUMBER(U3752),IF(U3752&gt;$L$6,T3752,""),"")</f>
        <v/>
      </c>
      <c r="W3752">
        <f>IF(AND(ISNUMBER('자료_거시'!$G3734),ISNUMBER('자료_거시'!$H3734)),'자료_거시'!$H3734,"")</f>
        <v/>
      </c>
      <c r="X3752">
        <f>IF(ISNUMBER(W3752),'자료_거시'!$G3734,"")</f>
        <v/>
      </c>
      <c r="Y3752">
        <f>IF(ISNUMBER(X3752),IF(X3752&gt;$L$7,W3752,""),"")</f>
        <v/>
      </c>
      <c r="Z3752">
        <f>IF(ISNUMBER('자료_거시'!$K3734),'자료_거시'!$K3734,Z3751)</f>
        <v/>
      </c>
      <c r="AA3752">
        <f>IF(AND(ISNUMBER('자료_거시'!$J3734),ISNUMBER('자료_거시'!$K3734)),IFERROR('자료_거시'!$K3734/INDEX($Z$21:$Z$4020,MATCH(EDATE('자료_거시'!$J3734,-'설정'!$B$17),'자료_거시'!$J$3:INDEX('자료_거시'!$J$3:$J$4002,$K$8),1))-1,""),"")</f>
        <v/>
      </c>
      <c r="AB3752">
        <f>IF(ISNUMBER(AA3752),'자료_거시'!$J3734,"")</f>
        <v/>
      </c>
      <c r="AC3752">
        <f>IF(ISNUMBER(AB3752),IF(AB3752&gt;$L$8,AA3752,""),"")</f>
        <v/>
      </c>
    </row>
    <row r="3753">
      <c r="S3753">
        <f>IF(ISNUMBER('자료_거시'!$E3735),'자료_거시'!$E3735,S3752)</f>
        <v/>
      </c>
      <c r="T3753">
        <f>IF(AND(ISNUMBER('자료_거시'!$D3735),ISNUMBER('자료_거시'!$E3735)),IFERROR('자료_거시'!$E3735-INDEX($S$21:$S$4020,MATCH(EDATE('자료_거시'!$D3735,-'설정'!$B$17),'자료_거시'!$D$3:INDEX('자료_거시'!$D$3:$D$4002,$K$6),1)),""),"")</f>
        <v/>
      </c>
      <c r="U3753">
        <f>IF(ISNUMBER(T3753),'자료_거시'!$D3735,"")</f>
        <v/>
      </c>
      <c r="V3753">
        <f>IF(ISNUMBER(U3753),IF(U3753&gt;$L$6,T3753,""),"")</f>
        <v/>
      </c>
      <c r="W3753">
        <f>IF(AND(ISNUMBER('자료_거시'!$G3735),ISNUMBER('자료_거시'!$H3735)),'자료_거시'!$H3735,"")</f>
        <v/>
      </c>
      <c r="X3753">
        <f>IF(ISNUMBER(W3753),'자료_거시'!$G3735,"")</f>
        <v/>
      </c>
      <c r="Y3753">
        <f>IF(ISNUMBER(X3753),IF(X3753&gt;$L$7,W3753,""),"")</f>
        <v/>
      </c>
      <c r="Z3753">
        <f>IF(ISNUMBER('자료_거시'!$K3735),'자료_거시'!$K3735,Z3752)</f>
        <v/>
      </c>
      <c r="AA3753">
        <f>IF(AND(ISNUMBER('자료_거시'!$J3735),ISNUMBER('자료_거시'!$K3735)),IFERROR('자료_거시'!$K3735/INDEX($Z$21:$Z$4020,MATCH(EDATE('자료_거시'!$J3735,-'설정'!$B$17),'자료_거시'!$J$3:INDEX('자료_거시'!$J$3:$J$4002,$K$8),1))-1,""),"")</f>
        <v/>
      </c>
      <c r="AB3753">
        <f>IF(ISNUMBER(AA3753),'자료_거시'!$J3735,"")</f>
        <v/>
      </c>
      <c r="AC3753">
        <f>IF(ISNUMBER(AB3753),IF(AB3753&gt;$L$8,AA3753,""),"")</f>
        <v/>
      </c>
    </row>
    <row r="3754">
      <c r="S3754">
        <f>IF(ISNUMBER('자료_거시'!$E3736),'자료_거시'!$E3736,S3753)</f>
        <v/>
      </c>
      <c r="T3754">
        <f>IF(AND(ISNUMBER('자료_거시'!$D3736),ISNUMBER('자료_거시'!$E3736)),IFERROR('자료_거시'!$E3736-INDEX($S$21:$S$4020,MATCH(EDATE('자료_거시'!$D3736,-'설정'!$B$17),'자료_거시'!$D$3:INDEX('자료_거시'!$D$3:$D$4002,$K$6),1)),""),"")</f>
        <v/>
      </c>
      <c r="U3754">
        <f>IF(ISNUMBER(T3754),'자료_거시'!$D3736,"")</f>
        <v/>
      </c>
      <c r="V3754">
        <f>IF(ISNUMBER(U3754),IF(U3754&gt;$L$6,T3754,""),"")</f>
        <v/>
      </c>
      <c r="W3754">
        <f>IF(AND(ISNUMBER('자료_거시'!$G3736),ISNUMBER('자료_거시'!$H3736)),'자료_거시'!$H3736,"")</f>
        <v/>
      </c>
      <c r="X3754">
        <f>IF(ISNUMBER(W3754),'자료_거시'!$G3736,"")</f>
        <v/>
      </c>
      <c r="Y3754">
        <f>IF(ISNUMBER(X3754),IF(X3754&gt;$L$7,W3754,""),"")</f>
        <v/>
      </c>
      <c r="Z3754">
        <f>IF(ISNUMBER('자료_거시'!$K3736),'자료_거시'!$K3736,Z3753)</f>
        <v/>
      </c>
      <c r="AA3754">
        <f>IF(AND(ISNUMBER('자료_거시'!$J3736),ISNUMBER('자료_거시'!$K3736)),IFERROR('자료_거시'!$K3736/INDEX($Z$21:$Z$4020,MATCH(EDATE('자료_거시'!$J3736,-'설정'!$B$17),'자료_거시'!$J$3:INDEX('자료_거시'!$J$3:$J$4002,$K$8),1))-1,""),"")</f>
        <v/>
      </c>
      <c r="AB3754">
        <f>IF(ISNUMBER(AA3754),'자료_거시'!$J3736,"")</f>
        <v/>
      </c>
      <c r="AC3754">
        <f>IF(ISNUMBER(AB3754),IF(AB3754&gt;$L$8,AA3754,""),"")</f>
        <v/>
      </c>
    </row>
    <row r="3755">
      <c r="S3755">
        <f>IF(ISNUMBER('자료_거시'!$E3737),'자료_거시'!$E3737,S3754)</f>
        <v/>
      </c>
      <c r="T3755">
        <f>IF(AND(ISNUMBER('자료_거시'!$D3737),ISNUMBER('자료_거시'!$E3737)),IFERROR('자료_거시'!$E3737-INDEX($S$21:$S$4020,MATCH(EDATE('자료_거시'!$D3737,-'설정'!$B$17),'자료_거시'!$D$3:INDEX('자료_거시'!$D$3:$D$4002,$K$6),1)),""),"")</f>
        <v/>
      </c>
      <c r="U3755">
        <f>IF(ISNUMBER(T3755),'자료_거시'!$D3737,"")</f>
        <v/>
      </c>
      <c r="V3755">
        <f>IF(ISNUMBER(U3755),IF(U3755&gt;$L$6,T3755,""),"")</f>
        <v/>
      </c>
      <c r="W3755">
        <f>IF(AND(ISNUMBER('자료_거시'!$G3737),ISNUMBER('자료_거시'!$H3737)),'자료_거시'!$H3737,"")</f>
        <v/>
      </c>
      <c r="X3755">
        <f>IF(ISNUMBER(W3755),'자료_거시'!$G3737,"")</f>
        <v/>
      </c>
      <c r="Y3755">
        <f>IF(ISNUMBER(X3755),IF(X3755&gt;$L$7,W3755,""),"")</f>
        <v/>
      </c>
      <c r="Z3755">
        <f>IF(ISNUMBER('자료_거시'!$K3737),'자료_거시'!$K3737,Z3754)</f>
        <v/>
      </c>
      <c r="AA3755">
        <f>IF(AND(ISNUMBER('자료_거시'!$J3737),ISNUMBER('자료_거시'!$K3737)),IFERROR('자료_거시'!$K3737/INDEX($Z$21:$Z$4020,MATCH(EDATE('자료_거시'!$J3737,-'설정'!$B$17),'자료_거시'!$J$3:INDEX('자료_거시'!$J$3:$J$4002,$K$8),1))-1,""),"")</f>
        <v/>
      </c>
      <c r="AB3755">
        <f>IF(ISNUMBER(AA3755),'자료_거시'!$J3737,"")</f>
        <v/>
      </c>
      <c r="AC3755">
        <f>IF(ISNUMBER(AB3755),IF(AB3755&gt;$L$8,AA3755,""),"")</f>
        <v/>
      </c>
    </row>
    <row r="3756">
      <c r="S3756">
        <f>IF(ISNUMBER('자료_거시'!$E3738),'자료_거시'!$E3738,S3755)</f>
        <v/>
      </c>
      <c r="T3756">
        <f>IF(AND(ISNUMBER('자료_거시'!$D3738),ISNUMBER('자료_거시'!$E3738)),IFERROR('자료_거시'!$E3738-INDEX($S$21:$S$4020,MATCH(EDATE('자료_거시'!$D3738,-'설정'!$B$17),'자료_거시'!$D$3:INDEX('자료_거시'!$D$3:$D$4002,$K$6),1)),""),"")</f>
        <v/>
      </c>
      <c r="U3756">
        <f>IF(ISNUMBER(T3756),'자료_거시'!$D3738,"")</f>
        <v/>
      </c>
      <c r="V3756">
        <f>IF(ISNUMBER(U3756),IF(U3756&gt;$L$6,T3756,""),"")</f>
        <v/>
      </c>
      <c r="W3756">
        <f>IF(AND(ISNUMBER('자료_거시'!$G3738),ISNUMBER('자료_거시'!$H3738)),'자료_거시'!$H3738,"")</f>
        <v/>
      </c>
      <c r="X3756">
        <f>IF(ISNUMBER(W3756),'자료_거시'!$G3738,"")</f>
        <v/>
      </c>
      <c r="Y3756">
        <f>IF(ISNUMBER(X3756),IF(X3756&gt;$L$7,W3756,""),"")</f>
        <v/>
      </c>
      <c r="Z3756">
        <f>IF(ISNUMBER('자료_거시'!$K3738),'자료_거시'!$K3738,Z3755)</f>
        <v/>
      </c>
      <c r="AA3756">
        <f>IF(AND(ISNUMBER('자료_거시'!$J3738),ISNUMBER('자료_거시'!$K3738)),IFERROR('자료_거시'!$K3738/INDEX($Z$21:$Z$4020,MATCH(EDATE('자료_거시'!$J3738,-'설정'!$B$17),'자료_거시'!$J$3:INDEX('자료_거시'!$J$3:$J$4002,$K$8),1))-1,""),"")</f>
        <v/>
      </c>
      <c r="AB3756">
        <f>IF(ISNUMBER(AA3756),'자료_거시'!$J3738,"")</f>
        <v/>
      </c>
      <c r="AC3756">
        <f>IF(ISNUMBER(AB3756),IF(AB3756&gt;$L$8,AA3756,""),"")</f>
        <v/>
      </c>
    </row>
    <row r="3757">
      <c r="S3757">
        <f>IF(ISNUMBER('자료_거시'!$E3739),'자료_거시'!$E3739,S3756)</f>
        <v/>
      </c>
      <c r="T3757">
        <f>IF(AND(ISNUMBER('자료_거시'!$D3739),ISNUMBER('자료_거시'!$E3739)),IFERROR('자료_거시'!$E3739-INDEX($S$21:$S$4020,MATCH(EDATE('자료_거시'!$D3739,-'설정'!$B$17),'자료_거시'!$D$3:INDEX('자료_거시'!$D$3:$D$4002,$K$6),1)),""),"")</f>
        <v/>
      </c>
      <c r="U3757">
        <f>IF(ISNUMBER(T3757),'자료_거시'!$D3739,"")</f>
        <v/>
      </c>
      <c r="V3757">
        <f>IF(ISNUMBER(U3757),IF(U3757&gt;$L$6,T3757,""),"")</f>
        <v/>
      </c>
      <c r="W3757">
        <f>IF(AND(ISNUMBER('자료_거시'!$G3739),ISNUMBER('자료_거시'!$H3739)),'자료_거시'!$H3739,"")</f>
        <v/>
      </c>
      <c r="X3757">
        <f>IF(ISNUMBER(W3757),'자료_거시'!$G3739,"")</f>
        <v/>
      </c>
      <c r="Y3757">
        <f>IF(ISNUMBER(X3757),IF(X3757&gt;$L$7,W3757,""),"")</f>
        <v/>
      </c>
      <c r="Z3757">
        <f>IF(ISNUMBER('자료_거시'!$K3739),'자료_거시'!$K3739,Z3756)</f>
        <v/>
      </c>
      <c r="AA3757">
        <f>IF(AND(ISNUMBER('자료_거시'!$J3739),ISNUMBER('자료_거시'!$K3739)),IFERROR('자료_거시'!$K3739/INDEX($Z$21:$Z$4020,MATCH(EDATE('자료_거시'!$J3739,-'설정'!$B$17),'자료_거시'!$J$3:INDEX('자료_거시'!$J$3:$J$4002,$K$8),1))-1,""),"")</f>
        <v/>
      </c>
      <c r="AB3757">
        <f>IF(ISNUMBER(AA3757),'자료_거시'!$J3739,"")</f>
        <v/>
      </c>
      <c r="AC3757">
        <f>IF(ISNUMBER(AB3757),IF(AB3757&gt;$L$8,AA3757,""),"")</f>
        <v/>
      </c>
    </row>
    <row r="3758">
      <c r="S3758">
        <f>IF(ISNUMBER('자료_거시'!$E3740),'자료_거시'!$E3740,S3757)</f>
        <v/>
      </c>
      <c r="T3758">
        <f>IF(AND(ISNUMBER('자료_거시'!$D3740),ISNUMBER('자료_거시'!$E3740)),IFERROR('자료_거시'!$E3740-INDEX($S$21:$S$4020,MATCH(EDATE('자료_거시'!$D3740,-'설정'!$B$17),'자료_거시'!$D$3:INDEX('자료_거시'!$D$3:$D$4002,$K$6),1)),""),"")</f>
        <v/>
      </c>
      <c r="U3758">
        <f>IF(ISNUMBER(T3758),'자료_거시'!$D3740,"")</f>
        <v/>
      </c>
      <c r="V3758">
        <f>IF(ISNUMBER(U3758),IF(U3758&gt;$L$6,T3758,""),"")</f>
        <v/>
      </c>
      <c r="W3758">
        <f>IF(AND(ISNUMBER('자료_거시'!$G3740),ISNUMBER('자료_거시'!$H3740)),'자료_거시'!$H3740,"")</f>
        <v/>
      </c>
      <c r="X3758">
        <f>IF(ISNUMBER(W3758),'자료_거시'!$G3740,"")</f>
        <v/>
      </c>
      <c r="Y3758">
        <f>IF(ISNUMBER(X3758),IF(X3758&gt;$L$7,W3758,""),"")</f>
        <v/>
      </c>
      <c r="Z3758">
        <f>IF(ISNUMBER('자료_거시'!$K3740),'자료_거시'!$K3740,Z3757)</f>
        <v/>
      </c>
      <c r="AA3758">
        <f>IF(AND(ISNUMBER('자료_거시'!$J3740),ISNUMBER('자료_거시'!$K3740)),IFERROR('자료_거시'!$K3740/INDEX($Z$21:$Z$4020,MATCH(EDATE('자료_거시'!$J3740,-'설정'!$B$17),'자료_거시'!$J$3:INDEX('자료_거시'!$J$3:$J$4002,$K$8),1))-1,""),"")</f>
        <v/>
      </c>
      <c r="AB3758">
        <f>IF(ISNUMBER(AA3758),'자료_거시'!$J3740,"")</f>
        <v/>
      </c>
      <c r="AC3758">
        <f>IF(ISNUMBER(AB3758),IF(AB3758&gt;$L$8,AA3758,""),"")</f>
        <v/>
      </c>
    </row>
    <row r="3759">
      <c r="S3759">
        <f>IF(ISNUMBER('자료_거시'!$E3741),'자료_거시'!$E3741,S3758)</f>
        <v/>
      </c>
      <c r="T3759">
        <f>IF(AND(ISNUMBER('자료_거시'!$D3741),ISNUMBER('자료_거시'!$E3741)),IFERROR('자료_거시'!$E3741-INDEX($S$21:$S$4020,MATCH(EDATE('자료_거시'!$D3741,-'설정'!$B$17),'자료_거시'!$D$3:INDEX('자료_거시'!$D$3:$D$4002,$K$6),1)),""),"")</f>
        <v/>
      </c>
      <c r="U3759">
        <f>IF(ISNUMBER(T3759),'자료_거시'!$D3741,"")</f>
        <v/>
      </c>
      <c r="V3759">
        <f>IF(ISNUMBER(U3759),IF(U3759&gt;$L$6,T3759,""),"")</f>
        <v/>
      </c>
      <c r="W3759">
        <f>IF(AND(ISNUMBER('자료_거시'!$G3741),ISNUMBER('자료_거시'!$H3741)),'자료_거시'!$H3741,"")</f>
        <v/>
      </c>
      <c r="X3759">
        <f>IF(ISNUMBER(W3759),'자료_거시'!$G3741,"")</f>
        <v/>
      </c>
      <c r="Y3759">
        <f>IF(ISNUMBER(X3759),IF(X3759&gt;$L$7,W3759,""),"")</f>
        <v/>
      </c>
      <c r="Z3759">
        <f>IF(ISNUMBER('자료_거시'!$K3741),'자료_거시'!$K3741,Z3758)</f>
        <v/>
      </c>
      <c r="AA3759">
        <f>IF(AND(ISNUMBER('자료_거시'!$J3741),ISNUMBER('자료_거시'!$K3741)),IFERROR('자료_거시'!$K3741/INDEX($Z$21:$Z$4020,MATCH(EDATE('자료_거시'!$J3741,-'설정'!$B$17),'자료_거시'!$J$3:INDEX('자료_거시'!$J$3:$J$4002,$K$8),1))-1,""),"")</f>
        <v/>
      </c>
      <c r="AB3759">
        <f>IF(ISNUMBER(AA3759),'자료_거시'!$J3741,"")</f>
        <v/>
      </c>
      <c r="AC3759">
        <f>IF(ISNUMBER(AB3759),IF(AB3759&gt;$L$8,AA3759,""),"")</f>
        <v/>
      </c>
    </row>
    <row r="3760">
      <c r="S3760">
        <f>IF(ISNUMBER('자료_거시'!$E3742),'자료_거시'!$E3742,S3759)</f>
        <v/>
      </c>
      <c r="T3760">
        <f>IF(AND(ISNUMBER('자료_거시'!$D3742),ISNUMBER('자료_거시'!$E3742)),IFERROR('자료_거시'!$E3742-INDEX($S$21:$S$4020,MATCH(EDATE('자료_거시'!$D3742,-'설정'!$B$17),'자료_거시'!$D$3:INDEX('자료_거시'!$D$3:$D$4002,$K$6),1)),""),"")</f>
        <v/>
      </c>
      <c r="U3760">
        <f>IF(ISNUMBER(T3760),'자료_거시'!$D3742,"")</f>
        <v/>
      </c>
      <c r="V3760">
        <f>IF(ISNUMBER(U3760),IF(U3760&gt;$L$6,T3760,""),"")</f>
        <v/>
      </c>
      <c r="W3760">
        <f>IF(AND(ISNUMBER('자료_거시'!$G3742),ISNUMBER('자료_거시'!$H3742)),'자료_거시'!$H3742,"")</f>
        <v/>
      </c>
      <c r="X3760">
        <f>IF(ISNUMBER(W3760),'자료_거시'!$G3742,"")</f>
        <v/>
      </c>
      <c r="Y3760">
        <f>IF(ISNUMBER(X3760),IF(X3760&gt;$L$7,W3760,""),"")</f>
        <v/>
      </c>
      <c r="Z3760">
        <f>IF(ISNUMBER('자료_거시'!$K3742),'자료_거시'!$K3742,Z3759)</f>
        <v/>
      </c>
      <c r="AA3760">
        <f>IF(AND(ISNUMBER('자료_거시'!$J3742),ISNUMBER('자료_거시'!$K3742)),IFERROR('자료_거시'!$K3742/INDEX($Z$21:$Z$4020,MATCH(EDATE('자료_거시'!$J3742,-'설정'!$B$17),'자료_거시'!$J$3:INDEX('자료_거시'!$J$3:$J$4002,$K$8),1))-1,""),"")</f>
        <v/>
      </c>
      <c r="AB3760">
        <f>IF(ISNUMBER(AA3760),'자료_거시'!$J3742,"")</f>
        <v/>
      </c>
      <c r="AC3760">
        <f>IF(ISNUMBER(AB3760),IF(AB3760&gt;$L$8,AA3760,""),"")</f>
        <v/>
      </c>
    </row>
    <row r="3761">
      <c r="S3761">
        <f>IF(ISNUMBER('자료_거시'!$E3743),'자료_거시'!$E3743,S3760)</f>
        <v/>
      </c>
      <c r="T3761">
        <f>IF(AND(ISNUMBER('자료_거시'!$D3743),ISNUMBER('자료_거시'!$E3743)),IFERROR('자료_거시'!$E3743-INDEX($S$21:$S$4020,MATCH(EDATE('자료_거시'!$D3743,-'설정'!$B$17),'자료_거시'!$D$3:INDEX('자료_거시'!$D$3:$D$4002,$K$6),1)),""),"")</f>
        <v/>
      </c>
      <c r="U3761">
        <f>IF(ISNUMBER(T3761),'자료_거시'!$D3743,"")</f>
        <v/>
      </c>
      <c r="V3761">
        <f>IF(ISNUMBER(U3761),IF(U3761&gt;$L$6,T3761,""),"")</f>
        <v/>
      </c>
      <c r="W3761">
        <f>IF(AND(ISNUMBER('자료_거시'!$G3743),ISNUMBER('자료_거시'!$H3743)),'자료_거시'!$H3743,"")</f>
        <v/>
      </c>
      <c r="X3761">
        <f>IF(ISNUMBER(W3761),'자료_거시'!$G3743,"")</f>
        <v/>
      </c>
      <c r="Y3761">
        <f>IF(ISNUMBER(X3761),IF(X3761&gt;$L$7,W3761,""),"")</f>
        <v/>
      </c>
      <c r="Z3761">
        <f>IF(ISNUMBER('자료_거시'!$K3743),'자료_거시'!$K3743,Z3760)</f>
        <v/>
      </c>
      <c r="AA3761">
        <f>IF(AND(ISNUMBER('자료_거시'!$J3743),ISNUMBER('자료_거시'!$K3743)),IFERROR('자료_거시'!$K3743/INDEX($Z$21:$Z$4020,MATCH(EDATE('자료_거시'!$J3743,-'설정'!$B$17),'자료_거시'!$J$3:INDEX('자료_거시'!$J$3:$J$4002,$K$8),1))-1,""),"")</f>
        <v/>
      </c>
      <c r="AB3761">
        <f>IF(ISNUMBER(AA3761),'자료_거시'!$J3743,"")</f>
        <v/>
      </c>
      <c r="AC3761">
        <f>IF(ISNUMBER(AB3761),IF(AB3761&gt;$L$8,AA3761,""),"")</f>
        <v/>
      </c>
    </row>
    <row r="3762">
      <c r="S3762">
        <f>IF(ISNUMBER('자료_거시'!$E3744),'자료_거시'!$E3744,S3761)</f>
        <v/>
      </c>
      <c r="T3762">
        <f>IF(AND(ISNUMBER('자료_거시'!$D3744),ISNUMBER('자료_거시'!$E3744)),IFERROR('자료_거시'!$E3744-INDEX($S$21:$S$4020,MATCH(EDATE('자료_거시'!$D3744,-'설정'!$B$17),'자료_거시'!$D$3:INDEX('자료_거시'!$D$3:$D$4002,$K$6),1)),""),"")</f>
        <v/>
      </c>
      <c r="U3762">
        <f>IF(ISNUMBER(T3762),'자료_거시'!$D3744,"")</f>
        <v/>
      </c>
      <c r="V3762">
        <f>IF(ISNUMBER(U3762),IF(U3762&gt;$L$6,T3762,""),"")</f>
        <v/>
      </c>
      <c r="W3762">
        <f>IF(AND(ISNUMBER('자료_거시'!$G3744),ISNUMBER('자료_거시'!$H3744)),'자료_거시'!$H3744,"")</f>
        <v/>
      </c>
      <c r="X3762">
        <f>IF(ISNUMBER(W3762),'자료_거시'!$G3744,"")</f>
        <v/>
      </c>
      <c r="Y3762">
        <f>IF(ISNUMBER(X3762),IF(X3762&gt;$L$7,W3762,""),"")</f>
        <v/>
      </c>
      <c r="Z3762">
        <f>IF(ISNUMBER('자료_거시'!$K3744),'자료_거시'!$K3744,Z3761)</f>
        <v/>
      </c>
      <c r="AA3762">
        <f>IF(AND(ISNUMBER('자료_거시'!$J3744),ISNUMBER('자료_거시'!$K3744)),IFERROR('자료_거시'!$K3744/INDEX($Z$21:$Z$4020,MATCH(EDATE('자료_거시'!$J3744,-'설정'!$B$17),'자료_거시'!$J$3:INDEX('자료_거시'!$J$3:$J$4002,$K$8),1))-1,""),"")</f>
        <v/>
      </c>
      <c r="AB3762">
        <f>IF(ISNUMBER(AA3762),'자료_거시'!$J3744,"")</f>
        <v/>
      </c>
      <c r="AC3762">
        <f>IF(ISNUMBER(AB3762),IF(AB3762&gt;$L$8,AA3762,""),"")</f>
        <v/>
      </c>
    </row>
    <row r="3763">
      <c r="S3763">
        <f>IF(ISNUMBER('자료_거시'!$E3745),'자료_거시'!$E3745,S3762)</f>
        <v/>
      </c>
      <c r="T3763">
        <f>IF(AND(ISNUMBER('자료_거시'!$D3745),ISNUMBER('자료_거시'!$E3745)),IFERROR('자료_거시'!$E3745-INDEX($S$21:$S$4020,MATCH(EDATE('자료_거시'!$D3745,-'설정'!$B$17),'자료_거시'!$D$3:INDEX('자료_거시'!$D$3:$D$4002,$K$6),1)),""),"")</f>
        <v/>
      </c>
      <c r="U3763">
        <f>IF(ISNUMBER(T3763),'자료_거시'!$D3745,"")</f>
        <v/>
      </c>
      <c r="V3763">
        <f>IF(ISNUMBER(U3763),IF(U3763&gt;$L$6,T3763,""),"")</f>
        <v/>
      </c>
      <c r="W3763">
        <f>IF(AND(ISNUMBER('자료_거시'!$G3745),ISNUMBER('자료_거시'!$H3745)),'자료_거시'!$H3745,"")</f>
        <v/>
      </c>
      <c r="X3763">
        <f>IF(ISNUMBER(W3763),'자료_거시'!$G3745,"")</f>
        <v/>
      </c>
      <c r="Y3763">
        <f>IF(ISNUMBER(X3763),IF(X3763&gt;$L$7,W3763,""),"")</f>
        <v/>
      </c>
      <c r="Z3763">
        <f>IF(ISNUMBER('자료_거시'!$K3745),'자료_거시'!$K3745,Z3762)</f>
        <v/>
      </c>
      <c r="AA3763">
        <f>IF(AND(ISNUMBER('자료_거시'!$J3745),ISNUMBER('자료_거시'!$K3745)),IFERROR('자료_거시'!$K3745/INDEX($Z$21:$Z$4020,MATCH(EDATE('자료_거시'!$J3745,-'설정'!$B$17),'자료_거시'!$J$3:INDEX('자료_거시'!$J$3:$J$4002,$K$8),1))-1,""),"")</f>
        <v/>
      </c>
      <c r="AB3763">
        <f>IF(ISNUMBER(AA3763),'자료_거시'!$J3745,"")</f>
        <v/>
      </c>
      <c r="AC3763">
        <f>IF(ISNUMBER(AB3763),IF(AB3763&gt;$L$8,AA3763,""),"")</f>
        <v/>
      </c>
    </row>
    <row r="3764">
      <c r="S3764">
        <f>IF(ISNUMBER('자료_거시'!$E3746),'자료_거시'!$E3746,S3763)</f>
        <v/>
      </c>
      <c r="T3764">
        <f>IF(AND(ISNUMBER('자료_거시'!$D3746),ISNUMBER('자료_거시'!$E3746)),IFERROR('자료_거시'!$E3746-INDEX($S$21:$S$4020,MATCH(EDATE('자료_거시'!$D3746,-'설정'!$B$17),'자료_거시'!$D$3:INDEX('자료_거시'!$D$3:$D$4002,$K$6),1)),""),"")</f>
        <v/>
      </c>
      <c r="U3764">
        <f>IF(ISNUMBER(T3764),'자료_거시'!$D3746,"")</f>
        <v/>
      </c>
      <c r="V3764">
        <f>IF(ISNUMBER(U3764),IF(U3764&gt;$L$6,T3764,""),"")</f>
        <v/>
      </c>
      <c r="W3764">
        <f>IF(AND(ISNUMBER('자료_거시'!$G3746),ISNUMBER('자료_거시'!$H3746)),'자료_거시'!$H3746,"")</f>
        <v/>
      </c>
      <c r="X3764">
        <f>IF(ISNUMBER(W3764),'자료_거시'!$G3746,"")</f>
        <v/>
      </c>
      <c r="Y3764">
        <f>IF(ISNUMBER(X3764),IF(X3764&gt;$L$7,W3764,""),"")</f>
        <v/>
      </c>
      <c r="Z3764">
        <f>IF(ISNUMBER('자료_거시'!$K3746),'자료_거시'!$K3746,Z3763)</f>
        <v/>
      </c>
      <c r="AA3764">
        <f>IF(AND(ISNUMBER('자료_거시'!$J3746),ISNUMBER('자료_거시'!$K3746)),IFERROR('자료_거시'!$K3746/INDEX($Z$21:$Z$4020,MATCH(EDATE('자료_거시'!$J3746,-'설정'!$B$17),'자료_거시'!$J$3:INDEX('자료_거시'!$J$3:$J$4002,$K$8),1))-1,""),"")</f>
        <v/>
      </c>
      <c r="AB3764">
        <f>IF(ISNUMBER(AA3764),'자료_거시'!$J3746,"")</f>
        <v/>
      </c>
      <c r="AC3764">
        <f>IF(ISNUMBER(AB3764),IF(AB3764&gt;$L$8,AA3764,""),"")</f>
        <v/>
      </c>
    </row>
    <row r="3765">
      <c r="S3765">
        <f>IF(ISNUMBER('자료_거시'!$E3747),'자료_거시'!$E3747,S3764)</f>
        <v/>
      </c>
      <c r="T3765">
        <f>IF(AND(ISNUMBER('자료_거시'!$D3747),ISNUMBER('자료_거시'!$E3747)),IFERROR('자료_거시'!$E3747-INDEX($S$21:$S$4020,MATCH(EDATE('자료_거시'!$D3747,-'설정'!$B$17),'자료_거시'!$D$3:INDEX('자료_거시'!$D$3:$D$4002,$K$6),1)),""),"")</f>
        <v/>
      </c>
      <c r="U3765">
        <f>IF(ISNUMBER(T3765),'자료_거시'!$D3747,"")</f>
        <v/>
      </c>
      <c r="V3765">
        <f>IF(ISNUMBER(U3765),IF(U3765&gt;$L$6,T3765,""),"")</f>
        <v/>
      </c>
      <c r="W3765">
        <f>IF(AND(ISNUMBER('자료_거시'!$G3747),ISNUMBER('자료_거시'!$H3747)),'자료_거시'!$H3747,"")</f>
        <v/>
      </c>
      <c r="X3765">
        <f>IF(ISNUMBER(W3765),'자료_거시'!$G3747,"")</f>
        <v/>
      </c>
      <c r="Y3765">
        <f>IF(ISNUMBER(X3765),IF(X3765&gt;$L$7,W3765,""),"")</f>
        <v/>
      </c>
      <c r="Z3765">
        <f>IF(ISNUMBER('자료_거시'!$K3747),'자료_거시'!$K3747,Z3764)</f>
        <v/>
      </c>
      <c r="AA3765">
        <f>IF(AND(ISNUMBER('자료_거시'!$J3747),ISNUMBER('자료_거시'!$K3747)),IFERROR('자료_거시'!$K3747/INDEX($Z$21:$Z$4020,MATCH(EDATE('자료_거시'!$J3747,-'설정'!$B$17),'자료_거시'!$J$3:INDEX('자료_거시'!$J$3:$J$4002,$K$8),1))-1,""),"")</f>
        <v/>
      </c>
      <c r="AB3765">
        <f>IF(ISNUMBER(AA3765),'자료_거시'!$J3747,"")</f>
        <v/>
      </c>
      <c r="AC3765">
        <f>IF(ISNUMBER(AB3765),IF(AB3765&gt;$L$8,AA3765,""),"")</f>
        <v/>
      </c>
    </row>
    <row r="3766">
      <c r="S3766">
        <f>IF(ISNUMBER('자료_거시'!$E3748),'자료_거시'!$E3748,S3765)</f>
        <v/>
      </c>
      <c r="T3766">
        <f>IF(AND(ISNUMBER('자료_거시'!$D3748),ISNUMBER('자료_거시'!$E3748)),IFERROR('자료_거시'!$E3748-INDEX($S$21:$S$4020,MATCH(EDATE('자료_거시'!$D3748,-'설정'!$B$17),'자료_거시'!$D$3:INDEX('자료_거시'!$D$3:$D$4002,$K$6),1)),""),"")</f>
        <v/>
      </c>
      <c r="U3766">
        <f>IF(ISNUMBER(T3766),'자료_거시'!$D3748,"")</f>
        <v/>
      </c>
      <c r="V3766">
        <f>IF(ISNUMBER(U3766),IF(U3766&gt;$L$6,T3766,""),"")</f>
        <v/>
      </c>
      <c r="W3766">
        <f>IF(AND(ISNUMBER('자료_거시'!$G3748),ISNUMBER('자료_거시'!$H3748)),'자료_거시'!$H3748,"")</f>
        <v/>
      </c>
      <c r="X3766">
        <f>IF(ISNUMBER(W3766),'자료_거시'!$G3748,"")</f>
        <v/>
      </c>
      <c r="Y3766">
        <f>IF(ISNUMBER(X3766),IF(X3766&gt;$L$7,W3766,""),"")</f>
        <v/>
      </c>
      <c r="Z3766">
        <f>IF(ISNUMBER('자료_거시'!$K3748),'자료_거시'!$K3748,Z3765)</f>
        <v/>
      </c>
      <c r="AA3766">
        <f>IF(AND(ISNUMBER('자료_거시'!$J3748),ISNUMBER('자료_거시'!$K3748)),IFERROR('자료_거시'!$K3748/INDEX($Z$21:$Z$4020,MATCH(EDATE('자료_거시'!$J3748,-'설정'!$B$17),'자료_거시'!$J$3:INDEX('자료_거시'!$J$3:$J$4002,$K$8),1))-1,""),"")</f>
        <v/>
      </c>
      <c r="AB3766">
        <f>IF(ISNUMBER(AA3766),'자료_거시'!$J3748,"")</f>
        <v/>
      </c>
      <c r="AC3766">
        <f>IF(ISNUMBER(AB3766),IF(AB3766&gt;$L$8,AA3766,""),"")</f>
        <v/>
      </c>
    </row>
    <row r="3767">
      <c r="S3767">
        <f>IF(ISNUMBER('자료_거시'!$E3749),'자료_거시'!$E3749,S3766)</f>
        <v/>
      </c>
      <c r="T3767">
        <f>IF(AND(ISNUMBER('자료_거시'!$D3749),ISNUMBER('자료_거시'!$E3749)),IFERROR('자료_거시'!$E3749-INDEX($S$21:$S$4020,MATCH(EDATE('자료_거시'!$D3749,-'설정'!$B$17),'자료_거시'!$D$3:INDEX('자료_거시'!$D$3:$D$4002,$K$6),1)),""),"")</f>
        <v/>
      </c>
      <c r="U3767">
        <f>IF(ISNUMBER(T3767),'자료_거시'!$D3749,"")</f>
        <v/>
      </c>
      <c r="V3767">
        <f>IF(ISNUMBER(U3767),IF(U3767&gt;$L$6,T3767,""),"")</f>
        <v/>
      </c>
      <c r="W3767">
        <f>IF(AND(ISNUMBER('자료_거시'!$G3749),ISNUMBER('자료_거시'!$H3749)),'자료_거시'!$H3749,"")</f>
        <v/>
      </c>
      <c r="X3767">
        <f>IF(ISNUMBER(W3767),'자료_거시'!$G3749,"")</f>
        <v/>
      </c>
      <c r="Y3767">
        <f>IF(ISNUMBER(X3767),IF(X3767&gt;$L$7,W3767,""),"")</f>
        <v/>
      </c>
      <c r="Z3767">
        <f>IF(ISNUMBER('자료_거시'!$K3749),'자료_거시'!$K3749,Z3766)</f>
        <v/>
      </c>
      <c r="AA3767">
        <f>IF(AND(ISNUMBER('자료_거시'!$J3749),ISNUMBER('자료_거시'!$K3749)),IFERROR('자료_거시'!$K3749/INDEX($Z$21:$Z$4020,MATCH(EDATE('자료_거시'!$J3749,-'설정'!$B$17),'자료_거시'!$J$3:INDEX('자료_거시'!$J$3:$J$4002,$K$8),1))-1,""),"")</f>
        <v/>
      </c>
      <c r="AB3767">
        <f>IF(ISNUMBER(AA3767),'자료_거시'!$J3749,"")</f>
        <v/>
      </c>
      <c r="AC3767">
        <f>IF(ISNUMBER(AB3767),IF(AB3767&gt;$L$8,AA3767,""),"")</f>
        <v/>
      </c>
    </row>
    <row r="3768">
      <c r="S3768">
        <f>IF(ISNUMBER('자료_거시'!$E3750),'자료_거시'!$E3750,S3767)</f>
        <v/>
      </c>
      <c r="T3768">
        <f>IF(AND(ISNUMBER('자료_거시'!$D3750),ISNUMBER('자료_거시'!$E3750)),IFERROR('자료_거시'!$E3750-INDEX($S$21:$S$4020,MATCH(EDATE('자료_거시'!$D3750,-'설정'!$B$17),'자료_거시'!$D$3:INDEX('자료_거시'!$D$3:$D$4002,$K$6),1)),""),"")</f>
        <v/>
      </c>
      <c r="U3768">
        <f>IF(ISNUMBER(T3768),'자료_거시'!$D3750,"")</f>
        <v/>
      </c>
      <c r="V3768">
        <f>IF(ISNUMBER(U3768),IF(U3768&gt;$L$6,T3768,""),"")</f>
        <v/>
      </c>
      <c r="W3768">
        <f>IF(AND(ISNUMBER('자료_거시'!$G3750),ISNUMBER('자료_거시'!$H3750)),'자료_거시'!$H3750,"")</f>
        <v/>
      </c>
      <c r="X3768">
        <f>IF(ISNUMBER(W3768),'자료_거시'!$G3750,"")</f>
        <v/>
      </c>
      <c r="Y3768">
        <f>IF(ISNUMBER(X3768),IF(X3768&gt;$L$7,W3768,""),"")</f>
        <v/>
      </c>
      <c r="Z3768">
        <f>IF(ISNUMBER('자료_거시'!$K3750),'자료_거시'!$K3750,Z3767)</f>
        <v/>
      </c>
      <c r="AA3768">
        <f>IF(AND(ISNUMBER('자료_거시'!$J3750),ISNUMBER('자료_거시'!$K3750)),IFERROR('자료_거시'!$K3750/INDEX($Z$21:$Z$4020,MATCH(EDATE('자료_거시'!$J3750,-'설정'!$B$17),'자료_거시'!$J$3:INDEX('자료_거시'!$J$3:$J$4002,$K$8),1))-1,""),"")</f>
        <v/>
      </c>
      <c r="AB3768">
        <f>IF(ISNUMBER(AA3768),'자료_거시'!$J3750,"")</f>
        <v/>
      </c>
      <c r="AC3768">
        <f>IF(ISNUMBER(AB3768),IF(AB3768&gt;$L$8,AA3768,""),"")</f>
        <v/>
      </c>
    </row>
    <row r="3769">
      <c r="S3769">
        <f>IF(ISNUMBER('자료_거시'!$E3751),'자료_거시'!$E3751,S3768)</f>
        <v/>
      </c>
      <c r="T3769">
        <f>IF(AND(ISNUMBER('자료_거시'!$D3751),ISNUMBER('자료_거시'!$E3751)),IFERROR('자료_거시'!$E3751-INDEX($S$21:$S$4020,MATCH(EDATE('자료_거시'!$D3751,-'설정'!$B$17),'자료_거시'!$D$3:INDEX('자료_거시'!$D$3:$D$4002,$K$6),1)),""),"")</f>
        <v/>
      </c>
      <c r="U3769">
        <f>IF(ISNUMBER(T3769),'자료_거시'!$D3751,"")</f>
        <v/>
      </c>
      <c r="V3769">
        <f>IF(ISNUMBER(U3769),IF(U3769&gt;$L$6,T3769,""),"")</f>
        <v/>
      </c>
      <c r="W3769">
        <f>IF(AND(ISNUMBER('자료_거시'!$G3751),ISNUMBER('자료_거시'!$H3751)),'자료_거시'!$H3751,"")</f>
        <v/>
      </c>
      <c r="X3769">
        <f>IF(ISNUMBER(W3769),'자료_거시'!$G3751,"")</f>
        <v/>
      </c>
      <c r="Y3769">
        <f>IF(ISNUMBER(X3769),IF(X3769&gt;$L$7,W3769,""),"")</f>
        <v/>
      </c>
      <c r="Z3769">
        <f>IF(ISNUMBER('자료_거시'!$K3751),'자료_거시'!$K3751,Z3768)</f>
        <v/>
      </c>
      <c r="AA3769">
        <f>IF(AND(ISNUMBER('자료_거시'!$J3751),ISNUMBER('자료_거시'!$K3751)),IFERROR('자료_거시'!$K3751/INDEX($Z$21:$Z$4020,MATCH(EDATE('자료_거시'!$J3751,-'설정'!$B$17),'자료_거시'!$J$3:INDEX('자료_거시'!$J$3:$J$4002,$K$8),1))-1,""),"")</f>
        <v/>
      </c>
      <c r="AB3769">
        <f>IF(ISNUMBER(AA3769),'자료_거시'!$J3751,"")</f>
        <v/>
      </c>
      <c r="AC3769">
        <f>IF(ISNUMBER(AB3769),IF(AB3769&gt;$L$8,AA3769,""),"")</f>
        <v/>
      </c>
    </row>
    <row r="3770">
      <c r="S3770">
        <f>IF(ISNUMBER('자료_거시'!$E3752),'자료_거시'!$E3752,S3769)</f>
        <v/>
      </c>
      <c r="T3770">
        <f>IF(AND(ISNUMBER('자료_거시'!$D3752),ISNUMBER('자료_거시'!$E3752)),IFERROR('자료_거시'!$E3752-INDEX($S$21:$S$4020,MATCH(EDATE('자료_거시'!$D3752,-'설정'!$B$17),'자료_거시'!$D$3:INDEX('자료_거시'!$D$3:$D$4002,$K$6),1)),""),"")</f>
        <v/>
      </c>
      <c r="U3770">
        <f>IF(ISNUMBER(T3770),'자료_거시'!$D3752,"")</f>
        <v/>
      </c>
      <c r="V3770">
        <f>IF(ISNUMBER(U3770),IF(U3770&gt;$L$6,T3770,""),"")</f>
        <v/>
      </c>
      <c r="W3770">
        <f>IF(AND(ISNUMBER('자료_거시'!$G3752),ISNUMBER('자료_거시'!$H3752)),'자료_거시'!$H3752,"")</f>
        <v/>
      </c>
      <c r="X3770">
        <f>IF(ISNUMBER(W3770),'자료_거시'!$G3752,"")</f>
        <v/>
      </c>
      <c r="Y3770">
        <f>IF(ISNUMBER(X3770),IF(X3770&gt;$L$7,W3770,""),"")</f>
        <v/>
      </c>
      <c r="Z3770">
        <f>IF(ISNUMBER('자료_거시'!$K3752),'자료_거시'!$K3752,Z3769)</f>
        <v/>
      </c>
      <c r="AA3770">
        <f>IF(AND(ISNUMBER('자료_거시'!$J3752),ISNUMBER('자료_거시'!$K3752)),IFERROR('자료_거시'!$K3752/INDEX($Z$21:$Z$4020,MATCH(EDATE('자료_거시'!$J3752,-'설정'!$B$17),'자료_거시'!$J$3:INDEX('자료_거시'!$J$3:$J$4002,$K$8),1))-1,""),"")</f>
        <v/>
      </c>
      <c r="AB3770">
        <f>IF(ISNUMBER(AA3770),'자료_거시'!$J3752,"")</f>
        <v/>
      </c>
      <c r="AC3770">
        <f>IF(ISNUMBER(AB3770),IF(AB3770&gt;$L$8,AA3770,""),"")</f>
        <v/>
      </c>
    </row>
    <row r="3771">
      <c r="S3771">
        <f>IF(ISNUMBER('자료_거시'!$E3753),'자료_거시'!$E3753,S3770)</f>
        <v/>
      </c>
      <c r="T3771">
        <f>IF(AND(ISNUMBER('자료_거시'!$D3753),ISNUMBER('자료_거시'!$E3753)),IFERROR('자료_거시'!$E3753-INDEX($S$21:$S$4020,MATCH(EDATE('자료_거시'!$D3753,-'설정'!$B$17),'자료_거시'!$D$3:INDEX('자료_거시'!$D$3:$D$4002,$K$6),1)),""),"")</f>
        <v/>
      </c>
      <c r="U3771">
        <f>IF(ISNUMBER(T3771),'자료_거시'!$D3753,"")</f>
        <v/>
      </c>
      <c r="V3771">
        <f>IF(ISNUMBER(U3771),IF(U3771&gt;$L$6,T3771,""),"")</f>
        <v/>
      </c>
      <c r="W3771">
        <f>IF(AND(ISNUMBER('자료_거시'!$G3753),ISNUMBER('자료_거시'!$H3753)),'자료_거시'!$H3753,"")</f>
        <v/>
      </c>
      <c r="X3771">
        <f>IF(ISNUMBER(W3771),'자료_거시'!$G3753,"")</f>
        <v/>
      </c>
      <c r="Y3771">
        <f>IF(ISNUMBER(X3771),IF(X3771&gt;$L$7,W3771,""),"")</f>
        <v/>
      </c>
      <c r="Z3771">
        <f>IF(ISNUMBER('자료_거시'!$K3753),'자료_거시'!$K3753,Z3770)</f>
        <v/>
      </c>
      <c r="AA3771">
        <f>IF(AND(ISNUMBER('자료_거시'!$J3753),ISNUMBER('자료_거시'!$K3753)),IFERROR('자료_거시'!$K3753/INDEX($Z$21:$Z$4020,MATCH(EDATE('자료_거시'!$J3753,-'설정'!$B$17),'자료_거시'!$J$3:INDEX('자료_거시'!$J$3:$J$4002,$K$8),1))-1,""),"")</f>
        <v/>
      </c>
      <c r="AB3771">
        <f>IF(ISNUMBER(AA3771),'자료_거시'!$J3753,"")</f>
        <v/>
      </c>
      <c r="AC3771">
        <f>IF(ISNUMBER(AB3771),IF(AB3771&gt;$L$8,AA3771,""),"")</f>
        <v/>
      </c>
    </row>
    <row r="3772">
      <c r="S3772">
        <f>IF(ISNUMBER('자료_거시'!$E3754),'자료_거시'!$E3754,S3771)</f>
        <v/>
      </c>
      <c r="T3772">
        <f>IF(AND(ISNUMBER('자료_거시'!$D3754),ISNUMBER('자료_거시'!$E3754)),IFERROR('자료_거시'!$E3754-INDEX($S$21:$S$4020,MATCH(EDATE('자료_거시'!$D3754,-'설정'!$B$17),'자료_거시'!$D$3:INDEX('자료_거시'!$D$3:$D$4002,$K$6),1)),""),"")</f>
        <v/>
      </c>
      <c r="U3772">
        <f>IF(ISNUMBER(T3772),'자료_거시'!$D3754,"")</f>
        <v/>
      </c>
      <c r="V3772">
        <f>IF(ISNUMBER(U3772),IF(U3772&gt;$L$6,T3772,""),"")</f>
        <v/>
      </c>
      <c r="W3772">
        <f>IF(AND(ISNUMBER('자료_거시'!$G3754),ISNUMBER('자료_거시'!$H3754)),'자료_거시'!$H3754,"")</f>
        <v/>
      </c>
      <c r="X3772">
        <f>IF(ISNUMBER(W3772),'자료_거시'!$G3754,"")</f>
        <v/>
      </c>
      <c r="Y3772">
        <f>IF(ISNUMBER(X3772),IF(X3772&gt;$L$7,W3772,""),"")</f>
        <v/>
      </c>
      <c r="Z3772">
        <f>IF(ISNUMBER('자료_거시'!$K3754),'자료_거시'!$K3754,Z3771)</f>
        <v/>
      </c>
      <c r="AA3772">
        <f>IF(AND(ISNUMBER('자료_거시'!$J3754),ISNUMBER('자료_거시'!$K3754)),IFERROR('자료_거시'!$K3754/INDEX($Z$21:$Z$4020,MATCH(EDATE('자료_거시'!$J3754,-'설정'!$B$17),'자료_거시'!$J$3:INDEX('자료_거시'!$J$3:$J$4002,$K$8),1))-1,""),"")</f>
        <v/>
      </c>
      <c r="AB3772">
        <f>IF(ISNUMBER(AA3772),'자료_거시'!$J3754,"")</f>
        <v/>
      </c>
      <c r="AC3772">
        <f>IF(ISNUMBER(AB3772),IF(AB3772&gt;$L$8,AA3772,""),"")</f>
        <v/>
      </c>
    </row>
    <row r="3773">
      <c r="S3773">
        <f>IF(ISNUMBER('자료_거시'!$E3755),'자료_거시'!$E3755,S3772)</f>
        <v/>
      </c>
      <c r="T3773">
        <f>IF(AND(ISNUMBER('자료_거시'!$D3755),ISNUMBER('자료_거시'!$E3755)),IFERROR('자료_거시'!$E3755-INDEX($S$21:$S$4020,MATCH(EDATE('자료_거시'!$D3755,-'설정'!$B$17),'자료_거시'!$D$3:INDEX('자료_거시'!$D$3:$D$4002,$K$6),1)),""),"")</f>
        <v/>
      </c>
      <c r="U3773">
        <f>IF(ISNUMBER(T3773),'자료_거시'!$D3755,"")</f>
        <v/>
      </c>
      <c r="V3773">
        <f>IF(ISNUMBER(U3773),IF(U3773&gt;$L$6,T3773,""),"")</f>
        <v/>
      </c>
      <c r="W3773">
        <f>IF(AND(ISNUMBER('자료_거시'!$G3755),ISNUMBER('자료_거시'!$H3755)),'자료_거시'!$H3755,"")</f>
        <v/>
      </c>
      <c r="X3773">
        <f>IF(ISNUMBER(W3773),'자료_거시'!$G3755,"")</f>
        <v/>
      </c>
      <c r="Y3773">
        <f>IF(ISNUMBER(X3773),IF(X3773&gt;$L$7,W3773,""),"")</f>
        <v/>
      </c>
      <c r="Z3773">
        <f>IF(ISNUMBER('자료_거시'!$K3755),'자료_거시'!$K3755,Z3772)</f>
        <v/>
      </c>
      <c r="AA3773">
        <f>IF(AND(ISNUMBER('자료_거시'!$J3755),ISNUMBER('자료_거시'!$K3755)),IFERROR('자료_거시'!$K3755/INDEX($Z$21:$Z$4020,MATCH(EDATE('자료_거시'!$J3755,-'설정'!$B$17),'자료_거시'!$J$3:INDEX('자료_거시'!$J$3:$J$4002,$K$8),1))-1,""),"")</f>
        <v/>
      </c>
      <c r="AB3773">
        <f>IF(ISNUMBER(AA3773),'자료_거시'!$J3755,"")</f>
        <v/>
      </c>
      <c r="AC3773">
        <f>IF(ISNUMBER(AB3773),IF(AB3773&gt;$L$8,AA3773,""),"")</f>
        <v/>
      </c>
    </row>
    <row r="3774">
      <c r="S3774">
        <f>IF(ISNUMBER('자료_거시'!$E3756),'자료_거시'!$E3756,S3773)</f>
        <v/>
      </c>
      <c r="T3774">
        <f>IF(AND(ISNUMBER('자료_거시'!$D3756),ISNUMBER('자료_거시'!$E3756)),IFERROR('자료_거시'!$E3756-INDEX($S$21:$S$4020,MATCH(EDATE('자료_거시'!$D3756,-'설정'!$B$17),'자료_거시'!$D$3:INDEX('자료_거시'!$D$3:$D$4002,$K$6),1)),""),"")</f>
        <v/>
      </c>
      <c r="U3774">
        <f>IF(ISNUMBER(T3774),'자료_거시'!$D3756,"")</f>
        <v/>
      </c>
      <c r="V3774">
        <f>IF(ISNUMBER(U3774),IF(U3774&gt;$L$6,T3774,""),"")</f>
        <v/>
      </c>
      <c r="W3774">
        <f>IF(AND(ISNUMBER('자료_거시'!$G3756),ISNUMBER('자료_거시'!$H3756)),'자료_거시'!$H3756,"")</f>
        <v/>
      </c>
      <c r="X3774">
        <f>IF(ISNUMBER(W3774),'자료_거시'!$G3756,"")</f>
        <v/>
      </c>
      <c r="Y3774">
        <f>IF(ISNUMBER(X3774),IF(X3774&gt;$L$7,W3774,""),"")</f>
        <v/>
      </c>
      <c r="Z3774">
        <f>IF(ISNUMBER('자료_거시'!$K3756),'자료_거시'!$K3756,Z3773)</f>
        <v/>
      </c>
      <c r="AA3774">
        <f>IF(AND(ISNUMBER('자료_거시'!$J3756),ISNUMBER('자료_거시'!$K3756)),IFERROR('자료_거시'!$K3756/INDEX($Z$21:$Z$4020,MATCH(EDATE('자료_거시'!$J3756,-'설정'!$B$17),'자료_거시'!$J$3:INDEX('자료_거시'!$J$3:$J$4002,$K$8),1))-1,""),"")</f>
        <v/>
      </c>
      <c r="AB3774">
        <f>IF(ISNUMBER(AA3774),'자료_거시'!$J3756,"")</f>
        <v/>
      </c>
      <c r="AC3774">
        <f>IF(ISNUMBER(AB3774),IF(AB3774&gt;$L$8,AA3774,""),"")</f>
        <v/>
      </c>
    </row>
    <row r="3775">
      <c r="S3775">
        <f>IF(ISNUMBER('자료_거시'!$E3757),'자료_거시'!$E3757,S3774)</f>
        <v/>
      </c>
      <c r="T3775">
        <f>IF(AND(ISNUMBER('자료_거시'!$D3757),ISNUMBER('자료_거시'!$E3757)),IFERROR('자료_거시'!$E3757-INDEX($S$21:$S$4020,MATCH(EDATE('자료_거시'!$D3757,-'설정'!$B$17),'자료_거시'!$D$3:INDEX('자료_거시'!$D$3:$D$4002,$K$6),1)),""),"")</f>
        <v/>
      </c>
      <c r="U3775">
        <f>IF(ISNUMBER(T3775),'자료_거시'!$D3757,"")</f>
        <v/>
      </c>
      <c r="V3775">
        <f>IF(ISNUMBER(U3775),IF(U3775&gt;$L$6,T3775,""),"")</f>
        <v/>
      </c>
      <c r="W3775">
        <f>IF(AND(ISNUMBER('자료_거시'!$G3757),ISNUMBER('자료_거시'!$H3757)),'자료_거시'!$H3757,"")</f>
        <v/>
      </c>
      <c r="X3775">
        <f>IF(ISNUMBER(W3775),'자료_거시'!$G3757,"")</f>
        <v/>
      </c>
      <c r="Y3775">
        <f>IF(ISNUMBER(X3775),IF(X3775&gt;$L$7,W3775,""),"")</f>
        <v/>
      </c>
      <c r="Z3775">
        <f>IF(ISNUMBER('자료_거시'!$K3757),'자료_거시'!$K3757,Z3774)</f>
        <v/>
      </c>
      <c r="AA3775">
        <f>IF(AND(ISNUMBER('자료_거시'!$J3757),ISNUMBER('자료_거시'!$K3757)),IFERROR('자료_거시'!$K3757/INDEX($Z$21:$Z$4020,MATCH(EDATE('자료_거시'!$J3757,-'설정'!$B$17),'자료_거시'!$J$3:INDEX('자료_거시'!$J$3:$J$4002,$K$8),1))-1,""),"")</f>
        <v/>
      </c>
      <c r="AB3775">
        <f>IF(ISNUMBER(AA3775),'자료_거시'!$J3757,"")</f>
        <v/>
      </c>
      <c r="AC3775">
        <f>IF(ISNUMBER(AB3775),IF(AB3775&gt;$L$8,AA3775,""),"")</f>
        <v/>
      </c>
    </row>
    <row r="3776">
      <c r="S3776">
        <f>IF(ISNUMBER('자료_거시'!$E3758),'자료_거시'!$E3758,S3775)</f>
        <v/>
      </c>
      <c r="T3776">
        <f>IF(AND(ISNUMBER('자료_거시'!$D3758),ISNUMBER('자료_거시'!$E3758)),IFERROR('자료_거시'!$E3758-INDEX($S$21:$S$4020,MATCH(EDATE('자료_거시'!$D3758,-'설정'!$B$17),'자료_거시'!$D$3:INDEX('자료_거시'!$D$3:$D$4002,$K$6),1)),""),"")</f>
        <v/>
      </c>
      <c r="U3776">
        <f>IF(ISNUMBER(T3776),'자료_거시'!$D3758,"")</f>
        <v/>
      </c>
      <c r="V3776">
        <f>IF(ISNUMBER(U3776),IF(U3776&gt;$L$6,T3776,""),"")</f>
        <v/>
      </c>
      <c r="W3776">
        <f>IF(AND(ISNUMBER('자료_거시'!$G3758),ISNUMBER('자료_거시'!$H3758)),'자료_거시'!$H3758,"")</f>
        <v/>
      </c>
      <c r="X3776">
        <f>IF(ISNUMBER(W3776),'자료_거시'!$G3758,"")</f>
        <v/>
      </c>
      <c r="Y3776">
        <f>IF(ISNUMBER(X3776),IF(X3776&gt;$L$7,W3776,""),"")</f>
        <v/>
      </c>
      <c r="Z3776">
        <f>IF(ISNUMBER('자료_거시'!$K3758),'자료_거시'!$K3758,Z3775)</f>
        <v/>
      </c>
      <c r="AA3776">
        <f>IF(AND(ISNUMBER('자료_거시'!$J3758),ISNUMBER('자료_거시'!$K3758)),IFERROR('자료_거시'!$K3758/INDEX($Z$21:$Z$4020,MATCH(EDATE('자료_거시'!$J3758,-'설정'!$B$17),'자료_거시'!$J$3:INDEX('자료_거시'!$J$3:$J$4002,$K$8),1))-1,""),"")</f>
        <v/>
      </c>
      <c r="AB3776">
        <f>IF(ISNUMBER(AA3776),'자료_거시'!$J3758,"")</f>
        <v/>
      </c>
      <c r="AC3776">
        <f>IF(ISNUMBER(AB3776),IF(AB3776&gt;$L$8,AA3776,""),"")</f>
        <v/>
      </c>
    </row>
    <row r="3777">
      <c r="S3777">
        <f>IF(ISNUMBER('자료_거시'!$E3759),'자료_거시'!$E3759,S3776)</f>
        <v/>
      </c>
      <c r="T3777">
        <f>IF(AND(ISNUMBER('자료_거시'!$D3759),ISNUMBER('자료_거시'!$E3759)),IFERROR('자료_거시'!$E3759-INDEX($S$21:$S$4020,MATCH(EDATE('자료_거시'!$D3759,-'설정'!$B$17),'자료_거시'!$D$3:INDEX('자료_거시'!$D$3:$D$4002,$K$6),1)),""),"")</f>
        <v/>
      </c>
      <c r="U3777">
        <f>IF(ISNUMBER(T3777),'자료_거시'!$D3759,"")</f>
        <v/>
      </c>
      <c r="V3777">
        <f>IF(ISNUMBER(U3777),IF(U3777&gt;$L$6,T3777,""),"")</f>
        <v/>
      </c>
      <c r="W3777">
        <f>IF(AND(ISNUMBER('자료_거시'!$G3759),ISNUMBER('자료_거시'!$H3759)),'자료_거시'!$H3759,"")</f>
        <v/>
      </c>
      <c r="X3777">
        <f>IF(ISNUMBER(W3777),'자료_거시'!$G3759,"")</f>
        <v/>
      </c>
      <c r="Y3777">
        <f>IF(ISNUMBER(X3777),IF(X3777&gt;$L$7,W3777,""),"")</f>
        <v/>
      </c>
      <c r="Z3777">
        <f>IF(ISNUMBER('자료_거시'!$K3759),'자료_거시'!$K3759,Z3776)</f>
        <v/>
      </c>
      <c r="AA3777">
        <f>IF(AND(ISNUMBER('자료_거시'!$J3759),ISNUMBER('자료_거시'!$K3759)),IFERROR('자료_거시'!$K3759/INDEX($Z$21:$Z$4020,MATCH(EDATE('자료_거시'!$J3759,-'설정'!$B$17),'자료_거시'!$J$3:INDEX('자료_거시'!$J$3:$J$4002,$K$8),1))-1,""),"")</f>
        <v/>
      </c>
      <c r="AB3777">
        <f>IF(ISNUMBER(AA3777),'자료_거시'!$J3759,"")</f>
        <v/>
      </c>
      <c r="AC3777">
        <f>IF(ISNUMBER(AB3777),IF(AB3777&gt;$L$8,AA3777,""),"")</f>
        <v/>
      </c>
    </row>
    <row r="3778">
      <c r="S3778">
        <f>IF(ISNUMBER('자료_거시'!$E3760),'자료_거시'!$E3760,S3777)</f>
        <v/>
      </c>
      <c r="T3778">
        <f>IF(AND(ISNUMBER('자료_거시'!$D3760),ISNUMBER('자료_거시'!$E3760)),IFERROR('자료_거시'!$E3760-INDEX($S$21:$S$4020,MATCH(EDATE('자료_거시'!$D3760,-'설정'!$B$17),'자료_거시'!$D$3:INDEX('자료_거시'!$D$3:$D$4002,$K$6),1)),""),"")</f>
        <v/>
      </c>
      <c r="U3778">
        <f>IF(ISNUMBER(T3778),'자료_거시'!$D3760,"")</f>
        <v/>
      </c>
      <c r="V3778">
        <f>IF(ISNUMBER(U3778),IF(U3778&gt;$L$6,T3778,""),"")</f>
        <v/>
      </c>
      <c r="W3778">
        <f>IF(AND(ISNUMBER('자료_거시'!$G3760),ISNUMBER('자료_거시'!$H3760)),'자료_거시'!$H3760,"")</f>
        <v/>
      </c>
      <c r="X3778">
        <f>IF(ISNUMBER(W3778),'자료_거시'!$G3760,"")</f>
        <v/>
      </c>
      <c r="Y3778">
        <f>IF(ISNUMBER(X3778),IF(X3778&gt;$L$7,W3778,""),"")</f>
        <v/>
      </c>
      <c r="Z3778">
        <f>IF(ISNUMBER('자료_거시'!$K3760),'자료_거시'!$K3760,Z3777)</f>
        <v/>
      </c>
      <c r="AA3778">
        <f>IF(AND(ISNUMBER('자료_거시'!$J3760),ISNUMBER('자료_거시'!$K3760)),IFERROR('자료_거시'!$K3760/INDEX($Z$21:$Z$4020,MATCH(EDATE('자료_거시'!$J3760,-'설정'!$B$17),'자료_거시'!$J$3:INDEX('자료_거시'!$J$3:$J$4002,$K$8),1))-1,""),"")</f>
        <v/>
      </c>
      <c r="AB3778">
        <f>IF(ISNUMBER(AA3778),'자료_거시'!$J3760,"")</f>
        <v/>
      </c>
      <c r="AC3778">
        <f>IF(ISNUMBER(AB3778),IF(AB3778&gt;$L$8,AA3778,""),"")</f>
        <v/>
      </c>
    </row>
    <row r="3779">
      <c r="S3779">
        <f>IF(ISNUMBER('자료_거시'!$E3761),'자료_거시'!$E3761,S3778)</f>
        <v/>
      </c>
      <c r="T3779">
        <f>IF(AND(ISNUMBER('자료_거시'!$D3761),ISNUMBER('자료_거시'!$E3761)),IFERROR('자료_거시'!$E3761-INDEX($S$21:$S$4020,MATCH(EDATE('자료_거시'!$D3761,-'설정'!$B$17),'자료_거시'!$D$3:INDEX('자료_거시'!$D$3:$D$4002,$K$6),1)),""),"")</f>
        <v/>
      </c>
      <c r="U3779">
        <f>IF(ISNUMBER(T3779),'자료_거시'!$D3761,"")</f>
        <v/>
      </c>
      <c r="V3779">
        <f>IF(ISNUMBER(U3779),IF(U3779&gt;$L$6,T3779,""),"")</f>
        <v/>
      </c>
      <c r="W3779">
        <f>IF(AND(ISNUMBER('자료_거시'!$G3761),ISNUMBER('자료_거시'!$H3761)),'자료_거시'!$H3761,"")</f>
        <v/>
      </c>
      <c r="X3779">
        <f>IF(ISNUMBER(W3779),'자료_거시'!$G3761,"")</f>
        <v/>
      </c>
      <c r="Y3779">
        <f>IF(ISNUMBER(X3779),IF(X3779&gt;$L$7,W3779,""),"")</f>
        <v/>
      </c>
      <c r="Z3779">
        <f>IF(ISNUMBER('자료_거시'!$K3761),'자료_거시'!$K3761,Z3778)</f>
        <v/>
      </c>
      <c r="AA3779">
        <f>IF(AND(ISNUMBER('자료_거시'!$J3761),ISNUMBER('자료_거시'!$K3761)),IFERROR('자료_거시'!$K3761/INDEX($Z$21:$Z$4020,MATCH(EDATE('자료_거시'!$J3761,-'설정'!$B$17),'자료_거시'!$J$3:INDEX('자료_거시'!$J$3:$J$4002,$K$8),1))-1,""),"")</f>
        <v/>
      </c>
      <c r="AB3779">
        <f>IF(ISNUMBER(AA3779),'자료_거시'!$J3761,"")</f>
        <v/>
      </c>
      <c r="AC3779">
        <f>IF(ISNUMBER(AB3779),IF(AB3779&gt;$L$8,AA3779,""),"")</f>
        <v/>
      </c>
    </row>
    <row r="3780">
      <c r="S3780">
        <f>IF(ISNUMBER('자료_거시'!$E3762),'자료_거시'!$E3762,S3779)</f>
        <v/>
      </c>
      <c r="T3780">
        <f>IF(AND(ISNUMBER('자료_거시'!$D3762),ISNUMBER('자료_거시'!$E3762)),IFERROR('자료_거시'!$E3762-INDEX($S$21:$S$4020,MATCH(EDATE('자료_거시'!$D3762,-'설정'!$B$17),'자료_거시'!$D$3:INDEX('자료_거시'!$D$3:$D$4002,$K$6),1)),""),"")</f>
        <v/>
      </c>
      <c r="U3780">
        <f>IF(ISNUMBER(T3780),'자료_거시'!$D3762,"")</f>
        <v/>
      </c>
      <c r="V3780">
        <f>IF(ISNUMBER(U3780),IF(U3780&gt;$L$6,T3780,""),"")</f>
        <v/>
      </c>
      <c r="W3780">
        <f>IF(AND(ISNUMBER('자료_거시'!$G3762),ISNUMBER('자료_거시'!$H3762)),'자료_거시'!$H3762,"")</f>
        <v/>
      </c>
      <c r="X3780">
        <f>IF(ISNUMBER(W3780),'자료_거시'!$G3762,"")</f>
        <v/>
      </c>
      <c r="Y3780">
        <f>IF(ISNUMBER(X3780),IF(X3780&gt;$L$7,W3780,""),"")</f>
        <v/>
      </c>
      <c r="Z3780">
        <f>IF(ISNUMBER('자료_거시'!$K3762),'자료_거시'!$K3762,Z3779)</f>
        <v/>
      </c>
      <c r="AA3780">
        <f>IF(AND(ISNUMBER('자료_거시'!$J3762),ISNUMBER('자료_거시'!$K3762)),IFERROR('자료_거시'!$K3762/INDEX($Z$21:$Z$4020,MATCH(EDATE('자료_거시'!$J3762,-'설정'!$B$17),'자료_거시'!$J$3:INDEX('자료_거시'!$J$3:$J$4002,$K$8),1))-1,""),"")</f>
        <v/>
      </c>
      <c r="AB3780">
        <f>IF(ISNUMBER(AA3780),'자료_거시'!$J3762,"")</f>
        <v/>
      </c>
      <c r="AC3780">
        <f>IF(ISNUMBER(AB3780),IF(AB3780&gt;$L$8,AA3780,""),"")</f>
        <v/>
      </c>
    </row>
    <row r="3781">
      <c r="S3781">
        <f>IF(ISNUMBER('자료_거시'!$E3763),'자료_거시'!$E3763,S3780)</f>
        <v/>
      </c>
      <c r="T3781">
        <f>IF(AND(ISNUMBER('자료_거시'!$D3763),ISNUMBER('자료_거시'!$E3763)),IFERROR('자료_거시'!$E3763-INDEX($S$21:$S$4020,MATCH(EDATE('자료_거시'!$D3763,-'설정'!$B$17),'자료_거시'!$D$3:INDEX('자료_거시'!$D$3:$D$4002,$K$6),1)),""),"")</f>
        <v/>
      </c>
      <c r="U3781">
        <f>IF(ISNUMBER(T3781),'자료_거시'!$D3763,"")</f>
        <v/>
      </c>
      <c r="V3781">
        <f>IF(ISNUMBER(U3781),IF(U3781&gt;$L$6,T3781,""),"")</f>
        <v/>
      </c>
      <c r="W3781">
        <f>IF(AND(ISNUMBER('자료_거시'!$G3763),ISNUMBER('자료_거시'!$H3763)),'자료_거시'!$H3763,"")</f>
        <v/>
      </c>
      <c r="X3781">
        <f>IF(ISNUMBER(W3781),'자료_거시'!$G3763,"")</f>
        <v/>
      </c>
      <c r="Y3781">
        <f>IF(ISNUMBER(X3781),IF(X3781&gt;$L$7,W3781,""),"")</f>
        <v/>
      </c>
      <c r="Z3781">
        <f>IF(ISNUMBER('자료_거시'!$K3763),'자료_거시'!$K3763,Z3780)</f>
        <v/>
      </c>
      <c r="AA3781">
        <f>IF(AND(ISNUMBER('자료_거시'!$J3763),ISNUMBER('자료_거시'!$K3763)),IFERROR('자료_거시'!$K3763/INDEX($Z$21:$Z$4020,MATCH(EDATE('자료_거시'!$J3763,-'설정'!$B$17),'자료_거시'!$J$3:INDEX('자료_거시'!$J$3:$J$4002,$K$8),1))-1,""),"")</f>
        <v/>
      </c>
      <c r="AB3781">
        <f>IF(ISNUMBER(AA3781),'자료_거시'!$J3763,"")</f>
        <v/>
      </c>
      <c r="AC3781">
        <f>IF(ISNUMBER(AB3781),IF(AB3781&gt;$L$8,AA3781,""),"")</f>
        <v/>
      </c>
    </row>
    <row r="3782">
      <c r="S3782">
        <f>IF(ISNUMBER('자료_거시'!$E3764),'자료_거시'!$E3764,S3781)</f>
        <v/>
      </c>
      <c r="T3782">
        <f>IF(AND(ISNUMBER('자료_거시'!$D3764),ISNUMBER('자료_거시'!$E3764)),IFERROR('자료_거시'!$E3764-INDEX($S$21:$S$4020,MATCH(EDATE('자료_거시'!$D3764,-'설정'!$B$17),'자료_거시'!$D$3:INDEX('자료_거시'!$D$3:$D$4002,$K$6),1)),""),"")</f>
        <v/>
      </c>
      <c r="U3782">
        <f>IF(ISNUMBER(T3782),'자료_거시'!$D3764,"")</f>
        <v/>
      </c>
      <c r="V3782">
        <f>IF(ISNUMBER(U3782),IF(U3782&gt;$L$6,T3782,""),"")</f>
        <v/>
      </c>
      <c r="W3782">
        <f>IF(AND(ISNUMBER('자료_거시'!$G3764),ISNUMBER('자료_거시'!$H3764)),'자료_거시'!$H3764,"")</f>
        <v/>
      </c>
      <c r="X3782">
        <f>IF(ISNUMBER(W3782),'자료_거시'!$G3764,"")</f>
        <v/>
      </c>
      <c r="Y3782">
        <f>IF(ISNUMBER(X3782),IF(X3782&gt;$L$7,W3782,""),"")</f>
        <v/>
      </c>
      <c r="Z3782">
        <f>IF(ISNUMBER('자료_거시'!$K3764),'자료_거시'!$K3764,Z3781)</f>
        <v/>
      </c>
      <c r="AA3782">
        <f>IF(AND(ISNUMBER('자료_거시'!$J3764),ISNUMBER('자료_거시'!$K3764)),IFERROR('자료_거시'!$K3764/INDEX($Z$21:$Z$4020,MATCH(EDATE('자료_거시'!$J3764,-'설정'!$B$17),'자료_거시'!$J$3:INDEX('자료_거시'!$J$3:$J$4002,$K$8),1))-1,""),"")</f>
        <v/>
      </c>
      <c r="AB3782">
        <f>IF(ISNUMBER(AA3782),'자료_거시'!$J3764,"")</f>
        <v/>
      </c>
      <c r="AC3782">
        <f>IF(ISNUMBER(AB3782),IF(AB3782&gt;$L$8,AA3782,""),"")</f>
        <v/>
      </c>
    </row>
    <row r="3783">
      <c r="S3783">
        <f>IF(ISNUMBER('자료_거시'!$E3765),'자료_거시'!$E3765,S3782)</f>
        <v/>
      </c>
      <c r="T3783">
        <f>IF(AND(ISNUMBER('자료_거시'!$D3765),ISNUMBER('자료_거시'!$E3765)),IFERROR('자료_거시'!$E3765-INDEX($S$21:$S$4020,MATCH(EDATE('자료_거시'!$D3765,-'설정'!$B$17),'자료_거시'!$D$3:INDEX('자료_거시'!$D$3:$D$4002,$K$6),1)),""),"")</f>
        <v/>
      </c>
      <c r="U3783">
        <f>IF(ISNUMBER(T3783),'자료_거시'!$D3765,"")</f>
        <v/>
      </c>
      <c r="V3783">
        <f>IF(ISNUMBER(U3783),IF(U3783&gt;$L$6,T3783,""),"")</f>
        <v/>
      </c>
      <c r="W3783">
        <f>IF(AND(ISNUMBER('자료_거시'!$G3765),ISNUMBER('자료_거시'!$H3765)),'자료_거시'!$H3765,"")</f>
        <v/>
      </c>
      <c r="X3783">
        <f>IF(ISNUMBER(W3783),'자료_거시'!$G3765,"")</f>
        <v/>
      </c>
      <c r="Y3783">
        <f>IF(ISNUMBER(X3783),IF(X3783&gt;$L$7,W3783,""),"")</f>
        <v/>
      </c>
      <c r="Z3783">
        <f>IF(ISNUMBER('자료_거시'!$K3765),'자료_거시'!$K3765,Z3782)</f>
        <v/>
      </c>
      <c r="AA3783">
        <f>IF(AND(ISNUMBER('자료_거시'!$J3765),ISNUMBER('자료_거시'!$K3765)),IFERROR('자료_거시'!$K3765/INDEX($Z$21:$Z$4020,MATCH(EDATE('자료_거시'!$J3765,-'설정'!$B$17),'자료_거시'!$J$3:INDEX('자료_거시'!$J$3:$J$4002,$K$8),1))-1,""),"")</f>
        <v/>
      </c>
      <c r="AB3783">
        <f>IF(ISNUMBER(AA3783),'자료_거시'!$J3765,"")</f>
        <v/>
      </c>
      <c r="AC3783">
        <f>IF(ISNUMBER(AB3783),IF(AB3783&gt;$L$8,AA3783,""),"")</f>
        <v/>
      </c>
    </row>
    <row r="3784">
      <c r="S3784">
        <f>IF(ISNUMBER('자료_거시'!$E3766),'자료_거시'!$E3766,S3783)</f>
        <v/>
      </c>
      <c r="T3784">
        <f>IF(AND(ISNUMBER('자료_거시'!$D3766),ISNUMBER('자료_거시'!$E3766)),IFERROR('자료_거시'!$E3766-INDEX($S$21:$S$4020,MATCH(EDATE('자료_거시'!$D3766,-'설정'!$B$17),'자료_거시'!$D$3:INDEX('자료_거시'!$D$3:$D$4002,$K$6),1)),""),"")</f>
        <v/>
      </c>
      <c r="U3784">
        <f>IF(ISNUMBER(T3784),'자료_거시'!$D3766,"")</f>
        <v/>
      </c>
      <c r="V3784">
        <f>IF(ISNUMBER(U3784),IF(U3784&gt;$L$6,T3784,""),"")</f>
        <v/>
      </c>
      <c r="W3784">
        <f>IF(AND(ISNUMBER('자료_거시'!$G3766),ISNUMBER('자료_거시'!$H3766)),'자료_거시'!$H3766,"")</f>
        <v/>
      </c>
      <c r="X3784">
        <f>IF(ISNUMBER(W3784),'자료_거시'!$G3766,"")</f>
        <v/>
      </c>
      <c r="Y3784">
        <f>IF(ISNUMBER(X3784),IF(X3784&gt;$L$7,W3784,""),"")</f>
        <v/>
      </c>
      <c r="Z3784">
        <f>IF(ISNUMBER('자료_거시'!$K3766),'자료_거시'!$K3766,Z3783)</f>
        <v/>
      </c>
      <c r="AA3784">
        <f>IF(AND(ISNUMBER('자료_거시'!$J3766),ISNUMBER('자료_거시'!$K3766)),IFERROR('자료_거시'!$K3766/INDEX($Z$21:$Z$4020,MATCH(EDATE('자료_거시'!$J3766,-'설정'!$B$17),'자료_거시'!$J$3:INDEX('자료_거시'!$J$3:$J$4002,$K$8),1))-1,""),"")</f>
        <v/>
      </c>
      <c r="AB3784">
        <f>IF(ISNUMBER(AA3784),'자료_거시'!$J3766,"")</f>
        <v/>
      </c>
      <c r="AC3784">
        <f>IF(ISNUMBER(AB3784),IF(AB3784&gt;$L$8,AA3784,""),"")</f>
        <v/>
      </c>
    </row>
    <row r="3785">
      <c r="S3785">
        <f>IF(ISNUMBER('자료_거시'!$E3767),'자료_거시'!$E3767,S3784)</f>
        <v/>
      </c>
      <c r="T3785">
        <f>IF(AND(ISNUMBER('자료_거시'!$D3767),ISNUMBER('자료_거시'!$E3767)),IFERROR('자료_거시'!$E3767-INDEX($S$21:$S$4020,MATCH(EDATE('자료_거시'!$D3767,-'설정'!$B$17),'자료_거시'!$D$3:INDEX('자료_거시'!$D$3:$D$4002,$K$6),1)),""),"")</f>
        <v/>
      </c>
      <c r="U3785">
        <f>IF(ISNUMBER(T3785),'자료_거시'!$D3767,"")</f>
        <v/>
      </c>
      <c r="V3785">
        <f>IF(ISNUMBER(U3785),IF(U3785&gt;$L$6,T3785,""),"")</f>
        <v/>
      </c>
      <c r="W3785">
        <f>IF(AND(ISNUMBER('자료_거시'!$G3767),ISNUMBER('자료_거시'!$H3767)),'자료_거시'!$H3767,"")</f>
        <v/>
      </c>
      <c r="X3785">
        <f>IF(ISNUMBER(W3785),'자료_거시'!$G3767,"")</f>
        <v/>
      </c>
      <c r="Y3785">
        <f>IF(ISNUMBER(X3785),IF(X3785&gt;$L$7,W3785,""),"")</f>
        <v/>
      </c>
      <c r="Z3785">
        <f>IF(ISNUMBER('자료_거시'!$K3767),'자료_거시'!$K3767,Z3784)</f>
        <v/>
      </c>
      <c r="AA3785">
        <f>IF(AND(ISNUMBER('자료_거시'!$J3767),ISNUMBER('자료_거시'!$K3767)),IFERROR('자료_거시'!$K3767/INDEX($Z$21:$Z$4020,MATCH(EDATE('자료_거시'!$J3767,-'설정'!$B$17),'자료_거시'!$J$3:INDEX('자료_거시'!$J$3:$J$4002,$K$8),1))-1,""),"")</f>
        <v/>
      </c>
      <c r="AB3785">
        <f>IF(ISNUMBER(AA3785),'자료_거시'!$J3767,"")</f>
        <v/>
      </c>
      <c r="AC3785">
        <f>IF(ISNUMBER(AB3785),IF(AB3785&gt;$L$8,AA3785,""),"")</f>
        <v/>
      </c>
    </row>
    <row r="3786">
      <c r="S3786">
        <f>IF(ISNUMBER('자료_거시'!$E3768),'자료_거시'!$E3768,S3785)</f>
        <v/>
      </c>
      <c r="T3786">
        <f>IF(AND(ISNUMBER('자료_거시'!$D3768),ISNUMBER('자료_거시'!$E3768)),IFERROR('자료_거시'!$E3768-INDEX($S$21:$S$4020,MATCH(EDATE('자료_거시'!$D3768,-'설정'!$B$17),'자료_거시'!$D$3:INDEX('자료_거시'!$D$3:$D$4002,$K$6),1)),""),"")</f>
        <v/>
      </c>
      <c r="U3786">
        <f>IF(ISNUMBER(T3786),'자료_거시'!$D3768,"")</f>
        <v/>
      </c>
      <c r="V3786">
        <f>IF(ISNUMBER(U3786),IF(U3786&gt;$L$6,T3786,""),"")</f>
        <v/>
      </c>
      <c r="W3786">
        <f>IF(AND(ISNUMBER('자료_거시'!$G3768),ISNUMBER('자료_거시'!$H3768)),'자료_거시'!$H3768,"")</f>
        <v/>
      </c>
      <c r="X3786">
        <f>IF(ISNUMBER(W3786),'자료_거시'!$G3768,"")</f>
        <v/>
      </c>
      <c r="Y3786">
        <f>IF(ISNUMBER(X3786),IF(X3786&gt;$L$7,W3786,""),"")</f>
        <v/>
      </c>
      <c r="Z3786">
        <f>IF(ISNUMBER('자료_거시'!$K3768),'자료_거시'!$K3768,Z3785)</f>
        <v/>
      </c>
      <c r="AA3786">
        <f>IF(AND(ISNUMBER('자료_거시'!$J3768),ISNUMBER('자료_거시'!$K3768)),IFERROR('자료_거시'!$K3768/INDEX($Z$21:$Z$4020,MATCH(EDATE('자료_거시'!$J3768,-'설정'!$B$17),'자료_거시'!$J$3:INDEX('자료_거시'!$J$3:$J$4002,$K$8),1))-1,""),"")</f>
        <v/>
      </c>
      <c r="AB3786">
        <f>IF(ISNUMBER(AA3786),'자료_거시'!$J3768,"")</f>
        <v/>
      </c>
      <c r="AC3786">
        <f>IF(ISNUMBER(AB3786),IF(AB3786&gt;$L$8,AA3786,""),"")</f>
        <v/>
      </c>
    </row>
    <row r="3787">
      <c r="S3787">
        <f>IF(ISNUMBER('자료_거시'!$E3769),'자료_거시'!$E3769,S3786)</f>
        <v/>
      </c>
      <c r="T3787">
        <f>IF(AND(ISNUMBER('자료_거시'!$D3769),ISNUMBER('자료_거시'!$E3769)),IFERROR('자료_거시'!$E3769-INDEX($S$21:$S$4020,MATCH(EDATE('자료_거시'!$D3769,-'설정'!$B$17),'자료_거시'!$D$3:INDEX('자료_거시'!$D$3:$D$4002,$K$6),1)),""),"")</f>
        <v/>
      </c>
      <c r="U3787">
        <f>IF(ISNUMBER(T3787),'자료_거시'!$D3769,"")</f>
        <v/>
      </c>
      <c r="V3787">
        <f>IF(ISNUMBER(U3787),IF(U3787&gt;$L$6,T3787,""),"")</f>
        <v/>
      </c>
      <c r="W3787">
        <f>IF(AND(ISNUMBER('자료_거시'!$G3769),ISNUMBER('자료_거시'!$H3769)),'자료_거시'!$H3769,"")</f>
        <v/>
      </c>
      <c r="X3787">
        <f>IF(ISNUMBER(W3787),'자료_거시'!$G3769,"")</f>
        <v/>
      </c>
      <c r="Y3787">
        <f>IF(ISNUMBER(X3787),IF(X3787&gt;$L$7,W3787,""),"")</f>
        <v/>
      </c>
      <c r="Z3787">
        <f>IF(ISNUMBER('자료_거시'!$K3769),'자료_거시'!$K3769,Z3786)</f>
        <v/>
      </c>
      <c r="AA3787">
        <f>IF(AND(ISNUMBER('자료_거시'!$J3769),ISNUMBER('자료_거시'!$K3769)),IFERROR('자료_거시'!$K3769/INDEX($Z$21:$Z$4020,MATCH(EDATE('자료_거시'!$J3769,-'설정'!$B$17),'자료_거시'!$J$3:INDEX('자료_거시'!$J$3:$J$4002,$K$8),1))-1,""),"")</f>
        <v/>
      </c>
      <c r="AB3787">
        <f>IF(ISNUMBER(AA3787),'자료_거시'!$J3769,"")</f>
        <v/>
      </c>
      <c r="AC3787">
        <f>IF(ISNUMBER(AB3787),IF(AB3787&gt;$L$8,AA3787,""),"")</f>
        <v/>
      </c>
    </row>
    <row r="3788">
      <c r="S3788">
        <f>IF(ISNUMBER('자료_거시'!$E3770),'자료_거시'!$E3770,S3787)</f>
        <v/>
      </c>
      <c r="T3788">
        <f>IF(AND(ISNUMBER('자료_거시'!$D3770),ISNUMBER('자료_거시'!$E3770)),IFERROR('자료_거시'!$E3770-INDEX($S$21:$S$4020,MATCH(EDATE('자료_거시'!$D3770,-'설정'!$B$17),'자료_거시'!$D$3:INDEX('자료_거시'!$D$3:$D$4002,$K$6),1)),""),"")</f>
        <v/>
      </c>
      <c r="U3788">
        <f>IF(ISNUMBER(T3788),'자료_거시'!$D3770,"")</f>
        <v/>
      </c>
      <c r="V3788">
        <f>IF(ISNUMBER(U3788),IF(U3788&gt;$L$6,T3788,""),"")</f>
        <v/>
      </c>
      <c r="W3788">
        <f>IF(AND(ISNUMBER('자료_거시'!$G3770),ISNUMBER('자료_거시'!$H3770)),'자료_거시'!$H3770,"")</f>
        <v/>
      </c>
      <c r="X3788">
        <f>IF(ISNUMBER(W3788),'자료_거시'!$G3770,"")</f>
        <v/>
      </c>
      <c r="Y3788">
        <f>IF(ISNUMBER(X3788),IF(X3788&gt;$L$7,W3788,""),"")</f>
        <v/>
      </c>
      <c r="Z3788">
        <f>IF(ISNUMBER('자료_거시'!$K3770),'자료_거시'!$K3770,Z3787)</f>
        <v/>
      </c>
      <c r="AA3788">
        <f>IF(AND(ISNUMBER('자료_거시'!$J3770),ISNUMBER('자료_거시'!$K3770)),IFERROR('자료_거시'!$K3770/INDEX($Z$21:$Z$4020,MATCH(EDATE('자료_거시'!$J3770,-'설정'!$B$17),'자료_거시'!$J$3:INDEX('자료_거시'!$J$3:$J$4002,$K$8),1))-1,""),"")</f>
        <v/>
      </c>
      <c r="AB3788">
        <f>IF(ISNUMBER(AA3788),'자료_거시'!$J3770,"")</f>
        <v/>
      </c>
      <c r="AC3788">
        <f>IF(ISNUMBER(AB3788),IF(AB3788&gt;$L$8,AA3788,""),"")</f>
        <v/>
      </c>
    </row>
    <row r="3789">
      <c r="S3789">
        <f>IF(ISNUMBER('자료_거시'!$E3771),'자료_거시'!$E3771,S3788)</f>
        <v/>
      </c>
      <c r="T3789">
        <f>IF(AND(ISNUMBER('자료_거시'!$D3771),ISNUMBER('자료_거시'!$E3771)),IFERROR('자료_거시'!$E3771-INDEX($S$21:$S$4020,MATCH(EDATE('자료_거시'!$D3771,-'설정'!$B$17),'자료_거시'!$D$3:INDEX('자료_거시'!$D$3:$D$4002,$K$6),1)),""),"")</f>
        <v/>
      </c>
      <c r="U3789">
        <f>IF(ISNUMBER(T3789),'자료_거시'!$D3771,"")</f>
        <v/>
      </c>
      <c r="V3789">
        <f>IF(ISNUMBER(U3789),IF(U3789&gt;$L$6,T3789,""),"")</f>
        <v/>
      </c>
      <c r="W3789">
        <f>IF(AND(ISNUMBER('자료_거시'!$G3771),ISNUMBER('자료_거시'!$H3771)),'자료_거시'!$H3771,"")</f>
        <v/>
      </c>
      <c r="X3789">
        <f>IF(ISNUMBER(W3789),'자료_거시'!$G3771,"")</f>
        <v/>
      </c>
      <c r="Y3789">
        <f>IF(ISNUMBER(X3789),IF(X3789&gt;$L$7,W3789,""),"")</f>
        <v/>
      </c>
      <c r="Z3789">
        <f>IF(ISNUMBER('자료_거시'!$K3771),'자료_거시'!$K3771,Z3788)</f>
        <v/>
      </c>
      <c r="AA3789">
        <f>IF(AND(ISNUMBER('자료_거시'!$J3771),ISNUMBER('자료_거시'!$K3771)),IFERROR('자료_거시'!$K3771/INDEX($Z$21:$Z$4020,MATCH(EDATE('자료_거시'!$J3771,-'설정'!$B$17),'자료_거시'!$J$3:INDEX('자료_거시'!$J$3:$J$4002,$K$8),1))-1,""),"")</f>
        <v/>
      </c>
      <c r="AB3789">
        <f>IF(ISNUMBER(AA3789),'자료_거시'!$J3771,"")</f>
        <v/>
      </c>
      <c r="AC3789">
        <f>IF(ISNUMBER(AB3789),IF(AB3789&gt;$L$8,AA3789,""),"")</f>
        <v/>
      </c>
    </row>
    <row r="3790">
      <c r="S3790">
        <f>IF(ISNUMBER('자료_거시'!$E3772),'자료_거시'!$E3772,S3789)</f>
        <v/>
      </c>
      <c r="T3790">
        <f>IF(AND(ISNUMBER('자료_거시'!$D3772),ISNUMBER('자료_거시'!$E3772)),IFERROR('자료_거시'!$E3772-INDEX($S$21:$S$4020,MATCH(EDATE('자료_거시'!$D3772,-'설정'!$B$17),'자료_거시'!$D$3:INDEX('자료_거시'!$D$3:$D$4002,$K$6),1)),""),"")</f>
        <v/>
      </c>
      <c r="U3790">
        <f>IF(ISNUMBER(T3790),'자료_거시'!$D3772,"")</f>
        <v/>
      </c>
      <c r="V3790">
        <f>IF(ISNUMBER(U3790),IF(U3790&gt;$L$6,T3790,""),"")</f>
        <v/>
      </c>
      <c r="W3790">
        <f>IF(AND(ISNUMBER('자료_거시'!$G3772),ISNUMBER('자료_거시'!$H3772)),'자료_거시'!$H3772,"")</f>
        <v/>
      </c>
      <c r="X3790">
        <f>IF(ISNUMBER(W3790),'자료_거시'!$G3772,"")</f>
        <v/>
      </c>
      <c r="Y3790">
        <f>IF(ISNUMBER(X3790),IF(X3790&gt;$L$7,W3790,""),"")</f>
        <v/>
      </c>
      <c r="Z3790">
        <f>IF(ISNUMBER('자료_거시'!$K3772),'자료_거시'!$K3772,Z3789)</f>
        <v/>
      </c>
      <c r="AA3790">
        <f>IF(AND(ISNUMBER('자료_거시'!$J3772),ISNUMBER('자료_거시'!$K3772)),IFERROR('자료_거시'!$K3772/INDEX($Z$21:$Z$4020,MATCH(EDATE('자료_거시'!$J3772,-'설정'!$B$17),'자료_거시'!$J$3:INDEX('자료_거시'!$J$3:$J$4002,$K$8),1))-1,""),"")</f>
        <v/>
      </c>
      <c r="AB3790">
        <f>IF(ISNUMBER(AA3790),'자료_거시'!$J3772,"")</f>
        <v/>
      </c>
      <c r="AC3790">
        <f>IF(ISNUMBER(AB3790),IF(AB3790&gt;$L$8,AA3790,""),"")</f>
        <v/>
      </c>
    </row>
    <row r="3791">
      <c r="S3791">
        <f>IF(ISNUMBER('자료_거시'!$E3773),'자료_거시'!$E3773,S3790)</f>
        <v/>
      </c>
      <c r="T3791">
        <f>IF(AND(ISNUMBER('자료_거시'!$D3773),ISNUMBER('자료_거시'!$E3773)),IFERROR('자료_거시'!$E3773-INDEX($S$21:$S$4020,MATCH(EDATE('자료_거시'!$D3773,-'설정'!$B$17),'자료_거시'!$D$3:INDEX('자료_거시'!$D$3:$D$4002,$K$6),1)),""),"")</f>
        <v/>
      </c>
      <c r="U3791">
        <f>IF(ISNUMBER(T3791),'자료_거시'!$D3773,"")</f>
        <v/>
      </c>
      <c r="V3791">
        <f>IF(ISNUMBER(U3791),IF(U3791&gt;$L$6,T3791,""),"")</f>
        <v/>
      </c>
      <c r="W3791">
        <f>IF(AND(ISNUMBER('자료_거시'!$G3773),ISNUMBER('자료_거시'!$H3773)),'자료_거시'!$H3773,"")</f>
        <v/>
      </c>
      <c r="X3791">
        <f>IF(ISNUMBER(W3791),'자료_거시'!$G3773,"")</f>
        <v/>
      </c>
      <c r="Y3791">
        <f>IF(ISNUMBER(X3791),IF(X3791&gt;$L$7,W3791,""),"")</f>
        <v/>
      </c>
      <c r="Z3791">
        <f>IF(ISNUMBER('자료_거시'!$K3773),'자료_거시'!$K3773,Z3790)</f>
        <v/>
      </c>
      <c r="AA3791">
        <f>IF(AND(ISNUMBER('자료_거시'!$J3773),ISNUMBER('자료_거시'!$K3773)),IFERROR('자료_거시'!$K3773/INDEX($Z$21:$Z$4020,MATCH(EDATE('자료_거시'!$J3773,-'설정'!$B$17),'자료_거시'!$J$3:INDEX('자료_거시'!$J$3:$J$4002,$K$8),1))-1,""),"")</f>
        <v/>
      </c>
      <c r="AB3791">
        <f>IF(ISNUMBER(AA3791),'자료_거시'!$J3773,"")</f>
        <v/>
      </c>
      <c r="AC3791">
        <f>IF(ISNUMBER(AB3791),IF(AB3791&gt;$L$8,AA3791,""),"")</f>
        <v/>
      </c>
    </row>
    <row r="3792">
      <c r="S3792">
        <f>IF(ISNUMBER('자료_거시'!$E3774),'자료_거시'!$E3774,S3791)</f>
        <v/>
      </c>
      <c r="T3792">
        <f>IF(AND(ISNUMBER('자료_거시'!$D3774),ISNUMBER('자료_거시'!$E3774)),IFERROR('자료_거시'!$E3774-INDEX($S$21:$S$4020,MATCH(EDATE('자료_거시'!$D3774,-'설정'!$B$17),'자료_거시'!$D$3:INDEX('자료_거시'!$D$3:$D$4002,$K$6),1)),""),"")</f>
        <v/>
      </c>
      <c r="U3792">
        <f>IF(ISNUMBER(T3792),'자료_거시'!$D3774,"")</f>
        <v/>
      </c>
      <c r="V3792">
        <f>IF(ISNUMBER(U3792),IF(U3792&gt;$L$6,T3792,""),"")</f>
        <v/>
      </c>
      <c r="W3792">
        <f>IF(AND(ISNUMBER('자료_거시'!$G3774),ISNUMBER('자료_거시'!$H3774)),'자료_거시'!$H3774,"")</f>
        <v/>
      </c>
      <c r="X3792">
        <f>IF(ISNUMBER(W3792),'자료_거시'!$G3774,"")</f>
        <v/>
      </c>
      <c r="Y3792">
        <f>IF(ISNUMBER(X3792),IF(X3792&gt;$L$7,W3792,""),"")</f>
        <v/>
      </c>
      <c r="Z3792">
        <f>IF(ISNUMBER('자료_거시'!$K3774),'자료_거시'!$K3774,Z3791)</f>
        <v/>
      </c>
      <c r="AA3792">
        <f>IF(AND(ISNUMBER('자료_거시'!$J3774),ISNUMBER('자료_거시'!$K3774)),IFERROR('자료_거시'!$K3774/INDEX($Z$21:$Z$4020,MATCH(EDATE('자료_거시'!$J3774,-'설정'!$B$17),'자료_거시'!$J$3:INDEX('자료_거시'!$J$3:$J$4002,$K$8),1))-1,""),"")</f>
        <v/>
      </c>
      <c r="AB3792">
        <f>IF(ISNUMBER(AA3792),'자료_거시'!$J3774,"")</f>
        <v/>
      </c>
      <c r="AC3792">
        <f>IF(ISNUMBER(AB3792),IF(AB3792&gt;$L$8,AA3792,""),"")</f>
        <v/>
      </c>
    </row>
    <row r="3793">
      <c r="S3793">
        <f>IF(ISNUMBER('자료_거시'!$E3775),'자료_거시'!$E3775,S3792)</f>
        <v/>
      </c>
      <c r="T3793">
        <f>IF(AND(ISNUMBER('자료_거시'!$D3775),ISNUMBER('자료_거시'!$E3775)),IFERROR('자료_거시'!$E3775-INDEX($S$21:$S$4020,MATCH(EDATE('자료_거시'!$D3775,-'설정'!$B$17),'자료_거시'!$D$3:INDEX('자료_거시'!$D$3:$D$4002,$K$6),1)),""),"")</f>
        <v/>
      </c>
      <c r="U3793">
        <f>IF(ISNUMBER(T3793),'자료_거시'!$D3775,"")</f>
        <v/>
      </c>
      <c r="V3793">
        <f>IF(ISNUMBER(U3793),IF(U3793&gt;$L$6,T3793,""),"")</f>
        <v/>
      </c>
      <c r="W3793">
        <f>IF(AND(ISNUMBER('자료_거시'!$G3775),ISNUMBER('자료_거시'!$H3775)),'자료_거시'!$H3775,"")</f>
        <v/>
      </c>
      <c r="X3793">
        <f>IF(ISNUMBER(W3793),'자료_거시'!$G3775,"")</f>
        <v/>
      </c>
      <c r="Y3793">
        <f>IF(ISNUMBER(X3793),IF(X3793&gt;$L$7,W3793,""),"")</f>
        <v/>
      </c>
      <c r="Z3793">
        <f>IF(ISNUMBER('자료_거시'!$K3775),'자료_거시'!$K3775,Z3792)</f>
        <v/>
      </c>
      <c r="AA3793">
        <f>IF(AND(ISNUMBER('자료_거시'!$J3775),ISNUMBER('자료_거시'!$K3775)),IFERROR('자료_거시'!$K3775/INDEX($Z$21:$Z$4020,MATCH(EDATE('자료_거시'!$J3775,-'설정'!$B$17),'자료_거시'!$J$3:INDEX('자료_거시'!$J$3:$J$4002,$K$8),1))-1,""),"")</f>
        <v/>
      </c>
      <c r="AB3793">
        <f>IF(ISNUMBER(AA3793),'자료_거시'!$J3775,"")</f>
        <v/>
      </c>
      <c r="AC3793">
        <f>IF(ISNUMBER(AB3793),IF(AB3793&gt;$L$8,AA3793,""),"")</f>
        <v/>
      </c>
    </row>
    <row r="3794">
      <c r="S3794">
        <f>IF(ISNUMBER('자료_거시'!$E3776),'자료_거시'!$E3776,S3793)</f>
        <v/>
      </c>
      <c r="T3794">
        <f>IF(AND(ISNUMBER('자료_거시'!$D3776),ISNUMBER('자료_거시'!$E3776)),IFERROR('자료_거시'!$E3776-INDEX($S$21:$S$4020,MATCH(EDATE('자료_거시'!$D3776,-'설정'!$B$17),'자료_거시'!$D$3:INDEX('자료_거시'!$D$3:$D$4002,$K$6),1)),""),"")</f>
        <v/>
      </c>
      <c r="U3794">
        <f>IF(ISNUMBER(T3794),'자료_거시'!$D3776,"")</f>
        <v/>
      </c>
      <c r="V3794">
        <f>IF(ISNUMBER(U3794),IF(U3794&gt;$L$6,T3794,""),"")</f>
        <v/>
      </c>
      <c r="W3794">
        <f>IF(AND(ISNUMBER('자료_거시'!$G3776),ISNUMBER('자료_거시'!$H3776)),'자료_거시'!$H3776,"")</f>
        <v/>
      </c>
      <c r="X3794">
        <f>IF(ISNUMBER(W3794),'자료_거시'!$G3776,"")</f>
        <v/>
      </c>
      <c r="Y3794">
        <f>IF(ISNUMBER(X3794),IF(X3794&gt;$L$7,W3794,""),"")</f>
        <v/>
      </c>
      <c r="Z3794">
        <f>IF(ISNUMBER('자료_거시'!$K3776),'자료_거시'!$K3776,Z3793)</f>
        <v/>
      </c>
      <c r="AA3794">
        <f>IF(AND(ISNUMBER('자료_거시'!$J3776),ISNUMBER('자료_거시'!$K3776)),IFERROR('자료_거시'!$K3776/INDEX($Z$21:$Z$4020,MATCH(EDATE('자료_거시'!$J3776,-'설정'!$B$17),'자료_거시'!$J$3:INDEX('자료_거시'!$J$3:$J$4002,$K$8),1))-1,""),"")</f>
        <v/>
      </c>
      <c r="AB3794">
        <f>IF(ISNUMBER(AA3794),'자료_거시'!$J3776,"")</f>
        <v/>
      </c>
      <c r="AC3794">
        <f>IF(ISNUMBER(AB3794),IF(AB3794&gt;$L$8,AA3794,""),"")</f>
        <v/>
      </c>
    </row>
    <row r="3795">
      <c r="S3795">
        <f>IF(ISNUMBER('자료_거시'!$E3777),'자료_거시'!$E3777,S3794)</f>
        <v/>
      </c>
      <c r="T3795">
        <f>IF(AND(ISNUMBER('자료_거시'!$D3777),ISNUMBER('자료_거시'!$E3777)),IFERROR('자료_거시'!$E3777-INDEX($S$21:$S$4020,MATCH(EDATE('자료_거시'!$D3777,-'설정'!$B$17),'자료_거시'!$D$3:INDEX('자료_거시'!$D$3:$D$4002,$K$6),1)),""),"")</f>
        <v/>
      </c>
      <c r="U3795">
        <f>IF(ISNUMBER(T3795),'자료_거시'!$D3777,"")</f>
        <v/>
      </c>
      <c r="V3795">
        <f>IF(ISNUMBER(U3795),IF(U3795&gt;$L$6,T3795,""),"")</f>
        <v/>
      </c>
      <c r="W3795">
        <f>IF(AND(ISNUMBER('자료_거시'!$G3777),ISNUMBER('자료_거시'!$H3777)),'자료_거시'!$H3777,"")</f>
        <v/>
      </c>
      <c r="X3795">
        <f>IF(ISNUMBER(W3795),'자료_거시'!$G3777,"")</f>
        <v/>
      </c>
      <c r="Y3795">
        <f>IF(ISNUMBER(X3795),IF(X3795&gt;$L$7,W3795,""),"")</f>
        <v/>
      </c>
      <c r="Z3795">
        <f>IF(ISNUMBER('자료_거시'!$K3777),'자료_거시'!$K3777,Z3794)</f>
        <v/>
      </c>
      <c r="AA3795">
        <f>IF(AND(ISNUMBER('자료_거시'!$J3777),ISNUMBER('자료_거시'!$K3777)),IFERROR('자료_거시'!$K3777/INDEX($Z$21:$Z$4020,MATCH(EDATE('자료_거시'!$J3777,-'설정'!$B$17),'자료_거시'!$J$3:INDEX('자료_거시'!$J$3:$J$4002,$K$8),1))-1,""),"")</f>
        <v/>
      </c>
      <c r="AB3795">
        <f>IF(ISNUMBER(AA3795),'자료_거시'!$J3777,"")</f>
        <v/>
      </c>
      <c r="AC3795">
        <f>IF(ISNUMBER(AB3795),IF(AB3795&gt;$L$8,AA3795,""),"")</f>
        <v/>
      </c>
    </row>
    <row r="3796">
      <c r="S3796">
        <f>IF(ISNUMBER('자료_거시'!$E3778),'자료_거시'!$E3778,S3795)</f>
        <v/>
      </c>
      <c r="T3796">
        <f>IF(AND(ISNUMBER('자료_거시'!$D3778),ISNUMBER('자료_거시'!$E3778)),IFERROR('자료_거시'!$E3778-INDEX($S$21:$S$4020,MATCH(EDATE('자료_거시'!$D3778,-'설정'!$B$17),'자료_거시'!$D$3:INDEX('자료_거시'!$D$3:$D$4002,$K$6),1)),""),"")</f>
        <v/>
      </c>
      <c r="U3796">
        <f>IF(ISNUMBER(T3796),'자료_거시'!$D3778,"")</f>
        <v/>
      </c>
      <c r="V3796">
        <f>IF(ISNUMBER(U3796),IF(U3796&gt;$L$6,T3796,""),"")</f>
        <v/>
      </c>
      <c r="W3796">
        <f>IF(AND(ISNUMBER('자료_거시'!$G3778),ISNUMBER('자료_거시'!$H3778)),'자료_거시'!$H3778,"")</f>
        <v/>
      </c>
      <c r="X3796">
        <f>IF(ISNUMBER(W3796),'자료_거시'!$G3778,"")</f>
        <v/>
      </c>
      <c r="Y3796">
        <f>IF(ISNUMBER(X3796),IF(X3796&gt;$L$7,W3796,""),"")</f>
        <v/>
      </c>
      <c r="Z3796">
        <f>IF(ISNUMBER('자료_거시'!$K3778),'자료_거시'!$K3778,Z3795)</f>
        <v/>
      </c>
      <c r="AA3796">
        <f>IF(AND(ISNUMBER('자료_거시'!$J3778),ISNUMBER('자료_거시'!$K3778)),IFERROR('자료_거시'!$K3778/INDEX($Z$21:$Z$4020,MATCH(EDATE('자료_거시'!$J3778,-'설정'!$B$17),'자료_거시'!$J$3:INDEX('자료_거시'!$J$3:$J$4002,$K$8),1))-1,""),"")</f>
        <v/>
      </c>
      <c r="AB3796">
        <f>IF(ISNUMBER(AA3796),'자료_거시'!$J3778,"")</f>
        <v/>
      </c>
      <c r="AC3796">
        <f>IF(ISNUMBER(AB3796),IF(AB3796&gt;$L$8,AA3796,""),"")</f>
        <v/>
      </c>
    </row>
    <row r="3797">
      <c r="S3797">
        <f>IF(ISNUMBER('자료_거시'!$E3779),'자료_거시'!$E3779,S3796)</f>
        <v/>
      </c>
      <c r="T3797">
        <f>IF(AND(ISNUMBER('자료_거시'!$D3779),ISNUMBER('자료_거시'!$E3779)),IFERROR('자료_거시'!$E3779-INDEX($S$21:$S$4020,MATCH(EDATE('자료_거시'!$D3779,-'설정'!$B$17),'자료_거시'!$D$3:INDEX('자료_거시'!$D$3:$D$4002,$K$6),1)),""),"")</f>
        <v/>
      </c>
      <c r="U3797">
        <f>IF(ISNUMBER(T3797),'자료_거시'!$D3779,"")</f>
        <v/>
      </c>
      <c r="V3797">
        <f>IF(ISNUMBER(U3797),IF(U3797&gt;$L$6,T3797,""),"")</f>
        <v/>
      </c>
      <c r="W3797">
        <f>IF(AND(ISNUMBER('자료_거시'!$G3779),ISNUMBER('자료_거시'!$H3779)),'자료_거시'!$H3779,"")</f>
        <v/>
      </c>
      <c r="X3797">
        <f>IF(ISNUMBER(W3797),'자료_거시'!$G3779,"")</f>
        <v/>
      </c>
      <c r="Y3797">
        <f>IF(ISNUMBER(X3797),IF(X3797&gt;$L$7,W3797,""),"")</f>
        <v/>
      </c>
      <c r="Z3797">
        <f>IF(ISNUMBER('자료_거시'!$K3779),'자료_거시'!$K3779,Z3796)</f>
        <v/>
      </c>
      <c r="AA3797">
        <f>IF(AND(ISNUMBER('자료_거시'!$J3779),ISNUMBER('자료_거시'!$K3779)),IFERROR('자료_거시'!$K3779/INDEX($Z$21:$Z$4020,MATCH(EDATE('자료_거시'!$J3779,-'설정'!$B$17),'자료_거시'!$J$3:INDEX('자료_거시'!$J$3:$J$4002,$K$8),1))-1,""),"")</f>
        <v/>
      </c>
      <c r="AB3797">
        <f>IF(ISNUMBER(AA3797),'자료_거시'!$J3779,"")</f>
        <v/>
      </c>
      <c r="AC3797">
        <f>IF(ISNUMBER(AB3797),IF(AB3797&gt;$L$8,AA3797,""),"")</f>
        <v/>
      </c>
    </row>
    <row r="3798">
      <c r="S3798">
        <f>IF(ISNUMBER('자료_거시'!$E3780),'자료_거시'!$E3780,S3797)</f>
        <v/>
      </c>
      <c r="T3798">
        <f>IF(AND(ISNUMBER('자료_거시'!$D3780),ISNUMBER('자료_거시'!$E3780)),IFERROR('자료_거시'!$E3780-INDEX($S$21:$S$4020,MATCH(EDATE('자료_거시'!$D3780,-'설정'!$B$17),'자료_거시'!$D$3:INDEX('자료_거시'!$D$3:$D$4002,$K$6),1)),""),"")</f>
        <v/>
      </c>
      <c r="U3798">
        <f>IF(ISNUMBER(T3798),'자료_거시'!$D3780,"")</f>
        <v/>
      </c>
      <c r="V3798">
        <f>IF(ISNUMBER(U3798),IF(U3798&gt;$L$6,T3798,""),"")</f>
        <v/>
      </c>
      <c r="W3798">
        <f>IF(AND(ISNUMBER('자료_거시'!$G3780),ISNUMBER('자료_거시'!$H3780)),'자료_거시'!$H3780,"")</f>
        <v/>
      </c>
      <c r="X3798">
        <f>IF(ISNUMBER(W3798),'자료_거시'!$G3780,"")</f>
        <v/>
      </c>
      <c r="Y3798">
        <f>IF(ISNUMBER(X3798),IF(X3798&gt;$L$7,W3798,""),"")</f>
        <v/>
      </c>
      <c r="Z3798">
        <f>IF(ISNUMBER('자료_거시'!$K3780),'자료_거시'!$K3780,Z3797)</f>
        <v/>
      </c>
      <c r="AA3798">
        <f>IF(AND(ISNUMBER('자료_거시'!$J3780),ISNUMBER('자료_거시'!$K3780)),IFERROR('자료_거시'!$K3780/INDEX($Z$21:$Z$4020,MATCH(EDATE('자료_거시'!$J3780,-'설정'!$B$17),'자료_거시'!$J$3:INDEX('자료_거시'!$J$3:$J$4002,$K$8),1))-1,""),"")</f>
        <v/>
      </c>
      <c r="AB3798">
        <f>IF(ISNUMBER(AA3798),'자료_거시'!$J3780,"")</f>
        <v/>
      </c>
      <c r="AC3798">
        <f>IF(ISNUMBER(AB3798),IF(AB3798&gt;$L$8,AA3798,""),"")</f>
        <v/>
      </c>
    </row>
    <row r="3799">
      <c r="S3799">
        <f>IF(ISNUMBER('자료_거시'!$E3781),'자료_거시'!$E3781,S3798)</f>
        <v/>
      </c>
      <c r="T3799">
        <f>IF(AND(ISNUMBER('자료_거시'!$D3781),ISNUMBER('자료_거시'!$E3781)),IFERROR('자료_거시'!$E3781-INDEX($S$21:$S$4020,MATCH(EDATE('자료_거시'!$D3781,-'설정'!$B$17),'자료_거시'!$D$3:INDEX('자료_거시'!$D$3:$D$4002,$K$6),1)),""),"")</f>
        <v/>
      </c>
      <c r="U3799">
        <f>IF(ISNUMBER(T3799),'자료_거시'!$D3781,"")</f>
        <v/>
      </c>
      <c r="V3799">
        <f>IF(ISNUMBER(U3799),IF(U3799&gt;$L$6,T3799,""),"")</f>
        <v/>
      </c>
      <c r="W3799">
        <f>IF(AND(ISNUMBER('자료_거시'!$G3781),ISNUMBER('자료_거시'!$H3781)),'자료_거시'!$H3781,"")</f>
        <v/>
      </c>
      <c r="X3799">
        <f>IF(ISNUMBER(W3799),'자료_거시'!$G3781,"")</f>
        <v/>
      </c>
      <c r="Y3799">
        <f>IF(ISNUMBER(X3799),IF(X3799&gt;$L$7,W3799,""),"")</f>
        <v/>
      </c>
      <c r="Z3799">
        <f>IF(ISNUMBER('자료_거시'!$K3781),'자료_거시'!$K3781,Z3798)</f>
        <v/>
      </c>
      <c r="AA3799">
        <f>IF(AND(ISNUMBER('자료_거시'!$J3781),ISNUMBER('자료_거시'!$K3781)),IFERROR('자료_거시'!$K3781/INDEX($Z$21:$Z$4020,MATCH(EDATE('자료_거시'!$J3781,-'설정'!$B$17),'자료_거시'!$J$3:INDEX('자료_거시'!$J$3:$J$4002,$K$8),1))-1,""),"")</f>
        <v/>
      </c>
      <c r="AB3799">
        <f>IF(ISNUMBER(AA3799),'자료_거시'!$J3781,"")</f>
        <v/>
      </c>
      <c r="AC3799">
        <f>IF(ISNUMBER(AB3799),IF(AB3799&gt;$L$8,AA3799,""),"")</f>
        <v/>
      </c>
    </row>
    <row r="3800">
      <c r="S3800">
        <f>IF(ISNUMBER('자료_거시'!$E3782),'자료_거시'!$E3782,S3799)</f>
        <v/>
      </c>
      <c r="T3800">
        <f>IF(AND(ISNUMBER('자료_거시'!$D3782),ISNUMBER('자료_거시'!$E3782)),IFERROR('자료_거시'!$E3782-INDEX($S$21:$S$4020,MATCH(EDATE('자료_거시'!$D3782,-'설정'!$B$17),'자료_거시'!$D$3:INDEX('자료_거시'!$D$3:$D$4002,$K$6),1)),""),"")</f>
        <v/>
      </c>
      <c r="U3800">
        <f>IF(ISNUMBER(T3800),'자료_거시'!$D3782,"")</f>
        <v/>
      </c>
      <c r="V3800">
        <f>IF(ISNUMBER(U3800),IF(U3800&gt;$L$6,T3800,""),"")</f>
        <v/>
      </c>
      <c r="W3800">
        <f>IF(AND(ISNUMBER('자료_거시'!$G3782),ISNUMBER('자료_거시'!$H3782)),'자료_거시'!$H3782,"")</f>
        <v/>
      </c>
      <c r="X3800">
        <f>IF(ISNUMBER(W3800),'자료_거시'!$G3782,"")</f>
        <v/>
      </c>
      <c r="Y3800">
        <f>IF(ISNUMBER(X3800),IF(X3800&gt;$L$7,W3800,""),"")</f>
        <v/>
      </c>
      <c r="Z3800">
        <f>IF(ISNUMBER('자료_거시'!$K3782),'자료_거시'!$K3782,Z3799)</f>
        <v/>
      </c>
      <c r="AA3800">
        <f>IF(AND(ISNUMBER('자료_거시'!$J3782),ISNUMBER('자료_거시'!$K3782)),IFERROR('자료_거시'!$K3782/INDEX($Z$21:$Z$4020,MATCH(EDATE('자료_거시'!$J3782,-'설정'!$B$17),'자료_거시'!$J$3:INDEX('자료_거시'!$J$3:$J$4002,$K$8),1))-1,""),"")</f>
        <v/>
      </c>
      <c r="AB3800">
        <f>IF(ISNUMBER(AA3800),'자료_거시'!$J3782,"")</f>
        <v/>
      </c>
      <c r="AC3800">
        <f>IF(ISNUMBER(AB3800),IF(AB3800&gt;$L$8,AA3800,""),"")</f>
        <v/>
      </c>
    </row>
    <row r="3801">
      <c r="S3801">
        <f>IF(ISNUMBER('자료_거시'!$E3783),'자료_거시'!$E3783,S3800)</f>
        <v/>
      </c>
      <c r="T3801">
        <f>IF(AND(ISNUMBER('자료_거시'!$D3783),ISNUMBER('자료_거시'!$E3783)),IFERROR('자료_거시'!$E3783-INDEX($S$21:$S$4020,MATCH(EDATE('자료_거시'!$D3783,-'설정'!$B$17),'자료_거시'!$D$3:INDEX('자료_거시'!$D$3:$D$4002,$K$6),1)),""),"")</f>
        <v/>
      </c>
      <c r="U3801">
        <f>IF(ISNUMBER(T3801),'자료_거시'!$D3783,"")</f>
        <v/>
      </c>
      <c r="V3801">
        <f>IF(ISNUMBER(U3801),IF(U3801&gt;$L$6,T3801,""),"")</f>
        <v/>
      </c>
      <c r="W3801">
        <f>IF(AND(ISNUMBER('자료_거시'!$G3783),ISNUMBER('자료_거시'!$H3783)),'자료_거시'!$H3783,"")</f>
        <v/>
      </c>
      <c r="X3801">
        <f>IF(ISNUMBER(W3801),'자료_거시'!$G3783,"")</f>
        <v/>
      </c>
      <c r="Y3801">
        <f>IF(ISNUMBER(X3801),IF(X3801&gt;$L$7,W3801,""),"")</f>
        <v/>
      </c>
      <c r="Z3801">
        <f>IF(ISNUMBER('자료_거시'!$K3783),'자료_거시'!$K3783,Z3800)</f>
        <v/>
      </c>
      <c r="AA3801">
        <f>IF(AND(ISNUMBER('자료_거시'!$J3783),ISNUMBER('자료_거시'!$K3783)),IFERROR('자료_거시'!$K3783/INDEX($Z$21:$Z$4020,MATCH(EDATE('자료_거시'!$J3783,-'설정'!$B$17),'자료_거시'!$J$3:INDEX('자료_거시'!$J$3:$J$4002,$K$8),1))-1,""),"")</f>
        <v/>
      </c>
      <c r="AB3801">
        <f>IF(ISNUMBER(AA3801),'자료_거시'!$J3783,"")</f>
        <v/>
      </c>
      <c r="AC3801">
        <f>IF(ISNUMBER(AB3801),IF(AB3801&gt;$L$8,AA3801,""),"")</f>
        <v/>
      </c>
    </row>
    <row r="3802">
      <c r="S3802">
        <f>IF(ISNUMBER('자료_거시'!$E3784),'자료_거시'!$E3784,S3801)</f>
        <v/>
      </c>
      <c r="T3802">
        <f>IF(AND(ISNUMBER('자료_거시'!$D3784),ISNUMBER('자료_거시'!$E3784)),IFERROR('자료_거시'!$E3784-INDEX($S$21:$S$4020,MATCH(EDATE('자료_거시'!$D3784,-'설정'!$B$17),'자료_거시'!$D$3:INDEX('자료_거시'!$D$3:$D$4002,$K$6),1)),""),"")</f>
        <v/>
      </c>
      <c r="U3802">
        <f>IF(ISNUMBER(T3802),'자료_거시'!$D3784,"")</f>
        <v/>
      </c>
      <c r="V3802">
        <f>IF(ISNUMBER(U3802),IF(U3802&gt;$L$6,T3802,""),"")</f>
        <v/>
      </c>
      <c r="W3802">
        <f>IF(AND(ISNUMBER('자료_거시'!$G3784),ISNUMBER('자료_거시'!$H3784)),'자료_거시'!$H3784,"")</f>
        <v/>
      </c>
      <c r="X3802">
        <f>IF(ISNUMBER(W3802),'자료_거시'!$G3784,"")</f>
        <v/>
      </c>
      <c r="Y3802">
        <f>IF(ISNUMBER(X3802),IF(X3802&gt;$L$7,W3802,""),"")</f>
        <v/>
      </c>
      <c r="Z3802">
        <f>IF(ISNUMBER('자료_거시'!$K3784),'자료_거시'!$K3784,Z3801)</f>
        <v/>
      </c>
      <c r="AA3802">
        <f>IF(AND(ISNUMBER('자료_거시'!$J3784),ISNUMBER('자료_거시'!$K3784)),IFERROR('자료_거시'!$K3784/INDEX($Z$21:$Z$4020,MATCH(EDATE('자료_거시'!$J3784,-'설정'!$B$17),'자료_거시'!$J$3:INDEX('자료_거시'!$J$3:$J$4002,$K$8),1))-1,""),"")</f>
        <v/>
      </c>
      <c r="AB3802">
        <f>IF(ISNUMBER(AA3802),'자료_거시'!$J3784,"")</f>
        <v/>
      </c>
      <c r="AC3802">
        <f>IF(ISNUMBER(AB3802),IF(AB3802&gt;$L$8,AA3802,""),"")</f>
        <v/>
      </c>
    </row>
    <row r="3803">
      <c r="S3803">
        <f>IF(ISNUMBER('자료_거시'!$E3785),'자료_거시'!$E3785,S3802)</f>
        <v/>
      </c>
      <c r="T3803">
        <f>IF(AND(ISNUMBER('자료_거시'!$D3785),ISNUMBER('자료_거시'!$E3785)),IFERROR('자료_거시'!$E3785-INDEX($S$21:$S$4020,MATCH(EDATE('자료_거시'!$D3785,-'설정'!$B$17),'자료_거시'!$D$3:INDEX('자료_거시'!$D$3:$D$4002,$K$6),1)),""),"")</f>
        <v/>
      </c>
      <c r="U3803">
        <f>IF(ISNUMBER(T3803),'자료_거시'!$D3785,"")</f>
        <v/>
      </c>
      <c r="V3803">
        <f>IF(ISNUMBER(U3803),IF(U3803&gt;$L$6,T3803,""),"")</f>
        <v/>
      </c>
      <c r="W3803">
        <f>IF(AND(ISNUMBER('자료_거시'!$G3785),ISNUMBER('자료_거시'!$H3785)),'자료_거시'!$H3785,"")</f>
        <v/>
      </c>
      <c r="X3803">
        <f>IF(ISNUMBER(W3803),'자료_거시'!$G3785,"")</f>
        <v/>
      </c>
      <c r="Y3803">
        <f>IF(ISNUMBER(X3803),IF(X3803&gt;$L$7,W3803,""),"")</f>
        <v/>
      </c>
      <c r="Z3803">
        <f>IF(ISNUMBER('자료_거시'!$K3785),'자료_거시'!$K3785,Z3802)</f>
        <v/>
      </c>
      <c r="AA3803">
        <f>IF(AND(ISNUMBER('자료_거시'!$J3785),ISNUMBER('자료_거시'!$K3785)),IFERROR('자료_거시'!$K3785/INDEX($Z$21:$Z$4020,MATCH(EDATE('자료_거시'!$J3785,-'설정'!$B$17),'자료_거시'!$J$3:INDEX('자료_거시'!$J$3:$J$4002,$K$8),1))-1,""),"")</f>
        <v/>
      </c>
      <c r="AB3803">
        <f>IF(ISNUMBER(AA3803),'자료_거시'!$J3785,"")</f>
        <v/>
      </c>
      <c r="AC3803">
        <f>IF(ISNUMBER(AB3803),IF(AB3803&gt;$L$8,AA3803,""),"")</f>
        <v/>
      </c>
    </row>
    <row r="3804">
      <c r="S3804">
        <f>IF(ISNUMBER('자료_거시'!$E3786),'자료_거시'!$E3786,S3803)</f>
        <v/>
      </c>
      <c r="T3804">
        <f>IF(AND(ISNUMBER('자료_거시'!$D3786),ISNUMBER('자료_거시'!$E3786)),IFERROR('자료_거시'!$E3786-INDEX($S$21:$S$4020,MATCH(EDATE('자료_거시'!$D3786,-'설정'!$B$17),'자료_거시'!$D$3:INDEX('자료_거시'!$D$3:$D$4002,$K$6),1)),""),"")</f>
        <v/>
      </c>
      <c r="U3804">
        <f>IF(ISNUMBER(T3804),'자료_거시'!$D3786,"")</f>
        <v/>
      </c>
      <c r="V3804">
        <f>IF(ISNUMBER(U3804),IF(U3804&gt;$L$6,T3804,""),"")</f>
        <v/>
      </c>
      <c r="W3804">
        <f>IF(AND(ISNUMBER('자료_거시'!$G3786),ISNUMBER('자료_거시'!$H3786)),'자료_거시'!$H3786,"")</f>
        <v/>
      </c>
      <c r="X3804">
        <f>IF(ISNUMBER(W3804),'자료_거시'!$G3786,"")</f>
        <v/>
      </c>
      <c r="Y3804">
        <f>IF(ISNUMBER(X3804),IF(X3804&gt;$L$7,W3804,""),"")</f>
        <v/>
      </c>
      <c r="Z3804">
        <f>IF(ISNUMBER('자료_거시'!$K3786),'자료_거시'!$K3786,Z3803)</f>
        <v/>
      </c>
      <c r="AA3804">
        <f>IF(AND(ISNUMBER('자료_거시'!$J3786),ISNUMBER('자료_거시'!$K3786)),IFERROR('자료_거시'!$K3786/INDEX($Z$21:$Z$4020,MATCH(EDATE('자료_거시'!$J3786,-'설정'!$B$17),'자료_거시'!$J$3:INDEX('자료_거시'!$J$3:$J$4002,$K$8),1))-1,""),"")</f>
        <v/>
      </c>
      <c r="AB3804">
        <f>IF(ISNUMBER(AA3804),'자료_거시'!$J3786,"")</f>
        <v/>
      </c>
      <c r="AC3804">
        <f>IF(ISNUMBER(AB3804),IF(AB3804&gt;$L$8,AA3804,""),"")</f>
        <v/>
      </c>
    </row>
    <row r="3805">
      <c r="S3805">
        <f>IF(ISNUMBER('자료_거시'!$E3787),'자료_거시'!$E3787,S3804)</f>
        <v/>
      </c>
      <c r="T3805">
        <f>IF(AND(ISNUMBER('자료_거시'!$D3787),ISNUMBER('자료_거시'!$E3787)),IFERROR('자료_거시'!$E3787-INDEX($S$21:$S$4020,MATCH(EDATE('자료_거시'!$D3787,-'설정'!$B$17),'자료_거시'!$D$3:INDEX('자료_거시'!$D$3:$D$4002,$K$6),1)),""),"")</f>
        <v/>
      </c>
      <c r="U3805">
        <f>IF(ISNUMBER(T3805),'자료_거시'!$D3787,"")</f>
        <v/>
      </c>
      <c r="V3805">
        <f>IF(ISNUMBER(U3805),IF(U3805&gt;$L$6,T3805,""),"")</f>
        <v/>
      </c>
      <c r="W3805">
        <f>IF(AND(ISNUMBER('자료_거시'!$G3787),ISNUMBER('자료_거시'!$H3787)),'자료_거시'!$H3787,"")</f>
        <v/>
      </c>
      <c r="X3805">
        <f>IF(ISNUMBER(W3805),'자료_거시'!$G3787,"")</f>
        <v/>
      </c>
      <c r="Y3805">
        <f>IF(ISNUMBER(X3805),IF(X3805&gt;$L$7,W3805,""),"")</f>
        <v/>
      </c>
      <c r="Z3805">
        <f>IF(ISNUMBER('자료_거시'!$K3787),'자료_거시'!$K3787,Z3804)</f>
        <v/>
      </c>
      <c r="AA3805">
        <f>IF(AND(ISNUMBER('자료_거시'!$J3787),ISNUMBER('자료_거시'!$K3787)),IFERROR('자료_거시'!$K3787/INDEX($Z$21:$Z$4020,MATCH(EDATE('자료_거시'!$J3787,-'설정'!$B$17),'자료_거시'!$J$3:INDEX('자료_거시'!$J$3:$J$4002,$K$8),1))-1,""),"")</f>
        <v/>
      </c>
      <c r="AB3805">
        <f>IF(ISNUMBER(AA3805),'자료_거시'!$J3787,"")</f>
        <v/>
      </c>
      <c r="AC3805">
        <f>IF(ISNUMBER(AB3805),IF(AB3805&gt;$L$8,AA3805,""),"")</f>
        <v/>
      </c>
    </row>
    <row r="3806">
      <c r="S3806">
        <f>IF(ISNUMBER('자료_거시'!$E3788),'자료_거시'!$E3788,S3805)</f>
        <v/>
      </c>
      <c r="T3806">
        <f>IF(AND(ISNUMBER('자료_거시'!$D3788),ISNUMBER('자료_거시'!$E3788)),IFERROR('자료_거시'!$E3788-INDEX($S$21:$S$4020,MATCH(EDATE('자료_거시'!$D3788,-'설정'!$B$17),'자료_거시'!$D$3:INDEX('자료_거시'!$D$3:$D$4002,$K$6),1)),""),"")</f>
        <v/>
      </c>
      <c r="U3806">
        <f>IF(ISNUMBER(T3806),'자료_거시'!$D3788,"")</f>
        <v/>
      </c>
      <c r="V3806">
        <f>IF(ISNUMBER(U3806),IF(U3806&gt;$L$6,T3806,""),"")</f>
        <v/>
      </c>
      <c r="W3806">
        <f>IF(AND(ISNUMBER('자료_거시'!$G3788),ISNUMBER('자료_거시'!$H3788)),'자료_거시'!$H3788,"")</f>
        <v/>
      </c>
      <c r="X3806">
        <f>IF(ISNUMBER(W3806),'자료_거시'!$G3788,"")</f>
        <v/>
      </c>
      <c r="Y3806">
        <f>IF(ISNUMBER(X3806),IF(X3806&gt;$L$7,W3806,""),"")</f>
        <v/>
      </c>
      <c r="Z3806">
        <f>IF(ISNUMBER('자료_거시'!$K3788),'자료_거시'!$K3788,Z3805)</f>
        <v/>
      </c>
      <c r="AA3806">
        <f>IF(AND(ISNUMBER('자료_거시'!$J3788),ISNUMBER('자료_거시'!$K3788)),IFERROR('자료_거시'!$K3788/INDEX($Z$21:$Z$4020,MATCH(EDATE('자료_거시'!$J3788,-'설정'!$B$17),'자료_거시'!$J$3:INDEX('자료_거시'!$J$3:$J$4002,$K$8),1))-1,""),"")</f>
        <v/>
      </c>
      <c r="AB3806">
        <f>IF(ISNUMBER(AA3806),'자료_거시'!$J3788,"")</f>
        <v/>
      </c>
      <c r="AC3806">
        <f>IF(ISNUMBER(AB3806),IF(AB3806&gt;$L$8,AA3806,""),"")</f>
        <v/>
      </c>
    </row>
    <row r="3807">
      <c r="S3807">
        <f>IF(ISNUMBER('자료_거시'!$E3789),'자료_거시'!$E3789,S3806)</f>
        <v/>
      </c>
      <c r="T3807">
        <f>IF(AND(ISNUMBER('자료_거시'!$D3789),ISNUMBER('자료_거시'!$E3789)),IFERROR('자료_거시'!$E3789-INDEX($S$21:$S$4020,MATCH(EDATE('자료_거시'!$D3789,-'설정'!$B$17),'자료_거시'!$D$3:INDEX('자료_거시'!$D$3:$D$4002,$K$6),1)),""),"")</f>
        <v/>
      </c>
      <c r="U3807">
        <f>IF(ISNUMBER(T3807),'자료_거시'!$D3789,"")</f>
        <v/>
      </c>
      <c r="V3807">
        <f>IF(ISNUMBER(U3807),IF(U3807&gt;$L$6,T3807,""),"")</f>
        <v/>
      </c>
      <c r="W3807">
        <f>IF(AND(ISNUMBER('자료_거시'!$G3789),ISNUMBER('자료_거시'!$H3789)),'자료_거시'!$H3789,"")</f>
        <v/>
      </c>
      <c r="X3807">
        <f>IF(ISNUMBER(W3807),'자료_거시'!$G3789,"")</f>
        <v/>
      </c>
      <c r="Y3807">
        <f>IF(ISNUMBER(X3807),IF(X3807&gt;$L$7,W3807,""),"")</f>
        <v/>
      </c>
      <c r="Z3807">
        <f>IF(ISNUMBER('자료_거시'!$K3789),'자료_거시'!$K3789,Z3806)</f>
        <v/>
      </c>
      <c r="AA3807">
        <f>IF(AND(ISNUMBER('자료_거시'!$J3789),ISNUMBER('자료_거시'!$K3789)),IFERROR('자료_거시'!$K3789/INDEX($Z$21:$Z$4020,MATCH(EDATE('자료_거시'!$J3789,-'설정'!$B$17),'자료_거시'!$J$3:INDEX('자료_거시'!$J$3:$J$4002,$K$8),1))-1,""),"")</f>
        <v/>
      </c>
      <c r="AB3807">
        <f>IF(ISNUMBER(AA3807),'자료_거시'!$J3789,"")</f>
        <v/>
      </c>
      <c r="AC3807">
        <f>IF(ISNUMBER(AB3807),IF(AB3807&gt;$L$8,AA3807,""),"")</f>
        <v/>
      </c>
    </row>
    <row r="3808">
      <c r="S3808">
        <f>IF(ISNUMBER('자료_거시'!$E3790),'자료_거시'!$E3790,S3807)</f>
        <v/>
      </c>
      <c r="T3808">
        <f>IF(AND(ISNUMBER('자료_거시'!$D3790),ISNUMBER('자료_거시'!$E3790)),IFERROR('자료_거시'!$E3790-INDEX($S$21:$S$4020,MATCH(EDATE('자료_거시'!$D3790,-'설정'!$B$17),'자료_거시'!$D$3:INDEX('자료_거시'!$D$3:$D$4002,$K$6),1)),""),"")</f>
        <v/>
      </c>
      <c r="U3808">
        <f>IF(ISNUMBER(T3808),'자료_거시'!$D3790,"")</f>
        <v/>
      </c>
      <c r="V3808">
        <f>IF(ISNUMBER(U3808),IF(U3808&gt;$L$6,T3808,""),"")</f>
        <v/>
      </c>
      <c r="W3808">
        <f>IF(AND(ISNUMBER('자료_거시'!$G3790),ISNUMBER('자료_거시'!$H3790)),'자료_거시'!$H3790,"")</f>
        <v/>
      </c>
      <c r="X3808">
        <f>IF(ISNUMBER(W3808),'자료_거시'!$G3790,"")</f>
        <v/>
      </c>
      <c r="Y3808">
        <f>IF(ISNUMBER(X3808),IF(X3808&gt;$L$7,W3808,""),"")</f>
        <v/>
      </c>
      <c r="Z3808">
        <f>IF(ISNUMBER('자료_거시'!$K3790),'자료_거시'!$K3790,Z3807)</f>
        <v/>
      </c>
      <c r="AA3808">
        <f>IF(AND(ISNUMBER('자료_거시'!$J3790),ISNUMBER('자료_거시'!$K3790)),IFERROR('자료_거시'!$K3790/INDEX($Z$21:$Z$4020,MATCH(EDATE('자료_거시'!$J3790,-'설정'!$B$17),'자료_거시'!$J$3:INDEX('자료_거시'!$J$3:$J$4002,$K$8),1))-1,""),"")</f>
        <v/>
      </c>
      <c r="AB3808">
        <f>IF(ISNUMBER(AA3808),'자료_거시'!$J3790,"")</f>
        <v/>
      </c>
      <c r="AC3808">
        <f>IF(ISNUMBER(AB3808),IF(AB3808&gt;$L$8,AA3808,""),"")</f>
        <v/>
      </c>
    </row>
    <row r="3809">
      <c r="S3809">
        <f>IF(ISNUMBER('자료_거시'!$E3791),'자료_거시'!$E3791,S3808)</f>
        <v/>
      </c>
      <c r="T3809">
        <f>IF(AND(ISNUMBER('자료_거시'!$D3791),ISNUMBER('자료_거시'!$E3791)),IFERROR('자료_거시'!$E3791-INDEX($S$21:$S$4020,MATCH(EDATE('자료_거시'!$D3791,-'설정'!$B$17),'자료_거시'!$D$3:INDEX('자료_거시'!$D$3:$D$4002,$K$6),1)),""),"")</f>
        <v/>
      </c>
      <c r="U3809">
        <f>IF(ISNUMBER(T3809),'자료_거시'!$D3791,"")</f>
        <v/>
      </c>
      <c r="V3809">
        <f>IF(ISNUMBER(U3809),IF(U3809&gt;$L$6,T3809,""),"")</f>
        <v/>
      </c>
      <c r="W3809">
        <f>IF(AND(ISNUMBER('자료_거시'!$G3791),ISNUMBER('자료_거시'!$H3791)),'자료_거시'!$H3791,"")</f>
        <v/>
      </c>
      <c r="X3809">
        <f>IF(ISNUMBER(W3809),'자료_거시'!$G3791,"")</f>
        <v/>
      </c>
      <c r="Y3809">
        <f>IF(ISNUMBER(X3809),IF(X3809&gt;$L$7,W3809,""),"")</f>
        <v/>
      </c>
      <c r="Z3809">
        <f>IF(ISNUMBER('자료_거시'!$K3791),'자료_거시'!$K3791,Z3808)</f>
        <v/>
      </c>
      <c r="AA3809">
        <f>IF(AND(ISNUMBER('자료_거시'!$J3791),ISNUMBER('자료_거시'!$K3791)),IFERROR('자료_거시'!$K3791/INDEX($Z$21:$Z$4020,MATCH(EDATE('자료_거시'!$J3791,-'설정'!$B$17),'자료_거시'!$J$3:INDEX('자료_거시'!$J$3:$J$4002,$K$8),1))-1,""),"")</f>
        <v/>
      </c>
      <c r="AB3809">
        <f>IF(ISNUMBER(AA3809),'자료_거시'!$J3791,"")</f>
        <v/>
      </c>
      <c r="AC3809">
        <f>IF(ISNUMBER(AB3809),IF(AB3809&gt;$L$8,AA3809,""),"")</f>
        <v/>
      </c>
    </row>
    <row r="3810">
      <c r="S3810">
        <f>IF(ISNUMBER('자료_거시'!$E3792),'자료_거시'!$E3792,S3809)</f>
        <v/>
      </c>
      <c r="T3810">
        <f>IF(AND(ISNUMBER('자료_거시'!$D3792),ISNUMBER('자료_거시'!$E3792)),IFERROR('자료_거시'!$E3792-INDEX($S$21:$S$4020,MATCH(EDATE('자료_거시'!$D3792,-'설정'!$B$17),'자료_거시'!$D$3:INDEX('자료_거시'!$D$3:$D$4002,$K$6),1)),""),"")</f>
        <v/>
      </c>
      <c r="U3810">
        <f>IF(ISNUMBER(T3810),'자료_거시'!$D3792,"")</f>
        <v/>
      </c>
      <c r="V3810">
        <f>IF(ISNUMBER(U3810),IF(U3810&gt;$L$6,T3810,""),"")</f>
        <v/>
      </c>
      <c r="W3810">
        <f>IF(AND(ISNUMBER('자료_거시'!$G3792),ISNUMBER('자료_거시'!$H3792)),'자료_거시'!$H3792,"")</f>
        <v/>
      </c>
      <c r="X3810">
        <f>IF(ISNUMBER(W3810),'자료_거시'!$G3792,"")</f>
        <v/>
      </c>
      <c r="Y3810">
        <f>IF(ISNUMBER(X3810),IF(X3810&gt;$L$7,W3810,""),"")</f>
        <v/>
      </c>
      <c r="Z3810">
        <f>IF(ISNUMBER('자료_거시'!$K3792),'자료_거시'!$K3792,Z3809)</f>
        <v/>
      </c>
      <c r="AA3810">
        <f>IF(AND(ISNUMBER('자료_거시'!$J3792),ISNUMBER('자료_거시'!$K3792)),IFERROR('자료_거시'!$K3792/INDEX($Z$21:$Z$4020,MATCH(EDATE('자료_거시'!$J3792,-'설정'!$B$17),'자료_거시'!$J$3:INDEX('자료_거시'!$J$3:$J$4002,$K$8),1))-1,""),"")</f>
        <v/>
      </c>
      <c r="AB3810">
        <f>IF(ISNUMBER(AA3810),'자료_거시'!$J3792,"")</f>
        <v/>
      </c>
      <c r="AC3810">
        <f>IF(ISNUMBER(AB3810),IF(AB3810&gt;$L$8,AA3810,""),"")</f>
        <v/>
      </c>
    </row>
    <row r="3811">
      <c r="S3811">
        <f>IF(ISNUMBER('자료_거시'!$E3793),'자료_거시'!$E3793,S3810)</f>
        <v/>
      </c>
      <c r="T3811">
        <f>IF(AND(ISNUMBER('자료_거시'!$D3793),ISNUMBER('자료_거시'!$E3793)),IFERROR('자료_거시'!$E3793-INDEX($S$21:$S$4020,MATCH(EDATE('자료_거시'!$D3793,-'설정'!$B$17),'자료_거시'!$D$3:INDEX('자료_거시'!$D$3:$D$4002,$K$6),1)),""),"")</f>
        <v/>
      </c>
      <c r="U3811">
        <f>IF(ISNUMBER(T3811),'자료_거시'!$D3793,"")</f>
        <v/>
      </c>
      <c r="V3811">
        <f>IF(ISNUMBER(U3811),IF(U3811&gt;$L$6,T3811,""),"")</f>
        <v/>
      </c>
      <c r="W3811">
        <f>IF(AND(ISNUMBER('자료_거시'!$G3793),ISNUMBER('자료_거시'!$H3793)),'자료_거시'!$H3793,"")</f>
        <v/>
      </c>
      <c r="X3811">
        <f>IF(ISNUMBER(W3811),'자료_거시'!$G3793,"")</f>
        <v/>
      </c>
      <c r="Y3811">
        <f>IF(ISNUMBER(X3811),IF(X3811&gt;$L$7,W3811,""),"")</f>
        <v/>
      </c>
      <c r="Z3811">
        <f>IF(ISNUMBER('자료_거시'!$K3793),'자료_거시'!$K3793,Z3810)</f>
        <v/>
      </c>
      <c r="AA3811">
        <f>IF(AND(ISNUMBER('자료_거시'!$J3793),ISNUMBER('자료_거시'!$K3793)),IFERROR('자료_거시'!$K3793/INDEX($Z$21:$Z$4020,MATCH(EDATE('자료_거시'!$J3793,-'설정'!$B$17),'자료_거시'!$J$3:INDEX('자료_거시'!$J$3:$J$4002,$K$8),1))-1,""),"")</f>
        <v/>
      </c>
      <c r="AB3811">
        <f>IF(ISNUMBER(AA3811),'자료_거시'!$J3793,"")</f>
        <v/>
      </c>
      <c r="AC3811">
        <f>IF(ISNUMBER(AB3811),IF(AB3811&gt;$L$8,AA3811,""),"")</f>
        <v/>
      </c>
    </row>
    <row r="3812">
      <c r="S3812">
        <f>IF(ISNUMBER('자료_거시'!$E3794),'자료_거시'!$E3794,S3811)</f>
        <v/>
      </c>
      <c r="T3812">
        <f>IF(AND(ISNUMBER('자료_거시'!$D3794),ISNUMBER('자료_거시'!$E3794)),IFERROR('자료_거시'!$E3794-INDEX($S$21:$S$4020,MATCH(EDATE('자료_거시'!$D3794,-'설정'!$B$17),'자료_거시'!$D$3:INDEX('자료_거시'!$D$3:$D$4002,$K$6),1)),""),"")</f>
        <v/>
      </c>
      <c r="U3812">
        <f>IF(ISNUMBER(T3812),'자료_거시'!$D3794,"")</f>
        <v/>
      </c>
      <c r="V3812">
        <f>IF(ISNUMBER(U3812),IF(U3812&gt;$L$6,T3812,""),"")</f>
        <v/>
      </c>
      <c r="W3812">
        <f>IF(AND(ISNUMBER('자료_거시'!$G3794),ISNUMBER('자료_거시'!$H3794)),'자료_거시'!$H3794,"")</f>
        <v/>
      </c>
      <c r="X3812">
        <f>IF(ISNUMBER(W3812),'자료_거시'!$G3794,"")</f>
        <v/>
      </c>
      <c r="Y3812">
        <f>IF(ISNUMBER(X3812),IF(X3812&gt;$L$7,W3812,""),"")</f>
        <v/>
      </c>
      <c r="Z3812">
        <f>IF(ISNUMBER('자료_거시'!$K3794),'자료_거시'!$K3794,Z3811)</f>
        <v/>
      </c>
      <c r="AA3812">
        <f>IF(AND(ISNUMBER('자료_거시'!$J3794),ISNUMBER('자료_거시'!$K3794)),IFERROR('자료_거시'!$K3794/INDEX($Z$21:$Z$4020,MATCH(EDATE('자료_거시'!$J3794,-'설정'!$B$17),'자료_거시'!$J$3:INDEX('자료_거시'!$J$3:$J$4002,$K$8),1))-1,""),"")</f>
        <v/>
      </c>
      <c r="AB3812">
        <f>IF(ISNUMBER(AA3812),'자료_거시'!$J3794,"")</f>
        <v/>
      </c>
      <c r="AC3812">
        <f>IF(ISNUMBER(AB3812),IF(AB3812&gt;$L$8,AA3812,""),"")</f>
        <v/>
      </c>
    </row>
    <row r="3813">
      <c r="S3813">
        <f>IF(ISNUMBER('자료_거시'!$E3795),'자료_거시'!$E3795,S3812)</f>
        <v/>
      </c>
      <c r="T3813">
        <f>IF(AND(ISNUMBER('자료_거시'!$D3795),ISNUMBER('자료_거시'!$E3795)),IFERROR('자료_거시'!$E3795-INDEX($S$21:$S$4020,MATCH(EDATE('자료_거시'!$D3795,-'설정'!$B$17),'자료_거시'!$D$3:INDEX('자료_거시'!$D$3:$D$4002,$K$6),1)),""),"")</f>
        <v/>
      </c>
      <c r="U3813">
        <f>IF(ISNUMBER(T3813),'자료_거시'!$D3795,"")</f>
        <v/>
      </c>
      <c r="V3813">
        <f>IF(ISNUMBER(U3813),IF(U3813&gt;$L$6,T3813,""),"")</f>
        <v/>
      </c>
      <c r="W3813">
        <f>IF(AND(ISNUMBER('자료_거시'!$G3795),ISNUMBER('자료_거시'!$H3795)),'자료_거시'!$H3795,"")</f>
        <v/>
      </c>
      <c r="X3813">
        <f>IF(ISNUMBER(W3813),'자료_거시'!$G3795,"")</f>
        <v/>
      </c>
      <c r="Y3813">
        <f>IF(ISNUMBER(X3813),IF(X3813&gt;$L$7,W3813,""),"")</f>
        <v/>
      </c>
      <c r="Z3813">
        <f>IF(ISNUMBER('자료_거시'!$K3795),'자료_거시'!$K3795,Z3812)</f>
        <v/>
      </c>
      <c r="AA3813">
        <f>IF(AND(ISNUMBER('자료_거시'!$J3795),ISNUMBER('자료_거시'!$K3795)),IFERROR('자료_거시'!$K3795/INDEX($Z$21:$Z$4020,MATCH(EDATE('자료_거시'!$J3795,-'설정'!$B$17),'자료_거시'!$J$3:INDEX('자료_거시'!$J$3:$J$4002,$K$8),1))-1,""),"")</f>
        <v/>
      </c>
      <c r="AB3813">
        <f>IF(ISNUMBER(AA3813),'자료_거시'!$J3795,"")</f>
        <v/>
      </c>
      <c r="AC3813">
        <f>IF(ISNUMBER(AB3813),IF(AB3813&gt;$L$8,AA3813,""),"")</f>
        <v/>
      </c>
    </row>
    <row r="3814">
      <c r="S3814">
        <f>IF(ISNUMBER('자료_거시'!$E3796),'자료_거시'!$E3796,S3813)</f>
        <v/>
      </c>
      <c r="T3814">
        <f>IF(AND(ISNUMBER('자료_거시'!$D3796),ISNUMBER('자료_거시'!$E3796)),IFERROR('자료_거시'!$E3796-INDEX($S$21:$S$4020,MATCH(EDATE('자료_거시'!$D3796,-'설정'!$B$17),'자료_거시'!$D$3:INDEX('자료_거시'!$D$3:$D$4002,$K$6),1)),""),"")</f>
        <v/>
      </c>
      <c r="U3814">
        <f>IF(ISNUMBER(T3814),'자료_거시'!$D3796,"")</f>
        <v/>
      </c>
      <c r="V3814">
        <f>IF(ISNUMBER(U3814),IF(U3814&gt;$L$6,T3814,""),"")</f>
        <v/>
      </c>
      <c r="W3814">
        <f>IF(AND(ISNUMBER('자료_거시'!$G3796),ISNUMBER('자료_거시'!$H3796)),'자료_거시'!$H3796,"")</f>
        <v/>
      </c>
      <c r="X3814">
        <f>IF(ISNUMBER(W3814),'자료_거시'!$G3796,"")</f>
        <v/>
      </c>
      <c r="Y3814">
        <f>IF(ISNUMBER(X3814),IF(X3814&gt;$L$7,W3814,""),"")</f>
        <v/>
      </c>
      <c r="Z3814">
        <f>IF(ISNUMBER('자료_거시'!$K3796),'자료_거시'!$K3796,Z3813)</f>
        <v/>
      </c>
      <c r="AA3814">
        <f>IF(AND(ISNUMBER('자료_거시'!$J3796),ISNUMBER('자료_거시'!$K3796)),IFERROR('자료_거시'!$K3796/INDEX($Z$21:$Z$4020,MATCH(EDATE('자료_거시'!$J3796,-'설정'!$B$17),'자료_거시'!$J$3:INDEX('자료_거시'!$J$3:$J$4002,$K$8),1))-1,""),"")</f>
        <v/>
      </c>
      <c r="AB3814">
        <f>IF(ISNUMBER(AA3814),'자료_거시'!$J3796,"")</f>
        <v/>
      </c>
      <c r="AC3814">
        <f>IF(ISNUMBER(AB3814),IF(AB3814&gt;$L$8,AA3814,""),"")</f>
        <v/>
      </c>
    </row>
    <row r="3815">
      <c r="S3815">
        <f>IF(ISNUMBER('자료_거시'!$E3797),'자료_거시'!$E3797,S3814)</f>
        <v/>
      </c>
      <c r="T3815">
        <f>IF(AND(ISNUMBER('자료_거시'!$D3797),ISNUMBER('자료_거시'!$E3797)),IFERROR('자료_거시'!$E3797-INDEX($S$21:$S$4020,MATCH(EDATE('자료_거시'!$D3797,-'설정'!$B$17),'자료_거시'!$D$3:INDEX('자료_거시'!$D$3:$D$4002,$K$6),1)),""),"")</f>
        <v/>
      </c>
      <c r="U3815">
        <f>IF(ISNUMBER(T3815),'자료_거시'!$D3797,"")</f>
        <v/>
      </c>
      <c r="V3815">
        <f>IF(ISNUMBER(U3815),IF(U3815&gt;$L$6,T3815,""),"")</f>
        <v/>
      </c>
      <c r="W3815">
        <f>IF(AND(ISNUMBER('자료_거시'!$G3797),ISNUMBER('자료_거시'!$H3797)),'자료_거시'!$H3797,"")</f>
        <v/>
      </c>
      <c r="X3815">
        <f>IF(ISNUMBER(W3815),'자료_거시'!$G3797,"")</f>
        <v/>
      </c>
      <c r="Y3815">
        <f>IF(ISNUMBER(X3815),IF(X3815&gt;$L$7,W3815,""),"")</f>
        <v/>
      </c>
      <c r="Z3815">
        <f>IF(ISNUMBER('자료_거시'!$K3797),'자료_거시'!$K3797,Z3814)</f>
        <v/>
      </c>
      <c r="AA3815">
        <f>IF(AND(ISNUMBER('자료_거시'!$J3797),ISNUMBER('자료_거시'!$K3797)),IFERROR('자료_거시'!$K3797/INDEX($Z$21:$Z$4020,MATCH(EDATE('자료_거시'!$J3797,-'설정'!$B$17),'자료_거시'!$J$3:INDEX('자료_거시'!$J$3:$J$4002,$K$8),1))-1,""),"")</f>
        <v/>
      </c>
      <c r="AB3815">
        <f>IF(ISNUMBER(AA3815),'자료_거시'!$J3797,"")</f>
        <v/>
      </c>
      <c r="AC3815">
        <f>IF(ISNUMBER(AB3815),IF(AB3815&gt;$L$8,AA3815,""),"")</f>
        <v/>
      </c>
    </row>
    <row r="3816">
      <c r="S3816">
        <f>IF(ISNUMBER('자료_거시'!$E3798),'자료_거시'!$E3798,S3815)</f>
        <v/>
      </c>
      <c r="T3816">
        <f>IF(AND(ISNUMBER('자료_거시'!$D3798),ISNUMBER('자료_거시'!$E3798)),IFERROR('자료_거시'!$E3798-INDEX($S$21:$S$4020,MATCH(EDATE('자료_거시'!$D3798,-'설정'!$B$17),'자료_거시'!$D$3:INDEX('자료_거시'!$D$3:$D$4002,$K$6),1)),""),"")</f>
        <v/>
      </c>
      <c r="U3816">
        <f>IF(ISNUMBER(T3816),'자료_거시'!$D3798,"")</f>
        <v/>
      </c>
      <c r="V3816">
        <f>IF(ISNUMBER(U3816),IF(U3816&gt;$L$6,T3816,""),"")</f>
        <v/>
      </c>
      <c r="W3816">
        <f>IF(AND(ISNUMBER('자료_거시'!$G3798),ISNUMBER('자료_거시'!$H3798)),'자료_거시'!$H3798,"")</f>
        <v/>
      </c>
      <c r="X3816">
        <f>IF(ISNUMBER(W3816),'자료_거시'!$G3798,"")</f>
        <v/>
      </c>
      <c r="Y3816">
        <f>IF(ISNUMBER(X3816),IF(X3816&gt;$L$7,W3816,""),"")</f>
        <v/>
      </c>
      <c r="Z3816">
        <f>IF(ISNUMBER('자료_거시'!$K3798),'자료_거시'!$K3798,Z3815)</f>
        <v/>
      </c>
      <c r="AA3816">
        <f>IF(AND(ISNUMBER('자료_거시'!$J3798),ISNUMBER('자료_거시'!$K3798)),IFERROR('자료_거시'!$K3798/INDEX($Z$21:$Z$4020,MATCH(EDATE('자료_거시'!$J3798,-'설정'!$B$17),'자료_거시'!$J$3:INDEX('자료_거시'!$J$3:$J$4002,$K$8),1))-1,""),"")</f>
        <v/>
      </c>
      <c r="AB3816">
        <f>IF(ISNUMBER(AA3816),'자료_거시'!$J3798,"")</f>
        <v/>
      </c>
      <c r="AC3816">
        <f>IF(ISNUMBER(AB3816),IF(AB3816&gt;$L$8,AA3816,""),"")</f>
        <v/>
      </c>
    </row>
    <row r="3817">
      <c r="S3817">
        <f>IF(ISNUMBER('자료_거시'!$E3799),'자료_거시'!$E3799,S3816)</f>
        <v/>
      </c>
      <c r="T3817">
        <f>IF(AND(ISNUMBER('자료_거시'!$D3799),ISNUMBER('자료_거시'!$E3799)),IFERROR('자료_거시'!$E3799-INDEX($S$21:$S$4020,MATCH(EDATE('자료_거시'!$D3799,-'설정'!$B$17),'자료_거시'!$D$3:INDEX('자료_거시'!$D$3:$D$4002,$K$6),1)),""),"")</f>
        <v/>
      </c>
      <c r="U3817">
        <f>IF(ISNUMBER(T3817),'자료_거시'!$D3799,"")</f>
        <v/>
      </c>
      <c r="V3817">
        <f>IF(ISNUMBER(U3817),IF(U3817&gt;$L$6,T3817,""),"")</f>
        <v/>
      </c>
      <c r="W3817">
        <f>IF(AND(ISNUMBER('자료_거시'!$G3799),ISNUMBER('자료_거시'!$H3799)),'자료_거시'!$H3799,"")</f>
        <v/>
      </c>
      <c r="X3817">
        <f>IF(ISNUMBER(W3817),'자료_거시'!$G3799,"")</f>
        <v/>
      </c>
      <c r="Y3817">
        <f>IF(ISNUMBER(X3817),IF(X3817&gt;$L$7,W3817,""),"")</f>
        <v/>
      </c>
      <c r="Z3817">
        <f>IF(ISNUMBER('자료_거시'!$K3799),'자료_거시'!$K3799,Z3816)</f>
        <v/>
      </c>
      <c r="AA3817">
        <f>IF(AND(ISNUMBER('자료_거시'!$J3799),ISNUMBER('자료_거시'!$K3799)),IFERROR('자료_거시'!$K3799/INDEX($Z$21:$Z$4020,MATCH(EDATE('자료_거시'!$J3799,-'설정'!$B$17),'자료_거시'!$J$3:INDEX('자료_거시'!$J$3:$J$4002,$K$8),1))-1,""),"")</f>
        <v/>
      </c>
      <c r="AB3817">
        <f>IF(ISNUMBER(AA3817),'자료_거시'!$J3799,"")</f>
        <v/>
      </c>
      <c r="AC3817">
        <f>IF(ISNUMBER(AB3817),IF(AB3817&gt;$L$8,AA3817,""),"")</f>
        <v/>
      </c>
    </row>
    <row r="3818">
      <c r="S3818">
        <f>IF(ISNUMBER('자료_거시'!$E3800),'자료_거시'!$E3800,S3817)</f>
        <v/>
      </c>
      <c r="T3818">
        <f>IF(AND(ISNUMBER('자료_거시'!$D3800),ISNUMBER('자료_거시'!$E3800)),IFERROR('자료_거시'!$E3800-INDEX($S$21:$S$4020,MATCH(EDATE('자료_거시'!$D3800,-'설정'!$B$17),'자료_거시'!$D$3:INDEX('자료_거시'!$D$3:$D$4002,$K$6),1)),""),"")</f>
        <v/>
      </c>
      <c r="U3818">
        <f>IF(ISNUMBER(T3818),'자료_거시'!$D3800,"")</f>
        <v/>
      </c>
      <c r="V3818">
        <f>IF(ISNUMBER(U3818),IF(U3818&gt;$L$6,T3818,""),"")</f>
        <v/>
      </c>
      <c r="W3818">
        <f>IF(AND(ISNUMBER('자료_거시'!$G3800),ISNUMBER('자료_거시'!$H3800)),'자료_거시'!$H3800,"")</f>
        <v/>
      </c>
      <c r="X3818">
        <f>IF(ISNUMBER(W3818),'자료_거시'!$G3800,"")</f>
        <v/>
      </c>
      <c r="Y3818">
        <f>IF(ISNUMBER(X3818),IF(X3818&gt;$L$7,W3818,""),"")</f>
        <v/>
      </c>
      <c r="Z3818">
        <f>IF(ISNUMBER('자료_거시'!$K3800),'자료_거시'!$K3800,Z3817)</f>
        <v/>
      </c>
      <c r="AA3818">
        <f>IF(AND(ISNUMBER('자료_거시'!$J3800),ISNUMBER('자료_거시'!$K3800)),IFERROR('자료_거시'!$K3800/INDEX($Z$21:$Z$4020,MATCH(EDATE('자료_거시'!$J3800,-'설정'!$B$17),'자료_거시'!$J$3:INDEX('자료_거시'!$J$3:$J$4002,$K$8),1))-1,""),"")</f>
        <v/>
      </c>
      <c r="AB3818">
        <f>IF(ISNUMBER(AA3818),'자료_거시'!$J3800,"")</f>
        <v/>
      </c>
      <c r="AC3818">
        <f>IF(ISNUMBER(AB3818),IF(AB3818&gt;$L$8,AA3818,""),"")</f>
        <v/>
      </c>
    </row>
    <row r="3819">
      <c r="S3819">
        <f>IF(ISNUMBER('자료_거시'!$E3801),'자료_거시'!$E3801,S3818)</f>
        <v/>
      </c>
      <c r="T3819">
        <f>IF(AND(ISNUMBER('자료_거시'!$D3801),ISNUMBER('자료_거시'!$E3801)),IFERROR('자료_거시'!$E3801-INDEX($S$21:$S$4020,MATCH(EDATE('자료_거시'!$D3801,-'설정'!$B$17),'자료_거시'!$D$3:INDEX('자료_거시'!$D$3:$D$4002,$K$6),1)),""),"")</f>
        <v/>
      </c>
      <c r="U3819">
        <f>IF(ISNUMBER(T3819),'자료_거시'!$D3801,"")</f>
        <v/>
      </c>
      <c r="V3819">
        <f>IF(ISNUMBER(U3819),IF(U3819&gt;$L$6,T3819,""),"")</f>
        <v/>
      </c>
      <c r="W3819">
        <f>IF(AND(ISNUMBER('자료_거시'!$G3801),ISNUMBER('자료_거시'!$H3801)),'자료_거시'!$H3801,"")</f>
        <v/>
      </c>
      <c r="X3819">
        <f>IF(ISNUMBER(W3819),'자료_거시'!$G3801,"")</f>
        <v/>
      </c>
      <c r="Y3819">
        <f>IF(ISNUMBER(X3819),IF(X3819&gt;$L$7,W3819,""),"")</f>
        <v/>
      </c>
      <c r="Z3819">
        <f>IF(ISNUMBER('자료_거시'!$K3801),'자료_거시'!$K3801,Z3818)</f>
        <v/>
      </c>
      <c r="AA3819">
        <f>IF(AND(ISNUMBER('자료_거시'!$J3801),ISNUMBER('자료_거시'!$K3801)),IFERROR('자료_거시'!$K3801/INDEX($Z$21:$Z$4020,MATCH(EDATE('자료_거시'!$J3801,-'설정'!$B$17),'자료_거시'!$J$3:INDEX('자료_거시'!$J$3:$J$4002,$K$8),1))-1,""),"")</f>
        <v/>
      </c>
      <c r="AB3819">
        <f>IF(ISNUMBER(AA3819),'자료_거시'!$J3801,"")</f>
        <v/>
      </c>
      <c r="AC3819">
        <f>IF(ISNUMBER(AB3819),IF(AB3819&gt;$L$8,AA3819,""),"")</f>
        <v/>
      </c>
    </row>
    <row r="3820">
      <c r="S3820">
        <f>IF(ISNUMBER('자료_거시'!$E3802),'자료_거시'!$E3802,S3819)</f>
        <v/>
      </c>
      <c r="T3820">
        <f>IF(AND(ISNUMBER('자료_거시'!$D3802),ISNUMBER('자료_거시'!$E3802)),IFERROR('자료_거시'!$E3802-INDEX($S$21:$S$4020,MATCH(EDATE('자료_거시'!$D3802,-'설정'!$B$17),'자료_거시'!$D$3:INDEX('자료_거시'!$D$3:$D$4002,$K$6),1)),""),"")</f>
        <v/>
      </c>
      <c r="U3820">
        <f>IF(ISNUMBER(T3820),'자료_거시'!$D3802,"")</f>
        <v/>
      </c>
      <c r="V3820">
        <f>IF(ISNUMBER(U3820),IF(U3820&gt;$L$6,T3820,""),"")</f>
        <v/>
      </c>
      <c r="W3820">
        <f>IF(AND(ISNUMBER('자료_거시'!$G3802),ISNUMBER('자료_거시'!$H3802)),'자료_거시'!$H3802,"")</f>
        <v/>
      </c>
      <c r="X3820">
        <f>IF(ISNUMBER(W3820),'자료_거시'!$G3802,"")</f>
        <v/>
      </c>
      <c r="Y3820">
        <f>IF(ISNUMBER(X3820),IF(X3820&gt;$L$7,W3820,""),"")</f>
        <v/>
      </c>
      <c r="Z3820">
        <f>IF(ISNUMBER('자료_거시'!$K3802),'자료_거시'!$K3802,Z3819)</f>
        <v/>
      </c>
      <c r="AA3820">
        <f>IF(AND(ISNUMBER('자료_거시'!$J3802),ISNUMBER('자료_거시'!$K3802)),IFERROR('자료_거시'!$K3802/INDEX($Z$21:$Z$4020,MATCH(EDATE('자료_거시'!$J3802,-'설정'!$B$17),'자료_거시'!$J$3:INDEX('자료_거시'!$J$3:$J$4002,$K$8),1))-1,""),"")</f>
        <v/>
      </c>
      <c r="AB3820">
        <f>IF(ISNUMBER(AA3820),'자료_거시'!$J3802,"")</f>
        <v/>
      </c>
      <c r="AC3820">
        <f>IF(ISNUMBER(AB3820),IF(AB3820&gt;$L$8,AA3820,""),"")</f>
        <v/>
      </c>
    </row>
    <row r="3821">
      <c r="S3821">
        <f>IF(ISNUMBER('자료_거시'!$E3803),'자료_거시'!$E3803,S3820)</f>
        <v/>
      </c>
      <c r="T3821">
        <f>IF(AND(ISNUMBER('자료_거시'!$D3803),ISNUMBER('자료_거시'!$E3803)),IFERROR('자료_거시'!$E3803-INDEX($S$21:$S$4020,MATCH(EDATE('자료_거시'!$D3803,-'설정'!$B$17),'자료_거시'!$D$3:INDEX('자료_거시'!$D$3:$D$4002,$K$6),1)),""),"")</f>
        <v/>
      </c>
      <c r="U3821">
        <f>IF(ISNUMBER(T3821),'자료_거시'!$D3803,"")</f>
        <v/>
      </c>
      <c r="V3821">
        <f>IF(ISNUMBER(U3821),IF(U3821&gt;$L$6,T3821,""),"")</f>
        <v/>
      </c>
      <c r="W3821">
        <f>IF(AND(ISNUMBER('자료_거시'!$G3803),ISNUMBER('자료_거시'!$H3803)),'자료_거시'!$H3803,"")</f>
        <v/>
      </c>
      <c r="X3821">
        <f>IF(ISNUMBER(W3821),'자료_거시'!$G3803,"")</f>
        <v/>
      </c>
      <c r="Y3821">
        <f>IF(ISNUMBER(X3821),IF(X3821&gt;$L$7,W3821,""),"")</f>
        <v/>
      </c>
      <c r="Z3821">
        <f>IF(ISNUMBER('자료_거시'!$K3803),'자료_거시'!$K3803,Z3820)</f>
        <v/>
      </c>
      <c r="AA3821">
        <f>IF(AND(ISNUMBER('자료_거시'!$J3803),ISNUMBER('자료_거시'!$K3803)),IFERROR('자료_거시'!$K3803/INDEX($Z$21:$Z$4020,MATCH(EDATE('자료_거시'!$J3803,-'설정'!$B$17),'자료_거시'!$J$3:INDEX('자료_거시'!$J$3:$J$4002,$K$8),1))-1,""),"")</f>
        <v/>
      </c>
      <c r="AB3821">
        <f>IF(ISNUMBER(AA3821),'자료_거시'!$J3803,"")</f>
        <v/>
      </c>
      <c r="AC3821">
        <f>IF(ISNUMBER(AB3821),IF(AB3821&gt;$L$8,AA3821,""),"")</f>
        <v/>
      </c>
    </row>
    <row r="3822">
      <c r="S3822">
        <f>IF(ISNUMBER('자료_거시'!$E3804),'자료_거시'!$E3804,S3821)</f>
        <v/>
      </c>
      <c r="T3822">
        <f>IF(AND(ISNUMBER('자료_거시'!$D3804),ISNUMBER('자료_거시'!$E3804)),IFERROR('자료_거시'!$E3804-INDEX($S$21:$S$4020,MATCH(EDATE('자료_거시'!$D3804,-'설정'!$B$17),'자료_거시'!$D$3:INDEX('자료_거시'!$D$3:$D$4002,$K$6),1)),""),"")</f>
        <v/>
      </c>
      <c r="U3822">
        <f>IF(ISNUMBER(T3822),'자료_거시'!$D3804,"")</f>
        <v/>
      </c>
      <c r="V3822">
        <f>IF(ISNUMBER(U3822),IF(U3822&gt;$L$6,T3822,""),"")</f>
        <v/>
      </c>
      <c r="W3822">
        <f>IF(AND(ISNUMBER('자료_거시'!$G3804),ISNUMBER('자료_거시'!$H3804)),'자료_거시'!$H3804,"")</f>
        <v/>
      </c>
      <c r="X3822">
        <f>IF(ISNUMBER(W3822),'자료_거시'!$G3804,"")</f>
        <v/>
      </c>
      <c r="Y3822">
        <f>IF(ISNUMBER(X3822),IF(X3822&gt;$L$7,W3822,""),"")</f>
        <v/>
      </c>
      <c r="Z3822">
        <f>IF(ISNUMBER('자료_거시'!$K3804),'자료_거시'!$K3804,Z3821)</f>
        <v/>
      </c>
      <c r="AA3822">
        <f>IF(AND(ISNUMBER('자료_거시'!$J3804),ISNUMBER('자료_거시'!$K3804)),IFERROR('자료_거시'!$K3804/INDEX($Z$21:$Z$4020,MATCH(EDATE('자료_거시'!$J3804,-'설정'!$B$17),'자료_거시'!$J$3:INDEX('자료_거시'!$J$3:$J$4002,$K$8),1))-1,""),"")</f>
        <v/>
      </c>
      <c r="AB3822">
        <f>IF(ISNUMBER(AA3822),'자료_거시'!$J3804,"")</f>
        <v/>
      </c>
      <c r="AC3822">
        <f>IF(ISNUMBER(AB3822),IF(AB3822&gt;$L$8,AA3822,""),"")</f>
        <v/>
      </c>
    </row>
    <row r="3823">
      <c r="S3823">
        <f>IF(ISNUMBER('자료_거시'!$E3805),'자료_거시'!$E3805,S3822)</f>
        <v/>
      </c>
      <c r="T3823">
        <f>IF(AND(ISNUMBER('자료_거시'!$D3805),ISNUMBER('자료_거시'!$E3805)),IFERROR('자료_거시'!$E3805-INDEX($S$21:$S$4020,MATCH(EDATE('자료_거시'!$D3805,-'설정'!$B$17),'자료_거시'!$D$3:INDEX('자료_거시'!$D$3:$D$4002,$K$6),1)),""),"")</f>
        <v/>
      </c>
      <c r="U3823">
        <f>IF(ISNUMBER(T3823),'자료_거시'!$D3805,"")</f>
        <v/>
      </c>
      <c r="V3823">
        <f>IF(ISNUMBER(U3823),IF(U3823&gt;$L$6,T3823,""),"")</f>
        <v/>
      </c>
      <c r="W3823">
        <f>IF(AND(ISNUMBER('자료_거시'!$G3805),ISNUMBER('자료_거시'!$H3805)),'자료_거시'!$H3805,"")</f>
        <v/>
      </c>
      <c r="X3823">
        <f>IF(ISNUMBER(W3823),'자료_거시'!$G3805,"")</f>
        <v/>
      </c>
      <c r="Y3823">
        <f>IF(ISNUMBER(X3823),IF(X3823&gt;$L$7,W3823,""),"")</f>
        <v/>
      </c>
      <c r="Z3823">
        <f>IF(ISNUMBER('자료_거시'!$K3805),'자료_거시'!$K3805,Z3822)</f>
        <v/>
      </c>
      <c r="AA3823">
        <f>IF(AND(ISNUMBER('자료_거시'!$J3805),ISNUMBER('자료_거시'!$K3805)),IFERROR('자료_거시'!$K3805/INDEX($Z$21:$Z$4020,MATCH(EDATE('자료_거시'!$J3805,-'설정'!$B$17),'자료_거시'!$J$3:INDEX('자료_거시'!$J$3:$J$4002,$K$8),1))-1,""),"")</f>
        <v/>
      </c>
      <c r="AB3823">
        <f>IF(ISNUMBER(AA3823),'자료_거시'!$J3805,"")</f>
        <v/>
      </c>
      <c r="AC3823">
        <f>IF(ISNUMBER(AB3823),IF(AB3823&gt;$L$8,AA3823,""),"")</f>
        <v/>
      </c>
    </row>
    <row r="3824">
      <c r="S3824">
        <f>IF(ISNUMBER('자료_거시'!$E3806),'자료_거시'!$E3806,S3823)</f>
        <v/>
      </c>
      <c r="T3824">
        <f>IF(AND(ISNUMBER('자료_거시'!$D3806),ISNUMBER('자료_거시'!$E3806)),IFERROR('자료_거시'!$E3806-INDEX($S$21:$S$4020,MATCH(EDATE('자료_거시'!$D3806,-'설정'!$B$17),'자료_거시'!$D$3:INDEX('자료_거시'!$D$3:$D$4002,$K$6),1)),""),"")</f>
        <v/>
      </c>
      <c r="U3824">
        <f>IF(ISNUMBER(T3824),'자료_거시'!$D3806,"")</f>
        <v/>
      </c>
      <c r="V3824">
        <f>IF(ISNUMBER(U3824),IF(U3824&gt;$L$6,T3824,""),"")</f>
        <v/>
      </c>
      <c r="W3824">
        <f>IF(AND(ISNUMBER('자료_거시'!$G3806),ISNUMBER('자료_거시'!$H3806)),'자료_거시'!$H3806,"")</f>
        <v/>
      </c>
      <c r="X3824">
        <f>IF(ISNUMBER(W3824),'자료_거시'!$G3806,"")</f>
        <v/>
      </c>
      <c r="Y3824">
        <f>IF(ISNUMBER(X3824),IF(X3824&gt;$L$7,W3824,""),"")</f>
        <v/>
      </c>
      <c r="Z3824">
        <f>IF(ISNUMBER('자료_거시'!$K3806),'자료_거시'!$K3806,Z3823)</f>
        <v/>
      </c>
      <c r="AA3824">
        <f>IF(AND(ISNUMBER('자료_거시'!$J3806),ISNUMBER('자료_거시'!$K3806)),IFERROR('자료_거시'!$K3806/INDEX($Z$21:$Z$4020,MATCH(EDATE('자료_거시'!$J3806,-'설정'!$B$17),'자료_거시'!$J$3:INDEX('자료_거시'!$J$3:$J$4002,$K$8),1))-1,""),"")</f>
        <v/>
      </c>
      <c r="AB3824">
        <f>IF(ISNUMBER(AA3824),'자료_거시'!$J3806,"")</f>
        <v/>
      </c>
      <c r="AC3824">
        <f>IF(ISNUMBER(AB3824),IF(AB3824&gt;$L$8,AA3824,""),"")</f>
        <v/>
      </c>
    </row>
    <row r="3825">
      <c r="S3825">
        <f>IF(ISNUMBER('자료_거시'!$E3807),'자료_거시'!$E3807,S3824)</f>
        <v/>
      </c>
      <c r="T3825">
        <f>IF(AND(ISNUMBER('자료_거시'!$D3807),ISNUMBER('자료_거시'!$E3807)),IFERROR('자료_거시'!$E3807-INDEX($S$21:$S$4020,MATCH(EDATE('자료_거시'!$D3807,-'설정'!$B$17),'자료_거시'!$D$3:INDEX('자료_거시'!$D$3:$D$4002,$K$6),1)),""),"")</f>
        <v/>
      </c>
      <c r="U3825">
        <f>IF(ISNUMBER(T3825),'자료_거시'!$D3807,"")</f>
        <v/>
      </c>
      <c r="V3825">
        <f>IF(ISNUMBER(U3825),IF(U3825&gt;$L$6,T3825,""),"")</f>
        <v/>
      </c>
      <c r="W3825">
        <f>IF(AND(ISNUMBER('자료_거시'!$G3807),ISNUMBER('자료_거시'!$H3807)),'자료_거시'!$H3807,"")</f>
        <v/>
      </c>
      <c r="X3825">
        <f>IF(ISNUMBER(W3825),'자료_거시'!$G3807,"")</f>
        <v/>
      </c>
      <c r="Y3825">
        <f>IF(ISNUMBER(X3825),IF(X3825&gt;$L$7,W3825,""),"")</f>
        <v/>
      </c>
      <c r="Z3825">
        <f>IF(ISNUMBER('자료_거시'!$K3807),'자료_거시'!$K3807,Z3824)</f>
        <v/>
      </c>
      <c r="AA3825">
        <f>IF(AND(ISNUMBER('자료_거시'!$J3807),ISNUMBER('자료_거시'!$K3807)),IFERROR('자료_거시'!$K3807/INDEX($Z$21:$Z$4020,MATCH(EDATE('자료_거시'!$J3807,-'설정'!$B$17),'자료_거시'!$J$3:INDEX('자료_거시'!$J$3:$J$4002,$K$8),1))-1,""),"")</f>
        <v/>
      </c>
      <c r="AB3825">
        <f>IF(ISNUMBER(AA3825),'자료_거시'!$J3807,"")</f>
        <v/>
      </c>
      <c r="AC3825">
        <f>IF(ISNUMBER(AB3825),IF(AB3825&gt;$L$8,AA3825,""),"")</f>
        <v/>
      </c>
    </row>
    <row r="3826">
      <c r="S3826">
        <f>IF(ISNUMBER('자료_거시'!$E3808),'자료_거시'!$E3808,S3825)</f>
        <v/>
      </c>
      <c r="T3826">
        <f>IF(AND(ISNUMBER('자료_거시'!$D3808),ISNUMBER('자료_거시'!$E3808)),IFERROR('자료_거시'!$E3808-INDEX($S$21:$S$4020,MATCH(EDATE('자료_거시'!$D3808,-'설정'!$B$17),'자료_거시'!$D$3:INDEX('자료_거시'!$D$3:$D$4002,$K$6),1)),""),"")</f>
        <v/>
      </c>
      <c r="U3826">
        <f>IF(ISNUMBER(T3826),'자료_거시'!$D3808,"")</f>
        <v/>
      </c>
      <c r="V3826">
        <f>IF(ISNUMBER(U3826),IF(U3826&gt;$L$6,T3826,""),"")</f>
        <v/>
      </c>
      <c r="W3826">
        <f>IF(AND(ISNUMBER('자료_거시'!$G3808),ISNUMBER('자료_거시'!$H3808)),'자료_거시'!$H3808,"")</f>
        <v/>
      </c>
      <c r="X3826">
        <f>IF(ISNUMBER(W3826),'자료_거시'!$G3808,"")</f>
        <v/>
      </c>
      <c r="Y3826">
        <f>IF(ISNUMBER(X3826),IF(X3826&gt;$L$7,W3826,""),"")</f>
        <v/>
      </c>
      <c r="Z3826">
        <f>IF(ISNUMBER('자료_거시'!$K3808),'자료_거시'!$K3808,Z3825)</f>
        <v/>
      </c>
      <c r="AA3826">
        <f>IF(AND(ISNUMBER('자료_거시'!$J3808),ISNUMBER('자료_거시'!$K3808)),IFERROR('자료_거시'!$K3808/INDEX($Z$21:$Z$4020,MATCH(EDATE('자료_거시'!$J3808,-'설정'!$B$17),'자료_거시'!$J$3:INDEX('자료_거시'!$J$3:$J$4002,$K$8),1))-1,""),"")</f>
        <v/>
      </c>
      <c r="AB3826">
        <f>IF(ISNUMBER(AA3826),'자료_거시'!$J3808,"")</f>
        <v/>
      </c>
      <c r="AC3826">
        <f>IF(ISNUMBER(AB3826),IF(AB3826&gt;$L$8,AA3826,""),"")</f>
        <v/>
      </c>
    </row>
    <row r="3827">
      <c r="S3827">
        <f>IF(ISNUMBER('자료_거시'!$E3809),'자료_거시'!$E3809,S3826)</f>
        <v/>
      </c>
      <c r="T3827">
        <f>IF(AND(ISNUMBER('자료_거시'!$D3809),ISNUMBER('자료_거시'!$E3809)),IFERROR('자료_거시'!$E3809-INDEX($S$21:$S$4020,MATCH(EDATE('자료_거시'!$D3809,-'설정'!$B$17),'자료_거시'!$D$3:INDEX('자료_거시'!$D$3:$D$4002,$K$6),1)),""),"")</f>
        <v/>
      </c>
      <c r="U3827">
        <f>IF(ISNUMBER(T3827),'자료_거시'!$D3809,"")</f>
        <v/>
      </c>
      <c r="V3827">
        <f>IF(ISNUMBER(U3827),IF(U3827&gt;$L$6,T3827,""),"")</f>
        <v/>
      </c>
      <c r="W3827">
        <f>IF(AND(ISNUMBER('자료_거시'!$G3809),ISNUMBER('자료_거시'!$H3809)),'자료_거시'!$H3809,"")</f>
        <v/>
      </c>
      <c r="X3827">
        <f>IF(ISNUMBER(W3827),'자료_거시'!$G3809,"")</f>
        <v/>
      </c>
      <c r="Y3827">
        <f>IF(ISNUMBER(X3827),IF(X3827&gt;$L$7,W3827,""),"")</f>
        <v/>
      </c>
      <c r="Z3827">
        <f>IF(ISNUMBER('자료_거시'!$K3809),'자료_거시'!$K3809,Z3826)</f>
        <v/>
      </c>
      <c r="AA3827">
        <f>IF(AND(ISNUMBER('자료_거시'!$J3809),ISNUMBER('자료_거시'!$K3809)),IFERROR('자료_거시'!$K3809/INDEX($Z$21:$Z$4020,MATCH(EDATE('자료_거시'!$J3809,-'설정'!$B$17),'자료_거시'!$J$3:INDEX('자료_거시'!$J$3:$J$4002,$K$8),1))-1,""),"")</f>
        <v/>
      </c>
      <c r="AB3827">
        <f>IF(ISNUMBER(AA3827),'자료_거시'!$J3809,"")</f>
        <v/>
      </c>
      <c r="AC3827">
        <f>IF(ISNUMBER(AB3827),IF(AB3827&gt;$L$8,AA3827,""),"")</f>
        <v/>
      </c>
    </row>
    <row r="3828">
      <c r="S3828">
        <f>IF(ISNUMBER('자료_거시'!$E3810),'자료_거시'!$E3810,S3827)</f>
        <v/>
      </c>
      <c r="T3828">
        <f>IF(AND(ISNUMBER('자료_거시'!$D3810),ISNUMBER('자료_거시'!$E3810)),IFERROR('자료_거시'!$E3810-INDEX($S$21:$S$4020,MATCH(EDATE('자료_거시'!$D3810,-'설정'!$B$17),'자료_거시'!$D$3:INDEX('자료_거시'!$D$3:$D$4002,$K$6),1)),""),"")</f>
        <v/>
      </c>
      <c r="U3828">
        <f>IF(ISNUMBER(T3828),'자료_거시'!$D3810,"")</f>
        <v/>
      </c>
      <c r="V3828">
        <f>IF(ISNUMBER(U3828),IF(U3828&gt;$L$6,T3828,""),"")</f>
        <v/>
      </c>
      <c r="W3828">
        <f>IF(AND(ISNUMBER('자료_거시'!$G3810),ISNUMBER('자료_거시'!$H3810)),'자료_거시'!$H3810,"")</f>
        <v/>
      </c>
      <c r="X3828">
        <f>IF(ISNUMBER(W3828),'자료_거시'!$G3810,"")</f>
        <v/>
      </c>
      <c r="Y3828">
        <f>IF(ISNUMBER(X3828),IF(X3828&gt;$L$7,W3828,""),"")</f>
        <v/>
      </c>
      <c r="Z3828">
        <f>IF(ISNUMBER('자료_거시'!$K3810),'자료_거시'!$K3810,Z3827)</f>
        <v/>
      </c>
      <c r="AA3828">
        <f>IF(AND(ISNUMBER('자료_거시'!$J3810),ISNUMBER('자료_거시'!$K3810)),IFERROR('자료_거시'!$K3810/INDEX($Z$21:$Z$4020,MATCH(EDATE('자료_거시'!$J3810,-'설정'!$B$17),'자료_거시'!$J$3:INDEX('자료_거시'!$J$3:$J$4002,$K$8),1))-1,""),"")</f>
        <v/>
      </c>
      <c r="AB3828">
        <f>IF(ISNUMBER(AA3828),'자료_거시'!$J3810,"")</f>
        <v/>
      </c>
      <c r="AC3828">
        <f>IF(ISNUMBER(AB3828),IF(AB3828&gt;$L$8,AA3828,""),"")</f>
        <v/>
      </c>
    </row>
    <row r="3829">
      <c r="S3829">
        <f>IF(ISNUMBER('자료_거시'!$E3811),'자료_거시'!$E3811,S3828)</f>
        <v/>
      </c>
      <c r="T3829">
        <f>IF(AND(ISNUMBER('자료_거시'!$D3811),ISNUMBER('자료_거시'!$E3811)),IFERROR('자료_거시'!$E3811-INDEX($S$21:$S$4020,MATCH(EDATE('자료_거시'!$D3811,-'설정'!$B$17),'자료_거시'!$D$3:INDEX('자료_거시'!$D$3:$D$4002,$K$6),1)),""),"")</f>
        <v/>
      </c>
      <c r="U3829">
        <f>IF(ISNUMBER(T3829),'자료_거시'!$D3811,"")</f>
        <v/>
      </c>
      <c r="V3829">
        <f>IF(ISNUMBER(U3829),IF(U3829&gt;$L$6,T3829,""),"")</f>
        <v/>
      </c>
      <c r="W3829">
        <f>IF(AND(ISNUMBER('자료_거시'!$G3811),ISNUMBER('자료_거시'!$H3811)),'자료_거시'!$H3811,"")</f>
        <v/>
      </c>
      <c r="X3829">
        <f>IF(ISNUMBER(W3829),'자료_거시'!$G3811,"")</f>
        <v/>
      </c>
      <c r="Y3829">
        <f>IF(ISNUMBER(X3829),IF(X3829&gt;$L$7,W3829,""),"")</f>
        <v/>
      </c>
      <c r="Z3829">
        <f>IF(ISNUMBER('자료_거시'!$K3811),'자료_거시'!$K3811,Z3828)</f>
        <v/>
      </c>
      <c r="AA3829">
        <f>IF(AND(ISNUMBER('자료_거시'!$J3811),ISNUMBER('자료_거시'!$K3811)),IFERROR('자료_거시'!$K3811/INDEX($Z$21:$Z$4020,MATCH(EDATE('자료_거시'!$J3811,-'설정'!$B$17),'자료_거시'!$J$3:INDEX('자료_거시'!$J$3:$J$4002,$K$8),1))-1,""),"")</f>
        <v/>
      </c>
      <c r="AB3829">
        <f>IF(ISNUMBER(AA3829),'자료_거시'!$J3811,"")</f>
        <v/>
      </c>
      <c r="AC3829">
        <f>IF(ISNUMBER(AB3829),IF(AB3829&gt;$L$8,AA3829,""),"")</f>
        <v/>
      </c>
    </row>
    <row r="3830">
      <c r="S3830">
        <f>IF(ISNUMBER('자료_거시'!$E3812),'자료_거시'!$E3812,S3829)</f>
        <v/>
      </c>
      <c r="T3830">
        <f>IF(AND(ISNUMBER('자료_거시'!$D3812),ISNUMBER('자료_거시'!$E3812)),IFERROR('자료_거시'!$E3812-INDEX($S$21:$S$4020,MATCH(EDATE('자료_거시'!$D3812,-'설정'!$B$17),'자료_거시'!$D$3:INDEX('자료_거시'!$D$3:$D$4002,$K$6),1)),""),"")</f>
        <v/>
      </c>
      <c r="U3830">
        <f>IF(ISNUMBER(T3830),'자료_거시'!$D3812,"")</f>
        <v/>
      </c>
      <c r="V3830">
        <f>IF(ISNUMBER(U3830),IF(U3830&gt;$L$6,T3830,""),"")</f>
        <v/>
      </c>
      <c r="W3830">
        <f>IF(AND(ISNUMBER('자료_거시'!$G3812),ISNUMBER('자료_거시'!$H3812)),'자료_거시'!$H3812,"")</f>
        <v/>
      </c>
      <c r="X3830">
        <f>IF(ISNUMBER(W3830),'자료_거시'!$G3812,"")</f>
        <v/>
      </c>
      <c r="Y3830">
        <f>IF(ISNUMBER(X3830),IF(X3830&gt;$L$7,W3830,""),"")</f>
        <v/>
      </c>
      <c r="Z3830">
        <f>IF(ISNUMBER('자료_거시'!$K3812),'자료_거시'!$K3812,Z3829)</f>
        <v/>
      </c>
      <c r="AA3830">
        <f>IF(AND(ISNUMBER('자료_거시'!$J3812),ISNUMBER('자료_거시'!$K3812)),IFERROR('자료_거시'!$K3812/INDEX($Z$21:$Z$4020,MATCH(EDATE('자료_거시'!$J3812,-'설정'!$B$17),'자료_거시'!$J$3:INDEX('자료_거시'!$J$3:$J$4002,$K$8),1))-1,""),"")</f>
        <v/>
      </c>
      <c r="AB3830">
        <f>IF(ISNUMBER(AA3830),'자료_거시'!$J3812,"")</f>
        <v/>
      </c>
      <c r="AC3830">
        <f>IF(ISNUMBER(AB3830),IF(AB3830&gt;$L$8,AA3830,""),"")</f>
        <v/>
      </c>
    </row>
    <row r="3831">
      <c r="S3831">
        <f>IF(ISNUMBER('자료_거시'!$E3813),'자료_거시'!$E3813,S3830)</f>
        <v/>
      </c>
      <c r="T3831">
        <f>IF(AND(ISNUMBER('자료_거시'!$D3813),ISNUMBER('자료_거시'!$E3813)),IFERROR('자료_거시'!$E3813-INDEX($S$21:$S$4020,MATCH(EDATE('자료_거시'!$D3813,-'설정'!$B$17),'자료_거시'!$D$3:INDEX('자료_거시'!$D$3:$D$4002,$K$6),1)),""),"")</f>
        <v/>
      </c>
      <c r="U3831">
        <f>IF(ISNUMBER(T3831),'자료_거시'!$D3813,"")</f>
        <v/>
      </c>
      <c r="V3831">
        <f>IF(ISNUMBER(U3831),IF(U3831&gt;$L$6,T3831,""),"")</f>
        <v/>
      </c>
      <c r="W3831">
        <f>IF(AND(ISNUMBER('자료_거시'!$G3813),ISNUMBER('자료_거시'!$H3813)),'자료_거시'!$H3813,"")</f>
        <v/>
      </c>
      <c r="X3831">
        <f>IF(ISNUMBER(W3831),'자료_거시'!$G3813,"")</f>
        <v/>
      </c>
      <c r="Y3831">
        <f>IF(ISNUMBER(X3831),IF(X3831&gt;$L$7,W3831,""),"")</f>
        <v/>
      </c>
      <c r="Z3831">
        <f>IF(ISNUMBER('자료_거시'!$K3813),'자료_거시'!$K3813,Z3830)</f>
        <v/>
      </c>
      <c r="AA3831">
        <f>IF(AND(ISNUMBER('자료_거시'!$J3813),ISNUMBER('자료_거시'!$K3813)),IFERROR('자료_거시'!$K3813/INDEX($Z$21:$Z$4020,MATCH(EDATE('자료_거시'!$J3813,-'설정'!$B$17),'자료_거시'!$J$3:INDEX('자료_거시'!$J$3:$J$4002,$K$8),1))-1,""),"")</f>
        <v/>
      </c>
      <c r="AB3831">
        <f>IF(ISNUMBER(AA3831),'자료_거시'!$J3813,"")</f>
        <v/>
      </c>
      <c r="AC3831">
        <f>IF(ISNUMBER(AB3831),IF(AB3831&gt;$L$8,AA3831,""),"")</f>
        <v/>
      </c>
    </row>
    <row r="3832">
      <c r="S3832">
        <f>IF(ISNUMBER('자료_거시'!$E3814),'자료_거시'!$E3814,S3831)</f>
        <v/>
      </c>
      <c r="T3832">
        <f>IF(AND(ISNUMBER('자료_거시'!$D3814),ISNUMBER('자료_거시'!$E3814)),IFERROR('자료_거시'!$E3814-INDEX($S$21:$S$4020,MATCH(EDATE('자료_거시'!$D3814,-'설정'!$B$17),'자료_거시'!$D$3:INDEX('자료_거시'!$D$3:$D$4002,$K$6),1)),""),"")</f>
        <v/>
      </c>
      <c r="U3832">
        <f>IF(ISNUMBER(T3832),'자료_거시'!$D3814,"")</f>
        <v/>
      </c>
      <c r="V3832">
        <f>IF(ISNUMBER(U3832),IF(U3832&gt;$L$6,T3832,""),"")</f>
        <v/>
      </c>
      <c r="W3832">
        <f>IF(AND(ISNUMBER('자료_거시'!$G3814),ISNUMBER('자료_거시'!$H3814)),'자료_거시'!$H3814,"")</f>
        <v/>
      </c>
      <c r="X3832">
        <f>IF(ISNUMBER(W3832),'자료_거시'!$G3814,"")</f>
        <v/>
      </c>
      <c r="Y3832">
        <f>IF(ISNUMBER(X3832),IF(X3832&gt;$L$7,W3832,""),"")</f>
        <v/>
      </c>
      <c r="Z3832">
        <f>IF(ISNUMBER('자료_거시'!$K3814),'자료_거시'!$K3814,Z3831)</f>
        <v/>
      </c>
      <c r="AA3832">
        <f>IF(AND(ISNUMBER('자료_거시'!$J3814),ISNUMBER('자료_거시'!$K3814)),IFERROR('자료_거시'!$K3814/INDEX($Z$21:$Z$4020,MATCH(EDATE('자료_거시'!$J3814,-'설정'!$B$17),'자료_거시'!$J$3:INDEX('자료_거시'!$J$3:$J$4002,$K$8),1))-1,""),"")</f>
        <v/>
      </c>
      <c r="AB3832">
        <f>IF(ISNUMBER(AA3832),'자료_거시'!$J3814,"")</f>
        <v/>
      </c>
      <c r="AC3832">
        <f>IF(ISNUMBER(AB3832),IF(AB3832&gt;$L$8,AA3832,""),"")</f>
        <v/>
      </c>
    </row>
    <row r="3833">
      <c r="S3833">
        <f>IF(ISNUMBER('자료_거시'!$E3815),'자료_거시'!$E3815,S3832)</f>
        <v/>
      </c>
      <c r="T3833">
        <f>IF(AND(ISNUMBER('자료_거시'!$D3815),ISNUMBER('자료_거시'!$E3815)),IFERROR('자료_거시'!$E3815-INDEX($S$21:$S$4020,MATCH(EDATE('자료_거시'!$D3815,-'설정'!$B$17),'자료_거시'!$D$3:INDEX('자료_거시'!$D$3:$D$4002,$K$6),1)),""),"")</f>
        <v/>
      </c>
      <c r="U3833">
        <f>IF(ISNUMBER(T3833),'자료_거시'!$D3815,"")</f>
        <v/>
      </c>
      <c r="V3833">
        <f>IF(ISNUMBER(U3833),IF(U3833&gt;$L$6,T3833,""),"")</f>
        <v/>
      </c>
      <c r="W3833">
        <f>IF(AND(ISNUMBER('자료_거시'!$G3815),ISNUMBER('자료_거시'!$H3815)),'자료_거시'!$H3815,"")</f>
        <v/>
      </c>
      <c r="X3833">
        <f>IF(ISNUMBER(W3833),'자료_거시'!$G3815,"")</f>
        <v/>
      </c>
      <c r="Y3833">
        <f>IF(ISNUMBER(X3833),IF(X3833&gt;$L$7,W3833,""),"")</f>
        <v/>
      </c>
      <c r="Z3833">
        <f>IF(ISNUMBER('자료_거시'!$K3815),'자료_거시'!$K3815,Z3832)</f>
        <v/>
      </c>
      <c r="AA3833">
        <f>IF(AND(ISNUMBER('자료_거시'!$J3815),ISNUMBER('자료_거시'!$K3815)),IFERROR('자료_거시'!$K3815/INDEX($Z$21:$Z$4020,MATCH(EDATE('자료_거시'!$J3815,-'설정'!$B$17),'자료_거시'!$J$3:INDEX('자료_거시'!$J$3:$J$4002,$K$8),1))-1,""),"")</f>
        <v/>
      </c>
      <c r="AB3833">
        <f>IF(ISNUMBER(AA3833),'자료_거시'!$J3815,"")</f>
        <v/>
      </c>
      <c r="AC3833">
        <f>IF(ISNUMBER(AB3833),IF(AB3833&gt;$L$8,AA3833,""),"")</f>
        <v/>
      </c>
    </row>
    <row r="3834">
      <c r="S3834">
        <f>IF(ISNUMBER('자료_거시'!$E3816),'자료_거시'!$E3816,S3833)</f>
        <v/>
      </c>
      <c r="T3834">
        <f>IF(AND(ISNUMBER('자료_거시'!$D3816),ISNUMBER('자료_거시'!$E3816)),IFERROR('자료_거시'!$E3816-INDEX($S$21:$S$4020,MATCH(EDATE('자료_거시'!$D3816,-'설정'!$B$17),'자료_거시'!$D$3:INDEX('자료_거시'!$D$3:$D$4002,$K$6),1)),""),"")</f>
        <v/>
      </c>
      <c r="U3834">
        <f>IF(ISNUMBER(T3834),'자료_거시'!$D3816,"")</f>
        <v/>
      </c>
      <c r="V3834">
        <f>IF(ISNUMBER(U3834),IF(U3834&gt;$L$6,T3834,""),"")</f>
        <v/>
      </c>
      <c r="W3834">
        <f>IF(AND(ISNUMBER('자료_거시'!$G3816),ISNUMBER('자료_거시'!$H3816)),'자료_거시'!$H3816,"")</f>
        <v/>
      </c>
      <c r="X3834">
        <f>IF(ISNUMBER(W3834),'자료_거시'!$G3816,"")</f>
        <v/>
      </c>
      <c r="Y3834">
        <f>IF(ISNUMBER(X3834),IF(X3834&gt;$L$7,W3834,""),"")</f>
        <v/>
      </c>
      <c r="Z3834">
        <f>IF(ISNUMBER('자료_거시'!$K3816),'자료_거시'!$K3816,Z3833)</f>
        <v/>
      </c>
      <c r="AA3834">
        <f>IF(AND(ISNUMBER('자료_거시'!$J3816),ISNUMBER('자료_거시'!$K3816)),IFERROR('자료_거시'!$K3816/INDEX($Z$21:$Z$4020,MATCH(EDATE('자료_거시'!$J3816,-'설정'!$B$17),'자료_거시'!$J$3:INDEX('자료_거시'!$J$3:$J$4002,$K$8),1))-1,""),"")</f>
        <v/>
      </c>
      <c r="AB3834">
        <f>IF(ISNUMBER(AA3834),'자료_거시'!$J3816,"")</f>
        <v/>
      </c>
      <c r="AC3834">
        <f>IF(ISNUMBER(AB3834),IF(AB3834&gt;$L$8,AA3834,""),"")</f>
        <v/>
      </c>
    </row>
    <row r="3835">
      <c r="S3835">
        <f>IF(ISNUMBER('자료_거시'!$E3817),'자료_거시'!$E3817,S3834)</f>
        <v/>
      </c>
      <c r="T3835">
        <f>IF(AND(ISNUMBER('자료_거시'!$D3817),ISNUMBER('자료_거시'!$E3817)),IFERROR('자료_거시'!$E3817-INDEX($S$21:$S$4020,MATCH(EDATE('자료_거시'!$D3817,-'설정'!$B$17),'자료_거시'!$D$3:INDEX('자료_거시'!$D$3:$D$4002,$K$6),1)),""),"")</f>
        <v/>
      </c>
      <c r="U3835">
        <f>IF(ISNUMBER(T3835),'자료_거시'!$D3817,"")</f>
        <v/>
      </c>
      <c r="V3835">
        <f>IF(ISNUMBER(U3835),IF(U3835&gt;$L$6,T3835,""),"")</f>
        <v/>
      </c>
      <c r="W3835">
        <f>IF(AND(ISNUMBER('자료_거시'!$G3817),ISNUMBER('자료_거시'!$H3817)),'자료_거시'!$H3817,"")</f>
        <v/>
      </c>
      <c r="X3835">
        <f>IF(ISNUMBER(W3835),'자료_거시'!$G3817,"")</f>
        <v/>
      </c>
      <c r="Y3835">
        <f>IF(ISNUMBER(X3835),IF(X3835&gt;$L$7,W3835,""),"")</f>
        <v/>
      </c>
      <c r="Z3835">
        <f>IF(ISNUMBER('자료_거시'!$K3817),'자료_거시'!$K3817,Z3834)</f>
        <v/>
      </c>
      <c r="AA3835">
        <f>IF(AND(ISNUMBER('자료_거시'!$J3817),ISNUMBER('자료_거시'!$K3817)),IFERROR('자료_거시'!$K3817/INDEX($Z$21:$Z$4020,MATCH(EDATE('자료_거시'!$J3817,-'설정'!$B$17),'자료_거시'!$J$3:INDEX('자료_거시'!$J$3:$J$4002,$K$8),1))-1,""),"")</f>
        <v/>
      </c>
      <c r="AB3835">
        <f>IF(ISNUMBER(AA3835),'자료_거시'!$J3817,"")</f>
        <v/>
      </c>
      <c r="AC3835">
        <f>IF(ISNUMBER(AB3835),IF(AB3835&gt;$L$8,AA3835,""),"")</f>
        <v/>
      </c>
    </row>
    <row r="3836">
      <c r="S3836">
        <f>IF(ISNUMBER('자료_거시'!$E3818),'자료_거시'!$E3818,S3835)</f>
        <v/>
      </c>
      <c r="T3836">
        <f>IF(AND(ISNUMBER('자료_거시'!$D3818),ISNUMBER('자료_거시'!$E3818)),IFERROR('자료_거시'!$E3818-INDEX($S$21:$S$4020,MATCH(EDATE('자료_거시'!$D3818,-'설정'!$B$17),'자료_거시'!$D$3:INDEX('자료_거시'!$D$3:$D$4002,$K$6),1)),""),"")</f>
        <v/>
      </c>
      <c r="U3836">
        <f>IF(ISNUMBER(T3836),'자료_거시'!$D3818,"")</f>
        <v/>
      </c>
      <c r="V3836">
        <f>IF(ISNUMBER(U3836),IF(U3836&gt;$L$6,T3836,""),"")</f>
        <v/>
      </c>
      <c r="W3836">
        <f>IF(AND(ISNUMBER('자료_거시'!$G3818),ISNUMBER('자료_거시'!$H3818)),'자료_거시'!$H3818,"")</f>
        <v/>
      </c>
      <c r="X3836">
        <f>IF(ISNUMBER(W3836),'자료_거시'!$G3818,"")</f>
        <v/>
      </c>
      <c r="Y3836">
        <f>IF(ISNUMBER(X3836),IF(X3836&gt;$L$7,W3836,""),"")</f>
        <v/>
      </c>
      <c r="Z3836">
        <f>IF(ISNUMBER('자료_거시'!$K3818),'자료_거시'!$K3818,Z3835)</f>
        <v/>
      </c>
      <c r="AA3836">
        <f>IF(AND(ISNUMBER('자료_거시'!$J3818),ISNUMBER('자료_거시'!$K3818)),IFERROR('자료_거시'!$K3818/INDEX($Z$21:$Z$4020,MATCH(EDATE('자료_거시'!$J3818,-'설정'!$B$17),'자료_거시'!$J$3:INDEX('자료_거시'!$J$3:$J$4002,$K$8),1))-1,""),"")</f>
        <v/>
      </c>
      <c r="AB3836">
        <f>IF(ISNUMBER(AA3836),'자료_거시'!$J3818,"")</f>
        <v/>
      </c>
      <c r="AC3836">
        <f>IF(ISNUMBER(AB3836),IF(AB3836&gt;$L$8,AA3836,""),"")</f>
        <v/>
      </c>
    </row>
    <row r="3837">
      <c r="S3837">
        <f>IF(ISNUMBER('자료_거시'!$E3819),'자료_거시'!$E3819,S3836)</f>
        <v/>
      </c>
      <c r="T3837">
        <f>IF(AND(ISNUMBER('자료_거시'!$D3819),ISNUMBER('자료_거시'!$E3819)),IFERROR('자료_거시'!$E3819-INDEX($S$21:$S$4020,MATCH(EDATE('자료_거시'!$D3819,-'설정'!$B$17),'자료_거시'!$D$3:INDEX('자료_거시'!$D$3:$D$4002,$K$6),1)),""),"")</f>
        <v/>
      </c>
      <c r="U3837">
        <f>IF(ISNUMBER(T3837),'자료_거시'!$D3819,"")</f>
        <v/>
      </c>
      <c r="V3837">
        <f>IF(ISNUMBER(U3837),IF(U3837&gt;$L$6,T3837,""),"")</f>
        <v/>
      </c>
      <c r="W3837">
        <f>IF(AND(ISNUMBER('자료_거시'!$G3819),ISNUMBER('자료_거시'!$H3819)),'자료_거시'!$H3819,"")</f>
        <v/>
      </c>
      <c r="X3837">
        <f>IF(ISNUMBER(W3837),'자료_거시'!$G3819,"")</f>
        <v/>
      </c>
      <c r="Y3837">
        <f>IF(ISNUMBER(X3837),IF(X3837&gt;$L$7,W3837,""),"")</f>
        <v/>
      </c>
      <c r="Z3837">
        <f>IF(ISNUMBER('자료_거시'!$K3819),'자료_거시'!$K3819,Z3836)</f>
        <v/>
      </c>
      <c r="AA3837">
        <f>IF(AND(ISNUMBER('자료_거시'!$J3819),ISNUMBER('자료_거시'!$K3819)),IFERROR('자료_거시'!$K3819/INDEX($Z$21:$Z$4020,MATCH(EDATE('자료_거시'!$J3819,-'설정'!$B$17),'자료_거시'!$J$3:INDEX('자료_거시'!$J$3:$J$4002,$K$8),1))-1,""),"")</f>
        <v/>
      </c>
      <c r="AB3837">
        <f>IF(ISNUMBER(AA3837),'자료_거시'!$J3819,"")</f>
        <v/>
      </c>
      <c r="AC3837">
        <f>IF(ISNUMBER(AB3837),IF(AB3837&gt;$L$8,AA3837,""),"")</f>
        <v/>
      </c>
    </row>
    <row r="3838">
      <c r="S3838">
        <f>IF(ISNUMBER('자료_거시'!$E3820),'자료_거시'!$E3820,S3837)</f>
        <v/>
      </c>
      <c r="T3838">
        <f>IF(AND(ISNUMBER('자료_거시'!$D3820),ISNUMBER('자료_거시'!$E3820)),IFERROR('자료_거시'!$E3820-INDEX($S$21:$S$4020,MATCH(EDATE('자료_거시'!$D3820,-'설정'!$B$17),'자료_거시'!$D$3:INDEX('자료_거시'!$D$3:$D$4002,$K$6),1)),""),"")</f>
        <v/>
      </c>
      <c r="U3838">
        <f>IF(ISNUMBER(T3838),'자료_거시'!$D3820,"")</f>
        <v/>
      </c>
      <c r="V3838">
        <f>IF(ISNUMBER(U3838),IF(U3838&gt;$L$6,T3838,""),"")</f>
        <v/>
      </c>
      <c r="W3838">
        <f>IF(AND(ISNUMBER('자료_거시'!$G3820),ISNUMBER('자료_거시'!$H3820)),'자료_거시'!$H3820,"")</f>
        <v/>
      </c>
      <c r="X3838">
        <f>IF(ISNUMBER(W3838),'자료_거시'!$G3820,"")</f>
        <v/>
      </c>
      <c r="Y3838">
        <f>IF(ISNUMBER(X3838),IF(X3838&gt;$L$7,W3838,""),"")</f>
        <v/>
      </c>
      <c r="Z3838">
        <f>IF(ISNUMBER('자료_거시'!$K3820),'자료_거시'!$K3820,Z3837)</f>
        <v/>
      </c>
      <c r="AA3838">
        <f>IF(AND(ISNUMBER('자료_거시'!$J3820),ISNUMBER('자료_거시'!$K3820)),IFERROR('자료_거시'!$K3820/INDEX($Z$21:$Z$4020,MATCH(EDATE('자료_거시'!$J3820,-'설정'!$B$17),'자료_거시'!$J$3:INDEX('자료_거시'!$J$3:$J$4002,$K$8),1))-1,""),"")</f>
        <v/>
      </c>
      <c r="AB3838">
        <f>IF(ISNUMBER(AA3838),'자료_거시'!$J3820,"")</f>
        <v/>
      </c>
      <c r="AC3838">
        <f>IF(ISNUMBER(AB3838),IF(AB3838&gt;$L$8,AA3838,""),"")</f>
        <v/>
      </c>
    </row>
    <row r="3839">
      <c r="S3839">
        <f>IF(ISNUMBER('자료_거시'!$E3821),'자료_거시'!$E3821,S3838)</f>
        <v/>
      </c>
      <c r="T3839">
        <f>IF(AND(ISNUMBER('자료_거시'!$D3821),ISNUMBER('자료_거시'!$E3821)),IFERROR('자료_거시'!$E3821-INDEX($S$21:$S$4020,MATCH(EDATE('자료_거시'!$D3821,-'설정'!$B$17),'자료_거시'!$D$3:INDEX('자료_거시'!$D$3:$D$4002,$K$6),1)),""),"")</f>
        <v/>
      </c>
      <c r="U3839">
        <f>IF(ISNUMBER(T3839),'자료_거시'!$D3821,"")</f>
        <v/>
      </c>
      <c r="V3839">
        <f>IF(ISNUMBER(U3839),IF(U3839&gt;$L$6,T3839,""),"")</f>
        <v/>
      </c>
      <c r="W3839">
        <f>IF(AND(ISNUMBER('자료_거시'!$G3821),ISNUMBER('자료_거시'!$H3821)),'자료_거시'!$H3821,"")</f>
        <v/>
      </c>
      <c r="X3839">
        <f>IF(ISNUMBER(W3839),'자료_거시'!$G3821,"")</f>
        <v/>
      </c>
      <c r="Y3839">
        <f>IF(ISNUMBER(X3839),IF(X3839&gt;$L$7,W3839,""),"")</f>
        <v/>
      </c>
      <c r="Z3839">
        <f>IF(ISNUMBER('자료_거시'!$K3821),'자료_거시'!$K3821,Z3838)</f>
        <v/>
      </c>
      <c r="AA3839">
        <f>IF(AND(ISNUMBER('자료_거시'!$J3821),ISNUMBER('자료_거시'!$K3821)),IFERROR('자료_거시'!$K3821/INDEX($Z$21:$Z$4020,MATCH(EDATE('자료_거시'!$J3821,-'설정'!$B$17),'자료_거시'!$J$3:INDEX('자료_거시'!$J$3:$J$4002,$K$8),1))-1,""),"")</f>
        <v/>
      </c>
      <c r="AB3839">
        <f>IF(ISNUMBER(AA3839),'자료_거시'!$J3821,"")</f>
        <v/>
      </c>
      <c r="AC3839">
        <f>IF(ISNUMBER(AB3839),IF(AB3839&gt;$L$8,AA3839,""),"")</f>
        <v/>
      </c>
    </row>
    <row r="3840">
      <c r="S3840">
        <f>IF(ISNUMBER('자료_거시'!$E3822),'자료_거시'!$E3822,S3839)</f>
        <v/>
      </c>
      <c r="T3840">
        <f>IF(AND(ISNUMBER('자료_거시'!$D3822),ISNUMBER('자료_거시'!$E3822)),IFERROR('자료_거시'!$E3822-INDEX($S$21:$S$4020,MATCH(EDATE('자료_거시'!$D3822,-'설정'!$B$17),'자료_거시'!$D$3:INDEX('자료_거시'!$D$3:$D$4002,$K$6),1)),""),"")</f>
        <v/>
      </c>
      <c r="U3840">
        <f>IF(ISNUMBER(T3840),'자료_거시'!$D3822,"")</f>
        <v/>
      </c>
      <c r="V3840">
        <f>IF(ISNUMBER(U3840),IF(U3840&gt;$L$6,T3840,""),"")</f>
        <v/>
      </c>
      <c r="W3840">
        <f>IF(AND(ISNUMBER('자료_거시'!$G3822),ISNUMBER('자료_거시'!$H3822)),'자료_거시'!$H3822,"")</f>
        <v/>
      </c>
      <c r="X3840">
        <f>IF(ISNUMBER(W3840),'자료_거시'!$G3822,"")</f>
        <v/>
      </c>
      <c r="Y3840">
        <f>IF(ISNUMBER(X3840),IF(X3840&gt;$L$7,W3840,""),"")</f>
        <v/>
      </c>
      <c r="Z3840">
        <f>IF(ISNUMBER('자료_거시'!$K3822),'자료_거시'!$K3822,Z3839)</f>
        <v/>
      </c>
      <c r="AA3840">
        <f>IF(AND(ISNUMBER('자료_거시'!$J3822),ISNUMBER('자료_거시'!$K3822)),IFERROR('자료_거시'!$K3822/INDEX($Z$21:$Z$4020,MATCH(EDATE('자료_거시'!$J3822,-'설정'!$B$17),'자료_거시'!$J$3:INDEX('자료_거시'!$J$3:$J$4002,$K$8),1))-1,""),"")</f>
        <v/>
      </c>
      <c r="AB3840">
        <f>IF(ISNUMBER(AA3840),'자료_거시'!$J3822,"")</f>
        <v/>
      </c>
      <c r="AC3840">
        <f>IF(ISNUMBER(AB3840),IF(AB3840&gt;$L$8,AA3840,""),"")</f>
        <v/>
      </c>
    </row>
    <row r="3841">
      <c r="S3841">
        <f>IF(ISNUMBER('자료_거시'!$E3823),'자료_거시'!$E3823,S3840)</f>
        <v/>
      </c>
      <c r="T3841">
        <f>IF(AND(ISNUMBER('자료_거시'!$D3823),ISNUMBER('자료_거시'!$E3823)),IFERROR('자료_거시'!$E3823-INDEX($S$21:$S$4020,MATCH(EDATE('자료_거시'!$D3823,-'설정'!$B$17),'자료_거시'!$D$3:INDEX('자료_거시'!$D$3:$D$4002,$K$6),1)),""),"")</f>
        <v/>
      </c>
      <c r="U3841">
        <f>IF(ISNUMBER(T3841),'자료_거시'!$D3823,"")</f>
        <v/>
      </c>
      <c r="V3841">
        <f>IF(ISNUMBER(U3841),IF(U3841&gt;$L$6,T3841,""),"")</f>
        <v/>
      </c>
      <c r="W3841">
        <f>IF(AND(ISNUMBER('자료_거시'!$G3823),ISNUMBER('자료_거시'!$H3823)),'자료_거시'!$H3823,"")</f>
        <v/>
      </c>
      <c r="X3841">
        <f>IF(ISNUMBER(W3841),'자료_거시'!$G3823,"")</f>
        <v/>
      </c>
      <c r="Y3841">
        <f>IF(ISNUMBER(X3841),IF(X3841&gt;$L$7,W3841,""),"")</f>
        <v/>
      </c>
      <c r="Z3841">
        <f>IF(ISNUMBER('자료_거시'!$K3823),'자료_거시'!$K3823,Z3840)</f>
        <v/>
      </c>
      <c r="AA3841">
        <f>IF(AND(ISNUMBER('자료_거시'!$J3823),ISNUMBER('자료_거시'!$K3823)),IFERROR('자료_거시'!$K3823/INDEX($Z$21:$Z$4020,MATCH(EDATE('자료_거시'!$J3823,-'설정'!$B$17),'자료_거시'!$J$3:INDEX('자료_거시'!$J$3:$J$4002,$K$8),1))-1,""),"")</f>
        <v/>
      </c>
      <c r="AB3841">
        <f>IF(ISNUMBER(AA3841),'자료_거시'!$J3823,"")</f>
        <v/>
      </c>
      <c r="AC3841">
        <f>IF(ISNUMBER(AB3841),IF(AB3841&gt;$L$8,AA3841,""),"")</f>
        <v/>
      </c>
    </row>
    <row r="3842">
      <c r="S3842">
        <f>IF(ISNUMBER('자료_거시'!$E3824),'자료_거시'!$E3824,S3841)</f>
        <v/>
      </c>
      <c r="T3842">
        <f>IF(AND(ISNUMBER('자료_거시'!$D3824),ISNUMBER('자료_거시'!$E3824)),IFERROR('자료_거시'!$E3824-INDEX($S$21:$S$4020,MATCH(EDATE('자료_거시'!$D3824,-'설정'!$B$17),'자료_거시'!$D$3:INDEX('자료_거시'!$D$3:$D$4002,$K$6),1)),""),"")</f>
        <v/>
      </c>
      <c r="U3842">
        <f>IF(ISNUMBER(T3842),'자료_거시'!$D3824,"")</f>
        <v/>
      </c>
      <c r="V3842">
        <f>IF(ISNUMBER(U3842),IF(U3842&gt;$L$6,T3842,""),"")</f>
        <v/>
      </c>
      <c r="W3842">
        <f>IF(AND(ISNUMBER('자료_거시'!$G3824),ISNUMBER('자료_거시'!$H3824)),'자료_거시'!$H3824,"")</f>
        <v/>
      </c>
      <c r="X3842">
        <f>IF(ISNUMBER(W3842),'자료_거시'!$G3824,"")</f>
        <v/>
      </c>
      <c r="Y3842">
        <f>IF(ISNUMBER(X3842),IF(X3842&gt;$L$7,W3842,""),"")</f>
        <v/>
      </c>
      <c r="Z3842">
        <f>IF(ISNUMBER('자료_거시'!$K3824),'자료_거시'!$K3824,Z3841)</f>
        <v/>
      </c>
      <c r="AA3842">
        <f>IF(AND(ISNUMBER('자료_거시'!$J3824),ISNUMBER('자료_거시'!$K3824)),IFERROR('자료_거시'!$K3824/INDEX($Z$21:$Z$4020,MATCH(EDATE('자료_거시'!$J3824,-'설정'!$B$17),'자료_거시'!$J$3:INDEX('자료_거시'!$J$3:$J$4002,$K$8),1))-1,""),"")</f>
        <v/>
      </c>
      <c r="AB3842">
        <f>IF(ISNUMBER(AA3842),'자료_거시'!$J3824,"")</f>
        <v/>
      </c>
      <c r="AC3842">
        <f>IF(ISNUMBER(AB3842),IF(AB3842&gt;$L$8,AA3842,""),"")</f>
        <v/>
      </c>
    </row>
    <row r="3843">
      <c r="S3843">
        <f>IF(ISNUMBER('자료_거시'!$E3825),'자료_거시'!$E3825,S3842)</f>
        <v/>
      </c>
      <c r="T3843">
        <f>IF(AND(ISNUMBER('자료_거시'!$D3825),ISNUMBER('자료_거시'!$E3825)),IFERROR('자료_거시'!$E3825-INDEX($S$21:$S$4020,MATCH(EDATE('자료_거시'!$D3825,-'설정'!$B$17),'자료_거시'!$D$3:INDEX('자료_거시'!$D$3:$D$4002,$K$6),1)),""),"")</f>
        <v/>
      </c>
      <c r="U3843">
        <f>IF(ISNUMBER(T3843),'자료_거시'!$D3825,"")</f>
        <v/>
      </c>
      <c r="V3843">
        <f>IF(ISNUMBER(U3843),IF(U3843&gt;$L$6,T3843,""),"")</f>
        <v/>
      </c>
      <c r="W3843">
        <f>IF(AND(ISNUMBER('자료_거시'!$G3825),ISNUMBER('자료_거시'!$H3825)),'자료_거시'!$H3825,"")</f>
        <v/>
      </c>
      <c r="X3843">
        <f>IF(ISNUMBER(W3843),'자료_거시'!$G3825,"")</f>
        <v/>
      </c>
      <c r="Y3843">
        <f>IF(ISNUMBER(X3843),IF(X3843&gt;$L$7,W3843,""),"")</f>
        <v/>
      </c>
      <c r="Z3843">
        <f>IF(ISNUMBER('자료_거시'!$K3825),'자료_거시'!$K3825,Z3842)</f>
        <v/>
      </c>
      <c r="AA3843">
        <f>IF(AND(ISNUMBER('자료_거시'!$J3825),ISNUMBER('자료_거시'!$K3825)),IFERROR('자료_거시'!$K3825/INDEX($Z$21:$Z$4020,MATCH(EDATE('자료_거시'!$J3825,-'설정'!$B$17),'자료_거시'!$J$3:INDEX('자료_거시'!$J$3:$J$4002,$K$8),1))-1,""),"")</f>
        <v/>
      </c>
      <c r="AB3843">
        <f>IF(ISNUMBER(AA3843),'자료_거시'!$J3825,"")</f>
        <v/>
      </c>
      <c r="AC3843">
        <f>IF(ISNUMBER(AB3843),IF(AB3843&gt;$L$8,AA3843,""),"")</f>
        <v/>
      </c>
    </row>
    <row r="3844">
      <c r="S3844">
        <f>IF(ISNUMBER('자료_거시'!$E3826),'자료_거시'!$E3826,S3843)</f>
        <v/>
      </c>
      <c r="T3844">
        <f>IF(AND(ISNUMBER('자료_거시'!$D3826),ISNUMBER('자료_거시'!$E3826)),IFERROR('자료_거시'!$E3826-INDEX($S$21:$S$4020,MATCH(EDATE('자료_거시'!$D3826,-'설정'!$B$17),'자료_거시'!$D$3:INDEX('자료_거시'!$D$3:$D$4002,$K$6),1)),""),"")</f>
        <v/>
      </c>
      <c r="U3844">
        <f>IF(ISNUMBER(T3844),'자료_거시'!$D3826,"")</f>
        <v/>
      </c>
      <c r="V3844">
        <f>IF(ISNUMBER(U3844),IF(U3844&gt;$L$6,T3844,""),"")</f>
        <v/>
      </c>
      <c r="W3844">
        <f>IF(AND(ISNUMBER('자료_거시'!$G3826),ISNUMBER('자료_거시'!$H3826)),'자료_거시'!$H3826,"")</f>
        <v/>
      </c>
      <c r="X3844">
        <f>IF(ISNUMBER(W3844),'자료_거시'!$G3826,"")</f>
        <v/>
      </c>
      <c r="Y3844">
        <f>IF(ISNUMBER(X3844),IF(X3844&gt;$L$7,W3844,""),"")</f>
        <v/>
      </c>
      <c r="Z3844">
        <f>IF(ISNUMBER('자료_거시'!$K3826),'자료_거시'!$K3826,Z3843)</f>
        <v/>
      </c>
      <c r="AA3844">
        <f>IF(AND(ISNUMBER('자료_거시'!$J3826),ISNUMBER('자료_거시'!$K3826)),IFERROR('자료_거시'!$K3826/INDEX($Z$21:$Z$4020,MATCH(EDATE('자료_거시'!$J3826,-'설정'!$B$17),'자료_거시'!$J$3:INDEX('자료_거시'!$J$3:$J$4002,$K$8),1))-1,""),"")</f>
        <v/>
      </c>
      <c r="AB3844">
        <f>IF(ISNUMBER(AA3844),'자료_거시'!$J3826,"")</f>
        <v/>
      </c>
      <c r="AC3844">
        <f>IF(ISNUMBER(AB3844),IF(AB3844&gt;$L$8,AA3844,""),"")</f>
        <v/>
      </c>
    </row>
    <row r="3845">
      <c r="S3845">
        <f>IF(ISNUMBER('자료_거시'!$E3827),'자료_거시'!$E3827,S3844)</f>
        <v/>
      </c>
      <c r="T3845">
        <f>IF(AND(ISNUMBER('자료_거시'!$D3827),ISNUMBER('자료_거시'!$E3827)),IFERROR('자료_거시'!$E3827-INDEX($S$21:$S$4020,MATCH(EDATE('자료_거시'!$D3827,-'설정'!$B$17),'자료_거시'!$D$3:INDEX('자료_거시'!$D$3:$D$4002,$K$6),1)),""),"")</f>
        <v/>
      </c>
      <c r="U3845">
        <f>IF(ISNUMBER(T3845),'자료_거시'!$D3827,"")</f>
        <v/>
      </c>
      <c r="V3845">
        <f>IF(ISNUMBER(U3845),IF(U3845&gt;$L$6,T3845,""),"")</f>
        <v/>
      </c>
      <c r="W3845">
        <f>IF(AND(ISNUMBER('자료_거시'!$G3827),ISNUMBER('자료_거시'!$H3827)),'자료_거시'!$H3827,"")</f>
        <v/>
      </c>
      <c r="X3845">
        <f>IF(ISNUMBER(W3845),'자료_거시'!$G3827,"")</f>
        <v/>
      </c>
      <c r="Y3845">
        <f>IF(ISNUMBER(X3845),IF(X3845&gt;$L$7,W3845,""),"")</f>
        <v/>
      </c>
      <c r="Z3845">
        <f>IF(ISNUMBER('자료_거시'!$K3827),'자료_거시'!$K3827,Z3844)</f>
        <v/>
      </c>
      <c r="AA3845">
        <f>IF(AND(ISNUMBER('자료_거시'!$J3827),ISNUMBER('자료_거시'!$K3827)),IFERROR('자료_거시'!$K3827/INDEX($Z$21:$Z$4020,MATCH(EDATE('자료_거시'!$J3827,-'설정'!$B$17),'자료_거시'!$J$3:INDEX('자료_거시'!$J$3:$J$4002,$K$8),1))-1,""),"")</f>
        <v/>
      </c>
      <c r="AB3845">
        <f>IF(ISNUMBER(AA3845),'자료_거시'!$J3827,"")</f>
        <v/>
      </c>
      <c r="AC3845">
        <f>IF(ISNUMBER(AB3845),IF(AB3845&gt;$L$8,AA3845,""),"")</f>
        <v/>
      </c>
    </row>
    <row r="3846">
      <c r="S3846">
        <f>IF(ISNUMBER('자료_거시'!$E3828),'자료_거시'!$E3828,S3845)</f>
        <v/>
      </c>
      <c r="T3846">
        <f>IF(AND(ISNUMBER('자료_거시'!$D3828),ISNUMBER('자료_거시'!$E3828)),IFERROR('자료_거시'!$E3828-INDEX($S$21:$S$4020,MATCH(EDATE('자료_거시'!$D3828,-'설정'!$B$17),'자료_거시'!$D$3:INDEX('자료_거시'!$D$3:$D$4002,$K$6),1)),""),"")</f>
        <v/>
      </c>
      <c r="U3846">
        <f>IF(ISNUMBER(T3846),'자료_거시'!$D3828,"")</f>
        <v/>
      </c>
      <c r="V3846">
        <f>IF(ISNUMBER(U3846),IF(U3846&gt;$L$6,T3846,""),"")</f>
        <v/>
      </c>
      <c r="W3846">
        <f>IF(AND(ISNUMBER('자료_거시'!$G3828),ISNUMBER('자료_거시'!$H3828)),'자료_거시'!$H3828,"")</f>
        <v/>
      </c>
      <c r="X3846">
        <f>IF(ISNUMBER(W3846),'자료_거시'!$G3828,"")</f>
        <v/>
      </c>
      <c r="Y3846">
        <f>IF(ISNUMBER(X3846),IF(X3846&gt;$L$7,W3846,""),"")</f>
        <v/>
      </c>
      <c r="Z3846">
        <f>IF(ISNUMBER('자료_거시'!$K3828),'자료_거시'!$K3828,Z3845)</f>
        <v/>
      </c>
      <c r="AA3846">
        <f>IF(AND(ISNUMBER('자료_거시'!$J3828),ISNUMBER('자료_거시'!$K3828)),IFERROR('자료_거시'!$K3828/INDEX($Z$21:$Z$4020,MATCH(EDATE('자료_거시'!$J3828,-'설정'!$B$17),'자료_거시'!$J$3:INDEX('자료_거시'!$J$3:$J$4002,$K$8),1))-1,""),"")</f>
        <v/>
      </c>
      <c r="AB3846">
        <f>IF(ISNUMBER(AA3846),'자료_거시'!$J3828,"")</f>
        <v/>
      </c>
      <c r="AC3846">
        <f>IF(ISNUMBER(AB3846),IF(AB3846&gt;$L$8,AA3846,""),"")</f>
        <v/>
      </c>
    </row>
    <row r="3847">
      <c r="S3847">
        <f>IF(ISNUMBER('자료_거시'!$E3829),'자료_거시'!$E3829,S3846)</f>
        <v/>
      </c>
      <c r="T3847">
        <f>IF(AND(ISNUMBER('자료_거시'!$D3829),ISNUMBER('자료_거시'!$E3829)),IFERROR('자료_거시'!$E3829-INDEX($S$21:$S$4020,MATCH(EDATE('자료_거시'!$D3829,-'설정'!$B$17),'자료_거시'!$D$3:INDEX('자료_거시'!$D$3:$D$4002,$K$6),1)),""),"")</f>
        <v/>
      </c>
      <c r="U3847">
        <f>IF(ISNUMBER(T3847),'자료_거시'!$D3829,"")</f>
        <v/>
      </c>
      <c r="V3847">
        <f>IF(ISNUMBER(U3847),IF(U3847&gt;$L$6,T3847,""),"")</f>
        <v/>
      </c>
      <c r="W3847">
        <f>IF(AND(ISNUMBER('자료_거시'!$G3829),ISNUMBER('자료_거시'!$H3829)),'자료_거시'!$H3829,"")</f>
        <v/>
      </c>
      <c r="X3847">
        <f>IF(ISNUMBER(W3847),'자료_거시'!$G3829,"")</f>
        <v/>
      </c>
      <c r="Y3847">
        <f>IF(ISNUMBER(X3847),IF(X3847&gt;$L$7,W3847,""),"")</f>
        <v/>
      </c>
      <c r="Z3847">
        <f>IF(ISNUMBER('자료_거시'!$K3829),'자료_거시'!$K3829,Z3846)</f>
        <v/>
      </c>
      <c r="AA3847">
        <f>IF(AND(ISNUMBER('자료_거시'!$J3829),ISNUMBER('자료_거시'!$K3829)),IFERROR('자료_거시'!$K3829/INDEX($Z$21:$Z$4020,MATCH(EDATE('자료_거시'!$J3829,-'설정'!$B$17),'자료_거시'!$J$3:INDEX('자료_거시'!$J$3:$J$4002,$K$8),1))-1,""),"")</f>
        <v/>
      </c>
      <c r="AB3847">
        <f>IF(ISNUMBER(AA3847),'자료_거시'!$J3829,"")</f>
        <v/>
      </c>
      <c r="AC3847">
        <f>IF(ISNUMBER(AB3847),IF(AB3847&gt;$L$8,AA3847,""),"")</f>
        <v/>
      </c>
    </row>
    <row r="3848">
      <c r="S3848">
        <f>IF(ISNUMBER('자료_거시'!$E3830),'자료_거시'!$E3830,S3847)</f>
        <v/>
      </c>
      <c r="T3848">
        <f>IF(AND(ISNUMBER('자료_거시'!$D3830),ISNUMBER('자료_거시'!$E3830)),IFERROR('자료_거시'!$E3830-INDEX($S$21:$S$4020,MATCH(EDATE('자료_거시'!$D3830,-'설정'!$B$17),'자료_거시'!$D$3:INDEX('자료_거시'!$D$3:$D$4002,$K$6),1)),""),"")</f>
        <v/>
      </c>
      <c r="U3848">
        <f>IF(ISNUMBER(T3848),'자료_거시'!$D3830,"")</f>
        <v/>
      </c>
      <c r="V3848">
        <f>IF(ISNUMBER(U3848),IF(U3848&gt;$L$6,T3848,""),"")</f>
        <v/>
      </c>
      <c r="W3848">
        <f>IF(AND(ISNUMBER('자료_거시'!$G3830),ISNUMBER('자료_거시'!$H3830)),'자료_거시'!$H3830,"")</f>
        <v/>
      </c>
      <c r="X3848">
        <f>IF(ISNUMBER(W3848),'자료_거시'!$G3830,"")</f>
        <v/>
      </c>
      <c r="Y3848">
        <f>IF(ISNUMBER(X3848),IF(X3848&gt;$L$7,W3848,""),"")</f>
        <v/>
      </c>
      <c r="Z3848">
        <f>IF(ISNUMBER('자료_거시'!$K3830),'자료_거시'!$K3830,Z3847)</f>
        <v/>
      </c>
      <c r="AA3848">
        <f>IF(AND(ISNUMBER('자료_거시'!$J3830),ISNUMBER('자료_거시'!$K3830)),IFERROR('자료_거시'!$K3830/INDEX($Z$21:$Z$4020,MATCH(EDATE('자료_거시'!$J3830,-'설정'!$B$17),'자료_거시'!$J$3:INDEX('자료_거시'!$J$3:$J$4002,$K$8),1))-1,""),"")</f>
        <v/>
      </c>
      <c r="AB3848">
        <f>IF(ISNUMBER(AA3848),'자료_거시'!$J3830,"")</f>
        <v/>
      </c>
      <c r="AC3848">
        <f>IF(ISNUMBER(AB3848),IF(AB3848&gt;$L$8,AA3848,""),"")</f>
        <v/>
      </c>
    </row>
    <row r="3849">
      <c r="S3849">
        <f>IF(ISNUMBER('자료_거시'!$E3831),'자료_거시'!$E3831,S3848)</f>
        <v/>
      </c>
      <c r="T3849">
        <f>IF(AND(ISNUMBER('자료_거시'!$D3831),ISNUMBER('자료_거시'!$E3831)),IFERROR('자료_거시'!$E3831-INDEX($S$21:$S$4020,MATCH(EDATE('자료_거시'!$D3831,-'설정'!$B$17),'자료_거시'!$D$3:INDEX('자료_거시'!$D$3:$D$4002,$K$6),1)),""),"")</f>
        <v/>
      </c>
      <c r="U3849">
        <f>IF(ISNUMBER(T3849),'자료_거시'!$D3831,"")</f>
        <v/>
      </c>
      <c r="V3849">
        <f>IF(ISNUMBER(U3849),IF(U3849&gt;$L$6,T3849,""),"")</f>
        <v/>
      </c>
      <c r="W3849">
        <f>IF(AND(ISNUMBER('자료_거시'!$G3831),ISNUMBER('자료_거시'!$H3831)),'자료_거시'!$H3831,"")</f>
        <v/>
      </c>
      <c r="X3849">
        <f>IF(ISNUMBER(W3849),'자료_거시'!$G3831,"")</f>
        <v/>
      </c>
      <c r="Y3849">
        <f>IF(ISNUMBER(X3849),IF(X3849&gt;$L$7,W3849,""),"")</f>
        <v/>
      </c>
      <c r="Z3849">
        <f>IF(ISNUMBER('자료_거시'!$K3831),'자료_거시'!$K3831,Z3848)</f>
        <v/>
      </c>
      <c r="AA3849">
        <f>IF(AND(ISNUMBER('자료_거시'!$J3831),ISNUMBER('자료_거시'!$K3831)),IFERROR('자료_거시'!$K3831/INDEX($Z$21:$Z$4020,MATCH(EDATE('자료_거시'!$J3831,-'설정'!$B$17),'자료_거시'!$J$3:INDEX('자료_거시'!$J$3:$J$4002,$K$8),1))-1,""),"")</f>
        <v/>
      </c>
      <c r="AB3849">
        <f>IF(ISNUMBER(AA3849),'자료_거시'!$J3831,"")</f>
        <v/>
      </c>
      <c r="AC3849">
        <f>IF(ISNUMBER(AB3849),IF(AB3849&gt;$L$8,AA3849,""),"")</f>
        <v/>
      </c>
    </row>
    <row r="3850">
      <c r="S3850">
        <f>IF(ISNUMBER('자료_거시'!$E3832),'자료_거시'!$E3832,S3849)</f>
        <v/>
      </c>
      <c r="T3850">
        <f>IF(AND(ISNUMBER('자료_거시'!$D3832),ISNUMBER('자료_거시'!$E3832)),IFERROR('자료_거시'!$E3832-INDEX($S$21:$S$4020,MATCH(EDATE('자료_거시'!$D3832,-'설정'!$B$17),'자료_거시'!$D$3:INDEX('자료_거시'!$D$3:$D$4002,$K$6),1)),""),"")</f>
        <v/>
      </c>
      <c r="U3850">
        <f>IF(ISNUMBER(T3850),'자료_거시'!$D3832,"")</f>
        <v/>
      </c>
      <c r="V3850">
        <f>IF(ISNUMBER(U3850),IF(U3850&gt;$L$6,T3850,""),"")</f>
        <v/>
      </c>
      <c r="W3850">
        <f>IF(AND(ISNUMBER('자료_거시'!$G3832),ISNUMBER('자료_거시'!$H3832)),'자료_거시'!$H3832,"")</f>
        <v/>
      </c>
      <c r="X3850">
        <f>IF(ISNUMBER(W3850),'자료_거시'!$G3832,"")</f>
        <v/>
      </c>
      <c r="Y3850">
        <f>IF(ISNUMBER(X3850),IF(X3850&gt;$L$7,W3850,""),"")</f>
        <v/>
      </c>
      <c r="Z3850">
        <f>IF(ISNUMBER('자료_거시'!$K3832),'자료_거시'!$K3832,Z3849)</f>
        <v/>
      </c>
      <c r="AA3850">
        <f>IF(AND(ISNUMBER('자료_거시'!$J3832),ISNUMBER('자료_거시'!$K3832)),IFERROR('자료_거시'!$K3832/INDEX($Z$21:$Z$4020,MATCH(EDATE('자료_거시'!$J3832,-'설정'!$B$17),'자료_거시'!$J$3:INDEX('자료_거시'!$J$3:$J$4002,$K$8),1))-1,""),"")</f>
        <v/>
      </c>
      <c r="AB3850">
        <f>IF(ISNUMBER(AA3850),'자료_거시'!$J3832,"")</f>
        <v/>
      </c>
      <c r="AC3850">
        <f>IF(ISNUMBER(AB3850),IF(AB3850&gt;$L$8,AA3850,""),"")</f>
        <v/>
      </c>
    </row>
    <row r="3851">
      <c r="S3851">
        <f>IF(ISNUMBER('자료_거시'!$E3833),'자료_거시'!$E3833,S3850)</f>
        <v/>
      </c>
      <c r="T3851">
        <f>IF(AND(ISNUMBER('자료_거시'!$D3833),ISNUMBER('자료_거시'!$E3833)),IFERROR('자료_거시'!$E3833-INDEX($S$21:$S$4020,MATCH(EDATE('자료_거시'!$D3833,-'설정'!$B$17),'자료_거시'!$D$3:INDEX('자료_거시'!$D$3:$D$4002,$K$6),1)),""),"")</f>
        <v/>
      </c>
      <c r="U3851">
        <f>IF(ISNUMBER(T3851),'자료_거시'!$D3833,"")</f>
        <v/>
      </c>
      <c r="V3851">
        <f>IF(ISNUMBER(U3851),IF(U3851&gt;$L$6,T3851,""),"")</f>
        <v/>
      </c>
      <c r="W3851">
        <f>IF(AND(ISNUMBER('자료_거시'!$G3833),ISNUMBER('자료_거시'!$H3833)),'자료_거시'!$H3833,"")</f>
        <v/>
      </c>
      <c r="X3851">
        <f>IF(ISNUMBER(W3851),'자료_거시'!$G3833,"")</f>
        <v/>
      </c>
      <c r="Y3851">
        <f>IF(ISNUMBER(X3851),IF(X3851&gt;$L$7,W3851,""),"")</f>
        <v/>
      </c>
      <c r="Z3851">
        <f>IF(ISNUMBER('자료_거시'!$K3833),'자료_거시'!$K3833,Z3850)</f>
        <v/>
      </c>
      <c r="AA3851">
        <f>IF(AND(ISNUMBER('자료_거시'!$J3833),ISNUMBER('자료_거시'!$K3833)),IFERROR('자료_거시'!$K3833/INDEX($Z$21:$Z$4020,MATCH(EDATE('자료_거시'!$J3833,-'설정'!$B$17),'자료_거시'!$J$3:INDEX('자료_거시'!$J$3:$J$4002,$K$8),1))-1,""),"")</f>
        <v/>
      </c>
      <c r="AB3851">
        <f>IF(ISNUMBER(AA3851),'자료_거시'!$J3833,"")</f>
        <v/>
      </c>
      <c r="AC3851">
        <f>IF(ISNUMBER(AB3851),IF(AB3851&gt;$L$8,AA3851,""),"")</f>
        <v/>
      </c>
    </row>
    <row r="3852">
      <c r="S3852">
        <f>IF(ISNUMBER('자료_거시'!$E3834),'자료_거시'!$E3834,S3851)</f>
        <v/>
      </c>
      <c r="T3852">
        <f>IF(AND(ISNUMBER('자료_거시'!$D3834),ISNUMBER('자료_거시'!$E3834)),IFERROR('자료_거시'!$E3834-INDEX($S$21:$S$4020,MATCH(EDATE('자료_거시'!$D3834,-'설정'!$B$17),'자료_거시'!$D$3:INDEX('자료_거시'!$D$3:$D$4002,$K$6),1)),""),"")</f>
        <v/>
      </c>
      <c r="U3852">
        <f>IF(ISNUMBER(T3852),'자료_거시'!$D3834,"")</f>
        <v/>
      </c>
      <c r="V3852">
        <f>IF(ISNUMBER(U3852),IF(U3852&gt;$L$6,T3852,""),"")</f>
        <v/>
      </c>
      <c r="W3852">
        <f>IF(AND(ISNUMBER('자료_거시'!$G3834),ISNUMBER('자료_거시'!$H3834)),'자료_거시'!$H3834,"")</f>
        <v/>
      </c>
      <c r="X3852">
        <f>IF(ISNUMBER(W3852),'자료_거시'!$G3834,"")</f>
        <v/>
      </c>
      <c r="Y3852">
        <f>IF(ISNUMBER(X3852),IF(X3852&gt;$L$7,W3852,""),"")</f>
        <v/>
      </c>
      <c r="Z3852">
        <f>IF(ISNUMBER('자료_거시'!$K3834),'자료_거시'!$K3834,Z3851)</f>
        <v/>
      </c>
      <c r="AA3852">
        <f>IF(AND(ISNUMBER('자료_거시'!$J3834),ISNUMBER('자료_거시'!$K3834)),IFERROR('자료_거시'!$K3834/INDEX($Z$21:$Z$4020,MATCH(EDATE('자료_거시'!$J3834,-'설정'!$B$17),'자료_거시'!$J$3:INDEX('자료_거시'!$J$3:$J$4002,$K$8),1))-1,""),"")</f>
        <v/>
      </c>
      <c r="AB3852">
        <f>IF(ISNUMBER(AA3852),'자료_거시'!$J3834,"")</f>
        <v/>
      </c>
      <c r="AC3852">
        <f>IF(ISNUMBER(AB3852),IF(AB3852&gt;$L$8,AA3852,""),"")</f>
        <v/>
      </c>
    </row>
    <row r="3853">
      <c r="S3853">
        <f>IF(ISNUMBER('자료_거시'!$E3835),'자료_거시'!$E3835,S3852)</f>
        <v/>
      </c>
      <c r="T3853">
        <f>IF(AND(ISNUMBER('자료_거시'!$D3835),ISNUMBER('자료_거시'!$E3835)),IFERROR('자료_거시'!$E3835-INDEX($S$21:$S$4020,MATCH(EDATE('자료_거시'!$D3835,-'설정'!$B$17),'자료_거시'!$D$3:INDEX('자료_거시'!$D$3:$D$4002,$K$6),1)),""),"")</f>
        <v/>
      </c>
      <c r="U3853">
        <f>IF(ISNUMBER(T3853),'자료_거시'!$D3835,"")</f>
        <v/>
      </c>
      <c r="V3853">
        <f>IF(ISNUMBER(U3853),IF(U3853&gt;$L$6,T3853,""),"")</f>
        <v/>
      </c>
      <c r="W3853">
        <f>IF(AND(ISNUMBER('자료_거시'!$G3835),ISNUMBER('자료_거시'!$H3835)),'자료_거시'!$H3835,"")</f>
        <v/>
      </c>
      <c r="X3853">
        <f>IF(ISNUMBER(W3853),'자료_거시'!$G3835,"")</f>
        <v/>
      </c>
      <c r="Y3853">
        <f>IF(ISNUMBER(X3853),IF(X3853&gt;$L$7,W3853,""),"")</f>
        <v/>
      </c>
      <c r="Z3853">
        <f>IF(ISNUMBER('자료_거시'!$K3835),'자료_거시'!$K3835,Z3852)</f>
        <v/>
      </c>
      <c r="AA3853">
        <f>IF(AND(ISNUMBER('자료_거시'!$J3835),ISNUMBER('자료_거시'!$K3835)),IFERROR('자료_거시'!$K3835/INDEX($Z$21:$Z$4020,MATCH(EDATE('자료_거시'!$J3835,-'설정'!$B$17),'자료_거시'!$J$3:INDEX('자료_거시'!$J$3:$J$4002,$K$8),1))-1,""),"")</f>
        <v/>
      </c>
      <c r="AB3853">
        <f>IF(ISNUMBER(AA3853),'자료_거시'!$J3835,"")</f>
        <v/>
      </c>
      <c r="AC3853">
        <f>IF(ISNUMBER(AB3853),IF(AB3853&gt;$L$8,AA3853,""),"")</f>
        <v/>
      </c>
    </row>
    <row r="3854">
      <c r="S3854">
        <f>IF(ISNUMBER('자료_거시'!$E3836),'자료_거시'!$E3836,S3853)</f>
        <v/>
      </c>
      <c r="T3854">
        <f>IF(AND(ISNUMBER('자료_거시'!$D3836),ISNUMBER('자료_거시'!$E3836)),IFERROR('자료_거시'!$E3836-INDEX($S$21:$S$4020,MATCH(EDATE('자료_거시'!$D3836,-'설정'!$B$17),'자료_거시'!$D$3:INDEX('자료_거시'!$D$3:$D$4002,$K$6),1)),""),"")</f>
        <v/>
      </c>
      <c r="U3854">
        <f>IF(ISNUMBER(T3854),'자료_거시'!$D3836,"")</f>
        <v/>
      </c>
      <c r="V3854">
        <f>IF(ISNUMBER(U3854),IF(U3854&gt;$L$6,T3854,""),"")</f>
        <v/>
      </c>
      <c r="W3854">
        <f>IF(AND(ISNUMBER('자료_거시'!$G3836),ISNUMBER('자료_거시'!$H3836)),'자료_거시'!$H3836,"")</f>
        <v/>
      </c>
      <c r="X3854">
        <f>IF(ISNUMBER(W3854),'자료_거시'!$G3836,"")</f>
        <v/>
      </c>
      <c r="Y3854">
        <f>IF(ISNUMBER(X3854),IF(X3854&gt;$L$7,W3854,""),"")</f>
        <v/>
      </c>
      <c r="Z3854">
        <f>IF(ISNUMBER('자료_거시'!$K3836),'자료_거시'!$K3836,Z3853)</f>
        <v/>
      </c>
      <c r="AA3854">
        <f>IF(AND(ISNUMBER('자료_거시'!$J3836),ISNUMBER('자료_거시'!$K3836)),IFERROR('자료_거시'!$K3836/INDEX($Z$21:$Z$4020,MATCH(EDATE('자료_거시'!$J3836,-'설정'!$B$17),'자료_거시'!$J$3:INDEX('자료_거시'!$J$3:$J$4002,$K$8),1))-1,""),"")</f>
        <v/>
      </c>
      <c r="AB3854">
        <f>IF(ISNUMBER(AA3854),'자료_거시'!$J3836,"")</f>
        <v/>
      </c>
      <c r="AC3854">
        <f>IF(ISNUMBER(AB3854),IF(AB3854&gt;$L$8,AA3854,""),"")</f>
        <v/>
      </c>
    </row>
    <row r="3855">
      <c r="S3855">
        <f>IF(ISNUMBER('자료_거시'!$E3837),'자료_거시'!$E3837,S3854)</f>
        <v/>
      </c>
      <c r="T3855">
        <f>IF(AND(ISNUMBER('자료_거시'!$D3837),ISNUMBER('자료_거시'!$E3837)),IFERROR('자료_거시'!$E3837-INDEX($S$21:$S$4020,MATCH(EDATE('자료_거시'!$D3837,-'설정'!$B$17),'자료_거시'!$D$3:INDEX('자료_거시'!$D$3:$D$4002,$K$6),1)),""),"")</f>
        <v/>
      </c>
      <c r="U3855">
        <f>IF(ISNUMBER(T3855),'자료_거시'!$D3837,"")</f>
        <v/>
      </c>
      <c r="V3855">
        <f>IF(ISNUMBER(U3855),IF(U3855&gt;$L$6,T3855,""),"")</f>
        <v/>
      </c>
      <c r="W3855">
        <f>IF(AND(ISNUMBER('자료_거시'!$G3837),ISNUMBER('자료_거시'!$H3837)),'자료_거시'!$H3837,"")</f>
        <v/>
      </c>
      <c r="X3855">
        <f>IF(ISNUMBER(W3855),'자료_거시'!$G3837,"")</f>
        <v/>
      </c>
      <c r="Y3855">
        <f>IF(ISNUMBER(X3855),IF(X3855&gt;$L$7,W3855,""),"")</f>
        <v/>
      </c>
      <c r="Z3855">
        <f>IF(ISNUMBER('자료_거시'!$K3837),'자료_거시'!$K3837,Z3854)</f>
        <v/>
      </c>
      <c r="AA3855">
        <f>IF(AND(ISNUMBER('자료_거시'!$J3837),ISNUMBER('자료_거시'!$K3837)),IFERROR('자료_거시'!$K3837/INDEX($Z$21:$Z$4020,MATCH(EDATE('자료_거시'!$J3837,-'설정'!$B$17),'자료_거시'!$J$3:INDEX('자료_거시'!$J$3:$J$4002,$K$8),1))-1,""),"")</f>
        <v/>
      </c>
      <c r="AB3855">
        <f>IF(ISNUMBER(AA3855),'자료_거시'!$J3837,"")</f>
        <v/>
      </c>
      <c r="AC3855">
        <f>IF(ISNUMBER(AB3855),IF(AB3855&gt;$L$8,AA3855,""),"")</f>
        <v/>
      </c>
    </row>
    <row r="3856">
      <c r="S3856">
        <f>IF(ISNUMBER('자료_거시'!$E3838),'자료_거시'!$E3838,S3855)</f>
        <v/>
      </c>
      <c r="T3856">
        <f>IF(AND(ISNUMBER('자료_거시'!$D3838),ISNUMBER('자료_거시'!$E3838)),IFERROR('자료_거시'!$E3838-INDEX($S$21:$S$4020,MATCH(EDATE('자료_거시'!$D3838,-'설정'!$B$17),'자료_거시'!$D$3:INDEX('자료_거시'!$D$3:$D$4002,$K$6),1)),""),"")</f>
        <v/>
      </c>
      <c r="U3856">
        <f>IF(ISNUMBER(T3856),'자료_거시'!$D3838,"")</f>
        <v/>
      </c>
      <c r="V3856">
        <f>IF(ISNUMBER(U3856),IF(U3856&gt;$L$6,T3856,""),"")</f>
        <v/>
      </c>
      <c r="W3856">
        <f>IF(AND(ISNUMBER('자료_거시'!$G3838),ISNUMBER('자료_거시'!$H3838)),'자료_거시'!$H3838,"")</f>
        <v/>
      </c>
      <c r="X3856">
        <f>IF(ISNUMBER(W3856),'자료_거시'!$G3838,"")</f>
        <v/>
      </c>
      <c r="Y3856">
        <f>IF(ISNUMBER(X3856),IF(X3856&gt;$L$7,W3856,""),"")</f>
        <v/>
      </c>
      <c r="Z3856">
        <f>IF(ISNUMBER('자료_거시'!$K3838),'자료_거시'!$K3838,Z3855)</f>
        <v/>
      </c>
      <c r="AA3856">
        <f>IF(AND(ISNUMBER('자료_거시'!$J3838),ISNUMBER('자료_거시'!$K3838)),IFERROR('자료_거시'!$K3838/INDEX($Z$21:$Z$4020,MATCH(EDATE('자료_거시'!$J3838,-'설정'!$B$17),'자료_거시'!$J$3:INDEX('자료_거시'!$J$3:$J$4002,$K$8),1))-1,""),"")</f>
        <v/>
      </c>
      <c r="AB3856">
        <f>IF(ISNUMBER(AA3856),'자료_거시'!$J3838,"")</f>
        <v/>
      </c>
      <c r="AC3856">
        <f>IF(ISNUMBER(AB3856),IF(AB3856&gt;$L$8,AA3856,""),"")</f>
        <v/>
      </c>
    </row>
    <row r="3857">
      <c r="S3857">
        <f>IF(ISNUMBER('자료_거시'!$E3839),'자료_거시'!$E3839,S3856)</f>
        <v/>
      </c>
      <c r="T3857">
        <f>IF(AND(ISNUMBER('자료_거시'!$D3839),ISNUMBER('자료_거시'!$E3839)),IFERROR('자료_거시'!$E3839-INDEX($S$21:$S$4020,MATCH(EDATE('자료_거시'!$D3839,-'설정'!$B$17),'자료_거시'!$D$3:INDEX('자료_거시'!$D$3:$D$4002,$K$6),1)),""),"")</f>
        <v/>
      </c>
      <c r="U3857">
        <f>IF(ISNUMBER(T3857),'자료_거시'!$D3839,"")</f>
        <v/>
      </c>
      <c r="V3857">
        <f>IF(ISNUMBER(U3857),IF(U3857&gt;$L$6,T3857,""),"")</f>
        <v/>
      </c>
      <c r="W3857">
        <f>IF(AND(ISNUMBER('자료_거시'!$G3839),ISNUMBER('자료_거시'!$H3839)),'자료_거시'!$H3839,"")</f>
        <v/>
      </c>
      <c r="X3857">
        <f>IF(ISNUMBER(W3857),'자료_거시'!$G3839,"")</f>
        <v/>
      </c>
      <c r="Y3857">
        <f>IF(ISNUMBER(X3857),IF(X3857&gt;$L$7,W3857,""),"")</f>
        <v/>
      </c>
      <c r="Z3857">
        <f>IF(ISNUMBER('자료_거시'!$K3839),'자료_거시'!$K3839,Z3856)</f>
        <v/>
      </c>
      <c r="AA3857">
        <f>IF(AND(ISNUMBER('자료_거시'!$J3839),ISNUMBER('자료_거시'!$K3839)),IFERROR('자료_거시'!$K3839/INDEX($Z$21:$Z$4020,MATCH(EDATE('자료_거시'!$J3839,-'설정'!$B$17),'자료_거시'!$J$3:INDEX('자료_거시'!$J$3:$J$4002,$K$8),1))-1,""),"")</f>
        <v/>
      </c>
      <c r="AB3857">
        <f>IF(ISNUMBER(AA3857),'자료_거시'!$J3839,"")</f>
        <v/>
      </c>
      <c r="AC3857">
        <f>IF(ISNUMBER(AB3857),IF(AB3857&gt;$L$8,AA3857,""),"")</f>
        <v/>
      </c>
    </row>
    <row r="3858">
      <c r="S3858">
        <f>IF(ISNUMBER('자료_거시'!$E3840),'자료_거시'!$E3840,S3857)</f>
        <v/>
      </c>
      <c r="T3858">
        <f>IF(AND(ISNUMBER('자료_거시'!$D3840),ISNUMBER('자료_거시'!$E3840)),IFERROR('자료_거시'!$E3840-INDEX($S$21:$S$4020,MATCH(EDATE('자료_거시'!$D3840,-'설정'!$B$17),'자료_거시'!$D$3:INDEX('자료_거시'!$D$3:$D$4002,$K$6),1)),""),"")</f>
        <v/>
      </c>
      <c r="U3858">
        <f>IF(ISNUMBER(T3858),'자료_거시'!$D3840,"")</f>
        <v/>
      </c>
      <c r="V3858">
        <f>IF(ISNUMBER(U3858),IF(U3858&gt;$L$6,T3858,""),"")</f>
        <v/>
      </c>
      <c r="W3858">
        <f>IF(AND(ISNUMBER('자료_거시'!$G3840),ISNUMBER('자료_거시'!$H3840)),'자료_거시'!$H3840,"")</f>
        <v/>
      </c>
      <c r="X3858">
        <f>IF(ISNUMBER(W3858),'자료_거시'!$G3840,"")</f>
        <v/>
      </c>
      <c r="Y3858">
        <f>IF(ISNUMBER(X3858),IF(X3858&gt;$L$7,W3858,""),"")</f>
        <v/>
      </c>
      <c r="Z3858">
        <f>IF(ISNUMBER('자료_거시'!$K3840),'자료_거시'!$K3840,Z3857)</f>
        <v/>
      </c>
      <c r="AA3858">
        <f>IF(AND(ISNUMBER('자료_거시'!$J3840),ISNUMBER('자료_거시'!$K3840)),IFERROR('자료_거시'!$K3840/INDEX($Z$21:$Z$4020,MATCH(EDATE('자료_거시'!$J3840,-'설정'!$B$17),'자료_거시'!$J$3:INDEX('자료_거시'!$J$3:$J$4002,$K$8),1))-1,""),"")</f>
        <v/>
      </c>
      <c r="AB3858">
        <f>IF(ISNUMBER(AA3858),'자료_거시'!$J3840,"")</f>
        <v/>
      </c>
      <c r="AC3858">
        <f>IF(ISNUMBER(AB3858),IF(AB3858&gt;$L$8,AA3858,""),"")</f>
        <v/>
      </c>
    </row>
    <row r="3859">
      <c r="S3859">
        <f>IF(ISNUMBER('자료_거시'!$E3841),'자료_거시'!$E3841,S3858)</f>
        <v/>
      </c>
      <c r="T3859">
        <f>IF(AND(ISNUMBER('자료_거시'!$D3841),ISNUMBER('자료_거시'!$E3841)),IFERROR('자료_거시'!$E3841-INDEX($S$21:$S$4020,MATCH(EDATE('자료_거시'!$D3841,-'설정'!$B$17),'자료_거시'!$D$3:INDEX('자료_거시'!$D$3:$D$4002,$K$6),1)),""),"")</f>
        <v/>
      </c>
      <c r="U3859">
        <f>IF(ISNUMBER(T3859),'자료_거시'!$D3841,"")</f>
        <v/>
      </c>
      <c r="V3859">
        <f>IF(ISNUMBER(U3859),IF(U3859&gt;$L$6,T3859,""),"")</f>
        <v/>
      </c>
      <c r="W3859">
        <f>IF(AND(ISNUMBER('자료_거시'!$G3841),ISNUMBER('자료_거시'!$H3841)),'자료_거시'!$H3841,"")</f>
        <v/>
      </c>
      <c r="X3859">
        <f>IF(ISNUMBER(W3859),'자료_거시'!$G3841,"")</f>
        <v/>
      </c>
      <c r="Y3859">
        <f>IF(ISNUMBER(X3859),IF(X3859&gt;$L$7,W3859,""),"")</f>
        <v/>
      </c>
      <c r="Z3859">
        <f>IF(ISNUMBER('자료_거시'!$K3841),'자료_거시'!$K3841,Z3858)</f>
        <v/>
      </c>
      <c r="AA3859">
        <f>IF(AND(ISNUMBER('자료_거시'!$J3841),ISNUMBER('자료_거시'!$K3841)),IFERROR('자료_거시'!$K3841/INDEX($Z$21:$Z$4020,MATCH(EDATE('자료_거시'!$J3841,-'설정'!$B$17),'자료_거시'!$J$3:INDEX('자료_거시'!$J$3:$J$4002,$K$8),1))-1,""),"")</f>
        <v/>
      </c>
      <c r="AB3859">
        <f>IF(ISNUMBER(AA3859),'자료_거시'!$J3841,"")</f>
        <v/>
      </c>
      <c r="AC3859">
        <f>IF(ISNUMBER(AB3859),IF(AB3859&gt;$L$8,AA3859,""),"")</f>
        <v/>
      </c>
    </row>
    <row r="3860">
      <c r="S3860">
        <f>IF(ISNUMBER('자료_거시'!$E3842),'자료_거시'!$E3842,S3859)</f>
        <v/>
      </c>
      <c r="T3860">
        <f>IF(AND(ISNUMBER('자료_거시'!$D3842),ISNUMBER('자료_거시'!$E3842)),IFERROR('자료_거시'!$E3842-INDEX($S$21:$S$4020,MATCH(EDATE('자료_거시'!$D3842,-'설정'!$B$17),'자료_거시'!$D$3:INDEX('자료_거시'!$D$3:$D$4002,$K$6),1)),""),"")</f>
        <v/>
      </c>
      <c r="U3860">
        <f>IF(ISNUMBER(T3860),'자료_거시'!$D3842,"")</f>
        <v/>
      </c>
      <c r="V3860">
        <f>IF(ISNUMBER(U3860),IF(U3860&gt;$L$6,T3860,""),"")</f>
        <v/>
      </c>
      <c r="W3860">
        <f>IF(AND(ISNUMBER('자료_거시'!$G3842),ISNUMBER('자료_거시'!$H3842)),'자료_거시'!$H3842,"")</f>
        <v/>
      </c>
      <c r="X3860">
        <f>IF(ISNUMBER(W3860),'자료_거시'!$G3842,"")</f>
        <v/>
      </c>
      <c r="Y3860">
        <f>IF(ISNUMBER(X3860),IF(X3860&gt;$L$7,W3860,""),"")</f>
        <v/>
      </c>
      <c r="Z3860">
        <f>IF(ISNUMBER('자료_거시'!$K3842),'자료_거시'!$K3842,Z3859)</f>
        <v/>
      </c>
      <c r="AA3860">
        <f>IF(AND(ISNUMBER('자료_거시'!$J3842),ISNUMBER('자료_거시'!$K3842)),IFERROR('자료_거시'!$K3842/INDEX($Z$21:$Z$4020,MATCH(EDATE('자료_거시'!$J3842,-'설정'!$B$17),'자료_거시'!$J$3:INDEX('자료_거시'!$J$3:$J$4002,$K$8),1))-1,""),"")</f>
        <v/>
      </c>
      <c r="AB3860">
        <f>IF(ISNUMBER(AA3860),'자료_거시'!$J3842,"")</f>
        <v/>
      </c>
      <c r="AC3860">
        <f>IF(ISNUMBER(AB3860),IF(AB3860&gt;$L$8,AA3860,""),"")</f>
        <v/>
      </c>
    </row>
    <row r="3861">
      <c r="S3861">
        <f>IF(ISNUMBER('자료_거시'!$E3843),'자료_거시'!$E3843,S3860)</f>
        <v/>
      </c>
      <c r="T3861">
        <f>IF(AND(ISNUMBER('자료_거시'!$D3843),ISNUMBER('자료_거시'!$E3843)),IFERROR('자료_거시'!$E3843-INDEX($S$21:$S$4020,MATCH(EDATE('자료_거시'!$D3843,-'설정'!$B$17),'자료_거시'!$D$3:INDEX('자료_거시'!$D$3:$D$4002,$K$6),1)),""),"")</f>
        <v/>
      </c>
      <c r="U3861">
        <f>IF(ISNUMBER(T3861),'자료_거시'!$D3843,"")</f>
        <v/>
      </c>
      <c r="V3861">
        <f>IF(ISNUMBER(U3861),IF(U3861&gt;$L$6,T3861,""),"")</f>
        <v/>
      </c>
      <c r="W3861">
        <f>IF(AND(ISNUMBER('자료_거시'!$G3843),ISNUMBER('자료_거시'!$H3843)),'자료_거시'!$H3843,"")</f>
        <v/>
      </c>
      <c r="X3861">
        <f>IF(ISNUMBER(W3861),'자료_거시'!$G3843,"")</f>
        <v/>
      </c>
      <c r="Y3861">
        <f>IF(ISNUMBER(X3861),IF(X3861&gt;$L$7,W3861,""),"")</f>
        <v/>
      </c>
      <c r="Z3861">
        <f>IF(ISNUMBER('자료_거시'!$K3843),'자료_거시'!$K3843,Z3860)</f>
        <v/>
      </c>
      <c r="AA3861">
        <f>IF(AND(ISNUMBER('자료_거시'!$J3843),ISNUMBER('자료_거시'!$K3843)),IFERROR('자료_거시'!$K3843/INDEX($Z$21:$Z$4020,MATCH(EDATE('자료_거시'!$J3843,-'설정'!$B$17),'자료_거시'!$J$3:INDEX('자료_거시'!$J$3:$J$4002,$K$8),1))-1,""),"")</f>
        <v/>
      </c>
      <c r="AB3861">
        <f>IF(ISNUMBER(AA3861),'자료_거시'!$J3843,"")</f>
        <v/>
      </c>
      <c r="AC3861">
        <f>IF(ISNUMBER(AB3861),IF(AB3861&gt;$L$8,AA3861,""),"")</f>
        <v/>
      </c>
    </row>
    <row r="3862">
      <c r="S3862">
        <f>IF(ISNUMBER('자료_거시'!$E3844),'자료_거시'!$E3844,S3861)</f>
        <v/>
      </c>
      <c r="T3862">
        <f>IF(AND(ISNUMBER('자료_거시'!$D3844),ISNUMBER('자료_거시'!$E3844)),IFERROR('자료_거시'!$E3844-INDEX($S$21:$S$4020,MATCH(EDATE('자료_거시'!$D3844,-'설정'!$B$17),'자료_거시'!$D$3:INDEX('자료_거시'!$D$3:$D$4002,$K$6),1)),""),"")</f>
        <v/>
      </c>
      <c r="U3862">
        <f>IF(ISNUMBER(T3862),'자료_거시'!$D3844,"")</f>
        <v/>
      </c>
      <c r="V3862">
        <f>IF(ISNUMBER(U3862),IF(U3862&gt;$L$6,T3862,""),"")</f>
        <v/>
      </c>
      <c r="W3862">
        <f>IF(AND(ISNUMBER('자료_거시'!$G3844),ISNUMBER('자료_거시'!$H3844)),'자료_거시'!$H3844,"")</f>
        <v/>
      </c>
      <c r="X3862">
        <f>IF(ISNUMBER(W3862),'자료_거시'!$G3844,"")</f>
        <v/>
      </c>
      <c r="Y3862">
        <f>IF(ISNUMBER(X3862),IF(X3862&gt;$L$7,W3862,""),"")</f>
        <v/>
      </c>
      <c r="Z3862">
        <f>IF(ISNUMBER('자료_거시'!$K3844),'자료_거시'!$K3844,Z3861)</f>
        <v/>
      </c>
      <c r="AA3862">
        <f>IF(AND(ISNUMBER('자료_거시'!$J3844),ISNUMBER('자료_거시'!$K3844)),IFERROR('자료_거시'!$K3844/INDEX($Z$21:$Z$4020,MATCH(EDATE('자료_거시'!$J3844,-'설정'!$B$17),'자료_거시'!$J$3:INDEX('자료_거시'!$J$3:$J$4002,$K$8),1))-1,""),"")</f>
        <v/>
      </c>
      <c r="AB3862">
        <f>IF(ISNUMBER(AA3862),'자료_거시'!$J3844,"")</f>
        <v/>
      </c>
      <c r="AC3862">
        <f>IF(ISNUMBER(AB3862),IF(AB3862&gt;$L$8,AA3862,""),"")</f>
        <v/>
      </c>
    </row>
    <row r="3863">
      <c r="S3863">
        <f>IF(ISNUMBER('자료_거시'!$E3845),'자료_거시'!$E3845,S3862)</f>
        <v/>
      </c>
      <c r="T3863">
        <f>IF(AND(ISNUMBER('자료_거시'!$D3845),ISNUMBER('자료_거시'!$E3845)),IFERROR('자료_거시'!$E3845-INDEX($S$21:$S$4020,MATCH(EDATE('자료_거시'!$D3845,-'설정'!$B$17),'자료_거시'!$D$3:INDEX('자료_거시'!$D$3:$D$4002,$K$6),1)),""),"")</f>
        <v/>
      </c>
      <c r="U3863">
        <f>IF(ISNUMBER(T3863),'자료_거시'!$D3845,"")</f>
        <v/>
      </c>
      <c r="V3863">
        <f>IF(ISNUMBER(U3863),IF(U3863&gt;$L$6,T3863,""),"")</f>
        <v/>
      </c>
      <c r="W3863">
        <f>IF(AND(ISNUMBER('자료_거시'!$G3845),ISNUMBER('자료_거시'!$H3845)),'자료_거시'!$H3845,"")</f>
        <v/>
      </c>
      <c r="X3863">
        <f>IF(ISNUMBER(W3863),'자료_거시'!$G3845,"")</f>
        <v/>
      </c>
      <c r="Y3863">
        <f>IF(ISNUMBER(X3863),IF(X3863&gt;$L$7,W3863,""),"")</f>
        <v/>
      </c>
      <c r="Z3863">
        <f>IF(ISNUMBER('자료_거시'!$K3845),'자료_거시'!$K3845,Z3862)</f>
        <v/>
      </c>
      <c r="AA3863">
        <f>IF(AND(ISNUMBER('자료_거시'!$J3845),ISNUMBER('자료_거시'!$K3845)),IFERROR('자료_거시'!$K3845/INDEX($Z$21:$Z$4020,MATCH(EDATE('자료_거시'!$J3845,-'설정'!$B$17),'자료_거시'!$J$3:INDEX('자료_거시'!$J$3:$J$4002,$K$8),1))-1,""),"")</f>
        <v/>
      </c>
      <c r="AB3863">
        <f>IF(ISNUMBER(AA3863),'자료_거시'!$J3845,"")</f>
        <v/>
      </c>
      <c r="AC3863">
        <f>IF(ISNUMBER(AB3863),IF(AB3863&gt;$L$8,AA3863,""),"")</f>
        <v/>
      </c>
    </row>
    <row r="3864">
      <c r="S3864">
        <f>IF(ISNUMBER('자료_거시'!$E3846),'자료_거시'!$E3846,S3863)</f>
        <v/>
      </c>
      <c r="T3864">
        <f>IF(AND(ISNUMBER('자료_거시'!$D3846),ISNUMBER('자료_거시'!$E3846)),IFERROR('자료_거시'!$E3846-INDEX($S$21:$S$4020,MATCH(EDATE('자료_거시'!$D3846,-'설정'!$B$17),'자료_거시'!$D$3:INDEX('자료_거시'!$D$3:$D$4002,$K$6),1)),""),"")</f>
        <v/>
      </c>
      <c r="U3864">
        <f>IF(ISNUMBER(T3864),'자료_거시'!$D3846,"")</f>
        <v/>
      </c>
      <c r="V3864">
        <f>IF(ISNUMBER(U3864),IF(U3864&gt;$L$6,T3864,""),"")</f>
        <v/>
      </c>
      <c r="W3864">
        <f>IF(AND(ISNUMBER('자료_거시'!$G3846),ISNUMBER('자료_거시'!$H3846)),'자료_거시'!$H3846,"")</f>
        <v/>
      </c>
      <c r="X3864">
        <f>IF(ISNUMBER(W3864),'자료_거시'!$G3846,"")</f>
        <v/>
      </c>
      <c r="Y3864">
        <f>IF(ISNUMBER(X3864),IF(X3864&gt;$L$7,W3864,""),"")</f>
        <v/>
      </c>
      <c r="Z3864">
        <f>IF(ISNUMBER('자료_거시'!$K3846),'자료_거시'!$K3846,Z3863)</f>
        <v/>
      </c>
      <c r="AA3864">
        <f>IF(AND(ISNUMBER('자료_거시'!$J3846),ISNUMBER('자료_거시'!$K3846)),IFERROR('자료_거시'!$K3846/INDEX($Z$21:$Z$4020,MATCH(EDATE('자료_거시'!$J3846,-'설정'!$B$17),'자료_거시'!$J$3:INDEX('자료_거시'!$J$3:$J$4002,$K$8),1))-1,""),"")</f>
        <v/>
      </c>
      <c r="AB3864">
        <f>IF(ISNUMBER(AA3864),'자료_거시'!$J3846,"")</f>
        <v/>
      </c>
      <c r="AC3864">
        <f>IF(ISNUMBER(AB3864),IF(AB3864&gt;$L$8,AA3864,""),"")</f>
        <v/>
      </c>
    </row>
    <row r="3865">
      <c r="S3865">
        <f>IF(ISNUMBER('자료_거시'!$E3847),'자료_거시'!$E3847,S3864)</f>
        <v/>
      </c>
      <c r="T3865">
        <f>IF(AND(ISNUMBER('자료_거시'!$D3847),ISNUMBER('자료_거시'!$E3847)),IFERROR('자료_거시'!$E3847-INDEX($S$21:$S$4020,MATCH(EDATE('자료_거시'!$D3847,-'설정'!$B$17),'자료_거시'!$D$3:INDEX('자료_거시'!$D$3:$D$4002,$K$6),1)),""),"")</f>
        <v/>
      </c>
      <c r="U3865">
        <f>IF(ISNUMBER(T3865),'자료_거시'!$D3847,"")</f>
        <v/>
      </c>
      <c r="V3865">
        <f>IF(ISNUMBER(U3865),IF(U3865&gt;$L$6,T3865,""),"")</f>
        <v/>
      </c>
      <c r="W3865">
        <f>IF(AND(ISNUMBER('자료_거시'!$G3847),ISNUMBER('자료_거시'!$H3847)),'자료_거시'!$H3847,"")</f>
        <v/>
      </c>
      <c r="X3865">
        <f>IF(ISNUMBER(W3865),'자료_거시'!$G3847,"")</f>
        <v/>
      </c>
      <c r="Y3865">
        <f>IF(ISNUMBER(X3865),IF(X3865&gt;$L$7,W3865,""),"")</f>
        <v/>
      </c>
      <c r="Z3865">
        <f>IF(ISNUMBER('자료_거시'!$K3847),'자료_거시'!$K3847,Z3864)</f>
        <v/>
      </c>
      <c r="AA3865">
        <f>IF(AND(ISNUMBER('자료_거시'!$J3847),ISNUMBER('자료_거시'!$K3847)),IFERROR('자료_거시'!$K3847/INDEX($Z$21:$Z$4020,MATCH(EDATE('자료_거시'!$J3847,-'설정'!$B$17),'자료_거시'!$J$3:INDEX('자료_거시'!$J$3:$J$4002,$K$8),1))-1,""),"")</f>
        <v/>
      </c>
      <c r="AB3865">
        <f>IF(ISNUMBER(AA3865),'자료_거시'!$J3847,"")</f>
        <v/>
      </c>
      <c r="AC3865">
        <f>IF(ISNUMBER(AB3865),IF(AB3865&gt;$L$8,AA3865,""),"")</f>
        <v/>
      </c>
    </row>
    <row r="3866">
      <c r="S3866">
        <f>IF(ISNUMBER('자료_거시'!$E3848),'자료_거시'!$E3848,S3865)</f>
        <v/>
      </c>
      <c r="T3866">
        <f>IF(AND(ISNUMBER('자료_거시'!$D3848),ISNUMBER('자료_거시'!$E3848)),IFERROR('자료_거시'!$E3848-INDEX($S$21:$S$4020,MATCH(EDATE('자료_거시'!$D3848,-'설정'!$B$17),'자료_거시'!$D$3:INDEX('자료_거시'!$D$3:$D$4002,$K$6),1)),""),"")</f>
        <v/>
      </c>
      <c r="U3866">
        <f>IF(ISNUMBER(T3866),'자료_거시'!$D3848,"")</f>
        <v/>
      </c>
      <c r="V3866">
        <f>IF(ISNUMBER(U3866),IF(U3866&gt;$L$6,T3866,""),"")</f>
        <v/>
      </c>
      <c r="W3866">
        <f>IF(AND(ISNUMBER('자료_거시'!$G3848),ISNUMBER('자료_거시'!$H3848)),'자료_거시'!$H3848,"")</f>
        <v/>
      </c>
      <c r="X3866">
        <f>IF(ISNUMBER(W3866),'자료_거시'!$G3848,"")</f>
        <v/>
      </c>
      <c r="Y3866">
        <f>IF(ISNUMBER(X3866),IF(X3866&gt;$L$7,W3866,""),"")</f>
        <v/>
      </c>
      <c r="Z3866">
        <f>IF(ISNUMBER('자료_거시'!$K3848),'자료_거시'!$K3848,Z3865)</f>
        <v/>
      </c>
      <c r="AA3866">
        <f>IF(AND(ISNUMBER('자료_거시'!$J3848),ISNUMBER('자료_거시'!$K3848)),IFERROR('자료_거시'!$K3848/INDEX($Z$21:$Z$4020,MATCH(EDATE('자료_거시'!$J3848,-'설정'!$B$17),'자료_거시'!$J$3:INDEX('자료_거시'!$J$3:$J$4002,$K$8),1))-1,""),"")</f>
        <v/>
      </c>
      <c r="AB3866">
        <f>IF(ISNUMBER(AA3866),'자료_거시'!$J3848,"")</f>
        <v/>
      </c>
      <c r="AC3866">
        <f>IF(ISNUMBER(AB3866),IF(AB3866&gt;$L$8,AA3866,""),"")</f>
        <v/>
      </c>
    </row>
    <row r="3867">
      <c r="S3867">
        <f>IF(ISNUMBER('자료_거시'!$E3849),'자료_거시'!$E3849,S3866)</f>
        <v/>
      </c>
      <c r="T3867">
        <f>IF(AND(ISNUMBER('자료_거시'!$D3849),ISNUMBER('자료_거시'!$E3849)),IFERROR('자료_거시'!$E3849-INDEX($S$21:$S$4020,MATCH(EDATE('자료_거시'!$D3849,-'설정'!$B$17),'자료_거시'!$D$3:INDEX('자료_거시'!$D$3:$D$4002,$K$6),1)),""),"")</f>
        <v/>
      </c>
      <c r="U3867">
        <f>IF(ISNUMBER(T3867),'자료_거시'!$D3849,"")</f>
        <v/>
      </c>
      <c r="V3867">
        <f>IF(ISNUMBER(U3867),IF(U3867&gt;$L$6,T3867,""),"")</f>
        <v/>
      </c>
      <c r="W3867">
        <f>IF(AND(ISNUMBER('자료_거시'!$G3849),ISNUMBER('자료_거시'!$H3849)),'자료_거시'!$H3849,"")</f>
        <v/>
      </c>
      <c r="X3867">
        <f>IF(ISNUMBER(W3867),'자료_거시'!$G3849,"")</f>
        <v/>
      </c>
      <c r="Y3867">
        <f>IF(ISNUMBER(X3867),IF(X3867&gt;$L$7,W3867,""),"")</f>
        <v/>
      </c>
      <c r="Z3867">
        <f>IF(ISNUMBER('자료_거시'!$K3849),'자료_거시'!$K3849,Z3866)</f>
        <v/>
      </c>
      <c r="AA3867">
        <f>IF(AND(ISNUMBER('자료_거시'!$J3849),ISNUMBER('자료_거시'!$K3849)),IFERROR('자료_거시'!$K3849/INDEX($Z$21:$Z$4020,MATCH(EDATE('자료_거시'!$J3849,-'설정'!$B$17),'자료_거시'!$J$3:INDEX('자료_거시'!$J$3:$J$4002,$K$8),1))-1,""),"")</f>
        <v/>
      </c>
      <c r="AB3867">
        <f>IF(ISNUMBER(AA3867),'자료_거시'!$J3849,"")</f>
        <v/>
      </c>
      <c r="AC3867">
        <f>IF(ISNUMBER(AB3867),IF(AB3867&gt;$L$8,AA3867,""),"")</f>
        <v/>
      </c>
    </row>
    <row r="3868">
      <c r="S3868">
        <f>IF(ISNUMBER('자료_거시'!$E3850),'자료_거시'!$E3850,S3867)</f>
        <v/>
      </c>
      <c r="T3868">
        <f>IF(AND(ISNUMBER('자료_거시'!$D3850),ISNUMBER('자료_거시'!$E3850)),IFERROR('자료_거시'!$E3850-INDEX($S$21:$S$4020,MATCH(EDATE('자료_거시'!$D3850,-'설정'!$B$17),'자료_거시'!$D$3:INDEX('자료_거시'!$D$3:$D$4002,$K$6),1)),""),"")</f>
        <v/>
      </c>
      <c r="U3868">
        <f>IF(ISNUMBER(T3868),'자료_거시'!$D3850,"")</f>
        <v/>
      </c>
      <c r="V3868">
        <f>IF(ISNUMBER(U3868),IF(U3868&gt;$L$6,T3868,""),"")</f>
        <v/>
      </c>
      <c r="W3868">
        <f>IF(AND(ISNUMBER('자료_거시'!$G3850),ISNUMBER('자료_거시'!$H3850)),'자료_거시'!$H3850,"")</f>
        <v/>
      </c>
      <c r="X3868">
        <f>IF(ISNUMBER(W3868),'자료_거시'!$G3850,"")</f>
        <v/>
      </c>
      <c r="Y3868">
        <f>IF(ISNUMBER(X3868),IF(X3868&gt;$L$7,W3868,""),"")</f>
        <v/>
      </c>
      <c r="Z3868">
        <f>IF(ISNUMBER('자료_거시'!$K3850),'자료_거시'!$K3850,Z3867)</f>
        <v/>
      </c>
      <c r="AA3868">
        <f>IF(AND(ISNUMBER('자료_거시'!$J3850),ISNUMBER('자료_거시'!$K3850)),IFERROR('자료_거시'!$K3850/INDEX($Z$21:$Z$4020,MATCH(EDATE('자료_거시'!$J3850,-'설정'!$B$17),'자료_거시'!$J$3:INDEX('자료_거시'!$J$3:$J$4002,$K$8),1))-1,""),"")</f>
        <v/>
      </c>
      <c r="AB3868">
        <f>IF(ISNUMBER(AA3868),'자료_거시'!$J3850,"")</f>
        <v/>
      </c>
      <c r="AC3868">
        <f>IF(ISNUMBER(AB3868),IF(AB3868&gt;$L$8,AA3868,""),"")</f>
        <v/>
      </c>
    </row>
    <row r="3869">
      <c r="S3869">
        <f>IF(ISNUMBER('자료_거시'!$E3851),'자료_거시'!$E3851,S3868)</f>
        <v/>
      </c>
      <c r="T3869">
        <f>IF(AND(ISNUMBER('자료_거시'!$D3851),ISNUMBER('자료_거시'!$E3851)),IFERROR('자료_거시'!$E3851-INDEX($S$21:$S$4020,MATCH(EDATE('자료_거시'!$D3851,-'설정'!$B$17),'자료_거시'!$D$3:INDEX('자료_거시'!$D$3:$D$4002,$K$6),1)),""),"")</f>
        <v/>
      </c>
      <c r="U3869">
        <f>IF(ISNUMBER(T3869),'자료_거시'!$D3851,"")</f>
        <v/>
      </c>
      <c r="V3869">
        <f>IF(ISNUMBER(U3869),IF(U3869&gt;$L$6,T3869,""),"")</f>
        <v/>
      </c>
      <c r="W3869">
        <f>IF(AND(ISNUMBER('자료_거시'!$G3851),ISNUMBER('자료_거시'!$H3851)),'자료_거시'!$H3851,"")</f>
        <v/>
      </c>
      <c r="X3869">
        <f>IF(ISNUMBER(W3869),'자료_거시'!$G3851,"")</f>
        <v/>
      </c>
      <c r="Y3869">
        <f>IF(ISNUMBER(X3869),IF(X3869&gt;$L$7,W3869,""),"")</f>
        <v/>
      </c>
      <c r="Z3869">
        <f>IF(ISNUMBER('자료_거시'!$K3851),'자료_거시'!$K3851,Z3868)</f>
        <v/>
      </c>
      <c r="AA3869">
        <f>IF(AND(ISNUMBER('자료_거시'!$J3851),ISNUMBER('자료_거시'!$K3851)),IFERROR('자료_거시'!$K3851/INDEX($Z$21:$Z$4020,MATCH(EDATE('자료_거시'!$J3851,-'설정'!$B$17),'자료_거시'!$J$3:INDEX('자료_거시'!$J$3:$J$4002,$K$8),1))-1,""),"")</f>
        <v/>
      </c>
      <c r="AB3869">
        <f>IF(ISNUMBER(AA3869),'자료_거시'!$J3851,"")</f>
        <v/>
      </c>
      <c r="AC3869">
        <f>IF(ISNUMBER(AB3869),IF(AB3869&gt;$L$8,AA3869,""),"")</f>
        <v/>
      </c>
    </row>
    <row r="3870">
      <c r="S3870">
        <f>IF(ISNUMBER('자료_거시'!$E3852),'자료_거시'!$E3852,S3869)</f>
        <v/>
      </c>
      <c r="T3870">
        <f>IF(AND(ISNUMBER('자료_거시'!$D3852),ISNUMBER('자료_거시'!$E3852)),IFERROR('자료_거시'!$E3852-INDEX($S$21:$S$4020,MATCH(EDATE('자료_거시'!$D3852,-'설정'!$B$17),'자료_거시'!$D$3:INDEX('자료_거시'!$D$3:$D$4002,$K$6),1)),""),"")</f>
        <v/>
      </c>
      <c r="U3870">
        <f>IF(ISNUMBER(T3870),'자료_거시'!$D3852,"")</f>
        <v/>
      </c>
      <c r="V3870">
        <f>IF(ISNUMBER(U3870),IF(U3870&gt;$L$6,T3870,""),"")</f>
        <v/>
      </c>
      <c r="W3870">
        <f>IF(AND(ISNUMBER('자료_거시'!$G3852),ISNUMBER('자료_거시'!$H3852)),'자료_거시'!$H3852,"")</f>
        <v/>
      </c>
      <c r="X3870">
        <f>IF(ISNUMBER(W3870),'자료_거시'!$G3852,"")</f>
        <v/>
      </c>
      <c r="Y3870">
        <f>IF(ISNUMBER(X3870),IF(X3870&gt;$L$7,W3870,""),"")</f>
        <v/>
      </c>
      <c r="Z3870">
        <f>IF(ISNUMBER('자료_거시'!$K3852),'자료_거시'!$K3852,Z3869)</f>
        <v/>
      </c>
      <c r="AA3870">
        <f>IF(AND(ISNUMBER('자료_거시'!$J3852),ISNUMBER('자료_거시'!$K3852)),IFERROR('자료_거시'!$K3852/INDEX($Z$21:$Z$4020,MATCH(EDATE('자료_거시'!$J3852,-'설정'!$B$17),'자료_거시'!$J$3:INDEX('자료_거시'!$J$3:$J$4002,$K$8),1))-1,""),"")</f>
        <v/>
      </c>
      <c r="AB3870">
        <f>IF(ISNUMBER(AA3870),'자료_거시'!$J3852,"")</f>
        <v/>
      </c>
      <c r="AC3870">
        <f>IF(ISNUMBER(AB3870),IF(AB3870&gt;$L$8,AA3870,""),"")</f>
        <v/>
      </c>
    </row>
    <row r="3871">
      <c r="S3871">
        <f>IF(ISNUMBER('자료_거시'!$E3853),'자료_거시'!$E3853,S3870)</f>
        <v/>
      </c>
      <c r="T3871">
        <f>IF(AND(ISNUMBER('자료_거시'!$D3853),ISNUMBER('자료_거시'!$E3853)),IFERROR('자료_거시'!$E3853-INDEX($S$21:$S$4020,MATCH(EDATE('자료_거시'!$D3853,-'설정'!$B$17),'자료_거시'!$D$3:INDEX('자료_거시'!$D$3:$D$4002,$K$6),1)),""),"")</f>
        <v/>
      </c>
      <c r="U3871">
        <f>IF(ISNUMBER(T3871),'자료_거시'!$D3853,"")</f>
        <v/>
      </c>
      <c r="V3871">
        <f>IF(ISNUMBER(U3871),IF(U3871&gt;$L$6,T3871,""),"")</f>
        <v/>
      </c>
      <c r="W3871">
        <f>IF(AND(ISNUMBER('자료_거시'!$G3853),ISNUMBER('자료_거시'!$H3853)),'자료_거시'!$H3853,"")</f>
        <v/>
      </c>
      <c r="X3871">
        <f>IF(ISNUMBER(W3871),'자료_거시'!$G3853,"")</f>
        <v/>
      </c>
      <c r="Y3871">
        <f>IF(ISNUMBER(X3871),IF(X3871&gt;$L$7,W3871,""),"")</f>
        <v/>
      </c>
      <c r="Z3871">
        <f>IF(ISNUMBER('자료_거시'!$K3853),'자료_거시'!$K3853,Z3870)</f>
        <v/>
      </c>
      <c r="AA3871">
        <f>IF(AND(ISNUMBER('자료_거시'!$J3853),ISNUMBER('자료_거시'!$K3853)),IFERROR('자료_거시'!$K3853/INDEX($Z$21:$Z$4020,MATCH(EDATE('자료_거시'!$J3853,-'설정'!$B$17),'자료_거시'!$J$3:INDEX('자료_거시'!$J$3:$J$4002,$K$8),1))-1,""),"")</f>
        <v/>
      </c>
      <c r="AB3871">
        <f>IF(ISNUMBER(AA3871),'자료_거시'!$J3853,"")</f>
        <v/>
      </c>
      <c r="AC3871">
        <f>IF(ISNUMBER(AB3871),IF(AB3871&gt;$L$8,AA3871,""),"")</f>
        <v/>
      </c>
    </row>
    <row r="3872">
      <c r="S3872">
        <f>IF(ISNUMBER('자료_거시'!$E3854),'자료_거시'!$E3854,S3871)</f>
        <v/>
      </c>
      <c r="T3872">
        <f>IF(AND(ISNUMBER('자료_거시'!$D3854),ISNUMBER('자료_거시'!$E3854)),IFERROR('자료_거시'!$E3854-INDEX($S$21:$S$4020,MATCH(EDATE('자료_거시'!$D3854,-'설정'!$B$17),'자료_거시'!$D$3:INDEX('자료_거시'!$D$3:$D$4002,$K$6),1)),""),"")</f>
        <v/>
      </c>
      <c r="U3872">
        <f>IF(ISNUMBER(T3872),'자료_거시'!$D3854,"")</f>
        <v/>
      </c>
      <c r="V3872">
        <f>IF(ISNUMBER(U3872),IF(U3872&gt;$L$6,T3872,""),"")</f>
        <v/>
      </c>
      <c r="W3872">
        <f>IF(AND(ISNUMBER('자료_거시'!$G3854),ISNUMBER('자료_거시'!$H3854)),'자료_거시'!$H3854,"")</f>
        <v/>
      </c>
      <c r="X3872">
        <f>IF(ISNUMBER(W3872),'자료_거시'!$G3854,"")</f>
        <v/>
      </c>
      <c r="Y3872">
        <f>IF(ISNUMBER(X3872),IF(X3872&gt;$L$7,W3872,""),"")</f>
        <v/>
      </c>
      <c r="Z3872">
        <f>IF(ISNUMBER('자료_거시'!$K3854),'자료_거시'!$K3854,Z3871)</f>
        <v/>
      </c>
      <c r="AA3872">
        <f>IF(AND(ISNUMBER('자료_거시'!$J3854),ISNUMBER('자료_거시'!$K3854)),IFERROR('자료_거시'!$K3854/INDEX($Z$21:$Z$4020,MATCH(EDATE('자료_거시'!$J3854,-'설정'!$B$17),'자료_거시'!$J$3:INDEX('자료_거시'!$J$3:$J$4002,$K$8),1))-1,""),"")</f>
        <v/>
      </c>
      <c r="AB3872">
        <f>IF(ISNUMBER(AA3872),'자료_거시'!$J3854,"")</f>
        <v/>
      </c>
      <c r="AC3872">
        <f>IF(ISNUMBER(AB3872),IF(AB3872&gt;$L$8,AA3872,""),"")</f>
        <v/>
      </c>
    </row>
    <row r="3873">
      <c r="S3873">
        <f>IF(ISNUMBER('자료_거시'!$E3855),'자료_거시'!$E3855,S3872)</f>
        <v/>
      </c>
      <c r="T3873">
        <f>IF(AND(ISNUMBER('자료_거시'!$D3855),ISNUMBER('자료_거시'!$E3855)),IFERROR('자료_거시'!$E3855-INDEX($S$21:$S$4020,MATCH(EDATE('자료_거시'!$D3855,-'설정'!$B$17),'자료_거시'!$D$3:INDEX('자료_거시'!$D$3:$D$4002,$K$6),1)),""),"")</f>
        <v/>
      </c>
      <c r="U3873">
        <f>IF(ISNUMBER(T3873),'자료_거시'!$D3855,"")</f>
        <v/>
      </c>
      <c r="V3873">
        <f>IF(ISNUMBER(U3873),IF(U3873&gt;$L$6,T3873,""),"")</f>
        <v/>
      </c>
      <c r="W3873">
        <f>IF(AND(ISNUMBER('자료_거시'!$G3855),ISNUMBER('자료_거시'!$H3855)),'자료_거시'!$H3855,"")</f>
        <v/>
      </c>
      <c r="X3873">
        <f>IF(ISNUMBER(W3873),'자료_거시'!$G3855,"")</f>
        <v/>
      </c>
      <c r="Y3873">
        <f>IF(ISNUMBER(X3873),IF(X3873&gt;$L$7,W3873,""),"")</f>
        <v/>
      </c>
      <c r="Z3873">
        <f>IF(ISNUMBER('자료_거시'!$K3855),'자료_거시'!$K3855,Z3872)</f>
        <v/>
      </c>
      <c r="AA3873">
        <f>IF(AND(ISNUMBER('자료_거시'!$J3855),ISNUMBER('자료_거시'!$K3855)),IFERROR('자료_거시'!$K3855/INDEX($Z$21:$Z$4020,MATCH(EDATE('자료_거시'!$J3855,-'설정'!$B$17),'자료_거시'!$J$3:INDEX('자료_거시'!$J$3:$J$4002,$K$8),1))-1,""),"")</f>
        <v/>
      </c>
      <c r="AB3873">
        <f>IF(ISNUMBER(AA3873),'자료_거시'!$J3855,"")</f>
        <v/>
      </c>
      <c r="AC3873">
        <f>IF(ISNUMBER(AB3873),IF(AB3873&gt;$L$8,AA3873,""),"")</f>
        <v/>
      </c>
    </row>
    <row r="3874">
      <c r="S3874">
        <f>IF(ISNUMBER('자료_거시'!$E3856),'자료_거시'!$E3856,S3873)</f>
        <v/>
      </c>
      <c r="T3874">
        <f>IF(AND(ISNUMBER('자료_거시'!$D3856),ISNUMBER('자료_거시'!$E3856)),IFERROR('자료_거시'!$E3856-INDEX($S$21:$S$4020,MATCH(EDATE('자료_거시'!$D3856,-'설정'!$B$17),'자료_거시'!$D$3:INDEX('자료_거시'!$D$3:$D$4002,$K$6),1)),""),"")</f>
        <v/>
      </c>
      <c r="U3874">
        <f>IF(ISNUMBER(T3874),'자료_거시'!$D3856,"")</f>
        <v/>
      </c>
      <c r="V3874">
        <f>IF(ISNUMBER(U3874),IF(U3874&gt;$L$6,T3874,""),"")</f>
        <v/>
      </c>
      <c r="W3874">
        <f>IF(AND(ISNUMBER('자료_거시'!$G3856),ISNUMBER('자료_거시'!$H3856)),'자료_거시'!$H3856,"")</f>
        <v/>
      </c>
      <c r="X3874">
        <f>IF(ISNUMBER(W3874),'자료_거시'!$G3856,"")</f>
        <v/>
      </c>
      <c r="Y3874">
        <f>IF(ISNUMBER(X3874),IF(X3874&gt;$L$7,W3874,""),"")</f>
        <v/>
      </c>
      <c r="Z3874">
        <f>IF(ISNUMBER('자료_거시'!$K3856),'자료_거시'!$K3856,Z3873)</f>
        <v/>
      </c>
      <c r="AA3874">
        <f>IF(AND(ISNUMBER('자료_거시'!$J3856),ISNUMBER('자료_거시'!$K3856)),IFERROR('자료_거시'!$K3856/INDEX($Z$21:$Z$4020,MATCH(EDATE('자료_거시'!$J3856,-'설정'!$B$17),'자료_거시'!$J$3:INDEX('자료_거시'!$J$3:$J$4002,$K$8),1))-1,""),"")</f>
        <v/>
      </c>
      <c r="AB3874">
        <f>IF(ISNUMBER(AA3874),'자료_거시'!$J3856,"")</f>
        <v/>
      </c>
      <c r="AC3874">
        <f>IF(ISNUMBER(AB3874),IF(AB3874&gt;$L$8,AA3874,""),"")</f>
        <v/>
      </c>
    </row>
    <row r="3875">
      <c r="S3875">
        <f>IF(ISNUMBER('자료_거시'!$E3857),'자료_거시'!$E3857,S3874)</f>
        <v/>
      </c>
      <c r="T3875">
        <f>IF(AND(ISNUMBER('자료_거시'!$D3857),ISNUMBER('자료_거시'!$E3857)),IFERROR('자료_거시'!$E3857-INDEX($S$21:$S$4020,MATCH(EDATE('자료_거시'!$D3857,-'설정'!$B$17),'자료_거시'!$D$3:INDEX('자료_거시'!$D$3:$D$4002,$K$6),1)),""),"")</f>
        <v/>
      </c>
      <c r="U3875">
        <f>IF(ISNUMBER(T3875),'자료_거시'!$D3857,"")</f>
        <v/>
      </c>
      <c r="V3875">
        <f>IF(ISNUMBER(U3875),IF(U3875&gt;$L$6,T3875,""),"")</f>
        <v/>
      </c>
      <c r="W3875">
        <f>IF(AND(ISNUMBER('자료_거시'!$G3857),ISNUMBER('자료_거시'!$H3857)),'자료_거시'!$H3857,"")</f>
        <v/>
      </c>
      <c r="X3875">
        <f>IF(ISNUMBER(W3875),'자료_거시'!$G3857,"")</f>
        <v/>
      </c>
      <c r="Y3875">
        <f>IF(ISNUMBER(X3875),IF(X3875&gt;$L$7,W3875,""),"")</f>
        <v/>
      </c>
      <c r="Z3875">
        <f>IF(ISNUMBER('자료_거시'!$K3857),'자료_거시'!$K3857,Z3874)</f>
        <v/>
      </c>
      <c r="AA3875">
        <f>IF(AND(ISNUMBER('자료_거시'!$J3857),ISNUMBER('자료_거시'!$K3857)),IFERROR('자료_거시'!$K3857/INDEX($Z$21:$Z$4020,MATCH(EDATE('자료_거시'!$J3857,-'설정'!$B$17),'자료_거시'!$J$3:INDEX('자료_거시'!$J$3:$J$4002,$K$8),1))-1,""),"")</f>
        <v/>
      </c>
      <c r="AB3875">
        <f>IF(ISNUMBER(AA3875),'자료_거시'!$J3857,"")</f>
        <v/>
      </c>
      <c r="AC3875">
        <f>IF(ISNUMBER(AB3875),IF(AB3875&gt;$L$8,AA3875,""),"")</f>
        <v/>
      </c>
    </row>
    <row r="3876">
      <c r="S3876">
        <f>IF(ISNUMBER('자료_거시'!$E3858),'자료_거시'!$E3858,S3875)</f>
        <v/>
      </c>
      <c r="T3876">
        <f>IF(AND(ISNUMBER('자료_거시'!$D3858),ISNUMBER('자료_거시'!$E3858)),IFERROR('자료_거시'!$E3858-INDEX($S$21:$S$4020,MATCH(EDATE('자료_거시'!$D3858,-'설정'!$B$17),'자료_거시'!$D$3:INDEX('자료_거시'!$D$3:$D$4002,$K$6),1)),""),"")</f>
        <v/>
      </c>
      <c r="U3876">
        <f>IF(ISNUMBER(T3876),'자료_거시'!$D3858,"")</f>
        <v/>
      </c>
      <c r="V3876">
        <f>IF(ISNUMBER(U3876),IF(U3876&gt;$L$6,T3876,""),"")</f>
        <v/>
      </c>
      <c r="W3876">
        <f>IF(AND(ISNUMBER('자료_거시'!$G3858),ISNUMBER('자료_거시'!$H3858)),'자료_거시'!$H3858,"")</f>
        <v/>
      </c>
      <c r="X3876">
        <f>IF(ISNUMBER(W3876),'자료_거시'!$G3858,"")</f>
        <v/>
      </c>
      <c r="Y3876">
        <f>IF(ISNUMBER(X3876),IF(X3876&gt;$L$7,W3876,""),"")</f>
        <v/>
      </c>
      <c r="Z3876">
        <f>IF(ISNUMBER('자료_거시'!$K3858),'자료_거시'!$K3858,Z3875)</f>
        <v/>
      </c>
      <c r="AA3876">
        <f>IF(AND(ISNUMBER('자료_거시'!$J3858),ISNUMBER('자료_거시'!$K3858)),IFERROR('자료_거시'!$K3858/INDEX($Z$21:$Z$4020,MATCH(EDATE('자료_거시'!$J3858,-'설정'!$B$17),'자료_거시'!$J$3:INDEX('자료_거시'!$J$3:$J$4002,$K$8),1))-1,""),"")</f>
        <v/>
      </c>
      <c r="AB3876">
        <f>IF(ISNUMBER(AA3876),'자료_거시'!$J3858,"")</f>
        <v/>
      </c>
      <c r="AC3876">
        <f>IF(ISNUMBER(AB3876),IF(AB3876&gt;$L$8,AA3876,""),"")</f>
        <v/>
      </c>
    </row>
    <row r="3877">
      <c r="S3877">
        <f>IF(ISNUMBER('자료_거시'!$E3859),'자료_거시'!$E3859,S3876)</f>
        <v/>
      </c>
      <c r="T3877">
        <f>IF(AND(ISNUMBER('자료_거시'!$D3859),ISNUMBER('자료_거시'!$E3859)),IFERROR('자료_거시'!$E3859-INDEX($S$21:$S$4020,MATCH(EDATE('자료_거시'!$D3859,-'설정'!$B$17),'자료_거시'!$D$3:INDEX('자료_거시'!$D$3:$D$4002,$K$6),1)),""),"")</f>
        <v/>
      </c>
      <c r="U3877">
        <f>IF(ISNUMBER(T3877),'자료_거시'!$D3859,"")</f>
        <v/>
      </c>
      <c r="V3877">
        <f>IF(ISNUMBER(U3877),IF(U3877&gt;$L$6,T3877,""),"")</f>
        <v/>
      </c>
      <c r="W3877">
        <f>IF(AND(ISNUMBER('자료_거시'!$G3859),ISNUMBER('자료_거시'!$H3859)),'자료_거시'!$H3859,"")</f>
        <v/>
      </c>
      <c r="X3877">
        <f>IF(ISNUMBER(W3877),'자료_거시'!$G3859,"")</f>
        <v/>
      </c>
      <c r="Y3877">
        <f>IF(ISNUMBER(X3877),IF(X3877&gt;$L$7,W3877,""),"")</f>
        <v/>
      </c>
      <c r="Z3877">
        <f>IF(ISNUMBER('자료_거시'!$K3859),'자료_거시'!$K3859,Z3876)</f>
        <v/>
      </c>
      <c r="AA3877">
        <f>IF(AND(ISNUMBER('자료_거시'!$J3859),ISNUMBER('자료_거시'!$K3859)),IFERROR('자료_거시'!$K3859/INDEX($Z$21:$Z$4020,MATCH(EDATE('자료_거시'!$J3859,-'설정'!$B$17),'자료_거시'!$J$3:INDEX('자료_거시'!$J$3:$J$4002,$K$8),1))-1,""),"")</f>
        <v/>
      </c>
      <c r="AB3877">
        <f>IF(ISNUMBER(AA3877),'자료_거시'!$J3859,"")</f>
        <v/>
      </c>
      <c r="AC3877">
        <f>IF(ISNUMBER(AB3877),IF(AB3877&gt;$L$8,AA3877,""),"")</f>
        <v/>
      </c>
    </row>
    <row r="3878">
      <c r="S3878">
        <f>IF(ISNUMBER('자료_거시'!$E3860),'자료_거시'!$E3860,S3877)</f>
        <v/>
      </c>
      <c r="T3878">
        <f>IF(AND(ISNUMBER('자료_거시'!$D3860),ISNUMBER('자료_거시'!$E3860)),IFERROR('자료_거시'!$E3860-INDEX($S$21:$S$4020,MATCH(EDATE('자료_거시'!$D3860,-'설정'!$B$17),'자료_거시'!$D$3:INDEX('자료_거시'!$D$3:$D$4002,$K$6),1)),""),"")</f>
        <v/>
      </c>
      <c r="U3878">
        <f>IF(ISNUMBER(T3878),'자료_거시'!$D3860,"")</f>
        <v/>
      </c>
      <c r="V3878">
        <f>IF(ISNUMBER(U3878),IF(U3878&gt;$L$6,T3878,""),"")</f>
        <v/>
      </c>
      <c r="W3878">
        <f>IF(AND(ISNUMBER('자료_거시'!$G3860),ISNUMBER('자료_거시'!$H3860)),'자료_거시'!$H3860,"")</f>
        <v/>
      </c>
      <c r="X3878">
        <f>IF(ISNUMBER(W3878),'자료_거시'!$G3860,"")</f>
        <v/>
      </c>
      <c r="Y3878">
        <f>IF(ISNUMBER(X3878),IF(X3878&gt;$L$7,W3878,""),"")</f>
        <v/>
      </c>
      <c r="Z3878">
        <f>IF(ISNUMBER('자료_거시'!$K3860),'자료_거시'!$K3860,Z3877)</f>
        <v/>
      </c>
      <c r="AA3878">
        <f>IF(AND(ISNUMBER('자료_거시'!$J3860),ISNUMBER('자료_거시'!$K3860)),IFERROR('자료_거시'!$K3860/INDEX($Z$21:$Z$4020,MATCH(EDATE('자료_거시'!$J3860,-'설정'!$B$17),'자료_거시'!$J$3:INDEX('자료_거시'!$J$3:$J$4002,$K$8),1))-1,""),"")</f>
        <v/>
      </c>
      <c r="AB3878">
        <f>IF(ISNUMBER(AA3878),'자료_거시'!$J3860,"")</f>
        <v/>
      </c>
      <c r="AC3878">
        <f>IF(ISNUMBER(AB3878),IF(AB3878&gt;$L$8,AA3878,""),"")</f>
        <v/>
      </c>
    </row>
    <row r="3879">
      <c r="S3879">
        <f>IF(ISNUMBER('자료_거시'!$E3861),'자료_거시'!$E3861,S3878)</f>
        <v/>
      </c>
      <c r="T3879">
        <f>IF(AND(ISNUMBER('자료_거시'!$D3861),ISNUMBER('자료_거시'!$E3861)),IFERROR('자료_거시'!$E3861-INDEX($S$21:$S$4020,MATCH(EDATE('자료_거시'!$D3861,-'설정'!$B$17),'자료_거시'!$D$3:INDEX('자료_거시'!$D$3:$D$4002,$K$6),1)),""),"")</f>
        <v/>
      </c>
      <c r="U3879">
        <f>IF(ISNUMBER(T3879),'자료_거시'!$D3861,"")</f>
        <v/>
      </c>
      <c r="V3879">
        <f>IF(ISNUMBER(U3879),IF(U3879&gt;$L$6,T3879,""),"")</f>
        <v/>
      </c>
      <c r="W3879">
        <f>IF(AND(ISNUMBER('자료_거시'!$G3861),ISNUMBER('자료_거시'!$H3861)),'자료_거시'!$H3861,"")</f>
        <v/>
      </c>
      <c r="X3879">
        <f>IF(ISNUMBER(W3879),'자료_거시'!$G3861,"")</f>
        <v/>
      </c>
      <c r="Y3879">
        <f>IF(ISNUMBER(X3879),IF(X3879&gt;$L$7,W3879,""),"")</f>
        <v/>
      </c>
      <c r="Z3879">
        <f>IF(ISNUMBER('자료_거시'!$K3861),'자료_거시'!$K3861,Z3878)</f>
        <v/>
      </c>
      <c r="AA3879">
        <f>IF(AND(ISNUMBER('자료_거시'!$J3861),ISNUMBER('자료_거시'!$K3861)),IFERROR('자료_거시'!$K3861/INDEX($Z$21:$Z$4020,MATCH(EDATE('자료_거시'!$J3861,-'설정'!$B$17),'자료_거시'!$J$3:INDEX('자료_거시'!$J$3:$J$4002,$K$8),1))-1,""),"")</f>
        <v/>
      </c>
      <c r="AB3879">
        <f>IF(ISNUMBER(AA3879),'자료_거시'!$J3861,"")</f>
        <v/>
      </c>
      <c r="AC3879">
        <f>IF(ISNUMBER(AB3879),IF(AB3879&gt;$L$8,AA3879,""),"")</f>
        <v/>
      </c>
    </row>
    <row r="3880">
      <c r="S3880">
        <f>IF(ISNUMBER('자료_거시'!$E3862),'자료_거시'!$E3862,S3879)</f>
        <v/>
      </c>
      <c r="T3880">
        <f>IF(AND(ISNUMBER('자료_거시'!$D3862),ISNUMBER('자료_거시'!$E3862)),IFERROR('자료_거시'!$E3862-INDEX($S$21:$S$4020,MATCH(EDATE('자료_거시'!$D3862,-'설정'!$B$17),'자료_거시'!$D$3:INDEX('자료_거시'!$D$3:$D$4002,$K$6),1)),""),"")</f>
        <v/>
      </c>
      <c r="U3880">
        <f>IF(ISNUMBER(T3880),'자료_거시'!$D3862,"")</f>
        <v/>
      </c>
      <c r="V3880">
        <f>IF(ISNUMBER(U3880),IF(U3880&gt;$L$6,T3880,""),"")</f>
        <v/>
      </c>
      <c r="W3880">
        <f>IF(AND(ISNUMBER('자료_거시'!$G3862),ISNUMBER('자료_거시'!$H3862)),'자료_거시'!$H3862,"")</f>
        <v/>
      </c>
      <c r="X3880">
        <f>IF(ISNUMBER(W3880),'자료_거시'!$G3862,"")</f>
        <v/>
      </c>
      <c r="Y3880">
        <f>IF(ISNUMBER(X3880),IF(X3880&gt;$L$7,W3880,""),"")</f>
        <v/>
      </c>
      <c r="Z3880">
        <f>IF(ISNUMBER('자료_거시'!$K3862),'자료_거시'!$K3862,Z3879)</f>
        <v/>
      </c>
      <c r="AA3880">
        <f>IF(AND(ISNUMBER('자료_거시'!$J3862),ISNUMBER('자료_거시'!$K3862)),IFERROR('자료_거시'!$K3862/INDEX($Z$21:$Z$4020,MATCH(EDATE('자료_거시'!$J3862,-'설정'!$B$17),'자료_거시'!$J$3:INDEX('자료_거시'!$J$3:$J$4002,$K$8),1))-1,""),"")</f>
        <v/>
      </c>
      <c r="AB3880">
        <f>IF(ISNUMBER(AA3880),'자료_거시'!$J3862,"")</f>
        <v/>
      </c>
      <c r="AC3880">
        <f>IF(ISNUMBER(AB3880),IF(AB3880&gt;$L$8,AA3880,""),"")</f>
        <v/>
      </c>
    </row>
    <row r="3881">
      <c r="S3881">
        <f>IF(ISNUMBER('자료_거시'!$E3863),'자료_거시'!$E3863,S3880)</f>
        <v/>
      </c>
      <c r="T3881">
        <f>IF(AND(ISNUMBER('자료_거시'!$D3863),ISNUMBER('자료_거시'!$E3863)),IFERROR('자료_거시'!$E3863-INDEX($S$21:$S$4020,MATCH(EDATE('자료_거시'!$D3863,-'설정'!$B$17),'자료_거시'!$D$3:INDEX('자료_거시'!$D$3:$D$4002,$K$6),1)),""),"")</f>
        <v/>
      </c>
      <c r="U3881">
        <f>IF(ISNUMBER(T3881),'자료_거시'!$D3863,"")</f>
        <v/>
      </c>
      <c r="V3881">
        <f>IF(ISNUMBER(U3881),IF(U3881&gt;$L$6,T3881,""),"")</f>
        <v/>
      </c>
      <c r="W3881">
        <f>IF(AND(ISNUMBER('자료_거시'!$G3863),ISNUMBER('자료_거시'!$H3863)),'자료_거시'!$H3863,"")</f>
        <v/>
      </c>
      <c r="X3881">
        <f>IF(ISNUMBER(W3881),'자료_거시'!$G3863,"")</f>
        <v/>
      </c>
      <c r="Y3881">
        <f>IF(ISNUMBER(X3881),IF(X3881&gt;$L$7,W3881,""),"")</f>
        <v/>
      </c>
      <c r="Z3881">
        <f>IF(ISNUMBER('자료_거시'!$K3863),'자료_거시'!$K3863,Z3880)</f>
        <v/>
      </c>
      <c r="AA3881">
        <f>IF(AND(ISNUMBER('자료_거시'!$J3863),ISNUMBER('자료_거시'!$K3863)),IFERROR('자료_거시'!$K3863/INDEX($Z$21:$Z$4020,MATCH(EDATE('자료_거시'!$J3863,-'설정'!$B$17),'자료_거시'!$J$3:INDEX('자료_거시'!$J$3:$J$4002,$K$8),1))-1,""),"")</f>
        <v/>
      </c>
      <c r="AB3881">
        <f>IF(ISNUMBER(AA3881),'자료_거시'!$J3863,"")</f>
        <v/>
      </c>
      <c r="AC3881">
        <f>IF(ISNUMBER(AB3881),IF(AB3881&gt;$L$8,AA3881,""),"")</f>
        <v/>
      </c>
    </row>
    <row r="3882">
      <c r="S3882">
        <f>IF(ISNUMBER('자료_거시'!$E3864),'자료_거시'!$E3864,S3881)</f>
        <v/>
      </c>
      <c r="T3882">
        <f>IF(AND(ISNUMBER('자료_거시'!$D3864),ISNUMBER('자료_거시'!$E3864)),IFERROR('자료_거시'!$E3864-INDEX($S$21:$S$4020,MATCH(EDATE('자료_거시'!$D3864,-'설정'!$B$17),'자료_거시'!$D$3:INDEX('자료_거시'!$D$3:$D$4002,$K$6),1)),""),"")</f>
        <v/>
      </c>
      <c r="U3882">
        <f>IF(ISNUMBER(T3882),'자료_거시'!$D3864,"")</f>
        <v/>
      </c>
      <c r="V3882">
        <f>IF(ISNUMBER(U3882),IF(U3882&gt;$L$6,T3882,""),"")</f>
        <v/>
      </c>
      <c r="W3882">
        <f>IF(AND(ISNUMBER('자료_거시'!$G3864),ISNUMBER('자료_거시'!$H3864)),'자료_거시'!$H3864,"")</f>
        <v/>
      </c>
      <c r="X3882">
        <f>IF(ISNUMBER(W3882),'자료_거시'!$G3864,"")</f>
        <v/>
      </c>
      <c r="Y3882">
        <f>IF(ISNUMBER(X3882),IF(X3882&gt;$L$7,W3882,""),"")</f>
        <v/>
      </c>
      <c r="Z3882">
        <f>IF(ISNUMBER('자료_거시'!$K3864),'자료_거시'!$K3864,Z3881)</f>
        <v/>
      </c>
      <c r="AA3882">
        <f>IF(AND(ISNUMBER('자료_거시'!$J3864),ISNUMBER('자료_거시'!$K3864)),IFERROR('자료_거시'!$K3864/INDEX($Z$21:$Z$4020,MATCH(EDATE('자료_거시'!$J3864,-'설정'!$B$17),'자료_거시'!$J$3:INDEX('자료_거시'!$J$3:$J$4002,$K$8),1))-1,""),"")</f>
        <v/>
      </c>
      <c r="AB3882">
        <f>IF(ISNUMBER(AA3882),'자료_거시'!$J3864,"")</f>
        <v/>
      </c>
      <c r="AC3882">
        <f>IF(ISNUMBER(AB3882),IF(AB3882&gt;$L$8,AA3882,""),"")</f>
        <v/>
      </c>
    </row>
    <row r="3883">
      <c r="S3883">
        <f>IF(ISNUMBER('자료_거시'!$E3865),'자료_거시'!$E3865,S3882)</f>
        <v/>
      </c>
      <c r="T3883">
        <f>IF(AND(ISNUMBER('자료_거시'!$D3865),ISNUMBER('자료_거시'!$E3865)),IFERROR('자료_거시'!$E3865-INDEX($S$21:$S$4020,MATCH(EDATE('자료_거시'!$D3865,-'설정'!$B$17),'자료_거시'!$D$3:INDEX('자료_거시'!$D$3:$D$4002,$K$6),1)),""),"")</f>
        <v/>
      </c>
      <c r="U3883">
        <f>IF(ISNUMBER(T3883),'자료_거시'!$D3865,"")</f>
        <v/>
      </c>
      <c r="V3883">
        <f>IF(ISNUMBER(U3883),IF(U3883&gt;$L$6,T3883,""),"")</f>
        <v/>
      </c>
      <c r="W3883">
        <f>IF(AND(ISNUMBER('자료_거시'!$G3865),ISNUMBER('자료_거시'!$H3865)),'자료_거시'!$H3865,"")</f>
        <v/>
      </c>
      <c r="X3883">
        <f>IF(ISNUMBER(W3883),'자료_거시'!$G3865,"")</f>
        <v/>
      </c>
      <c r="Y3883">
        <f>IF(ISNUMBER(X3883),IF(X3883&gt;$L$7,W3883,""),"")</f>
        <v/>
      </c>
      <c r="Z3883">
        <f>IF(ISNUMBER('자료_거시'!$K3865),'자료_거시'!$K3865,Z3882)</f>
        <v/>
      </c>
      <c r="AA3883">
        <f>IF(AND(ISNUMBER('자료_거시'!$J3865),ISNUMBER('자료_거시'!$K3865)),IFERROR('자료_거시'!$K3865/INDEX($Z$21:$Z$4020,MATCH(EDATE('자료_거시'!$J3865,-'설정'!$B$17),'자료_거시'!$J$3:INDEX('자료_거시'!$J$3:$J$4002,$K$8),1))-1,""),"")</f>
        <v/>
      </c>
      <c r="AB3883">
        <f>IF(ISNUMBER(AA3883),'자료_거시'!$J3865,"")</f>
        <v/>
      </c>
      <c r="AC3883">
        <f>IF(ISNUMBER(AB3883),IF(AB3883&gt;$L$8,AA3883,""),"")</f>
        <v/>
      </c>
    </row>
    <row r="3884">
      <c r="S3884">
        <f>IF(ISNUMBER('자료_거시'!$E3866),'자료_거시'!$E3866,S3883)</f>
        <v/>
      </c>
      <c r="T3884">
        <f>IF(AND(ISNUMBER('자료_거시'!$D3866),ISNUMBER('자료_거시'!$E3866)),IFERROR('자료_거시'!$E3866-INDEX($S$21:$S$4020,MATCH(EDATE('자료_거시'!$D3866,-'설정'!$B$17),'자료_거시'!$D$3:INDEX('자료_거시'!$D$3:$D$4002,$K$6),1)),""),"")</f>
        <v/>
      </c>
      <c r="U3884">
        <f>IF(ISNUMBER(T3884),'자료_거시'!$D3866,"")</f>
        <v/>
      </c>
      <c r="V3884">
        <f>IF(ISNUMBER(U3884),IF(U3884&gt;$L$6,T3884,""),"")</f>
        <v/>
      </c>
      <c r="W3884">
        <f>IF(AND(ISNUMBER('자료_거시'!$G3866),ISNUMBER('자료_거시'!$H3866)),'자료_거시'!$H3866,"")</f>
        <v/>
      </c>
      <c r="X3884">
        <f>IF(ISNUMBER(W3884),'자료_거시'!$G3866,"")</f>
        <v/>
      </c>
      <c r="Y3884">
        <f>IF(ISNUMBER(X3884),IF(X3884&gt;$L$7,W3884,""),"")</f>
        <v/>
      </c>
      <c r="Z3884">
        <f>IF(ISNUMBER('자료_거시'!$K3866),'자료_거시'!$K3866,Z3883)</f>
        <v/>
      </c>
      <c r="AA3884">
        <f>IF(AND(ISNUMBER('자료_거시'!$J3866),ISNUMBER('자료_거시'!$K3866)),IFERROR('자료_거시'!$K3866/INDEX($Z$21:$Z$4020,MATCH(EDATE('자료_거시'!$J3866,-'설정'!$B$17),'자료_거시'!$J$3:INDEX('자료_거시'!$J$3:$J$4002,$K$8),1))-1,""),"")</f>
        <v/>
      </c>
      <c r="AB3884">
        <f>IF(ISNUMBER(AA3884),'자료_거시'!$J3866,"")</f>
        <v/>
      </c>
      <c r="AC3884">
        <f>IF(ISNUMBER(AB3884),IF(AB3884&gt;$L$8,AA3884,""),"")</f>
        <v/>
      </c>
    </row>
    <row r="3885">
      <c r="S3885">
        <f>IF(ISNUMBER('자료_거시'!$E3867),'자료_거시'!$E3867,S3884)</f>
        <v/>
      </c>
      <c r="T3885">
        <f>IF(AND(ISNUMBER('자료_거시'!$D3867),ISNUMBER('자료_거시'!$E3867)),IFERROR('자료_거시'!$E3867-INDEX($S$21:$S$4020,MATCH(EDATE('자료_거시'!$D3867,-'설정'!$B$17),'자료_거시'!$D$3:INDEX('자료_거시'!$D$3:$D$4002,$K$6),1)),""),"")</f>
        <v/>
      </c>
      <c r="U3885">
        <f>IF(ISNUMBER(T3885),'자료_거시'!$D3867,"")</f>
        <v/>
      </c>
      <c r="V3885">
        <f>IF(ISNUMBER(U3885),IF(U3885&gt;$L$6,T3885,""),"")</f>
        <v/>
      </c>
      <c r="W3885">
        <f>IF(AND(ISNUMBER('자료_거시'!$G3867),ISNUMBER('자료_거시'!$H3867)),'자료_거시'!$H3867,"")</f>
        <v/>
      </c>
      <c r="X3885">
        <f>IF(ISNUMBER(W3885),'자료_거시'!$G3867,"")</f>
        <v/>
      </c>
      <c r="Y3885">
        <f>IF(ISNUMBER(X3885),IF(X3885&gt;$L$7,W3885,""),"")</f>
        <v/>
      </c>
      <c r="Z3885">
        <f>IF(ISNUMBER('자료_거시'!$K3867),'자료_거시'!$K3867,Z3884)</f>
        <v/>
      </c>
      <c r="AA3885">
        <f>IF(AND(ISNUMBER('자료_거시'!$J3867),ISNUMBER('자료_거시'!$K3867)),IFERROR('자료_거시'!$K3867/INDEX($Z$21:$Z$4020,MATCH(EDATE('자료_거시'!$J3867,-'설정'!$B$17),'자료_거시'!$J$3:INDEX('자료_거시'!$J$3:$J$4002,$K$8),1))-1,""),"")</f>
        <v/>
      </c>
      <c r="AB3885">
        <f>IF(ISNUMBER(AA3885),'자료_거시'!$J3867,"")</f>
        <v/>
      </c>
      <c r="AC3885">
        <f>IF(ISNUMBER(AB3885),IF(AB3885&gt;$L$8,AA3885,""),"")</f>
        <v/>
      </c>
    </row>
    <row r="3886">
      <c r="S3886">
        <f>IF(ISNUMBER('자료_거시'!$E3868),'자료_거시'!$E3868,S3885)</f>
        <v/>
      </c>
      <c r="T3886">
        <f>IF(AND(ISNUMBER('자료_거시'!$D3868),ISNUMBER('자료_거시'!$E3868)),IFERROR('자료_거시'!$E3868-INDEX($S$21:$S$4020,MATCH(EDATE('자료_거시'!$D3868,-'설정'!$B$17),'자료_거시'!$D$3:INDEX('자료_거시'!$D$3:$D$4002,$K$6),1)),""),"")</f>
        <v/>
      </c>
      <c r="U3886">
        <f>IF(ISNUMBER(T3886),'자료_거시'!$D3868,"")</f>
        <v/>
      </c>
      <c r="V3886">
        <f>IF(ISNUMBER(U3886),IF(U3886&gt;$L$6,T3886,""),"")</f>
        <v/>
      </c>
      <c r="W3886">
        <f>IF(AND(ISNUMBER('자료_거시'!$G3868),ISNUMBER('자료_거시'!$H3868)),'자료_거시'!$H3868,"")</f>
        <v/>
      </c>
      <c r="X3886">
        <f>IF(ISNUMBER(W3886),'자료_거시'!$G3868,"")</f>
        <v/>
      </c>
      <c r="Y3886">
        <f>IF(ISNUMBER(X3886),IF(X3886&gt;$L$7,W3886,""),"")</f>
        <v/>
      </c>
      <c r="Z3886">
        <f>IF(ISNUMBER('자료_거시'!$K3868),'자료_거시'!$K3868,Z3885)</f>
        <v/>
      </c>
      <c r="AA3886">
        <f>IF(AND(ISNUMBER('자료_거시'!$J3868),ISNUMBER('자료_거시'!$K3868)),IFERROR('자료_거시'!$K3868/INDEX($Z$21:$Z$4020,MATCH(EDATE('자료_거시'!$J3868,-'설정'!$B$17),'자료_거시'!$J$3:INDEX('자료_거시'!$J$3:$J$4002,$K$8),1))-1,""),"")</f>
        <v/>
      </c>
      <c r="AB3886">
        <f>IF(ISNUMBER(AA3886),'자료_거시'!$J3868,"")</f>
        <v/>
      </c>
      <c r="AC3886">
        <f>IF(ISNUMBER(AB3886),IF(AB3886&gt;$L$8,AA3886,""),"")</f>
        <v/>
      </c>
    </row>
    <row r="3887">
      <c r="S3887">
        <f>IF(ISNUMBER('자료_거시'!$E3869),'자료_거시'!$E3869,S3886)</f>
        <v/>
      </c>
      <c r="T3887">
        <f>IF(AND(ISNUMBER('자료_거시'!$D3869),ISNUMBER('자료_거시'!$E3869)),IFERROR('자료_거시'!$E3869-INDEX($S$21:$S$4020,MATCH(EDATE('자료_거시'!$D3869,-'설정'!$B$17),'자료_거시'!$D$3:INDEX('자료_거시'!$D$3:$D$4002,$K$6),1)),""),"")</f>
        <v/>
      </c>
      <c r="U3887">
        <f>IF(ISNUMBER(T3887),'자료_거시'!$D3869,"")</f>
        <v/>
      </c>
      <c r="V3887">
        <f>IF(ISNUMBER(U3887),IF(U3887&gt;$L$6,T3887,""),"")</f>
        <v/>
      </c>
      <c r="W3887">
        <f>IF(AND(ISNUMBER('자료_거시'!$G3869),ISNUMBER('자료_거시'!$H3869)),'자료_거시'!$H3869,"")</f>
        <v/>
      </c>
      <c r="X3887">
        <f>IF(ISNUMBER(W3887),'자료_거시'!$G3869,"")</f>
        <v/>
      </c>
      <c r="Y3887">
        <f>IF(ISNUMBER(X3887),IF(X3887&gt;$L$7,W3887,""),"")</f>
        <v/>
      </c>
      <c r="Z3887">
        <f>IF(ISNUMBER('자료_거시'!$K3869),'자료_거시'!$K3869,Z3886)</f>
        <v/>
      </c>
      <c r="AA3887">
        <f>IF(AND(ISNUMBER('자료_거시'!$J3869),ISNUMBER('자료_거시'!$K3869)),IFERROR('자료_거시'!$K3869/INDEX($Z$21:$Z$4020,MATCH(EDATE('자료_거시'!$J3869,-'설정'!$B$17),'자료_거시'!$J$3:INDEX('자료_거시'!$J$3:$J$4002,$K$8),1))-1,""),"")</f>
        <v/>
      </c>
      <c r="AB3887">
        <f>IF(ISNUMBER(AA3887),'자료_거시'!$J3869,"")</f>
        <v/>
      </c>
      <c r="AC3887">
        <f>IF(ISNUMBER(AB3887),IF(AB3887&gt;$L$8,AA3887,""),"")</f>
        <v/>
      </c>
    </row>
    <row r="3888">
      <c r="S3888">
        <f>IF(ISNUMBER('자료_거시'!$E3870),'자료_거시'!$E3870,S3887)</f>
        <v/>
      </c>
      <c r="T3888">
        <f>IF(AND(ISNUMBER('자료_거시'!$D3870),ISNUMBER('자료_거시'!$E3870)),IFERROR('자료_거시'!$E3870-INDEX($S$21:$S$4020,MATCH(EDATE('자료_거시'!$D3870,-'설정'!$B$17),'자료_거시'!$D$3:INDEX('자료_거시'!$D$3:$D$4002,$K$6),1)),""),"")</f>
        <v/>
      </c>
      <c r="U3888">
        <f>IF(ISNUMBER(T3888),'자료_거시'!$D3870,"")</f>
        <v/>
      </c>
      <c r="V3888">
        <f>IF(ISNUMBER(U3888),IF(U3888&gt;$L$6,T3888,""),"")</f>
        <v/>
      </c>
      <c r="W3888">
        <f>IF(AND(ISNUMBER('자료_거시'!$G3870),ISNUMBER('자료_거시'!$H3870)),'자료_거시'!$H3870,"")</f>
        <v/>
      </c>
      <c r="X3888">
        <f>IF(ISNUMBER(W3888),'자료_거시'!$G3870,"")</f>
        <v/>
      </c>
      <c r="Y3888">
        <f>IF(ISNUMBER(X3888),IF(X3888&gt;$L$7,W3888,""),"")</f>
        <v/>
      </c>
      <c r="Z3888">
        <f>IF(ISNUMBER('자료_거시'!$K3870),'자료_거시'!$K3870,Z3887)</f>
        <v/>
      </c>
      <c r="AA3888">
        <f>IF(AND(ISNUMBER('자료_거시'!$J3870),ISNUMBER('자료_거시'!$K3870)),IFERROR('자료_거시'!$K3870/INDEX($Z$21:$Z$4020,MATCH(EDATE('자료_거시'!$J3870,-'설정'!$B$17),'자료_거시'!$J$3:INDEX('자료_거시'!$J$3:$J$4002,$K$8),1))-1,""),"")</f>
        <v/>
      </c>
      <c r="AB3888">
        <f>IF(ISNUMBER(AA3888),'자료_거시'!$J3870,"")</f>
        <v/>
      </c>
      <c r="AC3888">
        <f>IF(ISNUMBER(AB3888),IF(AB3888&gt;$L$8,AA3888,""),"")</f>
        <v/>
      </c>
    </row>
    <row r="3889">
      <c r="S3889">
        <f>IF(ISNUMBER('자료_거시'!$E3871),'자료_거시'!$E3871,S3888)</f>
        <v/>
      </c>
      <c r="T3889">
        <f>IF(AND(ISNUMBER('자료_거시'!$D3871),ISNUMBER('자료_거시'!$E3871)),IFERROR('자료_거시'!$E3871-INDEX($S$21:$S$4020,MATCH(EDATE('자료_거시'!$D3871,-'설정'!$B$17),'자료_거시'!$D$3:INDEX('자료_거시'!$D$3:$D$4002,$K$6),1)),""),"")</f>
        <v/>
      </c>
      <c r="U3889">
        <f>IF(ISNUMBER(T3889),'자료_거시'!$D3871,"")</f>
        <v/>
      </c>
      <c r="V3889">
        <f>IF(ISNUMBER(U3889),IF(U3889&gt;$L$6,T3889,""),"")</f>
        <v/>
      </c>
      <c r="W3889">
        <f>IF(AND(ISNUMBER('자료_거시'!$G3871),ISNUMBER('자료_거시'!$H3871)),'자료_거시'!$H3871,"")</f>
        <v/>
      </c>
      <c r="X3889">
        <f>IF(ISNUMBER(W3889),'자료_거시'!$G3871,"")</f>
        <v/>
      </c>
      <c r="Y3889">
        <f>IF(ISNUMBER(X3889),IF(X3889&gt;$L$7,W3889,""),"")</f>
        <v/>
      </c>
      <c r="Z3889">
        <f>IF(ISNUMBER('자료_거시'!$K3871),'자료_거시'!$K3871,Z3888)</f>
        <v/>
      </c>
      <c r="AA3889">
        <f>IF(AND(ISNUMBER('자료_거시'!$J3871),ISNUMBER('자료_거시'!$K3871)),IFERROR('자료_거시'!$K3871/INDEX($Z$21:$Z$4020,MATCH(EDATE('자료_거시'!$J3871,-'설정'!$B$17),'자료_거시'!$J$3:INDEX('자료_거시'!$J$3:$J$4002,$K$8),1))-1,""),"")</f>
        <v/>
      </c>
      <c r="AB3889">
        <f>IF(ISNUMBER(AA3889),'자료_거시'!$J3871,"")</f>
        <v/>
      </c>
      <c r="AC3889">
        <f>IF(ISNUMBER(AB3889),IF(AB3889&gt;$L$8,AA3889,""),"")</f>
        <v/>
      </c>
    </row>
    <row r="3890">
      <c r="S3890">
        <f>IF(ISNUMBER('자료_거시'!$E3872),'자료_거시'!$E3872,S3889)</f>
        <v/>
      </c>
      <c r="T3890">
        <f>IF(AND(ISNUMBER('자료_거시'!$D3872),ISNUMBER('자료_거시'!$E3872)),IFERROR('자료_거시'!$E3872-INDEX($S$21:$S$4020,MATCH(EDATE('자료_거시'!$D3872,-'설정'!$B$17),'자료_거시'!$D$3:INDEX('자료_거시'!$D$3:$D$4002,$K$6),1)),""),"")</f>
        <v/>
      </c>
      <c r="U3890">
        <f>IF(ISNUMBER(T3890),'자료_거시'!$D3872,"")</f>
        <v/>
      </c>
      <c r="V3890">
        <f>IF(ISNUMBER(U3890),IF(U3890&gt;$L$6,T3890,""),"")</f>
        <v/>
      </c>
      <c r="W3890">
        <f>IF(AND(ISNUMBER('자료_거시'!$G3872),ISNUMBER('자료_거시'!$H3872)),'자료_거시'!$H3872,"")</f>
        <v/>
      </c>
      <c r="X3890">
        <f>IF(ISNUMBER(W3890),'자료_거시'!$G3872,"")</f>
        <v/>
      </c>
      <c r="Y3890">
        <f>IF(ISNUMBER(X3890),IF(X3890&gt;$L$7,W3890,""),"")</f>
        <v/>
      </c>
      <c r="Z3890">
        <f>IF(ISNUMBER('자료_거시'!$K3872),'자료_거시'!$K3872,Z3889)</f>
        <v/>
      </c>
      <c r="AA3890">
        <f>IF(AND(ISNUMBER('자료_거시'!$J3872),ISNUMBER('자료_거시'!$K3872)),IFERROR('자료_거시'!$K3872/INDEX($Z$21:$Z$4020,MATCH(EDATE('자료_거시'!$J3872,-'설정'!$B$17),'자료_거시'!$J$3:INDEX('자료_거시'!$J$3:$J$4002,$K$8),1))-1,""),"")</f>
        <v/>
      </c>
      <c r="AB3890">
        <f>IF(ISNUMBER(AA3890),'자료_거시'!$J3872,"")</f>
        <v/>
      </c>
      <c r="AC3890">
        <f>IF(ISNUMBER(AB3890),IF(AB3890&gt;$L$8,AA3890,""),"")</f>
        <v/>
      </c>
    </row>
    <row r="3891">
      <c r="S3891">
        <f>IF(ISNUMBER('자료_거시'!$E3873),'자료_거시'!$E3873,S3890)</f>
        <v/>
      </c>
      <c r="T3891">
        <f>IF(AND(ISNUMBER('자료_거시'!$D3873),ISNUMBER('자료_거시'!$E3873)),IFERROR('자료_거시'!$E3873-INDEX($S$21:$S$4020,MATCH(EDATE('자료_거시'!$D3873,-'설정'!$B$17),'자료_거시'!$D$3:INDEX('자료_거시'!$D$3:$D$4002,$K$6),1)),""),"")</f>
        <v/>
      </c>
      <c r="U3891">
        <f>IF(ISNUMBER(T3891),'자료_거시'!$D3873,"")</f>
        <v/>
      </c>
      <c r="V3891">
        <f>IF(ISNUMBER(U3891),IF(U3891&gt;$L$6,T3891,""),"")</f>
        <v/>
      </c>
      <c r="W3891">
        <f>IF(AND(ISNUMBER('자료_거시'!$G3873),ISNUMBER('자료_거시'!$H3873)),'자료_거시'!$H3873,"")</f>
        <v/>
      </c>
      <c r="X3891">
        <f>IF(ISNUMBER(W3891),'자료_거시'!$G3873,"")</f>
        <v/>
      </c>
      <c r="Y3891">
        <f>IF(ISNUMBER(X3891),IF(X3891&gt;$L$7,W3891,""),"")</f>
        <v/>
      </c>
      <c r="Z3891">
        <f>IF(ISNUMBER('자료_거시'!$K3873),'자료_거시'!$K3873,Z3890)</f>
        <v/>
      </c>
      <c r="AA3891">
        <f>IF(AND(ISNUMBER('자료_거시'!$J3873),ISNUMBER('자료_거시'!$K3873)),IFERROR('자료_거시'!$K3873/INDEX($Z$21:$Z$4020,MATCH(EDATE('자료_거시'!$J3873,-'설정'!$B$17),'자료_거시'!$J$3:INDEX('자료_거시'!$J$3:$J$4002,$K$8),1))-1,""),"")</f>
        <v/>
      </c>
      <c r="AB3891">
        <f>IF(ISNUMBER(AA3891),'자료_거시'!$J3873,"")</f>
        <v/>
      </c>
      <c r="AC3891">
        <f>IF(ISNUMBER(AB3891),IF(AB3891&gt;$L$8,AA3891,""),"")</f>
        <v/>
      </c>
    </row>
    <row r="3892">
      <c r="S3892">
        <f>IF(ISNUMBER('자료_거시'!$E3874),'자료_거시'!$E3874,S3891)</f>
        <v/>
      </c>
      <c r="T3892">
        <f>IF(AND(ISNUMBER('자료_거시'!$D3874),ISNUMBER('자료_거시'!$E3874)),IFERROR('자료_거시'!$E3874-INDEX($S$21:$S$4020,MATCH(EDATE('자료_거시'!$D3874,-'설정'!$B$17),'자료_거시'!$D$3:INDEX('자료_거시'!$D$3:$D$4002,$K$6),1)),""),"")</f>
        <v/>
      </c>
      <c r="U3892">
        <f>IF(ISNUMBER(T3892),'자료_거시'!$D3874,"")</f>
        <v/>
      </c>
      <c r="V3892">
        <f>IF(ISNUMBER(U3892),IF(U3892&gt;$L$6,T3892,""),"")</f>
        <v/>
      </c>
      <c r="W3892">
        <f>IF(AND(ISNUMBER('자료_거시'!$G3874),ISNUMBER('자료_거시'!$H3874)),'자료_거시'!$H3874,"")</f>
        <v/>
      </c>
      <c r="X3892">
        <f>IF(ISNUMBER(W3892),'자료_거시'!$G3874,"")</f>
        <v/>
      </c>
      <c r="Y3892">
        <f>IF(ISNUMBER(X3892),IF(X3892&gt;$L$7,W3892,""),"")</f>
        <v/>
      </c>
      <c r="Z3892">
        <f>IF(ISNUMBER('자료_거시'!$K3874),'자료_거시'!$K3874,Z3891)</f>
        <v/>
      </c>
      <c r="AA3892">
        <f>IF(AND(ISNUMBER('자료_거시'!$J3874),ISNUMBER('자료_거시'!$K3874)),IFERROR('자료_거시'!$K3874/INDEX($Z$21:$Z$4020,MATCH(EDATE('자료_거시'!$J3874,-'설정'!$B$17),'자료_거시'!$J$3:INDEX('자료_거시'!$J$3:$J$4002,$K$8),1))-1,""),"")</f>
        <v/>
      </c>
      <c r="AB3892">
        <f>IF(ISNUMBER(AA3892),'자료_거시'!$J3874,"")</f>
        <v/>
      </c>
      <c r="AC3892">
        <f>IF(ISNUMBER(AB3892),IF(AB3892&gt;$L$8,AA3892,""),"")</f>
        <v/>
      </c>
    </row>
    <row r="3893">
      <c r="S3893">
        <f>IF(ISNUMBER('자료_거시'!$E3875),'자료_거시'!$E3875,S3892)</f>
        <v/>
      </c>
      <c r="T3893">
        <f>IF(AND(ISNUMBER('자료_거시'!$D3875),ISNUMBER('자료_거시'!$E3875)),IFERROR('자료_거시'!$E3875-INDEX($S$21:$S$4020,MATCH(EDATE('자료_거시'!$D3875,-'설정'!$B$17),'자료_거시'!$D$3:INDEX('자료_거시'!$D$3:$D$4002,$K$6),1)),""),"")</f>
        <v/>
      </c>
      <c r="U3893">
        <f>IF(ISNUMBER(T3893),'자료_거시'!$D3875,"")</f>
        <v/>
      </c>
      <c r="V3893">
        <f>IF(ISNUMBER(U3893),IF(U3893&gt;$L$6,T3893,""),"")</f>
        <v/>
      </c>
      <c r="W3893">
        <f>IF(AND(ISNUMBER('자료_거시'!$G3875),ISNUMBER('자료_거시'!$H3875)),'자료_거시'!$H3875,"")</f>
        <v/>
      </c>
      <c r="X3893">
        <f>IF(ISNUMBER(W3893),'자료_거시'!$G3875,"")</f>
        <v/>
      </c>
      <c r="Y3893">
        <f>IF(ISNUMBER(X3893),IF(X3893&gt;$L$7,W3893,""),"")</f>
        <v/>
      </c>
      <c r="Z3893">
        <f>IF(ISNUMBER('자료_거시'!$K3875),'자료_거시'!$K3875,Z3892)</f>
        <v/>
      </c>
      <c r="AA3893">
        <f>IF(AND(ISNUMBER('자료_거시'!$J3875),ISNUMBER('자료_거시'!$K3875)),IFERROR('자료_거시'!$K3875/INDEX($Z$21:$Z$4020,MATCH(EDATE('자료_거시'!$J3875,-'설정'!$B$17),'자료_거시'!$J$3:INDEX('자료_거시'!$J$3:$J$4002,$K$8),1))-1,""),"")</f>
        <v/>
      </c>
      <c r="AB3893">
        <f>IF(ISNUMBER(AA3893),'자료_거시'!$J3875,"")</f>
        <v/>
      </c>
      <c r="AC3893">
        <f>IF(ISNUMBER(AB3893),IF(AB3893&gt;$L$8,AA3893,""),"")</f>
        <v/>
      </c>
    </row>
    <row r="3894">
      <c r="S3894">
        <f>IF(ISNUMBER('자료_거시'!$E3876),'자료_거시'!$E3876,S3893)</f>
        <v/>
      </c>
      <c r="T3894">
        <f>IF(AND(ISNUMBER('자료_거시'!$D3876),ISNUMBER('자료_거시'!$E3876)),IFERROR('자료_거시'!$E3876-INDEX($S$21:$S$4020,MATCH(EDATE('자료_거시'!$D3876,-'설정'!$B$17),'자료_거시'!$D$3:INDEX('자료_거시'!$D$3:$D$4002,$K$6),1)),""),"")</f>
        <v/>
      </c>
      <c r="U3894">
        <f>IF(ISNUMBER(T3894),'자료_거시'!$D3876,"")</f>
        <v/>
      </c>
      <c r="V3894">
        <f>IF(ISNUMBER(U3894),IF(U3894&gt;$L$6,T3894,""),"")</f>
        <v/>
      </c>
      <c r="W3894">
        <f>IF(AND(ISNUMBER('자료_거시'!$G3876),ISNUMBER('자료_거시'!$H3876)),'자료_거시'!$H3876,"")</f>
        <v/>
      </c>
      <c r="X3894">
        <f>IF(ISNUMBER(W3894),'자료_거시'!$G3876,"")</f>
        <v/>
      </c>
      <c r="Y3894">
        <f>IF(ISNUMBER(X3894),IF(X3894&gt;$L$7,W3894,""),"")</f>
        <v/>
      </c>
      <c r="Z3894">
        <f>IF(ISNUMBER('자료_거시'!$K3876),'자료_거시'!$K3876,Z3893)</f>
        <v/>
      </c>
      <c r="AA3894">
        <f>IF(AND(ISNUMBER('자료_거시'!$J3876),ISNUMBER('자료_거시'!$K3876)),IFERROR('자료_거시'!$K3876/INDEX($Z$21:$Z$4020,MATCH(EDATE('자료_거시'!$J3876,-'설정'!$B$17),'자료_거시'!$J$3:INDEX('자료_거시'!$J$3:$J$4002,$K$8),1))-1,""),"")</f>
        <v/>
      </c>
      <c r="AB3894">
        <f>IF(ISNUMBER(AA3894),'자료_거시'!$J3876,"")</f>
        <v/>
      </c>
      <c r="AC3894">
        <f>IF(ISNUMBER(AB3894),IF(AB3894&gt;$L$8,AA3894,""),"")</f>
        <v/>
      </c>
    </row>
    <row r="3895">
      <c r="S3895">
        <f>IF(ISNUMBER('자료_거시'!$E3877),'자료_거시'!$E3877,S3894)</f>
        <v/>
      </c>
      <c r="T3895">
        <f>IF(AND(ISNUMBER('자료_거시'!$D3877),ISNUMBER('자료_거시'!$E3877)),IFERROR('자료_거시'!$E3877-INDEX($S$21:$S$4020,MATCH(EDATE('자료_거시'!$D3877,-'설정'!$B$17),'자료_거시'!$D$3:INDEX('자료_거시'!$D$3:$D$4002,$K$6),1)),""),"")</f>
        <v/>
      </c>
      <c r="U3895">
        <f>IF(ISNUMBER(T3895),'자료_거시'!$D3877,"")</f>
        <v/>
      </c>
      <c r="V3895">
        <f>IF(ISNUMBER(U3895),IF(U3895&gt;$L$6,T3895,""),"")</f>
        <v/>
      </c>
      <c r="W3895">
        <f>IF(AND(ISNUMBER('자료_거시'!$G3877),ISNUMBER('자료_거시'!$H3877)),'자료_거시'!$H3877,"")</f>
        <v/>
      </c>
      <c r="X3895">
        <f>IF(ISNUMBER(W3895),'자료_거시'!$G3877,"")</f>
        <v/>
      </c>
      <c r="Y3895">
        <f>IF(ISNUMBER(X3895),IF(X3895&gt;$L$7,W3895,""),"")</f>
        <v/>
      </c>
      <c r="Z3895">
        <f>IF(ISNUMBER('자료_거시'!$K3877),'자료_거시'!$K3877,Z3894)</f>
        <v/>
      </c>
      <c r="AA3895">
        <f>IF(AND(ISNUMBER('자료_거시'!$J3877),ISNUMBER('자료_거시'!$K3877)),IFERROR('자료_거시'!$K3877/INDEX($Z$21:$Z$4020,MATCH(EDATE('자료_거시'!$J3877,-'설정'!$B$17),'자료_거시'!$J$3:INDEX('자료_거시'!$J$3:$J$4002,$K$8),1))-1,""),"")</f>
        <v/>
      </c>
      <c r="AB3895">
        <f>IF(ISNUMBER(AA3895),'자료_거시'!$J3877,"")</f>
        <v/>
      </c>
      <c r="AC3895">
        <f>IF(ISNUMBER(AB3895),IF(AB3895&gt;$L$8,AA3895,""),"")</f>
        <v/>
      </c>
    </row>
    <row r="3896">
      <c r="S3896">
        <f>IF(ISNUMBER('자료_거시'!$E3878),'자료_거시'!$E3878,S3895)</f>
        <v/>
      </c>
      <c r="T3896">
        <f>IF(AND(ISNUMBER('자료_거시'!$D3878),ISNUMBER('자료_거시'!$E3878)),IFERROR('자료_거시'!$E3878-INDEX($S$21:$S$4020,MATCH(EDATE('자료_거시'!$D3878,-'설정'!$B$17),'자료_거시'!$D$3:INDEX('자료_거시'!$D$3:$D$4002,$K$6),1)),""),"")</f>
        <v/>
      </c>
      <c r="U3896">
        <f>IF(ISNUMBER(T3896),'자료_거시'!$D3878,"")</f>
        <v/>
      </c>
      <c r="V3896">
        <f>IF(ISNUMBER(U3896),IF(U3896&gt;$L$6,T3896,""),"")</f>
        <v/>
      </c>
      <c r="W3896">
        <f>IF(AND(ISNUMBER('자료_거시'!$G3878),ISNUMBER('자료_거시'!$H3878)),'자료_거시'!$H3878,"")</f>
        <v/>
      </c>
      <c r="X3896">
        <f>IF(ISNUMBER(W3896),'자료_거시'!$G3878,"")</f>
        <v/>
      </c>
      <c r="Y3896">
        <f>IF(ISNUMBER(X3896),IF(X3896&gt;$L$7,W3896,""),"")</f>
        <v/>
      </c>
      <c r="Z3896">
        <f>IF(ISNUMBER('자료_거시'!$K3878),'자료_거시'!$K3878,Z3895)</f>
        <v/>
      </c>
      <c r="AA3896">
        <f>IF(AND(ISNUMBER('자료_거시'!$J3878),ISNUMBER('자료_거시'!$K3878)),IFERROR('자료_거시'!$K3878/INDEX($Z$21:$Z$4020,MATCH(EDATE('자료_거시'!$J3878,-'설정'!$B$17),'자료_거시'!$J$3:INDEX('자료_거시'!$J$3:$J$4002,$K$8),1))-1,""),"")</f>
        <v/>
      </c>
      <c r="AB3896">
        <f>IF(ISNUMBER(AA3896),'자료_거시'!$J3878,"")</f>
        <v/>
      </c>
      <c r="AC3896">
        <f>IF(ISNUMBER(AB3896),IF(AB3896&gt;$L$8,AA3896,""),"")</f>
        <v/>
      </c>
    </row>
    <row r="3897">
      <c r="S3897">
        <f>IF(ISNUMBER('자료_거시'!$E3879),'자료_거시'!$E3879,S3896)</f>
        <v/>
      </c>
      <c r="T3897">
        <f>IF(AND(ISNUMBER('자료_거시'!$D3879),ISNUMBER('자료_거시'!$E3879)),IFERROR('자료_거시'!$E3879-INDEX($S$21:$S$4020,MATCH(EDATE('자료_거시'!$D3879,-'설정'!$B$17),'자료_거시'!$D$3:INDEX('자료_거시'!$D$3:$D$4002,$K$6),1)),""),"")</f>
        <v/>
      </c>
      <c r="U3897">
        <f>IF(ISNUMBER(T3897),'자료_거시'!$D3879,"")</f>
        <v/>
      </c>
      <c r="V3897">
        <f>IF(ISNUMBER(U3897),IF(U3897&gt;$L$6,T3897,""),"")</f>
        <v/>
      </c>
      <c r="W3897">
        <f>IF(AND(ISNUMBER('자료_거시'!$G3879),ISNUMBER('자료_거시'!$H3879)),'자료_거시'!$H3879,"")</f>
        <v/>
      </c>
      <c r="X3897">
        <f>IF(ISNUMBER(W3897),'자료_거시'!$G3879,"")</f>
        <v/>
      </c>
      <c r="Y3897">
        <f>IF(ISNUMBER(X3897),IF(X3897&gt;$L$7,W3897,""),"")</f>
        <v/>
      </c>
      <c r="Z3897">
        <f>IF(ISNUMBER('자료_거시'!$K3879),'자료_거시'!$K3879,Z3896)</f>
        <v/>
      </c>
      <c r="AA3897">
        <f>IF(AND(ISNUMBER('자료_거시'!$J3879),ISNUMBER('자료_거시'!$K3879)),IFERROR('자료_거시'!$K3879/INDEX($Z$21:$Z$4020,MATCH(EDATE('자료_거시'!$J3879,-'설정'!$B$17),'자료_거시'!$J$3:INDEX('자료_거시'!$J$3:$J$4002,$K$8),1))-1,""),"")</f>
        <v/>
      </c>
      <c r="AB3897">
        <f>IF(ISNUMBER(AA3897),'자료_거시'!$J3879,"")</f>
        <v/>
      </c>
      <c r="AC3897">
        <f>IF(ISNUMBER(AB3897),IF(AB3897&gt;$L$8,AA3897,""),"")</f>
        <v/>
      </c>
    </row>
    <row r="3898">
      <c r="S3898">
        <f>IF(ISNUMBER('자료_거시'!$E3880),'자료_거시'!$E3880,S3897)</f>
        <v/>
      </c>
      <c r="T3898">
        <f>IF(AND(ISNUMBER('자료_거시'!$D3880),ISNUMBER('자료_거시'!$E3880)),IFERROR('자료_거시'!$E3880-INDEX($S$21:$S$4020,MATCH(EDATE('자료_거시'!$D3880,-'설정'!$B$17),'자료_거시'!$D$3:INDEX('자료_거시'!$D$3:$D$4002,$K$6),1)),""),"")</f>
        <v/>
      </c>
      <c r="U3898">
        <f>IF(ISNUMBER(T3898),'자료_거시'!$D3880,"")</f>
        <v/>
      </c>
      <c r="V3898">
        <f>IF(ISNUMBER(U3898),IF(U3898&gt;$L$6,T3898,""),"")</f>
        <v/>
      </c>
      <c r="W3898">
        <f>IF(AND(ISNUMBER('자료_거시'!$G3880),ISNUMBER('자료_거시'!$H3880)),'자료_거시'!$H3880,"")</f>
        <v/>
      </c>
      <c r="X3898">
        <f>IF(ISNUMBER(W3898),'자료_거시'!$G3880,"")</f>
        <v/>
      </c>
      <c r="Y3898">
        <f>IF(ISNUMBER(X3898),IF(X3898&gt;$L$7,W3898,""),"")</f>
        <v/>
      </c>
      <c r="Z3898">
        <f>IF(ISNUMBER('자료_거시'!$K3880),'자료_거시'!$K3880,Z3897)</f>
        <v/>
      </c>
      <c r="AA3898">
        <f>IF(AND(ISNUMBER('자료_거시'!$J3880),ISNUMBER('자료_거시'!$K3880)),IFERROR('자료_거시'!$K3880/INDEX($Z$21:$Z$4020,MATCH(EDATE('자료_거시'!$J3880,-'설정'!$B$17),'자료_거시'!$J$3:INDEX('자료_거시'!$J$3:$J$4002,$K$8),1))-1,""),"")</f>
        <v/>
      </c>
      <c r="AB3898">
        <f>IF(ISNUMBER(AA3898),'자료_거시'!$J3880,"")</f>
        <v/>
      </c>
      <c r="AC3898">
        <f>IF(ISNUMBER(AB3898),IF(AB3898&gt;$L$8,AA3898,""),"")</f>
        <v/>
      </c>
    </row>
    <row r="3899">
      <c r="S3899">
        <f>IF(ISNUMBER('자료_거시'!$E3881),'자료_거시'!$E3881,S3898)</f>
        <v/>
      </c>
      <c r="T3899">
        <f>IF(AND(ISNUMBER('자료_거시'!$D3881),ISNUMBER('자료_거시'!$E3881)),IFERROR('자료_거시'!$E3881-INDEX($S$21:$S$4020,MATCH(EDATE('자료_거시'!$D3881,-'설정'!$B$17),'자료_거시'!$D$3:INDEX('자료_거시'!$D$3:$D$4002,$K$6),1)),""),"")</f>
        <v/>
      </c>
      <c r="U3899">
        <f>IF(ISNUMBER(T3899),'자료_거시'!$D3881,"")</f>
        <v/>
      </c>
      <c r="V3899">
        <f>IF(ISNUMBER(U3899),IF(U3899&gt;$L$6,T3899,""),"")</f>
        <v/>
      </c>
      <c r="W3899">
        <f>IF(AND(ISNUMBER('자료_거시'!$G3881),ISNUMBER('자료_거시'!$H3881)),'자료_거시'!$H3881,"")</f>
        <v/>
      </c>
      <c r="X3899">
        <f>IF(ISNUMBER(W3899),'자료_거시'!$G3881,"")</f>
        <v/>
      </c>
      <c r="Y3899">
        <f>IF(ISNUMBER(X3899),IF(X3899&gt;$L$7,W3899,""),"")</f>
        <v/>
      </c>
      <c r="Z3899">
        <f>IF(ISNUMBER('자료_거시'!$K3881),'자료_거시'!$K3881,Z3898)</f>
        <v/>
      </c>
      <c r="AA3899">
        <f>IF(AND(ISNUMBER('자료_거시'!$J3881),ISNUMBER('자료_거시'!$K3881)),IFERROR('자료_거시'!$K3881/INDEX($Z$21:$Z$4020,MATCH(EDATE('자료_거시'!$J3881,-'설정'!$B$17),'자료_거시'!$J$3:INDEX('자료_거시'!$J$3:$J$4002,$K$8),1))-1,""),"")</f>
        <v/>
      </c>
      <c r="AB3899">
        <f>IF(ISNUMBER(AA3899),'자료_거시'!$J3881,"")</f>
        <v/>
      </c>
      <c r="AC3899">
        <f>IF(ISNUMBER(AB3899),IF(AB3899&gt;$L$8,AA3899,""),"")</f>
        <v/>
      </c>
    </row>
    <row r="3900">
      <c r="S3900">
        <f>IF(ISNUMBER('자료_거시'!$E3882),'자료_거시'!$E3882,S3899)</f>
        <v/>
      </c>
      <c r="T3900">
        <f>IF(AND(ISNUMBER('자료_거시'!$D3882),ISNUMBER('자료_거시'!$E3882)),IFERROR('자료_거시'!$E3882-INDEX($S$21:$S$4020,MATCH(EDATE('자료_거시'!$D3882,-'설정'!$B$17),'자료_거시'!$D$3:INDEX('자료_거시'!$D$3:$D$4002,$K$6),1)),""),"")</f>
        <v/>
      </c>
      <c r="U3900">
        <f>IF(ISNUMBER(T3900),'자료_거시'!$D3882,"")</f>
        <v/>
      </c>
      <c r="V3900">
        <f>IF(ISNUMBER(U3900),IF(U3900&gt;$L$6,T3900,""),"")</f>
        <v/>
      </c>
      <c r="W3900">
        <f>IF(AND(ISNUMBER('자료_거시'!$G3882),ISNUMBER('자료_거시'!$H3882)),'자료_거시'!$H3882,"")</f>
        <v/>
      </c>
      <c r="X3900">
        <f>IF(ISNUMBER(W3900),'자료_거시'!$G3882,"")</f>
        <v/>
      </c>
      <c r="Y3900">
        <f>IF(ISNUMBER(X3900),IF(X3900&gt;$L$7,W3900,""),"")</f>
        <v/>
      </c>
      <c r="Z3900">
        <f>IF(ISNUMBER('자료_거시'!$K3882),'자료_거시'!$K3882,Z3899)</f>
        <v/>
      </c>
      <c r="AA3900">
        <f>IF(AND(ISNUMBER('자료_거시'!$J3882),ISNUMBER('자료_거시'!$K3882)),IFERROR('자료_거시'!$K3882/INDEX($Z$21:$Z$4020,MATCH(EDATE('자료_거시'!$J3882,-'설정'!$B$17),'자료_거시'!$J$3:INDEX('자료_거시'!$J$3:$J$4002,$K$8),1))-1,""),"")</f>
        <v/>
      </c>
      <c r="AB3900">
        <f>IF(ISNUMBER(AA3900),'자료_거시'!$J3882,"")</f>
        <v/>
      </c>
      <c r="AC3900">
        <f>IF(ISNUMBER(AB3900),IF(AB3900&gt;$L$8,AA3900,""),"")</f>
        <v/>
      </c>
    </row>
    <row r="3901">
      <c r="S3901">
        <f>IF(ISNUMBER('자료_거시'!$E3883),'자료_거시'!$E3883,S3900)</f>
        <v/>
      </c>
      <c r="T3901">
        <f>IF(AND(ISNUMBER('자료_거시'!$D3883),ISNUMBER('자료_거시'!$E3883)),IFERROR('자료_거시'!$E3883-INDEX($S$21:$S$4020,MATCH(EDATE('자료_거시'!$D3883,-'설정'!$B$17),'자료_거시'!$D$3:INDEX('자료_거시'!$D$3:$D$4002,$K$6),1)),""),"")</f>
        <v/>
      </c>
      <c r="U3901">
        <f>IF(ISNUMBER(T3901),'자료_거시'!$D3883,"")</f>
        <v/>
      </c>
      <c r="V3901">
        <f>IF(ISNUMBER(U3901),IF(U3901&gt;$L$6,T3901,""),"")</f>
        <v/>
      </c>
      <c r="W3901">
        <f>IF(AND(ISNUMBER('자료_거시'!$G3883),ISNUMBER('자료_거시'!$H3883)),'자료_거시'!$H3883,"")</f>
        <v/>
      </c>
      <c r="X3901">
        <f>IF(ISNUMBER(W3901),'자료_거시'!$G3883,"")</f>
        <v/>
      </c>
      <c r="Y3901">
        <f>IF(ISNUMBER(X3901),IF(X3901&gt;$L$7,W3901,""),"")</f>
        <v/>
      </c>
      <c r="Z3901">
        <f>IF(ISNUMBER('자료_거시'!$K3883),'자료_거시'!$K3883,Z3900)</f>
        <v/>
      </c>
      <c r="AA3901">
        <f>IF(AND(ISNUMBER('자료_거시'!$J3883),ISNUMBER('자료_거시'!$K3883)),IFERROR('자료_거시'!$K3883/INDEX($Z$21:$Z$4020,MATCH(EDATE('자료_거시'!$J3883,-'설정'!$B$17),'자료_거시'!$J$3:INDEX('자료_거시'!$J$3:$J$4002,$K$8),1))-1,""),"")</f>
        <v/>
      </c>
      <c r="AB3901">
        <f>IF(ISNUMBER(AA3901),'자료_거시'!$J3883,"")</f>
        <v/>
      </c>
      <c r="AC3901">
        <f>IF(ISNUMBER(AB3901),IF(AB3901&gt;$L$8,AA3901,""),"")</f>
        <v/>
      </c>
    </row>
    <row r="3902">
      <c r="S3902">
        <f>IF(ISNUMBER('자료_거시'!$E3884),'자료_거시'!$E3884,S3901)</f>
        <v/>
      </c>
      <c r="T3902">
        <f>IF(AND(ISNUMBER('자료_거시'!$D3884),ISNUMBER('자료_거시'!$E3884)),IFERROR('자료_거시'!$E3884-INDEX($S$21:$S$4020,MATCH(EDATE('자료_거시'!$D3884,-'설정'!$B$17),'자료_거시'!$D$3:INDEX('자료_거시'!$D$3:$D$4002,$K$6),1)),""),"")</f>
        <v/>
      </c>
      <c r="U3902">
        <f>IF(ISNUMBER(T3902),'자료_거시'!$D3884,"")</f>
        <v/>
      </c>
      <c r="V3902">
        <f>IF(ISNUMBER(U3902),IF(U3902&gt;$L$6,T3902,""),"")</f>
        <v/>
      </c>
      <c r="W3902">
        <f>IF(AND(ISNUMBER('자료_거시'!$G3884),ISNUMBER('자료_거시'!$H3884)),'자료_거시'!$H3884,"")</f>
        <v/>
      </c>
      <c r="X3902">
        <f>IF(ISNUMBER(W3902),'자료_거시'!$G3884,"")</f>
        <v/>
      </c>
      <c r="Y3902">
        <f>IF(ISNUMBER(X3902),IF(X3902&gt;$L$7,W3902,""),"")</f>
        <v/>
      </c>
      <c r="Z3902">
        <f>IF(ISNUMBER('자료_거시'!$K3884),'자료_거시'!$K3884,Z3901)</f>
        <v/>
      </c>
      <c r="AA3902">
        <f>IF(AND(ISNUMBER('자료_거시'!$J3884),ISNUMBER('자료_거시'!$K3884)),IFERROR('자료_거시'!$K3884/INDEX($Z$21:$Z$4020,MATCH(EDATE('자료_거시'!$J3884,-'설정'!$B$17),'자료_거시'!$J$3:INDEX('자료_거시'!$J$3:$J$4002,$K$8),1))-1,""),"")</f>
        <v/>
      </c>
      <c r="AB3902">
        <f>IF(ISNUMBER(AA3902),'자료_거시'!$J3884,"")</f>
        <v/>
      </c>
      <c r="AC3902">
        <f>IF(ISNUMBER(AB3902),IF(AB3902&gt;$L$8,AA3902,""),"")</f>
        <v/>
      </c>
    </row>
    <row r="3903">
      <c r="S3903">
        <f>IF(ISNUMBER('자료_거시'!$E3885),'자료_거시'!$E3885,S3902)</f>
        <v/>
      </c>
      <c r="T3903">
        <f>IF(AND(ISNUMBER('자료_거시'!$D3885),ISNUMBER('자료_거시'!$E3885)),IFERROR('자료_거시'!$E3885-INDEX($S$21:$S$4020,MATCH(EDATE('자료_거시'!$D3885,-'설정'!$B$17),'자료_거시'!$D$3:INDEX('자료_거시'!$D$3:$D$4002,$K$6),1)),""),"")</f>
        <v/>
      </c>
      <c r="U3903">
        <f>IF(ISNUMBER(T3903),'자료_거시'!$D3885,"")</f>
        <v/>
      </c>
      <c r="V3903">
        <f>IF(ISNUMBER(U3903),IF(U3903&gt;$L$6,T3903,""),"")</f>
        <v/>
      </c>
      <c r="W3903">
        <f>IF(AND(ISNUMBER('자료_거시'!$G3885),ISNUMBER('자료_거시'!$H3885)),'자료_거시'!$H3885,"")</f>
        <v/>
      </c>
      <c r="X3903">
        <f>IF(ISNUMBER(W3903),'자료_거시'!$G3885,"")</f>
        <v/>
      </c>
      <c r="Y3903">
        <f>IF(ISNUMBER(X3903),IF(X3903&gt;$L$7,W3903,""),"")</f>
        <v/>
      </c>
      <c r="Z3903">
        <f>IF(ISNUMBER('자료_거시'!$K3885),'자료_거시'!$K3885,Z3902)</f>
        <v/>
      </c>
      <c r="AA3903">
        <f>IF(AND(ISNUMBER('자료_거시'!$J3885),ISNUMBER('자료_거시'!$K3885)),IFERROR('자료_거시'!$K3885/INDEX($Z$21:$Z$4020,MATCH(EDATE('자료_거시'!$J3885,-'설정'!$B$17),'자료_거시'!$J$3:INDEX('자료_거시'!$J$3:$J$4002,$K$8),1))-1,""),"")</f>
        <v/>
      </c>
      <c r="AB3903">
        <f>IF(ISNUMBER(AA3903),'자료_거시'!$J3885,"")</f>
        <v/>
      </c>
      <c r="AC3903">
        <f>IF(ISNUMBER(AB3903),IF(AB3903&gt;$L$8,AA3903,""),"")</f>
        <v/>
      </c>
    </row>
    <row r="3904">
      <c r="S3904">
        <f>IF(ISNUMBER('자료_거시'!$E3886),'자료_거시'!$E3886,S3903)</f>
        <v/>
      </c>
      <c r="T3904">
        <f>IF(AND(ISNUMBER('자료_거시'!$D3886),ISNUMBER('자료_거시'!$E3886)),IFERROR('자료_거시'!$E3886-INDEX($S$21:$S$4020,MATCH(EDATE('자료_거시'!$D3886,-'설정'!$B$17),'자료_거시'!$D$3:INDEX('자료_거시'!$D$3:$D$4002,$K$6),1)),""),"")</f>
        <v/>
      </c>
      <c r="U3904">
        <f>IF(ISNUMBER(T3904),'자료_거시'!$D3886,"")</f>
        <v/>
      </c>
      <c r="V3904">
        <f>IF(ISNUMBER(U3904),IF(U3904&gt;$L$6,T3904,""),"")</f>
        <v/>
      </c>
      <c r="W3904">
        <f>IF(AND(ISNUMBER('자료_거시'!$G3886),ISNUMBER('자료_거시'!$H3886)),'자료_거시'!$H3886,"")</f>
        <v/>
      </c>
      <c r="X3904">
        <f>IF(ISNUMBER(W3904),'자료_거시'!$G3886,"")</f>
        <v/>
      </c>
      <c r="Y3904">
        <f>IF(ISNUMBER(X3904),IF(X3904&gt;$L$7,W3904,""),"")</f>
        <v/>
      </c>
      <c r="Z3904">
        <f>IF(ISNUMBER('자료_거시'!$K3886),'자료_거시'!$K3886,Z3903)</f>
        <v/>
      </c>
      <c r="AA3904">
        <f>IF(AND(ISNUMBER('자료_거시'!$J3886),ISNUMBER('자료_거시'!$K3886)),IFERROR('자료_거시'!$K3886/INDEX($Z$21:$Z$4020,MATCH(EDATE('자료_거시'!$J3886,-'설정'!$B$17),'자료_거시'!$J$3:INDEX('자료_거시'!$J$3:$J$4002,$K$8),1))-1,""),"")</f>
        <v/>
      </c>
      <c r="AB3904">
        <f>IF(ISNUMBER(AA3904),'자료_거시'!$J3886,"")</f>
        <v/>
      </c>
      <c r="AC3904">
        <f>IF(ISNUMBER(AB3904),IF(AB3904&gt;$L$8,AA3904,""),"")</f>
        <v/>
      </c>
    </row>
    <row r="3905">
      <c r="S3905">
        <f>IF(ISNUMBER('자료_거시'!$E3887),'자료_거시'!$E3887,S3904)</f>
        <v/>
      </c>
      <c r="T3905">
        <f>IF(AND(ISNUMBER('자료_거시'!$D3887),ISNUMBER('자료_거시'!$E3887)),IFERROR('자료_거시'!$E3887-INDEX($S$21:$S$4020,MATCH(EDATE('자료_거시'!$D3887,-'설정'!$B$17),'자료_거시'!$D$3:INDEX('자료_거시'!$D$3:$D$4002,$K$6),1)),""),"")</f>
        <v/>
      </c>
      <c r="U3905">
        <f>IF(ISNUMBER(T3905),'자료_거시'!$D3887,"")</f>
        <v/>
      </c>
      <c r="V3905">
        <f>IF(ISNUMBER(U3905),IF(U3905&gt;$L$6,T3905,""),"")</f>
        <v/>
      </c>
      <c r="W3905">
        <f>IF(AND(ISNUMBER('자료_거시'!$G3887),ISNUMBER('자료_거시'!$H3887)),'자료_거시'!$H3887,"")</f>
        <v/>
      </c>
      <c r="X3905">
        <f>IF(ISNUMBER(W3905),'자료_거시'!$G3887,"")</f>
        <v/>
      </c>
      <c r="Y3905">
        <f>IF(ISNUMBER(X3905),IF(X3905&gt;$L$7,W3905,""),"")</f>
        <v/>
      </c>
      <c r="Z3905">
        <f>IF(ISNUMBER('자료_거시'!$K3887),'자료_거시'!$K3887,Z3904)</f>
        <v/>
      </c>
      <c r="AA3905">
        <f>IF(AND(ISNUMBER('자료_거시'!$J3887),ISNUMBER('자료_거시'!$K3887)),IFERROR('자료_거시'!$K3887/INDEX($Z$21:$Z$4020,MATCH(EDATE('자료_거시'!$J3887,-'설정'!$B$17),'자료_거시'!$J$3:INDEX('자료_거시'!$J$3:$J$4002,$K$8),1))-1,""),"")</f>
        <v/>
      </c>
      <c r="AB3905">
        <f>IF(ISNUMBER(AA3905),'자료_거시'!$J3887,"")</f>
        <v/>
      </c>
      <c r="AC3905">
        <f>IF(ISNUMBER(AB3905),IF(AB3905&gt;$L$8,AA3905,""),"")</f>
        <v/>
      </c>
    </row>
    <row r="3906">
      <c r="S3906">
        <f>IF(ISNUMBER('자료_거시'!$E3888),'자료_거시'!$E3888,S3905)</f>
        <v/>
      </c>
      <c r="T3906">
        <f>IF(AND(ISNUMBER('자료_거시'!$D3888),ISNUMBER('자료_거시'!$E3888)),IFERROR('자료_거시'!$E3888-INDEX($S$21:$S$4020,MATCH(EDATE('자료_거시'!$D3888,-'설정'!$B$17),'자료_거시'!$D$3:INDEX('자료_거시'!$D$3:$D$4002,$K$6),1)),""),"")</f>
        <v/>
      </c>
      <c r="U3906">
        <f>IF(ISNUMBER(T3906),'자료_거시'!$D3888,"")</f>
        <v/>
      </c>
      <c r="V3906">
        <f>IF(ISNUMBER(U3906),IF(U3906&gt;$L$6,T3906,""),"")</f>
        <v/>
      </c>
      <c r="W3906">
        <f>IF(AND(ISNUMBER('자료_거시'!$G3888),ISNUMBER('자료_거시'!$H3888)),'자료_거시'!$H3888,"")</f>
        <v/>
      </c>
      <c r="X3906">
        <f>IF(ISNUMBER(W3906),'자료_거시'!$G3888,"")</f>
        <v/>
      </c>
      <c r="Y3906">
        <f>IF(ISNUMBER(X3906),IF(X3906&gt;$L$7,W3906,""),"")</f>
        <v/>
      </c>
      <c r="Z3906">
        <f>IF(ISNUMBER('자료_거시'!$K3888),'자료_거시'!$K3888,Z3905)</f>
        <v/>
      </c>
      <c r="AA3906">
        <f>IF(AND(ISNUMBER('자료_거시'!$J3888),ISNUMBER('자료_거시'!$K3888)),IFERROR('자료_거시'!$K3888/INDEX($Z$21:$Z$4020,MATCH(EDATE('자료_거시'!$J3888,-'설정'!$B$17),'자료_거시'!$J$3:INDEX('자료_거시'!$J$3:$J$4002,$K$8),1))-1,""),"")</f>
        <v/>
      </c>
      <c r="AB3906">
        <f>IF(ISNUMBER(AA3906),'자료_거시'!$J3888,"")</f>
        <v/>
      </c>
      <c r="AC3906">
        <f>IF(ISNUMBER(AB3906),IF(AB3906&gt;$L$8,AA3906,""),"")</f>
        <v/>
      </c>
    </row>
    <row r="3907">
      <c r="S3907">
        <f>IF(ISNUMBER('자료_거시'!$E3889),'자료_거시'!$E3889,S3906)</f>
        <v/>
      </c>
      <c r="T3907">
        <f>IF(AND(ISNUMBER('자료_거시'!$D3889),ISNUMBER('자료_거시'!$E3889)),IFERROR('자료_거시'!$E3889-INDEX($S$21:$S$4020,MATCH(EDATE('자료_거시'!$D3889,-'설정'!$B$17),'자료_거시'!$D$3:INDEX('자료_거시'!$D$3:$D$4002,$K$6),1)),""),"")</f>
        <v/>
      </c>
      <c r="U3907">
        <f>IF(ISNUMBER(T3907),'자료_거시'!$D3889,"")</f>
        <v/>
      </c>
      <c r="V3907">
        <f>IF(ISNUMBER(U3907),IF(U3907&gt;$L$6,T3907,""),"")</f>
        <v/>
      </c>
      <c r="W3907">
        <f>IF(AND(ISNUMBER('자료_거시'!$G3889),ISNUMBER('자료_거시'!$H3889)),'자료_거시'!$H3889,"")</f>
        <v/>
      </c>
      <c r="X3907">
        <f>IF(ISNUMBER(W3907),'자료_거시'!$G3889,"")</f>
        <v/>
      </c>
      <c r="Y3907">
        <f>IF(ISNUMBER(X3907),IF(X3907&gt;$L$7,W3907,""),"")</f>
        <v/>
      </c>
      <c r="Z3907">
        <f>IF(ISNUMBER('자료_거시'!$K3889),'자료_거시'!$K3889,Z3906)</f>
        <v/>
      </c>
      <c r="AA3907">
        <f>IF(AND(ISNUMBER('자료_거시'!$J3889),ISNUMBER('자료_거시'!$K3889)),IFERROR('자료_거시'!$K3889/INDEX($Z$21:$Z$4020,MATCH(EDATE('자료_거시'!$J3889,-'설정'!$B$17),'자료_거시'!$J$3:INDEX('자료_거시'!$J$3:$J$4002,$K$8),1))-1,""),"")</f>
        <v/>
      </c>
      <c r="AB3907">
        <f>IF(ISNUMBER(AA3907),'자료_거시'!$J3889,"")</f>
        <v/>
      </c>
      <c r="AC3907">
        <f>IF(ISNUMBER(AB3907),IF(AB3907&gt;$L$8,AA3907,""),"")</f>
        <v/>
      </c>
    </row>
    <row r="3908">
      <c r="S3908">
        <f>IF(ISNUMBER('자료_거시'!$E3890),'자료_거시'!$E3890,S3907)</f>
        <v/>
      </c>
      <c r="T3908">
        <f>IF(AND(ISNUMBER('자료_거시'!$D3890),ISNUMBER('자료_거시'!$E3890)),IFERROR('자료_거시'!$E3890-INDEX($S$21:$S$4020,MATCH(EDATE('자료_거시'!$D3890,-'설정'!$B$17),'자료_거시'!$D$3:INDEX('자료_거시'!$D$3:$D$4002,$K$6),1)),""),"")</f>
        <v/>
      </c>
      <c r="U3908">
        <f>IF(ISNUMBER(T3908),'자료_거시'!$D3890,"")</f>
        <v/>
      </c>
      <c r="V3908">
        <f>IF(ISNUMBER(U3908),IF(U3908&gt;$L$6,T3908,""),"")</f>
        <v/>
      </c>
      <c r="W3908">
        <f>IF(AND(ISNUMBER('자료_거시'!$G3890),ISNUMBER('자료_거시'!$H3890)),'자료_거시'!$H3890,"")</f>
        <v/>
      </c>
      <c r="X3908">
        <f>IF(ISNUMBER(W3908),'자료_거시'!$G3890,"")</f>
        <v/>
      </c>
      <c r="Y3908">
        <f>IF(ISNUMBER(X3908),IF(X3908&gt;$L$7,W3908,""),"")</f>
        <v/>
      </c>
      <c r="Z3908">
        <f>IF(ISNUMBER('자료_거시'!$K3890),'자료_거시'!$K3890,Z3907)</f>
        <v/>
      </c>
      <c r="AA3908">
        <f>IF(AND(ISNUMBER('자료_거시'!$J3890),ISNUMBER('자료_거시'!$K3890)),IFERROR('자료_거시'!$K3890/INDEX($Z$21:$Z$4020,MATCH(EDATE('자료_거시'!$J3890,-'설정'!$B$17),'자료_거시'!$J$3:INDEX('자료_거시'!$J$3:$J$4002,$K$8),1))-1,""),"")</f>
        <v/>
      </c>
      <c r="AB3908">
        <f>IF(ISNUMBER(AA3908),'자료_거시'!$J3890,"")</f>
        <v/>
      </c>
      <c r="AC3908">
        <f>IF(ISNUMBER(AB3908),IF(AB3908&gt;$L$8,AA3908,""),"")</f>
        <v/>
      </c>
    </row>
    <row r="3909">
      <c r="S3909">
        <f>IF(ISNUMBER('자료_거시'!$E3891),'자료_거시'!$E3891,S3908)</f>
        <v/>
      </c>
      <c r="T3909">
        <f>IF(AND(ISNUMBER('자료_거시'!$D3891),ISNUMBER('자료_거시'!$E3891)),IFERROR('자료_거시'!$E3891-INDEX($S$21:$S$4020,MATCH(EDATE('자료_거시'!$D3891,-'설정'!$B$17),'자료_거시'!$D$3:INDEX('자료_거시'!$D$3:$D$4002,$K$6),1)),""),"")</f>
        <v/>
      </c>
      <c r="U3909">
        <f>IF(ISNUMBER(T3909),'자료_거시'!$D3891,"")</f>
        <v/>
      </c>
      <c r="V3909">
        <f>IF(ISNUMBER(U3909),IF(U3909&gt;$L$6,T3909,""),"")</f>
        <v/>
      </c>
      <c r="W3909">
        <f>IF(AND(ISNUMBER('자료_거시'!$G3891),ISNUMBER('자료_거시'!$H3891)),'자료_거시'!$H3891,"")</f>
        <v/>
      </c>
      <c r="X3909">
        <f>IF(ISNUMBER(W3909),'자료_거시'!$G3891,"")</f>
        <v/>
      </c>
      <c r="Y3909">
        <f>IF(ISNUMBER(X3909),IF(X3909&gt;$L$7,W3909,""),"")</f>
        <v/>
      </c>
      <c r="Z3909">
        <f>IF(ISNUMBER('자료_거시'!$K3891),'자료_거시'!$K3891,Z3908)</f>
        <v/>
      </c>
      <c r="AA3909">
        <f>IF(AND(ISNUMBER('자료_거시'!$J3891),ISNUMBER('자료_거시'!$K3891)),IFERROR('자료_거시'!$K3891/INDEX($Z$21:$Z$4020,MATCH(EDATE('자료_거시'!$J3891,-'설정'!$B$17),'자료_거시'!$J$3:INDEX('자료_거시'!$J$3:$J$4002,$K$8),1))-1,""),"")</f>
        <v/>
      </c>
      <c r="AB3909">
        <f>IF(ISNUMBER(AA3909),'자료_거시'!$J3891,"")</f>
        <v/>
      </c>
      <c r="AC3909">
        <f>IF(ISNUMBER(AB3909),IF(AB3909&gt;$L$8,AA3909,""),"")</f>
        <v/>
      </c>
    </row>
    <row r="3910">
      <c r="S3910">
        <f>IF(ISNUMBER('자료_거시'!$E3892),'자료_거시'!$E3892,S3909)</f>
        <v/>
      </c>
      <c r="T3910">
        <f>IF(AND(ISNUMBER('자료_거시'!$D3892),ISNUMBER('자료_거시'!$E3892)),IFERROR('자료_거시'!$E3892-INDEX($S$21:$S$4020,MATCH(EDATE('자료_거시'!$D3892,-'설정'!$B$17),'자료_거시'!$D$3:INDEX('자료_거시'!$D$3:$D$4002,$K$6),1)),""),"")</f>
        <v/>
      </c>
      <c r="U3910">
        <f>IF(ISNUMBER(T3910),'자료_거시'!$D3892,"")</f>
        <v/>
      </c>
      <c r="V3910">
        <f>IF(ISNUMBER(U3910),IF(U3910&gt;$L$6,T3910,""),"")</f>
        <v/>
      </c>
      <c r="W3910">
        <f>IF(AND(ISNUMBER('자료_거시'!$G3892),ISNUMBER('자료_거시'!$H3892)),'자료_거시'!$H3892,"")</f>
        <v/>
      </c>
      <c r="X3910">
        <f>IF(ISNUMBER(W3910),'자료_거시'!$G3892,"")</f>
        <v/>
      </c>
      <c r="Y3910">
        <f>IF(ISNUMBER(X3910),IF(X3910&gt;$L$7,W3910,""),"")</f>
        <v/>
      </c>
      <c r="Z3910">
        <f>IF(ISNUMBER('자료_거시'!$K3892),'자료_거시'!$K3892,Z3909)</f>
        <v/>
      </c>
      <c r="AA3910">
        <f>IF(AND(ISNUMBER('자료_거시'!$J3892),ISNUMBER('자료_거시'!$K3892)),IFERROR('자료_거시'!$K3892/INDEX($Z$21:$Z$4020,MATCH(EDATE('자료_거시'!$J3892,-'설정'!$B$17),'자료_거시'!$J$3:INDEX('자료_거시'!$J$3:$J$4002,$K$8),1))-1,""),"")</f>
        <v/>
      </c>
      <c r="AB3910">
        <f>IF(ISNUMBER(AA3910),'자료_거시'!$J3892,"")</f>
        <v/>
      </c>
      <c r="AC3910">
        <f>IF(ISNUMBER(AB3910),IF(AB3910&gt;$L$8,AA3910,""),"")</f>
        <v/>
      </c>
    </row>
    <row r="3911">
      <c r="S3911">
        <f>IF(ISNUMBER('자료_거시'!$E3893),'자료_거시'!$E3893,S3910)</f>
        <v/>
      </c>
      <c r="T3911">
        <f>IF(AND(ISNUMBER('자료_거시'!$D3893),ISNUMBER('자료_거시'!$E3893)),IFERROR('자료_거시'!$E3893-INDEX($S$21:$S$4020,MATCH(EDATE('자료_거시'!$D3893,-'설정'!$B$17),'자료_거시'!$D$3:INDEX('자료_거시'!$D$3:$D$4002,$K$6),1)),""),"")</f>
        <v/>
      </c>
      <c r="U3911">
        <f>IF(ISNUMBER(T3911),'자료_거시'!$D3893,"")</f>
        <v/>
      </c>
      <c r="V3911">
        <f>IF(ISNUMBER(U3911),IF(U3911&gt;$L$6,T3911,""),"")</f>
        <v/>
      </c>
      <c r="W3911">
        <f>IF(AND(ISNUMBER('자료_거시'!$G3893),ISNUMBER('자료_거시'!$H3893)),'자료_거시'!$H3893,"")</f>
        <v/>
      </c>
      <c r="X3911">
        <f>IF(ISNUMBER(W3911),'자료_거시'!$G3893,"")</f>
        <v/>
      </c>
      <c r="Y3911">
        <f>IF(ISNUMBER(X3911),IF(X3911&gt;$L$7,W3911,""),"")</f>
        <v/>
      </c>
      <c r="Z3911">
        <f>IF(ISNUMBER('자료_거시'!$K3893),'자료_거시'!$K3893,Z3910)</f>
        <v/>
      </c>
      <c r="AA3911">
        <f>IF(AND(ISNUMBER('자료_거시'!$J3893),ISNUMBER('자료_거시'!$K3893)),IFERROR('자료_거시'!$K3893/INDEX($Z$21:$Z$4020,MATCH(EDATE('자료_거시'!$J3893,-'설정'!$B$17),'자료_거시'!$J$3:INDEX('자료_거시'!$J$3:$J$4002,$K$8),1))-1,""),"")</f>
        <v/>
      </c>
      <c r="AB3911">
        <f>IF(ISNUMBER(AA3911),'자료_거시'!$J3893,"")</f>
        <v/>
      </c>
      <c r="AC3911">
        <f>IF(ISNUMBER(AB3911),IF(AB3911&gt;$L$8,AA3911,""),"")</f>
        <v/>
      </c>
    </row>
    <row r="3912">
      <c r="S3912">
        <f>IF(ISNUMBER('자료_거시'!$E3894),'자료_거시'!$E3894,S3911)</f>
        <v/>
      </c>
      <c r="T3912">
        <f>IF(AND(ISNUMBER('자료_거시'!$D3894),ISNUMBER('자료_거시'!$E3894)),IFERROR('자료_거시'!$E3894-INDEX($S$21:$S$4020,MATCH(EDATE('자료_거시'!$D3894,-'설정'!$B$17),'자료_거시'!$D$3:INDEX('자료_거시'!$D$3:$D$4002,$K$6),1)),""),"")</f>
        <v/>
      </c>
      <c r="U3912">
        <f>IF(ISNUMBER(T3912),'자료_거시'!$D3894,"")</f>
        <v/>
      </c>
      <c r="V3912">
        <f>IF(ISNUMBER(U3912),IF(U3912&gt;$L$6,T3912,""),"")</f>
        <v/>
      </c>
      <c r="W3912">
        <f>IF(AND(ISNUMBER('자료_거시'!$G3894),ISNUMBER('자료_거시'!$H3894)),'자료_거시'!$H3894,"")</f>
        <v/>
      </c>
      <c r="X3912">
        <f>IF(ISNUMBER(W3912),'자료_거시'!$G3894,"")</f>
        <v/>
      </c>
      <c r="Y3912">
        <f>IF(ISNUMBER(X3912),IF(X3912&gt;$L$7,W3912,""),"")</f>
        <v/>
      </c>
      <c r="Z3912">
        <f>IF(ISNUMBER('자료_거시'!$K3894),'자료_거시'!$K3894,Z3911)</f>
        <v/>
      </c>
      <c r="AA3912">
        <f>IF(AND(ISNUMBER('자료_거시'!$J3894),ISNUMBER('자료_거시'!$K3894)),IFERROR('자료_거시'!$K3894/INDEX($Z$21:$Z$4020,MATCH(EDATE('자료_거시'!$J3894,-'설정'!$B$17),'자료_거시'!$J$3:INDEX('자료_거시'!$J$3:$J$4002,$K$8),1))-1,""),"")</f>
        <v/>
      </c>
      <c r="AB3912">
        <f>IF(ISNUMBER(AA3912),'자료_거시'!$J3894,"")</f>
        <v/>
      </c>
      <c r="AC3912">
        <f>IF(ISNUMBER(AB3912),IF(AB3912&gt;$L$8,AA3912,""),"")</f>
        <v/>
      </c>
    </row>
    <row r="3913">
      <c r="S3913">
        <f>IF(ISNUMBER('자료_거시'!$E3895),'자료_거시'!$E3895,S3912)</f>
        <v/>
      </c>
      <c r="T3913">
        <f>IF(AND(ISNUMBER('자료_거시'!$D3895),ISNUMBER('자료_거시'!$E3895)),IFERROR('자료_거시'!$E3895-INDEX($S$21:$S$4020,MATCH(EDATE('자료_거시'!$D3895,-'설정'!$B$17),'자료_거시'!$D$3:INDEX('자료_거시'!$D$3:$D$4002,$K$6),1)),""),"")</f>
        <v/>
      </c>
      <c r="U3913">
        <f>IF(ISNUMBER(T3913),'자료_거시'!$D3895,"")</f>
        <v/>
      </c>
      <c r="V3913">
        <f>IF(ISNUMBER(U3913),IF(U3913&gt;$L$6,T3913,""),"")</f>
        <v/>
      </c>
      <c r="W3913">
        <f>IF(AND(ISNUMBER('자료_거시'!$G3895),ISNUMBER('자료_거시'!$H3895)),'자료_거시'!$H3895,"")</f>
        <v/>
      </c>
      <c r="X3913">
        <f>IF(ISNUMBER(W3913),'자료_거시'!$G3895,"")</f>
        <v/>
      </c>
      <c r="Y3913">
        <f>IF(ISNUMBER(X3913),IF(X3913&gt;$L$7,W3913,""),"")</f>
        <v/>
      </c>
      <c r="Z3913">
        <f>IF(ISNUMBER('자료_거시'!$K3895),'자료_거시'!$K3895,Z3912)</f>
        <v/>
      </c>
      <c r="AA3913">
        <f>IF(AND(ISNUMBER('자료_거시'!$J3895),ISNUMBER('자료_거시'!$K3895)),IFERROR('자료_거시'!$K3895/INDEX($Z$21:$Z$4020,MATCH(EDATE('자료_거시'!$J3895,-'설정'!$B$17),'자료_거시'!$J$3:INDEX('자료_거시'!$J$3:$J$4002,$K$8),1))-1,""),"")</f>
        <v/>
      </c>
      <c r="AB3913">
        <f>IF(ISNUMBER(AA3913),'자료_거시'!$J3895,"")</f>
        <v/>
      </c>
      <c r="AC3913">
        <f>IF(ISNUMBER(AB3913),IF(AB3913&gt;$L$8,AA3913,""),"")</f>
        <v/>
      </c>
    </row>
    <row r="3914">
      <c r="S3914">
        <f>IF(ISNUMBER('자료_거시'!$E3896),'자료_거시'!$E3896,S3913)</f>
        <v/>
      </c>
      <c r="T3914">
        <f>IF(AND(ISNUMBER('자료_거시'!$D3896),ISNUMBER('자료_거시'!$E3896)),IFERROR('자료_거시'!$E3896-INDEX($S$21:$S$4020,MATCH(EDATE('자료_거시'!$D3896,-'설정'!$B$17),'자료_거시'!$D$3:INDEX('자료_거시'!$D$3:$D$4002,$K$6),1)),""),"")</f>
        <v/>
      </c>
      <c r="U3914">
        <f>IF(ISNUMBER(T3914),'자료_거시'!$D3896,"")</f>
        <v/>
      </c>
      <c r="V3914">
        <f>IF(ISNUMBER(U3914),IF(U3914&gt;$L$6,T3914,""),"")</f>
        <v/>
      </c>
      <c r="W3914">
        <f>IF(AND(ISNUMBER('자료_거시'!$G3896),ISNUMBER('자료_거시'!$H3896)),'자료_거시'!$H3896,"")</f>
        <v/>
      </c>
      <c r="X3914">
        <f>IF(ISNUMBER(W3914),'자료_거시'!$G3896,"")</f>
        <v/>
      </c>
      <c r="Y3914">
        <f>IF(ISNUMBER(X3914),IF(X3914&gt;$L$7,W3914,""),"")</f>
        <v/>
      </c>
      <c r="Z3914">
        <f>IF(ISNUMBER('자료_거시'!$K3896),'자료_거시'!$K3896,Z3913)</f>
        <v/>
      </c>
      <c r="AA3914">
        <f>IF(AND(ISNUMBER('자료_거시'!$J3896),ISNUMBER('자료_거시'!$K3896)),IFERROR('자료_거시'!$K3896/INDEX($Z$21:$Z$4020,MATCH(EDATE('자료_거시'!$J3896,-'설정'!$B$17),'자료_거시'!$J$3:INDEX('자료_거시'!$J$3:$J$4002,$K$8),1))-1,""),"")</f>
        <v/>
      </c>
      <c r="AB3914">
        <f>IF(ISNUMBER(AA3914),'자료_거시'!$J3896,"")</f>
        <v/>
      </c>
      <c r="AC3914">
        <f>IF(ISNUMBER(AB3914),IF(AB3914&gt;$L$8,AA3914,""),"")</f>
        <v/>
      </c>
    </row>
    <row r="3915">
      <c r="S3915">
        <f>IF(ISNUMBER('자료_거시'!$E3897),'자료_거시'!$E3897,S3914)</f>
        <v/>
      </c>
      <c r="T3915">
        <f>IF(AND(ISNUMBER('자료_거시'!$D3897),ISNUMBER('자료_거시'!$E3897)),IFERROR('자료_거시'!$E3897-INDEX($S$21:$S$4020,MATCH(EDATE('자료_거시'!$D3897,-'설정'!$B$17),'자료_거시'!$D$3:INDEX('자료_거시'!$D$3:$D$4002,$K$6),1)),""),"")</f>
        <v/>
      </c>
      <c r="U3915">
        <f>IF(ISNUMBER(T3915),'자료_거시'!$D3897,"")</f>
        <v/>
      </c>
      <c r="V3915">
        <f>IF(ISNUMBER(U3915),IF(U3915&gt;$L$6,T3915,""),"")</f>
        <v/>
      </c>
      <c r="W3915">
        <f>IF(AND(ISNUMBER('자료_거시'!$G3897),ISNUMBER('자료_거시'!$H3897)),'자료_거시'!$H3897,"")</f>
        <v/>
      </c>
      <c r="X3915">
        <f>IF(ISNUMBER(W3915),'자료_거시'!$G3897,"")</f>
        <v/>
      </c>
      <c r="Y3915">
        <f>IF(ISNUMBER(X3915),IF(X3915&gt;$L$7,W3915,""),"")</f>
        <v/>
      </c>
      <c r="Z3915">
        <f>IF(ISNUMBER('자료_거시'!$K3897),'자료_거시'!$K3897,Z3914)</f>
        <v/>
      </c>
      <c r="AA3915">
        <f>IF(AND(ISNUMBER('자료_거시'!$J3897),ISNUMBER('자료_거시'!$K3897)),IFERROR('자료_거시'!$K3897/INDEX($Z$21:$Z$4020,MATCH(EDATE('자료_거시'!$J3897,-'설정'!$B$17),'자료_거시'!$J$3:INDEX('자료_거시'!$J$3:$J$4002,$K$8),1))-1,""),"")</f>
        <v/>
      </c>
      <c r="AB3915">
        <f>IF(ISNUMBER(AA3915),'자료_거시'!$J3897,"")</f>
        <v/>
      </c>
      <c r="AC3915">
        <f>IF(ISNUMBER(AB3915),IF(AB3915&gt;$L$8,AA3915,""),"")</f>
        <v/>
      </c>
    </row>
    <row r="3916">
      <c r="S3916">
        <f>IF(ISNUMBER('자료_거시'!$E3898),'자료_거시'!$E3898,S3915)</f>
        <v/>
      </c>
      <c r="T3916">
        <f>IF(AND(ISNUMBER('자료_거시'!$D3898),ISNUMBER('자료_거시'!$E3898)),IFERROR('자료_거시'!$E3898-INDEX($S$21:$S$4020,MATCH(EDATE('자료_거시'!$D3898,-'설정'!$B$17),'자료_거시'!$D$3:INDEX('자료_거시'!$D$3:$D$4002,$K$6),1)),""),"")</f>
        <v/>
      </c>
      <c r="U3916">
        <f>IF(ISNUMBER(T3916),'자료_거시'!$D3898,"")</f>
        <v/>
      </c>
      <c r="V3916">
        <f>IF(ISNUMBER(U3916),IF(U3916&gt;$L$6,T3916,""),"")</f>
        <v/>
      </c>
      <c r="W3916">
        <f>IF(AND(ISNUMBER('자료_거시'!$G3898),ISNUMBER('자료_거시'!$H3898)),'자료_거시'!$H3898,"")</f>
        <v/>
      </c>
      <c r="X3916">
        <f>IF(ISNUMBER(W3916),'자료_거시'!$G3898,"")</f>
        <v/>
      </c>
      <c r="Y3916">
        <f>IF(ISNUMBER(X3916),IF(X3916&gt;$L$7,W3916,""),"")</f>
        <v/>
      </c>
      <c r="Z3916">
        <f>IF(ISNUMBER('자료_거시'!$K3898),'자료_거시'!$K3898,Z3915)</f>
        <v/>
      </c>
      <c r="AA3916">
        <f>IF(AND(ISNUMBER('자료_거시'!$J3898),ISNUMBER('자료_거시'!$K3898)),IFERROR('자료_거시'!$K3898/INDEX($Z$21:$Z$4020,MATCH(EDATE('자료_거시'!$J3898,-'설정'!$B$17),'자료_거시'!$J$3:INDEX('자료_거시'!$J$3:$J$4002,$K$8),1))-1,""),"")</f>
        <v/>
      </c>
      <c r="AB3916">
        <f>IF(ISNUMBER(AA3916),'자료_거시'!$J3898,"")</f>
        <v/>
      </c>
      <c r="AC3916">
        <f>IF(ISNUMBER(AB3916),IF(AB3916&gt;$L$8,AA3916,""),"")</f>
        <v/>
      </c>
    </row>
    <row r="3917">
      <c r="S3917">
        <f>IF(ISNUMBER('자료_거시'!$E3899),'자료_거시'!$E3899,S3916)</f>
        <v/>
      </c>
      <c r="T3917">
        <f>IF(AND(ISNUMBER('자료_거시'!$D3899),ISNUMBER('자료_거시'!$E3899)),IFERROR('자료_거시'!$E3899-INDEX($S$21:$S$4020,MATCH(EDATE('자료_거시'!$D3899,-'설정'!$B$17),'자료_거시'!$D$3:INDEX('자료_거시'!$D$3:$D$4002,$K$6),1)),""),"")</f>
        <v/>
      </c>
      <c r="U3917">
        <f>IF(ISNUMBER(T3917),'자료_거시'!$D3899,"")</f>
        <v/>
      </c>
      <c r="V3917">
        <f>IF(ISNUMBER(U3917),IF(U3917&gt;$L$6,T3917,""),"")</f>
        <v/>
      </c>
      <c r="W3917">
        <f>IF(AND(ISNUMBER('자료_거시'!$G3899),ISNUMBER('자료_거시'!$H3899)),'자료_거시'!$H3899,"")</f>
        <v/>
      </c>
      <c r="X3917">
        <f>IF(ISNUMBER(W3917),'자료_거시'!$G3899,"")</f>
        <v/>
      </c>
      <c r="Y3917">
        <f>IF(ISNUMBER(X3917),IF(X3917&gt;$L$7,W3917,""),"")</f>
        <v/>
      </c>
      <c r="Z3917">
        <f>IF(ISNUMBER('자료_거시'!$K3899),'자료_거시'!$K3899,Z3916)</f>
        <v/>
      </c>
      <c r="AA3917">
        <f>IF(AND(ISNUMBER('자료_거시'!$J3899),ISNUMBER('자료_거시'!$K3899)),IFERROR('자료_거시'!$K3899/INDEX($Z$21:$Z$4020,MATCH(EDATE('자료_거시'!$J3899,-'설정'!$B$17),'자료_거시'!$J$3:INDEX('자료_거시'!$J$3:$J$4002,$K$8),1))-1,""),"")</f>
        <v/>
      </c>
      <c r="AB3917">
        <f>IF(ISNUMBER(AA3917),'자료_거시'!$J3899,"")</f>
        <v/>
      </c>
      <c r="AC3917">
        <f>IF(ISNUMBER(AB3917),IF(AB3917&gt;$L$8,AA3917,""),"")</f>
        <v/>
      </c>
    </row>
    <row r="3918">
      <c r="S3918">
        <f>IF(ISNUMBER('자료_거시'!$E3900),'자료_거시'!$E3900,S3917)</f>
        <v/>
      </c>
      <c r="T3918">
        <f>IF(AND(ISNUMBER('자료_거시'!$D3900),ISNUMBER('자료_거시'!$E3900)),IFERROR('자료_거시'!$E3900-INDEX($S$21:$S$4020,MATCH(EDATE('자료_거시'!$D3900,-'설정'!$B$17),'자료_거시'!$D$3:INDEX('자료_거시'!$D$3:$D$4002,$K$6),1)),""),"")</f>
        <v/>
      </c>
      <c r="U3918">
        <f>IF(ISNUMBER(T3918),'자료_거시'!$D3900,"")</f>
        <v/>
      </c>
      <c r="V3918">
        <f>IF(ISNUMBER(U3918),IF(U3918&gt;$L$6,T3918,""),"")</f>
        <v/>
      </c>
      <c r="W3918">
        <f>IF(AND(ISNUMBER('자료_거시'!$G3900),ISNUMBER('자료_거시'!$H3900)),'자료_거시'!$H3900,"")</f>
        <v/>
      </c>
      <c r="X3918">
        <f>IF(ISNUMBER(W3918),'자료_거시'!$G3900,"")</f>
        <v/>
      </c>
      <c r="Y3918">
        <f>IF(ISNUMBER(X3918),IF(X3918&gt;$L$7,W3918,""),"")</f>
        <v/>
      </c>
      <c r="Z3918">
        <f>IF(ISNUMBER('자료_거시'!$K3900),'자료_거시'!$K3900,Z3917)</f>
        <v/>
      </c>
      <c r="AA3918">
        <f>IF(AND(ISNUMBER('자료_거시'!$J3900),ISNUMBER('자료_거시'!$K3900)),IFERROR('자료_거시'!$K3900/INDEX($Z$21:$Z$4020,MATCH(EDATE('자료_거시'!$J3900,-'설정'!$B$17),'자료_거시'!$J$3:INDEX('자료_거시'!$J$3:$J$4002,$K$8),1))-1,""),"")</f>
        <v/>
      </c>
      <c r="AB3918">
        <f>IF(ISNUMBER(AA3918),'자료_거시'!$J3900,"")</f>
        <v/>
      </c>
      <c r="AC3918">
        <f>IF(ISNUMBER(AB3918),IF(AB3918&gt;$L$8,AA3918,""),"")</f>
        <v/>
      </c>
    </row>
    <row r="3919">
      <c r="S3919">
        <f>IF(ISNUMBER('자료_거시'!$E3901),'자료_거시'!$E3901,S3918)</f>
        <v/>
      </c>
      <c r="T3919">
        <f>IF(AND(ISNUMBER('자료_거시'!$D3901),ISNUMBER('자료_거시'!$E3901)),IFERROR('자료_거시'!$E3901-INDEX($S$21:$S$4020,MATCH(EDATE('자료_거시'!$D3901,-'설정'!$B$17),'자료_거시'!$D$3:INDEX('자료_거시'!$D$3:$D$4002,$K$6),1)),""),"")</f>
        <v/>
      </c>
      <c r="U3919">
        <f>IF(ISNUMBER(T3919),'자료_거시'!$D3901,"")</f>
        <v/>
      </c>
      <c r="V3919">
        <f>IF(ISNUMBER(U3919),IF(U3919&gt;$L$6,T3919,""),"")</f>
        <v/>
      </c>
      <c r="W3919">
        <f>IF(AND(ISNUMBER('자료_거시'!$G3901),ISNUMBER('자료_거시'!$H3901)),'자료_거시'!$H3901,"")</f>
        <v/>
      </c>
      <c r="X3919">
        <f>IF(ISNUMBER(W3919),'자료_거시'!$G3901,"")</f>
        <v/>
      </c>
      <c r="Y3919">
        <f>IF(ISNUMBER(X3919),IF(X3919&gt;$L$7,W3919,""),"")</f>
        <v/>
      </c>
      <c r="Z3919">
        <f>IF(ISNUMBER('자료_거시'!$K3901),'자료_거시'!$K3901,Z3918)</f>
        <v/>
      </c>
      <c r="AA3919">
        <f>IF(AND(ISNUMBER('자료_거시'!$J3901),ISNUMBER('자료_거시'!$K3901)),IFERROR('자료_거시'!$K3901/INDEX($Z$21:$Z$4020,MATCH(EDATE('자료_거시'!$J3901,-'설정'!$B$17),'자료_거시'!$J$3:INDEX('자료_거시'!$J$3:$J$4002,$K$8),1))-1,""),"")</f>
        <v/>
      </c>
      <c r="AB3919">
        <f>IF(ISNUMBER(AA3919),'자료_거시'!$J3901,"")</f>
        <v/>
      </c>
      <c r="AC3919">
        <f>IF(ISNUMBER(AB3919),IF(AB3919&gt;$L$8,AA3919,""),"")</f>
        <v/>
      </c>
    </row>
    <row r="3920">
      <c r="S3920">
        <f>IF(ISNUMBER('자료_거시'!$E3902),'자료_거시'!$E3902,S3919)</f>
        <v/>
      </c>
      <c r="T3920">
        <f>IF(AND(ISNUMBER('자료_거시'!$D3902),ISNUMBER('자료_거시'!$E3902)),IFERROR('자료_거시'!$E3902-INDEX($S$21:$S$4020,MATCH(EDATE('자료_거시'!$D3902,-'설정'!$B$17),'자료_거시'!$D$3:INDEX('자료_거시'!$D$3:$D$4002,$K$6),1)),""),"")</f>
        <v/>
      </c>
      <c r="U3920">
        <f>IF(ISNUMBER(T3920),'자료_거시'!$D3902,"")</f>
        <v/>
      </c>
      <c r="V3920">
        <f>IF(ISNUMBER(U3920),IF(U3920&gt;$L$6,T3920,""),"")</f>
        <v/>
      </c>
      <c r="W3920">
        <f>IF(AND(ISNUMBER('자료_거시'!$G3902),ISNUMBER('자료_거시'!$H3902)),'자료_거시'!$H3902,"")</f>
        <v/>
      </c>
      <c r="X3920">
        <f>IF(ISNUMBER(W3920),'자료_거시'!$G3902,"")</f>
        <v/>
      </c>
      <c r="Y3920">
        <f>IF(ISNUMBER(X3920),IF(X3920&gt;$L$7,W3920,""),"")</f>
        <v/>
      </c>
      <c r="Z3920">
        <f>IF(ISNUMBER('자료_거시'!$K3902),'자료_거시'!$K3902,Z3919)</f>
        <v/>
      </c>
      <c r="AA3920">
        <f>IF(AND(ISNUMBER('자료_거시'!$J3902),ISNUMBER('자료_거시'!$K3902)),IFERROR('자료_거시'!$K3902/INDEX($Z$21:$Z$4020,MATCH(EDATE('자료_거시'!$J3902,-'설정'!$B$17),'자료_거시'!$J$3:INDEX('자료_거시'!$J$3:$J$4002,$K$8),1))-1,""),"")</f>
        <v/>
      </c>
      <c r="AB3920">
        <f>IF(ISNUMBER(AA3920),'자료_거시'!$J3902,"")</f>
        <v/>
      </c>
      <c r="AC3920">
        <f>IF(ISNUMBER(AB3920),IF(AB3920&gt;$L$8,AA3920,""),"")</f>
        <v/>
      </c>
    </row>
    <row r="3921">
      <c r="S3921">
        <f>IF(ISNUMBER('자료_거시'!$E3903),'자료_거시'!$E3903,S3920)</f>
        <v/>
      </c>
      <c r="T3921">
        <f>IF(AND(ISNUMBER('자료_거시'!$D3903),ISNUMBER('자료_거시'!$E3903)),IFERROR('자료_거시'!$E3903-INDEX($S$21:$S$4020,MATCH(EDATE('자료_거시'!$D3903,-'설정'!$B$17),'자료_거시'!$D$3:INDEX('자료_거시'!$D$3:$D$4002,$K$6),1)),""),"")</f>
        <v/>
      </c>
      <c r="U3921">
        <f>IF(ISNUMBER(T3921),'자료_거시'!$D3903,"")</f>
        <v/>
      </c>
      <c r="V3921">
        <f>IF(ISNUMBER(U3921),IF(U3921&gt;$L$6,T3921,""),"")</f>
        <v/>
      </c>
      <c r="W3921">
        <f>IF(AND(ISNUMBER('자료_거시'!$G3903),ISNUMBER('자료_거시'!$H3903)),'자료_거시'!$H3903,"")</f>
        <v/>
      </c>
      <c r="X3921">
        <f>IF(ISNUMBER(W3921),'자료_거시'!$G3903,"")</f>
        <v/>
      </c>
      <c r="Y3921">
        <f>IF(ISNUMBER(X3921),IF(X3921&gt;$L$7,W3921,""),"")</f>
        <v/>
      </c>
      <c r="Z3921">
        <f>IF(ISNUMBER('자료_거시'!$K3903),'자료_거시'!$K3903,Z3920)</f>
        <v/>
      </c>
      <c r="AA3921">
        <f>IF(AND(ISNUMBER('자료_거시'!$J3903),ISNUMBER('자료_거시'!$K3903)),IFERROR('자료_거시'!$K3903/INDEX($Z$21:$Z$4020,MATCH(EDATE('자료_거시'!$J3903,-'설정'!$B$17),'자료_거시'!$J$3:INDEX('자료_거시'!$J$3:$J$4002,$K$8),1))-1,""),"")</f>
        <v/>
      </c>
      <c r="AB3921">
        <f>IF(ISNUMBER(AA3921),'자료_거시'!$J3903,"")</f>
        <v/>
      </c>
      <c r="AC3921">
        <f>IF(ISNUMBER(AB3921),IF(AB3921&gt;$L$8,AA3921,""),"")</f>
        <v/>
      </c>
    </row>
    <row r="3922">
      <c r="S3922">
        <f>IF(ISNUMBER('자료_거시'!$E3904),'자료_거시'!$E3904,S3921)</f>
        <v/>
      </c>
      <c r="T3922">
        <f>IF(AND(ISNUMBER('자료_거시'!$D3904),ISNUMBER('자료_거시'!$E3904)),IFERROR('자료_거시'!$E3904-INDEX($S$21:$S$4020,MATCH(EDATE('자료_거시'!$D3904,-'설정'!$B$17),'자료_거시'!$D$3:INDEX('자료_거시'!$D$3:$D$4002,$K$6),1)),""),"")</f>
        <v/>
      </c>
      <c r="U3922">
        <f>IF(ISNUMBER(T3922),'자료_거시'!$D3904,"")</f>
        <v/>
      </c>
      <c r="V3922">
        <f>IF(ISNUMBER(U3922),IF(U3922&gt;$L$6,T3922,""),"")</f>
        <v/>
      </c>
      <c r="W3922">
        <f>IF(AND(ISNUMBER('자료_거시'!$G3904),ISNUMBER('자료_거시'!$H3904)),'자료_거시'!$H3904,"")</f>
        <v/>
      </c>
      <c r="X3922">
        <f>IF(ISNUMBER(W3922),'자료_거시'!$G3904,"")</f>
        <v/>
      </c>
      <c r="Y3922">
        <f>IF(ISNUMBER(X3922),IF(X3922&gt;$L$7,W3922,""),"")</f>
        <v/>
      </c>
      <c r="Z3922">
        <f>IF(ISNUMBER('자료_거시'!$K3904),'자료_거시'!$K3904,Z3921)</f>
        <v/>
      </c>
      <c r="AA3922">
        <f>IF(AND(ISNUMBER('자료_거시'!$J3904),ISNUMBER('자료_거시'!$K3904)),IFERROR('자료_거시'!$K3904/INDEX($Z$21:$Z$4020,MATCH(EDATE('자료_거시'!$J3904,-'설정'!$B$17),'자료_거시'!$J$3:INDEX('자료_거시'!$J$3:$J$4002,$K$8),1))-1,""),"")</f>
        <v/>
      </c>
      <c r="AB3922">
        <f>IF(ISNUMBER(AA3922),'자료_거시'!$J3904,"")</f>
        <v/>
      </c>
      <c r="AC3922">
        <f>IF(ISNUMBER(AB3922),IF(AB3922&gt;$L$8,AA3922,""),"")</f>
        <v/>
      </c>
    </row>
    <row r="3923">
      <c r="S3923">
        <f>IF(ISNUMBER('자료_거시'!$E3905),'자료_거시'!$E3905,S3922)</f>
        <v/>
      </c>
      <c r="T3923">
        <f>IF(AND(ISNUMBER('자료_거시'!$D3905),ISNUMBER('자료_거시'!$E3905)),IFERROR('자료_거시'!$E3905-INDEX($S$21:$S$4020,MATCH(EDATE('자료_거시'!$D3905,-'설정'!$B$17),'자료_거시'!$D$3:INDEX('자료_거시'!$D$3:$D$4002,$K$6),1)),""),"")</f>
        <v/>
      </c>
      <c r="U3923">
        <f>IF(ISNUMBER(T3923),'자료_거시'!$D3905,"")</f>
        <v/>
      </c>
      <c r="V3923">
        <f>IF(ISNUMBER(U3923),IF(U3923&gt;$L$6,T3923,""),"")</f>
        <v/>
      </c>
      <c r="W3923">
        <f>IF(AND(ISNUMBER('자료_거시'!$G3905),ISNUMBER('자료_거시'!$H3905)),'자료_거시'!$H3905,"")</f>
        <v/>
      </c>
      <c r="X3923">
        <f>IF(ISNUMBER(W3923),'자료_거시'!$G3905,"")</f>
        <v/>
      </c>
      <c r="Y3923">
        <f>IF(ISNUMBER(X3923),IF(X3923&gt;$L$7,W3923,""),"")</f>
        <v/>
      </c>
      <c r="Z3923">
        <f>IF(ISNUMBER('자료_거시'!$K3905),'자료_거시'!$K3905,Z3922)</f>
        <v/>
      </c>
      <c r="AA3923">
        <f>IF(AND(ISNUMBER('자료_거시'!$J3905),ISNUMBER('자료_거시'!$K3905)),IFERROR('자료_거시'!$K3905/INDEX($Z$21:$Z$4020,MATCH(EDATE('자료_거시'!$J3905,-'설정'!$B$17),'자료_거시'!$J$3:INDEX('자료_거시'!$J$3:$J$4002,$K$8),1))-1,""),"")</f>
        <v/>
      </c>
      <c r="AB3923">
        <f>IF(ISNUMBER(AA3923),'자료_거시'!$J3905,"")</f>
        <v/>
      </c>
      <c r="AC3923">
        <f>IF(ISNUMBER(AB3923),IF(AB3923&gt;$L$8,AA3923,""),"")</f>
        <v/>
      </c>
    </row>
    <row r="3924">
      <c r="S3924">
        <f>IF(ISNUMBER('자료_거시'!$E3906),'자료_거시'!$E3906,S3923)</f>
        <v/>
      </c>
      <c r="T3924">
        <f>IF(AND(ISNUMBER('자료_거시'!$D3906),ISNUMBER('자료_거시'!$E3906)),IFERROR('자료_거시'!$E3906-INDEX($S$21:$S$4020,MATCH(EDATE('자료_거시'!$D3906,-'설정'!$B$17),'자료_거시'!$D$3:INDEX('자료_거시'!$D$3:$D$4002,$K$6),1)),""),"")</f>
        <v/>
      </c>
      <c r="U3924">
        <f>IF(ISNUMBER(T3924),'자료_거시'!$D3906,"")</f>
        <v/>
      </c>
      <c r="V3924">
        <f>IF(ISNUMBER(U3924),IF(U3924&gt;$L$6,T3924,""),"")</f>
        <v/>
      </c>
      <c r="W3924">
        <f>IF(AND(ISNUMBER('자료_거시'!$G3906),ISNUMBER('자료_거시'!$H3906)),'자료_거시'!$H3906,"")</f>
        <v/>
      </c>
      <c r="X3924">
        <f>IF(ISNUMBER(W3924),'자료_거시'!$G3906,"")</f>
        <v/>
      </c>
      <c r="Y3924">
        <f>IF(ISNUMBER(X3924),IF(X3924&gt;$L$7,W3924,""),"")</f>
        <v/>
      </c>
      <c r="Z3924">
        <f>IF(ISNUMBER('자료_거시'!$K3906),'자료_거시'!$K3906,Z3923)</f>
        <v/>
      </c>
      <c r="AA3924">
        <f>IF(AND(ISNUMBER('자료_거시'!$J3906),ISNUMBER('자료_거시'!$K3906)),IFERROR('자료_거시'!$K3906/INDEX($Z$21:$Z$4020,MATCH(EDATE('자료_거시'!$J3906,-'설정'!$B$17),'자료_거시'!$J$3:INDEX('자료_거시'!$J$3:$J$4002,$K$8),1))-1,""),"")</f>
        <v/>
      </c>
      <c r="AB3924">
        <f>IF(ISNUMBER(AA3924),'자료_거시'!$J3906,"")</f>
        <v/>
      </c>
      <c r="AC3924">
        <f>IF(ISNUMBER(AB3924),IF(AB3924&gt;$L$8,AA3924,""),"")</f>
        <v/>
      </c>
    </row>
    <row r="3925">
      <c r="S3925">
        <f>IF(ISNUMBER('자료_거시'!$E3907),'자료_거시'!$E3907,S3924)</f>
        <v/>
      </c>
      <c r="T3925">
        <f>IF(AND(ISNUMBER('자료_거시'!$D3907),ISNUMBER('자료_거시'!$E3907)),IFERROR('자료_거시'!$E3907-INDEX($S$21:$S$4020,MATCH(EDATE('자료_거시'!$D3907,-'설정'!$B$17),'자료_거시'!$D$3:INDEX('자료_거시'!$D$3:$D$4002,$K$6),1)),""),"")</f>
        <v/>
      </c>
      <c r="U3925">
        <f>IF(ISNUMBER(T3925),'자료_거시'!$D3907,"")</f>
        <v/>
      </c>
      <c r="V3925">
        <f>IF(ISNUMBER(U3925),IF(U3925&gt;$L$6,T3925,""),"")</f>
        <v/>
      </c>
      <c r="W3925">
        <f>IF(AND(ISNUMBER('자료_거시'!$G3907),ISNUMBER('자료_거시'!$H3907)),'자료_거시'!$H3907,"")</f>
        <v/>
      </c>
      <c r="X3925">
        <f>IF(ISNUMBER(W3925),'자료_거시'!$G3907,"")</f>
        <v/>
      </c>
      <c r="Y3925">
        <f>IF(ISNUMBER(X3925),IF(X3925&gt;$L$7,W3925,""),"")</f>
        <v/>
      </c>
      <c r="Z3925">
        <f>IF(ISNUMBER('자료_거시'!$K3907),'자료_거시'!$K3907,Z3924)</f>
        <v/>
      </c>
      <c r="AA3925">
        <f>IF(AND(ISNUMBER('자료_거시'!$J3907),ISNUMBER('자료_거시'!$K3907)),IFERROR('자료_거시'!$K3907/INDEX($Z$21:$Z$4020,MATCH(EDATE('자료_거시'!$J3907,-'설정'!$B$17),'자료_거시'!$J$3:INDEX('자료_거시'!$J$3:$J$4002,$K$8),1))-1,""),"")</f>
        <v/>
      </c>
      <c r="AB3925">
        <f>IF(ISNUMBER(AA3925),'자료_거시'!$J3907,"")</f>
        <v/>
      </c>
      <c r="AC3925">
        <f>IF(ISNUMBER(AB3925),IF(AB3925&gt;$L$8,AA3925,""),"")</f>
        <v/>
      </c>
    </row>
    <row r="3926">
      <c r="S3926">
        <f>IF(ISNUMBER('자료_거시'!$E3908),'자료_거시'!$E3908,S3925)</f>
        <v/>
      </c>
      <c r="T3926">
        <f>IF(AND(ISNUMBER('자료_거시'!$D3908),ISNUMBER('자료_거시'!$E3908)),IFERROR('자료_거시'!$E3908-INDEX($S$21:$S$4020,MATCH(EDATE('자료_거시'!$D3908,-'설정'!$B$17),'자료_거시'!$D$3:INDEX('자료_거시'!$D$3:$D$4002,$K$6),1)),""),"")</f>
        <v/>
      </c>
      <c r="U3926">
        <f>IF(ISNUMBER(T3926),'자료_거시'!$D3908,"")</f>
        <v/>
      </c>
      <c r="V3926">
        <f>IF(ISNUMBER(U3926),IF(U3926&gt;$L$6,T3926,""),"")</f>
        <v/>
      </c>
      <c r="W3926">
        <f>IF(AND(ISNUMBER('자료_거시'!$G3908),ISNUMBER('자료_거시'!$H3908)),'자료_거시'!$H3908,"")</f>
        <v/>
      </c>
      <c r="X3926">
        <f>IF(ISNUMBER(W3926),'자료_거시'!$G3908,"")</f>
        <v/>
      </c>
      <c r="Y3926">
        <f>IF(ISNUMBER(X3926),IF(X3926&gt;$L$7,W3926,""),"")</f>
        <v/>
      </c>
      <c r="Z3926">
        <f>IF(ISNUMBER('자료_거시'!$K3908),'자료_거시'!$K3908,Z3925)</f>
        <v/>
      </c>
      <c r="AA3926">
        <f>IF(AND(ISNUMBER('자료_거시'!$J3908),ISNUMBER('자료_거시'!$K3908)),IFERROR('자료_거시'!$K3908/INDEX($Z$21:$Z$4020,MATCH(EDATE('자료_거시'!$J3908,-'설정'!$B$17),'자료_거시'!$J$3:INDEX('자료_거시'!$J$3:$J$4002,$K$8),1))-1,""),"")</f>
        <v/>
      </c>
      <c r="AB3926">
        <f>IF(ISNUMBER(AA3926),'자료_거시'!$J3908,"")</f>
        <v/>
      </c>
      <c r="AC3926">
        <f>IF(ISNUMBER(AB3926),IF(AB3926&gt;$L$8,AA3926,""),"")</f>
        <v/>
      </c>
    </row>
    <row r="3927">
      <c r="S3927">
        <f>IF(ISNUMBER('자료_거시'!$E3909),'자료_거시'!$E3909,S3926)</f>
        <v/>
      </c>
      <c r="T3927">
        <f>IF(AND(ISNUMBER('자료_거시'!$D3909),ISNUMBER('자료_거시'!$E3909)),IFERROR('자료_거시'!$E3909-INDEX($S$21:$S$4020,MATCH(EDATE('자료_거시'!$D3909,-'설정'!$B$17),'자료_거시'!$D$3:INDEX('자료_거시'!$D$3:$D$4002,$K$6),1)),""),"")</f>
        <v/>
      </c>
      <c r="U3927">
        <f>IF(ISNUMBER(T3927),'자료_거시'!$D3909,"")</f>
        <v/>
      </c>
      <c r="V3927">
        <f>IF(ISNUMBER(U3927),IF(U3927&gt;$L$6,T3927,""),"")</f>
        <v/>
      </c>
      <c r="W3927">
        <f>IF(AND(ISNUMBER('자료_거시'!$G3909),ISNUMBER('자료_거시'!$H3909)),'자료_거시'!$H3909,"")</f>
        <v/>
      </c>
      <c r="X3927">
        <f>IF(ISNUMBER(W3927),'자료_거시'!$G3909,"")</f>
        <v/>
      </c>
      <c r="Y3927">
        <f>IF(ISNUMBER(X3927),IF(X3927&gt;$L$7,W3927,""),"")</f>
        <v/>
      </c>
      <c r="Z3927">
        <f>IF(ISNUMBER('자료_거시'!$K3909),'자료_거시'!$K3909,Z3926)</f>
        <v/>
      </c>
      <c r="AA3927">
        <f>IF(AND(ISNUMBER('자료_거시'!$J3909),ISNUMBER('자료_거시'!$K3909)),IFERROR('자료_거시'!$K3909/INDEX($Z$21:$Z$4020,MATCH(EDATE('자료_거시'!$J3909,-'설정'!$B$17),'자료_거시'!$J$3:INDEX('자료_거시'!$J$3:$J$4002,$K$8),1))-1,""),"")</f>
        <v/>
      </c>
      <c r="AB3927">
        <f>IF(ISNUMBER(AA3927),'자료_거시'!$J3909,"")</f>
        <v/>
      </c>
      <c r="AC3927">
        <f>IF(ISNUMBER(AB3927),IF(AB3927&gt;$L$8,AA3927,""),"")</f>
        <v/>
      </c>
    </row>
    <row r="3928">
      <c r="S3928">
        <f>IF(ISNUMBER('자료_거시'!$E3910),'자료_거시'!$E3910,S3927)</f>
        <v/>
      </c>
      <c r="T3928">
        <f>IF(AND(ISNUMBER('자료_거시'!$D3910),ISNUMBER('자료_거시'!$E3910)),IFERROR('자료_거시'!$E3910-INDEX($S$21:$S$4020,MATCH(EDATE('자료_거시'!$D3910,-'설정'!$B$17),'자료_거시'!$D$3:INDEX('자료_거시'!$D$3:$D$4002,$K$6),1)),""),"")</f>
        <v/>
      </c>
      <c r="U3928">
        <f>IF(ISNUMBER(T3928),'자료_거시'!$D3910,"")</f>
        <v/>
      </c>
      <c r="V3928">
        <f>IF(ISNUMBER(U3928),IF(U3928&gt;$L$6,T3928,""),"")</f>
        <v/>
      </c>
      <c r="W3928">
        <f>IF(AND(ISNUMBER('자료_거시'!$G3910),ISNUMBER('자료_거시'!$H3910)),'자료_거시'!$H3910,"")</f>
        <v/>
      </c>
      <c r="X3928">
        <f>IF(ISNUMBER(W3928),'자료_거시'!$G3910,"")</f>
        <v/>
      </c>
      <c r="Y3928">
        <f>IF(ISNUMBER(X3928),IF(X3928&gt;$L$7,W3928,""),"")</f>
        <v/>
      </c>
      <c r="Z3928">
        <f>IF(ISNUMBER('자료_거시'!$K3910),'자료_거시'!$K3910,Z3927)</f>
        <v/>
      </c>
      <c r="AA3928">
        <f>IF(AND(ISNUMBER('자료_거시'!$J3910),ISNUMBER('자료_거시'!$K3910)),IFERROR('자료_거시'!$K3910/INDEX($Z$21:$Z$4020,MATCH(EDATE('자료_거시'!$J3910,-'설정'!$B$17),'자료_거시'!$J$3:INDEX('자료_거시'!$J$3:$J$4002,$K$8),1))-1,""),"")</f>
        <v/>
      </c>
      <c r="AB3928">
        <f>IF(ISNUMBER(AA3928),'자료_거시'!$J3910,"")</f>
        <v/>
      </c>
      <c r="AC3928">
        <f>IF(ISNUMBER(AB3928),IF(AB3928&gt;$L$8,AA3928,""),"")</f>
        <v/>
      </c>
    </row>
    <row r="3929">
      <c r="S3929">
        <f>IF(ISNUMBER('자료_거시'!$E3911),'자료_거시'!$E3911,S3928)</f>
        <v/>
      </c>
      <c r="T3929">
        <f>IF(AND(ISNUMBER('자료_거시'!$D3911),ISNUMBER('자료_거시'!$E3911)),IFERROR('자료_거시'!$E3911-INDEX($S$21:$S$4020,MATCH(EDATE('자료_거시'!$D3911,-'설정'!$B$17),'자료_거시'!$D$3:INDEX('자료_거시'!$D$3:$D$4002,$K$6),1)),""),"")</f>
        <v/>
      </c>
      <c r="U3929">
        <f>IF(ISNUMBER(T3929),'자료_거시'!$D3911,"")</f>
        <v/>
      </c>
      <c r="V3929">
        <f>IF(ISNUMBER(U3929),IF(U3929&gt;$L$6,T3929,""),"")</f>
        <v/>
      </c>
      <c r="W3929">
        <f>IF(AND(ISNUMBER('자료_거시'!$G3911),ISNUMBER('자료_거시'!$H3911)),'자료_거시'!$H3911,"")</f>
        <v/>
      </c>
      <c r="X3929">
        <f>IF(ISNUMBER(W3929),'자료_거시'!$G3911,"")</f>
        <v/>
      </c>
      <c r="Y3929">
        <f>IF(ISNUMBER(X3929),IF(X3929&gt;$L$7,W3929,""),"")</f>
        <v/>
      </c>
      <c r="Z3929">
        <f>IF(ISNUMBER('자료_거시'!$K3911),'자료_거시'!$K3911,Z3928)</f>
        <v/>
      </c>
      <c r="AA3929">
        <f>IF(AND(ISNUMBER('자료_거시'!$J3911),ISNUMBER('자료_거시'!$K3911)),IFERROR('자료_거시'!$K3911/INDEX($Z$21:$Z$4020,MATCH(EDATE('자료_거시'!$J3911,-'설정'!$B$17),'자료_거시'!$J$3:INDEX('자료_거시'!$J$3:$J$4002,$K$8),1))-1,""),"")</f>
        <v/>
      </c>
      <c r="AB3929">
        <f>IF(ISNUMBER(AA3929),'자료_거시'!$J3911,"")</f>
        <v/>
      </c>
      <c r="AC3929">
        <f>IF(ISNUMBER(AB3929),IF(AB3929&gt;$L$8,AA3929,""),"")</f>
        <v/>
      </c>
    </row>
    <row r="3930">
      <c r="S3930">
        <f>IF(ISNUMBER('자료_거시'!$E3912),'자료_거시'!$E3912,S3929)</f>
        <v/>
      </c>
      <c r="T3930">
        <f>IF(AND(ISNUMBER('자료_거시'!$D3912),ISNUMBER('자료_거시'!$E3912)),IFERROR('자료_거시'!$E3912-INDEX($S$21:$S$4020,MATCH(EDATE('자료_거시'!$D3912,-'설정'!$B$17),'자료_거시'!$D$3:INDEX('자료_거시'!$D$3:$D$4002,$K$6),1)),""),"")</f>
        <v/>
      </c>
      <c r="U3930">
        <f>IF(ISNUMBER(T3930),'자료_거시'!$D3912,"")</f>
        <v/>
      </c>
      <c r="V3930">
        <f>IF(ISNUMBER(U3930),IF(U3930&gt;$L$6,T3930,""),"")</f>
        <v/>
      </c>
      <c r="W3930">
        <f>IF(AND(ISNUMBER('자료_거시'!$G3912),ISNUMBER('자료_거시'!$H3912)),'자료_거시'!$H3912,"")</f>
        <v/>
      </c>
      <c r="X3930">
        <f>IF(ISNUMBER(W3930),'자료_거시'!$G3912,"")</f>
        <v/>
      </c>
      <c r="Y3930">
        <f>IF(ISNUMBER(X3930),IF(X3930&gt;$L$7,W3930,""),"")</f>
        <v/>
      </c>
      <c r="Z3930">
        <f>IF(ISNUMBER('자료_거시'!$K3912),'자료_거시'!$K3912,Z3929)</f>
        <v/>
      </c>
      <c r="AA3930">
        <f>IF(AND(ISNUMBER('자료_거시'!$J3912),ISNUMBER('자료_거시'!$K3912)),IFERROR('자료_거시'!$K3912/INDEX($Z$21:$Z$4020,MATCH(EDATE('자료_거시'!$J3912,-'설정'!$B$17),'자료_거시'!$J$3:INDEX('자료_거시'!$J$3:$J$4002,$K$8),1))-1,""),"")</f>
        <v/>
      </c>
      <c r="AB3930">
        <f>IF(ISNUMBER(AA3930),'자료_거시'!$J3912,"")</f>
        <v/>
      </c>
      <c r="AC3930">
        <f>IF(ISNUMBER(AB3930),IF(AB3930&gt;$L$8,AA3930,""),"")</f>
        <v/>
      </c>
    </row>
    <row r="3931">
      <c r="S3931">
        <f>IF(ISNUMBER('자료_거시'!$E3913),'자료_거시'!$E3913,S3930)</f>
        <v/>
      </c>
      <c r="T3931">
        <f>IF(AND(ISNUMBER('자료_거시'!$D3913),ISNUMBER('자료_거시'!$E3913)),IFERROR('자료_거시'!$E3913-INDEX($S$21:$S$4020,MATCH(EDATE('자료_거시'!$D3913,-'설정'!$B$17),'자료_거시'!$D$3:INDEX('자료_거시'!$D$3:$D$4002,$K$6),1)),""),"")</f>
        <v/>
      </c>
      <c r="U3931">
        <f>IF(ISNUMBER(T3931),'자료_거시'!$D3913,"")</f>
        <v/>
      </c>
      <c r="V3931">
        <f>IF(ISNUMBER(U3931),IF(U3931&gt;$L$6,T3931,""),"")</f>
        <v/>
      </c>
      <c r="W3931">
        <f>IF(AND(ISNUMBER('자료_거시'!$G3913),ISNUMBER('자료_거시'!$H3913)),'자료_거시'!$H3913,"")</f>
        <v/>
      </c>
      <c r="X3931">
        <f>IF(ISNUMBER(W3931),'자료_거시'!$G3913,"")</f>
        <v/>
      </c>
      <c r="Y3931">
        <f>IF(ISNUMBER(X3931),IF(X3931&gt;$L$7,W3931,""),"")</f>
        <v/>
      </c>
      <c r="Z3931">
        <f>IF(ISNUMBER('자료_거시'!$K3913),'자료_거시'!$K3913,Z3930)</f>
        <v/>
      </c>
      <c r="AA3931">
        <f>IF(AND(ISNUMBER('자료_거시'!$J3913),ISNUMBER('자료_거시'!$K3913)),IFERROR('자료_거시'!$K3913/INDEX($Z$21:$Z$4020,MATCH(EDATE('자료_거시'!$J3913,-'설정'!$B$17),'자료_거시'!$J$3:INDEX('자료_거시'!$J$3:$J$4002,$K$8),1))-1,""),"")</f>
        <v/>
      </c>
      <c r="AB3931">
        <f>IF(ISNUMBER(AA3931),'자료_거시'!$J3913,"")</f>
        <v/>
      </c>
      <c r="AC3931">
        <f>IF(ISNUMBER(AB3931),IF(AB3931&gt;$L$8,AA3931,""),"")</f>
        <v/>
      </c>
    </row>
    <row r="3932">
      <c r="S3932">
        <f>IF(ISNUMBER('자료_거시'!$E3914),'자료_거시'!$E3914,S3931)</f>
        <v/>
      </c>
      <c r="T3932">
        <f>IF(AND(ISNUMBER('자료_거시'!$D3914),ISNUMBER('자료_거시'!$E3914)),IFERROR('자료_거시'!$E3914-INDEX($S$21:$S$4020,MATCH(EDATE('자료_거시'!$D3914,-'설정'!$B$17),'자료_거시'!$D$3:INDEX('자료_거시'!$D$3:$D$4002,$K$6),1)),""),"")</f>
        <v/>
      </c>
      <c r="U3932">
        <f>IF(ISNUMBER(T3932),'자료_거시'!$D3914,"")</f>
        <v/>
      </c>
      <c r="V3932">
        <f>IF(ISNUMBER(U3932),IF(U3932&gt;$L$6,T3932,""),"")</f>
        <v/>
      </c>
      <c r="W3932">
        <f>IF(AND(ISNUMBER('자료_거시'!$G3914),ISNUMBER('자료_거시'!$H3914)),'자료_거시'!$H3914,"")</f>
        <v/>
      </c>
      <c r="X3932">
        <f>IF(ISNUMBER(W3932),'자료_거시'!$G3914,"")</f>
        <v/>
      </c>
      <c r="Y3932">
        <f>IF(ISNUMBER(X3932),IF(X3932&gt;$L$7,W3932,""),"")</f>
        <v/>
      </c>
      <c r="Z3932">
        <f>IF(ISNUMBER('자료_거시'!$K3914),'자료_거시'!$K3914,Z3931)</f>
        <v/>
      </c>
      <c r="AA3932">
        <f>IF(AND(ISNUMBER('자료_거시'!$J3914),ISNUMBER('자료_거시'!$K3914)),IFERROR('자료_거시'!$K3914/INDEX($Z$21:$Z$4020,MATCH(EDATE('자료_거시'!$J3914,-'설정'!$B$17),'자료_거시'!$J$3:INDEX('자료_거시'!$J$3:$J$4002,$K$8),1))-1,""),"")</f>
        <v/>
      </c>
      <c r="AB3932">
        <f>IF(ISNUMBER(AA3932),'자료_거시'!$J3914,"")</f>
        <v/>
      </c>
      <c r="AC3932">
        <f>IF(ISNUMBER(AB3932),IF(AB3932&gt;$L$8,AA3932,""),"")</f>
        <v/>
      </c>
    </row>
    <row r="3933">
      <c r="S3933">
        <f>IF(ISNUMBER('자료_거시'!$E3915),'자료_거시'!$E3915,S3932)</f>
        <v/>
      </c>
      <c r="T3933">
        <f>IF(AND(ISNUMBER('자료_거시'!$D3915),ISNUMBER('자료_거시'!$E3915)),IFERROR('자료_거시'!$E3915-INDEX($S$21:$S$4020,MATCH(EDATE('자료_거시'!$D3915,-'설정'!$B$17),'자료_거시'!$D$3:INDEX('자료_거시'!$D$3:$D$4002,$K$6),1)),""),"")</f>
        <v/>
      </c>
      <c r="U3933">
        <f>IF(ISNUMBER(T3933),'자료_거시'!$D3915,"")</f>
        <v/>
      </c>
      <c r="V3933">
        <f>IF(ISNUMBER(U3933),IF(U3933&gt;$L$6,T3933,""),"")</f>
        <v/>
      </c>
      <c r="W3933">
        <f>IF(AND(ISNUMBER('자료_거시'!$G3915),ISNUMBER('자료_거시'!$H3915)),'자료_거시'!$H3915,"")</f>
        <v/>
      </c>
      <c r="X3933">
        <f>IF(ISNUMBER(W3933),'자료_거시'!$G3915,"")</f>
        <v/>
      </c>
      <c r="Y3933">
        <f>IF(ISNUMBER(X3933),IF(X3933&gt;$L$7,W3933,""),"")</f>
        <v/>
      </c>
      <c r="Z3933">
        <f>IF(ISNUMBER('자료_거시'!$K3915),'자료_거시'!$K3915,Z3932)</f>
        <v/>
      </c>
      <c r="AA3933">
        <f>IF(AND(ISNUMBER('자료_거시'!$J3915),ISNUMBER('자료_거시'!$K3915)),IFERROR('자료_거시'!$K3915/INDEX($Z$21:$Z$4020,MATCH(EDATE('자료_거시'!$J3915,-'설정'!$B$17),'자료_거시'!$J$3:INDEX('자료_거시'!$J$3:$J$4002,$K$8),1))-1,""),"")</f>
        <v/>
      </c>
      <c r="AB3933">
        <f>IF(ISNUMBER(AA3933),'자료_거시'!$J3915,"")</f>
        <v/>
      </c>
      <c r="AC3933">
        <f>IF(ISNUMBER(AB3933),IF(AB3933&gt;$L$8,AA3933,""),"")</f>
        <v/>
      </c>
    </row>
    <row r="3934">
      <c r="S3934">
        <f>IF(ISNUMBER('자료_거시'!$E3916),'자료_거시'!$E3916,S3933)</f>
        <v/>
      </c>
      <c r="T3934">
        <f>IF(AND(ISNUMBER('자료_거시'!$D3916),ISNUMBER('자료_거시'!$E3916)),IFERROR('자료_거시'!$E3916-INDEX($S$21:$S$4020,MATCH(EDATE('자료_거시'!$D3916,-'설정'!$B$17),'자료_거시'!$D$3:INDEX('자료_거시'!$D$3:$D$4002,$K$6),1)),""),"")</f>
        <v/>
      </c>
      <c r="U3934">
        <f>IF(ISNUMBER(T3934),'자료_거시'!$D3916,"")</f>
        <v/>
      </c>
      <c r="V3934">
        <f>IF(ISNUMBER(U3934),IF(U3934&gt;$L$6,T3934,""),"")</f>
        <v/>
      </c>
      <c r="W3934">
        <f>IF(AND(ISNUMBER('자료_거시'!$G3916),ISNUMBER('자료_거시'!$H3916)),'자료_거시'!$H3916,"")</f>
        <v/>
      </c>
      <c r="X3934">
        <f>IF(ISNUMBER(W3934),'자료_거시'!$G3916,"")</f>
        <v/>
      </c>
      <c r="Y3934">
        <f>IF(ISNUMBER(X3934),IF(X3934&gt;$L$7,W3934,""),"")</f>
        <v/>
      </c>
      <c r="Z3934">
        <f>IF(ISNUMBER('자료_거시'!$K3916),'자료_거시'!$K3916,Z3933)</f>
        <v/>
      </c>
      <c r="AA3934">
        <f>IF(AND(ISNUMBER('자료_거시'!$J3916),ISNUMBER('자료_거시'!$K3916)),IFERROR('자료_거시'!$K3916/INDEX($Z$21:$Z$4020,MATCH(EDATE('자료_거시'!$J3916,-'설정'!$B$17),'자료_거시'!$J$3:INDEX('자료_거시'!$J$3:$J$4002,$K$8),1))-1,""),"")</f>
        <v/>
      </c>
      <c r="AB3934">
        <f>IF(ISNUMBER(AA3934),'자료_거시'!$J3916,"")</f>
        <v/>
      </c>
      <c r="AC3934">
        <f>IF(ISNUMBER(AB3934),IF(AB3934&gt;$L$8,AA3934,""),"")</f>
        <v/>
      </c>
    </row>
    <row r="3935">
      <c r="S3935">
        <f>IF(ISNUMBER('자료_거시'!$E3917),'자료_거시'!$E3917,S3934)</f>
        <v/>
      </c>
      <c r="T3935">
        <f>IF(AND(ISNUMBER('자료_거시'!$D3917),ISNUMBER('자료_거시'!$E3917)),IFERROR('자료_거시'!$E3917-INDEX($S$21:$S$4020,MATCH(EDATE('자료_거시'!$D3917,-'설정'!$B$17),'자료_거시'!$D$3:INDEX('자료_거시'!$D$3:$D$4002,$K$6),1)),""),"")</f>
        <v/>
      </c>
      <c r="U3935">
        <f>IF(ISNUMBER(T3935),'자료_거시'!$D3917,"")</f>
        <v/>
      </c>
      <c r="V3935">
        <f>IF(ISNUMBER(U3935),IF(U3935&gt;$L$6,T3935,""),"")</f>
        <v/>
      </c>
      <c r="W3935">
        <f>IF(AND(ISNUMBER('자료_거시'!$G3917),ISNUMBER('자료_거시'!$H3917)),'자료_거시'!$H3917,"")</f>
        <v/>
      </c>
      <c r="X3935">
        <f>IF(ISNUMBER(W3935),'자료_거시'!$G3917,"")</f>
        <v/>
      </c>
      <c r="Y3935">
        <f>IF(ISNUMBER(X3935),IF(X3935&gt;$L$7,W3935,""),"")</f>
        <v/>
      </c>
      <c r="Z3935">
        <f>IF(ISNUMBER('자료_거시'!$K3917),'자료_거시'!$K3917,Z3934)</f>
        <v/>
      </c>
      <c r="AA3935">
        <f>IF(AND(ISNUMBER('자료_거시'!$J3917),ISNUMBER('자료_거시'!$K3917)),IFERROR('자료_거시'!$K3917/INDEX($Z$21:$Z$4020,MATCH(EDATE('자료_거시'!$J3917,-'설정'!$B$17),'자료_거시'!$J$3:INDEX('자료_거시'!$J$3:$J$4002,$K$8),1))-1,""),"")</f>
        <v/>
      </c>
      <c r="AB3935">
        <f>IF(ISNUMBER(AA3935),'자료_거시'!$J3917,"")</f>
        <v/>
      </c>
      <c r="AC3935">
        <f>IF(ISNUMBER(AB3935),IF(AB3935&gt;$L$8,AA3935,""),"")</f>
        <v/>
      </c>
    </row>
    <row r="3936">
      <c r="S3936">
        <f>IF(ISNUMBER('자료_거시'!$E3918),'자료_거시'!$E3918,S3935)</f>
        <v/>
      </c>
      <c r="T3936">
        <f>IF(AND(ISNUMBER('자료_거시'!$D3918),ISNUMBER('자료_거시'!$E3918)),IFERROR('자료_거시'!$E3918-INDEX($S$21:$S$4020,MATCH(EDATE('자료_거시'!$D3918,-'설정'!$B$17),'자료_거시'!$D$3:INDEX('자료_거시'!$D$3:$D$4002,$K$6),1)),""),"")</f>
        <v/>
      </c>
      <c r="U3936">
        <f>IF(ISNUMBER(T3936),'자료_거시'!$D3918,"")</f>
        <v/>
      </c>
      <c r="V3936">
        <f>IF(ISNUMBER(U3936),IF(U3936&gt;$L$6,T3936,""),"")</f>
        <v/>
      </c>
      <c r="W3936">
        <f>IF(AND(ISNUMBER('자료_거시'!$G3918),ISNUMBER('자료_거시'!$H3918)),'자료_거시'!$H3918,"")</f>
        <v/>
      </c>
      <c r="X3936">
        <f>IF(ISNUMBER(W3936),'자료_거시'!$G3918,"")</f>
        <v/>
      </c>
      <c r="Y3936">
        <f>IF(ISNUMBER(X3936),IF(X3936&gt;$L$7,W3936,""),"")</f>
        <v/>
      </c>
      <c r="Z3936">
        <f>IF(ISNUMBER('자료_거시'!$K3918),'자료_거시'!$K3918,Z3935)</f>
        <v/>
      </c>
      <c r="AA3936">
        <f>IF(AND(ISNUMBER('자료_거시'!$J3918),ISNUMBER('자료_거시'!$K3918)),IFERROR('자료_거시'!$K3918/INDEX($Z$21:$Z$4020,MATCH(EDATE('자료_거시'!$J3918,-'설정'!$B$17),'자료_거시'!$J$3:INDEX('자료_거시'!$J$3:$J$4002,$K$8),1))-1,""),"")</f>
        <v/>
      </c>
      <c r="AB3936">
        <f>IF(ISNUMBER(AA3936),'자료_거시'!$J3918,"")</f>
        <v/>
      </c>
      <c r="AC3936">
        <f>IF(ISNUMBER(AB3936),IF(AB3936&gt;$L$8,AA3936,""),"")</f>
        <v/>
      </c>
    </row>
    <row r="3937">
      <c r="S3937">
        <f>IF(ISNUMBER('자료_거시'!$E3919),'자료_거시'!$E3919,S3936)</f>
        <v/>
      </c>
      <c r="T3937">
        <f>IF(AND(ISNUMBER('자료_거시'!$D3919),ISNUMBER('자료_거시'!$E3919)),IFERROR('자료_거시'!$E3919-INDEX($S$21:$S$4020,MATCH(EDATE('자료_거시'!$D3919,-'설정'!$B$17),'자료_거시'!$D$3:INDEX('자료_거시'!$D$3:$D$4002,$K$6),1)),""),"")</f>
        <v/>
      </c>
      <c r="U3937">
        <f>IF(ISNUMBER(T3937),'자료_거시'!$D3919,"")</f>
        <v/>
      </c>
      <c r="V3937">
        <f>IF(ISNUMBER(U3937),IF(U3937&gt;$L$6,T3937,""),"")</f>
        <v/>
      </c>
      <c r="W3937">
        <f>IF(AND(ISNUMBER('자료_거시'!$G3919),ISNUMBER('자료_거시'!$H3919)),'자료_거시'!$H3919,"")</f>
        <v/>
      </c>
      <c r="X3937">
        <f>IF(ISNUMBER(W3937),'자료_거시'!$G3919,"")</f>
        <v/>
      </c>
      <c r="Y3937">
        <f>IF(ISNUMBER(X3937),IF(X3937&gt;$L$7,W3937,""),"")</f>
        <v/>
      </c>
      <c r="Z3937">
        <f>IF(ISNUMBER('자료_거시'!$K3919),'자료_거시'!$K3919,Z3936)</f>
        <v/>
      </c>
      <c r="AA3937">
        <f>IF(AND(ISNUMBER('자료_거시'!$J3919),ISNUMBER('자료_거시'!$K3919)),IFERROR('자료_거시'!$K3919/INDEX($Z$21:$Z$4020,MATCH(EDATE('자료_거시'!$J3919,-'설정'!$B$17),'자료_거시'!$J$3:INDEX('자료_거시'!$J$3:$J$4002,$K$8),1))-1,""),"")</f>
        <v/>
      </c>
      <c r="AB3937">
        <f>IF(ISNUMBER(AA3937),'자료_거시'!$J3919,"")</f>
        <v/>
      </c>
      <c r="AC3937">
        <f>IF(ISNUMBER(AB3937),IF(AB3937&gt;$L$8,AA3937,""),"")</f>
        <v/>
      </c>
    </row>
    <row r="3938">
      <c r="S3938">
        <f>IF(ISNUMBER('자료_거시'!$E3920),'자료_거시'!$E3920,S3937)</f>
        <v/>
      </c>
      <c r="T3938">
        <f>IF(AND(ISNUMBER('자료_거시'!$D3920),ISNUMBER('자료_거시'!$E3920)),IFERROR('자료_거시'!$E3920-INDEX($S$21:$S$4020,MATCH(EDATE('자료_거시'!$D3920,-'설정'!$B$17),'자료_거시'!$D$3:INDEX('자료_거시'!$D$3:$D$4002,$K$6),1)),""),"")</f>
        <v/>
      </c>
      <c r="U3938">
        <f>IF(ISNUMBER(T3938),'자료_거시'!$D3920,"")</f>
        <v/>
      </c>
      <c r="V3938">
        <f>IF(ISNUMBER(U3938),IF(U3938&gt;$L$6,T3938,""),"")</f>
        <v/>
      </c>
      <c r="W3938">
        <f>IF(AND(ISNUMBER('자료_거시'!$G3920),ISNUMBER('자료_거시'!$H3920)),'자료_거시'!$H3920,"")</f>
        <v/>
      </c>
      <c r="X3938">
        <f>IF(ISNUMBER(W3938),'자료_거시'!$G3920,"")</f>
        <v/>
      </c>
      <c r="Y3938">
        <f>IF(ISNUMBER(X3938),IF(X3938&gt;$L$7,W3938,""),"")</f>
        <v/>
      </c>
      <c r="Z3938">
        <f>IF(ISNUMBER('자료_거시'!$K3920),'자료_거시'!$K3920,Z3937)</f>
        <v/>
      </c>
      <c r="AA3938">
        <f>IF(AND(ISNUMBER('자료_거시'!$J3920),ISNUMBER('자료_거시'!$K3920)),IFERROR('자료_거시'!$K3920/INDEX($Z$21:$Z$4020,MATCH(EDATE('자료_거시'!$J3920,-'설정'!$B$17),'자료_거시'!$J$3:INDEX('자료_거시'!$J$3:$J$4002,$K$8),1))-1,""),"")</f>
        <v/>
      </c>
      <c r="AB3938">
        <f>IF(ISNUMBER(AA3938),'자료_거시'!$J3920,"")</f>
        <v/>
      </c>
      <c r="AC3938">
        <f>IF(ISNUMBER(AB3938),IF(AB3938&gt;$L$8,AA3938,""),"")</f>
        <v/>
      </c>
    </row>
    <row r="3939">
      <c r="S3939">
        <f>IF(ISNUMBER('자료_거시'!$E3921),'자료_거시'!$E3921,S3938)</f>
        <v/>
      </c>
      <c r="T3939">
        <f>IF(AND(ISNUMBER('자료_거시'!$D3921),ISNUMBER('자료_거시'!$E3921)),IFERROR('자료_거시'!$E3921-INDEX($S$21:$S$4020,MATCH(EDATE('자료_거시'!$D3921,-'설정'!$B$17),'자료_거시'!$D$3:INDEX('자료_거시'!$D$3:$D$4002,$K$6),1)),""),"")</f>
        <v/>
      </c>
      <c r="U3939">
        <f>IF(ISNUMBER(T3939),'자료_거시'!$D3921,"")</f>
        <v/>
      </c>
      <c r="V3939">
        <f>IF(ISNUMBER(U3939),IF(U3939&gt;$L$6,T3939,""),"")</f>
        <v/>
      </c>
      <c r="W3939">
        <f>IF(AND(ISNUMBER('자료_거시'!$G3921),ISNUMBER('자료_거시'!$H3921)),'자료_거시'!$H3921,"")</f>
        <v/>
      </c>
      <c r="X3939">
        <f>IF(ISNUMBER(W3939),'자료_거시'!$G3921,"")</f>
        <v/>
      </c>
      <c r="Y3939">
        <f>IF(ISNUMBER(X3939),IF(X3939&gt;$L$7,W3939,""),"")</f>
        <v/>
      </c>
      <c r="Z3939">
        <f>IF(ISNUMBER('자료_거시'!$K3921),'자료_거시'!$K3921,Z3938)</f>
        <v/>
      </c>
      <c r="AA3939">
        <f>IF(AND(ISNUMBER('자료_거시'!$J3921),ISNUMBER('자료_거시'!$K3921)),IFERROR('자료_거시'!$K3921/INDEX($Z$21:$Z$4020,MATCH(EDATE('자료_거시'!$J3921,-'설정'!$B$17),'자료_거시'!$J$3:INDEX('자료_거시'!$J$3:$J$4002,$K$8),1))-1,""),"")</f>
        <v/>
      </c>
      <c r="AB3939">
        <f>IF(ISNUMBER(AA3939),'자료_거시'!$J3921,"")</f>
        <v/>
      </c>
      <c r="AC3939">
        <f>IF(ISNUMBER(AB3939),IF(AB3939&gt;$L$8,AA3939,""),"")</f>
        <v/>
      </c>
    </row>
    <row r="3940">
      <c r="S3940">
        <f>IF(ISNUMBER('자료_거시'!$E3922),'자료_거시'!$E3922,S3939)</f>
        <v/>
      </c>
      <c r="T3940">
        <f>IF(AND(ISNUMBER('자료_거시'!$D3922),ISNUMBER('자료_거시'!$E3922)),IFERROR('자료_거시'!$E3922-INDEX($S$21:$S$4020,MATCH(EDATE('자료_거시'!$D3922,-'설정'!$B$17),'자료_거시'!$D$3:INDEX('자료_거시'!$D$3:$D$4002,$K$6),1)),""),"")</f>
        <v/>
      </c>
      <c r="U3940">
        <f>IF(ISNUMBER(T3940),'자료_거시'!$D3922,"")</f>
        <v/>
      </c>
      <c r="V3940">
        <f>IF(ISNUMBER(U3940),IF(U3940&gt;$L$6,T3940,""),"")</f>
        <v/>
      </c>
      <c r="W3940">
        <f>IF(AND(ISNUMBER('자료_거시'!$G3922),ISNUMBER('자료_거시'!$H3922)),'자료_거시'!$H3922,"")</f>
        <v/>
      </c>
      <c r="X3940">
        <f>IF(ISNUMBER(W3940),'자료_거시'!$G3922,"")</f>
        <v/>
      </c>
      <c r="Y3940">
        <f>IF(ISNUMBER(X3940),IF(X3940&gt;$L$7,W3940,""),"")</f>
        <v/>
      </c>
      <c r="Z3940">
        <f>IF(ISNUMBER('자료_거시'!$K3922),'자료_거시'!$K3922,Z3939)</f>
        <v/>
      </c>
      <c r="AA3940">
        <f>IF(AND(ISNUMBER('자료_거시'!$J3922),ISNUMBER('자료_거시'!$K3922)),IFERROR('자료_거시'!$K3922/INDEX($Z$21:$Z$4020,MATCH(EDATE('자료_거시'!$J3922,-'설정'!$B$17),'자료_거시'!$J$3:INDEX('자료_거시'!$J$3:$J$4002,$K$8),1))-1,""),"")</f>
        <v/>
      </c>
      <c r="AB3940">
        <f>IF(ISNUMBER(AA3940),'자료_거시'!$J3922,"")</f>
        <v/>
      </c>
      <c r="AC3940">
        <f>IF(ISNUMBER(AB3940),IF(AB3940&gt;$L$8,AA3940,""),"")</f>
        <v/>
      </c>
    </row>
    <row r="3941">
      <c r="S3941">
        <f>IF(ISNUMBER('자료_거시'!$E3923),'자료_거시'!$E3923,S3940)</f>
        <v/>
      </c>
      <c r="T3941">
        <f>IF(AND(ISNUMBER('자료_거시'!$D3923),ISNUMBER('자료_거시'!$E3923)),IFERROR('자료_거시'!$E3923-INDEX($S$21:$S$4020,MATCH(EDATE('자료_거시'!$D3923,-'설정'!$B$17),'자료_거시'!$D$3:INDEX('자료_거시'!$D$3:$D$4002,$K$6),1)),""),"")</f>
        <v/>
      </c>
      <c r="U3941">
        <f>IF(ISNUMBER(T3941),'자료_거시'!$D3923,"")</f>
        <v/>
      </c>
      <c r="V3941">
        <f>IF(ISNUMBER(U3941),IF(U3941&gt;$L$6,T3941,""),"")</f>
        <v/>
      </c>
      <c r="W3941">
        <f>IF(AND(ISNUMBER('자료_거시'!$G3923),ISNUMBER('자료_거시'!$H3923)),'자료_거시'!$H3923,"")</f>
        <v/>
      </c>
      <c r="X3941">
        <f>IF(ISNUMBER(W3941),'자료_거시'!$G3923,"")</f>
        <v/>
      </c>
      <c r="Y3941">
        <f>IF(ISNUMBER(X3941),IF(X3941&gt;$L$7,W3941,""),"")</f>
        <v/>
      </c>
      <c r="Z3941">
        <f>IF(ISNUMBER('자료_거시'!$K3923),'자료_거시'!$K3923,Z3940)</f>
        <v/>
      </c>
      <c r="AA3941">
        <f>IF(AND(ISNUMBER('자료_거시'!$J3923),ISNUMBER('자료_거시'!$K3923)),IFERROR('자료_거시'!$K3923/INDEX($Z$21:$Z$4020,MATCH(EDATE('자료_거시'!$J3923,-'설정'!$B$17),'자료_거시'!$J$3:INDEX('자료_거시'!$J$3:$J$4002,$K$8),1))-1,""),"")</f>
        <v/>
      </c>
      <c r="AB3941">
        <f>IF(ISNUMBER(AA3941),'자료_거시'!$J3923,"")</f>
        <v/>
      </c>
      <c r="AC3941">
        <f>IF(ISNUMBER(AB3941),IF(AB3941&gt;$L$8,AA3941,""),"")</f>
        <v/>
      </c>
    </row>
    <row r="3942">
      <c r="S3942">
        <f>IF(ISNUMBER('자료_거시'!$E3924),'자료_거시'!$E3924,S3941)</f>
        <v/>
      </c>
      <c r="T3942">
        <f>IF(AND(ISNUMBER('자료_거시'!$D3924),ISNUMBER('자료_거시'!$E3924)),IFERROR('자료_거시'!$E3924-INDEX($S$21:$S$4020,MATCH(EDATE('자료_거시'!$D3924,-'설정'!$B$17),'자료_거시'!$D$3:INDEX('자료_거시'!$D$3:$D$4002,$K$6),1)),""),"")</f>
        <v/>
      </c>
      <c r="U3942">
        <f>IF(ISNUMBER(T3942),'자료_거시'!$D3924,"")</f>
        <v/>
      </c>
      <c r="V3942">
        <f>IF(ISNUMBER(U3942),IF(U3942&gt;$L$6,T3942,""),"")</f>
        <v/>
      </c>
      <c r="W3942">
        <f>IF(AND(ISNUMBER('자료_거시'!$G3924),ISNUMBER('자료_거시'!$H3924)),'자료_거시'!$H3924,"")</f>
        <v/>
      </c>
      <c r="X3942">
        <f>IF(ISNUMBER(W3942),'자료_거시'!$G3924,"")</f>
        <v/>
      </c>
      <c r="Y3942">
        <f>IF(ISNUMBER(X3942),IF(X3942&gt;$L$7,W3942,""),"")</f>
        <v/>
      </c>
      <c r="Z3942">
        <f>IF(ISNUMBER('자료_거시'!$K3924),'자료_거시'!$K3924,Z3941)</f>
        <v/>
      </c>
      <c r="AA3942">
        <f>IF(AND(ISNUMBER('자료_거시'!$J3924),ISNUMBER('자료_거시'!$K3924)),IFERROR('자료_거시'!$K3924/INDEX($Z$21:$Z$4020,MATCH(EDATE('자료_거시'!$J3924,-'설정'!$B$17),'자료_거시'!$J$3:INDEX('자료_거시'!$J$3:$J$4002,$K$8),1))-1,""),"")</f>
        <v/>
      </c>
      <c r="AB3942">
        <f>IF(ISNUMBER(AA3942),'자료_거시'!$J3924,"")</f>
        <v/>
      </c>
      <c r="AC3942">
        <f>IF(ISNUMBER(AB3942),IF(AB3942&gt;$L$8,AA3942,""),"")</f>
        <v/>
      </c>
    </row>
    <row r="3943">
      <c r="S3943">
        <f>IF(ISNUMBER('자료_거시'!$E3925),'자료_거시'!$E3925,S3942)</f>
        <v/>
      </c>
      <c r="T3943">
        <f>IF(AND(ISNUMBER('자료_거시'!$D3925),ISNUMBER('자료_거시'!$E3925)),IFERROR('자료_거시'!$E3925-INDEX($S$21:$S$4020,MATCH(EDATE('자료_거시'!$D3925,-'설정'!$B$17),'자료_거시'!$D$3:INDEX('자료_거시'!$D$3:$D$4002,$K$6),1)),""),"")</f>
        <v/>
      </c>
      <c r="U3943">
        <f>IF(ISNUMBER(T3943),'자료_거시'!$D3925,"")</f>
        <v/>
      </c>
      <c r="V3943">
        <f>IF(ISNUMBER(U3943),IF(U3943&gt;$L$6,T3943,""),"")</f>
        <v/>
      </c>
      <c r="W3943">
        <f>IF(AND(ISNUMBER('자료_거시'!$G3925),ISNUMBER('자료_거시'!$H3925)),'자료_거시'!$H3925,"")</f>
        <v/>
      </c>
      <c r="X3943">
        <f>IF(ISNUMBER(W3943),'자료_거시'!$G3925,"")</f>
        <v/>
      </c>
      <c r="Y3943">
        <f>IF(ISNUMBER(X3943),IF(X3943&gt;$L$7,W3943,""),"")</f>
        <v/>
      </c>
      <c r="Z3943">
        <f>IF(ISNUMBER('자료_거시'!$K3925),'자료_거시'!$K3925,Z3942)</f>
        <v/>
      </c>
      <c r="AA3943">
        <f>IF(AND(ISNUMBER('자료_거시'!$J3925),ISNUMBER('자료_거시'!$K3925)),IFERROR('자료_거시'!$K3925/INDEX($Z$21:$Z$4020,MATCH(EDATE('자료_거시'!$J3925,-'설정'!$B$17),'자료_거시'!$J$3:INDEX('자료_거시'!$J$3:$J$4002,$K$8),1))-1,""),"")</f>
        <v/>
      </c>
      <c r="AB3943">
        <f>IF(ISNUMBER(AA3943),'자료_거시'!$J3925,"")</f>
        <v/>
      </c>
      <c r="AC3943">
        <f>IF(ISNUMBER(AB3943),IF(AB3943&gt;$L$8,AA3943,""),"")</f>
        <v/>
      </c>
    </row>
    <row r="3944">
      <c r="S3944">
        <f>IF(ISNUMBER('자료_거시'!$E3926),'자료_거시'!$E3926,S3943)</f>
        <v/>
      </c>
      <c r="T3944">
        <f>IF(AND(ISNUMBER('자료_거시'!$D3926),ISNUMBER('자료_거시'!$E3926)),IFERROR('자료_거시'!$E3926-INDEX($S$21:$S$4020,MATCH(EDATE('자료_거시'!$D3926,-'설정'!$B$17),'자료_거시'!$D$3:INDEX('자료_거시'!$D$3:$D$4002,$K$6),1)),""),"")</f>
        <v/>
      </c>
      <c r="U3944">
        <f>IF(ISNUMBER(T3944),'자료_거시'!$D3926,"")</f>
        <v/>
      </c>
      <c r="V3944">
        <f>IF(ISNUMBER(U3944),IF(U3944&gt;$L$6,T3944,""),"")</f>
        <v/>
      </c>
      <c r="W3944">
        <f>IF(AND(ISNUMBER('자료_거시'!$G3926),ISNUMBER('자료_거시'!$H3926)),'자료_거시'!$H3926,"")</f>
        <v/>
      </c>
      <c r="X3944">
        <f>IF(ISNUMBER(W3944),'자료_거시'!$G3926,"")</f>
        <v/>
      </c>
      <c r="Y3944">
        <f>IF(ISNUMBER(X3944),IF(X3944&gt;$L$7,W3944,""),"")</f>
        <v/>
      </c>
      <c r="Z3944">
        <f>IF(ISNUMBER('자료_거시'!$K3926),'자료_거시'!$K3926,Z3943)</f>
        <v/>
      </c>
      <c r="AA3944">
        <f>IF(AND(ISNUMBER('자료_거시'!$J3926),ISNUMBER('자료_거시'!$K3926)),IFERROR('자료_거시'!$K3926/INDEX($Z$21:$Z$4020,MATCH(EDATE('자료_거시'!$J3926,-'설정'!$B$17),'자료_거시'!$J$3:INDEX('자료_거시'!$J$3:$J$4002,$K$8),1))-1,""),"")</f>
        <v/>
      </c>
      <c r="AB3944">
        <f>IF(ISNUMBER(AA3944),'자료_거시'!$J3926,"")</f>
        <v/>
      </c>
      <c r="AC3944">
        <f>IF(ISNUMBER(AB3944),IF(AB3944&gt;$L$8,AA3944,""),"")</f>
        <v/>
      </c>
    </row>
    <row r="3945">
      <c r="S3945">
        <f>IF(ISNUMBER('자료_거시'!$E3927),'자료_거시'!$E3927,S3944)</f>
        <v/>
      </c>
      <c r="T3945">
        <f>IF(AND(ISNUMBER('자료_거시'!$D3927),ISNUMBER('자료_거시'!$E3927)),IFERROR('자료_거시'!$E3927-INDEX($S$21:$S$4020,MATCH(EDATE('자료_거시'!$D3927,-'설정'!$B$17),'자료_거시'!$D$3:INDEX('자료_거시'!$D$3:$D$4002,$K$6),1)),""),"")</f>
        <v/>
      </c>
      <c r="U3945">
        <f>IF(ISNUMBER(T3945),'자료_거시'!$D3927,"")</f>
        <v/>
      </c>
      <c r="V3945">
        <f>IF(ISNUMBER(U3945),IF(U3945&gt;$L$6,T3945,""),"")</f>
        <v/>
      </c>
      <c r="W3945">
        <f>IF(AND(ISNUMBER('자료_거시'!$G3927),ISNUMBER('자료_거시'!$H3927)),'자료_거시'!$H3927,"")</f>
        <v/>
      </c>
      <c r="X3945">
        <f>IF(ISNUMBER(W3945),'자료_거시'!$G3927,"")</f>
        <v/>
      </c>
      <c r="Y3945">
        <f>IF(ISNUMBER(X3945),IF(X3945&gt;$L$7,W3945,""),"")</f>
        <v/>
      </c>
      <c r="Z3945">
        <f>IF(ISNUMBER('자료_거시'!$K3927),'자료_거시'!$K3927,Z3944)</f>
        <v/>
      </c>
      <c r="AA3945">
        <f>IF(AND(ISNUMBER('자료_거시'!$J3927),ISNUMBER('자료_거시'!$K3927)),IFERROR('자료_거시'!$K3927/INDEX($Z$21:$Z$4020,MATCH(EDATE('자료_거시'!$J3927,-'설정'!$B$17),'자료_거시'!$J$3:INDEX('자료_거시'!$J$3:$J$4002,$K$8),1))-1,""),"")</f>
        <v/>
      </c>
      <c r="AB3945">
        <f>IF(ISNUMBER(AA3945),'자료_거시'!$J3927,"")</f>
        <v/>
      </c>
      <c r="AC3945">
        <f>IF(ISNUMBER(AB3945),IF(AB3945&gt;$L$8,AA3945,""),"")</f>
        <v/>
      </c>
    </row>
    <row r="3946">
      <c r="S3946">
        <f>IF(ISNUMBER('자료_거시'!$E3928),'자료_거시'!$E3928,S3945)</f>
        <v/>
      </c>
      <c r="T3946">
        <f>IF(AND(ISNUMBER('자료_거시'!$D3928),ISNUMBER('자료_거시'!$E3928)),IFERROR('자료_거시'!$E3928-INDEX($S$21:$S$4020,MATCH(EDATE('자료_거시'!$D3928,-'설정'!$B$17),'자료_거시'!$D$3:INDEX('자료_거시'!$D$3:$D$4002,$K$6),1)),""),"")</f>
        <v/>
      </c>
      <c r="U3946">
        <f>IF(ISNUMBER(T3946),'자료_거시'!$D3928,"")</f>
        <v/>
      </c>
      <c r="V3946">
        <f>IF(ISNUMBER(U3946),IF(U3946&gt;$L$6,T3946,""),"")</f>
        <v/>
      </c>
      <c r="W3946">
        <f>IF(AND(ISNUMBER('자료_거시'!$G3928),ISNUMBER('자료_거시'!$H3928)),'자료_거시'!$H3928,"")</f>
        <v/>
      </c>
      <c r="X3946">
        <f>IF(ISNUMBER(W3946),'자료_거시'!$G3928,"")</f>
        <v/>
      </c>
      <c r="Y3946">
        <f>IF(ISNUMBER(X3946),IF(X3946&gt;$L$7,W3946,""),"")</f>
        <v/>
      </c>
      <c r="Z3946">
        <f>IF(ISNUMBER('자료_거시'!$K3928),'자료_거시'!$K3928,Z3945)</f>
        <v/>
      </c>
      <c r="AA3946">
        <f>IF(AND(ISNUMBER('자료_거시'!$J3928),ISNUMBER('자료_거시'!$K3928)),IFERROR('자료_거시'!$K3928/INDEX($Z$21:$Z$4020,MATCH(EDATE('자료_거시'!$J3928,-'설정'!$B$17),'자료_거시'!$J$3:INDEX('자료_거시'!$J$3:$J$4002,$K$8),1))-1,""),"")</f>
        <v/>
      </c>
      <c r="AB3946">
        <f>IF(ISNUMBER(AA3946),'자료_거시'!$J3928,"")</f>
        <v/>
      </c>
      <c r="AC3946">
        <f>IF(ISNUMBER(AB3946),IF(AB3946&gt;$L$8,AA3946,""),"")</f>
        <v/>
      </c>
    </row>
    <row r="3947">
      <c r="S3947">
        <f>IF(ISNUMBER('자료_거시'!$E3929),'자료_거시'!$E3929,S3946)</f>
        <v/>
      </c>
      <c r="T3947">
        <f>IF(AND(ISNUMBER('자료_거시'!$D3929),ISNUMBER('자료_거시'!$E3929)),IFERROR('자료_거시'!$E3929-INDEX($S$21:$S$4020,MATCH(EDATE('자료_거시'!$D3929,-'설정'!$B$17),'자료_거시'!$D$3:INDEX('자료_거시'!$D$3:$D$4002,$K$6),1)),""),"")</f>
        <v/>
      </c>
      <c r="U3947">
        <f>IF(ISNUMBER(T3947),'자료_거시'!$D3929,"")</f>
        <v/>
      </c>
      <c r="V3947">
        <f>IF(ISNUMBER(U3947),IF(U3947&gt;$L$6,T3947,""),"")</f>
        <v/>
      </c>
      <c r="W3947">
        <f>IF(AND(ISNUMBER('자료_거시'!$G3929),ISNUMBER('자료_거시'!$H3929)),'자료_거시'!$H3929,"")</f>
        <v/>
      </c>
      <c r="X3947">
        <f>IF(ISNUMBER(W3947),'자료_거시'!$G3929,"")</f>
        <v/>
      </c>
      <c r="Y3947">
        <f>IF(ISNUMBER(X3947),IF(X3947&gt;$L$7,W3947,""),"")</f>
        <v/>
      </c>
      <c r="Z3947">
        <f>IF(ISNUMBER('자료_거시'!$K3929),'자료_거시'!$K3929,Z3946)</f>
        <v/>
      </c>
      <c r="AA3947">
        <f>IF(AND(ISNUMBER('자료_거시'!$J3929),ISNUMBER('자료_거시'!$K3929)),IFERROR('자료_거시'!$K3929/INDEX($Z$21:$Z$4020,MATCH(EDATE('자료_거시'!$J3929,-'설정'!$B$17),'자료_거시'!$J$3:INDEX('자료_거시'!$J$3:$J$4002,$K$8),1))-1,""),"")</f>
        <v/>
      </c>
      <c r="AB3947">
        <f>IF(ISNUMBER(AA3947),'자료_거시'!$J3929,"")</f>
        <v/>
      </c>
      <c r="AC3947">
        <f>IF(ISNUMBER(AB3947),IF(AB3947&gt;$L$8,AA3947,""),"")</f>
        <v/>
      </c>
    </row>
    <row r="3948">
      <c r="S3948">
        <f>IF(ISNUMBER('자료_거시'!$E3930),'자료_거시'!$E3930,S3947)</f>
        <v/>
      </c>
      <c r="T3948">
        <f>IF(AND(ISNUMBER('자료_거시'!$D3930),ISNUMBER('자료_거시'!$E3930)),IFERROR('자료_거시'!$E3930-INDEX($S$21:$S$4020,MATCH(EDATE('자료_거시'!$D3930,-'설정'!$B$17),'자료_거시'!$D$3:INDEX('자료_거시'!$D$3:$D$4002,$K$6),1)),""),"")</f>
        <v/>
      </c>
      <c r="U3948">
        <f>IF(ISNUMBER(T3948),'자료_거시'!$D3930,"")</f>
        <v/>
      </c>
      <c r="V3948">
        <f>IF(ISNUMBER(U3948),IF(U3948&gt;$L$6,T3948,""),"")</f>
        <v/>
      </c>
      <c r="W3948">
        <f>IF(AND(ISNUMBER('자료_거시'!$G3930),ISNUMBER('자료_거시'!$H3930)),'자료_거시'!$H3930,"")</f>
        <v/>
      </c>
      <c r="X3948">
        <f>IF(ISNUMBER(W3948),'자료_거시'!$G3930,"")</f>
        <v/>
      </c>
      <c r="Y3948">
        <f>IF(ISNUMBER(X3948),IF(X3948&gt;$L$7,W3948,""),"")</f>
        <v/>
      </c>
      <c r="Z3948">
        <f>IF(ISNUMBER('자료_거시'!$K3930),'자료_거시'!$K3930,Z3947)</f>
        <v/>
      </c>
      <c r="AA3948">
        <f>IF(AND(ISNUMBER('자료_거시'!$J3930),ISNUMBER('자료_거시'!$K3930)),IFERROR('자료_거시'!$K3930/INDEX($Z$21:$Z$4020,MATCH(EDATE('자료_거시'!$J3930,-'설정'!$B$17),'자료_거시'!$J$3:INDEX('자료_거시'!$J$3:$J$4002,$K$8),1))-1,""),"")</f>
        <v/>
      </c>
      <c r="AB3948">
        <f>IF(ISNUMBER(AA3948),'자료_거시'!$J3930,"")</f>
        <v/>
      </c>
      <c r="AC3948">
        <f>IF(ISNUMBER(AB3948),IF(AB3948&gt;$L$8,AA3948,""),"")</f>
        <v/>
      </c>
    </row>
    <row r="3949">
      <c r="S3949">
        <f>IF(ISNUMBER('자료_거시'!$E3931),'자료_거시'!$E3931,S3948)</f>
        <v/>
      </c>
      <c r="T3949">
        <f>IF(AND(ISNUMBER('자료_거시'!$D3931),ISNUMBER('자료_거시'!$E3931)),IFERROR('자료_거시'!$E3931-INDEX($S$21:$S$4020,MATCH(EDATE('자료_거시'!$D3931,-'설정'!$B$17),'자료_거시'!$D$3:INDEX('자료_거시'!$D$3:$D$4002,$K$6),1)),""),"")</f>
        <v/>
      </c>
      <c r="U3949">
        <f>IF(ISNUMBER(T3949),'자료_거시'!$D3931,"")</f>
        <v/>
      </c>
      <c r="V3949">
        <f>IF(ISNUMBER(U3949),IF(U3949&gt;$L$6,T3949,""),"")</f>
        <v/>
      </c>
      <c r="W3949">
        <f>IF(AND(ISNUMBER('자료_거시'!$G3931),ISNUMBER('자료_거시'!$H3931)),'자료_거시'!$H3931,"")</f>
        <v/>
      </c>
      <c r="X3949">
        <f>IF(ISNUMBER(W3949),'자료_거시'!$G3931,"")</f>
        <v/>
      </c>
      <c r="Y3949">
        <f>IF(ISNUMBER(X3949),IF(X3949&gt;$L$7,W3949,""),"")</f>
        <v/>
      </c>
      <c r="Z3949">
        <f>IF(ISNUMBER('자료_거시'!$K3931),'자료_거시'!$K3931,Z3948)</f>
        <v/>
      </c>
      <c r="AA3949">
        <f>IF(AND(ISNUMBER('자료_거시'!$J3931),ISNUMBER('자료_거시'!$K3931)),IFERROR('자료_거시'!$K3931/INDEX($Z$21:$Z$4020,MATCH(EDATE('자료_거시'!$J3931,-'설정'!$B$17),'자료_거시'!$J$3:INDEX('자료_거시'!$J$3:$J$4002,$K$8),1))-1,""),"")</f>
        <v/>
      </c>
      <c r="AB3949">
        <f>IF(ISNUMBER(AA3949),'자료_거시'!$J3931,"")</f>
        <v/>
      </c>
      <c r="AC3949">
        <f>IF(ISNUMBER(AB3949),IF(AB3949&gt;$L$8,AA3949,""),"")</f>
        <v/>
      </c>
    </row>
    <row r="3950">
      <c r="S3950">
        <f>IF(ISNUMBER('자료_거시'!$E3932),'자료_거시'!$E3932,S3949)</f>
        <v/>
      </c>
      <c r="T3950">
        <f>IF(AND(ISNUMBER('자료_거시'!$D3932),ISNUMBER('자료_거시'!$E3932)),IFERROR('자료_거시'!$E3932-INDEX($S$21:$S$4020,MATCH(EDATE('자료_거시'!$D3932,-'설정'!$B$17),'자료_거시'!$D$3:INDEX('자료_거시'!$D$3:$D$4002,$K$6),1)),""),"")</f>
        <v/>
      </c>
      <c r="U3950">
        <f>IF(ISNUMBER(T3950),'자료_거시'!$D3932,"")</f>
        <v/>
      </c>
      <c r="V3950">
        <f>IF(ISNUMBER(U3950),IF(U3950&gt;$L$6,T3950,""),"")</f>
        <v/>
      </c>
      <c r="W3950">
        <f>IF(AND(ISNUMBER('자료_거시'!$G3932),ISNUMBER('자료_거시'!$H3932)),'자료_거시'!$H3932,"")</f>
        <v/>
      </c>
      <c r="X3950">
        <f>IF(ISNUMBER(W3950),'자료_거시'!$G3932,"")</f>
        <v/>
      </c>
      <c r="Y3950">
        <f>IF(ISNUMBER(X3950),IF(X3950&gt;$L$7,W3950,""),"")</f>
        <v/>
      </c>
      <c r="Z3950">
        <f>IF(ISNUMBER('자료_거시'!$K3932),'자료_거시'!$K3932,Z3949)</f>
        <v/>
      </c>
      <c r="AA3950">
        <f>IF(AND(ISNUMBER('자료_거시'!$J3932),ISNUMBER('자료_거시'!$K3932)),IFERROR('자료_거시'!$K3932/INDEX($Z$21:$Z$4020,MATCH(EDATE('자료_거시'!$J3932,-'설정'!$B$17),'자료_거시'!$J$3:INDEX('자료_거시'!$J$3:$J$4002,$K$8),1))-1,""),"")</f>
        <v/>
      </c>
      <c r="AB3950">
        <f>IF(ISNUMBER(AA3950),'자료_거시'!$J3932,"")</f>
        <v/>
      </c>
      <c r="AC3950">
        <f>IF(ISNUMBER(AB3950),IF(AB3950&gt;$L$8,AA3950,""),"")</f>
        <v/>
      </c>
    </row>
    <row r="3951">
      <c r="S3951">
        <f>IF(ISNUMBER('자료_거시'!$E3933),'자료_거시'!$E3933,S3950)</f>
        <v/>
      </c>
      <c r="T3951">
        <f>IF(AND(ISNUMBER('자료_거시'!$D3933),ISNUMBER('자료_거시'!$E3933)),IFERROR('자료_거시'!$E3933-INDEX($S$21:$S$4020,MATCH(EDATE('자료_거시'!$D3933,-'설정'!$B$17),'자료_거시'!$D$3:INDEX('자료_거시'!$D$3:$D$4002,$K$6),1)),""),"")</f>
        <v/>
      </c>
      <c r="U3951">
        <f>IF(ISNUMBER(T3951),'자료_거시'!$D3933,"")</f>
        <v/>
      </c>
      <c r="V3951">
        <f>IF(ISNUMBER(U3951),IF(U3951&gt;$L$6,T3951,""),"")</f>
        <v/>
      </c>
      <c r="W3951">
        <f>IF(AND(ISNUMBER('자료_거시'!$G3933),ISNUMBER('자료_거시'!$H3933)),'자료_거시'!$H3933,"")</f>
        <v/>
      </c>
      <c r="X3951">
        <f>IF(ISNUMBER(W3951),'자료_거시'!$G3933,"")</f>
        <v/>
      </c>
      <c r="Y3951">
        <f>IF(ISNUMBER(X3951),IF(X3951&gt;$L$7,W3951,""),"")</f>
        <v/>
      </c>
      <c r="Z3951">
        <f>IF(ISNUMBER('자료_거시'!$K3933),'자료_거시'!$K3933,Z3950)</f>
        <v/>
      </c>
      <c r="AA3951">
        <f>IF(AND(ISNUMBER('자료_거시'!$J3933),ISNUMBER('자료_거시'!$K3933)),IFERROR('자료_거시'!$K3933/INDEX($Z$21:$Z$4020,MATCH(EDATE('자료_거시'!$J3933,-'설정'!$B$17),'자료_거시'!$J$3:INDEX('자료_거시'!$J$3:$J$4002,$K$8),1))-1,""),"")</f>
        <v/>
      </c>
      <c r="AB3951">
        <f>IF(ISNUMBER(AA3951),'자료_거시'!$J3933,"")</f>
        <v/>
      </c>
      <c r="AC3951">
        <f>IF(ISNUMBER(AB3951),IF(AB3951&gt;$L$8,AA3951,""),"")</f>
        <v/>
      </c>
    </row>
    <row r="3952">
      <c r="S3952">
        <f>IF(ISNUMBER('자료_거시'!$E3934),'자료_거시'!$E3934,S3951)</f>
        <v/>
      </c>
      <c r="T3952">
        <f>IF(AND(ISNUMBER('자료_거시'!$D3934),ISNUMBER('자료_거시'!$E3934)),IFERROR('자료_거시'!$E3934-INDEX($S$21:$S$4020,MATCH(EDATE('자료_거시'!$D3934,-'설정'!$B$17),'자료_거시'!$D$3:INDEX('자료_거시'!$D$3:$D$4002,$K$6),1)),""),"")</f>
        <v/>
      </c>
      <c r="U3952">
        <f>IF(ISNUMBER(T3952),'자료_거시'!$D3934,"")</f>
        <v/>
      </c>
      <c r="V3952">
        <f>IF(ISNUMBER(U3952),IF(U3952&gt;$L$6,T3952,""),"")</f>
        <v/>
      </c>
      <c r="W3952">
        <f>IF(AND(ISNUMBER('자료_거시'!$G3934),ISNUMBER('자료_거시'!$H3934)),'자료_거시'!$H3934,"")</f>
        <v/>
      </c>
      <c r="X3952">
        <f>IF(ISNUMBER(W3952),'자료_거시'!$G3934,"")</f>
        <v/>
      </c>
      <c r="Y3952">
        <f>IF(ISNUMBER(X3952),IF(X3952&gt;$L$7,W3952,""),"")</f>
        <v/>
      </c>
      <c r="Z3952">
        <f>IF(ISNUMBER('자료_거시'!$K3934),'자료_거시'!$K3934,Z3951)</f>
        <v/>
      </c>
      <c r="AA3952">
        <f>IF(AND(ISNUMBER('자료_거시'!$J3934),ISNUMBER('자료_거시'!$K3934)),IFERROR('자료_거시'!$K3934/INDEX($Z$21:$Z$4020,MATCH(EDATE('자료_거시'!$J3934,-'설정'!$B$17),'자료_거시'!$J$3:INDEX('자료_거시'!$J$3:$J$4002,$K$8),1))-1,""),"")</f>
        <v/>
      </c>
      <c r="AB3952">
        <f>IF(ISNUMBER(AA3952),'자료_거시'!$J3934,"")</f>
        <v/>
      </c>
      <c r="AC3952">
        <f>IF(ISNUMBER(AB3952),IF(AB3952&gt;$L$8,AA3952,""),"")</f>
        <v/>
      </c>
    </row>
    <row r="3953">
      <c r="S3953">
        <f>IF(ISNUMBER('자료_거시'!$E3935),'자료_거시'!$E3935,S3952)</f>
        <v/>
      </c>
      <c r="T3953">
        <f>IF(AND(ISNUMBER('자료_거시'!$D3935),ISNUMBER('자료_거시'!$E3935)),IFERROR('자료_거시'!$E3935-INDEX($S$21:$S$4020,MATCH(EDATE('자료_거시'!$D3935,-'설정'!$B$17),'자료_거시'!$D$3:INDEX('자료_거시'!$D$3:$D$4002,$K$6),1)),""),"")</f>
        <v/>
      </c>
      <c r="U3953">
        <f>IF(ISNUMBER(T3953),'자료_거시'!$D3935,"")</f>
        <v/>
      </c>
      <c r="V3953">
        <f>IF(ISNUMBER(U3953),IF(U3953&gt;$L$6,T3953,""),"")</f>
        <v/>
      </c>
      <c r="W3953">
        <f>IF(AND(ISNUMBER('자료_거시'!$G3935),ISNUMBER('자료_거시'!$H3935)),'자료_거시'!$H3935,"")</f>
        <v/>
      </c>
      <c r="X3953">
        <f>IF(ISNUMBER(W3953),'자료_거시'!$G3935,"")</f>
        <v/>
      </c>
      <c r="Y3953">
        <f>IF(ISNUMBER(X3953),IF(X3953&gt;$L$7,W3953,""),"")</f>
        <v/>
      </c>
      <c r="Z3953">
        <f>IF(ISNUMBER('자료_거시'!$K3935),'자료_거시'!$K3935,Z3952)</f>
        <v/>
      </c>
      <c r="AA3953">
        <f>IF(AND(ISNUMBER('자료_거시'!$J3935),ISNUMBER('자료_거시'!$K3935)),IFERROR('자료_거시'!$K3935/INDEX($Z$21:$Z$4020,MATCH(EDATE('자료_거시'!$J3935,-'설정'!$B$17),'자료_거시'!$J$3:INDEX('자료_거시'!$J$3:$J$4002,$K$8),1))-1,""),"")</f>
        <v/>
      </c>
      <c r="AB3953">
        <f>IF(ISNUMBER(AA3953),'자료_거시'!$J3935,"")</f>
        <v/>
      </c>
      <c r="AC3953">
        <f>IF(ISNUMBER(AB3953),IF(AB3953&gt;$L$8,AA3953,""),"")</f>
        <v/>
      </c>
    </row>
    <row r="3954">
      <c r="S3954">
        <f>IF(ISNUMBER('자료_거시'!$E3936),'자료_거시'!$E3936,S3953)</f>
        <v/>
      </c>
      <c r="T3954">
        <f>IF(AND(ISNUMBER('자료_거시'!$D3936),ISNUMBER('자료_거시'!$E3936)),IFERROR('자료_거시'!$E3936-INDEX($S$21:$S$4020,MATCH(EDATE('자료_거시'!$D3936,-'설정'!$B$17),'자료_거시'!$D$3:INDEX('자료_거시'!$D$3:$D$4002,$K$6),1)),""),"")</f>
        <v/>
      </c>
      <c r="U3954">
        <f>IF(ISNUMBER(T3954),'자료_거시'!$D3936,"")</f>
        <v/>
      </c>
      <c r="V3954">
        <f>IF(ISNUMBER(U3954),IF(U3954&gt;$L$6,T3954,""),"")</f>
        <v/>
      </c>
      <c r="W3954">
        <f>IF(AND(ISNUMBER('자료_거시'!$G3936),ISNUMBER('자료_거시'!$H3936)),'자료_거시'!$H3936,"")</f>
        <v/>
      </c>
      <c r="X3954">
        <f>IF(ISNUMBER(W3954),'자료_거시'!$G3936,"")</f>
        <v/>
      </c>
      <c r="Y3954">
        <f>IF(ISNUMBER(X3954),IF(X3954&gt;$L$7,W3954,""),"")</f>
        <v/>
      </c>
      <c r="Z3954">
        <f>IF(ISNUMBER('자료_거시'!$K3936),'자료_거시'!$K3936,Z3953)</f>
        <v/>
      </c>
      <c r="AA3954">
        <f>IF(AND(ISNUMBER('자료_거시'!$J3936),ISNUMBER('자료_거시'!$K3936)),IFERROR('자료_거시'!$K3936/INDEX($Z$21:$Z$4020,MATCH(EDATE('자료_거시'!$J3936,-'설정'!$B$17),'자료_거시'!$J$3:INDEX('자료_거시'!$J$3:$J$4002,$K$8),1))-1,""),"")</f>
        <v/>
      </c>
      <c r="AB3954">
        <f>IF(ISNUMBER(AA3954),'자료_거시'!$J3936,"")</f>
        <v/>
      </c>
      <c r="AC3954">
        <f>IF(ISNUMBER(AB3954),IF(AB3954&gt;$L$8,AA3954,""),"")</f>
        <v/>
      </c>
    </row>
    <row r="3955">
      <c r="S3955">
        <f>IF(ISNUMBER('자료_거시'!$E3937),'자료_거시'!$E3937,S3954)</f>
        <v/>
      </c>
      <c r="T3955">
        <f>IF(AND(ISNUMBER('자료_거시'!$D3937),ISNUMBER('자료_거시'!$E3937)),IFERROR('자료_거시'!$E3937-INDEX($S$21:$S$4020,MATCH(EDATE('자료_거시'!$D3937,-'설정'!$B$17),'자료_거시'!$D$3:INDEX('자료_거시'!$D$3:$D$4002,$K$6),1)),""),"")</f>
        <v/>
      </c>
      <c r="U3955">
        <f>IF(ISNUMBER(T3955),'자료_거시'!$D3937,"")</f>
        <v/>
      </c>
      <c r="V3955">
        <f>IF(ISNUMBER(U3955),IF(U3955&gt;$L$6,T3955,""),"")</f>
        <v/>
      </c>
      <c r="W3955">
        <f>IF(AND(ISNUMBER('자료_거시'!$G3937),ISNUMBER('자료_거시'!$H3937)),'자료_거시'!$H3937,"")</f>
        <v/>
      </c>
      <c r="X3955">
        <f>IF(ISNUMBER(W3955),'자료_거시'!$G3937,"")</f>
        <v/>
      </c>
      <c r="Y3955">
        <f>IF(ISNUMBER(X3955),IF(X3955&gt;$L$7,W3955,""),"")</f>
        <v/>
      </c>
      <c r="Z3955">
        <f>IF(ISNUMBER('자료_거시'!$K3937),'자료_거시'!$K3937,Z3954)</f>
        <v/>
      </c>
      <c r="AA3955">
        <f>IF(AND(ISNUMBER('자료_거시'!$J3937),ISNUMBER('자료_거시'!$K3937)),IFERROR('자료_거시'!$K3937/INDEX($Z$21:$Z$4020,MATCH(EDATE('자료_거시'!$J3937,-'설정'!$B$17),'자료_거시'!$J$3:INDEX('자료_거시'!$J$3:$J$4002,$K$8),1))-1,""),"")</f>
        <v/>
      </c>
      <c r="AB3955">
        <f>IF(ISNUMBER(AA3955),'자료_거시'!$J3937,"")</f>
        <v/>
      </c>
      <c r="AC3955">
        <f>IF(ISNUMBER(AB3955),IF(AB3955&gt;$L$8,AA3955,""),"")</f>
        <v/>
      </c>
    </row>
    <row r="3956">
      <c r="S3956">
        <f>IF(ISNUMBER('자료_거시'!$E3938),'자료_거시'!$E3938,S3955)</f>
        <v/>
      </c>
      <c r="T3956">
        <f>IF(AND(ISNUMBER('자료_거시'!$D3938),ISNUMBER('자료_거시'!$E3938)),IFERROR('자료_거시'!$E3938-INDEX($S$21:$S$4020,MATCH(EDATE('자료_거시'!$D3938,-'설정'!$B$17),'자료_거시'!$D$3:INDEX('자료_거시'!$D$3:$D$4002,$K$6),1)),""),"")</f>
        <v/>
      </c>
      <c r="U3956">
        <f>IF(ISNUMBER(T3956),'자료_거시'!$D3938,"")</f>
        <v/>
      </c>
      <c r="V3956">
        <f>IF(ISNUMBER(U3956),IF(U3956&gt;$L$6,T3956,""),"")</f>
        <v/>
      </c>
      <c r="W3956">
        <f>IF(AND(ISNUMBER('자료_거시'!$G3938),ISNUMBER('자료_거시'!$H3938)),'자료_거시'!$H3938,"")</f>
        <v/>
      </c>
      <c r="X3956">
        <f>IF(ISNUMBER(W3956),'자료_거시'!$G3938,"")</f>
        <v/>
      </c>
      <c r="Y3956">
        <f>IF(ISNUMBER(X3956),IF(X3956&gt;$L$7,W3956,""),"")</f>
        <v/>
      </c>
      <c r="Z3956">
        <f>IF(ISNUMBER('자료_거시'!$K3938),'자료_거시'!$K3938,Z3955)</f>
        <v/>
      </c>
      <c r="AA3956">
        <f>IF(AND(ISNUMBER('자료_거시'!$J3938),ISNUMBER('자료_거시'!$K3938)),IFERROR('자료_거시'!$K3938/INDEX($Z$21:$Z$4020,MATCH(EDATE('자료_거시'!$J3938,-'설정'!$B$17),'자료_거시'!$J$3:INDEX('자료_거시'!$J$3:$J$4002,$K$8),1))-1,""),"")</f>
        <v/>
      </c>
      <c r="AB3956">
        <f>IF(ISNUMBER(AA3956),'자료_거시'!$J3938,"")</f>
        <v/>
      </c>
      <c r="AC3956">
        <f>IF(ISNUMBER(AB3956),IF(AB3956&gt;$L$8,AA3956,""),"")</f>
        <v/>
      </c>
    </row>
    <row r="3957">
      <c r="S3957">
        <f>IF(ISNUMBER('자료_거시'!$E3939),'자료_거시'!$E3939,S3956)</f>
        <v/>
      </c>
      <c r="T3957">
        <f>IF(AND(ISNUMBER('자료_거시'!$D3939),ISNUMBER('자료_거시'!$E3939)),IFERROR('자료_거시'!$E3939-INDEX($S$21:$S$4020,MATCH(EDATE('자료_거시'!$D3939,-'설정'!$B$17),'자료_거시'!$D$3:INDEX('자료_거시'!$D$3:$D$4002,$K$6),1)),""),"")</f>
        <v/>
      </c>
      <c r="U3957">
        <f>IF(ISNUMBER(T3957),'자료_거시'!$D3939,"")</f>
        <v/>
      </c>
      <c r="V3957">
        <f>IF(ISNUMBER(U3957),IF(U3957&gt;$L$6,T3957,""),"")</f>
        <v/>
      </c>
      <c r="W3957">
        <f>IF(AND(ISNUMBER('자료_거시'!$G3939),ISNUMBER('자료_거시'!$H3939)),'자료_거시'!$H3939,"")</f>
        <v/>
      </c>
      <c r="X3957">
        <f>IF(ISNUMBER(W3957),'자료_거시'!$G3939,"")</f>
        <v/>
      </c>
      <c r="Y3957">
        <f>IF(ISNUMBER(X3957),IF(X3957&gt;$L$7,W3957,""),"")</f>
        <v/>
      </c>
      <c r="Z3957">
        <f>IF(ISNUMBER('자료_거시'!$K3939),'자료_거시'!$K3939,Z3956)</f>
        <v/>
      </c>
      <c r="AA3957">
        <f>IF(AND(ISNUMBER('자료_거시'!$J3939),ISNUMBER('자료_거시'!$K3939)),IFERROR('자료_거시'!$K3939/INDEX($Z$21:$Z$4020,MATCH(EDATE('자료_거시'!$J3939,-'설정'!$B$17),'자료_거시'!$J$3:INDEX('자료_거시'!$J$3:$J$4002,$K$8),1))-1,""),"")</f>
        <v/>
      </c>
      <c r="AB3957">
        <f>IF(ISNUMBER(AA3957),'자료_거시'!$J3939,"")</f>
        <v/>
      </c>
      <c r="AC3957">
        <f>IF(ISNUMBER(AB3957),IF(AB3957&gt;$L$8,AA3957,""),"")</f>
        <v/>
      </c>
    </row>
    <row r="3958">
      <c r="S3958">
        <f>IF(ISNUMBER('자료_거시'!$E3940),'자료_거시'!$E3940,S3957)</f>
        <v/>
      </c>
      <c r="T3958">
        <f>IF(AND(ISNUMBER('자료_거시'!$D3940),ISNUMBER('자료_거시'!$E3940)),IFERROR('자료_거시'!$E3940-INDEX($S$21:$S$4020,MATCH(EDATE('자료_거시'!$D3940,-'설정'!$B$17),'자료_거시'!$D$3:INDEX('자료_거시'!$D$3:$D$4002,$K$6),1)),""),"")</f>
        <v/>
      </c>
      <c r="U3958">
        <f>IF(ISNUMBER(T3958),'자료_거시'!$D3940,"")</f>
        <v/>
      </c>
      <c r="V3958">
        <f>IF(ISNUMBER(U3958),IF(U3958&gt;$L$6,T3958,""),"")</f>
        <v/>
      </c>
      <c r="W3958">
        <f>IF(AND(ISNUMBER('자료_거시'!$G3940),ISNUMBER('자료_거시'!$H3940)),'자료_거시'!$H3940,"")</f>
        <v/>
      </c>
      <c r="X3958">
        <f>IF(ISNUMBER(W3958),'자료_거시'!$G3940,"")</f>
        <v/>
      </c>
      <c r="Y3958">
        <f>IF(ISNUMBER(X3958),IF(X3958&gt;$L$7,W3958,""),"")</f>
        <v/>
      </c>
      <c r="Z3958">
        <f>IF(ISNUMBER('자료_거시'!$K3940),'자료_거시'!$K3940,Z3957)</f>
        <v/>
      </c>
      <c r="AA3958">
        <f>IF(AND(ISNUMBER('자료_거시'!$J3940),ISNUMBER('자료_거시'!$K3940)),IFERROR('자료_거시'!$K3940/INDEX($Z$21:$Z$4020,MATCH(EDATE('자료_거시'!$J3940,-'설정'!$B$17),'자료_거시'!$J$3:INDEX('자료_거시'!$J$3:$J$4002,$K$8),1))-1,""),"")</f>
        <v/>
      </c>
      <c r="AB3958">
        <f>IF(ISNUMBER(AA3958),'자료_거시'!$J3940,"")</f>
        <v/>
      </c>
      <c r="AC3958">
        <f>IF(ISNUMBER(AB3958),IF(AB3958&gt;$L$8,AA3958,""),"")</f>
        <v/>
      </c>
    </row>
    <row r="3959">
      <c r="S3959">
        <f>IF(ISNUMBER('자료_거시'!$E3941),'자료_거시'!$E3941,S3958)</f>
        <v/>
      </c>
      <c r="T3959">
        <f>IF(AND(ISNUMBER('자료_거시'!$D3941),ISNUMBER('자료_거시'!$E3941)),IFERROR('자료_거시'!$E3941-INDEX($S$21:$S$4020,MATCH(EDATE('자료_거시'!$D3941,-'설정'!$B$17),'자료_거시'!$D$3:INDEX('자료_거시'!$D$3:$D$4002,$K$6),1)),""),"")</f>
        <v/>
      </c>
      <c r="U3959">
        <f>IF(ISNUMBER(T3959),'자료_거시'!$D3941,"")</f>
        <v/>
      </c>
      <c r="V3959">
        <f>IF(ISNUMBER(U3959),IF(U3959&gt;$L$6,T3959,""),"")</f>
        <v/>
      </c>
      <c r="W3959">
        <f>IF(AND(ISNUMBER('자료_거시'!$G3941),ISNUMBER('자료_거시'!$H3941)),'자료_거시'!$H3941,"")</f>
        <v/>
      </c>
      <c r="X3959">
        <f>IF(ISNUMBER(W3959),'자료_거시'!$G3941,"")</f>
        <v/>
      </c>
      <c r="Y3959">
        <f>IF(ISNUMBER(X3959),IF(X3959&gt;$L$7,W3959,""),"")</f>
        <v/>
      </c>
      <c r="Z3959">
        <f>IF(ISNUMBER('자료_거시'!$K3941),'자료_거시'!$K3941,Z3958)</f>
        <v/>
      </c>
      <c r="AA3959">
        <f>IF(AND(ISNUMBER('자료_거시'!$J3941),ISNUMBER('자료_거시'!$K3941)),IFERROR('자료_거시'!$K3941/INDEX($Z$21:$Z$4020,MATCH(EDATE('자료_거시'!$J3941,-'설정'!$B$17),'자료_거시'!$J$3:INDEX('자료_거시'!$J$3:$J$4002,$K$8),1))-1,""),"")</f>
        <v/>
      </c>
      <c r="AB3959">
        <f>IF(ISNUMBER(AA3959),'자료_거시'!$J3941,"")</f>
        <v/>
      </c>
      <c r="AC3959">
        <f>IF(ISNUMBER(AB3959),IF(AB3959&gt;$L$8,AA3959,""),"")</f>
        <v/>
      </c>
    </row>
    <row r="3960">
      <c r="S3960">
        <f>IF(ISNUMBER('자료_거시'!$E3942),'자료_거시'!$E3942,S3959)</f>
        <v/>
      </c>
      <c r="T3960">
        <f>IF(AND(ISNUMBER('자료_거시'!$D3942),ISNUMBER('자료_거시'!$E3942)),IFERROR('자료_거시'!$E3942-INDEX($S$21:$S$4020,MATCH(EDATE('자료_거시'!$D3942,-'설정'!$B$17),'자료_거시'!$D$3:INDEX('자료_거시'!$D$3:$D$4002,$K$6),1)),""),"")</f>
        <v/>
      </c>
      <c r="U3960">
        <f>IF(ISNUMBER(T3960),'자료_거시'!$D3942,"")</f>
        <v/>
      </c>
      <c r="V3960">
        <f>IF(ISNUMBER(U3960),IF(U3960&gt;$L$6,T3960,""),"")</f>
        <v/>
      </c>
      <c r="W3960">
        <f>IF(AND(ISNUMBER('자료_거시'!$G3942),ISNUMBER('자료_거시'!$H3942)),'자료_거시'!$H3942,"")</f>
        <v/>
      </c>
      <c r="X3960">
        <f>IF(ISNUMBER(W3960),'자료_거시'!$G3942,"")</f>
        <v/>
      </c>
      <c r="Y3960">
        <f>IF(ISNUMBER(X3960),IF(X3960&gt;$L$7,W3960,""),"")</f>
        <v/>
      </c>
      <c r="Z3960">
        <f>IF(ISNUMBER('자료_거시'!$K3942),'자료_거시'!$K3942,Z3959)</f>
        <v/>
      </c>
      <c r="AA3960">
        <f>IF(AND(ISNUMBER('자료_거시'!$J3942),ISNUMBER('자료_거시'!$K3942)),IFERROR('자료_거시'!$K3942/INDEX($Z$21:$Z$4020,MATCH(EDATE('자료_거시'!$J3942,-'설정'!$B$17),'자료_거시'!$J$3:INDEX('자료_거시'!$J$3:$J$4002,$K$8),1))-1,""),"")</f>
        <v/>
      </c>
      <c r="AB3960">
        <f>IF(ISNUMBER(AA3960),'자료_거시'!$J3942,"")</f>
        <v/>
      </c>
      <c r="AC3960">
        <f>IF(ISNUMBER(AB3960),IF(AB3960&gt;$L$8,AA3960,""),"")</f>
        <v/>
      </c>
    </row>
    <row r="3961">
      <c r="S3961">
        <f>IF(ISNUMBER('자료_거시'!$E3943),'자료_거시'!$E3943,S3960)</f>
        <v/>
      </c>
      <c r="T3961">
        <f>IF(AND(ISNUMBER('자료_거시'!$D3943),ISNUMBER('자료_거시'!$E3943)),IFERROR('자료_거시'!$E3943-INDEX($S$21:$S$4020,MATCH(EDATE('자료_거시'!$D3943,-'설정'!$B$17),'자료_거시'!$D$3:INDEX('자료_거시'!$D$3:$D$4002,$K$6),1)),""),"")</f>
        <v/>
      </c>
      <c r="U3961">
        <f>IF(ISNUMBER(T3961),'자료_거시'!$D3943,"")</f>
        <v/>
      </c>
      <c r="V3961">
        <f>IF(ISNUMBER(U3961),IF(U3961&gt;$L$6,T3961,""),"")</f>
        <v/>
      </c>
      <c r="W3961">
        <f>IF(AND(ISNUMBER('자료_거시'!$G3943),ISNUMBER('자료_거시'!$H3943)),'자료_거시'!$H3943,"")</f>
        <v/>
      </c>
      <c r="X3961">
        <f>IF(ISNUMBER(W3961),'자료_거시'!$G3943,"")</f>
        <v/>
      </c>
      <c r="Y3961">
        <f>IF(ISNUMBER(X3961),IF(X3961&gt;$L$7,W3961,""),"")</f>
        <v/>
      </c>
      <c r="Z3961">
        <f>IF(ISNUMBER('자료_거시'!$K3943),'자료_거시'!$K3943,Z3960)</f>
        <v/>
      </c>
      <c r="AA3961">
        <f>IF(AND(ISNUMBER('자료_거시'!$J3943),ISNUMBER('자료_거시'!$K3943)),IFERROR('자료_거시'!$K3943/INDEX($Z$21:$Z$4020,MATCH(EDATE('자료_거시'!$J3943,-'설정'!$B$17),'자료_거시'!$J$3:INDEX('자료_거시'!$J$3:$J$4002,$K$8),1))-1,""),"")</f>
        <v/>
      </c>
      <c r="AB3961">
        <f>IF(ISNUMBER(AA3961),'자료_거시'!$J3943,"")</f>
        <v/>
      </c>
      <c r="AC3961">
        <f>IF(ISNUMBER(AB3961),IF(AB3961&gt;$L$8,AA3961,""),"")</f>
        <v/>
      </c>
    </row>
    <row r="3962">
      <c r="S3962">
        <f>IF(ISNUMBER('자료_거시'!$E3944),'자료_거시'!$E3944,S3961)</f>
        <v/>
      </c>
      <c r="T3962">
        <f>IF(AND(ISNUMBER('자료_거시'!$D3944),ISNUMBER('자료_거시'!$E3944)),IFERROR('자료_거시'!$E3944-INDEX($S$21:$S$4020,MATCH(EDATE('자료_거시'!$D3944,-'설정'!$B$17),'자료_거시'!$D$3:INDEX('자료_거시'!$D$3:$D$4002,$K$6),1)),""),"")</f>
        <v/>
      </c>
      <c r="U3962">
        <f>IF(ISNUMBER(T3962),'자료_거시'!$D3944,"")</f>
        <v/>
      </c>
      <c r="V3962">
        <f>IF(ISNUMBER(U3962),IF(U3962&gt;$L$6,T3962,""),"")</f>
        <v/>
      </c>
      <c r="W3962">
        <f>IF(AND(ISNUMBER('자료_거시'!$G3944),ISNUMBER('자료_거시'!$H3944)),'자료_거시'!$H3944,"")</f>
        <v/>
      </c>
      <c r="X3962">
        <f>IF(ISNUMBER(W3962),'자료_거시'!$G3944,"")</f>
        <v/>
      </c>
      <c r="Y3962">
        <f>IF(ISNUMBER(X3962),IF(X3962&gt;$L$7,W3962,""),"")</f>
        <v/>
      </c>
      <c r="Z3962">
        <f>IF(ISNUMBER('자료_거시'!$K3944),'자료_거시'!$K3944,Z3961)</f>
        <v/>
      </c>
      <c r="AA3962">
        <f>IF(AND(ISNUMBER('자료_거시'!$J3944),ISNUMBER('자료_거시'!$K3944)),IFERROR('자료_거시'!$K3944/INDEX($Z$21:$Z$4020,MATCH(EDATE('자료_거시'!$J3944,-'설정'!$B$17),'자료_거시'!$J$3:INDEX('자료_거시'!$J$3:$J$4002,$K$8),1))-1,""),"")</f>
        <v/>
      </c>
      <c r="AB3962">
        <f>IF(ISNUMBER(AA3962),'자료_거시'!$J3944,"")</f>
        <v/>
      </c>
      <c r="AC3962">
        <f>IF(ISNUMBER(AB3962),IF(AB3962&gt;$L$8,AA3962,""),"")</f>
        <v/>
      </c>
    </row>
    <row r="3963">
      <c r="S3963">
        <f>IF(ISNUMBER('자료_거시'!$E3945),'자료_거시'!$E3945,S3962)</f>
        <v/>
      </c>
      <c r="T3963">
        <f>IF(AND(ISNUMBER('자료_거시'!$D3945),ISNUMBER('자료_거시'!$E3945)),IFERROR('자료_거시'!$E3945-INDEX($S$21:$S$4020,MATCH(EDATE('자료_거시'!$D3945,-'설정'!$B$17),'자료_거시'!$D$3:INDEX('자료_거시'!$D$3:$D$4002,$K$6),1)),""),"")</f>
        <v/>
      </c>
      <c r="U3963">
        <f>IF(ISNUMBER(T3963),'자료_거시'!$D3945,"")</f>
        <v/>
      </c>
      <c r="V3963">
        <f>IF(ISNUMBER(U3963),IF(U3963&gt;$L$6,T3963,""),"")</f>
        <v/>
      </c>
      <c r="W3963">
        <f>IF(AND(ISNUMBER('자료_거시'!$G3945),ISNUMBER('자료_거시'!$H3945)),'자료_거시'!$H3945,"")</f>
        <v/>
      </c>
      <c r="X3963">
        <f>IF(ISNUMBER(W3963),'자료_거시'!$G3945,"")</f>
        <v/>
      </c>
      <c r="Y3963">
        <f>IF(ISNUMBER(X3963),IF(X3963&gt;$L$7,W3963,""),"")</f>
        <v/>
      </c>
      <c r="Z3963">
        <f>IF(ISNUMBER('자료_거시'!$K3945),'자료_거시'!$K3945,Z3962)</f>
        <v/>
      </c>
      <c r="AA3963">
        <f>IF(AND(ISNUMBER('자료_거시'!$J3945),ISNUMBER('자료_거시'!$K3945)),IFERROR('자료_거시'!$K3945/INDEX($Z$21:$Z$4020,MATCH(EDATE('자료_거시'!$J3945,-'설정'!$B$17),'자료_거시'!$J$3:INDEX('자료_거시'!$J$3:$J$4002,$K$8),1))-1,""),"")</f>
        <v/>
      </c>
      <c r="AB3963">
        <f>IF(ISNUMBER(AA3963),'자료_거시'!$J3945,"")</f>
        <v/>
      </c>
      <c r="AC3963">
        <f>IF(ISNUMBER(AB3963),IF(AB3963&gt;$L$8,AA3963,""),"")</f>
        <v/>
      </c>
    </row>
    <row r="3964">
      <c r="S3964">
        <f>IF(ISNUMBER('자료_거시'!$E3946),'자료_거시'!$E3946,S3963)</f>
        <v/>
      </c>
      <c r="T3964">
        <f>IF(AND(ISNUMBER('자료_거시'!$D3946),ISNUMBER('자료_거시'!$E3946)),IFERROR('자료_거시'!$E3946-INDEX($S$21:$S$4020,MATCH(EDATE('자료_거시'!$D3946,-'설정'!$B$17),'자료_거시'!$D$3:INDEX('자료_거시'!$D$3:$D$4002,$K$6),1)),""),"")</f>
        <v/>
      </c>
      <c r="U3964">
        <f>IF(ISNUMBER(T3964),'자료_거시'!$D3946,"")</f>
        <v/>
      </c>
      <c r="V3964">
        <f>IF(ISNUMBER(U3964),IF(U3964&gt;$L$6,T3964,""),"")</f>
        <v/>
      </c>
      <c r="W3964">
        <f>IF(AND(ISNUMBER('자료_거시'!$G3946),ISNUMBER('자료_거시'!$H3946)),'자료_거시'!$H3946,"")</f>
        <v/>
      </c>
      <c r="X3964">
        <f>IF(ISNUMBER(W3964),'자료_거시'!$G3946,"")</f>
        <v/>
      </c>
      <c r="Y3964">
        <f>IF(ISNUMBER(X3964),IF(X3964&gt;$L$7,W3964,""),"")</f>
        <v/>
      </c>
      <c r="Z3964">
        <f>IF(ISNUMBER('자료_거시'!$K3946),'자료_거시'!$K3946,Z3963)</f>
        <v/>
      </c>
      <c r="AA3964">
        <f>IF(AND(ISNUMBER('자료_거시'!$J3946),ISNUMBER('자료_거시'!$K3946)),IFERROR('자료_거시'!$K3946/INDEX($Z$21:$Z$4020,MATCH(EDATE('자료_거시'!$J3946,-'설정'!$B$17),'자료_거시'!$J$3:INDEX('자료_거시'!$J$3:$J$4002,$K$8),1))-1,""),"")</f>
        <v/>
      </c>
      <c r="AB3964">
        <f>IF(ISNUMBER(AA3964),'자료_거시'!$J3946,"")</f>
        <v/>
      </c>
      <c r="AC3964">
        <f>IF(ISNUMBER(AB3964),IF(AB3964&gt;$L$8,AA3964,""),"")</f>
        <v/>
      </c>
    </row>
    <row r="3965">
      <c r="S3965">
        <f>IF(ISNUMBER('자료_거시'!$E3947),'자료_거시'!$E3947,S3964)</f>
        <v/>
      </c>
      <c r="T3965">
        <f>IF(AND(ISNUMBER('자료_거시'!$D3947),ISNUMBER('자료_거시'!$E3947)),IFERROR('자료_거시'!$E3947-INDEX($S$21:$S$4020,MATCH(EDATE('자료_거시'!$D3947,-'설정'!$B$17),'자료_거시'!$D$3:INDEX('자료_거시'!$D$3:$D$4002,$K$6),1)),""),"")</f>
        <v/>
      </c>
      <c r="U3965">
        <f>IF(ISNUMBER(T3965),'자료_거시'!$D3947,"")</f>
        <v/>
      </c>
      <c r="V3965">
        <f>IF(ISNUMBER(U3965),IF(U3965&gt;$L$6,T3965,""),"")</f>
        <v/>
      </c>
      <c r="W3965">
        <f>IF(AND(ISNUMBER('자료_거시'!$G3947),ISNUMBER('자료_거시'!$H3947)),'자료_거시'!$H3947,"")</f>
        <v/>
      </c>
      <c r="X3965">
        <f>IF(ISNUMBER(W3965),'자료_거시'!$G3947,"")</f>
        <v/>
      </c>
      <c r="Y3965">
        <f>IF(ISNUMBER(X3965),IF(X3965&gt;$L$7,W3965,""),"")</f>
        <v/>
      </c>
      <c r="Z3965">
        <f>IF(ISNUMBER('자료_거시'!$K3947),'자료_거시'!$K3947,Z3964)</f>
        <v/>
      </c>
      <c r="AA3965">
        <f>IF(AND(ISNUMBER('자료_거시'!$J3947),ISNUMBER('자료_거시'!$K3947)),IFERROR('자료_거시'!$K3947/INDEX($Z$21:$Z$4020,MATCH(EDATE('자료_거시'!$J3947,-'설정'!$B$17),'자료_거시'!$J$3:INDEX('자료_거시'!$J$3:$J$4002,$K$8),1))-1,""),"")</f>
        <v/>
      </c>
      <c r="AB3965">
        <f>IF(ISNUMBER(AA3965),'자료_거시'!$J3947,"")</f>
        <v/>
      </c>
      <c r="AC3965">
        <f>IF(ISNUMBER(AB3965),IF(AB3965&gt;$L$8,AA3965,""),"")</f>
        <v/>
      </c>
    </row>
    <row r="3966">
      <c r="S3966">
        <f>IF(ISNUMBER('자료_거시'!$E3948),'자료_거시'!$E3948,S3965)</f>
        <v/>
      </c>
      <c r="T3966">
        <f>IF(AND(ISNUMBER('자료_거시'!$D3948),ISNUMBER('자료_거시'!$E3948)),IFERROR('자료_거시'!$E3948-INDEX($S$21:$S$4020,MATCH(EDATE('자료_거시'!$D3948,-'설정'!$B$17),'자료_거시'!$D$3:INDEX('자료_거시'!$D$3:$D$4002,$K$6),1)),""),"")</f>
        <v/>
      </c>
      <c r="U3966">
        <f>IF(ISNUMBER(T3966),'자료_거시'!$D3948,"")</f>
        <v/>
      </c>
      <c r="V3966">
        <f>IF(ISNUMBER(U3966),IF(U3966&gt;$L$6,T3966,""),"")</f>
        <v/>
      </c>
      <c r="W3966">
        <f>IF(AND(ISNUMBER('자료_거시'!$G3948),ISNUMBER('자료_거시'!$H3948)),'자료_거시'!$H3948,"")</f>
        <v/>
      </c>
      <c r="X3966">
        <f>IF(ISNUMBER(W3966),'자료_거시'!$G3948,"")</f>
        <v/>
      </c>
      <c r="Y3966">
        <f>IF(ISNUMBER(X3966),IF(X3966&gt;$L$7,W3966,""),"")</f>
        <v/>
      </c>
      <c r="Z3966">
        <f>IF(ISNUMBER('자료_거시'!$K3948),'자료_거시'!$K3948,Z3965)</f>
        <v/>
      </c>
      <c r="AA3966">
        <f>IF(AND(ISNUMBER('자료_거시'!$J3948),ISNUMBER('자료_거시'!$K3948)),IFERROR('자료_거시'!$K3948/INDEX($Z$21:$Z$4020,MATCH(EDATE('자료_거시'!$J3948,-'설정'!$B$17),'자료_거시'!$J$3:INDEX('자료_거시'!$J$3:$J$4002,$K$8),1))-1,""),"")</f>
        <v/>
      </c>
      <c r="AB3966">
        <f>IF(ISNUMBER(AA3966),'자료_거시'!$J3948,"")</f>
        <v/>
      </c>
      <c r="AC3966">
        <f>IF(ISNUMBER(AB3966),IF(AB3966&gt;$L$8,AA3966,""),"")</f>
        <v/>
      </c>
    </row>
    <row r="3967">
      <c r="S3967">
        <f>IF(ISNUMBER('자료_거시'!$E3949),'자료_거시'!$E3949,S3966)</f>
        <v/>
      </c>
      <c r="T3967">
        <f>IF(AND(ISNUMBER('자료_거시'!$D3949),ISNUMBER('자료_거시'!$E3949)),IFERROR('자료_거시'!$E3949-INDEX($S$21:$S$4020,MATCH(EDATE('자료_거시'!$D3949,-'설정'!$B$17),'자료_거시'!$D$3:INDEX('자료_거시'!$D$3:$D$4002,$K$6),1)),""),"")</f>
        <v/>
      </c>
      <c r="U3967">
        <f>IF(ISNUMBER(T3967),'자료_거시'!$D3949,"")</f>
        <v/>
      </c>
      <c r="V3967">
        <f>IF(ISNUMBER(U3967),IF(U3967&gt;$L$6,T3967,""),"")</f>
        <v/>
      </c>
      <c r="W3967">
        <f>IF(AND(ISNUMBER('자료_거시'!$G3949),ISNUMBER('자료_거시'!$H3949)),'자료_거시'!$H3949,"")</f>
        <v/>
      </c>
      <c r="X3967">
        <f>IF(ISNUMBER(W3967),'자료_거시'!$G3949,"")</f>
        <v/>
      </c>
      <c r="Y3967">
        <f>IF(ISNUMBER(X3967),IF(X3967&gt;$L$7,W3967,""),"")</f>
        <v/>
      </c>
      <c r="Z3967">
        <f>IF(ISNUMBER('자료_거시'!$K3949),'자료_거시'!$K3949,Z3966)</f>
        <v/>
      </c>
      <c r="AA3967">
        <f>IF(AND(ISNUMBER('자료_거시'!$J3949),ISNUMBER('자료_거시'!$K3949)),IFERROR('자료_거시'!$K3949/INDEX($Z$21:$Z$4020,MATCH(EDATE('자료_거시'!$J3949,-'설정'!$B$17),'자료_거시'!$J$3:INDEX('자료_거시'!$J$3:$J$4002,$K$8),1))-1,""),"")</f>
        <v/>
      </c>
      <c r="AB3967">
        <f>IF(ISNUMBER(AA3967),'자료_거시'!$J3949,"")</f>
        <v/>
      </c>
      <c r="AC3967">
        <f>IF(ISNUMBER(AB3967),IF(AB3967&gt;$L$8,AA3967,""),"")</f>
        <v/>
      </c>
    </row>
    <row r="3968">
      <c r="S3968">
        <f>IF(ISNUMBER('자료_거시'!$E3950),'자료_거시'!$E3950,S3967)</f>
        <v/>
      </c>
      <c r="T3968">
        <f>IF(AND(ISNUMBER('자료_거시'!$D3950),ISNUMBER('자료_거시'!$E3950)),IFERROR('자료_거시'!$E3950-INDEX($S$21:$S$4020,MATCH(EDATE('자료_거시'!$D3950,-'설정'!$B$17),'자료_거시'!$D$3:INDEX('자료_거시'!$D$3:$D$4002,$K$6),1)),""),"")</f>
        <v/>
      </c>
      <c r="U3968">
        <f>IF(ISNUMBER(T3968),'자료_거시'!$D3950,"")</f>
        <v/>
      </c>
      <c r="V3968">
        <f>IF(ISNUMBER(U3968),IF(U3968&gt;$L$6,T3968,""),"")</f>
        <v/>
      </c>
      <c r="W3968">
        <f>IF(AND(ISNUMBER('자료_거시'!$G3950),ISNUMBER('자료_거시'!$H3950)),'자료_거시'!$H3950,"")</f>
        <v/>
      </c>
      <c r="X3968">
        <f>IF(ISNUMBER(W3968),'자료_거시'!$G3950,"")</f>
        <v/>
      </c>
      <c r="Y3968">
        <f>IF(ISNUMBER(X3968),IF(X3968&gt;$L$7,W3968,""),"")</f>
        <v/>
      </c>
      <c r="Z3968">
        <f>IF(ISNUMBER('자료_거시'!$K3950),'자료_거시'!$K3950,Z3967)</f>
        <v/>
      </c>
      <c r="AA3968">
        <f>IF(AND(ISNUMBER('자료_거시'!$J3950),ISNUMBER('자료_거시'!$K3950)),IFERROR('자료_거시'!$K3950/INDEX($Z$21:$Z$4020,MATCH(EDATE('자료_거시'!$J3950,-'설정'!$B$17),'자료_거시'!$J$3:INDEX('자료_거시'!$J$3:$J$4002,$K$8),1))-1,""),"")</f>
        <v/>
      </c>
      <c r="AB3968">
        <f>IF(ISNUMBER(AA3968),'자료_거시'!$J3950,"")</f>
        <v/>
      </c>
      <c r="AC3968">
        <f>IF(ISNUMBER(AB3968),IF(AB3968&gt;$L$8,AA3968,""),"")</f>
        <v/>
      </c>
    </row>
    <row r="3969">
      <c r="S3969">
        <f>IF(ISNUMBER('자료_거시'!$E3951),'자료_거시'!$E3951,S3968)</f>
        <v/>
      </c>
      <c r="T3969">
        <f>IF(AND(ISNUMBER('자료_거시'!$D3951),ISNUMBER('자료_거시'!$E3951)),IFERROR('자료_거시'!$E3951-INDEX($S$21:$S$4020,MATCH(EDATE('자료_거시'!$D3951,-'설정'!$B$17),'자료_거시'!$D$3:INDEX('자료_거시'!$D$3:$D$4002,$K$6),1)),""),"")</f>
        <v/>
      </c>
      <c r="U3969">
        <f>IF(ISNUMBER(T3969),'자료_거시'!$D3951,"")</f>
        <v/>
      </c>
      <c r="V3969">
        <f>IF(ISNUMBER(U3969),IF(U3969&gt;$L$6,T3969,""),"")</f>
        <v/>
      </c>
      <c r="W3969">
        <f>IF(AND(ISNUMBER('자료_거시'!$G3951),ISNUMBER('자료_거시'!$H3951)),'자료_거시'!$H3951,"")</f>
        <v/>
      </c>
      <c r="X3969">
        <f>IF(ISNUMBER(W3969),'자료_거시'!$G3951,"")</f>
        <v/>
      </c>
      <c r="Y3969">
        <f>IF(ISNUMBER(X3969),IF(X3969&gt;$L$7,W3969,""),"")</f>
        <v/>
      </c>
      <c r="Z3969">
        <f>IF(ISNUMBER('자료_거시'!$K3951),'자료_거시'!$K3951,Z3968)</f>
        <v/>
      </c>
      <c r="AA3969">
        <f>IF(AND(ISNUMBER('자료_거시'!$J3951),ISNUMBER('자료_거시'!$K3951)),IFERROR('자료_거시'!$K3951/INDEX($Z$21:$Z$4020,MATCH(EDATE('자료_거시'!$J3951,-'설정'!$B$17),'자료_거시'!$J$3:INDEX('자료_거시'!$J$3:$J$4002,$K$8),1))-1,""),"")</f>
        <v/>
      </c>
      <c r="AB3969">
        <f>IF(ISNUMBER(AA3969),'자료_거시'!$J3951,"")</f>
        <v/>
      </c>
      <c r="AC3969">
        <f>IF(ISNUMBER(AB3969),IF(AB3969&gt;$L$8,AA3969,""),"")</f>
        <v/>
      </c>
    </row>
    <row r="3970">
      <c r="S3970">
        <f>IF(ISNUMBER('자료_거시'!$E3952),'자료_거시'!$E3952,S3969)</f>
        <v/>
      </c>
      <c r="T3970">
        <f>IF(AND(ISNUMBER('자료_거시'!$D3952),ISNUMBER('자료_거시'!$E3952)),IFERROR('자료_거시'!$E3952-INDEX($S$21:$S$4020,MATCH(EDATE('자료_거시'!$D3952,-'설정'!$B$17),'자료_거시'!$D$3:INDEX('자료_거시'!$D$3:$D$4002,$K$6),1)),""),"")</f>
        <v/>
      </c>
      <c r="U3970">
        <f>IF(ISNUMBER(T3970),'자료_거시'!$D3952,"")</f>
        <v/>
      </c>
      <c r="V3970">
        <f>IF(ISNUMBER(U3970),IF(U3970&gt;$L$6,T3970,""),"")</f>
        <v/>
      </c>
      <c r="W3970">
        <f>IF(AND(ISNUMBER('자료_거시'!$G3952),ISNUMBER('자료_거시'!$H3952)),'자료_거시'!$H3952,"")</f>
        <v/>
      </c>
      <c r="X3970">
        <f>IF(ISNUMBER(W3970),'자료_거시'!$G3952,"")</f>
        <v/>
      </c>
      <c r="Y3970">
        <f>IF(ISNUMBER(X3970),IF(X3970&gt;$L$7,W3970,""),"")</f>
        <v/>
      </c>
      <c r="Z3970">
        <f>IF(ISNUMBER('자료_거시'!$K3952),'자료_거시'!$K3952,Z3969)</f>
        <v/>
      </c>
      <c r="AA3970">
        <f>IF(AND(ISNUMBER('자료_거시'!$J3952),ISNUMBER('자료_거시'!$K3952)),IFERROR('자료_거시'!$K3952/INDEX($Z$21:$Z$4020,MATCH(EDATE('자료_거시'!$J3952,-'설정'!$B$17),'자료_거시'!$J$3:INDEX('자료_거시'!$J$3:$J$4002,$K$8),1))-1,""),"")</f>
        <v/>
      </c>
      <c r="AB3970">
        <f>IF(ISNUMBER(AA3970),'자료_거시'!$J3952,"")</f>
        <v/>
      </c>
      <c r="AC3970">
        <f>IF(ISNUMBER(AB3970),IF(AB3970&gt;$L$8,AA3970,""),"")</f>
        <v/>
      </c>
    </row>
    <row r="3971">
      <c r="S3971">
        <f>IF(ISNUMBER('자료_거시'!$E3953),'자료_거시'!$E3953,S3970)</f>
        <v/>
      </c>
      <c r="T3971">
        <f>IF(AND(ISNUMBER('자료_거시'!$D3953),ISNUMBER('자료_거시'!$E3953)),IFERROR('자료_거시'!$E3953-INDEX($S$21:$S$4020,MATCH(EDATE('자료_거시'!$D3953,-'설정'!$B$17),'자료_거시'!$D$3:INDEX('자료_거시'!$D$3:$D$4002,$K$6),1)),""),"")</f>
        <v/>
      </c>
      <c r="U3971">
        <f>IF(ISNUMBER(T3971),'자료_거시'!$D3953,"")</f>
        <v/>
      </c>
      <c r="V3971">
        <f>IF(ISNUMBER(U3971),IF(U3971&gt;$L$6,T3971,""),"")</f>
        <v/>
      </c>
      <c r="W3971">
        <f>IF(AND(ISNUMBER('자료_거시'!$G3953),ISNUMBER('자료_거시'!$H3953)),'자료_거시'!$H3953,"")</f>
        <v/>
      </c>
      <c r="X3971">
        <f>IF(ISNUMBER(W3971),'자료_거시'!$G3953,"")</f>
        <v/>
      </c>
      <c r="Y3971">
        <f>IF(ISNUMBER(X3971),IF(X3971&gt;$L$7,W3971,""),"")</f>
        <v/>
      </c>
      <c r="Z3971">
        <f>IF(ISNUMBER('자료_거시'!$K3953),'자료_거시'!$K3953,Z3970)</f>
        <v/>
      </c>
      <c r="AA3971">
        <f>IF(AND(ISNUMBER('자료_거시'!$J3953),ISNUMBER('자료_거시'!$K3953)),IFERROR('자료_거시'!$K3953/INDEX($Z$21:$Z$4020,MATCH(EDATE('자료_거시'!$J3953,-'설정'!$B$17),'자료_거시'!$J$3:INDEX('자료_거시'!$J$3:$J$4002,$K$8),1))-1,""),"")</f>
        <v/>
      </c>
      <c r="AB3971">
        <f>IF(ISNUMBER(AA3971),'자료_거시'!$J3953,"")</f>
        <v/>
      </c>
      <c r="AC3971">
        <f>IF(ISNUMBER(AB3971),IF(AB3971&gt;$L$8,AA3971,""),"")</f>
        <v/>
      </c>
    </row>
    <row r="3972">
      <c r="S3972">
        <f>IF(ISNUMBER('자료_거시'!$E3954),'자료_거시'!$E3954,S3971)</f>
        <v/>
      </c>
      <c r="T3972">
        <f>IF(AND(ISNUMBER('자료_거시'!$D3954),ISNUMBER('자료_거시'!$E3954)),IFERROR('자료_거시'!$E3954-INDEX($S$21:$S$4020,MATCH(EDATE('자료_거시'!$D3954,-'설정'!$B$17),'자료_거시'!$D$3:INDEX('자료_거시'!$D$3:$D$4002,$K$6),1)),""),"")</f>
        <v/>
      </c>
      <c r="U3972">
        <f>IF(ISNUMBER(T3972),'자료_거시'!$D3954,"")</f>
        <v/>
      </c>
      <c r="V3972">
        <f>IF(ISNUMBER(U3972),IF(U3972&gt;$L$6,T3972,""),"")</f>
        <v/>
      </c>
      <c r="W3972">
        <f>IF(AND(ISNUMBER('자료_거시'!$G3954),ISNUMBER('자료_거시'!$H3954)),'자료_거시'!$H3954,"")</f>
        <v/>
      </c>
      <c r="X3972">
        <f>IF(ISNUMBER(W3972),'자료_거시'!$G3954,"")</f>
        <v/>
      </c>
      <c r="Y3972">
        <f>IF(ISNUMBER(X3972),IF(X3972&gt;$L$7,W3972,""),"")</f>
        <v/>
      </c>
      <c r="Z3972">
        <f>IF(ISNUMBER('자료_거시'!$K3954),'자료_거시'!$K3954,Z3971)</f>
        <v/>
      </c>
      <c r="AA3972">
        <f>IF(AND(ISNUMBER('자료_거시'!$J3954),ISNUMBER('자료_거시'!$K3954)),IFERROR('자료_거시'!$K3954/INDEX($Z$21:$Z$4020,MATCH(EDATE('자료_거시'!$J3954,-'설정'!$B$17),'자료_거시'!$J$3:INDEX('자료_거시'!$J$3:$J$4002,$K$8),1))-1,""),"")</f>
        <v/>
      </c>
      <c r="AB3972">
        <f>IF(ISNUMBER(AA3972),'자료_거시'!$J3954,"")</f>
        <v/>
      </c>
      <c r="AC3972">
        <f>IF(ISNUMBER(AB3972),IF(AB3972&gt;$L$8,AA3972,""),"")</f>
        <v/>
      </c>
    </row>
    <row r="3973">
      <c r="S3973">
        <f>IF(ISNUMBER('자료_거시'!$E3955),'자료_거시'!$E3955,S3972)</f>
        <v/>
      </c>
      <c r="T3973">
        <f>IF(AND(ISNUMBER('자료_거시'!$D3955),ISNUMBER('자료_거시'!$E3955)),IFERROR('자료_거시'!$E3955-INDEX($S$21:$S$4020,MATCH(EDATE('자료_거시'!$D3955,-'설정'!$B$17),'자료_거시'!$D$3:INDEX('자료_거시'!$D$3:$D$4002,$K$6),1)),""),"")</f>
        <v/>
      </c>
      <c r="U3973">
        <f>IF(ISNUMBER(T3973),'자료_거시'!$D3955,"")</f>
        <v/>
      </c>
      <c r="V3973">
        <f>IF(ISNUMBER(U3973),IF(U3973&gt;$L$6,T3973,""),"")</f>
        <v/>
      </c>
      <c r="W3973">
        <f>IF(AND(ISNUMBER('자료_거시'!$G3955),ISNUMBER('자료_거시'!$H3955)),'자료_거시'!$H3955,"")</f>
        <v/>
      </c>
      <c r="X3973">
        <f>IF(ISNUMBER(W3973),'자료_거시'!$G3955,"")</f>
        <v/>
      </c>
      <c r="Y3973">
        <f>IF(ISNUMBER(X3973),IF(X3973&gt;$L$7,W3973,""),"")</f>
        <v/>
      </c>
      <c r="Z3973">
        <f>IF(ISNUMBER('자료_거시'!$K3955),'자료_거시'!$K3955,Z3972)</f>
        <v/>
      </c>
      <c r="AA3973">
        <f>IF(AND(ISNUMBER('자료_거시'!$J3955),ISNUMBER('자료_거시'!$K3955)),IFERROR('자료_거시'!$K3955/INDEX($Z$21:$Z$4020,MATCH(EDATE('자료_거시'!$J3955,-'설정'!$B$17),'자료_거시'!$J$3:INDEX('자료_거시'!$J$3:$J$4002,$K$8),1))-1,""),"")</f>
        <v/>
      </c>
      <c r="AB3973">
        <f>IF(ISNUMBER(AA3973),'자료_거시'!$J3955,"")</f>
        <v/>
      </c>
      <c r="AC3973">
        <f>IF(ISNUMBER(AB3973),IF(AB3973&gt;$L$8,AA3973,""),"")</f>
        <v/>
      </c>
    </row>
    <row r="3974">
      <c r="S3974">
        <f>IF(ISNUMBER('자료_거시'!$E3956),'자료_거시'!$E3956,S3973)</f>
        <v/>
      </c>
      <c r="T3974">
        <f>IF(AND(ISNUMBER('자료_거시'!$D3956),ISNUMBER('자료_거시'!$E3956)),IFERROR('자료_거시'!$E3956-INDEX($S$21:$S$4020,MATCH(EDATE('자료_거시'!$D3956,-'설정'!$B$17),'자료_거시'!$D$3:INDEX('자료_거시'!$D$3:$D$4002,$K$6),1)),""),"")</f>
        <v/>
      </c>
      <c r="U3974">
        <f>IF(ISNUMBER(T3974),'자료_거시'!$D3956,"")</f>
        <v/>
      </c>
      <c r="V3974">
        <f>IF(ISNUMBER(U3974),IF(U3974&gt;$L$6,T3974,""),"")</f>
        <v/>
      </c>
      <c r="W3974">
        <f>IF(AND(ISNUMBER('자료_거시'!$G3956),ISNUMBER('자료_거시'!$H3956)),'자료_거시'!$H3956,"")</f>
        <v/>
      </c>
      <c r="X3974">
        <f>IF(ISNUMBER(W3974),'자료_거시'!$G3956,"")</f>
        <v/>
      </c>
      <c r="Y3974">
        <f>IF(ISNUMBER(X3974),IF(X3974&gt;$L$7,W3974,""),"")</f>
        <v/>
      </c>
      <c r="Z3974">
        <f>IF(ISNUMBER('자료_거시'!$K3956),'자료_거시'!$K3956,Z3973)</f>
        <v/>
      </c>
      <c r="AA3974">
        <f>IF(AND(ISNUMBER('자료_거시'!$J3956),ISNUMBER('자료_거시'!$K3956)),IFERROR('자료_거시'!$K3956/INDEX($Z$21:$Z$4020,MATCH(EDATE('자료_거시'!$J3956,-'설정'!$B$17),'자료_거시'!$J$3:INDEX('자료_거시'!$J$3:$J$4002,$K$8),1))-1,""),"")</f>
        <v/>
      </c>
      <c r="AB3974">
        <f>IF(ISNUMBER(AA3974),'자료_거시'!$J3956,"")</f>
        <v/>
      </c>
      <c r="AC3974">
        <f>IF(ISNUMBER(AB3974),IF(AB3974&gt;$L$8,AA3974,""),"")</f>
        <v/>
      </c>
    </row>
    <row r="3975">
      <c r="S3975">
        <f>IF(ISNUMBER('자료_거시'!$E3957),'자료_거시'!$E3957,S3974)</f>
        <v/>
      </c>
      <c r="T3975">
        <f>IF(AND(ISNUMBER('자료_거시'!$D3957),ISNUMBER('자료_거시'!$E3957)),IFERROR('자료_거시'!$E3957-INDEX($S$21:$S$4020,MATCH(EDATE('자료_거시'!$D3957,-'설정'!$B$17),'자료_거시'!$D$3:INDEX('자료_거시'!$D$3:$D$4002,$K$6),1)),""),"")</f>
        <v/>
      </c>
      <c r="U3975">
        <f>IF(ISNUMBER(T3975),'자료_거시'!$D3957,"")</f>
        <v/>
      </c>
      <c r="V3975">
        <f>IF(ISNUMBER(U3975),IF(U3975&gt;$L$6,T3975,""),"")</f>
        <v/>
      </c>
      <c r="W3975">
        <f>IF(AND(ISNUMBER('자료_거시'!$G3957),ISNUMBER('자료_거시'!$H3957)),'자료_거시'!$H3957,"")</f>
        <v/>
      </c>
      <c r="X3975">
        <f>IF(ISNUMBER(W3975),'자료_거시'!$G3957,"")</f>
        <v/>
      </c>
      <c r="Y3975">
        <f>IF(ISNUMBER(X3975),IF(X3975&gt;$L$7,W3975,""),"")</f>
        <v/>
      </c>
      <c r="Z3975">
        <f>IF(ISNUMBER('자료_거시'!$K3957),'자료_거시'!$K3957,Z3974)</f>
        <v/>
      </c>
      <c r="AA3975">
        <f>IF(AND(ISNUMBER('자료_거시'!$J3957),ISNUMBER('자료_거시'!$K3957)),IFERROR('자료_거시'!$K3957/INDEX($Z$21:$Z$4020,MATCH(EDATE('자료_거시'!$J3957,-'설정'!$B$17),'자료_거시'!$J$3:INDEX('자료_거시'!$J$3:$J$4002,$K$8),1))-1,""),"")</f>
        <v/>
      </c>
      <c r="AB3975">
        <f>IF(ISNUMBER(AA3975),'자료_거시'!$J3957,"")</f>
        <v/>
      </c>
      <c r="AC3975">
        <f>IF(ISNUMBER(AB3975),IF(AB3975&gt;$L$8,AA3975,""),"")</f>
        <v/>
      </c>
    </row>
    <row r="3976">
      <c r="S3976">
        <f>IF(ISNUMBER('자료_거시'!$E3958),'자료_거시'!$E3958,S3975)</f>
        <v/>
      </c>
      <c r="T3976">
        <f>IF(AND(ISNUMBER('자료_거시'!$D3958),ISNUMBER('자료_거시'!$E3958)),IFERROR('자료_거시'!$E3958-INDEX($S$21:$S$4020,MATCH(EDATE('자료_거시'!$D3958,-'설정'!$B$17),'자료_거시'!$D$3:INDEX('자료_거시'!$D$3:$D$4002,$K$6),1)),""),"")</f>
        <v/>
      </c>
      <c r="U3976">
        <f>IF(ISNUMBER(T3976),'자료_거시'!$D3958,"")</f>
        <v/>
      </c>
      <c r="V3976">
        <f>IF(ISNUMBER(U3976),IF(U3976&gt;$L$6,T3976,""),"")</f>
        <v/>
      </c>
      <c r="W3976">
        <f>IF(AND(ISNUMBER('자료_거시'!$G3958),ISNUMBER('자료_거시'!$H3958)),'자료_거시'!$H3958,"")</f>
        <v/>
      </c>
      <c r="X3976">
        <f>IF(ISNUMBER(W3976),'자료_거시'!$G3958,"")</f>
        <v/>
      </c>
      <c r="Y3976">
        <f>IF(ISNUMBER(X3976),IF(X3976&gt;$L$7,W3976,""),"")</f>
        <v/>
      </c>
      <c r="Z3976">
        <f>IF(ISNUMBER('자료_거시'!$K3958),'자료_거시'!$K3958,Z3975)</f>
        <v/>
      </c>
      <c r="AA3976">
        <f>IF(AND(ISNUMBER('자료_거시'!$J3958),ISNUMBER('자료_거시'!$K3958)),IFERROR('자료_거시'!$K3958/INDEX($Z$21:$Z$4020,MATCH(EDATE('자료_거시'!$J3958,-'설정'!$B$17),'자료_거시'!$J$3:INDEX('자료_거시'!$J$3:$J$4002,$K$8),1))-1,""),"")</f>
        <v/>
      </c>
      <c r="AB3976">
        <f>IF(ISNUMBER(AA3976),'자료_거시'!$J3958,"")</f>
        <v/>
      </c>
      <c r="AC3976">
        <f>IF(ISNUMBER(AB3976),IF(AB3976&gt;$L$8,AA3976,""),"")</f>
        <v/>
      </c>
    </row>
    <row r="3977">
      <c r="S3977">
        <f>IF(ISNUMBER('자료_거시'!$E3959),'자료_거시'!$E3959,S3976)</f>
        <v/>
      </c>
      <c r="T3977">
        <f>IF(AND(ISNUMBER('자료_거시'!$D3959),ISNUMBER('자료_거시'!$E3959)),IFERROR('자료_거시'!$E3959-INDEX($S$21:$S$4020,MATCH(EDATE('자료_거시'!$D3959,-'설정'!$B$17),'자료_거시'!$D$3:INDEX('자료_거시'!$D$3:$D$4002,$K$6),1)),""),"")</f>
        <v/>
      </c>
      <c r="U3977">
        <f>IF(ISNUMBER(T3977),'자료_거시'!$D3959,"")</f>
        <v/>
      </c>
      <c r="V3977">
        <f>IF(ISNUMBER(U3977),IF(U3977&gt;$L$6,T3977,""),"")</f>
        <v/>
      </c>
      <c r="W3977">
        <f>IF(AND(ISNUMBER('자료_거시'!$G3959),ISNUMBER('자료_거시'!$H3959)),'자료_거시'!$H3959,"")</f>
        <v/>
      </c>
      <c r="X3977">
        <f>IF(ISNUMBER(W3977),'자료_거시'!$G3959,"")</f>
        <v/>
      </c>
      <c r="Y3977">
        <f>IF(ISNUMBER(X3977),IF(X3977&gt;$L$7,W3977,""),"")</f>
        <v/>
      </c>
      <c r="Z3977">
        <f>IF(ISNUMBER('자료_거시'!$K3959),'자료_거시'!$K3959,Z3976)</f>
        <v/>
      </c>
      <c r="AA3977">
        <f>IF(AND(ISNUMBER('자료_거시'!$J3959),ISNUMBER('자료_거시'!$K3959)),IFERROR('자료_거시'!$K3959/INDEX($Z$21:$Z$4020,MATCH(EDATE('자료_거시'!$J3959,-'설정'!$B$17),'자료_거시'!$J$3:INDEX('자료_거시'!$J$3:$J$4002,$K$8),1))-1,""),"")</f>
        <v/>
      </c>
      <c r="AB3977">
        <f>IF(ISNUMBER(AA3977),'자료_거시'!$J3959,"")</f>
        <v/>
      </c>
      <c r="AC3977">
        <f>IF(ISNUMBER(AB3977),IF(AB3977&gt;$L$8,AA3977,""),"")</f>
        <v/>
      </c>
    </row>
    <row r="3978">
      <c r="S3978">
        <f>IF(ISNUMBER('자료_거시'!$E3960),'자료_거시'!$E3960,S3977)</f>
        <v/>
      </c>
      <c r="T3978">
        <f>IF(AND(ISNUMBER('자료_거시'!$D3960),ISNUMBER('자료_거시'!$E3960)),IFERROR('자료_거시'!$E3960-INDEX($S$21:$S$4020,MATCH(EDATE('자료_거시'!$D3960,-'설정'!$B$17),'자료_거시'!$D$3:INDEX('자료_거시'!$D$3:$D$4002,$K$6),1)),""),"")</f>
        <v/>
      </c>
      <c r="U3978">
        <f>IF(ISNUMBER(T3978),'자료_거시'!$D3960,"")</f>
        <v/>
      </c>
      <c r="V3978">
        <f>IF(ISNUMBER(U3978),IF(U3978&gt;$L$6,T3978,""),"")</f>
        <v/>
      </c>
      <c r="W3978">
        <f>IF(AND(ISNUMBER('자료_거시'!$G3960),ISNUMBER('자료_거시'!$H3960)),'자료_거시'!$H3960,"")</f>
        <v/>
      </c>
      <c r="X3978">
        <f>IF(ISNUMBER(W3978),'자료_거시'!$G3960,"")</f>
        <v/>
      </c>
      <c r="Y3978">
        <f>IF(ISNUMBER(X3978),IF(X3978&gt;$L$7,W3978,""),"")</f>
        <v/>
      </c>
      <c r="Z3978">
        <f>IF(ISNUMBER('자료_거시'!$K3960),'자료_거시'!$K3960,Z3977)</f>
        <v/>
      </c>
      <c r="AA3978">
        <f>IF(AND(ISNUMBER('자료_거시'!$J3960),ISNUMBER('자료_거시'!$K3960)),IFERROR('자료_거시'!$K3960/INDEX($Z$21:$Z$4020,MATCH(EDATE('자료_거시'!$J3960,-'설정'!$B$17),'자료_거시'!$J$3:INDEX('자료_거시'!$J$3:$J$4002,$K$8),1))-1,""),"")</f>
        <v/>
      </c>
      <c r="AB3978">
        <f>IF(ISNUMBER(AA3978),'자료_거시'!$J3960,"")</f>
        <v/>
      </c>
      <c r="AC3978">
        <f>IF(ISNUMBER(AB3978),IF(AB3978&gt;$L$8,AA3978,""),"")</f>
        <v/>
      </c>
    </row>
    <row r="3979">
      <c r="S3979">
        <f>IF(ISNUMBER('자료_거시'!$E3961),'자료_거시'!$E3961,S3978)</f>
        <v/>
      </c>
      <c r="T3979">
        <f>IF(AND(ISNUMBER('자료_거시'!$D3961),ISNUMBER('자료_거시'!$E3961)),IFERROR('자료_거시'!$E3961-INDEX($S$21:$S$4020,MATCH(EDATE('자료_거시'!$D3961,-'설정'!$B$17),'자료_거시'!$D$3:INDEX('자료_거시'!$D$3:$D$4002,$K$6),1)),""),"")</f>
        <v/>
      </c>
      <c r="U3979">
        <f>IF(ISNUMBER(T3979),'자료_거시'!$D3961,"")</f>
        <v/>
      </c>
      <c r="V3979">
        <f>IF(ISNUMBER(U3979),IF(U3979&gt;$L$6,T3979,""),"")</f>
        <v/>
      </c>
      <c r="W3979">
        <f>IF(AND(ISNUMBER('자료_거시'!$G3961),ISNUMBER('자료_거시'!$H3961)),'자료_거시'!$H3961,"")</f>
        <v/>
      </c>
      <c r="X3979">
        <f>IF(ISNUMBER(W3979),'자료_거시'!$G3961,"")</f>
        <v/>
      </c>
      <c r="Y3979">
        <f>IF(ISNUMBER(X3979),IF(X3979&gt;$L$7,W3979,""),"")</f>
        <v/>
      </c>
      <c r="Z3979">
        <f>IF(ISNUMBER('자료_거시'!$K3961),'자료_거시'!$K3961,Z3978)</f>
        <v/>
      </c>
      <c r="AA3979">
        <f>IF(AND(ISNUMBER('자료_거시'!$J3961),ISNUMBER('자료_거시'!$K3961)),IFERROR('자료_거시'!$K3961/INDEX($Z$21:$Z$4020,MATCH(EDATE('자료_거시'!$J3961,-'설정'!$B$17),'자료_거시'!$J$3:INDEX('자료_거시'!$J$3:$J$4002,$K$8),1))-1,""),"")</f>
        <v/>
      </c>
      <c r="AB3979">
        <f>IF(ISNUMBER(AA3979),'자료_거시'!$J3961,"")</f>
        <v/>
      </c>
      <c r="AC3979">
        <f>IF(ISNUMBER(AB3979),IF(AB3979&gt;$L$8,AA3979,""),"")</f>
        <v/>
      </c>
    </row>
    <row r="3980">
      <c r="S3980">
        <f>IF(ISNUMBER('자료_거시'!$E3962),'자료_거시'!$E3962,S3979)</f>
        <v/>
      </c>
      <c r="T3980">
        <f>IF(AND(ISNUMBER('자료_거시'!$D3962),ISNUMBER('자료_거시'!$E3962)),IFERROR('자료_거시'!$E3962-INDEX($S$21:$S$4020,MATCH(EDATE('자료_거시'!$D3962,-'설정'!$B$17),'자료_거시'!$D$3:INDEX('자료_거시'!$D$3:$D$4002,$K$6),1)),""),"")</f>
        <v/>
      </c>
      <c r="U3980">
        <f>IF(ISNUMBER(T3980),'자료_거시'!$D3962,"")</f>
        <v/>
      </c>
      <c r="V3980">
        <f>IF(ISNUMBER(U3980),IF(U3980&gt;$L$6,T3980,""),"")</f>
        <v/>
      </c>
      <c r="W3980">
        <f>IF(AND(ISNUMBER('자료_거시'!$G3962),ISNUMBER('자료_거시'!$H3962)),'자료_거시'!$H3962,"")</f>
        <v/>
      </c>
      <c r="X3980">
        <f>IF(ISNUMBER(W3980),'자료_거시'!$G3962,"")</f>
        <v/>
      </c>
      <c r="Y3980">
        <f>IF(ISNUMBER(X3980),IF(X3980&gt;$L$7,W3980,""),"")</f>
        <v/>
      </c>
      <c r="Z3980">
        <f>IF(ISNUMBER('자료_거시'!$K3962),'자료_거시'!$K3962,Z3979)</f>
        <v/>
      </c>
      <c r="AA3980">
        <f>IF(AND(ISNUMBER('자료_거시'!$J3962),ISNUMBER('자료_거시'!$K3962)),IFERROR('자료_거시'!$K3962/INDEX($Z$21:$Z$4020,MATCH(EDATE('자료_거시'!$J3962,-'설정'!$B$17),'자료_거시'!$J$3:INDEX('자료_거시'!$J$3:$J$4002,$K$8),1))-1,""),"")</f>
        <v/>
      </c>
      <c r="AB3980">
        <f>IF(ISNUMBER(AA3980),'자료_거시'!$J3962,"")</f>
        <v/>
      </c>
      <c r="AC3980">
        <f>IF(ISNUMBER(AB3980),IF(AB3980&gt;$L$8,AA3980,""),"")</f>
        <v/>
      </c>
    </row>
    <row r="3981">
      <c r="S3981">
        <f>IF(ISNUMBER('자료_거시'!$E3963),'자료_거시'!$E3963,S3980)</f>
        <v/>
      </c>
      <c r="T3981">
        <f>IF(AND(ISNUMBER('자료_거시'!$D3963),ISNUMBER('자료_거시'!$E3963)),IFERROR('자료_거시'!$E3963-INDEX($S$21:$S$4020,MATCH(EDATE('자료_거시'!$D3963,-'설정'!$B$17),'자료_거시'!$D$3:INDEX('자료_거시'!$D$3:$D$4002,$K$6),1)),""),"")</f>
        <v/>
      </c>
      <c r="U3981">
        <f>IF(ISNUMBER(T3981),'자료_거시'!$D3963,"")</f>
        <v/>
      </c>
      <c r="V3981">
        <f>IF(ISNUMBER(U3981),IF(U3981&gt;$L$6,T3981,""),"")</f>
        <v/>
      </c>
      <c r="W3981">
        <f>IF(AND(ISNUMBER('자료_거시'!$G3963),ISNUMBER('자료_거시'!$H3963)),'자료_거시'!$H3963,"")</f>
        <v/>
      </c>
      <c r="X3981">
        <f>IF(ISNUMBER(W3981),'자료_거시'!$G3963,"")</f>
        <v/>
      </c>
      <c r="Y3981">
        <f>IF(ISNUMBER(X3981),IF(X3981&gt;$L$7,W3981,""),"")</f>
        <v/>
      </c>
      <c r="Z3981">
        <f>IF(ISNUMBER('자료_거시'!$K3963),'자료_거시'!$K3963,Z3980)</f>
        <v/>
      </c>
      <c r="AA3981">
        <f>IF(AND(ISNUMBER('자료_거시'!$J3963),ISNUMBER('자료_거시'!$K3963)),IFERROR('자료_거시'!$K3963/INDEX($Z$21:$Z$4020,MATCH(EDATE('자료_거시'!$J3963,-'설정'!$B$17),'자료_거시'!$J$3:INDEX('자료_거시'!$J$3:$J$4002,$K$8),1))-1,""),"")</f>
        <v/>
      </c>
      <c r="AB3981">
        <f>IF(ISNUMBER(AA3981),'자료_거시'!$J3963,"")</f>
        <v/>
      </c>
      <c r="AC3981">
        <f>IF(ISNUMBER(AB3981),IF(AB3981&gt;$L$8,AA3981,""),"")</f>
        <v/>
      </c>
    </row>
    <row r="3982">
      <c r="S3982">
        <f>IF(ISNUMBER('자료_거시'!$E3964),'자료_거시'!$E3964,S3981)</f>
        <v/>
      </c>
      <c r="T3982">
        <f>IF(AND(ISNUMBER('자료_거시'!$D3964),ISNUMBER('자료_거시'!$E3964)),IFERROR('자료_거시'!$E3964-INDEX($S$21:$S$4020,MATCH(EDATE('자료_거시'!$D3964,-'설정'!$B$17),'자료_거시'!$D$3:INDEX('자료_거시'!$D$3:$D$4002,$K$6),1)),""),"")</f>
        <v/>
      </c>
      <c r="U3982">
        <f>IF(ISNUMBER(T3982),'자료_거시'!$D3964,"")</f>
        <v/>
      </c>
      <c r="V3982">
        <f>IF(ISNUMBER(U3982),IF(U3982&gt;$L$6,T3982,""),"")</f>
        <v/>
      </c>
      <c r="W3982">
        <f>IF(AND(ISNUMBER('자료_거시'!$G3964),ISNUMBER('자료_거시'!$H3964)),'자료_거시'!$H3964,"")</f>
        <v/>
      </c>
      <c r="X3982">
        <f>IF(ISNUMBER(W3982),'자료_거시'!$G3964,"")</f>
        <v/>
      </c>
      <c r="Y3982">
        <f>IF(ISNUMBER(X3982),IF(X3982&gt;$L$7,W3982,""),"")</f>
        <v/>
      </c>
      <c r="Z3982">
        <f>IF(ISNUMBER('자료_거시'!$K3964),'자료_거시'!$K3964,Z3981)</f>
        <v/>
      </c>
      <c r="AA3982">
        <f>IF(AND(ISNUMBER('자료_거시'!$J3964),ISNUMBER('자료_거시'!$K3964)),IFERROR('자료_거시'!$K3964/INDEX($Z$21:$Z$4020,MATCH(EDATE('자료_거시'!$J3964,-'설정'!$B$17),'자료_거시'!$J$3:INDEX('자료_거시'!$J$3:$J$4002,$K$8),1))-1,""),"")</f>
        <v/>
      </c>
      <c r="AB3982">
        <f>IF(ISNUMBER(AA3982),'자료_거시'!$J3964,"")</f>
        <v/>
      </c>
      <c r="AC3982">
        <f>IF(ISNUMBER(AB3982),IF(AB3982&gt;$L$8,AA3982,""),"")</f>
        <v/>
      </c>
    </row>
    <row r="3983">
      <c r="S3983">
        <f>IF(ISNUMBER('자료_거시'!$E3965),'자료_거시'!$E3965,S3982)</f>
        <v/>
      </c>
      <c r="T3983">
        <f>IF(AND(ISNUMBER('자료_거시'!$D3965),ISNUMBER('자료_거시'!$E3965)),IFERROR('자료_거시'!$E3965-INDEX($S$21:$S$4020,MATCH(EDATE('자료_거시'!$D3965,-'설정'!$B$17),'자료_거시'!$D$3:INDEX('자료_거시'!$D$3:$D$4002,$K$6),1)),""),"")</f>
        <v/>
      </c>
      <c r="U3983">
        <f>IF(ISNUMBER(T3983),'자료_거시'!$D3965,"")</f>
        <v/>
      </c>
      <c r="V3983">
        <f>IF(ISNUMBER(U3983),IF(U3983&gt;$L$6,T3983,""),"")</f>
        <v/>
      </c>
      <c r="W3983">
        <f>IF(AND(ISNUMBER('자료_거시'!$G3965),ISNUMBER('자료_거시'!$H3965)),'자료_거시'!$H3965,"")</f>
        <v/>
      </c>
      <c r="X3983">
        <f>IF(ISNUMBER(W3983),'자료_거시'!$G3965,"")</f>
        <v/>
      </c>
      <c r="Y3983">
        <f>IF(ISNUMBER(X3983),IF(X3983&gt;$L$7,W3983,""),"")</f>
        <v/>
      </c>
      <c r="Z3983">
        <f>IF(ISNUMBER('자료_거시'!$K3965),'자료_거시'!$K3965,Z3982)</f>
        <v/>
      </c>
      <c r="AA3983">
        <f>IF(AND(ISNUMBER('자료_거시'!$J3965),ISNUMBER('자료_거시'!$K3965)),IFERROR('자료_거시'!$K3965/INDEX($Z$21:$Z$4020,MATCH(EDATE('자료_거시'!$J3965,-'설정'!$B$17),'자료_거시'!$J$3:INDEX('자료_거시'!$J$3:$J$4002,$K$8),1))-1,""),"")</f>
        <v/>
      </c>
      <c r="AB3983">
        <f>IF(ISNUMBER(AA3983),'자료_거시'!$J3965,"")</f>
        <v/>
      </c>
      <c r="AC3983">
        <f>IF(ISNUMBER(AB3983),IF(AB3983&gt;$L$8,AA3983,""),"")</f>
        <v/>
      </c>
    </row>
    <row r="3984">
      <c r="S3984">
        <f>IF(ISNUMBER('자료_거시'!$E3966),'자료_거시'!$E3966,S3983)</f>
        <v/>
      </c>
      <c r="T3984">
        <f>IF(AND(ISNUMBER('자료_거시'!$D3966),ISNUMBER('자료_거시'!$E3966)),IFERROR('자료_거시'!$E3966-INDEX($S$21:$S$4020,MATCH(EDATE('자료_거시'!$D3966,-'설정'!$B$17),'자료_거시'!$D$3:INDEX('자료_거시'!$D$3:$D$4002,$K$6),1)),""),"")</f>
        <v/>
      </c>
      <c r="U3984">
        <f>IF(ISNUMBER(T3984),'자료_거시'!$D3966,"")</f>
        <v/>
      </c>
      <c r="V3984">
        <f>IF(ISNUMBER(U3984),IF(U3984&gt;$L$6,T3984,""),"")</f>
        <v/>
      </c>
      <c r="W3984">
        <f>IF(AND(ISNUMBER('자료_거시'!$G3966),ISNUMBER('자료_거시'!$H3966)),'자료_거시'!$H3966,"")</f>
        <v/>
      </c>
      <c r="X3984">
        <f>IF(ISNUMBER(W3984),'자료_거시'!$G3966,"")</f>
        <v/>
      </c>
      <c r="Y3984">
        <f>IF(ISNUMBER(X3984),IF(X3984&gt;$L$7,W3984,""),"")</f>
        <v/>
      </c>
      <c r="Z3984">
        <f>IF(ISNUMBER('자료_거시'!$K3966),'자료_거시'!$K3966,Z3983)</f>
        <v/>
      </c>
      <c r="AA3984">
        <f>IF(AND(ISNUMBER('자료_거시'!$J3966),ISNUMBER('자료_거시'!$K3966)),IFERROR('자료_거시'!$K3966/INDEX($Z$21:$Z$4020,MATCH(EDATE('자료_거시'!$J3966,-'설정'!$B$17),'자료_거시'!$J$3:INDEX('자료_거시'!$J$3:$J$4002,$K$8),1))-1,""),"")</f>
        <v/>
      </c>
      <c r="AB3984">
        <f>IF(ISNUMBER(AA3984),'자료_거시'!$J3966,"")</f>
        <v/>
      </c>
      <c r="AC3984">
        <f>IF(ISNUMBER(AB3984),IF(AB3984&gt;$L$8,AA3984,""),"")</f>
        <v/>
      </c>
    </row>
    <row r="3985">
      <c r="S3985">
        <f>IF(ISNUMBER('자료_거시'!$E3967),'자료_거시'!$E3967,S3984)</f>
        <v/>
      </c>
      <c r="T3985">
        <f>IF(AND(ISNUMBER('자료_거시'!$D3967),ISNUMBER('자료_거시'!$E3967)),IFERROR('자료_거시'!$E3967-INDEX($S$21:$S$4020,MATCH(EDATE('자료_거시'!$D3967,-'설정'!$B$17),'자료_거시'!$D$3:INDEX('자료_거시'!$D$3:$D$4002,$K$6),1)),""),"")</f>
        <v/>
      </c>
      <c r="U3985">
        <f>IF(ISNUMBER(T3985),'자료_거시'!$D3967,"")</f>
        <v/>
      </c>
      <c r="V3985">
        <f>IF(ISNUMBER(U3985),IF(U3985&gt;$L$6,T3985,""),"")</f>
        <v/>
      </c>
      <c r="W3985">
        <f>IF(AND(ISNUMBER('자료_거시'!$G3967),ISNUMBER('자료_거시'!$H3967)),'자료_거시'!$H3967,"")</f>
        <v/>
      </c>
      <c r="X3985">
        <f>IF(ISNUMBER(W3985),'자료_거시'!$G3967,"")</f>
        <v/>
      </c>
      <c r="Y3985">
        <f>IF(ISNUMBER(X3985),IF(X3985&gt;$L$7,W3985,""),"")</f>
        <v/>
      </c>
      <c r="Z3985">
        <f>IF(ISNUMBER('자료_거시'!$K3967),'자료_거시'!$K3967,Z3984)</f>
        <v/>
      </c>
      <c r="AA3985">
        <f>IF(AND(ISNUMBER('자료_거시'!$J3967),ISNUMBER('자료_거시'!$K3967)),IFERROR('자료_거시'!$K3967/INDEX($Z$21:$Z$4020,MATCH(EDATE('자료_거시'!$J3967,-'설정'!$B$17),'자료_거시'!$J$3:INDEX('자료_거시'!$J$3:$J$4002,$K$8),1))-1,""),"")</f>
        <v/>
      </c>
      <c r="AB3985">
        <f>IF(ISNUMBER(AA3985),'자료_거시'!$J3967,"")</f>
        <v/>
      </c>
      <c r="AC3985">
        <f>IF(ISNUMBER(AB3985),IF(AB3985&gt;$L$8,AA3985,""),"")</f>
        <v/>
      </c>
    </row>
    <row r="3986">
      <c r="S3986">
        <f>IF(ISNUMBER('자료_거시'!$E3968),'자료_거시'!$E3968,S3985)</f>
        <v/>
      </c>
      <c r="T3986">
        <f>IF(AND(ISNUMBER('자료_거시'!$D3968),ISNUMBER('자료_거시'!$E3968)),IFERROR('자료_거시'!$E3968-INDEX($S$21:$S$4020,MATCH(EDATE('자료_거시'!$D3968,-'설정'!$B$17),'자료_거시'!$D$3:INDEX('자료_거시'!$D$3:$D$4002,$K$6),1)),""),"")</f>
        <v/>
      </c>
      <c r="U3986">
        <f>IF(ISNUMBER(T3986),'자료_거시'!$D3968,"")</f>
        <v/>
      </c>
      <c r="V3986">
        <f>IF(ISNUMBER(U3986),IF(U3986&gt;$L$6,T3986,""),"")</f>
        <v/>
      </c>
      <c r="W3986">
        <f>IF(AND(ISNUMBER('자료_거시'!$G3968),ISNUMBER('자료_거시'!$H3968)),'자료_거시'!$H3968,"")</f>
        <v/>
      </c>
      <c r="X3986">
        <f>IF(ISNUMBER(W3986),'자료_거시'!$G3968,"")</f>
        <v/>
      </c>
      <c r="Y3986">
        <f>IF(ISNUMBER(X3986),IF(X3986&gt;$L$7,W3986,""),"")</f>
        <v/>
      </c>
      <c r="Z3986">
        <f>IF(ISNUMBER('자료_거시'!$K3968),'자료_거시'!$K3968,Z3985)</f>
        <v/>
      </c>
      <c r="AA3986">
        <f>IF(AND(ISNUMBER('자료_거시'!$J3968),ISNUMBER('자료_거시'!$K3968)),IFERROR('자료_거시'!$K3968/INDEX($Z$21:$Z$4020,MATCH(EDATE('자료_거시'!$J3968,-'설정'!$B$17),'자료_거시'!$J$3:INDEX('자료_거시'!$J$3:$J$4002,$K$8),1))-1,""),"")</f>
        <v/>
      </c>
      <c r="AB3986">
        <f>IF(ISNUMBER(AA3986),'자료_거시'!$J3968,"")</f>
        <v/>
      </c>
      <c r="AC3986">
        <f>IF(ISNUMBER(AB3986),IF(AB3986&gt;$L$8,AA3986,""),"")</f>
        <v/>
      </c>
    </row>
    <row r="3987">
      <c r="S3987">
        <f>IF(ISNUMBER('자료_거시'!$E3969),'자료_거시'!$E3969,S3986)</f>
        <v/>
      </c>
      <c r="T3987">
        <f>IF(AND(ISNUMBER('자료_거시'!$D3969),ISNUMBER('자료_거시'!$E3969)),IFERROR('자료_거시'!$E3969-INDEX($S$21:$S$4020,MATCH(EDATE('자료_거시'!$D3969,-'설정'!$B$17),'자료_거시'!$D$3:INDEX('자료_거시'!$D$3:$D$4002,$K$6),1)),""),"")</f>
        <v/>
      </c>
      <c r="U3987">
        <f>IF(ISNUMBER(T3987),'자료_거시'!$D3969,"")</f>
        <v/>
      </c>
      <c r="V3987">
        <f>IF(ISNUMBER(U3987),IF(U3987&gt;$L$6,T3987,""),"")</f>
        <v/>
      </c>
      <c r="W3987">
        <f>IF(AND(ISNUMBER('자료_거시'!$G3969),ISNUMBER('자료_거시'!$H3969)),'자료_거시'!$H3969,"")</f>
        <v/>
      </c>
      <c r="X3987">
        <f>IF(ISNUMBER(W3987),'자료_거시'!$G3969,"")</f>
        <v/>
      </c>
      <c r="Y3987">
        <f>IF(ISNUMBER(X3987),IF(X3987&gt;$L$7,W3987,""),"")</f>
        <v/>
      </c>
      <c r="Z3987">
        <f>IF(ISNUMBER('자료_거시'!$K3969),'자료_거시'!$K3969,Z3986)</f>
        <v/>
      </c>
      <c r="AA3987">
        <f>IF(AND(ISNUMBER('자료_거시'!$J3969),ISNUMBER('자료_거시'!$K3969)),IFERROR('자료_거시'!$K3969/INDEX($Z$21:$Z$4020,MATCH(EDATE('자료_거시'!$J3969,-'설정'!$B$17),'자료_거시'!$J$3:INDEX('자료_거시'!$J$3:$J$4002,$K$8),1))-1,""),"")</f>
        <v/>
      </c>
      <c r="AB3987">
        <f>IF(ISNUMBER(AA3987),'자료_거시'!$J3969,"")</f>
        <v/>
      </c>
      <c r="AC3987">
        <f>IF(ISNUMBER(AB3987),IF(AB3987&gt;$L$8,AA3987,""),"")</f>
        <v/>
      </c>
    </row>
    <row r="3988">
      <c r="S3988">
        <f>IF(ISNUMBER('자료_거시'!$E3970),'자료_거시'!$E3970,S3987)</f>
        <v/>
      </c>
      <c r="T3988">
        <f>IF(AND(ISNUMBER('자료_거시'!$D3970),ISNUMBER('자료_거시'!$E3970)),IFERROR('자료_거시'!$E3970-INDEX($S$21:$S$4020,MATCH(EDATE('자료_거시'!$D3970,-'설정'!$B$17),'자료_거시'!$D$3:INDEX('자료_거시'!$D$3:$D$4002,$K$6),1)),""),"")</f>
        <v/>
      </c>
      <c r="U3988">
        <f>IF(ISNUMBER(T3988),'자료_거시'!$D3970,"")</f>
        <v/>
      </c>
      <c r="V3988">
        <f>IF(ISNUMBER(U3988),IF(U3988&gt;$L$6,T3988,""),"")</f>
        <v/>
      </c>
      <c r="W3988">
        <f>IF(AND(ISNUMBER('자료_거시'!$G3970),ISNUMBER('자료_거시'!$H3970)),'자료_거시'!$H3970,"")</f>
        <v/>
      </c>
      <c r="X3988">
        <f>IF(ISNUMBER(W3988),'자료_거시'!$G3970,"")</f>
        <v/>
      </c>
      <c r="Y3988">
        <f>IF(ISNUMBER(X3988),IF(X3988&gt;$L$7,W3988,""),"")</f>
        <v/>
      </c>
      <c r="Z3988">
        <f>IF(ISNUMBER('자료_거시'!$K3970),'자료_거시'!$K3970,Z3987)</f>
        <v/>
      </c>
      <c r="AA3988">
        <f>IF(AND(ISNUMBER('자료_거시'!$J3970),ISNUMBER('자료_거시'!$K3970)),IFERROR('자료_거시'!$K3970/INDEX($Z$21:$Z$4020,MATCH(EDATE('자료_거시'!$J3970,-'설정'!$B$17),'자료_거시'!$J$3:INDEX('자료_거시'!$J$3:$J$4002,$K$8),1))-1,""),"")</f>
        <v/>
      </c>
      <c r="AB3988">
        <f>IF(ISNUMBER(AA3988),'자료_거시'!$J3970,"")</f>
        <v/>
      </c>
      <c r="AC3988">
        <f>IF(ISNUMBER(AB3988),IF(AB3988&gt;$L$8,AA3988,""),"")</f>
        <v/>
      </c>
    </row>
    <row r="3989">
      <c r="S3989">
        <f>IF(ISNUMBER('자료_거시'!$E3971),'자료_거시'!$E3971,S3988)</f>
        <v/>
      </c>
      <c r="T3989">
        <f>IF(AND(ISNUMBER('자료_거시'!$D3971),ISNUMBER('자료_거시'!$E3971)),IFERROR('자료_거시'!$E3971-INDEX($S$21:$S$4020,MATCH(EDATE('자료_거시'!$D3971,-'설정'!$B$17),'자료_거시'!$D$3:INDEX('자료_거시'!$D$3:$D$4002,$K$6),1)),""),"")</f>
        <v/>
      </c>
      <c r="U3989">
        <f>IF(ISNUMBER(T3989),'자료_거시'!$D3971,"")</f>
        <v/>
      </c>
      <c r="V3989">
        <f>IF(ISNUMBER(U3989),IF(U3989&gt;$L$6,T3989,""),"")</f>
        <v/>
      </c>
      <c r="W3989">
        <f>IF(AND(ISNUMBER('자료_거시'!$G3971),ISNUMBER('자료_거시'!$H3971)),'자료_거시'!$H3971,"")</f>
        <v/>
      </c>
      <c r="X3989">
        <f>IF(ISNUMBER(W3989),'자료_거시'!$G3971,"")</f>
        <v/>
      </c>
      <c r="Y3989">
        <f>IF(ISNUMBER(X3989),IF(X3989&gt;$L$7,W3989,""),"")</f>
        <v/>
      </c>
      <c r="Z3989">
        <f>IF(ISNUMBER('자료_거시'!$K3971),'자료_거시'!$K3971,Z3988)</f>
        <v/>
      </c>
      <c r="AA3989">
        <f>IF(AND(ISNUMBER('자료_거시'!$J3971),ISNUMBER('자료_거시'!$K3971)),IFERROR('자료_거시'!$K3971/INDEX($Z$21:$Z$4020,MATCH(EDATE('자료_거시'!$J3971,-'설정'!$B$17),'자료_거시'!$J$3:INDEX('자료_거시'!$J$3:$J$4002,$K$8),1))-1,""),"")</f>
        <v/>
      </c>
      <c r="AB3989">
        <f>IF(ISNUMBER(AA3989),'자료_거시'!$J3971,"")</f>
        <v/>
      </c>
      <c r="AC3989">
        <f>IF(ISNUMBER(AB3989),IF(AB3989&gt;$L$8,AA3989,""),"")</f>
        <v/>
      </c>
    </row>
    <row r="3990">
      <c r="S3990">
        <f>IF(ISNUMBER('자료_거시'!$E3972),'자료_거시'!$E3972,S3989)</f>
        <v/>
      </c>
      <c r="T3990">
        <f>IF(AND(ISNUMBER('자료_거시'!$D3972),ISNUMBER('자료_거시'!$E3972)),IFERROR('자료_거시'!$E3972-INDEX($S$21:$S$4020,MATCH(EDATE('자료_거시'!$D3972,-'설정'!$B$17),'자료_거시'!$D$3:INDEX('자료_거시'!$D$3:$D$4002,$K$6),1)),""),"")</f>
        <v/>
      </c>
      <c r="U3990">
        <f>IF(ISNUMBER(T3990),'자료_거시'!$D3972,"")</f>
        <v/>
      </c>
      <c r="V3990">
        <f>IF(ISNUMBER(U3990),IF(U3990&gt;$L$6,T3990,""),"")</f>
        <v/>
      </c>
      <c r="W3990">
        <f>IF(AND(ISNUMBER('자료_거시'!$G3972),ISNUMBER('자료_거시'!$H3972)),'자료_거시'!$H3972,"")</f>
        <v/>
      </c>
      <c r="X3990">
        <f>IF(ISNUMBER(W3990),'자료_거시'!$G3972,"")</f>
        <v/>
      </c>
      <c r="Y3990">
        <f>IF(ISNUMBER(X3990),IF(X3990&gt;$L$7,W3990,""),"")</f>
        <v/>
      </c>
      <c r="Z3990">
        <f>IF(ISNUMBER('자료_거시'!$K3972),'자료_거시'!$K3972,Z3989)</f>
        <v/>
      </c>
      <c r="AA3990">
        <f>IF(AND(ISNUMBER('자료_거시'!$J3972),ISNUMBER('자료_거시'!$K3972)),IFERROR('자료_거시'!$K3972/INDEX($Z$21:$Z$4020,MATCH(EDATE('자료_거시'!$J3972,-'설정'!$B$17),'자료_거시'!$J$3:INDEX('자료_거시'!$J$3:$J$4002,$K$8),1))-1,""),"")</f>
        <v/>
      </c>
      <c r="AB3990">
        <f>IF(ISNUMBER(AA3990),'자료_거시'!$J3972,"")</f>
        <v/>
      </c>
      <c r="AC3990">
        <f>IF(ISNUMBER(AB3990),IF(AB3990&gt;$L$8,AA3990,""),"")</f>
        <v/>
      </c>
    </row>
    <row r="3991">
      <c r="S3991">
        <f>IF(ISNUMBER('자료_거시'!$E3973),'자료_거시'!$E3973,S3990)</f>
        <v/>
      </c>
      <c r="T3991">
        <f>IF(AND(ISNUMBER('자료_거시'!$D3973),ISNUMBER('자료_거시'!$E3973)),IFERROR('자료_거시'!$E3973-INDEX($S$21:$S$4020,MATCH(EDATE('자료_거시'!$D3973,-'설정'!$B$17),'자료_거시'!$D$3:INDEX('자료_거시'!$D$3:$D$4002,$K$6),1)),""),"")</f>
        <v/>
      </c>
      <c r="U3991">
        <f>IF(ISNUMBER(T3991),'자료_거시'!$D3973,"")</f>
        <v/>
      </c>
      <c r="V3991">
        <f>IF(ISNUMBER(U3991),IF(U3991&gt;$L$6,T3991,""),"")</f>
        <v/>
      </c>
      <c r="W3991">
        <f>IF(AND(ISNUMBER('자료_거시'!$G3973),ISNUMBER('자료_거시'!$H3973)),'자료_거시'!$H3973,"")</f>
        <v/>
      </c>
      <c r="X3991">
        <f>IF(ISNUMBER(W3991),'자료_거시'!$G3973,"")</f>
        <v/>
      </c>
      <c r="Y3991">
        <f>IF(ISNUMBER(X3991),IF(X3991&gt;$L$7,W3991,""),"")</f>
        <v/>
      </c>
      <c r="Z3991">
        <f>IF(ISNUMBER('자료_거시'!$K3973),'자료_거시'!$K3973,Z3990)</f>
        <v/>
      </c>
      <c r="AA3991">
        <f>IF(AND(ISNUMBER('자료_거시'!$J3973),ISNUMBER('자료_거시'!$K3973)),IFERROR('자료_거시'!$K3973/INDEX($Z$21:$Z$4020,MATCH(EDATE('자료_거시'!$J3973,-'설정'!$B$17),'자료_거시'!$J$3:INDEX('자료_거시'!$J$3:$J$4002,$K$8),1))-1,""),"")</f>
        <v/>
      </c>
      <c r="AB3991">
        <f>IF(ISNUMBER(AA3991),'자료_거시'!$J3973,"")</f>
        <v/>
      </c>
      <c r="AC3991">
        <f>IF(ISNUMBER(AB3991),IF(AB3991&gt;$L$8,AA3991,""),"")</f>
        <v/>
      </c>
    </row>
    <row r="3992">
      <c r="S3992">
        <f>IF(ISNUMBER('자료_거시'!$E3974),'자료_거시'!$E3974,S3991)</f>
        <v/>
      </c>
      <c r="T3992">
        <f>IF(AND(ISNUMBER('자료_거시'!$D3974),ISNUMBER('자료_거시'!$E3974)),IFERROR('자료_거시'!$E3974-INDEX($S$21:$S$4020,MATCH(EDATE('자료_거시'!$D3974,-'설정'!$B$17),'자료_거시'!$D$3:INDEX('자료_거시'!$D$3:$D$4002,$K$6),1)),""),"")</f>
        <v/>
      </c>
      <c r="U3992">
        <f>IF(ISNUMBER(T3992),'자료_거시'!$D3974,"")</f>
        <v/>
      </c>
      <c r="V3992">
        <f>IF(ISNUMBER(U3992),IF(U3992&gt;$L$6,T3992,""),"")</f>
        <v/>
      </c>
      <c r="W3992">
        <f>IF(AND(ISNUMBER('자료_거시'!$G3974),ISNUMBER('자료_거시'!$H3974)),'자료_거시'!$H3974,"")</f>
        <v/>
      </c>
      <c r="X3992">
        <f>IF(ISNUMBER(W3992),'자료_거시'!$G3974,"")</f>
        <v/>
      </c>
      <c r="Y3992">
        <f>IF(ISNUMBER(X3992),IF(X3992&gt;$L$7,W3992,""),"")</f>
        <v/>
      </c>
      <c r="Z3992">
        <f>IF(ISNUMBER('자료_거시'!$K3974),'자료_거시'!$K3974,Z3991)</f>
        <v/>
      </c>
      <c r="AA3992">
        <f>IF(AND(ISNUMBER('자료_거시'!$J3974),ISNUMBER('자료_거시'!$K3974)),IFERROR('자료_거시'!$K3974/INDEX($Z$21:$Z$4020,MATCH(EDATE('자료_거시'!$J3974,-'설정'!$B$17),'자료_거시'!$J$3:INDEX('자료_거시'!$J$3:$J$4002,$K$8),1))-1,""),"")</f>
        <v/>
      </c>
      <c r="AB3992">
        <f>IF(ISNUMBER(AA3992),'자료_거시'!$J3974,"")</f>
        <v/>
      </c>
      <c r="AC3992">
        <f>IF(ISNUMBER(AB3992),IF(AB3992&gt;$L$8,AA3992,""),"")</f>
        <v/>
      </c>
    </row>
    <row r="3993">
      <c r="S3993">
        <f>IF(ISNUMBER('자료_거시'!$E3975),'자료_거시'!$E3975,S3992)</f>
        <v/>
      </c>
      <c r="T3993">
        <f>IF(AND(ISNUMBER('자료_거시'!$D3975),ISNUMBER('자료_거시'!$E3975)),IFERROR('자료_거시'!$E3975-INDEX($S$21:$S$4020,MATCH(EDATE('자료_거시'!$D3975,-'설정'!$B$17),'자료_거시'!$D$3:INDEX('자료_거시'!$D$3:$D$4002,$K$6),1)),""),"")</f>
        <v/>
      </c>
      <c r="U3993">
        <f>IF(ISNUMBER(T3993),'자료_거시'!$D3975,"")</f>
        <v/>
      </c>
      <c r="V3993">
        <f>IF(ISNUMBER(U3993),IF(U3993&gt;$L$6,T3993,""),"")</f>
        <v/>
      </c>
      <c r="W3993">
        <f>IF(AND(ISNUMBER('자료_거시'!$G3975),ISNUMBER('자료_거시'!$H3975)),'자료_거시'!$H3975,"")</f>
        <v/>
      </c>
      <c r="X3993">
        <f>IF(ISNUMBER(W3993),'자료_거시'!$G3975,"")</f>
        <v/>
      </c>
      <c r="Y3993">
        <f>IF(ISNUMBER(X3993),IF(X3993&gt;$L$7,W3993,""),"")</f>
        <v/>
      </c>
      <c r="Z3993">
        <f>IF(ISNUMBER('자료_거시'!$K3975),'자료_거시'!$K3975,Z3992)</f>
        <v/>
      </c>
      <c r="AA3993">
        <f>IF(AND(ISNUMBER('자료_거시'!$J3975),ISNUMBER('자료_거시'!$K3975)),IFERROR('자료_거시'!$K3975/INDEX($Z$21:$Z$4020,MATCH(EDATE('자료_거시'!$J3975,-'설정'!$B$17),'자료_거시'!$J$3:INDEX('자료_거시'!$J$3:$J$4002,$K$8),1))-1,""),"")</f>
        <v/>
      </c>
      <c r="AB3993">
        <f>IF(ISNUMBER(AA3993),'자료_거시'!$J3975,"")</f>
        <v/>
      </c>
      <c r="AC3993">
        <f>IF(ISNUMBER(AB3993),IF(AB3993&gt;$L$8,AA3993,""),"")</f>
        <v/>
      </c>
    </row>
    <row r="3994">
      <c r="S3994">
        <f>IF(ISNUMBER('자료_거시'!$E3976),'자료_거시'!$E3976,S3993)</f>
        <v/>
      </c>
      <c r="T3994">
        <f>IF(AND(ISNUMBER('자료_거시'!$D3976),ISNUMBER('자료_거시'!$E3976)),IFERROR('자료_거시'!$E3976-INDEX($S$21:$S$4020,MATCH(EDATE('자료_거시'!$D3976,-'설정'!$B$17),'자료_거시'!$D$3:INDEX('자료_거시'!$D$3:$D$4002,$K$6),1)),""),"")</f>
        <v/>
      </c>
      <c r="U3994">
        <f>IF(ISNUMBER(T3994),'자료_거시'!$D3976,"")</f>
        <v/>
      </c>
      <c r="V3994">
        <f>IF(ISNUMBER(U3994),IF(U3994&gt;$L$6,T3994,""),"")</f>
        <v/>
      </c>
      <c r="W3994">
        <f>IF(AND(ISNUMBER('자료_거시'!$G3976),ISNUMBER('자료_거시'!$H3976)),'자료_거시'!$H3976,"")</f>
        <v/>
      </c>
      <c r="X3994">
        <f>IF(ISNUMBER(W3994),'자료_거시'!$G3976,"")</f>
        <v/>
      </c>
      <c r="Y3994">
        <f>IF(ISNUMBER(X3994),IF(X3994&gt;$L$7,W3994,""),"")</f>
        <v/>
      </c>
      <c r="Z3994">
        <f>IF(ISNUMBER('자료_거시'!$K3976),'자료_거시'!$K3976,Z3993)</f>
        <v/>
      </c>
      <c r="AA3994">
        <f>IF(AND(ISNUMBER('자료_거시'!$J3976),ISNUMBER('자료_거시'!$K3976)),IFERROR('자료_거시'!$K3976/INDEX($Z$21:$Z$4020,MATCH(EDATE('자료_거시'!$J3976,-'설정'!$B$17),'자료_거시'!$J$3:INDEX('자료_거시'!$J$3:$J$4002,$K$8),1))-1,""),"")</f>
        <v/>
      </c>
      <c r="AB3994">
        <f>IF(ISNUMBER(AA3994),'자료_거시'!$J3976,"")</f>
        <v/>
      </c>
      <c r="AC3994">
        <f>IF(ISNUMBER(AB3994),IF(AB3994&gt;$L$8,AA3994,""),"")</f>
        <v/>
      </c>
    </row>
    <row r="3995">
      <c r="S3995">
        <f>IF(ISNUMBER('자료_거시'!$E3977),'자료_거시'!$E3977,S3994)</f>
        <v/>
      </c>
      <c r="T3995">
        <f>IF(AND(ISNUMBER('자료_거시'!$D3977),ISNUMBER('자료_거시'!$E3977)),IFERROR('자료_거시'!$E3977-INDEX($S$21:$S$4020,MATCH(EDATE('자료_거시'!$D3977,-'설정'!$B$17),'자료_거시'!$D$3:INDEX('자료_거시'!$D$3:$D$4002,$K$6),1)),""),"")</f>
        <v/>
      </c>
      <c r="U3995">
        <f>IF(ISNUMBER(T3995),'자료_거시'!$D3977,"")</f>
        <v/>
      </c>
      <c r="V3995">
        <f>IF(ISNUMBER(U3995),IF(U3995&gt;$L$6,T3995,""),"")</f>
        <v/>
      </c>
      <c r="W3995">
        <f>IF(AND(ISNUMBER('자료_거시'!$G3977),ISNUMBER('자료_거시'!$H3977)),'자료_거시'!$H3977,"")</f>
        <v/>
      </c>
      <c r="X3995">
        <f>IF(ISNUMBER(W3995),'자료_거시'!$G3977,"")</f>
        <v/>
      </c>
      <c r="Y3995">
        <f>IF(ISNUMBER(X3995),IF(X3995&gt;$L$7,W3995,""),"")</f>
        <v/>
      </c>
      <c r="Z3995">
        <f>IF(ISNUMBER('자료_거시'!$K3977),'자료_거시'!$K3977,Z3994)</f>
        <v/>
      </c>
      <c r="AA3995">
        <f>IF(AND(ISNUMBER('자료_거시'!$J3977),ISNUMBER('자료_거시'!$K3977)),IFERROR('자료_거시'!$K3977/INDEX($Z$21:$Z$4020,MATCH(EDATE('자료_거시'!$J3977,-'설정'!$B$17),'자료_거시'!$J$3:INDEX('자료_거시'!$J$3:$J$4002,$K$8),1))-1,""),"")</f>
        <v/>
      </c>
      <c r="AB3995">
        <f>IF(ISNUMBER(AA3995),'자료_거시'!$J3977,"")</f>
        <v/>
      </c>
      <c r="AC3995">
        <f>IF(ISNUMBER(AB3995),IF(AB3995&gt;$L$8,AA3995,""),"")</f>
        <v/>
      </c>
    </row>
    <row r="3996">
      <c r="S3996">
        <f>IF(ISNUMBER('자료_거시'!$E3978),'자료_거시'!$E3978,S3995)</f>
        <v/>
      </c>
      <c r="T3996">
        <f>IF(AND(ISNUMBER('자료_거시'!$D3978),ISNUMBER('자료_거시'!$E3978)),IFERROR('자료_거시'!$E3978-INDEX($S$21:$S$4020,MATCH(EDATE('자료_거시'!$D3978,-'설정'!$B$17),'자료_거시'!$D$3:INDEX('자료_거시'!$D$3:$D$4002,$K$6),1)),""),"")</f>
        <v/>
      </c>
      <c r="U3996">
        <f>IF(ISNUMBER(T3996),'자료_거시'!$D3978,"")</f>
        <v/>
      </c>
      <c r="V3996">
        <f>IF(ISNUMBER(U3996),IF(U3996&gt;$L$6,T3996,""),"")</f>
        <v/>
      </c>
      <c r="W3996">
        <f>IF(AND(ISNUMBER('자료_거시'!$G3978),ISNUMBER('자료_거시'!$H3978)),'자료_거시'!$H3978,"")</f>
        <v/>
      </c>
      <c r="X3996">
        <f>IF(ISNUMBER(W3996),'자료_거시'!$G3978,"")</f>
        <v/>
      </c>
      <c r="Y3996">
        <f>IF(ISNUMBER(X3996),IF(X3996&gt;$L$7,W3996,""),"")</f>
        <v/>
      </c>
      <c r="Z3996">
        <f>IF(ISNUMBER('자료_거시'!$K3978),'자료_거시'!$K3978,Z3995)</f>
        <v/>
      </c>
      <c r="AA3996">
        <f>IF(AND(ISNUMBER('자료_거시'!$J3978),ISNUMBER('자료_거시'!$K3978)),IFERROR('자료_거시'!$K3978/INDEX($Z$21:$Z$4020,MATCH(EDATE('자료_거시'!$J3978,-'설정'!$B$17),'자료_거시'!$J$3:INDEX('자료_거시'!$J$3:$J$4002,$K$8),1))-1,""),"")</f>
        <v/>
      </c>
      <c r="AB3996">
        <f>IF(ISNUMBER(AA3996),'자료_거시'!$J3978,"")</f>
        <v/>
      </c>
      <c r="AC3996">
        <f>IF(ISNUMBER(AB3996),IF(AB3996&gt;$L$8,AA3996,""),"")</f>
        <v/>
      </c>
    </row>
    <row r="3997">
      <c r="S3997">
        <f>IF(ISNUMBER('자료_거시'!$E3979),'자료_거시'!$E3979,S3996)</f>
        <v/>
      </c>
      <c r="T3997">
        <f>IF(AND(ISNUMBER('자료_거시'!$D3979),ISNUMBER('자료_거시'!$E3979)),IFERROR('자료_거시'!$E3979-INDEX($S$21:$S$4020,MATCH(EDATE('자료_거시'!$D3979,-'설정'!$B$17),'자료_거시'!$D$3:INDEX('자료_거시'!$D$3:$D$4002,$K$6),1)),""),"")</f>
        <v/>
      </c>
      <c r="U3997">
        <f>IF(ISNUMBER(T3997),'자료_거시'!$D3979,"")</f>
        <v/>
      </c>
      <c r="V3997">
        <f>IF(ISNUMBER(U3997),IF(U3997&gt;$L$6,T3997,""),"")</f>
        <v/>
      </c>
      <c r="W3997">
        <f>IF(AND(ISNUMBER('자료_거시'!$G3979),ISNUMBER('자료_거시'!$H3979)),'자료_거시'!$H3979,"")</f>
        <v/>
      </c>
      <c r="X3997">
        <f>IF(ISNUMBER(W3997),'자료_거시'!$G3979,"")</f>
        <v/>
      </c>
      <c r="Y3997">
        <f>IF(ISNUMBER(X3997),IF(X3997&gt;$L$7,W3997,""),"")</f>
        <v/>
      </c>
      <c r="Z3997">
        <f>IF(ISNUMBER('자료_거시'!$K3979),'자료_거시'!$K3979,Z3996)</f>
        <v/>
      </c>
      <c r="AA3997">
        <f>IF(AND(ISNUMBER('자료_거시'!$J3979),ISNUMBER('자료_거시'!$K3979)),IFERROR('자료_거시'!$K3979/INDEX($Z$21:$Z$4020,MATCH(EDATE('자료_거시'!$J3979,-'설정'!$B$17),'자료_거시'!$J$3:INDEX('자료_거시'!$J$3:$J$4002,$K$8),1))-1,""),"")</f>
        <v/>
      </c>
      <c r="AB3997">
        <f>IF(ISNUMBER(AA3997),'자료_거시'!$J3979,"")</f>
        <v/>
      </c>
      <c r="AC3997">
        <f>IF(ISNUMBER(AB3997),IF(AB3997&gt;$L$8,AA3997,""),"")</f>
        <v/>
      </c>
    </row>
    <row r="3998">
      <c r="S3998">
        <f>IF(ISNUMBER('자료_거시'!$E3980),'자료_거시'!$E3980,S3997)</f>
        <v/>
      </c>
      <c r="T3998">
        <f>IF(AND(ISNUMBER('자료_거시'!$D3980),ISNUMBER('자료_거시'!$E3980)),IFERROR('자료_거시'!$E3980-INDEX($S$21:$S$4020,MATCH(EDATE('자료_거시'!$D3980,-'설정'!$B$17),'자료_거시'!$D$3:INDEX('자료_거시'!$D$3:$D$4002,$K$6),1)),""),"")</f>
        <v/>
      </c>
      <c r="U3998">
        <f>IF(ISNUMBER(T3998),'자료_거시'!$D3980,"")</f>
        <v/>
      </c>
      <c r="V3998">
        <f>IF(ISNUMBER(U3998),IF(U3998&gt;$L$6,T3998,""),"")</f>
        <v/>
      </c>
      <c r="W3998">
        <f>IF(AND(ISNUMBER('자료_거시'!$G3980),ISNUMBER('자료_거시'!$H3980)),'자료_거시'!$H3980,"")</f>
        <v/>
      </c>
      <c r="X3998">
        <f>IF(ISNUMBER(W3998),'자료_거시'!$G3980,"")</f>
        <v/>
      </c>
      <c r="Y3998">
        <f>IF(ISNUMBER(X3998),IF(X3998&gt;$L$7,W3998,""),"")</f>
        <v/>
      </c>
      <c r="Z3998">
        <f>IF(ISNUMBER('자료_거시'!$K3980),'자료_거시'!$K3980,Z3997)</f>
        <v/>
      </c>
      <c r="AA3998">
        <f>IF(AND(ISNUMBER('자료_거시'!$J3980),ISNUMBER('자료_거시'!$K3980)),IFERROR('자료_거시'!$K3980/INDEX($Z$21:$Z$4020,MATCH(EDATE('자료_거시'!$J3980,-'설정'!$B$17),'자료_거시'!$J$3:INDEX('자료_거시'!$J$3:$J$4002,$K$8),1))-1,""),"")</f>
        <v/>
      </c>
      <c r="AB3998">
        <f>IF(ISNUMBER(AA3998),'자료_거시'!$J3980,"")</f>
        <v/>
      </c>
      <c r="AC3998">
        <f>IF(ISNUMBER(AB3998),IF(AB3998&gt;$L$8,AA3998,""),"")</f>
        <v/>
      </c>
    </row>
    <row r="3999">
      <c r="S3999">
        <f>IF(ISNUMBER('자료_거시'!$E3981),'자료_거시'!$E3981,S3998)</f>
        <v/>
      </c>
      <c r="T3999">
        <f>IF(AND(ISNUMBER('자료_거시'!$D3981),ISNUMBER('자료_거시'!$E3981)),IFERROR('자료_거시'!$E3981-INDEX($S$21:$S$4020,MATCH(EDATE('자료_거시'!$D3981,-'설정'!$B$17),'자료_거시'!$D$3:INDEX('자료_거시'!$D$3:$D$4002,$K$6),1)),""),"")</f>
        <v/>
      </c>
      <c r="U3999">
        <f>IF(ISNUMBER(T3999),'자료_거시'!$D3981,"")</f>
        <v/>
      </c>
      <c r="V3999">
        <f>IF(ISNUMBER(U3999),IF(U3999&gt;$L$6,T3999,""),"")</f>
        <v/>
      </c>
      <c r="W3999">
        <f>IF(AND(ISNUMBER('자료_거시'!$G3981),ISNUMBER('자료_거시'!$H3981)),'자료_거시'!$H3981,"")</f>
        <v/>
      </c>
      <c r="X3999">
        <f>IF(ISNUMBER(W3999),'자료_거시'!$G3981,"")</f>
        <v/>
      </c>
      <c r="Y3999">
        <f>IF(ISNUMBER(X3999),IF(X3999&gt;$L$7,W3999,""),"")</f>
        <v/>
      </c>
      <c r="Z3999">
        <f>IF(ISNUMBER('자료_거시'!$K3981),'자료_거시'!$K3981,Z3998)</f>
        <v/>
      </c>
      <c r="AA3999">
        <f>IF(AND(ISNUMBER('자료_거시'!$J3981),ISNUMBER('자료_거시'!$K3981)),IFERROR('자료_거시'!$K3981/INDEX($Z$21:$Z$4020,MATCH(EDATE('자료_거시'!$J3981,-'설정'!$B$17),'자료_거시'!$J$3:INDEX('자료_거시'!$J$3:$J$4002,$K$8),1))-1,""),"")</f>
        <v/>
      </c>
      <c r="AB3999">
        <f>IF(ISNUMBER(AA3999),'자료_거시'!$J3981,"")</f>
        <v/>
      </c>
      <c r="AC3999">
        <f>IF(ISNUMBER(AB3999),IF(AB3999&gt;$L$8,AA3999,""),"")</f>
        <v/>
      </c>
    </row>
    <row r="4000">
      <c r="S4000">
        <f>IF(ISNUMBER('자료_거시'!$E3982),'자료_거시'!$E3982,S3999)</f>
        <v/>
      </c>
      <c r="T4000">
        <f>IF(AND(ISNUMBER('자료_거시'!$D3982),ISNUMBER('자료_거시'!$E3982)),IFERROR('자료_거시'!$E3982-INDEX($S$21:$S$4020,MATCH(EDATE('자료_거시'!$D3982,-'설정'!$B$17),'자료_거시'!$D$3:INDEX('자료_거시'!$D$3:$D$4002,$K$6),1)),""),"")</f>
        <v/>
      </c>
      <c r="U4000">
        <f>IF(ISNUMBER(T4000),'자료_거시'!$D3982,"")</f>
        <v/>
      </c>
      <c r="V4000">
        <f>IF(ISNUMBER(U4000),IF(U4000&gt;$L$6,T4000,""),"")</f>
        <v/>
      </c>
      <c r="W4000">
        <f>IF(AND(ISNUMBER('자료_거시'!$G3982),ISNUMBER('자료_거시'!$H3982)),'자료_거시'!$H3982,"")</f>
        <v/>
      </c>
      <c r="X4000">
        <f>IF(ISNUMBER(W4000),'자료_거시'!$G3982,"")</f>
        <v/>
      </c>
      <c r="Y4000">
        <f>IF(ISNUMBER(X4000),IF(X4000&gt;$L$7,W4000,""),"")</f>
        <v/>
      </c>
      <c r="Z4000">
        <f>IF(ISNUMBER('자료_거시'!$K3982),'자료_거시'!$K3982,Z3999)</f>
        <v/>
      </c>
      <c r="AA4000">
        <f>IF(AND(ISNUMBER('자료_거시'!$J3982),ISNUMBER('자료_거시'!$K3982)),IFERROR('자료_거시'!$K3982/INDEX($Z$21:$Z$4020,MATCH(EDATE('자료_거시'!$J3982,-'설정'!$B$17),'자료_거시'!$J$3:INDEX('자료_거시'!$J$3:$J$4002,$K$8),1))-1,""),"")</f>
        <v/>
      </c>
      <c r="AB4000">
        <f>IF(ISNUMBER(AA4000),'자료_거시'!$J3982,"")</f>
        <v/>
      </c>
      <c r="AC4000">
        <f>IF(ISNUMBER(AB4000),IF(AB4000&gt;$L$8,AA4000,""),"")</f>
        <v/>
      </c>
    </row>
    <row r="4001">
      <c r="S4001">
        <f>IF(ISNUMBER('자료_거시'!$E3983),'자료_거시'!$E3983,S4000)</f>
        <v/>
      </c>
      <c r="T4001">
        <f>IF(AND(ISNUMBER('자료_거시'!$D3983),ISNUMBER('자료_거시'!$E3983)),IFERROR('자료_거시'!$E3983-INDEX($S$21:$S$4020,MATCH(EDATE('자료_거시'!$D3983,-'설정'!$B$17),'자료_거시'!$D$3:INDEX('자료_거시'!$D$3:$D$4002,$K$6),1)),""),"")</f>
        <v/>
      </c>
      <c r="U4001">
        <f>IF(ISNUMBER(T4001),'자료_거시'!$D3983,"")</f>
        <v/>
      </c>
      <c r="V4001">
        <f>IF(ISNUMBER(U4001),IF(U4001&gt;$L$6,T4001,""),"")</f>
        <v/>
      </c>
      <c r="W4001">
        <f>IF(AND(ISNUMBER('자료_거시'!$G3983),ISNUMBER('자료_거시'!$H3983)),'자료_거시'!$H3983,"")</f>
        <v/>
      </c>
      <c r="X4001">
        <f>IF(ISNUMBER(W4001),'자료_거시'!$G3983,"")</f>
        <v/>
      </c>
      <c r="Y4001">
        <f>IF(ISNUMBER(X4001),IF(X4001&gt;$L$7,W4001,""),"")</f>
        <v/>
      </c>
      <c r="Z4001">
        <f>IF(ISNUMBER('자료_거시'!$K3983),'자료_거시'!$K3983,Z4000)</f>
        <v/>
      </c>
      <c r="AA4001">
        <f>IF(AND(ISNUMBER('자료_거시'!$J3983),ISNUMBER('자료_거시'!$K3983)),IFERROR('자료_거시'!$K3983/INDEX($Z$21:$Z$4020,MATCH(EDATE('자료_거시'!$J3983,-'설정'!$B$17),'자료_거시'!$J$3:INDEX('자료_거시'!$J$3:$J$4002,$K$8),1))-1,""),"")</f>
        <v/>
      </c>
      <c r="AB4001">
        <f>IF(ISNUMBER(AA4001),'자료_거시'!$J3983,"")</f>
        <v/>
      </c>
      <c r="AC4001">
        <f>IF(ISNUMBER(AB4001),IF(AB4001&gt;$L$8,AA4001,""),"")</f>
        <v/>
      </c>
    </row>
    <row r="4002">
      <c r="S4002">
        <f>IF(ISNUMBER('자료_거시'!$E3984),'자료_거시'!$E3984,S4001)</f>
        <v/>
      </c>
      <c r="T4002">
        <f>IF(AND(ISNUMBER('자료_거시'!$D3984),ISNUMBER('자료_거시'!$E3984)),IFERROR('자료_거시'!$E3984-INDEX($S$21:$S$4020,MATCH(EDATE('자료_거시'!$D3984,-'설정'!$B$17),'자료_거시'!$D$3:INDEX('자료_거시'!$D$3:$D$4002,$K$6),1)),""),"")</f>
        <v/>
      </c>
      <c r="U4002">
        <f>IF(ISNUMBER(T4002),'자료_거시'!$D3984,"")</f>
        <v/>
      </c>
      <c r="V4002">
        <f>IF(ISNUMBER(U4002),IF(U4002&gt;$L$6,T4002,""),"")</f>
        <v/>
      </c>
      <c r="W4002">
        <f>IF(AND(ISNUMBER('자료_거시'!$G3984),ISNUMBER('자료_거시'!$H3984)),'자료_거시'!$H3984,"")</f>
        <v/>
      </c>
      <c r="X4002">
        <f>IF(ISNUMBER(W4002),'자료_거시'!$G3984,"")</f>
        <v/>
      </c>
      <c r="Y4002">
        <f>IF(ISNUMBER(X4002),IF(X4002&gt;$L$7,W4002,""),"")</f>
        <v/>
      </c>
      <c r="Z4002">
        <f>IF(ISNUMBER('자료_거시'!$K3984),'자료_거시'!$K3984,Z4001)</f>
        <v/>
      </c>
      <c r="AA4002">
        <f>IF(AND(ISNUMBER('자료_거시'!$J3984),ISNUMBER('자료_거시'!$K3984)),IFERROR('자료_거시'!$K3984/INDEX($Z$21:$Z$4020,MATCH(EDATE('자료_거시'!$J3984,-'설정'!$B$17),'자료_거시'!$J$3:INDEX('자료_거시'!$J$3:$J$4002,$K$8),1))-1,""),"")</f>
        <v/>
      </c>
      <c r="AB4002">
        <f>IF(ISNUMBER(AA4002),'자료_거시'!$J3984,"")</f>
        <v/>
      </c>
      <c r="AC4002">
        <f>IF(ISNUMBER(AB4002),IF(AB4002&gt;$L$8,AA4002,""),"")</f>
        <v/>
      </c>
    </row>
    <row r="4003">
      <c r="S4003">
        <f>IF(ISNUMBER('자료_거시'!$E3985),'자료_거시'!$E3985,S4002)</f>
        <v/>
      </c>
      <c r="T4003">
        <f>IF(AND(ISNUMBER('자료_거시'!$D3985),ISNUMBER('자료_거시'!$E3985)),IFERROR('자료_거시'!$E3985-INDEX($S$21:$S$4020,MATCH(EDATE('자료_거시'!$D3985,-'설정'!$B$17),'자료_거시'!$D$3:INDEX('자료_거시'!$D$3:$D$4002,$K$6),1)),""),"")</f>
        <v/>
      </c>
      <c r="U4003">
        <f>IF(ISNUMBER(T4003),'자료_거시'!$D3985,"")</f>
        <v/>
      </c>
      <c r="V4003">
        <f>IF(ISNUMBER(U4003),IF(U4003&gt;$L$6,T4003,""),"")</f>
        <v/>
      </c>
      <c r="W4003">
        <f>IF(AND(ISNUMBER('자료_거시'!$G3985),ISNUMBER('자료_거시'!$H3985)),'자료_거시'!$H3985,"")</f>
        <v/>
      </c>
      <c r="X4003">
        <f>IF(ISNUMBER(W4003),'자료_거시'!$G3985,"")</f>
        <v/>
      </c>
      <c r="Y4003">
        <f>IF(ISNUMBER(X4003),IF(X4003&gt;$L$7,W4003,""),"")</f>
        <v/>
      </c>
      <c r="Z4003">
        <f>IF(ISNUMBER('자료_거시'!$K3985),'자료_거시'!$K3985,Z4002)</f>
        <v/>
      </c>
      <c r="AA4003">
        <f>IF(AND(ISNUMBER('자료_거시'!$J3985),ISNUMBER('자료_거시'!$K3985)),IFERROR('자료_거시'!$K3985/INDEX($Z$21:$Z$4020,MATCH(EDATE('자료_거시'!$J3985,-'설정'!$B$17),'자료_거시'!$J$3:INDEX('자료_거시'!$J$3:$J$4002,$K$8),1))-1,""),"")</f>
        <v/>
      </c>
      <c r="AB4003">
        <f>IF(ISNUMBER(AA4003),'자료_거시'!$J3985,"")</f>
        <v/>
      </c>
      <c r="AC4003">
        <f>IF(ISNUMBER(AB4003),IF(AB4003&gt;$L$8,AA4003,""),"")</f>
        <v/>
      </c>
    </row>
    <row r="4004">
      <c r="S4004">
        <f>IF(ISNUMBER('자료_거시'!$E3986),'자료_거시'!$E3986,S4003)</f>
        <v/>
      </c>
      <c r="T4004">
        <f>IF(AND(ISNUMBER('자료_거시'!$D3986),ISNUMBER('자료_거시'!$E3986)),IFERROR('자료_거시'!$E3986-INDEX($S$21:$S$4020,MATCH(EDATE('자료_거시'!$D3986,-'설정'!$B$17),'자료_거시'!$D$3:INDEX('자료_거시'!$D$3:$D$4002,$K$6),1)),""),"")</f>
        <v/>
      </c>
      <c r="U4004">
        <f>IF(ISNUMBER(T4004),'자료_거시'!$D3986,"")</f>
        <v/>
      </c>
      <c r="V4004">
        <f>IF(ISNUMBER(U4004),IF(U4004&gt;$L$6,T4004,""),"")</f>
        <v/>
      </c>
      <c r="W4004">
        <f>IF(AND(ISNUMBER('자료_거시'!$G3986),ISNUMBER('자료_거시'!$H3986)),'자료_거시'!$H3986,"")</f>
        <v/>
      </c>
      <c r="X4004">
        <f>IF(ISNUMBER(W4004),'자료_거시'!$G3986,"")</f>
        <v/>
      </c>
      <c r="Y4004">
        <f>IF(ISNUMBER(X4004),IF(X4004&gt;$L$7,W4004,""),"")</f>
        <v/>
      </c>
      <c r="Z4004">
        <f>IF(ISNUMBER('자료_거시'!$K3986),'자료_거시'!$K3986,Z4003)</f>
        <v/>
      </c>
      <c r="AA4004">
        <f>IF(AND(ISNUMBER('자료_거시'!$J3986),ISNUMBER('자료_거시'!$K3986)),IFERROR('자료_거시'!$K3986/INDEX($Z$21:$Z$4020,MATCH(EDATE('자료_거시'!$J3986,-'설정'!$B$17),'자료_거시'!$J$3:INDEX('자료_거시'!$J$3:$J$4002,$K$8),1))-1,""),"")</f>
        <v/>
      </c>
      <c r="AB4004">
        <f>IF(ISNUMBER(AA4004),'자료_거시'!$J3986,"")</f>
        <v/>
      </c>
      <c r="AC4004">
        <f>IF(ISNUMBER(AB4004),IF(AB4004&gt;$L$8,AA4004,""),"")</f>
        <v/>
      </c>
    </row>
    <row r="4005">
      <c r="S4005">
        <f>IF(ISNUMBER('자료_거시'!$E3987),'자료_거시'!$E3987,S4004)</f>
        <v/>
      </c>
      <c r="T4005">
        <f>IF(AND(ISNUMBER('자료_거시'!$D3987),ISNUMBER('자료_거시'!$E3987)),IFERROR('자료_거시'!$E3987-INDEX($S$21:$S$4020,MATCH(EDATE('자료_거시'!$D3987,-'설정'!$B$17),'자료_거시'!$D$3:INDEX('자료_거시'!$D$3:$D$4002,$K$6),1)),""),"")</f>
        <v/>
      </c>
      <c r="U4005">
        <f>IF(ISNUMBER(T4005),'자료_거시'!$D3987,"")</f>
        <v/>
      </c>
      <c r="V4005">
        <f>IF(ISNUMBER(U4005),IF(U4005&gt;$L$6,T4005,""),"")</f>
        <v/>
      </c>
      <c r="W4005">
        <f>IF(AND(ISNUMBER('자료_거시'!$G3987),ISNUMBER('자료_거시'!$H3987)),'자료_거시'!$H3987,"")</f>
        <v/>
      </c>
      <c r="X4005">
        <f>IF(ISNUMBER(W4005),'자료_거시'!$G3987,"")</f>
        <v/>
      </c>
      <c r="Y4005">
        <f>IF(ISNUMBER(X4005),IF(X4005&gt;$L$7,W4005,""),"")</f>
        <v/>
      </c>
      <c r="Z4005">
        <f>IF(ISNUMBER('자료_거시'!$K3987),'자료_거시'!$K3987,Z4004)</f>
        <v/>
      </c>
      <c r="AA4005">
        <f>IF(AND(ISNUMBER('자료_거시'!$J3987),ISNUMBER('자료_거시'!$K3987)),IFERROR('자료_거시'!$K3987/INDEX($Z$21:$Z$4020,MATCH(EDATE('자료_거시'!$J3987,-'설정'!$B$17),'자료_거시'!$J$3:INDEX('자료_거시'!$J$3:$J$4002,$K$8),1))-1,""),"")</f>
        <v/>
      </c>
      <c r="AB4005">
        <f>IF(ISNUMBER(AA4005),'자료_거시'!$J3987,"")</f>
        <v/>
      </c>
      <c r="AC4005">
        <f>IF(ISNUMBER(AB4005),IF(AB4005&gt;$L$8,AA4005,""),"")</f>
        <v/>
      </c>
    </row>
    <row r="4006">
      <c r="S4006">
        <f>IF(ISNUMBER('자료_거시'!$E3988),'자료_거시'!$E3988,S4005)</f>
        <v/>
      </c>
      <c r="T4006">
        <f>IF(AND(ISNUMBER('자료_거시'!$D3988),ISNUMBER('자료_거시'!$E3988)),IFERROR('자료_거시'!$E3988-INDEX($S$21:$S$4020,MATCH(EDATE('자료_거시'!$D3988,-'설정'!$B$17),'자료_거시'!$D$3:INDEX('자료_거시'!$D$3:$D$4002,$K$6),1)),""),"")</f>
        <v/>
      </c>
      <c r="U4006">
        <f>IF(ISNUMBER(T4006),'자료_거시'!$D3988,"")</f>
        <v/>
      </c>
      <c r="V4006">
        <f>IF(ISNUMBER(U4006),IF(U4006&gt;$L$6,T4006,""),"")</f>
        <v/>
      </c>
      <c r="W4006">
        <f>IF(AND(ISNUMBER('자료_거시'!$G3988),ISNUMBER('자료_거시'!$H3988)),'자료_거시'!$H3988,"")</f>
        <v/>
      </c>
      <c r="X4006">
        <f>IF(ISNUMBER(W4006),'자료_거시'!$G3988,"")</f>
        <v/>
      </c>
      <c r="Y4006">
        <f>IF(ISNUMBER(X4006),IF(X4006&gt;$L$7,W4006,""),"")</f>
        <v/>
      </c>
      <c r="Z4006">
        <f>IF(ISNUMBER('자료_거시'!$K3988),'자료_거시'!$K3988,Z4005)</f>
        <v/>
      </c>
      <c r="AA4006">
        <f>IF(AND(ISNUMBER('자료_거시'!$J3988),ISNUMBER('자료_거시'!$K3988)),IFERROR('자료_거시'!$K3988/INDEX($Z$21:$Z$4020,MATCH(EDATE('자료_거시'!$J3988,-'설정'!$B$17),'자료_거시'!$J$3:INDEX('자료_거시'!$J$3:$J$4002,$K$8),1))-1,""),"")</f>
        <v/>
      </c>
      <c r="AB4006">
        <f>IF(ISNUMBER(AA4006),'자료_거시'!$J3988,"")</f>
        <v/>
      </c>
      <c r="AC4006">
        <f>IF(ISNUMBER(AB4006),IF(AB4006&gt;$L$8,AA4006,""),"")</f>
        <v/>
      </c>
    </row>
    <row r="4007">
      <c r="S4007">
        <f>IF(ISNUMBER('자료_거시'!$E3989),'자료_거시'!$E3989,S4006)</f>
        <v/>
      </c>
      <c r="T4007">
        <f>IF(AND(ISNUMBER('자료_거시'!$D3989),ISNUMBER('자료_거시'!$E3989)),IFERROR('자료_거시'!$E3989-INDEX($S$21:$S$4020,MATCH(EDATE('자료_거시'!$D3989,-'설정'!$B$17),'자료_거시'!$D$3:INDEX('자료_거시'!$D$3:$D$4002,$K$6),1)),""),"")</f>
        <v/>
      </c>
      <c r="U4007">
        <f>IF(ISNUMBER(T4007),'자료_거시'!$D3989,"")</f>
        <v/>
      </c>
      <c r="V4007">
        <f>IF(ISNUMBER(U4007),IF(U4007&gt;$L$6,T4007,""),"")</f>
        <v/>
      </c>
      <c r="W4007">
        <f>IF(AND(ISNUMBER('자료_거시'!$G3989),ISNUMBER('자료_거시'!$H3989)),'자료_거시'!$H3989,"")</f>
        <v/>
      </c>
      <c r="X4007">
        <f>IF(ISNUMBER(W4007),'자료_거시'!$G3989,"")</f>
        <v/>
      </c>
      <c r="Y4007">
        <f>IF(ISNUMBER(X4007),IF(X4007&gt;$L$7,W4007,""),"")</f>
        <v/>
      </c>
      <c r="Z4007">
        <f>IF(ISNUMBER('자료_거시'!$K3989),'자료_거시'!$K3989,Z4006)</f>
        <v/>
      </c>
      <c r="AA4007">
        <f>IF(AND(ISNUMBER('자료_거시'!$J3989),ISNUMBER('자료_거시'!$K3989)),IFERROR('자료_거시'!$K3989/INDEX($Z$21:$Z$4020,MATCH(EDATE('자료_거시'!$J3989,-'설정'!$B$17),'자료_거시'!$J$3:INDEX('자료_거시'!$J$3:$J$4002,$K$8),1))-1,""),"")</f>
        <v/>
      </c>
      <c r="AB4007">
        <f>IF(ISNUMBER(AA4007),'자료_거시'!$J3989,"")</f>
        <v/>
      </c>
      <c r="AC4007">
        <f>IF(ISNUMBER(AB4007),IF(AB4007&gt;$L$8,AA4007,""),"")</f>
        <v/>
      </c>
    </row>
    <row r="4008">
      <c r="S4008">
        <f>IF(ISNUMBER('자료_거시'!$E3990),'자료_거시'!$E3990,S4007)</f>
        <v/>
      </c>
      <c r="T4008">
        <f>IF(AND(ISNUMBER('자료_거시'!$D3990),ISNUMBER('자료_거시'!$E3990)),IFERROR('자료_거시'!$E3990-INDEX($S$21:$S$4020,MATCH(EDATE('자료_거시'!$D3990,-'설정'!$B$17),'자료_거시'!$D$3:INDEX('자료_거시'!$D$3:$D$4002,$K$6),1)),""),"")</f>
        <v/>
      </c>
      <c r="U4008">
        <f>IF(ISNUMBER(T4008),'자료_거시'!$D3990,"")</f>
        <v/>
      </c>
      <c r="V4008">
        <f>IF(ISNUMBER(U4008),IF(U4008&gt;$L$6,T4008,""),"")</f>
        <v/>
      </c>
      <c r="W4008">
        <f>IF(AND(ISNUMBER('자료_거시'!$G3990),ISNUMBER('자료_거시'!$H3990)),'자료_거시'!$H3990,"")</f>
        <v/>
      </c>
      <c r="X4008">
        <f>IF(ISNUMBER(W4008),'자료_거시'!$G3990,"")</f>
        <v/>
      </c>
      <c r="Y4008">
        <f>IF(ISNUMBER(X4008),IF(X4008&gt;$L$7,W4008,""),"")</f>
        <v/>
      </c>
      <c r="Z4008">
        <f>IF(ISNUMBER('자료_거시'!$K3990),'자료_거시'!$K3990,Z4007)</f>
        <v/>
      </c>
      <c r="AA4008">
        <f>IF(AND(ISNUMBER('자료_거시'!$J3990),ISNUMBER('자료_거시'!$K3990)),IFERROR('자료_거시'!$K3990/INDEX($Z$21:$Z$4020,MATCH(EDATE('자료_거시'!$J3990,-'설정'!$B$17),'자료_거시'!$J$3:INDEX('자료_거시'!$J$3:$J$4002,$K$8),1))-1,""),"")</f>
        <v/>
      </c>
      <c r="AB4008">
        <f>IF(ISNUMBER(AA4008),'자료_거시'!$J3990,"")</f>
        <v/>
      </c>
      <c r="AC4008">
        <f>IF(ISNUMBER(AB4008),IF(AB4008&gt;$L$8,AA4008,""),"")</f>
        <v/>
      </c>
    </row>
    <row r="4009">
      <c r="S4009">
        <f>IF(ISNUMBER('자료_거시'!$E3991),'자료_거시'!$E3991,S4008)</f>
        <v/>
      </c>
      <c r="T4009">
        <f>IF(AND(ISNUMBER('자료_거시'!$D3991),ISNUMBER('자료_거시'!$E3991)),IFERROR('자료_거시'!$E3991-INDEX($S$21:$S$4020,MATCH(EDATE('자료_거시'!$D3991,-'설정'!$B$17),'자료_거시'!$D$3:INDEX('자료_거시'!$D$3:$D$4002,$K$6),1)),""),"")</f>
        <v/>
      </c>
      <c r="U4009">
        <f>IF(ISNUMBER(T4009),'자료_거시'!$D3991,"")</f>
        <v/>
      </c>
      <c r="V4009">
        <f>IF(ISNUMBER(U4009),IF(U4009&gt;$L$6,T4009,""),"")</f>
        <v/>
      </c>
      <c r="W4009">
        <f>IF(AND(ISNUMBER('자료_거시'!$G3991),ISNUMBER('자료_거시'!$H3991)),'자료_거시'!$H3991,"")</f>
        <v/>
      </c>
      <c r="X4009">
        <f>IF(ISNUMBER(W4009),'자료_거시'!$G3991,"")</f>
        <v/>
      </c>
      <c r="Y4009">
        <f>IF(ISNUMBER(X4009),IF(X4009&gt;$L$7,W4009,""),"")</f>
        <v/>
      </c>
      <c r="Z4009">
        <f>IF(ISNUMBER('자료_거시'!$K3991),'자료_거시'!$K3991,Z4008)</f>
        <v/>
      </c>
      <c r="AA4009">
        <f>IF(AND(ISNUMBER('자료_거시'!$J3991),ISNUMBER('자료_거시'!$K3991)),IFERROR('자료_거시'!$K3991/INDEX($Z$21:$Z$4020,MATCH(EDATE('자료_거시'!$J3991,-'설정'!$B$17),'자료_거시'!$J$3:INDEX('자료_거시'!$J$3:$J$4002,$K$8),1))-1,""),"")</f>
        <v/>
      </c>
      <c r="AB4009">
        <f>IF(ISNUMBER(AA4009),'자료_거시'!$J3991,"")</f>
        <v/>
      </c>
      <c r="AC4009">
        <f>IF(ISNUMBER(AB4009),IF(AB4009&gt;$L$8,AA4009,""),"")</f>
        <v/>
      </c>
    </row>
    <row r="4010">
      <c r="S4010">
        <f>IF(ISNUMBER('자료_거시'!$E3992),'자료_거시'!$E3992,S4009)</f>
        <v/>
      </c>
      <c r="T4010">
        <f>IF(AND(ISNUMBER('자료_거시'!$D3992),ISNUMBER('자료_거시'!$E3992)),IFERROR('자료_거시'!$E3992-INDEX($S$21:$S$4020,MATCH(EDATE('자료_거시'!$D3992,-'설정'!$B$17),'자료_거시'!$D$3:INDEX('자료_거시'!$D$3:$D$4002,$K$6),1)),""),"")</f>
        <v/>
      </c>
      <c r="U4010">
        <f>IF(ISNUMBER(T4010),'자료_거시'!$D3992,"")</f>
        <v/>
      </c>
      <c r="V4010">
        <f>IF(ISNUMBER(U4010),IF(U4010&gt;$L$6,T4010,""),"")</f>
        <v/>
      </c>
      <c r="W4010">
        <f>IF(AND(ISNUMBER('자료_거시'!$G3992),ISNUMBER('자료_거시'!$H3992)),'자료_거시'!$H3992,"")</f>
        <v/>
      </c>
      <c r="X4010">
        <f>IF(ISNUMBER(W4010),'자료_거시'!$G3992,"")</f>
        <v/>
      </c>
      <c r="Y4010">
        <f>IF(ISNUMBER(X4010),IF(X4010&gt;$L$7,W4010,""),"")</f>
        <v/>
      </c>
      <c r="Z4010">
        <f>IF(ISNUMBER('자료_거시'!$K3992),'자료_거시'!$K3992,Z4009)</f>
        <v/>
      </c>
      <c r="AA4010">
        <f>IF(AND(ISNUMBER('자료_거시'!$J3992),ISNUMBER('자료_거시'!$K3992)),IFERROR('자료_거시'!$K3992/INDEX($Z$21:$Z$4020,MATCH(EDATE('자료_거시'!$J3992,-'설정'!$B$17),'자료_거시'!$J$3:INDEX('자료_거시'!$J$3:$J$4002,$K$8),1))-1,""),"")</f>
        <v/>
      </c>
      <c r="AB4010">
        <f>IF(ISNUMBER(AA4010),'자료_거시'!$J3992,"")</f>
        <v/>
      </c>
      <c r="AC4010">
        <f>IF(ISNUMBER(AB4010),IF(AB4010&gt;$L$8,AA4010,""),"")</f>
        <v/>
      </c>
    </row>
    <row r="4011">
      <c r="S4011">
        <f>IF(ISNUMBER('자료_거시'!$E3993),'자료_거시'!$E3993,S4010)</f>
        <v/>
      </c>
      <c r="T4011">
        <f>IF(AND(ISNUMBER('자료_거시'!$D3993),ISNUMBER('자료_거시'!$E3993)),IFERROR('자료_거시'!$E3993-INDEX($S$21:$S$4020,MATCH(EDATE('자료_거시'!$D3993,-'설정'!$B$17),'자료_거시'!$D$3:INDEX('자료_거시'!$D$3:$D$4002,$K$6),1)),""),"")</f>
        <v/>
      </c>
      <c r="U4011">
        <f>IF(ISNUMBER(T4011),'자료_거시'!$D3993,"")</f>
        <v/>
      </c>
      <c r="V4011">
        <f>IF(ISNUMBER(U4011),IF(U4011&gt;$L$6,T4011,""),"")</f>
        <v/>
      </c>
      <c r="W4011">
        <f>IF(AND(ISNUMBER('자료_거시'!$G3993),ISNUMBER('자료_거시'!$H3993)),'자료_거시'!$H3993,"")</f>
        <v/>
      </c>
      <c r="X4011">
        <f>IF(ISNUMBER(W4011),'자료_거시'!$G3993,"")</f>
        <v/>
      </c>
      <c r="Y4011">
        <f>IF(ISNUMBER(X4011),IF(X4011&gt;$L$7,W4011,""),"")</f>
        <v/>
      </c>
      <c r="Z4011">
        <f>IF(ISNUMBER('자료_거시'!$K3993),'자료_거시'!$K3993,Z4010)</f>
        <v/>
      </c>
      <c r="AA4011">
        <f>IF(AND(ISNUMBER('자료_거시'!$J3993),ISNUMBER('자료_거시'!$K3993)),IFERROR('자료_거시'!$K3993/INDEX($Z$21:$Z$4020,MATCH(EDATE('자료_거시'!$J3993,-'설정'!$B$17),'자료_거시'!$J$3:INDEX('자료_거시'!$J$3:$J$4002,$K$8),1))-1,""),"")</f>
        <v/>
      </c>
      <c r="AB4011">
        <f>IF(ISNUMBER(AA4011),'자료_거시'!$J3993,"")</f>
        <v/>
      </c>
      <c r="AC4011">
        <f>IF(ISNUMBER(AB4011),IF(AB4011&gt;$L$8,AA4011,""),"")</f>
        <v/>
      </c>
    </row>
    <row r="4012">
      <c r="S4012">
        <f>IF(ISNUMBER('자료_거시'!$E3994),'자료_거시'!$E3994,S4011)</f>
        <v/>
      </c>
      <c r="T4012">
        <f>IF(AND(ISNUMBER('자료_거시'!$D3994),ISNUMBER('자료_거시'!$E3994)),IFERROR('자료_거시'!$E3994-INDEX($S$21:$S$4020,MATCH(EDATE('자료_거시'!$D3994,-'설정'!$B$17),'자료_거시'!$D$3:INDEX('자료_거시'!$D$3:$D$4002,$K$6),1)),""),"")</f>
        <v/>
      </c>
      <c r="U4012">
        <f>IF(ISNUMBER(T4012),'자료_거시'!$D3994,"")</f>
        <v/>
      </c>
      <c r="V4012">
        <f>IF(ISNUMBER(U4012),IF(U4012&gt;$L$6,T4012,""),"")</f>
        <v/>
      </c>
      <c r="W4012">
        <f>IF(AND(ISNUMBER('자료_거시'!$G3994),ISNUMBER('자료_거시'!$H3994)),'자료_거시'!$H3994,"")</f>
        <v/>
      </c>
      <c r="X4012">
        <f>IF(ISNUMBER(W4012),'자료_거시'!$G3994,"")</f>
        <v/>
      </c>
      <c r="Y4012">
        <f>IF(ISNUMBER(X4012),IF(X4012&gt;$L$7,W4012,""),"")</f>
        <v/>
      </c>
      <c r="Z4012">
        <f>IF(ISNUMBER('자료_거시'!$K3994),'자료_거시'!$K3994,Z4011)</f>
        <v/>
      </c>
      <c r="AA4012">
        <f>IF(AND(ISNUMBER('자료_거시'!$J3994),ISNUMBER('자료_거시'!$K3994)),IFERROR('자료_거시'!$K3994/INDEX($Z$21:$Z$4020,MATCH(EDATE('자료_거시'!$J3994,-'설정'!$B$17),'자료_거시'!$J$3:INDEX('자료_거시'!$J$3:$J$4002,$K$8),1))-1,""),"")</f>
        <v/>
      </c>
      <c r="AB4012">
        <f>IF(ISNUMBER(AA4012),'자료_거시'!$J3994,"")</f>
        <v/>
      </c>
      <c r="AC4012">
        <f>IF(ISNUMBER(AB4012),IF(AB4012&gt;$L$8,AA4012,""),"")</f>
        <v/>
      </c>
    </row>
    <row r="4013">
      <c r="S4013">
        <f>IF(ISNUMBER('자료_거시'!$E3995),'자료_거시'!$E3995,S4012)</f>
        <v/>
      </c>
      <c r="T4013">
        <f>IF(AND(ISNUMBER('자료_거시'!$D3995),ISNUMBER('자료_거시'!$E3995)),IFERROR('자료_거시'!$E3995-INDEX($S$21:$S$4020,MATCH(EDATE('자료_거시'!$D3995,-'설정'!$B$17),'자료_거시'!$D$3:INDEX('자료_거시'!$D$3:$D$4002,$K$6),1)),""),"")</f>
        <v/>
      </c>
      <c r="U4013">
        <f>IF(ISNUMBER(T4013),'자료_거시'!$D3995,"")</f>
        <v/>
      </c>
      <c r="V4013">
        <f>IF(ISNUMBER(U4013),IF(U4013&gt;$L$6,T4013,""),"")</f>
        <v/>
      </c>
      <c r="W4013">
        <f>IF(AND(ISNUMBER('자료_거시'!$G3995),ISNUMBER('자료_거시'!$H3995)),'자료_거시'!$H3995,"")</f>
        <v/>
      </c>
      <c r="X4013">
        <f>IF(ISNUMBER(W4013),'자료_거시'!$G3995,"")</f>
        <v/>
      </c>
      <c r="Y4013">
        <f>IF(ISNUMBER(X4013),IF(X4013&gt;$L$7,W4013,""),"")</f>
        <v/>
      </c>
      <c r="Z4013">
        <f>IF(ISNUMBER('자료_거시'!$K3995),'자료_거시'!$K3995,Z4012)</f>
        <v/>
      </c>
      <c r="AA4013">
        <f>IF(AND(ISNUMBER('자료_거시'!$J3995),ISNUMBER('자료_거시'!$K3995)),IFERROR('자료_거시'!$K3995/INDEX($Z$21:$Z$4020,MATCH(EDATE('자료_거시'!$J3995,-'설정'!$B$17),'자료_거시'!$J$3:INDEX('자료_거시'!$J$3:$J$4002,$K$8),1))-1,""),"")</f>
        <v/>
      </c>
      <c r="AB4013">
        <f>IF(ISNUMBER(AA4013),'자료_거시'!$J3995,"")</f>
        <v/>
      </c>
      <c r="AC4013">
        <f>IF(ISNUMBER(AB4013),IF(AB4013&gt;$L$8,AA4013,""),"")</f>
        <v/>
      </c>
    </row>
    <row r="4014">
      <c r="S4014">
        <f>IF(ISNUMBER('자료_거시'!$E3996),'자료_거시'!$E3996,S4013)</f>
        <v/>
      </c>
      <c r="T4014">
        <f>IF(AND(ISNUMBER('자료_거시'!$D3996),ISNUMBER('자료_거시'!$E3996)),IFERROR('자료_거시'!$E3996-INDEX($S$21:$S$4020,MATCH(EDATE('자료_거시'!$D3996,-'설정'!$B$17),'자료_거시'!$D$3:INDEX('자료_거시'!$D$3:$D$4002,$K$6),1)),""),"")</f>
        <v/>
      </c>
      <c r="U4014">
        <f>IF(ISNUMBER(T4014),'자료_거시'!$D3996,"")</f>
        <v/>
      </c>
      <c r="V4014">
        <f>IF(ISNUMBER(U4014),IF(U4014&gt;$L$6,T4014,""),"")</f>
        <v/>
      </c>
      <c r="W4014">
        <f>IF(AND(ISNUMBER('자료_거시'!$G3996),ISNUMBER('자료_거시'!$H3996)),'자료_거시'!$H3996,"")</f>
        <v/>
      </c>
      <c r="X4014">
        <f>IF(ISNUMBER(W4014),'자료_거시'!$G3996,"")</f>
        <v/>
      </c>
      <c r="Y4014">
        <f>IF(ISNUMBER(X4014),IF(X4014&gt;$L$7,W4014,""),"")</f>
        <v/>
      </c>
      <c r="Z4014">
        <f>IF(ISNUMBER('자료_거시'!$K3996),'자료_거시'!$K3996,Z4013)</f>
        <v/>
      </c>
      <c r="AA4014">
        <f>IF(AND(ISNUMBER('자료_거시'!$J3996),ISNUMBER('자료_거시'!$K3996)),IFERROR('자료_거시'!$K3996/INDEX($Z$21:$Z$4020,MATCH(EDATE('자료_거시'!$J3996,-'설정'!$B$17),'자료_거시'!$J$3:INDEX('자료_거시'!$J$3:$J$4002,$K$8),1))-1,""),"")</f>
        <v/>
      </c>
      <c r="AB4014">
        <f>IF(ISNUMBER(AA4014),'자료_거시'!$J3996,"")</f>
        <v/>
      </c>
      <c r="AC4014">
        <f>IF(ISNUMBER(AB4014),IF(AB4014&gt;$L$8,AA4014,""),"")</f>
        <v/>
      </c>
    </row>
    <row r="4015">
      <c r="S4015">
        <f>IF(ISNUMBER('자료_거시'!$E3997),'자료_거시'!$E3997,S4014)</f>
        <v/>
      </c>
      <c r="T4015">
        <f>IF(AND(ISNUMBER('자료_거시'!$D3997),ISNUMBER('자료_거시'!$E3997)),IFERROR('자료_거시'!$E3997-INDEX($S$21:$S$4020,MATCH(EDATE('자료_거시'!$D3997,-'설정'!$B$17),'자료_거시'!$D$3:INDEX('자료_거시'!$D$3:$D$4002,$K$6),1)),""),"")</f>
        <v/>
      </c>
      <c r="U4015">
        <f>IF(ISNUMBER(T4015),'자료_거시'!$D3997,"")</f>
        <v/>
      </c>
      <c r="V4015">
        <f>IF(ISNUMBER(U4015),IF(U4015&gt;$L$6,T4015,""),"")</f>
        <v/>
      </c>
      <c r="W4015">
        <f>IF(AND(ISNUMBER('자료_거시'!$G3997),ISNUMBER('자료_거시'!$H3997)),'자료_거시'!$H3997,"")</f>
        <v/>
      </c>
      <c r="X4015">
        <f>IF(ISNUMBER(W4015),'자료_거시'!$G3997,"")</f>
        <v/>
      </c>
      <c r="Y4015">
        <f>IF(ISNUMBER(X4015),IF(X4015&gt;$L$7,W4015,""),"")</f>
        <v/>
      </c>
      <c r="Z4015">
        <f>IF(ISNUMBER('자료_거시'!$K3997),'자료_거시'!$K3997,Z4014)</f>
        <v/>
      </c>
      <c r="AA4015">
        <f>IF(AND(ISNUMBER('자료_거시'!$J3997),ISNUMBER('자료_거시'!$K3997)),IFERROR('자료_거시'!$K3997/INDEX($Z$21:$Z$4020,MATCH(EDATE('자료_거시'!$J3997,-'설정'!$B$17),'자료_거시'!$J$3:INDEX('자료_거시'!$J$3:$J$4002,$K$8),1))-1,""),"")</f>
        <v/>
      </c>
      <c r="AB4015">
        <f>IF(ISNUMBER(AA4015),'자료_거시'!$J3997,"")</f>
        <v/>
      </c>
      <c r="AC4015">
        <f>IF(ISNUMBER(AB4015),IF(AB4015&gt;$L$8,AA4015,""),"")</f>
        <v/>
      </c>
    </row>
    <row r="4016">
      <c r="S4016">
        <f>IF(ISNUMBER('자료_거시'!$E3998),'자료_거시'!$E3998,S4015)</f>
        <v/>
      </c>
      <c r="T4016">
        <f>IF(AND(ISNUMBER('자료_거시'!$D3998),ISNUMBER('자료_거시'!$E3998)),IFERROR('자료_거시'!$E3998-INDEX($S$21:$S$4020,MATCH(EDATE('자료_거시'!$D3998,-'설정'!$B$17),'자료_거시'!$D$3:INDEX('자료_거시'!$D$3:$D$4002,$K$6),1)),""),"")</f>
        <v/>
      </c>
      <c r="U4016">
        <f>IF(ISNUMBER(T4016),'자료_거시'!$D3998,"")</f>
        <v/>
      </c>
      <c r="V4016">
        <f>IF(ISNUMBER(U4016),IF(U4016&gt;$L$6,T4016,""),"")</f>
        <v/>
      </c>
      <c r="W4016">
        <f>IF(AND(ISNUMBER('자료_거시'!$G3998),ISNUMBER('자료_거시'!$H3998)),'자료_거시'!$H3998,"")</f>
        <v/>
      </c>
      <c r="X4016">
        <f>IF(ISNUMBER(W4016),'자료_거시'!$G3998,"")</f>
        <v/>
      </c>
      <c r="Y4016">
        <f>IF(ISNUMBER(X4016),IF(X4016&gt;$L$7,W4016,""),"")</f>
        <v/>
      </c>
      <c r="Z4016">
        <f>IF(ISNUMBER('자료_거시'!$K3998),'자료_거시'!$K3998,Z4015)</f>
        <v/>
      </c>
      <c r="AA4016">
        <f>IF(AND(ISNUMBER('자료_거시'!$J3998),ISNUMBER('자료_거시'!$K3998)),IFERROR('자료_거시'!$K3998/INDEX($Z$21:$Z$4020,MATCH(EDATE('자료_거시'!$J3998,-'설정'!$B$17),'자료_거시'!$J$3:INDEX('자료_거시'!$J$3:$J$4002,$K$8),1))-1,""),"")</f>
        <v/>
      </c>
      <c r="AB4016">
        <f>IF(ISNUMBER(AA4016),'자료_거시'!$J3998,"")</f>
        <v/>
      </c>
      <c r="AC4016">
        <f>IF(ISNUMBER(AB4016),IF(AB4016&gt;$L$8,AA4016,""),"")</f>
        <v/>
      </c>
    </row>
    <row r="4017">
      <c r="S4017">
        <f>IF(ISNUMBER('자료_거시'!$E3999),'자료_거시'!$E3999,S4016)</f>
        <v/>
      </c>
      <c r="T4017">
        <f>IF(AND(ISNUMBER('자료_거시'!$D3999),ISNUMBER('자료_거시'!$E3999)),IFERROR('자료_거시'!$E3999-INDEX($S$21:$S$4020,MATCH(EDATE('자료_거시'!$D3999,-'설정'!$B$17),'자료_거시'!$D$3:INDEX('자료_거시'!$D$3:$D$4002,$K$6),1)),""),"")</f>
        <v/>
      </c>
      <c r="U4017">
        <f>IF(ISNUMBER(T4017),'자료_거시'!$D3999,"")</f>
        <v/>
      </c>
      <c r="V4017">
        <f>IF(ISNUMBER(U4017),IF(U4017&gt;$L$6,T4017,""),"")</f>
        <v/>
      </c>
      <c r="W4017">
        <f>IF(AND(ISNUMBER('자료_거시'!$G3999),ISNUMBER('자료_거시'!$H3999)),'자료_거시'!$H3999,"")</f>
        <v/>
      </c>
      <c r="X4017">
        <f>IF(ISNUMBER(W4017),'자료_거시'!$G3999,"")</f>
        <v/>
      </c>
      <c r="Y4017">
        <f>IF(ISNUMBER(X4017),IF(X4017&gt;$L$7,W4017,""),"")</f>
        <v/>
      </c>
      <c r="Z4017">
        <f>IF(ISNUMBER('자료_거시'!$K3999),'자료_거시'!$K3999,Z4016)</f>
        <v/>
      </c>
      <c r="AA4017">
        <f>IF(AND(ISNUMBER('자료_거시'!$J3999),ISNUMBER('자료_거시'!$K3999)),IFERROR('자료_거시'!$K3999/INDEX($Z$21:$Z$4020,MATCH(EDATE('자료_거시'!$J3999,-'설정'!$B$17),'자료_거시'!$J$3:INDEX('자료_거시'!$J$3:$J$4002,$K$8),1))-1,""),"")</f>
        <v/>
      </c>
      <c r="AB4017">
        <f>IF(ISNUMBER(AA4017),'자료_거시'!$J3999,"")</f>
        <v/>
      </c>
      <c r="AC4017">
        <f>IF(ISNUMBER(AB4017),IF(AB4017&gt;$L$8,AA4017,""),"")</f>
        <v/>
      </c>
    </row>
    <row r="4018">
      <c r="S4018">
        <f>IF(ISNUMBER('자료_거시'!$E4000),'자료_거시'!$E4000,S4017)</f>
        <v/>
      </c>
      <c r="T4018">
        <f>IF(AND(ISNUMBER('자료_거시'!$D4000),ISNUMBER('자료_거시'!$E4000)),IFERROR('자료_거시'!$E4000-INDEX($S$21:$S$4020,MATCH(EDATE('자료_거시'!$D4000,-'설정'!$B$17),'자료_거시'!$D$3:INDEX('자료_거시'!$D$3:$D$4002,$K$6),1)),""),"")</f>
        <v/>
      </c>
      <c r="U4018">
        <f>IF(ISNUMBER(T4018),'자료_거시'!$D4000,"")</f>
        <v/>
      </c>
      <c r="V4018">
        <f>IF(ISNUMBER(U4018),IF(U4018&gt;$L$6,T4018,""),"")</f>
        <v/>
      </c>
      <c r="W4018">
        <f>IF(AND(ISNUMBER('자료_거시'!$G4000),ISNUMBER('자료_거시'!$H4000)),'자료_거시'!$H4000,"")</f>
        <v/>
      </c>
      <c r="X4018">
        <f>IF(ISNUMBER(W4018),'자료_거시'!$G4000,"")</f>
        <v/>
      </c>
      <c r="Y4018">
        <f>IF(ISNUMBER(X4018),IF(X4018&gt;$L$7,W4018,""),"")</f>
        <v/>
      </c>
      <c r="Z4018">
        <f>IF(ISNUMBER('자료_거시'!$K4000),'자료_거시'!$K4000,Z4017)</f>
        <v/>
      </c>
      <c r="AA4018">
        <f>IF(AND(ISNUMBER('자료_거시'!$J4000),ISNUMBER('자료_거시'!$K4000)),IFERROR('자료_거시'!$K4000/INDEX($Z$21:$Z$4020,MATCH(EDATE('자료_거시'!$J4000,-'설정'!$B$17),'자료_거시'!$J$3:INDEX('자료_거시'!$J$3:$J$4002,$K$8),1))-1,""),"")</f>
        <v/>
      </c>
      <c r="AB4018">
        <f>IF(ISNUMBER(AA4018),'자료_거시'!$J4000,"")</f>
        <v/>
      </c>
      <c r="AC4018">
        <f>IF(ISNUMBER(AB4018),IF(AB4018&gt;$L$8,AA4018,""),"")</f>
        <v/>
      </c>
    </row>
    <row r="4019">
      <c r="S4019">
        <f>IF(ISNUMBER('자료_거시'!$E4001),'자료_거시'!$E4001,S4018)</f>
        <v/>
      </c>
      <c r="T4019">
        <f>IF(AND(ISNUMBER('자료_거시'!$D4001),ISNUMBER('자료_거시'!$E4001)),IFERROR('자료_거시'!$E4001-INDEX($S$21:$S$4020,MATCH(EDATE('자료_거시'!$D4001,-'설정'!$B$17),'자료_거시'!$D$3:INDEX('자료_거시'!$D$3:$D$4002,$K$6),1)),""),"")</f>
        <v/>
      </c>
      <c r="U4019">
        <f>IF(ISNUMBER(T4019),'자료_거시'!$D4001,"")</f>
        <v/>
      </c>
      <c r="V4019">
        <f>IF(ISNUMBER(U4019),IF(U4019&gt;$L$6,T4019,""),"")</f>
        <v/>
      </c>
      <c r="W4019">
        <f>IF(AND(ISNUMBER('자료_거시'!$G4001),ISNUMBER('자료_거시'!$H4001)),'자료_거시'!$H4001,"")</f>
        <v/>
      </c>
      <c r="X4019">
        <f>IF(ISNUMBER(W4019),'자료_거시'!$G4001,"")</f>
        <v/>
      </c>
      <c r="Y4019">
        <f>IF(ISNUMBER(X4019),IF(X4019&gt;$L$7,W4019,""),"")</f>
        <v/>
      </c>
      <c r="Z4019">
        <f>IF(ISNUMBER('자료_거시'!$K4001),'자료_거시'!$K4001,Z4018)</f>
        <v/>
      </c>
      <c r="AA4019">
        <f>IF(AND(ISNUMBER('자료_거시'!$J4001),ISNUMBER('자료_거시'!$K4001)),IFERROR('자료_거시'!$K4001/INDEX($Z$21:$Z$4020,MATCH(EDATE('자료_거시'!$J4001,-'설정'!$B$17),'자료_거시'!$J$3:INDEX('자료_거시'!$J$3:$J$4002,$K$8),1))-1,""),"")</f>
        <v/>
      </c>
      <c r="AB4019">
        <f>IF(ISNUMBER(AA4019),'자료_거시'!$J4001,"")</f>
        <v/>
      </c>
      <c r="AC4019">
        <f>IF(ISNUMBER(AB4019),IF(AB4019&gt;$L$8,AA4019,""),"")</f>
        <v/>
      </c>
    </row>
    <row r="4020">
      <c r="S4020">
        <f>IF(ISNUMBER('자료_거시'!$E4002),'자료_거시'!$E4002,S4019)</f>
        <v/>
      </c>
      <c r="T4020">
        <f>IF(AND(ISNUMBER('자료_거시'!$D4002),ISNUMBER('자료_거시'!$E4002)),IFERROR('자료_거시'!$E4002-INDEX($S$21:$S$4020,MATCH(EDATE('자료_거시'!$D4002,-'설정'!$B$17),'자료_거시'!$D$3:INDEX('자료_거시'!$D$3:$D$4002,$K$6),1)),""),"")</f>
        <v/>
      </c>
      <c r="U4020">
        <f>IF(ISNUMBER(T4020),'자료_거시'!$D4002,"")</f>
        <v/>
      </c>
      <c r="V4020">
        <f>IF(ISNUMBER(U4020),IF(U4020&gt;$L$6,T4020,""),"")</f>
        <v/>
      </c>
      <c r="W4020">
        <f>IF(AND(ISNUMBER('자료_거시'!$G4002),ISNUMBER('자료_거시'!$H4002)),'자료_거시'!$H4002,"")</f>
        <v/>
      </c>
      <c r="X4020">
        <f>IF(ISNUMBER(W4020),'자료_거시'!$G4002,"")</f>
        <v/>
      </c>
      <c r="Y4020">
        <f>IF(ISNUMBER(X4020),IF(X4020&gt;$L$7,W4020,""),"")</f>
        <v/>
      </c>
      <c r="Z4020">
        <f>IF(ISNUMBER('자료_거시'!$K4002),'자료_거시'!$K4002,Z4019)</f>
        <v/>
      </c>
      <c r="AA4020">
        <f>IF(AND(ISNUMBER('자료_거시'!$J4002),ISNUMBER('자료_거시'!$K4002)),IFERROR('자료_거시'!$K4002/INDEX($Z$21:$Z$4020,MATCH(EDATE('자료_거시'!$J4002,-'설정'!$B$17),'자료_거시'!$J$3:INDEX('자료_거시'!$J$3:$J$4002,$K$8),1))-1,""),"")</f>
        <v/>
      </c>
      <c r="AB4020">
        <f>IF(ISNUMBER(AA4020),'자료_거시'!$J4002,"")</f>
        <v/>
      </c>
      <c r="AC4020">
        <f>IF(ISNUMBER(AB4020),IF(AB4020&gt;$L$8,AA4020,""),"")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/>
  </sheetPr>
  <dimension ref="A1:J4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90" customWidth="1" min="10" max="10"/>
  </cols>
  <sheetData>
    <row r="1">
      <c r="A1" s="7" t="inlineStr">
        <is>
          <t>S&amp;P 500 지수 — FRED SP500</t>
        </is>
      </c>
      <c r="D1" s="7" t="inlineStr">
        <is>
          <t>VIX — FRED VIXCLS</t>
        </is>
      </c>
      <c r="G1" s="7" t="inlineStr">
        <is>
          <t>Baa 회사채 − 미 10년물 금리차(%p) — FRED BAA10Y</t>
        </is>
      </c>
      <c r="J1" s="2" t="inlineStr">
        <is>
          <t>원자료 — 미국 시장 심리</t>
        </is>
      </c>
    </row>
    <row r="2">
      <c r="A2" s="6" t="inlineStr">
        <is>
          <t>날짜</t>
        </is>
      </c>
      <c r="B2" s="6" t="inlineStr">
        <is>
          <t>sp500</t>
        </is>
      </c>
      <c r="D2" s="6" t="inlineStr">
        <is>
          <t>날짜</t>
        </is>
      </c>
      <c r="E2" s="6" t="inlineStr">
        <is>
          <t>vix</t>
        </is>
      </c>
      <c r="G2" s="6" t="inlineStr">
        <is>
          <t>날짜</t>
        </is>
      </c>
      <c r="H2" s="6" t="inlineStr">
        <is>
          <t>baa</t>
        </is>
      </c>
      <c r="J2" s="5" t="inlineStr">
        <is>
          <t>붙여넣는 법: 각 블록의 2행(머리글 줄)부터 '날짜, 값' 두 열을 붙여 넣는다. 순서는 상관없다.</t>
        </is>
      </c>
    </row>
    <row r="3">
      <c r="A3" s="16" t="n">
        <v>43983</v>
      </c>
      <c r="B3" s="19" t="n">
        <v>3059.71</v>
      </c>
      <c r="D3" s="16" t="n">
        <v>43983</v>
      </c>
      <c r="E3" s="19" t="n">
        <v>18.76</v>
      </c>
      <c r="G3" s="16" t="n">
        <v>43983</v>
      </c>
      <c r="H3" s="19" t="n">
        <v>1.99</v>
      </c>
      <c r="J3" s="5" t="inlineStr">
        <is>
          <t>기간: 최근 6년 이상(5년 + 125거래일). 행이 4,000을 넘지 않게 한다.</t>
        </is>
      </c>
    </row>
    <row r="4">
      <c r="A4" s="16" t="n">
        <v>43984</v>
      </c>
      <c r="B4" s="19" t="n">
        <v>3124</v>
      </c>
      <c r="D4" s="16" t="n">
        <v>43984</v>
      </c>
      <c r="E4" s="19" t="n">
        <v>16.32</v>
      </c>
      <c r="G4" s="16" t="n">
        <v>43984</v>
      </c>
      <c r="H4" s="19" t="n">
        <v>1.95</v>
      </c>
      <c r="J4" s="5" t="inlineStr">
        <is>
          <t>빈 값('.' 또는 빈칸)은 그대로 두어도 된다(그날은 직전 값을 씀).</t>
        </is>
      </c>
    </row>
    <row r="5">
      <c r="A5" s="16" t="n">
        <v>43985</v>
      </c>
      <c r="B5" s="19" t="n">
        <v>3167.34</v>
      </c>
      <c r="D5" s="16" t="n">
        <v>43985</v>
      </c>
      <c r="E5" s="19" t="n">
        <v>15.85</v>
      </c>
      <c r="G5" s="16" t="n">
        <v>43985</v>
      </c>
      <c r="H5" s="19" t="n">
        <v>1.88</v>
      </c>
      <c r="J5" s="5" t="inlineStr">
        <is>
          <t>구글 시트 자동 입력(선택): 각 블록 2행 첫 칸(A2, D2, G2)에 아래 수식을 넣으면 FRED에서 바로 가져온다.</t>
        </is>
      </c>
    </row>
    <row r="6">
      <c r="A6" s="16" t="n">
        <v>43986</v>
      </c>
      <c r="B6" s="19" t="n">
        <v>3190.7</v>
      </c>
      <c r="D6" s="16" t="n">
        <v>43986</v>
      </c>
      <c r="E6" s="19" t="n">
        <v>16.09</v>
      </c>
      <c r="G6" s="16" t="n">
        <v>43986</v>
      </c>
      <c r="H6" s="19" t="n">
        <v>1.86</v>
      </c>
      <c r="J6" s="34" t="inlineStr">
        <is>
          <t>=IMPORTDATA("https://fred.stlouisfed.org/graph/fredgraph.csv?id=SP500&amp;cosd="&amp;TEXT(EDATE(TODAY(),-72),"yyyy-mm-dd"))</t>
        </is>
      </c>
    </row>
    <row r="7">
      <c r="A7" s="16" t="n">
        <v>43987</v>
      </c>
      <c r="B7" s="19" t="n">
        <v>3179.04</v>
      </c>
      <c r="D7" s="16" t="n">
        <v>43987</v>
      </c>
      <c r="E7" s="19" t="n">
        <v>15.81</v>
      </c>
      <c r="G7" s="16" t="n">
        <v>43987</v>
      </c>
      <c r="H7" s="19" t="n">
        <v>1.86</v>
      </c>
      <c r="J7" s="5" t="inlineStr">
        <is>
          <t xml:space="preserve">  VIX는 id=VIXCLS, 금리차는 id=BAA10Y 로 바꾼다. (엑셀에서는 동작하지 않는다)</t>
        </is>
      </c>
    </row>
    <row r="8">
      <c r="A8" s="16" t="n">
        <v>43990</v>
      </c>
      <c r="B8" s="19" t="n">
        <v>3137.4</v>
      </c>
      <c r="D8" s="16" t="n">
        <v>43990</v>
      </c>
      <c r="E8" s="19" t="n">
        <v>16.91</v>
      </c>
      <c r="G8" s="16" t="n">
        <v>43990</v>
      </c>
      <c r="H8" s="19" t="n">
        <v>1.91</v>
      </c>
    </row>
    <row r="9">
      <c r="A9" s="16" t="n">
        <v>43991</v>
      </c>
      <c r="B9" s="19" t="n">
        <v>3194.68</v>
      </c>
      <c r="D9" s="16" t="n">
        <v>43991</v>
      </c>
      <c r="E9" s="19" t="n">
        <v>14.77</v>
      </c>
      <c r="G9" s="16" t="n">
        <v>43991</v>
      </c>
      <c r="H9" s="19" t="n">
        <v>1.86</v>
      </c>
    </row>
    <row r="10">
      <c r="A10" s="16" t="n">
        <v>43992</v>
      </c>
      <c r="B10" s="19" t="n">
        <v>3238.07</v>
      </c>
      <c r="D10" s="16" t="n">
        <v>43992</v>
      </c>
      <c r="E10" s="19" t="n">
        <v>14.36</v>
      </c>
      <c r="G10" s="16" t="n">
        <v>43992</v>
      </c>
      <c r="H10" s="19" t="n">
        <v>1.82</v>
      </c>
    </row>
    <row r="11">
      <c r="A11" s="16" t="n">
        <v>43993</v>
      </c>
      <c r="B11" s="19" t="n">
        <v>3270.94</v>
      </c>
      <c r="D11" s="16" t="n">
        <v>43993</v>
      </c>
      <c r="E11" s="19" t="n">
        <v>12.41</v>
      </c>
      <c r="G11" s="16" t="n">
        <v>43993</v>
      </c>
      <c r="H11" s="19" t="n">
        <v>1.83</v>
      </c>
    </row>
    <row r="12">
      <c r="A12" s="16" t="n">
        <v>43994</v>
      </c>
      <c r="B12" s="19" t="n">
        <v>3305.52</v>
      </c>
      <c r="D12" s="16" t="n">
        <v>43994</v>
      </c>
      <c r="E12" s="19" t="n">
        <v>11.28</v>
      </c>
      <c r="G12" s="16" t="n">
        <v>43994</v>
      </c>
      <c r="H12" s="19" t="n">
        <v>1.84</v>
      </c>
    </row>
    <row r="13">
      <c r="A13" s="16" t="n">
        <v>43997</v>
      </c>
      <c r="B13" s="19" t="n">
        <v>3307.58</v>
      </c>
      <c r="D13" s="16" t="n">
        <v>43997</v>
      </c>
      <c r="E13" s="19" t="n">
        <v>12</v>
      </c>
      <c r="G13" s="16" t="n">
        <v>43997</v>
      </c>
      <c r="H13" s="19" t="n">
        <v>1.83</v>
      </c>
    </row>
    <row r="14">
      <c r="A14" s="16" t="n">
        <v>43998</v>
      </c>
      <c r="B14" s="19" t="n">
        <v>3242.02</v>
      </c>
      <c r="D14" s="16" t="n">
        <v>43998</v>
      </c>
      <c r="E14" s="19" t="n">
        <v>13.42</v>
      </c>
      <c r="G14" s="16" t="n">
        <v>43998</v>
      </c>
      <c r="H14" s="19" t="n">
        <v>1.88</v>
      </c>
    </row>
    <row r="15">
      <c r="A15" s="16" t="n">
        <v>43999</v>
      </c>
      <c r="B15" s="19" t="n">
        <v>3132.21</v>
      </c>
      <c r="D15" s="16" t="n">
        <v>43999</v>
      </c>
      <c r="E15" s="19" t="n">
        <v>15.14</v>
      </c>
      <c r="G15" s="16" t="n">
        <v>43999</v>
      </c>
      <c r="H15" s="19" t="n">
        <v>1.95</v>
      </c>
    </row>
    <row r="16">
      <c r="A16" s="16" t="n">
        <v>44000</v>
      </c>
      <c r="B16" s="19" t="n">
        <v>3151.09</v>
      </c>
      <c r="D16" s="16" t="n">
        <v>44000</v>
      </c>
      <c r="E16" s="19" t="n">
        <v>15.39</v>
      </c>
      <c r="G16" s="16" t="n">
        <v>44000</v>
      </c>
      <c r="H16" s="19" t="n">
        <v>1.96</v>
      </c>
    </row>
    <row r="17">
      <c r="A17" s="16" t="n">
        <v>44001</v>
      </c>
      <c r="B17" s="19" t="n">
        <v>3100.82</v>
      </c>
      <c r="D17" s="16" t="n">
        <v>44001</v>
      </c>
      <c r="E17" s="19" t="n">
        <v>16.45</v>
      </c>
      <c r="G17" s="16" t="n">
        <v>44001</v>
      </c>
      <c r="H17" s="19" t="n">
        <v>2.02</v>
      </c>
    </row>
    <row r="18">
      <c r="A18" s="16" t="n">
        <v>44004</v>
      </c>
      <c r="B18" s="19" t="n">
        <v>3046.71</v>
      </c>
      <c r="D18" s="16" t="n">
        <v>44004</v>
      </c>
      <c r="E18" s="19" t="n">
        <v>18.87</v>
      </c>
      <c r="G18" s="16" t="n">
        <v>44004</v>
      </c>
      <c r="H18" s="19" t="n">
        <v>2.09</v>
      </c>
    </row>
    <row r="19">
      <c r="A19" s="16" t="n">
        <v>44005</v>
      </c>
      <c r="B19" s="19" t="n">
        <v>3131.09</v>
      </c>
      <c r="D19" s="16" t="n">
        <v>44005</v>
      </c>
      <c r="E19" s="19" t="n">
        <v>16.29</v>
      </c>
      <c r="G19" s="16" t="n">
        <v>44005</v>
      </c>
      <c r="H19" s="19" t="n">
        <v>2.05</v>
      </c>
    </row>
    <row r="20">
      <c r="A20" s="16" t="n">
        <v>44006</v>
      </c>
      <c r="B20" s="19" t="n">
        <v>3212.3</v>
      </c>
      <c r="D20" s="16" t="n">
        <v>44006</v>
      </c>
      <c r="E20" s="19" t="n">
        <v>13.6</v>
      </c>
      <c r="G20" s="16" t="n">
        <v>44006</v>
      </c>
      <c r="H20" s="19" t="n">
        <v>2</v>
      </c>
    </row>
    <row r="21">
      <c r="A21" s="16" t="n">
        <v>44007</v>
      </c>
      <c r="B21" s="19" t="n">
        <v>3222.17</v>
      </c>
      <c r="D21" s="16" t="n">
        <v>44007</v>
      </c>
      <c r="E21" s="19" t="n">
        <v>11.96</v>
      </c>
      <c r="G21" s="16" t="n">
        <v>44007</v>
      </c>
      <c r="H21" s="19" t="n">
        <v>1.99</v>
      </c>
    </row>
    <row r="22">
      <c r="A22" s="16" t="n">
        <v>44008</v>
      </c>
      <c r="B22" s="19" t="n">
        <v>3238.29</v>
      </c>
      <c r="D22" s="16" t="n">
        <v>44008</v>
      </c>
      <c r="E22" s="19" t="n">
        <v>12.4</v>
      </c>
      <c r="G22" s="16" t="n">
        <v>44008</v>
      </c>
      <c r="H22" s="19" t="n">
        <v>1.99</v>
      </c>
    </row>
    <row r="23">
      <c r="A23" s="16" t="n">
        <v>44011</v>
      </c>
      <c r="B23" s="19" t="n">
        <v>3204.91</v>
      </c>
      <c r="D23" s="16" t="n">
        <v>44011</v>
      </c>
      <c r="E23" s="19" t="n">
        <v>14.59</v>
      </c>
      <c r="G23" s="16" t="n">
        <v>44011</v>
      </c>
      <c r="H23" s="19" t="n">
        <v>2.02</v>
      </c>
    </row>
    <row r="24">
      <c r="A24" s="16" t="n">
        <v>44012</v>
      </c>
      <c r="B24" s="19" t="n">
        <v>3111.68</v>
      </c>
      <c r="D24" s="16" t="n">
        <v>44012</v>
      </c>
      <c r="E24" s="19" t="n">
        <v>17.68</v>
      </c>
      <c r="G24" s="16" t="n">
        <v>44012</v>
      </c>
      <c r="H24" s="19" t="n">
        <v>2.06</v>
      </c>
    </row>
    <row r="25">
      <c r="A25" s="16" t="n">
        <v>44013</v>
      </c>
      <c r="B25" s="19" t="n">
        <v>3055.06</v>
      </c>
      <c r="D25" s="16" t="n">
        <v>44013</v>
      </c>
      <c r="E25" s="19" t="n">
        <v>21.02</v>
      </c>
      <c r="G25" s="16" t="n">
        <v>44013</v>
      </c>
      <c r="H25" s="19" t="n">
        <v>2.06</v>
      </c>
    </row>
    <row r="26">
      <c r="A26" s="16" t="n">
        <v>44014</v>
      </c>
      <c r="B26" s="19" t="n">
        <v>3014.77</v>
      </c>
      <c r="D26" s="16" t="n">
        <v>44014</v>
      </c>
      <c r="E26" s="19" t="n">
        <v>22.1</v>
      </c>
      <c r="G26" s="16" t="n">
        <v>44014</v>
      </c>
      <c r="H26" s="19" t="n">
        <v>2.1</v>
      </c>
    </row>
    <row r="27">
      <c r="A27" s="16" t="n">
        <v>44015</v>
      </c>
      <c r="B27" s="19" t="n">
        <v>3046.23</v>
      </c>
      <c r="D27" s="16" t="n">
        <v>44015</v>
      </c>
      <c r="E27" s="19" t="n">
        <v>21.71</v>
      </c>
      <c r="G27" s="16" t="n">
        <v>44015</v>
      </c>
      <c r="H27" s="19" t="n">
        <v>2.09</v>
      </c>
    </row>
    <row r="28">
      <c r="A28" s="16" t="n">
        <v>44018</v>
      </c>
      <c r="B28" s="19" t="n">
        <v>3047.96</v>
      </c>
      <c r="D28" s="16" t="n">
        <v>44018</v>
      </c>
      <c r="E28" s="19" t="n">
        <v>20.97</v>
      </c>
      <c r="G28" s="16" t="n">
        <v>44018</v>
      </c>
      <c r="H28" s="19" t="n">
        <v>2.09</v>
      </c>
    </row>
    <row r="29">
      <c r="A29" s="16" t="n">
        <v>44019</v>
      </c>
      <c r="B29" s="19" t="n">
        <v>3046.28</v>
      </c>
      <c r="D29" s="16" t="n">
        <v>44019</v>
      </c>
      <c r="E29" s="19" t="n">
        <v>21.29</v>
      </c>
      <c r="G29" s="16" t="n">
        <v>44019</v>
      </c>
      <c r="H29" s="19" t="n">
        <v>2.1</v>
      </c>
    </row>
    <row r="30">
      <c r="A30" s="16" t="n">
        <v>44020</v>
      </c>
      <c r="B30" s="19" t="n">
        <v>2998.83</v>
      </c>
      <c r="D30" s="16" t="n">
        <v>44020</v>
      </c>
      <c r="E30" s="19" t="n">
        <v>22.85</v>
      </c>
      <c r="G30" s="16" t="n">
        <v>44020</v>
      </c>
      <c r="H30" s="19" t="n">
        <v>2.13</v>
      </c>
    </row>
    <row r="31">
      <c r="A31" s="16" t="n">
        <v>44021</v>
      </c>
      <c r="B31" s="19" t="n">
        <v>3002.63</v>
      </c>
      <c r="D31" s="16" t="n">
        <v>44021</v>
      </c>
      <c r="E31" s="19" t="n">
        <v>23.33</v>
      </c>
      <c r="G31" s="16" t="n">
        <v>44021</v>
      </c>
      <c r="H31" s="19" t="n">
        <v>2.13</v>
      </c>
    </row>
    <row r="32">
      <c r="A32" s="16" t="n">
        <v>44022</v>
      </c>
      <c r="B32" s="19" t="n">
        <v>3014.98</v>
      </c>
      <c r="D32" s="16" t="n">
        <v>44022</v>
      </c>
      <c r="E32" s="19" t="n">
        <v>22.4</v>
      </c>
      <c r="G32" s="16" t="n">
        <v>44022</v>
      </c>
      <c r="H32" s="19" t="n">
        <v>2.11</v>
      </c>
    </row>
    <row r="33">
      <c r="A33" s="16" t="n">
        <v>44025</v>
      </c>
      <c r="B33" s="19" t="n">
        <v>3014.89</v>
      </c>
      <c r="D33" s="16" t="n">
        <v>44025</v>
      </c>
      <c r="E33" s="19" t="n">
        <v>23.26</v>
      </c>
      <c r="G33" s="16" t="n">
        <v>44025</v>
      </c>
      <c r="H33" s="19" t="n">
        <v>2.1</v>
      </c>
    </row>
    <row r="34">
      <c r="A34" s="16" t="n">
        <v>44026</v>
      </c>
      <c r="B34" s="19" t="n">
        <v>3006.73</v>
      </c>
      <c r="D34" s="16" t="n">
        <v>44026</v>
      </c>
      <c r="E34" s="19" t="n">
        <v>23.59</v>
      </c>
      <c r="G34" s="16" t="n">
        <v>44026</v>
      </c>
      <c r="H34" s="19" t="n">
        <v>2.07</v>
      </c>
    </row>
    <row r="35">
      <c r="A35" s="16" t="n">
        <v>44027</v>
      </c>
      <c r="B35" s="19" t="n">
        <v>3047.66</v>
      </c>
      <c r="D35" s="16" t="n">
        <v>44027</v>
      </c>
      <c r="E35" s="19" t="n">
        <v>23.14</v>
      </c>
      <c r="G35" s="16" t="n">
        <v>44027</v>
      </c>
      <c r="H35" s="19" t="n">
        <v>2.08</v>
      </c>
    </row>
    <row r="36">
      <c r="A36" s="16" t="n">
        <v>44028</v>
      </c>
      <c r="B36" s="19" t="n">
        <v>3045.89</v>
      </c>
      <c r="D36" s="16" t="n">
        <v>44028</v>
      </c>
      <c r="E36" s="19" t="n">
        <v>22.81</v>
      </c>
      <c r="G36" s="16" t="n">
        <v>44028</v>
      </c>
      <c r="H36" s="19" t="n">
        <v>2.07</v>
      </c>
    </row>
    <row r="37">
      <c r="A37" s="16" t="n">
        <v>44029</v>
      </c>
      <c r="B37" s="19" t="n">
        <v>3082.75</v>
      </c>
      <c r="D37" s="16" t="n">
        <v>44029</v>
      </c>
      <c r="E37" s="19" t="n">
        <v>21.36</v>
      </c>
      <c r="G37" s="16" t="n">
        <v>44029</v>
      </c>
      <c r="H37" s="19" t="n">
        <v>2.03</v>
      </c>
    </row>
    <row r="38">
      <c r="A38" s="16" t="n">
        <v>44032</v>
      </c>
      <c r="B38" s="19" t="n">
        <v>3073.59</v>
      </c>
      <c r="D38" s="16" t="n">
        <v>44032</v>
      </c>
      <c r="E38" s="19" t="n">
        <v>22.06</v>
      </c>
      <c r="G38" s="16" t="n">
        <v>44032</v>
      </c>
      <c r="H38" s="19" t="n">
        <v>2.02</v>
      </c>
    </row>
    <row r="39">
      <c r="A39" s="16" t="n">
        <v>44033</v>
      </c>
      <c r="B39" s="19" t="n">
        <v>3056.96</v>
      </c>
      <c r="D39" s="16" t="n">
        <v>44033</v>
      </c>
      <c r="E39" s="19" t="n">
        <v>22.7</v>
      </c>
      <c r="G39" s="16" t="n">
        <v>44033</v>
      </c>
      <c r="H39" s="19" t="n">
        <v>2.03</v>
      </c>
    </row>
    <row r="40">
      <c r="A40" s="16" t="n">
        <v>44034</v>
      </c>
      <c r="B40" s="19" t="n">
        <v>3036.95</v>
      </c>
      <c r="D40" s="16" t="n">
        <v>44034</v>
      </c>
      <c r="E40" s="19" t="n">
        <v>22.9</v>
      </c>
      <c r="G40" s="16" t="n">
        <v>44034</v>
      </c>
      <c r="H40" s="19" t="n">
        <v>2.08</v>
      </c>
    </row>
    <row r="41">
      <c r="A41" s="16" t="n">
        <v>44035</v>
      </c>
      <c r="B41" s="19" t="n">
        <v>3075.68</v>
      </c>
      <c r="D41" s="16" t="n">
        <v>44035</v>
      </c>
      <c r="E41" s="19" t="n">
        <v>21.95</v>
      </c>
      <c r="G41" s="16" t="n">
        <v>44035</v>
      </c>
      <c r="H41" s="19" t="n">
        <v>2.07</v>
      </c>
    </row>
    <row r="42">
      <c r="A42" s="16" t="n">
        <v>44036</v>
      </c>
      <c r="B42" s="19" t="n">
        <v>3048.02</v>
      </c>
      <c r="D42" s="16" t="n">
        <v>44036</v>
      </c>
      <c r="E42" s="19" t="n">
        <v>23.05</v>
      </c>
      <c r="G42" s="16" t="n">
        <v>44036</v>
      </c>
      <c r="H42" s="19" t="n">
        <v>2.07</v>
      </c>
    </row>
    <row r="43">
      <c r="A43" s="16" t="n">
        <v>44039</v>
      </c>
      <c r="B43" s="19" t="n">
        <v>3084.86</v>
      </c>
      <c r="D43" s="16" t="n">
        <v>44039</v>
      </c>
      <c r="E43" s="19" t="n">
        <v>22.68</v>
      </c>
      <c r="G43" s="16" t="n">
        <v>44039</v>
      </c>
      <c r="H43" s="19" t="n">
        <v>2.04</v>
      </c>
    </row>
    <row r="44">
      <c r="A44" s="16" t="n">
        <v>44040</v>
      </c>
      <c r="B44" s="19" t="n">
        <v>3097.88</v>
      </c>
      <c r="D44" s="16" t="n">
        <v>44040</v>
      </c>
      <c r="E44" s="19" t="n">
        <v>22.65</v>
      </c>
      <c r="G44" s="16" t="n">
        <v>44040</v>
      </c>
      <c r="H44" s="19" t="n">
        <v>2.01</v>
      </c>
    </row>
    <row r="45">
      <c r="A45" s="16" t="n">
        <v>44041</v>
      </c>
      <c r="B45" s="19" t="n">
        <v>3065.96</v>
      </c>
      <c r="D45" s="16" t="n">
        <v>44041</v>
      </c>
      <c r="E45" s="19" t="n">
        <v>23.32</v>
      </c>
      <c r="G45" s="16" t="n">
        <v>44041</v>
      </c>
      <c r="H45" s="19" t="n">
        <v>2</v>
      </c>
    </row>
    <row r="46">
      <c r="A46" s="16" t="n">
        <v>44042</v>
      </c>
      <c r="B46" s="19" t="n">
        <v>3065.63</v>
      </c>
      <c r="D46" s="16" t="n">
        <v>44042</v>
      </c>
      <c r="E46" s="19" t="n">
        <v>22.2</v>
      </c>
      <c r="G46" s="16" t="n">
        <v>44042</v>
      </c>
      <c r="H46" s="19" t="n">
        <v>2.01</v>
      </c>
    </row>
    <row r="47">
      <c r="A47" s="16" t="n">
        <v>44043</v>
      </c>
      <c r="B47" s="19" t="n">
        <v>3063.34</v>
      </c>
      <c r="D47" s="16" t="n">
        <v>44043</v>
      </c>
      <c r="E47" s="19" t="n">
        <v>22.47</v>
      </c>
      <c r="G47" s="16" t="n">
        <v>44043</v>
      </c>
      <c r="H47" s="19" t="n">
        <v>2</v>
      </c>
    </row>
    <row r="48">
      <c r="A48" s="16" t="n">
        <v>44046</v>
      </c>
      <c r="B48" s="19" t="n">
        <v>3031.13</v>
      </c>
      <c r="D48" s="16" t="n">
        <v>44046</v>
      </c>
      <c r="E48" s="19" t="n">
        <v>22.95</v>
      </c>
      <c r="G48" s="16" t="n">
        <v>44046</v>
      </c>
      <c r="H48" s="19" t="n">
        <v>2.04</v>
      </c>
    </row>
    <row r="49">
      <c r="A49" s="16" t="n">
        <v>44047</v>
      </c>
      <c r="B49" s="19" t="n">
        <v>3039.44</v>
      </c>
      <c r="D49" s="16" t="n">
        <v>44047</v>
      </c>
      <c r="E49" s="19" t="n">
        <v>22.89</v>
      </c>
      <c r="G49" s="16" t="n">
        <v>44047</v>
      </c>
      <c r="H49" s="19" t="n">
        <v>2.04</v>
      </c>
    </row>
    <row r="50">
      <c r="A50" s="16" t="n">
        <v>44048</v>
      </c>
      <c r="B50" s="19" t="n">
        <v>3081.88</v>
      </c>
      <c r="D50" s="16" t="n">
        <v>44048</v>
      </c>
      <c r="E50" s="19" t="n">
        <v>21.29</v>
      </c>
      <c r="G50" s="16" t="n">
        <v>44048</v>
      </c>
      <c r="H50" s="19" t="n">
        <v>1.99</v>
      </c>
    </row>
    <row r="51">
      <c r="A51" s="16" t="n">
        <v>44049</v>
      </c>
      <c r="B51" s="19" t="n">
        <v>3037.91</v>
      </c>
      <c r="D51" s="16" t="n">
        <v>44049</v>
      </c>
      <c r="E51" s="19" t="n">
        <v>22.43</v>
      </c>
      <c r="G51" s="16" t="n">
        <v>44049</v>
      </c>
      <c r="H51" s="19" t="n">
        <v>2</v>
      </c>
    </row>
    <row r="52">
      <c r="A52" s="16" t="n">
        <v>44050</v>
      </c>
      <c r="B52" s="19" t="n">
        <v>3024.99</v>
      </c>
      <c r="D52" s="16" t="n">
        <v>44050</v>
      </c>
      <c r="E52" s="19" t="n">
        <v>22.47</v>
      </c>
      <c r="G52" s="16" t="n">
        <v>44050</v>
      </c>
      <c r="H52" s="19" t="n">
        <v>2</v>
      </c>
    </row>
    <row r="53">
      <c r="A53" s="16" t="n">
        <v>44053</v>
      </c>
      <c r="B53" s="19" t="n">
        <v>3035.52</v>
      </c>
      <c r="D53" s="16" t="n">
        <v>44053</v>
      </c>
      <c r="E53" s="19" t="n">
        <v>22.42</v>
      </c>
      <c r="G53" s="16" t="n">
        <v>44053</v>
      </c>
      <c r="H53" s="19" t="n">
        <v>1.99</v>
      </c>
    </row>
    <row r="54">
      <c r="A54" s="16" t="n">
        <v>44054</v>
      </c>
      <c r="B54" s="19" t="n">
        <v>3047.72</v>
      </c>
      <c r="D54" s="16" t="n">
        <v>44054</v>
      </c>
      <c r="E54" s="19" t="n">
        <v>21.94</v>
      </c>
      <c r="G54" s="16" t="n">
        <v>44054</v>
      </c>
      <c r="H54" s="19" t="n">
        <v>2</v>
      </c>
    </row>
    <row r="55">
      <c r="A55" s="16" t="n">
        <v>44055</v>
      </c>
      <c r="B55" s="19" t="n">
        <v>3018.65</v>
      </c>
      <c r="D55" s="16" t="n">
        <v>44055</v>
      </c>
      <c r="E55" s="19" t="n">
        <v>22.47</v>
      </c>
      <c r="G55" s="16" t="n">
        <v>44055</v>
      </c>
      <c r="H55" s="19" t="n">
        <v>2.02</v>
      </c>
    </row>
    <row r="56">
      <c r="A56" s="16" t="n">
        <v>44056</v>
      </c>
      <c r="B56" s="19" t="n">
        <v>3009.03</v>
      </c>
      <c r="D56" s="16" t="n">
        <v>44056</v>
      </c>
      <c r="E56" s="19" t="n">
        <v>23.19</v>
      </c>
      <c r="G56" s="16" t="n">
        <v>44056</v>
      </c>
      <c r="H56" s="19" t="n">
        <v>2.03</v>
      </c>
    </row>
    <row r="57">
      <c r="A57" s="16" t="n">
        <v>44057</v>
      </c>
      <c r="B57" s="19" t="n">
        <v>3036.67</v>
      </c>
      <c r="D57" s="16" t="n">
        <v>44057</v>
      </c>
      <c r="E57" s="19" t="n">
        <v>22.58</v>
      </c>
      <c r="G57" s="16" t="n">
        <v>44057</v>
      </c>
      <c r="H57" s="19" t="n">
        <v>2.02</v>
      </c>
    </row>
    <row r="58">
      <c r="A58" s="16" t="n">
        <v>44060</v>
      </c>
      <c r="B58" s="19" t="n">
        <v>3032.51</v>
      </c>
      <c r="D58" s="16" t="n">
        <v>44060</v>
      </c>
      <c r="E58" s="19" t="n">
        <v>21.93</v>
      </c>
      <c r="G58" s="16" t="n">
        <v>44060</v>
      </c>
      <c r="H58" s="19" t="n">
        <v>2.05</v>
      </c>
    </row>
    <row r="59">
      <c r="A59" s="16" t="n">
        <v>44061</v>
      </c>
      <c r="B59" s="19" t="n">
        <v>2954.94</v>
      </c>
      <c r="D59" s="16" t="n">
        <v>44061</v>
      </c>
      <c r="E59" s="19" t="n">
        <v>25.26</v>
      </c>
      <c r="G59" s="16" t="n">
        <v>44061</v>
      </c>
      <c r="H59" s="19" t="n">
        <v>2.11</v>
      </c>
    </row>
    <row r="60">
      <c r="A60" s="16" t="n">
        <v>44062</v>
      </c>
      <c r="B60" s="19" t="n">
        <v>2986.86</v>
      </c>
      <c r="D60" s="16" t="n">
        <v>44062</v>
      </c>
      <c r="E60" s="19" t="n">
        <v>25.06</v>
      </c>
      <c r="G60" s="16" t="n">
        <v>44062</v>
      </c>
      <c r="H60" s="19" t="n">
        <v>2.08</v>
      </c>
    </row>
    <row r="61">
      <c r="A61" s="16" t="n">
        <v>44063</v>
      </c>
      <c r="B61" s="19" t="n">
        <v>2994.21</v>
      </c>
      <c r="D61" s="16" t="n">
        <v>44063</v>
      </c>
      <c r="E61" s="19" t="n">
        <v>25.57</v>
      </c>
      <c r="G61" s="16" t="n">
        <v>44063</v>
      </c>
      <c r="H61" s="19" t="n">
        <v>2.09</v>
      </c>
    </row>
    <row r="62">
      <c r="A62" s="16" t="n">
        <v>44064</v>
      </c>
      <c r="B62" s="19" t="n">
        <v>2965.89</v>
      </c>
      <c r="D62" s="16" t="n">
        <v>44064</v>
      </c>
      <c r="E62" s="19" t="n">
        <v>25.22</v>
      </c>
      <c r="G62" s="16" t="n">
        <v>44064</v>
      </c>
      <c r="H62" s="19" t="n">
        <v>2.1</v>
      </c>
    </row>
    <row r="63">
      <c r="A63" s="16" t="n">
        <v>44067</v>
      </c>
      <c r="B63" s="19" t="n">
        <v>2960.7</v>
      </c>
      <c r="D63" s="16" t="n">
        <v>44067</v>
      </c>
      <c r="E63" s="19" t="n">
        <v>25.37</v>
      </c>
      <c r="G63" s="16" t="n">
        <v>44067</v>
      </c>
      <c r="H63" s="19" t="n">
        <v>2.1</v>
      </c>
    </row>
    <row r="64">
      <c r="A64" s="16" t="n">
        <v>44068</v>
      </c>
      <c r="B64" s="19" t="n">
        <v>2896.53</v>
      </c>
      <c r="D64" s="16" t="n">
        <v>44068</v>
      </c>
      <c r="E64" s="19" t="n">
        <v>26.46</v>
      </c>
      <c r="G64" s="16" t="n">
        <v>44068</v>
      </c>
      <c r="H64" s="19" t="n">
        <v>2.15</v>
      </c>
    </row>
    <row r="65">
      <c r="A65" s="16" t="n">
        <v>44069</v>
      </c>
      <c r="B65" s="19" t="n">
        <v>2877.19</v>
      </c>
      <c r="D65" s="16" t="n">
        <v>44069</v>
      </c>
      <c r="E65" s="19" t="n">
        <v>27.3</v>
      </c>
      <c r="G65" s="16" t="n">
        <v>44069</v>
      </c>
      <c r="H65" s="19" t="n">
        <v>2.17</v>
      </c>
    </row>
    <row r="66">
      <c r="A66" s="16" t="n">
        <v>44070</v>
      </c>
      <c r="B66" s="19" t="n">
        <v>2882.69</v>
      </c>
      <c r="D66" s="16" t="n">
        <v>44070</v>
      </c>
      <c r="E66" s="19" t="n">
        <v>27.87</v>
      </c>
      <c r="G66" s="16" t="n">
        <v>44070</v>
      </c>
      <c r="H66" s="19" t="n">
        <v>2.2</v>
      </c>
    </row>
    <row r="67">
      <c r="A67" s="16" t="n">
        <v>44071</v>
      </c>
      <c r="B67" s="19" t="n">
        <v>2909.41</v>
      </c>
      <c r="D67" s="16" t="n">
        <v>44071</v>
      </c>
      <c r="E67" s="19" t="n">
        <v>27.51</v>
      </c>
      <c r="G67" s="16" t="n">
        <v>44071</v>
      </c>
      <c r="H67" s="19" t="n">
        <v>2.19</v>
      </c>
    </row>
    <row r="68">
      <c r="A68" s="16" t="n">
        <v>44074</v>
      </c>
      <c r="B68" s="19" t="n">
        <v>2889.63</v>
      </c>
      <c r="D68" s="16" t="n">
        <v>44074</v>
      </c>
      <c r="E68" s="19" t="n">
        <v>28.2</v>
      </c>
      <c r="G68" s="16" t="n">
        <v>44074</v>
      </c>
      <c r="H68" s="19" t="n">
        <v>2.2</v>
      </c>
    </row>
    <row r="69">
      <c r="A69" s="16" t="n">
        <v>44075</v>
      </c>
      <c r="B69" s="19" t="n">
        <v>2836.78</v>
      </c>
      <c r="D69" s="16" t="n">
        <v>44075</v>
      </c>
      <c r="E69" s="19" t="n">
        <v>29.82</v>
      </c>
      <c r="G69" s="16" t="n">
        <v>44075</v>
      </c>
      <c r="H69" s="19" t="n">
        <v>2.25</v>
      </c>
    </row>
    <row r="70">
      <c r="A70" s="16" t="n">
        <v>44076</v>
      </c>
      <c r="B70" s="19" t="n">
        <v>2818.47</v>
      </c>
      <c r="D70" s="16" t="n">
        <v>44076</v>
      </c>
      <c r="E70" s="19" t="n">
        <v>30.65</v>
      </c>
      <c r="G70" s="16" t="n">
        <v>44076</v>
      </c>
      <c r="H70" s="19" t="n">
        <v>2.25</v>
      </c>
    </row>
    <row r="71">
      <c r="A71" s="16" t="n">
        <v>44077</v>
      </c>
      <c r="B71" s="19" t="n">
        <v>2836.33</v>
      </c>
      <c r="D71" s="16" t="n">
        <v>44077</v>
      </c>
      <c r="E71" s="19" t="n">
        <v>29.35</v>
      </c>
      <c r="G71" s="16" t="n">
        <v>44077</v>
      </c>
      <c r="H71" s="19" t="n">
        <v>2.19</v>
      </c>
    </row>
    <row r="72">
      <c r="A72" s="16" t="n">
        <v>44078</v>
      </c>
      <c r="B72" s="19" t="n">
        <v>2837.65</v>
      </c>
      <c r="D72" s="16" t="n">
        <v>44078</v>
      </c>
      <c r="E72" s="19" t="n">
        <v>28.65</v>
      </c>
      <c r="G72" s="16" t="n">
        <v>44078</v>
      </c>
      <c r="H72" s="19" t="n">
        <v>2.19</v>
      </c>
    </row>
    <row r="73">
      <c r="A73" s="16" t="n">
        <v>44081</v>
      </c>
      <c r="B73" s="19" t="n">
        <v>2803.78</v>
      </c>
      <c r="D73" s="16" t="n">
        <v>44081</v>
      </c>
      <c r="E73" s="19" t="n">
        <v>29.6</v>
      </c>
      <c r="G73" s="16" t="n">
        <v>44081</v>
      </c>
      <c r="H73" s="19" t="n">
        <v>2.24</v>
      </c>
    </row>
    <row r="74">
      <c r="A74" s="16" t="n">
        <v>44082</v>
      </c>
      <c r="B74" s="19" t="n">
        <v>2796.12</v>
      </c>
      <c r="D74" s="16" t="n">
        <v>44082</v>
      </c>
      <c r="E74" s="19" t="n">
        <v>28.91</v>
      </c>
      <c r="G74" s="16" t="n">
        <v>44082</v>
      </c>
      <c r="H74" s="19" t="n">
        <v>2.24</v>
      </c>
    </row>
    <row r="75">
      <c r="A75" s="16" t="n">
        <v>44083</v>
      </c>
      <c r="B75" s="19" t="n">
        <v>2782.5</v>
      </c>
      <c r="D75" s="16" t="n">
        <v>44083</v>
      </c>
      <c r="E75" s="19" t="n">
        <v>28.54</v>
      </c>
      <c r="G75" s="16" t="n">
        <v>44083</v>
      </c>
      <c r="H75" s="19" t="n">
        <v>2.23</v>
      </c>
    </row>
    <row r="76">
      <c r="A76" s="16" t="n">
        <v>44084</v>
      </c>
      <c r="B76" s="19" t="n">
        <v>2770.35</v>
      </c>
      <c r="D76" s="16" t="n">
        <v>44084</v>
      </c>
      <c r="E76" s="19" t="n">
        <v>28.22</v>
      </c>
      <c r="G76" s="16" t="n">
        <v>44084</v>
      </c>
      <c r="H76" s="19" t="n">
        <v>2.21</v>
      </c>
    </row>
    <row r="77">
      <c r="A77" s="16" t="n">
        <v>44085</v>
      </c>
      <c r="B77" s="19" t="n">
        <v>2772.7</v>
      </c>
      <c r="D77" s="16" t="n">
        <v>44085</v>
      </c>
      <c r="E77" s="19" t="n">
        <v>28.23</v>
      </c>
      <c r="G77" s="16" t="n">
        <v>44085</v>
      </c>
      <c r="H77" s="19" t="n">
        <v>2.23</v>
      </c>
    </row>
    <row r="78">
      <c r="A78" s="16" t="n">
        <v>44088</v>
      </c>
      <c r="B78" s="19" t="n">
        <v>2770.79</v>
      </c>
      <c r="D78" s="16" t="n">
        <v>44088</v>
      </c>
      <c r="E78" s="19" t="n">
        <v>27.98</v>
      </c>
      <c r="G78" s="16" t="n">
        <v>44088</v>
      </c>
      <c r="H78" s="19" t="n">
        <v>2.25</v>
      </c>
    </row>
    <row r="79">
      <c r="A79" s="16" t="n">
        <v>44089</v>
      </c>
      <c r="B79" s="19" t="n">
        <v>2829.27</v>
      </c>
      <c r="D79" s="16" t="n">
        <v>44089</v>
      </c>
      <c r="E79" s="19" t="n">
        <v>27.09</v>
      </c>
      <c r="G79" s="16" t="n">
        <v>44089</v>
      </c>
      <c r="H79" s="19" t="n">
        <v>2.2</v>
      </c>
    </row>
    <row r="80">
      <c r="A80" s="16" t="n">
        <v>44090</v>
      </c>
      <c r="B80" s="19" t="n">
        <v>2813.99</v>
      </c>
      <c r="D80" s="16" t="n">
        <v>44090</v>
      </c>
      <c r="E80" s="19" t="n">
        <v>26.91</v>
      </c>
      <c r="G80" s="16" t="n">
        <v>44090</v>
      </c>
      <c r="H80" s="19" t="n">
        <v>2.24</v>
      </c>
    </row>
    <row r="81">
      <c r="A81" s="16" t="n">
        <v>44091</v>
      </c>
      <c r="B81" s="19" t="n">
        <v>2814.43</v>
      </c>
      <c r="D81" s="16" t="n">
        <v>44091</v>
      </c>
      <c r="E81" s="19" t="n">
        <v>26.77</v>
      </c>
      <c r="G81" s="16" t="n">
        <v>44091</v>
      </c>
      <c r="H81" s="19" t="n">
        <v>2.23</v>
      </c>
    </row>
    <row r="82">
      <c r="A82" s="16" t="n">
        <v>44092</v>
      </c>
      <c r="B82" s="19" t="n">
        <v>2826.31</v>
      </c>
      <c r="D82" s="16" t="n">
        <v>44092</v>
      </c>
      <c r="E82" s="19" t="n">
        <v>26.33</v>
      </c>
      <c r="G82" s="16" t="n">
        <v>44092</v>
      </c>
      <c r="H82" s="19" t="n">
        <v>2.26</v>
      </c>
    </row>
    <row r="83">
      <c r="A83" s="16" t="n">
        <v>44095</v>
      </c>
      <c r="B83" s="19" t="n">
        <v>2834.22</v>
      </c>
      <c r="D83" s="16" t="n">
        <v>44095</v>
      </c>
      <c r="E83" s="19" t="n">
        <v>26</v>
      </c>
      <c r="G83" s="16" t="n">
        <v>44095</v>
      </c>
      <c r="H83" s="19" t="n">
        <v>2.29</v>
      </c>
    </row>
    <row r="84">
      <c r="A84" s="16" t="n">
        <v>44096</v>
      </c>
      <c r="B84" s="19" t="n">
        <v>2844.18</v>
      </c>
      <c r="D84" s="16" t="n">
        <v>44096</v>
      </c>
      <c r="E84" s="19" t="n">
        <v>25.11</v>
      </c>
      <c r="G84" s="16" t="n">
        <v>44096</v>
      </c>
      <c r="H84" s="19" t="n">
        <v>2.29</v>
      </c>
    </row>
    <row r="85">
      <c r="A85" s="16" t="n">
        <v>44097</v>
      </c>
      <c r="B85" s="19" t="n">
        <v>2851.1</v>
      </c>
      <c r="D85" s="16" t="n">
        <v>44097</v>
      </c>
      <c r="E85" s="19" t="n">
        <v>24.16</v>
      </c>
      <c r="G85" s="16" t="n">
        <v>44097</v>
      </c>
      <c r="H85" s="19" t="n">
        <v>2.27</v>
      </c>
    </row>
    <row r="86">
      <c r="A86" s="16" t="n">
        <v>44098</v>
      </c>
      <c r="B86" s="19" t="n">
        <v>2798.99</v>
      </c>
      <c r="D86" s="16" t="n">
        <v>44098</v>
      </c>
      <c r="E86" s="19" t="n">
        <v>25.57</v>
      </c>
      <c r="G86" s="16" t="n">
        <v>44098</v>
      </c>
      <c r="H86" s="19" t="n">
        <v>2.33</v>
      </c>
    </row>
    <row r="87">
      <c r="A87" s="16" t="n">
        <v>44099</v>
      </c>
      <c r="B87" s="19" t="n">
        <v>2817.14</v>
      </c>
      <c r="D87" s="16" t="n">
        <v>44099</v>
      </c>
      <c r="E87" s="19" t="n">
        <v>24.95</v>
      </c>
      <c r="G87" s="16" t="n">
        <v>44099</v>
      </c>
      <c r="H87" s="19" t="n">
        <v>2.31</v>
      </c>
    </row>
    <row r="88">
      <c r="A88" s="16" t="n">
        <v>44102</v>
      </c>
      <c r="B88" s="19" t="n">
        <v>2859.17</v>
      </c>
      <c r="D88" s="16" t="n">
        <v>44102</v>
      </c>
      <c r="E88" s="19" t="n">
        <v>23.67</v>
      </c>
      <c r="G88" s="16" t="n">
        <v>44102</v>
      </c>
      <c r="H88" s="19" t="n">
        <v>2.28</v>
      </c>
    </row>
    <row r="89">
      <c r="A89" s="16" t="n">
        <v>44103</v>
      </c>
      <c r="B89" s="19" t="n">
        <v>2834.08</v>
      </c>
      <c r="D89" s="16" t="n">
        <v>44103</v>
      </c>
      <c r="E89" s="19" t="n">
        <v>24.85</v>
      </c>
      <c r="G89" s="16" t="n">
        <v>44103</v>
      </c>
      <c r="H89" s="19" t="n">
        <v>2.3</v>
      </c>
    </row>
    <row r="90">
      <c r="A90" s="16" t="n">
        <v>44104</v>
      </c>
      <c r="B90" s="19" t="n">
        <v>2885.14</v>
      </c>
      <c r="D90" s="16" t="n">
        <v>44104</v>
      </c>
      <c r="E90" s="19" t="n">
        <v>23.7</v>
      </c>
      <c r="G90" s="16" t="n">
        <v>44104</v>
      </c>
      <c r="H90" s="19" t="n">
        <v>2.24</v>
      </c>
    </row>
    <row r="91">
      <c r="A91" s="16" t="n">
        <v>44105</v>
      </c>
      <c r="B91" s="19" t="n">
        <v>2915.84</v>
      </c>
      <c r="D91" s="16" t="n">
        <v>44105</v>
      </c>
      <c r="E91" s="19" t="n">
        <v>23.23</v>
      </c>
      <c r="G91" s="16" t="n">
        <v>44105</v>
      </c>
      <c r="H91" s="19" t="n">
        <v>2.22</v>
      </c>
    </row>
    <row r="92">
      <c r="A92" s="16" t="n">
        <v>44106</v>
      </c>
      <c r="B92" s="19" t="n">
        <v>2910.94</v>
      </c>
      <c r="D92" s="16" t="n">
        <v>44106</v>
      </c>
      <c r="E92" s="19" t="n">
        <v>23.93</v>
      </c>
      <c r="G92" s="16" t="n">
        <v>44106</v>
      </c>
      <c r="H92" s="19" t="n">
        <v>2.23</v>
      </c>
    </row>
    <row r="93">
      <c r="A93" s="16" t="n">
        <v>44109</v>
      </c>
      <c r="B93" s="19" t="n">
        <v>2855.51</v>
      </c>
      <c r="D93" s="16" t="n">
        <v>44109</v>
      </c>
      <c r="E93" s="19" t="n">
        <v>24.88</v>
      </c>
      <c r="G93" s="16" t="n">
        <v>44109</v>
      </c>
      <c r="H93" s="19" t="n">
        <v>2.28</v>
      </c>
    </row>
    <row r="94">
      <c r="A94" s="16" t="n">
        <v>44110</v>
      </c>
      <c r="B94" s="19" t="n">
        <v>2853.14</v>
      </c>
      <c r="D94" s="16" t="n">
        <v>44110</v>
      </c>
      <c r="E94" s="19" t="n">
        <v>24.87</v>
      </c>
      <c r="G94" s="16" t="n">
        <v>44110</v>
      </c>
      <c r="H94" s="19" t="n">
        <v>2.27</v>
      </c>
    </row>
    <row r="95">
      <c r="A95" s="16" t="n">
        <v>44111</v>
      </c>
      <c r="B95" s="19" t="n">
        <v>2846.46</v>
      </c>
      <c r="D95" s="16" t="n">
        <v>44111</v>
      </c>
      <c r="E95" s="19" t="n">
        <v>23.76</v>
      </c>
      <c r="G95" s="16" t="n">
        <v>44111</v>
      </c>
      <c r="H95" s="19" t="n">
        <v>2.3</v>
      </c>
    </row>
    <row r="96">
      <c r="A96" s="16" t="n">
        <v>44112</v>
      </c>
      <c r="B96" s="19" t="n">
        <v>2878.82</v>
      </c>
      <c r="D96" s="16" t="n">
        <v>44112</v>
      </c>
      <c r="E96" s="19" t="n">
        <v>22.34</v>
      </c>
      <c r="G96" s="16" t="n">
        <v>44112</v>
      </c>
      <c r="H96" s="19" t="n">
        <v>2.25</v>
      </c>
    </row>
    <row r="97">
      <c r="A97" s="16" t="n">
        <v>44113</v>
      </c>
      <c r="B97" s="19" t="n">
        <v>2886.82</v>
      </c>
      <c r="D97" s="16" t="n">
        <v>44113</v>
      </c>
      <c r="E97" s="19" t="n">
        <v>21.34</v>
      </c>
      <c r="G97" s="16" t="n">
        <v>44113</v>
      </c>
      <c r="H97" s="19" t="n">
        <v>2.23</v>
      </c>
    </row>
    <row r="98">
      <c r="A98" s="16" t="n">
        <v>44116</v>
      </c>
      <c r="B98" s="19" t="n">
        <v>2883.86</v>
      </c>
      <c r="D98" s="16" t="n">
        <v>44116</v>
      </c>
      <c r="E98" s="19" t="n">
        <v>21.18</v>
      </c>
      <c r="G98" s="16" t="n">
        <v>44116</v>
      </c>
      <c r="H98" s="19" t="inlineStr">
        <is>
          <t>.</t>
        </is>
      </c>
    </row>
    <row r="99">
      <c r="A99" s="16" t="n">
        <v>44117</v>
      </c>
      <c r="B99" s="19" t="n">
        <v>2904.95</v>
      </c>
      <c r="D99" s="16" t="n">
        <v>44117</v>
      </c>
      <c r="E99" s="19" t="n">
        <v>20.83</v>
      </c>
      <c r="G99" s="16" t="n">
        <v>44117</v>
      </c>
      <c r="H99" s="19" t="n">
        <v>2.26</v>
      </c>
    </row>
    <row r="100">
      <c r="A100" s="16" t="n">
        <v>44118</v>
      </c>
      <c r="B100" s="19" t="n">
        <v>2942.06</v>
      </c>
      <c r="D100" s="16" t="n">
        <v>44118</v>
      </c>
      <c r="E100" s="19" t="n">
        <v>18.77</v>
      </c>
      <c r="G100" s="16" t="n">
        <v>44118</v>
      </c>
      <c r="H100" s="19" t="n">
        <v>2.24</v>
      </c>
    </row>
    <row r="101">
      <c r="A101" s="16" t="n">
        <v>44119</v>
      </c>
      <c r="B101" s="19" t="n">
        <v>2943.39</v>
      </c>
      <c r="D101" s="16" t="n">
        <v>44119</v>
      </c>
      <c r="E101" s="19" t="n">
        <v>19.72</v>
      </c>
      <c r="G101" s="16" t="n">
        <v>44119</v>
      </c>
      <c r="H101" s="19" t="n">
        <v>2.27</v>
      </c>
    </row>
    <row r="102">
      <c r="A102" s="16" t="n">
        <v>44120</v>
      </c>
      <c r="B102" s="19" t="n">
        <v>2956.28</v>
      </c>
      <c r="D102" s="16" t="n">
        <v>44120</v>
      </c>
      <c r="E102" s="19" t="n">
        <v>19.07</v>
      </c>
      <c r="G102" s="16" t="n">
        <v>44120</v>
      </c>
      <c r="H102" s="19" t="n">
        <v>2.27</v>
      </c>
    </row>
    <row r="103">
      <c r="A103" s="16" t="n">
        <v>44123</v>
      </c>
      <c r="B103" s="19" t="n">
        <v>2973.28</v>
      </c>
      <c r="D103" s="16" t="n">
        <v>44123</v>
      </c>
      <c r="E103" s="19" t="n">
        <v>18.44</v>
      </c>
      <c r="G103" s="16" t="n">
        <v>44123</v>
      </c>
      <c r="H103" s="19" t="n">
        <v>2.25</v>
      </c>
    </row>
    <row r="104">
      <c r="A104" s="16" t="n">
        <v>44124</v>
      </c>
      <c r="B104" s="19" t="n">
        <v>2965.83</v>
      </c>
      <c r="D104" s="16" t="n">
        <v>44124</v>
      </c>
      <c r="E104" s="19" t="n">
        <v>18.31</v>
      </c>
      <c r="G104" s="16" t="n">
        <v>44124</v>
      </c>
      <c r="H104" s="19" t="n">
        <v>2.23</v>
      </c>
    </row>
    <row r="105">
      <c r="A105" s="16" t="n">
        <v>44125</v>
      </c>
      <c r="B105" s="19" t="n">
        <v>2990.53</v>
      </c>
      <c r="D105" s="16" t="n">
        <v>44125</v>
      </c>
      <c r="E105" s="19" t="n">
        <v>18</v>
      </c>
      <c r="G105" s="16" t="n">
        <v>44125</v>
      </c>
      <c r="H105" s="19" t="n">
        <v>2.2</v>
      </c>
    </row>
    <row r="106">
      <c r="A106" s="16" t="n">
        <v>44126</v>
      </c>
      <c r="B106" s="19" t="n">
        <v>2968.87</v>
      </c>
      <c r="D106" s="16" t="n">
        <v>44126</v>
      </c>
      <c r="E106" s="19" t="n">
        <v>19.29</v>
      </c>
      <c r="G106" s="16" t="n">
        <v>44126</v>
      </c>
      <c r="H106" s="19" t="n">
        <v>2.23</v>
      </c>
    </row>
    <row r="107">
      <c r="A107" s="16" t="n">
        <v>44127</v>
      </c>
      <c r="B107" s="19" t="n">
        <v>2951.53</v>
      </c>
      <c r="D107" s="16" t="n">
        <v>44127</v>
      </c>
      <c r="E107" s="19" t="n">
        <v>19.48</v>
      </c>
      <c r="G107" s="16" t="n">
        <v>44127</v>
      </c>
      <c r="H107" s="19" t="n">
        <v>2.28</v>
      </c>
    </row>
    <row r="108">
      <c r="A108" s="16" t="n">
        <v>44130</v>
      </c>
      <c r="B108" s="19" t="n">
        <v>2944.73</v>
      </c>
      <c r="D108" s="16" t="n">
        <v>44130</v>
      </c>
      <c r="E108" s="19" t="n">
        <v>19.67</v>
      </c>
      <c r="G108" s="16" t="n">
        <v>44130</v>
      </c>
      <c r="H108" s="19" t="n">
        <v>2.29</v>
      </c>
    </row>
    <row r="109">
      <c r="A109" s="16" t="n">
        <v>44131</v>
      </c>
      <c r="B109" s="19" t="n">
        <v>2965.87</v>
      </c>
      <c r="D109" s="16" t="n">
        <v>44131</v>
      </c>
      <c r="E109" s="19" t="n">
        <v>18.7</v>
      </c>
      <c r="G109" s="16" t="n">
        <v>44131</v>
      </c>
      <c r="H109" s="19" t="n">
        <v>2.28</v>
      </c>
    </row>
    <row r="110">
      <c r="A110" s="16" t="n">
        <v>44132</v>
      </c>
      <c r="B110" s="19" t="n">
        <v>3048.06</v>
      </c>
      <c r="D110" s="16" t="n">
        <v>44132</v>
      </c>
      <c r="E110" s="19" t="n">
        <v>16.77</v>
      </c>
      <c r="G110" s="16" t="n">
        <v>44132</v>
      </c>
      <c r="H110" s="19" t="n">
        <v>2.18</v>
      </c>
    </row>
    <row r="111">
      <c r="A111" s="16" t="n">
        <v>44133</v>
      </c>
      <c r="B111" s="19" t="n">
        <v>3063.31</v>
      </c>
      <c r="D111" s="16" t="n">
        <v>44133</v>
      </c>
      <c r="E111" s="19" t="n">
        <v>16.2</v>
      </c>
      <c r="G111" s="16" t="n">
        <v>44133</v>
      </c>
      <c r="H111" s="19" t="n">
        <v>2.19</v>
      </c>
    </row>
    <row r="112">
      <c r="A112" s="16" t="n">
        <v>44134</v>
      </c>
      <c r="B112" s="19" t="n">
        <v>3070.28</v>
      </c>
      <c r="D112" s="16" t="n">
        <v>44134</v>
      </c>
      <c r="E112" s="19" t="n">
        <v>16.51</v>
      </c>
      <c r="G112" s="16" t="n">
        <v>44134</v>
      </c>
      <c r="H112" s="19" t="n">
        <v>2.19</v>
      </c>
    </row>
    <row r="113">
      <c r="A113" s="16" t="n">
        <v>44137</v>
      </c>
      <c r="B113" s="19" t="n">
        <v>3040.39</v>
      </c>
      <c r="D113" s="16" t="n">
        <v>44137</v>
      </c>
      <c r="E113" s="19" t="n">
        <v>17.52</v>
      </c>
      <c r="G113" s="16" t="n">
        <v>44137</v>
      </c>
      <c r="H113" s="19" t="n">
        <v>2.21</v>
      </c>
    </row>
    <row r="114">
      <c r="A114" s="16" t="n">
        <v>44138</v>
      </c>
      <c r="B114" s="19" t="n">
        <v>3021.26</v>
      </c>
      <c r="D114" s="16" t="n">
        <v>44138</v>
      </c>
      <c r="E114" s="19" t="n">
        <v>17.85</v>
      </c>
      <c r="G114" s="16" t="n">
        <v>44138</v>
      </c>
      <c r="H114" s="19" t="n">
        <v>2.23</v>
      </c>
    </row>
    <row r="115">
      <c r="A115" s="16" t="n">
        <v>44139</v>
      </c>
      <c r="B115" s="19" t="n">
        <v>2997.41</v>
      </c>
      <c r="D115" s="16" t="n">
        <v>44139</v>
      </c>
      <c r="E115" s="19" t="n">
        <v>18.42</v>
      </c>
      <c r="G115" s="16" t="n">
        <v>44139</v>
      </c>
      <c r="H115" s="19" t="n">
        <v>2.22</v>
      </c>
    </row>
    <row r="116">
      <c r="A116" s="16" t="n">
        <v>44140</v>
      </c>
      <c r="B116" s="19" t="n">
        <v>2968.53</v>
      </c>
      <c r="D116" s="16" t="n">
        <v>44140</v>
      </c>
      <c r="E116" s="19" t="n">
        <v>18</v>
      </c>
      <c r="G116" s="16" t="n">
        <v>44140</v>
      </c>
      <c r="H116" s="19" t="n">
        <v>2.22</v>
      </c>
    </row>
    <row r="117">
      <c r="A117" s="16" t="n">
        <v>44141</v>
      </c>
      <c r="B117" s="19" t="n">
        <v>2951.28</v>
      </c>
      <c r="D117" s="16" t="n">
        <v>44141</v>
      </c>
      <c r="E117" s="19" t="n">
        <v>18.51</v>
      </c>
      <c r="G117" s="16" t="n">
        <v>44141</v>
      </c>
      <c r="H117" s="19" t="n">
        <v>2.21</v>
      </c>
    </row>
    <row r="118">
      <c r="A118" s="16" t="n">
        <v>44144</v>
      </c>
      <c r="B118" s="19" t="n">
        <v>2950.93</v>
      </c>
      <c r="D118" s="16" t="n">
        <v>44144</v>
      </c>
      <c r="E118" s="19" t="n">
        <v>18.27</v>
      </c>
      <c r="G118" s="16" t="n">
        <v>44144</v>
      </c>
      <c r="H118" s="19" t="n">
        <v>2.21</v>
      </c>
    </row>
    <row r="119">
      <c r="A119" s="16" t="n">
        <v>44145</v>
      </c>
      <c r="B119" s="19" t="n">
        <v>2943.3</v>
      </c>
      <c r="D119" s="16" t="n">
        <v>44145</v>
      </c>
      <c r="E119" s="19" t="n">
        <v>18.39</v>
      </c>
      <c r="G119" s="16" t="n">
        <v>44145</v>
      </c>
      <c r="H119" s="19" t="n">
        <v>2.19</v>
      </c>
    </row>
    <row r="120">
      <c r="A120" s="16" t="n">
        <v>44146</v>
      </c>
      <c r="B120" s="19" t="n">
        <v>2919.58</v>
      </c>
      <c r="D120" s="16" t="n">
        <v>44146</v>
      </c>
      <c r="E120" s="19" t="n">
        <v>19.37</v>
      </c>
      <c r="G120" s="16" t="n">
        <v>44146</v>
      </c>
      <c r="H120" s="19" t="inlineStr">
        <is>
          <t>.</t>
        </is>
      </c>
    </row>
    <row r="121">
      <c r="A121" s="16" t="n">
        <v>44147</v>
      </c>
      <c r="B121" s="19" t="n">
        <v>2910.54</v>
      </c>
      <c r="D121" s="16" t="n">
        <v>44147</v>
      </c>
      <c r="E121" s="19" t="n">
        <v>18.76</v>
      </c>
      <c r="G121" s="16" t="n">
        <v>44147</v>
      </c>
      <c r="H121" s="19" t="n">
        <v>2.21</v>
      </c>
    </row>
    <row r="122">
      <c r="A122" s="16" t="n">
        <v>44148</v>
      </c>
      <c r="B122" s="19" t="n">
        <v>2880.45</v>
      </c>
      <c r="D122" s="16" t="n">
        <v>44148</v>
      </c>
      <c r="E122" s="19" t="n">
        <v>19.49</v>
      </c>
      <c r="G122" s="16" t="n">
        <v>44148</v>
      </c>
      <c r="H122" s="19" t="n">
        <v>2.23</v>
      </c>
    </row>
    <row r="123">
      <c r="A123" s="16" t="n">
        <v>44151</v>
      </c>
      <c r="B123" s="19" t="n">
        <v>2874.77</v>
      </c>
      <c r="D123" s="16" t="n">
        <v>44151</v>
      </c>
      <c r="E123" s="19" t="n">
        <v>20.02</v>
      </c>
      <c r="G123" s="16" t="n">
        <v>44151</v>
      </c>
      <c r="H123" s="19" t="n">
        <v>2.25</v>
      </c>
    </row>
    <row r="124">
      <c r="A124" s="16" t="n">
        <v>44152</v>
      </c>
      <c r="B124" s="19" t="n">
        <v>2834.2</v>
      </c>
      <c r="D124" s="16" t="n">
        <v>44152</v>
      </c>
      <c r="E124" s="19" t="n">
        <v>20.8</v>
      </c>
      <c r="G124" s="16" t="n">
        <v>44152</v>
      </c>
      <c r="H124" s="19" t="n">
        <v>2.24</v>
      </c>
    </row>
    <row r="125">
      <c r="A125" s="16" t="n">
        <v>44153</v>
      </c>
      <c r="B125" s="19" t="n">
        <v>2847.09</v>
      </c>
      <c r="D125" s="16" t="n">
        <v>44153</v>
      </c>
      <c r="E125" s="19" t="n">
        <v>20.23</v>
      </c>
      <c r="G125" s="16" t="n">
        <v>44153</v>
      </c>
      <c r="H125" s="19" t="n">
        <v>2.2</v>
      </c>
    </row>
    <row r="126">
      <c r="A126" s="16" t="n">
        <v>44154</v>
      </c>
      <c r="B126" s="19" t="n">
        <v>2851.11</v>
      </c>
      <c r="D126" s="16" t="n">
        <v>44154</v>
      </c>
      <c r="E126" s="19" t="n">
        <v>19.74</v>
      </c>
      <c r="G126" s="16" t="n">
        <v>44154</v>
      </c>
      <c r="H126" s="19" t="n">
        <v>2.19</v>
      </c>
    </row>
    <row r="127">
      <c r="A127" s="16" t="n">
        <v>44155</v>
      </c>
      <c r="B127" s="19" t="n">
        <v>2849.39</v>
      </c>
      <c r="D127" s="16" t="n">
        <v>44155</v>
      </c>
      <c r="E127" s="19" t="n">
        <v>20.29</v>
      </c>
      <c r="G127" s="16" t="n">
        <v>44155</v>
      </c>
      <c r="H127" s="19" t="n">
        <v>2.2</v>
      </c>
    </row>
    <row r="128">
      <c r="A128" s="16" t="n">
        <v>44158</v>
      </c>
      <c r="B128" s="19" t="n">
        <v>2829.49</v>
      </c>
      <c r="D128" s="16" t="n">
        <v>44158</v>
      </c>
      <c r="E128" s="19" t="n">
        <v>21.77</v>
      </c>
      <c r="G128" s="16" t="n">
        <v>44158</v>
      </c>
      <c r="H128" s="19" t="n">
        <v>2.21</v>
      </c>
    </row>
    <row r="129">
      <c r="A129" s="16" t="n">
        <v>44159</v>
      </c>
      <c r="B129" s="19" t="n">
        <v>2815.56</v>
      </c>
      <c r="D129" s="16" t="n">
        <v>44159</v>
      </c>
      <c r="E129" s="19" t="n">
        <v>21.62</v>
      </c>
      <c r="G129" s="16" t="n">
        <v>44159</v>
      </c>
      <c r="H129" s="19" t="n">
        <v>2.19</v>
      </c>
    </row>
    <row r="130">
      <c r="A130" s="16" t="n">
        <v>44160</v>
      </c>
      <c r="B130" s="19" t="n">
        <v>2775.19</v>
      </c>
      <c r="D130" s="16" t="n">
        <v>44160</v>
      </c>
      <c r="E130" s="19" t="n">
        <v>22.87</v>
      </c>
      <c r="G130" s="16" t="n">
        <v>44160</v>
      </c>
      <c r="H130" s="19" t="n">
        <v>2.2</v>
      </c>
    </row>
    <row r="131">
      <c r="A131" s="16" t="n">
        <v>44161</v>
      </c>
      <c r="B131" s="19" t="inlineStr">
        <is>
          <t>.</t>
        </is>
      </c>
      <c r="D131" s="16" t="n">
        <v>44161</v>
      </c>
      <c r="E131" s="19" t="inlineStr"/>
      <c r="G131" s="16" t="n">
        <v>44161</v>
      </c>
      <c r="H131" s="19" t="inlineStr">
        <is>
          <t>.</t>
        </is>
      </c>
    </row>
    <row r="132">
      <c r="A132" s="16" t="n">
        <v>44162</v>
      </c>
      <c r="B132" s="19" t="n">
        <v>2772.17</v>
      </c>
      <c r="D132" s="16" t="n">
        <v>44162</v>
      </c>
      <c r="E132" s="19" t="n">
        <v>21.91</v>
      </c>
      <c r="G132" s="16" t="n">
        <v>44162</v>
      </c>
      <c r="H132" s="19" t="n">
        <v>2.23</v>
      </c>
    </row>
    <row r="133">
      <c r="A133" s="16" t="n">
        <v>44165</v>
      </c>
      <c r="B133" s="19" t="n">
        <v>2758.05</v>
      </c>
      <c r="D133" s="16" t="n">
        <v>44165</v>
      </c>
      <c r="E133" s="19" t="n">
        <v>22.07</v>
      </c>
      <c r="G133" s="16" t="n">
        <v>44165</v>
      </c>
      <c r="H133" s="19" t="n">
        <v>2.26</v>
      </c>
    </row>
    <row r="134">
      <c r="A134" s="16" t="n">
        <v>44166</v>
      </c>
      <c r="B134" s="19" t="n">
        <v>2733.59</v>
      </c>
      <c r="D134" s="16" t="n">
        <v>44166</v>
      </c>
      <c r="E134" s="19" t="n">
        <v>23.28</v>
      </c>
      <c r="G134" s="16" t="n">
        <v>44166</v>
      </c>
      <c r="H134" s="19" t="n">
        <v>2.28</v>
      </c>
    </row>
    <row r="135">
      <c r="A135" s="16" t="n">
        <v>44167</v>
      </c>
      <c r="B135" s="19" t="n">
        <v>2772.34</v>
      </c>
      <c r="D135" s="16" t="n">
        <v>44167</v>
      </c>
      <c r="E135" s="19" t="n">
        <v>22.11</v>
      </c>
      <c r="G135" s="16" t="n">
        <v>44167</v>
      </c>
      <c r="H135" s="19" t="n">
        <v>2.25</v>
      </c>
    </row>
    <row r="136">
      <c r="A136" s="16" t="n">
        <v>44168</v>
      </c>
      <c r="B136" s="19" t="n">
        <v>2819.32</v>
      </c>
      <c r="D136" s="16" t="n">
        <v>44168</v>
      </c>
      <c r="E136" s="19" t="n">
        <v>20.95</v>
      </c>
      <c r="G136" s="16" t="n">
        <v>44168</v>
      </c>
      <c r="H136" s="19" t="n">
        <v>2.23</v>
      </c>
    </row>
    <row r="137">
      <c r="A137" s="16" t="n">
        <v>44169</v>
      </c>
      <c r="B137" s="19" t="n">
        <v>2787.31</v>
      </c>
      <c r="D137" s="16" t="n">
        <v>44169</v>
      </c>
      <c r="E137" s="19" t="n">
        <v>21.96</v>
      </c>
      <c r="G137" s="16" t="n">
        <v>44169</v>
      </c>
      <c r="H137" s="19" t="n">
        <v>2.25</v>
      </c>
    </row>
    <row r="138">
      <c r="A138" s="16" t="n">
        <v>44172</v>
      </c>
      <c r="B138" s="19" t="n">
        <v>2772.06</v>
      </c>
      <c r="D138" s="16" t="n">
        <v>44172</v>
      </c>
      <c r="E138" s="19" t="n">
        <v>21.94</v>
      </c>
      <c r="G138" s="16" t="n">
        <v>44172</v>
      </c>
      <c r="H138" s="19" t="n">
        <v>2.28</v>
      </c>
    </row>
    <row r="139">
      <c r="A139" s="16" t="n">
        <v>44173</v>
      </c>
      <c r="B139" s="19" t="n">
        <v>2775.26</v>
      </c>
      <c r="D139" s="16" t="n">
        <v>44173</v>
      </c>
      <c r="E139" s="19" t="n">
        <v>22.09</v>
      </c>
      <c r="G139" s="16" t="n">
        <v>44173</v>
      </c>
      <c r="H139" s="19" t="n">
        <v>2.26</v>
      </c>
    </row>
    <row r="140">
      <c r="A140" s="16" t="n">
        <v>44174</v>
      </c>
      <c r="B140" s="19" t="n">
        <v>2765.5</v>
      </c>
      <c r="D140" s="16" t="n">
        <v>44174</v>
      </c>
      <c r="E140" s="19" t="n">
        <v>22.71</v>
      </c>
      <c r="G140" s="16" t="n">
        <v>44174</v>
      </c>
      <c r="H140" s="19" t="n">
        <v>2.27</v>
      </c>
    </row>
    <row r="141">
      <c r="A141" s="16" t="n">
        <v>44175</v>
      </c>
      <c r="B141" s="19" t="n">
        <v>2810.96</v>
      </c>
      <c r="D141" s="16" t="n">
        <v>44175</v>
      </c>
      <c r="E141" s="19" t="n">
        <v>21.83</v>
      </c>
      <c r="G141" s="16" t="n">
        <v>44175</v>
      </c>
      <c r="H141" s="19" t="n">
        <v>2.23</v>
      </c>
    </row>
    <row r="142">
      <c r="A142" s="16" t="n">
        <v>44176</v>
      </c>
      <c r="B142" s="19" t="n">
        <v>2792.59</v>
      </c>
      <c r="D142" s="16" t="n">
        <v>44176</v>
      </c>
      <c r="E142" s="19" t="n">
        <v>21.84</v>
      </c>
      <c r="G142" s="16" t="n">
        <v>44176</v>
      </c>
      <c r="H142" s="19" t="n">
        <v>2.26</v>
      </c>
    </row>
    <row r="143">
      <c r="A143" s="16" t="n">
        <v>44179</v>
      </c>
      <c r="B143" s="19" t="n">
        <v>2761.95</v>
      </c>
      <c r="D143" s="16" t="n">
        <v>44179</v>
      </c>
      <c r="E143" s="19" t="n">
        <v>23.02</v>
      </c>
      <c r="G143" s="16" t="n">
        <v>44179</v>
      </c>
      <c r="H143" s="19" t="n">
        <v>2.29</v>
      </c>
    </row>
    <row r="144">
      <c r="A144" s="16" t="n">
        <v>44180</v>
      </c>
      <c r="B144" s="19" t="n">
        <v>2711.42</v>
      </c>
      <c r="D144" s="16" t="n">
        <v>44180</v>
      </c>
      <c r="E144" s="19" t="n">
        <v>24.38</v>
      </c>
      <c r="G144" s="16" t="n">
        <v>44180</v>
      </c>
      <c r="H144" s="19" t="n">
        <v>2.35</v>
      </c>
    </row>
    <row r="145">
      <c r="A145" s="16" t="n">
        <v>44181</v>
      </c>
      <c r="B145" s="19" t="n">
        <v>2731.52</v>
      </c>
      <c r="D145" s="16" t="n">
        <v>44181</v>
      </c>
      <c r="E145" s="19" t="n">
        <v>23.51</v>
      </c>
      <c r="G145" s="16" t="n">
        <v>44181</v>
      </c>
      <c r="H145" s="19" t="n">
        <v>2.37</v>
      </c>
    </row>
    <row r="146">
      <c r="A146" s="16" t="n">
        <v>44182</v>
      </c>
      <c r="B146" s="19" t="n">
        <v>2765.45</v>
      </c>
      <c r="D146" s="16" t="n">
        <v>44182</v>
      </c>
      <c r="E146" s="19" t="n">
        <v>22.44</v>
      </c>
      <c r="G146" s="16" t="n">
        <v>44182</v>
      </c>
      <c r="H146" s="19" t="n">
        <v>2.3</v>
      </c>
    </row>
    <row r="147">
      <c r="A147" s="16" t="n">
        <v>44183</v>
      </c>
      <c r="B147" s="19" t="n">
        <v>2772.15</v>
      </c>
      <c r="D147" s="16" t="n">
        <v>44183</v>
      </c>
      <c r="E147" s="19" t="n">
        <v>22.5</v>
      </c>
      <c r="G147" s="16" t="n">
        <v>44183</v>
      </c>
      <c r="H147" s="19" t="n">
        <v>2.31</v>
      </c>
    </row>
    <row r="148">
      <c r="A148" s="16" t="n">
        <v>44186</v>
      </c>
      <c r="B148" s="19" t="n">
        <v>2764.33</v>
      </c>
      <c r="D148" s="16" t="n">
        <v>44186</v>
      </c>
      <c r="E148" s="19" t="n">
        <v>23.91</v>
      </c>
      <c r="G148" s="16" t="n">
        <v>44186</v>
      </c>
      <c r="H148" s="19" t="n">
        <v>2.32</v>
      </c>
    </row>
    <row r="149">
      <c r="A149" s="16" t="n">
        <v>44187</v>
      </c>
      <c r="B149" s="19" t="n">
        <v>2779.3</v>
      </c>
      <c r="D149" s="16" t="n">
        <v>44187</v>
      </c>
      <c r="E149" s="19" t="n">
        <v>23.31</v>
      </c>
      <c r="G149" s="16" t="n">
        <v>44187</v>
      </c>
      <c r="H149" s="19" t="n">
        <v>2.34</v>
      </c>
    </row>
    <row r="150">
      <c r="A150" s="16" t="n">
        <v>44188</v>
      </c>
      <c r="B150" s="19" t="n">
        <v>2788.64</v>
      </c>
      <c r="D150" s="16" t="n">
        <v>44188</v>
      </c>
      <c r="E150" s="19" t="n">
        <v>22.51</v>
      </c>
      <c r="G150" s="16" t="n">
        <v>44188</v>
      </c>
      <c r="H150" s="19" t="n">
        <v>2.32</v>
      </c>
    </row>
    <row r="151">
      <c r="A151" s="16" t="n">
        <v>44189</v>
      </c>
      <c r="B151" s="19" t="n">
        <v>2763.8</v>
      </c>
      <c r="D151" s="16" t="n">
        <v>44189</v>
      </c>
      <c r="E151" s="19" t="n">
        <v>21.71</v>
      </c>
      <c r="G151" s="16" t="n">
        <v>44189</v>
      </c>
      <c r="H151" s="19" t="n">
        <v>2.34</v>
      </c>
    </row>
    <row r="152">
      <c r="A152" s="16" t="n">
        <v>44190</v>
      </c>
      <c r="B152" s="19" t="inlineStr">
        <is>
          <t>.</t>
        </is>
      </c>
      <c r="D152" s="16" t="n">
        <v>44190</v>
      </c>
      <c r="E152" s="19" t="inlineStr"/>
      <c r="G152" s="16" t="n">
        <v>44190</v>
      </c>
      <c r="H152" s="19" t="inlineStr">
        <is>
          <t>.</t>
        </is>
      </c>
    </row>
    <row r="153">
      <c r="A153" s="16" t="n">
        <v>44193</v>
      </c>
      <c r="B153" s="19" t="n">
        <v>2777.82</v>
      </c>
      <c r="D153" s="16" t="n">
        <v>44193</v>
      </c>
      <c r="E153" s="19" t="n">
        <v>19.97</v>
      </c>
      <c r="G153" s="16" t="n">
        <v>44193</v>
      </c>
      <c r="H153" s="19" t="n">
        <v>2.31</v>
      </c>
    </row>
    <row r="154">
      <c r="A154" s="16" t="n">
        <v>44194</v>
      </c>
      <c r="B154" s="19" t="n">
        <v>2798.91</v>
      </c>
      <c r="D154" s="16" t="n">
        <v>44194</v>
      </c>
      <c r="E154" s="19" t="n">
        <v>20.49</v>
      </c>
      <c r="G154" s="16" t="n">
        <v>44194</v>
      </c>
      <c r="H154" s="19" t="n">
        <v>2.28</v>
      </c>
    </row>
    <row r="155">
      <c r="A155" s="16" t="n">
        <v>44195</v>
      </c>
      <c r="B155" s="19" t="n">
        <v>2813.26</v>
      </c>
      <c r="D155" s="16" t="n">
        <v>44195</v>
      </c>
      <c r="E155" s="19" t="n">
        <v>19.43</v>
      </c>
      <c r="G155" s="16" t="n">
        <v>44195</v>
      </c>
      <c r="H155" s="19" t="n">
        <v>2.28</v>
      </c>
    </row>
    <row r="156">
      <c r="A156" s="16" t="n">
        <v>44196</v>
      </c>
      <c r="B156" s="19" t="n">
        <v>2836.79</v>
      </c>
      <c r="D156" s="16" t="n">
        <v>44196</v>
      </c>
      <c r="E156" s="19" t="n">
        <v>18.04</v>
      </c>
      <c r="G156" s="16" t="n">
        <v>44196</v>
      </c>
      <c r="H156" s="19" t="n">
        <v>2.26</v>
      </c>
    </row>
    <row r="157">
      <c r="A157" s="16" t="n">
        <v>44197</v>
      </c>
      <c r="B157" s="19" t="inlineStr">
        <is>
          <t>.</t>
        </is>
      </c>
      <c r="D157" s="16" t="n">
        <v>44197</v>
      </c>
      <c r="E157" s="19" t="inlineStr"/>
      <c r="G157" s="16" t="n">
        <v>44197</v>
      </c>
      <c r="H157" s="19" t="inlineStr">
        <is>
          <t>.</t>
        </is>
      </c>
    </row>
    <row r="158">
      <c r="A158" s="16" t="n">
        <v>44200</v>
      </c>
      <c r="B158" s="19" t="n">
        <v>2787.47</v>
      </c>
      <c r="D158" s="16" t="n">
        <v>44200</v>
      </c>
      <c r="E158" s="19" t="n">
        <v>18.57</v>
      </c>
      <c r="G158" s="16" t="n">
        <v>44200</v>
      </c>
      <c r="H158" s="19" t="n">
        <v>2.27</v>
      </c>
    </row>
    <row r="159">
      <c r="A159" s="16" t="n">
        <v>44201</v>
      </c>
      <c r="B159" s="19" t="n">
        <v>2780.09</v>
      </c>
      <c r="D159" s="16" t="n">
        <v>44201</v>
      </c>
      <c r="E159" s="19" t="n">
        <v>18.71</v>
      </c>
      <c r="G159" s="16" t="n">
        <v>44201</v>
      </c>
      <c r="H159" s="19" t="n">
        <v>2.23</v>
      </c>
    </row>
    <row r="160">
      <c r="A160" s="16" t="n">
        <v>44202</v>
      </c>
      <c r="B160" s="19" t="n">
        <v>2763.33</v>
      </c>
      <c r="D160" s="16" t="n">
        <v>44202</v>
      </c>
      <c r="E160" s="19" t="n">
        <v>20.19</v>
      </c>
      <c r="G160" s="16" t="n">
        <v>44202</v>
      </c>
      <c r="H160" s="19" t="n">
        <v>2.24</v>
      </c>
    </row>
    <row r="161">
      <c r="A161" s="16" t="n">
        <v>44203</v>
      </c>
      <c r="B161" s="19" t="n">
        <v>2727.22</v>
      </c>
      <c r="D161" s="16" t="n">
        <v>44203</v>
      </c>
      <c r="E161" s="19" t="n">
        <v>21.55</v>
      </c>
      <c r="G161" s="16" t="n">
        <v>44203</v>
      </c>
      <c r="H161" s="19" t="n">
        <v>2.26</v>
      </c>
    </row>
    <row r="162">
      <c r="A162" s="16" t="n">
        <v>44204</v>
      </c>
      <c r="B162" s="19" t="n">
        <v>2762.28</v>
      </c>
      <c r="D162" s="16" t="n">
        <v>44204</v>
      </c>
      <c r="E162" s="19" t="n">
        <v>20.98</v>
      </c>
      <c r="G162" s="16" t="n">
        <v>44204</v>
      </c>
      <c r="H162" s="19" t="n">
        <v>2.21</v>
      </c>
    </row>
    <row r="163">
      <c r="A163" s="16" t="n">
        <v>44207</v>
      </c>
      <c r="B163" s="19" t="n">
        <v>2763.92</v>
      </c>
      <c r="D163" s="16" t="n">
        <v>44207</v>
      </c>
      <c r="E163" s="19" t="n">
        <v>20.7</v>
      </c>
      <c r="G163" s="16" t="n">
        <v>44207</v>
      </c>
      <c r="H163" s="19" t="n">
        <v>2.2</v>
      </c>
    </row>
    <row r="164">
      <c r="A164" s="16" t="n">
        <v>44208</v>
      </c>
      <c r="B164" s="19" t="n">
        <v>2744.24</v>
      </c>
      <c r="D164" s="16" t="n">
        <v>44208</v>
      </c>
      <c r="E164" s="19" t="n">
        <v>21.52</v>
      </c>
      <c r="G164" s="16" t="n">
        <v>44208</v>
      </c>
      <c r="H164" s="19" t="n">
        <v>2.21</v>
      </c>
    </row>
    <row r="165">
      <c r="A165" s="16" t="n">
        <v>44209</v>
      </c>
      <c r="B165" s="19" t="n">
        <v>2770.71</v>
      </c>
      <c r="D165" s="16" t="n">
        <v>44209</v>
      </c>
      <c r="E165" s="19" t="n">
        <v>19.7</v>
      </c>
      <c r="G165" s="16" t="n">
        <v>44209</v>
      </c>
      <c r="H165" s="19" t="n">
        <v>2.16</v>
      </c>
    </row>
    <row r="166">
      <c r="A166" s="16" t="n">
        <v>44210</v>
      </c>
      <c r="B166" s="19" t="n">
        <v>2810.32</v>
      </c>
      <c r="D166" s="16" t="n">
        <v>44210</v>
      </c>
      <c r="E166" s="19" t="n">
        <v>18.73</v>
      </c>
      <c r="G166" s="16" t="n">
        <v>44210</v>
      </c>
      <c r="H166" s="19" t="n">
        <v>2.09</v>
      </c>
    </row>
    <row r="167">
      <c r="A167" s="16" t="n">
        <v>44211</v>
      </c>
      <c r="B167" s="19" t="n">
        <v>2779.91</v>
      </c>
      <c r="D167" s="16" t="n">
        <v>44211</v>
      </c>
      <c r="E167" s="19" t="n">
        <v>20.19</v>
      </c>
      <c r="G167" s="16" t="n">
        <v>44211</v>
      </c>
      <c r="H167" s="19" t="n">
        <v>2.1</v>
      </c>
    </row>
    <row r="168">
      <c r="A168" s="16" t="n">
        <v>44214</v>
      </c>
      <c r="B168" s="19" t="n">
        <v>2797.43</v>
      </c>
      <c r="D168" s="16" t="n">
        <v>44214</v>
      </c>
      <c r="E168" s="19" t="n">
        <v>19.75</v>
      </c>
      <c r="G168" s="16" t="n">
        <v>44214</v>
      </c>
      <c r="H168" s="19" t="n">
        <v>2.09</v>
      </c>
    </row>
    <row r="169">
      <c r="A169" s="16" t="n">
        <v>44215</v>
      </c>
      <c r="B169" s="19" t="n">
        <v>2803.67</v>
      </c>
      <c r="D169" s="16" t="n">
        <v>44215</v>
      </c>
      <c r="E169" s="19" t="n">
        <v>19.4</v>
      </c>
      <c r="G169" s="16" t="n">
        <v>44215</v>
      </c>
      <c r="H169" s="19" t="n">
        <v>2.08</v>
      </c>
    </row>
    <row r="170">
      <c r="A170" s="16" t="n">
        <v>44216</v>
      </c>
      <c r="B170" s="19" t="n">
        <v>2823.32</v>
      </c>
      <c r="D170" s="16" t="n">
        <v>44216</v>
      </c>
      <c r="E170" s="19" t="n">
        <v>17.14</v>
      </c>
      <c r="G170" s="16" t="n">
        <v>44216</v>
      </c>
      <c r="H170" s="19" t="n">
        <v>2.06</v>
      </c>
    </row>
    <row r="171">
      <c r="A171" s="16" t="n">
        <v>44217</v>
      </c>
      <c r="B171" s="19" t="n">
        <v>2826.97</v>
      </c>
      <c r="D171" s="16" t="n">
        <v>44217</v>
      </c>
      <c r="E171" s="19" t="n">
        <v>17.22</v>
      </c>
      <c r="G171" s="16" t="n">
        <v>44217</v>
      </c>
      <c r="H171" s="19" t="n">
        <v>2.11</v>
      </c>
    </row>
    <row r="172">
      <c r="A172" s="16" t="n">
        <v>44218</v>
      </c>
      <c r="B172" s="19" t="n">
        <v>2882.89</v>
      </c>
      <c r="D172" s="16" t="n">
        <v>44218</v>
      </c>
      <c r="E172" s="19" t="n">
        <v>14.32</v>
      </c>
      <c r="G172" s="16" t="n">
        <v>44218</v>
      </c>
      <c r="H172" s="19" t="n">
        <v>2.08</v>
      </c>
    </row>
    <row r="173">
      <c r="A173" s="16" t="n">
        <v>44221</v>
      </c>
      <c r="B173" s="19" t="n">
        <v>2899.04</v>
      </c>
      <c r="D173" s="16" t="n">
        <v>44221</v>
      </c>
      <c r="E173" s="19" t="n">
        <v>14.08</v>
      </c>
      <c r="G173" s="16" t="n">
        <v>44221</v>
      </c>
      <c r="H173" s="19" t="n">
        <v>2.09</v>
      </c>
    </row>
    <row r="174">
      <c r="A174" s="16" t="n">
        <v>44222</v>
      </c>
      <c r="B174" s="19" t="n">
        <v>2862.27</v>
      </c>
      <c r="D174" s="16" t="n">
        <v>44222</v>
      </c>
      <c r="E174" s="19" t="n">
        <v>15.82</v>
      </c>
      <c r="G174" s="16" t="n">
        <v>44222</v>
      </c>
      <c r="H174" s="19" t="n">
        <v>2.13</v>
      </c>
    </row>
    <row r="175">
      <c r="A175" s="16" t="n">
        <v>44223</v>
      </c>
      <c r="B175" s="19" t="n">
        <v>2922.35</v>
      </c>
      <c r="D175" s="16" t="n">
        <v>44223</v>
      </c>
      <c r="E175" s="19" t="n">
        <v>14.34</v>
      </c>
      <c r="G175" s="16" t="n">
        <v>44223</v>
      </c>
      <c r="H175" s="19" t="n">
        <v>2.07</v>
      </c>
    </row>
    <row r="176">
      <c r="A176" s="16" t="n">
        <v>44224</v>
      </c>
      <c r="B176" s="19" t="n">
        <v>2910.58</v>
      </c>
      <c r="D176" s="16" t="n">
        <v>44224</v>
      </c>
      <c r="E176" s="19" t="n">
        <v>14.75</v>
      </c>
      <c r="G176" s="16" t="n">
        <v>44224</v>
      </c>
      <c r="H176" s="19" t="n">
        <v>2.08</v>
      </c>
    </row>
    <row r="177">
      <c r="A177" s="16" t="n">
        <v>44225</v>
      </c>
      <c r="B177" s="19" t="n">
        <v>2885.96</v>
      </c>
      <c r="D177" s="16" t="n">
        <v>44225</v>
      </c>
      <c r="E177" s="19" t="n">
        <v>15.8</v>
      </c>
      <c r="G177" s="16" t="n">
        <v>44225</v>
      </c>
      <c r="H177" s="19" t="n">
        <v>2.12</v>
      </c>
    </row>
    <row r="178">
      <c r="A178" s="16" t="n">
        <v>44228</v>
      </c>
      <c r="B178" s="19" t="n">
        <v>2879.12</v>
      </c>
      <c r="D178" s="16" t="n">
        <v>44228</v>
      </c>
      <c r="E178" s="19" t="n">
        <v>15.84</v>
      </c>
      <c r="G178" s="16" t="n">
        <v>44228</v>
      </c>
      <c r="H178" s="19" t="n">
        <v>2.12</v>
      </c>
    </row>
    <row r="179">
      <c r="A179" s="16" t="n">
        <v>44229</v>
      </c>
      <c r="B179" s="19" t="n">
        <v>2869.38</v>
      </c>
      <c r="D179" s="16" t="n">
        <v>44229</v>
      </c>
      <c r="E179" s="19" t="n">
        <v>16.33</v>
      </c>
      <c r="G179" s="16" t="n">
        <v>44229</v>
      </c>
      <c r="H179" s="19" t="n">
        <v>2.12</v>
      </c>
    </row>
    <row r="180">
      <c r="A180" s="16" t="n">
        <v>44230</v>
      </c>
      <c r="B180" s="19" t="n">
        <v>2832.52</v>
      </c>
      <c r="D180" s="16" t="n">
        <v>44230</v>
      </c>
      <c r="E180" s="19" t="n">
        <v>17.31</v>
      </c>
      <c r="G180" s="16" t="n">
        <v>44230</v>
      </c>
      <c r="H180" s="19" t="n">
        <v>2.17</v>
      </c>
    </row>
    <row r="181">
      <c r="A181" s="16" t="n">
        <v>44231</v>
      </c>
      <c r="B181" s="19" t="n">
        <v>2881.68</v>
      </c>
      <c r="D181" s="16" t="n">
        <v>44231</v>
      </c>
      <c r="E181" s="19" t="n">
        <v>15.77</v>
      </c>
      <c r="G181" s="16" t="n">
        <v>44231</v>
      </c>
      <c r="H181" s="19" t="n">
        <v>2.12</v>
      </c>
    </row>
    <row r="182">
      <c r="A182" s="16" t="n">
        <v>44232</v>
      </c>
      <c r="B182" s="19" t="n">
        <v>2915.52</v>
      </c>
      <c r="D182" s="16" t="n">
        <v>44232</v>
      </c>
      <c r="E182" s="19" t="n">
        <v>15.19</v>
      </c>
      <c r="G182" s="16" t="n">
        <v>44232</v>
      </c>
      <c r="H182" s="19" t="n">
        <v>2.08</v>
      </c>
    </row>
    <row r="183">
      <c r="A183" s="16" t="n">
        <v>44235</v>
      </c>
      <c r="B183" s="19" t="n">
        <v>2905.37</v>
      </c>
      <c r="D183" s="16" t="n">
        <v>44235</v>
      </c>
      <c r="E183" s="19" t="n">
        <v>15.38</v>
      </c>
      <c r="G183" s="16" t="n">
        <v>44235</v>
      </c>
      <c r="H183" s="19" t="n">
        <v>2.12</v>
      </c>
    </row>
    <row r="184">
      <c r="A184" s="16" t="n">
        <v>44236</v>
      </c>
      <c r="B184" s="19" t="n">
        <v>2936.56</v>
      </c>
      <c r="D184" s="16" t="n">
        <v>44236</v>
      </c>
      <c r="E184" s="19" t="n">
        <v>14.92</v>
      </c>
      <c r="G184" s="16" t="n">
        <v>44236</v>
      </c>
      <c r="H184" s="19" t="n">
        <v>2.07</v>
      </c>
    </row>
    <row r="185">
      <c r="A185" s="16" t="n">
        <v>44237</v>
      </c>
      <c r="B185" s="19" t="n">
        <v>2925.26</v>
      </c>
      <c r="D185" s="16" t="n">
        <v>44237</v>
      </c>
      <c r="E185" s="19" t="n">
        <v>14.76</v>
      </c>
      <c r="G185" s="16" t="n">
        <v>44237</v>
      </c>
      <c r="H185" s="19" t="n">
        <v>2.07</v>
      </c>
    </row>
    <row r="186">
      <c r="A186" s="16" t="n">
        <v>44238</v>
      </c>
      <c r="B186" s="19" t="n">
        <v>2990</v>
      </c>
      <c r="D186" s="16" t="n">
        <v>44238</v>
      </c>
      <c r="E186" s="19" t="n">
        <v>13.73</v>
      </c>
      <c r="G186" s="16" t="n">
        <v>44238</v>
      </c>
      <c r="H186" s="19" t="n">
        <v>2.03</v>
      </c>
    </row>
    <row r="187">
      <c r="A187" s="16" t="n">
        <v>44239</v>
      </c>
      <c r="B187" s="19" t="n">
        <v>2993.89</v>
      </c>
      <c r="D187" s="16" t="n">
        <v>44239</v>
      </c>
      <c r="E187" s="19" t="n">
        <v>13.5</v>
      </c>
      <c r="G187" s="16" t="n">
        <v>44239</v>
      </c>
      <c r="H187" s="19" t="n">
        <v>2.05</v>
      </c>
    </row>
    <row r="188">
      <c r="A188" s="16" t="n">
        <v>44242</v>
      </c>
      <c r="B188" s="19" t="n">
        <v>2989.71</v>
      </c>
      <c r="D188" s="16" t="n">
        <v>44242</v>
      </c>
      <c r="E188" s="19" t="n">
        <v>13.2</v>
      </c>
      <c r="G188" s="16" t="n">
        <v>44242</v>
      </c>
      <c r="H188" s="19" t="n">
        <v>2.03</v>
      </c>
    </row>
    <row r="189">
      <c r="A189" s="16" t="n">
        <v>44243</v>
      </c>
      <c r="B189" s="19" t="n">
        <v>3039.31</v>
      </c>
      <c r="D189" s="16" t="n">
        <v>44243</v>
      </c>
      <c r="E189" s="19" t="n">
        <v>12.51</v>
      </c>
      <c r="G189" s="16" t="n">
        <v>44243</v>
      </c>
      <c r="H189" s="19" t="n">
        <v>1.98</v>
      </c>
    </row>
    <row r="190">
      <c r="A190" s="16" t="n">
        <v>44244</v>
      </c>
      <c r="B190" s="19" t="n">
        <v>3040.39</v>
      </c>
      <c r="D190" s="16" t="n">
        <v>44244</v>
      </c>
      <c r="E190" s="19" t="n">
        <v>11.5</v>
      </c>
      <c r="G190" s="16" t="n">
        <v>44244</v>
      </c>
      <c r="H190" s="19" t="n">
        <v>2.01</v>
      </c>
    </row>
    <row r="191">
      <c r="A191" s="16" t="n">
        <v>44245</v>
      </c>
      <c r="B191" s="19" t="n">
        <v>3037.96</v>
      </c>
      <c r="D191" s="16" t="n">
        <v>44245</v>
      </c>
      <c r="E191" s="19" t="n">
        <v>12.13</v>
      </c>
      <c r="G191" s="16" t="n">
        <v>44245</v>
      </c>
      <c r="H191" s="19" t="n">
        <v>2.01</v>
      </c>
    </row>
    <row r="192">
      <c r="A192" s="16" t="n">
        <v>44246</v>
      </c>
      <c r="B192" s="19" t="n">
        <v>3005.13</v>
      </c>
      <c r="D192" s="16" t="n">
        <v>44246</v>
      </c>
      <c r="E192" s="19" t="n">
        <v>14.15</v>
      </c>
      <c r="G192" s="16" t="n">
        <v>44246</v>
      </c>
      <c r="H192" s="19" t="n">
        <v>2.06</v>
      </c>
    </row>
    <row r="193">
      <c r="A193" s="16" t="n">
        <v>44249</v>
      </c>
      <c r="B193" s="19" t="n">
        <v>3009.13</v>
      </c>
      <c r="D193" s="16" t="n">
        <v>44249</v>
      </c>
      <c r="E193" s="19" t="n">
        <v>14</v>
      </c>
      <c r="G193" s="16" t="n">
        <v>44249</v>
      </c>
      <c r="H193" s="19" t="n">
        <v>2.02</v>
      </c>
    </row>
    <row r="194">
      <c r="A194" s="16" t="n">
        <v>44250</v>
      </c>
      <c r="B194" s="19" t="n">
        <v>3106.97</v>
      </c>
      <c r="D194" s="16" t="n">
        <v>44250</v>
      </c>
      <c r="E194" s="19" t="n">
        <v>10.43</v>
      </c>
      <c r="G194" s="16" t="n">
        <v>44250</v>
      </c>
      <c r="H194" s="19" t="n">
        <v>1.92</v>
      </c>
    </row>
    <row r="195">
      <c r="A195" s="16" t="n">
        <v>44251</v>
      </c>
      <c r="B195" s="19" t="n">
        <v>3169.11</v>
      </c>
      <c r="D195" s="16" t="n">
        <v>44251</v>
      </c>
      <c r="E195" s="19" t="n">
        <v>9.5</v>
      </c>
      <c r="G195" s="16" t="n">
        <v>44251</v>
      </c>
      <c r="H195" s="19" t="n">
        <v>1.9</v>
      </c>
    </row>
    <row r="196">
      <c r="A196" s="16" t="n">
        <v>44252</v>
      </c>
      <c r="B196" s="19" t="n">
        <v>3176.96</v>
      </c>
      <c r="D196" s="16" t="n">
        <v>44252</v>
      </c>
      <c r="E196" s="19" t="n">
        <v>9.66</v>
      </c>
      <c r="G196" s="16" t="n">
        <v>44252</v>
      </c>
      <c r="H196" s="19" t="n">
        <v>1.91</v>
      </c>
    </row>
    <row r="197">
      <c r="A197" s="16" t="n">
        <v>44253</v>
      </c>
      <c r="B197" s="19" t="n">
        <v>3152.15</v>
      </c>
      <c r="D197" s="16" t="n">
        <v>44253</v>
      </c>
      <c r="E197" s="19" t="n">
        <v>11.55</v>
      </c>
      <c r="G197" s="16" t="n">
        <v>44253</v>
      </c>
      <c r="H197" s="19" t="n">
        <v>1.91</v>
      </c>
    </row>
    <row r="198">
      <c r="A198" s="16" t="n">
        <v>44256</v>
      </c>
      <c r="B198" s="19" t="n">
        <v>3158.67</v>
      </c>
      <c r="D198" s="16" t="n">
        <v>44256</v>
      </c>
      <c r="E198" s="19" t="n">
        <v>12.19</v>
      </c>
      <c r="G198" s="16" t="n">
        <v>44256</v>
      </c>
      <c r="H198" s="19" t="n">
        <v>1.91</v>
      </c>
    </row>
    <row r="199">
      <c r="A199" s="16" t="n">
        <v>44257</v>
      </c>
      <c r="B199" s="19" t="n">
        <v>3201.86</v>
      </c>
      <c r="D199" s="16" t="n">
        <v>44257</v>
      </c>
      <c r="E199" s="19" t="n">
        <v>10.78</v>
      </c>
      <c r="G199" s="16" t="n">
        <v>44257</v>
      </c>
      <c r="H199" s="19" t="n">
        <v>1.86</v>
      </c>
    </row>
    <row r="200">
      <c r="A200" s="16" t="n">
        <v>44258</v>
      </c>
      <c r="B200" s="19" t="n">
        <v>3217.35</v>
      </c>
      <c r="D200" s="16" t="n">
        <v>44258</v>
      </c>
      <c r="E200" s="19" t="n">
        <v>10.27</v>
      </c>
      <c r="G200" s="16" t="n">
        <v>44258</v>
      </c>
      <c r="H200" s="19" t="n">
        <v>1.86</v>
      </c>
    </row>
    <row r="201">
      <c r="A201" s="16" t="n">
        <v>44259</v>
      </c>
      <c r="B201" s="19" t="n">
        <v>3212.63</v>
      </c>
      <c r="D201" s="16" t="n">
        <v>44259</v>
      </c>
      <c r="E201" s="19" t="n">
        <v>10.38</v>
      </c>
      <c r="G201" s="16" t="n">
        <v>44259</v>
      </c>
      <c r="H201" s="19" t="n">
        <v>1.86</v>
      </c>
    </row>
    <row r="202">
      <c r="A202" s="16" t="n">
        <v>44260</v>
      </c>
      <c r="B202" s="19" t="n">
        <v>3191.08</v>
      </c>
      <c r="D202" s="16" t="n">
        <v>44260</v>
      </c>
      <c r="E202" s="19" t="n">
        <v>11.36</v>
      </c>
      <c r="G202" s="16" t="n">
        <v>44260</v>
      </c>
      <c r="H202" s="19" t="n">
        <v>1.89</v>
      </c>
    </row>
    <row r="203">
      <c r="A203" s="16" t="n">
        <v>44263</v>
      </c>
      <c r="B203" s="19" t="n">
        <v>3108</v>
      </c>
      <c r="D203" s="16" t="n">
        <v>44263</v>
      </c>
      <c r="E203" s="19" t="n">
        <v>14.01</v>
      </c>
      <c r="G203" s="16" t="n">
        <v>44263</v>
      </c>
      <c r="H203" s="19" t="n">
        <v>1.95</v>
      </c>
    </row>
    <row r="204">
      <c r="A204" s="16" t="n">
        <v>44264</v>
      </c>
      <c r="B204" s="19" t="n">
        <v>3116.19</v>
      </c>
      <c r="D204" s="16" t="n">
        <v>44264</v>
      </c>
      <c r="E204" s="19" t="n">
        <v>13.3</v>
      </c>
      <c r="G204" s="16" t="n">
        <v>44264</v>
      </c>
      <c r="H204" s="19" t="n">
        <v>1.94</v>
      </c>
    </row>
    <row r="205">
      <c r="A205" s="16" t="n">
        <v>44265</v>
      </c>
      <c r="B205" s="19" t="n">
        <v>3167.21</v>
      </c>
      <c r="D205" s="16" t="n">
        <v>44265</v>
      </c>
      <c r="E205" s="19" t="n">
        <v>12.24</v>
      </c>
      <c r="G205" s="16" t="n">
        <v>44265</v>
      </c>
      <c r="H205" s="19" t="n">
        <v>1.94</v>
      </c>
    </row>
    <row r="206">
      <c r="A206" s="16" t="n">
        <v>44266</v>
      </c>
      <c r="B206" s="19" t="n">
        <v>3151.29</v>
      </c>
      <c r="D206" s="16" t="n">
        <v>44266</v>
      </c>
      <c r="E206" s="19" t="n">
        <v>13.38</v>
      </c>
      <c r="G206" s="16" t="n">
        <v>44266</v>
      </c>
      <c r="H206" s="19" t="n">
        <v>1.96</v>
      </c>
    </row>
    <row r="207">
      <c r="A207" s="16" t="n">
        <v>44267</v>
      </c>
      <c r="B207" s="19" t="n">
        <v>3142.68</v>
      </c>
      <c r="D207" s="16" t="n">
        <v>44267</v>
      </c>
      <c r="E207" s="19" t="n">
        <v>14.03</v>
      </c>
      <c r="G207" s="16" t="n">
        <v>44267</v>
      </c>
      <c r="H207" s="19" t="n">
        <v>1.94</v>
      </c>
    </row>
    <row r="208">
      <c r="A208" s="16" t="n">
        <v>44270</v>
      </c>
      <c r="B208" s="19" t="n">
        <v>3153.04</v>
      </c>
      <c r="D208" s="16" t="n">
        <v>44270</v>
      </c>
      <c r="E208" s="19" t="n">
        <v>13.07</v>
      </c>
      <c r="G208" s="16" t="n">
        <v>44270</v>
      </c>
      <c r="H208" s="19" t="n">
        <v>1.92</v>
      </c>
    </row>
    <row r="209">
      <c r="A209" s="16" t="n">
        <v>44271</v>
      </c>
      <c r="B209" s="19" t="n">
        <v>3170.63</v>
      </c>
      <c r="D209" s="16" t="n">
        <v>44271</v>
      </c>
      <c r="E209" s="19" t="n">
        <v>13.62</v>
      </c>
      <c r="G209" s="16" t="n">
        <v>44271</v>
      </c>
      <c r="H209" s="19" t="n">
        <v>1.89</v>
      </c>
    </row>
    <row r="210">
      <c r="A210" s="16" t="n">
        <v>44272</v>
      </c>
      <c r="B210" s="19" t="n">
        <v>3132.26</v>
      </c>
      <c r="D210" s="16" t="n">
        <v>44272</v>
      </c>
      <c r="E210" s="19" t="n">
        <v>15.48</v>
      </c>
      <c r="G210" s="16" t="n">
        <v>44272</v>
      </c>
      <c r="H210" s="19" t="n">
        <v>1.92</v>
      </c>
    </row>
    <row r="211">
      <c r="A211" s="16" t="n">
        <v>44273</v>
      </c>
      <c r="B211" s="19" t="n">
        <v>3060.93</v>
      </c>
      <c r="D211" s="16" t="n">
        <v>44273</v>
      </c>
      <c r="E211" s="19" t="n">
        <v>17.91</v>
      </c>
      <c r="G211" s="16" t="n">
        <v>44273</v>
      </c>
      <c r="H211" s="19" t="n">
        <v>1.96</v>
      </c>
    </row>
    <row r="212">
      <c r="A212" s="16" t="n">
        <v>44274</v>
      </c>
      <c r="B212" s="19" t="n">
        <v>3075.95</v>
      </c>
      <c r="D212" s="16" t="n">
        <v>44274</v>
      </c>
      <c r="E212" s="19" t="n">
        <v>18.07</v>
      </c>
      <c r="G212" s="16" t="n">
        <v>44274</v>
      </c>
      <c r="H212" s="19" t="n">
        <v>1.91</v>
      </c>
    </row>
    <row r="213">
      <c r="A213" s="16" t="n">
        <v>44277</v>
      </c>
      <c r="B213" s="19" t="n">
        <v>3085.19</v>
      </c>
      <c r="D213" s="16" t="n">
        <v>44277</v>
      </c>
      <c r="E213" s="19" t="n">
        <v>15.85</v>
      </c>
      <c r="G213" s="16" t="n">
        <v>44277</v>
      </c>
      <c r="H213" s="19" t="n">
        <v>1.9</v>
      </c>
    </row>
    <row r="214">
      <c r="A214" s="16" t="n">
        <v>44278</v>
      </c>
      <c r="B214" s="19" t="n">
        <v>3124.3</v>
      </c>
      <c r="D214" s="16" t="n">
        <v>44278</v>
      </c>
      <c r="E214" s="19" t="n">
        <v>14.58</v>
      </c>
      <c r="G214" s="16" t="n">
        <v>44278</v>
      </c>
      <c r="H214" s="19" t="n">
        <v>1.84</v>
      </c>
    </row>
    <row r="215">
      <c r="A215" s="16" t="n">
        <v>44279</v>
      </c>
      <c r="B215" s="19" t="n">
        <v>3161.77</v>
      </c>
      <c r="D215" s="16" t="n">
        <v>44279</v>
      </c>
      <c r="E215" s="19" t="n">
        <v>13.5</v>
      </c>
      <c r="G215" s="16" t="n">
        <v>44279</v>
      </c>
      <c r="H215" s="19" t="n">
        <v>1.81</v>
      </c>
    </row>
    <row r="216">
      <c r="A216" s="16" t="n">
        <v>44280</v>
      </c>
      <c r="B216" s="19" t="n">
        <v>3124.85</v>
      </c>
      <c r="D216" s="16" t="n">
        <v>44280</v>
      </c>
      <c r="E216" s="19" t="n">
        <v>14.67</v>
      </c>
      <c r="G216" s="16" t="n">
        <v>44280</v>
      </c>
      <c r="H216" s="19" t="n">
        <v>1.81</v>
      </c>
    </row>
    <row r="217">
      <c r="A217" s="16" t="n">
        <v>44281</v>
      </c>
      <c r="B217" s="19" t="n">
        <v>3104.71</v>
      </c>
      <c r="D217" s="16" t="n">
        <v>44281</v>
      </c>
      <c r="E217" s="19" t="n">
        <v>14.87</v>
      </c>
      <c r="G217" s="16" t="n">
        <v>44281</v>
      </c>
      <c r="H217" s="19" t="n">
        <v>1.83</v>
      </c>
    </row>
    <row r="218">
      <c r="A218" s="16" t="n">
        <v>44284</v>
      </c>
      <c r="B218" s="19" t="n">
        <v>3111.26</v>
      </c>
      <c r="D218" s="16" t="n">
        <v>44284</v>
      </c>
      <c r="E218" s="19" t="n">
        <v>15.01</v>
      </c>
      <c r="G218" s="16" t="n">
        <v>44284</v>
      </c>
      <c r="H218" s="19" t="n">
        <v>1.83</v>
      </c>
    </row>
    <row r="219">
      <c r="A219" s="16" t="n">
        <v>44285</v>
      </c>
      <c r="B219" s="19" t="n">
        <v>3115.45</v>
      </c>
      <c r="D219" s="16" t="n">
        <v>44285</v>
      </c>
      <c r="E219" s="19" t="n">
        <v>14.68</v>
      </c>
      <c r="G219" s="16" t="n">
        <v>44285</v>
      </c>
      <c r="H219" s="19" t="n">
        <v>1.83</v>
      </c>
    </row>
    <row r="220">
      <c r="A220" s="16" t="n">
        <v>44286</v>
      </c>
      <c r="B220" s="19" t="n">
        <v>3076.15</v>
      </c>
      <c r="D220" s="16" t="n">
        <v>44286</v>
      </c>
      <c r="E220" s="19" t="n">
        <v>16.47</v>
      </c>
      <c r="G220" s="16" t="n">
        <v>44286</v>
      </c>
      <c r="H220" s="19" t="n">
        <v>1.83</v>
      </c>
    </row>
    <row r="221">
      <c r="A221" s="16" t="n">
        <v>44287</v>
      </c>
      <c r="B221" s="19" t="n">
        <v>3063.23</v>
      </c>
      <c r="D221" s="16" t="n">
        <v>44287</v>
      </c>
      <c r="E221" s="19" t="n">
        <v>15.96</v>
      </c>
      <c r="G221" s="16" t="n">
        <v>44287</v>
      </c>
      <c r="H221" s="19" t="n">
        <v>1.84</v>
      </c>
    </row>
    <row r="222">
      <c r="A222" s="16" t="n">
        <v>44288</v>
      </c>
      <c r="B222" s="19" t="n">
        <v>3027.64</v>
      </c>
      <c r="D222" s="16" t="n">
        <v>44288</v>
      </c>
      <c r="E222" s="19" t="n">
        <v>16.7</v>
      </c>
      <c r="G222" s="16" t="n">
        <v>44288</v>
      </c>
      <c r="H222" s="19" t="n">
        <v>1.86</v>
      </c>
    </row>
    <row r="223">
      <c r="A223" s="16" t="n">
        <v>44291</v>
      </c>
      <c r="B223" s="19" t="n">
        <v>3018.71</v>
      </c>
      <c r="D223" s="16" t="n">
        <v>44291</v>
      </c>
      <c r="E223" s="19" t="n">
        <v>17.13</v>
      </c>
      <c r="G223" s="16" t="n">
        <v>44291</v>
      </c>
      <c r="H223" s="19" t="n">
        <v>1.86</v>
      </c>
    </row>
    <row r="224">
      <c r="A224" s="16" t="n">
        <v>44292</v>
      </c>
      <c r="B224" s="19" t="n">
        <v>3069.37</v>
      </c>
      <c r="D224" s="16" t="n">
        <v>44292</v>
      </c>
      <c r="E224" s="19" t="n">
        <v>15.35</v>
      </c>
      <c r="G224" s="16" t="n">
        <v>44292</v>
      </c>
      <c r="H224" s="19" t="n">
        <v>1.83</v>
      </c>
    </row>
    <row r="225">
      <c r="A225" s="16" t="n">
        <v>44293</v>
      </c>
      <c r="B225" s="19" t="n">
        <v>3046</v>
      </c>
      <c r="D225" s="16" t="n">
        <v>44293</v>
      </c>
      <c r="E225" s="19" t="n">
        <v>15.19</v>
      </c>
      <c r="G225" s="16" t="n">
        <v>44293</v>
      </c>
      <c r="H225" s="19" t="n">
        <v>1.87</v>
      </c>
    </row>
    <row r="226">
      <c r="A226" s="16" t="n">
        <v>44294</v>
      </c>
      <c r="B226" s="19" t="n">
        <v>3047.19</v>
      </c>
      <c r="D226" s="16" t="n">
        <v>44294</v>
      </c>
      <c r="E226" s="19" t="n">
        <v>15.12</v>
      </c>
      <c r="G226" s="16" t="n">
        <v>44294</v>
      </c>
      <c r="H226" s="19" t="n">
        <v>1.85</v>
      </c>
    </row>
    <row r="227">
      <c r="A227" s="16" t="n">
        <v>44295</v>
      </c>
      <c r="B227" s="19" t="n">
        <v>3060.36</v>
      </c>
      <c r="D227" s="16" t="n">
        <v>44295</v>
      </c>
      <c r="E227" s="19" t="n">
        <v>14.97</v>
      </c>
      <c r="G227" s="16" t="n">
        <v>44295</v>
      </c>
      <c r="H227" s="19" t="n">
        <v>1.84</v>
      </c>
    </row>
    <row r="228">
      <c r="A228" s="16" t="n">
        <v>44298</v>
      </c>
      <c r="B228" s="19" t="n">
        <v>3060.15</v>
      </c>
      <c r="D228" s="16" t="n">
        <v>44298</v>
      </c>
      <c r="E228" s="19" t="n">
        <v>14.78</v>
      </c>
      <c r="G228" s="16" t="n">
        <v>44298</v>
      </c>
      <c r="H228" s="19" t="n">
        <v>1.84</v>
      </c>
    </row>
    <row r="229">
      <c r="A229" s="16" t="n">
        <v>44299</v>
      </c>
      <c r="B229" s="19" t="n">
        <v>3072.42</v>
      </c>
      <c r="D229" s="16" t="n">
        <v>44299</v>
      </c>
      <c r="E229" s="19" t="n">
        <v>14.29</v>
      </c>
      <c r="G229" s="16" t="n">
        <v>44299</v>
      </c>
      <c r="H229" s="19" t="n">
        <v>1.82</v>
      </c>
    </row>
    <row r="230">
      <c r="A230" s="16" t="n">
        <v>44300</v>
      </c>
      <c r="B230" s="19" t="n">
        <v>3057.93</v>
      </c>
      <c r="D230" s="16" t="n">
        <v>44300</v>
      </c>
      <c r="E230" s="19" t="n">
        <v>14.52</v>
      </c>
      <c r="G230" s="16" t="n">
        <v>44300</v>
      </c>
      <c r="H230" s="19" t="n">
        <v>1.81</v>
      </c>
    </row>
    <row r="231">
      <c r="A231" s="16" t="n">
        <v>44301</v>
      </c>
      <c r="B231" s="19" t="n">
        <v>3020.11</v>
      </c>
      <c r="D231" s="16" t="n">
        <v>44301</v>
      </c>
      <c r="E231" s="19" t="n">
        <v>15.96</v>
      </c>
      <c r="G231" s="16" t="n">
        <v>44301</v>
      </c>
      <c r="H231" s="19" t="n">
        <v>1.86</v>
      </c>
    </row>
    <row r="232">
      <c r="A232" s="16" t="n">
        <v>44302</v>
      </c>
      <c r="B232" s="19" t="n">
        <v>3037.58</v>
      </c>
      <c r="D232" s="16" t="n">
        <v>44302</v>
      </c>
      <c r="E232" s="19" t="n">
        <v>15.54</v>
      </c>
      <c r="G232" s="16" t="n">
        <v>44302</v>
      </c>
      <c r="H232" s="19" t="n">
        <v>1.85</v>
      </c>
    </row>
    <row r="233">
      <c r="A233" s="16" t="n">
        <v>44305</v>
      </c>
      <c r="B233" s="19" t="n">
        <v>3059.46</v>
      </c>
      <c r="D233" s="16" t="n">
        <v>44305</v>
      </c>
      <c r="E233" s="19" t="n">
        <v>16.49</v>
      </c>
      <c r="G233" s="16" t="n">
        <v>44305</v>
      </c>
      <c r="H233" s="19" t="n">
        <v>1.84</v>
      </c>
    </row>
    <row r="234">
      <c r="A234" s="16" t="n">
        <v>44306</v>
      </c>
      <c r="B234" s="19" t="n">
        <v>3007.48</v>
      </c>
      <c r="D234" s="16" t="n">
        <v>44306</v>
      </c>
      <c r="E234" s="19" t="n">
        <v>17.72</v>
      </c>
      <c r="G234" s="16" t="n">
        <v>44306</v>
      </c>
      <c r="H234" s="19" t="n">
        <v>1.86</v>
      </c>
    </row>
    <row r="235">
      <c r="A235" s="16" t="n">
        <v>44307</v>
      </c>
      <c r="B235" s="19" t="n">
        <v>3032.63</v>
      </c>
      <c r="D235" s="16" t="n">
        <v>44307</v>
      </c>
      <c r="E235" s="19" t="n">
        <v>17.19</v>
      </c>
      <c r="G235" s="16" t="n">
        <v>44307</v>
      </c>
      <c r="H235" s="19" t="n">
        <v>1.86</v>
      </c>
    </row>
    <row r="236">
      <c r="A236" s="16" t="n">
        <v>44308</v>
      </c>
      <c r="B236" s="19" t="n">
        <v>3063.38</v>
      </c>
      <c r="D236" s="16" t="n">
        <v>44308</v>
      </c>
      <c r="E236" s="19" t="n">
        <v>15.86</v>
      </c>
      <c r="G236" s="16" t="n">
        <v>44308</v>
      </c>
      <c r="H236" s="19" t="n">
        <v>1.82</v>
      </c>
    </row>
    <row r="237">
      <c r="A237" s="16" t="n">
        <v>44309</v>
      </c>
      <c r="B237" s="19" t="n">
        <v>3061.73</v>
      </c>
      <c r="D237" s="16" t="n">
        <v>44309</v>
      </c>
      <c r="E237" s="19" t="n">
        <v>16.29</v>
      </c>
      <c r="G237" s="16" t="n">
        <v>44309</v>
      </c>
      <c r="H237" s="19" t="n">
        <v>1.78</v>
      </c>
    </row>
    <row r="238">
      <c r="A238" s="16" t="n">
        <v>44312</v>
      </c>
      <c r="B238" s="19" t="n">
        <v>3074.9</v>
      </c>
      <c r="D238" s="16" t="n">
        <v>44312</v>
      </c>
      <c r="E238" s="19" t="n">
        <v>15.46</v>
      </c>
      <c r="G238" s="16" t="n">
        <v>44312</v>
      </c>
      <c r="H238" s="19" t="n">
        <v>1.81</v>
      </c>
    </row>
    <row r="239">
      <c r="A239" s="16" t="n">
        <v>44313</v>
      </c>
      <c r="B239" s="19" t="n">
        <v>3022.97</v>
      </c>
      <c r="D239" s="16" t="n">
        <v>44313</v>
      </c>
      <c r="E239" s="19" t="n">
        <v>18.05</v>
      </c>
      <c r="G239" s="16" t="n">
        <v>44313</v>
      </c>
      <c r="H239" s="19" t="n">
        <v>1.86</v>
      </c>
    </row>
    <row r="240">
      <c r="A240" s="16" t="n">
        <v>44314</v>
      </c>
      <c r="B240" s="19" t="n">
        <v>3022.91</v>
      </c>
      <c r="D240" s="16" t="n">
        <v>44314</v>
      </c>
      <c r="E240" s="19" t="n">
        <v>18.27</v>
      </c>
      <c r="G240" s="16" t="n">
        <v>44314</v>
      </c>
      <c r="H240" s="19" t="n">
        <v>1.88</v>
      </c>
    </row>
    <row r="241">
      <c r="A241" s="16" t="n">
        <v>44315</v>
      </c>
      <c r="B241" s="19" t="n">
        <v>3035.55</v>
      </c>
      <c r="D241" s="16" t="n">
        <v>44315</v>
      </c>
      <c r="E241" s="19" t="n">
        <v>19.27</v>
      </c>
      <c r="G241" s="16" t="n">
        <v>44315</v>
      </c>
      <c r="H241" s="19" t="n">
        <v>1.9</v>
      </c>
    </row>
    <row r="242">
      <c r="A242" s="16" t="n">
        <v>44316</v>
      </c>
      <c r="B242" s="19" t="n">
        <v>3059.56</v>
      </c>
      <c r="D242" s="16" t="n">
        <v>44316</v>
      </c>
      <c r="E242" s="19" t="n">
        <v>18.96</v>
      </c>
      <c r="G242" s="16" t="n">
        <v>44316</v>
      </c>
      <c r="H242" s="19" t="n">
        <v>1.89</v>
      </c>
    </row>
    <row r="243">
      <c r="A243" s="16" t="n">
        <v>44319</v>
      </c>
      <c r="B243" s="19" t="n">
        <v>3071.07</v>
      </c>
      <c r="D243" s="16" t="n">
        <v>44319</v>
      </c>
      <c r="E243" s="19" t="n">
        <v>19.51</v>
      </c>
      <c r="G243" s="16" t="n">
        <v>44319</v>
      </c>
      <c r="H243" s="19" t="n">
        <v>1.86</v>
      </c>
    </row>
    <row r="244">
      <c r="A244" s="16" t="n">
        <v>44320</v>
      </c>
      <c r="B244" s="19" t="n">
        <v>3050.9</v>
      </c>
      <c r="D244" s="16" t="n">
        <v>44320</v>
      </c>
      <c r="E244" s="19" t="n">
        <v>19.43</v>
      </c>
      <c r="G244" s="16" t="n">
        <v>44320</v>
      </c>
      <c r="H244" s="19" t="n">
        <v>1.87</v>
      </c>
    </row>
    <row r="245">
      <c r="A245" s="16" t="n">
        <v>44321</v>
      </c>
      <c r="B245" s="19" t="n">
        <v>3071.8</v>
      </c>
      <c r="D245" s="16" t="n">
        <v>44321</v>
      </c>
      <c r="E245" s="19" t="n">
        <v>18.24</v>
      </c>
      <c r="G245" s="16" t="n">
        <v>44321</v>
      </c>
      <c r="H245" s="19" t="n">
        <v>1.82</v>
      </c>
    </row>
    <row r="246">
      <c r="A246" s="16" t="n">
        <v>44322</v>
      </c>
      <c r="B246" s="19" t="n">
        <v>3032.08</v>
      </c>
      <c r="D246" s="16" t="n">
        <v>44322</v>
      </c>
      <c r="E246" s="19" t="n">
        <v>18.9</v>
      </c>
      <c r="G246" s="16" t="n">
        <v>44322</v>
      </c>
      <c r="H246" s="19" t="n">
        <v>1.86</v>
      </c>
    </row>
    <row r="247">
      <c r="A247" s="16" t="n">
        <v>44323</v>
      </c>
      <c r="B247" s="19" t="n">
        <v>3031.33</v>
      </c>
      <c r="D247" s="16" t="n">
        <v>44323</v>
      </c>
      <c r="E247" s="19" t="n">
        <v>17.8</v>
      </c>
      <c r="G247" s="16" t="n">
        <v>44323</v>
      </c>
      <c r="H247" s="19" t="n">
        <v>1.87</v>
      </c>
    </row>
    <row r="248">
      <c r="A248" s="16" t="n">
        <v>44326</v>
      </c>
      <c r="B248" s="19" t="n">
        <v>3044.52</v>
      </c>
      <c r="D248" s="16" t="n">
        <v>44326</v>
      </c>
      <c r="E248" s="19" t="n">
        <v>17.34</v>
      </c>
      <c r="G248" s="16" t="n">
        <v>44326</v>
      </c>
      <c r="H248" s="19" t="n">
        <v>1.9</v>
      </c>
    </row>
    <row r="249">
      <c r="A249" s="16" t="n">
        <v>44327</v>
      </c>
      <c r="B249" s="19" t="n">
        <v>3030.87</v>
      </c>
      <c r="D249" s="16" t="n">
        <v>44327</v>
      </c>
      <c r="E249" s="19" t="n">
        <v>16.52</v>
      </c>
      <c r="G249" s="16" t="n">
        <v>44327</v>
      </c>
      <c r="H249" s="19" t="n">
        <v>1.91</v>
      </c>
    </row>
    <row r="250">
      <c r="A250" s="16" t="n">
        <v>44328</v>
      </c>
      <c r="B250" s="19" t="n">
        <v>3055.11</v>
      </c>
      <c r="D250" s="16" t="n">
        <v>44328</v>
      </c>
      <c r="E250" s="19" t="n">
        <v>16.82</v>
      </c>
      <c r="G250" s="16" t="n">
        <v>44328</v>
      </c>
      <c r="H250" s="19" t="n">
        <v>1.89</v>
      </c>
    </row>
    <row r="251">
      <c r="A251" s="16" t="n">
        <v>44329</v>
      </c>
      <c r="B251" s="19" t="n">
        <v>3110.77</v>
      </c>
      <c r="D251" s="16" t="n">
        <v>44329</v>
      </c>
      <c r="E251" s="19" t="n">
        <v>14.95</v>
      </c>
      <c r="G251" s="16" t="n">
        <v>44329</v>
      </c>
      <c r="H251" s="19" t="n">
        <v>1.86</v>
      </c>
    </row>
    <row r="252">
      <c r="A252" s="16" t="n">
        <v>44330</v>
      </c>
      <c r="B252" s="19" t="n">
        <v>3120.39</v>
      </c>
      <c r="D252" s="16" t="n">
        <v>44330</v>
      </c>
      <c r="E252" s="19" t="n">
        <v>13.96</v>
      </c>
      <c r="G252" s="16" t="n">
        <v>44330</v>
      </c>
      <c r="H252" s="19" t="n">
        <v>1.85</v>
      </c>
    </row>
    <row r="253">
      <c r="A253" s="16" t="n">
        <v>44333</v>
      </c>
      <c r="B253" s="19" t="n">
        <v>3133.06</v>
      </c>
      <c r="D253" s="16" t="n">
        <v>44333</v>
      </c>
      <c r="E253" s="19" t="n">
        <v>13.69</v>
      </c>
      <c r="G253" s="16" t="n">
        <v>44333</v>
      </c>
      <c r="H253" s="19" t="n">
        <v>1.83</v>
      </c>
    </row>
    <row r="254">
      <c r="A254" s="16" t="n">
        <v>44334</v>
      </c>
      <c r="B254" s="19" t="n">
        <v>3117.13</v>
      </c>
      <c r="D254" s="16" t="n">
        <v>44334</v>
      </c>
      <c r="E254" s="19" t="n">
        <v>14.16</v>
      </c>
      <c r="G254" s="16" t="n">
        <v>44334</v>
      </c>
      <c r="H254" s="19" t="n">
        <v>1.86</v>
      </c>
    </row>
    <row r="255">
      <c r="A255" s="16" t="n">
        <v>44335</v>
      </c>
      <c r="B255" s="19" t="n">
        <v>3167.08</v>
      </c>
      <c r="D255" s="16" t="n">
        <v>44335</v>
      </c>
      <c r="E255" s="19" t="n">
        <v>11.36</v>
      </c>
      <c r="G255" s="16" t="n">
        <v>44335</v>
      </c>
      <c r="H255" s="19" t="n">
        <v>1.83</v>
      </c>
    </row>
    <row r="256">
      <c r="A256" s="16" t="n">
        <v>44336</v>
      </c>
      <c r="B256" s="19" t="n">
        <v>3092.13</v>
      </c>
      <c r="D256" s="16" t="n">
        <v>44336</v>
      </c>
      <c r="E256" s="19" t="n">
        <v>13.19</v>
      </c>
      <c r="G256" s="16" t="n">
        <v>44336</v>
      </c>
      <c r="H256" s="19" t="n">
        <v>1.9</v>
      </c>
    </row>
    <row r="257">
      <c r="A257" s="16" t="n">
        <v>44337</v>
      </c>
      <c r="B257" s="19" t="n">
        <v>3076.35</v>
      </c>
      <c r="D257" s="16" t="n">
        <v>44337</v>
      </c>
      <c r="E257" s="19" t="n">
        <v>13.19</v>
      </c>
      <c r="G257" s="16" t="n">
        <v>44337</v>
      </c>
      <c r="H257" s="19" t="n">
        <v>1.9</v>
      </c>
    </row>
    <row r="258">
      <c r="A258" s="16" t="n">
        <v>44340</v>
      </c>
      <c r="B258" s="19" t="n">
        <v>3066.8</v>
      </c>
      <c r="D258" s="16" t="n">
        <v>44340</v>
      </c>
      <c r="E258" s="19" t="n">
        <v>12.59</v>
      </c>
      <c r="G258" s="16" t="n">
        <v>44340</v>
      </c>
      <c r="H258" s="19" t="n">
        <v>1.93</v>
      </c>
    </row>
    <row r="259">
      <c r="A259" s="16" t="n">
        <v>44341</v>
      </c>
      <c r="B259" s="19" t="n">
        <v>3030.89</v>
      </c>
      <c r="D259" s="16" t="n">
        <v>44341</v>
      </c>
      <c r="E259" s="19" t="n">
        <v>13.17</v>
      </c>
      <c r="G259" s="16" t="n">
        <v>44341</v>
      </c>
      <c r="H259" s="19" t="n">
        <v>1.95</v>
      </c>
    </row>
    <row r="260">
      <c r="A260" s="16" t="n">
        <v>44342</v>
      </c>
      <c r="B260" s="19" t="n">
        <v>3061.96</v>
      </c>
      <c r="D260" s="16" t="n">
        <v>44342</v>
      </c>
      <c r="E260" s="19" t="n">
        <v>12.35</v>
      </c>
      <c r="G260" s="16" t="n">
        <v>44342</v>
      </c>
      <c r="H260" s="19" t="n">
        <v>1.89</v>
      </c>
    </row>
    <row r="261">
      <c r="A261" s="16" t="n">
        <v>44343</v>
      </c>
      <c r="B261" s="19" t="n">
        <v>3079.95</v>
      </c>
      <c r="D261" s="16" t="n">
        <v>44343</v>
      </c>
      <c r="E261" s="19" t="n">
        <v>13.53</v>
      </c>
      <c r="G261" s="16" t="n">
        <v>44343</v>
      </c>
      <c r="H261" s="19" t="n">
        <v>1.9</v>
      </c>
    </row>
    <row r="262">
      <c r="A262" s="16" t="n">
        <v>44344</v>
      </c>
      <c r="B262" s="19" t="n">
        <v>3082.18</v>
      </c>
      <c r="D262" s="16" t="n">
        <v>44344</v>
      </c>
      <c r="E262" s="19" t="n">
        <v>13.59</v>
      </c>
      <c r="G262" s="16" t="n">
        <v>44344</v>
      </c>
      <c r="H262" s="19" t="n">
        <v>1.85</v>
      </c>
    </row>
    <row r="263">
      <c r="A263" s="16" t="n">
        <v>44347</v>
      </c>
      <c r="B263" s="19" t="n">
        <v>3064.42</v>
      </c>
      <c r="D263" s="16" t="n">
        <v>44347</v>
      </c>
      <c r="E263" s="19" t="n">
        <v>14.99</v>
      </c>
      <c r="G263" s="16" t="n">
        <v>44347</v>
      </c>
      <c r="H263" s="19" t="n">
        <v>1.88</v>
      </c>
    </row>
    <row r="264">
      <c r="A264" s="16" t="n">
        <v>44348</v>
      </c>
      <c r="B264" s="19" t="n">
        <v>3078.28</v>
      </c>
      <c r="D264" s="16" t="n">
        <v>44348</v>
      </c>
      <c r="E264" s="19" t="n">
        <v>15.23</v>
      </c>
      <c r="G264" s="16" t="n">
        <v>44348</v>
      </c>
      <c r="H264" s="19" t="n">
        <v>1.84</v>
      </c>
    </row>
    <row r="265">
      <c r="A265" s="16" t="n">
        <v>44349</v>
      </c>
      <c r="B265" s="19" t="n">
        <v>3106.69</v>
      </c>
      <c r="D265" s="16" t="n">
        <v>44349</v>
      </c>
      <c r="E265" s="19" t="n">
        <v>14.85</v>
      </c>
      <c r="G265" s="16" t="n">
        <v>44349</v>
      </c>
      <c r="H265" s="19" t="n">
        <v>1.83</v>
      </c>
    </row>
    <row r="266">
      <c r="A266" s="16" t="n">
        <v>44350</v>
      </c>
      <c r="B266" s="19" t="n">
        <v>3073.05</v>
      </c>
      <c r="D266" s="16" t="n">
        <v>44350</v>
      </c>
      <c r="E266" s="19" t="n">
        <v>16.72</v>
      </c>
      <c r="G266" s="16" t="n">
        <v>44350</v>
      </c>
      <c r="H266" s="19" t="n">
        <v>1.82</v>
      </c>
    </row>
    <row r="267">
      <c r="A267" s="16" t="n">
        <v>44351</v>
      </c>
      <c r="B267" s="19" t="n">
        <v>3076.95</v>
      </c>
      <c r="D267" s="16" t="n">
        <v>44351</v>
      </c>
      <c r="E267" s="19" t="n">
        <v>17.38</v>
      </c>
      <c r="G267" s="16" t="n">
        <v>44351</v>
      </c>
      <c r="H267" s="19" t="n">
        <v>1.81</v>
      </c>
    </row>
    <row r="268">
      <c r="A268" s="16" t="n">
        <v>44354</v>
      </c>
      <c r="B268" s="19" t="n">
        <v>3049.33</v>
      </c>
      <c r="D268" s="16" t="n">
        <v>44354</v>
      </c>
      <c r="E268" s="19" t="n">
        <v>18.33</v>
      </c>
      <c r="G268" s="16" t="n">
        <v>44354</v>
      </c>
      <c r="H268" s="19" t="n">
        <v>1.84</v>
      </c>
    </row>
    <row r="269">
      <c r="A269" s="16" t="n">
        <v>44355</v>
      </c>
      <c r="B269" s="19" t="n">
        <v>3045.49</v>
      </c>
      <c r="D269" s="16" t="n">
        <v>44355</v>
      </c>
      <c r="E269" s="19" t="n">
        <v>17.69</v>
      </c>
      <c r="G269" s="16" t="n">
        <v>44355</v>
      </c>
      <c r="H269" s="19" t="n">
        <v>1.84</v>
      </c>
    </row>
    <row r="270">
      <c r="A270" s="16" t="n">
        <v>44356</v>
      </c>
      <c r="B270" s="19" t="n">
        <v>3017.97</v>
      </c>
      <c r="D270" s="16" t="n">
        <v>44356</v>
      </c>
      <c r="E270" s="19" t="n">
        <v>17.35</v>
      </c>
      <c r="G270" s="16" t="n">
        <v>44356</v>
      </c>
      <c r="H270" s="19" t="n">
        <v>1.87</v>
      </c>
    </row>
    <row r="271">
      <c r="A271" s="16" t="n">
        <v>44357</v>
      </c>
      <c r="B271" s="19" t="n">
        <v>3020.93</v>
      </c>
      <c r="D271" s="16" t="n">
        <v>44357</v>
      </c>
      <c r="E271" s="19" t="n">
        <v>17.76</v>
      </c>
      <c r="G271" s="16" t="n">
        <v>44357</v>
      </c>
      <c r="H271" s="19" t="n">
        <v>1.87</v>
      </c>
    </row>
    <row r="272">
      <c r="A272" s="16" t="n">
        <v>44358</v>
      </c>
      <c r="B272" s="19" t="n">
        <v>3022.86</v>
      </c>
      <c r="D272" s="16" t="n">
        <v>44358</v>
      </c>
      <c r="E272" s="19" t="n">
        <v>16.83</v>
      </c>
      <c r="G272" s="16" t="n">
        <v>44358</v>
      </c>
      <c r="H272" s="19" t="n">
        <v>1.88</v>
      </c>
    </row>
    <row r="273">
      <c r="A273" s="16" t="n">
        <v>44361</v>
      </c>
      <c r="B273" s="19" t="n">
        <v>3018.56</v>
      </c>
      <c r="D273" s="16" t="n">
        <v>44361</v>
      </c>
      <c r="E273" s="19" t="n">
        <v>16.07</v>
      </c>
      <c r="G273" s="16" t="n">
        <v>44361</v>
      </c>
      <c r="H273" s="19" t="n">
        <v>1.86</v>
      </c>
    </row>
    <row r="274">
      <c r="A274" s="16" t="n">
        <v>44362</v>
      </c>
      <c r="B274" s="19" t="n">
        <v>3050.81</v>
      </c>
      <c r="D274" s="16" t="n">
        <v>44362</v>
      </c>
      <c r="E274" s="19" t="n">
        <v>15.48</v>
      </c>
      <c r="G274" s="16" t="n">
        <v>44362</v>
      </c>
      <c r="H274" s="19" t="n">
        <v>1.82</v>
      </c>
    </row>
    <row r="275">
      <c r="A275" s="16" t="n">
        <v>44363</v>
      </c>
      <c r="B275" s="19" t="n">
        <v>3074.77</v>
      </c>
      <c r="D275" s="16" t="n">
        <v>44363</v>
      </c>
      <c r="E275" s="19" t="n">
        <v>14.15</v>
      </c>
      <c r="G275" s="16" t="n">
        <v>44363</v>
      </c>
      <c r="H275" s="19" t="n">
        <v>1.82</v>
      </c>
    </row>
    <row r="276">
      <c r="A276" s="16" t="n">
        <v>44364</v>
      </c>
      <c r="B276" s="19" t="n">
        <v>3086.01</v>
      </c>
      <c r="D276" s="16" t="n">
        <v>44364</v>
      </c>
      <c r="E276" s="19" t="n">
        <v>13.74</v>
      </c>
      <c r="G276" s="16" t="n">
        <v>44364</v>
      </c>
      <c r="H276" s="19" t="n">
        <v>1.83</v>
      </c>
    </row>
    <row r="277">
      <c r="A277" s="16" t="n">
        <v>44365</v>
      </c>
      <c r="B277" s="19" t="n">
        <v>3070.03</v>
      </c>
      <c r="D277" s="16" t="n">
        <v>44365</v>
      </c>
      <c r="E277" s="19" t="n">
        <v>13.95</v>
      </c>
      <c r="G277" s="16" t="n">
        <v>44365</v>
      </c>
      <c r="H277" s="19" t="n">
        <v>1.88</v>
      </c>
    </row>
    <row r="278">
      <c r="A278" s="16" t="n">
        <v>44368</v>
      </c>
      <c r="B278" s="19" t="n">
        <v>3086.45</v>
      </c>
      <c r="D278" s="16" t="n">
        <v>44368</v>
      </c>
      <c r="E278" s="19" t="n">
        <v>12.63</v>
      </c>
      <c r="G278" s="16" t="n">
        <v>44368</v>
      </c>
      <c r="H278" s="19" t="n">
        <v>1.87</v>
      </c>
    </row>
    <row r="279">
      <c r="A279" s="16" t="n">
        <v>44369</v>
      </c>
      <c r="B279" s="19" t="n">
        <v>3036.99</v>
      </c>
      <c r="D279" s="16" t="n">
        <v>44369</v>
      </c>
      <c r="E279" s="19" t="n">
        <v>15.28</v>
      </c>
      <c r="G279" s="16" t="n">
        <v>44369</v>
      </c>
      <c r="H279" s="19" t="n">
        <v>1.89</v>
      </c>
    </row>
    <row r="280">
      <c r="A280" s="16" t="n">
        <v>44370</v>
      </c>
      <c r="B280" s="19" t="n">
        <v>3025.69</v>
      </c>
      <c r="D280" s="16" t="n">
        <v>44370</v>
      </c>
      <c r="E280" s="19" t="n">
        <v>15.97</v>
      </c>
      <c r="G280" s="16" t="n">
        <v>44370</v>
      </c>
      <c r="H280" s="19" t="n">
        <v>1.9</v>
      </c>
    </row>
    <row r="281">
      <c r="A281" s="16" t="n">
        <v>44371</v>
      </c>
      <c r="B281" s="19" t="n">
        <v>3000.08</v>
      </c>
      <c r="D281" s="16" t="n">
        <v>44371</v>
      </c>
      <c r="E281" s="19" t="n">
        <v>17.57</v>
      </c>
      <c r="G281" s="16" t="n">
        <v>44371</v>
      </c>
      <c r="H281" s="19" t="n">
        <v>1.92</v>
      </c>
    </row>
    <row r="282">
      <c r="A282" s="16" t="n">
        <v>44372</v>
      </c>
      <c r="B282" s="19" t="n">
        <v>2964.63</v>
      </c>
      <c r="D282" s="16" t="n">
        <v>44372</v>
      </c>
      <c r="E282" s="19" t="n">
        <v>17.72</v>
      </c>
      <c r="G282" s="16" t="n">
        <v>44372</v>
      </c>
      <c r="H282" s="19" t="n">
        <v>1.93</v>
      </c>
    </row>
    <row r="283">
      <c r="A283" s="16" t="n">
        <v>44375</v>
      </c>
      <c r="B283" s="19" t="n">
        <v>2935.91</v>
      </c>
      <c r="D283" s="16" t="n">
        <v>44375</v>
      </c>
      <c r="E283" s="19" t="n">
        <v>18.74</v>
      </c>
      <c r="G283" s="16" t="n">
        <v>44375</v>
      </c>
      <c r="H283" s="19" t="n">
        <v>1.95</v>
      </c>
    </row>
    <row r="284">
      <c r="A284" s="16" t="n">
        <v>44376</v>
      </c>
      <c r="B284" s="19" t="n">
        <v>2919.38</v>
      </c>
      <c r="D284" s="16" t="n">
        <v>44376</v>
      </c>
      <c r="E284" s="19" t="n">
        <v>19.04</v>
      </c>
      <c r="G284" s="16" t="n">
        <v>44376</v>
      </c>
      <c r="H284" s="19" t="n">
        <v>1.98</v>
      </c>
    </row>
    <row r="285">
      <c r="A285" s="16" t="n">
        <v>44377</v>
      </c>
      <c r="B285" s="19" t="n">
        <v>2895.19</v>
      </c>
      <c r="D285" s="16" t="n">
        <v>44377</v>
      </c>
      <c r="E285" s="19" t="n">
        <v>18.79</v>
      </c>
      <c r="G285" s="16" t="n">
        <v>44377</v>
      </c>
      <c r="H285" s="19" t="n">
        <v>1.99</v>
      </c>
    </row>
    <row r="286">
      <c r="A286" s="16" t="n">
        <v>44378</v>
      </c>
      <c r="B286" s="19" t="n">
        <v>2923.87</v>
      </c>
      <c r="D286" s="16" t="n">
        <v>44378</v>
      </c>
      <c r="E286" s="19" t="n">
        <v>17.17</v>
      </c>
      <c r="G286" s="16" t="n">
        <v>44378</v>
      </c>
      <c r="H286" s="19" t="n">
        <v>1.95</v>
      </c>
    </row>
    <row r="287">
      <c r="A287" s="16" t="n">
        <v>44379</v>
      </c>
      <c r="B287" s="19" t="n">
        <v>2940.04</v>
      </c>
      <c r="D287" s="16" t="n">
        <v>44379</v>
      </c>
      <c r="E287" s="19" t="n">
        <v>16.8</v>
      </c>
      <c r="G287" s="16" t="n">
        <v>44379</v>
      </c>
      <c r="H287" s="19" t="n">
        <v>1.95</v>
      </c>
    </row>
    <row r="288">
      <c r="A288" s="16" t="n">
        <v>44382</v>
      </c>
      <c r="B288" s="19" t="n">
        <v>2969.79</v>
      </c>
      <c r="D288" s="16" t="n">
        <v>44382</v>
      </c>
      <c r="E288" s="19" t="n">
        <v>15.16</v>
      </c>
      <c r="G288" s="16" t="n">
        <v>44382</v>
      </c>
      <c r="H288" s="19" t="n">
        <v>1.95</v>
      </c>
    </row>
    <row r="289">
      <c r="A289" s="16" t="n">
        <v>44383</v>
      </c>
      <c r="B289" s="19" t="n">
        <v>2976.27</v>
      </c>
      <c r="D289" s="16" t="n">
        <v>44383</v>
      </c>
      <c r="E289" s="19" t="n">
        <v>15.67</v>
      </c>
      <c r="G289" s="16" t="n">
        <v>44383</v>
      </c>
      <c r="H289" s="19" t="n">
        <v>1.95</v>
      </c>
    </row>
    <row r="290">
      <c r="A290" s="16" t="n">
        <v>44384</v>
      </c>
      <c r="B290" s="19" t="n">
        <v>2906.04</v>
      </c>
      <c r="D290" s="16" t="n">
        <v>44384</v>
      </c>
      <c r="E290" s="19" t="n">
        <v>18.02</v>
      </c>
      <c r="G290" s="16" t="n">
        <v>44384</v>
      </c>
      <c r="H290" s="19" t="n">
        <v>2.02</v>
      </c>
    </row>
    <row r="291">
      <c r="A291" s="16" t="n">
        <v>44385</v>
      </c>
      <c r="B291" s="19" t="n">
        <v>2969.07</v>
      </c>
      <c r="D291" s="16" t="n">
        <v>44385</v>
      </c>
      <c r="E291" s="19" t="n">
        <v>16.91</v>
      </c>
      <c r="G291" s="16" t="n">
        <v>44385</v>
      </c>
      <c r="H291" s="19" t="n">
        <v>2.03</v>
      </c>
    </row>
    <row r="292">
      <c r="A292" s="16" t="n">
        <v>44386</v>
      </c>
      <c r="B292" s="19" t="n">
        <v>2973.42</v>
      </c>
      <c r="D292" s="16" t="n">
        <v>44386</v>
      </c>
      <c r="E292" s="19" t="n">
        <v>16.41</v>
      </c>
      <c r="G292" s="16" t="n">
        <v>44386</v>
      </c>
      <c r="H292" s="19" t="n">
        <v>2</v>
      </c>
    </row>
    <row r="293">
      <c r="A293" s="16" t="n">
        <v>44389</v>
      </c>
      <c r="B293" s="19" t="n">
        <v>3011.77</v>
      </c>
      <c r="D293" s="16" t="n">
        <v>44389</v>
      </c>
      <c r="E293" s="19" t="n">
        <v>15.51</v>
      </c>
      <c r="G293" s="16" t="n">
        <v>44389</v>
      </c>
      <c r="H293" s="19" t="n">
        <v>1.98</v>
      </c>
    </row>
    <row r="294">
      <c r="A294" s="16" t="n">
        <v>44390</v>
      </c>
      <c r="B294" s="19" t="n">
        <v>3025.6</v>
      </c>
      <c r="D294" s="16" t="n">
        <v>44390</v>
      </c>
      <c r="E294" s="19" t="n">
        <v>14.67</v>
      </c>
      <c r="G294" s="16" t="n">
        <v>44390</v>
      </c>
      <c r="H294" s="19" t="n">
        <v>1.98</v>
      </c>
    </row>
    <row r="295">
      <c r="A295" s="16" t="n">
        <v>44391</v>
      </c>
      <c r="B295" s="19" t="n">
        <v>3040.88</v>
      </c>
      <c r="D295" s="16" t="n">
        <v>44391</v>
      </c>
      <c r="E295" s="19" t="n">
        <v>14.54</v>
      </c>
      <c r="G295" s="16" t="n">
        <v>44391</v>
      </c>
      <c r="H295" s="19" t="n">
        <v>1.94</v>
      </c>
    </row>
    <row r="296">
      <c r="A296" s="16" t="n">
        <v>44392</v>
      </c>
      <c r="B296" s="19" t="n">
        <v>3009.51</v>
      </c>
      <c r="D296" s="16" t="n">
        <v>44392</v>
      </c>
      <c r="E296" s="19" t="n">
        <v>15.13</v>
      </c>
      <c r="G296" s="16" t="n">
        <v>44392</v>
      </c>
      <c r="H296" s="19" t="n">
        <v>1.96</v>
      </c>
    </row>
    <row r="297">
      <c r="A297" s="16" t="n">
        <v>44393</v>
      </c>
      <c r="B297" s="19" t="n">
        <v>3022.61</v>
      </c>
      <c r="D297" s="16" t="n">
        <v>44393</v>
      </c>
      <c r="E297" s="19" t="n">
        <v>14.88</v>
      </c>
      <c r="G297" s="16" t="n">
        <v>44393</v>
      </c>
      <c r="H297" s="19" t="n">
        <v>1.95</v>
      </c>
    </row>
    <row r="298">
      <c r="A298" s="16" t="n">
        <v>44396</v>
      </c>
      <c r="B298" s="19" t="n">
        <v>3006.84</v>
      </c>
      <c r="D298" s="16" t="n">
        <v>44396</v>
      </c>
      <c r="E298" s="19" t="n">
        <v>15.53</v>
      </c>
      <c r="G298" s="16" t="n">
        <v>44396</v>
      </c>
      <c r="H298" s="19" t="n">
        <v>1.97</v>
      </c>
    </row>
    <row r="299">
      <c r="A299" s="16" t="n">
        <v>44397</v>
      </c>
      <c r="B299" s="19" t="n">
        <v>2982.78</v>
      </c>
      <c r="D299" s="16" t="n">
        <v>44397</v>
      </c>
      <c r="E299" s="19" t="n">
        <v>15.96</v>
      </c>
      <c r="G299" s="16" t="n">
        <v>44397</v>
      </c>
      <c r="H299" s="19" t="n">
        <v>1.95</v>
      </c>
    </row>
    <row r="300">
      <c r="A300" s="16" t="n">
        <v>44398</v>
      </c>
      <c r="B300" s="19" t="n">
        <v>2963.66</v>
      </c>
      <c r="D300" s="16" t="n">
        <v>44398</v>
      </c>
      <c r="E300" s="19" t="n">
        <v>17.32</v>
      </c>
      <c r="G300" s="16" t="n">
        <v>44398</v>
      </c>
      <c r="H300" s="19" t="n">
        <v>1.94</v>
      </c>
    </row>
    <row r="301">
      <c r="A301" s="16" t="n">
        <v>44399</v>
      </c>
      <c r="B301" s="19" t="n">
        <v>2961.46</v>
      </c>
      <c r="D301" s="16" t="n">
        <v>44399</v>
      </c>
      <c r="E301" s="19" t="n">
        <v>16.48</v>
      </c>
      <c r="G301" s="16" t="n">
        <v>44399</v>
      </c>
      <c r="H301" s="19" t="n">
        <v>1.98</v>
      </c>
    </row>
    <row r="302">
      <c r="A302" s="16" t="n">
        <v>44400</v>
      </c>
      <c r="B302" s="19" t="n">
        <v>2935.18</v>
      </c>
      <c r="D302" s="16" t="n">
        <v>44400</v>
      </c>
      <c r="E302" s="19" t="n">
        <v>16.16</v>
      </c>
      <c r="G302" s="16" t="n">
        <v>44400</v>
      </c>
      <c r="H302" s="19" t="n">
        <v>1.98</v>
      </c>
    </row>
    <row r="303">
      <c r="A303" s="16" t="n">
        <v>44403</v>
      </c>
      <c r="B303" s="19" t="n">
        <v>2933.22</v>
      </c>
      <c r="D303" s="16" t="n">
        <v>44403</v>
      </c>
      <c r="E303" s="19" t="n">
        <v>16.98</v>
      </c>
      <c r="G303" s="16" t="n">
        <v>44403</v>
      </c>
      <c r="H303" s="19" t="n">
        <v>1.99</v>
      </c>
    </row>
    <row r="304">
      <c r="A304" s="16" t="n">
        <v>44404</v>
      </c>
      <c r="B304" s="19" t="n">
        <v>2876.31</v>
      </c>
      <c r="D304" s="16" t="n">
        <v>44404</v>
      </c>
      <c r="E304" s="19" t="n">
        <v>18.92</v>
      </c>
      <c r="G304" s="16" t="n">
        <v>44404</v>
      </c>
      <c r="H304" s="19" t="n">
        <v>2</v>
      </c>
    </row>
    <row r="305">
      <c r="A305" s="16" t="n">
        <v>44405</v>
      </c>
      <c r="B305" s="19" t="n">
        <v>2854.57</v>
      </c>
      <c r="D305" s="16" t="n">
        <v>44405</v>
      </c>
      <c r="E305" s="19" t="n">
        <v>19.51</v>
      </c>
      <c r="G305" s="16" t="n">
        <v>44405</v>
      </c>
      <c r="H305" s="19" t="n">
        <v>2.01</v>
      </c>
    </row>
    <row r="306">
      <c r="A306" s="16" t="n">
        <v>44406</v>
      </c>
      <c r="B306" s="19" t="n">
        <v>2820.06</v>
      </c>
      <c r="D306" s="16" t="n">
        <v>44406</v>
      </c>
      <c r="E306" s="19" t="n">
        <v>21.89</v>
      </c>
      <c r="G306" s="16" t="n">
        <v>44406</v>
      </c>
      <c r="H306" s="19" t="n">
        <v>2.06</v>
      </c>
    </row>
    <row r="307">
      <c r="A307" s="16" t="n">
        <v>44407</v>
      </c>
      <c r="B307" s="19" t="n">
        <v>2849.87</v>
      </c>
      <c r="D307" s="16" t="n">
        <v>44407</v>
      </c>
      <c r="E307" s="19" t="n">
        <v>21.49</v>
      </c>
      <c r="G307" s="16" t="n">
        <v>44407</v>
      </c>
      <c r="H307" s="19" t="n">
        <v>2.05</v>
      </c>
    </row>
    <row r="308">
      <c r="A308" s="16" t="n">
        <v>44410</v>
      </c>
      <c r="B308" s="19" t="n">
        <v>2854.74</v>
      </c>
      <c r="D308" s="16" t="n">
        <v>44410</v>
      </c>
      <c r="E308" s="19" t="n">
        <v>20.7</v>
      </c>
      <c r="G308" s="16" t="n">
        <v>44410</v>
      </c>
      <c r="H308" s="19" t="n">
        <v>2.09</v>
      </c>
    </row>
    <row r="309">
      <c r="A309" s="16" t="n">
        <v>44411</v>
      </c>
      <c r="B309" s="19" t="n">
        <v>2865.75</v>
      </c>
      <c r="D309" s="16" t="n">
        <v>44411</v>
      </c>
      <c r="E309" s="19" t="n">
        <v>19.44</v>
      </c>
      <c r="G309" s="16" t="n">
        <v>44411</v>
      </c>
      <c r="H309" s="19" t="n">
        <v>2.08</v>
      </c>
    </row>
    <row r="310">
      <c r="A310" s="16" t="n">
        <v>44412</v>
      </c>
      <c r="B310" s="19" t="n">
        <v>2823.96</v>
      </c>
      <c r="D310" s="16" t="n">
        <v>44412</v>
      </c>
      <c r="E310" s="19" t="n">
        <v>20.85</v>
      </c>
      <c r="G310" s="16" t="n">
        <v>44412</v>
      </c>
      <c r="H310" s="19" t="n">
        <v>2.15</v>
      </c>
    </row>
    <row r="311">
      <c r="A311" s="16" t="n">
        <v>44413</v>
      </c>
      <c r="B311" s="19" t="n">
        <v>2828.85</v>
      </c>
      <c r="D311" s="16" t="n">
        <v>44413</v>
      </c>
      <c r="E311" s="19" t="n">
        <v>21.65</v>
      </c>
      <c r="G311" s="16" t="n">
        <v>44413</v>
      </c>
      <c r="H311" s="19" t="n">
        <v>2.13</v>
      </c>
    </row>
    <row r="312">
      <c r="A312" s="16" t="n">
        <v>44414</v>
      </c>
      <c r="B312" s="19" t="n">
        <v>2830.76</v>
      </c>
      <c r="D312" s="16" t="n">
        <v>44414</v>
      </c>
      <c r="E312" s="19" t="n">
        <v>21.73</v>
      </c>
      <c r="G312" s="16" t="n">
        <v>44414</v>
      </c>
      <c r="H312" s="19" t="n">
        <v>2.13</v>
      </c>
    </row>
    <row r="313">
      <c r="A313" s="16" t="n">
        <v>44417</v>
      </c>
      <c r="B313" s="19" t="n">
        <v>2836.35</v>
      </c>
      <c r="D313" s="16" t="n">
        <v>44417</v>
      </c>
      <c r="E313" s="19" t="n">
        <v>21.62</v>
      </c>
      <c r="G313" s="16" t="n">
        <v>44417</v>
      </c>
      <c r="H313" s="19" t="n">
        <v>2.13</v>
      </c>
    </row>
    <row r="314">
      <c r="A314" s="16" t="n">
        <v>44418</v>
      </c>
      <c r="B314" s="19" t="n">
        <v>2834.16</v>
      </c>
      <c r="D314" s="16" t="n">
        <v>44418</v>
      </c>
      <c r="E314" s="19" t="n">
        <v>21.98</v>
      </c>
      <c r="G314" s="16" t="n">
        <v>44418</v>
      </c>
      <c r="H314" s="19" t="n">
        <v>2.16</v>
      </c>
    </row>
    <row r="315">
      <c r="A315" s="16" t="n">
        <v>44419</v>
      </c>
      <c r="B315" s="19" t="n">
        <v>2810.76</v>
      </c>
      <c r="D315" s="16" t="n">
        <v>44419</v>
      </c>
      <c r="E315" s="19" t="n">
        <v>22.28</v>
      </c>
      <c r="G315" s="16" t="n">
        <v>44419</v>
      </c>
      <c r="H315" s="19" t="n">
        <v>2.18</v>
      </c>
    </row>
    <row r="316">
      <c r="A316" s="16" t="n">
        <v>44420</v>
      </c>
      <c r="B316" s="19" t="n">
        <v>2827.99</v>
      </c>
      <c r="D316" s="16" t="n">
        <v>44420</v>
      </c>
      <c r="E316" s="19" t="n">
        <v>21.35</v>
      </c>
      <c r="G316" s="16" t="n">
        <v>44420</v>
      </c>
      <c r="H316" s="19" t="n">
        <v>2.19</v>
      </c>
    </row>
    <row r="317">
      <c r="A317" s="16" t="n">
        <v>44421</v>
      </c>
      <c r="B317" s="19" t="n">
        <v>2871.32</v>
      </c>
      <c r="D317" s="16" t="n">
        <v>44421</v>
      </c>
      <c r="E317" s="19" t="n">
        <v>20.6</v>
      </c>
      <c r="G317" s="16" t="n">
        <v>44421</v>
      </c>
      <c r="H317" s="19" t="n">
        <v>2.13</v>
      </c>
    </row>
    <row r="318">
      <c r="A318" s="16" t="n">
        <v>44424</v>
      </c>
      <c r="B318" s="19" t="n">
        <v>2895.61</v>
      </c>
      <c r="D318" s="16" t="n">
        <v>44424</v>
      </c>
      <c r="E318" s="19" t="n">
        <v>20.28</v>
      </c>
      <c r="G318" s="16" t="n">
        <v>44424</v>
      </c>
      <c r="H318" s="19" t="n">
        <v>2.13</v>
      </c>
    </row>
    <row r="319">
      <c r="A319" s="16" t="n">
        <v>44425</v>
      </c>
      <c r="B319" s="19" t="n">
        <v>2905.97</v>
      </c>
      <c r="D319" s="16" t="n">
        <v>44425</v>
      </c>
      <c r="E319" s="19" t="n">
        <v>19.25</v>
      </c>
      <c r="G319" s="16" t="n">
        <v>44425</v>
      </c>
      <c r="H319" s="19" t="n">
        <v>2.1</v>
      </c>
    </row>
    <row r="320">
      <c r="A320" s="16" t="n">
        <v>44426</v>
      </c>
      <c r="B320" s="19" t="n">
        <v>2925.34</v>
      </c>
      <c r="D320" s="16" t="n">
        <v>44426</v>
      </c>
      <c r="E320" s="19" t="n">
        <v>19.16</v>
      </c>
      <c r="G320" s="16" t="n">
        <v>44426</v>
      </c>
      <c r="H320" s="19" t="n">
        <v>2.1</v>
      </c>
    </row>
    <row r="321">
      <c r="A321" s="16" t="n">
        <v>44427</v>
      </c>
      <c r="B321" s="19" t="n">
        <v>2950.68</v>
      </c>
      <c r="D321" s="16" t="n">
        <v>44427</v>
      </c>
      <c r="E321" s="19" t="n">
        <v>17.75</v>
      </c>
      <c r="G321" s="16" t="n">
        <v>44427</v>
      </c>
      <c r="H321" s="19" t="n">
        <v>2.11</v>
      </c>
    </row>
    <row r="322">
      <c r="A322" s="16" t="n">
        <v>44428</v>
      </c>
      <c r="B322" s="19" t="n">
        <v>2959.98</v>
      </c>
      <c r="D322" s="16" t="n">
        <v>44428</v>
      </c>
      <c r="E322" s="19" t="n">
        <v>16.85</v>
      </c>
      <c r="G322" s="16" t="n">
        <v>44428</v>
      </c>
      <c r="H322" s="19" t="n">
        <v>2.09</v>
      </c>
    </row>
    <row r="323">
      <c r="A323" s="16" t="n">
        <v>44431</v>
      </c>
      <c r="B323" s="19" t="n">
        <v>2970.83</v>
      </c>
      <c r="D323" s="16" t="n">
        <v>44431</v>
      </c>
      <c r="E323" s="19" t="n">
        <v>16.47</v>
      </c>
      <c r="G323" s="16" t="n">
        <v>44431</v>
      </c>
      <c r="H323" s="19" t="n">
        <v>2.03</v>
      </c>
    </row>
    <row r="324">
      <c r="A324" s="16" t="n">
        <v>44432</v>
      </c>
      <c r="B324" s="19" t="n">
        <v>2963.34</v>
      </c>
      <c r="D324" s="16" t="n">
        <v>44432</v>
      </c>
      <c r="E324" s="19" t="n">
        <v>16.86</v>
      </c>
      <c r="G324" s="16" t="n">
        <v>44432</v>
      </c>
      <c r="H324" s="19" t="n">
        <v>2.01</v>
      </c>
    </row>
    <row r="325">
      <c r="A325" s="16" t="n">
        <v>44433</v>
      </c>
      <c r="B325" s="19" t="n">
        <v>3045.25</v>
      </c>
      <c r="D325" s="16" t="n">
        <v>44433</v>
      </c>
      <c r="E325" s="19" t="n">
        <v>14.53</v>
      </c>
      <c r="G325" s="16" t="n">
        <v>44433</v>
      </c>
      <c r="H325" s="19" t="n">
        <v>1.93</v>
      </c>
    </row>
    <row r="326">
      <c r="A326" s="16" t="n">
        <v>44434</v>
      </c>
      <c r="B326" s="19" t="n">
        <v>2975.34</v>
      </c>
      <c r="D326" s="16" t="n">
        <v>44434</v>
      </c>
      <c r="E326" s="19" t="n">
        <v>16.89</v>
      </c>
      <c r="G326" s="16" t="n">
        <v>44434</v>
      </c>
      <c r="H326" s="19" t="n">
        <v>1.99</v>
      </c>
    </row>
    <row r="327">
      <c r="A327" s="16" t="n">
        <v>44435</v>
      </c>
      <c r="B327" s="19" t="n">
        <v>3023.23</v>
      </c>
      <c r="D327" s="16" t="n">
        <v>44435</v>
      </c>
      <c r="E327" s="19" t="n">
        <v>16.19</v>
      </c>
      <c r="G327" s="16" t="n">
        <v>44435</v>
      </c>
      <c r="H327" s="19" t="n">
        <v>1.96</v>
      </c>
    </row>
    <row r="328">
      <c r="A328" s="16" t="n">
        <v>44438</v>
      </c>
      <c r="B328" s="19" t="n">
        <v>3052.92</v>
      </c>
      <c r="D328" s="16" t="n">
        <v>44438</v>
      </c>
      <c r="E328" s="19" t="n">
        <v>15.64</v>
      </c>
      <c r="G328" s="16" t="n">
        <v>44438</v>
      </c>
      <c r="H328" s="19" t="n">
        <v>1.92</v>
      </c>
    </row>
    <row r="329">
      <c r="A329" s="16" t="n">
        <v>44439</v>
      </c>
      <c r="B329" s="19" t="n">
        <v>3009.16</v>
      </c>
      <c r="D329" s="16" t="n">
        <v>44439</v>
      </c>
      <c r="E329" s="19" t="n">
        <v>17.62</v>
      </c>
      <c r="G329" s="16" t="n">
        <v>44439</v>
      </c>
      <c r="H329" s="19" t="n">
        <v>1.95</v>
      </c>
    </row>
    <row r="330">
      <c r="A330" s="16" t="n">
        <v>44440</v>
      </c>
      <c r="B330" s="19" t="n">
        <v>3012.72</v>
      </c>
      <c r="D330" s="16" t="n">
        <v>44440</v>
      </c>
      <c r="E330" s="19" t="n">
        <v>17.3</v>
      </c>
      <c r="G330" s="16" t="n">
        <v>44440</v>
      </c>
      <c r="H330" s="19" t="n">
        <v>1.95</v>
      </c>
    </row>
    <row r="331">
      <c r="A331" s="16" t="n">
        <v>44441</v>
      </c>
      <c r="B331" s="19" t="n">
        <v>3021.57</v>
      </c>
      <c r="D331" s="16" t="n">
        <v>44441</v>
      </c>
      <c r="E331" s="19" t="n">
        <v>17.09</v>
      </c>
      <c r="G331" s="16" t="n">
        <v>44441</v>
      </c>
      <c r="H331" s="19" t="n">
        <v>1.92</v>
      </c>
    </row>
    <row r="332">
      <c r="A332" s="16" t="n">
        <v>44442</v>
      </c>
      <c r="B332" s="19" t="n">
        <v>3001.36</v>
      </c>
      <c r="D332" s="16" t="n">
        <v>44442</v>
      </c>
      <c r="E332" s="19" t="n">
        <v>17.52</v>
      </c>
      <c r="G332" s="16" t="n">
        <v>44442</v>
      </c>
      <c r="H332" s="19" t="n">
        <v>1.96</v>
      </c>
    </row>
    <row r="333">
      <c r="A333" s="16" t="n">
        <v>44445</v>
      </c>
      <c r="B333" s="19" t="n">
        <v>3032.96</v>
      </c>
      <c r="D333" s="16" t="n">
        <v>44445</v>
      </c>
      <c r="E333" s="19" t="n">
        <v>15.67</v>
      </c>
      <c r="G333" s="16" t="n">
        <v>44445</v>
      </c>
      <c r="H333" s="19" t="n">
        <v>1.94</v>
      </c>
    </row>
    <row r="334">
      <c r="A334" s="16" t="n">
        <v>44446</v>
      </c>
      <c r="B334" s="19" t="n">
        <v>3052.22</v>
      </c>
      <c r="D334" s="16" t="n">
        <v>44446</v>
      </c>
      <c r="E334" s="19" t="n">
        <v>14.86</v>
      </c>
      <c r="G334" s="16" t="n">
        <v>44446</v>
      </c>
      <c r="H334" s="19" t="n">
        <v>1.91</v>
      </c>
    </row>
    <row r="335">
      <c r="A335" s="16" t="n">
        <v>44447</v>
      </c>
      <c r="B335" s="19" t="n">
        <v>3003.53</v>
      </c>
      <c r="D335" s="16" t="n">
        <v>44447</v>
      </c>
      <c r="E335" s="19" t="n">
        <v>15.85</v>
      </c>
      <c r="G335" s="16" t="n">
        <v>44447</v>
      </c>
      <c r="H335" s="19" t="n">
        <v>1.98</v>
      </c>
    </row>
    <row r="336">
      <c r="A336" s="16" t="n">
        <v>44448</v>
      </c>
      <c r="B336" s="19" t="n">
        <v>3024.07</v>
      </c>
      <c r="D336" s="16" t="n">
        <v>44448</v>
      </c>
      <c r="E336" s="19" t="n">
        <v>15</v>
      </c>
      <c r="G336" s="16" t="n">
        <v>44448</v>
      </c>
      <c r="H336" s="19" t="n">
        <v>1.93</v>
      </c>
    </row>
    <row r="337">
      <c r="A337" s="16" t="n">
        <v>44449</v>
      </c>
      <c r="B337" s="19" t="n">
        <v>3074.22</v>
      </c>
      <c r="D337" s="16" t="n">
        <v>44449</v>
      </c>
      <c r="E337" s="19" t="n">
        <v>12.72</v>
      </c>
      <c r="G337" s="16" t="n">
        <v>44449</v>
      </c>
      <c r="H337" s="19" t="n">
        <v>1.92</v>
      </c>
    </row>
    <row r="338">
      <c r="A338" s="16" t="n">
        <v>44452</v>
      </c>
      <c r="B338" s="19" t="n">
        <v>3112.08</v>
      </c>
      <c r="D338" s="16" t="n">
        <v>44452</v>
      </c>
      <c r="E338" s="19" t="n">
        <v>12.03</v>
      </c>
      <c r="G338" s="16" t="n">
        <v>44452</v>
      </c>
      <c r="H338" s="19" t="n">
        <v>1.86</v>
      </c>
    </row>
    <row r="339">
      <c r="A339" s="16" t="n">
        <v>44453</v>
      </c>
      <c r="B339" s="19" t="n">
        <v>3083.83</v>
      </c>
      <c r="D339" s="16" t="n">
        <v>44453</v>
      </c>
      <c r="E339" s="19" t="n">
        <v>12.58</v>
      </c>
      <c r="G339" s="16" t="n">
        <v>44453</v>
      </c>
      <c r="H339" s="19" t="n">
        <v>1.87</v>
      </c>
    </row>
    <row r="340">
      <c r="A340" s="16" t="n">
        <v>44454</v>
      </c>
      <c r="B340" s="19" t="n">
        <v>3023.63</v>
      </c>
      <c r="D340" s="16" t="n">
        <v>44454</v>
      </c>
      <c r="E340" s="19" t="n">
        <v>14.26</v>
      </c>
      <c r="G340" s="16" t="n">
        <v>44454</v>
      </c>
      <c r="H340" s="19" t="n">
        <v>1.89</v>
      </c>
    </row>
    <row r="341">
      <c r="A341" s="16" t="n">
        <v>44455</v>
      </c>
      <c r="B341" s="19" t="n">
        <v>3040.11</v>
      </c>
      <c r="D341" s="16" t="n">
        <v>44455</v>
      </c>
      <c r="E341" s="19" t="n">
        <v>13.77</v>
      </c>
      <c r="G341" s="16" t="n">
        <v>44455</v>
      </c>
      <c r="H341" s="19" t="n">
        <v>1.88</v>
      </c>
    </row>
    <row r="342">
      <c r="A342" s="16" t="n">
        <v>44456</v>
      </c>
      <c r="B342" s="19" t="n">
        <v>3020.58</v>
      </c>
      <c r="D342" s="16" t="n">
        <v>44456</v>
      </c>
      <c r="E342" s="19" t="n">
        <v>13.74</v>
      </c>
      <c r="G342" s="16" t="n">
        <v>44456</v>
      </c>
      <c r="H342" s="19" t="n">
        <v>1.9</v>
      </c>
    </row>
    <row r="343">
      <c r="A343" s="16" t="n">
        <v>44459</v>
      </c>
      <c r="B343" s="19" t="n">
        <v>3059.43</v>
      </c>
      <c r="D343" s="16" t="n">
        <v>44459</v>
      </c>
      <c r="E343" s="19" t="n">
        <v>13.18</v>
      </c>
      <c r="G343" s="16" t="n">
        <v>44459</v>
      </c>
      <c r="H343" s="19" t="n">
        <v>1.89</v>
      </c>
    </row>
    <row r="344">
      <c r="A344" s="16" t="n">
        <v>44460</v>
      </c>
      <c r="B344" s="19" t="n">
        <v>3076.43</v>
      </c>
      <c r="D344" s="16" t="n">
        <v>44460</v>
      </c>
      <c r="E344" s="19" t="n">
        <v>11.9</v>
      </c>
      <c r="G344" s="16" t="n">
        <v>44460</v>
      </c>
      <c r="H344" s="19" t="n">
        <v>1.84</v>
      </c>
    </row>
    <row r="345">
      <c r="A345" s="16" t="n">
        <v>44461</v>
      </c>
      <c r="B345" s="19" t="n">
        <v>3075.18</v>
      </c>
      <c r="D345" s="16" t="n">
        <v>44461</v>
      </c>
      <c r="E345" s="19" t="n">
        <v>12.39</v>
      </c>
      <c r="G345" s="16" t="n">
        <v>44461</v>
      </c>
      <c r="H345" s="19" t="n">
        <v>1.83</v>
      </c>
    </row>
    <row r="346">
      <c r="A346" s="16" t="n">
        <v>44462</v>
      </c>
      <c r="B346" s="19" t="n">
        <v>3119.36</v>
      </c>
      <c r="D346" s="16" t="n">
        <v>44462</v>
      </c>
      <c r="E346" s="19" t="n">
        <v>10.39</v>
      </c>
      <c r="G346" s="16" t="n">
        <v>44462</v>
      </c>
      <c r="H346" s="19" t="n">
        <v>1.82</v>
      </c>
    </row>
    <row r="347">
      <c r="A347" s="16" t="n">
        <v>44463</v>
      </c>
      <c r="B347" s="19" t="n">
        <v>3075.73</v>
      </c>
      <c r="D347" s="16" t="n">
        <v>44463</v>
      </c>
      <c r="E347" s="19" t="n">
        <v>12.37</v>
      </c>
      <c r="G347" s="16" t="n">
        <v>44463</v>
      </c>
      <c r="H347" s="19" t="n">
        <v>1.85</v>
      </c>
    </row>
    <row r="348">
      <c r="A348" s="16" t="n">
        <v>44466</v>
      </c>
      <c r="B348" s="19" t="n">
        <v>3140.08</v>
      </c>
      <c r="D348" s="16" t="n">
        <v>44466</v>
      </c>
      <c r="E348" s="19" t="n">
        <v>11.79</v>
      </c>
      <c r="G348" s="16" t="n">
        <v>44466</v>
      </c>
      <c r="H348" s="19" t="n">
        <v>1.83</v>
      </c>
    </row>
    <row r="349">
      <c r="A349" s="16" t="n">
        <v>44467</v>
      </c>
      <c r="B349" s="19" t="n">
        <v>3140.4</v>
      </c>
      <c r="D349" s="16" t="n">
        <v>44467</v>
      </c>
      <c r="E349" s="19" t="n">
        <v>12.86</v>
      </c>
      <c r="G349" s="16" t="n">
        <v>44467</v>
      </c>
      <c r="H349" s="19" t="n">
        <v>1.86</v>
      </c>
    </row>
    <row r="350">
      <c r="A350" s="16" t="n">
        <v>44468</v>
      </c>
      <c r="B350" s="19" t="n">
        <v>3139.86</v>
      </c>
      <c r="D350" s="16" t="n">
        <v>44468</v>
      </c>
      <c r="E350" s="19" t="n">
        <v>12.31</v>
      </c>
      <c r="G350" s="16" t="n">
        <v>44468</v>
      </c>
      <c r="H350" s="19" t="n">
        <v>1.87</v>
      </c>
    </row>
    <row r="351">
      <c r="A351" s="16" t="n">
        <v>44469</v>
      </c>
      <c r="B351" s="19" t="n">
        <v>3204.21</v>
      </c>
      <c r="D351" s="16" t="n">
        <v>44469</v>
      </c>
      <c r="E351" s="19" t="n">
        <v>10.82</v>
      </c>
      <c r="G351" s="16" t="n">
        <v>44469</v>
      </c>
      <c r="H351" s="19" t="n">
        <v>1.85</v>
      </c>
    </row>
    <row r="352">
      <c r="A352" s="16" t="n">
        <v>44470</v>
      </c>
      <c r="B352" s="19" t="n">
        <v>3176.79</v>
      </c>
      <c r="D352" s="16" t="n">
        <v>44470</v>
      </c>
      <c r="E352" s="19" t="n">
        <v>12.76</v>
      </c>
      <c r="G352" s="16" t="n">
        <v>44470</v>
      </c>
      <c r="H352" s="19" t="n">
        <v>1.9</v>
      </c>
    </row>
    <row r="353">
      <c r="A353" s="16" t="n">
        <v>44473</v>
      </c>
      <c r="B353" s="19" t="n">
        <v>3181.16</v>
      </c>
      <c r="D353" s="16" t="n">
        <v>44473</v>
      </c>
      <c r="E353" s="19" t="n">
        <v>11.5</v>
      </c>
      <c r="G353" s="16" t="n">
        <v>44473</v>
      </c>
      <c r="H353" s="19" t="n">
        <v>1.91</v>
      </c>
    </row>
    <row r="354">
      <c r="A354" s="16" t="n">
        <v>44474</v>
      </c>
      <c r="B354" s="19" t="n">
        <v>3207.37</v>
      </c>
      <c r="D354" s="16" t="n">
        <v>44474</v>
      </c>
      <c r="E354" s="19" t="n">
        <v>10.9</v>
      </c>
      <c r="G354" s="16" t="n">
        <v>44474</v>
      </c>
      <c r="H354" s="19" t="n">
        <v>1.86</v>
      </c>
    </row>
    <row r="355">
      <c r="A355" s="16" t="n">
        <v>44475</v>
      </c>
      <c r="B355" s="19" t="n">
        <v>3208.75</v>
      </c>
      <c r="D355" s="16" t="n">
        <v>44475</v>
      </c>
      <c r="E355" s="19" t="n">
        <v>9.84</v>
      </c>
      <c r="G355" s="16" t="n">
        <v>44475</v>
      </c>
      <c r="H355" s="19" t="n">
        <v>1.85</v>
      </c>
    </row>
    <row r="356">
      <c r="A356" s="16" t="n">
        <v>44476</v>
      </c>
      <c r="B356" s="19" t="n">
        <v>3201.72</v>
      </c>
      <c r="D356" s="16" t="n">
        <v>44476</v>
      </c>
      <c r="E356" s="19" t="n">
        <v>10.48</v>
      </c>
      <c r="G356" s="16" t="n">
        <v>44476</v>
      </c>
      <c r="H356" s="19" t="n">
        <v>1.84</v>
      </c>
    </row>
    <row r="357">
      <c r="A357" s="16" t="n">
        <v>44477</v>
      </c>
      <c r="B357" s="19" t="n">
        <v>3233.55</v>
      </c>
      <c r="D357" s="16" t="n">
        <v>44477</v>
      </c>
      <c r="E357" s="19" t="n">
        <v>10.43</v>
      </c>
      <c r="G357" s="16" t="n">
        <v>44477</v>
      </c>
      <c r="H357" s="19" t="n">
        <v>1.82</v>
      </c>
    </row>
    <row r="358">
      <c r="A358" s="16" t="n">
        <v>44480</v>
      </c>
      <c r="B358" s="19" t="n">
        <v>3244.05</v>
      </c>
      <c r="D358" s="16" t="n">
        <v>44480</v>
      </c>
      <c r="E358" s="19" t="n">
        <v>10.07</v>
      </c>
      <c r="G358" s="16" t="n">
        <v>44480</v>
      </c>
      <c r="H358" s="19" t="inlineStr">
        <is>
          <t>.</t>
        </is>
      </c>
    </row>
    <row r="359">
      <c r="A359" s="16" t="n">
        <v>44481</v>
      </c>
      <c r="B359" s="19" t="n">
        <v>3262.21</v>
      </c>
      <c r="D359" s="16" t="n">
        <v>44481</v>
      </c>
      <c r="E359" s="19" t="n">
        <v>9.779999999999999</v>
      </c>
      <c r="G359" s="16" t="n">
        <v>44481</v>
      </c>
      <c r="H359" s="19" t="n">
        <v>1.74</v>
      </c>
    </row>
    <row r="360">
      <c r="A360" s="16" t="n">
        <v>44482</v>
      </c>
      <c r="B360" s="19" t="n">
        <v>3296.29</v>
      </c>
      <c r="D360" s="16" t="n">
        <v>44482</v>
      </c>
      <c r="E360" s="19" t="n">
        <v>9.5</v>
      </c>
      <c r="G360" s="16" t="n">
        <v>44482</v>
      </c>
      <c r="H360" s="19" t="n">
        <v>1.74</v>
      </c>
    </row>
    <row r="361">
      <c r="A361" s="16" t="n">
        <v>44483</v>
      </c>
      <c r="B361" s="19" t="n">
        <v>3264.32</v>
      </c>
      <c r="D361" s="16" t="n">
        <v>44483</v>
      </c>
      <c r="E361" s="19" t="n">
        <v>11.46</v>
      </c>
      <c r="G361" s="16" t="n">
        <v>44483</v>
      </c>
      <c r="H361" s="19" t="n">
        <v>1.77</v>
      </c>
    </row>
    <row r="362">
      <c r="A362" s="16" t="n">
        <v>44484</v>
      </c>
      <c r="B362" s="19" t="n">
        <v>3281.28</v>
      </c>
      <c r="D362" s="16" t="n">
        <v>44484</v>
      </c>
      <c r="E362" s="19" t="n">
        <v>11</v>
      </c>
      <c r="G362" s="16" t="n">
        <v>44484</v>
      </c>
      <c r="H362" s="19" t="n">
        <v>1.73</v>
      </c>
    </row>
    <row r="363">
      <c r="A363" s="16" t="n">
        <v>44487</v>
      </c>
      <c r="B363" s="19" t="n">
        <v>3260.35</v>
      </c>
      <c r="D363" s="16" t="n">
        <v>44487</v>
      </c>
      <c r="E363" s="19" t="n">
        <v>11.92</v>
      </c>
      <c r="G363" s="16" t="n">
        <v>44487</v>
      </c>
      <c r="H363" s="19" t="n">
        <v>1.76</v>
      </c>
    </row>
    <row r="364">
      <c r="A364" s="16" t="n">
        <v>44488</v>
      </c>
      <c r="B364" s="19" t="n">
        <v>3292.75</v>
      </c>
      <c r="D364" s="16" t="n">
        <v>44488</v>
      </c>
      <c r="E364" s="19" t="n">
        <v>12.44</v>
      </c>
      <c r="G364" s="16" t="n">
        <v>44488</v>
      </c>
      <c r="H364" s="19" t="n">
        <v>1.74</v>
      </c>
    </row>
    <row r="365">
      <c r="A365" s="16" t="n">
        <v>44489</v>
      </c>
      <c r="B365" s="19" t="n">
        <v>3304.59</v>
      </c>
      <c r="D365" s="16" t="n">
        <v>44489</v>
      </c>
      <c r="E365" s="19" t="n">
        <v>13.31</v>
      </c>
      <c r="G365" s="16" t="n">
        <v>44489</v>
      </c>
      <c r="H365" s="19" t="n">
        <v>1.74</v>
      </c>
    </row>
    <row r="366">
      <c r="A366" s="16" t="n">
        <v>44490</v>
      </c>
      <c r="B366" s="19" t="n">
        <v>3317.8</v>
      </c>
      <c r="D366" s="16" t="n">
        <v>44490</v>
      </c>
      <c r="E366" s="19" t="n">
        <v>13.14</v>
      </c>
      <c r="G366" s="16" t="n">
        <v>44490</v>
      </c>
      <c r="H366" s="19" t="n">
        <v>1.75</v>
      </c>
    </row>
    <row r="367">
      <c r="A367" s="16" t="n">
        <v>44491</v>
      </c>
      <c r="B367" s="19" t="n">
        <v>3364.79</v>
      </c>
      <c r="D367" s="16" t="n">
        <v>44491</v>
      </c>
      <c r="E367" s="19" t="n">
        <v>12.84</v>
      </c>
      <c r="G367" s="16" t="n">
        <v>44491</v>
      </c>
      <c r="H367" s="19" t="n">
        <v>1.73</v>
      </c>
    </row>
    <row r="368">
      <c r="A368" s="16" t="n">
        <v>44494</v>
      </c>
      <c r="B368" s="19" t="n">
        <v>3360</v>
      </c>
      <c r="D368" s="16" t="n">
        <v>44494</v>
      </c>
      <c r="E368" s="19" t="n">
        <v>12.8</v>
      </c>
      <c r="G368" s="16" t="n">
        <v>44494</v>
      </c>
      <c r="H368" s="19" t="n">
        <v>1.74</v>
      </c>
    </row>
    <row r="369">
      <c r="A369" s="16" t="n">
        <v>44495</v>
      </c>
      <c r="B369" s="19" t="n">
        <v>3315.47</v>
      </c>
      <c r="D369" s="16" t="n">
        <v>44495</v>
      </c>
      <c r="E369" s="19" t="n">
        <v>13.92</v>
      </c>
      <c r="G369" s="16" t="n">
        <v>44495</v>
      </c>
      <c r="H369" s="19" t="n">
        <v>1.75</v>
      </c>
    </row>
    <row r="370">
      <c r="A370" s="16" t="n">
        <v>44496</v>
      </c>
      <c r="B370" s="19" t="n">
        <v>3289.42</v>
      </c>
      <c r="D370" s="16" t="n">
        <v>44496</v>
      </c>
      <c r="E370" s="19" t="n">
        <v>14.41</v>
      </c>
      <c r="G370" s="16" t="n">
        <v>44496</v>
      </c>
      <c r="H370" s="19" t="n">
        <v>1.78</v>
      </c>
    </row>
    <row r="371">
      <c r="A371" s="16" t="n">
        <v>44497</v>
      </c>
      <c r="B371" s="19" t="n">
        <v>3261.97</v>
      </c>
      <c r="D371" s="16" t="n">
        <v>44497</v>
      </c>
      <c r="E371" s="19" t="n">
        <v>14.76</v>
      </c>
      <c r="G371" s="16" t="n">
        <v>44497</v>
      </c>
      <c r="H371" s="19" t="n">
        <v>1.81</v>
      </c>
    </row>
    <row r="372">
      <c r="A372" s="16" t="n">
        <v>44498</v>
      </c>
      <c r="B372" s="19" t="n">
        <v>3199.23</v>
      </c>
      <c r="D372" s="16" t="n">
        <v>44498</v>
      </c>
      <c r="E372" s="19" t="n">
        <v>16.73</v>
      </c>
      <c r="G372" s="16" t="n">
        <v>44498</v>
      </c>
      <c r="H372" s="19" t="n">
        <v>1.85</v>
      </c>
    </row>
    <row r="373">
      <c r="A373" s="16" t="n">
        <v>44501</v>
      </c>
      <c r="B373" s="19" t="n">
        <v>3233.11</v>
      </c>
      <c r="D373" s="16" t="n">
        <v>44501</v>
      </c>
      <c r="E373" s="19" t="n">
        <v>15.49</v>
      </c>
      <c r="G373" s="16" t="n">
        <v>44501</v>
      </c>
      <c r="H373" s="19" t="n">
        <v>1.83</v>
      </c>
    </row>
    <row r="374">
      <c r="A374" s="16" t="n">
        <v>44502</v>
      </c>
      <c r="B374" s="19" t="n">
        <v>3171.44</v>
      </c>
      <c r="D374" s="16" t="n">
        <v>44502</v>
      </c>
      <c r="E374" s="19" t="n">
        <v>17.68</v>
      </c>
      <c r="G374" s="16" t="n">
        <v>44502</v>
      </c>
      <c r="H374" s="19" t="n">
        <v>1.85</v>
      </c>
    </row>
    <row r="375">
      <c r="A375" s="16" t="n">
        <v>44503</v>
      </c>
      <c r="B375" s="19" t="n">
        <v>3162.42</v>
      </c>
      <c r="D375" s="16" t="n">
        <v>44503</v>
      </c>
      <c r="E375" s="19" t="n">
        <v>17.37</v>
      </c>
      <c r="G375" s="16" t="n">
        <v>44503</v>
      </c>
      <c r="H375" s="19" t="n">
        <v>1.89</v>
      </c>
    </row>
    <row r="376">
      <c r="A376" s="16" t="n">
        <v>44504</v>
      </c>
      <c r="B376" s="19" t="n">
        <v>3137.39</v>
      </c>
      <c r="D376" s="16" t="n">
        <v>44504</v>
      </c>
      <c r="E376" s="19" t="n">
        <v>18</v>
      </c>
      <c r="G376" s="16" t="n">
        <v>44504</v>
      </c>
      <c r="H376" s="19" t="n">
        <v>1.94</v>
      </c>
    </row>
    <row r="377">
      <c r="A377" s="16" t="n">
        <v>44505</v>
      </c>
      <c r="B377" s="19" t="n">
        <v>3184.27</v>
      </c>
      <c r="D377" s="16" t="n">
        <v>44505</v>
      </c>
      <c r="E377" s="19" t="n">
        <v>16.75</v>
      </c>
      <c r="G377" s="16" t="n">
        <v>44505</v>
      </c>
      <c r="H377" s="19" t="n">
        <v>1.9</v>
      </c>
    </row>
    <row r="378">
      <c r="A378" s="16" t="n">
        <v>44508</v>
      </c>
      <c r="B378" s="19" t="n">
        <v>3104.96</v>
      </c>
      <c r="D378" s="16" t="n">
        <v>44508</v>
      </c>
      <c r="E378" s="19" t="n">
        <v>19.01</v>
      </c>
      <c r="G378" s="16" t="n">
        <v>44508</v>
      </c>
      <c r="H378" s="19" t="n">
        <v>1.94</v>
      </c>
    </row>
    <row r="379">
      <c r="A379" s="16" t="n">
        <v>44509</v>
      </c>
      <c r="B379" s="19" t="n">
        <v>3091.52</v>
      </c>
      <c r="D379" s="16" t="n">
        <v>44509</v>
      </c>
      <c r="E379" s="19" t="n">
        <v>19.89</v>
      </c>
      <c r="G379" s="16" t="n">
        <v>44509</v>
      </c>
      <c r="H379" s="19" t="n">
        <v>1.98</v>
      </c>
    </row>
    <row r="380">
      <c r="A380" s="16" t="n">
        <v>44510</v>
      </c>
      <c r="B380" s="19" t="n">
        <v>3164.89</v>
      </c>
      <c r="D380" s="16" t="n">
        <v>44510</v>
      </c>
      <c r="E380" s="19" t="n">
        <v>15.89</v>
      </c>
      <c r="G380" s="16" t="n">
        <v>44510</v>
      </c>
      <c r="H380" s="19" t="n">
        <v>1.97</v>
      </c>
    </row>
    <row r="381">
      <c r="A381" s="16" t="n">
        <v>44511</v>
      </c>
      <c r="B381" s="19" t="n">
        <v>3127.09</v>
      </c>
      <c r="D381" s="16" t="n">
        <v>44511</v>
      </c>
      <c r="E381" s="19" t="n">
        <v>17.75</v>
      </c>
      <c r="G381" s="16" t="n">
        <v>44511</v>
      </c>
      <c r="H381" s="19" t="inlineStr">
        <is>
          <t>.</t>
        </is>
      </c>
    </row>
    <row r="382">
      <c r="A382" s="16" t="n">
        <v>44512</v>
      </c>
      <c r="B382" s="19" t="n">
        <v>3090.93</v>
      </c>
      <c r="D382" s="16" t="n">
        <v>44512</v>
      </c>
      <c r="E382" s="19" t="n">
        <v>18.61</v>
      </c>
      <c r="G382" s="16" t="n">
        <v>44512</v>
      </c>
      <c r="H382" s="19" t="n">
        <v>2</v>
      </c>
    </row>
    <row r="383">
      <c r="A383" s="16" t="n">
        <v>44515</v>
      </c>
      <c r="B383" s="19" t="n">
        <v>3100.55</v>
      </c>
      <c r="D383" s="16" t="n">
        <v>44515</v>
      </c>
      <c r="E383" s="19" t="n">
        <v>18.13</v>
      </c>
      <c r="G383" s="16" t="n">
        <v>44515</v>
      </c>
      <c r="H383" s="19" t="n">
        <v>2</v>
      </c>
    </row>
    <row r="384">
      <c r="A384" s="16" t="n">
        <v>44516</v>
      </c>
      <c r="B384" s="19" t="n">
        <v>3039.86</v>
      </c>
      <c r="D384" s="16" t="n">
        <v>44516</v>
      </c>
      <c r="E384" s="19" t="n">
        <v>19.35</v>
      </c>
      <c r="G384" s="16" t="n">
        <v>44516</v>
      </c>
      <c r="H384" s="19" t="n">
        <v>2.03</v>
      </c>
    </row>
    <row r="385">
      <c r="A385" s="16" t="n">
        <v>44517</v>
      </c>
      <c r="B385" s="19" t="n">
        <v>3045.8</v>
      </c>
      <c r="D385" s="16" t="n">
        <v>44517</v>
      </c>
      <c r="E385" s="19" t="n">
        <v>18.78</v>
      </c>
      <c r="G385" s="16" t="n">
        <v>44517</v>
      </c>
      <c r="H385" s="19" t="n">
        <v>2.02</v>
      </c>
    </row>
    <row r="386">
      <c r="A386" s="16" t="n">
        <v>44518</v>
      </c>
      <c r="B386" s="19" t="n">
        <v>3080.74</v>
      </c>
      <c r="D386" s="16" t="n">
        <v>44518</v>
      </c>
      <c r="E386" s="19" t="n">
        <v>18.41</v>
      </c>
      <c r="G386" s="16" t="n">
        <v>44518</v>
      </c>
      <c r="H386" s="19" t="n">
        <v>2.01</v>
      </c>
    </row>
    <row r="387">
      <c r="A387" s="16" t="n">
        <v>44519</v>
      </c>
      <c r="B387" s="19" t="n">
        <v>3082.82</v>
      </c>
      <c r="D387" s="16" t="n">
        <v>44519</v>
      </c>
      <c r="E387" s="19" t="n">
        <v>18.3</v>
      </c>
      <c r="G387" s="16" t="n">
        <v>44519</v>
      </c>
      <c r="H387" s="19" t="n">
        <v>2.05</v>
      </c>
    </row>
    <row r="388">
      <c r="A388" s="16" t="n">
        <v>44522</v>
      </c>
      <c r="B388" s="19" t="n">
        <v>3072.2</v>
      </c>
      <c r="D388" s="16" t="n">
        <v>44522</v>
      </c>
      <c r="E388" s="19" t="n">
        <v>17.72</v>
      </c>
      <c r="G388" s="16" t="n">
        <v>44522</v>
      </c>
      <c r="H388" s="19" t="n">
        <v>2.05</v>
      </c>
    </row>
    <row r="389">
      <c r="A389" s="16" t="n">
        <v>44523</v>
      </c>
      <c r="B389" s="19" t="n">
        <v>3024.8</v>
      </c>
      <c r="D389" s="16" t="n">
        <v>44523</v>
      </c>
      <c r="E389" s="19" t="n">
        <v>19.97</v>
      </c>
      <c r="G389" s="16" t="n">
        <v>44523</v>
      </c>
      <c r="H389" s="19" t="n">
        <v>2.11</v>
      </c>
    </row>
    <row r="390">
      <c r="A390" s="16" t="n">
        <v>44524</v>
      </c>
      <c r="B390" s="19" t="n">
        <v>2954.42</v>
      </c>
      <c r="D390" s="16" t="n">
        <v>44524</v>
      </c>
      <c r="E390" s="19" t="n">
        <v>21.56</v>
      </c>
      <c r="G390" s="16" t="n">
        <v>44524</v>
      </c>
      <c r="H390" s="19" t="n">
        <v>2.16</v>
      </c>
    </row>
    <row r="391">
      <c r="A391" s="16" t="n">
        <v>44525</v>
      </c>
      <c r="B391" s="19" t="inlineStr">
        <is>
          <t>.</t>
        </is>
      </c>
      <c r="D391" s="16" t="n">
        <v>44525</v>
      </c>
      <c r="E391" s="19" t="inlineStr"/>
      <c r="G391" s="16" t="n">
        <v>44525</v>
      </c>
      <c r="H391" s="19" t="inlineStr">
        <is>
          <t>.</t>
        </is>
      </c>
    </row>
    <row r="392">
      <c r="A392" s="16" t="n">
        <v>44526</v>
      </c>
      <c r="B392" s="19" t="n">
        <v>2972.24</v>
      </c>
      <c r="D392" s="16" t="n">
        <v>44526</v>
      </c>
      <c r="E392" s="19" t="n">
        <v>21.4</v>
      </c>
      <c r="G392" s="16" t="n">
        <v>44526</v>
      </c>
      <c r="H392" s="19" t="n">
        <v>2.12</v>
      </c>
    </row>
    <row r="393">
      <c r="A393" s="16" t="n">
        <v>44529</v>
      </c>
      <c r="B393" s="19" t="n">
        <v>2948.37</v>
      </c>
      <c r="D393" s="16" t="n">
        <v>44529</v>
      </c>
      <c r="E393" s="19" t="n">
        <v>21.7</v>
      </c>
      <c r="G393" s="16" t="n">
        <v>44529</v>
      </c>
      <c r="H393" s="19" t="n">
        <v>2.14</v>
      </c>
    </row>
    <row r="394">
      <c r="A394" s="16" t="n">
        <v>44530</v>
      </c>
      <c r="B394" s="19" t="n">
        <v>2928.38</v>
      </c>
      <c r="D394" s="16" t="n">
        <v>44530</v>
      </c>
      <c r="E394" s="19" t="n">
        <v>22.62</v>
      </c>
      <c r="G394" s="16" t="n">
        <v>44530</v>
      </c>
      <c r="H394" s="19" t="n">
        <v>2.12</v>
      </c>
    </row>
    <row r="395">
      <c r="A395" s="16" t="n">
        <v>44531</v>
      </c>
      <c r="B395" s="19" t="n">
        <v>2964.35</v>
      </c>
      <c r="D395" s="16" t="n">
        <v>44531</v>
      </c>
      <c r="E395" s="19" t="n">
        <v>22.37</v>
      </c>
      <c r="G395" s="16" t="n">
        <v>44531</v>
      </c>
      <c r="H395" s="19" t="n">
        <v>2.06</v>
      </c>
    </row>
    <row r="396">
      <c r="A396" s="16" t="n">
        <v>44532</v>
      </c>
      <c r="B396" s="19" t="n">
        <v>2947.52</v>
      </c>
      <c r="D396" s="16" t="n">
        <v>44532</v>
      </c>
      <c r="E396" s="19" t="n">
        <v>22.62</v>
      </c>
      <c r="G396" s="16" t="n">
        <v>44532</v>
      </c>
      <c r="H396" s="19" t="n">
        <v>2.07</v>
      </c>
    </row>
    <row r="397">
      <c r="A397" s="16" t="n">
        <v>44533</v>
      </c>
      <c r="B397" s="19" t="n">
        <v>3000.14</v>
      </c>
      <c r="D397" s="16" t="n">
        <v>44533</v>
      </c>
      <c r="E397" s="19" t="n">
        <v>20.23</v>
      </c>
      <c r="G397" s="16" t="n">
        <v>44533</v>
      </c>
      <c r="H397" s="19" t="n">
        <v>2.04</v>
      </c>
    </row>
    <row r="398">
      <c r="A398" s="16" t="n">
        <v>44536</v>
      </c>
      <c r="B398" s="19" t="n">
        <v>3004.75</v>
      </c>
      <c r="D398" s="16" t="n">
        <v>44536</v>
      </c>
      <c r="E398" s="19" t="n">
        <v>18.69</v>
      </c>
      <c r="G398" s="16" t="n">
        <v>44536</v>
      </c>
      <c r="H398" s="19" t="n">
        <v>2.06</v>
      </c>
    </row>
    <row r="399">
      <c r="A399" s="16" t="n">
        <v>44537</v>
      </c>
      <c r="B399" s="19" t="n">
        <v>3017.1</v>
      </c>
      <c r="D399" s="16" t="n">
        <v>44537</v>
      </c>
      <c r="E399" s="19" t="n">
        <v>19.81</v>
      </c>
      <c r="G399" s="16" t="n">
        <v>44537</v>
      </c>
      <c r="H399" s="19" t="n">
        <v>2.07</v>
      </c>
    </row>
    <row r="400">
      <c r="A400" s="16" t="n">
        <v>44538</v>
      </c>
      <c r="B400" s="19" t="n">
        <v>3008.53</v>
      </c>
      <c r="D400" s="16" t="n">
        <v>44538</v>
      </c>
      <c r="E400" s="19" t="n">
        <v>20.09</v>
      </c>
      <c r="G400" s="16" t="n">
        <v>44538</v>
      </c>
      <c r="H400" s="19" t="n">
        <v>2.09</v>
      </c>
    </row>
    <row r="401">
      <c r="A401" s="16" t="n">
        <v>44539</v>
      </c>
      <c r="B401" s="19" t="n">
        <v>2982.52</v>
      </c>
      <c r="D401" s="16" t="n">
        <v>44539</v>
      </c>
      <c r="E401" s="19" t="n">
        <v>20.51</v>
      </c>
      <c r="G401" s="16" t="n">
        <v>44539</v>
      </c>
      <c r="H401" s="19" t="n">
        <v>2.11</v>
      </c>
    </row>
    <row r="402">
      <c r="A402" s="16" t="n">
        <v>44540</v>
      </c>
      <c r="B402" s="19" t="n">
        <v>2942.4</v>
      </c>
      <c r="D402" s="16" t="n">
        <v>44540</v>
      </c>
      <c r="E402" s="19" t="n">
        <v>21.11</v>
      </c>
      <c r="G402" s="16" t="n">
        <v>44540</v>
      </c>
      <c r="H402" s="19" t="n">
        <v>2.13</v>
      </c>
    </row>
    <row r="403">
      <c r="A403" s="16" t="n">
        <v>44543</v>
      </c>
      <c r="B403" s="19" t="n">
        <v>2910.82</v>
      </c>
      <c r="D403" s="16" t="n">
        <v>44543</v>
      </c>
      <c r="E403" s="19" t="n">
        <v>22.06</v>
      </c>
      <c r="G403" s="16" t="n">
        <v>44543</v>
      </c>
      <c r="H403" s="19" t="n">
        <v>2.13</v>
      </c>
    </row>
    <row r="404">
      <c r="A404" s="16" t="n">
        <v>44544</v>
      </c>
      <c r="B404" s="19" t="n">
        <v>2934.2</v>
      </c>
      <c r="D404" s="16" t="n">
        <v>44544</v>
      </c>
      <c r="E404" s="19" t="n">
        <v>21.31</v>
      </c>
      <c r="G404" s="16" t="n">
        <v>44544</v>
      </c>
      <c r="H404" s="19" t="n">
        <v>2.14</v>
      </c>
    </row>
    <row r="405">
      <c r="A405" s="16" t="n">
        <v>44545</v>
      </c>
      <c r="B405" s="19" t="n">
        <v>2899.66</v>
      </c>
      <c r="D405" s="16" t="n">
        <v>44545</v>
      </c>
      <c r="E405" s="19" t="n">
        <v>22.82</v>
      </c>
      <c r="G405" s="16" t="n">
        <v>44545</v>
      </c>
      <c r="H405" s="19" t="n">
        <v>2.18</v>
      </c>
    </row>
    <row r="406">
      <c r="A406" s="16" t="n">
        <v>44546</v>
      </c>
      <c r="B406" s="19" t="n">
        <v>2884.08</v>
      </c>
      <c r="D406" s="16" t="n">
        <v>44546</v>
      </c>
      <c r="E406" s="19" t="n">
        <v>22.8</v>
      </c>
      <c r="G406" s="16" t="n">
        <v>44546</v>
      </c>
      <c r="H406" s="19" t="n">
        <v>2.2</v>
      </c>
    </row>
    <row r="407">
      <c r="A407" s="16" t="n">
        <v>44547</v>
      </c>
      <c r="B407" s="19" t="n">
        <v>2865.2</v>
      </c>
      <c r="D407" s="16" t="n">
        <v>44547</v>
      </c>
      <c r="E407" s="19" t="n">
        <v>23.61</v>
      </c>
      <c r="G407" s="16" t="n">
        <v>44547</v>
      </c>
      <c r="H407" s="19" t="n">
        <v>2.2</v>
      </c>
    </row>
    <row r="408">
      <c r="A408" s="16" t="n">
        <v>44550</v>
      </c>
      <c r="B408" s="19" t="n">
        <v>2843.58</v>
      </c>
      <c r="D408" s="16" t="n">
        <v>44550</v>
      </c>
      <c r="E408" s="19" t="n">
        <v>24.33</v>
      </c>
      <c r="G408" s="16" t="n">
        <v>44550</v>
      </c>
      <c r="H408" s="19" t="n">
        <v>2.22</v>
      </c>
    </row>
    <row r="409">
      <c r="A409" s="16" t="n">
        <v>44551</v>
      </c>
      <c r="B409" s="19" t="n">
        <v>2864.03</v>
      </c>
      <c r="D409" s="16" t="n">
        <v>44551</v>
      </c>
      <c r="E409" s="19" t="n">
        <v>23.39</v>
      </c>
      <c r="G409" s="16" t="n">
        <v>44551</v>
      </c>
      <c r="H409" s="19" t="n">
        <v>2.22</v>
      </c>
    </row>
    <row r="410">
      <c r="A410" s="16" t="n">
        <v>44552</v>
      </c>
      <c r="B410" s="19" t="n">
        <v>2888.71</v>
      </c>
      <c r="D410" s="16" t="n">
        <v>44552</v>
      </c>
      <c r="E410" s="19" t="n">
        <v>22.41</v>
      </c>
      <c r="G410" s="16" t="n">
        <v>44552</v>
      </c>
      <c r="H410" s="19" t="n">
        <v>2.21</v>
      </c>
    </row>
    <row r="411">
      <c r="A411" s="16" t="n">
        <v>44553</v>
      </c>
      <c r="B411" s="19" t="n">
        <v>2950.95</v>
      </c>
      <c r="D411" s="16" t="n">
        <v>44553</v>
      </c>
      <c r="E411" s="19" t="n">
        <v>20.39</v>
      </c>
      <c r="G411" s="16" t="n">
        <v>44553</v>
      </c>
      <c r="H411" s="19" t="n">
        <v>2.17</v>
      </c>
    </row>
    <row r="412">
      <c r="A412" s="16" t="n">
        <v>44554</v>
      </c>
      <c r="B412" s="19" t="n">
        <v>2946.41</v>
      </c>
      <c r="D412" s="16" t="n">
        <v>44554</v>
      </c>
      <c r="E412" s="19" t="n">
        <v>20.93</v>
      </c>
      <c r="G412" s="16" t="n">
        <v>44554</v>
      </c>
      <c r="H412" s="19" t="n">
        <v>2.17</v>
      </c>
    </row>
    <row r="413">
      <c r="A413" s="16" t="n">
        <v>44557</v>
      </c>
      <c r="B413" s="19" t="n">
        <v>2921.06</v>
      </c>
      <c r="D413" s="16" t="n">
        <v>44557</v>
      </c>
      <c r="E413" s="19" t="n">
        <v>21.23</v>
      </c>
      <c r="G413" s="16" t="n">
        <v>44557</v>
      </c>
      <c r="H413" s="19" t="n">
        <v>2.21</v>
      </c>
    </row>
    <row r="414">
      <c r="A414" s="16" t="n">
        <v>44558</v>
      </c>
      <c r="B414" s="19" t="n">
        <v>2915.4</v>
      </c>
      <c r="D414" s="16" t="n">
        <v>44558</v>
      </c>
      <c r="E414" s="19" t="n">
        <v>20.13</v>
      </c>
      <c r="G414" s="16" t="n">
        <v>44558</v>
      </c>
      <c r="H414" s="19" t="n">
        <v>2.19</v>
      </c>
    </row>
    <row r="415">
      <c r="A415" s="16" t="n">
        <v>44559</v>
      </c>
      <c r="B415" s="19" t="n">
        <v>2946.35</v>
      </c>
      <c r="D415" s="16" t="n">
        <v>44559</v>
      </c>
      <c r="E415" s="19" t="n">
        <v>20.46</v>
      </c>
      <c r="G415" s="16" t="n">
        <v>44559</v>
      </c>
      <c r="H415" s="19" t="n">
        <v>2.17</v>
      </c>
    </row>
    <row r="416">
      <c r="A416" s="16" t="n">
        <v>44560</v>
      </c>
      <c r="B416" s="19" t="n">
        <v>2950.91</v>
      </c>
      <c r="D416" s="16" t="n">
        <v>44560</v>
      </c>
      <c r="E416" s="19" t="n">
        <v>20.23</v>
      </c>
      <c r="G416" s="16" t="n">
        <v>44560</v>
      </c>
      <c r="H416" s="19" t="n">
        <v>2.18</v>
      </c>
    </row>
    <row r="417">
      <c r="A417" s="16" t="n">
        <v>44561</v>
      </c>
      <c r="B417" s="19" t="n">
        <v>2942.37</v>
      </c>
      <c r="D417" s="16" t="n">
        <v>44561</v>
      </c>
      <c r="E417" s="19" t="n">
        <v>20.55</v>
      </c>
      <c r="G417" s="16" t="n">
        <v>44561</v>
      </c>
      <c r="H417" s="19" t="n">
        <v>2.2</v>
      </c>
    </row>
    <row r="418">
      <c r="A418" s="16" t="n">
        <v>44564</v>
      </c>
      <c r="B418" s="19" t="n">
        <v>2928.03</v>
      </c>
      <c r="D418" s="16" t="n">
        <v>44564</v>
      </c>
      <c r="E418" s="19" t="n">
        <v>21.09</v>
      </c>
      <c r="G418" s="16" t="n">
        <v>44564</v>
      </c>
      <c r="H418" s="19" t="n">
        <v>2.21</v>
      </c>
    </row>
    <row r="419">
      <c r="A419" s="16" t="n">
        <v>44565</v>
      </c>
      <c r="B419" s="19" t="n">
        <v>2878.57</v>
      </c>
      <c r="D419" s="16" t="n">
        <v>44565</v>
      </c>
      <c r="E419" s="19" t="n">
        <v>22.78</v>
      </c>
      <c r="G419" s="16" t="n">
        <v>44565</v>
      </c>
      <c r="H419" s="19" t="n">
        <v>2.2</v>
      </c>
    </row>
    <row r="420">
      <c r="A420" s="16" t="n">
        <v>44566</v>
      </c>
      <c r="B420" s="19" t="n">
        <v>2873.48</v>
      </c>
      <c r="D420" s="16" t="n">
        <v>44566</v>
      </c>
      <c r="E420" s="19" t="n">
        <v>22.33</v>
      </c>
      <c r="G420" s="16" t="n">
        <v>44566</v>
      </c>
      <c r="H420" s="19" t="n">
        <v>2.2</v>
      </c>
    </row>
    <row r="421">
      <c r="A421" s="16" t="n">
        <v>44567</v>
      </c>
      <c r="B421" s="19" t="n">
        <v>2856.07</v>
      </c>
      <c r="D421" s="16" t="n">
        <v>44567</v>
      </c>
      <c r="E421" s="19" t="n">
        <v>23.82</v>
      </c>
      <c r="G421" s="16" t="n">
        <v>44567</v>
      </c>
      <c r="H421" s="19" t="n">
        <v>2.22</v>
      </c>
    </row>
    <row r="422">
      <c r="A422" s="16" t="n">
        <v>44568</v>
      </c>
      <c r="B422" s="19" t="n">
        <v>2864.08</v>
      </c>
      <c r="D422" s="16" t="n">
        <v>44568</v>
      </c>
      <c r="E422" s="19" t="n">
        <v>23.09</v>
      </c>
      <c r="G422" s="16" t="n">
        <v>44568</v>
      </c>
      <c r="H422" s="19" t="n">
        <v>2.23</v>
      </c>
    </row>
    <row r="423">
      <c r="A423" s="16" t="n">
        <v>44571</v>
      </c>
      <c r="B423" s="19" t="n">
        <v>2815.12</v>
      </c>
      <c r="D423" s="16" t="n">
        <v>44571</v>
      </c>
      <c r="E423" s="19" t="n">
        <v>24.98</v>
      </c>
      <c r="G423" s="16" t="n">
        <v>44571</v>
      </c>
      <c r="H423" s="19" t="n">
        <v>2.29</v>
      </c>
    </row>
    <row r="424">
      <c r="A424" s="16" t="n">
        <v>44572</v>
      </c>
      <c r="B424" s="19" t="n">
        <v>2866.94</v>
      </c>
      <c r="D424" s="16" t="n">
        <v>44572</v>
      </c>
      <c r="E424" s="19" t="n">
        <v>22.58</v>
      </c>
      <c r="G424" s="16" t="n">
        <v>44572</v>
      </c>
      <c r="H424" s="19" t="n">
        <v>2.26</v>
      </c>
    </row>
    <row r="425">
      <c r="A425" s="16" t="n">
        <v>44573</v>
      </c>
      <c r="B425" s="19" t="n">
        <v>2809.29</v>
      </c>
      <c r="D425" s="16" t="n">
        <v>44573</v>
      </c>
      <c r="E425" s="19" t="n">
        <v>25.46</v>
      </c>
      <c r="G425" s="16" t="n">
        <v>44573</v>
      </c>
      <c r="H425" s="19" t="n">
        <v>2.28</v>
      </c>
    </row>
    <row r="426">
      <c r="A426" s="16" t="n">
        <v>44574</v>
      </c>
      <c r="B426" s="19" t="n">
        <v>2820.38</v>
      </c>
      <c r="D426" s="16" t="n">
        <v>44574</v>
      </c>
      <c r="E426" s="19" t="n">
        <v>25.03</v>
      </c>
      <c r="G426" s="16" t="n">
        <v>44574</v>
      </c>
      <c r="H426" s="19" t="n">
        <v>2.22</v>
      </c>
    </row>
    <row r="427">
      <c r="A427" s="16" t="n">
        <v>44575</v>
      </c>
      <c r="B427" s="19" t="n">
        <v>2879.16</v>
      </c>
      <c r="D427" s="16" t="n">
        <v>44575</v>
      </c>
      <c r="E427" s="19" t="n">
        <v>22.71</v>
      </c>
      <c r="G427" s="16" t="n">
        <v>44575</v>
      </c>
      <c r="H427" s="19" t="n">
        <v>2.16</v>
      </c>
    </row>
    <row r="428">
      <c r="A428" s="16" t="n">
        <v>44578</v>
      </c>
      <c r="B428" s="19" t="n">
        <v>2864.78</v>
      </c>
      <c r="D428" s="16" t="n">
        <v>44578</v>
      </c>
      <c r="E428" s="19" t="n">
        <v>23.47</v>
      </c>
      <c r="G428" s="16" t="n">
        <v>44578</v>
      </c>
      <c r="H428" s="19" t="n">
        <v>2.14</v>
      </c>
    </row>
    <row r="429">
      <c r="A429" s="16" t="n">
        <v>44579</v>
      </c>
      <c r="B429" s="19" t="n">
        <v>2871.96</v>
      </c>
      <c r="D429" s="16" t="n">
        <v>44579</v>
      </c>
      <c r="E429" s="19" t="n">
        <v>22.45</v>
      </c>
      <c r="G429" s="16" t="n">
        <v>44579</v>
      </c>
      <c r="H429" s="19" t="n">
        <v>2.11</v>
      </c>
    </row>
    <row r="430">
      <c r="A430" s="16" t="n">
        <v>44580</v>
      </c>
      <c r="B430" s="19" t="n">
        <v>2847.13</v>
      </c>
      <c r="D430" s="16" t="n">
        <v>44580</v>
      </c>
      <c r="E430" s="19" t="n">
        <v>23.29</v>
      </c>
      <c r="G430" s="16" t="n">
        <v>44580</v>
      </c>
      <c r="H430" s="19" t="n">
        <v>2.12</v>
      </c>
    </row>
    <row r="431">
      <c r="A431" s="16" t="n">
        <v>44581</v>
      </c>
      <c r="B431" s="19" t="n">
        <v>2884.41</v>
      </c>
      <c r="D431" s="16" t="n">
        <v>44581</v>
      </c>
      <c r="E431" s="19" t="n">
        <v>21.9</v>
      </c>
      <c r="G431" s="16" t="n">
        <v>44581</v>
      </c>
      <c r="H431" s="19" t="n">
        <v>2.1</v>
      </c>
    </row>
    <row r="432">
      <c r="A432" s="16" t="n">
        <v>44582</v>
      </c>
      <c r="B432" s="19" t="n">
        <v>2836.97</v>
      </c>
      <c r="D432" s="16" t="n">
        <v>44582</v>
      </c>
      <c r="E432" s="19" t="n">
        <v>23.88</v>
      </c>
      <c r="G432" s="16" t="n">
        <v>44582</v>
      </c>
      <c r="H432" s="19" t="n">
        <v>2.12</v>
      </c>
    </row>
    <row r="433">
      <c r="A433" s="16" t="n">
        <v>44585</v>
      </c>
      <c r="B433" s="19" t="n">
        <v>2844.5</v>
      </c>
      <c r="D433" s="16" t="n">
        <v>44585</v>
      </c>
      <c r="E433" s="19" t="n">
        <v>23.51</v>
      </c>
      <c r="G433" s="16" t="n">
        <v>44585</v>
      </c>
      <c r="H433" s="19" t="n">
        <v>2.1</v>
      </c>
    </row>
    <row r="434">
      <c r="A434" s="16" t="n">
        <v>44586</v>
      </c>
      <c r="B434" s="19" t="n">
        <v>2877.81</v>
      </c>
      <c r="D434" s="16" t="n">
        <v>44586</v>
      </c>
      <c r="E434" s="19" t="n">
        <v>22.85</v>
      </c>
      <c r="G434" s="16" t="n">
        <v>44586</v>
      </c>
      <c r="H434" s="19" t="n">
        <v>2.08</v>
      </c>
    </row>
    <row r="435">
      <c r="A435" s="16" t="n">
        <v>44587</v>
      </c>
      <c r="B435" s="19" t="n">
        <v>2834.6</v>
      </c>
      <c r="D435" s="16" t="n">
        <v>44587</v>
      </c>
      <c r="E435" s="19" t="n">
        <v>23.16</v>
      </c>
      <c r="G435" s="16" t="n">
        <v>44587</v>
      </c>
      <c r="H435" s="19" t="n">
        <v>2.12</v>
      </c>
    </row>
    <row r="436">
      <c r="A436" s="16" t="n">
        <v>44588</v>
      </c>
      <c r="B436" s="19" t="n">
        <v>2831.15</v>
      </c>
      <c r="D436" s="16" t="n">
        <v>44588</v>
      </c>
      <c r="E436" s="19" t="n">
        <v>22.1</v>
      </c>
      <c r="G436" s="16" t="n">
        <v>44588</v>
      </c>
      <c r="H436" s="19" t="n">
        <v>2.12</v>
      </c>
    </row>
    <row r="437">
      <c r="A437" s="16" t="n">
        <v>44589</v>
      </c>
      <c r="B437" s="19" t="n">
        <v>2812.44</v>
      </c>
      <c r="D437" s="16" t="n">
        <v>44589</v>
      </c>
      <c r="E437" s="19" t="n">
        <v>22.23</v>
      </c>
      <c r="G437" s="16" t="n">
        <v>44589</v>
      </c>
      <c r="H437" s="19" t="n">
        <v>2.1</v>
      </c>
    </row>
    <row r="438">
      <c r="A438" s="16" t="n">
        <v>44592</v>
      </c>
      <c r="B438" s="19" t="n">
        <v>2844.5</v>
      </c>
      <c r="D438" s="16" t="n">
        <v>44592</v>
      </c>
      <c r="E438" s="19" t="n">
        <v>21.44</v>
      </c>
      <c r="G438" s="16" t="n">
        <v>44592</v>
      </c>
      <c r="H438" s="19" t="n">
        <v>2.06</v>
      </c>
    </row>
    <row r="439">
      <c r="A439" s="16" t="n">
        <v>44593</v>
      </c>
      <c r="B439" s="19" t="n">
        <v>2761.73</v>
      </c>
      <c r="D439" s="16" t="n">
        <v>44593</v>
      </c>
      <c r="E439" s="19" t="n">
        <v>22.76</v>
      </c>
      <c r="G439" s="16" t="n">
        <v>44593</v>
      </c>
      <c r="H439" s="19" t="n">
        <v>2.15</v>
      </c>
    </row>
    <row r="440">
      <c r="A440" s="16" t="n">
        <v>44594</v>
      </c>
      <c r="B440" s="19" t="n">
        <v>2767.25</v>
      </c>
      <c r="D440" s="16" t="n">
        <v>44594</v>
      </c>
      <c r="E440" s="19" t="n">
        <v>23.14</v>
      </c>
      <c r="G440" s="16" t="n">
        <v>44594</v>
      </c>
      <c r="H440" s="19" t="n">
        <v>2.17</v>
      </c>
    </row>
    <row r="441">
      <c r="A441" s="16" t="n">
        <v>44595</v>
      </c>
      <c r="B441" s="19" t="n">
        <v>2800.2</v>
      </c>
      <c r="D441" s="16" t="n">
        <v>44595</v>
      </c>
      <c r="E441" s="19" t="n">
        <v>22.73</v>
      </c>
      <c r="G441" s="16" t="n">
        <v>44595</v>
      </c>
      <c r="H441" s="19" t="n">
        <v>2.14</v>
      </c>
    </row>
    <row r="442">
      <c r="A442" s="16" t="n">
        <v>44596</v>
      </c>
      <c r="B442" s="19" t="n">
        <v>2815.74</v>
      </c>
      <c r="D442" s="16" t="n">
        <v>44596</v>
      </c>
      <c r="E442" s="19" t="n">
        <v>21.88</v>
      </c>
      <c r="G442" s="16" t="n">
        <v>44596</v>
      </c>
      <c r="H442" s="19" t="n">
        <v>2.13</v>
      </c>
    </row>
    <row r="443">
      <c r="A443" s="16" t="n">
        <v>44599</v>
      </c>
      <c r="B443" s="19" t="n">
        <v>2773.58</v>
      </c>
      <c r="D443" s="16" t="n">
        <v>44599</v>
      </c>
      <c r="E443" s="19" t="n">
        <v>23.59</v>
      </c>
      <c r="G443" s="16" t="n">
        <v>44599</v>
      </c>
      <c r="H443" s="19" t="n">
        <v>2.14</v>
      </c>
    </row>
    <row r="444">
      <c r="A444" s="16" t="n">
        <v>44600</v>
      </c>
      <c r="B444" s="19" t="n">
        <v>2769.17</v>
      </c>
      <c r="D444" s="16" t="n">
        <v>44600</v>
      </c>
      <c r="E444" s="19" t="n">
        <v>23.56</v>
      </c>
      <c r="G444" s="16" t="n">
        <v>44600</v>
      </c>
      <c r="H444" s="19" t="n">
        <v>2.1</v>
      </c>
    </row>
    <row r="445">
      <c r="A445" s="16" t="n">
        <v>44601</v>
      </c>
      <c r="B445" s="19" t="n">
        <v>2801.6</v>
      </c>
      <c r="D445" s="16" t="n">
        <v>44601</v>
      </c>
      <c r="E445" s="19" t="n">
        <v>22.68</v>
      </c>
      <c r="G445" s="16" t="n">
        <v>44601</v>
      </c>
      <c r="H445" s="19" t="n">
        <v>2.12</v>
      </c>
    </row>
    <row r="446">
      <c r="A446" s="16" t="n">
        <v>44602</v>
      </c>
      <c r="B446" s="19" t="n">
        <v>2735.74</v>
      </c>
      <c r="D446" s="16" t="n">
        <v>44602</v>
      </c>
      <c r="E446" s="19" t="n">
        <v>25.32</v>
      </c>
      <c r="G446" s="16" t="n">
        <v>44602</v>
      </c>
      <c r="H446" s="19" t="n">
        <v>2.19</v>
      </c>
    </row>
    <row r="447">
      <c r="A447" s="16" t="n">
        <v>44603</v>
      </c>
      <c r="B447" s="19" t="n">
        <v>2769.21</v>
      </c>
      <c r="D447" s="16" t="n">
        <v>44603</v>
      </c>
      <c r="E447" s="19" t="n">
        <v>24.15</v>
      </c>
      <c r="G447" s="16" t="n">
        <v>44603</v>
      </c>
      <c r="H447" s="19" t="n">
        <v>2.16</v>
      </c>
    </row>
    <row r="448">
      <c r="A448" s="16" t="n">
        <v>44606</v>
      </c>
      <c r="B448" s="19" t="n">
        <v>2752.78</v>
      </c>
      <c r="D448" s="16" t="n">
        <v>44606</v>
      </c>
      <c r="E448" s="19" t="n">
        <v>24.44</v>
      </c>
      <c r="G448" s="16" t="n">
        <v>44606</v>
      </c>
      <c r="H448" s="19" t="n">
        <v>2.15</v>
      </c>
    </row>
    <row r="449">
      <c r="A449" s="16" t="n">
        <v>44607</v>
      </c>
      <c r="B449" s="19" t="n">
        <v>2765.88</v>
      </c>
      <c r="D449" s="16" t="n">
        <v>44607</v>
      </c>
      <c r="E449" s="19" t="n">
        <v>23.87</v>
      </c>
      <c r="G449" s="16" t="n">
        <v>44607</v>
      </c>
      <c r="H449" s="19" t="n">
        <v>2.14</v>
      </c>
    </row>
    <row r="450">
      <c r="A450" s="16" t="n">
        <v>44608</v>
      </c>
      <c r="B450" s="19" t="n">
        <v>2751.44</v>
      </c>
      <c r="D450" s="16" t="n">
        <v>44608</v>
      </c>
      <c r="E450" s="19" t="n">
        <v>23.74</v>
      </c>
      <c r="G450" s="16" t="n">
        <v>44608</v>
      </c>
      <c r="H450" s="19" t="n">
        <v>2.16</v>
      </c>
    </row>
    <row r="451">
      <c r="A451" s="16" t="n">
        <v>44609</v>
      </c>
      <c r="B451" s="19" t="n">
        <v>2771.04</v>
      </c>
      <c r="D451" s="16" t="n">
        <v>44609</v>
      </c>
      <c r="E451" s="19" t="n">
        <v>22.59</v>
      </c>
      <c r="G451" s="16" t="n">
        <v>44609</v>
      </c>
      <c r="H451" s="19" t="n">
        <v>2.15</v>
      </c>
    </row>
    <row r="452">
      <c r="A452" s="16" t="n">
        <v>44610</v>
      </c>
      <c r="B452" s="19" t="n">
        <v>2743</v>
      </c>
      <c r="D452" s="16" t="n">
        <v>44610</v>
      </c>
      <c r="E452" s="19" t="n">
        <v>22.68</v>
      </c>
      <c r="G452" s="16" t="n">
        <v>44610</v>
      </c>
      <c r="H452" s="19" t="n">
        <v>2.18</v>
      </c>
    </row>
    <row r="453">
      <c r="A453" s="16" t="n">
        <v>44613</v>
      </c>
      <c r="B453" s="19" t="n">
        <v>2743.85</v>
      </c>
      <c r="D453" s="16" t="n">
        <v>44613</v>
      </c>
      <c r="E453" s="19" t="n">
        <v>21.63</v>
      </c>
      <c r="G453" s="16" t="n">
        <v>44613</v>
      </c>
      <c r="H453" s="19" t="n">
        <v>2.16</v>
      </c>
    </row>
    <row r="454">
      <c r="A454" s="16" t="n">
        <v>44614</v>
      </c>
      <c r="B454" s="19" t="n">
        <v>2673.54</v>
      </c>
      <c r="D454" s="16" t="n">
        <v>44614</v>
      </c>
      <c r="E454" s="19" t="n">
        <v>23.68</v>
      </c>
      <c r="G454" s="16" t="n">
        <v>44614</v>
      </c>
      <c r="H454" s="19" t="n">
        <v>2.2</v>
      </c>
    </row>
    <row r="455">
      <c r="A455" s="16" t="n">
        <v>44615</v>
      </c>
      <c r="B455" s="19" t="n">
        <v>2690.5</v>
      </c>
      <c r="D455" s="16" t="n">
        <v>44615</v>
      </c>
      <c r="E455" s="19" t="n">
        <v>22.86</v>
      </c>
      <c r="G455" s="16" t="n">
        <v>44615</v>
      </c>
      <c r="H455" s="19" t="n">
        <v>2.19</v>
      </c>
    </row>
    <row r="456">
      <c r="A456" s="16" t="n">
        <v>44616</v>
      </c>
      <c r="B456" s="19" t="n">
        <v>2692.32</v>
      </c>
      <c r="D456" s="16" t="n">
        <v>44616</v>
      </c>
      <c r="E456" s="19" t="n">
        <v>23.21</v>
      </c>
      <c r="G456" s="16" t="n">
        <v>44616</v>
      </c>
      <c r="H456" s="19" t="n">
        <v>2.18</v>
      </c>
    </row>
    <row r="457">
      <c r="A457" s="16" t="n">
        <v>44617</v>
      </c>
      <c r="B457" s="19" t="n">
        <v>2725.67</v>
      </c>
      <c r="D457" s="16" t="n">
        <v>44617</v>
      </c>
      <c r="E457" s="19" t="n">
        <v>22.57</v>
      </c>
      <c r="G457" s="16" t="n">
        <v>44617</v>
      </c>
      <c r="H457" s="19" t="n">
        <v>2.14</v>
      </c>
    </row>
    <row r="458">
      <c r="A458" s="16" t="n">
        <v>44620</v>
      </c>
      <c r="B458" s="19" t="n">
        <v>2726.29</v>
      </c>
      <c r="D458" s="16" t="n">
        <v>44620</v>
      </c>
      <c r="E458" s="19" t="n">
        <v>22.96</v>
      </c>
      <c r="G458" s="16" t="n">
        <v>44620</v>
      </c>
      <c r="H458" s="19" t="n">
        <v>2.15</v>
      </c>
    </row>
    <row r="459">
      <c r="A459" s="16" t="n">
        <v>44621</v>
      </c>
      <c r="B459" s="19" t="n">
        <v>2697.51</v>
      </c>
      <c r="D459" s="16" t="n">
        <v>44621</v>
      </c>
      <c r="E459" s="19" t="n">
        <v>24.43</v>
      </c>
      <c r="G459" s="16" t="n">
        <v>44621</v>
      </c>
      <c r="H459" s="19" t="n">
        <v>2.16</v>
      </c>
    </row>
    <row r="460">
      <c r="A460" s="16" t="n">
        <v>44622</v>
      </c>
      <c r="B460" s="19" t="n">
        <v>2700.74</v>
      </c>
      <c r="D460" s="16" t="n">
        <v>44622</v>
      </c>
      <c r="E460" s="19" t="n">
        <v>23.9</v>
      </c>
      <c r="G460" s="16" t="n">
        <v>44622</v>
      </c>
      <c r="H460" s="19" t="n">
        <v>2.14</v>
      </c>
    </row>
    <row r="461">
      <c r="A461" s="16" t="n">
        <v>44623</v>
      </c>
      <c r="B461" s="19" t="n">
        <v>2733.9</v>
      </c>
      <c r="D461" s="16" t="n">
        <v>44623</v>
      </c>
      <c r="E461" s="19" t="n">
        <v>22.94</v>
      </c>
      <c r="G461" s="16" t="n">
        <v>44623</v>
      </c>
      <c r="H461" s="19" t="n">
        <v>2.1</v>
      </c>
    </row>
    <row r="462">
      <c r="A462" s="16" t="n">
        <v>44624</v>
      </c>
      <c r="B462" s="19" t="n">
        <v>2703.43</v>
      </c>
      <c r="D462" s="16" t="n">
        <v>44624</v>
      </c>
      <c r="E462" s="19" t="n">
        <v>24.48</v>
      </c>
      <c r="G462" s="16" t="n">
        <v>44624</v>
      </c>
      <c r="H462" s="19" t="n">
        <v>2.13</v>
      </c>
    </row>
    <row r="463">
      <c r="A463" s="16" t="n">
        <v>44627</v>
      </c>
      <c r="B463" s="19" t="n">
        <v>2704.15</v>
      </c>
      <c r="D463" s="16" t="n">
        <v>44627</v>
      </c>
      <c r="E463" s="19" t="n">
        <v>22.72</v>
      </c>
      <c r="G463" s="16" t="n">
        <v>44627</v>
      </c>
      <c r="H463" s="19" t="n">
        <v>2.15</v>
      </c>
    </row>
    <row r="464">
      <c r="A464" s="16" t="n">
        <v>44628</v>
      </c>
      <c r="B464" s="19" t="n">
        <v>2716.84</v>
      </c>
      <c r="D464" s="16" t="n">
        <v>44628</v>
      </c>
      <c r="E464" s="19" t="n">
        <v>22.21</v>
      </c>
      <c r="G464" s="16" t="n">
        <v>44628</v>
      </c>
      <c r="H464" s="19" t="n">
        <v>2.13</v>
      </c>
    </row>
    <row r="465">
      <c r="A465" s="16" t="n">
        <v>44629</v>
      </c>
      <c r="B465" s="19" t="n">
        <v>2666.56</v>
      </c>
      <c r="D465" s="16" t="n">
        <v>44629</v>
      </c>
      <c r="E465" s="19" t="n">
        <v>24.37</v>
      </c>
      <c r="G465" s="16" t="n">
        <v>44629</v>
      </c>
      <c r="H465" s="19" t="n">
        <v>2.19</v>
      </c>
    </row>
    <row r="466">
      <c r="A466" s="16" t="n">
        <v>44630</v>
      </c>
      <c r="B466" s="19" t="n">
        <v>2745.11</v>
      </c>
      <c r="D466" s="16" t="n">
        <v>44630</v>
      </c>
      <c r="E466" s="19" t="n">
        <v>20.99</v>
      </c>
      <c r="G466" s="16" t="n">
        <v>44630</v>
      </c>
      <c r="H466" s="19" t="n">
        <v>2.14</v>
      </c>
    </row>
    <row r="467">
      <c r="A467" s="16" t="n">
        <v>44631</v>
      </c>
      <c r="B467" s="19" t="n">
        <v>2737.23</v>
      </c>
      <c r="D467" s="16" t="n">
        <v>44631</v>
      </c>
      <c r="E467" s="19" t="n">
        <v>22.2</v>
      </c>
      <c r="G467" s="16" t="n">
        <v>44631</v>
      </c>
      <c r="H467" s="19" t="n">
        <v>2.14</v>
      </c>
    </row>
    <row r="468">
      <c r="A468" s="16" t="n">
        <v>44634</v>
      </c>
      <c r="B468" s="19" t="n">
        <v>2806.55</v>
      </c>
      <c r="D468" s="16" t="n">
        <v>44634</v>
      </c>
      <c r="E468" s="19" t="n">
        <v>18.62</v>
      </c>
      <c r="G468" s="16" t="n">
        <v>44634</v>
      </c>
      <c r="H468" s="19" t="n">
        <v>2.09</v>
      </c>
    </row>
    <row r="469">
      <c r="A469" s="16" t="n">
        <v>44635</v>
      </c>
      <c r="B469" s="19" t="n">
        <v>2802.89</v>
      </c>
      <c r="D469" s="16" t="n">
        <v>44635</v>
      </c>
      <c r="E469" s="19" t="n">
        <v>19.02</v>
      </c>
      <c r="G469" s="16" t="n">
        <v>44635</v>
      </c>
      <c r="H469" s="19" t="n">
        <v>2.1</v>
      </c>
    </row>
    <row r="470">
      <c r="A470" s="16" t="n">
        <v>44636</v>
      </c>
      <c r="B470" s="19" t="n">
        <v>2738.6</v>
      </c>
      <c r="D470" s="16" t="n">
        <v>44636</v>
      </c>
      <c r="E470" s="19" t="n">
        <v>21.08</v>
      </c>
      <c r="G470" s="16" t="n">
        <v>44636</v>
      </c>
      <c r="H470" s="19" t="n">
        <v>2.14</v>
      </c>
    </row>
    <row r="471">
      <c r="A471" s="16" t="n">
        <v>44637</v>
      </c>
      <c r="B471" s="19" t="n">
        <v>2718.63</v>
      </c>
      <c r="D471" s="16" t="n">
        <v>44637</v>
      </c>
      <c r="E471" s="19" t="n">
        <v>23.35</v>
      </c>
      <c r="G471" s="16" t="n">
        <v>44637</v>
      </c>
      <c r="H471" s="19" t="n">
        <v>2.1</v>
      </c>
    </row>
    <row r="472">
      <c r="A472" s="16" t="n">
        <v>44638</v>
      </c>
      <c r="B472" s="19" t="n">
        <v>2735.17</v>
      </c>
      <c r="D472" s="16" t="n">
        <v>44638</v>
      </c>
      <c r="E472" s="19" t="n">
        <v>22.64</v>
      </c>
      <c r="G472" s="16" t="n">
        <v>44638</v>
      </c>
      <c r="H472" s="19" t="n">
        <v>2.07</v>
      </c>
    </row>
    <row r="473">
      <c r="A473" s="16" t="n">
        <v>44641</v>
      </c>
      <c r="B473" s="19" t="n">
        <v>2717.88</v>
      </c>
      <c r="D473" s="16" t="n">
        <v>44641</v>
      </c>
      <c r="E473" s="19" t="n">
        <v>22.21</v>
      </c>
      <c r="G473" s="16" t="n">
        <v>44641</v>
      </c>
      <c r="H473" s="19" t="n">
        <v>2.06</v>
      </c>
    </row>
    <row r="474">
      <c r="A474" s="16" t="n">
        <v>44642</v>
      </c>
      <c r="B474" s="19" t="n">
        <v>2666.71</v>
      </c>
      <c r="D474" s="16" t="n">
        <v>44642</v>
      </c>
      <c r="E474" s="19" t="n">
        <v>22.37</v>
      </c>
      <c r="G474" s="16" t="n">
        <v>44642</v>
      </c>
      <c r="H474" s="19" t="n">
        <v>2.08</v>
      </c>
    </row>
    <row r="475">
      <c r="A475" s="16" t="n">
        <v>44643</v>
      </c>
      <c r="B475" s="19" t="n">
        <v>2685.46</v>
      </c>
      <c r="D475" s="16" t="n">
        <v>44643</v>
      </c>
      <c r="E475" s="19" t="n">
        <v>21.41</v>
      </c>
      <c r="G475" s="16" t="n">
        <v>44643</v>
      </c>
      <c r="H475" s="19" t="n">
        <v>2.11</v>
      </c>
    </row>
    <row r="476">
      <c r="A476" s="16" t="n">
        <v>44644</v>
      </c>
      <c r="B476" s="19" t="n">
        <v>2727.75</v>
      </c>
      <c r="D476" s="16" t="n">
        <v>44644</v>
      </c>
      <c r="E476" s="19" t="n">
        <v>20.34</v>
      </c>
      <c r="G476" s="16" t="n">
        <v>44644</v>
      </c>
      <c r="H476" s="19" t="n">
        <v>2.06</v>
      </c>
    </row>
    <row r="477">
      <c r="A477" s="16" t="n">
        <v>44645</v>
      </c>
      <c r="B477" s="19" t="n">
        <v>2785.66</v>
      </c>
      <c r="D477" s="16" t="n">
        <v>44645</v>
      </c>
      <c r="E477" s="19" t="n">
        <v>18.62</v>
      </c>
      <c r="G477" s="16" t="n">
        <v>44645</v>
      </c>
      <c r="H477" s="19" t="n">
        <v>2.06</v>
      </c>
    </row>
    <row r="478">
      <c r="A478" s="16" t="n">
        <v>44648</v>
      </c>
      <c r="B478" s="19" t="n">
        <v>2768.64</v>
      </c>
      <c r="D478" s="16" t="n">
        <v>44648</v>
      </c>
      <c r="E478" s="19" t="n">
        <v>19.07</v>
      </c>
      <c r="G478" s="16" t="n">
        <v>44648</v>
      </c>
      <c r="H478" s="19" t="n">
        <v>2.08</v>
      </c>
    </row>
    <row r="479">
      <c r="A479" s="16" t="n">
        <v>44649</v>
      </c>
      <c r="B479" s="19" t="n">
        <v>2754.33</v>
      </c>
      <c r="D479" s="16" t="n">
        <v>44649</v>
      </c>
      <c r="E479" s="19" t="n">
        <v>20.25</v>
      </c>
      <c r="G479" s="16" t="n">
        <v>44649</v>
      </c>
      <c r="H479" s="19" t="n">
        <v>2.09</v>
      </c>
    </row>
    <row r="480">
      <c r="A480" s="16" t="n">
        <v>44650</v>
      </c>
      <c r="B480" s="19" t="n">
        <v>2748.79</v>
      </c>
      <c r="D480" s="16" t="n">
        <v>44650</v>
      </c>
      <c r="E480" s="19" t="n">
        <v>21.08</v>
      </c>
      <c r="G480" s="16" t="n">
        <v>44650</v>
      </c>
      <c r="H480" s="19" t="n">
        <v>2.08</v>
      </c>
    </row>
    <row r="481">
      <c r="A481" s="16" t="n">
        <v>44651</v>
      </c>
      <c r="B481" s="19" t="n">
        <v>2778.3</v>
      </c>
      <c r="D481" s="16" t="n">
        <v>44651</v>
      </c>
      <c r="E481" s="19" t="n">
        <v>19.41</v>
      </c>
      <c r="G481" s="16" t="n">
        <v>44651</v>
      </c>
      <c r="H481" s="19" t="n">
        <v>2.04</v>
      </c>
    </row>
    <row r="482">
      <c r="A482" s="16" t="n">
        <v>44652</v>
      </c>
      <c r="B482" s="19" t="n">
        <v>2761.01</v>
      </c>
      <c r="D482" s="16" t="n">
        <v>44652</v>
      </c>
      <c r="E482" s="19" t="n">
        <v>20.17</v>
      </c>
      <c r="G482" s="16" t="n">
        <v>44652</v>
      </c>
      <c r="H482" s="19" t="n">
        <v>2.05</v>
      </c>
    </row>
    <row r="483">
      <c r="A483" s="16" t="n">
        <v>44655</v>
      </c>
      <c r="B483" s="19" t="n">
        <v>2687.22</v>
      </c>
      <c r="D483" s="16" t="n">
        <v>44655</v>
      </c>
      <c r="E483" s="19" t="n">
        <v>22.41</v>
      </c>
      <c r="G483" s="16" t="n">
        <v>44655</v>
      </c>
      <c r="H483" s="19" t="n">
        <v>2.1</v>
      </c>
    </row>
    <row r="484">
      <c r="A484" s="16" t="n">
        <v>44656</v>
      </c>
      <c r="B484" s="19" t="n">
        <v>2640.57</v>
      </c>
      <c r="D484" s="16" t="n">
        <v>44656</v>
      </c>
      <c r="E484" s="19" t="n">
        <v>23.4</v>
      </c>
      <c r="G484" s="16" t="n">
        <v>44656</v>
      </c>
      <c r="H484" s="19" t="n">
        <v>2.12</v>
      </c>
    </row>
    <row r="485">
      <c r="A485" s="16" t="n">
        <v>44657</v>
      </c>
      <c r="B485" s="19" t="n">
        <v>2686</v>
      </c>
      <c r="D485" s="16" t="n">
        <v>44657</v>
      </c>
      <c r="E485" s="19" t="n">
        <v>21.23</v>
      </c>
      <c r="G485" s="16" t="n">
        <v>44657</v>
      </c>
      <c r="H485" s="19" t="n">
        <v>2.06</v>
      </c>
    </row>
    <row r="486">
      <c r="A486" s="16" t="n">
        <v>44658</v>
      </c>
      <c r="B486" s="19" t="n">
        <v>2733.78</v>
      </c>
      <c r="D486" s="16" t="n">
        <v>44658</v>
      </c>
      <c r="E486" s="19" t="n">
        <v>20.01</v>
      </c>
      <c r="G486" s="16" t="n">
        <v>44658</v>
      </c>
      <c r="H486" s="19" t="n">
        <v>2.01</v>
      </c>
    </row>
    <row r="487">
      <c r="A487" s="16" t="n">
        <v>44659</v>
      </c>
      <c r="B487" s="19" t="n">
        <v>2739.38</v>
      </c>
      <c r="D487" s="16" t="n">
        <v>44659</v>
      </c>
      <c r="E487" s="19" t="n">
        <v>19.32</v>
      </c>
      <c r="G487" s="16" t="n">
        <v>44659</v>
      </c>
      <c r="H487" s="19" t="n">
        <v>1.99</v>
      </c>
    </row>
    <row r="488">
      <c r="A488" s="16" t="n">
        <v>44662</v>
      </c>
      <c r="B488" s="19" t="n">
        <v>2723.42</v>
      </c>
      <c r="D488" s="16" t="n">
        <v>44662</v>
      </c>
      <c r="E488" s="19" t="n">
        <v>19.17</v>
      </c>
      <c r="G488" s="16" t="n">
        <v>44662</v>
      </c>
      <c r="H488" s="19" t="n">
        <v>2.01</v>
      </c>
    </row>
    <row r="489">
      <c r="A489" s="16" t="n">
        <v>44663</v>
      </c>
      <c r="B489" s="19" t="n">
        <v>2711.39</v>
      </c>
      <c r="D489" s="16" t="n">
        <v>44663</v>
      </c>
      <c r="E489" s="19" t="n">
        <v>20.66</v>
      </c>
      <c r="G489" s="16" t="n">
        <v>44663</v>
      </c>
      <c r="H489" s="19" t="n">
        <v>1.99</v>
      </c>
    </row>
    <row r="490">
      <c r="A490" s="16" t="n">
        <v>44664</v>
      </c>
      <c r="B490" s="19" t="n">
        <v>2661.65</v>
      </c>
      <c r="D490" s="16" t="n">
        <v>44664</v>
      </c>
      <c r="E490" s="19" t="n">
        <v>21.94</v>
      </c>
      <c r="G490" s="16" t="n">
        <v>44664</v>
      </c>
      <c r="H490" s="19" t="n">
        <v>2.05</v>
      </c>
    </row>
    <row r="491">
      <c r="A491" s="16" t="n">
        <v>44665</v>
      </c>
      <c r="B491" s="19" t="n">
        <v>2658.55</v>
      </c>
      <c r="D491" s="16" t="n">
        <v>44665</v>
      </c>
      <c r="E491" s="19" t="n">
        <v>22.08</v>
      </c>
      <c r="G491" s="16" t="n">
        <v>44665</v>
      </c>
      <c r="H491" s="19" t="n">
        <v>2.05</v>
      </c>
    </row>
    <row r="492">
      <c r="A492" s="16" t="n">
        <v>44666</v>
      </c>
      <c r="B492" s="19" t="n">
        <v>2645.71</v>
      </c>
      <c r="D492" s="16" t="n">
        <v>44666</v>
      </c>
      <c r="E492" s="19" t="n">
        <v>21.78</v>
      </c>
      <c r="G492" s="16" t="n">
        <v>44666</v>
      </c>
      <c r="H492" s="19" t="n">
        <v>2.1</v>
      </c>
    </row>
    <row r="493">
      <c r="A493" s="16" t="n">
        <v>44669</v>
      </c>
      <c r="B493" s="19" t="n">
        <v>2650.46</v>
      </c>
      <c r="D493" s="16" t="n">
        <v>44669</v>
      </c>
      <c r="E493" s="19" t="n">
        <v>20.86</v>
      </c>
      <c r="G493" s="16" t="n">
        <v>44669</v>
      </c>
      <c r="H493" s="19" t="n">
        <v>2.1</v>
      </c>
    </row>
    <row r="494">
      <c r="A494" s="16" t="n">
        <v>44670</v>
      </c>
      <c r="B494" s="19" t="n">
        <v>2561.25</v>
      </c>
      <c r="D494" s="16" t="n">
        <v>44670</v>
      </c>
      <c r="E494" s="19" t="n">
        <v>23.44</v>
      </c>
      <c r="G494" s="16" t="n">
        <v>44670</v>
      </c>
      <c r="H494" s="19" t="n">
        <v>2.15</v>
      </c>
    </row>
    <row r="495">
      <c r="A495" s="16" t="n">
        <v>44671</v>
      </c>
      <c r="B495" s="19" t="n">
        <v>2546.56</v>
      </c>
      <c r="D495" s="16" t="n">
        <v>44671</v>
      </c>
      <c r="E495" s="19" t="n">
        <v>22.73</v>
      </c>
      <c r="G495" s="16" t="n">
        <v>44671</v>
      </c>
      <c r="H495" s="19" t="n">
        <v>2.17</v>
      </c>
    </row>
    <row r="496">
      <c r="A496" s="16" t="n">
        <v>44672</v>
      </c>
      <c r="B496" s="19" t="n">
        <v>2546.16</v>
      </c>
      <c r="D496" s="16" t="n">
        <v>44672</v>
      </c>
      <c r="E496" s="19" t="n">
        <v>22.56</v>
      </c>
      <c r="G496" s="16" t="n">
        <v>44672</v>
      </c>
      <c r="H496" s="19" t="n">
        <v>2.17</v>
      </c>
    </row>
    <row r="497">
      <c r="A497" s="16" t="n">
        <v>44673</v>
      </c>
      <c r="B497" s="19" t="n">
        <v>2607.24</v>
      </c>
      <c r="D497" s="16" t="n">
        <v>44673</v>
      </c>
      <c r="E497" s="19" t="n">
        <v>20.1</v>
      </c>
      <c r="G497" s="16" t="n">
        <v>44673</v>
      </c>
      <c r="H497" s="19" t="n">
        <v>2.17</v>
      </c>
    </row>
    <row r="498">
      <c r="A498" s="16" t="n">
        <v>44676</v>
      </c>
      <c r="B498" s="19" t="n">
        <v>2640.71</v>
      </c>
      <c r="D498" s="16" t="n">
        <v>44676</v>
      </c>
      <c r="E498" s="19" t="n">
        <v>19.49</v>
      </c>
      <c r="G498" s="16" t="n">
        <v>44676</v>
      </c>
      <c r="H498" s="19" t="n">
        <v>2.18</v>
      </c>
    </row>
    <row r="499">
      <c r="A499" s="16" t="n">
        <v>44677</v>
      </c>
      <c r="B499" s="19" t="n">
        <v>2654.88</v>
      </c>
      <c r="D499" s="16" t="n">
        <v>44677</v>
      </c>
      <c r="E499" s="19" t="n">
        <v>19.44</v>
      </c>
      <c r="G499" s="16" t="n">
        <v>44677</v>
      </c>
      <c r="H499" s="19" t="n">
        <v>2.2</v>
      </c>
    </row>
    <row r="500">
      <c r="A500" s="16" t="n">
        <v>44678</v>
      </c>
      <c r="B500" s="19" t="n">
        <v>2640.18</v>
      </c>
      <c r="D500" s="16" t="n">
        <v>44678</v>
      </c>
      <c r="E500" s="19" t="n">
        <v>19.57</v>
      </c>
      <c r="G500" s="16" t="n">
        <v>44678</v>
      </c>
      <c r="H500" s="19" t="n">
        <v>2.27</v>
      </c>
    </row>
    <row r="501">
      <c r="A501" s="16" t="n">
        <v>44679</v>
      </c>
      <c r="B501" s="19" t="n">
        <v>2626.02</v>
      </c>
      <c r="D501" s="16" t="n">
        <v>44679</v>
      </c>
      <c r="E501" s="19" t="n">
        <v>20.76</v>
      </c>
      <c r="G501" s="16" t="n">
        <v>44679</v>
      </c>
      <c r="H501" s="19" t="n">
        <v>2.27</v>
      </c>
    </row>
    <row r="502">
      <c r="A502" s="16" t="n">
        <v>44680</v>
      </c>
      <c r="B502" s="19" t="n">
        <v>2615.46</v>
      </c>
      <c r="D502" s="16" t="n">
        <v>44680</v>
      </c>
      <c r="E502" s="19" t="n">
        <v>22.38</v>
      </c>
      <c r="G502" s="16" t="n">
        <v>44680</v>
      </c>
      <c r="H502" s="19" t="n">
        <v>2.27</v>
      </c>
    </row>
    <row r="503">
      <c r="A503" s="16" t="n">
        <v>44683</v>
      </c>
      <c r="B503" s="19" t="n">
        <v>2628.15</v>
      </c>
      <c r="D503" s="16" t="n">
        <v>44683</v>
      </c>
      <c r="E503" s="19" t="n">
        <v>21.75</v>
      </c>
      <c r="G503" s="16" t="n">
        <v>44683</v>
      </c>
      <c r="H503" s="19" t="n">
        <v>2.27</v>
      </c>
    </row>
    <row r="504">
      <c r="A504" s="16" t="n">
        <v>44684</v>
      </c>
      <c r="B504" s="19" t="n">
        <v>2694.08</v>
      </c>
      <c r="D504" s="16" t="n">
        <v>44684</v>
      </c>
      <c r="E504" s="19" t="n">
        <v>19.98</v>
      </c>
      <c r="G504" s="16" t="n">
        <v>44684</v>
      </c>
      <c r="H504" s="19" t="n">
        <v>2.19</v>
      </c>
    </row>
    <row r="505">
      <c r="A505" s="16" t="n">
        <v>44685</v>
      </c>
      <c r="B505" s="19" t="n">
        <v>2717.61</v>
      </c>
      <c r="D505" s="16" t="n">
        <v>44685</v>
      </c>
      <c r="E505" s="19" t="n">
        <v>18.43</v>
      </c>
      <c r="G505" s="16" t="n">
        <v>44685</v>
      </c>
      <c r="H505" s="19" t="n">
        <v>2.18</v>
      </c>
    </row>
    <row r="506">
      <c r="A506" s="16" t="n">
        <v>44686</v>
      </c>
      <c r="B506" s="19" t="n">
        <v>2692.38</v>
      </c>
      <c r="D506" s="16" t="n">
        <v>44686</v>
      </c>
      <c r="E506" s="19" t="n">
        <v>18.72</v>
      </c>
      <c r="G506" s="16" t="n">
        <v>44686</v>
      </c>
      <c r="H506" s="19" t="n">
        <v>2.23</v>
      </c>
    </row>
    <row r="507">
      <c r="A507" s="16" t="n">
        <v>44687</v>
      </c>
      <c r="B507" s="19" t="n">
        <v>2713.99</v>
      </c>
      <c r="D507" s="16" t="n">
        <v>44687</v>
      </c>
      <c r="E507" s="19" t="n">
        <v>17.71</v>
      </c>
      <c r="G507" s="16" t="n">
        <v>44687</v>
      </c>
      <c r="H507" s="19" t="n">
        <v>2.21</v>
      </c>
    </row>
    <row r="508">
      <c r="A508" s="16" t="n">
        <v>44690</v>
      </c>
      <c r="B508" s="19" t="n">
        <v>2728.48</v>
      </c>
      <c r="D508" s="16" t="n">
        <v>44690</v>
      </c>
      <c r="E508" s="19" t="n">
        <v>17.63</v>
      </c>
      <c r="G508" s="16" t="n">
        <v>44690</v>
      </c>
      <c r="H508" s="19" t="n">
        <v>2.21</v>
      </c>
    </row>
    <row r="509">
      <c r="A509" s="16" t="n">
        <v>44691</v>
      </c>
      <c r="B509" s="19" t="n">
        <v>2708.93</v>
      </c>
      <c r="D509" s="16" t="n">
        <v>44691</v>
      </c>
      <c r="E509" s="19" t="n">
        <v>17.9</v>
      </c>
      <c r="G509" s="16" t="n">
        <v>44691</v>
      </c>
      <c r="H509" s="19" t="n">
        <v>2.23</v>
      </c>
    </row>
    <row r="510">
      <c r="A510" s="16" t="n">
        <v>44692</v>
      </c>
      <c r="B510" s="19" t="n">
        <v>2669.35</v>
      </c>
      <c r="D510" s="16" t="n">
        <v>44692</v>
      </c>
      <c r="E510" s="19" t="n">
        <v>18.78</v>
      </c>
      <c r="G510" s="16" t="n">
        <v>44692</v>
      </c>
      <c r="H510" s="19" t="n">
        <v>2.26</v>
      </c>
    </row>
    <row r="511">
      <c r="A511" s="16" t="n">
        <v>44693</v>
      </c>
      <c r="B511" s="19" t="n">
        <v>2669.67</v>
      </c>
      <c r="D511" s="16" t="n">
        <v>44693</v>
      </c>
      <c r="E511" s="19" t="n">
        <v>18.49</v>
      </c>
      <c r="G511" s="16" t="n">
        <v>44693</v>
      </c>
      <c r="H511" s="19" t="n">
        <v>2.21</v>
      </c>
    </row>
    <row r="512">
      <c r="A512" s="16" t="n">
        <v>44694</v>
      </c>
      <c r="B512" s="19" t="n">
        <v>2639.37</v>
      </c>
      <c r="D512" s="16" t="n">
        <v>44694</v>
      </c>
      <c r="E512" s="19" t="n">
        <v>20.36</v>
      </c>
      <c r="G512" s="16" t="n">
        <v>44694</v>
      </c>
      <c r="H512" s="19" t="n">
        <v>2.23</v>
      </c>
    </row>
    <row r="513">
      <c r="A513" s="16" t="n">
        <v>44697</v>
      </c>
      <c r="B513" s="19" t="n">
        <v>2658.03</v>
      </c>
      <c r="D513" s="16" t="n">
        <v>44697</v>
      </c>
      <c r="E513" s="19" t="n">
        <v>19.07</v>
      </c>
      <c r="G513" s="16" t="n">
        <v>44697</v>
      </c>
      <c r="H513" s="19" t="n">
        <v>2.19</v>
      </c>
    </row>
    <row r="514">
      <c r="A514" s="16" t="n">
        <v>44698</v>
      </c>
      <c r="B514" s="19" t="n">
        <v>2642.37</v>
      </c>
      <c r="D514" s="16" t="n">
        <v>44698</v>
      </c>
      <c r="E514" s="19" t="n">
        <v>20.02</v>
      </c>
      <c r="G514" s="16" t="n">
        <v>44698</v>
      </c>
      <c r="H514" s="19" t="n">
        <v>2.21</v>
      </c>
    </row>
    <row r="515">
      <c r="A515" s="16" t="n">
        <v>44699</v>
      </c>
      <c r="B515" s="19" t="n">
        <v>2610.92</v>
      </c>
      <c r="D515" s="16" t="n">
        <v>44699</v>
      </c>
      <c r="E515" s="19" t="n">
        <v>21.08</v>
      </c>
      <c r="G515" s="16" t="n">
        <v>44699</v>
      </c>
      <c r="H515" s="19" t="n">
        <v>2.24</v>
      </c>
    </row>
    <row r="516">
      <c r="A516" s="16" t="n">
        <v>44700</v>
      </c>
      <c r="B516" s="19" t="n">
        <v>2622.67</v>
      </c>
      <c r="D516" s="16" t="n">
        <v>44700</v>
      </c>
      <c r="E516" s="19" t="n">
        <v>21.13</v>
      </c>
      <c r="G516" s="16" t="n">
        <v>44700</v>
      </c>
      <c r="H516" s="19" t="n">
        <v>2.28</v>
      </c>
    </row>
    <row r="517">
      <c r="A517" s="16" t="n">
        <v>44701</v>
      </c>
      <c r="B517" s="19" t="n">
        <v>2630.12</v>
      </c>
      <c r="D517" s="16" t="n">
        <v>44701</v>
      </c>
      <c r="E517" s="19" t="n">
        <v>21.53</v>
      </c>
      <c r="G517" s="16" t="n">
        <v>44701</v>
      </c>
      <c r="H517" s="19" t="n">
        <v>2.27</v>
      </c>
    </row>
    <row r="518">
      <c r="A518" s="16" t="n">
        <v>44704</v>
      </c>
      <c r="B518" s="19" t="n">
        <v>2592.1</v>
      </c>
      <c r="D518" s="16" t="n">
        <v>44704</v>
      </c>
      <c r="E518" s="19" t="n">
        <v>22.9</v>
      </c>
      <c r="G518" s="16" t="n">
        <v>44704</v>
      </c>
      <c r="H518" s="19" t="n">
        <v>2.31</v>
      </c>
    </row>
    <row r="519">
      <c r="A519" s="16" t="n">
        <v>44705</v>
      </c>
      <c r="B519" s="19" t="n">
        <v>2532.48</v>
      </c>
      <c r="D519" s="16" t="n">
        <v>44705</v>
      </c>
      <c r="E519" s="19" t="n">
        <v>24.99</v>
      </c>
      <c r="G519" s="16" t="n">
        <v>44705</v>
      </c>
      <c r="H519" s="19" t="n">
        <v>2.35</v>
      </c>
    </row>
    <row r="520">
      <c r="A520" s="16" t="n">
        <v>44706</v>
      </c>
      <c r="B520" s="19" t="n">
        <v>2511.7</v>
      </c>
      <c r="D520" s="16" t="n">
        <v>44706</v>
      </c>
      <c r="E520" s="19" t="n">
        <v>25.28</v>
      </c>
      <c r="G520" s="16" t="n">
        <v>44706</v>
      </c>
      <c r="H520" s="19" t="n">
        <v>2.36</v>
      </c>
    </row>
    <row r="521">
      <c r="A521" s="16" t="n">
        <v>44707</v>
      </c>
      <c r="B521" s="19" t="n">
        <v>2529.34</v>
      </c>
      <c r="D521" s="16" t="n">
        <v>44707</v>
      </c>
      <c r="E521" s="19" t="n">
        <v>23.94</v>
      </c>
      <c r="G521" s="16" t="n">
        <v>44707</v>
      </c>
      <c r="H521" s="19" t="n">
        <v>2.36</v>
      </c>
    </row>
    <row r="522">
      <c r="A522" s="16" t="n">
        <v>44708</v>
      </c>
      <c r="B522" s="19" t="n">
        <v>2557.36</v>
      </c>
      <c r="D522" s="16" t="n">
        <v>44708</v>
      </c>
      <c r="E522" s="19" t="n">
        <v>23.59</v>
      </c>
      <c r="G522" s="16" t="n">
        <v>44708</v>
      </c>
      <c r="H522" s="19" t="n">
        <v>2.36</v>
      </c>
    </row>
    <row r="523">
      <c r="A523" s="16" t="n">
        <v>44711</v>
      </c>
      <c r="B523" s="19" t="n">
        <v>2562.62</v>
      </c>
      <c r="D523" s="16" t="n">
        <v>44711</v>
      </c>
      <c r="E523" s="19" t="n">
        <v>23.6</v>
      </c>
      <c r="G523" s="16" t="n">
        <v>44711</v>
      </c>
      <c r="H523" s="19" t="n">
        <v>2.34</v>
      </c>
    </row>
    <row r="524">
      <c r="A524" s="16" t="n">
        <v>44712</v>
      </c>
      <c r="B524" s="19" t="n">
        <v>2508.21</v>
      </c>
      <c r="D524" s="16" t="n">
        <v>44712</v>
      </c>
      <c r="E524" s="19" t="n">
        <v>25.21</v>
      </c>
      <c r="G524" s="16" t="n">
        <v>44712</v>
      </c>
      <c r="H524" s="19" t="n">
        <v>2.39</v>
      </c>
    </row>
    <row r="525">
      <c r="A525" s="16" t="n">
        <v>44713</v>
      </c>
      <c r="B525" s="19" t="n">
        <v>2464.88</v>
      </c>
      <c r="D525" s="16" t="n">
        <v>44713</v>
      </c>
      <c r="E525" s="19" t="n">
        <v>26.39</v>
      </c>
      <c r="G525" s="16" t="n">
        <v>44713</v>
      </c>
      <c r="H525" s="19" t="n">
        <v>2.43</v>
      </c>
    </row>
    <row r="526">
      <c r="A526" s="16" t="n">
        <v>44714</v>
      </c>
      <c r="B526" s="19" t="n">
        <v>2468.19</v>
      </c>
      <c r="D526" s="16" t="n">
        <v>44714</v>
      </c>
      <c r="E526" s="19" t="n">
        <v>26.05</v>
      </c>
      <c r="G526" s="16" t="n">
        <v>44714</v>
      </c>
      <c r="H526" s="19" t="n">
        <v>2.39</v>
      </c>
    </row>
    <row r="527">
      <c r="A527" s="16" t="n">
        <v>44715</v>
      </c>
      <c r="B527" s="19" t="n">
        <v>2503.44</v>
      </c>
      <c r="D527" s="16" t="n">
        <v>44715</v>
      </c>
      <c r="E527" s="19" t="n">
        <v>24.5</v>
      </c>
      <c r="G527" s="16" t="n">
        <v>44715</v>
      </c>
      <c r="H527" s="19" t="n">
        <v>2.36</v>
      </c>
    </row>
    <row r="528">
      <c r="A528" s="16" t="n">
        <v>44718</v>
      </c>
      <c r="B528" s="19" t="n">
        <v>2513.32</v>
      </c>
      <c r="D528" s="16" t="n">
        <v>44718</v>
      </c>
      <c r="E528" s="19" t="n">
        <v>24.65</v>
      </c>
      <c r="G528" s="16" t="n">
        <v>44718</v>
      </c>
      <c r="H528" s="19" t="n">
        <v>2.37</v>
      </c>
    </row>
    <row r="529">
      <c r="A529" s="16" t="n">
        <v>44719</v>
      </c>
      <c r="B529" s="19" t="n">
        <v>2545.39</v>
      </c>
      <c r="D529" s="16" t="n">
        <v>44719</v>
      </c>
      <c r="E529" s="19" t="n">
        <v>24.26</v>
      </c>
      <c r="G529" s="16" t="n">
        <v>44719</v>
      </c>
      <c r="H529" s="19" t="n">
        <v>2.32</v>
      </c>
    </row>
    <row r="530">
      <c r="A530" s="16" t="n">
        <v>44720</v>
      </c>
      <c r="B530" s="19" t="n">
        <v>2530.71</v>
      </c>
      <c r="D530" s="16" t="n">
        <v>44720</v>
      </c>
      <c r="E530" s="19" t="n">
        <v>24.55</v>
      </c>
      <c r="G530" s="16" t="n">
        <v>44720</v>
      </c>
      <c r="H530" s="19" t="n">
        <v>2.33</v>
      </c>
    </row>
    <row r="531">
      <c r="A531" s="16" t="n">
        <v>44721</v>
      </c>
      <c r="B531" s="19" t="n">
        <v>2498.72</v>
      </c>
      <c r="D531" s="16" t="n">
        <v>44721</v>
      </c>
      <c r="E531" s="19" t="n">
        <v>25.98</v>
      </c>
      <c r="G531" s="16" t="n">
        <v>44721</v>
      </c>
      <c r="H531" s="19" t="n">
        <v>2.36</v>
      </c>
    </row>
    <row r="532">
      <c r="A532" s="16" t="n">
        <v>44722</v>
      </c>
      <c r="B532" s="19" t="n">
        <v>2476.49</v>
      </c>
      <c r="D532" s="16" t="n">
        <v>44722</v>
      </c>
      <c r="E532" s="19" t="n">
        <v>26.73</v>
      </c>
      <c r="G532" s="16" t="n">
        <v>44722</v>
      </c>
      <c r="H532" s="19" t="n">
        <v>2.35</v>
      </c>
    </row>
    <row r="533">
      <c r="A533" s="16" t="n">
        <v>44725</v>
      </c>
      <c r="B533" s="19" t="n">
        <v>2500.07</v>
      </c>
      <c r="D533" s="16" t="n">
        <v>44725</v>
      </c>
      <c r="E533" s="19" t="n">
        <v>25.54</v>
      </c>
      <c r="G533" s="16" t="n">
        <v>44725</v>
      </c>
      <c r="H533" s="19" t="n">
        <v>2.31</v>
      </c>
    </row>
    <row r="534">
      <c r="A534" s="16" t="n">
        <v>44726</v>
      </c>
      <c r="B534" s="19" t="n">
        <v>2510.61</v>
      </c>
      <c r="D534" s="16" t="n">
        <v>44726</v>
      </c>
      <c r="E534" s="19" t="n">
        <v>25.64</v>
      </c>
      <c r="G534" s="16" t="n">
        <v>44726</v>
      </c>
      <c r="H534" s="19" t="n">
        <v>2.32</v>
      </c>
    </row>
    <row r="535">
      <c r="A535" s="16" t="n">
        <v>44727</v>
      </c>
      <c r="B535" s="19" t="n">
        <v>2529.6</v>
      </c>
      <c r="D535" s="16" t="n">
        <v>44727</v>
      </c>
      <c r="E535" s="19" t="n">
        <v>23.52</v>
      </c>
      <c r="G535" s="16" t="n">
        <v>44727</v>
      </c>
      <c r="H535" s="19" t="n">
        <v>2.3</v>
      </c>
    </row>
    <row r="536">
      <c r="A536" s="16" t="n">
        <v>44728</v>
      </c>
      <c r="B536" s="19" t="n">
        <v>2507.23</v>
      </c>
      <c r="D536" s="16" t="n">
        <v>44728</v>
      </c>
      <c r="E536" s="19" t="n">
        <v>24.6</v>
      </c>
      <c r="G536" s="16" t="n">
        <v>44728</v>
      </c>
      <c r="H536" s="19" t="n">
        <v>2.3</v>
      </c>
    </row>
    <row r="537">
      <c r="A537" s="16" t="n">
        <v>44729</v>
      </c>
      <c r="B537" s="19" t="n">
        <v>2488.91</v>
      </c>
      <c r="D537" s="16" t="n">
        <v>44729</v>
      </c>
      <c r="E537" s="19" t="n">
        <v>24.72</v>
      </c>
      <c r="G537" s="16" t="n">
        <v>44729</v>
      </c>
      <c r="H537" s="19" t="n">
        <v>2.28</v>
      </c>
    </row>
    <row r="538">
      <c r="A538" s="16" t="n">
        <v>44732</v>
      </c>
      <c r="B538" s="19" t="n">
        <v>2490.96</v>
      </c>
      <c r="D538" s="16" t="n">
        <v>44732</v>
      </c>
      <c r="E538" s="19" t="n">
        <v>24.34</v>
      </c>
      <c r="G538" s="16" t="n">
        <v>44732</v>
      </c>
      <c r="H538" s="19" t="n">
        <v>2.24</v>
      </c>
    </row>
    <row r="539">
      <c r="A539" s="16" t="n">
        <v>44733</v>
      </c>
      <c r="B539" s="19" t="n">
        <v>2502.1</v>
      </c>
      <c r="D539" s="16" t="n">
        <v>44733</v>
      </c>
      <c r="E539" s="19" t="n">
        <v>24.26</v>
      </c>
      <c r="G539" s="16" t="n">
        <v>44733</v>
      </c>
      <c r="H539" s="19" t="n">
        <v>2.22</v>
      </c>
    </row>
    <row r="540">
      <c r="A540" s="16" t="n">
        <v>44734</v>
      </c>
      <c r="B540" s="19" t="n">
        <v>2543.52</v>
      </c>
      <c r="D540" s="16" t="n">
        <v>44734</v>
      </c>
      <c r="E540" s="19" t="n">
        <v>22.07</v>
      </c>
      <c r="G540" s="16" t="n">
        <v>44734</v>
      </c>
      <c r="H540" s="19" t="n">
        <v>2.22</v>
      </c>
    </row>
    <row r="541">
      <c r="A541" s="16" t="n">
        <v>44735</v>
      </c>
      <c r="B541" s="19" t="n">
        <v>2484.67</v>
      </c>
      <c r="D541" s="16" t="n">
        <v>44735</v>
      </c>
      <c r="E541" s="19" t="n">
        <v>24.02</v>
      </c>
      <c r="G541" s="16" t="n">
        <v>44735</v>
      </c>
      <c r="H541" s="19" t="n">
        <v>2.24</v>
      </c>
    </row>
    <row r="542">
      <c r="A542" s="16" t="n">
        <v>44736</v>
      </c>
      <c r="B542" s="19" t="n">
        <v>2495.14</v>
      </c>
      <c r="D542" s="16" t="n">
        <v>44736</v>
      </c>
      <c r="E542" s="19" t="n">
        <v>22.92</v>
      </c>
      <c r="G542" s="16" t="n">
        <v>44736</v>
      </c>
      <c r="H542" s="19" t="n">
        <v>2.24</v>
      </c>
    </row>
    <row r="543">
      <c r="A543" s="16" t="n">
        <v>44739</v>
      </c>
      <c r="B543" s="19" t="n">
        <v>2455.44</v>
      </c>
      <c r="D543" s="16" t="n">
        <v>44739</v>
      </c>
      <c r="E543" s="19" t="n">
        <v>23.89</v>
      </c>
      <c r="G543" s="16" t="n">
        <v>44739</v>
      </c>
      <c r="H543" s="19" t="n">
        <v>2.25</v>
      </c>
    </row>
    <row r="544">
      <c r="A544" s="16" t="n">
        <v>44740</v>
      </c>
      <c r="B544" s="19" t="n">
        <v>2456.3</v>
      </c>
      <c r="D544" s="16" t="n">
        <v>44740</v>
      </c>
      <c r="E544" s="19" t="n">
        <v>22.9</v>
      </c>
      <c r="G544" s="16" t="n">
        <v>44740</v>
      </c>
      <c r="H544" s="19" t="n">
        <v>2.27</v>
      </c>
    </row>
    <row r="545">
      <c r="A545" s="16" t="n">
        <v>44741</v>
      </c>
      <c r="B545" s="19" t="n">
        <v>2439.32</v>
      </c>
      <c r="D545" s="16" t="n">
        <v>44741</v>
      </c>
      <c r="E545" s="19" t="n">
        <v>23.85</v>
      </c>
      <c r="G545" s="16" t="n">
        <v>44741</v>
      </c>
      <c r="H545" s="19" t="n">
        <v>2.28</v>
      </c>
    </row>
    <row r="546">
      <c r="A546" s="16" t="n">
        <v>44742</v>
      </c>
      <c r="B546" s="19" t="n">
        <v>2451.05</v>
      </c>
      <c r="D546" s="16" t="n">
        <v>44742</v>
      </c>
      <c r="E546" s="19" t="n">
        <v>23.16</v>
      </c>
      <c r="G546" s="16" t="n">
        <v>44742</v>
      </c>
      <c r="H546" s="19" t="n">
        <v>2.24</v>
      </c>
    </row>
    <row r="547">
      <c r="A547" s="16" t="n">
        <v>44743</v>
      </c>
      <c r="B547" s="19" t="n">
        <v>2413.51</v>
      </c>
      <c r="D547" s="16" t="n">
        <v>44743</v>
      </c>
      <c r="E547" s="19" t="n">
        <v>25.13</v>
      </c>
      <c r="G547" s="16" t="n">
        <v>44743</v>
      </c>
      <c r="H547" s="19" t="n">
        <v>2.27</v>
      </c>
    </row>
    <row r="548">
      <c r="A548" s="16" t="n">
        <v>44746</v>
      </c>
      <c r="B548" s="19" t="inlineStr">
        <is>
          <t>.</t>
        </is>
      </c>
      <c r="D548" s="16" t="n">
        <v>44746</v>
      </c>
      <c r="E548" s="19" t="inlineStr"/>
      <c r="G548" s="16" t="n">
        <v>44746</v>
      </c>
      <c r="H548" s="19" t="inlineStr">
        <is>
          <t>.</t>
        </is>
      </c>
    </row>
    <row r="549">
      <c r="A549" s="16" t="n">
        <v>44747</v>
      </c>
      <c r="B549" s="19" t="n">
        <v>2447.7</v>
      </c>
      <c r="D549" s="16" t="n">
        <v>44747</v>
      </c>
      <c r="E549" s="19" t="n">
        <v>24.24</v>
      </c>
      <c r="G549" s="16" t="n">
        <v>44747</v>
      </c>
      <c r="H549" s="19" t="n">
        <v>2.25</v>
      </c>
    </row>
    <row r="550">
      <c r="A550" s="16" t="n">
        <v>44748</v>
      </c>
      <c r="B550" s="19" t="n">
        <v>2455.54</v>
      </c>
      <c r="D550" s="16" t="n">
        <v>44748</v>
      </c>
      <c r="E550" s="19" t="n">
        <v>23.31</v>
      </c>
      <c r="G550" s="16" t="n">
        <v>44748</v>
      </c>
      <c r="H550" s="19" t="n">
        <v>2.2</v>
      </c>
    </row>
    <row r="551">
      <c r="A551" s="16" t="n">
        <v>44749</v>
      </c>
      <c r="B551" s="19" t="n">
        <v>2463.11</v>
      </c>
      <c r="D551" s="16" t="n">
        <v>44749</v>
      </c>
      <c r="E551" s="19" t="n">
        <v>22.34</v>
      </c>
      <c r="G551" s="16" t="n">
        <v>44749</v>
      </c>
      <c r="H551" s="19" t="n">
        <v>2.16</v>
      </c>
    </row>
    <row r="552">
      <c r="A552" s="16" t="n">
        <v>44750</v>
      </c>
      <c r="B552" s="19" t="n">
        <v>2424.52</v>
      </c>
      <c r="D552" s="16" t="n">
        <v>44750</v>
      </c>
      <c r="E552" s="19" t="n">
        <v>24.27</v>
      </c>
      <c r="G552" s="16" t="n">
        <v>44750</v>
      </c>
      <c r="H552" s="19" t="n">
        <v>2.22</v>
      </c>
    </row>
    <row r="553">
      <c r="A553" s="16" t="n">
        <v>44753</v>
      </c>
      <c r="B553" s="19" t="n">
        <v>2452.5</v>
      </c>
      <c r="D553" s="16" t="n">
        <v>44753</v>
      </c>
      <c r="E553" s="19" t="n">
        <v>23.41</v>
      </c>
      <c r="G553" s="16" t="n">
        <v>44753</v>
      </c>
      <c r="H553" s="19" t="n">
        <v>2.19</v>
      </c>
    </row>
    <row r="554">
      <c r="A554" s="16" t="n">
        <v>44754</v>
      </c>
      <c r="B554" s="19" t="n">
        <v>2438.58</v>
      </c>
      <c r="D554" s="16" t="n">
        <v>44754</v>
      </c>
      <c r="E554" s="19" t="n">
        <v>23.6</v>
      </c>
      <c r="G554" s="16" t="n">
        <v>44754</v>
      </c>
      <c r="H554" s="19" t="n">
        <v>2.21</v>
      </c>
    </row>
    <row r="555">
      <c r="A555" s="16" t="n">
        <v>44755</v>
      </c>
      <c r="B555" s="19" t="n">
        <v>2452.59</v>
      </c>
      <c r="D555" s="16" t="n">
        <v>44755</v>
      </c>
      <c r="E555" s="19" t="n">
        <v>23.06</v>
      </c>
      <c r="G555" s="16" t="n">
        <v>44755</v>
      </c>
      <c r="H555" s="19" t="n">
        <v>2.21</v>
      </c>
    </row>
    <row r="556">
      <c r="A556" s="16" t="n">
        <v>44756</v>
      </c>
      <c r="B556" s="19" t="n">
        <v>2489.22</v>
      </c>
      <c r="D556" s="16" t="n">
        <v>44756</v>
      </c>
      <c r="E556" s="19" t="n">
        <v>22.5</v>
      </c>
      <c r="G556" s="16" t="n">
        <v>44756</v>
      </c>
      <c r="H556" s="19" t="n">
        <v>2.15</v>
      </c>
    </row>
    <row r="557">
      <c r="A557" s="16" t="n">
        <v>44757</v>
      </c>
      <c r="B557" s="19" t="n">
        <v>2471.99</v>
      </c>
      <c r="D557" s="16" t="n">
        <v>44757</v>
      </c>
      <c r="E557" s="19" t="n">
        <v>22.51</v>
      </c>
      <c r="G557" s="16" t="n">
        <v>44757</v>
      </c>
      <c r="H557" s="19" t="n">
        <v>2.18</v>
      </c>
    </row>
    <row r="558">
      <c r="A558" s="16" t="n">
        <v>44760</v>
      </c>
      <c r="B558" s="19" t="n">
        <v>2448.61</v>
      </c>
      <c r="D558" s="16" t="n">
        <v>44760</v>
      </c>
      <c r="E558" s="19" t="n">
        <v>22.64</v>
      </c>
      <c r="G558" s="16" t="n">
        <v>44760</v>
      </c>
      <c r="H558" s="19" t="n">
        <v>2.23</v>
      </c>
    </row>
    <row r="559">
      <c r="A559" s="16" t="n">
        <v>44761</v>
      </c>
      <c r="B559" s="19" t="n">
        <v>2409.37</v>
      </c>
      <c r="D559" s="16" t="n">
        <v>44761</v>
      </c>
      <c r="E559" s="19" t="n">
        <v>22.8</v>
      </c>
      <c r="G559" s="16" t="n">
        <v>44761</v>
      </c>
      <c r="H559" s="19" t="n">
        <v>2.26</v>
      </c>
    </row>
    <row r="560">
      <c r="A560" s="16" t="n">
        <v>44762</v>
      </c>
      <c r="B560" s="19" t="n">
        <v>2417.37</v>
      </c>
      <c r="D560" s="16" t="n">
        <v>44762</v>
      </c>
      <c r="E560" s="19" t="n">
        <v>21.98</v>
      </c>
      <c r="G560" s="16" t="n">
        <v>44762</v>
      </c>
      <c r="H560" s="19" t="n">
        <v>2.22</v>
      </c>
    </row>
    <row r="561">
      <c r="A561" s="16" t="n">
        <v>44763</v>
      </c>
      <c r="B561" s="19" t="n">
        <v>2353.64</v>
      </c>
      <c r="D561" s="16" t="n">
        <v>44763</v>
      </c>
      <c r="E561" s="19" t="n">
        <v>24.68</v>
      </c>
      <c r="G561" s="16" t="n">
        <v>44763</v>
      </c>
      <c r="H561" s="19" t="n">
        <v>2.28</v>
      </c>
    </row>
    <row r="562">
      <c r="A562" s="16" t="n">
        <v>44764</v>
      </c>
      <c r="B562" s="19" t="n">
        <v>2340.61</v>
      </c>
      <c r="D562" s="16" t="n">
        <v>44764</v>
      </c>
      <c r="E562" s="19" t="n">
        <v>24.69</v>
      </c>
      <c r="G562" s="16" t="n">
        <v>44764</v>
      </c>
      <c r="H562" s="19" t="n">
        <v>2.3</v>
      </c>
    </row>
    <row r="563">
      <c r="A563" s="16" t="n">
        <v>44767</v>
      </c>
      <c r="B563" s="19" t="n">
        <v>2358.58</v>
      </c>
      <c r="D563" s="16" t="n">
        <v>44767</v>
      </c>
      <c r="E563" s="19" t="n">
        <v>22.71</v>
      </c>
      <c r="G563" s="16" t="n">
        <v>44767</v>
      </c>
      <c r="H563" s="19" t="n">
        <v>2.28</v>
      </c>
    </row>
    <row r="564">
      <c r="A564" s="16" t="n">
        <v>44768</v>
      </c>
      <c r="B564" s="19" t="n">
        <v>2339.09</v>
      </c>
      <c r="D564" s="16" t="n">
        <v>44768</v>
      </c>
      <c r="E564" s="19" t="n">
        <v>23.62</v>
      </c>
      <c r="G564" s="16" t="n">
        <v>44768</v>
      </c>
      <c r="H564" s="19" t="n">
        <v>2.28</v>
      </c>
    </row>
    <row r="565">
      <c r="A565" s="16" t="n">
        <v>44769</v>
      </c>
      <c r="B565" s="19" t="n">
        <v>2301.47</v>
      </c>
      <c r="D565" s="16" t="n">
        <v>44769</v>
      </c>
      <c r="E565" s="19" t="n">
        <v>24.75</v>
      </c>
      <c r="G565" s="16" t="n">
        <v>44769</v>
      </c>
      <c r="H565" s="19" t="n">
        <v>2.31</v>
      </c>
    </row>
    <row r="566">
      <c r="A566" s="16" t="n">
        <v>44770</v>
      </c>
      <c r="B566" s="19" t="n">
        <v>2315.45</v>
      </c>
      <c r="D566" s="16" t="n">
        <v>44770</v>
      </c>
      <c r="E566" s="19" t="n">
        <v>23.95</v>
      </c>
      <c r="G566" s="16" t="n">
        <v>44770</v>
      </c>
      <c r="H566" s="19" t="n">
        <v>2.3</v>
      </c>
    </row>
    <row r="567">
      <c r="A567" s="16" t="n">
        <v>44771</v>
      </c>
      <c r="B567" s="19" t="n">
        <v>2320.45</v>
      </c>
      <c r="D567" s="16" t="n">
        <v>44771</v>
      </c>
      <c r="E567" s="19" t="n">
        <v>23.23</v>
      </c>
      <c r="G567" s="16" t="n">
        <v>44771</v>
      </c>
      <c r="H567" s="19" t="n">
        <v>2.3</v>
      </c>
    </row>
    <row r="568">
      <c r="A568" s="16" t="n">
        <v>44774</v>
      </c>
      <c r="B568" s="19" t="n">
        <v>2356.88</v>
      </c>
      <c r="D568" s="16" t="n">
        <v>44774</v>
      </c>
      <c r="E568" s="19" t="n">
        <v>21.38</v>
      </c>
      <c r="G568" s="16" t="n">
        <v>44774</v>
      </c>
      <c r="H568" s="19" t="n">
        <v>2.25</v>
      </c>
    </row>
    <row r="569">
      <c r="A569" s="16" t="n">
        <v>44775</v>
      </c>
      <c r="B569" s="19" t="n">
        <v>2355.74</v>
      </c>
      <c r="D569" s="16" t="n">
        <v>44775</v>
      </c>
      <c r="E569" s="19" t="n">
        <v>20.59</v>
      </c>
      <c r="G569" s="16" t="n">
        <v>44775</v>
      </c>
      <c r="H569" s="19" t="n">
        <v>2.23</v>
      </c>
    </row>
    <row r="570">
      <c r="A570" s="16" t="n">
        <v>44776</v>
      </c>
      <c r="B570" s="19" t="n">
        <v>2365.91</v>
      </c>
      <c r="D570" s="16" t="n">
        <v>44776</v>
      </c>
      <c r="E570" s="19" t="n">
        <v>20.25</v>
      </c>
      <c r="G570" s="16" t="n">
        <v>44776</v>
      </c>
      <c r="H570" s="19" t="n">
        <v>2.23</v>
      </c>
    </row>
    <row r="571">
      <c r="A571" s="16" t="n">
        <v>44777</v>
      </c>
      <c r="B571" s="19" t="n">
        <v>2346.78</v>
      </c>
      <c r="D571" s="16" t="n">
        <v>44777</v>
      </c>
      <c r="E571" s="19" t="n">
        <v>21.16</v>
      </c>
      <c r="G571" s="16" t="n">
        <v>44777</v>
      </c>
      <c r="H571" s="19" t="n">
        <v>2.26</v>
      </c>
    </row>
    <row r="572">
      <c r="A572" s="16" t="n">
        <v>44778</v>
      </c>
      <c r="B572" s="19" t="n">
        <v>2282.43</v>
      </c>
      <c r="D572" s="16" t="n">
        <v>44778</v>
      </c>
      <c r="E572" s="19" t="n">
        <v>22.93</v>
      </c>
      <c r="G572" s="16" t="n">
        <v>44778</v>
      </c>
      <c r="H572" s="19" t="n">
        <v>2.32</v>
      </c>
    </row>
    <row r="573">
      <c r="A573" s="16" t="n">
        <v>44781</v>
      </c>
      <c r="B573" s="19" t="n">
        <v>2290.89</v>
      </c>
      <c r="D573" s="16" t="n">
        <v>44781</v>
      </c>
      <c r="E573" s="19" t="n">
        <v>22.93</v>
      </c>
      <c r="G573" s="16" t="n">
        <v>44781</v>
      </c>
      <c r="H573" s="19" t="n">
        <v>2.28</v>
      </c>
    </row>
    <row r="574">
      <c r="A574" s="16" t="n">
        <v>44782</v>
      </c>
      <c r="B574" s="19" t="n">
        <v>2282.54</v>
      </c>
      <c r="D574" s="16" t="n">
        <v>44782</v>
      </c>
      <c r="E574" s="19" t="n">
        <v>22.88</v>
      </c>
      <c r="G574" s="16" t="n">
        <v>44782</v>
      </c>
      <c r="H574" s="19" t="n">
        <v>2.28</v>
      </c>
    </row>
    <row r="575">
      <c r="A575" s="16" t="n">
        <v>44783</v>
      </c>
      <c r="B575" s="19" t="n">
        <v>2247.33</v>
      </c>
      <c r="D575" s="16" t="n">
        <v>44783</v>
      </c>
      <c r="E575" s="19" t="n">
        <v>23.88</v>
      </c>
      <c r="G575" s="16" t="n">
        <v>44783</v>
      </c>
      <c r="H575" s="19" t="n">
        <v>2.32</v>
      </c>
    </row>
    <row r="576">
      <c r="A576" s="16" t="n">
        <v>44784</v>
      </c>
      <c r="B576" s="19" t="n">
        <v>2234.13</v>
      </c>
      <c r="D576" s="16" t="n">
        <v>44784</v>
      </c>
      <c r="E576" s="19" t="n">
        <v>23.81</v>
      </c>
      <c r="G576" s="16" t="n">
        <v>44784</v>
      </c>
      <c r="H576" s="19" t="n">
        <v>2.34</v>
      </c>
    </row>
    <row r="577">
      <c r="A577" s="16" t="n">
        <v>44785</v>
      </c>
      <c r="B577" s="19" t="n">
        <v>2256.67</v>
      </c>
      <c r="D577" s="16" t="n">
        <v>44785</v>
      </c>
      <c r="E577" s="19" t="n">
        <v>24.06</v>
      </c>
      <c r="G577" s="16" t="n">
        <v>44785</v>
      </c>
      <c r="H577" s="19" t="n">
        <v>2.31</v>
      </c>
    </row>
    <row r="578">
      <c r="A578" s="16" t="n">
        <v>44788</v>
      </c>
      <c r="B578" s="19" t="n">
        <v>2270.7</v>
      </c>
      <c r="D578" s="16" t="n">
        <v>44788</v>
      </c>
      <c r="E578" s="19" t="n">
        <v>23.51</v>
      </c>
      <c r="G578" s="16" t="n">
        <v>44788</v>
      </c>
      <c r="H578" s="19" t="n">
        <v>2.29</v>
      </c>
    </row>
    <row r="579">
      <c r="A579" s="16" t="n">
        <v>44789</v>
      </c>
      <c r="B579" s="19" t="n">
        <v>2268.46</v>
      </c>
      <c r="D579" s="16" t="n">
        <v>44789</v>
      </c>
      <c r="E579" s="19" t="n">
        <v>22.57</v>
      </c>
      <c r="G579" s="16" t="n">
        <v>44789</v>
      </c>
      <c r="H579" s="19" t="n">
        <v>2.25</v>
      </c>
    </row>
    <row r="580">
      <c r="A580" s="16" t="n">
        <v>44790</v>
      </c>
      <c r="B580" s="19" t="n">
        <v>2274.55</v>
      </c>
      <c r="D580" s="16" t="n">
        <v>44790</v>
      </c>
      <c r="E580" s="19" t="n">
        <v>22.27</v>
      </c>
      <c r="G580" s="16" t="n">
        <v>44790</v>
      </c>
      <c r="H580" s="19" t="n">
        <v>2.25</v>
      </c>
    </row>
    <row r="581">
      <c r="A581" s="16" t="n">
        <v>44791</v>
      </c>
      <c r="B581" s="19" t="n">
        <v>2266.98</v>
      </c>
      <c r="D581" s="16" t="n">
        <v>44791</v>
      </c>
      <c r="E581" s="19" t="n">
        <v>22.5</v>
      </c>
      <c r="G581" s="16" t="n">
        <v>44791</v>
      </c>
      <c r="H581" s="19" t="n">
        <v>2.26</v>
      </c>
    </row>
    <row r="582">
      <c r="A582" s="16" t="n">
        <v>44792</v>
      </c>
      <c r="B582" s="19" t="n">
        <v>2269.77</v>
      </c>
      <c r="D582" s="16" t="n">
        <v>44792</v>
      </c>
      <c r="E582" s="19" t="n">
        <v>23.35</v>
      </c>
      <c r="G582" s="16" t="n">
        <v>44792</v>
      </c>
      <c r="H582" s="19" t="n">
        <v>2.23</v>
      </c>
    </row>
    <row r="583">
      <c r="A583" s="16" t="n">
        <v>44795</v>
      </c>
      <c r="B583" s="19" t="n">
        <v>2230.52</v>
      </c>
      <c r="D583" s="16" t="n">
        <v>44795</v>
      </c>
      <c r="E583" s="19" t="n">
        <v>24.98</v>
      </c>
      <c r="G583" s="16" t="n">
        <v>44795</v>
      </c>
      <c r="H583" s="19" t="n">
        <v>2.26</v>
      </c>
    </row>
    <row r="584">
      <c r="A584" s="16" t="n">
        <v>44796</v>
      </c>
      <c r="B584" s="19" t="n">
        <v>2183.15</v>
      </c>
      <c r="D584" s="16" t="n">
        <v>44796</v>
      </c>
      <c r="E584" s="19" t="n">
        <v>27.4</v>
      </c>
      <c r="G584" s="16" t="n">
        <v>44796</v>
      </c>
      <c r="H584" s="19" t="n">
        <v>2.3</v>
      </c>
    </row>
    <row r="585">
      <c r="A585" s="16" t="n">
        <v>44797</v>
      </c>
      <c r="B585" s="19" t="n">
        <v>2173.92</v>
      </c>
      <c r="D585" s="16" t="n">
        <v>44797</v>
      </c>
      <c r="E585" s="19" t="n">
        <v>27.79</v>
      </c>
      <c r="G585" s="16" t="n">
        <v>44797</v>
      </c>
      <c r="H585" s="19" t="n">
        <v>2.31</v>
      </c>
    </row>
    <row r="586">
      <c r="A586" s="16" t="n">
        <v>44798</v>
      </c>
      <c r="B586" s="19" t="n">
        <v>2152.61</v>
      </c>
      <c r="D586" s="16" t="n">
        <v>44798</v>
      </c>
      <c r="E586" s="19" t="n">
        <v>27.78</v>
      </c>
      <c r="G586" s="16" t="n">
        <v>44798</v>
      </c>
      <c r="H586" s="19" t="n">
        <v>2.29</v>
      </c>
    </row>
    <row r="587">
      <c r="A587" s="16" t="n">
        <v>44799</v>
      </c>
      <c r="B587" s="19" t="n">
        <v>2109.96</v>
      </c>
      <c r="D587" s="16" t="n">
        <v>44799</v>
      </c>
      <c r="E587" s="19" t="n">
        <v>29.87</v>
      </c>
      <c r="G587" s="16" t="n">
        <v>44799</v>
      </c>
      <c r="H587" s="19" t="n">
        <v>2.36</v>
      </c>
    </row>
    <row r="588">
      <c r="A588" s="16" t="n">
        <v>44802</v>
      </c>
      <c r="B588" s="19" t="n">
        <v>2130.86</v>
      </c>
      <c r="D588" s="16" t="n">
        <v>44802</v>
      </c>
      <c r="E588" s="19" t="n">
        <v>28.9</v>
      </c>
      <c r="G588" s="16" t="n">
        <v>44802</v>
      </c>
      <c r="H588" s="19" t="n">
        <v>2.3</v>
      </c>
    </row>
    <row r="589">
      <c r="A589" s="16" t="n">
        <v>44803</v>
      </c>
      <c r="B589" s="19" t="n">
        <v>2101.86</v>
      </c>
      <c r="D589" s="16" t="n">
        <v>44803</v>
      </c>
      <c r="E589" s="19" t="n">
        <v>29.64</v>
      </c>
      <c r="G589" s="16" t="n">
        <v>44803</v>
      </c>
      <c r="H589" s="19" t="n">
        <v>2.35</v>
      </c>
    </row>
    <row r="590">
      <c r="A590" s="16" t="n">
        <v>44804</v>
      </c>
      <c r="B590" s="19" t="n">
        <v>2123.68</v>
      </c>
      <c r="D590" s="16" t="n">
        <v>44804</v>
      </c>
      <c r="E590" s="19" t="n">
        <v>28.72</v>
      </c>
      <c r="G590" s="16" t="n">
        <v>44804</v>
      </c>
      <c r="H590" s="19" t="n">
        <v>2.35</v>
      </c>
    </row>
    <row r="591">
      <c r="A591" s="16" t="n">
        <v>44805</v>
      </c>
      <c r="B591" s="19" t="n">
        <v>2099.25</v>
      </c>
      <c r="D591" s="16" t="n">
        <v>44805</v>
      </c>
      <c r="E591" s="19" t="n">
        <v>29.58</v>
      </c>
      <c r="G591" s="16" t="n">
        <v>44805</v>
      </c>
      <c r="H591" s="19" t="n">
        <v>2.37</v>
      </c>
    </row>
    <row r="592">
      <c r="A592" s="16" t="n">
        <v>44806</v>
      </c>
      <c r="B592" s="19" t="n">
        <v>2136.75</v>
      </c>
      <c r="D592" s="16" t="n">
        <v>44806</v>
      </c>
      <c r="E592" s="19" t="n">
        <v>26.57</v>
      </c>
      <c r="G592" s="16" t="n">
        <v>44806</v>
      </c>
      <c r="H592" s="19" t="n">
        <v>2.31</v>
      </c>
    </row>
    <row r="593">
      <c r="A593" s="16" t="n">
        <v>44809</v>
      </c>
      <c r="B593" s="19" t="n">
        <v>2122.11</v>
      </c>
      <c r="D593" s="16" t="n">
        <v>44809</v>
      </c>
      <c r="E593" s="19" t="n">
        <v>26.82</v>
      </c>
      <c r="G593" s="16" t="n">
        <v>44809</v>
      </c>
      <c r="H593" s="19" t="n">
        <v>2.35</v>
      </c>
    </row>
    <row r="594">
      <c r="A594" s="16" t="n">
        <v>44810</v>
      </c>
      <c r="B594" s="19" t="n">
        <v>2114.62</v>
      </c>
      <c r="D594" s="16" t="n">
        <v>44810</v>
      </c>
      <c r="E594" s="19" t="n">
        <v>26.65</v>
      </c>
      <c r="G594" s="16" t="n">
        <v>44810</v>
      </c>
      <c r="H594" s="19" t="n">
        <v>2.39</v>
      </c>
    </row>
    <row r="595">
      <c r="A595" s="16" t="n">
        <v>44811</v>
      </c>
      <c r="B595" s="19" t="n">
        <v>2071.45</v>
      </c>
      <c r="D595" s="16" t="n">
        <v>44811</v>
      </c>
      <c r="E595" s="19" t="n">
        <v>28.77</v>
      </c>
      <c r="G595" s="16" t="n">
        <v>44811</v>
      </c>
      <c r="H595" s="19" t="n">
        <v>2.42</v>
      </c>
    </row>
    <row r="596">
      <c r="A596" s="16" t="n">
        <v>44812</v>
      </c>
      <c r="B596" s="19" t="n">
        <v>2055.97</v>
      </c>
      <c r="D596" s="16" t="n">
        <v>44812</v>
      </c>
      <c r="E596" s="19" t="n">
        <v>29.51</v>
      </c>
      <c r="G596" s="16" t="n">
        <v>44812</v>
      </c>
      <c r="H596" s="19" t="n">
        <v>2.44</v>
      </c>
    </row>
    <row r="597">
      <c r="A597" s="16" t="n">
        <v>44813</v>
      </c>
      <c r="B597" s="19" t="n">
        <v>2074.3</v>
      </c>
      <c r="D597" s="16" t="n">
        <v>44813</v>
      </c>
      <c r="E597" s="19" t="n">
        <v>28.64</v>
      </c>
      <c r="G597" s="16" t="n">
        <v>44813</v>
      </c>
      <c r="H597" s="19" t="n">
        <v>2.42</v>
      </c>
    </row>
    <row r="598">
      <c r="A598" s="16" t="n">
        <v>44816</v>
      </c>
      <c r="B598" s="19" t="n">
        <v>2088.8</v>
      </c>
      <c r="D598" s="16" t="n">
        <v>44816</v>
      </c>
      <c r="E598" s="19" t="n">
        <v>26.89</v>
      </c>
      <c r="G598" s="16" t="n">
        <v>44816</v>
      </c>
      <c r="H598" s="19" t="n">
        <v>2.41</v>
      </c>
    </row>
    <row r="599">
      <c r="A599" s="16" t="n">
        <v>44817</v>
      </c>
      <c r="B599" s="19" t="n">
        <v>2110.48</v>
      </c>
      <c r="D599" s="16" t="n">
        <v>44817</v>
      </c>
      <c r="E599" s="19" t="n">
        <v>25.83</v>
      </c>
      <c r="G599" s="16" t="n">
        <v>44817</v>
      </c>
      <c r="H599" s="19" t="n">
        <v>2.41</v>
      </c>
    </row>
    <row r="600">
      <c r="A600" s="16" t="n">
        <v>44818</v>
      </c>
      <c r="B600" s="19" t="n">
        <v>2158.22</v>
      </c>
      <c r="D600" s="16" t="n">
        <v>44818</v>
      </c>
      <c r="E600" s="19" t="n">
        <v>23.68</v>
      </c>
      <c r="G600" s="16" t="n">
        <v>44818</v>
      </c>
      <c r="H600" s="19" t="n">
        <v>2.34</v>
      </c>
    </row>
    <row r="601">
      <c r="A601" s="16" t="n">
        <v>44819</v>
      </c>
      <c r="B601" s="19" t="n">
        <v>2129.32</v>
      </c>
      <c r="D601" s="16" t="n">
        <v>44819</v>
      </c>
      <c r="E601" s="19" t="n">
        <v>24.24</v>
      </c>
      <c r="G601" s="16" t="n">
        <v>44819</v>
      </c>
      <c r="H601" s="19" t="n">
        <v>2.34</v>
      </c>
    </row>
    <row r="602">
      <c r="A602" s="16" t="n">
        <v>44820</v>
      </c>
      <c r="B602" s="19" t="n">
        <v>2123.62</v>
      </c>
      <c r="D602" s="16" t="n">
        <v>44820</v>
      </c>
      <c r="E602" s="19" t="n">
        <v>23.79</v>
      </c>
      <c r="G602" s="16" t="n">
        <v>44820</v>
      </c>
      <c r="H602" s="19" t="n">
        <v>2.34</v>
      </c>
    </row>
    <row r="603">
      <c r="A603" s="16" t="n">
        <v>44823</v>
      </c>
      <c r="B603" s="19" t="n">
        <v>2128.29</v>
      </c>
      <c r="D603" s="16" t="n">
        <v>44823</v>
      </c>
      <c r="E603" s="19" t="n">
        <v>23.2</v>
      </c>
      <c r="G603" s="16" t="n">
        <v>44823</v>
      </c>
      <c r="H603" s="19" t="n">
        <v>2.31</v>
      </c>
    </row>
    <row r="604">
      <c r="A604" s="16" t="n">
        <v>44824</v>
      </c>
      <c r="B604" s="19" t="n">
        <v>2140.94</v>
      </c>
      <c r="D604" s="16" t="n">
        <v>44824</v>
      </c>
      <c r="E604" s="19" t="n">
        <v>22.98</v>
      </c>
      <c r="G604" s="16" t="n">
        <v>44824</v>
      </c>
      <c r="H604" s="19" t="n">
        <v>2.28</v>
      </c>
    </row>
    <row r="605">
      <c r="A605" s="16" t="n">
        <v>44825</v>
      </c>
      <c r="B605" s="19" t="n">
        <v>2168.18</v>
      </c>
      <c r="D605" s="16" t="n">
        <v>44825</v>
      </c>
      <c r="E605" s="19" t="n">
        <v>21.5</v>
      </c>
      <c r="G605" s="16" t="n">
        <v>44825</v>
      </c>
      <c r="H605" s="19" t="n">
        <v>2.27</v>
      </c>
    </row>
    <row r="606">
      <c r="A606" s="16" t="n">
        <v>44826</v>
      </c>
      <c r="B606" s="19" t="n">
        <v>2187.63</v>
      </c>
      <c r="D606" s="16" t="n">
        <v>44826</v>
      </c>
      <c r="E606" s="19" t="n">
        <v>21.54</v>
      </c>
      <c r="G606" s="16" t="n">
        <v>44826</v>
      </c>
      <c r="H606" s="19" t="n">
        <v>2.24</v>
      </c>
    </row>
    <row r="607">
      <c r="A607" s="16" t="n">
        <v>44827</v>
      </c>
      <c r="B607" s="19" t="n">
        <v>2220.27</v>
      </c>
      <c r="D607" s="16" t="n">
        <v>44827</v>
      </c>
      <c r="E607" s="19" t="n">
        <v>19.26</v>
      </c>
      <c r="G607" s="16" t="n">
        <v>44827</v>
      </c>
      <c r="H607" s="19" t="n">
        <v>2.21</v>
      </c>
    </row>
    <row r="608">
      <c r="A608" s="16" t="n">
        <v>44830</v>
      </c>
      <c r="B608" s="19" t="n">
        <v>2235.69</v>
      </c>
      <c r="D608" s="16" t="n">
        <v>44830</v>
      </c>
      <c r="E608" s="19" t="n">
        <v>18.46</v>
      </c>
      <c r="G608" s="16" t="n">
        <v>44830</v>
      </c>
      <c r="H608" s="19" t="n">
        <v>2.19</v>
      </c>
    </row>
    <row r="609">
      <c r="A609" s="16" t="n">
        <v>44831</v>
      </c>
      <c r="B609" s="19" t="n">
        <v>2201.17</v>
      </c>
      <c r="D609" s="16" t="n">
        <v>44831</v>
      </c>
      <c r="E609" s="19" t="n">
        <v>19.91</v>
      </c>
      <c r="G609" s="16" t="n">
        <v>44831</v>
      </c>
      <c r="H609" s="19" t="n">
        <v>2.2</v>
      </c>
    </row>
    <row r="610">
      <c r="A610" s="16" t="n">
        <v>44832</v>
      </c>
      <c r="B610" s="19" t="n">
        <v>2181.09</v>
      </c>
      <c r="D610" s="16" t="n">
        <v>44832</v>
      </c>
      <c r="E610" s="19" t="n">
        <v>19.57</v>
      </c>
      <c r="G610" s="16" t="n">
        <v>44832</v>
      </c>
      <c r="H610" s="19" t="n">
        <v>2.22</v>
      </c>
    </row>
    <row r="611">
      <c r="A611" s="16" t="n">
        <v>44833</v>
      </c>
      <c r="B611" s="19" t="n">
        <v>2217.69</v>
      </c>
      <c r="D611" s="16" t="n">
        <v>44833</v>
      </c>
      <c r="E611" s="19" t="n">
        <v>18.04</v>
      </c>
      <c r="G611" s="16" t="n">
        <v>44833</v>
      </c>
      <c r="H611" s="19" t="n">
        <v>2.14</v>
      </c>
    </row>
    <row r="612">
      <c r="A612" s="16" t="n">
        <v>44834</v>
      </c>
      <c r="B612" s="19" t="n">
        <v>2216.21</v>
      </c>
      <c r="D612" s="16" t="n">
        <v>44834</v>
      </c>
      <c r="E612" s="19" t="n">
        <v>17.91</v>
      </c>
      <c r="G612" s="16" t="n">
        <v>44834</v>
      </c>
      <c r="H612" s="19" t="n">
        <v>2.16</v>
      </c>
    </row>
    <row r="613">
      <c r="A613" s="16" t="n">
        <v>44837</v>
      </c>
      <c r="B613" s="19" t="n">
        <v>2251.62</v>
      </c>
      <c r="D613" s="16" t="n">
        <v>44837</v>
      </c>
      <c r="E613" s="19" t="n">
        <v>16.31</v>
      </c>
      <c r="G613" s="16" t="n">
        <v>44837</v>
      </c>
      <c r="H613" s="19" t="n">
        <v>2.14</v>
      </c>
    </row>
    <row r="614">
      <c r="A614" s="16" t="n">
        <v>44838</v>
      </c>
      <c r="B614" s="19" t="n">
        <v>2250.96</v>
      </c>
      <c r="D614" s="16" t="n">
        <v>44838</v>
      </c>
      <c r="E614" s="19" t="n">
        <v>16.7</v>
      </c>
      <c r="G614" s="16" t="n">
        <v>44838</v>
      </c>
      <c r="H614" s="19" t="n">
        <v>2.14</v>
      </c>
    </row>
    <row r="615">
      <c r="A615" s="16" t="n">
        <v>44839</v>
      </c>
      <c r="B615" s="19" t="n">
        <v>2264.08</v>
      </c>
      <c r="D615" s="16" t="n">
        <v>44839</v>
      </c>
      <c r="E615" s="19" t="n">
        <v>16.2</v>
      </c>
      <c r="G615" s="16" t="n">
        <v>44839</v>
      </c>
      <c r="H615" s="19" t="n">
        <v>2.13</v>
      </c>
    </row>
    <row r="616">
      <c r="A616" s="16" t="n">
        <v>44840</v>
      </c>
      <c r="B616" s="19" t="n">
        <v>2291.3</v>
      </c>
      <c r="D616" s="16" t="n">
        <v>44840</v>
      </c>
      <c r="E616" s="19" t="n">
        <v>14.99</v>
      </c>
      <c r="G616" s="16" t="n">
        <v>44840</v>
      </c>
      <c r="H616" s="19" t="n">
        <v>2.12</v>
      </c>
    </row>
    <row r="617">
      <c r="A617" s="16" t="n">
        <v>44841</v>
      </c>
      <c r="B617" s="19" t="n">
        <v>2272.82</v>
      </c>
      <c r="D617" s="16" t="n">
        <v>44841</v>
      </c>
      <c r="E617" s="19" t="n">
        <v>16.57</v>
      </c>
      <c r="G617" s="16" t="n">
        <v>44841</v>
      </c>
      <c r="H617" s="19" t="n">
        <v>2.13</v>
      </c>
    </row>
    <row r="618">
      <c r="A618" s="16" t="n">
        <v>44844</v>
      </c>
      <c r="B618" s="19" t="n">
        <v>2253.44</v>
      </c>
      <c r="D618" s="16" t="n">
        <v>44844</v>
      </c>
      <c r="E618" s="19" t="n">
        <v>18.15</v>
      </c>
      <c r="G618" s="16" t="n">
        <v>44844</v>
      </c>
      <c r="H618" s="19" t="inlineStr">
        <is>
          <t>.</t>
        </is>
      </c>
    </row>
    <row r="619">
      <c r="A619" s="16" t="n">
        <v>44845</v>
      </c>
      <c r="B619" s="19" t="n">
        <v>2228.36</v>
      </c>
      <c r="D619" s="16" t="n">
        <v>44845</v>
      </c>
      <c r="E619" s="19" t="n">
        <v>19.31</v>
      </c>
      <c r="G619" s="16" t="n">
        <v>44845</v>
      </c>
      <c r="H619" s="19" t="n">
        <v>2.14</v>
      </c>
    </row>
    <row r="620">
      <c r="A620" s="16" t="n">
        <v>44846</v>
      </c>
      <c r="B620" s="19" t="n">
        <v>2220.16</v>
      </c>
      <c r="D620" s="16" t="n">
        <v>44846</v>
      </c>
      <c r="E620" s="19" t="n">
        <v>20.23</v>
      </c>
      <c r="G620" s="16" t="n">
        <v>44846</v>
      </c>
      <c r="H620" s="19" t="n">
        <v>2.19</v>
      </c>
    </row>
    <row r="621">
      <c r="A621" s="16" t="n">
        <v>44847</v>
      </c>
      <c r="B621" s="19" t="n">
        <v>2234.06</v>
      </c>
      <c r="D621" s="16" t="n">
        <v>44847</v>
      </c>
      <c r="E621" s="19" t="n">
        <v>18.96</v>
      </c>
      <c r="G621" s="16" t="n">
        <v>44847</v>
      </c>
      <c r="H621" s="19" t="n">
        <v>2.17</v>
      </c>
    </row>
    <row r="622">
      <c r="A622" s="16" t="n">
        <v>44848</v>
      </c>
      <c r="B622" s="19" t="n">
        <v>2272.37</v>
      </c>
      <c r="D622" s="16" t="n">
        <v>44848</v>
      </c>
      <c r="E622" s="19" t="n">
        <v>16.92</v>
      </c>
      <c r="G622" s="16" t="n">
        <v>44848</v>
      </c>
      <c r="H622" s="19" t="n">
        <v>2.12</v>
      </c>
    </row>
    <row r="623">
      <c r="A623" s="16" t="n">
        <v>44851</v>
      </c>
      <c r="B623" s="19" t="n">
        <v>2261.75</v>
      </c>
      <c r="D623" s="16" t="n">
        <v>44851</v>
      </c>
      <c r="E623" s="19" t="n">
        <v>17.44</v>
      </c>
      <c r="G623" s="16" t="n">
        <v>44851</v>
      </c>
      <c r="H623" s="19" t="n">
        <v>2.16</v>
      </c>
    </row>
    <row r="624">
      <c r="A624" s="16" t="n">
        <v>44852</v>
      </c>
      <c r="B624" s="19" t="n">
        <v>2264.36</v>
      </c>
      <c r="D624" s="16" t="n">
        <v>44852</v>
      </c>
      <c r="E624" s="19" t="n">
        <v>17.36</v>
      </c>
      <c r="G624" s="16" t="n">
        <v>44852</v>
      </c>
      <c r="H624" s="19" t="n">
        <v>2.18</v>
      </c>
    </row>
    <row r="625">
      <c r="A625" s="16" t="n">
        <v>44853</v>
      </c>
      <c r="B625" s="19" t="n">
        <v>2225.69</v>
      </c>
      <c r="D625" s="16" t="n">
        <v>44853</v>
      </c>
      <c r="E625" s="19" t="n">
        <v>18.33</v>
      </c>
      <c r="G625" s="16" t="n">
        <v>44853</v>
      </c>
      <c r="H625" s="19" t="n">
        <v>2.25</v>
      </c>
    </row>
    <row r="626">
      <c r="A626" s="16" t="n">
        <v>44854</v>
      </c>
      <c r="B626" s="19" t="n">
        <v>2212.1</v>
      </c>
      <c r="D626" s="16" t="n">
        <v>44854</v>
      </c>
      <c r="E626" s="19" t="n">
        <v>19.45</v>
      </c>
      <c r="G626" s="16" t="n">
        <v>44854</v>
      </c>
      <c r="H626" s="19" t="n">
        <v>2.27</v>
      </c>
    </row>
    <row r="627">
      <c r="A627" s="16" t="n">
        <v>44855</v>
      </c>
      <c r="B627" s="19" t="n">
        <v>2199.17</v>
      </c>
      <c r="D627" s="16" t="n">
        <v>44855</v>
      </c>
      <c r="E627" s="19" t="n">
        <v>19.19</v>
      </c>
      <c r="G627" s="16" t="n">
        <v>44855</v>
      </c>
      <c r="H627" s="19" t="n">
        <v>2.32</v>
      </c>
    </row>
    <row r="628">
      <c r="A628" s="16" t="n">
        <v>44858</v>
      </c>
      <c r="B628" s="19" t="n">
        <v>2172.3</v>
      </c>
      <c r="D628" s="16" t="n">
        <v>44858</v>
      </c>
      <c r="E628" s="19" t="n">
        <v>19.98</v>
      </c>
      <c r="G628" s="16" t="n">
        <v>44858</v>
      </c>
      <c r="H628" s="19" t="n">
        <v>2.37</v>
      </c>
    </row>
    <row r="629">
      <c r="A629" s="16" t="n">
        <v>44859</v>
      </c>
      <c r="B629" s="19" t="n">
        <v>2180.49</v>
      </c>
      <c r="D629" s="16" t="n">
        <v>44859</v>
      </c>
      <c r="E629" s="19" t="n">
        <v>19.17</v>
      </c>
      <c r="G629" s="16" t="n">
        <v>44859</v>
      </c>
      <c r="H629" s="19" t="n">
        <v>2.38</v>
      </c>
    </row>
    <row r="630">
      <c r="A630" s="16" t="n">
        <v>44860</v>
      </c>
      <c r="B630" s="19" t="n">
        <v>2189.94</v>
      </c>
      <c r="D630" s="16" t="n">
        <v>44860</v>
      </c>
      <c r="E630" s="19" t="n">
        <v>18.49</v>
      </c>
      <c r="G630" s="16" t="n">
        <v>44860</v>
      </c>
      <c r="H630" s="19" t="n">
        <v>2.37</v>
      </c>
    </row>
    <row r="631">
      <c r="A631" s="16" t="n">
        <v>44861</v>
      </c>
      <c r="B631" s="19" t="n">
        <v>2158.62</v>
      </c>
      <c r="D631" s="16" t="n">
        <v>44861</v>
      </c>
      <c r="E631" s="19" t="n">
        <v>19.84</v>
      </c>
      <c r="G631" s="16" t="n">
        <v>44861</v>
      </c>
      <c r="H631" s="19" t="n">
        <v>2.41</v>
      </c>
    </row>
    <row r="632">
      <c r="A632" s="16" t="n">
        <v>44862</v>
      </c>
      <c r="B632" s="19" t="n">
        <v>2173.2</v>
      </c>
      <c r="D632" s="16" t="n">
        <v>44862</v>
      </c>
      <c r="E632" s="19" t="n">
        <v>19.71</v>
      </c>
      <c r="G632" s="16" t="n">
        <v>44862</v>
      </c>
      <c r="H632" s="19" t="n">
        <v>2.37</v>
      </c>
    </row>
    <row r="633">
      <c r="A633" s="16" t="n">
        <v>44865</v>
      </c>
      <c r="B633" s="19" t="n">
        <v>2165.78</v>
      </c>
      <c r="D633" s="16" t="n">
        <v>44865</v>
      </c>
      <c r="E633" s="19" t="n">
        <v>18.6</v>
      </c>
      <c r="G633" s="16" t="n">
        <v>44865</v>
      </c>
      <c r="H633" s="19" t="n">
        <v>2.37</v>
      </c>
    </row>
    <row r="634">
      <c r="A634" s="16" t="n">
        <v>44866</v>
      </c>
      <c r="B634" s="19" t="n">
        <v>2189.49</v>
      </c>
      <c r="D634" s="16" t="n">
        <v>44866</v>
      </c>
      <c r="E634" s="19" t="n">
        <v>18.01</v>
      </c>
      <c r="G634" s="16" t="n">
        <v>44866</v>
      </c>
      <c r="H634" s="19" t="n">
        <v>2.34</v>
      </c>
    </row>
    <row r="635">
      <c r="A635" s="16" t="n">
        <v>44867</v>
      </c>
      <c r="B635" s="19" t="n">
        <v>2194.83</v>
      </c>
      <c r="D635" s="16" t="n">
        <v>44867</v>
      </c>
      <c r="E635" s="19" t="n">
        <v>18.12</v>
      </c>
      <c r="G635" s="16" t="n">
        <v>44867</v>
      </c>
      <c r="H635" s="19" t="n">
        <v>2.33</v>
      </c>
    </row>
    <row r="636">
      <c r="A636" s="16" t="n">
        <v>44868</v>
      </c>
      <c r="B636" s="19" t="n">
        <v>2205.65</v>
      </c>
      <c r="D636" s="16" t="n">
        <v>44868</v>
      </c>
      <c r="E636" s="19" t="n">
        <v>17.87</v>
      </c>
      <c r="G636" s="16" t="n">
        <v>44868</v>
      </c>
      <c r="H636" s="19" t="n">
        <v>2.31</v>
      </c>
    </row>
    <row r="637">
      <c r="A637" s="16" t="n">
        <v>44869</v>
      </c>
      <c r="B637" s="19" t="n">
        <v>2220.34</v>
      </c>
      <c r="D637" s="16" t="n">
        <v>44869</v>
      </c>
      <c r="E637" s="19" t="n">
        <v>16.23</v>
      </c>
      <c r="G637" s="16" t="n">
        <v>44869</v>
      </c>
      <c r="H637" s="19" t="n">
        <v>2.28</v>
      </c>
    </row>
    <row r="638">
      <c r="A638" s="16" t="n">
        <v>44872</v>
      </c>
      <c r="B638" s="19" t="n">
        <v>2205.96</v>
      </c>
      <c r="D638" s="16" t="n">
        <v>44872</v>
      </c>
      <c r="E638" s="19" t="n">
        <v>15.86</v>
      </c>
      <c r="G638" s="16" t="n">
        <v>44872</v>
      </c>
      <c r="H638" s="19" t="n">
        <v>2.24</v>
      </c>
    </row>
    <row r="639">
      <c r="A639" s="16" t="n">
        <v>44873</v>
      </c>
      <c r="B639" s="19" t="n">
        <v>2198.56</v>
      </c>
      <c r="D639" s="16" t="n">
        <v>44873</v>
      </c>
      <c r="E639" s="19" t="n">
        <v>15.56</v>
      </c>
      <c r="G639" s="16" t="n">
        <v>44873</v>
      </c>
      <c r="H639" s="19" t="n">
        <v>2.24</v>
      </c>
    </row>
    <row r="640">
      <c r="A640" s="16" t="n">
        <v>44874</v>
      </c>
      <c r="B640" s="19" t="n">
        <v>2182.66</v>
      </c>
      <c r="D640" s="16" t="n">
        <v>44874</v>
      </c>
      <c r="E640" s="19" t="n">
        <v>15.19</v>
      </c>
      <c r="G640" s="16" t="n">
        <v>44874</v>
      </c>
      <c r="H640" s="19" t="n">
        <v>2.29</v>
      </c>
    </row>
    <row r="641">
      <c r="A641" s="16" t="n">
        <v>44875</v>
      </c>
      <c r="B641" s="19" t="n">
        <v>2189.43</v>
      </c>
      <c r="D641" s="16" t="n">
        <v>44875</v>
      </c>
      <c r="E641" s="19" t="n">
        <v>15.07</v>
      </c>
      <c r="G641" s="16" t="n">
        <v>44875</v>
      </c>
      <c r="H641" s="19" t="n">
        <v>2.29</v>
      </c>
    </row>
    <row r="642">
      <c r="A642" s="16" t="n">
        <v>44876</v>
      </c>
      <c r="B642" s="19" t="n">
        <v>2147.96</v>
      </c>
      <c r="D642" s="16" t="n">
        <v>44876</v>
      </c>
      <c r="E642" s="19" t="n">
        <v>16.96</v>
      </c>
      <c r="G642" s="16" t="n">
        <v>44876</v>
      </c>
      <c r="H642" s="19" t="inlineStr">
        <is>
          <t>.</t>
        </is>
      </c>
    </row>
    <row r="643">
      <c r="A643" s="16" t="n">
        <v>44879</v>
      </c>
      <c r="B643" s="19" t="n">
        <v>2165.99</v>
      </c>
      <c r="D643" s="16" t="n">
        <v>44879</v>
      </c>
      <c r="E643" s="19" t="n">
        <v>16.08</v>
      </c>
      <c r="G643" s="16" t="n">
        <v>44879</v>
      </c>
      <c r="H643" s="19" t="n">
        <v>2.32</v>
      </c>
    </row>
    <row r="644">
      <c r="A644" s="16" t="n">
        <v>44880</v>
      </c>
      <c r="B644" s="19" t="n">
        <v>2209.14</v>
      </c>
      <c r="D644" s="16" t="n">
        <v>44880</v>
      </c>
      <c r="E644" s="19" t="n">
        <v>15.21</v>
      </c>
      <c r="G644" s="16" t="n">
        <v>44880</v>
      </c>
      <c r="H644" s="19" t="n">
        <v>2.28</v>
      </c>
    </row>
    <row r="645">
      <c r="A645" s="16" t="n">
        <v>44881</v>
      </c>
      <c r="B645" s="19" t="n">
        <v>2210.44</v>
      </c>
      <c r="D645" s="16" t="n">
        <v>44881</v>
      </c>
      <c r="E645" s="19" t="n">
        <v>14.74</v>
      </c>
      <c r="G645" s="16" t="n">
        <v>44881</v>
      </c>
      <c r="H645" s="19" t="n">
        <v>2.27</v>
      </c>
    </row>
    <row r="646">
      <c r="A646" s="16" t="n">
        <v>44882</v>
      </c>
      <c r="B646" s="19" t="n">
        <v>2280.97</v>
      </c>
      <c r="D646" s="16" t="n">
        <v>44882</v>
      </c>
      <c r="E646" s="19" t="n">
        <v>12.51</v>
      </c>
      <c r="G646" s="16" t="n">
        <v>44882</v>
      </c>
      <c r="H646" s="19" t="n">
        <v>2.21</v>
      </c>
    </row>
    <row r="647">
      <c r="A647" s="16" t="n">
        <v>44883</v>
      </c>
      <c r="B647" s="19" t="n">
        <v>2279.48</v>
      </c>
      <c r="D647" s="16" t="n">
        <v>44883</v>
      </c>
      <c r="E647" s="19" t="n">
        <v>12.71</v>
      </c>
      <c r="G647" s="16" t="n">
        <v>44883</v>
      </c>
      <c r="H647" s="19" t="n">
        <v>2.24</v>
      </c>
    </row>
    <row r="648">
      <c r="A648" s="16" t="n">
        <v>44886</v>
      </c>
      <c r="B648" s="19" t="n">
        <v>2285.97</v>
      </c>
      <c r="D648" s="16" t="n">
        <v>44886</v>
      </c>
      <c r="E648" s="19" t="n">
        <v>12.16</v>
      </c>
      <c r="G648" s="16" t="n">
        <v>44886</v>
      </c>
      <c r="H648" s="19" t="n">
        <v>2.21</v>
      </c>
    </row>
    <row r="649">
      <c r="A649" s="16" t="n">
        <v>44887</v>
      </c>
      <c r="B649" s="19" t="n">
        <v>2310.56</v>
      </c>
      <c r="D649" s="16" t="n">
        <v>44887</v>
      </c>
      <c r="E649" s="19" t="n">
        <v>10.94</v>
      </c>
      <c r="G649" s="16" t="n">
        <v>44887</v>
      </c>
      <c r="H649" s="19" t="n">
        <v>2.19</v>
      </c>
    </row>
    <row r="650">
      <c r="A650" s="16" t="n">
        <v>44888</v>
      </c>
      <c r="B650" s="19" t="n">
        <v>2339.88</v>
      </c>
      <c r="D650" s="16" t="n">
        <v>44888</v>
      </c>
      <c r="E650" s="19" t="n">
        <v>9.890000000000001</v>
      </c>
      <c r="G650" s="16" t="n">
        <v>44888</v>
      </c>
      <c r="H650" s="19" t="n">
        <v>2.16</v>
      </c>
    </row>
    <row r="651">
      <c r="A651" s="16" t="n">
        <v>44889</v>
      </c>
      <c r="B651" s="19" t="inlineStr">
        <is>
          <t>.</t>
        </is>
      </c>
      <c r="D651" s="16" t="n">
        <v>44889</v>
      </c>
      <c r="E651" s="19" t="inlineStr"/>
      <c r="G651" s="16" t="n">
        <v>44889</v>
      </c>
      <c r="H651" s="19" t="inlineStr">
        <is>
          <t>.</t>
        </is>
      </c>
    </row>
    <row r="652">
      <c r="A652" s="16" t="n">
        <v>44890</v>
      </c>
      <c r="B652" s="19" t="n">
        <v>2278.54</v>
      </c>
      <c r="D652" s="16" t="n">
        <v>44890</v>
      </c>
      <c r="E652" s="19" t="n">
        <v>12.62</v>
      </c>
      <c r="G652" s="16" t="n">
        <v>44890</v>
      </c>
      <c r="H652" s="19" t="n">
        <v>2.22</v>
      </c>
    </row>
    <row r="653">
      <c r="A653" s="16" t="n">
        <v>44893</v>
      </c>
      <c r="B653" s="19" t="n">
        <v>2251.27</v>
      </c>
      <c r="D653" s="16" t="n">
        <v>44893</v>
      </c>
      <c r="E653" s="19" t="n">
        <v>13.63</v>
      </c>
      <c r="G653" s="16" t="n">
        <v>44893</v>
      </c>
      <c r="H653" s="19" t="n">
        <v>2.2</v>
      </c>
    </row>
    <row r="654">
      <c r="A654" s="16" t="n">
        <v>44894</v>
      </c>
      <c r="B654" s="19" t="n">
        <v>2277.81</v>
      </c>
      <c r="D654" s="16" t="n">
        <v>44894</v>
      </c>
      <c r="E654" s="19" t="n">
        <v>13.78</v>
      </c>
      <c r="G654" s="16" t="n">
        <v>44894</v>
      </c>
      <c r="H654" s="19" t="n">
        <v>2.22</v>
      </c>
    </row>
    <row r="655">
      <c r="A655" s="16" t="n">
        <v>44895</v>
      </c>
      <c r="B655" s="19" t="n">
        <v>2278.53</v>
      </c>
      <c r="D655" s="16" t="n">
        <v>44895</v>
      </c>
      <c r="E655" s="19" t="n">
        <v>14.19</v>
      </c>
      <c r="G655" s="16" t="n">
        <v>44895</v>
      </c>
      <c r="H655" s="19" t="n">
        <v>2.23</v>
      </c>
    </row>
    <row r="656">
      <c r="A656" s="16" t="n">
        <v>44896</v>
      </c>
      <c r="B656" s="19" t="n">
        <v>2277.35</v>
      </c>
      <c r="D656" s="16" t="n">
        <v>44896</v>
      </c>
      <c r="E656" s="19" t="n">
        <v>14</v>
      </c>
      <c r="G656" s="16" t="n">
        <v>44896</v>
      </c>
      <c r="H656" s="19" t="n">
        <v>2.25</v>
      </c>
    </row>
    <row r="657">
      <c r="A657" s="16" t="n">
        <v>44897</v>
      </c>
      <c r="B657" s="19" t="n">
        <v>2264.92</v>
      </c>
      <c r="D657" s="16" t="n">
        <v>44897</v>
      </c>
      <c r="E657" s="19" t="n">
        <v>15.19</v>
      </c>
      <c r="G657" s="16" t="n">
        <v>44897</v>
      </c>
      <c r="H657" s="19" t="n">
        <v>2.26</v>
      </c>
    </row>
    <row r="658">
      <c r="A658" s="16" t="n">
        <v>44900</v>
      </c>
      <c r="B658" s="19" t="n">
        <v>2277.87</v>
      </c>
      <c r="D658" s="16" t="n">
        <v>44900</v>
      </c>
      <c r="E658" s="19" t="n">
        <v>14.4</v>
      </c>
      <c r="G658" s="16" t="n">
        <v>44900</v>
      </c>
      <c r="H658" s="19" t="n">
        <v>2.23</v>
      </c>
    </row>
    <row r="659">
      <c r="A659" s="16" t="n">
        <v>44901</v>
      </c>
      <c r="B659" s="19" t="n">
        <v>2279.54</v>
      </c>
      <c r="D659" s="16" t="n">
        <v>44901</v>
      </c>
      <c r="E659" s="19" t="n">
        <v>15.39</v>
      </c>
      <c r="G659" s="16" t="n">
        <v>44901</v>
      </c>
      <c r="H659" s="19" t="n">
        <v>2.24</v>
      </c>
    </row>
    <row r="660">
      <c r="A660" s="16" t="n">
        <v>44902</v>
      </c>
      <c r="B660" s="19" t="n">
        <v>2260.97</v>
      </c>
      <c r="D660" s="16" t="n">
        <v>44902</v>
      </c>
      <c r="E660" s="19" t="n">
        <v>16.48</v>
      </c>
      <c r="G660" s="16" t="n">
        <v>44902</v>
      </c>
      <c r="H660" s="19" t="n">
        <v>2.28</v>
      </c>
    </row>
    <row r="661">
      <c r="A661" s="16" t="n">
        <v>44903</v>
      </c>
      <c r="B661" s="19" t="n">
        <v>2273.69</v>
      </c>
      <c r="D661" s="16" t="n">
        <v>44903</v>
      </c>
      <c r="E661" s="19" t="n">
        <v>15.44</v>
      </c>
      <c r="G661" s="16" t="n">
        <v>44903</v>
      </c>
      <c r="H661" s="19" t="n">
        <v>2.28</v>
      </c>
    </row>
    <row r="662">
      <c r="A662" s="16" t="n">
        <v>44904</v>
      </c>
      <c r="B662" s="19" t="n">
        <v>2253.78</v>
      </c>
      <c r="D662" s="16" t="n">
        <v>44904</v>
      </c>
      <c r="E662" s="19" t="n">
        <v>16.73</v>
      </c>
      <c r="G662" s="16" t="n">
        <v>44904</v>
      </c>
      <c r="H662" s="19" t="n">
        <v>2.29</v>
      </c>
    </row>
    <row r="663">
      <c r="A663" s="16" t="n">
        <v>44907</v>
      </c>
      <c r="B663" s="19" t="n">
        <v>2232.91</v>
      </c>
      <c r="D663" s="16" t="n">
        <v>44907</v>
      </c>
      <c r="E663" s="19" t="n">
        <v>17.72</v>
      </c>
      <c r="G663" s="16" t="n">
        <v>44907</v>
      </c>
      <c r="H663" s="19" t="n">
        <v>2.32</v>
      </c>
    </row>
    <row r="664">
      <c r="A664" s="16" t="n">
        <v>44908</v>
      </c>
      <c r="B664" s="19" t="n">
        <v>2256.53</v>
      </c>
      <c r="D664" s="16" t="n">
        <v>44908</v>
      </c>
      <c r="E664" s="19" t="n">
        <v>16.06</v>
      </c>
      <c r="G664" s="16" t="n">
        <v>44908</v>
      </c>
      <c r="H664" s="19" t="n">
        <v>2.27</v>
      </c>
    </row>
    <row r="665">
      <c r="A665" s="16" t="n">
        <v>44909</v>
      </c>
      <c r="B665" s="19" t="n">
        <v>2215.99</v>
      </c>
      <c r="D665" s="16" t="n">
        <v>44909</v>
      </c>
      <c r="E665" s="19" t="n">
        <v>16.48</v>
      </c>
      <c r="G665" s="16" t="n">
        <v>44909</v>
      </c>
      <c r="H665" s="19" t="n">
        <v>2.3</v>
      </c>
    </row>
    <row r="666">
      <c r="A666" s="16" t="n">
        <v>44910</v>
      </c>
      <c r="B666" s="19" t="n">
        <v>2205.93</v>
      </c>
      <c r="D666" s="16" t="n">
        <v>44910</v>
      </c>
      <c r="E666" s="19" t="n">
        <v>17.83</v>
      </c>
      <c r="G666" s="16" t="n">
        <v>44910</v>
      </c>
      <c r="H666" s="19" t="n">
        <v>2.31</v>
      </c>
    </row>
    <row r="667">
      <c r="A667" s="16" t="n">
        <v>44911</v>
      </c>
      <c r="B667" s="19" t="n">
        <v>2164.48</v>
      </c>
      <c r="D667" s="16" t="n">
        <v>44911</v>
      </c>
      <c r="E667" s="19" t="n">
        <v>20.13</v>
      </c>
      <c r="G667" s="16" t="n">
        <v>44911</v>
      </c>
      <c r="H667" s="19" t="n">
        <v>2.36</v>
      </c>
    </row>
    <row r="668">
      <c r="A668" s="16" t="n">
        <v>44914</v>
      </c>
      <c r="B668" s="19" t="n">
        <v>2174.74</v>
      </c>
      <c r="D668" s="16" t="n">
        <v>44914</v>
      </c>
      <c r="E668" s="19" t="n">
        <v>19.09</v>
      </c>
      <c r="G668" s="16" t="n">
        <v>44914</v>
      </c>
      <c r="H668" s="19" t="n">
        <v>2.37</v>
      </c>
    </row>
    <row r="669">
      <c r="A669" s="16" t="n">
        <v>44915</v>
      </c>
      <c r="B669" s="19" t="n">
        <v>2160.71</v>
      </c>
      <c r="D669" s="16" t="n">
        <v>44915</v>
      </c>
      <c r="E669" s="19" t="n">
        <v>20.46</v>
      </c>
      <c r="G669" s="16" t="n">
        <v>44915</v>
      </c>
      <c r="H669" s="19" t="n">
        <v>2.36</v>
      </c>
    </row>
    <row r="670">
      <c r="A670" s="16" t="n">
        <v>44916</v>
      </c>
      <c r="B670" s="19" t="n">
        <v>2206.3</v>
      </c>
      <c r="D670" s="16" t="n">
        <v>44916</v>
      </c>
      <c r="E670" s="19" t="n">
        <v>17.92</v>
      </c>
      <c r="G670" s="16" t="n">
        <v>44916</v>
      </c>
      <c r="H670" s="19" t="n">
        <v>2.33</v>
      </c>
    </row>
    <row r="671">
      <c r="A671" s="16" t="n">
        <v>44917</v>
      </c>
      <c r="B671" s="19" t="n">
        <v>2234.63</v>
      </c>
      <c r="D671" s="16" t="n">
        <v>44917</v>
      </c>
      <c r="E671" s="19" t="n">
        <v>17.06</v>
      </c>
      <c r="G671" s="16" t="n">
        <v>44917</v>
      </c>
      <c r="H671" s="19" t="n">
        <v>2.3</v>
      </c>
    </row>
    <row r="672">
      <c r="A672" s="16" t="n">
        <v>44918</v>
      </c>
      <c r="B672" s="19" t="n">
        <v>2229.36</v>
      </c>
      <c r="D672" s="16" t="n">
        <v>44918</v>
      </c>
      <c r="E672" s="19" t="n">
        <v>16.05</v>
      </c>
      <c r="G672" s="16" t="n">
        <v>44918</v>
      </c>
      <c r="H672" s="19" t="n">
        <v>2.31</v>
      </c>
    </row>
    <row r="673">
      <c r="A673" s="16" t="n">
        <v>44921</v>
      </c>
      <c r="B673" s="19" t="n">
        <v>2226.59</v>
      </c>
      <c r="D673" s="16" t="n">
        <v>44921</v>
      </c>
      <c r="E673" s="19" t="n">
        <v>16.31</v>
      </c>
      <c r="G673" s="16" t="n">
        <v>44921</v>
      </c>
      <c r="H673" s="19" t="n">
        <v>2.29</v>
      </c>
    </row>
    <row r="674">
      <c r="A674" s="16" t="n">
        <v>44922</v>
      </c>
      <c r="B674" s="19" t="n">
        <v>2236.17</v>
      </c>
      <c r="D674" s="16" t="n">
        <v>44922</v>
      </c>
      <c r="E674" s="19" t="n">
        <v>15.63</v>
      </c>
      <c r="G674" s="16" t="n">
        <v>44922</v>
      </c>
      <c r="H674" s="19" t="n">
        <v>2.25</v>
      </c>
    </row>
    <row r="675">
      <c r="A675" s="16" t="n">
        <v>44923</v>
      </c>
      <c r="B675" s="19" t="n">
        <v>2267.95</v>
      </c>
      <c r="D675" s="16" t="n">
        <v>44923</v>
      </c>
      <c r="E675" s="19" t="n">
        <v>14.14</v>
      </c>
      <c r="G675" s="16" t="n">
        <v>44923</v>
      </c>
      <c r="H675" s="19" t="n">
        <v>2.19</v>
      </c>
    </row>
    <row r="676">
      <c r="A676" s="16" t="n">
        <v>44924</v>
      </c>
      <c r="B676" s="19" t="n">
        <v>2237.14</v>
      </c>
      <c r="D676" s="16" t="n">
        <v>44924</v>
      </c>
      <c r="E676" s="19" t="n">
        <v>14.68</v>
      </c>
      <c r="G676" s="16" t="n">
        <v>44924</v>
      </c>
      <c r="H676" s="19" t="n">
        <v>2.17</v>
      </c>
    </row>
    <row r="677">
      <c r="A677" s="16" t="n">
        <v>44925</v>
      </c>
      <c r="B677" s="19" t="n">
        <v>2209.06</v>
      </c>
      <c r="D677" s="16" t="n">
        <v>44925</v>
      </c>
      <c r="E677" s="19" t="n">
        <v>15.91</v>
      </c>
      <c r="G677" s="16" t="n">
        <v>44925</v>
      </c>
      <c r="H677" s="19" t="n">
        <v>2.19</v>
      </c>
    </row>
    <row r="678">
      <c r="A678" s="16" t="n">
        <v>44928</v>
      </c>
      <c r="B678" s="19" t="n">
        <v>2175.26</v>
      </c>
      <c r="D678" s="16" t="n">
        <v>44928</v>
      </c>
      <c r="E678" s="19" t="n">
        <v>16.47</v>
      </c>
      <c r="G678" s="16" t="n">
        <v>44928</v>
      </c>
      <c r="H678" s="19" t="n">
        <v>2.22</v>
      </c>
    </row>
    <row r="679">
      <c r="A679" s="16" t="n">
        <v>44929</v>
      </c>
      <c r="B679" s="19" t="n">
        <v>2157.19</v>
      </c>
      <c r="D679" s="16" t="n">
        <v>44929</v>
      </c>
      <c r="E679" s="19" t="n">
        <v>16.74</v>
      </c>
      <c r="G679" s="16" t="n">
        <v>44929</v>
      </c>
      <c r="H679" s="19" t="n">
        <v>2.24</v>
      </c>
    </row>
    <row r="680">
      <c r="A680" s="16" t="n">
        <v>44930</v>
      </c>
      <c r="B680" s="19" t="n">
        <v>2172.39</v>
      </c>
      <c r="D680" s="16" t="n">
        <v>44930</v>
      </c>
      <c r="E680" s="19" t="n">
        <v>16.01</v>
      </c>
      <c r="G680" s="16" t="n">
        <v>44930</v>
      </c>
      <c r="H680" s="19" t="n">
        <v>2.24</v>
      </c>
    </row>
    <row r="681">
      <c r="A681" s="16" t="n">
        <v>44931</v>
      </c>
      <c r="B681" s="19" t="n">
        <v>2187.13</v>
      </c>
      <c r="D681" s="16" t="n">
        <v>44931</v>
      </c>
      <c r="E681" s="19" t="n">
        <v>15.72</v>
      </c>
      <c r="G681" s="16" t="n">
        <v>44931</v>
      </c>
      <c r="H681" s="19" t="n">
        <v>2.23</v>
      </c>
    </row>
    <row r="682">
      <c r="A682" s="16" t="n">
        <v>44932</v>
      </c>
      <c r="B682" s="19" t="n">
        <v>2156.07</v>
      </c>
      <c r="D682" s="16" t="n">
        <v>44932</v>
      </c>
      <c r="E682" s="19" t="n">
        <v>16.67</v>
      </c>
      <c r="G682" s="16" t="n">
        <v>44932</v>
      </c>
      <c r="H682" s="19" t="n">
        <v>2.26</v>
      </c>
    </row>
    <row r="683">
      <c r="A683" s="16" t="n">
        <v>44935</v>
      </c>
      <c r="B683" s="19" t="n">
        <v>2164.69</v>
      </c>
      <c r="D683" s="16" t="n">
        <v>44935</v>
      </c>
      <c r="E683" s="19" t="n">
        <v>16.33</v>
      </c>
      <c r="G683" s="16" t="n">
        <v>44935</v>
      </c>
      <c r="H683" s="19" t="n">
        <v>2.24</v>
      </c>
    </row>
    <row r="684">
      <c r="A684" s="16" t="n">
        <v>44936</v>
      </c>
      <c r="B684" s="19" t="n">
        <v>2181.96</v>
      </c>
      <c r="D684" s="16" t="n">
        <v>44936</v>
      </c>
      <c r="E684" s="19" t="n">
        <v>15.95</v>
      </c>
      <c r="G684" s="16" t="n">
        <v>44936</v>
      </c>
      <c r="H684" s="19" t="n">
        <v>2.23</v>
      </c>
    </row>
    <row r="685">
      <c r="A685" s="16" t="n">
        <v>44937</v>
      </c>
      <c r="B685" s="19" t="n">
        <v>2163.62</v>
      </c>
      <c r="D685" s="16" t="n">
        <v>44937</v>
      </c>
      <c r="E685" s="19" t="n">
        <v>17.31</v>
      </c>
      <c r="G685" s="16" t="n">
        <v>44937</v>
      </c>
      <c r="H685" s="19" t="n">
        <v>2.28</v>
      </c>
    </row>
    <row r="686">
      <c r="A686" s="16" t="n">
        <v>44938</v>
      </c>
      <c r="B686" s="19" t="n">
        <v>2151.96</v>
      </c>
      <c r="D686" s="16" t="n">
        <v>44938</v>
      </c>
      <c r="E686" s="19" t="n">
        <v>17.56</v>
      </c>
      <c r="G686" s="16" t="n">
        <v>44938</v>
      </c>
      <c r="H686" s="19" t="n">
        <v>2.32</v>
      </c>
    </row>
    <row r="687">
      <c r="A687" s="16" t="n">
        <v>44939</v>
      </c>
      <c r="B687" s="19" t="n">
        <v>2141.33</v>
      </c>
      <c r="D687" s="16" t="n">
        <v>44939</v>
      </c>
      <c r="E687" s="19" t="n">
        <v>18.31</v>
      </c>
      <c r="G687" s="16" t="n">
        <v>44939</v>
      </c>
      <c r="H687" s="19" t="n">
        <v>2.32</v>
      </c>
    </row>
    <row r="688">
      <c r="A688" s="16" t="n">
        <v>44942</v>
      </c>
      <c r="B688" s="19" t="n">
        <v>2169.26</v>
      </c>
      <c r="D688" s="16" t="n">
        <v>44942</v>
      </c>
      <c r="E688" s="19" t="n">
        <v>16.08</v>
      </c>
      <c r="G688" s="16" t="n">
        <v>44942</v>
      </c>
      <c r="H688" s="19" t="n">
        <v>2.29</v>
      </c>
    </row>
    <row r="689">
      <c r="A689" s="16" t="n">
        <v>44943</v>
      </c>
      <c r="B689" s="19" t="n">
        <v>2166.29</v>
      </c>
      <c r="D689" s="16" t="n">
        <v>44943</v>
      </c>
      <c r="E689" s="19" t="n">
        <v>16.34</v>
      </c>
      <c r="G689" s="16" t="n">
        <v>44943</v>
      </c>
      <c r="H689" s="19" t="n">
        <v>2.3</v>
      </c>
    </row>
    <row r="690">
      <c r="A690" s="16" t="n">
        <v>44944</v>
      </c>
      <c r="B690" s="19" t="n">
        <v>2158.17</v>
      </c>
      <c r="D690" s="16" t="n">
        <v>44944</v>
      </c>
      <c r="E690" s="19" t="n">
        <v>15.78</v>
      </c>
      <c r="G690" s="16" t="n">
        <v>44944</v>
      </c>
      <c r="H690" s="19" t="n">
        <v>2.3</v>
      </c>
    </row>
    <row r="691">
      <c r="A691" s="16" t="n">
        <v>44945</v>
      </c>
      <c r="B691" s="19" t="n">
        <v>2163.09</v>
      </c>
      <c r="D691" s="16" t="n">
        <v>44945</v>
      </c>
      <c r="E691" s="19" t="n">
        <v>16.39</v>
      </c>
      <c r="G691" s="16" t="n">
        <v>44945</v>
      </c>
      <c r="H691" s="19" t="n">
        <v>2.28</v>
      </c>
    </row>
    <row r="692">
      <c r="A692" s="16" t="n">
        <v>44946</v>
      </c>
      <c r="B692" s="19" t="n">
        <v>2198.37</v>
      </c>
      <c r="D692" s="16" t="n">
        <v>44946</v>
      </c>
      <c r="E692" s="19" t="n">
        <v>15.26</v>
      </c>
      <c r="G692" s="16" t="n">
        <v>44946</v>
      </c>
      <c r="H692" s="19" t="n">
        <v>2.26</v>
      </c>
    </row>
    <row r="693">
      <c r="A693" s="16" t="n">
        <v>44949</v>
      </c>
      <c r="B693" s="19" t="n">
        <v>2213.33</v>
      </c>
      <c r="D693" s="16" t="n">
        <v>44949</v>
      </c>
      <c r="E693" s="19" t="n">
        <v>15.11</v>
      </c>
      <c r="G693" s="16" t="n">
        <v>44949</v>
      </c>
      <c r="H693" s="19" t="n">
        <v>2.25</v>
      </c>
    </row>
    <row r="694">
      <c r="A694" s="16" t="n">
        <v>44950</v>
      </c>
      <c r="B694" s="19" t="n">
        <v>2242.43</v>
      </c>
      <c r="D694" s="16" t="n">
        <v>44950</v>
      </c>
      <c r="E694" s="19" t="n">
        <v>14.41</v>
      </c>
      <c r="G694" s="16" t="n">
        <v>44950</v>
      </c>
      <c r="H694" s="19" t="n">
        <v>2.25</v>
      </c>
    </row>
    <row r="695">
      <c r="A695" s="16" t="n">
        <v>44951</v>
      </c>
      <c r="B695" s="19" t="n">
        <v>2229.93</v>
      </c>
      <c r="D695" s="16" t="n">
        <v>44951</v>
      </c>
      <c r="E695" s="19" t="n">
        <v>14.99</v>
      </c>
      <c r="G695" s="16" t="n">
        <v>44951</v>
      </c>
      <c r="H695" s="19" t="n">
        <v>2.24</v>
      </c>
    </row>
    <row r="696">
      <c r="A696" s="16" t="n">
        <v>44952</v>
      </c>
      <c r="B696" s="19" t="n">
        <v>2221.6</v>
      </c>
      <c r="D696" s="16" t="n">
        <v>44952</v>
      </c>
      <c r="E696" s="19" t="n">
        <v>14.19</v>
      </c>
      <c r="G696" s="16" t="n">
        <v>44952</v>
      </c>
      <c r="H696" s="19" t="n">
        <v>2.28</v>
      </c>
    </row>
    <row r="697">
      <c r="A697" s="16" t="n">
        <v>44953</v>
      </c>
      <c r="B697" s="19" t="n">
        <v>2187.02</v>
      </c>
      <c r="D697" s="16" t="n">
        <v>44953</v>
      </c>
      <c r="E697" s="19" t="n">
        <v>15.9</v>
      </c>
      <c r="G697" s="16" t="n">
        <v>44953</v>
      </c>
      <c r="H697" s="19" t="n">
        <v>2.26</v>
      </c>
    </row>
    <row r="698">
      <c r="A698" s="16" t="n">
        <v>44956</v>
      </c>
      <c r="B698" s="19" t="n">
        <v>2213.62</v>
      </c>
      <c r="D698" s="16" t="n">
        <v>44956</v>
      </c>
      <c r="E698" s="19" t="n">
        <v>15.53</v>
      </c>
      <c r="G698" s="16" t="n">
        <v>44956</v>
      </c>
      <c r="H698" s="19" t="n">
        <v>2.25</v>
      </c>
    </row>
    <row r="699">
      <c r="A699" s="16" t="n">
        <v>44957</v>
      </c>
      <c r="B699" s="19" t="n">
        <v>2184.57</v>
      </c>
      <c r="D699" s="16" t="n">
        <v>44957</v>
      </c>
      <c r="E699" s="19" t="n">
        <v>17.86</v>
      </c>
      <c r="G699" s="16" t="n">
        <v>44957</v>
      </c>
      <c r="H699" s="19" t="n">
        <v>2.28</v>
      </c>
    </row>
    <row r="700">
      <c r="A700" s="16" t="n">
        <v>44958</v>
      </c>
      <c r="B700" s="19" t="n">
        <v>2159.62</v>
      </c>
      <c r="D700" s="16" t="n">
        <v>44958</v>
      </c>
      <c r="E700" s="19" t="n">
        <v>19.41</v>
      </c>
      <c r="G700" s="16" t="n">
        <v>44958</v>
      </c>
      <c r="H700" s="19" t="n">
        <v>2.32</v>
      </c>
    </row>
    <row r="701">
      <c r="A701" s="16" t="n">
        <v>44959</v>
      </c>
      <c r="B701" s="19" t="n">
        <v>2162.44</v>
      </c>
      <c r="D701" s="16" t="n">
        <v>44959</v>
      </c>
      <c r="E701" s="19" t="n">
        <v>19.61</v>
      </c>
      <c r="G701" s="16" t="n">
        <v>44959</v>
      </c>
      <c r="H701" s="19" t="n">
        <v>2.32</v>
      </c>
    </row>
    <row r="702">
      <c r="A702" s="16" t="n">
        <v>44960</v>
      </c>
      <c r="B702" s="19" t="n">
        <v>2117.63</v>
      </c>
      <c r="D702" s="16" t="n">
        <v>44960</v>
      </c>
      <c r="E702" s="19" t="n">
        <v>20.64</v>
      </c>
      <c r="G702" s="16" t="n">
        <v>44960</v>
      </c>
      <c r="H702" s="19" t="n">
        <v>2.36</v>
      </c>
    </row>
    <row r="703">
      <c r="A703" s="16" t="n">
        <v>44963</v>
      </c>
      <c r="B703" s="19" t="n">
        <v>2107.98</v>
      </c>
      <c r="D703" s="16" t="n">
        <v>44963</v>
      </c>
      <c r="E703" s="19" t="n">
        <v>19.65</v>
      </c>
      <c r="G703" s="16" t="n">
        <v>44963</v>
      </c>
      <c r="H703" s="19" t="n">
        <v>2.36</v>
      </c>
    </row>
    <row r="704">
      <c r="A704" s="16" t="n">
        <v>44964</v>
      </c>
      <c r="B704" s="19" t="n">
        <v>2105.82</v>
      </c>
      <c r="D704" s="16" t="n">
        <v>44964</v>
      </c>
      <c r="E704" s="19" t="n">
        <v>19.06</v>
      </c>
      <c r="G704" s="16" t="n">
        <v>44964</v>
      </c>
      <c r="H704" s="19" t="n">
        <v>2.41</v>
      </c>
    </row>
    <row r="705">
      <c r="A705" s="16" t="n">
        <v>44965</v>
      </c>
      <c r="B705" s="19" t="n">
        <v>2064.58</v>
      </c>
      <c r="D705" s="16" t="n">
        <v>44965</v>
      </c>
      <c r="E705" s="19" t="n">
        <v>20.19</v>
      </c>
      <c r="G705" s="16" t="n">
        <v>44965</v>
      </c>
      <c r="H705" s="19" t="n">
        <v>2.48</v>
      </c>
    </row>
    <row r="706">
      <c r="A706" s="16" t="n">
        <v>44966</v>
      </c>
      <c r="B706" s="19" t="n">
        <v>2076.34</v>
      </c>
      <c r="D706" s="16" t="n">
        <v>44966</v>
      </c>
      <c r="E706" s="19" t="n">
        <v>19.48</v>
      </c>
      <c r="G706" s="16" t="n">
        <v>44966</v>
      </c>
      <c r="H706" s="19" t="n">
        <v>2.5</v>
      </c>
    </row>
    <row r="707">
      <c r="A707" s="16" t="n">
        <v>44967</v>
      </c>
      <c r="B707" s="19" t="n">
        <v>2041.28</v>
      </c>
      <c r="D707" s="16" t="n">
        <v>44967</v>
      </c>
      <c r="E707" s="19" t="n">
        <v>20.88</v>
      </c>
      <c r="G707" s="16" t="n">
        <v>44967</v>
      </c>
      <c r="H707" s="19" t="n">
        <v>2.55</v>
      </c>
    </row>
    <row r="708">
      <c r="A708" s="16" t="n">
        <v>44970</v>
      </c>
      <c r="B708" s="19" t="n">
        <v>2046.29</v>
      </c>
      <c r="D708" s="16" t="n">
        <v>44970</v>
      </c>
      <c r="E708" s="19" t="n">
        <v>20.22</v>
      </c>
      <c r="G708" s="16" t="n">
        <v>44970</v>
      </c>
      <c r="H708" s="19" t="n">
        <v>2.54</v>
      </c>
    </row>
    <row r="709">
      <c r="A709" s="16" t="n">
        <v>44971</v>
      </c>
      <c r="B709" s="19" t="n">
        <v>2083.04</v>
      </c>
      <c r="D709" s="16" t="n">
        <v>44971</v>
      </c>
      <c r="E709" s="19" t="n">
        <v>19.49</v>
      </c>
      <c r="G709" s="16" t="n">
        <v>44971</v>
      </c>
      <c r="H709" s="19" t="n">
        <v>2.53</v>
      </c>
    </row>
    <row r="710">
      <c r="A710" s="16" t="n">
        <v>44972</v>
      </c>
      <c r="B710" s="19" t="n">
        <v>2093.52</v>
      </c>
      <c r="D710" s="16" t="n">
        <v>44972</v>
      </c>
      <c r="E710" s="19" t="n">
        <v>18.64</v>
      </c>
      <c r="G710" s="16" t="n">
        <v>44972</v>
      </c>
      <c r="H710" s="19" t="n">
        <v>2.53</v>
      </c>
    </row>
    <row r="711">
      <c r="A711" s="16" t="n">
        <v>44973</v>
      </c>
      <c r="B711" s="19" t="n">
        <v>2087.91</v>
      </c>
      <c r="D711" s="16" t="n">
        <v>44973</v>
      </c>
      <c r="E711" s="19" t="n">
        <v>19.43</v>
      </c>
      <c r="G711" s="16" t="n">
        <v>44973</v>
      </c>
      <c r="H711" s="19" t="n">
        <v>2.56</v>
      </c>
    </row>
    <row r="712">
      <c r="A712" s="16" t="n">
        <v>44974</v>
      </c>
      <c r="B712" s="19" t="n">
        <v>2063.45</v>
      </c>
      <c r="D712" s="16" t="n">
        <v>44974</v>
      </c>
      <c r="E712" s="19" t="n">
        <v>19.63</v>
      </c>
      <c r="G712" s="16" t="n">
        <v>44974</v>
      </c>
      <c r="H712" s="19" t="n">
        <v>2.61</v>
      </c>
    </row>
    <row r="713">
      <c r="A713" s="16" t="n">
        <v>44977</v>
      </c>
      <c r="B713" s="19" t="n">
        <v>2051.47</v>
      </c>
      <c r="D713" s="16" t="n">
        <v>44977</v>
      </c>
      <c r="E713" s="19" t="n">
        <v>19.66</v>
      </c>
      <c r="G713" s="16" t="n">
        <v>44977</v>
      </c>
      <c r="H713" s="19" t="n">
        <v>2.62</v>
      </c>
    </row>
    <row r="714">
      <c r="A714" s="16" t="n">
        <v>44978</v>
      </c>
      <c r="B714" s="19" t="n">
        <v>2055.01</v>
      </c>
      <c r="D714" s="16" t="n">
        <v>44978</v>
      </c>
      <c r="E714" s="19" t="n">
        <v>18.77</v>
      </c>
      <c r="G714" s="16" t="n">
        <v>44978</v>
      </c>
      <c r="H714" s="19" t="n">
        <v>2.61</v>
      </c>
    </row>
    <row r="715">
      <c r="A715" s="16" t="n">
        <v>44979</v>
      </c>
      <c r="B715" s="19" t="n">
        <v>2067.07</v>
      </c>
      <c r="D715" s="16" t="n">
        <v>44979</v>
      </c>
      <c r="E715" s="19" t="n">
        <v>17.39</v>
      </c>
      <c r="G715" s="16" t="n">
        <v>44979</v>
      </c>
      <c r="H715" s="19" t="n">
        <v>2.56</v>
      </c>
    </row>
    <row r="716">
      <c r="A716" s="16" t="n">
        <v>44980</v>
      </c>
      <c r="B716" s="19" t="n">
        <v>2057.61</v>
      </c>
      <c r="D716" s="16" t="n">
        <v>44980</v>
      </c>
      <c r="E716" s="19" t="n">
        <v>17.82</v>
      </c>
      <c r="G716" s="16" t="n">
        <v>44980</v>
      </c>
      <c r="H716" s="19" t="n">
        <v>2.55</v>
      </c>
    </row>
    <row r="717">
      <c r="A717" s="16" t="n">
        <v>44981</v>
      </c>
      <c r="B717" s="19" t="n">
        <v>2040.96</v>
      </c>
      <c r="D717" s="16" t="n">
        <v>44981</v>
      </c>
      <c r="E717" s="19" t="n">
        <v>19.11</v>
      </c>
      <c r="G717" s="16" t="n">
        <v>44981</v>
      </c>
      <c r="H717" s="19" t="n">
        <v>2.57</v>
      </c>
    </row>
    <row r="718">
      <c r="A718" s="16" t="n">
        <v>44984</v>
      </c>
      <c r="B718" s="19" t="n">
        <v>2033.91</v>
      </c>
      <c r="D718" s="16" t="n">
        <v>44984</v>
      </c>
      <c r="E718" s="19" t="n">
        <v>19.06</v>
      </c>
      <c r="G718" s="16" t="n">
        <v>44984</v>
      </c>
      <c r="H718" s="19" t="n">
        <v>2.59</v>
      </c>
    </row>
    <row r="719">
      <c r="A719" s="16" t="n">
        <v>44985</v>
      </c>
      <c r="B719" s="19" t="n">
        <v>2027.89</v>
      </c>
      <c r="D719" s="16" t="n">
        <v>44985</v>
      </c>
      <c r="E719" s="19" t="n">
        <v>19.06</v>
      </c>
      <c r="G719" s="16" t="n">
        <v>44985</v>
      </c>
      <c r="H719" s="19" t="n">
        <v>2.59</v>
      </c>
    </row>
    <row r="720">
      <c r="A720" s="16" t="n">
        <v>44986</v>
      </c>
      <c r="B720" s="19" t="n">
        <v>2042.28</v>
      </c>
      <c r="D720" s="16" t="n">
        <v>44986</v>
      </c>
      <c r="E720" s="19" t="n">
        <v>17.6</v>
      </c>
      <c r="G720" s="16" t="n">
        <v>44986</v>
      </c>
      <c r="H720" s="19" t="n">
        <v>2.58</v>
      </c>
    </row>
    <row r="721">
      <c r="A721" s="16" t="n">
        <v>44987</v>
      </c>
      <c r="B721" s="19" t="n">
        <v>2013.53</v>
      </c>
      <c r="D721" s="16" t="n">
        <v>44987</v>
      </c>
      <c r="E721" s="19" t="n">
        <v>19.63</v>
      </c>
      <c r="G721" s="16" t="n">
        <v>44987</v>
      </c>
      <c r="H721" s="19" t="n">
        <v>2.57</v>
      </c>
    </row>
    <row r="722">
      <c r="A722" s="16" t="n">
        <v>44988</v>
      </c>
      <c r="B722" s="19" t="n">
        <v>1963.47</v>
      </c>
      <c r="D722" s="16" t="n">
        <v>44988</v>
      </c>
      <c r="E722" s="19" t="n">
        <v>21.68</v>
      </c>
      <c r="G722" s="16" t="n">
        <v>44988</v>
      </c>
      <c r="H722" s="19" t="n">
        <v>2.63</v>
      </c>
    </row>
    <row r="723">
      <c r="A723" s="16" t="n">
        <v>44991</v>
      </c>
      <c r="B723" s="19" t="n">
        <v>1979.25</v>
      </c>
      <c r="D723" s="16" t="n">
        <v>44991</v>
      </c>
      <c r="E723" s="19" t="n">
        <v>21.75</v>
      </c>
      <c r="G723" s="16" t="n">
        <v>44991</v>
      </c>
      <c r="H723" s="19" t="n">
        <v>2.61</v>
      </c>
    </row>
    <row r="724">
      <c r="A724" s="16" t="n">
        <v>44992</v>
      </c>
      <c r="B724" s="19" t="n">
        <v>1981.82</v>
      </c>
      <c r="D724" s="16" t="n">
        <v>44992</v>
      </c>
      <c r="E724" s="19" t="n">
        <v>20.72</v>
      </c>
      <c r="G724" s="16" t="n">
        <v>44992</v>
      </c>
      <c r="H724" s="19" t="n">
        <v>2.58</v>
      </c>
    </row>
    <row r="725">
      <c r="A725" s="16" t="n">
        <v>44993</v>
      </c>
      <c r="B725" s="19" t="n">
        <v>1983.71</v>
      </c>
      <c r="D725" s="16" t="n">
        <v>44993</v>
      </c>
      <c r="E725" s="19" t="n">
        <v>20.47</v>
      </c>
      <c r="G725" s="16" t="n">
        <v>44993</v>
      </c>
      <c r="H725" s="19" t="n">
        <v>2.57</v>
      </c>
    </row>
    <row r="726">
      <c r="A726" s="16" t="n">
        <v>44994</v>
      </c>
      <c r="B726" s="19" t="n">
        <v>1987.78</v>
      </c>
      <c r="D726" s="16" t="n">
        <v>44994</v>
      </c>
      <c r="E726" s="19" t="n">
        <v>20.19</v>
      </c>
      <c r="G726" s="16" t="n">
        <v>44994</v>
      </c>
      <c r="H726" s="19" t="n">
        <v>2.56</v>
      </c>
    </row>
    <row r="727">
      <c r="A727" s="16" t="n">
        <v>44995</v>
      </c>
      <c r="B727" s="19" t="n">
        <v>2005.15</v>
      </c>
      <c r="D727" s="16" t="n">
        <v>44995</v>
      </c>
      <c r="E727" s="19" t="n">
        <v>18.61</v>
      </c>
      <c r="G727" s="16" t="n">
        <v>44995</v>
      </c>
      <c r="H727" s="19" t="n">
        <v>2.56</v>
      </c>
    </row>
    <row r="728">
      <c r="A728" s="16" t="n">
        <v>44998</v>
      </c>
      <c r="B728" s="19" t="n">
        <v>2020.34</v>
      </c>
      <c r="D728" s="16" t="n">
        <v>44998</v>
      </c>
      <c r="E728" s="19" t="n">
        <v>18.34</v>
      </c>
      <c r="G728" s="16" t="n">
        <v>44998</v>
      </c>
      <c r="H728" s="19" t="n">
        <v>2.56</v>
      </c>
    </row>
    <row r="729">
      <c r="A729" s="16" t="n">
        <v>44999</v>
      </c>
      <c r="B729" s="19" t="n">
        <v>2014.27</v>
      </c>
      <c r="D729" s="16" t="n">
        <v>44999</v>
      </c>
      <c r="E729" s="19" t="n">
        <v>18.9</v>
      </c>
      <c r="G729" s="16" t="n">
        <v>44999</v>
      </c>
      <c r="H729" s="19" t="n">
        <v>2.55</v>
      </c>
    </row>
    <row r="730">
      <c r="A730" s="16" t="n">
        <v>45000</v>
      </c>
      <c r="B730" s="19" t="n">
        <v>1993.6</v>
      </c>
      <c r="D730" s="16" t="n">
        <v>45000</v>
      </c>
      <c r="E730" s="19" t="n">
        <v>19.79</v>
      </c>
      <c r="G730" s="16" t="n">
        <v>45000</v>
      </c>
      <c r="H730" s="19" t="n">
        <v>2.59</v>
      </c>
    </row>
    <row r="731">
      <c r="A731" s="16" t="n">
        <v>45001</v>
      </c>
      <c r="B731" s="19" t="n">
        <v>1977.27</v>
      </c>
      <c r="D731" s="16" t="n">
        <v>45001</v>
      </c>
      <c r="E731" s="19" t="n">
        <v>21.66</v>
      </c>
      <c r="G731" s="16" t="n">
        <v>45001</v>
      </c>
      <c r="H731" s="19" t="n">
        <v>2.61</v>
      </c>
    </row>
    <row r="732">
      <c r="A732" s="16" t="n">
        <v>45002</v>
      </c>
      <c r="B732" s="19" t="n">
        <v>2026.5</v>
      </c>
      <c r="D732" s="16" t="n">
        <v>45002</v>
      </c>
      <c r="E732" s="19" t="n">
        <v>19.29</v>
      </c>
      <c r="G732" s="16" t="n">
        <v>45002</v>
      </c>
      <c r="H732" s="19" t="n">
        <v>2.57</v>
      </c>
    </row>
    <row r="733">
      <c r="A733" s="16" t="n">
        <v>45005</v>
      </c>
      <c r="B733" s="19" t="n">
        <v>2037.5</v>
      </c>
      <c r="D733" s="16" t="n">
        <v>45005</v>
      </c>
      <c r="E733" s="19" t="n">
        <v>18.09</v>
      </c>
      <c r="G733" s="16" t="n">
        <v>45005</v>
      </c>
      <c r="H733" s="19" t="n">
        <v>2.54</v>
      </c>
    </row>
    <row r="734">
      <c r="A734" s="16" t="n">
        <v>45006</v>
      </c>
      <c r="B734" s="19" t="n">
        <v>2037</v>
      </c>
      <c r="D734" s="16" t="n">
        <v>45006</v>
      </c>
      <c r="E734" s="19" t="n">
        <v>18.18</v>
      </c>
      <c r="G734" s="16" t="n">
        <v>45006</v>
      </c>
      <c r="H734" s="19" t="n">
        <v>2.56</v>
      </c>
    </row>
    <row r="735">
      <c r="A735" s="16" t="n">
        <v>45007</v>
      </c>
      <c r="B735" s="19" t="n">
        <v>2043.81</v>
      </c>
      <c r="D735" s="16" t="n">
        <v>45007</v>
      </c>
      <c r="E735" s="19" t="n">
        <v>17.61</v>
      </c>
      <c r="G735" s="16" t="n">
        <v>45007</v>
      </c>
      <c r="H735" s="19" t="n">
        <v>2.52</v>
      </c>
    </row>
    <row r="736">
      <c r="A736" s="16" t="n">
        <v>45008</v>
      </c>
      <c r="B736" s="19" t="n">
        <v>2038.79</v>
      </c>
      <c r="D736" s="16" t="n">
        <v>45008</v>
      </c>
      <c r="E736" s="19" t="n">
        <v>18.47</v>
      </c>
      <c r="G736" s="16" t="n">
        <v>45008</v>
      </c>
      <c r="H736" s="19" t="n">
        <v>2.5</v>
      </c>
    </row>
    <row r="737">
      <c r="A737" s="16" t="n">
        <v>45009</v>
      </c>
      <c r="B737" s="19" t="n">
        <v>2065.8</v>
      </c>
      <c r="D737" s="16" t="n">
        <v>45009</v>
      </c>
      <c r="E737" s="19" t="n">
        <v>17.93</v>
      </c>
      <c r="G737" s="16" t="n">
        <v>45009</v>
      </c>
      <c r="H737" s="19" t="n">
        <v>2.47</v>
      </c>
    </row>
    <row r="738">
      <c r="A738" s="16" t="n">
        <v>45012</v>
      </c>
      <c r="B738" s="19" t="n">
        <v>2040.8</v>
      </c>
      <c r="D738" s="16" t="n">
        <v>45012</v>
      </c>
      <c r="E738" s="19" t="n">
        <v>18.23</v>
      </c>
      <c r="G738" s="16" t="n">
        <v>45012</v>
      </c>
      <c r="H738" s="19" t="n">
        <v>2.52</v>
      </c>
    </row>
    <row r="739">
      <c r="A739" s="16" t="n">
        <v>45013</v>
      </c>
      <c r="B739" s="19" t="n">
        <v>2035.37</v>
      </c>
      <c r="D739" s="16" t="n">
        <v>45013</v>
      </c>
      <c r="E739" s="19" t="n">
        <v>18.16</v>
      </c>
      <c r="G739" s="16" t="n">
        <v>45013</v>
      </c>
      <c r="H739" s="19" t="n">
        <v>2.53</v>
      </c>
    </row>
    <row r="740">
      <c r="A740" s="16" t="n">
        <v>45014</v>
      </c>
      <c r="B740" s="19" t="n">
        <v>2034.96</v>
      </c>
      <c r="D740" s="16" t="n">
        <v>45014</v>
      </c>
      <c r="E740" s="19" t="n">
        <v>17.34</v>
      </c>
      <c r="G740" s="16" t="n">
        <v>45014</v>
      </c>
      <c r="H740" s="19" t="n">
        <v>2.54</v>
      </c>
    </row>
    <row r="741">
      <c r="A741" s="16" t="n">
        <v>45015</v>
      </c>
      <c r="B741" s="19" t="n">
        <v>2024.3</v>
      </c>
      <c r="D741" s="16" t="n">
        <v>45015</v>
      </c>
      <c r="E741" s="19" t="n">
        <v>17.55</v>
      </c>
      <c r="G741" s="16" t="n">
        <v>45015</v>
      </c>
      <c r="H741" s="19" t="n">
        <v>2.53</v>
      </c>
    </row>
    <row r="742">
      <c r="A742" s="16" t="n">
        <v>45016</v>
      </c>
      <c r="B742" s="19" t="n">
        <v>2033.55</v>
      </c>
      <c r="D742" s="16" t="n">
        <v>45016</v>
      </c>
      <c r="E742" s="19" t="n">
        <v>16.06</v>
      </c>
      <c r="G742" s="16" t="n">
        <v>45016</v>
      </c>
      <c r="H742" s="19" t="n">
        <v>2.52</v>
      </c>
    </row>
    <row r="743">
      <c r="A743" s="16" t="n">
        <v>45019</v>
      </c>
      <c r="B743" s="19" t="n">
        <v>2050.84</v>
      </c>
      <c r="D743" s="16" t="n">
        <v>45019</v>
      </c>
      <c r="E743" s="19" t="n">
        <v>15.33</v>
      </c>
      <c r="G743" s="16" t="n">
        <v>45019</v>
      </c>
      <c r="H743" s="19" t="n">
        <v>2.5</v>
      </c>
    </row>
    <row r="744">
      <c r="A744" s="16" t="n">
        <v>45020</v>
      </c>
      <c r="B744" s="19" t="n">
        <v>2072.25</v>
      </c>
      <c r="D744" s="16" t="n">
        <v>45020</v>
      </c>
      <c r="E744" s="19" t="n">
        <v>14.42</v>
      </c>
      <c r="G744" s="16" t="n">
        <v>45020</v>
      </c>
      <c r="H744" s="19" t="n">
        <v>2.47</v>
      </c>
    </row>
    <row r="745">
      <c r="A745" s="16" t="n">
        <v>45021</v>
      </c>
      <c r="B745" s="19" t="n">
        <v>2065.67</v>
      </c>
      <c r="D745" s="16" t="n">
        <v>45021</v>
      </c>
      <c r="E745" s="19" t="n">
        <v>13.96</v>
      </c>
      <c r="G745" s="16" t="n">
        <v>45021</v>
      </c>
      <c r="H745" s="19" t="n">
        <v>2.46</v>
      </c>
    </row>
    <row r="746">
      <c r="A746" s="16" t="n">
        <v>45022</v>
      </c>
      <c r="B746" s="19" t="n">
        <v>2079.33</v>
      </c>
      <c r="D746" s="16" t="n">
        <v>45022</v>
      </c>
      <c r="E746" s="19" t="n">
        <v>14.42</v>
      </c>
      <c r="G746" s="16" t="n">
        <v>45022</v>
      </c>
      <c r="H746" s="19" t="n">
        <v>2.43</v>
      </c>
    </row>
    <row r="747">
      <c r="A747" s="16" t="n">
        <v>45023</v>
      </c>
      <c r="B747" s="19" t="n">
        <v>2080.52</v>
      </c>
      <c r="D747" s="16" t="n">
        <v>45023</v>
      </c>
      <c r="E747" s="19" t="n">
        <v>14.46</v>
      </c>
      <c r="G747" s="16" t="n">
        <v>45023</v>
      </c>
      <c r="H747" s="19" t="n">
        <v>2.41</v>
      </c>
    </row>
    <row r="748">
      <c r="A748" s="16" t="n">
        <v>45026</v>
      </c>
      <c r="B748" s="19" t="n">
        <v>2085.59</v>
      </c>
      <c r="D748" s="16" t="n">
        <v>45026</v>
      </c>
      <c r="E748" s="19" t="n">
        <v>14.65</v>
      </c>
      <c r="G748" s="16" t="n">
        <v>45026</v>
      </c>
      <c r="H748" s="19" t="n">
        <v>2.37</v>
      </c>
    </row>
    <row r="749">
      <c r="A749" s="16" t="n">
        <v>45027</v>
      </c>
      <c r="B749" s="19" t="n">
        <v>2050.67</v>
      </c>
      <c r="D749" s="16" t="n">
        <v>45027</v>
      </c>
      <c r="E749" s="19" t="n">
        <v>16.3</v>
      </c>
      <c r="G749" s="16" t="n">
        <v>45027</v>
      </c>
      <c r="H749" s="19" t="n">
        <v>2.39</v>
      </c>
    </row>
    <row r="750">
      <c r="A750" s="16" t="n">
        <v>45028</v>
      </c>
      <c r="B750" s="19" t="n">
        <v>2057.64</v>
      </c>
      <c r="D750" s="16" t="n">
        <v>45028</v>
      </c>
      <c r="E750" s="19" t="n">
        <v>15.13</v>
      </c>
      <c r="G750" s="16" t="n">
        <v>45028</v>
      </c>
      <c r="H750" s="19" t="n">
        <v>2.38</v>
      </c>
    </row>
    <row r="751">
      <c r="A751" s="16" t="n">
        <v>45029</v>
      </c>
      <c r="B751" s="19" t="n">
        <v>2094.87</v>
      </c>
      <c r="D751" s="16" t="n">
        <v>45029</v>
      </c>
      <c r="E751" s="19" t="n">
        <v>14.67</v>
      </c>
      <c r="G751" s="16" t="n">
        <v>45029</v>
      </c>
      <c r="H751" s="19" t="n">
        <v>2.37</v>
      </c>
    </row>
    <row r="752">
      <c r="A752" s="16" t="n">
        <v>45030</v>
      </c>
      <c r="B752" s="19" t="n">
        <v>2079.06</v>
      </c>
      <c r="D752" s="16" t="n">
        <v>45030</v>
      </c>
      <c r="E752" s="19" t="n">
        <v>14.97</v>
      </c>
      <c r="G752" s="16" t="n">
        <v>45030</v>
      </c>
      <c r="H752" s="19" t="n">
        <v>2.38</v>
      </c>
    </row>
    <row r="753">
      <c r="A753" s="16" t="n">
        <v>45033</v>
      </c>
      <c r="B753" s="19" t="n">
        <v>2062.5</v>
      </c>
      <c r="D753" s="16" t="n">
        <v>45033</v>
      </c>
      <c r="E753" s="19" t="n">
        <v>16.72</v>
      </c>
      <c r="G753" s="16" t="n">
        <v>45033</v>
      </c>
      <c r="H753" s="19" t="n">
        <v>2.39</v>
      </c>
    </row>
    <row r="754">
      <c r="A754" s="16" t="n">
        <v>45034</v>
      </c>
      <c r="B754" s="19" t="n">
        <v>2065.91</v>
      </c>
      <c r="D754" s="16" t="n">
        <v>45034</v>
      </c>
      <c r="E754" s="19" t="n">
        <v>15.68</v>
      </c>
      <c r="G754" s="16" t="n">
        <v>45034</v>
      </c>
      <c r="H754" s="19" t="n">
        <v>2.44</v>
      </c>
    </row>
    <row r="755">
      <c r="A755" s="16" t="n">
        <v>45035</v>
      </c>
      <c r="B755" s="19" t="n">
        <v>2083.65</v>
      </c>
      <c r="D755" s="16" t="n">
        <v>45035</v>
      </c>
      <c r="E755" s="19" t="n">
        <v>14.28</v>
      </c>
      <c r="G755" s="16" t="n">
        <v>45035</v>
      </c>
      <c r="H755" s="19" t="n">
        <v>2.43</v>
      </c>
    </row>
    <row r="756">
      <c r="A756" s="16" t="n">
        <v>45036</v>
      </c>
      <c r="B756" s="19" t="n">
        <v>2074.19</v>
      </c>
      <c r="D756" s="16" t="n">
        <v>45036</v>
      </c>
      <c r="E756" s="19" t="n">
        <v>14.52</v>
      </c>
      <c r="G756" s="16" t="n">
        <v>45036</v>
      </c>
      <c r="H756" s="19" t="n">
        <v>2.44</v>
      </c>
    </row>
    <row r="757">
      <c r="A757" s="16" t="n">
        <v>45037</v>
      </c>
      <c r="B757" s="19" t="n">
        <v>2048.56</v>
      </c>
      <c r="D757" s="16" t="n">
        <v>45037</v>
      </c>
      <c r="E757" s="19" t="n">
        <v>15.55</v>
      </c>
      <c r="G757" s="16" t="n">
        <v>45037</v>
      </c>
      <c r="H757" s="19" t="n">
        <v>2.44</v>
      </c>
    </row>
    <row r="758">
      <c r="A758" s="16" t="n">
        <v>45040</v>
      </c>
      <c r="B758" s="19" t="n">
        <v>2072.18</v>
      </c>
      <c r="D758" s="16" t="n">
        <v>45040</v>
      </c>
      <c r="E758" s="19" t="n">
        <v>13.61</v>
      </c>
      <c r="G758" s="16" t="n">
        <v>45040</v>
      </c>
      <c r="H758" s="19" t="n">
        <v>2.4</v>
      </c>
    </row>
    <row r="759">
      <c r="A759" s="16" t="n">
        <v>45041</v>
      </c>
      <c r="B759" s="19" t="n">
        <v>2091.19</v>
      </c>
      <c r="D759" s="16" t="n">
        <v>45041</v>
      </c>
      <c r="E759" s="19" t="n">
        <v>13.18</v>
      </c>
      <c r="G759" s="16" t="n">
        <v>45041</v>
      </c>
      <c r="H759" s="19" t="n">
        <v>2.37</v>
      </c>
    </row>
    <row r="760">
      <c r="A760" s="16" t="n">
        <v>45042</v>
      </c>
      <c r="B760" s="19" t="n">
        <v>2062.18</v>
      </c>
      <c r="D760" s="16" t="n">
        <v>45042</v>
      </c>
      <c r="E760" s="19" t="n">
        <v>14</v>
      </c>
      <c r="G760" s="16" t="n">
        <v>45042</v>
      </c>
      <c r="H760" s="19" t="n">
        <v>2.42</v>
      </c>
    </row>
    <row r="761">
      <c r="A761" s="16" t="n">
        <v>45043</v>
      </c>
      <c r="B761" s="19" t="n">
        <v>2037.23</v>
      </c>
      <c r="D761" s="16" t="n">
        <v>45043</v>
      </c>
      <c r="E761" s="19" t="n">
        <v>15.98</v>
      </c>
      <c r="G761" s="16" t="n">
        <v>45043</v>
      </c>
      <c r="H761" s="19" t="n">
        <v>2.48</v>
      </c>
    </row>
    <row r="762">
      <c r="A762" s="16" t="n">
        <v>45044</v>
      </c>
      <c r="B762" s="19" t="n">
        <v>2056.56</v>
      </c>
      <c r="D762" s="16" t="n">
        <v>45044</v>
      </c>
      <c r="E762" s="19" t="n">
        <v>15.9</v>
      </c>
      <c r="G762" s="16" t="n">
        <v>45044</v>
      </c>
      <c r="H762" s="19" t="n">
        <v>2.46</v>
      </c>
    </row>
    <row r="763">
      <c r="A763" s="16" t="n">
        <v>45047</v>
      </c>
      <c r="B763" s="19" t="n">
        <v>2042.07</v>
      </c>
      <c r="D763" s="16" t="n">
        <v>45047</v>
      </c>
      <c r="E763" s="19" t="n">
        <v>17.45</v>
      </c>
      <c r="G763" s="16" t="n">
        <v>45047</v>
      </c>
      <c r="H763" s="19" t="n">
        <v>2.45</v>
      </c>
    </row>
    <row r="764">
      <c r="A764" s="16" t="n">
        <v>45048</v>
      </c>
      <c r="B764" s="19" t="n">
        <v>2020.9</v>
      </c>
      <c r="D764" s="16" t="n">
        <v>45048</v>
      </c>
      <c r="E764" s="19" t="n">
        <v>18.68</v>
      </c>
      <c r="G764" s="16" t="n">
        <v>45048</v>
      </c>
      <c r="H764" s="19" t="n">
        <v>2.46</v>
      </c>
    </row>
    <row r="765">
      <c r="A765" s="16" t="n">
        <v>45049</v>
      </c>
      <c r="B765" s="19" t="n">
        <v>2030.04</v>
      </c>
      <c r="D765" s="16" t="n">
        <v>45049</v>
      </c>
      <c r="E765" s="19" t="n">
        <v>18.57</v>
      </c>
      <c r="G765" s="16" t="n">
        <v>45049</v>
      </c>
      <c r="H765" s="19" t="n">
        <v>2.44</v>
      </c>
    </row>
    <row r="766">
      <c r="A766" s="16" t="n">
        <v>45050</v>
      </c>
      <c r="B766" s="19" t="n">
        <v>2019.96</v>
      </c>
      <c r="D766" s="16" t="n">
        <v>45050</v>
      </c>
      <c r="E766" s="19" t="n">
        <v>20.06</v>
      </c>
      <c r="G766" s="16" t="n">
        <v>45050</v>
      </c>
      <c r="H766" s="19" t="n">
        <v>2.44</v>
      </c>
    </row>
    <row r="767">
      <c r="A767" s="16" t="n">
        <v>45051</v>
      </c>
      <c r="B767" s="19" t="n">
        <v>2002.77</v>
      </c>
      <c r="D767" s="16" t="n">
        <v>45051</v>
      </c>
      <c r="E767" s="19" t="n">
        <v>20.96</v>
      </c>
      <c r="G767" s="16" t="n">
        <v>45051</v>
      </c>
      <c r="H767" s="19" t="n">
        <v>2.42</v>
      </c>
    </row>
    <row r="768">
      <c r="A768" s="16" t="n">
        <v>45054</v>
      </c>
      <c r="B768" s="19" t="n">
        <v>2000.71</v>
      </c>
      <c r="D768" s="16" t="n">
        <v>45054</v>
      </c>
      <c r="E768" s="19" t="n">
        <v>20.91</v>
      </c>
      <c r="G768" s="16" t="n">
        <v>45054</v>
      </c>
      <c r="H768" s="19" t="n">
        <v>2.44</v>
      </c>
    </row>
    <row r="769">
      <c r="A769" s="16" t="n">
        <v>45055</v>
      </c>
      <c r="B769" s="19" t="n">
        <v>1974.84</v>
      </c>
      <c r="D769" s="16" t="n">
        <v>45055</v>
      </c>
      <c r="E769" s="19" t="n">
        <v>21.99</v>
      </c>
      <c r="G769" s="16" t="n">
        <v>45055</v>
      </c>
      <c r="H769" s="19" t="n">
        <v>2.44</v>
      </c>
    </row>
    <row r="770">
      <c r="A770" s="16" t="n">
        <v>45056</v>
      </c>
      <c r="B770" s="19" t="n">
        <v>1988.07</v>
      </c>
      <c r="D770" s="16" t="n">
        <v>45056</v>
      </c>
      <c r="E770" s="19" t="n">
        <v>21.23</v>
      </c>
      <c r="G770" s="16" t="n">
        <v>45056</v>
      </c>
      <c r="H770" s="19" t="n">
        <v>2.43</v>
      </c>
    </row>
    <row r="771">
      <c r="A771" s="16" t="n">
        <v>45057</v>
      </c>
      <c r="B771" s="19" t="n">
        <v>1973.71</v>
      </c>
      <c r="D771" s="16" t="n">
        <v>45057</v>
      </c>
      <c r="E771" s="19" t="n">
        <v>22.55</v>
      </c>
      <c r="G771" s="16" t="n">
        <v>45057</v>
      </c>
      <c r="H771" s="19" t="n">
        <v>2.47</v>
      </c>
    </row>
    <row r="772">
      <c r="A772" s="16" t="n">
        <v>45058</v>
      </c>
      <c r="B772" s="19" t="n">
        <v>1994.58</v>
      </c>
      <c r="D772" s="16" t="n">
        <v>45058</v>
      </c>
      <c r="E772" s="19" t="n">
        <v>21.58</v>
      </c>
      <c r="G772" s="16" t="n">
        <v>45058</v>
      </c>
      <c r="H772" s="19" t="n">
        <v>2.45</v>
      </c>
    </row>
    <row r="773">
      <c r="A773" s="16" t="n">
        <v>45061</v>
      </c>
      <c r="B773" s="19" t="n">
        <v>1991.02</v>
      </c>
      <c r="D773" s="16" t="n">
        <v>45061</v>
      </c>
      <c r="E773" s="19" t="n">
        <v>21.66</v>
      </c>
      <c r="G773" s="16" t="n">
        <v>45061</v>
      </c>
      <c r="H773" s="19" t="n">
        <v>2.45</v>
      </c>
    </row>
    <row r="774">
      <c r="A774" s="16" t="n">
        <v>45062</v>
      </c>
      <c r="B774" s="19" t="n">
        <v>2044.8</v>
      </c>
      <c r="D774" s="16" t="n">
        <v>45062</v>
      </c>
      <c r="E774" s="19" t="n">
        <v>19.45</v>
      </c>
      <c r="G774" s="16" t="n">
        <v>45062</v>
      </c>
      <c r="H774" s="19" t="n">
        <v>2.41</v>
      </c>
    </row>
    <row r="775">
      <c r="A775" s="16" t="n">
        <v>45063</v>
      </c>
      <c r="B775" s="19" t="n">
        <v>1996.22</v>
      </c>
      <c r="D775" s="16" t="n">
        <v>45063</v>
      </c>
      <c r="E775" s="19" t="n">
        <v>20.67</v>
      </c>
      <c r="G775" s="16" t="n">
        <v>45063</v>
      </c>
      <c r="H775" s="19" t="n">
        <v>2.44</v>
      </c>
    </row>
    <row r="776">
      <c r="A776" s="16" t="n">
        <v>45064</v>
      </c>
      <c r="B776" s="19" t="n">
        <v>1983.4</v>
      </c>
      <c r="D776" s="16" t="n">
        <v>45064</v>
      </c>
      <c r="E776" s="19" t="n">
        <v>22.48</v>
      </c>
      <c r="G776" s="16" t="n">
        <v>45064</v>
      </c>
      <c r="H776" s="19" t="n">
        <v>2.45</v>
      </c>
    </row>
    <row r="777">
      <c r="A777" s="16" t="n">
        <v>45065</v>
      </c>
      <c r="B777" s="19" t="n">
        <v>1967.83</v>
      </c>
      <c r="D777" s="16" t="n">
        <v>45065</v>
      </c>
      <c r="E777" s="19" t="n">
        <v>23.08</v>
      </c>
      <c r="G777" s="16" t="n">
        <v>45065</v>
      </c>
      <c r="H777" s="19" t="n">
        <v>2.46</v>
      </c>
    </row>
    <row r="778">
      <c r="A778" s="16" t="n">
        <v>45068</v>
      </c>
      <c r="B778" s="19" t="n">
        <v>1941.36</v>
      </c>
      <c r="D778" s="16" t="n">
        <v>45068</v>
      </c>
      <c r="E778" s="19" t="n">
        <v>23.69</v>
      </c>
      <c r="G778" s="16" t="n">
        <v>45068</v>
      </c>
      <c r="H778" s="19" t="n">
        <v>2.47</v>
      </c>
    </row>
    <row r="779">
      <c r="A779" s="16" t="n">
        <v>45069</v>
      </c>
      <c r="B779" s="19" t="n">
        <v>1949.59</v>
      </c>
      <c r="D779" s="16" t="n">
        <v>45069</v>
      </c>
      <c r="E779" s="19" t="n">
        <v>22.15</v>
      </c>
      <c r="G779" s="16" t="n">
        <v>45069</v>
      </c>
      <c r="H779" s="19" t="n">
        <v>2.47</v>
      </c>
    </row>
    <row r="780">
      <c r="A780" s="16" t="n">
        <v>45070</v>
      </c>
      <c r="B780" s="19" t="n">
        <v>1946.27</v>
      </c>
      <c r="D780" s="16" t="n">
        <v>45070</v>
      </c>
      <c r="E780" s="19" t="n">
        <v>22.18</v>
      </c>
      <c r="G780" s="16" t="n">
        <v>45070</v>
      </c>
      <c r="H780" s="19" t="n">
        <v>2.51</v>
      </c>
    </row>
    <row r="781">
      <c r="A781" s="16" t="n">
        <v>45071</v>
      </c>
      <c r="B781" s="19" t="n">
        <v>1932.05</v>
      </c>
      <c r="D781" s="16" t="n">
        <v>45071</v>
      </c>
      <c r="E781" s="19" t="n">
        <v>22.4</v>
      </c>
      <c r="G781" s="16" t="n">
        <v>45071</v>
      </c>
      <c r="H781" s="19" t="n">
        <v>2.52</v>
      </c>
    </row>
    <row r="782">
      <c r="A782" s="16" t="n">
        <v>45072</v>
      </c>
      <c r="B782" s="19" t="n">
        <v>1964.45</v>
      </c>
      <c r="D782" s="16" t="n">
        <v>45072</v>
      </c>
      <c r="E782" s="19" t="n">
        <v>21.48</v>
      </c>
      <c r="G782" s="16" t="n">
        <v>45072</v>
      </c>
      <c r="H782" s="19" t="n">
        <v>2.45</v>
      </c>
    </row>
    <row r="783">
      <c r="A783" s="16" t="n">
        <v>45075</v>
      </c>
      <c r="B783" s="19" t="n">
        <v>2000.15</v>
      </c>
      <c r="D783" s="16" t="n">
        <v>45075</v>
      </c>
      <c r="E783" s="19" t="n">
        <v>19.56</v>
      </c>
      <c r="G783" s="16" t="n">
        <v>45075</v>
      </c>
      <c r="H783" s="19" t="n">
        <v>2.4</v>
      </c>
    </row>
    <row r="784">
      <c r="A784" s="16" t="n">
        <v>45076</v>
      </c>
      <c r="B784" s="19" t="n">
        <v>1993.67</v>
      </c>
      <c r="D784" s="16" t="n">
        <v>45076</v>
      </c>
      <c r="E784" s="19" t="n">
        <v>20.24</v>
      </c>
      <c r="G784" s="16" t="n">
        <v>45076</v>
      </c>
      <c r="H784" s="19" t="n">
        <v>2.4</v>
      </c>
    </row>
    <row r="785">
      <c r="A785" s="16" t="n">
        <v>45077</v>
      </c>
      <c r="B785" s="19" t="n">
        <v>2014.99</v>
      </c>
      <c r="D785" s="16" t="n">
        <v>45077</v>
      </c>
      <c r="E785" s="19" t="n">
        <v>19.41</v>
      </c>
      <c r="G785" s="16" t="n">
        <v>45077</v>
      </c>
      <c r="H785" s="19" t="n">
        <v>2.37</v>
      </c>
    </row>
    <row r="786">
      <c r="A786" s="16" t="n">
        <v>45078</v>
      </c>
      <c r="B786" s="19" t="n">
        <v>2043.81</v>
      </c>
      <c r="D786" s="16" t="n">
        <v>45078</v>
      </c>
      <c r="E786" s="19" t="n">
        <v>18.51</v>
      </c>
      <c r="G786" s="16" t="n">
        <v>45078</v>
      </c>
      <c r="H786" s="19" t="n">
        <v>2.36</v>
      </c>
    </row>
    <row r="787">
      <c r="A787" s="16" t="n">
        <v>45079</v>
      </c>
      <c r="B787" s="19" t="n">
        <v>2013.93</v>
      </c>
      <c r="D787" s="16" t="n">
        <v>45079</v>
      </c>
      <c r="E787" s="19" t="n">
        <v>18.96</v>
      </c>
      <c r="G787" s="16" t="n">
        <v>45079</v>
      </c>
      <c r="H787" s="19" t="n">
        <v>2.38</v>
      </c>
    </row>
    <row r="788">
      <c r="A788" s="16" t="n">
        <v>45082</v>
      </c>
      <c r="B788" s="19" t="n">
        <v>2023.32</v>
      </c>
      <c r="D788" s="16" t="n">
        <v>45082</v>
      </c>
      <c r="E788" s="19" t="n">
        <v>18.5</v>
      </c>
      <c r="G788" s="16" t="n">
        <v>45082</v>
      </c>
      <c r="H788" s="19" t="n">
        <v>2.37</v>
      </c>
    </row>
    <row r="789">
      <c r="A789" s="16" t="n">
        <v>45083</v>
      </c>
      <c r="B789" s="19" t="n">
        <v>2021.34</v>
      </c>
      <c r="D789" s="16" t="n">
        <v>45083</v>
      </c>
      <c r="E789" s="19" t="n">
        <v>18.15</v>
      </c>
      <c r="G789" s="16" t="n">
        <v>45083</v>
      </c>
      <c r="H789" s="19" t="n">
        <v>2.34</v>
      </c>
    </row>
    <row r="790">
      <c r="A790" s="16" t="n">
        <v>45084</v>
      </c>
      <c r="B790" s="19" t="n">
        <v>2035.48</v>
      </c>
      <c r="D790" s="16" t="n">
        <v>45084</v>
      </c>
      <c r="E790" s="19" t="n">
        <v>17.47</v>
      </c>
      <c r="G790" s="16" t="n">
        <v>45084</v>
      </c>
      <c r="H790" s="19" t="n">
        <v>2.33</v>
      </c>
    </row>
    <row r="791">
      <c r="A791" s="16" t="n">
        <v>45085</v>
      </c>
      <c r="B791" s="19" t="n">
        <v>2051.62</v>
      </c>
      <c r="D791" s="16" t="n">
        <v>45085</v>
      </c>
      <c r="E791" s="19" t="n">
        <v>16.35</v>
      </c>
      <c r="G791" s="16" t="n">
        <v>45085</v>
      </c>
      <c r="H791" s="19" t="n">
        <v>2.34</v>
      </c>
    </row>
    <row r="792">
      <c r="A792" s="16" t="n">
        <v>45086</v>
      </c>
      <c r="B792" s="19" t="n">
        <v>2052.3</v>
      </c>
      <c r="D792" s="16" t="n">
        <v>45086</v>
      </c>
      <c r="E792" s="19" t="n">
        <v>16.31</v>
      </c>
      <c r="G792" s="16" t="n">
        <v>45086</v>
      </c>
      <c r="H792" s="19" t="n">
        <v>2.36</v>
      </c>
    </row>
    <row r="793">
      <c r="A793" s="16" t="n">
        <v>45089</v>
      </c>
      <c r="B793" s="19" t="n">
        <v>2054.47</v>
      </c>
      <c r="D793" s="16" t="n">
        <v>45089</v>
      </c>
      <c r="E793" s="19" t="n">
        <v>16.18</v>
      </c>
      <c r="G793" s="16" t="n">
        <v>45089</v>
      </c>
      <c r="H793" s="19" t="n">
        <v>2.35</v>
      </c>
    </row>
    <row r="794">
      <c r="A794" s="16" t="n">
        <v>45090</v>
      </c>
      <c r="B794" s="19" t="n">
        <v>2073.94</v>
      </c>
      <c r="D794" s="16" t="n">
        <v>45090</v>
      </c>
      <c r="E794" s="19" t="n">
        <v>16.05</v>
      </c>
      <c r="G794" s="16" t="n">
        <v>45090</v>
      </c>
      <c r="H794" s="19" t="n">
        <v>2.35</v>
      </c>
    </row>
    <row r="795">
      <c r="A795" s="16" t="n">
        <v>45091</v>
      </c>
      <c r="B795" s="19" t="n">
        <v>2046.67</v>
      </c>
      <c r="D795" s="16" t="n">
        <v>45091</v>
      </c>
      <c r="E795" s="19" t="n">
        <v>17.46</v>
      </c>
      <c r="G795" s="16" t="n">
        <v>45091</v>
      </c>
      <c r="H795" s="19" t="n">
        <v>2.37</v>
      </c>
    </row>
    <row r="796">
      <c r="A796" s="16" t="n">
        <v>45092</v>
      </c>
      <c r="B796" s="19" t="n">
        <v>2043.43</v>
      </c>
      <c r="D796" s="16" t="n">
        <v>45092</v>
      </c>
      <c r="E796" s="19" t="n">
        <v>17.45</v>
      </c>
      <c r="G796" s="16" t="n">
        <v>45092</v>
      </c>
      <c r="H796" s="19" t="n">
        <v>2.35</v>
      </c>
    </row>
    <row r="797">
      <c r="A797" s="16" t="n">
        <v>45093</v>
      </c>
      <c r="B797" s="19" t="n">
        <v>2067.89</v>
      </c>
      <c r="D797" s="16" t="n">
        <v>45093</v>
      </c>
      <c r="E797" s="19" t="n">
        <v>16.32</v>
      </c>
      <c r="G797" s="16" t="n">
        <v>45093</v>
      </c>
      <c r="H797" s="19" t="n">
        <v>2.36</v>
      </c>
    </row>
    <row r="798">
      <c r="A798" s="16" t="n">
        <v>45096</v>
      </c>
      <c r="B798" s="19" t="n">
        <v>2076.72</v>
      </c>
      <c r="D798" s="16" t="n">
        <v>45096</v>
      </c>
      <c r="E798" s="19" t="n">
        <v>16.47</v>
      </c>
      <c r="G798" s="16" t="n">
        <v>45096</v>
      </c>
      <c r="H798" s="19" t="n">
        <v>2.34</v>
      </c>
    </row>
    <row r="799">
      <c r="A799" s="16" t="n">
        <v>45097</v>
      </c>
      <c r="B799" s="19" t="n">
        <v>2089.75</v>
      </c>
      <c r="D799" s="16" t="n">
        <v>45097</v>
      </c>
      <c r="E799" s="19" t="n">
        <v>16.68</v>
      </c>
      <c r="G799" s="16" t="n">
        <v>45097</v>
      </c>
      <c r="H799" s="19" t="n">
        <v>2.35</v>
      </c>
    </row>
    <row r="800">
      <c r="A800" s="16" t="n">
        <v>45098</v>
      </c>
      <c r="B800" s="19" t="n">
        <v>2042.3</v>
      </c>
      <c r="D800" s="16" t="n">
        <v>45098</v>
      </c>
      <c r="E800" s="19" t="n">
        <v>18.55</v>
      </c>
      <c r="G800" s="16" t="n">
        <v>45098</v>
      </c>
      <c r="H800" s="19" t="n">
        <v>2.43</v>
      </c>
    </row>
    <row r="801">
      <c r="A801" s="16" t="n">
        <v>45099</v>
      </c>
      <c r="B801" s="19" t="n">
        <v>2056.91</v>
      </c>
      <c r="D801" s="16" t="n">
        <v>45099</v>
      </c>
      <c r="E801" s="19" t="n">
        <v>17.53</v>
      </c>
      <c r="G801" s="16" t="n">
        <v>45099</v>
      </c>
      <c r="H801" s="19" t="n">
        <v>2.39</v>
      </c>
    </row>
    <row r="802">
      <c r="A802" s="16" t="n">
        <v>45100</v>
      </c>
      <c r="B802" s="19" t="n">
        <v>2090.39</v>
      </c>
      <c r="D802" s="16" t="n">
        <v>45100</v>
      </c>
      <c r="E802" s="19" t="n">
        <v>15.74</v>
      </c>
      <c r="G802" s="16" t="n">
        <v>45100</v>
      </c>
      <c r="H802" s="19" t="n">
        <v>2.4</v>
      </c>
    </row>
    <row r="803">
      <c r="A803" s="16" t="n">
        <v>45103</v>
      </c>
      <c r="B803" s="19" t="n">
        <v>2095.21</v>
      </c>
      <c r="D803" s="16" t="n">
        <v>45103</v>
      </c>
      <c r="E803" s="19" t="n">
        <v>15.07</v>
      </c>
      <c r="G803" s="16" t="n">
        <v>45103</v>
      </c>
      <c r="H803" s="19" t="n">
        <v>2.41</v>
      </c>
    </row>
    <row r="804">
      <c r="A804" s="16" t="n">
        <v>45104</v>
      </c>
      <c r="B804" s="19" t="n">
        <v>2082.85</v>
      </c>
      <c r="D804" s="16" t="n">
        <v>45104</v>
      </c>
      <c r="E804" s="19" t="n">
        <v>15.68</v>
      </c>
      <c r="G804" s="16" t="n">
        <v>45104</v>
      </c>
      <c r="H804" s="19" t="n">
        <v>2.43</v>
      </c>
    </row>
    <row r="805">
      <c r="A805" s="16" t="n">
        <v>45105</v>
      </c>
      <c r="B805" s="19" t="n">
        <v>2080.85</v>
      </c>
      <c r="D805" s="16" t="n">
        <v>45105</v>
      </c>
      <c r="E805" s="19" t="n">
        <v>14.76</v>
      </c>
      <c r="G805" s="16" t="n">
        <v>45105</v>
      </c>
      <c r="H805" s="19" t="n">
        <v>2.41</v>
      </c>
    </row>
    <row r="806">
      <c r="A806" s="16" t="n">
        <v>45106</v>
      </c>
      <c r="B806" s="19" t="n">
        <v>2117.76</v>
      </c>
      <c r="D806" s="16" t="n">
        <v>45106</v>
      </c>
      <c r="E806" s="19" t="n">
        <v>13.32</v>
      </c>
      <c r="G806" s="16" t="n">
        <v>45106</v>
      </c>
      <c r="H806" s="19" t="n">
        <v>2.37</v>
      </c>
    </row>
    <row r="807">
      <c r="A807" s="16" t="n">
        <v>45107</v>
      </c>
      <c r="B807" s="19" t="n">
        <v>2149.9</v>
      </c>
      <c r="D807" s="16" t="n">
        <v>45107</v>
      </c>
      <c r="E807" s="19" t="n">
        <v>12.63</v>
      </c>
      <c r="G807" s="16" t="n">
        <v>45107</v>
      </c>
      <c r="H807" s="19" t="n">
        <v>2.31</v>
      </c>
    </row>
    <row r="808">
      <c r="A808" s="16" t="n">
        <v>45110</v>
      </c>
      <c r="B808" s="19" t="n">
        <v>2156.58</v>
      </c>
      <c r="D808" s="16" t="n">
        <v>45110</v>
      </c>
      <c r="E808" s="19" t="n">
        <v>12.38</v>
      </c>
      <c r="G808" s="16" t="n">
        <v>45110</v>
      </c>
      <c r="H808" s="19" t="n">
        <v>2.32</v>
      </c>
    </row>
    <row r="809">
      <c r="A809" s="16" t="n">
        <v>45111</v>
      </c>
      <c r="B809" s="19" t="inlineStr">
        <is>
          <t>.</t>
        </is>
      </c>
      <c r="D809" s="16" t="n">
        <v>45111</v>
      </c>
      <c r="E809" s="19" t="inlineStr"/>
      <c r="G809" s="16" t="n">
        <v>45111</v>
      </c>
      <c r="H809" s="19" t="inlineStr">
        <is>
          <t>.</t>
        </is>
      </c>
    </row>
    <row r="810">
      <c r="A810" s="16" t="n">
        <v>45112</v>
      </c>
      <c r="B810" s="19" t="n">
        <v>2177.92</v>
      </c>
      <c r="D810" s="16" t="n">
        <v>45112</v>
      </c>
      <c r="E810" s="19" t="n">
        <v>12.2</v>
      </c>
      <c r="G810" s="16" t="n">
        <v>45112</v>
      </c>
      <c r="H810" s="19" t="n">
        <v>2.27</v>
      </c>
    </row>
    <row r="811">
      <c r="A811" s="16" t="n">
        <v>45113</v>
      </c>
      <c r="B811" s="19" t="n">
        <v>2215.74</v>
      </c>
      <c r="D811" s="16" t="n">
        <v>45113</v>
      </c>
      <c r="E811" s="19" t="n">
        <v>11.5</v>
      </c>
      <c r="G811" s="16" t="n">
        <v>45113</v>
      </c>
      <c r="H811" s="19" t="n">
        <v>2.26</v>
      </c>
    </row>
    <row r="812">
      <c r="A812" s="16" t="n">
        <v>45114</v>
      </c>
      <c r="B812" s="19" t="n">
        <v>2251.97</v>
      </c>
      <c r="D812" s="16" t="n">
        <v>45114</v>
      </c>
      <c r="E812" s="19" t="n">
        <v>9.710000000000001</v>
      </c>
      <c r="G812" s="16" t="n">
        <v>45114</v>
      </c>
      <c r="H812" s="19" t="n">
        <v>2.24</v>
      </c>
    </row>
    <row r="813">
      <c r="A813" s="16" t="n">
        <v>45117</v>
      </c>
      <c r="B813" s="19" t="n">
        <v>2236.47</v>
      </c>
      <c r="D813" s="16" t="n">
        <v>45117</v>
      </c>
      <c r="E813" s="19" t="n">
        <v>11.05</v>
      </c>
      <c r="G813" s="16" t="n">
        <v>45117</v>
      </c>
      <c r="H813" s="19" t="n">
        <v>2.26</v>
      </c>
    </row>
    <row r="814">
      <c r="A814" s="16" t="n">
        <v>45118</v>
      </c>
      <c r="B814" s="19" t="n">
        <v>2290.9</v>
      </c>
      <c r="D814" s="16" t="n">
        <v>45118</v>
      </c>
      <c r="E814" s="19" t="n">
        <v>9.51</v>
      </c>
      <c r="G814" s="16" t="n">
        <v>45118</v>
      </c>
      <c r="H814" s="19" t="n">
        <v>2.2</v>
      </c>
    </row>
    <row r="815">
      <c r="A815" s="16" t="n">
        <v>45119</v>
      </c>
      <c r="B815" s="19" t="n">
        <v>2288.37</v>
      </c>
      <c r="D815" s="16" t="n">
        <v>45119</v>
      </c>
      <c r="E815" s="19" t="n">
        <v>10.14</v>
      </c>
      <c r="G815" s="16" t="n">
        <v>45119</v>
      </c>
      <c r="H815" s="19" t="n">
        <v>2.18</v>
      </c>
    </row>
    <row r="816">
      <c r="A816" s="16" t="n">
        <v>45120</v>
      </c>
      <c r="B816" s="19" t="n">
        <v>2289.99</v>
      </c>
      <c r="D816" s="16" t="n">
        <v>45120</v>
      </c>
      <c r="E816" s="19" t="n">
        <v>11.74</v>
      </c>
      <c r="G816" s="16" t="n">
        <v>45120</v>
      </c>
      <c r="H816" s="19" t="n">
        <v>2.17</v>
      </c>
    </row>
    <row r="817">
      <c r="A817" s="16" t="n">
        <v>45121</v>
      </c>
      <c r="B817" s="19" t="n">
        <v>2252.54</v>
      </c>
      <c r="D817" s="16" t="n">
        <v>45121</v>
      </c>
      <c r="E817" s="19" t="n">
        <v>12.29</v>
      </c>
      <c r="G817" s="16" t="n">
        <v>45121</v>
      </c>
      <c r="H817" s="19" t="n">
        <v>2.22</v>
      </c>
    </row>
    <row r="818">
      <c r="A818" s="16" t="n">
        <v>45124</v>
      </c>
      <c r="B818" s="19" t="n">
        <v>2270.7</v>
      </c>
      <c r="D818" s="16" t="n">
        <v>45124</v>
      </c>
      <c r="E818" s="19" t="n">
        <v>13.03</v>
      </c>
      <c r="G818" s="16" t="n">
        <v>45124</v>
      </c>
      <c r="H818" s="19" t="n">
        <v>2.24</v>
      </c>
    </row>
    <row r="819">
      <c r="A819" s="16" t="n">
        <v>45125</v>
      </c>
      <c r="B819" s="19" t="n">
        <v>2282.69</v>
      </c>
      <c r="D819" s="16" t="n">
        <v>45125</v>
      </c>
      <c r="E819" s="19" t="n">
        <v>12.57</v>
      </c>
      <c r="G819" s="16" t="n">
        <v>45125</v>
      </c>
      <c r="H819" s="19" t="n">
        <v>2.24</v>
      </c>
    </row>
    <row r="820">
      <c r="A820" s="16" t="n">
        <v>45126</v>
      </c>
      <c r="B820" s="19" t="n">
        <v>2289</v>
      </c>
      <c r="D820" s="16" t="n">
        <v>45126</v>
      </c>
      <c r="E820" s="19" t="n">
        <v>11.77</v>
      </c>
      <c r="G820" s="16" t="n">
        <v>45126</v>
      </c>
      <c r="H820" s="19" t="n">
        <v>2.23</v>
      </c>
    </row>
    <row r="821">
      <c r="A821" s="16" t="n">
        <v>45127</v>
      </c>
      <c r="B821" s="19" t="n">
        <v>2259.61</v>
      </c>
      <c r="D821" s="16" t="n">
        <v>45127</v>
      </c>
      <c r="E821" s="19" t="n">
        <v>13.68</v>
      </c>
      <c r="G821" s="16" t="n">
        <v>45127</v>
      </c>
      <c r="H821" s="19" t="n">
        <v>2.23</v>
      </c>
    </row>
    <row r="822">
      <c r="A822" s="16" t="n">
        <v>45128</v>
      </c>
      <c r="B822" s="19" t="n">
        <v>2234.8</v>
      </c>
      <c r="D822" s="16" t="n">
        <v>45128</v>
      </c>
      <c r="E822" s="19" t="n">
        <v>14.12</v>
      </c>
      <c r="G822" s="16" t="n">
        <v>45128</v>
      </c>
      <c r="H822" s="19" t="n">
        <v>2.23</v>
      </c>
    </row>
    <row r="823">
      <c r="A823" s="16" t="n">
        <v>45131</v>
      </c>
      <c r="B823" s="19" t="n">
        <v>2227.96</v>
      </c>
      <c r="D823" s="16" t="n">
        <v>45131</v>
      </c>
      <c r="E823" s="19" t="n">
        <v>15.23</v>
      </c>
      <c r="G823" s="16" t="n">
        <v>45131</v>
      </c>
      <c r="H823" s="19" t="n">
        <v>2.26</v>
      </c>
    </row>
    <row r="824">
      <c r="A824" s="16" t="n">
        <v>45132</v>
      </c>
      <c r="B824" s="19" t="n">
        <v>2252.32</v>
      </c>
      <c r="D824" s="16" t="n">
        <v>45132</v>
      </c>
      <c r="E824" s="19" t="n">
        <v>13.9</v>
      </c>
      <c r="G824" s="16" t="n">
        <v>45132</v>
      </c>
      <c r="H824" s="19" t="n">
        <v>2.21</v>
      </c>
    </row>
    <row r="825">
      <c r="A825" s="16" t="n">
        <v>45133</v>
      </c>
      <c r="B825" s="19" t="n">
        <v>2234.64</v>
      </c>
      <c r="D825" s="16" t="n">
        <v>45133</v>
      </c>
      <c r="E825" s="19" t="n">
        <v>14.22</v>
      </c>
      <c r="G825" s="16" t="n">
        <v>45133</v>
      </c>
      <c r="H825" s="19" t="n">
        <v>2.23</v>
      </c>
    </row>
    <row r="826">
      <c r="A826" s="16" t="n">
        <v>45134</v>
      </c>
      <c r="B826" s="19" t="n">
        <v>2237.05</v>
      </c>
      <c r="D826" s="16" t="n">
        <v>45134</v>
      </c>
      <c r="E826" s="19" t="n">
        <v>13.26</v>
      </c>
      <c r="G826" s="16" t="n">
        <v>45134</v>
      </c>
      <c r="H826" s="19" t="n">
        <v>2.24</v>
      </c>
    </row>
    <row r="827">
      <c r="A827" s="16" t="n">
        <v>45135</v>
      </c>
      <c r="B827" s="19" t="n">
        <v>2236.67</v>
      </c>
      <c r="D827" s="16" t="n">
        <v>45135</v>
      </c>
      <c r="E827" s="19" t="n">
        <v>13.16</v>
      </c>
      <c r="G827" s="16" t="n">
        <v>45135</v>
      </c>
      <c r="H827" s="19" t="n">
        <v>2.22</v>
      </c>
    </row>
    <row r="828">
      <c r="A828" s="16" t="n">
        <v>45138</v>
      </c>
      <c r="B828" s="19" t="n">
        <v>2193.29</v>
      </c>
      <c r="D828" s="16" t="n">
        <v>45138</v>
      </c>
      <c r="E828" s="19" t="n">
        <v>15.46</v>
      </c>
      <c r="G828" s="16" t="n">
        <v>45138</v>
      </c>
      <c r="H828" s="19" t="n">
        <v>2.22</v>
      </c>
    </row>
    <row r="829">
      <c r="A829" s="16" t="n">
        <v>45139</v>
      </c>
      <c r="B829" s="19" t="n">
        <v>2159.84</v>
      </c>
      <c r="D829" s="16" t="n">
        <v>45139</v>
      </c>
      <c r="E829" s="19" t="n">
        <v>17.25</v>
      </c>
      <c r="G829" s="16" t="n">
        <v>45139</v>
      </c>
      <c r="H829" s="19" t="n">
        <v>2.26</v>
      </c>
    </row>
    <row r="830">
      <c r="A830" s="16" t="n">
        <v>45140</v>
      </c>
      <c r="B830" s="19" t="n">
        <v>2160.17</v>
      </c>
      <c r="D830" s="16" t="n">
        <v>45140</v>
      </c>
      <c r="E830" s="19" t="n">
        <v>17.24</v>
      </c>
      <c r="G830" s="16" t="n">
        <v>45140</v>
      </c>
      <c r="H830" s="19" t="n">
        <v>2.25</v>
      </c>
    </row>
    <row r="831">
      <c r="A831" s="16" t="n">
        <v>45141</v>
      </c>
      <c r="B831" s="19" t="n">
        <v>2143.19</v>
      </c>
      <c r="D831" s="16" t="n">
        <v>45141</v>
      </c>
      <c r="E831" s="19" t="n">
        <v>18.03</v>
      </c>
      <c r="G831" s="16" t="n">
        <v>45141</v>
      </c>
      <c r="H831" s="19" t="n">
        <v>2.31</v>
      </c>
    </row>
    <row r="832">
      <c r="A832" s="16" t="n">
        <v>45142</v>
      </c>
      <c r="B832" s="19" t="n">
        <v>2140.5</v>
      </c>
      <c r="D832" s="16" t="n">
        <v>45142</v>
      </c>
      <c r="E832" s="19" t="n">
        <v>17.46</v>
      </c>
      <c r="G832" s="16" t="n">
        <v>45142</v>
      </c>
      <c r="H832" s="19" t="n">
        <v>2.3</v>
      </c>
    </row>
    <row r="833">
      <c r="A833" s="16" t="n">
        <v>45145</v>
      </c>
      <c r="B833" s="19" t="n">
        <v>2168.95</v>
      </c>
      <c r="D833" s="16" t="n">
        <v>45145</v>
      </c>
      <c r="E833" s="19" t="n">
        <v>16.33</v>
      </c>
      <c r="G833" s="16" t="n">
        <v>45145</v>
      </c>
      <c r="H833" s="19" t="n">
        <v>2.29</v>
      </c>
    </row>
    <row r="834">
      <c r="A834" s="16" t="n">
        <v>45146</v>
      </c>
      <c r="B834" s="19" t="n">
        <v>2196.7</v>
      </c>
      <c r="D834" s="16" t="n">
        <v>45146</v>
      </c>
      <c r="E834" s="19" t="n">
        <v>15.77</v>
      </c>
      <c r="G834" s="16" t="n">
        <v>45146</v>
      </c>
      <c r="H834" s="19" t="n">
        <v>2.27</v>
      </c>
    </row>
    <row r="835">
      <c r="A835" s="16" t="n">
        <v>45147</v>
      </c>
      <c r="B835" s="19" t="n">
        <v>2225.95</v>
      </c>
      <c r="D835" s="16" t="n">
        <v>45147</v>
      </c>
      <c r="E835" s="19" t="n">
        <v>15.51</v>
      </c>
      <c r="G835" s="16" t="n">
        <v>45147</v>
      </c>
      <c r="H835" s="19" t="n">
        <v>2.26</v>
      </c>
    </row>
    <row r="836">
      <c r="A836" s="16" t="n">
        <v>45148</v>
      </c>
      <c r="B836" s="19" t="n">
        <v>2211.59</v>
      </c>
      <c r="D836" s="16" t="n">
        <v>45148</v>
      </c>
      <c r="E836" s="19" t="n">
        <v>15.1</v>
      </c>
      <c r="G836" s="16" t="n">
        <v>45148</v>
      </c>
      <c r="H836" s="19" t="n">
        <v>2.24</v>
      </c>
    </row>
    <row r="837">
      <c r="A837" s="16" t="n">
        <v>45149</v>
      </c>
      <c r="B837" s="19" t="n">
        <v>2246.34</v>
      </c>
      <c r="D837" s="16" t="n">
        <v>45149</v>
      </c>
      <c r="E837" s="19" t="n">
        <v>13.83</v>
      </c>
      <c r="G837" s="16" t="n">
        <v>45149</v>
      </c>
      <c r="H837" s="19" t="n">
        <v>2.2</v>
      </c>
    </row>
    <row r="838">
      <c r="A838" s="16" t="n">
        <v>45152</v>
      </c>
      <c r="B838" s="19" t="n">
        <v>2226.37</v>
      </c>
      <c r="D838" s="16" t="n">
        <v>45152</v>
      </c>
      <c r="E838" s="19" t="n">
        <v>14.98</v>
      </c>
      <c r="G838" s="16" t="n">
        <v>45152</v>
      </c>
      <c r="H838" s="19" t="n">
        <v>2.2</v>
      </c>
    </row>
    <row r="839">
      <c r="A839" s="16" t="n">
        <v>45153</v>
      </c>
      <c r="B839" s="19" t="n">
        <v>2190.55</v>
      </c>
      <c r="D839" s="16" t="n">
        <v>45153</v>
      </c>
      <c r="E839" s="19" t="n">
        <v>16.78</v>
      </c>
      <c r="G839" s="16" t="n">
        <v>45153</v>
      </c>
      <c r="H839" s="19" t="n">
        <v>2.22</v>
      </c>
    </row>
    <row r="840">
      <c r="A840" s="16" t="n">
        <v>45154</v>
      </c>
      <c r="B840" s="19" t="n">
        <v>2181.8</v>
      </c>
      <c r="D840" s="16" t="n">
        <v>45154</v>
      </c>
      <c r="E840" s="19" t="n">
        <v>17.23</v>
      </c>
      <c r="G840" s="16" t="n">
        <v>45154</v>
      </c>
      <c r="H840" s="19" t="n">
        <v>2.24</v>
      </c>
    </row>
    <row r="841">
      <c r="A841" s="16" t="n">
        <v>45155</v>
      </c>
      <c r="B841" s="19" t="n">
        <v>2175.58</v>
      </c>
      <c r="D841" s="16" t="n">
        <v>45155</v>
      </c>
      <c r="E841" s="19" t="n">
        <v>17.38</v>
      </c>
      <c r="G841" s="16" t="n">
        <v>45155</v>
      </c>
      <c r="H841" s="19" t="n">
        <v>2.21</v>
      </c>
    </row>
    <row r="842">
      <c r="A842" s="16" t="n">
        <v>45156</v>
      </c>
      <c r="B842" s="19" t="n">
        <v>2169.22</v>
      </c>
      <c r="D842" s="16" t="n">
        <v>45156</v>
      </c>
      <c r="E842" s="19" t="n">
        <v>18.34</v>
      </c>
      <c r="G842" s="16" t="n">
        <v>45156</v>
      </c>
      <c r="H842" s="19" t="n">
        <v>2.23</v>
      </c>
    </row>
    <row r="843">
      <c r="A843" s="16" t="n">
        <v>45159</v>
      </c>
      <c r="B843" s="19" t="n">
        <v>2160.99</v>
      </c>
      <c r="D843" s="16" t="n">
        <v>45159</v>
      </c>
      <c r="E843" s="19" t="n">
        <v>19.66</v>
      </c>
      <c r="G843" s="16" t="n">
        <v>45159</v>
      </c>
      <c r="H843" s="19" t="n">
        <v>2.19</v>
      </c>
    </row>
    <row r="844">
      <c r="A844" s="16" t="n">
        <v>45160</v>
      </c>
      <c r="B844" s="19" t="n">
        <v>2165.28</v>
      </c>
      <c r="D844" s="16" t="n">
        <v>45160</v>
      </c>
      <c r="E844" s="19" t="n">
        <v>18.41</v>
      </c>
      <c r="G844" s="16" t="n">
        <v>45160</v>
      </c>
      <c r="H844" s="19" t="n">
        <v>2.16</v>
      </c>
    </row>
    <row r="845">
      <c r="A845" s="16" t="n">
        <v>45161</v>
      </c>
      <c r="B845" s="19" t="n">
        <v>2132.41</v>
      </c>
      <c r="D845" s="16" t="n">
        <v>45161</v>
      </c>
      <c r="E845" s="19" t="n">
        <v>19.86</v>
      </c>
      <c r="G845" s="16" t="n">
        <v>45161</v>
      </c>
      <c r="H845" s="19" t="n">
        <v>2.19</v>
      </c>
    </row>
    <row r="846">
      <c r="A846" s="16" t="n">
        <v>45162</v>
      </c>
      <c r="B846" s="19" t="n">
        <v>2118.81</v>
      </c>
      <c r="D846" s="16" t="n">
        <v>45162</v>
      </c>
      <c r="E846" s="19" t="n">
        <v>20.41</v>
      </c>
      <c r="G846" s="16" t="n">
        <v>45162</v>
      </c>
      <c r="H846" s="19" t="n">
        <v>2.18</v>
      </c>
    </row>
    <row r="847">
      <c r="A847" s="16" t="n">
        <v>45163</v>
      </c>
      <c r="B847" s="19" t="n">
        <v>2106.34</v>
      </c>
      <c r="D847" s="16" t="n">
        <v>45163</v>
      </c>
      <c r="E847" s="19" t="n">
        <v>20.04</v>
      </c>
      <c r="G847" s="16" t="n">
        <v>45163</v>
      </c>
      <c r="H847" s="19" t="n">
        <v>2.21</v>
      </c>
    </row>
    <row r="848">
      <c r="A848" s="16" t="n">
        <v>45166</v>
      </c>
      <c r="B848" s="19" t="n">
        <v>2099.72</v>
      </c>
      <c r="D848" s="16" t="n">
        <v>45166</v>
      </c>
      <c r="E848" s="19" t="n">
        <v>19.45</v>
      </c>
      <c r="G848" s="16" t="n">
        <v>45166</v>
      </c>
      <c r="H848" s="19" t="n">
        <v>2.22</v>
      </c>
    </row>
    <row r="849">
      <c r="A849" s="16" t="n">
        <v>45167</v>
      </c>
      <c r="B849" s="19" t="n">
        <v>2101.93</v>
      </c>
      <c r="D849" s="16" t="n">
        <v>45167</v>
      </c>
      <c r="E849" s="19" t="n">
        <v>18.73</v>
      </c>
      <c r="G849" s="16" t="n">
        <v>45167</v>
      </c>
      <c r="H849" s="19" t="n">
        <v>2.2</v>
      </c>
    </row>
    <row r="850">
      <c r="A850" s="16" t="n">
        <v>45168</v>
      </c>
      <c r="B850" s="19" t="n">
        <v>2145.59</v>
      </c>
      <c r="D850" s="16" t="n">
        <v>45168</v>
      </c>
      <c r="E850" s="19" t="n">
        <v>16.21</v>
      </c>
      <c r="G850" s="16" t="n">
        <v>45168</v>
      </c>
      <c r="H850" s="19" t="n">
        <v>2.13</v>
      </c>
    </row>
    <row r="851">
      <c r="A851" s="16" t="n">
        <v>45169</v>
      </c>
      <c r="B851" s="19" t="n">
        <v>2161.37</v>
      </c>
      <c r="D851" s="16" t="n">
        <v>45169</v>
      </c>
      <c r="E851" s="19" t="n">
        <v>14.95</v>
      </c>
      <c r="G851" s="16" t="n">
        <v>45169</v>
      </c>
      <c r="H851" s="19" t="n">
        <v>2.12</v>
      </c>
    </row>
    <row r="852">
      <c r="A852" s="16" t="n">
        <v>45170</v>
      </c>
      <c r="B852" s="19" t="n">
        <v>2150.74</v>
      </c>
      <c r="D852" s="16" t="n">
        <v>45170</v>
      </c>
      <c r="E852" s="19" t="n">
        <v>16.2</v>
      </c>
      <c r="G852" s="16" t="n">
        <v>45170</v>
      </c>
      <c r="H852" s="19" t="n">
        <v>2.11</v>
      </c>
    </row>
    <row r="853">
      <c r="A853" s="16" t="n">
        <v>45173</v>
      </c>
      <c r="B853" s="19" t="n">
        <v>2176.35</v>
      </c>
      <c r="D853" s="16" t="n">
        <v>45173</v>
      </c>
      <c r="E853" s="19" t="n">
        <v>14.99</v>
      </c>
      <c r="G853" s="16" t="n">
        <v>45173</v>
      </c>
      <c r="H853" s="19" t="n">
        <v>2.09</v>
      </c>
    </row>
    <row r="854">
      <c r="A854" s="16" t="n">
        <v>45174</v>
      </c>
      <c r="B854" s="19" t="n">
        <v>2172.37</v>
      </c>
      <c r="D854" s="16" t="n">
        <v>45174</v>
      </c>
      <c r="E854" s="19" t="n">
        <v>15.12</v>
      </c>
      <c r="G854" s="16" t="n">
        <v>45174</v>
      </c>
      <c r="H854" s="19" t="n">
        <v>2.05</v>
      </c>
    </row>
    <row r="855">
      <c r="A855" s="16" t="n">
        <v>45175</v>
      </c>
      <c r="B855" s="19" t="n">
        <v>2126.67</v>
      </c>
      <c r="D855" s="16" t="n">
        <v>45175</v>
      </c>
      <c r="E855" s="19" t="n">
        <v>17.68</v>
      </c>
      <c r="G855" s="16" t="n">
        <v>45175</v>
      </c>
      <c r="H855" s="19" t="n">
        <v>2.11</v>
      </c>
    </row>
    <row r="856">
      <c r="A856" s="16" t="n">
        <v>45176</v>
      </c>
      <c r="B856" s="19" t="n">
        <v>2161.79</v>
      </c>
      <c r="D856" s="16" t="n">
        <v>45176</v>
      </c>
      <c r="E856" s="19" t="n">
        <v>16.94</v>
      </c>
      <c r="G856" s="16" t="n">
        <v>45176</v>
      </c>
      <c r="H856" s="19" t="n">
        <v>2.05</v>
      </c>
    </row>
    <row r="857">
      <c r="A857" s="16" t="n">
        <v>45177</v>
      </c>
      <c r="B857" s="19" t="n">
        <v>2146.46</v>
      </c>
      <c r="D857" s="16" t="n">
        <v>45177</v>
      </c>
      <c r="E857" s="19" t="n">
        <v>18.1</v>
      </c>
      <c r="G857" s="16" t="n">
        <v>45177</v>
      </c>
      <c r="H857" s="19" t="n">
        <v>2.07</v>
      </c>
    </row>
    <row r="858">
      <c r="A858" s="16" t="n">
        <v>45180</v>
      </c>
      <c r="B858" s="19" t="n">
        <v>2154.38</v>
      </c>
      <c r="D858" s="16" t="n">
        <v>45180</v>
      </c>
      <c r="E858" s="19" t="n">
        <v>17.89</v>
      </c>
      <c r="G858" s="16" t="n">
        <v>45180</v>
      </c>
      <c r="H858" s="19" t="n">
        <v>2.11</v>
      </c>
    </row>
    <row r="859">
      <c r="A859" s="16" t="n">
        <v>45181</v>
      </c>
      <c r="B859" s="19" t="n">
        <v>2205.67</v>
      </c>
      <c r="D859" s="16" t="n">
        <v>45181</v>
      </c>
      <c r="E859" s="19" t="n">
        <v>16.18</v>
      </c>
      <c r="G859" s="16" t="n">
        <v>45181</v>
      </c>
      <c r="H859" s="19" t="n">
        <v>2.08</v>
      </c>
    </row>
    <row r="860">
      <c r="A860" s="16" t="n">
        <v>45182</v>
      </c>
      <c r="B860" s="19" t="n">
        <v>2217.51</v>
      </c>
      <c r="D860" s="16" t="n">
        <v>45182</v>
      </c>
      <c r="E860" s="19" t="n">
        <v>15.29</v>
      </c>
      <c r="G860" s="16" t="n">
        <v>45182</v>
      </c>
      <c r="H860" s="19" t="n">
        <v>2.09</v>
      </c>
    </row>
    <row r="861">
      <c r="A861" s="16" t="n">
        <v>45183</v>
      </c>
      <c r="B861" s="19" t="n">
        <v>2155.36</v>
      </c>
      <c r="D861" s="16" t="n">
        <v>45183</v>
      </c>
      <c r="E861" s="19" t="n">
        <v>17.28</v>
      </c>
      <c r="G861" s="16" t="n">
        <v>45183</v>
      </c>
      <c r="H861" s="19" t="n">
        <v>2.13</v>
      </c>
    </row>
    <row r="862">
      <c r="A862" s="16" t="n">
        <v>45184</v>
      </c>
      <c r="B862" s="19" t="n">
        <v>2149.08</v>
      </c>
      <c r="D862" s="16" t="n">
        <v>45184</v>
      </c>
      <c r="E862" s="19" t="n">
        <v>16.19</v>
      </c>
      <c r="G862" s="16" t="n">
        <v>45184</v>
      </c>
      <c r="H862" s="19" t="n">
        <v>2.11</v>
      </c>
    </row>
    <row r="863">
      <c r="A863" s="16" t="n">
        <v>45187</v>
      </c>
      <c r="B863" s="19" t="n">
        <v>2154.25</v>
      </c>
      <c r="D863" s="16" t="n">
        <v>45187</v>
      </c>
      <c r="E863" s="19" t="n">
        <v>16.41</v>
      </c>
      <c r="G863" s="16" t="n">
        <v>45187</v>
      </c>
      <c r="H863" s="19" t="n">
        <v>2.11</v>
      </c>
    </row>
    <row r="864">
      <c r="A864" s="16" t="n">
        <v>45188</v>
      </c>
      <c r="B864" s="19" t="n">
        <v>2174.3</v>
      </c>
      <c r="D864" s="16" t="n">
        <v>45188</v>
      </c>
      <c r="E864" s="19" t="n">
        <v>15.37</v>
      </c>
      <c r="G864" s="16" t="n">
        <v>45188</v>
      </c>
      <c r="H864" s="19" t="n">
        <v>2.08</v>
      </c>
    </row>
    <row r="865">
      <c r="A865" s="16" t="n">
        <v>45189</v>
      </c>
      <c r="B865" s="19" t="n">
        <v>2169.78</v>
      </c>
      <c r="D865" s="16" t="n">
        <v>45189</v>
      </c>
      <c r="E865" s="19" t="n">
        <v>15.14</v>
      </c>
      <c r="G865" s="16" t="n">
        <v>45189</v>
      </c>
      <c r="H865" s="19" t="n">
        <v>2.08</v>
      </c>
    </row>
    <row r="866">
      <c r="A866" s="16" t="n">
        <v>45190</v>
      </c>
      <c r="B866" s="19" t="n">
        <v>2167.26</v>
      </c>
      <c r="D866" s="16" t="n">
        <v>45190</v>
      </c>
      <c r="E866" s="19" t="n">
        <v>16.57</v>
      </c>
      <c r="G866" s="16" t="n">
        <v>45190</v>
      </c>
      <c r="H866" s="19" t="n">
        <v>2.09</v>
      </c>
    </row>
    <row r="867">
      <c r="A867" s="16" t="n">
        <v>45191</v>
      </c>
      <c r="B867" s="19" t="n">
        <v>2179.44</v>
      </c>
      <c r="D867" s="16" t="n">
        <v>45191</v>
      </c>
      <c r="E867" s="19" t="n">
        <v>15.8</v>
      </c>
      <c r="G867" s="16" t="n">
        <v>45191</v>
      </c>
      <c r="H867" s="19" t="n">
        <v>2.07</v>
      </c>
    </row>
    <row r="868">
      <c r="A868" s="16" t="n">
        <v>45194</v>
      </c>
      <c r="B868" s="19" t="n">
        <v>2173.12</v>
      </c>
      <c r="D868" s="16" t="n">
        <v>45194</v>
      </c>
      <c r="E868" s="19" t="n">
        <v>15.61</v>
      </c>
      <c r="G868" s="16" t="n">
        <v>45194</v>
      </c>
      <c r="H868" s="19" t="n">
        <v>2.11</v>
      </c>
    </row>
    <row r="869">
      <c r="A869" s="16" t="n">
        <v>45195</v>
      </c>
      <c r="B869" s="19" t="n">
        <v>2154.47</v>
      </c>
      <c r="D869" s="16" t="n">
        <v>45195</v>
      </c>
      <c r="E869" s="19" t="n">
        <v>16.19</v>
      </c>
      <c r="G869" s="16" t="n">
        <v>45195</v>
      </c>
      <c r="H869" s="19" t="n">
        <v>2.13</v>
      </c>
    </row>
    <row r="870">
      <c r="A870" s="16" t="n">
        <v>45196</v>
      </c>
      <c r="B870" s="19" t="n">
        <v>2165.3</v>
      </c>
      <c r="D870" s="16" t="n">
        <v>45196</v>
      </c>
      <c r="E870" s="19" t="n">
        <v>15.76</v>
      </c>
      <c r="G870" s="16" t="n">
        <v>45196</v>
      </c>
      <c r="H870" s="19" t="n">
        <v>2.13</v>
      </c>
    </row>
    <row r="871">
      <c r="A871" s="16" t="n">
        <v>45197</v>
      </c>
      <c r="B871" s="19" t="n">
        <v>2205.78</v>
      </c>
      <c r="D871" s="16" t="n">
        <v>45197</v>
      </c>
      <c r="E871" s="19" t="n">
        <v>14.32</v>
      </c>
      <c r="G871" s="16" t="n">
        <v>45197</v>
      </c>
      <c r="H871" s="19" t="n">
        <v>2.11</v>
      </c>
    </row>
    <row r="872">
      <c r="A872" s="16" t="n">
        <v>45198</v>
      </c>
      <c r="B872" s="19" t="n">
        <v>2211.27</v>
      </c>
      <c r="D872" s="16" t="n">
        <v>45198</v>
      </c>
      <c r="E872" s="19" t="n">
        <v>14.4</v>
      </c>
      <c r="G872" s="16" t="n">
        <v>45198</v>
      </c>
      <c r="H872" s="19" t="n">
        <v>2.1</v>
      </c>
    </row>
    <row r="873">
      <c r="A873" s="16" t="n">
        <v>45201</v>
      </c>
      <c r="B873" s="19" t="n">
        <v>2224.45</v>
      </c>
      <c r="D873" s="16" t="n">
        <v>45201</v>
      </c>
      <c r="E873" s="19" t="n">
        <v>13.39</v>
      </c>
      <c r="G873" s="16" t="n">
        <v>45201</v>
      </c>
      <c r="H873" s="19" t="n">
        <v>2.08</v>
      </c>
    </row>
    <row r="874">
      <c r="A874" s="16" t="n">
        <v>45202</v>
      </c>
      <c r="B874" s="19" t="n">
        <v>2211</v>
      </c>
      <c r="D874" s="16" t="n">
        <v>45202</v>
      </c>
      <c r="E874" s="19" t="n">
        <v>13.79</v>
      </c>
      <c r="G874" s="16" t="n">
        <v>45202</v>
      </c>
      <c r="H874" s="19" t="n">
        <v>2.1</v>
      </c>
    </row>
    <row r="875">
      <c r="A875" s="16" t="n">
        <v>45203</v>
      </c>
      <c r="B875" s="19" t="n">
        <v>2196.46</v>
      </c>
      <c r="D875" s="16" t="n">
        <v>45203</v>
      </c>
      <c r="E875" s="19" t="n">
        <v>14.35</v>
      </c>
      <c r="G875" s="16" t="n">
        <v>45203</v>
      </c>
      <c r="H875" s="19" t="n">
        <v>2.14</v>
      </c>
    </row>
    <row r="876">
      <c r="A876" s="16" t="n">
        <v>45204</v>
      </c>
      <c r="B876" s="19" t="n">
        <v>2208.73</v>
      </c>
      <c r="D876" s="16" t="n">
        <v>45204</v>
      </c>
      <c r="E876" s="19" t="n">
        <v>13.23</v>
      </c>
      <c r="G876" s="16" t="n">
        <v>45204</v>
      </c>
      <c r="H876" s="19" t="n">
        <v>2.14</v>
      </c>
    </row>
    <row r="877">
      <c r="A877" s="16" t="n">
        <v>45205</v>
      </c>
      <c r="B877" s="19" t="n">
        <v>2185.18</v>
      </c>
      <c r="D877" s="16" t="n">
        <v>45205</v>
      </c>
      <c r="E877" s="19" t="n">
        <v>15.69</v>
      </c>
      <c r="G877" s="16" t="n">
        <v>45205</v>
      </c>
      <c r="H877" s="19" t="n">
        <v>2.18</v>
      </c>
    </row>
    <row r="878">
      <c r="A878" s="16" t="n">
        <v>45208</v>
      </c>
      <c r="B878" s="19" t="n">
        <v>2145.53</v>
      </c>
      <c r="D878" s="16" t="n">
        <v>45208</v>
      </c>
      <c r="E878" s="19" t="n">
        <v>17.65</v>
      </c>
      <c r="G878" s="16" t="n">
        <v>45208</v>
      </c>
      <c r="H878" s="19" t="inlineStr">
        <is>
          <t>.</t>
        </is>
      </c>
    </row>
    <row r="879">
      <c r="A879" s="16" t="n">
        <v>45209</v>
      </c>
      <c r="B879" s="19" t="n">
        <v>2162.68</v>
      </c>
      <c r="D879" s="16" t="n">
        <v>45209</v>
      </c>
      <c r="E879" s="19" t="n">
        <v>17.96</v>
      </c>
      <c r="G879" s="16" t="n">
        <v>45209</v>
      </c>
      <c r="H879" s="19" t="n">
        <v>2.17</v>
      </c>
    </row>
    <row r="880">
      <c r="A880" s="16" t="n">
        <v>45210</v>
      </c>
      <c r="B880" s="19" t="n">
        <v>2161.61</v>
      </c>
      <c r="D880" s="16" t="n">
        <v>45210</v>
      </c>
      <c r="E880" s="19" t="n">
        <v>17.77</v>
      </c>
      <c r="G880" s="16" t="n">
        <v>45210</v>
      </c>
      <c r="H880" s="19" t="n">
        <v>2.17</v>
      </c>
    </row>
    <row r="881">
      <c r="A881" s="16" t="n">
        <v>45211</v>
      </c>
      <c r="B881" s="19" t="n">
        <v>2171.01</v>
      </c>
      <c r="D881" s="16" t="n">
        <v>45211</v>
      </c>
      <c r="E881" s="19" t="n">
        <v>17.97</v>
      </c>
      <c r="G881" s="16" t="n">
        <v>45211</v>
      </c>
      <c r="H881" s="19" t="n">
        <v>2.18</v>
      </c>
    </row>
    <row r="882">
      <c r="A882" s="16" t="n">
        <v>45212</v>
      </c>
      <c r="B882" s="19" t="n">
        <v>2173.51</v>
      </c>
      <c r="D882" s="16" t="n">
        <v>45212</v>
      </c>
      <c r="E882" s="19" t="n">
        <v>16.87</v>
      </c>
      <c r="G882" s="16" t="n">
        <v>45212</v>
      </c>
      <c r="H882" s="19" t="n">
        <v>2.18</v>
      </c>
    </row>
    <row r="883">
      <c r="A883" s="16" t="n">
        <v>45215</v>
      </c>
      <c r="B883" s="19" t="n">
        <v>2227.04</v>
      </c>
      <c r="D883" s="16" t="n">
        <v>45215</v>
      </c>
      <c r="E883" s="19" t="n">
        <v>13.87</v>
      </c>
      <c r="G883" s="16" t="n">
        <v>45215</v>
      </c>
      <c r="H883" s="19" t="n">
        <v>2.17</v>
      </c>
    </row>
    <row r="884">
      <c r="A884" s="16" t="n">
        <v>45216</v>
      </c>
      <c r="B884" s="19" t="n">
        <v>2197.52</v>
      </c>
      <c r="D884" s="16" t="n">
        <v>45216</v>
      </c>
      <c r="E884" s="19" t="n">
        <v>15.65</v>
      </c>
      <c r="G884" s="16" t="n">
        <v>45216</v>
      </c>
      <c r="H884" s="19" t="n">
        <v>2.17</v>
      </c>
    </row>
    <row r="885">
      <c r="A885" s="16" t="n">
        <v>45217</v>
      </c>
      <c r="B885" s="19" t="n">
        <v>2172.62</v>
      </c>
      <c r="D885" s="16" t="n">
        <v>45217</v>
      </c>
      <c r="E885" s="19" t="n">
        <v>16.97</v>
      </c>
      <c r="G885" s="16" t="n">
        <v>45217</v>
      </c>
      <c r="H885" s="19" t="n">
        <v>2.2</v>
      </c>
    </row>
    <row r="886">
      <c r="A886" s="16" t="n">
        <v>45218</v>
      </c>
      <c r="B886" s="19" t="n">
        <v>2170.06</v>
      </c>
      <c r="D886" s="16" t="n">
        <v>45218</v>
      </c>
      <c r="E886" s="19" t="n">
        <v>17.84</v>
      </c>
      <c r="G886" s="16" t="n">
        <v>45218</v>
      </c>
      <c r="H886" s="19" t="n">
        <v>2.19</v>
      </c>
    </row>
    <row r="887">
      <c r="A887" s="16" t="n">
        <v>45219</v>
      </c>
      <c r="B887" s="19" t="n">
        <v>2117.99</v>
      </c>
      <c r="D887" s="16" t="n">
        <v>45219</v>
      </c>
      <c r="E887" s="19" t="n">
        <v>20.95</v>
      </c>
      <c r="G887" s="16" t="n">
        <v>45219</v>
      </c>
      <c r="H887" s="19" t="n">
        <v>2.25</v>
      </c>
    </row>
    <row r="888">
      <c r="A888" s="16" t="n">
        <v>45222</v>
      </c>
      <c r="B888" s="19" t="n">
        <v>2113.97</v>
      </c>
      <c r="D888" s="16" t="n">
        <v>45222</v>
      </c>
      <c r="E888" s="19" t="n">
        <v>21.41</v>
      </c>
      <c r="G888" s="16" t="n">
        <v>45222</v>
      </c>
      <c r="H888" s="19" t="n">
        <v>2.29</v>
      </c>
    </row>
    <row r="889">
      <c r="A889" s="16" t="n">
        <v>45223</v>
      </c>
      <c r="B889" s="19" t="n">
        <v>2119.68</v>
      </c>
      <c r="D889" s="16" t="n">
        <v>45223</v>
      </c>
      <c r="E889" s="19" t="n">
        <v>20.74</v>
      </c>
      <c r="G889" s="16" t="n">
        <v>45223</v>
      </c>
      <c r="H889" s="19" t="n">
        <v>2.29</v>
      </c>
    </row>
    <row r="890">
      <c r="A890" s="16" t="n">
        <v>45224</v>
      </c>
      <c r="B890" s="19" t="n">
        <v>2140.57</v>
      </c>
      <c r="D890" s="16" t="n">
        <v>45224</v>
      </c>
      <c r="E890" s="19" t="n">
        <v>19.41</v>
      </c>
      <c r="G890" s="16" t="n">
        <v>45224</v>
      </c>
      <c r="H890" s="19" t="n">
        <v>2.26</v>
      </c>
    </row>
    <row r="891">
      <c r="A891" s="16" t="n">
        <v>45225</v>
      </c>
      <c r="B891" s="19" t="n">
        <v>2122.27</v>
      </c>
      <c r="D891" s="16" t="n">
        <v>45225</v>
      </c>
      <c r="E891" s="19" t="n">
        <v>19.72</v>
      </c>
      <c r="G891" s="16" t="n">
        <v>45225</v>
      </c>
      <c r="H891" s="19" t="n">
        <v>2.31</v>
      </c>
    </row>
    <row r="892">
      <c r="A892" s="16" t="n">
        <v>45226</v>
      </c>
      <c r="B892" s="19" t="n">
        <v>2198.63</v>
      </c>
      <c r="D892" s="16" t="n">
        <v>45226</v>
      </c>
      <c r="E892" s="19" t="n">
        <v>16.01</v>
      </c>
      <c r="G892" s="16" t="n">
        <v>45226</v>
      </c>
      <c r="H892" s="19" t="n">
        <v>2.22</v>
      </c>
    </row>
    <row r="893">
      <c r="A893" s="16" t="n">
        <v>45229</v>
      </c>
      <c r="B893" s="19" t="n">
        <v>2187.34</v>
      </c>
      <c r="D893" s="16" t="n">
        <v>45229</v>
      </c>
      <c r="E893" s="19" t="n">
        <v>16.83</v>
      </c>
      <c r="G893" s="16" t="n">
        <v>45229</v>
      </c>
      <c r="H893" s="19" t="n">
        <v>2.23</v>
      </c>
    </row>
    <row r="894">
      <c r="A894" s="16" t="n">
        <v>45230</v>
      </c>
      <c r="B894" s="19" t="n">
        <v>2174.66</v>
      </c>
      <c r="D894" s="16" t="n">
        <v>45230</v>
      </c>
      <c r="E894" s="19" t="n">
        <v>17.68</v>
      </c>
      <c r="G894" s="16" t="n">
        <v>45230</v>
      </c>
      <c r="H894" s="19" t="n">
        <v>2.25</v>
      </c>
    </row>
    <row r="895">
      <c r="A895" s="16" t="n">
        <v>45231</v>
      </c>
      <c r="B895" s="19" t="n">
        <v>2179.89</v>
      </c>
      <c r="D895" s="16" t="n">
        <v>45231</v>
      </c>
      <c r="E895" s="19" t="n">
        <v>17.43</v>
      </c>
      <c r="G895" s="16" t="n">
        <v>45231</v>
      </c>
      <c r="H895" s="19" t="n">
        <v>2.23</v>
      </c>
    </row>
    <row r="896">
      <c r="A896" s="16" t="n">
        <v>45232</v>
      </c>
      <c r="B896" s="19" t="n">
        <v>2227.86</v>
      </c>
      <c r="D896" s="16" t="n">
        <v>45232</v>
      </c>
      <c r="E896" s="19" t="n">
        <v>15.02</v>
      </c>
      <c r="G896" s="16" t="n">
        <v>45232</v>
      </c>
      <c r="H896" s="19" t="n">
        <v>2.2</v>
      </c>
    </row>
    <row r="897">
      <c r="A897" s="16" t="n">
        <v>45233</v>
      </c>
      <c r="B897" s="19" t="n">
        <v>2260.42</v>
      </c>
      <c r="D897" s="16" t="n">
        <v>45233</v>
      </c>
      <c r="E897" s="19" t="n">
        <v>13.26</v>
      </c>
      <c r="G897" s="16" t="n">
        <v>45233</v>
      </c>
      <c r="H897" s="19" t="n">
        <v>2.15</v>
      </c>
    </row>
    <row r="898">
      <c r="A898" s="16" t="n">
        <v>45236</v>
      </c>
      <c r="B898" s="19" t="n">
        <v>2286.69</v>
      </c>
      <c r="D898" s="16" t="n">
        <v>45236</v>
      </c>
      <c r="E898" s="19" t="n">
        <v>13.23</v>
      </c>
      <c r="G898" s="16" t="n">
        <v>45236</v>
      </c>
      <c r="H898" s="19" t="n">
        <v>2.17</v>
      </c>
    </row>
    <row r="899">
      <c r="A899" s="16" t="n">
        <v>45237</v>
      </c>
      <c r="B899" s="19" t="n">
        <v>2279.65</v>
      </c>
      <c r="D899" s="16" t="n">
        <v>45237</v>
      </c>
      <c r="E899" s="19" t="n">
        <v>14.07</v>
      </c>
      <c r="G899" s="16" t="n">
        <v>45237</v>
      </c>
      <c r="H899" s="19" t="n">
        <v>2.19</v>
      </c>
    </row>
    <row r="900">
      <c r="A900" s="16" t="n">
        <v>45238</v>
      </c>
      <c r="B900" s="19" t="n">
        <v>2309.15</v>
      </c>
      <c r="D900" s="16" t="n">
        <v>45238</v>
      </c>
      <c r="E900" s="19" t="n">
        <v>13.46</v>
      </c>
      <c r="G900" s="16" t="n">
        <v>45238</v>
      </c>
      <c r="H900" s="19" t="n">
        <v>2.13</v>
      </c>
    </row>
    <row r="901">
      <c r="A901" s="16" t="n">
        <v>45239</v>
      </c>
      <c r="B901" s="19" t="n">
        <v>2292.38</v>
      </c>
      <c r="D901" s="16" t="n">
        <v>45239</v>
      </c>
      <c r="E901" s="19" t="n">
        <v>13.83</v>
      </c>
      <c r="G901" s="16" t="n">
        <v>45239</v>
      </c>
      <c r="H901" s="19" t="n">
        <v>2.12</v>
      </c>
    </row>
    <row r="902">
      <c r="A902" s="16" t="n">
        <v>45240</v>
      </c>
      <c r="B902" s="19" t="n">
        <v>2295.42</v>
      </c>
      <c r="D902" s="16" t="n">
        <v>45240</v>
      </c>
      <c r="E902" s="19" t="n">
        <v>12.68</v>
      </c>
      <c r="G902" s="16" t="n">
        <v>45240</v>
      </c>
      <c r="H902" s="19" t="n">
        <v>2.1</v>
      </c>
    </row>
    <row r="903">
      <c r="A903" s="16" t="n">
        <v>45243</v>
      </c>
      <c r="B903" s="19" t="n">
        <v>2308.39</v>
      </c>
      <c r="D903" s="16" t="n">
        <v>45243</v>
      </c>
      <c r="E903" s="19" t="n">
        <v>12.38</v>
      </c>
      <c r="G903" s="16" t="n">
        <v>45243</v>
      </c>
      <c r="H903" s="19" t="n">
        <v>2.12</v>
      </c>
    </row>
    <row r="904">
      <c r="A904" s="16" t="n">
        <v>45244</v>
      </c>
      <c r="B904" s="19" t="n">
        <v>2279.15</v>
      </c>
      <c r="D904" s="16" t="n">
        <v>45244</v>
      </c>
      <c r="E904" s="19" t="n">
        <v>14.21</v>
      </c>
      <c r="G904" s="16" t="n">
        <v>45244</v>
      </c>
      <c r="H904" s="19" t="n">
        <v>2.14</v>
      </c>
    </row>
    <row r="905">
      <c r="A905" s="16" t="n">
        <v>45245</v>
      </c>
      <c r="B905" s="19" t="n">
        <v>2290.67</v>
      </c>
      <c r="D905" s="16" t="n">
        <v>45245</v>
      </c>
      <c r="E905" s="19" t="n">
        <v>12.86</v>
      </c>
      <c r="G905" s="16" t="n">
        <v>45245</v>
      </c>
      <c r="H905" s="19" t="n">
        <v>2.1</v>
      </c>
    </row>
    <row r="906">
      <c r="A906" s="16" t="n">
        <v>45246</v>
      </c>
      <c r="B906" s="19" t="n">
        <v>2270.7</v>
      </c>
      <c r="D906" s="16" t="n">
        <v>45246</v>
      </c>
      <c r="E906" s="19" t="n">
        <v>12.47</v>
      </c>
      <c r="G906" s="16" t="n">
        <v>45246</v>
      </c>
      <c r="H906" s="19" t="n">
        <v>2.11</v>
      </c>
    </row>
    <row r="907">
      <c r="A907" s="16" t="n">
        <v>45247</v>
      </c>
      <c r="B907" s="19" t="n">
        <v>2241.79</v>
      </c>
      <c r="D907" s="16" t="n">
        <v>45247</v>
      </c>
      <c r="E907" s="19" t="n">
        <v>14.38</v>
      </c>
      <c r="G907" s="16" t="n">
        <v>45247</v>
      </c>
      <c r="H907" s="19" t="n">
        <v>2.14</v>
      </c>
    </row>
    <row r="908">
      <c r="A908" s="16" t="n">
        <v>45250</v>
      </c>
      <c r="B908" s="19" t="n">
        <v>2222.82</v>
      </c>
      <c r="D908" s="16" t="n">
        <v>45250</v>
      </c>
      <c r="E908" s="19" t="n">
        <v>14.39</v>
      </c>
      <c r="G908" s="16" t="n">
        <v>45250</v>
      </c>
      <c r="H908" s="19" t="n">
        <v>2.2</v>
      </c>
    </row>
    <row r="909">
      <c r="A909" s="16" t="n">
        <v>45251</v>
      </c>
      <c r="B909" s="19" t="n">
        <v>2205.04</v>
      </c>
      <c r="D909" s="16" t="n">
        <v>45251</v>
      </c>
      <c r="E909" s="19" t="n">
        <v>15.27</v>
      </c>
      <c r="G909" s="16" t="n">
        <v>45251</v>
      </c>
      <c r="H909" s="19" t="n">
        <v>2.18</v>
      </c>
    </row>
    <row r="910">
      <c r="A910" s="16" t="n">
        <v>45252</v>
      </c>
      <c r="B910" s="19" t="n">
        <v>2149.77</v>
      </c>
      <c r="D910" s="16" t="n">
        <v>45252</v>
      </c>
      <c r="E910" s="19" t="n">
        <v>17.25</v>
      </c>
      <c r="G910" s="16" t="n">
        <v>45252</v>
      </c>
      <c r="H910" s="19" t="n">
        <v>2.25</v>
      </c>
    </row>
    <row r="911">
      <c r="A911" s="16" t="n">
        <v>45253</v>
      </c>
      <c r="B911" s="19" t="inlineStr">
        <is>
          <t>.</t>
        </is>
      </c>
      <c r="D911" s="16" t="n">
        <v>45253</v>
      </c>
      <c r="E911" s="19" t="inlineStr"/>
      <c r="G911" s="16" t="n">
        <v>45253</v>
      </c>
      <c r="H911" s="19" t="inlineStr">
        <is>
          <t>.</t>
        </is>
      </c>
    </row>
    <row r="912">
      <c r="A912" s="16" t="n">
        <v>45254</v>
      </c>
      <c r="B912" s="19" t="n">
        <v>2163.59</v>
      </c>
      <c r="D912" s="16" t="n">
        <v>45254</v>
      </c>
      <c r="E912" s="19" t="n">
        <v>18.11</v>
      </c>
      <c r="G912" s="16" t="n">
        <v>45254</v>
      </c>
      <c r="H912" s="19" t="n">
        <v>2.27</v>
      </c>
    </row>
    <row r="913">
      <c r="A913" s="16" t="n">
        <v>45257</v>
      </c>
      <c r="B913" s="19" t="n">
        <v>2152.36</v>
      </c>
      <c r="D913" s="16" t="n">
        <v>45257</v>
      </c>
      <c r="E913" s="19" t="n">
        <v>19.14</v>
      </c>
      <c r="G913" s="16" t="n">
        <v>45257</v>
      </c>
      <c r="H913" s="19" t="n">
        <v>2.26</v>
      </c>
    </row>
    <row r="914">
      <c r="A914" s="16" t="n">
        <v>45258</v>
      </c>
      <c r="B914" s="19" t="n">
        <v>2112.07</v>
      </c>
      <c r="D914" s="16" t="n">
        <v>45258</v>
      </c>
      <c r="E914" s="19" t="n">
        <v>20.71</v>
      </c>
      <c r="G914" s="16" t="n">
        <v>45258</v>
      </c>
      <c r="H914" s="19" t="n">
        <v>2.29</v>
      </c>
    </row>
    <row r="915">
      <c r="A915" s="16" t="n">
        <v>45259</v>
      </c>
      <c r="B915" s="19" t="n">
        <v>2131.14</v>
      </c>
      <c r="D915" s="16" t="n">
        <v>45259</v>
      </c>
      <c r="E915" s="19" t="n">
        <v>19.35</v>
      </c>
      <c r="G915" s="16" t="n">
        <v>45259</v>
      </c>
      <c r="H915" s="19" t="n">
        <v>2.3</v>
      </c>
    </row>
    <row r="916">
      <c r="A916" s="16" t="n">
        <v>45260</v>
      </c>
      <c r="B916" s="19" t="n">
        <v>2118.85</v>
      </c>
      <c r="D916" s="16" t="n">
        <v>45260</v>
      </c>
      <c r="E916" s="19" t="n">
        <v>19.2</v>
      </c>
      <c r="G916" s="16" t="n">
        <v>45260</v>
      </c>
      <c r="H916" s="19" t="n">
        <v>2.33</v>
      </c>
    </row>
    <row r="917">
      <c r="A917" s="16" t="n">
        <v>45261</v>
      </c>
      <c r="B917" s="19" t="n">
        <v>2070.91</v>
      </c>
      <c r="D917" s="16" t="n">
        <v>45261</v>
      </c>
      <c r="E917" s="19" t="n">
        <v>21.22</v>
      </c>
      <c r="G917" s="16" t="n">
        <v>45261</v>
      </c>
      <c r="H917" s="19" t="n">
        <v>2.36</v>
      </c>
    </row>
    <row r="918">
      <c r="A918" s="16" t="n">
        <v>45264</v>
      </c>
      <c r="B918" s="19" t="n">
        <v>2055.53</v>
      </c>
      <c r="D918" s="16" t="n">
        <v>45264</v>
      </c>
      <c r="E918" s="19" t="n">
        <v>21.77</v>
      </c>
      <c r="G918" s="16" t="n">
        <v>45264</v>
      </c>
      <c r="H918" s="19" t="n">
        <v>2.35</v>
      </c>
    </row>
    <row r="919">
      <c r="A919" s="16" t="n">
        <v>45265</v>
      </c>
      <c r="B919" s="19" t="n">
        <v>2048.12</v>
      </c>
      <c r="D919" s="16" t="n">
        <v>45265</v>
      </c>
      <c r="E919" s="19" t="n">
        <v>22.55</v>
      </c>
      <c r="G919" s="16" t="n">
        <v>45265</v>
      </c>
      <c r="H919" s="19" t="n">
        <v>2.35</v>
      </c>
    </row>
    <row r="920">
      <c r="A920" s="16" t="n">
        <v>45266</v>
      </c>
      <c r="B920" s="19" t="n">
        <v>2042.05</v>
      </c>
      <c r="D920" s="16" t="n">
        <v>45266</v>
      </c>
      <c r="E920" s="19" t="n">
        <v>23.72</v>
      </c>
      <c r="G920" s="16" t="n">
        <v>45266</v>
      </c>
      <c r="H920" s="19" t="n">
        <v>2.36</v>
      </c>
    </row>
    <row r="921">
      <c r="A921" s="16" t="n">
        <v>45267</v>
      </c>
      <c r="B921" s="19" t="n">
        <v>2056.45</v>
      </c>
      <c r="D921" s="16" t="n">
        <v>45267</v>
      </c>
      <c r="E921" s="19" t="n">
        <v>22.89</v>
      </c>
      <c r="G921" s="16" t="n">
        <v>45267</v>
      </c>
      <c r="H921" s="19" t="n">
        <v>2.35</v>
      </c>
    </row>
    <row r="922">
      <c r="A922" s="16" t="n">
        <v>45268</v>
      </c>
      <c r="B922" s="19" t="n">
        <v>2050.91</v>
      </c>
      <c r="D922" s="16" t="n">
        <v>45268</v>
      </c>
      <c r="E922" s="19" t="n">
        <v>23.4</v>
      </c>
      <c r="G922" s="16" t="n">
        <v>45268</v>
      </c>
      <c r="H922" s="19" t="n">
        <v>2.31</v>
      </c>
    </row>
    <row r="923">
      <c r="A923" s="16" t="n">
        <v>45271</v>
      </c>
      <c r="B923" s="19" t="n">
        <v>2048.26</v>
      </c>
      <c r="D923" s="16" t="n">
        <v>45271</v>
      </c>
      <c r="E923" s="19" t="n">
        <v>23.56</v>
      </c>
      <c r="G923" s="16" t="n">
        <v>45271</v>
      </c>
      <c r="H923" s="19" t="n">
        <v>2.29</v>
      </c>
    </row>
    <row r="924">
      <c r="A924" s="16" t="n">
        <v>45272</v>
      </c>
      <c r="B924" s="19" t="n">
        <v>2078</v>
      </c>
      <c r="D924" s="16" t="n">
        <v>45272</v>
      </c>
      <c r="E924" s="19" t="n">
        <v>20.36</v>
      </c>
      <c r="G924" s="16" t="n">
        <v>45272</v>
      </c>
      <c r="H924" s="19" t="n">
        <v>2.25</v>
      </c>
    </row>
    <row r="925">
      <c r="A925" s="16" t="n">
        <v>45273</v>
      </c>
      <c r="B925" s="19" t="n">
        <v>2052.94</v>
      </c>
      <c r="D925" s="16" t="n">
        <v>45273</v>
      </c>
      <c r="E925" s="19" t="n">
        <v>20.36</v>
      </c>
      <c r="G925" s="16" t="n">
        <v>45273</v>
      </c>
      <c r="H925" s="19" t="n">
        <v>2.26</v>
      </c>
    </row>
    <row r="926">
      <c r="A926" s="16" t="n">
        <v>45274</v>
      </c>
      <c r="B926" s="19" t="n">
        <v>2033.97</v>
      </c>
      <c r="D926" s="16" t="n">
        <v>45274</v>
      </c>
      <c r="E926" s="19" t="n">
        <v>20.24</v>
      </c>
      <c r="G926" s="16" t="n">
        <v>45274</v>
      </c>
      <c r="H926" s="19" t="n">
        <v>2.27</v>
      </c>
    </row>
    <row r="927">
      <c r="A927" s="16" t="n">
        <v>45275</v>
      </c>
      <c r="B927" s="19" t="n">
        <v>2011.02</v>
      </c>
      <c r="D927" s="16" t="n">
        <v>45275</v>
      </c>
      <c r="E927" s="19" t="n">
        <v>21.14</v>
      </c>
      <c r="G927" s="16" t="n">
        <v>45275</v>
      </c>
      <c r="H927" s="19" t="n">
        <v>2.28</v>
      </c>
    </row>
    <row r="928">
      <c r="A928" s="16" t="n">
        <v>45278</v>
      </c>
      <c r="B928" s="19" t="n">
        <v>1986.33</v>
      </c>
      <c r="D928" s="16" t="n">
        <v>45278</v>
      </c>
      <c r="E928" s="19" t="n">
        <v>22.52</v>
      </c>
      <c r="G928" s="16" t="n">
        <v>45278</v>
      </c>
      <c r="H928" s="19" t="n">
        <v>2.27</v>
      </c>
    </row>
    <row r="929">
      <c r="A929" s="16" t="n">
        <v>45279</v>
      </c>
      <c r="B929" s="19" t="n">
        <v>1986.66</v>
      </c>
      <c r="D929" s="16" t="n">
        <v>45279</v>
      </c>
      <c r="E929" s="19" t="n">
        <v>22.33</v>
      </c>
      <c r="G929" s="16" t="n">
        <v>45279</v>
      </c>
      <c r="H929" s="19" t="n">
        <v>2.28</v>
      </c>
    </row>
    <row r="930">
      <c r="A930" s="16" t="n">
        <v>45280</v>
      </c>
      <c r="B930" s="19" t="n">
        <v>1996.33</v>
      </c>
      <c r="D930" s="16" t="n">
        <v>45280</v>
      </c>
      <c r="E930" s="19" t="n">
        <v>22.11</v>
      </c>
      <c r="G930" s="16" t="n">
        <v>45280</v>
      </c>
      <c r="H930" s="19" t="n">
        <v>2.26</v>
      </c>
    </row>
    <row r="931">
      <c r="A931" s="16" t="n">
        <v>45281</v>
      </c>
      <c r="B931" s="19" t="n">
        <v>2012.68</v>
      </c>
      <c r="D931" s="16" t="n">
        <v>45281</v>
      </c>
      <c r="E931" s="19" t="n">
        <v>20.96</v>
      </c>
      <c r="G931" s="16" t="n">
        <v>45281</v>
      </c>
      <c r="H931" s="19" t="n">
        <v>2.21</v>
      </c>
    </row>
    <row r="932">
      <c r="A932" s="16" t="n">
        <v>45282</v>
      </c>
      <c r="B932" s="19" t="n">
        <v>2039.76</v>
      </c>
      <c r="D932" s="16" t="n">
        <v>45282</v>
      </c>
      <c r="E932" s="19" t="n">
        <v>20.09</v>
      </c>
      <c r="G932" s="16" t="n">
        <v>45282</v>
      </c>
      <c r="H932" s="19" t="n">
        <v>2.18</v>
      </c>
    </row>
    <row r="933">
      <c r="A933" s="16" t="n">
        <v>45285</v>
      </c>
      <c r="B933" s="19" t="inlineStr">
        <is>
          <t>.</t>
        </is>
      </c>
      <c r="D933" s="16" t="n">
        <v>45285</v>
      </c>
      <c r="E933" s="19" t="inlineStr"/>
      <c r="G933" s="16" t="n">
        <v>45285</v>
      </c>
      <c r="H933" s="19" t="inlineStr">
        <is>
          <t>.</t>
        </is>
      </c>
    </row>
    <row r="934">
      <c r="A934" s="16" t="n">
        <v>45286</v>
      </c>
      <c r="B934" s="19" t="n">
        <v>2064.51</v>
      </c>
      <c r="D934" s="16" t="n">
        <v>45286</v>
      </c>
      <c r="E934" s="19" t="n">
        <v>17.85</v>
      </c>
      <c r="G934" s="16" t="n">
        <v>45286</v>
      </c>
      <c r="H934" s="19" t="n">
        <v>2.14</v>
      </c>
    </row>
    <row r="935">
      <c r="A935" s="16" t="n">
        <v>45287</v>
      </c>
      <c r="B935" s="19" t="n">
        <v>2051.25</v>
      </c>
      <c r="D935" s="16" t="n">
        <v>45287</v>
      </c>
      <c r="E935" s="19" t="n">
        <v>17.76</v>
      </c>
      <c r="G935" s="16" t="n">
        <v>45287</v>
      </c>
      <c r="H935" s="19" t="n">
        <v>2.11</v>
      </c>
    </row>
    <row r="936">
      <c r="A936" s="16" t="n">
        <v>45288</v>
      </c>
      <c r="B936" s="19" t="n">
        <v>2069.78</v>
      </c>
      <c r="D936" s="16" t="n">
        <v>45288</v>
      </c>
      <c r="E936" s="19" t="n">
        <v>16.65</v>
      </c>
      <c r="G936" s="16" t="n">
        <v>45288</v>
      </c>
      <c r="H936" s="19" t="n">
        <v>2.05</v>
      </c>
    </row>
    <row r="937">
      <c r="A937" s="16" t="n">
        <v>45289</v>
      </c>
      <c r="B937" s="19" t="n">
        <v>2060.43</v>
      </c>
      <c r="D937" s="16" t="n">
        <v>45289</v>
      </c>
      <c r="E937" s="19" t="n">
        <v>17.05</v>
      </c>
      <c r="G937" s="16" t="n">
        <v>45289</v>
      </c>
      <c r="H937" s="19" t="n">
        <v>2.07</v>
      </c>
    </row>
    <row r="938">
      <c r="A938" s="16" t="n">
        <v>45292</v>
      </c>
      <c r="B938" s="19" t="inlineStr">
        <is>
          <t>.</t>
        </is>
      </c>
      <c r="D938" s="16" t="n">
        <v>45292</v>
      </c>
      <c r="E938" s="19" t="inlineStr"/>
      <c r="G938" s="16" t="n">
        <v>45292</v>
      </c>
      <c r="H938" s="19" t="inlineStr">
        <is>
          <t>.</t>
        </is>
      </c>
    </row>
    <row r="939">
      <c r="A939" s="16" t="n">
        <v>45293</v>
      </c>
      <c r="B939" s="19" t="n">
        <v>2033.47</v>
      </c>
      <c r="D939" s="16" t="n">
        <v>45293</v>
      </c>
      <c r="E939" s="19" t="n">
        <v>18.65</v>
      </c>
      <c r="G939" s="16" t="n">
        <v>45293</v>
      </c>
      <c r="H939" s="19" t="n">
        <v>2.07</v>
      </c>
    </row>
    <row r="940">
      <c r="A940" s="16" t="n">
        <v>45294</v>
      </c>
      <c r="B940" s="19" t="n">
        <v>2030.11</v>
      </c>
      <c r="D940" s="16" t="n">
        <v>45294</v>
      </c>
      <c r="E940" s="19" t="n">
        <v>18.4</v>
      </c>
      <c r="G940" s="16" t="n">
        <v>45294</v>
      </c>
      <c r="H940" s="19" t="n">
        <v>2.08</v>
      </c>
    </row>
    <row r="941">
      <c r="A941" s="16" t="n">
        <v>45295</v>
      </c>
      <c r="B941" s="19" t="n">
        <v>2029.6</v>
      </c>
      <c r="D941" s="16" t="n">
        <v>45295</v>
      </c>
      <c r="E941" s="19" t="n">
        <v>17.73</v>
      </c>
      <c r="G941" s="16" t="n">
        <v>45295</v>
      </c>
      <c r="H941" s="19" t="n">
        <v>2.07</v>
      </c>
    </row>
    <row r="942">
      <c r="A942" s="16" t="n">
        <v>45296</v>
      </c>
      <c r="B942" s="19" t="n">
        <v>2043.05</v>
      </c>
      <c r="D942" s="16" t="n">
        <v>45296</v>
      </c>
      <c r="E942" s="19" t="n">
        <v>16.09</v>
      </c>
      <c r="G942" s="16" t="n">
        <v>45296</v>
      </c>
      <c r="H942" s="19" t="n">
        <v>2.07</v>
      </c>
    </row>
    <row r="943">
      <c r="A943" s="16" t="n">
        <v>45299</v>
      </c>
      <c r="B943" s="19" t="n">
        <v>2003.9</v>
      </c>
      <c r="D943" s="16" t="n">
        <v>45299</v>
      </c>
      <c r="E943" s="19" t="n">
        <v>17.56</v>
      </c>
      <c r="G943" s="16" t="n">
        <v>45299</v>
      </c>
      <c r="H943" s="19" t="n">
        <v>2.12</v>
      </c>
    </row>
    <row r="944">
      <c r="A944" s="16" t="n">
        <v>45300</v>
      </c>
      <c r="B944" s="19" t="n">
        <v>2010.77</v>
      </c>
      <c r="D944" s="16" t="n">
        <v>45300</v>
      </c>
      <c r="E944" s="19" t="n">
        <v>17.24</v>
      </c>
      <c r="G944" s="16" t="n">
        <v>45300</v>
      </c>
      <c r="H944" s="19" t="n">
        <v>2.13</v>
      </c>
    </row>
    <row r="945">
      <c r="A945" s="16" t="n">
        <v>45301</v>
      </c>
      <c r="B945" s="19" t="n">
        <v>2030.51</v>
      </c>
      <c r="D945" s="16" t="n">
        <v>45301</v>
      </c>
      <c r="E945" s="19" t="n">
        <v>17.88</v>
      </c>
      <c r="G945" s="16" t="n">
        <v>45301</v>
      </c>
      <c r="H945" s="19" t="n">
        <v>2.08</v>
      </c>
    </row>
    <row r="946">
      <c r="A946" s="16" t="n">
        <v>45302</v>
      </c>
      <c r="B946" s="19" t="n">
        <v>2039.17</v>
      </c>
      <c r="D946" s="16" t="n">
        <v>45302</v>
      </c>
      <c r="E946" s="19" t="n">
        <v>17</v>
      </c>
      <c r="G946" s="16" t="n">
        <v>45302</v>
      </c>
      <c r="H946" s="19" t="n">
        <v>2.06</v>
      </c>
    </row>
    <row r="947">
      <c r="A947" s="16" t="n">
        <v>45303</v>
      </c>
      <c r="B947" s="19" t="n">
        <v>2040.88</v>
      </c>
      <c r="D947" s="16" t="n">
        <v>45303</v>
      </c>
      <c r="E947" s="19" t="n">
        <v>17.59</v>
      </c>
      <c r="G947" s="16" t="n">
        <v>45303</v>
      </c>
      <c r="H947" s="19" t="n">
        <v>2.04</v>
      </c>
    </row>
    <row r="948">
      <c r="A948" s="16" t="n">
        <v>45306</v>
      </c>
      <c r="B948" s="19" t="n">
        <v>2016.76</v>
      </c>
      <c r="D948" s="16" t="n">
        <v>45306</v>
      </c>
      <c r="E948" s="19" t="n">
        <v>18.65</v>
      </c>
      <c r="G948" s="16" t="n">
        <v>45306</v>
      </c>
      <c r="H948" s="19" t="n">
        <v>2.07</v>
      </c>
    </row>
    <row r="949">
      <c r="A949" s="16" t="n">
        <v>45307</v>
      </c>
      <c r="B949" s="19" t="n">
        <v>1987.85</v>
      </c>
      <c r="D949" s="16" t="n">
        <v>45307</v>
      </c>
      <c r="E949" s="19" t="n">
        <v>18.66</v>
      </c>
      <c r="G949" s="16" t="n">
        <v>45307</v>
      </c>
      <c r="H949" s="19" t="n">
        <v>2.1</v>
      </c>
    </row>
    <row r="950">
      <c r="A950" s="16" t="n">
        <v>45308</v>
      </c>
      <c r="B950" s="19" t="n">
        <v>1950.12</v>
      </c>
      <c r="D950" s="16" t="n">
        <v>45308</v>
      </c>
      <c r="E950" s="19" t="n">
        <v>19.92</v>
      </c>
      <c r="G950" s="16" t="n">
        <v>45308</v>
      </c>
      <c r="H950" s="19" t="n">
        <v>2.14</v>
      </c>
    </row>
    <row r="951">
      <c r="A951" s="16" t="n">
        <v>45309</v>
      </c>
      <c r="B951" s="19" t="n">
        <v>1917.66</v>
      </c>
      <c r="D951" s="16" t="n">
        <v>45309</v>
      </c>
      <c r="E951" s="19" t="n">
        <v>21.59</v>
      </c>
      <c r="G951" s="16" t="n">
        <v>45309</v>
      </c>
      <c r="H951" s="19" t="n">
        <v>2.13</v>
      </c>
    </row>
    <row r="952">
      <c r="A952" s="16" t="n">
        <v>45310</v>
      </c>
      <c r="B952" s="19" t="n">
        <v>1905.54</v>
      </c>
      <c r="D952" s="16" t="n">
        <v>45310</v>
      </c>
      <c r="E952" s="19" t="n">
        <v>22.22</v>
      </c>
      <c r="G952" s="16" t="n">
        <v>45310</v>
      </c>
      <c r="H952" s="19" t="n">
        <v>2.14</v>
      </c>
    </row>
    <row r="953">
      <c r="A953" s="16" t="n">
        <v>45313</v>
      </c>
      <c r="B953" s="19" t="n">
        <v>1881.57</v>
      </c>
      <c r="D953" s="16" t="n">
        <v>45313</v>
      </c>
      <c r="E953" s="19" t="n">
        <v>23.97</v>
      </c>
      <c r="G953" s="16" t="n">
        <v>45313</v>
      </c>
      <c r="H953" s="19" t="n">
        <v>2.18</v>
      </c>
    </row>
    <row r="954">
      <c r="A954" s="16" t="n">
        <v>45314</v>
      </c>
      <c r="B954" s="19" t="n">
        <v>1892.3</v>
      </c>
      <c r="D954" s="16" t="n">
        <v>45314</v>
      </c>
      <c r="E954" s="19" t="n">
        <v>23.23</v>
      </c>
      <c r="G954" s="16" t="n">
        <v>45314</v>
      </c>
      <c r="H954" s="19" t="n">
        <v>2.15</v>
      </c>
    </row>
    <row r="955">
      <c r="A955" s="16" t="n">
        <v>45315</v>
      </c>
      <c r="B955" s="19" t="n">
        <v>1943.09</v>
      </c>
      <c r="D955" s="16" t="n">
        <v>45315</v>
      </c>
      <c r="E955" s="19" t="n">
        <v>20.28</v>
      </c>
      <c r="G955" s="16" t="n">
        <v>45315</v>
      </c>
      <c r="H955" s="19" t="n">
        <v>2.1</v>
      </c>
    </row>
    <row r="956">
      <c r="A956" s="16" t="n">
        <v>45316</v>
      </c>
      <c r="B956" s="19" t="n">
        <v>1933.8</v>
      </c>
      <c r="D956" s="16" t="n">
        <v>45316</v>
      </c>
      <c r="E956" s="19" t="n">
        <v>20.7</v>
      </c>
      <c r="G956" s="16" t="n">
        <v>45316</v>
      </c>
      <c r="H956" s="19" t="n">
        <v>2.1</v>
      </c>
    </row>
    <row r="957">
      <c r="A957" s="16" t="n">
        <v>45317</v>
      </c>
      <c r="B957" s="19" t="n">
        <v>1944.67</v>
      </c>
      <c r="D957" s="16" t="n">
        <v>45317</v>
      </c>
      <c r="E957" s="19" t="n">
        <v>19.5</v>
      </c>
      <c r="G957" s="16" t="n">
        <v>45317</v>
      </c>
      <c r="H957" s="19" t="n">
        <v>2.07</v>
      </c>
    </row>
    <row r="958">
      <c r="A958" s="16" t="n">
        <v>45320</v>
      </c>
      <c r="B958" s="19" t="n">
        <v>1941.41</v>
      </c>
      <c r="D958" s="16" t="n">
        <v>45320</v>
      </c>
      <c r="E958" s="19" t="n">
        <v>18.58</v>
      </c>
      <c r="G958" s="16" t="n">
        <v>45320</v>
      </c>
      <c r="H958" s="19" t="n">
        <v>2.07</v>
      </c>
    </row>
    <row r="959">
      <c r="A959" s="16" t="n">
        <v>45321</v>
      </c>
      <c r="B959" s="19" t="n">
        <v>1941.41</v>
      </c>
      <c r="D959" s="16" t="n">
        <v>45321</v>
      </c>
      <c r="E959" s="19" t="n">
        <v>18.07</v>
      </c>
      <c r="G959" s="16" t="n">
        <v>45321</v>
      </c>
      <c r="H959" s="19" t="n">
        <v>2.09</v>
      </c>
    </row>
    <row r="960">
      <c r="A960" s="16" t="n">
        <v>45322</v>
      </c>
      <c r="B960" s="19" t="n">
        <v>1962.13</v>
      </c>
      <c r="D960" s="16" t="n">
        <v>45322</v>
      </c>
      <c r="E960" s="19" t="n">
        <v>16.95</v>
      </c>
      <c r="G960" s="16" t="n">
        <v>45322</v>
      </c>
      <c r="H960" s="19" t="n">
        <v>2.08</v>
      </c>
    </row>
    <row r="961">
      <c r="A961" s="16" t="n">
        <v>45323</v>
      </c>
      <c r="B961" s="19" t="n">
        <v>1943.9</v>
      </c>
      <c r="D961" s="16" t="n">
        <v>45323</v>
      </c>
      <c r="E961" s="19" t="n">
        <v>17.58</v>
      </c>
      <c r="G961" s="16" t="n">
        <v>45323</v>
      </c>
      <c r="H961" s="19" t="n">
        <v>2.1</v>
      </c>
    </row>
    <row r="962">
      <c r="A962" s="16" t="n">
        <v>45324</v>
      </c>
      <c r="B962" s="19" t="n">
        <v>1942.19</v>
      </c>
      <c r="D962" s="16" t="n">
        <v>45324</v>
      </c>
      <c r="E962" s="19" t="n">
        <v>17.45</v>
      </c>
      <c r="G962" s="16" t="n">
        <v>45324</v>
      </c>
      <c r="H962" s="19" t="n">
        <v>2.13</v>
      </c>
    </row>
    <row r="963">
      <c r="A963" s="16" t="n">
        <v>45327</v>
      </c>
      <c r="B963" s="19" t="n">
        <v>1919.77</v>
      </c>
      <c r="D963" s="16" t="n">
        <v>45327</v>
      </c>
      <c r="E963" s="19" t="n">
        <v>18.27</v>
      </c>
      <c r="G963" s="16" t="n">
        <v>45327</v>
      </c>
      <c r="H963" s="19" t="n">
        <v>2.17</v>
      </c>
    </row>
    <row r="964">
      <c r="A964" s="16" t="n">
        <v>45328</v>
      </c>
      <c r="B964" s="19" t="n">
        <v>1894.49</v>
      </c>
      <c r="D964" s="16" t="n">
        <v>45328</v>
      </c>
      <c r="E964" s="19" t="n">
        <v>18.95</v>
      </c>
      <c r="G964" s="16" t="n">
        <v>45328</v>
      </c>
      <c r="H964" s="19" t="n">
        <v>2.2</v>
      </c>
    </row>
    <row r="965">
      <c r="A965" s="16" t="n">
        <v>45329</v>
      </c>
      <c r="B965" s="19" t="n">
        <v>1905.57</v>
      </c>
      <c r="D965" s="16" t="n">
        <v>45329</v>
      </c>
      <c r="E965" s="19" t="n">
        <v>18.22</v>
      </c>
      <c r="G965" s="16" t="n">
        <v>45329</v>
      </c>
      <c r="H965" s="19" t="n">
        <v>2.2</v>
      </c>
    </row>
    <row r="966">
      <c r="A966" s="16" t="n">
        <v>45330</v>
      </c>
      <c r="B966" s="19" t="n">
        <v>1894.42</v>
      </c>
      <c r="D966" s="16" t="n">
        <v>45330</v>
      </c>
      <c r="E966" s="19" t="n">
        <v>18.86</v>
      </c>
      <c r="G966" s="16" t="n">
        <v>45330</v>
      </c>
      <c r="H966" s="19" t="n">
        <v>2.17</v>
      </c>
    </row>
    <row r="967">
      <c r="A967" s="16" t="n">
        <v>45331</v>
      </c>
      <c r="B967" s="19" t="n">
        <v>1895.8</v>
      </c>
      <c r="D967" s="16" t="n">
        <v>45331</v>
      </c>
      <c r="E967" s="19" t="n">
        <v>19.03</v>
      </c>
      <c r="G967" s="16" t="n">
        <v>45331</v>
      </c>
      <c r="H967" s="19" t="n">
        <v>2.17</v>
      </c>
    </row>
    <row r="968">
      <c r="A968" s="16" t="n">
        <v>45334</v>
      </c>
      <c r="B968" s="19" t="n">
        <v>1921.18</v>
      </c>
      <c r="D968" s="16" t="n">
        <v>45334</v>
      </c>
      <c r="E968" s="19" t="n">
        <v>17.71</v>
      </c>
      <c r="G968" s="16" t="n">
        <v>45334</v>
      </c>
      <c r="H968" s="19" t="n">
        <v>2.08</v>
      </c>
    </row>
    <row r="969">
      <c r="A969" s="16" t="n">
        <v>45335</v>
      </c>
      <c r="B969" s="19" t="n">
        <v>1930.95</v>
      </c>
      <c r="D969" s="16" t="n">
        <v>45335</v>
      </c>
      <c r="E969" s="19" t="n">
        <v>17.86</v>
      </c>
      <c r="G969" s="16" t="n">
        <v>45335</v>
      </c>
      <c r="H969" s="19" t="n">
        <v>2.07</v>
      </c>
    </row>
    <row r="970">
      <c r="A970" s="16" t="n">
        <v>45336</v>
      </c>
      <c r="B970" s="19" t="n">
        <v>1946.86</v>
      </c>
      <c r="D970" s="16" t="n">
        <v>45336</v>
      </c>
      <c r="E970" s="19" t="n">
        <v>16.86</v>
      </c>
      <c r="G970" s="16" t="n">
        <v>45336</v>
      </c>
      <c r="H970" s="19" t="n">
        <v>2.06</v>
      </c>
    </row>
    <row r="971">
      <c r="A971" s="16" t="n">
        <v>45337</v>
      </c>
      <c r="B971" s="19" t="n">
        <v>1987.3</v>
      </c>
      <c r="D971" s="16" t="n">
        <v>45337</v>
      </c>
      <c r="E971" s="19" t="n">
        <v>15.81</v>
      </c>
      <c r="G971" s="16" t="n">
        <v>45337</v>
      </c>
      <c r="H971" s="19" t="n">
        <v>2.02</v>
      </c>
    </row>
    <row r="972">
      <c r="A972" s="16" t="n">
        <v>45338</v>
      </c>
      <c r="B972" s="19" t="n">
        <v>1983.23</v>
      </c>
      <c r="D972" s="16" t="n">
        <v>45338</v>
      </c>
      <c r="E972" s="19" t="n">
        <v>16.9</v>
      </c>
      <c r="G972" s="16" t="n">
        <v>45338</v>
      </c>
      <c r="H972" s="19" t="n">
        <v>1.97</v>
      </c>
    </row>
    <row r="973">
      <c r="A973" s="16" t="n">
        <v>45341</v>
      </c>
      <c r="B973" s="19" t="n">
        <v>1981.46</v>
      </c>
      <c r="D973" s="16" t="n">
        <v>45341</v>
      </c>
      <c r="E973" s="19" t="n">
        <v>16.62</v>
      </c>
      <c r="G973" s="16" t="n">
        <v>45341</v>
      </c>
      <c r="H973" s="19" t="n">
        <v>1.98</v>
      </c>
    </row>
    <row r="974">
      <c r="A974" s="16" t="n">
        <v>45342</v>
      </c>
      <c r="B974" s="19" t="n">
        <v>2015.12</v>
      </c>
      <c r="D974" s="16" t="n">
        <v>45342</v>
      </c>
      <c r="E974" s="19" t="n">
        <v>15.12</v>
      </c>
      <c r="G974" s="16" t="n">
        <v>45342</v>
      </c>
      <c r="H974" s="19" t="n">
        <v>1.96</v>
      </c>
    </row>
    <row r="975">
      <c r="A975" s="16" t="n">
        <v>45343</v>
      </c>
      <c r="B975" s="19" t="n">
        <v>2008.35</v>
      </c>
      <c r="D975" s="16" t="n">
        <v>45343</v>
      </c>
      <c r="E975" s="19" t="n">
        <v>15.89</v>
      </c>
      <c r="G975" s="16" t="n">
        <v>45343</v>
      </c>
      <c r="H975" s="19" t="n">
        <v>1.94</v>
      </c>
    </row>
    <row r="976">
      <c r="A976" s="16" t="n">
        <v>45344</v>
      </c>
      <c r="B976" s="19" t="n">
        <v>1989.89</v>
      </c>
      <c r="D976" s="16" t="n">
        <v>45344</v>
      </c>
      <c r="E976" s="19" t="n">
        <v>17.23</v>
      </c>
      <c r="G976" s="16" t="n">
        <v>45344</v>
      </c>
      <c r="H976" s="19" t="n">
        <v>1.98</v>
      </c>
    </row>
    <row r="977">
      <c r="A977" s="16" t="n">
        <v>45345</v>
      </c>
      <c r="B977" s="19" t="n">
        <v>1995.66</v>
      </c>
      <c r="D977" s="16" t="n">
        <v>45345</v>
      </c>
      <c r="E977" s="19" t="n">
        <v>16.02</v>
      </c>
      <c r="G977" s="16" t="n">
        <v>45345</v>
      </c>
      <c r="H977" s="19" t="n">
        <v>1.97</v>
      </c>
    </row>
    <row r="978">
      <c r="A978" s="16" t="n">
        <v>45348</v>
      </c>
      <c r="B978" s="19" t="n">
        <v>2001.69</v>
      </c>
      <c r="D978" s="16" t="n">
        <v>45348</v>
      </c>
      <c r="E978" s="19" t="n">
        <v>15.27</v>
      </c>
      <c r="G978" s="16" t="n">
        <v>45348</v>
      </c>
      <c r="H978" s="19" t="n">
        <v>2</v>
      </c>
    </row>
    <row r="979">
      <c r="A979" s="16" t="n">
        <v>45349</v>
      </c>
      <c r="B979" s="19" t="n">
        <v>2024.53</v>
      </c>
      <c r="D979" s="16" t="n">
        <v>45349</v>
      </c>
      <c r="E979" s="19" t="n">
        <v>13.26</v>
      </c>
      <c r="G979" s="16" t="n">
        <v>45349</v>
      </c>
      <c r="H979" s="19" t="n">
        <v>1.96</v>
      </c>
    </row>
    <row r="980">
      <c r="A980" s="16" t="n">
        <v>45350</v>
      </c>
      <c r="B980" s="19" t="n">
        <v>2017.82</v>
      </c>
      <c r="D980" s="16" t="n">
        <v>45350</v>
      </c>
      <c r="E980" s="19" t="n">
        <v>14.29</v>
      </c>
      <c r="G980" s="16" t="n">
        <v>45350</v>
      </c>
      <c r="H980" s="19" t="n">
        <v>1.98</v>
      </c>
    </row>
    <row r="981">
      <c r="A981" s="16" t="n">
        <v>45351</v>
      </c>
      <c r="B981" s="19" t="n">
        <v>2002.09</v>
      </c>
      <c r="D981" s="16" t="n">
        <v>45351</v>
      </c>
      <c r="E981" s="19" t="n">
        <v>15.08</v>
      </c>
      <c r="G981" s="16" t="n">
        <v>45351</v>
      </c>
      <c r="H981" s="19" t="n">
        <v>1.95</v>
      </c>
    </row>
    <row r="982">
      <c r="A982" s="16" t="n">
        <v>45352</v>
      </c>
      <c r="B982" s="19" t="n">
        <v>2022.02</v>
      </c>
      <c r="D982" s="16" t="n">
        <v>45352</v>
      </c>
      <c r="E982" s="19" t="n">
        <v>13.77</v>
      </c>
      <c r="G982" s="16" t="n">
        <v>45352</v>
      </c>
      <c r="H982" s="19" t="n">
        <v>1.93</v>
      </c>
    </row>
    <row r="983">
      <c r="A983" s="16" t="n">
        <v>45355</v>
      </c>
      <c r="B983" s="19" t="n">
        <v>2020.85</v>
      </c>
      <c r="D983" s="16" t="n">
        <v>45355</v>
      </c>
      <c r="E983" s="19" t="n">
        <v>14.22</v>
      </c>
      <c r="G983" s="16" t="n">
        <v>45355</v>
      </c>
      <c r="H983" s="19" t="n">
        <v>1.92</v>
      </c>
    </row>
    <row r="984">
      <c r="A984" s="16" t="n">
        <v>45356</v>
      </c>
      <c r="B984" s="19" t="n">
        <v>2025.83</v>
      </c>
      <c r="D984" s="16" t="n">
        <v>45356</v>
      </c>
      <c r="E984" s="19" t="n">
        <v>14.64</v>
      </c>
      <c r="G984" s="16" t="n">
        <v>45356</v>
      </c>
      <c r="H984" s="19" t="n">
        <v>1.94</v>
      </c>
    </row>
    <row r="985">
      <c r="A985" s="16" t="n">
        <v>45357</v>
      </c>
      <c r="B985" s="19" t="n">
        <v>2008.92</v>
      </c>
      <c r="D985" s="16" t="n">
        <v>45357</v>
      </c>
      <c r="E985" s="19" t="n">
        <v>14.94</v>
      </c>
      <c r="G985" s="16" t="n">
        <v>45357</v>
      </c>
      <c r="H985" s="19" t="n">
        <v>1.99</v>
      </c>
    </row>
    <row r="986">
      <c r="A986" s="16" t="n">
        <v>45358</v>
      </c>
      <c r="B986" s="19" t="n">
        <v>2028.15</v>
      </c>
      <c r="D986" s="16" t="n">
        <v>45358</v>
      </c>
      <c r="E986" s="19" t="n">
        <v>13.97</v>
      </c>
      <c r="G986" s="16" t="n">
        <v>45358</v>
      </c>
      <c r="H986" s="19" t="n">
        <v>1.96</v>
      </c>
    </row>
    <row r="987">
      <c r="A987" s="16" t="n">
        <v>45359</v>
      </c>
      <c r="B987" s="19" t="n">
        <v>2014.56</v>
      </c>
      <c r="D987" s="16" t="n">
        <v>45359</v>
      </c>
      <c r="E987" s="19" t="n">
        <v>14.49</v>
      </c>
      <c r="G987" s="16" t="n">
        <v>45359</v>
      </c>
      <c r="H987" s="19" t="n">
        <v>1.96</v>
      </c>
    </row>
    <row r="988">
      <c r="A988" s="16" t="n">
        <v>45362</v>
      </c>
      <c r="B988" s="19" t="n">
        <v>1997.82</v>
      </c>
      <c r="D988" s="16" t="n">
        <v>45362</v>
      </c>
      <c r="E988" s="19" t="n">
        <v>16.04</v>
      </c>
      <c r="G988" s="16" t="n">
        <v>45362</v>
      </c>
      <c r="H988" s="19" t="n">
        <v>1.98</v>
      </c>
    </row>
    <row r="989">
      <c r="A989" s="16" t="n">
        <v>45363</v>
      </c>
      <c r="B989" s="19" t="n">
        <v>2001.72</v>
      </c>
      <c r="D989" s="16" t="n">
        <v>45363</v>
      </c>
      <c r="E989" s="19" t="n">
        <v>17.88</v>
      </c>
      <c r="G989" s="16" t="n">
        <v>45363</v>
      </c>
      <c r="H989" s="19" t="n">
        <v>1.96</v>
      </c>
    </row>
    <row r="990">
      <c r="A990" s="16" t="n">
        <v>45364</v>
      </c>
      <c r="B990" s="19" t="n">
        <v>2009.18</v>
      </c>
      <c r="D990" s="16" t="n">
        <v>45364</v>
      </c>
      <c r="E990" s="19" t="n">
        <v>17.23</v>
      </c>
      <c r="G990" s="16" t="n">
        <v>45364</v>
      </c>
      <c r="H990" s="19" t="n">
        <v>1.93</v>
      </c>
    </row>
    <row r="991">
      <c r="A991" s="16" t="n">
        <v>45365</v>
      </c>
      <c r="B991" s="19" t="n">
        <v>2031.1</v>
      </c>
      <c r="D991" s="16" t="n">
        <v>45365</v>
      </c>
      <c r="E991" s="19" t="n">
        <v>16.4</v>
      </c>
      <c r="G991" s="16" t="n">
        <v>45365</v>
      </c>
      <c r="H991" s="19" t="n">
        <v>1.93</v>
      </c>
    </row>
    <row r="992">
      <c r="A992" s="16" t="n">
        <v>45366</v>
      </c>
      <c r="B992" s="19" t="n">
        <v>2019.5</v>
      </c>
      <c r="D992" s="16" t="n">
        <v>45366</v>
      </c>
      <c r="E992" s="19" t="n">
        <v>17.72</v>
      </c>
      <c r="G992" s="16" t="n">
        <v>45366</v>
      </c>
      <c r="H992" s="19" t="n">
        <v>1.93</v>
      </c>
    </row>
    <row r="993">
      <c r="A993" s="16" t="n">
        <v>45369</v>
      </c>
      <c r="B993" s="19" t="n">
        <v>1987.74</v>
      </c>
      <c r="D993" s="16" t="n">
        <v>45369</v>
      </c>
      <c r="E993" s="19" t="n">
        <v>19.21</v>
      </c>
      <c r="G993" s="16" t="n">
        <v>45369</v>
      </c>
      <c r="H993" s="19" t="n">
        <v>1.98</v>
      </c>
    </row>
    <row r="994">
      <c r="A994" s="16" t="n">
        <v>45370</v>
      </c>
      <c r="B994" s="19" t="n">
        <v>1977.08</v>
      </c>
      <c r="D994" s="16" t="n">
        <v>45370</v>
      </c>
      <c r="E994" s="19" t="n">
        <v>19.55</v>
      </c>
      <c r="G994" s="16" t="n">
        <v>45370</v>
      </c>
      <c r="H994" s="19" t="n">
        <v>1.98</v>
      </c>
    </row>
    <row r="995">
      <c r="A995" s="16" t="n">
        <v>45371</v>
      </c>
      <c r="B995" s="19" t="n">
        <v>1972.13</v>
      </c>
      <c r="D995" s="16" t="n">
        <v>45371</v>
      </c>
      <c r="E995" s="19" t="n">
        <v>19.34</v>
      </c>
      <c r="G995" s="16" t="n">
        <v>45371</v>
      </c>
      <c r="H995" s="19" t="n">
        <v>2</v>
      </c>
    </row>
    <row r="996">
      <c r="A996" s="16" t="n">
        <v>45372</v>
      </c>
      <c r="B996" s="19" t="n">
        <v>2013.93</v>
      </c>
      <c r="D996" s="16" t="n">
        <v>45372</v>
      </c>
      <c r="E996" s="19" t="n">
        <v>17.15</v>
      </c>
      <c r="G996" s="16" t="n">
        <v>45372</v>
      </c>
      <c r="H996" s="19" t="n">
        <v>1.97</v>
      </c>
    </row>
    <row r="997">
      <c r="A997" s="16" t="n">
        <v>45373</v>
      </c>
      <c r="B997" s="19" t="n">
        <v>1982.08</v>
      </c>
      <c r="D997" s="16" t="n">
        <v>45373</v>
      </c>
      <c r="E997" s="19" t="n">
        <v>18.87</v>
      </c>
      <c r="G997" s="16" t="n">
        <v>45373</v>
      </c>
      <c r="H997" s="19" t="n">
        <v>1.99</v>
      </c>
    </row>
    <row r="998">
      <c r="A998" s="16" t="n">
        <v>45376</v>
      </c>
      <c r="B998" s="19" t="n">
        <v>1978</v>
      </c>
      <c r="D998" s="16" t="n">
        <v>45376</v>
      </c>
      <c r="E998" s="19" t="n">
        <v>19.3</v>
      </c>
      <c r="G998" s="16" t="n">
        <v>45376</v>
      </c>
      <c r="H998" s="19" t="n">
        <v>2.02</v>
      </c>
    </row>
    <row r="999">
      <c r="A999" s="16" t="n">
        <v>45377</v>
      </c>
      <c r="B999" s="19" t="n">
        <v>1981.67</v>
      </c>
      <c r="D999" s="16" t="n">
        <v>45377</v>
      </c>
      <c r="E999" s="19" t="n">
        <v>18.82</v>
      </c>
      <c r="G999" s="16" t="n">
        <v>45377</v>
      </c>
      <c r="H999" s="19" t="n">
        <v>1.99</v>
      </c>
    </row>
    <row r="1000">
      <c r="A1000" s="16" t="n">
        <v>45378</v>
      </c>
      <c r="B1000" s="19" t="n">
        <v>1958.3</v>
      </c>
      <c r="D1000" s="16" t="n">
        <v>45378</v>
      </c>
      <c r="E1000" s="19" t="n">
        <v>20.84</v>
      </c>
      <c r="G1000" s="16" t="n">
        <v>45378</v>
      </c>
      <c r="H1000" s="19" t="n">
        <v>2.03</v>
      </c>
    </row>
    <row r="1001">
      <c r="A1001" s="16" t="n">
        <v>45379</v>
      </c>
      <c r="B1001" s="19" t="n">
        <v>1962.2</v>
      </c>
      <c r="D1001" s="16" t="n">
        <v>45379</v>
      </c>
      <c r="E1001" s="19" t="n">
        <v>20.68</v>
      </c>
      <c r="G1001" s="16" t="n">
        <v>45379</v>
      </c>
      <c r="H1001" s="19" t="n">
        <v>2.03</v>
      </c>
    </row>
    <row r="1002">
      <c r="A1002" s="16" t="n">
        <v>45380</v>
      </c>
      <c r="B1002" s="19" t="n">
        <v>1956.35</v>
      </c>
      <c r="D1002" s="16" t="n">
        <v>45380</v>
      </c>
      <c r="E1002" s="19" t="n">
        <v>20.47</v>
      </c>
      <c r="G1002" s="16" t="n">
        <v>45380</v>
      </c>
      <c r="H1002" s="19" t="n">
        <v>2.02</v>
      </c>
    </row>
    <row r="1003">
      <c r="A1003" s="16" t="n">
        <v>45383</v>
      </c>
      <c r="B1003" s="19" t="n">
        <v>1953.93</v>
      </c>
      <c r="D1003" s="16" t="n">
        <v>45383</v>
      </c>
      <c r="E1003" s="19" t="n">
        <v>20.43</v>
      </c>
      <c r="G1003" s="16" t="n">
        <v>45383</v>
      </c>
      <c r="H1003" s="19" t="n">
        <v>2.04</v>
      </c>
    </row>
    <row r="1004">
      <c r="A1004" s="16" t="n">
        <v>45384</v>
      </c>
      <c r="B1004" s="19" t="n">
        <v>1963.37</v>
      </c>
      <c r="D1004" s="16" t="n">
        <v>45384</v>
      </c>
      <c r="E1004" s="19" t="n">
        <v>20.09</v>
      </c>
      <c r="G1004" s="16" t="n">
        <v>45384</v>
      </c>
      <c r="H1004" s="19" t="n">
        <v>2.03</v>
      </c>
    </row>
    <row r="1005">
      <c r="A1005" s="16" t="n">
        <v>45385</v>
      </c>
      <c r="B1005" s="19" t="n">
        <v>1959.3</v>
      </c>
      <c r="D1005" s="16" t="n">
        <v>45385</v>
      </c>
      <c r="E1005" s="19" t="n">
        <v>19.73</v>
      </c>
      <c r="G1005" s="16" t="n">
        <v>45385</v>
      </c>
      <c r="H1005" s="19" t="n">
        <v>2.03</v>
      </c>
    </row>
    <row r="1006">
      <c r="A1006" s="16" t="n">
        <v>45386</v>
      </c>
      <c r="B1006" s="19" t="n">
        <v>1954.95</v>
      </c>
      <c r="D1006" s="16" t="n">
        <v>45386</v>
      </c>
      <c r="E1006" s="19" t="n">
        <v>18.53</v>
      </c>
      <c r="G1006" s="16" t="n">
        <v>45386</v>
      </c>
      <c r="H1006" s="19" t="n">
        <v>2.03</v>
      </c>
    </row>
    <row r="1007">
      <c r="A1007" s="16" t="n">
        <v>45387</v>
      </c>
      <c r="B1007" s="19" t="n">
        <v>1935.35</v>
      </c>
      <c r="D1007" s="16" t="n">
        <v>45387</v>
      </c>
      <c r="E1007" s="19" t="n">
        <v>19.88</v>
      </c>
      <c r="G1007" s="16" t="n">
        <v>45387</v>
      </c>
      <c r="H1007" s="19" t="n">
        <v>2.05</v>
      </c>
    </row>
    <row r="1008">
      <c r="A1008" s="16" t="n">
        <v>45390</v>
      </c>
      <c r="B1008" s="19" t="n">
        <v>1945.93</v>
      </c>
      <c r="D1008" s="16" t="n">
        <v>45390</v>
      </c>
      <c r="E1008" s="19" t="n">
        <v>20.56</v>
      </c>
      <c r="G1008" s="16" t="n">
        <v>45390</v>
      </c>
      <c r="H1008" s="19" t="n">
        <v>2.04</v>
      </c>
    </row>
    <row r="1009">
      <c r="A1009" s="16" t="n">
        <v>45391</v>
      </c>
      <c r="B1009" s="19" t="n">
        <v>1966.14</v>
      </c>
      <c r="D1009" s="16" t="n">
        <v>45391</v>
      </c>
      <c r="E1009" s="19" t="n">
        <v>20.21</v>
      </c>
      <c r="G1009" s="16" t="n">
        <v>45391</v>
      </c>
      <c r="H1009" s="19" t="n">
        <v>1.98</v>
      </c>
    </row>
    <row r="1010">
      <c r="A1010" s="16" t="n">
        <v>45392</v>
      </c>
      <c r="B1010" s="19" t="n">
        <v>1962.13</v>
      </c>
      <c r="D1010" s="16" t="n">
        <v>45392</v>
      </c>
      <c r="E1010" s="19" t="n">
        <v>20.94</v>
      </c>
      <c r="G1010" s="16" t="n">
        <v>45392</v>
      </c>
      <c r="H1010" s="19" t="n">
        <v>1.99</v>
      </c>
    </row>
    <row r="1011">
      <c r="A1011" s="16" t="n">
        <v>45393</v>
      </c>
      <c r="B1011" s="19" t="n">
        <v>1994.27</v>
      </c>
      <c r="D1011" s="16" t="n">
        <v>45393</v>
      </c>
      <c r="E1011" s="19" t="n">
        <v>19.56</v>
      </c>
      <c r="G1011" s="16" t="n">
        <v>45393</v>
      </c>
      <c r="H1011" s="19" t="n">
        <v>1.96</v>
      </c>
    </row>
    <row r="1012">
      <c r="A1012" s="16" t="n">
        <v>45394</v>
      </c>
      <c r="B1012" s="19" t="n">
        <v>1975.5</v>
      </c>
      <c r="D1012" s="16" t="n">
        <v>45394</v>
      </c>
      <c r="E1012" s="19" t="n">
        <v>20.4</v>
      </c>
      <c r="G1012" s="16" t="n">
        <v>45394</v>
      </c>
      <c r="H1012" s="19" t="n">
        <v>1.99</v>
      </c>
    </row>
    <row r="1013">
      <c r="A1013" s="16" t="n">
        <v>45397</v>
      </c>
      <c r="B1013" s="19" t="n">
        <v>1964.26</v>
      </c>
      <c r="D1013" s="16" t="n">
        <v>45397</v>
      </c>
      <c r="E1013" s="19" t="n">
        <v>19.11</v>
      </c>
      <c r="G1013" s="16" t="n">
        <v>45397</v>
      </c>
      <c r="H1013" s="19" t="n">
        <v>1.95</v>
      </c>
    </row>
    <row r="1014">
      <c r="A1014" s="16" t="n">
        <v>45398</v>
      </c>
      <c r="B1014" s="19" t="n">
        <v>1920.68</v>
      </c>
      <c r="D1014" s="16" t="n">
        <v>45398</v>
      </c>
      <c r="E1014" s="19" t="n">
        <v>21.09</v>
      </c>
      <c r="G1014" s="16" t="n">
        <v>45398</v>
      </c>
      <c r="H1014" s="19" t="n">
        <v>1.98</v>
      </c>
    </row>
    <row r="1015">
      <c r="A1015" s="16" t="n">
        <v>45399</v>
      </c>
      <c r="B1015" s="19" t="n">
        <v>1918.54</v>
      </c>
      <c r="D1015" s="16" t="n">
        <v>45399</v>
      </c>
      <c r="E1015" s="19" t="n">
        <v>21.11</v>
      </c>
      <c r="G1015" s="16" t="n">
        <v>45399</v>
      </c>
      <c r="H1015" s="19" t="n">
        <v>1.99</v>
      </c>
    </row>
    <row r="1016">
      <c r="A1016" s="16" t="n">
        <v>45400</v>
      </c>
      <c r="B1016" s="19" t="n">
        <v>1938.74</v>
      </c>
      <c r="D1016" s="16" t="n">
        <v>45400</v>
      </c>
      <c r="E1016" s="19" t="n">
        <v>20.18</v>
      </c>
      <c r="G1016" s="16" t="n">
        <v>45400</v>
      </c>
      <c r="H1016" s="19" t="n">
        <v>1.99</v>
      </c>
    </row>
    <row r="1017">
      <c r="A1017" s="16" t="n">
        <v>45401</v>
      </c>
      <c r="B1017" s="19" t="n">
        <v>1980.89</v>
      </c>
      <c r="D1017" s="16" t="n">
        <v>45401</v>
      </c>
      <c r="E1017" s="19" t="n">
        <v>18.23</v>
      </c>
      <c r="G1017" s="16" t="n">
        <v>45401</v>
      </c>
      <c r="H1017" s="19" t="n">
        <v>1.92</v>
      </c>
    </row>
    <row r="1018">
      <c r="A1018" s="16" t="n">
        <v>45404</v>
      </c>
      <c r="B1018" s="19" t="n">
        <v>1983.52</v>
      </c>
      <c r="D1018" s="16" t="n">
        <v>45404</v>
      </c>
      <c r="E1018" s="19" t="n">
        <v>18.63</v>
      </c>
      <c r="G1018" s="16" t="n">
        <v>45404</v>
      </c>
      <c r="H1018" s="19" t="n">
        <v>1.89</v>
      </c>
    </row>
    <row r="1019">
      <c r="A1019" s="16" t="n">
        <v>45405</v>
      </c>
      <c r="B1019" s="19" t="n">
        <v>1991.9</v>
      </c>
      <c r="D1019" s="16" t="n">
        <v>45405</v>
      </c>
      <c r="E1019" s="19" t="n">
        <v>18.19</v>
      </c>
      <c r="G1019" s="16" t="n">
        <v>45405</v>
      </c>
      <c r="H1019" s="19" t="n">
        <v>1.88</v>
      </c>
    </row>
    <row r="1020">
      <c r="A1020" s="16" t="n">
        <v>45406</v>
      </c>
      <c r="B1020" s="19" t="n">
        <v>1992.18</v>
      </c>
      <c r="D1020" s="16" t="n">
        <v>45406</v>
      </c>
      <c r="E1020" s="19" t="n">
        <v>17.62</v>
      </c>
      <c r="G1020" s="16" t="n">
        <v>45406</v>
      </c>
      <c r="H1020" s="19" t="n">
        <v>1.87</v>
      </c>
    </row>
    <row r="1021">
      <c r="A1021" s="16" t="n">
        <v>45407</v>
      </c>
      <c r="B1021" s="19" t="n">
        <v>2017.36</v>
      </c>
      <c r="D1021" s="16" t="n">
        <v>45407</v>
      </c>
      <c r="E1021" s="19" t="n">
        <v>16.12</v>
      </c>
      <c r="G1021" s="16" t="n">
        <v>45407</v>
      </c>
      <c r="H1021" s="19" t="n">
        <v>1.86</v>
      </c>
    </row>
    <row r="1022">
      <c r="A1022" s="16" t="n">
        <v>45408</v>
      </c>
      <c r="B1022" s="19" t="n">
        <v>2013.37</v>
      </c>
      <c r="D1022" s="16" t="n">
        <v>45408</v>
      </c>
      <c r="E1022" s="19" t="n">
        <v>15.61</v>
      </c>
      <c r="G1022" s="16" t="n">
        <v>45408</v>
      </c>
      <c r="H1022" s="19" t="n">
        <v>1.85</v>
      </c>
    </row>
    <row r="1023">
      <c r="A1023" s="16" t="n">
        <v>45411</v>
      </c>
      <c r="B1023" s="19" t="n">
        <v>2009.47</v>
      </c>
      <c r="D1023" s="16" t="n">
        <v>45411</v>
      </c>
      <c r="E1023" s="19" t="n">
        <v>16.14</v>
      </c>
      <c r="G1023" s="16" t="n">
        <v>45411</v>
      </c>
      <c r="H1023" s="19" t="n">
        <v>1.85</v>
      </c>
    </row>
    <row r="1024">
      <c r="A1024" s="16" t="n">
        <v>45412</v>
      </c>
      <c r="B1024" s="19" t="n">
        <v>2040.43</v>
      </c>
      <c r="D1024" s="16" t="n">
        <v>45412</v>
      </c>
      <c r="E1024" s="19" t="n">
        <v>15.14</v>
      </c>
      <c r="G1024" s="16" t="n">
        <v>45412</v>
      </c>
      <c r="H1024" s="19" t="n">
        <v>1.83</v>
      </c>
    </row>
    <row r="1025">
      <c r="A1025" s="16" t="n">
        <v>45413</v>
      </c>
      <c r="B1025" s="19" t="n">
        <v>2003.35</v>
      </c>
      <c r="D1025" s="16" t="n">
        <v>45413</v>
      </c>
      <c r="E1025" s="19" t="n">
        <v>16.62</v>
      </c>
      <c r="G1025" s="16" t="n">
        <v>45413</v>
      </c>
      <c r="H1025" s="19" t="n">
        <v>1.89</v>
      </c>
    </row>
    <row r="1026">
      <c r="A1026" s="16" t="n">
        <v>45414</v>
      </c>
      <c r="B1026" s="19" t="n">
        <v>2026.43</v>
      </c>
      <c r="D1026" s="16" t="n">
        <v>45414</v>
      </c>
      <c r="E1026" s="19" t="n">
        <v>15.48</v>
      </c>
      <c r="G1026" s="16" t="n">
        <v>45414</v>
      </c>
      <c r="H1026" s="19" t="n">
        <v>1.84</v>
      </c>
    </row>
    <row r="1027">
      <c r="A1027" s="16" t="n">
        <v>45415</v>
      </c>
      <c r="B1027" s="19" t="n">
        <v>2068.48</v>
      </c>
      <c r="D1027" s="16" t="n">
        <v>45415</v>
      </c>
      <c r="E1027" s="19" t="n">
        <v>13.74</v>
      </c>
      <c r="G1027" s="16" t="n">
        <v>45415</v>
      </c>
      <c r="H1027" s="19" t="n">
        <v>1.78</v>
      </c>
    </row>
    <row r="1028">
      <c r="A1028" s="16" t="n">
        <v>45418</v>
      </c>
      <c r="B1028" s="19" t="n">
        <v>2106.4</v>
      </c>
      <c r="D1028" s="16" t="n">
        <v>45418</v>
      </c>
      <c r="E1028" s="19" t="n">
        <v>11.82</v>
      </c>
      <c r="G1028" s="16" t="n">
        <v>45418</v>
      </c>
      <c r="H1028" s="19" t="n">
        <v>1.72</v>
      </c>
    </row>
    <row r="1029">
      <c r="A1029" s="16" t="n">
        <v>45419</v>
      </c>
      <c r="B1029" s="19" t="n">
        <v>2127.8</v>
      </c>
      <c r="D1029" s="16" t="n">
        <v>45419</v>
      </c>
      <c r="E1029" s="19" t="n">
        <v>12.03</v>
      </c>
      <c r="G1029" s="16" t="n">
        <v>45419</v>
      </c>
      <c r="H1029" s="19" t="n">
        <v>1.7</v>
      </c>
    </row>
    <row r="1030">
      <c r="A1030" s="16" t="n">
        <v>45420</v>
      </c>
      <c r="B1030" s="19" t="n">
        <v>2140.22</v>
      </c>
      <c r="D1030" s="16" t="n">
        <v>45420</v>
      </c>
      <c r="E1030" s="19" t="n">
        <v>13.05</v>
      </c>
      <c r="G1030" s="16" t="n">
        <v>45420</v>
      </c>
      <c r="H1030" s="19" t="n">
        <v>1.69</v>
      </c>
    </row>
    <row r="1031">
      <c r="A1031" s="16" t="n">
        <v>45421</v>
      </c>
      <c r="B1031" s="19" t="n">
        <v>2167.76</v>
      </c>
      <c r="D1031" s="16" t="n">
        <v>45421</v>
      </c>
      <c r="E1031" s="19" t="n">
        <v>12.49</v>
      </c>
      <c r="G1031" s="16" t="n">
        <v>45421</v>
      </c>
      <c r="H1031" s="19" t="n">
        <v>1.69</v>
      </c>
    </row>
    <row r="1032">
      <c r="A1032" s="16" t="n">
        <v>45422</v>
      </c>
      <c r="B1032" s="19" t="n">
        <v>2138.9</v>
      </c>
      <c r="D1032" s="16" t="n">
        <v>45422</v>
      </c>
      <c r="E1032" s="19" t="n">
        <v>14.27</v>
      </c>
      <c r="G1032" s="16" t="n">
        <v>45422</v>
      </c>
      <c r="H1032" s="19" t="n">
        <v>1.73</v>
      </c>
    </row>
    <row r="1033">
      <c r="A1033" s="16" t="n">
        <v>45425</v>
      </c>
      <c r="B1033" s="19" t="n">
        <v>2139.43</v>
      </c>
      <c r="D1033" s="16" t="n">
        <v>45425</v>
      </c>
      <c r="E1033" s="19" t="n">
        <v>14.76</v>
      </c>
      <c r="G1033" s="16" t="n">
        <v>45425</v>
      </c>
      <c r="H1033" s="19" t="n">
        <v>1.66</v>
      </c>
    </row>
    <row r="1034">
      <c r="A1034" s="16" t="n">
        <v>45426</v>
      </c>
      <c r="B1034" s="19" t="n">
        <v>2138.02</v>
      </c>
      <c r="D1034" s="16" t="n">
        <v>45426</v>
      </c>
      <c r="E1034" s="19" t="n">
        <v>15.19</v>
      </c>
      <c r="G1034" s="16" t="n">
        <v>45426</v>
      </c>
      <c r="H1034" s="19" t="n">
        <v>1.65</v>
      </c>
    </row>
    <row r="1035">
      <c r="A1035" s="16" t="n">
        <v>45427</v>
      </c>
      <c r="B1035" s="19" t="n">
        <v>2191.32</v>
      </c>
      <c r="D1035" s="16" t="n">
        <v>45427</v>
      </c>
      <c r="E1035" s="19" t="n">
        <v>12.66</v>
      </c>
      <c r="G1035" s="16" t="n">
        <v>45427</v>
      </c>
      <c r="H1035" s="19" t="n">
        <v>1.62</v>
      </c>
    </row>
    <row r="1036">
      <c r="A1036" s="16" t="n">
        <v>45428</v>
      </c>
      <c r="B1036" s="19" t="n">
        <v>2216.42</v>
      </c>
      <c r="D1036" s="16" t="n">
        <v>45428</v>
      </c>
      <c r="E1036" s="19" t="n">
        <v>12.55</v>
      </c>
      <c r="G1036" s="16" t="n">
        <v>45428</v>
      </c>
      <c r="H1036" s="19" t="n">
        <v>1.6</v>
      </c>
    </row>
    <row r="1037">
      <c r="A1037" s="16" t="n">
        <v>45429</v>
      </c>
      <c r="B1037" s="19" t="n">
        <v>2173.55</v>
      </c>
      <c r="D1037" s="16" t="n">
        <v>45429</v>
      </c>
      <c r="E1037" s="19" t="n">
        <v>12.75</v>
      </c>
      <c r="G1037" s="16" t="n">
        <v>45429</v>
      </c>
      <c r="H1037" s="19" t="n">
        <v>1.63</v>
      </c>
    </row>
    <row r="1038">
      <c r="A1038" s="16" t="n">
        <v>45432</v>
      </c>
      <c r="B1038" s="19" t="n">
        <v>2203.67</v>
      </c>
      <c r="D1038" s="16" t="n">
        <v>45432</v>
      </c>
      <c r="E1038" s="19" t="n">
        <v>10.91</v>
      </c>
      <c r="G1038" s="16" t="n">
        <v>45432</v>
      </c>
      <c r="H1038" s="19" t="n">
        <v>1.57</v>
      </c>
    </row>
    <row r="1039">
      <c r="A1039" s="16" t="n">
        <v>45433</v>
      </c>
      <c r="B1039" s="19" t="n">
        <v>2151.3</v>
      </c>
      <c r="D1039" s="16" t="n">
        <v>45433</v>
      </c>
      <c r="E1039" s="19" t="n">
        <v>12.79</v>
      </c>
      <c r="G1039" s="16" t="n">
        <v>45433</v>
      </c>
      <c r="H1039" s="19" t="n">
        <v>1.6</v>
      </c>
    </row>
    <row r="1040">
      <c r="A1040" s="16" t="n">
        <v>45434</v>
      </c>
      <c r="B1040" s="19" t="n">
        <v>2150.87</v>
      </c>
      <c r="D1040" s="16" t="n">
        <v>45434</v>
      </c>
      <c r="E1040" s="19" t="n">
        <v>13.61</v>
      </c>
      <c r="G1040" s="16" t="n">
        <v>45434</v>
      </c>
      <c r="H1040" s="19" t="n">
        <v>1.65</v>
      </c>
    </row>
    <row r="1041">
      <c r="A1041" s="16" t="n">
        <v>45435</v>
      </c>
      <c r="B1041" s="19" t="n">
        <v>2152.34</v>
      </c>
      <c r="D1041" s="16" t="n">
        <v>45435</v>
      </c>
      <c r="E1041" s="19" t="n">
        <v>12.06</v>
      </c>
      <c r="G1041" s="16" t="n">
        <v>45435</v>
      </c>
      <c r="H1041" s="19" t="n">
        <v>1.64</v>
      </c>
    </row>
    <row r="1042">
      <c r="A1042" s="16" t="n">
        <v>45436</v>
      </c>
      <c r="B1042" s="19" t="n">
        <v>2182.66</v>
      </c>
      <c r="D1042" s="16" t="n">
        <v>45436</v>
      </c>
      <c r="E1042" s="19" t="n">
        <v>10.28</v>
      </c>
      <c r="G1042" s="16" t="n">
        <v>45436</v>
      </c>
      <c r="H1042" s="19" t="n">
        <v>1.59</v>
      </c>
    </row>
    <row r="1043">
      <c r="A1043" s="16" t="n">
        <v>45439</v>
      </c>
      <c r="B1043" s="19" t="n">
        <v>2201.64</v>
      </c>
      <c r="D1043" s="16" t="n">
        <v>45439</v>
      </c>
      <c r="E1043" s="19" t="n">
        <v>9.99</v>
      </c>
      <c r="G1043" s="16" t="n">
        <v>45439</v>
      </c>
      <c r="H1043" s="19" t="n">
        <v>1.57</v>
      </c>
    </row>
    <row r="1044">
      <c r="A1044" s="16" t="n">
        <v>45440</v>
      </c>
      <c r="B1044" s="19" t="n">
        <v>2165.11</v>
      </c>
      <c r="D1044" s="16" t="n">
        <v>45440</v>
      </c>
      <c r="E1044" s="19" t="n">
        <v>11.19</v>
      </c>
      <c r="G1044" s="16" t="n">
        <v>45440</v>
      </c>
      <c r="H1044" s="19" t="n">
        <v>1.6</v>
      </c>
    </row>
    <row r="1045">
      <c r="A1045" s="16" t="n">
        <v>45441</v>
      </c>
      <c r="B1045" s="19" t="n">
        <v>2190.8</v>
      </c>
      <c r="D1045" s="16" t="n">
        <v>45441</v>
      </c>
      <c r="E1045" s="19" t="n">
        <v>9.59</v>
      </c>
      <c r="G1045" s="16" t="n">
        <v>45441</v>
      </c>
      <c r="H1045" s="19" t="n">
        <v>1.62</v>
      </c>
    </row>
    <row r="1046">
      <c r="A1046" s="16" t="n">
        <v>45442</v>
      </c>
      <c r="B1046" s="19" t="n">
        <v>2172.31</v>
      </c>
      <c r="D1046" s="16" t="n">
        <v>45442</v>
      </c>
      <c r="E1046" s="19" t="n">
        <v>10.7</v>
      </c>
      <c r="G1046" s="16" t="n">
        <v>45442</v>
      </c>
      <c r="H1046" s="19" t="n">
        <v>1.65</v>
      </c>
    </row>
    <row r="1047">
      <c r="A1047" s="16" t="n">
        <v>45443</v>
      </c>
      <c r="B1047" s="19" t="n">
        <v>2159.14</v>
      </c>
      <c r="D1047" s="16" t="n">
        <v>45443</v>
      </c>
      <c r="E1047" s="19" t="n">
        <v>12.4</v>
      </c>
      <c r="G1047" s="16" t="n">
        <v>45443</v>
      </c>
      <c r="H1047" s="19" t="n">
        <v>1.69</v>
      </c>
    </row>
    <row r="1048">
      <c r="A1048" s="16" t="n">
        <v>45446</v>
      </c>
      <c r="B1048" s="19" t="n">
        <v>2138.8</v>
      </c>
      <c r="D1048" s="16" t="n">
        <v>45446</v>
      </c>
      <c r="E1048" s="19" t="n">
        <v>13.12</v>
      </c>
      <c r="G1048" s="16" t="n">
        <v>45446</v>
      </c>
      <c r="H1048" s="19" t="n">
        <v>1.73</v>
      </c>
    </row>
    <row r="1049">
      <c r="A1049" s="16" t="n">
        <v>45447</v>
      </c>
      <c r="B1049" s="19" t="n">
        <v>2102.34</v>
      </c>
      <c r="D1049" s="16" t="n">
        <v>45447</v>
      </c>
      <c r="E1049" s="19" t="n">
        <v>15.62</v>
      </c>
      <c r="G1049" s="16" t="n">
        <v>45447</v>
      </c>
      <c r="H1049" s="19" t="n">
        <v>1.75</v>
      </c>
    </row>
    <row r="1050">
      <c r="A1050" s="16" t="n">
        <v>45448</v>
      </c>
      <c r="B1050" s="19" t="n">
        <v>2094.53</v>
      </c>
      <c r="D1050" s="16" t="n">
        <v>45448</v>
      </c>
      <c r="E1050" s="19" t="n">
        <v>16.01</v>
      </c>
      <c r="G1050" s="16" t="n">
        <v>45448</v>
      </c>
      <c r="H1050" s="19" t="n">
        <v>1.75</v>
      </c>
    </row>
    <row r="1051">
      <c r="A1051" s="16" t="n">
        <v>45449</v>
      </c>
      <c r="B1051" s="19" t="n">
        <v>2111.66</v>
      </c>
      <c r="D1051" s="16" t="n">
        <v>45449</v>
      </c>
      <c r="E1051" s="19" t="n">
        <v>14.53</v>
      </c>
      <c r="G1051" s="16" t="n">
        <v>45449</v>
      </c>
      <c r="H1051" s="19" t="n">
        <v>1.71</v>
      </c>
    </row>
    <row r="1052">
      <c r="A1052" s="16" t="n">
        <v>45450</v>
      </c>
      <c r="B1052" s="19" t="n">
        <v>2090.72</v>
      </c>
      <c r="D1052" s="16" t="n">
        <v>45450</v>
      </c>
      <c r="E1052" s="19" t="n">
        <v>14.96</v>
      </c>
      <c r="G1052" s="16" t="n">
        <v>45450</v>
      </c>
      <c r="H1052" s="19" t="n">
        <v>1.73</v>
      </c>
    </row>
    <row r="1053">
      <c r="A1053" s="16" t="n">
        <v>45453</v>
      </c>
      <c r="B1053" s="19" t="n">
        <v>2094.37</v>
      </c>
      <c r="D1053" s="16" t="n">
        <v>45453</v>
      </c>
      <c r="E1053" s="19" t="n">
        <v>15.08</v>
      </c>
      <c r="G1053" s="16" t="n">
        <v>45453</v>
      </c>
      <c r="H1053" s="19" t="n">
        <v>1.69</v>
      </c>
    </row>
    <row r="1054">
      <c r="A1054" s="16" t="n">
        <v>45454</v>
      </c>
      <c r="B1054" s="19" t="n">
        <v>2104.49</v>
      </c>
      <c r="D1054" s="16" t="n">
        <v>45454</v>
      </c>
      <c r="E1054" s="19" t="n">
        <v>14.35</v>
      </c>
      <c r="G1054" s="16" t="n">
        <v>45454</v>
      </c>
      <c r="H1054" s="19" t="n">
        <v>1.68</v>
      </c>
    </row>
    <row r="1055">
      <c r="A1055" s="16" t="n">
        <v>45455</v>
      </c>
      <c r="B1055" s="19" t="n">
        <v>2138.26</v>
      </c>
      <c r="D1055" s="16" t="n">
        <v>45455</v>
      </c>
      <c r="E1055" s="19" t="n">
        <v>12.48</v>
      </c>
      <c r="G1055" s="16" t="n">
        <v>45455</v>
      </c>
      <c r="H1055" s="19" t="n">
        <v>1.67</v>
      </c>
    </row>
    <row r="1056">
      <c r="A1056" s="16" t="n">
        <v>45456</v>
      </c>
      <c r="B1056" s="19" t="n">
        <v>2148.95</v>
      </c>
      <c r="D1056" s="16" t="n">
        <v>45456</v>
      </c>
      <c r="E1056" s="19" t="n">
        <v>12.91</v>
      </c>
      <c r="G1056" s="16" t="n">
        <v>45456</v>
      </c>
      <c r="H1056" s="19" t="n">
        <v>1.67</v>
      </c>
    </row>
    <row r="1057">
      <c r="A1057" s="16" t="n">
        <v>45457</v>
      </c>
      <c r="B1057" s="19" t="n">
        <v>2187.4</v>
      </c>
      <c r="D1057" s="16" t="n">
        <v>45457</v>
      </c>
      <c r="E1057" s="19" t="n">
        <v>11.93</v>
      </c>
      <c r="G1057" s="16" t="n">
        <v>45457</v>
      </c>
      <c r="H1057" s="19" t="n">
        <v>1.64</v>
      </c>
    </row>
    <row r="1058">
      <c r="A1058" s="16" t="n">
        <v>45460</v>
      </c>
      <c r="B1058" s="19" t="n">
        <v>2176.31</v>
      </c>
      <c r="D1058" s="16" t="n">
        <v>45460</v>
      </c>
      <c r="E1058" s="19" t="n">
        <v>12.81</v>
      </c>
      <c r="G1058" s="16" t="n">
        <v>45460</v>
      </c>
      <c r="H1058" s="19" t="n">
        <v>1.66</v>
      </c>
    </row>
    <row r="1059">
      <c r="A1059" s="16" t="n">
        <v>45461</v>
      </c>
      <c r="B1059" s="19" t="n">
        <v>2179.09</v>
      </c>
      <c r="D1059" s="16" t="n">
        <v>45461</v>
      </c>
      <c r="E1059" s="19" t="n">
        <v>13.06</v>
      </c>
      <c r="G1059" s="16" t="n">
        <v>45461</v>
      </c>
      <c r="H1059" s="19" t="n">
        <v>1.69</v>
      </c>
    </row>
    <row r="1060">
      <c r="A1060" s="16" t="n">
        <v>45462</v>
      </c>
      <c r="B1060" s="19" t="n">
        <v>2163.17</v>
      </c>
      <c r="D1060" s="16" t="n">
        <v>45462</v>
      </c>
      <c r="E1060" s="19" t="n">
        <v>13.21</v>
      </c>
      <c r="G1060" s="16" t="n">
        <v>45462</v>
      </c>
      <c r="H1060" s="19" t="n">
        <v>1.71</v>
      </c>
    </row>
    <row r="1061">
      <c r="A1061" s="16" t="n">
        <v>45463</v>
      </c>
      <c r="B1061" s="19" t="n">
        <v>2154.63</v>
      </c>
      <c r="D1061" s="16" t="n">
        <v>45463</v>
      </c>
      <c r="E1061" s="19" t="n">
        <v>13.21</v>
      </c>
      <c r="G1061" s="16" t="n">
        <v>45463</v>
      </c>
      <c r="H1061" s="19" t="n">
        <v>1.72</v>
      </c>
    </row>
    <row r="1062">
      <c r="A1062" s="16" t="n">
        <v>45464</v>
      </c>
      <c r="B1062" s="19" t="n">
        <v>2195.88</v>
      </c>
      <c r="D1062" s="16" t="n">
        <v>45464</v>
      </c>
      <c r="E1062" s="19" t="n">
        <v>11.94</v>
      </c>
      <c r="G1062" s="16" t="n">
        <v>45464</v>
      </c>
      <c r="H1062" s="19" t="n">
        <v>1.65</v>
      </c>
    </row>
    <row r="1063">
      <c r="A1063" s="16" t="n">
        <v>45467</v>
      </c>
      <c r="B1063" s="19" t="n">
        <v>2205.3</v>
      </c>
      <c r="D1063" s="16" t="n">
        <v>45467</v>
      </c>
      <c r="E1063" s="19" t="n">
        <v>11.88</v>
      </c>
      <c r="G1063" s="16" t="n">
        <v>45467</v>
      </c>
      <c r="H1063" s="19" t="n">
        <v>1.62</v>
      </c>
    </row>
    <row r="1064">
      <c r="A1064" s="16" t="n">
        <v>45468</v>
      </c>
      <c r="B1064" s="19" t="n">
        <v>2230.17</v>
      </c>
      <c r="D1064" s="16" t="n">
        <v>45468</v>
      </c>
      <c r="E1064" s="19" t="n">
        <v>10.44</v>
      </c>
      <c r="G1064" s="16" t="n">
        <v>45468</v>
      </c>
      <c r="H1064" s="19" t="n">
        <v>1.6</v>
      </c>
    </row>
    <row r="1065">
      <c r="A1065" s="16" t="n">
        <v>45469</v>
      </c>
      <c r="B1065" s="19" t="n">
        <v>2221.89</v>
      </c>
      <c r="D1065" s="16" t="n">
        <v>45469</v>
      </c>
      <c r="E1065" s="19" t="n">
        <v>11.68</v>
      </c>
      <c r="G1065" s="16" t="n">
        <v>45469</v>
      </c>
      <c r="H1065" s="19" t="n">
        <v>1.62</v>
      </c>
    </row>
    <row r="1066">
      <c r="A1066" s="16" t="n">
        <v>45470</v>
      </c>
      <c r="B1066" s="19" t="n">
        <v>2208.58</v>
      </c>
      <c r="D1066" s="16" t="n">
        <v>45470</v>
      </c>
      <c r="E1066" s="19" t="n">
        <v>12.73</v>
      </c>
      <c r="G1066" s="16" t="n">
        <v>45470</v>
      </c>
      <c r="H1066" s="19" t="n">
        <v>1.6</v>
      </c>
    </row>
    <row r="1067">
      <c r="A1067" s="16" t="n">
        <v>45471</v>
      </c>
      <c r="B1067" s="19" t="n">
        <v>2181.52</v>
      </c>
      <c r="D1067" s="16" t="n">
        <v>45471</v>
      </c>
      <c r="E1067" s="19" t="n">
        <v>13.4</v>
      </c>
      <c r="G1067" s="16" t="n">
        <v>45471</v>
      </c>
      <c r="H1067" s="19" t="n">
        <v>1.64</v>
      </c>
    </row>
    <row r="1068">
      <c r="A1068" s="16" t="n">
        <v>45474</v>
      </c>
      <c r="B1068" s="19" t="n">
        <v>2187.75</v>
      </c>
      <c r="D1068" s="16" t="n">
        <v>45474</v>
      </c>
      <c r="E1068" s="19" t="n">
        <v>13.21</v>
      </c>
      <c r="G1068" s="16" t="n">
        <v>45474</v>
      </c>
      <c r="H1068" s="19" t="n">
        <v>1.6</v>
      </c>
    </row>
    <row r="1069">
      <c r="A1069" s="16" t="n">
        <v>45475</v>
      </c>
      <c r="B1069" s="19" t="n">
        <v>2232.63</v>
      </c>
      <c r="D1069" s="16" t="n">
        <v>45475</v>
      </c>
      <c r="E1069" s="19" t="n">
        <v>11.98</v>
      </c>
      <c r="G1069" s="16" t="n">
        <v>45475</v>
      </c>
      <c r="H1069" s="19" t="n">
        <v>1.57</v>
      </c>
    </row>
    <row r="1070">
      <c r="A1070" s="16" t="n">
        <v>45476</v>
      </c>
      <c r="B1070" s="19" t="n">
        <v>2301.94</v>
      </c>
      <c r="D1070" s="16" t="n">
        <v>45476</v>
      </c>
      <c r="E1070" s="19" t="n">
        <v>9.5</v>
      </c>
      <c r="G1070" s="16" t="n">
        <v>45476</v>
      </c>
      <c r="H1070" s="19" t="n">
        <v>1.48</v>
      </c>
    </row>
    <row r="1071">
      <c r="A1071" s="16" t="n">
        <v>45477</v>
      </c>
      <c r="B1071" s="19" t="inlineStr">
        <is>
          <t>.</t>
        </is>
      </c>
      <c r="D1071" s="16" t="n">
        <v>45477</v>
      </c>
      <c r="E1071" s="19" t="inlineStr"/>
      <c r="G1071" s="16" t="n">
        <v>45477</v>
      </c>
      <c r="H1071" s="19" t="inlineStr">
        <is>
          <t>.</t>
        </is>
      </c>
    </row>
    <row r="1072">
      <c r="A1072" s="16" t="n">
        <v>45478</v>
      </c>
      <c r="B1072" s="19" t="n">
        <v>2348.2</v>
      </c>
      <c r="D1072" s="16" t="n">
        <v>45478</v>
      </c>
      <c r="E1072" s="19" t="n">
        <v>9.98</v>
      </c>
      <c r="G1072" s="16" t="n">
        <v>45478</v>
      </c>
      <c r="H1072" s="19" t="n">
        <v>1.48</v>
      </c>
    </row>
    <row r="1073">
      <c r="A1073" s="16" t="n">
        <v>45481</v>
      </c>
      <c r="B1073" s="19" t="n">
        <v>2382.18</v>
      </c>
      <c r="D1073" s="16" t="n">
        <v>45481</v>
      </c>
      <c r="E1073" s="19" t="n">
        <v>9.5</v>
      </c>
      <c r="G1073" s="16" t="n">
        <v>45481</v>
      </c>
      <c r="H1073" s="19" t="n">
        <v>1.49</v>
      </c>
    </row>
    <row r="1074">
      <c r="A1074" s="16" t="n">
        <v>45482</v>
      </c>
      <c r="B1074" s="19" t="n">
        <v>2420.4</v>
      </c>
      <c r="D1074" s="16" t="n">
        <v>45482</v>
      </c>
      <c r="E1074" s="19" t="n">
        <v>9.5</v>
      </c>
      <c r="G1074" s="16" t="n">
        <v>45482</v>
      </c>
      <c r="H1074" s="19" t="n">
        <v>1.48</v>
      </c>
    </row>
    <row r="1075">
      <c r="A1075" s="16" t="n">
        <v>45483</v>
      </c>
      <c r="B1075" s="19" t="n">
        <v>2434.43</v>
      </c>
      <c r="D1075" s="16" t="n">
        <v>45483</v>
      </c>
      <c r="E1075" s="19" t="n">
        <v>9.5</v>
      </c>
      <c r="G1075" s="16" t="n">
        <v>45483</v>
      </c>
      <c r="H1075" s="19" t="n">
        <v>1.48</v>
      </c>
    </row>
    <row r="1076">
      <c r="A1076" s="16" t="n">
        <v>45484</v>
      </c>
      <c r="B1076" s="19" t="n">
        <v>2389.85</v>
      </c>
      <c r="D1076" s="16" t="n">
        <v>45484</v>
      </c>
      <c r="E1076" s="19" t="n">
        <v>10.76</v>
      </c>
      <c r="G1076" s="16" t="n">
        <v>45484</v>
      </c>
      <c r="H1076" s="19" t="n">
        <v>1.52</v>
      </c>
    </row>
    <row r="1077">
      <c r="A1077" s="16" t="n">
        <v>45485</v>
      </c>
      <c r="B1077" s="19" t="n">
        <v>2356.14</v>
      </c>
      <c r="D1077" s="16" t="n">
        <v>45485</v>
      </c>
      <c r="E1077" s="19" t="n">
        <v>12.07</v>
      </c>
      <c r="G1077" s="16" t="n">
        <v>45485</v>
      </c>
      <c r="H1077" s="19" t="n">
        <v>1.53</v>
      </c>
    </row>
    <row r="1078">
      <c r="A1078" s="16" t="n">
        <v>45488</v>
      </c>
      <c r="B1078" s="19" t="n">
        <v>2368.12</v>
      </c>
      <c r="D1078" s="16" t="n">
        <v>45488</v>
      </c>
      <c r="E1078" s="19" t="n">
        <v>11.25</v>
      </c>
      <c r="G1078" s="16" t="n">
        <v>45488</v>
      </c>
      <c r="H1078" s="19" t="n">
        <v>1.52</v>
      </c>
    </row>
    <row r="1079">
      <c r="A1079" s="16" t="n">
        <v>45489</v>
      </c>
      <c r="B1079" s="19" t="n">
        <v>2375.3</v>
      </c>
      <c r="D1079" s="16" t="n">
        <v>45489</v>
      </c>
      <c r="E1079" s="19" t="n">
        <v>11.77</v>
      </c>
      <c r="G1079" s="16" t="n">
        <v>45489</v>
      </c>
      <c r="H1079" s="19" t="n">
        <v>1.54</v>
      </c>
    </row>
    <row r="1080">
      <c r="A1080" s="16" t="n">
        <v>45490</v>
      </c>
      <c r="B1080" s="19" t="n">
        <v>2412.87</v>
      </c>
      <c r="D1080" s="16" t="n">
        <v>45490</v>
      </c>
      <c r="E1080" s="19" t="n">
        <v>11.17</v>
      </c>
      <c r="G1080" s="16" t="n">
        <v>45490</v>
      </c>
      <c r="H1080" s="19" t="n">
        <v>1.51</v>
      </c>
    </row>
    <row r="1081">
      <c r="A1081" s="16" t="n">
        <v>45491</v>
      </c>
      <c r="B1081" s="19" t="n">
        <v>2372.84</v>
      </c>
      <c r="D1081" s="16" t="n">
        <v>45491</v>
      </c>
      <c r="E1081" s="19" t="n">
        <v>12.75</v>
      </c>
      <c r="G1081" s="16" t="n">
        <v>45491</v>
      </c>
      <c r="H1081" s="19" t="n">
        <v>1.52</v>
      </c>
    </row>
    <row r="1082">
      <c r="A1082" s="16" t="n">
        <v>45492</v>
      </c>
      <c r="B1082" s="19" t="n">
        <v>2420.76</v>
      </c>
      <c r="D1082" s="16" t="n">
        <v>45492</v>
      </c>
      <c r="E1082" s="19" t="n">
        <v>11.02</v>
      </c>
      <c r="G1082" s="16" t="n">
        <v>45492</v>
      </c>
      <c r="H1082" s="19" t="n">
        <v>1.46</v>
      </c>
    </row>
    <row r="1083">
      <c r="A1083" s="16" t="n">
        <v>45495</v>
      </c>
      <c r="B1083" s="19" t="n">
        <v>2448.21</v>
      </c>
      <c r="D1083" s="16" t="n">
        <v>45495</v>
      </c>
      <c r="E1083" s="19" t="n">
        <v>10.28</v>
      </c>
      <c r="G1083" s="16" t="n">
        <v>45495</v>
      </c>
      <c r="H1083" s="19" t="n">
        <v>1.45</v>
      </c>
    </row>
    <row r="1084">
      <c r="A1084" s="16" t="n">
        <v>45496</v>
      </c>
      <c r="B1084" s="19" t="n">
        <v>2462.55</v>
      </c>
      <c r="D1084" s="16" t="n">
        <v>45496</v>
      </c>
      <c r="E1084" s="19" t="n">
        <v>10.03</v>
      </c>
      <c r="G1084" s="16" t="n">
        <v>45496</v>
      </c>
      <c r="H1084" s="19" t="n">
        <v>1.42</v>
      </c>
    </row>
    <row r="1085">
      <c r="A1085" s="16" t="n">
        <v>45497</v>
      </c>
      <c r="B1085" s="19" t="n">
        <v>2506.49</v>
      </c>
      <c r="D1085" s="16" t="n">
        <v>45497</v>
      </c>
      <c r="E1085" s="19" t="n">
        <v>9.5</v>
      </c>
      <c r="G1085" s="16" t="n">
        <v>45497</v>
      </c>
      <c r="H1085" s="19" t="n">
        <v>1.38</v>
      </c>
    </row>
    <row r="1086">
      <c r="A1086" s="16" t="n">
        <v>45498</v>
      </c>
      <c r="B1086" s="19" t="n">
        <v>2504.07</v>
      </c>
      <c r="D1086" s="16" t="n">
        <v>45498</v>
      </c>
      <c r="E1086" s="19" t="n">
        <v>10.6</v>
      </c>
      <c r="G1086" s="16" t="n">
        <v>45498</v>
      </c>
      <c r="H1086" s="19" t="n">
        <v>1.37</v>
      </c>
    </row>
    <row r="1087">
      <c r="A1087" s="16" t="n">
        <v>45499</v>
      </c>
      <c r="B1087" s="19" t="n">
        <v>2484.61</v>
      </c>
      <c r="D1087" s="16" t="n">
        <v>45499</v>
      </c>
      <c r="E1087" s="19" t="n">
        <v>11.2</v>
      </c>
      <c r="G1087" s="16" t="n">
        <v>45499</v>
      </c>
      <c r="H1087" s="19" t="n">
        <v>1.39</v>
      </c>
    </row>
    <row r="1088">
      <c r="A1088" s="16" t="n">
        <v>45502</v>
      </c>
      <c r="B1088" s="19" t="n">
        <v>2493.57</v>
      </c>
      <c r="D1088" s="16" t="n">
        <v>45502</v>
      </c>
      <c r="E1088" s="19" t="n">
        <v>11.18</v>
      </c>
      <c r="G1088" s="16" t="n">
        <v>45502</v>
      </c>
      <c r="H1088" s="19" t="n">
        <v>1.4</v>
      </c>
    </row>
    <row r="1089">
      <c r="A1089" s="16" t="n">
        <v>45503</v>
      </c>
      <c r="B1089" s="19" t="n">
        <v>2476.19</v>
      </c>
      <c r="D1089" s="16" t="n">
        <v>45503</v>
      </c>
      <c r="E1089" s="19" t="n">
        <v>11.4</v>
      </c>
      <c r="G1089" s="16" t="n">
        <v>45503</v>
      </c>
      <c r="H1089" s="19" t="n">
        <v>1.42</v>
      </c>
    </row>
    <row r="1090">
      <c r="A1090" s="16" t="n">
        <v>45504</v>
      </c>
      <c r="B1090" s="19" t="n">
        <v>2448.52</v>
      </c>
      <c r="D1090" s="16" t="n">
        <v>45504</v>
      </c>
      <c r="E1090" s="19" t="n">
        <v>12.26</v>
      </c>
      <c r="G1090" s="16" t="n">
        <v>45504</v>
      </c>
      <c r="H1090" s="19" t="n">
        <v>1.47</v>
      </c>
    </row>
    <row r="1091">
      <c r="A1091" s="16" t="n">
        <v>45505</v>
      </c>
      <c r="B1091" s="19" t="n">
        <v>2433.19</v>
      </c>
      <c r="D1091" s="16" t="n">
        <v>45505</v>
      </c>
      <c r="E1091" s="19" t="n">
        <v>13.49</v>
      </c>
      <c r="G1091" s="16" t="n">
        <v>45505</v>
      </c>
      <c r="H1091" s="19" t="n">
        <v>1.48</v>
      </c>
    </row>
    <row r="1092">
      <c r="A1092" s="16" t="n">
        <v>45506</v>
      </c>
      <c r="B1092" s="19" t="n">
        <v>2437.17</v>
      </c>
      <c r="D1092" s="16" t="n">
        <v>45506</v>
      </c>
      <c r="E1092" s="19" t="n">
        <v>13.4</v>
      </c>
      <c r="G1092" s="16" t="n">
        <v>45506</v>
      </c>
      <c r="H1092" s="19" t="n">
        <v>1.51</v>
      </c>
    </row>
    <row r="1093">
      <c r="A1093" s="16" t="n">
        <v>45509</v>
      </c>
      <c r="B1093" s="19" t="n">
        <v>2385.52</v>
      </c>
      <c r="D1093" s="16" t="n">
        <v>45509</v>
      </c>
      <c r="E1093" s="19" t="n">
        <v>15.31</v>
      </c>
      <c r="G1093" s="16" t="n">
        <v>45509</v>
      </c>
      <c r="H1093" s="19" t="n">
        <v>1.57</v>
      </c>
    </row>
    <row r="1094">
      <c r="A1094" s="16" t="n">
        <v>45510</v>
      </c>
      <c r="B1094" s="19" t="n">
        <v>2375.44</v>
      </c>
      <c r="D1094" s="16" t="n">
        <v>45510</v>
      </c>
      <c r="E1094" s="19" t="n">
        <v>16.34</v>
      </c>
      <c r="G1094" s="16" t="n">
        <v>45510</v>
      </c>
      <c r="H1094" s="19" t="n">
        <v>1.58</v>
      </c>
    </row>
    <row r="1095">
      <c r="A1095" s="16" t="n">
        <v>45511</v>
      </c>
      <c r="B1095" s="19" t="n">
        <v>2372.16</v>
      </c>
      <c r="D1095" s="16" t="n">
        <v>45511</v>
      </c>
      <c r="E1095" s="19" t="n">
        <v>16.49</v>
      </c>
      <c r="G1095" s="16" t="n">
        <v>45511</v>
      </c>
      <c r="H1095" s="19" t="n">
        <v>1.59</v>
      </c>
    </row>
    <row r="1096">
      <c r="A1096" s="16" t="n">
        <v>45512</v>
      </c>
      <c r="B1096" s="19" t="n">
        <v>2405.36</v>
      </c>
      <c r="D1096" s="16" t="n">
        <v>45512</v>
      </c>
      <c r="E1096" s="19" t="n">
        <v>15.19</v>
      </c>
      <c r="G1096" s="16" t="n">
        <v>45512</v>
      </c>
      <c r="H1096" s="19" t="n">
        <v>1.59</v>
      </c>
    </row>
    <row r="1097">
      <c r="A1097" s="16" t="n">
        <v>45513</v>
      </c>
      <c r="B1097" s="19" t="n">
        <v>2428</v>
      </c>
      <c r="D1097" s="16" t="n">
        <v>45513</v>
      </c>
      <c r="E1097" s="19" t="n">
        <v>15.08</v>
      </c>
      <c r="G1097" s="16" t="n">
        <v>45513</v>
      </c>
      <c r="H1097" s="19" t="n">
        <v>1.55</v>
      </c>
    </row>
    <row r="1098">
      <c r="A1098" s="16" t="n">
        <v>45516</v>
      </c>
      <c r="B1098" s="19" t="n">
        <v>2447.97</v>
      </c>
      <c r="D1098" s="16" t="n">
        <v>45516</v>
      </c>
      <c r="E1098" s="19" t="n">
        <v>13.82</v>
      </c>
      <c r="G1098" s="16" t="n">
        <v>45516</v>
      </c>
      <c r="H1098" s="19" t="n">
        <v>1.56</v>
      </c>
    </row>
    <row r="1099">
      <c r="A1099" s="16" t="n">
        <v>45517</v>
      </c>
      <c r="B1099" s="19" t="n">
        <v>2481.11</v>
      </c>
      <c r="D1099" s="16" t="n">
        <v>45517</v>
      </c>
      <c r="E1099" s="19" t="n">
        <v>13.04</v>
      </c>
      <c r="G1099" s="16" t="n">
        <v>45517</v>
      </c>
      <c r="H1099" s="19" t="n">
        <v>1.5</v>
      </c>
    </row>
    <row r="1100">
      <c r="A1100" s="16" t="n">
        <v>45518</v>
      </c>
      <c r="B1100" s="19" t="n">
        <v>2539.14</v>
      </c>
      <c r="D1100" s="16" t="n">
        <v>45518</v>
      </c>
      <c r="E1100" s="19" t="n">
        <v>10.24</v>
      </c>
      <c r="G1100" s="16" t="n">
        <v>45518</v>
      </c>
      <c r="H1100" s="19" t="n">
        <v>1.46</v>
      </c>
    </row>
    <row r="1101">
      <c r="A1101" s="16" t="n">
        <v>45519</v>
      </c>
      <c r="B1101" s="19" t="n">
        <v>2516.89</v>
      </c>
      <c r="D1101" s="16" t="n">
        <v>45519</v>
      </c>
      <c r="E1101" s="19" t="n">
        <v>10.85</v>
      </c>
      <c r="G1101" s="16" t="n">
        <v>45519</v>
      </c>
      <c r="H1101" s="19" t="n">
        <v>1.48</v>
      </c>
    </row>
    <row r="1102">
      <c r="A1102" s="16" t="n">
        <v>45520</v>
      </c>
      <c r="B1102" s="19" t="n">
        <v>2489.44</v>
      </c>
      <c r="D1102" s="16" t="n">
        <v>45520</v>
      </c>
      <c r="E1102" s="19" t="n">
        <v>12.22</v>
      </c>
      <c r="G1102" s="16" t="n">
        <v>45520</v>
      </c>
      <c r="H1102" s="19" t="n">
        <v>1.48</v>
      </c>
    </row>
    <row r="1103">
      <c r="A1103" s="16" t="n">
        <v>45523</v>
      </c>
      <c r="B1103" s="19" t="n">
        <v>2493.45</v>
      </c>
      <c r="D1103" s="16" t="n">
        <v>45523</v>
      </c>
      <c r="E1103" s="19" t="n">
        <v>12.87</v>
      </c>
      <c r="G1103" s="16" t="n">
        <v>45523</v>
      </c>
      <c r="H1103" s="19" t="n">
        <v>1.52</v>
      </c>
    </row>
    <row r="1104">
      <c r="A1104" s="16" t="n">
        <v>45524</v>
      </c>
      <c r="B1104" s="19" t="n">
        <v>2515.92</v>
      </c>
      <c r="D1104" s="16" t="n">
        <v>45524</v>
      </c>
      <c r="E1104" s="19" t="n">
        <v>12.66</v>
      </c>
      <c r="G1104" s="16" t="n">
        <v>45524</v>
      </c>
      <c r="H1104" s="19" t="n">
        <v>1.53</v>
      </c>
    </row>
    <row r="1105">
      <c r="A1105" s="16" t="n">
        <v>45525</v>
      </c>
      <c r="B1105" s="19" t="n">
        <v>2520.16</v>
      </c>
      <c r="D1105" s="16" t="n">
        <v>45525</v>
      </c>
      <c r="E1105" s="19" t="n">
        <v>12.74</v>
      </c>
      <c r="G1105" s="16" t="n">
        <v>45525</v>
      </c>
      <c r="H1105" s="19" t="n">
        <v>1.55</v>
      </c>
    </row>
    <row r="1106">
      <c r="A1106" s="16" t="n">
        <v>45526</v>
      </c>
      <c r="B1106" s="19" t="n">
        <v>2481.85</v>
      </c>
      <c r="D1106" s="16" t="n">
        <v>45526</v>
      </c>
      <c r="E1106" s="19" t="n">
        <v>13.81</v>
      </c>
      <c r="G1106" s="16" t="n">
        <v>45526</v>
      </c>
      <c r="H1106" s="19" t="n">
        <v>1.56</v>
      </c>
    </row>
    <row r="1107">
      <c r="A1107" s="16" t="n">
        <v>45527</v>
      </c>
      <c r="B1107" s="19" t="n">
        <v>2445.59</v>
      </c>
      <c r="D1107" s="16" t="n">
        <v>45527</v>
      </c>
      <c r="E1107" s="19" t="n">
        <v>15.57</v>
      </c>
      <c r="G1107" s="16" t="n">
        <v>45527</v>
      </c>
      <c r="H1107" s="19" t="n">
        <v>1.57</v>
      </c>
    </row>
    <row r="1108">
      <c r="A1108" s="16" t="n">
        <v>45530</v>
      </c>
      <c r="B1108" s="19" t="n">
        <v>2465.67</v>
      </c>
      <c r="D1108" s="16" t="n">
        <v>45530</v>
      </c>
      <c r="E1108" s="19" t="n">
        <v>15.63</v>
      </c>
      <c r="G1108" s="16" t="n">
        <v>45530</v>
      </c>
      <c r="H1108" s="19" t="n">
        <v>1.55</v>
      </c>
    </row>
    <row r="1109">
      <c r="A1109" s="16" t="n">
        <v>45531</v>
      </c>
      <c r="B1109" s="19" t="n">
        <v>2494.94</v>
      </c>
      <c r="D1109" s="16" t="n">
        <v>45531</v>
      </c>
      <c r="E1109" s="19" t="n">
        <v>15.09</v>
      </c>
      <c r="G1109" s="16" t="n">
        <v>45531</v>
      </c>
      <c r="H1109" s="19" t="n">
        <v>1.54</v>
      </c>
    </row>
    <row r="1110">
      <c r="A1110" s="16" t="n">
        <v>45532</v>
      </c>
      <c r="B1110" s="19" t="n">
        <v>2548.02</v>
      </c>
      <c r="D1110" s="16" t="n">
        <v>45532</v>
      </c>
      <c r="E1110" s="19" t="n">
        <v>12.44</v>
      </c>
      <c r="G1110" s="16" t="n">
        <v>45532</v>
      </c>
      <c r="H1110" s="19" t="n">
        <v>1.5</v>
      </c>
    </row>
    <row r="1111">
      <c r="A1111" s="16" t="n">
        <v>45533</v>
      </c>
      <c r="B1111" s="19" t="n">
        <v>2574.22</v>
      </c>
      <c r="D1111" s="16" t="n">
        <v>45533</v>
      </c>
      <c r="E1111" s="19" t="n">
        <v>11.2</v>
      </c>
      <c r="G1111" s="16" t="n">
        <v>45533</v>
      </c>
      <c r="H1111" s="19" t="n">
        <v>1.45</v>
      </c>
    </row>
    <row r="1112">
      <c r="A1112" s="16" t="n">
        <v>45534</v>
      </c>
      <c r="B1112" s="19" t="n">
        <v>2528.5</v>
      </c>
      <c r="D1112" s="16" t="n">
        <v>45534</v>
      </c>
      <c r="E1112" s="19" t="n">
        <v>13.51</v>
      </c>
      <c r="G1112" s="16" t="n">
        <v>45534</v>
      </c>
      <c r="H1112" s="19" t="n">
        <v>1.51</v>
      </c>
    </row>
    <row r="1113">
      <c r="A1113" s="16" t="n">
        <v>45537</v>
      </c>
      <c r="B1113" s="19" t="n">
        <v>2511.73</v>
      </c>
      <c r="D1113" s="16" t="n">
        <v>45537</v>
      </c>
      <c r="E1113" s="19" t="n">
        <v>13.91</v>
      </c>
      <c r="G1113" s="16" t="n">
        <v>45537</v>
      </c>
      <c r="H1113" s="19" t="n">
        <v>1.52</v>
      </c>
    </row>
    <row r="1114">
      <c r="A1114" s="16" t="n">
        <v>45538</v>
      </c>
      <c r="B1114" s="19" t="n">
        <v>2539.43</v>
      </c>
      <c r="D1114" s="16" t="n">
        <v>45538</v>
      </c>
      <c r="E1114" s="19" t="n">
        <v>13.05</v>
      </c>
      <c r="G1114" s="16" t="n">
        <v>45538</v>
      </c>
      <c r="H1114" s="19" t="n">
        <v>1.44</v>
      </c>
    </row>
    <row r="1115">
      <c r="A1115" s="16" t="n">
        <v>45539</v>
      </c>
      <c r="B1115" s="19" t="n">
        <v>2561.35</v>
      </c>
      <c r="D1115" s="16" t="n">
        <v>45539</v>
      </c>
      <c r="E1115" s="19" t="n">
        <v>13.63</v>
      </c>
      <c r="G1115" s="16" t="n">
        <v>45539</v>
      </c>
      <c r="H1115" s="19" t="n">
        <v>1.43</v>
      </c>
    </row>
    <row r="1116">
      <c r="A1116" s="16" t="n">
        <v>45540</v>
      </c>
      <c r="B1116" s="19" t="n">
        <v>2547.71</v>
      </c>
      <c r="D1116" s="16" t="n">
        <v>45540</v>
      </c>
      <c r="E1116" s="19" t="n">
        <v>15.72</v>
      </c>
      <c r="G1116" s="16" t="n">
        <v>45540</v>
      </c>
      <c r="H1116" s="19" t="n">
        <v>1.42</v>
      </c>
    </row>
    <row r="1117">
      <c r="A1117" s="16" t="n">
        <v>45541</v>
      </c>
      <c r="B1117" s="19" t="n">
        <v>2563.84</v>
      </c>
      <c r="D1117" s="16" t="n">
        <v>45541</v>
      </c>
      <c r="E1117" s="19" t="n">
        <v>14.79</v>
      </c>
      <c r="G1117" s="16" t="n">
        <v>45541</v>
      </c>
      <c r="H1117" s="19" t="n">
        <v>1.39</v>
      </c>
    </row>
    <row r="1118">
      <c r="A1118" s="16" t="n">
        <v>45544</v>
      </c>
      <c r="B1118" s="19" t="n">
        <v>2566.69</v>
      </c>
      <c r="D1118" s="16" t="n">
        <v>45544</v>
      </c>
      <c r="E1118" s="19" t="n">
        <v>14.71</v>
      </c>
      <c r="G1118" s="16" t="n">
        <v>45544</v>
      </c>
      <c r="H1118" s="19" t="n">
        <v>1.39</v>
      </c>
    </row>
    <row r="1119">
      <c r="A1119" s="16" t="n">
        <v>45545</v>
      </c>
      <c r="B1119" s="19" t="n">
        <v>2561.01</v>
      </c>
      <c r="D1119" s="16" t="n">
        <v>45545</v>
      </c>
      <c r="E1119" s="19" t="n">
        <v>15.08</v>
      </c>
      <c r="G1119" s="16" t="n">
        <v>45545</v>
      </c>
      <c r="H1119" s="19" t="n">
        <v>1.39</v>
      </c>
    </row>
    <row r="1120">
      <c r="A1120" s="16" t="n">
        <v>45546</v>
      </c>
      <c r="B1120" s="19" t="n">
        <v>2543.84</v>
      </c>
      <c r="D1120" s="16" t="n">
        <v>45546</v>
      </c>
      <c r="E1120" s="19" t="n">
        <v>16.02</v>
      </c>
      <c r="G1120" s="16" t="n">
        <v>45546</v>
      </c>
      <c r="H1120" s="19" t="n">
        <v>1.38</v>
      </c>
    </row>
    <row r="1121">
      <c r="A1121" s="16" t="n">
        <v>45547</v>
      </c>
      <c r="B1121" s="19" t="n">
        <v>2559.5</v>
      </c>
      <c r="D1121" s="16" t="n">
        <v>45547</v>
      </c>
      <c r="E1121" s="19" t="n">
        <v>16.04</v>
      </c>
      <c r="G1121" s="16" t="n">
        <v>45547</v>
      </c>
      <c r="H1121" s="19" t="n">
        <v>1.39</v>
      </c>
    </row>
    <row r="1122">
      <c r="A1122" s="16" t="n">
        <v>45548</v>
      </c>
      <c r="B1122" s="19" t="n">
        <v>2585.7</v>
      </c>
      <c r="D1122" s="16" t="n">
        <v>45548</v>
      </c>
      <c r="E1122" s="19" t="n">
        <v>15.3</v>
      </c>
      <c r="G1122" s="16" t="n">
        <v>45548</v>
      </c>
      <c r="H1122" s="19" t="n">
        <v>1.4</v>
      </c>
    </row>
    <row r="1123">
      <c r="A1123" s="16" t="n">
        <v>45551</v>
      </c>
      <c r="B1123" s="19" t="n">
        <v>2607.63</v>
      </c>
      <c r="D1123" s="16" t="n">
        <v>45551</v>
      </c>
      <c r="E1123" s="19" t="n">
        <v>14.94</v>
      </c>
      <c r="G1123" s="16" t="n">
        <v>45551</v>
      </c>
      <c r="H1123" s="19" t="n">
        <v>1.37</v>
      </c>
    </row>
    <row r="1124">
      <c r="A1124" s="16" t="n">
        <v>45552</v>
      </c>
      <c r="B1124" s="19" t="n">
        <v>2593.92</v>
      </c>
      <c r="D1124" s="16" t="n">
        <v>45552</v>
      </c>
      <c r="E1124" s="19" t="n">
        <v>14.5</v>
      </c>
      <c r="G1124" s="16" t="n">
        <v>45552</v>
      </c>
      <c r="H1124" s="19" t="n">
        <v>1.39</v>
      </c>
    </row>
    <row r="1125">
      <c r="A1125" s="16" t="n">
        <v>45553</v>
      </c>
      <c r="B1125" s="19" t="n">
        <v>2591.9</v>
      </c>
      <c r="D1125" s="16" t="n">
        <v>45553</v>
      </c>
      <c r="E1125" s="19" t="n">
        <v>14.86</v>
      </c>
      <c r="G1125" s="16" t="n">
        <v>45553</v>
      </c>
      <c r="H1125" s="19" t="n">
        <v>1.41</v>
      </c>
    </row>
    <row r="1126">
      <c r="A1126" s="16" t="n">
        <v>45554</v>
      </c>
      <c r="B1126" s="19" t="n">
        <v>2570.17</v>
      </c>
      <c r="D1126" s="16" t="n">
        <v>45554</v>
      </c>
      <c r="E1126" s="19" t="n">
        <v>15.41</v>
      </c>
      <c r="G1126" s="16" t="n">
        <v>45554</v>
      </c>
      <c r="H1126" s="19" t="n">
        <v>1.4</v>
      </c>
    </row>
    <row r="1127">
      <c r="A1127" s="16" t="n">
        <v>45555</v>
      </c>
      <c r="B1127" s="19" t="n">
        <v>2558.34</v>
      </c>
      <c r="D1127" s="16" t="n">
        <v>45555</v>
      </c>
      <c r="E1127" s="19" t="n">
        <v>14.78</v>
      </c>
      <c r="G1127" s="16" t="n">
        <v>45555</v>
      </c>
      <c r="H1127" s="19" t="n">
        <v>1.45</v>
      </c>
    </row>
    <row r="1128">
      <c r="A1128" s="16" t="n">
        <v>45558</v>
      </c>
      <c r="B1128" s="19" t="n">
        <v>2537.14</v>
      </c>
      <c r="D1128" s="16" t="n">
        <v>45558</v>
      </c>
      <c r="E1128" s="19" t="n">
        <v>16.33</v>
      </c>
      <c r="G1128" s="16" t="n">
        <v>45558</v>
      </c>
      <c r="H1128" s="19" t="n">
        <v>1.5</v>
      </c>
    </row>
    <row r="1129">
      <c r="A1129" s="16" t="n">
        <v>45559</v>
      </c>
      <c r="B1129" s="19" t="n">
        <v>2524.48</v>
      </c>
      <c r="D1129" s="16" t="n">
        <v>45559</v>
      </c>
      <c r="E1129" s="19" t="n">
        <v>17.16</v>
      </c>
      <c r="G1129" s="16" t="n">
        <v>45559</v>
      </c>
      <c r="H1129" s="19" t="n">
        <v>1.51</v>
      </c>
    </row>
    <row r="1130">
      <c r="A1130" s="16" t="n">
        <v>45560</v>
      </c>
      <c r="B1130" s="19" t="n">
        <v>2544.29</v>
      </c>
      <c r="D1130" s="16" t="n">
        <v>45560</v>
      </c>
      <c r="E1130" s="19" t="n">
        <v>16.37</v>
      </c>
      <c r="G1130" s="16" t="n">
        <v>45560</v>
      </c>
      <c r="H1130" s="19" t="n">
        <v>1.5</v>
      </c>
    </row>
    <row r="1131">
      <c r="A1131" s="16" t="n">
        <v>45561</v>
      </c>
      <c r="B1131" s="19" t="n">
        <v>2572.73</v>
      </c>
      <c r="D1131" s="16" t="n">
        <v>45561</v>
      </c>
      <c r="E1131" s="19" t="n">
        <v>15.27</v>
      </c>
      <c r="G1131" s="16" t="n">
        <v>45561</v>
      </c>
      <c r="H1131" s="19" t="n">
        <v>1.54</v>
      </c>
    </row>
    <row r="1132">
      <c r="A1132" s="16" t="n">
        <v>45562</v>
      </c>
      <c r="B1132" s="19" t="n">
        <v>2568.89</v>
      </c>
      <c r="D1132" s="16" t="n">
        <v>45562</v>
      </c>
      <c r="E1132" s="19" t="n">
        <v>15.23</v>
      </c>
      <c r="G1132" s="16" t="n">
        <v>45562</v>
      </c>
      <c r="H1132" s="19" t="n">
        <v>1.52</v>
      </c>
    </row>
    <row r="1133">
      <c r="A1133" s="16" t="n">
        <v>45565</v>
      </c>
      <c r="B1133" s="19" t="n">
        <v>2569.27</v>
      </c>
      <c r="D1133" s="16" t="n">
        <v>45565</v>
      </c>
      <c r="E1133" s="19" t="n">
        <v>15.06</v>
      </c>
      <c r="G1133" s="16" t="n">
        <v>45565</v>
      </c>
      <c r="H1133" s="19" t="n">
        <v>1.55</v>
      </c>
    </row>
    <row r="1134">
      <c r="A1134" s="16" t="n">
        <v>45566</v>
      </c>
      <c r="B1134" s="19" t="n">
        <v>2580.34</v>
      </c>
      <c r="D1134" s="16" t="n">
        <v>45566</v>
      </c>
      <c r="E1134" s="19" t="n">
        <v>14.66</v>
      </c>
      <c r="G1134" s="16" t="n">
        <v>45566</v>
      </c>
      <c r="H1134" s="19" t="n">
        <v>1.55</v>
      </c>
    </row>
    <row r="1135">
      <c r="A1135" s="16" t="n">
        <v>45567</v>
      </c>
      <c r="B1135" s="19" t="n">
        <v>2602.53</v>
      </c>
      <c r="D1135" s="16" t="n">
        <v>45567</v>
      </c>
      <c r="E1135" s="19" t="n">
        <v>13.92</v>
      </c>
      <c r="G1135" s="16" t="n">
        <v>45567</v>
      </c>
      <c r="H1135" s="19" t="n">
        <v>1.53</v>
      </c>
    </row>
    <row r="1136">
      <c r="A1136" s="16" t="n">
        <v>45568</v>
      </c>
      <c r="B1136" s="19" t="n">
        <v>2591.63</v>
      </c>
      <c r="D1136" s="16" t="n">
        <v>45568</v>
      </c>
      <c r="E1136" s="19" t="n">
        <v>13.94</v>
      </c>
      <c r="G1136" s="16" t="n">
        <v>45568</v>
      </c>
      <c r="H1136" s="19" t="n">
        <v>1.55</v>
      </c>
    </row>
    <row r="1137">
      <c r="A1137" s="16" t="n">
        <v>45569</v>
      </c>
      <c r="B1137" s="19" t="n">
        <v>2564.27</v>
      </c>
      <c r="D1137" s="16" t="n">
        <v>45569</v>
      </c>
      <c r="E1137" s="19" t="n">
        <v>14.16</v>
      </c>
      <c r="G1137" s="16" t="n">
        <v>45569</v>
      </c>
      <c r="H1137" s="19" t="n">
        <v>1.58</v>
      </c>
    </row>
    <row r="1138">
      <c r="A1138" s="16" t="n">
        <v>45572</v>
      </c>
      <c r="B1138" s="19" t="n">
        <v>2589.43</v>
      </c>
      <c r="D1138" s="16" t="n">
        <v>45572</v>
      </c>
      <c r="E1138" s="19" t="n">
        <v>12.47</v>
      </c>
      <c r="G1138" s="16" t="n">
        <v>45572</v>
      </c>
      <c r="H1138" s="19" t="n">
        <v>1.55</v>
      </c>
    </row>
    <row r="1139">
      <c r="A1139" s="16" t="n">
        <v>45573</v>
      </c>
      <c r="B1139" s="19" t="n">
        <v>2589.71</v>
      </c>
      <c r="D1139" s="16" t="n">
        <v>45573</v>
      </c>
      <c r="E1139" s="19" t="n">
        <v>13.29</v>
      </c>
      <c r="G1139" s="16" t="n">
        <v>45573</v>
      </c>
      <c r="H1139" s="19" t="n">
        <v>1.57</v>
      </c>
    </row>
    <row r="1140">
      <c r="A1140" s="16" t="n">
        <v>45574</v>
      </c>
      <c r="B1140" s="19" t="n">
        <v>2595.22</v>
      </c>
      <c r="D1140" s="16" t="n">
        <v>45574</v>
      </c>
      <c r="E1140" s="19" t="n">
        <v>13.67</v>
      </c>
      <c r="G1140" s="16" t="n">
        <v>45574</v>
      </c>
      <c r="H1140" s="19" t="n">
        <v>1.53</v>
      </c>
    </row>
    <row r="1141">
      <c r="A1141" s="16" t="n">
        <v>45575</v>
      </c>
      <c r="B1141" s="19" t="n">
        <v>2540.81</v>
      </c>
      <c r="D1141" s="16" t="n">
        <v>45575</v>
      </c>
      <c r="E1141" s="19" t="n">
        <v>13.94</v>
      </c>
      <c r="G1141" s="16" t="n">
        <v>45575</v>
      </c>
      <c r="H1141" s="19" t="n">
        <v>1.58</v>
      </c>
    </row>
    <row r="1142">
      <c r="A1142" s="16" t="n">
        <v>45576</v>
      </c>
      <c r="B1142" s="19" t="n">
        <v>2536.23</v>
      </c>
      <c r="D1142" s="16" t="n">
        <v>45576</v>
      </c>
      <c r="E1142" s="19" t="n">
        <v>13.66</v>
      </c>
      <c r="G1142" s="16" t="n">
        <v>45576</v>
      </c>
      <c r="H1142" s="19" t="n">
        <v>1.56</v>
      </c>
    </row>
    <row r="1143">
      <c r="A1143" s="16" t="n">
        <v>45579</v>
      </c>
      <c r="B1143" s="19" t="n">
        <v>2558.18</v>
      </c>
      <c r="D1143" s="16" t="n">
        <v>45579</v>
      </c>
      <c r="E1143" s="19" t="n">
        <v>12.47</v>
      </c>
      <c r="G1143" s="16" t="n">
        <v>45579</v>
      </c>
      <c r="H1143" s="19" t="inlineStr">
        <is>
          <t>.</t>
        </is>
      </c>
    </row>
    <row r="1144">
      <c r="A1144" s="16" t="n">
        <v>45580</v>
      </c>
      <c r="B1144" s="19" t="n">
        <v>2525.91</v>
      </c>
      <c r="D1144" s="16" t="n">
        <v>45580</v>
      </c>
      <c r="E1144" s="19" t="n">
        <v>14.84</v>
      </c>
      <c r="G1144" s="16" t="n">
        <v>45580</v>
      </c>
      <c r="H1144" s="19" t="n">
        <v>1.58</v>
      </c>
    </row>
    <row r="1145">
      <c r="A1145" s="16" t="n">
        <v>45581</v>
      </c>
      <c r="B1145" s="19" t="n">
        <v>2495.85</v>
      </c>
      <c r="D1145" s="16" t="n">
        <v>45581</v>
      </c>
      <c r="E1145" s="19" t="n">
        <v>16.8</v>
      </c>
      <c r="G1145" s="16" t="n">
        <v>45581</v>
      </c>
      <c r="H1145" s="19" t="n">
        <v>1.59</v>
      </c>
    </row>
    <row r="1146">
      <c r="A1146" s="16" t="n">
        <v>45582</v>
      </c>
      <c r="B1146" s="19" t="n">
        <v>2502.9</v>
      </c>
      <c r="D1146" s="16" t="n">
        <v>45582</v>
      </c>
      <c r="E1146" s="19" t="n">
        <v>17.27</v>
      </c>
      <c r="G1146" s="16" t="n">
        <v>45582</v>
      </c>
      <c r="H1146" s="19" t="n">
        <v>1.62</v>
      </c>
    </row>
    <row r="1147">
      <c r="A1147" s="16" t="n">
        <v>45583</v>
      </c>
      <c r="B1147" s="19" t="n">
        <v>2492.69</v>
      </c>
      <c r="D1147" s="16" t="n">
        <v>45583</v>
      </c>
      <c r="E1147" s="19" t="n">
        <v>15.98</v>
      </c>
      <c r="G1147" s="16" t="n">
        <v>45583</v>
      </c>
      <c r="H1147" s="19" t="n">
        <v>1.64</v>
      </c>
    </row>
    <row r="1148">
      <c r="A1148" s="16" t="n">
        <v>45586</v>
      </c>
      <c r="B1148" s="19" t="n">
        <v>2474.75</v>
      </c>
      <c r="D1148" s="16" t="n">
        <v>45586</v>
      </c>
      <c r="E1148" s="19" t="n">
        <v>15.89</v>
      </c>
      <c r="G1148" s="16" t="n">
        <v>45586</v>
      </c>
      <c r="H1148" s="19" t="n">
        <v>1.64</v>
      </c>
    </row>
    <row r="1149">
      <c r="A1149" s="16" t="n">
        <v>45587</v>
      </c>
      <c r="B1149" s="19" t="n">
        <v>2465.29</v>
      </c>
      <c r="D1149" s="16" t="n">
        <v>45587</v>
      </c>
      <c r="E1149" s="19" t="n">
        <v>16.02</v>
      </c>
      <c r="G1149" s="16" t="n">
        <v>45587</v>
      </c>
      <c r="H1149" s="19" t="n">
        <v>1.63</v>
      </c>
    </row>
    <row r="1150">
      <c r="A1150" s="16" t="n">
        <v>45588</v>
      </c>
      <c r="B1150" s="19" t="n">
        <v>2428.74</v>
      </c>
      <c r="D1150" s="16" t="n">
        <v>45588</v>
      </c>
      <c r="E1150" s="19" t="n">
        <v>16.9</v>
      </c>
      <c r="G1150" s="16" t="n">
        <v>45588</v>
      </c>
      <c r="H1150" s="19" t="n">
        <v>1.67</v>
      </c>
    </row>
    <row r="1151">
      <c r="A1151" s="16" t="n">
        <v>45589</v>
      </c>
      <c r="B1151" s="19" t="n">
        <v>2487.85</v>
      </c>
      <c r="D1151" s="16" t="n">
        <v>45589</v>
      </c>
      <c r="E1151" s="19" t="n">
        <v>15.3</v>
      </c>
      <c r="G1151" s="16" t="n">
        <v>45589</v>
      </c>
      <c r="H1151" s="19" t="n">
        <v>1.62</v>
      </c>
    </row>
    <row r="1152">
      <c r="A1152" s="16" t="n">
        <v>45590</v>
      </c>
      <c r="B1152" s="19" t="n">
        <v>2486.98</v>
      </c>
      <c r="D1152" s="16" t="n">
        <v>45590</v>
      </c>
      <c r="E1152" s="19" t="n">
        <v>15.9</v>
      </c>
      <c r="G1152" s="16" t="n">
        <v>45590</v>
      </c>
      <c r="H1152" s="19" t="n">
        <v>1.61</v>
      </c>
    </row>
    <row r="1153">
      <c r="A1153" s="16" t="n">
        <v>45593</v>
      </c>
      <c r="B1153" s="19" t="n">
        <v>2455.39</v>
      </c>
      <c r="D1153" s="16" t="n">
        <v>45593</v>
      </c>
      <c r="E1153" s="19" t="n">
        <v>17.44</v>
      </c>
      <c r="G1153" s="16" t="n">
        <v>45593</v>
      </c>
      <c r="H1153" s="19" t="n">
        <v>1.64</v>
      </c>
    </row>
    <row r="1154">
      <c r="A1154" s="16" t="n">
        <v>45594</v>
      </c>
      <c r="B1154" s="19" t="n">
        <v>2446.53</v>
      </c>
      <c r="D1154" s="16" t="n">
        <v>45594</v>
      </c>
      <c r="E1154" s="19" t="n">
        <v>17.49</v>
      </c>
      <c r="G1154" s="16" t="n">
        <v>45594</v>
      </c>
      <c r="H1154" s="19" t="n">
        <v>1.69</v>
      </c>
    </row>
    <row r="1155">
      <c r="A1155" s="16" t="n">
        <v>45595</v>
      </c>
      <c r="B1155" s="19" t="n">
        <v>2435.71</v>
      </c>
      <c r="D1155" s="16" t="n">
        <v>45595</v>
      </c>
      <c r="E1155" s="19" t="n">
        <v>18.91</v>
      </c>
      <c r="G1155" s="16" t="n">
        <v>45595</v>
      </c>
      <c r="H1155" s="19" t="n">
        <v>1.7</v>
      </c>
    </row>
    <row r="1156">
      <c r="A1156" s="16" t="n">
        <v>45596</v>
      </c>
      <c r="B1156" s="19" t="n">
        <v>2439.21</v>
      </c>
      <c r="D1156" s="16" t="n">
        <v>45596</v>
      </c>
      <c r="E1156" s="19" t="n">
        <v>19.81</v>
      </c>
      <c r="G1156" s="16" t="n">
        <v>45596</v>
      </c>
      <c r="H1156" s="19" t="n">
        <v>1.72</v>
      </c>
    </row>
    <row r="1157">
      <c r="A1157" s="16" t="n">
        <v>45597</v>
      </c>
      <c r="B1157" s="19" t="n">
        <v>2436.56</v>
      </c>
      <c r="D1157" s="16" t="n">
        <v>45597</v>
      </c>
      <c r="E1157" s="19" t="n">
        <v>20.05</v>
      </c>
      <c r="G1157" s="16" t="n">
        <v>45597</v>
      </c>
      <c r="H1157" s="19" t="n">
        <v>1.74</v>
      </c>
    </row>
    <row r="1158">
      <c r="A1158" s="16" t="n">
        <v>45600</v>
      </c>
      <c r="B1158" s="19" t="n">
        <v>2429.29</v>
      </c>
      <c r="D1158" s="16" t="n">
        <v>45600</v>
      </c>
      <c r="E1158" s="19" t="n">
        <v>19.67</v>
      </c>
      <c r="G1158" s="16" t="n">
        <v>45600</v>
      </c>
      <c r="H1158" s="19" t="n">
        <v>1.77</v>
      </c>
    </row>
    <row r="1159">
      <c r="A1159" s="16" t="n">
        <v>45601</v>
      </c>
      <c r="B1159" s="19" t="n">
        <v>2427.14</v>
      </c>
      <c r="D1159" s="16" t="n">
        <v>45601</v>
      </c>
      <c r="E1159" s="19" t="n">
        <v>19.52</v>
      </c>
      <c r="G1159" s="16" t="n">
        <v>45601</v>
      </c>
      <c r="H1159" s="19" t="n">
        <v>1.77</v>
      </c>
    </row>
    <row r="1160">
      <c r="A1160" s="16" t="n">
        <v>45602</v>
      </c>
      <c r="B1160" s="19" t="n">
        <v>2454.59</v>
      </c>
      <c r="D1160" s="16" t="n">
        <v>45602</v>
      </c>
      <c r="E1160" s="19" t="n">
        <v>18.39</v>
      </c>
      <c r="G1160" s="16" t="n">
        <v>45602</v>
      </c>
      <c r="H1160" s="19" t="n">
        <v>1.71</v>
      </c>
    </row>
    <row r="1161">
      <c r="A1161" s="16" t="n">
        <v>45603</v>
      </c>
      <c r="B1161" s="19" t="n">
        <v>2464.48</v>
      </c>
      <c r="D1161" s="16" t="n">
        <v>45603</v>
      </c>
      <c r="E1161" s="19" t="n">
        <v>18.26</v>
      </c>
      <c r="G1161" s="16" t="n">
        <v>45603</v>
      </c>
      <c r="H1161" s="19" t="n">
        <v>1.74</v>
      </c>
    </row>
    <row r="1162">
      <c r="A1162" s="16" t="n">
        <v>45604</v>
      </c>
      <c r="B1162" s="19" t="n">
        <v>2436.29</v>
      </c>
      <c r="D1162" s="16" t="n">
        <v>45604</v>
      </c>
      <c r="E1162" s="19" t="n">
        <v>19.42</v>
      </c>
      <c r="G1162" s="16" t="n">
        <v>45604</v>
      </c>
      <c r="H1162" s="19" t="n">
        <v>1.8</v>
      </c>
    </row>
    <row r="1163">
      <c r="A1163" s="16" t="n">
        <v>45607</v>
      </c>
      <c r="B1163" s="19" t="n">
        <v>2425.96</v>
      </c>
      <c r="D1163" s="16" t="n">
        <v>45607</v>
      </c>
      <c r="E1163" s="19" t="n">
        <v>19.67</v>
      </c>
      <c r="G1163" s="16" t="n">
        <v>45607</v>
      </c>
      <c r="H1163" s="19" t="inlineStr">
        <is>
          <t>.</t>
        </is>
      </c>
    </row>
    <row r="1164">
      <c r="A1164" s="16" t="n">
        <v>45608</v>
      </c>
      <c r="B1164" s="19" t="n">
        <v>2473.34</v>
      </c>
      <c r="D1164" s="16" t="n">
        <v>45608</v>
      </c>
      <c r="E1164" s="19" t="n">
        <v>17.88</v>
      </c>
      <c r="G1164" s="16" t="n">
        <v>45608</v>
      </c>
      <c r="H1164" s="19" t="n">
        <v>1.76</v>
      </c>
    </row>
    <row r="1165">
      <c r="A1165" s="16" t="n">
        <v>45609</v>
      </c>
      <c r="B1165" s="19" t="n">
        <v>2468.82</v>
      </c>
      <c r="D1165" s="16" t="n">
        <v>45609</v>
      </c>
      <c r="E1165" s="19" t="n">
        <v>18.09</v>
      </c>
      <c r="G1165" s="16" t="n">
        <v>45609</v>
      </c>
      <c r="H1165" s="19" t="n">
        <v>1.74</v>
      </c>
    </row>
    <row r="1166">
      <c r="A1166" s="16" t="n">
        <v>45610</v>
      </c>
      <c r="B1166" s="19" t="n">
        <v>2478.62</v>
      </c>
      <c r="D1166" s="16" t="n">
        <v>45610</v>
      </c>
      <c r="E1166" s="19" t="n">
        <v>17.88</v>
      </c>
      <c r="G1166" s="16" t="n">
        <v>45610</v>
      </c>
      <c r="H1166" s="19" t="n">
        <v>1.73</v>
      </c>
    </row>
    <row r="1167">
      <c r="A1167" s="16" t="n">
        <v>45611</v>
      </c>
      <c r="B1167" s="19" t="n">
        <v>2481.55</v>
      </c>
      <c r="D1167" s="16" t="n">
        <v>45611</v>
      </c>
      <c r="E1167" s="19" t="n">
        <v>18.04</v>
      </c>
      <c r="G1167" s="16" t="n">
        <v>45611</v>
      </c>
      <c r="H1167" s="19" t="n">
        <v>1.75</v>
      </c>
    </row>
    <row r="1168">
      <c r="A1168" s="16" t="n">
        <v>45614</v>
      </c>
      <c r="B1168" s="19" t="n">
        <v>2432.48</v>
      </c>
      <c r="D1168" s="16" t="n">
        <v>45614</v>
      </c>
      <c r="E1168" s="19" t="n">
        <v>20.48</v>
      </c>
      <c r="G1168" s="16" t="n">
        <v>45614</v>
      </c>
      <c r="H1168" s="19" t="n">
        <v>1.71</v>
      </c>
    </row>
    <row r="1169">
      <c r="A1169" s="16" t="n">
        <v>45615</v>
      </c>
      <c r="B1169" s="19" t="n">
        <v>2420.37</v>
      </c>
      <c r="D1169" s="16" t="n">
        <v>45615</v>
      </c>
      <c r="E1169" s="19" t="n">
        <v>20.91</v>
      </c>
      <c r="G1169" s="16" t="n">
        <v>45615</v>
      </c>
      <c r="H1169" s="19" t="n">
        <v>1.76</v>
      </c>
    </row>
    <row r="1170">
      <c r="A1170" s="16" t="n">
        <v>45616</v>
      </c>
      <c r="B1170" s="19" t="n">
        <v>2378.75</v>
      </c>
      <c r="D1170" s="16" t="n">
        <v>45616</v>
      </c>
      <c r="E1170" s="19" t="n">
        <v>22.15</v>
      </c>
      <c r="G1170" s="16" t="n">
        <v>45616</v>
      </c>
      <c r="H1170" s="19" t="n">
        <v>1.76</v>
      </c>
    </row>
    <row r="1171">
      <c r="A1171" s="16" t="n">
        <v>45617</v>
      </c>
      <c r="B1171" s="19" t="n">
        <v>2392.66</v>
      </c>
      <c r="D1171" s="16" t="n">
        <v>45617</v>
      </c>
      <c r="E1171" s="19" t="n">
        <v>21.02</v>
      </c>
      <c r="G1171" s="16" t="n">
        <v>45617</v>
      </c>
      <c r="H1171" s="19" t="n">
        <v>1.77</v>
      </c>
    </row>
    <row r="1172">
      <c r="A1172" s="16" t="n">
        <v>45618</v>
      </c>
      <c r="B1172" s="19" t="n">
        <v>2345.35</v>
      </c>
      <c r="D1172" s="16" t="n">
        <v>45618</v>
      </c>
      <c r="E1172" s="19" t="n">
        <v>22.31</v>
      </c>
      <c r="G1172" s="16" t="n">
        <v>45618</v>
      </c>
      <c r="H1172" s="19" t="n">
        <v>1.81</v>
      </c>
    </row>
    <row r="1173">
      <c r="A1173" s="16" t="n">
        <v>45621</v>
      </c>
      <c r="B1173" s="19" t="n">
        <v>2324.2</v>
      </c>
      <c r="D1173" s="16" t="n">
        <v>45621</v>
      </c>
      <c r="E1173" s="19" t="n">
        <v>23.14</v>
      </c>
      <c r="G1173" s="16" t="n">
        <v>45621</v>
      </c>
      <c r="H1173" s="19" t="n">
        <v>1.83</v>
      </c>
    </row>
    <row r="1174">
      <c r="A1174" s="16" t="n">
        <v>45622</v>
      </c>
      <c r="B1174" s="19" t="n">
        <v>2380.93</v>
      </c>
      <c r="D1174" s="16" t="n">
        <v>45622</v>
      </c>
      <c r="E1174" s="19" t="n">
        <v>20.76</v>
      </c>
      <c r="G1174" s="16" t="n">
        <v>45622</v>
      </c>
      <c r="H1174" s="19" t="n">
        <v>1.81</v>
      </c>
    </row>
    <row r="1175">
      <c r="A1175" s="16" t="n">
        <v>45623</v>
      </c>
      <c r="B1175" s="19" t="n">
        <v>2390.24</v>
      </c>
      <c r="D1175" s="16" t="n">
        <v>45623</v>
      </c>
      <c r="E1175" s="19" t="n">
        <v>20.73</v>
      </c>
      <c r="G1175" s="16" t="n">
        <v>45623</v>
      </c>
      <c r="H1175" s="19" t="n">
        <v>1.83</v>
      </c>
    </row>
    <row r="1176">
      <c r="A1176" s="16" t="n">
        <v>45624</v>
      </c>
      <c r="B1176" s="19" t="inlineStr">
        <is>
          <t>.</t>
        </is>
      </c>
      <c r="D1176" s="16" t="n">
        <v>45624</v>
      </c>
      <c r="E1176" s="19" t="inlineStr"/>
      <c r="G1176" s="16" t="n">
        <v>45624</v>
      </c>
      <c r="H1176" s="19" t="inlineStr">
        <is>
          <t>.</t>
        </is>
      </c>
    </row>
    <row r="1177">
      <c r="A1177" s="16" t="n">
        <v>45625</v>
      </c>
      <c r="B1177" s="19" t="n">
        <v>2399.99</v>
      </c>
      <c r="D1177" s="16" t="n">
        <v>45625</v>
      </c>
      <c r="E1177" s="19" t="n">
        <v>20.9</v>
      </c>
      <c r="G1177" s="16" t="n">
        <v>45625</v>
      </c>
      <c r="H1177" s="19" t="n">
        <v>1.84</v>
      </c>
    </row>
    <row r="1178">
      <c r="A1178" s="16" t="n">
        <v>45628</v>
      </c>
      <c r="B1178" s="19" t="n">
        <v>2438.4</v>
      </c>
      <c r="D1178" s="16" t="n">
        <v>45628</v>
      </c>
      <c r="E1178" s="19" t="n">
        <v>18.67</v>
      </c>
      <c r="G1178" s="16" t="n">
        <v>45628</v>
      </c>
      <c r="H1178" s="19" t="n">
        <v>1.82</v>
      </c>
    </row>
    <row r="1179">
      <c r="A1179" s="16" t="n">
        <v>45629</v>
      </c>
      <c r="B1179" s="19" t="n">
        <v>2402.15</v>
      </c>
      <c r="D1179" s="16" t="n">
        <v>45629</v>
      </c>
      <c r="E1179" s="19" t="n">
        <v>19.98</v>
      </c>
      <c r="G1179" s="16" t="n">
        <v>45629</v>
      </c>
      <c r="H1179" s="19" t="n">
        <v>1.84</v>
      </c>
    </row>
    <row r="1180">
      <c r="A1180" s="16" t="n">
        <v>45630</v>
      </c>
      <c r="B1180" s="19" t="n">
        <v>2399.8</v>
      </c>
      <c r="D1180" s="16" t="n">
        <v>45630</v>
      </c>
      <c r="E1180" s="19" t="n">
        <v>20.55</v>
      </c>
      <c r="G1180" s="16" t="n">
        <v>45630</v>
      </c>
      <c r="H1180" s="19" t="n">
        <v>1.86</v>
      </c>
    </row>
    <row r="1181">
      <c r="A1181" s="16" t="n">
        <v>45631</v>
      </c>
      <c r="B1181" s="19" t="n">
        <v>2383.99</v>
      </c>
      <c r="D1181" s="16" t="n">
        <v>45631</v>
      </c>
      <c r="E1181" s="19" t="n">
        <v>21.25</v>
      </c>
      <c r="G1181" s="16" t="n">
        <v>45631</v>
      </c>
      <c r="H1181" s="19" t="n">
        <v>1.87</v>
      </c>
    </row>
    <row r="1182">
      <c r="A1182" s="16" t="n">
        <v>45632</v>
      </c>
      <c r="B1182" s="19" t="n">
        <v>2392.13</v>
      </c>
      <c r="D1182" s="16" t="n">
        <v>45632</v>
      </c>
      <c r="E1182" s="19" t="n">
        <v>20.88</v>
      </c>
      <c r="G1182" s="16" t="n">
        <v>45632</v>
      </c>
      <c r="H1182" s="19" t="n">
        <v>1.9</v>
      </c>
    </row>
    <row r="1183">
      <c r="A1183" s="16" t="n">
        <v>45635</v>
      </c>
      <c r="B1183" s="19" t="n">
        <v>2396.9</v>
      </c>
      <c r="D1183" s="16" t="n">
        <v>45635</v>
      </c>
      <c r="E1183" s="19" t="n">
        <v>21.04</v>
      </c>
      <c r="G1183" s="16" t="n">
        <v>45635</v>
      </c>
      <c r="H1183" s="19" t="n">
        <v>1.88</v>
      </c>
    </row>
    <row r="1184">
      <c r="A1184" s="16" t="n">
        <v>45636</v>
      </c>
      <c r="B1184" s="19" t="n">
        <v>2383.52</v>
      </c>
      <c r="D1184" s="16" t="n">
        <v>45636</v>
      </c>
      <c r="E1184" s="19" t="n">
        <v>21.65</v>
      </c>
      <c r="G1184" s="16" t="n">
        <v>45636</v>
      </c>
      <c r="H1184" s="19" t="n">
        <v>1.91</v>
      </c>
    </row>
    <row r="1185">
      <c r="A1185" s="16" t="n">
        <v>45637</v>
      </c>
      <c r="B1185" s="19" t="n">
        <v>2369.93</v>
      </c>
      <c r="D1185" s="16" t="n">
        <v>45637</v>
      </c>
      <c r="E1185" s="19" t="n">
        <v>22.24</v>
      </c>
      <c r="G1185" s="16" t="n">
        <v>45637</v>
      </c>
      <c r="H1185" s="19" t="n">
        <v>1.93</v>
      </c>
    </row>
    <row r="1186">
      <c r="A1186" s="16" t="n">
        <v>45638</v>
      </c>
      <c r="B1186" s="19" t="n">
        <v>2423.29</v>
      </c>
      <c r="D1186" s="16" t="n">
        <v>45638</v>
      </c>
      <c r="E1186" s="19" t="n">
        <v>19.98</v>
      </c>
      <c r="G1186" s="16" t="n">
        <v>45638</v>
      </c>
      <c r="H1186" s="19" t="n">
        <v>1.92</v>
      </c>
    </row>
    <row r="1187">
      <c r="A1187" s="16" t="n">
        <v>45639</v>
      </c>
      <c r="B1187" s="19" t="n">
        <v>2394.02</v>
      </c>
      <c r="D1187" s="16" t="n">
        <v>45639</v>
      </c>
      <c r="E1187" s="19" t="n">
        <v>20.32</v>
      </c>
      <c r="G1187" s="16" t="n">
        <v>45639</v>
      </c>
      <c r="H1187" s="19" t="n">
        <v>1.95</v>
      </c>
    </row>
    <row r="1188">
      <c r="A1188" s="16" t="n">
        <v>45642</v>
      </c>
      <c r="B1188" s="19" t="n">
        <v>2405.94</v>
      </c>
      <c r="D1188" s="16" t="n">
        <v>45642</v>
      </c>
      <c r="E1188" s="19" t="n">
        <v>20.71</v>
      </c>
      <c r="G1188" s="16" t="n">
        <v>45642</v>
      </c>
      <c r="H1188" s="19" t="n">
        <v>1.95</v>
      </c>
    </row>
    <row r="1189">
      <c r="A1189" s="16" t="n">
        <v>45643</v>
      </c>
      <c r="B1189" s="19" t="n">
        <v>2408.47</v>
      </c>
      <c r="D1189" s="16" t="n">
        <v>45643</v>
      </c>
      <c r="E1189" s="19" t="n">
        <v>20.44</v>
      </c>
      <c r="G1189" s="16" t="n">
        <v>45643</v>
      </c>
      <c r="H1189" s="19" t="n">
        <v>1.96</v>
      </c>
    </row>
    <row r="1190">
      <c r="A1190" s="16" t="n">
        <v>45644</v>
      </c>
      <c r="B1190" s="19" t="n">
        <v>2390.32</v>
      </c>
      <c r="D1190" s="16" t="n">
        <v>45644</v>
      </c>
      <c r="E1190" s="19" t="n">
        <v>20.92</v>
      </c>
      <c r="G1190" s="16" t="n">
        <v>45644</v>
      </c>
      <c r="H1190" s="19" t="n">
        <v>1.98</v>
      </c>
    </row>
    <row r="1191">
      <c r="A1191" s="16" t="n">
        <v>45645</v>
      </c>
      <c r="B1191" s="19" t="n">
        <v>2379.39</v>
      </c>
      <c r="D1191" s="16" t="n">
        <v>45645</v>
      </c>
      <c r="E1191" s="19" t="n">
        <v>20.7</v>
      </c>
      <c r="G1191" s="16" t="n">
        <v>45645</v>
      </c>
      <c r="H1191" s="19" t="n">
        <v>2</v>
      </c>
    </row>
    <row r="1192">
      <c r="A1192" s="16" t="n">
        <v>45646</v>
      </c>
      <c r="B1192" s="19" t="n">
        <v>2373.12</v>
      </c>
      <c r="D1192" s="16" t="n">
        <v>45646</v>
      </c>
      <c r="E1192" s="19" t="n">
        <v>21</v>
      </c>
      <c r="G1192" s="16" t="n">
        <v>45646</v>
      </c>
      <c r="H1192" s="19" t="n">
        <v>2.02</v>
      </c>
    </row>
    <row r="1193">
      <c r="A1193" s="16" t="n">
        <v>45649</v>
      </c>
      <c r="B1193" s="19" t="n">
        <v>2333.38</v>
      </c>
      <c r="D1193" s="16" t="n">
        <v>45649</v>
      </c>
      <c r="E1193" s="19" t="n">
        <v>23.07</v>
      </c>
      <c r="G1193" s="16" t="n">
        <v>45649</v>
      </c>
      <c r="H1193" s="19" t="n">
        <v>2.04</v>
      </c>
    </row>
    <row r="1194">
      <c r="A1194" s="16" t="n">
        <v>45650</v>
      </c>
      <c r="B1194" s="19" t="n">
        <v>2336.21</v>
      </c>
      <c r="D1194" s="16" t="n">
        <v>45650</v>
      </c>
      <c r="E1194" s="19" t="n">
        <v>23.57</v>
      </c>
      <c r="G1194" s="16" t="n">
        <v>45650</v>
      </c>
      <c r="H1194" s="19" t="n">
        <v>2.08</v>
      </c>
    </row>
    <row r="1195">
      <c r="A1195" s="16" t="n">
        <v>45651</v>
      </c>
      <c r="B1195" s="19" t="inlineStr">
        <is>
          <t>.</t>
        </is>
      </c>
      <c r="D1195" s="16" t="n">
        <v>45651</v>
      </c>
      <c r="E1195" s="19" t="inlineStr"/>
      <c r="G1195" s="16" t="n">
        <v>45651</v>
      </c>
      <c r="H1195" s="19" t="inlineStr">
        <is>
          <t>.</t>
        </is>
      </c>
    </row>
    <row r="1196">
      <c r="A1196" s="16" t="n">
        <v>45652</v>
      </c>
      <c r="B1196" s="19" t="n">
        <v>2359.57</v>
      </c>
      <c r="D1196" s="16" t="n">
        <v>45652</v>
      </c>
      <c r="E1196" s="19" t="n">
        <v>22.13</v>
      </c>
      <c r="G1196" s="16" t="n">
        <v>45652</v>
      </c>
      <c r="H1196" s="19" t="n">
        <v>2.06</v>
      </c>
    </row>
    <row r="1197">
      <c r="A1197" s="16" t="n">
        <v>45653</v>
      </c>
      <c r="B1197" s="19" t="n">
        <v>2380.46</v>
      </c>
      <c r="D1197" s="16" t="n">
        <v>45653</v>
      </c>
      <c r="E1197" s="19" t="n">
        <v>21.91</v>
      </c>
      <c r="G1197" s="16" t="n">
        <v>45653</v>
      </c>
      <c r="H1197" s="19" t="n">
        <v>2.06</v>
      </c>
    </row>
    <row r="1198">
      <c r="A1198" s="16" t="n">
        <v>45656</v>
      </c>
      <c r="B1198" s="19" t="n">
        <v>2367.06</v>
      </c>
      <c r="D1198" s="16" t="n">
        <v>45656</v>
      </c>
      <c r="E1198" s="19" t="n">
        <v>22.91</v>
      </c>
      <c r="G1198" s="16" t="n">
        <v>45656</v>
      </c>
      <c r="H1198" s="19" t="n">
        <v>2.06</v>
      </c>
    </row>
    <row r="1199">
      <c r="A1199" s="16" t="n">
        <v>45657</v>
      </c>
      <c r="B1199" s="19" t="n">
        <v>2371.52</v>
      </c>
      <c r="D1199" s="16" t="n">
        <v>45657</v>
      </c>
      <c r="E1199" s="19" t="n">
        <v>22.6</v>
      </c>
      <c r="G1199" s="16" t="n">
        <v>45657</v>
      </c>
      <c r="H1199" s="19" t="n">
        <v>2.06</v>
      </c>
    </row>
    <row r="1200">
      <c r="A1200" s="16" t="n">
        <v>45658</v>
      </c>
      <c r="B1200" s="19" t="inlineStr">
        <is>
          <t>.</t>
        </is>
      </c>
      <c r="D1200" s="16" t="n">
        <v>45658</v>
      </c>
      <c r="E1200" s="19" t="inlineStr"/>
      <c r="G1200" s="16" t="n">
        <v>45658</v>
      </c>
      <c r="H1200" s="19" t="inlineStr">
        <is>
          <t>.</t>
        </is>
      </c>
    </row>
    <row r="1201">
      <c r="A1201" s="16" t="n">
        <v>45659</v>
      </c>
      <c r="B1201" s="19" t="n">
        <v>2355.51</v>
      </c>
      <c r="D1201" s="16" t="n">
        <v>45659</v>
      </c>
      <c r="E1201" s="19" t="n">
        <v>22.06</v>
      </c>
      <c r="G1201" s="16" t="n">
        <v>45659</v>
      </c>
      <c r="H1201" s="19" t="n">
        <v>2.1</v>
      </c>
    </row>
    <row r="1202">
      <c r="A1202" s="16" t="n">
        <v>45660</v>
      </c>
      <c r="B1202" s="19" t="n">
        <v>2329.58</v>
      </c>
      <c r="D1202" s="16" t="n">
        <v>45660</v>
      </c>
      <c r="E1202" s="19" t="n">
        <v>23.89</v>
      </c>
      <c r="G1202" s="16" t="n">
        <v>45660</v>
      </c>
      <c r="H1202" s="19" t="n">
        <v>2.12</v>
      </c>
    </row>
    <row r="1203">
      <c r="A1203" s="16" t="n">
        <v>45663</v>
      </c>
      <c r="B1203" s="19" t="n">
        <v>2342.84</v>
      </c>
      <c r="D1203" s="16" t="n">
        <v>45663</v>
      </c>
      <c r="E1203" s="19" t="n">
        <v>24.06</v>
      </c>
      <c r="G1203" s="16" t="n">
        <v>45663</v>
      </c>
      <c r="H1203" s="19" t="n">
        <v>2.1</v>
      </c>
    </row>
    <row r="1204">
      <c r="A1204" s="16" t="n">
        <v>45664</v>
      </c>
      <c r="B1204" s="19" t="n">
        <v>2337.65</v>
      </c>
      <c r="D1204" s="16" t="n">
        <v>45664</v>
      </c>
      <c r="E1204" s="19" t="n">
        <v>23.7</v>
      </c>
      <c r="G1204" s="16" t="n">
        <v>45664</v>
      </c>
      <c r="H1204" s="19" t="n">
        <v>2.15</v>
      </c>
    </row>
    <row r="1205">
      <c r="A1205" s="16" t="n">
        <v>45665</v>
      </c>
      <c r="B1205" s="19" t="n">
        <v>2317.67</v>
      </c>
      <c r="D1205" s="16" t="n">
        <v>45665</v>
      </c>
      <c r="E1205" s="19" t="n">
        <v>24.26</v>
      </c>
      <c r="G1205" s="16" t="n">
        <v>45665</v>
      </c>
      <c r="H1205" s="19" t="n">
        <v>2.16</v>
      </c>
    </row>
    <row r="1206">
      <c r="A1206" s="16" t="n">
        <v>45666</v>
      </c>
      <c r="B1206" s="19" t="n">
        <v>2379.98</v>
      </c>
      <c r="D1206" s="16" t="n">
        <v>45666</v>
      </c>
      <c r="E1206" s="19" t="n">
        <v>20.23</v>
      </c>
      <c r="G1206" s="16" t="n">
        <v>45666</v>
      </c>
      <c r="H1206" s="19" t="n">
        <v>2.13</v>
      </c>
    </row>
    <row r="1207">
      <c r="A1207" s="16" t="n">
        <v>45667</v>
      </c>
      <c r="B1207" s="19" t="n">
        <v>2407.15</v>
      </c>
      <c r="D1207" s="16" t="n">
        <v>45667</v>
      </c>
      <c r="E1207" s="19" t="n">
        <v>18.55</v>
      </c>
      <c r="G1207" s="16" t="n">
        <v>45667</v>
      </c>
      <c r="H1207" s="19" t="n">
        <v>2.12</v>
      </c>
    </row>
    <row r="1208">
      <c r="A1208" s="16" t="n">
        <v>45670</v>
      </c>
      <c r="B1208" s="19" t="n">
        <v>2352.39</v>
      </c>
      <c r="D1208" s="16" t="n">
        <v>45670</v>
      </c>
      <c r="E1208" s="19" t="n">
        <v>19.24</v>
      </c>
      <c r="G1208" s="16" t="n">
        <v>45670</v>
      </c>
      <c r="H1208" s="19" t="n">
        <v>2.17</v>
      </c>
    </row>
    <row r="1209">
      <c r="A1209" s="16" t="n">
        <v>45671</v>
      </c>
      <c r="B1209" s="19" t="n">
        <v>2381.22</v>
      </c>
      <c r="D1209" s="16" t="n">
        <v>45671</v>
      </c>
      <c r="E1209" s="19" t="n">
        <v>17.54</v>
      </c>
      <c r="G1209" s="16" t="n">
        <v>45671</v>
      </c>
      <c r="H1209" s="19" t="n">
        <v>2.12</v>
      </c>
    </row>
    <row r="1210">
      <c r="A1210" s="16" t="n">
        <v>45672</v>
      </c>
      <c r="B1210" s="19" t="n">
        <v>2429.56</v>
      </c>
      <c r="D1210" s="16" t="n">
        <v>45672</v>
      </c>
      <c r="E1210" s="19" t="n">
        <v>14.31</v>
      </c>
      <c r="G1210" s="16" t="n">
        <v>45672</v>
      </c>
      <c r="H1210" s="19" t="n">
        <v>2.09</v>
      </c>
    </row>
    <row r="1211">
      <c r="A1211" s="16" t="n">
        <v>45673</v>
      </c>
      <c r="B1211" s="19" t="n">
        <v>2420.86</v>
      </c>
      <c r="D1211" s="16" t="n">
        <v>45673</v>
      </c>
      <c r="E1211" s="19" t="n">
        <v>14.11</v>
      </c>
      <c r="G1211" s="16" t="n">
        <v>45673</v>
      </c>
      <c r="H1211" s="19" t="n">
        <v>2.08</v>
      </c>
    </row>
    <row r="1212">
      <c r="A1212" s="16" t="n">
        <v>45674</v>
      </c>
      <c r="B1212" s="19" t="n">
        <v>2475.75</v>
      </c>
      <c r="D1212" s="16" t="n">
        <v>45674</v>
      </c>
      <c r="E1212" s="19" t="n">
        <v>11.71</v>
      </c>
      <c r="G1212" s="16" t="n">
        <v>45674</v>
      </c>
      <c r="H1212" s="19" t="n">
        <v>2.03</v>
      </c>
    </row>
    <row r="1213">
      <c r="A1213" s="16" t="n">
        <v>45677</v>
      </c>
      <c r="B1213" s="19" t="n">
        <v>2493.65</v>
      </c>
      <c r="D1213" s="16" t="n">
        <v>45677</v>
      </c>
      <c r="E1213" s="19" t="n">
        <v>10.77</v>
      </c>
      <c r="G1213" s="16" t="n">
        <v>45677</v>
      </c>
      <c r="H1213" s="19" t="n">
        <v>2.01</v>
      </c>
    </row>
    <row r="1214">
      <c r="A1214" s="16" t="n">
        <v>45678</v>
      </c>
      <c r="B1214" s="19" t="n">
        <v>2467.76</v>
      </c>
      <c r="D1214" s="16" t="n">
        <v>45678</v>
      </c>
      <c r="E1214" s="19" t="n">
        <v>12.51</v>
      </c>
      <c r="G1214" s="16" t="n">
        <v>45678</v>
      </c>
      <c r="H1214" s="19" t="n">
        <v>2.02</v>
      </c>
    </row>
    <row r="1215">
      <c r="A1215" s="16" t="n">
        <v>45679</v>
      </c>
      <c r="B1215" s="19" t="n">
        <v>2439.54</v>
      </c>
      <c r="D1215" s="16" t="n">
        <v>45679</v>
      </c>
      <c r="E1215" s="19" t="n">
        <v>13.68</v>
      </c>
      <c r="G1215" s="16" t="n">
        <v>45679</v>
      </c>
      <c r="H1215" s="19" t="n">
        <v>2.06</v>
      </c>
    </row>
    <row r="1216">
      <c r="A1216" s="16" t="n">
        <v>45680</v>
      </c>
      <c r="B1216" s="19" t="n">
        <v>2435.29</v>
      </c>
      <c r="D1216" s="16" t="n">
        <v>45680</v>
      </c>
      <c r="E1216" s="19" t="n">
        <v>13.35</v>
      </c>
      <c r="G1216" s="16" t="n">
        <v>45680</v>
      </c>
      <c r="H1216" s="19" t="n">
        <v>2.05</v>
      </c>
    </row>
    <row r="1217">
      <c r="A1217" s="16" t="n">
        <v>45681</v>
      </c>
      <c r="B1217" s="19" t="n">
        <v>2400.76</v>
      </c>
      <c r="D1217" s="16" t="n">
        <v>45681</v>
      </c>
      <c r="E1217" s="19" t="n">
        <v>14.21</v>
      </c>
      <c r="G1217" s="16" t="n">
        <v>45681</v>
      </c>
      <c r="H1217" s="19" t="n">
        <v>2.08</v>
      </c>
    </row>
    <row r="1218">
      <c r="A1218" s="16" t="n">
        <v>45684</v>
      </c>
      <c r="B1218" s="19" t="n">
        <v>2391.3</v>
      </c>
      <c r="D1218" s="16" t="n">
        <v>45684</v>
      </c>
      <c r="E1218" s="19" t="n">
        <v>14.62</v>
      </c>
      <c r="G1218" s="16" t="n">
        <v>45684</v>
      </c>
      <c r="H1218" s="19" t="n">
        <v>2.09</v>
      </c>
    </row>
    <row r="1219">
      <c r="A1219" s="16" t="n">
        <v>45685</v>
      </c>
      <c r="B1219" s="19" t="n">
        <v>2388.09</v>
      </c>
      <c r="D1219" s="16" t="n">
        <v>45685</v>
      </c>
      <c r="E1219" s="19" t="n">
        <v>14.81</v>
      </c>
      <c r="G1219" s="16" t="n">
        <v>45685</v>
      </c>
      <c r="H1219" s="19" t="n">
        <v>2.08</v>
      </c>
    </row>
    <row r="1220">
      <c r="A1220" s="16" t="n">
        <v>45686</v>
      </c>
      <c r="B1220" s="19" t="n">
        <v>2349.57</v>
      </c>
      <c r="D1220" s="16" t="n">
        <v>45686</v>
      </c>
      <c r="E1220" s="19" t="n">
        <v>16.12</v>
      </c>
      <c r="G1220" s="16" t="n">
        <v>45686</v>
      </c>
      <c r="H1220" s="19" t="n">
        <v>2.12</v>
      </c>
    </row>
    <row r="1221">
      <c r="A1221" s="16" t="n">
        <v>45687</v>
      </c>
      <c r="B1221" s="19" t="n">
        <v>2282.56</v>
      </c>
      <c r="D1221" s="16" t="n">
        <v>45687</v>
      </c>
      <c r="E1221" s="19" t="n">
        <v>18.66</v>
      </c>
      <c r="G1221" s="16" t="n">
        <v>45687</v>
      </c>
      <c r="H1221" s="19" t="n">
        <v>2.14</v>
      </c>
    </row>
    <row r="1222">
      <c r="A1222" s="16" t="n">
        <v>45688</v>
      </c>
      <c r="B1222" s="19" t="n">
        <v>2266.53</v>
      </c>
      <c r="D1222" s="16" t="n">
        <v>45688</v>
      </c>
      <c r="E1222" s="19" t="n">
        <v>20.41</v>
      </c>
      <c r="G1222" s="16" t="n">
        <v>45688</v>
      </c>
      <c r="H1222" s="19" t="n">
        <v>2.17</v>
      </c>
    </row>
    <row r="1223">
      <c r="A1223" s="16" t="n">
        <v>45691</v>
      </c>
      <c r="B1223" s="19" t="n">
        <v>2275.8</v>
      </c>
      <c r="D1223" s="16" t="n">
        <v>45691</v>
      </c>
      <c r="E1223" s="19" t="n">
        <v>20.41</v>
      </c>
      <c r="G1223" s="16" t="n">
        <v>45691</v>
      </c>
      <c r="H1223" s="19" t="n">
        <v>2.16</v>
      </c>
    </row>
    <row r="1224">
      <c r="A1224" s="16" t="n">
        <v>45692</v>
      </c>
      <c r="B1224" s="19" t="n">
        <v>2269.95</v>
      </c>
      <c r="D1224" s="16" t="n">
        <v>45692</v>
      </c>
      <c r="E1224" s="19" t="n">
        <v>20.07</v>
      </c>
      <c r="G1224" s="16" t="n">
        <v>45692</v>
      </c>
      <c r="H1224" s="19" t="n">
        <v>2.18</v>
      </c>
    </row>
    <row r="1225">
      <c r="A1225" s="16" t="n">
        <v>45693</v>
      </c>
      <c r="B1225" s="19" t="n">
        <v>2238.17</v>
      </c>
      <c r="D1225" s="16" t="n">
        <v>45693</v>
      </c>
      <c r="E1225" s="19" t="n">
        <v>21.14</v>
      </c>
      <c r="G1225" s="16" t="n">
        <v>45693</v>
      </c>
      <c r="H1225" s="19" t="n">
        <v>2.2</v>
      </c>
    </row>
    <row r="1226">
      <c r="A1226" s="16" t="n">
        <v>45694</v>
      </c>
      <c r="B1226" s="19" t="n">
        <v>2236.44</v>
      </c>
      <c r="D1226" s="16" t="n">
        <v>45694</v>
      </c>
      <c r="E1226" s="19" t="n">
        <v>21.22</v>
      </c>
      <c r="G1226" s="16" t="n">
        <v>45694</v>
      </c>
      <c r="H1226" s="19" t="n">
        <v>2.22</v>
      </c>
    </row>
    <row r="1227">
      <c r="A1227" s="16" t="n">
        <v>45695</v>
      </c>
      <c r="B1227" s="19" t="n">
        <v>2252.24</v>
      </c>
      <c r="D1227" s="16" t="n">
        <v>45695</v>
      </c>
      <c r="E1227" s="19" t="n">
        <v>19.92</v>
      </c>
      <c r="G1227" s="16" t="n">
        <v>45695</v>
      </c>
      <c r="H1227" s="19" t="n">
        <v>2.22</v>
      </c>
    </row>
    <row r="1228">
      <c r="A1228" s="16" t="n">
        <v>45698</v>
      </c>
      <c r="B1228" s="19" t="n">
        <v>2268.68</v>
      </c>
      <c r="D1228" s="16" t="n">
        <v>45698</v>
      </c>
      <c r="E1228" s="19" t="n">
        <v>19.17</v>
      </c>
      <c r="G1228" s="16" t="n">
        <v>45698</v>
      </c>
      <c r="H1228" s="19" t="n">
        <v>2.21</v>
      </c>
    </row>
    <row r="1229">
      <c r="A1229" s="16" t="n">
        <v>45699</v>
      </c>
      <c r="B1229" s="19" t="n">
        <v>2273.12</v>
      </c>
      <c r="D1229" s="16" t="n">
        <v>45699</v>
      </c>
      <c r="E1229" s="19" t="n">
        <v>19.53</v>
      </c>
      <c r="G1229" s="16" t="n">
        <v>45699</v>
      </c>
      <c r="H1229" s="19" t="n">
        <v>2.2</v>
      </c>
    </row>
    <row r="1230">
      <c r="A1230" s="16" t="n">
        <v>45700</v>
      </c>
      <c r="B1230" s="19" t="n">
        <v>2211</v>
      </c>
      <c r="D1230" s="16" t="n">
        <v>45700</v>
      </c>
      <c r="E1230" s="19" t="n">
        <v>21.89</v>
      </c>
      <c r="G1230" s="16" t="n">
        <v>45700</v>
      </c>
      <c r="H1230" s="19" t="n">
        <v>2.25</v>
      </c>
    </row>
    <row r="1231">
      <c r="A1231" s="16" t="n">
        <v>45701</v>
      </c>
      <c r="B1231" s="19" t="n">
        <v>2227.38</v>
      </c>
      <c r="D1231" s="16" t="n">
        <v>45701</v>
      </c>
      <c r="E1231" s="19" t="n">
        <v>20.75</v>
      </c>
      <c r="G1231" s="16" t="n">
        <v>45701</v>
      </c>
      <c r="H1231" s="19" t="n">
        <v>2.22</v>
      </c>
    </row>
    <row r="1232">
      <c r="A1232" s="16" t="n">
        <v>45702</v>
      </c>
      <c r="B1232" s="19" t="n">
        <v>2271.78</v>
      </c>
      <c r="D1232" s="16" t="n">
        <v>45702</v>
      </c>
      <c r="E1232" s="19" t="n">
        <v>18.12</v>
      </c>
      <c r="G1232" s="16" t="n">
        <v>45702</v>
      </c>
      <c r="H1232" s="19" t="n">
        <v>2.2</v>
      </c>
    </row>
    <row r="1233">
      <c r="A1233" s="16" t="n">
        <v>45705</v>
      </c>
      <c r="B1233" s="19" t="n">
        <v>2230.29</v>
      </c>
      <c r="D1233" s="16" t="n">
        <v>45705</v>
      </c>
      <c r="E1233" s="19" t="n">
        <v>19.91</v>
      </c>
      <c r="G1233" s="16" t="n">
        <v>45705</v>
      </c>
      <c r="H1233" s="19" t="n">
        <v>2.22</v>
      </c>
    </row>
    <row r="1234">
      <c r="A1234" s="16" t="n">
        <v>45706</v>
      </c>
      <c r="B1234" s="19" t="n">
        <v>2261.85</v>
      </c>
      <c r="D1234" s="16" t="n">
        <v>45706</v>
      </c>
      <c r="E1234" s="19" t="n">
        <v>17.02</v>
      </c>
      <c r="G1234" s="16" t="n">
        <v>45706</v>
      </c>
      <c r="H1234" s="19" t="n">
        <v>2.2</v>
      </c>
    </row>
    <row r="1235">
      <c r="A1235" s="16" t="n">
        <v>45707</v>
      </c>
      <c r="B1235" s="19" t="n">
        <v>2261.61</v>
      </c>
      <c r="D1235" s="16" t="n">
        <v>45707</v>
      </c>
      <c r="E1235" s="19" t="n">
        <v>17.46</v>
      </c>
      <c r="G1235" s="16" t="n">
        <v>45707</v>
      </c>
      <c r="H1235" s="19" t="n">
        <v>2.19</v>
      </c>
    </row>
    <row r="1236">
      <c r="A1236" s="16" t="n">
        <v>45708</v>
      </c>
      <c r="B1236" s="19" t="n">
        <v>2254.5</v>
      </c>
      <c r="D1236" s="16" t="n">
        <v>45708</v>
      </c>
      <c r="E1236" s="19" t="n">
        <v>18.08</v>
      </c>
      <c r="G1236" s="16" t="n">
        <v>45708</v>
      </c>
      <c r="H1236" s="19" t="n">
        <v>2.21</v>
      </c>
    </row>
    <row r="1237">
      <c r="A1237" s="16" t="n">
        <v>45709</v>
      </c>
      <c r="B1237" s="19" t="n">
        <v>2228.02</v>
      </c>
      <c r="D1237" s="16" t="n">
        <v>45709</v>
      </c>
      <c r="E1237" s="19" t="n">
        <v>19.95</v>
      </c>
      <c r="G1237" s="16" t="n">
        <v>45709</v>
      </c>
      <c r="H1237" s="19" t="n">
        <v>2.21</v>
      </c>
    </row>
    <row r="1238">
      <c r="A1238" s="16" t="n">
        <v>45712</v>
      </c>
      <c r="B1238" s="19" t="n">
        <v>2222.07</v>
      </c>
      <c r="D1238" s="16" t="n">
        <v>45712</v>
      </c>
      <c r="E1238" s="19" t="n">
        <v>19.17</v>
      </c>
      <c r="G1238" s="16" t="n">
        <v>45712</v>
      </c>
      <c r="H1238" s="19" t="n">
        <v>2.25</v>
      </c>
    </row>
    <row r="1239">
      <c r="A1239" s="16" t="n">
        <v>45713</v>
      </c>
      <c r="B1239" s="19" t="n">
        <v>2239.04</v>
      </c>
      <c r="D1239" s="16" t="n">
        <v>45713</v>
      </c>
      <c r="E1239" s="19" t="n">
        <v>18.16</v>
      </c>
      <c r="G1239" s="16" t="n">
        <v>45713</v>
      </c>
      <c r="H1239" s="19" t="n">
        <v>2.23</v>
      </c>
    </row>
    <row r="1240">
      <c r="A1240" s="16" t="n">
        <v>45714</v>
      </c>
      <c r="B1240" s="19" t="n">
        <v>2234.53</v>
      </c>
      <c r="D1240" s="16" t="n">
        <v>45714</v>
      </c>
      <c r="E1240" s="19" t="n">
        <v>18.34</v>
      </c>
      <c r="G1240" s="16" t="n">
        <v>45714</v>
      </c>
      <c r="H1240" s="19" t="n">
        <v>2.2</v>
      </c>
    </row>
    <row r="1241">
      <c r="A1241" s="16" t="n">
        <v>45715</v>
      </c>
      <c r="B1241" s="19" t="n">
        <v>2206.04</v>
      </c>
      <c r="D1241" s="16" t="n">
        <v>45715</v>
      </c>
      <c r="E1241" s="19" t="n">
        <v>19.56</v>
      </c>
      <c r="G1241" s="16" t="n">
        <v>45715</v>
      </c>
      <c r="H1241" s="19" t="n">
        <v>2.23</v>
      </c>
    </row>
    <row r="1242">
      <c r="A1242" s="16" t="n">
        <v>45716</v>
      </c>
      <c r="B1242" s="19" t="n">
        <v>2149.24</v>
      </c>
      <c r="D1242" s="16" t="n">
        <v>45716</v>
      </c>
      <c r="E1242" s="19" t="n">
        <v>21.67</v>
      </c>
      <c r="G1242" s="16" t="n">
        <v>45716</v>
      </c>
      <c r="H1242" s="19" t="n">
        <v>2.29</v>
      </c>
    </row>
    <row r="1243">
      <c r="A1243" s="16" t="n">
        <v>45719</v>
      </c>
      <c r="B1243" s="19" t="n">
        <v>2137.97</v>
      </c>
      <c r="D1243" s="16" t="n">
        <v>45719</v>
      </c>
      <c r="E1243" s="19" t="n">
        <v>23.01</v>
      </c>
      <c r="G1243" s="16" t="n">
        <v>45719</v>
      </c>
      <c r="H1243" s="19" t="n">
        <v>2.28</v>
      </c>
    </row>
    <row r="1244">
      <c r="A1244" s="16" t="n">
        <v>45720</v>
      </c>
      <c r="B1244" s="19" t="n">
        <v>2158.49</v>
      </c>
      <c r="D1244" s="16" t="n">
        <v>45720</v>
      </c>
      <c r="E1244" s="19" t="n">
        <v>21.34</v>
      </c>
      <c r="G1244" s="16" t="n">
        <v>45720</v>
      </c>
      <c r="H1244" s="19" t="n">
        <v>2.27</v>
      </c>
    </row>
    <row r="1245">
      <c r="A1245" s="16" t="n">
        <v>45721</v>
      </c>
      <c r="B1245" s="19" t="n">
        <v>2158.67</v>
      </c>
      <c r="D1245" s="16" t="n">
        <v>45721</v>
      </c>
      <c r="E1245" s="19" t="n">
        <v>21.36</v>
      </c>
      <c r="G1245" s="16" t="n">
        <v>45721</v>
      </c>
      <c r="H1245" s="19" t="n">
        <v>2.31</v>
      </c>
    </row>
    <row r="1246">
      <c r="A1246" s="16" t="n">
        <v>45722</v>
      </c>
      <c r="B1246" s="19" t="n">
        <v>2164.84</v>
      </c>
      <c r="D1246" s="16" t="n">
        <v>45722</v>
      </c>
      <c r="E1246" s="19" t="n">
        <v>22.37</v>
      </c>
      <c r="G1246" s="16" t="n">
        <v>45722</v>
      </c>
      <c r="H1246" s="19" t="n">
        <v>2.3</v>
      </c>
    </row>
    <row r="1247">
      <c r="A1247" s="16" t="n">
        <v>45723</v>
      </c>
      <c r="B1247" s="19" t="n">
        <v>2150.79</v>
      </c>
      <c r="D1247" s="16" t="n">
        <v>45723</v>
      </c>
      <c r="E1247" s="19" t="n">
        <v>22.77</v>
      </c>
      <c r="G1247" s="16" t="n">
        <v>45723</v>
      </c>
      <c r="H1247" s="19" t="n">
        <v>2.31</v>
      </c>
    </row>
    <row r="1248">
      <c r="A1248" s="16" t="n">
        <v>45726</v>
      </c>
      <c r="B1248" s="19" t="n">
        <v>2147.78</v>
      </c>
      <c r="D1248" s="16" t="n">
        <v>45726</v>
      </c>
      <c r="E1248" s="19" t="n">
        <v>22.53</v>
      </c>
      <c r="G1248" s="16" t="n">
        <v>45726</v>
      </c>
      <c r="H1248" s="19" t="n">
        <v>2.3</v>
      </c>
    </row>
    <row r="1249">
      <c r="A1249" s="16" t="n">
        <v>45727</v>
      </c>
      <c r="B1249" s="19" t="n">
        <v>2183.74</v>
      </c>
      <c r="D1249" s="16" t="n">
        <v>45727</v>
      </c>
      <c r="E1249" s="19" t="n">
        <v>20.89</v>
      </c>
      <c r="G1249" s="16" t="n">
        <v>45727</v>
      </c>
      <c r="H1249" s="19" t="n">
        <v>2.31</v>
      </c>
    </row>
    <row r="1250">
      <c r="A1250" s="16" t="n">
        <v>45728</v>
      </c>
      <c r="B1250" s="19" t="n">
        <v>2169.5</v>
      </c>
      <c r="D1250" s="16" t="n">
        <v>45728</v>
      </c>
      <c r="E1250" s="19" t="n">
        <v>21.31</v>
      </c>
      <c r="G1250" s="16" t="n">
        <v>45728</v>
      </c>
      <c r="H1250" s="19" t="n">
        <v>2.34</v>
      </c>
    </row>
    <row r="1251">
      <c r="A1251" s="16" t="n">
        <v>45729</v>
      </c>
      <c r="B1251" s="19" t="n">
        <v>2160.89</v>
      </c>
      <c r="D1251" s="16" t="n">
        <v>45729</v>
      </c>
      <c r="E1251" s="19" t="n">
        <v>22.2</v>
      </c>
      <c r="G1251" s="16" t="n">
        <v>45729</v>
      </c>
      <c r="H1251" s="19" t="n">
        <v>2.33</v>
      </c>
    </row>
    <row r="1252">
      <c r="A1252" s="16" t="n">
        <v>45730</v>
      </c>
      <c r="B1252" s="19" t="n">
        <v>2146.94</v>
      </c>
      <c r="D1252" s="16" t="n">
        <v>45730</v>
      </c>
      <c r="E1252" s="19" t="n">
        <v>22.69</v>
      </c>
      <c r="G1252" s="16" t="n">
        <v>45730</v>
      </c>
      <c r="H1252" s="19" t="n">
        <v>2.35</v>
      </c>
    </row>
    <row r="1253">
      <c r="A1253" s="16" t="n">
        <v>45733</v>
      </c>
      <c r="B1253" s="19" t="n">
        <v>2110.26</v>
      </c>
      <c r="D1253" s="16" t="n">
        <v>45733</v>
      </c>
      <c r="E1253" s="19" t="n">
        <v>25.08</v>
      </c>
      <c r="G1253" s="16" t="n">
        <v>45733</v>
      </c>
      <c r="H1253" s="19" t="n">
        <v>2.41</v>
      </c>
    </row>
    <row r="1254">
      <c r="A1254" s="16" t="n">
        <v>45734</v>
      </c>
      <c r="B1254" s="19" t="n">
        <v>2093.38</v>
      </c>
      <c r="D1254" s="16" t="n">
        <v>45734</v>
      </c>
      <c r="E1254" s="19" t="n">
        <v>24.6</v>
      </c>
      <c r="G1254" s="16" t="n">
        <v>45734</v>
      </c>
      <c r="H1254" s="19" t="n">
        <v>2.45</v>
      </c>
    </row>
    <row r="1255">
      <c r="A1255" s="16" t="n">
        <v>45735</v>
      </c>
      <c r="B1255" s="19" t="n">
        <v>2132.62</v>
      </c>
      <c r="D1255" s="16" t="n">
        <v>45735</v>
      </c>
      <c r="E1255" s="19" t="n">
        <v>22.58</v>
      </c>
      <c r="G1255" s="16" t="n">
        <v>45735</v>
      </c>
      <c r="H1255" s="19" t="n">
        <v>2.42</v>
      </c>
    </row>
    <row r="1256">
      <c r="A1256" s="16" t="n">
        <v>45736</v>
      </c>
      <c r="B1256" s="19" t="n">
        <v>2149.88</v>
      </c>
      <c r="D1256" s="16" t="n">
        <v>45736</v>
      </c>
      <c r="E1256" s="19" t="n">
        <v>21.55</v>
      </c>
      <c r="G1256" s="16" t="n">
        <v>45736</v>
      </c>
      <c r="H1256" s="19" t="n">
        <v>2.41</v>
      </c>
    </row>
    <row r="1257">
      <c r="A1257" s="16" t="n">
        <v>45737</v>
      </c>
      <c r="B1257" s="19" t="n">
        <v>2160.66</v>
      </c>
      <c r="D1257" s="16" t="n">
        <v>45737</v>
      </c>
      <c r="E1257" s="19" t="n">
        <v>21.6</v>
      </c>
      <c r="G1257" s="16" t="n">
        <v>45737</v>
      </c>
      <c r="H1257" s="19" t="n">
        <v>2.4</v>
      </c>
    </row>
    <row r="1258">
      <c r="A1258" s="16" t="n">
        <v>45740</v>
      </c>
      <c r="B1258" s="19" t="n">
        <v>2167.4</v>
      </c>
      <c r="D1258" s="16" t="n">
        <v>45740</v>
      </c>
      <c r="E1258" s="19" t="n">
        <v>20.91</v>
      </c>
      <c r="G1258" s="16" t="n">
        <v>45740</v>
      </c>
      <c r="H1258" s="19" t="n">
        <v>2.38</v>
      </c>
    </row>
    <row r="1259">
      <c r="A1259" s="16" t="n">
        <v>45741</v>
      </c>
      <c r="B1259" s="19" t="n">
        <v>2160.28</v>
      </c>
      <c r="D1259" s="16" t="n">
        <v>45741</v>
      </c>
      <c r="E1259" s="19" t="n">
        <v>21.44</v>
      </c>
      <c r="G1259" s="16" t="n">
        <v>45741</v>
      </c>
      <c r="H1259" s="19" t="n">
        <v>2.4</v>
      </c>
    </row>
    <row r="1260">
      <c r="A1260" s="16" t="n">
        <v>45742</v>
      </c>
      <c r="B1260" s="19" t="n">
        <v>2167.25</v>
      </c>
      <c r="D1260" s="16" t="n">
        <v>45742</v>
      </c>
      <c r="E1260" s="19" t="n">
        <v>21.94</v>
      </c>
      <c r="G1260" s="16" t="n">
        <v>45742</v>
      </c>
      <c r="H1260" s="19" t="n">
        <v>2.34</v>
      </c>
    </row>
    <row r="1261">
      <c r="A1261" s="16" t="n">
        <v>45743</v>
      </c>
      <c r="B1261" s="19" t="n">
        <v>2151.04</v>
      </c>
      <c r="D1261" s="16" t="n">
        <v>45743</v>
      </c>
      <c r="E1261" s="19" t="n">
        <v>22.49</v>
      </c>
      <c r="G1261" s="16" t="n">
        <v>45743</v>
      </c>
      <c r="H1261" s="19" t="n">
        <v>2.34</v>
      </c>
    </row>
    <row r="1262">
      <c r="A1262" s="16" t="n">
        <v>45744</v>
      </c>
      <c r="B1262" s="19" t="n">
        <v>2176.96</v>
      </c>
      <c r="D1262" s="16" t="n">
        <v>45744</v>
      </c>
      <c r="E1262" s="19" t="n">
        <v>21.47</v>
      </c>
      <c r="G1262" s="16" t="n">
        <v>45744</v>
      </c>
      <c r="H1262" s="19" t="n">
        <v>2.28</v>
      </c>
    </row>
    <row r="1263">
      <c r="A1263" s="16" t="n">
        <v>45747</v>
      </c>
      <c r="B1263" s="19" t="n">
        <v>2177.39</v>
      </c>
      <c r="D1263" s="16" t="n">
        <v>45747</v>
      </c>
      <c r="E1263" s="19" t="n">
        <v>22.47</v>
      </c>
      <c r="G1263" s="16" t="n">
        <v>45747</v>
      </c>
      <c r="H1263" s="19" t="n">
        <v>2.26</v>
      </c>
    </row>
    <row r="1264">
      <c r="A1264" s="16" t="n">
        <v>45748</v>
      </c>
      <c r="B1264" s="19" t="n">
        <v>2203.56</v>
      </c>
      <c r="D1264" s="16" t="n">
        <v>45748</v>
      </c>
      <c r="E1264" s="19" t="n">
        <v>21.58</v>
      </c>
      <c r="G1264" s="16" t="n">
        <v>45748</v>
      </c>
      <c r="H1264" s="19" t="n">
        <v>2.22</v>
      </c>
    </row>
    <row r="1265">
      <c r="A1265" s="16" t="n">
        <v>45749</v>
      </c>
      <c r="B1265" s="19" t="n">
        <v>2224.69</v>
      </c>
      <c r="D1265" s="16" t="n">
        <v>45749</v>
      </c>
      <c r="E1265" s="19" t="n">
        <v>21.72</v>
      </c>
      <c r="G1265" s="16" t="n">
        <v>45749</v>
      </c>
      <c r="H1265" s="19" t="n">
        <v>2.19</v>
      </c>
    </row>
    <row r="1266">
      <c r="A1266" s="16" t="n">
        <v>45750</v>
      </c>
      <c r="B1266" s="19" t="n">
        <v>2216.82</v>
      </c>
      <c r="D1266" s="16" t="n">
        <v>45750</v>
      </c>
      <c r="E1266" s="19" t="n">
        <v>20.84</v>
      </c>
      <c r="G1266" s="16" t="n">
        <v>45750</v>
      </c>
      <c r="H1266" s="19" t="n">
        <v>2.22</v>
      </c>
    </row>
    <row r="1267">
      <c r="A1267" s="16" t="n">
        <v>45751</v>
      </c>
      <c r="B1267" s="19" t="n">
        <v>2234.15</v>
      </c>
      <c r="D1267" s="16" t="n">
        <v>45751</v>
      </c>
      <c r="E1267" s="19" t="n">
        <v>19.3</v>
      </c>
      <c r="G1267" s="16" t="n">
        <v>45751</v>
      </c>
      <c r="H1267" s="19" t="n">
        <v>2.18</v>
      </c>
    </row>
    <row r="1268">
      <c r="A1268" s="16" t="n">
        <v>45754</v>
      </c>
      <c r="B1268" s="19" t="n">
        <v>2281.51</v>
      </c>
      <c r="D1268" s="16" t="n">
        <v>45754</v>
      </c>
      <c r="E1268" s="19" t="n">
        <v>16.35</v>
      </c>
      <c r="G1268" s="16" t="n">
        <v>45754</v>
      </c>
      <c r="H1268" s="19" t="n">
        <v>2.14</v>
      </c>
    </row>
    <row r="1269">
      <c r="A1269" s="16" t="n">
        <v>45755</v>
      </c>
      <c r="B1269" s="19" t="n">
        <v>2303.48</v>
      </c>
      <c r="D1269" s="16" t="n">
        <v>45755</v>
      </c>
      <c r="E1269" s="19" t="n">
        <v>16.14</v>
      </c>
      <c r="G1269" s="16" t="n">
        <v>45755</v>
      </c>
      <c r="H1269" s="19" t="n">
        <v>2.14</v>
      </c>
    </row>
    <row r="1270">
      <c r="A1270" s="16" t="n">
        <v>45756</v>
      </c>
      <c r="B1270" s="19" t="n">
        <v>2277.41</v>
      </c>
      <c r="D1270" s="16" t="n">
        <v>45756</v>
      </c>
      <c r="E1270" s="19" t="n">
        <v>17.71</v>
      </c>
      <c r="G1270" s="16" t="n">
        <v>45756</v>
      </c>
      <c r="H1270" s="19" t="n">
        <v>2.22</v>
      </c>
    </row>
    <row r="1271">
      <c r="A1271" s="16" t="n">
        <v>45757</v>
      </c>
      <c r="B1271" s="19" t="n">
        <v>2305.06</v>
      </c>
      <c r="D1271" s="16" t="n">
        <v>45757</v>
      </c>
      <c r="E1271" s="19" t="n">
        <v>16.73</v>
      </c>
      <c r="G1271" s="16" t="n">
        <v>45757</v>
      </c>
      <c r="H1271" s="19" t="n">
        <v>2.19</v>
      </c>
    </row>
    <row r="1272">
      <c r="A1272" s="16" t="n">
        <v>45758</v>
      </c>
      <c r="B1272" s="19" t="n">
        <v>2272.86</v>
      </c>
      <c r="D1272" s="16" t="n">
        <v>45758</v>
      </c>
      <c r="E1272" s="19" t="n">
        <v>17.98</v>
      </c>
      <c r="G1272" s="16" t="n">
        <v>45758</v>
      </c>
      <c r="H1272" s="19" t="n">
        <v>2.22</v>
      </c>
    </row>
    <row r="1273">
      <c r="A1273" s="16" t="n">
        <v>45761</v>
      </c>
      <c r="B1273" s="19" t="n">
        <v>2261.28</v>
      </c>
      <c r="D1273" s="16" t="n">
        <v>45761</v>
      </c>
      <c r="E1273" s="19" t="n">
        <v>18.41</v>
      </c>
      <c r="G1273" s="16" t="n">
        <v>45761</v>
      </c>
      <c r="H1273" s="19" t="n">
        <v>2.2</v>
      </c>
    </row>
    <row r="1274">
      <c r="A1274" s="16" t="n">
        <v>45762</v>
      </c>
      <c r="B1274" s="19" t="n">
        <v>2272.13</v>
      </c>
      <c r="D1274" s="16" t="n">
        <v>45762</v>
      </c>
      <c r="E1274" s="19" t="n">
        <v>19.31</v>
      </c>
      <c r="G1274" s="16" t="n">
        <v>45762</v>
      </c>
      <c r="H1274" s="19" t="n">
        <v>2.21</v>
      </c>
    </row>
    <row r="1275">
      <c r="A1275" s="16" t="n">
        <v>45763</v>
      </c>
      <c r="B1275" s="19" t="n">
        <v>2272.73</v>
      </c>
      <c r="D1275" s="16" t="n">
        <v>45763</v>
      </c>
      <c r="E1275" s="19" t="n">
        <v>19.02</v>
      </c>
      <c r="G1275" s="16" t="n">
        <v>45763</v>
      </c>
      <c r="H1275" s="19" t="n">
        <v>2.19</v>
      </c>
    </row>
    <row r="1276">
      <c r="A1276" s="16" t="n">
        <v>45764</v>
      </c>
      <c r="B1276" s="19" t="n">
        <v>2278.92</v>
      </c>
      <c r="D1276" s="16" t="n">
        <v>45764</v>
      </c>
      <c r="E1276" s="19" t="n">
        <v>18.49</v>
      </c>
      <c r="G1276" s="16" t="n">
        <v>45764</v>
      </c>
      <c r="H1276" s="19" t="n">
        <v>2.17</v>
      </c>
    </row>
    <row r="1277">
      <c r="A1277" s="16" t="n">
        <v>45765</v>
      </c>
      <c r="B1277" s="19" t="n">
        <v>2300.63</v>
      </c>
      <c r="D1277" s="16" t="n">
        <v>45765</v>
      </c>
      <c r="E1277" s="19" t="n">
        <v>17.81</v>
      </c>
      <c r="G1277" s="16" t="n">
        <v>45765</v>
      </c>
      <c r="H1277" s="19" t="n">
        <v>2.17</v>
      </c>
    </row>
    <row r="1278">
      <c r="A1278" s="16" t="n">
        <v>45768</v>
      </c>
      <c r="B1278" s="19" t="n">
        <v>2279.19</v>
      </c>
      <c r="D1278" s="16" t="n">
        <v>45768</v>
      </c>
      <c r="E1278" s="19" t="n">
        <v>18.34</v>
      </c>
      <c r="G1278" s="16" t="n">
        <v>45768</v>
      </c>
      <c r="H1278" s="19" t="n">
        <v>2.2</v>
      </c>
    </row>
    <row r="1279">
      <c r="A1279" s="16" t="n">
        <v>45769</v>
      </c>
      <c r="B1279" s="19" t="n">
        <v>2282.28</v>
      </c>
      <c r="D1279" s="16" t="n">
        <v>45769</v>
      </c>
      <c r="E1279" s="19" t="n">
        <v>18.33</v>
      </c>
      <c r="G1279" s="16" t="n">
        <v>45769</v>
      </c>
      <c r="H1279" s="19" t="n">
        <v>2.18</v>
      </c>
    </row>
    <row r="1280">
      <c r="A1280" s="16" t="n">
        <v>45770</v>
      </c>
      <c r="B1280" s="19" t="n">
        <v>2263.58</v>
      </c>
      <c r="D1280" s="16" t="n">
        <v>45770</v>
      </c>
      <c r="E1280" s="19" t="n">
        <v>18.9</v>
      </c>
      <c r="G1280" s="16" t="n">
        <v>45770</v>
      </c>
      <c r="H1280" s="19" t="n">
        <v>2.21</v>
      </c>
    </row>
    <row r="1281">
      <c r="A1281" s="16" t="n">
        <v>45771</v>
      </c>
      <c r="B1281" s="19" t="n">
        <v>2238.25</v>
      </c>
      <c r="D1281" s="16" t="n">
        <v>45771</v>
      </c>
      <c r="E1281" s="19" t="n">
        <v>20.05</v>
      </c>
      <c r="G1281" s="16" t="n">
        <v>45771</v>
      </c>
      <c r="H1281" s="19" t="n">
        <v>2.25</v>
      </c>
    </row>
    <row r="1282">
      <c r="A1282" s="16" t="n">
        <v>45772</v>
      </c>
      <c r="B1282" s="19" t="n">
        <v>2250.14</v>
      </c>
      <c r="D1282" s="16" t="n">
        <v>45772</v>
      </c>
      <c r="E1282" s="19" t="n">
        <v>18.94</v>
      </c>
      <c r="G1282" s="16" t="n">
        <v>45772</v>
      </c>
      <c r="H1282" s="19" t="n">
        <v>2.23</v>
      </c>
    </row>
    <row r="1283">
      <c r="A1283" s="16" t="n">
        <v>45775</v>
      </c>
      <c r="B1283" s="19" t="n">
        <v>2292.44</v>
      </c>
      <c r="D1283" s="16" t="n">
        <v>45775</v>
      </c>
      <c r="E1283" s="19" t="n">
        <v>17.1</v>
      </c>
      <c r="G1283" s="16" t="n">
        <v>45775</v>
      </c>
      <c r="H1283" s="19" t="n">
        <v>2.2</v>
      </c>
    </row>
    <row r="1284">
      <c r="A1284" s="16" t="n">
        <v>45776</v>
      </c>
      <c r="B1284" s="19" t="n">
        <v>2287.61</v>
      </c>
      <c r="D1284" s="16" t="n">
        <v>45776</v>
      </c>
      <c r="E1284" s="19" t="n">
        <v>17.12</v>
      </c>
      <c r="G1284" s="16" t="n">
        <v>45776</v>
      </c>
      <c r="H1284" s="19" t="n">
        <v>2.18</v>
      </c>
    </row>
    <row r="1285">
      <c r="A1285" s="16" t="n">
        <v>45777</v>
      </c>
      <c r="B1285" s="19" t="n">
        <v>2324.76</v>
      </c>
      <c r="D1285" s="16" t="n">
        <v>45777</v>
      </c>
      <c r="E1285" s="19" t="n">
        <v>16.3</v>
      </c>
      <c r="G1285" s="16" t="n">
        <v>45777</v>
      </c>
      <c r="H1285" s="19" t="n">
        <v>2.13</v>
      </c>
    </row>
    <row r="1286">
      <c r="A1286" s="16" t="n">
        <v>45778</v>
      </c>
      <c r="B1286" s="19" t="n">
        <v>2309.35</v>
      </c>
      <c r="D1286" s="16" t="n">
        <v>45778</v>
      </c>
      <c r="E1286" s="19" t="n">
        <v>18.19</v>
      </c>
      <c r="G1286" s="16" t="n">
        <v>45778</v>
      </c>
      <c r="H1286" s="19" t="n">
        <v>2.13</v>
      </c>
    </row>
    <row r="1287">
      <c r="A1287" s="16" t="n">
        <v>45779</v>
      </c>
      <c r="B1287" s="19" t="n">
        <v>2329.35</v>
      </c>
      <c r="D1287" s="16" t="n">
        <v>45779</v>
      </c>
      <c r="E1287" s="19" t="n">
        <v>16.77</v>
      </c>
      <c r="G1287" s="16" t="n">
        <v>45779</v>
      </c>
      <c r="H1287" s="19" t="n">
        <v>2.12</v>
      </c>
    </row>
    <row r="1288">
      <c r="A1288" s="16" t="n">
        <v>45782</v>
      </c>
      <c r="B1288" s="19" t="n">
        <v>2328.97</v>
      </c>
      <c r="D1288" s="16" t="n">
        <v>45782</v>
      </c>
      <c r="E1288" s="19" t="n">
        <v>16.71</v>
      </c>
      <c r="G1288" s="16" t="n">
        <v>45782</v>
      </c>
      <c r="H1288" s="19" t="n">
        <v>2.12</v>
      </c>
    </row>
    <row r="1289">
      <c r="A1289" s="16" t="n">
        <v>45783</v>
      </c>
      <c r="B1289" s="19" t="n">
        <v>2361.86</v>
      </c>
      <c r="D1289" s="16" t="n">
        <v>45783</v>
      </c>
      <c r="E1289" s="19" t="n">
        <v>14.8</v>
      </c>
      <c r="G1289" s="16" t="n">
        <v>45783</v>
      </c>
      <c r="H1289" s="19" t="n">
        <v>2.05</v>
      </c>
    </row>
    <row r="1290">
      <c r="A1290" s="16" t="n">
        <v>45784</v>
      </c>
      <c r="B1290" s="19" t="n">
        <v>2338.28</v>
      </c>
      <c r="D1290" s="16" t="n">
        <v>45784</v>
      </c>
      <c r="E1290" s="19" t="n">
        <v>15.25</v>
      </c>
      <c r="G1290" s="16" t="n">
        <v>45784</v>
      </c>
      <c r="H1290" s="19" t="n">
        <v>2.06</v>
      </c>
    </row>
    <row r="1291">
      <c r="A1291" s="16" t="n">
        <v>45785</v>
      </c>
      <c r="B1291" s="19" t="n">
        <v>2361.03</v>
      </c>
      <c r="D1291" s="16" t="n">
        <v>45785</v>
      </c>
      <c r="E1291" s="19" t="n">
        <v>14.43</v>
      </c>
      <c r="G1291" s="16" t="n">
        <v>45785</v>
      </c>
      <c r="H1291" s="19" t="n">
        <v>2.05</v>
      </c>
    </row>
    <row r="1292">
      <c r="A1292" s="16" t="n">
        <v>45786</v>
      </c>
      <c r="B1292" s="19" t="n">
        <v>2341.93</v>
      </c>
      <c r="D1292" s="16" t="n">
        <v>45786</v>
      </c>
      <c r="E1292" s="19" t="n">
        <v>14.91</v>
      </c>
      <c r="G1292" s="16" t="n">
        <v>45786</v>
      </c>
      <c r="H1292" s="19" t="n">
        <v>2.09</v>
      </c>
    </row>
    <row r="1293">
      <c r="A1293" s="16" t="n">
        <v>45789</v>
      </c>
      <c r="B1293" s="19" t="n">
        <v>2353.13</v>
      </c>
      <c r="D1293" s="16" t="n">
        <v>45789</v>
      </c>
      <c r="E1293" s="19" t="n">
        <v>13.61</v>
      </c>
      <c r="G1293" s="16" t="n">
        <v>45789</v>
      </c>
      <c r="H1293" s="19" t="n">
        <v>2.04</v>
      </c>
    </row>
    <row r="1294">
      <c r="A1294" s="16" t="n">
        <v>45790</v>
      </c>
      <c r="B1294" s="19" t="n">
        <v>2336.18</v>
      </c>
      <c r="D1294" s="16" t="n">
        <v>45790</v>
      </c>
      <c r="E1294" s="19" t="n">
        <v>14.08</v>
      </c>
      <c r="G1294" s="16" t="n">
        <v>45790</v>
      </c>
      <c r="H1294" s="19" t="n">
        <v>2.04</v>
      </c>
    </row>
    <row r="1295">
      <c r="A1295" s="16" t="n">
        <v>45791</v>
      </c>
      <c r="B1295" s="19" t="n">
        <v>2353.01</v>
      </c>
      <c r="D1295" s="16" t="n">
        <v>45791</v>
      </c>
      <c r="E1295" s="19" t="n">
        <v>12.76</v>
      </c>
      <c r="G1295" s="16" t="n">
        <v>45791</v>
      </c>
      <c r="H1295" s="19" t="n">
        <v>2.02</v>
      </c>
    </row>
    <row r="1296">
      <c r="A1296" s="16" t="n">
        <v>45792</v>
      </c>
      <c r="B1296" s="19" t="n">
        <v>2365.43</v>
      </c>
      <c r="D1296" s="16" t="n">
        <v>45792</v>
      </c>
      <c r="E1296" s="19" t="n">
        <v>13.17</v>
      </c>
      <c r="G1296" s="16" t="n">
        <v>45792</v>
      </c>
      <c r="H1296" s="19" t="n">
        <v>2.02</v>
      </c>
    </row>
    <row r="1297">
      <c r="A1297" s="16" t="n">
        <v>45793</v>
      </c>
      <c r="B1297" s="19" t="n">
        <v>2404.41</v>
      </c>
      <c r="D1297" s="16" t="n">
        <v>45793</v>
      </c>
      <c r="E1297" s="19" t="n">
        <v>12.45</v>
      </c>
      <c r="G1297" s="16" t="n">
        <v>45793</v>
      </c>
      <c r="H1297" s="19" t="n">
        <v>1.98</v>
      </c>
    </row>
    <row r="1298">
      <c r="A1298" s="16" t="n">
        <v>45796</v>
      </c>
      <c r="B1298" s="19" t="n">
        <v>2451.23</v>
      </c>
      <c r="D1298" s="16" t="n">
        <v>45796</v>
      </c>
      <c r="E1298" s="19" t="n">
        <v>9.93</v>
      </c>
      <c r="G1298" s="16" t="n">
        <v>45796</v>
      </c>
      <c r="H1298" s="19" t="n">
        <v>1.91</v>
      </c>
    </row>
    <row r="1299">
      <c r="A1299" s="16" t="n">
        <v>45797</v>
      </c>
      <c r="B1299" s="19" t="n">
        <v>2486.23</v>
      </c>
      <c r="D1299" s="16" t="n">
        <v>45797</v>
      </c>
      <c r="E1299" s="19" t="n">
        <v>9.51</v>
      </c>
      <c r="G1299" s="16" t="n">
        <v>45797</v>
      </c>
      <c r="H1299" s="19" t="n">
        <v>1.91</v>
      </c>
    </row>
    <row r="1300">
      <c r="A1300" s="16" t="n">
        <v>45798</v>
      </c>
      <c r="B1300" s="19" t="n">
        <v>2461.94</v>
      </c>
      <c r="D1300" s="16" t="n">
        <v>45798</v>
      </c>
      <c r="E1300" s="19" t="n">
        <v>11.2</v>
      </c>
      <c r="G1300" s="16" t="n">
        <v>45798</v>
      </c>
      <c r="H1300" s="19" t="n">
        <v>1.87</v>
      </c>
    </row>
    <row r="1301">
      <c r="A1301" s="16" t="n">
        <v>45799</v>
      </c>
      <c r="B1301" s="19" t="n">
        <v>2482.85</v>
      </c>
      <c r="D1301" s="16" t="n">
        <v>45799</v>
      </c>
      <c r="E1301" s="19" t="n">
        <v>10.28</v>
      </c>
      <c r="G1301" s="16" t="n">
        <v>45799</v>
      </c>
      <c r="H1301" s="19" t="n">
        <v>1.88</v>
      </c>
    </row>
    <row r="1302">
      <c r="A1302" s="16" t="n">
        <v>45800</v>
      </c>
      <c r="B1302" s="19" t="n">
        <v>2511.68</v>
      </c>
      <c r="D1302" s="16" t="n">
        <v>45800</v>
      </c>
      <c r="E1302" s="19" t="n">
        <v>9.5</v>
      </c>
      <c r="G1302" s="16" t="n">
        <v>45800</v>
      </c>
      <c r="H1302" s="19" t="n">
        <v>1.81</v>
      </c>
    </row>
    <row r="1303">
      <c r="A1303" s="16" t="n">
        <v>45803</v>
      </c>
      <c r="B1303" s="19" t="n">
        <v>2550.18</v>
      </c>
      <c r="D1303" s="16" t="n">
        <v>45803</v>
      </c>
      <c r="E1303" s="19" t="n">
        <v>9.5</v>
      </c>
      <c r="G1303" s="16" t="n">
        <v>45803</v>
      </c>
      <c r="H1303" s="19" t="n">
        <v>1.8</v>
      </c>
    </row>
    <row r="1304">
      <c r="A1304" s="16" t="n">
        <v>45804</v>
      </c>
      <c r="B1304" s="19" t="n">
        <v>2581.78</v>
      </c>
      <c r="D1304" s="16" t="n">
        <v>45804</v>
      </c>
      <c r="E1304" s="19" t="n">
        <v>9.5</v>
      </c>
      <c r="G1304" s="16" t="n">
        <v>45804</v>
      </c>
      <c r="H1304" s="19" t="n">
        <v>1.81</v>
      </c>
    </row>
    <row r="1305">
      <c r="A1305" s="16" t="n">
        <v>45805</v>
      </c>
      <c r="B1305" s="19" t="n">
        <v>2619.75</v>
      </c>
      <c r="D1305" s="16" t="n">
        <v>45805</v>
      </c>
      <c r="E1305" s="19" t="n">
        <v>9.5</v>
      </c>
      <c r="G1305" s="16" t="n">
        <v>45805</v>
      </c>
      <c r="H1305" s="19" t="n">
        <v>1.78</v>
      </c>
    </row>
    <row r="1306">
      <c r="A1306" s="16" t="n">
        <v>45806</v>
      </c>
      <c r="B1306" s="19" t="n">
        <v>2570.84</v>
      </c>
      <c r="D1306" s="16" t="n">
        <v>45806</v>
      </c>
      <c r="E1306" s="19" t="n">
        <v>11.96</v>
      </c>
      <c r="G1306" s="16" t="n">
        <v>45806</v>
      </c>
      <c r="H1306" s="19" t="n">
        <v>1.81</v>
      </c>
    </row>
    <row r="1307">
      <c r="A1307" s="16" t="n">
        <v>45807</v>
      </c>
      <c r="B1307" s="19" t="n">
        <v>2573.33</v>
      </c>
      <c r="D1307" s="16" t="n">
        <v>45807</v>
      </c>
      <c r="E1307" s="19" t="n">
        <v>13.05</v>
      </c>
      <c r="G1307" s="16" t="n">
        <v>45807</v>
      </c>
      <c r="H1307" s="19" t="n">
        <v>1.79</v>
      </c>
    </row>
    <row r="1308">
      <c r="A1308" s="16" t="n">
        <v>45810</v>
      </c>
      <c r="B1308" s="19" t="n">
        <v>2579.41</v>
      </c>
      <c r="D1308" s="16" t="n">
        <v>45810</v>
      </c>
      <c r="E1308" s="19" t="n">
        <v>11.97</v>
      </c>
      <c r="G1308" s="16" t="n">
        <v>45810</v>
      </c>
      <c r="H1308" s="19" t="n">
        <v>1.83</v>
      </c>
    </row>
    <row r="1309">
      <c r="A1309" s="16" t="n">
        <v>45811</v>
      </c>
      <c r="B1309" s="19" t="n">
        <v>2555.91</v>
      </c>
      <c r="D1309" s="16" t="n">
        <v>45811</v>
      </c>
      <c r="E1309" s="19" t="n">
        <v>12.97</v>
      </c>
      <c r="G1309" s="16" t="n">
        <v>45811</v>
      </c>
      <c r="H1309" s="19" t="n">
        <v>1.85</v>
      </c>
    </row>
    <row r="1310">
      <c r="A1310" s="16" t="n">
        <v>45812</v>
      </c>
      <c r="B1310" s="19" t="n">
        <v>2523.92</v>
      </c>
      <c r="D1310" s="16" t="n">
        <v>45812</v>
      </c>
      <c r="E1310" s="19" t="n">
        <v>15.13</v>
      </c>
      <c r="G1310" s="16" t="n">
        <v>45812</v>
      </c>
      <c r="H1310" s="19" t="n">
        <v>1.9</v>
      </c>
    </row>
    <row r="1311">
      <c r="A1311" s="16" t="n">
        <v>45813</v>
      </c>
      <c r="B1311" s="19" t="n">
        <v>2551.61</v>
      </c>
      <c r="D1311" s="16" t="n">
        <v>45813</v>
      </c>
      <c r="E1311" s="19" t="n">
        <v>14.15</v>
      </c>
      <c r="G1311" s="16" t="n">
        <v>45813</v>
      </c>
      <c r="H1311" s="19" t="n">
        <v>1.84</v>
      </c>
    </row>
    <row r="1312">
      <c r="A1312" s="16" t="n">
        <v>45814</v>
      </c>
      <c r="B1312" s="19" t="n">
        <v>2561.7</v>
      </c>
      <c r="D1312" s="16" t="n">
        <v>45814</v>
      </c>
      <c r="E1312" s="19" t="n">
        <v>13.94</v>
      </c>
      <c r="G1312" s="16" t="n">
        <v>45814</v>
      </c>
      <c r="H1312" s="19" t="n">
        <v>1.84</v>
      </c>
    </row>
    <row r="1313">
      <c r="A1313" s="16" t="n">
        <v>45817</v>
      </c>
      <c r="B1313" s="19" t="n">
        <v>2577.42</v>
      </c>
      <c r="D1313" s="16" t="n">
        <v>45817</v>
      </c>
      <c r="E1313" s="19" t="n">
        <v>14.62</v>
      </c>
      <c r="G1313" s="16" t="n">
        <v>45817</v>
      </c>
      <c r="H1313" s="19" t="n">
        <v>1.81</v>
      </c>
    </row>
    <row r="1314">
      <c r="A1314" s="16" t="n">
        <v>45818</v>
      </c>
      <c r="B1314" s="19" t="n">
        <v>2588.68</v>
      </c>
      <c r="D1314" s="16" t="n">
        <v>45818</v>
      </c>
      <c r="E1314" s="19" t="n">
        <v>14.45</v>
      </c>
      <c r="G1314" s="16" t="n">
        <v>45818</v>
      </c>
      <c r="H1314" s="19" t="n">
        <v>1.84</v>
      </c>
    </row>
    <row r="1315">
      <c r="A1315" s="16" t="n">
        <v>45819</v>
      </c>
      <c r="B1315" s="19" t="n">
        <v>2599.36</v>
      </c>
      <c r="D1315" s="16" t="n">
        <v>45819</v>
      </c>
      <c r="E1315" s="19" t="n">
        <v>14.75</v>
      </c>
      <c r="G1315" s="16" t="n">
        <v>45819</v>
      </c>
      <c r="H1315" s="19" t="n">
        <v>1.82</v>
      </c>
    </row>
    <row r="1316">
      <c r="A1316" s="16" t="n">
        <v>45820</v>
      </c>
      <c r="B1316" s="19" t="n">
        <v>2566.9</v>
      </c>
      <c r="D1316" s="16" t="n">
        <v>45820</v>
      </c>
      <c r="E1316" s="19" t="n">
        <v>15.99</v>
      </c>
      <c r="G1316" s="16" t="n">
        <v>45820</v>
      </c>
      <c r="H1316" s="19" t="n">
        <v>1.87</v>
      </c>
    </row>
    <row r="1317">
      <c r="A1317" s="16" t="n">
        <v>45821</v>
      </c>
      <c r="B1317" s="19" t="n">
        <v>2590.67</v>
      </c>
      <c r="D1317" s="16" t="n">
        <v>45821</v>
      </c>
      <c r="E1317" s="19" t="n">
        <v>14.85</v>
      </c>
      <c r="G1317" s="16" t="n">
        <v>45821</v>
      </c>
      <c r="H1317" s="19" t="n">
        <v>1.83</v>
      </c>
    </row>
    <row r="1318">
      <c r="A1318" s="16" t="n">
        <v>45824</v>
      </c>
      <c r="B1318" s="19" t="n">
        <v>2617.76</v>
      </c>
      <c r="D1318" s="16" t="n">
        <v>45824</v>
      </c>
      <c r="E1318" s="19" t="n">
        <v>14.91</v>
      </c>
      <c r="G1318" s="16" t="n">
        <v>45824</v>
      </c>
      <c r="H1318" s="19" t="n">
        <v>1.82</v>
      </c>
    </row>
    <row r="1319">
      <c r="A1319" s="16" t="n">
        <v>45825</v>
      </c>
      <c r="B1319" s="19" t="n">
        <v>2658.6</v>
      </c>
      <c r="D1319" s="16" t="n">
        <v>45825</v>
      </c>
      <c r="E1319" s="19" t="n">
        <v>13.55</v>
      </c>
      <c r="G1319" s="16" t="n">
        <v>45825</v>
      </c>
      <c r="H1319" s="19" t="n">
        <v>1.8</v>
      </c>
    </row>
    <row r="1320">
      <c r="A1320" s="16" t="n">
        <v>45826</v>
      </c>
      <c r="B1320" s="19" t="n">
        <v>2640.89</v>
      </c>
      <c r="D1320" s="16" t="n">
        <v>45826</v>
      </c>
      <c r="E1320" s="19" t="n">
        <v>14.21</v>
      </c>
      <c r="G1320" s="16" t="n">
        <v>45826</v>
      </c>
      <c r="H1320" s="19" t="n">
        <v>1.81</v>
      </c>
    </row>
    <row r="1321">
      <c r="A1321" s="16" t="n">
        <v>45827</v>
      </c>
      <c r="B1321" s="19" t="n">
        <v>2598.51</v>
      </c>
      <c r="D1321" s="16" t="n">
        <v>45827</v>
      </c>
      <c r="E1321" s="19" t="n">
        <v>15.19</v>
      </c>
      <c r="G1321" s="16" t="n">
        <v>45827</v>
      </c>
      <c r="H1321" s="19" t="n">
        <v>1.83</v>
      </c>
    </row>
    <row r="1322">
      <c r="A1322" s="16" t="n">
        <v>45828</v>
      </c>
      <c r="B1322" s="19" t="n">
        <v>2592.18</v>
      </c>
      <c r="D1322" s="16" t="n">
        <v>45828</v>
      </c>
      <c r="E1322" s="19" t="n">
        <v>15.67</v>
      </c>
      <c r="G1322" s="16" t="n">
        <v>45828</v>
      </c>
      <c r="H1322" s="19" t="n">
        <v>1.84</v>
      </c>
    </row>
    <row r="1323">
      <c r="A1323" s="16" t="n">
        <v>45831</v>
      </c>
      <c r="B1323" s="19" t="n">
        <v>2589.93</v>
      </c>
      <c r="D1323" s="16" t="n">
        <v>45831</v>
      </c>
      <c r="E1323" s="19" t="n">
        <v>14.99</v>
      </c>
      <c r="G1323" s="16" t="n">
        <v>45831</v>
      </c>
      <c r="H1323" s="19" t="n">
        <v>1.82</v>
      </c>
    </row>
    <row r="1324">
      <c r="A1324" s="16" t="n">
        <v>45832</v>
      </c>
      <c r="B1324" s="19" t="n">
        <v>2628.79</v>
      </c>
      <c r="D1324" s="16" t="n">
        <v>45832</v>
      </c>
      <c r="E1324" s="19" t="n">
        <v>14.69</v>
      </c>
      <c r="G1324" s="16" t="n">
        <v>45832</v>
      </c>
      <c r="H1324" s="19" t="n">
        <v>1.78</v>
      </c>
    </row>
    <row r="1325">
      <c r="A1325" s="16" t="n">
        <v>45833</v>
      </c>
      <c r="B1325" s="19" t="n">
        <v>2640.78</v>
      </c>
      <c r="D1325" s="16" t="n">
        <v>45833</v>
      </c>
      <c r="E1325" s="19" t="n">
        <v>14.44</v>
      </c>
      <c r="G1325" s="16" t="n">
        <v>45833</v>
      </c>
      <c r="H1325" s="19" t="n">
        <v>1.76</v>
      </c>
    </row>
    <row r="1326">
      <c r="A1326" s="16" t="n">
        <v>45834</v>
      </c>
      <c r="B1326" s="19" t="n">
        <v>2679.91</v>
      </c>
      <c r="D1326" s="16" t="n">
        <v>45834</v>
      </c>
      <c r="E1326" s="19" t="n">
        <v>13.34</v>
      </c>
      <c r="G1326" s="16" t="n">
        <v>45834</v>
      </c>
      <c r="H1326" s="19" t="n">
        <v>1.72</v>
      </c>
    </row>
    <row r="1327">
      <c r="A1327" s="16" t="n">
        <v>45835</v>
      </c>
      <c r="B1327" s="19" t="n">
        <v>2672.33</v>
      </c>
      <c r="D1327" s="16" t="n">
        <v>45835</v>
      </c>
      <c r="E1327" s="19" t="n">
        <v>13.45</v>
      </c>
      <c r="G1327" s="16" t="n">
        <v>45835</v>
      </c>
      <c r="H1327" s="19" t="n">
        <v>1.73</v>
      </c>
    </row>
    <row r="1328">
      <c r="A1328" s="16" t="n">
        <v>45838</v>
      </c>
      <c r="B1328" s="19" t="n">
        <v>2635.47</v>
      </c>
      <c r="D1328" s="16" t="n">
        <v>45838</v>
      </c>
      <c r="E1328" s="19" t="n">
        <v>15.15</v>
      </c>
      <c r="G1328" s="16" t="n">
        <v>45838</v>
      </c>
      <c r="H1328" s="19" t="n">
        <v>1.76</v>
      </c>
    </row>
    <row r="1329">
      <c r="A1329" s="16" t="n">
        <v>45839</v>
      </c>
      <c r="B1329" s="19" t="n">
        <v>2594.03</v>
      </c>
      <c r="D1329" s="16" t="n">
        <v>45839</v>
      </c>
      <c r="E1329" s="19" t="n">
        <v>18.1</v>
      </c>
      <c r="G1329" s="16" t="n">
        <v>45839</v>
      </c>
      <c r="H1329" s="19" t="n">
        <v>1.8</v>
      </c>
    </row>
    <row r="1330">
      <c r="A1330" s="16" t="n">
        <v>45840</v>
      </c>
      <c r="B1330" s="19" t="n">
        <v>2583.28</v>
      </c>
      <c r="D1330" s="16" t="n">
        <v>45840</v>
      </c>
      <c r="E1330" s="19" t="n">
        <v>18.38</v>
      </c>
      <c r="G1330" s="16" t="n">
        <v>45840</v>
      </c>
      <c r="H1330" s="19" t="n">
        <v>1.79</v>
      </c>
    </row>
    <row r="1331">
      <c r="A1331" s="16" t="n">
        <v>45841</v>
      </c>
      <c r="B1331" s="19" t="n">
        <v>2570.88</v>
      </c>
      <c r="D1331" s="16" t="n">
        <v>45841</v>
      </c>
      <c r="E1331" s="19" t="n">
        <v>19.82</v>
      </c>
      <c r="G1331" s="16" t="n">
        <v>45841</v>
      </c>
      <c r="H1331" s="19" t="n">
        <v>1.79</v>
      </c>
    </row>
    <row r="1332">
      <c r="A1332" s="16" t="n">
        <v>45842</v>
      </c>
      <c r="B1332" s="19" t="inlineStr">
        <is>
          <t>.</t>
        </is>
      </c>
      <c r="D1332" s="16" t="n">
        <v>45842</v>
      </c>
      <c r="E1332" s="19" t="inlineStr"/>
      <c r="G1332" s="16" t="n">
        <v>45842</v>
      </c>
      <c r="H1332" s="19" t="inlineStr">
        <is>
          <t>.</t>
        </is>
      </c>
    </row>
    <row r="1333">
      <c r="A1333" s="16" t="n">
        <v>45845</v>
      </c>
      <c r="B1333" s="19" t="n">
        <v>2571.96</v>
      </c>
      <c r="D1333" s="16" t="n">
        <v>45845</v>
      </c>
      <c r="E1333" s="19" t="n">
        <v>20.28</v>
      </c>
      <c r="G1333" s="16" t="n">
        <v>45845</v>
      </c>
      <c r="H1333" s="19" t="n">
        <v>1.82</v>
      </c>
    </row>
    <row r="1334">
      <c r="A1334" s="16" t="n">
        <v>45846</v>
      </c>
      <c r="B1334" s="19" t="n">
        <v>2576.35</v>
      </c>
      <c r="D1334" s="16" t="n">
        <v>45846</v>
      </c>
      <c r="E1334" s="19" t="n">
        <v>18.64</v>
      </c>
      <c r="G1334" s="16" t="n">
        <v>45846</v>
      </c>
      <c r="H1334" s="19" t="n">
        <v>1.8</v>
      </c>
    </row>
    <row r="1335">
      <c r="A1335" s="16" t="n">
        <v>45847</v>
      </c>
      <c r="B1335" s="19" t="n">
        <v>2579.56</v>
      </c>
      <c r="D1335" s="16" t="n">
        <v>45847</v>
      </c>
      <c r="E1335" s="19" t="n">
        <v>19.71</v>
      </c>
      <c r="G1335" s="16" t="n">
        <v>45847</v>
      </c>
      <c r="H1335" s="19" t="n">
        <v>1.77</v>
      </c>
    </row>
    <row r="1336">
      <c r="A1336" s="16" t="n">
        <v>45848</v>
      </c>
      <c r="B1336" s="19" t="n">
        <v>2586.85</v>
      </c>
      <c r="D1336" s="16" t="n">
        <v>45848</v>
      </c>
      <c r="E1336" s="19" t="n">
        <v>19.23</v>
      </c>
      <c r="G1336" s="16" t="n">
        <v>45848</v>
      </c>
      <c r="H1336" s="19" t="n">
        <v>1.75</v>
      </c>
    </row>
    <row r="1337">
      <c r="A1337" s="16" t="n">
        <v>45849</v>
      </c>
      <c r="B1337" s="19" t="n">
        <v>2584.02</v>
      </c>
      <c r="D1337" s="16" t="n">
        <v>45849</v>
      </c>
      <c r="E1337" s="19" t="n">
        <v>21.27</v>
      </c>
      <c r="G1337" s="16" t="n">
        <v>45849</v>
      </c>
      <c r="H1337" s="19" t="n">
        <v>1.76</v>
      </c>
    </row>
    <row r="1338">
      <c r="A1338" s="16" t="n">
        <v>45852</v>
      </c>
      <c r="B1338" s="19" t="n">
        <v>2568.51</v>
      </c>
      <c r="D1338" s="16" t="n">
        <v>45852</v>
      </c>
      <c r="E1338" s="19" t="n">
        <v>21.11</v>
      </c>
      <c r="G1338" s="16" t="n">
        <v>45852</v>
      </c>
      <c r="H1338" s="19" t="n">
        <v>1.8</v>
      </c>
    </row>
    <row r="1339">
      <c r="A1339" s="16" t="n">
        <v>45853</v>
      </c>
      <c r="B1339" s="19" t="n">
        <v>2619.86</v>
      </c>
      <c r="D1339" s="16" t="n">
        <v>45853</v>
      </c>
      <c r="E1339" s="19" t="n">
        <v>18.92</v>
      </c>
      <c r="G1339" s="16" t="n">
        <v>45853</v>
      </c>
      <c r="H1339" s="19" t="n">
        <v>1.78</v>
      </c>
    </row>
    <row r="1340">
      <c r="A1340" s="16" t="n">
        <v>45854</v>
      </c>
      <c r="B1340" s="19" t="n">
        <v>2557.28</v>
      </c>
      <c r="D1340" s="16" t="n">
        <v>45854</v>
      </c>
      <c r="E1340" s="19" t="n">
        <v>20.63</v>
      </c>
      <c r="G1340" s="16" t="n">
        <v>45854</v>
      </c>
      <c r="H1340" s="19" t="n">
        <v>1.83</v>
      </c>
    </row>
    <row r="1341">
      <c r="A1341" s="16" t="n">
        <v>45855</v>
      </c>
      <c r="B1341" s="19" t="n">
        <v>2556.62</v>
      </c>
      <c r="D1341" s="16" t="n">
        <v>45855</v>
      </c>
      <c r="E1341" s="19" t="n">
        <v>20.53</v>
      </c>
      <c r="G1341" s="16" t="n">
        <v>45855</v>
      </c>
      <c r="H1341" s="19" t="n">
        <v>1.83</v>
      </c>
    </row>
    <row r="1342">
      <c r="A1342" s="16" t="n">
        <v>45856</v>
      </c>
      <c r="B1342" s="19" t="n">
        <v>2529.5</v>
      </c>
      <c r="D1342" s="16" t="n">
        <v>45856</v>
      </c>
      <c r="E1342" s="19" t="n">
        <v>21.38</v>
      </c>
      <c r="G1342" s="16" t="n">
        <v>45856</v>
      </c>
      <c r="H1342" s="19" t="n">
        <v>1.87</v>
      </c>
    </row>
    <row r="1343">
      <c r="A1343" s="16" t="n">
        <v>45859</v>
      </c>
      <c r="B1343" s="19" t="n">
        <v>2529.56</v>
      </c>
      <c r="D1343" s="16" t="n">
        <v>45859</v>
      </c>
      <c r="E1343" s="19" t="n">
        <v>20.55</v>
      </c>
      <c r="G1343" s="16" t="n">
        <v>45859</v>
      </c>
      <c r="H1343" s="19" t="n">
        <v>1.88</v>
      </c>
    </row>
    <row r="1344">
      <c r="A1344" s="16" t="n">
        <v>45860</v>
      </c>
      <c r="B1344" s="19" t="n">
        <v>2510.35</v>
      </c>
      <c r="D1344" s="16" t="n">
        <v>45860</v>
      </c>
      <c r="E1344" s="19" t="n">
        <v>20.54</v>
      </c>
      <c r="G1344" s="16" t="n">
        <v>45860</v>
      </c>
      <c r="H1344" s="19" t="n">
        <v>1.89</v>
      </c>
    </row>
    <row r="1345">
      <c r="A1345" s="16" t="n">
        <v>45861</v>
      </c>
      <c r="B1345" s="19" t="n">
        <v>2521.36</v>
      </c>
      <c r="D1345" s="16" t="n">
        <v>45861</v>
      </c>
      <c r="E1345" s="19" t="n">
        <v>20.64</v>
      </c>
      <c r="G1345" s="16" t="n">
        <v>45861</v>
      </c>
      <c r="H1345" s="19" t="n">
        <v>1.9</v>
      </c>
    </row>
    <row r="1346">
      <c r="A1346" s="16" t="n">
        <v>45862</v>
      </c>
      <c r="B1346" s="19" t="n">
        <v>2520.48</v>
      </c>
      <c r="D1346" s="16" t="n">
        <v>45862</v>
      </c>
      <c r="E1346" s="19" t="n">
        <v>21.64</v>
      </c>
      <c r="G1346" s="16" t="n">
        <v>45862</v>
      </c>
      <c r="H1346" s="19" t="n">
        <v>1.89</v>
      </c>
    </row>
    <row r="1347">
      <c r="A1347" s="16" t="n">
        <v>45863</v>
      </c>
      <c r="B1347" s="19" t="n">
        <v>2541.31</v>
      </c>
      <c r="D1347" s="16" t="n">
        <v>45863</v>
      </c>
      <c r="E1347" s="19" t="n">
        <v>19.89</v>
      </c>
      <c r="G1347" s="16" t="n">
        <v>45863</v>
      </c>
      <c r="H1347" s="19" t="n">
        <v>1.84</v>
      </c>
    </row>
    <row r="1348">
      <c r="A1348" s="16" t="n">
        <v>45866</v>
      </c>
      <c r="B1348" s="19" t="n">
        <v>2575.51</v>
      </c>
      <c r="D1348" s="16" t="n">
        <v>45866</v>
      </c>
      <c r="E1348" s="19" t="n">
        <v>17.22</v>
      </c>
      <c r="G1348" s="16" t="n">
        <v>45866</v>
      </c>
      <c r="H1348" s="19" t="n">
        <v>1.79</v>
      </c>
    </row>
    <row r="1349">
      <c r="A1349" s="16" t="n">
        <v>45867</v>
      </c>
      <c r="B1349" s="19" t="n">
        <v>2572.77</v>
      </c>
      <c r="D1349" s="16" t="n">
        <v>45867</v>
      </c>
      <c r="E1349" s="19" t="n">
        <v>17.26</v>
      </c>
      <c r="G1349" s="16" t="n">
        <v>45867</v>
      </c>
      <c r="H1349" s="19" t="n">
        <v>1.8</v>
      </c>
    </row>
    <row r="1350">
      <c r="A1350" s="16" t="n">
        <v>45868</v>
      </c>
      <c r="B1350" s="19" t="n">
        <v>2528.2</v>
      </c>
      <c r="D1350" s="16" t="n">
        <v>45868</v>
      </c>
      <c r="E1350" s="19" t="n">
        <v>18.56</v>
      </c>
      <c r="G1350" s="16" t="n">
        <v>45868</v>
      </c>
      <c r="H1350" s="19" t="n">
        <v>1.88</v>
      </c>
    </row>
    <row r="1351">
      <c r="A1351" s="16" t="n">
        <v>45869</v>
      </c>
      <c r="B1351" s="19" t="n">
        <v>2534.1</v>
      </c>
      <c r="D1351" s="16" t="n">
        <v>45869</v>
      </c>
      <c r="E1351" s="19" t="n">
        <v>19.4</v>
      </c>
      <c r="G1351" s="16" t="n">
        <v>45869</v>
      </c>
      <c r="H1351" s="19" t="n">
        <v>1.89</v>
      </c>
    </row>
    <row r="1352">
      <c r="A1352" s="16" t="n">
        <v>45870</v>
      </c>
      <c r="B1352" s="19" t="n">
        <v>2521.72</v>
      </c>
      <c r="D1352" s="16" t="n">
        <v>45870</v>
      </c>
      <c r="E1352" s="19" t="n">
        <v>19.76</v>
      </c>
      <c r="G1352" s="16" t="n">
        <v>45870</v>
      </c>
      <c r="H1352" s="19" t="n">
        <v>1.87</v>
      </c>
    </row>
    <row r="1353">
      <c r="A1353" s="16" t="n">
        <v>45873</v>
      </c>
      <c r="B1353" s="19" t="n">
        <v>2508.85</v>
      </c>
      <c r="D1353" s="16" t="n">
        <v>45873</v>
      </c>
      <c r="E1353" s="19" t="n">
        <v>20.14</v>
      </c>
      <c r="G1353" s="16" t="n">
        <v>45873</v>
      </c>
      <c r="H1353" s="19" t="n">
        <v>1.9</v>
      </c>
    </row>
    <row r="1354">
      <c r="A1354" s="16" t="n">
        <v>45874</v>
      </c>
      <c r="B1354" s="19" t="n">
        <v>2528.16</v>
      </c>
      <c r="D1354" s="16" t="n">
        <v>45874</v>
      </c>
      <c r="E1354" s="19" t="n">
        <v>18.93</v>
      </c>
      <c r="G1354" s="16" t="n">
        <v>45874</v>
      </c>
      <c r="H1354" s="19" t="n">
        <v>1.9</v>
      </c>
    </row>
    <row r="1355">
      <c r="A1355" s="16" t="n">
        <v>45875</v>
      </c>
      <c r="B1355" s="19" t="n">
        <v>2517.79</v>
      </c>
      <c r="D1355" s="16" t="n">
        <v>45875</v>
      </c>
      <c r="E1355" s="19" t="n">
        <v>19.66</v>
      </c>
      <c r="G1355" s="16" t="n">
        <v>45875</v>
      </c>
      <c r="H1355" s="19" t="n">
        <v>1.87</v>
      </c>
    </row>
    <row r="1356">
      <c r="A1356" s="16" t="n">
        <v>45876</v>
      </c>
      <c r="B1356" s="19" t="n">
        <v>2527.38</v>
      </c>
      <c r="D1356" s="16" t="n">
        <v>45876</v>
      </c>
      <c r="E1356" s="19" t="n">
        <v>20.7</v>
      </c>
      <c r="G1356" s="16" t="n">
        <v>45876</v>
      </c>
      <c r="H1356" s="19" t="n">
        <v>1.87</v>
      </c>
    </row>
    <row r="1357">
      <c r="A1357" s="16" t="n">
        <v>45877</v>
      </c>
      <c r="B1357" s="19" t="n">
        <v>2504.66</v>
      </c>
      <c r="D1357" s="16" t="n">
        <v>45877</v>
      </c>
      <c r="E1357" s="19" t="n">
        <v>21.55</v>
      </c>
      <c r="G1357" s="16" t="n">
        <v>45877</v>
      </c>
      <c r="H1357" s="19" t="n">
        <v>1.92</v>
      </c>
    </row>
    <row r="1358">
      <c r="A1358" s="16" t="n">
        <v>45880</v>
      </c>
      <c r="B1358" s="19" t="n">
        <v>2527.89</v>
      </c>
      <c r="D1358" s="16" t="n">
        <v>45880</v>
      </c>
      <c r="E1358" s="19" t="n">
        <v>20.48</v>
      </c>
      <c r="G1358" s="16" t="n">
        <v>45880</v>
      </c>
      <c r="H1358" s="19" t="n">
        <v>1.9</v>
      </c>
    </row>
    <row r="1359">
      <c r="A1359" s="16" t="n">
        <v>45881</v>
      </c>
      <c r="B1359" s="19" t="n">
        <v>2550.94</v>
      </c>
      <c r="D1359" s="16" t="n">
        <v>45881</v>
      </c>
      <c r="E1359" s="19" t="n">
        <v>19.48</v>
      </c>
      <c r="G1359" s="16" t="n">
        <v>45881</v>
      </c>
      <c r="H1359" s="19" t="n">
        <v>1.87</v>
      </c>
    </row>
    <row r="1360">
      <c r="A1360" s="16" t="n">
        <v>45882</v>
      </c>
      <c r="B1360" s="19" t="n">
        <v>2560.49</v>
      </c>
      <c r="D1360" s="16" t="n">
        <v>45882</v>
      </c>
      <c r="E1360" s="19" t="n">
        <v>19.18</v>
      </c>
      <c r="G1360" s="16" t="n">
        <v>45882</v>
      </c>
      <c r="H1360" s="19" t="n">
        <v>1.87</v>
      </c>
    </row>
    <row r="1361">
      <c r="A1361" s="16" t="n">
        <v>45883</v>
      </c>
      <c r="B1361" s="19" t="n">
        <v>2554.94</v>
      </c>
      <c r="D1361" s="16" t="n">
        <v>45883</v>
      </c>
      <c r="E1361" s="19" t="n">
        <v>19.48</v>
      </c>
      <c r="G1361" s="16" t="n">
        <v>45883</v>
      </c>
      <c r="H1361" s="19" t="n">
        <v>1.89</v>
      </c>
    </row>
    <row r="1362">
      <c r="A1362" s="16" t="n">
        <v>45884</v>
      </c>
      <c r="B1362" s="19" t="n">
        <v>2544.73</v>
      </c>
      <c r="D1362" s="16" t="n">
        <v>45884</v>
      </c>
      <c r="E1362" s="19" t="n">
        <v>20.43</v>
      </c>
      <c r="G1362" s="16" t="n">
        <v>45884</v>
      </c>
      <c r="H1362" s="19" t="n">
        <v>1.89</v>
      </c>
    </row>
    <row r="1363">
      <c r="A1363" s="16" t="n">
        <v>45887</v>
      </c>
      <c r="B1363" s="19" t="n">
        <v>2509.88</v>
      </c>
      <c r="D1363" s="16" t="n">
        <v>45887</v>
      </c>
      <c r="E1363" s="19" t="n">
        <v>21.26</v>
      </c>
      <c r="G1363" s="16" t="n">
        <v>45887</v>
      </c>
      <c r="H1363" s="19" t="n">
        <v>1.91</v>
      </c>
    </row>
    <row r="1364">
      <c r="A1364" s="16" t="n">
        <v>45888</v>
      </c>
      <c r="B1364" s="19" t="n">
        <v>2555.22</v>
      </c>
      <c r="D1364" s="16" t="n">
        <v>45888</v>
      </c>
      <c r="E1364" s="19" t="n">
        <v>20.53</v>
      </c>
      <c r="G1364" s="16" t="n">
        <v>45888</v>
      </c>
      <c r="H1364" s="19" t="n">
        <v>1.84</v>
      </c>
    </row>
    <row r="1365">
      <c r="A1365" s="16" t="n">
        <v>45889</v>
      </c>
      <c r="B1365" s="19" t="n">
        <v>2556.52</v>
      </c>
      <c r="D1365" s="16" t="n">
        <v>45889</v>
      </c>
      <c r="E1365" s="19" t="n">
        <v>21.05</v>
      </c>
      <c r="G1365" s="16" t="n">
        <v>45889</v>
      </c>
      <c r="H1365" s="19" t="n">
        <v>1.87</v>
      </c>
    </row>
    <row r="1366">
      <c r="A1366" s="16" t="n">
        <v>45890</v>
      </c>
      <c r="B1366" s="19" t="n">
        <v>2507.07</v>
      </c>
      <c r="D1366" s="16" t="n">
        <v>45890</v>
      </c>
      <c r="E1366" s="19" t="n">
        <v>23.22</v>
      </c>
      <c r="G1366" s="16" t="n">
        <v>45890</v>
      </c>
      <c r="H1366" s="19" t="n">
        <v>1.89</v>
      </c>
    </row>
    <row r="1367">
      <c r="A1367" s="16" t="n">
        <v>45891</v>
      </c>
      <c r="B1367" s="19" t="n">
        <v>2558.83</v>
      </c>
      <c r="D1367" s="16" t="n">
        <v>45891</v>
      </c>
      <c r="E1367" s="19" t="n">
        <v>22.03</v>
      </c>
      <c r="G1367" s="16" t="n">
        <v>45891</v>
      </c>
      <c r="H1367" s="19" t="n">
        <v>1.86</v>
      </c>
    </row>
    <row r="1368">
      <c r="A1368" s="16" t="n">
        <v>45894</v>
      </c>
      <c r="B1368" s="19" t="n">
        <v>2604.42</v>
      </c>
      <c r="D1368" s="16" t="n">
        <v>45894</v>
      </c>
      <c r="E1368" s="19" t="n">
        <v>20.83</v>
      </c>
      <c r="G1368" s="16" t="n">
        <v>45894</v>
      </c>
      <c r="H1368" s="19" t="n">
        <v>1.83</v>
      </c>
    </row>
    <row r="1369">
      <c r="A1369" s="16" t="n">
        <v>45895</v>
      </c>
      <c r="B1369" s="19" t="n">
        <v>2634.81</v>
      </c>
      <c r="D1369" s="16" t="n">
        <v>45895</v>
      </c>
      <c r="E1369" s="19" t="n">
        <v>20.42</v>
      </c>
      <c r="G1369" s="16" t="n">
        <v>45895</v>
      </c>
      <c r="H1369" s="19" t="n">
        <v>1.83</v>
      </c>
    </row>
    <row r="1370">
      <c r="A1370" s="16" t="n">
        <v>45896</v>
      </c>
      <c r="B1370" s="19" t="n">
        <v>2669.09</v>
      </c>
      <c r="D1370" s="16" t="n">
        <v>45896</v>
      </c>
      <c r="E1370" s="19" t="n">
        <v>18.95</v>
      </c>
      <c r="G1370" s="16" t="n">
        <v>45896</v>
      </c>
      <c r="H1370" s="19" t="n">
        <v>1.83</v>
      </c>
    </row>
    <row r="1371">
      <c r="A1371" s="16" t="n">
        <v>45897</v>
      </c>
      <c r="B1371" s="19" t="n">
        <v>2673.77</v>
      </c>
      <c r="D1371" s="16" t="n">
        <v>45897</v>
      </c>
      <c r="E1371" s="19" t="n">
        <v>19.05</v>
      </c>
      <c r="G1371" s="16" t="n">
        <v>45897</v>
      </c>
      <c r="H1371" s="19" t="n">
        <v>1.84</v>
      </c>
    </row>
    <row r="1372">
      <c r="A1372" s="16" t="n">
        <v>45898</v>
      </c>
      <c r="B1372" s="19" t="n">
        <v>2619.98</v>
      </c>
      <c r="D1372" s="16" t="n">
        <v>45898</v>
      </c>
      <c r="E1372" s="19" t="n">
        <v>21.94</v>
      </c>
      <c r="G1372" s="16" t="n">
        <v>45898</v>
      </c>
      <c r="H1372" s="19" t="n">
        <v>1.86</v>
      </c>
    </row>
    <row r="1373">
      <c r="A1373" s="16" t="n">
        <v>45901</v>
      </c>
      <c r="B1373" s="19" t="n">
        <v>2616.28</v>
      </c>
      <c r="D1373" s="16" t="n">
        <v>45901</v>
      </c>
      <c r="E1373" s="19" t="n">
        <v>21.08</v>
      </c>
      <c r="G1373" s="16" t="n">
        <v>45901</v>
      </c>
      <c r="H1373" s="19" t="n">
        <v>1.84</v>
      </c>
    </row>
    <row r="1374">
      <c r="A1374" s="16" t="n">
        <v>45902</v>
      </c>
      <c r="B1374" s="19" t="n">
        <v>2617.65</v>
      </c>
      <c r="D1374" s="16" t="n">
        <v>45902</v>
      </c>
      <c r="E1374" s="19" t="n">
        <v>20.27</v>
      </c>
      <c r="G1374" s="16" t="n">
        <v>45902</v>
      </c>
      <c r="H1374" s="19" t="n">
        <v>1.84</v>
      </c>
    </row>
    <row r="1375">
      <c r="A1375" s="16" t="n">
        <v>45903</v>
      </c>
      <c r="B1375" s="19" t="n">
        <v>2635.33</v>
      </c>
      <c r="D1375" s="16" t="n">
        <v>45903</v>
      </c>
      <c r="E1375" s="19" t="n">
        <v>19.04</v>
      </c>
      <c r="G1375" s="16" t="n">
        <v>45903</v>
      </c>
      <c r="H1375" s="19" t="n">
        <v>1.81</v>
      </c>
    </row>
    <row r="1376">
      <c r="A1376" s="16" t="n">
        <v>45904</v>
      </c>
      <c r="B1376" s="19" t="n">
        <v>2627.44</v>
      </c>
      <c r="D1376" s="16" t="n">
        <v>45904</v>
      </c>
      <c r="E1376" s="19" t="n">
        <v>19.76</v>
      </c>
      <c r="G1376" s="16" t="n">
        <v>45904</v>
      </c>
      <c r="H1376" s="19" t="n">
        <v>1.78</v>
      </c>
    </row>
    <row r="1377">
      <c r="A1377" s="16" t="n">
        <v>45905</v>
      </c>
      <c r="B1377" s="19" t="n">
        <v>2634.99</v>
      </c>
      <c r="D1377" s="16" t="n">
        <v>45905</v>
      </c>
      <c r="E1377" s="19" t="n">
        <v>19.8</v>
      </c>
      <c r="G1377" s="16" t="n">
        <v>45905</v>
      </c>
      <c r="H1377" s="19" t="n">
        <v>1.77</v>
      </c>
    </row>
    <row r="1378">
      <c r="A1378" s="16" t="n">
        <v>45908</v>
      </c>
      <c r="B1378" s="19" t="n">
        <v>2668.12</v>
      </c>
      <c r="D1378" s="16" t="n">
        <v>45908</v>
      </c>
      <c r="E1378" s="19" t="n">
        <v>19.45</v>
      </c>
      <c r="G1378" s="16" t="n">
        <v>45908</v>
      </c>
      <c r="H1378" s="19" t="n">
        <v>1.73</v>
      </c>
    </row>
    <row r="1379">
      <c r="A1379" s="16" t="n">
        <v>45909</v>
      </c>
      <c r="B1379" s="19" t="n">
        <v>2612.41</v>
      </c>
      <c r="D1379" s="16" t="n">
        <v>45909</v>
      </c>
      <c r="E1379" s="19" t="n">
        <v>22.15</v>
      </c>
      <c r="G1379" s="16" t="n">
        <v>45909</v>
      </c>
      <c r="H1379" s="19" t="n">
        <v>1.77</v>
      </c>
    </row>
    <row r="1380">
      <c r="A1380" s="16" t="n">
        <v>45910</v>
      </c>
      <c r="B1380" s="19" t="n">
        <v>2589.8</v>
      </c>
      <c r="D1380" s="16" t="n">
        <v>45910</v>
      </c>
      <c r="E1380" s="19" t="n">
        <v>22.09</v>
      </c>
      <c r="G1380" s="16" t="n">
        <v>45910</v>
      </c>
      <c r="H1380" s="19" t="n">
        <v>1.8</v>
      </c>
    </row>
    <row r="1381">
      <c r="A1381" s="16" t="n">
        <v>45911</v>
      </c>
      <c r="B1381" s="19" t="n">
        <v>2555.51</v>
      </c>
      <c r="D1381" s="16" t="n">
        <v>45911</v>
      </c>
      <c r="E1381" s="19" t="n">
        <v>23.41</v>
      </c>
      <c r="G1381" s="16" t="n">
        <v>45911</v>
      </c>
      <c r="H1381" s="19" t="n">
        <v>1.85</v>
      </c>
    </row>
    <row r="1382">
      <c r="A1382" s="16" t="n">
        <v>45912</v>
      </c>
      <c r="B1382" s="19" t="n">
        <v>2575.33</v>
      </c>
      <c r="D1382" s="16" t="n">
        <v>45912</v>
      </c>
      <c r="E1382" s="19" t="n">
        <v>20.87</v>
      </c>
      <c r="G1382" s="16" t="n">
        <v>45912</v>
      </c>
      <c r="H1382" s="19" t="n">
        <v>1.82</v>
      </c>
    </row>
    <row r="1383">
      <c r="A1383" s="16" t="n">
        <v>45915</v>
      </c>
      <c r="B1383" s="19" t="n">
        <v>2563.84</v>
      </c>
      <c r="D1383" s="16" t="n">
        <v>45915</v>
      </c>
      <c r="E1383" s="19" t="n">
        <v>20.93</v>
      </c>
      <c r="G1383" s="16" t="n">
        <v>45915</v>
      </c>
      <c r="H1383" s="19" t="n">
        <v>1.82</v>
      </c>
    </row>
    <row r="1384">
      <c r="A1384" s="16" t="n">
        <v>45916</v>
      </c>
      <c r="B1384" s="19" t="n">
        <v>2586.43</v>
      </c>
      <c r="D1384" s="16" t="n">
        <v>45916</v>
      </c>
      <c r="E1384" s="19" t="n">
        <v>20.47</v>
      </c>
      <c r="G1384" s="16" t="n">
        <v>45916</v>
      </c>
      <c r="H1384" s="19" t="n">
        <v>1.76</v>
      </c>
    </row>
    <row r="1385">
      <c r="A1385" s="16" t="n">
        <v>45917</v>
      </c>
      <c r="B1385" s="19" t="n">
        <v>2599.43</v>
      </c>
      <c r="D1385" s="16" t="n">
        <v>45917</v>
      </c>
      <c r="E1385" s="19" t="n">
        <v>20.05</v>
      </c>
      <c r="G1385" s="16" t="n">
        <v>45917</v>
      </c>
      <c r="H1385" s="19" t="n">
        <v>1.74</v>
      </c>
    </row>
    <row r="1386">
      <c r="A1386" s="16" t="n">
        <v>45918</v>
      </c>
      <c r="B1386" s="19" t="n">
        <v>2654.34</v>
      </c>
      <c r="D1386" s="16" t="n">
        <v>45918</v>
      </c>
      <c r="E1386" s="19" t="n">
        <v>17.6</v>
      </c>
      <c r="G1386" s="16" t="n">
        <v>45918</v>
      </c>
      <c r="H1386" s="19" t="n">
        <v>1.69</v>
      </c>
    </row>
    <row r="1387">
      <c r="A1387" s="16" t="n">
        <v>45919</v>
      </c>
      <c r="B1387" s="19" t="n">
        <v>2642.58</v>
      </c>
      <c r="D1387" s="16" t="n">
        <v>45919</v>
      </c>
      <c r="E1387" s="19" t="n">
        <v>17.49</v>
      </c>
      <c r="G1387" s="16" t="n">
        <v>45919</v>
      </c>
      <c r="H1387" s="19" t="n">
        <v>1.71</v>
      </c>
    </row>
    <row r="1388">
      <c r="A1388" s="16" t="n">
        <v>45922</v>
      </c>
      <c r="B1388" s="19" t="n">
        <v>2602.86</v>
      </c>
      <c r="D1388" s="16" t="n">
        <v>45922</v>
      </c>
      <c r="E1388" s="19" t="n">
        <v>18.75</v>
      </c>
      <c r="G1388" s="16" t="n">
        <v>45922</v>
      </c>
      <c r="H1388" s="19" t="n">
        <v>1.73</v>
      </c>
    </row>
    <row r="1389">
      <c r="A1389" s="16" t="n">
        <v>45923</v>
      </c>
      <c r="B1389" s="19" t="n">
        <v>2653.11</v>
      </c>
      <c r="D1389" s="16" t="n">
        <v>45923</v>
      </c>
      <c r="E1389" s="19" t="n">
        <v>16.59</v>
      </c>
      <c r="G1389" s="16" t="n">
        <v>45923</v>
      </c>
      <c r="H1389" s="19" t="n">
        <v>1.66</v>
      </c>
    </row>
    <row r="1390">
      <c r="A1390" s="16" t="n">
        <v>45924</v>
      </c>
      <c r="B1390" s="19" t="n">
        <v>2683.01</v>
      </c>
      <c r="D1390" s="16" t="n">
        <v>45924</v>
      </c>
      <c r="E1390" s="19" t="n">
        <v>15.73</v>
      </c>
      <c r="G1390" s="16" t="n">
        <v>45924</v>
      </c>
      <c r="H1390" s="19" t="n">
        <v>1.62</v>
      </c>
    </row>
    <row r="1391">
      <c r="A1391" s="16" t="n">
        <v>45925</v>
      </c>
      <c r="B1391" s="19" t="n">
        <v>2711</v>
      </c>
      <c r="D1391" s="16" t="n">
        <v>45925</v>
      </c>
      <c r="E1391" s="19" t="n">
        <v>15.14</v>
      </c>
      <c r="G1391" s="16" t="n">
        <v>45925</v>
      </c>
      <c r="H1391" s="19" t="n">
        <v>1.6</v>
      </c>
    </row>
    <row r="1392">
      <c r="A1392" s="16" t="n">
        <v>45926</v>
      </c>
      <c r="B1392" s="19" t="n">
        <v>2756.85</v>
      </c>
      <c r="D1392" s="16" t="n">
        <v>45926</v>
      </c>
      <c r="E1392" s="19" t="n">
        <v>14.5</v>
      </c>
      <c r="G1392" s="16" t="n">
        <v>45926</v>
      </c>
      <c r="H1392" s="19" t="n">
        <v>1.54</v>
      </c>
    </row>
    <row r="1393">
      <c r="A1393" s="16" t="n">
        <v>45929</v>
      </c>
      <c r="B1393" s="19" t="n">
        <v>2775.72</v>
      </c>
      <c r="D1393" s="16" t="n">
        <v>45929</v>
      </c>
      <c r="E1393" s="19" t="n">
        <v>14.31</v>
      </c>
      <c r="G1393" s="16" t="n">
        <v>45929</v>
      </c>
      <c r="H1393" s="19" t="n">
        <v>1.53</v>
      </c>
    </row>
    <row r="1394">
      <c r="A1394" s="16" t="n">
        <v>45930</v>
      </c>
      <c r="B1394" s="19" t="n">
        <v>2733.46</v>
      </c>
      <c r="D1394" s="16" t="n">
        <v>45930</v>
      </c>
      <c r="E1394" s="19" t="n">
        <v>16.02</v>
      </c>
      <c r="G1394" s="16" t="n">
        <v>45930</v>
      </c>
      <c r="H1394" s="19" t="n">
        <v>1.55</v>
      </c>
    </row>
    <row r="1395">
      <c r="A1395" s="16" t="n">
        <v>45931</v>
      </c>
      <c r="B1395" s="19" t="n">
        <v>2739.25</v>
      </c>
      <c r="D1395" s="16" t="n">
        <v>45931</v>
      </c>
      <c r="E1395" s="19" t="n">
        <v>16.15</v>
      </c>
      <c r="G1395" s="16" t="n">
        <v>45931</v>
      </c>
      <c r="H1395" s="19" t="n">
        <v>1.51</v>
      </c>
    </row>
    <row r="1396">
      <c r="A1396" s="16" t="n">
        <v>45932</v>
      </c>
      <c r="B1396" s="19" t="n">
        <v>2765.32</v>
      </c>
      <c r="D1396" s="16" t="n">
        <v>45932</v>
      </c>
      <c r="E1396" s="19" t="n">
        <v>16.56</v>
      </c>
      <c r="G1396" s="16" t="n">
        <v>45932</v>
      </c>
      <c r="H1396" s="19" t="n">
        <v>1.52</v>
      </c>
    </row>
    <row r="1397">
      <c r="A1397" s="16" t="n">
        <v>45933</v>
      </c>
      <c r="B1397" s="19" t="n">
        <v>2718.9</v>
      </c>
      <c r="D1397" s="16" t="n">
        <v>45933</v>
      </c>
      <c r="E1397" s="19" t="n">
        <v>17.36</v>
      </c>
      <c r="G1397" s="16" t="n">
        <v>45933</v>
      </c>
      <c r="H1397" s="19" t="n">
        <v>1.56</v>
      </c>
    </row>
    <row r="1398">
      <c r="A1398" s="16" t="n">
        <v>45936</v>
      </c>
      <c r="B1398" s="19" t="n">
        <v>2759.87</v>
      </c>
      <c r="D1398" s="16" t="n">
        <v>45936</v>
      </c>
      <c r="E1398" s="19" t="n">
        <v>16.37</v>
      </c>
      <c r="G1398" s="16" t="n">
        <v>45936</v>
      </c>
      <c r="H1398" s="19" t="n">
        <v>1.52</v>
      </c>
    </row>
    <row r="1399">
      <c r="A1399" s="16" t="n">
        <v>45937</v>
      </c>
      <c r="B1399" s="19" t="n">
        <v>2793.05</v>
      </c>
      <c r="D1399" s="16" t="n">
        <v>45937</v>
      </c>
      <c r="E1399" s="19" t="n">
        <v>15.83</v>
      </c>
      <c r="G1399" s="16" t="n">
        <v>45937</v>
      </c>
      <c r="H1399" s="19" t="n">
        <v>1.51</v>
      </c>
    </row>
    <row r="1400">
      <c r="A1400" s="16" t="n">
        <v>45938</v>
      </c>
      <c r="B1400" s="19" t="n">
        <v>2807.55</v>
      </c>
      <c r="D1400" s="16" t="n">
        <v>45938</v>
      </c>
      <c r="E1400" s="19" t="n">
        <v>15.96</v>
      </c>
      <c r="G1400" s="16" t="n">
        <v>45938</v>
      </c>
      <c r="H1400" s="19" t="n">
        <v>1.5</v>
      </c>
    </row>
    <row r="1401">
      <c r="A1401" s="16" t="n">
        <v>45939</v>
      </c>
      <c r="B1401" s="19" t="n">
        <v>2833.1</v>
      </c>
      <c r="D1401" s="16" t="n">
        <v>45939</v>
      </c>
      <c r="E1401" s="19" t="n">
        <v>15.68</v>
      </c>
      <c r="G1401" s="16" t="n">
        <v>45939</v>
      </c>
      <c r="H1401" s="19" t="n">
        <v>1.47</v>
      </c>
    </row>
    <row r="1402">
      <c r="A1402" s="16" t="n">
        <v>45940</v>
      </c>
      <c r="B1402" s="19" t="n">
        <v>2809.45</v>
      </c>
      <c r="D1402" s="16" t="n">
        <v>45940</v>
      </c>
      <c r="E1402" s="19" t="n">
        <v>16.7</v>
      </c>
      <c r="G1402" s="16" t="n">
        <v>45940</v>
      </c>
      <c r="H1402" s="19" t="n">
        <v>1.48</v>
      </c>
    </row>
    <row r="1403">
      <c r="A1403" s="16" t="n">
        <v>45943</v>
      </c>
      <c r="B1403" s="19" t="n">
        <v>2803.47</v>
      </c>
      <c r="D1403" s="16" t="n">
        <v>45943</v>
      </c>
      <c r="E1403" s="19" t="n">
        <v>17.1</v>
      </c>
      <c r="G1403" s="16" t="n">
        <v>45943</v>
      </c>
      <c r="H1403" s="19" t="inlineStr">
        <is>
          <t>.</t>
        </is>
      </c>
    </row>
    <row r="1404">
      <c r="A1404" s="16" t="n">
        <v>45944</v>
      </c>
      <c r="B1404" s="19" t="n">
        <v>2818.82</v>
      </c>
      <c r="D1404" s="16" t="n">
        <v>45944</v>
      </c>
      <c r="E1404" s="19" t="n">
        <v>16.93</v>
      </c>
      <c r="G1404" s="16" t="n">
        <v>45944</v>
      </c>
      <c r="H1404" s="19" t="n">
        <v>1.49</v>
      </c>
    </row>
    <row r="1405">
      <c r="A1405" s="16" t="n">
        <v>45945</v>
      </c>
      <c r="B1405" s="19" t="n">
        <v>2873.25</v>
      </c>
      <c r="D1405" s="16" t="n">
        <v>45945</v>
      </c>
      <c r="E1405" s="19" t="n">
        <v>15.47</v>
      </c>
      <c r="G1405" s="16" t="n">
        <v>45945</v>
      </c>
      <c r="H1405" s="19" t="n">
        <v>1.43</v>
      </c>
    </row>
    <row r="1406">
      <c r="A1406" s="16" t="n">
        <v>45946</v>
      </c>
      <c r="B1406" s="19" t="n">
        <v>2881.73</v>
      </c>
      <c r="D1406" s="16" t="n">
        <v>45946</v>
      </c>
      <c r="E1406" s="19" t="n">
        <v>14.81</v>
      </c>
      <c r="G1406" s="16" t="n">
        <v>45946</v>
      </c>
      <c r="H1406" s="19" t="n">
        <v>1.41</v>
      </c>
    </row>
    <row r="1407">
      <c r="A1407" s="16" t="n">
        <v>45947</v>
      </c>
      <c r="B1407" s="19" t="n">
        <v>2878.22</v>
      </c>
      <c r="D1407" s="16" t="n">
        <v>45947</v>
      </c>
      <c r="E1407" s="19" t="n">
        <v>15.25</v>
      </c>
      <c r="G1407" s="16" t="n">
        <v>45947</v>
      </c>
      <c r="H1407" s="19" t="n">
        <v>1.39</v>
      </c>
    </row>
    <row r="1408">
      <c r="A1408" s="16" t="n">
        <v>45950</v>
      </c>
      <c r="B1408" s="19" t="n">
        <v>2869.5</v>
      </c>
      <c r="D1408" s="16" t="n">
        <v>45950</v>
      </c>
      <c r="E1408" s="19" t="n">
        <v>15.02</v>
      </c>
      <c r="G1408" s="16" t="n">
        <v>45950</v>
      </c>
      <c r="H1408" s="19" t="n">
        <v>1.38</v>
      </c>
    </row>
    <row r="1409">
      <c r="A1409" s="16" t="n">
        <v>45951</v>
      </c>
      <c r="B1409" s="19" t="n">
        <v>2882.79</v>
      </c>
      <c r="D1409" s="16" t="n">
        <v>45951</v>
      </c>
      <c r="E1409" s="19" t="n">
        <v>14.84</v>
      </c>
      <c r="G1409" s="16" t="n">
        <v>45951</v>
      </c>
      <c r="H1409" s="19" t="n">
        <v>1.35</v>
      </c>
    </row>
    <row r="1410">
      <c r="A1410" s="16" t="n">
        <v>45952</v>
      </c>
      <c r="B1410" s="19" t="n">
        <v>2859.62</v>
      </c>
      <c r="D1410" s="16" t="n">
        <v>45952</v>
      </c>
      <c r="E1410" s="19" t="n">
        <v>15.71</v>
      </c>
      <c r="G1410" s="16" t="n">
        <v>45952</v>
      </c>
      <c r="H1410" s="19" t="n">
        <v>1.37</v>
      </c>
    </row>
    <row r="1411">
      <c r="A1411" s="16" t="n">
        <v>45953</v>
      </c>
      <c r="B1411" s="19" t="n">
        <v>2889.15</v>
      </c>
      <c r="D1411" s="16" t="n">
        <v>45953</v>
      </c>
      <c r="E1411" s="19" t="n">
        <v>14.66</v>
      </c>
      <c r="G1411" s="16" t="n">
        <v>45953</v>
      </c>
      <c r="H1411" s="19" t="n">
        <v>1.38</v>
      </c>
    </row>
    <row r="1412">
      <c r="A1412" s="16" t="n">
        <v>45954</v>
      </c>
      <c r="B1412" s="19" t="n">
        <v>2905.77</v>
      </c>
      <c r="D1412" s="16" t="n">
        <v>45954</v>
      </c>
      <c r="E1412" s="19" t="n">
        <v>14.6</v>
      </c>
      <c r="G1412" s="16" t="n">
        <v>45954</v>
      </c>
      <c r="H1412" s="19" t="n">
        <v>1.34</v>
      </c>
    </row>
    <row r="1413">
      <c r="A1413" s="16" t="n">
        <v>45957</v>
      </c>
      <c r="B1413" s="19" t="n">
        <v>2909.13</v>
      </c>
      <c r="D1413" s="16" t="n">
        <v>45957</v>
      </c>
      <c r="E1413" s="19" t="n">
        <v>13.8</v>
      </c>
      <c r="G1413" s="16" t="n">
        <v>45957</v>
      </c>
      <c r="H1413" s="19" t="n">
        <v>1.31</v>
      </c>
    </row>
    <row r="1414">
      <c r="A1414" s="16" t="n">
        <v>45958</v>
      </c>
      <c r="B1414" s="19" t="n">
        <v>2888.37</v>
      </c>
      <c r="D1414" s="16" t="n">
        <v>45958</v>
      </c>
      <c r="E1414" s="19" t="n">
        <v>14.87</v>
      </c>
      <c r="G1414" s="16" t="n">
        <v>45958</v>
      </c>
      <c r="H1414" s="19" t="n">
        <v>1.34</v>
      </c>
    </row>
    <row r="1415">
      <c r="A1415" s="16" t="n">
        <v>45959</v>
      </c>
      <c r="B1415" s="19" t="n">
        <v>2875.98</v>
      </c>
      <c r="D1415" s="16" t="n">
        <v>45959</v>
      </c>
      <c r="E1415" s="19" t="n">
        <v>15.67</v>
      </c>
      <c r="G1415" s="16" t="n">
        <v>45959</v>
      </c>
      <c r="H1415" s="19" t="n">
        <v>1.32</v>
      </c>
    </row>
    <row r="1416">
      <c r="A1416" s="16" t="n">
        <v>45960</v>
      </c>
      <c r="B1416" s="19" t="n">
        <v>2845.21</v>
      </c>
      <c r="D1416" s="16" t="n">
        <v>45960</v>
      </c>
      <c r="E1416" s="19" t="n">
        <v>16.18</v>
      </c>
      <c r="G1416" s="16" t="n">
        <v>45960</v>
      </c>
      <c r="H1416" s="19" t="n">
        <v>1.32</v>
      </c>
    </row>
    <row r="1417">
      <c r="A1417" s="16" t="n">
        <v>45961</v>
      </c>
      <c r="B1417" s="19" t="n">
        <v>2837.89</v>
      </c>
      <c r="D1417" s="16" t="n">
        <v>45961</v>
      </c>
      <c r="E1417" s="19" t="n">
        <v>16.65</v>
      </c>
      <c r="G1417" s="16" t="n">
        <v>45961</v>
      </c>
      <c r="H1417" s="19" t="n">
        <v>1.36</v>
      </c>
    </row>
    <row r="1418">
      <c r="A1418" s="16" t="n">
        <v>45964</v>
      </c>
      <c r="B1418" s="19" t="n">
        <v>2861.28</v>
      </c>
      <c r="D1418" s="16" t="n">
        <v>45964</v>
      </c>
      <c r="E1418" s="19" t="n">
        <v>15.88</v>
      </c>
      <c r="G1418" s="16" t="n">
        <v>45964</v>
      </c>
      <c r="H1418" s="19" t="n">
        <v>1.34</v>
      </c>
    </row>
    <row r="1419">
      <c r="A1419" s="16" t="n">
        <v>45965</v>
      </c>
      <c r="B1419" s="19" t="n">
        <v>2823.87</v>
      </c>
      <c r="D1419" s="16" t="n">
        <v>45965</v>
      </c>
      <c r="E1419" s="19" t="n">
        <v>16.61</v>
      </c>
      <c r="G1419" s="16" t="n">
        <v>45965</v>
      </c>
      <c r="H1419" s="19" t="n">
        <v>1.35</v>
      </c>
    </row>
    <row r="1420">
      <c r="A1420" s="16" t="n">
        <v>45966</v>
      </c>
      <c r="B1420" s="19" t="n">
        <v>2821.06</v>
      </c>
      <c r="D1420" s="16" t="n">
        <v>45966</v>
      </c>
      <c r="E1420" s="19" t="n">
        <v>16.16</v>
      </c>
      <c r="G1420" s="16" t="n">
        <v>45966</v>
      </c>
      <c r="H1420" s="19" t="n">
        <v>1.35</v>
      </c>
    </row>
    <row r="1421">
      <c r="A1421" s="16" t="n">
        <v>45967</v>
      </c>
      <c r="B1421" s="19" t="n">
        <v>2843.64</v>
      </c>
      <c r="D1421" s="16" t="n">
        <v>45967</v>
      </c>
      <c r="E1421" s="19" t="n">
        <v>15.32</v>
      </c>
      <c r="G1421" s="16" t="n">
        <v>45967</v>
      </c>
      <c r="H1421" s="19" t="n">
        <v>1.31</v>
      </c>
    </row>
    <row r="1422">
      <c r="A1422" s="16" t="n">
        <v>45968</v>
      </c>
      <c r="B1422" s="19" t="n">
        <v>2794.21</v>
      </c>
      <c r="D1422" s="16" t="n">
        <v>45968</v>
      </c>
      <c r="E1422" s="19" t="n">
        <v>16.03</v>
      </c>
      <c r="G1422" s="16" t="n">
        <v>45968</v>
      </c>
      <c r="H1422" s="19" t="n">
        <v>1.33</v>
      </c>
    </row>
    <row r="1423">
      <c r="A1423" s="16" t="n">
        <v>45971</v>
      </c>
      <c r="B1423" s="19" t="n">
        <v>2768.82</v>
      </c>
      <c r="D1423" s="16" t="n">
        <v>45971</v>
      </c>
      <c r="E1423" s="19" t="n">
        <v>16.65</v>
      </c>
      <c r="G1423" s="16" t="n">
        <v>45971</v>
      </c>
      <c r="H1423" s="19" t="n">
        <v>1.35</v>
      </c>
    </row>
    <row r="1424">
      <c r="A1424" s="16" t="n">
        <v>45972</v>
      </c>
      <c r="B1424" s="19" t="n">
        <v>2750.71</v>
      </c>
      <c r="D1424" s="16" t="n">
        <v>45972</v>
      </c>
      <c r="E1424" s="19" t="n">
        <v>16.82</v>
      </c>
      <c r="G1424" s="16" t="n">
        <v>45972</v>
      </c>
      <c r="H1424" s="19" t="inlineStr">
        <is>
          <t>.</t>
        </is>
      </c>
    </row>
    <row r="1425">
      <c r="A1425" s="16" t="n">
        <v>45973</v>
      </c>
      <c r="B1425" s="19" t="n">
        <v>2716.53</v>
      </c>
      <c r="D1425" s="16" t="n">
        <v>45973</v>
      </c>
      <c r="E1425" s="19" t="n">
        <v>17.16</v>
      </c>
      <c r="G1425" s="16" t="n">
        <v>45973</v>
      </c>
      <c r="H1425" s="19" t="n">
        <v>1.42</v>
      </c>
    </row>
    <row r="1426">
      <c r="A1426" s="16" t="n">
        <v>45974</v>
      </c>
      <c r="B1426" s="19" t="n">
        <v>2688.45</v>
      </c>
      <c r="D1426" s="16" t="n">
        <v>45974</v>
      </c>
      <c r="E1426" s="19" t="n">
        <v>18.32</v>
      </c>
      <c r="G1426" s="16" t="n">
        <v>45974</v>
      </c>
      <c r="H1426" s="19" t="n">
        <v>1.44</v>
      </c>
    </row>
    <row r="1427">
      <c r="A1427" s="16" t="n">
        <v>45975</v>
      </c>
      <c r="B1427" s="19" t="n">
        <v>2699.93</v>
      </c>
      <c r="D1427" s="16" t="n">
        <v>45975</v>
      </c>
      <c r="E1427" s="19" t="n">
        <v>17.71</v>
      </c>
      <c r="G1427" s="16" t="n">
        <v>45975</v>
      </c>
      <c r="H1427" s="19" t="n">
        <v>1.46</v>
      </c>
    </row>
    <row r="1428">
      <c r="A1428" s="16" t="n">
        <v>45978</v>
      </c>
      <c r="B1428" s="19" t="n">
        <v>2708.01</v>
      </c>
      <c r="D1428" s="16" t="n">
        <v>45978</v>
      </c>
      <c r="E1428" s="19" t="n">
        <v>17.84</v>
      </c>
      <c r="G1428" s="16" t="n">
        <v>45978</v>
      </c>
      <c r="H1428" s="19" t="n">
        <v>1.43</v>
      </c>
    </row>
    <row r="1429">
      <c r="A1429" s="16" t="n">
        <v>45979</v>
      </c>
      <c r="B1429" s="19" t="n">
        <v>2696.92</v>
      </c>
      <c r="D1429" s="16" t="n">
        <v>45979</v>
      </c>
      <c r="E1429" s="19" t="n">
        <v>18.23</v>
      </c>
      <c r="G1429" s="16" t="n">
        <v>45979</v>
      </c>
      <c r="H1429" s="19" t="n">
        <v>1.41</v>
      </c>
    </row>
    <row r="1430">
      <c r="A1430" s="16" t="n">
        <v>45980</v>
      </c>
      <c r="B1430" s="19" t="n">
        <v>2689.73</v>
      </c>
      <c r="D1430" s="16" t="n">
        <v>45980</v>
      </c>
      <c r="E1430" s="19" t="n">
        <v>17.19</v>
      </c>
      <c r="G1430" s="16" t="n">
        <v>45980</v>
      </c>
      <c r="H1430" s="19" t="n">
        <v>1.4</v>
      </c>
    </row>
    <row r="1431">
      <c r="A1431" s="16" t="n">
        <v>45981</v>
      </c>
      <c r="B1431" s="19" t="n">
        <v>2681.37</v>
      </c>
      <c r="D1431" s="16" t="n">
        <v>45981</v>
      </c>
      <c r="E1431" s="19" t="n">
        <v>16.64</v>
      </c>
      <c r="G1431" s="16" t="n">
        <v>45981</v>
      </c>
      <c r="H1431" s="19" t="n">
        <v>1.39</v>
      </c>
    </row>
    <row r="1432">
      <c r="A1432" s="16" t="n">
        <v>45982</v>
      </c>
      <c r="B1432" s="19" t="n">
        <v>2696.21</v>
      </c>
      <c r="D1432" s="16" t="n">
        <v>45982</v>
      </c>
      <c r="E1432" s="19" t="n">
        <v>15.97</v>
      </c>
      <c r="G1432" s="16" t="n">
        <v>45982</v>
      </c>
      <c r="H1432" s="19" t="n">
        <v>1.38</v>
      </c>
    </row>
    <row r="1433">
      <c r="A1433" s="16" t="n">
        <v>45985</v>
      </c>
      <c r="B1433" s="19" t="n">
        <v>2749.62</v>
      </c>
      <c r="D1433" s="16" t="n">
        <v>45985</v>
      </c>
      <c r="E1433" s="19" t="n">
        <v>14.61</v>
      </c>
      <c r="G1433" s="16" t="n">
        <v>45985</v>
      </c>
      <c r="H1433" s="19" t="n">
        <v>1.34</v>
      </c>
    </row>
    <row r="1434">
      <c r="A1434" s="16" t="n">
        <v>45986</v>
      </c>
      <c r="B1434" s="19" t="n">
        <v>2707.63</v>
      </c>
      <c r="D1434" s="16" t="n">
        <v>45986</v>
      </c>
      <c r="E1434" s="19" t="n">
        <v>15.89</v>
      </c>
      <c r="G1434" s="16" t="n">
        <v>45986</v>
      </c>
      <c r="H1434" s="19" t="n">
        <v>1.4</v>
      </c>
    </row>
    <row r="1435">
      <c r="A1435" s="16" t="n">
        <v>45987</v>
      </c>
      <c r="B1435" s="19" t="n">
        <v>2780.12</v>
      </c>
      <c r="D1435" s="16" t="n">
        <v>45987</v>
      </c>
      <c r="E1435" s="19" t="n">
        <v>13.4</v>
      </c>
      <c r="G1435" s="16" t="n">
        <v>45987</v>
      </c>
      <c r="H1435" s="19" t="n">
        <v>1.37</v>
      </c>
    </row>
    <row r="1436">
      <c r="A1436" s="16" t="n">
        <v>45988</v>
      </c>
      <c r="B1436" s="19" t="inlineStr">
        <is>
          <t>.</t>
        </is>
      </c>
      <c r="D1436" s="16" t="n">
        <v>45988</v>
      </c>
      <c r="E1436" s="19" t="inlineStr"/>
      <c r="G1436" s="16" t="n">
        <v>45988</v>
      </c>
      <c r="H1436" s="19" t="inlineStr">
        <is>
          <t>.</t>
        </is>
      </c>
    </row>
    <row r="1437">
      <c r="A1437" s="16" t="n">
        <v>45989</v>
      </c>
      <c r="B1437" s="19" t="n">
        <v>2773.2</v>
      </c>
      <c r="D1437" s="16" t="n">
        <v>45989</v>
      </c>
      <c r="E1437" s="19" t="n">
        <v>14.31</v>
      </c>
      <c r="G1437" s="16" t="n">
        <v>45989</v>
      </c>
      <c r="H1437" s="19" t="n">
        <v>1.35</v>
      </c>
    </row>
    <row r="1438">
      <c r="A1438" s="16" t="n">
        <v>45992</v>
      </c>
      <c r="B1438" s="19" t="n">
        <v>2808.15</v>
      </c>
      <c r="D1438" s="16" t="n">
        <v>45992</v>
      </c>
      <c r="E1438" s="19" t="n">
        <v>14.15</v>
      </c>
      <c r="G1438" s="16" t="n">
        <v>45992</v>
      </c>
      <c r="H1438" s="19" t="n">
        <v>1.3</v>
      </c>
    </row>
    <row r="1439">
      <c r="A1439" s="16" t="n">
        <v>45993</v>
      </c>
      <c r="B1439" s="19" t="n">
        <v>2795.17</v>
      </c>
      <c r="D1439" s="16" t="n">
        <v>45993</v>
      </c>
      <c r="E1439" s="19" t="n">
        <v>13.88</v>
      </c>
      <c r="G1439" s="16" t="n">
        <v>45993</v>
      </c>
      <c r="H1439" s="19" t="n">
        <v>1.27</v>
      </c>
    </row>
    <row r="1440">
      <c r="A1440" s="16" t="n">
        <v>45994</v>
      </c>
      <c r="B1440" s="19" t="n">
        <v>2810.84</v>
      </c>
      <c r="D1440" s="16" t="n">
        <v>45994</v>
      </c>
      <c r="E1440" s="19" t="n">
        <v>12.95</v>
      </c>
      <c r="G1440" s="16" t="n">
        <v>45994</v>
      </c>
      <c r="H1440" s="19" t="n">
        <v>1.27</v>
      </c>
    </row>
    <row r="1441">
      <c r="A1441" s="16" t="n">
        <v>45995</v>
      </c>
      <c r="B1441" s="19" t="n">
        <v>2825.34</v>
      </c>
      <c r="D1441" s="16" t="n">
        <v>45995</v>
      </c>
      <c r="E1441" s="19" t="n">
        <v>12.85</v>
      </c>
      <c r="G1441" s="16" t="n">
        <v>45995</v>
      </c>
      <c r="H1441" s="19" t="n">
        <v>1.27</v>
      </c>
    </row>
    <row r="1442">
      <c r="A1442" s="16" t="n">
        <v>45996</v>
      </c>
      <c r="B1442" s="19" t="n">
        <v>2800.25</v>
      </c>
      <c r="D1442" s="16" t="n">
        <v>45996</v>
      </c>
      <c r="E1442" s="19" t="n">
        <v>14</v>
      </c>
      <c r="G1442" s="16" t="n">
        <v>45996</v>
      </c>
      <c r="H1442" s="19" t="n">
        <v>1.28</v>
      </c>
    </row>
    <row r="1443">
      <c r="A1443" s="16" t="n">
        <v>45999</v>
      </c>
      <c r="B1443" s="19" t="n">
        <v>2766.17</v>
      </c>
      <c r="D1443" s="16" t="n">
        <v>45999</v>
      </c>
      <c r="E1443" s="19" t="n">
        <v>14.52</v>
      </c>
      <c r="G1443" s="16" t="n">
        <v>45999</v>
      </c>
      <c r="H1443" s="19" t="n">
        <v>1.28</v>
      </c>
    </row>
    <row r="1444">
      <c r="A1444" s="16" t="n">
        <v>46000</v>
      </c>
      <c r="B1444" s="19" t="n">
        <v>2729.69</v>
      </c>
      <c r="D1444" s="16" t="n">
        <v>46000</v>
      </c>
      <c r="E1444" s="19" t="n">
        <v>15.9</v>
      </c>
      <c r="G1444" s="16" t="n">
        <v>46000</v>
      </c>
      <c r="H1444" s="19" t="n">
        <v>1.29</v>
      </c>
    </row>
    <row r="1445">
      <c r="A1445" s="16" t="n">
        <v>46001</v>
      </c>
      <c r="B1445" s="19" t="n">
        <v>2716.03</v>
      </c>
      <c r="D1445" s="16" t="n">
        <v>46001</v>
      </c>
      <c r="E1445" s="19" t="n">
        <v>17.36</v>
      </c>
      <c r="G1445" s="16" t="n">
        <v>46001</v>
      </c>
      <c r="H1445" s="19" t="n">
        <v>1.33</v>
      </c>
    </row>
    <row r="1446">
      <c r="A1446" s="16" t="n">
        <v>46002</v>
      </c>
      <c r="B1446" s="19" t="n">
        <v>2732.15</v>
      </c>
      <c r="D1446" s="16" t="n">
        <v>46002</v>
      </c>
      <c r="E1446" s="19" t="n">
        <v>16.56</v>
      </c>
      <c r="G1446" s="16" t="n">
        <v>46002</v>
      </c>
      <c r="H1446" s="19" t="n">
        <v>1.3</v>
      </c>
    </row>
    <row r="1447">
      <c r="A1447" s="16" t="n">
        <v>46003</v>
      </c>
      <c r="B1447" s="19" t="n">
        <v>2742.28</v>
      </c>
      <c r="D1447" s="16" t="n">
        <v>46003</v>
      </c>
      <c r="E1447" s="19" t="n">
        <v>16.2</v>
      </c>
      <c r="G1447" s="16" t="n">
        <v>46003</v>
      </c>
      <c r="H1447" s="19" t="n">
        <v>1.3</v>
      </c>
    </row>
    <row r="1448">
      <c r="A1448" s="16" t="n">
        <v>46006</v>
      </c>
      <c r="B1448" s="19" t="n">
        <v>2707.41</v>
      </c>
      <c r="D1448" s="16" t="n">
        <v>46006</v>
      </c>
      <c r="E1448" s="19" t="n">
        <v>17.69</v>
      </c>
      <c r="G1448" s="16" t="n">
        <v>46006</v>
      </c>
      <c r="H1448" s="19" t="n">
        <v>1.3</v>
      </c>
    </row>
    <row r="1449">
      <c r="A1449" s="16" t="n">
        <v>46007</v>
      </c>
      <c r="B1449" s="19" t="n">
        <v>2720.21</v>
      </c>
      <c r="D1449" s="16" t="n">
        <v>46007</v>
      </c>
      <c r="E1449" s="19" t="n">
        <v>16.63</v>
      </c>
      <c r="G1449" s="16" t="n">
        <v>46007</v>
      </c>
      <c r="H1449" s="19" t="n">
        <v>1.32</v>
      </c>
    </row>
    <row r="1450">
      <c r="A1450" s="16" t="n">
        <v>46008</v>
      </c>
      <c r="B1450" s="19" t="n">
        <v>2691.93</v>
      </c>
      <c r="D1450" s="16" t="n">
        <v>46008</v>
      </c>
      <c r="E1450" s="19" t="n">
        <v>17.66</v>
      </c>
      <c r="G1450" s="16" t="n">
        <v>46008</v>
      </c>
      <c r="H1450" s="19" t="n">
        <v>1.34</v>
      </c>
    </row>
    <row r="1451">
      <c r="A1451" s="16" t="n">
        <v>46009</v>
      </c>
      <c r="B1451" s="19" t="n">
        <v>2660.01</v>
      </c>
      <c r="D1451" s="16" t="n">
        <v>46009</v>
      </c>
      <c r="E1451" s="19" t="n">
        <v>18.76</v>
      </c>
      <c r="G1451" s="16" t="n">
        <v>46009</v>
      </c>
      <c r="H1451" s="19" t="n">
        <v>1.37</v>
      </c>
    </row>
    <row r="1452">
      <c r="A1452" s="16" t="n">
        <v>46010</v>
      </c>
      <c r="B1452" s="19" t="n">
        <v>2623.43</v>
      </c>
      <c r="D1452" s="16" t="n">
        <v>46010</v>
      </c>
      <c r="E1452" s="19" t="n">
        <v>19.67</v>
      </c>
      <c r="G1452" s="16" t="n">
        <v>46010</v>
      </c>
      <c r="H1452" s="19" t="n">
        <v>1.4</v>
      </c>
    </row>
    <row r="1453">
      <c r="A1453" s="16" t="n">
        <v>46013</v>
      </c>
      <c r="B1453" s="19" t="n">
        <v>2624.03</v>
      </c>
      <c r="D1453" s="16" t="n">
        <v>46013</v>
      </c>
      <c r="E1453" s="19" t="n">
        <v>19.32</v>
      </c>
      <c r="G1453" s="16" t="n">
        <v>46013</v>
      </c>
      <c r="H1453" s="19" t="n">
        <v>1.4</v>
      </c>
    </row>
    <row r="1454">
      <c r="A1454" s="16" t="n">
        <v>46014</v>
      </c>
      <c r="B1454" s="19" t="n">
        <v>2616.74</v>
      </c>
      <c r="D1454" s="16" t="n">
        <v>46014</v>
      </c>
      <c r="E1454" s="19" t="n">
        <v>19.56</v>
      </c>
      <c r="G1454" s="16" t="n">
        <v>46014</v>
      </c>
      <c r="H1454" s="19" t="n">
        <v>1.41</v>
      </c>
    </row>
    <row r="1455">
      <c r="A1455" s="16" t="n">
        <v>46015</v>
      </c>
      <c r="B1455" s="19" t="n">
        <v>2627.71</v>
      </c>
      <c r="D1455" s="16" t="n">
        <v>46015</v>
      </c>
      <c r="E1455" s="19" t="n">
        <v>18.7</v>
      </c>
      <c r="G1455" s="16" t="n">
        <v>46015</v>
      </c>
      <c r="H1455" s="19" t="n">
        <v>1.42</v>
      </c>
    </row>
    <row r="1456">
      <c r="A1456" s="16" t="n">
        <v>46016</v>
      </c>
      <c r="B1456" s="19" t="inlineStr">
        <is>
          <t>.</t>
        </is>
      </c>
      <c r="D1456" s="16" t="n">
        <v>46016</v>
      </c>
      <c r="E1456" s="19" t="inlineStr"/>
      <c r="G1456" s="16" t="n">
        <v>46016</v>
      </c>
      <c r="H1456" s="19" t="inlineStr">
        <is>
          <t>.</t>
        </is>
      </c>
    </row>
    <row r="1457">
      <c r="A1457" s="16" t="n">
        <v>46017</v>
      </c>
      <c r="B1457" s="19" t="n">
        <v>2653.91</v>
      </c>
      <c r="D1457" s="16" t="n">
        <v>46017</v>
      </c>
      <c r="E1457" s="19" t="n">
        <v>17.79</v>
      </c>
      <c r="G1457" s="16" t="n">
        <v>46017</v>
      </c>
      <c r="H1457" s="19" t="n">
        <v>1.37</v>
      </c>
    </row>
    <row r="1458">
      <c r="A1458" s="16" t="n">
        <v>46020</v>
      </c>
      <c r="B1458" s="19" t="n">
        <v>2639.19</v>
      </c>
      <c r="D1458" s="16" t="n">
        <v>46020</v>
      </c>
      <c r="E1458" s="19" t="n">
        <v>18.31</v>
      </c>
      <c r="G1458" s="16" t="n">
        <v>46020</v>
      </c>
      <c r="H1458" s="19" t="n">
        <v>1.39</v>
      </c>
    </row>
    <row r="1459">
      <c r="A1459" s="16" t="n">
        <v>46021</v>
      </c>
      <c r="B1459" s="19" t="n">
        <v>2640.74</v>
      </c>
      <c r="D1459" s="16" t="n">
        <v>46021</v>
      </c>
      <c r="E1459" s="19" t="n">
        <v>18.69</v>
      </c>
      <c r="G1459" s="16" t="n">
        <v>46021</v>
      </c>
      <c r="H1459" s="19" t="n">
        <v>1.42</v>
      </c>
    </row>
    <row r="1460">
      <c r="A1460" s="16" t="n">
        <v>46022</v>
      </c>
      <c r="B1460" s="19" t="n">
        <v>2642.07</v>
      </c>
      <c r="D1460" s="16" t="n">
        <v>46022</v>
      </c>
      <c r="E1460" s="19" t="n">
        <v>18.87</v>
      </c>
      <c r="G1460" s="16" t="n">
        <v>46022</v>
      </c>
      <c r="H1460" s="19" t="n">
        <v>1.4</v>
      </c>
    </row>
    <row r="1461">
      <c r="A1461" s="16" t="n">
        <v>46023</v>
      </c>
      <c r="B1461" s="19" t="inlineStr">
        <is>
          <t>.</t>
        </is>
      </c>
      <c r="D1461" s="16" t="n">
        <v>46023</v>
      </c>
      <c r="E1461" s="19" t="inlineStr"/>
      <c r="G1461" s="16" t="n">
        <v>46023</v>
      </c>
      <c r="H1461" s="19" t="inlineStr">
        <is>
          <t>.</t>
        </is>
      </c>
    </row>
    <row r="1462">
      <c r="A1462" s="16" t="n">
        <v>46024</v>
      </c>
      <c r="B1462" s="19" t="n">
        <v>2646.35</v>
      </c>
      <c r="D1462" s="16" t="n">
        <v>46024</v>
      </c>
      <c r="E1462" s="19" t="n">
        <v>19.28</v>
      </c>
      <c r="G1462" s="16" t="n">
        <v>46024</v>
      </c>
      <c r="H1462" s="19" t="n">
        <v>1.38</v>
      </c>
    </row>
    <row r="1463">
      <c r="A1463" s="16" t="n">
        <v>46027</v>
      </c>
      <c r="B1463" s="19" t="n">
        <v>2640.28</v>
      </c>
      <c r="D1463" s="16" t="n">
        <v>46027</v>
      </c>
      <c r="E1463" s="19" t="n">
        <v>20.04</v>
      </c>
      <c r="G1463" s="16" t="n">
        <v>46027</v>
      </c>
      <c r="H1463" s="19" t="n">
        <v>1.41</v>
      </c>
    </row>
    <row r="1464">
      <c r="A1464" s="16" t="n">
        <v>46028</v>
      </c>
      <c r="B1464" s="19" t="n">
        <v>2576.77</v>
      </c>
      <c r="D1464" s="16" t="n">
        <v>46028</v>
      </c>
      <c r="E1464" s="19" t="n">
        <v>22.49</v>
      </c>
      <c r="G1464" s="16" t="n">
        <v>46028</v>
      </c>
      <c r="H1464" s="19" t="n">
        <v>1.41</v>
      </c>
    </row>
    <row r="1465">
      <c r="A1465" s="16" t="n">
        <v>46029</v>
      </c>
      <c r="B1465" s="19" t="n">
        <v>2534.91</v>
      </c>
      <c r="D1465" s="16" t="n">
        <v>46029</v>
      </c>
      <c r="E1465" s="19" t="n">
        <v>23.3</v>
      </c>
      <c r="G1465" s="16" t="n">
        <v>46029</v>
      </c>
      <c r="H1465" s="19" t="n">
        <v>1.45</v>
      </c>
    </row>
    <row r="1466">
      <c r="A1466" s="16" t="n">
        <v>46030</v>
      </c>
      <c r="B1466" s="19" t="n">
        <v>2512.96</v>
      </c>
      <c r="D1466" s="16" t="n">
        <v>46030</v>
      </c>
      <c r="E1466" s="19" t="n">
        <v>24.42</v>
      </c>
      <c r="G1466" s="16" t="n">
        <v>46030</v>
      </c>
      <c r="H1466" s="19" t="n">
        <v>1.49</v>
      </c>
    </row>
    <row r="1467">
      <c r="A1467" s="16" t="n">
        <v>46031</v>
      </c>
      <c r="B1467" s="19" t="n">
        <v>2564.03</v>
      </c>
      <c r="D1467" s="16" t="n">
        <v>46031</v>
      </c>
      <c r="E1467" s="19" t="n">
        <v>22.24</v>
      </c>
      <c r="G1467" s="16" t="n">
        <v>46031</v>
      </c>
      <c r="H1467" s="19" t="n">
        <v>1.46</v>
      </c>
    </row>
    <row r="1468">
      <c r="A1468" s="16" t="n">
        <v>46034</v>
      </c>
      <c r="B1468" s="19" t="n">
        <v>2580.58</v>
      </c>
      <c r="D1468" s="16" t="n">
        <v>46034</v>
      </c>
      <c r="E1468" s="19" t="n">
        <v>21.98</v>
      </c>
      <c r="G1468" s="16" t="n">
        <v>46034</v>
      </c>
      <c r="H1468" s="19" t="n">
        <v>1.47</v>
      </c>
    </row>
    <row r="1469">
      <c r="A1469" s="16" t="n">
        <v>46035</v>
      </c>
      <c r="B1469" s="19" t="n">
        <v>2539.44</v>
      </c>
      <c r="D1469" s="16" t="n">
        <v>46035</v>
      </c>
      <c r="E1469" s="19" t="n">
        <v>24.09</v>
      </c>
      <c r="G1469" s="16" t="n">
        <v>46035</v>
      </c>
      <c r="H1469" s="19" t="n">
        <v>1.51</v>
      </c>
    </row>
    <row r="1470">
      <c r="A1470" s="16" t="n">
        <v>46036</v>
      </c>
      <c r="B1470" s="19" t="n">
        <v>2486.97</v>
      </c>
      <c r="D1470" s="16" t="n">
        <v>46036</v>
      </c>
      <c r="E1470" s="19" t="n">
        <v>27.09</v>
      </c>
      <c r="G1470" s="16" t="n">
        <v>46036</v>
      </c>
      <c r="H1470" s="19" t="n">
        <v>1.58</v>
      </c>
    </row>
    <row r="1471">
      <c r="A1471" s="16" t="n">
        <v>46037</v>
      </c>
      <c r="B1471" s="19" t="n">
        <v>2493.59</v>
      </c>
      <c r="D1471" s="16" t="n">
        <v>46037</v>
      </c>
      <c r="E1471" s="19" t="n">
        <v>25.68</v>
      </c>
      <c r="G1471" s="16" t="n">
        <v>46037</v>
      </c>
      <c r="H1471" s="19" t="n">
        <v>1.53</v>
      </c>
    </row>
    <row r="1472">
      <c r="A1472" s="16" t="n">
        <v>46038</v>
      </c>
      <c r="B1472" s="19" t="n">
        <v>2513.08</v>
      </c>
      <c r="D1472" s="16" t="n">
        <v>46038</v>
      </c>
      <c r="E1472" s="19" t="n">
        <v>25.6</v>
      </c>
      <c r="G1472" s="16" t="n">
        <v>46038</v>
      </c>
      <c r="H1472" s="19" t="n">
        <v>1.55</v>
      </c>
    </row>
    <row r="1473">
      <c r="A1473" s="16" t="n">
        <v>46041</v>
      </c>
      <c r="B1473" s="19" t="n">
        <v>2510.9</v>
      </c>
      <c r="D1473" s="16" t="n">
        <v>46041</v>
      </c>
      <c r="E1473" s="19" t="n">
        <v>25.02</v>
      </c>
      <c r="G1473" s="16" t="n">
        <v>46041</v>
      </c>
      <c r="H1473" s="19" t="n">
        <v>1.52</v>
      </c>
    </row>
    <row r="1474">
      <c r="A1474" s="16" t="n">
        <v>46042</v>
      </c>
      <c r="B1474" s="19" t="n">
        <v>2522.69</v>
      </c>
      <c r="D1474" s="16" t="n">
        <v>46042</v>
      </c>
      <c r="E1474" s="19" t="n">
        <v>23.97</v>
      </c>
      <c r="G1474" s="16" t="n">
        <v>46042</v>
      </c>
      <c r="H1474" s="19" t="n">
        <v>1.47</v>
      </c>
    </row>
    <row r="1475">
      <c r="A1475" s="16" t="n">
        <v>46043</v>
      </c>
      <c r="B1475" s="19" t="n">
        <v>2527.01</v>
      </c>
      <c r="D1475" s="16" t="n">
        <v>46043</v>
      </c>
      <c r="E1475" s="19" t="n">
        <v>24.34</v>
      </c>
      <c r="G1475" s="16" t="n">
        <v>46043</v>
      </c>
      <c r="H1475" s="19" t="n">
        <v>1.48</v>
      </c>
    </row>
    <row r="1476">
      <c r="A1476" s="16" t="n">
        <v>46044</v>
      </c>
      <c r="B1476" s="19" t="n">
        <v>2488.91</v>
      </c>
      <c r="D1476" s="16" t="n">
        <v>46044</v>
      </c>
      <c r="E1476" s="19" t="n">
        <v>25.49</v>
      </c>
      <c r="G1476" s="16" t="n">
        <v>46044</v>
      </c>
      <c r="H1476" s="19" t="n">
        <v>1.53</v>
      </c>
    </row>
    <row r="1477">
      <c r="A1477" s="16" t="n">
        <v>46045</v>
      </c>
      <c r="B1477" s="19" t="n">
        <v>2486.2</v>
      </c>
      <c r="D1477" s="16" t="n">
        <v>46045</v>
      </c>
      <c r="E1477" s="19" t="n">
        <v>24.58</v>
      </c>
      <c r="G1477" s="16" t="n">
        <v>46045</v>
      </c>
      <c r="H1477" s="19" t="n">
        <v>1.54</v>
      </c>
    </row>
    <row r="1478">
      <c r="A1478" s="16" t="n">
        <v>46048</v>
      </c>
      <c r="B1478" s="19" t="n">
        <v>2513.5</v>
      </c>
      <c r="D1478" s="16" t="n">
        <v>46048</v>
      </c>
      <c r="E1478" s="19" t="n">
        <v>22.53</v>
      </c>
      <c r="G1478" s="16" t="n">
        <v>46048</v>
      </c>
      <c r="H1478" s="19" t="n">
        <v>1.51</v>
      </c>
    </row>
    <row r="1479">
      <c r="A1479" s="16" t="n">
        <v>46049</v>
      </c>
      <c r="B1479" s="19" t="n">
        <v>2488.92</v>
      </c>
      <c r="D1479" s="16" t="n">
        <v>46049</v>
      </c>
      <c r="E1479" s="19" t="n">
        <v>23.72</v>
      </c>
      <c r="G1479" s="16" t="n">
        <v>46049</v>
      </c>
      <c r="H1479" s="19" t="n">
        <v>1.54</v>
      </c>
    </row>
    <row r="1480">
      <c r="A1480" s="16" t="n">
        <v>46050</v>
      </c>
      <c r="B1480" s="19" t="n">
        <v>2494.97</v>
      </c>
      <c r="D1480" s="16" t="n">
        <v>46050</v>
      </c>
      <c r="E1480" s="19" t="n">
        <v>24.91</v>
      </c>
      <c r="G1480" s="16" t="n">
        <v>46050</v>
      </c>
      <c r="H1480" s="19" t="n">
        <v>1.54</v>
      </c>
    </row>
    <row r="1481">
      <c r="A1481" s="16" t="n">
        <v>46051</v>
      </c>
      <c r="B1481" s="19" t="n">
        <v>2474.63</v>
      </c>
      <c r="D1481" s="16" t="n">
        <v>46051</v>
      </c>
      <c r="E1481" s="19" t="n">
        <v>24.9</v>
      </c>
      <c r="G1481" s="16" t="n">
        <v>46051</v>
      </c>
      <c r="H1481" s="19" t="n">
        <v>1.58</v>
      </c>
    </row>
    <row r="1482">
      <c r="A1482" s="16" t="n">
        <v>46052</v>
      </c>
      <c r="B1482" s="19" t="n">
        <v>2519.85</v>
      </c>
      <c r="D1482" s="16" t="n">
        <v>46052</v>
      </c>
      <c r="E1482" s="19" t="n">
        <v>23.99</v>
      </c>
      <c r="G1482" s="16" t="n">
        <v>46052</v>
      </c>
      <c r="H1482" s="19" t="n">
        <v>1.54</v>
      </c>
    </row>
    <row r="1483">
      <c r="A1483" s="16" t="n">
        <v>46055</v>
      </c>
      <c r="B1483" s="19" t="n">
        <v>2504.08</v>
      </c>
      <c r="D1483" s="16" t="n">
        <v>46055</v>
      </c>
      <c r="E1483" s="19" t="n">
        <v>23.64</v>
      </c>
      <c r="G1483" s="16" t="n">
        <v>46055</v>
      </c>
      <c r="H1483" s="19" t="n">
        <v>1.51</v>
      </c>
    </row>
    <row r="1484">
      <c r="A1484" s="16" t="n">
        <v>46056</v>
      </c>
      <c r="B1484" s="19" t="n">
        <v>2556.34</v>
      </c>
      <c r="D1484" s="16" t="n">
        <v>46056</v>
      </c>
      <c r="E1484" s="19" t="n">
        <v>21.41</v>
      </c>
      <c r="G1484" s="16" t="n">
        <v>46056</v>
      </c>
      <c r="H1484" s="19" t="n">
        <v>1.48</v>
      </c>
    </row>
    <row r="1485">
      <c r="A1485" s="16" t="n">
        <v>46057</v>
      </c>
      <c r="B1485" s="19" t="n">
        <v>2559.55</v>
      </c>
      <c r="D1485" s="16" t="n">
        <v>46057</v>
      </c>
      <c r="E1485" s="19" t="n">
        <v>21.17</v>
      </c>
      <c r="G1485" s="16" t="n">
        <v>46057</v>
      </c>
      <c r="H1485" s="19" t="n">
        <v>1.46</v>
      </c>
    </row>
    <row r="1486">
      <c r="A1486" s="16" t="n">
        <v>46058</v>
      </c>
      <c r="B1486" s="19" t="n">
        <v>2549.16</v>
      </c>
      <c r="D1486" s="16" t="n">
        <v>46058</v>
      </c>
      <c r="E1486" s="19" t="n">
        <v>20.19</v>
      </c>
      <c r="G1486" s="16" t="n">
        <v>46058</v>
      </c>
      <c r="H1486" s="19" t="n">
        <v>1.48</v>
      </c>
    </row>
    <row r="1487">
      <c r="A1487" s="16" t="n">
        <v>46059</v>
      </c>
      <c r="B1487" s="19" t="n">
        <v>2589.28</v>
      </c>
      <c r="D1487" s="16" t="n">
        <v>46059</v>
      </c>
      <c r="E1487" s="19" t="n">
        <v>18.51</v>
      </c>
      <c r="G1487" s="16" t="n">
        <v>46059</v>
      </c>
      <c r="H1487" s="19" t="n">
        <v>1.45</v>
      </c>
    </row>
    <row r="1488">
      <c r="A1488" s="16" t="n">
        <v>46062</v>
      </c>
      <c r="B1488" s="19" t="n">
        <v>2603.98</v>
      </c>
      <c r="D1488" s="16" t="n">
        <v>46062</v>
      </c>
      <c r="E1488" s="19" t="n">
        <v>17.92</v>
      </c>
      <c r="G1488" s="16" t="n">
        <v>46062</v>
      </c>
      <c r="H1488" s="19" t="n">
        <v>1.47</v>
      </c>
    </row>
    <row r="1489">
      <c r="A1489" s="16" t="n">
        <v>46063</v>
      </c>
      <c r="B1489" s="19" t="n">
        <v>2559.87</v>
      </c>
      <c r="D1489" s="16" t="n">
        <v>46063</v>
      </c>
      <c r="E1489" s="19" t="n">
        <v>19.46</v>
      </c>
      <c r="G1489" s="16" t="n">
        <v>46063</v>
      </c>
      <c r="H1489" s="19" t="n">
        <v>1.47</v>
      </c>
    </row>
    <row r="1490">
      <c r="A1490" s="16" t="n">
        <v>46064</v>
      </c>
      <c r="B1490" s="19" t="n">
        <v>2570.07</v>
      </c>
      <c r="D1490" s="16" t="n">
        <v>46064</v>
      </c>
      <c r="E1490" s="19" t="n">
        <v>19.04</v>
      </c>
      <c r="G1490" s="16" t="n">
        <v>46064</v>
      </c>
      <c r="H1490" s="19" t="n">
        <v>1.46</v>
      </c>
    </row>
    <row r="1491">
      <c r="A1491" s="16" t="n">
        <v>46065</v>
      </c>
      <c r="B1491" s="19" t="n">
        <v>2569.17</v>
      </c>
      <c r="D1491" s="16" t="n">
        <v>46065</v>
      </c>
      <c r="E1491" s="19" t="n">
        <v>19.74</v>
      </c>
      <c r="G1491" s="16" t="n">
        <v>46065</v>
      </c>
      <c r="H1491" s="19" t="n">
        <v>1.51</v>
      </c>
    </row>
    <row r="1492">
      <c r="A1492" s="16" t="n">
        <v>46066</v>
      </c>
      <c r="B1492" s="19" t="n">
        <v>2547.63</v>
      </c>
      <c r="D1492" s="16" t="n">
        <v>46066</v>
      </c>
      <c r="E1492" s="19" t="n">
        <v>19.94</v>
      </c>
      <c r="G1492" s="16" t="n">
        <v>46066</v>
      </c>
      <c r="H1492" s="19" t="n">
        <v>1.55</v>
      </c>
    </row>
    <row r="1493">
      <c r="A1493" s="16" t="n">
        <v>46069</v>
      </c>
      <c r="B1493" s="19" t="n">
        <v>2535.17</v>
      </c>
      <c r="D1493" s="16" t="n">
        <v>46069</v>
      </c>
      <c r="E1493" s="19" t="n">
        <v>21.78</v>
      </c>
      <c r="G1493" s="16" t="n">
        <v>46069</v>
      </c>
      <c r="H1493" s="19" t="n">
        <v>1.58</v>
      </c>
    </row>
    <row r="1494">
      <c r="A1494" s="16" t="n">
        <v>46070</v>
      </c>
      <c r="B1494" s="19" t="n">
        <v>2547</v>
      </c>
      <c r="D1494" s="16" t="n">
        <v>46070</v>
      </c>
      <c r="E1494" s="19" t="n">
        <v>21.6</v>
      </c>
      <c r="G1494" s="16" t="n">
        <v>46070</v>
      </c>
      <c r="H1494" s="19" t="n">
        <v>1.56</v>
      </c>
    </row>
    <row r="1495">
      <c r="A1495" s="16" t="n">
        <v>46071</v>
      </c>
      <c r="B1495" s="19" t="n">
        <v>2543.79</v>
      </c>
      <c r="D1495" s="16" t="n">
        <v>46071</v>
      </c>
      <c r="E1495" s="19" t="n">
        <v>22.07</v>
      </c>
      <c r="G1495" s="16" t="n">
        <v>46071</v>
      </c>
      <c r="H1495" s="19" t="n">
        <v>1.57</v>
      </c>
    </row>
    <row r="1496">
      <c r="A1496" s="16" t="n">
        <v>46072</v>
      </c>
      <c r="B1496" s="19" t="n">
        <v>2565.04</v>
      </c>
      <c r="D1496" s="16" t="n">
        <v>46072</v>
      </c>
      <c r="E1496" s="19" t="n">
        <v>20.64</v>
      </c>
      <c r="G1496" s="16" t="n">
        <v>46072</v>
      </c>
      <c r="H1496" s="19" t="n">
        <v>1.57</v>
      </c>
    </row>
    <row r="1497">
      <c r="A1497" s="16" t="n">
        <v>46073</v>
      </c>
      <c r="B1497" s="19" t="n">
        <v>2567.83</v>
      </c>
      <c r="D1497" s="16" t="n">
        <v>46073</v>
      </c>
      <c r="E1497" s="19" t="n">
        <v>20.98</v>
      </c>
      <c r="G1497" s="16" t="n">
        <v>46073</v>
      </c>
      <c r="H1497" s="19" t="n">
        <v>1.56</v>
      </c>
    </row>
    <row r="1498">
      <c r="A1498" s="16" t="n">
        <v>46076</v>
      </c>
      <c r="B1498" s="19" t="n">
        <v>2589.93</v>
      </c>
      <c r="D1498" s="16" t="n">
        <v>46076</v>
      </c>
      <c r="E1498" s="19" t="n">
        <v>20.56</v>
      </c>
      <c r="G1498" s="16" t="n">
        <v>46076</v>
      </c>
      <c r="H1498" s="19" t="n">
        <v>1.58</v>
      </c>
    </row>
    <row r="1499">
      <c r="A1499" s="16" t="n">
        <v>46077</v>
      </c>
      <c r="B1499" s="19" t="n">
        <v>2611.3</v>
      </c>
      <c r="D1499" s="16" t="n">
        <v>46077</v>
      </c>
      <c r="E1499" s="19" t="n">
        <v>20.81</v>
      </c>
      <c r="G1499" s="16" t="n">
        <v>46077</v>
      </c>
      <c r="H1499" s="19" t="n">
        <v>1.59</v>
      </c>
    </row>
    <row r="1500">
      <c r="A1500" s="16" t="n">
        <v>46078</v>
      </c>
      <c r="B1500" s="19" t="n">
        <v>2592.37</v>
      </c>
      <c r="D1500" s="16" t="n">
        <v>46078</v>
      </c>
      <c r="E1500" s="19" t="n">
        <v>22.06</v>
      </c>
      <c r="G1500" s="16" t="n">
        <v>46078</v>
      </c>
      <c r="H1500" s="19" t="n">
        <v>1.62</v>
      </c>
    </row>
    <row r="1501">
      <c r="A1501" s="16" t="n">
        <v>46079</v>
      </c>
      <c r="B1501" s="19" t="n">
        <v>2604.69</v>
      </c>
      <c r="D1501" s="16" t="n">
        <v>46079</v>
      </c>
      <c r="E1501" s="19" t="n">
        <v>21.28</v>
      </c>
      <c r="G1501" s="16" t="n">
        <v>46079</v>
      </c>
      <c r="H1501" s="19" t="n">
        <v>1.65</v>
      </c>
    </row>
    <row r="1502">
      <c r="A1502" s="16" t="n">
        <v>46080</v>
      </c>
      <c r="B1502" s="19" t="n">
        <v>2553.2</v>
      </c>
      <c r="D1502" s="16" t="n">
        <v>46080</v>
      </c>
      <c r="E1502" s="19" t="n">
        <v>25.09</v>
      </c>
      <c r="G1502" s="16" t="n">
        <v>46080</v>
      </c>
      <c r="H1502" s="19" t="n">
        <v>1.71</v>
      </c>
    </row>
    <row r="1503">
      <c r="A1503" s="16" t="n">
        <v>46083</v>
      </c>
      <c r="B1503" s="19" t="n">
        <v>2554.46</v>
      </c>
      <c r="D1503" s="16" t="n">
        <v>46083</v>
      </c>
      <c r="E1503" s="19" t="n">
        <v>23.73</v>
      </c>
      <c r="G1503" s="16" t="n">
        <v>46083</v>
      </c>
      <c r="H1503" s="19" t="n">
        <v>1.71</v>
      </c>
    </row>
    <row r="1504">
      <c r="A1504" s="16" t="n">
        <v>46084</v>
      </c>
      <c r="B1504" s="19" t="n">
        <v>2546.68</v>
      </c>
      <c r="D1504" s="16" t="n">
        <v>46084</v>
      </c>
      <c r="E1504" s="19" t="n">
        <v>22.6</v>
      </c>
      <c r="G1504" s="16" t="n">
        <v>46084</v>
      </c>
      <c r="H1504" s="19" t="n">
        <v>1.75</v>
      </c>
    </row>
    <row r="1505">
      <c r="A1505" s="16" t="n">
        <v>46085</v>
      </c>
      <c r="B1505" s="19" t="n">
        <v>2526.15</v>
      </c>
      <c r="D1505" s="16" t="n">
        <v>46085</v>
      </c>
      <c r="E1505" s="19" t="n">
        <v>24.14</v>
      </c>
      <c r="G1505" s="16" t="n">
        <v>46085</v>
      </c>
      <c r="H1505" s="19" t="n">
        <v>1.79</v>
      </c>
    </row>
    <row r="1506">
      <c r="A1506" s="16" t="n">
        <v>46086</v>
      </c>
      <c r="B1506" s="19" t="n">
        <v>2530.28</v>
      </c>
      <c r="D1506" s="16" t="n">
        <v>46086</v>
      </c>
      <c r="E1506" s="19" t="n">
        <v>24.85</v>
      </c>
      <c r="G1506" s="16" t="n">
        <v>46086</v>
      </c>
      <c r="H1506" s="19" t="n">
        <v>1.78</v>
      </c>
    </row>
    <row r="1507">
      <c r="A1507" s="16" t="n">
        <v>46087</v>
      </c>
      <c r="B1507" s="19" t="n">
        <v>2573.79</v>
      </c>
      <c r="D1507" s="16" t="n">
        <v>46087</v>
      </c>
      <c r="E1507" s="19" t="n">
        <v>23.8</v>
      </c>
      <c r="G1507" s="16" t="n">
        <v>46087</v>
      </c>
      <c r="H1507" s="19" t="n">
        <v>1.74</v>
      </c>
    </row>
    <row r="1508">
      <c r="A1508" s="16" t="n">
        <v>46090</v>
      </c>
      <c r="B1508" s="19" t="n">
        <v>2555.3</v>
      </c>
      <c r="D1508" s="16" t="n">
        <v>46090</v>
      </c>
      <c r="E1508" s="19" t="n">
        <v>23.82</v>
      </c>
      <c r="G1508" s="16" t="n">
        <v>46090</v>
      </c>
      <c r="H1508" s="19" t="n">
        <v>1.77</v>
      </c>
    </row>
    <row r="1509">
      <c r="A1509" s="16" t="n">
        <v>46091</v>
      </c>
      <c r="B1509" s="19" t="n">
        <v>2581.7</v>
      </c>
      <c r="D1509" s="16" t="n">
        <v>46091</v>
      </c>
      <c r="E1509" s="19" t="n">
        <v>22.21</v>
      </c>
      <c r="G1509" s="16" t="n">
        <v>46091</v>
      </c>
      <c r="H1509" s="19" t="n">
        <v>1.78</v>
      </c>
    </row>
    <row r="1510">
      <c r="A1510" s="16" t="n">
        <v>46092</v>
      </c>
      <c r="B1510" s="19" t="n">
        <v>2562.39</v>
      </c>
      <c r="D1510" s="16" t="n">
        <v>46092</v>
      </c>
      <c r="E1510" s="19" t="n">
        <v>23.39</v>
      </c>
      <c r="G1510" s="16" t="n">
        <v>46092</v>
      </c>
      <c r="H1510" s="19" t="n">
        <v>1.79</v>
      </c>
    </row>
    <row r="1511">
      <c r="A1511" s="16" t="n">
        <v>46093</v>
      </c>
      <c r="B1511" s="19" t="n">
        <v>2590.61</v>
      </c>
      <c r="D1511" s="16" t="n">
        <v>46093</v>
      </c>
      <c r="E1511" s="19" t="n">
        <v>22.43</v>
      </c>
      <c r="G1511" s="16" t="n">
        <v>46093</v>
      </c>
      <c r="H1511" s="19" t="n">
        <v>1.76</v>
      </c>
    </row>
    <row r="1512">
      <c r="A1512" s="16" t="n">
        <v>46094</v>
      </c>
      <c r="B1512" s="19" t="n">
        <v>2574.99</v>
      </c>
      <c r="D1512" s="16" t="n">
        <v>46094</v>
      </c>
      <c r="E1512" s="19" t="n">
        <v>22.53</v>
      </c>
      <c r="G1512" s="16" t="n">
        <v>46094</v>
      </c>
      <c r="H1512" s="19" t="n">
        <v>1.8</v>
      </c>
    </row>
    <row r="1513">
      <c r="A1513" s="16" t="n">
        <v>46097</v>
      </c>
      <c r="B1513" s="19" t="n">
        <v>2568.5</v>
      </c>
      <c r="D1513" s="16" t="n">
        <v>46097</v>
      </c>
      <c r="E1513" s="19" t="n">
        <v>21.4</v>
      </c>
      <c r="G1513" s="16" t="n">
        <v>46097</v>
      </c>
      <c r="H1513" s="19" t="n">
        <v>1.82</v>
      </c>
    </row>
    <row r="1514">
      <c r="A1514" s="16" t="n">
        <v>46098</v>
      </c>
      <c r="B1514" s="19" t="n">
        <v>2521.99</v>
      </c>
      <c r="D1514" s="16" t="n">
        <v>46098</v>
      </c>
      <c r="E1514" s="19" t="n">
        <v>23.36</v>
      </c>
      <c r="G1514" s="16" t="n">
        <v>46098</v>
      </c>
      <c r="H1514" s="19" t="n">
        <v>1.85</v>
      </c>
    </row>
    <row r="1515">
      <c r="A1515" s="16" t="n">
        <v>46099</v>
      </c>
      <c r="B1515" s="19" t="n">
        <v>2532.13</v>
      </c>
      <c r="D1515" s="16" t="n">
        <v>46099</v>
      </c>
      <c r="E1515" s="19" t="n">
        <v>21.82</v>
      </c>
      <c r="G1515" s="16" t="n">
        <v>46099</v>
      </c>
      <c r="H1515" s="19" t="n">
        <v>1.84</v>
      </c>
    </row>
    <row r="1516">
      <c r="A1516" s="16" t="n">
        <v>46100</v>
      </c>
      <c r="B1516" s="19" t="n">
        <v>2521.65</v>
      </c>
      <c r="D1516" s="16" t="n">
        <v>46100</v>
      </c>
      <c r="E1516" s="19" t="n">
        <v>21.65</v>
      </c>
      <c r="G1516" s="16" t="n">
        <v>46100</v>
      </c>
      <c r="H1516" s="19" t="n">
        <v>1.83</v>
      </c>
    </row>
    <row r="1517">
      <c r="A1517" s="16" t="n">
        <v>46101</v>
      </c>
      <c r="B1517" s="19" t="n">
        <v>2519.02</v>
      </c>
      <c r="D1517" s="16" t="n">
        <v>46101</v>
      </c>
      <c r="E1517" s="19" t="n">
        <v>20.67</v>
      </c>
      <c r="G1517" s="16" t="n">
        <v>46101</v>
      </c>
      <c r="H1517" s="19" t="n">
        <v>1.78</v>
      </c>
    </row>
    <row r="1518">
      <c r="A1518" s="16" t="n">
        <v>46104</v>
      </c>
      <c r="B1518" s="19" t="n">
        <v>2530.82</v>
      </c>
      <c r="D1518" s="16" t="n">
        <v>46104</v>
      </c>
      <c r="E1518" s="19" t="n">
        <v>19.72</v>
      </c>
      <c r="G1518" s="16" t="n">
        <v>46104</v>
      </c>
      <c r="H1518" s="19" t="n">
        <v>1.8</v>
      </c>
    </row>
    <row r="1519">
      <c r="A1519" s="16" t="n">
        <v>46105</v>
      </c>
      <c r="B1519" s="19" t="n">
        <v>2515.18</v>
      </c>
      <c r="D1519" s="16" t="n">
        <v>46105</v>
      </c>
      <c r="E1519" s="19" t="n">
        <v>20.88</v>
      </c>
      <c r="G1519" s="16" t="n">
        <v>46105</v>
      </c>
      <c r="H1519" s="19" t="n">
        <v>1.76</v>
      </c>
    </row>
    <row r="1520">
      <c r="A1520" s="16" t="n">
        <v>46106</v>
      </c>
      <c r="B1520" s="19" t="n">
        <v>2542.13</v>
      </c>
      <c r="D1520" s="16" t="n">
        <v>46106</v>
      </c>
      <c r="E1520" s="19" t="n">
        <v>20.81</v>
      </c>
      <c r="G1520" s="16" t="n">
        <v>46106</v>
      </c>
      <c r="H1520" s="19" t="n">
        <v>1.72</v>
      </c>
    </row>
    <row r="1521">
      <c r="A1521" s="16" t="n">
        <v>46107</v>
      </c>
      <c r="B1521" s="19" t="n">
        <v>2561.57</v>
      </c>
      <c r="D1521" s="16" t="n">
        <v>46107</v>
      </c>
      <c r="E1521" s="19" t="n">
        <v>19.86</v>
      </c>
      <c r="G1521" s="16" t="n">
        <v>46107</v>
      </c>
      <c r="H1521" s="19" t="n">
        <v>1.72</v>
      </c>
    </row>
    <row r="1522">
      <c r="A1522" s="16" t="n">
        <v>46108</v>
      </c>
      <c r="B1522" s="19" t="n">
        <v>2604.94</v>
      </c>
      <c r="D1522" s="16" t="n">
        <v>46108</v>
      </c>
      <c r="E1522" s="19" t="n">
        <v>17.56</v>
      </c>
      <c r="G1522" s="16" t="n">
        <v>46108</v>
      </c>
      <c r="H1522" s="19" t="n">
        <v>1.69</v>
      </c>
    </row>
    <row r="1523">
      <c r="A1523" s="16" t="n">
        <v>46111</v>
      </c>
      <c r="B1523" s="19" t="n">
        <v>2562.12</v>
      </c>
      <c r="D1523" s="16" t="n">
        <v>46111</v>
      </c>
      <c r="E1523" s="19" t="n">
        <v>18.75</v>
      </c>
      <c r="G1523" s="16" t="n">
        <v>46111</v>
      </c>
      <c r="H1523" s="19" t="n">
        <v>1.74</v>
      </c>
    </row>
    <row r="1524">
      <c r="A1524" s="16" t="n">
        <v>46112</v>
      </c>
      <c r="B1524" s="19" t="n">
        <v>2630.1</v>
      </c>
      <c r="D1524" s="16" t="n">
        <v>46112</v>
      </c>
      <c r="E1524" s="19" t="n">
        <v>16.57</v>
      </c>
      <c r="G1524" s="16" t="n">
        <v>46112</v>
      </c>
      <c r="H1524" s="19" t="n">
        <v>1.68</v>
      </c>
    </row>
    <row r="1525">
      <c r="A1525" s="16" t="n">
        <v>46113</v>
      </c>
      <c r="B1525" s="19" t="n">
        <v>2665.84</v>
      </c>
      <c r="D1525" s="16" t="n">
        <v>46113</v>
      </c>
      <c r="E1525" s="19" t="n">
        <v>15.42</v>
      </c>
      <c r="G1525" s="16" t="n">
        <v>46113</v>
      </c>
      <c r="H1525" s="19" t="n">
        <v>1.67</v>
      </c>
    </row>
    <row r="1526">
      <c r="A1526" s="16" t="n">
        <v>46114</v>
      </c>
      <c r="B1526" s="19" t="n">
        <v>2653.66</v>
      </c>
      <c r="D1526" s="16" t="n">
        <v>46114</v>
      </c>
      <c r="E1526" s="19" t="n">
        <v>15.82</v>
      </c>
      <c r="G1526" s="16" t="n">
        <v>46114</v>
      </c>
      <c r="H1526" s="19" t="n">
        <v>1.66</v>
      </c>
    </row>
    <row r="1527">
      <c r="A1527" s="16" t="n">
        <v>46115</v>
      </c>
      <c r="B1527" s="19" t="n">
        <v>2603.65</v>
      </c>
      <c r="D1527" s="16" t="n">
        <v>46115</v>
      </c>
      <c r="E1527" s="19" t="n">
        <v>17.52</v>
      </c>
      <c r="G1527" s="16" t="n">
        <v>46115</v>
      </c>
      <c r="H1527" s="19" t="n">
        <v>1.69</v>
      </c>
    </row>
    <row r="1528">
      <c r="A1528" s="16" t="n">
        <v>46118</v>
      </c>
      <c r="B1528" s="19" t="n">
        <v>2594.27</v>
      </c>
      <c r="D1528" s="16" t="n">
        <v>46118</v>
      </c>
      <c r="E1528" s="19" t="n">
        <v>17.57</v>
      </c>
      <c r="G1528" s="16" t="n">
        <v>46118</v>
      </c>
      <c r="H1528" s="19" t="n">
        <v>1.7</v>
      </c>
    </row>
    <row r="1529">
      <c r="A1529" s="16" t="n">
        <v>46119</v>
      </c>
      <c r="B1529" s="19" t="n">
        <v>2593.92</v>
      </c>
      <c r="D1529" s="16" t="n">
        <v>46119</v>
      </c>
      <c r="E1529" s="19" t="n">
        <v>17.49</v>
      </c>
      <c r="G1529" s="16" t="n">
        <v>46119</v>
      </c>
      <c r="H1529" s="19" t="n">
        <v>1.69</v>
      </c>
    </row>
    <row r="1530">
      <c r="A1530" s="16" t="n">
        <v>46120</v>
      </c>
      <c r="B1530" s="19" t="n">
        <v>2585.12</v>
      </c>
      <c r="D1530" s="16" t="n">
        <v>46120</v>
      </c>
      <c r="E1530" s="19" t="n">
        <v>17.56</v>
      </c>
      <c r="G1530" s="16" t="n">
        <v>46120</v>
      </c>
      <c r="H1530" s="19" t="n">
        <v>1.7</v>
      </c>
    </row>
    <row r="1531">
      <c r="A1531" s="16" t="n">
        <v>46121</v>
      </c>
      <c r="B1531" s="19" t="n">
        <v>2546.05</v>
      </c>
      <c r="D1531" s="16" t="n">
        <v>46121</v>
      </c>
      <c r="E1531" s="19" t="n">
        <v>18.3</v>
      </c>
      <c r="G1531" s="16" t="n">
        <v>46121</v>
      </c>
      <c r="H1531" s="19" t="n">
        <v>1.73</v>
      </c>
    </row>
    <row r="1532">
      <c r="A1532" s="16" t="n">
        <v>46122</v>
      </c>
      <c r="B1532" s="19" t="n">
        <v>2573.04</v>
      </c>
      <c r="D1532" s="16" t="n">
        <v>46122</v>
      </c>
      <c r="E1532" s="19" t="n">
        <v>16.13</v>
      </c>
      <c r="G1532" s="16" t="n">
        <v>46122</v>
      </c>
      <c r="H1532" s="19" t="n">
        <v>1.72</v>
      </c>
    </row>
    <row r="1533">
      <c r="A1533" s="16" t="n">
        <v>46125</v>
      </c>
      <c r="B1533" s="19" t="n">
        <v>2577.3</v>
      </c>
      <c r="D1533" s="16" t="n">
        <v>46125</v>
      </c>
      <c r="E1533" s="19" t="n">
        <v>15.89</v>
      </c>
      <c r="G1533" s="16" t="n">
        <v>46125</v>
      </c>
      <c r="H1533" s="19" t="n">
        <v>1.72</v>
      </c>
    </row>
    <row r="1534">
      <c r="A1534" s="16" t="n">
        <v>46126</v>
      </c>
      <c r="B1534" s="19" t="n">
        <v>2560.08</v>
      </c>
      <c r="D1534" s="16" t="n">
        <v>46126</v>
      </c>
      <c r="E1534" s="19" t="n">
        <v>16.55</v>
      </c>
      <c r="G1534" s="16" t="n">
        <v>46126</v>
      </c>
      <c r="H1534" s="19" t="n">
        <v>1.71</v>
      </c>
    </row>
    <row r="1535">
      <c r="A1535" s="16" t="n">
        <v>46127</v>
      </c>
      <c r="B1535" s="19" t="n">
        <v>2575.5</v>
      </c>
      <c r="D1535" s="16" t="n">
        <v>46127</v>
      </c>
      <c r="E1535" s="19" t="n">
        <v>16.92</v>
      </c>
      <c r="G1535" s="16" t="n">
        <v>46127</v>
      </c>
      <c r="H1535" s="19" t="n">
        <v>1.69</v>
      </c>
    </row>
    <row r="1536">
      <c r="A1536" s="16" t="n">
        <v>46128</v>
      </c>
      <c r="B1536" s="19" t="n">
        <v>2583.52</v>
      </c>
      <c r="D1536" s="16" t="n">
        <v>46128</v>
      </c>
      <c r="E1536" s="19" t="n">
        <v>17.2</v>
      </c>
      <c r="G1536" s="16" t="n">
        <v>46128</v>
      </c>
      <c r="H1536" s="19" t="n">
        <v>1.69</v>
      </c>
    </row>
    <row r="1537">
      <c r="A1537" s="16" t="n">
        <v>46129</v>
      </c>
      <c r="B1537" s="19" t="n">
        <v>2588.02</v>
      </c>
      <c r="D1537" s="16" t="n">
        <v>46129</v>
      </c>
      <c r="E1537" s="19" t="n">
        <v>17.37</v>
      </c>
      <c r="G1537" s="16" t="n">
        <v>46129</v>
      </c>
      <c r="H1537" s="19" t="n">
        <v>1.67</v>
      </c>
    </row>
    <row r="1538">
      <c r="A1538" s="16" t="n">
        <v>46132</v>
      </c>
      <c r="B1538" s="19" t="n">
        <v>2626.74</v>
      </c>
      <c r="D1538" s="16" t="n">
        <v>46132</v>
      </c>
      <c r="E1538" s="19" t="n">
        <v>16.05</v>
      </c>
      <c r="G1538" s="16" t="n">
        <v>46132</v>
      </c>
      <c r="H1538" s="19" t="n">
        <v>1.68</v>
      </c>
    </row>
    <row r="1539">
      <c r="A1539" s="16" t="n">
        <v>46133</v>
      </c>
      <c r="B1539" s="19" t="n">
        <v>2626.62</v>
      </c>
      <c r="D1539" s="16" t="n">
        <v>46133</v>
      </c>
      <c r="E1539" s="19" t="n">
        <v>16.33</v>
      </c>
      <c r="G1539" s="16" t="n">
        <v>46133</v>
      </c>
      <c r="H1539" s="19" t="n">
        <v>1.66</v>
      </c>
    </row>
    <row r="1540">
      <c r="A1540" s="16" t="n">
        <v>46134</v>
      </c>
      <c r="B1540" s="19" t="n">
        <v>2668.41</v>
      </c>
      <c r="D1540" s="16" t="n">
        <v>46134</v>
      </c>
      <c r="E1540" s="19" t="n">
        <v>16.29</v>
      </c>
      <c r="G1540" s="16" t="n">
        <v>46134</v>
      </c>
      <c r="H1540" s="19" t="n">
        <v>1.61</v>
      </c>
    </row>
    <row r="1541">
      <c r="A1541" s="16" t="n">
        <v>46135</v>
      </c>
      <c r="B1541" s="19" t="n">
        <v>2688.34</v>
      </c>
      <c r="D1541" s="16" t="n">
        <v>46135</v>
      </c>
      <c r="E1541" s="19" t="n">
        <v>15.75</v>
      </c>
      <c r="G1541" s="16" t="n">
        <v>46135</v>
      </c>
      <c r="H1541" s="19" t="n">
        <v>1.59</v>
      </c>
    </row>
    <row r="1542">
      <c r="A1542" s="16" t="n">
        <v>46136</v>
      </c>
      <c r="B1542" s="19" t="n">
        <v>2696.74</v>
      </c>
      <c r="D1542" s="16" t="n">
        <v>46136</v>
      </c>
      <c r="E1542" s="19" t="n">
        <v>16.56</v>
      </c>
      <c r="G1542" s="16" t="n">
        <v>46136</v>
      </c>
      <c r="H1542" s="19" t="n">
        <v>1.58</v>
      </c>
    </row>
    <row r="1543">
      <c r="A1543" s="16" t="n">
        <v>46139</v>
      </c>
      <c r="B1543" s="19" t="n">
        <v>2701.76</v>
      </c>
      <c r="D1543" s="16" t="n">
        <v>46139</v>
      </c>
      <c r="E1543" s="19" t="n">
        <v>16.76</v>
      </c>
      <c r="G1543" s="16" t="n">
        <v>46139</v>
      </c>
      <c r="H1543" s="19" t="n">
        <v>1.54</v>
      </c>
    </row>
    <row r="1544">
      <c r="A1544" s="16" t="n">
        <v>46140</v>
      </c>
      <c r="B1544" s="19" t="n">
        <v>2674.65</v>
      </c>
      <c r="D1544" s="16" t="n">
        <v>46140</v>
      </c>
      <c r="E1544" s="19" t="n">
        <v>18.97</v>
      </c>
      <c r="G1544" s="16" t="n">
        <v>46140</v>
      </c>
      <c r="H1544" s="19" t="n">
        <v>1.61</v>
      </c>
    </row>
    <row r="1545">
      <c r="A1545" s="16" t="n">
        <v>46141</v>
      </c>
      <c r="B1545" s="19" t="n">
        <v>2634.85</v>
      </c>
      <c r="D1545" s="16" t="n">
        <v>46141</v>
      </c>
      <c r="E1545" s="19" t="n">
        <v>20.32</v>
      </c>
      <c r="G1545" s="16" t="n">
        <v>46141</v>
      </c>
      <c r="H1545" s="19" t="n">
        <v>1.63</v>
      </c>
    </row>
    <row r="1546">
      <c r="A1546" s="16" t="n">
        <v>46142</v>
      </c>
      <c r="B1546" s="19" t="n">
        <v>2608.37</v>
      </c>
      <c r="D1546" s="16" t="n">
        <v>46142</v>
      </c>
      <c r="E1546" s="19" t="n">
        <v>20.04</v>
      </c>
      <c r="G1546" s="16" t="n">
        <v>46142</v>
      </c>
      <c r="H1546" s="19" t="n">
        <v>1.65</v>
      </c>
    </row>
    <row r="1547">
      <c r="A1547" s="16" t="n">
        <v>46143</v>
      </c>
      <c r="B1547" s="19" t="n">
        <v>2599.81</v>
      </c>
      <c r="D1547" s="16" t="n">
        <v>46143</v>
      </c>
      <c r="E1547" s="19" t="n">
        <v>19.95</v>
      </c>
      <c r="G1547" s="16" t="n">
        <v>46143</v>
      </c>
      <c r="H1547" s="19" t="n">
        <v>1.68</v>
      </c>
    </row>
    <row r="1548">
      <c r="A1548" s="16" t="n">
        <v>46146</v>
      </c>
      <c r="B1548" s="19" t="n">
        <v>2591.88</v>
      </c>
      <c r="D1548" s="16" t="n">
        <v>46146</v>
      </c>
      <c r="E1548" s="19" t="n">
        <v>20.57</v>
      </c>
      <c r="G1548" s="16" t="n">
        <v>46146</v>
      </c>
      <c r="H1548" s="19" t="n">
        <v>1.71</v>
      </c>
    </row>
    <row r="1549">
      <c r="A1549" s="16" t="n">
        <v>46147</v>
      </c>
      <c r="B1549" s="19" t="n">
        <v>2541.56</v>
      </c>
      <c r="D1549" s="16" t="n">
        <v>46147</v>
      </c>
      <c r="E1549" s="19" t="n">
        <v>22.03</v>
      </c>
      <c r="G1549" s="16" t="n">
        <v>46147</v>
      </c>
      <c r="H1549" s="19" t="n">
        <v>1.74</v>
      </c>
    </row>
    <row r="1550">
      <c r="A1550" s="16" t="n">
        <v>46148</v>
      </c>
      <c r="B1550" s="19" t="n">
        <v>2528.88</v>
      </c>
      <c r="D1550" s="16" t="n">
        <v>46148</v>
      </c>
      <c r="E1550" s="19" t="n">
        <v>23.63</v>
      </c>
      <c r="G1550" s="16" t="n">
        <v>46148</v>
      </c>
      <c r="H1550" s="19" t="n">
        <v>1.8</v>
      </c>
    </row>
    <row r="1551">
      <c r="A1551" s="16" t="n">
        <v>46149</v>
      </c>
      <c r="B1551" s="19" t="n">
        <v>2573.58</v>
      </c>
      <c r="D1551" s="16" t="n">
        <v>46149</v>
      </c>
      <c r="E1551" s="19" t="n">
        <v>21.55</v>
      </c>
      <c r="G1551" s="16" t="n">
        <v>46149</v>
      </c>
      <c r="H1551" s="19" t="n">
        <v>1.74</v>
      </c>
    </row>
    <row r="1552">
      <c r="A1552" s="16" t="n">
        <v>46150</v>
      </c>
      <c r="B1552" s="19" t="n">
        <v>2588.01</v>
      </c>
      <c r="D1552" s="16" t="n">
        <v>46150</v>
      </c>
      <c r="E1552" s="19" t="n">
        <v>22.59</v>
      </c>
      <c r="G1552" s="16" t="n">
        <v>46150</v>
      </c>
      <c r="H1552" s="19" t="n">
        <v>1.73</v>
      </c>
    </row>
    <row r="1553">
      <c r="A1553" s="16" t="n">
        <v>46153</v>
      </c>
      <c r="B1553" s="19" t="n">
        <v>2613.46</v>
      </c>
      <c r="D1553" s="16" t="n">
        <v>46153</v>
      </c>
      <c r="E1553" s="19" t="n">
        <v>21.18</v>
      </c>
      <c r="G1553" s="16" t="n">
        <v>46153</v>
      </c>
      <c r="H1553" s="19" t="n">
        <v>1.68</v>
      </c>
    </row>
    <row r="1554">
      <c r="A1554" s="16" t="n">
        <v>46154</v>
      </c>
      <c r="B1554" s="19" t="n">
        <v>2570.52</v>
      </c>
      <c r="D1554" s="16" t="n">
        <v>46154</v>
      </c>
      <c r="E1554" s="19" t="n">
        <v>22.01</v>
      </c>
      <c r="G1554" s="16" t="n">
        <v>46154</v>
      </c>
      <c r="H1554" s="19" t="n">
        <v>1.73</v>
      </c>
    </row>
    <row r="1555">
      <c r="A1555" s="16" t="n">
        <v>46155</v>
      </c>
      <c r="B1555" s="19" t="n">
        <v>2528.66</v>
      </c>
      <c r="D1555" s="16" t="n">
        <v>46155</v>
      </c>
      <c r="E1555" s="19" t="n">
        <v>22.58</v>
      </c>
      <c r="G1555" s="16" t="n">
        <v>46155</v>
      </c>
      <c r="H1555" s="19" t="n">
        <v>1.77</v>
      </c>
    </row>
    <row r="1556">
      <c r="A1556" s="16" t="n">
        <v>46156</v>
      </c>
      <c r="B1556" s="19" t="n">
        <v>2508.43</v>
      </c>
      <c r="D1556" s="16" t="n">
        <v>46156</v>
      </c>
      <c r="E1556" s="19" t="n">
        <v>23.8</v>
      </c>
      <c r="G1556" s="16" t="n">
        <v>46156</v>
      </c>
      <c r="H1556" s="19" t="n">
        <v>1.8</v>
      </c>
    </row>
    <row r="1557">
      <c r="A1557" s="16" t="n">
        <v>46157</v>
      </c>
      <c r="B1557" s="19" t="n">
        <v>2496.23</v>
      </c>
      <c r="D1557" s="16" t="n">
        <v>46157</v>
      </c>
      <c r="E1557" s="19" t="n">
        <v>24.48</v>
      </c>
      <c r="G1557" s="16" t="n">
        <v>46157</v>
      </c>
      <c r="H1557" s="19" t="n">
        <v>1.8</v>
      </c>
    </row>
    <row r="1558">
      <c r="A1558" s="16" t="n">
        <v>46160</v>
      </c>
      <c r="B1558" s="19" t="n">
        <v>2528.06</v>
      </c>
      <c r="D1558" s="16" t="n">
        <v>46160</v>
      </c>
      <c r="E1558" s="19" t="n">
        <v>23.67</v>
      </c>
      <c r="G1558" s="16" t="n">
        <v>46160</v>
      </c>
      <c r="H1558" s="19" t="n">
        <v>1.76</v>
      </c>
    </row>
    <row r="1559">
      <c r="A1559" s="16" t="n">
        <v>46161</v>
      </c>
      <c r="B1559" s="19" t="n">
        <v>2496.02</v>
      </c>
      <c r="D1559" s="16" t="n">
        <v>46161</v>
      </c>
      <c r="E1559" s="19" t="n">
        <v>25.17</v>
      </c>
      <c r="G1559" s="16" t="n">
        <v>46161</v>
      </c>
      <c r="H1559" s="19" t="n">
        <v>1.81</v>
      </c>
    </row>
    <row r="1560">
      <c r="A1560" s="16" t="n">
        <v>46162</v>
      </c>
      <c r="B1560" s="19" t="n">
        <v>2482.84</v>
      </c>
      <c r="D1560" s="16" t="n">
        <v>46162</v>
      </c>
      <c r="E1560" s="19" t="n">
        <v>26.72</v>
      </c>
      <c r="G1560" s="16" t="n">
        <v>46162</v>
      </c>
      <c r="H1560" s="19" t="n">
        <v>1.85</v>
      </c>
    </row>
    <row r="1561">
      <c r="A1561" s="16" t="n">
        <v>46163</v>
      </c>
      <c r="B1561" s="19" t="n">
        <v>2484.38</v>
      </c>
      <c r="D1561" s="16" t="n">
        <v>46163</v>
      </c>
      <c r="E1561" s="19" t="n">
        <v>26.35</v>
      </c>
      <c r="G1561" s="16" t="n">
        <v>46163</v>
      </c>
      <c r="H1561" s="19" t="n">
        <v>1.86</v>
      </c>
    </row>
    <row r="1562">
      <c r="A1562" s="16" t="n">
        <v>46164</v>
      </c>
      <c r="B1562" s="19" t="n">
        <v>2453.19</v>
      </c>
      <c r="D1562" s="16" t="n">
        <v>46164</v>
      </c>
      <c r="E1562" s="19" t="n">
        <v>28.34</v>
      </c>
      <c r="G1562" s="16" t="n">
        <v>46164</v>
      </c>
      <c r="H1562" s="19" t="n">
        <v>1.86</v>
      </c>
    </row>
    <row r="1563">
      <c r="A1563" s="16" t="n">
        <v>46167</v>
      </c>
      <c r="B1563" s="19" t="n">
        <v>2467.21</v>
      </c>
      <c r="D1563" s="16" t="n">
        <v>46167</v>
      </c>
      <c r="E1563" s="19" t="n">
        <v>27.78</v>
      </c>
      <c r="G1563" s="16" t="n">
        <v>46167</v>
      </c>
      <c r="H1563" s="19" t="n">
        <v>1.88</v>
      </c>
    </row>
    <row r="1564">
      <c r="A1564" s="16" t="n">
        <v>46168</v>
      </c>
      <c r="B1564" s="19" t="n">
        <v>2497.15</v>
      </c>
      <c r="D1564" s="16" t="n">
        <v>46168</v>
      </c>
      <c r="E1564" s="19" t="n">
        <v>26.13</v>
      </c>
      <c r="G1564" s="16" t="n">
        <v>46168</v>
      </c>
      <c r="H1564" s="19" t="n">
        <v>1.85</v>
      </c>
    </row>
    <row r="1565">
      <c r="A1565" s="16" t="n">
        <v>46169</v>
      </c>
      <c r="B1565" s="19" t="n">
        <v>2476.42</v>
      </c>
      <c r="D1565" s="16" t="n">
        <v>46169</v>
      </c>
      <c r="E1565" s="19" t="n">
        <v>26.34</v>
      </c>
      <c r="G1565" s="16" t="n">
        <v>46169</v>
      </c>
      <c r="H1565" s="19" t="n">
        <v>1.87</v>
      </c>
    </row>
    <row r="1566">
      <c r="A1566" s="16" t="n">
        <v>46170</v>
      </c>
      <c r="B1566" s="19" t="n">
        <v>2481.94</v>
      </c>
      <c r="D1566" s="16" t="n">
        <v>46170</v>
      </c>
      <c r="E1566" s="19" t="n">
        <v>26.28</v>
      </c>
      <c r="G1566" s="16" t="n">
        <v>46170</v>
      </c>
      <c r="H1566" s="19" t="n">
        <v>1.85</v>
      </c>
    </row>
    <row r="1567">
      <c r="A1567" s="16" t="n">
        <v>46171</v>
      </c>
      <c r="B1567" s="19" t="n">
        <v>2453.3</v>
      </c>
      <c r="D1567" s="16" t="n">
        <v>46171</v>
      </c>
      <c r="E1567" s="19" t="n">
        <v>26.8</v>
      </c>
      <c r="G1567" s="16" t="n">
        <v>46171</v>
      </c>
      <c r="H1567" s="19" t="n">
        <v>1.89</v>
      </c>
    </row>
    <row r="1568">
      <c r="A1568" s="16" t="n">
        <v>46174</v>
      </c>
      <c r="B1568" s="19" t="n">
        <v>2487.12</v>
      </c>
      <c r="D1568" s="16" t="n">
        <v>46174</v>
      </c>
      <c r="E1568" s="19" t="n">
        <v>25.11</v>
      </c>
      <c r="G1568" s="16" t="n">
        <v>46174</v>
      </c>
      <c r="H1568" s="19" t="n">
        <v>1.88</v>
      </c>
    </row>
    <row r="1569">
      <c r="A1569" s="16" t="n">
        <v>46175</v>
      </c>
      <c r="B1569" s="19" t="n">
        <v>2526.69</v>
      </c>
      <c r="D1569" s="16" t="n">
        <v>46175</v>
      </c>
      <c r="E1569" s="19" t="n">
        <v>23.09</v>
      </c>
      <c r="G1569" s="16" t="n">
        <v>46175</v>
      </c>
      <c r="H1569" s="19" t="n">
        <v>1.81</v>
      </c>
    </row>
    <row r="1570">
      <c r="A1570" s="16" t="n">
        <v>46176</v>
      </c>
      <c r="B1570" s="19" t="n">
        <v>2458.3</v>
      </c>
      <c r="D1570" s="16" t="n">
        <v>46176</v>
      </c>
      <c r="E1570" s="19" t="n">
        <v>25.54</v>
      </c>
      <c r="G1570" s="16" t="n">
        <v>46176</v>
      </c>
      <c r="H1570" s="19" t="n">
        <v>1.84</v>
      </c>
    </row>
    <row r="1571">
      <c r="A1571" s="16" t="n">
        <v>46177</v>
      </c>
      <c r="B1571" s="19" t="n">
        <v>2428.01</v>
      </c>
      <c r="D1571" s="16" t="n">
        <v>46177</v>
      </c>
      <c r="E1571" s="19" t="n">
        <v>26.63</v>
      </c>
      <c r="G1571" s="16" t="n">
        <v>46177</v>
      </c>
      <c r="H1571" s="19" t="n">
        <v>1.86</v>
      </c>
    </row>
    <row r="1572">
      <c r="A1572" s="16" t="n">
        <v>46178</v>
      </c>
      <c r="B1572" s="19" t="n">
        <v>2450.94</v>
      </c>
      <c r="D1572" s="16" t="n">
        <v>46178</v>
      </c>
      <c r="E1572" s="19" t="n">
        <v>25.12</v>
      </c>
      <c r="G1572" s="16" t="n">
        <v>46178</v>
      </c>
      <c r="H1572" s="19" t="n">
        <v>1.84</v>
      </c>
    </row>
    <row r="1573">
      <c r="A1573" s="16" t="n">
        <v>46181</v>
      </c>
      <c r="B1573" s="19" t="n">
        <v>2463.24</v>
      </c>
      <c r="D1573" s="16" t="n">
        <v>46181</v>
      </c>
      <c r="E1573" s="19" t="n">
        <v>24.63</v>
      </c>
      <c r="G1573" s="16" t="n">
        <v>46181</v>
      </c>
      <c r="H1573" s="19" t="n">
        <v>1.84</v>
      </c>
    </row>
    <row r="1574">
      <c r="A1574" s="16" t="n">
        <v>46182</v>
      </c>
      <c r="B1574" s="19" t="n">
        <v>2409.91</v>
      </c>
      <c r="D1574" s="16" t="n">
        <v>46182</v>
      </c>
      <c r="E1574" s="19" t="n">
        <v>25.86</v>
      </c>
      <c r="G1574" s="16" t="n">
        <v>46182</v>
      </c>
      <c r="H1574" s="19" t="n">
        <v>1.87</v>
      </c>
    </row>
    <row r="1575">
      <c r="A1575" s="16" t="n">
        <v>46183</v>
      </c>
      <c r="B1575" s="19" t="n">
        <v>2369.5</v>
      </c>
      <c r="D1575" s="16" t="n">
        <v>46183</v>
      </c>
      <c r="E1575" s="19" t="n">
        <v>27.16</v>
      </c>
      <c r="G1575" s="16" t="n">
        <v>46183</v>
      </c>
      <c r="H1575" s="19" t="n">
        <v>1.91</v>
      </c>
    </row>
    <row r="1576">
      <c r="A1576" s="16" t="n">
        <v>46184</v>
      </c>
      <c r="B1576" s="19" t="n">
        <v>2387.01</v>
      </c>
      <c r="D1576" s="16" t="n">
        <v>46184</v>
      </c>
      <c r="E1576" s="19" t="n">
        <v>25.99</v>
      </c>
      <c r="G1576" s="16" t="n">
        <v>46184</v>
      </c>
      <c r="H1576" s="19" t="n">
        <v>1.89</v>
      </c>
    </row>
    <row r="1577">
      <c r="A1577" s="16" t="n">
        <v>46185</v>
      </c>
      <c r="B1577" s="19" t="n">
        <v>2421.34</v>
      </c>
      <c r="D1577" s="16" t="n">
        <v>46185</v>
      </c>
      <c r="E1577" s="19" t="n">
        <v>24.48</v>
      </c>
      <c r="G1577" s="16" t="n">
        <v>46185</v>
      </c>
      <c r="H1577" s="19" t="n">
        <v>1.86</v>
      </c>
    </row>
    <row r="1578">
      <c r="A1578" s="16" t="n">
        <v>46188</v>
      </c>
      <c r="B1578" s="19" t="n">
        <v>2440.32</v>
      </c>
      <c r="D1578" s="16" t="n">
        <v>46188</v>
      </c>
      <c r="E1578" s="19" t="n">
        <v>23.92</v>
      </c>
      <c r="G1578" s="16" t="n">
        <v>46188</v>
      </c>
      <c r="H1578" s="19" t="n">
        <v>1.88</v>
      </c>
    </row>
    <row r="1579">
      <c r="A1579" s="16" t="n">
        <v>46189</v>
      </c>
      <c r="B1579" s="19" t="n">
        <v>2436.64</v>
      </c>
      <c r="D1579" s="16" t="n">
        <v>46189</v>
      </c>
      <c r="E1579" s="19" t="n">
        <v>22.63</v>
      </c>
      <c r="G1579" s="16" t="n">
        <v>46189</v>
      </c>
      <c r="H1579" s="19" t="n">
        <v>1.89</v>
      </c>
    </row>
    <row r="1580">
      <c r="A1580" s="16" t="n">
        <v>46190</v>
      </c>
      <c r="B1580" s="19" t="n">
        <v>2465.07</v>
      </c>
      <c r="D1580" s="16" t="n">
        <v>46190</v>
      </c>
      <c r="E1580" s="19" t="n">
        <v>22.07</v>
      </c>
      <c r="G1580" s="16" t="n">
        <v>46190</v>
      </c>
      <c r="H1580" s="19" t="n">
        <v>1.89</v>
      </c>
    </row>
    <row r="1581">
      <c r="A1581" s="16" t="n">
        <v>46191</v>
      </c>
      <c r="B1581" s="19" t="n">
        <v>2460.85</v>
      </c>
      <c r="D1581" s="16" t="n">
        <v>46191</v>
      </c>
      <c r="E1581" s="19" t="n">
        <v>22.86</v>
      </c>
      <c r="G1581" s="16" t="n">
        <v>46191</v>
      </c>
      <c r="H1581" s="19" t="n">
        <v>1.87</v>
      </c>
    </row>
    <row r="1582">
      <c r="A1582" s="16" t="n">
        <v>46192</v>
      </c>
      <c r="B1582" s="19" t="n">
        <v>2414.49</v>
      </c>
      <c r="D1582" s="16" t="n">
        <v>46192</v>
      </c>
      <c r="E1582" s="19" t="n">
        <v>23.72</v>
      </c>
      <c r="G1582" s="16" t="n">
        <v>46192</v>
      </c>
      <c r="H1582" s="19" t="n">
        <v>1.91</v>
      </c>
    </row>
    <row r="1583">
      <c r="A1583" s="16" t="n">
        <v>46195</v>
      </c>
      <c r="B1583" s="19" t="n">
        <v>2376.72</v>
      </c>
      <c r="D1583" s="16" t="n">
        <v>46195</v>
      </c>
      <c r="E1583" s="19" t="n">
        <v>25.76</v>
      </c>
      <c r="G1583" s="16" t="n">
        <v>46195</v>
      </c>
      <c r="H1583" s="19" t="n">
        <v>1.95</v>
      </c>
    </row>
    <row r="1584">
      <c r="A1584" s="16" t="n">
        <v>46196</v>
      </c>
      <c r="B1584" s="19" t="n">
        <v>2394.53</v>
      </c>
      <c r="D1584" s="16" t="n">
        <v>46196</v>
      </c>
      <c r="E1584" s="19" t="n">
        <v>23.39</v>
      </c>
      <c r="G1584" s="16" t="n">
        <v>46196</v>
      </c>
      <c r="H1584" s="19" t="n">
        <v>1.92</v>
      </c>
    </row>
    <row r="1585">
      <c r="A1585" s="16" t="n">
        <v>46197</v>
      </c>
      <c r="B1585" s="19" t="n">
        <v>2385.36</v>
      </c>
      <c r="D1585" s="16" t="n">
        <v>46197</v>
      </c>
      <c r="E1585" s="19" t="n">
        <v>24.25</v>
      </c>
      <c r="G1585" s="16" t="n">
        <v>46197</v>
      </c>
      <c r="H1585" s="19" t="n">
        <v>1.91</v>
      </c>
    </row>
    <row r="1586">
      <c r="A1586" s="16" t="n">
        <v>46198</v>
      </c>
      <c r="B1586" s="19" t="n">
        <v>2387.55</v>
      </c>
      <c r="D1586" s="16" t="n">
        <v>46198</v>
      </c>
      <c r="E1586" s="19" t="n">
        <v>23.92</v>
      </c>
      <c r="G1586" s="16" t="n">
        <v>46198</v>
      </c>
      <c r="H1586" s="19" t="n">
        <v>1.94</v>
      </c>
    </row>
    <row r="1587">
      <c r="A1587" s="16" t="n">
        <v>46199</v>
      </c>
      <c r="B1587" s="19" t="n">
        <v>2362.25</v>
      </c>
      <c r="D1587" s="16" t="n">
        <v>46199</v>
      </c>
      <c r="E1587" s="19" t="n">
        <v>25.34</v>
      </c>
      <c r="G1587" s="16" t="n">
        <v>46199</v>
      </c>
      <c r="H1587" s="19" t="n">
        <v>1.93</v>
      </c>
    </row>
    <row r="1588">
      <c r="A1588" s="16" t="n">
        <v>46202</v>
      </c>
      <c r="B1588" s="19" t="n">
        <v>2328.24</v>
      </c>
      <c r="D1588" s="16" t="n">
        <v>46202</v>
      </c>
      <c r="E1588" s="19" t="n">
        <v>26.57</v>
      </c>
      <c r="G1588" s="16" t="n">
        <v>46202</v>
      </c>
      <c r="H1588" s="19" t="n">
        <v>1.97</v>
      </c>
    </row>
    <row r="1589">
      <c r="A1589" s="16" t="n">
        <v>46203</v>
      </c>
      <c r="B1589" s="19" t="n">
        <v>2308.92</v>
      </c>
      <c r="D1589" s="16" t="n">
        <v>46203</v>
      </c>
      <c r="E1589" s="19" t="n">
        <v>27.13</v>
      </c>
      <c r="G1589" s="16" t="n">
        <v>46203</v>
      </c>
      <c r="H1589" s="19" t="n">
        <v>1.93</v>
      </c>
    </row>
    <row r="1590">
      <c r="A1590" s="16" t="n">
        <v>46204</v>
      </c>
      <c r="B1590" s="19" t="n">
        <v>2307.25</v>
      </c>
      <c r="D1590" s="16" t="n">
        <v>46204</v>
      </c>
      <c r="E1590" s="19" t="n">
        <v>26.85</v>
      </c>
      <c r="G1590" s="16" t="n">
        <v>46204</v>
      </c>
      <c r="H1590" s="19" t="n">
        <v>1.97</v>
      </c>
    </row>
    <row r="1591">
      <c r="A1591" s="16" t="n">
        <v>46205</v>
      </c>
      <c r="B1591" s="19" t="n">
        <v>2296.03</v>
      </c>
      <c r="D1591" s="16" t="n">
        <v>46205</v>
      </c>
      <c r="E1591" s="19" t="n">
        <v>27.04</v>
      </c>
      <c r="G1591" s="16" t="n">
        <v>46205</v>
      </c>
      <c r="H1591" s="19" t="n">
        <v>1.98</v>
      </c>
    </row>
    <row r="1592">
      <c r="A1592" s="16" t="n">
        <v>46206</v>
      </c>
      <c r="B1592" s="19" t="n">
        <v>2288.72</v>
      </c>
      <c r="D1592" s="16" t="n">
        <v>46206</v>
      </c>
      <c r="E1592" s="19" t="n">
        <v>27.62</v>
      </c>
      <c r="G1592" s="16" t="n">
        <v>46206</v>
      </c>
      <c r="H1592" s="19" t="n">
        <v>1.99</v>
      </c>
    </row>
    <row r="1593">
      <c r="A1593" s="16" t="n">
        <v>46209</v>
      </c>
      <c r="B1593" s="19" t="n">
        <v>2301.05</v>
      </c>
      <c r="D1593" s="16" t="n">
        <v>46209</v>
      </c>
      <c r="E1593" s="19" t="n">
        <v>27.11</v>
      </c>
      <c r="G1593" s="16" t="n">
        <v>46209</v>
      </c>
      <c r="H1593" s="19" t="n">
        <v>1.96</v>
      </c>
    </row>
    <row r="1594">
      <c r="A1594" s="16" t="n">
        <v>46210</v>
      </c>
      <c r="B1594" s="19" t="n">
        <v>2339.72</v>
      </c>
      <c r="D1594" s="16" t="n">
        <v>46210</v>
      </c>
      <c r="E1594" s="19" t="n">
        <v>25.23</v>
      </c>
      <c r="G1594" s="16" t="n">
        <v>46210</v>
      </c>
      <c r="H1594" s="19" t="n">
        <v>1.9</v>
      </c>
    </row>
    <row r="1595">
      <c r="A1595" s="16" t="n">
        <v>46211</v>
      </c>
      <c r="B1595" s="19" t="n">
        <v>2370.04</v>
      </c>
      <c r="D1595" s="16" t="n">
        <v>46211</v>
      </c>
      <c r="E1595" s="19" t="n">
        <v>23.74</v>
      </c>
      <c r="G1595" s="16" t="n">
        <v>46211</v>
      </c>
      <c r="H1595" s="19" t="n">
        <v>1.89</v>
      </c>
    </row>
    <row r="1596">
      <c r="A1596" s="16" t="n">
        <v>46212</v>
      </c>
      <c r="B1596" s="19" t="n">
        <v>2347.03</v>
      </c>
      <c r="D1596" s="16" t="n">
        <v>46212</v>
      </c>
      <c r="E1596" s="19" t="n">
        <v>25.18</v>
      </c>
      <c r="G1596" s="16" t="n">
        <v>46212</v>
      </c>
      <c r="H1596" s="19" t="n">
        <v>1.89</v>
      </c>
    </row>
    <row r="1597">
      <c r="A1597" s="16" t="n">
        <v>46213</v>
      </c>
      <c r="B1597" s="19" t="n">
        <v>2383.4</v>
      </c>
      <c r="D1597" s="16" t="n">
        <v>46213</v>
      </c>
      <c r="E1597" s="19" t="n">
        <v>23.96</v>
      </c>
      <c r="G1597" s="16" t="n">
        <v>46213</v>
      </c>
      <c r="H1597" s="19" t="n">
        <v>1.85</v>
      </c>
    </row>
    <row r="1598">
      <c r="A1598" s="16" t="n">
        <v>46216</v>
      </c>
      <c r="B1598" s="19" t="n">
        <v>2375.19</v>
      </c>
      <c r="D1598" s="16" t="n">
        <v>46216</v>
      </c>
      <c r="E1598" s="19" t="n">
        <v>24.36</v>
      </c>
      <c r="G1598" s="16" t="n">
        <v>46216</v>
      </c>
      <c r="H1598" s="19" t="n">
        <v>1.88</v>
      </c>
    </row>
    <row r="1599">
      <c r="A1599" s="16" t="n">
        <v>46217</v>
      </c>
      <c r="B1599" s="19" t="n">
        <v>2357.62</v>
      </c>
      <c r="D1599" s="16" t="n">
        <v>46217</v>
      </c>
      <c r="E1599" s="19" t="n">
        <v>24.27</v>
      </c>
      <c r="G1599" s="16" t="n">
        <v>46217</v>
      </c>
      <c r="H1599" s="19" t="n">
        <v>1.9</v>
      </c>
    </row>
    <row r="1600">
      <c r="A1600" s="16" t="n">
        <v>46218</v>
      </c>
      <c r="B1600" s="19" t="n">
        <v>2334.56</v>
      </c>
      <c r="D1600" s="16" t="n">
        <v>46218</v>
      </c>
      <c r="E1600" s="19" t="n">
        <v>24.56</v>
      </c>
      <c r="G1600" s="16" t="n">
        <v>46218</v>
      </c>
      <c r="H1600" s="19" t="n">
        <v>1.9</v>
      </c>
    </row>
    <row r="1601">
      <c r="A1601" s="16" t="n">
        <v>46219</v>
      </c>
      <c r="B1601" s="19" t="n">
        <v>2326.66</v>
      </c>
      <c r="D1601" s="16" t="n">
        <v>46219</v>
      </c>
      <c r="E1601" s="19" t="n">
        <v>25.36</v>
      </c>
      <c r="G1601" s="16" t="n">
        <v>46219</v>
      </c>
      <c r="H1601" s="19" t="n">
        <v>1.9</v>
      </c>
    </row>
    <row r="1602">
      <c r="A1602" s="16" t="n">
        <v>46220</v>
      </c>
      <c r="B1602" s="19" t="n">
        <v>2355.47</v>
      </c>
      <c r="D1602" s="16" t="n">
        <v>46220</v>
      </c>
      <c r="E1602" s="19" t="n">
        <v>23.24</v>
      </c>
      <c r="G1602" s="16" t="n">
        <v>46220</v>
      </c>
      <c r="H1602" s="19" t="n">
        <v>1.89</v>
      </c>
    </row>
    <row r="1603">
      <c r="A1603" s="16" t="n">
        <v>46223</v>
      </c>
      <c r="B1603" s="19" t="n">
        <v>2316.48</v>
      </c>
      <c r="D1603" s="16" t="n">
        <v>46223</v>
      </c>
      <c r="E1603" s="19" t="n">
        <v>25.46</v>
      </c>
      <c r="G1603" s="16" t="n">
        <v>46223</v>
      </c>
      <c r="H1603" s="19" t="n">
        <v>1.93</v>
      </c>
    </row>
    <row r="1604">
      <c r="A1604" s="16" t="n">
        <v>46224</v>
      </c>
      <c r="B1604" s="19" t="n">
        <v>2363.59</v>
      </c>
      <c r="D1604" s="16" t="n">
        <v>46224</v>
      </c>
      <c r="E1604" s="19" t="n">
        <v>24.06</v>
      </c>
      <c r="G1604" s="16" t="n">
        <v>46224</v>
      </c>
      <c r="H1604" s="19" t="n">
        <v>1.9</v>
      </c>
    </row>
    <row r="1605">
      <c r="A1605" s="16" t="n">
        <v>46225</v>
      </c>
      <c r="B1605" s="19" t="n">
        <v>2351.15</v>
      </c>
      <c r="D1605" s="16" t="n">
        <v>46225</v>
      </c>
      <c r="E1605" s="19" t="n">
        <v>24.89</v>
      </c>
      <c r="G1605" s="16" t="n">
        <v>46225</v>
      </c>
      <c r="H1605" s="19" t="n">
        <v>1.91</v>
      </c>
    </row>
    <row r="1606">
      <c r="A1606" s="16" t="n">
        <v>46226</v>
      </c>
      <c r="B1606" s="19" t="n">
        <v>2382.38</v>
      </c>
      <c r="D1606" s="16" t="n">
        <v>46226</v>
      </c>
      <c r="E1606" s="19" t="n">
        <v>24.9</v>
      </c>
      <c r="G1606" s="16" t="n">
        <v>46226</v>
      </c>
      <c r="H1606" s="19" t="n">
        <v>1.88</v>
      </c>
    </row>
    <row r="1607">
      <c r="A1607" s="16" t="n">
        <v>46227</v>
      </c>
      <c r="B1607" s="19" t="n">
        <v>2380.35</v>
      </c>
      <c r="D1607" s="16" t="n">
        <v>46227</v>
      </c>
      <c r="E1607" s="19" t="n">
        <v>24.03</v>
      </c>
      <c r="G1607" s="16" t="n">
        <v>46227</v>
      </c>
      <c r="H1607" s="19" t="n">
        <v>1.9</v>
      </c>
    </row>
    <row r="1608">
      <c r="A1608" s="16" t="n">
        <v>46230</v>
      </c>
      <c r="B1608" s="19" t="n">
        <v>2366.46</v>
      </c>
      <c r="D1608" s="16" t="n">
        <v>46230</v>
      </c>
      <c r="E1608" s="19" t="n">
        <v>24.08</v>
      </c>
      <c r="G1608" s="16" t="n">
        <v>46230</v>
      </c>
      <c r="H1608" s="19" t="n">
        <v>1.91</v>
      </c>
    </row>
    <row r="1609">
      <c r="A1609" s="16" t="n">
        <v>46231</v>
      </c>
      <c r="B1609" s="19" t="n">
        <v>2388.2</v>
      </c>
      <c r="D1609" s="16" t="n">
        <v>46231</v>
      </c>
      <c r="E1609" s="19" t="n">
        <v>22.68</v>
      </c>
      <c r="G1609" s="16" t="n">
        <v>46231</v>
      </c>
      <c r="H1609" s="19" t="n">
        <v>1.92</v>
      </c>
    </row>
    <row r="1610">
      <c r="A1610" s="16" t="n">
        <v>46232</v>
      </c>
      <c r="B1610" s="19" t="n">
        <v>2385.93</v>
      </c>
      <c r="D1610" s="16" t="n">
        <v>46232</v>
      </c>
      <c r="E1610" s="19" t="n">
        <v>23.16</v>
      </c>
      <c r="G1610" s="16" t="n">
        <v>46232</v>
      </c>
      <c r="H1610" s="19" t="n">
        <v>1.92</v>
      </c>
    </row>
    <row r="1611">
      <c r="A1611" s="16" t="n">
        <v>46233</v>
      </c>
      <c r="B1611" s="19" t="n">
        <v>2404.31</v>
      </c>
      <c r="D1611" s="16" t="n">
        <v>46233</v>
      </c>
      <c r="E1611" s="19" t="n">
        <v>22.12</v>
      </c>
      <c r="G1611" s="16" t="n">
        <v>46233</v>
      </c>
      <c r="H1611" s="19" t="n">
        <v>1.93</v>
      </c>
    </row>
    <row r="1612">
      <c r="A1612" s="16" t="n">
        <v>46234</v>
      </c>
      <c r="B1612" s="19" t="n">
        <v>2375.9</v>
      </c>
      <c r="D1612" s="16" t="n">
        <v>46234</v>
      </c>
      <c r="E1612" s="19" t="n">
        <v>22.19</v>
      </c>
      <c r="G1612" s="16" t="n">
        <v>46234</v>
      </c>
      <c r="H1612" s="19" t="n">
        <v>1.95</v>
      </c>
    </row>
    <row r="1613">
      <c r="A1613" s="16" t="n">
        <v>46237</v>
      </c>
      <c r="B1613" s="19" t="n">
        <v>2360.18</v>
      </c>
      <c r="D1613" s="16" t="n">
        <v>46237</v>
      </c>
      <c r="E1613" s="19" t="n">
        <v>22.22</v>
      </c>
      <c r="G1613" s="16" t="n">
        <v>46237</v>
      </c>
      <c r="H1613" s="19" t="n">
        <v>2.02</v>
      </c>
    </row>
    <row r="1614">
      <c r="A1614" s="16" t="n">
        <v>46238</v>
      </c>
      <c r="B1614" s="19" t="n">
        <v>2323.3</v>
      </c>
      <c r="D1614" s="16" t="n">
        <v>46238</v>
      </c>
      <c r="E1614" s="19" t="n">
        <v>23.93</v>
      </c>
      <c r="G1614" s="16" t="n">
        <v>46238</v>
      </c>
      <c r="H1614" s="19" t="n">
        <v>2.05</v>
      </c>
    </row>
    <row r="1615">
      <c r="A1615" s="16" t="n">
        <v>46239</v>
      </c>
      <c r="B1615" s="19" t="n">
        <v>2322.49</v>
      </c>
      <c r="D1615" s="16" t="n">
        <v>46239</v>
      </c>
      <c r="E1615" s="19" t="n">
        <v>21.94</v>
      </c>
      <c r="G1615" s="16" t="n">
        <v>46239</v>
      </c>
      <c r="H1615" s="19" t="n">
        <v>2.06</v>
      </c>
    </row>
    <row r="1616">
      <c r="A1616" s="16" t="n">
        <v>46240</v>
      </c>
      <c r="B1616" s="19" t="n">
        <v>2363.66</v>
      </c>
      <c r="D1616" s="16" t="n">
        <v>46240</v>
      </c>
      <c r="E1616" s="19" t="n">
        <v>19.71</v>
      </c>
      <c r="G1616" s="16" t="n">
        <v>46240</v>
      </c>
      <c r="H1616" s="19" t="n">
        <v>2.02</v>
      </c>
    </row>
    <row r="1617">
      <c r="A1617" s="16" t="n">
        <v>46241</v>
      </c>
      <c r="B1617" s="19" t="n">
        <v>2372.09</v>
      </c>
      <c r="D1617" s="16" t="n">
        <v>46241</v>
      </c>
      <c r="E1617" s="19" t="n">
        <v>19.07</v>
      </c>
      <c r="G1617" s="16" t="n">
        <v>46241</v>
      </c>
      <c r="H1617" s="19" t="n">
        <v>2.03</v>
      </c>
    </row>
    <row r="1618">
      <c r="A1618" s="16" t="n">
        <v>46244</v>
      </c>
      <c r="B1618" s="19" t="n">
        <v>2375.95</v>
      </c>
      <c r="D1618" s="16" t="n">
        <v>46244</v>
      </c>
      <c r="E1618" s="19" t="n">
        <v>17.6</v>
      </c>
      <c r="G1618" s="16" t="n">
        <v>46244</v>
      </c>
      <c r="H1618" s="19" t="n">
        <v>2.03</v>
      </c>
    </row>
    <row r="1619">
      <c r="A1619" s="16" t="n">
        <v>46245</v>
      </c>
      <c r="B1619" s="19" t="n">
        <v>2404.8</v>
      </c>
      <c r="D1619" s="16" t="n">
        <v>46245</v>
      </c>
      <c r="E1619" s="19" t="n">
        <v>17.08</v>
      </c>
      <c r="G1619" s="16" t="n">
        <v>46245</v>
      </c>
      <c r="H1619" s="19" t="n">
        <v>1.99</v>
      </c>
    </row>
    <row r="1620">
      <c r="A1620" s="16" t="n">
        <v>46246</v>
      </c>
      <c r="B1620" s="19" t="n">
        <v>2368.56</v>
      </c>
      <c r="D1620" s="16" t="n">
        <v>46246</v>
      </c>
      <c r="E1620" s="19" t="n">
        <v>19.1</v>
      </c>
      <c r="G1620" s="16" t="n">
        <v>46246</v>
      </c>
      <c r="H1620" s="19" t="n">
        <v>1.99</v>
      </c>
    </row>
    <row r="1621">
      <c r="A1621" s="16" t="n">
        <v>46247</v>
      </c>
      <c r="B1621" s="19" t="n">
        <v>2391.62</v>
      </c>
      <c r="D1621" s="16" t="n">
        <v>46247</v>
      </c>
      <c r="E1621" s="19" t="n">
        <v>19.09</v>
      </c>
      <c r="G1621" s="16" t="n">
        <v>46247</v>
      </c>
      <c r="H1621" s="19" t="n">
        <v>1.95</v>
      </c>
    </row>
    <row r="1622">
      <c r="A1622" s="16" t="n">
        <v>46248</v>
      </c>
      <c r="B1622" s="19" t="n">
        <v>2414.48</v>
      </c>
      <c r="D1622" s="16" t="n">
        <v>46248</v>
      </c>
      <c r="E1622" s="19" t="n">
        <v>18.56</v>
      </c>
      <c r="G1622" s="16" t="n">
        <v>46248</v>
      </c>
      <c r="H1622" s="19" t="n">
        <v>1.97</v>
      </c>
    </row>
    <row r="1623">
      <c r="A1623" s="16" t="n">
        <v>46251</v>
      </c>
      <c r="B1623" s="19" t="n">
        <v>2427.49</v>
      </c>
      <c r="D1623" s="16" t="n">
        <v>46251</v>
      </c>
      <c r="E1623" s="19" t="n">
        <v>18.4</v>
      </c>
      <c r="G1623" s="16" t="n">
        <v>46251</v>
      </c>
      <c r="H1623" s="19" t="n">
        <v>1.95</v>
      </c>
    </row>
    <row r="1624">
      <c r="A1624" s="16" t="n">
        <v>46252</v>
      </c>
      <c r="B1624" s="19" t="n">
        <v>2458.62</v>
      </c>
      <c r="D1624" s="16" t="n">
        <v>46252</v>
      </c>
      <c r="E1624" s="19" t="n">
        <v>17.04</v>
      </c>
      <c r="G1624" s="16" t="n">
        <v>46252</v>
      </c>
      <c r="H1624" s="19" t="n">
        <v>1.91</v>
      </c>
    </row>
    <row r="1625">
      <c r="A1625" s="16" t="n">
        <v>46253</v>
      </c>
      <c r="B1625" s="19" t="n">
        <v>2505.87</v>
      </c>
      <c r="D1625" s="16" t="n">
        <v>46253</v>
      </c>
      <c r="E1625" s="19" t="n">
        <v>14.72</v>
      </c>
      <c r="G1625" s="16" t="n">
        <v>46253</v>
      </c>
      <c r="H1625" s="19" t="n">
        <v>1.87</v>
      </c>
    </row>
    <row r="1626">
      <c r="A1626" s="16" t="n">
        <v>46254</v>
      </c>
      <c r="B1626" s="19" t="n">
        <v>2485.14</v>
      </c>
      <c r="D1626" s="16" t="n">
        <v>46254</v>
      </c>
      <c r="E1626" s="19" t="n">
        <v>15.87</v>
      </c>
      <c r="G1626" s="16" t="n">
        <v>46254</v>
      </c>
      <c r="H1626" s="19" t="n">
        <v>1.89</v>
      </c>
    </row>
    <row r="1627">
      <c r="A1627" s="16" t="n">
        <v>46255</v>
      </c>
      <c r="B1627" s="19" t="n">
        <v>2449.26</v>
      </c>
      <c r="D1627" s="16" t="n">
        <v>46255</v>
      </c>
      <c r="E1627" s="19" t="n">
        <v>17</v>
      </c>
      <c r="G1627" s="16" t="n">
        <v>46255</v>
      </c>
      <c r="H1627" s="19" t="n">
        <v>1.91</v>
      </c>
    </row>
    <row r="1628">
      <c r="A1628" s="16" t="n">
        <v>46258</v>
      </c>
      <c r="B1628" s="19" t="n">
        <v>2434.47</v>
      </c>
      <c r="D1628" s="16" t="n">
        <v>46258</v>
      </c>
      <c r="E1628" s="19" t="n">
        <v>18.31</v>
      </c>
      <c r="G1628" s="16" t="n">
        <v>46258</v>
      </c>
      <c r="H1628" s="19" t="n">
        <v>1.93</v>
      </c>
    </row>
    <row r="1629">
      <c r="A1629" s="16" t="n">
        <v>46259</v>
      </c>
      <c r="B1629" s="19" t="n">
        <v>2448.48</v>
      </c>
      <c r="D1629" s="16" t="n">
        <v>46259</v>
      </c>
      <c r="E1629" s="19" t="n">
        <v>16.37</v>
      </c>
      <c r="G1629" s="16" t="n">
        <v>46259</v>
      </c>
      <c r="H1629" s="19" t="n">
        <v>1.94</v>
      </c>
    </row>
    <row r="1630">
      <c r="A1630" s="16" t="n">
        <v>46260</v>
      </c>
      <c r="B1630" s="19" t="n">
        <v>2457.96</v>
      </c>
      <c r="D1630" s="16" t="n">
        <v>46260</v>
      </c>
      <c r="E1630" s="19" t="n">
        <v>15.75</v>
      </c>
      <c r="G1630" s="16" t="n">
        <v>46260</v>
      </c>
      <c r="H1630" s="19" t="n">
        <v>1.91</v>
      </c>
    </row>
    <row r="1631">
      <c r="A1631" s="16" t="n">
        <v>46261</v>
      </c>
      <c r="B1631" s="19" t="n">
        <v>2468.11</v>
      </c>
      <c r="D1631" s="16" t="n">
        <v>46261</v>
      </c>
      <c r="E1631" s="19" t="n">
        <v>16.03</v>
      </c>
      <c r="G1631" s="16" t="n">
        <v>46261</v>
      </c>
      <c r="H1631" s="19" t="n">
        <v>1.88</v>
      </c>
    </row>
    <row r="1632">
      <c r="A1632" s="16" t="n">
        <v>46262</v>
      </c>
      <c r="B1632" s="19" t="n">
        <v>2437.66</v>
      </c>
      <c r="D1632" s="16" t="n">
        <v>46262</v>
      </c>
      <c r="E1632" s="19" t="n">
        <v>17.68</v>
      </c>
      <c r="G1632" s="16" t="n">
        <v>46262</v>
      </c>
      <c r="H1632" s="19" t="n">
        <v>1.93</v>
      </c>
    </row>
    <row r="1633">
      <c r="A1633" s="16" t="n">
        <v>46265</v>
      </c>
      <c r="B1633" s="19" t="n">
        <v>2466.71</v>
      </c>
      <c r="D1633" s="16" t="n">
        <v>46265</v>
      </c>
      <c r="E1633" s="19" t="n">
        <v>17.39</v>
      </c>
      <c r="G1633" s="16" t="n">
        <v>46265</v>
      </c>
      <c r="H1633" s="19" t="n">
        <v>1.9</v>
      </c>
    </row>
    <row r="1634">
      <c r="A1634" s="16" t="n">
        <v>46266</v>
      </c>
      <c r="B1634" s="19" t="n">
        <v>2458.92</v>
      </c>
      <c r="D1634" s="16" t="n">
        <v>46266</v>
      </c>
      <c r="E1634" s="19" t="n">
        <v>17.64</v>
      </c>
      <c r="G1634" s="16" t="n">
        <v>46266</v>
      </c>
      <c r="H1634" s="19" t="n">
        <v>1.91</v>
      </c>
    </row>
    <row r="1635">
      <c r="A1635" s="16" t="n">
        <v>46267</v>
      </c>
      <c r="B1635" s="19" t="n">
        <v>2489.91</v>
      </c>
      <c r="D1635" s="16" t="n">
        <v>46267</v>
      </c>
      <c r="E1635" s="19" t="n">
        <v>16.01</v>
      </c>
      <c r="G1635" s="16" t="n">
        <v>46267</v>
      </c>
      <c r="H1635" s="19" t="n">
        <v>1.91</v>
      </c>
    </row>
    <row r="1636">
      <c r="A1636" s="16" t="n">
        <v>46268</v>
      </c>
      <c r="B1636" s="19" t="n">
        <v>2462.49</v>
      </c>
      <c r="D1636" s="16" t="n">
        <v>46268</v>
      </c>
      <c r="E1636" s="19" t="n">
        <v>16.72</v>
      </c>
      <c r="G1636" s="16" t="n">
        <v>46268</v>
      </c>
      <c r="H1636" s="19" t="n">
        <v>1.95</v>
      </c>
    </row>
    <row r="1637">
      <c r="A1637" s="16" t="n">
        <v>46269</v>
      </c>
      <c r="B1637" s="19" t="n">
        <v>2514.88</v>
      </c>
      <c r="D1637" s="16" t="n">
        <v>46269</v>
      </c>
      <c r="E1637" s="19" t="n">
        <v>14.91</v>
      </c>
      <c r="G1637" s="16" t="n">
        <v>46269</v>
      </c>
      <c r="H1637" s="19" t="n">
        <v>1.91</v>
      </c>
    </row>
    <row r="1638">
      <c r="A1638" s="16" t="n">
        <v>46272</v>
      </c>
      <c r="B1638" s="19" t="n">
        <v>2542.67</v>
      </c>
      <c r="D1638" s="16" t="n">
        <v>46272</v>
      </c>
      <c r="E1638" s="19" t="n">
        <v>14.38</v>
      </c>
      <c r="G1638" s="16" t="n">
        <v>46272</v>
      </c>
      <c r="H1638" s="19" t="n">
        <v>1.87</v>
      </c>
    </row>
    <row r="1639">
      <c r="A1639" s="16" t="n">
        <v>46273</v>
      </c>
      <c r="B1639" s="19" t="n">
        <v>2574.68</v>
      </c>
      <c r="D1639" s="16" t="n">
        <v>46273</v>
      </c>
      <c r="E1639" s="19" t="n">
        <v>13.42</v>
      </c>
      <c r="G1639" s="16" t="n">
        <v>46273</v>
      </c>
      <c r="H1639" s="19" t="n">
        <v>1.81</v>
      </c>
    </row>
    <row r="1640">
      <c r="A1640" s="16" t="n">
        <v>46274</v>
      </c>
      <c r="B1640" s="19" t="n">
        <v>2538.85</v>
      </c>
      <c r="D1640" s="16" t="n">
        <v>46274</v>
      </c>
      <c r="E1640" s="19" t="n">
        <v>15.65</v>
      </c>
      <c r="G1640" s="16" t="n">
        <v>46274</v>
      </c>
      <c r="H1640" s="19" t="n">
        <v>1.84</v>
      </c>
    </row>
    <row r="1641">
      <c r="A1641" s="16" t="n">
        <v>46275</v>
      </c>
      <c r="B1641" s="19" t="n">
        <v>2509.74</v>
      </c>
      <c r="D1641" s="16" t="n">
        <v>46275</v>
      </c>
      <c r="E1641" s="19" t="n">
        <v>16.95</v>
      </c>
      <c r="G1641" s="16" t="n">
        <v>46275</v>
      </c>
      <c r="H1641" s="19" t="n">
        <v>1.88</v>
      </c>
    </row>
    <row r="1642">
      <c r="A1642" s="16" t="n">
        <v>46276</v>
      </c>
      <c r="B1642" s="19" t="n">
        <v>2552.73</v>
      </c>
      <c r="D1642" s="16" t="n">
        <v>46276</v>
      </c>
      <c r="E1642" s="19" t="n">
        <v>16.08</v>
      </c>
      <c r="G1642" s="16" t="n">
        <v>46276</v>
      </c>
      <c r="H1642" s="19" t="n">
        <v>1.84</v>
      </c>
    </row>
    <row r="1643">
      <c r="A1643" s="16" t="n">
        <v>46279</v>
      </c>
      <c r="B1643" s="19" t="n">
        <v>2558.99</v>
      </c>
      <c r="D1643" s="16" t="n">
        <v>46279</v>
      </c>
      <c r="E1643" s="19" t="n">
        <v>15.72</v>
      </c>
      <c r="G1643" s="16" t="n">
        <v>46279</v>
      </c>
      <c r="H1643" s="19" t="n">
        <v>1.83</v>
      </c>
    </row>
    <row r="1644">
      <c r="A1644" s="16" t="n">
        <v>46280</v>
      </c>
      <c r="B1644" s="19" t="n">
        <v>2615.77</v>
      </c>
      <c r="D1644" s="16" t="n">
        <v>46280</v>
      </c>
      <c r="E1644" s="19" t="n">
        <v>13.13</v>
      </c>
      <c r="G1644" s="16" t="n">
        <v>46280</v>
      </c>
      <c r="H1644" s="19" t="n">
        <v>1.79</v>
      </c>
    </row>
    <row r="1645">
      <c r="A1645" s="16" t="n">
        <v>46281</v>
      </c>
      <c r="B1645" s="19" t="n">
        <v>2642.22</v>
      </c>
      <c r="D1645" s="16" t="n">
        <v>46281</v>
      </c>
      <c r="E1645" s="19" t="n">
        <v>11.73</v>
      </c>
      <c r="G1645" s="16" t="n">
        <v>46281</v>
      </c>
      <c r="H1645" s="19" t="n">
        <v>1.78</v>
      </c>
    </row>
    <row r="1646">
      <c r="A1646" s="16" t="n">
        <v>46282</v>
      </c>
      <c r="B1646" s="19" t="n">
        <v>2701.07</v>
      </c>
      <c r="D1646" s="16" t="n">
        <v>46282</v>
      </c>
      <c r="E1646" s="19" t="n">
        <v>10.34</v>
      </c>
      <c r="G1646" s="16" t="n">
        <v>46282</v>
      </c>
      <c r="H1646" s="19" t="n">
        <v>1.75</v>
      </c>
    </row>
    <row r="1647">
      <c r="A1647" s="16" t="n">
        <v>46283</v>
      </c>
      <c r="B1647" s="19" t="n">
        <v>2703.62</v>
      </c>
      <c r="D1647" s="16" t="n">
        <v>46283</v>
      </c>
      <c r="E1647" s="19" t="n">
        <v>10.2</v>
      </c>
      <c r="G1647" s="16" t="n">
        <v>46283</v>
      </c>
      <c r="H1647" s="19" t="n">
        <v>1.74</v>
      </c>
    </row>
    <row r="1648">
      <c r="A1648" s="16" t="n">
        <v>46286</v>
      </c>
      <c r="B1648" s="19" t="n">
        <v>2747.46</v>
      </c>
      <c r="D1648" s="16" t="n">
        <v>46286</v>
      </c>
      <c r="E1648" s="19" t="n">
        <v>9.5</v>
      </c>
      <c r="G1648" s="16" t="n">
        <v>46286</v>
      </c>
      <c r="H1648" s="19" t="n">
        <v>1.74</v>
      </c>
    </row>
    <row r="1649">
      <c r="A1649" s="16" t="n">
        <v>46287</v>
      </c>
      <c r="B1649" s="19" t="n">
        <v>2770.01</v>
      </c>
      <c r="D1649" s="16" t="n">
        <v>46287</v>
      </c>
      <c r="E1649" s="19" t="n">
        <v>9.699999999999999</v>
      </c>
      <c r="G1649" s="16" t="n">
        <v>46287</v>
      </c>
      <c r="H1649" s="19" t="n">
        <v>1.75</v>
      </c>
    </row>
    <row r="1650">
      <c r="A1650" s="16" t="n">
        <v>46288</v>
      </c>
      <c r="B1650" s="19" t="n">
        <v>2754.13</v>
      </c>
      <c r="D1650" s="16" t="n">
        <v>46288</v>
      </c>
      <c r="E1650" s="19" t="n">
        <v>11.1</v>
      </c>
      <c r="G1650" s="16" t="n">
        <v>46288</v>
      </c>
      <c r="H1650" s="19" t="n">
        <v>1.78</v>
      </c>
    </row>
    <row r="1651">
      <c r="A1651" s="16" t="n">
        <v>46289</v>
      </c>
      <c r="B1651" s="19" t="n">
        <v>2725.07</v>
      </c>
      <c r="D1651" s="16" t="n">
        <v>46289</v>
      </c>
      <c r="E1651" s="19" t="n">
        <v>12.18</v>
      </c>
      <c r="G1651" s="16" t="n">
        <v>46289</v>
      </c>
      <c r="H1651" s="19" t="n">
        <v>1.78</v>
      </c>
    </row>
    <row r="1652">
      <c r="A1652" s="16" t="n">
        <v>46290</v>
      </c>
      <c r="B1652" s="19" t="n">
        <v>2743.92</v>
      </c>
      <c r="D1652" s="16" t="n">
        <v>46290</v>
      </c>
      <c r="E1652" s="19" t="n">
        <v>11.39</v>
      </c>
      <c r="G1652" s="16" t="n">
        <v>46290</v>
      </c>
      <c r="H1652" s="19" t="n">
        <v>1.75</v>
      </c>
    </row>
    <row r="1653">
      <c r="A1653" s="16" t="n">
        <v>46293</v>
      </c>
      <c r="B1653" s="19" t="n">
        <v>2783.14</v>
      </c>
      <c r="D1653" s="16" t="n">
        <v>46293</v>
      </c>
      <c r="E1653" s="19" t="n">
        <v>10.05</v>
      </c>
      <c r="G1653" s="16" t="n">
        <v>46293</v>
      </c>
      <c r="H1653" s="19" t="n">
        <v>1.72</v>
      </c>
    </row>
    <row r="1654">
      <c r="A1654" s="16" t="n">
        <v>46294</v>
      </c>
      <c r="B1654" s="19" t="n">
        <v>2792.48</v>
      </c>
      <c r="D1654" s="16" t="n">
        <v>46294</v>
      </c>
      <c r="E1654" s="19" t="n">
        <v>10.64</v>
      </c>
      <c r="G1654" s="16" t="n">
        <v>46294</v>
      </c>
      <c r="H1654" s="19" t="n">
        <v>1.7</v>
      </c>
    </row>
    <row r="1655">
      <c r="A1655" s="16" t="n">
        <v>46295</v>
      </c>
      <c r="B1655" s="19" t="n">
        <v>2754.92</v>
      </c>
      <c r="D1655" s="16" t="n">
        <v>46295</v>
      </c>
      <c r="E1655" s="19" t="n">
        <v>12.69</v>
      </c>
      <c r="G1655" s="16" t="n">
        <v>46295</v>
      </c>
      <c r="H1655" s="19" t="n">
        <v>1.7</v>
      </c>
    </row>
    <row r="1656">
      <c r="A1656" s="16" t="n"/>
      <c r="B1656" s="19" t="n"/>
      <c r="D1656" s="16" t="n"/>
      <c r="E1656" s="19" t="n"/>
      <c r="G1656" s="16" t="n"/>
      <c r="H1656" s="19" t="n"/>
    </row>
    <row r="1657">
      <c r="A1657" s="16" t="n"/>
      <c r="B1657" s="19" t="n"/>
      <c r="D1657" s="16" t="n"/>
      <c r="E1657" s="19" t="n"/>
      <c r="G1657" s="16" t="n"/>
      <c r="H1657" s="19" t="n"/>
    </row>
    <row r="1658">
      <c r="A1658" s="16" t="n"/>
      <c r="B1658" s="19" t="n"/>
      <c r="D1658" s="16" t="n"/>
      <c r="E1658" s="19" t="n"/>
      <c r="G1658" s="16" t="n"/>
      <c r="H1658" s="19" t="n"/>
    </row>
    <row r="1659">
      <c r="A1659" s="16" t="n"/>
      <c r="B1659" s="19" t="n"/>
      <c r="D1659" s="16" t="n"/>
      <c r="E1659" s="19" t="n"/>
      <c r="G1659" s="16" t="n"/>
      <c r="H1659" s="19" t="n"/>
    </row>
    <row r="1660">
      <c r="A1660" s="16" t="n"/>
      <c r="B1660" s="19" t="n"/>
      <c r="D1660" s="16" t="n"/>
      <c r="E1660" s="19" t="n"/>
      <c r="G1660" s="16" t="n"/>
      <c r="H1660" s="19" t="n"/>
    </row>
    <row r="1661">
      <c r="A1661" s="16" t="n"/>
      <c r="B1661" s="19" t="n"/>
      <c r="D1661" s="16" t="n"/>
      <c r="E1661" s="19" t="n"/>
      <c r="G1661" s="16" t="n"/>
      <c r="H1661" s="19" t="n"/>
    </row>
    <row r="1662">
      <c r="A1662" s="16" t="n"/>
      <c r="B1662" s="19" t="n"/>
      <c r="D1662" s="16" t="n"/>
      <c r="E1662" s="19" t="n"/>
      <c r="G1662" s="16" t="n"/>
      <c r="H1662" s="19" t="n"/>
    </row>
    <row r="1663">
      <c r="A1663" s="16" t="n"/>
      <c r="B1663" s="19" t="n"/>
      <c r="D1663" s="16" t="n"/>
      <c r="E1663" s="19" t="n"/>
      <c r="G1663" s="16" t="n"/>
      <c r="H1663" s="19" t="n"/>
    </row>
    <row r="1664">
      <c r="A1664" s="16" t="n"/>
      <c r="B1664" s="19" t="n"/>
      <c r="D1664" s="16" t="n"/>
      <c r="E1664" s="19" t="n"/>
      <c r="G1664" s="16" t="n"/>
      <c r="H1664" s="19" t="n"/>
    </row>
    <row r="1665">
      <c r="A1665" s="16" t="n"/>
      <c r="B1665" s="19" t="n"/>
      <c r="D1665" s="16" t="n"/>
      <c r="E1665" s="19" t="n"/>
      <c r="G1665" s="16" t="n"/>
      <c r="H1665" s="19" t="n"/>
    </row>
    <row r="1666">
      <c r="A1666" s="16" t="n"/>
      <c r="B1666" s="19" t="n"/>
      <c r="D1666" s="16" t="n"/>
      <c r="E1666" s="19" t="n"/>
      <c r="G1666" s="16" t="n"/>
      <c r="H1666" s="19" t="n"/>
    </row>
    <row r="1667">
      <c r="A1667" s="16" t="n"/>
      <c r="B1667" s="19" t="n"/>
      <c r="D1667" s="16" t="n"/>
      <c r="E1667" s="19" t="n"/>
      <c r="G1667" s="16" t="n"/>
      <c r="H1667" s="19" t="n"/>
    </row>
    <row r="1668">
      <c r="A1668" s="16" t="n"/>
      <c r="B1668" s="19" t="n"/>
      <c r="D1668" s="16" t="n"/>
      <c r="E1668" s="19" t="n"/>
      <c r="G1668" s="16" t="n"/>
      <c r="H1668" s="19" t="n"/>
    </row>
    <row r="1669">
      <c r="A1669" s="16" t="n"/>
      <c r="B1669" s="19" t="n"/>
      <c r="D1669" s="16" t="n"/>
      <c r="E1669" s="19" t="n"/>
      <c r="G1669" s="16" t="n"/>
      <c r="H1669" s="19" t="n"/>
    </row>
    <row r="1670">
      <c r="A1670" s="16" t="n"/>
      <c r="B1670" s="19" t="n"/>
      <c r="D1670" s="16" t="n"/>
      <c r="E1670" s="19" t="n"/>
      <c r="G1670" s="16" t="n"/>
      <c r="H1670" s="19" t="n"/>
    </row>
    <row r="1671">
      <c r="A1671" s="16" t="n"/>
      <c r="B1671" s="19" t="n"/>
      <c r="D1671" s="16" t="n"/>
      <c r="E1671" s="19" t="n"/>
      <c r="G1671" s="16" t="n"/>
      <c r="H1671" s="19" t="n"/>
    </row>
    <row r="1672">
      <c r="A1672" s="16" t="n"/>
      <c r="B1672" s="19" t="n"/>
      <c r="D1672" s="16" t="n"/>
      <c r="E1672" s="19" t="n"/>
      <c r="G1672" s="16" t="n"/>
      <c r="H1672" s="19" t="n"/>
    </row>
    <row r="1673">
      <c r="A1673" s="16" t="n"/>
      <c r="B1673" s="19" t="n"/>
      <c r="D1673" s="16" t="n"/>
      <c r="E1673" s="19" t="n"/>
      <c r="G1673" s="16" t="n"/>
      <c r="H1673" s="19" t="n"/>
    </row>
    <row r="1674">
      <c r="A1674" s="16" t="n"/>
      <c r="B1674" s="19" t="n"/>
      <c r="D1674" s="16" t="n"/>
      <c r="E1674" s="19" t="n"/>
      <c r="G1674" s="16" t="n"/>
      <c r="H1674" s="19" t="n"/>
    </row>
    <row r="1675">
      <c r="A1675" s="16" t="n"/>
      <c r="B1675" s="19" t="n"/>
      <c r="D1675" s="16" t="n"/>
      <c r="E1675" s="19" t="n"/>
      <c r="G1675" s="16" t="n"/>
      <c r="H1675" s="19" t="n"/>
    </row>
    <row r="1676">
      <c r="A1676" s="16" t="n"/>
      <c r="B1676" s="19" t="n"/>
      <c r="D1676" s="16" t="n"/>
      <c r="E1676" s="19" t="n"/>
      <c r="G1676" s="16" t="n"/>
      <c r="H1676" s="19" t="n"/>
    </row>
    <row r="1677">
      <c r="A1677" s="16" t="n"/>
      <c r="B1677" s="19" t="n"/>
      <c r="D1677" s="16" t="n"/>
      <c r="E1677" s="19" t="n"/>
      <c r="G1677" s="16" t="n"/>
      <c r="H1677" s="19" t="n"/>
    </row>
    <row r="1678">
      <c r="A1678" s="16" t="n"/>
      <c r="B1678" s="19" t="n"/>
      <c r="D1678" s="16" t="n"/>
      <c r="E1678" s="19" t="n"/>
      <c r="G1678" s="16" t="n"/>
      <c r="H1678" s="19" t="n"/>
    </row>
    <row r="1679">
      <c r="A1679" s="16" t="n"/>
      <c r="B1679" s="19" t="n"/>
      <c r="D1679" s="16" t="n"/>
      <c r="E1679" s="19" t="n"/>
      <c r="G1679" s="16" t="n"/>
      <c r="H1679" s="19" t="n"/>
    </row>
    <row r="1680">
      <c r="A1680" s="16" t="n"/>
      <c r="B1680" s="19" t="n"/>
      <c r="D1680" s="16" t="n"/>
      <c r="E1680" s="19" t="n"/>
      <c r="G1680" s="16" t="n"/>
      <c r="H1680" s="19" t="n"/>
    </row>
    <row r="1681">
      <c r="A1681" s="16" t="n"/>
      <c r="B1681" s="19" t="n"/>
      <c r="D1681" s="16" t="n"/>
      <c r="E1681" s="19" t="n"/>
      <c r="G1681" s="16" t="n"/>
      <c r="H1681" s="19" t="n"/>
    </row>
    <row r="1682">
      <c r="A1682" s="16" t="n"/>
      <c r="B1682" s="19" t="n"/>
      <c r="D1682" s="16" t="n"/>
      <c r="E1682" s="19" t="n"/>
      <c r="G1682" s="16" t="n"/>
      <c r="H1682" s="19" t="n"/>
    </row>
    <row r="1683">
      <c r="A1683" s="16" t="n"/>
      <c r="B1683" s="19" t="n"/>
      <c r="D1683" s="16" t="n"/>
      <c r="E1683" s="19" t="n"/>
      <c r="G1683" s="16" t="n"/>
      <c r="H1683" s="19" t="n"/>
    </row>
    <row r="1684">
      <c r="A1684" s="16" t="n"/>
      <c r="B1684" s="19" t="n"/>
      <c r="D1684" s="16" t="n"/>
      <c r="E1684" s="19" t="n"/>
      <c r="G1684" s="16" t="n"/>
      <c r="H1684" s="19" t="n"/>
    </row>
    <row r="1685">
      <c r="A1685" s="16" t="n"/>
      <c r="B1685" s="19" t="n"/>
      <c r="D1685" s="16" t="n"/>
      <c r="E1685" s="19" t="n"/>
      <c r="G1685" s="16" t="n"/>
      <c r="H1685" s="19" t="n"/>
    </row>
    <row r="1686">
      <c r="A1686" s="16" t="n"/>
      <c r="B1686" s="19" t="n"/>
      <c r="D1686" s="16" t="n"/>
      <c r="E1686" s="19" t="n"/>
      <c r="G1686" s="16" t="n"/>
      <c r="H1686" s="19" t="n"/>
    </row>
    <row r="1687">
      <c r="A1687" s="16" t="n"/>
      <c r="B1687" s="19" t="n"/>
      <c r="D1687" s="16" t="n"/>
      <c r="E1687" s="19" t="n"/>
      <c r="G1687" s="16" t="n"/>
      <c r="H1687" s="19" t="n"/>
    </row>
    <row r="1688">
      <c r="A1688" s="16" t="n"/>
      <c r="B1688" s="19" t="n"/>
      <c r="D1688" s="16" t="n"/>
      <c r="E1688" s="19" t="n"/>
      <c r="G1688" s="16" t="n"/>
      <c r="H1688" s="19" t="n"/>
    </row>
    <row r="1689">
      <c r="A1689" s="16" t="n"/>
      <c r="B1689" s="19" t="n"/>
      <c r="D1689" s="16" t="n"/>
      <c r="E1689" s="19" t="n"/>
      <c r="G1689" s="16" t="n"/>
      <c r="H1689" s="19" t="n"/>
    </row>
    <row r="1690">
      <c r="A1690" s="16" t="n"/>
      <c r="B1690" s="19" t="n"/>
      <c r="D1690" s="16" t="n"/>
      <c r="E1690" s="19" t="n"/>
      <c r="G1690" s="16" t="n"/>
      <c r="H1690" s="19" t="n"/>
    </row>
    <row r="1691">
      <c r="A1691" s="16" t="n"/>
      <c r="B1691" s="19" t="n"/>
      <c r="D1691" s="16" t="n"/>
      <c r="E1691" s="19" t="n"/>
      <c r="G1691" s="16" t="n"/>
      <c r="H1691" s="19" t="n"/>
    </row>
    <row r="1692">
      <c r="A1692" s="16" t="n"/>
      <c r="B1692" s="19" t="n"/>
      <c r="D1692" s="16" t="n"/>
      <c r="E1692" s="19" t="n"/>
      <c r="G1692" s="16" t="n"/>
      <c r="H1692" s="19" t="n"/>
    </row>
    <row r="1693">
      <c r="A1693" s="16" t="n"/>
      <c r="B1693" s="19" t="n"/>
      <c r="D1693" s="16" t="n"/>
      <c r="E1693" s="19" t="n"/>
      <c r="G1693" s="16" t="n"/>
      <c r="H1693" s="19" t="n"/>
    </row>
    <row r="1694">
      <c r="A1694" s="16" t="n"/>
      <c r="B1694" s="19" t="n"/>
      <c r="D1694" s="16" t="n"/>
      <c r="E1694" s="19" t="n"/>
      <c r="G1694" s="16" t="n"/>
      <c r="H1694" s="19" t="n"/>
    </row>
    <row r="1695">
      <c r="A1695" s="16" t="n"/>
      <c r="B1695" s="19" t="n"/>
      <c r="D1695" s="16" t="n"/>
      <c r="E1695" s="19" t="n"/>
      <c r="G1695" s="16" t="n"/>
      <c r="H1695" s="19" t="n"/>
    </row>
    <row r="1696">
      <c r="A1696" s="16" t="n"/>
      <c r="B1696" s="19" t="n"/>
      <c r="D1696" s="16" t="n"/>
      <c r="E1696" s="19" t="n"/>
      <c r="G1696" s="16" t="n"/>
      <c r="H1696" s="19" t="n"/>
    </row>
    <row r="1697">
      <c r="A1697" s="16" t="n"/>
      <c r="B1697" s="19" t="n"/>
      <c r="D1697" s="16" t="n"/>
      <c r="E1697" s="19" t="n"/>
      <c r="G1697" s="16" t="n"/>
      <c r="H1697" s="19" t="n"/>
    </row>
    <row r="1698">
      <c r="A1698" s="16" t="n"/>
      <c r="B1698" s="19" t="n"/>
      <c r="D1698" s="16" t="n"/>
      <c r="E1698" s="19" t="n"/>
      <c r="G1698" s="16" t="n"/>
      <c r="H1698" s="19" t="n"/>
    </row>
    <row r="1699">
      <c r="A1699" s="16" t="n"/>
      <c r="B1699" s="19" t="n"/>
      <c r="D1699" s="16" t="n"/>
      <c r="E1699" s="19" t="n"/>
      <c r="G1699" s="16" t="n"/>
      <c r="H1699" s="19" t="n"/>
    </row>
    <row r="1700">
      <c r="A1700" s="16" t="n"/>
      <c r="B1700" s="19" t="n"/>
      <c r="D1700" s="16" t="n"/>
      <c r="E1700" s="19" t="n"/>
      <c r="G1700" s="16" t="n"/>
      <c r="H1700" s="19" t="n"/>
    </row>
    <row r="1701">
      <c r="A1701" s="16" t="n"/>
      <c r="B1701" s="19" t="n"/>
      <c r="D1701" s="16" t="n"/>
      <c r="E1701" s="19" t="n"/>
      <c r="G1701" s="16" t="n"/>
      <c r="H1701" s="19" t="n"/>
    </row>
    <row r="1702">
      <c r="A1702" s="16" t="n"/>
      <c r="B1702" s="19" t="n"/>
      <c r="D1702" s="16" t="n"/>
      <c r="E1702" s="19" t="n"/>
      <c r="G1702" s="16" t="n"/>
      <c r="H1702" s="19" t="n"/>
    </row>
    <row r="1703">
      <c r="A1703" s="16" t="n"/>
      <c r="B1703" s="19" t="n"/>
      <c r="D1703" s="16" t="n"/>
      <c r="E1703" s="19" t="n"/>
      <c r="G1703" s="16" t="n"/>
      <c r="H1703" s="19" t="n"/>
    </row>
    <row r="1704">
      <c r="A1704" s="16" t="n"/>
      <c r="B1704" s="19" t="n"/>
      <c r="D1704" s="16" t="n"/>
      <c r="E1704" s="19" t="n"/>
      <c r="G1704" s="16" t="n"/>
      <c r="H1704" s="19" t="n"/>
    </row>
    <row r="1705">
      <c r="A1705" s="16" t="n"/>
      <c r="B1705" s="19" t="n"/>
      <c r="D1705" s="16" t="n"/>
      <c r="E1705" s="19" t="n"/>
      <c r="G1705" s="16" t="n"/>
      <c r="H1705" s="19" t="n"/>
    </row>
    <row r="1706">
      <c r="A1706" s="16" t="n"/>
      <c r="B1706" s="19" t="n"/>
      <c r="D1706" s="16" t="n"/>
      <c r="E1706" s="19" t="n"/>
      <c r="G1706" s="16" t="n"/>
      <c r="H1706" s="19" t="n"/>
    </row>
    <row r="1707">
      <c r="A1707" s="16" t="n"/>
      <c r="B1707" s="19" t="n"/>
      <c r="D1707" s="16" t="n"/>
      <c r="E1707" s="19" t="n"/>
      <c r="G1707" s="16" t="n"/>
      <c r="H1707" s="19" t="n"/>
    </row>
    <row r="1708">
      <c r="A1708" s="16" t="n"/>
      <c r="B1708" s="19" t="n"/>
      <c r="D1708" s="16" t="n"/>
      <c r="E1708" s="19" t="n"/>
      <c r="G1708" s="16" t="n"/>
      <c r="H1708" s="19" t="n"/>
    </row>
    <row r="1709">
      <c r="A1709" s="16" t="n"/>
      <c r="B1709" s="19" t="n"/>
      <c r="D1709" s="16" t="n"/>
      <c r="E1709" s="19" t="n"/>
      <c r="G1709" s="16" t="n"/>
      <c r="H1709" s="19" t="n"/>
    </row>
    <row r="1710">
      <c r="A1710" s="16" t="n"/>
      <c r="B1710" s="19" t="n"/>
      <c r="D1710" s="16" t="n"/>
      <c r="E1710" s="19" t="n"/>
      <c r="G1710" s="16" t="n"/>
      <c r="H1710" s="19" t="n"/>
    </row>
    <row r="1711">
      <c r="A1711" s="16" t="n"/>
      <c r="B1711" s="19" t="n"/>
      <c r="D1711" s="16" t="n"/>
      <c r="E1711" s="19" t="n"/>
      <c r="G1711" s="16" t="n"/>
      <c r="H1711" s="19" t="n"/>
    </row>
    <row r="1712">
      <c r="A1712" s="16" t="n"/>
      <c r="B1712" s="19" t="n"/>
      <c r="D1712" s="16" t="n"/>
      <c r="E1712" s="19" t="n"/>
      <c r="G1712" s="16" t="n"/>
      <c r="H1712" s="19" t="n"/>
    </row>
    <row r="1713">
      <c r="A1713" s="16" t="n"/>
      <c r="B1713" s="19" t="n"/>
      <c r="D1713" s="16" t="n"/>
      <c r="E1713" s="19" t="n"/>
      <c r="G1713" s="16" t="n"/>
      <c r="H1713" s="19" t="n"/>
    </row>
    <row r="1714">
      <c r="A1714" s="16" t="n"/>
      <c r="B1714" s="19" t="n"/>
      <c r="D1714" s="16" t="n"/>
      <c r="E1714" s="19" t="n"/>
      <c r="G1714" s="16" t="n"/>
      <c r="H1714" s="19" t="n"/>
    </row>
    <row r="1715">
      <c r="A1715" s="16" t="n"/>
      <c r="B1715" s="19" t="n"/>
      <c r="D1715" s="16" t="n"/>
      <c r="E1715" s="19" t="n"/>
      <c r="G1715" s="16" t="n"/>
      <c r="H1715" s="19" t="n"/>
    </row>
    <row r="1716">
      <c r="A1716" s="16" t="n"/>
      <c r="B1716" s="19" t="n"/>
      <c r="D1716" s="16" t="n"/>
      <c r="E1716" s="19" t="n"/>
      <c r="G1716" s="16" t="n"/>
      <c r="H1716" s="19" t="n"/>
    </row>
    <row r="1717">
      <c r="A1717" s="16" t="n"/>
      <c r="B1717" s="19" t="n"/>
      <c r="D1717" s="16" t="n"/>
      <c r="E1717" s="19" t="n"/>
      <c r="G1717" s="16" t="n"/>
      <c r="H1717" s="19" t="n"/>
    </row>
    <row r="1718">
      <c r="A1718" s="16" t="n"/>
      <c r="B1718" s="19" t="n"/>
      <c r="D1718" s="16" t="n"/>
      <c r="E1718" s="19" t="n"/>
      <c r="G1718" s="16" t="n"/>
      <c r="H1718" s="19" t="n"/>
    </row>
    <row r="1719">
      <c r="A1719" s="16" t="n"/>
      <c r="B1719" s="19" t="n"/>
      <c r="D1719" s="16" t="n"/>
      <c r="E1719" s="19" t="n"/>
      <c r="G1719" s="16" t="n"/>
      <c r="H1719" s="19" t="n"/>
    </row>
    <row r="1720">
      <c r="A1720" s="16" t="n"/>
      <c r="B1720" s="19" t="n"/>
      <c r="D1720" s="16" t="n"/>
      <c r="E1720" s="19" t="n"/>
      <c r="G1720" s="16" t="n"/>
      <c r="H1720" s="19" t="n"/>
    </row>
    <row r="1721">
      <c r="A1721" s="16" t="n"/>
      <c r="B1721" s="19" t="n"/>
      <c r="D1721" s="16" t="n"/>
      <c r="E1721" s="19" t="n"/>
      <c r="G1721" s="16" t="n"/>
      <c r="H1721" s="19" t="n"/>
    </row>
    <row r="1722">
      <c r="A1722" s="16" t="n"/>
      <c r="B1722" s="19" t="n"/>
      <c r="D1722" s="16" t="n"/>
      <c r="E1722" s="19" t="n"/>
      <c r="G1722" s="16" t="n"/>
      <c r="H1722" s="19" t="n"/>
    </row>
    <row r="1723">
      <c r="A1723" s="16" t="n"/>
      <c r="B1723" s="19" t="n"/>
      <c r="D1723" s="16" t="n"/>
      <c r="E1723" s="19" t="n"/>
      <c r="G1723" s="16" t="n"/>
      <c r="H1723" s="19" t="n"/>
    </row>
    <row r="1724">
      <c r="A1724" s="16" t="n"/>
      <c r="B1724" s="19" t="n"/>
      <c r="D1724" s="16" t="n"/>
      <c r="E1724" s="19" t="n"/>
      <c r="G1724" s="16" t="n"/>
      <c r="H1724" s="19" t="n"/>
    </row>
    <row r="1725">
      <c r="A1725" s="16" t="n"/>
      <c r="B1725" s="19" t="n"/>
      <c r="D1725" s="16" t="n"/>
      <c r="E1725" s="19" t="n"/>
      <c r="G1725" s="16" t="n"/>
      <c r="H1725" s="19" t="n"/>
    </row>
    <row r="1726">
      <c r="A1726" s="16" t="n"/>
      <c r="B1726" s="19" t="n"/>
      <c r="D1726" s="16" t="n"/>
      <c r="E1726" s="19" t="n"/>
      <c r="G1726" s="16" t="n"/>
      <c r="H1726" s="19" t="n"/>
    </row>
    <row r="1727">
      <c r="A1727" s="16" t="n"/>
      <c r="B1727" s="19" t="n"/>
      <c r="D1727" s="16" t="n"/>
      <c r="E1727" s="19" t="n"/>
      <c r="G1727" s="16" t="n"/>
      <c r="H1727" s="19" t="n"/>
    </row>
    <row r="1728">
      <c r="A1728" s="16" t="n"/>
      <c r="B1728" s="19" t="n"/>
      <c r="D1728" s="16" t="n"/>
      <c r="E1728" s="19" t="n"/>
      <c r="G1728" s="16" t="n"/>
      <c r="H1728" s="19" t="n"/>
    </row>
    <row r="1729">
      <c r="A1729" s="16" t="n"/>
      <c r="B1729" s="19" t="n"/>
      <c r="D1729" s="16" t="n"/>
      <c r="E1729" s="19" t="n"/>
      <c r="G1729" s="16" t="n"/>
      <c r="H1729" s="19" t="n"/>
    </row>
    <row r="1730">
      <c r="A1730" s="16" t="n"/>
      <c r="B1730" s="19" t="n"/>
      <c r="D1730" s="16" t="n"/>
      <c r="E1730" s="19" t="n"/>
      <c r="G1730" s="16" t="n"/>
      <c r="H1730" s="19" t="n"/>
    </row>
    <row r="1731">
      <c r="A1731" s="16" t="n"/>
      <c r="B1731" s="19" t="n"/>
      <c r="D1731" s="16" t="n"/>
      <c r="E1731" s="19" t="n"/>
      <c r="G1731" s="16" t="n"/>
      <c r="H1731" s="19" t="n"/>
    </row>
    <row r="1732">
      <c r="A1732" s="16" t="n"/>
      <c r="B1732" s="19" t="n"/>
      <c r="D1732" s="16" t="n"/>
      <c r="E1732" s="19" t="n"/>
      <c r="G1732" s="16" t="n"/>
      <c r="H1732" s="19" t="n"/>
    </row>
    <row r="1733">
      <c r="A1733" s="16" t="n"/>
      <c r="B1733" s="19" t="n"/>
      <c r="D1733" s="16" t="n"/>
      <c r="E1733" s="19" t="n"/>
      <c r="G1733" s="16" t="n"/>
      <c r="H1733" s="19" t="n"/>
    </row>
    <row r="1734">
      <c r="A1734" s="16" t="n"/>
      <c r="B1734" s="19" t="n"/>
      <c r="D1734" s="16" t="n"/>
      <c r="E1734" s="19" t="n"/>
      <c r="G1734" s="16" t="n"/>
      <c r="H1734" s="19" t="n"/>
    </row>
    <row r="1735">
      <c r="A1735" s="16" t="n"/>
      <c r="B1735" s="19" t="n"/>
      <c r="D1735" s="16" t="n"/>
      <c r="E1735" s="19" t="n"/>
      <c r="G1735" s="16" t="n"/>
      <c r="H1735" s="19" t="n"/>
    </row>
    <row r="1736">
      <c r="A1736" s="16" t="n"/>
      <c r="B1736" s="19" t="n"/>
      <c r="D1736" s="16" t="n"/>
      <c r="E1736" s="19" t="n"/>
      <c r="G1736" s="16" t="n"/>
      <c r="H1736" s="19" t="n"/>
    </row>
    <row r="1737">
      <c r="A1737" s="16" t="n"/>
      <c r="B1737" s="19" t="n"/>
      <c r="D1737" s="16" t="n"/>
      <c r="E1737" s="19" t="n"/>
      <c r="G1737" s="16" t="n"/>
      <c r="H1737" s="19" t="n"/>
    </row>
    <row r="1738">
      <c r="A1738" s="16" t="n"/>
      <c r="B1738" s="19" t="n"/>
      <c r="D1738" s="16" t="n"/>
      <c r="E1738" s="19" t="n"/>
      <c r="G1738" s="16" t="n"/>
      <c r="H1738" s="19" t="n"/>
    </row>
    <row r="1739">
      <c r="A1739" s="16" t="n"/>
      <c r="B1739" s="19" t="n"/>
      <c r="D1739" s="16" t="n"/>
      <c r="E1739" s="19" t="n"/>
      <c r="G1739" s="16" t="n"/>
      <c r="H1739" s="19" t="n"/>
    </row>
    <row r="1740">
      <c r="A1740" s="16" t="n"/>
      <c r="B1740" s="19" t="n"/>
      <c r="D1740" s="16" t="n"/>
      <c r="E1740" s="19" t="n"/>
      <c r="G1740" s="16" t="n"/>
      <c r="H1740" s="19" t="n"/>
    </row>
    <row r="1741">
      <c r="A1741" s="16" t="n"/>
      <c r="B1741" s="19" t="n"/>
      <c r="D1741" s="16" t="n"/>
      <c r="E1741" s="19" t="n"/>
      <c r="G1741" s="16" t="n"/>
      <c r="H1741" s="19" t="n"/>
    </row>
    <row r="1742">
      <c r="A1742" s="16" t="n"/>
      <c r="B1742" s="19" t="n"/>
      <c r="D1742" s="16" t="n"/>
      <c r="E1742" s="19" t="n"/>
      <c r="G1742" s="16" t="n"/>
      <c r="H1742" s="19" t="n"/>
    </row>
    <row r="1743">
      <c r="A1743" s="16" t="n"/>
      <c r="B1743" s="19" t="n"/>
      <c r="D1743" s="16" t="n"/>
      <c r="E1743" s="19" t="n"/>
      <c r="G1743" s="16" t="n"/>
      <c r="H1743" s="19" t="n"/>
    </row>
    <row r="1744">
      <c r="A1744" s="16" t="n"/>
      <c r="B1744" s="19" t="n"/>
      <c r="D1744" s="16" t="n"/>
      <c r="E1744" s="19" t="n"/>
      <c r="G1744" s="16" t="n"/>
      <c r="H1744" s="19" t="n"/>
    </row>
    <row r="1745">
      <c r="A1745" s="16" t="n"/>
      <c r="B1745" s="19" t="n"/>
      <c r="D1745" s="16" t="n"/>
      <c r="E1745" s="19" t="n"/>
      <c r="G1745" s="16" t="n"/>
      <c r="H1745" s="19" t="n"/>
    </row>
    <row r="1746">
      <c r="A1746" s="16" t="n"/>
      <c r="B1746" s="19" t="n"/>
      <c r="D1746" s="16" t="n"/>
      <c r="E1746" s="19" t="n"/>
      <c r="G1746" s="16" t="n"/>
      <c r="H1746" s="19" t="n"/>
    </row>
    <row r="1747">
      <c r="A1747" s="16" t="n"/>
      <c r="B1747" s="19" t="n"/>
      <c r="D1747" s="16" t="n"/>
      <c r="E1747" s="19" t="n"/>
      <c r="G1747" s="16" t="n"/>
      <c r="H1747" s="19" t="n"/>
    </row>
    <row r="1748">
      <c r="A1748" s="16" t="n"/>
      <c r="B1748" s="19" t="n"/>
      <c r="D1748" s="16" t="n"/>
      <c r="E1748" s="19" t="n"/>
      <c r="G1748" s="16" t="n"/>
      <c r="H1748" s="19" t="n"/>
    </row>
    <row r="1749">
      <c r="A1749" s="16" t="n"/>
      <c r="B1749" s="19" t="n"/>
      <c r="D1749" s="16" t="n"/>
      <c r="E1749" s="19" t="n"/>
      <c r="G1749" s="16" t="n"/>
      <c r="H1749" s="19" t="n"/>
    </row>
    <row r="1750">
      <c r="A1750" s="16" t="n"/>
      <c r="B1750" s="19" t="n"/>
      <c r="D1750" s="16" t="n"/>
      <c r="E1750" s="19" t="n"/>
      <c r="G1750" s="16" t="n"/>
      <c r="H1750" s="19" t="n"/>
    </row>
    <row r="1751">
      <c r="A1751" s="16" t="n"/>
      <c r="B1751" s="19" t="n"/>
      <c r="D1751" s="16" t="n"/>
      <c r="E1751" s="19" t="n"/>
      <c r="G1751" s="16" t="n"/>
      <c r="H1751" s="19" t="n"/>
    </row>
    <row r="1752">
      <c r="A1752" s="16" t="n"/>
      <c r="B1752" s="19" t="n"/>
      <c r="D1752" s="16" t="n"/>
      <c r="E1752" s="19" t="n"/>
      <c r="G1752" s="16" t="n"/>
      <c r="H1752" s="19" t="n"/>
    </row>
    <row r="1753">
      <c r="A1753" s="16" t="n"/>
      <c r="B1753" s="19" t="n"/>
      <c r="D1753" s="16" t="n"/>
      <c r="E1753" s="19" t="n"/>
      <c r="G1753" s="16" t="n"/>
      <c r="H1753" s="19" t="n"/>
    </row>
    <row r="1754">
      <c r="A1754" s="16" t="n"/>
      <c r="B1754" s="19" t="n"/>
      <c r="D1754" s="16" t="n"/>
      <c r="E1754" s="19" t="n"/>
      <c r="G1754" s="16" t="n"/>
      <c r="H1754" s="19" t="n"/>
    </row>
    <row r="1755">
      <c r="A1755" s="16" t="n"/>
      <c r="B1755" s="19" t="n"/>
      <c r="D1755" s="16" t="n"/>
      <c r="E1755" s="19" t="n"/>
      <c r="G1755" s="16" t="n"/>
      <c r="H1755" s="19" t="n"/>
    </row>
    <row r="1756">
      <c r="A1756" s="16" t="n"/>
      <c r="B1756" s="19" t="n"/>
      <c r="D1756" s="16" t="n"/>
      <c r="E1756" s="19" t="n"/>
      <c r="G1756" s="16" t="n"/>
      <c r="H1756" s="19" t="n"/>
    </row>
    <row r="1757">
      <c r="A1757" s="16" t="n"/>
      <c r="B1757" s="19" t="n"/>
      <c r="D1757" s="16" t="n"/>
      <c r="E1757" s="19" t="n"/>
      <c r="G1757" s="16" t="n"/>
      <c r="H1757" s="19" t="n"/>
    </row>
    <row r="1758">
      <c r="A1758" s="16" t="n"/>
      <c r="B1758" s="19" t="n"/>
      <c r="D1758" s="16" t="n"/>
      <c r="E1758" s="19" t="n"/>
      <c r="G1758" s="16" t="n"/>
      <c r="H1758" s="19" t="n"/>
    </row>
    <row r="1759">
      <c r="A1759" s="16" t="n"/>
      <c r="B1759" s="19" t="n"/>
      <c r="D1759" s="16" t="n"/>
      <c r="E1759" s="19" t="n"/>
      <c r="G1759" s="16" t="n"/>
      <c r="H1759" s="19" t="n"/>
    </row>
    <row r="1760">
      <c r="A1760" s="16" t="n"/>
      <c r="B1760" s="19" t="n"/>
      <c r="D1760" s="16" t="n"/>
      <c r="E1760" s="19" t="n"/>
      <c r="G1760" s="16" t="n"/>
      <c r="H1760" s="19" t="n"/>
    </row>
    <row r="1761">
      <c r="A1761" s="16" t="n"/>
      <c r="B1761" s="19" t="n"/>
      <c r="D1761" s="16" t="n"/>
      <c r="E1761" s="19" t="n"/>
      <c r="G1761" s="16" t="n"/>
      <c r="H1761" s="19" t="n"/>
    </row>
    <row r="1762">
      <c r="A1762" s="16" t="n"/>
      <c r="B1762" s="19" t="n"/>
      <c r="D1762" s="16" t="n"/>
      <c r="E1762" s="19" t="n"/>
      <c r="G1762" s="16" t="n"/>
      <c r="H1762" s="19" t="n"/>
    </row>
    <row r="1763">
      <c r="A1763" s="16" t="n"/>
      <c r="B1763" s="19" t="n"/>
      <c r="D1763" s="16" t="n"/>
      <c r="E1763" s="19" t="n"/>
      <c r="G1763" s="16" t="n"/>
      <c r="H1763" s="19" t="n"/>
    </row>
    <row r="1764">
      <c r="A1764" s="16" t="n"/>
      <c r="B1764" s="19" t="n"/>
      <c r="D1764" s="16" t="n"/>
      <c r="E1764" s="19" t="n"/>
      <c r="G1764" s="16" t="n"/>
      <c r="H1764" s="19" t="n"/>
    </row>
    <row r="1765">
      <c r="A1765" s="16" t="n"/>
      <c r="B1765" s="19" t="n"/>
      <c r="D1765" s="16" t="n"/>
      <c r="E1765" s="19" t="n"/>
      <c r="G1765" s="16" t="n"/>
      <c r="H1765" s="19" t="n"/>
    </row>
    <row r="1766">
      <c r="A1766" s="16" t="n"/>
      <c r="B1766" s="19" t="n"/>
      <c r="D1766" s="16" t="n"/>
      <c r="E1766" s="19" t="n"/>
      <c r="G1766" s="16" t="n"/>
      <c r="H1766" s="19" t="n"/>
    </row>
    <row r="1767">
      <c r="A1767" s="16" t="n"/>
      <c r="B1767" s="19" t="n"/>
      <c r="D1767" s="16" t="n"/>
      <c r="E1767" s="19" t="n"/>
      <c r="G1767" s="16" t="n"/>
      <c r="H1767" s="19" t="n"/>
    </row>
    <row r="1768">
      <c r="A1768" s="16" t="n"/>
      <c r="B1768" s="19" t="n"/>
      <c r="D1768" s="16" t="n"/>
      <c r="E1768" s="19" t="n"/>
      <c r="G1768" s="16" t="n"/>
      <c r="H1768" s="19" t="n"/>
    </row>
    <row r="1769">
      <c r="A1769" s="16" t="n"/>
      <c r="B1769" s="19" t="n"/>
      <c r="D1769" s="16" t="n"/>
      <c r="E1769" s="19" t="n"/>
      <c r="G1769" s="16" t="n"/>
      <c r="H1769" s="19" t="n"/>
    </row>
    <row r="1770">
      <c r="A1770" s="16" t="n"/>
      <c r="B1770" s="19" t="n"/>
      <c r="D1770" s="16" t="n"/>
      <c r="E1770" s="19" t="n"/>
      <c r="G1770" s="16" t="n"/>
      <c r="H1770" s="19" t="n"/>
    </row>
    <row r="1771">
      <c r="A1771" s="16" t="n"/>
      <c r="B1771" s="19" t="n"/>
      <c r="D1771" s="16" t="n"/>
      <c r="E1771" s="19" t="n"/>
      <c r="G1771" s="16" t="n"/>
      <c r="H1771" s="19" t="n"/>
    </row>
    <row r="1772">
      <c r="A1772" s="16" t="n"/>
      <c r="B1772" s="19" t="n"/>
      <c r="D1772" s="16" t="n"/>
      <c r="E1772" s="19" t="n"/>
      <c r="G1772" s="16" t="n"/>
      <c r="H1772" s="19" t="n"/>
    </row>
    <row r="1773">
      <c r="A1773" s="16" t="n"/>
      <c r="B1773" s="19" t="n"/>
      <c r="D1773" s="16" t="n"/>
      <c r="E1773" s="19" t="n"/>
      <c r="G1773" s="16" t="n"/>
      <c r="H1773" s="19" t="n"/>
    </row>
    <row r="1774">
      <c r="A1774" s="16" t="n"/>
      <c r="B1774" s="19" t="n"/>
      <c r="D1774" s="16" t="n"/>
      <c r="E1774" s="19" t="n"/>
      <c r="G1774" s="16" t="n"/>
      <c r="H1774" s="19" t="n"/>
    </row>
    <row r="1775">
      <c r="A1775" s="16" t="n"/>
      <c r="B1775" s="19" t="n"/>
      <c r="D1775" s="16" t="n"/>
      <c r="E1775" s="19" t="n"/>
      <c r="G1775" s="16" t="n"/>
      <c r="H1775" s="19" t="n"/>
    </row>
    <row r="1776">
      <c r="A1776" s="16" t="n"/>
      <c r="B1776" s="19" t="n"/>
      <c r="D1776" s="16" t="n"/>
      <c r="E1776" s="19" t="n"/>
      <c r="G1776" s="16" t="n"/>
      <c r="H1776" s="19" t="n"/>
    </row>
    <row r="1777">
      <c r="A1777" s="16" t="n"/>
      <c r="B1777" s="19" t="n"/>
      <c r="D1777" s="16" t="n"/>
      <c r="E1777" s="19" t="n"/>
      <c r="G1777" s="16" t="n"/>
      <c r="H1777" s="19" t="n"/>
    </row>
    <row r="1778">
      <c r="A1778" s="16" t="n"/>
      <c r="B1778" s="19" t="n"/>
      <c r="D1778" s="16" t="n"/>
      <c r="E1778" s="19" t="n"/>
      <c r="G1778" s="16" t="n"/>
      <c r="H1778" s="19" t="n"/>
    </row>
    <row r="1779">
      <c r="A1779" s="16" t="n"/>
      <c r="B1779" s="19" t="n"/>
      <c r="D1779" s="16" t="n"/>
      <c r="E1779" s="19" t="n"/>
      <c r="G1779" s="16" t="n"/>
      <c r="H1779" s="19" t="n"/>
    </row>
    <row r="1780">
      <c r="A1780" s="16" t="n"/>
      <c r="B1780" s="19" t="n"/>
      <c r="D1780" s="16" t="n"/>
      <c r="E1780" s="19" t="n"/>
      <c r="G1780" s="16" t="n"/>
      <c r="H1780" s="19" t="n"/>
    </row>
    <row r="1781">
      <c r="A1781" s="16" t="n"/>
      <c r="B1781" s="19" t="n"/>
      <c r="D1781" s="16" t="n"/>
      <c r="E1781" s="19" t="n"/>
      <c r="G1781" s="16" t="n"/>
      <c r="H1781" s="19" t="n"/>
    </row>
    <row r="1782">
      <c r="A1782" s="16" t="n"/>
      <c r="B1782" s="19" t="n"/>
      <c r="D1782" s="16" t="n"/>
      <c r="E1782" s="19" t="n"/>
      <c r="G1782" s="16" t="n"/>
      <c r="H1782" s="19" t="n"/>
    </row>
    <row r="1783">
      <c r="A1783" s="16" t="n"/>
      <c r="B1783" s="19" t="n"/>
      <c r="D1783" s="16" t="n"/>
      <c r="E1783" s="19" t="n"/>
      <c r="G1783" s="16" t="n"/>
      <c r="H1783" s="19" t="n"/>
    </row>
    <row r="1784">
      <c r="A1784" s="16" t="n"/>
      <c r="B1784" s="19" t="n"/>
      <c r="D1784" s="16" t="n"/>
      <c r="E1784" s="19" t="n"/>
      <c r="G1784" s="16" t="n"/>
      <c r="H1784" s="19" t="n"/>
    </row>
    <row r="1785">
      <c r="A1785" s="16" t="n"/>
      <c r="B1785" s="19" t="n"/>
      <c r="D1785" s="16" t="n"/>
      <c r="E1785" s="19" t="n"/>
      <c r="G1785" s="16" t="n"/>
      <c r="H1785" s="19" t="n"/>
    </row>
    <row r="1786">
      <c r="A1786" s="16" t="n"/>
      <c r="B1786" s="19" t="n"/>
      <c r="D1786" s="16" t="n"/>
      <c r="E1786" s="19" t="n"/>
      <c r="G1786" s="16" t="n"/>
      <c r="H1786" s="19" t="n"/>
    </row>
    <row r="1787">
      <c r="A1787" s="16" t="n"/>
      <c r="B1787" s="19" t="n"/>
      <c r="D1787" s="16" t="n"/>
      <c r="E1787" s="19" t="n"/>
      <c r="G1787" s="16" t="n"/>
      <c r="H1787" s="19" t="n"/>
    </row>
    <row r="1788">
      <c r="A1788" s="16" t="n"/>
      <c r="B1788" s="19" t="n"/>
      <c r="D1788" s="16" t="n"/>
      <c r="E1788" s="19" t="n"/>
      <c r="G1788" s="16" t="n"/>
      <c r="H1788" s="19" t="n"/>
    </row>
    <row r="1789">
      <c r="A1789" s="16" t="n"/>
      <c r="B1789" s="19" t="n"/>
      <c r="D1789" s="16" t="n"/>
      <c r="E1789" s="19" t="n"/>
      <c r="G1789" s="16" t="n"/>
      <c r="H1789" s="19" t="n"/>
    </row>
    <row r="1790">
      <c r="A1790" s="16" t="n"/>
      <c r="B1790" s="19" t="n"/>
      <c r="D1790" s="16" t="n"/>
      <c r="E1790" s="19" t="n"/>
      <c r="G1790" s="16" t="n"/>
      <c r="H1790" s="19" t="n"/>
    </row>
    <row r="1791">
      <c r="A1791" s="16" t="n"/>
      <c r="B1791" s="19" t="n"/>
      <c r="D1791" s="16" t="n"/>
      <c r="E1791" s="19" t="n"/>
      <c r="G1791" s="16" t="n"/>
      <c r="H1791" s="19" t="n"/>
    </row>
    <row r="1792">
      <c r="A1792" s="16" t="n"/>
      <c r="B1792" s="19" t="n"/>
      <c r="D1792" s="16" t="n"/>
      <c r="E1792" s="19" t="n"/>
      <c r="G1792" s="16" t="n"/>
      <c r="H1792" s="19" t="n"/>
    </row>
    <row r="1793">
      <c r="A1793" s="16" t="n"/>
      <c r="B1793" s="19" t="n"/>
      <c r="D1793" s="16" t="n"/>
      <c r="E1793" s="19" t="n"/>
      <c r="G1793" s="16" t="n"/>
      <c r="H1793" s="19" t="n"/>
    </row>
    <row r="1794">
      <c r="A1794" s="16" t="n"/>
      <c r="B1794" s="19" t="n"/>
      <c r="D1794" s="16" t="n"/>
      <c r="E1794" s="19" t="n"/>
      <c r="G1794" s="16" t="n"/>
      <c r="H1794" s="19" t="n"/>
    </row>
    <row r="1795">
      <c r="A1795" s="16" t="n"/>
      <c r="B1795" s="19" t="n"/>
      <c r="D1795" s="16" t="n"/>
      <c r="E1795" s="19" t="n"/>
      <c r="G1795" s="16" t="n"/>
      <c r="H1795" s="19" t="n"/>
    </row>
    <row r="1796">
      <c r="A1796" s="16" t="n"/>
      <c r="B1796" s="19" t="n"/>
      <c r="D1796" s="16" t="n"/>
      <c r="E1796" s="19" t="n"/>
      <c r="G1796" s="16" t="n"/>
      <c r="H1796" s="19" t="n"/>
    </row>
    <row r="1797">
      <c r="A1797" s="16" t="n"/>
      <c r="B1797" s="19" t="n"/>
      <c r="D1797" s="16" t="n"/>
      <c r="E1797" s="19" t="n"/>
      <c r="G1797" s="16" t="n"/>
      <c r="H1797" s="19" t="n"/>
    </row>
    <row r="1798">
      <c r="A1798" s="16" t="n"/>
      <c r="B1798" s="19" t="n"/>
      <c r="D1798" s="16" t="n"/>
      <c r="E1798" s="19" t="n"/>
      <c r="G1798" s="16" t="n"/>
      <c r="H1798" s="19" t="n"/>
    </row>
    <row r="1799">
      <c r="A1799" s="16" t="n"/>
      <c r="B1799" s="19" t="n"/>
      <c r="D1799" s="16" t="n"/>
      <c r="E1799" s="19" t="n"/>
      <c r="G1799" s="16" t="n"/>
      <c r="H1799" s="19" t="n"/>
    </row>
    <row r="1800">
      <c r="A1800" s="16" t="n"/>
      <c r="B1800" s="19" t="n"/>
      <c r="D1800" s="16" t="n"/>
      <c r="E1800" s="19" t="n"/>
      <c r="G1800" s="16" t="n"/>
      <c r="H1800" s="19" t="n"/>
    </row>
    <row r="1801">
      <c r="A1801" s="16" t="n"/>
      <c r="B1801" s="19" t="n"/>
      <c r="D1801" s="16" t="n"/>
      <c r="E1801" s="19" t="n"/>
      <c r="G1801" s="16" t="n"/>
      <c r="H1801" s="19" t="n"/>
    </row>
    <row r="1802">
      <c r="A1802" s="16" t="n"/>
      <c r="B1802" s="19" t="n"/>
      <c r="D1802" s="16" t="n"/>
      <c r="E1802" s="19" t="n"/>
      <c r="G1802" s="16" t="n"/>
      <c r="H1802" s="19" t="n"/>
    </row>
    <row r="1803">
      <c r="A1803" s="16" t="n"/>
      <c r="B1803" s="19" t="n"/>
      <c r="D1803" s="16" t="n"/>
      <c r="E1803" s="19" t="n"/>
      <c r="G1803" s="16" t="n"/>
      <c r="H1803" s="19" t="n"/>
    </row>
    <row r="1804">
      <c r="A1804" s="16" t="n"/>
      <c r="B1804" s="19" t="n"/>
      <c r="D1804" s="16" t="n"/>
      <c r="E1804" s="19" t="n"/>
      <c r="G1804" s="16" t="n"/>
      <c r="H1804" s="19" t="n"/>
    </row>
    <row r="1805">
      <c r="A1805" s="16" t="n"/>
      <c r="B1805" s="19" t="n"/>
      <c r="D1805" s="16" t="n"/>
      <c r="E1805" s="19" t="n"/>
      <c r="G1805" s="16" t="n"/>
      <c r="H1805" s="19" t="n"/>
    </row>
    <row r="1806">
      <c r="A1806" s="16" t="n"/>
      <c r="B1806" s="19" t="n"/>
      <c r="D1806" s="16" t="n"/>
      <c r="E1806" s="19" t="n"/>
      <c r="G1806" s="16" t="n"/>
      <c r="H1806" s="19" t="n"/>
    </row>
    <row r="1807">
      <c r="A1807" s="16" t="n"/>
      <c r="B1807" s="19" t="n"/>
      <c r="D1807" s="16" t="n"/>
      <c r="E1807" s="19" t="n"/>
      <c r="G1807" s="16" t="n"/>
      <c r="H1807" s="19" t="n"/>
    </row>
    <row r="1808">
      <c r="A1808" s="16" t="n"/>
      <c r="B1808" s="19" t="n"/>
      <c r="D1808" s="16" t="n"/>
      <c r="E1808" s="19" t="n"/>
      <c r="G1808" s="16" t="n"/>
      <c r="H1808" s="19" t="n"/>
    </row>
    <row r="1809">
      <c r="A1809" s="16" t="n"/>
      <c r="B1809" s="19" t="n"/>
      <c r="D1809" s="16" t="n"/>
      <c r="E1809" s="19" t="n"/>
      <c r="G1809" s="16" t="n"/>
      <c r="H1809" s="19" t="n"/>
    </row>
    <row r="1810">
      <c r="A1810" s="16" t="n"/>
      <c r="B1810" s="19" t="n"/>
      <c r="D1810" s="16" t="n"/>
      <c r="E1810" s="19" t="n"/>
      <c r="G1810" s="16" t="n"/>
      <c r="H1810" s="19" t="n"/>
    </row>
    <row r="1811">
      <c r="A1811" s="16" t="n"/>
      <c r="B1811" s="19" t="n"/>
      <c r="D1811" s="16" t="n"/>
      <c r="E1811" s="19" t="n"/>
      <c r="G1811" s="16" t="n"/>
      <c r="H1811" s="19" t="n"/>
    </row>
    <row r="1812">
      <c r="A1812" s="16" t="n"/>
      <c r="B1812" s="19" t="n"/>
      <c r="D1812" s="16" t="n"/>
      <c r="E1812" s="19" t="n"/>
      <c r="G1812" s="16" t="n"/>
      <c r="H1812" s="19" t="n"/>
    </row>
    <row r="1813">
      <c r="A1813" s="16" t="n"/>
      <c r="B1813" s="19" t="n"/>
      <c r="D1813" s="16" t="n"/>
      <c r="E1813" s="19" t="n"/>
      <c r="G1813" s="16" t="n"/>
      <c r="H1813" s="19" t="n"/>
    </row>
    <row r="1814">
      <c r="A1814" s="16" t="n"/>
      <c r="B1814" s="19" t="n"/>
      <c r="D1814" s="16" t="n"/>
      <c r="E1814" s="19" t="n"/>
      <c r="G1814" s="16" t="n"/>
      <c r="H1814" s="19" t="n"/>
    </row>
    <row r="1815">
      <c r="A1815" s="16" t="n"/>
      <c r="B1815" s="19" t="n"/>
      <c r="D1815" s="16" t="n"/>
      <c r="E1815" s="19" t="n"/>
      <c r="G1815" s="16" t="n"/>
      <c r="H1815" s="19" t="n"/>
    </row>
    <row r="1816">
      <c r="A1816" s="16" t="n"/>
      <c r="B1816" s="19" t="n"/>
      <c r="D1816" s="16" t="n"/>
      <c r="E1816" s="19" t="n"/>
      <c r="G1816" s="16" t="n"/>
      <c r="H1816" s="19" t="n"/>
    </row>
    <row r="1817">
      <c r="A1817" s="16" t="n"/>
      <c r="B1817" s="19" t="n"/>
      <c r="D1817" s="16" t="n"/>
      <c r="E1817" s="19" t="n"/>
      <c r="G1817" s="16" t="n"/>
      <c r="H1817" s="19" t="n"/>
    </row>
    <row r="1818">
      <c r="A1818" s="16" t="n"/>
      <c r="B1818" s="19" t="n"/>
      <c r="D1818" s="16" t="n"/>
      <c r="E1818" s="19" t="n"/>
      <c r="G1818" s="16" t="n"/>
      <c r="H1818" s="19" t="n"/>
    </row>
    <row r="1819">
      <c r="A1819" s="16" t="n"/>
      <c r="B1819" s="19" t="n"/>
      <c r="D1819" s="16" t="n"/>
      <c r="E1819" s="19" t="n"/>
      <c r="G1819" s="16" t="n"/>
      <c r="H1819" s="19" t="n"/>
    </row>
    <row r="1820">
      <c r="A1820" s="16" t="n"/>
      <c r="B1820" s="19" t="n"/>
      <c r="D1820" s="16" t="n"/>
      <c r="E1820" s="19" t="n"/>
      <c r="G1820" s="16" t="n"/>
      <c r="H1820" s="19" t="n"/>
    </row>
    <row r="1821">
      <c r="A1821" s="16" t="n"/>
      <c r="B1821" s="19" t="n"/>
      <c r="D1821" s="16" t="n"/>
      <c r="E1821" s="19" t="n"/>
      <c r="G1821" s="16" t="n"/>
      <c r="H1821" s="19" t="n"/>
    </row>
    <row r="1822">
      <c r="A1822" s="16" t="n"/>
      <c r="B1822" s="19" t="n"/>
      <c r="D1822" s="16" t="n"/>
      <c r="E1822" s="19" t="n"/>
      <c r="G1822" s="16" t="n"/>
      <c r="H1822" s="19" t="n"/>
    </row>
    <row r="1823">
      <c r="A1823" s="16" t="n"/>
      <c r="B1823" s="19" t="n"/>
      <c r="D1823" s="16" t="n"/>
      <c r="E1823" s="19" t="n"/>
      <c r="G1823" s="16" t="n"/>
      <c r="H1823" s="19" t="n"/>
    </row>
    <row r="1824">
      <c r="A1824" s="16" t="n"/>
      <c r="B1824" s="19" t="n"/>
      <c r="D1824" s="16" t="n"/>
      <c r="E1824" s="19" t="n"/>
      <c r="G1824" s="16" t="n"/>
      <c r="H1824" s="19" t="n"/>
    </row>
    <row r="1825">
      <c r="A1825" s="16" t="n"/>
      <c r="B1825" s="19" t="n"/>
      <c r="D1825" s="16" t="n"/>
      <c r="E1825" s="19" t="n"/>
      <c r="G1825" s="16" t="n"/>
      <c r="H1825" s="19" t="n"/>
    </row>
    <row r="1826">
      <c r="A1826" s="16" t="n"/>
      <c r="B1826" s="19" t="n"/>
      <c r="D1826" s="16" t="n"/>
      <c r="E1826" s="19" t="n"/>
      <c r="G1826" s="16" t="n"/>
      <c r="H1826" s="19" t="n"/>
    </row>
    <row r="1827">
      <c r="A1827" s="16" t="n"/>
      <c r="B1827" s="19" t="n"/>
      <c r="D1827" s="16" t="n"/>
      <c r="E1827" s="19" t="n"/>
      <c r="G1827" s="16" t="n"/>
      <c r="H1827" s="19" t="n"/>
    </row>
    <row r="1828">
      <c r="A1828" s="16" t="n"/>
      <c r="B1828" s="19" t="n"/>
      <c r="D1828" s="16" t="n"/>
      <c r="E1828" s="19" t="n"/>
      <c r="G1828" s="16" t="n"/>
      <c r="H1828" s="19" t="n"/>
    </row>
    <row r="1829">
      <c r="A1829" s="16" t="n"/>
      <c r="B1829" s="19" t="n"/>
      <c r="D1829" s="16" t="n"/>
      <c r="E1829" s="19" t="n"/>
      <c r="G1829" s="16" t="n"/>
      <c r="H1829" s="19" t="n"/>
    </row>
    <row r="1830">
      <c r="A1830" s="16" t="n"/>
      <c r="B1830" s="19" t="n"/>
      <c r="D1830" s="16" t="n"/>
      <c r="E1830" s="19" t="n"/>
      <c r="G1830" s="16" t="n"/>
      <c r="H1830" s="19" t="n"/>
    </row>
    <row r="1831">
      <c r="A1831" s="16" t="n"/>
      <c r="B1831" s="19" t="n"/>
      <c r="D1831" s="16" t="n"/>
      <c r="E1831" s="19" t="n"/>
      <c r="G1831" s="16" t="n"/>
      <c r="H1831" s="19" t="n"/>
    </row>
    <row r="1832">
      <c r="A1832" s="16" t="n"/>
      <c r="B1832" s="19" t="n"/>
      <c r="D1832" s="16" t="n"/>
      <c r="E1832" s="19" t="n"/>
      <c r="G1832" s="16" t="n"/>
      <c r="H1832" s="19" t="n"/>
    </row>
    <row r="1833">
      <c r="A1833" s="16" t="n"/>
      <c r="B1833" s="19" t="n"/>
      <c r="D1833" s="16" t="n"/>
      <c r="E1833" s="19" t="n"/>
      <c r="G1833" s="16" t="n"/>
      <c r="H1833" s="19" t="n"/>
    </row>
    <row r="1834">
      <c r="A1834" s="16" t="n"/>
      <c r="B1834" s="19" t="n"/>
      <c r="D1834" s="16" t="n"/>
      <c r="E1834" s="19" t="n"/>
      <c r="G1834" s="16" t="n"/>
      <c r="H1834" s="19" t="n"/>
    </row>
    <row r="1835">
      <c r="A1835" s="16" t="n"/>
      <c r="B1835" s="19" t="n"/>
      <c r="D1835" s="16" t="n"/>
      <c r="E1835" s="19" t="n"/>
      <c r="G1835" s="16" t="n"/>
      <c r="H1835" s="19" t="n"/>
    </row>
    <row r="1836">
      <c r="A1836" s="16" t="n"/>
      <c r="B1836" s="19" t="n"/>
      <c r="D1836" s="16" t="n"/>
      <c r="E1836" s="19" t="n"/>
      <c r="G1836" s="16" t="n"/>
      <c r="H1836" s="19" t="n"/>
    </row>
    <row r="1837">
      <c r="A1837" s="16" t="n"/>
      <c r="B1837" s="19" t="n"/>
      <c r="D1837" s="16" t="n"/>
      <c r="E1837" s="19" t="n"/>
      <c r="G1837" s="16" t="n"/>
      <c r="H1837" s="19" t="n"/>
    </row>
    <row r="1838">
      <c r="A1838" s="16" t="n"/>
      <c r="B1838" s="19" t="n"/>
      <c r="D1838" s="16" t="n"/>
      <c r="E1838" s="19" t="n"/>
      <c r="G1838" s="16" t="n"/>
      <c r="H1838" s="19" t="n"/>
    </row>
    <row r="1839">
      <c r="A1839" s="16" t="n"/>
      <c r="B1839" s="19" t="n"/>
      <c r="D1839" s="16" t="n"/>
      <c r="E1839" s="19" t="n"/>
      <c r="G1839" s="16" t="n"/>
      <c r="H1839" s="19" t="n"/>
    </row>
    <row r="1840">
      <c r="A1840" s="16" t="n"/>
      <c r="B1840" s="19" t="n"/>
      <c r="D1840" s="16" t="n"/>
      <c r="E1840" s="19" t="n"/>
      <c r="G1840" s="16" t="n"/>
      <c r="H1840" s="19" t="n"/>
    </row>
    <row r="1841">
      <c r="A1841" s="16" t="n"/>
      <c r="B1841" s="19" t="n"/>
      <c r="D1841" s="16" t="n"/>
      <c r="E1841" s="19" t="n"/>
      <c r="G1841" s="16" t="n"/>
      <c r="H1841" s="19" t="n"/>
    </row>
    <row r="1842">
      <c r="A1842" s="16" t="n"/>
      <c r="B1842" s="19" t="n"/>
      <c r="D1842" s="16" t="n"/>
      <c r="E1842" s="19" t="n"/>
      <c r="G1842" s="16" t="n"/>
      <c r="H1842" s="19" t="n"/>
    </row>
    <row r="1843">
      <c r="A1843" s="16" t="n"/>
      <c r="B1843" s="19" t="n"/>
      <c r="D1843" s="16" t="n"/>
      <c r="E1843" s="19" t="n"/>
      <c r="G1843" s="16" t="n"/>
      <c r="H1843" s="19" t="n"/>
    </row>
    <row r="1844">
      <c r="A1844" s="16" t="n"/>
      <c r="B1844" s="19" t="n"/>
      <c r="D1844" s="16" t="n"/>
      <c r="E1844" s="19" t="n"/>
      <c r="G1844" s="16" t="n"/>
      <c r="H1844" s="19" t="n"/>
    </row>
    <row r="1845">
      <c r="A1845" s="16" t="n"/>
      <c r="B1845" s="19" t="n"/>
      <c r="D1845" s="16" t="n"/>
      <c r="E1845" s="19" t="n"/>
      <c r="G1845" s="16" t="n"/>
      <c r="H1845" s="19" t="n"/>
    </row>
    <row r="1846">
      <c r="A1846" s="16" t="n"/>
      <c r="B1846" s="19" t="n"/>
      <c r="D1846" s="16" t="n"/>
      <c r="E1846" s="19" t="n"/>
      <c r="G1846" s="16" t="n"/>
      <c r="H1846" s="19" t="n"/>
    </row>
    <row r="1847">
      <c r="A1847" s="16" t="n"/>
      <c r="B1847" s="19" t="n"/>
      <c r="D1847" s="16" t="n"/>
      <c r="E1847" s="19" t="n"/>
      <c r="G1847" s="16" t="n"/>
      <c r="H1847" s="19" t="n"/>
    </row>
    <row r="1848">
      <c r="A1848" s="16" t="n"/>
      <c r="B1848" s="19" t="n"/>
      <c r="D1848" s="16" t="n"/>
      <c r="E1848" s="19" t="n"/>
      <c r="G1848" s="16" t="n"/>
      <c r="H1848" s="19" t="n"/>
    </row>
    <row r="1849">
      <c r="A1849" s="16" t="n"/>
      <c r="B1849" s="19" t="n"/>
      <c r="D1849" s="16" t="n"/>
      <c r="E1849" s="19" t="n"/>
      <c r="G1849" s="16" t="n"/>
      <c r="H1849" s="19" t="n"/>
    </row>
    <row r="1850">
      <c r="A1850" s="16" t="n"/>
      <c r="B1850" s="19" t="n"/>
      <c r="D1850" s="16" t="n"/>
      <c r="E1850" s="19" t="n"/>
      <c r="G1850" s="16" t="n"/>
      <c r="H1850" s="19" t="n"/>
    </row>
    <row r="1851">
      <c r="A1851" s="16" t="n"/>
      <c r="B1851" s="19" t="n"/>
      <c r="D1851" s="16" t="n"/>
      <c r="E1851" s="19" t="n"/>
      <c r="G1851" s="16" t="n"/>
      <c r="H1851" s="19" t="n"/>
    </row>
    <row r="1852">
      <c r="A1852" s="16" t="n"/>
      <c r="B1852" s="19" t="n"/>
      <c r="D1852" s="16" t="n"/>
      <c r="E1852" s="19" t="n"/>
      <c r="G1852" s="16" t="n"/>
      <c r="H1852" s="19" t="n"/>
    </row>
    <row r="1853">
      <c r="A1853" s="16" t="n"/>
      <c r="B1853" s="19" t="n"/>
      <c r="D1853" s="16" t="n"/>
      <c r="E1853" s="19" t="n"/>
      <c r="G1853" s="16" t="n"/>
      <c r="H1853" s="19" t="n"/>
    </row>
    <row r="1854">
      <c r="A1854" s="16" t="n"/>
      <c r="B1854" s="19" t="n"/>
      <c r="D1854" s="16" t="n"/>
      <c r="E1854" s="19" t="n"/>
      <c r="G1854" s="16" t="n"/>
      <c r="H1854" s="19" t="n"/>
    </row>
    <row r="1855">
      <c r="A1855" s="16" t="n"/>
      <c r="B1855" s="19" t="n"/>
      <c r="D1855" s="16" t="n"/>
      <c r="E1855" s="19" t="n"/>
      <c r="G1855" s="16" t="n"/>
      <c r="H1855" s="19" t="n"/>
    </row>
    <row r="1856">
      <c r="A1856" s="16" t="n"/>
      <c r="B1856" s="19" t="n"/>
      <c r="D1856" s="16" t="n"/>
      <c r="E1856" s="19" t="n"/>
      <c r="G1856" s="16" t="n"/>
      <c r="H1856" s="19" t="n"/>
    </row>
    <row r="1857">
      <c r="A1857" s="16" t="n"/>
      <c r="B1857" s="19" t="n"/>
      <c r="D1857" s="16" t="n"/>
      <c r="E1857" s="19" t="n"/>
      <c r="G1857" s="16" t="n"/>
      <c r="H1857" s="19" t="n"/>
    </row>
    <row r="1858">
      <c r="A1858" s="16" t="n"/>
      <c r="B1858" s="19" t="n"/>
      <c r="D1858" s="16" t="n"/>
      <c r="E1858" s="19" t="n"/>
      <c r="G1858" s="16" t="n"/>
      <c r="H1858" s="19" t="n"/>
    </row>
    <row r="1859">
      <c r="A1859" s="16" t="n"/>
      <c r="B1859" s="19" t="n"/>
      <c r="D1859" s="16" t="n"/>
      <c r="E1859" s="19" t="n"/>
      <c r="G1859" s="16" t="n"/>
      <c r="H1859" s="19" t="n"/>
    </row>
    <row r="1860">
      <c r="A1860" s="16" t="n"/>
      <c r="B1860" s="19" t="n"/>
      <c r="D1860" s="16" t="n"/>
      <c r="E1860" s="19" t="n"/>
      <c r="G1860" s="16" t="n"/>
      <c r="H1860" s="19" t="n"/>
    </row>
    <row r="1861">
      <c r="A1861" s="16" t="n"/>
      <c r="B1861" s="19" t="n"/>
      <c r="D1861" s="16" t="n"/>
      <c r="E1861" s="19" t="n"/>
      <c r="G1861" s="16" t="n"/>
      <c r="H1861" s="19" t="n"/>
    </row>
    <row r="1862">
      <c r="A1862" s="16" t="n"/>
      <c r="B1862" s="19" t="n"/>
      <c r="D1862" s="16" t="n"/>
      <c r="E1862" s="19" t="n"/>
      <c r="G1862" s="16" t="n"/>
      <c r="H1862" s="19" t="n"/>
    </row>
    <row r="1863">
      <c r="A1863" s="16" t="n"/>
      <c r="B1863" s="19" t="n"/>
      <c r="D1863" s="16" t="n"/>
      <c r="E1863" s="19" t="n"/>
      <c r="G1863" s="16" t="n"/>
      <c r="H1863" s="19" t="n"/>
    </row>
    <row r="1864">
      <c r="A1864" s="16" t="n"/>
      <c r="B1864" s="19" t="n"/>
      <c r="D1864" s="16" t="n"/>
      <c r="E1864" s="19" t="n"/>
      <c r="G1864" s="16" t="n"/>
      <c r="H1864" s="19" t="n"/>
    </row>
    <row r="1865">
      <c r="A1865" s="16" t="n"/>
      <c r="B1865" s="19" t="n"/>
      <c r="D1865" s="16" t="n"/>
      <c r="E1865" s="19" t="n"/>
      <c r="G1865" s="16" t="n"/>
      <c r="H1865" s="19" t="n"/>
    </row>
    <row r="1866">
      <c r="A1866" s="16" t="n"/>
      <c r="B1866" s="19" t="n"/>
      <c r="D1866" s="16" t="n"/>
      <c r="E1866" s="19" t="n"/>
      <c r="G1866" s="16" t="n"/>
      <c r="H1866" s="19" t="n"/>
    </row>
    <row r="1867">
      <c r="A1867" s="16" t="n"/>
      <c r="B1867" s="19" t="n"/>
      <c r="D1867" s="16" t="n"/>
      <c r="E1867" s="19" t="n"/>
      <c r="G1867" s="16" t="n"/>
      <c r="H1867" s="19" t="n"/>
    </row>
    <row r="1868">
      <c r="A1868" s="16" t="n"/>
      <c r="B1868" s="19" t="n"/>
      <c r="D1868" s="16" t="n"/>
      <c r="E1868" s="19" t="n"/>
      <c r="G1868" s="16" t="n"/>
      <c r="H1868" s="19" t="n"/>
    </row>
    <row r="1869">
      <c r="A1869" s="16" t="n"/>
      <c r="B1869" s="19" t="n"/>
      <c r="D1869" s="16" t="n"/>
      <c r="E1869" s="19" t="n"/>
      <c r="G1869" s="16" t="n"/>
      <c r="H1869" s="19" t="n"/>
    </row>
    <row r="1870">
      <c r="A1870" s="16" t="n"/>
      <c r="B1870" s="19" t="n"/>
      <c r="D1870" s="16" t="n"/>
      <c r="E1870" s="19" t="n"/>
      <c r="G1870" s="16" t="n"/>
      <c r="H1870" s="19" t="n"/>
    </row>
    <row r="1871">
      <c r="A1871" s="16" t="n"/>
      <c r="B1871" s="19" t="n"/>
      <c r="D1871" s="16" t="n"/>
      <c r="E1871" s="19" t="n"/>
      <c r="G1871" s="16" t="n"/>
      <c r="H1871" s="19" t="n"/>
    </row>
    <row r="1872">
      <c r="A1872" s="16" t="n"/>
      <c r="B1872" s="19" t="n"/>
      <c r="D1872" s="16" t="n"/>
      <c r="E1872" s="19" t="n"/>
      <c r="G1872" s="16" t="n"/>
      <c r="H1872" s="19" t="n"/>
    </row>
    <row r="1873">
      <c r="A1873" s="16" t="n"/>
      <c r="B1873" s="19" t="n"/>
      <c r="D1873" s="16" t="n"/>
      <c r="E1873" s="19" t="n"/>
      <c r="G1873" s="16" t="n"/>
      <c r="H1873" s="19" t="n"/>
    </row>
    <row r="1874">
      <c r="A1874" s="16" t="n"/>
      <c r="B1874" s="19" t="n"/>
      <c r="D1874" s="16" t="n"/>
      <c r="E1874" s="19" t="n"/>
      <c r="G1874" s="16" t="n"/>
      <c r="H1874" s="19" t="n"/>
    </row>
    <row r="1875">
      <c r="A1875" s="16" t="n"/>
      <c r="B1875" s="19" t="n"/>
      <c r="D1875" s="16" t="n"/>
      <c r="E1875" s="19" t="n"/>
      <c r="G1875" s="16" t="n"/>
      <c r="H1875" s="19" t="n"/>
    </row>
    <row r="1876">
      <c r="A1876" s="16" t="n"/>
      <c r="B1876" s="19" t="n"/>
      <c r="D1876" s="16" t="n"/>
      <c r="E1876" s="19" t="n"/>
      <c r="G1876" s="16" t="n"/>
      <c r="H1876" s="19" t="n"/>
    </row>
    <row r="1877">
      <c r="A1877" s="16" t="n"/>
      <c r="B1877" s="19" t="n"/>
      <c r="D1877" s="16" t="n"/>
      <c r="E1877" s="19" t="n"/>
      <c r="G1877" s="16" t="n"/>
      <c r="H1877" s="19" t="n"/>
    </row>
    <row r="1878">
      <c r="A1878" s="16" t="n"/>
      <c r="B1878" s="19" t="n"/>
      <c r="D1878" s="16" t="n"/>
      <c r="E1878" s="19" t="n"/>
      <c r="G1878" s="16" t="n"/>
      <c r="H1878" s="19" t="n"/>
    </row>
    <row r="1879">
      <c r="A1879" s="16" t="n"/>
      <c r="B1879" s="19" t="n"/>
      <c r="D1879" s="16" t="n"/>
      <c r="E1879" s="19" t="n"/>
      <c r="G1879" s="16" t="n"/>
      <c r="H1879" s="19" t="n"/>
    </row>
    <row r="1880">
      <c r="A1880" s="16" t="n"/>
      <c r="B1880" s="19" t="n"/>
      <c r="D1880" s="16" t="n"/>
      <c r="E1880" s="19" t="n"/>
      <c r="G1880" s="16" t="n"/>
      <c r="H1880" s="19" t="n"/>
    </row>
    <row r="1881">
      <c r="A1881" s="16" t="n"/>
      <c r="B1881" s="19" t="n"/>
      <c r="D1881" s="16" t="n"/>
      <c r="E1881" s="19" t="n"/>
      <c r="G1881" s="16" t="n"/>
      <c r="H1881" s="19" t="n"/>
    </row>
    <row r="1882">
      <c r="A1882" s="16" t="n"/>
      <c r="B1882" s="19" t="n"/>
      <c r="D1882" s="16" t="n"/>
      <c r="E1882" s="19" t="n"/>
      <c r="G1882" s="16" t="n"/>
      <c r="H1882" s="19" t="n"/>
    </row>
    <row r="1883">
      <c r="A1883" s="16" t="n"/>
      <c r="B1883" s="19" t="n"/>
      <c r="D1883" s="16" t="n"/>
      <c r="E1883" s="19" t="n"/>
      <c r="G1883" s="16" t="n"/>
      <c r="H1883" s="19" t="n"/>
    </row>
    <row r="1884">
      <c r="A1884" s="16" t="n"/>
      <c r="B1884" s="19" t="n"/>
      <c r="D1884" s="16" t="n"/>
      <c r="E1884" s="19" t="n"/>
      <c r="G1884" s="16" t="n"/>
      <c r="H1884" s="19" t="n"/>
    </row>
    <row r="1885">
      <c r="A1885" s="16" t="n"/>
      <c r="B1885" s="19" t="n"/>
      <c r="D1885" s="16" t="n"/>
      <c r="E1885" s="19" t="n"/>
      <c r="G1885" s="16" t="n"/>
      <c r="H1885" s="19" t="n"/>
    </row>
    <row r="1886">
      <c r="A1886" s="16" t="n"/>
      <c r="B1886" s="19" t="n"/>
      <c r="D1886" s="16" t="n"/>
      <c r="E1886" s="19" t="n"/>
      <c r="G1886" s="16" t="n"/>
      <c r="H1886" s="19" t="n"/>
    </row>
    <row r="1887">
      <c r="A1887" s="16" t="n"/>
      <c r="B1887" s="19" t="n"/>
      <c r="D1887" s="16" t="n"/>
      <c r="E1887" s="19" t="n"/>
      <c r="G1887" s="16" t="n"/>
      <c r="H1887" s="19" t="n"/>
    </row>
    <row r="1888">
      <c r="A1888" s="16" t="n"/>
      <c r="B1888" s="19" t="n"/>
      <c r="D1888" s="16" t="n"/>
      <c r="E1888" s="19" t="n"/>
      <c r="G1888" s="16" t="n"/>
      <c r="H1888" s="19" t="n"/>
    </row>
    <row r="1889">
      <c r="A1889" s="16" t="n"/>
      <c r="B1889" s="19" t="n"/>
      <c r="D1889" s="16" t="n"/>
      <c r="E1889" s="19" t="n"/>
      <c r="G1889" s="16" t="n"/>
      <c r="H1889" s="19" t="n"/>
    </row>
    <row r="1890">
      <c r="A1890" s="16" t="n"/>
      <c r="B1890" s="19" t="n"/>
      <c r="D1890" s="16" t="n"/>
      <c r="E1890" s="19" t="n"/>
      <c r="G1890" s="16" t="n"/>
      <c r="H1890" s="19" t="n"/>
    </row>
    <row r="1891">
      <c r="A1891" s="16" t="n"/>
      <c r="B1891" s="19" t="n"/>
      <c r="D1891" s="16" t="n"/>
      <c r="E1891" s="19" t="n"/>
      <c r="G1891" s="16" t="n"/>
      <c r="H1891" s="19" t="n"/>
    </row>
    <row r="1892">
      <c r="A1892" s="16" t="n"/>
      <c r="B1892" s="19" t="n"/>
      <c r="D1892" s="16" t="n"/>
      <c r="E1892" s="19" t="n"/>
      <c r="G1892" s="16" t="n"/>
      <c r="H1892" s="19" t="n"/>
    </row>
    <row r="1893">
      <c r="A1893" s="16" t="n"/>
      <c r="B1893" s="19" t="n"/>
      <c r="D1893" s="16" t="n"/>
      <c r="E1893" s="19" t="n"/>
      <c r="G1893" s="16" t="n"/>
      <c r="H1893" s="19" t="n"/>
    </row>
    <row r="1894">
      <c r="A1894" s="16" t="n"/>
      <c r="B1894" s="19" t="n"/>
      <c r="D1894" s="16" t="n"/>
      <c r="E1894" s="19" t="n"/>
      <c r="G1894" s="16" t="n"/>
      <c r="H1894" s="19" t="n"/>
    </row>
    <row r="1895">
      <c r="A1895" s="16" t="n"/>
      <c r="B1895" s="19" t="n"/>
      <c r="D1895" s="16" t="n"/>
      <c r="E1895" s="19" t="n"/>
      <c r="G1895" s="16" t="n"/>
      <c r="H1895" s="19" t="n"/>
    </row>
    <row r="1896">
      <c r="A1896" s="16" t="n"/>
      <c r="B1896" s="19" t="n"/>
      <c r="D1896" s="16" t="n"/>
      <c r="E1896" s="19" t="n"/>
      <c r="G1896" s="16" t="n"/>
      <c r="H1896" s="19" t="n"/>
    </row>
    <row r="1897">
      <c r="A1897" s="16" t="n"/>
      <c r="B1897" s="19" t="n"/>
      <c r="D1897" s="16" t="n"/>
      <c r="E1897" s="19" t="n"/>
      <c r="G1897" s="16" t="n"/>
      <c r="H1897" s="19" t="n"/>
    </row>
    <row r="1898">
      <c r="A1898" s="16" t="n"/>
      <c r="B1898" s="19" t="n"/>
      <c r="D1898" s="16" t="n"/>
      <c r="E1898" s="19" t="n"/>
      <c r="G1898" s="16" t="n"/>
      <c r="H1898" s="19" t="n"/>
    </row>
    <row r="1899">
      <c r="A1899" s="16" t="n"/>
      <c r="B1899" s="19" t="n"/>
      <c r="D1899" s="16" t="n"/>
      <c r="E1899" s="19" t="n"/>
      <c r="G1899" s="16" t="n"/>
      <c r="H1899" s="19" t="n"/>
    </row>
    <row r="1900">
      <c r="A1900" s="16" t="n"/>
      <c r="B1900" s="19" t="n"/>
      <c r="D1900" s="16" t="n"/>
      <c r="E1900" s="19" t="n"/>
      <c r="G1900" s="16" t="n"/>
      <c r="H1900" s="19" t="n"/>
    </row>
    <row r="1901">
      <c r="A1901" s="16" t="n"/>
      <c r="B1901" s="19" t="n"/>
      <c r="D1901" s="16" t="n"/>
      <c r="E1901" s="19" t="n"/>
      <c r="G1901" s="16" t="n"/>
      <c r="H1901" s="19" t="n"/>
    </row>
    <row r="1902">
      <c r="A1902" s="16" t="n"/>
      <c r="B1902" s="19" t="n"/>
      <c r="D1902" s="16" t="n"/>
      <c r="E1902" s="19" t="n"/>
      <c r="G1902" s="16" t="n"/>
      <c r="H1902" s="19" t="n"/>
    </row>
    <row r="1903">
      <c r="A1903" s="16" t="n"/>
      <c r="B1903" s="19" t="n"/>
      <c r="D1903" s="16" t="n"/>
      <c r="E1903" s="19" t="n"/>
      <c r="G1903" s="16" t="n"/>
      <c r="H1903" s="19" t="n"/>
    </row>
    <row r="1904">
      <c r="A1904" s="16" t="n"/>
      <c r="B1904" s="19" t="n"/>
      <c r="D1904" s="16" t="n"/>
      <c r="E1904" s="19" t="n"/>
      <c r="G1904" s="16" t="n"/>
      <c r="H1904" s="19" t="n"/>
    </row>
    <row r="1905">
      <c r="A1905" s="16" t="n"/>
      <c r="B1905" s="19" t="n"/>
      <c r="D1905" s="16" t="n"/>
      <c r="E1905" s="19" t="n"/>
      <c r="G1905" s="16" t="n"/>
      <c r="H1905" s="19" t="n"/>
    </row>
    <row r="1906">
      <c r="A1906" s="16" t="n"/>
      <c r="B1906" s="19" t="n"/>
      <c r="D1906" s="16" t="n"/>
      <c r="E1906" s="19" t="n"/>
      <c r="G1906" s="16" t="n"/>
      <c r="H1906" s="19" t="n"/>
    </row>
    <row r="1907">
      <c r="A1907" s="16" t="n"/>
      <c r="B1907" s="19" t="n"/>
      <c r="D1907" s="16" t="n"/>
      <c r="E1907" s="19" t="n"/>
      <c r="G1907" s="16" t="n"/>
      <c r="H1907" s="19" t="n"/>
    </row>
    <row r="1908">
      <c r="A1908" s="16" t="n"/>
      <c r="B1908" s="19" t="n"/>
      <c r="D1908" s="16" t="n"/>
      <c r="E1908" s="19" t="n"/>
      <c r="G1908" s="16" t="n"/>
      <c r="H1908" s="19" t="n"/>
    </row>
    <row r="1909">
      <c r="A1909" s="16" t="n"/>
      <c r="B1909" s="19" t="n"/>
      <c r="D1909" s="16" t="n"/>
      <c r="E1909" s="19" t="n"/>
      <c r="G1909" s="16" t="n"/>
      <c r="H1909" s="19" t="n"/>
    </row>
    <row r="1910">
      <c r="A1910" s="16" t="n"/>
      <c r="B1910" s="19" t="n"/>
      <c r="D1910" s="16" t="n"/>
      <c r="E1910" s="19" t="n"/>
      <c r="G1910" s="16" t="n"/>
      <c r="H1910" s="19" t="n"/>
    </row>
    <row r="1911">
      <c r="A1911" s="16" t="n"/>
      <c r="B1911" s="19" t="n"/>
      <c r="D1911" s="16" t="n"/>
      <c r="E1911" s="19" t="n"/>
      <c r="G1911" s="16" t="n"/>
      <c r="H1911" s="19" t="n"/>
    </row>
    <row r="1912">
      <c r="A1912" s="16" t="n"/>
      <c r="B1912" s="19" t="n"/>
      <c r="D1912" s="16" t="n"/>
      <c r="E1912" s="19" t="n"/>
      <c r="G1912" s="16" t="n"/>
      <c r="H1912" s="19" t="n"/>
    </row>
    <row r="1913">
      <c r="A1913" s="16" t="n"/>
      <c r="B1913" s="19" t="n"/>
      <c r="D1913" s="16" t="n"/>
      <c r="E1913" s="19" t="n"/>
      <c r="G1913" s="16" t="n"/>
      <c r="H1913" s="19" t="n"/>
    </row>
    <row r="1914">
      <c r="A1914" s="16" t="n"/>
      <c r="B1914" s="19" t="n"/>
      <c r="D1914" s="16" t="n"/>
      <c r="E1914" s="19" t="n"/>
      <c r="G1914" s="16" t="n"/>
      <c r="H1914" s="19" t="n"/>
    </row>
    <row r="1915">
      <c r="A1915" s="16" t="n"/>
      <c r="B1915" s="19" t="n"/>
      <c r="D1915" s="16" t="n"/>
      <c r="E1915" s="19" t="n"/>
      <c r="G1915" s="16" t="n"/>
      <c r="H1915" s="19" t="n"/>
    </row>
    <row r="1916">
      <c r="A1916" s="16" t="n"/>
      <c r="B1916" s="19" t="n"/>
      <c r="D1916" s="16" t="n"/>
      <c r="E1916" s="19" t="n"/>
      <c r="G1916" s="16" t="n"/>
      <c r="H1916" s="19" t="n"/>
    </row>
    <row r="1917">
      <c r="A1917" s="16" t="n"/>
      <c r="B1917" s="19" t="n"/>
      <c r="D1917" s="16" t="n"/>
      <c r="E1917" s="19" t="n"/>
      <c r="G1917" s="16" t="n"/>
      <c r="H1917" s="19" t="n"/>
    </row>
    <row r="1918">
      <c r="A1918" s="16" t="n"/>
      <c r="B1918" s="19" t="n"/>
      <c r="D1918" s="16" t="n"/>
      <c r="E1918" s="19" t="n"/>
      <c r="G1918" s="16" t="n"/>
      <c r="H1918" s="19" t="n"/>
    </row>
    <row r="1919">
      <c r="A1919" s="16" t="n"/>
      <c r="B1919" s="19" t="n"/>
      <c r="D1919" s="16" t="n"/>
      <c r="E1919" s="19" t="n"/>
      <c r="G1919" s="16" t="n"/>
      <c r="H1919" s="19" t="n"/>
    </row>
    <row r="1920">
      <c r="A1920" s="16" t="n"/>
      <c r="B1920" s="19" t="n"/>
      <c r="D1920" s="16" t="n"/>
      <c r="E1920" s="19" t="n"/>
      <c r="G1920" s="16" t="n"/>
      <c r="H1920" s="19" t="n"/>
    </row>
    <row r="1921">
      <c r="A1921" s="16" t="n"/>
      <c r="B1921" s="19" t="n"/>
      <c r="D1921" s="16" t="n"/>
      <c r="E1921" s="19" t="n"/>
      <c r="G1921" s="16" t="n"/>
      <c r="H1921" s="19" t="n"/>
    </row>
    <row r="1922">
      <c r="A1922" s="16" t="n"/>
      <c r="B1922" s="19" t="n"/>
      <c r="D1922" s="16" t="n"/>
      <c r="E1922" s="19" t="n"/>
      <c r="G1922" s="16" t="n"/>
      <c r="H1922" s="19" t="n"/>
    </row>
    <row r="1923">
      <c r="A1923" s="16" t="n"/>
      <c r="B1923" s="19" t="n"/>
      <c r="D1923" s="16" t="n"/>
      <c r="E1923" s="19" t="n"/>
      <c r="G1923" s="16" t="n"/>
      <c r="H1923" s="19" t="n"/>
    </row>
    <row r="1924">
      <c r="A1924" s="16" t="n"/>
      <c r="B1924" s="19" t="n"/>
      <c r="D1924" s="16" t="n"/>
      <c r="E1924" s="19" t="n"/>
      <c r="G1924" s="16" t="n"/>
      <c r="H1924" s="19" t="n"/>
    </row>
    <row r="1925">
      <c r="A1925" s="16" t="n"/>
      <c r="B1925" s="19" t="n"/>
      <c r="D1925" s="16" t="n"/>
      <c r="E1925" s="19" t="n"/>
      <c r="G1925" s="16" t="n"/>
      <c r="H1925" s="19" t="n"/>
    </row>
    <row r="1926">
      <c r="A1926" s="16" t="n"/>
      <c r="B1926" s="19" t="n"/>
      <c r="D1926" s="16" t="n"/>
      <c r="E1926" s="19" t="n"/>
      <c r="G1926" s="16" t="n"/>
      <c r="H1926" s="19" t="n"/>
    </row>
    <row r="1927">
      <c r="A1927" s="16" t="n"/>
      <c r="B1927" s="19" t="n"/>
      <c r="D1927" s="16" t="n"/>
      <c r="E1927" s="19" t="n"/>
      <c r="G1927" s="16" t="n"/>
      <c r="H1927" s="19" t="n"/>
    </row>
    <row r="1928">
      <c r="A1928" s="16" t="n"/>
      <c r="B1928" s="19" t="n"/>
      <c r="D1928" s="16" t="n"/>
      <c r="E1928" s="19" t="n"/>
      <c r="G1928" s="16" t="n"/>
      <c r="H1928" s="19" t="n"/>
    </row>
    <row r="1929">
      <c r="A1929" s="16" t="n"/>
      <c r="B1929" s="19" t="n"/>
      <c r="D1929" s="16" t="n"/>
      <c r="E1929" s="19" t="n"/>
      <c r="G1929" s="16" t="n"/>
      <c r="H1929" s="19" t="n"/>
    </row>
    <row r="1930">
      <c r="A1930" s="16" t="n"/>
      <c r="B1930" s="19" t="n"/>
      <c r="D1930" s="16" t="n"/>
      <c r="E1930" s="19" t="n"/>
      <c r="G1930" s="16" t="n"/>
      <c r="H1930" s="19" t="n"/>
    </row>
    <row r="1931">
      <c r="A1931" s="16" t="n"/>
      <c r="B1931" s="19" t="n"/>
      <c r="D1931" s="16" t="n"/>
      <c r="E1931" s="19" t="n"/>
      <c r="G1931" s="16" t="n"/>
      <c r="H1931" s="19" t="n"/>
    </row>
    <row r="1932">
      <c r="A1932" s="16" t="n"/>
      <c r="B1932" s="19" t="n"/>
      <c r="D1932" s="16" t="n"/>
      <c r="E1932" s="19" t="n"/>
      <c r="G1932" s="16" t="n"/>
      <c r="H1932" s="19" t="n"/>
    </row>
    <row r="1933">
      <c r="A1933" s="16" t="n"/>
      <c r="B1933" s="19" t="n"/>
      <c r="D1933" s="16" t="n"/>
      <c r="E1933" s="19" t="n"/>
      <c r="G1933" s="16" t="n"/>
      <c r="H1933" s="19" t="n"/>
    </row>
    <row r="1934">
      <c r="A1934" s="16" t="n"/>
      <c r="B1934" s="19" t="n"/>
      <c r="D1934" s="16" t="n"/>
      <c r="E1934" s="19" t="n"/>
      <c r="G1934" s="16" t="n"/>
      <c r="H1934" s="19" t="n"/>
    </row>
    <row r="1935">
      <c r="A1935" s="16" t="n"/>
      <c r="B1935" s="19" t="n"/>
      <c r="D1935" s="16" t="n"/>
      <c r="E1935" s="19" t="n"/>
      <c r="G1935" s="16" t="n"/>
      <c r="H1935" s="19" t="n"/>
    </row>
    <row r="1936">
      <c r="A1936" s="16" t="n"/>
      <c r="B1936" s="19" t="n"/>
      <c r="D1936" s="16" t="n"/>
      <c r="E1936" s="19" t="n"/>
      <c r="G1936" s="16" t="n"/>
      <c r="H1936" s="19" t="n"/>
    </row>
    <row r="1937">
      <c r="A1937" s="16" t="n"/>
      <c r="B1937" s="19" t="n"/>
      <c r="D1937" s="16" t="n"/>
      <c r="E1937" s="19" t="n"/>
      <c r="G1937" s="16" t="n"/>
      <c r="H1937" s="19" t="n"/>
    </row>
    <row r="1938">
      <c r="A1938" s="16" t="n"/>
      <c r="B1938" s="19" t="n"/>
      <c r="D1938" s="16" t="n"/>
      <c r="E1938" s="19" t="n"/>
      <c r="G1938" s="16" t="n"/>
      <c r="H1938" s="19" t="n"/>
    </row>
    <row r="1939">
      <c r="A1939" s="16" t="n"/>
      <c r="B1939" s="19" t="n"/>
      <c r="D1939" s="16" t="n"/>
      <c r="E1939" s="19" t="n"/>
      <c r="G1939" s="16" t="n"/>
      <c r="H1939" s="19" t="n"/>
    </row>
    <row r="1940">
      <c r="A1940" s="16" t="n"/>
      <c r="B1940" s="19" t="n"/>
      <c r="D1940" s="16" t="n"/>
      <c r="E1940" s="19" t="n"/>
      <c r="G1940" s="16" t="n"/>
      <c r="H1940" s="19" t="n"/>
    </row>
    <row r="1941">
      <c r="A1941" s="16" t="n"/>
      <c r="B1941" s="19" t="n"/>
      <c r="D1941" s="16" t="n"/>
      <c r="E1941" s="19" t="n"/>
      <c r="G1941" s="16" t="n"/>
      <c r="H1941" s="19" t="n"/>
    </row>
    <row r="1942">
      <c r="A1942" s="16" t="n"/>
      <c r="B1942" s="19" t="n"/>
      <c r="D1942" s="16" t="n"/>
      <c r="E1942" s="19" t="n"/>
      <c r="G1942" s="16" t="n"/>
      <c r="H1942" s="19" t="n"/>
    </row>
    <row r="1943">
      <c r="A1943" s="16" t="n"/>
      <c r="B1943" s="19" t="n"/>
      <c r="D1943" s="16" t="n"/>
      <c r="E1943" s="19" t="n"/>
      <c r="G1943" s="16" t="n"/>
      <c r="H1943" s="19" t="n"/>
    </row>
    <row r="1944">
      <c r="A1944" s="16" t="n"/>
      <c r="B1944" s="19" t="n"/>
      <c r="D1944" s="16" t="n"/>
      <c r="E1944" s="19" t="n"/>
      <c r="G1944" s="16" t="n"/>
      <c r="H1944" s="19" t="n"/>
    </row>
    <row r="1945">
      <c r="A1945" s="16" t="n"/>
      <c r="B1945" s="19" t="n"/>
      <c r="D1945" s="16" t="n"/>
      <c r="E1945" s="19" t="n"/>
      <c r="G1945" s="16" t="n"/>
      <c r="H1945" s="19" t="n"/>
    </row>
    <row r="1946">
      <c r="A1946" s="16" t="n"/>
      <c r="B1946" s="19" t="n"/>
      <c r="D1946" s="16" t="n"/>
      <c r="E1946" s="19" t="n"/>
      <c r="G1946" s="16" t="n"/>
      <c r="H1946" s="19" t="n"/>
    </row>
    <row r="1947">
      <c r="A1947" s="16" t="n"/>
      <c r="B1947" s="19" t="n"/>
      <c r="D1947" s="16" t="n"/>
      <c r="E1947" s="19" t="n"/>
      <c r="G1947" s="16" t="n"/>
      <c r="H1947" s="19" t="n"/>
    </row>
    <row r="1948">
      <c r="A1948" s="16" t="n"/>
      <c r="B1948" s="19" t="n"/>
      <c r="D1948" s="16" t="n"/>
      <c r="E1948" s="19" t="n"/>
      <c r="G1948" s="16" t="n"/>
      <c r="H1948" s="19" t="n"/>
    </row>
    <row r="1949">
      <c r="A1949" s="16" t="n"/>
      <c r="B1949" s="19" t="n"/>
      <c r="D1949" s="16" t="n"/>
      <c r="E1949" s="19" t="n"/>
      <c r="G1949" s="16" t="n"/>
      <c r="H1949" s="19" t="n"/>
    </row>
    <row r="1950">
      <c r="A1950" s="16" t="n"/>
      <c r="B1950" s="19" t="n"/>
      <c r="D1950" s="16" t="n"/>
      <c r="E1950" s="19" t="n"/>
      <c r="G1950" s="16" t="n"/>
      <c r="H1950" s="19" t="n"/>
    </row>
    <row r="1951">
      <c r="A1951" s="16" t="n"/>
      <c r="B1951" s="19" t="n"/>
      <c r="D1951" s="16" t="n"/>
      <c r="E1951" s="19" t="n"/>
      <c r="G1951" s="16" t="n"/>
      <c r="H1951" s="19" t="n"/>
    </row>
    <row r="1952">
      <c r="A1952" s="16" t="n"/>
      <c r="B1952" s="19" t="n"/>
      <c r="D1952" s="16" t="n"/>
      <c r="E1952" s="19" t="n"/>
      <c r="G1952" s="16" t="n"/>
      <c r="H1952" s="19" t="n"/>
    </row>
    <row r="1953">
      <c r="A1953" s="16" t="n"/>
      <c r="B1953" s="19" t="n"/>
      <c r="D1953" s="16" t="n"/>
      <c r="E1953" s="19" t="n"/>
      <c r="G1953" s="16" t="n"/>
      <c r="H1953" s="19" t="n"/>
    </row>
    <row r="1954">
      <c r="A1954" s="16" t="n"/>
      <c r="B1954" s="19" t="n"/>
      <c r="D1954" s="16" t="n"/>
      <c r="E1954" s="19" t="n"/>
      <c r="G1954" s="16" t="n"/>
      <c r="H1954" s="19" t="n"/>
    </row>
    <row r="1955">
      <c r="A1955" s="16" t="n"/>
      <c r="B1955" s="19" t="n"/>
      <c r="D1955" s="16" t="n"/>
      <c r="E1955" s="19" t="n"/>
      <c r="G1955" s="16" t="n"/>
      <c r="H1955" s="19" t="n"/>
    </row>
    <row r="1956">
      <c r="A1956" s="16" t="n"/>
      <c r="B1956" s="19" t="n"/>
      <c r="D1956" s="16" t="n"/>
      <c r="E1956" s="19" t="n"/>
      <c r="G1956" s="16" t="n"/>
      <c r="H1956" s="19" t="n"/>
    </row>
    <row r="1957">
      <c r="A1957" s="16" t="n"/>
      <c r="B1957" s="19" t="n"/>
      <c r="D1957" s="16" t="n"/>
      <c r="E1957" s="19" t="n"/>
      <c r="G1957" s="16" t="n"/>
      <c r="H1957" s="19" t="n"/>
    </row>
    <row r="1958">
      <c r="A1958" s="16" t="n"/>
      <c r="B1958" s="19" t="n"/>
      <c r="D1958" s="16" t="n"/>
      <c r="E1958" s="19" t="n"/>
      <c r="G1958" s="16" t="n"/>
      <c r="H1958" s="19" t="n"/>
    </row>
    <row r="1959">
      <c r="A1959" s="16" t="n"/>
      <c r="B1959" s="19" t="n"/>
      <c r="D1959" s="16" t="n"/>
      <c r="E1959" s="19" t="n"/>
      <c r="G1959" s="16" t="n"/>
      <c r="H1959" s="19" t="n"/>
    </row>
    <row r="1960">
      <c r="A1960" s="16" t="n"/>
      <c r="B1960" s="19" t="n"/>
      <c r="D1960" s="16" t="n"/>
      <c r="E1960" s="19" t="n"/>
      <c r="G1960" s="16" t="n"/>
      <c r="H1960" s="19" t="n"/>
    </row>
    <row r="1961">
      <c r="A1961" s="16" t="n"/>
      <c r="B1961" s="19" t="n"/>
      <c r="D1961" s="16" t="n"/>
      <c r="E1961" s="19" t="n"/>
      <c r="G1961" s="16" t="n"/>
      <c r="H1961" s="19" t="n"/>
    </row>
    <row r="1962">
      <c r="A1962" s="16" t="n"/>
      <c r="B1962" s="19" t="n"/>
      <c r="D1962" s="16" t="n"/>
      <c r="E1962" s="19" t="n"/>
      <c r="G1962" s="16" t="n"/>
      <c r="H1962" s="19" t="n"/>
    </row>
    <row r="1963">
      <c r="A1963" s="16" t="n"/>
      <c r="B1963" s="19" t="n"/>
      <c r="D1963" s="16" t="n"/>
      <c r="E1963" s="19" t="n"/>
      <c r="G1963" s="16" t="n"/>
      <c r="H1963" s="19" t="n"/>
    </row>
    <row r="1964">
      <c r="A1964" s="16" t="n"/>
      <c r="B1964" s="19" t="n"/>
      <c r="D1964" s="16" t="n"/>
      <c r="E1964" s="19" t="n"/>
      <c r="G1964" s="16" t="n"/>
      <c r="H1964" s="19" t="n"/>
    </row>
    <row r="1965">
      <c r="A1965" s="16" t="n"/>
      <c r="B1965" s="19" t="n"/>
      <c r="D1965" s="16" t="n"/>
      <c r="E1965" s="19" t="n"/>
      <c r="G1965" s="16" t="n"/>
      <c r="H1965" s="19" t="n"/>
    </row>
    <row r="1966">
      <c r="A1966" s="16" t="n"/>
      <c r="B1966" s="19" t="n"/>
      <c r="D1966" s="16" t="n"/>
      <c r="E1966" s="19" t="n"/>
      <c r="G1966" s="16" t="n"/>
      <c r="H1966" s="19" t="n"/>
    </row>
    <row r="1967">
      <c r="A1967" s="16" t="n"/>
      <c r="B1967" s="19" t="n"/>
      <c r="D1967" s="16" t="n"/>
      <c r="E1967" s="19" t="n"/>
      <c r="G1967" s="16" t="n"/>
      <c r="H1967" s="19" t="n"/>
    </row>
    <row r="1968">
      <c r="A1968" s="16" t="n"/>
      <c r="B1968" s="19" t="n"/>
      <c r="D1968" s="16" t="n"/>
      <c r="E1968" s="19" t="n"/>
      <c r="G1968" s="16" t="n"/>
      <c r="H1968" s="19" t="n"/>
    </row>
    <row r="1969">
      <c r="A1969" s="16" t="n"/>
      <c r="B1969" s="19" t="n"/>
      <c r="D1969" s="16" t="n"/>
      <c r="E1969" s="19" t="n"/>
      <c r="G1969" s="16" t="n"/>
      <c r="H1969" s="19" t="n"/>
    </row>
    <row r="1970">
      <c r="A1970" s="16" t="n"/>
      <c r="B1970" s="19" t="n"/>
      <c r="D1970" s="16" t="n"/>
      <c r="E1970" s="19" t="n"/>
      <c r="G1970" s="16" t="n"/>
      <c r="H1970" s="19" t="n"/>
    </row>
    <row r="1971">
      <c r="A1971" s="16" t="n"/>
      <c r="B1971" s="19" t="n"/>
      <c r="D1971" s="16" t="n"/>
      <c r="E1971" s="19" t="n"/>
      <c r="G1971" s="16" t="n"/>
      <c r="H1971" s="19" t="n"/>
    </row>
    <row r="1972">
      <c r="A1972" s="16" t="n"/>
      <c r="B1972" s="19" t="n"/>
      <c r="D1972" s="16" t="n"/>
      <c r="E1972" s="19" t="n"/>
      <c r="G1972" s="16" t="n"/>
      <c r="H1972" s="19" t="n"/>
    </row>
    <row r="1973">
      <c r="A1973" s="16" t="n"/>
      <c r="B1973" s="19" t="n"/>
      <c r="D1973" s="16" t="n"/>
      <c r="E1973" s="19" t="n"/>
      <c r="G1973" s="16" t="n"/>
      <c r="H1973" s="19" t="n"/>
    </row>
    <row r="1974">
      <c r="A1974" s="16" t="n"/>
      <c r="B1974" s="19" t="n"/>
      <c r="D1974" s="16" t="n"/>
      <c r="E1974" s="19" t="n"/>
      <c r="G1974" s="16" t="n"/>
      <c r="H1974" s="19" t="n"/>
    </row>
    <row r="1975">
      <c r="A1975" s="16" t="n"/>
      <c r="B1975" s="19" t="n"/>
      <c r="D1975" s="16" t="n"/>
      <c r="E1975" s="19" t="n"/>
      <c r="G1975" s="16" t="n"/>
      <c r="H1975" s="19" t="n"/>
    </row>
    <row r="1976">
      <c r="A1976" s="16" t="n"/>
      <c r="B1976" s="19" t="n"/>
      <c r="D1976" s="16" t="n"/>
      <c r="E1976" s="19" t="n"/>
      <c r="G1976" s="16" t="n"/>
      <c r="H1976" s="19" t="n"/>
    </row>
    <row r="1977">
      <c r="A1977" s="16" t="n"/>
      <c r="B1977" s="19" t="n"/>
      <c r="D1977" s="16" t="n"/>
      <c r="E1977" s="19" t="n"/>
      <c r="G1977" s="16" t="n"/>
      <c r="H1977" s="19" t="n"/>
    </row>
    <row r="1978">
      <c r="A1978" s="16" t="n"/>
      <c r="B1978" s="19" t="n"/>
      <c r="D1978" s="16" t="n"/>
      <c r="E1978" s="19" t="n"/>
      <c r="G1978" s="16" t="n"/>
      <c r="H1978" s="19" t="n"/>
    </row>
    <row r="1979">
      <c r="A1979" s="16" t="n"/>
      <c r="B1979" s="19" t="n"/>
      <c r="D1979" s="16" t="n"/>
      <c r="E1979" s="19" t="n"/>
      <c r="G1979" s="16" t="n"/>
      <c r="H1979" s="19" t="n"/>
    </row>
    <row r="1980">
      <c r="A1980" s="16" t="n"/>
      <c r="B1980" s="19" t="n"/>
      <c r="D1980" s="16" t="n"/>
      <c r="E1980" s="19" t="n"/>
      <c r="G1980" s="16" t="n"/>
      <c r="H1980" s="19" t="n"/>
    </row>
    <row r="1981">
      <c r="A1981" s="16" t="n"/>
      <c r="B1981" s="19" t="n"/>
      <c r="D1981" s="16" t="n"/>
      <c r="E1981" s="19" t="n"/>
      <c r="G1981" s="16" t="n"/>
      <c r="H1981" s="19" t="n"/>
    </row>
    <row r="1982">
      <c r="A1982" s="16" t="n"/>
      <c r="B1982" s="19" t="n"/>
      <c r="D1982" s="16" t="n"/>
      <c r="E1982" s="19" t="n"/>
      <c r="G1982" s="16" t="n"/>
      <c r="H1982" s="19" t="n"/>
    </row>
    <row r="1983">
      <c r="A1983" s="16" t="n"/>
      <c r="B1983" s="19" t="n"/>
      <c r="D1983" s="16" t="n"/>
      <c r="E1983" s="19" t="n"/>
      <c r="G1983" s="16" t="n"/>
      <c r="H1983" s="19" t="n"/>
    </row>
    <row r="1984">
      <c r="A1984" s="16" t="n"/>
      <c r="B1984" s="19" t="n"/>
      <c r="D1984" s="16" t="n"/>
      <c r="E1984" s="19" t="n"/>
      <c r="G1984" s="16" t="n"/>
      <c r="H1984" s="19" t="n"/>
    </row>
    <row r="1985">
      <c r="A1985" s="16" t="n"/>
      <c r="B1985" s="19" t="n"/>
      <c r="D1985" s="16" t="n"/>
      <c r="E1985" s="19" t="n"/>
      <c r="G1985" s="16" t="n"/>
      <c r="H1985" s="19" t="n"/>
    </row>
    <row r="1986">
      <c r="A1986" s="16" t="n"/>
      <c r="B1986" s="19" t="n"/>
      <c r="D1986" s="16" t="n"/>
      <c r="E1986" s="19" t="n"/>
      <c r="G1986" s="16" t="n"/>
      <c r="H1986" s="19" t="n"/>
    </row>
    <row r="1987">
      <c r="A1987" s="16" t="n"/>
      <c r="B1987" s="19" t="n"/>
      <c r="D1987" s="16" t="n"/>
      <c r="E1987" s="19" t="n"/>
      <c r="G1987" s="16" t="n"/>
      <c r="H1987" s="19" t="n"/>
    </row>
    <row r="1988">
      <c r="A1988" s="16" t="n"/>
      <c r="B1988" s="19" t="n"/>
      <c r="D1988" s="16" t="n"/>
      <c r="E1988" s="19" t="n"/>
      <c r="G1988" s="16" t="n"/>
      <c r="H1988" s="19" t="n"/>
    </row>
    <row r="1989">
      <c r="A1989" s="16" t="n"/>
      <c r="B1989" s="19" t="n"/>
      <c r="D1989" s="16" t="n"/>
      <c r="E1989" s="19" t="n"/>
      <c r="G1989" s="16" t="n"/>
      <c r="H1989" s="19" t="n"/>
    </row>
    <row r="1990">
      <c r="A1990" s="16" t="n"/>
      <c r="B1990" s="19" t="n"/>
      <c r="D1990" s="16" t="n"/>
      <c r="E1990" s="19" t="n"/>
      <c r="G1990" s="16" t="n"/>
      <c r="H1990" s="19" t="n"/>
    </row>
    <row r="1991">
      <c r="A1991" s="16" t="n"/>
      <c r="B1991" s="19" t="n"/>
      <c r="D1991" s="16" t="n"/>
      <c r="E1991" s="19" t="n"/>
      <c r="G1991" s="16" t="n"/>
      <c r="H1991" s="19" t="n"/>
    </row>
    <row r="1992">
      <c r="A1992" s="16" t="n"/>
      <c r="B1992" s="19" t="n"/>
      <c r="D1992" s="16" t="n"/>
      <c r="E1992" s="19" t="n"/>
      <c r="G1992" s="16" t="n"/>
      <c r="H1992" s="19" t="n"/>
    </row>
    <row r="1993">
      <c r="A1993" s="16" t="n"/>
      <c r="B1993" s="19" t="n"/>
      <c r="D1993" s="16" t="n"/>
      <c r="E1993" s="19" t="n"/>
      <c r="G1993" s="16" t="n"/>
      <c r="H1993" s="19" t="n"/>
    </row>
    <row r="1994">
      <c r="A1994" s="16" t="n"/>
      <c r="B1994" s="19" t="n"/>
      <c r="D1994" s="16" t="n"/>
      <c r="E1994" s="19" t="n"/>
      <c r="G1994" s="16" t="n"/>
      <c r="H1994" s="19" t="n"/>
    </row>
    <row r="1995">
      <c r="A1995" s="16" t="n"/>
      <c r="B1995" s="19" t="n"/>
      <c r="D1995" s="16" t="n"/>
      <c r="E1995" s="19" t="n"/>
      <c r="G1995" s="16" t="n"/>
      <c r="H1995" s="19" t="n"/>
    </row>
    <row r="1996">
      <c r="A1996" s="16" t="n"/>
      <c r="B1996" s="19" t="n"/>
      <c r="D1996" s="16" t="n"/>
      <c r="E1996" s="19" t="n"/>
      <c r="G1996" s="16" t="n"/>
      <c r="H1996" s="19" t="n"/>
    </row>
    <row r="1997">
      <c r="A1997" s="16" t="n"/>
      <c r="B1997" s="19" t="n"/>
      <c r="D1997" s="16" t="n"/>
      <c r="E1997" s="19" t="n"/>
      <c r="G1997" s="16" t="n"/>
      <c r="H1997" s="19" t="n"/>
    </row>
    <row r="1998">
      <c r="A1998" s="16" t="n"/>
      <c r="B1998" s="19" t="n"/>
      <c r="D1998" s="16" t="n"/>
      <c r="E1998" s="19" t="n"/>
      <c r="G1998" s="16" t="n"/>
      <c r="H1998" s="19" t="n"/>
    </row>
    <row r="1999">
      <c r="A1999" s="16" t="n"/>
      <c r="B1999" s="19" t="n"/>
      <c r="D1999" s="16" t="n"/>
      <c r="E1999" s="19" t="n"/>
      <c r="G1999" s="16" t="n"/>
      <c r="H1999" s="19" t="n"/>
    </row>
    <row r="2000">
      <c r="A2000" s="16" t="n"/>
      <c r="B2000" s="19" t="n"/>
      <c r="D2000" s="16" t="n"/>
      <c r="E2000" s="19" t="n"/>
      <c r="G2000" s="16" t="n"/>
      <c r="H2000" s="19" t="n"/>
    </row>
    <row r="2001">
      <c r="A2001" s="16" t="n"/>
      <c r="B2001" s="19" t="n"/>
      <c r="D2001" s="16" t="n"/>
      <c r="E2001" s="19" t="n"/>
      <c r="G2001" s="16" t="n"/>
      <c r="H2001" s="19" t="n"/>
    </row>
    <row r="2002">
      <c r="A2002" s="16" t="n"/>
      <c r="B2002" s="19" t="n"/>
      <c r="D2002" s="16" t="n"/>
      <c r="E2002" s="19" t="n"/>
      <c r="G2002" s="16" t="n"/>
      <c r="H2002" s="19" t="n"/>
    </row>
    <row r="2003">
      <c r="A2003" s="16" t="n"/>
      <c r="B2003" s="19" t="n"/>
      <c r="D2003" s="16" t="n"/>
      <c r="E2003" s="19" t="n"/>
      <c r="G2003" s="16" t="n"/>
      <c r="H2003" s="19" t="n"/>
    </row>
    <row r="2004">
      <c r="A2004" s="16" t="n"/>
      <c r="B2004" s="19" t="n"/>
      <c r="D2004" s="16" t="n"/>
      <c r="E2004" s="19" t="n"/>
      <c r="G2004" s="16" t="n"/>
      <c r="H2004" s="19" t="n"/>
    </row>
    <row r="2005">
      <c r="A2005" s="16" t="n"/>
      <c r="B2005" s="19" t="n"/>
      <c r="D2005" s="16" t="n"/>
      <c r="E2005" s="19" t="n"/>
      <c r="G2005" s="16" t="n"/>
      <c r="H2005" s="19" t="n"/>
    </row>
    <row r="2006">
      <c r="A2006" s="16" t="n"/>
      <c r="B2006" s="19" t="n"/>
      <c r="D2006" s="16" t="n"/>
      <c r="E2006" s="19" t="n"/>
      <c r="G2006" s="16" t="n"/>
      <c r="H2006" s="19" t="n"/>
    </row>
    <row r="2007">
      <c r="A2007" s="16" t="n"/>
      <c r="B2007" s="19" t="n"/>
      <c r="D2007" s="16" t="n"/>
      <c r="E2007" s="19" t="n"/>
      <c r="G2007" s="16" t="n"/>
      <c r="H2007" s="19" t="n"/>
    </row>
    <row r="2008">
      <c r="A2008" s="16" t="n"/>
      <c r="B2008" s="19" t="n"/>
      <c r="D2008" s="16" t="n"/>
      <c r="E2008" s="19" t="n"/>
      <c r="G2008" s="16" t="n"/>
      <c r="H2008" s="19" t="n"/>
    </row>
    <row r="2009">
      <c r="A2009" s="16" t="n"/>
      <c r="B2009" s="19" t="n"/>
      <c r="D2009" s="16" t="n"/>
      <c r="E2009" s="19" t="n"/>
      <c r="G2009" s="16" t="n"/>
      <c r="H2009" s="19" t="n"/>
    </row>
    <row r="2010">
      <c r="A2010" s="16" t="n"/>
      <c r="B2010" s="19" t="n"/>
      <c r="D2010" s="16" t="n"/>
      <c r="E2010" s="19" t="n"/>
      <c r="G2010" s="16" t="n"/>
      <c r="H2010" s="19" t="n"/>
    </row>
    <row r="2011">
      <c r="A2011" s="16" t="n"/>
      <c r="B2011" s="19" t="n"/>
      <c r="D2011" s="16" t="n"/>
      <c r="E2011" s="19" t="n"/>
      <c r="G2011" s="16" t="n"/>
      <c r="H2011" s="19" t="n"/>
    </row>
    <row r="2012">
      <c r="A2012" s="16" t="n"/>
      <c r="B2012" s="19" t="n"/>
      <c r="D2012" s="16" t="n"/>
      <c r="E2012" s="19" t="n"/>
      <c r="G2012" s="16" t="n"/>
      <c r="H2012" s="19" t="n"/>
    </row>
    <row r="2013">
      <c r="A2013" s="16" t="n"/>
      <c r="B2013" s="19" t="n"/>
      <c r="D2013" s="16" t="n"/>
      <c r="E2013" s="19" t="n"/>
      <c r="G2013" s="16" t="n"/>
      <c r="H2013" s="19" t="n"/>
    </row>
    <row r="2014">
      <c r="A2014" s="16" t="n"/>
      <c r="B2014" s="19" t="n"/>
      <c r="D2014" s="16" t="n"/>
      <c r="E2014" s="19" t="n"/>
      <c r="G2014" s="16" t="n"/>
      <c r="H2014" s="19" t="n"/>
    </row>
    <row r="2015">
      <c r="A2015" s="16" t="n"/>
      <c r="B2015" s="19" t="n"/>
      <c r="D2015" s="16" t="n"/>
      <c r="E2015" s="19" t="n"/>
      <c r="G2015" s="16" t="n"/>
      <c r="H2015" s="19" t="n"/>
    </row>
    <row r="2016">
      <c r="A2016" s="16" t="n"/>
      <c r="B2016" s="19" t="n"/>
      <c r="D2016" s="16" t="n"/>
      <c r="E2016" s="19" t="n"/>
      <c r="G2016" s="16" t="n"/>
      <c r="H2016" s="19" t="n"/>
    </row>
    <row r="2017">
      <c r="A2017" s="16" t="n"/>
      <c r="B2017" s="19" t="n"/>
      <c r="D2017" s="16" t="n"/>
      <c r="E2017" s="19" t="n"/>
      <c r="G2017" s="16" t="n"/>
      <c r="H2017" s="19" t="n"/>
    </row>
    <row r="2018">
      <c r="A2018" s="16" t="n"/>
      <c r="B2018" s="19" t="n"/>
      <c r="D2018" s="16" t="n"/>
      <c r="E2018" s="19" t="n"/>
      <c r="G2018" s="16" t="n"/>
      <c r="H2018" s="19" t="n"/>
    </row>
    <row r="2019">
      <c r="A2019" s="16" t="n"/>
      <c r="B2019" s="19" t="n"/>
      <c r="D2019" s="16" t="n"/>
      <c r="E2019" s="19" t="n"/>
      <c r="G2019" s="16" t="n"/>
      <c r="H2019" s="19" t="n"/>
    </row>
    <row r="2020">
      <c r="A2020" s="16" t="n"/>
      <c r="B2020" s="19" t="n"/>
      <c r="D2020" s="16" t="n"/>
      <c r="E2020" s="19" t="n"/>
      <c r="G2020" s="16" t="n"/>
      <c r="H2020" s="19" t="n"/>
    </row>
    <row r="2021">
      <c r="A2021" s="16" t="n"/>
      <c r="B2021" s="19" t="n"/>
      <c r="D2021" s="16" t="n"/>
      <c r="E2021" s="19" t="n"/>
      <c r="G2021" s="16" t="n"/>
      <c r="H2021" s="19" t="n"/>
    </row>
    <row r="2022">
      <c r="A2022" s="16" t="n"/>
      <c r="B2022" s="19" t="n"/>
      <c r="D2022" s="16" t="n"/>
      <c r="E2022" s="19" t="n"/>
      <c r="G2022" s="16" t="n"/>
      <c r="H2022" s="19" t="n"/>
    </row>
    <row r="2023">
      <c r="A2023" s="16" t="n"/>
      <c r="B2023" s="19" t="n"/>
      <c r="D2023" s="16" t="n"/>
      <c r="E2023" s="19" t="n"/>
      <c r="G2023" s="16" t="n"/>
      <c r="H2023" s="19" t="n"/>
    </row>
    <row r="2024">
      <c r="A2024" s="16" t="n"/>
      <c r="B2024" s="19" t="n"/>
      <c r="D2024" s="16" t="n"/>
      <c r="E2024" s="19" t="n"/>
      <c r="G2024" s="16" t="n"/>
      <c r="H2024" s="19" t="n"/>
    </row>
    <row r="2025">
      <c r="A2025" s="16" t="n"/>
      <c r="B2025" s="19" t="n"/>
      <c r="D2025" s="16" t="n"/>
      <c r="E2025" s="19" t="n"/>
      <c r="G2025" s="16" t="n"/>
      <c r="H2025" s="19" t="n"/>
    </row>
    <row r="2026">
      <c r="A2026" s="16" t="n"/>
      <c r="B2026" s="19" t="n"/>
      <c r="D2026" s="16" t="n"/>
      <c r="E2026" s="19" t="n"/>
      <c r="G2026" s="16" t="n"/>
      <c r="H2026" s="19" t="n"/>
    </row>
    <row r="2027">
      <c r="A2027" s="16" t="n"/>
      <c r="B2027" s="19" t="n"/>
      <c r="D2027" s="16" t="n"/>
      <c r="E2027" s="19" t="n"/>
      <c r="G2027" s="16" t="n"/>
      <c r="H2027" s="19" t="n"/>
    </row>
    <row r="2028">
      <c r="A2028" s="16" t="n"/>
      <c r="B2028" s="19" t="n"/>
      <c r="D2028" s="16" t="n"/>
      <c r="E2028" s="19" t="n"/>
      <c r="G2028" s="16" t="n"/>
      <c r="H2028" s="19" t="n"/>
    </row>
    <row r="2029">
      <c r="A2029" s="16" t="n"/>
      <c r="B2029" s="19" t="n"/>
      <c r="D2029" s="16" t="n"/>
      <c r="E2029" s="19" t="n"/>
      <c r="G2029" s="16" t="n"/>
      <c r="H2029" s="19" t="n"/>
    </row>
    <row r="2030">
      <c r="A2030" s="16" t="n"/>
      <c r="B2030" s="19" t="n"/>
      <c r="D2030" s="16" t="n"/>
      <c r="E2030" s="19" t="n"/>
      <c r="G2030" s="16" t="n"/>
      <c r="H2030" s="19" t="n"/>
    </row>
    <row r="2031">
      <c r="A2031" s="16" t="n"/>
      <c r="B2031" s="19" t="n"/>
      <c r="D2031" s="16" t="n"/>
      <c r="E2031" s="19" t="n"/>
      <c r="G2031" s="16" t="n"/>
      <c r="H2031" s="19" t="n"/>
    </row>
    <row r="2032">
      <c r="A2032" s="16" t="n"/>
      <c r="B2032" s="19" t="n"/>
      <c r="D2032" s="16" t="n"/>
      <c r="E2032" s="19" t="n"/>
      <c r="G2032" s="16" t="n"/>
      <c r="H2032" s="19" t="n"/>
    </row>
    <row r="2033">
      <c r="A2033" s="16" t="n"/>
      <c r="B2033" s="19" t="n"/>
      <c r="D2033" s="16" t="n"/>
      <c r="E2033" s="19" t="n"/>
      <c r="G2033" s="16" t="n"/>
      <c r="H2033" s="19" t="n"/>
    </row>
    <row r="2034">
      <c r="A2034" s="16" t="n"/>
      <c r="B2034" s="19" t="n"/>
      <c r="D2034" s="16" t="n"/>
      <c r="E2034" s="19" t="n"/>
      <c r="G2034" s="16" t="n"/>
      <c r="H2034" s="19" t="n"/>
    </row>
    <row r="2035">
      <c r="A2035" s="16" t="n"/>
      <c r="B2035" s="19" t="n"/>
      <c r="D2035" s="16" t="n"/>
      <c r="E2035" s="19" t="n"/>
      <c r="G2035" s="16" t="n"/>
      <c r="H2035" s="19" t="n"/>
    </row>
    <row r="2036">
      <c r="A2036" s="16" t="n"/>
      <c r="B2036" s="19" t="n"/>
      <c r="D2036" s="16" t="n"/>
      <c r="E2036" s="19" t="n"/>
      <c r="G2036" s="16" t="n"/>
      <c r="H2036" s="19" t="n"/>
    </row>
    <row r="2037">
      <c r="A2037" s="16" t="n"/>
      <c r="B2037" s="19" t="n"/>
      <c r="D2037" s="16" t="n"/>
      <c r="E2037" s="19" t="n"/>
      <c r="G2037" s="16" t="n"/>
      <c r="H2037" s="19" t="n"/>
    </row>
    <row r="2038">
      <c r="A2038" s="16" t="n"/>
      <c r="B2038" s="19" t="n"/>
      <c r="D2038" s="16" t="n"/>
      <c r="E2038" s="19" t="n"/>
      <c r="G2038" s="16" t="n"/>
      <c r="H2038" s="19" t="n"/>
    </row>
    <row r="2039">
      <c r="A2039" s="16" t="n"/>
      <c r="B2039" s="19" t="n"/>
      <c r="D2039" s="16" t="n"/>
      <c r="E2039" s="19" t="n"/>
      <c r="G2039" s="16" t="n"/>
      <c r="H2039" s="19" t="n"/>
    </row>
    <row r="2040">
      <c r="A2040" s="16" t="n"/>
      <c r="B2040" s="19" t="n"/>
      <c r="D2040" s="16" t="n"/>
      <c r="E2040" s="19" t="n"/>
      <c r="G2040" s="16" t="n"/>
      <c r="H2040" s="19" t="n"/>
    </row>
    <row r="2041">
      <c r="A2041" s="16" t="n"/>
      <c r="B2041" s="19" t="n"/>
      <c r="D2041" s="16" t="n"/>
      <c r="E2041" s="19" t="n"/>
      <c r="G2041" s="16" t="n"/>
      <c r="H2041" s="19" t="n"/>
    </row>
    <row r="2042">
      <c r="A2042" s="16" t="n"/>
      <c r="B2042" s="19" t="n"/>
      <c r="D2042" s="16" t="n"/>
      <c r="E2042" s="19" t="n"/>
      <c r="G2042" s="16" t="n"/>
      <c r="H2042" s="19" t="n"/>
    </row>
    <row r="2043">
      <c r="A2043" s="16" t="n"/>
      <c r="B2043" s="19" t="n"/>
      <c r="D2043" s="16" t="n"/>
      <c r="E2043" s="19" t="n"/>
      <c r="G2043" s="16" t="n"/>
      <c r="H2043" s="19" t="n"/>
    </row>
    <row r="2044">
      <c r="A2044" s="16" t="n"/>
      <c r="B2044" s="19" t="n"/>
      <c r="D2044" s="16" t="n"/>
      <c r="E2044" s="19" t="n"/>
      <c r="G2044" s="16" t="n"/>
      <c r="H2044" s="19" t="n"/>
    </row>
    <row r="2045">
      <c r="A2045" s="16" t="n"/>
      <c r="B2045" s="19" t="n"/>
      <c r="D2045" s="16" t="n"/>
      <c r="E2045" s="19" t="n"/>
      <c r="G2045" s="16" t="n"/>
      <c r="H2045" s="19" t="n"/>
    </row>
    <row r="2046">
      <c r="A2046" s="16" t="n"/>
      <c r="B2046" s="19" t="n"/>
      <c r="D2046" s="16" t="n"/>
      <c r="E2046" s="19" t="n"/>
      <c r="G2046" s="16" t="n"/>
      <c r="H2046" s="19" t="n"/>
    </row>
    <row r="2047">
      <c r="A2047" s="16" t="n"/>
      <c r="B2047" s="19" t="n"/>
      <c r="D2047" s="16" t="n"/>
      <c r="E2047" s="19" t="n"/>
      <c r="G2047" s="16" t="n"/>
      <c r="H2047" s="19" t="n"/>
    </row>
    <row r="2048">
      <c r="A2048" s="16" t="n"/>
      <c r="B2048" s="19" t="n"/>
      <c r="D2048" s="16" t="n"/>
      <c r="E2048" s="19" t="n"/>
      <c r="G2048" s="16" t="n"/>
      <c r="H2048" s="19" t="n"/>
    </row>
    <row r="2049">
      <c r="A2049" s="16" t="n"/>
      <c r="B2049" s="19" t="n"/>
      <c r="D2049" s="16" t="n"/>
      <c r="E2049" s="19" t="n"/>
      <c r="G2049" s="16" t="n"/>
      <c r="H2049" s="19" t="n"/>
    </row>
    <row r="2050">
      <c r="A2050" s="16" t="n"/>
      <c r="B2050" s="19" t="n"/>
      <c r="D2050" s="16" t="n"/>
      <c r="E2050" s="19" t="n"/>
      <c r="G2050" s="16" t="n"/>
      <c r="H2050" s="19" t="n"/>
    </row>
    <row r="2051">
      <c r="A2051" s="16" t="n"/>
      <c r="B2051" s="19" t="n"/>
      <c r="D2051" s="16" t="n"/>
      <c r="E2051" s="19" t="n"/>
      <c r="G2051" s="16" t="n"/>
      <c r="H2051" s="19" t="n"/>
    </row>
    <row r="2052">
      <c r="A2052" s="16" t="n"/>
      <c r="B2052" s="19" t="n"/>
      <c r="D2052" s="16" t="n"/>
      <c r="E2052" s="19" t="n"/>
      <c r="G2052" s="16" t="n"/>
      <c r="H2052" s="19" t="n"/>
    </row>
    <row r="2053">
      <c r="A2053" s="16" t="n"/>
      <c r="B2053" s="19" t="n"/>
      <c r="D2053" s="16" t="n"/>
      <c r="E2053" s="19" t="n"/>
      <c r="G2053" s="16" t="n"/>
      <c r="H2053" s="19" t="n"/>
    </row>
    <row r="2054">
      <c r="A2054" s="16" t="n"/>
      <c r="B2054" s="19" t="n"/>
      <c r="D2054" s="16" t="n"/>
      <c r="E2054" s="19" t="n"/>
      <c r="G2054" s="16" t="n"/>
      <c r="H2054" s="19" t="n"/>
    </row>
    <row r="2055">
      <c r="A2055" s="16" t="n"/>
      <c r="B2055" s="19" t="n"/>
      <c r="D2055" s="16" t="n"/>
      <c r="E2055" s="19" t="n"/>
      <c r="G2055" s="16" t="n"/>
      <c r="H2055" s="19" t="n"/>
    </row>
    <row r="2056">
      <c r="A2056" s="16" t="n"/>
      <c r="B2056" s="19" t="n"/>
      <c r="D2056" s="16" t="n"/>
      <c r="E2056" s="19" t="n"/>
      <c r="G2056" s="16" t="n"/>
      <c r="H2056" s="19" t="n"/>
    </row>
    <row r="2057">
      <c r="A2057" s="16" t="n"/>
      <c r="B2057" s="19" t="n"/>
      <c r="D2057" s="16" t="n"/>
      <c r="E2057" s="19" t="n"/>
      <c r="G2057" s="16" t="n"/>
      <c r="H2057" s="19" t="n"/>
    </row>
    <row r="2058">
      <c r="A2058" s="16" t="n"/>
      <c r="B2058" s="19" t="n"/>
      <c r="D2058" s="16" t="n"/>
      <c r="E2058" s="19" t="n"/>
      <c r="G2058" s="16" t="n"/>
      <c r="H2058" s="19" t="n"/>
    </row>
    <row r="2059">
      <c r="A2059" s="16" t="n"/>
      <c r="B2059" s="19" t="n"/>
      <c r="D2059" s="16" t="n"/>
      <c r="E2059" s="19" t="n"/>
      <c r="G2059" s="16" t="n"/>
      <c r="H2059" s="19" t="n"/>
    </row>
    <row r="2060">
      <c r="A2060" s="16" t="n"/>
      <c r="B2060" s="19" t="n"/>
      <c r="D2060" s="16" t="n"/>
      <c r="E2060" s="19" t="n"/>
      <c r="G2060" s="16" t="n"/>
      <c r="H2060" s="19" t="n"/>
    </row>
    <row r="2061">
      <c r="A2061" s="16" t="n"/>
      <c r="B2061" s="19" t="n"/>
      <c r="D2061" s="16" t="n"/>
      <c r="E2061" s="19" t="n"/>
      <c r="G2061" s="16" t="n"/>
      <c r="H2061" s="19" t="n"/>
    </row>
    <row r="2062">
      <c r="A2062" s="16" t="n"/>
      <c r="B2062" s="19" t="n"/>
      <c r="D2062" s="16" t="n"/>
      <c r="E2062" s="19" t="n"/>
      <c r="G2062" s="16" t="n"/>
      <c r="H2062" s="19" t="n"/>
    </row>
    <row r="2063">
      <c r="A2063" s="16" t="n"/>
      <c r="B2063" s="19" t="n"/>
      <c r="D2063" s="16" t="n"/>
      <c r="E2063" s="19" t="n"/>
      <c r="G2063" s="16" t="n"/>
      <c r="H2063" s="19" t="n"/>
    </row>
    <row r="2064">
      <c r="A2064" s="16" t="n"/>
      <c r="B2064" s="19" t="n"/>
      <c r="D2064" s="16" t="n"/>
      <c r="E2064" s="19" t="n"/>
      <c r="G2064" s="16" t="n"/>
      <c r="H2064" s="19" t="n"/>
    </row>
    <row r="2065">
      <c r="A2065" s="16" t="n"/>
      <c r="B2065" s="19" t="n"/>
      <c r="D2065" s="16" t="n"/>
      <c r="E2065" s="19" t="n"/>
      <c r="G2065" s="16" t="n"/>
      <c r="H2065" s="19" t="n"/>
    </row>
    <row r="2066">
      <c r="A2066" s="16" t="n"/>
      <c r="B2066" s="19" t="n"/>
      <c r="D2066" s="16" t="n"/>
      <c r="E2066" s="19" t="n"/>
      <c r="G2066" s="16" t="n"/>
      <c r="H2066" s="19" t="n"/>
    </row>
    <row r="2067">
      <c r="A2067" s="16" t="n"/>
      <c r="B2067" s="19" t="n"/>
      <c r="D2067" s="16" t="n"/>
      <c r="E2067" s="19" t="n"/>
      <c r="G2067" s="16" t="n"/>
      <c r="H2067" s="19" t="n"/>
    </row>
    <row r="2068">
      <c r="A2068" s="16" t="n"/>
      <c r="B2068" s="19" t="n"/>
      <c r="D2068" s="16" t="n"/>
      <c r="E2068" s="19" t="n"/>
      <c r="G2068" s="16" t="n"/>
      <c r="H2068" s="19" t="n"/>
    </row>
    <row r="2069">
      <c r="A2069" s="16" t="n"/>
      <c r="B2069" s="19" t="n"/>
      <c r="D2069" s="16" t="n"/>
      <c r="E2069" s="19" t="n"/>
      <c r="G2069" s="16" t="n"/>
      <c r="H2069" s="19" t="n"/>
    </row>
    <row r="2070">
      <c r="A2070" s="16" t="n"/>
      <c r="B2070" s="19" t="n"/>
      <c r="D2070" s="16" t="n"/>
      <c r="E2070" s="19" t="n"/>
      <c r="G2070" s="16" t="n"/>
      <c r="H2070" s="19" t="n"/>
    </row>
    <row r="2071">
      <c r="A2071" s="16" t="n"/>
      <c r="B2071" s="19" t="n"/>
      <c r="D2071" s="16" t="n"/>
      <c r="E2071" s="19" t="n"/>
      <c r="G2071" s="16" t="n"/>
      <c r="H2071" s="19" t="n"/>
    </row>
    <row r="2072">
      <c r="A2072" s="16" t="n"/>
      <c r="B2072" s="19" t="n"/>
      <c r="D2072" s="16" t="n"/>
      <c r="E2072" s="19" t="n"/>
      <c r="G2072" s="16" t="n"/>
      <c r="H2072" s="19" t="n"/>
    </row>
    <row r="2073">
      <c r="A2073" s="16" t="n"/>
      <c r="B2073" s="19" t="n"/>
      <c r="D2073" s="16" t="n"/>
      <c r="E2073" s="19" t="n"/>
      <c r="G2073" s="16" t="n"/>
      <c r="H2073" s="19" t="n"/>
    </row>
    <row r="2074">
      <c r="A2074" s="16" t="n"/>
      <c r="B2074" s="19" t="n"/>
      <c r="D2074" s="16" t="n"/>
      <c r="E2074" s="19" t="n"/>
      <c r="G2074" s="16" t="n"/>
      <c r="H2074" s="19" t="n"/>
    </row>
    <row r="2075">
      <c r="A2075" s="16" t="n"/>
      <c r="B2075" s="19" t="n"/>
      <c r="D2075" s="16" t="n"/>
      <c r="E2075" s="19" t="n"/>
      <c r="G2075" s="16" t="n"/>
      <c r="H2075" s="19" t="n"/>
    </row>
    <row r="2076">
      <c r="A2076" s="16" t="n"/>
      <c r="B2076" s="19" t="n"/>
      <c r="D2076" s="16" t="n"/>
      <c r="E2076" s="19" t="n"/>
      <c r="G2076" s="16" t="n"/>
      <c r="H2076" s="19" t="n"/>
    </row>
    <row r="2077">
      <c r="A2077" s="16" t="n"/>
      <c r="B2077" s="19" t="n"/>
      <c r="D2077" s="16" t="n"/>
      <c r="E2077" s="19" t="n"/>
      <c r="G2077" s="16" t="n"/>
      <c r="H2077" s="19" t="n"/>
    </row>
    <row r="2078">
      <c r="A2078" s="16" t="n"/>
      <c r="B2078" s="19" t="n"/>
      <c r="D2078" s="16" t="n"/>
      <c r="E2078" s="19" t="n"/>
      <c r="G2078" s="16" t="n"/>
      <c r="H2078" s="19" t="n"/>
    </row>
    <row r="2079">
      <c r="A2079" s="16" t="n"/>
      <c r="B2079" s="19" t="n"/>
      <c r="D2079" s="16" t="n"/>
      <c r="E2079" s="19" t="n"/>
      <c r="G2079" s="16" t="n"/>
      <c r="H2079" s="19" t="n"/>
    </row>
    <row r="2080">
      <c r="A2080" s="16" t="n"/>
      <c r="B2080" s="19" t="n"/>
      <c r="D2080" s="16" t="n"/>
      <c r="E2080" s="19" t="n"/>
      <c r="G2080" s="16" t="n"/>
      <c r="H2080" s="19" t="n"/>
    </row>
    <row r="2081">
      <c r="A2081" s="16" t="n"/>
      <c r="B2081" s="19" t="n"/>
      <c r="D2081" s="16" t="n"/>
      <c r="E2081" s="19" t="n"/>
      <c r="G2081" s="16" t="n"/>
      <c r="H2081" s="19" t="n"/>
    </row>
    <row r="2082">
      <c r="A2082" s="16" t="n"/>
      <c r="B2082" s="19" t="n"/>
      <c r="D2082" s="16" t="n"/>
      <c r="E2082" s="19" t="n"/>
      <c r="G2082" s="16" t="n"/>
      <c r="H2082" s="19" t="n"/>
    </row>
    <row r="2083">
      <c r="A2083" s="16" t="n"/>
      <c r="B2083" s="19" t="n"/>
      <c r="D2083" s="16" t="n"/>
      <c r="E2083" s="19" t="n"/>
      <c r="G2083" s="16" t="n"/>
      <c r="H2083" s="19" t="n"/>
    </row>
    <row r="2084">
      <c r="A2084" s="16" t="n"/>
      <c r="B2084" s="19" t="n"/>
      <c r="D2084" s="16" t="n"/>
      <c r="E2084" s="19" t="n"/>
      <c r="G2084" s="16" t="n"/>
      <c r="H2084" s="19" t="n"/>
    </row>
    <row r="2085">
      <c r="A2085" s="16" t="n"/>
      <c r="B2085" s="19" t="n"/>
      <c r="D2085" s="16" t="n"/>
      <c r="E2085" s="19" t="n"/>
      <c r="G2085" s="16" t="n"/>
      <c r="H2085" s="19" t="n"/>
    </row>
    <row r="2086">
      <c r="A2086" s="16" t="n"/>
      <c r="B2086" s="19" t="n"/>
      <c r="D2086" s="16" t="n"/>
      <c r="E2086" s="19" t="n"/>
      <c r="G2086" s="16" t="n"/>
      <c r="H2086" s="19" t="n"/>
    </row>
    <row r="2087">
      <c r="A2087" s="16" t="n"/>
      <c r="B2087" s="19" t="n"/>
      <c r="D2087" s="16" t="n"/>
      <c r="E2087" s="19" t="n"/>
      <c r="G2087" s="16" t="n"/>
      <c r="H2087" s="19" t="n"/>
    </row>
    <row r="2088">
      <c r="A2088" s="16" t="n"/>
      <c r="B2088" s="19" t="n"/>
      <c r="D2088" s="16" t="n"/>
      <c r="E2088" s="19" t="n"/>
      <c r="G2088" s="16" t="n"/>
      <c r="H2088" s="19" t="n"/>
    </row>
    <row r="2089">
      <c r="A2089" s="16" t="n"/>
      <c r="B2089" s="19" t="n"/>
      <c r="D2089" s="16" t="n"/>
      <c r="E2089" s="19" t="n"/>
      <c r="G2089" s="16" t="n"/>
      <c r="H2089" s="19" t="n"/>
    </row>
    <row r="2090">
      <c r="A2090" s="16" t="n"/>
      <c r="B2090" s="19" t="n"/>
      <c r="D2090" s="16" t="n"/>
      <c r="E2090" s="19" t="n"/>
      <c r="G2090" s="16" t="n"/>
      <c r="H2090" s="19" t="n"/>
    </row>
    <row r="2091">
      <c r="A2091" s="16" t="n"/>
      <c r="B2091" s="19" t="n"/>
      <c r="D2091" s="16" t="n"/>
      <c r="E2091" s="19" t="n"/>
      <c r="G2091" s="16" t="n"/>
      <c r="H2091" s="19" t="n"/>
    </row>
    <row r="2092">
      <c r="A2092" s="16" t="n"/>
      <c r="B2092" s="19" t="n"/>
      <c r="D2092" s="16" t="n"/>
      <c r="E2092" s="19" t="n"/>
      <c r="G2092" s="16" t="n"/>
      <c r="H2092" s="19" t="n"/>
    </row>
    <row r="2093">
      <c r="A2093" s="16" t="n"/>
      <c r="B2093" s="19" t="n"/>
      <c r="D2093" s="16" t="n"/>
      <c r="E2093" s="19" t="n"/>
      <c r="G2093" s="16" t="n"/>
      <c r="H2093" s="19" t="n"/>
    </row>
    <row r="2094">
      <c r="A2094" s="16" t="n"/>
      <c r="B2094" s="19" t="n"/>
      <c r="D2094" s="16" t="n"/>
      <c r="E2094" s="19" t="n"/>
      <c r="G2094" s="16" t="n"/>
      <c r="H2094" s="19" t="n"/>
    </row>
    <row r="2095">
      <c r="A2095" s="16" t="n"/>
      <c r="B2095" s="19" t="n"/>
      <c r="D2095" s="16" t="n"/>
      <c r="E2095" s="19" t="n"/>
      <c r="G2095" s="16" t="n"/>
      <c r="H2095" s="19" t="n"/>
    </row>
    <row r="2096">
      <c r="A2096" s="16" t="n"/>
      <c r="B2096" s="19" t="n"/>
      <c r="D2096" s="16" t="n"/>
      <c r="E2096" s="19" t="n"/>
      <c r="G2096" s="16" t="n"/>
      <c r="H2096" s="19" t="n"/>
    </row>
    <row r="2097">
      <c r="A2097" s="16" t="n"/>
      <c r="B2097" s="19" t="n"/>
      <c r="D2097" s="16" t="n"/>
      <c r="E2097" s="19" t="n"/>
      <c r="G2097" s="16" t="n"/>
      <c r="H2097" s="19" t="n"/>
    </row>
    <row r="2098">
      <c r="A2098" s="16" t="n"/>
      <c r="B2098" s="19" t="n"/>
      <c r="D2098" s="16" t="n"/>
      <c r="E2098" s="19" t="n"/>
      <c r="G2098" s="16" t="n"/>
      <c r="H2098" s="19" t="n"/>
    </row>
    <row r="2099">
      <c r="A2099" s="16" t="n"/>
      <c r="B2099" s="19" t="n"/>
      <c r="D2099" s="16" t="n"/>
      <c r="E2099" s="19" t="n"/>
      <c r="G2099" s="16" t="n"/>
      <c r="H2099" s="19" t="n"/>
    </row>
    <row r="2100">
      <c r="A2100" s="16" t="n"/>
      <c r="B2100" s="19" t="n"/>
      <c r="D2100" s="16" t="n"/>
      <c r="E2100" s="19" t="n"/>
      <c r="G2100" s="16" t="n"/>
      <c r="H2100" s="19" t="n"/>
    </row>
    <row r="2101">
      <c r="A2101" s="16" t="n"/>
      <c r="B2101" s="19" t="n"/>
      <c r="D2101" s="16" t="n"/>
      <c r="E2101" s="19" t="n"/>
      <c r="G2101" s="16" t="n"/>
      <c r="H2101" s="19" t="n"/>
    </row>
    <row r="2102">
      <c r="A2102" s="16" t="n"/>
      <c r="B2102" s="19" t="n"/>
      <c r="D2102" s="16" t="n"/>
      <c r="E2102" s="19" t="n"/>
      <c r="G2102" s="16" t="n"/>
      <c r="H2102" s="19" t="n"/>
    </row>
    <row r="2103">
      <c r="A2103" s="16" t="n"/>
      <c r="B2103" s="19" t="n"/>
      <c r="D2103" s="16" t="n"/>
      <c r="E2103" s="19" t="n"/>
      <c r="G2103" s="16" t="n"/>
      <c r="H2103" s="19" t="n"/>
    </row>
    <row r="2104">
      <c r="A2104" s="16" t="n"/>
      <c r="B2104" s="19" t="n"/>
      <c r="D2104" s="16" t="n"/>
      <c r="E2104" s="19" t="n"/>
      <c r="G2104" s="16" t="n"/>
      <c r="H2104" s="19" t="n"/>
    </row>
    <row r="2105">
      <c r="A2105" s="16" t="n"/>
      <c r="B2105" s="19" t="n"/>
      <c r="D2105" s="16" t="n"/>
      <c r="E2105" s="19" t="n"/>
      <c r="G2105" s="16" t="n"/>
      <c r="H2105" s="19" t="n"/>
    </row>
    <row r="2106">
      <c r="A2106" s="16" t="n"/>
      <c r="B2106" s="19" t="n"/>
      <c r="D2106" s="16" t="n"/>
      <c r="E2106" s="19" t="n"/>
      <c r="G2106" s="16" t="n"/>
      <c r="H2106" s="19" t="n"/>
    </row>
    <row r="2107">
      <c r="A2107" s="16" t="n"/>
      <c r="B2107" s="19" t="n"/>
      <c r="D2107" s="16" t="n"/>
      <c r="E2107" s="19" t="n"/>
      <c r="G2107" s="16" t="n"/>
      <c r="H2107" s="19" t="n"/>
    </row>
    <row r="2108">
      <c r="A2108" s="16" t="n"/>
      <c r="B2108" s="19" t="n"/>
      <c r="D2108" s="16" t="n"/>
      <c r="E2108" s="19" t="n"/>
      <c r="G2108" s="16" t="n"/>
      <c r="H2108" s="19" t="n"/>
    </row>
    <row r="2109">
      <c r="A2109" s="16" t="n"/>
      <c r="B2109" s="19" t="n"/>
      <c r="D2109" s="16" t="n"/>
      <c r="E2109" s="19" t="n"/>
      <c r="G2109" s="16" t="n"/>
      <c r="H2109" s="19" t="n"/>
    </row>
    <row r="2110">
      <c r="A2110" s="16" t="n"/>
      <c r="B2110" s="19" t="n"/>
      <c r="D2110" s="16" t="n"/>
      <c r="E2110" s="19" t="n"/>
      <c r="G2110" s="16" t="n"/>
      <c r="H2110" s="19" t="n"/>
    </row>
    <row r="2111">
      <c r="A2111" s="16" t="n"/>
      <c r="B2111" s="19" t="n"/>
      <c r="D2111" s="16" t="n"/>
      <c r="E2111" s="19" t="n"/>
      <c r="G2111" s="16" t="n"/>
      <c r="H2111" s="19" t="n"/>
    </row>
    <row r="2112">
      <c r="A2112" s="16" t="n"/>
      <c r="B2112" s="19" t="n"/>
      <c r="D2112" s="16" t="n"/>
      <c r="E2112" s="19" t="n"/>
      <c r="G2112" s="16" t="n"/>
      <c r="H2112" s="19" t="n"/>
    </row>
    <row r="2113">
      <c r="A2113" s="16" t="n"/>
      <c r="B2113" s="19" t="n"/>
      <c r="D2113" s="16" t="n"/>
      <c r="E2113" s="19" t="n"/>
      <c r="G2113" s="16" t="n"/>
      <c r="H2113" s="19" t="n"/>
    </row>
    <row r="2114">
      <c r="A2114" s="16" t="n"/>
      <c r="B2114" s="19" t="n"/>
      <c r="D2114" s="16" t="n"/>
      <c r="E2114" s="19" t="n"/>
      <c r="G2114" s="16" t="n"/>
      <c r="H2114" s="19" t="n"/>
    </row>
    <row r="2115">
      <c r="A2115" s="16" t="n"/>
      <c r="B2115" s="19" t="n"/>
      <c r="D2115" s="16" t="n"/>
      <c r="E2115" s="19" t="n"/>
      <c r="G2115" s="16" t="n"/>
      <c r="H2115" s="19" t="n"/>
    </row>
    <row r="2116">
      <c r="A2116" s="16" t="n"/>
      <c r="B2116" s="19" t="n"/>
      <c r="D2116" s="16" t="n"/>
      <c r="E2116" s="19" t="n"/>
      <c r="G2116" s="16" t="n"/>
      <c r="H2116" s="19" t="n"/>
    </row>
    <row r="2117">
      <c r="A2117" s="16" t="n"/>
      <c r="B2117" s="19" t="n"/>
      <c r="D2117" s="16" t="n"/>
      <c r="E2117" s="19" t="n"/>
      <c r="G2117" s="16" t="n"/>
      <c r="H2117" s="19" t="n"/>
    </row>
    <row r="2118">
      <c r="A2118" s="16" t="n"/>
      <c r="B2118" s="19" t="n"/>
      <c r="D2118" s="16" t="n"/>
      <c r="E2118" s="19" t="n"/>
      <c r="G2118" s="16" t="n"/>
      <c r="H2118" s="19" t="n"/>
    </row>
    <row r="2119">
      <c r="A2119" s="16" t="n"/>
      <c r="B2119" s="19" t="n"/>
      <c r="D2119" s="16" t="n"/>
      <c r="E2119" s="19" t="n"/>
      <c r="G2119" s="16" t="n"/>
      <c r="H2119" s="19" t="n"/>
    </row>
    <row r="2120">
      <c r="A2120" s="16" t="n"/>
      <c r="B2120" s="19" t="n"/>
      <c r="D2120" s="16" t="n"/>
      <c r="E2120" s="19" t="n"/>
      <c r="G2120" s="16" t="n"/>
      <c r="H2120" s="19" t="n"/>
    </row>
    <row r="2121">
      <c r="A2121" s="16" t="n"/>
      <c r="B2121" s="19" t="n"/>
      <c r="D2121" s="16" t="n"/>
      <c r="E2121" s="19" t="n"/>
      <c r="G2121" s="16" t="n"/>
      <c r="H2121" s="19" t="n"/>
    </row>
    <row r="2122">
      <c r="A2122" s="16" t="n"/>
      <c r="B2122" s="19" t="n"/>
      <c r="D2122" s="16" t="n"/>
      <c r="E2122" s="19" t="n"/>
      <c r="G2122" s="16" t="n"/>
      <c r="H2122" s="19" t="n"/>
    </row>
    <row r="2123">
      <c r="A2123" s="16" t="n"/>
      <c r="B2123" s="19" t="n"/>
      <c r="D2123" s="16" t="n"/>
      <c r="E2123" s="19" t="n"/>
      <c r="G2123" s="16" t="n"/>
      <c r="H2123" s="19" t="n"/>
    </row>
    <row r="2124">
      <c r="A2124" s="16" t="n"/>
      <c r="B2124" s="19" t="n"/>
      <c r="D2124" s="16" t="n"/>
      <c r="E2124" s="19" t="n"/>
      <c r="G2124" s="16" t="n"/>
      <c r="H2124" s="19" t="n"/>
    </row>
    <row r="2125">
      <c r="A2125" s="16" t="n"/>
      <c r="B2125" s="19" t="n"/>
      <c r="D2125" s="16" t="n"/>
      <c r="E2125" s="19" t="n"/>
      <c r="G2125" s="16" t="n"/>
      <c r="H2125" s="19" t="n"/>
    </row>
    <row r="2126">
      <c r="A2126" s="16" t="n"/>
      <c r="B2126" s="19" t="n"/>
      <c r="D2126" s="16" t="n"/>
      <c r="E2126" s="19" t="n"/>
      <c r="G2126" s="16" t="n"/>
      <c r="H2126" s="19" t="n"/>
    </row>
    <row r="2127">
      <c r="A2127" s="16" t="n"/>
      <c r="B2127" s="19" t="n"/>
      <c r="D2127" s="16" t="n"/>
      <c r="E2127" s="19" t="n"/>
      <c r="G2127" s="16" t="n"/>
      <c r="H2127" s="19" t="n"/>
    </row>
    <row r="2128">
      <c r="A2128" s="16" t="n"/>
      <c r="B2128" s="19" t="n"/>
      <c r="D2128" s="16" t="n"/>
      <c r="E2128" s="19" t="n"/>
      <c r="G2128" s="16" t="n"/>
      <c r="H2128" s="19" t="n"/>
    </row>
    <row r="2129">
      <c r="A2129" s="16" t="n"/>
      <c r="B2129" s="19" t="n"/>
      <c r="D2129" s="16" t="n"/>
      <c r="E2129" s="19" t="n"/>
      <c r="G2129" s="16" t="n"/>
      <c r="H2129" s="19" t="n"/>
    </row>
    <row r="2130">
      <c r="A2130" s="16" t="n"/>
      <c r="B2130" s="19" t="n"/>
      <c r="D2130" s="16" t="n"/>
      <c r="E2130" s="19" t="n"/>
      <c r="G2130" s="16" t="n"/>
      <c r="H2130" s="19" t="n"/>
    </row>
    <row r="2131">
      <c r="A2131" s="16" t="n"/>
      <c r="B2131" s="19" t="n"/>
      <c r="D2131" s="16" t="n"/>
      <c r="E2131" s="19" t="n"/>
      <c r="G2131" s="16" t="n"/>
      <c r="H2131" s="19" t="n"/>
    </row>
    <row r="2132">
      <c r="A2132" s="16" t="n"/>
      <c r="B2132" s="19" t="n"/>
      <c r="D2132" s="16" t="n"/>
      <c r="E2132" s="19" t="n"/>
      <c r="G2132" s="16" t="n"/>
      <c r="H2132" s="19" t="n"/>
    </row>
    <row r="2133">
      <c r="A2133" s="16" t="n"/>
      <c r="B2133" s="19" t="n"/>
      <c r="D2133" s="16" t="n"/>
      <c r="E2133" s="19" t="n"/>
      <c r="G2133" s="16" t="n"/>
      <c r="H2133" s="19" t="n"/>
    </row>
    <row r="2134">
      <c r="A2134" s="16" t="n"/>
      <c r="B2134" s="19" t="n"/>
      <c r="D2134" s="16" t="n"/>
      <c r="E2134" s="19" t="n"/>
      <c r="G2134" s="16" t="n"/>
      <c r="H2134" s="19" t="n"/>
    </row>
    <row r="2135">
      <c r="A2135" s="16" t="n"/>
      <c r="B2135" s="19" t="n"/>
      <c r="D2135" s="16" t="n"/>
      <c r="E2135" s="19" t="n"/>
      <c r="G2135" s="16" t="n"/>
      <c r="H2135" s="19" t="n"/>
    </row>
    <row r="2136">
      <c r="A2136" s="16" t="n"/>
      <c r="B2136" s="19" t="n"/>
      <c r="D2136" s="16" t="n"/>
      <c r="E2136" s="19" t="n"/>
      <c r="G2136" s="16" t="n"/>
      <c r="H2136" s="19" t="n"/>
    </row>
    <row r="2137">
      <c r="A2137" s="16" t="n"/>
      <c r="B2137" s="19" t="n"/>
      <c r="D2137" s="16" t="n"/>
      <c r="E2137" s="19" t="n"/>
      <c r="G2137" s="16" t="n"/>
      <c r="H2137" s="19" t="n"/>
    </row>
    <row r="2138">
      <c r="A2138" s="16" t="n"/>
      <c r="B2138" s="19" t="n"/>
      <c r="D2138" s="16" t="n"/>
      <c r="E2138" s="19" t="n"/>
      <c r="G2138" s="16" t="n"/>
      <c r="H2138" s="19" t="n"/>
    </row>
    <row r="2139">
      <c r="A2139" s="16" t="n"/>
      <c r="B2139" s="19" t="n"/>
      <c r="D2139" s="16" t="n"/>
      <c r="E2139" s="19" t="n"/>
      <c r="G2139" s="16" t="n"/>
      <c r="H2139" s="19" t="n"/>
    </row>
    <row r="2140">
      <c r="A2140" s="16" t="n"/>
      <c r="B2140" s="19" t="n"/>
      <c r="D2140" s="16" t="n"/>
      <c r="E2140" s="19" t="n"/>
      <c r="G2140" s="16" t="n"/>
      <c r="H2140" s="19" t="n"/>
    </row>
    <row r="2141">
      <c r="A2141" s="16" t="n"/>
      <c r="B2141" s="19" t="n"/>
      <c r="D2141" s="16" t="n"/>
      <c r="E2141" s="19" t="n"/>
      <c r="G2141" s="16" t="n"/>
      <c r="H2141" s="19" t="n"/>
    </row>
    <row r="2142">
      <c r="A2142" s="16" t="n"/>
      <c r="B2142" s="19" t="n"/>
      <c r="D2142" s="16" t="n"/>
      <c r="E2142" s="19" t="n"/>
      <c r="G2142" s="16" t="n"/>
      <c r="H2142" s="19" t="n"/>
    </row>
    <row r="2143">
      <c r="A2143" s="16" t="n"/>
      <c r="B2143" s="19" t="n"/>
      <c r="D2143" s="16" t="n"/>
      <c r="E2143" s="19" t="n"/>
      <c r="G2143" s="16" t="n"/>
      <c r="H2143" s="19" t="n"/>
    </row>
    <row r="2144">
      <c r="A2144" s="16" t="n"/>
      <c r="B2144" s="19" t="n"/>
      <c r="D2144" s="16" t="n"/>
      <c r="E2144" s="19" t="n"/>
      <c r="G2144" s="16" t="n"/>
      <c r="H2144" s="19" t="n"/>
    </row>
    <row r="2145">
      <c r="A2145" s="16" t="n"/>
      <c r="B2145" s="19" t="n"/>
      <c r="D2145" s="16" t="n"/>
      <c r="E2145" s="19" t="n"/>
      <c r="G2145" s="16" t="n"/>
      <c r="H2145" s="19" t="n"/>
    </row>
    <row r="2146">
      <c r="A2146" s="16" t="n"/>
      <c r="B2146" s="19" t="n"/>
      <c r="D2146" s="16" t="n"/>
      <c r="E2146" s="19" t="n"/>
      <c r="G2146" s="16" t="n"/>
      <c r="H2146" s="19" t="n"/>
    </row>
    <row r="2147">
      <c r="A2147" s="16" t="n"/>
      <c r="B2147" s="19" t="n"/>
      <c r="D2147" s="16" t="n"/>
      <c r="E2147" s="19" t="n"/>
      <c r="G2147" s="16" t="n"/>
      <c r="H2147" s="19" t="n"/>
    </row>
    <row r="2148">
      <c r="A2148" s="16" t="n"/>
      <c r="B2148" s="19" t="n"/>
      <c r="D2148" s="16" t="n"/>
      <c r="E2148" s="19" t="n"/>
      <c r="G2148" s="16" t="n"/>
      <c r="H2148" s="19" t="n"/>
    </row>
    <row r="2149">
      <c r="A2149" s="16" t="n"/>
      <c r="B2149" s="19" t="n"/>
      <c r="D2149" s="16" t="n"/>
      <c r="E2149" s="19" t="n"/>
      <c r="G2149" s="16" t="n"/>
      <c r="H2149" s="19" t="n"/>
    </row>
    <row r="2150">
      <c r="A2150" s="16" t="n"/>
      <c r="B2150" s="19" t="n"/>
      <c r="D2150" s="16" t="n"/>
      <c r="E2150" s="19" t="n"/>
      <c r="G2150" s="16" t="n"/>
      <c r="H2150" s="19" t="n"/>
    </row>
    <row r="2151">
      <c r="A2151" s="16" t="n"/>
      <c r="B2151" s="19" t="n"/>
      <c r="D2151" s="16" t="n"/>
      <c r="E2151" s="19" t="n"/>
      <c r="G2151" s="16" t="n"/>
      <c r="H2151" s="19" t="n"/>
    </row>
    <row r="2152">
      <c r="A2152" s="16" t="n"/>
      <c r="B2152" s="19" t="n"/>
      <c r="D2152" s="16" t="n"/>
      <c r="E2152" s="19" t="n"/>
      <c r="G2152" s="16" t="n"/>
      <c r="H2152" s="19" t="n"/>
    </row>
    <row r="2153">
      <c r="A2153" s="16" t="n"/>
      <c r="B2153" s="19" t="n"/>
      <c r="D2153" s="16" t="n"/>
      <c r="E2153" s="19" t="n"/>
      <c r="G2153" s="16" t="n"/>
      <c r="H2153" s="19" t="n"/>
    </row>
    <row r="2154">
      <c r="A2154" s="16" t="n"/>
      <c r="B2154" s="19" t="n"/>
      <c r="D2154" s="16" t="n"/>
      <c r="E2154" s="19" t="n"/>
      <c r="G2154" s="16" t="n"/>
      <c r="H2154" s="19" t="n"/>
    </row>
    <row r="2155">
      <c r="A2155" s="16" t="n"/>
      <c r="B2155" s="19" t="n"/>
      <c r="D2155" s="16" t="n"/>
      <c r="E2155" s="19" t="n"/>
      <c r="G2155" s="16" t="n"/>
      <c r="H2155" s="19" t="n"/>
    </row>
    <row r="2156">
      <c r="A2156" s="16" t="n"/>
      <c r="B2156" s="19" t="n"/>
      <c r="D2156" s="16" t="n"/>
      <c r="E2156" s="19" t="n"/>
      <c r="G2156" s="16" t="n"/>
      <c r="H2156" s="19" t="n"/>
    </row>
    <row r="2157">
      <c r="A2157" s="16" t="n"/>
      <c r="B2157" s="19" t="n"/>
      <c r="D2157" s="16" t="n"/>
      <c r="E2157" s="19" t="n"/>
      <c r="G2157" s="16" t="n"/>
      <c r="H2157" s="19" t="n"/>
    </row>
    <row r="2158">
      <c r="A2158" s="16" t="n"/>
      <c r="B2158" s="19" t="n"/>
      <c r="D2158" s="16" t="n"/>
      <c r="E2158" s="19" t="n"/>
      <c r="G2158" s="16" t="n"/>
      <c r="H2158" s="19" t="n"/>
    </row>
    <row r="2159">
      <c r="A2159" s="16" t="n"/>
      <c r="B2159" s="19" t="n"/>
      <c r="D2159" s="16" t="n"/>
      <c r="E2159" s="19" t="n"/>
      <c r="G2159" s="16" t="n"/>
      <c r="H2159" s="19" t="n"/>
    </row>
    <row r="2160">
      <c r="A2160" s="16" t="n"/>
      <c r="B2160" s="19" t="n"/>
      <c r="D2160" s="16" t="n"/>
      <c r="E2160" s="19" t="n"/>
      <c r="G2160" s="16" t="n"/>
      <c r="H2160" s="19" t="n"/>
    </row>
    <row r="2161">
      <c r="A2161" s="16" t="n"/>
      <c r="B2161" s="19" t="n"/>
      <c r="D2161" s="16" t="n"/>
      <c r="E2161" s="19" t="n"/>
      <c r="G2161" s="16" t="n"/>
      <c r="H2161" s="19" t="n"/>
    </row>
    <row r="2162">
      <c r="A2162" s="16" t="n"/>
      <c r="B2162" s="19" t="n"/>
      <c r="D2162" s="16" t="n"/>
      <c r="E2162" s="19" t="n"/>
      <c r="G2162" s="16" t="n"/>
      <c r="H2162" s="19" t="n"/>
    </row>
    <row r="2163">
      <c r="A2163" s="16" t="n"/>
      <c r="B2163" s="19" t="n"/>
      <c r="D2163" s="16" t="n"/>
      <c r="E2163" s="19" t="n"/>
      <c r="G2163" s="16" t="n"/>
      <c r="H2163" s="19" t="n"/>
    </row>
    <row r="2164">
      <c r="A2164" s="16" t="n"/>
      <c r="B2164" s="19" t="n"/>
      <c r="D2164" s="16" t="n"/>
      <c r="E2164" s="19" t="n"/>
      <c r="G2164" s="16" t="n"/>
      <c r="H2164" s="19" t="n"/>
    </row>
    <row r="2165">
      <c r="A2165" s="16" t="n"/>
      <c r="B2165" s="19" t="n"/>
      <c r="D2165" s="16" t="n"/>
      <c r="E2165" s="19" t="n"/>
      <c r="G2165" s="16" t="n"/>
      <c r="H2165" s="19" t="n"/>
    </row>
    <row r="2166">
      <c r="A2166" s="16" t="n"/>
      <c r="B2166" s="19" t="n"/>
      <c r="D2166" s="16" t="n"/>
      <c r="E2166" s="19" t="n"/>
      <c r="G2166" s="16" t="n"/>
      <c r="H2166" s="19" t="n"/>
    </row>
    <row r="2167">
      <c r="A2167" s="16" t="n"/>
      <c r="B2167" s="19" t="n"/>
      <c r="D2167" s="16" t="n"/>
      <c r="E2167" s="19" t="n"/>
      <c r="G2167" s="16" t="n"/>
      <c r="H2167" s="19" t="n"/>
    </row>
    <row r="2168">
      <c r="A2168" s="16" t="n"/>
      <c r="B2168" s="19" t="n"/>
      <c r="D2168" s="16" t="n"/>
      <c r="E2168" s="19" t="n"/>
      <c r="G2168" s="16" t="n"/>
      <c r="H2168" s="19" t="n"/>
    </row>
    <row r="2169">
      <c r="A2169" s="16" t="n"/>
      <c r="B2169" s="19" t="n"/>
      <c r="D2169" s="16" t="n"/>
      <c r="E2169" s="19" t="n"/>
      <c r="G2169" s="16" t="n"/>
      <c r="H2169" s="19" t="n"/>
    </row>
    <row r="2170">
      <c r="A2170" s="16" t="n"/>
      <c r="B2170" s="19" t="n"/>
      <c r="D2170" s="16" t="n"/>
      <c r="E2170" s="19" t="n"/>
      <c r="G2170" s="16" t="n"/>
      <c r="H2170" s="19" t="n"/>
    </row>
    <row r="2171">
      <c r="A2171" s="16" t="n"/>
      <c r="B2171" s="19" t="n"/>
      <c r="D2171" s="16" t="n"/>
      <c r="E2171" s="19" t="n"/>
      <c r="G2171" s="16" t="n"/>
      <c r="H2171" s="19" t="n"/>
    </row>
    <row r="2172">
      <c r="A2172" s="16" t="n"/>
      <c r="B2172" s="19" t="n"/>
      <c r="D2172" s="16" t="n"/>
      <c r="E2172" s="19" t="n"/>
      <c r="G2172" s="16" t="n"/>
      <c r="H2172" s="19" t="n"/>
    </row>
    <row r="2173">
      <c r="A2173" s="16" t="n"/>
      <c r="B2173" s="19" t="n"/>
      <c r="D2173" s="16" t="n"/>
      <c r="E2173" s="19" t="n"/>
      <c r="G2173" s="16" t="n"/>
      <c r="H2173" s="19" t="n"/>
    </row>
    <row r="2174">
      <c r="A2174" s="16" t="n"/>
      <c r="B2174" s="19" t="n"/>
      <c r="D2174" s="16" t="n"/>
      <c r="E2174" s="19" t="n"/>
      <c r="G2174" s="16" t="n"/>
      <c r="H2174" s="19" t="n"/>
    </row>
    <row r="2175">
      <c r="A2175" s="16" t="n"/>
      <c r="B2175" s="19" t="n"/>
      <c r="D2175" s="16" t="n"/>
      <c r="E2175" s="19" t="n"/>
      <c r="G2175" s="16" t="n"/>
      <c r="H2175" s="19" t="n"/>
    </row>
    <row r="2176">
      <c r="A2176" s="16" t="n"/>
      <c r="B2176" s="19" t="n"/>
      <c r="D2176" s="16" t="n"/>
      <c r="E2176" s="19" t="n"/>
      <c r="G2176" s="16" t="n"/>
      <c r="H2176" s="19" t="n"/>
    </row>
    <row r="2177">
      <c r="A2177" s="16" t="n"/>
      <c r="B2177" s="19" t="n"/>
      <c r="D2177" s="16" t="n"/>
      <c r="E2177" s="19" t="n"/>
      <c r="G2177" s="16" t="n"/>
      <c r="H2177" s="19" t="n"/>
    </row>
    <row r="2178">
      <c r="A2178" s="16" t="n"/>
      <c r="B2178" s="19" t="n"/>
      <c r="D2178" s="16" t="n"/>
      <c r="E2178" s="19" t="n"/>
      <c r="G2178" s="16" t="n"/>
      <c r="H2178" s="19" t="n"/>
    </row>
    <row r="2179">
      <c r="A2179" s="16" t="n"/>
      <c r="B2179" s="19" t="n"/>
      <c r="D2179" s="16" t="n"/>
      <c r="E2179" s="19" t="n"/>
      <c r="G2179" s="16" t="n"/>
      <c r="H2179" s="19" t="n"/>
    </row>
    <row r="2180">
      <c r="A2180" s="16" t="n"/>
      <c r="B2180" s="19" t="n"/>
      <c r="D2180" s="16" t="n"/>
      <c r="E2180" s="19" t="n"/>
      <c r="G2180" s="16" t="n"/>
      <c r="H2180" s="19" t="n"/>
    </row>
    <row r="2181">
      <c r="A2181" s="16" t="n"/>
      <c r="B2181" s="19" t="n"/>
      <c r="D2181" s="16" t="n"/>
      <c r="E2181" s="19" t="n"/>
      <c r="G2181" s="16" t="n"/>
      <c r="H2181" s="19" t="n"/>
    </row>
    <row r="2182">
      <c r="A2182" s="16" t="n"/>
      <c r="B2182" s="19" t="n"/>
      <c r="D2182" s="16" t="n"/>
      <c r="E2182" s="19" t="n"/>
      <c r="G2182" s="16" t="n"/>
      <c r="H2182" s="19" t="n"/>
    </row>
    <row r="2183">
      <c r="A2183" s="16" t="n"/>
      <c r="B2183" s="19" t="n"/>
      <c r="D2183" s="16" t="n"/>
      <c r="E2183" s="19" t="n"/>
      <c r="G2183" s="16" t="n"/>
      <c r="H2183" s="19" t="n"/>
    </row>
    <row r="2184">
      <c r="A2184" s="16" t="n"/>
      <c r="B2184" s="19" t="n"/>
      <c r="D2184" s="16" t="n"/>
      <c r="E2184" s="19" t="n"/>
      <c r="G2184" s="16" t="n"/>
      <c r="H2184" s="19" t="n"/>
    </row>
    <row r="2185">
      <c r="A2185" s="16" t="n"/>
      <c r="B2185" s="19" t="n"/>
      <c r="D2185" s="16" t="n"/>
      <c r="E2185" s="19" t="n"/>
      <c r="G2185" s="16" t="n"/>
      <c r="H2185" s="19" t="n"/>
    </row>
    <row r="2186">
      <c r="A2186" s="16" t="n"/>
      <c r="B2186" s="19" t="n"/>
      <c r="D2186" s="16" t="n"/>
      <c r="E2186" s="19" t="n"/>
      <c r="G2186" s="16" t="n"/>
      <c r="H2186" s="19" t="n"/>
    </row>
    <row r="2187">
      <c r="A2187" s="16" t="n"/>
      <c r="B2187" s="19" t="n"/>
      <c r="D2187" s="16" t="n"/>
      <c r="E2187" s="19" t="n"/>
      <c r="G2187" s="16" t="n"/>
      <c r="H2187" s="19" t="n"/>
    </row>
    <row r="2188">
      <c r="A2188" s="16" t="n"/>
      <c r="B2188" s="19" t="n"/>
      <c r="D2188" s="16" t="n"/>
      <c r="E2188" s="19" t="n"/>
      <c r="G2188" s="16" t="n"/>
      <c r="H2188" s="19" t="n"/>
    </row>
    <row r="2189">
      <c r="A2189" s="16" t="n"/>
      <c r="B2189" s="19" t="n"/>
      <c r="D2189" s="16" t="n"/>
      <c r="E2189" s="19" t="n"/>
      <c r="G2189" s="16" t="n"/>
      <c r="H2189" s="19" t="n"/>
    </row>
    <row r="2190">
      <c r="A2190" s="16" t="n"/>
      <c r="B2190" s="19" t="n"/>
      <c r="D2190" s="16" t="n"/>
      <c r="E2190" s="19" t="n"/>
      <c r="G2190" s="16" t="n"/>
      <c r="H2190" s="19" t="n"/>
    </row>
    <row r="2191">
      <c r="A2191" s="16" t="n"/>
      <c r="B2191" s="19" t="n"/>
      <c r="D2191" s="16" t="n"/>
      <c r="E2191" s="19" t="n"/>
      <c r="G2191" s="16" t="n"/>
      <c r="H2191" s="19" t="n"/>
    </row>
    <row r="2192">
      <c r="A2192" s="16" t="n"/>
      <c r="B2192" s="19" t="n"/>
      <c r="D2192" s="16" t="n"/>
      <c r="E2192" s="19" t="n"/>
      <c r="G2192" s="16" t="n"/>
      <c r="H2192" s="19" t="n"/>
    </row>
    <row r="2193">
      <c r="A2193" s="16" t="n"/>
      <c r="B2193" s="19" t="n"/>
      <c r="D2193" s="16" t="n"/>
      <c r="E2193" s="19" t="n"/>
      <c r="G2193" s="16" t="n"/>
      <c r="H2193" s="19" t="n"/>
    </row>
    <row r="2194">
      <c r="A2194" s="16" t="n"/>
      <c r="B2194" s="19" t="n"/>
      <c r="D2194" s="16" t="n"/>
      <c r="E2194" s="19" t="n"/>
      <c r="G2194" s="16" t="n"/>
      <c r="H2194" s="19" t="n"/>
    </row>
    <row r="2195">
      <c r="A2195" s="16" t="n"/>
      <c r="B2195" s="19" t="n"/>
      <c r="D2195" s="16" t="n"/>
      <c r="E2195" s="19" t="n"/>
      <c r="G2195" s="16" t="n"/>
      <c r="H2195" s="19" t="n"/>
    </row>
    <row r="2196">
      <c r="A2196" s="16" t="n"/>
      <c r="B2196" s="19" t="n"/>
      <c r="D2196" s="16" t="n"/>
      <c r="E2196" s="19" t="n"/>
      <c r="G2196" s="16" t="n"/>
      <c r="H2196" s="19" t="n"/>
    </row>
    <row r="2197">
      <c r="A2197" s="16" t="n"/>
      <c r="B2197" s="19" t="n"/>
      <c r="D2197" s="16" t="n"/>
      <c r="E2197" s="19" t="n"/>
      <c r="G2197" s="16" t="n"/>
      <c r="H2197" s="19" t="n"/>
    </row>
    <row r="2198">
      <c r="A2198" s="16" t="n"/>
      <c r="B2198" s="19" t="n"/>
      <c r="D2198" s="16" t="n"/>
      <c r="E2198" s="19" t="n"/>
      <c r="G2198" s="16" t="n"/>
      <c r="H2198" s="19" t="n"/>
    </row>
    <row r="2199">
      <c r="A2199" s="16" t="n"/>
      <c r="B2199" s="19" t="n"/>
      <c r="D2199" s="16" t="n"/>
      <c r="E2199" s="19" t="n"/>
      <c r="G2199" s="16" t="n"/>
      <c r="H2199" s="19" t="n"/>
    </row>
    <row r="2200">
      <c r="A2200" s="16" t="n"/>
      <c r="B2200" s="19" t="n"/>
      <c r="D2200" s="16" t="n"/>
      <c r="E2200" s="19" t="n"/>
      <c r="G2200" s="16" t="n"/>
      <c r="H2200" s="19" t="n"/>
    </row>
    <row r="2201">
      <c r="A2201" s="16" t="n"/>
      <c r="B2201" s="19" t="n"/>
      <c r="D2201" s="16" t="n"/>
      <c r="E2201" s="19" t="n"/>
      <c r="G2201" s="16" t="n"/>
      <c r="H2201" s="19" t="n"/>
    </row>
    <row r="2202">
      <c r="A2202" s="16" t="n"/>
      <c r="B2202" s="19" t="n"/>
      <c r="D2202" s="16" t="n"/>
      <c r="E2202" s="19" t="n"/>
      <c r="G2202" s="16" t="n"/>
      <c r="H2202" s="19" t="n"/>
    </row>
    <row r="2203">
      <c r="A2203" s="16" t="n"/>
      <c r="B2203" s="19" t="n"/>
      <c r="D2203" s="16" t="n"/>
      <c r="E2203" s="19" t="n"/>
      <c r="G2203" s="16" t="n"/>
      <c r="H2203" s="19" t="n"/>
    </row>
    <row r="2204">
      <c r="A2204" s="16" t="n"/>
      <c r="B2204" s="19" t="n"/>
      <c r="D2204" s="16" t="n"/>
      <c r="E2204" s="19" t="n"/>
      <c r="G2204" s="16" t="n"/>
      <c r="H2204" s="19" t="n"/>
    </row>
    <row r="2205">
      <c r="A2205" s="16" t="n"/>
      <c r="B2205" s="19" t="n"/>
      <c r="D2205" s="16" t="n"/>
      <c r="E2205" s="19" t="n"/>
      <c r="G2205" s="16" t="n"/>
      <c r="H2205" s="19" t="n"/>
    </row>
    <row r="2206">
      <c r="A2206" s="16" t="n"/>
      <c r="B2206" s="19" t="n"/>
      <c r="D2206" s="16" t="n"/>
      <c r="E2206" s="19" t="n"/>
      <c r="G2206" s="16" t="n"/>
      <c r="H2206" s="19" t="n"/>
    </row>
    <row r="2207">
      <c r="A2207" s="16" t="n"/>
      <c r="B2207" s="19" t="n"/>
      <c r="D2207" s="16" t="n"/>
      <c r="E2207" s="19" t="n"/>
      <c r="G2207" s="16" t="n"/>
      <c r="H2207" s="19" t="n"/>
    </row>
    <row r="2208">
      <c r="A2208" s="16" t="n"/>
      <c r="B2208" s="19" t="n"/>
      <c r="D2208" s="16" t="n"/>
      <c r="E2208" s="19" t="n"/>
      <c r="G2208" s="16" t="n"/>
      <c r="H2208" s="19" t="n"/>
    </row>
    <row r="2209">
      <c r="A2209" s="16" t="n"/>
      <c r="B2209" s="19" t="n"/>
      <c r="D2209" s="16" t="n"/>
      <c r="E2209" s="19" t="n"/>
      <c r="G2209" s="16" t="n"/>
      <c r="H2209" s="19" t="n"/>
    </row>
    <row r="2210">
      <c r="A2210" s="16" t="n"/>
      <c r="B2210" s="19" t="n"/>
      <c r="D2210" s="16" t="n"/>
      <c r="E2210" s="19" t="n"/>
      <c r="G2210" s="16" t="n"/>
      <c r="H2210" s="19" t="n"/>
    </row>
    <row r="2211">
      <c r="A2211" s="16" t="n"/>
      <c r="B2211" s="19" t="n"/>
      <c r="D2211" s="16" t="n"/>
      <c r="E2211" s="19" t="n"/>
      <c r="G2211" s="16" t="n"/>
      <c r="H2211" s="19" t="n"/>
    </row>
    <row r="2212">
      <c r="A2212" s="16" t="n"/>
      <c r="B2212" s="19" t="n"/>
      <c r="D2212" s="16" t="n"/>
      <c r="E2212" s="19" t="n"/>
      <c r="G2212" s="16" t="n"/>
      <c r="H2212" s="19" t="n"/>
    </row>
    <row r="2213">
      <c r="A2213" s="16" t="n"/>
      <c r="B2213" s="19" t="n"/>
      <c r="D2213" s="16" t="n"/>
      <c r="E2213" s="19" t="n"/>
      <c r="G2213" s="16" t="n"/>
      <c r="H2213" s="19" t="n"/>
    </row>
    <row r="2214">
      <c r="A2214" s="16" t="n"/>
      <c r="B2214" s="19" t="n"/>
      <c r="D2214" s="16" t="n"/>
      <c r="E2214" s="19" t="n"/>
      <c r="G2214" s="16" t="n"/>
      <c r="H2214" s="19" t="n"/>
    </row>
    <row r="2215">
      <c r="A2215" s="16" t="n"/>
      <c r="B2215" s="19" t="n"/>
      <c r="D2215" s="16" t="n"/>
      <c r="E2215" s="19" t="n"/>
      <c r="G2215" s="16" t="n"/>
      <c r="H2215" s="19" t="n"/>
    </row>
    <row r="2216">
      <c r="A2216" s="16" t="n"/>
      <c r="B2216" s="19" t="n"/>
      <c r="D2216" s="16" t="n"/>
      <c r="E2216" s="19" t="n"/>
      <c r="G2216" s="16" t="n"/>
      <c r="H2216" s="19" t="n"/>
    </row>
    <row r="2217">
      <c r="A2217" s="16" t="n"/>
      <c r="B2217" s="19" t="n"/>
      <c r="D2217" s="16" t="n"/>
      <c r="E2217" s="19" t="n"/>
      <c r="G2217" s="16" t="n"/>
      <c r="H2217" s="19" t="n"/>
    </row>
    <row r="2218">
      <c r="A2218" s="16" t="n"/>
      <c r="B2218" s="19" t="n"/>
      <c r="D2218" s="16" t="n"/>
      <c r="E2218" s="19" t="n"/>
      <c r="G2218" s="16" t="n"/>
      <c r="H2218" s="19" t="n"/>
    </row>
    <row r="2219">
      <c r="A2219" s="16" t="n"/>
      <c r="B2219" s="19" t="n"/>
      <c r="D2219" s="16" t="n"/>
      <c r="E2219" s="19" t="n"/>
      <c r="G2219" s="16" t="n"/>
      <c r="H2219" s="19" t="n"/>
    </row>
    <row r="2220">
      <c r="A2220" s="16" t="n"/>
      <c r="B2220" s="19" t="n"/>
      <c r="D2220" s="16" t="n"/>
      <c r="E2220" s="19" t="n"/>
      <c r="G2220" s="16" t="n"/>
      <c r="H2220" s="19" t="n"/>
    </row>
    <row r="2221">
      <c r="A2221" s="16" t="n"/>
      <c r="B2221" s="19" t="n"/>
      <c r="D2221" s="16" t="n"/>
      <c r="E2221" s="19" t="n"/>
      <c r="G2221" s="16" t="n"/>
      <c r="H2221" s="19" t="n"/>
    </row>
    <row r="2222">
      <c r="A2222" s="16" t="n"/>
      <c r="B2222" s="19" t="n"/>
      <c r="D2222" s="16" t="n"/>
      <c r="E2222" s="19" t="n"/>
      <c r="G2222" s="16" t="n"/>
      <c r="H2222" s="19" t="n"/>
    </row>
    <row r="2223">
      <c r="A2223" s="16" t="n"/>
      <c r="B2223" s="19" t="n"/>
      <c r="D2223" s="16" t="n"/>
      <c r="E2223" s="19" t="n"/>
      <c r="G2223" s="16" t="n"/>
      <c r="H2223" s="19" t="n"/>
    </row>
    <row r="2224">
      <c r="A2224" s="16" t="n"/>
      <c r="B2224" s="19" t="n"/>
      <c r="D2224" s="16" t="n"/>
      <c r="E2224" s="19" t="n"/>
      <c r="G2224" s="16" t="n"/>
      <c r="H2224" s="19" t="n"/>
    </row>
    <row r="2225">
      <c r="A2225" s="16" t="n"/>
      <c r="B2225" s="19" t="n"/>
      <c r="D2225" s="16" t="n"/>
      <c r="E2225" s="19" t="n"/>
      <c r="G2225" s="16" t="n"/>
      <c r="H2225" s="19" t="n"/>
    </row>
    <row r="2226">
      <c r="A2226" s="16" t="n"/>
      <c r="B2226" s="19" t="n"/>
      <c r="D2226" s="16" t="n"/>
      <c r="E2226" s="19" t="n"/>
      <c r="G2226" s="16" t="n"/>
      <c r="H2226" s="19" t="n"/>
    </row>
    <row r="2227">
      <c r="A2227" s="16" t="n"/>
      <c r="B2227" s="19" t="n"/>
      <c r="D2227" s="16" t="n"/>
      <c r="E2227" s="19" t="n"/>
      <c r="G2227" s="16" t="n"/>
      <c r="H2227" s="19" t="n"/>
    </row>
    <row r="2228">
      <c r="A2228" s="16" t="n"/>
      <c r="B2228" s="19" t="n"/>
      <c r="D2228" s="16" t="n"/>
      <c r="E2228" s="19" t="n"/>
      <c r="G2228" s="16" t="n"/>
      <c r="H2228" s="19" t="n"/>
    </row>
    <row r="2229">
      <c r="A2229" s="16" t="n"/>
      <c r="B2229" s="19" t="n"/>
      <c r="D2229" s="16" t="n"/>
      <c r="E2229" s="19" t="n"/>
      <c r="G2229" s="16" t="n"/>
      <c r="H2229" s="19" t="n"/>
    </row>
    <row r="2230">
      <c r="A2230" s="16" t="n"/>
      <c r="B2230" s="19" t="n"/>
      <c r="D2230" s="16" t="n"/>
      <c r="E2230" s="19" t="n"/>
      <c r="G2230" s="16" t="n"/>
      <c r="H2230" s="19" t="n"/>
    </row>
    <row r="2231">
      <c r="A2231" s="16" t="n"/>
      <c r="B2231" s="19" t="n"/>
      <c r="D2231" s="16" t="n"/>
      <c r="E2231" s="19" t="n"/>
      <c r="G2231" s="16" t="n"/>
      <c r="H2231" s="19" t="n"/>
    </row>
    <row r="2232">
      <c r="A2232" s="16" t="n"/>
      <c r="B2232" s="19" t="n"/>
      <c r="D2232" s="16" t="n"/>
      <c r="E2232" s="19" t="n"/>
      <c r="G2232" s="16" t="n"/>
      <c r="H2232" s="19" t="n"/>
    </row>
    <row r="2233">
      <c r="A2233" s="16" t="n"/>
      <c r="B2233" s="19" t="n"/>
      <c r="D2233" s="16" t="n"/>
      <c r="E2233" s="19" t="n"/>
      <c r="G2233" s="16" t="n"/>
      <c r="H2233" s="19" t="n"/>
    </row>
    <row r="2234">
      <c r="A2234" s="16" t="n"/>
      <c r="B2234" s="19" t="n"/>
      <c r="D2234" s="16" t="n"/>
      <c r="E2234" s="19" t="n"/>
      <c r="G2234" s="16" t="n"/>
      <c r="H2234" s="19" t="n"/>
    </row>
    <row r="2235">
      <c r="A2235" s="16" t="n"/>
      <c r="B2235" s="19" t="n"/>
      <c r="D2235" s="16" t="n"/>
      <c r="E2235" s="19" t="n"/>
      <c r="G2235" s="16" t="n"/>
      <c r="H2235" s="19" t="n"/>
    </row>
    <row r="2236">
      <c r="A2236" s="16" t="n"/>
      <c r="B2236" s="19" t="n"/>
      <c r="D2236" s="16" t="n"/>
      <c r="E2236" s="19" t="n"/>
      <c r="G2236" s="16" t="n"/>
      <c r="H2236" s="19" t="n"/>
    </row>
    <row r="2237">
      <c r="A2237" s="16" t="n"/>
      <c r="B2237" s="19" t="n"/>
      <c r="D2237" s="16" t="n"/>
      <c r="E2237" s="19" t="n"/>
      <c r="G2237" s="16" t="n"/>
      <c r="H2237" s="19" t="n"/>
    </row>
    <row r="2238">
      <c r="A2238" s="16" t="n"/>
      <c r="B2238" s="19" t="n"/>
      <c r="D2238" s="16" t="n"/>
      <c r="E2238" s="19" t="n"/>
      <c r="G2238" s="16" t="n"/>
      <c r="H2238" s="19" t="n"/>
    </row>
    <row r="2239">
      <c r="A2239" s="16" t="n"/>
      <c r="B2239" s="19" t="n"/>
      <c r="D2239" s="16" t="n"/>
      <c r="E2239" s="19" t="n"/>
      <c r="G2239" s="16" t="n"/>
      <c r="H2239" s="19" t="n"/>
    </row>
    <row r="2240">
      <c r="A2240" s="16" t="n"/>
      <c r="B2240" s="19" t="n"/>
      <c r="D2240" s="16" t="n"/>
      <c r="E2240" s="19" t="n"/>
      <c r="G2240" s="16" t="n"/>
      <c r="H2240" s="19" t="n"/>
    </row>
    <row r="2241">
      <c r="A2241" s="16" t="n"/>
      <c r="B2241" s="19" t="n"/>
      <c r="D2241" s="16" t="n"/>
      <c r="E2241" s="19" t="n"/>
      <c r="G2241" s="16" t="n"/>
      <c r="H2241" s="19" t="n"/>
    </row>
    <row r="2242">
      <c r="A2242" s="16" t="n"/>
      <c r="B2242" s="19" t="n"/>
      <c r="D2242" s="16" t="n"/>
      <c r="E2242" s="19" t="n"/>
      <c r="G2242" s="16" t="n"/>
      <c r="H2242" s="19" t="n"/>
    </row>
    <row r="2243">
      <c r="A2243" s="16" t="n"/>
      <c r="B2243" s="19" t="n"/>
      <c r="D2243" s="16" t="n"/>
      <c r="E2243" s="19" t="n"/>
      <c r="G2243" s="16" t="n"/>
      <c r="H2243" s="19" t="n"/>
    </row>
    <row r="2244">
      <c r="A2244" s="16" t="n"/>
      <c r="B2244" s="19" t="n"/>
      <c r="D2244" s="16" t="n"/>
      <c r="E2244" s="19" t="n"/>
      <c r="G2244" s="16" t="n"/>
      <c r="H2244" s="19" t="n"/>
    </row>
    <row r="2245">
      <c r="A2245" s="16" t="n"/>
      <c r="B2245" s="19" t="n"/>
      <c r="D2245" s="16" t="n"/>
      <c r="E2245" s="19" t="n"/>
      <c r="G2245" s="16" t="n"/>
      <c r="H2245" s="19" t="n"/>
    </row>
    <row r="2246">
      <c r="A2246" s="16" t="n"/>
      <c r="B2246" s="19" t="n"/>
      <c r="D2246" s="16" t="n"/>
      <c r="E2246" s="19" t="n"/>
      <c r="G2246" s="16" t="n"/>
      <c r="H2246" s="19" t="n"/>
    </row>
    <row r="2247">
      <c r="A2247" s="16" t="n"/>
      <c r="B2247" s="19" t="n"/>
      <c r="D2247" s="16" t="n"/>
      <c r="E2247" s="19" t="n"/>
      <c r="G2247" s="16" t="n"/>
      <c r="H2247" s="19" t="n"/>
    </row>
    <row r="2248">
      <c r="A2248" s="16" t="n"/>
      <c r="B2248" s="19" t="n"/>
      <c r="D2248" s="16" t="n"/>
      <c r="E2248" s="19" t="n"/>
      <c r="G2248" s="16" t="n"/>
      <c r="H2248" s="19" t="n"/>
    </row>
    <row r="2249">
      <c r="A2249" s="16" t="n"/>
      <c r="B2249" s="19" t="n"/>
      <c r="D2249" s="16" t="n"/>
      <c r="E2249" s="19" t="n"/>
      <c r="G2249" s="16" t="n"/>
      <c r="H2249" s="19" t="n"/>
    </row>
    <row r="2250">
      <c r="A2250" s="16" t="n"/>
      <c r="B2250" s="19" t="n"/>
      <c r="D2250" s="16" t="n"/>
      <c r="E2250" s="19" t="n"/>
      <c r="G2250" s="16" t="n"/>
      <c r="H2250" s="19" t="n"/>
    </row>
    <row r="2251">
      <c r="A2251" s="16" t="n"/>
      <c r="B2251" s="19" t="n"/>
      <c r="D2251" s="16" t="n"/>
      <c r="E2251" s="19" t="n"/>
      <c r="G2251" s="16" t="n"/>
      <c r="H2251" s="19" t="n"/>
    </row>
    <row r="2252">
      <c r="A2252" s="16" t="n"/>
      <c r="B2252" s="19" t="n"/>
      <c r="D2252" s="16" t="n"/>
      <c r="E2252" s="19" t="n"/>
      <c r="G2252" s="16" t="n"/>
      <c r="H2252" s="19" t="n"/>
    </row>
    <row r="2253">
      <c r="A2253" s="16" t="n"/>
      <c r="B2253" s="19" t="n"/>
      <c r="D2253" s="16" t="n"/>
      <c r="E2253" s="19" t="n"/>
      <c r="G2253" s="16" t="n"/>
      <c r="H2253" s="19" t="n"/>
    </row>
    <row r="2254">
      <c r="A2254" s="16" t="n"/>
      <c r="B2254" s="19" t="n"/>
      <c r="D2254" s="16" t="n"/>
      <c r="E2254" s="19" t="n"/>
      <c r="G2254" s="16" t="n"/>
      <c r="H2254" s="19" t="n"/>
    </row>
    <row r="2255">
      <c r="A2255" s="16" t="n"/>
      <c r="B2255" s="19" t="n"/>
      <c r="D2255" s="16" t="n"/>
      <c r="E2255" s="19" t="n"/>
      <c r="G2255" s="16" t="n"/>
      <c r="H2255" s="19" t="n"/>
    </row>
    <row r="2256">
      <c r="A2256" s="16" t="n"/>
      <c r="B2256" s="19" t="n"/>
      <c r="D2256" s="16" t="n"/>
      <c r="E2256" s="19" t="n"/>
      <c r="G2256" s="16" t="n"/>
      <c r="H2256" s="19" t="n"/>
    </row>
    <row r="2257">
      <c r="A2257" s="16" t="n"/>
      <c r="B2257" s="19" t="n"/>
      <c r="D2257" s="16" t="n"/>
      <c r="E2257" s="19" t="n"/>
      <c r="G2257" s="16" t="n"/>
      <c r="H2257" s="19" t="n"/>
    </row>
    <row r="2258">
      <c r="A2258" s="16" t="n"/>
      <c r="B2258" s="19" t="n"/>
      <c r="D2258" s="16" t="n"/>
      <c r="E2258" s="19" t="n"/>
      <c r="G2258" s="16" t="n"/>
      <c r="H2258" s="19" t="n"/>
    </row>
    <row r="2259">
      <c r="A2259" s="16" t="n"/>
      <c r="B2259" s="19" t="n"/>
      <c r="D2259" s="16" t="n"/>
      <c r="E2259" s="19" t="n"/>
      <c r="G2259" s="16" t="n"/>
      <c r="H2259" s="19" t="n"/>
    </row>
    <row r="2260">
      <c r="A2260" s="16" t="n"/>
      <c r="B2260" s="19" t="n"/>
      <c r="D2260" s="16" t="n"/>
      <c r="E2260" s="19" t="n"/>
      <c r="G2260" s="16" t="n"/>
      <c r="H2260" s="19" t="n"/>
    </row>
    <row r="2261">
      <c r="A2261" s="16" t="n"/>
      <c r="B2261" s="19" t="n"/>
      <c r="D2261" s="16" t="n"/>
      <c r="E2261" s="19" t="n"/>
      <c r="G2261" s="16" t="n"/>
      <c r="H2261" s="19" t="n"/>
    </row>
    <row r="2262">
      <c r="A2262" s="16" t="n"/>
      <c r="B2262" s="19" t="n"/>
      <c r="D2262" s="16" t="n"/>
      <c r="E2262" s="19" t="n"/>
      <c r="G2262" s="16" t="n"/>
      <c r="H2262" s="19" t="n"/>
    </row>
    <row r="2263">
      <c r="A2263" s="16" t="n"/>
      <c r="B2263" s="19" t="n"/>
      <c r="D2263" s="16" t="n"/>
      <c r="E2263" s="19" t="n"/>
      <c r="G2263" s="16" t="n"/>
      <c r="H2263" s="19" t="n"/>
    </row>
    <row r="2264">
      <c r="A2264" s="16" t="n"/>
      <c r="B2264" s="19" t="n"/>
      <c r="D2264" s="16" t="n"/>
      <c r="E2264" s="19" t="n"/>
      <c r="G2264" s="16" t="n"/>
      <c r="H2264" s="19" t="n"/>
    </row>
    <row r="2265">
      <c r="A2265" s="16" t="n"/>
      <c r="B2265" s="19" t="n"/>
      <c r="D2265" s="16" t="n"/>
      <c r="E2265" s="19" t="n"/>
      <c r="G2265" s="16" t="n"/>
      <c r="H2265" s="19" t="n"/>
    </row>
    <row r="2266">
      <c r="A2266" s="16" t="n"/>
      <c r="B2266" s="19" t="n"/>
      <c r="D2266" s="16" t="n"/>
      <c r="E2266" s="19" t="n"/>
      <c r="G2266" s="16" t="n"/>
      <c r="H2266" s="19" t="n"/>
    </row>
    <row r="2267">
      <c r="A2267" s="16" t="n"/>
      <c r="B2267" s="19" t="n"/>
      <c r="D2267" s="16" t="n"/>
      <c r="E2267" s="19" t="n"/>
      <c r="G2267" s="16" t="n"/>
      <c r="H2267" s="19" t="n"/>
    </row>
    <row r="2268">
      <c r="A2268" s="16" t="n"/>
      <c r="B2268" s="19" t="n"/>
      <c r="D2268" s="16" t="n"/>
      <c r="E2268" s="19" t="n"/>
      <c r="G2268" s="16" t="n"/>
      <c r="H2268" s="19" t="n"/>
    </row>
    <row r="2269">
      <c r="A2269" s="16" t="n"/>
      <c r="B2269" s="19" t="n"/>
      <c r="D2269" s="16" t="n"/>
      <c r="E2269" s="19" t="n"/>
      <c r="G2269" s="16" t="n"/>
      <c r="H2269" s="19" t="n"/>
    </row>
    <row r="2270">
      <c r="A2270" s="16" t="n"/>
      <c r="B2270" s="19" t="n"/>
      <c r="D2270" s="16" t="n"/>
      <c r="E2270" s="19" t="n"/>
      <c r="G2270" s="16" t="n"/>
      <c r="H2270" s="19" t="n"/>
    </row>
    <row r="2271">
      <c r="A2271" s="16" t="n"/>
      <c r="B2271" s="19" t="n"/>
      <c r="D2271" s="16" t="n"/>
      <c r="E2271" s="19" t="n"/>
      <c r="G2271" s="16" t="n"/>
      <c r="H2271" s="19" t="n"/>
    </row>
    <row r="2272">
      <c r="A2272" s="16" t="n"/>
      <c r="B2272" s="19" t="n"/>
      <c r="D2272" s="16" t="n"/>
      <c r="E2272" s="19" t="n"/>
      <c r="G2272" s="16" t="n"/>
      <c r="H2272" s="19" t="n"/>
    </row>
    <row r="2273">
      <c r="A2273" s="16" t="n"/>
      <c r="B2273" s="19" t="n"/>
      <c r="D2273" s="16" t="n"/>
      <c r="E2273" s="19" t="n"/>
      <c r="G2273" s="16" t="n"/>
      <c r="H2273" s="19" t="n"/>
    </row>
    <row r="2274">
      <c r="A2274" s="16" t="n"/>
      <c r="B2274" s="19" t="n"/>
      <c r="D2274" s="16" t="n"/>
      <c r="E2274" s="19" t="n"/>
      <c r="G2274" s="16" t="n"/>
      <c r="H2274" s="19" t="n"/>
    </row>
    <row r="2275">
      <c r="A2275" s="16" t="n"/>
      <c r="B2275" s="19" t="n"/>
      <c r="D2275" s="16" t="n"/>
      <c r="E2275" s="19" t="n"/>
      <c r="G2275" s="16" t="n"/>
      <c r="H2275" s="19" t="n"/>
    </row>
    <row r="2276">
      <c r="A2276" s="16" t="n"/>
      <c r="B2276" s="19" t="n"/>
      <c r="D2276" s="16" t="n"/>
      <c r="E2276" s="19" t="n"/>
      <c r="G2276" s="16" t="n"/>
      <c r="H2276" s="19" t="n"/>
    </row>
    <row r="2277">
      <c r="A2277" s="16" t="n"/>
      <c r="B2277" s="19" t="n"/>
      <c r="D2277" s="16" t="n"/>
      <c r="E2277" s="19" t="n"/>
      <c r="G2277" s="16" t="n"/>
      <c r="H2277" s="19" t="n"/>
    </row>
    <row r="2278">
      <c r="A2278" s="16" t="n"/>
      <c r="B2278" s="19" t="n"/>
      <c r="D2278" s="16" t="n"/>
      <c r="E2278" s="19" t="n"/>
      <c r="G2278" s="16" t="n"/>
      <c r="H2278" s="19" t="n"/>
    </row>
    <row r="2279">
      <c r="A2279" s="16" t="n"/>
      <c r="B2279" s="19" t="n"/>
      <c r="D2279" s="16" t="n"/>
      <c r="E2279" s="19" t="n"/>
      <c r="G2279" s="16" t="n"/>
      <c r="H2279" s="19" t="n"/>
    </row>
    <row r="2280">
      <c r="A2280" s="16" t="n"/>
      <c r="B2280" s="19" t="n"/>
      <c r="D2280" s="16" t="n"/>
      <c r="E2280" s="19" t="n"/>
      <c r="G2280" s="16" t="n"/>
      <c r="H2280" s="19" t="n"/>
    </row>
    <row r="2281">
      <c r="A2281" s="16" t="n"/>
      <c r="B2281" s="19" t="n"/>
      <c r="D2281" s="16" t="n"/>
      <c r="E2281" s="19" t="n"/>
      <c r="G2281" s="16" t="n"/>
      <c r="H2281" s="19" t="n"/>
    </row>
    <row r="2282">
      <c r="A2282" s="16" t="n"/>
      <c r="B2282" s="19" t="n"/>
      <c r="D2282" s="16" t="n"/>
      <c r="E2282" s="19" t="n"/>
      <c r="G2282" s="16" t="n"/>
      <c r="H2282" s="19" t="n"/>
    </row>
    <row r="2283">
      <c r="A2283" s="16" t="n"/>
      <c r="B2283" s="19" t="n"/>
      <c r="D2283" s="16" t="n"/>
      <c r="E2283" s="19" t="n"/>
      <c r="G2283" s="16" t="n"/>
      <c r="H2283" s="19" t="n"/>
    </row>
    <row r="2284">
      <c r="A2284" s="16" t="n"/>
      <c r="B2284" s="19" t="n"/>
      <c r="D2284" s="16" t="n"/>
      <c r="E2284" s="19" t="n"/>
      <c r="G2284" s="16" t="n"/>
      <c r="H2284" s="19" t="n"/>
    </row>
    <row r="2285">
      <c r="A2285" s="16" t="n"/>
      <c r="B2285" s="19" t="n"/>
      <c r="D2285" s="16" t="n"/>
      <c r="E2285" s="19" t="n"/>
      <c r="G2285" s="16" t="n"/>
      <c r="H2285" s="19" t="n"/>
    </row>
    <row r="2286">
      <c r="A2286" s="16" t="n"/>
      <c r="B2286" s="19" t="n"/>
      <c r="D2286" s="16" t="n"/>
      <c r="E2286" s="19" t="n"/>
      <c r="G2286" s="16" t="n"/>
      <c r="H2286" s="19" t="n"/>
    </row>
    <row r="2287">
      <c r="A2287" s="16" t="n"/>
      <c r="B2287" s="19" t="n"/>
      <c r="D2287" s="16" t="n"/>
      <c r="E2287" s="19" t="n"/>
      <c r="G2287" s="16" t="n"/>
      <c r="H2287" s="19" t="n"/>
    </row>
    <row r="2288">
      <c r="A2288" s="16" t="n"/>
      <c r="B2288" s="19" t="n"/>
      <c r="D2288" s="16" t="n"/>
      <c r="E2288" s="19" t="n"/>
      <c r="G2288" s="16" t="n"/>
      <c r="H2288" s="19" t="n"/>
    </row>
    <row r="2289">
      <c r="A2289" s="16" t="n"/>
      <c r="B2289" s="19" t="n"/>
      <c r="D2289" s="16" t="n"/>
      <c r="E2289" s="19" t="n"/>
      <c r="G2289" s="16" t="n"/>
      <c r="H2289" s="19" t="n"/>
    </row>
    <row r="2290">
      <c r="A2290" s="16" t="n"/>
      <c r="B2290" s="19" t="n"/>
      <c r="D2290" s="16" t="n"/>
      <c r="E2290" s="19" t="n"/>
      <c r="G2290" s="16" t="n"/>
      <c r="H2290" s="19" t="n"/>
    </row>
    <row r="2291">
      <c r="A2291" s="16" t="n"/>
      <c r="B2291" s="19" t="n"/>
      <c r="D2291" s="16" t="n"/>
      <c r="E2291" s="19" t="n"/>
      <c r="G2291" s="16" t="n"/>
      <c r="H2291" s="19" t="n"/>
    </row>
    <row r="2292">
      <c r="A2292" s="16" t="n"/>
      <c r="B2292" s="19" t="n"/>
      <c r="D2292" s="16" t="n"/>
      <c r="E2292" s="19" t="n"/>
      <c r="G2292" s="16" t="n"/>
      <c r="H2292" s="19" t="n"/>
    </row>
    <row r="2293">
      <c r="A2293" s="16" t="n"/>
      <c r="B2293" s="19" t="n"/>
      <c r="D2293" s="16" t="n"/>
      <c r="E2293" s="19" t="n"/>
      <c r="G2293" s="16" t="n"/>
      <c r="H2293" s="19" t="n"/>
    </row>
    <row r="2294">
      <c r="A2294" s="16" t="n"/>
      <c r="B2294" s="19" t="n"/>
      <c r="D2294" s="16" t="n"/>
      <c r="E2294" s="19" t="n"/>
      <c r="G2294" s="16" t="n"/>
      <c r="H2294" s="19" t="n"/>
    </row>
    <row r="2295">
      <c r="A2295" s="16" t="n"/>
      <c r="B2295" s="19" t="n"/>
      <c r="D2295" s="16" t="n"/>
      <c r="E2295" s="19" t="n"/>
      <c r="G2295" s="16" t="n"/>
      <c r="H2295" s="19" t="n"/>
    </row>
    <row r="2296">
      <c r="A2296" s="16" t="n"/>
      <c r="B2296" s="19" t="n"/>
      <c r="D2296" s="16" t="n"/>
      <c r="E2296" s="19" t="n"/>
      <c r="G2296" s="16" t="n"/>
      <c r="H2296" s="19" t="n"/>
    </row>
    <row r="2297">
      <c r="A2297" s="16" t="n"/>
      <c r="B2297" s="19" t="n"/>
      <c r="D2297" s="16" t="n"/>
      <c r="E2297" s="19" t="n"/>
      <c r="G2297" s="16" t="n"/>
      <c r="H2297" s="19" t="n"/>
    </row>
    <row r="2298">
      <c r="A2298" s="16" t="n"/>
      <c r="B2298" s="19" t="n"/>
      <c r="D2298" s="16" t="n"/>
      <c r="E2298" s="19" t="n"/>
      <c r="G2298" s="16" t="n"/>
      <c r="H2298" s="19" t="n"/>
    </row>
    <row r="2299">
      <c r="A2299" s="16" t="n"/>
      <c r="B2299" s="19" t="n"/>
      <c r="D2299" s="16" t="n"/>
      <c r="E2299" s="19" t="n"/>
      <c r="G2299" s="16" t="n"/>
      <c r="H2299" s="19" t="n"/>
    </row>
    <row r="2300">
      <c r="A2300" s="16" t="n"/>
      <c r="B2300" s="19" t="n"/>
      <c r="D2300" s="16" t="n"/>
      <c r="E2300" s="19" t="n"/>
      <c r="G2300" s="16" t="n"/>
      <c r="H2300" s="19" t="n"/>
    </row>
    <row r="2301">
      <c r="A2301" s="16" t="n"/>
      <c r="B2301" s="19" t="n"/>
      <c r="D2301" s="16" t="n"/>
      <c r="E2301" s="19" t="n"/>
      <c r="G2301" s="16" t="n"/>
      <c r="H2301" s="19" t="n"/>
    </row>
    <row r="2302">
      <c r="A2302" s="16" t="n"/>
      <c r="B2302" s="19" t="n"/>
      <c r="D2302" s="16" t="n"/>
      <c r="E2302" s="19" t="n"/>
      <c r="G2302" s="16" t="n"/>
      <c r="H2302" s="19" t="n"/>
    </row>
    <row r="2303">
      <c r="A2303" s="16" t="n"/>
      <c r="B2303" s="19" t="n"/>
      <c r="D2303" s="16" t="n"/>
      <c r="E2303" s="19" t="n"/>
      <c r="G2303" s="16" t="n"/>
      <c r="H2303" s="19" t="n"/>
    </row>
    <row r="2304">
      <c r="A2304" s="16" t="n"/>
      <c r="B2304" s="19" t="n"/>
      <c r="D2304" s="16" t="n"/>
      <c r="E2304" s="19" t="n"/>
      <c r="G2304" s="16" t="n"/>
      <c r="H2304" s="19" t="n"/>
    </row>
    <row r="2305">
      <c r="A2305" s="16" t="n"/>
      <c r="B2305" s="19" t="n"/>
      <c r="D2305" s="16" t="n"/>
      <c r="E2305" s="19" t="n"/>
      <c r="G2305" s="16" t="n"/>
      <c r="H2305" s="19" t="n"/>
    </row>
    <row r="2306">
      <c r="A2306" s="16" t="n"/>
      <c r="B2306" s="19" t="n"/>
      <c r="D2306" s="16" t="n"/>
      <c r="E2306" s="19" t="n"/>
      <c r="G2306" s="16" t="n"/>
      <c r="H2306" s="19" t="n"/>
    </row>
    <row r="2307">
      <c r="A2307" s="16" t="n"/>
      <c r="B2307" s="19" t="n"/>
      <c r="D2307" s="16" t="n"/>
      <c r="E2307" s="19" t="n"/>
      <c r="G2307" s="16" t="n"/>
      <c r="H2307" s="19" t="n"/>
    </row>
    <row r="2308">
      <c r="A2308" s="16" t="n"/>
      <c r="B2308" s="19" t="n"/>
      <c r="D2308" s="16" t="n"/>
      <c r="E2308" s="19" t="n"/>
      <c r="G2308" s="16" t="n"/>
      <c r="H2308" s="19" t="n"/>
    </row>
    <row r="2309">
      <c r="A2309" s="16" t="n"/>
      <c r="B2309" s="19" t="n"/>
      <c r="D2309" s="16" t="n"/>
      <c r="E2309" s="19" t="n"/>
      <c r="G2309" s="16" t="n"/>
      <c r="H2309" s="19" t="n"/>
    </row>
    <row r="2310">
      <c r="A2310" s="16" t="n"/>
      <c r="B2310" s="19" t="n"/>
      <c r="D2310" s="16" t="n"/>
      <c r="E2310" s="19" t="n"/>
      <c r="G2310" s="16" t="n"/>
      <c r="H2310" s="19" t="n"/>
    </row>
    <row r="2311">
      <c r="A2311" s="16" t="n"/>
      <c r="B2311" s="19" t="n"/>
      <c r="D2311" s="16" t="n"/>
      <c r="E2311" s="19" t="n"/>
      <c r="G2311" s="16" t="n"/>
      <c r="H2311" s="19" t="n"/>
    </row>
    <row r="2312">
      <c r="A2312" s="16" t="n"/>
      <c r="B2312" s="19" t="n"/>
      <c r="D2312" s="16" t="n"/>
      <c r="E2312" s="19" t="n"/>
      <c r="G2312" s="16" t="n"/>
      <c r="H2312" s="19" t="n"/>
    </row>
    <row r="2313">
      <c r="A2313" s="16" t="n"/>
      <c r="B2313" s="19" t="n"/>
      <c r="D2313" s="16" t="n"/>
      <c r="E2313" s="19" t="n"/>
      <c r="G2313" s="16" t="n"/>
      <c r="H2313" s="19" t="n"/>
    </row>
    <row r="2314">
      <c r="A2314" s="16" t="n"/>
      <c r="B2314" s="19" t="n"/>
      <c r="D2314" s="16" t="n"/>
      <c r="E2314" s="19" t="n"/>
      <c r="G2314" s="16" t="n"/>
      <c r="H2314" s="19" t="n"/>
    </row>
    <row r="2315">
      <c r="A2315" s="16" t="n"/>
      <c r="B2315" s="19" t="n"/>
      <c r="D2315" s="16" t="n"/>
      <c r="E2315" s="19" t="n"/>
      <c r="G2315" s="16" t="n"/>
      <c r="H2315" s="19" t="n"/>
    </row>
    <row r="2316">
      <c r="A2316" s="16" t="n"/>
      <c r="B2316" s="19" t="n"/>
      <c r="D2316" s="16" t="n"/>
      <c r="E2316" s="19" t="n"/>
      <c r="G2316" s="16" t="n"/>
      <c r="H2316" s="19" t="n"/>
    </row>
    <row r="2317">
      <c r="A2317" s="16" t="n"/>
      <c r="B2317" s="19" t="n"/>
      <c r="D2317" s="16" t="n"/>
      <c r="E2317" s="19" t="n"/>
      <c r="G2317" s="16" t="n"/>
      <c r="H2317" s="19" t="n"/>
    </row>
    <row r="2318">
      <c r="A2318" s="16" t="n"/>
      <c r="B2318" s="19" t="n"/>
      <c r="D2318" s="16" t="n"/>
      <c r="E2318" s="19" t="n"/>
      <c r="G2318" s="16" t="n"/>
      <c r="H2318" s="19" t="n"/>
    </row>
    <row r="2319">
      <c r="A2319" s="16" t="n"/>
      <c r="B2319" s="19" t="n"/>
      <c r="D2319" s="16" t="n"/>
      <c r="E2319" s="19" t="n"/>
      <c r="G2319" s="16" t="n"/>
      <c r="H2319" s="19" t="n"/>
    </row>
    <row r="2320">
      <c r="A2320" s="16" t="n"/>
      <c r="B2320" s="19" t="n"/>
      <c r="D2320" s="16" t="n"/>
      <c r="E2320" s="19" t="n"/>
      <c r="G2320" s="16" t="n"/>
      <c r="H2320" s="19" t="n"/>
    </row>
    <row r="2321">
      <c r="A2321" s="16" t="n"/>
      <c r="B2321" s="19" t="n"/>
      <c r="D2321" s="16" t="n"/>
      <c r="E2321" s="19" t="n"/>
      <c r="G2321" s="16" t="n"/>
      <c r="H2321" s="19" t="n"/>
    </row>
    <row r="2322">
      <c r="A2322" s="16" t="n"/>
      <c r="B2322" s="19" t="n"/>
      <c r="D2322" s="16" t="n"/>
      <c r="E2322" s="19" t="n"/>
      <c r="G2322" s="16" t="n"/>
      <c r="H2322" s="19" t="n"/>
    </row>
    <row r="2323">
      <c r="A2323" s="16" t="n"/>
      <c r="B2323" s="19" t="n"/>
      <c r="D2323" s="16" t="n"/>
      <c r="E2323" s="19" t="n"/>
      <c r="G2323" s="16" t="n"/>
      <c r="H2323" s="19" t="n"/>
    </row>
    <row r="2324">
      <c r="A2324" s="16" t="n"/>
      <c r="B2324" s="19" t="n"/>
      <c r="D2324" s="16" t="n"/>
      <c r="E2324" s="19" t="n"/>
      <c r="G2324" s="16" t="n"/>
      <c r="H2324" s="19" t="n"/>
    </row>
    <row r="2325">
      <c r="A2325" s="16" t="n"/>
      <c r="B2325" s="19" t="n"/>
      <c r="D2325" s="16" t="n"/>
      <c r="E2325" s="19" t="n"/>
      <c r="G2325" s="16" t="n"/>
      <c r="H2325" s="19" t="n"/>
    </row>
    <row r="2326">
      <c r="A2326" s="16" t="n"/>
      <c r="B2326" s="19" t="n"/>
      <c r="D2326" s="16" t="n"/>
      <c r="E2326" s="19" t="n"/>
      <c r="G2326" s="16" t="n"/>
      <c r="H2326" s="19" t="n"/>
    </row>
    <row r="2327">
      <c r="A2327" s="16" t="n"/>
      <c r="B2327" s="19" t="n"/>
      <c r="D2327" s="16" t="n"/>
      <c r="E2327" s="19" t="n"/>
      <c r="G2327" s="16" t="n"/>
      <c r="H2327" s="19" t="n"/>
    </row>
    <row r="2328">
      <c r="A2328" s="16" t="n"/>
      <c r="B2328" s="19" t="n"/>
      <c r="D2328" s="16" t="n"/>
      <c r="E2328" s="19" t="n"/>
      <c r="G2328" s="16" t="n"/>
      <c r="H2328" s="19" t="n"/>
    </row>
    <row r="2329">
      <c r="A2329" s="16" t="n"/>
      <c r="B2329" s="19" t="n"/>
      <c r="D2329" s="16" t="n"/>
      <c r="E2329" s="19" t="n"/>
      <c r="G2329" s="16" t="n"/>
      <c r="H2329" s="19" t="n"/>
    </row>
    <row r="2330">
      <c r="A2330" s="16" t="n"/>
      <c r="B2330" s="19" t="n"/>
      <c r="D2330" s="16" t="n"/>
      <c r="E2330" s="19" t="n"/>
      <c r="G2330" s="16" t="n"/>
      <c r="H2330" s="19" t="n"/>
    </row>
    <row r="2331">
      <c r="A2331" s="16" t="n"/>
      <c r="B2331" s="19" t="n"/>
      <c r="D2331" s="16" t="n"/>
      <c r="E2331" s="19" t="n"/>
      <c r="G2331" s="16" t="n"/>
      <c r="H2331" s="19" t="n"/>
    </row>
    <row r="2332">
      <c r="A2332" s="16" t="n"/>
      <c r="B2332" s="19" t="n"/>
      <c r="D2332" s="16" t="n"/>
      <c r="E2332" s="19" t="n"/>
      <c r="G2332" s="16" t="n"/>
      <c r="H2332" s="19" t="n"/>
    </row>
    <row r="2333">
      <c r="A2333" s="16" t="n"/>
      <c r="B2333" s="19" t="n"/>
      <c r="D2333" s="16" t="n"/>
      <c r="E2333" s="19" t="n"/>
      <c r="G2333" s="16" t="n"/>
      <c r="H2333" s="19" t="n"/>
    </row>
    <row r="2334">
      <c r="A2334" s="16" t="n"/>
      <c r="B2334" s="19" t="n"/>
      <c r="D2334" s="16" t="n"/>
      <c r="E2334" s="19" t="n"/>
      <c r="G2334" s="16" t="n"/>
      <c r="H2334" s="19" t="n"/>
    </row>
    <row r="2335">
      <c r="A2335" s="16" t="n"/>
      <c r="B2335" s="19" t="n"/>
      <c r="D2335" s="16" t="n"/>
      <c r="E2335" s="19" t="n"/>
      <c r="G2335" s="16" t="n"/>
      <c r="H2335" s="19" t="n"/>
    </row>
    <row r="2336">
      <c r="A2336" s="16" t="n"/>
      <c r="B2336" s="19" t="n"/>
      <c r="D2336" s="16" t="n"/>
      <c r="E2336" s="19" t="n"/>
      <c r="G2336" s="16" t="n"/>
      <c r="H2336" s="19" t="n"/>
    </row>
    <row r="2337">
      <c r="A2337" s="16" t="n"/>
      <c r="B2337" s="19" t="n"/>
      <c r="D2337" s="16" t="n"/>
      <c r="E2337" s="19" t="n"/>
      <c r="G2337" s="16" t="n"/>
      <c r="H2337" s="19" t="n"/>
    </row>
    <row r="2338">
      <c r="A2338" s="16" t="n"/>
      <c r="B2338" s="19" t="n"/>
      <c r="D2338" s="16" t="n"/>
      <c r="E2338" s="19" t="n"/>
      <c r="G2338" s="16" t="n"/>
      <c r="H2338" s="19" t="n"/>
    </row>
    <row r="2339">
      <c r="A2339" s="16" t="n"/>
      <c r="B2339" s="19" t="n"/>
      <c r="D2339" s="16" t="n"/>
      <c r="E2339" s="19" t="n"/>
      <c r="G2339" s="16" t="n"/>
      <c r="H2339" s="19" t="n"/>
    </row>
    <row r="2340">
      <c r="A2340" s="16" t="n"/>
      <c r="B2340" s="19" t="n"/>
      <c r="D2340" s="16" t="n"/>
      <c r="E2340" s="19" t="n"/>
      <c r="G2340" s="16" t="n"/>
      <c r="H2340" s="19" t="n"/>
    </row>
    <row r="2341">
      <c r="A2341" s="16" t="n"/>
      <c r="B2341" s="19" t="n"/>
      <c r="D2341" s="16" t="n"/>
      <c r="E2341" s="19" t="n"/>
      <c r="G2341" s="16" t="n"/>
      <c r="H2341" s="19" t="n"/>
    </row>
    <row r="2342">
      <c r="A2342" s="16" t="n"/>
      <c r="B2342" s="19" t="n"/>
      <c r="D2342" s="16" t="n"/>
      <c r="E2342" s="19" t="n"/>
      <c r="G2342" s="16" t="n"/>
      <c r="H2342" s="19" t="n"/>
    </row>
    <row r="2343">
      <c r="A2343" s="16" t="n"/>
      <c r="B2343" s="19" t="n"/>
      <c r="D2343" s="16" t="n"/>
      <c r="E2343" s="19" t="n"/>
      <c r="G2343" s="16" t="n"/>
      <c r="H2343" s="19" t="n"/>
    </row>
    <row r="2344">
      <c r="A2344" s="16" t="n"/>
      <c r="B2344" s="19" t="n"/>
      <c r="D2344" s="16" t="n"/>
      <c r="E2344" s="19" t="n"/>
      <c r="G2344" s="16" t="n"/>
      <c r="H2344" s="19" t="n"/>
    </row>
    <row r="2345">
      <c r="A2345" s="16" t="n"/>
      <c r="B2345" s="19" t="n"/>
      <c r="D2345" s="16" t="n"/>
      <c r="E2345" s="19" t="n"/>
      <c r="G2345" s="16" t="n"/>
      <c r="H2345" s="19" t="n"/>
    </row>
    <row r="2346">
      <c r="A2346" s="16" t="n"/>
      <c r="B2346" s="19" t="n"/>
      <c r="D2346" s="16" t="n"/>
      <c r="E2346" s="19" t="n"/>
      <c r="G2346" s="16" t="n"/>
      <c r="H2346" s="19" t="n"/>
    </row>
    <row r="2347">
      <c r="A2347" s="16" t="n"/>
      <c r="B2347" s="19" t="n"/>
      <c r="D2347" s="16" t="n"/>
      <c r="E2347" s="19" t="n"/>
      <c r="G2347" s="16" t="n"/>
      <c r="H2347" s="19" t="n"/>
    </row>
    <row r="2348">
      <c r="A2348" s="16" t="n"/>
      <c r="B2348" s="19" t="n"/>
      <c r="D2348" s="16" t="n"/>
      <c r="E2348" s="19" t="n"/>
      <c r="G2348" s="16" t="n"/>
      <c r="H2348" s="19" t="n"/>
    </row>
    <row r="2349">
      <c r="A2349" s="16" t="n"/>
      <c r="B2349" s="19" t="n"/>
      <c r="D2349" s="16" t="n"/>
      <c r="E2349" s="19" t="n"/>
      <c r="G2349" s="16" t="n"/>
      <c r="H2349" s="19" t="n"/>
    </row>
    <row r="2350">
      <c r="A2350" s="16" t="n"/>
      <c r="B2350" s="19" t="n"/>
      <c r="D2350" s="16" t="n"/>
      <c r="E2350" s="19" t="n"/>
      <c r="G2350" s="16" t="n"/>
      <c r="H2350" s="19" t="n"/>
    </row>
    <row r="2351">
      <c r="A2351" s="16" t="n"/>
      <c r="B2351" s="19" t="n"/>
      <c r="D2351" s="16" t="n"/>
      <c r="E2351" s="19" t="n"/>
      <c r="G2351" s="16" t="n"/>
      <c r="H2351" s="19" t="n"/>
    </row>
    <row r="2352">
      <c r="A2352" s="16" t="n"/>
      <c r="B2352" s="19" t="n"/>
      <c r="D2352" s="16" t="n"/>
      <c r="E2352" s="19" t="n"/>
      <c r="G2352" s="16" t="n"/>
      <c r="H2352" s="19" t="n"/>
    </row>
    <row r="2353">
      <c r="A2353" s="16" t="n"/>
      <c r="B2353" s="19" t="n"/>
      <c r="D2353" s="16" t="n"/>
      <c r="E2353" s="19" t="n"/>
      <c r="G2353" s="16" t="n"/>
      <c r="H2353" s="19" t="n"/>
    </row>
    <row r="2354">
      <c r="A2354" s="16" t="n"/>
      <c r="B2354" s="19" t="n"/>
      <c r="D2354" s="16" t="n"/>
      <c r="E2354" s="19" t="n"/>
      <c r="G2354" s="16" t="n"/>
      <c r="H2354" s="19" t="n"/>
    </row>
    <row r="2355">
      <c r="A2355" s="16" t="n"/>
      <c r="B2355" s="19" t="n"/>
      <c r="D2355" s="16" t="n"/>
      <c r="E2355" s="19" t="n"/>
      <c r="G2355" s="16" t="n"/>
      <c r="H2355" s="19" t="n"/>
    </row>
    <row r="2356">
      <c r="A2356" s="16" t="n"/>
      <c r="B2356" s="19" t="n"/>
      <c r="D2356" s="16" t="n"/>
      <c r="E2356" s="19" t="n"/>
      <c r="G2356" s="16" t="n"/>
      <c r="H2356" s="19" t="n"/>
    </row>
    <row r="2357">
      <c r="A2357" s="16" t="n"/>
      <c r="B2357" s="19" t="n"/>
      <c r="D2357" s="16" t="n"/>
      <c r="E2357" s="19" t="n"/>
      <c r="G2357" s="16" t="n"/>
      <c r="H2357" s="19" t="n"/>
    </row>
    <row r="2358">
      <c r="A2358" s="16" t="n"/>
      <c r="B2358" s="19" t="n"/>
      <c r="D2358" s="16" t="n"/>
      <c r="E2358" s="19" t="n"/>
      <c r="G2358" s="16" t="n"/>
      <c r="H2358" s="19" t="n"/>
    </row>
    <row r="2359">
      <c r="A2359" s="16" t="n"/>
      <c r="B2359" s="19" t="n"/>
      <c r="D2359" s="16" t="n"/>
      <c r="E2359" s="19" t="n"/>
      <c r="G2359" s="16" t="n"/>
      <c r="H2359" s="19" t="n"/>
    </row>
    <row r="2360">
      <c r="A2360" s="16" t="n"/>
      <c r="B2360" s="19" t="n"/>
      <c r="D2360" s="16" t="n"/>
      <c r="E2360" s="19" t="n"/>
      <c r="G2360" s="16" t="n"/>
      <c r="H2360" s="19" t="n"/>
    </row>
    <row r="2361">
      <c r="A2361" s="16" t="n"/>
      <c r="B2361" s="19" t="n"/>
      <c r="D2361" s="16" t="n"/>
      <c r="E2361" s="19" t="n"/>
      <c r="G2361" s="16" t="n"/>
      <c r="H2361" s="19" t="n"/>
    </row>
    <row r="2362">
      <c r="A2362" s="16" t="n"/>
      <c r="B2362" s="19" t="n"/>
      <c r="D2362" s="16" t="n"/>
      <c r="E2362" s="19" t="n"/>
      <c r="G2362" s="16" t="n"/>
      <c r="H2362" s="19" t="n"/>
    </row>
    <row r="2363">
      <c r="A2363" s="16" t="n"/>
      <c r="B2363" s="19" t="n"/>
      <c r="D2363" s="16" t="n"/>
      <c r="E2363" s="19" t="n"/>
      <c r="G2363" s="16" t="n"/>
      <c r="H2363" s="19" t="n"/>
    </row>
    <row r="2364">
      <c r="A2364" s="16" t="n"/>
      <c r="B2364" s="19" t="n"/>
      <c r="D2364" s="16" t="n"/>
      <c r="E2364" s="19" t="n"/>
      <c r="G2364" s="16" t="n"/>
      <c r="H2364" s="19" t="n"/>
    </row>
    <row r="2365">
      <c r="A2365" s="16" t="n"/>
      <c r="B2365" s="19" t="n"/>
      <c r="D2365" s="16" t="n"/>
      <c r="E2365" s="19" t="n"/>
      <c r="G2365" s="16" t="n"/>
      <c r="H2365" s="19" t="n"/>
    </row>
    <row r="2366">
      <c r="A2366" s="16" t="n"/>
      <c r="B2366" s="19" t="n"/>
      <c r="D2366" s="16" t="n"/>
      <c r="E2366" s="19" t="n"/>
      <c r="G2366" s="16" t="n"/>
      <c r="H2366" s="19" t="n"/>
    </row>
    <row r="2367">
      <c r="A2367" s="16" t="n"/>
      <c r="B2367" s="19" t="n"/>
      <c r="D2367" s="16" t="n"/>
      <c r="E2367" s="19" t="n"/>
      <c r="G2367" s="16" t="n"/>
      <c r="H2367" s="19" t="n"/>
    </row>
    <row r="2368">
      <c r="A2368" s="16" t="n"/>
      <c r="B2368" s="19" t="n"/>
      <c r="D2368" s="16" t="n"/>
      <c r="E2368" s="19" t="n"/>
      <c r="G2368" s="16" t="n"/>
      <c r="H2368" s="19" t="n"/>
    </row>
    <row r="2369">
      <c r="A2369" s="16" t="n"/>
      <c r="B2369" s="19" t="n"/>
      <c r="D2369" s="16" t="n"/>
      <c r="E2369" s="19" t="n"/>
      <c r="G2369" s="16" t="n"/>
      <c r="H2369" s="19" t="n"/>
    </row>
    <row r="2370">
      <c r="A2370" s="16" t="n"/>
      <c r="B2370" s="19" t="n"/>
      <c r="D2370" s="16" t="n"/>
      <c r="E2370" s="19" t="n"/>
      <c r="G2370" s="16" t="n"/>
      <c r="H2370" s="19" t="n"/>
    </row>
    <row r="2371">
      <c r="A2371" s="16" t="n"/>
      <c r="B2371" s="19" t="n"/>
      <c r="D2371" s="16" t="n"/>
      <c r="E2371" s="19" t="n"/>
      <c r="G2371" s="16" t="n"/>
      <c r="H2371" s="19" t="n"/>
    </row>
    <row r="2372">
      <c r="A2372" s="16" t="n"/>
      <c r="B2372" s="19" t="n"/>
      <c r="D2372" s="16" t="n"/>
      <c r="E2372" s="19" t="n"/>
      <c r="G2372" s="16" t="n"/>
      <c r="H2372" s="19" t="n"/>
    </row>
    <row r="2373">
      <c r="A2373" s="16" t="n"/>
      <c r="B2373" s="19" t="n"/>
      <c r="D2373" s="16" t="n"/>
      <c r="E2373" s="19" t="n"/>
      <c r="G2373" s="16" t="n"/>
      <c r="H2373" s="19" t="n"/>
    </row>
    <row r="2374">
      <c r="A2374" s="16" t="n"/>
      <c r="B2374" s="19" t="n"/>
      <c r="D2374" s="16" t="n"/>
      <c r="E2374" s="19" t="n"/>
      <c r="G2374" s="16" t="n"/>
      <c r="H2374" s="19" t="n"/>
    </row>
    <row r="2375">
      <c r="A2375" s="16" t="n"/>
      <c r="B2375" s="19" t="n"/>
      <c r="D2375" s="16" t="n"/>
      <c r="E2375" s="19" t="n"/>
      <c r="G2375" s="16" t="n"/>
      <c r="H2375" s="19" t="n"/>
    </row>
    <row r="2376">
      <c r="A2376" s="16" t="n"/>
      <c r="B2376" s="19" t="n"/>
      <c r="D2376" s="16" t="n"/>
      <c r="E2376" s="19" t="n"/>
      <c r="G2376" s="16" t="n"/>
      <c r="H2376" s="19" t="n"/>
    </row>
    <row r="2377">
      <c r="A2377" s="16" t="n"/>
      <c r="B2377" s="19" t="n"/>
      <c r="D2377" s="16" t="n"/>
      <c r="E2377" s="19" t="n"/>
      <c r="G2377" s="16" t="n"/>
      <c r="H2377" s="19" t="n"/>
    </row>
    <row r="2378">
      <c r="A2378" s="16" t="n"/>
      <c r="B2378" s="19" t="n"/>
      <c r="D2378" s="16" t="n"/>
      <c r="E2378" s="19" t="n"/>
      <c r="G2378" s="16" t="n"/>
      <c r="H2378" s="19" t="n"/>
    </row>
    <row r="2379">
      <c r="A2379" s="16" t="n"/>
      <c r="B2379" s="19" t="n"/>
      <c r="D2379" s="16" t="n"/>
      <c r="E2379" s="19" t="n"/>
      <c r="G2379" s="16" t="n"/>
      <c r="H2379" s="19" t="n"/>
    </row>
    <row r="2380">
      <c r="A2380" s="16" t="n"/>
      <c r="B2380" s="19" t="n"/>
      <c r="D2380" s="16" t="n"/>
      <c r="E2380" s="19" t="n"/>
      <c r="G2380" s="16" t="n"/>
      <c r="H2380" s="19" t="n"/>
    </row>
    <row r="2381">
      <c r="A2381" s="16" t="n"/>
      <c r="B2381" s="19" t="n"/>
      <c r="D2381" s="16" t="n"/>
      <c r="E2381" s="19" t="n"/>
      <c r="G2381" s="16" t="n"/>
      <c r="H2381" s="19" t="n"/>
    </row>
    <row r="2382">
      <c r="A2382" s="16" t="n"/>
      <c r="B2382" s="19" t="n"/>
      <c r="D2382" s="16" t="n"/>
      <c r="E2382" s="19" t="n"/>
      <c r="G2382" s="16" t="n"/>
      <c r="H2382" s="19" t="n"/>
    </row>
    <row r="2383">
      <c r="A2383" s="16" t="n"/>
      <c r="B2383" s="19" t="n"/>
      <c r="D2383" s="16" t="n"/>
      <c r="E2383" s="19" t="n"/>
      <c r="G2383" s="16" t="n"/>
      <c r="H2383" s="19" t="n"/>
    </row>
    <row r="2384">
      <c r="A2384" s="16" t="n"/>
      <c r="B2384" s="19" t="n"/>
      <c r="D2384" s="16" t="n"/>
      <c r="E2384" s="19" t="n"/>
      <c r="G2384" s="16" t="n"/>
      <c r="H2384" s="19" t="n"/>
    </row>
    <row r="2385">
      <c r="A2385" s="16" t="n"/>
      <c r="B2385" s="19" t="n"/>
      <c r="D2385" s="16" t="n"/>
      <c r="E2385" s="19" t="n"/>
      <c r="G2385" s="16" t="n"/>
      <c r="H2385" s="19" t="n"/>
    </row>
    <row r="2386">
      <c r="A2386" s="16" t="n"/>
      <c r="B2386" s="19" t="n"/>
      <c r="D2386" s="16" t="n"/>
      <c r="E2386" s="19" t="n"/>
      <c r="G2386" s="16" t="n"/>
      <c r="H2386" s="19" t="n"/>
    </row>
    <row r="2387">
      <c r="A2387" s="16" t="n"/>
      <c r="B2387" s="19" t="n"/>
      <c r="D2387" s="16" t="n"/>
      <c r="E2387" s="19" t="n"/>
      <c r="G2387" s="16" t="n"/>
      <c r="H2387" s="19" t="n"/>
    </row>
    <row r="2388">
      <c r="A2388" s="16" t="n"/>
      <c r="B2388" s="19" t="n"/>
      <c r="D2388" s="16" t="n"/>
      <c r="E2388" s="19" t="n"/>
      <c r="G2388" s="16" t="n"/>
      <c r="H2388" s="19" t="n"/>
    </row>
    <row r="2389">
      <c r="A2389" s="16" t="n"/>
      <c r="B2389" s="19" t="n"/>
      <c r="D2389" s="16" t="n"/>
      <c r="E2389" s="19" t="n"/>
      <c r="G2389" s="16" t="n"/>
      <c r="H2389" s="19" t="n"/>
    </row>
    <row r="2390">
      <c r="A2390" s="16" t="n"/>
      <c r="B2390" s="19" t="n"/>
      <c r="D2390" s="16" t="n"/>
      <c r="E2390" s="19" t="n"/>
      <c r="G2390" s="16" t="n"/>
      <c r="H2390" s="19" t="n"/>
    </row>
    <row r="2391">
      <c r="A2391" s="16" t="n"/>
      <c r="B2391" s="19" t="n"/>
      <c r="D2391" s="16" t="n"/>
      <c r="E2391" s="19" t="n"/>
      <c r="G2391" s="16" t="n"/>
      <c r="H2391" s="19" t="n"/>
    </row>
    <row r="2392">
      <c r="A2392" s="16" t="n"/>
      <c r="B2392" s="19" t="n"/>
      <c r="D2392" s="16" t="n"/>
      <c r="E2392" s="19" t="n"/>
      <c r="G2392" s="16" t="n"/>
      <c r="H2392" s="19" t="n"/>
    </row>
    <row r="2393">
      <c r="A2393" s="16" t="n"/>
      <c r="B2393" s="19" t="n"/>
      <c r="D2393" s="16" t="n"/>
      <c r="E2393" s="19" t="n"/>
      <c r="G2393" s="16" t="n"/>
      <c r="H2393" s="19" t="n"/>
    </row>
    <row r="2394">
      <c r="A2394" s="16" t="n"/>
      <c r="B2394" s="19" t="n"/>
      <c r="D2394" s="16" t="n"/>
      <c r="E2394" s="19" t="n"/>
      <c r="G2394" s="16" t="n"/>
      <c r="H2394" s="19" t="n"/>
    </row>
    <row r="2395">
      <c r="A2395" s="16" t="n"/>
      <c r="B2395" s="19" t="n"/>
      <c r="D2395" s="16" t="n"/>
      <c r="E2395" s="19" t="n"/>
      <c r="G2395" s="16" t="n"/>
      <c r="H2395" s="19" t="n"/>
    </row>
    <row r="2396">
      <c r="A2396" s="16" t="n"/>
      <c r="B2396" s="19" t="n"/>
      <c r="D2396" s="16" t="n"/>
      <c r="E2396" s="19" t="n"/>
      <c r="G2396" s="16" t="n"/>
      <c r="H2396" s="19" t="n"/>
    </row>
    <row r="2397">
      <c r="A2397" s="16" t="n"/>
      <c r="B2397" s="19" t="n"/>
      <c r="D2397" s="16" t="n"/>
      <c r="E2397" s="19" t="n"/>
      <c r="G2397" s="16" t="n"/>
      <c r="H2397" s="19" t="n"/>
    </row>
    <row r="2398">
      <c r="A2398" s="16" t="n"/>
      <c r="B2398" s="19" t="n"/>
      <c r="D2398" s="16" t="n"/>
      <c r="E2398" s="19" t="n"/>
      <c r="G2398" s="16" t="n"/>
      <c r="H2398" s="19" t="n"/>
    </row>
    <row r="2399">
      <c r="A2399" s="16" t="n"/>
      <c r="B2399" s="19" t="n"/>
      <c r="D2399" s="16" t="n"/>
      <c r="E2399" s="19" t="n"/>
      <c r="G2399" s="16" t="n"/>
      <c r="H2399" s="19" t="n"/>
    </row>
    <row r="2400">
      <c r="A2400" s="16" t="n"/>
      <c r="B2400" s="19" t="n"/>
      <c r="D2400" s="16" t="n"/>
      <c r="E2400" s="19" t="n"/>
      <c r="G2400" s="16" t="n"/>
      <c r="H2400" s="19" t="n"/>
    </row>
    <row r="2401">
      <c r="A2401" s="16" t="n"/>
      <c r="B2401" s="19" t="n"/>
      <c r="D2401" s="16" t="n"/>
      <c r="E2401" s="19" t="n"/>
      <c r="G2401" s="16" t="n"/>
      <c r="H2401" s="19" t="n"/>
    </row>
    <row r="2402">
      <c r="A2402" s="16" t="n"/>
      <c r="B2402" s="19" t="n"/>
      <c r="D2402" s="16" t="n"/>
      <c r="E2402" s="19" t="n"/>
      <c r="G2402" s="16" t="n"/>
      <c r="H2402" s="19" t="n"/>
    </row>
    <row r="2403">
      <c r="A2403" s="16" t="n"/>
      <c r="B2403" s="19" t="n"/>
      <c r="D2403" s="16" t="n"/>
      <c r="E2403" s="19" t="n"/>
      <c r="G2403" s="16" t="n"/>
      <c r="H2403" s="19" t="n"/>
    </row>
    <row r="2404">
      <c r="A2404" s="16" t="n"/>
      <c r="B2404" s="19" t="n"/>
      <c r="D2404" s="16" t="n"/>
      <c r="E2404" s="19" t="n"/>
      <c r="G2404" s="16" t="n"/>
      <c r="H2404" s="19" t="n"/>
    </row>
    <row r="2405">
      <c r="A2405" s="16" t="n"/>
      <c r="B2405" s="19" t="n"/>
      <c r="D2405" s="16" t="n"/>
      <c r="E2405" s="19" t="n"/>
      <c r="G2405" s="16" t="n"/>
      <c r="H2405" s="19" t="n"/>
    </row>
    <row r="2406">
      <c r="A2406" s="16" t="n"/>
      <c r="B2406" s="19" t="n"/>
      <c r="D2406" s="16" t="n"/>
      <c r="E2406" s="19" t="n"/>
      <c r="G2406" s="16" t="n"/>
      <c r="H2406" s="19" t="n"/>
    </row>
    <row r="2407">
      <c r="A2407" s="16" t="n"/>
      <c r="B2407" s="19" t="n"/>
      <c r="D2407" s="16" t="n"/>
      <c r="E2407" s="19" t="n"/>
      <c r="G2407" s="16" t="n"/>
      <c r="H2407" s="19" t="n"/>
    </row>
    <row r="2408">
      <c r="A2408" s="16" t="n"/>
      <c r="B2408" s="19" t="n"/>
      <c r="D2408" s="16" t="n"/>
      <c r="E2408" s="19" t="n"/>
      <c r="G2408" s="16" t="n"/>
      <c r="H2408" s="19" t="n"/>
    </row>
    <row r="2409">
      <c r="A2409" s="16" t="n"/>
      <c r="B2409" s="19" t="n"/>
      <c r="D2409" s="16" t="n"/>
      <c r="E2409" s="19" t="n"/>
      <c r="G2409" s="16" t="n"/>
      <c r="H2409" s="19" t="n"/>
    </row>
    <row r="2410">
      <c r="A2410" s="16" t="n"/>
      <c r="B2410" s="19" t="n"/>
      <c r="D2410" s="16" t="n"/>
      <c r="E2410" s="19" t="n"/>
      <c r="G2410" s="16" t="n"/>
      <c r="H2410" s="19" t="n"/>
    </row>
    <row r="2411">
      <c r="A2411" s="16" t="n"/>
      <c r="B2411" s="19" t="n"/>
      <c r="D2411" s="16" t="n"/>
      <c r="E2411" s="19" t="n"/>
      <c r="G2411" s="16" t="n"/>
      <c r="H2411" s="19" t="n"/>
    </row>
    <row r="2412">
      <c r="A2412" s="16" t="n"/>
      <c r="B2412" s="19" t="n"/>
      <c r="D2412" s="16" t="n"/>
      <c r="E2412" s="19" t="n"/>
      <c r="G2412" s="16" t="n"/>
      <c r="H2412" s="19" t="n"/>
    </row>
    <row r="2413">
      <c r="A2413" s="16" t="n"/>
      <c r="B2413" s="19" t="n"/>
      <c r="D2413" s="16" t="n"/>
      <c r="E2413" s="19" t="n"/>
      <c r="G2413" s="16" t="n"/>
      <c r="H2413" s="19" t="n"/>
    </row>
    <row r="2414">
      <c r="A2414" s="16" t="n"/>
      <c r="B2414" s="19" t="n"/>
      <c r="D2414" s="16" t="n"/>
      <c r="E2414" s="19" t="n"/>
      <c r="G2414" s="16" t="n"/>
      <c r="H2414" s="19" t="n"/>
    </row>
    <row r="2415">
      <c r="A2415" s="16" t="n"/>
      <c r="B2415" s="19" t="n"/>
      <c r="D2415" s="16" t="n"/>
      <c r="E2415" s="19" t="n"/>
      <c r="G2415" s="16" t="n"/>
      <c r="H2415" s="19" t="n"/>
    </row>
    <row r="2416">
      <c r="A2416" s="16" t="n"/>
      <c r="B2416" s="19" t="n"/>
      <c r="D2416" s="16" t="n"/>
      <c r="E2416" s="19" t="n"/>
      <c r="G2416" s="16" t="n"/>
      <c r="H2416" s="19" t="n"/>
    </row>
    <row r="2417">
      <c r="A2417" s="16" t="n"/>
      <c r="B2417" s="19" t="n"/>
      <c r="D2417" s="16" t="n"/>
      <c r="E2417" s="19" t="n"/>
      <c r="G2417" s="16" t="n"/>
      <c r="H2417" s="19" t="n"/>
    </row>
    <row r="2418">
      <c r="A2418" s="16" t="n"/>
      <c r="B2418" s="19" t="n"/>
      <c r="D2418" s="16" t="n"/>
      <c r="E2418" s="19" t="n"/>
      <c r="G2418" s="16" t="n"/>
      <c r="H2418" s="19" t="n"/>
    </row>
    <row r="2419">
      <c r="A2419" s="16" t="n"/>
      <c r="B2419" s="19" t="n"/>
      <c r="D2419" s="16" t="n"/>
      <c r="E2419" s="19" t="n"/>
      <c r="G2419" s="16" t="n"/>
      <c r="H2419" s="19" t="n"/>
    </row>
    <row r="2420">
      <c r="A2420" s="16" t="n"/>
      <c r="B2420" s="19" t="n"/>
      <c r="D2420" s="16" t="n"/>
      <c r="E2420" s="19" t="n"/>
      <c r="G2420" s="16" t="n"/>
      <c r="H2420" s="19" t="n"/>
    </row>
    <row r="2421">
      <c r="A2421" s="16" t="n"/>
      <c r="B2421" s="19" t="n"/>
      <c r="D2421" s="16" t="n"/>
      <c r="E2421" s="19" t="n"/>
      <c r="G2421" s="16" t="n"/>
      <c r="H2421" s="19" t="n"/>
    </row>
    <row r="2422">
      <c r="A2422" s="16" t="n"/>
      <c r="B2422" s="19" t="n"/>
      <c r="D2422" s="16" t="n"/>
      <c r="E2422" s="19" t="n"/>
      <c r="G2422" s="16" t="n"/>
      <c r="H2422" s="19" t="n"/>
    </row>
    <row r="2423">
      <c r="A2423" s="16" t="n"/>
      <c r="B2423" s="19" t="n"/>
      <c r="D2423" s="16" t="n"/>
      <c r="E2423" s="19" t="n"/>
      <c r="G2423" s="16" t="n"/>
      <c r="H2423" s="19" t="n"/>
    </row>
    <row r="2424">
      <c r="A2424" s="16" t="n"/>
      <c r="B2424" s="19" t="n"/>
      <c r="D2424" s="16" t="n"/>
      <c r="E2424" s="19" t="n"/>
      <c r="G2424" s="16" t="n"/>
      <c r="H2424" s="19" t="n"/>
    </row>
    <row r="2425">
      <c r="A2425" s="16" t="n"/>
      <c r="B2425" s="19" t="n"/>
      <c r="D2425" s="16" t="n"/>
      <c r="E2425" s="19" t="n"/>
      <c r="G2425" s="16" t="n"/>
      <c r="H2425" s="19" t="n"/>
    </row>
    <row r="2426">
      <c r="A2426" s="16" t="n"/>
      <c r="B2426" s="19" t="n"/>
      <c r="D2426" s="16" t="n"/>
      <c r="E2426" s="19" t="n"/>
      <c r="G2426" s="16" t="n"/>
      <c r="H2426" s="19" t="n"/>
    </row>
    <row r="2427">
      <c r="A2427" s="16" t="n"/>
      <c r="B2427" s="19" t="n"/>
      <c r="D2427" s="16" t="n"/>
      <c r="E2427" s="19" t="n"/>
      <c r="G2427" s="16" t="n"/>
      <c r="H2427" s="19" t="n"/>
    </row>
    <row r="2428">
      <c r="A2428" s="16" t="n"/>
      <c r="B2428" s="19" t="n"/>
      <c r="D2428" s="16" t="n"/>
      <c r="E2428" s="19" t="n"/>
      <c r="G2428" s="16" t="n"/>
      <c r="H2428" s="19" t="n"/>
    </row>
    <row r="2429">
      <c r="A2429" s="16" t="n"/>
      <c r="B2429" s="19" t="n"/>
      <c r="D2429" s="16" t="n"/>
      <c r="E2429" s="19" t="n"/>
      <c r="G2429" s="16" t="n"/>
      <c r="H2429" s="19" t="n"/>
    </row>
    <row r="2430">
      <c r="A2430" s="16" t="n"/>
      <c r="B2430" s="19" t="n"/>
      <c r="D2430" s="16" t="n"/>
      <c r="E2430" s="19" t="n"/>
      <c r="G2430" s="16" t="n"/>
      <c r="H2430" s="19" t="n"/>
    </row>
    <row r="2431">
      <c r="A2431" s="16" t="n"/>
      <c r="B2431" s="19" t="n"/>
      <c r="D2431" s="16" t="n"/>
      <c r="E2431" s="19" t="n"/>
      <c r="G2431" s="16" t="n"/>
      <c r="H2431" s="19" t="n"/>
    </row>
    <row r="2432">
      <c r="A2432" s="16" t="n"/>
      <c r="B2432" s="19" t="n"/>
      <c r="D2432" s="16" t="n"/>
      <c r="E2432" s="19" t="n"/>
      <c r="G2432" s="16" t="n"/>
      <c r="H2432" s="19" t="n"/>
    </row>
    <row r="2433">
      <c r="A2433" s="16" t="n"/>
      <c r="B2433" s="19" t="n"/>
      <c r="D2433" s="16" t="n"/>
      <c r="E2433" s="19" t="n"/>
      <c r="G2433" s="16" t="n"/>
      <c r="H2433" s="19" t="n"/>
    </row>
    <row r="2434">
      <c r="A2434" s="16" t="n"/>
      <c r="B2434" s="19" t="n"/>
      <c r="D2434" s="16" t="n"/>
      <c r="E2434" s="19" t="n"/>
      <c r="G2434" s="16" t="n"/>
      <c r="H2434" s="19" t="n"/>
    </row>
    <row r="2435">
      <c r="A2435" s="16" t="n"/>
      <c r="B2435" s="19" t="n"/>
      <c r="D2435" s="16" t="n"/>
      <c r="E2435" s="19" t="n"/>
      <c r="G2435" s="16" t="n"/>
      <c r="H2435" s="19" t="n"/>
    </row>
    <row r="2436">
      <c r="A2436" s="16" t="n"/>
      <c r="B2436" s="19" t="n"/>
      <c r="D2436" s="16" t="n"/>
      <c r="E2436" s="19" t="n"/>
      <c r="G2436" s="16" t="n"/>
      <c r="H2436" s="19" t="n"/>
    </row>
    <row r="2437">
      <c r="A2437" s="16" t="n"/>
      <c r="B2437" s="19" t="n"/>
      <c r="D2437" s="16" t="n"/>
      <c r="E2437" s="19" t="n"/>
      <c r="G2437" s="16" t="n"/>
      <c r="H2437" s="19" t="n"/>
    </row>
    <row r="2438">
      <c r="A2438" s="16" t="n"/>
      <c r="B2438" s="19" t="n"/>
      <c r="D2438" s="16" t="n"/>
      <c r="E2438" s="19" t="n"/>
      <c r="G2438" s="16" t="n"/>
      <c r="H2438" s="19" t="n"/>
    </row>
    <row r="2439">
      <c r="A2439" s="16" t="n"/>
      <c r="B2439" s="19" t="n"/>
      <c r="D2439" s="16" t="n"/>
      <c r="E2439" s="19" t="n"/>
      <c r="G2439" s="16" t="n"/>
      <c r="H2439" s="19" t="n"/>
    </row>
    <row r="2440">
      <c r="A2440" s="16" t="n"/>
      <c r="B2440" s="19" t="n"/>
      <c r="D2440" s="16" t="n"/>
      <c r="E2440" s="19" t="n"/>
      <c r="G2440" s="16" t="n"/>
      <c r="H2440" s="19" t="n"/>
    </row>
    <row r="2441">
      <c r="A2441" s="16" t="n"/>
      <c r="B2441" s="19" t="n"/>
      <c r="D2441" s="16" t="n"/>
      <c r="E2441" s="19" t="n"/>
      <c r="G2441" s="16" t="n"/>
      <c r="H2441" s="19" t="n"/>
    </row>
    <row r="2442">
      <c r="A2442" s="16" t="n"/>
      <c r="B2442" s="19" t="n"/>
      <c r="D2442" s="16" t="n"/>
      <c r="E2442" s="19" t="n"/>
      <c r="G2442" s="16" t="n"/>
      <c r="H2442" s="19" t="n"/>
    </row>
    <row r="2443">
      <c r="A2443" s="16" t="n"/>
      <c r="B2443" s="19" t="n"/>
      <c r="D2443" s="16" t="n"/>
      <c r="E2443" s="19" t="n"/>
      <c r="G2443" s="16" t="n"/>
      <c r="H2443" s="19" t="n"/>
    </row>
    <row r="2444">
      <c r="A2444" s="16" t="n"/>
      <c r="B2444" s="19" t="n"/>
      <c r="D2444" s="16" t="n"/>
      <c r="E2444" s="19" t="n"/>
      <c r="G2444" s="16" t="n"/>
      <c r="H2444" s="19" t="n"/>
    </row>
    <row r="2445">
      <c r="A2445" s="16" t="n"/>
      <c r="B2445" s="19" t="n"/>
      <c r="D2445" s="16" t="n"/>
      <c r="E2445" s="19" t="n"/>
      <c r="G2445" s="16" t="n"/>
      <c r="H2445" s="19" t="n"/>
    </row>
    <row r="2446">
      <c r="A2446" s="16" t="n"/>
      <c r="B2446" s="19" t="n"/>
      <c r="D2446" s="16" t="n"/>
      <c r="E2446" s="19" t="n"/>
      <c r="G2446" s="16" t="n"/>
      <c r="H2446" s="19" t="n"/>
    </row>
    <row r="2447">
      <c r="A2447" s="16" t="n"/>
      <c r="B2447" s="19" t="n"/>
      <c r="D2447" s="16" t="n"/>
      <c r="E2447" s="19" t="n"/>
      <c r="G2447" s="16" t="n"/>
      <c r="H2447" s="19" t="n"/>
    </row>
    <row r="2448">
      <c r="A2448" s="16" t="n"/>
      <c r="B2448" s="19" t="n"/>
      <c r="D2448" s="16" t="n"/>
      <c r="E2448" s="19" t="n"/>
      <c r="G2448" s="16" t="n"/>
      <c r="H2448" s="19" t="n"/>
    </row>
    <row r="2449">
      <c r="A2449" s="16" t="n"/>
      <c r="B2449" s="19" t="n"/>
      <c r="D2449" s="16" t="n"/>
      <c r="E2449" s="19" t="n"/>
      <c r="G2449" s="16" t="n"/>
      <c r="H2449" s="19" t="n"/>
    </row>
    <row r="2450">
      <c r="A2450" s="16" t="n"/>
      <c r="B2450" s="19" t="n"/>
      <c r="D2450" s="16" t="n"/>
      <c r="E2450" s="19" t="n"/>
      <c r="G2450" s="16" t="n"/>
      <c r="H2450" s="19" t="n"/>
    </row>
    <row r="2451">
      <c r="A2451" s="16" t="n"/>
      <c r="B2451" s="19" t="n"/>
      <c r="D2451" s="16" t="n"/>
      <c r="E2451" s="19" t="n"/>
      <c r="G2451" s="16" t="n"/>
      <c r="H2451" s="19" t="n"/>
    </row>
    <row r="2452">
      <c r="A2452" s="16" t="n"/>
      <c r="B2452" s="19" t="n"/>
      <c r="D2452" s="16" t="n"/>
      <c r="E2452" s="19" t="n"/>
      <c r="G2452" s="16" t="n"/>
      <c r="H2452" s="19" t="n"/>
    </row>
    <row r="2453">
      <c r="A2453" s="16" t="n"/>
      <c r="B2453" s="19" t="n"/>
      <c r="D2453" s="16" t="n"/>
      <c r="E2453" s="19" t="n"/>
      <c r="G2453" s="16" t="n"/>
      <c r="H2453" s="19" t="n"/>
    </row>
    <row r="2454">
      <c r="A2454" s="16" t="n"/>
      <c r="B2454" s="19" t="n"/>
      <c r="D2454" s="16" t="n"/>
      <c r="E2454" s="19" t="n"/>
      <c r="G2454" s="16" t="n"/>
      <c r="H2454" s="19" t="n"/>
    </row>
    <row r="2455">
      <c r="A2455" s="16" t="n"/>
      <c r="B2455" s="19" t="n"/>
      <c r="D2455" s="16" t="n"/>
      <c r="E2455" s="19" t="n"/>
      <c r="G2455" s="16" t="n"/>
      <c r="H2455" s="19" t="n"/>
    </row>
    <row r="2456">
      <c r="A2456" s="16" t="n"/>
      <c r="B2456" s="19" t="n"/>
      <c r="D2456" s="16" t="n"/>
      <c r="E2456" s="19" t="n"/>
      <c r="G2456" s="16" t="n"/>
      <c r="H2456" s="19" t="n"/>
    </row>
    <row r="2457">
      <c r="A2457" s="16" t="n"/>
      <c r="B2457" s="19" t="n"/>
      <c r="D2457" s="16" t="n"/>
      <c r="E2457" s="19" t="n"/>
      <c r="G2457" s="16" t="n"/>
      <c r="H2457" s="19" t="n"/>
    </row>
    <row r="2458">
      <c r="A2458" s="16" t="n"/>
      <c r="B2458" s="19" t="n"/>
      <c r="D2458" s="16" t="n"/>
      <c r="E2458" s="19" t="n"/>
      <c r="G2458" s="16" t="n"/>
      <c r="H2458" s="19" t="n"/>
    </row>
    <row r="2459">
      <c r="A2459" s="16" t="n"/>
      <c r="B2459" s="19" t="n"/>
      <c r="D2459" s="16" t="n"/>
      <c r="E2459" s="19" t="n"/>
      <c r="G2459" s="16" t="n"/>
      <c r="H2459" s="19" t="n"/>
    </row>
    <row r="2460">
      <c r="A2460" s="16" t="n"/>
      <c r="B2460" s="19" t="n"/>
      <c r="D2460" s="16" t="n"/>
      <c r="E2460" s="19" t="n"/>
      <c r="G2460" s="16" t="n"/>
      <c r="H2460" s="19" t="n"/>
    </row>
    <row r="2461">
      <c r="A2461" s="16" t="n"/>
      <c r="B2461" s="19" t="n"/>
      <c r="D2461" s="16" t="n"/>
      <c r="E2461" s="19" t="n"/>
      <c r="G2461" s="16" t="n"/>
      <c r="H2461" s="19" t="n"/>
    </row>
    <row r="2462">
      <c r="A2462" s="16" t="n"/>
      <c r="B2462" s="19" t="n"/>
      <c r="D2462" s="16" t="n"/>
      <c r="E2462" s="19" t="n"/>
      <c r="G2462" s="16" t="n"/>
      <c r="H2462" s="19" t="n"/>
    </row>
    <row r="2463">
      <c r="A2463" s="16" t="n"/>
      <c r="B2463" s="19" t="n"/>
      <c r="D2463" s="16" t="n"/>
      <c r="E2463" s="19" t="n"/>
      <c r="G2463" s="16" t="n"/>
      <c r="H2463" s="19" t="n"/>
    </row>
    <row r="2464">
      <c r="A2464" s="16" t="n"/>
      <c r="B2464" s="19" t="n"/>
      <c r="D2464" s="16" t="n"/>
      <c r="E2464" s="19" t="n"/>
      <c r="G2464" s="16" t="n"/>
      <c r="H2464" s="19" t="n"/>
    </row>
    <row r="2465">
      <c r="A2465" s="16" t="n"/>
      <c r="B2465" s="19" t="n"/>
      <c r="D2465" s="16" t="n"/>
      <c r="E2465" s="19" t="n"/>
      <c r="G2465" s="16" t="n"/>
      <c r="H2465" s="19" t="n"/>
    </row>
    <row r="2466">
      <c r="A2466" s="16" t="n"/>
      <c r="B2466" s="19" t="n"/>
      <c r="D2466" s="16" t="n"/>
      <c r="E2466" s="19" t="n"/>
      <c r="G2466" s="16" t="n"/>
      <c r="H2466" s="19" t="n"/>
    </row>
    <row r="2467">
      <c r="A2467" s="16" t="n"/>
      <c r="B2467" s="19" t="n"/>
      <c r="D2467" s="16" t="n"/>
      <c r="E2467" s="19" t="n"/>
      <c r="G2467" s="16" t="n"/>
      <c r="H2467" s="19" t="n"/>
    </row>
    <row r="2468">
      <c r="A2468" s="16" t="n"/>
      <c r="B2468" s="19" t="n"/>
      <c r="D2468" s="16" t="n"/>
      <c r="E2468" s="19" t="n"/>
      <c r="G2468" s="16" t="n"/>
      <c r="H2468" s="19" t="n"/>
    </row>
    <row r="2469">
      <c r="A2469" s="16" t="n"/>
      <c r="B2469" s="19" t="n"/>
      <c r="D2469" s="16" t="n"/>
      <c r="E2469" s="19" t="n"/>
      <c r="G2469" s="16" t="n"/>
      <c r="H2469" s="19" t="n"/>
    </row>
    <row r="2470">
      <c r="A2470" s="16" t="n"/>
      <c r="B2470" s="19" t="n"/>
      <c r="D2470" s="16" t="n"/>
      <c r="E2470" s="19" t="n"/>
      <c r="G2470" s="16" t="n"/>
      <c r="H2470" s="19" t="n"/>
    </row>
    <row r="2471">
      <c r="A2471" s="16" t="n"/>
      <c r="B2471" s="19" t="n"/>
      <c r="D2471" s="16" t="n"/>
      <c r="E2471" s="19" t="n"/>
      <c r="G2471" s="16" t="n"/>
      <c r="H2471" s="19" t="n"/>
    </row>
    <row r="2472">
      <c r="A2472" s="16" t="n"/>
      <c r="B2472" s="19" t="n"/>
      <c r="D2472" s="16" t="n"/>
      <c r="E2472" s="19" t="n"/>
      <c r="G2472" s="16" t="n"/>
      <c r="H2472" s="19" t="n"/>
    </row>
    <row r="2473">
      <c r="A2473" s="16" t="n"/>
      <c r="B2473" s="19" t="n"/>
      <c r="D2473" s="16" t="n"/>
      <c r="E2473" s="19" t="n"/>
      <c r="G2473" s="16" t="n"/>
      <c r="H2473" s="19" t="n"/>
    </row>
    <row r="2474">
      <c r="A2474" s="16" t="n"/>
      <c r="B2474" s="19" t="n"/>
      <c r="D2474" s="16" t="n"/>
      <c r="E2474" s="19" t="n"/>
      <c r="G2474" s="16" t="n"/>
      <c r="H2474" s="19" t="n"/>
    </row>
    <row r="2475">
      <c r="A2475" s="16" t="n"/>
      <c r="B2475" s="19" t="n"/>
      <c r="D2475" s="16" t="n"/>
      <c r="E2475" s="19" t="n"/>
      <c r="G2475" s="16" t="n"/>
      <c r="H2475" s="19" t="n"/>
    </row>
    <row r="2476">
      <c r="A2476" s="16" t="n"/>
      <c r="B2476" s="19" t="n"/>
      <c r="D2476" s="16" t="n"/>
      <c r="E2476" s="19" t="n"/>
      <c r="G2476" s="16" t="n"/>
      <c r="H2476" s="19" t="n"/>
    </row>
    <row r="2477">
      <c r="A2477" s="16" t="n"/>
      <c r="B2477" s="19" t="n"/>
      <c r="D2477" s="16" t="n"/>
      <c r="E2477" s="19" t="n"/>
      <c r="G2477" s="16" t="n"/>
      <c r="H2477" s="19" t="n"/>
    </row>
    <row r="2478">
      <c r="A2478" s="16" t="n"/>
      <c r="B2478" s="19" t="n"/>
      <c r="D2478" s="16" t="n"/>
      <c r="E2478" s="19" t="n"/>
      <c r="G2478" s="16" t="n"/>
      <c r="H2478" s="19" t="n"/>
    </row>
    <row r="2479">
      <c r="A2479" s="16" t="n"/>
      <c r="B2479" s="19" t="n"/>
      <c r="D2479" s="16" t="n"/>
      <c r="E2479" s="19" t="n"/>
      <c r="G2479" s="16" t="n"/>
      <c r="H2479" s="19" t="n"/>
    </row>
    <row r="2480">
      <c r="A2480" s="16" t="n"/>
      <c r="B2480" s="19" t="n"/>
      <c r="D2480" s="16" t="n"/>
      <c r="E2480" s="19" t="n"/>
      <c r="G2480" s="16" t="n"/>
      <c r="H2480" s="19" t="n"/>
    </row>
    <row r="2481">
      <c r="A2481" s="16" t="n"/>
      <c r="B2481" s="19" t="n"/>
      <c r="D2481" s="16" t="n"/>
      <c r="E2481" s="19" t="n"/>
      <c r="G2481" s="16" t="n"/>
      <c r="H2481" s="19" t="n"/>
    </row>
    <row r="2482">
      <c r="A2482" s="16" t="n"/>
      <c r="B2482" s="19" t="n"/>
      <c r="D2482" s="16" t="n"/>
      <c r="E2482" s="19" t="n"/>
      <c r="G2482" s="16" t="n"/>
      <c r="H2482" s="19" t="n"/>
    </row>
    <row r="2483">
      <c r="A2483" s="16" t="n"/>
      <c r="B2483" s="19" t="n"/>
      <c r="D2483" s="16" t="n"/>
      <c r="E2483" s="19" t="n"/>
      <c r="G2483" s="16" t="n"/>
      <c r="H2483" s="19" t="n"/>
    </row>
    <row r="2484">
      <c r="A2484" s="16" t="n"/>
      <c r="B2484" s="19" t="n"/>
      <c r="D2484" s="16" t="n"/>
      <c r="E2484" s="19" t="n"/>
      <c r="G2484" s="16" t="n"/>
      <c r="H2484" s="19" t="n"/>
    </row>
    <row r="2485">
      <c r="A2485" s="16" t="n"/>
      <c r="B2485" s="19" t="n"/>
      <c r="D2485" s="16" t="n"/>
      <c r="E2485" s="19" t="n"/>
      <c r="G2485" s="16" t="n"/>
      <c r="H2485" s="19" t="n"/>
    </row>
    <row r="2486">
      <c r="A2486" s="16" t="n"/>
      <c r="B2486" s="19" t="n"/>
      <c r="D2486" s="16" t="n"/>
      <c r="E2486" s="19" t="n"/>
      <c r="G2486" s="16" t="n"/>
      <c r="H2486" s="19" t="n"/>
    </row>
    <row r="2487">
      <c r="A2487" s="16" t="n"/>
      <c r="B2487" s="19" t="n"/>
      <c r="D2487" s="16" t="n"/>
      <c r="E2487" s="19" t="n"/>
      <c r="G2487" s="16" t="n"/>
      <c r="H2487" s="19" t="n"/>
    </row>
    <row r="2488">
      <c r="A2488" s="16" t="n"/>
      <c r="B2488" s="19" t="n"/>
      <c r="D2488" s="16" t="n"/>
      <c r="E2488" s="19" t="n"/>
      <c r="G2488" s="16" t="n"/>
      <c r="H2488" s="19" t="n"/>
    </row>
    <row r="2489">
      <c r="A2489" s="16" t="n"/>
      <c r="B2489" s="19" t="n"/>
      <c r="D2489" s="16" t="n"/>
      <c r="E2489" s="19" t="n"/>
      <c r="G2489" s="16" t="n"/>
      <c r="H2489" s="19" t="n"/>
    </row>
    <row r="2490">
      <c r="A2490" s="16" t="n"/>
      <c r="B2490" s="19" t="n"/>
      <c r="D2490" s="16" t="n"/>
      <c r="E2490" s="19" t="n"/>
      <c r="G2490" s="16" t="n"/>
      <c r="H2490" s="19" t="n"/>
    </row>
    <row r="2491">
      <c r="A2491" s="16" t="n"/>
      <c r="B2491" s="19" t="n"/>
      <c r="D2491" s="16" t="n"/>
      <c r="E2491" s="19" t="n"/>
      <c r="G2491" s="16" t="n"/>
      <c r="H2491" s="19" t="n"/>
    </row>
    <row r="2492">
      <c r="A2492" s="16" t="n"/>
      <c r="B2492" s="19" t="n"/>
      <c r="D2492" s="16" t="n"/>
      <c r="E2492" s="19" t="n"/>
      <c r="G2492" s="16" t="n"/>
      <c r="H2492" s="19" t="n"/>
    </row>
    <row r="2493">
      <c r="A2493" s="16" t="n"/>
      <c r="B2493" s="19" t="n"/>
      <c r="D2493" s="16" t="n"/>
      <c r="E2493" s="19" t="n"/>
      <c r="G2493" s="16" t="n"/>
      <c r="H2493" s="19" t="n"/>
    </row>
    <row r="2494">
      <c r="A2494" s="16" t="n"/>
      <c r="B2494" s="19" t="n"/>
      <c r="D2494" s="16" t="n"/>
      <c r="E2494" s="19" t="n"/>
      <c r="G2494" s="16" t="n"/>
      <c r="H2494" s="19" t="n"/>
    </row>
    <row r="2495">
      <c r="A2495" s="16" t="n"/>
      <c r="B2495" s="19" t="n"/>
      <c r="D2495" s="16" t="n"/>
      <c r="E2495" s="19" t="n"/>
      <c r="G2495" s="16" t="n"/>
      <c r="H2495" s="19" t="n"/>
    </row>
    <row r="2496">
      <c r="A2496" s="16" t="n"/>
      <c r="B2496" s="19" t="n"/>
      <c r="D2496" s="16" t="n"/>
      <c r="E2496" s="19" t="n"/>
      <c r="G2496" s="16" t="n"/>
      <c r="H2496" s="19" t="n"/>
    </row>
    <row r="2497">
      <c r="A2497" s="16" t="n"/>
      <c r="B2497" s="19" t="n"/>
      <c r="D2497" s="16" t="n"/>
      <c r="E2497" s="19" t="n"/>
      <c r="G2497" s="16" t="n"/>
      <c r="H2497" s="19" t="n"/>
    </row>
    <row r="2498">
      <c r="A2498" s="16" t="n"/>
      <c r="B2498" s="19" t="n"/>
      <c r="D2498" s="16" t="n"/>
      <c r="E2498" s="19" t="n"/>
      <c r="G2498" s="16" t="n"/>
      <c r="H2498" s="19" t="n"/>
    </row>
    <row r="2499">
      <c r="A2499" s="16" t="n"/>
      <c r="B2499" s="19" t="n"/>
      <c r="D2499" s="16" t="n"/>
      <c r="E2499" s="19" t="n"/>
      <c r="G2499" s="16" t="n"/>
      <c r="H2499" s="19" t="n"/>
    </row>
    <row r="2500">
      <c r="A2500" s="16" t="n"/>
      <c r="B2500" s="19" t="n"/>
      <c r="D2500" s="16" t="n"/>
      <c r="E2500" s="19" t="n"/>
      <c r="G2500" s="16" t="n"/>
      <c r="H2500" s="19" t="n"/>
    </row>
    <row r="2501">
      <c r="A2501" s="16" t="n"/>
      <c r="B2501" s="19" t="n"/>
      <c r="D2501" s="16" t="n"/>
      <c r="E2501" s="19" t="n"/>
      <c r="G2501" s="16" t="n"/>
      <c r="H2501" s="19" t="n"/>
    </row>
    <row r="2502">
      <c r="A2502" s="16" t="n"/>
      <c r="B2502" s="19" t="n"/>
      <c r="D2502" s="16" t="n"/>
      <c r="E2502" s="19" t="n"/>
      <c r="G2502" s="16" t="n"/>
      <c r="H2502" s="19" t="n"/>
    </row>
    <row r="2503">
      <c r="A2503" s="16" t="n"/>
      <c r="B2503" s="19" t="n"/>
      <c r="D2503" s="16" t="n"/>
      <c r="E2503" s="19" t="n"/>
      <c r="G2503" s="16" t="n"/>
      <c r="H2503" s="19" t="n"/>
    </row>
    <row r="2504">
      <c r="A2504" s="16" t="n"/>
      <c r="B2504" s="19" t="n"/>
      <c r="D2504" s="16" t="n"/>
      <c r="E2504" s="19" t="n"/>
      <c r="G2504" s="16" t="n"/>
      <c r="H2504" s="19" t="n"/>
    </row>
    <row r="2505">
      <c r="A2505" s="16" t="n"/>
      <c r="B2505" s="19" t="n"/>
      <c r="D2505" s="16" t="n"/>
      <c r="E2505" s="19" t="n"/>
      <c r="G2505" s="16" t="n"/>
      <c r="H2505" s="19" t="n"/>
    </row>
    <row r="2506">
      <c r="A2506" s="16" t="n"/>
      <c r="B2506" s="19" t="n"/>
      <c r="D2506" s="16" t="n"/>
      <c r="E2506" s="19" t="n"/>
      <c r="G2506" s="16" t="n"/>
      <c r="H2506" s="19" t="n"/>
    </row>
    <row r="2507">
      <c r="A2507" s="16" t="n"/>
      <c r="B2507" s="19" t="n"/>
      <c r="D2507" s="16" t="n"/>
      <c r="E2507" s="19" t="n"/>
      <c r="G2507" s="16" t="n"/>
      <c r="H2507" s="19" t="n"/>
    </row>
    <row r="2508">
      <c r="A2508" s="16" t="n"/>
      <c r="B2508" s="19" t="n"/>
      <c r="D2508" s="16" t="n"/>
      <c r="E2508" s="19" t="n"/>
      <c r="G2508" s="16" t="n"/>
      <c r="H2508" s="19" t="n"/>
    </row>
    <row r="2509">
      <c r="A2509" s="16" t="n"/>
      <c r="B2509" s="19" t="n"/>
      <c r="D2509" s="16" t="n"/>
      <c r="E2509" s="19" t="n"/>
      <c r="G2509" s="16" t="n"/>
      <c r="H2509" s="19" t="n"/>
    </row>
    <row r="2510">
      <c r="A2510" s="16" t="n"/>
      <c r="B2510" s="19" t="n"/>
      <c r="D2510" s="16" t="n"/>
      <c r="E2510" s="19" t="n"/>
      <c r="G2510" s="16" t="n"/>
      <c r="H2510" s="19" t="n"/>
    </row>
    <row r="2511">
      <c r="A2511" s="16" t="n"/>
      <c r="B2511" s="19" t="n"/>
      <c r="D2511" s="16" t="n"/>
      <c r="E2511" s="19" t="n"/>
      <c r="G2511" s="16" t="n"/>
      <c r="H2511" s="19" t="n"/>
    </row>
    <row r="2512">
      <c r="A2512" s="16" t="n"/>
      <c r="B2512" s="19" t="n"/>
      <c r="D2512" s="16" t="n"/>
      <c r="E2512" s="19" t="n"/>
      <c r="G2512" s="16" t="n"/>
      <c r="H2512" s="19" t="n"/>
    </row>
    <row r="2513">
      <c r="A2513" s="16" t="n"/>
      <c r="B2513" s="19" t="n"/>
      <c r="D2513" s="16" t="n"/>
      <c r="E2513" s="19" t="n"/>
      <c r="G2513" s="16" t="n"/>
      <c r="H2513" s="19" t="n"/>
    </row>
    <row r="2514">
      <c r="A2514" s="16" t="n"/>
      <c r="B2514" s="19" t="n"/>
      <c r="D2514" s="16" t="n"/>
      <c r="E2514" s="19" t="n"/>
      <c r="G2514" s="16" t="n"/>
      <c r="H2514" s="19" t="n"/>
    </row>
    <row r="2515">
      <c r="A2515" s="16" t="n"/>
      <c r="B2515" s="19" t="n"/>
      <c r="D2515" s="16" t="n"/>
      <c r="E2515" s="19" t="n"/>
      <c r="G2515" s="16" t="n"/>
      <c r="H2515" s="19" t="n"/>
    </row>
    <row r="2516">
      <c r="A2516" s="16" t="n"/>
      <c r="B2516" s="19" t="n"/>
      <c r="D2516" s="16" t="n"/>
      <c r="E2516" s="19" t="n"/>
      <c r="G2516" s="16" t="n"/>
      <c r="H2516" s="19" t="n"/>
    </row>
    <row r="2517">
      <c r="A2517" s="16" t="n"/>
      <c r="B2517" s="19" t="n"/>
      <c r="D2517" s="16" t="n"/>
      <c r="E2517" s="19" t="n"/>
      <c r="G2517" s="16" t="n"/>
      <c r="H2517" s="19" t="n"/>
    </row>
    <row r="2518">
      <c r="A2518" s="16" t="n"/>
      <c r="B2518" s="19" t="n"/>
      <c r="D2518" s="16" t="n"/>
      <c r="E2518" s="19" t="n"/>
      <c r="G2518" s="16" t="n"/>
      <c r="H2518" s="19" t="n"/>
    </row>
    <row r="2519">
      <c r="A2519" s="16" t="n"/>
      <c r="B2519" s="19" t="n"/>
      <c r="D2519" s="16" t="n"/>
      <c r="E2519" s="19" t="n"/>
      <c r="G2519" s="16" t="n"/>
      <c r="H2519" s="19" t="n"/>
    </row>
    <row r="2520">
      <c r="A2520" s="16" t="n"/>
      <c r="B2520" s="19" t="n"/>
      <c r="D2520" s="16" t="n"/>
      <c r="E2520" s="19" t="n"/>
      <c r="G2520" s="16" t="n"/>
      <c r="H2520" s="19" t="n"/>
    </row>
    <row r="2521">
      <c r="A2521" s="16" t="n"/>
      <c r="B2521" s="19" t="n"/>
      <c r="D2521" s="16" t="n"/>
      <c r="E2521" s="19" t="n"/>
      <c r="G2521" s="16" t="n"/>
      <c r="H2521" s="19" t="n"/>
    </row>
    <row r="2522">
      <c r="A2522" s="16" t="n"/>
      <c r="B2522" s="19" t="n"/>
      <c r="D2522" s="16" t="n"/>
      <c r="E2522" s="19" t="n"/>
      <c r="G2522" s="16" t="n"/>
      <c r="H2522" s="19" t="n"/>
    </row>
    <row r="2523">
      <c r="A2523" s="16" t="n"/>
      <c r="B2523" s="19" t="n"/>
      <c r="D2523" s="16" t="n"/>
      <c r="E2523" s="19" t="n"/>
      <c r="G2523" s="16" t="n"/>
      <c r="H2523" s="19" t="n"/>
    </row>
    <row r="2524">
      <c r="A2524" s="16" t="n"/>
      <c r="B2524" s="19" t="n"/>
      <c r="D2524" s="16" t="n"/>
      <c r="E2524" s="19" t="n"/>
      <c r="G2524" s="16" t="n"/>
      <c r="H2524" s="19" t="n"/>
    </row>
    <row r="2525">
      <c r="A2525" s="16" t="n"/>
      <c r="B2525" s="19" t="n"/>
      <c r="D2525" s="16" t="n"/>
      <c r="E2525" s="19" t="n"/>
      <c r="G2525" s="16" t="n"/>
      <c r="H2525" s="19" t="n"/>
    </row>
    <row r="2526">
      <c r="A2526" s="16" t="n"/>
      <c r="B2526" s="19" t="n"/>
      <c r="D2526" s="16" t="n"/>
      <c r="E2526" s="19" t="n"/>
      <c r="G2526" s="16" t="n"/>
      <c r="H2526" s="19" t="n"/>
    </row>
    <row r="2527">
      <c r="A2527" s="16" t="n"/>
      <c r="B2527" s="19" t="n"/>
      <c r="D2527" s="16" t="n"/>
      <c r="E2527" s="19" t="n"/>
      <c r="G2527" s="16" t="n"/>
      <c r="H2527" s="19" t="n"/>
    </row>
    <row r="2528">
      <c r="A2528" s="16" t="n"/>
      <c r="B2528" s="19" t="n"/>
      <c r="D2528" s="16" t="n"/>
      <c r="E2528" s="19" t="n"/>
      <c r="G2528" s="16" t="n"/>
      <c r="H2528" s="19" t="n"/>
    </row>
    <row r="2529">
      <c r="A2529" s="16" t="n"/>
      <c r="B2529" s="19" t="n"/>
      <c r="D2529" s="16" t="n"/>
      <c r="E2529" s="19" t="n"/>
      <c r="G2529" s="16" t="n"/>
      <c r="H2529" s="19" t="n"/>
    </row>
    <row r="2530">
      <c r="A2530" s="16" t="n"/>
      <c r="B2530" s="19" t="n"/>
      <c r="D2530" s="16" t="n"/>
      <c r="E2530" s="19" t="n"/>
      <c r="G2530" s="16" t="n"/>
      <c r="H2530" s="19" t="n"/>
    </row>
    <row r="2531">
      <c r="A2531" s="16" t="n"/>
      <c r="B2531" s="19" t="n"/>
      <c r="D2531" s="16" t="n"/>
      <c r="E2531" s="19" t="n"/>
      <c r="G2531" s="16" t="n"/>
      <c r="H2531" s="19" t="n"/>
    </row>
    <row r="2532">
      <c r="A2532" s="16" t="n"/>
      <c r="B2532" s="19" t="n"/>
      <c r="D2532" s="16" t="n"/>
      <c r="E2532" s="19" t="n"/>
      <c r="G2532" s="16" t="n"/>
      <c r="H2532" s="19" t="n"/>
    </row>
    <row r="2533">
      <c r="A2533" s="16" t="n"/>
      <c r="B2533" s="19" t="n"/>
      <c r="D2533" s="16" t="n"/>
      <c r="E2533" s="19" t="n"/>
      <c r="G2533" s="16" t="n"/>
      <c r="H2533" s="19" t="n"/>
    </row>
    <row r="2534">
      <c r="A2534" s="16" t="n"/>
      <c r="B2534" s="19" t="n"/>
      <c r="D2534" s="16" t="n"/>
      <c r="E2534" s="19" t="n"/>
      <c r="G2534" s="16" t="n"/>
      <c r="H2534" s="19" t="n"/>
    </row>
    <row r="2535">
      <c r="A2535" s="16" t="n"/>
      <c r="B2535" s="19" t="n"/>
      <c r="D2535" s="16" t="n"/>
      <c r="E2535" s="19" t="n"/>
      <c r="G2535" s="16" t="n"/>
      <c r="H2535" s="19" t="n"/>
    </row>
    <row r="2536">
      <c r="A2536" s="16" t="n"/>
      <c r="B2536" s="19" t="n"/>
      <c r="D2536" s="16" t="n"/>
      <c r="E2536" s="19" t="n"/>
      <c r="G2536" s="16" t="n"/>
      <c r="H2536" s="19" t="n"/>
    </row>
    <row r="2537">
      <c r="A2537" s="16" t="n"/>
      <c r="B2537" s="19" t="n"/>
      <c r="D2537" s="16" t="n"/>
      <c r="E2537" s="19" t="n"/>
      <c r="G2537" s="16" t="n"/>
      <c r="H2537" s="19" t="n"/>
    </row>
    <row r="2538">
      <c r="A2538" s="16" t="n"/>
      <c r="B2538" s="19" t="n"/>
      <c r="D2538" s="16" t="n"/>
      <c r="E2538" s="19" t="n"/>
      <c r="G2538" s="16" t="n"/>
      <c r="H2538" s="19" t="n"/>
    </row>
    <row r="2539">
      <c r="A2539" s="16" t="n"/>
      <c r="B2539" s="19" t="n"/>
      <c r="D2539" s="16" t="n"/>
      <c r="E2539" s="19" t="n"/>
      <c r="G2539" s="16" t="n"/>
      <c r="H2539" s="19" t="n"/>
    </row>
    <row r="2540">
      <c r="A2540" s="16" t="n"/>
      <c r="B2540" s="19" t="n"/>
      <c r="D2540" s="16" t="n"/>
      <c r="E2540" s="19" t="n"/>
      <c r="G2540" s="16" t="n"/>
      <c r="H2540" s="19" t="n"/>
    </row>
    <row r="2541">
      <c r="A2541" s="16" t="n"/>
      <c r="B2541" s="19" t="n"/>
      <c r="D2541" s="16" t="n"/>
      <c r="E2541" s="19" t="n"/>
      <c r="G2541" s="16" t="n"/>
      <c r="H2541" s="19" t="n"/>
    </row>
    <row r="2542">
      <c r="A2542" s="16" t="n"/>
      <c r="B2542" s="19" t="n"/>
      <c r="D2542" s="16" t="n"/>
      <c r="E2542" s="19" t="n"/>
      <c r="G2542" s="16" t="n"/>
      <c r="H2542" s="19" t="n"/>
    </row>
    <row r="2543">
      <c r="A2543" s="16" t="n"/>
      <c r="B2543" s="19" t="n"/>
      <c r="D2543" s="16" t="n"/>
      <c r="E2543" s="19" t="n"/>
      <c r="G2543" s="16" t="n"/>
      <c r="H2543" s="19" t="n"/>
    </row>
    <row r="2544">
      <c r="A2544" s="16" t="n"/>
      <c r="B2544" s="19" t="n"/>
      <c r="D2544" s="16" t="n"/>
      <c r="E2544" s="19" t="n"/>
      <c r="G2544" s="16" t="n"/>
      <c r="H2544" s="19" t="n"/>
    </row>
    <row r="2545">
      <c r="A2545" s="16" t="n"/>
      <c r="B2545" s="19" t="n"/>
      <c r="D2545" s="16" t="n"/>
      <c r="E2545" s="19" t="n"/>
      <c r="G2545" s="16" t="n"/>
      <c r="H2545" s="19" t="n"/>
    </row>
    <row r="2546">
      <c r="A2546" s="16" t="n"/>
      <c r="B2546" s="19" t="n"/>
      <c r="D2546" s="16" t="n"/>
      <c r="E2546" s="19" t="n"/>
      <c r="G2546" s="16" t="n"/>
      <c r="H2546" s="19" t="n"/>
    </row>
    <row r="2547">
      <c r="A2547" s="16" t="n"/>
      <c r="B2547" s="19" t="n"/>
      <c r="D2547" s="16" t="n"/>
      <c r="E2547" s="19" t="n"/>
      <c r="G2547" s="16" t="n"/>
      <c r="H2547" s="19" t="n"/>
    </row>
    <row r="2548">
      <c r="A2548" s="16" t="n"/>
      <c r="B2548" s="19" t="n"/>
      <c r="D2548" s="16" t="n"/>
      <c r="E2548" s="19" t="n"/>
      <c r="G2548" s="16" t="n"/>
      <c r="H2548" s="19" t="n"/>
    </row>
    <row r="2549">
      <c r="A2549" s="16" t="n"/>
      <c r="B2549" s="19" t="n"/>
      <c r="D2549" s="16" t="n"/>
      <c r="E2549" s="19" t="n"/>
      <c r="G2549" s="16" t="n"/>
      <c r="H2549" s="19" t="n"/>
    </row>
    <row r="2550">
      <c r="A2550" s="16" t="n"/>
      <c r="B2550" s="19" t="n"/>
      <c r="D2550" s="16" t="n"/>
      <c r="E2550" s="19" t="n"/>
      <c r="G2550" s="16" t="n"/>
      <c r="H2550" s="19" t="n"/>
    </row>
    <row r="2551">
      <c r="A2551" s="16" t="n"/>
      <c r="B2551" s="19" t="n"/>
      <c r="D2551" s="16" t="n"/>
      <c r="E2551" s="19" t="n"/>
      <c r="G2551" s="16" t="n"/>
      <c r="H2551" s="19" t="n"/>
    </row>
    <row r="2552">
      <c r="A2552" s="16" t="n"/>
      <c r="B2552" s="19" t="n"/>
      <c r="D2552" s="16" t="n"/>
      <c r="E2552" s="19" t="n"/>
      <c r="G2552" s="16" t="n"/>
      <c r="H2552" s="19" t="n"/>
    </row>
    <row r="2553">
      <c r="A2553" s="16" t="n"/>
      <c r="B2553" s="19" t="n"/>
      <c r="D2553" s="16" t="n"/>
      <c r="E2553" s="19" t="n"/>
      <c r="G2553" s="16" t="n"/>
      <c r="H2553" s="19" t="n"/>
    </row>
    <row r="2554">
      <c r="A2554" s="16" t="n"/>
      <c r="B2554" s="19" t="n"/>
      <c r="D2554" s="16" t="n"/>
      <c r="E2554" s="19" t="n"/>
      <c r="G2554" s="16" t="n"/>
      <c r="H2554" s="19" t="n"/>
    </row>
    <row r="2555">
      <c r="A2555" s="16" t="n"/>
      <c r="B2555" s="19" t="n"/>
      <c r="D2555" s="16" t="n"/>
      <c r="E2555" s="19" t="n"/>
      <c r="G2555" s="16" t="n"/>
      <c r="H2555" s="19" t="n"/>
    </row>
    <row r="2556">
      <c r="A2556" s="16" t="n"/>
      <c r="B2556" s="19" t="n"/>
      <c r="D2556" s="16" t="n"/>
      <c r="E2556" s="19" t="n"/>
      <c r="G2556" s="16" t="n"/>
      <c r="H2556" s="19" t="n"/>
    </row>
    <row r="2557">
      <c r="A2557" s="16" t="n"/>
      <c r="B2557" s="19" t="n"/>
      <c r="D2557" s="16" t="n"/>
      <c r="E2557" s="19" t="n"/>
      <c r="G2557" s="16" t="n"/>
      <c r="H2557" s="19" t="n"/>
    </row>
    <row r="2558">
      <c r="A2558" s="16" t="n"/>
      <c r="B2558" s="19" t="n"/>
      <c r="D2558" s="16" t="n"/>
      <c r="E2558" s="19" t="n"/>
      <c r="G2558" s="16" t="n"/>
      <c r="H2558" s="19" t="n"/>
    </row>
    <row r="2559">
      <c r="A2559" s="16" t="n"/>
      <c r="B2559" s="19" t="n"/>
      <c r="D2559" s="16" t="n"/>
      <c r="E2559" s="19" t="n"/>
      <c r="G2559" s="16" t="n"/>
      <c r="H2559" s="19" t="n"/>
    </row>
    <row r="2560">
      <c r="A2560" s="16" t="n"/>
      <c r="B2560" s="19" t="n"/>
      <c r="D2560" s="16" t="n"/>
      <c r="E2560" s="19" t="n"/>
      <c r="G2560" s="16" t="n"/>
      <c r="H2560" s="19" t="n"/>
    </row>
    <row r="2561">
      <c r="A2561" s="16" t="n"/>
      <c r="B2561" s="19" t="n"/>
      <c r="D2561" s="16" t="n"/>
      <c r="E2561" s="19" t="n"/>
      <c r="G2561" s="16" t="n"/>
      <c r="H2561" s="19" t="n"/>
    </row>
    <row r="2562">
      <c r="A2562" s="16" t="n"/>
      <c r="B2562" s="19" t="n"/>
      <c r="D2562" s="16" t="n"/>
      <c r="E2562" s="19" t="n"/>
      <c r="G2562" s="16" t="n"/>
      <c r="H2562" s="19" t="n"/>
    </row>
    <row r="2563">
      <c r="A2563" s="16" t="n"/>
      <c r="B2563" s="19" t="n"/>
      <c r="D2563" s="16" t="n"/>
      <c r="E2563" s="19" t="n"/>
      <c r="G2563" s="16" t="n"/>
      <c r="H2563" s="19" t="n"/>
    </row>
    <row r="2564">
      <c r="A2564" s="16" t="n"/>
      <c r="B2564" s="19" t="n"/>
      <c r="D2564" s="16" t="n"/>
      <c r="E2564" s="19" t="n"/>
      <c r="G2564" s="16" t="n"/>
      <c r="H2564" s="19" t="n"/>
    </row>
    <row r="2565">
      <c r="A2565" s="16" t="n"/>
      <c r="B2565" s="19" t="n"/>
      <c r="D2565" s="16" t="n"/>
      <c r="E2565" s="19" t="n"/>
      <c r="G2565" s="16" t="n"/>
      <c r="H2565" s="19" t="n"/>
    </row>
    <row r="2566">
      <c r="A2566" s="16" t="n"/>
      <c r="B2566" s="19" t="n"/>
      <c r="D2566" s="16" t="n"/>
      <c r="E2566" s="19" t="n"/>
      <c r="G2566" s="16" t="n"/>
      <c r="H2566" s="19" t="n"/>
    </row>
    <row r="2567">
      <c r="A2567" s="16" t="n"/>
      <c r="B2567" s="19" t="n"/>
      <c r="D2567" s="16" t="n"/>
      <c r="E2567" s="19" t="n"/>
      <c r="G2567" s="16" t="n"/>
      <c r="H2567" s="19" t="n"/>
    </row>
    <row r="2568">
      <c r="A2568" s="16" t="n"/>
      <c r="B2568" s="19" t="n"/>
      <c r="D2568" s="16" t="n"/>
      <c r="E2568" s="19" t="n"/>
      <c r="G2568" s="16" t="n"/>
      <c r="H2568" s="19" t="n"/>
    </row>
    <row r="2569">
      <c r="A2569" s="16" t="n"/>
      <c r="B2569" s="19" t="n"/>
      <c r="D2569" s="16" t="n"/>
      <c r="E2569" s="19" t="n"/>
      <c r="G2569" s="16" t="n"/>
      <c r="H2569" s="19" t="n"/>
    </row>
    <row r="2570">
      <c r="A2570" s="16" t="n"/>
      <c r="B2570" s="19" t="n"/>
      <c r="D2570" s="16" t="n"/>
      <c r="E2570" s="19" t="n"/>
      <c r="G2570" s="16" t="n"/>
      <c r="H2570" s="19" t="n"/>
    </row>
    <row r="2571">
      <c r="A2571" s="16" t="n"/>
      <c r="B2571" s="19" t="n"/>
      <c r="D2571" s="16" t="n"/>
      <c r="E2571" s="19" t="n"/>
      <c r="G2571" s="16" t="n"/>
      <c r="H2571" s="19" t="n"/>
    </row>
    <row r="2572">
      <c r="A2572" s="16" t="n"/>
      <c r="B2572" s="19" t="n"/>
      <c r="D2572" s="16" t="n"/>
      <c r="E2572" s="19" t="n"/>
      <c r="G2572" s="16" t="n"/>
      <c r="H2572" s="19" t="n"/>
    </row>
    <row r="2573">
      <c r="A2573" s="16" t="n"/>
      <c r="B2573" s="19" t="n"/>
      <c r="D2573" s="16" t="n"/>
      <c r="E2573" s="19" t="n"/>
      <c r="G2573" s="16" t="n"/>
      <c r="H2573" s="19" t="n"/>
    </row>
    <row r="2574">
      <c r="A2574" s="16" t="n"/>
      <c r="B2574" s="19" t="n"/>
      <c r="D2574" s="16" t="n"/>
      <c r="E2574" s="19" t="n"/>
      <c r="G2574" s="16" t="n"/>
      <c r="H2574" s="19" t="n"/>
    </row>
    <row r="2575">
      <c r="A2575" s="16" t="n"/>
      <c r="B2575" s="19" t="n"/>
      <c r="D2575" s="16" t="n"/>
      <c r="E2575" s="19" t="n"/>
      <c r="G2575" s="16" t="n"/>
      <c r="H2575" s="19" t="n"/>
    </row>
    <row r="2576">
      <c r="A2576" s="16" t="n"/>
      <c r="B2576" s="19" t="n"/>
      <c r="D2576" s="16" t="n"/>
      <c r="E2576" s="19" t="n"/>
      <c r="G2576" s="16" t="n"/>
      <c r="H2576" s="19" t="n"/>
    </row>
    <row r="2577">
      <c r="A2577" s="16" t="n"/>
      <c r="B2577" s="19" t="n"/>
      <c r="D2577" s="16" t="n"/>
      <c r="E2577" s="19" t="n"/>
      <c r="G2577" s="16" t="n"/>
      <c r="H2577" s="19" t="n"/>
    </row>
    <row r="2578">
      <c r="A2578" s="16" t="n"/>
      <c r="B2578" s="19" t="n"/>
      <c r="D2578" s="16" t="n"/>
      <c r="E2578" s="19" t="n"/>
      <c r="G2578" s="16" t="n"/>
      <c r="H2578" s="19" t="n"/>
    </row>
    <row r="2579">
      <c r="A2579" s="16" t="n"/>
      <c r="B2579" s="19" t="n"/>
      <c r="D2579" s="16" t="n"/>
      <c r="E2579" s="19" t="n"/>
      <c r="G2579" s="16" t="n"/>
      <c r="H2579" s="19" t="n"/>
    </row>
    <row r="2580">
      <c r="A2580" s="16" t="n"/>
      <c r="B2580" s="19" t="n"/>
      <c r="D2580" s="16" t="n"/>
      <c r="E2580" s="19" t="n"/>
      <c r="G2580" s="16" t="n"/>
      <c r="H2580" s="19" t="n"/>
    </row>
    <row r="2581">
      <c r="A2581" s="16" t="n"/>
      <c r="B2581" s="19" t="n"/>
      <c r="D2581" s="16" t="n"/>
      <c r="E2581" s="19" t="n"/>
      <c r="G2581" s="16" t="n"/>
      <c r="H2581" s="19" t="n"/>
    </row>
    <row r="2582">
      <c r="A2582" s="16" t="n"/>
      <c r="B2582" s="19" t="n"/>
      <c r="D2582" s="16" t="n"/>
      <c r="E2582" s="19" t="n"/>
      <c r="G2582" s="16" t="n"/>
      <c r="H2582" s="19" t="n"/>
    </row>
    <row r="2583">
      <c r="A2583" s="16" t="n"/>
      <c r="B2583" s="19" t="n"/>
      <c r="D2583" s="16" t="n"/>
      <c r="E2583" s="19" t="n"/>
      <c r="G2583" s="16" t="n"/>
      <c r="H2583" s="19" t="n"/>
    </row>
    <row r="2584">
      <c r="A2584" s="16" t="n"/>
      <c r="B2584" s="19" t="n"/>
      <c r="D2584" s="16" t="n"/>
      <c r="E2584" s="19" t="n"/>
      <c r="G2584" s="16" t="n"/>
      <c r="H2584" s="19" t="n"/>
    </row>
    <row r="2585">
      <c r="A2585" s="16" t="n"/>
      <c r="B2585" s="19" t="n"/>
      <c r="D2585" s="16" t="n"/>
      <c r="E2585" s="19" t="n"/>
      <c r="G2585" s="16" t="n"/>
      <c r="H2585" s="19" t="n"/>
    </row>
    <row r="2586">
      <c r="A2586" s="16" t="n"/>
      <c r="B2586" s="19" t="n"/>
      <c r="D2586" s="16" t="n"/>
      <c r="E2586" s="19" t="n"/>
      <c r="G2586" s="16" t="n"/>
      <c r="H2586" s="19" t="n"/>
    </row>
    <row r="2587">
      <c r="A2587" s="16" t="n"/>
      <c r="B2587" s="19" t="n"/>
      <c r="D2587" s="16" t="n"/>
      <c r="E2587" s="19" t="n"/>
      <c r="G2587" s="16" t="n"/>
      <c r="H2587" s="19" t="n"/>
    </row>
    <row r="2588">
      <c r="A2588" s="16" t="n"/>
      <c r="B2588" s="19" t="n"/>
      <c r="D2588" s="16" t="n"/>
      <c r="E2588" s="19" t="n"/>
      <c r="G2588" s="16" t="n"/>
      <c r="H2588" s="19" t="n"/>
    </row>
    <row r="2589">
      <c r="A2589" s="16" t="n"/>
      <c r="B2589" s="19" t="n"/>
      <c r="D2589" s="16" t="n"/>
      <c r="E2589" s="19" t="n"/>
      <c r="G2589" s="16" t="n"/>
      <c r="H2589" s="19" t="n"/>
    </row>
    <row r="2590">
      <c r="A2590" s="16" t="n"/>
      <c r="B2590" s="19" t="n"/>
      <c r="D2590" s="16" t="n"/>
      <c r="E2590" s="19" t="n"/>
      <c r="G2590" s="16" t="n"/>
      <c r="H2590" s="19" t="n"/>
    </row>
    <row r="2591">
      <c r="A2591" s="16" t="n"/>
      <c r="B2591" s="19" t="n"/>
      <c r="D2591" s="16" t="n"/>
      <c r="E2591" s="19" t="n"/>
      <c r="G2591" s="16" t="n"/>
      <c r="H2591" s="19" t="n"/>
    </row>
    <row r="2592">
      <c r="A2592" s="16" t="n"/>
      <c r="B2592" s="19" t="n"/>
      <c r="D2592" s="16" t="n"/>
      <c r="E2592" s="19" t="n"/>
      <c r="G2592" s="16" t="n"/>
      <c r="H2592" s="19" t="n"/>
    </row>
    <row r="2593">
      <c r="A2593" s="16" t="n"/>
      <c r="B2593" s="19" t="n"/>
      <c r="D2593" s="16" t="n"/>
      <c r="E2593" s="19" t="n"/>
      <c r="G2593" s="16" t="n"/>
      <c r="H2593" s="19" t="n"/>
    </row>
    <row r="2594">
      <c r="A2594" s="16" t="n"/>
      <c r="B2594" s="19" t="n"/>
      <c r="D2594" s="16" t="n"/>
      <c r="E2594" s="19" t="n"/>
      <c r="G2594" s="16" t="n"/>
      <c r="H2594" s="19" t="n"/>
    </row>
    <row r="2595">
      <c r="A2595" s="16" t="n"/>
      <c r="B2595" s="19" t="n"/>
      <c r="D2595" s="16" t="n"/>
      <c r="E2595" s="19" t="n"/>
      <c r="G2595" s="16" t="n"/>
      <c r="H2595" s="19" t="n"/>
    </row>
    <row r="2596">
      <c r="A2596" s="16" t="n"/>
      <c r="B2596" s="19" t="n"/>
      <c r="D2596" s="16" t="n"/>
      <c r="E2596" s="19" t="n"/>
      <c r="G2596" s="16" t="n"/>
      <c r="H2596" s="19" t="n"/>
    </row>
    <row r="2597">
      <c r="A2597" s="16" t="n"/>
      <c r="B2597" s="19" t="n"/>
      <c r="D2597" s="16" t="n"/>
      <c r="E2597" s="19" t="n"/>
      <c r="G2597" s="16" t="n"/>
      <c r="H2597" s="19" t="n"/>
    </row>
    <row r="2598">
      <c r="A2598" s="16" t="n"/>
      <c r="B2598" s="19" t="n"/>
      <c r="D2598" s="16" t="n"/>
      <c r="E2598" s="19" t="n"/>
      <c r="G2598" s="16" t="n"/>
      <c r="H2598" s="19" t="n"/>
    </row>
    <row r="2599">
      <c r="A2599" s="16" t="n"/>
      <c r="B2599" s="19" t="n"/>
      <c r="D2599" s="16" t="n"/>
      <c r="E2599" s="19" t="n"/>
      <c r="G2599" s="16" t="n"/>
      <c r="H2599" s="19" t="n"/>
    </row>
    <row r="2600">
      <c r="A2600" s="16" t="n"/>
      <c r="B2600" s="19" t="n"/>
      <c r="D2600" s="16" t="n"/>
      <c r="E2600" s="19" t="n"/>
      <c r="G2600" s="16" t="n"/>
      <c r="H2600" s="19" t="n"/>
    </row>
    <row r="2601">
      <c r="A2601" s="16" t="n"/>
      <c r="B2601" s="19" t="n"/>
      <c r="D2601" s="16" t="n"/>
      <c r="E2601" s="19" t="n"/>
      <c r="G2601" s="16" t="n"/>
      <c r="H2601" s="19" t="n"/>
    </row>
    <row r="2602">
      <c r="A2602" s="16" t="n"/>
      <c r="B2602" s="19" t="n"/>
      <c r="D2602" s="16" t="n"/>
      <c r="E2602" s="19" t="n"/>
      <c r="G2602" s="16" t="n"/>
      <c r="H2602" s="19" t="n"/>
    </row>
    <row r="2603">
      <c r="A2603" s="16" t="n"/>
      <c r="B2603" s="19" t="n"/>
      <c r="D2603" s="16" t="n"/>
      <c r="E2603" s="19" t="n"/>
      <c r="G2603" s="16" t="n"/>
      <c r="H2603" s="19" t="n"/>
    </row>
    <row r="2604">
      <c r="A2604" s="16" t="n"/>
      <c r="B2604" s="19" t="n"/>
      <c r="D2604" s="16" t="n"/>
      <c r="E2604" s="19" t="n"/>
      <c r="G2604" s="16" t="n"/>
      <c r="H2604" s="19" t="n"/>
    </row>
    <row r="2605">
      <c r="A2605" s="16" t="n"/>
      <c r="B2605" s="19" t="n"/>
      <c r="D2605" s="16" t="n"/>
      <c r="E2605" s="19" t="n"/>
      <c r="G2605" s="16" t="n"/>
      <c r="H2605" s="19" t="n"/>
    </row>
    <row r="2606">
      <c r="A2606" s="16" t="n"/>
      <c r="B2606" s="19" t="n"/>
      <c r="D2606" s="16" t="n"/>
      <c r="E2606" s="19" t="n"/>
      <c r="G2606" s="16" t="n"/>
      <c r="H2606" s="19" t="n"/>
    </row>
    <row r="2607">
      <c r="A2607" s="16" t="n"/>
      <c r="B2607" s="19" t="n"/>
      <c r="D2607" s="16" t="n"/>
      <c r="E2607" s="19" t="n"/>
      <c r="G2607" s="16" t="n"/>
      <c r="H2607" s="19" t="n"/>
    </row>
    <row r="2608">
      <c r="A2608" s="16" t="n"/>
      <c r="B2608" s="19" t="n"/>
      <c r="D2608" s="16" t="n"/>
      <c r="E2608" s="19" t="n"/>
      <c r="G2608" s="16" t="n"/>
      <c r="H2608" s="19" t="n"/>
    </row>
    <row r="2609">
      <c r="A2609" s="16" t="n"/>
      <c r="B2609" s="19" t="n"/>
      <c r="D2609" s="16" t="n"/>
      <c r="E2609" s="19" t="n"/>
      <c r="G2609" s="16" t="n"/>
      <c r="H2609" s="19" t="n"/>
    </row>
    <row r="2610">
      <c r="A2610" s="16" t="n"/>
      <c r="B2610" s="19" t="n"/>
      <c r="D2610" s="16" t="n"/>
      <c r="E2610" s="19" t="n"/>
      <c r="G2610" s="16" t="n"/>
      <c r="H2610" s="19" t="n"/>
    </row>
    <row r="2611">
      <c r="A2611" s="16" t="n"/>
      <c r="B2611" s="19" t="n"/>
      <c r="D2611" s="16" t="n"/>
      <c r="E2611" s="19" t="n"/>
      <c r="G2611" s="16" t="n"/>
      <c r="H2611" s="19" t="n"/>
    </row>
    <row r="2612">
      <c r="A2612" s="16" t="n"/>
      <c r="B2612" s="19" t="n"/>
      <c r="D2612" s="16" t="n"/>
      <c r="E2612" s="19" t="n"/>
      <c r="G2612" s="16" t="n"/>
      <c r="H2612" s="19" t="n"/>
    </row>
    <row r="2613">
      <c r="A2613" s="16" t="n"/>
      <c r="B2613" s="19" t="n"/>
      <c r="D2613" s="16" t="n"/>
      <c r="E2613" s="19" t="n"/>
      <c r="G2613" s="16" t="n"/>
      <c r="H2613" s="19" t="n"/>
    </row>
    <row r="2614">
      <c r="A2614" s="16" t="n"/>
      <c r="B2614" s="19" t="n"/>
      <c r="D2614" s="16" t="n"/>
      <c r="E2614" s="19" t="n"/>
      <c r="G2614" s="16" t="n"/>
      <c r="H2614" s="19" t="n"/>
    </row>
    <row r="2615">
      <c r="A2615" s="16" t="n"/>
      <c r="B2615" s="19" t="n"/>
      <c r="D2615" s="16" t="n"/>
      <c r="E2615" s="19" t="n"/>
      <c r="G2615" s="16" t="n"/>
      <c r="H2615" s="19" t="n"/>
    </row>
    <row r="2616">
      <c r="A2616" s="16" t="n"/>
      <c r="B2616" s="19" t="n"/>
      <c r="D2616" s="16" t="n"/>
      <c r="E2616" s="19" t="n"/>
      <c r="G2616" s="16" t="n"/>
      <c r="H2616" s="19" t="n"/>
    </row>
    <row r="2617">
      <c r="A2617" s="16" t="n"/>
      <c r="B2617" s="19" t="n"/>
      <c r="D2617" s="16" t="n"/>
      <c r="E2617" s="19" t="n"/>
      <c r="G2617" s="16" t="n"/>
      <c r="H2617" s="19" t="n"/>
    </row>
    <row r="2618">
      <c r="A2618" s="16" t="n"/>
      <c r="B2618" s="19" t="n"/>
      <c r="D2618" s="16" t="n"/>
      <c r="E2618" s="19" t="n"/>
      <c r="G2618" s="16" t="n"/>
      <c r="H2618" s="19" t="n"/>
    </row>
    <row r="2619">
      <c r="A2619" s="16" t="n"/>
      <c r="B2619" s="19" t="n"/>
      <c r="D2619" s="16" t="n"/>
      <c r="E2619" s="19" t="n"/>
      <c r="G2619" s="16" t="n"/>
      <c r="H2619" s="19" t="n"/>
    </row>
    <row r="2620">
      <c r="A2620" s="16" t="n"/>
      <c r="B2620" s="19" t="n"/>
      <c r="D2620" s="16" t="n"/>
      <c r="E2620" s="19" t="n"/>
      <c r="G2620" s="16" t="n"/>
      <c r="H2620" s="19" t="n"/>
    </row>
    <row r="2621">
      <c r="A2621" s="16" t="n"/>
      <c r="B2621" s="19" t="n"/>
      <c r="D2621" s="16" t="n"/>
      <c r="E2621" s="19" t="n"/>
      <c r="G2621" s="16" t="n"/>
      <c r="H2621" s="19" t="n"/>
    </row>
    <row r="2622">
      <c r="A2622" s="16" t="n"/>
      <c r="B2622" s="19" t="n"/>
      <c r="D2622" s="16" t="n"/>
      <c r="E2622" s="19" t="n"/>
      <c r="G2622" s="16" t="n"/>
      <c r="H2622" s="19" t="n"/>
    </row>
    <row r="2623">
      <c r="A2623" s="16" t="n"/>
      <c r="B2623" s="19" t="n"/>
      <c r="D2623" s="16" t="n"/>
      <c r="E2623" s="19" t="n"/>
      <c r="G2623" s="16" t="n"/>
      <c r="H2623" s="19" t="n"/>
    </row>
    <row r="2624">
      <c r="A2624" s="16" t="n"/>
      <c r="B2624" s="19" t="n"/>
      <c r="D2624" s="16" t="n"/>
      <c r="E2624" s="19" t="n"/>
      <c r="G2624" s="16" t="n"/>
      <c r="H2624" s="19" t="n"/>
    </row>
    <row r="2625">
      <c r="A2625" s="16" t="n"/>
      <c r="B2625" s="19" t="n"/>
      <c r="D2625" s="16" t="n"/>
      <c r="E2625" s="19" t="n"/>
      <c r="G2625" s="16" t="n"/>
      <c r="H2625" s="19" t="n"/>
    </row>
    <row r="2626">
      <c r="A2626" s="16" t="n"/>
      <c r="B2626" s="19" t="n"/>
      <c r="D2626" s="16" t="n"/>
      <c r="E2626" s="19" t="n"/>
      <c r="G2626" s="16" t="n"/>
      <c r="H2626" s="19" t="n"/>
    </row>
    <row r="2627">
      <c r="A2627" s="16" t="n"/>
      <c r="B2627" s="19" t="n"/>
      <c r="D2627" s="16" t="n"/>
      <c r="E2627" s="19" t="n"/>
      <c r="G2627" s="16" t="n"/>
      <c r="H2627" s="19" t="n"/>
    </row>
    <row r="2628">
      <c r="A2628" s="16" t="n"/>
      <c r="B2628" s="19" t="n"/>
      <c r="D2628" s="16" t="n"/>
      <c r="E2628" s="19" t="n"/>
      <c r="G2628" s="16" t="n"/>
      <c r="H2628" s="19" t="n"/>
    </row>
    <row r="2629">
      <c r="A2629" s="16" t="n"/>
      <c r="B2629" s="19" t="n"/>
      <c r="D2629" s="16" t="n"/>
      <c r="E2629" s="19" t="n"/>
      <c r="G2629" s="16" t="n"/>
      <c r="H2629" s="19" t="n"/>
    </row>
    <row r="2630">
      <c r="A2630" s="16" t="n"/>
      <c r="B2630" s="19" t="n"/>
      <c r="D2630" s="16" t="n"/>
      <c r="E2630" s="19" t="n"/>
      <c r="G2630" s="16" t="n"/>
      <c r="H2630" s="19" t="n"/>
    </row>
    <row r="2631">
      <c r="A2631" s="16" t="n"/>
      <c r="B2631" s="19" t="n"/>
      <c r="D2631" s="16" t="n"/>
      <c r="E2631" s="19" t="n"/>
      <c r="G2631" s="16" t="n"/>
      <c r="H2631" s="19" t="n"/>
    </row>
    <row r="2632">
      <c r="A2632" s="16" t="n"/>
      <c r="B2632" s="19" t="n"/>
      <c r="D2632" s="16" t="n"/>
      <c r="E2632" s="19" t="n"/>
      <c r="G2632" s="16" t="n"/>
      <c r="H2632" s="19" t="n"/>
    </row>
    <row r="2633">
      <c r="A2633" s="16" t="n"/>
      <c r="B2633" s="19" t="n"/>
      <c r="D2633" s="16" t="n"/>
      <c r="E2633" s="19" t="n"/>
      <c r="G2633" s="16" t="n"/>
      <c r="H2633" s="19" t="n"/>
    </row>
    <row r="2634">
      <c r="A2634" s="16" t="n"/>
      <c r="B2634" s="19" t="n"/>
      <c r="D2634" s="16" t="n"/>
      <c r="E2634" s="19" t="n"/>
      <c r="G2634" s="16" t="n"/>
      <c r="H2634" s="19" t="n"/>
    </row>
    <row r="2635">
      <c r="A2635" s="16" t="n"/>
      <c r="B2635" s="19" t="n"/>
      <c r="D2635" s="16" t="n"/>
      <c r="E2635" s="19" t="n"/>
      <c r="G2635" s="16" t="n"/>
      <c r="H2635" s="19" t="n"/>
    </row>
    <row r="2636">
      <c r="A2636" s="16" t="n"/>
      <c r="B2636" s="19" t="n"/>
      <c r="D2636" s="16" t="n"/>
      <c r="E2636" s="19" t="n"/>
      <c r="G2636" s="16" t="n"/>
      <c r="H2636" s="19" t="n"/>
    </row>
    <row r="2637">
      <c r="A2637" s="16" t="n"/>
      <c r="B2637" s="19" t="n"/>
      <c r="D2637" s="16" t="n"/>
      <c r="E2637" s="19" t="n"/>
      <c r="G2637" s="16" t="n"/>
      <c r="H2637" s="19" t="n"/>
    </row>
    <row r="2638">
      <c r="A2638" s="16" t="n"/>
      <c r="B2638" s="19" t="n"/>
      <c r="D2638" s="16" t="n"/>
      <c r="E2638" s="19" t="n"/>
      <c r="G2638" s="16" t="n"/>
      <c r="H2638" s="19" t="n"/>
    </row>
    <row r="2639">
      <c r="A2639" s="16" t="n"/>
      <c r="B2639" s="19" t="n"/>
      <c r="D2639" s="16" t="n"/>
      <c r="E2639" s="19" t="n"/>
      <c r="G2639" s="16" t="n"/>
      <c r="H2639" s="19" t="n"/>
    </row>
    <row r="2640">
      <c r="A2640" s="16" t="n"/>
      <c r="B2640" s="19" t="n"/>
      <c r="D2640" s="16" t="n"/>
      <c r="E2640" s="19" t="n"/>
      <c r="G2640" s="16" t="n"/>
      <c r="H2640" s="19" t="n"/>
    </row>
    <row r="2641">
      <c r="A2641" s="16" t="n"/>
      <c r="B2641" s="19" t="n"/>
      <c r="D2641" s="16" t="n"/>
      <c r="E2641" s="19" t="n"/>
      <c r="G2641" s="16" t="n"/>
      <c r="H2641" s="19" t="n"/>
    </row>
    <row r="2642">
      <c r="A2642" s="16" t="n"/>
      <c r="B2642" s="19" t="n"/>
      <c r="D2642" s="16" t="n"/>
      <c r="E2642" s="19" t="n"/>
      <c r="G2642" s="16" t="n"/>
      <c r="H2642" s="19" t="n"/>
    </row>
    <row r="2643">
      <c r="A2643" s="16" t="n"/>
      <c r="B2643" s="19" t="n"/>
      <c r="D2643" s="16" t="n"/>
      <c r="E2643" s="19" t="n"/>
      <c r="G2643" s="16" t="n"/>
      <c r="H2643" s="19" t="n"/>
    </row>
    <row r="2644">
      <c r="A2644" s="16" t="n"/>
      <c r="B2644" s="19" t="n"/>
      <c r="D2644" s="16" t="n"/>
      <c r="E2644" s="19" t="n"/>
      <c r="G2644" s="16" t="n"/>
      <c r="H2644" s="19" t="n"/>
    </row>
    <row r="2645">
      <c r="A2645" s="16" t="n"/>
      <c r="B2645" s="19" t="n"/>
      <c r="D2645" s="16" t="n"/>
      <c r="E2645" s="19" t="n"/>
      <c r="G2645" s="16" t="n"/>
      <c r="H2645" s="19" t="n"/>
    </row>
    <row r="2646">
      <c r="A2646" s="16" t="n"/>
      <c r="B2646" s="19" t="n"/>
      <c r="D2646" s="16" t="n"/>
      <c r="E2646" s="19" t="n"/>
      <c r="G2646" s="16" t="n"/>
      <c r="H2646" s="19" t="n"/>
    </row>
    <row r="2647">
      <c r="A2647" s="16" t="n"/>
      <c r="B2647" s="19" t="n"/>
      <c r="D2647" s="16" t="n"/>
      <c r="E2647" s="19" t="n"/>
      <c r="G2647" s="16" t="n"/>
      <c r="H2647" s="19" t="n"/>
    </row>
    <row r="2648">
      <c r="A2648" s="16" t="n"/>
      <c r="B2648" s="19" t="n"/>
      <c r="D2648" s="16" t="n"/>
      <c r="E2648" s="19" t="n"/>
      <c r="G2648" s="16" t="n"/>
      <c r="H2648" s="19" t="n"/>
    </row>
    <row r="2649">
      <c r="A2649" s="16" t="n"/>
      <c r="B2649" s="19" t="n"/>
      <c r="D2649" s="16" t="n"/>
      <c r="E2649" s="19" t="n"/>
      <c r="G2649" s="16" t="n"/>
      <c r="H2649" s="19" t="n"/>
    </row>
    <row r="2650">
      <c r="A2650" s="16" t="n"/>
      <c r="B2650" s="19" t="n"/>
      <c r="D2650" s="16" t="n"/>
      <c r="E2650" s="19" t="n"/>
      <c r="G2650" s="16" t="n"/>
      <c r="H2650" s="19" t="n"/>
    </row>
    <row r="2651">
      <c r="A2651" s="16" t="n"/>
      <c r="B2651" s="19" t="n"/>
      <c r="D2651" s="16" t="n"/>
      <c r="E2651" s="19" t="n"/>
      <c r="G2651" s="16" t="n"/>
      <c r="H2651" s="19" t="n"/>
    </row>
    <row r="2652">
      <c r="A2652" s="16" t="n"/>
      <c r="B2652" s="19" t="n"/>
      <c r="D2652" s="16" t="n"/>
      <c r="E2652" s="19" t="n"/>
      <c r="G2652" s="16" t="n"/>
      <c r="H2652" s="19" t="n"/>
    </row>
    <row r="2653">
      <c r="A2653" s="16" t="n"/>
      <c r="B2653" s="19" t="n"/>
      <c r="D2653" s="16" t="n"/>
      <c r="E2653" s="19" t="n"/>
      <c r="G2653" s="16" t="n"/>
      <c r="H2653" s="19" t="n"/>
    </row>
    <row r="2654">
      <c r="A2654" s="16" t="n"/>
      <c r="B2654" s="19" t="n"/>
      <c r="D2654" s="16" t="n"/>
      <c r="E2654" s="19" t="n"/>
      <c r="G2654" s="16" t="n"/>
      <c r="H2654" s="19" t="n"/>
    </row>
    <row r="2655">
      <c r="A2655" s="16" t="n"/>
      <c r="B2655" s="19" t="n"/>
      <c r="D2655" s="16" t="n"/>
      <c r="E2655" s="19" t="n"/>
      <c r="G2655" s="16" t="n"/>
      <c r="H2655" s="19" t="n"/>
    </row>
    <row r="2656">
      <c r="A2656" s="16" t="n"/>
      <c r="B2656" s="19" t="n"/>
      <c r="D2656" s="16" t="n"/>
      <c r="E2656" s="19" t="n"/>
      <c r="G2656" s="16" t="n"/>
      <c r="H2656" s="19" t="n"/>
    </row>
    <row r="2657">
      <c r="A2657" s="16" t="n"/>
      <c r="B2657" s="19" t="n"/>
      <c r="D2657" s="16" t="n"/>
      <c r="E2657" s="19" t="n"/>
      <c r="G2657" s="16" t="n"/>
      <c r="H2657" s="19" t="n"/>
    </row>
    <row r="2658">
      <c r="A2658" s="16" t="n"/>
      <c r="B2658" s="19" t="n"/>
      <c r="D2658" s="16" t="n"/>
      <c r="E2658" s="19" t="n"/>
      <c r="G2658" s="16" t="n"/>
      <c r="H2658" s="19" t="n"/>
    </row>
    <row r="2659">
      <c r="A2659" s="16" t="n"/>
      <c r="B2659" s="19" t="n"/>
      <c r="D2659" s="16" t="n"/>
      <c r="E2659" s="19" t="n"/>
      <c r="G2659" s="16" t="n"/>
      <c r="H2659" s="19" t="n"/>
    </row>
    <row r="2660">
      <c r="A2660" s="16" t="n"/>
      <c r="B2660" s="19" t="n"/>
      <c r="D2660" s="16" t="n"/>
      <c r="E2660" s="19" t="n"/>
      <c r="G2660" s="16" t="n"/>
      <c r="H2660" s="19" t="n"/>
    </row>
    <row r="2661">
      <c r="A2661" s="16" t="n"/>
      <c r="B2661" s="19" t="n"/>
      <c r="D2661" s="16" t="n"/>
      <c r="E2661" s="19" t="n"/>
      <c r="G2661" s="16" t="n"/>
      <c r="H2661" s="19" t="n"/>
    </row>
    <row r="2662">
      <c r="A2662" s="16" t="n"/>
      <c r="B2662" s="19" t="n"/>
      <c r="D2662" s="16" t="n"/>
      <c r="E2662" s="19" t="n"/>
      <c r="G2662" s="16" t="n"/>
      <c r="H2662" s="19" t="n"/>
    </row>
    <row r="2663">
      <c r="A2663" s="16" t="n"/>
      <c r="B2663" s="19" t="n"/>
      <c r="D2663" s="16" t="n"/>
      <c r="E2663" s="19" t="n"/>
      <c r="G2663" s="16" t="n"/>
      <c r="H2663" s="19" t="n"/>
    </row>
    <row r="2664">
      <c r="A2664" s="16" t="n"/>
      <c r="B2664" s="19" t="n"/>
      <c r="D2664" s="16" t="n"/>
      <c r="E2664" s="19" t="n"/>
      <c r="G2664" s="16" t="n"/>
      <c r="H2664" s="19" t="n"/>
    </row>
    <row r="2665">
      <c r="A2665" s="16" t="n"/>
      <c r="B2665" s="19" t="n"/>
      <c r="D2665" s="16" t="n"/>
      <c r="E2665" s="19" t="n"/>
      <c r="G2665" s="16" t="n"/>
      <c r="H2665" s="19" t="n"/>
    </row>
    <row r="2666">
      <c r="A2666" s="16" t="n"/>
      <c r="B2666" s="19" t="n"/>
      <c r="D2666" s="16" t="n"/>
      <c r="E2666" s="19" t="n"/>
      <c r="G2666" s="16" t="n"/>
      <c r="H2666" s="19" t="n"/>
    </row>
    <row r="2667">
      <c r="A2667" s="16" t="n"/>
      <c r="B2667" s="19" t="n"/>
      <c r="D2667" s="16" t="n"/>
      <c r="E2667" s="19" t="n"/>
      <c r="G2667" s="16" t="n"/>
      <c r="H2667" s="19" t="n"/>
    </row>
    <row r="2668">
      <c r="A2668" s="16" t="n"/>
      <c r="B2668" s="19" t="n"/>
      <c r="D2668" s="16" t="n"/>
      <c r="E2668" s="19" t="n"/>
      <c r="G2668" s="16" t="n"/>
      <c r="H2668" s="19" t="n"/>
    </row>
    <row r="2669">
      <c r="A2669" s="16" t="n"/>
      <c r="B2669" s="19" t="n"/>
      <c r="D2669" s="16" t="n"/>
      <c r="E2669" s="19" t="n"/>
      <c r="G2669" s="16" t="n"/>
      <c r="H2669" s="19" t="n"/>
    </row>
    <row r="2670">
      <c r="A2670" s="16" t="n"/>
      <c r="B2670" s="19" t="n"/>
      <c r="D2670" s="16" t="n"/>
      <c r="E2670" s="19" t="n"/>
      <c r="G2670" s="16" t="n"/>
      <c r="H2670" s="19" t="n"/>
    </row>
    <row r="2671">
      <c r="A2671" s="16" t="n"/>
      <c r="B2671" s="19" t="n"/>
      <c r="D2671" s="16" t="n"/>
      <c r="E2671" s="19" t="n"/>
      <c r="G2671" s="16" t="n"/>
      <c r="H2671" s="19" t="n"/>
    </row>
    <row r="2672">
      <c r="A2672" s="16" t="n"/>
      <c r="B2672" s="19" t="n"/>
      <c r="D2672" s="16" t="n"/>
      <c r="E2672" s="19" t="n"/>
      <c r="G2672" s="16" t="n"/>
      <c r="H2672" s="19" t="n"/>
    </row>
    <row r="2673">
      <c r="A2673" s="16" t="n"/>
      <c r="B2673" s="19" t="n"/>
      <c r="D2673" s="16" t="n"/>
      <c r="E2673" s="19" t="n"/>
      <c r="G2673" s="16" t="n"/>
      <c r="H2673" s="19" t="n"/>
    </row>
    <row r="2674">
      <c r="A2674" s="16" t="n"/>
      <c r="B2674" s="19" t="n"/>
      <c r="D2674" s="16" t="n"/>
      <c r="E2674" s="19" t="n"/>
      <c r="G2674" s="16" t="n"/>
      <c r="H2674" s="19" t="n"/>
    </row>
    <row r="2675">
      <c r="A2675" s="16" t="n"/>
      <c r="B2675" s="19" t="n"/>
      <c r="D2675" s="16" t="n"/>
      <c r="E2675" s="19" t="n"/>
      <c r="G2675" s="16" t="n"/>
      <c r="H2675" s="19" t="n"/>
    </row>
    <row r="2676">
      <c r="A2676" s="16" t="n"/>
      <c r="B2676" s="19" t="n"/>
      <c r="D2676" s="16" t="n"/>
      <c r="E2676" s="19" t="n"/>
      <c r="G2676" s="16" t="n"/>
      <c r="H2676" s="19" t="n"/>
    </row>
    <row r="2677">
      <c r="A2677" s="16" t="n"/>
      <c r="B2677" s="19" t="n"/>
      <c r="D2677" s="16" t="n"/>
      <c r="E2677" s="19" t="n"/>
      <c r="G2677" s="16" t="n"/>
      <c r="H2677" s="19" t="n"/>
    </row>
    <row r="2678">
      <c r="A2678" s="16" t="n"/>
      <c r="B2678" s="19" t="n"/>
      <c r="D2678" s="16" t="n"/>
      <c r="E2678" s="19" t="n"/>
      <c r="G2678" s="16" t="n"/>
      <c r="H2678" s="19" t="n"/>
    </row>
    <row r="2679">
      <c r="A2679" s="16" t="n"/>
      <c r="B2679" s="19" t="n"/>
      <c r="D2679" s="16" t="n"/>
      <c r="E2679" s="19" t="n"/>
      <c r="G2679" s="16" t="n"/>
      <c r="H2679" s="19" t="n"/>
    </row>
    <row r="2680">
      <c r="A2680" s="16" t="n"/>
      <c r="B2680" s="19" t="n"/>
      <c r="D2680" s="16" t="n"/>
      <c r="E2680" s="19" t="n"/>
      <c r="G2680" s="16" t="n"/>
      <c r="H2680" s="19" t="n"/>
    </row>
    <row r="2681">
      <c r="A2681" s="16" t="n"/>
      <c r="B2681" s="19" t="n"/>
      <c r="D2681" s="16" t="n"/>
      <c r="E2681" s="19" t="n"/>
      <c r="G2681" s="16" t="n"/>
      <c r="H2681" s="19" t="n"/>
    </row>
    <row r="2682">
      <c r="A2682" s="16" t="n"/>
      <c r="B2682" s="19" t="n"/>
      <c r="D2682" s="16" t="n"/>
      <c r="E2682" s="19" t="n"/>
      <c r="G2682" s="16" t="n"/>
      <c r="H2682" s="19" t="n"/>
    </row>
    <row r="2683">
      <c r="A2683" s="16" t="n"/>
      <c r="B2683" s="19" t="n"/>
      <c r="D2683" s="16" t="n"/>
      <c r="E2683" s="19" t="n"/>
      <c r="G2683" s="16" t="n"/>
      <c r="H2683" s="19" t="n"/>
    </row>
    <row r="2684">
      <c r="A2684" s="16" t="n"/>
      <c r="B2684" s="19" t="n"/>
      <c r="D2684" s="16" t="n"/>
      <c r="E2684" s="19" t="n"/>
      <c r="G2684" s="16" t="n"/>
      <c r="H2684" s="19" t="n"/>
    </row>
    <row r="2685">
      <c r="A2685" s="16" t="n"/>
      <c r="B2685" s="19" t="n"/>
      <c r="D2685" s="16" t="n"/>
      <c r="E2685" s="19" t="n"/>
      <c r="G2685" s="16" t="n"/>
      <c r="H2685" s="19" t="n"/>
    </row>
    <row r="2686">
      <c r="A2686" s="16" t="n"/>
      <c r="B2686" s="19" t="n"/>
      <c r="D2686" s="16" t="n"/>
      <c r="E2686" s="19" t="n"/>
      <c r="G2686" s="16" t="n"/>
      <c r="H2686" s="19" t="n"/>
    </row>
    <row r="2687">
      <c r="A2687" s="16" t="n"/>
      <c r="B2687" s="19" t="n"/>
      <c r="D2687" s="16" t="n"/>
      <c r="E2687" s="19" t="n"/>
      <c r="G2687" s="16" t="n"/>
      <c r="H2687" s="19" t="n"/>
    </row>
    <row r="2688">
      <c r="A2688" s="16" t="n"/>
      <c r="B2688" s="19" t="n"/>
      <c r="D2688" s="16" t="n"/>
      <c r="E2688" s="19" t="n"/>
      <c r="G2688" s="16" t="n"/>
      <c r="H2688" s="19" t="n"/>
    </row>
    <row r="2689">
      <c r="A2689" s="16" t="n"/>
      <c r="B2689" s="19" t="n"/>
      <c r="D2689" s="16" t="n"/>
      <c r="E2689" s="19" t="n"/>
      <c r="G2689" s="16" t="n"/>
      <c r="H2689" s="19" t="n"/>
    </row>
    <row r="2690">
      <c r="A2690" s="16" t="n"/>
      <c r="B2690" s="19" t="n"/>
      <c r="D2690" s="16" t="n"/>
      <c r="E2690" s="19" t="n"/>
      <c r="G2690" s="16" t="n"/>
      <c r="H2690" s="19" t="n"/>
    </row>
    <row r="2691">
      <c r="A2691" s="16" t="n"/>
      <c r="B2691" s="19" t="n"/>
      <c r="D2691" s="16" t="n"/>
      <c r="E2691" s="19" t="n"/>
      <c r="G2691" s="16" t="n"/>
      <c r="H2691" s="19" t="n"/>
    </row>
    <row r="2692">
      <c r="A2692" s="16" t="n"/>
      <c r="B2692" s="19" t="n"/>
      <c r="D2692" s="16" t="n"/>
      <c r="E2692" s="19" t="n"/>
      <c r="G2692" s="16" t="n"/>
      <c r="H2692" s="19" t="n"/>
    </row>
    <row r="2693">
      <c r="A2693" s="16" t="n"/>
      <c r="B2693" s="19" t="n"/>
      <c r="D2693" s="16" t="n"/>
      <c r="E2693" s="19" t="n"/>
      <c r="G2693" s="16" t="n"/>
      <c r="H2693" s="19" t="n"/>
    </row>
    <row r="2694">
      <c r="A2694" s="16" t="n"/>
      <c r="B2694" s="19" t="n"/>
      <c r="D2694" s="16" t="n"/>
      <c r="E2694" s="19" t="n"/>
      <c r="G2694" s="16" t="n"/>
      <c r="H2694" s="19" t="n"/>
    </row>
    <row r="2695">
      <c r="A2695" s="16" t="n"/>
      <c r="B2695" s="19" t="n"/>
      <c r="D2695" s="16" t="n"/>
      <c r="E2695" s="19" t="n"/>
      <c r="G2695" s="16" t="n"/>
      <c r="H2695" s="19" t="n"/>
    </row>
    <row r="2696">
      <c r="A2696" s="16" t="n"/>
      <c r="B2696" s="19" t="n"/>
      <c r="D2696" s="16" t="n"/>
      <c r="E2696" s="19" t="n"/>
      <c r="G2696" s="16" t="n"/>
      <c r="H2696" s="19" t="n"/>
    </row>
    <row r="2697">
      <c r="A2697" s="16" t="n"/>
      <c r="B2697" s="19" t="n"/>
      <c r="D2697" s="16" t="n"/>
      <c r="E2697" s="19" t="n"/>
      <c r="G2697" s="16" t="n"/>
      <c r="H2697" s="19" t="n"/>
    </row>
    <row r="2698">
      <c r="A2698" s="16" t="n"/>
      <c r="B2698" s="19" t="n"/>
      <c r="D2698" s="16" t="n"/>
      <c r="E2698" s="19" t="n"/>
      <c r="G2698" s="16" t="n"/>
      <c r="H2698" s="19" t="n"/>
    </row>
    <row r="2699">
      <c r="A2699" s="16" t="n"/>
      <c r="B2699" s="19" t="n"/>
      <c r="D2699" s="16" t="n"/>
      <c r="E2699" s="19" t="n"/>
      <c r="G2699" s="16" t="n"/>
      <c r="H2699" s="19" t="n"/>
    </row>
    <row r="2700">
      <c r="A2700" s="16" t="n"/>
      <c r="B2700" s="19" t="n"/>
      <c r="D2700" s="16" t="n"/>
      <c r="E2700" s="19" t="n"/>
      <c r="G2700" s="16" t="n"/>
      <c r="H2700" s="19" t="n"/>
    </row>
    <row r="2701">
      <c r="A2701" s="16" t="n"/>
      <c r="B2701" s="19" t="n"/>
      <c r="D2701" s="16" t="n"/>
      <c r="E2701" s="19" t="n"/>
      <c r="G2701" s="16" t="n"/>
      <c r="H2701" s="19" t="n"/>
    </row>
    <row r="2702">
      <c r="A2702" s="16" t="n"/>
      <c r="B2702" s="19" t="n"/>
      <c r="D2702" s="16" t="n"/>
      <c r="E2702" s="19" t="n"/>
      <c r="G2702" s="16" t="n"/>
      <c r="H2702" s="19" t="n"/>
    </row>
    <row r="2703">
      <c r="A2703" s="16" t="n"/>
      <c r="B2703" s="19" t="n"/>
      <c r="D2703" s="16" t="n"/>
      <c r="E2703" s="19" t="n"/>
      <c r="G2703" s="16" t="n"/>
      <c r="H2703" s="19" t="n"/>
    </row>
    <row r="2704">
      <c r="A2704" s="16" t="n"/>
      <c r="B2704" s="19" t="n"/>
      <c r="D2704" s="16" t="n"/>
      <c r="E2704" s="19" t="n"/>
      <c r="G2704" s="16" t="n"/>
      <c r="H2704" s="19" t="n"/>
    </row>
    <row r="2705">
      <c r="A2705" s="16" t="n"/>
      <c r="B2705" s="19" t="n"/>
      <c r="D2705" s="16" t="n"/>
      <c r="E2705" s="19" t="n"/>
      <c r="G2705" s="16" t="n"/>
      <c r="H2705" s="19" t="n"/>
    </row>
    <row r="2706">
      <c r="A2706" s="16" t="n"/>
      <c r="B2706" s="19" t="n"/>
      <c r="D2706" s="16" t="n"/>
      <c r="E2706" s="19" t="n"/>
      <c r="G2706" s="16" t="n"/>
      <c r="H2706" s="19" t="n"/>
    </row>
    <row r="2707">
      <c r="A2707" s="16" t="n"/>
      <c r="B2707" s="19" t="n"/>
      <c r="D2707" s="16" t="n"/>
      <c r="E2707" s="19" t="n"/>
      <c r="G2707" s="16" t="n"/>
      <c r="H2707" s="19" t="n"/>
    </row>
    <row r="2708">
      <c r="A2708" s="16" t="n"/>
      <c r="B2708" s="19" t="n"/>
      <c r="D2708" s="16" t="n"/>
      <c r="E2708" s="19" t="n"/>
      <c r="G2708" s="16" t="n"/>
      <c r="H2708" s="19" t="n"/>
    </row>
    <row r="2709">
      <c r="A2709" s="16" t="n"/>
      <c r="B2709" s="19" t="n"/>
      <c r="D2709" s="16" t="n"/>
      <c r="E2709" s="19" t="n"/>
      <c r="G2709" s="16" t="n"/>
      <c r="H2709" s="19" t="n"/>
    </row>
    <row r="2710">
      <c r="A2710" s="16" t="n"/>
      <c r="B2710" s="19" t="n"/>
      <c r="D2710" s="16" t="n"/>
      <c r="E2710" s="19" t="n"/>
      <c r="G2710" s="16" t="n"/>
      <c r="H2710" s="19" t="n"/>
    </row>
    <row r="2711">
      <c r="A2711" s="16" t="n"/>
      <c r="B2711" s="19" t="n"/>
      <c r="D2711" s="16" t="n"/>
      <c r="E2711" s="19" t="n"/>
      <c r="G2711" s="16" t="n"/>
      <c r="H2711" s="19" t="n"/>
    </row>
    <row r="2712">
      <c r="A2712" s="16" t="n"/>
      <c r="B2712" s="19" t="n"/>
      <c r="D2712" s="16" t="n"/>
      <c r="E2712" s="19" t="n"/>
      <c r="G2712" s="16" t="n"/>
      <c r="H2712" s="19" t="n"/>
    </row>
    <row r="2713">
      <c r="A2713" s="16" t="n"/>
      <c r="B2713" s="19" t="n"/>
      <c r="D2713" s="16" t="n"/>
      <c r="E2713" s="19" t="n"/>
      <c r="G2713" s="16" t="n"/>
      <c r="H2713" s="19" t="n"/>
    </row>
    <row r="2714">
      <c r="A2714" s="16" t="n"/>
      <c r="B2714" s="19" t="n"/>
      <c r="D2714" s="16" t="n"/>
      <c r="E2714" s="19" t="n"/>
      <c r="G2714" s="16" t="n"/>
      <c r="H2714" s="19" t="n"/>
    </row>
    <row r="2715">
      <c r="A2715" s="16" t="n"/>
      <c r="B2715" s="19" t="n"/>
      <c r="D2715" s="16" t="n"/>
      <c r="E2715" s="19" t="n"/>
      <c r="G2715" s="16" t="n"/>
      <c r="H2715" s="19" t="n"/>
    </row>
    <row r="2716">
      <c r="A2716" s="16" t="n"/>
      <c r="B2716" s="19" t="n"/>
      <c r="D2716" s="16" t="n"/>
      <c r="E2716" s="19" t="n"/>
      <c r="G2716" s="16" t="n"/>
      <c r="H2716" s="19" t="n"/>
    </row>
    <row r="2717">
      <c r="A2717" s="16" t="n"/>
      <c r="B2717" s="19" t="n"/>
      <c r="D2717" s="16" t="n"/>
      <c r="E2717" s="19" t="n"/>
      <c r="G2717" s="16" t="n"/>
      <c r="H2717" s="19" t="n"/>
    </row>
    <row r="2718">
      <c r="A2718" s="16" t="n"/>
      <c r="B2718" s="19" t="n"/>
      <c r="D2718" s="16" t="n"/>
      <c r="E2718" s="19" t="n"/>
      <c r="G2718" s="16" t="n"/>
      <c r="H2718" s="19" t="n"/>
    </row>
    <row r="2719">
      <c r="A2719" s="16" t="n"/>
      <c r="B2719" s="19" t="n"/>
      <c r="D2719" s="16" t="n"/>
      <c r="E2719" s="19" t="n"/>
      <c r="G2719" s="16" t="n"/>
      <c r="H2719" s="19" t="n"/>
    </row>
    <row r="2720">
      <c r="A2720" s="16" t="n"/>
      <c r="B2720" s="19" t="n"/>
      <c r="D2720" s="16" t="n"/>
      <c r="E2720" s="19" t="n"/>
      <c r="G2720" s="16" t="n"/>
      <c r="H2720" s="19" t="n"/>
    </row>
    <row r="2721">
      <c r="A2721" s="16" t="n"/>
      <c r="B2721" s="19" t="n"/>
      <c r="D2721" s="16" t="n"/>
      <c r="E2721" s="19" t="n"/>
      <c r="G2721" s="16" t="n"/>
      <c r="H2721" s="19" t="n"/>
    </row>
    <row r="2722">
      <c r="A2722" s="16" t="n"/>
      <c r="B2722" s="19" t="n"/>
      <c r="D2722" s="16" t="n"/>
      <c r="E2722" s="19" t="n"/>
      <c r="G2722" s="16" t="n"/>
      <c r="H2722" s="19" t="n"/>
    </row>
    <row r="2723">
      <c r="A2723" s="16" t="n"/>
      <c r="B2723" s="19" t="n"/>
      <c r="D2723" s="16" t="n"/>
      <c r="E2723" s="19" t="n"/>
      <c r="G2723" s="16" t="n"/>
      <c r="H2723" s="19" t="n"/>
    </row>
    <row r="2724">
      <c r="A2724" s="16" t="n"/>
      <c r="B2724" s="19" t="n"/>
      <c r="D2724" s="16" t="n"/>
      <c r="E2724" s="19" t="n"/>
      <c r="G2724" s="16" t="n"/>
      <c r="H2724" s="19" t="n"/>
    </row>
    <row r="2725">
      <c r="A2725" s="16" t="n"/>
      <c r="B2725" s="19" t="n"/>
      <c r="D2725" s="16" t="n"/>
      <c r="E2725" s="19" t="n"/>
      <c r="G2725" s="16" t="n"/>
      <c r="H2725" s="19" t="n"/>
    </row>
    <row r="2726">
      <c r="A2726" s="16" t="n"/>
      <c r="B2726" s="19" t="n"/>
      <c r="D2726" s="16" t="n"/>
      <c r="E2726" s="19" t="n"/>
      <c r="G2726" s="16" t="n"/>
      <c r="H2726" s="19" t="n"/>
    </row>
    <row r="2727">
      <c r="A2727" s="16" t="n"/>
      <c r="B2727" s="19" t="n"/>
      <c r="D2727" s="16" t="n"/>
      <c r="E2727" s="19" t="n"/>
      <c r="G2727" s="16" t="n"/>
      <c r="H2727" s="19" t="n"/>
    </row>
    <row r="2728">
      <c r="A2728" s="16" t="n"/>
      <c r="B2728" s="19" t="n"/>
      <c r="D2728" s="16" t="n"/>
      <c r="E2728" s="19" t="n"/>
      <c r="G2728" s="16" t="n"/>
      <c r="H2728" s="19" t="n"/>
    </row>
    <row r="2729">
      <c r="A2729" s="16" t="n"/>
      <c r="B2729" s="19" t="n"/>
      <c r="D2729" s="16" t="n"/>
      <c r="E2729" s="19" t="n"/>
      <c r="G2729" s="16" t="n"/>
      <c r="H2729" s="19" t="n"/>
    </row>
    <row r="2730">
      <c r="A2730" s="16" t="n"/>
      <c r="B2730" s="19" t="n"/>
      <c r="D2730" s="16" t="n"/>
      <c r="E2730" s="19" t="n"/>
      <c r="G2730" s="16" t="n"/>
      <c r="H2730" s="19" t="n"/>
    </row>
    <row r="2731">
      <c r="A2731" s="16" t="n"/>
      <c r="B2731" s="19" t="n"/>
      <c r="D2731" s="16" t="n"/>
      <c r="E2731" s="19" t="n"/>
      <c r="G2731" s="16" t="n"/>
      <c r="H2731" s="19" t="n"/>
    </row>
    <row r="2732">
      <c r="A2732" s="16" t="n"/>
      <c r="B2732" s="19" t="n"/>
      <c r="D2732" s="16" t="n"/>
      <c r="E2732" s="19" t="n"/>
      <c r="G2732" s="16" t="n"/>
      <c r="H2732" s="19" t="n"/>
    </row>
    <row r="2733">
      <c r="A2733" s="16" t="n"/>
      <c r="B2733" s="19" t="n"/>
      <c r="D2733" s="16" t="n"/>
      <c r="E2733" s="19" t="n"/>
      <c r="G2733" s="16" t="n"/>
      <c r="H2733" s="19" t="n"/>
    </row>
    <row r="2734">
      <c r="A2734" s="16" t="n"/>
      <c r="B2734" s="19" t="n"/>
      <c r="D2734" s="16" t="n"/>
      <c r="E2734" s="19" t="n"/>
      <c r="G2734" s="16" t="n"/>
      <c r="H2734" s="19" t="n"/>
    </row>
    <row r="2735">
      <c r="A2735" s="16" t="n"/>
      <c r="B2735" s="19" t="n"/>
      <c r="D2735" s="16" t="n"/>
      <c r="E2735" s="19" t="n"/>
      <c r="G2735" s="16" t="n"/>
      <c r="H2735" s="19" t="n"/>
    </row>
    <row r="2736">
      <c r="A2736" s="16" t="n"/>
      <c r="B2736" s="19" t="n"/>
      <c r="D2736" s="16" t="n"/>
      <c r="E2736" s="19" t="n"/>
      <c r="G2736" s="16" t="n"/>
      <c r="H2736" s="19" t="n"/>
    </row>
    <row r="2737">
      <c r="A2737" s="16" t="n"/>
      <c r="B2737" s="19" t="n"/>
      <c r="D2737" s="16" t="n"/>
      <c r="E2737" s="19" t="n"/>
      <c r="G2737" s="16" t="n"/>
      <c r="H2737" s="19" t="n"/>
    </row>
    <row r="2738">
      <c r="A2738" s="16" t="n"/>
      <c r="B2738" s="19" t="n"/>
      <c r="D2738" s="16" t="n"/>
      <c r="E2738" s="19" t="n"/>
      <c r="G2738" s="16" t="n"/>
      <c r="H2738" s="19" t="n"/>
    </row>
    <row r="2739">
      <c r="A2739" s="16" t="n"/>
      <c r="B2739" s="19" t="n"/>
      <c r="D2739" s="16" t="n"/>
      <c r="E2739" s="19" t="n"/>
      <c r="G2739" s="16" t="n"/>
      <c r="H2739" s="19" t="n"/>
    </row>
    <row r="2740">
      <c r="A2740" s="16" t="n"/>
      <c r="B2740" s="19" t="n"/>
      <c r="D2740" s="16" t="n"/>
      <c r="E2740" s="19" t="n"/>
      <c r="G2740" s="16" t="n"/>
      <c r="H2740" s="19" t="n"/>
    </row>
    <row r="2741">
      <c r="A2741" s="16" t="n"/>
      <c r="B2741" s="19" t="n"/>
      <c r="D2741" s="16" t="n"/>
      <c r="E2741" s="19" t="n"/>
      <c r="G2741" s="16" t="n"/>
      <c r="H2741" s="19" t="n"/>
    </row>
    <row r="2742">
      <c r="A2742" s="16" t="n"/>
      <c r="B2742" s="19" t="n"/>
      <c r="D2742" s="16" t="n"/>
      <c r="E2742" s="19" t="n"/>
      <c r="G2742" s="16" t="n"/>
      <c r="H2742" s="19" t="n"/>
    </row>
    <row r="2743">
      <c r="A2743" s="16" t="n"/>
      <c r="B2743" s="19" t="n"/>
      <c r="D2743" s="16" t="n"/>
      <c r="E2743" s="19" t="n"/>
      <c r="G2743" s="16" t="n"/>
      <c r="H2743" s="19" t="n"/>
    </row>
    <row r="2744">
      <c r="A2744" s="16" t="n"/>
      <c r="B2744" s="19" t="n"/>
      <c r="D2744" s="16" t="n"/>
      <c r="E2744" s="19" t="n"/>
      <c r="G2744" s="16" t="n"/>
      <c r="H2744" s="19" t="n"/>
    </row>
    <row r="2745">
      <c r="A2745" s="16" t="n"/>
      <c r="B2745" s="19" t="n"/>
      <c r="D2745" s="16" t="n"/>
      <c r="E2745" s="19" t="n"/>
      <c r="G2745" s="16" t="n"/>
      <c r="H2745" s="19" t="n"/>
    </row>
    <row r="2746">
      <c r="A2746" s="16" t="n"/>
      <c r="B2746" s="19" t="n"/>
      <c r="D2746" s="16" t="n"/>
      <c r="E2746" s="19" t="n"/>
      <c r="G2746" s="16" t="n"/>
      <c r="H2746" s="19" t="n"/>
    </row>
    <row r="2747">
      <c r="A2747" s="16" t="n"/>
      <c r="B2747" s="19" t="n"/>
      <c r="D2747" s="16" t="n"/>
      <c r="E2747" s="19" t="n"/>
      <c r="G2747" s="16" t="n"/>
      <c r="H2747" s="19" t="n"/>
    </row>
    <row r="2748">
      <c r="A2748" s="16" t="n"/>
      <c r="B2748" s="19" t="n"/>
      <c r="D2748" s="16" t="n"/>
      <c r="E2748" s="19" t="n"/>
      <c r="G2748" s="16" t="n"/>
      <c r="H2748" s="19" t="n"/>
    </row>
    <row r="2749">
      <c r="A2749" s="16" t="n"/>
      <c r="B2749" s="19" t="n"/>
      <c r="D2749" s="16" t="n"/>
      <c r="E2749" s="19" t="n"/>
      <c r="G2749" s="16" t="n"/>
      <c r="H2749" s="19" t="n"/>
    </row>
    <row r="2750">
      <c r="A2750" s="16" t="n"/>
      <c r="B2750" s="19" t="n"/>
      <c r="D2750" s="16" t="n"/>
      <c r="E2750" s="19" t="n"/>
      <c r="G2750" s="16" t="n"/>
      <c r="H2750" s="19" t="n"/>
    </row>
    <row r="2751">
      <c r="A2751" s="16" t="n"/>
      <c r="B2751" s="19" t="n"/>
      <c r="D2751" s="16" t="n"/>
      <c r="E2751" s="19" t="n"/>
      <c r="G2751" s="16" t="n"/>
      <c r="H2751" s="19" t="n"/>
    </row>
    <row r="2752">
      <c r="A2752" s="16" t="n"/>
      <c r="B2752" s="19" t="n"/>
      <c r="D2752" s="16" t="n"/>
      <c r="E2752" s="19" t="n"/>
      <c r="G2752" s="16" t="n"/>
      <c r="H2752" s="19" t="n"/>
    </row>
    <row r="2753">
      <c r="A2753" s="16" t="n"/>
      <c r="B2753" s="19" t="n"/>
      <c r="D2753" s="16" t="n"/>
      <c r="E2753" s="19" t="n"/>
      <c r="G2753" s="16" t="n"/>
      <c r="H2753" s="19" t="n"/>
    </row>
    <row r="2754">
      <c r="A2754" s="16" t="n"/>
      <c r="B2754" s="19" t="n"/>
      <c r="D2754" s="16" t="n"/>
      <c r="E2754" s="19" t="n"/>
      <c r="G2754" s="16" t="n"/>
      <c r="H2754" s="19" t="n"/>
    </row>
    <row r="2755">
      <c r="A2755" s="16" t="n"/>
      <c r="B2755" s="19" t="n"/>
      <c r="D2755" s="16" t="n"/>
      <c r="E2755" s="19" t="n"/>
      <c r="G2755" s="16" t="n"/>
      <c r="H2755" s="19" t="n"/>
    </row>
    <row r="2756">
      <c r="A2756" s="16" t="n"/>
      <c r="B2756" s="19" t="n"/>
      <c r="D2756" s="16" t="n"/>
      <c r="E2756" s="19" t="n"/>
      <c r="G2756" s="16" t="n"/>
      <c r="H2756" s="19" t="n"/>
    </row>
    <row r="2757">
      <c r="A2757" s="16" t="n"/>
      <c r="B2757" s="19" t="n"/>
      <c r="D2757" s="16" t="n"/>
      <c r="E2757" s="19" t="n"/>
      <c r="G2757" s="16" t="n"/>
      <c r="H2757" s="19" t="n"/>
    </row>
    <row r="2758">
      <c r="A2758" s="16" t="n"/>
      <c r="B2758" s="19" t="n"/>
      <c r="D2758" s="16" t="n"/>
      <c r="E2758" s="19" t="n"/>
      <c r="G2758" s="16" t="n"/>
      <c r="H2758" s="19" t="n"/>
    </row>
    <row r="2759">
      <c r="A2759" s="16" t="n"/>
      <c r="B2759" s="19" t="n"/>
      <c r="D2759" s="16" t="n"/>
      <c r="E2759" s="19" t="n"/>
      <c r="G2759" s="16" t="n"/>
      <c r="H2759" s="19" t="n"/>
    </row>
    <row r="2760">
      <c r="A2760" s="16" t="n"/>
      <c r="B2760" s="19" t="n"/>
      <c r="D2760" s="16" t="n"/>
      <c r="E2760" s="19" t="n"/>
      <c r="G2760" s="16" t="n"/>
      <c r="H2760" s="19" t="n"/>
    </row>
    <row r="2761">
      <c r="A2761" s="16" t="n"/>
      <c r="B2761" s="19" t="n"/>
      <c r="D2761" s="16" t="n"/>
      <c r="E2761" s="19" t="n"/>
      <c r="G2761" s="16" t="n"/>
      <c r="H2761" s="19" t="n"/>
    </row>
    <row r="2762">
      <c r="A2762" s="16" t="n"/>
      <c r="B2762" s="19" t="n"/>
      <c r="D2762" s="16" t="n"/>
      <c r="E2762" s="19" t="n"/>
      <c r="G2762" s="16" t="n"/>
      <c r="H2762" s="19" t="n"/>
    </row>
    <row r="2763">
      <c r="A2763" s="16" t="n"/>
      <c r="B2763" s="19" t="n"/>
      <c r="D2763" s="16" t="n"/>
      <c r="E2763" s="19" t="n"/>
      <c r="G2763" s="16" t="n"/>
      <c r="H2763" s="19" t="n"/>
    </row>
    <row r="2764">
      <c r="A2764" s="16" t="n"/>
      <c r="B2764" s="19" t="n"/>
      <c r="D2764" s="16" t="n"/>
      <c r="E2764" s="19" t="n"/>
      <c r="G2764" s="16" t="n"/>
      <c r="H2764" s="19" t="n"/>
    </row>
    <row r="2765">
      <c r="A2765" s="16" t="n"/>
      <c r="B2765" s="19" t="n"/>
      <c r="D2765" s="16" t="n"/>
      <c r="E2765" s="19" t="n"/>
      <c r="G2765" s="16" t="n"/>
      <c r="H2765" s="19" t="n"/>
    </row>
    <row r="2766">
      <c r="A2766" s="16" t="n"/>
      <c r="B2766" s="19" t="n"/>
      <c r="D2766" s="16" t="n"/>
      <c r="E2766" s="19" t="n"/>
      <c r="G2766" s="16" t="n"/>
      <c r="H2766" s="19" t="n"/>
    </row>
    <row r="2767">
      <c r="A2767" s="16" t="n"/>
      <c r="B2767" s="19" t="n"/>
      <c r="D2767" s="16" t="n"/>
      <c r="E2767" s="19" t="n"/>
      <c r="G2767" s="16" t="n"/>
      <c r="H2767" s="19" t="n"/>
    </row>
    <row r="2768">
      <c r="A2768" s="16" t="n"/>
      <c r="B2768" s="19" t="n"/>
      <c r="D2768" s="16" t="n"/>
      <c r="E2768" s="19" t="n"/>
      <c r="G2768" s="16" t="n"/>
      <c r="H2768" s="19" t="n"/>
    </row>
    <row r="2769">
      <c r="A2769" s="16" t="n"/>
      <c r="B2769" s="19" t="n"/>
      <c r="D2769" s="16" t="n"/>
      <c r="E2769" s="19" t="n"/>
      <c r="G2769" s="16" t="n"/>
      <c r="H2769" s="19" t="n"/>
    </row>
    <row r="2770">
      <c r="A2770" s="16" t="n"/>
      <c r="B2770" s="19" t="n"/>
      <c r="D2770" s="16" t="n"/>
      <c r="E2770" s="19" t="n"/>
      <c r="G2770" s="16" t="n"/>
      <c r="H2770" s="19" t="n"/>
    </row>
    <row r="2771">
      <c r="A2771" s="16" t="n"/>
      <c r="B2771" s="19" t="n"/>
      <c r="D2771" s="16" t="n"/>
      <c r="E2771" s="19" t="n"/>
      <c r="G2771" s="16" t="n"/>
      <c r="H2771" s="19" t="n"/>
    </row>
    <row r="2772">
      <c r="A2772" s="16" t="n"/>
      <c r="B2772" s="19" t="n"/>
      <c r="D2772" s="16" t="n"/>
      <c r="E2772" s="19" t="n"/>
      <c r="G2772" s="16" t="n"/>
      <c r="H2772" s="19" t="n"/>
    </row>
    <row r="2773">
      <c r="A2773" s="16" t="n"/>
      <c r="B2773" s="19" t="n"/>
      <c r="D2773" s="16" t="n"/>
      <c r="E2773" s="19" t="n"/>
      <c r="G2773" s="16" t="n"/>
      <c r="H2773" s="19" t="n"/>
    </row>
    <row r="2774">
      <c r="A2774" s="16" t="n"/>
      <c r="B2774" s="19" t="n"/>
      <c r="D2774" s="16" t="n"/>
      <c r="E2774" s="19" t="n"/>
      <c r="G2774" s="16" t="n"/>
      <c r="H2774" s="19" t="n"/>
    </row>
    <row r="2775">
      <c r="A2775" s="16" t="n"/>
      <c r="B2775" s="19" t="n"/>
      <c r="D2775" s="16" t="n"/>
      <c r="E2775" s="19" t="n"/>
      <c r="G2775" s="16" t="n"/>
      <c r="H2775" s="19" t="n"/>
    </row>
    <row r="2776">
      <c r="A2776" s="16" t="n"/>
      <c r="B2776" s="19" t="n"/>
      <c r="D2776" s="16" t="n"/>
      <c r="E2776" s="19" t="n"/>
      <c r="G2776" s="16" t="n"/>
      <c r="H2776" s="19" t="n"/>
    </row>
    <row r="2777">
      <c r="A2777" s="16" t="n"/>
      <c r="B2777" s="19" t="n"/>
      <c r="D2777" s="16" t="n"/>
      <c r="E2777" s="19" t="n"/>
      <c r="G2777" s="16" t="n"/>
      <c r="H2777" s="19" t="n"/>
    </row>
    <row r="2778">
      <c r="A2778" s="16" t="n"/>
      <c r="B2778" s="19" t="n"/>
      <c r="D2778" s="16" t="n"/>
      <c r="E2778" s="19" t="n"/>
      <c r="G2778" s="16" t="n"/>
      <c r="H2778" s="19" t="n"/>
    </row>
    <row r="2779">
      <c r="A2779" s="16" t="n"/>
      <c r="B2779" s="19" t="n"/>
      <c r="D2779" s="16" t="n"/>
      <c r="E2779" s="19" t="n"/>
      <c r="G2779" s="16" t="n"/>
      <c r="H2779" s="19" t="n"/>
    </row>
    <row r="2780">
      <c r="A2780" s="16" t="n"/>
      <c r="B2780" s="19" t="n"/>
      <c r="D2780" s="16" t="n"/>
      <c r="E2780" s="19" t="n"/>
      <c r="G2780" s="16" t="n"/>
      <c r="H2780" s="19" t="n"/>
    </row>
    <row r="2781">
      <c r="A2781" s="16" t="n"/>
      <c r="B2781" s="19" t="n"/>
      <c r="D2781" s="16" t="n"/>
      <c r="E2781" s="19" t="n"/>
      <c r="G2781" s="16" t="n"/>
      <c r="H2781" s="19" t="n"/>
    </row>
    <row r="2782">
      <c r="A2782" s="16" t="n"/>
      <c r="B2782" s="19" t="n"/>
      <c r="D2782" s="16" t="n"/>
      <c r="E2782" s="19" t="n"/>
      <c r="G2782" s="16" t="n"/>
      <c r="H2782" s="19" t="n"/>
    </row>
    <row r="2783">
      <c r="A2783" s="16" t="n"/>
      <c r="B2783" s="19" t="n"/>
      <c r="D2783" s="16" t="n"/>
      <c r="E2783" s="19" t="n"/>
      <c r="G2783" s="16" t="n"/>
      <c r="H2783" s="19" t="n"/>
    </row>
    <row r="2784">
      <c r="A2784" s="16" t="n"/>
      <c r="B2784" s="19" t="n"/>
      <c r="D2784" s="16" t="n"/>
      <c r="E2784" s="19" t="n"/>
      <c r="G2784" s="16" t="n"/>
      <c r="H2784" s="19" t="n"/>
    </row>
    <row r="2785">
      <c r="A2785" s="16" t="n"/>
      <c r="B2785" s="19" t="n"/>
      <c r="D2785" s="16" t="n"/>
      <c r="E2785" s="19" t="n"/>
      <c r="G2785" s="16" t="n"/>
      <c r="H2785" s="19" t="n"/>
    </row>
    <row r="2786">
      <c r="A2786" s="16" t="n"/>
      <c r="B2786" s="19" t="n"/>
      <c r="D2786" s="16" t="n"/>
      <c r="E2786" s="19" t="n"/>
      <c r="G2786" s="16" t="n"/>
      <c r="H2786" s="19" t="n"/>
    </row>
    <row r="2787">
      <c r="A2787" s="16" t="n"/>
      <c r="B2787" s="19" t="n"/>
      <c r="D2787" s="16" t="n"/>
      <c r="E2787" s="19" t="n"/>
      <c r="G2787" s="16" t="n"/>
      <c r="H2787" s="19" t="n"/>
    </row>
    <row r="2788">
      <c r="A2788" s="16" t="n"/>
      <c r="B2788" s="19" t="n"/>
      <c r="D2788" s="16" t="n"/>
      <c r="E2788" s="19" t="n"/>
      <c r="G2788" s="16" t="n"/>
      <c r="H2788" s="19" t="n"/>
    </row>
    <row r="2789">
      <c r="A2789" s="16" t="n"/>
      <c r="B2789" s="19" t="n"/>
      <c r="D2789" s="16" t="n"/>
      <c r="E2789" s="19" t="n"/>
      <c r="G2789" s="16" t="n"/>
      <c r="H2789" s="19" t="n"/>
    </row>
    <row r="2790">
      <c r="A2790" s="16" t="n"/>
      <c r="B2790" s="19" t="n"/>
      <c r="D2790" s="16" t="n"/>
      <c r="E2790" s="19" t="n"/>
      <c r="G2790" s="16" t="n"/>
      <c r="H2790" s="19" t="n"/>
    </row>
    <row r="2791">
      <c r="A2791" s="16" t="n"/>
      <c r="B2791" s="19" t="n"/>
      <c r="D2791" s="16" t="n"/>
      <c r="E2791" s="19" t="n"/>
      <c r="G2791" s="16" t="n"/>
      <c r="H2791" s="19" t="n"/>
    </row>
    <row r="2792">
      <c r="A2792" s="16" t="n"/>
      <c r="B2792" s="19" t="n"/>
      <c r="D2792" s="16" t="n"/>
      <c r="E2792" s="19" t="n"/>
      <c r="G2792" s="16" t="n"/>
      <c r="H2792" s="19" t="n"/>
    </row>
    <row r="2793">
      <c r="A2793" s="16" t="n"/>
      <c r="B2793" s="19" t="n"/>
      <c r="D2793" s="16" t="n"/>
      <c r="E2793" s="19" t="n"/>
      <c r="G2793" s="16" t="n"/>
      <c r="H2793" s="19" t="n"/>
    </row>
    <row r="2794">
      <c r="A2794" s="16" t="n"/>
      <c r="B2794" s="19" t="n"/>
      <c r="D2794" s="16" t="n"/>
      <c r="E2794" s="19" t="n"/>
      <c r="G2794" s="16" t="n"/>
      <c r="H2794" s="19" t="n"/>
    </row>
    <row r="2795">
      <c r="A2795" s="16" t="n"/>
      <c r="B2795" s="19" t="n"/>
      <c r="D2795" s="16" t="n"/>
      <c r="E2795" s="19" t="n"/>
      <c r="G2795" s="16" t="n"/>
      <c r="H2795" s="19" t="n"/>
    </row>
    <row r="2796">
      <c r="A2796" s="16" t="n"/>
      <c r="B2796" s="19" t="n"/>
      <c r="D2796" s="16" t="n"/>
      <c r="E2796" s="19" t="n"/>
      <c r="G2796" s="16" t="n"/>
      <c r="H2796" s="19" t="n"/>
    </row>
    <row r="2797">
      <c r="A2797" s="16" t="n"/>
      <c r="B2797" s="19" t="n"/>
      <c r="D2797" s="16" t="n"/>
      <c r="E2797" s="19" t="n"/>
      <c r="G2797" s="16" t="n"/>
      <c r="H2797" s="19" t="n"/>
    </row>
    <row r="2798">
      <c r="A2798" s="16" t="n"/>
      <c r="B2798" s="19" t="n"/>
      <c r="D2798" s="16" t="n"/>
      <c r="E2798" s="19" t="n"/>
      <c r="G2798" s="16" t="n"/>
      <c r="H2798" s="19" t="n"/>
    </row>
    <row r="2799">
      <c r="A2799" s="16" t="n"/>
      <c r="B2799" s="19" t="n"/>
      <c r="D2799" s="16" t="n"/>
      <c r="E2799" s="19" t="n"/>
      <c r="G2799" s="16" t="n"/>
      <c r="H2799" s="19" t="n"/>
    </row>
    <row r="2800">
      <c r="A2800" s="16" t="n"/>
      <c r="B2800" s="19" t="n"/>
      <c r="D2800" s="16" t="n"/>
      <c r="E2800" s="19" t="n"/>
      <c r="G2800" s="16" t="n"/>
      <c r="H2800" s="19" t="n"/>
    </row>
    <row r="2801">
      <c r="A2801" s="16" t="n"/>
      <c r="B2801" s="19" t="n"/>
      <c r="D2801" s="16" t="n"/>
      <c r="E2801" s="19" t="n"/>
      <c r="G2801" s="16" t="n"/>
      <c r="H2801" s="19" t="n"/>
    </row>
    <row r="2802">
      <c r="A2802" s="16" t="n"/>
      <c r="B2802" s="19" t="n"/>
      <c r="D2802" s="16" t="n"/>
      <c r="E2802" s="19" t="n"/>
      <c r="G2802" s="16" t="n"/>
      <c r="H2802" s="19" t="n"/>
    </row>
    <row r="2803">
      <c r="A2803" s="16" t="n"/>
      <c r="B2803" s="19" t="n"/>
      <c r="D2803" s="16" t="n"/>
      <c r="E2803" s="19" t="n"/>
      <c r="G2803" s="16" t="n"/>
      <c r="H2803" s="19" t="n"/>
    </row>
    <row r="2804">
      <c r="A2804" s="16" t="n"/>
      <c r="B2804" s="19" t="n"/>
      <c r="D2804" s="16" t="n"/>
      <c r="E2804" s="19" t="n"/>
      <c r="G2804" s="16" t="n"/>
      <c r="H2804" s="19" t="n"/>
    </row>
    <row r="2805">
      <c r="A2805" s="16" t="n"/>
      <c r="B2805" s="19" t="n"/>
      <c r="D2805" s="16" t="n"/>
      <c r="E2805" s="19" t="n"/>
      <c r="G2805" s="16" t="n"/>
      <c r="H2805" s="19" t="n"/>
    </row>
    <row r="2806">
      <c r="A2806" s="16" t="n"/>
      <c r="B2806" s="19" t="n"/>
      <c r="D2806" s="16" t="n"/>
      <c r="E2806" s="19" t="n"/>
      <c r="G2806" s="16" t="n"/>
      <c r="H2806" s="19" t="n"/>
    </row>
    <row r="2807">
      <c r="A2807" s="16" t="n"/>
      <c r="B2807" s="19" t="n"/>
      <c r="D2807" s="16" t="n"/>
      <c r="E2807" s="19" t="n"/>
      <c r="G2807" s="16" t="n"/>
      <c r="H2807" s="19" t="n"/>
    </row>
    <row r="2808">
      <c r="A2808" s="16" t="n"/>
      <c r="B2808" s="19" t="n"/>
      <c r="D2808" s="16" t="n"/>
      <c r="E2808" s="19" t="n"/>
      <c r="G2808" s="16" t="n"/>
      <c r="H2808" s="19" t="n"/>
    </row>
    <row r="2809">
      <c r="A2809" s="16" t="n"/>
      <c r="B2809" s="19" t="n"/>
      <c r="D2809" s="16" t="n"/>
      <c r="E2809" s="19" t="n"/>
      <c r="G2809" s="16" t="n"/>
      <c r="H2809" s="19" t="n"/>
    </row>
    <row r="2810">
      <c r="A2810" s="16" t="n"/>
      <c r="B2810" s="19" t="n"/>
      <c r="D2810" s="16" t="n"/>
      <c r="E2810" s="19" t="n"/>
      <c r="G2810" s="16" t="n"/>
      <c r="H2810" s="19" t="n"/>
    </row>
    <row r="2811">
      <c r="A2811" s="16" t="n"/>
      <c r="B2811" s="19" t="n"/>
      <c r="D2811" s="16" t="n"/>
      <c r="E2811" s="19" t="n"/>
      <c r="G2811" s="16" t="n"/>
      <c r="H2811" s="19" t="n"/>
    </row>
    <row r="2812">
      <c r="A2812" s="16" t="n"/>
      <c r="B2812" s="19" t="n"/>
      <c r="D2812" s="16" t="n"/>
      <c r="E2812" s="19" t="n"/>
      <c r="G2812" s="16" t="n"/>
      <c r="H2812" s="19" t="n"/>
    </row>
    <row r="2813">
      <c r="A2813" s="16" t="n"/>
      <c r="B2813" s="19" t="n"/>
      <c r="D2813" s="16" t="n"/>
      <c r="E2813" s="19" t="n"/>
      <c r="G2813" s="16" t="n"/>
      <c r="H2813" s="19" t="n"/>
    </row>
    <row r="2814">
      <c r="A2814" s="16" t="n"/>
      <c r="B2814" s="19" t="n"/>
      <c r="D2814" s="16" t="n"/>
      <c r="E2814" s="19" t="n"/>
      <c r="G2814" s="16" t="n"/>
      <c r="H2814" s="19" t="n"/>
    </row>
    <row r="2815">
      <c r="A2815" s="16" t="n"/>
      <c r="B2815" s="19" t="n"/>
      <c r="D2815" s="16" t="n"/>
      <c r="E2815" s="19" t="n"/>
      <c r="G2815" s="16" t="n"/>
      <c r="H2815" s="19" t="n"/>
    </row>
    <row r="2816">
      <c r="A2816" s="16" t="n"/>
      <c r="B2816" s="19" t="n"/>
      <c r="D2816" s="16" t="n"/>
      <c r="E2816" s="19" t="n"/>
      <c r="G2816" s="16" t="n"/>
      <c r="H2816" s="19" t="n"/>
    </row>
    <row r="2817">
      <c r="A2817" s="16" t="n"/>
      <c r="B2817" s="19" t="n"/>
      <c r="D2817" s="16" t="n"/>
      <c r="E2817" s="19" t="n"/>
      <c r="G2817" s="16" t="n"/>
      <c r="H2817" s="19" t="n"/>
    </row>
    <row r="2818">
      <c r="A2818" s="16" t="n"/>
      <c r="B2818" s="19" t="n"/>
      <c r="D2818" s="16" t="n"/>
      <c r="E2818" s="19" t="n"/>
      <c r="G2818" s="16" t="n"/>
      <c r="H2818" s="19" t="n"/>
    </row>
    <row r="2819">
      <c r="A2819" s="16" t="n"/>
      <c r="B2819" s="19" t="n"/>
      <c r="D2819" s="16" t="n"/>
      <c r="E2819" s="19" t="n"/>
      <c r="G2819" s="16" t="n"/>
      <c r="H2819" s="19" t="n"/>
    </row>
    <row r="2820">
      <c r="A2820" s="16" t="n"/>
      <c r="B2820" s="19" t="n"/>
      <c r="D2820" s="16" t="n"/>
      <c r="E2820" s="19" t="n"/>
      <c r="G2820" s="16" t="n"/>
      <c r="H2820" s="19" t="n"/>
    </row>
    <row r="2821">
      <c r="A2821" s="16" t="n"/>
      <c r="B2821" s="19" t="n"/>
      <c r="D2821" s="16" t="n"/>
      <c r="E2821" s="19" t="n"/>
      <c r="G2821" s="16" t="n"/>
      <c r="H2821" s="19" t="n"/>
    </row>
    <row r="2822">
      <c r="A2822" s="16" t="n"/>
      <c r="B2822" s="19" t="n"/>
      <c r="D2822" s="16" t="n"/>
      <c r="E2822" s="19" t="n"/>
      <c r="G2822" s="16" t="n"/>
      <c r="H2822" s="19" t="n"/>
    </row>
    <row r="2823">
      <c r="A2823" s="16" t="n"/>
      <c r="B2823" s="19" t="n"/>
      <c r="D2823" s="16" t="n"/>
      <c r="E2823" s="19" t="n"/>
      <c r="G2823" s="16" t="n"/>
      <c r="H2823" s="19" t="n"/>
    </row>
    <row r="2824">
      <c r="A2824" s="16" t="n"/>
      <c r="B2824" s="19" t="n"/>
      <c r="D2824" s="16" t="n"/>
      <c r="E2824" s="19" t="n"/>
      <c r="G2824" s="16" t="n"/>
      <c r="H2824" s="19" t="n"/>
    </row>
    <row r="2825">
      <c r="A2825" s="16" t="n"/>
      <c r="B2825" s="19" t="n"/>
      <c r="D2825" s="16" t="n"/>
      <c r="E2825" s="19" t="n"/>
      <c r="G2825" s="16" t="n"/>
      <c r="H2825" s="19" t="n"/>
    </row>
    <row r="2826">
      <c r="A2826" s="16" t="n"/>
      <c r="B2826" s="19" t="n"/>
      <c r="D2826" s="16" t="n"/>
      <c r="E2826" s="19" t="n"/>
      <c r="G2826" s="16" t="n"/>
      <c r="H2826" s="19" t="n"/>
    </row>
    <row r="2827">
      <c r="A2827" s="16" t="n"/>
      <c r="B2827" s="19" t="n"/>
      <c r="D2827" s="16" t="n"/>
      <c r="E2827" s="19" t="n"/>
      <c r="G2827" s="16" t="n"/>
      <c r="H2827" s="19" t="n"/>
    </row>
    <row r="2828">
      <c r="A2828" s="16" t="n"/>
      <c r="B2828" s="19" t="n"/>
      <c r="D2828" s="16" t="n"/>
      <c r="E2828" s="19" t="n"/>
      <c r="G2828" s="16" t="n"/>
      <c r="H2828" s="19" t="n"/>
    </row>
    <row r="2829">
      <c r="A2829" s="16" t="n"/>
      <c r="B2829" s="19" t="n"/>
      <c r="D2829" s="16" t="n"/>
      <c r="E2829" s="19" t="n"/>
      <c r="G2829" s="16" t="n"/>
      <c r="H2829" s="19" t="n"/>
    </row>
    <row r="2830">
      <c r="A2830" s="16" t="n"/>
      <c r="B2830" s="19" t="n"/>
      <c r="D2830" s="16" t="n"/>
      <c r="E2830" s="19" t="n"/>
      <c r="G2830" s="16" t="n"/>
      <c r="H2830" s="19" t="n"/>
    </row>
    <row r="2831">
      <c r="A2831" s="16" t="n"/>
      <c r="B2831" s="19" t="n"/>
      <c r="D2831" s="16" t="n"/>
      <c r="E2831" s="19" t="n"/>
      <c r="G2831" s="16" t="n"/>
      <c r="H2831" s="19" t="n"/>
    </row>
    <row r="2832">
      <c r="A2832" s="16" t="n"/>
      <c r="B2832" s="19" t="n"/>
      <c r="D2832" s="16" t="n"/>
      <c r="E2832" s="19" t="n"/>
      <c r="G2832" s="16" t="n"/>
      <c r="H2832" s="19" t="n"/>
    </row>
    <row r="2833">
      <c r="A2833" s="16" t="n"/>
      <c r="B2833" s="19" t="n"/>
      <c r="D2833" s="16" t="n"/>
      <c r="E2833" s="19" t="n"/>
      <c r="G2833" s="16" t="n"/>
      <c r="H2833" s="19" t="n"/>
    </row>
    <row r="2834">
      <c r="A2834" s="16" t="n"/>
      <c r="B2834" s="19" t="n"/>
      <c r="D2834" s="16" t="n"/>
      <c r="E2834" s="19" t="n"/>
      <c r="G2834" s="16" t="n"/>
      <c r="H2834" s="19" t="n"/>
    </row>
    <row r="2835">
      <c r="A2835" s="16" t="n"/>
      <c r="B2835" s="19" t="n"/>
      <c r="D2835" s="16" t="n"/>
      <c r="E2835" s="19" t="n"/>
      <c r="G2835" s="16" t="n"/>
      <c r="H2835" s="19" t="n"/>
    </row>
    <row r="2836">
      <c r="A2836" s="16" t="n"/>
      <c r="B2836" s="19" t="n"/>
      <c r="D2836" s="16" t="n"/>
      <c r="E2836" s="19" t="n"/>
      <c r="G2836" s="16" t="n"/>
      <c r="H2836" s="19" t="n"/>
    </row>
    <row r="2837">
      <c r="A2837" s="16" t="n"/>
      <c r="B2837" s="19" t="n"/>
      <c r="D2837" s="16" t="n"/>
      <c r="E2837" s="19" t="n"/>
      <c r="G2837" s="16" t="n"/>
      <c r="H2837" s="19" t="n"/>
    </row>
    <row r="2838">
      <c r="A2838" s="16" t="n"/>
      <c r="B2838" s="19" t="n"/>
      <c r="D2838" s="16" t="n"/>
      <c r="E2838" s="19" t="n"/>
      <c r="G2838" s="16" t="n"/>
      <c r="H2838" s="19" t="n"/>
    </row>
    <row r="2839">
      <c r="A2839" s="16" t="n"/>
      <c r="B2839" s="19" t="n"/>
      <c r="D2839" s="16" t="n"/>
      <c r="E2839" s="19" t="n"/>
      <c r="G2839" s="16" t="n"/>
      <c r="H2839" s="19" t="n"/>
    </row>
    <row r="2840">
      <c r="A2840" s="16" t="n"/>
      <c r="B2840" s="19" t="n"/>
      <c r="D2840" s="16" t="n"/>
      <c r="E2840" s="19" t="n"/>
      <c r="G2840" s="16" t="n"/>
      <c r="H2840" s="19" t="n"/>
    </row>
    <row r="2841">
      <c r="A2841" s="16" t="n"/>
      <c r="B2841" s="19" t="n"/>
      <c r="D2841" s="16" t="n"/>
      <c r="E2841" s="19" t="n"/>
      <c r="G2841" s="16" t="n"/>
      <c r="H2841" s="19" t="n"/>
    </row>
    <row r="2842">
      <c r="A2842" s="16" t="n"/>
      <c r="B2842" s="19" t="n"/>
      <c r="D2842" s="16" t="n"/>
      <c r="E2842" s="19" t="n"/>
      <c r="G2842" s="16" t="n"/>
      <c r="H2842" s="19" t="n"/>
    </row>
    <row r="2843">
      <c r="A2843" s="16" t="n"/>
      <c r="B2843" s="19" t="n"/>
      <c r="D2843" s="16" t="n"/>
      <c r="E2843" s="19" t="n"/>
      <c r="G2843" s="16" t="n"/>
      <c r="H2843" s="19" t="n"/>
    </row>
    <row r="2844">
      <c r="A2844" s="16" t="n"/>
      <c r="B2844" s="19" t="n"/>
      <c r="D2844" s="16" t="n"/>
      <c r="E2844" s="19" t="n"/>
      <c r="G2844" s="16" t="n"/>
      <c r="H2844" s="19" t="n"/>
    </row>
    <row r="2845">
      <c r="A2845" s="16" t="n"/>
      <c r="B2845" s="19" t="n"/>
      <c r="D2845" s="16" t="n"/>
      <c r="E2845" s="19" t="n"/>
      <c r="G2845" s="16" t="n"/>
      <c r="H2845" s="19" t="n"/>
    </row>
    <row r="2846">
      <c r="A2846" s="16" t="n"/>
      <c r="B2846" s="19" t="n"/>
      <c r="D2846" s="16" t="n"/>
      <c r="E2846" s="19" t="n"/>
      <c r="G2846" s="16" t="n"/>
      <c r="H2846" s="19" t="n"/>
    </row>
    <row r="2847">
      <c r="A2847" s="16" t="n"/>
      <c r="B2847" s="19" t="n"/>
      <c r="D2847" s="16" t="n"/>
      <c r="E2847" s="19" t="n"/>
      <c r="G2847" s="16" t="n"/>
      <c r="H2847" s="19" t="n"/>
    </row>
    <row r="2848">
      <c r="A2848" s="16" t="n"/>
      <c r="B2848" s="19" t="n"/>
      <c r="D2848" s="16" t="n"/>
      <c r="E2848" s="19" t="n"/>
      <c r="G2848" s="16" t="n"/>
      <c r="H2848" s="19" t="n"/>
    </row>
    <row r="2849">
      <c r="A2849" s="16" t="n"/>
      <c r="B2849" s="19" t="n"/>
      <c r="D2849" s="16" t="n"/>
      <c r="E2849" s="19" t="n"/>
      <c r="G2849" s="16" t="n"/>
      <c r="H2849" s="19" t="n"/>
    </row>
    <row r="2850">
      <c r="A2850" s="16" t="n"/>
      <c r="B2850" s="19" t="n"/>
      <c r="D2850" s="16" t="n"/>
      <c r="E2850" s="19" t="n"/>
      <c r="G2850" s="16" t="n"/>
      <c r="H2850" s="19" t="n"/>
    </row>
    <row r="2851">
      <c r="A2851" s="16" t="n"/>
      <c r="B2851" s="19" t="n"/>
      <c r="D2851" s="16" t="n"/>
      <c r="E2851" s="19" t="n"/>
      <c r="G2851" s="16" t="n"/>
      <c r="H2851" s="19" t="n"/>
    </row>
    <row r="2852">
      <c r="A2852" s="16" t="n"/>
      <c r="B2852" s="19" t="n"/>
      <c r="D2852" s="16" t="n"/>
      <c r="E2852" s="19" t="n"/>
      <c r="G2852" s="16" t="n"/>
      <c r="H2852" s="19" t="n"/>
    </row>
    <row r="2853">
      <c r="A2853" s="16" t="n"/>
      <c r="B2853" s="19" t="n"/>
      <c r="D2853" s="16" t="n"/>
      <c r="E2853" s="19" t="n"/>
      <c r="G2853" s="16" t="n"/>
      <c r="H2853" s="19" t="n"/>
    </row>
    <row r="2854">
      <c r="A2854" s="16" t="n"/>
      <c r="B2854" s="19" t="n"/>
      <c r="D2854" s="16" t="n"/>
      <c r="E2854" s="19" t="n"/>
      <c r="G2854" s="16" t="n"/>
      <c r="H2854" s="19" t="n"/>
    </row>
    <row r="2855">
      <c r="A2855" s="16" t="n"/>
      <c r="B2855" s="19" t="n"/>
      <c r="D2855" s="16" t="n"/>
      <c r="E2855" s="19" t="n"/>
      <c r="G2855" s="16" t="n"/>
      <c r="H2855" s="19" t="n"/>
    </row>
    <row r="2856">
      <c r="A2856" s="16" t="n"/>
      <c r="B2856" s="19" t="n"/>
      <c r="D2856" s="16" t="n"/>
      <c r="E2856" s="19" t="n"/>
      <c r="G2856" s="16" t="n"/>
      <c r="H2856" s="19" t="n"/>
    </row>
    <row r="2857">
      <c r="A2857" s="16" t="n"/>
      <c r="B2857" s="19" t="n"/>
      <c r="D2857" s="16" t="n"/>
      <c r="E2857" s="19" t="n"/>
      <c r="G2857" s="16" t="n"/>
      <c r="H2857" s="19" t="n"/>
    </row>
    <row r="2858">
      <c r="A2858" s="16" t="n"/>
      <c r="B2858" s="19" t="n"/>
      <c r="D2858" s="16" t="n"/>
      <c r="E2858" s="19" t="n"/>
      <c r="G2858" s="16" t="n"/>
      <c r="H2858" s="19" t="n"/>
    </row>
    <row r="2859">
      <c r="A2859" s="16" t="n"/>
      <c r="B2859" s="19" t="n"/>
      <c r="D2859" s="16" t="n"/>
      <c r="E2859" s="19" t="n"/>
      <c r="G2859" s="16" t="n"/>
      <c r="H2859" s="19" t="n"/>
    </row>
    <row r="2860">
      <c r="A2860" s="16" t="n"/>
      <c r="B2860" s="19" t="n"/>
      <c r="D2860" s="16" t="n"/>
      <c r="E2860" s="19" t="n"/>
      <c r="G2860" s="16" t="n"/>
      <c r="H2860" s="19" t="n"/>
    </row>
    <row r="2861">
      <c r="A2861" s="16" t="n"/>
      <c r="B2861" s="19" t="n"/>
      <c r="D2861" s="16" t="n"/>
      <c r="E2861" s="19" t="n"/>
      <c r="G2861" s="16" t="n"/>
      <c r="H2861" s="19" t="n"/>
    </row>
    <row r="2862">
      <c r="A2862" s="16" t="n"/>
      <c r="B2862" s="19" t="n"/>
      <c r="D2862" s="16" t="n"/>
      <c r="E2862" s="19" t="n"/>
      <c r="G2862" s="16" t="n"/>
      <c r="H2862" s="19" t="n"/>
    </row>
    <row r="2863">
      <c r="A2863" s="16" t="n"/>
      <c r="B2863" s="19" t="n"/>
      <c r="D2863" s="16" t="n"/>
      <c r="E2863" s="19" t="n"/>
      <c r="G2863" s="16" t="n"/>
      <c r="H2863" s="19" t="n"/>
    </row>
    <row r="2864">
      <c r="A2864" s="16" t="n"/>
      <c r="B2864" s="19" t="n"/>
      <c r="D2864" s="16" t="n"/>
      <c r="E2864" s="19" t="n"/>
      <c r="G2864" s="16" t="n"/>
      <c r="H2864" s="19" t="n"/>
    </row>
    <row r="2865">
      <c r="A2865" s="16" t="n"/>
      <c r="B2865" s="19" t="n"/>
      <c r="D2865" s="16" t="n"/>
      <c r="E2865" s="19" t="n"/>
      <c r="G2865" s="16" t="n"/>
      <c r="H2865" s="19" t="n"/>
    </row>
    <row r="2866">
      <c r="A2866" s="16" t="n"/>
      <c r="B2866" s="19" t="n"/>
      <c r="D2866" s="16" t="n"/>
      <c r="E2866" s="19" t="n"/>
      <c r="G2866" s="16" t="n"/>
      <c r="H2866" s="19" t="n"/>
    </row>
    <row r="2867">
      <c r="A2867" s="16" t="n"/>
      <c r="B2867" s="19" t="n"/>
      <c r="D2867" s="16" t="n"/>
      <c r="E2867" s="19" t="n"/>
      <c r="G2867" s="16" t="n"/>
      <c r="H2867" s="19" t="n"/>
    </row>
    <row r="2868">
      <c r="A2868" s="16" t="n"/>
      <c r="B2868" s="19" t="n"/>
      <c r="D2868" s="16" t="n"/>
      <c r="E2868" s="19" t="n"/>
      <c r="G2868" s="16" t="n"/>
      <c r="H2868" s="19" t="n"/>
    </row>
    <row r="2869">
      <c r="A2869" s="16" t="n"/>
      <c r="B2869" s="19" t="n"/>
      <c r="D2869" s="16" t="n"/>
      <c r="E2869" s="19" t="n"/>
      <c r="G2869" s="16" t="n"/>
      <c r="H2869" s="19" t="n"/>
    </row>
    <row r="2870">
      <c r="A2870" s="16" t="n"/>
      <c r="B2870" s="19" t="n"/>
      <c r="D2870" s="16" t="n"/>
      <c r="E2870" s="19" t="n"/>
      <c r="G2870" s="16" t="n"/>
      <c r="H2870" s="19" t="n"/>
    </row>
    <row r="2871">
      <c r="A2871" s="16" t="n"/>
      <c r="B2871" s="19" t="n"/>
      <c r="D2871" s="16" t="n"/>
      <c r="E2871" s="19" t="n"/>
      <c r="G2871" s="16" t="n"/>
      <c r="H2871" s="19" t="n"/>
    </row>
    <row r="2872">
      <c r="A2872" s="16" t="n"/>
      <c r="B2872" s="19" t="n"/>
      <c r="D2872" s="16" t="n"/>
      <c r="E2872" s="19" t="n"/>
      <c r="G2872" s="16" t="n"/>
      <c r="H2872" s="19" t="n"/>
    </row>
    <row r="2873">
      <c r="A2873" s="16" t="n"/>
      <c r="B2873" s="19" t="n"/>
      <c r="D2873" s="16" t="n"/>
      <c r="E2873" s="19" t="n"/>
      <c r="G2873" s="16" t="n"/>
      <c r="H2873" s="19" t="n"/>
    </row>
    <row r="2874">
      <c r="A2874" s="16" t="n"/>
      <c r="B2874" s="19" t="n"/>
      <c r="D2874" s="16" t="n"/>
      <c r="E2874" s="19" t="n"/>
      <c r="G2874" s="16" t="n"/>
      <c r="H2874" s="19" t="n"/>
    </row>
    <row r="2875">
      <c r="A2875" s="16" t="n"/>
      <c r="B2875" s="19" t="n"/>
      <c r="D2875" s="16" t="n"/>
      <c r="E2875" s="19" t="n"/>
      <c r="G2875" s="16" t="n"/>
      <c r="H2875" s="19" t="n"/>
    </row>
    <row r="2876">
      <c r="A2876" s="16" t="n"/>
      <c r="B2876" s="19" t="n"/>
      <c r="D2876" s="16" t="n"/>
      <c r="E2876" s="19" t="n"/>
      <c r="G2876" s="16" t="n"/>
      <c r="H2876" s="19" t="n"/>
    </row>
    <row r="2877">
      <c r="A2877" s="16" t="n"/>
      <c r="B2877" s="19" t="n"/>
      <c r="D2877" s="16" t="n"/>
      <c r="E2877" s="19" t="n"/>
      <c r="G2877" s="16" t="n"/>
      <c r="H2877" s="19" t="n"/>
    </row>
    <row r="2878">
      <c r="A2878" s="16" t="n"/>
      <c r="B2878" s="19" t="n"/>
      <c r="D2878" s="16" t="n"/>
      <c r="E2878" s="19" t="n"/>
      <c r="G2878" s="16" t="n"/>
      <c r="H2878" s="19" t="n"/>
    </row>
    <row r="2879">
      <c r="A2879" s="16" t="n"/>
      <c r="B2879" s="19" t="n"/>
      <c r="D2879" s="16" t="n"/>
      <c r="E2879" s="19" t="n"/>
      <c r="G2879" s="16" t="n"/>
      <c r="H2879" s="19" t="n"/>
    </row>
    <row r="2880">
      <c r="A2880" s="16" t="n"/>
      <c r="B2880" s="19" t="n"/>
      <c r="D2880" s="16" t="n"/>
      <c r="E2880" s="19" t="n"/>
      <c r="G2880" s="16" t="n"/>
      <c r="H2880" s="19" t="n"/>
    </row>
    <row r="2881">
      <c r="A2881" s="16" t="n"/>
      <c r="B2881" s="19" t="n"/>
      <c r="D2881" s="16" t="n"/>
      <c r="E2881" s="19" t="n"/>
      <c r="G2881" s="16" t="n"/>
      <c r="H2881" s="19" t="n"/>
    </row>
    <row r="2882">
      <c r="A2882" s="16" t="n"/>
      <c r="B2882" s="19" t="n"/>
      <c r="D2882" s="16" t="n"/>
      <c r="E2882" s="19" t="n"/>
      <c r="G2882" s="16" t="n"/>
      <c r="H2882" s="19" t="n"/>
    </row>
    <row r="2883">
      <c r="A2883" s="16" t="n"/>
      <c r="B2883" s="19" t="n"/>
      <c r="D2883" s="16" t="n"/>
      <c r="E2883" s="19" t="n"/>
      <c r="G2883" s="16" t="n"/>
      <c r="H2883" s="19" t="n"/>
    </row>
    <row r="2884">
      <c r="A2884" s="16" t="n"/>
      <c r="B2884" s="19" t="n"/>
      <c r="D2884" s="16" t="n"/>
      <c r="E2884" s="19" t="n"/>
      <c r="G2884" s="16" t="n"/>
      <c r="H2884" s="19" t="n"/>
    </row>
    <row r="2885">
      <c r="A2885" s="16" t="n"/>
      <c r="B2885" s="19" t="n"/>
      <c r="D2885" s="16" t="n"/>
      <c r="E2885" s="19" t="n"/>
      <c r="G2885" s="16" t="n"/>
      <c r="H2885" s="19" t="n"/>
    </row>
    <row r="2886">
      <c r="A2886" s="16" t="n"/>
      <c r="B2886" s="19" t="n"/>
      <c r="D2886" s="16" t="n"/>
      <c r="E2886" s="19" t="n"/>
      <c r="G2886" s="16" t="n"/>
      <c r="H2886" s="19" t="n"/>
    </row>
    <row r="2887">
      <c r="A2887" s="16" t="n"/>
      <c r="B2887" s="19" t="n"/>
      <c r="D2887" s="16" t="n"/>
      <c r="E2887" s="19" t="n"/>
      <c r="G2887" s="16" t="n"/>
      <c r="H2887" s="19" t="n"/>
    </row>
    <row r="2888">
      <c r="A2888" s="16" t="n"/>
      <c r="B2888" s="19" t="n"/>
      <c r="D2888" s="16" t="n"/>
      <c r="E2888" s="19" t="n"/>
      <c r="G2888" s="16" t="n"/>
      <c r="H2888" s="19" t="n"/>
    </row>
    <row r="2889">
      <c r="A2889" s="16" t="n"/>
      <c r="B2889" s="19" t="n"/>
      <c r="D2889" s="16" t="n"/>
      <c r="E2889" s="19" t="n"/>
      <c r="G2889" s="16" t="n"/>
      <c r="H2889" s="19" t="n"/>
    </row>
    <row r="2890">
      <c r="A2890" s="16" t="n"/>
      <c r="B2890" s="19" t="n"/>
      <c r="D2890" s="16" t="n"/>
      <c r="E2890" s="19" t="n"/>
      <c r="G2890" s="16" t="n"/>
      <c r="H2890" s="19" t="n"/>
    </row>
    <row r="2891">
      <c r="A2891" s="16" t="n"/>
      <c r="B2891" s="19" t="n"/>
      <c r="D2891" s="16" t="n"/>
      <c r="E2891" s="19" t="n"/>
      <c r="G2891" s="16" t="n"/>
      <c r="H2891" s="19" t="n"/>
    </row>
    <row r="2892">
      <c r="A2892" s="16" t="n"/>
      <c r="B2892" s="19" t="n"/>
      <c r="D2892" s="16" t="n"/>
      <c r="E2892" s="19" t="n"/>
      <c r="G2892" s="16" t="n"/>
      <c r="H2892" s="19" t="n"/>
    </row>
    <row r="2893">
      <c r="A2893" s="16" t="n"/>
      <c r="B2893" s="19" t="n"/>
      <c r="D2893" s="16" t="n"/>
      <c r="E2893" s="19" t="n"/>
      <c r="G2893" s="16" t="n"/>
      <c r="H2893" s="19" t="n"/>
    </row>
    <row r="2894">
      <c r="A2894" s="16" t="n"/>
      <c r="B2894" s="19" t="n"/>
      <c r="D2894" s="16" t="n"/>
      <c r="E2894" s="19" t="n"/>
      <c r="G2894" s="16" t="n"/>
      <c r="H2894" s="19" t="n"/>
    </row>
    <row r="2895">
      <c r="A2895" s="16" t="n"/>
      <c r="B2895" s="19" t="n"/>
      <c r="D2895" s="16" t="n"/>
      <c r="E2895" s="19" t="n"/>
      <c r="G2895" s="16" t="n"/>
      <c r="H2895" s="19" t="n"/>
    </row>
    <row r="2896">
      <c r="A2896" s="16" t="n"/>
      <c r="B2896" s="19" t="n"/>
      <c r="D2896" s="16" t="n"/>
      <c r="E2896" s="19" t="n"/>
      <c r="G2896" s="16" t="n"/>
      <c r="H2896" s="19" t="n"/>
    </row>
    <row r="2897">
      <c r="A2897" s="16" t="n"/>
      <c r="B2897" s="19" t="n"/>
      <c r="D2897" s="16" t="n"/>
      <c r="E2897" s="19" t="n"/>
      <c r="G2897" s="16" t="n"/>
      <c r="H2897" s="19" t="n"/>
    </row>
    <row r="2898">
      <c r="A2898" s="16" t="n"/>
      <c r="B2898" s="19" t="n"/>
      <c r="D2898" s="16" t="n"/>
      <c r="E2898" s="19" t="n"/>
      <c r="G2898" s="16" t="n"/>
      <c r="H2898" s="19" t="n"/>
    </row>
    <row r="2899">
      <c r="A2899" s="16" t="n"/>
      <c r="B2899" s="19" t="n"/>
      <c r="D2899" s="16" t="n"/>
      <c r="E2899" s="19" t="n"/>
      <c r="G2899" s="16" t="n"/>
      <c r="H2899" s="19" t="n"/>
    </row>
    <row r="2900">
      <c r="A2900" s="16" t="n"/>
      <c r="B2900" s="19" t="n"/>
      <c r="D2900" s="16" t="n"/>
      <c r="E2900" s="19" t="n"/>
      <c r="G2900" s="16" t="n"/>
      <c r="H2900" s="19" t="n"/>
    </row>
    <row r="2901">
      <c r="A2901" s="16" t="n"/>
      <c r="B2901" s="19" t="n"/>
      <c r="D2901" s="16" t="n"/>
      <c r="E2901" s="19" t="n"/>
      <c r="G2901" s="16" t="n"/>
      <c r="H2901" s="19" t="n"/>
    </row>
    <row r="2902">
      <c r="A2902" s="16" t="n"/>
      <c r="B2902" s="19" t="n"/>
      <c r="D2902" s="16" t="n"/>
      <c r="E2902" s="19" t="n"/>
      <c r="G2902" s="16" t="n"/>
      <c r="H2902" s="19" t="n"/>
    </row>
    <row r="2903">
      <c r="A2903" s="16" t="n"/>
      <c r="B2903" s="19" t="n"/>
      <c r="D2903" s="16" t="n"/>
      <c r="E2903" s="19" t="n"/>
      <c r="G2903" s="16" t="n"/>
      <c r="H2903" s="19" t="n"/>
    </row>
    <row r="2904">
      <c r="A2904" s="16" t="n"/>
      <c r="B2904" s="19" t="n"/>
      <c r="D2904" s="16" t="n"/>
      <c r="E2904" s="19" t="n"/>
      <c r="G2904" s="16" t="n"/>
      <c r="H2904" s="19" t="n"/>
    </row>
    <row r="2905">
      <c r="A2905" s="16" t="n"/>
      <c r="B2905" s="19" t="n"/>
      <c r="D2905" s="16" t="n"/>
      <c r="E2905" s="19" t="n"/>
      <c r="G2905" s="16" t="n"/>
      <c r="H2905" s="19" t="n"/>
    </row>
    <row r="2906">
      <c r="A2906" s="16" t="n"/>
      <c r="B2906" s="19" t="n"/>
      <c r="D2906" s="16" t="n"/>
      <c r="E2906" s="19" t="n"/>
      <c r="G2906" s="16" t="n"/>
      <c r="H2906" s="19" t="n"/>
    </row>
    <row r="2907">
      <c r="A2907" s="16" t="n"/>
      <c r="B2907" s="19" t="n"/>
      <c r="D2907" s="16" t="n"/>
      <c r="E2907" s="19" t="n"/>
      <c r="G2907" s="16" t="n"/>
      <c r="H2907" s="19" t="n"/>
    </row>
    <row r="2908">
      <c r="A2908" s="16" t="n"/>
      <c r="B2908" s="19" t="n"/>
      <c r="D2908" s="16" t="n"/>
      <c r="E2908" s="19" t="n"/>
      <c r="G2908" s="16" t="n"/>
      <c r="H2908" s="19" t="n"/>
    </row>
    <row r="2909">
      <c r="A2909" s="16" t="n"/>
      <c r="B2909" s="19" t="n"/>
      <c r="D2909" s="16" t="n"/>
      <c r="E2909" s="19" t="n"/>
      <c r="G2909" s="16" t="n"/>
      <c r="H2909" s="19" t="n"/>
    </row>
    <row r="2910">
      <c r="A2910" s="16" t="n"/>
      <c r="B2910" s="19" t="n"/>
      <c r="D2910" s="16" t="n"/>
      <c r="E2910" s="19" t="n"/>
      <c r="G2910" s="16" t="n"/>
      <c r="H2910" s="19" t="n"/>
    </row>
    <row r="2911">
      <c r="A2911" s="16" t="n"/>
      <c r="B2911" s="19" t="n"/>
      <c r="D2911" s="16" t="n"/>
      <c r="E2911" s="19" t="n"/>
      <c r="G2911" s="16" t="n"/>
      <c r="H2911" s="19" t="n"/>
    </row>
    <row r="2912">
      <c r="A2912" s="16" t="n"/>
      <c r="B2912" s="19" t="n"/>
      <c r="D2912" s="16" t="n"/>
      <c r="E2912" s="19" t="n"/>
      <c r="G2912" s="16" t="n"/>
      <c r="H2912" s="19" t="n"/>
    </row>
    <row r="2913">
      <c r="A2913" s="16" t="n"/>
      <c r="B2913" s="19" t="n"/>
      <c r="D2913" s="16" t="n"/>
      <c r="E2913" s="19" t="n"/>
      <c r="G2913" s="16" t="n"/>
      <c r="H2913" s="19" t="n"/>
    </row>
    <row r="2914">
      <c r="A2914" s="16" t="n"/>
      <c r="B2914" s="19" t="n"/>
      <c r="D2914" s="16" t="n"/>
      <c r="E2914" s="19" t="n"/>
      <c r="G2914" s="16" t="n"/>
      <c r="H2914" s="19" t="n"/>
    </row>
    <row r="2915">
      <c r="A2915" s="16" t="n"/>
      <c r="B2915" s="19" t="n"/>
      <c r="D2915" s="16" t="n"/>
      <c r="E2915" s="19" t="n"/>
      <c r="G2915" s="16" t="n"/>
      <c r="H2915" s="19" t="n"/>
    </row>
    <row r="2916">
      <c r="A2916" s="16" t="n"/>
      <c r="B2916" s="19" t="n"/>
      <c r="D2916" s="16" t="n"/>
      <c r="E2916" s="19" t="n"/>
      <c r="G2916" s="16" t="n"/>
      <c r="H2916" s="19" t="n"/>
    </row>
    <row r="2917">
      <c r="A2917" s="16" t="n"/>
      <c r="B2917" s="19" t="n"/>
      <c r="D2917" s="16" t="n"/>
      <c r="E2917" s="19" t="n"/>
      <c r="G2917" s="16" t="n"/>
      <c r="H2917" s="19" t="n"/>
    </row>
    <row r="2918">
      <c r="A2918" s="16" t="n"/>
      <c r="B2918" s="19" t="n"/>
      <c r="D2918" s="16" t="n"/>
      <c r="E2918" s="19" t="n"/>
      <c r="G2918" s="16" t="n"/>
      <c r="H2918" s="19" t="n"/>
    </row>
    <row r="2919">
      <c r="A2919" s="16" t="n"/>
      <c r="B2919" s="19" t="n"/>
      <c r="D2919" s="16" t="n"/>
      <c r="E2919" s="19" t="n"/>
      <c r="G2919" s="16" t="n"/>
      <c r="H2919" s="19" t="n"/>
    </row>
    <row r="2920">
      <c r="A2920" s="16" t="n"/>
      <c r="B2920" s="19" t="n"/>
      <c r="D2920" s="16" t="n"/>
      <c r="E2920" s="19" t="n"/>
      <c r="G2920" s="16" t="n"/>
      <c r="H2920" s="19" t="n"/>
    </row>
    <row r="2921">
      <c r="A2921" s="16" t="n"/>
      <c r="B2921" s="19" t="n"/>
      <c r="D2921" s="16" t="n"/>
      <c r="E2921" s="19" t="n"/>
      <c r="G2921" s="16" t="n"/>
      <c r="H2921" s="19" t="n"/>
    </row>
    <row r="2922">
      <c r="A2922" s="16" t="n"/>
      <c r="B2922" s="19" t="n"/>
      <c r="D2922" s="16" t="n"/>
      <c r="E2922" s="19" t="n"/>
      <c r="G2922" s="16" t="n"/>
      <c r="H2922" s="19" t="n"/>
    </row>
    <row r="2923">
      <c r="A2923" s="16" t="n"/>
      <c r="B2923" s="19" t="n"/>
      <c r="D2923" s="16" t="n"/>
      <c r="E2923" s="19" t="n"/>
      <c r="G2923" s="16" t="n"/>
      <c r="H2923" s="19" t="n"/>
    </row>
    <row r="2924">
      <c r="A2924" s="16" t="n"/>
      <c r="B2924" s="19" t="n"/>
      <c r="D2924" s="16" t="n"/>
      <c r="E2924" s="19" t="n"/>
      <c r="G2924" s="16" t="n"/>
      <c r="H2924" s="19" t="n"/>
    </row>
    <row r="2925">
      <c r="A2925" s="16" t="n"/>
      <c r="B2925" s="19" t="n"/>
      <c r="D2925" s="16" t="n"/>
      <c r="E2925" s="19" t="n"/>
      <c r="G2925" s="16" t="n"/>
      <c r="H2925" s="19" t="n"/>
    </row>
    <row r="2926">
      <c r="A2926" s="16" t="n"/>
      <c r="B2926" s="19" t="n"/>
      <c r="D2926" s="16" t="n"/>
      <c r="E2926" s="19" t="n"/>
      <c r="G2926" s="16" t="n"/>
      <c r="H2926" s="19" t="n"/>
    </row>
    <row r="2927">
      <c r="A2927" s="16" t="n"/>
      <c r="B2927" s="19" t="n"/>
      <c r="D2927" s="16" t="n"/>
      <c r="E2927" s="19" t="n"/>
      <c r="G2927" s="16" t="n"/>
      <c r="H2927" s="19" t="n"/>
    </row>
    <row r="2928">
      <c r="A2928" s="16" t="n"/>
      <c r="B2928" s="19" t="n"/>
      <c r="D2928" s="16" t="n"/>
      <c r="E2928" s="19" t="n"/>
      <c r="G2928" s="16" t="n"/>
      <c r="H2928" s="19" t="n"/>
    </row>
    <row r="2929">
      <c r="A2929" s="16" t="n"/>
      <c r="B2929" s="19" t="n"/>
      <c r="D2929" s="16" t="n"/>
      <c r="E2929" s="19" t="n"/>
      <c r="G2929" s="16" t="n"/>
      <c r="H2929" s="19" t="n"/>
    </row>
    <row r="2930">
      <c r="A2930" s="16" t="n"/>
      <c r="B2930" s="19" t="n"/>
      <c r="D2930" s="16" t="n"/>
      <c r="E2930" s="19" t="n"/>
      <c r="G2930" s="16" t="n"/>
      <c r="H2930" s="19" t="n"/>
    </row>
    <row r="2931">
      <c r="A2931" s="16" t="n"/>
      <c r="B2931" s="19" t="n"/>
      <c r="D2931" s="16" t="n"/>
      <c r="E2931" s="19" t="n"/>
      <c r="G2931" s="16" t="n"/>
      <c r="H2931" s="19" t="n"/>
    </row>
    <row r="2932">
      <c r="A2932" s="16" t="n"/>
      <c r="B2932" s="19" t="n"/>
      <c r="D2932" s="16" t="n"/>
      <c r="E2932" s="19" t="n"/>
      <c r="G2932" s="16" t="n"/>
      <c r="H2932" s="19" t="n"/>
    </row>
    <row r="2933">
      <c r="A2933" s="16" t="n"/>
      <c r="B2933" s="19" t="n"/>
      <c r="D2933" s="16" t="n"/>
      <c r="E2933" s="19" t="n"/>
      <c r="G2933" s="16" t="n"/>
      <c r="H2933" s="19" t="n"/>
    </row>
    <row r="2934">
      <c r="A2934" s="16" t="n"/>
      <c r="B2934" s="19" t="n"/>
      <c r="D2934" s="16" t="n"/>
      <c r="E2934" s="19" t="n"/>
      <c r="G2934" s="16" t="n"/>
      <c r="H2934" s="19" t="n"/>
    </row>
    <row r="2935">
      <c r="A2935" s="16" t="n"/>
      <c r="B2935" s="19" t="n"/>
      <c r="D2935" s="16" t="n"/>
      <c r="E2935" s="19" t="n"/>
      <c r="G2935" s="16" t="n"/>
      <c r="H2935" s="19" t="n"/>
    </row>
    <row r="2936">
      <c r="A2936" s="16" t="n"/>
      <c r="B2936" s="19" t="n"/>
      <c r="D2936" s="16" t="n"/>
      <c r="E2936" s="19" t="n"/>
      <c r="G2936" s="16" t="n"/>
      <c r="H2936" s="19" t="n"/>
    </row>
    <row r="2937">
      <c r="A2937" s="16" t="n"/>
      <c r="B2937" s="19" t="n"/>
      <c r="D2937" s="16" t="n"/>
      <c r="E2937" s="19" t="n"/>
      <c r="G2937" s="16" t="n"/>
      <c r="H2937" s="19" t="n"/>
    </row>
    <row r="2938">
      <c r="A2938" s="16" t="n"/>
      <c r="B2938" s="19" t="n"/>
      <c r="D2938" s="16" t="n"/>
      <c r="E2938" s="19" t="n"/>
      <c r="G2938" s="16" t="n"/>
      <c r="H2938" s="19" t="n"/>
    </row>
    <row r="2939">
      <c r="A2939" s="16" t="n"/>
      <c r="B2939" s="19" t="n"/>
      <c r="D2939" s="16" t="n"/>
      <c r="E2939" s="19" t="n"/>
      <c r="G2939" s="16" t="n"/>
      <c r="H2939" s="19" t="n"/>
    </row>
    <row r="2940">
      <c r="A2940" s="16" t="n"/>
      <c r="B2940" s="19" t="n"/>
      <c r="D2940" s="16" t="n"/>
      <c r="E2940" s="19" t="n"/>
      <c r="G2940" s="16" t="n"/>
      <c r="H2940" s="19" t="n"/>
    </row>
    <row r="2941">
      <c r="A2941" s="16" t="n"/>
      <c r="B2941" s="19" t="n"/>
      <c r="D2941" s="16" t="n"/>
      <c r="E2941" s="19" t="n"/>
      <c r="G2941" s="16" t="n"/>
      <c r="H2941" s="19" t="n"/>
    </row>
    <row r="2942">
      <c r="A2942" s="16" t="n"/>
      <c r="B2942" s="19" t="n"/>
      <c r="D2942" s="16" t="n"/>
      <c r="E2942" s="19" t="n"/>
      <c r="G2942" s="16" t="n"/>
      <c r="H2942" s="19" t="n"/>
    </row>
    <row r="2943">
      <c r="A2943" s="16" t="n"/>
      <c r="B2943" s="19" t="n"/>
      <c r="D2943" s="16" t="n"/>
      <c r="E2943" s="19" t="n"/>
      <c r="G2943" s="16" t="n"/>
      <c r="H2943" s="19" t="n"/>
    </row>
    <row r="2944">
      <c r="A2944" s="16" t="n"/>
      <c r="B2944" s="19" t="n"/>
      <c r="D2944" s="16" t="n"/>
      <c r="E2944" s="19" t="n"/>
      <c r="G2944" s="16" t="n"/>
      <c r="H2944" s="19" t="n"/>
    </row>
    <row r="2945">
      <c r="A2945" s="16" t="n"/>
      <c r="B2945" s="19" t="n"/>
      <c r="D2945" s="16" t="n"/>
      <c r="E2945" s="19" t="n"/>
      <c r="G2945" s="16" t="n"/>
      <c r="H2945" s="19" t="n"/>
    </row>
    <row r="2946">
      <c r="A2946" s="16" t="n"/>
      <c r="B2946" s="19" t="n"/>
      <c r="D2946" s="16" t="n"/>
      <c r="E2946" s="19" t="n"/>
      <c r="G2946" s="16" t="n"/>
      <c r="H2946" s="19" t="n"/>
    </row>
    <row r="2947">
      <c r="A2947" s="16" t="n"/>
      <c r="B2947" s="19" t="n"/>
      <c r="D2947" s="16" t="n"/>
      <c r="E2947" s="19" t="n"/>
      <c r="G2947" s="16" t="n"/>
      <c r="H2947" s="19" t="n"/>
    </row>
    <row r="2948">
      <c r="A2948" s="16" t="n"/>
      <c r="B2948" s="19" t="n"/>
      <c r="D2948" s="16" t="n"/>
      <c r="E2948" s="19" t="n"/>
      <c r="G2948" s="16" t="n"/>
      <c r="H2948" s="19" t="n"/>
    </row>
    <row r="2949">
      <c r="A2949" s="16" t="n"/>
      <c r="B2949" s="19" t="n"/>
      <c r="D2949" s="16" t="n"/>
      <c r="E2949" s="19" t="n"/>
      <c r="G2949" s="16" t="n"/>
      <c r="H2949" s="19" t="n"/>
    </row>
    <row r="2950">
      <c r="A2950" s="16" t="n"/>
      <c r="B2950" s="19" t="n"/>
      <c r="D2950" s="16" t="n"/>
      <c r="E2950" s="19" t="n"/>
      <c r="G2950" s="16" t="n"/>
      <c r="H2950" s="19" t="n"/>
    </row>
    <row r="2951">
      <c r="A2951" s="16" t="n"/>
      <c r="B2951" s="19" t="n"/>
      <c r="D2951" s="16" t="n"/>
      <c r="E2951" s="19" t="n"/>
      <c r="G2951" s="16" t="n"/>
      <c r="H2951" s="19" t="n"/>
    </row>
    <row r="2952">
      <c r="A2952" s="16" t="n"/>
      <c r="B2952" s="19" t="n"/>
      <c r="D2952" s="16" t="n"/>
      <c r="E2952" s="19" t="n"/>
      <c r="G2952" s="16" t="n"/>
      <c r="H2952" s="19" t="n"/>
    </row>
    <row r="2953">
      <c r="A2953" s="16" t="n"/>
      <c r="B2953" s="19" t="n"/>
      <c r="D2953" s="16" t="n"/>
      <c r="E2953" s="19" t="n"/>
      <c r="G2953" s="16" t="n"/>
      <c r="H2953" s="19" t="n"/>
    </row>
    <row r="2954">
      <c r="A2954" s="16" t="n"/>
      <c r="B2954" s="19" t="n"/>
      <c r="D2954" s="16" t="n"/>
      <c r="E2954" s="19" t="n"/>
      <c r="G2954" s="16" t="n"/>
      <c r="H2954" s="19" t="n"/>
    </row>
    <row r="2955">
      <c r="A2955" s="16" t="n"/>
      <c r="B2955" s="19" t="n"/>
      <c r="D2955" s="16" t="n"/>
      <c r="E2955" s="19" t="n"/>
      <c r="G2955" s="16" t="n"/>
      <c r="H2955" s="19" t="n"/>
    </row>
    <row r="2956">
      <c r="A2956" s="16" t="n"/>
      <c r="B2956" s="19" t="n"/>
      <c r="D2956" s="16" t="n"/>
      <c r="E2956" s="19" t="n"/>
      <c r="G2956" s="16" t="n"/>
      <c r="H2956" s="19" t="n"/>
    </row>
    <row r="2957">
      <c r="A2957" s="16" t="n"/>
      <c r="B2957" s="19" t="n"/>
      <c r="D2957" s="16" t="n"/>
      <c r="E2957" s="19" t="n"/>
      <c r="G2957" s="16" t="n"/>
      <c r="H2957" s="19" t="n"/>
    </row>
    <row r="2958">
      <c r="A2958" s="16" t="n"/>
      <c r="B2958" s="19" t="n"/>
      <c r="D2958" s="16" t="n"/>
      <c r="E2958" s="19" t="n"/>
      <c r="G2958" s="16" t="n"/>
      <c r="H2958" s="19" t="n"/>
    </row>
    <row r="2959">
      <c r="A2959" s="16" t="n"/>
      <c r="B2959" s="19" t="n"/>
      <c r="D2959" s="16" t="n"/>
      <c r="E2959" s="19" t="n"/>
      <c r="G2959" s="16" t="n"/>
      <c r="H2959" s="19" t="n"/>
    </row>
    <row r="2960">
      <c r="A2960" s="16" t="n"/>
      <c r="B2960" s="19" t="n"/>
      <c r="D2960" s="16" t="n"/>
      <c r="E2960" s="19" t="n"/>
      <c r="G2960" s="16" t="n"/>
      <c r="H2960" s="19" t="n"/>
    </row>
    <row r="2961">
      <c r="A2961" s="16" t="n"/>
      <c r="B2961" s="19" t="n"/>
      <c r="D2961" s="16" t="n"/>
      <c r="E2961" s="19" t="n"/>
      <c r="G2961" s="16" t="n"/>
      <c r="H2961" s="19" t="n"/>
    </row>
    <row r="2962">
      <c r="A2962" s="16" t="n"/>
      <c r="B2962" s="19" t="n"/>
      <c r="D2962" s="16" t="n"/>
      <c r="E2962" s="19" t="n"/>
      <c r="G2962" s="16" t="n"/>
      <c r="H2962" s="19" t="n"/>
    </row>
    <row r="2963">
      <c r="A2963" s="16" t="n"/>
      <c r="B2963" s="19" t="n"/>
      <c r="D2963" s="16" t="n"/>
      <c r="E2963" s="19" t="n"/>
      <c r="G2963" s="16" t="n"/>
      <c r="H2963" s="19" t="n"/>
    </row>
    <row r="2964">
      <c r="A2964" s="16" t="n"/>
      <c r="B2964" s="19" t="n"/>
      <c r="D2964" s="16" t="n"/>
      <c r="E2964" s="19" t="n"/>
      <c r="G2964" s="16" t="n"/>
      <c r="H2964" s="19" t="n"/>
    </row>
    <row r="2965">
      <c r="A2965" s="16" t="n"/>
      <c r="B2965" s="19" t="n"/>
      <c r="D2965" s="16" t="n"/>
      <c r="E2965" s="19" t="n"/>
      <c r="G2965" s="16" t="n"/>
      <c r="H2965" s="19" t="n"/>
    </row>
    <row r="2966">
      <c r="A2966" s="16" t="n"/>
      <c r="B2966" s="19" t="n"/>
      <c r="D2966" s="16" t="n"/>
      <c r="E2966" s="19" t="n"/>
      <c r="G2966" s="16" t="n"/>
      <c r="H2966" s="19" t="n"/>
    </row>
    <row r="2967">
      <c r="A2967" s="16" t="n"/>
      <c r="B2967" s="19" t="n"/>
      <c r="D2967" s="16" t="n"/>
      <c r="E2967" s="19" t="n"/>
      <c r="G2967" s="16" t="n"/>
      <c r="H2967" s="19" t="n"/>
    </row>
    <row r="2968">
      <c r="A2968" s="16" t="n"/>
      <c r="B2968" s="19" t="n"/>
      <c r="D2968" s="16" t="n"/>
      <c r="E2968" s="19" t="n"/>
      <c r="G2968" s="16" t="n"/>
      <c r="H2968" s="19" t="n"/>
    </row>
    <row r="2969">
      <c r="A2969" s="16" t="n"/>
      <c r="B2969" s="19" t="n"/>
      <c r="D2969" s="16" t="n"/>
      <c r="E2969" s="19" t="n"/>
      <c r="G2969" s="16" t="n"/>
      <c r="H2969" s="19" t="n"/>
    </row>
    <row r="2970">
      <c r="A2970" s="16" t="n"/>
      <c r="B2970" s="19" t="n"/>
      <c r="D2970" s="16" t="n"/>
      <c r="E2970" s="19" t="n"/>
      <c r="G2970" s="16" t="n"/>
      <c r="H2970" s="19" t="n"/>
    </row>
    <row r="2971">
      <c r="A2971" s="16" t="n"/>
      <c r="B2971" s="19" t="n"/>
      <c r="D2971" s="16" t="n"/>
      <c r="E2971" s="19" t="n"/>
      <c r="G2971" s="16" t="n"/>
      <c r="H2971" s="19" t="n"/>
    </row>
    <row r="2972">
      <c r="A2972" s="16" t="n"/>
      <c r="B2972" s="19" t="n"/>
      <c r="D2972" s="16" t="n"/>
      <c r="E2972" s="19" t="n"/>
      <c r="G2972" s="16" t="n"/>
      <c r="H2972" s="19" t="n"/>
    </row>
    <row r="2973">
      <c r="A2973" s="16" t="n"/>
      <c r="B2973" s="19" t="n"/>
      <c r="D2973" s="16" t="n"/>
      <c r="E2973" s="19" t="n"/>
      <c r="G2973" s="16" t="n"/>
      <c r="H2973" s="19" t="n"/>
    </row>
    <row r="2974">
      <c r="A2974" s="16" t="n"/>
      <c r="B2974" s="19" t="n"/>
      <c r="D2974" s="16" t="n"/>
      <c r="E2974" s="19" t="n"/>
      <c r="G2974" s="16" t="n"/>
      <c r="H2974" s="19" t="n"/>
    </row>
    <row r="2975">
      <c r="A2975" s="16" t="n"/>
      <c r="B2975" s="19" t="n"/>
      <c r="D2975" s="16" t="n"/>
      <c r="E2975" s="19" t="n"/>
      <c r="G2975" s="16" t="n"/>
      <c r="H2975" s="19" t="n"/>
    </row>
    <row r="2976">
      <c r="A2976" s="16" t="n"/>
      <c r="B2976" s="19" t="n"/>
      <c r="D2976" s="16" t="n"/>
      <c r="E2976" s="19" t="n"/>
      <c r="G2976" s="16" t="n"/>
      <c r="H2976" s="19" t="n"/>
    </row>
    <row r="2977">
      <c r="A2977" s="16" t="n"/>
      <c r="B2977" s="19" t="n"/>
      <c r="D2977" s="16" t="n"/>
      <c r="E2977" s="19" t="n"/>
      <c r="G2977" s="16" t="n"/>
      <c r="H2977" s="19" t="n"/>
    </row>
    <row r="2978">
      <c r="A2978" s="16" t="n"/>
      <c r="B2978" s="19" t="n"/>
      <c r="D2978" s="16" t="n"/>
      <c r="E2978" s="19" t="n"/>
      <c r="G2978" s="16" t="n"/>
      <c r="H2978" s="19" t="n"/>
    </row>
    <row r="2979">
      <c r="A2979" s="16" t="n"/>
      <c r="B2979" s="19" t="n"/>
      <c r="D2979" s="16" t="n"/>
      <c r="E2979" s="19" t="n"/>
      <c r="G2979" s="16" t="n"/>
      <c r="H2979" s="19" t="n"/>
    </row>
    <row r="2980">
      <c r="A2980" s="16" t="n"/>
      <c r="B2980" s="19" t="n"/>
      <c r="D2980" s="16" t="n"/>
      <c r="E2980" s="19" t="n"/>
      <c r="G2980" s="16" t="n"/>
      <c r="H2980" s="19" t="n"/>
    </row>
    <row r="2981">
      <c r="A2981" s="16" t="n"/>
      <c r="B2981" s="19" t="n"/>
      <c r="D2981" s="16" t="n"/>
      <c r="E2981" s="19" t="n"/>
      <c r="G2981" s="16" t="n"/>
      <c r="H2981" s="19" t="n"/>
    </row>
    <row r="2982">
      <c r="A2982" s="16" t="n"/>
      <c r="B2982" s="19" t="n"/>
      <c r="D2982" s="16" t="n"/>
      <c r="E2982" s="19" t="n"/>
      <c r="G2982" s="16" t="n"/>
      <c r="H2982" s="19" t="n"/>
    </row>
    <row r="2983">
      <c r="A2983" s="16" t="n"/>
      <c r="B2983" s="19" t="n"/>
      <c r="D2983" s="16" t="n"/>
      <c r="E2983" s="19" t="n"/>
      <c r="G2983" s="16" t="n"/>
      <c r="H2983" s="19" t="n"/>
    </row>
    <row r="2984">
      <c r="A2984" s="16" t="n"/>
      <c r="B2984" s="19" t="n"/>
      <c r="D2984" s="16" t="n"/>
      <c r="E2984" s="19" t="n"/>
      <c r="G2984" s="16" t="n"/>
      <c r="H2984" s="19" t="n"/>
    </row>
    <row r="2985">
      <c r="A2985" s="16" t="n"/>
      <c r="B2985" s="19" t="n"/>
      <c r="D2985" s="16" t="n"/>
      <c r="E2985" s="19" t="n"/>
      <c r="G2985" s="16" t="n"/>
      <c r="H2985" s="19" t="n"/>
    </row>
    <row r="2986">
      <c r="A2986" s="16" t="n"/>
      <c r="B2986" s="19" t="n"/>
      <c r="D2986" s="16" t="n"/>
      <c r="E2986" s="19" t="n"/>
      <c r="G2986" s="16" t="n"/>
      <c r="H2986" s="19" t="n"/>
    </row>
    <row r="2987">
      <c r="A2987" s="16" t="n"/>
      <c r="B2987" s="19" t="n"/>
      <c r="D2987" s="16" t="n"/>
      <c r="E2987" s="19" t="n"/>
      <c r="G2987" s="16" t="n"/>
      <c r="H2987" s="19" t="n"/>
    </row>
    <row r="2988">
      <c r="A2988" s="16" t="n"/>
      <c r="B2988" s="19" t="n"/>
      <c r="D2988" s="16" t="n"/>
      <c r="E2988" s="19" t="n"/>
      <c r="G2988" s="16" t="n"/>
      <c r="H2988" s="19" t="n"/>
    </row>
    <row r="2989">
      <c r="A2989" s="16" t="n"/>
      <c r="B2989" s="19" t="n"/>
      <c r="D2989" s="16" t="n"/>
      <c r="E2989" s="19" t="n"/>
      <c r="G2989" s="16" t="n"/>
      <c r="H2989" s="19" t="n"/>
    </row>
    <row r="2990">
      <c r="A2990" s="16" t="n"/>
      <c r="B2990" s="19" t="n"/>
      <c r="D2990" s="16" t="n"/>
      <c r="E2990" s="19" t="n"/>
      <c r="G2990" s="16" t="n"/>
      <c r="H2990" s="19" t="n"/>
    </row>
    <row r="2991">
      <c r="A2991" s="16" t="n"/>
      <c r="B2991" s="19" t="n"/>
      <c r="D2991" s="16" t="n"/>
      <c r="E2991" s="19" t="n"/>
      <c r="G2991" s="16" t="n"/>
      <c r="H2991" s="19" t="n"/>
    </row>
    <row r="2992">
      <c r="A2992" s="16" t="n"/>
      <c r="B2992" s="19" t="n"/>
      <c r="D2992" s="16" t="n"/>
      <c r="E2992" s="19" t="n"/>
      <c r="G2992" s="16" t="n"/>
      <c r="H2992" s="19" t="n"/>
    </row>
    <row r="2993">
      <c r="A2993" s="16" t="n"/>
      <c r="B2993" s="19" t="n"/>
      <c r="D2993" s="16" t="n"/>
      <c r="E2993" s="19" t="n"/>
      <c r="G2993" s="16" t="n"/>
      <c r="H2993" s="19" t="n"/>
    </row>
    <row r="2994">
      <c r="A2994" s="16" t="n"/>
      <c r="B2994" s="19" t="n"/>
      <c r="D2994" s="16" t="n"/>
      <c r="E2994" s="19" t="n"/>
      <c r="G2994" s="16" t="n"/>
      <c r="H2994" s="19" t="n"/>
    </row>
    <row r="2995">
      <c r="A2995" s="16" t="n"/>
      <c r="B2995" s="19" t="n"/>
      <c r="D2995" s="16" t="n"/>
      <c r="E2995" s="19" t="n"/>
      <c r="G2995" s="16" t="n"/>
      <c r="H2995" s="19" t="n"/>
    </row>
    <row r="2996">
      <c r="A2996" s="16" t="n"/>
      <c r="B2996" s="19" t="n"/>
      <c r="D2996" s="16" t="n"/>
      <c r="E2996" s="19" t="n"/>
      <c r="G2996" s="16" t="n"/>
      <c r="H2996" s="19" t="n"/>
    </row>
    <row r="2997">
      <c r="A2997" s="16" t="n"/>
      <c r="B2997" s="19" t="n"/>
      <c r="D2997" s="16" t="n"/>
      <c r="E2997" s="19" t="n"/>
      <c r="G2997" s="16" t="n"/>
      <c r="H2997" s="19" t="n"/>
    </row>
    <row r="2998">
      <c r="A2998" s="16" t="n"/>
      <c r="B2998" s="19" t="n"/>
      <c r="D2998" s="16" t="n"/>
      <c r="E2998" s="19" t="n"/>
      <c r="G2998" s="16" t="n"/>
      <c r="H2998" s="19" t="n"/>
    </row>
    <row r="2999">
      <c r="A2999" s="16" t="n"/>
      <c r="B2999" s="19" t="n"/>
      <c r="D2999" s="16" t="n"/>
      <c r="E2999" s="19" t="n"/>
      <c r="G2999" s="16" t="n"/>
      <c r="H2999" s="19" t="n"/>
    </row>
    <row r="3000">
      <c r="A3000" s="16" t="n"/>
      <c r="B3000" s="19" t="n"/>
      <c r="D3000" s="16" t="n"/>
      <c r="E3000" s="19" t="n"/>
      <c r="G3000" s="16" t="n"/>
      <c r="H3000" s="19" t="n"/>
    </row>
    <row r="3001">
      <c r="A3001" s="16" t="n"/>
      <c r="B3001" s="19" t="n"/>
      <c r="D3001" s="16" t="n"/>
      <c r="E3001" s="19" t="n"/>
      <c r="G3001" s="16" t="n"/>
      <c r="H3001" s="19" t="n"/>
    </row>
    <row r="3002">
      <c r="A3002" s="16" t="n"/>
      <c r="B3002" s="19" t="n"/>
      <c r="D3002" s="16" t="n"/>
      <c r="E3002" s="19" t="n"/>
      <c r="G3002" s="16" t="n"/>
      <c r="H3002" s="19" t="n"/>
    </row>
    <row r="3003">
      <c r="A3003" s="16" t="n"/>
      <c r="B3003" s="19" t="n"/>
      <c r="D3003" s="16" t="n"/>
      <c r="E3003" s="19" t="n"/>
      <c r="G3003" s="16" t="n"/>
      <c r="H3003" s="19" t="n"/>
    </row>
    <row r="3004">
      <c r="A3004" s="16" t="n"/>
      <c r="B3004" s="19" t="n"/>
      <c r="D3004" s="16" t="n"/>
      <c r="E3004" s="19" t="n"/>
      <c r="G3004" s="16" t="n"/>
      <c r="H3004" s="19" t="n"/>
    </row>
    <row r="3005">
      <c r="A3005" s="16" t="n"/>
      <c r="B3005" s="19" t="n"/>
      <c r="D3005" s="16" t="n"/>
      <c r="E3005" s="19" t="n"/>
      <c r="G3005" s="16" t="n"/>
      <c r="H3005" s="19" t="n"/>
    </row>
    <row r="3006">
      <c r="A3006" s="16" t="n"/>
      <c r="B3006" s="19" t="n"/>
      <c r="D3006" s="16" t="n"/>
      <c r="E3006" s="19" t="n"/>
      <c r="G3006" s="16" t="n"/>
      <c r="H3006" s="19" t="n"/>
    </row>
    <row r="3007">
      <c r="A3007" s="16" t="n"/>
      <c r="B3007" s="19" t="n"/>
      <c r="D3007" s="16" t="n"/>
      <c r="E3007" s="19" t="n"/>
      <c r="G3007" s="16" t="n"/>
      <c r="H3007" s="19" t="n"/>
    </row>
    <row r="3008">
      <c r="A3008" s="16" t="n"/>
      <c r="B3008" s="19" t="n"/>
      <c r="D3008" s="16" t="n"/>
      <c r="E3008" s="19" t="n"/>
      <c r="G3008" s="16" t="n"/>
      <c r="H3008" s="19" t="n"/>
    </row>
    <row r="3009">
      <c r="A3009" s="16" t="n"/>
      <c r="B3009" s="19" t="n"/>
      <c r="D3009" s="16" t="n"/>
      <c r="E3009" s="19" t="n"/>
      <c r="G3009" s="16" t="n"/>
      <c r="H3009" s="19" t="n"/>
    </row>
    <row r="3010">
      <c r="A3010" s="16" t="n"/>
      <c r="B3010" s="19" t="n"/>
      <c r="D3010" s="16" t="n"/>
      <c r="E3010" s="19" t="n"/>
      <c r="G3010" s="16" t="n"/>
      <c r="H3010" s="19" t="n"/>
    </row>
    <row r="3011">
      <c r="A3011" s="16" t="n"/>
      <c r="B3011" s="19" t="n"/>
      <c r="D3011" s="16" t="n"/>
      <c r="E3011" s="19" t="n"/>
      <c r="G3011" s="16" t="n"/>
      <c r="H3011" s="19" t="n"/>
    </row>
    <row r="3012">
      <c r="A3012" s="16" t="n"/>
      <c r="B3012" s="19" t="n"/>
      <c r="D3012" s="16" t="n"/>
      <c r="E3012" s="19" t="n"/>
      <c r="G3012" s="16" t="n"/>
      <c r="H3012" s="19" t="n"/>
    </row>
    <row r="3013">
      <c r="A3013" s="16" t="n"/>
      <c r="B3013" s="19" t="n"/>
      <c r="D3013" s="16" t="n"/>
      <c r="E3013" s="19" t="n"/>
      <c r="G3013" s="16" t="n"/>
      <c r="H3013" s="19" t="n"/>
    </row>
    <row r="3014">
      <c r="A3014" s="16" t="n"/>
      <c r="B3014" s="19" t="n"/>
      <c r="D3014" s="16" t="n"/>
      <c r="E3014" s="19" t="n"/>
      <c r="G3014" s="16" t="n"/>
      <c r="H3014" s="19" t="n"/>
    </row>
    <row r="3015">
      <c r="A3015" s="16" t="n"/>
      <c r="B3015" s="19" t="n"/>
      <c r="D3015" s="16" t="n"/>
      <c r="E3015" s="19" t="n"/>
      <c r="G3015" s="16" t="n"/>
      <c r="H3015" s="19" t="n"/>
    </row>
    <row r="3016">
      <c r="A3016" s="16" t="n"/>
      <c r="B3016" s="19" t="n"/>
      <c r="D3016" s="16" t="n"/>
      <c r="E3016" s="19" t="n"/>
      <c r="G3016" s="16" t="n"/>
      <c r="H3016" s="19" t="n"/>
    </row>
    <row r="3017">
      <c r="A3017" s="16" t="n"/>
      <c r="B3017" s="19" t="n"/>
      <c r="D3017" s="16" t="n"/>
      <c r="E3017" s="19" t="n"/>
      <c r="G3017" s="16" t="n"/>
      <c r="H3017" s="19" t="n"/>
    </row>
    <row r="3018">
      <c r="A3018" s="16" t="n"/>
      <c r="B3018" s="19" t="n"/>
      <c r="D3018" s="16" t="n"/>
      <c r="E3018" s="19" t="n"/>
      <c r="G3018" s="16" t="n"/>
      <c r="H3018" s="19" t="n"/>
    </row>
    <row r="3019">
      <c r="A3019" s="16" t="n"/>
      <c r="B3019" s="19" t="n"/>
      <c r="D3019" s="16" t="n"/>
      <c r="E3019" s="19" t="n"/>
      <c r="G3019" s="16" t="n"/>
      <c r="H3019" s="19" t="n"/>
    </row>
    <row r="3020">
      <c r="A3020" s="16" t="n"/>
      <c r="B3020" s="19" t="n"/>
      <c r="D3020" s="16" t="n"/>
      <c r="E3020" s="19" t="n"/>
      <c r="G3020" s="16" t="n"/>
      <c r="H3020" s="19" t="n"/>
    </row>
    <row r="3021">
      <c r="A3021" s="16" t="n"/>
      <c r="B3021" s="19" t="n"/>
      <c r="D3021" s="16" t="n"/>
      <c r="E3021" s="19" t="n"/>
      <c r="G3021" s="16" t="n"/>
      <c r="H3021" s="19" t="n"/>
    </row>
    <row r="3022">
      <c r="A3022" s="16" t="n"/>
      <c r="B3022" s="19" t="n"/>
      <c r="D3022" s="16" t="n"/>
      <c r="E3022" s="19" t="n"/>
      <c r="G3022" s="16" t="n"/>
      <c r="H3022" s="19" t="n"/>
    </row>
    <row r="3023">
      <c r="A3023" s="16" t="n"/>
      <c r="B3023" s="19" t="n"/>
      <c r="D3023" s="16" t="n"/>
      <c r="E3023" s="19" t="n"/>
      <c r="G3023" s="16" t="n"/>
      <c r="H3023" s="19" t="n"/>
    </row>
    <row r="3024">
      <c r="A3024" s="16" t="n"/>
      <c r="B3024" s="19" t="n"/>
      <c r="D3024" s="16" t="n"/>
      <c r="E3024" s="19" t="n"/>
      <c r="G3024" s="16" t="n"/>
      <c r="H3024" s="19" t="n"/>
    </row>
    <row r="3025">
      <c r="A3025" s="16" t="n"/>
      <c r="B3025" s="19" t="n"/>
      <c r="D3025" s="16" t="n"/>
      <c r="E3025" s="19" t="n"/>
      <c r="G3025" s="16" t="n"/>
      <c r="H3025" s="19" t="n"/>
    </row>
    <row r="3026">
      <c r="A3026" s="16" t="n"/>
      <c r="B3026" s="19" t="n"/>
      <c r="D3026" s="16" t="n"/>
      <c r="E3026" s="19" t="n"/>
      <c r="G3026" s="16" t="n"/>
      <c r="H3026" s="19" t="n"/>
    </row>
    <row r="3027">
      <c r="A3027" s="16" t="n"/>
      <c r="B3027" s="19" t="n"/>
      <c r="D3027" s="16" t="n"/>
      <c r="E3027" s="19" t="n"/>
      <c r="G3027" s="16" t="n"/>
      <c r="H3027" s="19" t="n"/>
    </row>
    <row r="3028">
      <c r="A3028" s="16" t="n"/>
      <c r="B3028" s="19" t="n"/>
      <c r="D3028" s="16" t="n"/>
      <c r="E3028" s="19" t="n"/>
      <c r="G3028" s="16" t="n"/>
      <c r="H3028" s="19" t="n"/>
    </row>
    <row r="3029">
      <c r="A3029" s="16" t="n"/>
      <c r="B3029" s="19" t="n"/>
      <c r="D3029" s="16" t="n"/>
      <c r="E3029" s="19" t="n"/>
      <c r="G3029" s="16" t="n"/>
      <c r="H3029" s="19" t="n"/>
    </row>
    <row r="3030">
      <c r="A3030" s="16" t="n"/>
      <c r="B3030" s="19" t="n"/>
      <c r="D3030" s="16" t="n"/>
      <c r="E3030" s="19" t="n"/>
      <c r="G3030" s="16" t="n"/>
      <c r="H3030" s="19" t="n"/>
    </row>
    <row r="3031">
      <c r="A3031" s="16" t="n"/>
      <c r="B3031" s="19" t="n"/>
      <c r="D3031" s="16" t="n"/>
      <c r="E3031" s="19" t="n"/>
      <c r="G3031" s="16" t="n"/>
      <c r="H3031" s="19" t="n"/>
    </row>
    <row r="3032">
      <c r="A3032" s="16" t="n"/>
      <c r="B3032" s="19" t="n"/>
      <c r="D3032" s="16" t="n"/>
      <c r="E3032" s="19" t="n"/>
      <c r="G3032" s="16" t="n"/>
      <c r="H3032" s="19" t="n"/>
    </row>
    <row r="3033">
      <c r="A3033" s="16" t="n"/>
      <c r="B3033" s="19" t="n"/>
      <c r="D3033" s="16" t="n"/>
      <c r="E3033" s="19" t="n"/>
      <c r="G3033" s="16" t="n"/>
      <c r="H3033" s="19" t="n"/>
    </row>
    <row r="3034">
      <c r="A3034" s="16" t="n"/>
      <c r="B3034" s="19" t="n"/>
      <c r="D3034" s="16" t="n"/>
      <c r="E3034" s="19" t="n"/>
      <c r="G3034" s="16" t="n"/>
      <c r="H3034" s="19" t="n"/>
    </row>
    <row r="3035">
      <c r="A3035" s="16" t="n"/>
      <c r="B3035" s="19" t="n"/>
      <c r="D3035" s="16" t="n"/>
      <c r="E3035" s="19" t="n"/>
      <c r="G3035" s="16" t="n"/>
      <c r="H3035" s="19" t="n"/>
    </row>
    <row r="3036">
      <c r="A3036" s="16" t="n"/>
      <c r="B3036" s="19" t="n"/>
      <c r="D3036" s="16" t="n"/>
      <c r="E3036" s="19" t="n"/>
      <c r="G3036" s="16" t="n"/>
      <c r="H3036" s="19" t="n"/>
    </row>
    <row r="3037">
      <c r="A3037" s="16" t="n"/>
      <c r="B3037" s="19" t="n"/>
      <c r="D3037" s="16" t="n"/>
      <c r="E3037" s="19" t="n"/>
      <c r="G3037" s="16" t="n"/>
      <c r="H3037" s="19" t="n"/>
    </row>
    <row r="3038">
      <c r="A3038" s="16" t="n"/>
      <c r="B3038" s="19" t="n"/>
      <c r="D3038" s="16" t="n"/>
      <c r="E3038" s="19" t="n"/>
      <c r="G3038" s="16" t="n"/>
      <c r="H3038" s="19" t="n"/>
    </row>
    <row r="3039">
      <c r="A3039" s="16" t="n"/>
      <c r="B3039" s="19" t="n"/>
      <c r="D3039" s="16" t="n"/>
      <c r="E3039" s="19" t="n"/>
      <c r="G3039" s="16" t="n"/>
      <c r="H3039" s="19" t="n"/>
    </row>
    <row r="3040">
      <c r="A3040" s="16" t="n"/>
      <c r="B3040" s="19" t="n"/>
      <c r="D3040" s="16" t="n"/>
      <c r="E3040" s="19" t="n"/>
      <c r="G3040" s="16" t="n"/>
      <c r="H3040" s="19" t="n"/>
    </row>
    <row r="3041">
      <c r="A3041" s="16" t="n"/>
      <c r="B3041" s="19" t="n"/>
      <c r="D3041" s="16" t="n"/>
      <c r="E3041" s="19" t="n"/>
      <c r="G3041" s="16" t="n"/>
      <c r="H3041" s="19" t="n"/>
    </row>
    <row r="3042">
      <c r="A3042" s="16" t="n"/>
      <c r="B3042" s="19" t="n"/>
      <c r="D3042" s="16" t="n"/>
      <c r="E3042" s="19" t="n"/>
      <c r="G3042" s="16" t="n"/>
      <c r="H3042" s="19" t="n"/>
    </row>
    <row r="3043">
      <c r="A3043" s="16" t="n"/>
      <c r="B3043" s="19" t="n"/>
      <c r="D3043" s="16" t="n"/>
      <c r="E3043" s="19" t="n"/>
      <c r="G3043" s="16" t="n"/>
      <c r="H3043" s="19" t="n"/>
    </row>
    <row r="3044">
      <c r="A3044" s="16" t="n"/>
      <c r="B3044" s="19" t="n"/>
      <c r="D3044" s="16" t="n"/>
      <c r="E3044" s="19" t="n"/>
      <c r="G3044" s="16" t="n"/>
      <c r="H3044" s="19" t="n"/>
    </row>
    <row r="3045">
      <c r="A3045" s="16" t="n"/>
      <c r="B3045" s="19" t="n"/>
      <c r="D3045" s="16" t="n"/>
      <c r="E3045" s="19" t="n"/>
      <c r="G3045" s="16" t="n"/>
      <c r="H3045" s="19" t="n"/>
    </row>
    <row r="3046">
      <c r="A3046" s="16" t="n"/>
      <c r="B3046" s="19" t="n"/>
      <c r="D3046" s="16" t="n"/>
      <c r="E3046" s="19" t="n"/>
      <c r="G3046" s="16" t="n"/>
      <c r="H3046" s="19" t="n"/>
    </row>
    <row r="3047">
      <c r="A3047" s="16" t="n"/>
      <c r="B3047" s="19" t="n"/>
      <c r="D3047" s="16" t="n"/>
      <c r="E3047" s="19" t="n"/>
      <c r="G3047" s="16" t="n"/>
      <c r="H3047" s="19" t="n"/>
    </row>
    <row r="3048">
      <c r="A3048" s="16" t="n"/>
      <c r="B3048" s="19" t="n"/>
      <c r="D3048" s="16" t="n"/>
      <c r="E3048" s="19" t="n"/>
      <c r="G3048" s="16" t="n"/>
      <c r="H3048" s="19" t="n"/>
    </row>
    <row r="3049">
      <c r="A3049" s="16" t="n"/>
      <c r="B3049" s="19" t="n"/>
      <c r="D3049" s="16" t="n"/>
      <c r="E3049" s="19" t="n"/>
      <c r="G3049" s="16" t="n"/>
      <c r="H3049" s="19" t="n"/>
    </row>
    <row r="3050">
      <c r="A3050" s="16" t="n"/>
      <c r="B3050" s="19" t="n"/>
      <c r="D3050" s="16" t="n"/>
      <c r="E3050" s="19" t="n"/>
      <c r="G3050" s="16" t="n"/>
      <c r="H3050" s="19" t="n"/>
    </row>
    <row r="3051">
      <c r="A3051" s="16" t="n"/>
      <c r="B3051" s="19" t="n"/>
      <c r="D3051" s="16" t="n"/>
      <c r="E3051" s="19" t="n"/>
      <c r="G3051" s="16" t="n"/>
      <c r="H3051" s="19" t="n"/>
    </row>
    <row r="3052">
      <c r="A3052" s="16" t="n"/>
      <c r="B3052" s="19" t="n"/>
      <c r="D3052" s="16" t="n"/>
      <c r="E3052" s="19" t="n"/>
      <c r="G3052" s="16" t="n"/>
      <c r="H3052" s="19" t="n"/>
    </row>
    <row r="3053">
      <c r="A3053" s="16" t="n"/>
      <c r="B3053" s="19" t="n"/>
      <c r="D3053" s="16" t="n"/>
      <c r="E3053" s="19" t="n"/>
      <c r="G3053" s="16" t="n"/>
      <c r="H3053" s="19" t="n"/>
    </row>
    <row r="3054">
      <c r="A3054" s="16" t="n"/>
      <c r="B3054" s="19" t="n"/>
      <c r="D3054" s="16" t="n"/>
      <c r="E3054" s="19" t="n"/>
      <c r="G3054" s="16" t="n"/>
      <c r="H3054" s="19" t="n"/>
    </row>
    <row r="3055">
      <c r="A3055" s="16" t="n"/>
      <c r="B3055" s="19" t="n"/>
      <c r="D3055" s="16" t="n"/>
      <c r="E3055" s="19" t="n"/>
      <c r="G3055" s="16" t="n"/>
      <c r="H3055" s="19" t="n"/>
    </row>
    <row r="3056">
      <c r="A3056" s="16" t="n"/>
      <c r="B3056" s="19" t="n"/>
      <c r="D3056" s="16" t="n"/>
      <c r="E3056" s="19" t="n"/>
      <c r="G3056" s="16" t="n"/>
      <c r="H3056" s="19" t="n"/>
    </row>
    <row r="3057">
      <c r="A3057" s="16" t="n"/>
      <c r="B3057" s="19" t="n"/>
      <c r="D3057" s="16" t="n"/>
      <c r="E3057" s="19" t="n"/>
      <c r="G3057" s="16" t="n"/>
      <c r="H3057" s="19" t="n"/>
    </row>
    <row r="3058">
      <c r="A3058" s="16" t="n"/>
      <c r="B3058" s="19" t="n"/>
      <c r="D3058" s="16" t="n"/>
      <c r="E3058" s="19" t="n"/>
      <c r="G3058" s="16" t="n"/>
      <c r="H3058" s="19" t="n"/>
    </row>
    <row r="3059">
      <c r="A3059" s="16" t="n"/>
      <c r="B3059" s="19" t="n"/>
      <c r="D3059" s="16" t="n"/>
      <c r="E3059" s="19" t="n"/>
      <c r="G3059" s="16" t="n"/>
      <c r="H3059" s="19" t="n"/>
    </row>
    <row r="3060">
      <c r="A3060" s="16" t="n"/>
      <c r="B3060" s="19" t="n"/>
      <c r="D3060" s="16" t="n"/>
      <c r="E3060" s="19" t="n"/>
      <c r="G3060" s="16" t="n"/>
      <c r="H3060" s="19" t="n"/>
    </row>
    <row r="3061">
      <c r="A3061" s="16" t="n"/>
      <c r="B3061" s="19" t="n"/>
      <c r="D3061" s="16" t="n"/>
      <c r="E3061" s="19" t="n"/>
      <c r="G3061" s="16" t="n"/>
      <c r="H3061" s="19" t="n"/>
    </row>
    <row r="3062">
      <c r="A3062" s="16" t="n"/>
      <c r="B3062" s="19" t="n"/>
      <c r="D3062" s="16" t="n"/>
      <c r="E3062" s="19" t="n"/>
      <c r="G3062" s="16" t="n"/>
      <c r="H3062" s="19" t="n"/>
    </row>
    <row r="3063">
      <c r="A3063" s="16" t="n"/>
      <c r="B3063" s="19" t="n"/>
      <c r="D3063" s="16" t="n"/>
      <c r="E3063" s="19" t="n"/>
      <c r="G3063" s="16" t="n"/>
      <c r="H3063" s="19" t="n"/>
    </row>
    <row r="3064">
      <c r="A3064" s="16" t="n"/>
      <c r="B3064" s="19" t="n"/>
      <c r="D3064" s="16" t="n"/>
      <c r="E3064" s="19" t="n"/>
      <c r="G3064" s="16" t="n"/>
      <c r="H3064" s="19" t="n"/>
    </row>
    <row r="3065">
      <c r="A3065" s="16" t="n"/>
      <c r="B3065" s="19" t="n"/>
      <c r="D3065" s="16" t="n"/>
      <c r="E3065" s="19" t="n"/>
      <c r="G3065" s="16" t="n"/>
      <c r="H3065" s="19" t="n"/>
    </row>
    <row r="3066">
      <c r="A3066" s="16" t="n"/>
      <c r="B3066" s="19" t="n"/>
      <c r="D3066" s="16" t="n"/>
      <c r="E3066" s="19" t="n"/>
      <c r="G3066" s="16" t="n"/>
      <c r="H3066" s="19" t="n"/>
    </row>
    <row r="3067">
      <c r="A3067" s="16" t="n"/>
      <c r="B3067" s="19" t="n"/>
      <c r="D3067" s="16" t="n"/>
      <c r="E3067" s="19" t="n"/>
      <c r="G3067" s="16" t="n"/>
      <c r="H3067" s="19" t="n"/>
    </row>
    <row r="3068">
      <c r="A3068" s="16" t="n"/>
      <c r="B3068" s="19" t="n"/>
      <c r="D3068" s="16" t="n"/>
      <c r="E3068" s="19" t="n"/>
      <c r="G3068" s="16" t="n"/>
      <c r="H3068" s="19" t="n"/>
    </row>
    <row r="3069">
      <c r="A3069" s="16" t="n"/>
      <c r="B3069" s="19" t="n"/>
      <c r="D3069" s="16" t="n"/>
      <c r="E3069" s="19" t="n"/>
      <c r="G3069" s="16" t="n"/>
      <c r="H3069" s="19" t="n"/>
    </row>
    <row r="3070">
      <c r="A3070" s="16" t="n"/>
      <c r="B3070" s="19" t="n"/>
      <c r="D3070" s="16" t="n"/>
      <c r="E3070" s="19" t="n"/>
      <c r="G3070" s="16" t="n"/>
      <c r="H3070" s="19" t="n"/>
    </row>
    <row r="3071">
      <c r="A3071" s="16" t="n"/>
      <c r="B3071" s="19" t="n"/>
      <c r="D3071" s="16" t="n"/>
      <c r="E3071" s="19" t="n"/>
      <c r="G3071" s="16" t="n"/>
      <c r="H3071" s="19" t="n"/>
    </row>
    <row r="3072">
      <c r="A3072" s="16" t="n"/>
      <c r="B3072" s="19" t="n"/>
      <c r="D3072" s="16" t="n"/>
      <c r="E3072" s="19" t="n"/>
      <c r="G3072" s="16" t="n"/>
      <c r="H3072" s="19" t="n"/>
    </row>
    <row r="3073">
      <c r="A3073" s="16" t="n"/>
      <c r="B3073" s="19" t="n"/>
      <c r="D3073" s="16" t="n"/>
      <c r="E3073" s="19" t="n"/>
      <c r="G3073" s="16" t="n"/>
      <c r="H3073" s="19" t="n"/>
    </row>
    <row r="3074">
      <c r="A3074" s="16" t="n"/>
      <c r="B3074" s="19" t="n"/>
      <c r="D3074" s="16" t="n"/>
      <c r="E3074" s="19" t="n"/>
      <c r="G3074" s="16" t="n"/>
      <c r="H3074" s="19" t="n"/>
    </row>
    <row r="3075">
      <c r="A3075" s="16" t="n"/>
      <c r="B3075" s="19" t="n"/>
      <c r="D3075" s="16" t="n"/>
      <c r="E3075" s="19" t="n"/>
      <c r="G3075" s="16" t="n"/>
      <c r="H3075" s="19" t="n"/>
    </row>
    <row r="3076">
      <c r="A3076" s="16" t="n"/>
      <c r="B3076" s="19" t="n"/>
      <c r="D3076" s="16" t="n"/>
      <c r="E3076" s="19" t="n"/>
      <c r="G3076" s="16" t="n"/>
      <c r="H3076" s="19" t="n"/>
    </row>
    <row r="3077">
      <c r="A3077" s="16" t="n"/>
      <c r="B3077" s="19" t="n"/>
      <c r="D3077" s="16" t="n"/>
      <c r="E3077" s="19" t="n"/>
      <c r="G3077" s="16" t="n"/>
      <c r="H3077" s="19" t="n"/>
    </row>
    <row r="3078">
      <c r="A3078" s="16" t="n"/>
      <c r="B3078" s="19" t="n"/>
      <c r="D3078" s="16" t="n"/>
      <c r="E3078" s="19" t="n"/>
      <c r="G3078" s="16" t="n"/>
      <c r="H3078" s="19" t="n"/>
    </row>
    <row r="3079">
      <c r="A3079" s="16" t="n"/>
      <c r="B3079" s="19" t="n"/>
      <c r="D3079" s="16" t="n"/>
      <c r="E3079" s="19" t="n"/>
      <c r="G3079" s="16" t="n"/>
      <c r="H3079" s="19" t="n"/>
    </row>
    <row r="3080">
      <c r="A3080" s="16" t="n"/>
      <c r="B3080" s="19" t="n"/>
      <c r="D3080" s="16" t="n"/>
      <c r="E3080" s="19" t="n"/>
      <c r="G3080" s="16" t="n"/>
      <c r="H3080" s="19" t="n"/>
    </row>
    <row r="3081">
      <c r="A3081" s="16" t="n"/>
      <c r="B3081" s="19" t="n"/>
      <c r="D3081" s="16" t="n"/>
      <c r="E3081" s="19" t="n"/>
      <c r="G3081" s="16" t="n"/>
      <c r="H3081" s="19" t="n"/>
    </row>
    <row r="3082">
      <c r="A3082" s="16" t="n"/>
      <c r="B3082" s="19" t="n"/>
      <c r="D3082" s="16" t="n"/>
      <c r="E3082" s="19" t="n"/>
      <c r="G3082" s="16" t="n"/>
      <c r="H3082" s="19" t="n"/>
    </row>
    <row r="3083">
      <c r="A3083" s="16" t="n"/>
      <c r="B3083" s="19" t="n"/>
      <c r="D3083" s="16" t="n"/>
      <c r="E3083" s="19" t="n"/>
      <c r="G3083" s="16" t="n"/>
      <c r="H3083" s="19" t="n"/>
    </row>
    <row r="3084">
      <c r="A3084" s="16" t="n"/>
      <c r="B3084" s="19" t="n"/>
      <c r="D3084" s="16" t="n"/>
      <c r="E3084" s="19" t="n"/>
      <c r="G3084" s="16" t="n"/>
      <c r="H3084" s="19" t="n"/>
    </row>
    <row r="3085">
      <c r="A3085" s="16" t="n"/>
      <c r="B3085" s="19" t="n"/>
      <c r="D3085" s="16" t="n"/>
      <c r="E3085" s="19" t="n"/>
      <c r="G3085" s="16" t="n"/>
      <c r="H3085" s="19" t="n"/>
    </row>
    <row r="3086">
      <c r="A3086" s="16" t="n"/>
      <c r="B3086" s="19" t="n"/>
      <c r="D3086" s="16" t="n"/>
      <c r="E3086" s="19" t="n"/>
      <c r="G3086" s="16" t="n"/>
      <c r="H3086" s="19" t="n"/>
    </row>
    <row r="3087">
      <c r="A3087" s="16" t="n"/>
      <c r="B3087" s="19" t="n"/>
      <c r="D3087" s="16" t="n"/>
      <c r="E3087" s="19" t="n"/>
      <c r="G3087" s="16" t="n"/>
      <c r="H3087" s="19" t="n"/>
    </row>
    <row r="3088">
      <c r="A3088" s="16" t="n"/>
      <c r="B3088" s="19" t="n"/>
      <c r="D3088" s="16" t="n"/>
      <c r="E3088" s="19" t="n"/>
      <c r="G3088" s="16" t="n"/>
      <c r="H3088" s="19" t="n"/>
    </row>
    <row r="3089">
      <c r="A3089" s="16" t="n"/>
      <c r="B3089" s="19" t="n"/>
      <c r="D3089" s="16" t="n"/>
      <c r="E3089" s="19" t="n"/>
      <c r="G3089" s="16" t="n"/>
      <c r="H3089" s="19" t="n"/>
    </row>
    <row r="3090">
      <c r="A3090" s="16" t="n"/>
      <c r="B3090" s="19" t="n"/>
      <c r="D3090" s="16" t="n"/>
      <c r="E3090" s="19" t="n"/>
      <c r="G3090" s="16" t="n"/>
      <c r="H3090" s="19" t="n"/>
    </row>
    <row r="3091">
      <c r="A3091" s="16" t="n"/>
      <c r="B3091" s="19" t="n"/>
      <c r="D3091" s="16" t="n"/>
      <c r="E3091" s="19" t="n"/>
      <c r="G3091" s="16" t="n"/>
      <c r="H3091" s="19" t="n"/>
    </row>
    <row r="3092">
      <c r="A3092" s="16" t="n"/>
      <c r="B3092" s="19" t="n"/>
      <c r="D3092" s="16" t="n"/>
      <c r="E3092" s="19" t="n"/>
      <c r="G3092" s="16" t="n"/>
      <c r="H3092" s="19" t="n"/>
    </row>
    <row r="3093">
      <c r="A3093" s="16" t="n"/>
      <c r="B3093" s="19" t="n"/>
      <c r="D3093" s="16" t="n"/>
      <c r="E3093" s="19" t="n"/>
      <c r="G3093" s="16" t="n"/>
      <c r="H3093" s="19" t="n"/>
    </row>
    <row r="3094">
      <c r="A3094" s="16" t="n"/>
      <c r="B3094" s="19" t="n"/>
      <c r="D3094" s="16" t="n"/>
      <c r="E3094" s="19" t="n"/>
      <c r="G3094" s="16" t="n"/>
      <c r="H3094" s="19" t="n"/>
    </row>
    <row r="3095">
      <c r="A3095" s="16" t="n"/>
      <c r="B3095" s="19" t="n"/>
      <c r="D3095" s="16" t="n"/>
      <c r="E3095" s="19" t="n"/>
      <c r="G3095" s="16" t="n"/>
      <c r="H3095" s="19" t="n"/>
    </row>
    <row r="3096">
      <c r="A3096" s="16" t="n"/>
      <c r="B3096" s="19" t="n"/>
      <c r="D3096" s="16" t="n"/>
      <c r="E3096" s="19" t="n"/>
      <c r="G3096" s="16" t="n"/>
      <c r="H3096" s="19" t="n"/>
    </row>
    <row r="3097">
      <c r="A3097" s="16" t="n"/>
      <c r="B3097" s="19" t="n"/>
      <c r="D3097" s="16" t="n"/>
      <c r="E3097" s="19" t="n"/>
      <c r="G3097" s="16" t="n"/>
      <c r="H3097" s="19" t="n"/>
    </row>
    <row r="3098">
      <c r="A3098" s="16" t="n"/>
      <c r="B3098" s="19" t="n"/>
      <c r="D3098" s="16" t="n"/>
      <c r="E3098" s="19" t="n"/>
      <c r="G3098" s="16" t="n"/>
      <c r="H3098" s="19" t="n"/>
    </row>
    <row r="3099">
      <c r="A3099" s="16" t="n"/>
      <c r="B3099" s="19" t="n"/>
      <c r="D3099" s="16" t="n"/>
      <c r="E3099" s="19" t="n"/>
      <c r="G3099" s="16" t="n"/>
      <c r="H3099" s="19" t="n"/>
    </row>
    <row r="3100">
      <c r="A3100" s="16" t="n"/>
      <c r="B3100" s="19" t="n"/>
      <c r="D3100" s="16" t="n"/>
      <c r="E3100" s="19" t="n"/>
      <c r="G3100" s="16" t="n"/>
      <c r="H3100" s="19" t="n"/>
    </row>
    <row r="3101">
      <c r="A3101" s="16" t="n"/>
      <c r="B3101" s="19" t="n"/>
      <c r="D3101" s="16" t="n"/>
      <c r="E3101" s="19" t="n"/>
      <c r="G3101" s="16" t="n"/>
      <c r="H3101" s="19" t="n"/>
    </row>
    <row r="3102">
      <c r="A3102" s="16" t="n"/>
      <c r="B3102" s="19" t="n"/>
      <c r="D3102" s="16" t="n"/>
      <c r="E3102" s="19" t="n"/>
      <c r="G3102" s="16" t="n"/>
      <c r="H3102" s="19" t="n"/>
    </row>
    <row r="3103">
      <c r="A3103" s="16" t="n"/>
      <c r="B3103" s="19" t="n"/>
      <c r="D3103" s="16" t="n"/>
      <c r="E3103" s="19" t="n"/>
      <c r="G3103" s="16" t="n"/>
      <c r="H3103" s="19" t="n"/>
    </row>
    <row r="3104">
      <c r="A3104" s="16" t="n"/>
      <c r="B3104" s="19" t="n"/>
      <c r="D3104" s="16" t="n"/>
      <c r="E3104" s="19" t="n"/>
      <c r="G3104" s="16" t="n"/>
      <c r="H3104" s="19" t="n"/>
    </row>
    <row r="3105">
      <c r="A3105" s="16" t="n"/>
      <c r="B3105" s="19" t="n"/>
      <c r="D3105" s="16" t="n"/>
      <c r="E3105" s="19" t="n"/>
      <c r="G3105" s="16" t="n"/>
      <c r="H3105" s="19" t="n"/>
    </row>
    <row r="3106">
      <c r="A3106" s="16" t="n"/>
      <c r="B3106" s="19" t="n"/>
      <c r="D3106" s="16" t="n"/>
      <c r="E3106" s="19" t="n"/>
      <c r="G3106" s="16" t="n"/>
      <c r="H3106" s="19" t="n"/>
    </row>
    <row r="3107">
      <c r="A3107" s="16" t="n"/>
      <c r="B3107" s="19" t="n"/>
      <c r="D3107" s="16" t="n"/>
      <c r="E3107" s="19" t="n"/>
      <c r="G3107" s="16" t="n"/>
      <c r="H3107" s="19" t="n"/>
    </row>
    <row r="3108">
      <c r="A3108" s="16" t="n"/>
      <c r="B3108" s="19" t="n"/>
      <c r="D3108" s="16" t="n"/>
      <c r="E3108" s="19" t="n"/>
      <c r="G3108" s="16" t="n"/>
      <c r="H3108" s="19" t="n"/>
    </row>
    <row r="3109">
      <c r="A3109" s="16" t="n"/>
      <c r="B3109" s="19" t="n"/>
      <c r="D3109" s="16" t="n"/>
      <c r="E3109" s="19" t="n"/>
      <c r="G3109" s="16" t="n"/>
      <c r="H3109" s="19" t="n"/>
    </row>
    <row r="3110">
      <c r="A3110" s="16" t="n"/>
      <c r="B3110" s="19" t="n"/>
      <c r="D3110" s="16" t="n"/>
      <c r="E3110" s="19" t="n"/>
      <c r="G3110" s="16" t="n"/>
      <c r="H3110" s="19" t="n"/>
    </row>
    <row r="3111">
      <c r="A3111" s="16" t="n"/>
      <c r="B3111" s="19" t="n"/>
      <c r="D3111" s="16" t="n"/>
      <c r="E3111" s="19" t="n"/>
      <c r="G3111" s="16" t="n"/>
      <c r="H3111" s="19" t="n"/>
    </row>
    <row r="3112">
      <c r="A3112" s="16" t="n"/>
      <c r="B3112" s="19" t="n"/>
      <c r="D3112" s="16" t="n"/>
      <c r="E3112" s="19" t="n"/>
      <c r="G3112" s="16" t="n"/>
      <c r="H3112" s="19" t="n"/>
    </row>
    <row r="3113">
      <c r="A3113" s="16" t="n"/>
      <c r="B3113" s="19" t="n"/>
      <c r="D3113" s="16" t="n"/>
      <c r="E3113" s="19" t="n"/>
      <c r="G3113" s="16" t="n"/>
      <c r="H3113" s="19" t="n"/>
    </row>
    <row r="3114">
      <c r="A3114" s="16" t="n"/>
      <c r="B3114" s="19" t="n"/>
      <c r="D3114" s="16" t="n"/>
      <c r="E3114" s="19" t="n"/>
      <c r="G3114" s="16" t="n"/>
      <c r="H3114" s="19" t="n"/>
    </row>
    <row r="3115">
      <c r="A3115" s="16" t="n"/>
      <c r="B3115" s="19" t="n"/>
      <c r="D3115" s="16" t="n"/>
      <c r="E3115" s="19" t="n"/>
      <c r="G3115" s="16" t="n"/>
      <c r="H3115" s="19" t="n"/>
    </row>
    <row r="3116">
      <c r="A3116" s="16" t="n"/>
      <c r="B3116" s="19" t="n"/>
      <c r="D3116" s="16" t="n"/>
      <c r="E3116" s="19" t="n"/>
      <c r="G3116" s="16" t="n"/>
      <c r="H3116" s="19" t="n"/>
    </row>
    <row r="3117">
      <c r="A3117" s="16" t="n"/>
      <c r="B3117" s="19" t="n"/>
      <c r="D3117" s="16" t="n"/>
      <c r="E3117" s="19" t="n"/>
      <c r="G3117" s="16" t="n"/>
      <c r="H3117" s="19" t="n"/>
    </row>
    <row r="3118">
      <c r="A3118" s="16" t="n"/>
      <c r="B3118" s="19" t="n"/>
      <c r="D3118" s="16" t="n"/>
      <c r="E3118" s="19" t="n"/>
      <c r="G3118" s="16" t="n"/>
      <c r="H3118" s="19" t="n"/>
    </row>
    <row r="3119">
      <c r="A3119" s="16" t="n"/>
      <c r="B3119" s="19" t="n"/>
      <c r="D3119" s="16" t="n"/>
      <c r="E3119" s="19" t="n"/>
      <c r="G3119" s="16" t="n"/>
      <c r="H3119" s="19" t="n"/>
    </row>
    <row r="3120">
      <c r="A3120" s="16" t="n"/>
      <c r="B3120" s="19" t="n"/>
      <c r="D3120" s="16" t="n"/>
      <c r="E3120" s="19" t="n"/>
      <c r="G3120" s="16" t="n"/>
      <c r="H3120" s="19" t="n"/>
    </row>
    <row r="3121">
      <c r="A3121" s="16" t="n"/>
      <c r="B3121" s="19" t="n"/>
      <c r="D3121" s="16" t="n"/>
      <c r="E3121" s="19" t="n"/>
      <c r="G3121" s="16" t="n"/>
      <c r="H3121" s="19" t="n"/>
    </row>
    <row r="3122">
      <c r="A3122" s="16" t="n"/>
      <c r="B3122" s="19" t="n"/>
      <c r="D3122" s="16" t="n"/>
      <c r="E3122" s="19" t="n"/>
      <c r="G3122" s="16" t="n"/>
      <c r="H3122" s="19" t="n"/>
    </row>
    <row r="3123">
      <c r="A3123" s="16" t="n"/>
      <c r="B3123" s="19" t="n"/>
      <c r="D3123" s="16" t="n"/>
      <c r="E3123" s="19" t="n"/>
      <c r="G3123" s="16" t="n"/>
      <c r="H3123" s="19" t="n"/>
    </row>
    <row r="3124">
      <c r="A3124" s="16" t="n"/>
      <c r="B3124" s="19" t="n"/>
      <c r="D3124" s="16" t="n"/>
      <c r="E3124" s="19" t="n"/>
      <c r="G3124" s="16" t="n"/>
      <c r="H3124" s="19" t="n"/>
    </row>
    <row r="3125">
      <c r="A3125" s="16" t="n"/>
      <c r="B3125" s="19" t="n"/>
      <c r="D3125" s="16" t="n"/>
      <c r="E3125" s="19" t="n"/>
      <c r="G3125" s="16" t="n"/>
      <c r="H3125" s="19" t="n"/>
    </row>
    <row r="3126">
      <c r="A3126" s="16" t="n"/>
      <c r="B3126" s="19" t="n"/>
      <c r="D3126" s="16" t="n"/>
      <c r="E3126" s="19" t="n"/>
      <c r="G3126" s="16" t="n"/>
      <c r="H3126" s="19" t="n"/>
    </row>
    <row r="3127">
      <c r="A3127" s="16" t="n"/>
      <c r="B3127" s="19" t="n"/>
      <c r="D3127" s="16" t="n"/>
      <c r="E3127" s="19" t="n"/>
      <c r="G3127" s="16" t="n"/>
      <c r="H3127" s="19" t="n"/>
    </row>
    <row r="3128">
      <c r="A3128" s="16" t="n"/>
      <c r="B3128" s="19" t="n"/>
      <c r="D3128" s="16" t="n"/>
      <c r="E3128" s="19" t="n"/>
      <c r="G3128" s="16" t="n"/>
      <c r="H3128" s="19" t="n"/>
    </row>
    <row r="3129">
      <c r="A3129" s="16" t="n"/>
      <c r="B3129" s="19" t="n"/>
      <c r="D3129" s="16" t="n"/>
      <c r="E3129" s="19" t="n"/>
      <c r="G3129" s="16" t="n"/>
      <c r="H3129" s="19" t="n"/>
    </row>
    <row r="3130">
      <c r="A3130" s="16" t="n"/>
      <c r="B3130" s="19" t="n"/>
      <c r="D3130" s="16" t="n"/>
      <c r="E3130" s="19" t="n"/>
      <c r="G3130" s="16" t="n"/>
      <c r="H3130" s="19" t="n"/>
    </row>
    <row r="3131">
      <c r="A3131" s="16" t="n"/>
      <c r="B3131" s="19" t="n"/>
      <c r="D3131" s="16" t="n"/>
      <c r="E3131" s="19" t="n"/>
      <c r="G3131" s="16" t="n"/>
      <c r="H3131" s="19" t="n"/>
    </row>
    <row r="3132">
      <c r="A3132" s="16" t="n"/>
      <c r="B3132" s="19" t="n"/>
      <c r="D3132" s="16" t="n"/>
      <c r="E3132" s="19" t="n"/>
      <c r="G3132" s="16" t="n"/>
      <c r="H3132" s="19" t="n"/>
    </row>
    <row r="3133">
      <c r="A3133" s="16" t="n"/>
      <c r="B3133" s="19" t="n"/>
      <c r="D3133" s="16" t="n"/>
      <c r="E3133" s="19" t="n"/>
      <c r="G3133" s="16" t="n"/>
      <c r="H3133" s="19" t="n"/>
    </row>
    <row r="3134">
      <c r="A3134" s="16" t="n"/>
      <c r="B3134" s="19" t="n"/>
      <c r="D3134" s="16" t="n"/>
      <c r="E3134" s="19" t="n"/>
      <c r="G3134" s="16" t="n"/>
      <c r="H3134" s="19" t="n"/>
    </row>
    <row r="3135">
      <c r="A3135" s="16" t="n"/>
      <c r="B3135" s="19" t="n"/>
      <c r="D3135" s="16" t="n"/>
      <c r="E3135" s="19" t="n"/>
      <c r="G3135" s="16" t="n"/>
      <c r="H3135" s="19" t="n"/>
    </row>
    <row r="3136">
      <c r="A3136" s="16" t="n"/>
      <c r="B3136" s="19" t="n"/>
      <c r="D3136" s="16" t="n"/>
      <c r="E3136" s="19" t="n"/>
      <c r="G3136" s="16" t="n"/>
      <c r="H3136" s="19" t="n"/>
    </row>
    <row r="3137">
      <c r="A3137" s="16" t="n"/>
      <c r="B3137" s="19" t="n"/>
      <c r="D3137" s="16" t="n"/>
      <c r="E3137" s="19" t="n"/>
      <c r="G3137" s="16" t="n"/>
      <c r="H3137" s="19" t="n"/>
    </row>
    <row r="3138">
      <c r="A3138" s="16" t="n"/>
      <c r="B3138" s="19" t="n"/>
      <c r="D3138" s="16" t="n"/>
      <c r="E3138" s="19" t="n"/>
      <c r="G3138" s="16" t="n"/>
      <c r="H3138" s="19" t="n"/>
    </row>
    <row r="3139">
      <c r="A3139" s="16" t="n"/>
      <c r="B3139" s="19" t="n"/>
      <c r="D3139" s="16" t="n"/>
      <c r="E3139" s="19" t="n"/>
      <c r="G3139" s="16" t="n"/>
      <c r="H3139" s="19" t="n"/>
    </row>
    <row r="3140">
      <c r="A3140" s="16" t="n"/>
      <c r="B3140" s="19" t="n"/>
      <c r="D3140" s="16" t="n"/>
      <c r="E3140" s="19" t="n"/>
      <c r="G3140" s="16" t="n"/>
      <c r="H3140" s="19" t="n"/>
    </row>
    <row r="3141">
      <c r="A3141" s="16" t="n"/>
      <c r="B3141" s="19" t="n"/>
      <c r="D3141" s="16" t="n"/>
      <c r="E3141" s="19" t="n"/>
      <c r="G3141" s="16" t="n"/>
      <c r="H3141" s="19" t="n"/>
    </row>
    <row r="3142">
      <c r="A3142" s="16" t="n"/>
      <c r="B3142" s="19" t="n"/>
      <c r="D3142" s="16" t="n"/>
      <c r="E3142" s="19" t="n"/>
      <c r="G3142" s="16" t="n"/>
      <c r="H3142" s="19" t="n"/>
    </row>
    <row r="3143">
      <c r="A3143" s="16" t="n"/>
      <c r="B3143" s="19" t="n"/>
      <c r="D3143" s="16" t="n"/>
      <c r="E3143" s="19" t="n"/>
      <c r="G3143" s="16" t="n"/>
      <c r="H3143" s="19" t="n"/>
    </row>
    <row r="3144">
      <c r="A3144" s="16" t="n"/>
      <c r="B3144" s="19" t="n"/>
      <c r="D3144" s="16" t="n"/>
      <c r="E3144" s="19" t="n"/>
      <c r="G3144" s="16" t="n"/>
      <c r="H3144" s="19" t="n"/>
    </row>
    <row r="3145">
      <c r="A3145" s="16" t="n"/>
      <c r="B3145" s="19" t="n"/>
      <c r="D3145" s="16" t="n"/>
      <c r="E3145" s="19" t="n"/>
      <c r="G3145" s="16" t="n"/>
      <c r="H3145" s="19" t="n"/>
    </row>
    <row r="3146">
      <c r="A3146" s="16" t="n"/>
      <c r="B3146" s="19" t="n"/>
      <c r="D3146" s="16" t="n"/>
      <c r="E3146" s="19" t="n"/>
      <c r="G3146" s="16" t="n"/>
      <c r="H3146" s="19" t="n"/>
    </row>
    <row r="3147">
      <c r="A3147" s="16" t="n"/>
      <c r="B3147" s="19" t="n"/>
      <c r="D3147" s="16" t="n"/>
      <c r="E3147" s="19" t="n"/>
      <c r="G3147" s="16" t="n"/>
      <c r="H3147" s="19" t="n"/>
    </row>
    <row r="3148">
      <c r="A3148" s="16" t="n"/>
      <c r="B3148" s="19" t="n"/>
      <c r="D3148" s="16" t="n"/>
      <c r="E3148" s="19" t="n"/>
      <c r="G3148" s="16" t="n"/>
      <c r="H3148" s="19" t="n"/>
    </row>
    <row r="3149">
      <c r="A3149" s="16" t="n"/>
      <c r="B3149" s="19" t="n"/>
      <c r="D3149" s="16" t="n"/>
      <c r="E3149" s="19" t="n"/>
      <c r="G3149" s="16" t="n"/>
      <c r="H3149" s="19" t="n"/>
    </row>
    <row r="3150">
      <c r="A3150" s="16" t="n"/>
      <c r="B3150" s="19" t="n"/>
      <c r="D3150" s="16" t="n"/>
      <c r="E3150" s="19" t="n"/>
      <c r="G3150" s="16" t="n"/>
      <c r="H3150" s="19" t="n"/>
    </row>
    <row r="3151">
      <c r="A3151" s="16" t="n"/>
      <c r="B3151" s="19" t="n"/>
      <c r="D3151" s="16" t="n"/>
      <c r="E3151" s="19" t="n"/>
      <c r="G3151" s="16" t="n"/>
      <c r="H3151" s="19" t="n"/>
    </row>
    <row r="3152">
      <c r="A3152" s="16" t="n"/>
      <c r="B3152" s="19" t="n"/>
      <c r="D3152" s="16" t="n"/>
      <c r="E3152" s="19" t="n"/>
      <c r="G3152" s="16" t="n"/>
      <c r="H3152" s="19" t="n"/>
    </row>
    <row r="3153">
      <c r="A3153" s="16" t="n"/>
      <c r="B3153" s="19" t="n"/>
      <c r="D3153" s="16" t="n"/>
      <c r="E3153" s="19" t="n"/>
      <c r="G3153" s="16" t="n"/>
      <c r="H3153" s="19" t="n"/>
    </row>
    <row r="3154">
      <c r="A3154" s="16" t="n"/>
      <c r="B3154" s="19" t="n"/>
      <c r="D3154" s="16" t="n"/>
      <c r="E3154" s="19" t="n"/>
      <c r="G3154" s="16" t="n"/>
      <c r="H3154" s="19" t="n"/>
    </row>
    <row r="3155">
      <c r="A3155" s="16" t="n"/>
      <c r="B3155" s="19" t="n"/>
      <c r="D3155" s="16" t="n"/>
      <c r="E3155" s="19" t="n"/>
      <c r="G3155" s="16" t="n"/>
      <c r="H3155" s="19" t="n"/>
    </row>
    <row r="3156">
      <c r="A3156" s="16" t="n"/>
      <c r="B3156" s="19" t="n"/>
      <c r="D3156" s="16" t="n"/>
      <c r="E3156" s="19" t="n"/>
      <c r="G3156" s="16" t="n"/>
      <c r="H3156" s="19" t="n"/>
    </row>
    <row r="3157">
      <c r="A3157" s="16" t="n"/>
      <c r="B3157" s="19" t="n"/>
      <c r="D3157" s="16" t="n"/>
      <c r="E3157" s="19" t="n"/>
      <c r="G3157" s="16" t="n"/>
      <c r="H3157" s="19" t="n"/>
    </row>
    <row r="3158">
      <c r="A3158" s="16" t="n"/>
      <c r="B3158" s="19" t="n"/>
      <c r="D3158" s="16" t="n"/>
      <c r="E3158" s="19" t="n"/>
      <c r="G3158" s="16" t="n"/>
      <c r="H3158" s="19" t="n"/>
    </row>
    <row r="3159">
      <c r="A3159" s="16" t="n"/>
      <c r="B3159" s="19" t="n"/>
      <c r="D3159" s="16" t="n"/>
      <c r="E3159" s="19" t="n"/>
      <c r="G3159" s="16" t="n"/>
      <c r="H3159" s="19" t="n"/>
    </row>
    <row r="3160">
      <c r="A3160" s="16" t="n"/>
      <c r="B3160" s="19" t="n"/>
      <c r="D3160" s="16" t="n"/>
      <c r="E3160" s="19" t="n"/>
      <c r="G3160" s="16" t="n"/>
      <c r="H3160" s="19" t="n"/>
    </row>
    <row r="3161">
      <c r="A3161" s="16" t="n"/>
      <c r="B3161" s="19" t="n"/>
      <c r="D3161" s="16" t="n"/>
      <c r="E3161" s="19" t="n"/>
      <c r="G3161" s="16" t="n"/>
      <c r="H3161" s="19" t="n"/>
    </row>
    <row r="3162">
      <c r="A3162" s="16" t="n"/>
      <c r="B3162" s="19" t="n"/>
      <c r="D3162" s="16" t="n"/>
      <c r="E3162" s="19" t="n"/>
      <c r="G3162" s="16" t="n"/>
      <c r="H3162" s="19" t="n"/>
    </row>
    <row r="3163">
      <c r="A3163" s="16" t="n"/>
      <c r="B3163" s="19" t="n"/>
      <c r="D3163" s="16" t="n"/>
      <c r="E3163" s="19" t="n"/>
      <c r="G3163" s="16" t="n"/>
      <c r="H3163" s="19" t="n"/>
    </row>
    <row r="3164">
      <c r="A3164" s="16" t="n"/>
      <c r="B3164" s="19" t="n"/>
      <c r="D3164" s="16" t="n"/>
      <c r="E3164" s="19" t="n"/>
      <c r="G3164" s="16" t="n"/>
      <c r="H3164" s="19" t="n"/>
    </row>
    <row r="3165">
      <c r="A3165" s="16" t="n"/>
      <c r="B3165" s="19" t="n"/>
      <c r="D3165" s="16" t="n"/>
      <c r="E3165" s="19" t="n"/>
      <c r="G3165" s="16" t="n"/>
      <c r="H3165" s="19" t="n"/>
    </row>
    <row r="3166">
      <c r="A3166" s="16" t="n"/>
      <c r="B3166" s="19" t="n"/>
      <c r="D3166" s="16" t="n"/>
      <c r="E3166" s="19" t="n"/>
      <c r="G3166" s="16" t="n"/>
      <c r="H3166" s="19" t="n"/>
    </row>
    <row r="3167">
      <c r="A3167" s="16" t="n"/>
      <c r="B3167" s="19" t="n"/>
      <c r="D3167" s="16" t="n"/>
      <c r="E3167" s="19" t="n"/>
      <c r="G3167" s="16" t="n"/>
      <c r="H3167" s="19" t="n"/>
    </row>
    <row r="3168">
      <c r="A3168" s="16" t="n"/>
      <c r="B3168" s="19" t="n"/>
      <c r="D3168" s="16" t="n"/>
      <c r="E3168" s="19" t="n"/>
      <c r="G3168" s="16" t="n"/>
      <c r="H3168" s="19" t="n"/>
    </row>
    <row r="3169">
      <c r="A3169" s="16" t="n"/>
      <c r="B3169" s="19" t="n"/>
      <c r="D3169" s="16" t="n"/>
      <c r="E3169" s="19" t="n"/>
      <c r="G3169" s="16" t="n"/>
      <c r="H3169" s="19" t="n"/>
    </row>
    <row r="3170">
      <c r="A3170" s="16" t="n"/>
      <c r="B3170" s="19" t="n"/>
      <c r="D3170" s="16" t="n"/>
      <c r="E3170" s="19" t="n"/>
      <c r="G3170" s="16" t="n"/>
      <c r="H3170" s="19" t="n"/>
    </row>
    <row r="3171">
      <c r="A3171" s="16" t="n"/>
      <c r="B3171" s="19" t="n"/>
      <c r="D3171" s="16" t="n"/>
      <c r="E3171" s="19" t="n"/>
      <c r="G3171" s="16" t="n"/>
      <c r="H3171" s="19" t="n"/>
    </row>
    <row r="3172">
      <c r="A3172" s="16" t="n"/>
      <c r="B3172" s="19" t="n"/>
      <c r="D3172" s="16" t="n"/>
      <c r="E3172" s="19" t="n"/>
      <c r="G3172" s="16" t="n"/>
      <c r="H3172" s="19" t="n"/>
    </row>
    <row r="3173">
      <c r="A3173" s="16" t="n"/>
      <c r="B3173" s="19" t="n"/>
      <c r="D3173" s="16" t="n"/>
      <c r="E3173" s="19" t="n"/>
      <c r="G3173" s="16" t="n"/>
      <c r="H3173" s="19" t="n"/>
    </row>
    <row r="3174">
      <c r="A3174" s="16" t="n"/>
      <c r="B3174" s="19" t="n"/>
      <c r="D3174" s="16" t="n"/>
      <c r="E3174" s="19" t="n"/>
      <c r="G3174" s="16" t="n"/>
      <c r="H3174" s="19" t="n"/>
    </row>
    <row r="3175">
      <c r="A3175" s="16" t="n"/>
      <c r="B3175" s="19" t="n"/>
      <c r="D3175" s="16" t="n"/>
      <c r="E3175" s="19" t="n"/>
      <c r="G3175" s="16" t="n"/>
      <c r="H3175" s="19" t="n"/>
    </row>
    <row r="3176">
      <c r="A3176" s="16" t="n"/>
      <c r="B3176" s="19" t="n"/>
      <c r="D3176" s="16" t="n"/>
      <c r="E3176" s="19" t="n"/>
      <c r="G3176" s="16" t="n"/>
      <c r="H3176" s="19" t="n"/>
    </row>
    <row r="3177">
      <c r="A3177" s="16" t="n"/>
      <c r="B3177" s="19" t="n"/>
      <c r="D3177" s="16" t="n"/>
      <c r="E3177" s="19" t="n"/>
      <c r="G3177" s="16" t="n"/>
      <c r="H3177" s="19" t="n"/>
    </row>
    <row r="3178">
      <c r="A3178" s="16" t="n"/>
      <c r="B3178" s="19" t="n"/>
      <c r="D3178" s="16" t="n"/>
      <c r="E3178" s="19" t="n"/>
      <c r="G3178" s="16" t="n"/>
      <c r="H3178" s="19" t="n"/>
    </row>
    <row r="3179">
      <c r="A3179" s="16" t="n"/>
      <c r="B3179" s="19" t="n"/>
      <c r="D3179" s="16" t="n"/>
      <c r="E3179" s="19" t="n"/>
      <c r="G3179" s="16" t="n"/>
      <c r="H3179" s="19" t="n"/>
    </row>
    <row r="3180">
      <c r="A3180" s="16" t="n"/>
      <c r="B3180" s="19" t="n"/>
      <c r="D3180" s="16" t="n"/>
      <c r="E3180" s="19" t="n"/>
      <c r="G3180" s="16" t="n"/>
      <c r="H3180" s="19" t="n"/>
    </row>
    <row r="3181">
      <c r="A3181" s="16" t="n"/>
      <c r="B3181" s="19" t="n"/>
      <c r="D3181" s="16" t="n"/>
      <c r="E3181" s="19" t="n"/>
      <c r="G3181" s="16" t="n"/>
      <c r="H3181" s="19" t="n"/>
    </row>
    <row r="3182">
      <c r="A3182" s="16" t="n"/>
      <c r="B3182" s="19" t="n"/>
      <c r="D3182" s="16" t="n"/>
      <c r="E3182" s="19" t="n"/>
      <c r="G3182" s="16" t="n"/>
      <c r="H3182" s="19" t="n"/>
    </row>
    <row r="3183">
      <c r="A3183" s="16" t="n"/>
      <c r="B3183" s="19" t="n"/>
      <c r="D3183" s="16" t="n"/>
      <c r="E3183" s="19" t="n"/>
      <c r="G3183" s="16" t="n"/>
      <c r="H3183" s="19" t="n"/>
    </row>
    <row r="3184">
      <c r="A3184" s="16" t="n"/>
      <c r="B3184" s="19" t="n"/>
      <c r="D3184" s="16" t="n"/>
      <c r="E3184" s="19" t="n"/>
      <c r="G3184" s="16" t="n"/>
      <c r="H3184" s="19" t="n"/>
    </row>
    <row r="3185">
      <c r="A3185" s="16" t="n"/>
      <c r="B3185" s="19" t="n"/>
      <c r="D3185" s="16" t="n"/>
      <c r="E3185" s="19" t="n"/>
      <c r="G3185" s="16" t="n"/>
      <c r="H3185" s="19" t="n"/>
    </row>
    <row r="3186">
      <c r="A3186" s="16" t="n"/>
      <c r="B3186" s="19" t="n"/>
      <c r="D3186" s="16" t="n"/>
      <c r="E3186" s="19" t="n"/>
      <c r="G3186" s="16" t="n"/>
      <c r="H3186" s="19" t="n"/>
    </row>
    <row r="3187">
      <c r="A3187" s="16" t="n"/>
      <c r="B3187" s="19" t="n"/>
      <c r="D3187" s="16" t="n"/>
      <c r="E3187" s="19" t="n"/>
      <c r="G3187" s="16" t="n"/>
      <c r="H3187" s="19" t="n"/>
    </row>
    <row r="3188">
      <c r="A3188" s="16" t="n"/>
      <c r="B3188" s="19" t="n"/>
      <c r="D3188" s="16" t="n"/>
      <c r="E3188" s="19" t="n"/>
      <c r="G3188" s="16" t="n"/>
      <c r="H3188" s="19" t="n"/>
    </row>
    <row r="3189">
      <c r="A3189" s="16" t="n"/>
      <c r="B3189" s="19" t="n"/>
      <c r="D3189" s="16" t="n"/>
      <c r="E3189" s="19" t="n"/>
      <c r="G3189" s="16" t="n"/>
      <c r="H3189" s="19" t="n"/>
    </row>
    <row r="3190">
      <c r="A3190" s="16" t="n"/>
      <c r="B3190" s="19" t="n"/>
      <c r="D3190" s="16" t="n"/>
      <c r="E3190" s="19" t="n"/>
      <c r="G3190" s="16" t="n"/>
      <c r="H3190" s="19" t="n"/>
    </row>
    <row r="3191">
      <c r="A3191" s="16" t="n"/>
      <c r="B3191" s="19" t="n"/>
      <c r="D3191" s="16" t="n"/>
      <c r="E3191" s="19" t="n"/>
      <c r="G3191" s="16" t="n"/>
      <c r="H3191" s="19" t="n"/>
    </row>
    <row r="3192">
      <c r="A3192" s="16" t="n"/>
      <c r="B3192" s="19" t="n"/>
      <c r="D3192" s="16" t="n"/>
      <c r="E3192" s="19" t="n"/>
      <c r="G3192" s="16" t="n"/>
      <c r="H3192" s="19" t="n"/>
    </row>
    <row r="3193">
      <c r="A3193" s="16" t="n"/>
      <c r="B3193" s="19" t="n"/>
      <c r="D3193" s="16" t="n"/>
      <c r="E3193" s="19" t="n"/>
      <c r="G3193" s="16" t="n"/>
      <c r="H3193" s="19" t="n"/>
    </row>
    <row r="3194">
      <c r="A3194" s="16" t="n"/>
      <c r="B3194" s="19" t="n"/>
      <c r="D3194" s="16" t="n"/>
      <c r="E3194" s="19" t="n"/>
      <c r="G3194" s="16" t="n"/>
      <c r="H3194" s="19" t="n"/>
    </row>
    <row r="3195">
      <c r="A3195" s="16" t="n"/>
      <c r="B3195" s="19" t="n"/>
      <c r="D3195" s="16" t="n"/>
      <c r="E3195" s="19" t="n"/>
      <c r="G3195" s="16" t="n"/>
      <c r="H3195" s="19" t="n"/>
    </row>
    <row r="3196">
      <c r="A3196" s="16" t="n"/>
      <c r="B3196" s="19" t="n"/>
      <c r="D3196" s="16" t="n"/>
      <c r="E3196" s="19" t="n"/>
      <c r="G3196" s="16" t="n"/>
      <c r="H3196" s="19" t="n"/>
    </row>
    <row r="3197">
      <c r="A3197" s="16" t="n"/>
      <c r="B3197" s="19" t="n"/>
      <c r="D3197" s="16" t="n"/>
      <c r="E3197" s="19" t="n"/>
      <c r="G3197" s="16" t="n"/>
      <c r="H3197" s="19" t="n"/>
    </row>
    <row r="3198">
      <c r="A3198" s="16" t="n"/>
      <c r="B3198" s="19" t="n"/>
      <c r="D3198" s="16" t="n"/>
      <c r="E3198" s="19" t="n"/>
      <c r="G3198" s="16" t="n"/>
      <c r="H3198" s="19" t="n"/>
    </row>
    <row r="3199">
      <c r="A3199" s="16" t="n"/>
      <c r="B3199" s="19" t="n"/>
      <c r="D3199" s="16" t="n"/>
      <c r="E3199" s="19" t="n"/>
      <c r="G3199" s="16" t="n"/>
      <c r="H3199" s="19" t="n"/>
    </row>
    <row r="3200">
      <c r="A3200" s="16" t="n"/>
      <c r="B3200" s="19" t="n"/>
      <c r="D3200" s="16" t="n"/>
      <c r="E3200" s="19" t="n"/>
      <c r="G3200" s="16" t="n"/>
      <c r="H3200" s="19" t="n"/>
    </row>
    <row r="3201">
      <c r="A3201" s="16" t="n"/>
      <c r="B3201" s="19" t="n"/>
      <c r="D3201" s="16" t="n"/>
      <c r="E3201" s="19" t="n"/>
      <c r="G3201" s="16" t="n"/>
      <c r="H3201" s="19" t="n"/>
    </row>
    <row r="3202">
      <c r="A3202" s="16" t="n"/>
      <c r="B3202" s="19" t="n"/>
      <c r="D3202" s="16" t="n"/>
      <c r="E3202" s="19" t="n"/>
      <c r="G3202" s="16" t="n"/>
      <c r="H3202" s="19" t="n"/>
    </row>
    <row r="3203">
      <c r="A3203" s="16" t="n"/>
      <c r="B3203" s="19" t="n"/>
      <c r="D3203" s="16" t="n"/>
      <c r="E3203" s="19" t="n"/>
      <c r="G3203" s="16" t="n"/>
      <c r="H3203" s="19" t="n"/>
    </row>
    <row r="3204">
      <c r="A3204" s="16" t="n"/>
      <c r="B3204" s="19" t="n"/>
      <c r="D3204" s="16" t="n"/>
      <c r="E3204" s="19" t="n"/>
      <c r="G3204" s="16" t="n"/>
      <c r="H3204" s="19" t="n"/>
    </row>
    <row r="3205">
      <c r="A3205" s="16" t="n"/>
      <c r="B3205" s="19" t="n"/>
      <c r="D3205" s="16" t="n"/>
      <c r="E3205" s="19" t="n"/>
      <c r="G3205" s="16" t="n"/>
      <c r="H3205" s="19" t="n"/>
    </row>
    <row r="3206">
      <c r="A3206" s="16" t="n"/>
      <c r="B3206" s="19" t="n"/>
      <c r="D3206" s="16" t="n"/>
      <c r="E3206" s="19" t="n"/>
      <c r="G3206" s="16" t="n"/>
      <c r="H3206" s="19" t="n"/>
    </row>
    <row r="3207">
      <c r="A3207" s="16" t="n"/>
      <c r="B3207" s="19" t="n"/>
      <c r="D3207" s="16" t="n"/>
      <c r="E3207" s="19" t="n"/>
      <c r="G3207" s="16" t="n"/>
      <c r="H3207" s="19" t="n"/>
    </row>
    <row r="3208">
      <c r="A3208" s="16" t="n"/>
      <c r="B3208" s="19" t="n"/>
      <c r="D3208" s="16" t="n"/>
      <c r="E3208" s="19" t="n"/>
      <c r="G3208" s="16" t="n"/>
      <c r="H3208" s="19" t="n"/>
    </row>
    <row r="3209">
      <c r="A3209" s="16" t="n"/>
      <c r="B3209" s="19" t="n"/>
      <c r="D3209" s="16" t="n"/>
      <c r="E3209" s="19" t="n"/>
      <c r="G3209" s="16" t="n"/>
      <c r="H3209" s="19" t="n"/>
    </row>
    <row r="3210">
      <c r="A3210" s="16" t="n"/>
      <c r="B3210" s="19" t="n"/>
      <c r="D3210" s="16" t="n"/>
      <c r="E3210" s="19" t="n"/>
      <c r="G3210" s="16" t="n"/>
      <c r="H3210" s="19" t="n"/>
    </row>
    <row r="3211">
      <c r="A3211" s="16" t="n"/>
      <c r="B3211" s="19" t="n"/>
      <c r="D3211" s="16" t="n"/>
      <c r="E3211" s="19" t="n"/>
      <c r="G3211" s="16" t="n"/>
      <c r="H3211" s="19" t="n"/>
    </row>
    <row r="3212">
      <c r="A3212" s="16" t="n"/>
      <c r="B3212" s="19" t="n"/>
      <c r="D3212" s="16" t="n"/>
      <c r="E3212" s="19" t="n"/>
      <c r="G3212" s="16" t="n"/>
      <c r="H3212" s="19" t="n"/>
    </row>
    <row r="3213">
      <c r="A3213" s="16" t="n"/>
      <c r="B3213" s="19" t="n"/>
      <c r="D3213" s="16" t="n"/>
      <c r="E3213" s="19" t="n"/>
      <c r="G3213" s="16" t="n"/>
      <c r="H3213" s="19" t="n"/>
    </row>
    <row r="3214">
      <c r="A3214" s="16" t="n"/>
      <c r="B3214" s="19" t="n"/>
      <c r="D3214" s="16" t="n"/>
      <c r="E3214" s="19" t="n"/>
      <c r="G3214" s="16" t="n"/>
      <c r="H3214" s="19" t="n"/>
    </row>
    <row r="3215">
      <c r="A3215" s="16" t="n"/>
      <c r="B3215" s="19" t="n"/>
      <c r="D3215" s="16" t="n"/>
      <c r="E3215" s="19" t="n"/>
      <c r="G3215" s="16" t="n"/>
      <c r="H3215" s="19" t="n"/>
    </row>
    <row r="3216">
      <c r="A3216" s="16" t="n"/>
      <c r="B3216" s="19" t="n"/>
      <c r="D3216" s="16" t="n"/>
      <c r="E3216" s="19" t="n"/>
      <c r="G3216" s="16" t="n"/>
      <c r="H3216" s="19" t="n"/>
    </row>
    <row r="3217">
      <c r="A3217" s="16" t="n"/>
      <c r="B3217" s="19" t="n"/>
      <c r="D3217" s="16" t="n"/>
      <c r="E3217" s="19" t="n"/>
      <c r="G3217" s="16" t="n"/>
      <c r="H3217" s="19" t="n"/>
    </row>
    <row r="3218">
      <c r="A3218" s="16" t="n"/>
      <c r="B3218" s="19" t="n"/>
      <c r="D3218" s="16" t="n"/>
      <c r="E3218" s="19" t="n"/>
      <c r="G3218" s="16" t="n"/>
      <c r="H3218" s="19" t="n"/>
    </row>
    <row r="3219">
      <c r="A3219" s="16" t="n"/>
      <c r="B3219" s="19" t="n"/>
      <c r="D3219" s="16" t="n"/>
      <c r="E3219" s="19" t="n"/>
      <c r="G3219" s="16" t="n"/>
      <c r="H3219" s="19" t="n"/>
    </row>
    <row r="3220">
      <c r="A3220" s="16" t="n"/>
      <c r="B3220" s="19" t="n"/>
      <c r="D3220" s="16" t="n"/>
      <c r="E3220" s="19" t="n"/>
      <c r="G3220" s="16" t="n"/>
      <c r="H3220" s="19" t="n"/>
    </row>
    <row r="3221">
      <c r="A3221" s="16" t="n"/>
      <c r="B3221" s="19" t="n"/>
      <c r="D3221" s="16" t="n"/>
      <c r="E3221" s="19" t="n"/>
      <c r="G3221" s="16" t="n"/>
      <c r="H3221" s="19" t="n"/>
    </row>
    <row r="3222">
      <c r="A3222" s="16" t="n"/>
      <c r="B3222" s="19" t="n"/>
      <c r="D3222" s="16" t="n"/>
      <c r="E3222" s="19" t="n"/>
      <c r="G3222" s="16" t="n"/>
      <c r="H3222" s="19" t="n"/>
    </row>
    <row r="3223">
      <c r="A3223" s="16" t="n"/>
      <c r="B3223" s="19" t="n"/>
      <c r="D3223" s="16" t="n"/>
      <c r="E3223" s="19" t="n"/>
      <c r="G3223" s="16" t="n"/>
      <c r="H3223" s="19" t="n"/>
    </row>
    <row r="3224">
      <c r="A3224" s="16" t="n"/>
      <c r="B3224" s="19" t="n"/>
      <c r="D3224" s="16" t="n"/>
      <c r="E3224" s="19" t="n"/>
      <c r="G3224" s="16" t="n"/>
      <c r="H3224" s="19" t="n"/>
    </row>
    <row r="3225">
      <c r="A3225" s="16" t="n"/>
      <c r="B3225" s="19" t="n"/>
      <c r="D3225" s="16" t="n"/>
      <c r="E3225" s="19" t="n"/>
      <c r="G3225" s="16" t="n"/>
      <c r="H3225" s="19" t="n"/>
    </row>
    <row r="3226">
      <c r="A3226" s="16" t="n"/>
      <c r="B3226" s="19" t="n"/>
      <c r="D3226" s="16" t="n"/>
      <c r="E3226" s="19" t="n"/>
      <c r="G3226" s="16" t="n"/>
      <c r="H3226" s="19" t="n"/>
    </row>
    <row r="3227">
      <c r="A3227" s="16" t="n"/>
      <c r="B3227" s="19" t="n"/>
      <c r="D3227" s="16" t="n"/>
      <c r="E3227" s="19" t="n"/>
      <c r="G3227" s="16" t="n"/>
      <c r="H3227" s="19" t="n"/>
    </row>
    <row r="3228">
      <c r="A3228" s="16" t="n"/>
      <c r="B3228" s="19" t="n"/>
      <c r="D3228" s="16" t="n"/>
      <c r="E3228" s="19" t="n"/>
      <c r="G3228" s="16" t="n"/>
      <c r="H3228" s="19" t="n"/>
    </row>
    <row r="3229">
      <c r="A3229" s="16" t="n"/>
      <c r="B3229" s="19" t="n"/>
      <c r="D3229" s="16" t="n"/>
      <c r="E3229" s="19" t="n"/>
      <c r="G3229" s="16" t="n"/>
      <c r="H3229" s="19" t="n"/>
    </row>
    <row r="3230">
      <c r="A3230" s="16" t="n"/>
      <c r="B3230" s="19" t="n"/>
      <c r="D3230" s="16" t="n"/>
      <c r="E3230" s="19" t="n"/>
      <c r="G3230" s="16" t="n"/>
      <c r="H3230" s="19" t="n"/>
    </row>
    <row r="3231">
      <c r="A3231" s="16" t="n"/>
      <c r="B3231" s="19" t="n"/>
      <c r="D3231" s="16" t="n"/>
      <c r="E3231" s="19" t="n"/>
      <c r="G3231" s="16" t="n"/>
      <c r="H3231" s="19" t="n"/>
    </row>
    <row r="3232">
      <c r="A3232" s="16" t="n"/>
      <c r="B3232" s="19" t="n"/>
      <c r="D3232" s="16" t="n"/>
      <c r="E3232" s="19" t="n"/>
      <c r="G3232" s="16" t="n"/>
      <c r="H3232" s="19" t="n"/>
    </row>
    <row r="3233">
      <c r="A3233" s="16" t="n"/>
      <c r="B3233" s="19" t="n"/>
      <c r="D3233" s="16" t="n"/>
      <c r="E3233" s="19" t="n"/>
      <c r="G3233" s="16" t="n"/>
      <c r="H3233" s="19" t="n"/>
    </row>
    <row r="3234">
      <c r="A3234" s="16" t="n"/>
      <c r="B3234" s="19" t="n"/>
      <c r="D3234" s="16" t="n"/>
      <c r="E3234" s="19" t="n"/>
      <c r="G3234" s="16" t="n"/>
      <c r="H3234" s="19" t="n"/>
    </row>
    <row r="3235">
      <c r="A3235" s="16" t="n"/>
      <c r="B3235" s="19" t="n"/>
      <c r="D3235" s="16" t="n"/>
      <c r="E3235" s="19" t="n"/>
      <c r="G3235" s="16" t="n"/>
      <c r="H3235" s="19" t="n"/>
    </row>
    <row r="3236">
      <c r="A3236" s="16" t="n"/>
      <c r="B3236" s="19" t="n"/>
      <c r="D3236" s="16" t="n"/>
      <c r="E3236" s="19" t="n"/>
      <c r="G3236" s="16" t="n"/>
      <c r="H3236" s="19" t="n"/>
    </row>
    <row r="3237">
      <c r="A3237" s="16" t="n"/>
      <c r="B3237" s="19" t="n"/>
      <c r="D3237" s="16" t="n"/>
      <c r="E3237" s="19" t="n"/>
      <c r="G3237" s="16" t="n"/>
      <c r="H3237" s="19" t="n"/>
    </row>
    <row r="3238">
      <c r="A3238" s="16" t="n"/>
      <c r="B3238" s="19" t="n"/>
      <c r="D3238" s="16" t="n"/>
      <c r="E3238" s="19" t="n"/>
      <c r="G3238" s="16" t="n"/>
      <c r="H3238" s="19" t="n"/>
    </row>
    <row r="3239">
      <c r="A3239" s="16" t="n"/>
      <c r="B3239" s="19" t="n"/>
      <c r="D3239" s="16" t="n"/>
      <c r="E3239" s="19" t="n"/>
      <c r="G3239" s="16" t="n"/>
      <c r="H3239" s="19" t="n"/>
    </row>
    <row r="3240">
      <c r="A3240" s="16" t="n"/>
      <c r="B3240" s="19" t="n"/>
      <c r="D3240" s="16" t="n"/>
      <c r="E3240" s="19" t="n"/>
      <c r="G3240" s="16" t="n"/>
      <c r="H3240" s="19" t="n"/>
    </row>
    <row r="3241">
      <c r="A3241" s="16" t="n"/>
      <c r="B3241" s="19" t="n"/>
      <c r="D3241" s="16" t="n"/>
      <c r="E3241" s="19" t="n"/>
      <c r="G3241" s="16" t="n"/>
      <c r="H3241" s="19" t="n"/>
    </row>
    <row r="3242">
      <c r="A3242" s="16" t="n"/>
      <c r="B3242" s="19" t="n"/>
      <c r="D3242" s="16" t="n"/>
      <c r="E3242" s="19" t="n"/>
      <c r="G3242" s="16" t="n"/>
      <c r="H3242" s="19" t="n"/>
    </row>
    <row r="3243">
      <c r="A3243" s="16" t="n"/>
      <c r="B3243" s="19" t="n"/>
      <c r="D3243" s="16" t="n"/>
      <c r="E3243" s="19" t="n"/>
      <c r="G3243" s="16" t="n"/>
      <c r="H3243" s="19" t="n"/>
    </row>
    <row r="3244">
      <c r="A3244" s="16" t="n"/>
      <c r="B3244" s="19" t="n"/>
      <c r="D3244" s="16" t="n"/>
      <c r="E3244" s="19" t="n"/>
      <c r="G3244" s="16" t="n"/>
      <c r="H3244" s="19" t="n"/>
    </row>
    <row r="3245">
      <c r="A3245" s="16" t="n"/>
      <c r="B3245" s="19" t="n"/>
      <c r="D3245" s="16" t="n"/>
      <c r="E3245" s="19" t="n"/>
      <c r="G3245" s="16" t="n"/>
      <c r="H3245" s="19" t="n"/>
    </row>
    <row r="3246">
      <c r="A3246" s="16" t="n"/>
      <c r="B3246" s="19" t="n"/>
      <c r="D3246" s="16" t="n"/>
      <c r="E3246" s="19" t="n"/>
      <c r="G3246" s="16" t="n"/>
      <c r="H3246" s="19" t="n"/>
    </row>
    <row r="3247">
      <c r="A3247" s="16" t="n"/>
      <c r="B3247" s="19" t="n"/>
      <c r="D3247" s="16" t="n"/>
      <c r="E3247" s="19" t="n"/>
      <c r="G3247" s="16" t="n"/>
      <c r="H3247" s="19" t="n"/>
    </row>
    <row r="3248">
      <c r="A3248" s="16" t="n"/>
      <c r="B3248" s="19" t="n"/>
      <c r="D3248" s="16" t="n"/>
      <c r="E3248" s="19" t="n"/>
      <c r="G3248" s="16" t="n"/>
      <c r="H3248" s="19" t="n"/>
    </row>
    <row r="3249">
      <c r="A3249" s="16" t="n"/>
      <c r="B3249" s="19" t="n"/>
      <c r="D3249" s="16" t="n"/>
      <c r="E3249" s="19" t="n"/>
      <c r="G3249" s="16" t="n"/>
      <c r="H3249" s="19" t="n"/>
    </row>
    <row r="3250">
      <c r="A3250" s="16" t="n"/>
      <c r="B3250" s="19" t="n"/>
      <c r="D3250" s="16" t="n"/>
      <c r="E3250" s="19" t="n"/>
      <c r="G3250" s="16" t="n"/>
      <c r="H3250" s="19" t="n"/>
    </row>
    <row r="3251">
      <c r="A3251" s="16" t="n"/>
      <c r="B3251" s="19" t="n"/>
      <c r="D3251" s="16" t="n"/>
      <c r="E3251" s="19" t="n"/>
      <c r="G3251" s="16" t="n"/>
      <c r="H3251" s="19" t="n"/>
    </row>
    <row r="3252">
      <c r="A3252" s="16" t="n"/>
      <c r="B3252" s="19" t="n"/>
      <c r="D3252" s="16" t="n"/>
      <c r="E3252" s="19" t="n"/>
      <c r="G3252" s="16" t="n"/>
      <c r="H3252" s="19" t="n"/>
    </row>
    <row r="3253">
      <c r="A3253" s="16" t="n"/>
      <c r="B3253" s="19" t="n"/>
      <c r="D3253" s="16" t="n"/>
      <c r="E3253" s="19" t="n"/>
      <c r="G3253" s="16" t="n"/>
      <c r="H3253" s="19" t="n"/>
    </row>
    <row r="3254">
      <c r="A3254" s="16" t="n"/>
      <c r="B3254" s="19" t="n"/>
      <c r="D3254" s="16" t="n"/>
      <c r="E3254" s="19" t="n"/>
      <c r="G3254" s="16" t="n"/>
      <c r="H3254" s="19" t="n"/>
    </row>
    <row r="3255">
      <c r="A3255" s="16" t="n"/>
      <c r="B3255" s="19" t="n"/>
      <c r="D3255" s="16" t="n"/>
      <c r="E3255" s="19" t="n"/>
      <c r="G3255" s="16" t="n"/>
      <c r="H3255" s="19" t="n"/>
    </row>
    <row r="3256">
      <c r="A3256" s="16" t="n"/>
      <c r="B3256" s="19" t="n"/>
      <c r="D3256" s="16" t="n"/>
      <c r="E3256" s="19" t="n"/>
      <c r="G3256" s="16" t="n"/>
      <c r="H3256" s="19" t="n"/>
    </row>
    <row r="3257">
      <c r="A3257" s="16" t="n"/>
      <c r="B3257" s="19" t="n"/>
      <c r="D3257" s="16" t="n"/>
      <c r="E3257" s="19" t="n"/>
      <c r="G3257" s="16" t="n"/>
      <c r="H3257" s="19" t="n"/>
    </row>
    <row r="3258">
      <c r="A3258" s="16" t="n"/>
      <c r="B3258" s="19" t="n"/>
      <c r="D3258" s="16" t="n"/>
      <c r="E3258" s="19" t="n"/>
      <c r="G3258" s="16" t="n"/>
      <c r="H3258" s="19" t="n"/>
    </row>
    <row r="3259">
      <c r="A3259" s="16" t="n"/>
      <c r="B3259" s="19" t="n"/>
      <c r="D3259" s="16" t="n"/>
      <c r="E3259" s="19" t="n"/>
      <c r="G3259" s="16" t="n"/>
      <c r="H3259" s="19" t="n"/>
    </row>
    <row r="3260">
      <c r="A3260" s="16" t="n"/>
      <c r="B3260" s="19" t="n"/>
      <c r="D3260" s="16" t="n"/>
      <c r="E3260" s="19" t="n"/>
      <c r="G3260" s="16" t="n"/>
      <c r="H3260" s="19" t="n"/>
    </row>
    <row r="3261">
      <c r="A3261" s="16" t="n"/>
      <c r="B3261" s="19" t="n"/>
      <c r="D3261" s="16" t="n"/>
      <c r="E3261" s="19" t="n"/>
      <c r="G3261" s="16" t="n"/>
      <c r="H3261" s="19" t="n"/>
    </row>
    <row r="3262">
      <c r="A3262" s="16" t="n"/>
      <c r="B3262" s="19" t="n"/>
      <c r="D3262" s="16" t="n"/>
      <c r="E3262" s="19" t="n"/>
      <c r="G3262" s="16" t="n"/>
      <c r="H3262" s="19" t="n"/>
    </row>
    <row r="3263">
      <c r="A3263" s="16" t="n"/>
      <c r="B3263" s="19" t="n"/>
      <c r="D3263" s="16" t="n"/>
      <c r="E3263" s="19" t="n"/>
      <c r="G3263" s="16" t="n"/>
      <c r="H3263" s="19" t="n"/>
    </row>
    <row r="3264">
      <c r="A3264" s="16" t="n"/>
      <c r="B3264" s="19" t="n"/>
      <c r="D3264" s="16" t="n"/>
      <c r="E3264" s="19" t="n"/>
      <c r="G3264" s="16" t="n"/>
      <c r="H3264" s="19" t="n"/>
    </row>
    <row r="3265">
      <c r="A3265" s="16" t="n"/>
      <c r="B3265" s="19" t="n"/>
      <c r="D3265" s="16" t="n"/>
      <c r="E3265" s="19" t="n"/>
      <c r="G3265" s="16" t="n"/>
      <c r="H3265" s="19" t="n"/>
    </row>
    <row r="3266">
      <c r="A3266" s="16" t="n"/>
      <c r="B3266" s="19" t="n"/>
      <c r="D3266" s="16" t="n"/>
      <c r="E3266" s="19" t="n"/>
      <c r="G3266" s="16" t="n"/>
      <c r="H3266" s="19" t="n"/>
    </row>
    <row r="3267">
      <c r="A3267" s="16" t="n"/>
      <c r="B3267" s="19" t="n"/>
      <c r="D3267" s="16" t="n"/>
      <c r="E3267" s="19" t="n"/>
      <c r="G3267" s="16" t="n"/>
      <c r="H3267" s="19" t="n"/>
    </row>
    <row r="3268">
      <c r="A3268" s="16" t="n"/>
      <c r="B3268" s="19" t="n"/>
      <c r="D3268" s="16" t="n"/>
      <c r="E3268" s="19" t="n"/>
      <c r="G3268" s="16" t="n"/>
      <c r="H3268" s="19" t="n"/>
    </row>
    <row r="3269">
      <c r="A3269" s="16" t="n"/>
      <c r="B3269" s="19" t="n"/>
      <c r="D3269" s="16" t="n"/>
      <c r="E3269" s="19" t="n"/>
      <c r="G3269" s="16" t="n"/>
      <c r="H3269" s="19" t="n"/>
    </row>
    <row r="3270">
      <c r="A3270" s="16" t="n"/>
      <c r="B3270" s="19" t="n"/>
      <c r="D3270" s="16" t="n"/>
      <c r="E3270" s="19" t="n"/>
      <c r="G3270" s="16" t="n"/>
      <c r="H3270" s="19" t="n"/>
    </row>
    <row r="3271">
      <c r="A3271" s="16" t="n"/>
      <c r="B3271" s="19" t="n"/>
      <c r="D3271" s="16" t="n"/>
      <c r="E3271" s="19" t="n"/>
      <c r="G3271" s="16" t="n"/>
      <c r="H3271" s="19" t="n"/>
    </row>
    <row r="3272">
      <c r="A3272" s="16" t="n"/>
      <c r="B3272" s="19" t="n"/>
      <c r="D3272" s="16" t="n"/>
      <c r="E3272" s="19" t="n"/>
      <c r="G3272" s="16" t="n"/>
      <c r="H3272" s="19" t="n"/>
    </row>
    <row r="3273">
      <c r="A3273" s="16" t="n"/>
      <c r="B3273" s="19" t="n"/>
      <c r="D3273" s="16" t="n"/>
      <c r="E3273" s="19" t="n"/>
      <c r="G3273" s="16" t="n"/>
      <c r="H3273" s="19" t="n"/>
    </row>
    <row r="3274">
      <c r="A3274" s="16" t="n"/>
      <c r="B3274" s="19" t="n"/>
      <c r="D3274" s="16" t="n"/>
      <c r="E3274" s="19" t="n"/>
      <c r="G3274" s="16" t="n"/>
      <c r="H3274" s="19" t="n"/>
    </row>
    <row r="3275">
      <c r="A3275" s="16" t="n"/>
      <c r="B3275" s="19" t="n"/>
      <c r="D3275" s="16" t="n"/>
      <c r="E3275" s="19" t="n"/>
      <c r="G3275" s="16" t="n"/>
      <c r="H3275" s="19" t="n"/>
    </row>
    <row r="3276">
      <c r="A3276" s="16" t="n"/>
      <c r="B3276" s="19" t="n"/>
      <c r="D3276" s="16" t="n"/>
      <c r="E3276" s="19" t="n"/>
      <c r="G3276" s="16" t="n"/>
      <c r="H3276" s="19" t="n"/>
    </row>
    <row r="3277">
      <c r="A3277" s="16" t="n"/>
      <c r="B3277" s="19" t="n"/>
      <c r="D3277" s="16" t="n"/>
      <c r="E3277" s="19" t="n"/>
      <c r="G3277" s="16" t="n"/>
      <c r="H3277" s="19" t="n"/>
    </row>
    <row r="3278">
      <c r="A3278" s="16" t="n"/>
      <c r="B3278" s="19" t="n"/>
      <c r="D3278" s="16" t="n"/>
      <c r="E3278" s="19" t="n"/>
      <c r="G3278" s="16" t="n"/>
      <c r="H3278" s="19" t="n"/>
    </row>
    <row r="3279">
      <c r="A3279" s="16" t="n"/>
      <c r="B3279" s="19" t="n"/>
      <c r="D3279" s="16" t="n"/>
      <c r="E3279" s="19" t="n"/>
      <c r="G3279" s="16" t="n"/>
      <c r="H3279" s="19" t="n"/>
    </row>
    <row r="3280">
      <c r="A3280" s="16" t="n"/>
      <c r="B3280" s="19" t="n"/>
      <c r="D3280" s="16" t="n"/>
      <c r="E3280" s="19" t="n"/>
      <c r="G3280" s="16" t="n"/>
      <c r="H3280" s="19" t="n"/>
    </row>
    <row r="3281">
      <c r="A3281" s="16" t="n"/>
      <c r="B3281" s="19" t="n"/>
      <c r="D3281" s="16" t="n"/>
      <c r="E3281" s="19" t="n"/>
      <c r="G3281" s="16" t="n"/>
      <c r="H3281" s="19" t="n"/>
    </row>
    <row r="3282">
      <c r="A3282" s="16" t="n"/>
      <c r="B3282" s="19" t="n"/>
      <c r="D3282" s="16" t="n"/>
      <c r="E3282" s="19" t="n"/>
      <c r="G3282" s="16" t="n"/>
      <c r="H3282" s="19" t="n"/>
    </row>
    <row r="3283">
      <c r="A3283" s="16" t="n"/>
      <c r="B3283" s="19" t="n"/>
      <c r="D3283" s="16" t="n"/>
      <c r="E3283" s="19" t="n"/>
      <c r="G3283" s="16" t="n"/>
      <c r="H3283" s="19" t="n"/>
    </row>
    <row r="3284">
      <c r="A3284" s="16" t="n"/>
      <c r="B3284" s="19" t="n"/>
      <c r="D3284" s="16" t="n"/>
      <c r="E3284" s="19" t="n"/>
      <c r="G3284" s="16" t="n"/>
      <c r="H3284" s="19" t="n"/>
    </row>
    <row r="3285">
      <c r="A3285" s="16" t="n"/>
      <c r="B3285" s="19" t="n"/>
      <c r="D3285" s="16" t="n"/>
      <c r="E3285" s="19" t="n"/>
      <c r="G3285" s="16" t="n"/>
      <c r="H3285" s="19" t="n"/>
    </row>
    <row r="3286">
      <c r="A3286" s="16" t="n"/>
      <c r="B3286" s="19" t="n"/>
      <c r="D3286" s="16" t="n"/>
      <c r="E3286" s="19" t="n"/>
      <c r="G3286" s="16" t="n"/>
      <c r="H3286" s="19" t="n"/>
    </row>
    <row r="3287">
      <c r="A3287" s="16" t="n"/>
      <c r="B3287" s="19" t="n"/>
      <c r="D3287" s="16" t="n"/>
      <c r="E3287" s="19" t="n"/>
      <c r="G3287" s="16" t="n"/>
      <c r="H3287" s="19" t="n"/>
    </row>
    <row r="3288">
      <c r="A3288" s="16" t="n"/>
      <c r="B3288" s="19" t="n"/>
      <c r="D3288" s="16" t="n"/>
      <c r="E3288" s="19" t="n"/>
      <c r="G3288" s="16" t="n"/>
      <c r="H3288" s="19" t="n"/>
    </row>
    <row r="3289">
      <c r="A3289" s="16" t="n"/>
      <c r="B3289" s="19" t="n"/>
      <c r="D3289" s="16" t="n"/>
      <c r="E3289" s="19" t="n"/>
      <c r="G3289" s="16" t="n"/>
      <c r="H3289" s="19" t="n"/>
    </row>
    <row r="3290">
      <c r="A3290" s="16" t="n"/>
      <c r="B3290" s="19" t="n"/>
      <c r="D3290" s="16" t="n"/>
      <c r="E3290" s="19" t="n"/>
      <c r="G3290" s="16" t="n"/>
      <c r="H3290" s="19" t="n"/>
    </row>
    <row r="3291">
      <c r="A3291" s="16" t="n"/>
      <c r="B3291" s="19" t="n"/>
      <c r="D3291" s="16" t="n"/>
      <c r="E3291" s="19" t="n"/>
      <c r="G3291" s="16" t="n"/>
      <c r="H3291" s="19" t="n"/>
    </row>
    <row r="3292">
      <c r="A3292" s="16" t="n"/>
      <c r="B3292" s="19" t="n"/>
      <c r="D3292" s="16" t="n"/>
      <c r="E3292" s="19" t="n"/>
      <c r="G3292" s="16" t="n"/>
      <c r="H3292" s="19" t="n"/>
    </row>
    <row r="3293">
      <c r="A3293" s="16" t="n"/>
      <c r="B3293" s="19" t="n"/>
      <c r="D3293" s="16" t="n"/>
      <c r="E3293" s="19" t="n"/>
      <c r="G3293" s="16" t="n"/>
      <c r="H3293" s="19" t="n"/>
    </row>
    <row r="3294">
      <c r="A3294" s="16" t="n"/>
      <c r="B3294" s="19" t="n"/>
      <c r="D3294" s="16" t="n"/>
      <c r="E3294" s="19" t="n"/>
      <c r="G3294" s="16" t="n"/>
      <c r="H3294" s="19" t="n"/>
    </row>
    <row r="3295">
      <c r="A3295" s="16" t="n"/>
      <c r="B3295" s="19" t="n"/>
      <c r="D3295" s="16" t="n"/>
      <c r="E3295" s="19" t="n"/>
      <c r="G3295" s="16" t="n"/>
      <c r="H3295" s="19" t="n"/>
    </row>
    <row r="3296">
      <c r="A3296" s="16" t="n"/>
      <c r="B3296" s="19" t="n"/>
      <c r="D3296" s="16" t="n"/>
      <c r="E3296" s="19" t="n"/>
      <c r="G3296" s="16" t="n"/>
      <c r="H3296" s="19" t="n"/>
    </row>
    <row r="3297">
      <c r="A3297" s="16" t="n"/>
      <c r="B3297" s="19" t="n"/>
      <c r="D3297" s="16" t="n"/>
      <c r="E3297" s="19" t="n"/>
      <c r="G3297" s="16" t="n"/>
      <c r="H3297" s="19" t="n"/>
    </row>
    <row r="3298">
      <c r="A3298" s="16" t="n"/>
      <c r="B3298" s="19" t="n"/>
      <c r="D3298" s="16" t="n"/>
      <c r="E3298" s="19" t="n"/>
      <c r="G3298" s="16" t="n"/>
      <c r="H3298" s="19" t="n"/>
    </row>
    <row r="3299">
      <c r="A3299" s="16" t="n"/>
      <c r="B3299" s="19" t="n"/>
      <c r="D3299" s="16" t="n"/>
      <c r="E3299" s="19" t="n"/>
      <c r="G3299" s="16" t="n"/>
      <c r="H3299" s="19" t="n"/>
    </row>
    <row r="3300">
      <c r="A3300" s="16" t="n"/>
      <c r="B3300" s="19" t="n"/>
      <c r="D3300" s="16" t="n"/>
      <c r="E3300" s="19" t="n"/>
      <c r="G3300" s="16" t="n"/>
      <c r="H3300" s="19" t="n"/>
    </row>
    <row r="3301">
      <c r="A3301" s="16" t="n"/>
      <c r="B3301" s="19" t="n"/>
      <c r="D3301" s="16" t="n"/>
      <c r="E3301" s="19" t="n"/>
      <c r="G3301" s="16" t="n"/>
      <c r="H3301" s="19" t="n"/>
    </row>
    <row r="3302">
      <c r="A3302" s="16" t="n"/>
      <c r="B3302" s="19" t="n"/>
      <c r="D3302" s="16" t="n"/>
      <c r="E3302" s="19" t="n"/>
      <c r="G3302" s="16" t="n"/>
      <c r="H3302" s="19" t="n"/>
    </row>
    <row r="3303">
      <c r="A3303" s="16" t="n"/>
      <c r="B3303" s="19" t="n"/>
      <c r="D3303" s="16" t="n"/>
      <c r="E3303" s="19" t="n"/>
      <c r="G3303" s="16" t="n"/>
      <c r="H3303" s="19" t="n"/>
    </row>
    <row r="3304">
      <c r="A3304" s="16" t="n"/>
      <c r="B3304" s="19" t="n"/>
      <c r="D3304" s="16" t="n"/>
      <c r="E3304" s="19" t="n"/>
      <c r="G3304" s="16" t="n"/>
      <c r="H3304" s="19" t="n"/>
    </row>
    <row r="3305">
      <c r="A3305" s="16" t="n"/>
      <c r="B3305" s="19" t="n"/>
      <c r="D3305" s="16" t="n"/>
      <c r="E3305" s="19" t="n"/>
      <c r="G3305" s="16" t="n"/>
      <c r="H3305" s="19" t="n"/>
    </row>
    <row r="3306">
      <c r="A3306" s="16" t="n"/>
      <c r="B3306" s="19" t="n"/>
      <c r="D3306" s="16" t="n"/>
      <c r="E3306" s="19" t="n"/>
      <c r="G3306" s="16" t="n"/>
      <c r="H3306" s="19" t="n"/>
    </row>
    <row r="3307">
      <c r="A3307" s="16" t="n"/>
      <c r="B3307" s="19" t="n"/>
      <c r="D3307" s="16" t="n"/>
      <c r="E3307" s="19" t="n"/>
      <c r="G3307" s="16" t="n"/>
      <c r="H3307" s="19" t="n"/>
    </row>
    <row r="3308">
      <c r="A3308" s="16" t="n"/>
      <c r="B3308" s="19" t="n"/>
      <c r="D3308" s="16" t="n"/>
      <c r="E3308" s="19" t="n"/>
      <c r="G3308" s="16" t="n"/>
      <c r="H3308" s="19" t="n"/>
    </row>
    <row r="3309">
      <c r="A3309" s="16" t="n"/>
      <c r="B3309" s="19" t="n"/>
      <c r="D3309" s="16" t="n"/>
      <c r="E3309" s="19" t="n"/>
      <c r="G3309" s="16" t="n"/>
      <c r="H3309" s="19" t="n"/>
    </row>
    <row r="3310">
      <c r="A3310" s="16" t="n"/>
      <c r="B3310" s="19" t="n"/>
      <c r="D3310" s="16" t="n"/>
      <c r="E3310" s="19" t="n"/>
      <c r="G3310" s="16" t="n"/>
      <c r="H3310" s="19" t="n"/>
    </row>
    <row r="3311">
      <c r="A3311" s="16" t="n"/>
      <c r="B3311" s="19" t="n"/>
      <c r="D3311" s="16" t="n"/>
      <c r="E3311" s="19" t="n"/>
      <c r="G3311" s="16" t="n"/>
      <c r="H3311" s="19" t="n"/>
    </row>
    <row r="3312">
      <c r="A3312" s="16" t="n"/>
      <c r="B3312" s="19" t="n"/>
      <c r="D3312" s="16" t="n"/>
      <c r="E3312" s="19" t="n"/>
      <c r="G3312" s="16" t="n"/>
      <c r="H3312" s="19" t="n"/>
    </row>
    <row r="3313">
      <c r="A3313" s="16" t="n"/>
      <c r="B3313" s="19" t="n"/>
      <c r="D3313" s="16" t="n"/>
      <c r="E3313" s="19" t="n"/>
      <c r="G3313" s="16" t="n"/>
      <c r="H3313" s="19" t="n"/>
    </row>
    <row r="3314">
      <c r="A3314" s="16" t="n"/>
      <c r="B3314" s="19" t="n"/>
      <c r="D3314" s="16" t="n"/>
      <c r="E3314" s="19" t="n"/>
      <c r="G3314" s="16" t="n"/>
      <c r="H3314" s="19" t="n"/>
    </row>
    <row r="3315">
      <c r="A3315" s="16" t="n"/>
      <c r="B3315" s="19" t="n"/>
      <c r="D3315" s="16" t="n"/>
      <c r="E3315" s="19" t="n"/>
      <c r="G3315" s="16" t="n"/>
      <c r="H3315" s="19" t="n"/>
    </row>
    <row r="3316">
      <c r="A3316" s="16" t="n"/>
      <c r="B3316" s="19" t="n"/>
      <c r="D3316" s="16" t="n"/>
      <c r="E3316" s="19" t="n"/>
      <c r="G3316" s="16" t="n"/>
      <c r="H3316" s="19" t="n"/>
    </row>
    <row r="3317">
      <c r="A3317" s="16" t="n"/>
      <c r="B3317" s="19" t="n"/>
      <c r="D3317" s="16" t="n"/>
      <c r="E3317" s="19" t="n"/>
      <c r="G3317" s="16" t="n"/>
      <c r="H3317" s="19" t="n"/>
    </row>
    <row r="3318">
      <c r="A3318" s="16" t="n"/>
      <c r="B3318" s="19" t="n"/>
      <c r="D3318" s="16" t="n"/>
      <c r="E3318" s="19" t="n"/>
      <c r="G3318" s="16" t="n"/>
      <c r="H3318" s="19" t="n"/>
    </row>
    <row r="3319">
      <c r="A3319" s="16" t="n"/>
      <c r="B3319" s="19" t="n"/>
      <c r="D3319" s="16" t="n"/>
      <c r="E3319" s="19" t="n"/>
      <c r="G3319" s="16" t="n"/>
      <c r="H3319" s="19" t="n"/>
    </row>
    <row r="3320">
      <c r="A3320" s="16" t="n"/>
      <c r="B3320" s="19" t="n"/>
      <c r="D3320" s="16" t="n"/>
      <c r="E3320" s="19" t="n"/>
      <c r="G3320" s="16" t="n"/>
      <c r="H3320" s="19" t="n"/>
    </row>
    <row r="3321">
      <c r="A3321" s="16" t="n"/>
      <c r="B3321" s="19" t="n"/>
      <c r="D3321" s="16" t="n"/>
      <c r="E3321" s="19" t="n"/>
      <c r="G3321" s="16" t="n"/>
      <c r="H3321" s="19" t="n"/>
    </row>
    <row r="3322">
      <c r="A3322" s="16" t="n"/>
      <c r="B3322" s="19" t="n"/>
      <c r="D3322" s="16" t="n"/>
      <c r="E3322" s="19" t="n"/>
      <c r="G3322" s="16" t="n"/>
      <c r="H3322" s="19" t="n"/>
    </row>
    <row r="3323">
      <c r="A3323" s="16" t="n"/>
      <c r="B3323" s="19" t="n"/>
      <c r="D3323" s="16" t="n"/>
      <c r="E3323" s="19" t="n"/>
      <c r="G3323" s="16" t="n"/>
      <c r="H3323" s="19" t="n"/>
    </row>
    <row r="3324">
      <c r="A3324" s="16" t="n"/>
      <c r="B3324" s="19" t="n"/>
      <c r="D3324" s="16" t="n"/>
      <c r="E3324" s="19" t="n"/>
      <c r="G3324" s="16" t="n"/>
      <c r="H3324" s="19" t="n"/>
    </row>
    <row r="3325">
      <c r="A3325" s="16" t="n"/>
      <c r="B3325" s="19" t="n"/>
      <c r="D3325" s="16" t="n"/>
      <c r="E3325" s="19" t="n"/>
      <c r="G3325" s="16" t="n"/>
      <c r="H3325" s="19" t="n"/>
    </row>
    <row r="3326">
      <c r="A3326" s="16" t="n"/>
      <c r="B3326" s="19" t="n"/>
      <c r="D3326" s="16" t="n"/>
      <c r="E3326" s="19" t="n"/>
      <c r="G3326" s="16" t="n"/>
      <c r="H3326" s="19" t="n"/>
    </row>
    <row r="3327">
      <c r="A3327" s="16" t="n"/>
      <c r="B3327" s="19" t="n"/>
      <c r="D3327" s="16" t="n"/>
      <c r="E3327" s="19" t="n"/>
      <c r="G3327" s="16" t="n"/>
      <c r="H3327" s="19" t="n"/>
    </row>
    <row r="3328">
      <c r="A3328" s="16" t="n"/>
      <c r="B3328" s="19" t="n"/>
      <c r="D3328" s="16" t="n"/>
      <c r="E3328" s="19" t="n"/>
      <c r="G3328" s="16" t="n"/>
      <c r="H3328" s="19" t="n"/>
    </row>
    <row r="3329">
      <c r="A3329" s="16" t="n"/>
      <c r="B3329" s="19" t="n"/>
      <c r="D3329" s="16" t="n"/>
      <c r="E3329" s="19" t="n"/>
      <c r="G3329" s="16" t="n"/>
      <c r="H3329" s="19" t="n"/>
    </row>
    <row r="3330">
      <c r="A3330" s="16" t="n"/>
      <c r="B3330" s="19" t="n"/>
      <c r="D3330" s="16" t="n"/>
      <c r="E3330" s="19" t="n"/>
      <c r="G3330" s="16" t="n"/>
      <c r="H3330" s="19" t="n"/>
    </row>
    <row r="3331">
      <c r="A3331" s="16" t="n"/>
      <c r="B3331" s="19" t="n"/>
      <c r="D3331" s="16" t="n"/>
      <c r="E3331" s="19" t="n"/>
      <c r="G3331" s="16" t="n"/>
      <c r="H3331" s="19" t="n"/>
    </row>
    <row r="3332">
      <c r="A3332" s="16" t="n"/>
      <c r="B3332" s="19" t="n"/>
      <c r="D3332" s="16" t="n"/>
      <c r="E3332" s="19" t="n"/>
      <c r="G3332" s="16" t="n"/>
      <c r="H3332" s="19" t="n"/>
    </row>
    <row r="3333">
      <c r="A3333" s="16" t="n"/>
      <c r="B3333" s="19" t="n"/>
      <c r="D3333" s="16" t="n"/>
      <c r="E3333" s="19" t="n"/>
      <c r="G3333" s="16" t="n"/>
      <c r="H3333" s="19" t="n"/>
    </row>
    <row r="3334">
      <c r="A3334" s="16" t="n"/>
      <c r="B3334" s="19" t="n"/>
      <c r="D3334" s="16" t="n"/>
      <c r="E3334" s="19" t="n"/>
      <c r="G3334" s="16" t="n"/>
      <c r="H3334" s="19" t="n"/>
    </row>
    <row r="3335">
      <c r="A3335" s="16" t="n"/>
      <c r="B3335" s="19" t="n"/>
      <c r="D3335" s="16" t="n"/>
      <c r="E3335" s="19" t="n"/>
      <c r="G3335" s="16" t="n"/>
      <c r="H3335" s="19" t="n"/>
    </row>
    <row r="3336">
      <c r="A3336" s="16" t="n"/>
      <c r="B3336" s="19" t="n"/>
      <c r="D3336" s="16" t="n"/>
      <c r="E3336" s="19" t="n"/>
      <c r="G3336" s="16" t="n"/>
      <c r="H3336" s="19" t="n"/>
    </row>
    <row r="3337">
      <c r="A3337" s="16" t="n"/>
      <c r="B3337" s="19" t="n"/>
      <c r="D3337" s="16" t="n"/>
      <c r="E3337" s="19" t="n"/>
      <c r="G3337" s="16" t="n"/>
      <c r="H3337" s="19" t="n"/>
    </row>
    <row r="3338">
      <c r="A3338" s="16" t="n"/>
      <c r="B3338" s="19" t="n"/>
      <c r="D3338" s="16" t="n"/>
      <c r="E3338" s="19" t="n"/>
      <c r="G3338" s="16" t="n"/>
      <c r="H3338" s="19" t="n"/>
    </row>
    <row r="3339">
      <c r="A3339" s="16" t="n"/>
      <c r="B3339" s="19" t="n"/>
      <c r="D3339" s="16" t="n"/>
      <c r="E3339" s="19" t="n"/>
      <c r="G3339" s="16" t="n"/>
      <c r="H3339" s="19" t="n"/>
    </row>
    <row r="3340">
      <c r="A3340" s="16" t="n"/>
      <c r="B3340" s="19" t="n"/>
      <c r="D3340" s="16" t="n"/>
      <c r="E3340" s="19" t="n"/>
      <c r="G3340" s="16" t="n"/>
      <c r="H3340" s="19" t="n"/>
    </row>
    <row r="3341">
      <c r="A3341" s="16" t="n"/>
      <c r="B3341" s="19" t="n"/>
      <c r="D3341" s="16" t="n"/>
      <c r="E3341" s="19" t="n"/>
      <c r="G3341" s="16" t="n"/>
      <c r="H3341" s="19" t="n"/>
    </row>
    <row r="3342">
      <c r="A3342" s="16" t="n"/>
      <c r="B3342" s="19" t="n"/>
      <c r="D3342" s="16" t="n"/>
      <c r="E3342" s="19" t="n"/>
      <c r="G3342" s="16" t="n"/>
      <c r="H3342" s="19" t="n"/>
    </row>
    <row r="3343">
      <c r="A3343" s="16" t="n"/>
      <c r="B3343" s="19" t="n"/>
      <c r="D3343" s="16" t="n"/>
      <c r="E3343" s="19" t="n"/>
      <c r="G3343" s="16" t="n"/>
      <c r="H3343" s="19" t="n"/>
    </row>
    <row r="3344">
      <c r="A3344" s="16" t="n"/>
      <c r="B3344" s="19" t="n"/>
      <c r="D3344" s="16" t="n"/>
      <c r="E3344" s="19" t="n"/>
      <c r="G3344" s="16" t="n"/>
      <c r="H3344" s="19" t="n"/>
    </row>
    <row r="3345">
      <c r="A3345" s="16" t="n"/>
      <c r="B3345" s="19" t="n"/>
      <c r="D3345" s="16" t="n"/>
      <c r="E3345" s="19" t="n"/>
      <c r="G3345" s="16" t="n"/>
      <c r="H3345" s="19" t="n"/>
    </row>
    <row r="3346">
      <c r="A3346" s="16" t="n"/>
      <c r="B3346" s="19" t="n"/>
      <c r="D3346" s="16" t="n"/>
      <c r="E3346" s="19" t="n"/>
      <c r="G3346" s="16" t="n"/>
      <c r="H3346" s="19" t="n"/>
    </row>
    <row r="3347">
      <c r="A3347" s="16" t="n"/>
      <c r="B3347" s="19" t="n"/>
      <c r="D3347" s="16" t="n"/>
      <c r="E3347" s="19" t="n"/>
      <c r="G3347" s="16" t="n"/>
      <c r="H3347" s="19" t="n"/>
    </row>
    <row r="3348">
      <c r="A3348" s="16" t="n"/>
      <c r="B3348" s="19" t="n"/>
      <c r="D3348" s="16" t="n"/>
      <c r="E3348" s="19" t="n"/>
      <c r="G3348" s="16" t="n"/>
      <c r="H3348" s="19" t="n"/>
    </row>
    <row r="3349">
      <c r="A3349" s="16" t="n"/>
      <c r="B3349" s="19" t="n"/>
      <c r="D3349" s="16" t="n"/>
      <c r="E3349" s="19" t="n"/>
      <c r="G3349" s="16" t="n"/>
      <c r="H3349" s="19" t="n"/>
    </row>
    <row r="3350">
      <c r="A3350" s="16" t="n"/>
      <c r="B3350" s="19" t="n"/>
      <c r="D3350" s="16" t="n"/>
      <c r="E3350" s="19" t="n"/>
      <c r="G3350" s="16" t="n"/>
      <c r="H3350" s="19" t="n"/>
    </row>
    <row r="3351">
      <c r="A3351" s="16" t="n"/>
      <c r="B3351" s="19" t="n"/>
      <c r="D3351" s="16" t="n"/>
      <c r="E3351" s="19" t="n"/>
      <c r="G3351" s="16" t="n"/>
      <c r="H3351" s="19" t="n"/>
    </row>
    <row r="3352">
      <c r="A3352" s="16" t="n"/>
      <c r="B3352" s="19" t="n"/>
      <c r="D3352" s="16" t="n"/>
      <c r="E3352" s="19" t="n"/>
      <c r="G3352" s="16" t="n"/>
      <c r="H3352" s="19" t="n"/>
    </row>
    <row r="3353">
      <c r="A3353" s="16" t="n"/>
      <c r="B3353" s="19" t="n"/>
      <c r="D3353" s="16" t="n"/>
      <c r="E3353" s="19" t="n"/>
      <c r="G3353" s="16" t="n"/>
      <c r="H3353" s="19" t="n"/>
    </row>
    <row r="3354">
      <c r="A3354" s="16" t="n"/>
      <c r="B3354" s="19" t="n"/>
      <c r="D3354" s="16" t="n"/>
      <c r="E3354" s="19" t="n"/>
      <c r="G3354" s="16" t="n"/>
      <c r="H3354" s="19" t="n"/>
    </row>
    <row r="3355">
      <c r="A3355" s="16" t="n"/>
      <c r="B3355" s="19" t="n"/>
      <c r="D3355" s="16" t="n"/>
      <c r="E3355" s="19" t="n"/>
      <c r="G3355" s="16" t="n"/>
      <c r="H3355" s="19" t="n"/>
    </row>
    <row r="3356">
      <c r="A3356" s="16" t="n"/>
      <c r="B3356" s="19" t="n"/>
      <c r="D3356" s="16" t="n"/>
      <c r="E3356" s="19" t="n"/>
      <c r="G3356" s="16" t="n"/>
      <c r="H3356" s="19" t="n"/>
    </row>
    <row r="3357">
      <c r="A3357" s="16" t="n"/>
      <c r="B3357" s="19" t="n"/>
      <c r="D3357" s="16" t="n"/>
      <c r="E3357" s="19" t="n"/>
      <c r="G3357" s="16" t="n"/>
      <c r="H3357" s="19" t="n"/>
    </row>
    <row r="3358">
      <c r="A3358" s="16" t="n"/>
      <c r="B3358" s="19" t="n"/>
      <c r="D3358" s="16" t="n"/>
      <c r="E3358" s="19" t="n"/>
      <c r="G3358" s="16" t="n"/>
      <c r="H3358" s="19" t="n"/>
    </row>
    <row r="3359">
      <c r="A3359" s="16" t="n"/>
      <c r="B3359" s="19" t="n"/>
      <c r="D3359" s="16" t="n"/>
      <c r="E3359" s="19" t="n"/>
      <c r="G3359" s="16" t="n"/>
      <c r="H3359" s="19" t="n"/>
    </row>
    <row r="3360">
      <c r="A3360" s="16" t="n"/>
      <c r="B3360" s="19" t="n"/>
      <c r="D3360" s="16" t="n"/>
      <c r="E3360" s="19" t="n"/>
      <c r="G3360" s="16" t="n"/>
      <c r="H3360" s="19" t="n"/>
    </row>
    <row r="3361">
      <c r="A3361" s="16" t="n"/>
      <c r="B3361" s="19" t="n"/>
      <c r="D3361" s="16" t="n"/>
      <c r="E3361" s="19" t="n"/>
      <c r="G3361" s="16" t="n"/>
      <c r="H3361" s="19" t="n"/>
    </row>
    <row r="3362">
      <c r="A3362" s="16" t="n"/>
      <c r="B3362" s="19" t="n"/>
      <c r="D3362" s="16" t="n"/>
      <c r="E3362" s="19" t="n"/>
      <c r="G3362" s="16" t="n"/>
      <c r="H3362" s="19" t="n"/>
    </row>
    <row r="3363">
      <c r="A3363" s="16" t="n"/>
      <c r="B3363" s="19" t="n"/>
      <c r="D3363" s="16" t="n"/>
      <c r="E3363" s="19" t="n"/>
      <c r="G3363" s="16" t="n"/>
      <c r="H3363" s="19" t="n"/>
    </row>
    <row r="3364">
      <c r="A3364" s="16" t="n"/>
      <c r="B3364" s="19" t="n"/>
      <c r="D3364" s="16" t="n"/>
      <c r="E3364" s="19" t="n"/>
      <c r="G3364" s="16" t="n"/>
      <c r="H3364" s="19" t="n"/>
    </row>
    <row r="3365">
      <c r="A3365" s="16" t="n"/>
      <c r="B3365" s="19" t="n"/>
      <c r="D3365" s="16" t="n"/>
      <c r="E3365" s="19" t="n"/>
      <c r="G3365" s="16" t="n"/>
      <c r="H3365" s="19" t="n"/>
    </row>
    <row r="3366">
      <c r="A3366" s="16" t="n"/>
      <c r="B3366" s="19" t="n"/>
      <c r="D3366" s="16" t="n"/>
      <c r="E3366" s="19" t="n"/>
      <c r="G3366" s="16" t="n"/>
      <c r="H3366" s="19" t="n"/>
    </row>
    <row r="3367">
      <c r="A3367" s="16" t="n"/>
      <c r="B3367" s="19" t="n"/>
      <c r="D3367" s="16" t="n"/>
      <c r="E3367" s="19" t="n"/>
      <c r="G3367" s="16" t="n"/>
      <c r="H3367" s="19" t="n"/>
    </row>
    <row r="3368">
      <c r="A3368" s="16" t="n"/>
      <c r="B3368" s="19" t="n"/>
      <c r="D3368" s="16" t="n"/>
      <c r="E3368" s="19" t="n"/>
      <c r="G3368" s="16" t="n"/>
      <c r="H3368" s="19" t="n"/>
    </row>
    <row r="3369">
      <c r="A3369" s="16" t="n"/>
      <c r="B3369" s="19" t="n"/>
      <c r="D3369" s="16" t="n"/>
      <c r="E3369" s="19" t="n"/>
      <c r="G3369" s="16" t="n"/>
      <c r="H3369" s="19" t="n"/>
    </row>
    <row r="3370">
      <c r="A3370" s="16" t="n"/>
      <c r="B3370" s="19" t="n"/>
      <c r="D3370" s="16" t="n"/>
      <c r="E3370" s="19" t="n"/>
      <c r="G3370" s="16" t="n"/>
      <c r="H3370" s="19" t="n"/>
    </row>
    <row r="3371">
      <c r="A3371" s="16" t="n"/>
      <c r="B3371" s="19" t="n"/>
      <c r="D3371" s="16" t="n"/>
      <c r="E3371" s="19" t="n"/>
      <c r="G3371" s="16" t="n"/>
      <c r="H3371" s="19" t="n"/>
    </row>
    <row r="3372">
      <c r="A3372" s="16" t="n"/>
      <c r="B3372" s="19" t="n"/>
      <c r="D3372" s="16" t="n"/>
      <c r="E3372" s="19" t="n"/>
      <c r="G3372" s="16" t="n"/>
      <c r="H3372" s="19" t="n"/>
    </row>
    <row r="3373">
      <c r="A3373" s="16" t="n"/>
      <c r="B3373" s="19" t="n"/>
      <c r="D3373" s="16" t="n"/>
      <c r="E3373" s="19" t="n"/>
      <c r="G3373" s="16" t="n"/>
      <c r="H3373" s="19" t="n"/>
    </row>
    <row r="3374">
      <c r="A3374" s="16" t="n"/>
      <c r="B3374" s="19" t="n"/>
      <c r="D3374" s="16" t="n"/>
      <c r="E3374" s="19" t="n"/>
      <c r="G3374" s="16" t="n"/>
      <c r="H3374" s="19" t="n"/>
    </row>
    <row r="3375">
      <c r="A3375" s="16" t="n"/>
      <c r="B3375" s="19" t="n"/>
      <c r="D3375" s="16" t="n"/>
      <c r="E3375" s="19" t="n"/>
      <c r="G3375" s="16" t="n"/>
      <c r="H3375" s="19" t="n"/>
    </row>
    <row r="3376">
      <c r="A3376" s="16" t="n"/>
      <c r="B3376" s="19" t="n"/>
      <c r="D3376" s="16" t="n"/>
      <c r="E3376" s="19" t="n"/>
      <c r="G3376" s="16" t="n"/>
      <c r="H3376" s="19" t="n"/>
    </row>
    <row r="3377">
      <c r="A3377" s="16" t="n"/>
      <c r="B3377" s="19" t="n"/>
      <c r="D3377" s="16" t="n"/>
      <c r="E3377" s="19" t="n"/>
      <c r="G3377" s="16" t="n"/>
      <c r="H3377" s="19" t="n"/>
    </row>
    <row r="3378">
      <c r="A3378" s="16" t="n"/>
      <c r="B3378" s="19" t="n"/>
      <c r="D3378" s="16" t="n"/>
      <c r="E3378" s="19" t="n"/>
      <c r="G3378" s="16" t="n"/>
      <c r="H3378" s="19" t="n"/>
    </row>
    <row r="3379">
      <c r="A3379" s="16" t="n"/>
      <c r="B3379" s="19" t="n"/>
      <c r="D3379" s="16" t="n"/>
      <c r="E3379" s="19" t="n"/>
      <c r="G3379" s="16" t="n"/>
      <c r="H3379" s="19" t="n"/>
    </row>
    <row r="3380">
      <c r="A3380" s="16" t="n"/>
      <c r="B3380" s="19" t="n"/>
      <c r="D3380" s="16" t="n"/>
      <c r="E3380" s="19" t="n"/>
      <c r="G3380" s="16" t="n"/>
      <c r="H3380" s="19" t="n"/>
    </row>
    <row r="3381">
      <c r="A3381" s="16" t="n"/>
      <c r="B3381" s="19" t="n"/>
      <c r="D3381" s="16" t="n"/>
      <c r="E3381" s="19" t="n"/>
      <c r="G3381" s="16" t="n"/>
      <c r="H3381" s="19" t="n"/>
    </row>
    <row r="3382">
      <c r="A3382" s="16" t="n"/>
      <c r="B3382" s="19" t="n"/>
      <c r="D3382" s="16" t="n"/>
      <c r="E3382" s="19" t="n"/>
      <c r="G3382" s="16" t="n"/>
      <c r="H3382" s="19" t="n"/>
    </row>
    <row r="3383">
      <c r="A3383" s="16" t="n"/>
      <c r="B3383" s="19" t="n"/>
      <c r="D3383" s="16" t="n"/>
      <c r="E3383" s="19" t="n"/>
      <c r="G3383" s="16" t="n"/>
      <c r="H3383" s="19" t="n"/>
    </row>
    <row r="3384">
      <c r="A3384" s="16" t="n"/>
      <c r="B3384" s="19" t="n"/>
      <c r="D3384" s="16" t="n"/>
      <c r="E3384" s="19" t="n"/>
      <c r="G3384" s="16" t="n"/>
      <c r="H3384" s="19" t="n"/>
    </row>
    <row r="3385">
      <c r="A3385" s="16" t="n"/>
      <c r="B3385" s="19" t="n"/>
      <c r="D3385" s="16" t="n"/>
      <c r="E3385" s="19" t="n"/>
      <c r="G3385" s="16" t="n"/>
      <c r="H3385" s="19" t="n"/>
    </row>
    <row r="3386">
      <c r="A3386" s="16" t="n"/>
      <c r="B3386" s="19" t="n"/>
      <c r="D3386" s="16" t="n"/>
      <c r="E3386" s="19" t="n"/>
      <c r="G3386" s="16" t="n"/>
      <c r="H3386" s="19" t="n"/>
    </row>
    <row r="3387">
      <c r="A3387" s="16" t="n"/>
      <c r="B3387" s="19" t="n"/>
      <c r="D3387" s="16" t="n"/>
      <c r="E3387" s="19" t="n"/>
      <c r="G3387" s="16" t="n"/>
      <c r="H3387" s="19" t="n"/>
    </row>
    <row r="3388">
      <c r="A3388" s="16" t="n"/>
      <c r="B3388" s="19" t="n"/>
      <c r="D3388" s="16" t="n"/>
      <c r="E3388" s="19" t="n"/>
      <c r="G3388" s="16" t="n"/>
      <c r="H3388" s="19" t="n"/>
    </row>
    <row r="3389">
      <c r="A3389" s="16" t="n"/>
      <c r="B3389" s="19" t="n"/>
      <c r="D3389" s="16" t="n"/>
      <c r="E3389" s="19" t="n"/>
      <c r="G3389" s="16" t="n"/>
      <c r="H3389" s="19" t="n"/>
    </row>
    <row r="3390">
      <c r="A3390" s="16" t="n"/>
      <c r="B3390" s="19" t="n"/>
      <c r="D3390" s="16" t="n"/>
      <c r="E3390" s="19" t="n"/>
      <c r="G3390" s="16" t="n"/>
      <c r="H3390" s="19" t="n"/>
    </row>
    <row r="3391">
      <c r="A3391" s="16" t="n"/>
      <c r="B3391" s="19" t="n"/>
      <c r="D3391" s="16" t="n"/>
      <c r="E3391" s="19" t="n"/>
      <c r="G3391" s="16" t="n"/>
      <c r="H3391" s="19" t="n"/>
    </row>
    <row r="3392">
      <c r="A3392" s="16" t="n"/>
      <c r="B3392" s="19" t="n"/>
      <c r="D3392" s="16" t="n"/>
      <c r="E3392" s="19" t="n"/>
      <c r="G3392" s="16" t="n"/>
      <c r="H3392" s="19" t="n"/>
    </row>
    <row r="3393">
      <c r="A3393" s="16" t="n"/>
      <c r="B3393" s="19" t="n"/>
      <c r="D3393" s="16" t="n"/>
      <c r="E3393" s="19" t="n"/>
      <c r="G3393" s="16" t="n"/>
      <c r="H3393" s="19" t="n"/>
    </row>
    <row r="3394">
      <c r="A3394" s="16" t="n"/>
      <c r="B3394" s="19" t="n"/>
      <c r="D3394" s="16" t="n"/>
      <c r="E3394" s="19" t="n"/>
      <c r="G3394" s="16" t="n"/>
      <c r="H3394" s="19" t="n"/>
    </row>
    <row r="3395">
      <c r="A3395" s="16" t="n"/>
      <c r="B3395" s="19" t="n"/>
      <c r="D3395" s="16" t="n"/>
      <c r="E3395" s="19" t="n"/>
      <c r="G3395" s="16" t="n"/>
      <c r="H3395" s="19" t="n"/>
    </row>
    <row r="3396">
      <c r="A3396" s="16" t="n"/>
      <c r="B3396" s="19" t="n"/>
      <c r="D3396" s="16" t="n"/>
      <c r="E3396" s="19" t="n"/>
      <c r="G3396" s="16" t="n"/>
      <c r="H3396" s="19" t="n"/>
    </row>
    <row r="3397">
      <c r="A3397" s="16" t="n"/>
      <c r="B3397" s="19" t="n"/>
      <c r="D3397" s="16" t="n"/>
      <c r="E3397" s="19" t="n"/>
      <c r="G3397" s="16" t="n"/>
      <c r="H3397" s="19" t="n"/>
    </row>
    <row r="3398">
      <c r="A3398" s="16" t="n"/>
      <c r="B3398" s="19" t="n"/>
      <c r="D3398" s="16" t="n"/>
      <c r="E3398" s="19" t="n"/>
      <c r="G3398" s="16" t="n"/>
      <c r="H3398" s="19" t="n"/>
    </row>
    <row r="3399">
      <c r="A3399" s="16" t="n"/>
      <c r="B3399" s="19" t="n"/>
      <c r="D3399" s="16" t="n"/>
      <c r="E3399" s="19" t="n"/>
      <c r="G3399" s="16" t="n"/>
      <c r="H3399" s="19" t="n"/>
    </row>
    <row r="3400">
      <c r="A3400" s="16" t="n"/>
      <c r="B3400" s="19" t="n"/>
      <c r="D3400" s="16" t="n"/>
      <c r="E3400" s="19" t="n"/>
      <c r="G3400" s="16" t="n"/>
      <c r="H3400" s="19" t="n"/>
    </row>
    <row r="3401">
      <c r="A3401" s="16" t="n"/>
      <c r="B3401" s="19" t="n"/>
      <c r="D3401" s="16" t="n"/>
      <c r="E3401" s="19" t="n"/>
      <c r="G3401" s="16" t="n"/>
      <c r="H3401" s="19" t="n"/>
    </row>
    <row r="3402">
      <c r="A3402" s="16" t="n"/>
      <c r="B3402" s="19" t="n"/>
      <c r="D3402" s="16" t="n"/>
      <c r="E3402" s="19" t="n"/>
      <c r="G3402" s="16" t="n"/>
      <c r="H3402" s="19" t="n"/>
    </row>
    <row r="3403">
      <c r="A3403" s="16" t="n"/>
      <c r="B3403" s="19" t="n"/>
      <c r="D3403" s="16" t="n"/>
      <c r="E3403" s="19" t="n"/>
      <c r="G3403" s="16" t="n"/>
      <c r="H3403" s="19" t="n"/>
    </row>
    <row r="3404">
      <c r="A3404" s="16" t="n"/>
      <c r="B3404" s="19" t="n"/>
      <c r="D3404" s="16" t="n"/>
      <c r="E3404" s="19" t="n"/>
      <c r="G3404" s="16" t="n"/>
      <c r="H3404" s="19" t="n"/>
    </row>
    <row r="3405">
      <c r="A3405" s="16" t="n"/>
      <c r="B3405" s="19" t="n"/>
      <c r="D3405" s="16" t="n"/>
      <c r="E3405" s="19" t="n"/>
      <c r="G3405" s="16" t="n"/>
      <c r="H3405" s="19" t="n"/>
    </row>
    <row r="3406">
      <c r="A3406" s="16" t="n"/>
      <c r="B3406" s="19" t="n"/>
      <c r="D3406" s="16" t="n"/>
      <c r="E3406" s="19" t="n"/>
      <c r="G3406" s="16" t="n"/>
      <c r="H3406" s="19" t="n"/>
    </row>
    <row r="3407">
      <c r="A3407" s="16" t="n"/>
      <c r="B3407" s="19" t="n"/>
      <c r="D3407" s="16" t="n"/>
      <c r="E3407" s="19" t="n"/>
      <c r="G3407" s="16" t="n"/>
      <c r="H3407" s="19" t="n"/>
    </row>
    <row r="3408">
      <c r="A3408" s="16" t="n"/>
      <c r="B3408" s="19" t="n"/>
      <c r="D3408" s="16" t="n"/>
      <c r="E3408" s="19" t="n"/>
      <c r="G3408" s="16" t="n"/>
      <c r="H3408" s="19" t="n"/>
    </row>
    <row r="3409">
      <c r="A3409" s="16" t="n"/>
      <c r="B3409" s="19" t="n"/>
      <c r="D3409" s="16" t="n"/>
      <c r="E3409" s="19" t="n"/>
      <c r="G3409" s="16" t="n"/>
      <c r="H3409" s="19" t="n"/>
    </row>
    <row r="3410">
      <c r="A3410" s="16" t="n"/>
      <c r="B3410" s="19" t="n"/>
      <c r="D3410" s="16" t="n"/>
      <c r="E3410" s="19" t="n"/>
      <c r="G3410" s="16" t="n"/>
      <c r="H3410" s="19" t="n"/>
    </row>
    <row r="3411">
      <c r="A3411" s="16" t="n"/>
      <c r="B3411" s="19" t="n"/>
      <c r="D3411" s="16" t="n"/>
      <c r="E3411" s="19" t="n"/>
      <c r="G3411" s="16" t="n"/>
      <c r="H3411" s="19" t="n"/>
    </row>
    <row r="3412">
      <c r="A3412" s="16" t="n"/>
      <c r="B3412" s="19" t="n"/>
      <c r="D3412" s="16" t="n"/>
      <c r="E3412" s="19" t="n"/>
      <c r="G3412" s="16" t="n"/>
      <c r="H3412" s="19" t="n"/>
    </row>
    <row r="3413">
      <c r="A3413" s="16" t="n"/>
      <c r="B3413" s="19" t="n"/>
      <c r="D3413" s="16" t="n"/>
      <c r="E3413" s="19" t="n"/>
      <c r="G3413" s="16" t="n"/>
      <c r="H3413" s="19" t="n"/>
    </row>
    <row r="3414">
      <c r="A3414" s="16" t="n"/>
      <c r="B3414" s="19" t="n"/>
      <c r="D3414" s="16" t="n"/>
      <c r="E3414" s="19" t="n"/>
      <c r="G3414" s="16" t="n"/>
      <c r="H3414" s="19" t="n"/>
    </row>
    <row r="3415">
      <c r="A3415" s="16" t="n"/>
      <c r="B3415" s="19" t="n"/>
      <c r="D3415" s="16" t="n"/>
      <c r="E3415" s="19" t="n"/>
      <c r="G3415" s="16" t="n"/>
      <c r="H3415" s="19" t="n"/>
    </row>
    <row r="3416">
      <c r="A3416" s="16" t="n"/>
      <c r="B3416" s="19" t="n"/>
      <c r="D3416" s="16" t="n"/>
      <c r="E3416" s="19" t="n"/>
      <c r="G3416" s="16" t="n"/>
      <c r="H3416" s="19" t="n"/>
    </row>
    <row r="3417">
      <c r="A3417" s="16" t="n"/>
      <c r="B3417" s="19" t="n"/>
      <c r="D3417" s="16" t="n"/>
      <c r="E3417" s="19" t="n"/>
      <c r="G3417" s="16" t="n"/>
      <c r="H3417" s="19" t="n"/>
    </row>
    <row r="3418">
      <c r="A3418" s="16" t="n"/>
      <c r="B3418" s="19" t="n"/>
      <c r="D3418" s="16" t="n"/>
      <c r="E3418" s="19" t="n"/>
      <c r="G3418" s="16" t="n"/>
      <c r="H3418" s="19" t="n"/>
    </row>
    <row r="3419">
      <c r="A3419" s="16" t="n"/>
      <c r="B3419" s="19" t="n"/>
      <c r="D3419" s="16" t="n"/>
      <c r="E3419" s="19" t="n"/>
      <c r="G3419" s="16" t="n"/>
      <c r="H3419" s="19" t="n"/>
    </row>
    <row r="3420">
      <c r="A3420" s="16" t="n"/>
      <c r="B3420" s="19" t="n"/>
      <c r="D3420" s="16" t="n"/>
      <c r="E3420" s="19" t="n"/>
      <c r="G3420" s="16" t="n"/>
      <c r="H3420" s="19" t="n"/>
    </row>
    <row r="3421">
      <c r="A3421" s="16" t="n"/>
      <c r="B3421" s="19" t="n"/>
      <c r="D3421" s="16" t="n"/>
      <c r="E3421" s="19" t="n"/>
      <c r="G3421" s="16" t="n"/>
      <c r="H3421" s="19" t="n"/>
    </row>
    <row r="3422">
      <c r="A3422" s="16" t="n"/>
      <c r="B3422" s="19" t="n"/>
      <c r="D3422" s="16" t="n"/>
      <c r="E3422" s="19" t="n"/>
      <c r="G3422" s="16" t="n"/>
      <c r="H3422" s="19" t="n"/>
    </row>
    <row r="3423">
      <c r="A3423" s="16" t="n"/>
      <c r="B3423" s="19" t="n"/>
      <c r="D3423" s="16" t="n"/>
      <c r="E3423" s="19" t="n"/>
      <c r="G3423" s="16" t="n"/>
      <c r="H3423" s="19" t="n"/>
    </row>
    <row r="3424">
      <c r="A3424" s="16" t="n"/>
      <c r="B3424" s="19" t="n"/>
      <c r="D3424" s="16" t="n"/>
      <c r="E3424" s="19" t="n"/>
      <c r="G3424" s="16" t="n"/>
      <c r="H3424" s="19" t="n"/>
    </row>
    <row r="3425">
      <c r="A3425" s="16" t="n"/>
      <c r="B3425" s="19" t="n"/>
      <c r="D3425" s="16" t="n"/>
      <c r="E3425" s="19" t="n"/>
      <c r="G3425" s="16" t="n"/>
      <c r="H3425" s="19" t="n"/>
    </row>
    <row r="3426">
      <c r="A3426" s="16" t="n"/>
      <c r="B3426" s="19" t="n"/>
      <c r="D3426" s="16" t="n"/>
      <c r="E3426" s="19" t="n"/>
      <c r="G3426" s="16" t="n"/>
      <c r="H3426" s="19" t="n"/>
    </row>
    <row r="3427">
      <c r="A3427" s="16" t="n"/>
      <c r="B3427" s="19" t="n"/>
      <c r="D3427" s="16" t="n"/>
      <c r="E3427" s="19" t="n"/>
      <c r="G3427" s="16" t="n"/>
      <c r="H3427" s="19" t="n"/>
    </row>
    <row r="3428">
      <c r="A3428" s="16" t="n"/>
      <c r="B3428" s="19" t="n"/>
      <c r="D3428" s="16" t="n"/>
      <c r="E3428" s="19" t="n"/>
      <c r="G3428" s="16" t="n"/>
      <c r="H3428" s="19" t="n"/>
    </row>
    <row r="3429">
      <c r="A3429" s="16" t="n"/>
      <c r="B3429" s="19" t="n"/>
      <c r="D3429" s="16" t="n"/>
      <c r="E3429" s="19" t="n"/>
      <c r="G3429" s="16" t="n"/>
      <c r="H3429" s="19" t="n"/>
    </row>
    <row r="3430">
      <c r="A3430" s="16" t="n"/>
      <c r="B3430" s="19" t="n"/>
      <c r="D3430" s="16" t="n"/>
      <c r="E3430" s="19" t="n"/>
      <c r="G3430" s="16" t="n"/>
      <c r="H3430" s="19" t="n"/>
    </row>
    <row r="3431">
      <c r="A3431" s="16" t="n"/>
      <c r="B3431" s="19" t="n"/>
      <c r="D3431" s="16" t="n"/>
      <c r="E3431" s="19" t="n"/>
      <c r="G3431" s="16" t="n"/>
      <c r="H3431" s="19" t="n"/>
    </row>
    <row r="3432">
      <c r="A3432" s="16" t="n"/>
      <c r="B3432" s="19" t="n"/>
      <c r="D3432" s="16" t="n"/>
      <c r="E3432" s="19" t="n"/>
      <c r="G3432" s="16" t="n"/>
      <c r="H3432" s="19" t="n"/>
    </row>
    <row r="3433">
      <c r="A3433" s="16" t="n"/>
      <c r="B3433" s="19" t="n"/>
      <c r="D3433" s="16" t="n"/>
      <c r="E3433" s="19" t="n"/>
      <c r="G3433" s="16" t="n"/>
      <c r="H3433" s="19" t="n"/>
    </row>
    <row r="3434">
      <c r="A3434" s="16" t="n"/>
      <c r="B3434" s="19" t="n"/>
      <c r="D3434" s="16" t="n"/>
      <c r="E3434" s="19" t="n"/>
      <c r="G3434" s="16" t="n"/>
      <c r="H3434" s="19" t="n"/>
    </row>
    <row r="3435">
      <c r="A3435" s="16" t="n"/>
      <c r="B3435" s="19" t="n"/>
      <c r="D3435" s="16" t="n"/>
      <c r="E3435" s="19" t="n"/>
      <c r="G3435" s="16" t="n"/>
      <c r="H3435" s="19" t="n"/>
    </row>
    <row r="3436">
      <c r="A3436" s="16" t="n"/>
      <c r="B3436" s="19" t="n"/>
      <c r="D3436" s="16" t="n"/>
      <c r="E3436" s="19" t="n"/>
      <c r="G3436" s="16" t="n"/>
      <c r="H3436" s="19" t="n"/>
    </row>
    <row r="3437">
      <c r="A3437" s="16" t="n"/>
      <c r="B3437" s="19" t="n"/>
      <c r="D3437" s="16" t="n"/>
      <c r="E3437" s="19" t="n"/>
      <c r="G3437" s="16" t="n"/>
      <c r="H3437" s="19" t="n"/>
    </row>
    <row r="3438">
      <c r="A3438" s="16" t="n"/>
      <c r="B3438" s="19" t="n"/>
      <c r="D3438" s="16" t="n"/>
      <c r="E3438" s="19" t="n"/>
      <c r="G3438" s="16" t="n"/>
      <c r="H3438" s="19" t="n"/>
    </row>
    <row r="3439">
      <c r="A3439" s="16" t="n"/>
      <c r="B3439" s="19" t="n"/>
      <c r="D3439" s="16" t="n"/>
      <c r="E3439" s="19" t="n"/>
      <c r="G3439" s="16" t="n"/>
      <c r="H3439" s="19" t="n"/>
    </row>
    <row r="3440">
      <c r="A3440" s="16" t="n"/>
      <c r="B3440" s="19" t="n"/>
      <c r="D3440" s="16" t="n"/>
      <c r="E3440" s="19" t="n"/>
      <c r="G3440" s="16" t="n"/>
      <c r="H3440" s="19" t="n"/>
    </row>
    <row r="3441">
      <c r="A3441" s="16" t="n"/>
      <c r="B3441" s="19" t="n"/>
      <c r="D3441" s="16" t="n"/>
      <c r="E3441" s="19" t="n"/>
      <c r="G3441" s="16" t="n"/>
      <c r="H3441" s="19" t="n"/>
    </row>
    <row r="3442">
      <c r="A3442" s="16" t="n"/>
      <c r="B3442" s="19" t="n"/>
      <c r="D3442" s="16" t="n"/>
      <c r="E3442" s="19" t="n"/>
      <c r="G3442" s="16" t="n"/>
      <c r="H3442" s="19" t="n"/>
    </row>
    <row r="3443">
      <c r="A3443" s="16" t="n"/>
      <c r="B3443" s="19" t="n"/>
      <c r="D3443" s="16" t="n"/>
      <c r="E3443" s="19" t="n"/>
      <c r="G3443" s="16" t="n"/>
      <c r="H3443" s="19" t="n"/>
    </row>
    <row r="3444">
      <c r="A3444" s="16" t="n"/>
      <c r="B3444" s="19" t="n"/>
      <c r="D3444" s="16" t="n"/>
      <c r="E3444" s="19" t="n"/>
      <c r="G3444" s="16" t="n"/>
      <c r="H3444" s="19" t="n"/>
    </row>
    <row r="3445">
      <c r="A3445" s="16" t="n"/>
      <c r="B3445" s="19" t="n"/>
      <c r="D3445" s="16" t="n"/>
      <c r="E3445" s="19" t="n"/>
      <c r="G3445" s="16" t="n"/>
      <c r="H3445" s="19" t="n"/>
    </row>
    <row r="3446">
      <c r="A3446" s="16" t="n"/>
      <c r="B3446" s="19" t="n"/>
      <c r="D3446" s="16" t="n"/>
      <c r="E3446" s="19" t="n"/>
      <c r="G3446" s="16" t="n"/>
      <c r="H3446" s="19" t="n"/>
    </row>
    <row r="3447">
      <c r="A3447" s="16" t="n"/>
      <c r="B3447" s="19" t="n"/>
      <c r="D3447" s="16" t="n"/>
      <c r="E3447" s="19" t="n"/>
      <c r="G3447" s="16" t="n"/>
      <c r="H3447" s="19" t="n"/>
    </row>
    <row r="3448">
      <c r="A3448" s="16" t="n"/>
      <c r="B3448" s="19" t="n"/>
      <c r="D3448" s="16" t="n"/>
      <c r="E3448" s="19" t="n"/>
      <c r="G3448" s="16" t="n"/>
      <c r="H3448" s="19" t="n"/>
    </row>
    <row r="3449">
      <c r="A3449" s="16" t="n"/>
      <c r="B3449" s="19" t="n"/>
      <c r="D3449" s="16" t="n"/>
      <c r="E3449" s="19" t="n"/>
      <c r="G3449" s="16" t="n"/>
      <c r="H3449" s="19" t="n"/>
    </row>
    <row r="3450">
      <c r="A3450" s="16" t="n"/>
      <c r="B3450" s="19" t="n"/>
      <c r="D3450" s="16" t="n"/>
      <c r="E3450" s="19" t="n"/>
      <c r="G3450" s="16" t="n"/>
      <c r="H3450" s="19" t="n"/>
    </row>
    <row r="3451">
      <c r="A3451" s="16" t="n"/>
      <c r="B3451" s="19" t="n"/>
      <c r="D3451" s="16" t="n"/>
      <c r="E3451" s="19" t="n"/>
      <c r="G3451" s="16" t="n"/>
      <c r="H3451" s="19" t="n"/>
    </row>
    <row r="3452">
      <c r="A3452" s="16" t="n"/>
      <c r="B3452" s="19" t="n"/>
      <c r="D3452" s="16" t="n"/>
      <c r="E3452" s="19" t="n"/>
      <c r="G3452" s="16" t="n"/>
      <c r="H3452" s="19" t="n"/>
    </row>
    <row r="3453">
      <c r="A3453" s="16" t="n"/>
      <c r="B3453" s="19" t="n"/>
      <c r="D3453" s="16" t="n"/>
      <c r="E3453" s="19" t="n"/>
      <c r="G3453" s="16" t="n"/>
      <c r="H3453" s="19" t="n"/>
    </row>
    <row r="3454">
      <c r="A3454" s="16" t="n"/>
      <c r="B3454" s="19" t="n"/>
      <c r="D3454" s="16" t="n"/>
      <c r="E3454" s="19" t="n"/>
      <c r="G3454" s="16" t="n"/>
      <c r="H3454" s="19" t="n"/>
    </row>
    <row r="3455">
      <c r="A3455" s="16" t="n"/>
      <c r="B3455" s="19" t="n"/>
      <c r="D3455" s="16" t="n"/>
      <c r="E3455" s="19" t="n"/>
      <c r="G3455" s="16" t="n"/>
      <c r="H3455" s="19" t="n"/>
    </row>
    <row r="3456">
      <c r="A3456" s="16" t="n"/>
      <c r="B3456" s="19" t="n"/>
      <c r="D3456" s="16" t="n"/>
      <c r="E3456" s="19" t="n"/>
      <c r="G3456" s="16" t="n"/>
      <c r="H3456" s="19" t="n"/>
    </row>
    <row r="3457">
      <c r="A3457" s="16" t="n"/>
      <c r="B3457" s="19" t="n"/>
      <c r="D3457" s="16" t="n"/>
      <c r="E3457" s="19" t="n"/>
      <c r="G3457" s="16" t="n"/>
      <c r="H3457" s="19" t="n"/>
    </row>
    <row r="3458">
      <c r="A3458" s="16" t="n"/>
      <c r="B3458" s="19" t="n"/>
      <c r="D3458" s="16" t="n"/>
      <c r="E3458" s="19" t="n"/>
      <c r="G3458" s="16" t="n"/>
      <c r="H3458" s="19" t="n"/>
    </row>
    <row r="3459">
      <c r="A3459" s="16" t="n"/>
      <c r="B3459" s="19" t="n"/>
      <c r="D3459" s="16" t="n"/>
      <c r="E3459" s="19" t="n"/>
      <c r="G3459" s="16" t="n"/>
      <c r="H3459" s="19" t="n"/>
    </row>
    <row r="3460">
      <c r="A3460" s="16" t="n"/>
      <c r="B3460" s="19" t="n"/>
      <c r="D3460" s="16" t="n"/>
      <c r="E3460" s="19" t="n"/>
      <c r="G3460" s="16" t="n"/>
      <c r="H3460" s="19" t="n"/>
    </row>
    <row r="3461">
      <c r="A3461" s="16" t="n"/>
      <c r="B3461" s="19" t="n"/>
      <c r="D3461" s="16" t="n"/>
      <c r="E3461" s="19" t="n"/>
      <c r="G3461" s="16" t="n"/>
      <c r="H3461" s="19" t="n"/>
    </row>
    <row r="3462">
      <c r="A3462" s="16" t="n"/>
      <c r="B3462" s="19" t="n"/>
      <c r="D3462" s="16" t="n"/>
      <c r="E3462" s="19" t="n"/>
      <c r="G3462" s="16" t="n"/>
      <c r="H3462" s="19" t="n"/>
    </row>
    <row r="3463">
      <c r="A3463" s="16" t="n"/>
      <c r="B3463" s="19" t="n"/>
      <c r="D3463" s="16" t="n"/>
      <c r="E3463" s="19" t="n"/>
      <c r="G3463" s="16" t="n"/>
      <c r="H3463" s="19" t="n"/>
    </row>
    <row r="3464">
      <c r="A3464" s="16" t="n"/>
      <c r="B3464" s="19" t="n"/>
      <c r="D3464" s="16" t="n"/>
      <c r="E3464" s="19" t="n"/>
      <c r="G3464" s="16" t="n"/>
      <c r="H3464" s="19" t="n"/>
    </row>
    <row r="3465">
      <c r="A3465" s="16" t="n"/>
      <c r="B3465" s="19" t="n"/>
      <c r="D3465" s="16" t="n"/>
      <c r="E3465" s="19" t="n"/>
      <c r="G3465" s="16" t="n"/>
      <c r="H3465" s="19" t="n"/>
    </row>
    <row r="3466">
      <c r="A3466" s="16" t="n"/>
      <c r="B3466" s="19" t="n"/>
      <c r="D3466" s="16" t="n"/>
      <c r="E3466" s="19" t="n"/>
      <c r="G3466" s="16" t="n"/>
      <c r="H3466" s="19" t="n"/>
    </row>
    <row r="3467">
      <c r="A3467" s="16" t="n"/>
      <c r="B3467" s="19" t="n"/>
      <c r="D3467" s="16" t="n"/>
      <c r="E3467" s="19" t="n"/>
      <c r="G3467" s="16" t="n"/>
      <c r="H3467" s="19" t="n"/>
    </row>
    <row r="3468">
      <c r="A3468" s="16" t="n"/>
      <c r="B3468" s="19" t="n"/>
      <c r="D3468" s="16" t="n"/>
      <c r="E3468" s="19" t="n"/>
      <c r="G3468" s="16" t="n"/>
      <c r="H3468" s="19" t="n"/>
    </row>
    <row r="3469">
      <c r="A3469" s="16" t="n"/>
      <c r="B3469" s="19" t="n"/>
      <c r="D3469" s="16" t="n"/>
      <c r="E3469" s="19" t="n"/>
      <c r="G3469" s="16" t="n"/>
      <c r="H3469" s="19" t="n"/>
    </row>
    <row r="3470">
      <c r="A3470" s="16" t="n"/>
      <c r="B3470" s="19" t="n"/>
      <c r="D3470" s="16" t="n"/>
      <c r="E3470" s="19" t="n"/>
      <c r="G3470" s="16" t="n"/>
      <c r="H3470" s="19" t="n"/>
    </row>
    <row r="3471">
      <c r="A3471" s="16" t="n"/>
      <c r="B3471" s="19" t="n"/>
      <c r="D3471" s="16" t="n"/>
      <c r="E3471" s="19" t="n"/>
      <c r="G3471" s="16" t="n"/>
      <c r="H3471" s="19" t="n"/>
    </row>
    <row r="3472">
      <c r="A3472" s="16" t="n"/>
      <c r="B3472" s="19" t="n"/>
      <c r="D3472" s="16" t="n"/>
      <c r="E3472" s="19" t="n"/>
      <c r="G3472" s="16" t="n"/>
      <c r="H3472" s="19" t="n"/>
    </row>
    <row r="3473">
      <c r="A3473" s="16" t="n"/>
      <c r="B3473" s="19" t="n"/>
      <c r="D3473" s="16" t="n"/>
      <c r="E3473" s="19" t="n"/>
      <c r="G3473" s="16" t="n"/>
      <c r="H3473" s="19" t="n"/>
    </row>
    <row r="3474">
      <c r="A3474" s="16" t="n"/>
      <c r="B3474" s="19" t="n"/>
      <c r="D3474" s="16" t="n"/>
      <c r="E3474" s="19" t="n"/>
      <c r="G3474" s="16" t="n"/>
      <c r="H3474" s="19" t="n"/>
    </row>
    <row r="3475">
      <c r="A3475" s="16" t="n"/>
      <c r="B3475" s="19" t="n"/>
      <c r="D3475" s="16" t="n"/>
      <c r="E3475" s="19" t="n"/>
      <c r="G3475" s="16" t="n"/>
      <c r="H3475" s="19" t="n"/>
    </row>
    <row r="3476">
      <c r="A3476" s="16" t="n"/>
      <c r="B3476" s="19" t="n"/>
      <c r="D3476" s="16" t="n"/>
      <c r="E3476" s="19" t="n"/>
      <c r="G3476" s="16" t="n"/>
      <c r="H3476" s="19" t="n"/>
    </row>
    <row r="3477">
      <c r="A3477" s="16" t="n"/>
      <c r="B3477" s="19" t="n"/>
      <c r="D3477" s="16" t="n"/>
      <c r="E3477" s="19" t="n"/>
      <c r="G3477" s="16" t="n"/>
      <c r="H3477" s="19" t="n"/>
    </row>
    <row r="3478">
      <c r="A3478" s="16" t="n"/>
      <c r="B3478" s="19" t="n"/>
      <c r="D3478" s="16" t="n"/>
      <c r="E3478" s="19" t="n"/>
      <c r="G3478" s="16" t="n"/>
      <c r="H3478" s="19" t="n"/>
    </row>
    <row r="3479">
      <c r="A3479" s="16" t="n"/>
      <c r="B3479" s="19" t="n"/>
      <c r="D3479" s="16" t="n"/>
      <c r="E3479" s="19" t="n"/>
      <c r="G3479" s="16" t="n"/>
      <c r="H3479" s="19" t="n"/>
    </row>
    <row r="3480">
      <c r="A3480" s="16" t="n"/>
      <c r="B3480" s="19" t="n"/>
      <c r="D3480" s="16" t="n"/>
      <c r="E3480" s="19" t="n"/>
      <c r="G3480" s="16" t="n"/>
      <c r="H3480" s="19" t="n"/>
    </row>
    <row r="3481">
      <c r="A3481" s="16" t="n"/>
      <c r="B3481" s="19" t="n"/>
      <c r="D3481" s="16" t="n"/>
      <c r="E3481" s="19" t="n"/>
      <c r="G3481" s="16" t="n"/>
      <c r="H3481" s="19" t="n"/>
    </row>
    <row r="3482">
      <c r="A3482" s="16" t="n"/>
      <c r="B3482" s="19" t="n"/>
      <c r="D3482" s="16" t="n"/>
      <c r="E3482" s="19" t="n"/>
      <c r="G3482" s="16" t="n"/>
      <c r="H3482" s="19" t="n"/>
    </row>
    <row r="3483">
      <c r="A3483" s="16" t="n"/>
      <c r="B3483" s="19" t="n"/>
      <c r="D3483" s="16" t="n"/>
      <c r="E3483" s="19" t="n"/>
      <c r="G3483" s="16" t="n"/>
      <c r="H3483" s="19" t="n"/>
    </row>
    <row r="3484">
      <c r="A3484" s="16" t="n"/>
      <c r="B3484" s="19" t="n"/>
      <c r="D3484" s="16" t="n"/>
      <c r="E3484" s="19" t="n"/>
      <c r="G3484" s="16" t="n"/>
      <c r="H3484" s="19" t="n"/>
    </row>
    <row r="3485">
      <c r="A3485" s="16" t="n"/>
      <c r="B3485" s="19" t="n"/>
      <c r="D3485" s="16" t="n"/>
      <c r="E3485" s="19" t="n"/>
      <c r="G3485" s="16" t="n"/>
      <c r="H3485" s="19" t="n"/>
    </row>
    <row r="3486">
      <c r="A3486" s="16" t="n"/>
      <c r="B3486" s="19" t="n"/>
      <c r="D3486" s="16" t="n"/>
      <c r="E3486" s="19" t="n"/>
      <c r="G3486" s="16" t="n"/>
      <c r="H3486" s="19" t="n"/>
    </row>
    <row r="3487">
      <c r="A3487" s="16" t="n"/>
      <c r="B3487" s="19" t="n"/>
      <c r="D3487" s="16" t="n"/>
      <c r="E3487" s="19" t="n"/>
      <c r="G3487" s="16" t="n"/>
      <c r="H3487" s="19" t="n"/>
    </row>
    <row r="3488">
      <c r="A3488" s="16" t="n"/>
      <c r="B3488" s="19" t="n"/>
      <c r="D3488" s="16" t="n"/>
      <c r="E3488" s="19" t="n"/>
      <c r="G3488" s="16" t="n"/>
      <c r="H3488" s="19" t="n"/>
    </row>
    <row r="3489">
      <c r="A3489" s="16" t="n"/>
      <c r="B3489" s="19" t="n"/>
      <c r="D3489" s="16" t="n"/>
      <c r="E3489" s="19" t="n"/>
      <c r="G3489" s="16" t="n"/>
      <c r="H3489" s="19" t="n"/>
    </row>
    <row r="3490">
      <c r="A3490" s="16" t="n"/>
      <c r="B3490" s="19" t="n"/>
      <c r="D3490" s="16" t="n"/>
      <c r="E3490" s="19" t="n"/>
      <c r="G3490" s="16" t="n"/>
      <c r="H3490" s="19" t="n"/>
    </row>
    <row r="3491">
      <c r="A3491" s="16" t="n"/>
      <c r="B3491" s="19" t="n"/>
      <c r="D3491" s="16" t="n"/>
      <c r="E3491" s="19" t="n"/>
      <c r="G3491" s="16" t="n"/>
      <c r="H3491" s="19" t="n"/>
    </row>
    <row r="3492">
      <c r="A3492" s="16" t="n"/>
      <c r="B3492" s="19" t="n"/>
      <c r="D3492" s="16" t="n"/>
      <c r="E3492" s="19" t="n"/>
      <c r="G3492" s="16" t="n"/>
      <c r="H3492" s="19" t="n"/>
    </row>
    <row r="3493">
      <c r="A3493" s="16" t="n"/>
      <c r="B3493" s="19" t="n"/>
      <c r="D3493" s="16" t="n"/>
      <c r="E3493" s="19" t="n"/>
      <c r="G3493" s="16" t="n"/>
      <c r="H3493" s="19" t="n"/>
    </row>
    <row r="3494">
      <c r="A3494" s="16" t="n"/>
      <c r="B3494" s="19" t="n"/>
      <c r="D3494" s="16" t="n"/>
      <c r="E3494" s="19" t="n"/>
      <c r="G3494" s="16" t="n"/>
      <c r="H3494" s="19" t="n"/>
    </row>
    <row r="3495">
      <c r="A3495" s="16" t="n"/>
      <c r="B3495" s="19" t="n"/>
      <c r="D3495" s="16" t="n"/>
      <c r="E3495" s="19" t="n"/>
      <c r="G3495" s="16" t="n"/>
      <c r="H3495" s="19" t="n"/>
    </row>
    <row r="3496">
      <c r="A3496" s="16" t="n"/>
      <c r="B3496" s="19" t="n"/>
      <c r="D3496" s="16" t="n"/>
      <c r="E3496" s="19" t="n"/>
      <c r="G3496" s="16" t="n"/>
      <c r="H3496" s="19" t="n"/>
    </row>
    <row r="3497">
      <c r="A3497" s="16" t="n"/>
      <c r="B3497" s="19" t="n"/>
      <c r="D3497" s="16" t="n"/>
      <c r="E3497" s="19" t="n"/>
      <c r="G3497" s="16" t="n"/>
      <c r="H3497" s="19" t="n"/>
    </row>
    <row r="3498">
      <c r="A3498" s="16" t="n"/>
      <c r="B3498" s="19" t="n"/>
      <c r="D3498" s="16" t="n"/>
      <c r="E3498" s="19" t="n"/>
      <c r="G3498" s="16" t="n"/>
      <c r="H3498" s="19" t="n"/>
    </row>
    <row r="3499">
      <c r="A3499" s="16" t="n"/>
      <c r="B3499" s="19" t="n"/>
      <c r="D3499" s="16" t="n"/>
      <c r="E3499" s="19" t="n"/>
      <c r="G3499" s="16" t="n"/>
      <c r="H3499" s="19" t="n"/>
    </row>
    <row r="3500">
      <c r="A3500" s="16" t="n"/>
      <c r="B3500" s="19" t="n"/>
      <c r="D3500" s="16" t="n"/>
      <c r="E3500" s="19" t="n"/>
      <c r="G3500" s="16" t="n"/>
      <c r="H3500" s="19" t="n"/>
    </row>
    <row r="3501">
      <c r="A3501" s="16" t="n"/>
      <c r="B3501" s="19" t="n"/>
      <c r="D3501" s="16" t="n"/>
      <c r="E3501" s="19" t="n"/>
      <c r="G3501" s="16" t="n"/>
      <c r="H3501" s="19" t="n"/>
    </row>
    <row r="3502">
      <c r="A3502" s="16" t="n"/>
      <c r="B3502" s="19" t="n"/>
      <c r="D3502" s="16" t="n"/>
      <c r="E3502" s="19" t="n"/>
      <c r="G3502" s="16" t="n"/>
      <c r="H3502" s="19" t="n"/>
    </row>
    <row r="3503">
      <c r="A3503" s="16" t="n"/>
      <c r="B3503" s="19" t="n"/>
      <c r="D3503" s="16" t="n"/>
      <c r="E3503" s="19" t="n"/>
      <c r="G3503" s="16" t="n"/>
      <c r="H3503" s="19" t="n"/>
    </row>
    <row r="3504">
      <c r="A3504" s="16" t="n"/>
      <c r="B3504" s="19" t="n"/>
      <c r="D3504" s="16" t="n"/>
      <c r="E3504" s="19" t="n"/>
      <c r="G3504" s="16" t="n"/>
      <c r="H3504" s="19" t="n"/>
    </row>
    <row r="3505">
      <c r="A3505" s="16" t="n"/>
      <c r="B3505" s="19" t="n"/>
      <c r="D3505" s="16" t="n"/>
      <c r="E3505" s="19" t="n"/>
      <c r="G3505" s="16" t="n"/>
      <c r="H3505" s="19" t="n"/>
    </row>
    <row r="3506">
      <c r="A3506" s="16" t="n"/>
      <c r="B3506" s="19" t="n"/>
      <c r="D3506" s="16" t="n"/>
      <c r="E3506" s="19" t="n"/>
      <c r="G3506" s="16" t="n"/>
      <c r="H3506" s="19" t="n"/>
    </row>
    <row r="3507">
      <c r="A3507" s="16" t="n"/>
      <c r="B3507" s="19" t="n"/>
      <c r="D3507" s="16" t="n"/>
      <c r="E3507" s="19" t="n"/>
      <c r="G3507" s="16" t="n"/>
      <c r="H3507" s="19" t="n"/>
    </row>
    <row r="3508">
      <c r="A3508" s="16" t="n"/>
      <c r="B3508" s="19" t="n"/>
      <c r="D3508" s="16" t="n"/>
      <c r="E3508" s="19" t="n"/>
      <c r="G3508" s="16" t="n"/>
      <c r="H3508" s="19" t="n"/>
    </row>
    <row r="3509">
      <c r="A3509" s="16" t="n"/>
      <c r="B3509" s="19" t="n"/>
      <c r="D3509" s="16" t="n"/>
      <c r="E3509" s="19" t="n"/>
      <c r="G3509" s="16" t="n"/>
      <c r="H3509" s="19" t="n"/>
    </row>
    <row r="3510">
      <c r="A3510" s="16" t="n"/>
      <c r="B3510" s="19" t="n"/>
      <c r="D3510" s="16" t="n"/>
      <c r="E3510" s="19" t="n"/>
      <c r="G3510" s="16" t="n"/>
      <c r="H3510" s="19" t="n"/>
    </row>
    <row r="3511">
      <c r="A3511" s="16" t="n"/>
      <c r="B3511" s="19" t="n"/>
      <c r="D3511" s="16" t="n"/>
      <c r="E3511" s="19" t="n"/>
      <c r="G3511" s="16" t="n"/>
      <c r="H3511" s="19" t="n"/>
    </row>
    <row r="3512">
      <c r="A3512" s="16" t="n"/>
      <c r="B3512" s="19" t="n"/>
      <c r="D3512" s="16" t="n"/>
      <c r="E3512" s="19" t="n"/>
      <c r="G3512" s="16" t="n"/>
      <c r="H3512" s="19" t="n"/>
    </row>
    <row r="3513">
      <c r="A3513" s="16" t="n"/>
      <c r="B3513" s="19" t="n"/>
      <c r="D3513" s="16" t="n"/>
      <c r="E3513" s="19" t="n"/>
      <c r="G3513" s="16" t="n"/>
      <c r="H3513" s="19" t="n"/>
    </row>
    <row r="3514">
      <c r="A3514" s="16" t="n"/>
      <c r="B3514" s="19" t="n"/>
      <c r="D3514" s="16" t="n"/>
      <c r="E3514" s="19" t="n"/>
      <c r="G3514" s="16" t="n"/>
      <c r="H3514" s="19" t="n"/>
    </row>
    <row r="3515">
      <c r="A3515" s="16" t="n"/>
      <c r="B3515" s="19" t="n"/>
      <c r="D3515" s="16" t="n"/>
      <c r="E3515" s="19" t="n"/>
      <c r="G3515" s="16" t="n"/>
      <c r="H3515" s="19" t="n"/>
    </row>
    <row r="3516">
      <c r="A3516" s="16" t="n"/>
      <c r="B3516" s="19" t="n"/>
      <c r="D3516" s="16" t="n"/>
      <c r="E3516" s="19" t="n"/>
      <c r="G3516" s="16" t="n"/>
      <c r="H3516" s="19" t="n"/>
    </row>
    <row r="3517">
      <c r="A3517" s="16" t="n"/>
      <c r="B3517" s="19" t="n"/>
      <c r="D3517" s="16" t="n"/>
      <c r="E3517" s="19" t="n"/>
      <c r="G3517" s="16" t="n"/>
      <c r="H3517" s="19" t="n"/>
    </row>
    <row r="3518">
      <c r="A3518" s="16" t="n"/>
      <c r="B3518" s="19" t="n"/>
      <c r="D3518" s="16" t="n"/>
      <c r="E3518" s="19" t="n"/>
      <c r="G3518" s="16" t="n"/>
      <c r="H3518" s="19" t="n"/>
    </row>
    <row r="3519">
      <c r="A3519" s="16" t="n"/>
      <c r="B3519" s="19" t="n"/>
      <c r="D3519" s="16" t="n"/>
      <c r="E3519" s="19" t="n"/>
      <c r="G3519" s="16" t="n"/>
      <c r="H3519" s="19" t="n"/>
    </row>
    <row r="3520">
      <c r="A3520" s="16" t="n"/>
      <c r="B3520" s="19" t="n"/>
      <c r="D3520" s="16" t="n"/>
      <c r="E3520" s="19" t="n"/>
      <c r="G3520" s="16" t="n"/>
      <c r="H3520" s="19" t="n"/>
    </row>
    <row r="3521">
      <c r="A3521" s="16" t="n"/>
      <c r="B3521" s="19" t="n"/>
      <c r="D3521" s="16" t="n"/>
      <c r="E3521" s="19" t="n"/>
      <c r="G3521" s="16" t="n"/>
      <c r="H3521" s="19" t="n"/>
    </row>
    <row r="3522">
      <c r="A3522" s="16" t="n"/>
      <c r="B3522" s="19" t="n"/>
      <c r="D3522" s="16" t="n"/>
      <c r="E3522" s="19" t="n"/>
      <c r="G3522" s="16" t="n"/>
      <c r="H3522" s="19" t="n"/>
    </row>
    <row r="3523">
      <c r="A3523" s="16" t="n"/>
      <c r="B3523" s="19" t="n"/>
      <c r="D3523" s="16" t="n"/>
      <c r="E3523" s="19" t="n"/>
      <c r="G3523" s="16" t="n"/>
      <c r="H3523" s="19" t="n"/>
    </row>
    <row r="3524">
      <c r="A3524" s="16" t="n"/>
      <c r="B3524" s="19" t="n"/>
      <c r="D3524" s="16" t="n"/>
      <c r="E3524" s="19" t="n"/>
      <c r="G3524" s="16" t="n"/>
      <c r="H3524" s="19" t="n"/>
    </row>
    <row r="3525">
      <c r="A3525" s="16" t="n"/>
      <c r="B3525" s="19" t="n"/>
      <c r="D3525" s="16" t="n"/>
      <c r="E3525" s="19" t="n"/>
      <c r="G3525" s="16" t="n"/>
      <c r="H3525" s="19" t="n"/>
    </row>
    <row r="3526">
      <c r="A3526" s="16" t="n"/>
      <c r="B3526" s="19" t="n"/>
      <c r="D3526" s="16" t="n"/>
      <c r="E3526" s="19" t="n"/>
      <c r="G3526" s="16" t="n"/>
      <c r="H3526" s="19" t="n"/>
    </row>
    <row r="3527">
      <c r="A3527" s="16" t="n"/>
      <c r="B3527" s="19" t="n"/>
      <c r="D3527" s="16" t="n"/>
      <c r="E3527" s="19" t="n"/>
      <c r="G3527" s="16" t="n"/>
      <c r="H3527" s="19" t="n"/>
    </row>
    <row r="3528">
      <c r="A3528" s="16" t="n"/>
      <c r="B3528" s="19" t="n"/>
      <c r="D3528" s="16" t="n"/>
      <c r="E3528" s="19" t="n"/>
      <c r="G3528" s="16" t="n"/>
      <c r="H3528" s="19" t="n"/>
    </row>
    <row r="3529">
      <c r="A3529" s="16" t="n"/>
      <c r="B3529" s="19" t="n"/>
      <c r="D3529" s="16" t="n"/>
      <c r="E3529" s="19" t="n"/>
      <c r="G3529" s="16" t="n"/>
      <c r="H3529" s="19" t="n"/>
    </row>
    <row r="3530">
      <c r="A3530" s="16" t="n"/>
      <c r="B3530" s="19" t="n"/>
      <c r="D3530" s="16" t="n"/>
      <c r="E3530" s="19" t="n"/>
      <c r="G3530" s="16" t="n"/>
      <c r="H3530" s="19" t="n"/>
    </row>
    <row r="3531">
      <c r="A3531" s="16" t="n"/>
      <c r="B3531" s="19" t="n"/>
      <c r="D3531" s="16" t="n"/>
      <c r="E3531" s="19" t="n"/>
      <c r="G3531" s="16" t="n"/>
      <c r="H3531" s="19" t="n"/>
    </row>
    <row r="3532">
      <c r="A3532" s="16" t="n"/>
      <c r="B3532" s="19" t="n"/>
      <c r="D3532" s="16" t="n"/>
      <c r="E3532" s="19" t="n"/>
      <c r="G3532" s="16" t="n"/>
      <c r="H3532" s="19" t="n"/>
    </row>
    <row r="3533">
      <c r="A3533" s="16" t="n"/>
      <c r="B3533" s="19" t="n"/>
      <c r="D3533" s="16" t="n"/>
      <c r="E3533" s="19" t="n"/>
      <c r="G3533" s="16" t="n"/>
      <c r="H3533" s="19" t="n"/>
    </row>
    <row r="3534">
      <c r="A3534" s="16" t="n"/>
      <c r="B3534" s="19" t="n"/>
      <c r="D3534" s="16" t="n"/>
      <c r="E3534" s="19" t="n"/>
      <c r="G3534" s="16" t="n"/>
      <c r="H3534" s="19" t="n"/>
    </row>
    <row r="3535">
      <c r="A3535" s="16" t="n"/>
      <c r="B3535" s="19" t="n"/>
      <c r="D3535" s="16" t="n"/>
      <c r="E3535" s="19" t="n"/>
      <c r="G3535" s="16" t="n"/>
      <c r="H3535" s="19" t="n"/>
    </row>
    <row r="3536">
      <c r="A3536" s="16" t="n"/>
      <c r="B3536" s="19" t="n"/>
      <c r="D3536" s="16" t="n"/>
      <c r="E3536" s="19" t="n"/>
      <c r="G3536" s="16" t="n"/>
      <c r="H3536" s="19" t="n"/>
    </row>
    <row r="3537">
      <c r="A3537" s="16" t="n"/>
      <c r="B3537" s="19" t="n"/>
      <c r="D3537" s="16" t="n"/>
      <c r="E3537" s="19" t="n"/>
      <c r="G3537" s="16" t="n"/>
      <c r="H3537" s="19" t="n"/>
    </row>
    <row r="3538">
      <c r="A3538" s="16" t="n"/>
      <c r="B3538" s="19" t="n"/>
      <c r="D3538" s="16" t="n"/>
      <c r="E3538" s="19" t="n"/>
      <c r="G3538" s="16" t="n"/>
      <c r="H3538" s="19" t="n"/>
    </row>
    <row r="3539">
      <c r="A3539" s="16" t="n"/>
      <c r="B3539" s="19" t="n"/>
      <c r="D3539" s="16" t="n"/>
      <c r="E3539" s="19" t="n"/>
      <c r="G3539" s="16" t="n"/>
      <c r="H3539" s="19" t="n"/>
    </row>
    <row r="3540">
      <c r="A3540" s="16" t="n"/>
      <c r="B3540" s="19" t="n"/>
      <c r="D3540" s="16" t="n"/>
      <c r="E3540" s="19" t="n"/>
      <c r="G3540" s="16" t="n"/>
      <c r="H3540" s="19" t="n"/>
    </row>
    <row r="3541">
      <c r="A3541" s="16" t="n"/>
      <c r="B3541" s="19" t="n"/>
      <c r="D3541" s="16" t="n"/>
      <c r="E3541" s="19" t="n"/>
      <c r="G3541" s="16" t="n"/>
      <c r="H3541" s="19" t="n"/>
    </row>
    <row r="3542">
      <c r="A3542" s="16" t="n"/>
      <c r="B3542" s="19" t="n"/>
      <c r="D3542" s="16" t="n"/>
      <c r="E3542" s="19" t="n"/>
      <c r="G3542" s="16" t="n"/>
      <c r="H3542" s="19" t="n"/>
    </row>
    <row r="3543">
      <c r="A3543" s="16" t="n"/>
      <c r="B3543" s="19" t="n"/>
      <c r="D3543" s="16" t="n"/>
      <c r="E3543" s="19" t="n"/>
      <c r="G3543" s="16" t="n"/>
      <c r="H3543" s="19" t="n"/>
    </row>
    <row r="3544">
      <c r="A3544" s="16" t="n"/>
      <c r="B3544" s="19" t="n"/>
      <c r="D3544" s="16" t="n"/>
      <c r="E3544" s="19" t="n"/>
      <c r="G3544" s="16" t="n"/>
      <c r="H3544" s="19" t="n"/>
    </row>
    <row r="3545">
      <c r="A3545" s="16" t="n"/>
      <c r="B3545" s="19" t="n"/>
      <c r="D3545" s="16" t="n"/>
      <c r="E3545" s="19" t="n"/>
      <c r="G3545" s="16" t="n"/>
      <c r="H3545" s="19" t="n"/>
    </row>
    <row r="3546">
      <c r="A3546" s="16" t="n"/>
      <c r="B3546" s="19" t="n"/>
      <c r="D3546" s="16" t="n"/>
      <c r="E3546" s="19" t="n"/>
      <c r="G3546" s="16" t="n"/>
      <c r="H3546" s="19" t="n"/>
    </row>
    <row r="3547">
      <c r="A3547" s="16" t="n"/>
      <c r="B3547" s="19" t="n"/>
      <c r="D3547" s="16" t="n"/>
      <c r="E3547" s="19" t="n"/>
      <c r="G3547" s="16" t="n"/>
      <c r="H3547" s="19" t="n"/>
    </row>
    <row r="3548">
      <c r="A3548" s="16" t="n"/>
      <c r="B3548" s="19" t="n"/>
      <c r="D3548" s="16" t="n"/>
      <c r="E3548" s="19" t="n"/>
      <c r="G3548" s="16" t="n"/>
      <c r="H3548" s="19" t="n"/>
    </row>
    <row r="3549">
      <c r="A3549" s="16" t="n"/>
      <c r="B3549" s="19" t="n"/>
      <c r="D3549" s="16" t="n"/>
      <c r="E3549" s="19" t="n"/>
      <c r="G3549" s="16" t="n"/>
      <c r="H3549" s="19" t="n"/>
    </row>
    <row r="3550">
      <c r="A3550" s="16" t="n"/>
      <c r="B3550" s="19" t="n"/>
      <c r="D3550" s="16" t="n"/>
      <c r="E3550" s="19" t="n"/>
      <c r="G3550" s="16" t="n"/>
      <c r="H3550" s="19" t="n"/>
    </row>
    <row r="3551">
      <c r="A3551" s="16" t="n"/>
      <c r="B3551" s="19" t="n"/>
      <c r="D3551" s="16" t="n"/>
      <c r="E3551" s="19" t="n"/>
      <c r="G3551" s="16" t="n"/>
      <c r="H3551" s="19" t="n"/>
    </row>
    <row r="3552">
      <c r="A3552" s="16" t="n"/>
      <c r="B3552" s="19" t="n"/>
      <c r="D3552" s="16" t="n"/>
      <c r="E3552" s="19" t="n"/>
      <c r="G3552" s="16" t="n"/>
      <c r="H3552" s="19" t="n"/>
    </row>
    <row r="3553">
      <c r="A3553" s="16" t="n"/>
      <c r="B3553" s="19" t="n"/>
      <c r="D3553" s="16" t="n"/>
      <c r="E3553" s="19" t="n"/>
      <c r="G3553" s="16" t="n"/>
      <c r="H3553" s="19" t="n"/>
    </row>
    <row r="3554">
      <c r="A3554" s="16" t="n"/>
      <c r="B3554" s="19" t="n"/>
      <c r="D3554" s="16" t="n"/>
      <c r="E3554" s="19" t="n"/>
      <c r="G3554" s="16" t="n"/>
      <c r="H3554" s="19" t="n"/>
    </row>
    <row r="3555">
      <c r="A3555" s="16" t="n"/>
      <c r="B3555" s="19" t="n"/>
      <c r="D3555" s="16" t="n"/>
      <c r="E3555" s="19" t="n"/>
      <c r="G3555" s="16" t="n"/>
      <c r="H3555" s="19" t="n"/>
    </row>
    <row r="3556">
      <c r="A3556" s="16" t="n"/>
      <c r="B3556" s="19" t="n"/>
      <c r="D3556" s="16" t="n"/>
      <c r="E3556" s="19" t="n"/>
      <c r="G3556" s="16" t="n"/>
      <c r="H3556" s="19" t="n"/>
    </row>
    <row r="3557">
      <c r="A3557" s="16" t="n"/>
      <c r="B3557" s="19" t="n"/>
      <c r="D3557" s="16" t="n"/>
      <c r="E3557" s="19" t="n"/>
      <c r="G3557" s="16" t="n"/>
      <c r="H3557" s="19" t="n"/>
    </row>
    <row r="3558">
      <c r="A3558" s="16" t="n"/>
      <c r="B3558" s="19" t="n"/>
      <c r="D3558" s="16" t="n"/>
      <c r="E3558" s="19" t="n"/>
      <c r="G3558" s="16" t="n"/>
      <c r="H3558" s="19" t="n"/>
    </row>
    <row r="3559">
      <c r="A3559" s="16" t="n"/>
      <c r="B3559" s="19" t="n"/>
      <c r="D3559" s="16" t="n"/>
      <c r="E3559" s="19" t="n"/>
      <c r="G3559" s="16" t="n"/>
      <c r="H3559" s="19" t="n"/>
    </row>
    <row r="3560">
      <c r="A3560" s="16" t="n"/>
      <c r="B3560" s="19" t="n"/>
      <c r="D3560" s="16" t="n"/>
      <c r="E3560" s="19" t="n"/>
      <c r="G3560" s="16" t="n"/>
      <c r="H3560" s="19" t="n"/>
    </row>
    <row r="3561">
      <c r="A3561" s="16" t="n"/>
      <c r="B3561" s="19" t="n"/>
      <c r="D3561" s="16" t="n"/>
      <c r="E3561" s="19" t="n"/>
      <c r="G3561" s="16" t="n"/>
      <c r="H3561" s="19" t="n"/>
    </row>
    <row r="3562">
      <c r="A3562" s="16" t="n"/>
      <c r="B3562" s="19" t="n"/>
      <c r="D3562" s="16" t="n"/>
      <c r="E3562" s="19" t="n"/>
      <c r="G3562" s="16" t="n"/>
      <c r="H3562" s="19" t="n"/>
    </row>
    <row r="3563">
      <c r="A3563" s="16" t="n"/>
      <c r="B3563" s="19" t="n"/>
      <c r="D3563" s="16" t="n"/>
      <c r="E3563" s="19" t="n"/>
      <c r="G3563" s="16" t="n"/>
      <c r="H3563" s="19" t="n"/>
    </row>
    <row r="3564">
      <c r="A3564" s="16" t="n"/>
      <c r="B3564" s="19" t="n"/>
      <c r="D3564" s="16" t="n"/>
      <c r="E3564" s="19" t="n"/>
      <c r="G3564" s="16" t="n"/>
      <c r="H3564" s="19" t="n"/>
    </row>
    <row r="3565">
      <c r="A3565" s="16" t="n"/>
      <c r="B3565" s="19" t="n"/>
      <c r="D3565" s="16" t="n"/>
      <c r="E3565" s="19" t="n"/>
      <c r="G3565" s="16" t="n"/>
      <c r="H3565" s="19" t="n"/>
    </row>
    <row r="3566">
      <c r="A3566" s="16" t="n"/>
      <c r="B3566" s="19" t="n"/>
      <c r="D3566" s="16" t="n"/>
      <c r="E3566" s="19" t="n"/>
      <c r="G3566" s="16" t="n"/>
      <c r="H3566" s="19" t="n"/>
    </row>
    <row r="3567">
      <c r="A3567" s="16" t="n"/>
      <c r="B3567" s="19" t="n"/>
      <c r="D3567" s="16" t="n"/>
      <c r="E3567" s="19" t="n"/>
      <c r="G3567" s="16" t="n"/>
      <c r="H3567" s="19" t="n"/>
    </row>
    <row r="3568">
      <c r="A3568" s="16" t="n"/>
      <c r="B3568" s="19" t="n"/>
      <c r="D3568" s="16" t="n"/>
      <c r="E3568" s="19" t="n"/>
      <c r="G3568" s="16" t="n"/>
      <c r="H3568" s="19" t="n"/>
    </row>
    <row r="3569">
      <c r="A3569" s="16" t="n"/>
      <c r="B3569" s="19" t="n"/>
      <c r="D3569" s="16" t="n"/>
      <c r="E3569" s="19" t="n"/>
      <c r="G3569" s="16" t="n"/>
      <c r="H3569" s="19" t="n"/>
    </row>
    <row r="3570">
      <c r="A3570" s="16" t="n"/>
      <c r="B3570" s="19" t="n"/>
      <c r="D3570" s="16" t="n"/>
      <c r="E3570" s="19" t="n"/>
      <c r="G3570" s="16" t="n"/>
      <c r="H3570" s="19" t="n"/>
    </row>
    <row r="3571">
      <c r="A3571" s="16" t="n"/>
      <c r="B3571" s="19" t="n"/>
      <c r="D3571" s="16" t="n"/>
      <c r="E3571" s="19" t="n"/>
      <c r="G3571" s="16" t="n"/>
      <c r="H3571" s="19" t="n"/>
    </row>
    <row r="3572">
      <c r="A3572" s="16" t="n"/>
      <c r="B3572" s="19" t="n"/>
      <c r="D3572" s="16" t="n"/>
      <c r="E3572" s="19" t="n"/>
      <c r="G3572" s="16" t="n"/>
      <c r="H3572" s="19" t="n"/>
    </row>
    <row r="3573">
      <c r="A3573" s="16" t="n"/>
      <c r="B3573" s="19" t="n"/>
      <c r="D3573" s="16" t="n"/>
      <c r="E3573" s="19" t="n"/>
      <c r="G3573" s="16" t="n"/>
      <c r="H3573" s="19" t="n"/>
    </row>
    <row r="3574">
      <c r="A3574" s="16" t="n"/>
      <c r="B3574" s="19" t="n"/>
      <c r="D3574" s="16" t="n"/>
      <c r="E3574" s="19" t="n"/>
      <c r="G3574" s="16" t="n"/>
      <c r="H3574" s="19" t="n"/>
    </row>
    <row r="3575">
      <c r="A3575" s="16" t="n"/>
      <c r="B3575" s="19" t="n"/>
      <c r="D3575" s="16" t="n"/>
      <c r="E3575" s="19" t="n"/>
      <c r="G3575" s="16" t="n"/>
      <c r="H3575" s="19" t="n"/>
    </row>
    <row r="3576">
      <c r="A3576" s="16" t="n"/>
      <c r="B3576" s="19" t="n"/>
      <c r="D3576" s="16" t="n"/>
      <c r="E3576" s="19" t="n"/>
      <c r="G3576" s="16" t="n"/>
      <c r="H3576" s="19" t="n"/>
    </row>
    <row r="3577">
      <c r="A3577" s="16" t="n"/>
      <c r="B3577" s="19" t="n"/>
      <c r="D3577" s="16" t="n"/>
      <c r="E3577" s="19" t="n"/>
      <c r="G3577" s="16" t="n"/>
      <c r="H3577" s="19" t="n"/>
    </row>
    <row r="3578">
      <c r="A3578" s="16" t="n"/>
      <c r="B3578" s="19" t="n"/>
      <c r="D3578" s="16" t="n"/>
      <c r="E3578" s="19" t="n"/>
      <c r="G3578" s="16" t="n"/>
      <c r="H3578" s="19" t="n"/>
    </row>
    <row r="3579">
      <c r="A3579" s="16" t="n"/>
      <c r="B3579" s="19" t="n"/>
      <c r="D3579" s="16" t="n"/>
      <c r="E3579" s="19" t="n"/>
      <c r="G3579" s="16" t="n"/>
      <c r="H3579" s="19" t="n"/>
    </row>
    <row r="3580">
      <c r="A3580" s="16" t="n"/>
      <c r="B3580" s="19" t="n"/>
      <c r="D3580" s="16" t="n"/>
      <c r="E3580" s="19" t="n"/>
      <c r="G3580" s="16" t="n"/>
      <c r="H3580" s="19" t="n"/>
    </row>
    <row r="3581">
      <c r="A3581" s="16" t="n"/>
      <c r="B3581" s="19" t="n"/>
      <c r="D3581" s="16" t="n"/>
      <c r="E3581" s="19" t="n"/>
      <c r="G3581" s="16" t="n"/>
      <c r="H3581" s="19" t="n"/>
    </row>
    <row r="3582">
      <c r="A3582" s="16" t="n"/>
      <c r="B3582" s="19" t="n"/>
      <c r="D3582" s="16" t="n"/>
      <c r="E3582" s="19" t="n"/>
      <c r="G3582" s="16" t="n"/>
      <c r="H3582" s="19" t="n"/>
    </row>
    <row r="3583">
      <c r="A3583" s="16" t="n"/>
      <c r="B3583" s="19" t="n"/>
      <c r="D3583" s="16" t="n"/>
      <c r="E3583" s="19" t="n"/>
      <c r="G3583" s="16" t="n"/>
      <c r="H3583" s="19" t="n"/>
    </row>
    <row r="3584">
      <c r="A3584" s="16" t="n"/>
      <c r="B3584" s="19" t="n"/>
      <c r="D3584" s="16" t="n"/>
      <c r="E3584" s="19" t="n"/>
      <c r="G3584" s="16" t="n"/>
      <c r="H3584" s="19" t="n"/>
    </row>
    <row r="3585">
      <c r="A3585" s="16" t="n"/>
      <c r="B3585" s="19" t="n"/>
      <c r="D3585" s="16" t="n"/>
      <c r="E3585" s="19" t="n"/>
      <c r="G3585" s="16" t="n"/>
      <c r="H3585" s="19" t="n"/>
    </row>
    <row r="3586">
      <c r="A3586" s="16" t="n"/>
      <c r="B3586" s="19" t="n"/>
      <c r="D3586" s="16" t="n"/>
      <c r="E3586" s="19" t="n"/>
      <c r="G3586" s="16" t="n"/>
      <c r="H3586" s="19" t="n"/>
    </row>
    <row r="3587">
      <c r="A3587" s="16" t="n"/>
      <c r="B3587" s="19" t="n"/>
      <c r="D3587" s="16" t="n"/>
      <c r="E3587" s="19" t="n"/>
      <c r="G3587" s="16" t="n"/>
      <c r="H3587" s="19" t="n"/>
    </row>
    <row r="3588">
      <c r="A3588" s="16" t="n"/>
      <c r="B3588" s="19" t="n"/>
      <c r="D3588" s="16" t="n"/>
      <c r="E3588" s="19" t="n"/>
      <c r="G3588" s="16" t="n"/>
      <c r="H3588" s="19" t="n"/>
    </row>
    <row r="3589">
      <c r="A3589" s="16" t="n"/>
      <c r="B3589" s="19" t="n"/>
      <c r="D3589" s="16" t="n"/>
      <c r="E3589" s="19" t="n"/>
      <c r="G3589" s="16" t="n"/>
      <c r="H3589" s="19" t="n"/>
    </row>
    <row r="3590">
      <c r="A3590" s="16" t="n"/>
      <c r="B3590" s="19" t="n"/>
      <c r="D3590" s="16" t="n"/>
      <c r="E3590" s="19" t="n"/>
      <c r="G3590" s="16" t="n"/>
      <c r="H3590" s="19" t="n"/>
    </row>
    <row r="3591">
      <c r="A3591" s="16" t="n"/>
      <c r="B3591" s="19" t="n"/>
      <c r="D3591" s="16" t="n"/>
      <c r="E3591" s="19" t="n"/>
      <c r="G3591" s="16" t="n"/>
      <c r="H3591" s="19" t="n"/>
    </row>
    <row r="3592">
      <c r="A3592" s="16" t="n"/>
      <c r="B3592" s="19" t="n"/>
      <c r="D3592" s="16" t="n"/>
      <c r="E3592" s="19" t="n"/>
      <c r="G3592" s="16" t="n"/>
      <c r="H3592" s="19" t="n"/>
    </row>
    <row r="3593">
      <c r="A3593" s="16" t="n"/>
      <c r="B3593" s="19" t="n"/>
      <c r="D3593" s="16" t="n"/>
      <c r="E3593" s="19" t="n"/>
      <c r="G3593" s="16" t="n"/>
      <c r="H3593" s="19" t="n"/>
    </row>
    <row r="3594">
      <c r="A3594" s="16" t="n"/>
      <c r="B3594" s="19" t="n"/>
      <c r="D3594" s="16" t="n"/>
      <c r="E3594" s="19" t="n"/>
      <c r="G3594" s="16" t="n"/>
      <c r="H3594" s="19" t="n"/>
    </row>
    <row r="3595">
      <c r="A3595" s="16" t="n"/>
      <c r="B3595" s="19" t="n"/>
      <c r="D3595" s="16" t="n"/>
      <c r="E3595" s="19" t="n"/>
      <c r="G3595" s="16" t="n"/>
      <c r="H3595" s="19" t="n"/>
    </row>
    <row r="3596">
      <c r="A3596" s="16" t="n"/>
      <c r="B3596" s="19" t="n"/>
      <c r="D3596" s="16" t="n"/>
      <c r="E3596" s="19" t="n"/>
      <c r="G3596" s="16" t="n"/>
      <c r="H3596" s="19" t="n"/>
    </row>
    <row r="3597">
      <c r="A3597" s="16" t="n"/>
      <c r="B3597" s="19" t="n"/>
      <c r="D3597" s="16" t="n"/>
      <c r="E3597" s="19" t="n"/>
      <c r="G3597" s="16" t="n"/>
      <c r="H3597" s="19" t="n"/>
    </row>
    <row r="3598">
      <c r="A3598" s="16" t="n"/>
      <c r="B3598" s="19" t="n"/>
      <c r="D3598" s="16" t="n"/>
      <c r="E3598" s="19" t="n"/>
      <c r="G3598" s="16" t="n"/>
      <c r="H3598" s="19" t="n"/>
    </row>
    <row r="3599">
      <c r="A3599" s="16" t="n"/>
      <c r="B3599" s="19" t="n"/>
      <c r="D3599" s="16" t="n"/>
      <c r="E3599" s="19" t="n"/>
      <c r="G3599" s="16" t="n"/>
      <c r="H3599" s="19" t="n"/>
    </row>
    <row r="3600">
      <c r="A3600" s="16" t="n"/>
      <c r="B3600" s="19" t="n"/>
      <c r="D3600" s="16" t="n"/>
      <c r="E3600" s="19" t="n"/>
      <c r="G3600" s="16" t="n"/>
      <c r="H3600" s="19" t="n"/>
    </row>
    <row r="3601">
      <c r="A3601" s="16" t="n"/>
      <c r="B3601" s="19" t="n"/>
      <c r="D3601" s="16" t="n"/>
      <c r="E3601" s="19" t="n"/>
      <c r="G3601" s="16" t="n"/>
      <c r="H3601" s="19" t="n"/>
    </row>
    <row r="3602">
      <c r="A3602" s="16" t="n"/>
      <c r="B3602" s="19" t="n"/>
      <c r="D3602" s="16" t="n"/>
      <c r="E3602" s="19" t="n"/>
      <c r="G3602" s="16" t="n"/>
      <c r="H3602" s="19" t="n"/>
    </row>
    <row r="3603">
      <c r="A3603" s="16" t="n"/>
      <c r="B3603" s="19" t="n"/>
      <c r="D3603" s="16" t="n"/>
      <c r="E3603" s="19" t="n"/>
      <c r="G3603" s="16" t="n"/>
      <c r="H3603" s="19" t="n"/>
    </row>
    <row r="3604">
      <c r="A3604" s="16" t="n"/>
      <c r="B3604" s="19" t="n"/>
      <c r="D3604" s="16" t="n"/>
      <c r="E3604" s="19" t="n"/>
      <c r="G3604" s="16" t="n"/>
      <c r="H3604" s="19" t="n"/>
    </row>
    <row r="3605">
      <c r="A3605" s="16" t="n"/>
      <c r="B3605" s="19" t="n"/>
      <c r="D3605" s="16" t="n"/>
      <c r="E3605" s="19" t="n"/>
      <c r="G3605" s="16" t="n"/>
      <c r="H3605" s="19" t="n"/>
    </row>
    <row r="3606">
      <c r="A3606" s="16" t="n"/>
      <c r="B3606" s="19" t="n"/>
      <c r="D3606" s="16" t="n"/>
      <c r="E3606" s="19" t="n"/>
      <c r="G3606" s="16" t="n"/>
      <c r="H3606" s="19" t="n"/>
    </row>
    <row r="3607">
      <c r="A3607" s="16" t="n"/>
      <c r="B3607" s="19" t="n"/>
      <c r="D3607" s="16" t="n"/>
      <c r="E3607" s="19" t="n"/>
      <c r="G3607" s="16" t="n"/>
      <c r="H3607" s="19" t="n"/>
    </row>
    <row r="3608">
      <c r="A3608" s="16" t="n"/>
      <c r="B3608" s="19" t="n"/>
      <c r="D3608" s="16" t="n"/>
      <c r="E3608" s="19" t="n"/>
      <c r="G3608" s="16" t="n"/>
      <c r="H3608" s="19" t="n"/>
    </row>
    <row r="3609">
      <c r="A3609" s="16" t="n"/>
      <c r="B3609" s="19" t="n"/>
      <c r="D3609" s="16" t="n"/>
      <c r="E3609" s="19" t="n"/>
      <c r="G3609" s="16" t="n"/>
      <c r="H3609" s="19" t="n"/>
    </row>
    <row r="3610">
      <c r="A3610" s="16" t="n"/>
      <c r="B3610" s="19" t="n"/>
      <c r="D3610" s="16" t="n"/>
      <c r="E3610" s="19" t="n"/>
      <c r="G3610" s="16" t="n"/>
      <c r="H3610" s="19" t="n"/>
    </row>
    <row r="3611">
      <c r="A3611" s="16" t="n"/>
      <c r="B3611" s="19" t="n"/>
      <c r="D3611" s="16" t="n"/>
      <c r="E3611" s="19" t="n"/>
      <c r="G3611" s="16" t="n"/>
      <c r="H3611" s="19" t="n"/>
    </row>
    <row r="3612">
      <c r="A3612" s="16" t="n"/>
      <c r="B3612" s="19" t="n"/>
      <c r="D3612" s="16" t="n"/>
      <c r="E3612" s="19" t="n"/>
      <c r="G3612" s="16" t="n"/>
      <c r="H3612" s="19" t="n"/>
    </row>
    <row r="3613">
      <c r="A3613" s="16" t="n"/>
      <c r="B3613" s="19" t="n"/>
      <c r="D3613" s="16" t="n"/>
      <c r="E3613" s="19" t="n"/>
      <c r="G3613" s="16" t="n"/>
      <c r="H3613" s="19" t="n"/>
    </row>
    <row r="3614">
      <c r="A3614" s="16" t="n"/>
      <c r="B3614" s="19" t="n"/>
      <c r="D3614" s="16" t="n"/>
      <c r="E3614" s="19" t="n"/>
      <c r="G3614" s="16" t="n"/>
      <c r="H3614" s="19" t="n"/>
    </row>
    <row r="3615">
      <c r="A3615" s="16" t="n"/>
      <c r="B3615" s="19" t="n"/>
      <c r="D3615" s="16" t="n"/>
      <c r="E3615" s="19" t="n"/>
      <c r="G3615" s="16" t="n"/>
      <c r="H3615" s="19" t="n"/>
    </row>
    <row r="3616">
      <c r="A3616" s="16" t="n"/>
      <c r="B3616" s="19" t="n"/>
      <c r="D3616" s="16" t="n"/>
      <c r="E3616" s="19" t="n"/>
      <c r="G3616" s="16" t="n"/>
      <c r="H3616" s="19" t="n"/>
    </row>
    <row r="3617">
      <c r="A3617" s="16" t="n"/>
      <c r="B3617" s="19" t="n"/>
      <c r="D3617" s="16" t="n"/>
      <c r="E3617" s="19" t="n"/>
      <c r="G3617" s="16" t="n"/>
      <c r="H3617" s="19" t="n"/>
    </row>
    <row r="3618">
      <c r="A3618" s="16" t="n"/>
      <c r="B3618" s="19" t="n"/>
      <c r="D3618" s="16" t="n"/>
      <c r="E3618" s="19" t="n"/>
      <c r="G3618" s="16" t="n"/>
      <c r="H3618" s="19" t="n"/>
    </row>
    <row r="3619">
      <c r="A3619" s="16" t="n"/>
      <c r="B3619" s="19" t="n"/>
      <c r="D3619" s="16" t="n"/>
      <c r="E3619" s="19" t="n"/>
      <c r="G3619" s="16" t="n"/>
      <c r="H3619" s="19" t="n"/>
    </row>
    <row r="3620">
      <c r="A3620" s="16" t="n"/>
      <c r="B3620" s="19" t="n"/>
      <c r="D3620" s="16" t="n"/>
      <c r="E3620" s="19" t="n"/>
      <c r="G3620" s="16" t="n"/>
      <c r="H3620" s="19" t="n"/>
    </row>
    <row r="3621">
      <c r="A3621" s="16" t="n"/>
      <c r="B3621" s="19" t="n"/>
      <c r="D3621" s="16" t="n"/>
      <c r="E3621" s="19" t="n"/>
      <c r="G3621" s="16" t="n"/>
      <c r="H3621" s="19" t="n"/>
    </row>
    <row r="3622">
      <c r="A3622" s="16" t="n"/>
      <c r="B3622" s="19" t="n"/>
      <c r="D3622" s="16" t="n"/>
      <c r="E3622" s="19" t="n"/>
      <c r="G3622" s="16" t="n"/>
      <c r="H3622" s="19" t="n"/>
    </row>
    <row r="3623">
      <c r="A3623" s="16" t="n"/>
      <c r="B3623" s="19" t="n"/>
      <c r="D3623" s="16" t="n"/>
      <c r="E3623" s="19" t="n"/>
      <c r="G3623" s="16" t="n"/>
      <c r="H3623" s="19" t="n"/>
    </row>
    <row r="3624">
      <c r="A3624" s="16" t="n"/>
      <c r="B3624" s="19" t="n"/>
      <c r="D3624" s="16" t="n"/>
      <c r="E3624" s="19" t="n"/>
      <c r="G3624" s="16" t="n"/>
      <c r="H3624" s="19" t="n"/>
    </row>
    <row r="3625">
      <c r="A3625" s="16" t="n"/>
      <c r="B3625" s="19" t="n"/>
      <c r="D3625" s="16" t="n"/>
      <c r="E3625" s="19" t="n"/>
      <c r="G3625" s="16" t="n"/>
      <c r="H3625" s="19" t="n"/>
    </row>
    <row r="3626">
      <c r="A3626" s="16" t="n"/>
      <c r="B3626" s="19" t="n"/>
      <c r="D3626" s="16" t="n"/>
      <c r="E3626" s="19" t="n"/>
      <c r="G3626" s="16" t="n"/>
      <c r="H3626" s="19" t="n"/>
    </row>
    <row r="3627">
      <c r="A3627" s="16" t="n"/>
      <c r="B3627" s="19" t="n"/>
      <c r="D3627" s="16" t="n"/>
      <c r="E3627" s="19" t="n"/>
      <c r="G3627" s="16" t="n"/>
      <c r="H3627" s="19" t="n"/>
    </row>
    <row r="3628">
      <c r="A3628" s="16" t="n"/>
      <c r="B3628" s="19" t="n"/>
      <c r="D3628" s="16" t="n"/>
      <c r="E3628" s="19" t="n"/>
      <c r="G3628" s="16" t="n"/>
      <c r="H3628" s="19" t="n"/>
    </row>
    <row r="3629">
      <c r="A3629" s="16" t="n"/>
      <c r="B3629" s="19" t="n"/>
      <c r="D3629" s="16" t="n"/>
      <c r="E3629" s="19" t="n"/>
      <c r="G3629" s="16" t="n"/>
      <c r="H3629" s="19" t="n"/>
    </row>
    <row r="3630">
      <c r="A3630" s="16" t="n"/>
      <c r="B3630" s="19" t="n"/>
      <c r="D3630" s="16" t="n"/>
      <c r="E3630" s="19" t="n"/>
      <c r="G3630" s="16" t="n"/>
      <c r="H3630" s="19" t="n"/>
    </row>
    <row r="3631">
      <c r="A3631" s="16" t="n"/>
      <c r="B3631" s="19" t="n"/>
      <c r="D3631" s="16" t="n"/>
      <c r="E3631" s="19" t="n"/>
      <c r="G3631" s="16" t="n"/>
      <c r="H3631" s="19" t="n"/>
    </row>
    <row r="3632">
      <c r="A3632" s="16" t="n"/>
      <c r="B3632" s="19" t="n"/>
      <c r="D3632" s="16" t="n"/>
      <c r="E3632" s="19" t="n"/>
      <c r="G3632" s="16" t="n"/>
      <c r="H3632" s="19" t="n"/>
    </row>
    <row r="3633">
      <c r="A3633" s="16" t="n"/>
      <c r="B3633" s="19" t="n"/>
      <c r="D3633" s="16" t="n"/>
      <c r="E3633" s="19" t="n"/>
      <c r="G3633" s="16" t="n"/>
      <c r="H3633" s="19" t="n"/>
    </row>
    <row r="3634">
      <c r="A3634" s="16" t="n"/>
      <c r="B3634" s="19" t="n"/>
      <c r="D3634" s="16" t="n"/>
      <c r="E3634" s="19" t="n"/>
      <c r="G3634" s="16" t="n"/>
      <c r="H3634" s="19" t="n"/>
    </row>
    <row r="3635">
      <c r="A3635" s="16" t="n"/>
      <c r="B3635" s="19" t="n"/>
      <c r="D3635" s="16" t="n"/>
      <c r="E3635" s="19" t="n"/>
      <c r="G3635" s="16" t="n"/>
      <c r="H3635" s="19" t="n"/>
    </row>
    <row r="3636">
      <c r="A3636" s="16" t="n"/>
      <c r="B3636" s="19" t="n"/>
      <c r="D3636" s="16" t="n"/>
      <c r="E3636" s="19" t="n"/>
      <c r="G3636" s="16" t="n"/>
      <c r="H3636" s="19" t="n"/>
    </row>
    <row r="3637">
      <c r="A3637" s="16" t="n"/>
      <c r="B3637" s="19" t="n"/>
      <c r="D3637" s="16" t="n"/>
      <c r="E3637" s="19" t="n"/>
      <c r="G3637" s="16" t="n"/>
      <c r="H3637" s="19" t="n"/>
    </row>
    <row r="3638">
      <c r="A3638" s="16" t="n"/>
      <c r="B3638" s="19" t="n"/>
      <c r="D3638" s="16" t="n"/>
      <c r="E3638" s="19" t="n"/>
      <c r="G3638" s="16" t="n"/>
      <c r="H3638" s="19" t="n"/>
    </row>
    <row r="3639">
      <c r="A3639" s="16" t="n"/>
      <c r="B3639" s="19" t="n"/>
      <c r="D3639" s="16" t="n"/>
      <c r="E3639" s="19" t="n"/>
      <c r="G3639" s="16" t="n"/>
      <c r="H3639" s="19" t="n"/>
    </row>
    <row r="3640">
      <c r="A3640" s="16" t="n"/>
      <c r="B3640" s="19" t="n"/>
      <c r="D3640" s="16" t="n"/>
      <c r="E3640" s="19" t="n"/>
      <c r="G3640" s="16" t="n"/>
      <c r="H3640" s="19" t="n"/>
    </row>
    <row r="3641">
      <c r="A3641" s="16" t="n"/>
      <c r="B3641" s="19" t="n"/>
      <c r="D3641" s="16" t="n"/>
      <c r="E3641" s="19" t="n"/>
      <c r="G3641" s="16" t="n"/>
      <c r="H3641" s="19" t="n"/>
    </row>
    <row r="3642">
      <c r="A3642" s="16" t="n"/>
      <c r="B3642" s="19" t="n"/>
      <c r="D3642" s="16" t="n"/>
      <c r="E3642" s="19" t="n"/>
      <c r="G3642" s="16" t="n"/>
      <c r="H3642" s="19" t="n"/>
    </row>
    <row r="3643">
      <c r="A3643" s="16" t="n"/>
      <c r="B3643" s="19" t="n"/>
      <c r="D3643" s="16" t="n"/>
      <c r="E3643" s="19" t="n"/>
      <c r="G3643" s="16" t="n"/>
      <c r="H3643" s="19" t="n"/>
    </row>
    <row r="3644">
      <c r="A3644" s="16" t="n"/>
      <c r="B3644" s="19" t="n"/>
      <c r="D3644" s="16" t="n"/>
      <c r="E3644" s="19" t="n"/>
      <c r="G3644" s="16" t="n"/>
      <c r="H3644" s="19" t="n"/>
    </row>
    <row r="3645">
      <c r="A3645" s="16" t="n"/>
      <c r="B3645" s="19" t="n"/>
      <c r="D3645" s="16" t="n"/>
      <c r="E3645" s="19" t="n"/>
      <c r="G3645" s="16" t="n"/>
      <c r="H3645" s="19" t="n"/>
    </row>
    <row r="3646">
      <c r="A3646" s="16" t="n"/>
      <c r="B3646" s="19" t="n"/>
      <c r="D3646" s="16" t="n"/>
      <c r="E3646" s="19" t="n"/>
      <c r="G3646" s="16" t="n"/>
      <c r="H3646" s="19" t="n"/>
    </row>
    <row r="3647">
      <c r="A3647" s="16" t="n"/>
      <c r="B3647" s="19" t="n"/>
      <c r="D3647" s="16" t="n"/>
      <c r="E3647" s="19" t="n"/>
      <c r="G3647" s="16" t="n"/>
      <c r="H3647" s="19" t="n"/>
    </row>
    <row r="3648">
      <c r="A3648" s="16" t="n"/>
      <c r="B3648" s="19" t="n"/>
      <c r="D3648" s="16" t="n"/>
      <c r="E3648" s="19" t="n"/>
      <c r="G3648" s="16" t="n"/>
      <c r="H3648" s="19" t="n"/>
    </row>
    <row r="3649">
      <c r="A3649" s="16" t="n"/>
      <c r="B3649" s="19" t="n"/>
      <c r="D3649" s="16" t="n"/>
      <c r="E3649" s="19" t="n"/>
      <c r="G3649" s="16" t="n"/>
      <c r="H3649" s="19" t="n"/>
    </row>
    <row r="3650">
      <c r="A3650" s="16" t="n"/>
      <c r="B3650" s="19" t="n"/>
      <c r="D3650" s="16" t="n"/>
      <c r="E3650" s="19" t="n"/>
      <c r="G3650" s="16" t="n"/>
      <c r="H3650" s="19" t="n"/>
    </row>
    <row r="3651">
      <c r="A3651" s="16" t="n"/>
      <c r="B3651" s="19" t="n"/>
      <c r="D3651" s="16" t="n"/>
      <c r="E3651" s="19" t="n"/>
      <c r="G3651" s="16" t="n"/>
      <c r="H3651" s="19" t="n"/>
    </row>
    <row r="3652">
      <c r="A3652" s="16" t="n"/>
      <c r="B3652" s="19" t="n"/>
      <c r="D3652" s="16" t="n"/>
      <c r="E3652" s="19" t="n"/>
      <c r="G3652" s="16" t="n"/>
      <c r="H3652" s="19" t="n"/>
    </row>
    <row r="3653">
      <c r="A3653" s="16" t="n"/>
      <c r="B3653" s="19" t="n"/>
      <c r="D3653" s="16" t="n"/>
      <c r="E3653" s="19" t="n"/>
      <c r="G3653" s="16" t="n"/>
      <c r="H3653" s="19" t="n"/>
    </row>
    <row r="3654">
      <c r="A3654" s="16" t="n"/>
      <c r="B3654" s="19" t="n"/>
      <c r="D3654" s="16" t="n"/>
      <c r="E3654" s="19" t="n"/>
      <c r="G3654" s="16" t="n"/>
      <c r="H3654" s="19" t="n"/>
    </row>
    <row r="3655">
      <c r="A3655" s="16" t="n"/>
      <c r="B3655" s="19" t="n"/>
      <c r="D3655" s="16" t="n"/>
      <c r="E3655" s="19" t="n"/>
      <c r="G3655" s="16" t="n"/>
      <c r="H3655" s="19" t="n"/>
    </row>
    <row r="3656">
      <c r="A3656" s="16" t="n"/>
      <c r="B3656" s="19" t="n"/>
      <c r="D3656" s="16" t="n"/>
      <c r="E3656" s="19" t="n"/>
      <c r="G3656" s="16" t="n"/>
      <c r="H3656" s="19" t="n"/>
    </row>
    <row r="3657">
      <c r="A3657" s="16" t="n"/>
      <c r="B3657" s="19" t="n"/>
      <c r="D3657" s="16" t="n"/>
      <c r="E3657" s="19" t="n"/>
      <c r="G3657" s="16" t="n"/>
      <c r="H3657" s="19" t="n"/>
    </row>
    <row r="3658">
      <c r="A3658" s="16" t="n"/>
      <c r="B3658" s="19" t="n"/>
      <c r="D3658" s="16" t="n"/>
      <c r="E3658" s="19" t="n"/>
      <c r="G3658" s="16" t="n"/>
      <c r="H3658" s="19" t="n"/>
    </row>
    <row r="3659">
      <c r="A3659" s="16" t="n"/>
      <c r="B3659" s="19" t="n"/>
      <c r="D3659" s="16" t="n"/>
      <c r="E3659" s="19" t="n"/>
      <c r="G3659" s="16" t="n"/>
      <c r="H3659" s="19" t="n"/>
    </row>
    <row r="3660">
      <c r="A3660" s="16" t="n"/>
      <c r="B3660" s="19" t="n"/>
      <c r="D3660" s="16" t="n"/>
      <c r="E3660" s="19" t="n"/>
      <c r="G3660" s="16" t="n"/>
      <c r="H3660" s="19" t="n"/>
    </row>
    <row r="3661">
      <c r="A3661" s="16" t="n"/>
      <c r="B3661" s="19" t="n"/>
      <c r="D3661" s="16" t="n"/>
      <c r="E3661" s="19" t="n"/>
      <c r="G3661" s="16" t="n"/>
      <c r="H3661" s="19" t="n"/>
    </row>
    <row r="3662">
      <c r="A3662" s="16" t="n"/>
      <c r="B3662" s="19" t="n"/>
      <c r="D3662" s="16" t="n"/>
      <c r="E3662" s="19" t="n"/>
      <c r="G3662" s="16" t="n"/>
      <c r="H3662" s="19" t="n"/>
    </row>
    <row r="3663">
      <c r="A3663" s="16" t="n"/>
      <c r="B3663" s="19" t="n"/>
      <c r="D3663" s="16" t="n"/>
      <c r="E3663" s="19" t="n"/>
      <c r="G3663" s="16" t="n"/>
      <c r="H3663" s="19" t="n"/>
    </row>
    <row r="3664">
      <c r="A3664" s="16" t="n"/>
      <c r="B3664" s="19" t="n"/>
      <c r="D3664" s="16" t="n"/>
      <c r="E3664" s="19" t="n"/>
      <c r="G3664" s="16" t="n"/>
      <c r="H3664" s="19" t="n"/>
    </row>
    <row r="3665">
      <c r="A3665" s="16" t="n"/>
      <c r="B3665" s="19" t="n"/>
      <c r="D3665" s="16" t="n"/>
      <c r="E3665" s="19" t="n"/>
      <c r="G3665" s="16" t="n"/>
      <c r="H3665" s="19" t="n"/>
    </row>
    <row r="3666">
      <c r="A3666" s="16" t="n"/>
      <c r="B3666" s="19" t="n"/>
      <c r="D3666" s="16" t="n"/>
      <c r="E3666" s="19" t="n"/>
      <c r="G3666" s="16" t="n"/>
      <c r="H3666" s="19" t="n"/>
    </row>
    <row r="3667">
      <c r="A3667" s="16" t="n"/>
      <c r="B3667" s="19" t="n"/>
      <c r="D3667" s="16" t="n"/>
      <c r="E3667" s="19" t="n"/>
      <c r="G3667" s="16" t="n"/>
      <c r="H3667" s="19" t="n"/>
    </row>
    <row r="3668">
      <c r="A3668" s="16" t="n"/>
      <c r="B3668" s="19" t="n"/>
      <c r="D3668" s="16" t="n"/>
      <c r="E3668" s="19" t="n"/>
      <c r="G3668" s="16" t="n"/>
      <c r="H3668" s="19" t="n"/>
    </row>
    <row r="3669">
      <c r="A3669" s="16" t="n"/>
      <c r="B3669" s="19" t="n"/>
      <c r="D3669" s="16" t="n"/>
      <c r="E3669" s="19" t="n"/>
      <c r="G3669" s="16" t="n"/>
      <c r="H3669" s="19" t="n"/>
    </row>
    <row r="3670">
      <c r="A3670" s="16" t="n"/>
      <c r="B3670" s="19" t="n"/>
      <c r="D3670" s="16" t="n"/>
      <c r="E3670" s="19" t="n"/>
      <c r="G3670" s="16" t="n"/>
      <c r="H3670" s="19" t="n"/>
    </row>
    <row r="3671">
      <c r="A3671" s="16" t="n"/>
      <c r="B3671" s="19" t="n"/>
      <c r="D3671" s="16" t="n"/>
      <c r="E3671" s="19" t="n"/>
      <c r="G3671" s="16" t="n"/>
      <c r="H3671" s="19" t="n"/>
    </row>
    <row r="3672">
      <c r="A3672" s="16" t="n"/>
      <c r="B3672" s="19" t="n"/>
      <c r="D3672" s="16" t="n"/>
      <c r="E3672" s="19" t="n"/>
      <c r="G3672" s="16" t="n"/>
      <c r="H3672" s="19" t="n"/>
    </row>
    <row r="3673">
      <c r="A3673" s="16" t="n"/>
      <c r="B3673" s="19" t="n"/>
      <c r="D3673" s="16" t="n"/>
      <c r="E3673" s="19" t="n"/>
      <c r="G3673" s="16" t="n"/>
      <c r="H3673" s="19" t="n"/>
    </row>
    <row r="3674">
      <c r="A3674" s="16" t="n"/>
      <c r="B3674" s="19" t="n"/>
      <c r="D3674" s="16" t="n"/>
      <c r="E3674" s="19" t="n"/>
      <c r="G3674" s="16" t="n"/>
      <c r="H3674" s="19" t="n"/>
    </row>
    <row r="3675">
      <c r="A3675" s="16" t="n"/>
      <c r="B3675" s="19" t="n"/>
      <c r="D3675" s="16" t="n"/>
      <c r="E3675" s="19" t="n"/>
      <c r="G3675" s="16" t="n"/>
      <c r="H3675" s="19" t="n"/>
    </row>
    <row r="3676">
      <c r="A3676" s="16" t="n"/>
      <c r="B3676" s="19" t="n"/>
      <c r="D3676" s="16" t="n"/>
      <c r="E3676" s="19" t="n"/>
      <c r="G3676" s="16" t="n"/>
      <c r="H3676" s="19" t="n"/>
    </row>
    <row r="3677">
      <c r="A3677" s="16" t="n"/>
      <c r="B3677" s="19" t="n"/>
      <c r="D3677" s="16" t="n"/>
      <c r="E3677" s="19" t="n"/>
      <c r="G3677" s="16" t="n"/>
      <c r="H3677" s="19" t="n"/>
    </row>
    <row r="3678">
      <c r="A3678" s="16" t="n"/>
      <c r="B3678" s="19" t="n"/>
      <c r="D3678" s="16" t="n"/>
      <c r="E3678" s="19" t="n"/>
      <c r="G3678" s="16" t="n"/>
      <c r="H3678" s="19" t="n"/>
    </row>
    <row r="3679">
      <c r="A3679" s="16" t="n"/>
      <c r="B3679" s="19" t="n"/>
      <c r="D3679" s="16" t="n"/>
      <c r="E3679" s="19" t="n"/>
      <c r="G3679" s="16" t="n"/>
      <c r="H3679" s="19" t="n"/>
    </row>
    <row r="3680">
      <c r="A3680" s="16" t="n"/>
      <c r="B3680" s="19" t="n"/>
      <c r="D3680" s="16" t="n"/>
      <c r="E3680" s="19" t="n"/>
      <c r="G3680" s="16" t="n"/>
      <c r="H3680" s="19" t="n"/>
    </row>
    <row r="3681">
      <c r="A3681" s="16" t="n"/>
      <c r="B3681" s="19" t="n"/>
      <c r="D3681" s="16" t="n"/>
      <c r="E3681" s="19" t="n"/>
      <c r="G3681" s="16" t="n"/>
      <c r="H3681" s="19" t="n"/>
    </row>
    <row r="3682">
      <c r="A3682" s="16" t="n"/>
      <c r="B3682" s="19" t="n"/>
      <c r="D3682" s="16" t="n"/>
      <c r="E3682" s="19" t="n"/>
      <c r="G3682" s="16" t="n"/>
      <c r="H3682" s="19" t="n"/>
    </row>
    <row r="3683">
      <c r="A3683" s="16" t="n"/>
      <c r="B3683" s="19" t="n"/>
      <c r="D3683" s="16" t="n"/>
      <c r="E3683" s="19" t="n"/>
      <c r="G3683" s="16" t="n"/>
      <c r="H3683" s="19" t="n"/>
    </row>
    <row r="3684">
      <c r="A3684" s="16" t="n"/>
      <c r="B3684" s="19" t="n"/>
      <c r="D3684" s="16" t="n"/>
      <c r="E3684" s="19" t="n"/>
      <c r="G3684" s="16" t="n"/>
      <c r="H3684" s="19" t="n"/>
    </row>
    <row r="3685">
      <c r="A3685" s="16" t="n"/>
      <c r="B3685" s="19" t="n"/>
      <c r="D3685" s="16" t="n"/>
      <c r="E3685" s="19" t="n"/>
      <c r="G3685" s="16" t="n"/>
      <c r="H3685" s="19" t="n"/>
    </row>
    <row r="3686">
      <c r="A3686" s="16" t="n"/>
      <c r="B3686" s="19" t="n"/>
      <c r="D3686" s="16" t="n"/>
      <c r="E3686" s="19" t="n"/>
      <c r="G3686" s="16" t="n"/>
      <c r="H3686" s="19" t="n"/>
    </row>
    <row r="3687">
      <c r="A3687" s="16" t="n"/>
      <c r="B3687" s="19" t="n"/>
      <c r="D3687" s="16" t="n"/>
      <c r="E3687" s="19" t="n"/>
      <c r="G3687" s="16" t="n"/>
      <c r="H3687" s="19" t="n"/>
    </row>
    <row r="3688">
      <c r="A3688" s="16" t="n"/>
      <c r="B3688" s="19" t="n"/>
      <c r="D3688" s="16" t="n"/>
      <c r="E3688" s="19" t="n"/>
      <c r="G3688" s="16" t="n"/>
      <c r="H3688" s="19" t="n"/>
    </row>
    <row r="3689">
      <c r="A3689" s="16" t="n"/>
      <c r="B3689" s="19" t="n"/>
      <c r="D3689" s="16" t="n"/>
      <c r="E3689" s="19" t="n"/>
      <c r="G3689" s="16" t="n"/>
      <c r="H3689" s="19" t="n"/>
    </row>
    <row r="3690">
      <c r="A3690" s="16" t="n"/>
      <c r="B3690" s="19" t="n"/>
      <c r="D3690" s="16" t="n"/>
      <c r="E3690" s="19" t="n"/>
      <c r="G3690" s="16" t="n"/>
      <c r="H3690" s="19" t="n"/>
    </row>
    <row r="3691">
      <c r="A3691" s="16" t="n"/>
      <c r="B3691" s="19" t="n"/>
      <c r="D3691" s="16" t="n"/>
      <c r="E3691" s="19" t="n"/>
      <c r="G3691" s="16" t="n"/>
      <c r="H3691" s="19" t="n"/>
    </row>
    <row r="3692">
      <c r="A3692" s="16" t="n"/>
      <c r="B3692" s="19" t="n"/>
      <c r="D3692" s="16" t="n"/>
      <c r="E3692" s="19" t="n"/>
      <c r="G3692" s="16" t="n"/>
      <c r="H3692" s="19" t="n"/>
    </row>
    <row r="3693">
      <c r="A3693" s="16" t="n"/>
      <c r="B3693" s="19" t="n"/>
      <c r="D3693" s="16" t="n"/>
      <c r="E3693" s="19" t="n"/>
      <c r="G3693" s="16" t="n"/>
      <c r="H3693" s="19" t="n"/>
    </row>
    <row r="3694">
      <c r="A3694" s="16" t="n"/>
      <c r="B3694" s="19" t="n"/>
      <c r="D3694" s="16" t="n"/>
      <c r="E3694" s="19" t="n"/>
      <c r="G3694" s="16" t="n"/>
      <c r="H3694" s="19" t="n"/>
    </row>
    <row r="3695">
      <c r="A3695" s="16" t="n"/>
      <c r="B3695" s="19" t="n"/>
      <c r="D3695" s="16" t="n"/>
      <c r="E3695" s="19" t="n"/>
      <c r="G3695" s="16" t="n"/>
      <c r="H3695" s="19" t="n"/>
    </row>
    <row r="3696">
      <c r="A3696" s="16" t="n"/>
      <c r="B3696" s="19" t="n"/>
      <c r="D3696" s="16" t="n"/>
      <c r="E3696" s="19" t="n"/>
      <c r="G3696" s="16" t="n"/>
      <c r="H3696" s="19" t="n"/>
    </row>
    <row r="3697">
      <c r="A3697" s="16" t="n"/>
      <c r="B3697" s="19" t="n"/>
      <c r="D3697" s="16" t="n"/>
      <c r="E3697" s="19" t="n"/>
      <c r="G3697" s="16" t="n"/>
      <c r="H3697" s="19" t="n"/>
    </row>
    <row r="3698">
      <c r="A3698" s="16" t="n"/>
      <c r="B3698" s="19" t="n"/>
      <c r="D3698" s="16" t="n"/>
      <c r="E3698" s="19" t="n"/>
      <c r="G3698" s="16" t="n"/>
      <c r="H3698" s="19" t="n"/>
    </row>
    <row r="3699">
      <c r="A3699" s="16" t="n"/>
      <c r="B3699" s="19" t="n"/>
      <c r="D3699" s="16" t="n"/>
      <c r="E3699" s="19" t="n"/>
      <c r="G3699" s="16" t="n"/>
      <c r="H3699" s="19" t="n"/>
    </row>
    <row r="3700">
      <c r="A3700" s="16" t="n"/>
      <c r="B3700" s="19" t="n"/>
      <c r="D3700" s="16" t="n"/>
      <c r="E3700" s="19" t="n"/>
      <c r="G3700" s="16" t="n"/>
      <c r="H3700" s="19" t="n"/>
    </row>
    <row r="3701">
      <c r="A3701" s="16" t="n"/>
      <c r="B3701" s="19" t="n"/>
      <c r="D3701" s="16" t="n"/>
      <c r="E3701" s="19" t="n"/>
      <c r="G3701" s="16" t="n"/>
      <c r="H3701" s="19" t="n"/>
    </row>
    <row r="3702">
      <c r="A3702" s="16" t="n"/>
      <c r="B3702" s="19" t="n"/>
      <c r="D3702" s="16" t="n"/>
      <c r="E3702" s="19" t="n"/>
      <c r="G3702" s="16" t="n"/>
      <c r="H3702" s="19" t="n"/>
    </row>
    <row r="3703">
      <c r="A3703" s="16" t="n"/>
      <c r="B3703" s="19" t="n"/>
      <c r="D3703" s="16" t="n"/>
      <c r="E3703" s="19" t="n"/>
      <c r="G3703" s="16" t="n"/>
      <c r="H3703" s="19" t="n"/>
    </row>
    <row r="3704">
      <c r="A3704" s="16" t="n"/>
      <c r="B3704" s="19" t="n"/>
      <c r="D3704" s="16" t="n"/>
      <c r="E3704" s="19" t="n"/>
      <c r="G3704" s="16" t="n"/>
      <c r="H3704" s="19" t="n"/>
    </row>
    <row r="3705">
      <c r="A3705" s="16" t="n"/>
      <c r="B3705" s="19" t="n"/>
      <c r="D3705" s="16" t="n"/>
      <c r="E3705" s="19" t="n"/>
      <c r="G3705" s="16" t="n"/>
      <c r="H3705" s="19" t="n"/>
    </row>
    <row r="3706">
      <c r="A3706" s="16" t="n"/>
      <c r="B3706" s="19" t="n"/>
      <c r="D3706" s="16" t="n"/>
      <c r="E3706" s="19" t="n"/>
      <c r="G3706" s="16" t="n"/>
      <c r="H3706" s="19" t="n"/>
    </row>
    <row r="3707">
      <c r="A3707" s="16" t="n"/>
      <c r="B3707" s="19" t="n"/>
      <c r="D3707" s="16" t="n"/>
      <c r="E3707" s="19" t="n"/>
      <c r="G3707" s="16" t="n"/>
      <c r="H3707" s="19" t="n"/>
    </row>
    <row r="3708">
      <c r="A3708" s="16" t="n"/>
      <c r="B3708" s="19" t="n"/>
      <c r="D3708" s="16" t="n"/>
      <c r="E3708" s="19" t="n"/>
      <c r="G3708" s="16" t="n"/>
      <c r="H3708" s="19" t="n"/>
    </row>
    <row r="3709">
      <c r="A3709" s="16" t="n"/>
      <c r="B3709" s="19" t="n"/>
      <c r="D3709" s="16" t="n"/>
      <c r="E3709" s="19" t="n"/>
      <c r="G3709" s="16" t="n"/>
      <c r="H3709" s="19" t="n"/>
    </row>
    <row r="3710">
      <c r="A3710" s="16" t="n"/>
      <c r="B3710" s="19" t="n"/>
      <c r="D3710" s="16" t="n"/>
      <c r="E3710" s="19" t="n"/>
      <c r="G3710" s="16" t="n"/>
      <c r="H3710" s="19" t="n"/>
    </row>
    <row r="3711">
      <c r="A3711" s="16" t="n"/>
      <c r="B3711" s="19" t="n"/>
      <c r="D3711" s="16" t="n"/>
      <c r="E3711" s="19" t="n"/>
      <c r="G3711" s="16" t="n"/>
      <c r="H3711" s="19" t="n"/>
    </row>
    <row r="3712">
      <c r="A3712" s="16" t="n"/>
      <c r="B3712" s="19" t="n"/>
      <c r="D3712" s="16" t="n"/>
      <c r="E3712" s="19" t="n"/>
      <c r="G3712" s="16" t="n"/>
      <c r="H3712" s="19" t="n"/>
    </row>
    <row r="3713">
      <c r="A3713" s="16" t="n"/>
      <c r="B3713" s="19" t="n"/>
      <c r="D3713" s="16" t="n"/>
      <c r="E3713" s="19" t="n"/>
      <c r="G3713" s="16" t="n"/>
      <c r="H3713" s="19" t="n"/>
    </row>
    <row r="3714">
      <c r="A3714" s="16" t="n"/>
      <c r="B3714" s="19" t="n"/>
      <c r="D3714" s="16" t="n"/>
      <c r="E3714" s="19" t="n"/>
      <c r="G3714" s="16" t="n"/>
      <c r="H3714" s="19" t="n"/>
    </row>
    <row r="3715">
      <c r="A3715" s="16" t="n"/>
      <c r="B3715" s="19" t="n"/>
      <c r="D3715" s="16" t="n"/>
      <c r="E3715" s="19" t="n"/>
      <c r="G3715" s="16" t="n"/>
      <c r="H3715" s="19" t="n"/>
    </row>
    <row r="3716">
      <c r="A3716" s="16" t="n"/>
      <c r="B3716" s="19" t="n"/>
      <c r="D3716" s="16" t="n"/>
      <c r="E3716" s="19" t="n"/>
      <c r="G3716" s="16" t="n"/>
      <c r="H3716" s="19" t="n"/>
    </row>
    <row r="3717">
      <c r="A3717" s="16" t="n"/>
      <c r="B3717" s="19" t="n"/>
      <c r="D3717" s="16" t="n"/>
      <c r="E3717" s="19" t="n"/>
      <c r="G3717" s="16" t="n"/>
      <c r="H3717" s="19" t="n"/>
    </row>
    <row r="3718">
      <c r="A3718" s="16" t="n"/>
      <c r="B3718" s="19" t="n"/>
      <c r="D3718" s="16" t="n"/>
      <c r="E3718" s="19" t="n"/>
      <c r="G3718" s="16" t="n"/>
      <c r="H3718" s="19" t="n"/>
    </row>
    <row r="3719">
      <c r="A3719" s="16" t="n"/>
      <c r="B3719" s="19" t="n"/>
      <c r="D3719" s="16" t="n"/>
      <c r="E3719" s="19" t="n"/>
      <c r="G3719" s="16" t="n"/>
      <c r="H3719" s="19" t="n"/>
    </row>
    <row r="3720">
      <c r="A3720" s="16" t="n"/>
      <c r="B3720" s="19" t="n"/>
      <c r="D3720" s="16" t="n"/>
      <c r="E3720" s="19" t="n"/>
      <c r="G3720" s="16" t="n"/>
      <c r="H3720" s="19" t="n"/>
    </row>
    <row r="3721">
      <c r="A3721" s="16" t="n"/>
      <c r="B3721" s="19" t="n"/>
      <c r="D3721" s="16" t="n"/>
      <c r="E3721" s="19" t="n"/>
      <c r="G3721" s="16" t="n"/>
      <c r="H3721" s="19" t="n"/>
    </row>
    <row r="3722">
      <c r="A3722" s="16" t="n"/>
      <c r="B3722" s="19" t="n"/>
      <c r="D3722" s="16" t="n"/>
      <c r="E3722" s="19" t="n"/>
      <c r="G3722" s="16" t="n"/>
      <c r="H3722" s="19" t="n"/>
    </row>
    <row r="3723">
      <c r="A3723" s="16" t="n"/>
      <c r="B3723" s="19" t="n"/>
      <c r="D3723" s="16" t="n"/>
      <c r="E3723" s="19" t="n"/>
      <c r="G3723" s="16" t="n"/>
      <c r="H3723" s="19" t="n"/>
    </row>
    <row r="3724">
      <c r="A3724" s="16" t="n"/>
      <c r="B3724" s="19" t="n"/>
      <c r="D3724" s="16" t="n"/>
      <c r="E3724" s="19" t="n"/>
      <c r="G3724" s="16" t="n"/>
      <c r="H3724" s="19" t="n"/>
    </row>
    <row r="3725">
      <c r="A3725" s="16" t="n"/>
      <c r="B3725" s="19" t="n"/>
      <c r="D3725" s="16" t="n"/>
      <c r="E3725" s="19" t="n"/>
      <c r="G3725" s="16" t="n"/>
      <c r="H3725" s="19" t="n"/>
    </row>
    <row r="3726">
      <c r="A3726" s="16" t="n"/>
      <c r="B3726" s="19" t="n"/>
      <c r="D3726" s="16" t="n"/>
      <c r="E3726" s="19" t="n"/>
      <c r="G3726" s="16" t="n"/>
      <c r="H3726" s="19" t="n"/>
    </row>
    <row r="3727">
      <c r="A3727" s="16" t="n"/>
      <c r="B3727" s="19" t="n"/>
      <c r="D3727" s="16" t="n"/>
      <c r="E3727" s="19" t="n"/>
      <c r="G3727" s="16" t="n"/>
      <c r="H3727" s="19" t="n"/>
    </row>
    <row r="3728">
      <c r="A3728" s="16" t="n"/>
      <c r="B3728" s="19" t="n"/>
      <c r="D3728" s="16" t="n"/>
      <c r="E3728" s="19" t="n"/>
      <c r="G3728" s="16" t="n"/>
      <c r="H3728" s="19" t="n"/>
    </row>
    <row r="3729">
      <c r="A3729" s="16" t="n"/>
      <c r="B3729" s="19" t="n"/>
      <c r="D3729" s="16" t="n"/>
      <c r="E3729" s="19" t="n"/>
      <c r="G3729" s="16" t="n"/>
      <c r="H3729" s="19" t="n"/>
    </row>
    <row r="3730">
      <c r="A3730" s="16" t="n"/>
      <c r="B3730" s="19" t="n"/>
      <c r="D3730" s="16" t="n"/>
      <c r="E3730" s="19" t="n"/>
      <c r="G3730" s="16" t="n"/>
      <c r="H3730" s="19" t="n"/>
    </row>
    <row r="3731">
      <c r="A3731" s="16" t="n"/>
      <c r="B3731" s="19" t="n"/>
      <c r="D3731" s="16" t="n"/>
      <c r="E3731" s="19" t="n"/>
      <c r="G3731" s="16" t="n"/>
      <c r="H3731" s="19" t="n"/>
    </row>
    <row r="3732">
      <c r="A3732" s="16" t="n"/>
      <c r="B3732" s="19" t="n"/>
      <c r="D3732" s="16" t="n"/>
      <c r="E3732" s="19" t="n"/>
      <c r="G3732" s="16" t="n"/>
      <c r="H3732" s="19" t="n"/>
    </row>
    <row r="3733">
      <c r="A3733" s="16" t="n"/>
      <c r="B3733" s="19" t="n"/>
      <c r="D3733" s="16" t="n"/>
      <c r="E3733" s="19" t="n"/>
      <c r="G3733" s="16" t="n"/>
      <c r="H3733" s="19" t="n"/>
    </row>
    <row r="3734">
      <c r="A3734" s="16" t="n"/>
      <c r="B3734" s="19" t="n"/>
      <c r="D3734" s="16" t="n"/>
      <c r="E3734" s="19" t="n"/>
      <c r="G3734" s="16" t="n"/>
      <c r="H3734" s="19" t="n"/>
    </row>
    <row r="3735">
      <c r="A3735" s="16" t="n"/>
      <c r="B3735" s="19" t="n"/>
      <c r="D3735" s="16" t="n"/>
      <c r="E3735" s="19" t="n"/>
      <c r="G3735" s="16" t="n"/>
      <c r="H3735" s="19" t="n"/>
    </row>
    <row r="3736">
      <c r="A3736" s="16" t="n"/>
      <c r="B3736" s="19" t="n"/>
      <c r="D3736" s="16" t="n"/>
      <c r="E3736" s="19" t="n"/>
      <c r="G3736" s="16" t="n"/>
      <c r="H3736" s="19" t="n"/>
    </row>
    <row r="3737">
      <c r="A3737" s="16" t="n"/>
      <c r="B3737" s="19" t="n"/>
      <c r="D3737" s="16" t="n"/>
      <c r="E3737" s="19" t="n"/>
      <c r="G3737" s="16" t="n"/>
      <c r="H3737" s="19" t="n"/>
    </row>
    <row r="3738">
      <c r="A3738" s="16" t="n"/>
      <c r="B3738" s="19" t="n"/>
      <c r="D3738" s="16" t="n"/>
      <c r="E3738" s="19" t="n"/>
      <c r="G3738" s="16" t="n"/>
      <c r="H3738" s="19" t="n"/>
    </row>
    <row r="3739">
      <c r="A3739" s="16" t="n"/>
      <c r="B3739" s="19" t="n"/>
      <c r="D3739" s="16" t="n"/>
      <c r="E3739" s="19" t="n"/>
      <c r="G3739" s="16" t="n"/>
      <c r="H3739" s="19" t="n"/>
    </row>
    <row r="3740">
      <c r="A3740" s="16" t="n"/>
      <c r="B3740" s="19" t="n"/>
      <c r="D3740" s="16" t="n"/>
      <c r="E3740" s="19" t="n"/>
      <c r="G3740" s="16" t="n"/>
      <c r="H3740" s="19" t="n"/>
    </row>
    <row r="3741">
      <c r="A3741" s="16" t="n"/>
      <c r="B3741" s="19" t="n"/>
      <c r="D3741" s="16" t="n"/>
      <c r="E3741" s="19" t="n"/>
      <c r="G3741" s="16" t="n"/>
      <c r="H3741" s="19" t="n"/>
    </row>
    <row r="3742">
      <c r="A3742" s="16" t="n"/>
      <c r="B3742" s="19" t="n"/>
      <c r="D3742" s="16" t="n"/>
      <c r="E3742" s="19" t="n"/>
      <c r="G3742" s="16" t="n"/>
      <c r="H3742" s="19" t="n"/>
    </row>
    <row r="3743">
      <c r="A3743" s="16" t="n"/>
      <c r="B3743" s="19" t="n"/>
      <c r="D3743" s="16" t="n"/>
      <c r="E3743" s="19" t="n"/>
      <c r="G3743" s="16" t="n"/>
      <c r="H3743" s="19" t="n"/>
    </row>
    <row r="3744">
      <c r="A3744" s="16" t="n"/>
      <c r="B3744" s="19" t="n"/>
      <c r="D3744" s="16" t="n"/>
      <c r="E3744" s="19" t="n"/>
      <c r="G3744" s="16" t="n"/>
      <c r="H3744" s="19" t="n"/>
    </row>
    <row r="3745">
      <c r="A3745" s="16" t="n"/>
      <c r="B3745" s="19" t="n"/>
      <c r="D3745" s="16" t="n"/>
      <c r="E3745" s="19" t="n"/>
      <c r="G3745" s="16" t="n"/>
      <c r="H3745" s="19" t="n"/>
    </row>
    <row r="3746">
      <c r="A3746" s="16" t="n"/>
      <c r="B3746" s="19" t="n"/>
      <c r="D3746" s="16" t="n"/>
      <c r="E3746" s="19" t="n"/>
      <c r="G3746" s="16" t="n"/>
      <c r="H3746" s="19" t="n"/>
    </row>
    <row r="3747">
      <c r="A3747" s="16" t="n"/>
      <c r="B3747" s="19" t="n"/>
      <c r="D3747" s="16" t="n"/>
      <c r="E3747" s="19" t="n"/>
      <c r="G3747" s="16" t="n"/>
      <c r="H3747" s="19" t="n"/>
    </row>
    <row r="3748">
      <c r="A3748" s="16" t="n"/>
      <c r="B3748" s="19" t="n"/>
      <c r="D3748" s="16" t="n"/>
      <c r="E3748" s="19" t="n"/>
      <c r="G3748" s="16" t="n"/>
      <c r="H3748" s="19" t="n"/>
    </row>
    <row r="3749">
      <c r="A3749" s="16" t="n"/>
      <c r="B3749" s="19" t="n"/>
      <c r="D3749" s="16" t="n"/>
      <c r="E3749" s="19" t="n"/>
      <c r="G3749" s="16" t="n"/>
      <c r="H3749" s="19" t="n"/>
    </row>
    <row r="3750">
      <c r="A3750" s="16" t="n"/>
      <c r="B3750" s="19" t="n"/>
      <c r="D3750" s="16" t="n"/>
      <c r="E3750" s="19" t="n"/>
      <c r="G3750" s="16" t="n"/>
      <c r="H3750" s="19" t="n"/>
    </row>
    <row r="3751">
      <c r="A3751" s="16" t="n"/>
      <c r="B3751" s="19" t="n"/>
      <c r="D3751" s="16" t="n"/>
      <c r="E3751" s="19" t="n"/>
      <c r="G3751" s="16" t="n"/>
      <c r="H3751" s="19" t="n"/>
    </row>
    <row r="3752">
      <c r="A3752" s="16" t="n"/>
      <c r="B3752" s="19" t="n"/>
      <c r="D3752" s="16" t="n"/>
      <c r="E3752" s="19" t="n"/>
      <c r="G3752" s="16" t="n"/>
      <c r="H3752" s="19" t="n"/>
    </row>
    <row r="3753">
      <c r="A3753" s="16" t="n"/>
      <c r="B3753" s="19" t="n"/>
      <c r="D3753" s="16" t="n"/>
      <c r="E3753" s="19" t="n"/>
      <c r="G3753" s="16" t="n"/>
      <c r="H3753" s="19" t="n"/>
    </row>
    <row r="3754">
      <c r="A3754" s="16" t="n"/>
      <c r="B3754" s="19" t="n"/>
      <c r="D3754" s="16" t="n"/>
      <c r="E3754" s="19" t="n"/>
      <c r="G3754" s="16" t="n"/>
      <c r="H3754" s="19" t="n"/>
    </row>
    <row r="3755">
      <c r="A3755" s="16" t="n"/>
      <c r="B3755" s="19" t="n"/>
      <c r="D3755" s="16" t="n"/>
      <c r="E3755" s="19" t="n"/>
      <c r="G3755" s="16" t="n"/>
      <c r="H3755" s="19" t="n"/>
    </row>
    <row r="3756">
      <c r="A3756" s="16" t="n"/>
      <c r="B3756" s="19" t="n"/>
      <c r="D3756" s="16" t="n"/>
      <c r="E3756" s="19" t="n"/>
      <c r="G3756" s="16" t="n"/>
      <c r="H3756" s="19" t="n"/>
    </row>
    <row r="3757">
      <c r="A3757" s="16" t="n"/>
      <c r="B3757" s="19" t="n"/>
      <c r="D3757" s="16" t="n"/>
      <c r="E3757" s="19" t="n"/>
      <c r="G3757" s="16" t="n"/>
      <c r="H3757" s="19" t="n"/>
    </row>
    <row r="3758">
      <c r="A3758" s="16" t="n"/>
      <c r="B3758" s="19" t="n"/>
      <c r="D3758" s="16" t="n"/>
      <c r="E3758" s="19" t="n"/>
      <c r="G3758" s="16" t="n"/>
      <c r="H3758" s="19" t="n"/>
    </row>
    <row r="3759">
      <c r="A3759" s="16" t="n"/>
      <c r="B3759" s="19" t="n"/>
      <c r="D3759" s="16" t="n"/>
      <c r="E3759" s="19" t="n"/>
      <c r="G3759" s="16" t="n"/>
      <c r="H3759" s="19" t="n"/>
    </row>
    <row r="3760">
      <c r="A3760" s="16" t="n"/>
      <c r="B3760" s="19" t="n"/>
      <c r="D3760" s="16" t="n"/>
      <c r="E3760" s="19" t="n"/>
      <c r="G3760" s="16" t="n"/>
      <c r="H3760" s="19" t="n"/>
    </row>
    <row r="3761">
      <c r="A3761" s="16" t="n"/>
      <c r="B3761" s="19" t="n"/>
      <c r="D3761" s="16" t="n"/>
      <c r="E3761" s="19" t="n"/>
      <c r="G3761" s="16" t="n"/>
      <c r="H3761" s="19" t="n"/>
    </row>
    <row r="3762">
      <c r="A3762" s="16" t="n"/>
      <c r="B3762" s="19" t="n"/>
      <c r="D3762" s="16" t="n"/>
      <c r="E3762" s="19" t="n"/>
      <c r="G3762" s="16" t="n"/>
      <c r="H3762" s="19" t="n"/>
    </row>
    <row r="3763">
      <c r="A3763" s="16" t="n"/>
      <c r="B3763" s="19" t="n"/>
      <c r="D3763" s="16" t="n"/>
      <c r="E3763" s="19" t="n"/>
      <c r="G3763" s="16" t="n"/>
      <c r="H3763" s="19" t="n"/>
    </row>
    <row r="3764">
      <c r="A3764" s="16" t="n"/>
      <c r="B3764" s="19" t="n"/>
      <c r="D3764" s="16" t="n"/>
      <c r="E3764" s="19" t="n"/>
      <c r="G3764" s="16" t="n"/>
      <c r="H3764" s="19" t="n"/>
    </row>
    <row r="3765">
      <c r="A3765" s="16" t="n"/>
      <c r="B3765" s="19" t="n"/>
      <c r="D3765" s="16" t="n"/>
      <c r="E3765" s="19" t="n"/>
      <c r="G3765" s="16" t="n"/>
      <c r="H3765" s="19" t="n"/>
    </row>
    <row r="3766">
      <c r="A3766" s="16" t="n"/>
      <c r="B3766" s="19" t="n"/>
      <c r="D3766" s="16" t="n"/>
      <c r="E3766" s="19" t="n"/>
      <c r="G3766" s="16" t="n"/>
      <c r="H3766" s="19" t="n"/>
    </row>
    <row r="3767">
      <c r="A3767" s="16" t="n"/>
      <c r="B3767" s="19" t="n"/>
      <c r="D3767" s="16" t="n"/>
      <c r="E3767" s="19" t="n"/>
      <c r="G3767" s="16" t="n"/>
      <c r="H3767" s="19" t="n"/>
    </row>
    <row r="3768">
      <c r="A3768" s="16" t="n"/>
      <c r="B3768" s="19" t="n"/>
      <c r="D3768" s="16" t="n"/>
      <c r="E3768" s="19" t="n"/>
      <c r="G3768" s="16" t="n"/>
      <c r="H3768" s="19" t="n"/>
    </row>
    <row r="3769">
      <c r="A3769" s="16" t="n"/>
      <c r="B3769" s="19" t="n"/>
      <c r="D3769" s="16" t="n"/>
      <c r="E3769" s="19" t="n"/>
      <c r="G3769" s="16" t="n"/>
      <c r="H3769" s="19" t="n"/>
    </row>
    <row r="3770">
      <c r="A3770" s="16" t="n"/>
      <c r="B3770" s="19" t="n"/>
      <c r="D3770" s="16" t="n"/>
      <c r="E3770" s="19" t="n"/>
      <c r="G3770" s="16" t="n"/>
      <c r="H3770" s="19" t="n"/>
    </row>
    <row r="3771">
      <c r="A3771" s="16" t="n"/>
      <c r="B3771" s="19" t="n"/>
      <c r="D3771" s="16" t="n"/>
      <c r="E3771" s="19" t="n"/>
      <c r="G3771" s="16" t="n"/>
      <c r="H3771" s="19" t="n"/>
    </row>
    <row r="3772">
      <c r="A3772" s="16" t="n"/>
      <c r="B3772" s="19" t="n"/>
      <c r="D3772" s="16" t="n"/>
      <c r="E3772" s="19" t="n"/>
      <c r="G3772" s="16" t="n"/>
      <c r="H3772" s="19" t="n"/>
    </row>
    <row r="3773">
      <c r="A3773" s="16" t="n"/>
      <c r="B3773" s="19" t="n"/>
      <c r="D3773" s="16" t="n"/>
      <c r="E3773" s="19" t="n"/>
      <c r="G3773" s="16" t="n"/>
      <c r="H3773" s="19" t="n"/>
    </row>
    <row r="3774">
      <c r="A3774" s="16" t="n"/>
      <c r="B3774" s="19" t="n"/>
      <c r="D3774" s="16" t="n"/>
      <c r="E3774" s="19" t="n"/>
      <c r="G3774" s="16" t="n"/>
      <c r="H3774" s="19" t="n"/>
    </row>
    <row r="3775">
      <c r="A3775" s="16" t="n"/>
      <c r="B3775" s="19" t="n"/>
      <c r="D3775" s="16" t="n"/>
      <c r="E3775" s="19" t="n"/>
      <c r="G3775" s="16" t="n"/>
      <c r="H3775" s="19" t="n"/>
    </row>
    <row r="3776">
      <c r="A3776" s="16" t="n"/>
      <c r="B3776" s="19" t="n"/>
      <c r="D3776" s="16" t="n"/>
      <c r="E3776" s="19" t="n"/>
      <c r="G3776" s="16" t="n"/>
      <c r="H3776" s="19" t="n"/>
    </row>
    <row r="3777">
      <c r="A3777" s="16" t="n"/>
      <c r="B3777" s="19" t="n"/>
      <c r="D3777" s="16" t="n"/>
      <c r="E3777" s="19" t="n"/>
      <c r="G3777" s="16" t="n"/>
      <c r="H3777" s="19" t="n"/>
    </row>
    <row r="3778">
      <c r="A3778" s="16" t="n"/>
      <c r="B3778" s="19" t="n"/>
      <c r="D3778" s="16" t="n"/>
      <c r="E3778" s="19" t="n"/>
      <c r="G3778" s="16" t="n"/>
      <c r="H3778" s="19" t="n"/>
    </row>
    <row r="3779">
      <c r="A3779" s="16" t="n"/>
      <c r="B3779" s="19" t="n"/>
      <c r="D3779" s="16" t="n"/>
      <c r="E3779" s="19" t="n"/>
      <c r="G3779" s="16" t="n"/>
      <c r="H3779" s="19" t="n"/>
    </row>
    <row r="3780">
      <c r="A3780" s="16" t="n"/>
      <c r="B3780" s="19" t="n"/>
      <c r="D3780" s="16" t="n"/>
      <c r="E3780" s="19" t="n"/>
      <c r="G3780" s="16" t="n"/>
      <c r="H3780" s="19" t="n"/>
    </row>
    <row r="3781">
      <c r="A3781" s="16" t="n"/>
      <c r="B3781" s="19" t="n"/>
      <c r="D3781" s="16" t="n"/>
      <c r="E3781" s="19" t="n"/>
      <c r="G3781" s="16" t="n"/>
      <c r="H3781" s="19" t="n"/>
    </row>
    <row r="3782">
      <c r="A3782" s="16" t="n"/>
      <c r="B3782" s="19" t="n"/>
      <c r="D3782" s="16" t="n"/>
      <c r="E3782" s="19" t="n"/>
      <c r="G3782" s="16" t="n"/>
      <c r="H3782" s="19" t="n"/>
    </row>
    <row r="3783">
      <c r="A3783" s="16" t="n"/>
      <c r="B3783" s="19" t="n"/>
      <c r="D3783" s="16" t="n"/>
      <c r="E3783" s="19" t="n"/>
      <c r="G3783" s="16" t="n"/>
      <c r="H3783" s="19" t="n"/>
    </row>
    <row r="3784">
      <c r="A3784" s="16" t="n"/>
      <c r="B3784" s="19" t="n"/>
      <c r="D3784" s="16" t="n"/>
      <c r="E3784" s="19" t="n"/>
      <c r="G3784" s="16" t="n"/>
      <c r="H3784" s="19" t="n"/>
    </row>
    <row r="3785">
      <c r="A3785" s="16" t="n"/>
      <c r="B3785" s="19" t="n"/>
      <c r="D3785" s="16" t="n"/>
      <c r="E3785" s="19" t="n"/>
      <c r="G3785" s="16" t="n"/>
      <c r="H3785" s="19" t="n"/>
    </row>
    <row r="3786">
      <c r="A3786" s="16" t="n"/>
      <c r="B3786" s="19" t="n"/>
      <c r="D3786" s="16" t="n"/>
      <c r="E3786" s="19" t="n"/>
      <c r="G3786" s="16" t="n"/>
      <c r="H3786" s="19" t="n"/>
    </row>
    <row r="3787">
      <c r="A3787" s="16" t="n"/>
      <c r="B3787" s="19" t="n"/>
      <c r="D3787" s="16" t="n"/>
      <c r="E3787" s="19" t="n"/>
      <c r="G3787" s="16" t="n"/>
      <c r="H3787" s="19" t="n"/>
    </row>
    <row r="3788">
      <c r="A3788" s="16" t="n"/>
      <c r="B3788" s="19" t="n"/>
      <c r="D3788" s="16" t="n"/>
      <c r="E3788" s="19" t="n"/>
      <c r="G3788" s="16" t="n"/>
      <c r="H3788" s="19" t="n"/>
    </row>
    <row r="3789">
      <c r="A3789" s="16" t="n"/>
      <c r="B3789" s="19" t="n"/>
      <c r="D3789" s="16" t="n"/>
      <c r="E3789" s="19" t="n"/>
      <c r="G3789" s="16" t="n"/>
      <c r="H3789" s="19" t="n"/>
    </row>
    <row r="3790">
      <c r="A3790" s="16" t="n"/>
      <c r="B3790" s="19" t="n"/>
      <c r="D3790" s="16" t="n"/>
      <c r="E3790" s="19" t="n"/>
      <c r="G3790" s="16" t="n"/>
      <c r="H3790" s="19" t="n"/>
    </row>
    <row r="3791">
      <c r="A3791" s="16" t="n"/>
      <c r="B3791" s="19" t="n"/>
      <c r="D3791" s="16" t="n"/>
      <c r="E3791" s="19" t="n"/>
      <c r="G3791" s="16" t="n"/>
      <c r="H3791" s="19" t="n"/>
    </row>
    <row r="3792">
      <c r="A3792" s="16" t="n"/>
      <c r="B3792" s="19" t="n"/>
      <c r="D3792" s="16" t="n"/>
      <c r="E3792" s="19" t="n"/>
      <c r="G3792" s="16" t="n"/>
      <c r="H3792" s="19" t="n"/>
    </row>
    <row r="3793">
      <c r="A3793" s="16" t="n"/>
      <c r="B3793" s="19" t="n"/>
      <c r="D3793" s="16" t="n"/>
      <c r="E3793" s="19" t="n"/>
      <c r="G3793" s="16" t="n"/>
      <c r="H3793" s="19" t="n"/>
    </row>
    <row r="3794">
      <c r="A3794" s="16" t="n"/>
      <c r="B3794" s="19" t="n"/>
      <c r="D3794" s="16" t="n"/>
      <c r="E3794" s="19" t="n"/>
      <c r="G3794" s="16" t="n"/>
      <c r="H3794" s="19" t="n"/>
    </row>
    <row r="3795">
      <c r="A3795" s="16" t="n"/>
      <c r="B3795" s="19" t="n"/>
      <c r="D3795" s="16" t="n"/>
      <c r="E3795" s="19" t="n"/>
      <c r="G3795" s="16" t="n"/>
      <c r="H3795" s="19" t="n"/>
    </row>
    <row r="3796">
      <c r="A3796" s="16" t="n"/>
      <c r="B3796" s="19" t="n"/>
      <c r="D3796" s="16" t="n"/>
      <c r="E3796" s="19" t="n"/>
      <c r="G3796" s="16" t="n"/>
      <c r="H3796" s="19" t="n"/>
    </row>
    <row r="3797">
      <c r="A3797" s="16" t="n"/>
      <c r="B3797" s="19" t="n"/>
      <c r="D3797" s="16" t="n"/>
      <c r="E3797" s="19" t="n"/>
      <c r="G3797" s="16" t="n"/>
      <c r="H3797" s="19" t="n"/>
    </row>
    <row r="3798">
      <c r="A3798" s="16" t="n"/>
      <c r="B3798" s="19" t="n"/>
      <c r="D3798" s="16" t="n"/>
      <c r="E3798" s="19" t="n"/>
      <c r="G3798" s="16" t="n"/>
      <c r="H3798" s="19" t="n"/>
    </row>
    <row r="3799">
      <c r="A3799" s="16" t="n"/>
      <c r="B3799" s="19" t="n"/>
      <c r="D3799" s="16" t="n"/>
      <c r="E3799" s="19" t="n"/>
      <c r="G3799" s="16" t="n"/>
      <c r="H3799" s="19" t="n"/>
    </row>
    <row r="3800">
      <c r="A3800" s="16" t="n"/>
      <c r="B3800" s="19" t="n"/>
      <c r="D3800" s="16" t="n"/>
      <c r="E3800" s="19" t="n"/>
      <c r="G3800" s="16" t="n"/>
      <c r="H3800" s="19" t="n"/>
    </row>
    <row r="3801">
      <c r="A3801" s="16" t="n"/>
      <c r="B3801" s="19" t="n"/>
      <c r="D3801" s="16" t="n"/>
      <c r="E3801" s="19" t="n"/>
      <c r="G3801" s="16" t="n"/>
      <c r="H3801" s="19" t="n"/>
    </row>
    <row r="3802">
      <c r="A3802" s="16" t="n"/>
      <c r="B3802" s="19" t="n"/>
      <c r="D3802" s="16" t="n"/>
      <c r="E3802" s="19" t="n"/>
      <c r="G3802" s="16" t="n"/>
      <c r="H3802" s="19" t="n"/>
    </row>
    <row r="3803">
      <c r="A3803" s="16" t="n"/>
      <c r="B3803" s="19" t="n"/>
      <c r="D3803" s="16" t="n"/>
      <c r="E3803" s="19" t="n"/>
      <c r="G3803" s="16" t="n"/>
      <c r="H3803" s="19" t="n"/>
    </row>
    <row r="3804">
      <c r="A3804" s="16" t="n"/>
      <c r="B3804" s="19" t="n"/>
      <c r="D3804" s="16" t="n"/>
      <c r="E3804" s="19" t="n"/>
      <c r="G3804" s="16" t="n"/>
      <c r="H3804" s="19" t="n"/>
    </row>
    <row r="3805">
      <c r="A3805" s="16" t="n"/>
      <c r="B3805" s="19" t="n"/>
      <c r="D3805" s="16" t="n"/>
      <c r="E3805" s="19" t="n"/>
      <c r="G3805" s="16" t="n"/>
      <c r="H3805" s="19" t="n"/>
    </row>
    <row r="3806">
      <c r="A3806" s="16" t="n"/>
      <c r="B3806" s="19" t="n"/>
      <c r="D3806" s="16" t="n"/>
      <c r="E3806" s="19" t="n"/>
      <c r="G3806" s="16" t="n"/>
      <c r="H3806" s="19" t="n"/>
    </row>
    <row r="3807">
      <c r="A3807" s="16" t="n"/>
      <c r="B3807" s="19" t="n"/>
      <c r="D3807" s="16" t="n"/>
      <c r="E3807" s="19" t="n"/>
      <c r="G3807" s="16" t="n"/>
      <c r="H3807" s="19" t="n"/>
    </row>
    <row r="3808">
      <c r="A3808" s="16" t="n"/>
      <c r="B3808" s="19" t="n"/>
      <c r="D3808" s="16" t="n"/>
      <c r="E3808" s="19" t="n"/>
      <c r="G3808" s="16" t="n"/>
      <c r="H3808" s="19" t="n"/>
    </row>
    <row r="3809">
      <c r="A3809" s="16" t="n"/>
      <c r="B3809" s="19" t="n"/>
      <c r="D3809" s="16" t="n"/>
      <c r="E3809" s="19" t="n"/>
      <c r="G3809" s="16" t="n"/>
      <c r="H3809" s="19" t="n"/>
    </row>
    <row r="3810">
      <c r="A3810" s="16" t="n"/>
      <c r="B3810" s="19" t="n"/>
      <c r="D3810" s="16" t="n"/>
      <c r="E3810" s="19" t="n"/>
      <c r="G3810" s="16" t="n"/>
      <c r="H3810" s="19" t="n"/>
    </row>
    <row r="3811">
      <c r="A3811" s="16" t="n"/>
      <c r="B3811" s="19" t="n"/>
      <c r="D3811" s="16" t="n"/>
      <c r="E3811" s="19" t="n"/>
      <c r="G3811" s="16" t="n"/>
      <c r="H3811" s="19" t="n"/>
    </row>
    <row r="3812">
      <c r="A3812" s="16" t="n"/>
      <c r="B3812" s="19" t="n"/>
      <c r="D3812" s="16" t="n"/>
      <c r="E3812" s="19" t="n"/>
      <c r="G3812" s="16" t="n"/>
      <c r="H3812" s="19" t="n"/>
    </row>
    <row r="3813">
      <c r="A3813" s="16" t="n"/>
      <c r="B3813" s="19" t="n"/>
      <c r="D3813" s="16" t="n"/>
      <c r="E3813" s="19" t="n"/>
      <c r="G3813" s="16" t="n"/>
      <c r="H3813" s="19" t="n"/>
    </row>
    <row r="3814">
      <c r="A3814" s="16" t="n"/>
      <c r="B3814" s="19" t="n"/>
      <c r="D3814" s="16" t="n"/>
      <c r="E3814" s="19" t="n"/>
      <c r="G3814" s="16" t="n"/>
      <c r="H3814" s="19" t="n"/>
    </row>
    <row r="3815">
      <c r="A3815" s="16" t="n"/>
      <c r="B3815" s="19" t="n"/>
      <c r="D3815" s="16" t="n"/>
      <c r="E3815" s="19" t="n"/>
      <c r="G3815" s="16" t="n"/>
      <c r="H3815" s="19" t="n"/>
    </row>
    <row r="3816">
      <c r="A3816" s="16" t="n"/>
      <c r="B3816" s="19" t="n"/>
      <c r="D3816" s="16" t="n"/>
      <c r="E3816" s="19" t="n"/>
      <c r="G3816" s="16" t="n"/>
      <c r="H3816" s="19" t="n"/>
    </row>
    <row r="3817">
      <c r="A3817" s="16" t="n"/>
      <c r="B3817" s="19" t="n"/>
      <c r="D3817" s="16" t="n"/>
      <c r="E3817" s="19" t="n"/>
      <c r="G3817" s="16" t="n"/>
      <c r="H3817" s="19" t="n"/>
    </row>
    <row r="3818">
      <c r="A3818" s="16" t="n"/>
      <c r="B3818" s="19" t="n"/>
      <c r="D3818" s="16" t="n"/>
      <c r="E3818" s="19" t="n"/>
      <c r="G3818" s="16" t="n"/>
      <c r="H3818" s="19" t="n"/>
    </row>
    <row r="3819">
      <c r="A3819" s="16" t="n"/>
      <c r="B3819" s="19" t="n"/>
      <c r="D3819" s="16" t="n"/>
      <c r="E3819" s="19" t="n"/>
      <c r="G3819" s="16" t="n"/>
      <c r="H3819" s="19" t="n"/>
    </row>
    <row r="3820">
      <c r="A3820" s="16" t="n"/>
      <c r="B3820" s="19" t="n"/>
      <c r="D3820" s="16" t="n"/>
      <c r="E3820" s="19" t="n"/>
      <c r="G3820" s="16" t="n"/>
      <c r="H3820" s="19" t="n"/>
    </row>
    <row r="3821">
      <c r="A3821" s="16" t="n"/>
      <c r="B3821" s="19" t="n"/>
      <c r="D3821" s="16" t="n"/>
      <c r="E3821" s="19" t="n"/>
      <c r="G3821" s="16" t="n"/>
      <c r="H3821" s="19" t="n"/>
    </row>
    <row r="3822">
      <c r="A3822" s="16" t="n"/>
      <c r="B3822" s="19" t="n"/>
      <c r="D3822" s="16" t="n"/>
      <c r="E3822" s="19" t="n"/>
      <c r="G3822" s="16" t="n"/>
      <c r="H3822" s="19" t="n"/>
    </row>
    <row r="3823">
      <c r="A3823" s="16" t="n"/>
      <c r="B3823" s="19" t="n"/>
      <c r="D3823" s="16" t="n"/>
      <c r="E3823" s="19" t="n"/>
      <c r="G3823" s="16" t="n"/>
      <c r="H3823" s="19" t="n"/>
    </row>
    <row r="3824">
      <c r="A3824" s="16" t="n"/>
      <c r="B3824" s="19" t="n"/>
      <c r="D3824" s="16" t="n"/>
      <c r="E3824" s="19" t="n"/>
      <c r="G3824" s="16" t="n"/>
      <c r="H3824" s="19" t="n"/>
    </row>
    <row r="3825">
      <c r="A3825" s="16" t="n"/>
      <c r="B3825" s="19" t="n"/>
      <c r="D3825" s="16" t="n"/>
      <c r="E3825" s="19" t="n"/>
      <c r="G3825" s="16" t="n"/>
      <c r="H3825" s="19" t="n"/>
    </row>
    <row r="3826">
      <c r="A3826" s="16" t="n"/>
      <c r="B3826" s="19" t="n"/>
      <c r="D3826" s="16" t="n"/>
      <c r="E3826" s="19" t="n"/>
      <c r="G3826" s="16" t="n"/>
      <c r="H3826" s="19" t="n"/>
    </row>
    <row r="3827">
      <c r="A3827" s="16" t="n"/>
      <c r="B3827" s="19" t="n"/>
      <c r="D3827" s="16" t="n"/>
      <c r="E3827" s="19" t="n"/>
      <c r="G3827" s="16" t="n"/>
      <c r="H3827" s="19" t="n"/>
    </row>
    <row r="3828">
      <c r="A3828" s="16" t="n"/>
      <c r="B3828" s="19" t="n"/>
      <c r="D3828" s="16" t="n"/>
      <c r="E3828" s="19" t="n"/>
      <c r="G3828" s="16" t="n"/>
      <c r="H3828" s="19" t="n"/>
    </row>
    <row r="3829">
      <c r="A3829" s="16" t="n"/>
      <c r="B3829" s="19" t="n"/>
      <c r="D3829" s="16" t="n"/>
      <c r="E3829" s="19" t="n"/>
      <c r="G3829" s="16" t="n"/>
      <c r="H3829" s="19" t="n"/>
    </row>
    <row r="3830">
      <c r="A3830" s="16" t="n"/>
      <c r="B3830" s="19" t="n"/>
      <c r="D3830" s="16" t="n"/>
      <c r="E3830" s="19" t="n"/>
      <c r="G3830" s="16" t="n"/>
      <c r="H3830" s="19" t="n"/>
    </row>
    <row r="3831">
      <c r="A3831" s="16" t="n"/>
      <c r="B3831" s="19" t="n"/>
      <c r="D3831" s="16" t="n"/>
      <c r="E3831" s="19" t="n"/>
      <c r="G3831" s="16" t="n"/>
      <c r="H3831" s="19" t="n"/>
    </row>
    <row r="3832">
      <c r="A3832" s="16" t="n"/>
      <c r="B3832" s="19" t="n"/>
      <c r="D3832" s="16" t="n"/>
      <c r="E3832" s="19" t="n"/>
      <c r="G3832" s="16" t="n"/>
      <c r="H3832" s="19" t="n"/>
    </row>
    <row r="3833">
      <c r="A3833" s="16" t="n"/>
      <c r="B3833" s="19" t="n"/>
      <c r="D3833" s="16" t="n"/>
      <c r="E3833" s="19" t="n"/>
      <c r="G3833" s="16" t="n"/>
      <c r="H3833" s="19" t="n"/>
    </row>
    <row r="3834">
      <c r="A3834" s="16" t="n"/>
      <c r="B3834" s="19" t="n"/>
      <c r="D3834" s="16" t="n"/>
      <c r="E3834" s="19" t="n"/>
      <c r="G3834" s="16" t="n"/>
      <c r="H3834" s="19" t="n"/>
    </row>
    <row r="3835">
      <c r="A3835" s="16" t="n"/>
      <c r="B3835" s="19" t="n"/>
      <c r="D3835" s="16" t="n"/>
      <c r="E3835" s="19" t="n"/>
      <c r="G3835" s="16" t="n"/>
      <c r="H3835" s="19" t="n"/>
    </row>
    <row r="3836">
      <c r="A3836" s="16" t="n"/>
      <c r="B3836" s="19" t="n"/>
      <c r="D3836" s="16" t="n"/>
      <c r="E3836" s="19" t="n"/>
      <c r="G3836" s="16" t="n"/>
      <c r="H3836" s="19" t="n"/>
    </row>
    <row r="3837">
      <c r="A3837" s="16" t="n"/>
      <c r="B3837" s="19" t="n"/>
      <c r="D3837" s="16" t="n"/>
      <c r="E3837" s="19" t="n"/>
      <c r="G3837" s="16" t="n"/>
      <c r="H3837" s="19" t="n"/>
    </row>
    <row r="3838">
      <c r="A3838" s="16" t="n"/>
      <c r="B3838" s="19" t="n"/>
      <c r="D3838" s="16" t="n"/>
      <c r="E3838" s="19" t="n"/>
      <c r="G3838" s="16" t="n"/>
      <c r="H3838" s="19" t="n"/>
    </row>
    <row r="3839">
      <c r="A3839" s="16" t="n"/>
      <c r="B3839" s="19" t="n"/>
      <c r="D3839" s="16" t="n"/>
      <c r="E3839" s="19" t="n"/>
      <c r="G3839" s="16" t="n"/>
      <c r="H3839" s="19" t="n"/>
    </row>
    <row r="3840">
      <c r="A3840" s="16" t="n"/>
      <c r="B3840" s="19" t="n"/>
      <c r="D3840" s="16" t="n"/>
      <c r="E3840" s="19" t="n"/>
      <c r="G3840" s="16" t="n"/>
      <c r="H3840" s="19" t="n"/>
    </row>
    <row r="3841">
      <c r="A3841" s="16" t="n"/>
      <c r="B3841" s="19" t="n"/>
      <c r="D3841" s="16" t="n"/>
      <c r="E3841" s="19" t="n"/>
      <c r="G3841" s="16" t="n"/>
      <c r="H3841" s="19" t="n"/>
    </row>
    <row r="3842">
      <c r="A3842" s="16" t="n"/>
      <c r="B3842" s="19" t="n"/>
      <c r="D3842" s="16" t="n"/>
      <c r="E3842" s="19" t="n"/>
      <c r="G3842" s="16" t="n"/>
      <c r="H3842" s="19" t="n"/>
    </row>
    <row r="3843">
      <c r="A3843" s="16" t="n"/>
      <c r="B3843" s="19" t="n"/>
      <c r="D3843" s="16" t="n"/>
      <c r="E3843" s="19" t="n"/>
      <c r="G3843" s="16" t="n"/>
      <c r="H3843" s="19" t="n"/>
    </row>
    <row r="3844">
      <c r="A3844" s="16" t="n"/>
      <c r="B3844" s="19" t="n"/>
      <c r="D3844" s="16" t="n"/>
      <c r="E3844" s="19" t="n"/>
      <c r="G3844" s="16" t="n"/>
      <c r="H3844" s="19" t="n"/>
    </row>
    <row r="3845">
      <c r="A3845" s="16" t="n"/>
      <c r="B3845" s="19" t="n"/>
      <c r="D3845" s="16" t="n"/>
      <c r="E3845" s="19" t="n"/>
      <c r="G3845" s="16" t="n"/>
      <c r="H3845" s="19" t="n"/>
    </row>
    <row r="3846">
      <c r="A3846" s="16" t="n"/>
      <c r="B3846" s="19" t="n"/>
      <c r="D3846" s="16" t="n"/>
      <c r="E3846" s="19" t="n"/>
      <c r="G3846" s="16" t="n"/>
      <c r="H3846" s="19" t="n"/>
    </row>
    <row r="3847">
      <c r="A3847" s="16" t="n"/>
      <c r="B3847" s="19" t="n"/>
      <c r="D3847" s="16" t="n"/>
      <c r="E3847" s="19" t="n"/>
      <c r="G3847" s="16" t="n"/>
      <c r="H3847" s="19" t="n"/>
    </row>
    <row r="3848">
      <c r="A3848" s="16" t="n"/>
      <c r="B3848" s="19" t="n"/>
      <c r="D3848" s="16" t="n"/>
      <c r="E3848" s="19" t="n"/>
      <c r="G3848" s="16" t="n"/>
      <c r="H3848" s="19" t="n"/>
    </row>
    <row r="3849">
      <c r="A3849" s="16" t="n"/>
      <c r="B3849" s="19" t="n"/>
      <c r="D3849" s="16" t="n"/>
      <c r="E3849" s="19" t="n"/>
      <c r="G3849" s="16" t="n"/>
      <c r="H3849" s="19" t="n"/>
    </row>
    <row r="3850">
      <c r="A3850" s="16" t="n"/>
      <c r="B3850" s="19" t="n"/>
      <c r="D3850" s="16" t="n"/>
      <c r="E3850" s="19" t="n"/>
      <c r="G3850" s="16" t="n"/>
      <c r="H3850" s="19" t="n"/>
    </row>
    <row r="3851">
      <c r="A3851" s="16" t="n"/>
      <c r="B3851" s="19" t="n"/>
      <c r="D3851" s="16" t="n"/>
      <c r="E3851" s="19" t="n"/>
      <c r="G3851" s="16" t="n"/>
      <c r="H3851" s="19" t="n"/>
    </row>
    <row r="3852">
      <c r="A3852" s="16" t="n"/>
      <c r="B3852" s="19" t="n"/>
      <c r="D3852" s="16" t="n"/>
      <c r="E3852" s="19" t="n"/>
      <c r="G3852" s="16" t="n"/>
      <c r="H3852" s="19" t="n"/>
    </row>
    <row r="3853">
      <c r="A3853" s="16" t="n"/>
      <c r="B3853" s="19" t="n"/>
      <c r="D3853" s="16" t="n"/>
      <c r="E3853" s="19" t="n"/>
      <c r="G3853" s="16" t="n"/>
      <c r="H3853" s="19" t="n"/>
    </row>
    <row r="3854">
      <c r="A3854" s="16" t="n"/>
      <c r="B3854" s="19" t="n"/>
      <c r="D3854" s="16" t="n"/>
      <c r="E3854" s="19" t="n"/>
      <c r="G3854" s="16" t="n"/>
      <c r="H3854" s="19" t="n"/>
    </row>
    <row r="3855">
      <c r="A3855" s="16" t="n"/>
      <c r="B3855" s="19" t="n"/>
      <c r="D3855" s="16" t="n"/>
      <c r="E3855" s="19" t="n"/>
      <c r="G3855" s="16" t="n"/>
      <c r="H3855" s="19" t="n"/>
    </row>
    <row r="3856">
      <c r="A3856" s="16" t="n"/>
      <c r="B3856" s="19" t="n"/>
      <c r="D3856" s="16" t="n"/>
      <c r="E3856" s="19" t="n"/>
      <c r="G3856" s="16" t="n"/>
      <c r="H3856" s="19" t="n"/>
    </row>
    <row r="3857">
      <c r="A3857" s="16" t="n"/>
      <c r="B3857" s="19" t="n"/>
      <c r="D3857" s="16" t="n"/>
      <c r="E3857" s="19" t="n"/>
      <c r="G3857" s="16" t="n"/>
      <c r="H3857" s="19" t="n"/>
    </row>
    <row r="3858">
      <c r="A3858" s="16" t="n"/>
      <c r="B3858" s="19" t="n"/>
      <c r="D3858" s="16" t="n"/>
      <c r="E3858" s="19" t="n"/>
      <c r="G3858" s="16" t="n"/>
      <c r="H3858" s="19" t="n"/>
    </row>
    <row r="3859">
      <c r="A3859" s="16" t="n"/>
      <c r="B3859" s="19" t="n"/>
      <c r="D3859" s="16" t="n"/>
      <c r="E3859" s="19" t="n"/>
      <c r="G3859" s="16" t="n"/>
      <c r="H3859" s="19" t="n"/>
    </row>
    <row r="3860">
      <c r="A3860" s="16" t="n"/>
      <c r="B3860" s="19" t="n"/>
      <c r="D3860" s="16" t="n"/>
      <c r="E3860" s="19" t="n"/>
      <c r="G3860" s="16" t="n"/>
      <c r="H3860" s="19" t="n"/>
    </row>
    <row r="3861">
      <c r="A3861" s="16" t="n"/>
      <c r="B3861" s="19" t="n"/>
      <c r="D3861" s="16" t="n"/>
      <c r="E3861" s="19" t="n"/>
      <c r="G3861" s="16" t="n"/>
      <c r="H3861" s="19" t="n"/>
    </row>
    <row r="3862">
      <c r="A3862" s="16" t="n"/>
      <c r="B3862" s="19" t="n"/>
      <c r="D3862" s="16" t="n"/>
      <c r="E3862" s="19" t="n"/>
      <c r="G3862" s="16" t="n"/>
      <c r="H3862" s="19" t="n"/>
    </row>
    <row r="3863">
      <c r="A3863" s="16" t="n"/>
      <c r="B3863" s="19" t="n"/>
      <c r="D3863" s="16" t="n"/>
      <c r="E3863" s="19" t="n"/>
      <c r="G3863" s="16" t="n"/>
      <c r="H3863" s="19" t="n"/>
    </row>
    <row r="3864">
      <c r="A3864" s="16" t="n"/>
      <c r="B3864" s="19" t="n"/>
      <c r="D3864" s="16" t="n"/>
      <c r="E3864" s="19" t="n"/>
      <c r="G3864" s="16" t="n"/>
      <c r="H3864" s="19" t="n"/>
    </row>
    <row r="3865">
      <c r="A3865" s="16" t="n"/>
      <c r="B3865" s="19" t="n"/>
      <c r="D3865" s="16" t="n"/>
      <c r="E3865" s="19" t="n"/>
      <c r="G3865" s="16" t="n"/>
      <c r="H3865" s="19" t="n"/>
    </row>
    <row r="3866">
      <c r="A3866" s="16" t="n"/>
      <c r="B3866" s="19" t="n"/>
      <c r="D3866" s="16" t="n"/>
      <c r="E3866" s="19" t="n"/>
      <c r="G3866" s="16" t="n"/>
      <c r="H3866" s="19" t="n"/>
    </row>
    <row r="3867">
      <c r="A3867" s="16" t="n"/>
      <c r="B3867" s="19" t="n"/>
      <c r="D3867" s="16" t="n"/>
      <c r="E3867" s="19" t="n"/>
      <c r="G3867" s="16" t="n"/>
      <c r="H3867" s="19" t="n"/>
    </row>
    <row r="3868">
      <c r="A3868" s="16" t="n"/>
      <c r="B3868" s="19" t="n"/>
      <c r="D3868" s="16" t="n"/>
      <c r="E3868" s="19" t="n"/>
      <c r="G3868" s="16" t="n"/>
      <c r="H3868" s="19" t="n"/>
    </row>
    <row r="3869">
      <c r="A3869" s="16" t="n"/>
      <c r="B3869" s="19" t="n"/>
      <c r="D3869" s="16" t="n"/>
      <c r="E3869" s="19" t="n"/>
      <c r="G3869" s="16" t="n"/>
      <c r="H3869" s="19" t="n"/>
    </row>
    <row r="3870">
      <c r="A3870" s="16" t="n"/>
      <c r="B3870" s="19" t="n"/>
      <c r="D3870" s="16" t="n"/>
      <c r="E3870" s="19" t="n"/>
      <c r="G3870" s="16" t="n"/>
      <c r="H3870" s="19" t="n"/>
    </row>
    <row r="3871">
      <c r="A3871" s="16" t="n"/>
      <c r="B3871" s="19" t="n"/>
      <c r="D3871" s="16" t="n"/>
      <c r="E3871" s="19" t="n"/>
      <c r="G3871" s="16" t="n"/>
      <c r="H3871" s="19" t="n"/>
    </row>
    <row r="3872">
      <c r="A3872" s="16" t="n"/>
      <c r="B3872" s="19" t="n"/>
      <c r="D3872" s="16" t="n"/>
      <c r="E3872" s="19" t="n"/>
      <c r="G3872" s="16" t="n"/>
      <c r="H3872" s="19" t="n"/>
    </row>
    <row r="3873">
      <c r="A3873" s="16" t="n"/>
      <c r="B3873" s="19" t="n"/>
      <c r="D3873" s="16" t="n"/>
      <c r="E3873" s="19" t="n"/>
      <c r="G3873" s="16" t="n"/>
      <c r="H3873" s="19" t="n"/>
    </row>
    <row r="3874">
      <c r="A3874" s="16" t="n"/>
      <c r="B3874" s="19" t="n"/>
      <c r="D3874" s="16" t="n"/>
      <c r="E3874" s="19" t="n"/>
      <c r="G3874" s="16" t="n"/>
      <c r="H3874" s="19" t="n"/>
    </row>
    <row r="3875">
      <c r="A3875" s="16" t="n"/>
      <c r="B3875" s="19" t="n"/>
      <c r="D3875" s="16" t="n"/>
      <c r="E3875" s="19" t="n"/>
      <c r="G3875" s="16" t="n"/>
      <c r="H3875" s="19" t="n"/>
    </row>
    <row r="3876">
      <c r="A3876" s="16" t="n"/>
      <c r="B3876" s="19" t="n"/>
      <c r="D3876" s="16" t="n"/>
      <c r="E3876" s="19" t="n"/>
      <c r="G3876" s="16" t="n"/>
      <c r="H3876" s="19" t="n"/>
    </row>
    <row r="3877">
      <c r="A3877" s="16" t="n"/>
      <c r="B3877" s="19" t="n"/>
      <c r="D3877" s="16" t="n"/>
      <c r="E3877" s="19" t="n"/>
      <c r="G3877" s="16" t="n"/>
      <c r="H3877" s="19" t="n"/>
    </row>
    <row r="3878">
      <c r="A3878" s="16" t="n"/>
      <c r="B3878" s="19" t="n"/>
      <c r="D3878" s="16" t="n"/>
      <c r="E3878" s="19" t="n"/>
      <c r="G3878" s="16" t="n"/>
      <c r="H3878" s="19" t="n"/>
    </row>
    <row r="3879">
      <c r="A3879" s="16" t="n"/>
      <c r="B3879" s="19" t="n"/>
      <c r="D3879" s="16" t="n"/>
      <c r="E3879" s="19" t="n"/>
      <c r="G3879" s="16" t="n"/>
      <c r="H3879" s="19" t="n"/>
    </row>
    <row r="3880">
      <c r="A3880" s="16" t="n"/>
      <c r="B3880" s="19" t="n"/>
      <c r="D3880" s="16" t="n"/>
      <c r="E3880" s="19" t="n"/>
      <c r="G3880" s="16" t="n"/>
      <c r="H3880" s="19" t="n"/>
    </row>
    <row r="3881">
      <c r="A3881" s="16" t="n"/>
      <c r="B3881" s="19" t="n"/>
      <c r="D3881" s="16" t="n"/>
      <c r="E3881" s="19" t="n"/>
      <c r="G3881" s="16" t="n"/>
      <c r="H3881" s="19" t="n"/>
    </row>
    <row r="3882">
      <c r="A3882" s="16" t="n"/>
      <c r="B3882" s="19" t="n"/>
      <c r="D3882" s="16" t="n"/>
      <c r="E3882" s="19" t="n"/>
      <c r="G3882" s="16" t="n"/>
      <c r="H3882" s="19" t="n"/>
    </row>
    <row r="3883">
      <c r="A3883" s="16" t="n"/>
      <c r="B3883" s="19" t="n"/>
      <c r="D3883" s="16" t="n"/>
      <c r="E3883" s="19" t="n"/>
      <c r="G3883" s="16" t="n"/>
      <c r="H3883" s="19" t="n"/>
    </row>
    <row r="3884">
      <c r="A3884" s="16" t="n"/>
      <c r="B3884" s="19" t="n"/>
      <c r="D3884" s="16" t="n"/>
      <c r="E3884" s="19" t="n"/>
      <c r="G3884" s="16" t="n"/>
      <c r="H3884" s="19" t="n"/>
    </row>
    <row r="3885">
      <c r="A3885" s="16" t="n"/>
      <c r="B3885" s="19" t="n"/>
      <c r="D3885" s="16" t="n"/>
      <c r="E3885" s="19" t="n"/>
      <c r="G3885" s="16" t="n"/>
      <c r="H3885" s="19" t="n"/>
    </row>
    <row r="3886">
      <c r="A3886" s="16" t="n"/>
      <c r="B3886" s="19" t="n"/>
      <c r="D3886" s="16" t="n"/>
      <c r="E3886" s="19" t="n"/>
      <c r="G3886" s="16" t="n"/>
      <c r="H3886" s="19" t="n"/>
    </row>
    <row r="3887">
      <c r="A3887" s="16" t="n"/>
      <c r="B3887" s="19" t="n"/>
      <c r="D3887" s="16" t="n"/>
      <c r="E3887" s="19" t="n"/>
      <c r="G3887" s="16" t="n"/>
      <c r="H3887" s="19" t="n"/>
    </row>
    <row r="3888">
      <c r="A3888" s="16" t="n"/>
      <c r="B3888" s="19" t="n"/>
      <c r="D3888" s="16" t="n"/>
      <c r="E3888" s="19" t="n"/>
      <c r="G3888" s="16" t="n"/>
      <c r="H3888" s="19" t="n"/>
    </row>
    <row r="3889">
      <c r="A3889" s="16" t="n"/>
      <c r="B3889" s="19" t="n"/>
      <c r="D3889" s="16" t="n"/>
      <c r="E3889" s="19" t="n"/>
      <c r="G3889" s="16" t="n"/>
      <c r="H3889" s="19" t="n"/>
    </row>
    <row r="3890">
      <c r="A3890" s="16" t="n"/>
      <c r="B3890" s="19" t="n"/>
      <c r="D3890" s="16" t="n"/>
      <c r="E3890" s="19" t="n"/>
      <c r="G3890" s="16" t="n"/>
      <c r="H3890" s="19" t="n"/>
    </row>
    <row r="3891">
      <c r="A3891" s="16" t="n"/>
      <c r="B3891" s="19" t="n"/>
      <c r="D3891" s="16" t="n"/>
      <c r="E3891" s="19" t="n"/>
      <c r="G3891" s="16" t="n"/>
      <c r="H3891" s="19" t="n"/>
    </row>
    <row r="3892">
      <c r="A3892" s="16" t="n"/>
      <c r="B3892" s="19" t="n"/>
      <c r="D3892" s="16" t="n"/>
      <c r="E3892" s="19" t="n"/>
      <c r="G3892" s="16" t="n"/>
      <c r="H3892" s="19" t="n"/>
    </row>
    <row r="3893">
      <c r="A3893" s="16" t="n"/>
      <c r="B3893" s="19" t="n"/>
      <c r="D3893" s="16" t="n"/>
      <c r="E3893" s="19" t="n"/>
      <c r="G3893" s="16" t="n"/>
      <c r="H3893" s="19" t="n"/>
    </row>
    <row r="3894">
      <c r="A3894" s="16" t="n"/>
      <c r="B3894" s="19" t="n"/>
      <c r="D3894" s="16" t="n"/>
      <c r="E3894" s="19" t="n"/>
      <c r="G3894" s="16" t="n"/>
      <c r="H3894" s="19" t="n"/>
    </row>
    <row r="3895">
      <c r="A3895" s="16" t="n"/>
      <c r="B3895" s="19" t="n"/>
      <c r="D3895" s="16" t="n"/>
      <c r="E3895" s="19" t="n"/>
      <c r="G3895" s="16" t="n"/>
      <c r="H3895" s="19" t="n"/>
    </row>
    <row r="3896">
      <c r="A3896" s="16" t="n"/>
      <c r="B3896" s="19" t="n"/>
      <c r="D3896" s="16" t="n"/>
      <c r="E3896" s="19" t="n"/>
      <c r="G3896" s="16" t="n"/>
      <c r="H3896" s="19" t="n"/>
    </row>
    <row r="3897">
      <c r="A3897" s="16" t="n"/>
      <c r="B3897" s="19" t="n"/>
      <c r="D3897" s="16" t="n"/>
      <c r="E3897" s="19" t="n"/>
      <c r="G3897" s="16" t="n"/>
      <c r="H3897" s="19" t="n"/>
    </row>
    <row r="3898">
      <c r="A3898" s="16" t="n"/>
      <c r="B3898" s="19" t="n"/>
      <c r="D3898" s="16" t="n"/>
      <c r="E3898" s="19" t="n"/>
      <c r="G3898" s="16" t="n"/>
      <c r="H3898" s="19" t="n"/>
    </row>
    <row r="3899">
      <c r="A3899" s="16" t="n"/>
      <c r="B3899" s="19" t="n"/>
      <c r="D3899" s="16" t="n"/>
      <c r="E3899" s="19" t="n"/>
      <c r="G3899" s="16" t="n"/>
      <c r="H3899" s="19" t="n"/>
    </row>
    <row r="3900">
      <c r="A3900" s="16" t="n"/>
      <c r="B3900" s="19" t="n"/>
      <c r="D3900" s="16" t="n"/>
      <c r="E3900" s="19" t="n"/>
      <c r="G3900" s="16" t="n"/>
      <c r="H3900" s="19" t="n"/>
    </row>
    <row r="3901">
      <c r="A3901" s="16" t="n"/>
      <c r="B3901" s="19" t="n"/>
      <c r="D3901" s="16" t="n"/>
      <c r="E3901" s="19" t="n"/>
      <c r="G3901" s="16" t="n"/>
      <c r="H3901" s="19" t="n"/>
    </row>
    <row r="3902">
      <c r="A3902" s="16" t="n"/>
      <c r="B3902" s="19" t="n"/>
      <c r="D3902" s="16" t="n"/>
      <c r="E3902" s="19" t="n"/>
      <c r="G3902" s="16" t="n"/>
      <c r="H3902" s="19" t="n"/>
    </row>
    <row r="3903">
      <c r="A3903" s="16" t="n"/>
      <c r="B3903" s="19" t="n"/>
      <c r="D3903" s="16" t="n"/>
      <c r="E3903" s="19" t="n"/>
      <c r="G3903" s="16" t="n"/>
      <c r="H3903" s="19" t="n"/>
    </row>
    <row r="3904">
      <c r="A3904" s="16" t="n"/>
      <c r="B3904" s="19" t="n"/>
      <c r="D3904" s="16" t="n"/>
      <c r="E3904" s="19" t="n"/>
      <c r="G3904" s="16" t="n"/>
      <c r="H3904" s="19" t="n"/>
    </row>
    <row r="3905">
      <c r="A3905" s="16" t="n"/>
      <c r="B3905" s="19" t="n"/>
      <c r="D3905" s="16" t="n"/>
      <c r="E3905" s="19" t="n"/>
      <c r="G3905" s="16" t="n"/>
      <c r="H3905" s="19" t="n"/>
    </row>
    <row r="3906">
      <c r="A3906" s="16" t="n"/>
      <c r="B3906" s="19" t="n"/>
      <c r="D3906" s="16" t="n"/>
      <c r="E3906" s="19" t="n"/>
      <c r="G3906" s="16" t="n"/>
      <c r="H3906" s="19" t="n"/>
    </row>
    <row r="3907">
      <c r="A3907" s="16" t="n"/>
      <c r="B3907" s="19" t="n"/>
      <c r="D3907" s="16" t="n"/>
      <c r="E3907" s="19" t="n"/>
      <c r="G3907" s="16" t="n"/>
      <c r="H3907" s="19" t="n"/>
    </row>
    <row r="3908">
      <c r="A3908" s="16" t="n"/>
      <c r="B3908" s="19" t="n"/>
      <c r="D3908" s="16" t="n"/>
      <c r="E3908" s="19" t="n"/>
      <c r="G3908" s="16" t="n"/>
      <c r="H3908" s="19" t="n"/>
    </row>
    <row r="3909">
      <c r="A3909" s="16" t="n"/>
      <c r="B3909" s="19" t="n"/>
      <c r="D3909" s="16" t="n"/>
      <c r="E3909" s="19" t="n"/>
      <c r="G3909" s="16" t="n"/>
      <c r="H3909" s="19" t="n"/>
    </row>
    <row r="3910">
      <c r="A3910" s="16" t="n"/>
      <c r="B3910" s="19" t="n"/>
      <c r="D3910" s="16" t="n"/>
      <c r="E3910" s="19" t="n"/>
      <c r="G3910" s="16" t="n"/>
      <c r="H3910" s="19" t="n"/>
    </row>
    <row r="3911">
      <c r="A3911" s="16" t="n"/>
      <c r="B3911" s="19" t="n"/>
      <c r="D3911" s="16" t="n"/>
      <c r="E3911" s="19" t="n"/>
      <c r="G3911" s="16" t="n"/>
      <c r="H3911" s="19" t="n"/>
    </row>
    <row r="3912">
      <c r="A3912" s="16" t="n"/>
      <c r="B3912" s="19" t="n"/>
      <c r="D3912" s="16" t="n"/>
      <c r="E3912" s="19" t="n"/>
      <c r="G3912" s="16" t="n"/>
      <c r="H3912" s="19" t="n"/>
    </row>
    <row r="3913">
      <c r="A3913" s="16" t="n"/>
      <c r="B3913" s="19" t="n"/>
      <c r="D3913" s="16" t="n"/>
      <c r="E3913" s="19" t="n"/>
      <c r="G3913" s="16" t="n"/>
      <c r="H3913" s="19" t="n"/>
    </row>
    <row r="3914">
      <c r="A3914" s="16" t="n"/>
      <c r="B3914" s="19" t="n"/>
      <c r="D3914" s="16" t="n"/>
      <c r="E3914" s="19" t="n"/>
      <c r="G3914" s="16" t="n"/>
      <c r="H3914" s="19" t="n"/>
    </row>
    <row r="3915">
      <c r="A3915" s="16" t="n"/>
      <c r="B3915" s="19" t="n"/>
      <c r="D3915" s="16" t="n"/>
      <c r="E3915" s="19" t="n"/>
      <c r="G3915" s="16" t="n"/>
      <c r="H3915" s="19" t="n"/>
    </row>
    <row r="3916">
      <c r="A3916" s="16" t="n"/>
      <c r="B3916" s="19" t="n"/>
      <c r="D3916" s="16" t="n"/>
      <c r="E3916" s="19" t="n"/>
      <c r="G3916" s="16" t="n"/>
      <c r="H3916" s="19" t="n"/>
    </row>
    <row r="3917">
      <c r="A3917" s="16" t="n"/>
      <c r="B3917" s="19" t="n"/>
      <c r="D3917" s="16" t="n"/>
      <c r="E3917" s="19" t="n"/>
      <c r="G3917" s="16" t="n"/>
      <c r="H3917" s="19" t="n"/>
    </row>
    <row r="3918">
      <c r="A3918" s="16" t="n"/>
      <c r="B3918" s="19" t="n"/>
      <c r="D3918" s="16" t="n"/>
      <c r="E3918" s="19" t="n"/>
      <c r="G3918" s="16" t="n"/>
      <c r="H3918" s="19" t="n"/>
    </row>
    <row r="3919">
      <c r="A3919" s="16" t="n"/>
      <c r="B3919" s="19" t="n"/>
      <c r="D3919" s="16" t="n"/>
      <c r="E3919" s="19" t="n"/>
      <c r="G3919" s="16" t="n"/>
      <c r="H3919" s="19" t="n"/>
    </row>
    <row r="3920">
      <c r="A3920" s="16" t="n"/>
      <c r="B3920" s="19" t="n"/>
      <c r="D3920" s="16" t="n"/>
      <c r="E3920" s="19" t="n"/>
      <c r="G3920" s="16" t="n"/>
      <c r="H3920" s="19" t="n"/>
    </row>
    <row r="3921">
      <c r="A3921" s="16" t="n"/>
      <c r="B3921" s="19" t="n"/>
      <c r="D3921" s="16" t="n"/>
      <c r="E3921" s="19" t="n"/>
      <c r="G3921" s="16" t="n"/>
      <c r="H3921" s="19" t="n"/>
    </row>
    <row r="3922">
      <c r="A3922" s="16" t="n"/>
      <c r="B3922" s="19" t="n"/>
      <c r="D3922" s="16" t="n"/>
      <c r="E3922" s="19" t="n"/>
      <c r="G3922" s="16" t="n"/>
      <c r="H3922" s="19" t="n"/>
    </row>
    <row r="3923">
      <c r="A3923" s="16" t="n"/>
      <c r="B3923" s="19" t="n"/>
      <c r="D3923" s="16" t="n"/>
      <c r="E3923" s="19" t="n"/>
      <c r="G3923" s="16" t="n"/>
      <c r="H3923" s="19" t="n"/>
    </row>
    <row r="3924">
      <c r="A3924" s="16" t="n"/>
      <c r="B3924" s="19" t="n"/>
      <c r="D3924" s="16" t="n"/>
      <c r="E3924" s="19" t="n"/>
      <c r="G3924" s="16" t="n"/>
      <c r="H3924" s="19" t="n"/>
    </row>
    <row r="3925">
      <c r="A3925" s="16" t="n"/>
      <c r="B3925" s="19" t="n"/>
      <c r="D3925" s="16" t="n"/>
      <c r="E3925" s="19" t="n"/>
      <c r="G3925" s="16" t="n"/>
      <c r="H3925" s="19" t="n"/>
    </row>
    <row r="3926">
      <c r="A3926" s="16" t="n"/>
      <c r="B3926" s="19" t="n"/>
      <c r="D3926" s="16" t="n"/>
      <c r="E3926" s="19" t="n"/>
      <c r="G3926" s="16" t="n"/>
      <c r="H3926" s="19" t="n"/>
    </row>
    <row r="3927">
      <c r="A3927" s="16" t="n"/>
      <c r="B3927" s="19" t="n"/>
      <c r="D3927" s="16" t="n"/>
      <c r="E3927" s="19" t="n"/>
      <c r="G3927" s="16" t="n"/>
      <c r="H3927" s="19" t="n"/>
    </row>
    <row r="3928">
      <c r="A3928" s="16" t="n"/>
      <c r="B3928" s="19" t="n"/>
      <c r="D3928" s="16" t="n"/>
      <c r="E3928" s="19" t="n"/>
      <c r="G3928" s="16" t="n"/>
      <c r="H3928" s="19" t="n"/>
    </row>
    <row r="3929">
      <c r="A3929" s="16" t="n"/>
      <c r="B3929" s="19" t="n"/>
      <c r="D3929" s="16" t="n"/>
      <c r="E3929" s="19" t="n"/>
      <c r="G3929" s="16" t="n"/>
      <c r="H3929" s="19" t="n"/>
    </row>
    <row r="3930">
      <c r="A3930" s="16" t="n"/>
      <c r="B3930" s="19" t="n"/>
      <c r="D3930" s="16" t="n"/>
      <c r="E3930" s="19" t="n"/>
      <c r="G3930" s="16" t="n"/>
      <c r="H3930" s="19" t="n"/>
    </row>
    <row r="3931">
      <c r="A3931" s="16" t="n"/>
      <c r="B3931" s="19" t="n"/>
      <c r="D3931" s="16" t="n"/>
      <c r="E3931" s="19" t="n"/>
      <c r="G3931" s="16" t="n"/>
      <c r="H3931" s="19" t="n"/>
    </row>
    <row r="3932">
      <c r="A3932" s="16" t="n"/>
      <c r="B3932" s="19" t="n"/>
      <c r="D3932" s="16" t="n"/>
      <c r="E3932" s="19" t="n"/>
      <c r="G3932" s="16" t="n"/>
      <c r="H3932" s="19" t="n"/>
    </row>
    <row r="3933">
      <c r="A3933" s="16" t="n"/>
      <c r="B3933" s="19" t="n"/>
      <c r="D3933" s="16" t="n"/>
      <c r="E3933" s="19" t="n"/>
      <c r="G3933" s="16" t="n"/>
      <c r="H3933" s="19" t="n"/>
    </row>
    <row r="3934">
      <c r="A3934" s="16" t="n"/>
      <c r="B3934" s="19" t="n"/>
      <c r="D3934" s="16" t="n"/>
      <c r="E3934" s="19" t="n"/>
      <c r="G3934" s="16" t="n"/>
      <c r="H3934" s="19" t="n"/>
    </row>
    <row r="3935">
      <c r="A3935" s="16" t="n"/>
      <c r="B3935" s="19" t="n"/>
      <c r="D3935" s="16" t="n"/>
      <c r="E3935" s="19" t="n"/>
      <c r="G3935" s="16" t="n"/>
      <c r="H3935" s="19" t="n"/>
    </row>
    <row r="3936">
      <c r="A3936" s="16" t="n"/>
      <c r="B3936" s="19" t="n"/>
      <c r="D3936" s="16" t="n"/>
      <c r="E3936" s="19" t="n"/>
      <c r="G3936" s="16" t="n"/>
      <c r="H3936" s="19" t="n"/>
    </row>
    <row r="3937">
      <c r="A3937" s="16" t="n"/>
      <c r="B3937" s="19" t="n"/>
      <c r="D3937" s="16" t="n"/>
      <c r="E3937" s="19" t="n"/>
      <c r="G3937" s="16" t="n"/>
      <c r="H3937" s="19" t="n"/>
    </row>
    <row r="3938">
      <c r="A3938" s="16" t="n"/>
      <c r="B3938" s="19" t="n"/>
      <c r="D3938" s="16" t="n"/>
      <c r="E3938" s="19" t="n"/>
      <c r="G3938" s="16" t="n"/>
      <c r="H3938" s="19" t="n"/>
    </row>
    <row r="3939">
      <c r="A3939" s="16" t="n"/>
      <c r="B3939" s="19" t="n"/>
      <c r="D3939" s="16" t="n"/>
      <c r="E3939" s="19" t="n"/>
      <c r="G3939" s="16" t="n"/>
      <c r="H3939" s="19" t="n"/>
    </row>
    <row r="3940">
      <c r="A3940" s="16" t="n"/>
      <c r="B3940" s="19" t="n"/>
      <c r="D3940" s="16" t="n"/>
      <c r="E3940" s="19" t="n"/>
      <c r="G3940" s="16" t="n"/>
      <c r="H3940" s="19" t="n"/>
    </row>
    <row r="3941">
      <c r="A3941" s="16" t="n"/>
      <c r="B3941" s="19" t="n"/>
      <c r="D3941" s="16" t="n"/>
      <c r="E3941" s="19" t="n"/>
      <c r="G3941" s="16" t="n"/>
      <c r="H3941" s="19" t="n"/>
    </row>
    <row r="3942">
      <c r="A3942" s="16" t="n"/>
      <c r="B3942" s="19" t="n"/>
      <c r="D3942" s="16" t="n"/>
      <c r="E3942" s="19" t="n"/>
      <c r="G3942" s="16" t="n"/>
      <c r="H3942" s="19" t="n"/>
    </row>
    <row r="3943">
      <c r="A3943" s="16" t="n"/>
      <c r="B3943" s="19" t="n"/>
      <c r="D3943" s="16" t="n"/>
      <c r="E3943" s="19" t="n"/>
      <c r="G3943" s="16" t="n"/>
      <c r="H3943" s="19" t="n"/>
    </row>
    <row r="3944">
      <c r="A3944" s="16" t="n"/>
      <c r="B3944" s="19" t="n"/>
      <c r="D3944" s="16" t="n"/>
      <c r="E3944" s="19" t="n"/>
      <c r="G3944" s="16" t="n"/>
      <c r="H3944" s="19" t="n"/>
    </row>
    <row r="3945">
      <c r="A3945" s="16" t="n"/>
      <c r="B3945" s="19" t="n"/>
      <c r="D3945" s="16" t="n"/>
      <c r="E3945" s="19" t="n"/>
      <c r="G3945" s="16" t="n"/>
      <c r="H3945" s="19" t="n"/>
    </row>
    <row r="3946">
      <c r="A3946" s="16" t="n"/>
      <c r="B3946" s="19" t="n"/>
      <c r="D3946" s="16" t="n"/>
      <c r="E3946" s="19" t="n"/>
      <c r="G3946" s="16" t="n"/>
      <c r="H3946" s="19" t="n"/>
    </row>
    <row r="3947">
      <c r="A3947" s="16" t="n"/>
      <c r="B3947" s="19" t="n"/>
      <c r="D3947" s="16" t="n"/>
      <c r="E3947" s="19" t="n"/>
      <c r="G3947" s="16" t="n"/>
      <c r="H3947" s="19" t="n"/>
    </row>
    <row r="3948">
      <c r="A3948" s="16" t="n"/>
      <c r="B3948" s="19" t="n"/>
      <c r="D3948" s="16" t="n"/>
      <c r="E3948" s="19" t="n"/>
      <c r="G3948" s="16" t="n"/>
      <c r="H3948" s="19" t="n"/>
    </row>
    <row r="3949">
      <c r="A3949" s="16" t="n"/>
      <c r="B3949" s="19" t="n"/>
      <c r="D3949" s="16" t="n"/>
      <c r="E3949" s="19" t="n"/>
      <c r="G3949" s="16" t="n"/>
      <c r="H3949" s="19" t="n"/>
    </row>
    <row r="3950">
      <c r="A3950" s="16" t="n"/>
      <c r="B3950" s="19" t="n"/>
      <c r="D3950" s="16" t="n"/>
      <c r="E3950" s="19" t="n"/>
      <c r="G3950" s="16" t="n"/>
      <c r="H3950" s="19" t="n"/>
    </row>
    <row r="3951">
      <c r="A3951" s="16" t="n"/>
      <c r="B3951" s="19" t="n"/>
      <c r="D3951" s="16" t="n"/>
      <c r="E3951" s="19" t="n"/>
      <c r="G3951" s="16" t="n"/>
      <c r="H3951" s="19" t="n"/>
    </row>
    <row r="3952">
      <c r="A3952" s="16" t="n"/>
      <c r="B3952" s="19" t="n"/>
      <c r="D3952" s="16" t="n"/>
      <c r="E3952" s="19" t="n"/>
      <c r="G3952" s="16" t="n"/>
      <c r="H3952" s="19" t="n"/>
    </row>
    <row r="3953">
      <c r="A3953" s="16" t="n"/>
      <c r="B3953" s="19" t="n"/>
      <c r="D3953" s="16" t="n"/>
      <c r="E3953" s="19" t="n"/>
      <c r="G3953" s="16" t="n"/>
      <c r="H3953" s="19" t="n"/>
    </row>
    <row r="3954">
      <c r="A3954" s="16" t="n"/>
      <c r="B3954" s="19" t="n"/>
      <c r="D3954" s="16" t="n"/>
      <c r="E3954" s="19" t="n"/>
      <c r="G3954" s="16" t="n"/>
      <c r="H3954" s="19" t="n"/>
    </row>
    <row r="3955">
      <c r="A3955" s="16" t="n"/>
      <c r="B3955" s="19" t="n"/>
      <c r="D3955" s="16" t="n"/>
      <c r="E3955" s="19" t="n"/>
      <c r="G3955" s="16" t="n"/>
      <c r="H3955" s="19" t="n"/>
    </row>
    <row r="3956">
      <c r="A3956" s="16" t="n"/>
      <c r="B3956" s="19" t="n"/>
      <c r="D3956" s="16" t="n"/>
      <c r="E3956" s="19" t="n"/>
      <c r="G3956" s="16" t="n"/>
      <c r="H3956" s="19" t="n"/>
    </row>
    <row r="3957">
      <c r="A3957" s="16" t="n"/>
      <c r="B3957" s="19" t="n"/>
      <c r="D3957" s="16" t="n"/>
      <c r="E3957" s="19" t="n"/>
      <c r="G3957" s="16" t="n"/>
      <c r="H3957" s="19" t="n"/>
    </row>
    <row r="3958">
      <c r="A3958" s="16" t="n"/>
      <c r="B3958" s="19" t="n"/>
      <c r="D3958" s="16" t="n"/>
      <c r="E3958" s="19" t="n"/>
      <c r="G3958" s="16" t="n"/>
      <c r="H3958" s="19" t="n"/>
    </row>
    <row r="3959">
      <c r="A3959" s="16" t="n"/>
      <c r="B3959" s="19" t="n"/>
      <c r="D3959" s="16" t="n"/>
      <c r="E3959" s="19" t="n"/>
      <c r="G3959" s="16" t="n"/>
      <c r="H3959" s="19" t="n"/>
    </row>
    <row r="3960">
      <c r="A3960" s="16" t="n"/>
      <c r="B3960" s="19" t="n"/>
      <c r="D3960" s="16" t="n"/>
      <c r="E3960" s="19" t="n"/>
      <c r="G3960" s="16" t="n"/>
      <c r="H3960" s="19" t="n"/>
    </row>
    <row r="3961">
      <c r="A3961" s="16" t="n"/>
      <c r="B3961" s="19" t="n"/>
      <c r="D3961" s="16" t="n"/>
      <c r="E3961" s="19" t="n"/>
      <c r="G3961" s="16" t="n"/>
      <c r="H3961" s="19" t="n"/>
    </row>
    <row r="3962">
      <c r="A3962" s="16" t="n"/>
      <c r="B3962" s="19" t="n"/>
      <c r="D3962" s="16" t="n"/>
      <c r="E3962" s="19" t="n"/>
      <c r="G3962" s="16" t="n"/>
      <c r="H3962" s="19" t="n"/>
    </row>
    <row r="3963">
      <c r="A3963" s="16" t="n"/>
      <c r="B3963" s="19" t="n"/>
      <c r="D3963" s="16" t="n"/>
      <c r="E3963" s="19" t="n"/>
      <c r="G3963" s="16" t="n"/>
      <c r="H3963" s="19" t="n"/>
    </row>
    <row r="3964">
      <c r="A3964" s="16" t="n"/>
      <c r="B3964" s="19" t="n"/>
      <c r="D3964" s="16" t="n"/>
      <c r="E3964" s="19" t="n"/>
      <c r="G3964" s="16" t="n"/>
      <c r="H3964" s="19" t="n"/>
    </row>
    <row r="3965">
      <c r="A3965" s="16" t="n"/>
      <c r="B3965" s="19" t="n"/>
      <c r="D3965" s="16" t="n"/>
      <c r="E3965" s="19" t="n"/>
      <c r="G3965" s="16" t="n"/>
      <c r="H3965" s="19" t="n"/>
    </row>
    <row r="3966">
      <c r="A3966" s="16" t="n"/>
      <c r="B3966" s="19" t="n"/>
      <c r="D3966" s="16" t="n"/>
      <c r="E3966" s="19" t="n"/>
      <c r="G3966" s="16" t="n"/>
      <c r="H3966" s="19" t="n"/>
    </row>
    <row r="3967">
      <c r="A3967" s="16" t="n"/>
      <c r="B3967" s="19" t="n"/>
      <c r="D3967" s="16" t="n"/>
      <c r="E3967" s="19" t="n"/>
      <c r="G3967" s="16" t="n"/>
      <c r="H3967" s="19" t="n"/>
    </row>
    <row r="3968">
      <c r="A3968" s="16" t="n"/>
      <c r="B3968" s="19" t="n"/>
      <c r="D3968" s="16" t="n"/>
      <c r="E3968" s="19" t="n"/>
      <c r="G3968" s="16" t="n"/>
      <c r="H3968" s="19" t="n"/>
    </row>
    <row r="3969">
      <c r="A3969" s="16" t="n"/>
      <c r="B3969" s="19" t="n"/>
      <c r="D3969" s="16" t="n"/>
      <c r="E3969" s="19" t="n"/>
      <c r="G3969" s="16" t="n"/>
      <c r="H3969" s="19" t="n"/>
    </row>
    <row r="3970">
      <c r="A3970" s="16" t="n"/>
      <c r="B3970" s="19" t="n"/>
      <c r="D3970" s="16" t="n"/>
      <c r="E3970" s="19" t="n"/>
      <c r="G3970" s="16" t="n"/>
      <c r="H3970" s="19" t="n"/>
    </row>
    <row r="3971">
      <c r="A3971" s="16" t="n"/>
      <c r="B3971" s="19" t="n"/>
      <c r="D3971" s="16" t="n"/>
      <c r="E3971" s="19" t="n"/>
      <c r="G3971" s="16" t="n"/>
      <c r="H3971" s="19" t="n"/>
    </row>
    <row r="3972">
      <c r="A3972" s="16" t="n"/>
      <c r="B3972" s="19" t="n"/>
      <c r="D3972" s="16" t="n"/>
      <c r="E3972" s="19" t="n"/>
      <c r="G3972" s="16" t="n"/>
      <c r="H3972" s="19" t="n"/>
    </row>
    <row r="3973">
      <c r="A3973" s="16" t="n"/>
      <c r="B3973" s="19" t="n"/>
      <c r="D3973" s="16" t="n"/>
      <c r="E3973" s="19" t="n"/>
      <c r="G3973" s="16" t="n"/>
      <c r="H3973" s="19" t="n"/>
    </row>
    <row r="3974">
      <c r="A3974" s="16" t="n"/>
      <c r="B3974" s="19" t="n"/>
      <c r="D3974" s="16" t="n"/>
      <c r="E3974" s="19" t="n"/>
      <c r="G3974" s="16" t="n"/>
      <c r="H3974" s="19" t="n"/>
    </row>
    <row r="3975">
      <c r="A3975" s="16" t="n"/>
      <c r="B3975" s="19" t="n"/>
      <c r="D3975" s="16" t="n"/>
      <c r="E3975" s="19" t="n"/>
      <c r="G3975" s="16" t="n"/>
      <c r="H3975" s="19" t="n"/>
    </row>
    <row r="3976">
      <c r="A3976" s="16" t="n"/>
      <c r="B3976" s="19" t="n"/>
      <c r="D3976" s="16" t="n"/>
      <c r="E3976" s="19" t="n"/>
      <c r="G3976" s="16" t="n"/>
      <c r="H3976" s="19" t="n"/>
    </row>
    <row r="3977">
      <c r="A3977" s="16" t="n"/>
      <c r="B3977" s="19" t="n"/>
      <c r="D3977" s="16" t="n"/>
      <c r="E3977" s="19" t="n"/>
      <c r="G3977" s="16" t="n"/>
      <c r="H3977" s="19" t="n"/>
    </row>
    <row r="3978">
      <c r="A3978" s="16" t="n"/>
      <c r="B3978" s="19" t="n"/>
      <c r="D3978" s="16" t="n"/>
      <c r="E3978" s="19" t="n"/>
      <c r="G3978" s="16" t="n"/>
      <c r="H3978" s="19" t="n"/>
    </row>
    <row r="3979">
      <c r="A3979" s="16" t="n"/>
      <c r="B3979" s="19" t="n"/>
      <c r="D3979" s="16" t="n"/>
      <c r="E3979" s="19" t="n"/>
      <c r="G3979" s="16" t="n"/>
      <c r="H3979" s="19" t="n"/>
    </row>
    <row r="3980">
      <c r="A3980" s="16" t="n"/>
      <c r="B3980" s="19" t="n"/>
      <c r="D3980" s="16" t="n"/>
      <c r="E3980" s="19" t="n"/>
      <c r="G3980" s="16" t="n"/>
      <c r="H3980" s="19" t="n"/>
    </row>
    <row r="3981">
      <c r="A3981" s="16" t="n"/>
      <c r="B3981" s="19" t="n"/>
      <c r="D3981" s="16" t="n"/>
      <c r="E3981" s="19" t="n"/>
      <c r="G3981" s="16" t="n"/>
      <c r="H3981" s="19" t="n"/>
    </row>
    <row r="3982">
      <c r="A3982" s="16" t="n"/>
      <c r="B3982" s="19" t="n"/>
      <c r="D3982" s="16" t="n"/>
      <c r="E3982" s="19" t="n"/>
      <c r="G3982" s="16" t="n"/>
      <c r="H3982" s="19" t="n"/>
    </row>
    <row r="3983">
      <c r="A3983" s="16" t="n"/>
      <c r="B3983" s="19" t="n"/>
      <c r="D3983" s="16" t="n"/>
      <c r="E3983" s="19" t="n"/>
      <c r="G3983" s="16" t="n"/>
      <c r="H3983" s="19" t="n"/>
    </row>
    <row r="3984">
      <c r="A3984" s="16" t="n"/>
      <c r="B3984" s="19" t="n"/>
      <c r="D3984" s="16" t="n"/>
      <c r="E3984" s="19" t="n"/>
      <c r="G3984" s="16" t="n"/>
      <c r="H3984" s="19" t="n"/>
    </row>
    <row r="3985">
      <c r="A3985" s="16" t="n"/>
      <c r="B3985" s="19" t="n"/>
      <c r="D3985" s="16" t="n"/>
      <c r="E3985" s="19" t="n"/>
      <c r="G3985" s="16" t="n"/>
      <c r="H3985" s="19" t="n"/>
    </row>
    <row r="3986">
      <c r="A3986" s="16" t="n"/>
      <c r="B3986" s="19" t="n"/>
      <c r="D3986" s="16" t="n"/>
      <c r="E3986" s="19" t="n"/>
      <c r="G3986" s="16" t="n"/>
      <c r="H3986" s="19" t="n"/>
    </row>
    <row r="3987">
      <c r="A3987" s="16" t="n"/>
      <c r="B3987" s="19" t="n"/>
      <c r="D3987" s="16" t="n"/>
      <c r="E3987" s="19" t="n"/>
      <c r="G3987" s="16" t="n"/>
      <c r="H3987" s="19" t="n"/>
    </row>
    <row r="3988">
      <c r="A3988" s="16" t="n"/>
      <c r="B3988" s="19" t="n"/>
      <c r="D3988" s="16" t="n"/>
      <c r="E3988" s="19" t="n"/>
      <c r="G3988" s="16" t="n"/>
      <c r="H3988" s="19" t="n"/>
    </row>
    <row r="3989">
      <c r="A3989" s="16" t="n"/>
      <c r="B3989" s="19" t="n"/>
      <c r="D3989" s="16" t="n"/>
      <c r="E3989" s="19" t="n"/>
      <c r="G3989" s="16" t="n"/>
      <c r="H3989" s="19" t="n"/>
    </row>
    <row r="3990">
      <c r="A3990" s="16" t="n"/>
      <c r="B3990" s="19" t="n"/>
      <c r="D3990" s="16" t="n"/>
      <c r="E3990" s="19" t="n"/>
      <c r="G3990" s="16" t="n"/>
      <c r="H3990" s="19" t="n"/>
    </row>
    <row r="3991">
      <c r="A3991" s="16" t="n"/>
      <c r="B3991" s="19" t="n"/>
      <c r="D3991" s="16" t="n"/>
      <c r="E3991" s="19" t="n"/>
      <c r="G3991" s="16" t="n"/>
      <c r="H3991" s="19" t="n"/>
    </row>
    <row r="3992">
      <c r="A3992" s="16" t="n"/>
      <c r="B3992" s="19" t="n"/>
      <c r="D3992" s="16" t="n"/>
      <c r="E3992" s="19" t="n"/>
      <c r="G3992" s="16" t="n"/>
      <c r="H3992" s="19" t="n"/>
    </row>
    <row r="3993">
      <c r="A3993" s="16" t="n"/>
      <c r="B3993" s="19" t="n"/>
      <c r="D3993" s="16" t="n"/>
      <c r="E3993" s="19" t="n"/>
      <c r="G3993" s="16" t="n"/>
      <c r="H3993" s="19" t="n"/>
    </row>
    <row r="3994">
      <c r="A3994" s="16" t="n"/>
      <c r="B3994" s="19" t="n"/>
      <c r="D3994" s="16" t="n"/>
      <c r="E3994" s="19" t="n"/>
      <c r="G3994" s="16" t="n"/>
      <c r="H3994" s="19" t="n"/>
    </row>
    <row r="3995">
      <c r="A3995" s="16" t="n"/>
      <c r="B3995" s="19" t="n"/>
      <c r="D3995" s="16" t="n"/>
      <c r="E3995" s="19" t="n"/>
      <c r="G3995" s="16" t="n"/>
      <c r="H3995" s="19" t="n"/>
    </row>
    <row r="3996">
      <c r="A3996" s="16" t="n"/>
      <c r="B3996" s="19" t="n"/>
      <c r="D3996" s="16" t="n"/>
      <c r="E3996" s="19" t="n"/>
      <c r="G3996" s="16" t="n"/>
      <c r="H3996" s="19" t="n"/>
    </row>
    <row r="3997">
      <c r="A3997" s="16" t="n"/>
      <c r="B3997" s="19" t="n"/>
      <c r="D3997" s="16" t="n"/>
      <c r="E3997" s="19" t="n"/>
      <c r="G3997" s="16" t="n"/>
      <c r="H3997" s="19" t="n"/>
    </row>
    <row r="3998">
      <c r="A3998" s="16" t="n"/>
      <c r="B3998" s="19" t="n"/>
      <c r="D3998" s="16" t="n"/>
      <c r="E3998" s="19" t="n"/>
      <c r="G3998" s="16" t="n"/>
      <c r="H3998" s="19" t="n"/>
    </row>
    <row r="3999">
      <c r="A3999" s="16" t="n"/>
      <c r="B3999" s="19" t="n"/>
      <c r="D3999" s="16" t="n"/>
      <c r="E3999" s="19" t="n"/>
      <c r="G3999" s="16" t="n"/>
      <c r="H3999" s="19" t="n"/>
    </row>
    <row r="4000">
      <c r="A4000" s="16" t="n"/>
      <c r="B4000" s="19" t="n"/>
      <c r="D4000" s="16" t="n"/>
      <c r="E4000" s="19" t="n"/>
      <c r="G4000" s="16" t="n"/>
      <c r="H4000" s="19" t="n"/>
    </row>
    <row r="4001">
      <c r="A4001" s="16" t="n"/>
      <c r="B4001" s="19" t="n"/>
      <c r="D4001" s="16" t="n"/>
      <c r="E4001" s="19" t="n"/>
      <c r="G4001" s="16" t="n"/>
      <c r="H4001" s="19" t="n"/>
    </row>
    <row r="4002">
      <c r="A4002" s="16" t="n"/>
      <c r="B4002" s="19" t="n"/>
      <c r="D4002" s="16" t="n"/>
      <c r="E4002" s="19" t="n"/>
      <c r="G4002" s="16" t="n"/>
      <c r="H4002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/>
  </sheetPr>
  <dimension ref="A1:P4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12" customWidth="1" min="10" max="10"/>
    <col width="12" customWidth="1" min="11" max="11"/>
    <col width="12" customWidth="1" min="13" max="13"/>
    <col width="12" customWidth="1" min="14" max="14"/>
    <col width="90" customWidth="1" min="16" max="16"/>
  </cols>
  <sheetData>
    <row r="1">
      <c r="A1" s="7" t="inlineStr">
        <is>
          <t>코스피 지수 — 한국은행 ECOS 802Y001 또는 KRX</t>
        </is>
      </c>
      <c r="D1" s="7" t="inlineStr">
        <is>
          <t>VKOSPI — KRX 정보데이터시스템</t>
        </is>
      </c>
      <c r="G1" s="7" t="inlineStr">
        <is>
          <t>회사채 3년 AA- 금리(%) — ECOS 817Y002</t>
        </is>
      </c>
      <c r="J1" s="7" t="inlineStr">
        <is>
          <t>국고채 3년 금리(%) — ECOS 817Y002</t>
        </is>
      </c>
      <c r="M1" s="7" t="inlineStr">
        <is>
          <t>신용융자잔고 — 금융투자협회 FreeSIS</t>
        </is>
      </c>
      <c r="P1" s="2" t="inlineStr">
        <is>
          <t>원자료 — 한국 시장 심리</t>
        </is>
      </c>
    </row>
    <row r="2">
      <c r="A2" s="6" t="inlineStr">
        <is>
          <t>날짜</t>
        </is>
      </c>
      <c r="B2" s="6" t="inlineStr">
        <is>
          <t>kospi</t>
        </is>
      </c>
      <c r="D2" s="6" t="inlineStr">
        <is>
          <t>날짜</t>
        </is>
      </c>
      <c r="E2" s="6" t="inlineStr">
        <is>
          <t>vkospi</t>
        </is>
      </c>
      <c r="G2" s="6" t="inlineStr">
        <is>
          <t>날짜</t>
        </is>
      </c>
      <c r="H2" s="6" t="inlineStr">
        <is>
          <t>aa</t>
        </is>
      </c>
      <c r="J2" s="6" t="inlineStr">
        <is>
          <t>날짜</t>
        </is>
      </c>
      <c r="K2" s="6" t="inlineStr">
        <is>
          <t>ktb</t>
        </is>
      </c>
      <c r="M2" s="6" t="inlineStr">
        <is>
          <t>날짜</t>
        </is>
      </c>
      <c r="N2" s="6" t="inlineStr">
        <is>
          <t>credit</t>
        </is>
      </c>
      <c r="P2" s="5" t="inlineStr">
        <is>
          <t>붙여넣는 법: 각 블록의 2행(머리글 줄)부터 '날짜, 값' 두 열을 붙여 넣는다. 최신순이어도 된다.</t>
        </is>
      </c>
    </row>
    <row r="3">
      <c r="A3" s="16" t="n">
        <v>46295</v>
      </c>
      <c r="B3" s="19" t="n">
        <v>1791.11</v>
      </c>
      <c r="D3" s="16" t="n">
        <v>46295</v>
      </c>
      <c r="E3" s="19" t="n">
        <v>21.58</v>
      </c>
      <c r="G3" s="16" t="n">
        <v>43983</v>
      </c>
      <c r="H3" s="19" t="n">
        <v>1.636</v>
      </c>
      <c r="J3" s="16" t="n">
        <v>43983</v>
      </c>
      <c r="K3" s="19" t="n">
        <v>0.994</v>
      </c>
      <c r="M3" s="16" t="n">
        <v>46295</v>
      </c>
      <c r="N3" s="19" t="n">
        <v>194687</v>
      </c>
      <c r="P3" s="5" t="inlineStr">
        <is>
          <t>기간: 최근 6년 이상. 행이 4,000을 넘지 않게 한다. 날짜는 날짜 형식이어야 한다(글자 날짜면 계산에서 빠짐).</t>
        </is>
      </c>
    </row>
    <row r="4">
      <c r="A4" s="16" t="n">
        <v>46294</v>
      </c>
      <c r="B4" s="19" t="n">
        <v>1778.93</v>
      </c>
      <c r="D4" s="16" t="n">
        <v>46294</v>
      </c>
      <c r="E4" s="19" t="n">
        <v>23.03</v>
      </c>
      <c r="G4" s="16" t="n">
        <v>43984</v>
      </c>
      <c r="H4" s="19" t="n">
        <v>1.662</v>
      </c>
      <c r="J4" s="16" t="n">
        <v>43984</v>
      </c>
      <c r="K4" s="19" t="n">
        <v>1.03</v>
      </c>
      <c r="M4" s="16" t="n">
        <v>46294</v>
      </c>
      <c r="N4" s="19" t="n">
        <v>193817</v>
      </c>
      <c r="P4" s="5" t="inlineStr">
        <is>
          <t>코스피: ECOS 통계표 802Y001 주식시장(일) → KOSPI지수, 또는 KRX [지수 → 주가지수 → 개별지수 시세 추이].</t>
        </is>
      </c>
    </row>
    <row r="5">
      <c r="A5" s="16" t="n">
        <v>46293</v>
      </c>
      <c r="B5" s="19" t="n">
        <v>1785.2</v>
      </c>
      <c r="D5" s="16" t="n">
        <v>46293</v>
      </c>
      <c r="E5" s="19" t="n">
        <v>23.32</v>
      </c>
      <c r="G5" s="16" t="n">
        <v>43985</v>
      </c>
      <c r="H5" s="19" t="n">
        <v>1.664</v>
      </c>
      <c r="J5" s="16" t="n">
        <v>43985</v>
      </c>
      <c r="K5" s="19" t="n">
        <v>1.002</v>
      </c>
      <c r="M5" s="16" t="n">
        <v>46293</v>
      </c>
      <c r="N5" s="19" t="n">
        <v>193897</v>
      </c>
      <c r="P5" s="5" t="inlineStr">
        <is>
          <t>VKOSPI: KRX 정보데이터시스템 [지수 → 파생상품지수 → 개별지수 시세 추이] → 코스피 200 변동성지수.</t>
        </is>
      </c>
    </row>
    <row r="6">
      <c r="A6" s="16" t="n">
        <v>46290</v>
      </c>
      <c r="B6" s="19" t="n">
        <v>1782.75</v>
      </c>
      <c r="D6" s="16" t="n">
        <v>46290</v>
      </c>
      <c r="E6" s="19" t="n">
        <v>23.23</v>
      </c>
      <c r="G6" s="16" t="n">
        <v>43986</v>
      </c>
      <c r="H6" s="19" t="n">
        <v>1.657</v>
      </c>
      <c r="J6" s="16" t="n">
        <v>43986</v>
      </c>
      <c r="K6" s="19" t="n">
        <v>0.976</v>
      </c>
      <c r="M6" s="16" t="n">
        <v>46290</v>
      </c>
      <c r="N6" s="19" t="n">
        <v>193096</v>
      </c>
      <c r="P6" s="5" t="inlineStr">
        <is>
          <t>금리: ECOS 817Y002 시장금리(일별) → 회사채(3년, AA-), 국고채(3년). 금리차 = AA- − 국고채.</t>
        </is>
      </c>
    </row>
    <row r="7">
      <c r="A7" s="16" t="n">
        <v>46289</v>
      </c>
      <c r="B7" s="19" t="n">
        <v>1776.98</v>
      </c>
      <c r="D7" s="16" t="n">
        <v>46289</v>
      </c>
      <c r="E7" s="19" t="n">
        <v>22.87</v>
      </c>
      <c r="G7" s="16" t="n">
        <v>43987</v>
      </c>
      <c r="H7" s="19" t="n">
        <v>1.724</v>
      </c>
      <c r="J7" s="16" t="n">
        <v>43987</v>
      </c>
      <c r="K7" s="19" t="n">
        <v>0.983</v>
      </c>
      <c r="M7" s="16" t="n">
        <v>46289</v>
      </c>
      <c r="N7" s="19" t="n">
        <v>193576</v>
      </c>
      <c r="P7" s="5" t="inlineStr">
        <is>
          <t>신용융자잔고: 금융투자협회 FreeSIS [주식 → 신용공여 → 신용공여 잔고 추이] → 신용거래융자 합계(유가+코스닥).</t>
        </is>
      </c>
    </row>
    <row r="8">
      <c r="A8" s="16" t="n">
        <v>46288</v>
      </c>
      <c r="B8" s="19" t="n">
        <v>1801.1</v>
      </c>
      <c r="D8" s="16" t="n">
        <v>46288</v>
      </c>
      <c r="E8" s="19" t="n">
        <v>23.36</v>
      </c>
      <c r="G8" s="16" t="n">
        <v>43990</v>
      </c>
      <c r="H8" s="19" t="n">
        <v>1.725</v>
      </c>
      <c r="J8" s="16" t="n">
        <v>43990</v>
      </c>
      <c r="K8" s="19" t="n">
        <v>1.006</v>
      </c>
      <c r="M8" s="16" t="n">
        <v>46288</v>
      </c>
      <c r="N8" s="19" t="n">
        <v>196256</v>
      </c>
    </row>
    <row r="9">
      <c r="A9" s="16" t="n">
        <v>46287</v>
      </c>
      <c r="B9" s="19" t="n">
        <v>1797.02</v>
      </c>
      <c r="D9" s="16" t="n">
        <v>46287</v>
      </c>
      <c r="E9" s="19" t="n">
        <v>23.68</v>
      </c>
      <c r="G9" s="16" t="n">
        <v>43991</v>
      </c>
      <c r="H9" s="19" t="n">
        <v>1.744</v>
      </c>
      <c r="J9" s="16" t="n">
        <v>43991</v>
      </c>
      <c r="K9" s="19" t="n">
        <v>1.032</v>
      </c>
      <c r="M9" s="16" t="n">
        <v>46287</v>
      </c>
      <c r="N9" s="19" t="n">
        <v>196022</v>
      </c>
    </row>
    <row r="10">
      <c r="A10" s="16" t="n">
        <v>46286</v>
      </c>
      <c r="B10" s="19" t="n">
        <v>1780.16</v>
      </c>
      <c r="D10" s="16" t="n">
        <v>46286</v>
      </c>
      <c r="E10" s="19" t="n">
        <v>24.9</v>
      </c>
      <c r="G10" s="16" t="n">
        <v>43992</v>
      </c>
      <c r="H10" s="19" t="n">
        <v>1.763</v>
      </c>
      <c r="J10" s="16" t="n">
        <v>43992</v>
      </c>
      <c r="K10" s="19" t="n">
        <v>1.038</v>
      </c>
      <c r="M10" s="16" t="n">
        <v>46286</v>
      </c>
      <c r="N10" s="19" t="n">
        <v>194292</v>
      </c>
    </row>
    <row r="11">
      <c r="A11" s="16" t="n">
        <v>46283</v>
      </c>
      <c r="B11" s="19" t="n">
        <v>1790.44</v>
      </c>
      <c r="D11" s="16" t="n">
        <v>46283</v>
      </c>
      <c r="E11" s="19" t="n">
        <v>23.56</v>
      </c>
      <c r="G11" s="16" t="n">
        <v>43993</v>
      </c>
      <c r="H11" s="19" t="n">
        <v>1.804</v>
      </c>
      <c r="J11" s="16" t="n">
        <v>43993</v>
      </c>
      <c r="K11" s="19" t="n">
        <v>1.096</v>
      </c>
      <c r="M11" s="16" t="n">
        <v>46283</v>
      </c>
      <c r="N11" s="19" t="n">
        <v>195453</v>
      </c>
    </row>
    <row r="12">
      <c r="A12" s="16" t="n">
        <v>46282</v>
      </c>
      <c r="B12" s="19" t="n">
        <v>1770.78</v>
      </c>
      <c r="D12" s="16" t="n">
        <v>46282</v>
      </c>
      <c r="E12" s="19" t="n">
        <v>23.91</v>
      </c>
      <c r="G12" s="16" t="n">
        <v>43994</v>
      </c>
      <c r="H12" s="19" t="n">
        <v>1.772</v>
      </c>
      <c r="J12" s="16" t="n">
        <v>43994</v>
      </c>
      <c r="K12" s="19" t="n">
        <v>1.093</v>
      </c>
      <c r="M12" s="16" t="n">
        <v>46282</v>
      </c>
      <c r="N12" s="19" t="n">
        <v>194725</v>
      </c>
    </row>
    <row r="13">
      <c r="A13" s="16" t="n">
        <v>46281</v>
      </c>
      <c r="B13" s="19" t="n">
        <v>1787.7</v>
      </c>
      <c r="D13" s="16" t="n">
        <v>46281</v>
      </c>
      <c r="E13" s="19" t="n">
        <v>22.67</v>
      </c>
      <c r="G13" s="16" t="n">
        <v>43997</v>
      </c>
      <c r="H13" s="19" t="n">
        <v>1.834</v>
      </c>
      <c r="J13" s="16" t="n">
        <v>43997</v>
      </c>
      <c r="K13" s="19" t="n">
        <v>1.077</v>
      </c>
      <c r="M13" s="16" t="n">
        <v>46281</v>
      </c>
      <c r="N13" s="19" t="n">
        <v>195431</v>
      </c>
    </row>
    <row r="14">
      <c r="A14" s="16" t="n">
        <v>46280</v>
      </c>
      <c r="B14" s="19" t="n">
        <v>1804.31</v>
      </c>
      <c r="D14" s="16" t="n">
        <v>46280</v>
      </c>
      <c r="E14" s="19" t="n">
        <v>22.61</v>
      </c>
      <c r="G14" s="16" t="n">
        <v>43998</v>
      </c>
      <c r="H14" s="19" t="n">
        <v>1.811</v>
      </c>
      <c r="J14" s="16" t="n">
        <v>43998</v>
      </c>
      <c r="K14" s="19" t="n">
        <v>1.091</v>
      </c>
      <c r="M14" s="16" t="n">
        <v>46280</v>
      </c>
      <c r="N14" s="19" t="n">
        <v>197927</v>
      </c>
    </row>
    <row r="15">
      <c r="A15" s="16" t="n">
        <v>46279</v>
      </c>
      <c r="B15" s="19" t="n">
        <v>1799.29</v>
      </c>
      <c r="D15" s="16" t="n">
        <v>46279</v>
      </c>
      <c r="E15" s="19" t="n">
        <v>23.2</v>
      </c>
      <c r="G15" s="16" t="n">
        <v>43999</v>
      </c>
      <c r="H15" s="19" t="n">
        <v>1.89</v>
      </c>
      <c r="J15" s="16" t="n">
        <v>43999</v>
      </c>
      <c r="K15" s="19" t="n">
        <v>1.102</v>
      </c>
      <c r="M15" s="16" t="n">
        <v>46279</v>
      </c>
      <c r="N15" s="19" t="n">
        <v>199019</v>
      </c>
    </row>
    <row r="16">
      <c r="A16" s="16" t="n">
        <v>46276</v>
      </c>
      <c r="B16" s="19" t="n">
        <v>1790.67</v>
      </c>
      <c r="D16" s="16" t="n">
        <v>46276</v>
      </c>
      <c r="E16" s="19" t="n">
        <v>23.75</v>
      </c>
      <c r="G16" s="16" t="n">
        <v>44000</v>
      </c>
      <c r="H16" s="19" t="n">
        <v>1.952</v>
      </c>
      <c r="J16" s="16" t="n">
        <v>44000</v>
      </c>
      <c r="K16" s="19" t="n">
        <v>1.133</v>
      </c>
      <c r="M16" s="16" t="n">
        <v>46276</v>
      </c>
      <c r="N16" s="19" t="n">
        <v>198754</v>
      </c>
    </row>
    <row r="17">
      <c r="A17" s="16" t="n">
        <v>46275</v>
      </c>
      <c r="B17" s="19" t="n">
        <v>1785.17</v>
      </c>
      <c r="D17" s="16" t="n">
        <v>46275</v>
      </c>
      <c r="E17" s="19" t="n">
        <v>23.97</v>
      </c>
      <c r="G17" s="16" t="n">
        <v>44001</v>
      </c>
      <c r="H17" s="19" t="n">
        <v>2.027</v>
      </c>
      <c r="J17" s="16" t="n">
        <v>44001</v>
      </c>
      <c r="K17" s="19" t="n">
        <v>1.163</v>
      </c>
      <c r="M17" s="16" t="n">
        <v>46275</v>
      </c>
      <c r="N17" s="19" t="n">
        <v>198238</v>
      </c>
    </row>
    <row r="18">
      <c r="A18" s="16" t="n">
        <v>46274</v>
      </c>
      <c r="B18" s="19" t="n">
        <v>1765.15</v>
      </c>
      <c r="D18" s="16" t="n">
        <v>46274</v>
      </c>
      <c r="E18" s="19" t="n">
        <v>24.27</v>
      </c>
      <c r="G18" s="16" t="n">
        <v>44004</v>
      </c>
      <c r="H18" s="19" t="n">
        <v>1.997</v>
      </c>
      <c r="J18" s="16" t="n">
        <v>44004</v>
      </c>
      <c r="K18" s="19" t="n">
        <v>1.134</v>
      </c>
      <c r="M18" s="16" t="n">
        <v>46274</v>
      </c>
      <c r="N18" s="19" t="n">
        <v>196208</v>
      </c>
    </row>
    <row r="19">
      <c r="A19" s="16" t="n">
        <v>46273</v>
      </c>
      <c r="B19" s="19" t="n">
        <v>1745.34</v>
      </c>
      <c r="D19" s="16" t="n">
        <v>46273</v>
      </c>
      <c r="E19" s="19" t="n">
        <v>26.37</v>
      </c>
      <c r="G19" s="16" t="n">
        <v>44005</v>
      </c>
      <c r="H19" s="19" t="n">
        <v>1.92</v>
      </c>
      <c r="J19" s="16" t="n">
        <v>44005</v>
      </c>
      <c r="K19" s="19" t="n">
        <v>1.102</v>
      </c>
      <c r="M19" s="16" t="n">
        <v>46273</v>
      </c>
      <c r="N19" s="19" t="n">
        <v>195525</v>
      </c>
    </row>
    <row r="20">
      <c r="A20" s="16" t="n">
        <v>46272</v>
      </c>
      <c r="B20" s="19" t="n">
        <v>1779.22</v>
      </c>
      <c r="D20" s="16" t="n">
        <v>46272</v>
      </c>
      <c r="E20" s="19" t="n">
        <v>24.02</v>
      </c>
      <c r="G20" s="16" t="n">
        <v>44006</v>
      </c>
      <c r="H20" s="19" t="n">
        <v>2.017</v>
      </c>
      <c r="J20" s="16" t="n">
        <v>44006</v>
      </c>
      <c r="K20" s="19" t="n">
        <v>1.108</v>
      </c>
      <c r="M20" s="16" t="n">
        <v>46272</v>
      </c>
      <c r="N20" s="19" t="n">
        <v>197327</v>
      </c>
    </row>
    <row r="21">
      <c r="A21" s="16" t="n">
        <v>46269</v>
      </c>
      <c r="B21" s="19" t="n">
        <v>1812.83</v>
      </c>
      <c r="D21" s="16" t="n">
        <v>46269</v>
      </c>
      <c r="E21" s="19" t="n">
        <v>23.12</v>
      </c>
      <c r="G21" s="16" t="n">
        <v>44007</v>
      </c>
      <c r="H21" s="19" t="n">
        <v>1.986</v>
      </c>
      <c r="J21" s="16" t="n">
        <v>44007</v>
      </c>
      <c r="K21" s="19" t="n">
        <v>1.131</v>
      </c>
      <c r="M21" s="16" t="n">
        <v>46269</v>
      </c>
      <c r="N21" s="19" t="n">
        <v>200034</v>
      </c>
    </row>
    <row r="22">
      <c r="A22" s="16" t="n">
        <v>46268</v>
      </c>
      <c r="B22" s="19" t="n">
        <v>1851.33</v>
      </c>
      <c r="D22" s="16" t="n">
        <v>46268</v>
      </c>
      <c r="E22" s="19" t="n">
        <v>20.59</v>
      </c>
      <c r="G22" s="16" t="n">
        <v>44008</v>
      </c>
      <c r="H22" s="19" t="n">
        <v>2.029</v>
      </c>
      <c r="J22" s="16" t="n">
        <v>44008</v>
      </c>
      <c r="K22" s="19" t="n">
        <v>1.119</v>
      </c>
      <c r="M22" s="16" t="n">
        <v>46268</v>
      </c>
      <c r="N22" s="19" t="n">
        <v>204116</v>
      </c>
    </row>
    <row r="23">
      <c r="A23" s="16" t="n">
        <v>46267</v>
      </c>
      <c r="B23" s="19" t="n">
        <v>1850.52</v>
      </c>
      <c r="D23" s="16" t="n">
        <v>46267</v>
      </c>
      <c r="E23" s="19" t="n">
        <v>20.52</v>
      </c>
      <c r="G23" s="16" t="n">
        <v>44011</v>
      </c>
      <c r="H23" s="19" t="n">
        <v>2.024</v>
      </c>
      <c r="J23" s="16" t="n">
        <v>44011</v>
      </c>
      <c r="K23" s="19" t="n">
        <v>1.15</v>
      </c>
      <c r="M23" s="16" t="n">
        <v>46267</v>
      </c>
      <c r="N23" s="19" t="n">
        <v>204040</v>
      </c>
    </row>
    <row r="24">
      <c r="A24" s="16" t="n">
        <v>46266</v>
      </c>
      <c r="B24" s="19" t="n">
        <v>1849.36</v>
      </c>
      <c r="D24" s="16" t="n">
        <v>46266</v>
      </c>
      <c r="E24" s="19" t="n">
        <v>20.18</v>
      </c>
      <c r="G24" s="16" t="n">
        <v>44012</v>
      </c>
      <c r="H24" s="19" t="n">
        <v>1.993</v>
      </c>
      <c r="J24" s="16" t="n">
        <v>44012</v>
      </c>
      <c r="K24" s="19" t="n">
        <v>1.151</v>
      </c>
      <c r="M24" s="16" t="n">
        <v>46266</v>
      </c>
      <c r="N24" s="19" t="n">
        <v>204163</v>
      </c>
    </row>
    <row r="25">
      <c r="A25" s="16" t="n">
        <v>46265</v>
      </c>
      <c r="B25" s="19" t="n">
        <v>1846.57</v>
      </c>
      <c r="D25" s="16" t="n">
        <v>46265</v>
      </c>
      <c r="E25" s="19" t="n">
        <v>20.94</v>
      </c>
      <c r="G25" s="16" t="n">
        <v>44013</v>
      </c>
      <c r="H25" s="19" t="n">
        <v>1.991</v>
      </c>
      <c r="J25" s="16" t="n">
        <v>44013</v>
      </c>
      <c r="K25" s="19" t="n">
        <v>1.17</v>
      </c>
      <c r="M25" s="16" t="n">
        <v>46265</v>
      </c>
      <c r="N25" s="19" t="n">
        <v>205128</v>
      </c>
    </row>
    <row r="26">
      <c r="A26" s="16" t="n">
        <v>46262</v>
      </c>
      <c r="B26" s="19" t="n">
        <v>1858.72</v>
      </c>
      <c r="D26" s="16" t="n">
        <v>46262</v>
      </c>
      <c r="E26" s="19" t="n">
        <v>20.03</v>
      </c>
      <c r="G26" s="16" t="n">
        <v>44014</v>
      </c>
      <c r="H26" s="19" t="n">
        <v>2.028</v>
      </c>
      <c r="J26" s="16" t="n">
        <v>44014</v>
      </c>
      <c r="K26" s="19" t="n">
        <v>1.212</v>
      </c>
      <c r="M26" s="16" t="n">
        <v>46262</v>
      </c>
      <c r="N26" s="19" t="n">
        <v>205665</v>
      </c>
    </row>
    <row r="27">
      <c r="A27" s="16" t="n">
        <v>46261</v>
      </c>
      <c r="B27" s="19" t="n">
        <v>1844.97</v>
      </c>
      <c r="D27" s="16" t="n">
        <v>46261</v>
      </c>
      <c r="E27" s="19" t="n">
        <v>21.05</v>
      </c>
      <c r="G27" s="16" t="n">
        <v>44015</v>
      </c>
      <c r="H27" s="19" t="n">
        <v>2.036</v>
      </c>
      <c r="J27" s="16" t="n">
        <v>44015</v>
      </c>
      <c r="K27" s="19" t="n">
        <v>1.197</v>
      </c>
      <c r="M27" s="16" t="n">
        <v>46261</v>
      </c>
      <c r="N27" s="19" t="n">
        <v>202969</v>
      </c>
    </row>
    <row r="28">
      <c r="A28" s="16" t="n">
        <v>46260</v>
      </c>
      <c r="B28" s="19" t="n">
        <v>1838.47</v>
      </c>
      <c r="D28" s="16" t="n">
        <v>46260</v>
      </c>
      <c r="E28" s="19" t="n">
        <v>21.73</v>
      </c>
      <c r="G28" s="16" t="n">
        <v>44018</v>
      </c>
      <c r="H28" s="19" t="n">
        <v>2.063</v>
      </c>
      <c r="J28" s="16" t="n">
        <v>44018</v>
      </c>
      <c r="K28" s="19" t="n">
        <v>1.228</v>
      </c>
      <c r="M28" s="16" t="n">
        <v>46260</v>
      </c>
      <c r="N28" s="19" t="n">
        <v>202853</v>
      </c>
    </row>
    <row r="29">
      <c r="A29" s="16" t="n">
        <v>46259</v>
      </c>
      <c r="B29" s="19" t="n">
        <v>1827.27</v>
      </c>
      <c r="D29" s="16" t="n">
        <v>46259</v>
      </c>
      <c r="E29" s="19" t="n">
        <v>22.76</v>
      </c>
      <c r="G29" s="16" t="n">
        <v>44019</v>
      </c>
      <c r="H29" s="19" t="n">
        <v>2.034</v>
      </c>
      <c r="J29" s="16" t="n">
        <v>44019</v>
      </c>
      <c r="K29" s="19" t="n">
        <v>1.217</v>
      </c>
      <c r="M29" s="16" t="n">
        <v>46259</v>
      </c>
      <c r="N29" s="19" t="n">
        <v>201977</v>
      </c>
    </row>
    <row r="30">
      <c r="A30" s="16" t="n">
        <v>46258</v>
      </c>
      <c r="B30" s="19" t="n">
        <v>1814.51</v>
      </c>
      <c r="D30" s="16" t="n">
        <v>46258</v>
      </c>
      <c r="E30" s="19" t="n">
        <v>24.37</v>
      </c>
      <c r="G30" s="16" t="n">
        <v>44020</v>
      </c>
      <c r="H30" s="19" t="n">
        <v>2.117</v>
      </c>
      <c r="J30" s="16" t="n">
        <v>44020</v>
      </c>
      <c r="K30" s="19" t="n">
        <v>1.213</v>
      </c>
      <c r="M30" s="16" t="n">
        <v>46258</v>
      </c>
      <c r="N30" s="19" t="n">
        <v>200562</v>
      </c>
    </row>
    <row r="31">
      <c r="A31" s="16" t="n">
        <v>46255</v>
      </c>
      <c r="B31" s="19" t="n">
        <v>1836.93</v>
      </c>
      <c r="D31" s="16" t="n">
        <v>46255</v>
      </c>
      <c r="E31" s="19" t="n">
        <v>23.07</v>
      </c>
      <c r="G31" s="16" t="n">
        <v>44021</v>
      </c>
      <c r="H31" s="19" t="n">
        <v>2.109</v>
      </c>
      <c r="J31" s="16" t="n">
        <v>44021</v>
      </c>
      <c r="K31" s="19" t="n">
        <v>1.233</v>
      </c>
      <c r="M31" s="16" t="n">
        <v>46255</v>
      </c>
      <c r="N31" s="19" t="n">
        <v>202371</v>
      </c>
    </row>
    <row r="32">
      <c r="A32" s="16" t="n">
        <v>46254</v>
      </c>
      <c r="B32" s="19" t="n">
        <v>1812.2</v>
      </c>
      <c r="D32" s="16" t="n">
        <v>46254</v>
      </c>
      <c r="E32" s="19" t="n">
        <v>23.95</v>
      </c>
      <c r="G32" s="16" t="n">
        <v>44022</v>
      </c>
      <c r="H32" s="19" t="n">
        <v>2.08</v>
      </c>
      <c r="J32" s="16" t="n">
        <v>44022</v>
      </c>
      <c r="K32" s="19" t="n">
        <v>1.229</v>
      </c>
      <c r="M32" s="16" t="n">
        <v>46254</v>
      </c>
      <c r="N32" s="19" t="n">
        <v>200740</v>
      </c>
    </row>
    <row r="33">
      <c r="A33" s="16" t="n">
        <v>46253</v>
      </c>
      <c r="B33" s="19" t="n">
        <v>1835.52</v>
      </c>
      <c r="D33" s="16" t="n">
        <v>46253</v>
      </c>
      <c r="E33" s="19" t="n">
        <v>22.11</v>
      </c>
      <c r="G33" s="16" t="n">
        <v>44025</v>
      </c>
      <c r="H33" s="19" t="n">
        <v>2.025</v>
      </c>
      <c r="J33" s="16" t="n">
        <v>44025</v>
      </c>
      <c r="K33" s="19" t="n">
        <v>1.254</v>
      </c>
      <c r="M33" s="16" t="n">
        <v>46253</v>
      </c>
      <c r="N33" s="19" t="n">
        <v>201486</v>
      </c>
    </row>
    <row r="34">
      <c r="A34" s="16" t="n">
        <v>46252</v>
      </c>
      <c r="B34" s="19" t="n">
        <v>1839.23</v>
      </c>
      <c r="D34" s="16" t="n">
        <v>46252</v>
      </c>
      <c r="E34" s="19" t="n">
        <v>22.17</v>
      </c>
      <c r="G34" s="16" t="n">
        <v>44026</v>
      </c>
      <c r="H34" s="19" t="n">
        <v>2.055</v>
      </c>
      <c r="J34" s="16" t="n">
        <v>44026</v>
      </c>
      <c r="K34" s="19" t="n">
        <v>1.293</v>
      </c>
      <c r="M34" s="16" t="n">
        <v>46252</v>
      </c>
      <c r="N34" s="19" t="n">
        <v>201439</v>
      </c>
    </row>
    <row r="35">
      <c r="A35" s="16" t="n">
        <v>46251</v>
      </c>
      <c r="B35" s="19" t="n">
        <v>1825.02</v>
      </c>
      <c r="D35" s="16" t="n">
        <v>46251</v>
      </c>
      <c r="E35" s="19" t="n">
        <v>22.09</v>
      </c>
      <c r="G35" s="16" t="n">
        <v>44027</v>
      </c>
      <c r="H35" s="19" t="n">
        <v>2.065</v>
      </c>
      <c r="J35" s="16" t="n">
        <v>44027</v>
      </c>
      <c r="K35" s="19" t="n">
        <v>1.29</v>
      </c>
      <c r="M35" s="16" t="n">
        <v>46251</v>
      </c>
      <c r="N35" s="19" t="n">
        <v>200284</v>
      </c>
    </row>
    <row r="36">
      <c r="A36" s="16" t="n">
        <v>46248</v>
      </c>
      <c r="B36" s="19" t="n">
        <v>1851.47</v>
      </c>
      <c r="D36" s="16" t="n">
        <v>46248</v>
      </c>
      <c r="E36" s="19" t="n">
        <v>20.86</v>
      </c>
      <c r="G36" s="16" t="n">
        <v>44028</v>
      </c>
      <c r="H36" s="19" t="n">
        <v>1.978</v>
      </c>
      <c r="J36" s="16" t="n">
        <v>44028</v>
      </c>
      <c r="K36" s="19" t="n">
        <v>1.256</v>
      </c>
      <c r="M36" s="16" t="n">
        <v>46248</v>
      </c>
      <c r="N36" s="19" t="n">
        <v>200465</v>
      </c>
    </row>
    <row r="37">
      <c r="A37" s="16" t="n">
        <v>46247</v>
      </c>
      <c r="B37" s="19" t="n">
        <v>1838.36</v>
      </c>
      <c r="D37" s="16" t="n">
        <v>46247</v>
      </c>
      <c r="E37" s="19" t="n">
        <v>22.39</v>
      </c>
      <c r="G37" s="16" t="n">
        <v>44029</v>
      </c>
      <c r="H37" s="19" t="n">
        <v>2.048</v>
      </c>
      <c r="J37" s="16" t="n">
        <v>44029</v>
      </c>
      <c r="K37" s="19" t="n">
        <v>1.278</v>
      </c>
      <c r="M37" s="16" t="n">
        <v>46247</v>
      </c>
      <c r="N37" s="19" t="n">
        <v>198790</v>
      </c>
    </row>
    <row r="38">
      <c r="A38" s="16" t="n">
        <v>46246</v>
      </c>
      <c r="B38" s="19" t="n">
        <v>1848.56</v>
      </c>
      <c r="D38" s="16" t="n">
        <v>46246</v>
      </c>
      <c r="E38" s="19" t="n">
        <v>23.34</v>
      </c>
      <c r="G38" s="16" t="n">
        <v>44032</v>
      </c>
      <c r="H38" s="19" t="n">
        <v>2.064</v>
      </c>
      <c r="J38" s="16" t="n">
        <v>44032</v>
      </c>
      <c r="K38" s="19" t="n">
        <v>1.276</v>
      </c>
      <c r="M38" s="16" t="n">
        <v>46246</v>
      </c>
      <c r="N38" s="19" t="n">
        <v>199381</v>
      </c>
    </row>
    <row r="39">
      <c r="A39" s="16" t="n">
        <v>46245</v>
      </c>
      <c r="B39" s="19" t="n">
        <v>1807.79</v>
      </c>
      <c r="D39" s="16" t="n">
        <v>46245</v>
      </c>
      <c r="E39" s="19" t="n">
        <v>27.52</v>
      </c>
      <c r="G39" s="16" t="n">
        <v>44033</v>
      </c>
      <c r="H39" s="19" t="n">
        <v>2.112</v>
      </c>
      <c r="J39" s="16" t="n">
        <v>44033</v>
      </c>
      <c r="K39" s="19" t="n">
        <v>1.29</v>
      </c>
      <c r="M39" s="16" t="n">
        <v>46245</v>
      </c>
      <c r="N39" s="19" t="n">
        <v>198047</v>
      </c>
    </row>
    <row r="40">
      <c r="A40" s="16" t="n">
        <v>46244</v>
      </c>
      <c r="B40" s="19" t="n">
        <v>1823.81</v>
      </c>
      <c r="D40" s="16" t="n">
        <v>46244</v>
      </c>
      <c r="E40" s="19" t="n">
        <v>25.88</v>
      </c>
      <c r="G40" s="16" t="n">
        <v>44034</v>
      </c>
      <c r="H40" s="19" t="n">
        <v>2.096</v>
      </c>
      <c r="J40" s="16" t="n">
        <v>44034</v>
      </c>
      <c r="K40" s="19" t="n">
        <v>1.296</v>
      </c>
      <c r="M40" s="16" t="n">
        <v>46244</v>
      </c>
      <c r="N40" s="19" t="n">
        <v>199557</v>
      </c>
    </row>
    <row r="41">
      <c r="A41" s="16" t="n">
        <v>46241</v>
      </c>
      <c r="B41" s="19" t="n">
        <v>1860.2</v>
      </c>
      <c r="D41" s="16" t="n">
        <v>46241</v>
      </c>
      <c r="E41" s="19" t="n">
        <v>24.07</v>
      </c>
      <c r="G41" s="16" t="n">
        <v>44035</v>
      </c>
      <c r="H41" s="19" t="n">
        <v>2.107</v>
      </c>
      <c r="J41" s="16" t="n">
        <v>44035</v>
      </c>
      <c r="K41" s="19" t="n">
        <v>1.314</v>
      </c>
      <c r="M41" s="16" t="n">
        <v>46241</v>
      </c>
      <c r="N41" s="19" t="n">
        <v>201947</v>
      </c>
    </row>
    <row r="42">
      <c r="A42" s="16" t="n">
        <v>46240</v>
      </c>
      <c r="B42" s="19" t="n">
        <v>1811.27</v>
      </c>
      <c r="D42" s="16" t="n">
        <v>46240</v>
      </c>
      <c r="E42" s="19" t="n">
        <v>27.4</v>
      </c>
      <c r="G42" s="16" t="n">
        <v>44036</v>
      </c>
      <c r="H42" s="19" t="n">
        <v>2.167</v>
      </c>
      <c r="J42" s="16" t="n">
        <v>44036</v>
      </c>
      <c r="K42" s="19" t="n">
        <v>1.348</v>
      </c>
      <c r="M42" s="16" t="n">
        <v>46240</v>
      </c>
      <c r="N42" s="19" t="n">
        <v>197414</v>
      </c>
    </row>
    <row r="43">
      <c r="A43" s="16" t="n">
        <v>46239</v>
      </c>
      <c r="B43" s="19" t="n">
        <v>1839.52</v>
      </c>
      <c r="D43" s="16" t="n">
        <v>46239</v>
      </c>
      <c r="E43" s="19" t="n">
        <v>26.38</v>
      </c>
      <c r="G43" s="16" t="n">
        <v>44039</v>
      </c>
      <c r="H43" s="19" t="n">
        <v>2.168</v>
      </c>
      <c r="J43" s="16" t="n">
        <v>44039</v>
      </c>
      <c r="K43" s="19" t="n">
        <v>1.386</v>
      </c>
      <c r="M43" s="16" t="n">
        <v>46239</v>
      </c>
      <c r="N43" s="19" t="n">
        <v>198546</v>
      </c>
    </row>
    <row r="44">
      <c r="A44" s="16" t="n">
        <v>46238</v>
      </c>
      <c r="B44" s="19" t="n">
        <v>1878.41</v>
      </c>
      <c r="D44" s="16" t="n">
        <v>46238</v>
      </c>
      <c r="E44" s="19" t="n">
        <v>24.97</v>
      </c>
      <c r="G44" s="16" t="n">
        <v>44040</v>
      </c>
      <c r="H44" s="19" t="n">
        <v>2.162</v>
      </c>
      <c r="J44" s="16" t="n">
        <v>44040</v>
      </c>
      <c r="K44" s="19" t="n">
        <v>1.39</v>
      </c>
      <c r="M44" s="16" t="n">
        <v>46238</v>
      </c>
      <c r="N44" s="19" t="n">
        <v>199378</v>
      </c>
    </row>
    <row r="45">
      <c r="A45" s="16" t="n">
        <v>46237</v>
      </c>
      <c r="B45" s="19" t="n">
        <v>1902.73</v>
      </c>
      <c r="D45" s="16" t="n">
        <v>46237</v>
      </c>
      <c r="E45" s="19" t="n">
        <v>24.22</v>
      </c>
      <c r="G45" s="16" t="n">
        <v>44041</v>
      </c>
      <c r="H45" s="19" t="n">
        <v>2.179</v>
      </c>
      <c r="J45" s="16" t="n">
        <v>44041</v>
      </c>
      <c r="K45" s="19" t="n">
        <v>1.398</v>
      </c>
      <c r="M45" s="16" t="n">
        <v>46237</v>
      </c>
      <c r="N45" s="19" t="n">
        <v>201240</v>
      </c>
    </row>
    <row r="46">
      <c r="A46" s="16" t="n">
        <v>46234</v>
      </c>
      <c r="B46" s="19" t="n">
        <v>1980.2</v>
      </c>
      <c r="D46" s="16" t="n">
        <v>46234</v>
      </c>
      <c r="E46" s="19" t="n">
        <v>20.62</v>
      </c>
      <c r="G46" s="16" t="n">
        <v>44042</v>
      </c>
      <c r="H46" s="19" t="n">
        <v>2.224</v>
      </c>
      <c r="J46" s="16" t="n">
        <v>44042</v>
      </c>
      <c r="K46" s="19" t="n">
        <v>1.448</v>
      </c>
      <c r="M46" s="16" t="n">
        <v>46234</v>
      </c>
      <c r="N46" s="19" t="n">
        <v>206607</v>
      </c>
    </row>
    <row r="47">
      <c r="A47" s="16" t="n">
        <v>46233</v>
      </c>
      <c r="B47" s="19" t="n">
        <v>2012.41</v>
      </c>
      <c r="D47" s="16" t="n">
        <v>46233</v>
      </c>
      <c r="E47" s="19" t="n">
        <v>19.55</v>
      </c>
      <c r="G47" s="16" t="n">
        <v>44043</v>
      </c>
      <c r="H47" s="19" t="n">
        <v>2.307</v>
      </c>
      <c r="J47" s="16" t="n">
        <v>44043</v>
      </c>
      <c r="K47" s="19" t="n">
        <v>1.498</v>
      </c>
      <c r="M47" s="16" t="n">
        <v>46233</v>
      </c>
      <c r="N47" s="19" t="n">
        <v>209041</v>
      </c>
    </row>
    <row r="48">
      <c r="A48" s="16" t="n">
        <v>46232</v>
      </c>
      <c r="B48" s="19" t="n">
        <v>1988.48</v>
      </c>
      <c r="D48" s="16" t="n">
        <v>46232</v>
      </c>
      <c r="E48" s="19" t="n">
        <v>20.21</v>
      </c>
      <c r="G48" s="16" t="n">
        <v>44046</v>
      </c>
      <c r="H48" s="19" t="n">
        <v>2.402</v>
      </c>
      <c r="J48" s="16" t="n">
        <v>44046</v>
      </c>
      <c r="K48" s="19" t="n">
        <v>1.518</v>
      </c>
      <c r="M48" s="16" t="n">
        <v>46232</v>
      </c>
      <c r="N48" s="19" t="n">
        <v>206585</v>
      </c>
    </row>
    <row r="49">
      <c r="A49" s="16" t="n">
        <v>46231</v>
      </c>
      <c r="B49" s="19" t="n">
        <v>1983.2</v>
      </c>
      <c r="D49" s="16" t="n">
        <v>46231</v>
      </c>
      <c r="E49" s="19" t="n">
        <v>19.69</v>
      </c>
      <c r="G49" s="16" t="n">
        <v>44047</v>
      </c>
      <c r="H49" s="19" t="n">
        <v>2.384</v>
      </c>
      <c r="J49" s="16" t="n">
        <v>44047</v>
      </c>
      <c r="K49" s="19" t="n">
        <v>1.529</v>
      </c>
      <c r="M49" s="16" t="n">
        <v>46231</v>
      </c>
      <c r="N49" s="19" t="n">
        <v>207047</v>
      </c>
    </row>
    <row r="50">
      <c r="A50" s="16" t="n">
        <v>46230</v>
      </c>
      <c r="B50" s="19" t="n">
        <v>1969.49</v>
      </c>
      <c r="D50" s="16" t="n">
        <v>46230</v>
      </c>
      <c r="E50" s="19" t="n">
        <v>20.51</v>
      </c>
      <c r="G50" s="16" t="n">
        <v>44048</v>
      </c>
      <c r="H50" s="19" t="n">
        <v>2.386</v>
      </c>
      <c r="J50" s="16" t="n">
        <v>44048</v>
      </c>
      <c r="K50" s="19" t="n">
        <v>1.551</v>
      </c>
      <c r="M50" s="16" t="n">
        <v>46230</v>
      </c>
      <c r="N50" s="19" t="n">
        <v>206099</v>
      </c>
    </row>
    <row r="51">
      <c r="A51" s="16" t="n">
        <v>46227</v>
      </c>
      <c r="B51" s="19" t="n">
        <v>1996.51</v>
      </c>
      <c r="D51" s="16" t="n">
        <v>46227</v>
      </c>
      <c r="E51" s="19" t="n">
        <v>18.14</v>
      </c>
      <c r="G51" s="16" t="n">
        <v>44049</v>
      </c>
      <c r="H51" s="19" t="n">
        <v>2.365</v>
      </c>
      <c r="J51" s="16" t="n">
        <v>44049</v>
      </c>
      <c r="K51" s="19" t="n">
        <v>1.522</v>
      </c>
      <c r="M51" s="16" t="n">
        <v>46227</v>
      </c>
      <c r="N51" s="19" t="n">
        <v>207227</v>
      </c>
    </row>
    <row r="52">
      <c r="A52" s="16" t="n">
        <v>46226</v>
      </c>
      <c r="B52" s="19" t="n">
        <v>2010.66</v>
      </c>
      <c r="D52" s="16" t="n">
        <v>46226</v>
      </c>
      <c r="E52" s="19" t="n">
        <v>18.01</v>
      </c>
      <c r="G52" s="16" t="n">
        <v>44050</v>
      </c>
      <c r="H52" s="19" t="n">
        <v>2.382</v>
      </c>
      <c r="J52" s="16" t="n">
        <v>44050</v>
      </c>
      <c r="K52" s="19" t="n">
        <v>1.537</v>
      </c>
      <c r="M52" s="16" t="n">
        <v>46226</v>
      </c>
      <c r="N52" s="19" t="n">
        <v>208588</v>
      </c>
    </row>
    <row r="53">
      <c r="A53" s="16" t="n">
        <v>46225</v>
      </c>
      <c r="B53" s="19" t="n">
        <v>2032.19</v>
      </c>
      <c r="D53" s="16" t="n">
        <v>46225</v>
      </c>
      <c r="E53" s="19" t="n">
        <v>16.71</v>
      </c>
      <c r="G53" s="16" t="n">
        <v>44053</v>
      </c>
      <c r="H53" s="19" t="n">
        <v>2.382</v>
      </c>
      <c r="J53" s="16" t="n">
        <v>44053</v>
      </c>
      <c r="K53" s="19" t="n">
        <v>1.556</v>
      </c>
      <c r="M53" s="16" t="n">
        <v>46225</v>
      </c>
      <c r="N53" s="19" t="n">
        <v>210257</v>
      </c>
    </row>
    <row r="54">
      <c r="A54" s="16" t="n">
        <v>46224</v>
      </c>
      <c r="B54" s="19" t="n">
        <v>2006.69</v>
      </c>
      <c r="D54" s="16" t="n">
        <v>46224</v>
      </c>
      <c r="E54" s="19" t="n">
        <v>18.91</v>
      </c>
      <c r="G54" s="16" t="n">
        <v>44054</v>
      </c>
      <c r="H54" s="19" t="n">
        <v>2.327</v>
      </c>
      <c r="J54" s="16" t="n">
        <v>44054</v>
      </c>
      <c r="K54" s="19" t="n">
        <v>1.529</v>
      </c>
      <c r="M54" s="16" t="n">
        <v>46224</v>
      </c>
      <c r="N54" s="19" t="n">
        <v>208900</v>
      </c>
    </row>
    <row r="55">
      <c r="A55" s="16" t="n">
        <v>46223</v>
      </c>
      <c r="B55" s="19" t="n">
        <v>2047.37</v>
      </c>
      <c r="D55" s="16" t="n">
        <v>46223</v>
      </c>
      <c r="E55" s="19" t="n">
        <v>16.21</v>
      </c>
      <c r="G55" s="16" t="n">
        <v>44055</v>
      </c>
      <c r="H55" s="19" t="n">
        <v>2.398</v>
      </c>
      <c r="J55" s="16" t="n">
        <v>44055</v>
      </c>
      <c r="K55" s="19" t="n">
        <v>1.543</v>
      </c>
      <c r="M55" s="16" t="n">
        <v>46223</v>
      </c>
      <c r="N55" s="19" t="n">
        <v>209752</v>
      </c>
    </row>
    <row r="56">
      <c r="A56" s="16" t="n">
        <v>46220</v>
      </c>
      <c r="B56" s="19" t="n">
        <v>2030.46</v>
      </c>
      <c r="D56" s="16" t="n">
        <v>46220</v>
      </c>
      <c r="E56" s="19" t="n">
        <v>18.7</v>
      </c>
      <c r="G56" s="16" t="n">
        <v>44056</v>
      </c>
      <c r="H56" s="19" t="n">
        <v>2.498</v>
      </c>
      <c r="J56" s="16" t="n">
        <v>44056</v>
      </c>
      <c r="K56" s="19" t="n">
        <v>1.586</v>
      </c>
      <c r="M56" s="16" t="n">
        <v>46220</v>
      </c>
      <c r="N56" s="19" t="n">
        <v>207866</v>
      </c>
    </row>
    <row r="57">
      <c r="A57" s="16" t="n">
        <v>46219</v>
      </c>
      <c r="B57" s="19" t="n">
        <v>2020.43</v>
      </c>
      <c r="D57" s="16" t="n">
        <v>46219</v>
      </c>
      <c r="E57" s="19" t="n">
        <v>20.39</v>
      </c>
      <c r="G57" s="16" t="n">
        <v>44057</v>
      </c>
      <c r="H57" s="19" t="n">
        <v>2.518</v>
      </c>
      <c r="J57" s="16" t="n">
        <v>44057</v>
      </c>
      <c r="K57" s="19" t="n">
        <v>1.639</v>
      </c>
      <c r="M57" s="16" t="n">
        <v>46219</v>
      </c>
      <c r="N57" s="19" t="n">
        <v>207337</v>
      </c>
    </row>
    <row r="58">
      <c r="A58" s="16" t="n">
        <v>46218</v>
      </c>
      <c r="B58" s="19" t="n">
        <v>2016.21</v>
      </c>
      <c r="D58" s="16" t="n">
        <v>46218</v>
      </c>
      <c r="E58" s="19" t="n">
        <v>21.04</v>
      </c>
      <c r="G58" s="16" t="n">
        <v>44060</v>
      </c>
      <c r="H58" s="19" t="n">
        <v>2.554</v>
      </c>
      <c r="J58" s="16" t="n">
        <v>44060</v>
      </c>
      <c r="K58" s="19" t="n">
        <v>1.614</v>
      </c>
      <c r="M58" s="16" t="n">
        <v>46218</v>
      </c>
      <c r="N58" s="19" t="n">
        <v>208534</v>
      </c>
    </row>
    <row r="59">
      <c r="A59" s="16" t="n">
        <v>46217</v>
      </c>
      <c r="B59" s="19" t="n">
        <v>2014.86</v>
      </c>
      <c r="D59" s="16" t="n">
        <v>46217</v>
      </c>
      <c r="E59" s="19" t="n">
        <v>20.44</v>
      </c>
      <c r="G59" s="16" t="n">
        <v>44061</v>
      </c>
      <c r="H59" s="19" t="n">
        <v>2.553</v>
      </c>
      <c r="J59" s="16" t="n">
        <v>44061</v>
      </c>
      <c r="K59" s="19" t="n">
        <v>1.591</v>
      </c>
      <c r="M59" s="16" t="n">
        <v>46217</v>
      </c>
      <c r="N59" s="19" t="n">
        <v>207861</v>
      </c>
    </row>
    <row r="60">
      <c r="A60" s="16" t="n">
        <v>46216</v>
      </c>
      <c r="B60" s="19" t="n">
        <v>2029.32</v>
      </c>
      <c r="D60" s="16" t="n">
        <v>46216</v>
      </c>
      <c r="E60" s="19" t="n">
        <v>19.04</v>
      </c>
      <c r="G60" s="16" t="n">
        <v>44062</v>
      </c>
      <c r="H60" s="19" t="n">
        <v>2.559</v>
      </c>
      <c r="J60" s="16" t="n">
        <v>44062</v>
      </c>
      <c r="K60" s="19" t="n">
        <v>1.631</v>
      </c>
      <c r="M60" s="16" t="n">
        <v>46216</v>
      </c>
      <c r="N60" s="19" t="n">
        <v>208593</v>
      </c>
    </row>
    <row r="61">
      <c r="A61" s="16" t="n">
        <v>46213</v>
      </c>
      <c r="B61" s="19" t="n">
        <v>1995.7</v>
      </c>
      <c r="D61" s="16" t="n">
        <v>46213</v>
      </c>
      <c r="E61" s="19" t="n">
        <v>20.46</v>
      </c>
      <c r="G61" s="16" t="n">
        <v>44063</v>
      </c>
      <c r="H61" s="19" t="n">
        <v>2.597</v>
      </c>
      <c r="J61" s="16" t="n">
        <v>44063</v>
      </c>
      <c r="K61" s="19" t="n">
        <v>1.637</v>
      </c>
      <c r="M61" s="16" t="n">
        <v>46213</v>
      </c>
      <c r="N61" s="19" t="n">
        <v>206570</v>
      </c>
    </row>
    <row r="62">
      <c r="A62" s="16" t="n">
        <v>46212</v>
      </c>
      <c r="B62" s="19" t="n">
        <v>1977.36</v>
      </c>
      <c r="D62" s="16" t="n">
        <v>46212</v>
      </c>
      <c r="E62" s="19" t="n">
        <v>21.4</v>
      </c>
      <c r="G62" s="16" t="n">
        <v>44064</v>
      </c>
      <c r="H62" s="19" t="n">
        <v>2.602</v>
      </c>
      <c r="J62" s="16" t="n">
        <v>44064</v>
      </c>
      <c r="K62" s="19" t="n">
        <v>1.644</v>
      </c>
      <c r="M62" s="16" t="n">
        <v>46212</v>
      </c>
      <c r="N62" s="19" t="n">
        <v>205883</v>
      </c>
    </row>
    <row r="63">
      <c r="A63" s="16" t="n">
        <v>46211</v>
      </c>
      <c r="B63" s="19" t="n">
        <v>1971.29</v>
      </c>
      <c r="D63" s="16" t="n">
        <v>46211</v>
      </c>
      <c r="E63" s="19" t="n">
        <v>22.04</v>
      </c>
      <c r="G63" s="16" t="n">
        <v>44067</v>
      </c>
      <c r="H63" s="19" t="n">
        <v>2.586</v>
      </c>
      <c r="J63" s="16" t="n">
        <v>44067</v>
      </c>
      <c r="K63" s="19" t="n">
        <v>1.634</v>
      </c>
      <c r="M63" s="16" t="n">
        <v>46211</v>
      </c>
      <c r="N63" s="19" t="n">
        <v>203112</v>
      </c>
    </row>
    <row r="64">
      <c r="A64" s="16" t="n">
        <v>46210</v>
      </c>
      <c r="B64" s="19" t="n">
        <v>1985.99</v>
      </c>
      <c r="D64" s="16" t="n">
        <v>46210</v>
      </c>
      <c r="E64" s="19" t="n">
        <v>20.71</v>
      </c>
      <c r="G64" s="16" t="n">
        <v>44068</v>
      </c>
      <c r="H64" s="19" t="n">
        <v>2.534</v>
      </c>
      <c r="J64" s="16" t="n">
        <v>44068</v>
      </c>
      <c r="K64" s="19" t="n">
        <v>1.57</v>
      </c>
      <c r="M64" s="16" t="n">
        <v>46210</v>
      </c>
      <c r="N64" s="19" t="n">
        <v>205428</v>
      </c>
    </row>
    <row r="65">
      <c r="A65" s="16" t="n">
        <v>46209</v>
      </c>
      <c r="B65" s="19" t="n">
        <v>1991.26</v>
      </c>
      <c r="D65" s="16" t="n">
        <v>46209</v>
      </c>
      <c r="E65" s="19" t="n">
        <v>20.22</v>
      </c>
      <c r="G65" s="16" t="n">
        <v>44069</v>
      </c>
      <c r="H65" s="19" t="n">
        <v>2.571</v>
      </c>
      <c r="J65" s="16" t="n">
        <v>44069</v>
      </c>
      <c r="K65" s="19" t="n">
        <v>1.588</v>
      </c>
      <c r="M65" s="16" t="n">
        <v>46209</v>
      </c>
      <c r="N65" s="19" t="n">
        <v>204910</v>
      </c>
    </row>
    <row r="66">
      <c r="A66" s="16" t="n">
        <v>46206</v>
      </c>
      <c r="B66" s="19" t="n">
        <v>2010.31</v>
      </c>
      <c r="D66" s="16" t="n">
        <v>46206</v>
      </c>
      <c r="E66" s="19" t="n">
        <v>18.35</v>
      </c>
      <c r="G66" s="16" t="n">
        <v>44070</v>
      </c>
      <c r="H66" s="19" t="n">
        <v>2.515</v>
      </c>
      <c r="J66" s="16" t="n">
        <v>44070</v>
      </c>
      <c r="K66" s="19" t="n">
        <v>1.535</v>
      </c>
      <c r="M66" s="16" t="n">
        <v>46206</v>
      </c>
      <c r="N66" s="19" t="n">
        <v>206496</v>
      </c>
    </row>
    <row r="67">
      <c r="A67" s="16" t="n">
        <v>46205</v>
      </c>
      <c r="B67" s="19" t="n">
        <v>2045.79</v>
      </c>
      <c r="D67" s="16" t="n">
        <v>46205</v>
      </c>
      <c r="E67" s="19" t="n">
        <v>16.19</v>
      </c>
      <c r="G67" s="16" t="n">
        <v>44071</v>
      </c>
      <c r="H67" s="19" t="n">
        <v>2.627</v>
      </c>
      <c r="J67" s="16" t="n">
        <v>44071</v>
      </c>
      <c r="K67" s="19" t="n">
        <v>1.577</v>
      </c>
      <c r="M67" s="16" t="n">
        <v>46205</v>
      </c>
      <c r="N67" s="19" t="n">
        <v>207758</v>
      </c>
    </row>
    <row r="68">
      <c r="A68" s="16" t="n">
        <v>46204</v>
      </c>
      <c r="B68" s="19" t="n">
        <v>2055.14</v>
      </c>
      <c r="D68" s="16" t="n">
        <v>46204</v>
      </c>
      <c r="E68" s="19" t="n">
        <v>16.43</v>
      </c>
      <c r="G68" s="16" t="n">
        <v>44074</v>
      </c>
      <c r="H68" s="19" t="n">
        <v>2.623</v>
      </c>
      <c r="J68" s="16" t="n">
        <v>44074</v>
      </c>
      <c r="K68" s="19" t="n">
        <v>1.553</v>
      </c>
      <c r="M68" s="16" t="n">
        <v>46204</v>
      </c>
      <c r="N68" s="19" t="n">
        <v>207848</v>
      </c>
    </row>
    <row r="69">
      <c r="A69" s="16" t="n">
        <v>46203</v>
      </c>
      <c r="B69" s="19" t="n">
        <v>2055.05</v>
      </c>
      <c r="D69" s="16" t="n">
        <v>46203</v>
      </c>
      <c r="E69" s="19" t="n">
        <v>15.96</v>
      </c>
      <c r="G69" s="16" t="n">
        <v>44075</v>
      </c>
      <c r="H69" s="19" t="n">
        <v>2.62</v>
      </c>
      <c r="J69" s="16" t="n">
        <v>44075</v>
      </c>
      <c r="K69" s="19" t="n">
        <v>1.538</v>
      </c>
      <c r="M69" s="16" t="n">
        <v>46203</v>
      </c>
      <c r="N69" s="19" t="n">
        <v>207390</v>
      </c>
    </row>
    <row r="70">
      <c r="A70" s="16" t="n">
        <v>46202</v>
      </c>
      <c r="B70" s="19" t="n">
        <v>2041.7</v>
      </c>
      <c r="D70" s="16" t="n">
        <v>46202</v>
      </c>
      <c r="E70" s="19" t="n">
        <v>17.18</v>
      </c>
      <c r="G70" s="16" t="n">
        <v>44076</v>
      </c>
      <c r="H70" s="19" t="n">
        <v>2.613</v>
      </c>
      <c r="J70" s="16" t="n">
        <v>44076</v>
      </c>
      <c r="K70" s="19" t="n">
        <v>1.521</v>
      </c>
      <c r="M70" s="16" t="n">
        <v>46202</v>
      </c>
      <c r="N70" s="19" t="n">
        <v>206796</v>
      </c>
    </row>
    <row r="71">
      <c r="A71" s="16" t="n">
        <v>46199</v>
      </c>
      <c r="B71" s="19" t="n">
        <v>2042.19</v>
      </c>
      <c r="D71" s="16" t="n">
        <v>46199</v>
      </c>
      <c r="E71" s="19" t="n">
        <v>17.58</v>
      </c>
      <c r="G71" s="16" t="n">
        <v>44077</v>
      </c>
      <c r="H71" s="19" t="n">
        <v>2.556</v>
      </c>
      <c r="J71" s="16" t="n">
        <v>44077</v>
      </c>
      <c r="K71" s="19" t="n">
        <v>1.526</v>
      </c>
      <c r="M71" s="16" t="n">
        <v>46199</v>
      </c>
      <c r="N71" s="19" t="n">
        <v>205189</v>
      </c>
    </row>
    <row r="72">
      <c r="A72" s="16" t="n">
        <v>46198</v>
      </c>
      <c r="B72" s="19" t="n">
        <v>2060.36</v>
      </c>
      <c r="D72" s="16" t="n">
        <v>46198</v>
      </c>
      <c r="E72" s="19" t="n">
        <v>15.83</v>
      </c>
      <c r="G72" s="16" t="n">
        <v>44078</v>
      </c>
      <c r="H72" s="19" t="n">
        <v>2.595</v>
      </c>
      <c r="J72" s="16" t="n">
        <v>44078</v>
      </c>
      <c r="K72" s="19" t="n">
        <v>1.555</v>
      </c>
      <c r="M72" s="16" t="n">
        <v>46198</v>
      </c>
      <c r="N72" s="19" t="n">
        <v>206146</v>
      </c>
    </row>
    <row r="73">
      <c r="A73" s="16" t="n">
        <v>46197</v>
      </c>
      <c r="B73" s="19" t="n">
        <v>2044.56</v>
      </c>
      <c r="D73" s="16" t="n">
        <v>46197</v>
      </c>
      <c r="E73" s="19" t="n">
        <v>16.2</v>
      </c>
      <c r="G73" s="16" t="n">
        <v>44081</v>
      </c>
      <c r="H73" s="19" t="n">
        <v>2.606</v>
      </c>
      <c r="J73" s="16" t="n">
        <v>44081</v>
      </c>
      <c r="K73" s="19" t="n">
        <v>1.556</v>
      </c>
      <c r="M73" s="16" t="n">
        <v>46197</v>
      </c>
      <c r="N73" s="19" t="n">
        <v>205300</v>
      </c>
    </row>
    <row r="74">
      <c r="A74" s="16" t="n">
        <v>46196</v>
      </c>
      <c r="B74" s="19" t="n">
        <v>2044.5</v>
      </c>
      <c r="D74" s="16" t="n">
        <v>46196</v>
      </c>
      <c r="E74" s="19" t="n">
        <v>15.11</v>
      </c>
      <c r="G74" s="16" t="n">
        <v>44082</v>
      </c>
      <c r="H74" s="19" t="n">
        <v>2.621</v>
      </c>
      <c r="J74" s="16" t="n">
        <v>44082</v>
      </c>
      <c r="K74" s="19" t="n">
        <v>1.519</v>
      </c>
      <c r="M74" s="16" t="n">
        <v>46196</v>
      </c>
      <c r="N74" s="19" t="n">
        <v>205886</v>
      </c>
    </row>
    <row r="75">
      <c r="A75" s="16" t="n">
        <v>46195</v>
      </c>
      <c r="B75" s="19" t="n">
        <v>2042.27</v>
      </c>
      <c r="D75" s="16" t="n">
        <v>46195</v>
      </c>
      <c r="E75" s="19" t="n">
        <v>14.85</v>
      </c>
      <c r="G75" s="16" t="n">
        <v>44083</v>
      </c>
      <c r="H75" s="19" t="n">
        <v>2.697</v>
      </c>
      <c r="J75" s="16" t="n">
        <v>44083</v>
      </c>
      <c r="K75" s="19" t="n">
        <v>1.572</v>
      </c>
      <c r="M75" s="16" t="n">
        <v>46195</v>
      </c>
      <c r="N75" s="19" t="n">
        <v>205661</v>
      </c>
    </row>
    <row r="76">
      <c r="A76" s="16" t="n">
        <v>46192</v>
      </c>
      <c r="B76" s="19" t="n">
        <v>2016.04</v>
      </c>
      <c r="D76" s="16" t="n">
        <v>46192</v>
      </c>
      <c r="E76" s="19" t="n">
        <v>16.35</v>
      </c>
      <c r="G76" s="16" t="n">
        <v>44084</v>
      </c>
      <c r="H76" s="19" t="n">
        <v>2.735</v>
      </c>
      <c r="J76" s="16" t="n">
        <v>44084</v>
      </c>
      <c r="K76" s="19" t="n">
        <v>1.58</v>
      </c>
      <c r="M76" s="16" t="n">
        <v>46192</v>
      </c>
      <c r="N76" s="19" t="n">
        <v>203546</v>
      </c>
    </row>
    <row r="77">
      <c r="A77" s="16" t="n">
        <v>46191</v>
      </c>
      <c r="B77" s="19" t="n">
        <v>2027.88</v>
      </c>
      <c r="D77" s="16" t="n">
        <v>46191</v>
      </c>
      <c r="E77" s="19" t="n">
        <v>16.4</v>
      </c>
      <c r="G77" s="16" t="n">
        <v>44085</v>
      </c>
      <c r="H77" s="19" t="n">
        <v>2.737</v>
      </c>
      <c r="J77" s="16" t="n">
        <v>44085</v>
      </c>
      <c r="K77" s="19" t="n">
        <v>1.584</v>
      </c>
      <c r="M77" s="16" t="n">
        <v>46191</v>
      </c>
      <c r="N77" s="19" t="n">
        <v>205107</v>
      </c>
    </row>
    <row r="78">
      <c r="A78" s="16" t="n">
        <v>46190</v>
      </c>
      <c r="B78" s="19" t="n">
        <v>2060.74</v>
      </c>
      <c r="D78" s="16" t="n">
        <v>46190</v>
      </c>
      <c r="E78" s="19" t="n">
        <v>14.59</v>
      </c>
      <c r="G78" s="16" t="n">
        <v>44088</v>
      </c>
      <c r="H78" s="19" t="n">
        <v>2.74</v>
      </c>
      <c r="J78" s="16" t="n">
        <v>44088</v>
      </c>
      <c r="K78" s="19" t="n">
        <v>1.605</v>
      </c>
      <c r="M78" s="16" t="n">
        <v>46190</v>
      </c>
      <c r="N78" s="19" t="n">
        <v>207443</v>
      </c>
    </row>
    <row r="79">
      <c r="A79" s="16" t="n">
        <v>46189</v>
      </c>
      <c r="B79" s="19" t="n">
        <v>2053.21</v>
      </c>
      <c r="D79" s="16" t="n">
        <v>46189</v>
      </c>
      <c r="E79" s="19" t="n">
        <v>15.23</v>
      </c>
      <c r="G79" s="16" t="n">
        <v>44089</v>
      </c>
      <c r="H79" s="19" t="n">
        <v>2.748</v>
      </c>
      <c r="J79" s="16" t="n">
        <v>44089</v>
      </c>
      <c r="K79" s="19" t="n">
        <v>1.587</v>
      </c>
      <c r="M79" s="16" t="n">
        <v>46189</v>
      </c>
      <c r="N79" s="19" t="n">
        <v>207520</v>
      </c>
    </row>
    <row r="80">
      <c r="A80" s="16" t="n">
        <v>46188</v>
      </c>
      <c r="B80" s="19" t="n">
        <v>2029.61</v>
      </c>
      <c r="D80" s="16" t="n">
        <v>46188</v>
      </c>
      <c r="E80" s="19" t="n">
        <v>14.88</v>
      </c>
      <c r="G80" s="16" t="n">
        <v>44090</v>
      </c>
      <c r="H80" s="19" t="n">
        <v>2.779</v>
      </c>
      <c r="J80" s="16" t="n">
        <v>44090</v>
      </c>
      <c r="K80" s="19" t="n">
        <v>1.622</v>
      </c>
      <c r="M80" s="16" t="n">
        <v>46188</v>
      </c>
      <c r="N80" s="19" t="n">
        <v>204849</v>
      </c>
    </row>
    <row r="81">
      <c r="A81" s="16" t="n">
        <v>46185</v>
      </c>
      <c r="B81" s="19" t="n">
        <v>2014.46</v>
      </c>
      <c r="D81" s="16" t="n">
        <v>46185</v>
      </c>
      <c r="E81" s="19" t="n">
        <v>16.27</v>
      </c>
      <c r="G81" s="16" t="n">
        <v>44091</v>
      </c>
      <c r="H81" s="19" t="n">
        <v>2.824</v>
      </c>
      <c r="J81" s="16" t="n">
        <v>44091</v>
      </c>
      <c r="K81" s="19" t="n">
        <v>1.632</v>
      </c>
      <c r="M81" s="16" t="n">
        <v>46185</v>
      </c>
      <c r="N81" s="19" t="n">
        <v>202873</v>
      </c>
    </row>
    <row r="82">
      <c r="A82" s="16" t="n">
        <v>46184</v>
      </c>
      <c r="B82" s="19" t="n">
        <v>1998.91</v>
      </c>
      <c r="D82" s="16" t="n">
        <v>46184</v>
      </c>
      <c r="E82" s="19" t="n">
        <v>18.02</v>
      </c>
      <c r="G82" s="16" t="n">
        <v>44092</v>
      </c>
      <c r="H82" s="19" t="n">
        <v>2.787</v>
      </c>
      <c r="J82" s="16" t="n">
        <v>44092</v>
      </c>
      <c r="K82" s="19" t="n">
        <v>1.629</v>
      </c>
      <c r="M82" s="16" t="n">
        <v>46184</v>
      </c>
      <c r="N82" s="19" t="n">
        <v>201405</v>
      </c>
    </row>
    <row r="83">
      <c r="A83" s="16" t="n">
        <v>46183</v>
      </c>
      <c r="B83" s="19" t="n">
        <v>1987.4</v>
      </c>
      <c r="D83" s="16" t="n">
        <v>46183</v>
      </c>
      <c r="E83" s="19" t="n">
        <v>17.02</v>
      </c>
      <c r="G83" s="16" t="n">
        <v>44095</v>
      </c>
      <c r="H83" s="19" t="n">
        <v>2.759</v>
      </c>
      <c r="J83" s="16" t="n">
        <v>44095</v>
      </c>
      <c r="K83" s="19" t="n">
        <v>1.629</v>
      </c>
      <c r="M83" s="16" t="n">
        <v>46183</v>
      </c>
      <c r="N83" s="19" t="n">
        <v>201097</v>
      </c>
    </row>
    <row r="84">
      <c r="A84" s="16" t="n">
        <v>46182</v>
      </c>
      <c r="B84" s="19" t="n">
        <v>1986.88</v>
      </c>
      <c r="D84" s="16" t="n">
        <v>46182</v>
      </c>
      <c r="E84" s="19" t="n">
        <v>17.28</v>
      </c>
      <c r="G84" s="16" t="n">
        <v>44096</v>
      </c>
      <c r="H84" s="19" t="n">
        <v>2.774</v>
      </c>
      <c r="J84" s="16" t="n">
        <v>44096</v>
      </c>
      <c r="K84" s="19" t="n">
        <v>1.651</v>
      </c>
      <c r="M84" s="16" t="n">
        <v>46182</v>
      </c>
      <c r="N84" s="19" t="n">
        <v>202470</v>
      </c>
    </row>
    <row r="85">
      <c r="A85" s="16" t="n">
        <v>46181</v>
      </c>
      <c r="B85" s="19" t="n">
        <v>1977.72</v>
      </c>
      <c r="D85" s="16" t="n">
        <v>46181</v>
      </c>
      <c r="E85" s="19" t="n">
        <v>17.62</v>
      </c>
      <c r="G85" s="16" t="n">
        <v>44097</v>
      </c>
      <c r="H85" s="19" t="n">
        <v>2.904</v>
      </c>
      <c r="J85" s="16" t="n">
        <v>44097</v>
      </c>
      <c r="K85" s="19" t="n">
        <v>1.704</v>
      </c>
      <c r="M85" s="16" t="n">
        <v>46181</v>
      </c>
      <c r="N85" s="19" t="n">
        <v>200998</v>
      </c>
    </row>
    <row r="86">
      <c r="A86" s="16" t="n">
        <v>46178</v>
      </c>
      <c r="B86" s="19" t="n">
        <v>1980.06</v>
      </c>
      <c r="D86" s="16" t="n">
        <v>46178</v>
      </c>
      <c r="E86" s="19" t="n">
        <v>18.23</v>
      </c>
      <c r="G86" s="16" t="n">
        <v>44098</v>
      </c>
      <c r="H86" s="19" t="n">
        <v>2.921</v>
      </c>
      <c r="J86" s="16" t="n">
        <v>44098</v>
      </c>
      <c r="K86" s="19" t="n">
        <v>1.716</v>
      </c>
      <c r="M86" s="16" t="n">
        <v>46178</v>
      </c>
      <c r="N86" s="19" t="n">
        <v>200687</v>
      </c>
    </row>
    <row r="87">
      <c r="A87" s="16" t="n">
        <v>46177</v>
      </c>
      <c r="B87" s="19" t="n">
        <v>1949.21</v>
      </c>
      <c r="D87" s="16" t="n">
        <v>46177</v>
      </c>
      <c r="E87" s="19" t="n">
        <v>19.89</v>
      </c>
      <c r="G87" s="16" t="n">
        <v>44099</v>
      </c>
      <c r="H87" s="19" t="n">
        <v>2.873</v>
      </c>
      <c r="J87" s="16" t="n">
        <v>44099</v>
      </c>
      <c r="K87" s="19" t="n">
        <v>1.706</v>
      </c>
      <c r="M87" s="16" t="n">
        <v>46177</v>
      </c>
      <c r="N87" s="19" t="n">
        <v>198391</v>
      </c>
    </row>
    <row r="88">
      <c r="A88" s="16" t="n">
        <v>46176</v>
      </c>
      <c r="B88" s="19" t="n">
        <v>1980.12</v>
      </c>
      <c r="D88" s="16" t="n">
        <v>46176</v>
      </c>
      <c r="E88" s="19" t="n">
        <v>18.92</v>
      </c>
      <c r="G88" s="16" t="n">
        <v>44102</v>
      </c>
      <c r="H88" s="19" t="n">
        <v>2.936</v>
      </c>
      <c r="J88" s="16" t="n">
        <v>44102</v>
      </c>
      <c r="K88" s="19" t="n">
        <v>1.733</v>
      </c>
      <c r="M88" s="16" t="n">
        <v>46176</v>
      </c>
      <c r="N88" s="19" t="n">
        <v>201199</v>
      </c>
    </row>
    <row r="89">
      <c r="A89" s="16" t="n">
        <v>46175</v>
      </c>
      <c r="B89" s="19" t="n">
        <v>1984.25</v>
      </c>
      <c r="D89" s="16" t="n">
        <v>46175</v>
      </c>
      <c r="E89" s="19" t="n">
        <v>18.55</v>
      </c>
      <c r="G89" s="16" t="n">
        <v>44103</v>
      </c>
      <c r="H89" s="19" t="n">
        <v>2.905</v>
      </c>
      <c r="J89" s="16" t="n">
        <v>44103</v>
      </c>
      <c r="K89" s="19" t="n">
        <v>1.707</v>
      </c>
      <c r="M89" s="16" t="n">
        <v>46175</v>
      </c>
      <c r="N89" s="19" t="n">
        <v>200006</v>
      </c>
    </row>
    <row r="90">
      <c r="A90" s="16" t="n">
        <v>46174</v>
      </c>
      <c r="B90" s="19" t="n">
        <v>2021.22</v>
      </c>
      <c r="D90" s="16" t="n">
        <v>46174</v>
      </c>
      <c r="E90" s="19" t="n">
        <v>17.5</v>
      </c>
      <c r="G90" s="16" t="n">
        <v>44104</v>
      </c>
      <c r="H90" s="19" t="n">
        <v>2.919</v>
      </c>
      <c r="J90" s="16" t="n">
        <v>44104</v>
      </c>
      <c r="K90" s="19" t="n">
        <v>1.728</v>
      </c>
      <c r="M90" s="16" t="n">
        <v>46174</v>
      </c>
      <c r="N90" s="19" t="n">
        <v>202428</v>
      </c>
    </row>
    <row r="91">
      <c r="A91" s="16" t="n">
        <v>46171</v>
      </c>
      <c r="B91" s="19" t="n">
        <v>2049.66</v>
      </c>
      <c r="D91" s="16" t="n">
        <v>46171</v>
      </c>
      <c r="E91" s="19" t="n">
        <v>16.04</v>
      </c>
      <c r="G91" s="16" t="n">
        <v>44105</v>
      </c>
      <c r="H91" s="19" t="n">
        <v>2.886</v>
      </c>
      <c r="J91" s="16" t="n">
        <v>44105</v>
      </c>
      <c r="K91" s="19" t="n">
        <v>1.759</v>
      </c>
      <c r="M91" s="16" t="n">
        <v>46171</v>
      </c>
      <c r="N91" s="19" t="n">
        <v>203234</v>
      </c>
    </row>
    <row r="92">
      <c r="A92" s="16" t="n">
        <v>46170</v>
      </c>
      <c r="B92" s="19" t="n">
        <v>2070.79</v>
      </c>
      <c r="D92" s="16" t="n">
        <v>46170</v>
      </c>
      <c r="E92" s="19" t="n">
        <v>14.43</v>
      </c>
      <c r="G92" s="16" t="n">
        <v>44106</v>
      </c>
      <c r="H92" s="19" t="n">
        <v>3.002</v>
      </c>
      <c r="J92" s="16" t="n">
        <v>44106</v>
      </c>
      <c r="K92" s="19" t="n">
        <v>1.787</v>
      </c>
      <c r="M92" s="16" t="n">
        <v>46170</v>
      </c>
      <c r="N92" s="19" t="n">
        <v>202960</v>
      </c>
    </row>
    <row r="93">
      <c r="A93" s="16" t="n">
        <v>46169</v>
      </c>
      <c r="B93" s="19" t="n">
        <v>2053.03</v>
      </c>
      <c r="D93" s="16" t="n">
        <v>46169</v>
      </c>
      <c r="E93" s="19" t="n">
        <v>15.49</v>
      </c>
      <c r="G93" s="16" t="n">
        <v>44109</v>
      </c>
      <c r="H93" s="19" t="n">
        <v>3.005</v>
      </c>
      <c r="J93" s="16" t="n">
        <v>44109</v>
      </c>
      <c r="K93" s="19" t="n">
        <v>1.782</v>
      </c>
      <c r="M93" s="16" t="n">
        <v>46169</v>
      </c>
      <c r="N93" s="19" t="n">
        <v>202940</v>
      </c>
    </row>
    <row r="94">
      <c r="A94" s="16" t="n">
        <v>46168</v>
      </c>
      <c r="B94" s="19" t="n">
        <v>2034.59</v>
      </c>
      <c r="D94" s="16" t="n">
        <v>46168</v>
      </c>
      <c r="E94" s="19" t="n">
        <v>16.35</v>
      </c>
      <c r="G94" s="16" t="n">
        <v>44110</v>
      </c>
      <c r="H94" s="19" t="n">
        <v>3.018</v>
      </c>
      <c r="J94" s="16" t="n">
        <v>44110</v>
      </c>
      <c r="K94" s="19" t="n">
        <v>1.777</v>
      </c>
      <c r="M94" s="16" t="n">
        <v>46168</v>
      </c>
      <c r="N94" s="19" t="n">
        <v>201461</v>
      </c>
    </row>
    <row r="95">
      <c r="A95" s="16" t="n">
        <v>46167</v>
      </c>
      <c r="B95" s="19" t="n">
        <v>2034.96</v>
      </c>
      <c r="D95" s="16" t="n">
        <v>46167</v>
      </c>
      <c r="E95" s="19" t="n">
        <v>15.63</v>
      </c>
      <c r="G95" s="16" t="n">
        <v>44111</v>
      </c>
      <c r="H95" s="19" t="n">
        <v>3.046</v>
      </c>
      <c r="J95" s="16" t="n">
        <v>44111</v>
      </c>
      <c r="K95" s="19" t="n">
        <v>1.797</v>
      </c>
      <c r="M95" s="16" t="n">
        <v>46167</v>
      </c>
      <c r="N95" s="19" t="n">
        <v>200757</v>
      </c>
    </row>
    <row r="96">
      <c r="A96" s="16" t="n">
        <v>46164</v>
      </c>
      <c r="B96" s="19" t="n">
        <v>2074.6</v>
      </c>
      <c r="D96" s="16" t="n">
        <v>46164</v>
      </c>
      <c r="E96" s="19" t="n">
        <v>13.54</v>
      </c>
      <c r="G96" s="16" t="n">
        <v>44112</v>
      </c>
      <c r="H96" s="19" t="n">
        <v>2.987</v>
      </c>
      <c r="J96" s="16" t="n">
        <v>44112</v>
      </c>
      <c r="K96" s="19" t="n">
        <v>1.755</v>
      </c>
      <c r="M96" s="16" t="n">
        <v>46164</v>
      </c>
      <c r="N96" s="19" t="n">
        <v>203730</v>
      </c>
    </row>
    <row r="97">
      <c r="A97" s="16" t="n">
        <v>46163</v>
      </c>
      <c r="B97" s="19" t="n">
        <v>2042.07</v>
      </c>
      <c r="D97" s="16" t="n">
        <v>46163</v>
      </c>
      <c r="E97" s="19" t="n">
        <v>14.37</v>
      </c>
      <c r="G97" s="16" t="n">
        <v>44116</v>
      </c>
      <c r="H97" s="19" t="n">
        <v>3.028</v>
      </c>
      <c r="J97" s="16" t="n">
        <v>44116</v>
      </c>
      <c r="K97" s="19" t="n">
        <v>1.747</v>
      </c>
      <c r="M97" s="16" t="n">
        <v>46163</v>
      </c>
      <c r="N97" s="19" t="n">
        <v>201855</v>
      </c>
    </row>
    <row r="98">
      <c r="A98" s="16" t="n">
        <v>46162</v>
      </c>
      <c r="B98" s="19" t="n">
        <v>2048.73</v>
      </c>
      <c r="D98" s="16" t="n">
        <v>46162</v>
      </c>
      <c r="E98" s="19" t="n">
        <v>15.42</v>
      </c>
      <c r="G98" s="16" t="n">
        <v>44117</v>
      </c>
      <c r="H98" s="19" t="n">
        <v>2.989</v>
      </c>
      <c r="J98" s="16" t="n">
        <v>44117</v>
      </c>
      <c r="K98" s="19" t="n">
        <v>1.756</v>
      </c>
      <c r="M98" s="16" t="n">
        <v>46162</v>
      </c>
      <c r="N98" s="19" t="n">
        <v>201538</v>
      </c>
    </row>
    <row r="99">
      <c r="A99" s="16" t="n">
        <v>46161</v>
      </c>
      <c r="B99" s="19" t="n">
        <v>2020.53</v>
      </c>
      <c r="D99" s="16" t="n">
        <v>46161</v>
      </c>
      <c r="E99" s="19" t="n">
        <v>17.3</v>
      </c>
      <c r="G99" s="16" t="n">
        <v>44118</v>
      </c>
      <c r="H99" s="19" t="n">
        <v>3.021</v>
      </c>
      <c r="J99" s="16" t="n">
        <v>44118</v>
      </c>
      <c r="K99" s="19" t="n">
        <v>1.798</v>
      </c>
      <c r="M99" s="16" t="n">
        <v>46161</v>
      </c>
      <c r="N99" s="19" t="n">
        <v>199314</v>
      </c>
    </row>
    <row r="100">
      <c r="A100" s="16" t="n">
        <v>46160</v>
      </c>
      <c r="B100" s="19" t="n">
        <v>2005.49</v>
      </c>
      <c r="D100" s="16" t="n">
        <v>46160</v>
      </c>
      <c r="E100" s="19" t="n">
        <v>17.99</v>
      </c>
      <c r="G100" s="16" t="n">
        <v>44119</v>
      </c>
      <c r="H100" s="19" t="n">
        <v>3.052</v>
      </c>
      <c r="J100" s="16" t="n">
        <v>44119</v>
      </c>
      <c r="K100" s="19" t="n">
        <v>1.792</v>
      </c>
      <c r="M100" s="16" t="n">
        <v>46160</v>
      </c>
      <c r="N100" s="19" t="n">
        <v>199049</v>
      </c>
    </row>
    <row r="101">
      <c r="A101" s="16" t="n">
        <v>46157</v>
      </c>
      <c r="B101" s="19" t="n">
        <v>1975.02</v>
      </c>
      <c r="D101" s="16" t="n">
        <v>46157</v>
      </c>
      <c r="E101" s="19" t="n">
        <v>19.53</v>
      </c>
      <c r="G101" s="16" t="n">
        <v>44120</v>
      </c>
      <c r="H101" s="19" t="n">
        <v>3.021</v>
      </c>
      <c r="J101" s="16" t="n">
        <v>44120</v>
      </c>
      <c r="K101" s="19" t="n">
        <v>1.798</v>
      </c>
      <c r="M101" s="16" t="n">
        <v>46157</v>
      </c>
      <c r="N101" s="19" t="n">
        <v>197003</v>
      </c>
    </row>
    <row r="102">
      <c r="A102" s="16" t="n">
        <v>46156</v>
      </c>
      <c r="B102" s="19" t="n">
        <v>1989.04</v>
      </c>
      <c r="D102" s="16" t="n">
        <v>46156</v>
      </c>
      <c r="E102" s="19" t="n">
        <v>18.48</v>
      </c>
      <c r="G102" s="16" t="n">
        <v>44123</v>
      </c>
      <c r="H102" s="19" t="n">
        <v>3.06</v>
      </c>
      <c r="J102" s="16" t="n">
        <v>44123</v>
      </c>
      <c r="K102" s="19" t="n">
        <v>1.786</v>
      </c>
      <c r="M102" s="16" t="n">
        <v>46156</v>
      </c>
      <c r="N102" s="19" t="n">
        <v>197723</v>
      </c>
    </row>
    <row r="103">
      <c r="A103" s="16" t="n">
        <v>46155</v>
      </c>
      <c r="B103" s="19" t="n">
        <v>2003.27</v>
      </c>
      <c r="D103" s="16" t="n">
        <v>46155</v>
      </c>
      <c r="E103" s="19" t="n">
        <v>17.75</v>
      </c>
      <c r="G103" s="16" t="n">
        <v>44124</v>
      </c>
      <c r="H103" s="19" t="n">
        <v>3.006</v>
      </c>
      <c r="J103" s="16" t="n">
        <v>44124</v>
      </c>
      <c r="K103" s="19" t="n">
        <v>1.737</v>
      </c>
      <c r="M103" s="16" t="n">
        <v>46155</v>
      </c>
      <c r="N103" s="19" t="n">
        <v>197807</v>
      </c>
    </row>
    <row r="104">
      <c r="A104" s="16" t="n">
        <v>46154</v>
      </c>
      <c r="B104" s="19" t="n">
        <v>1993.73</v>
      </c>
      <c r="D104" s="16" t="n">
        <v>46154</v>
      </c>
      <c r="E104" s="19" t="n">
        <v>18.79</v>
      </c>
      <c r="G104" s="16" t="n">
        <v>44125</v>
      </c>
      <c r="H104" s="19" t="n">
        <v>3.038</v>
      </c>
      <c r="J104" s="16" t="n">
        <v>44125</v>
      </c>
      <c r="K104" s="19" t="n">
        <v>1.768</v>
      </c>
      <c r="M104" s="16" t="n">
        <v>46154</v>
      </c>
      <c r="N104" s="19" t="n">
        <v>197234</v>
      </c>
    </row>
    <row r="105">
      <c r="A105" s="16" t="n">
        <v>46153</v>
      </c>
      <c r="B105" s="19" t="n">
        <v>1981.35</v>
      </c>
      <c r="D105" s="16" t="n">
        <v>46153</v>
      </c>
      <c r="E105" s="19" t="n">
        <v>18.71</v>
      </c>
      <c r="G105" s="16" t="n">
        <v>44126</v>
      </c>
      <c r="H105" s="19" t="n">
        <v>3.015</v>
      </c>
      <c r="J105" s="16" t="n">
        <v>44126</v>
      </c>
      <c r="K105" s="19" t="n">
        <v>1.739</v>
      </c>
      <c r="M105" s="16" t="n">
        <v>46153</v>
      </c>
      <c r="N105" s="19" t="n">
        <v>195790</v>
      </c>
    </row>
    <row r="106">
      <c r="A106" s="16" t="n">
        <v>46150</v>
      </c>
      <c r="B106" s="19" t="n">
        <v>1965.33</v>
      </c>
      <c r="D106" s="16" t="n">
        <v>46150</v>
      </c>
      <c r="E106" s="19" t="n">
        <v>20.14</v>
      </c>
      <c r="G106" s="16" t="n">
        <v>44127</v>
      </c>
      <c r="H106" s="19" t="n">
        <v>3.001</v>
      </c>
      <c r="J106" s="16" t="n">
        <v>44127</v>
      </c>
      <c r="K106" s="19" t="n">
        <v>1.715</v>
      </c>
      <c r="M106" s="16" t="n">
        <v>46150</v>
      </c>
      <c r="N106" s="19" t="n">
        <v>194668</v>
      </c>
    </row>
    <row r="107">
      <c r="A107" s="16" t="n">
        <v>46149</v>
      </c>
      <c r="B107" s="19" t="n">
        <v>1962.83</v>
      </c>
      <c r="D107" s="16" t="n">
        <v>46149</v>
      </c>
      <c r="E107" s="19" t="n">
        <v>19.69</v>
      </c>
      <c r="G107" s="16" t="n">
        <v>44130</v>
      </c>
      <c r="H107" s="19" t="n">
        <v>3.099</v>
      </c>
      <c r="J107" s="16" t="n">
        <v>44130</v>
      </c>
      <c r="K107" s="19" t="n">
        <v>1.732</v>
      </c>
      <c r="M107" s="16" t="n">
        <v>46149</v>
      </c>
      <c r="N107" s="19" t="n">
        <v>193652</v>
      </c>
    </row>
    <row r="108">
      <c r="A108" s="16" t="n">
        <v>46148</v>
      </c>
      <c r="B108" s="19" t="n">
        <v>1954.71</v>
      </c>
      <c r="D108" s="16" t="n">
        <v>46148</v>
      </c>
      <c r="E108" s="19" t="n">
        <v>20.49</v>
      </c>
      <c r="G108" s="16" t="n">
        <v>44131</v>
      </c>
      <c r="H108" s="19" t="n">
        <v>3.107</v>
      </c>
      <c r="J108" s="16" t="n">
        <v>44131</v>
      </c>
      <c r="K108" s="19" t="n">
        <v>1.756</v>
      </c>
      <c r="M108" s="16" t="n">
        <v>46148</v>
      </c>
      <c r="N108" s="19" t="n">
        <v>193889</v>
      </c>
    </row>
    <row r="109">
      <c r="A109" s="16" t="n">
        <v>46146</v>
      </c>
      <c r="B109" s="19" t="n">
        <v>1959.03</v>
      </c>
      <c r="D109" s="16" t="n">
        <v>46146</v>
      </c>
      <c r="E109" s="19" t="n">
        <v>20.14</v>
      </c>
      <c r="G109" s="16" t="n">
        <v>44132</v>
      </c>
      <c r="H109" s="19" t="n">
        <v>3.098</v>
      </c>
      <c r="J109" s="16" t="n">
        <v>44132</v>
      </c>
      <c r="K109" s="19" t="n">
        <v>1.79</v>
      </c>
      <c r="M109" s="16" t="n">
        <v>46146</v>
      </c>
      <c r="N109" s="19" t="n">
        <v>194176</v>
      </c>
    </row>
    <row r="110">
      <c r="A110" s="16" t="n">
        <v>46143</v>
      </c>
      <c r="B110" s="19" t="n">
        <v>1941.24</v>
      </c>
      <c r="D110" s="16" t="n">
        <v>46143</v>
      </c>
      <c r="E110" s="19" t="n">
        <v>20.46</v>
      </c>
      <c r="G110" s="16" t="n">
        <v>44133</v>
      </c>
      <c r="H110" s="19" t="n">
        <v>3.105</v>
      </c>
      <c r="J110" s="16" t="n">
        <v>44133</v>
      </c>
      <c r="K110" s="19" t="n">
        <v>1.816</v>
      </c>
      <c r="M110" s="16" t="n">
        <v>46143</v>
      </c>
      <c r="N110" s="19" t="n">
        <v>193599</v>
      </c>
    </row>
    <row r="111">
      <c r="A111" s="16" t="n">
        <v>46142</v>
      </c>
      <c r="B111" s="19" t="n">
        <v>1953.9</v>
      </c>
      <c r="D111" s="16" t="n">
        <v>46142</v>
      </c>
      <c r="E111" s="19" t="n">
        <v>20</v>
      </c>
      <c r="G111" s="16" t="n">
        <v>44134</v>
      </c>
      <c r="H111" s="19" t="n">
        <v>3.108</v>
      </c>
      <c r="J111" s="16" t="n">
        <v>44134</v>
      </c>
      <c r="K111" s="19" t="n">
        <v>1.838</v>
      </c>
      <c r="M111" s="16" t="n">
        <v>46142</v>
      </c>
      <c r="N111" s="19" t="n">
        <v>193195</v>
      </c>
    </row>
    <row r="112">
      <c r="A112" s="16" t="n">
        <v>46141</v>
      </c>
      <c r="B112" s="19" t="n">
        <v>1948.06</v>
      </c>
      <c r="D112" s="16" t="n">
        <v>46141</v>
      </c>
      <c r="E112" s="19" t="n">
        <v>19.44</v>
      </c>
      <c r="G112" s="16" t="n">
        <v>44137</v>
      </c>
      <c r="H112" s="19" t="n">
        <v>3.117</v>
      </c>
      <c r="J112" s="16" t="n">
        <v>44137</v>
      </c>
      <c r="K112" s="19" t="n">
        <v>1.827</v>
      </c>
      <c r="M112" s="16" t="n">
        <v>46141</v>
      </c>
      <c r="N112" s="19" t="n">
        <v>193503</v>
      </c>
    </row>
    <row r="113">
      <c r="A113" s="16" t="n">
        <v>46140</v>
      </c>
      <c r="B113" s="19" t="n">
        <v>1928.56</v>
      </c>
      <c r="D113" s="16" t="n">
        <v>46140</v>
      </c>
      <c r="E113" s="19" t="n">
        <v>21.2</v>
      </c>
      <c r="G113" s="16" t="n">
        <v>44138</v>
      </c>
      <c r="H113" s="19" t="n">
        <v>3.136</v>
      </c>
      <c r="J113" s="16" t="n">
        <v>44138</v>
      </c>
      <c r="K113" s="19" t="n">
        <v>1.835</v>
      </c>
      <c r="M113" s="16" t="n">
        <v>46140</v>
      </c>
      <c r="N113" s="19" t="n">
        <v>192343</v>
      </c>
    </row>
    <row r="114">
      <c r="A114" s="16" t="n">
        <v>46139</v>
      </c>
      <c r="B114" s="19" t="n">
        <v>1924.38</v>
      </c>
      <c r="D114" s="16" t="n">
        <v>46139</v>
      </c>
      <c r="E114" s="19" t="n">
        <v>22.93</v>
      </c>
      <c r="G114" s="16" t="n">
        <v>44139</v>
      </c>
      <c r="H114" s="19" t="n">
        <v>3.133</v>
      </c>
      <c r="J114" s="16" t="n">
        <v>44139</v>
      </c>
      <c r="K114" s="19" t="n">
        <v>1.872</v>
      </c>
      <c r="M114" s="16" t="n">
        <v>46139</v>
      </c>
      <c r="N114" s="19" t="n">
        <v>192656</v>
      </c>
    </row>
    <row r="115">
      <c r="A115" s="16" t="n">
        <v>46136</v>
      </c>
      <c r="B115" s="19" t="n">
        <v>1974.52</v>
      </c>
      <c r="D115" s="16" t="n">
        <v>46136</v>
      </c>
      <c r="E115" s="19" t="n">
        <v>20.39</v>
      </c>
      <c r="G115" s="16" t="n">
        <v>44140</v>
      </c>
      <c r="H115" s="19" t="n">
        <v>3.115</v>
      </c>
      <c r="J115" s="16" t="n">
        <v>44140</v>
      </c>
      <c r="K115" s="19" t="n">
        <v>1.876</v>
      </c>
      <c r="M115" s="16" t="n">
        <v>46136</v>
      </c>
      <c r="N115" s="19" t="n">
        <v>195388</v>
      </c>
    </row>
    <row r="116">
      <c r="A116" s="16" t="n">
        <v>46135</v>
      </c>
      <c r="B116" s="19" t="n">
        <v>1906.94</v>
      </c>
      <c r="D116" s="16" t="n">
        <v>46135</v>
      </c>
      <c r="E116" s="19" t="n">
        <v>23.5</v>
      </c>
      <c r="G116" s="16" t="n">
        <v>44141</v>
      </c>
      <c r="H116" s="19" t="n">
        <v>3.14</v>
      </c>
      <c r="J116" s="16" t="n">
        <v>44141</v>
      </c>
      <c r="K116" s="19" t="n">
        <v>1.857</v>
      </c>
      <c r="M116" s="16" t="n">
        <v>46135</v>
      </c>
      <c r="N116" s="19" t="n">
        <v>191182</v>
      </c>
    </row>
    <row r="117">
      <c r="A117" s="16" t="n">
        <v>46134</v>
      </c>
      <c r="B117" s="19" t="n">
        <v>1905.26</v>
      </c>
      <c r="D117" s="16" t="n">
        <v>46134</v>
      </c>
      <c r="E117" s="19" t="n">
        <v>23.5</v>
      </c>
      <c r="G117" s="16" t="n">
        <v>44144</v>
      </c>
      <c r="H117" s="19" t="n">
        <v>3.078</v>
      </c>
      <c r="J117" s="16" t="n">
        <v>44144</v>
      </c>
      <c r="K117" s="19" t="n">
        <v>1.804</v>
      </c>
      <c r="M117" s="16" t="n">
        <v>46134</v>
      </c>
      <c r="N117" s="19" t="n">
        <v>191320</v>
      </c>
    </row>
    <row r="118">
      <c r="A118" s="16" t="n">
        <v>46133</v>
      </c>
      <c r="B118" s="19" t="n">
        <v>1891.39</v>
      </c>
      <c r="D118" s="16" t="n">
        <v>46133</v>
      </c>
      <c r="E118" s="19" t="n">
        <v>24.16</v>
      </c>
      <c r="G118" s="16" t="n">
        <v>44145</v>
      </c>
      <c r="H118" s="19" t="n">
        <v>3.094</v>
      </c>
      <c r="J118" s="16" t="n">
        <v>44145</v>
      </c>
      <c r="K118" s="19" t="n">
        <v>1.848</v>
      </c>
      <c r="M118" s="16" t="n">
        <v>46133</v>
      </c>
      <c r="N118" s="19" t="n">
        <v>189501</v>
      </c>
    </row>
    <row r="119">
      <c r="A119" s="16" t="n">
        <v>46132</v>
      </c>
      <c r="B119" s="19" t="n">
        <v>1914.38</v>
      </c>
      <c r="D119" s="16" t="n">
        <v>46132</v>
      </c>
      <c r="E119" s="19" t="n">
        <v>22.92</v>
      </c>
      <c r="G119" s="16" t="n">
        <v>44146</v>
      </c>
      <c r="H119" s="19" t="n">
        <v>3.192</v>
      </c>
      <c r="J119" s="16" t="n">
        <v>44146</v>
      </c>
      <c r="K119" s="19" t="n">
        <v>1.866</v>
      </c>
      <c r="M119" s="16" t="n">
        <v>46132</v>
      </c>
      <c r="N119" s="19" t="n">
        <v>192615</v>
      </c>
    </row>
    <row r="120">
      <c r="A120" s="16" t="n">
        <v>46129</v>
      </c>
      <c r="B120" s="19" t="n">
        <v>1918.43</v>
      </c>
      <c r="D120" s="16" t="n">
        <v>46129</v>
      </c>
      <c r="E120" s="19" t="n">
        <v>21.75</v>
      </c>
      <c r="G120" s="16" t="n">
        <v>44147</v>
      </c>
      <c r="H120" s="19" t="n">
        <v>3.184</v>
      </c>
      <c r="J120" s="16" t="n">
        <v>44147</v>
      </c>
      <c r="K120" s="19" t="n">
        <v>1.879</v>
      </c>
      <c r="M120" s="16" t="n">
        <v>46129</v>
      </c>
      <c r="N120" s="19" t="n">
        <v>192702</v>
      </c>
    </row>
    <row r="121">
      <c r="A121" s="16" t="n">
        <v>46128</v>
      </c>
      <c r="B121" s="19" t="n">
        <v>1908.72</v>
      </c>
      <c r="D121" s="16" t="n">
        <v>46128</v>
      </c>
      <c r="E121" s="19" t="n">
        <v>21.61</v>
      </c>
      <c r="G121" s="16" t="n">
        <v>44148</v>
      </c>
      <c r="H121" s="19" t="n">
        <v>3.217</v>
      </c>
      <c r="J121" s="16" t="n">
        <v>44148</v>
      </c>
      <c r="K121" s="19" t="n">
        <v>1.865</v>
      </c>
      <c r="M121" s="16" t="n">
        <v>46128</v>
      </c>
      <c r="N121" s="19" t="n">
        <v>192022</v>
      </c>
    </row>
    <row r="122">
      <c r="A122" s="16" t="n">
        <v>46127</v>
      </c>
      <c r="B122" s="19" t="n">
        <v>1924.98</v>
      </c>
      <c r="D122" s="16" t="n">
        <v>46127</v>
      </c>
      <c r="E122" s="19" t="n">
        <v>19.88</v>
      </c>
      <c r="G122" s="16" t="n">
        <v>44151</v>
      </c>
      <c r="H122" s="19" t="n">
        <v>3.15</v>
      </c>
      <c r="J122" s="16" t="n">
        <v>44151</v>
      </c>
      <c r="K122" s="19" t="n">
        <v>1.832</v>
      </c>
      <c r="M122" s="16" t="n">
        <v>46127</v>
      </c>
      <c r="N122" s="19" t="n">
        <v>192319</v>
      </c>
    </row>
    <row r="123">
      <c r="A123" s="16" t="n">
        <v>46126</v>
      </c>
      <c r="B123" s="19" t="n">
        <v>1971.22</v>
      </c>
      <c r="D123" s="16" t="n">
        <v>46126</v>
      </c>
      <c r="E123" s="19" t="n">
        <v>17.8</v>
      </c>
      <c r="G123" s="16" t="n">
        <v>44152</v>
      </c>
      <c r="H123" s="19" t="n">
        <v>3.2</v>
      </c>
      <c r="J123" s="16" t="n">
        <v>44152</v>
      </c>
      <c r="K123" s="19" t="n">
        <v>1.867</v>
      </c>
      <c r="M123" s="16" t="n">
        <v>46126</v>
      </c>
      <c r="N123" s="19" t="n">
        <v>194415</v>
      </c>
    </row>
    <row r="124">
      <c r="A124" s="16" t="n">
        <v>46125</v>
      </c>
      <c r="B124" s="19" t="n">
        <v>1942.95</v>
      </c>
      <c r="D124" s="16" t="n">
        <v>46125</v>
      </c>
      <c r="E124" s="19" t="n">
        <v>18.85</v>
      </c>
      <c r="G124" s="16" t="n">
        <v>44153</v>
      </c>
      <c r="H124" s="19" t="n">
        <v>3.151</v>
      </c>
      <c r="J124" s="16" t="n">
        <v>44153</v>
      </c>
      <c r="K124" s="19" t="n">
        <v>1.874</v>
      </c>
      <c r="M124" s="16" t="n">
        <v>46125</v>
      </c>
      <c r="N124" s="19" t="n">
        <v>193414</v>
      </c>
    </row>
    <row r="125">
      <c r="A125" s="16" t="n">
        <v>46122</v>
      </c>
      <c r="B125" s="19" t="n">
        <v>1961.01</v>
      </c>
      <c r="D125" s="16" t="n">
        <v>46122</v>
      </c>
      <c r="E125" s="19" t="n">
        <v>17.07</v>
      </c>
      <c r="G125" s="16" t="n">
        <v>44154</v>
      </c>
      <c r="H125" s="19" t="n">
        <v>3.083</v>
      </c>
      <c r="J125" s="16" t="n">
        <v>44154</v>
      </c>
      <c r="K125" s="19" t="n">
        <v>1.869</v>
      </c>
      <c r="M125" s="16" t="n">
        <v>46122</v>
      </c>
      <c r="N125" s="19" t="n">
        <v>193571</v>
      </c>
    </row>
    <row r="126">
      <c r="A126" s="16" t="n">
        <v>46121</v>
      </c>
      <c r="B126" s="19" t="n">
        <v>1955.58</v>
      </c>
      <c r="D126" s="16" t="n">
        <v>46121</v>
      </c>
      <c r="E126" s="19" t="n">
        <v>17.67</v>
      </c>
      <c r="G126" s="16" t="n">
        <v>44155</v>
      </c>
      <c r="H126" s="19" t="n">
        <v>3.104</v>
      </c>
      <c r="J126" s="16" t="n">
        <v>44155</v>
      </c>
      <c r="K126" s="19" t="n">
        <v>1.888</v>
      </c>
      <c r="M126" s="16" t="n">
        <v>46121</v>
      </c>
      <c r="N126" s="19" t="n">
        <v>194762</v>
      </c>
    </row>
    <row r="127">
      <c r="A127" s="16" t="n">
        <v>46120</v>
      </c>
      <c r="B127" s="19" t="n">
        <v>1946.9</v>
      </c>
      <c r="D127" s="16" t="n">
        <v>46120</v>
      </c>
      <c r="E127" s="19" t="n">
        <v>18.63</v>
      </c>
      <c r="G127" s="16" t="n">
        <v>44158</v>
      </c>
      <c r="H127" s="19" t="n">
        <v>3.107</v>
      </c>
      <c r="J127" s="16" t="n">
        <v>44158</v>
      </c>
      <c r="K127" s="19" t="n">
        <v>1.882</v>
      </c>
      <c r="M127" s="16" t="n">
        <v>46120</v>
      </c>
      <c r="N127" s="19" t="n">
        <v>194650</v>
      </c>
    </row>
    <row r="128">
      <c r="A128" s="16" t="n">
        <v>46119</v>
      </c>
      <c r="B128" s="19" t="n">
        <v>1953.04</v>
      </c>
      <c r="D128" s="16" t="n">
        <v>46119</v>
      </c>
      <c r="E128" s="19" t="n">
        <v>18.63</v>
      </c>
      <c r="G128" s="16" t="n">
        <v>44159</v>
      </c>
      <c r="H128" s="19" t="n">
        <v>3.102</v>
      </c>
      <c r="J128" s="16" t="n">
        <v>44159</v>
      </c>
      <c r="K128" s="19" t="n">
        <v>1.885</v>
      </c>
      <c r="M128" s="16" t="n">
        <v>46119</v>
      </c>
      <c r="N128" s="19" t="n">
        <v>194669</v>
      </c>
    </row>
    <row r="129">
      <c r="A129" s="16" t="n">
        <v>46118</v>
      </c>
      <c r="B129" s="19" t="n">
        <v>1949.73</v>
      </c>
      <c r="D129" s="16" t="n">
        <v>46118</v>
      </c>
      <c r="E129" s="19" t="n">
        <v>19.25</v>
      </c>
      <c r="G129" s="16" t="n">
        <v>44160</v>
      </c>
      <c r="H129" s="19" t="n">
        <v>3.014</v>
      </c>
      <c r="J129" s="16" t="n">
        <v>44160</v>
      </c>
      <c r="K129" s="19" t="n">
        <v>1.86</v>
      </c>
      <c r="M129" s="16" t="n">
        <v>46118</v>
      </c>
      <c r="N129" s="19" t="n">
        <v>194589</v>
      </c>
    </row>
    <row r="130">
      <c r="A130" s="16" t="n">
        <v>46115</v>
      </c>
      <c r="B130" s="19" t="n">
        <v>2002.27</v>
      </c>
      <c r="D130" s="16" t="n">
        <v>46115</v>
      </c>
      <c r="E130" s="19" t="n">
        <v>17.38</v>
      </c>
      <c r="G130" s="16" t="n">
        <v>44161</v>
      </c>
      <c r="H130" s="19" t="n">
        <v>3.06</v>
      </c>
      <c r="J130" s="16" t="n">
        <v>44161</v>
      </c>
      <c r="K130" s="19" t="n">
        <v>1.874</v>
      </c>
      <c r="M130" s="16" t="n">
        <v>46115</v>
      </c>
      <c r="N130" s="19" t="n">
        <v>196501</v>
      </c>
    </row>
    <row r="131">
      <c r="A131" s="16" t="n">
        <v>46114</v>
      </c>
      <c r="B131" s="19" t="n">
        <v>1993.51</v>
      </c>
      <c r="D131" s="16" t="n">
        <v>46114</v>
      </c>
      <c r="E131" s="19" t="n">
        <v>17.81</v>
      </c>
      <c r="G131" s="16" t="n">
        <v>44162</v>
      </c>
      <c r="H131" s="19" t="n">
        <v>3.07</v>
      </c>
      <c r="J131" s="16" t="n">
        <v>44162</v>
      </c>
      <c r="K131" s="19" t="n">
        <v>1.891</v>
      </c>
      <c r="M131" s="16" t="n">
        <v>46114</v>
      </c>
      <c r="N131" s="19" t="n">
        <v>195127</v>
      </c>
    </row>
    <row r="132">
      <c r="A132" s="16" t="n">
        <v>46113</v>
      </c>
      <c r="B132" s="19" t="n">
        <v>1985.84</v>
      </c>
      <c r="D132" s="16" t="n">
        <v>46113</v>
      </c>
      <c r="E132" s="19" t="n">
        <v>17.29</v>
      </c>
      <c r="G132" s="16" t="n">
        <v>44165</v>
      </c>
      <c r="H132" s="19" t="n">
        <v>3.067</v>
      </c>
      <c r="J132" s="16" t="n">
        <v>44165</v>
      </c>
      <c r="K132" s="19" t="n">
        <v>1.85</v>
      </c>
      <c r="M132" s="16" t="n">
        <v>46113</v>
      </c>
      <c r="N132" s="19" t="n">
        <v>195515</v>
      </c>
    </row>
    <row r="133">
      <c r="A133" s="16" t="n">
        <v>46112</v>
      </c>
      <c r="B133" s="19" t="n">
        <v>1972.49</v>
      </c>
      <c r="D133" s="16" t="n">
        <v>46112</v>
      </c>
      <c r="E133" s="19" t="n">
        <v>17.02</v>
      </c>
      <c r="G133" s="16" t="n">
        <v>44166</v>
      </c>
      <c r="H133" s="19" t="n">
        <v>3.037</v>
      </c>
      <c r="J133" s="16" t="n">
        <v>44166</v>
      </c>
      <c r="K133" s="19" t="n">
        <v>1.861</v>
      </c>
      <c r="M133" s="16" t="n">
        <v>46112</v>
      </c>
      <c r="N133" s="19" t="n">
        <v>193808</v>
      </c>
    </row>
    <row r="134">
      <c r="A134" s="16" t="n">
        <v>46111</v>
      </c>
      <c r="B134" s="19" t="n">
        <v>1949.84</v>
      </c>
      <c r="D134" s="16" t="n">
        <v>46111</v>
      </c>
      <c r="E134" s="19" t="n">
        <v>18</v>
      </c>
      <c r="G134" s="16" t="n">
        <v>44167</v>
      </c>
      <c r="H134" s="19" t="n">
        <v>3.037</v>
      </c>
      <c r="J134" s="16" t="n">
        <v>44167</v>
      </c>
      <c r="K134" s="19" t="n">
        <v>1.876</v>
      </c>
      <c r="M134" s="16" t="n">
        <v>46111</v>
      </c>
      <c r="N134" s="19" t="n">
        <v>191231</v>
      </c>
    </row>
    <row r="135">
      <c r="A135" s="16" t="n">
        <v>46108</v>
      </c>
      <c r="B135" s="19" t="n">
        <v>1912.65</v>
      </c>
      <c r="D135" s="16" t="n">
        <v>46108</v>
      </c>
      <c r="E135" s="19" t="n">
        <v>21.18</v>
      </c>
      <c r="G135" s="16" t="n">
        <v>44168</v>
      </c>
      <c r="H135" s="19" t="n">
        <v>3.108</v>
      </c>
      <c r="J135" s="16" t="n">
        <v>44168</v>
      </c>
      <c r="K135" s="19" t="n">
        <v>1.905</v>
      </c>
      <c r="M135" s="16" t="n">
        <v>46108</v>
      </c>
      <c r="N135" s="19" t="n">
        <v>189513</v>
      </c>
    </row>
    <row r="136">
      <c r="A136" s="16" t="n">
        <v>46107</v>
      </c>
      <c r="B136" s="19" t="n">
        <v>1869.68</v>
      </c>
      <c r="D136" s="16" t="n">
        <v>46107</v>
      </c>
      <c r="E136" s="19" t="n">
        <v>23.44</v>
      </c>
      <c r="G136" s="16" t="n">
        <v>44169</v>
      </c>
      <c r="H136" s="19" t="n">
        <v>3.097</v>
      </c>
      <c r="J136" s="16" t="n">
        <v>44169</v>
      </c>
      <c r="K136" s="19" t="n">
        <v>1.888</v>
      </c>
      <c r="M136" s="16" t="n">
        <v>46107</v>
      </c>
      <c r="N136" s="19" t="n">
        <v>185792</v>
      </c>
    </row>
    <row r="137">
      <c r="A137" s="16" t="n">
        <v>46106</v>
      </c>
      <c r="B137" s="19" t="n">
        <v>1915.95</v>
      </c>
      <c r="D137" s="16" t="n">
        <v>46106</v>
      </c>
      <c r="E137" s="19" t="n">
        <v>21.27</v>
      </c>
      <c r="G137" s="16" t="n">
        <v>44172</v>
      </c>
      <c r="H137" s="19" t="n">
        <v>3.046</v>
      </c>
      <c r="J137" s="16" t="n">
        <v>44172</v>
      </c>
      <c r="K137" s="19" t="n">
        <v>1.862</v>
      </c>
      <c r="M137" s="16" t="n">
        <v>46106</v>
      </c>
      <c r="N137" s="19" t="n">
        <v>188390</v>
      </c>
    </row>
    <row r="138">
      <c r="A138" s="16" t="n">
        <v>46105</v>
      </c>
      <c r="B138" s="19" t="n">
        <v>1922.52</v>
      </c>
      <c r="D138" s="16" t="n">
        <v>46105</v>
      </c>
      <c r="E138" s="19" t="n">
        <v>21.49</v>
      </c>
      <c r="G138" s="16" t="n">
        <v>44173</v>
      </c>
      <c r="H138" s="19" t="n">
        <v>3.04</v>
      </c>
      <c r="J138" s="16" t="n">
        <v>44173</v>
      </c>
      <c r="K138" s="19" t="n">
        <v>1.861</v>
      </c>
      <c r="M138" s="16" t="n">
        <v>46105</v>
      </c>
      <c r="N138" s="19" t="n">
        <v>187970</v>
      </c>
    </row>
    <row r="139">
      <c r="A139" s="16" t="n">
        <v>46104</v>
      </c>
      <c r="B139" s="19" t="n">
        <v>1915.45</v>
      </c>
      <c r="D139" s="16" t="n">
        <v>46104</v>
      </c>
      <c r="E139" s="19" t="n">
        <v>22.21</v>
      </c>
      <c r="G139" s="16" t="n">
        <v>44174</v>
      </c>
      <c r="H139" s="19" t="n">
        <v>2.96</v>
      </c>
      <c r="J139" s="16" t="n">
        <v>44174</v>
      </c>
      <c r="K139" s="19" t="n">
        <v>1.83</v>
      </c>
      <c r="M139" s="16" t="n">
        <v>46104</v>
      </c>
      <c r="N139" s="19" t="n">
        <v>188555</v>
      </c>
    </row>
    <row r="140">
      <c r="A140" s="16" t="n">
        <v>46101</v>
      </c>
      <c r="B140" s="19" t="n">
        <v>1876.27</v>
      </c>
      <c r="D140" s="16" t="n">
        <v>46101</v>
      </c>
      <c r="E140" s="19" t="n">
        <v>24.06</v>
      </c>
      <c r="G140" s="16" t="n">
        <v>44175</v>
      </c>
      <c r="H140" s="19" t="n">
        <v>2.977</v>
      </c>
      <c r="J140" s="16" t="n">
        <v>44175</v>
      </c>
      <c r="K140" s="19" t="n">
        <v>1.853</v>
      </c>
      <c r="M140" s="16" t="n">
        <v>46101</v>
      </c>
      <c r="N140" s="19" t="n">
        <v>184186</v>
      </c>
    </row>
    <row r="141">
      <c r="A141" s="16" t="n">
        <v>46100</v>
      </c>
      <c r="B141" s="19" t="n">
        <v>1875.06</v>
      </c>
      <c r="D141" s="16" t="n">
        <v>46100</v>
      </c>
      <c r="E141" s="19" t="n">
        <v>25.32</v>
      </c>
      <c r="G141" s="16" t="n">
        <v>44176</v>
      </c>
      <c r="H141" s="19" t="n">
        <v>3.002</v>
      </c>
      <c r="J141" s="16" t="n">
        <v>44176</v>
      </c>
      <c r="K141" s="19" t="n">
        <v>1.873</v>
      </c>
      <c r="M141" s="16" t="n">
        <v>46100</v>
      </c>
      <c r="N141" s="19" t="n">
        <v>183167</v>
      </c>
    </row>
    <row r="142">
      <c r="A142" s="16" t="n">
        <v>46099</v>
      </c>
      <c r="B142" s="19" t="n">
        <v>1896.83</v>
      </c>
      <c r="D142" s="16" t="n">
        <v>46099</v>
      </c>
      <c r="E142" s="19" t="n">
        <v>23.93</v>
      </c>
      <c r="G142" s="16" t="n">
        <v>44179</v>
      </c>
      <c r="H142" s="19" t="n">
        <v>3.023</v>
      </c>
      <c r="J142" s="16" t="n">
        <v>44179</v>
      </c>
      <c r="K142" s="19" t="n">
        <v>1.848</v>
      </c>
      <c r="M142" s="16" t="n">
        <v>46099</v>
      </c>
      <c r="N142" s="19" t="n">
        <v>184904</v>
      </c>
    </row>
    <row r="143">
      <c r="A143" s="16" t="n">
        <v>46098</v>
      </c>
      <c r="B143" s="19" t="n">
        <v>1926.73</v>
      </c>
      <c r="D143" s="16" t="n">
        <v>46098</v>
      </c>
      <c r="E143" s="19" t="n">
        <v>22.6</v>
      </c>
      <c r="G143" s="16" t="n">
        <v>44180</v>
      </c>
      <c r="H143" s="19" t="n">
        <v>3.023</v>
      </c>
      <c r="J143" s="16" t="n">
        <v>44180</v>
      </c>
      <c r="K143" s="19" t="n">
        <v>1.861</v>
      </c>
      <c r="M143" s="16" t="n">
        <v>46098</v>
      </c>
      <c r="N143" s="19" t="n">
        <v>187602</v>
      </c>
    </row>
    <row r="144">
      <c r="A144" s="16" t="n">
        <v>46097</v>
      </c>
      <c r="B144" s="19" t="n">
        <v>1960.2</v>
      </c>
      <c r="D144" s="16" t="n">
        <v>46097</v>
      </c>
      <c r="E144" s="19" t="n">
        <v>20.57</v>
      </c>
      <c r="G144" s="16" t="n">
        <v>44181</v>
      </c>
      <c r="H144" s="19" t="n">
        <v>3.04</v>
      </c>
      <c r="J144" s="16" t="n">
        <v>44181</v>
      </c>
      <c r="K144" s="19" t="n">
        <v>1.828</v>
      </c>
      <c r="M144" s="16" t="n">
        <v>46097</v>
      </c>
      <c r="N144" s="19" t="n">
        <v>189229</v>
      </c>
    </row>
    <row r="145">
      <c r="A145" s="16" t="n">
        <v>46094</v>
      </c>
      <c r="B145" s="19" t="n">
        <v>1926.58</v>
      </c>
      <c r="D145" s="16" t="n">
        <v>46094</v>
      </c>
      <c r="E145" s="19" t="n">
        <v>22.25</v>
      </c>
      <c r="G145" s="16" t="n">
        <v>44182</v>
      </c>
      <c r="H145" s="19" t="n">
        <v>3.006</v>
      </c>
      <c r="J145" s="16" t="n">
        <v>44182</v>
      </c>
      <c r="K145" s="19" t="n">
        <v>1.829</v>
      </c>
      <c r="M145" s="16" t="n">
        <v>46094</v>
      </c>
      <c r="N145" s="19" t="n">
        <v>186378</v>
      </c>
    </row>
    <row r="146">
      <c r="A146" s="16" t="n">
        <v>46093</v>
      </c>
      <c r="B146" s="19" t="n">
        <v>1920.65</v>
      </c>
      <c r="D146" s="16" t="n">
        <v>46093</v>
      </c>
      <c r="E146" s="19" t="n">
        <v>22.61</v>
      </c>
      <c r="G146" s="16" t="n">
        <v>44183</v>
      </c>
      <c r="H146" s="19" t="n">
        <v>2.927</v>
      </c>
      <c r="J146" s="16" t="n">
        <v>44183</v>
      </c>
      <c r="K146" s="19" t="n">
        <v>1.802</v>
      </c>
      <c r="M146" s="16" t="n">
        <v>46093</v>
      </c>
      <c r="N146" s="19" t="n">
        <v>186858</v>
      </c>
    </row>
    <row r="147">
      <c r="A147" s="16" t="n">
        <v>46092</v>
      </c>
      <c r="B147" s="19" t="n">
        <v>1902.34</v>
      </c>
      <c r="D147" s="16" t="n">
        <v>46092</v>
      </c>
      <c r="E147" s="19" t="n">
        <v>23.9</v>
      </c>
      <c r="G147" s="16" t="n">
        <v>44186</v>
      </c>
      <c r="H147" s="19" t="n">
        <v>2.92</v>
      </c>
      <c r="J147" s="16" t="n">
        <v>44186</v>
      </c>
      <c r="K147" s="19" t="n">
        <v>1.825</v>
      </c>
      <c r="M147" s="16" t="n">
        <v>46092</v>
      </c>
      <c r="N147" s="19" t="n">
        <v>184899</v>
      </c>
    </row>
    <row r="148">
      <c r="A148" s="16" t="n">
        <v>46091</v>
      </c>
      <c r="B148" s="19" t="n">
        <v>1943.85</v>
      </c>
      <c r="D148" s="16" t="n">
        <v>46091</v>
      </c>
      <c r="E148" s="19" t="n">
        <v>21.65</v>
      </c>
      <c r="G148" s="16" t="n">
        <v>44187</v>
      </c>
      <c r="H148" s="19" t="n">
        <v>2.895</v>
      </c>
      <c r="J148" s="16" t="n">
        <v>44187</v>
      </c>
      <c r="K148" s="19" t="n">
        <v>1.782</v>
      </c>
      <c r="M148" s="16" t="n">
        <v>46091</v>
      </c>
      <c r="N148" s="19" t="n">
        <v>187263</v>
      </c>
    </row>
    <row r="149">
      <c r="A149" s="16" t="n">
        <v>46090</v>
      </c>
      <c r="B149" s="19" t="n">
        <v>1941.26</v>
      </c>
      <c r="D149" s="16" t="n">
        <v>46090</v>
      </c>
      <c r="E149" s="19" t="n">
        <v>21.41</v>
      </c>
      <c r="G149" s="16" t="n">
        <v>44188</v>
      </c>
      <c r="H149" s="19" t="n">
        <v>2.874</v>
      </c>
      <c r="J149" s="16" t="n">
        <v>44188</v>
      </c>
      <c r="K149" s="19" t="n">
        <v>1.837</v>
      </c>
      <c r="M149" s="16" t="n">
        <v>46090</v>
      </c>
      <c r="N149" s="19" t="n">
        <v>187081</v>
      </c>
    </row>
    <row r="150">
      <c r="A150" s="16" t="n">
        <v>46087</v>
      </c>
      <c r="B150" s="19" t="n">
        <v>1958.84</v>
      </c>
      <c r="D150" s="16" t="n">
        <v>46087</v>
      </c>
      <c r="E150" s="19" t="n">
        <v>19.97</v>
      </c>
      <c r="G150" s="16" t="n">
        <v>44189</v>
      </c>
      <c r="H150" s="19" t="n">
        <v>2.914</v>
      </c>
      <c r="J150" s="16" t="n">
        <v>44189</v>
      </c>
      <c r="K150" s="19" t="n">
        <v>1.826</v>
      </c>
      <c r="M150" s="16" t="n">
        <v>46087</v>
      </c>
      <c r="N150" s="19" t="n">
        <v>187716</v>
      </c>
    </row>
    <row r="151">
      <c r="A151" s="16" t="n">
        <v>46086</v>
      </c>
      <c r="B151" s="19" t="n">
        <v>1984.6</v>
      </c>
      <c r="D151" s="16" t="n">
        <v>46086</v>
      </c>
      <c r="E151" s="19" t="n">
        <v>18.75</v>
      </c>
      <c r="G151" s="16" t="n">
        <v>44193</v>
      </c>
      <c r="H151" s="19" t="n">
        <v>2.9</v>
      </c>
      <c r="J151" s="16" t="n">
        <v>44193</v>
      </c>
      <c r="K151" s="19" t="n">
        <v>1.815</v>
      </c>
      <c r="M151" s="16" t="n">
        <v>46086</v>
      </c>
      <c r="N151" s="19" t="n">
        <v>187619</v>
      </c>
    </row>
    <row r="152">
      <c r="A152" s="16" t="n">
        <v>46085</v>
      </c>
      <c r="B152" s="19" t="n">
        <v>1969.61</v>
      </c>
      <c r="D152" s="16" t="n">
        <v>46085</v>
      </c>
      <c r="E152" s="19" t="n">
        <v>19.34</v>
      </c>
      <c r="G152" s="16" t="n">
        <v>44194</v>
      </c>
      <c r="H152" s="19" t="n">
        <v>2.88</v>
      </c>
      <c r="J152" s="16" t="n">
        <v>44194</v>
      </c>
      <c r="K152" s="19" t="n">
        <v>1.778</v>
      </c>
      <c r="M152" s="16" t="n">
        <v>46085</v>
      </c>
      <c r="N152" s="19" t="n">
        <v>186253</v>
      </c>
    </row>
    <row r="153">
      <c r="A153" s="16" t="n">
        <v>46084</v>
      </c>
      <c r="B153" s="19" t="n">
        <v>1988.63</v>
      </c>
      <c r="D153" s="16" t="n">
        <v>46084</v>
      </c>
      <c r="E153" s="19" t="n">
        <v>18.73</v>
      </c>
      <c r="G153" s="16" t="n">
        <v>44195</v>
      </c>
      <c r="H153" s="19" t="n">
        <v>2.849</v>
      </c>
      <c r="J153" s="16" t="n">
        <v>44195</v>
      </c>
      <c r="K153" s="19" t="n">
        <v>1.796</v>
      </c>
      <c r="M153" s="16" t="n">
        <v>46084</v>
      </c>
      <c r="N153" s="19" t="n">
        <v>187966</v>
      </c>
    </row>
    <row r="154">
      <c r="A154" s="16" t="n">
        <v>46083</v>
      </c>
      <c r="B154" s="19" t="n">
        <v>1992.88</v>
      </c>
      <c r="D154" s="16" t="n">
        <v>46083</v>
      </c>
      <c r="E154" s="19" t="n">
        <v>18.57</v>
      </c>
      <c r="G154" s="16" t="n">
        <v>44196</v>
      </c>
      <c r="H154" s="19" t="n">
        <v>2.967</v>
      </c>
      <c r="J154" s="16" t="n">
        <v>44196</v>
      </c>
      <c r="K154" s="19" t="n">
        <v>1.855</v>
      </c>
      <c r="M154" s="16" t="n">
        <v>46083</v>
      </c>
      <c r="N154" s="19" t="n">
        <v>187926</v>
      </c>
    </row>
    <row r="155">
      <c r="A155" s="16" t="n">
        <v>46080</v>
      </c>
      <c r="B155" s="19" t="n">
        <v>1997.68</v>
      </c>
      <c r="D155" s="16" t="n">
        <v>46080</v>
      </c>
      <c r="E155" s="19" t="n">
        <v>18.72</v>
      </c>
      <c r="G155" s="16" t="n">
        <v>44200</v>
      </c>
      <c r="H155" s="19" t="n">
        <v>2.973</v>
      </c>
      <c r="J155" s="16" t="n">
        <v>44200</v>
      </c>
      <c r="K155" s="19" t="n">
        <v>1.869</v>
      </c>
      <c r="M155" s="16" t="n">
        <v>46080</v>
      </c>
      <c r="N155" s="19" t="n">
        <v>187491</v>
      </c>
    </row>
    <row r="156">
      <c r="A156" s="16" t="n">
        <v>46079</v>
      </c>
      <c r="B156" s="19" t="n">
        <v>2007.5</v>
      </c>
      <c r="D156" s="16" t="n">
        <v>46079</v>
      </c>
      <c r="E156" s="19" t="n">
        <v>17.89</v>
      </c>
      <c r="G156" s="16" t="n">
        <v>44201</v>
      </c>
      <c r="H156" s="19" t="n">
        <v>2.951</v>
      </c>
      <c r="J156" s="16" t="n">
        <v>44201</v>
      </c>
      <c r="K156" s="19" t="n">
        <v>1.856</v>
      </c>
      <c r="M156" s="16" t="n">
        <v>46079</v>
      </c>
      <c r="N156" s="19" t="n">
        <v>189191</v>
      </c>
    </row>
    <row r="157">
      <c r="A157" s="16" t="n">
        <v>46078</v>
      </c>
      <c r="B157" s="19" t="n">
        <v>1991.11</v>
      </c>
      <c r="D157" s="16" t="n">
        <v>46078</v>
      </c>
      <c r="E157" s="19" t="n">
        <v>18.73</v>
      </c>
      <c r="G157" s="16" t="n">
        <v>44202</v>
      </c>
      <c r="H157" s="19" t="n">
        <v>3.016</v>
      </c>
      <c r="J157" s="16" t="n">
        <v>44202</v>
      </c>
      <c r="K157" s="19" t="n">
        <v>1.857</v>
      </c>
      <c r="M157" s="16" t="n">
        <v>46078</v>
      </c>
      <c r="N157" s="19" t="n">
        <v>189033</v>
      </c>
    </row>
    <row r="158">
      <c r="A158" s="16" t="n">
        <v>46077</v>
      </c>
      <c r="B158" s="19" t="n">
        <v>2001.55</v>
      </c>
      <c r="D158" s="16" t="n">
        <v>46077</v>
      </c>
      <c r="E158" s="19" t="n">
        <v>18.68</v>
      </c>
      <c r="G158" s="16" t="n">
        <v>44203</v>
      </c>
      <c r="H158" s="19" t="n">
        <v>2.945</v>
      </c>
      <c r="J158" s="16" t="n">
        <v>44203</v>
      </c>
      <c r="K158" s="19" t="n">
        <v>1.868</v>
      </c>
      <c r="M158" s="16" t="n">
        <v>46077</v>
      </c>
      <c r="N158" s="19" t="n">
        <v>189984</v>
      </c>
    </row>
    <row r="159">
      <c r="A159" s="16" t="n">
        <v>46076</v>
      </c>
      <c r="B159" s="19" t="n">
        <v>1986.56</v>
      </c>
      <c r="D159" s="16" t="n">
        <v>46076</v>
      </c>
      <c r="E159" s="19" t="n">
        <v>19.83</v>
      </c>
      <c r="G159" s="16" t="n">
        <v>44204</v>
      </c>
      <c r="H159" s="19" t="n">
        <v>2.904</v>
      </c>
      <c r="J159" s="16" t="n">
        <v>44204</v>
      </c>
      <c r="K159" s="19" t="n">
        <v>1.856</v>
      </c>
      <c r="M159" s="16" t="n">
        <v>46076</v>
      </c>
      <c r="N159" s="19" t="n">
        <v>189373</v>
      </c>
    </row>
    <row r="160">
      <c r="A160" s="16" t="n">
        <v>46073</v>
      </c>
      <c r="B160" s="19" t="n">
        <v>1940.8</v>
      </c>
      <c r="D160" s="16" t="n">
        <v>46073</v>
      </c>
      <c r="E160" s="19" t="n">
        <v>22.73</v>
      </c>
      <c r="G160" s="16" t="n">
        <v>44207</v>
      </c>
      <c r="H160" s="19" t="n">
        <v>2.872</v>
      </c>
      <c r="J160" s="16" t="n">
        <v>44207</v>
      </c>
      <c r="K160" s="19" t="n">
        <v>1.839</v>
      </c>
      <c r="M160" s="16" t="n">
        <v>46073</v>
      </c>
      <c r="N160" s="19" t="n">
        <v>186517</v>
      </c>
    </row>
    <row r="161">
      <c r="A161" s="16" t="n">
        <v>46072</v>
      </c>
      <c r="B161" s="19" t="n">
        <v>1982.34</v>
      </c>
      <c r="D161" s="16" t="n">
        <v>46072</v>
      </c>
      <c r="E161" s="19" t="n">
        <v>20.54</v>
      </c>
      <c r="G161" s="16" t="n">
        <v>44208</v>
      </c>
      <c r="H161" s="19" t="n">
        <v>2.91</v>
      </c>
      <c r="J161" s="16" t="n">
        <v>44208</v>
      </c>
      <c r="K161" s="19" t="n">
        <v>1.841</v>
      </c>
      <c r="M161" s="16" t="n">
        <v>46072</v>
      </c>
      <c r="N161" s="19" t="n">
        <v>187914</v>
      </c>
    </row>
    <row r="162">
      <c r="A162" s="16" t="n">
        <v>46071</v>
      </c>
      <c r="B162" s="19" t="n">
        <v>1954.34</v>
      </c>
      <c r="D162" s="16" t="n">
        <v>46071</v>
      </c>
      <c r="E162" s="19" t="n">
        <v>22.47</v>
      </c>
      <c r="G162" s="16" t="n">
        <v>44209</v>
      </c>
      <c r="H162" s="19" t="n">
        <v>2.875</v>
      </c>
      <c r="J162" s="16" t="n">
        <v>44209</v>
      </c>
      <c r="K162" s="19" t="n">
        <v>1.858</v>
      </c>
      <c r="M162" s="16" t="n">
        <v>46071</v>
      </c>
      <c r="N162" s="19" t="n">
        <v>187153</v>
      </c>
    </row>
    <row r="163">
      <c r="A163" s="16" t="n">
        <v>46070</v>
      </c>
      <c r="B163" s="19" t="n">
        <v>1954.47</v>
      </c>
      <c r="D163" s="16" t="n">
        <v>46070</v>
      </c>
      <c r="E163" s="19" t="n">
        <v>22.82</v>
      </c>
      <c r="G163" s="16" t="n">
        <v>44210</v>
      </c>
      <c r="H163" s="19" t="n">
        <v>2.952</v>
      </c>
      <c r="J163" s="16" t="n">
        <v>44210</v>
      </c>
      <c r="K163" s="19" t="n">
        <v>1.86</v>
      </c>
      <c r="M163" s="16" t="n">
        <v>46070</v>
      </c>
      <c r="N163" s="19" t="n">
        <v>187315</v>
      </c>
    </row>
    <row r="164">
      <c r="A164" s="16" t="n">
        <v>46069</v>
      </c>
      <c r="B164" s="19" t="n">
        <v>1955.88</v>
      </c>
      <c r="D164" s="16" t="n">
        <v>46069</v>
      </c>
      <c r="E164" s="19" t="n">
        <v>23.64</v>
      </c>
      <c r="G164" s="16" t="n">
        <v>44211</v>
      </c>
      <c r="H164" s="19" t="n">
        <v>2.988</v>
      </c>
      <c r="J164" s="16" t="n">
        <v>44211</v>
      </c>
      <c r="K164" s="19" t="n">
        <v>1.888</v>
      </c>
      <c r="M164" s="16" t="n">
        <v>46069</v>
      </c>
      <c r="N164" s="19" t="n">
        <v>188468</v>
      </c>
    </row>
    <row r="165">
      <c r="A165" s="16" t="n">
        <v>46066</v>
      </c>
      <c r="B165" s="19" t="n">
        <v>1958.76</v>
      </c>
      <c r="D165" s="16" t="n">
        <v>46066</v>
      </c>
      <c r="E165" s="19" t="n">
        <v>23.6</v>
      </c>
      <c r="G165" s="16" t="n">
        <v>44214</v>
      </c>
      <c r="H165" s="19" t="n">
        <v>2.973</v>
      </c>
      <c r="J165" s="16" t="n">
        <v>44214</v>
      </c>
      <c r="K165" s="19" t="n">
        <v>1.88</v>
      </c>
      <c r="M165" s="16" t="n">
        <v>46066</v>
      </c>
      <c r="N165" s="19" t="n">
        <v>188260</v>
      </c>
    </row>
    <row r="166">
      <c r="A166" s="16" t="n">
        <v>46065</v>
      </c>
      <c r="B166" s="19" t="n">
        <v>1954.21</v>
      </c>
      <c r="D166" s="16" t="n">
        <v>46065</v>
      </c>
      <c r="E166" s="19" t="n">
        <v>23.93</v>
      </c>
      <c r="G166" s="16" t="n">
        <v>44215</v>
      </c>
      <c r="H166" s="19" t="n">
        <v>2.961</v>
      </c>
      <c r="J166" s="16" t="n">
        <v>44215</v>
      </c>
      <c r="K166" s="19" t="n">
        <v>1.877</v>
      </c>
      <c r="M166" s="16" t="n">
        <v>46065</v>
      </c>
      <c r="N166" s="19" t="n">
        <v>188113</v>
      </c>
    </row>
    <row r="167">
      <c r="A167" s="16" t="n">
        <v>46064</v>
      </c>
      <c r="B167" s="19" t="n">
        <v>1975.24</v>
      </c>
      <c r="D167" s="16" t="n">
        <v>46064</v>
      </c>
      <c r="E167" s="19" t="n">
        <v>23.65</v>
      </c>
      <c r="G167" s="16" t="n">
        <v>44216</v>
      </c>
      <c r="H167" s="19" t="n">
        <v>3</v>
      </c>
      <c r="J167" s="16" t="n">
        <v>44216</v>
      </c>
      <c r="K167" s="19" t="n">
        <v>1.858</v>
      </c>
      <c r="M167" s="16" t="n">
        <v>46064</v>
      </c>
      <c r="N167" s="19" t="n">
        <v>189589</v>
      </c>
    </row>
    <row r="168">
      <c r="A168" s="16" t="n">
        <v>46063</v>
      </c>
      <c r="B168" s="19" t="n">
        <v>1992.58</v>
      </c>
      <c r="D168" s="16" t="n">
        <v>46063</v>
      </c>
      <c r="E168" s="19" t="n">
        <v>22.25</v>
      </c>
      <c r="G168" s="16" t="n">
        <v>44217</v>
      </c>
      <c r="H168" s="19" t="n">
        <v>3.014</v>
      </c>
      <c r="J168" s="16" t="n">
        <v>44217</v>
      </c>
      <c r="K168" s="19" t="n">
        <v>1.877</v>
      </c>
      <c r="M168" s="16" t="n">
        <v>46063</v>
      </c>
      <c r="N168" s="19" t="n">
        <v>190083</v>
      </c>
    </row>
    <row r="169">
      <c r="A169" s="16" t="n">
        <v>46062</v>
      </c>
      <c r="B169" s="19" t="n">
        <v>2000.21</v>
      </c>
      <c r="D169" s="16" t="n">
        <v>46062</v>
      </c>
      <c r="E169" s="19" t="n">
        <v>22.89</v>
      </c>
      <c r="G169" s="16" t="n">
        <v>44218</v>
      </c>
      <c r="H169" s="19" t="n">
        <v>3.013</v>
      </c>
      <c r="J169" s="16" t="n">
        <v>44218</v>
      </c>
      <c r="K169" s="19" t="n">
        <v>1.906</v>
      </c>
      <c r="M169" s="16" t="n">
        <v>46062</v>
      </c>
      <c r="N169" s="19" t="n">
        <v>190228</v>
      </c>
    </row>
    <row r="170">
      <c r="A170" s="16" t="n">
        <v>46059</v>
      </c>
      <c r="B170" s="19" t="n">
        <v>2012.53</v>
      </c>
      <c r="D170" s="16" t="n">
        <v>46059</v>
      </c>
      <c r="E170" s="19" t="n">
        <v>22.88</v>
      </c>
      <c r="G170" s="16" t="n">
        <v>44221</v>
      </c>
      <c r="H170" s="19" t="n">
        <v>2.988</v>
      </c>
      <c r="J170" s="16" t="n">
        <v>44221</v>
      </c>
      <c r="K170" s="19" t="n">
        <v>1.924</v>
      </c>
      <c r="M170" s="16" t="n">
        <v>46059</v>
      </c>
      <c r="N170" s="19" t="n">
        <v>192241</v>
      </c>
    </row>
    <row r="171">
      <c r="A171" s="16" t="n">
        <v>46058</v>
      </c>
      <c r="B171" s="19" t="n">
        <v>2004.39</v>
      </c>
      <c r="D171" s="16" t="n">
        <v>46058</v>
      </c>
      <c r="E171" s="19" t="n">
        <v>23.35</v>
      </c>
      <c r="G171" s="16" t="n">
        <v>44222</v>
      </c>
      <c r="H171" s="19" t="n">
        <v>2.978</v>
      </c>
      <c r="J171" s="16" t="n">
        <v>44222</v>
      </c>
      <c r="K171" s="19" t="n">
        <v>1.901</v>
      </c>
      <c r="M171" s="16" t="n">
        <v>46058</v>
      </c>
      <c r="N171" s="19" t="n">
        <v>192036</v>
      </c>
    </row>
    <row r="172">
      <c r="A172" s="16" t="n">
        <v>46057</v>
      </c>
      <c r="B172" s="19" t="n">
        <v>2013.14</v>
      </c>
      <c r="D172" s="16" t="n">
        <v>46057</v>
      </c>
      <c r="E172" s="19" t="n">
        <v>22.91</v>
      </c>
      <c r="G172" s="16" t="n">
        <v>44223</v>
      </c>
      <c r="H172" s="19" t="n">
        <v>2.951</v>
      </c>
      <c r="J172" s="16" t="n">
        <v>44223</v>
      </c>
      <c r="K172" s="19" t="n">
        <v>1.927</v>
      </c>
      <c r="M172" s="16" t="n">
        <v>46057</v>
      </c>
      <c r="N172" s="19" t="n">
        <v>192905</v>
      </c>
    </row>
    <row r="173">
      <c r="A173" s="16" t="n">
        <v>46056</v>
      </c>
      <c r="B173" s="19" t="n">
        <v>2030.2</v>
      </c>
      <c r="D173" s="16" t="n">
        <v>46056</v>
      </c>
      <c r="E173" s="19" t="n">
        <v>22.69</v>
      </c>
      <c r="G173" s="16" t="n">
        <v>44224</v>
      </c>
      <c r="H173" s="19" t="n">
        <v>2.968</v>
      </c>
      <c r="J173" s="16" t="n">
        <v>44224</v>
      </c>
      <c r="K173" s="19" t="n">
        <v>1.913</v>
      </c>
      <c r="M173" s="16" t="n">
        <v>46056</v>
      </c>
      <c r="N173" s="19" t="n">
        <v>194594</v>
      </c>
    </row>
    <row r="174">
      <c r="A174" s="16" t="n">
        <v>46055</v>
      </c>
      <c r="B174" s="19" t="n">
        <v>2004.21</v>
      </c>
      <c r="D174" s="16" t="n">
        <v>46055</v>
      </c>
      <c r="E174" s="19" t="n">
        <v>23.97</v>
      </c>
      <c r="G174" s="16" t="n">
        <v>44225</v>
      </c>
      <c r="H174" s="19" t="n">
        <v>2.926</v>
      </c>
      <c r="J174" s="16" t="n">
        <v>44225</v>
      </c>
      <c r="K174" s="19" t="n">
        <v>1.925</v>
      </c>
      <c r="M174" s="16" t="n">
        <v>46055</v>
      </c>
      <c r="N174" s="19" t="n">
        <v>193121</v>
      </c>
    </row>
    <row r="175">
      <c r="A175" s="16" t="n">
        <v>46052</v>
      </c>
      <c r="B175" s="19" t="n">
        <v>2035.87</v>
      </c>
      <c r="D175" s="16" t="n">
        <v>46052</v>
      </c>
      <c r="E175" s="19" t="n">
        <v>22.71</v>
      </c>
      <c r="G175" s="16" t="n">
        <v>44228</v>
      </c>
      <c r="H175" s="19" t="n">
        <v>2.911</v>
      </c>
      <c r="J175" s="16" t="n">
        <v>44228</v>
      </c>
      <c r="K175" s="19" t="n">
        <v>1.897</v>
      </c>
      <c r="M175" s="16" t="n">
        <v>46052</v>
      </c>
      <c r="N175" s="19" t="n">
        <v>195771</v>
      </c>
    </row>
    <row r="176">
      <c r="A176" s="16" t="n">
        <v>46051</v>
      </c>
      <c r="B176" s="19" t="n">
        <v>2045.08</v>
      </c>
      <c r="D176" s="16" t="n">
        <v>46051</v>
      </c>
      <c r="E176" s="19" t="n">
        <v>21.98</v>
      </c>
      <c r="G176" s="16" t="n">
        <v>44229</v>
      </c>
      <c r="H176" s="19" t="n">
        <v>2.951</v>
      </c>
      <c r="J176" s="16" t="n">
        <v>44229</v>
      </c>
      <c r="K176" s="19" t="n">
        <v>1.922</v>
      </c>
      <c r="M176" s="16" t="n">
        <v>46051</v>
      </c>
      <c r="N176" s="19" t="n">
        <v>196764</v>
      </c>
    </row>
    <row r="177">
      <c r="A177" s="16" t="n">
        <v>46050</v>
      </c>
      <c r="B177" s="19" t="n">
        <v>2013.92</v>
      </c>
      <c r="D177" s="16" t="n">
        <v>46050</v>
      </c>
      <c r="E177" s="19" t="n">
        <v>22.24</v>
      </c>
      <c r="G177" s="16" t="n">
        <v>44230</v>
      </c>
      <c r="H177" s="19" t="n">
        <v>2.91</v>
      </c>
      <c r="J177" s="16" t="n">
        <v>44230</v>
      </c>
      <c r="K177" s="19" t="n">
        <v>1.921</v>
      </c>
      <c r="M177" s="16" t="n">
        <v>46050</v>
      </c>
      <c r="N177" s="19" t="n">
        <v>194008</v>
      </c>
    </row>
    <row r="178">
      <c r="A178" s="16" t="n">
        <v>46049</v>
      </c>
      <c r="B178" s="19" t="n">
        <v>2004</v>
      </c>
      <c r="D178" s="16" t="n">
        <v>46049</v>
      </c>
      <c r="E178" s="19" t="n">
        <v>23.08</v>
      </c>
      <c r="G178" s="16" t="n">
        <v>44231</v>
      </c>
      <c r="H178" s="19" t="n">
        <v>2.882</v>
      </c>
      <c r="J178" s="16" t="n">
        <v>44231</v>
      </c>
      <c r="K178" s="19" t="n">
        <v>1.906</v>
      </c>
      <c r="M178" s="16" t="n">
        <v>46049</v>
      </c>
      <c r="N178" s="19" t="n">
        <v>193821</v>
      </c>
    </row>
    <row r="179">
      <c r="A179" s="16" t="n">
        <v>46048</v>
      </c>
      <c r="B179" s="19" t="n">
        <v>1998.64</v>
      </c>
      <c r="D179" s="16" t="n">
        <v>46048</v>
      </c>
      <c r="E179" s="19" t="n">
        <v>23.58</v>
      </c>
      <c r="G179" s="16" t="n">
        <v>44232</v>
      </c>
      <c r="H179" s="19" t="n">
        <v>2.889</v>
      </c>
      <c r="J179" s="16" t="n">
        <v>44232</v>
      </c>
      <c r="K179" s="19" t="n">
        <v>1.949</v>
      </c>
      <c r="M179" s="16" t="n">
        <v>46048</v>
      </c>
      <c r="N179" s="19" t="n">
        <v>194127</v>
      </c>
    </row>
    <row r="180">
      <c r="A180" s="16" t="n">
        <v>46045</v>
      </c>
      <c r="B180" s="19" t="n">
        <v>1978.21</v>
      </c>
      <c r="D180" s="16" t="n">
        <v>46045</v>
      </c>
      <c r="E180" s="19" t="n">
        <v>25.23</v>
      </c>
      <c r="G180" s="16" t="n">
        <v>44235</v>
      </c>
      <c r="H180" s="19" t="n">
        <v>2.91</v>
      </c>
      <c r="J180" s="16" t="n">
        <v>44235</v>
      </c>
      <c r="K180" s="19" t="n">
        <v>1.95</v>
      </c>
      <c r="M180" s="16" t="n">
        <v>46045</v>
      </c>
      <c r="N180" s="19" t="n">
        <v>193850</v>
      </c>
    </row>
    <row r="181">
      <c r="A181" s="16" t="n">
        <v>46044</v>
      </c>
      <c r="B181" s="19" t="n">
        <v>1975.76</v>
      </c>
      <c r="D181" s="16" t="n">
        <v>46044</v>
      </c>
      <c r="E181" s="19" t="n">
        <v>25.28</v>
      </c>
      <c r="G181" s="16" t="n">
        <v>44236</v>
      </c>
      <c r="H181" s="19" t="n">
        <v>2.903</v>
      </c>
      <c r="J181" s="16" t="n">
        <v>44236</v>
      </c>
      <c r="K181" s="19" t="n">
        <v>1.937</v>
      </c>
      <c r="M181" s="16" t="n">
        <v>46044</v>
      </c>
      <c r="N181" s="19" t="n">
        <v>192715</v>
      </c>
    </row>
    <row r="182">
      <c r="A182" s="16" t="n">
        <v>46043</v>
      </c>
      <c r="B182" s="19" t="n">
        <v>1974.3</v>
      </c>
      <c r="D182" s="16" t="n">
        <v>46043</v>
      </c>
      <c r="E182" s="19" t="n">
        <v>25.3</v>
      </c>
      <c r="G182" s="16" t="n">
        <v>44237</v>
      </c>
      <c r="H182" s="19" t="n">
        <v>2.851</v>
      </c>
      <c r="J182" s="16" t="n">
        <v>44237</v>
      </c>
      <c r="K182" s="19" t="n">
        <v>1.913</v>
      </c>
      <c r="M182" s="16" t="n">
        <v>46043</v>
      </c>
      <c r="N182" s="19" t="n">
        <v>193111</v>
      </c>
    </row>
    <row r="183">
      <c r="A183" s="16" t="n">
        <v>46042</v>
      </c>
      <c r="B183" s="19" t="n">
        <v>1992.41</v>
      </c>
      <c r="D183" s="16" t="n">
        <v>46042</v>
      </c>
      <c r="E183" s="19" t="n">
        <v>24.51</v>
      </c>
      <c r="G183" s="16" t="n">
        <v>44238</v>
      </c>
      <c r="H183" s="19" t="n">
        <v>2.84</v>
      </c>
      <c r="J183" s="16" t="n">
        <v>44238</v>
      </c>
      <c r="K183" s="19" t="n">
        <v>1.921</v>
      </c>
      <c r="M183" s="16" t="n">
        <v>46042</v>
      </c>
      <c r="N183" s="19" t="n">
        <v>192548</v>
      </c>
    </row>
    <row r="184">
      <c r="A184" s="16" t="n">
        <v>46041</v>
      </c>
      <c r="B184" s="19" t="n">
        <v>1979.85</v>
      </c>
      <c r="D184" s="16" t="n">
        <v>46041</v>
      </c>
      <c r="E184" s="19" t="n">
        <v>26.42</v>
      </c>
      <c r="G184" s="16" t="n">
        <v>44239</v>
      </c>
      <c r="H184" s="19" t="n">
        <v>2.813</v>
      </c>
      <c r="J184" s="16" t="n">
        <v>44239</v>
      </c>
      <c r="K184" s="19" t="n">
        <v>1.893</v>
      </c>
      <c r="M184" s="16" t="n">
        <v>46041</v>
      </c>
      <c r="N184" s="19" t="n">
        <v>191144</v>
      </c>
    </row>
    <row r="185">
      <c r="A185" s="16" t="n">
        <v>46038</v>
      </c>
      <c r="B185" s="19" t="n">
        <v>1966.22</v>
      </c>
      <c r="D185" s="16" t="n">
        <v>46038</v>
      </c>
      <c r="E185" s="19" t="n">
        <v>26.64</v>
      </c>
      <c r="G185" s="16" t="n">
        <v>44242</v>
      </c>
      <c r="H185" s="19" t="n">
        <v>2.805</v>
      </c>
      <c r="J185" s="16" t="n">
        <v>44242</v>
      </c>
      <c r="K185" s="19" t="n">
        <v>1.868</v>
      </c>
      <c r="M185" s="16" t="n">
        <v>46038</v>
      </c>
      <c r="N185" s="19" t="n">
        <v>190333</v>
      </c>
    </row>
    <row r="186">
      <c r="A186" s="16" t="n">
        <v>46037</v>
      </c>
      <c r="B186" s="19" t="n">
        <v>1931.05</v>
      </c>
      <c r="D186" s="16" t="n">
        <v>46037</v>
      </c>
      <c r="E186" s="19" t="n">
        <v>28.94</v>
      </c>
      <c r="G186" s="16" t="n">
        <v>44243</v>
      </c>
      <c r="H186" s="19" t="n">
        <v>2.767</v>
      </c>
      <c r="J186" s="16" t="n">
        <v>44243</v>
      </c>
      <c r="K186" s="19" t="n">
        <v>1.865</v>
      </c>
      <c r="M186" s="16" t="n">
        <v>46037</v>
      </c>
      <c r="N186" s="19" t="n">
        <v>188108</v>
      </c>
    </row>
    <row r="187">
      <c r="A187" s="16" t="n">
        <v>46036</v>
      </c>
      <c r="B187" s="19" t="n">
        <v>1942.91</v>
      </c>
      <c r="D187" s="16" t="n">
        <v>46036</v>
      </c>
      <c r="E187" s="19" t="n">
        <v>28.72</v>
      </c>
      <c r="G187" s="16" t="n">
        <v>44244</v>
      </c>
      <c r="H187" s="19" t="n">
        <v>2.825</v>
      </c>
      <c r="J187" s="16" t="n">
        <v>44244</v>
      </c>
      <c r="K187" s="19" t="n">
        <v>1.877</v>
      </c>
      <c r="M187" s="16" t="n">
        <v>46036</v>
      </c>
      <c r="N187" s="19" t="n">
        <v>188758</v>
      </c>
    </row>
    <row r="188">
      <c r="A188" s="16" t="n">
        <v>46035</v>
      </c>
      <c r="B188" s="19" t="n">
        <v>1908.37</v>
      </c>
      <c r="D188" s="16" t="n">
        <v>46035</v>
      </c>
      <c r="E188" s="19" t="n">
        <v>30.94</v>
      </c>
      <c r="G188" s="16" t="n">
        <v>44245</v>
      </c>
      <c r="H188" s="19" t="n">
        <v>2.783</v>
      </c>
      <c r="J188" s="16" t="n">
        <v>44245</v>
      </c>
      <c r="K188" s="19" t="n">
        <v>1.872</v>
      </c>
      <c r="M188" s="16" t="n">
        <v>46035</v>
      </c>
      <c r="N188" s="19" t="n">
        <v>186074</v>
      </c>
    </row>
    <row r="189">
      <c r="A189" s="16" t="n">
        <v>46034</v>
      </c>
      <c r="B189" s="19" t="n">
        <v>1900.46</v>
      </c>
      <c r="D189" s="16" t="n">
        <v>46034</v>
      </c>
      <c r="E189" s="19" t="n">
        <v>30.86</v>
      </c>
      <c r="G189" s="16" t="n">
        <v>44246</v>
      </c>
      <c r="H189" s="19" t="n">
        <v>2.807</v>
      </c>
      <c r="J189" s="16" t="n">
        <v>44246</v>
      </c>
      <c r="K189" s="19" t="n">
        <v>1.886</v>
      </c>
      <c r="M189" s="16" t="n">
        <v>46034</v>
      </c>
      <c r="N189" s="19" t="n">
        <v>185205</v>
      </c>
    </row>
    <row r="190">
      <c r="A190" s="16" t="n">
        <v>46031</v>
      </c>
      <c r="B190" s="19" t="n">
        <v>1907.07</v>
      </c>
      <c r="D190" s="16" t="n">
        <v>46031</v>
      </c>
      <c r="E190" s="19" t="n">
        <v>30.89</v>
      </c>
      <c r="G190" s="16" t="n">
        <v>44249</v>
      </c>
      <c r="H190" s="19" t="n">
        <v>2.754</v>
      </c>
      <c r="J190" s="16" t="n">
        <v>44249</v>
      </c>
      <c r="K190" s="19" t="n">
        <v>1.851</v>
      </c>
      <c r="M190" s="16" t="n">
        <v>46031</v>
      </c>
      <c r="N190" s="19" t="n">
        <v>184990</v>
      </c>
    </row>
    <row r="191">
      <c r="A191" s="16" t="n">
        <v>46030</v>
      </c>
      <c r="B191" s="19" t="n">
        <v>1891.44</v>
      </c>
      <c r="D191" s="16" t="n">
        <v>46030</v>
      </c>
      <c r="E191" s="19" t="n">
        <v>31.57</v>
      </c>
      <c r="G191" s="16" t="n">
        <v>44250</v>
      </c>
      <c r="H191" s="19" t="n">
        <v>2.755</v>
      </c>
      <c r="J191" s="16" t="n">
        <v>44250</v>
      </c>
      <c r="K191" s="19" t="n">
        <v>1.82</v>
      </c>
      <c r="M191" s="16" t="n">
        <v>46030</v>
      </c>
      <c r="N191" s="19" t="n">
        <v>184740</v>
      </c>
    </row>
    <row r="192">
      <c r="A192" s="16" t="n">
        <v>46029</v>
      </c>
      <c r="B192" s="19" t="n">
        <v>1907.99</v>
      </c>
      <c r="D192" s="16" t="n">
        <v>46029</v>
      </c>
      <c r="E192" s="19" t="n">
        <v>30.99</v>
      </c>
      <c r="G192" s="16" t="n">
        <v>44251</v>
      </c>
      <c r="H192" s="19" t="n">
        <v>2.715</v>
      </c>
      <c r="J192" s="16" t="n">
        <v>44251</v>
      </c>
      <c r="K192" s="19" t="n">
        <v>1.831</v>
      </c>
      <c r="M192" s="16" t="n">
        <v>46029</v>
      </c>
      <c r="N192" s="19" t="n">
        <v>184986</v>
      </c>
    </row>
    <row r="193">
      <c r="A193" s="16" t="n">
        <v>46028</v>
      </c>
      <c r="B193" s="19" t="n">
        <v>1921.84</v>
      </c>
      <c r="D193" s="16" t="n">
        <v>46028</v>
      </c>
      <c r="E193" s="19" t="n">
        <v>30.9</v>
      </c>
      <c r="G193" s="16" t="n">
        <v>44252</v>
      </c>
      <c r="H193" s="19" t="n">
        <v>2.671</v>
      </c>
      <c r="J193" s="16" t="n">
        <v>44252</v>
      </c>
      <c r="K193" s="19" t="n">
        <v>1.822</v>
      </c>
      <c r="M193" s="16" t="n">
        <v>46028</v>
      </c>
      <c r="N193" s="19" t="n">
        <v>185489</v>
      </c>
    </row>
    <row r="194">
      <c r="A194" s="16" t="n">
        <v>46027</v>
      </c>
      <c r="B194" s="19" t="n">
        <v>1935.73</v>
      </c>
      <c r="D194" s="16" t="n">
        <v>46027</v>
      </c>
      <c r="E194" s="19" t="n">
        <v>30.38</v>
      </c>
      <c r="G194" s="16" t="n">
        <v>44253</v>
      </c>
      <c r="H194" s="19" t="n">
        <v>2.693</v>
      </c>
      <c r="J194" s="16" t="n">
        <v>44253</v>
      </c>
      <c r="K194" s="19" t="n">
        <v>1.873</v>
      </c>
      <c r="M194" s="16" t="n">
        <v>46027</v>
      </c>
      <c r="N194" s="19" t="n">
        <v>186238</v>
      </c>
    </row>
    <row r="195">
      <c r="A195" s="16" t="n">
        <v>46024</v>
      </c>
      <c r="B195" s="19" t="n">
        <v>1951</v>
      </c>
      <c r="D195" s="16" t="n">
        <v>46024</v>
      </c>
      <c r="E195" s="19" t="n">
        <v>29.12</v>
      </c>
      <c r="G195" s="16" t="n">
        <v>44257</v>
      </c>
      <c r="H195" s="19" t="n">
        <v>2.708</v>
      </c>
      <c r="J195" s="16" t="n">
        <v>44257</v>
      </c>
      <c r="K195" s="19" t="n">
        <v>1.859</v>
      </c>
      <c r="M195" s="16" t="n">
        <v>46024</v>
      </c>
      <c r="N195" s="19" t="n">
        <v>186645</v>
      </c>
    </row>
    <row r="196">
      <c r="A196" s="16" t="n">
        <v>46022</v>
      </c>
      <c r="B196" s="19" t="n">
        <v>1960.66</v>
      </c>
      <c r="D196" s="16" t="n">
        <v>46022</v>
      </c>
      <c r="E196" s="19" t="n">
        <v>30.52</v>
      </c>
      <c r="G196" s="16" t="n">
        <v>44258</v>
      </c>
      <c r="H196" s="19" t="n">
        <v>2.739</v>
      </c>
      <c r="J196" s="16" t="n">
        <v>44258</v>
      </c>
      <c r="K196" s="19" t="n">
        <v>1.894</v>
      </c>
      <c r="M196" s="16" t="n">
        <v>46022</v>
      </c>
      <c r="N196" s="19" t="n">
        <v>186990</v>
      </c>
    </row>
    <row r="197">
      <c r="A197" s="16" t="n">
        <v>46021</v>
      </c>
      <c r="B197" s="19" t="n">
        <v>1986.29</v>
      </c>
      <c r="D197" s="16" t="n">
        <v>46021</v>
      </c>
      <c r="E197" s="19" t="n">
        <v>29.91</v>
      </c>
      <c r="G197" s="16" t="n">
        <v>44259</v>
      </c>
      <c r="H197" s="19" t="n">
        <v>2.692</v>
      </c>
      <c r="J197" s="16" t="n">
        <v>44259</v>
      </c>
      <c r="K197" s="19" t="n">
        <v>1.862</v>
      </c>
      <c r="M197" s="16" t="n">
        <v>46021</v>
      </c>
      <c r="N197" s="19" t="n">
        <v>188227</v>
      </c>
    </row>
    <row r="198">
      <c r="A198" s="16" t="n">
        <v>46020</v>
      </c>
      <c r="B198" s="19" t="n">
        <v>1966.26</v>
      </c>
      <c r="D198" s="16" t="n">
        <v>46020</v>
      </c>
      <c r="E198" s="19" t="n">
        <v>31.89</v>
      </c>
      <c r="G198" s="16" t="n">
        <v>44260</v>
      </c>
      <c r="H198" s="19" t="n">
        <v>2.683</v>
      </c>
      <c r="J198" s="16" t="n">
        <v>44260</v>
      </c>
      <c r="K198" s="19" t="n">
        <v>1.855</v>
      </c>
      <c r="M198" s="16" t="n">
        <v>46020</v>
      </c>
      <c r="N198" s="19" t="n">
        <v>187670</v>
      </c>
    </row>
    <row r="199">
      <c r="A199" s="16" t="n">
        <v>46017</v>
      </c>
      <c r="B199" s="19" t="n">
        <v>1947.08</v>
      </c>
      <c r="D199" s="16" t="n">
        <v>46017</v>
      </c>
      <c r="E199" s="19" t="n">
        <v>32.51</v>
      </c>
      <c r="G199" s="16" t="n">
        <v>44263</v>
      </c>
      <c r="H199" s="19" t="n">
        <v>2.64</v>
      </c>
      <c r="J199" s="16" t="n">
        <v>44263</v>
      </c>
      <c r="K199" s="19" t="n">
        <v>1.8</v>
      </c>
      <c r="M199" s="16" t="n">
        <v>46017</v>
      </c>
      <c r="N199" s="19" t="n">
        <v>186568</v>
      </c>
    </row>
    <row r="200">
      <c r="A200" s="16" t="n">
        <v>46015</v>
      </c>
      <c r="B200" s="19" t="n">
        <v>1945.64</v>
      </c>
      <c r="D200" s="16" t="n">
        <v>46015</v>
      </c>
      <c r="E200" s="19" t="n">
        <v>32.76</v>
      </c>
      <c r="G200" s="16" t="n">
        <v>44264</v>
      </c>
      <c r="H200" s="19" t="n">
        <v>2.626</v>
      </c>
      <c r="J200" s="16" t="n">
        <v>44264</v>
      </c>
      <c r="K200" s="19" t="n">
        <v>1.79</v>
      </c>
      <c r="M200" s="16" t="n">
        <v>46015</v>
      </c>
      <c r="N200" s="19" t="n">
        <v>186361</v>
      </c>
    </row>
    <row r="201">
      <c r="A201" s="16" t="n">
        <v>46014</v>
      </c>
      <c r="B201" s="19" t="n">
        <v>1959.55</v>
      </c>
      <c r="D201" s="16" t="n">
        <v>46014</v>
      </c>
      <c r="E201" s="19" t="n">
        <v>32.01</v>
      </c>
      <c r="G201" s="16" t="n">
        <v>44265</v>
      </c>
      <c r="H201" s="19" t="n">
        <v>2.62</v>
      </c>
      <c r="J201" s="16" t="n">
        <v>44265</v>
      </c>
      <c r="K201" s="19" t="n">
        <v>1.774</v>
      </c>
      <c r="M201" s="16" t="n">
        <v>46014</v>
      </c>
      <c r="N201" s="19" t="n">
        <v>187259</v>
      </c>
    </row>
    <row r="202">
      <c r="A202" s="16" t="n">
        <v>46013</v>
      </c>
      <c r="B202" s="19" t="n">
        <v>1951.06</v>
      </c>
      <c r="D202" s="16" t="n">
        <v>46013</v>
      </c>
      <c r="E202" s="19" t="n">
        <v>32.71</v>
      </c>
      <c r="G202" s="16" t="n">
        <v>44266</v>
      </c>
      <c r="H202" s="19" t="n">
        <v>2.547</v>
      </c>
      <c r="J202" s="16" t="n">
        <v>44266</v>
      </c>
      <c r="K202" s="19" t="n">
        <v>1.773</v>
      </c>
      <c r="M202" s="16" t="n">
        <v>46013</v>
      </c>
      <c r="N202" s="19" t="n">
        <v>185762</v>
      </c>
    </row>
    <row r="203">
      <c r="A203" s="16" t="n">
        <v>46010</v>
      </c>
      <c r="B203" s="19" t="n">
        <v>1928.31</v>
      </c>
      <c r="D203" s="16" t="n">
        <v>46010</v>
      </c>
      <c r="E203" s="19" t="n">
        <v>34.37</v>
      </c>
      <c r="G203" s="16" t="n">
        <v>44267</v>
      </c>
      <c r="H203" s="19" t="n">
        <v>2.602</v>
      </c>
      <c r="J203" s="16" t="n">
        <v>44267</v>
      </c>
      <c r="K203" s="19" t="n">
        <v>1.782</v>
      </c>
      <c r="M203" s="16" t="n">
        <v>46010</v>
      </c>
      <c r="N203" s="19" t="n">
        <v>184548</v>
      </c>
    </row>
    <row r="204">
      <c r="A204" s="16" t="n">
        <v>46009</v>
      </c>
      <c r="B204" s="19" t="n">
        <v>1926.27</v>
      </c>
      <c r="D204" s="16" t="n">
        <v>46009</v>
      </c>
      <c r="E204" s="19" t="n">
        <v>34.62</v>
      </c>
      <c r="G204" s="16" t="n">
        <v>44270</v>
      </c>
      <c r="H204" s="19" t="n">
        <v>2.556</v>
      </c>
      <c r="J204" s="16" t="n">
        <v>44270</v>
      </c>
      <c r="K204" s="19" t="n">
        <v>1.808</v>
      </c>
      <c r="M204" s="16" t="n">
        <v>46009</v>
      </c>
      <c r="N204" s="19" t="n">
        <v>185319</v>
      </c>
    </row>
    <row r="205">
      <c r="A205" s="16" t="n">
        <v>46008</v>
      </c>
      <c r="B205" s="19" t="n">
        <v>1972.32</v>
      </c>
      <c r="D205" s="16" t="n">
        <v>46008</v>
      </c>
      <c r="E205" s="19" t="n">
        <v>33.02</v>
      </c>
      <c r="G205" s="16" t="n">
        <v>44271</v>
      </c>
      <c r="H205" s="19" t="n">
        <v>2.574</v>
      </c>
      <c r="J205" s="16" t="n">
        <v>44271</v>
      </c>
      <c r="K205" s="19" t="n">
        <v>1.84</v>
      </c>
      <c r="M205" s="16" t="n">
        <v>46008</v>
      </c>
      <c r="N205" s="19" t="n">
        <v>188012</v>
      </c>
    </row>
    <row r="206">
      <c r="A206" s="16" t="n">
        <v>46007</v>
      </c>
      <c r="B206" s="19" t="n">
        <v>1999.93</v>
      </c>
      <c r="D206" s="16" t="n">
        <v>46007</v>
      </c>
      <c r="E206" s="19" t="n">
        <v>30.81</v>
      </c>
      <c r="G206" s="16" t="n">
        <v>44272</v>
      </c>
      <c r="H206" s="19" t="n">
        <v>2.587</v>
      </c>
      <c r="J206" s="16" t="n">
        <v>44272</v>
      </c>
      <c r="K206" s="19" t="n">
        <v>1.849</v>
      </c>
      <c r="M206" s="16" t="n">
        <v>46007</v>
      </c>
      <c r="N206" s="19" t="n">
        <v>190233</v>
      </c>
    </row>
    <row r="207">
      <c r="A207" s="16" t="n">
        <v>46006</v>
      </c>
      <c r="B207" s="19" t="n">
        <v>1981.15</v>
      </c>
      <c r="D207" s="16" t="n">
        <v>46006</v>
      </c>
      <c r="E207" s="19" t="n">
        <v>31.48</v>
      </c>
      <c r="G207" s="16" t="n">
        <v>44273</v>
      </c>
      <c r="H207" s="19" t="n">
        <v>2.597</v>
      </c>
      <c r="J207" s="16" t="n">
        <v>44273</v>
      </c>
      <c r="K207" s="19" t="n">
        <v>1.819</v>
      </c>
      <c r="M207" s="16" t="n">
        <v>46006</v>
      </c>
      <c r="N207" s="19" t="n">
        <v>189845</v>
      </c>
    </row>
    <row r="208">
      <c r="A208" s="16" t="n">
        <v>46003</v>
      </c>
      <c r="B208" s="19" t="n">
        <v>1942.23</v>
      </c>
      <c r="D208" s="16" t="n">
        <v>46003</v>
      </c>
      <c r="E208" s="19" t="n">
        <v>34.05</v>
      </c>
      <c r="G208" s="16" t="n">
        <v>44274</v>
      </c>
      <c r="H208" s="19" t="n">
        <v>2.653</v>
      </c>
      <c r="J208" s="16" t="n">
        <v>44274</v>
      </c>
      <c r="K208" s="19" t="n">
        <v>1.838</v>
      </c>
      <c r="M208" s="16" t="n">
        <v>46003</v>
      </c>
      <c r="N208" s="19" t="n">
        <v>188040</v>
      </c>
    </row>
    <row r="209">
      <c r="A209" s="16" t="n">
        <v>46002</v>
      </c>
      <c r="B209" s="19" t="n">
        <v>1967.64</v>
      </c>
      <c r="D209" s="16" t="n">
        <v>46002</v>
      </c>
      <c r="E209" s="19" t="n">
        <v>33.07</v>
      </c>
      <c r="G209" s="16" t="n">
        <v>44277</v>
      </c>
      <c r="H209" s="19" t="n">
        <v>2.704</v>
      </c>
      <c r="J209" s="16" t="n">
        <v>44277</v>
      </c>
      <c r="K209" s="19" t="n">
        <v>1.856</v>
      </c>
      <c r="M209" s="16" t="n">
        <v>46002</v>
      </c>
      <c r="N209" s="19" t="n">
        <v>189422</v>
      </c>
    </row>
    <row r="210">
      <c r="A210" s="16" t="n">
        <v>46001</v>
      </c>
      <c r="B210" s="19" t="n">
        <v>1946.96</v>
      </c>
      <c r="D210" s="16" t="n">
        <v>46001</v>
      </c>
      <c r="E210" s="19" t="n">
        <v>34.76</v>
      </c>
      <c r="G210" s="16" t="n">
        <v>44278</v>
      </c>
      <c r="H210" s="19" t="n">
        <v>2.771</v>
      </c>
      <c r="J210" s="16" t="n">
        <v>44278</v>
      </c>
      <c r="K210" s="19" t="n">
        <v>1.827</v>
      </c>
      <c r="M210" s="16" t="n">
        <v>46001</v>
      </c>
      <c r="N210" s="19" t="n">
        <v>188521</v>
      </c>
    </row>
    <row r="211">
      <c r="A211" s="16" t="n">
        <v>46000</v>
      </c>
      <c r="B211" s="19" t="n">
        <v>1991.88</v>
      </c>
      <c r="D211" s="16" t="n">
        <v>46000</v>
      </c>
      <c r="E211" s="19" t="n">
        <v>32.21</v>
      </c>
      <c r="G211" s="16" t="n">
        <v>44279</v>
      </c>
      <c r="H211" s="19" t="n">
        <v>2.773</v>
      </c>
      <c r="J211" s="16" t="n">
        <v>44279</v>
      </c>
      <c r="K211" s="19" t="n">
        <v>1.881</v>
      </c>
      <c r="M211" s="16" t="n">
        <v>46000</v>
      </c>
      <c r="N211" s="19" t="n">
        <v>191691</v>
      </c>
    </row>
    <row r="212">
      <c r="A212" s="16" t="n">
        <v>45999</v>
      </c>
      <c r="B212" s="19" t="n">
        <v>1993.04</v>
      </c>
      <c r="D212" s="16" t="n">
        <v>45999</v>
      </c>
      <c r="E212" s="19" t="n">
        <v>31.69</v>
      </c>
      <c r="G212" s="16" t="n">
        <v>44280</v>
      </c>
      <c r="H212" s="19" t="n">
        <v>2.772</v>
      </c>
      <c r="J212" s="16" t="n">
        <v>44280</v>
      </c>
      <c r="K212" s="19" t="n">
        <v>1.895</v>
      </c>
      <c r="M212" s="16" t="n">
        <v>45999</v>
      </c>
      <c r="N212" s="19" t="n">
        <v>190751</v>
      </c>
    </row>
    <row r="213">
      <c r="A213" s="16" t="n">
        <v>45996</v>
      </c>
      <c r="B213" s="19" t="n">
        <v>2014.01</v>
      </c>
      <c r="D213" s="16" t="n">
        <v>45996</v>
      </c>
      <c r="E213" s="19" t="n">
        <v>31.25</v>
      </c>
      <c r="G213" s="16" t="n">
        <v>44281</v>
      </c>
      <c r="H213" s="19" t="n">
        <v>2.747</v>
      </c>
      <c r="J213" s="16" t="n">
        <v>44281</v>
      </c>
      <c r="K213" s="19" t="n">
        <v>1.883</v>
      </c>
      <c r="M213" s="16" t="n">
        <v>45996</v>
      </c>
      <c r="N213" s="19" t="n">
        <v>191141</v>
      </c>
    </row>
    <row r="214">
      <c r="A214" s="16" t="n">
        <v>45995</v>
      </c>
      <c r="B214" s="19" t="n">
        <v>2018.37</v>
      </c>
      <c r="D214" s="16" t="n">
        <v>45995</v>
      </c>
      <c r="E214" s="19" t="n">
        <v>30.15</v>
      </c>
      <c r="G214" s="16" t="n">
        <v>44284</v>
      </c>
      <c r="H214" s="19" t="n">
        <v>2.796</v>
      </c>
      <c r="J214" s="16" t="n">
        <v>44284</v>
      </c>
      <c r="K214" s="19" t="n">
        <v>1.89</v>
      </c>
      <c r="M214" s="16" t="n">
        <v>45995</v>
      </c>
      <c r="N214" s="19" t="n">
        <v>191870</v>
      </c>
    </row>
    <row r="215">
      <c r="A215" s="16" t="n">
        <v>45994</v>
      </c>
      <c r="B215" s="19" t="n">
        <v>2056.19</v>
      </c>
      <c r="D215" s="16" t="n">
        <v>45994</v>
      </c>
      <c r="E215" s="19" t="n">
        <v>28.54</v>
      </c>
      <c r="G215" s="16" t="n">
        <v>44285</v>
      </c>
      <c r="H215" s="19" t="n">
        <v>2.777</v>
      </c>
      <c r="J215" s="16" t="n">
        <v>44285</v>
      </c>
      <c r="K215" s="19" t="n">
        <v>1.896</v>
      </c>
      <c r="M215" s="16" t="n">
        <v>45994</v>
      </c>
      <c r="N215" s="19" t="n">
        <v>193970</v>
      </c>
    </row>
    <row r="216">
      <c r="A216" s="16" t="n">
        <v>45993</v>
      </c>
      <c r="B216" s="19" t="n">
        <v>2059.13</v>
      </c>
      <c r="D216" s="16" t="n">
        <v>45993</v>
      </c>
      <c r="E216" s="19" t="n">
        <v>29.33</v>
      </c>
      <c r="G216" s="16" t="n">
        <v>44286</v>
      </c>
      <c r="H216" s="19" t="n">
        <v>2.865</v>
      </c>
      <c r="J216" s="16" t="n">
        <v>44286</v>
      </c>
      <c r="K216" s="19" t="n">
        <v>1.901</v>
      </c>
      <c r="M216" s="16" t="n">
        <v>45993</v>
      </c>
      <c r="N216" s="19" t="n">
        <v>194153</v>
      </c>
    </row>
    <row r="217">
      <c r="A217" s="16" t="n">
        <v>45992</v>
      </c>
      <c r="B217" s="19" t="n">
        <v>2048.57</v>
      </c>
      <c r="D217" s="16" t="n">
        <v>45992</v>
      </c>
      <c r="E217" s="19" t="n">
        <v>30.01</v>
      </c>
      <c r="G217" s="16" t="n">
        <v>44287</v>
      </c>
      <c r="H217" s="19" t="n">
        <v>2.867</v>
      </c>
      <c r="J217" s="16" t="n">
        <v>44287</v>
      </c>
      <c r="K217" s="19" t="n">
        <v>1.904</v>
      </c>
      <c r="M217" s="16" t="n">
        <v>45992</v>
      </c>
      <c r="N217" s="19" t="n">
        <v>193289</v>
      </c>
    </row>
    <row r="218">
      <c r="A218" s="16" t="n">
        <v>45989</v>
      </c>
      <c r="B218" s="19" t="n">
        <v>2093.38</v>
      </c>
      <c r="D218" s="16" t="n">
        <v>45989</v>
      </c>
      <c r="E218" s="19" t="n">
        <v>27.73</v>
      </c>
      <c r="G218" s="16" t="n">
        <v>44288</v>
      </c>
      <c r="H218" s="19" t="n">
        <v>2.942</v>
      </c>
      <c r="J218" s="16" t="n">
        <v>44288</v>
      </c>
      <c r="K218" s="19" t="n">
        <v>1.923</v>
      </c>
      <c r="M218" s="16" t="n">
        <v>45989</v>
      </c>
      <c r="N218" s="19" t="n">
        <v>194316</v>
      </c>
    </row>
    <row r="219">
      <c r="A219" s="16" t="n">
        <v>45988</v>
      </c>
      <c r="B219" s="19" t="n">
        <v>2117.54</v>
      </c>
      <c r="D219" s="16" t="n">
        <v>45988</v>
      </c>
      <c r="E219" s="19" t="n">
        <v>26.84</v>
      </c>
      <c r="G219" s="16" t="n">
        <v>44291</v>
      </c>
      <c r="H219" s="19" t="n">
        <v>2.919</v>
      </c>
      <c r="J219" s="16" t="n">
        <v>44291</v>
      </c>
      <c r="K219" s="19" t="n">
        <v>1.913</v>
      </c>
      <c r="M219" s="16" t="n">
        <v>45988</v>
      </c>
      <c r="N219" s="19" t="n">
        <v>194491</v>
      </c>
    </row>
    <row r="220">
      <c r="A220" s="16" t="n">
        <v>45987</v>
      </c>
      <c r="B220" s="19" t="n">
        <v>2121.7</v>
      </c>
      <c r="D220" s="16" t="n">
        <v>45987</v>
      </c>
      <c r="E220" s="19" t="n">
        <v>27.47</v>
      </c>
      <c r="G220" s="16" t="n">
        <v>44292</v>
      </c>
      <c r="H220" s="19" t="n">
        <v>2.938</v>
      </c>
      <c r="J220" s="16" t="n">
        <v>44292</v>
      </c>
      <c r="K220" s="19" t="n">
        <v>1.941</v>
      </c>
      <c r="M220" s="16" t="n">
        <v>45987</v>
      </c>
      <c r="N220" s="19" t="n">
        <v>195246</v>
      </c>
    </row>
    <row r="221">
      <c r="A221" s="16" t="n">
        <v>45986</v>
      </c>
      <c r="B221" s="19" t="n">
        <v>2137</v>
      </c>
      <c r="D221" s="16" t="n">
        <v>45986</v>
      </c>
      <c r="E221" s="19" t="n">
        <v>27.61</v>
      </c>
      <c r="G221" s="16" t="n">
        <v>44293</v>
      </c>
      <c r="H221" s="19" t="n">
        <v>2.934</v>
      </c>
      <c r="J221" s="16" t="n">
        <v>44293</v>
      </c>
      <c r="K221" s="19" t="n">
        <v>1.964</v>
      </c>
      <c r="M221" s="16" t="n">
        <v>45986</v>
      </c>
      <c r="N221" s="19" t="n">
        <v>194903</v>
      </c>
    </row>
    <row r="222">
      <c r="A222" s="16" t="n">
        <v>45985</v>
      </c>
      <c r="B222" s="19" t="n">
        <v>2146.41</v>
      </c>
      <c r="D222" s="16" t="n">
        <v>45985</v>
      </c>
      <c r="E222" s="19" t="n">
        <v>27.57</v>
      </c>
      <c r="G222" s="16" t="n">
        <v>44294</v>
      </c>
      <c r="H222" s="19" t="n">
        <v>2.905</v>
      </c>
      <c r="J222" s="16" t="n">
        <v>44294</v>
      </c>
      <c r="K222" s="19" t="n">
        <v>1.989</v>
      </c>
      <c r="M222" s="16" t="n">
        <v>45985</v>
      </c>
      <c r="N222" s="19" t="n">
        <v>195842</v>
      </c>
    </row>
    <row r="223">
      <c r="A223" s="16" t="n">
        <v>45982</v>
      </c>
      <c r="B223" s="19" t="n">
        <v>2150.34</v>
      </c>
      <c r="D223" s="16" t="n">
        <v>45982</v>
      </c>
      <c r="E223" s="19" t="n">
        <v>27.59</v>
      </c>
      <c r="G223" s="16" t="n">
        <v>44295</v>
      </c>
      <c r="H223" s="19" t="n">
        <v>2.925</v>
      </c>
      <c r="J223" s="16" t="n">
        <v>44295</v>
      </c>
      <c r="K223" s="19" t="n">
        <v>1.994</v>
      </c>
      <c r="M223" s="16" t="n">
        <v>45982</v>
      </c>
      <c r="N223" s="19" t="n">
        <v>195549</v>
      </c>
    </row>
    <row r="224">
      <c r="A224" s="16" t="n">
        <v>45981</v>
      </c>
      <c r="B224" s="19" t="n">
        <v>2141.37</v>
      </c>
      <c r="D224" s="16" t="n">
        <v>45981</v>
      </c>
      <c r="E224" s="19" t="n">
        <v>27.49</v>
      </c>
      <c r="G224" s="16" t="n">
        <v>44298</v>
      </c>
      <c r="H224" s="19" t="n">
        <v>2.936</v>
      </c>
      <c r="J224" s="16" t="n">
        <v>44298</v>
      </c>
      <c r="K224" s="19" t="n">
        <v>1.979</v>
      </c>
      <c r="M224" s="16" t="n">
        <v>45981</v>
      </c>
      <c r="N224" s="19" t="n">
        <v>194508</v>
      </c>
    </row>
    <row r="225">
      <c r="A225" s="16" t="n">
        <v>45980</v>
      </c>
      <c r="B225" s="19" t="n">
        <v>2165.28</v>
      </c>
      <c r="D225" s="16" t="n">
        <v>45980</v>
      </c>
      <c r="E225" s="19" t="n">
        <v>26.23</v>
      </c>
      <c r="G225" s="16" t="n">
        <v>44299</v>
      </c>
      <c r="H225" s="19" t="n">
        <v>2.942</v>
      </c>
      <c r="J225" s="16" t="n">
        <v>44299</v>
      </c>
      <c r="K225" s="19" t="n">
        <v>1.978</v>
      </c>
      <c r="M225" s="16" t="n">
        <v>45980</v>
      </c>
      <c r="N225" s="19" t="n">
        <v>195618</v>
      </c>
    </row>
    <row r="226">
      <c r="A226" s="16" t="n">
        <v>45979</v>
      </c>
      <c r="B226" s="19" t="n">
        <v>2203.87</v>
      </c>
      <c r="D226" s="16" t="n">
        <v>45979</v>
      </c>
      <c r="E226" s="19" t="n">
        <v>23.89</v>
      </c>
      <c r="G226" s="16" t="n">
        <v>44300</v>
      </c>
      <c r="H226" s="19" t="n">
        <v>2.941</v>
      </c>
      <c r="J226" s="16" t="n">
        <v>44300</v>
      </c>
      <c r="K226" s="19" t="n">
        <v>1.995</v>
      </c>
      <c r="M226" s="16" t="n">
        <v>45979</v>
      </c>
      <c r="N226" s="19" t="n">
        <v>198637</v>
      </c>
    </row>
    <row r="227">
      <c r="A227" s="16" t="n">
        <v>45978</v>
      </c>
      <c r="B227" s="19" t="n">
        <v>2238.44</v>
      </c>
      <c r="D227" s="16" t="n">
        <v>45978</v>
      </c>
      <c r="E227" s="19" t="n">
        <v>22.43</v>
      </c>
      <c r="G227" s="16" t="n">
        <v>44301</v>
      </c>
      <c r="H227" s="19" t="n">
        <v>2.864</v>
      </c>
      <c r="J227" s="16" t="n">
        <v>44301</v>
      </c>
      <c r="K227" s="19" t="n">
        <v>1.943</v>
      </c>
      <c r="M227" s="16" t="n">
        <v>45978</v>
      </c>
      <c r="N227" s="19" t="n">
        <v>200573</v>
      </c>
    </row>
    <row r="228">
      <c r="A228" s="16" t="n">
        <v>45975</v>
      </c>
      <c r="B228" s="19" t="n">
        <v>2229.39</v>
      </c>
      <c r="D228" s="16" t="n">
        <v>45975</v>
      </c>
      <c r="E228" s="19" t="n">
        <v>22.62</v>
      </c>
      <c r="G228" s="16" t="n">
        <v>44302</v>
      </c>
      <c r="H228" s="19" t="n">
        <v>2.876</v>
      </c>
      <c r="J228" s="16" t="n">
        <v>44302</v>
      </c>
      <c r="K228" s="19" t="n">
        <v>1.905</v>
      </c>
      <c r="M228" s="16" t="n">
        <v>45975</v>
      </c>
      <c r="N228" s="19" t="n">
        <v>198725</v>
      </c>
    </row>
    <row r="229">
      <c r="A229" s="16" t="n">
        <v>45974</v>
      </c>
      <c r="B229" s="19" t="n">
        <v>2233.79</v>
      </c>
      <c r="D229" s="16" t="n">
        <v>45974</v>
      </c>
      <c r="E229" s="19" t="n">
        <v>22.55</v>
      </c>
      <c r="G229" s="16" t="n">
        <v>44305</v>
      </c>
      <c r="H229" s="19" t="n">
        <v>2.787</v>
      </c>
      <c r="J229" s="16" t="n">
        <v>44305</v>
      </c>
      <c r="K229" s="19" t="n">
        <v>1.913</v>
      </c>
      <c r="M229" s="16" t="n">
        <v>45974</v>
      </c>
      <c r="N229" s="19" t="n">
        <v>198800</v>
      </c>
    </row>
    <row r="230">
      <c r="A230" s="16" t="n">
        <v>45973</v>
      </c>
      <c r="B230" s="19" t="n">
        <v>2224.49</v>
      </c>
      <c r="D230" s="16" t="n">
        <v>45973</v>
      </c>
      <c r="E230" s="19" t="n">
        <v>23.63</v>
      </c>
      <c r="G230" s="16" t="n">
        <v>44306</v>
      </c>
      <c r="H230" s="19" t="n">
        <v>2.813</v>
      </c>
      <c r="J230" s="16" t="n">
        <v>44306</v>
      </c>
      <c r="K230" s="19" t="n">
        <v>1.951</v>
      </c>
      <c r="M230" s="16" t="n">
        <v>45973</v>
      </c>
      <c r="N230" s="19" t="n">
        <v>196947</v>
      </c>
    </row>
    <row r="231">
      <c r="A231" s="16" t="n">
        <v>45972</v>
      </c>
      <c r="B231" s="19" t="n">
        <v>2190.44</v>
      </c>
      <c r="D231" s="16" t="n">
        <v>45972</v>
      </c>
      <c r="E231" s="19" t="n">
        <v>26.26</v>
      </c>
      <c r="G231" s="16" t="n">
        <v>44307</v>
      </c>
      <c r="H231" s="19" t="n">
        <v>2.805</v>
      </c>
      <c r="J231" s="16" t="n">
        <v>44307</v>
      </c>
      <c r="K231" s="19" t="n">
        <v>1.957</v>
      </c>
      <c r="M231" s="16" t="n">
        <v>45972</v>
      </c>
      <c r="N231" s="19" t="n">
        <v>194220</v>
      </c>
    </row>
    <row r="232">
      <c r="A232" s="16" t="n">
        <v>45971</v>
      </c>
      <c r="B232" s="19" t="n">
        <v>2189.18</v>
      </c>
      <c r="D232" s="16" t="n">
        <v>45971</v>
      </c>
      <c r="E232" s="19" t="n">
        <v>25.59</v>
      </c>
      <c r="G232" s="16" t="n">
        <v>44308</v>
      </c>
      <c r="H232" s="19" t="n">
        <v>2.822</v>
      </c>
      <c r="J232" s="16" t="n">
        <v>44308</v>
      </c>
      <c r="K232" s="19" t="n">
        <v>1.998</v>
      </c>
      <c r="M232" s="16" t="n">
        <v>45971</v>
      </c>
      <c r="N232" s="19" t="n">
        <v>193476</v>
      </c>
    </row>
    <row r="233">
      <c r="A233" s="16" t="n">
        <v>45968</v>
      </c>
      <c r="B233" s="19" t="n">
        <v>2197.56</v>
      </c>
      <c r="D233" s="16" t="n">
        <v>45968</v>
      </c>
      <c r="E233" s="19" t="n">
        <v>25.32</v>
      </c>
      <c r="G233" s="16" t="n">
        <v>44309</v>
      </c>
      <c r="H233" s="19" t="n">
        <v>2.799</v>
      </c>
      <c r="J233" s="16" t="n">
        <v>44309</v>
      </c>
      <c r="K233" s="19" t="n">
        <v>1.989</v>
      </c>
      <c r="M233" s="16" t="n">
        <v>45968</v>
      </c>
      <c r="N233" s="19" t="n">
        <v>193698</v>
      </c>
    </row>
    <row r="234">
      <c r="A234" s="16" t="n">
        <v>45967</v>
      </c>
      <c r="B234" s="19" t="n">
        <v>2193.99</v>
      </c>
      <c r="D234" s="16" t="n">
        <v>45967</v>
      </c>
      <c r="E234" s="19" t="n">
        <v>26.17</v>
      </c>
      <c r="G234" s="16" t="n">
        <v>44312</v>
      </c>
      <c r="H234" s="19" t="n">
        <v>2.826</v>
      </c>
      <c r="J234" s="16" t="n">
        <v>44312</v>
      </c>
      <c r="K234" s="19" t="n">
        <v>2.004</v>
      </c>
      <c r="M234" s="16" t="n">
        <v>45967</v>
      </c>
      <c r="N234" s="19" t="n">
        <v>193349</v>
      </c>
    </row>
    <row r="235">
      <c r="A235" s="16" t="n">
        <v>45966</v>
      </c>
      <c r="B235" s="19" t="n">
        <v>2174.15</v>
      </c>
      <c r="D235" s="16" t="n">
        <v>45966</v>
      </c>
      <c r="E235" s="19" t="n">
        <v>26.8</v>
      </c>
      <c r="G235" s="16" t="n">
        <v>44313</v>
      </c>
      <c r="H235" s="19" t="n">
        <v>2.769</v>
      </c>
      <c r="J235" s="16" t="n">
        <v>44313</v>
      </c>
      <c r="K235" s="19" t="n">
        <v>2.022</v>
      </c>
      <c r="M235" s="16" t="n">
        <v>45966</v>
      </c>
      <c r="N235" s="19" t="n">
        <v>191324</v>
      </c>
    </row>
    <row r="236">
      <c r="A236" s="16" t="n">
        <v>45965</v>
      </c>
      <c r="B236" s="19" t="n">
        <v>2131.6</v>
      </c>
      <c r="D236" s="16" t="n">
        <v>45965</v>
      </c>
      <c r="E236" s="19" t="n">
        <v>29.38</v>
      </c>
      <c r="G236" s="16" t="n">
        <v>44314</v>
      </c>
      <c r="H236" s="19" t="n">
        <v>2.705</v>
      </c>
      <c r="J236" s="16" t="n">
        <v>44314</v>
      </c>
      <c r="K236" s="19" t="n">
        <v>2</v>
      </c>
      <c r="M236" s="16" t="n">
        <v>45965</v>
      </c>
      <c r="N236" s="19" t="n">
        <v>187880</v>
      </c>
    </row>
    <row r="237">
      <c r="A237" s="16" t="n">
        <v>45964</v>
      </c>
      <c r="B237" s="19" t="n">
        <v>2147.56</v>
      </c>
      <c r="D237" s="16" t="n">
        <v>45964</v>
      </c>
      <c r="E237" s="19" t="n">
        <v>28.63</v>
      </c>
      <c r="G237" s="16" t="n">
        <v>44315</v>
      </c>
      <c r="H237" s="19" t="n">
        <v>2.763</v>
      </c>
      <c r="J237" s="16" t="n">
        <v>44315</v>
      </c>
      <c r="K237" s="19" t="n">
        <v>2.042</v>
      </c>
      <c r="M237" s="16" t="n">
        <v>45964</v>
      </c>
      <c r="N237" s="19" t="n">
        <v>189346</v>
      </c>
    </row>
    <row r="238">
      <c r="A238" s="16" t="n">
        <v>45961</v>
      </c>
      <c r="B238" s="19" t="n">
        <v>2141.51</v>
      </c>
      <c r="D238" s="16" t="n">
        <v>45961</v>
      </c>
      <c r="E238" s="19" t="n">
        <v>29.03</v>
      </c>
      <c r="G238" s="16" t="n">
        <v>44316</v>
      </c>
      <c r="H238" s="19" t="n">
        <v>2.746</v>
      </c>
      <c r="J238" s="16" t="n">
        <v>44316</v>
      </c>
      <c r="K238" s="19" t="n">
        <v>2.056</v>
      </c>
      <c r="M238" s="16" t="n">
        <v>45961</v>
      </c>
      <c r="N238" s="19" t="n">
        <v>188018</v>
      </c>
    </row>
    <row r="239">
      <c r="A239" s="16" t="n">
        <v>45960</v>
      </c>
      <c r="B239" s="19" t="n">
        <v>2161.24</v>
      </c>
      <c r="D239" s="16" t="n">
        <v>45960</v>
      </c>
      <c r="E239" s="19" t="n">
        <v>28.11</v>
      </c>
      <c r="G239" s="16" t="n">
        <v>44319</v>
      </c>
      <c r="H239" s="19" t="n">
        <v>2.734</v>
      </c>
      <c r="J239" s="16" t="n">
        <v>44319</v>
      </c>
      <c r="K239" s="19" t="n">
        <v>2.04</v>
      </c>
      <c r="M239" s="16" t="n">
        <v>45960</v>
      </c>
      <c r="N239" s="19" t="n">
        <v>188738</v>
      </c>
    </row>
    <row r="240">
      <c r="A240" s="16" t="n">
        <v>45959</v>
      </c>
      <c r="B240" s="19" t="n">
        <v>2172.59</v>
      </c>
      <c r="D240" s="16" t="n">
        <v>45959</v>
      </c>
      <c r="E240" s="19" t="n">
        <v>27.34</v>
      </c>
      <c r="G240" s="16" t="n">
        <v>44320</v>
      </c>
      <c r="H240" s="19" t="n">
        <v>2.795</v>
      </c>
      <c r="J240" s="16" t="n">
        <v>44320</v>
      </c>
      <c r="K240" s="19" t="n">
        <v>2.07</v>
      </c>
      <c r="M240" s="16" t="n">
        <v>45959</v>
      </c>
      <c r="N240" s="19" t="n">
        <v>188220</v>
      </c>
    </row>
    <row r="241">
      <c r="A241" s="16" t="n">
        <v>45958</v>
      </c>
      <c r="B241" s="19" t="n">
        <v>2163.71</v>
      </c>
      <c r="D241" s="16" t="n">
        <v>45958</v>
      </c>
      <c r="E241" s="19" t="n">
        <v>28.08</v>
      </c>
      <c r="G241" s="16" t="n">
        <v>44322</v>
      </c>
      <c r="H241" s="19" t="n">
        <v>2.815</v>
      </c>
      <c r="J241" s="16" t="n">
        <v>44322</v>
      </c>
      <c r="K241" s="19" t="n">
        <v>2.067</v>
      </c>
      <c r="M241" s="16" t="n">
        <v>45958</v>
      </c>
      <c r="N241" s="19" t="n">
        <v>187472</v>
      </c>
    </row>
    <row r="242">
      <c r="A242" s="16" t="n">
        <v>45957</v>
      </c>
      <c r="B242" s="19" t="n">
        <v>2185.16</v>
      </c>
      <c r="D242" s="16" t="n">
        <v>45957</v>
      </c>
      <c r="E242" s="19" t="n">
        <v>28.39</v>
      </c>
      <c r="G242" s="16" t="n">
        <v>44323</v>
      </c>
      <c r="H242" s="19" t="n">
        <v>2.824</v>
      </c>
      <c r="J242" s="16" t="n">
        <v>44323</v>
      </c>
      <c r="K242" s="19" t="n">
        <v>2.069</v>
      </c>
      <c r="M242" s="16" t="n">
        <v>45957</v>
      </c>
      <c r="N242" s="19" t="n">
        <v>188571</v>
      </c>
    </row>
    <row r="243">
      <c r="A243" s="16" t="n">
        <v>45954</v>
      </c>
      <c r="B243" s="19" t="n">
        <v>2187.94</v>
      </c>
      <c r="D243" s="16" t="n">
        <v>45954</v>
      </c>
      <c r="E243" s="19" t="n">
        <v>28.11</v>
      </c>
      <c r="G243" s="16" t="n">
        <v>44326</v>
      </c>
      <c r="H243" s="19" t="n">
        <v>2.826</v>
      </c>
      <c r="J243" s="16" t="n">
        <v>44326</v>
      </c>
      <c r="K243" s="19" t="n">
        <v>2.044</v>
      </c>
      <c r="M243" s="16" t="n">
        <v>45954</v>
      </c>
      <c r="N243" s="19" t="n">
        <v>189145</v>
      </c>
    </row>
    <row r="244">
      <c r="A244" s="16" t="n">
        <v>45953</v>
      </c>
      <c r="B244" s="19" t="n">
        <v>2183.49</v>
      </c>
      <c r="D244" s="16" t="n">
        <v>45953</v>
      </c>
      <c r="E244" s="19" t="n">
        <v>28.5</v>
      </c>
      <c r="G244" s="16" t="n">
        <v>44327</v>
      </c>
      <c r="H244" s="19" t="n">
        <v>2.766</v>
      </c>
      <c r="J244" s="16" t="n">
        <v>44327</v>
      </c>
      <c r="K244" s="19" t="n">
        <v>2.037</v>
      </c>
      <c r="M244" s="16" t="n">
        <v>45953</v>
      </c>
      <c r="N244" s="19" t="n">
        <v>188865</v>
      </c>
    </row>
    <row r="245">
      <c r="A245" s="16" t="n">
        <v>45952</v>
      </c>
      <c r="B245" s="19" t="n">
        <v>2176.34</v>
      </c>
      <c r="D245" s="16" t="n">
        <v>45952</v>
      </c>
      <c r="E245" s="19" t="n">
        <v>28.77</v>
      </c>
      <c r="G245" s="16" t="n">
        <v>44328</v>
      </c>
      <c r="H245" s="19" t="n">
        <v>2.819</v>
      </c>
      <c r="J245" s="16" t="n">
        <v>44328</v>
      </c>
      <c r="K245" s="19" t="n">
        <v>2.056</v>
      </c>
      <c r="M245" s="16" t="n">
        <v>45952</v>
      </c>
      <c r="N245" s="19" t="n">
        <v>188864</v>
      </c>
    </row>
    <row r="246">
      <c r="A246" s="16" t="n">
        <v>45951</v>
      </c>
      <c r="B246" s="19" t="n">
        <v>2199.14</v>
      </c>
      <c r="D246" s="16" t="n">
        <v>45951</v>
      </c>
      <c r="E246" s="19" t="n">
        <v>27.55</v>
      </c>
      <c r="G246" s="16" t="n">
        <v>44329</v>
      </c>
      <c r="H246" s="19" t="n">
        <v>2.759</v>
      </c>
      <c r="J246" s="16" t="n">
        <v>44329</v>
      </c>
      <c r="K246" s="19" t="n">
        <v>2.029</v>
      </c>
      <c r="M246" s="16" t="n">
        <v>45951</v>
      </c>
      <c r="N246" s="19" t="n">
        <v>189132</v>
      </c>
    </row>
    <row r="247">
      <c r="A247" s="16" t="n">
        <v>45950</v>
      </c>
      <c r="B247" s="19" t="n">
        <v>2226.05</v>
      </c>
      <c r="D247" s="16" t="n">
        <v>45950</v>
      </c>
      <c r="E247" s="19" t="n">
        <v>25.76</v>
      </c>
      <c r="G247" s="16" t="n">
        <v>44330</v>
      </c>
      <c r="H247" s="19" t="n">
        <v>2.791</v>
      </c>
      <c r="J247" s="16" t="n">
        <v>44330</v>
      </c>
      <c r="K247" s="19" t="n">
        <v>2.05</v>
      </c>
      <c r="M247" s="16" t="n">
        <v>45950</v>
      </c>
      <c r="N247" s="19" t="n">
        <v>191203</v>
      </c>
    </row>
    <row r="248">
      <c r="A248" s="16" t="n">
        <v>45947</v>
      </c>
      <c r="B248" s="19" t="n">
        <v>2208.08</v>
      </c>
      <c r="D248" s="16" t="n">
        <v>45947</v>
      </c>
      <c r="E248" s="19" t="n">
        <v>27.1</v>
      </c>
      <c r="G248" s="16" t="n">
        <v>44333</v>
      </c>
      <c r="H248" s="19" t="n">
        <v>2.804</v>
      </c>
      <c r="J248" s="16" t="n">
        <v>44333</v>
      </c>
      <c r="K248" s="19" t="n">
        <v>2.027</v>
      </c>
      <c r="M248" s="16" t="n">
        <v>45947</v>
      </c>
      <c r="N248" s="19" t="n">
        <v>189772</v>
      </c>
    </row>
    <row r="249">
      <c r="A249" s="16" t="n">
        <v>45946</v>
      </c>
      <c r="B249" s="19" t="n">
        <v>2223.65</v>
      </c>
      <c r="D249" s="16" t="n">
        <v>45946</v>
      </c>
      <c r="E249" s="19" t="n">
        <v>25.55</v>
      </c>
      <c r="G249" s="16" t="n">
        <v>44334</v>
      </c>
      <c r="H249" s="19" t="n">
        <v>2.78</v>
      </c>
      <c r="J249" s="16" t="n">
        <v>44334</v>
      </c>
      <c r="K249" s="19" t="n">
        <v>2.001</v>
      </c>
      <c r="M249" s="16" t="n">
        <v>45946</v>
      </c>
      <c r="N249" s="19" t="n">
        <v>191379</v>
      </c>
    </row>
    <row r="250">
      <c r="A250" s="16" t="n">
        <v>45945</v>
      </c>
      <c r="B250" s="19" t="n">
        <v>2230.96</v>
      </c>
      <c r="D250" s="16" t="n">
        <v>45945</v>
      </c>
      <c r="E250" s="19" t="n">
        <v>24.81</v>
      </c>
      <c r="G250" s="16" t="n">
        <v>44335</v>
      </c>
      <c r="H250" s="19" t="n">
        <v>2.725</v>
      </c>
      <c r="J250" s="16" t="n">
        <v>44335</v>
      </c>
      <c r="K250" s="19" t="n">
        <v>1.996</v>
      </c>
      <c r="M250" s="16" t="n">
        <v>45945</v>
      </c>
      <c r="N250" s="19" t="n">
        <v>190861</v>
      </c>
    </row>
    <row r="251">
      <c r="A251" s="16" t="n">
        <v>45944</v>
      </c>
      <c r="B251" s="19" t="n">
        <v>2212.17</v>
      </c>
      <c r="D251" s="16" t="n">
        <v>45944</v>
      </c>
      <c r="E251" s="19" t="n">
        <v>27.02</v>
      </c>
      <c r="G251" s="16" t="n">
        <v>44336</v>
      </c>
      <c r="H251" s="19" t="n">
        <v>2.836</v>
      </c>
      <c r="J251" s="16" t="n">
        <v>44336</v>
      </c>
      <c r="K251" s="19" t="n">
        <v>2.033</v>
      </c>
      <c r="M251" s="16" t="n">
        <v>45944</v>
      </c>
      <c r="N251" s="19" t="n">
        <v>188949</v>
      </c>
    </row>
    <row r="252">
      <c r="A252" s="16" t="n">
        <v>45943</v>
      </c>
      <c r="B252" s="19" t="n">
        <v>2221.25</v>
      </c>
      <c r="D252" s="16" t="n">
        <v>45943</v>
      </c>
      <c r="E252" s="19" t="n">
        <v>27.72</v>
      </c>
      <c r="G252" s="16" t="n">
        <v>44337</v>
      </c>
      <c r="H252" s="19" t="n">
        <v>2.821</v>
      </c>
      <c r="J252" s="16" t="n">
        <v>44337</v>
      </c>
      <c r="K252" s="19" t="n">
        <v>2.035</v>
      </c>
      <c r="M252" s="16" t="n">
        <v>45943</v>
      </c>
      <c r="N252" s="19" t="n">
        <v>190203</v>
      </c>
    </row>
    <row r="253">
      <c r="A253" s="16" t="n">
        <v>45940</v>
      </c>
      <c r="B253" s="19" t="n">
        <v>2241.41</v>
      </c>
      <c r="D253" s="16" t="n">
        <v>45940</v>
      </c>
      <c r="E253" s="19" t="n">
        <v>26.36</v>
      </c>
      <c r="G253" s="16" t="n">
        <v>44340</v>
      </c>
      <c r="H253" s="19" t="n">
        <v>2.875</v>
      </c>
      <c r="J253" s="16" t="n">
        <v>44340</v>
      </c>
      <c r="K253" s="19" t="n">
        <v>2.074</v>
      </c>
      <c r="M253" s="16" t="n">
        <v>45940</v>
      </c>
      <c r="N253" s="19" t="n">
        <v>191146</v>
      </c>
    </row>
    <row r="254">
      <c r="A254" s="16" t="n">
        <v>45938</v>
      </c>
      <c r="B254" s="19" t="n">
        <v>2249.43</v>
      </c>
      <c r="D254" s="16" t="n">
        <v>45938</v>
      </c>
      <c r="E254" s="19" t="n">
        <v>25.88</v>
      </c>
      <c r="G254" s="16" t="n">
        <v>44341</v>
      </c>
      <c r="H254" s="19" t="n">
        <v>2.892</v>
      </c>
      <c r="J254" s="16" t="n">
        <v>44341</v>
      </c>
      <c r="K254" s="19" t="n">
        <v>2.064</v>
      </c>
      <c r="M254" s="16" t="n">
        <v>45938</v>
      </c>
      <c r="N254" s="19" t="n">
        <v>192195</v>
      </c>
    </row>
    <row r="255">
      <c r="A255" s="16" t="n">
        <v>45937</v>
      </c>
      <c r="B255" s="19" t="n">
        <v>2248.66</v>
      </c>
      <c r="D255" s="16" t="n">
        <v>45937</v>
      </c>
      <c r="E255" s="19" t="n">
        <v>26.23</v>
      </c>
      <c r="G255" s="16" t="n">
        <v>44342</v>
      </c>
      <c r="H255" s="19" t="n">
        <v>2.858</v>
      </c>
      <c r="J255" s="16" t="n">
        <v>44342</v>
      </c>
      <c r="K255" s="19" t="n">
        <v>2.071</v>
      </c>
      <c r="M255" s="16" t="n">
        <v>45937</v>
      </c>
      <c r="N255" s="19" t="n">
        <v>191855</v>
      </c>
    </row>
    <row r="256">
      <c r="A256" s="16" t="n">
        <v>45936</v>
      </c>
      <c r="B256" s="19" t="n">
        <v>2259.98</v>
      </c>
      <c r="D256" s="16" t="n">
        <v>45936</v>
      </c>
      <c r="E256" s="19" t="n">
        <v>26.62</v>
      </c>
      <c r="G256" s="16" t="n">
        <v>44343</v>
      </c>
      <c r="H256" s="19" t="n">
        <v>2.891</v>
      </c>
      <c r="J256" s="16" t="n">
        <v>44343</v>
      </c>
      <c r="K256" s="19" t="n">
        <v>2.095</v>
      </c>
      <c r="M256" s="16" t="n">
        <v>45936</v>
      </c>
      <c r="N256" s="19" t="n">
        <v>192148</v>
      </c>
    </row>
    <row r="257">
      <c r="A257" s="16" t="n">
        <v>45932</v>
      </c>
      <c r="B257" s="19" t="n">
        <v>2306.08</v>
      </c>
      <c r="D257" s="16" t="n">
        <v>45932</v>
      </c>
      <c r="E257" s="19" t="n">
        <v>24.3</v>
      </c>
      <c r="G257" s="16" t="n">
        <v>44344</v>
      </c>
      <c r="H257" s="19" t="n">
        <v>2.963</v>
      </c>
      <c r="J257" s="16" t="n">
        <v>44344</v>
      </c>
      <c r="K257" s="19" t="n">
        <v>2.117</v>
      </c>
      <c r="M257" s="16" t="n">
        <v>45932</v>
      </c>
      <c r="N257" s="19" t="n">
        <v>194872</v>
      </c>
    </row>
    <row r="258">
      <c r="A258" s="16" t="n">
        <v>45931</v>
      </c>
      <c r="B258" s="19" t="n">
        <v>2310.01</v>
      </c>
      <c r="D258" s="16" t="n">
        <v>45931</v>
      </c>
      <c r="E258" s="19" t="n">
        <v>23.63</v>
      </c>
      <c r="G258" s="16" t="n">
        <v>44347</v>
      </c>
      <c r="H258" s="19" t="n">
        <v>2.947</v>
      </c>
      <c r="J258" s="16" t="n">
        <v>44347</v>
      </c>
      <c r="K258" s="19" t="n">
        <v>2.113</v>
      </c>
      <c r="M258" s="16" t="n">
        <v>45931</v>
      </c>
      <c r="N258" s="19" t="n">
        <v>195576</v>
      </c>
    </row>
    <row r="259">
      <c r="A259" s="16" t="n">
        <v>45930</v>
      </c>
      <c r="B259" s="19" t="n">
        <v>2315.51</v>
      </c>
      <c r="D259" s="16" t="n">
        <v>45930</v>
      </c>
      <c r="E259" s="19" t="n">
        <v>22.8</v>
      </c>
      <c r="G259" s="16" t="n">
        <v>44348</v>
      </c>
      <c r="H259" s="19" t="n">
        <v>2.964</v>
      </c>
      <c r="J259" s="16" t="n">
        <v>44348</v>
      </c>
      <c r="K259" s="19" t="n">
        <v>2.125</v>
      </c>
      <c r="M259" s="16" t="n">
        <v>45930</v>
      </c>
      <c r="N259" s="19" t="n">
        <v>196191</v>
      </c>
    </row>
    <row r="260">
      <c r="A260" s="16" t="n">
        <v>45929</v>
      </c>
      <c r="B260" s="19" t="n">
        <v>2338.4</v>
      </c>
      <c r="D260" s="16" t="n">
        <v>45929</v>
      </c>
      <c r="E260" s="19" t="n">
        <v>22.28</v>
      </c>
      <c r="G260" s="16" t="n">
        <v>44349</v>
      </c>
      <c r="H260" s="19" t="n">
        <v>2.893</v>
      </c>
      <c r="J260" s="16" t="n">
        <v>44349</v>
      </c>
      <c r="K260" s="19" t="n">
        <v>2.08</v>
      </c>
      <c r="M260" s="16" t="n">
        <v>45929</v>
      </c>
      <c r="N260" s="19" t="n">
        <v>197541</v>
      </c>
    </row>
    <row r="261">
      <c r="A261" s="16" t="n">
        <v>45926</v>
      </c>
      <c r="B261" s="19" t="n">
        <v>2359.5</v>
      </c>
      <c r="D261" s="16" t="n">
        <v>45926</v>
      </c>
      <c r="E261" s="19" t="n">
        <v>21.41</v>
      </c>
      <c r="G261" s="16" t="n">
        <v>44350</v>
      </c>
      <c r="H261" s="19" t="n">
        <v>2.929</v>
      </c>
      <c r="J261" s="16" t="n">
        <v>44350</v>
      </c>
      <c r="K261" s="19" t="n">
        <v>2.1</v>
      </c>
      <c r="M261" s="16" t="n">
        <v>45926</v>
      </c>
      <c r="N261" s="19" t="n">
        <v>197053</v>
      </c>
    </row>
    <row r="262">
      <c r="A262" s="16" t="n">
        <v>45925</v>
      </c>
      <c r="B262" s="19" t="n">
        <v>2293.29</v>
      </c>
      <c r="D262" s="16" t="n">
        <v>45925</v>
      </c>
      <c r="E262" s="19" t="n">
        <v>24.89</v>
      </c>
      <c r="G262" s="16" t="n">
        <v>44351</v>
      </c>
      <c r="H262" s="19" t="n">
        <v>2.99</v>
      </c>
      <c r="J262" s="16" t="n">
        <v>44351</v>
      </c>
      <c r="K262" s="19" t="n">
        <v>2.122</v>
      </c>
      <c r="M262" s="16" t="n">
        <v>45925</v>
      </c>
      <c r="N262" s="19" t="n">
        <v>193851</v>
      </c>
    </row>
    <row r="263">
      <c r="A263" s="16" t="n">
        <v>45924</v>
      </c>
      <c r="B263" s="19" t="n">
        <v>2290.95</v>
      </c>
      <c r="D263" s="16" t="n">
        <v>45924</v>
      </c>
      <c r="E263" s="19" t="n">
        <v>25.39</v>
      </c>
      <c r="G263" s="16" t="n">
        <v>44354</v>
      </c>
      <c r="H263" s="19" t="n">
        <v>3.002</v>
      </c>
      <c r="J263" s="16" t="n">
        <v>44354</v>
      </c>
      <c r="K263" s="19" t="n">
        <v>2.159</v>
      </c>
      <c r="M263" s="16" t="n">
        <v>45924</v>
      </c>
      <c r="N263" s="19" t="n">
        <v>193386</v>
      </c>
    </row>
    <row r="264">
      <c r="A264" s="16" t="n">
        <v>45923</v>
      </c>
      <c r="B264" s="19" t="n">
        <v>2319.49</v>
      </c>
      <c r="D264" s="16" t="n">
        <v>45923</v>
      </c>
      <c r="E264" s="19" t="n">
        <v>24.03</v>
      </c>
      <c r="G264" s="16" t="n">
        <v>44355</v>
      </c>
      <c r="H264" s="19" t="n">
        <v>3.013</v>
      </c>
      <c r="J264" s="16" t="n">
        <v>44355</v>
      </c>
      <c r="K264" s="19" t="n">
        <v>2.16</v>
      </c>
      <c r="M264" s="16" t="n">
        <v>45923</v>
      </c>
      <c r="N264" s="19" t="n">
        <v>194533</v>
      </c>
    </row>
    <row r="265">
      <c r="A265" s="16" t="n">
        <v>45922</v>
      </c>
      <c r="B265" s="19" t="n">
        <v>2341.46</v>
      </c>
      <c r="D265" s="16" t="n">
        <v>45922</v>
      </c>
      <c r="E265" s="19" t="n">
        <v>23.26</v>
      </c>
      <c r="G265" s="16" t="n">
        <v>44356</v>
      </c>
      <c r="H265" s="19" t="n">
        <v>3.076</v>
      </c>
      <c r="J265" s="16" t="n">
        <v>44356</v>
      </c>
      <c r="K265" s="19" t="n">
        <v>2.185</v>
      </c>
      <c r="M265" s="16" t="n">
        <v>45922</v>
      </c>
      <c r="N265" s="19" t="n">
        <v>195438</v>
      </c>
    </row>
    <row r="266">
      <c r="A266" s="16" t="n">
        <v>45919</v>
      </c>
      <c r="B266" s="19" t="n">
        <v>2332.72</v>
      </c>
      <c r="D266" s="16" t="n">
        <v>45919</v>
      </c>
      <c r="E266" s="19" t="n">
        <v>25.17</v>
      </c>
      <c r="G266" s="16" t="n">
        <v>44357</v>
      </c>
      <c r="H266" s="19" t="n">
        <v>3.041</v>
      </c>
      <c r="J266" s="16" t="n">
        <v>44357</v>
      </c>
      <c r="K266" s="19" t="n">
        <v>2.154</v>
      </c>
      <c r="M266" s="16" t="n">
        <v>45919</v>
      </c>
      <c r="N266" s="19" t="n">
        <v>195283</v>
      </c>
    </row>
    <row r="267">
      <c r="A267" s="16" t="n">
        <v>45918</v>
      </c>
      <c r="B267" s="19" t="n">
        <v>2367.76</v>
      </c>
      <c r="D267" s="16" t="n">
        <v>45918</v>
      </c>
      <c r="E267" s="19" t="n">
        <v>23.57</v>
      </c>
      <c r="G267" s="16" t="n">
        <v>44358</v>
      </c>
      <c r="H267" s="19" t="n">
        <v>3.007</v>
      </c>
      <c r="J267" s="16" t="n">
        <v>44358</v>
      </c>
      <c r="K267" s="19" t="n">
        <v>2.118</v>
      </c>
      <c r="M267" s="16" t="n">
        <v>45918</v>
      </c>
      <c r="N267" s="19" t="n">
        <v>198161</v>
      </c>
    </row>
    <row r="268">
      <c r="A268" s="16" t="n">
        <v>45917</v>
      </c>
      <c r="B268" s="19" t="n">
        <v>2376.48</v>
      </c>
      <c r="D268" s="16" t="n">
        <v>45917</v>
      </c>
      <c r="E268" s="19" t="n">
        <v>23.74</v>
      </c>
      <c r="G268" s="16" t="n">
        <v>44361</v>
      </c>
      <c r="H268" s="19" t="n">
        <v>3.12</v>
      </c>
      <c r="J268" s="16" t="n">
        <v>44361</v>
      </c>
      <c r="K268" s="19" t="n">
        <v>2.174</v>
      </c>
      <c r="M268" s="16" t="n">
        <v>45917</v>
      </c>
      <c r="N268" s="19" t="n">
        <v>197618</v>
      </c>
    </row>
    <row r="269">
      <c r="A269" s="16" t="n">
        <v>45916</v>
      </c>
      <c r="B269" s="19" t="n">
        <v>2409.45</v>
      </c>
      <c r="D269" s="16" t="n">
        <v>45916</v>
      </c>
      <c r="E269" s="19" t="n">
        <v>22.64</v>
      </c>
      <c r="G269" s="16" t="n">
        <v>44362</v>
      </c>
      <c r="H269" s="19" t="n">
        <v>3.098</v>
      </c>
      <c r="J269" s="16" t="n">
        <v>44362</v>
      </c>
      <c r="K269" s="19" t="n">
        <v>2.165</v>
      </c>
      <c r="M269" s="16" t="n">
        <v>45916</v>
      </c>
      <c r="N269" s="19" t="n">
        <v>198560</v>
      </c>
    </row>
    <row r="270">
      <c r="A270" s="16" t="n">
        <v>45915</v>
      </c>
      <c r="B270" s="19" t="n">
        <v>2417.11</v>
      </c>
      <c r="D270" s="16" t="n">
        <v>45915</v>
      </c>
      <c r="E270" s="19" t="n">
        <v>22.37</v>
      </c>
      <c r="G270" s="16" t="n">
        <v>44363</v>
      </c>
      <c r="H270" s="19" t="n">
        <v>3.078</v>
      </c>
      <c r="J270" s="16" t="n">
        <v>44363</v>
      </c>
      <c r="K270" s="19" t="n">
        <v>2.134</v>
      </c>
      <c r="M270" s="16" t="n">
        <v>45915</v>
      </c>
      <c r="N270" s="19" t="n">
        <v>199417</v>
      </c>
    </row>
    <row r="271">
      <c r="A271" s="16" t="n">
        <v>45912</v>
      </c>
      <c r="B271" s="19" t="n">
        <v>2424.9</v>
      </c>
      <c r="D271" s="16" t="n">
        <v>45912</v>
      </c>
      <c r="E271" s="19" t="n">
        <v>23.14</v>
      </c>
      <c r="G271" s="16" t="n">
        <v>44364</v>
      </c>
      <c r="H271" s="19" t="n">
        <v>3.06</v>
      </c>
      <c r="J271" s="16" t="n">
        <v>44364</v>
      </c>
      <c r="K271" s="19" t="n">
        <v>2.102</v>
      </c>
      <c r="M271" s="16" t="n">
        <v>45912</v>
      </c>
      <c r="N271" s="19" t="n">
        <v>201119</v>
      </c>
    </row>
    <row r="272">
      <c r="A272" s="16" t="n">
        <v>45911</v>
      </c>
      <c r="B272" s="19" t="n">
        <v>2439.84</v>
      </c>
      <c r="D272" s="16" t="n">
        <v>45911</v>
      </c>
      <c r="E272" s="19" t="n">
        <v>21.87</v>
      </c>
      <c r="G272" s="16" t="n">
        <v>44365</v>
      </c>
      <c r="H272" s="19" t="n">
        <v>3.025</v>
      </c>
      <c r="J272" s="16" t="n">
        <v>44365</v>
      </c>
      <c r="K272" s="19" t="n">
        <v>2.076</v>
      </c>
      <c r="M272" s="16" t="n">
        <v>45911</v>
      </c>
      <c r="N272" s="19" t="n">
        <v>201120</v>
      </c>
    </row>
    <row r="273">
      <c r="A273" s="16" t="n">
        <v>45910</v>
      </c>
      <c r="B273" s="19" t="n">
        <v>2416.26</v>
      </c>
      <c r="D273" s="16" t="n">
        <v>45910</v>
      </c>
      <c r="E273" s="19" t="n">
        <v>22.05</v>
      </c>
      <c r="G273" s="16" t="n">
        <v>44368</v>
      </c>
      <c r="H273" s="19" t="n">
        <v>2.999</v>
      </c>
      <c r="J273" s="16" t="n">
        <v>44368</v>
      </c>
      <c r="K273" s="19" t="n">
        <v>2.036</v>
      </c>
      <c r="M273" s="16" t="n">
        <v>45910</v>
      </c>
      <c r="N273" s="19" t="n">
        <v>199877</v>
      </c>
    </row>
    <row r="274">
      <c r="A274" s="16" t="n">
        <v>45909</v>
      </c>
      <c r="B274" s="19" t="n">
        <v>2412.33</v>
      </c>
      <c r="D274" s="16" t="n">
        <v>45909</v>
      </c>
      <c r="E274" s="19" t="n">
        <v>22.68</v>
      </c>
      <c r="G274" s="16" t="n">
        <v>44369</v>
      </c>
      <c r="H274" s="19" t="n">
        <v>3.019</v>
      </c>
      <c r="J274" s="16" t="n">
        <v>44369</v>
      </c>
      <c r="K274" s="19" t="n">
        <v>2.043</v>
      </c>
      <c r="M274" s="16" t="n">
        <v>45909</v>
      </c>
      <c r="N274" s="19" t="n">
        <v>199315</v>
      </c>
    </row>
    <row r="275">
      <c r="A275" s="16" t="n">
        <v>45908</v>
      </c>
      <c r="B275" s="19" t="n">
        <v>2377.91</v>
      </c>
      <c r="D275" s="16" t="n">
        <v>45908</v>
      </c>
      <c r="E275" s="19" t="n">
        <v>24.73</v>
      </c>
      <c r="G275" s="16" t="n">
        <v>44370</v>
      </c>
      <c r="H275" s="19" t="n">
        <v>3.016</v>
      </c>
      <c r="J275" s="16" t="n">
        <v>44370</v>
      </c>
      <c r="K275" s="19" t="n">
        <v>2.028</v>
      </c>
      <c r="M275" s="16" t="n">
        <v>45908</v>
      </c>
      <c r="N275" s="19" t="n">
        <v>197552</v>
      </c>
    </row>
    <row r="276">
      <c r="A276" s="16" t="n">
        <v>45905</v>
      </c>
      <c r="B276" s="19" t="n">
        <v>2344.72</v>
      </c>
      <c r="D276" s="16" t="n">
        <v>45905</v>
      </c>
      <c r="E276" s="19" t="n">
        <v>26.38</v>
      </c>
      <c r="G276" s="16" t="n">
        <v>44371</v>
      </c>
      <c r="H276" s="19" t="n">
        <v>3.042</v>
      </c>
      <c r="J276" s="16" t="n">
        <v>44371</v>
      </c>
      <c r="K276" s="19" t="n">
        <v>2.039</v>
      </c>
      <c r="M276" s="16" t="n">
        <v>45905</v>
      </c>
      <c r="N276" s="19" t="n">
        <v>196174</v>
      </c>
    </row>
    <row r="277">
      <c r="A277" s="16" t="n">
        <v>45904</v>
      </c>
      <c r="B277" s="19" t="n">
        <v>2340.54</v>
      </c>
      <c r="D277" s="16" t="n">
        <v>45904</v>
      </c>
      <c r="E277" s="19" t="n">
        <v>27.21</v>
      </c>
      <c r="G277" s="16" t="n">
        <v>44372</v>
      </c>
      <c r="H277" s="19" t="n">
        <v>3.044</v>
      </c>
      <c r="J277" s="16" t="n">
        <v>44372</v>
      </c>
      <c r="K277" s="19" t="n">
        <v>2.043</v>
      </c>
      <c r="M277" s="16" t="n">
        <v>45904</v>
      </c>
      <c r="N277" s="19" t="n">
        <v>196009</v>
      </c>
    </row>
    <row r="278">
      <c r="A278" s="16" t="n">
        <v>45903</v>
      </c>
      <c r="B278" s="19" t="n">
        <v>2336.72</v>
      </c>
      <c r="D278" s="16" t="n">
        <v>45903</v>
      </c>
      <c r="E278" s="19" t="n">
        <v>27.57</v>
      </c>
      <c r="G278" s="16" t="n">
        <v>44375</v>
      </c>
      <c r="H278" s="19" t="n">
        <v>3.006</v>
      </c>
      <c r="J278" s="16" t="n">
        <v>44375</v>
      </c>
      <c r="K278" s="19" t="n">
        <v>2.04</v>
      </c>
      <c r="M278" s="16" t="n">
        <v>45903</v>
      </c>
      <c r="N278" s="19" t="n">
        <v>194478</v>
      </c>
    </row>
    <row r="279">
      <c r="A279" s="16" t="n">
        <v>45902</v>
      </c>
      <c r="B279" s="19" t="n">
        <v>2374.25</v>
      </c>
      <c r="D279" s="16" t="n">
        <v>45902</v>
      </c>
      <c r="E279" s="19" t="n">
        <v>25.95</v>
      </c>
      <c r="G279" s="16" t="n">
        <v>44376</v>
      </c>
      <c r="H279" s="19" t="n">
        <v>3.061</v>
      </c>
      <c r="J279" s="16" t="n">
        <v>44376</v>
      </c>
      <c r="K279" s="19" t="n">
        <v>2.078</v>
      </c>
      <c r="M279" s="16" t="n">
        <v>45902</v>
      </c>
      <c r="N279" s="19" t="n">
        <v>195095</v>
      </c>
    </row>
    <row r="280">
      <c r="A280" s="16" t="n">
        <v>45901</v>
      </c>
      <c r="B280" s="19" t="n">
        <v>2376.69</v>
      </c>
      <c r="D280" s="16" t="n">
        <v>45901</v>
      </c>
      <c r="E280" s="19" t="n">
        <v>25.11</v>
      </c>
      <c r="G280" s="16" t="n">
        <v>44377</v>
      </c>
      <c r="H280" s="19" t="n">
        <v>3.098</v>
      </c>
      <c r="J280" s="16" t="n">
        <v>44377</v>
      </c>
      <c r="K280" s="19" t="n">
        <v>2.086</v>
      </c>
      <c r="M280" s="16" t="n">
        <v>45901</v>
      </c>
      <c r="N280" s="19" t="n">
        <v>193899</v>
      </c>
    </row>
    <row r="281">
      <c r="A281" s="16" t="n">
        <v>45898</v>
      </c>
      <c r="B281" s="19" t="n">
        <v>2344.29</v>
      </c>
      <c r="D281" s="16" t="n">
        <v>45898</v>
      </c>
      <c r="E281" s="19" t="n">
        <v>27.08</v>
      </c>
      <c r="G281" s="16" t="n">
        <v>44378</v>
      </c>
      <c r="H281" s="19" t="n">
        <v>3.046</v>
      </c>
      <c r="J281" s="16" t="n">
        <v>44378</v>
      </c>
      <c r="K281" s="19" t="n">
        <v>2.08</v>
      </c>
      <c r="M281" s="16" t="n">
        <v>45898</v>
      </c>
      <c r="N281" s="19" t="n">
        <v>193456</v>
      </c>
    </row>
    <row r="282">
      <c r="A282" s="16" t="n">
        <v>45897</v>
      </c>
      <c r="B282" s="19" t="n">
        <v>2382.42</v>
      </c>
      <c r="D282" s="16" t="n">
        <v>45897</v>
      </c>
      <c r="E282" s="19" t="n">
        <v>25.12</v>
      </c>
      <c r="G282" s="16" t="n">
        <v>44379</v>
      </c>
      <c r="H282" s="19" t="n">
        <v>3.101</v>
      </c>
      <c r="J282" s="16" t="n">
        <v>44379</v>
      </c>
      <c r="K282" s="19" t="n">
        <v>2.073</v>
      </c>
      <c r="M282" s="16" t="n">
        <v>45897</v>
      </c>
      <c r="N282" s="19" t="n">
        <v>195200</v>
      </c>
    </row>
    <row r="283">
      <c r="A283" s="16" t="n">
        <v>45896</v>
      </c>
      <c r="B283" s="19" t="n">
        <v>2350.21</v>
      </c>
      <c r="D283" s="16" t="n">
        <v>45896</v>
      </c>
      <c r="E283" s="19" t="n">
        <v>27.14</v>
      </c>
      <c r="G283" s="16" t="n">
        <v>44382</v>
      </c>
      <c r="H283" s="19" t="n">
        <v>3.115</v>
      </c>
      <c r="J283" s="16" t="n">
        <v>44382</v>
      </c>
      <c r="K283" s="19" t="n">
        <v>2.072</v>
      </c>
      <c r="M283" s="16" t="n">
        <v>45896</v>
      </c>
      <c r="N283" s="19" t="n">
        <v>192956</v>
      </c>
    </row>
    <row r="284">
      <c r="A284" s="16" t="n">
        <v>45895</v>
      </c>
      <c r="B284" s="19" t="n">
        <v>2391.44</v>
      </c>
      <c r="D284" s="16" t="n">
        <v>45895</v>
      </c>
      <c r="E284" s="19" t="n">
        <v>25.47</v>
      </c>
      <c r="G284" s="16" t="n">
        <v>44383</v>
      </c>
      <c r="H284" s="19" t="n">
        <v>3.156</v>
      </c>
      <c r="J284" s="16" t="n">
        <v>44383</v>
      </c>
      <c r="K284" s="19" t="n">
        <v>2.06</v>
      </c>
      <c r="M284" s="16" t="n">
        <v>45895</v>
      </c>
      <c r="N284" s="19" t="n">
        <v>195554</v>
      </c>
    </row>
    <row r="285">
      <c r="A285" s="16" t="n">
        <v>45894</v>
      </c>
      <c r="B285" s="19" t="n">
        <v>2375.48</v>
      </c>
      <c r="D285" s="16" t="n">
        <v>45894</v>
      </c>
      <c r="E285" s="19" t="n">
        <v>26.28</v>
      </c>
      <c r="G285" s="16" t="n">
        <v>44384</v>
      </c>
      <c r="H285" s="19" t="n">
        <v>3.169</v>
      </c>
      <c r="J285" s="16" t="n">
        <v>44384</v>
      </c>
      <c r="K285" s="19" t="n">
        <v>2.075</v>
      </c>
      <c r="M285" s="16" t="n">
        <v>45894</v>
      </c>
      <c r="N285" s="19" t="n">
        <v>194736</v>
      </c>
    </row>
    <row r="286">
      <c r="A286" s="16" t="n">
        <v>45891</v>
      </c>
      <c r="B286" s="19" t="n">
        <v>2386.91</v>
      </c>
      <c r="D286" s="16" t="n">
        <v>45891</v>
      </c>
      <c r="E286" s="19" t="n">
        <v>26.59</v>
      </c>
      <c r="G286" s="16" t="n">
        <v>44385</v>
      </c>
      <c r="H286" s="19" t="n">
        <v>3.171</v>
      </c>
      <c r="J286" s="16" t="n">
        <v>44385</v>
      </c>
      <c r="K286" s="19" t="n">
        <v>2.099</v>
      </c>
      <c r="M286" s="16" t="n">
        <v>45891</v>
      </c>
      <c r="N286" s="19" t="n">
        <v>195578</v>
      </c>
    </row>
    <row r="287">
      <c r="A287" s="16" t="n">
        <v>45890</v>
      </c>
      <c r="B287" s="19" t="n">
        <v>2405.91</v>
      </c>
      <c r="D287" s="16" t="n">
        <v>45890</v>
      </c>
      <c r="E287" s="19" t="n">
        <v>25.22</v>
      </c>
      <c r="G287" s="16" t="n">
        <v>44386</v>
      </c>
      <c r="H287" s="19" t="n">
        <v>3.074</v>
      </c>
      <c r="J287" s="16" t="n">
        <v>44386</v>
      </c>
      <c r="K287" s="19" t="n">
        <v>2.074</v>
      </c>
      <c r="M287" s="16" t="n">
        <v>45890</v>
      </c>
      <c r="N287" s="19" t="n">
        <v>197067</v>
      </c>
    </row>
    <row r="288">
      <c r="A288" s="16" t="n">
        <v>45889</v>
      </c>
      <c r="B288" s="19" t="n">
        <v>2462.63</v>
      </c>
      <c r="D288" s="16" t="n">
        <v>45889</v>
      </c>
      <c r="E288" s="19" t="n">
        <v>22.2</v>
      </c>
      <c r="G288" s="16" t="n">
        <v>44389</v>
      </c>
      <c r="H288" s="19" t="n">
        <v>3.042</v>
      </c>
      <c r="J288" s="16" t="n">
        <v>44389</v>
      </c>
      <c r="K288" s="19" t="n">
        <v>2.045</v>
      </c>
      <c r="M288" s="16" t="n">
        <v>45889</v>
      </c>
      <c r="N288" s="19" t="n">
        <v>198670</v>
      </c>
    </row>
    <row r="289">
      <c r="A289" s="16" t="n">
        <v>45888</v>
      </c>
      <c r="B289" s="19" t="n">
        <v>2491.17</v>
      </c>
      <c r="D289" s="16" t="n">
        <v>45888</v>
      </c>
      <c r="E289" s="19" t="n">
        <v>19.89</v>
      </c>
      <c r="G289" s="16" t="n">
        <v>44390</v>
      </c>
      <c r="H289" s="19" t="n">
        <v>3.029</v>
      </c>
      <c r="J289" s="16" t="n">
        <v>44390</v>
      </c>
      <c r="K289" s="19" t="n">
        <v>2.037</v>
      </c>
      <c r="M289" s="16" t="n">
        <v>45888</v>
      </c>
      <c r="N289" s="19" t="n">
        <v>199096</v>
      </c>
    </row>
    <row r="290">
      <c r="A290" s="16" t="n">
        <v>45887</v>
      </c>
      <c r="B290" s="19" t="n">
        <v>2523.36</v>
      </c>
      <c r="D290" s="16" t="n">
        <v>45887</v>
      </c>
      <c r="E290" s="19" t="n">
        <v>18.63</v>
      </c>
      <c r="G290" s="16" t="n">
        <v>44391</v>
      </c>
      <c r="H290" s="19" t="n">
        <v>3.054</v>
      </c>
      <c r="J290" s="16" t="n">
        <v>44391</v>
      </c>
      <c r="K290" s="19" t="n">
        <v>2.055</v>
      </c>
      <c r="M290" s="16" t="n">
        <v>45887</v>
      </c>
      <c r="N290" s="19" t="n">
        <v>201367</v>
      </c>
    </row>
    <row r="291">
      <c r="A291" s="16" t="n">
        <v>45883</v>
      </c>
      <c r="B291" s="19" t="n">
        <v>2517.75</v>
      </c>
      <c r="D291" s="16" t="n">
        <v>45883</v>
      </c>
      <c r="E291" s="19" t="n">
        <v>18.77</v>
      </c>
      <c r="G291" s="16" t="n">
        <v>44392</v>
      </c>
      <c r="H291" s="19" t="n">
        <v>3.049</v>
      </c>
      <c r="J291" s="16" t="n">
        <v>44392</v>
      </c>
      <c r="K291" s="19" t="n">
        <v>2.059</v>
      </c>
      <c r="M291" s="16" t="n">
        <v>45883</v>
      </c>
      <c r="N291" s="19" t="n">
        <v>200322</v>
      </c>
    </row>
    <row r="292">
      <c r="A292" s="16" t="n">
        <v>45882</v>
      </c>
      <c r="B292" s="19" t="n">
        <v>2526.48</v>
      </c>
      <c r="D292" s="16" t="n">
        <v>45882</v>
      </c>
      <c r="E292" s="19" t="n">
        <v>18.56</v>
      </c>
      <c r="G292" s="16" t="n">
        <v>44393</v>
      </c>
      <c r="H292" s="19" t="n">
        <v>3.039</v>
      </c>
      <c r="J292" s="16" t="n">
        <v>44393</v>
      </c>
      <c r="K292" s="19" t="n">
        <v>2.041</v>
      </c>
      <c r="M292" s="16" t="n">
        <v>45882</v>
      </c>
      <c r="N292" s="19" t="n">
        <v>201335</v>
      </c>
    </row>
    <row r="293">
      <c r="A293" s="16" t="n">
        <v>45881</v>
      </c>
      <c r="B293" s="19" t="n">
        <v>2481.37</v>
      </c>
      <c r="D293" s="16" t="n">
        <v>45881</v>
      </c>
      <c r="E293" s="19" t="n">
        <v>20.03</v>
      </c>
      <c r="G293" s="16" t="n">
        <v>44396</v>
      </c>
      <c r="H293" s="19" t="n">
        <v>3.119</v>
      </c>
      <c r="J293" s="16" t="n">
        <v>44396</v>
      </c>
      <c r="K293" s="19" t="n">
        <v>2.109</v>
      </c>
      <c r="M293" s="16" t="n">
        <v>45881</v>
      </c>
      <c r="N293" s="19" t="n">
        <v>199376</v>
      </c>
    </row>
    <row r="294">
      <c r="A294" s="16" t="n">
        <v>45880</v>
      </c>
      <c r="B294" s="19" t="n">
        <v>2437.05</v>
      </c>
      <c r="D294" s="16" t="n">
        <v>45880</v>
      </c>
      <c r="E294" s="19" t="n">
        <v>21.98</v>
      </c>
      <c r="G294" s="16" t="n">
        <v>44397</v>
      </c>
      <c r="H294" s="19" t="n">
        <v>3.135</v>
      </c>
      <c r="J294" s="16" t="n">
        <v>44397</v>
      </c>
      <c r="K294" s="19" t="n">
        <v>2.101</v>
      </c>
      <c r="M294" s="16" t="n">
        <v>45880</v>
      </c>
      <c r="N294" s="19" t="n">
        <v>197657</v>
      </c>
    </row>
    <row r="295">
      <c r="A295" s="16" t="n">
        <v>45877</v>
      </c>
      <c r="B295" s="19" t="n">
        <v>2447.15</v>
      </c>
      <c r="D295" s="16" t="n">
        <v>45877</v>
      </c>
      <c r="E295" s="19" t="n">
        <v>21.58</v>
      </c>
      <c r="G295" s="16" t="n">
        <v>44398</v>
      </c>
      <c r="H295" s="19" t="n">
        <v>3.148</v>
      </c>
      <c r="J295" s="16" t="n">
        <v>44398</v>
      </c>
      <c r="K295" s="19" t="n">
        <v>2.13</v>
      </c>
      <c r="M295" s="16" t="n">
        <v>45877</v>
      </c>
      <c r="N295" s="19" t="n">
        <v>197625</v>
      </c>
    </row>
    <row r="296">
      <c r="A296" s="16" t="n">
        <v>45876</v>
      </c>
      <c r="B296" s="19" t="n">
        <v>2447.9</v>
      </c>
      <c r="D296" s="16" t="n">
        <v>45876</v>
      </c>
      <c r="E296" s="19" t="n">
        <v>21.59</v>
      </c>
      <c r="G296" s="16" t="n">
        <v>44399</v>
      </c>
      <c r="H296" s="19" t="n">
        <v>3.133</v>
      </c>
      <c r="J296" s="16" t="n">
        <v>44399</v>
      </c>
      <c r="K296" s="19" t="n">
        <v>2.14</v>
      </c>
      <c r="M296" s="16" t="n">
        <v>45876</v>
      </c>
      <c r="N296" s="19" t="n">
        <v>198272</v>
      </c>
    </row>
    <row r="297">
      <c r="A297" s="16" t="n">
        <v>45875</v>
      </c>
      <c r="B297" s="19" t="n">
        <v>2438.27</v>
      </c>
      <c r="D297" s="16" t="n">
        <v>45875</v>
      </c>
      <c r="E297" s="19" t="n">
        <v>21.16</v>
      </c>
      <c r="G297" s="16" t="n">
        <v>44400</v>
      </c>
      <c r="H297" s="19" t="n">
        <v>3.08</v>
      </c>
      <c r="J297" s="16" t="n">
        <v>44400</v>
      </c>
      <c r="K297" s="19" t="n">
        <v>2.097</v>
      </c>
      <c r="M297" s="16" t="n">
        <v>45875</v>
      </c>
      <c r="N297" s="19" t="n">
        <v>196792</v>
      </c>
    </row>
    <row r="298">
      <c r="A298" s="16" t="n">
        <v>45874</v>
      </c>
      <c r="B298" s="19" t="n">
        <v>2430.51</v>
      </c>
      <c r="D298" s="16" t="n">
        <v>45874</v>
      </c>
      <c r="E298" s="19" t="n">
        <v>20.65</v>
      </c>
      <c r="G298" s="16" t="n">
        <v>44403</v>
      </c>
      <c r="H298" s="19" t="n">
        <v>3.146</v>
      </c>
      <c r="J298" s="16" t="n">
        <v>44403</v>
      </c>
      <c r="K298" s="19" t="n">
        <v>2.139</v>
      </c>
      <c r="M298" s="16" t="n">
        <v>45874</v>
      </c>
      <c r="N298" s="19" t="n">
        <v>195753</v>
      </c>
    </row>
    <row r="299">
      <c r="A299" s="16" t="n">
        <v>45873</v>
      </c>
      <c r="B299" s="19" t="n">
        <v>2445.04</v>
      </c>
      <c r="D299" s="16" t="n">
        <v>45873</v>
      </c>
      <c r="E299" s="19" t="n">
        <v>19.67</v>
      </c>
      <c r="G299" s="16" t="n">
        <v>44404</v>
      </c>
      <c r="H299" s="19" t="n">
        <v>3.165</v>
      </c>
      <c r="J299" s="16" t="n">
        <v>44404</v>
      </c>
      <c r="K299" s="19" t="n">
        <v>2.121</v>
      </c>
      <c r="M299" s="16" t="n">
        <v>45873</v>
      </c>
      <c r="N299" s="19" t="n">
        <v>196384</v>
      </c>
    </row>
    <row r="300">
      <c r="A300" s="16" t="n">
        <v>45870</v>
      </c>
      <c r="B300" s="19" t="n">
        <v>2415.05</v>
      </c>
      <c r="D300" s="16" t="n">
        <v>45870</v>
      </c>
      <c r="E300" s="19" t="n">
        <v>21.19</v>
      </c>
      <c r="G300" s="16" t="n">
        <v>44405</v>
      </c>
      <c r="H300" s="19" t="n">
        <v>3.136</v>
      </c>
      <c r="J300" s="16" t="n">
        <v>44405</v>
      </c>
      <c r="K300" s="19" t="n">
        <v>2.094</v>
      </c>
      <c r="M300" s="16" t="n">
        <v>45870</v>
      </c>
      <c r="N300" s="19" t="n">
        <v>194275</v>
      </c>
    </row>
    <row r="301">
      <c r="A301" s="16" t="n">
        <v>45869</v>
      </c>
      <c r="B301" s="19" t="n">
        <v>2426.28</v>
      </c>
      <c r="D301" s="16" t="n">
        <v>45869</v>
      </c>
      <c r="E301" s="19" t="n">
        <v>20.4</v>
      </c>
      <c r="G301" s="16" t="n">
        <v>44406</v>
      </c>
      <c r="H301" s="19" t="n">
        <v>3.15</v>
      </c>
      <c r="J301" s="16" t="n">
        <v>44406</v>
      </c>
      <c r="K301" s="19" t="n">
        <v>2.105</v>
      </c>
      <c r="M301" s="16" t="n">
        <v>45869</v>
      </c>
      <c r="N301" s="19" t="n">
        <v>192962</v>
      </c>
    </row>
    <row r="302">
      <c r="A302" s="16" t="n">
        <v>45868</v>
      </c>
      <c r="B302" s="19" t="n">
        <v>2367.5</v>
      </c>
      <c r="D302" s="16" t="n">
        <v>45868</v>
      </c>
      <c r="E302" s="19" t="n">
        <v>24.13</v>
      </c>
      <c r="G302" s="16" t="n">
        <v>44407</v>
      </c>
      <c r="H302" s="19" t="n">
        <v>3.097</v>
      </c>
      <c r="J302" s="16" t="n">
        <v>44407</v>
      </c>
      <c r="K302" s="19" t="n">
        <v>2.051</v>
      </c>
      <c r="M302" s="16" t="n">
        <v>45868</v>
      </c>
      <c r="N302" s="19" t="n">
        <v>190893</v>
      </c>
    </row>
    <row r="303">
      <c r="A303" s="16" t="n">
        <v>45867</v>
      </c>
      <c r="B303" s="19" t="n">
        <v>2348.27</v>
      </c>
      <c r="D303" s="16" t="n">
        <v>45867</v>
      </c>
      <c r="E303" s="19" t="n">
        <v>24.49</v>
      </c>
      <c r="G303" s="16" t="n">
        <v>44410</v>
      </c>
      <c r="H303" s="19" t="n">
        <v>3.087</v>
      </c>
      <c r="J303" s="16" t="n">
        <v>44410</v>
      </c>
      <c r="K303" s="19" t="n">
        <v>2.046</v>
      </c>
      <c r="M303" s="16" t="n">
        <v>45867</v>
      </c>
      <c r="N303" s="19" t="n">
        <v>189632</v>
      </c>
    </row>
    <row r="304">
      <c r="A304" s="16" t="n">
        <v>45866</v>
      </c>
      <c r="B304" s="19" t="n">
        <v>2363.61</v>
      </c>
      <c r="D304" s="16" t="n">
        <v>45866</v>
      </c>
      <c r="E304" s="19" t="n">
        <v>22.95</v>
      </c>
      <c r="G304" s="16" t="n">
        <v>44411</v>
      </c>
      <c r="H304" s="19" t="n">
        <v>3.051</v>
      </c>
      <c r="J304" s="16" t="n">
        <v>44411</v>
      </c>
      <c r="K304" s="19" t="n">
        <v>2.021</v>
      </c>
      <c r="M304" s="16" t="n">
        <v>45866</v>
      </c>
      <c r="N304" s="19" t="n">
        <v>189712</v>
      </c>
    </row>
    <row r="305">
      <c r="A305" s="16" t="n">
        <v>45863</v>
      </c>
      <c r="B305" s="19" t="n">
        <v>2311.97</v>
      </c>
      <c r="D305" s="16" t="n">
        <v>45863</v>
      </c>
      <c r="E305" s="19" t="n">
        <v>25.54</v>
      </c>
      <c r="G305" s="16" t="n">
        <v>44412</v>
      </c>
      <c r="H305" s="19" t="n">
        <v>3.066</v>
      </c>
      <c r="J305" s="16" t="n">
        <v>44412</v>
      </c>
      <c r="K305" s="19" t="n">
        <v>2.008</v>
      </c>
      <c r="M305" s="16" t="n">
        <v>45863</v>
      </c>
      <c r="N305" s="19" t="n">
        <v>187229</v>
      </c>
    </row>
    <row r="306">
      <c r="A306" s="16" t="n">
        <v>45862</v>
      </c>
      <c r="B306" s="19" t="n">
        <v>2380.06</v>
      </c>
      <c r="D306" s="16" t="n">
        <v>45862</v>
      </c>
      <c r="E306" s="19" t="n">
        <v>23.08</v>
      </c>
      <c r="G306" s="16" t="n">
        <v>44413</v>
      </c>
      <c r="H306" s="19" t="n">
        <v>2.983</v>
      </c>
      <c r="J306" s="16" t="n">
        <v>44413</v>
      </c>
      <c r="K306" s="19" t="n">
        <v>1.948</v>
      </c>
      <c r="M306" s="16" t="n">
        <v>45862</v>
      </c>
      <c r="N306" s="19" t="n">
        <v>190556</v>
      </c>
    </row>
    <row r="307">
      <c r="A307" s="16" t="n">
        <v>45861</v>
      </c>
      <c r="B307" s="19" t="n">
        <v>2365.16</v>
      </c>
      <c r="D307" s="16" t="n">
        <v>45861</v>
      </c>
      <c r="E307" s="19" t="n">
        <v>23.36</v>
      </c>
      <c r="G307" s="16" t="n">
        <v>44414</v>
      </c>
      <c r="H307" s="19" t="n">
        <v>3.004</v>
      </c>
      <c r="J307" s="16" t="n">
        <v>44414</v>
      </c>
      <c r="K307" s="19" t="n">
        <v>1.963</v>
      </c>
      <c r="M307" s="16" t="n">
        <v>45861</v>
      </c>
      <c r="N307" s="19" t="n">
        <v>189994</v>
      </c>
    </row>
    <row r="308">
      <c r="A308" s="16" t="n">
        <v>45860</v>
      </c>
      <c r="B308" s="19" t="n">
        <v>2338.91</v>
      </c>
      <c r="D308" s="16" t="n">
        <v>45860</v>
      </c>
      <c r="E308" s="19" t="n">
        <v>24.57</v>
      </c>
      <c r="G308" s="16" t="n">
        <v>44417</v>
      </c>
      <c r="H308" s="19" t="n">
        <v>3.014</v>
      </c>
      <c r="J308" s="16" t="n">
        <v>44417</v>
      </c>
      <c r="K308" s="19" t="n">
        <v>1.926</v>
      </c>
      <c r="M308" s="16" t="n">
        <v>45860</v>
      </c>
      <c r="N308" s="19" t="n">
        <v>187832</v>
      </c>
    </row>
    <row r="309">
      <c r="A309" s="16" t="n">
        <v>45859</v>
      </c>
      <c r="B309" s="19" t="n">
        <v>2371.37</v>
      </c>
      <c r="D309" s="16" t="n">
        <v>45859</v>
      </c>
      <c r="E309" s="19" t="n">
        <v>23.22</v>
      </c>
      <c r="G309" s="16" t="n">
        <v>44418</v>
      </c>
      <c r="H309" s="19" t="n">
        <v>3.028</v>
      </c>
      <c r="J309" s="16" t="n">
        <v>44418</v>
      </c>
      <c r="K309" s="19" t="n">
        <v>1.926</v>
      </c>
      <c r="M309" s="16" t="n">
        <v>45859</v>
      </c>
      <c r="N309" s="19" t="n">
        <v>190210</v>
      </c>
    </row>
    <row r="310">
      <c r="A310" s="16" t="n">
        <v>45856</v>
      </c>
      <c r="B310" s="19" t="n">
        <v>2389.78</v>
      </c>
      <c r="D310" s="16" t="n">
        <v>45856</v>
      </c>
      <c r="E310" s="19" t="n">
        <v>22.04</v>
      </c>
      <c r="G310" s="16" t="n">
        <v>44419</v>
      </c>
      <c r="H310" s="19" t="n">
        <v>2.957</v>
      </c>
      <c r="J310" s="16" t="n">
        <v>44419</v>
      </c>
      <c r="K310" s="19" t="n">
        <v>1.907</v>
      </c>
      <c r="M310" s="16" t="n">
        <v>45856</v>
      </c>
      <c r="N310" s="19" t="n">
        <v>191418</v>
      </c>
    </row>
    <row r="311">
      <c r="A311" s="16" t="n">
        <v>45855</v>
      </c>
      <c r="B311" s="19" t="n">
        <v>2398.55</v>
      </c>
      <c r="D311" s="16" t="n">
        <v>45855</v>
      </c>
      <c r="E311" s="19" t="n">
        <v>22.1</v>
      </c>
      <c r="G311" s="16" t="n">
        <v>44420</v>
      </c>
      <c r="H311" s="19" t="n">
        <v>2.889</v>
      </c>
      <c r="J311" s="16" t="n">
        <v>44420</v>
      </c>
      <c r="K311" s="19" t="n">
        <v>1.899</v>
      </c>
      <c r="M311" s="16" t="n">
        <v>45855</v>
      </c>
      <c r="N311" s="19" t="n">
        <v>192899</v>
      </c>
    </row>
    <row r="312">
      <c r="A312" s="16" t="n">
        <v>45854</v>
      </c>
      <c r="B312" s="19" t="n">
        <v>2427.91</v>
      </c>
      <c r="D312" s="16" t="n">
        <v>45854</v>
      </c>
      <c r="E312" s="19" t="n">
        <v>20.23</v>
      </c>
      <c r="G312" s="16" t="n">
        <v>44421</v>
      </c>
      <c r="H312" s="19" t="n">
        <v>2.919</v>
      </c>
      <c r="J312" s="16" t="n">
        <v>44421</v>
      </c>
      <c r="K312" s="19" t="n">
        <v>1.899</v>
      </c>
      <c r="M312" s="16" t="n">
        <v>45854</v>
      </c>
      <c r="N312" s="19" t="n">
        <v>194706</v>
      </c>
    </row>
    <row r="313">
      <c r="A313" s="16" t="n">
        <v>45853</v>
      </c>
      <c r="B313" s="19" t="n">
        <v>2480.34</v>
      </c>
      <c r="D313" s="16" t="n">
        <v>45853</v>
      </c>
      <c r="E313" s="19" t="n">
        <v>18.4</v>
      </c>
      <c r="G313" s="16" t="n">
        <v>44424</v>
      </c>
      <c r="H313" s="19" t="n">
        <v>2.96</v>
      </c>
      <c r="J313" s="16" t="n">
        <v>44424</v>
      </c>
      <c r="K313" s="19" t="n">
        <v>1.925</v>
      </c>
      <c r="M313" s="16" t="n">
        <v>45853</v>
      </c>
      <c r="N313" s="19" t="n">
        <v>197630</v>
      </c>
    </row>
    <row r="314">
      <c r="A314" s="16" t="n">
        <v>45852</v>
      </c>
      <c r="B314" s="19" t="n">
        <v>2495.75</v>
      </c>
      <c r="D314" s="16" t="n">
        <v>45852</v>
      </c>
      <c r="E314" s="19" t="n">
        <v>16.74</v>
      </c>
      <c r="G314" s="16" t="n">
        <v>44425</v>
      </c>
      <c r="H314" s="19" t="n">
        <v>3.066</v>
      </c>
      <c r="J314" s="16" t="n">
        <v>44425</v>
      </c>
      <c r="K314" s="19" t="n">
        <v>1.998</v>
      </c>
      <c r="M314" s="16" t="n">
        <v>45852</v>
      </c>
      <c r="N314" s="19" t="n">
        <v>197668</v>
      </c>
    </row>
    <row r="315">
      <c r="A315" s="16" t="n">
        <v>45849</v>
      </c>
      <c r="B315" s="19" t="n">
        <v>2493.92</v>
      </c>
      <c r="D315" s="16" t="n">
        <v>45849</v>
      </c>
      <c r="E315" s="19" t="n">
        <v>16.17</v>
      </c>
      <c r="G315" s="16" t="n">
        <v>44426</v>
      </c>
      <c r="H315" s="19" t="n">
        <v>2.979</v>
      </c>
      <c r="J315" s="16" t="n">
        <v>44426</v>
      </c>
      <c r="K315" s="19" t="n">
        <v>1.98</v>
      </c>
      <c r="M315" s="16" t="n">
        <v>45849</v>
      </c>
      <c r="N315" s="19" t="n">
        <v>197821</v>
      </c>
    </row>
    <row r="316">
      <c r="A316" s="16" t="n">
        <v>45848</v>
      </c>
      <c r="B316" s="19" t="n">
        <v>2518.01</v>
      </c>
      <c r="D316" s="16" t="n">
        <v>45848</v>
      </c>
      <c r="E316" s="19" t="n">
        <v>14.62</v>
      </c>
      <c r="G316" s="16" t="n">
        <v>44427</v>
      </c>
      <c r="H316" s="19" t="n">
        <v>2.882</v>
      </c>
      <c r="J316" s="16" t="n">
        <v>44427</v>
      </c>
      <c r="K316" s="19" t="n">
        <v>1.923</v>
      </c>
      <c r="M316" s="16" t="n">
        <v>45848</v>
      </c>
      <c r="N316" s="19" t="n">
        <v>199502</v>
      </c>
    </row>
    <row r="317">
      <c r="A317" s="16" t="n">
        <v>45847</v>
      </c>
      <c r="B317" s="19" t="n">
        <v>2499.28</v>
      </c>
      <c r="D317" s="16" t="n">
        <v>45847</v>
      </c>
      <c r="E317" s="19" t="n">
        <v>15.57</v>
      </c>
      <c r="G317" s="16" t="n">
        <v>44428</v>
      </c>
      <c r="H317" s="19" t="n">
        <v>2.921</v>
      </c>
      <c r="J317" s="16" t="n">
        <v>44428</v>
      </c>
      <c r="K317" s="19" t="n">
        <v>1.926</v>
      </c>
      <c r="M317" s="16" t="n">
        <v>45847</v>
      </c>
      <c r="N317" s="19" t="n">
        <v>199737</v>
      </c>
    </row>
    <row r="318">
      <c r="A318" s="16" t="n">
        <v>45846</v>
      </c>
      <c r="B318" s="19" t="n">
        <v>2527.33</v>
      </c>
      <c r="D318" s="16" t="n">
        <v>45846</v>
      </c>
      <c r="E318" s="19" t="n">
        <v>14.33</v>
      </c>
      <c r="G318" s="16" t="n">
        <v>44431</v>
      </c>
      <c r="H318" s="19" t="n">
        <v>2.919</v>
      </c>
      <c r="J318" s="16" t="n">
        <v>44431</v>
      </c>
      <c r="K318" s="19" t="n">
        <v>1.929</v>
      </c>
      <c r="M318" s="16" t="n">
        <v>45846</v>
      </c>
      <c r="N318" s="19" t="n">
        <v>201366</v>
      </c>
    </row>
    <row r="319">
      <c r="A319" s="16" t="n">
        <v>45845</v>
      </c>
      <c r="B319" s="19" t="n">
        <v>2513.75</v>
      </c>
      <c r="D319" s="16" t="n">
        <v>45845</v>
      </c>
      <c r="E319" s="19" t="n">
        <v>14.72</v>
      </c>
      <c r="G319" s="16" t="n">
        <v>44432</v>
      </c>
      <c r="H319" s="19" t="n">
        <v>2.891</v>
      </c>
      <c r="J319" s="16" t="n">
        <v>44432</v>
      </c>
      <c r="K319" s="19" t="n">
        <v>1.935</v>
      </c>
      <c r="M319" s="16" t="n">
        <v>45845</v>
      </c>
      <c r="N319" s="19" t="n">
        <v>201212</v>
      </c>
    </row>
    <row r="320">
      <c r="A320" s="16" t="n">
        <v>45842</v>
      </c>
      <c r="B320" s="19" t="n">
        <v>2502.2</v>
      </c>
      <c r="D320" s="16" t="n">
        <v>45842</v>
      </c>
      <c r="E320" s="19" t="n">
        <v>14.87</v>
      </c>
      <c r="G320" s="16" t="n">
        <v>44433</v>
      </c>
      <c r="H320" s="19" t="n">
        <v>2.836</v>
      </c>
      <c r="J320" s="16" t="n">
        <v>44433</v>
      </c>
      <c r="K320" s="19" t="n">
        <v>1.916</v>
      </c>
      <c r="M320" s="16" t="n">
        <v>45842</v>
      </c>
      <c r="N320" s="19" t="n">
        <v>198771</v>
      </c>
    </row>
    <row r="321">
      <c r="A321" s="16" t="n">
        <v>45841</v>
      </c>
      <c r="B321" s="19" t="n">
        <v>2492.15</v>
      </c>
      <c r="D321" s="16" t="n">
        <v>45841</v>
      </c>
      <c r="E321" s="19" t="n">
        <v>15.67</v>
      </c>
      <c r="G321" s="16" t="n">
        <v>44434</v>
      </c>
      <c r="H321" s="19" t="n">
        <v>2.807</v>
      </c>
      <c r="J321" s="16" t="n">
        <v>44434</v>
      </c>
      <c r="K321" s="19" t="n">
        <v>1.897</v>
      </c>
      <c r="M321" s="16" t="n">
        <v>45841</v>
      </c>
      <c r="N321" s="19" t="n">
        <v>198642</v>
      </c>
    </row>
    <row r="322">
      <c r="A322" s="16" t="n">
        <v>45840</v>
      </c>
      <c r="B322" s="19" t="n">
        <v>2521.52</v>
      </c>
      <c r="D322" s="16" t="n">
        <v>45840</v>
      </c>
      <c r="E322" s="19" t="n">
        <v>15.1</v>
      </c>
      <c r="G322" s="16" t="n">
        <v>44435</v>
      </c>
      <c r="H322" s="19" t="n">
        <v>2.738</v>
      </c>
      <c r="J322" s="16" t="n">
        <v>44435</v>
      </c>
      <c r="K322" s="19" t="n">
        <v>1.883</v>
      </c>
      <c r="M322" s="16" t="n">
        <v>45840</v>
      </c>
      <c r="N322" s="19" t="n">
        <v>199772</v>
      </c>
    </row>
    <row r="323">
      <c r="A323" s="16" t="n">
        <v>45839</v>
      </c>
      <c r="B323" s="19" t="n">
        <v>2536.71</v>
      </c>
      <c r="D323" s="16" t="n">
        <v>45839</v>
      </c>
      <c r="E323" s="19" t="n">
        <v>13.16</v>
      </c>
      <c r="G323" s="16" t="n">
        <v>44438</v>
      </c>
      <c r="H323" s="19" t="n">
        <v>2.677</v>
      </c>
      <c r="J323" s="16" t="n">
        <v>44438</v>
      </c>
      <c r="K323" s="19" t="n">
        <v>1.832</v>
      </c>
      <c r="M323" s="16" t="n">
        <v>45839</v>
      </c>
      <c r="N323" s="19" t="n">
        <v>200039</v>
      </c>
    </row>
    <row r="324">
      <c r="A324" s="16" t="n">
        <v>45838</v>
      </c>
      <c r="B324" s="19" t="n">
        <v>2541.87</v>
      </c>
      <c r="D324" s="16" t="n">
        <v>45838</v>
      </c>
      <c r="E324" s="19" t="n">
        <v>14.12</v>
      </c>
      <c r="G324" s="16" t="n">
        <v>44439</v>
      </c>
      <c r="H324" s="19" t="n">
        <v>2.666</v>
      </c>
      <c r="J324" s="16" t="n">
        <v>44439</v>
      </c>
      <c r="K324" s="19" t="n">
        <v>1.811</v>
      </c>
      <c r="M324" s="16" t="n">
        <v>45838</v>
      </c>
      <c r="N324" s="19" t="n">
        <v>200009</v>
      </c>
    </row>
    <row r="325">
      <c r="A325" s="16" t="n">
        <v>45835</v>
      </c>
      <c r="B325" s="19" t="n">
        <v>2559.37</v>
      </c>
      <c r="D325" s="16" t="n">
        <v>45835</v>
      </c>
      <c r="E325" s="19" t="n">
        <v>13.8</v>
      </c>
      <c r="G325" s="16" t="n">
        <v>44440</v>
      </c>
      <c r="H325" s="19" t="n">
        <v>2.721</v>
      </c>
      <c r="J325" s="16" t="n">
        <v>44440</v>
      </c>
      <c r="K325" s="19" t="n">
        <v>1.845</v>
      </c>
      <c r="M325" s="16" t="n">
        <v>45835</v>
      </c>
      <c r="N325" s="19" t="n">
        <v>201760</v>
      </c>
    </row>
    <row r="326">
      <c r="A326" s="16" t="n">
        <v>45834</v>
      </c>
      <c r="B326" s="19" t="n">
        <v>2534.84</v>
      </c>
      <c r="D326" s="16" t="n">
        <v>45833</v>
      </c>
      <c r="E326" s="19" t="n">
        <v>14.32</v>
      </c>
      <c r="G326" s="16" t="n">
        <v>44441</v>
      </c>
      <c r="H326" s="19" t="n">
        <v>2.697</v>
      </c>
      <c r="J326" s="16" t="n">
        <v>44441</v>
      </c>
      <c r="K326" s="19" t="n">
        <v>1.841</v>
      </c>
      <c r="M326" s="16" t="n">
        <v>45834</v>
      </c>
      <c r="N326" s="19" t="n">
        <v>200608</v>
      </c>
    </row>
    <row r="327">
      <c r="A327" s="16" t="n">
        <v>45833</v>
      </c>
      <c r="B327" s="19" t="n">
        <v>2563.61</v>
      </c>
      <c r="D327" s="16" t="n">
        <v>45832</v>
      </c>
      <c r="E327" s="19" t="n">
        <v>16.35</v>
      </c>
      <c r="G327" s="16" t="n">
        <v>44442</v>
      </c>
      <c r="H327" s="19" t="n">
        <v>2.725</v>
      </c>
      <c r="J327" s="16" t="n">
        <v>44442</v>
      </c>
      <c r="K327" s="19" t="n">
        <v>1.823</v>
      </c>
      <c r="M327" s="16" t="n">
        <v>45833</v>
      </c>
      <c r="N327" s="19" t="n">
        <v>201683</v>
      </c>
    </row>
    <row r="328">
      <c r="A328" s="16" t="n">
        <v>45832</v>
      </c>
      <c r="B328" s="19" t="n">
        <v>2511.61</v>
      </c>
      <c r="D328" s="16" t="n">
        <v>45831</v>
      </c>
      <c r="E328" s="19" t="n">
        <v>14.15</v>
      </c>
      <c r="G328" s="16" t="n">
        <v>44445</v>
      </c>
      <c r="H328" s="19" t="n">
        <v>2.652</v>
      </c>
      <c r="J328" s="16" t="n">
        <v>44445</v>
      </c>
      <c r="K328" s="19" t="n">
        <v>1.796</v>
      </c>
      <c r="M328" s="16" t="n">
        <v>45832</v>
      </c>
      <c r="N328" s="19" t="n">
        <v>199786</v>
      </c>
    </row>
    <row r="329">
      <c r="A329" s="16" t="n">
        <v>45831</v>
      </c>
      <c r="B329" s="19" t="n">
        <v>2558.78</v>
      </c>
      <c r="D329" s="16" t="n">
        <v>45828</v>
      </c>
      <c r="E329" s="19" t="n">
        <v>14.31</v>
      </c>
      <c r="G329" s="16" t="n">
        <v>44446</v>
      </c>
      <c r="H329" s="19" t="n">
        <v>2.619</v>
      </c>
      <c r="J329" s="16" t="n">
        <v>44446</v>
      </c>
      <c r="K329" s="19" t="n">
        <v>1.805</v>
      </c>
      <c r="M329" s="16" t="n">
        <v>45831</v>
      </c>
      <c r="N329" s="19" t="n">
        <v>201084</v>
      </c>
    </row>
    <row r="330">
      <c r="A330" s="16" t="n">
        <v>45828</v>
      </c>
      <c r="B330" s="19" t="n">
        <v>2575.97</v>
      </c>
      <c r="D330" s="16" t="n">
        <v>45827</v>
      </c>
      <c r="E330" s="19" t="n">
        <v>16.07</v>
      </c>
      <c r="G330" s="16" t="n">
        <v>44447</v>
      </c>
      <c r="H330" s="19" t="n">
        <v>2.62</v>
      </c>
      <c r="J330" s="16" t="n">
        <v>44447</v>
      </c>
      <c r="K330" s="19" t="n">
        <v>1.817</v>
      </c>
      <c r="M330" s="16" t="n">
        <v>45828</v>
      </c>
      <c r="N330" s="19" t="n">
        <v>201956</v>
      </c>
    </row>
    <row r="331">
      <c r="A331" s="16" t="n">
        <v>45827</v>
      </c>
      <c r="B331" s="19" t="n">
        <v>2527.75</v>
      </c>
      <c r="D331" s="16" t="n">
        <v>45826</v>
      </c>
      <c r="E331" s="19" t="n">
        <v>13.5</v>
      </c>
      <c r="G331" s="16" t="n">
        <v>44448</v>
      </c>
      <c r="H331" s="19" t="n">
        <v>2.605</v>
      </c>
      <c r="J331" s="16" t="n">
        <v>44448</v>
      </c>
      <c r="K331" s="19" t="n">
        <v>1.801</v>
      </c>
      <c r="M331" s="16" t="n">
        <v>45827</v>
      </c>
      <c r="N331" s="19" t="n">
        <v>200465</v>
      </c>
    </row>
    <row r="332">
      <c r="A332" s="16" t="n">
        <v>45826</v>
      </c>
      <c r="B332" s="19" t="n">
        <v>2577.4</v>
      </c>
      <c r="D332" s="16" t="n">
        <v>45825</v>
      </c>
      <c r="E332" s="19" t="n">
        <v>14.63</v>
      </c>
      <c r="G332" s="16" t="n">
        <v>44449</v>
      </c>
      <c r="H332" s="19" t="n">
        <v>2.552</v>
      </c>
      <c r="J332" s="16" t="n">
        <v>44449</v>
      </c>
      <c r="K332" s="19" t="n">
        <v>1.771</v>
      </c>
      <c r="M332" s="16" t="n">
        <v>45826</v>
      </c>
      <c r="N332" s="19" t="n">
        <v>202554</v>
      </c>
    </row>
    <row r="333">
      <c r="A333" s="16" t="n">
        <v>45825</v>
      </c>
      <c r="B333" s="19" t="n">
        <v>2552.92</v>
      </c>
      <c r="D333" s="16" t="n">
        <v>45824</v>
      </c>
      <c r="E333" s="19" t="n">
        <v>14.05</v>
      </c>
      <c r="G333" s="16" t="n">
        <v>44452</v>
      </c>
      <c r="H333" s="19" t="n">
        <v>2.554</v>
      </c>
      <c r="J333" s="16" t="n">
        <v>44452</v>
      </c>
      <c r="K333" s="19" t="n">
        <v>1.78</v>
      </c>
      <c r="M333" s="16" t="n">
        <v>45825</v>
      </c>
      <c r="N333" s="19" t="n">
        <v>202479</v>
      </c>
    </row>
    <row r="334">
      <c r="A334" s="16" t="n">
        <v>45824</v>
      </c>
      <c r="B334" s="19" t="n">
        <v>2569.64</v>
      </c>
      <c r="D334" s="16" t="n">
        <v>45821</v>
      </c>
      <c r="E334" s="19" t="n">
        <v>17.06</v>
      </c>
      <c r="G334" s="16" t="n">
        <v>44453</v>
      </c>
      <c r="H334" s="19" t="n">
        <v>2.538</v>
      </c>
      <c r="J334" s="16" t="n">
        <v>44453</v>
      </c>
      <c r="K334" s="19" t="n">
        <v>1.768</v>
      </c>
      <c r="M334" s="16" t="n">
        <v>45824</v>
      </c>
      <c r="N334" s="19" t="n">
        <v>203661</v>
      </c>
    </row>
    <row r="335">
      <c r="A335" s="16" t="n">
        <v>45821</v>
      </c>
      <c r="B335" s="19" t="n">
        <v>2497.75</v>
      </c>
      <c r="D335" s="16" t="n">
        <v>45820</v>
      </c>
      <c r="E335" s="19" t="n">
        <v>17.64</v>
      </c>
      <c r="G335" s="16" t="n">
        <v>44454</v>
      </c>
      <c r="H335" s="19" t="n">
        <v>2.467</v>
      </c>
      <c r="J335" s="16" t="n">
        <v>44454</v>
      </c>
      <c r="K335" s="19" t="n">
        <v>1.751</v>
      </c>
      <c r="M335" s="16" t="n">
        <v>45821</v>
      </c>
      <c r="N335" s="19" t="n">
        <v>200664</v>
      </c>
    </row>
    <row r="336">
      <c r="A336" s="16" t="n">
        <v>45820</v>
      </c>
      <c r="B336" s="19" t="n">
        <v>2483.42</v>
      </c>
      <c r="D336" s="16" t="n">
        <v>45819</v>
      </c>
      <c r="E336" s="19" t="n">
        <v>16.06</v>
      </c>
      <c r="G336" s="16" t="n">
        <v>44455</v>
      </c>
      <c r="H336" s="19" t="n">
        <v>2.453</v>
      </c>
      <c r="J336" s="16" t="n">
        <v>44455</v>
      </c>
      <c r="K336" s="19" t="n">
        <v>1.724</v>
      </c>
      <c r="M336" s="16" t="n">
        <v>45820</v>
      </c>
      <c r="N336" s="19" t="n">
        <v>201832</v>
      </c>
    </row>
    <row r="337">
      <c r="A337" s="16" t="n">
        <v>45819</v>
      </c>
      <c r="B337" s="19" t="n">
        <v>2514.98</v>
      </c>
      <c r="D337" s="16" t="n">
        <v>45818</v>
      </c>
      <c r="E337" s="19" t="n">
        <v>14.65</v>
      </c>
      <c r="G337" s="16" t="n">
        <v>44456</v>
      </c>
      <c r="H337" s="19" t="n">
        <v>2.441</v>
      </c>
      <c r="J337" s="16" t="n">
        <v>44456</v>
      </c>
      <c r="K337" s="19" t="n">
        <v>1.725</v>
      </c>
      <c r="M337" s="16" t="n">
        <v>45819</v>
      </c>
      <c r="N337" s="19" t="n">
        <v>203384</v>
      </c>
    </row>
    <row r="338">
      <c r="A338" s="16" t="n">
        <v>45818</v>
      </c>
      <c r="B338" s="19" t="n">
        <v>2554.34</v>
      </c>
      <c r="D338" s="16" t="n">
        <v>45817</v>
      </c>
      <c r="E338" s="19" t="n">
        <v>15.07</v>
      </c>
      <c r="G338" s="16" t="n">
        <v>44459</v>
      </c>
      <c r="H338" s="19" t="n">
        <v>2.378</v>
      </c>
      <c r="J338" s="16" t="n">
        <v>44459</v>
      </c>
      <c r="K338" s="19" t="n">
        <v>1.694</v>
      </c>
      <c r="M338" s="16" t="n">
        <v>45818</v>
      </c>
      <c r="N338" s="19" t="n">
        <v>204865</v>
      </c>
    </row>
    <row r="339">
      <c r="A339" s="16" t="n">
        <v>45817</v>
      </c>
      <c r="B339" s="19" t="n">
        <v>2540.9</v>
      </c>
      <c r="D339" s="16" t="n">
        <v>45814</v>
      </c>
      <c r="E339" s="19" t="n">
        <v>18.34</v>
      </c>
      <c r="G339" s="16" t="n">
        <v>44460</v>
      </c>
      <c r="H339" s="19" t="n">
        <v>2.383</v>
      </c>
      <c r="J339" s="16" t="n">
        <v>44460</v>
      </c>
      <c r="K339" s="19" t="n">
        <v>1.726</v>
      </c>
      <c r="M339" s="16" t="n">
        <v>45817</v>
      </c>
      <c r="N339" s="19" t="n">
        <v>204203</v>
      </c>
    </row>
    <row r="340">
      <c r="A340" s="16" t="n">
        <v>45814</v>
      </c>
      <c r="B340" s="19" t="n">
        <v>2484.01</v>
      </c>
      <c r="D340" s="16" t="n">
        <v>45813</v>
      </c>
      <c r="E340" s="19" t="n">
        <v>18.33</v>
      </c>
      <c r="G340" s="16" t="n">
        <v>44461</v>
      </c>
      <c r="H340" s="19" t="n">
        <v>2.392</v>
      </c>
      <c r="J340" s="16" t="n">
        <v>44461</v>
      </c>
      <c r="K340" s="19" t="n">
        <v>1.749</v>
      </c>
      <c r="M340" s="16" t="n">
        <v>45814</v>
      </c>
      <c r="N340" s="19" t="n">
        <v>200939</v>
      </c>
    </row>
    <row r="341">
      <c r="A341" s="16" t="n">
        <v>45813</v>
      </c>
      <c r="B341" s="19" t="n">
        <v>2480.85</v>
      </c>
      <c r="D341" s="16" t="n">
        <v>45812</v>
      </c>
      <c r="E341" s="19" t="n">
        <v>18.47</v>
      </c>
      <c r="G341" s="16" t="n">
        <v>44462</v>
      </c>
      <c r="H341" s="19" t="n">
        <v>2.458</v>
      </c>
      <c r="J341" s="16" t="n">
        <v>44462</v>
      </c>
      <c r="K341" s="19" t="n">
        <v>1.762</v>
      </c>
      <c r="M341" s="16" t="n">
        <v>45813</v>
      </c>
      <c r="N341" s="19" t="n">
        <v>200450</v>
      </c>
    </row>
    <row r="342">
      <c r="A342" s="16" t="n">
        <v>45812</v>
      </c>
      <c r="B342" s="19" t="n">
        <v>2478.43</v>
      </c>
      <c r="D342" s="16" t="n">
        <v>45811</v>
      </c>
      <c r="E342" s="19" t="n">
        <v>19.16</v>
      </c>
      <c r="G342" s="16" t="n">
        <v>44463</v>
      </c>
      <c r="H342" s="19" t="n">
        <v>2.498</v>
      </c>
      <c r="J342" s="16" t="n">
        <v>44463</v>
      </c>
      <c r="K342" s="19" t="n">
        <v>1.815</v>
      </c>
      <c r="M342" s="16" t="n">
        <v>45812</v>
      </c>
      <c r="N342" s="19" t="n">
        <v>200722</v>
      </c>
    </row>
    <row r="343">
      <c r="A343" s="16" t="n">
        <v>45811</v>
      </c>
      <c r="B343" s="19" t="n">
        <v>2472.64</v>
      </c>
      <c r="D343" s="16" t="n">
        <v>45810</v>
      </c>
      <c r="E343" s="19" t="n">
        <v>16.55</v>
      </c>
      <c r="G343" s="16" t="n">
        <v>44466</v>
      </c>
      <c r="H343" s="19" t="n">
        <v>2.476</v>
      </c>
      <c r="J343" s="16" t="n">
        <v>44466</v>
      </c>
      <c r="K343" s="19" t="n">
        <v>1.842</v>
      </c>
      <c r="M343" s="16" t="n">
        <v>45811</v>
      </c>
      <c r="N343" s="19" t="n">
        <v>202016</v>
      </c>
    </row>
    <row r="344">
      <c r="A344" s="16" t="n">
        <v>45810</v>
      </c>
      <c r="B344" s="19" t="n">
        <v>2517.67</v>
      </c>
      <c r="D344" s="16" t="n">
        <v>45807</v>
      </c>
      <c r="E344" s="19" t="n">
        <v>15.71</v>
      </c>
      <c r="G344" s="16" t="n">
        <v>44467</v>
      </c>
      <c r="H344" s="19" t="n">
        <v>2.502</v>
      </c>
      <c r="J344" s="16" t="n">
        <v>44467</v>
      </c>
      <c r="K344" s="19" t="n">
        <v>1.882</v>
      </c>
      <c r="M344" s="16" t="n">
        <v>45810</v>
      </c>
      <c r="N344" s="19" t="n">
        <v>204753</v>
      </c>
    </row>
    <row r="345">
      <c r="A345" s="16" t="n">
        <v>45807</v>
      </c>
      <c r="B345" s="19" t="n">
        <v>2529.6</v>
      </c>
      <c r="D345" s="16" t="n">
        <v>45806</v>
      </c>
      <c r="E345" s="19" t="n">
        <v>15.05</v>
      </c>
      <c r="G345" s="16" t="n">
        <v>44468</v>
      </c>
      <c r="H345" s="19" t="n">
        <v>2.448</v>
      </c>
      <c r="J345" s="16" t="n">
        <v>44468</v>
      </c>
      <c r="K345" s="19" t="n">
        <v>1.871</v>
      </c>
      <c r="M345" s="16" t="n">
        <v>45807</v>
      </c>
      <c r="N345" s="19" t="n">
        <v>204751</v>
      </c>
    </row>
    <row r="346">
      <c r="A346" s="16" t="n">
        <v>45806</v>
      </c>
      <c r="B346" s="19" t="n">
        <v>2511.85</v>
      </c>
      <c r="D346" s="16" t="n">
        <v>45805</v>
      </c>
      <c r="E346" s="19" t="n">
        <v>13.37</v>
      </c>
      <c r="G346" s="16" t="n">
        <v>44469</v>
      </c>
      <c r="H346" s="19" t="n">
        <v>2.476</v>
      </c>
      <c r="J346" s="16" t="n">
        <v>44469</v>
      </c>
      <c r="K346" s="19" t="n">
        <v>1.901</v>
      </c>
      <c r="M346" s="16" t="n">
        <v>45806</v>
      </c>
      <c r="N346" s="19" t="n">
        <v>204740</v>
      </c>
    </row>
    <row r="347">
      <c r="A347" s="16" t="n">
        <v>45805</v>
      </c>
      <c r="B347" s="19" t="n">
        <v>2552.98</v>
      </c>
      <c r="D347" s="16" t="n">
        <v>45804</v>
      </c>
      <c r="E347" s="19" t="n">
        <v>12.34</v>
      </c>
      <c r="G347" s="16" t="n">
        <v>44470</v>
      </c>
      <c r="H347" s="19" t="n">
        <v>2.429</v>
      </c>
      <c r="J347" s="16" t="n">
        <v>44470</v>
      </c>
      <c r="K347" s="19" t="n">
        <v>1.869</v>
      </c>
      <c r="M347" s="16" t="n">
        <v>45805</v>
      </c>
      <c r="N347" s="19" t="n">
        <v>207190</v>
      </c>
    </row>
    <row r="348">
      <c r="A348" s="16" t="n">
        <v>45804</v>
      </c>
      <c r="B348" s="19" t="n">
        <v>2590.06</v>
      </c>
      <c r="D348" s="16" t="n">
        <v>45803</v>
      </c>
      <c r="E348" s="19" t="n">
        <v>13.85</v>
      </c>
      <c r="G348" s="16" t="n">
        <v>44473</v>
      </c>
      <c r="H348" s="19" t="n">
        <v>2.411</v>
      </c>
      <c r="J348" s="16" t="n">
        <v>44473</v>
      </c>
      <c r="K348" s="19" t="n">
        <v>1.893</v>
      </c>
      <c r="M348" s="16" t="n">
        <v>45804</v>
      </c>
      <c r="N348" s="19" t="n">
        <v>208392</v>
      </c>
    </row>
    <row r="349">
      <c r="A349" s="16" t="n">
        <v>45803</v>
      </c>
      <c r="B349" s="19" t="n">
        <v>2563.31</v>
      </c>
      <c r="D349" s="16" t="n">
        <v>45800</v>
      </c>
      <c r="E349" s="19" t="n">
        <v>13.29</v>
      </c>
      <c r="G349" s="16" t="n">
        <v>44474</v>
      </c>
      <c r="H349" s="19" t="n">
        <v>2.418</v>
      </c>
      <c r="J349" s="16" t="n">
        <v>44474</v>
      </c>
      <c r="K349" s="19" t="n">
        <v>1.894</v>
      </c>
      <c r="M349" s="16" t="n">
        <v>45803</v>
      </c>
      <c r="N349" s="19" t="n">
        <v>205672</v>
      </c>
    </row>
    <row r="350">
      <c r="A350" s="16" t="n">
        <v>45800</v>
      </c>
      <c r="B350" s="19" t="n">
        <v>2590.52</v>
      </c>
      <c r="D350" s="16" t="n">
        <v>45799</v>
      </c>
      <c r="E350" s="19" t="n">
        <v>11.97</v>
      </c>
      <c r="G350" s="16" t="n">
        <v>44475</v>
      </c>
      <c r="H350" s="19" t="n">
        <v>2.4</v>
      </c>
      <c r="J350" s="16" t="n">
        <v>44475</v>
      </c>
      <c r="K350" s="19" t="n">
        <v>1.891</v>
      </c>
      <c r="M350" s="16" t="n">
        <v>45800</v>
      </c>
      <c r="N350" s="19" t="n">
        <v>206529</v>
      </c>
    </row>
    <row r="351">
      <c r="A351" s="16" t="n">
        <v>45799</v>
      </c>
      <c r="B351" s="19" t="n">
        <v>2639.23</v>
      </c>
      <c r="D351" s="16" t="n">
        <v>45798</v>
      </c>
      <c r="E351" s="19" t="n">
        <v>15.13</v>
      </c>
      <c r="G351" s="16" t="n">
        <v>44476</v>
      </c>
      <c r="H351" s="19" t="n">
        <v>2.44</v>
      </c>
      <c r="J351" s="16" t="n">
        <v>44476</v>
      </c>
      <c r="K351" s="19" t="n">
        <v>1.863</v>
      </c>
      <c r="M351" s="16" t="n">
        <v>45799</v>
      </c>
      <c r="N351" s="19" t="n">
        <v>208889</v>
      </c>
    </row>
    <row r="352">
      <c r="A352" s="16" t="n">
        <v>45798</v>
      </c>
      <c r="B352" s="19" t="n">
        <v>2575.08</v>
      </c>
      <c r="D352" s="16" t="n">
        <v>45797</v>
      </c>
      <c r="E352" s="19" t="n">
        <v>15.12</v>
      </c>
      <c r="G352" s="16" t="n">
        <v>44477</v>
      </c>
      <c r="H352" s="19" t="n">
        <v>2.393</v>
      </c>
      <c r="J352" s="16" t="n">
        <v>44477</v>
      </c>
      <c r="K352" s="19" t="n">
        <v>1.848</v>
      </c>
      <c r="M352" s="16" t="n">
        <v>45798</v>
      </c>
      <c r="N352" s="19" t="n">
        <v>205065</v>
      </c>
    </row>
    <row r="353">
      <c r="A353" s="16" t="n">
        <v>45797</v>
      </c>
      <c r="B353" s="19" t="n">
        <v>2565.46</v>
      </c>
      <c r="D353" s="16" t="n">
        <v>45796</v>
      </c>
      <c r="E353" s="19" t="n">
        <v>15.69</v>
      </c>
      <c r="G353" s="16" t="n">
        <v>44480</v>
      </c>
      <c r="H353" s="19" t="n">
        <v>2.442</v>
      </c>
      <c r="J353" s="16" t="n">
        <v>44480</v>
      </c>
      <c r="K353" s="19" t="n">
        <v>1.861</v>
      </c>
      <c r="M353" s="16" t="n">
        <v>45797</v>
      </c>
      <c r="N353" s="19" t="n">
        <v>203777</v>
      </c>
    </row>
    <row r="354">
      <c r="A354" s="16" t="n">
        <v>45796</v>
      </c>
      <c r="B354" s="19" t="n">
        <v>2562.6</v>
      </c>
      <c r="D354" s="16" t="n">
        <v>45793</v>
      </c>
      <c r="E354" s="19" t="n">
        <v>15.56</v>
      </c>
      <c r="G354" s="16" t="n">
        <v>44481</v>
      </c>
      <c r="H354" s="19" t="n">
        <v>2.465</v>
      </c>
      <c r="J354" s="16" t="n">
        <v>44481</v>
      </c>
      <c r="K354" s="19" t="n">
        <v>1.886</v>
      </c>
      <c r="M354" s="16" t="n">
        <v>45796</v>
      </c>
      <c r="N354" s="19" t="n">
        <v>203037</v>
      </c>
    </row>
    <row r="355">
      <c r="A355" s="16" t="n">
        <v>45793</v>
      </c>
      <c r="B355" s="19" t="n">
        <v>2567.28</v>
      </c>
      <c r="D355" s="16" t="n">
        <v>45792</v>
      </c>
      <c r="E355" s="19" t="n">
        <v>14.14</v>
      </c>
      <c r="G355" s="16" t="n">
        <v>44482</v>
      </c>
      <c r="H355" s="19" t="n">
        <v>2.38</v>
      </c>
      <c r="J355" s="16" t="n">
        <v>44482</v>
      </c>
      <c r="K355" s="19" t="n">
        <v>1.915</v>
      </c>
      <c r="M355" s="16" t="n">
        <v>45793</v>
      </c>
      <c r="N355" s="19" t="n">
        <v>203308</v>
      </c>
    </row>
    <row r="356">
      <c r="A356" s="16" t="n">
        <v>45792</v>
      </c>
      <c r="B356" s="19" t="n">
        <v>2601.18</v>
      </c>
      <c r="D356" s="16" t="n">
        <v>45791</v>
      </c>
      <c r="E356" s="19" t="n">
        <v>13.44</v>
      </c>
      <c r="G356" s="16" t="n">
        <v>44483</v>
      </c>
      <c r="H356" s="19" t="n">
        <v>2.391</v>
      </c>
      <c r="J356" s="16" t="n">
        <v>44483</v>
      </c>
      <c r="K356" s="19" t="n">
        <v>1.949</v>
      </c>
      <c r="M356" s="16" t="n">
        <v>45792</v>
      </c>
      <c r="N356" s="19" t="n">
        <v>205322</v>
      </c>
    </row>
    <row r="357">
      <c r="A357" s="16" t="n">
        <v>45791</v>
      </c>
      <c r="B357" s="19" t="n">
        <v>2599.93</v>
      </c>
      <c r="D357" s="16" t="n">
        <v>45790</v>
      </c>
      <c r="E357" s="19" t="n">
        <v>13.42</v>
      </c>
      <c r="G357" s="16" t="n">
        <v>44484</v>
      </c>
      <c r="H357" s="19" t="n">
        <v>2.339</v>
      </c>
      <c r="J357" s="16" t="n">
        <v>44484</v>
      </c>
      <c r="K357" s="19" t="n">
        <v>1.972</v>
      </c>
      <c r="M357" s="16" t="n">
        <v>45791</v>
      </c>
      <c r="N357" s="19" t="n">
        <v>205412</v>
      </c>
    </row>
    <row r="358">
      <c r="A358" s="16" t="n">
        <v>45790</v>
      </c>
      <c r="B358" s="19" t="n">
        <v>2595</v>
      </c>
      <c r="D358" s="16" t="n">
        <v>45789</v>
      </c>
      <c r="E358" s="19" t="n">
        <v>11.35</v>
      </c>
      <c r="G358" s="16" t="n">
        <v>44487</v>
      </c>
      <c r="H358" s="19" t="n">
        <v>2.356</v>
      </c>
      <c r="J358" s="16" t="n">
        <v>44487</v>
      </c>
      <c r="K358" s="19" t="n">
        <v>1.985</v>
      </c>
      <c r="M358" s="16" t="n">
        <v>45790</v>
      </c>
      <c r="N358" s="19" t="n">
        <v>204296</v>
      </c>
    </row>
    <row r="359">
      <c r="A359" s="16" t="n">
        <v>45789</v>
      </c>
      <c r="B359" s="19" t="n">
        <v>2619.24</v>
      </c>
      <c r="D359" s="16" t="n">
        <v>45786</v>
      </c>
      <c r="E359" s="19" t="n">
        <v>12.17</v>
      </c>
      <c r="G359" s="16" t="n">
        <v>44488</v>
      </c>
      <c r="H359" s="19" t="n">
        <v>2.348</v>
      </c>
      <c r="J359" s="16" t="n">
        <v>44488</v>
      </c>
      <c r="K359" s="19" t="n">
        <v>1.985</v>
      </c>
      <c r="M359" s="16" t="n">
        <v>45789</v>
      </c>
      <c r="N359" s="19" t="n">
        <v>206704</v>
      </c>
    </row>
    <row r="360">
      <c r="A360" s="16" t="n">
        <v>45786</v>
      </c>
      <c r="B360" s="19" t="n">
        <v>2612.56</v>
      </c>
      <c r="D360" s="16" t="n">
        <v>45785</v>
      </c>
      <c r="E360" s="19" t="n">
        <v>11.46</v>
      </c>
      <c r="G360" s="16" t="n">
        <v>44489</v>
      </c>
      <c r="H360" s="19" t="n">
        <v>2.343</v>
      </c>
      <c r="J360" s="16" t="n">
        <v>44489</v>
      </c>
      <c r="K360" s="19" t="n">
        <v>1.994</v>
      </c>
      <c r="M360" s="16" t="n">
        <v>45786</v>
      </c>
      <c r="N360" s="19" t="n">
        <v>206155</v>
      </c>
    </row>
    <row r="361">
      <c r="A361" s="16" t="n">
        <v>45785</v>
      </c>
      <c r="B361" s="19" t="n">
        <v>2656.84</v>
      </c>
      <c r="D361" s="16" t="n">
        <v>45784</v>
      </c>
      <c r="E361" s="19" t="n">
        <v>11.78</v>
      </c>
      <c r="G361" s="16" t="n">
        <v>44490</v>
      </c>
      <c r="H361" s="19" t="n">
        <v>2.334</v>
      </c>
      <c r="J361" s="16" t="n">
        <v>44490</v>
      </c>
      <c r="K361" s="19" t="n">
        <v>2.007</v>
      </c>
      <c r="M361" s="16" t="n">
        <v>45785</v>
      </c>
      <c r="N361" s="19" t="n">
        <v>206999</v>
      </c>
    </row>
    <row r="362">
      <c r="A362" s="16" t="n">
        <v>45784</v>
      </c>
      <c r="B362" s="19" t="n">
        <v>2653.41</v>
      </c>
      <c r="D362" s="16" t="n">
        <v>45783</v>
      </c>
      <c r="E362" s="19" t="n">
        <v>11.44</v>
      </c>
      <c r="G362" s="16" t="n">
        <v>44491</v>
      </c>
      <c r="H362" s="19" t="n">
        <v>2.301</v>
      </c>
      <c r="J362" s="16" t="n">
        <v>44491</v>
      </c>
      <c r="K362" s="19" t="n">
        <v>2.001</v>
      </c>
      <c r="M362" s="16" t="n">
        <v>45784</v>
      </c>
      <c r="N362" s="19" t="n">
        <v>207059</v>
      </c>
    </row>
    <row r="363">
      <c r="A363" s="16" t="n">
        <v>45783</v>
      </c>
      <c r="B363" s="19" t="n">
        <v>2665.53</v>
      </c>
      <c r="D363" s="16" t="n">
        <v>45779</v>
      </c>
      <c r="E363" s="19" t="n">
        <v>12.01</v>
      </c>
      <c r="G363" s="16" t="n">
        <v>44494</v>
      </c>
      <c r="H363" s="19" t="n">
        <v>2.348</v>
      </c>
      <c r="J363" s="16" t="n">
        <v>44494</v>
      </c>
      <c r="K363" s="19" t="n">
        <v>2.047</v>
      </c>
      <c r="M363" s="16" t="n">
        <v>45783</v>
      </c>
      <c r="N363" s="19" t="n">
        <v>208375</v>
      </c>
    </row>
    <row r="364">
      <c r="A364" s="16" t="n">
        <v>45779</v>
      </c>
      <c r="B364" s="19" t="n">
        <v>2663.51</v>
      </c>
      <c r="D364" s="16" t="n">
        <v>45778</v>
      </c>
      <c r="E364" s="19" t="n">
        <v>10.57</v>
      </c>
      <c r="G364" s="16" t="n">
        <v>44495</v>
      </c>
      <c r="H364" s="19" t="n">
        <v>2.355</v>
      </c>
      <c r="J364" s="16" t="n">
        <v>44495</v>
      </c>
      <c r="K364" s="19" t="n">
        <v>2.055</v>
      </c>
      <c r="M364" s="16" t="n">
        <v>45779</v>
      </c>
      <c r="N364" s="19" t="n">
        <v>208530</v>
      </c>
    </row>
    <row r="365">
      <c r="A365" s="16" t="n">
        <v>45778</v>
      </c>
      <c r="B365" s="19" t="n">
        <v>2662.28</v>
      </c>
      <c r="D365" s="16" t="n">
        <v>45777</v>
      </c>
      <c r="E365" s="19" t="n">
        <v>12.34</v>
      </c>
      <c r="G365" s="16" t="n">
        <v>44496</v>
      </c>
      <c r="H365" s="19" t="n">
        <v>2.391</v>
      </c>
      <c r="J365" s="16" t="n">
        <v>44496</v>
      </c>
      <c r="K365" s="19" t="n">
        <v>2.083</v>
      </c>
      <c r="M365" s="16" t="n">
        <v>45778</v>
      </c>
      <c r="N365" s="19" t="n">
        <v>208899</v>
      </c>
    </row>
    <row r="366">
      <c r="A366" s="16" t="n">
        <v>45777</v>
      </c>
      <c r="B366" s="19" t="n">
        <v>2617.05</v>
      </c>
      <c r="D366" s="16" t="n">
        <v>45776</v>
      </c>
      <c r="E366" s="19" t="n">
        <v>13.37</v>
      </c>
      <c r="G366" s="16" t="n">
        <v>44497</v>
      </c>
      <c r="H366" s="19" t="n">
        <v>2.365</v>
      </c>
      <c r="J366" s="16" t="n">
        <v>44497</v>
      </c>
      <c r="K366" s="19" t="n">
        <v>2.065</v>
      </c>
      <c r="M366" s="16" t="n">
        <v>45777</v>
      </c>
      <c r="N366" s="19" t="n">
        <v>206752</v>
      </c>
    </row>
    <row r="367">
      <c r="A367" s="16" t="n">
        <v>45776</v>
      </c>
      <c r="B367" s="19" t="n">
        <v>2588.07</v>
      </c>
      <c r="D367" s="16" t="n">
        <v>45775</v>
      </c>
      <c r="E367" s="19" t="n">
        <v>12.26</v>
      </c>
      <c r="G367" s="16" t="n">
        <v>44498</v>
      </c>
      <c r="H367" s="19" t="n">
        <v>2.365</v>
      </c>
      <c r="J367" s="16" t="n">
        <v>44498</v>
      </c>
      <c r="K367" s="19" t="n">
        <v>2.062</v>
      </c>
      <c r="M367" s="16" t="n">
        <v>45776</v>
      </c>
      <c r="N367" s="19" t="n">
        <v>204696</v>
      </c>
    </row>
    <row r="368">
      <c r="A368" s="16" t="n">
        <v>45775</v>
      </c>
      <c r="B368" s="19" t="n">
        <v>2587.15</v>
      </c>
      <c r="D368" s="16" t="n">
        <v>45772</v>
      </c>
      <c r="E368" s="19" t="n">
        <v>11.75</v>
      </c>
      <c r="G368" s="16" t="n">
        <v>44501</v>
      </c>
      <c r="H368" s="19" t="n">
        <v>2.389</v>
      </c>
      <c r="J368" s="16" t="n">
        <v>44501</v>
      </c>
      <c r="K368" s="19" t="n">
        <v>2.089</v>
      </c>
      <c r="M368" s="16" t="n">
        <v>45775</v>
      </c>
      <c r="N368" s="19" t="n">
        <v>203868</v>
      </c>
    </row>
    <row r="369">
      <c r="A369" s="16" t="n">
        <v>45772</v>
      </c>
      <c r="B369" s="19" t="n">
        <v>2619.05</v>
      </c>
      <c r="D369" s="16" t="n">
        <v>45771</v>
      </c>
      <c r="E369" s="19" t="n">
        <v>12.15</v>
      </c>
      <c r="G369" s="16" t="n">
        <v>44502</v>
      </c>
      <c r="H369" s="19" t="n">
        <v>2.384</v>
      </c>
      <c r="J369" s="16" t="n">
        <v>44502</v>
      </c>
      <c r="K369" s="19" t="n">
        <v>2.084</v>
      </c>
      <c r="M369" s="16" t="n">
        <v>45772</v>
      </c>
      <c r="N369" s="19" t="n">
        <v>206381</v>
      </c>
    </row>
    <row r="370">
      <c r="A370" s="16" t="n">
        <v>45771</v>
      </c>
      <c r="B370" s="19" t="n">
        <v>2599.19</v>
      </c>
      <c r="D370" s="16" t="n">
        <v>45770</v>
      </c>
      <c r="E370" s="19" t="n">
        <v>13.18</v>
      </c>
      <c r="G370" s="16" t="n">
        <v>44503</v>
      </c>
      <c r="H370" s="19" t="n">
        <v>2.31</v>
      </c>
      <c r="J370" s="16" t="n">
        <v>44503</v>
      </c>
      <c r="K370" s="19" t="n">
        <v>2.01</v>
      </c>
      <c r="M370" s="16" t="n">
        <v>45771</v>
      </c>
      <c r="N370" s="19" t="n">
        <v>204747</v>
      </c>
    </row>
    <row r="371">
      <c r="A371" s="16" t="n">
        <v>45770</v>
      </c>
      <c r="B371" s="19" t="n">
        <v>2566.69</v>
      </c>
      <c r="D371" s="16" t="n">
        <v>45769</v>
      </c>
      <c r="E371" s="19" t="n">
        <v>13.62</v>
      </c>
      <c r="G371" s="16" t="n">
        <v>44504</v>
      </c>
      <c r="H371" s="19" t="n">
        <v>2.261</v>
      </c>
      <c r="J371" s="16" t="n">
        <v>44504</v>
      </c>
      <c r="K371" s="19" t="n">
        <v>1.949</v>
      </c>
      <c r="M371" s="16" t="n">
        <v>45770</v>
      </c>
      <c r="N371" s="19" t="n">
        <v>203954</v>
      </c>
    </row>
    <row r="372">
      <c r="A372" s="16" t="n">
        <v>45769</v>
      </c>
      <c r="B372" s="19" t="n">
        <v>2571.26</v>
      </c>
      <c r="D372" s="16" t="n">
        <v>45768</v>
      </c>
      <c r="E372" s="19" t="n">
        <v>12.07</v>
      </c>
      <c r="G372" s="16" t="n">
        <v>44505</v>
      </c>
      <c r="H372" s="19" t="n">
        <v>2.26</v>
      </c>
      <c r="J372" s="16" t="n">
        <v>44505</v>
      </c>
      <c r="K372" s="19" t="n">
        <v>1.96</v>
      </c>
      <c r="M372" s="16" t="n">
        <v>45769</v>
      </c>
      <c r="N372" s="19" t="n">
        <v>203433</v>
      </c>
    </row>
    <row r="373">
      <c r="A373" s="16" t="n">
        <v>45768</v>
      </c>
      <c r="B373" s="19" t="n">
        <v>2599.76</v>
      </c>
      <c r="D373" s="16" t="n">
        <v>45765</v>
      </c>
      <c r="E373" s="19" t="n">
        <v>12.86</v>
      </c>
      <c r="G373" s="16" t="n">
        <v>44508</v>
      </c>
      <c r="H373" s="19" t="n">
        <v>2.324</v>
      </c>
      <c r="J373" s="16" t="n">
        <v>44508</v>
      </c>
      <c r="K373" s="19" t="n">
        <v>1.94</v>
      </c>
      <c r="M373" s="16" t="n">
        <v>45768</v>
      </c>
      <c r="N373" s="19" t="n">
        <v>204593</v>
      </c>
    </row>
    <row r="374">
      <c r="A374" s="16" t="n">
        <v>45765</v>
      </c>
      <c r="B374" s="19" t="n">
        <v>2596.35</v>
      </c>
      <c r="D374" s="16" t="n">
        <v>45764</v>
      </c>
      <c r="E374" s="19" t="n">
        <v>11.84</v>
      </c>
      <c r="G374" s="16" t="n">
        <v>44509</v>
      </c>
      <c r="H374" s="19" t="n">
        <v>2.28</v>
      </c>
      <c r="J374" s="16" t="n">
        <v>44509</v>
      </c>
      <c r="K374" s="19" t="n">
        <v>1.925</v>
      </c>
      <c r="M374" s="16" t="n">
        <v>45765</v>
      </c>
      <c r="N374" s="19" t="n">
        <v>205670</v>
      </c>
    </row>
    <row r="375">
      <c r="A375" s="16" t="n">
        <v>45764</v>
      </c>
      <c r="B375" s="19" t="n">
        <v>2601.11</v>
      </c>
      <c r="D375" s="16" t="n">
        <v>45763</v>
      </c>
      <c r="E375" s="19" t="n">
        <v>12.08</v>
      </c>
      <c r="G375" s="16" t="n">
        <v>44510</v>
      </c>
      <c r="H375" s="19" t="n">
        <v>2.341</v>
      </c>
      <c r="J375" s="16" t="n">
        <v>44510</v>
      </c>
      <c r="K375" s="19" t="n">
        <v>1.945</v>
      </c>
      <c r="M375" s="16" t="n">
        <v>45764</v>
      </c>
      <c r="N375" s="19" t="n">
        <v>206356</v>
      </c>
    </row>
    <row r="376">
      <c r="A376" s="16" t="n">
        <v>45763</v>
      </c>
      <c r="B376" s="19" t="n">
        <v>2609.34</v>
      </c>
      <c r="D376" s="16" t="n">
        <v>45762</v>
      </c>
      <c r="E376" s="19" t="n">
        <v>11.98</v>
      </c>
      <c r="G376" s="16" t="n">
        <v>44511</v>
      </c>
      <c r="H376" s="19" t="n">
        <v>2.288</v>
      </c>
      <c r="J376" s="16" t="n">
        <v>44511</v>
      </c>
      <c r="K376" s="19" t="n">
        <v>1.928</v>
      </c>
      <c r="M376" s="16" t="n">
        <v>45763</v>
      </c>
      <c r="N376" s="19" t="n">
        <v>206578</v>
      </c>
    </row>
    <row r="377">
      <c r="A377" s="16" t="n">
        <v>45762</v>
      </c>
      <c r="B377" s="19" t="n">
        <v>2629.13</v>
      </c>
      <c r="D377" s="16" t="n">
        <v>45761</v>
      </c>
      <c r="E377" s="19" t="n">
        <v>13.26</v>
      </c>
      <c r="G377" s="16" t="n">
        <v>44512</v>
      </c>
      <c r="H377" s="19" t="n">
        <v>2.325</v>
      </c>
      <c r="J377" s="16" t="n">
        <v>44512</v>
      </c>
      <c r="K377" s="19" t="n">
        <v>1.897</v>
      </c>
      <c r="M377" s="16" t="n">
        <v>45762</v>
      </c>
      <c r="N377" s="19" t="n">
        <v>206718</v>
      </c>
    </row>
    <row r="378">
      <c r="A378" s="16" t="n">
        <v>45761</v>
      </c>
      <c r="B378" s="19" t="n">
        <v>2603.68</v>
      </c>
      <c r="D378" s="16" t="n">
        <v>45758</v>
      </c>
      <c r="E378" s="19" t="n">
        <v>12.45</v>
      </c>
      <c r="G378" s="16" t="n">
        <v>44515</v>
      </c>
      <c r="H378" s="19" t="n">
        <v>2.352</v>
      </c>
      <c r="J378" s="16" t="n">
        <v>44515</v>
      </c>
      <c r="K378" s="19" t="n">
        <v>1.907</v>
      </c>
      <c r="M378" s="16" t="n">
        <v>45761</v>
      </c>
      <c r="N378" s="19" t="n">
        <v>205519</v>
      </c>
    </row>
    <row r="379">
      <c r="A379" s="16" t="n">
        <v>45758</v>
      </c>
      <c r="B379" s="19" t="n">
        <v>2594.97</v>
      </c>
      <c r="D379" s="16" t="n">
        <v>45757</v>
      </c>
      <c r="E379" s="19" t="n">
        <v>11.73</v>
      </c>
      <c r="G379" s="16" t="n">
        <v>44516</v>
      </c>
      <c r="H379" s="19" t="n">
        <v>2.336</v>
      </c>
      <c r="J379" s="16" t="n">
        <v>44516</v>
      </c>
      <c r="K379" s="19" t="n">
        <v>1.924</v>
      </c>
      <c r="M379" s="16" t="n">
        <v>45758</v>
      </c>
      <c r="N379" s="19" t="n">
        <v>205303</v>
      </c>
    </row>
    <row r="380">
      <c r="A380" s="16" t="n">
        <v>45757</v>
      </c>
      <c r="B380" s="19" t="n">
        <v>2635.42</v>
      </c>
      <c r="D380" s="16" t="n">
        <v>45756</v>
      </c>
      <c r="E380" s="19" t="n">
        <v>12.75</v>
      </c>
      <c r="G380" s="16" t="n">
        <v>44517</v>
      </c>
      <c r="H380" s="19" t="n">
        <v>2.341</v>
      </c>
      <c r="J380" s="16" t="n">
        <v>44517</v>
      </c>
      <c r="K380" s="19" t="n">
        <v>1.915</v>
      </c>
      <c r="M380" s="16" t="n">
        <v>45757</v>
      </c>
      <c r="N380" s="19" t="n">
        <v>207503</v>
      </c>
    </row>
    <row r="381">
      <c r="A381" s="16" t="n">
        <v>45756</v>
      </c>
      <c r="B381" s="19" t="n">
        <v>2618.17</v>
      </c>
      <c r="D381" s="16" t="n">
        <v>45755</v>
      </c>
      <c r="E381" s="19" t="n">
        <v>14.61</v>
      </c>
      <c r="G381" s="16" t="n">
        <v>44518</v>
      </c>
      <c r="H381" s="19" t="n">
        <v>2.315</v>
      </c>
      <c r="J381" s="16" t="n">
        <v>44518</v>
      </c>
      <c r="K381" s="19" t="n">
        <v>1.883</v>
      </c>
      <c r="M381" s="16" t="n">
        <v>45756</v>
      </c>
      <c r="N381" s="19" t="n">
        <v>206041</v>
      </c>
    </row>
    <row r="382">
      <c r="A382" s="16" t="n">
        <v>45755</v>
      </c>
      <c r="B382" s="19" t="n">
        <v>2594.1</v>
      </c>
      <c r="D382" s="16" t="n">
        <v>45754</v>
      </c>
      <c r="E382" s="19" t="n">
        <v>12.31</v>
      </c>
      <c r="G382" s="16" t="n">
        <v>44519</v>
      </c>
      <c r="H382" s="19" t="n">
        <v>2.376</v>
      </c>
      <c r="J382" s="16" t="n">
        <v>44519</v>
      </c>
      <c r="K382" s="19" t="n">
        <v>1.924</v>
      </c>
      <c r="M382" s="16" t="n">
        <v>45755</v>
      </c>
      <c r="N382" s="19" t="n">
        <v>204507</v>
      </c>
    </row>
    <row r="383">
      <c r="A383" s="16" t="n">
        <v>45754</v>
      </c>
      <c r="B383" s="19" t="n">
        <v>2622.1</v>
      </c>
      <c r="D383" s="16" t="n">
        <v>45751</v>
      </c>
      <c r="E383" s="19" t="n">
        <v>13.18</v>
      </c>
      <c r="G383" s="16" t="n">
        <v>44522</v>
      </c>
      <c r="H383" s="19" t="n">
        <v>2.435</v>
      </c>
      <c r="J383" s="16" t="n">
        <v>44522</v>
      </c>
      <c r="K383" s="19" t="n">
        <v>1.953</v>
      </c>
      <c r="M383" s="16" t="n">
        <v>45754</v>
      </c>
      <c r="N383" s="19" t="n">
        <v>204532</v>
      </c>
    </row>
    <row r="384">
      <c r="A384" s="16" t="n">
        <v>45751</v>
      </c>
      <c r="B384" s="19" t="n">
        <v>2611.33</v>
      </c>
      <c r="D384" s="16" t="n">
        <v>45750</v>
      </c>
      <c r="E384" s="19" t="n">
        <v>13.26</v>
      </c>
      <c r="G384" s="16" t="n">
        <v>44523</v>
      </c>
      <c r="H384" s="19" t="n">
        <v>2.428</v>
      </c>
      <c r="J384" s="16" t="n">
        <v>44523</v>
      </c>
      <c r="K384" s="19" t="n">
        <v>1.929</v>
      </c>
      <c r="M384" s="16" t="n">
        <v>45751</v>
      </c>
      <c r="N384" s="19" t="n">
        <v>204663</v>
      </c>
    </row>
    <row r="385">
      <c r="A385" s="16" t="n">
        <v>45750</v>
      </c>
      <c r="B385" s="19" t="n">
        <v>2591.84</v>
      </c>
      <c r="D385" s="16" t="n">
        <v>45749</v>
      </c>
      <c r="E385" s="19" t="n">
        <v>11.48</v>
      </c>
      <c r="G385" s="16" t="n">
        <v>44524</v>
      </c>
      <c r="H385" s="19" t="n">
        <v>2.387</v>
      </c>
      <c r="J385" s="16" t="n">
        <v>44524</v>
      </c>
      <c r="K385" s="19" t="n">
        <v>1.895</v>
      </c>
      <c r="M385" s="16" t="n">
        <v>45750</v>
      </c>
      <c r="N385" s="19" t="n">
        <v>202164</v>
      </c>
    </row>
    <row r="386">
      <c r="A386" s="16" t="n">
        <v>45749</v>
      </c>
      <c r="B386" s="19" t="n">
        <v>2612.72</v>
      </c>
      <c r="D386" s="16" t="n">
        <v>45748</v>
      </c>
      <c r="E386" s="19" t="n">
        <v>10.84</v>
      </c>
      <c r="G386" s="16" t="n">
        <v>44525</v>
      </c>
      <c r="H386" s="19" t="n">
        <v>2.404</v>
      </c>
      <c r="J386" s="16" t="n">
        <v>44525</v>
      </c>
      <c r="K386" s="19" t="n">
        <v>1.902</v>
      </c>
      <c r="M386" s="16" t="n">
        <v>45749</v>
      </c>
      <c r="N386" s="19" t="n">
        <v>203075</v>
      </c>
    </row>
    <row r="387">
      <c r="A387" s="16" t="n">
        <v>45748</v>
      </c>
      <c r="B387" s="19" t="n">
        <v>2637.79</v>
      </c>
      <c r="D387" s="16" t="n">
        <v>45747</v>
      </c>
      <c r="E387" s="19" t="n">
        <v>10.41</v>
      </c>
      <c r="G387" s="16" t="n">
        <v>44526</v>
      </c>
      <c r="H387" s="19" t="n">
        <v>2.421</v>
      </c>
      <c r="J387" s="16" t="n">
        <v>44526</v>
      </c>
      <c r="K387" s="19" t="n">
        <v>1.912</v>
      </c>
      <c r="M387" s="16" t="n">
        <v>45748</v>
      </c>
      <c r="N387" s="19" t="n">
        <v>203724</v>
      </c>
    </row>
    <row r="388">
      <c r="A388" s="16" t="n">
        <v>45747</v>
      </c>
      <c r="B388" s="19" t="n">
        <v>2649.38</v>
      </c>
      <c r="D388" s="16" t="n">
        <v>45744</v>
      </c>
      <c r="E388" s="19" t="n">
        <v>11.07</v>
      </c>
      <c r="G388" s="16" t="n">
        <v>44529</v>
      </c>
      <c r="H388" s="19" t="n">
        <v>2.393</v>
      </c>
      <c r="J388" s="16" t="n">
        <v>44529</v>
      </c>
      <c r="K388" s="19" t="n">
        <v>1.883</v>
      </c>
      <c r="M388" s="16" t="n">
        <v>45747</v>
      </c>
      <c r="N388" s="19" t="n">
        <v>204082</v>
      </c>
    </row>
    <row r="389">
      <c r="A389" s="16" t="n">
        <v>45744</v>
      </c>
      <c r="B389" s="19" t="n">
        <v>2618.65</v>
      </c>
      <c r="D389" s="16" t="n">
        <v>45743</v>
      </c>
      <c r="E389" s="19" t="n">
        <v>11.71</v>
      </c>
      <c r="G389" s="16" t="n">
        <v>44530</v>
      </c>
      <c r="H389" s="19" t="n">
        <v>2.334</v>
      </c>
      <c r="J389" s="16" t="n">
        <v>44530</v>
      </c>
      <c r="K389" s="19" t="n">
        <v>1.837</v>
      </c>
      <c r="M389" s="16" t="n">
        <v>45744</v>
      </c>
      <c r="N389" s="19" t="n">
        <v>202436</v>
      </c>
    </row>
    <row r="390">
      <c r="A390" s="16" t="n">
        <v>45743</v>
      </c>
      <c r="B390" s="19" t="n">
        <v>2606.19</v>
      </c>
      <c r="D390" s="16" t="n">
        <v>45742</v>
      </c>
      <c r="E390" s="19" t="n">
        <v>13.58</v>
      </c>
      <c r="G390" s="16" t="n">
        <v>44531</v>
      </c>
      <c r="H390" s="19" t="n">
        <v>2.347</v>
      </c>
      <c r="J390" s="16" t="n">
        <v>44531</v>
      </c>
      <c r="K390" s="19" t="n">
        <v>1.824</v>
      </c>
      <c r="M390" s="16" t="n">
        <v>45743</v>
      </c>
      <c r="N390" s="19" t="n">
        <v>201215</v>
      </c>
    </row>
    <row r="391">
      <c r="A391" s="16" t="n">
        <v>45742</v>
      </c>
      <c r="B391" s="19" t="n">
        <v>2578.12</v>
      </c>
      <c r="D391" s="16" t="n">
        <v>45741</v>
      </c>
      <c r="E391" s="19" t="n">
        <v>15.04</v>
      </c>
      <c r="G391" s="16" t="n">
        <v>44532</v>
      </c>
      <c r="H391" s="19" t="n">
        <v>2.359</v>
      </c>
      <c r="J391" s="16" t="n">
        <v>44532</v>
      </c>
      <c r="K391" s="19" t="n">
        <v>1.769</v>
      </c>
      <c r="M391" s="16" t="n">
        <v>45742</v>
      </c>
      <c r="N391" s="19" t="n">
        <v>198927</v>
      </c>
    </row>
    <row r="392">
      <c r="A392" s="16" t="n">
        <v>45741</v>
      </c>
      <c r="B392" s="19" t="n">
        <v>2548.84</v>
      </c>
      <c r="D392" s="16" t="n">
        <v>45740</v>
      </c>
      <c r="E392" s="19" t="n">
        <v>13.12</v>
      </c>
      <c r="G392" s="16" t="n">
        <v>44533</v>
      </c>
      <c r="H392" s="19" t="n">
        <v>2.317</v>
      </c>
      <c r="J392" s="16" t="n">
        <v>44533</v>
      </c>
      <c r="K392" s="19" t="n">
        <v>1.752</v>
      </c>
      <c r="M392" s="16" t="n">
        <v>45741</v>
      </c>
      <c r="N392" s="19" t="n">
        <v>198202</v>
      </c>
    </row>
    <row r="393">
      <c r="A393" s="16" t="n">
        <v>45740</v>
      </c>
      <c r="B393" s="19" t="n">
        <v>2591.73</v>
      </c>
      <c r="D393" s="16" t="n">
        <v>45737</v>
      </c>
      <c r="E393" s="19" t="n">
        <v>12.08</v>
      </c>
      <c r="G393" s="16" t="n">
        <v>44536</v>
      </c>
      <c r="H393" s="19" t="n">
        <v>2.28</v>
      </c>
      <c r="J393" s="16" t="n">
        <v>44536</v>
      </c>
      <c r="K393" s="19" t="n">
        <v>1.743</v>
      </c>
      <c r="M393" s="16" t="n">
        <v>45740</v>
      </c>
      <c r="N393" s="19" t="n">
        <v>199055</v>
      </c>
    </row>
    <row r="394">
      <c r="A394" s="16" t="n">
        <v>45737</v>
      </c>
      <c r="B394" s="19" t="n">
        <v>2621.01</v>
      </c>
      <c r="D394" s="16" t="n">
        <v>45736</v>
      </c>
      <c r="E394" s="19" t="n">
        <v>13.73</v>
      </c>
      <c r="G394" s="16" t="n">
        <v>44537</v>
      </c>
      <c r="H394" s="19" t="n">
        <v>2.306</v>
      </c>
      <c r="J394" s="16" t="n">
        <v>44537</v>
      </c>
      <c r="K394" s="19" t="n">
        <v>1.744</v>
      </c>
      <c r="M394" s="16" t="n">
        <v>45737</v>
      </c>
      <c r="N394" s="19" t="n">
        <v>200234</v>
      </c>
    </row>
    <row r="395">
      <c r="A395" s="16" t="n">
        <v>45736</v>
      </c>
      <c r="B395" s="19" t="n">
        <v>2575.01</v>
      </c>
      <c r="D395" s="16" t="n">
        <v>45735</v>
      </c>
      <c r="E395" s="19" t="n">
        <v>16.72</v>
      </c>
      <c r="G395" s="16" t="n">
        <v>44538</v>
      </c>
      <c r="H395" s="19" t="n">
        <v>2.347</v>
      </c>
      <c r="J395" s="16" t="n">
        <v>44538</v>
      </c>
      <c r="K395" s="19" t="n">
        <v>1.784</v>
      </c>
      <c r="M395" s="16" t="n">
        <v>45736</v>
      </c>
      <c r="N395" s="19" t="n">
        <v>196924</v>
      </c>
    </row>
    <row r="396">
      <c r="A396" s="16" t="n">
        <v>45735</v>
      </c>
      <c r="B396" s="19" t="n">
        <v>2532.36</v>
      </c>
      <c r="D396" s="16" t="n">
        <v>45734</v>
      </c>
      <c r="E396" s="19" t="n">
        <v>19.13</v>
      </c>
      <c r="G396" s="16" t="n">
        <v>44539</v>
      </c>
      <c r="H396" s="19" t="n">
        <v>2.347</v>
      </c>
      <c r="J396" s="16" t="n">
        <v>44539</v>
      </c>
      <c r="K396" s="19" t="n">
        <v>1.794</v>
      </c>
      <c r="M396" s="16" t="n">
        <v>45735</v>
      </c>
      <c r="N396" s="19" t="n">
        <v>195909</v>
      </c>
    </row>
    <row r="397">
      <c r="A397" s="16" t="n">
        <v>45734</v>
      </c>
      <c r="B397" s="19" t="n">
        <v>2477.66</v>
      </c>
      <c r="D397" s="16" t="n">
        <v>45733</v>
      </c>
      <c r="E397" s="19" t="n">
        <v>19.74</v>
      </c>
      <c r="G397" s="16" t="n">
        <v>44540</v>
      </c>
      <c r="H397" s="19" t="n">
        <v>2.429</v>
      </c>
      <c r="J397" s="16" t="n">
        <v>44540</v>
      </c>
      <c r="K397" s="19" t="n">
        <v>1.827</v>
      </c>
      <c r="M397" s="16" t="n">
        <v>45734</v>
      </c>
      <c r="N397" s="19" t="n">
        <v>193207</v>
      </c>
    </row>
    <row r="398">
      <c r="A398" s="16" t="n">
        <v>45733</v>
      </c>
      <c r="B398" s="19" t="n">
        <v>2451.31</v>
      </c>
      <c r="D398" s="16" t="n">
        <v>45730</v>
      </c>
      <c r="E398" s="19" t="n">
        <v>19.25</v>
      </c>
      <c r="G398" s="16" t="n">
        <v>44543</v>
      </c>
      <c r="H398" s="19" t="n">
        <v>2.466</v>
      </c>
      <c r="J398" s="16" t="n">
        <v>44543</v>
      </c>
      <c r="K398" s="19" t="n">
        <v>1.805</v>
      </c>
      <c r="M398" s="16" t="n">
        <v>45733</v>
      </c>
      <c r="N398" s="19" t="n">
        <v>191860</v>
      </c>
    </row>
    <row r="399">
      <c r="A399" s="16" t="n">
        <v>45730</v>
      </c>
      <c r="B399" s="19" t="n">
        <v>2460.46</v>
      </c>
      <c r="D399" s="16" t="n">
        <v>45729</v>
      </c>
      <c r="E399" s="19" t="n">
        <v>19.31</v>
      </c>
      <c r="G399" s="16" t="n">
        <v>44544</v>
      </c>
      <c r="H399" s="19" t="n">
        <v>2.471</v>
      </c>
      <c r="J399" s="16" t="n">
        <v>44544</v>
      </c>
      <c r="K399" s="19" t="n">
        <v>1.839</v>
      </c>
      <c r="M399" s="16" t="n">
        <v>45730</v>
      </c>
      <c r="N399" s="19" t="n">
        <v>192922</v>
      </c>
    </row>
    <row r="400">
      <c r="A400" s="16" t="n">
        <v>45729</v>
      </c>
      <c r="B400" s="19" t="n">
        <v>2450.36</v>
      </c>
      <c r="D400" s="16" t="n">
        <v>45728</v>
      </c>
      <c r="E400" s="19" t="n">
        <v>20.01</v>
      </c>
      <c r="G400" s="16" t="n">
        <v>44545</v>
      </c>
      <c r="H400" s="19" t="n">
        <v>2.443</v>
      </c>
      <c r="J400" s="16" t="n">
        <v>44545</v>
      </c>
      <c r="K400" s="19" t="n">
        <v>1.855</v>
      </c>
      <c r="M400" s="16" t="n">
        <v>45729</v>
      </c>
      <c r="N400" s="19" t="n">
        <v>192642</v>
      </c>
    </row>
    <row r="401">
      <c r="A401" s="16" t="n">
        <v>45728</v>
      </c>
      <c r="B401" s="19" t="n">
        <v>2456.54</v>
      </c>
      <c r="D401" s="16" t="n">
        <v>45727</v>
      </c>
      <c r="E401" s="19" t="n">
        <v>23.5</v>
      </c>
      <c r="G401" s="16" t="n">
        <v>44546</v>
      </c>
      <c r="H401" s="19" t="n">
        <v>2.467</v>
      </c>
      <c r="J401" s="16" t="n">
        <v>44546</v>
      </c>
      <c r="K401" s="19" t="n">
        <v>1.858</v>
      </c>
      <c r="M401" s="16" t="n">
        <v>45728</v>
      </c>
      <c r="N401" s="19" t="n">
        <v>192643</v>
      </c>
    </row>
    <row r="402">
      <c r="A402" s="16" t="n">
        <v>45727</v>
      </c>
      <c r="B402" s="19" t="n">
        <v>2384.71</v>
      </c>
      <c r="D402" s="16" t="n">
        <v>45726</v>
      </c>
      <c r="E402" s="19" t="n">
        <v>22.97</v>
      </c>
      <c r="G402" s="16" t="n">
        <v>44547</v>
      </c>
      <c r="H402" s="19" t="n">
        <v>2.516</v>
      </c>
      <c r="J402" s="16" t="n">
        <v>44547</v>
      </c>
      <c r="K402" s="19" t="n">
        <v>1.873</v>
      </c>
      <c r="M402" s="16" t="n">
        <v>45727</v>
      </c>
      <c r="N402" s="19" t="n">
        <v>188009</v>
      </c>
    </row>
    <row r="403">
      <c r="A403" s="16" t="n">
        <v>45726</v>
      </c>
      <c r="B403" s="19" t="n">
        <v>2404.19</v>
      </c>
      <c r="D403" s="16" t="n">
        <v>45723</v>
      </c>
      <c r="E403" s="19" t="n">
        <v>23.25</v>
      </c>
      <c r="G403" s="16" t="n">
        <v>44550</v>
      </c>
      <c r="H403" s="19" t="n">
        <v>2.553</v>
      </c>
      <c r="J403" s="16" t="n">
        <v>44550</v>
      </c>
      <c r="K403" s="19" t="n">
        <v>1.916</v>
      </c>
      <c r="M403" s="16" t="n">
        <v>45726</v>
      </c>
      <c r="N403" s="19" t="n">
        <v>188046</v>
      </c>
    </row>
    <row r="404">
      <c r="A404" s="16" t="n">
        <v>45723</v>
      </c>
      <c r="B404" s="19" t="n">
        <v>2411.87</v>
      </c>
      <c r="D404" s="16" t="n">
        <v>45722</v>
      </c>
      <c r="E404" s="19" t="n">
        <v>22.92</v>
      </c>
      <c r="G404" s="16" t="n">
        <v>44551</v>
      </c>
      <c r="H404" s="19" t="n">
        <v>2.516</v>
      </c>
      <c r="J404" s="16" t="n">
        <v>44551</v>
      </c>
      <c r="K404" s="19" t="n">
        <v>1.894</v>
      </c>
      <c r="M404" s="16" t="n">
        <v>45723</v>
      </c>
      <c r="N404" s="19" t="n">
        <v>188267</v>
      </c>
    </row>
    <row r="405">
      <c r="A405" s="16" t="n">
        <v>45722</v>
      </c>
      <c r="B405" s="19" t="n">
        <v>2404.89</v>
      </c>
      <c r="D405" s="16" t="n">
        <v>45721</v>
      </c>
      <c r="E405" s="19" t="n">
        <v>24.09</v>
      </c>
      <c r="G405" s="16" t="n">
        <v>44552</v>
      </c>
      <c r="H405" s="19" t="n">
        <v>2.518</v>
      </c>
      <c r="J405" s="16" t="n">
        <v>44552</v>
      </c>
      <c r="K405" s="19" t="n">
        <v>1.851</v>
      </c>
      <c r="M405" s="16" t="n">
        <v>45722</v>
      </c>
      <c r="N405" s="19" t="n">
        <v>188308</v>
      </c>
    </row>
    <row r="406">
      <c r="A406" s="16" t="n">
        <v>45721</v>
      </c>
      <c r="B406" s="19" t="n">
        <v>2396.13</v>
      </c>
      <c r="D406" s="16" t="n">
        <v>45720</v>
      </c>
      <c r="E406" s="19" t="n">
        <v>23.24</v>
      </c>
      <c r="G406" s="16" t="n">
        <v>44553</v>
      </c>
      <c r="H406" s="19" t="n">
        <v>2.508</v>
      </c>
      <c r="J406" s="16" t="n">
        <v>44553</v>
      </c>
      <c r="K406" s="19" t="n">
        <v>1.83</v>
      </c>
      <c r="M406" s="16" t="n">
        <v>45721</v>
      </c>
      <c r="N406" s="19" t="n">
        <v>188599</v>
      </c>
    </row>
    <row r="407">
      <c r="A407" s="16" t="n">
        <v>45720</v>
      </c>
      <c r="B407" s="19" t="n">
        <v>2443.44</v>
      </c>
      <c r="D407" s="16" t="n">
        <v>45719</v>
      </c>
      <c r="E407" s="19" t="n">
        <v>24.69</v>
      </c>
      <c r="G407" s="16" t="n">
        <v>44554</v>
      </c>
      <c r="H407" s="19" t="n">
        <v>2.581</v>
      </c>
      <c r="J407" s="16" t="n">
        <v>44554</v>
      </c>
      <c r="K407" s="19" t="n">
        <v>1.865</v>
      </c>
      <c r="M407" s="16" t="n">
        <v>45720</v>
      </c>
      <c r="N407" s="19" t="n">
        <v>191114</v>
      </c>
    </row>
    <row r="408">
      <c r="A408" s="16" t="n">
        <v>45719</v>
      </c>
      <c r="B408" s="19" t="n">
        <v>2409.85</v>
      </c>
      <c r="D408" s="16" t="n">
        <v>45716</v>
      </c>
      <c r="E408" s="19" t="n">
        <v>25.8</v>
      </c>
      <c r="G408" s="16" t="n">
        <v>44557</v>
      </c>
      <c r="H408" s="19" t="n">
        <v>2.559</v>
      </c>
      <c r="J408" s="16" t="n">
        <v>44557</v>
      </c>
      <c r="K408" s="19" t="n">
        <v>1.858</v>
      </c>
      <c r="M408" s="16" t="n">
        <v>45719</v>
      </c>
      <c r="N408" s="19" t="n">
        <v>188756</v>
      </c>
    </row>
    <row r="409">
      <c r="A409" s="16" t="n">
        <v>45716</v>
      </c>
      <c r="B409" s="19" t="n">
        <v>2402.42</v>
      </c>
      <c r="D409" s="16" t="n">
        <v>45715</v>
      </c>
      <c r="E409" s="19" t="n">
        <v>26.43</v>
      </c>
      <c r="G409" s="16" t="n">
        <v>44558</v>
      </c>
      <c r="H409" s="19" t="n">
        <v>2.52</v>
      </c>
      <c r="J409" s="16" t="n">
        <v>44558</v>
      </c>
      <c r="K409" s="19" t="n">
        <v>1.837</v>
      </c>
      <c r="M409" s="16" t="n">
        <v>45716</v>
      </c>
      <c r="N409" s="19" t="n">
        <v>188044</v>
      </c>
    </row>
    <row r="410">
      <c r="A410" s="16" t="n">
        <v>45715</v>
      </c>
      <c r="B410" s="19" t="n">
        <v>2414.4</v>
      </c>
      <c r="D410" s="16" t="n">
        <v>45714</v>
      </c>
      <c r="E410" s="19" t="n">
        <v>25.38</v>
      </c>
      <c r="G410" s="16" t="n">
        <v>44559</v>
      </c>
      <c r="H410" s="19" t="n">
        <v>2.575</v>
      </c>
      <c r="J410" s="16" t="n">
        <v>44559</v>
      </c>
      <c r="K410" s="19" t="n">
        <v>1.821</v>
      </c>
      <c r="M410" s="16" t="n">
        <v>45715</v>
      </c>
      <c r="N410" s="19" t="n">
        <v>188531</v>
      </c>
    </row>
    <row r="411">
      <c r="A411" s="16" t="n">
        <v>45714</v>
      </c>
      <c r="B411" s="19" t="n">
        <v>2452.48</v>
      </c>
      <c r="D411" s="16" t="n">
        <v>45713</v>
      </c>
      <c r="E411" s="19" t="n">
        <v>25.1</v>
      </c>
      <c r="G411" s="16" t="n">
        <v>44560</v>
      </c>
      <c r="H411" s="19" t="n">
        <v>2.572</v>
      </c>
      <c r="J411" s="16" t="n">
        <v>44560</v>
      </c>
      <c r="K411" s="19" t="n">
        <v>1.838</v>
      </c>
      <c r="M411" s="16" t="n">
        <v>45714</v>
      </c>
      <c r="N411" s="19" t="n">
        <v>190498</v>
      </c>
    </row>
    <row r="412">
      <c r="A412" s="16" t="n">
        <v>45713</v>
      </c>
      <c r="B412" s="19" t="n">
        <v>2473.68</v>
      </c>
      <c r="D412" s="16" t="n">
        <v>45712</v>
      </c>
      <c r="E412" s="19" t="n">
        <v>24.48</v>
      </c>
      <c r="G412" s="16" t="n">
        <v>44561</v>
      </c>
      <c r="H412" s="19" t="n">
        <v>2.627</v>
      </c>
      <c r="J412" s="16" t="n">
        <v>44561</v>
      </c>
      <c r="K412" s="19" t="n">
        <v>1.874</v>
      </c>
      <c r="M412" s="16" t="n">
        <v>45713</v>
      </c>
      <c r="N412" s="19" t="n">
        <v>190771</v>
      </c>
    </row>
    <row r="413">
      <c r="A413" s="16" t="n">
        <v>45712</v>
      </c>
      <c r="B413" s="19" t="n">
        <v>2489.36</v>
      </c>
      <c r="D413" s="16" t="n">
        <v>45709</v>
      </c>
      <c r="E413" s="19" t="n">
        <v>24.31</v>
      </c>
      <c r="G413" s="16" t="n">
        <v>44564</v>
      </c>
      <c r="H413" s="19" t="n">
        <v>2.658</v>
      </c>
      <c r="J413" s="16" t="n">
        <v>44564</v>
      </c>
      <c r="K413" s="19" t="n">
        <v>1.885</v>
      </c>
      <c r="M413" s="16" t="n">
        <v>45712</v>
      </c>
      <c r="N413" s="19" t="n">
        <v>193237</v>
      </c>
    </row>
    <row r="414">
      <c r="A414" s="16" t="n">
        <v>45709</v>
      </c>
      <c r="B414" s="19" t="n">
        <v>2501.2</v>
      </c>
      <c r="D414" s="16" t="n">
        <v>45708</v>
      </c>
      <c r="E414" s="19" t="n">
        <v>22.86</v>
      </c>
      <c r="G414" s="16" t="n">
        <v>44565</v>
      </c>
      <c r="H414" s="19" t="n">
        <v>2.674</v>
      </c>
      <c r="J414" s="16" t="n">
        <v>44565</v>
      </c>
      <c r="K414" s="19" t="n">
        <v>1.876</v>
      </c>
      <c r="M414" s="16" t="n">
        <v>45709</v>
      </c>
      <c r="N414" s="19" t="n">
        <v>194681</v>
      </c>
    </row>
    <row r="415">
      <c r="A415" s="16" t="n">
        <v>45708</v>
      </c>
      <c r="B415" s="19" t="n">
        <v>2528.26</v>
      </c>
      <c r="D415" s="16" t="n">
        <v>45707</v>
      </c>
      <c r="E415" s="19" t="n">
        <v>22.84</v>
      </c>
      <c r="G415" s="16" t="n">
        <v>44566</v>
      </c>
      <c r="H415" s="19" t="n">
        <v>2.642</v>
      </c>
      <c r="J415" s="16" t="n">
        <v>44566</v>
      </c>
      <c r="K415" s="19" t="n">
        <v>1.832</v>
      </c>
      <c r="M415" s="16" t="n">
        <v>45708</v>
      </c>
      <c r="N415" s="19" t="n">
        <v>195944</v>
      </c>
    </row>
    <row r="416">
      <c r="A416" s="16" t="n">
        <v>45707</v>
      </c>
      <c r="B416" s="19" t="n">
        <v>2516.74</v>
      </c>
      <c r="D416" s="16" t="n">
        <v>45706</v>
      </c>
      <c r="E416" s="19" t="n">
        <v>22.7</v>
      </c>
      <c r="G416" s="16" t="n">
        <v>44567</v>
      </c>
      <c r="H416" s="19" t="n">
        <v>2.677</v>
      </c>
      <c r="J416" s="16" t="n">
        <v>44567</v>
      </c>
      <c r="K416" s="19" t="n">
        <v>1.86</v>
      </c>
      <c r="M416" s="16" t="n">
        <v>45707</v>
      </c>
      <c r="N416" s="19" t="n">
        <v>195297</v>
      </c>
    </row>
    <row r="417">
      <c r="A417" s="16" t="n">
        <v>45706</v>
      </c>
      <c r="B417" s="19" t="n">
        <v>2533.18</v>
      </c>
      <c r="D417" s="16" t="n">
        <v>45705</v>
      </c>
      <c r="E417" s="19" t="n">
        <v>21.34</v>
      </c>
      <c r="G417" s="16" t="n">
        <v>44568</v>
      </c>
      <c r="H417" s="19" t="n">
        <v>2.619</v>
      </c>
      <c r="J417" s="16" t="n">
        <v>44568</v>
      </c>
      <c r="K417" s="19" t="n">
        <v>1.799</v>
      </c>
      <c r="M417" s="16" t="n">
        <v>45706</v>
      </c>
      <c r="N417" s="19" t="n">
        <v>195195</v>
      </c>
    </row>
    <row r="418">
      <c r="A418" s="16" t="n">
        <v>45705</v>
      </c>
      <c r="B418" s="19" t="n">
        <v>2579.72</v>
      </c>
      <c r="D418" s="16" t="n">
        <v>45702</v>
      </c>
      <c r="E418" s="19" t="n">
        <v>21.32</v>
      </c>
      <c r="G418" s="16" t="n">
        <v>44571</v>
      </c>
      <c r="H418" s="19" t="n">
        <v>2.655</v>
      </c>
      <c r="J418" s="16" t="n">
        <v>44571</v>
      </c>
      <c r="K418" s="19" t="n">
        <v>1.798</v>
      </c>
      <c r="M418" s="16" t="n">
        <v>45705</v>
      </c>
      <c r="N418" s="19" t="n">
        <v>197314</v>
      </c>
    </row>
    <row r="419">
      <c r="A419" s="16" t="n">
        <v>45702</v>
      </c>
      <c r="B419" s="19" t="n">
        <v>2575.66</v>
      </c>
      <c r="D419" s="16" t="n">
        <v>45701</v>
      </c>
      <c r="E419" s="19" t="n">
        <v>20.16</v>
      </c>
      <c r="G419" s="16" t="n">
        <v>44572</v>
      </c>
      <c r="H419" s="19" t="n">
        <v>2.735</v>
      </c>
      <c r="J419" s="16" t="n">
        <v>44572</v>
      </c>
      <c r="K419" s="19" t="n">
        <v>1.845</v>
      </c>
      <c r="M419" s="16" t="n">
        <v>45702</v>
      </c>
      <c r="N419" s="19" t="n">
        <v>196586</v>
      </c>
    </row>
    <row r="420">
      <c r="A420" s="16" t="n">
        <v>45701</v>
      </c>
      <c r="B420" s="19" t="n">
        <v>2599.1</v>
      </c>
      <c r="D420" s="16" t="n">
        <v>45700</v>
      </c>
      <c r="E420" s="19" t="n">
        <v>20.95</v>
      </c>
      <c r="G420" s="16" t="n">
        <v>44573</v>
      </c>
      <c r="H420" s="19" t="n">
        <v>2.717</v>
      </c>
      <c r="J420" s="16" t="n">
        <v>44573</v>
      </c>
      <c r="K420" s="19" t="n">
        <v>1.843</v>
      </c>
      <c r="M420" s="16" t="n">
        <v>45701</v>
      </c>
      <c r="N420" s="19" t="n">
        <v>199182</v>
      </c>
    </row>
    <row r="421">
      <c r="A421" s="16" t="n">
        <v>45700</v>
      </c>
      <c r="B421" s="19" t="n">
        <v>2584.41</v>
      </c>
      <c r="D421" s="16" t="n">
        <v>45699</v>
      </c>
      <c r="E421" s="19" t="n">
        <v>19.47</v>
      </c>
      <c r="G421" s="16" t="n">
        <v>44574</v>
      </c>
      <c r="H421" s="19" t="n">
        <v>2.74</v>
      </c>
      <c r="J421" s="16" t="n">
        <v>44574</v>
      </c>
      <c r="K421" s="19" t="n">
        <v>1.838</v>
      </c>
      <c r="M421" s="16" t="n">
        <v>45700</v>
      </c>
      <c r="N421" s="19" t="n">
        <v>199240</v>
      </c>
    </row>
    <row r="422">
      <c r="A422" s="16" t="n">
        <v>45699</v>
      </c>
      <c r="B422" s="19" t="n">
        <v>2615.9</v>
      </c>
      <c r="D422" s="16" t="n">
        <v>45698</v>
      </c>
      <c r="E422" s="19" t="n">
        <v>17.05</v>
      </c>
      <c r="G422" s="16" t="n">
        <v>44575</v>
      </c>
      <c r="H422" s="19" t="n">
        <v>2.775</v>
      </c>
      <c r="J422" s="16" t="n">
        <v>44575</v>
      </c>
      <c r="K422" s="19" t="n">
        <v>1.879</v>
      </c>
      <c r="M422" s="16" t="n">
        <v>45699</v>
      </c>
      <c r="N422" s="19" t="n">
        <v>201617</v>
      </c>
    </row>
    <row r="423">
      <c r="A423" s="16" t="n">
        <v>45698</v>
      </c>
      <c r="B423" s="19" t="n">
        <v>2663.71</v>
      </c>
      <c r="D423" s="16" t="n">
        <v>45695</v>
      </c>
      <c r="E423" s="19" t="n">
        <v>16.99</v>
      </c>
      <c r="G423" s="16" t="n">
        <v>44578</v>
      </c>
      <c r="H423" s="19" t="n">
        <v>2.797</v>
      </c>
      <c r="J423" s="16" t="n">
        <v>44578</v>
      </c>
      <c r="K423" s="19" t="n">
        <v>1.898</v>
      </c>
      <c r="M423" s="16" t="n">
        <v>45698</v>
      </c>
      <c r="N423" s="19" t="n">
        <v>204372</v>
      </c>
    </row>
    <row r="424">
      <c r="A424" s="16" t="n">
        <v>45695</v>
      </c>
      <c r="B424" s="19" t="n">
        <v>2649.42</v>
      </c>
      <c r="D424" s="16" t="n">
        <v>45694</v>
      </c>
      <c r="E424" s="19" t="n">
        <v>14.66</v>
      </c>
      <c r="G424" s="16" t="n">
        <v>44579</v>
      </c>
      <c r="H424" s="19" t="n">
        <v>2.714</v>
      </c>
      <c r="J424" s="16" t="n">
        <v>44579</v>
      </c>
      <c r="K424" s="19" t="n">
        <v>1.912</v>
      </c>
      <c r="M424" s="16" t="n">
        <v>45695</v>
      </c>
      <c r="N424" s="19" t="n">
        <v>202861</v>
      </c>
    </row>
    <row r="425">
      <c r="A425" s="16" t="n">
        <v>45694</v>
      </c>
      <c r="B425" s="19" t="n">
        <v>2698.03</v>
      </c>
      <c r="D425" s="16" t="n">
        <v>45693</v>
      </c>
      <c r="E425" s="19" t="n">
        <v>14.12</v>
      </c>
      <c r="G425" s="16" t="n">
        <v>44580</v>
      </c>
      <c r="H425" s="19" t="n">
        <v>2.752</v>
      </c>
      <c r="J425" s="16" t="n">
        <v>44580</v>
      </c>
      <c r="K425" s="19" t="n">
        <v>1.934</v>
      </c>
      <c r="M425" s="16" t="n">
        <v>45694</v>
      </c>
      <c r="N425" s="19" t="n">
        <v>204403</v>
      </c>
    </row>
    <row r="426">
      <c r="A426" s="16" t="n">
        <v>45693</v>
      </c>
      <c r="B426" s="19" t="n">
        <v>2683.05</v>
      </c>
      <c r="D426" s="16" t="n">
        <v>45692</v>
      </c>
      <c r="E426" s="19" t="n">
        <v>12.81</v>
      </c>
      <c r="G426" s="16" t="n">
        <v>44581</v>
      </c>
      <c r="H426" s="19" t="n">
        <v>2.657</v>
      </c>
      <c r="J426" s="16" t="n">
        <v>44581</v>
      </c>
      <c r="K426" s="19" t="n">
        <v>1.914</v>
      </c>
      <c r="M426" s="16" t="n">
        <v>45693</v>
      </c>
      <c r="N426" s="19" t="n">
        <v>204499</v>
      </c>
    </row>
    <row r="427">
      <c r="A427" s="16" t="n">
        <v>45692</v>
      </c>
      <c r="B427" s="19" t="n">
        <v>2694.53</v>
      </c>
      <c r="D427" s="16" t="n">
        <v>45691</v>
      </c>
      <c r="E427" s="19" t="n">
        <v>12.43</v>
      </c>
      <c r="G427" s="16" t="n">
        <v>44582</v>
      </c>
      <c r="H427" s="19" t="n">
        <v>2.686</v>
      </c>
      <c r="J427" s="16" t="n">
        <v>44582</v>
      </c>
      <c r="K427" s="19" t="n">
        <v>1.954</v>
      </c>
      <c r="M427" s="16" t="n">
        <v>45692</v>
      </c>
      <c r="N427" s="19" t="n">
        <v>206516</v>
      </c>
    </row>
    <row r="428">
      <c r="A428" s="16" t="n">
        <v>45691</v>
      </c>
      <c r="B428" s="19" t="n">
        <v>2680.58</v>
      </c>
      <c r="D428" s="16" t="n">
        <v>45688</v>
      </c>
      <c r="E428" s="19" t="n">
        <v>13.44</v>
      </c>
      <c r="G428" s="16" t="n">
        <v>44585</v>
      </c>
      <c r="H428" s="19" t="n">
        <v>2.671</v>
      </c>
      <c r="J428" s="16" t="n">
        <v>44585</v>
      </c>
      <c r="K428" s="19" t="n">
        <v>1.928</v>
      </c>
      <c r="M428" s="16" t="n">
        <v>45691</v>
      </c>
      <c r="N428" s="19" t="n">
        <v>205504</v>
      </c>
    </row>
    <row r="429">
      <c r="A429" s="16" t="n">
        <v>45688</v>
      </c>
      <c r="B429" s="19" t="n">
        <v>2663.24</v>
      </c>
      <c r="D429" s="16" t="n">
        <v>45687</v>
      </c>
      <c r="E429" s="19" t="n">
        <v>14.46</v>
      </c>
      <c r="G429" s="16" t="n">
        <v>44586</v>
      </c>
      <c r="H429" s="19" t="n">
        <v>2.667</v>
      </c>
      <c r="J429" s="16" t="n">
        <v>44586</v>
      </c>
      <c r="K429" s="19" t="n">
        <v>1.955</v>
      </c>
      <c r="M429" s="16" t="n">
        <v>45688</v>
      </c>
      <c r="N429" s="19" t="n">
        <v>205215</v>
      </c>
    </row>
    <row r="430">
      <c r="A430" s="16" t="n">
        <v>45687</v>
      </c>
      <c r="B430" s="19" t="n">
        <v>2636.85</v>
      </c>
      <c r="D430" s="16" t="n">
        <v>45686</v>
      </c>
      <c r="E430" s="19" t="n">
        <v>15.16</v>
      </c>
      <c r="G430" s="16" t="n">
        <v>44587</v>
      </c>
      <c r="H430" s="19" t="n">
        <v>2.672</v>
      </c>
      <c r="J430" s="16" t="n">
        <v>44587</v>
      </c>
      <c r="K430" s="19" t="n">
        <v>1.993</v>
      </c>
      <c r="M430" s="16" t="n">
        <v>45687</v>
      </c>
      <c r="N430" s="19" t="n">
        <v>203461</v>
      </c>
    </row>
    <row r="431">
      <c r="A431" s="16" t="n">
        <v>45686</v>
      </c>
      <c r="B431" s="19" t="n">
        <v>2636.24</v>
      </c>
      <c r="D431" s="16" t="n">
        <v>45685</v>
      </c>
      <c r="E431" s="19" t="n">
        <v>15.52</v>
      </c>
      <c r="G431" s="16" t="n">
        <v>44588</v>
      </c>
      <c r="H431" s="19" t="n">
        <v>2.683</v>
      </c>
      <c r="J431" s="16" t="n">
        <v>44588</v>
      </c>
      <c r="K431" s="19" t="n">
        <v>2</v>
      </c>
      <c r="M431" s="16" t="n">
        <v>45686</v>
      </c>
      <c r="N431" s="19" t="n">
        <v>203527</v>
      </c>
    </row>
    <row r="432">
      <c r="A432" s="16" t="n">
        <v>45685</v>
      </c>
      <c r="B432" s="19" t="n">
        <v>2651.09</v>
      </c>
      <c r="D432" s="16" t="n">
        <v>45684</v>
      </c>
      <c r="E432" s="19" t="n">
        <v>16.04</v>
      </c>
      <c r="G432" s="16" t="n">
        <v>44589</v>
      </c>
      <c r="H432" s="19" t="n">
        <v>2.753</v>
      </c>
      <c r="J432" s="16" t="n">
        <v>44589</v>
      </c>
      <c r="K432" s="19" t="n">
        <v>2.036</v>
      </c>
      <c r="M432" s="16" t="n">
        <v>45685</v>
      </c>
      <c r="N432" s="19" t="n">
        <v>203627</v>
      </c>
    </row>
    <row r="433">
      <c r="A433" s="16" t="n">
        <v>45684</v>
      </c>
      <c r="B433" s="19" t="n">
        <v>2616.92</v>
      </c>
      <c r="D433" s="16" t="n">
        <v>45681</v>
      </c>
      <c r="E433" s="19" t="n">
        <v>15.27</v>
      </c>
      <c r="G433" s="16" t="n">
        <v>44592</v>
      </c>
      <c r="H433" s="19" t="n">
        <v>2.839</v>
      </c>
      <c r="J433" s="16" t="n">
        <v>44592</v>
      </c>
      <c r="K433" s="19" t="n">
        <v>2.065</v>
      </c>
      <c r="M433" s="16" t="n">
        <v>45684</v>
      </c>
      <c r="N433" s="19" t="n">
        <v>201115</v>
      </c>
    </row>
    <row r="434">
      <c r="A434" s="16" t="n">
        <v>45681</v>
      </c>
      <c r="B434" s="19" t="n">
        <v>2633.96</v>
      </c>
      <c r="D434" s="16" t="n">
        <v>45680</v>
      </c>
      <c r="E434" s="19" t="n">
        <v>16.76</v>
      </c>
      <c r="G434" s="16" t="n">
        <v>44593</v>
      </c>
      <c r="H434" s="19" t="n">
        <v>2.847</v>
      </c>
      <c r="J434" s="16" t="n">
        <v>44593</v>
      </c>
      <c r="K434" s="19" t="n">
        <v>2.074</v>
      </c>
      <c r="M434" s="16" t="n">
        <v>45681</v>
      </c>
      <c r="N434" s="19" t="n">
        <v>201735</v>
      </c>
    </row>
    <row r="435">
      <c r="A435" s="16" t="n">
        <v>45680</v>
      </c>
      <c r="B435" s="19" t="n">
        <v>2596.25</v>
      </c>
      <c r="D435" s="16" t="n">
        <v>45679</v>
      </c>
      <c r="E435" s="19" t="n">
        <v>17.42</v>
      </c>
      <c r="G435" s="16" t="n">
        <v>44594</v>
      </c>
      <c r="H435" s="19" t="n">
        <v>2.809</v>
      </c>
      <c r="J435" s="16" t="n">
        <v>44594</v>
      </c>
      <c r="K435" s="19" t="n">
        <v>2.072</v>
      </c>
      <c r="M435" s="16" t="n">
        <v>45680</v>
      </c>
      <c r="N435" s="19" t="n">
        <v>200243</v>
      </c>
    </row>
    <row r="436">
      <c r="A436" s="16" t="n">
        <v>45679</v>
      </c>
      <c r="B436" s="19" t="n">
        <v>2600.89</v>
      </c>
      <c r="D436" s="16" t="n">
        <v>45678</v>
      </c>
      <c r="E436" s="19" t="n">
        <v>17.48</v>
      </c>
      <c r="G436" s="16" t="n">
        <v>44595</v>
      </c>
      <c r="H436" s="19" t="n">
        <v>2.877</v>
      </c>
      <c r="J436" s="16" t="n">
        <v>44595</v>
      </c>
      <c r="K436" s="19" t="n">
        <v>2.116</v>
      </c>
      <c r="M436" s="16" t="n">
        <v>45679</v>
      </c>
      <c r="N436" s="19" t="n">
        <v>198777</v>
      </c>
    </row>
    <row r="437">
      <c r="A437" s="16" t="n">
        <v>45678</v>
      </c>
      <c r="B437" s="19" t="n">
        <v>2592.67</v>
      </c>
      <c r="D437" s="16" t="n">
        <v>45677</v>
      </c>
      <c r="E437" s="19" t="n">
        <v>17.4</v>
      </c>
      <c r="G437" s="16" t="n">
        <v>44596</v>
      </c>
      <c r="H437" s="19" t="n">
        <v>2.832</v>
      </c>
      <c r="J437" s="16" t="n">
        <v>44596</v>
      </c>
      <c r="K437" s="19" t="n">
        <v>2.092</v>
      </c>
      <c r="M437" s="16" t="n">
        <v>45678</v>
      </c>
      <c r="N437" s="19" t="n">
        <v>198794</v>
      </c>
    </row>
    <row r="438">
      <c r="A438" s="16" t="n">
        <v>45677</v>
      </c>
      <c r="B438" s="19" t="n">
        <v>2595.96</v>
      </c>
      <c r="D438" s="16" t="n">
        <v>45674</v>
      </c>
      <c r="E438" s="19" t="n">
        <v>16.5</v>
      </c>
      <c r="G438" s="16" t="n">
        <v>44599</v>
      </c>
      <c r="H438" s="19" t="n">
        <v>2.807</v>
      </c>
      <c r="J438" s="16" t="n">
        <v>44599</v>
      </c>
      <c r="K438" s="19" t="n">
        <v>2.052</v>
      </c>
      <c r="M438" s="16" t="n">
        <v>45677</v>
      </c>
      <c r="N438" s="19" t="n">
        <v>199384</v>
      </c>
    </row>
    <row r="439">
      <c r="A439" s="16" t="n">
        <v>45674</v>
      </c>
      <c r="B439" s="19" t="n">
        <v>2589.39</v>
      </c>
      <c r="D439" s="16" t="n">
        <v>45673</v>
      </c>
      <c r="E439" s="19" t="n">
        <v>15.32</v>
      </c>
      <c r="G439" s="16" t="n">
        <v>44600</v>
      </c>
      <c r="H439" s="19" t="n">
        <v>2.852</v>
      </c>
      <c r="J439" s="16" t="n">
        <v>44600</v>
      </c>
      <c r="K439" s="19" t="n">
        <v>2.085</v>
      </c>
      <c r="M439" s="16" t="n">
        <v>45674</v>
      </c>
      <c r="N439" s="19" t="n">
        <v>199815</v>
      </c>
    </row>
    <row r="440">
      <c r="A440" s="16" t="n">
        <v>45673</v>
      </c>
      <c r="B440" s="19" t="n">
        <v>2636.11</v>
      </c>
      <c r="D440" s="16" t="n">
        <v>45672</v>
      </c>
      <c r="E440" s="19" t="n">
        <v>16.34</v>
      </c>
      <c r="G440" s="16" t="n">
        <v>44601</v>
      </c>
      <c r="H440" s="19" t="n">
        <v>2.873</v>
      </c>
      <c r="J440" s="16" t="n">
        <v>44601</v>
      </c>
      <c r="K440" s="19" t="n">
        <v>2.086</v>
      </c>
      <c r="M440" s="16" t="n">
        <v>45673</v>
      </c>
      <c r="N440" s="19" t="n">
        <v>201235</v>
      </c>
    </row>
    <row r="441">
      <c r="A441" s="16" t="n">
        <v>45672</v>
      </c>
      <c r="B441" s="19" t="n">
        <v>2636.06</v>
      </c>
      <c r="D441" s="16" t="n">
        <v>45671</v>
      </c>
      <c r="E441" s="19" t="n">
        <v>18.75</v>
      </c>
      <c r="G441" s="16" t="n">
        <v>44602</v>
      </c>
      <c r="H441" s="19" t="n">
        <v>2.847</v>
      </c>
      <c r="J441" s="16" t="n">
        <v>44602</v>
      </c>
      <c r="K441" s="19" t="n">
        <v>2.06</v>
      </c>
      <c r="M441" s="16" t="n">
        <v>45672</v>
      </c>
      <c r="N441" s="19" t="n">
        <v>201017</v>
      </c>
    </row>
    <row r="442">
      <c r="A442" s="16" t="n">
        <v>45671</v>
      </c>
      <c r="B442" s="19" t="n">
        <v>2588.38</v>
      </c>
      <c r="D442" s="16" t="n">
        <v>45670</v>
      </c>
      <c r="E442" s="19" t="n">
        <v>16.33</v>
      </c>
      <c r="G442" s="16" t="n">
        <v>44603</v>
      </c>
      <c r="H442" s="19" t="n">
        <v>2.843</v>
      </c>
      <c r="J442" s="16" t="n">
        <v>44603</v>
      </c>
      <c r="K442" s="19" t="n">
        <v>2.086</v>
      </c>
      <c r="M442" s="16" t="n">
        <v>45671</v>
      </c>
      <c r="N442" s="19" t="n">
        <v>198826</v>
      </c>
    </row>
    <row r="443">
      <c r="A443" s="16" t="n">
        <v>45670</v>
      </c>
      <c r="B443" s="19" t="n">
        <v>2622.66</v>
      </c>
      <c r="D443" s="16" t="n">
        <v>45667</v>
      </c>
      <c r="E443" s="19" t="n">
        <v>16.31</v>
      </c>
      <c r="G443" s="16" t="n">
        <v>44606</v>
      </c>
      <c r="H443" s="19" t="n">
        <v>2.837</v>
      </c>
      <c r="J443" s="16" t="n">
        <v>44606</v>
      </c>
      <c r="K443" s="19" t="n">
        <v>2.087</v>
      </c>
      <c r="M443" s="16" t="n">
        <v>45670</v>
      </c>
      <c r="N443" s="19" t="n">
        <v>198333</v>
      </c>
    </row>
    <row r="444">
      <c r="A444" s="16" t="n">
        <v>45667</v>
      </c>
      <c r="B444" s="19" t="n">
        <v>2605.22</v>
      </c>
      <c r="D444" s="16" t="n">
        <v>45666</v>
      </c>
      <c r="E444" s="19" t="n">
        <v>16.59</v>
      </c>
      <c r="G444" s="16" t="n">
        <v>44607</v>
      </c>
      <c r="H444" s="19" t="n">
        <v>2.905</v>
      </c>
      <c r="J444" s="16" t="n">
        <v>44607</v>
      </c>
      <c r="K444" s="19" t="n">
        <v>2.104</v>
      </c>
      <c r="M444" s="16" t="n">
        <v>45667</v>
      </c>
      <c r="N444" s="19" t="n">
        <v>197390</v>
      </c>
    </row>
    <row r="445">
      <c r="A445" s="16" t="n">
        <v>45666</v>
      </c>
      <c r="B445" s="19" t="n">
        <v>2604.43</v>
      </c>
      <c r="D445" s="16" t="n">
        <v>45665</v>
      </c>
      <c r="E445" s="19" t="n">
        <v>16.62</v>
      </c>
      <c r="G445" s="16" t="n">
        <v>44608</v>
      </c>
      <c r="H445" s="19" t="n">
        <v>2.929</v>
      </c>
      <c r="J445" s="16" t="n">
        <v>44608</v>
      </c>
      <c r="K445" s="19" t="n">
        <v>2.129</v>
      </c>
      <c r="M445" s="16" t="n">
        <v>45666</v>
      </c>
      <c r="N445" s="19" t="n">
        <v>197408</v>
      </c>
    </row>
    <row r="446">
      <c r="A446" s="16" t="n">
        <v>45665</v>
      </c>
      <c r="B446" s="19" t="n">
        <v>2624.89</v>
      </c>
      <c r="D446" s="16" t="n">
        <v>45664</v>
      </c>
      <c r="E446" s="19" t="n">
        <v>19.29</v>
      </c>
      <c r="G446" s="16" t="n">
        <v>44609</v>
      </c>
      <c r="H446" s="19" t="n">
        <v>2.92</v>
      </c>
      <c r="J446" s="16" t="n">
        <v>44609</v>
      </c>
      <c r="K446" s="19" t="n">
        <v>2.139</v>
      </c>
      <c r="M446" s="16" t="n">
        <v>45665</v>
      </c>
      <c r="N446" s="19" t="n">
        <v>197679</v>
      </c>
    </row>
    <row r="447">
      <c r="A447" s="16" t="n">
        <v>45664</v>
      </c>
      <c r="B447" s="19" t="n">
        <v>2591.85</v>
      </c>
      <c r="D447" s="16" t="n">
        <v>45663</v>
      </c>
      <c r="E447" s="19" t="n">
        <v>19.69</v>
      </c>
      <c r="G447" s="16" t="n">
        <v>44610</v>
      </c>
      <c r="H447" s="19" t="n">
        <v>2.887</v>
      </c>
      <c r="J447" s="16" t="n">
        <v>44610</v>
      </c>
      <c r="K447" s="19" t="n">
        <v>2.128</v>
      </c>
      <c r="M447" s="16" t="n">
        <v>45664</v>
      </c>
      <c r="N447" s="19" t="n">
        <v>196647</v>
      </c>
    </row>
    <row r="448">
      <c r="A448" s="16" t="n">
        <v>45663</v>
      </c>
      <c r="B448" s="19" t="n">
        <v>2598.02</v>
      </c>
      <c r="D448" s="16" t="n">
        <v>45660</v>
      </c>
      <c r="E448" s="19" t="n">
        <v>18.84</v>
      </c>
      <c r="G448" s="16" t="n">
        <v>44613</v>
      </c>
      <c r="H448" s="19" t="n">
        <v>2.904</v>
      </c>
      <c r="J448" s="16" t="n">
        <v>44613</v>
      </c>
      <c r="K448" s="19" t="n">
        <v>2.143</v>
      </c>
      <c r="M448" s="16" t="n">
        <v>45663</v>
      </c>
      <c r="N448" s="19" t="n">
        <v>197596</v>
      </c>
    </row>
    <row r="449">
      <c r="A449" s="16" t="n">
        <v>45660</v>
      </c>
      <c r="B449" s="19" t="n">
        <v>2625.02</v>
      </c>
      <c r="D449" s="16" t="n">
        <v>45659</v>
      </c>
      <c r="E449" s="19" t="n">
        <v>21.29</v>
      </c>
      <c r="G449" s="16" t="n">
        <v>44614</v>
      </c>
      <c r="H449" s="19" t="n">
        <v>2.886</v>
      </c>
      <c r="J449" s="16" t="n">
        <v>44614</v>
      </c>
      <c r="K449" s="19" t="n">
        <v>2.086</v>
      </c>
      <c r="M449" s="16" t="n">
        <v>45660</v>
      </c>
      <c r="N449" s="19" t="n">
        <v>198485</v>
      </c>
    </row>
    <row r="450">
      <c r="A450" s="16" t="n">
        <v>45659</v>
      </c>
      <c r="B450" s="19" t="n">
        <v>2578.07</v>
      </c>
      <c r="D450" s="16" t="n">
        <v>45657</v>
      </c>
      <c r="E450" s="19" t="n">
        <v>21.2</v>
      </c>
      <c r="G450" s="16" t="n">
        <v>44615</v>
      </c>
      <c r="H450" s="19" t="n">
        <v>2.825</v>
      </c>
      <c r="J450" s="16" t="n">
        <v>44615</v>
      </c>
      <c r="K450" s="19" t="n">
        <v>2.075</v>
      </c>
      <c r="M450" s="16" t="n">
        <v>45659</v>
      </c>
      <c r="N450" s="19" t="n">
        <v>197221</v>
      </c>
    </row>
    <row r="451">
      <c r="A451" s="16" t="n">
        <v>45657</v>
      </c>
      <c r="B451" s="19" t="n">
        <v>2612.91</v>
      </c>
      <c r="D451" s="16" t="n">
        <v>45656</v>
      </c>
      <c r="E451" s="19" t="n">
        <v>20.79</v>
      </c>
      <c r="G451" s="16" t="n">
        <v>44616</v>
      </c>
      <c r="H451" s="19" t="n">
        <v>2.762</v>
      </c>
      <c r="J451" s="16" t="n">
        <v>44616</v>
      </c>
      <c r="K451" s="19" t="n">
        <v>2.062</v>
      </c>
      <c r="M451" s="16" t="n">
        <v>45657</v>
      </c>
      <c r="N451" s="19" t="n">
        <v>198417</v>
      </c>
    </row>
    <row r="452">
      <c r="A452" s="16" t="n">
        <v>45656</v>
      </c>
      <c r="B452" s="19" t="n">
        <v>2619.44</v>
      </c>
      <c r="D452" s="16" t="n">
        <v>45653</v>
      </c>
      <c r="E452" s="19" t="n">
        <v>20.97</v>
      </c>
      <c r="G452" s="16" t="n">
        <v>44617</v>
      </c>
      <c r="H452" s="19" t="n">
        <v>2.777</v>
      </c>
      <c r="J452" s="16" t="n">
        <v>44617</v>
      </c>
      <c r="K452" s="19" t="n">
        <v>2.074</v>
      </c>
      <c r="M452" s="16" t="n">
        <v>45656</v>
      </c>
      <c r="N452" s="19" t="n">
        <v>199025</v>
      </c>
    </row>
    <row r="453">
      <c r="A453" s="16" t="n">
        <v>45653</v>
      </c>
      <c r="B453" s="19" t="n">
        <v>2617.76</v>
      </c>
      <c r="D453" s="16" t="n">
        <v>45652</v>
      </c>
      <c r="E453" s="19" t="n">
        <v>19.16</v>
      </c>
      <c r="G453" s="16" t="n">
        <v>44620</v>
      </c>
      <c r="H453" s="19" t="n">
        <v>2.832</v>
      </c>
      <c r="J453" s="16" t="n">
        <v>44620</v>
      </c>
      <c r="K453" s="19" t="n">
        <v>2.072</v>
      </c>
      <c r="M453" s="16" t="n">
        <v>45653</v>
      </c>
      <c r="N453" s="19" t="n">
        <v>198851</v>
      </c>
    </row>
    <row r="454">
      <c r="A454" s="16" t="n">
        <v>45652</v>
      </c>
      <c r="B454" s="19" t="n">
        <v>2639.89</v>
      </c>
      <c r="D454" s="16" t="n">
        <v>45650</v>
      </c>
      <c r="E454" s="19" t="n">
        <v>18.77</v>
      </c>
      <c r="G454" s="16" t="n">
        <v>44622</v>
      </c>
      <c r="H454" s="19" t="n">
        <v>2.799</v>
      </c>
      <c r="J454" s="16" t="n">
        <v>44622</v>
      </c>
      <c r="K454" s="19" t="n">
        <v>2.054</v>
      </c>
      <c r="M454" s="16" t="n">
        <v>45652</v>
      </c>
      <c r="N454" s="19" t="n">
        <v>199691</v>
      </c>
    </row>
    <row r="455">
      <c r="A455" s="16" t="n">
        <v>45650</v>
      </c>
      <c r="B455" s="19" t="n">
        <v>2633.56</v>
      </c>
      <c r="D455" s="16" t="n">
        <v>45649</v>
      </c>
      <c r="E455" s="19" t="n">
        <v>20.6</v>
      </c>
      <c r="G455" s="16" t="n">
        <v>44623</v>
      </c>
      <c r="H455" s="19" t="n">
        <v>2.779</v>
      </c>
      <c r="J455" s="16" t="n">
        <v>44623</v>
      </c>
      <c r="K455" s="19" t="n">
        <v>2.039</v>
      </c>
      <c r="M455" s="16" t="n">
        <v>45650</v>
      </c>
      <c r="N455" s="19" t="n">
        <v>199157</v>
      </c>
    </row>
    <row r="456">
      <c r="A456" s="16" t="n">
        <v>45649</v>
      </c>
      <c r="B456" s="19" t="n">
        <v>2602.6</v>
      </c>
      <c r="D456" s="16" t="n">
        <v>45646</v>
      </c>
      <c r="E456" s="19" t="n">
        <v>18.77</v>
      </c>
      <c r="G456" s="16" t="n">
        <v>44624</v>
      </c>
      <c r="H456" s="19" t="n">
        <v>2.75</v>
      </c>
      <c r="J456" s="16" t="n">
        <v>44624</v>
      </c>
      <c r="K456" s="19" t="n">
        <v>2.015</v>
      </c>
      <c r="M456" s="16" t="n">
        <v>45649</v>
      </c>
      <c r="N456" s="19" t="n">
        <v>197572</v>
      </c>
    </row>
    <row r="457">
      <c r="A457" s="16" t="n">
        <v>45646</v>
      </c>
      <c r="B457" s="19" t="n">
        <v>2605.59</v>
      </c>
      <c r="D457" s="16" t="n">
        <v>45645</v>
      </c>
      <c r="E457" s="19" t="n">
        <v>18.03</v>
      </c>
      <c r="G457" s="16" t="n">
        <v>44627</v>
      </c>
      <c r="H457" s="19" t="n">
        <v>2.76</v>
      </c>
      <c r="J457" s="16" t="n">
        <v>44627</v>
      </c>
      <c r="K457" s="19" t="n">
        <v>2.018</v>
      </c>
      <c r="M457" s="16" t="n">
        <v>45646</v>
      </c>
      <c r="N457" s="19" t="n">
        <v>197574</v>
      </c>
    </row>
    <row r="458">
      <c r="A458" s="16" t="n">
        <v>45645</v>
      </c>
      <c r="B458" s="19" t="n">
        <v>2632.57</v>
      </c>
      <c r="D458" s="16" t="n">
        <v>45644</v>
      </c>
      <c r="E458" s="19" t="n">
        <v>18.61</v>
      </c>
      <c r="G458" s="16" t="n">
        <v>44628</v>
      </c>
      <c r="H458" s="19" t="n">
        <v>2.792</v>
      </c>
      <c r="J458" s="16" t="n">
        <v>44628</v>
      </c>
      <c r="K458" s="19" t="n">
        <v>2.034</v>
      </c>
      <c r="M458" s="16" t="n">
        <v>45645</v>
      </c>
      <c r="N458" s="19" t="n">
        <v>199482</v>
      </c>
    </row>
    <row r="459">
      <c r="A459" s="16" t="n">
        <v>45644</v>
      </c>
      <c r="B459" s="19" t="n">
        <v>2593.69</v>
      </c>
      <c r="D459" s="16" t="n">
        <v>45643</v>
      </c>
      <c r="E459" s="19" t="n">
        <v>19.84</v>
      </c>
      <c r="G459" s="16" t="n">
        <v>44629</v>
      </c>
      <c r="H459" s="19" t="n">
        <v>2.816</v>
      </c>
      <c r="J459" s="16" t="n">
        <v>44629</v>
      </c>
      <c r="K459" s="19" t="n">
        <v>2.053</v>
      </c>
      <c r="M459" s="16" t="n">
        <v>45644</v>
      </c>
      <c r="N459" s="19" t="n">
        <v>196886</v>
      </c>
    </row>
    <row r="460">
      <c r="A460" s="16" t="n">
        <v>45643</v>
      </c>
      <c r="B460" s="19" t="n">
        <v>2565.43</v>
      </c>
      <c r="D460" s="16" t="n">
        <v>45642</v>
      </c>
      <c r="E460" s="19" t="n">
        <v>20.42</v>
      </c>
      <c r="G460" s="16" t="n">
        <v>44630</v>
      </c>
      <c r="H460" s="19" t="n">
        <v>2.818</v>
      </c>
      <c r="J460" s="16" t="n">
        <v>44630</v>
      </c>
      <c r="K460" s="19" t="n">
        <v>2.078</v>
      </c>
      <c r="M460" s="16" t="n">
        <v>45643</v>
      </c>
      <c r="N460" s="19" t="n">
        <v>196512</v>
      </c>
    </row>
    <row r="461">
      <c r="A461" s="16" t="n">
        <v>45642</v>
      </c>
      <c r="B461" s="19" t="n">
        <v>2558.44</v>
      </c>
      <c r="D461" s="16" t="n">
        <v>45639</v>
      </c>
      <c r="E461" s="19" t="n">
        <v>19.67</v>
      </c>
      <c r="G461" s="16" t="n">
        <v>44631</v>
      </c>
      <c r="H461" s="19" t="n">
        <v>2.856</v>
      </c>
      <c r="J461" s="16" t="n">
        <v>44631</v>
      </c>
      <c r="K461" s="19" t="n">
        <v>2.142</v>
      </c>
      <c r="M461" s="16" t="n">
        <v>45642</v>
      </c>
      <c r="N461" s="19" t="n">
        <v>195977</v>
      </c>
    </row>
    <row r="462">
      <c r="A462" s="16" t="n">
        <v>45639</v>
      </c>
      <c r="B462" s="19" t="n">
        <v>2591.63</v>
      </c>
      <c r="D462" s="16" t="n">
        <v>45638</v>
      </c>
      <c r="E462" s="19" t="n">
        <v>18.77</v>
      </c>
      <c r="G462" s="16" t="n">
        <v>44634</v>
      </c>
      <c r="H462" s="19" t="n">
        <v>2.817</v>
      </c>
      <c r="J462" s="16" t="n">
        <v>44634</v>
      </c>
      <c r="K462" s="19" t="n">
        <v>2.139</v>
      </c>
      <c r="M462" s="16" t="n">
        <v>45639</v>
      </c>
      <c r="N462" s="19" t="n">
        <v>197858</v>
      </c>
    </row>
    <row r="463">
      <c r="A463" s="16" t="n">
        <v>45638</v>
      </c>
      <c r="B463" s="19" t="n">
        <v>2575.88</v>
      </c>
      <c r="D463" s="16" t="n">
        <v>45637</v>
      </c>
      <c r="E463" s="19" t="n">
        <v>19.6</v>
      </c>
      <c r="G463" s="16" t="n">
        <v>44635</v>
      </c>
      <c r="H463" s="19" t="n">
        <v>2.927</v>
      </c>
      <c r="J463" s="16" t="n">
        <v>44635</v>
      </c>
      <c r="K463" s="19" t="n">
        <v>2.144</v>
      </c>
      <c r="M463" s="16" t="n">
        <v>45638</v>
      </c>
      <c r="N463" s="19" t="n">
        <v>197614</v>
      </c>
    </row>
    <row r="464">
      <c r="A464" s="16" t="n">
        <v>45637</v>
      </c>
      <c r="B464" s="19" t="n">
        <v>2574.98</v>
      </c>
      <c r="D464" s="16" t="n">
        <v>45636</v>
      </c>
      <c r="E464" s="19" t="n">
        <v>21.14</v>
      </c>
      <c r="G464" s="16" t="n">
        <v>44636</v>
      </c>
      <c r="H464" s="19" t="n">
        <v>2.927</v>
      </c>
      <c r="J464" s="16" t="n">
        <v>44636</v>
      </c>
      <c r="K464" s="19" t="n">
        <v>2.167</v>
      </c>
      <c r="M464" s="16" t="n">
        <v>45637</v>
      </c>
      <c r="N464" s="19" t="n">
        <v>197708</v>
      </c>
    </row>
    <row r="465">
      <c r="A465" s="16" t="n">
        <v>45636</v>
      </c>
      <c r="B465" s="19" t="n">
        <v>2553.23</v>
      </c>
      <c r="D465" s="16" t="n">
        <v>45635</v>
      </c>
      <c r="E465" s="19" t="n">
        <v>23.27</v>
      </c>
      <c r="G465" s="16" t="n">
        <v>44637</v>
      </c>
      <c r="H465" s="19" t="n">
        <v>2.915</v>
      </c>
      <c r="J465" s="16" t="n">
        <v>44637</v>
      </c>
      <c r="K465" s="19" t="n">
        <v>2.12</v>
      </c>
      <c r="M465" s="16" t="n">
        <v>45636</v>
      </c>
      <c r="N465" s="19" t="n">
        <v>197045</v>
      </c>
    </row>
    <row r="466">
      <c r="A466" s="16" t="n">
        <v>45635</v>
      </c>
      <c r="B466" s="19" t="n">
        <v>2495.26</v>
      </c>
      <c r="D466" s="16" t="n">
        <v>45632</v>
      </c>
      <c r="E466" s="19" t="n">
        <v>23.48</v>
      </c>
      <c r="G466" s="16" t="n">
        <v>44638</v>
      </c>
      <c r="H466" s="19" t="n">
        <v>2.944</v>
      </c>
      <c r="J466" s="16" t="n">
        <v>44638</v>
      </c>
      <c r="K466" s="19" t="n">
        <v>2.172</v>
      </c>
      <c r="M466" s="16" t="n">
        <v>45635</v>
      </c>
      <c r="N466" s="19" t="n">
        <v>193567</v>
      </c>
    </row>
    <row r="467">
      <c r="A467" s="16" t="n">
        <v>45632</v>
      </c>
      <c r="B467" s="19" t="n">
        <v>2478.91</v>
      </c>
      <c r="D467" s="16" t="n">
        <v>45631</v>
      </c>
      <c r="E467" s="19" t="n">
        <v>23.1</v>
      </c>
      <c r="G467" s="16" t="n">
        <v>44641</v>
      </c>
      <c r="H467" s="19" t="n">
        <v>2.948</v>
      </c>
      <c r="J467" s="16" t="n">
        <v>44641</v>
      </c>
      <c r="K467" s="19" t="n">
        <v>2.152</v>
      </c>
      <c r="M467" s="16" t="n">
        <v>45632</v>
      </c>
      <c r="N467" s="19" t="n">
        <v>192340</v>
      </c>
    </row>
    <row r="468">
      <c r="A468" s="16" t="n">
        <v>45631</v>
      </c>
      <c r="B468" s="19" t="n">
        <v>2472.03</v>
      </c>
      <c r="D468" s="16" t="n">
        <v>45630</v>
      </c>
      <c r="E468" s="19" t="n">
        <v>21.91</v>
      </c>
      <c r="G468" s="16" t="n">
        <v>44642</v>
      </c>
      <c r="H468" s="19" t="n">
        <v>2.885</v>
      </c>
      <c r="J468" s="16" t="n">
        <v>44642</v>
      </c>
      <c r="K468" s="19" t="n">
        <v>2.148</v>
      </c>
      <c r="M468" s="16" t="n">
        <v>45631</v>
      </c>
      <c r="N468" s="19" t="n">
        <v>192330</v>
      </c>
    </row>
    <row r="469">
      <c r="A469" s="16" t="n">
        <v>45630</v>
      </c>
      <c r="B469" s="19" t="n">
        <v>2478.05</v>
      </c>
      <c r="D469" s="16" t="n">
        <v>45629</v>
      </c>
      <c r="E469" s="19" t="n">
        <v>22.62</v>
      </c>
      <c r="G469" s="16" t="n">
        <v>44643</v>
      </c>
      <c r="H469" s="19" t="n">
        <v>2.798</v>
      </c>
      <c r="J469" s="16" t="n">
        <v>44643</v>
      </c>
      <c r="K469" s="19" t="n">
        <v>2.109</v>
      </c>
      <c r="M469" s="16" t="n">
        <v>45630</v>
      </c>
      <c r="N469" s="19" t="n">
        <v>191301</v>
      </c>
    </row>
    <row r="470">
      <c r="A470" s="16" t="n">
        <v>45629</v>
      </c>
      <c r="B470" s="19" t="n">
        <v>2466.49</v>
      </c>
      <c r="D470" s="16" t="n">
        <v>45628</v>
      </c>
      <c r="E470" s="19" t="n">
        <v>20.97</v>
      </c>
      <c r="G470" s="16" t="n">
        <v>44644</v>
      </c>
      <c r="H470" s="19" t="n">
        <v>2.879</v>
      </c>
      <c r="J470" s="16" t="n">
        <v>44644</v>
      </c>
      <c r="K470" s="19" t="n">
        <v>2.156</v>
      </c>
      <c r="M470" s="16" t="n">
        <v>45629</v>
      </c>
      <c r="N470" s="19" t="n">
        <v>189807</v>
      </c>
    </row>
    <row r="471">
      <c r="A471" s="16" t="n">
        <v>45628</v>
      </c>
      <c r="B471" s="19" t="n">
        <v>2493.67</v>
      </c>
      <c r="D471" s="16" t="n">
        <v>45625</v>
      </c>
      <c r="E471" s="19" t="n">
        <v>19.82</v>
      </c>
      <c r="G471" s="16" t="n">
        <v>44645</v>
      </c>
      <c r="H471" s="19" t="n">
        <v>2.855</v>
      </c>
      <c r="J471" s="16" t="n">
        <v>44645</v>
      </c>
      <c r="K471" s="19" t="n">
        <v>2.163</v>
      </c>
      <c r="M471" s="16" t="n">
        <v>45628</v>
      </c>
      <c r="N471" s="19" t="n">
        <v>190549</v>
      </c>
    </row>
    <row r="472">
      <c r="A472" s="16" t="n">
        <v>45625</v>
      </c>
      <c r="B472" s="19" t="n">
        <v>2480.19</v>
      </c>
      <c r="D472" s="16" t="n">
        <v>45624</v>
      </c>
      <c r="E472" s="19" t="n">
        <v>20.17</v>
      </c>
      <c r="G472" s="16" t="n">
        <v>44648</v>
      </c>
      <c r="H472" s="19" t="n">
        <v>2.752</v>
      </c>
      <c r="J472" s="16" t="n">
        <v>44648</v>
      </c>
      <c r="K472" s="19" t="n">
        <v>2.098</v>
      </c>
      <c r="M472" s="16" t="n">
        <v>45625</v>
      </c>
      <c r="N472" s="19" t="n">
        <v>190647</v>
      </c>
    </row>
    <row r="473">
      <c r="A473" s="16" t="n">
        <v>45624</v>
      </c>
      <c r="B473" s="19" t="n">
        <v>2473.91</v>
      </c>
      <c r="D473" s="16" t="n">
        <v>45623</v>
      </c>
      <c r="E473" s="19" t="n">
        <v>19.73</v>
      </c>
      <c r="G473" s="16" t="n">
        <v>44649</v>
      </c>
      <c r="H473" s="19" t="n">
        <v>2.84</v>
      </c>
      <c r="J473" s="16" t="n">
        <v>44649</v>
      </c>
      <c r="K473" s="19" t="n">
        <v>2.122</v>
      </c>
      <c r="M473" s="16" t="n">
        <v>45624</v>
      </c>
      <c r="N473" s="19" t="n">
        <v>191359</v>
      </c>
    </row>
    <row r="474">
      <c r="A474" s="16" t="n">
        <v>45623</v>
      </c>
      <c r="B474" s="19" t="n">
        <v>2486.38</v>
      </c>
      <c r="D474" s="16" t="n">
        <v>45622</v>
      </c>
      <c r="E474" s="19" t="n">
        <v>21.74</v>
      </c>
      <c r="G474" s="16" t="n">
        <v>44650</v>
      </c>
      <c r="H474" s="19" t="n">
        <v>2.823</v>
      </c>
      <c r="J474" s="16" t="n">
        <v>44650</v>
      </c>
      <c r="K474" s="19" t="n">
        <v>2.119</v>
      </c>
      <c r="M474" s="16" t="n">
        <v>45623</v>
      </c>
      <c r="N474" s="19" t="n">
        <v>191492</v>
      </c>
    </row>
    <row r="475">
      <c r="A475" s="16" t="n">
        <v>45622</v>
      </c>
      <c r="B475" s="19" t="n">
        <v>2450.18</v>
      </c>
      <c r="D475" s="16" t="n">
        <v>45621</v>
      </c>
      <c r="E475" s="19" t="n">
        <v>20.99</v>
      </c>
      <c r="G475" s="16" t="n">
        <v>44651</v>
      </c>
      <c r="H475" s="19" t="n">
        <v>2.816</v>
      </c>
      <c r="J475" s="16" t="n">
        <v>44651</v>
      </c>
      <c r="K475" s="19" t="n">
        <v>2.141</v>
      </c>
      <c r="M475" s="16" t="n">
        <v>45622</v>
      </c>
      <c r="N475" s="19" t="n">
        <v>188337</v>
      </c>
    </row>
    <row r="476">
      <c r="A476" s="16" t="n">
        <v>45621</v>
      </c>
      <c r="B476" s="19" t="n">
        <v>2448.42</v>
      </c>
      <c r="D476" s="16" t="n">
        <v>45618</v>
      </c>
      <c r="E476" s="19" t="n">
        <v>22.05</v>
      </c>
      <c r="G476" s="16" t="n">
        <v>44652</v>
      </c>
      <c r="H476" s="19" t="n">
        <v>2.839</v>
      </c>
      <c r="J476" s="16" t="n">
        <v>44652</v>
      </c>
      <c r="K476" s="19" t="n">
        <v>2.142</v>
      </c>
      <c r="M476" s="16" t="n">
        <v>45621</v>
      </c>
      <c r="N476" s="19" t="n">
        <v>187627</v>
      </c>
    </row>
    <row r="477">
      <c r="A477" s="16" t="n">
        <v>45618</v>
      </c>
      <c r="B477" s="19" t="n">
        <v>2434.85</v>
      </c>
      <c r="D477" s="16" t="n">
        <v>45617</v>
      </c>
      <c r="E477" s="19" t="n">
        <v>22.87</v>
      </c>
      <c r="G477" s="16" t="n">
        <v>44655</v>
      </c>
      <c r="H477" s="19" t="n">
        <v>2.842</v>
      </c>
      <c r="J477" s="16" t="n">
        <v>44655</v>
      </c>
      <c r="K477" s="19" t="n">
        <v>2.165</v>
      </c>
      <c r="M477" s="16" t="n">
        <v>45618</v>
      </c>
      <c r="N477" s="19" t="n">
        <v>186712</v>
      </c>
    </row>
    <row r="478">
      <c r="A478" s="16" t="n">
        <v>45617</v>
      </c>
      <c r="B478" s="19" t="n">
        <v>2427.22</v>
      </c>
      <c r="D478" s="16" t="n">
        <v>45616</v>
      </c>
      <c r="E478" s="19" t="n">
        <v>23.02</v>
      </c>
      <c r="G478" s="16" t="n">
        <v>44656</v>
      </c>
      <c r="H478" s="19" t="n">
        <v>2.885</v>
      </c>
      <c r="J478" s="16" t="n">
        <v>44656</v>
      </c>
      <c r="K478" s="19" t="n">
        <v>2.217</v>
      </c>
      <c r="M478" s="16" t="n">
        <v>45617</v>
      </c>
      <c r="N478" s="19" t="n">
        <v>186999</v>
      </c>
    </row>
    <row r="479">
      <c r="A479" s="16" t="n">
        <v>45616</v>
      </c>
      <c r="B479" s="19" t="n">
        <v>2400.22</v>
      </c>
      <c r="D479" s="16" t="n">
        <v>45615</v>
      </c>
      <c r="E479" s="19" t="n">
        <v>23.25</v>
      </c>
      <c r="G479" s="16" t="n">
        <v>44657</v>
      </c>
      <c r="H479" s="19" t="n">
        <v>2.905</v>
      </c>
      <c r="J479" s="16" t="n">
        <v>44657</v>
      </c>
      <c r="K479" s="19" t="n">
        <v>2.254</v>
      </c>
      <c r="M479" s="16" t="n">
        <v>45616</v>
      </c>
      <c r="N479" s="19" t="n">
        <v>185475</v>
      </c>
    </row>
    <row r="480">
      <c r="A480" s="16" t="n">
        <v>45615</v>
      </c>
      <c r="B480" s="19" t="n">
        <v>2375.98</v>
      </c>
      <c r="D480" s="16" t="n">
        <v>45614</v>
      </c>
      <c r="E480" s="19" t="n">
        <v>21.79</v>
      </c>
      <c r="G480" s="16" t="n">
        <v>44658</v>
      </c>
      <c r="H480" s="19" t="n">
        <v>2.953</v>
      </c>
      <c r="J480" s="16" t="n">
        <v>44658</v>
      </c>
      <c r="K480" s="19" t="n">
        <v>2.273</v>
      </c>
      <c r="M480" s="16" t="n">
        <v>45615</v>
      </c>
      <c r="N480" s="19" t="n">
        <v>184812</v>
      </c>
    </row>
    <row r="481">
      <c r="A481" s="16" t="n">
        <v>45614</v>
      </c>
      <c r="B481" s="19" t="n">
        <v>2400.21</v>
      </c>
      <c r="D481" s="16" t="n">
        <v>45611</v>
      </c>
      <c r="E481" s="19" t="n">
        <v>20.4</v>
      </c>
      <c r="G481" s="16" t="n">
        <v>44659</v>
      </c>
      <c r="H481" s="19" t="n">
        <v>2.939</v>
      </c>
      <c r="J481" s="16" t="n">
        <v>44659</v>
      </c>
      <c r="K481" s="19" t="n">
        <v>2.269</v>
      </c>
      <c r="M481" s="16" t="n">
        <v>45614</v>
      </c>
      <c r="N481" s="19" t="n">
        <v>185306</v>
      </c>
    </row>
    <row r="482">
      <c r="A482" s="16" t="n">
        <v>45611</v>
      </c>
      <c r="B482" s="19" t="n">
        <v>2441.12</v>
      </c>
      <c r="D482" s="16" t="n">
        <v>45610</v>
      </c>
      <c r="E482" s="19" t="n">
        <v>18.06</v>
      </c>
      <c r="G482" s="16" t="n">
        <v>44662</v>
      </c>
      <c r="H482" s="19" t="n">
        <v>3.02</v>
      </c>
      <c r="J482" s="16" t="n">
        <v>44662</v>
      </c>
      <c r="K482" s="19" t="n">
        <v>2.307</v>
      </c>
      <c r="M482" s="16" t="n">
        <v>45611</v>
      </c>
      <c r="N482" s="19" t="n">
        <v>186887</v>
      </c>
    </row>
    <row r="483">
      <c r="A483" s="16" t="n">
        <v>45610</v>
      </c>
      <c r="B483" s="19" t="n">
        <v>2503.06</v>
      </c>
      <c r="D483" s="16" t="n">
        <v>45609</v>
      </c>
      <c r="E483" s="19" t="n">
        <v>17.6</v>
      </c>
      <c r="G483" s="16" t="n">
        <v>44663</v>
      </c>
      <c r="H483" s="19" t="n">
        <v>3.003</v>
      </c>
      <c r="J483" s="16" t="n">
        <v>44663</v>
      </c>
      <c r="K483" s="19" t="n">
        <v>2.324</v>
      </c>
      <c r="M483" s="16" t="n">
        <v>45610</v>
      </c>
      <c r="N483" s="19" t="n">
        <v>189813</v>
      </c>
    </row>
    <row r="484">
      <c r="A484" s="16" t="n">
        <v>45609</v>
      </c>
      <c r="B484" s="19" t="n">
        <v>2483.86</v>
      </c>
      <c r="D484" s="16" t="n">
        <v>45608</v>
      </c>
      <c r="E484" s="19" t="n">
        <v>16.49</v>
      </c>
      <c r="G484" s="16" t="n">
        <v>44664</v>
      </c>
      <c r="H484" s="19" t="n">
        <v>2.942</v>
      </c>
      <c r="J484" s="16" t="n">
        <v>44664</v>
      </c>
      <c r="K484" s="19" t="n">
        <v>2.298</v>
      </c>
      <c r="M484" s="16" t="n">
        <v>45609</v>
      </c>
      <c r="N484" s="19" t="n">
        <v>188981</v>
      </c>
    </row>
    <row r="485">
      <c r="A485" s="16" t="n">
        <v>45608</v>
      </c>
      <c r="B485" s="19" t="n">
        <v>2496.02</v>
      </c>
      <c r="D485" s="16" t="n">
        <v>45607</v>
      </c>
      <c r="E485" s="19" t="n">
        <v>15.35</v>
      </c>
      <c r="G485" s="16" t="n">
        <v>44665</v>
      </c>
      <c r="H485" s="19" t="n">
        <v>2.956</v>
      </c>
      <c r="J485" s="16" t="n">
        <v>44665</v>
      </c>
      <c r="K485" s="19" t="n">
        <v>2.286</v>
      </c>
      <c r="M485" s="16" t="n">
        <v>45608</v>
      </c>
      <c r="N485" s="19" t="n">
        <v>189323</v>
      </c>
    </row>
    <row r="486">
      <c r="A486" s="16" t="n">
        <v>45607</v>
      </c>
      <c r="B486" s="19" t="n">
        <v>2503.21</v>
      </c>
      <c r="D486" s="16" t="n">
        <v>45604</v>
      </c>
      <c r="E486" s="19" t="n">
        <v>16.01</v>
      </c>
      <c r="G486" s="16" t="n">
        <v>44666</v>
      </c>
      <c r="H486" s="19" t="n">
        <v>2.892</v>
      </c>
      <c r="J486" s="16" t="n">
        <v>44666</v>
      </c>
      <c r="K486" s="19" t="n">
        <v>2.254</v>
      </c>
      <c r="M486" s="16" t="n">
        <v>45607</v>
      </c>
      <c r="N486" s="19" t="n">
        <v>189412</v>
      </c>
    </row>
    <row r="487">
      <c r="A487" s="16" t="n">
        <v>45604</v>
      </c>
      <c r="B487" s="19" t="n">
        <v>2480.73</v>
      </c>
      <c r="D487" s="16" t="n">
        <v>45603</v>
      </c>
      <c r="E487" s="19" t="n">
        <v>16.3</v>
      </c>
      <c r="G487" s="16" t="n">
        <v>44669</v>
      </c>
      <c r="H487" s="19" t="n">
        <v>2.914</v>
      </c>
      <c r="J487" s="16" t="n">
        <v>44669</v>
      </c>
      <c r="K487" s="19" t="n">
        <v>2.259</v>
      </c>
      <c r="M487" s="16" t="n">
        <v>45604</v>
      </c>
      <c r="N487" s="19" t="n">
        <v>187937</v>
      </c>
    </row>
    <row r="488">
      <c r="A488" s="16" t="n">
        <v>45603</v>
      </c>
      <c r="B488" s="19" t="n">
        <v>2481.76</v>
      </c>
      <c r="D488" s="16" t="n">
        <v>45602</v>
      </c>
      <c r="E488" s="19" t="n">
        <v>18.22</v>
      </c>
      <c r="G488" s="16" t="n">
        <v>44670</v>
      </c>
      <c r="H488" s="19" t="n">
        <v>2.883</v>
      </c>
      <c r="J488" s="16" t="n">
        <v>44670</v>
      </c>
      <c r="K488" s="19" t="n">
        <v>2.256</v>
      </c>
      <c r="M488" s="16" t="n">
        <v>45603</v>
      </c>
      <c r="N488" s="19" t="n">
        <v>187686</v>
      </c>
    </row>
    <row r="489">
      <c r="A489" s="16" t="n">
        <v>45602</v>
      </c>
      <c r="B489" s="19" t="n">
        <v>2427.56</v>
      </c>
      <c r="D489" s="16" t="n">
        <v>45601</v>
      </c>
      <c r="E489" s="19" t="n">
        <v>19.19</v>
      </c>
      <c r="G489" s="16" t="n">
        <v>44671</v>
      </c>
      <c r="H489" s="19" t="n">
        <v>2.887</v>
      </c>
      <c r="J489" s="16" t="n">
        <v>44671</v>
      </c>
      <c r="K489" s="19" t="n">
        <v>2.287</v>
      </c>
      <c r="M489" s="16" t="n">
        <v>45602</v>
      </c>
      <c r="N489" s="19" t="n">
        <v>184998</v>
      </c>
    </row>
    <row r="490">
      <c r="A490" s="16" t="n">
        <v>45601</v>
      </c>
      <c r="B490" s="19" t="n">
        <v>2414.59</v>
      </c>
      <c r="D490" s="16" t="n">
        <v>45600</v>
      </c>
      <c r="E490" s="19" t="n">
        <v>18.07</v>
      </c>
      <c r="G490" s="16" t="n">
        <v>44672</v>
      </c>
      <c r="H490" s="19" t="n">
        <v>2.908</v>
      </c>
      <c r="J490" s="16" t="n">
        <v>44672</v>
      </c>
      <c r="K490" s="19" t="n">
        <v>2.293</v>
      </c>
      <c r="M490" s="16" t="n">
        <v>45601</v>
      </c>
      <c r="N490" s="19" t="n">
        <v>184239</v>
      </c>
    </row>
    <row r="491">
      <c r="A491" s="16" t="n">
        <v>45600</v>
      </c>
      <c r="B491" s="19" t="n">
        <v>2411.79</v>
      </c>
      <c r="D491" s="16" t="n">
        <v>45597</v>
      </c>
      <c r="E491" s="19" t="n">
        <v>15.72</v>
      </c>
      <c r="G491" s="16" t="n">
        <v>44673</v>
      </c>
      <c r="H491" s="19" t="n">
        <v>2.848</v>
      </c>
      <c r="J491" s="16" t="n">
        <v>44673</v>
      </c>
      <c r="K491" s="19" t="n">
        <v>2.256</v>
      </c>
      <c r="M491" s="16" t="n">
        <v>45600</v>
      </c>
      <c r="N491" s="19" t="n">
        <v>184213</v>
      </c>
    </row>
    <row r="492">
      <c r="A492" s="16" t="n">
        <v>45597</v>
      </c>
      <c r="B492" s="19" t="n">
        <v>2450.87</v>
      </c>
      <c r="D492" s="16" t="n">
        <v>45596</v>
      </c>
      <c r="E492" s="19" t="n">
        <v>15.57</v>
      </c>
      <c r="G492" s="16" t="n">
        <v>44676</v>
      </c>
      <c r="H492" s="19" t="n">
        <v>2.847</v>
      </c>
      <c r="J492" s="16" t="n">
        <v>44676</v>
      </c>
      <c r="K492" s="19" t="n">
        <v>2.286</v>
      </c>
      <c r="M492" s="16" t="n">
        <v>45597</v>
      </c>
      <c r="N492" s="19" t="n">
        <v>187351</v>
      </c>
    </row>
    <row r="493">
      <c r="A493" s="16" t="n">
        <v>45596</v>
      </c>
      <c r="B493" s="19" t="n">
        <v>2451.78</v>
      </c>
      <c r="D493" s="16" t="n">
        <v>45595</v>
      </c>
      <c r="E493" s="19" t="n">
        <v>17.3</v>
      </c>
      <c r="G493" s="16" t="n">
        <v>44677</v>
      </c>
      <c r="H493" s="19" t="n">
        <v>2.76</v>
      </c>
      <c r="J493" s="16" t="n">
        <v>44677</v>
      </c>
      <c r="K493" s="19" t="n">
        <v>2.275</v>
      </c>
      <c r="M493" s="16" t="n">
        <v>45596</v>
      </c>
      <c r="N493" s="19" t="n">
        <v>188357</v>
      </c>
    </row>
    <row r="494">
      <c r="A494" s="16" t="n">
        <v>45595</v>
      </c>
      <c r="B494" s="19" t="n">
        <v>2429.66</v>
      </c>
      <c r="D494" s="16" t="n">
        <v>45594</v>
      </c>
      <c r="E494" s="19" t="n">
        <v>17.56</v>
      </c>
      <c r="G494" s="16" t="n">
        <v>44678</v>
      </c>
      <c r="H494" s="19" t="n">
        <v>2.794</v>
      </c>
      <c r="J494" s="16" t="n">
        <v>44678</v>
      </c>
      <c r="K494" s="19" t="n">
        <v>2.271</v>
      </c>
      <c r="M494" s="16" t="n">
        <v>45595</v>
      </c>
      <c r="N494" s="19" t="n">
        <v>186592</v>
      </c>
    </row>
    <row r="495">
      <c r="A495" s="16" t="n">
        <v>45594</v>
      </c>
      <c r="B495" s="19" t="n">
        <v>2432.94</v>
      </c>
      <c r="D495" s="16" t="n">
        <v>45593</v>
      </c>
      <c r="E495" s="19" t="n">
        <v>16.2</v>
      </c>
      <c r="G495" s="16" t="n">
        <v>44679</v>
      </c>
      <c r="H495" s="19" t="n">
        <v>2.739</v>
      </c>
      <c r="J495" s="16" t="n">
        <v>44679</v>
      </c>
      <c r="K495" s="19" t="n">
        <v>2.233</v>
      </c>
      <c r="M495" s="16" t="n">
        <v>45594</v>
      </c>
      <c r="N495" s="19" t="n">
        <v>187916</v>
      </c>
    </row>
    <row r="496">
      <c r="A496" s="16" t="n">
        <v>45593</v>
      </c>
      <c r="B496" s="19" t="n">
        <v>2450.82</v>
      </c>
      <c r="D496" s="16" t="n">
        <v>45590</v>
      </c>
      <c r="E496" s="19" t="n">
        <v>17.96</v>
      </c>
      <c r="G496" s="16" t="n">
        <v>44680</v>
      </c>
      <c r="H496" s="19" t="n">
        <v>2.78</v>
      </c>
      <c r="J496" s="16" t="n">
        <v>44680</v>
      </c>
      <c r="K496" s="19" t="n">
        <v>2.248</v>
      </c>
      <c r="M496" s="16" t="n">
        <v>45593</v>
      </c>
      <c r="N496" s="19" t="n">
        <v>189362</v>
      </c>
    </row>
    <row r="497">
      <c r="A497" s="16" t="n">
        <v>45590</v>
      </c>
      <c r="B497" s="19" t="n">
        <v>2404.53</v>
      </c>
      <c r="D497" s="16" t="n">
        <v>45589</v>
      </c>
      <c r="E497" s="19" t="n">
        <v>19.47</v>
      </c>
      <c r="G497" s="16" t="n">
        <v>44683</v>
      </c>
      <c r="H497" s="19" t="n">
        <v>2.854</v>
      </c>
      <c r="J497" s="16" t="n">
        <v>44683</v>
      </c>
      <c r="K497" s="19" t="n">
        <v>2.236</v>
      </c>
      <c r="M497" s="16" t="n">
        <v>45590</v>
      </c>
      <c r="N497" s="19" t="n">
        <v>188199</v>
      </c>
    </row>
    <row r="498">
      <c r="A498" s="16" t="n">
        <v>45589</v>
      </c>
      <c r="B498" s="19" t="n">
        <v>2376.32</v>
      </c>
      <c r="D498" s="16" t="n">
        <v>45588</v>
      </c>
      <c r="E498" s="19" t="n">
        <v>20.99</v>
      </c>
      <c r="G498" s="16" t="n">
        <v>44684</v>
      </c>
      <c r="H498" s="19" t="n">
        <v>2.814</v>
      </c>
      <c r="J498" s="16" t="n">
        <v>44684</v>
      </c>
      <c r="K498" s="19" t="n">
        <v>2.239</v>
      </c>
      <c r="M498" s="16" t="n">
        <v>45589</v>
      </c>
      <c r="N498" s="19" t="n">
        <v>186166</v>
      </c>
    </row>
    <row r="499">
      <c r="A499" s="16" t="n">
        <v>45588</v>
      </c>
      <c r="B499" s="19" t="n">
        <v>2332.93</v>
      </c>
      <c r="D499" s="16" t="n">
        <v>45587</v>
      </c>
      <c r="E499" s="19" t="n">
        <v>21.19</v>
      </c>
      <c r="G499" s="16" t="n">
        <v>44685</v>
      </c>
      <c r="H499" s="19" t="n">
        <v>2.841</v>
      </c>
      <c r="J499" s="16" t="n">
        <v>44685</v>
      </c>
      <c r="K499" s="19" t="n">
        <v>2.266</v>
      </c>
      <c r="M499" s="16" t="n">
        <v>45588</v>
      </c>
      <c r="N499" s="19" t="n">
        <v>184346</v>
      </c>
    </row>
    <row r="500">
      <c r="A500" s="16" t="n">
        <v>45587</v>
      </c>
      <c r="B500" s="19" t="n">
        <v>2328.92</v>
      </c>
      <c r="D500" s="16" t="n">
        <v>45586</v>
      </c>
      <c r="E500" s="19" t="n">
        <v>20.17</v>
      </c>
      <c r="G500" s="16" t="n">
        <v>44687</v>
      </c>
      <c r="H500" s="19" t="n">
        <v>2.873</v>
      </c>
      <c r="J500" s="16" t="n">
        <v>44687</v>
      </c>
      <c r="K500" s="19" t="n">
        <v>2.338</v>
      </c>
      <c r="M500" s="16" t="n">
        <v>45587</v>
      </c>
      <c r="N500" s="19" t="n">
        <v>183738</v>
      </c>
    </row>
    <row r="501">
      <c r="A501" s="16" t="n">
        <v>45586</v>
      </c>
      <c r="B501" s="19" t="n">
        <v>2367.42</v>
      </c>
      <c r="D501" s="16" t="n">
        <v>45583</v>
      </c>
      <c r="E501" s="19" t="n">
        <v>21.2</v>
      </c>
      <c r="G501" s="16" t="n">
        <v>44690</v>
      </c>
      <c r="H501" s="19" t="n">
        <v>2.902</v>
      </c>
      <c r="J501" s="16" t="n">
        <v>44690</v>
      </c>
      <c r="K501" s="19" t="n">
        <v>2.359</v>
      </c>
      <c r="M501" s="16" t="n">
        <v>45586</v>
      </c>
      <c r="N501" s="19" t="n">
        <v>184648</v>
      </c>
    </row>
    <row r="502">
      <c r="A502" s="16" t="n">
        <v>45583</v>
      </c>
      <c r="B502" s="19" t="n">
        <v>2345.97</v>
      </c>
      <c r="D502" s="16" t="n">
        <v>45582</v>
      </c>
      <c r="E502" s="19" t="n">
        <v>20.72</v>
      </c>
      <c r="G502" s="16" t="n">
        <v>44691</v>
      </c>
      <c r="H502" s="19" t="n">
        <v>2.988</v>
      </c>
      <c r="J502" s="16" t="n">
        <v>44691</v>
      </c>
      <c r="K502" s="19" t="n">
        <v>2.374</v>
      </c>
      <c r="M502" s="16" t="n">
        <v>45583</v>
      </c>
      <c r="N502" s="19" t="n">
        <v>183233</v>
      </c>
    </row>
    <row r="503">
      <c r="A503" s="16" t="n">
        <v>45582</v>
      </c>
      <c r="B503" s="19" t="n">
        <v>2344.78</v>
      </c>
      <c r="D503" s="16" t="n">
        <v>45581</v>
      </c>
      <c r="E503" s="19" t="n">
        <v>19.36</v>
      </c>
      <c r="G503" s="16" t="n">
        <v>44692</v>
      </c>
      <c r="H503" s="19" t="n">
        <v>3.013</v>
      </c>
      <c r="J503" s="16" t="n">
        <v>44692</v>
      </c>
      <c r="K503" s="19" t="n">
        <v>2.378</v>
      </c>
      <c r="M503" s="16" t="n">
        <v>45582</v>
      </c>
      <c r="N503" s="19" t="n">
        <v>184229</v>
      </c>
    </row>
    <row r="504">
      <c r="A504" s="16" t="n">
        <v>45581</v>
      </c>
      <c r="B504" s="19" t="n">
        <v>2367.41</v>
      </c>
      <c r="D504" s="16" t="n">
        <v>45580</v>
      </c>
      <c r="E504" s="19" t="n">
        <v>18.33</v>
      </c>
      <c r="G504" s="16" t="n">
        <v>44693</v>
      </c>
      <c r="H504" s="19" t="n">
        <v>3.052</v>
      </c>
      <c r="J504" s="16" t="n">
        <v>44693</v>
      </c>
      <c r="K504" s="19" t="n">
        <v>2.383</v>
      </c>
      <c r="M504" s="16" t="n">
        <v>45581</v>
      </c>
      <c r="N504" s="19" t="n">
        <v>185988</v>
      </c>
    </row>
    <row r="505">
      <c r="A505" s="16" t="n">
        <v>45580</v>
      </c>
      <c r="B505" s="19" t="n">
        <v>2390.31</v>
      </c>
      <c r="D505" s="16" t="n">
        <v>45579</v>
      </c>
      <c r="E505" s="19" t="n">
        <v>17.7</v>
      </c>
      <c r="G505" s="16" t="n">
        <v>44694</v>
      </c>
      <c r="H505" s="19" t="n">
        <v>3.049</v>
      </c>
      <c r="J505" s="16" t="n">
        <v>44694</v>
      </c>
      <c r="K505" s="19" t="n">
        <v>2.412</v>
      </c>
      <c r="M505" s="16" t="n">
        <v>45580</v>
      </c>
      <c r="N505" s="19" t="n">
        <v>187101</v>
      </c>
    </row>
    <row r="506">
      <c r="A506" s="16" t="n">
        <v>45579</v>
      </c>
      <c r="B506" s="19" t="n">
        <v>2402.49</v>
      </c>
      <c r="D506" s="16" t="n">
        <v>45576</v>
      </c>
      <c r="E506" s="19" t="n">
        <v>15.62</v>
      </c>
      <c r="G506" s="16" t="n">
        <v>44697</v>
      </c>
      <c r="H506" s="19" t="n">
        <v>3.088</v>
      </c>
      <c r="J506" s="16" t="n">
        <v>44697</v>
      </c>
      <c r="K506" s="19" t="n">
        <v>2.431</v>
      </c>
      <c r="M506" s="16" t="n">
        <v>45579</v>
      </c>
      <c r="N506" s="19" t="n">
        <v>187642</v>
      </c>
    </row>
    <row r="507">
      <c r="A507" s="16" t="n">
        <v>45576</v>
      </c>
      <c r="B507" s="19" t="n">
        <v>2431.25</v>
      </c>
      <c r="D507" s="16" t="n">
        <v>45575</v>
      </c>
      <c r="E507" s="19" t="n">
        <v>14.13</v>
      </c>
      <c r="G507" s="16" t="n">
        <v>44698</v>
      </c>
      <c r="H507" s="19" t="n">
        <v>3.162</v>
      </c>
      <c r="J507" s="16" t="n">
        <v>44698</v>
      </c>
      <c r="K507" s="19" t="n">
        <v>2.453</v>
      </c>
      <c r="M507" s="16" t="n">
        <v>45576</v>
      </c>
      <c r="N507" s="19" t="n">
        <v>190101</v>
      </c>
    </row>
    <row r="508">
      <c r="A508" s="16" t="n">
        <v>45575</v>
      </c>
      <c r="B508" s="19" t="n">
        <v>2460.69</v>
      </c>
      <c r="D508" s="16" t="n">
        <v>45573</v>
      </c>
      <c r="E508" s="19" t="n">
        <v>15.83</v>
      </c>
      <c r="G508" s="16" t="n">
        <v>44699</v>
      </c>
      <c r="H508" s="19" t="n">
        <v>3.086</v>
      </c>
      <c r="J508" s="16" t="n">
        <v>44699</v>
      </c>
      <c r="K508" s="19" t="n">
        <v>2.455</v>
      </c>
      <c r="M508" s="16" t="n">
        <v>45575</v>
      </c>
      <c r="N508" s="19" t="n">
        <v>191131</v>
      </c>
    </row>
    <row r="509">
      <c r="A509" s="16" t="n">
        <v>45573</v>
      </c>
      <c r="B509" s="19" t="n">
        <v>2413.84</v>
      </c>
      <c r="D509" s="16" t="n">
        <v>45572</v>
      </c>
      <c r="E509" s="19" t="n">
        <v>14.57</v>
      </c>
      <c r="G509" s="16" t="n">
        <v>44700</v>
      </c>
      <c r="H509" s="19" t="n">
        <v>3.159</v>
      </c>
      <c r="J509" s="16" t="n">
        <v>44700</v>
      </c>
      <c r="K509" s="19" t="n">
        <v>2.494</v>
      </c>
      <c r="M509" s="16" t="n">
        <v>45573</v>
      </c>
      <c r="N509" s="19" t="n">
        <v>188912</v>
      </c>
    </row>
    <row r="510">
      <c r="A510" s="16" t="n">
        <v>45572</v>
      </c>
      <c r="B510" s="19" t="n">
        <v>2436.41</v>
      </c>
      <c r="D510" s="16" t="n">
        <v>45569</v>
      </c>
      <c r="E510" s="19" t="n">
        <v>13.55</v>
      </c>
      <c r="G510" s="16" t="n">
        <v>44701</v>
      </c>
      <c r="H510" s="19" t="n">
        <v>3.23</v>
      </c>
      <c r="J510" s="16" t="n">
        <v>44701</v>
      </c>
      <c r="K510" s="19" t="n">
        <v>2.526</v>
      </c>
      <c r="M510" s="16" t="n">
        <v>45572</v>
      </c>
      <c r="N510" s="19" t="n">
        <v>188332</v>
      </c>
    </row>
    <row r="511">
      <c r="A511" s="16" t="n">
        <v>45569</v>
      </c>
      <c r="B511" s="19" t="n">
        <v>2440.71</v>
      </c>
      <c r="D511" s="16" t="n">
        <v>45567</v>
      </c>
      <c r="E511" s="19" t="n">
        <v>15.09</v>
      </c>
      <c r="G511" s="16" t="n">
        <v>44704</v>
      </c>
      <c r="H511" s="19" t="n">
        <v>3.236</v>
      </c>
      <c r="J511" s="16" t="n">
        <v>44704</v>
      </c>
      <c r="K511" s="19" t="n">
        <v>2.534</v>
      </c>
      <c r="M511" s="16" t="n">
        <v>45569</v>
      </c>
      <c r="N511" s="19" t="n">
        <v>189107</v>
      </c>
    </row>
    <row r="512">
      <c r="A512" s="16" t="n">
        <v>45567</v>
      </c>
      <c r="B512" s="19" t="n">
        <v>2412.28</v>
      </c>
      <c r="D512" s="16" t="n">
        <v>45566</v>
      </c>
      <c r="E512" s="19" t="n">
        <v>15.22</v>
      </c>
      <c r="G512" s="16" t="n">
        <v>44705</v>
      </c>
      <c r="H512" s="19" t="n">
        <v>3.26</v>
      </c>
      <c r="J512" s="16" t="n">
        <v>44705</v>
      </c>
      <c r="K512" s="19" t="n">
        <v>2.54</v>
      </c>
      <c r="M512" s="16" t="n">
        <v>45567</v>
      </c>
      <c r="N512" s="19" t="n">
        <v>187684</v>
      </c>
    </row>
    <row r="513">
      <c r="A513" s="16" t="n">
        <v>45566</v>
      </c>
      <c r="B513" s="19" t="n">
        <v>2400.76</v>
      </c>
      <c r="D513" s="16" t="n">
        <v>45565</v>
      </c>
      <c r="E513" s="19" t="n">
        <v>13.69</v>
      </c>
      <c r="G513" s="16" t="n">
        <v>44706</v>
      </c>
      <c r="H513" s="19" t="n">
        <v>3.258</v>
      </c>
      <c r="J513" s="16" t="n">
        <v>44706</v>
      </c>
      <c r="K513" s="19" t="n">
        <v>2.562</v>
      </c>
      <c r="M513" s="16" t="n">
        <v>45566</v>
      </c>
      <c r="N513" s="19" t="n">
        <v>186606</v>
      </c>
    </row>
    <row r="514">
      <c r="A514" s="16" t="n">
        <v>45565</v>
      </c>
      <c r="B514" s="19" t="n">
        <v>2450.61</v>
      </c>
      <c r="D514" s="16" t="n">
        <v>45562</v>
      </c>
      <c r="E514" s="19" t="n">
        <v>12.67</v>
      </c>
      <c r="G514" s="16" t="n">
        <v>44707</v>
      </c>
      <c r="H514" s="19" t="n">
        <v>3.278</v>
      </c>
      <c r="J514" s="16" t="n">
        <v>44707</v>
      </c>
      <c r="K514" s="19" t="n">
        <v>2.541</v>
      </c>
      <c r="M514" s="16" t="n">
        <v>45565</v>
      </c>
      <c r="N514" s="19" t="n">
        <v>189383</v>
      </c>
    </row>
    <row r="515">
      <c r="A515" s="16" t="n">
        <v>45562</v>
      </c>
      <c r="B515" s="19" t="n">
        <v>2459.47</v>
      </c>
      <c r="D515" s="16" t="n">
        <v>45561</v>
      </c>
      <c r="E515" s="19" t="n">
        <v>13.43</v>
      </c>
      <c r="G515" s="16" t="n">
        <v>44708</v>
      </c>
      <c r="H515" s="19" t="n">
        <v>3.237</v>
      </c>
      <c r="J515" s="16" t="n">
        <v>44708</v>
      </c>
      <c r="K515" s="19" t="n">
        <v>2.499</v>
      </c>
      <c r="M515" s="16" t="n">
        <v>45562</v>
      </c>
      <c r="N515" s="19" t="n">
        <v>189615</v>
      </c>
    </row>
    <row r="516">
      <c r="A516" s="16" t="n">
        <v>45561</v>
      </c>
      <c r="B516" s="19" t="n">
        <v>2442.03</v>
      </c>
      <c r="D516" s="16" t="n">
        <v>45560</v>
      </c>
      <c r="E516" s="19" t="n">
        <v>11.95</v>
      </c>
      <c r="G516" s="16" t="n">
        <v>44711</v>
      </c>
      <c r="H516" s="19" t="n">
        <v>3.242</v>
      </c>
      <c r="J516" s="16" t="n">
        <v>44711</v>
      </c>
      <c r="K516" s="19" t="n">
        <v>2.53</v>
      </c>
      <c r="M516" s="16" t="n">
        <v>45561</v>
      </c>
      <c r="N516" s="19" t="n">
        <v>187676</v>
      </c>
    </row>
    <row r="517">
      <c r="A517" s="16" t="n">
        <v>45560</v>
      </c>
      <c r="B517" s="19" t="n">
        <v>2481.08</v>
      </c>
      <c r="D517" s="16" t="n">
        <v>45559</v>
      </c>
      <c r="E517" s="19" t="n">
        <v>12.32</v>
      </c>
      <c r="G517" s="16" t="n">
        <v>44712</v>
      </c>
      <c r="H517" s="19" t="n">
        <v>3.235</v>
      </c>
      <c r="J517" s="16" t="n">
        <v>44712</v>
      </c>
      <c r="K517" s="19" t="n">
        <v>2.501</v>
      </c>
      <c r="M517" s="16" t="n">
        <v>45560</v>
      </c>
      <c r="N517" s="19" t="n">
        <v>189176</v>
      </c>
    </row>
    <row r="518">
      <c r="A518" s="16" t="n">
        <v>45559</v>
      </c>
      <c r="B518" s="19" t="n">
        <v>2460.82</v>
      </c>
      <c r="D518" s="16" t="n">
        <v>45558</v>
      </c>
      <c r="E518" s="19" t="n">
        <v>11.23</v>
      </c>
      <c r="G518" s="16" t="n">
        <v>44713</v>
      </c>
      <c r="H518" s="19" t="n">
        <v>3.18</v>
      </c>
      <c r="J518" s="16" t="n">
        <v>44713</v>
      </c>
      <c r="K518" s="19" t="n">
        <v>2.491</v>
      </c>
      <c r="M518" s="16" t="n">
        <v>45559</v>
      </c>
      <c r="N518" s="19" t="n">
        <v>188962</v>
      </c>
    </row>
    <row r="519">
      <c r="A519" s="16" t="n">
        <v>45558</v>
      </c>
      <c r="B519" s="19" t="n">
        <v>2470.34</v>
      </c>
      <c r="D519" s="16" t="n">
        <v>45555</v>
      </c>
      <c r="E519" s="19" t="n">
        <v>10.35</v>
      </c>
      <c r="G519" s="16" t="n">
        <v>44714</v>
      </c>
      <c r="H519" s="19" t="n">
        <v>3.189</v>
      </c>
      <c r="J519" s="16" t="n">
        <v>44714</v>
      </c>
      <c r="K519" s="19" t="n">
        <v>2.479</v>
      </c>
      <c r="M519" s="16" t="n">
        <v>45558</v>
      </c>
      <c r="N519" s="19" t="n">
        <v>189625</v>
      </c>
    </row>
    <row r="520">
      <c r="A520" s="16" t="n">
        <v>45555</v>
      </c>
      <c r="B520" s="19" t="n">
        <v>2495.78</v>
      </c>
      <c r="D520" s="16" t="n">
        <v>45554</v>
      </c>
      <c r="E520" s="19" t="n">
        <v>10.49</v>
      </c>
      <c r="G520" s="16" t="n">
        <v>44715</v>
      </c>
      <c r="H520" s="19" t="n">
        <v>3.221</v>
      </c>
      <c r="J520" s="16" t="n">
        <v>44715</v>
      </c>
      <c r="K520" s="19" t="n">
        <v>2.54</v>
      </c>
      <c r="M520" s="16" t="n">
        <v>45555</v>
      </c>
      <c r="N520" s="19" t="n">
        <v>190977</v>
      </c>
    </row>
    <row r="521">
      <c r="A521" s="16" t="n">
        <v>45554</v>
      </c>
      <c r="B521" s="19" t="n">
        <v>2493.52</v>
      </c>
      <c r="D521" s="16" t="n">
        <v>45553</v>
      </c>
      <c r="E521" s="19" t="n">
        <v>10.13</v>
      </c>
      <c r="G521" s="16" t="n">
        <v>44718</v>
      </c>
      <c r="H521" s="19" t="n">
        <v>3.264</v>
      </c>
      <c r="J521" s="16" t="n">
        <v>44718</v>
      </c>
      <c r="K521" s="19" t="n">
        <v>2.532</v>
      </c>
      <c r="M521" s="16" t="n">
        <v>45554</v>
      </c>
      <c r="N521" s="19" t="n">
        <v>191437</v>
      </c>
    </row>
    <row r="522">
      <c r="A522" s="16" t="n">
        <v>45553</v>
      </c>
      <c r="B522" s="19" t="n">
        <v>2498.46</v>
      </c>
      <c r="D522" s="16" t="n">
        <v>45552</v>
      </c>
      <c r="E522" s="19" t="n">
        <v>13.21</v>
      </c>
      <c r="G522" s="16" t="n">
        <v>44719</v>
      </c>
      <c r="H522" s="19" t="n">
        <v>3.237</v>
      </c>
      <c r="J522" s="16" t="n">
        <v>44719</v>
      </c>
      <c r="K522" s="19" t="n">
        <v>2.52</v>
      </c>
      <c r="M522" s="16" t="n">
        <v>45553</v>
      </c>
      <c r="N522" s="19" t="n">
        <v>191496</v>
      </c>
    </row>
    <row r="523">
      <c r="A523" s="16" t="n">
        <v>45552</v>
      </c>
      <c r="B523" s="19" t="n">
        <v>2446.11</v>
      </c>
      <c r="D523" s="16" t="n">
        <v>45551</v>
      </c>
      <c r="E523" s="19" t="n">
        <v>13.15</v>
      </c>
      <c r="G523" s="16" t="n">
        <v>44720</v>
      </c>
      <c r="H523" s="19" t="n">
        <v>3.222</v>
      </c>
      <c r="J523" s="16" t="n">
        <v>44720</v>
      </c>
      <c r="K523" s="19" t="n">
        <v>2.539</v>
      </c>
      <c r="M523" s="16" t="n">
        <v>45552</v>
      </c>
      <c r="N523" s="19" t="n">
        <v>190058</v>
      </c>
    </row>
    <row r="524">
      <c r="A524" s="16" t="n">
        <v>45551</v>
      </c>
      <c r="B524" s="19" t="n">
        <v>2443.36</v>
      </c>
      <c r="D524" s="16" t="n">
        <v>45548</v>
      </c>
      <c r="E524" s="19" t="n">
        <v>13.02</v>
      </c>
      <c r="G524" s="16" t="n">
        <v>44721</v>
      </c>
      <c r="H524" s="19" t="n">
        <v>3.286</v>
      </c>
      <c r="J524" s="16" t="n">
        <v>44721</v>
      </c>
      <c r="K524" s="19" t="n">
        <v>2.571</v>
      </c>
      <c r="M524" s="16" t="n">
        <v>45551</v>
      </c>
      <c r="N524" s="19" t="n">
        <v>188519</v>
      </c>
    </row>
    <row r="525">
      <c r="A525" s="16" t="n">
        <v>45548</v>
      </c>
      <c r="B525" s="19" t="n">
        <v>2434.14</v>
      </c>
      <c r="D525" s="16" t="n">
        <v>45547</v>
      </c>
      <c r="E525" s="19" t="n">
        <v>15.03</v>
      </c>
      <c r="G525" s="16" t="n">
        <v>44722</v>
      </c>
      <c r="H525" s="19" t="n">
        <v>3.271</v>
      </c>
      <c r="J525" s="16" t="n">
        <v>44722</v>
      </c>
      <c r="K525" s="19" t="n">
        <v>2.542</v>
      </c>
      <c r="M525" s="16" t="n">
        <v>45548</v>
      </c>
      <c r="N525" s="19" t="n">
        <v>186791</v>
      </c>
    </row>
    <row r="526">
      <c r="A526" s="16" t="n">
        <v>45547</v>
      </c>
      <c r="B526" s="19" t="n">
        <v>2407.16</v>
      </c>
      <c r="D526" s="16" t="n">
        <v>45546</v>
      </c>
      <c r="E526" s="19" t="n">
        <v>14.84</v>
      </c>
      <c r="G526" s="16" t="n">
        <v>44725</v>
      </c>
      <c r="H526" s="19" t="n">
        <v>3.285</v>
      </c>
      <c r="J526" s="16" t="n">
        <v>44725</v>
      </c>
      <c r="K526" s="19" t="n">
        <v>2.507</v>
      </c>
      <c r="M526" s="16" t="n">
        <v>45547</v>
      </c>
      <c r="N526" s="19" t="n">
        <v>184330</v>
      </c>
    </row>
    <row r="527">
      <c r="A527" s="16" t="n">
        <v>45546</v>
      </c>
      <c r="B527" s="19" t="n">
        <v>2399.44</v>
      </c>
      <c r="D527" s="16" t="n">
        <v>45545</v>
      </c>
      <c r="E527" s="19" t="n">
        <v>13.43</v>
      </c>
      <c r="G527" s="16" t="n">
        <v>44726</v>
      </c>
      <c r="H527" s="19" t="n">
        <v>3.182</v>
      </c>
      <c r="J527" s="16" t="n">
        <v>44726</v>
      </c>
      <c r="K527" s="19" t="n">
        <v>2.494</v>
      </c>
      <c r="M527" s="16" t="n">
        <v>45546</v>
      </c>
      <c r="N527" s="19" t="n">
        <v>184478</v>
      </c>
    </row>
    <row r="528">
      <c r="A528" s="16" t="n">
        <v>45545</v>
      </c>
      <c r="B528" s="19" t="n">
        <v>2411.81</v>
      </c>
      <c r="D528" s="16" t="n">
        <v>45544</v>
      </c>
      <c r="E528" s="19" t="n">
        <v>15.67</v>
      </c>
      <c r="G528" s="16" t="n">
        <v>44727</v>
      </c>
      <c r="H528" s="19" t="n">
        <v>3.131</v>
      </c>
      <c r="J528" s="16" t="n">
        <v>44727</v>
      </c>
      <c r="K528" s="19" t="n">
        <v>2.454</v>
      </c>
      <c r="M528" s="16" t="n">
        <v>45545</v>
      </c>
      <c r="N528" s="19" t="n">
        <v>185927</v>
      </c>
    </row>
    <row r="529">
      <c r="A529" s="16" t="n">
        <v>45544</v>
      </c>
      <c r="B529" s="19" t="n">
        <v>2362.19</v>
      </c>
      <c r="D529" s="16" t="n">
        <v>45541</v>
      </c>
      <c r="E529" s="19" t="n">
        <v>17.36</v>
      </c>
      <c r="G529" s="16" t="n">
        <v>44728</v>
      </c>
      <c r="H529" s="19" t="n">
        <v>3.149</v>
      </c>
      <c r="J529" s="16" t="n">
        <v>44728</v>
      </c>
      <c r="K529" s="19" t="n">
        <v>2.46</v>
      </c>
      <c r="M529" s="16" t="n">
        <v>45544</v>
      </c>
      <c r="N529" s="19" t="n">
        <v>183923</v>
      </c>
    </row>
    <row r="530">
      <c r="A530" s="16" t="n">
        <v>45541</v>
      </c>
      <c r="B530" s="19" t="n">
        <v>2349.02</v>
      </c>
      <c r="D530" s="16" t="n">
        <v>45540</v>
      </c>
      <c r="E530" s="19" t="n">
        <v>18.73</v>
      </c>
      <c r="G530" s="16" t="n">
        <v>44729</v>
      </c>
      <c r="H530" s="19" t="n">
        <v>3.113</v>
      </c>
      <c r="J530" s="16" t="n">
        <v>44729</v>
      </c>
      <c r="K530" s="19" t="n">
        <v>2.436</v>
      </c>
      <c r="M530" s="16" t="n">
        <v>45541</v>
      </c>
      <c r="N530" s="19" t="n">
        <v>181883</v>
      </c>
    </row>
    <row r="531">
      <c r="A531" s="16" t="n">
        <v>45540</v>
      </c>
      <c r="B531" s="19" t="n">
        <v>2333.93</v>
      </c>
      <c r="D531" s="16" t="n">
        <v>45539</v>
      </c>
      <c r="E531" s="19" t="n">
        <v>20.3</v>
      </c>
      <c r="G531" s="16" t="n">
        <v>44732</v>
      </c>
      <c r="H531" s="19" t="n">
        <v>3.172</v>
      </c>
      <c r="J531" s="16" t="n">
        <v>44732</v>
      </c>
      <c r="K531" s="19" t="n">
        <v>2.463</v>
      </c>
      <c r="M531" s="16" t="n">
        <v>45540</v>
      </c>
      <c r="N531" s="19" t="n">
        <v>180942</v>
      </c>
    </row>
    <row r="532">
      <c r="A532" s="16" t="n">
        <v>45539</v>
      </c>
      <c r="B532" s="19" t="n">
        <v>2305.49</v>
      </c>
      <c r="D532" s="16" t="n">
        <v>45538</v>
      </c>
      <c r="E532" s="19" t="n">
        <v>18.62</v>
      </c>
      <c r="G532" s="16" t="n">
        <v>44733</v>
      </c>
      <c r="H532" s="19" t="n">
        <v>3.163</v>
      </c>
      <c r="J532" s="16" t="n">
        <v>44733</v>
      </c>
      <c r="K532" s="19" t="n">
        <v>2.463</v>
      </c>
      <c r="M532" s="16" t="n">
        <v>45539</v>
      </c>
      <c r="N532" s="19" t="n">
        <v>178433</v>
      </c>
    </row>
    <row r="533">
      <c r="A533" s="16" t="n">
        <v>45538</v>
      </c>
      <c r="B533" s="19" t="n">
        <v>2342.41</v>
      </c>
      <c r="D533" s="16" t="n">
        <v>45537</v>
      </c>
      <c r="E533" s="19" t="n">
        <v>18.52</v>
      </c>
      <c r="G533" s="16" t="n">
        <v>44734</v>
      </c>
      <c r="H533" s="19" t="n">
        <v>3.152</v>
      </c>
      <c r="J533" s="16" t="n">
        <v>44734</v>
      </c>
      <c r="K533" s="19" t="n">
        <v>2.415</v>
      </c>
      <c r="M533" s="16" t="n">
        <v>45538</v>
      </c>
      <c r="N533" s="19" t="n">
        <v>179268</v>
      </c>
    </row>
    <row r="534">
      <c r="A534" s="16" t="n">
        <v>45537</v>
      </c>
      <c r="B534" s="19" t="n">
        <v>2337.39</v>
      </c>
      <c r="D534" s="16" t="n">
        <v>45534</v>
      </c>
      <c r="E534" s="19" t="n">
        <v>19.88</v>
      </c>
      <c r="G534" s="16" t="n">
        <v>44735</v>
      </c>
      <c r="H534" s="19" t="n">
        <v>3.111</v>
      </c>
      <c r="J534" s="16" t="n">
        <v>44735</v>
      </c>
      <c r="K534" s="19" t="n">
        <v>2.391</v>
      </c>
      <c r="M534" s="16" t="n">
        <v>45537</v>
      </c>
      <c r="N534" s="19" t="n">
        <v>179354</v>
      </c>
    </row>
    <row r="535">
      <c r="A535" s="16" t="n">
        <v>45534</v>
      </c>
      <c r="B535" s="19" t="n">
        <v>2304.88</v>
      </c>
      <c r="D535" s="16" t="n">
        <v>45533</v>
      </c>
      <c r="E535" s="19" t="n">
        <v>18.9</v>
      </c>
      <c r="G535" s="16" t="n">
        <v>44736</v>
      </c>
      <c r="H535" s="19" t="n">
        <v>3.2</v>
      </c>
      <c r="J535" s="16" t="n">
        <v>44736</v>
      </c>
      <c r="K535" s="19" t="n">
        <v>2.418</v>
      </c>
      <c r="M535" s="16" t="n">
        <v>45534</v>
      </c>
      <c r="N535" s="19" t="n">
        <v>178451</v>
      </c>
    </row>
    <row r="536">
      <c r="A536" s="16" t="n">
        <v>45533</v>
      </c>
      <c r="B536" s="19" t="n">
        <v>2330.34</v>
      </c>
      <c r="D536" s="16" t="n">
        <v>45532</v>
      </c>
      <c r="E536" s="19" t="n">
        <v>19.82</v>
      </c>
      <c r="G536" s="16" t="n">
        <v>44739</v>
      </c>
      <c r="H536" s="19" t="n">
        <v>3.203</v>
      </c>
      <c r="J536" s="16" t="n">
        <v>44739</v>
      </c>
      <c r="K536" s="19" t="n">
        <v>2.426</v>
      </c>
      <c r="M536" s="16" t="n">
        <v>45533</v>
      </c>
      <c r="N536" s="19" t="n">
        <v>179330</v>
      </c>
    </row>
    <row r="537">
      <c r="A537" s="16" t="n">
        <v>45532</v>
      </c>
      <c r="B537" s="19" t="n">
        <v>2319.3</v>
      </c>
      <c r="D537" s="16" t="n">
        <v>45531</v>
      </c>
      <c r="E537" s="19" t="n">
        <v>19.94</v>
      </c>
      <c r="G537" s="16" t="n">
        <v>44740</v>
      </c>
      <c r="H537" s="19" t="n">
        <v>3.237</v>
      </c>
      <c r="J537" s="16" t="n">
        <v>44740</v>
      </c>
      <c r="K537" s="19" t="n">
        <v>2.442</v>
      </c>
      <c r="M537" s="16" t="n">
        <v>45532</v>
      </c>
      <c r="N537" s="19" t="n">
        <v>178573</v>
      </c>
    </row>
    <row r="538">
      <c r="A538" s="16" t="n">
        <v>45531</v>
      </c>
      <c r="B538" s="19" t="n">
        <v>2295.92</v>
      </c>
      <c r="D538" s="16" t="n">
        <v>45530</v>
      </c>
      <c r="E538" s="19" t="n">
        <v>18.18</v>
      </c>
      <c r="G538" s="16" t="n">
        <v>44741</v>
      </c>
      <c r="H538" s="19" t="n">
        <v>3.339</v>
      </c>
      <c r="J538" s="16" t="n">
        <v>44741</v>
      </c>
      <c r="K538" s="19" t="n">
        <v>2.471</v>
      </c>
      <c r="M538" s="16" t="n">
        <v>45531</v>
      </c>
      <c r="N538" s="19" t="n">
        <v>177016</v>
      </c>
    </row>
    <row r="539">
      <c r="A539" s="16" t="n">
        <v>45530</v>
      </c>
      <c r="B539" s="19" t="n">
        <v>2326.39</v>
      </c>
      <c r="D539" s="16" t="n">
        <v>45527</v>
      </c>
      <c r="E539" s="19" t="n">
        <v>18.08</v>
      </c>
      <c r="G539" s="16" t="n">
        <v>44742</v>
      </c>
      <c r="H539" s="19" t="n">
        <v>3.307</v>
      </c>
      <c r="J539" s="16" t="n">
        <v>44742</v>
      </c>
      <c r="K539" s="19" t="n">
        <v>2.45</v>
      </c>
      <c r="M539" s="16" t="n">
        <v>45530</v>
      </c>
      <c r="N539" s="19" t="n">
        <v>178673</v>
      </c>
    </row>
    <row r="540">
      <c r="A540" s="16" t="n">
        <v>45527</v>
      </c>
      <c r="B540" s="19" t="n">
        <v>2313.08</v>
      </c>
      <c r="D540" s="16" t="n">
        <v>45526</v>
      </c>
      <c r="E540" s="19" t="n">
        <v>19.23</v>
      </c>
      <c r="G540" s="16" t="n">
        <v>44743</v>
      </c>
      <c r="H540" s="19" t="n">
        <v>3.333</v>
      </c>
      <c r="J540" s="16" t="n">
        <v>44743</v>
      </c>
      <c r="K540" s="19" t="n">
        <v>2.435</v>
      </c>
      <c r="M540" s="16" t="n">
        <v>45527</v>
      </c>
      <c r="N540" s="19" t="n">
        <v>178918</v>
      </c>
    </row>
    <row r="541">
      <c r="A541" s="16" t="n">
        <v>45526</v>
      </c>
      <c r="B541" s="19" t="n">
        <v>2290.95</v>
      </c>
      <c r="D541" s="16" t="n">
        <v>45525</v>
      </c>
      <c r="E541" s="19" t="n">
        <v>19.21</v>
      </c>
      <c r="G541" s="16" t="n">
        <v>44746</v>
      </c>
      <c r="H541" s="19" t="n">
        <v>3.249</v>
      </c>
      <c r="J541" s="16" t="n">
        <v>44746</v>
      </c>
      <c r="K541" s="19" t="n">
        <v>2.387</v>
      </c>
      <c r="M541" s="16" t="n">
        <v>45526</v>
      </c>
      <c r="N541" s="19" t="n">
        <v>178058</v>
      </c>
    </row>
    <row r="542">
      <c r="A542" s="16" t="n">
        <v>45525</v>
      </c>
      <c r="B542" s="19" t="n">
        <v>2294.23</v>
      </c>
      <c r="D542" s="16" t="n">
        <v>45524</v>
      </c>
      <c r="E542" s="19" t="n">
        <v>18.23</v>
      </c>
      <c r="G542" s="16" t="n">
        <v>44747</v>
      </c>
      <c r="H542" s="19" t="n">
        <v>3.233</v>
      </c>
      <c r="J542" s="16" t="n">
        <v>44747</v>
      </c>
      <c r="K542" s="19" t="n">
        <v>2.351</v>
      </c>
      <c r="M542" s="16" t="n">
        <v>45525</v>
      </c>
      <c r="N542" s="19" t="n">
        <v>178377</v>
      </c>
    </row>
    <row r="543">
      <c r="A543" s="16" t="n">
        <v>45524</v>
      </c>
      <c r="B543" s="19" t="n">
        <v>2316.36</v>
      </c>
      <c r="D543" s="16" t="n">
        <v>45523</v>
      </c>
      <c r="E543" s="19" t="n">
        <v>18.7</v>
      </c>
      <c r="G543" s="16" t="n">
        <v>44748</v>
      </c>
      <c r="H543" s="19" t="n">
        <v>3.168</v>
      </c>
      <c r="J543" s="16" t="n">
        <v>44748</v>
      </c>
      <c r="K543" s="19" t="n">
        <v>2.33</v>
      </c>
      <c r="M543" s="16" t="n">
        <v>45524</v>
      </c>
      <c r="N543" s="19" t="n">
        <v>178955</v>
      </c>
    </row>
    <row r="544">
      <c r="A544" s="16" t="n">
        <v>45523</v>
      </c>
      <c r="B544" s="19" t="n">
        <v>2279.99</v>
      </c>
      <c r="D544" s="16" t="n">
        <v>45520</v>
      </c>
      <c r="E544" s="19" t="n">
        <v>16.79</v>
      </c>
      <c r="G544" s="16" t="n">
        <v>44749</v>
      </c>
      <c r="H544" s="19" t="n">
        <v>3.234</v>
      </c>
      <c r="J544" s="16" t="n">
        <v>44749</v>
      </c>
      <c r="K544" s="19" t="n">
        <v>2.351</v>
      </c>
      <c r="M544" s="16" t="n">
        <v>45523</v>
      </c>
      <c r="N544" s="19" t="n">
        <v>176788</v>
      </c>
    </row>
    <row r="545">
      <c r="A545" s="16" t="n">
        <v>45520</v>
      </c>
      <c r="B545" s="19" t="n">
        <v>2309.97</v>
      </c>
      <c r="D545" s="16" t="n">
        <v>45518</v>
      </c>
      <c r="E545" s="19" t="n">
        <v>18.45</v>
      </c>
      <c r="G545" s="16" t="n">
        <v>44750</v>
      </c>
      <c r="H545" s="19" t="n">
        <v>3.227</v>
      </c>
      <c r="J545" s="16" t="n">
        <v>44750</v>
      </c>
      <c r="K545" s="19" t="n">
        <v>2.372</v>
      </c>
      <c r="M545" s="16" t="n">
        <v>45520</v>
      </c>
      <c r="N545" s="19" t="n">
        <v>178055</v>
      </c>
    </row>
    <row r="546">
      <c r="A546" s="16" t="n">
        <v>45518</v>
      </c>
      <c r="B546" s="19" t="n">
        <v>2287.97</v>
      </c>
      <c r="D546" s="16" t="n">
        <v>45517</v>
      </c>
      <c r="E546" s="19" t="n">
        <v>20.41</v>
      </c>
      <c r="G546" s="16" t="n">
        <v>44753</v>
      </c>
      <c r="H546" s="19" t="n">
        <v>3.226</v>
      </c>
      <c r="J546" s="16" t="n">
        <v>44753</v>
      </c>
      <c r="K546" s="19" t="n">
        <v>2.341</v>
      </c>
      <c r="M546" s="16" t="n">
        <v>45518</v>
      </c>
      <c r="N546" s="19" t="n">
        <v>177802</v>
      </c>
    </row>
    <row r="547">
      <c r="A547" s="16" t="n">
        <v>45517</v>
      </c>
      <c r="B547" s="19" t="n">
        <v>2239.69</v>
      </c>
      <c r="D547" s="16" t="n">
        <v>45516</v>
      </c>
      <c r="E547" s="19" t="n">
        <v>17.85</v>
      </c>
      <c r="G547" s="16" t="n">
        <v>44754</v>
      </c>
      <c r="H547" s="19" t="n">
        <v>3.218</v>
      </c>
      <c r="J547" s="16" t="n">
        <v>44754</v>
      </c>
      <c r="K547" s="19" t="n">
        <v>2.337</v>
      </c>
      <c r="M547" s="16" t="n">
        <v>45517</v>
      </c>
      <c r="N547" s="19" t="n">
        <v>175190</v>
      </c>
    </row>
    <row r="548">
      <c r="A548" s="16" t="n">
        <v>45516</v>
      </c>
      <c r="B548" s="19" t="n">
        <v>2271.56</v>
      </c>
      <c r="D548" s="16" t="n">
        <v>45513</v>
      </c>
      <c r="E548" s="19" t="n">
        <v>19.5</v>
      </c>
      <c r="G548" s="16" t="n">
        <v>44755</v>
      </c>
      <c r="H548" s="19" t="n">
        <v>3.26</v>
      </c>
      <c r="J548" s="16" t="n">
        <v>44755</v>
      </c>
      <c r="K548" s="19" t="n">
        <v>2.354</v>
      </c>
      <c r="M548" s="16" t="n">
        <v>45516</v>
      </c>
      <c r="N548" s="19" t="n">
        <v>177796</v>
      </c>
    </row>
    <row r="549">
      <c r="A549" s="16" t="n">
        <v>45513</v>
      </c>
      <c r="B549" s="19" t="n">
        <v>2257.35</v>
      </c>
      <c r="D549" s="16" t="n">
        <v>45512</v>
      </c>
      <c r="E549" s="19" t="n">
        <v>17.29</v>
      </c>
      <c r="G549" s="16" t="n">
        <v>44756</v>
      </c>
      <c r="H549" s="19" t="n">
        <v>3.242</v>
      </c>
      <c r="J549" s="16" t="n">
        <v>44756</v>
      </c>
      <c r="K549" s="19" t="n">
        <v>2.35</v>
      </c>
      <c r="M549" s="16" t="n">
        <v>45513</v>
      </c>
      <c r="N549" s="19" t="n">
        <v>177633</v>
      </c>
    </row>
    <row r="550">
      <c r="A550" s="16" t="n">
        <v>45512</v>
      </c>
      <c r="B550" s="19" t="n">
        <v>2278.38</v>
      </c>
      <c r="D550" s="16" t="n">
        <v>45511</v>
      </c>
      <c r="E550" s="19" t="n">
        <v>16.41</v>
      </c>
      <c r="G550" s="16" t="n">
        <v>44757</v>
      </c>
      <c r="H550" s="19" t="n">
        <v>3.21</v>
      </c>
      <c r="J550" s="16" t="n">
        <v>44757</v>
      </c>
      <c r="K550" s="19" t="n">
        <v>2.337</v>
      </c>
      <c r="M550" s="16" t="n">
        <v>45512</v>
      </c>
      <c r="N550" s="19" t="n">
        <v>179367</v>
      </c>
    </row>
    <row r="551">
      <c r="A551" s="16" t="n">
        <v>45511</v>
      </c>
      <c r="B551" s="19" t="n">
        <v>2294.63</v>
      </c>
      <c r="D551" s="16" t="n">
        <v>45510</v>
      </c>
      <c r="E551" s="19" t="n">
        <v>14.08</v>
      </c>
      <c r="G551" s="16" t="n">
        <v>44760</v>
      </c>
      <c r="H551" s="19" t="n">
        <v>3.188</v>
      </c>
      <c r="J551" s="16" t="n">
        <v>44760</v>
      </c>
      <c r="K551" s="19" t="n">
        <v>2.357</v>
      </c>
      <c r="M551" s="16" t="n">
        <v>45511</v>
      </c>
      <c r="N551" s="19" t="n">
        <v>179887</v>
      </c>
    </row>
    <row r="552">
      <c r="A552" s="16" t="n">
        <v>45510</v>
      </c>
      <c r="B552" s="19" t="n">
        <v>2327.27</v>
      </c>
      <c r="D552" s="16" t="n">
        <v>45509</v>
      </c>
      <c r="E552" s="19" t="n">
        <v>15.54</v>
      </c>
      <c r="G552" s="16" t="n">
        <v>44761</v>
      </c>
      <c r="H552" s="19" t="n">
        <v>3.216</v>
      </c>
      <c r="J552" s="16" t="n">
        <v>44761</v>
      </c>
      <c r="K552" s="19" t="n">
        <v>2.39</v>
      </c>
      <c r="M552" s="16" t="n">
        <v>45510</v>
      </c>
      <c r="N552" s="19" t="n">
        <v>180090</v>
      </c>
    </row>
    <row r="553">
      <c r="A553" s="16" t="n">
        <v>45509</v>
      </c>
      <c r="B553" s="19" t="n">
        <v>2302.18</v>
      </c>
      <c r="D553" s="16" t="n">
        <v>45506</v>
      </c>
      <c r="E553" s="19" t="n">
        <v>15.82</v>
      </c>
      <c r="G553" s="16" t="n">
        <v>44762</v>
      </c>
      <c r="H553" s="19" t="n">
        <v>3.245</v>
      </c>
      <c r="J553" s="16" t="n">
        <v>44762</v>
      </c>
      <c r="K553" s="19" t="n">
        <v>2.42</v>
      </c>
      <c r="M553" s="16" t="n">
        <v>45509</v>
      </c>
      <c r="N553" s="19" t="n">
        <v>179055</v>
      </c>
    </row>
    <row r="554">
      <c r="A554" s="16" t="n">
        <v>45506</v>
      </c>
      <c r="B554" s="19" t="n">
        <v>2286.41</v>
      </c>
      <c r="D554" s="16" t="n">
        <v>45505</v>
      </c>
      <c r="E554" s="19" t="n">
        <v>15.96</v>
      </c>
      <c r="G554" s="16" t="n">
        <v>44763</v>
      </c>
      <c r="H554" s="19" t="n">
        <v>3.255</v>
      </c>
      <c r="J554" s="16" t="n">
        <v>44763</v>
      </c>
      <c r="K554" s="19" t="n">
        <v>2.425</v>
      </c>
      <c r="M554" s="16" t="n">
        <v>45506</v>
      </c>
      <c r="N554" s="19" t="n">
        <v>177159</v>
      </c>
    </row>
    <row r="555">
      <c r="A555" s="16" t="n">
        <v>45505</v>
      </c>
      <c r="B555" s="19" t="n">
        <v>2307.54</v>
      </c>
      <c r="D555" s="16" t="n">
        <v>45504</v>
      </c>
      <c r="E555" s="19" t="n">
        <v>15.77</v>
      </c>
      <c r="G555" s="16" t="n">
        <v>44764</v>
      </c>
      <c r="H555" s="19" t="n">
        <v>3.243</v>
      </c>
      <c r="J555" s="16" t="n">
        <v>44764</v>
      </c>
      <c r="K555" s="19" t="n">
        <v>2.392</v>
      </c>
      <c r="M555" s="16" t="n">
        <v>45505</v>
      </c>
      <c r="N555" s="19" t="n">
        <v>179051</v>
      </c>
    </row>
    <row r="556">
      <c r="A556" s="16" t="n">
        <v>45504</v>
      </c>
      <c r="B556" s="19" t="n">
        <v>2300.93</v>
      </c>
      <c r="D556" s="16" t="n">
        <v>45503</v>
      </c>
      <c r="E556" s="19" t="n">
        <v>16.65</v>
      </c>
      <c r="G556" s="16" t="n">
        <v>44767</v>
      </c>
      <c r="H556" s="19" t="n">
        <v>3.303</v>
      </c>
      <c r="J556" s="16" t="n">
        <v>44767</v>
      </c>
      <c r="K556" s="19" t="n">
        <v>2.436</v>
      </c>
      <c r="M556" s="16" t="n">
        <v>45504</v>
      </c>
      <c r="N556" s="19" t="n">
        <v>177965</v>
      </c>
    </row>
    <row r="557">
      <c r="A557" s="16" t="n">
        <v>45503</v>
      </c>
      <c r="B557" s="19" t="n">
        <v>2285.46</v>
      </c>
      <c r="D557" s="16" t="n">
        <v>45502</v>
      </c>
      <c r="E557" s="19" t="n">
        <v>17.09</v>
      </c>
      <c r="G557" s="16" t="n">
        <v>44768</v>
      </c>
      <c r="H557" s="19" t="n">
        <v>3.317</v>
      </c>
      <c r="J557" s="16" t="n">
        <v>44768</v>
      </c>
      <c r="K557" s="19" t="n">
        <v>2.447</v>
      </c>
      <c r="M557" s="16" t="n">
        <v>45503</v>
      </c>
      <c r="N557" s="19" t="n">
        <v>178086</v>
      </c>
    </row>
    <row r="558">
      <c r="A558" s="16" t="n">
        <v>45502</v>
      </c>
      <c r="B558" s="19" t="n">
        <v>2265.93</v>
      </c>
      <c r="D558" s="16" t="n">
        <v>45499</v>
      </c>
      <c r="E558" s="19" t="n">
        <v>15.84</v>
      </c>
      <c r="G558" s="16" t="n">
        <v>44769</v>
      </c>
      <c r="H558" s="19" t="n">
        <v>3.286</v>
      </c>
      <c r="J558" s="16" t="n">
        <v>44769</v>
      </c>
      <c r="K558" s="19" t="n">
        <v>2.417</v>
      </c>
      <c r="M558" s="16" t="n">
        <v>45502</v>
      </c>
      <c r="N558" s="19" t="n">
        <v>176776</v>
      </c>
    </row>
    <row r="559">
      <c r="A559" s="16" t="n">
        <v>45499</v>
      </c>
      <c r="B559" s="19" t="n">
        <v>2288.31</v>
      </c>
      <c r="D559" s="16" t="n">
        <v>45498</v>
      </c>
      <c r="E559" s="19" t="n">
        <v>16.16</v>
      </c>
      <c r="G559" s="16" t="n">
        <v>44770</v>
      </c>
      <c r="H559" s="19" t="n">
        <v>3.265</v>
      </c>
      <c r="J559" s="16" t="n">
        <v>44770</v>
      </c>
      <c r="K559" s="19" t="n">
        <v>2.396</v>
      </c>
      <c r="M559" s="16" t="n">
        <v>45499</v>
      </c>
      <c r="N559" s="19" t="n">
        <v>177796</v>
      </c>
    </row>
    <row r="560">
      <c r="A560" s="16" t="n">
        <v>45498</v>
      </c>
      <c r="B560" s="19" t="n">
        <v>2276.66</v>
      </c>
      <c r="D560" s="16" t="n">
        <v>45497</v>
      </c>
      <c r="E560" s="19" t="n">
        <v>16.52</v>
      </c>
      <c r="G560" s="16" t="n">
        <v>44771</v>
      </c>
      <c r="H560" s="19" t="n">
        <v>3.314</v>
      </c>
      <c r="J560" s="16" t="n">
        <v>44771</v>
      </c>
      <c r="K560" s="19" t="n">
        <v>2.433</v>
      </c>
      <c r="M560" s="16" t="n">
        <v>45498</v>
      </c>
      <c r="N560" s="19" t="n">
        <v>176069</v>
      </c>
    </row>
    <row r="561">
      <c r="A561" s="16" t="n">
        <v>45497</v>
      </c>
      <c r="B561" s="19" t="n">
        <v>2272.73</v>
      </c>
      <c r="D561" s="16" t="n">
        <v>45496</v>
      </c>
      <c r="E561" s="19" t="n">
        <v>15.13</v>
      </c>
      <c r="G561" s="16" t="n">
        <v>44774</v>
      </c>
      <c r="H561" s="19" t="n">
        <v>3.289</v>
      </c>
      <c r="J561" s="16" t="n">
        <v>44774</v>
      </c>
      <c r="K561" s="19" t="n">
        <v>2.423</v>
      </c>
      <c r="M561" s="16" t="n">
        <v>45497</v>
      </c>
      <c r="N561" s="19" t="n">
        <v>177296</v>
      </c>
    </row>
    <row r="562">
      <c r="A562" s="16" t="n">
        <v>45496</v>
      </c>
      <c r="B562" s="19" t="n">
        <v>2282.58</v>
      </c>
      <c r="D562" s="16" t="n">
        <v>45495</v>
      </c>
      <c r="E562" s="19" t="n">
        <v>16.51</v>
      </c>
      <c r="G562" s="16" t="n">
        <v>44775</v>
      </c>
      <c r="H562" s="19" t="n">
        <v>3.319</v>
      </c>
      <c r="J562" s="16" t="n">
        <v>44775</v>
      </c>
      <c r="K562" s="19" t="n">
        <v>2.406</v>
      </c>
      <c r="M562" s="16" t="n">
        <v>45496</v>
      </c>
      <c r="N562" s="19" t="n">
        <v>177622</v>
      </c>
    </row>
    <row r="563">
      <c r="A563" s="16" t="n">
        <v>45495</v>
      </c>
      <c r="B563" s="19" t="n">
        <v>2259.63</v>
      </c>
      <c r="D563" s="16" t="n">
        <v>45492</v>
      </c>
      <c r="E563" s="19" t="n">
        <v>18.79</v>
      </c>
      <c r="G563" s="16" t="n">
        <v>44776</v>
      </c>
      <c r="H563" s="19" t="n">
        <v>3.335</v>
      </c>
      <c r="J563" s="16" t="n">
        <v>44776</v>
      </c>
      <c r="K563" s="19" t="n">
        <v>2.439</v>
      </c>
      <c r="M563" s="16" t="n">
        <v>45495</v>
      </c>
      <c r="N563" s="19" t="n">
        <v>175615</v>
      </c>
    </row>
    <row r="564">
      <c r="A564" s="16" t="n">
        <v>45492</v>
      </c>
      <c r="B564" s="19" t="n">
        <v>2216.15</v>
      </c>
      <c r="D564" s="16" t="n">
        <v>45491</v>
      </c>
      <c r="E564" s="19" t="n">
        <v>17.36</v>
      </c>
      <c r="G564" s="16" t="n">
        <v>44777</v>
      </c>
      <c r="H564" s="19" t="n">
        <v>3.336</v>
      </c>
      <c r="J564" s="16" t="n">
        <v>44777</v>
      </c>
      <c r="K564" s="19" t="n">
        <v>2.468</v>
      </c>
      <c r="M564" s="16" t="n">
        <v>45492</v>
      </c>
      <c r="N564" s="19" t="n">
        <v>173233</v>
      </c>
    </row>
    <row r="565">
      <c r="A565" s="16" t="n">
        <v>45491</v>
      </c>
      <c r="B565" s="19" t="n">
        <v>2249.67</v>
      </c>
      <c r="D565" s="16" t="n">
        <v>45490</v>
      </c>
      <c r="E565" s="19" t="n">
        <v>18.05</v>
      </c>
      <c r="G565" s="16" t="n">
        <v>44778</v>
      </c>
      <c r="H565" s="19" t="n">
        <v>3.4</v>
      </c>
      <c r="J565" s="16" t="n">
        <v>44778</v>
      </c>
      <c r="K565" s="19" t="n">
        <v>2.495</v>
      </c>
      <c r="M565" s="16" t="n">
        <v>45491</v>
      </c>
      <c r="N565" s="19" t="n">
        <v>173501</v>
      </c>
    </row>
    <row r="566">
      <c r="A566" s="16" t="n">
        <v>45490</v>
      </c>
      <c r="B566" s="19" t="n">
        <v>2244.39</v>
      </c>
      <c r="D566" s="16" t="n">
        <v>45489</v>
      </c>
      <c r="E566" s="19" t="n">
        <v>17.88</v>
      </c>
      <c r="G566" s="16" t="n">
        <v>44781</v>
      </c>
      <c r="H566" s="19" t="n">
        <v>3.378</v>
      </c>
      <c r="J566" s="16" t="n">
        <v>44781</v>
      </c>
      <c r="K566" s="19" t="n">
        <v>2.509</v>
      </c>
      <c r="M566" s="16" t="n">
        <v>45490</v>
      </c>
      <c r="N566" s="19" t="n">
        <v>172976</v>
      </c>
    </row>
    <row r="567">
      <c r="A567" s="16" t="n">
        <v>45489</v>
      </c>
      <c r="B567" s="19" t="n">
        <v>2256.24</v>
      </c>
      <c r="D567" s="16" t="n">
        <v>45488</v>
      </c>
      <c r="E567" s="19" t="n">
        <v>19.16</v>
      </c>
      <c r="G567" s="16" t="n">
        <v>44782</v>
      </c>
      <c r="H567" s="19" t="n">
        <v>3.382</v>
      </c>
      <c r="J567" s="16" t="n">
        <v>44782</v>
      </c>
      <c r="K567" s="19" t="n">
        <v>2.514</v>
      </c>
      <c r="M567" s="16" t="n">
        <v>45489</v>
      </c>
      <c r="N567" s="19" t="n">
        <v>174170</v>
      </c>
    </row>
    <row r="568">
      <c r="A568" s="16" t="n">
        <v>45488</v>
      </c>
      <c r="B568" s="19" t="n">
        <v>2197.19</v>
      </c>
      <c r="D568" s="16" t="n">
        <v>45485</v>
      </c>
      <c r="E568" s="19" t="n">
        <v>17.85</v>
      </c>
      <c r="G568" s="16" t="n">
        <v>44783</v>
      </c>
      <c r="H568" s="19" t="n">
        <v>3.423</v>
      </c>
      <c r="J568" s="16" t="n">
        <v>44783</v>
      </c>
      <c r="K568" s="19" t="n">
        <v>2.512</v>
      </c>
      <c r="M568" s="16" t="n">
        <v>45488</v>
      </c>
      <c r="N568" s="19" t="n">
        <v>172485</v>
      </c>
    </row>
    <row r="569">
      <c r="A569" s="16" t="n">
        <v>45485</v>
      </c>
      <c r="B569" s="19" t="n">
        <v>2204.58</v>
      </c>
      <c r="D569" s="16" t="n">
        <v>45484</v>
      </c>
      <c r="E569" s="19" t="n">
        <v>17.22</v>
      </c>
      <c r="G569" s="16" t="n">
        <v>44784</v>
      </c>
      <c r="H569" s="19" t="n">
        <v>3.478</v>
      </c>
      <c r="J569" s="16" t="n">
        <v>44784</v>
      </c>
      <c r="K569" s="19" t="n">
        <v>2.533</v>
      </c>
      <c r="M569" s="16" t="n">
        <v>45485</v>
      </c>
      <c r="N569" s="19" t="n">
        <v>172184</v>
      </c>
    </row>
    <row r="570">
      <c r="A570" s="16" t="n">
        <v>45484</v>
      </c>
      <c r="B570" s="19" t="n">
        <v>2206.78</v>
      </c>
      <c r="D570" s="16" t="n">
        <v>45483</v>
      </c>
      <c r="E570" s="19" t="n">
        <v>17.32</v>
      </c>
      <c r="G570" s="16" t="n">
        <v>44785</v>
      </c>
      <c r="H570" s="19" t="n">
        <v>3.501</v>
      </c>
      <c r="J570" s="16" t="n">
        <v>44785</v>
      </c>
      <c r="K570" s="19" t="n">
        <v>2.52</v>
      </c>
      <c r="M570" s="16" t="n">
        <v>45484</v>
      </c>
      <c r="N570" s="19" t="n">
        <v>172986</v>
      </c>
    </row>
    <row r="571">
      <c r="A571" s="16" t="n">
        <v>45483</v>
      </c>
      <c r="B571" s="19" t="n">
        <v>2197.67</v>
      </c>
      <c r="D571" s="16" t="n">
        <v>45482</v>
      </c>
      <c r="E571" s="19" t="n">
        <v>15.63</v>
      </c>
      <c r="G571" s="16" t="n">
        <v>44789</v>
      </c>
      <c r="H571" s="19" t="n">
        <v>3.539</v>
      </c>
      <c r="J571" s="16" t="n">
        <v>44789</v>
      </c>
      <c r="K571" s="19" t="n">
        <v>2.554</v>
      </c>
      <c r="M571" s="16" t="n">
        <v>45483</v>
      </c>
      <c r="N571" s="19" t="n">
        <v>172981</v>
      </c>
    </row>
    <row r="572">
      <c r="A572" s="16" t="n">
        <v>45482</v>
      </c>
      <c r="B572" s="19" t="n">
        <v>2246.82</v>
      </c>
      <c r="D572" s="16" t="n">
        <v>45481</v>
      </c>
      <c r="E572" s="19" t="n">
        <v>15.68</v>
      </c>
      <c r="G572" s="16" t="n">
        <v>44790</v>
      </c>
      <c r="H572" s="19" t="n">
        <v>3.536</v>
      </c>
      <c r="J572" s="16" t="n">
        <v>44790</v>
      </c>
      <c r="K572" s="19" t="n">
        <v>2.532</v>
      </c>
      <c r="M572" s="16" t="n">
        <v>45482</v>
      </c>
      <c r="N572" s="19" t="n">
        <v>175146</v>
      </c>
    </row>
    <row r="573">
      <c r="A573" s="16" t="n">
        <v>45481</v>
      </c>
      <c r="B573" s="19" t="n">
        <v>2261.22</v>
      </c>
      <c r="D573" s="16" t="n">
        <v>45478</v>
      </c>
      <c r="E573" s="19" t="n">
        <v>15.56</v>
      </c>
      <c r="G573" s="16" t="n">
        <v>44791</v>
      </c>
      <c r="H573" s="19" t="n">
        <v>3.496</v>
      </c>
      <c r="J573" s="16" t="n">
        <v>44791</v>
      </c>
      <c r="K573" s="19" t="n">
        <v>2.526</v>
      </c>
      <c r="M573" s="16" t="n">
        <v>45481</v>
      </c>
      <c r="N573" s="19" t="n">
        <v>175685</v>
      </c>
    </row>
    <row r="574">
      <c r="A574" s="16" t="n">
        <v>45478</v>
      </c>
      <c r="B574" s="19" t="n">
        <v>2257.9</v>
      </c>
      <c r="D574" s="16" t="n">
        <v>45477</v>
      </c>
      <c r="E574" s="19" t="n">
        <v>14.96</v>
      </c>
      <c r="G574" s="16" t="n">
        <v>44792</v>
      </c>
      <c r="H574" s="19" t="n">
        <v>3.472</v>
      </c>
      <c r="J574" s="16" t="n">
        <v>44792</v>
      </c>
      <c r="K574" s="19" t="n">
        <v>2.524</v>
      </c>
      <c r="M574" s="16" t="n">
        <v>45478</v>
      </c>
      <c r="N574" s="19" t="n">
        <v>174663</v>
      </c>
    </row>
    <row r="575">
      <c r="A575" s="16" t="n">
        <v>45477</v>
      </c>
      <c r="B575" s="19" t="n">
        <v>2293.35</v>
      </c>
      <c r="D575" s="16" t="n">
        <v>45476</v>
      </c>
      <c r="E575" s="19" t="n">
        <v>15.56</v>
      </c>
      <c r="G575" s="16" t="n">
        <v>44795</v>
      </c>
      <c r="H575" s="19" t="n">
        <v>3.455</v>
      </c>
      <c r="J575" s="16" t="n">
        <v>44795</v>
      </c>
      <c r="K575" s="19" t="n">
        <v>2.534</v>
      </c>
      <c r="M575" s="16" t="n">
        <v>45477</v>
      </c>
      <c r="N575" s="19" t="n">
        <v>176140</v>
      </c>
    </row>
    <row r="576">
      <c r="A576" s="16" t="n">
        <v>45476</v>
      </c>
      <c r="B576" s="19" t="n">
        <v>2280.41</v>
      </c>
      <c r="D576" s="16" t="n">
        <v>45475</v>
      </c>
      <c r="E576" s="19" t="n">
        <v>13.36</v>
      </c>
      <c r="G576" s="16" t="n">
        <v>44796</v>
      </c>
      <c r="H576" s="19" t="n">
        <v>3.463</v>
      </c>
      <c r="J576" s="16" t="n">
        <v>44796</v>
      </c>
      <c r="K576" s="19" t="n">
        <v>2.554</v>
      </c>
      <c r="M576" s="16" t="n">
        <v>45476</v>
      </c>
      <c r="N576" s="19" t="n">
        <v>176177</v>
      </c>
    </row>
    <row r="577">
      <c r="A577" s="16" t="n">
        <v>45475</v>
      </c>
      <c r="B577" s="19" t="n">
        <v>2329.59</v>
      </c>
      <c r="D577" s="16" t="n">
        <v>45474</v>
      </c>
      <c r="E577" s="19" t="n">
        <v>11.64</v>
      </c>
      <c r="G577" s="16" t="n">
        <v>44797</v>
      </c>
      <c r="H577" s="19" t="n">
        <v>3.447</v>
      </c>
      <c r="J577" s="16" t="n">
        <v>44797</v>
      </c>
      <c r="K577" s="19" t="n">
        <v>2.577</v>
      </c>
      <c r="M577" s="16" t="n">
        <v>45475</v>
      </c>
      <c r="N577" s="19" t="n">
        <v>179298</v>
      </c>
    </row>
    <row r="578">
      <c r="A578" s="16" t="n">
        <v>45474</v>
      </c>
      <c r="B578" s="19" t="n">
        <v>2348.76</v>
      </c>
      <c r="D578" s="16" t="n">
        <v>45471</v>
      </c>
      <c r="E578" s="19" t="n">
        <v>12.78</v>
      </c>
      <c r="G578" s="16" t="n">
        <v>44798</v>
      </c>
      <c r="H578" s="19" t="n">
        <v>3.531</v>
      </c>
      <c r="J578" s="16" t="n">
        <v>44798</v>
      </c>
      <c r="K578" s="19" t="n">
        <v>2.653</v>
      </c>
      <c r="M578" s="16" t="n">
        <v>45474</v>
      </c>
      <c r="N578" s="19" t="n">
        <v>180431</v>
      </c>
    </row>
    <row r="579">
      <c r="A579" s="16" t="n">
        <v>45471</v>
      </c>
      <c r="B579" s="19" t="n">
        <v>2320.14</v>
      </c>
      <c r="D579" s="16" t="n">
        <v>45470</v>
      </c>
      <c r="E579" s="19" t="n">
        <v>15.41</v>
      </c>
      <c r="G579" s="16" t="n">
        <v>44799</v>
      </c>
      <c r="H579" s="19" t="n">
        <v>3.527</v>
      </c>
      <c r="J579" s="16" t="n">
        <v>44799</v>
      </c>
      <c r="K579" s="19" t="n">
        <v>2.62</v>
      </c>
      <c r="M579" s="16" t="n">
        <v>45471</v>
      </c>
      <c r="N579" s="19" t="n">
        <v>178564</v>
      </c>
    </row>
    <row r="580">
      <c r="A580" s="16" t="n">
        <v>45470</v>
      </c>
      <c r="B580" s="19" t="n">
        <v>2249.77</v>
      </c>
      <c r="D580" s="16" t="n">
        <v>45469</v>
      </c>
      <c r="E580" s="19" t="n">
        <v>16.34</v>
      </c>
      <c r="G580" s="16" t="n">
        <v>44802</v>
      </c>
      <c r="H580" s="19" t="n">
        <v>3.529</v>
      </c>
      <c r="J580" s="16" t="n">
        <v>44802</v>
      </c>
      <c r="K580" s="19" t="n">
        <v>2.62</v>
      </c>
      <c r="M580" s="16" t="n">
        <v>45470</v>
      </c>
      <c r="N580" s="19" t="n">
        <v>174261</v>
      </c>
    </row>
    <row r="581">
      <c r="A581" s="16" t="n">
        <v>45469</v>
      </c>
      <c r="B581" s="19" t="n">
        <v>2235.37</v>
      </c>
      <c r="D581" s="16" t="n">
        <v>45468</v>
      </c>
      <c r="E581" s="19" t="n">
        <v>14.65</v>
      </c>
      <c r="G581" s="16" t="n">
        <v>44803</v>
      </c>
      <c r="H581" s="19" t="n">
        <v>3.523</v>
      </c>
      <c r="J581" s="16" t="n">
        <v>44803</v>
      </c>
      <c r="K581" s="19" t="n">
        <v>2.593</v>
      </c>
      <c r="M581" s="16" t="n">
        <v>45469</v>
      </c>
      <c r="N581" s="19" t="n">
        <v>174105</v>
      </c>
    </row>
    <row r="582">
      <c r="A582" s="16" t="n">
        <v>45468</v>
      </c>
      <c r="B582" s="19" t="n">
        <v>2250.62</v>
      </c>
      <c r="D582" s="16" t="n">
        <v>45467</v>
      </c>
      <c r="E582" s="19" t="n">
        <v>14.34</v>
      </c>
      <c r="G582" s="16" t="n">
        <v>44804</v>
      </c>
      <c r="H582" s="19" t="n">
        <v>3.501</v>
      </c>
      <c r="J582" s="16" t="n">
        <v>44804</v>
      </c>
      <c r="K582" s="19" t="n">
        <v>2.583</v>
      </c>
      <c r="M582" s="16" t="n">
        <v>45468</v>
      </c>
      <c r="N582" s="19" t="n">
        <v>175331</v>
      </c>
    </row>
    <row r="583">
      <c r="A583" s="16" t="n">
        <v>45467</v>
      </c>
      <c r="B583" s="19" t="n">
        <v>2240.97</v>
      </c>
      <c r="D583" s="16" t="n">
        <v>45464</v>
      </c>
      <c r="E583" s="19" t="n">
        <v>16.56</v>
      </c>
      <c r="G583" s="16" t="n">
        <v>44805</v>
      </c>
      <c r="H583" s="19" t="n">
        <v>3.542</v>
      </c>
      <c r="J583" s="16" t="n">
        <v>44805</v>
      </c>
      <c r="K583" s="19" t="n">
        <v>2.606</v>
      </c>
      <c r="M583" s="16" t="n">
        <v>45467</v>
      </c>
      <c r="N583" s="19" t="n">
        <v>175439</v>
      </c>
    </row>
    <row r="584">
      <c r="A584" s="16" t="n">
        <v>45464</v>
      </c>
      <c r="B584" s="19" t="n">
        <v>2198.56</v>
      </c>
      <c r="D584" s="16" t="n">
        <v>45463</v>
      </c>
      <c r="E584" s="19" t="n">
        <v>17</v>
      </c>
      <c r="G584" s="16" t="n">
        <v>44806</v>
      </c>
      <c r="H584" s="19" t="n">
        <v>3.527</v>
      </c>
      <c r="J584" s="16" t="n">
        <v>44806</v>
      </c>
      <c r="K584" s="19" t="n">
        <v>2.602</v>
      </c>
      <c r="M584" s="16" t="n">
        <v>45464</v>
      </c>
      <c r="N584" s="19" t="n">
        <v>172116</v>
      </c>
    </row>
    <row r="585">
      <c r="A585" s="16" t="n">
        <v>45463</v>
      </c>
      <c r="B585" s="19" t="n">
        <v>2189.58</v>
      </c>
      <c r="D585" s="16" t="n">
        <v>45462</v>
      </c>
      <c r="E585" s="19" t="n">
        <v>15.48</v>
      </c>
      <c r="G585" s="16" t="n">
        <v>44809</v>
      </c>
      <c r="H585" s="19" t="n">
        <v>3.544</v>
      </c>
      <c r="J585" s="16" t="n">
        <v>44809</v>
      </c>
      <c r="K585" s="19" t="n">
        <v>2.588</v>
      </c>
      <c r="M585" s="16" t="n">
        <v>45463</v>
      </c>
      <c r="N585" s="19" t="n">
        <v>171129</v>
      </c>
    </row>
    <row r="586">
      <c r="A586" s="16" t="n">
        <v>45462</v>
      </c>
      <c r="B586" s="19" t="n">
        <v>2215.99</v>
      </c>
      <c r="D586" s="16" t="n">
        <v>45461</v>
      </c>
      <c r="E586" s="19" t="n">
        <v>15.39</v>
      </c>
      <c r="G586" s="16" t="n">
        <v>44810</v>
      </c>
      <c r="H586" s="19" t="n">
        <v>3.605</v>
      </c>
      <c r="J586" s="16" t="n">
        <v>44810</v>
      </c>
      <c r="K586" s="19" t="n">
        <v>2.608</v>
      </c>
      <c r="M586" s="16" t="n">
        <v>45462</v>
      </c>
      <c r="N586" s="19" t="n">
        <v>172187</v>
      </c>
    </row>
    <row r="587">
      <c r="A587" s="16" t="n">
        <v>45461</v>
      </c>
      <c r="B587" s="19" t="n">
        <v>2222.74</v>
      </c>
      <c r="D587" s="16" t="n">
        <v>45460</v>
      </c>
      <c r="E587" s="19" t="n">
        <v>16.83</v>
      </c>
      <c r="G587" s="16" t="n">
        <v>44811</v>
      </c>
      <c r="H587" s="19" t="n">
        <v>3.539</v>
      </c>
      <c r="J587" s="16" t="n">
        <v>44811</v>
      </c>
      <c r="K587" s="19" t="n">
        <v>2.555</v>
      </c>
      <c r="M587" s="16" t="n">
        <v>45461</v>
      </c>
      <c r="N587" s="19" t="n">
        <v>172273</v>
      </c>
    </row>
    <row r="588">
      <c r="A588" s="16" t="n">
        <v>45460</v>
      </c>
      <c r="B588" s="19" t="n">
        <v>2189.96</v>
      </c>
      <c r="D588" s="16" t="n">
        <v>45457</v>
      </c>
      <c r="E588" s="19" t="n">
        <v>18.65</v>
      </c>
      <c r="G588" s="16" t="n">
        <v>44812</v>
      </c>
      <c r="H588" s="19" t="n">
        <v>3.546</v>
      </c>
      <c r="J588" s="16" t="n">
        <v>44812</v>
      </c>
      <c r="K588" s="19" t="n">
        <v>2.568</v>
      </c>
      <c r="M588" s="16" t="n">
        <v>45460</v>
      </c>
      <c r="N588" s="19" t="n">
        <v>171168</v>
      </c>
    </row>
    <row r="589">
      <c r="A589" s="16" t="n">
        <v>45457</v>
      </c>
      <c r="B589" s="19" t="n">
        <v>2168.11</v>
      </c>
      <c r="D589" s="16" t="n">
        <v>45456</v>
      </c>
      <c r="E589" s="19" t="n">
        <v>20.15</v>
      </c>
      <c r="G589" s="16" t="n">
        <v>44813</v>
      </c>
      <c r="H589" s="19" t="n">
        <v>3.473</v>
      </c>
      <c r="J589" s="16" t="n">
        <v>44813</v>
      </c>
      <c r="K589" s="19" t="n">
        <v>2.524</v>
      </c>
      <c r="M589" s="16" t="n">
        <v>45457</v>
      </c>
      <c r="N589" s="19" t="n">
        <v>171316</v>
      </c>
    </row>
    <row r="590">
      <c r="A590" s="16" t="n">
        <v>45456</v>
      </c>
      <c r="B590" s="19" t="n">
        <v>2140.57</v>
      </c>
      <c r="D590" s="16" t="n">
        <v>45455</v>
      </c>
      <c r="E590" s="19" t="n">
        <v>19.7</v>
      </c>
      <c r="G590" s="16" t="n">
        <v>44816</v>
      </c>
      <c r="H590" s="19" t="n">
        <v>3.548</v>
      </c>
      <c r="J590" s="16" t="n">
        <v>44816</v>
      </c>
      <c r="K590" s="19" t="n">
        <v>2.597</v>
      </c>
      <c r="M590" s="16" t="n">
        <v>45456</v>
      </c>
      <c r="N590" s="19" t="n">
        <v>170847</v>
      </c>
    </row>
    <row r="591">
      <c r="A591" s="16" t="n">
        <v>45455</v>
      </c>
      <c r="B591" s="19" t="n">
        <v>2150.67</v>
      </c>
      <c r="D591" s="16" t="n">
        <v>45454</v>
      </c>
      <c r="E591" s="19" t="n">
        <v>16.43</v>
      </c>
      <c r="G591" s="16" t="n">
        <v>44817</v>
      </c>
      <c r="H591" s="19" t="n">
        <v>3.598</v>
      </c>
      <c r="J591" s="16" t="n">
        <v>44817</v>
      </c>
      <c r="K591" s="19" t="n">
        <v>2.615</v>
      </c>
      <c r="M591" s="16" t="n">
        <v>45455</v>
      </c>
      <c r="N591" s="19" t="n">
        <v>171417</v>
      </c>
    </row>
    <row r="592">
      <c r="A592" s="16" t="n">
        <v>45454</v>
      </c>
      <c r="B592" s="19" t="n">
        <v>2212.46</v>
      </c>
      <c r="D592" s="16" t="n">
        <v>45453</v>
      </c>
      <c r="E592" s="19" t="n">
        <v>17.34</v>
      </c>
      <c r="G592" s="16" t="n">
        <v>44818</v>
      </c>
      <c r="H592" s="19" t="n">
        <v>3.64</v>
      </c>
      <c r="J592" s="16" t="n">
        <v>44818</v>
      </c>
      <c r="K592" s="19" t="n">
        <v>2.607</v>
      </c>
      <c r="M592" s="16" t="n">
        <v>45454</v>
      </c>
      <c r="N592" s="19" t="n">
        <v>174112</v>
      </c>
    </row>
    <row r="593">
      <c r="A593" s="16" t="n">
        <v>45453</v>
      </c>
      <c r="B593" s="19" t="n">
        <v>2194.54</v>
      </c>
      <c r="D593" s="16" t="n">
        <v>45450</v>
      </c>
      <c r="E593" s="19" t="n">
        <v>17.83</v>
      </c>
      <c r="G593" s="16" t="n">
        <v>44819</v>
      </c>
      <c r="H593" s="19" t="n">
        <v>3.723</v>
      </c>
      <c r="J593" s="16" t="n">
        <v>44819</v>
      </c>
      <c r="K593" s="19" t="n">
        <v>2.606</v>
      </c>
      <c r="M593" s="16" t="n">
        <v>45453</v>
      </c>
      <c r="N593" s="19" t="n">
        <v>173648</v>
      </c>
    </row>
    <row r="594">
      <c r="A594" s="16" t="n">
        <v>45450</v>
      </c>
      <c r="B594" s="19" t="n">
        <v>2183.5</v>
      </c>
      <c r="D594" s="16" t="n">
        <v>45449</v>
      </c>
      <c r="E594" s="19" t="n">
        <v>18.62</v>
      </c>
      <c r="G594" s="16" t="n">
        <v>44820</v>
      </c>
      <c r="H594" s="19" t="n">
        <v>3.731</v>
      </c>
      <c r="J594" s="16" t="n">
        <v>44820</v>
      </c>
      <c r="K594" s="19" t="n">
        <v>2.629</v>
      </c>
      <c r="M594" s="16" t="n">
        <v>45450</v>
      </c>
      <c r="N594" s="19" t="n">
        <v>172820</v>
      </c>
    </row>
    <row r="595">
      <c r="A595" s="16" t="n">
        <v>45449</v>
      </c>
      <c r="B595" s="19" t="n">
        <v>2173.77</v>
      </c>
      <c r="D595" s="16" t="n">
        <v>45448</v>
      </c>
      <c r="E595" s="19" t="n">
        <v>18.33</v>
      </c>
      <c r="G595" s="16" t="n">
        <v>44823</v>
      </c>
      <c r="H595" s="19" t="n">
        <v>3.791</v>
      </c>
      <c r="J595" s="16" t="n">
        <v>44823</v>
      </c>
      <c r="K595" s="19" t="n">
        <v>2.664</v>
      </c>
      <c r="M595" s="16" t="n">
        <v>45449</v>
      </c>
      <c r="N595" s="19" t="n">
        <v>172192</v>
      </c>
    </row>
    <row r="596">
      <c r="A596" s="16" t="n">
        <v>45448</v>
      </c>
      <c r="B596" s="19" t="n">
        <v>2164.73</v>
      </c>
      <c r="D596" s="16" t="n">
        <v>45447</v>
      </c>
      <c r="E596" s="19" t="n">
        <v>19.56</v>
      </c>
      <c r="G596" s="16" t="n">
        <v>44824</v>
      </c>
      <c r="H596" s="19" t="n">
        <v>3.806</v>
      </c>
      <c r="J596" s="16" t="n">
        <v>44824</v>
      </c>
      <c r="K596" s="19" t="n">
        <v>2.682</v>
      </c>
      <c r="M596" s="16" t="n">
        <v>45448</v>
      </c>
      <c r="N596" s="19" t="n">
        <v>172515</v>
      </c>
    </row>
    <row r="597">
      <c r="A597" s="16" t="n">
        <v>45447</v>
      </c>
      <c r="B597" s="19" t="n">
        <v>2145.28</v>
      </c>
      <c r="D597" s="16" t="n">
        <v>45446</v>
      </c>
      <c r="E597" s="19" t="n">
        <v>20.92</v>
      </c>
      <c r="G597" s="16" t="n">
        <v>44825</v>
      </c>
      <c r="H597" s="19" t="n">
        <v>3.781</v>
      </c>
      <c r="J597" s="16" t="n">
        <v>44825</v>
      </c>
      <c r="K597" s="19" t="n">
        <v>2.653</v>
      </c>
      <c r="M597" s="16" t="n">
        <v>45447</v>
      </c>
      <c r="N597" s="19" t="n">
        <v>171526</v>
      </c>
    </row>
    <row r="598">
      <c r="A598" s="16" t="n">
        <v>45446</v>
      </c>
      <c r="B598" s="19" t="n">
        <v>2136.49</v>
      </c>
      <c r="D598" s="16" t="n">
        <v>45443</v>
      </c>
      <c r="E598" s="19" t="n">
        <v>23.03</v>
      </c>
      <c r="G598" s="16" t="n">
        <v>44826</v>
      </c>
      <c r="H598" s="19" t="n">
        <v>3.766</v>
      </c>
      <c r="J598" s="16" t="n">
        <v>44826</v>
      </c>
      <c r="K598" s="19" t="n">
        <v>2.671</v>
      </c>
      <c r="M598" s="16" t="n">
        <v>45446</v>
      </c>
      <c r="N598" s="19" t="n">
        <v>172502</v>
      </c>
    </row>
    <row r="599">
      <c r="A599" s="16" t="n">
        <v>45443</v>
      </c>
      <c r="B599" s="19" t="n">
        <v>2091.48</v>
      </c>
      <c r="D599" s="16" t="n">
        <v>45442</v>
      </c>
      <c r="E599" s="19" t="n">
        <v>23.19</v>
      </c>
      <c r="G599" s="16" t="n">
        <v>44827</v>
      </c>
      <c r="H599" s="19" t="n">
        <v>3.747</v>
      </c>
      <c r="J599" s="16" t="n">
        <v>44827</v>
      </c>
      <c r="K599" s="19" t="n">
        <v>2.674</v>
      </c>
      <c r="M599" s="16" t="n">
        <v>45443</v>
      </c>
      <c r="N599" s="19" t="n">
        <v>171177</v>
      </c>
    </row>
    <row r="600">
      <c r="A600" s="16" t="n">
        <v>45442</v>
      </c>
      <c r="B600" s="19" t="n">
        <v>2078.73</v>
      </c>
      <c r="D600" s="16" t="n">
        <v>45441</v>
      </c>
      <c r="E600" s="19" t="n">
        <v>25.24</v>
      </c>
      <c r="G600" s="16" t="n">
        <v>44830</v>
      </c>
      <c r="H600" s="19" t="n">
        <v>3.764</v>
      </c>
      <c r="J600" s="16" t="n">
        <v>44830</v>
      </c>
      <c r="K600" s="19" t="n">
        <v>2.693</v>
      </c>
      <c r="M600" s="16" t="n">
        <v>45442</v>
      </c>
      <c r="N600" s="19" t="n">
        <v>170656</v>
      </c>
    </row>
    <row r="601">
      <c r="A601" s="16" t="n">
        <v>45441</v>
      </c>
      <c r="B601" s="19" t="n">
        <v>2043.34</v>
      </c>
      <c r="D601" s="16" t="n">
        <v>45440</v>
      </c>
      <c r="E601" s="19" t="n">
        <v>25.11</v>
      </c>
      <c r="G601" s="16" t="n">
        <v>44831</v>
      </c>
      <c r="H601" s="19" t="n">
        <v>3.678</v>
      </c>
      <c r="J601" s="16" t="n">
        <v>44831</v>
      </c>
      <c r="K601" s="19" t="n">
        <v>2.714</v>
      </c>
      <c r="M601" s="16" t="n">
        <v>45441</v>
      </c>
      <c r="N601" s="19" t="n">
        <v>169451</v>
      </c>
    </row>
    <row r="602">
      <c r="A602" s="16" t="n">
        <v>45440</v>
      </c>
      <c r="B602" s="19" t="n">
        <v>2047.49</v>
      </c>
      <c r="D602" s="16" t="n">
        <v>45439</v>
      </c>
      <c r="E602" s="19" t="n">
        <v>24.64</v>
      </c>
      <c r="G602" s="16" t="n">
        <v>44832</v>
      </c>
      <c r="H602" s="19" t="n">
        <v>3.656</v>
      </c>
      <c r="J602" s="16" t="n">
        <v>44832</v>
      </c>
      <c r="K602" s="19" t="n">
        <v>2.702</v>
      </c>
      <c r="M602" s="16" t="n">
        <v>45440</v>
      </c>
      <c r="N602" s="19" t="n">
        <v>169153</v>
      </c>
    </row>
    <row r="603">
      <c r="A603" s="16" t="n">
        <v>45439</v>
      </c>
      <c r="B603" s="19" t="n">
        <v>2068.97</v>
      </c>
      <c r="D603" s="16" t="n">
        <v>45436</v>
      </c>
      <c r="E603" s="19" t="n">
        <v>25.86</v>
      </c>
      <c r="G603" s="16" t="n">
        <v>44833</v>
      </c>
      <c r="H603" s="19" t="n">
        <v>3.639</v>
      </c>
      <c r="J603" s="16" t="n">
        <v>44833</v>
      </c>
      <c r="K603" s="19" t="n">
        <v>2.679</v>
      </c>
      <c r="M603" s="16" t="n">
        <v>45439</v>
      </c>
      <c r="N603" s="19" t="n">
        <v>169716</v>
      </c>
    </row>
    <row r="604">
      <c r="A604" s="16" t="n">
        <v>45436</v>
      </c>
      <c r="B604" s="19" t="n">
        <v>2046.17</v>
      </c>
      <c r="D604" s="16" t="n">
        <v>45435</v>
      </c>
      <c r="E604" s="19" t="n">
        <v>25.71</v>
      </c>
      <c r="G604" s="16" t="n">
        <v>44834</v>
      </c>
      <c r="H604" s="19" t="n">
        <v>3.581</v>
      </c>
      <c r="J604" s="16" t="n">
        <v>44834</v>
      </c>
      <c r="K604" s="19" t="n">
        <v>2.672</v>
      </c>
      <c r="M604" s="16" t="n">
        <v>45436</v>
      </c>
      <c r="N604" s="19" t="n">
        <v>168943</v>
      </c>
    </row>
    <row r="605">
      <c r="A605" s="16" t="n">
        <v>45435</v>
      </c>
      <c r="B605" s="19" t="n">
        <v>2041.88</v>
      </c>
      <c r="D605" s="16" t="n">
        <v>45434</v>
      </c>
      <c r="E605" s="19" t="n">
        <v>26.73</v>
      </c>
      <c r="G605" s="16" t="n">
        <v>44838</v>
      </c>
      <c r="H605" s="19" t="n">
        <v>3.577</v>
      </c>
      <c r="J605" s="16" t="n">
        <v>44838</v>
      </c>
      <c r="K605" s="19" t="n">
        <v>2.642</v>
      </c>
      <c r="M605" s="16" t="n">
        <v>45435</v>
      </c>
      <c r="N605" s="19" t="n">
        <v>169420</v>
      </c>
    </row>
    <row r="606">
      <c r="A606" s="16" t="n">
        <v>45434</v>
      </c>
      <c r="B606" s="19" t="n">
        <v>2008.63</v>
      </c>
      <c r="D606" s="16" t="n">
        <v>45433</v>
      </c>
      <c r="E606" s="19" t="n">
        <v>28.32</v>
      </c>
      <c r="G606" s="16" t="n">
        <v>44839</v>
      </c>
      <c r="H606" s="19" t="n">
        <v>3.546</v>
      </c>
      <c r="J606" s="16" t="n">
        <v>44839</v>
      </c>
      <c r="K606" s="19" t="n">
        <v>2.6</v>
      </c>
      <c r="M606" s="16" t="n">
        <v>45434</v>
      </c>
      <c r="N606" s="19" t="n">
        <v>166840</v>
      </c>
    </row>
    <row r="607">
      <c r="A607" s="16" t="n">
        <v>45433</v>
      </c>
      <c r="B607" s="19" t="n">
        <v>1980.23</v>
      </c>
      <c r="D607" s="16" t="n">
        <v>45432</v>
      </c>
      <c r="E607" s="19" t="n">
        <v>27.48</v>
      </c>
      <c r="G607" s="16" t="n">
        <v>44840</v>
      </c>
      <c r="H607" s="19" t="n">
        <v>3.488</v>
      </c>
      <c r="J607" s="16" t="n">
        <v>44840</v>
      </c>
      <c r="K607" s="19" t="n">
        <v>2.561</v>
      </c>
      <c r="M607" s="16" t="n">
        <v>45433</v>
      </c>
      <c r="N607" s="19" t="n">
        <v>164922</v>
      </c>
    </row>
    <row r="608">
      <c r="A608" s="16" t="n">
        <v>45432</v>
      </c>
      <c r="B608" s="19" t="n">
        <v>1997.85</v>
      </c>
      <c r="D608" s="16" t="n">
        <v>45429</v>
      </c>
      <c r="E608" s="19" t="n">
        <v>25.33</v>
      </c>
      <c r="G608" s="16" t="n">
        <v>44841</v>
      </c>
      <c r="H608" s="19" t="n">
        <v>3.513</v>
      </c>
      <c r="J608" s="16" t="n">
        <v>44841</v>
      </c>
      <c r="K608" s="19" t="n">
        <v>2.583</v>
      </c>
      <c r="M608" s="16" t="n">
        <v>45432</v>
      </c>
      <c r="N608" s="19" t="n">
        <v>166080</v>
      </c>
    </row>
    <row r="609">
      <c r="A609" s="16" t="n">
        <v>45429</v>
      </c>
      <c r="B609" s="19" t="n">
        <v>2039.67</v>
      </c>
      <c r="D609" s="16" t="n">
        <v>45428</v>
      </c>
      <c r="E609" s="19" t="n">
        <v>23.35</v>
      </c>
      <c r="G609" s="16" t="n">
        <v>44844</v>
      </c>
      <c r="H609" s="19" t="n">
        <v>3.589</v>
      </c>
      <c r="J609" s="16" t="n">
        <v>44844</v>
      </c>
      <c r="K609" s="19" t="n">
        <v>2.61</v>
      </c>
      <c r="M609" s="16" t="n">
        <v>45429</v>
      </c>
      <c r="N609" s="19" t="n">
        <v>169407</v>
      </c>
    </row>
    <row r="610">
      <c r="A610" s="16" t="n">
        <v>45428</v>
      </c>
      <c r="B610" s="19" t="n">
        <v>2059.74</v>
      </c>
      <c r="D610" s="16" t="n">
        <v>45427</v>
      </c>
      <c r="E610" s="19" t="n">
        <v>23</v>
      </c>
      <c r="G610" s="16" t="n">
        <v>44845</v>
      </c>
      <c r="H610" s="19" t="n">
        <v>3.627</v>
      </c>
      <c r="J610" s="16" t="n">
        <v>44845</v>
      </c>
      <c r="K610" s="19" t="n">
        <v>2.625</v>
      </c>
      <c r="M610" s="16" t="n">
        <v>45428</v>
      </c>
      <c r="N610" s="19" t="n">
        <v>170553</v>
      </c>
    </row>
    <row r="611">
      <c r="A611" s="16" t="n">
        <v>45427</v>
      </c>
      <c r="B611" s="19" t="n">
        <v>2041.39</v>
      </c>
      <c r="D611" s="16" t="n">
        <v>45426</v>
      </c>
      <c r="E611" s="19" t="n">
        <v>24.74</v>
      </c>
      <c r="G611" s="16" t="n">
        <v>44846</v>
      </c>
      <c r="H611" s="19" t="n">
        <v>3.679</v>
      </c>
      <c r="J611" s="16" t="n">
        <v>44846</v>
      </c>
      <c r="K611" s="19" t="n">
        <v>2.627</v>
      </c>
      <c r="M611" s="16" t="n">
        <v>45427</v>
      </c>
      <c r="N611" s="19" t="n">
        <v>170092</v>
      </c>
    </row>
    <row r="612">
      <c r="A612" s="16" t="n">
        <v>45426</v>
      </c>
      <c r="B612" s="19" t="n">
        <v>2019.67</v>
      </c>
      <c r="D612" s="16" t="n">
        <v>45425</v>
      </c>
      <c r="E612" s="19" t="n">
        <v>24.28</v>
      </c>
      <c r="G612" s="16" t="n">
        <v>44847</v>
      </c>
      <c r="H612" s="19" t="n">
        <v>3.688</v>
      </c>
      <c r="J612" s="16" t="n">
        <v>44847</v>
      </c>
      <c r="K612" s="19" t="n">
        <v>2.63</v>
      </c>
      <c r="M612" s="16" t="n">
        <v>45426</v>
      </c>
      <c r="N612" s="19" t="n">
        <v>169414</v>
      </c>
    </row>
    <row r="613">
      <c r="A613" s="16" t="n">
        <v>45425</v>
      </c>
      <c r="B613" s="19" t="n">
        <v>2022.87</v>
      </c>
      <c r="D613" s="16" t="n">
        <v>45422</v>
      </c>
      <c r="E613" s="19" t="n">
        <v>23.63</v>
      </c>
      <c r="G613" s="16" t="n">
        <v>44848</v>
      </c>
      <c r="H613" s="19" t="n">
        <v>3.703</v>
      </c>
      <c r="J613" s="16" t="n">
        <v>44848</v>
      </c>
      <c r="K613" s="19" t="n">
        <v>2.628</v>
      </c>
      <c r="M613" s="16" t="n">
        <v>45425</v>
      </c>
      <c r="N613" s="19" t="n">
        <v>169214</v>
      </c>
    </row>
    <row r="614">
      <c r="A614" s="16" t="n">
        <v>45422</v>
      </c>
      <c r="B614" s="19" t="n">
        <v>2036.15</v>
      </c>
      <c r="D614" s="16" t="n">
        <v>45421</v>
      </c>
      <c r="E614" s="19" t="n">
        <v>22.5</v>
      </c>
      <c r="G614" s="16" t="n">
        <v>44851</v>
      </c>
      <c r="H614" s="19" t="n">
        <v>3.678</v>
      </c>
      <c r="J614" s="16" t="n">
        <v>44851</v>
      </c>
      <c r="K614" s="19" t="n">
        <v>2.647</v>
      </c>
      <c r="M614" s="16" t="n">
        <v>45422</v>
      </c>
      <c r="N614" s="19" t="n">
        <v>169818</v>
      </c>
    </row>
    <row r="615">
      <c r="A615" s="16" t="n">
        <v>45421</v>
      </c>
      <c r="B615" s="19" t="n">
        <v>2062.71</v>
      </c>
      <c r="D615" s="16" t="n">
        <v>45420</v>
      </c>
      <c r="E615" s="19" t="n">
        <v>22.28</v>
      </c>
      <c r="G615" s="16" t="n">
        <v>44852</v>
      </c>
      <c r="H615" s="19" t="n">
        <v>3.702</v>
      </c>
      <c r="J615" s="16" t="n">
        <v>44852</v>
      </c>
      <c r="K615" s="19" t="n">
        <v>2.686</v>
      </c>
      <c r="M615" s="16" t="n">
        <v>45421</v>
      </c>
      <c r="N615" s="19" t="n">
        <v>170159</v>
      </c>
    </row>
    <row r="616">
      <c r="A616" s="16" t="n">
        <v>45420</v>
      </c>
      <c r="B616" s="19" t="n">
        <v>2062.03</v>
      </c>
      <c r="D616" s="16" t="n">
        <v>45419</v>
      </c>
      <c r="E616" s="19" t="n">
        <v>23.36</v>
      </c>
      <c r="G616" s="16" t="n">
        <v>44853</v>
      </c>
      <c r="H616" s="19" t="n">
        <v>3.687</v>
      </c>
      <c r="J616" s="16" t="n">
        <v>44853</v>
      </c>
      <c r="K616" s="19" t="n">
        <v>2.695</v>
      </c>
      <c r="M616" s="16" t="n">
        <v>45420</v>
      </c>
      <c r="N616" s="19" t="n">
        <v>170821</v>
      </c>
    </row>
    <row r="617">
      <c r="A617" s="16" t="n">
        <v>45419</v>
      </c>
      <c r="B617" s="19" t="n">
        <v>2049.91</v>
      </c>
      <c r="D617" s="16" t="n">
        <v>45418</v>
      </c>
      <c r="E617" s="19" t="n">
        <v>18.78</v>
      </c>
      <c r="G617" s="16" t="n">
        <v>44854</v>
      </c>
      <c r="H617" s="19" t="n">
        <v>3.724</v>
      </c>
      <c r="J617" s="16" t="n">
        <v>44854</v>
      </c>
      <c r="K617" s="19" t="n">
        <v>2.717</v>
      </c>
      <c r="M617" s="16" t="n">
        <v>45419</v>
      </c>
      <c r="N617" s="19" t="n">
        <v>171315</v>
      </c>
    </row>
    <row r="618">
      <c r="A618" s="16" t="n">
        <v>45418</v>
      </c>
      <c r="B618" s="19" t="n">
        <v>2129.8</v>
      </c>
      <c r="D618" s="16" t="n">
        <v>45415</v>
      </c>
      <c r="E618" s="19" t="n">
        <v>19.08</v>
      </c>
      <c r="G618" s="16" t="n">
        <v>44855</v>
      </c>
      <c r="H618" s="19" t="n">
        <v>3.75</v>
      </c>
      <c r="J618" s="16" t="n">
        <v>44855</v>
      </c>
      <c r="K618" s="19" t="n">
        <v>2.718</v>
      </c>
      <c r="M618" s="16" t="n">
        <v>45418</v>
      </c>
      <c r="N618" s="19" t="n">
        <v>176138</v>
      </c>
    </row>
    <row r="619">
      <c r="A619" s="16" t="n">
        <v>45415</v>
      </c>
      <c r="B619" s="19" t="n">
        <v>2119.91</v>
      </c>
      <c r="D619" s="16" t="n">
        <v>45414</v>
      </c>
      <c r="E619" s="19" t="n">
        <v>20.61</v>
      </c>
      <c r="G619" s="16" t="n">
        <v>44858</v>
      </c>
      <c r="H619" s="19" t="n">
        <v>3.733</v>
      </c>
      <c r="J619" s="16" t="n">
        <v>44858</v>
      </c>
      <c r="K619" s="19" t="n">
        <v>2.741</v>
      </c>
      <c r="M619" s="16" t="n">
        <v>45415</v>
      </c>
      <c r="N619" s="19" t="n">
        <v>175113</v>
      </c>
    </row>
    <row r="620">
      <c r="A620" s="16" t="n">
        <v>45414</v>
      </c>
      <c r="B620" s="19" t="n">
        <v>2073.93</v>
      </c>
      <c r="D620" s="16" t="n">
        <v>45413</v>
      </c>
      <c r="E620" s="19" t="n">
        <v>21.1</v>
      </c>
      <c r="G620" s="16" t="n">
        <v>44859</v>
      </c>
      <c r="H620" s="19" t="n">
        <v>3.726</v>
      </c>
      <c r="J620" s="16" t="n">
        <v>44859</v>
      </c>
      <c r="K620" s="19" t="n">
        <v>2.696</v>
      </c>
      <c r="M620" s="16" t="n">
        <v>45414</v>
      </c>
      <c r="N620" s="19" t="n">
        <v>173574</v>
      </c>
    </row>
    <row r="621">
      <c r="A621" s="16" t="n">
        <v>45413</v>
      </c>
      <c r="B621" s="19" t="n">
        <v>2074.05</v>
      </c>
      <c r="D621" s="16" t="n">
        <v>45412</v>
      </c>
      <c r="E621" s="19" t="n">
        <v>22.17</v>
      </c>
      <c r="G621" s="16" t="n">
        <v>44860</v>
      </c>
      <c r="H621" s="19" t="n">
        <v>3.869</v>
      </c>
      <c r="J621" s="16" t="n">
        <v>44860</v>
      </c>
      <c r="K621" s="19" t="n">
        <v>2.75</v>
      </c>
      <c r="M621" s="16" t="n">
        <v>45413</v>
      </c>
      <c r="N621" s="19" t="n">
        <v>173462</v>
      </c>
    </row>
    <row r="622">
      <c r="A622" s="16" t="n">
        <v>45412</v>
      </c>
      <c r="B622" s="19" t="n">
        <v>2052.91</v>
      </c>
      <c r="D622" s="16" t="n">
        <v>45411</v>
      </c>
      <c r="E622" s="19" t="n">
        <v>20.71</v>
      </c>
      <c r="G622" s="16" t="n">
        <v>44861</v>
      </c>
      <c r="H622" s="19" t="n">
        <v>3.821</v>
      </c>
      <c r="J622" s="16" t="n">
        <v>44861</v>
      </c>
      <c r="K622" s="19" t="n">
        <v>2.713</v>
      </c>
      <c r="M622" s="16" t="n">
        <v>45412</v>
      </c>
      <c r="N622" s="19" t="n">
        <v>173270</v>
      </c>
    </row>
    <row r="623">
      <c r="A623" s="16" t="n">
        <v>45411</v>
      </c>
      <c r="B623" s="19" t="n">
        <v>2088.95</v>
      </c>
      <c r="D623" s="16" t="n">
        <v>45408</v>
      </c>
      <c r="E623" s="19" t="n">
        <v>21.11</v>
      </c>
      <c r="G623" s="16" t="n">
        <v>44862</v>
      </c>
      <c r="H623" s="19" t="n">
        <v>3.888</v>
      </c>
      <c r="J623" s="16" t="n">
        <v>44862</v>
      </c>
      <c r="K623" s="19" t="n">
        <v>2.733</v>
      </c>
      <c r="M623" s="16" t="n">
        <v>45411</v>
      </c>
      <c r="N623" s="19" t="n">
        <v>174627</v>
      </c>
    </row>
    <row r="624">
      <c r="A624" s="16" t="n">
        <v>45408</v>
      </c>
      <c r="B624" s="19" t="n">
        <v>2071.11</v>
      </c>
      <c r="D624" s="16" t="n">
        <v>45407</v>
      </c>
      <c r="E624" s="19" t="n">
        <v>19.83</v>
      </c>
      <c r="G624" s="16" t="n">
        <v>44865</v>
      </c>
      <c r="H624" s="19" t="n">
        <v>4.012</v>
      </c>
      <c r="J624" s="16" t="n">
        <v>44865</v>
      </c>
      <c r="K624" s="19" t="n">
        <v>2.763</v>
      </c>
      <c r="M624" s="16" t="n">
        <v>45408</v>
      </c>
      <c r="N624" s="19" t="n">
        <v>173460</v>
      </c>
    </row>
    <row r="625">
      <c r="A625" s="16" t="n">
        <v>45407</v>
      </c>
      <c r="B625" s="19" t="n">
        <v>2099.22</v>
      </c>
      <c r="D625" s="16" t="n">
        <v>45406</v>
      </c>
      <c r="E625" s="19" t="n">
        <v>18.57</v>
      </c>
      <c r="G625" s="16" t="n">
        <v>44866</v>
      </c>
      <c r="H625" s="19" t="n">
        <v>4.066</v>
      </c>
      <c r="J625" s="16" t="n">
        <v>44866</v>
      </c>
      <c r="K625" s="19" t="n">
        <v>2.775</v>
      </c>
      <c r="M625" s="16" t="n">
        <v>45407</v>
      </c>
      <c r="N625" s="19" t="n">
        <v>175441</v>
      </c>
    </row>
    <row r="626">
      <c r="A626" s="16" t="n">
        <v>45406</v>
      </c>
      <c r="B626" s="19" t="n">
        <v>2116.3</v>
      </c>
      <c r="D626" s="16" t="n">
        <v>45405</v>
      </c>
      <c r="E626" s="19" t="n">
        <v>17.79</v>
      </c>
      <c r="G626" s="16" t="n">
        <v>44867</v>
      </c>
      <c r="H626" s="19" t="n">
        <v>3.978</v>
      </c>
      <c r="J626" s="16" t="n">
        <v>44867</v>
      </c>
      <c r="K626" s="19" t="n">
        <v>2.761</v>
      </c>
      <c r="M626" s="16" t="n">
        <v>45406</v>
      </c>
      <c r="N626" s="19" t="n">
        <v>174441</v>
      </c>
    </row>
    <row r="627">
      <c r="A627" s="16" t="n">
        <v>45405</v>
      </c>
      <c r="B627" s="19" t="n">
        <v>2140.42</v>
      </c>
      <c r="D627" s="16" t="n">
        <v>45404</v>
      </c>
      <c r="E627" s="19" t="n">
        <v>17.32</v>
      </c>
      <c r="G627" s="16" t="n">
        <v>44868</v>
      </c>
      <c r="H627" s="19" t="n">
        <v>3.984</v>
      </c>
      <c r="J627" s="16" t="n">
        <v>44868</v>
      </c>
      <c r="K627" s="19" t="n">
        <v>2.764</v>
      </c>
      <c r="M627" s="16" t="n">
        <v>45405</v>
      </c>
      <c r="N627" s="19" t="n">
        <v>176656</v>
      </c>
    </row>
    <row r="628">
      <c r="A628" s="16" t="n">
        <v>45404</v>
      </c>
      <c r="B628" s="19" t="n">
        <v>2140.46</v>
      </c>
      <c r="D628" s="16" t="n">
        <v>45401</v>
      </c>
      <c r="E628" s="19" t="n">
        <v>18.32</v>
      </c>
      <c r="G628" s="16" t="n">
        <v>44869</v>
      </c>
      <c r="H628" s="19" t="n">
        <v>3.998</v>
      </c>
      <c r="J628" s="16" t="n">
        <v>44869</v>
      </c>
      <c r="K628" s="19" t="n">
        <v>2.809</v>
      </c>
      <c r="M628" s="16" t="n">
        <v>45404</v>
      </c>
      <c r="N628" s="19" t="n">
        <v>175848</v>
      </c>
    </row>
    <row r="629">
      <c r="A629" s="16" t="n">
        <v>45401</v>
      </c>
      <c r="B629" s="19" t="n">
        <v>2131.65</v>
      </c>
      <c r="D629" s="16" t="n">
        <v>45400</v>
      </c>
      <c r="E629" s="19" t="n">
        <v>19.58</v>
      </c>
      <c r="G629" s="16" t="n">
        <v>44872</v>
      </c>
      <c r="H629" s="19" t="n">
        <v>4.025</v>
      </c>
      <c r="J629" s="16" t="n">
        <v>44872</v>
      </c>
      <c r="K629" s="19" t="n">
        <v>2.837</v>
      </c>
      <c r="M629" s="16" t="n">
        <v>45401</v>
      </c>
      <c r="N629" s="19" t="n">
        <v>176231</v>
      </c>
    </row>
    <row r="630">
      <c r="A630" s="16" t="n">
        <v>45400</v>
      </c>
      <c r="B630" s="19" t="n">
        <v>2117.93</v>
      </c>
      <c r="D630" s="16" t="n">
        <v>45399</v>
      </c>
      <c r="E630" s="19" t="n">
        <v>18.79</v>
      </c>
      <c r="G630" s="16" t="n">
        <v>44873</v>
      </c>
      <c r="H630" s="19" t="n">
        <v>3.976</v>
      </c>
      <c r="J630" s="16" t="n">
        <v>44873</v>
      </c>
      <c r="K630" s="19" t="n">
        <v>2.83</v>
      </c>
      <c r="M630" s="16" t="n">
        <v>45400</v>
      </c>
      <c r="N630" s="19" t="n">
        <v>174499</v>
      </c>
    </row>
    <row r="631">
      <c r="A631" s="16" t="n">
        <v>45399</v>
      </c>
      <c r="B631" s="19" t="n">
        <v>2141.79</v>
      </c>
      <c r="D631" s="16" t="n">
        <v>45398</v>
      </c>
      <c r="E631" s="19" t="n">
        <v>19.72</v>
      </c>
      <c r="G631" s="16" t="n">
        <v>44874</v>
      </c>
      <c r="H631" s="19" t="n">
        <v>3.978</v>
      </c>
      <c r="J631" s="16" t="n">
        <v>44874</v>
      </c>
      <c r="K631" s="19" t="n">
        <v>2.813</v>
      </c>
      <c r="M631" s="16" t="n">
        <v>45399</v>
      </c>
      <c r="N631" s="19" t="n">
        <v>174866</v>
      </c>
    </row>
    <row r="632">
      <c r="A632" s="16" t="n">
        <v>45398</v>
      </c>
      <c r="B632" s="19" t="n">
        <v>2122.99</v>
      </c>
      <c r="D632" s="16" t="n">
        <v>45397</v>
      </c>
      <c r="E632" s="19" t="n">
        <v>20.41</v>
      </c>
      <c r="G632" s="16" t="n">
        <v>44875</v>
      </c>
      <c r="H632" s="19" t="n">
        <v>3.916</v>
      </c>
      <c r="J632" s="16" t="n">
        <v>44875</v>
      </c>
      <c r="K632" s="19" t="n">
        <v>2.795</v>
      </c>
      <c r="M632" s="16" t="n">
        <v>45398</v>
      </c>
      <c r="N632" s="19" t="n">
        <v>173308</v>
      </c>
    </row>
    <row r="633">
      <c r="A633" s="16" t="n">
        <v>45397</v>
      </c>
      <c r="B633" s="19" t="n">
        <v>2112.59</v>
      </c>
      <c r="D633" s="16" t="n">
        <v>45394</v>
      </c>
      <c r="E633" s="19" t="n">
        <v>19.04</v>
      </c>
      <c r="G633" s="16" t="n">
        <v>44876</v>
      </c>
      <c r="H633" s="19" t="n">
        <v>3.983</v>
      </c>
      <c r="J633" s="16" t="n">
        <v>44876</v>
      </c>
      <c r="K633" s="19" t="n">
        <v>2.829</v>
      </c>
      <c r="M633" s="16" t="n">
        <v>45397</v>
      </c>
      <c r="N633" s="19" t="n">
        <v>172552</v>
      </c>
    </row>
    <row r="634">
      <c r="A634" s="16" t="n">
        <v>45394</v>
      </c>
      <c r="B634" s="19" t="n">
        <v>2131.13</v>
      </c>
      <c r="D634" s="16" t="n">
        <v>45393</v>
      </c>
      <c r="E634" s="19" t="n">
        <v>20.02</v>
      </c>
      <c r="G634" s="16" t="n">
        <v>44879</v>
      </c>
      <c r="H634" s="19" t="n">
        <v>4.062</v>
      </c>
      <c r="J634" s="16" t="n">
        <v>44879</v>
      </c>
      <c r="K634" s="19" t="n">
        <v>2.882</v>
      </c>
      <c r="M634" s="16" t="n">
        <v>45394</v>
      </c>
      <c r="N634" s="19" t="n">
        <v>172573</v>
      </c>
    </row>
    <row r="635">
      <c r="A635" s="16" t="n">
        <v>45393</v>
      </c>
      <c r="B635" s="19" t="n">
        <v>2106.7</v>
      </c>
      <c r="D635" s="16" t="n">
        <v>45392</v>
      </c>
      <c r="E635" s="19" t="n">
        <v>20.75</v>
      </c>
      <c r="G635" s="16" t="n">
        <v>44880</v>
      </c>
      <c r="H635" s="19" t="n">
        <v>4.114</v>
      </c>
      <c r="J635" s="16" t="n">
        <v>44880</v>
      </c>
      <c r="K635" s="19" t="n">
        <v>2.88</v>
      </c>
      <c r="M635" s="16" t="n">
        <v>45393</v>
      </c>
      <c r="N635" s="19" t="n">
        <v>171288</v>
      </c>
    </row>
    <row r="636">
      <c r="A636" s="16" t="n">
        <v>45392</v>
      </c>
      <c r="B636" s="19" t="n">
        <v>2101.66</v>
      </c>
      <c r="D636" s="16" t="n">
        <v>45391</v>
      </c>
      <c r="E636" s="19" t="n">
        <v>22.48</v>
      </c>
      <c r="G636" s="16" t="n">
        <v>44881</v>
      </c>
      <c r="H636" s="19" t="n">
        <v>4.111</v>
      </c>
      <c r="J636" s="16" t="n">
        <v>44881</v>
      </c>
      <c r="K636" s="19" t="n">
        <v>2.865</v>
      </c>
      <c r="M636" s="16" t="n">
        <v>45392</v>
      </c>
      <c r="N636" s="19" t="n">
        <v>170882</v>
      </c>
    </row>
    <row r="637">
      <c r="A637" s="16" t="n">
        <v>45391</v>
      </c>
      <c r="B637" s="19" t="n">
        <v>2078.84</v>
      </c>
      <c r="D637" s="16" t="n">
        <v>45390</v>
      </c>
      <c r="E637" s="19" t="n">
        <v>21.15</v>
      </c>
      <c r="G637" s="16" t="n">
        <v>44882</v>
      </c>
      <c r="H637" s="19" t="n">
        <v>4.106</v>
      </c>
      <c r="J637" s="16" t="n">
        <v>44882</v>
      </c>
      <c r="K637" s="19" t="n">
        <v>2.891</v>
      </c>
      <c r="M637" s="16" t="n">
        <v>45391</v>
      </c>
      <c r="N637" s="19" t="n">
        <v>171092</v>
      </c>
    </row>
    <row r="638">
      <c r="A638" s="16" t="n">
        <v>45390</v>
      </c>
      <c r="B638" s="19" t="n">
        <v>2098.68</v>
      </c>
      <c r="D638" s="16" t="n">
        <v>45387</v>
      </c>
      <c r="E638" s="19" t="n">
        <v>21.61</v>
      </c>
      <c r="G638" s="16" t="n">
        <v>44883</v>
      </c>
      <c r="H638" s="19" t="n">
        <v>4.111</v>
      </c>
      <c r="J638" s="16" t="n">
        <v>44883</v>
      </c>
      <c r="K638" s="19" t="n">
        <v>2.894</v>
      </c>
      <c r="M638" s="16" t="n">
        <v>45390</v>
      </c>
      <c r="N638" s="19" t="n">
        <v>171467</v>
      </c>
    </row>
    <row r="639">
      <c r="A639" s="16" t="n">
        <v>45387</v>
      </c>
      <c r="B639" s="19" t="n">
        <v>2102.63</v>
      </c>
      <c r="D639" s="16" t="n">
        <v>45386</v>
      </c>
      <c r="E639" s="19" t="n">
        <v>21.85</v>
      </c>
      <c r="G639" s="16" t="n">
        <v>44886</v>
      </c>
      <c r="H639" s="19" t="n">
        <v>4.114</v>
      </c>
      <c r="J639" s="16" t="n">
        <v>44886</v>
      </c>
      <c r="K639" s="19" t="n">
        <v>2.873</v>
      </c>
      <c r="M639" s="16" t="n">
        <v>45387</v>
      </c>
      <c r="N639" s="19" t="n">
        <v>170668</v>
      </c>
    </row>
    <row r="640">
      <c r="A640" s="16" t="n">
        <v>45386</v>
      </c>
      <c r="B640" s="19" t="n">
        <v>2098.93</v>
      </c>
      <c r="D640" s="16" t="n">
        <v>45385</v>
      </c>
      <c r="E640" s="19" t="n">
        <v>20.62</v>
      </c>
      <c r="G640" s="16" t="n">
        <v>44887</v>
      </c>
      <c r="H640" s="19" t="n">
        <v>4.146</v>
      </c>
      <c r="J640" s="16" t="n">
        <v>44887</v>
      </c>
      <c r="K640" s="19" t="n">
        <v>2.878</v>
      </c>
      <c r="M640" s="16" t="n">
        <v>45386</v>
      </c>
      <c r="N640" s="19" t="n">
        <v>170628</v>
      </c>
    </row>
    <row r="641">
      <c r="A641" s="16" t="n">
        <v>45385</v>
      </c>
      <c r="B641" s="19" t="n">
        <v>2115.96</v>
      </c>
      <c r="D641" s="16" t="n">
        <v>45384</v>
      </c>
      <c r="E641" s="19" t="n">
        <v>21.21</v>
      </c>
      <c r="G641" s="16" t="n">
        <v>44888</v>
      </c>
      <c r="H641" s="19" t="n">
        <v>4.235</v>
      </c>
      <c r="J641" s="16" t="n">
        <v>44888</v>
      </c>
      <c r="K641" s="19" t="n">
        <v>2.9</v>
      </c>
      <c r="M641" s="16" t="n">
        <v>45385</v>
      </c>
      <c r="N641" s="19" t="n">
        <v>169977</v>
      </c>
    </row>
    <row r="642">
      <c r="A642" s="16" t="n">
        <v>45384</v>
      </c>
      <c r="B642" s="19" t="n">
        <v>2105.57</v>
      </c>
      <c r="D642" s="16" t="n">
        <v>45383</v>
      </c>
      <c r="E642" s="19" t="n">
        <v>22.01</v>
      </c>
      <c r="G642" s="16" t="n">
        <v>44889</v>
      </c>
      <c r="H642" s="19" t="n">
        <v>4.211</v>
      </c>
      <c r="J642" s="16" t="n">
        <v>44889</v>
      </c>
      <c r="K642" s="19" t="n">
        <v>2.896</v>
      </c>
      <c r="M642" s="16" t="n">
        <v>45384</v>
      </c>
      <c r="N642" s="19" t="n">
        <v>168835</v>
      </c>
    </row>
    <row r="643">
      <c r="A643" s="16" t="n">
        <v>45383</v>
      </c>
      <c r="B643" s="19" t="n">
        <v>2096.28</v>
      </c>
      <c r="D643" s="16" t="n">
        <v>45380</v>
      </c>
      <c r="E643" s="19" t="n">
        <v>23.44</v>
      </c>
      <c r="G643" s="16" t="n">
        <v>44890</v>
      </c>
      <c r="H643" s="19" t="n">
        <v>4.181</v>
      </c>
      <c r="J643" s="16" t="n">
        <v>44890</v>
      </c>
      <c r="K643" s="19" t="n">
        <v>2.93</v>
      </c>
      <c r="M643" s="16" t="n">
        <v>45383</v>
      </c>
      <c r="N643" s="19" t="n">
        <v>167520</v>
      </c>
    </row>
    <row r="644">
      <c r="A644" s="16" t="n">
        <v>45380</v>
      </c>
      <c r="B644" s="19" t="n">
        <v>2083.68</v>
      </c>
      <c r="D644" s="16" t="n">
        <v>45379</v>
      </c>
      <c r="E644" s="19" t="n">
        <v>22.9</v>
      </c>
      <c r="G644" s="16" t="n">
        <v>44893</v>
      </c>
      <c r="H644" s="19" t="n">
        <v>4.182</v>
      </c>
      <c r="J644" s="16" t="n">
        <v>44893</v>
      </c>
      <c r="K644" s="19" t="n">
        <v>2.901</v>
      </c>
      <c r="M644" s="16" t="n">
        <v>45380</v>
      </c>
      <c r="N644" s="19" t="n">
        <v>166662</v>
      </c>
    </row>
    <row r="645">
      <c r="A645" s="16" t="n">
        <v>45379</v>
      </c>
      <c r="B645" s="19" t="n">
        <v>2088.39</v>
      </c>
      <c r="D645" s="16" t="n">
        <v>45378</v>
      </c>
      <c r="E645" s="19" t="n">
        <v>22.49</v>
      </c>
      <c r="G645" s="16" t="n">
        <v>44894</v>
      </c>
      <c r="H645" s="19" t="n">
        <v>4.183</v>
      </c>
      <c r="J645" s="16" t="n">
        <v>44894</v>
      </c>
      <c r="K645" s="19" t="n">
        <v>2.866</v>
      </c>
      <c r="M645" s="16" t="n">
        <v>45379</v>
      </c>
      <c r="N645" s="19" t="n">
        <v>167376</v>
      </c>
    </row>
    <row r="646">
      <c r="A646" s="16" t="n">
        <v>45378</v>
      </c>
      <c r="B646" s="19" t="n">
        <v>2110.91</v>
      </c>
      <c r="D646" s="16" t="n">
        <v>45377</v>
      </c>
      <c r="E646" s="19" t="n">
        <v>22.8</v>
      </c>
      <c r="G646" s="16" t="n">
        <v>44895</v>
      </c>
      <c r="H646" s="19" t="n">
        <v>4.212</v>
      </c>
      <c r="J646" s="16" t="n">
        <v>44895</v>
      </c>
      <c r="K646" s="19" t="n">
        <v>2.873</v>
      </c>
      <c r="M646" s="16" t="n">
        <v>45378</v>
      </c>
      <c r="N646" s="19" t="n">
        <v>168508</v>
      </c>
    </row>
    <row r="647">
      <c r="A647" s="16" t="n">
        <v>45377</v>
      </c>
      <c r="B647" s="19" t="n">
        <v>2115.59</v>
      </c>
      <c r="D647" s="16" t="n">
        <v>45376</v>
      </c>
      <c r="E647" s="19" t="n">
        <v>19.37</v>
      </c>
      <c r="G647" s="16" t="n">
        <v>44896</v>
      </c>
      <c r="H647" s="19" t="n">
        <v>4.173</v>
      </c>
      <c r="J647" s="16" t="n">
        <v>44896</v>
      </c>
      <c r="K647" s="19" t="n">
        <v>2.879</v>
      </c>
      <c r="M647" s="16" t="n">
        <v>45377</v>
      </c>
      <c r="N647" s="19" t="n">
        <v>169248</v>
      </c>
    </row>
    <row r="648">
      <c r="A648" s="16" t="n">
        <v>45376</v>
      </c>
      <c r="B648" s="19" t="n">
        <v>2185.66</v>
      </c>
      <c r="D648" s="16" t="n">
        <v>45373</v>
      </c>
      <c r="E648" s="19" t="n">
        <v>17.05</v>
      </c>
      <c r="G648" s="16" t="n">
        <v>44897</v>
      </c>
      <c r="H648" s="19" t="n">
        <v>4.165</v>
      </c>
      <c r="J648" s="16" t="n">
        <v>44897</v>
      </c>
      <c r="K648" s="19" t="n">
        <v>2.84</v>
      </c>
      <c r="M648" s="16" t="n">
        <v>45376</v>
      </c>
      <c r="N648" s="19" t="n">
        <v>172344</v>
      </c>
    </row>
    <row r="649">
      <c r="A649" s="16" t="n">
        <v>45373</v>
      </c>
      <c r="B649" s="19" t="n">
        <v>2213.99</v>
      </c>
      <c r="D649" s="16" t="n">
        <v>45372</v>
      </c>
      <c r="E649" s="19" t="n">
        <v>19.21</v>
      </c>
      <c r="G649" s="16" t="n">
        <v>44900</v>
      </c>
      <c r="H649" s="19" t="n">
        <v>4.203</v>
      </c>
      <c r="J649" s="16" t="n">
        <v>44900</v>
      </c>
      <c r="K649" s="19" t="n">
        <v>2.859</v>
      </c>
      <c r="M649" s="16" t="n">
        <v>45373</v>
      </c>
      <c r="N649" s="19" t="n">
        <v>174018</v>
      </c>
    </row>
    <row r="650">
      <c r="A650" s="16" t="n">
        <v>45372</v>
      </c>
      <c r="B650" s="19" t="n">
        <v>2170</v>
      </c>
      <c r="D650" s="16" t="n">
        <v>45371</v>
      </c>
      <c r="E650" s="19" t="n">
        <v>17.14</v>
      </c>
      <c r="G650" s="16" t="n">
        <v>44901</v>
      </c>
      <c r="H650" s="19" t="n">
        <v>4.224</v>
      </c>
      <c r="J650" s="16" t="n">
        <v>44901</v>
      </c>
      <c r="K650" s="19" t="n">
        <v>2.883</v>
      </c>
      <c r="M650" s="16" t="n">
        <v>45372</v>
      </c>
      <c r="N650" s="19" t="n">
        <v>172707</v>
      </c>
    </row>
    <row r="651">
      <c r="A651" s="16" t="n">
        <v>45371</v>
      </c>
      <c r="B651" s="19" t="n">
        <v>2174.48</v>
      </c>
      <c r="D651" s="16" t="n">
        <v>45370</v>
      </c>
      <c r="E651" s="19" t="n">
        <v>18.98</v>
      </c>
      <c r="G651" s="16" t="n">
        <v>44902</v>
      </c>
      <c r="H651" s="19" t="n">
        <v>4.222</v>
      </c>
      <c r="J651" s="16" t="n">
        <v>44902</v>
      </c>
      <c r="K651" s="19" t="n">
        <v>2.863</v>
      </c>
      <c r="M651" s="16" t="n">
        <v>45371</v>
      </c>
      <c r="N651" s="19" t="n">
        <v>172918</v>
      </c>
    </row>
    <row r="652">
      <c r="A652" s="16" t="n">
        <v>45370</v>
      </c>
      <c r="B652" s="19" t="n">
        <v>2140.03</v>
      </c>
      <c r="D652" s="16" t="n">
        <v>45369</v>
      </c>
      <c r="E652" s="19" t="n">
        <v>19</v>
      </c>
      <c r="G652" s="16" t="n">
        <v>44903</v>
      </c>
      <c r="H652" s="19" t="n">
        <v>4.248</v>
      </c>
      <c r="J652" s="16" t="n">
        <v>44903</v>
      </c>
      <c r="K652" s="19" t="n">
        <v>2.871</v>
      </c>
      <c r="M652" s="16" t="n">
        <v>45370</v>
      </c>
      <c r="N652" s="19" t="n">
        <v>171825</v>
      </c>
    </row>
    <row r="653">
      <c r="A653" s="16" t="n">
        <v>45369</v>
      </c>
      <c r="B653" s="19" t="n">
        <v>2140.18</v>
      </c>
      <c r="D653" s="16" t="n">
        <v>45366</v>
      </c>
      <c r="E653" s="19" t="n">
        <v>19.5</v>
      </c>
      <c r="G653" s="16" t="n">
        <v>44904</v>
      </c>
      <c r="H653" s="19" t="n">
        <v>4.247</v>
      </c>
      <c r="J653" s="16" t="n">
        <v>44904</v>
      </c>
      <c r="K653" s="19" t="n">
        <v>2.91</v>
      </c>
      <c r="M653" s="16" t="n">
        <v>45369</v>
      </c>
      <c r="N653" s="19" t="n">
        <v>171707</v>
      </c>
    </row>
    <row r="654">
      <c r="A654" s="16" t="n">
        <v>45366</v>
      </c>
      <c r="B654" s="19" t="n">
        <v>2119.89</v>
      </c>
      <c r="D654" s="16" t="n">
        <v>45365</v>
      </c>
      <c r="E654" s="19" t="n">
        <v>21.9</v>
      </c>
      <c r="G654" s="16" t="n">
        <v>44907</v>
      </c>
      <c r="H654" s="19" t="n">
        <v>4.246</v>
      </c>
      <c r="J654" s="16" t="n">
        <v>44907</v>
      </c>
      <c r="K654" s="19" t="n">
        <v>2.893</v>
      </c>
      <c r="M654" s="16" t="n">
        <v>45366</v>
      </c>
      <c r="N654" s="19" t="n">
        <v>170093</v>
      </c>
    </row>
    <row r="655">
      <c r="A655" s="16" t="n">
        <v>45365</v>
      </c>
      <c r="B655" s="19" t="n">
        <v>2080.83</v>
      </c>
      <c r="D655" s="16" t="n">
        <v>45364</v>
      </c>
      <c r="E655" s="19" t="n">
        <v>20.79</v>
      </c>
      <c r="G655" s="16" t="n">
        <v>44908</v>
      </c>
      <c r="H655" s="19" t="n">
        <v>4.307</v>
      </c>
      <c r="J655" s="16" t="n">
        <v>44908</v>
      </c>
      <c r="K655" s="19" t="n">
        <v>2.912</v>
      </c>
      <c r="M655" s="16" t="n">
        <v>45365</v>
      </c>
      <c r="N655" s="19" t="n">
        <v>167901</v>
      </c>
    </row>
    <row r="656">
      <c r="A656" s="16" t="n">
        <v>45364</v>
      </c>
      <c r="B656" s="19" t="n">
        <v>2122.34</v>
      </c>
      <c r="D656" s="16" t="n">
        <v>45363</v>
      </c>
      <c r="E656" s="19" t="n">
        <v>18.03</v>
      </c>
      <c r="G656" s="16" t="n">
        <v>44909</v>
      </c>
      <c r="H656" s="19" t="n">
        <v>4.294</v>
      </c>
      <c r="J656" s="16" t="n">
        <v>44909</v>
      </c>
      <c r="K656" s="19" t="n">
        <v>2.926</v>
      </c>
      <c r="M656" s="16" t="n">
        <v>45364</v>
      </c>
      <c r="N656" s="19" t="n">
        <v>168947</v>
      </c>
    </row>
    <row r="657">
      <c r="A657" s="16" t="n">
        <v>45363</v>
      </c>
      <c r="B657" s="19" t="n">
        <v>2177.63</v>
      </c>
      <c r="D657" s="16" t="n">
        <v>45362</v>
      </c>
      <c r="E657" s="19" t="n">
        <v>17.64</v>
      </c>
      <c r="G657" s="16" t="n">
        <v>44910</v>
      </c>
      <c r="H657" s="19" t="n">
        <v>4.259</v>
      </c>
      <c r="J657" s="16" t="n">
        <v>44910</v>
      </c>
      <c r="K657" s="19" t="n">
        <v>2.888</v>
      </c>
      <c r="M657" s="16" t="n">
        <v>45363</v>
      </c>
      <c r="N657" s="19" t="n">
        <v>171935</v>
      </c>
    </row>
    <row r="658">
      <c r="A658" s="16" t="n">
        <v>45362</v>
      </c>
      <c r="B658" s="19" t="n">
        <v>2178.94</v>
      </c>
      <c r="D658" s="16" t="n">
        <v>45359</v>
      </c>
      <c r="E658" s="19" t="n">
        <v>19.36</v>
      </c>
      <c r="G658" s="16" t="n">
        <v>44911</v>
      </c>
      <c r="H658" s="19" t="n">
        <v>4.258</v>
      </c>
      <c r="J658" s="16" t="n">
        <v>44911</v>
      </c>
      <c r="K658" s="19" t="n">
        <v>2.857</v>
      </c>
      <c r="M658" s="16" t="n">
        <v>45362</v>
      </c>
      <c r="N658" s="19" t="n">
        <v>173490</v>
      </c>
    </row>
    <row r="659">
      <c r="A659" s="16" t="n">
        <v>45359</v>
      </c>
      <c r="B659" s="19" t="n">
        <v>2156.41</v>
      </c>
      <c r="D659" s="16" t="n">
        <v>45358</v>
      </c>
      <c r="E659" s="19" t="n">
        <v>19.18</v>
      </c>
      <c r="G659" s="16" t="n">
        <v>44914</v>
      </c>
      <c r="H659" s="19" t="n">
        <v>4.282</v>
      </c>
      <c r="J659" s="16" t="n">
        <v>44914</v>
      </c>
      <c r="K659" s="19" t="n">
        <v>2.845</v>
      </c>
      <c r="M659" s="16" t="n">
        <v>45359</v>
      </c>
      <c r="N659" s="19" t="n">
        <v>172345</v>
      </c>
    </row>
    <row r="660">
      <c r="A660" s="16" t="n">
        <v>45358</v>
      </c>
      <c r="B660" s="19" t="n">
        <v>2171.4</v>
      </c>
      <c r="D660" s="16" t="n">
        <v>45357</v>
      </c>
      <c r="E660" s="19" t="n">
        <v>19.89</v>
      </c>
      <c r="G660" s="16" t="n">
        <v>44915</v>
      </c>
      <c r="H660" s="19" t="n">
        <v>4.259</v>
      </c>
      <c r="J660" s="16" t="n">
        <v>44915</v>
      </c>
      <c r="K660" s="19" t="n">
        <v>2.822</v>
      </c>
      <c r="M660" s="16" t="n">
        <v>45358</v>
      </c>
      <c r="N660" s="19" t="n">
        <v>172925</v>
      </c>
    </row>
    <row r="661">
      <c r="A661" s="16" t="n">
        <v>45357</v>
      </c>
      <c r="B661" s="19" t="n">
        <v>2132.05</v>
      </c>
      <c r="D661" s="16" t="n">
        <v>45356</v>
      </c>
      <c r="E661" s="19" t="n">
        <v>21.19</v>
      </c>
      <c r="G661" s="16" t="n">
        <v>44916</v>
      </c>
      <c r="H661" s="19" t="n">
        <v>4.209</v>
      </c>
      <c r="J661" s="16" t="n">
        <v>44916</v>
      </c>
      <c r="K661" s="19" t="n">
        <v>2.784</v>
      </c>
      <c r="M661" s="16" t="n">
        <v>45357</v>
      </c>
      <c r="N661" s="19" t="n">
        <v>171578</v>
      </c>
    </row>
    <row r="662">
      <c r="A662" s="16" t="n">
        <v>45356</v>
      </c>
      <c r="B662" s="19" t="n">
        <v>2102.35</v>
      </c>
      <c r="D662" s="16" t="n">
        <v>45355</v>
      </c>
      <c r="E662" s="19" t="n">
        <v>19.18</v>
      </c>
      <c r="G662" s="16" t="n">
        <v>44917</v>
      </c>
      <c r="H662" s="19" t="n">
        <v>4.239</v>
      </c>
      <c r="J662" s="16" t="n">
        <v>44917</v>
      </c>
      <c r="K662" s="19" t="n">
        <v>2.77</v>
      </c>
      <c r="M662" s="16" t="n">
        <v>45356</v>
      </c>
      <c r="N662" s="19" t="n">
        <v>169993</v>
      </c>
    </row>
    <row r="663">
      <c r="A663" s="16" t="n">
        <v>45355</v>
      </c>
      <c r="B663" s="19" t="n">
        <v>2137.64</v>
      </c>
      <c r="D663" s="16" t="n">
        <v>45351</v>
      </c>
      <c r="E663" s="19" t="n">
        <v>20.82</v>
      </c>
      <c r="G663" s="16" t="n">
        <v>44918</v>
      </c>
      <c r="H663" s="19" t="n">
        <v>4.26</v>
      </c>
      <c r="J663" s="16" t="n">
        <v>44918</v>
      </c>
      <c r="K663" s="19" t="n">
        <v>2.773</v>
      </c>
      <c r="M663" s="16" t="n">
        <v>45355</v>
      </c>
      <c r="N663" s="19" t="n">
        <v>171490</v>
      </c>
    </row>
    <row r="664">
      <c r="A664" s="16" t="n">
        <v>45351</v>
      </c>
      <c r="B664" s="19" t="n">
        <v>2121.13</v>
      </c>
      <c r="D664" s="16" t="n">
        <v>45350</v>
      </c>
      <c r="E664" s="19" t="n">
        <v>18.55</v>
      </c>
      <c r="G664" s="16" t="n">
        <v>44921</v>
      </c>
      <c r="H664" s="19" t="n">
        <v>4.192</v>
      </c>
      <c r="J664" s="16" t="n">
        <v>44921</v>
      </c>
      <c r="K664" s="19" t="n">
        <v>2.735</v>
      </c>
      <c r="M664" s="16" t="n">
        <v>45351</v>
      </c>
      <c r="N664" s="19" t="n">
        <v>170749</v>
      </c>
    </row>
    <row r="665">
      <c r="A665" s="16" t="n">
        <v>45350</v>
      </c>
      <c r="B665" s="19" t="n">
        <v>2166.62</v>
      </c>
      <c r="D665" s="16" t="n">
        <v>45349</v>
      </c>
      <c r="E665" s="19" t="n">
        <v>19.05</v>
      </c>
      <c r="G665" s="16" t="n">
        <v>44922</v>
      </c>
      <c r="H665" s="19" t="n">
        <v>4.211</v>
      </c>
      <c r="J665" s="16" t="n">
        <v>44922</v>
      </c>
      <c r="K665" s="19" t="n">
        <v>2.732</v>
      </c>
      <c r="M665" s="16" t="n">
        <v>45350</v>
      </c>
      <c r="N665" s="19" t="n">
        <v>172658</v>
      </c>
    </row>
    <row r="666">
      <c r="A666" s="16" t="n">
        <v>45349</v>
      </c>
      <c r="B666" s="19" t="n">
        <v>2152.1</v>
      </c>
      <c r="D666" s="16" t="n">
        <v>45348</v>
      </c>
      <c r="E666" s="19" t="n">
        <v>17.4</v>
      </c>
      <c r="G666" s="16" t="n">
        <v>44923</v>
      </c>
      <c r="H666" s="19" t="n">
        <v>4.234</v>
      </c>
      <c r="J666" s="16" t="n">
        <v>44923</v>
      </c>
      <c r="K666" s="19" t="n">
        <v>2.766</v>
      </c>
      <c r="M666" s="16" t="n">
        <v>45349</v>
      </c>
      <c r="N666" s="19" t="n">
        <v>171822</v>
      </c>
    </row>
    <row r="667">
      <c r="A667" s="16" t="n">
        <v>45348</v>
      </c>
      <c r="B667" s="19" t="n">
        <v>2176.41</v>
      </c>
      <c r="D667" s="16" t="n">
        <v>45345</v>
      </c>
      <c r="E667" s="19" t="n">
        <v>18.19</v>
      </c>
      <c r="G667" s="16" t="n">
        <v>44924</v>
      </c>
      <c r="H667" s="19" t="n">
        <v>4.203</v>
      </c>
      <c r="J667" s="16" t="n">
        <v>44924</v>
      </c>
      <c r="K667" s="19" t="n">
        <v>2.744</v>
      </c>
      <c r="M667" s="16" t="n">
        <v>45348</v>
      </c>
      <c r="N667" s="19" t="n">
        <v>173327</v>
      </c>
    </row>
    <row r="668">
      <c r="A668" s="16" t="n">
        <v>45345</v>
      </c>
      <c r="B668" s="19" t="n">
        <v>2149.39</v>
      </c>
      <c r="D668" s="16" t="n">
        <v>45344</v>
      </c>
      <c r="E668" s="19" t="n">
        <v>16.67</v>
      </c>
      <c r="G668" s="16" t="n">
        <v>44925</v>
      </c>
      <c r="H668" s="19" t="n">
        <v>4.173</v>
      </c>
      <c r="J668" s="16" t="n">
        <v>44925</v>
      </c>
      <c r="K668" s="19" t="n">
        <v>2.75</v>
      </c>
      <c r="M668" s="16" t="n">
        <v>45345</v>
      </c>
      <c r="N668" s="19" t="n">
        <v>173046</v>
      </c>
    </row>
    <row r="669">
      <c r="A669" s="16" t="n">
        <v>45344</v>
      </c>
      <c r="B669" s="19" t="n">
        <v>2169.4</v>
      </c>
      <c r="D669" s="16" t="n">
        <v>45343</v>
      </c>
      <c r="E669" s="19" t="n">
        <v>16.31</v>
      </c>
      <c r="G669" s="16" t="n">
        <v>44928</v>
      </c>
      <c r="H669" s="19" t="n">
        <v>4.189</v>
      </c>
      <c r="J669" s="16" t="n">
        <v>44928</v>
      </c>
      <c r="K669" s="19" t="n">
        <v>2.767</v>
      </c>
      <c r="M669" s="16" t="n">
        <v>45344</v>
      </c>
      <c r="N669" s="19" t="n">
        <v>173644</v>
      </c>
    </row>
    <row r="670">
      <c r="A670" s="16" t="n">
        <v>45343</v>
      </c>
      <c r="B670" s="19" t="n">
        <v>2173.81</v>
      </c>
      <c r="D670" s="16" t="n">
        <v>45342</v>
      </c>
      <c r="E670" s="19" t="n">
        <v>15.9</v>
      </c>
      <c r="G670" s="16" t="n">
        <v>44929</v>
      </c>
      <c r="H670" s="19" t="n">
        <v>4.222</v>
      </c>
      <c r="J670" s="16" t="n">
        <v>44929</v>
      </c>
      <c r="K670" s="19" t="n">
        <v>2.807</v>
      </c>
      <c r="M670" s="16" t="n">
        <v>45343</v>
      </c>
      <c r="N670" s="19" t="n">
        <v>173573</v>
      </c>
    </row>
    <row r="671">
      <c r="A671" s="16" t="n">
        <v>45342</v>
      </c>
      <c r="B671" s="19" t="n">
        <v>2167.99</v>
      </c>
      <c r="D671" s="16" t="n">
        <v>45341</v>
      </c>
      <c r="E671" s="19" t="n">
        <v>16.98</v>
      </c>
      <c r="G671" s="16" t="n">
        <v>44930</v>
      </c>
      <c r="H671" s="19" t="n">
        <v>4.209</v>
      </c>
      <c r="J671" s="16" t="n">
        <v>44930</v>
      </c>
      <c r="K671" s="19" t="n">
        <v>2.826</v>
      </c>
      <c r="M671" s="16" t="n">
        <v>45342</v>
      </c>
      <c r="N671" s="19" t="n">
        <v>172728</v>
      </c>
    </row>
    <row r="672">
      <c r="A672" s="16" t="n">
        <v>45341</v>
      </c>
      <c r="B672" s="19" t="n">
        <v>2137.21</v>
      </c>
      <c r="D672" s="16" t="n">
        <v>45338</v>
      </c>
      <c r="E672" s="19" t="n">
        <v>17.17</v>
      </c>
      <c r="G672" s="16" t="n">
        <v>44931</v>
      </c>
      <c r="H672" s="19" t="n">
        <v>4.147</v>
      </c>
      <c r="J672" s="16" t="n">
        <v>44931</v>
      </c>
      <c r="K672" s="19" t="n">
        <v>2.775</v>
      </c>
      <c r="M672" s="16" t="n">
        <v>45341</v>
      </c>
      <c r="N672" s="19" t="n">
        <v>170094</v>
      </c>
    </row>
    <row r="673">
      <c r="A673" s="16" t="n">
        <v>45338</v>
      </c>
      <c r="B673" s="19" t="n">
        <v>2146.36</v>
      </c>
      <c r="D673" s="16" t="n">
        <v>45337</v>
      </c>
      <c r="E673" s="19" t="n">
        <v>18.34</v>
      </c>
      <c r="G673" s="16" t="n">
        <v>44932</v>
      </c>
      <c r="H673" s="19" t="n">
        <v>4.094</v>
      </c>
      <c r="J673" s="16" t="n">
        <v>44932</v>
      </c>
      <c r="K673" s="19" t="n">
        <v>2.787</v>
      </c>
      <c r="M673" s="16" t="n">
        <v>45338</v>
      </c>
      <c r="N673" s="19" t="n">
        <v>170597</v>
      </c>
    </row>
    <row r="674">
      <c r="A674" s="16" t="n">
        <v>45337</v>
      </c>
      <c r="B674" s="19" t="n">
        <v>2140.57</v>
      </c>
      <c r="D674" s="16" t="n">
        <v>45336</v>
      </c>
      <c r="E674" s="19" t="n">
        <v>20.18</v>
      </c>
      <c r="G674" s="16" t="n">
        <v>44935</v>
      </c>
      <c r="H674" s="19" t="n">
        <v>4.107</v>
      </c>
      <c r="J674" s="16" t="n">
        <v>44935</v>
      </c>
      <c r="K674" s="19" t="n">
        <v>2.813</v>
      </c>
      <c r="M674" s="16" t="n">
        <v>45337</v>
      </c>
      <c r="N674" s="19" t="n">
        <v>168918</v>
      </c>
    </row>
    <row r="675">
      <c r="A675" s="16" t="n">
        <v>45336</v>
      </c>
      <c r="B675" s="19" t="n">
        <v>2113.29</v>
      </c>
      <c r="D675" s="16" t="n">
        <v>45335</v>
      </c>
      <c r="E675" s="19" t="n">
        <v>19.08</v>
      </c>
      <c r="G675" s="16" t="n">
        <v>44936</v>
      </c>
      <c r="H675" s="19" t="n">
        <v>4.169</v>
      </c>
      <c r="J675" s="16" t="n">
        <v>44936</v>
      </c>
      <c r="K675" s="19" t="n">
        <v>2.86</v>
      </c>
      <c r="M675" s="16" t="n">
        <v>45336</v>
      </c>
      <c r="N675" s="19" t="n">
        <v>166947</v>
      </c>
    </row>
    <row r="676">
      <c r="A676" s="16" t="n">
        <v>45335</v>
      </c>
      <c r="B676" s="19" t="n">
        <v>2120.98</v>
      </c>
      <c r="D676" s="16" t="n">
        <v>45334</v>
      </c>
      <c r="E676" s="19" t="n">
        <v>16.27</v>
      </c>
      <c r="G676" s="16" t="n">
        <v>44937</v>
      </c>
      <c r="H676" s="19" t="n">
        <v>4.115</v>
      </c>
      <c r="J676" s="16" t="n">
        <v>44937</v>
      </c>
      <c r="K676" s="19" t="n">
        <v>2.87</v>
      </c>
      <c r="M676" s="16" t="n">
        <v>45335</v>
      </c>
      <c r="N676" s="19" t="n">
        <v>167161</v>
      </c>
    </row>
    <row r="677">
      <c r="A677" s="16" t="n">
        <v>45334</v>
      </c>
      <c r="B677" s="19" t="n">
        <v>2163.64</v>
      </c>
      <c r="D677" s="16" t="n">
        <v>45331</v>
      </c>
      <c r="E677" s="19" t="n">
        <v>19.11</v>
      </c>
      <c r="G677" s="16" t="n">
        <v>44938</v>
      </c>
      <c r="H677" s="19" t="n">
        <v>4.097</v>
      </c>
      <c r="J677" s="16" t="n">
        <v>44938</v>
      </c>
      <c r="K677" s="19" t="n">
        <v>2.856</v>
      </c>
      <c r="M677" s="16" t="n">
        <v>45334</v>
      </c>
      <c r="N677" s="19" t="n">
        <v>169299</v>
      </c>
    </row>
    <row r="678">
      <c r="A678" s="16" t="n">
        <v>45331</v>
      </c>
      <c r="B678" s="19" t="n">
        <v>2103.4</v>
      </c>
      <c r="D678" s="16" t="n">
        <v>45330</v>
      </c>
      <c r="E678" s="19" t="n">
        <v>16.84</v>
      </c>
      <c r="G678" s="16" t="n">
        <v>44939</v>
      </c>
      <c r="H678" s="19" t="n">
        <v>4.09</v>
      </c>
      <c r="J678" s="16" t="n">
        <v>44939</v>
      </c>
      <c r="K678" s="19" t="n">
        <v>2.881</v>
      </c>
      <c r="M678" s="16" t="n">
        <v>45331</v>
      </c>
      <c r="N678" s="19" t="n">
        <v>166638</v>
      </c>
    </row>
    <row r="679">
      <c r="A679" s="16" t="n">
        <v>45330</v>
      </c>
      <c r="B679" s="19" t="n">
        <v>2132.43</v>
      </c>
      <c r="D679" s="16" t="n">
        <v>45329</v>
      </c>
      <c r="E679" s="19" t="n">
        <v>17.34</v>
      </c>
      <c r="G679" s="16" t="n">
        <v>44942</v>
      </c>
      <c r="H679" s="19" t="n">
        <v>4.129</v>
      </c>
      <c r="J679" s="16" t="n">
        <v>44942</v>
      </c>
      <c r="K679" s="19" t="n">
        <v>2.915</v>
      </c>
      <c r="M679" s="16" t="n">
        <v>45330</v>
      </c>
      <c r="N679" s="19" t="n">
        <v>166307</v>
      </c>
    </row>
    <row r="680">
      <c r="A680" s="16" t="n">
        <v>45329</v>
      </c>
      <c r="B680" s="19" t="n">
        <v>2139.42</v>
      </c>
      <c r="D680" s="16" t="n">
        <v>45328</v>
      </c>
      <c r="E680" s="19" t="n">
        <v>16.4</v>
      </c>
      <c r="G680" s="16" t="n">
        <v>44943</v>
      </c>
      <c r="H680" s="19" t="n">
        <v>4.055</v>
      </c>
      <c r="J680" s="16" t="n">
        <v>44943</v>
      </c>
      <c r="K680" s="19" t="n">
        <v>2.842</v>
      </c>
      <c r="M680" s="16" t="n">
        <v>45329</v>
      </c>
      <c r="N680" s="19" t="n">
        <v>166106</v>
      </c>
    </row>
    <row r="681">
      <c r="A681" s="16" t="n">
        <v>45328</v>
      </c>
      <c r="B681" s="19" t="n">
        <v>2168.59</v>
      </c>
      <c r="D681" s="16" t="n">
        <v>45327</v>
      </c>
      <c r="E681" s="19" t="n">
        <v>17.61</v>
      </c>
      <c r="G681" s="16" t="n">
        <v>44944</v>
      </c>
      <c r="H681" s="19" t="n">
        <v>4.109</v>
      </c>
      <c r="J681" s="16" t="n">
        <v>44944</v>
      </c>
      <c r="K681" s="19" t="n">
        <v>2.893</v>
      </c>
      <c r="M681" s="16" t="n">
        <v>45328</v>
      </c>
      <c r="N681" s="19" t="n">
        <v>168591</v>
      </c>
    </row>
    <row r="682">
      <c r="A682" s="16" t="n">
        <v>45327</v>
      </c>
      <c r="B682" s="19" t="n">
        <v>2149.33</v>
      </c>
      <c r="D682" s="16" t="n">
        <v>45324</v>
      </c>
      <c r="E682" s="19" t="n">
        <v>18.66</v>
      </c>
      <c r="G682" s="16" t="n">
        <v>44945</v>
      </c>
      <c r="H682" s="19" t="n">
        <v>4.056</v>
      </c>
      <c r="J682" s="16" t="n">
        <v>44945</v>
      </c>
      <c r="K682" s="19" t="n">
        <v>2.905</v>
      </c>
      <c r="M682" s="16" t="n">
        <v>45327</v>
      </c>
      <c r="N682" s="19" t="n">
        <v>168013</v>
      </c>
    </row>
    <row r="683">
      <c r="A683" s="16" t="n">
        <v>45324</v>
      </c>
      <c r="B683" s="19" t="n">
        <v>2128.27</v>
      </c>
      <c r="D683" s="16" t="n">
        <v>45323</v>
      </c>
      <c r="E683" s="19" t="n">
        <v>19.61</v>
      </c>
      <c r="G683" s="16" t="n">
        <v>44946</v>
      </c>
      <c r="H683" s="19" t="n">
        <v>4.094</v>
      </c>
      <c r="J683" s="16" t="n">
        <v>44946</v>
      </c>
      <c r="K683" s="19" t="n">
        <v>2.916</v>
      </c>
      <c r="M683" s="16" t="n">
        <v>45324</v>
      </c>
      <c r="N683" s="19" t="n">
        <v>166242</v>
      </c>
    </row>
    <row r="684">
      <c r="A684" s="16" t="n">
        <v>45323</v>
      </c>
      <c r="B684" s="19" t="n">
        <v>2121.53</v>
      </c>
      <c r="D684" s="16" t="n">
        <v>45322</v>
      </c>
      <c r="E684" s="19" t="n">
        <v>20.65</v>
      </c>
      <c r="G684" s="16" t="n">
        <v>44949</v>
      </c>
      <c r="H684" s="19" t="n">
        <v>4.119</v>
      </c>
      <c r="J684" s="16" t="n">
        <v>44949</v>
      </c>
      <c r="K684" s="19" t="n">
        <v>2.933</v>
      </c>
      <c r="M684" s="16" t="n">
        <v>45323</v>
      </c>
      <c r="N684" s="19" t="n">
        <v>165592</v>
      </c>
    </row>
    <row r="685">
      <c r="A685" s="16" t="n">
        <v>45322</v>
      </c>
      <c r="B685" s="19" t="n">
        <v>2107.17</v>
      </c>
      <c r="D685" s="16" t="n">
        <v>45321</v>
      </c>
      <c r="E685" s="19" t="n">
        <v>18.01</v>
      </c>
      <c r="G685" s="16" t="n">
        <v>44950</v>
      </c>
      <c r="H685" s="19" t="n">
        <v>4.083</v>
      </c>
      <c r="J685" s="16" t="n">
        <v>44950</v>
      </c>
      <c r="K685" s="19" t="n">
        <v>2.914</v>
      </c>
      <c r="M685" s="16" t="n">
        <v>45322</v>
      </c>
      <c r="N685" s="19" t="n">
        <v>163903</v>
      </c>
    </row>
    <row r="686">
      <c r="A686" s="16" t="n">
        <v>45321</v>
      </c>
      <c r="B686" s="19" t="n">
        <v>2149.75</v>
      </c>
      <c r="D686" s="16" t="n">
        <v>45320</v>
      </c>
      <c r="E686" s="19" t="n">
        <v>17.9</v>
      </c>
      <c r="G686" s="16" t="n">
        <v>44951</v>
      </c>
      <c r="H686" s="19" t="n">
        <v>4.054</v>
      </c>
      <c r="J686" s="16" t="n">
        <v>44951</v>
      </c>
      <c r="K686" s="19" t="n">
        <v>2.916</v>
      </c>
      <c r="M686" s="16" t="n">
        <v>45321</v>
      </c>
      <c r="N686" s="19" t="n">
        <v>165699</v>
      </c>
    </row>
    <row r="687">
      <c r="A687" s="16" t="n">
        <v>45320</v>
      </c>
      <c r="B687" s="19" t="n">
        <v>2148.28</v>
      </c>
      <c r="D687" s="16" t="n">
        <v>45317</v>
      </c>
      <c r="E687" s="19" t="n">
        <v>18.03</v>
      </c>
      <c r="G687" s="16" t="n">
        <v>44952</v>
      </c>
      <c r="H687" s="19" t="n">
        <v>4.074</v>
      </c>
      <c r="J687" s="16" t="n">
        <v>44952</v>
      </c>
      <c r="K687" s="19" t="n">
        <v>2.912</v>
      </c>
      <c r="M687" s="16" t="n">
        <v>45320</v>
      </c>
      <c r="N687" s="19" t="n">
        <v>164935</v>
      </c>
    </row>
    <row r="688">
      <c r="A688" s="16" t="n">
        <v>45317</v>
      </c>
      <c r="B688" s="19" t="n">
        <v>2137.9</v>
      </c>
      <c r="D688" s="16" t="n">
        <v>45316</v>
      </c>
      <c r="E688" s="19" t="n">
        <v>17.87</v>
      </c>
      <c r="G688" s="16" t="n">
        <v>44953</v>
      </c>
      <c r="H688" s="19" t="n">
        <v>4.033</v>
      </c>
      <c r="J688" s="16" t="n">
        <v>44953</v>
      </c>
      <c r="K688" s="19" t="n">
        <v>2.9</v>
      </c>
      <c r="M688" s="16" t="n">
        <v>45317</v>
      </c>
      <c r="N688" s="19" t="n">
        <v>165411</v>
      </c>
    </row>
    <row r="689">
      <c r="A689" s="16" t="n">
        <v>45316</v>
      </c>
      <c r="B689" s="19" t="n">
        <v>2145.78</v>
      </c>
      <c r="D689" s="16" t="n">
        <v>45315</v>
      </c>
      <c r="E689" s="19" t="n">
        <v>18.72</v>
      </c>
      <c r="G689" s="16" t="n">
        <v>44956</v>
      </c>
      <c r="H689" s="19" t="n">
        <v>4.054</v>
      </c>
      <c r="J689" s="16" t="n">
        <v>44956</v>
      </c>
      <c r="K689" s="19" t="n">
        <v>2.903</v>
      </c>
      <c r="M689" s="16" t="n">
        <v>45316</v>
      </c>
      <c r="N689" s="19" t="n">
        <v>165888</v>
      </c>
    </row>
    <row r="690">
      <c r="A690" s="16" t="n">
        <v>45315</v>
      </c>
      <c r="B690" s="19" t="n">
        <v>2136.36</v>
      </c>
      <c r="D690" s="16" t="n">
        <v>45314</v>
      </c>
      <c r="E690" s="19" t="n">
        <v>17.13</v>
      </c>
      <c r="G690" s="16" t="n">
        <v>44957</v>
      </c>
      <c r="H690" s="19" t="n">
        <v>4.11</v>
      </c>
      <c r="J690" s="16" t="n">
        <v>44957</v>
      </c>
      <c r="K690" s="19" t="n">
        <v>2.904</v>
      </c>
      <c r="M690" s="16" t="n">
        <v>45315</v>
      </c>
      <c r="N690" s="19" t="n">
        <v>165262</v>
      </c>
    </row>
    <row r="691">
      <c r="A691" s="16" t="n">
        <v>45314</v>
      </c>
      <c r="B691" s="19" t="n">
        <v>2181.74</v>
      </c>
      <c r="D691" s="16" t="n">
        <v>45313</v>
      </c>
      <c r="E691" s="19" t="n">
        <v>17.89</v>
      </c>
      <c r="G691" s="16" t="n">
        <v>44958</v>
      </c>
      <c r="H691" s="19" t="n">
        <v>4.05</v>
      </c>
      <c r="J691" s="16" t="n">
        <v>44958</v>
      </c>
      <c r="K691" s="19" t="n">
        <v>2.905</v>
      </c>
      <c r="M691" s="16" t="n">
        <v>45314</v>
      </c>
      <c r="N691" s="19" t="n">
        <v>166386</v>
      </c>
    </row>
    <row r="692">
      <c r="A692" s="16" t="n">
        <v>45313</v>
      </c>
      <c r="B692" s="19" t="n">
        <v>2180.63</v>
      </c>
      <c r="D692" s="16" t="n">
        <v>45310</v>
      </c>
      <c r="E692" s="19" t="n">
        <v>16.14</v>
      </c>
      <c r="G692" s="16" t="n">
        <v>44959</v>
      </c>
      <c r="H692" s="19" t="n">
        <v>4.066</v>
      </c>
      <c r="J692" s="16" t="n">
        <v>44959</v>
      </c>
      <c r="K692" s="19" t="n">
        <v>2.913</v>
      </c>
      <c r="M692" s="16" t="n">
        <v>45313</v>
      </c>
      <c r="N692" s="19" t="n">
        <v>166798</v>
      </c>
    </row>
    <row r="693">
      <c r="A693" s="16" t="n">
        <v>45310</v>
      </c>
      <c r="B693" s="19" t="n">
        <v>2214.69</v>
      </c>
      <c r="D693" s="16" t="n">
        <v>45309</v>
      </c>
      <c r="E693" s="19" t="n">
        <v>17.16</v>
      </c>
      <c r="G693" s="16" t="n">
        <v>44960</v>
      </c>
      <c r="H693" s="19" t="n">
        <v>4.002</v>
      </c>
      <c r="J693" s="16" t="n">
        <v>44960</v>
      </c>
      <c r="K693" s="19" t="n">
        <v>2.897</v>
      </c>
      <c r="M693" s="16" t="n">
        <v>45310</v>
      </c>
      <c r="N693" s="19" t="n">
        <v>169104</v>
      </c>
    </row>
    <row r="694">
      <c r="A694" s="16" t="n">
        <v>45309</v>
      </c>
      <c r="B694" s="19" t="n">
        <v>2182.43</v>
      </c>
      <c r="D694" s="16" t="n">
        <v>45308</v>
      </c>
      <c r="E694" s="19" t="n">
        <v>17.9</v>
      </c>
      <c r="G694" s="16" t="n">
        <v>44963</v>
      </c>
      <c r="H694" s="19" t="n">
        <v>3.994</v>
      </c>
      <c r="J694" s="16" t="n">
        <v>44963</v>
      </c>
      <c r="K694" s="19" t="n">
        <v>2.917</v>
      </c>
      <c r="M694" s="16" t="n">
        <v>45309</v>
      </c>
      <c r="N694" s="19" t="n">
        <v>168070</v>
      </c>
    </row>
    <row r="695">
      <c r="A695" s="16" t="n">
        <v>45308</v>
      </c>
      <c r="B695" s="19" t="n">
        <v>2173.43</v>
      </c>
      <c r="D695" s="16" t="n">
        <v>45307</v>
      </c>
      <c r="E695" s="19" t="n">
        <v>17.65</v>
      </c>
      <c r="G695" s="16" t="n">
        <v>44964</v>
      </c>
      <c r="H695" s="19" t="n">
        <v>4</v>
      </c>
      <c r="J695" s="16" t="n">
        <v>44964</v>
      </c>
      <c r="K695" s="19" t="n">
        <v>2.91</v>
      </c>
      <c r="M695" s="16" t="n">
        <v>45308</v>
      </c>
      <c r="N695" s="19" t="n">
        <v>166550</v>
      </c>
    </row>
    <row r="696">
      <c r="A696" s="16" t="n">
        <v>45307</v>
      </c>
      <c r="B696" s="19" t="n">
        <v>2170.26</v>
      </c>
      <c r="D696" s="16" t="n">
        <v>45306</v>
      </c>
      <c r="E696" s="19" t="n">
        <v>19.08</v>
      </c>
      <c r="G696" s="16" t="n">
        <v>44965</v>
      </c>
      <c r="H696" s="19" t="n">
        <v>3.939</v>
      </c>
      <c r="J696" s="16" t="n">
        <v>44965</v>
      </c>
      <c r="K696" s="19" t="n">
        <v>2.897</v>
      </c>
      <c r="M696" s="16" t="n">
        <v>45307</v>
      </c>
      <c r="N696" s="19" t="n">
        <v>166594</v>
      </c>
    </row>
    <row r="697">
      <c r="A697" s="16" t="n">
        <v>45306</v>
      </c>
      <c r="B697" s="19" t="n">
        <v>2151.45</v>
      </c>
      <c r="D697" s="16" t="n">
        <v>45303</v>
      </c>
      <c r="E697" s="19" t="n">
        <v>19.58</v>
      </c>
      <c r="G697" s="16" t="n">
        <v>44966</v>
      </c>
      <c r="H697" s="19" t="n">
        <v>3.954</v>
      </c>
      <c r="J697" s="16" t="n">
        <v>44966</v>
      </c>
      <c r="K697" s="19" t="n">
        <v>2.887</v>
      </c>
      <c r="M697" s="16" t="n">
        <v>45306</v>
      </c>
      <c r="N697" s="19" t="n">
        <v>166741</v>
      </c>
    </row>
    <row r="698">
      <c r="A698" s="16" t="n">
        <v>45303</v>
      </c>
      <c r="B698" s="19" t="n">
        <v>2127.11</v>
      </c>
      <c r="D698" s="16" t="n">
        <v>45302</v>
      </c>
      <c r="E698" s="19" t="n">
        <v>19.3</v>
      </c>
      <c r="G698" s="16" t="n">
        <v>44967</v>
      </c>
      <c r="H698" s="19" t="n">
        <v>3.976</v>
      </c>
      <c r="J698" s="16" t="n">
        <v>44967</v>
      </c>
      <c r="K698" s="19" t="n">
        <v>2.883</v>
      </c>
      <c r="M698" s="16" t="n">
        <v>45303</v>
      </c>
      <c r="N698" s="19" t="n">
        <v>164809</v>
      </c>
    </row>
    <row r="699">
      <c r="A699" s="16" t="n">
        <v>45302</v>
      </c>
      <c r="B699" s="19" t="n">
        <v>2136.61</v>
      </c>
      <c r="D699" s="16" t="n">
        <v>45301</v>
      </c>
      <c r="E699" s="19" t="n">
        <v>17.07</v>
      </c>
      <c r="G699" s="16" t="n">
        <v>44970</v>
      </c>
      <c r="H699" s="19" t="n">
        <v>4.062</v>
      </c>
      <c r="J699" s="16" t="n">
        <v>44970</v>
      </c>
      <c r="K699" s="19" t="n">
        <v>2.941</v>
      </c>
      <c r="M699" s="16" t="n">
        <v>45302</v>
      </c>
      <c r="N699" s="19" t="n">
        <v>165197</v>
      </c>
    </row>
    <row r="700">
      <c r="A700" s="16" t="n">
        <v>45301</v>
      </c>
      <c r="B700" s="19" t="n">
        <v>2174.77</v>
      </c>
      <c r="D700" s="16" t="n">
        <v>45300</v>
      </c>
      <c r="E700" s="19" t="n">
        <v>19.7</v>
      </c>
      <c r="G700" s="16" t="n">
        <v>44971</v>
      </c>
      <c r="H700" s="19" t="n">
        <v>4.07</v>
      </c>
      <c r="J700" s="16" t="n">
        <v>44971</v>
      </c>
      <c r="K700" s="19" t="n">
        <v>2.937</v>
      </c>
      <c r="M700" s="16" t="n">
        <v>45301</v>
      </c>
      <c r="N700" s="19" t="n">
        <v>167141</v>
      </c>
    </row>
    <row r="701">
      <c r="A701" s="16" t="n">
        <v>45300</v>
      </c>
      <c r="B701" s="19" t="n">
        <v>2135.77</v>
      </c>
      <c r="D701" s="16" t="n">
        <v>45299</v>
      </c>
      <c r="E701" s="19" t="n">
        <v>20.37</v>
      </c>
      <c r="G701" s="16" t="n">
        <v>44972</v>
      </c>
      <c r="H701" s="19" t="n">
        <v>4.001</v>
      </c>
      <c r="J701" s="16" t="n">
        <v>44972</v>
      </c>
      <c r="K701" s="19" t="n">
        <v>2.907</v>
      </c>
      <c r="M701" s="16" t="n">
        <v>45300</v>
      </c>
      <c r="N701" s="19" t="n">
        <v>164911</v>
      </c>
    </row>
    <row r="702">
      <c r="A702" s="16" t="n">
        <v>45299</v>
      </c>
      <c r="B702" s="19" t="n">
        <v>2140.02</v>
      </c>
      <c r="D702" s="16" t="n">
        <v>45296</v>
      </c>
      <c r="E702" s="19" t="n">
        <v>19.99</v>
      </c>
      <c r="G702" s="16" t="n">
        <v>44973</v>
      </c>
      <c r="H702" s="19" t="n">
        <v>4.031</v>
      </c>
      <c r="J702" s="16" t="n">
        <v>44973</v>
      </c>
      <c r="K702" s="19" t="n">
        <v>2.917</v>
      </c>
      <c r="M702" s="16" t="n">
        <v>45299</v>
      </c>
      <c r="N702" s="19" t="n">
        <v>165355</v>
      </c>
    </row>
    <row r="703">
      <c r="A703" s="16" t="n">
        <v>45296</v>
      </c>
      <c r="B703" s="19" t="n">
        <v>2145.8</v>
      </c>
      <c r="D703" s="16" t="n">
        <v>45295</v>
      </c>
      <c r="E703" s="19" t="n">
        <v>19.46</v>
      </c>
      <c r="G703" s="16" t="n">
        <v>44974</v>
      </c>
      <c r="H703" s="19" t="n">
        <v>4.026</v>
      </c>
      <c r="J703" s="16" t="n">
        <v>44974</v>
      </c>
      <c r="K703" s="19" t="n">
        <v>2.908</v>
      </c>
      <c r="M703" s="16" t="n">
        <v>45296</v>
      </c>
      <c r="N703" s="19" t="n">
        <v>164356</v>
      </c>
    </row>
    <row r="704">
      <c r="A704" s="16" t="n">
        <v>45295</v>
      </c>
      <c r="B704" s="19" t="n">
        <v>2156.06</v>
      </c>
      <c r="D704" s="16" t="n">
        <v>45294</v>
      </c>
      <c r="E704" s="19" t="n">
        <v>19.54</v>
      </c>
      <c r="G704" s="16" t="n">
        <v>44977</v>
      </c>
      <c r="H704" s="19" t="n">
        <v>3.987</v>
      </c>
      <c r="J704" s="16" t="n">
        <v>44977</v>
      </c>
      <c r="K704" s="19" t="n">
        <v>2.913</v>
      </c>
      <c r="M704" s="16" t="n">
        <v>45295</v>
      </c>
      <c r="N704" s="19" t="n">
        <v>164812</v>
      </c>
    </row>
    <row r="705">
      <c r="A705" s="16" t="n">
        <v>45294</v>
      </c>
      <c r="B705" s="19" t="n">
        <v>2180.53</v>
      </c>
      <c r="D705" s="16" t="n">
        <v>45293</v>
      </c>
      <c r="E705" s="19" t="n">
        <v>17.6</v>
      </c>
      <c r="G705" s="16" t="n">
        <v>44978</v>
      </c>
      <c r="H705" s="19" t="n">
        <v>3.974</v>
      </c>
      <c r="J705" s="16" t="n">
        <v>44978</v>
      </c>
      <c r="K705" s="19" t="n">
        <v>2.905</v>
      </c>
      <c r="M705" s="16" t="n">
        <v>45294</v>
      </c>
      <c r="N705" s="19" t="n">
        <v>165382</v>
      </c>
    </row>
    <row r="706">
      <c r="A706" s="16" t="n">
        <v>45293</v>
      </c>
      <c r="B706" s="19" t="n">
        <v>2192.37</v>
      </c>
      <c r="D706" s="16" t="n">
        <v>45289</v>
      </c>
      <c r="E706" s="19" t="n">
        <v>16.5</v>
      </c>
      <c r="G706" s="16" t="n">
        <v>44979</v>
      </c>
      <c r="H706" s="19" t="n">
        <v>3.946</v>
      </c>
      <c r="J706" s="16" t="n">
        <v>44979</v>
      </c>
      <c r="K706" s="19" t="n">
        <v>2.853</v>
      </c>
      <c r="M706" s="16" t="n">
        <v>45293</v>
      </c>
      <c r="N706" s="19" t="n">
        <v>166652</v>
      </c>
    </row>
    <row r="707">
      <c r="A707" s="16" t="n">
        <v>45289</v>
      </c>
      <c r="B707" s="19" t="n">
        <v>2216.12</v>
      </c>
      <c r="D707" s="16" t="n">
        <v>45288</v>
      </c>
      <c r="E707" s="19" t="n">
        <v>18.06</v>
      </c>
      <c r="G707" s="16" t="n">
        <v>44980</v>
      </c>
      <c r="H707" s="19" t="n">
        <v>3.898</v>
      </c>
      <c r="J707" s="16" t="n">
        <v>44980</v>
      </c>
      <c r="K707" s="19" t="n">
        <v>2.812</v>
      </c>
      <c r="M707" s="16" t="n">
        <v>45289</v>
      </c>
      <c r="N707" s="19" t="n">
        <v>167436</v>
      </c>
    </row>
    <row r="708">
      <c r="A708" s="16" t="n">
        <v>45288</v>
      </c>
      <c r="B708" s="19" t="n">
        <v>2196.45</v>
      </c>
      <c r="D708" s="16" t="n">
        <v>45287</v>
      </c>
      <c r="E708" s="19" t="n">
        <v>15.34</v>
      </c>
      <c r="G708" s="16" t="n">
        <v>44981</v>
      </c>
      <c r="H708" s="19" t="n">
        <v>3.91</v>
      </c>
      <c r="J708" s="16" t="n">
        <v>44981</v>
      </c>
      <c r="K708" s="19" t="n">
        <v>2.824</v>
      </c>
      <c r="M708" s="16" t="n">
        <v>45288</v>
      </c>
      <c r="N708" s="19" t="n">
        <v>165300</v>
      </c>
    </row>
    <row r="709">
      <c r="A709" s="16" t="n">
        <v>45287</v>
      </c>
      <c r="B709" s="19" t="n">
        <v>2249.53</v>
      </c>
      <c r="D709" s="16" t="n">
        <v>45286</v>
      </c>
      <c r="E709" s="19" t="n">
        <v>16.28</v>
      </c>
      <c r="G709" s="16" t="n">
        <v>44984</v>
      </c>
      <c r="H709" s="19" t="n">
        <v>3.853</v>
      </c>
      <c r="J709" s="16" t="n">
        <v>44984</v>
      </c>
      <c r="K709" s="19" t="n">
        <v>2.807</v>
      </c>
      <c r="M709" s="16" t="n">
        <v>45287</v>
      </c>
      <c r="N709" s="19" t="n">
        <v>167656</v>
      </c>
    </row>
    <row r="710">
      <c r="A710" s="16" t="n">
        <v>45286</v>
      </c>
      <c r="B710" s="19" t="n">
        <v>2240.37</v>
      </c>
      <c r="D710" s="16" t="n">
        <v>45282</v>
      </c>
      <c r="E710" s="19" t="n">
        <v>16.13</v>
      </c>
      <c r="G710" s="16" t="n">
        <v>44985</v>
      </c>
      <c r="H710" s="19" t="n">
        <v>3.919</v>
      </c>
      <c r="J710" s="16" t="n">
        <v>44985</v>
      </c>
      <c r="K710" s="19" t="n">
        <v>2.819</v>
      </c>
      <c r="M710" s="16" t="n">
        <v>45286</v>
      </c>
      <c r="N710" s="19" t="n">
        <v>167388</v>
      </c>
    </row>
    <row r="711">
      <c r="A711" s="16" t="n">
        <v>45282</v>
      </c>
      <c r="B711" s="19" t="n">
        <v>2250.08</v>
      </c>
      <c r="D711" s="16" t="n">
        <v>45281</v>
      </c>
      <c r="E711" s="19" t="n">
        <v>15.25</v>
      </c>
      <c r="G711" s="16" t="n">
        <v>44987</v>
      </c>
      <c r="H711" s="19" t="n">
        <v>3.937</v>
      </c>
      <c r="J711" s="16" t="n">
        <v>44987</v>
      </c>
      <c r="K711" s="19" t="n">
        <v>2.829</v>
      </c>
      <c r="M711" s="16" t="n">
        <v>45282</v>
      </c>
      <c r="N711" s="19" t="n">
        <v>168080</v>
      </c>
    </row>
    <row r="712">
      <c r="A712" s="16" t="n">
        <v>45281</v>
      </c>
      <c r="B712" s="19" t="n">
        <v>2247.18</v>
      </c>
      <c r="D712" s="16" t="n">
        <v>45280</v>
      </c>
      <c r="E712" s="19" t="n">
        <v>13.82</v>
      </c>
      <c r="G712" s="16" t="n">
        <v>44988</v>
      </c>
      <c r="H712" s="19" t="n">
        <v>3.941</v>
      </c>
      <c r="J712" s="16" t="n">
        <v>44988</v>
      </c>
      <c r="K712" s="19" t="n">
        <v>2.808</v>
      </c>
      <c r="M712" s="16" t="n">
        <v>45281</v>
      </c>
      <c r="N712" s="19" t="n">
        <v>167910</v>
      </c>
    </row>
    <row r="713">
      <c r="A713" s="16" t="n">
        <v>45280</v>
      </c>
      <c r="B713" s="19" t="n">
        <v>2251.78</v>
      </c>
      <c r="D713" s="16" t="n">
        <v>45279</v>
      </c>
      <c r="E713" s="19" t="n">
        <v>13.61</v>
      </c>
      <c r="G713" s="16" t="n">
        <v>44991</v>
      </c>
      <c r="H713" s="19" t="n">
        <v>3.972</v>
      </c>
      <c r="J713" s="16" t="n">
        <v>44991</v>
      </c>
      <c r="K713" s="19" t="n">
        <v>2.789</v>
      </c>
      <c r="M713" s="16" t="n">
        <v>45280</v>
      </c>
      <c r="N713" s="19" t="n">
        <v>168263</v>
      </c>
    </row>
    <row r="714">
      <c r="A714" s="16" t="n">
        <v>45279</v>
      </c>
      <c r="B714" s="19" t="n">
        <v>2241.9</v>
      </c>
      <c r="D714" s="16" t="n">
        <v>45278</v>
      </c>
      <c r="E714" s="19" t="n">
        <v>11.47</v>
      </c>
      <c r="G714" s="16" t="n">
        <v>44992</v>
      </c>
      <c r="H714" s="19" t="n">
        <v>3.976</v>
      </c>
      <c r="J714" s="16" t="n">
        <v>44992</v>
      </c>
      <c r="K714" s="19" t="n">
        <v>2.774</v>
      </c>
      <c r="M714" s="16" t="n">
        <v>45279</v>
      </c>
      <c r="N714" s="19" t="n">
        <v>167487</v>
      </c>
    </row>
    <row r="715">
      <c r="A715" s="16" t="n">
        <v>45278</v>
      </c>
      <c r="B715" s="19" t="n">
        <v>2274.74</v>
      </c>
      <c r="D715" s="16" t="n">
        <v>45275</v>
      </c>
      <c r="E715" s="19" t="n">
        <v>11.46</v>
      </c>
      <c r="G715" s="16" t="n">
        <v>44993</v>
      </c>
      <c r="H715" s="19" t="n">
        <v>3.959</v>
      </c>
      <c r="J715" s="16" t="n">
        <v>44993</v>
      </c>
      <c r="K715" s="19" t="n">
        <v>2.74</v>
      </c>
      <c r="M715" s="16" t="n">
        <v>45278</v>
      </c>
      <c r="N715" s="19" t="n">
        <v>169604</v>
      </c>
    </row>
    <row r="716">
      <c r="A716" s="16" t="n">
        <v>45275</v>
      </c>
      <c r="B716" s="19" t="n">
        <v>2286.63</v>
      </c>
      <c r="D716" s="16" t="n">
        <v>45274</v>
      </c>
      <c r="E716" s="19" t="n">
        <v>12.23</v>
      </c>
      <c r="G716" s="16" t="n">
        <v>44994</v>
      </c>
      <c r="H716" s="19" t="n">
        <v>4.002</v>
      </c>
      <c r="J716" s="16" t="n">
        <v>44994</v>
      </c>
      <c r="K716" s="19" t="n">
        <v>2.705</v>
      </c>
      <c r="M716" s="16" t="n">
        <v>45275</v>
      </c>
      <c r="N716" s="19" t="n">
        <v>169854</v>
      </c>
    </row>
    <row r="717">
      <c r="A717" s="16" t="n">
        <v>45274</v>
      </c>
      <c r="B717" s="19" t="n">
        <v>2242.07</v>
      </c>
      <c r="D717" s="16" t="n">
        <v>45273</v>
      </c>
      <c r="E717" s="19" t="n">
        <v>11.67</v>
      </c>
      <c r="G717" s="16" t="n">
        <v>44995</v>
      </c>
      <c r="H717" s="19" t="n">
        <v>4.024</v>
      </c>
      <c r="J717" s="16" t="n">
        <v>44995</v>
      </c>
      <c r="K717" s="19" t="n">
        <v>2.708</v>
      </c>
      <c r="M717" s="16" t="n">
        <v>45274</v>
      </c>
      <c r="N717" s="19" t="n">
        <v>167758</v>
      </c>
    </row>
    <row r="718">
      <c r="A718" s="16" t="n">
        <v>45273</v>
      </c>
      <c r="B718" s="19" t="n">
        <v>2220.83</v>
      </c>
      <c r="D718" s="16" t="n">
        <v>45272</v>
      </c>
      <c r="E718" s="19" t="n">
        <v>12.23</v>
      </c>
      <c r="G718" s="16" t="n">
        <v>44998</v>
      </c>
      <c r="H718" s="19" t="n">
        <v>3.966</v>
      </c>
      <c r="J718" s="16" t="n">
        <v>44998</v>
      </c>
      <c r="K718" s="19" t="n">
        <v>2.662</v>
      </c>
      <c r="M718" s="16" t="n">
        <v>45273</v>
      </c>
      <c r="N718" s="19" t="n">
        <v>166383</v>
      </c>
    </row>
    <row r="719">
      <c r="A719" s="16" t="n">
        <v>45272</v>
      </c>
      <c r="B719" s="19" t="n">
        <v>2201.46</v>
      </c>
      <c r="D719" s="16" t="n">
        <v>45271</v>
      </c>
      <c r="E719" s="19" t="n">
        <v>11.46</v>
      </c>
      <c r="G719" s="16" t="n">
        <v>44999</v>
      </c>
      <c r="H719" s="19" t="n">
        <v>3.997</v>
      </c>
      <c r="J719" s="16" t="n">
        <v>44999</v>
      </c>
      <c r="K719" s="19" t="n">
        <v>2.686</v>
      </c>
      <c r="M719" s="16" t="n">
        <v>45272</v>
      </c>
      <c r="N719" s="19" t="n">
        <v>165197</v>
      </c>
    </row>
    <row r="720">
      <c r="A720" s="16" t="n">
        <v>45271</v>
      </c>
      <c r="B720" s="19" t="n">
        <v>2212.55</v>
      </c>
      <c r="D720" s="16" t="n">
        <v>45268</v>
      </c>
      <c r="E720" s="19" t="n">
        <v>10.54</v>
      </c>
      <c r="G720" s="16" t="n">
        <v>45000</v>
      </c>
      <c r="H720" s="19" t="n">
        <v>4.033</v>
      </c>
      <c r="J720" s="16" t="n">
        <v>45000</v>
      </c>
      <c r="K720" s="19" t="n">
        <v>2.707</v>
      </c>
      <c r="M720" s="16" t="n">
        <v>45271</v>
      </c>
      <c r="N720" s="19" t="n">
        <v>166320</v>
      </c>
    </row>
    <row r="721">
      <c r="A721" s="16" t="n">
        <v>45268</v>
      </c>
      <c r="B721" s="19" t="n">
        <v>2248.15</v>
      </c>
      <c r="D721" s="16" t="n">
        <v>45267</v>
      </c>
      <c r="E721" s="19" t="n">
        <v>12.52</v>
      </c>
      <c r="G721" s="16" t="n">
        <v>45001</v>
      </c>
      <c r="H721" s="19" t="n">
        <v>4.032</v>
      </c>
      <c r="J721" s="16" t="n">
        <v>45001</v>
      </c>
      <c r="K721" s="19" t="n">
        <v>2.726</v>
      </c>
      <c r="M721" s="16" t="n">
        <v>45268</v>
      </c>
      <c r="N721" s="19" t="n">
        <v>167887</v>
      </c>
    </row>
    <row r="722">
      <c r="A722" s="16" t="n">
        <v>45267</v>
      </c>
      <c r="B722" s="19" t="n">
        <v>2216.64</v>
      </c>
      <c r="D722" s="16" t="n">
        <v>45266</v>
      </c>
      <c r="E722" s="19" t="n">
        <v>12.02</v>
      </c>
      <c r="G722" s="16" t="n">
        <v>45002</v>
      </c>
      <c r="H722" s="19" t="n">
        <v>4.012</v>
      </c>
      <c r="J722" s="16" t="n">
        <v>45002</v>
      </c>
      <c r="K722" s="19" t="n">
        <v>2.745</v>
      </c>
      <c r="M722" s="16" t="n">
        <v>45267</v>
      </c>
      <c r="N722" s="19" t="n">
        <v>166747</v>
      </c>
    </row>
    <row r="723">
      <c r="A723" s="16" t="n">
        <v>45266</v>
      </c>
      <c r="B723" s="19" t="n">
        <v>2220.6</v>
      </c>
      <c r="D723" s="16" t="n">
        <v>45265</v>
      </c>
      <c r="E723" s="19" t="n">
        <v>13.61</v>
      </c>
      <c r="G723" s="16" t="n">
        <v>45005</v>
      </c>
      <c r="H723" s="19" t="n">
        <v>4.062</v>
      </c>
      <c r="J723" s="16" t="n">
        <v>45005</v>
      </c>
      <c r="K723" s="19" t="n">
        <v>2.723</v>
      </c>
      <c r="M723" s="16" t="n">
        <v>45266</v>
      </c>
      <c r="N723" s="19" t="n">
        <v>166927</v>
      </c>
    </row>
    <row r="724">
      <c r="A724" s="16" t="n">
        <v>45265</v>
      </c>
      <c r="B724" s="19" t="n">
        <v>2181.9</v>
      </c>
      <c r="D724" s="16" t="n">
        <v>45264</v>
      </c>
      <c r="E724" s="19" t="n">
        <v>11.94</v>
      </c>
      <c r="G724" s="16" t="n">
        <v>45006</v>
      </c>
      <c r="H724" s="19" t="n">
        <v>3.971</v>
      </c>
      <c r="J724" s="16" t="n">
        <v>45006</v>
      </c>
      <c r="K724" s="19" t="n">
        <v>2.677</v>
      </c>
      <c r="M724" s="16" t="n">
        <v>45265</v>
      </c>
      <c r="N724" s="19" t="n">
        <v>165476</v>
      </c>
    </row>
    <row r="725">
      <c r="A725" s="16" t="n">
        <v>45264</v>
      </c>
      <c r="B725" s="19" t="n">
        <v>2191.33</v>
      </c>
      <c r="D725" s="16" t="n">
        <v>45261</v>
      </c>
      <c r="E725" s="19" t="n">
        <v>10</v>
      </c>
      <c r="G725" s="16" t="n">
        <v>45007</v>
      </c>
      <c r="H725" s="19" t="n">
        <v>3.959</v>
      </c>
      <c r="J725" s="16" t="n">
        <v>45007</v>
      </c>
      <c r="K725" s="19" t="n">
        <v>2.679</v>
      </c>
      <c r="M725" s="16" t="n">
        <v>45264</v>
      </c>
      <c r="N725" s="19" t="n">
        <v>166637</v>
      </c>
    </row>
    <row r="726">
      <c r="A726" s="16" t="n">
        <v>45261</v>
      </c>
      <c r="B726" s="19" t="n">
        <v>2209.12</v>
      </c>
      <c r="D726" s="16" t="n">
        <v>45260</v>
      </c>
      <c r="E726" s="19" t="n">
        <v>10.18</v>
      </c>
      <c r="G726" s="16" t="n">
        <v>45008</v>
      </c>
      <c r="H726" s="19" t="n">
        <v>3.984</v>
      </c>
      <c r="J726" s="16" t="n">
        <v>45008</v>
      </c>
      <c r="K726" s="19" t="n">
        <v>2.702</v>
      </c>
      <c r="M726" s="16" t="n">
        <v>45261</v>
      </c>
      <c r="N726" s="19" t="n">
        <v>166137</v>
      </c>
    </row>
    <row r="727">
      <c r="A727" s="16" t="n">
        <v>45260</v>
      </c>
      <c r="B727" s="19" t="n">
        <v>2193.42</v>
      </c>
      <c r="D727" s="16" t="n">
        <v>45259</v>
      </c>
      <c r="E727" s="19" t="n">
        <v>10.85</v>
      </c>
      <c r="G727" s="16" t="n">
        <v>45009</v>
      </c>
      <c r="H727" s="19" t="n">
        <v>3.935</v>
      </c>
      <c r="J727" s="16" t="n">
        <v>45009</v>
      </c>
      <c r="K727" s="19" t="n">
        <v>2.704</v>
      </c>
      <c r="M727" s="16" t="n">
        <v>45260</v>
      </c>
      <c r="N727" s="19" t="n">
        <v>165270</v>
      </c>
    </row>
    <row r="728">
      <c r="A728" s="16" t="n">
        <v>45259</v>
      </c>
      <c r="B728" s="19" t="n">
        <v>2176.93</v>
      </c>
      <c r="D728" s="16" t="n">
        <v>45258</v>
      </c>
      <c r="E728" s="19" t="n">
        <v>10</v>
      </c>
      <c r="G728" s="16" t="n">
        <v>45012</v>
      </c>
      <c r="H728" s="19" t="n">
        <v>3.924</v>
      </c>
      <c r="J728" s="16" t="n">
        <v>45012</v>
      </c>
      <c r="K728" s="19" t="n">
        <v>2.706</v>
      </c>
      <c r="M728" s="16" t="n">
        <v>45259</v>
      </c>
      <c r="N728" s="19" t="n">
        <v>164397</v>
      </c>
    </row>
    <row r="729">
      <c r="A729" s="16" t="n">
        <v>45258</v>
      </c>
      <c r="B729" s="19" t="n">
        <v>2192.74</v>
      </c>
      <c r="D729" s="16" t="n">
        <v>45257</v>
      </c>
      <c r="E729" s="19" t="n">
        <v>10</v>
      </c>
      <c r="G729" s="16" t="n">
        <v>45013</v>
      </c>
      <c r="H729" s="19" t="n">
        <v>3.903</v>
      </c>
      <c r="J729" s="16" t="n">
        <v>45013</v>
      </c>
      <c r="K729" s="19" t="n">
        <v>2.682</v>
      </c>
      <c r="M729" s="16" t="n">
        <v>45258</v>
      </c>
      <c r="N729" s="19" t="n">
        <v>164098</v>
      </c>
    </row>
    <row r="730">
      <c r="A730" s="16" t="n">
        <v>45257</v>
      </c>
      <c r="B730" s="19" t="n">
        <v>2153.38</v>
      </c>
      <c r="D730" s="16" t="n">
        <v>45254</v>
      </c>
      <c r="E730" s="19" t="n">
        <v>10</v>
      </c>
      <c r="G730" s="16" t="n">
        <v>45014</v>
      </c>
      <c r="H730" s="19" t="n">
        <v>3.949</v>
      </c>
      <c r="J730" s="16" t="n">
        <v>45014</v>
      </c>
      <c r="K730" s="19" t="n">
        <v>2.681</v>
      </c>
      <c r="M730" s="16" t="n">
        <v>45257</v>
      </c>
      <c r="N730" s="19" t="n">
        <v>163096</v>
      </c>
    </row>
    <row r="731">
      <c r="A731" s="16" t="n">
        <v>45254</v>
      </c>
      <c r="B731" s="19" t="n">
        <v>2144.63</v>
      </c>
      <c r="D731" s="16" t="n">
        <v>45253</v>
      </c>
      <c r="E731" s="19" t="n">
        <v>10.26</v>
      </c>
      <c r="G731" s="16" t="n">
        <v>45015</v>
      </c>
      <c r="H731" s="19" t="n">
        <v>3.89</v>
      </c>
      <c r="J731" s="16" t="n">
        <v>45015</v>
      </c>
      <c r="K731" s="19" t="n">
        <v>2.653</v>
      </c>
      <c r="M731" s="16" t="n">
        <v>45254</v>
      </c>
      <c r="N731" s="19" t="n">
        <v>162548</v>
      </c>
    </row>
    <row r="732">
      <c r="A732" s="16" t="n">
        <v>45253</v>
      </c>
      <c r="B732" s="19" t="n">
        <v>2118.67</v>
      </c>
      <c r="D732" s="16" t="n">
        <v>45252</v>
      </c>
      <c r="E732" s="19" t="n">
        <v>11.5</v>
      </c>
      <c r="G732" s="16" t="n">
        <v>45016</v>
      </c>
      <c r="H732" s="19" t="n">
        <v>3.864</v>
      </c>
      <c r="J732" s="16" t="n">
        <v>45016</v>
      </c>
      <c r="K732" s="19" t="n">
        <v>2.701</v>
      </c>
      <c r="M732" s="16" t="n">
        <v>45253</v>
      </c>
      <c r="N732" s="19" t="n">
        <v>160770</v>
      </c>
    </row>
    <row r="733">
      <c r="A733" s="16" t="n">
        <v>45252</v>
      </c>
      <c r="B733" s="19" t="n">
        <v>2107.47</v>
      </c>
      <c r="D733" s="16" t="n">
        <v>45251</v>
      </c>
      <c r="E733" s="19" t="n">
        <v>11.9</v>
      </c>
      <c r="G733" s="16" t="n">
        <v>45019</v>
      </c>
      <c r="H733" s="19" t="n">
        <v>3.942</v>
      </c>
      <c r="J733" s="16" t="n">
        <v>45019</v>
      </c>
      <c r="K733" s="19" t="n">
        <v>2.733</v>
      </c>
      <c r="M733" s="16" t="n">
        <v>45252</v>
      </c>
      <c r="N733" s="19" t="n">
        <v>160170</v>
      </c>
    </row>
    <row r="734">
      <c r="A734" s="16" t="n">
        <v>45251</v>
      </c>
      <c r="B734" s="19" t="n">
        <v>2090.64</v>
      </c>
      <c r="D734" s="16" t="n">
        <v>45250</v>
      </c>
      <c r="E734" s="19" t="n">
        <v>11.52</v>
      </c>
      <c r="G734" s="16" t="n">
        <v>45020</v>
      </c>
      <c r="H734" s="19" t="n">
        <v>3.897</v>
      </c>
      <c r="J734" s="16" t="n">
        <v>45020</v>
      </c>
      <c r="K734" s="19" t="n">
        <v>2.735</v>
      </c>
      <c r="M734" s="16" t="n">
        <v>45251</v>
      </c>
      <c r="N734" s="19" t="n">
        <v>159443</v>
      </c>
    </row>
    <row r="735">
      <c r="A735" s="16" t="n">
        <v>45250</v>
      </c>
      <c r="B735" s="19" t="n">
        <v>2091.02</v>
      </c>
      <c r="D735" s="16" t="n">
        <v>45247</v>
      </c>
      <c r="E735" s="19" t="n">
        <v>11.33</v>
      </c>
      <c r="G735" s="16" t="n">
        <v>45021</v>
      </c>
      <c r="H735" s="19" t="n">
        <v>3.918</v>
      </c>
      <c r="J735" s="16" t="n">
        <v>45021</v>
      </c>
      <c r="K735" s="19" t="n">
        <v>2.741</v>
      </c>
      <c r="M735" s="16" t="n">
        <v>45250</v>
      </c>
      <c r="N735" s="19" t="n">
        <v>159616</v>
      </c>
    </row>
    <row r="736">
      <c r="A736" s="16" t="n">
        <v>45247</v>
      </c>
      <c r="B736" s="19" t="n">
        <v>2081.45</v>
      </c>
      <c r="D736" s="16" t="n">
        <v>45246</v>
      </c>
      <c r="E736" s="19" t="n">
        <v>12.16</v>
      </c>
      <c r="G736" s="16" t="n">
        <v>45022</v>
      </c>
      <c r="H736" s="19" t="n">
        <v>3.882</v>
      </c>
      <c r="J736" s="16" t="n">
        <v>45022</v>
      </c>
      <c r="K736" s="19" t="n">
        <v>2.724</v>
      </c>
      <c r="M736" s="16" t="n">
        <v>45247</v>
      </c>
      <c r="N736" s="19" t="n">
        <v>159306</v>
      </c>
    </row>
    <row r="737">
      <c r="A737" s="16" t="n">
        <v>45246</v>
      </c>
      <c r="B737" s="19" t="n">
        <v>2075.38</v>
      </c>
      <c r="D737" s="16" t="n">
        <v>45245</v>
      </c>
      <c r="E737" s="19" t="n">
        <v>12.51</v>
      </c>
      <c r="G737" s="16" t="n">
        <v>45023</v>
      </c>
      <c r="H737" s="19" t="n">
        <v>3.938</v>
      </c>
      <c r="J737" s="16" t="n">
        <v>45023</v>
      </c>
      <c r="K737" s="19" t="n">
        <v>2.749</v>
      </c>
      <c r="M737" s="16" t="n">
        <v>45246</v>
      </c>
      <c r="N737" s="19" t="n">
        <v>158312</v>
      </c>
    </row>
    <row r="738">
      <c r="A738" s="16" t="n">
        <v>45245</v>
      </c>
      <c r="B738" s="19" t="n">
        <v>2077</v>
      </c>
      <c r="D738" s="16" t="n">
        <v>45244</v>
      </c>
      <c r="E738" s="19" t="n">
        <v>10</v>
      </c>
      <c r="G738" s="16" t="n">
        <v>45026</v>
      </c>
      <c r="H738" s="19" t="n">
        <v>3.99</v>
      </c>
      <c r="J738" s="16" t="n">
        <v>45026</v>
      </c>
      <c r="K738" s="19" t="n">
        <v>2.721</v>
      </c>
      <c r="M738" s="16" t="n">
        <v>45245</v>
      </c>
      <c r="N738" s="19" t="n">
        <v>157804</v>
      </c>
    </row>
    <row r="739">
      <c r="A739" s="16" t="n">
        <v>45244</v>
      </c>
      <c r="B739" s="19" t="n">
        <v>2120.84</v>
      </c>
      <c r="D739" s="16" t="n">
        <v>45243</v>
      </c>
      <c r="E739" s="19" t="n">
        <v>10.01</v>
      </c>
      <c r="G739" s="16" t="n">
        <v>45027</v>
      </c>
      <c r="H739" s="19" t="n">
        <v>4.06</v>
      </c>
      <c r="J739" s="16" t="n">
        <v>45027</v>
      </c>
      <c r="K739" s="19" t="n">
        <v>2.738</v>
      </c>
      <c r="M739" s="16" t="n">
        <v>45244</v>
      </c>
      <c r="N739" s="19" t="n">
        <v>160538</v>
      </c>
    </row>
    <row r="740">
      <c r="A740" s="16" t="n">
        <v>45243</v>
      </c>
      <c r="B740" s="19" t="n">
        <v>2090.51</v>
      </c>
      <c r="D740" s="16" t="n">
        <v>45240</v>
      </c>
      <c r="E740" s="19" t="n">
        <v>10.71</v>
      </c>
      <c r="G740" s="16" t="n">
        <v>45028</v>
      </c>
      <c r="H740" s="19" t="n">
        <v>4.019</v>
      </c>
      <c r="J740" s="16" t="n">
        <v>45028</v>
      </c>
      <c r="K740" s="19" t="n">
        <v>2.713</v>
      </c>
      <c r="M740" s="16" t="n">
        <v>45243</v>
      </c>
      <c r="N740" s="19" t="n">
        <v>158584</v>
      </c>
    </row>
    <row r="741">
      <c r="A741" s="16" t="n">
        <v>45240</v>
      </c>
      <c r="B741" s="19" t="n">
        <v>2058.36</v>
      </c>
      <c r="D741" s="16" t="n">
        <v>45239</v>
      </c>
      <c r="E741" s="19" t="n">
        <v>10.18</v>
      </c>
      <c r="G741" s="16" t="n">
        <v>45029</v>
      </c>
      <c r="H741" s="19" t="n">
        <v>4.014</v>
      </c>
      <c r="J741" s="16" t="n">
        <v>45029</v>
      </c>
      <c r="K741" s="19" t="n">
        <v>2.684</v>
      </c>
      <c r="M741" s="16" t="n">
        <v>45240</v>
      </c>
      <c r="N741" s="19" t="n">
        <v>158421</v>
      </c>
    </row>
    <row r="742">
      <c r="A742" s="16" t="n">
        <v>45239</v>
      </c>
      <c r="B742" s="19" t="n">
        <v>2089.28</v>
      </c>
      <c r="D742" s="16" t="n">
        <v>45238</v>
      </c>
      <c r="E742" s="19" t="n">
        <v>11.22</v>
      </c>
      <c r="G742" s="16" t="n">
        <v>45030</v>
      </c>
      <c r="H742" s="19" t="n">
        <v>4.005</v>
      </c>
      <c r="J742" s="16" t="n">
        <v>45030</v>
      </c>
      <c r="K742" s="19" t="n">
        <v>2.655</v>
      </c>
      <c r="M742" s="16" t="n">
        <v>45239</v>
      </c>
      <c r="N742" s="19" t="n">
        <v>160316</v>
      </c>
    </row>
    <row r="743">
      <c r="A743" s="16" t="n">
        <v>45238</v>
      </c>
      <c r="B743" s="19" t="n">
        <v>2086.63</v>
      </c>
      <c r="D743" s="16" t="n">
        <v>45237</v>
      </c>
      <c r="E743" s="19" t="n">
        <v>10.19</v>
      </c>
      <c r="G743" s="16" t="n">
        <v>45033</v>
      </c>
      <c r="H743" s="19" t="n">
        <v>3.973</v>
      </c>
      <c r="J743" s="16" t="n">
        <v>45033</v>
      </c>
      <c r="K743" s="19" t="n">
        <v>2.656</v>
      </c>
      <c r="M743" s="16" t="n">
        <v>45238</v>
      </c>
      <c r="N743" s="19" t="n">
        <v>160704</v>
      </c>
    </row>
    <row r="744">
      <c r="A744" s="16" t="n">
        <v>45237</v>
      </c>
      <c r="B744" s="19" t="n">
        <v>2092.5</v>
      </c>
      <c r="D744" s="16" t="n">
        <v>45236</v>
      </c>
      <c r="E744" s="19" t="n">
        <v>11.16</v>
      </c>
      <c r="G744" s="16" t="n">
        <v>45034</v>
      </c>
      <c r="H744" s="19" t="n">
        <v>3.91</v>
      </c>
      <c r="J744" s="16" t="n">
        <v>45034</v>
      </c>
      <c r="K744" s="19" t="n">
        <v>2.653</v>
      </c>
      <c r="M744" s="16" t="n">
        <v>45237</v>
      </c>
      <c r="N744" s="19" t="n">
        <v>159653</v>
      </c>
    </row>
    <row r="745">
      <c r="A745" s="16" t="n">
        <v>45236</v>
      </c>
      <c r="B745" s="19" t="n">
        <v>2075.54</v>
      </c>
      <c r="D745" s="16" t="n">
        <v>45233</v>
      </c>
      <c r="E745" s="19" t="n">
        <v>10.13</v>
      </c>
      <c r="G745" s="16" t="n">
        <v>45035</v>
      </c>
      <c r="H745" s="19" t="n">
        <v>3.858</v>
      </c>
      <c r="J745" s="16" t="n">
        <v>45035</v>
      </c>
      <c r="K745" s="19" t="n">
        <v>2.629</v>
      </c>
      <c r="M745" s="16" t="n">
        <v>45236</v>
      </c>
      <c r="N745" s="19" t="n">
        <v>158315</v>
      </c>
    </row>
    <row r="746">
      <c r="A746" s="16" t="n">
        <v>45233</v>
      </c>
      <c r="B746" s="19" t="n">
        <v>2075.38</v>
      </c>
      <c r="D746" s="16" t="n">
        <v>45232</v>
      </c>
      <c r="E746" s="19" t="n">
        <v>10</v>
      </c>
      <c r="G746" s="16" t="n">
        <v>45036</v>
      </c>
      <c r="H746" s="19" t="n">
        <v>3.85</v>
      </c>
      <c r="J746" s="16" t="n">
        <v>45036</v>
      </c>
      <c r="K746" s="19" t="n">
        <v>2.644</v>
      </c>
      <c r="M746" s="16" t="n">
        <v>45233</v>
      </c>
      <c r="N746" s="19" t="n">
        <v>158435</v>
      </c>
    </row>
    <row r="747">
      <c r="A747" s="16" t="n">
        <v>45232</v>
      </c>
      <c r="B747" s="19" t="n">
        <v>2099.38</v>
      </c>
      <c r="D747" s="16" t="n">
        <v>45231</v>
      </c>
      <c r="E747" s="19" t="n">
        <v>10.46</v>
      </c>
      <c r="G747" s="16" t="n">
        <v>45037</v>
      </c>
      <c r="H747" s="19" t="n">
        <v>3.865</v>
      </c>
      <c r="J747" s="16" t="n">
        <v>45037</v>
      </c>
      <c r="K747" s="19" t="n">
        <v>2.647</v>
      </c>
      <c r="M747" s="16" t="n">
        <v>45232</v>
      </c>
      <c r="N747" s="19" t="n">
        <v>158996</v>
      </c>
    </row>
    <row r="748">
      <c r="A748" s="16" t="n">
        <v>45231</v>
      </c>
      <c r="B748" s="19" t="n">
        <v>2087.59</v>
      </c>
      <c r="D748" s="16" t="n">
        <v>45230</v>
      </c>
      <c r="E748" s="19" t="n">
        <v>10.98</v>
      </c>
      <c r="G748" s="16" t="n">
        <v>45040</v>
      </c>
      <c r="H748" s="19" t="n">
        <v>3.851</v>
      </c>
      <c r="J748" s="16" t="n">
        <v>45040</v>
      </c>
      <c r="K748" s="19" t="n">
        <v>2.645</v>
      </c>
      <c r="M748" s="16" t="n">
        <v>45231</v>
      </c>
      <c r="N748" s="19" t="n">
        <v>157795</v>
      </c>
    </row>
    <row r="749">
      <c r="A749" s="16" t="n">
        <v>45230</v>
      </c>
      <c r="B749" s="19" t="n">
        <v>2081.77</v>
      </c>
      <c r="D749" s="16" t="n">
        <v>45229</v>
      </c>
      <c r="E749" s="19" t="n">
        <v>10.78</v>
      </c>
      <c r="G749" s="16" t="n">
        <v>45041</v>
      </c>
      <c r="H749" s="19" t="n">
        <v>3.854</v>
      </c>
      <c r="J749" s="16" t="n">
        <v>45041</v>
      </c>
      <c r="K749" s="19" t="n">
        <v>2.616</v>
      </c>
      <c r="M749" s="16" t="n">
        <v>45230</v>
      </c>
      <c r="N749" s="19" t="n">
        <v>156393</v>
      </c>
    </row>
    <row r="750">
      <c r="A750" s="16" t="n">
        <v>45229</v>
      </c>
      <c r="B750" s="19" t="n">
        <v>2077.91</v>
      </c>
      <c r="D750" s="16" t="n">
        <v>45226</v>
      </c>
      <c r="E750" s="19" t="n">
        <v>10</v>
      </c>
      <c r="G750" s="16" t="n">
        <v>45042</v>
      </c>
      <c r="H750" s="19" t="n">
        <v>3.925</v>
      </c>
      <c r="J750" s="16" t="n">
        <v>45042</v>
      </c>
      <c r="K750" s="19" t="n">
        <v>2.651</v>
      </c>
      <c r="M750" s="16" t="n">
        <v>45229</v>
      </c>
      <c r="N750" s="19" t="n">
        <v>155971</v>
      </c>
    </row>
    <row r="751">
      <c r="A751" s="16" t="n">
        <v>45226</v>
      </c>
      <c r="B751" s="19" t="n">
        <v>2092.55</v>
      </c>
      <c r="D751" s="16" t="n">
        <v>45225</v>
      </c>
      <c r="E751" s="19" t="n">
        <v>10.67</v>
      </c>
      <c r="G751" s="16" t="n">
        <v>45043</v>
      </c>
      <c r="H751" s="19" t="n">
        <v>3.983</v>
      </c>
      <c r="J751" s="16" t="n">
        <v>45043</v>
      </c>
      <c r="K751" s="19" t="n">
        <v>2.694</v>
      </c>
      <c r="M751" s="16" t="n">
        <v>45226</v>
      </c>
      <c r="N751" s="19" t="n">
        <v>156439</v>
      </c>
    </row>
    <row r="752">
      <c r="A752" s="16" t="n">
        <v>45225</v>
      </c>
      <c r="B752" s="19" t="n">
        <v>2056.2</v>
      </c>
      <c r="D752" s="16" t="n">
        <v>45224</v>
      </c>
      <c r="E752" s="19" t="n">
        <v>10.11</v>
      </c>
      <c r="G752" s="16" t="n">
        <v>45044</v>
      </c>
      <c r="H752" s="19" t="n">
        <v>3.942</v>
      </c>
      <c r="J752" s="16" t="n">
        <v>45044</v>
      </c>
      <c r="K752" s="19" t="n">
        <v>2.691</v>
      </c>
      <c r="M752" s="16" t="n">
        <v>45225</v>
      </c>
      <c r="N752" s="19" t="n">
        <v>154548</v>
      </c>
    </row>
    <row r="753">
      <c r="A753" s="16" t="n">
        <v>45224</v>
      </c>
      <c r="B753" s="19" t="n">
        <v>2054.95</v>
      </c>
      <c r="D753" s="16" t="n">
        <v>45223</v>
      </c>
      <c r="E753" s="19" t="n">
        <v>11.06</v>
      </c>
      <c r="G753" s="16" t="n">
        <v>45047</v>
      </c>
      <c r="H753" s="19" t="n">
        <v>3.989</v>
      </c>
      <c r="J753" s="16" t="n">
        <v>45047</v>
      </c>
      <c r="K753" s="19" t="n">
        <v>2.726</v>
      </c>
      <c r="M753" s="16" t="n">
        <v>45224</v>
      </c>
      <c r="N753" s="19" t="n">
        <v>153676</v>
      </c>
    </row>
    <row r="754">
      <c r="A754" s="16" t="n">
        <v>45223</v>
      </c>
      <c r="B754" s="19" t="n">
        <v>2024.76</v>
      </c>
      <c r="D754" s="16" t="n">
        <v>45222</v>
      </c>
      <c r="E754" s="19" t="n">
        <v>12.6</v>
      </c>
      <c r="G754" s="16" t="n">
        <v>45048</v>
      </c>
      <c r="H754" s="19" t="n">
        <v>4.012</v>
      </c>
      <c r="J754" s="16" t="n">
        <v>45048</v>
      </c>
      <c r="K754" s="19" t="n">
        <v>2.753</v>
      </c>
      <c r="M754" s="16" t="n">
        <v>45223</v>
      </c>
      <c r="N754" s="19" t="n">
        <v>153645</v>
      </c>
    </row>
    <row r="755">
      <c r="A755" s="16" t="n">
        <v>45222</v>
      </c>
      <c r="B755" s="19" t="n">
        <v>2005.09</v>
      </c>
      <c r="D755" s="16" t="n">
        <v>45219</v>
      </c>
      <c r="E755" s="19" t="n">
        <v>13.89</v>
      </c>
      <c r="G755" s="16" t="n">
        <v>45049</v>
      </c>
      <c r="H755" s="19" t="n">
        <v>3.998</v>
      </c>
      <c r="J755" s="16" t="n">
        <v>45049</v>
      </c>
      <c r="K755" s="19" t="n">
        <v>2.789</v>
      </c>
      <c r="M755" s="16" t="n">
        <v>45222</v>
      </c>
      <c r="N755" s="19" t="n">
        <v>153064</v>
      </c>
    </row>
    <row r="756">
      <c r="A756" s="16" t="n">
        <v>45219</v>
      </c>
      <c r="B756" s="19" t="n">
        <v>2004.47</v>
      </c>
      <c r="D756" s="16" t="n">
        <v>45218</v>
      </c>
      <c r="E756" s="19" t="n">
        <v>13.25</v>
      </c>
      <c r="G756" s="16" t="n">
        <v>45050</v>
      </c>
      <c r="H756" s="19" t="n">
        <v>3.945</v>
      </c>
      <c r="J756" s="16" t="n">
        <v>45050</v>
      </c>
      <c r="K756" s="19" t="n">
        <v>2.758</v>
      </c>
      <c r="M756" s="16" t="n">
        <v>45219</v>
      </c>
      <c r="N756" s="19" t="n">
        <v>153665</v>
      </c>
    </row>
    <row r="757">
      <c r="A757" s="16" t="n">
        <v>45218</v>
      </c>
      <c r="B757" s="19" t="n">
        <v>2006.39</v>
      </c>
      <c r="D757" s="16" t="n">
        <v>45217</v>
      </c>
      <c r="E757" s="19" t="n">
        <v>12.85</v>
      </c>
      <c r="G757" s="16" t="n">
        <v>45054</v>
      </c>
      <c r="H757" s="19" t="n">
        <v>3.928</v>
      </c>
      <c r="J757" s="16" t="n">
        <v>45054</v>
      </c>
      <c r="K757" s="19" t="n">
        <v>2.736</v>
      </c>
      <c r="M757" s="16" t="n">
        <v>45218</v>
      </c>
      <c r="N757" s="19" t="n">
        <v>154370</v>
      </c>
    </row>
    <row r="758">
      <c r="A758" s="16" t="n">
        <v>45217</v>
      </c>
      <c r="B758" s="19" t="n">
        <v>2002.24</v>
      </c>
      <c r="D758" s="16" t="n">
        <v>45216</v>
      </c>
      <c r="E758" s="19" t="n">
        <v>14.36</v>
      </c>
      <c r="G758" s="16" t="n">
        <v>45055</v>
      </c>
      <c r="H758" s="19" t="n">
        <v>3.923</v>
      </c>
      <c r="J758" s="16" t="n">
        <v>45055</v>
      </c>
      <c r="K758" s="19" t="n">
        <v>2.729</v>
      </c>
      <c r="M758" s="16" t="n">
        <v>45217</v>
      </c>
      <c r="N758" s="19" t="n">
        <v>154237</v>
      </c>
    </row>
    <row r="759">
      <c r="A759" s="16" t="n">
        <v>45216</v>
      </c>
      <c r="B759" s="19" t="n">
        <v>1984.57</v>
      </c>
      <c r="D759" s="16" t="n">
        <v>45215</v>
      </c>
      <c r="E759" s="19" t="n">
        <v>14.76</v>
      </c>
      <c r="G759" s="16" t="n">
        <v>45056</v>
      </c>
      <c r="H759" s="19" t="n">
        <v>3.884</v>
      </c>
      <c r="J759" s="16" t="n">
        <v>45056</v>
      </c>
      <c r="K759" s="19" t="n">
        <v>2.701</v>
      </c>
      <c r="M759" s="16" t="n">
        <v>45216</v>
      </c>
      <c r="N759" s="19" t="n">
        <v>151878</v>
      </c>
    </row>
    <row r="760">
      <c r="A760" s="16" t="n">
        <v>45215</v>
      </c>
      <c r="B760" s="19" t="n">
        <v>1971.32</v>
      </c>
      <c r="D760" s="16" t="n">
        <v>45212</v>
      </c>
      <c r="E760" s="19" t="n">
        <v>15.43</v>
      </c>
      <c r="G760" s="16" t="n">
        <v>45057</v>
      </c>
      <c r="H760" s="19" t="n">
        <v>3.882</v>
      </c>
      <c r="J760" s="16" t="n">
        <v>45057</v>
      </c>
      <c r="K760" s="19" t="n">
        <v>2.699</v>
      </c>
      <c r="M760" s="16" t="n">
        <v>45215</v>
      </c>
      <c r="N760" s="19" t="n">
        <v>151297</v>
      </c>
    </row>
    <row r="761">
      <c r="A761" s="16" t="n">
        <v>45212</v>
      </c>
      <c r="B761" s="19" t="n">
        <v>1950.46</v>
      </c>
      <c r="D761" s="16" t="n">
        <v>45211</v>
      </c>
      <c r="E761" s="19" t="n">
        <v>16.7</v>
      </c>
      <c r="G761" s="16" t="n">
        <v>45058</v>
      </c>
      <c r="H761" s="19" t="n">
        <v>3.878</v>
      </c>
      <c r="J761" s="16" t="n">
        <v>45058</v>
      </c>
      <c r="K761" s="19" t="n">
        <v>2.736</v>
      </c>
      <c r="M761" s="16" t="n">
        <v>45212</v>
      </c>
      <c r="N761" s="19" t="n">
        <v>149372</v>
      </c>
    </row>
    <row r="762">
      <c r="A762" s="16" t="n">
        <v>45211</v>
      </c>
      <c r="B762" s="19" t="n">
        <v>1920.05</v>
      </c>
      <c r="D762" s="16" t="n">
        <v>45210</v>
      </c>
      <c r="E762" s="19" t="n">
        <v>17.85</v>
      </c>
      <c r="G762" s="16" t="n">
        <v>45061</v>
      </c>
      <c r="H762" s="19" t="n">
        <v>3.829</v>
      </c>
      <c r="J762" s="16" t="n">
        <v>45061</v>
      </c>
      <c r="K762" s="19" t="n">
        <v>2.717</v>
      </c>
      <c r="M762" s="16" t="n">
        <v>45211</v>
      </c>
      <c r="N762" s="19" t="n">
        <v>147567</v>
      </c>
    </row>
    <row r="763">
      <c r="A763" s="16" t="n">
        <v>45210</v>
      </c>
      <c r="B763" s="19" t="n">
        <v>1921.48</v>
      </c>
      <c r="D763" s="16" t="n">
        <v>45209</v>
      </c>
      <c r="E763" s="19" t="n">
        <v>15.95</v>
      </c>
      <c r="G763" s="16" t="n">
        <v>45062</v>
      </c>
      <c r="H763" s="19" t="n">
        <v>3.76</v>
      </c>
      <c r="J763" s="16" t="n">
        <v>45062</v>
      </c>
      <c r="K763" s="19" t="n">
        <v>2.688</v>
      </c>
      <c r="M763" s="16" t="n">
        <v>45210</v>
      </c>
      <c r="N763" s="19" t="n">
        <v>148061</v>
      </c>
    </row>
    <row r="764">
      <c r="A764" s="16" t="n">
        <v>45209</v>
      </c>
      <c r="B764" s="19" t="n">
        <v>1941.7</v>
      </c>
      <c r="D764" s="16" t="n">
        <v>45205</v>
      </c>
      <c r="E764" s="19" t="n">
        <v>16.4</v>
      </c>
      <c r="G764" s="16" t="n">
        <v>45063</v>
      </c>
      <c r="H764" s="19" t="n">
        <v>3.826</v>
      </c>
      <c r="J764" s="16" t="n">
        <v>45063</v>
      </c>
      <c r="K764" s="19" t="n">
        <v>2.718</v>
      </c>
      <c r="M764" s="16" t="n">
        <v>45209</v>
      </c>
      <c r="N764" s="19" t="n">
        <v>148745</v>
      </c>
    </row>
    <row r="765">
      <c r="A765" s="16" t="n">
        <v>45205</v>
      </c>
      <c r="B765" s="19" t="n">
        <v>1921.16</v>
      </c>
      <c r="D765" s="16" t="n">
        <v>45204</v>
      </c>
      <c r="E765" s="19" t="n">
        <v>15.65</v>
      </c>
      <c r="G765" s="16" t="n">
        <v>45064</v>
      </c>
      <c r="H765" s="19" t="n">
        <v>3.804</v>
      </c>
      <c r="J765" s="16" t="n">
        <v>45064</v>
      </c>
      <c r="K765" s="19" t="n">
        <v>2.73</v>
      </c>
      <c r="M765" s="16" t="n">
        <v>45205</v>
      </c>
      <c r="N765" s="19" t="n">
        <v>148039</v>
      </c>
    </row>
    <row r="766">
      <c r="A766" s="16" t="n">
        <v>45204</v>
      </c>
      <c r="B766" s="19" t="n">
        <v>1922.29</v>
      </c>
      <c r="D766" s="16" t="n">
        <v>45203</v>
      </c>
      <c r="E766" s="19" t="n">
        <v>14.86</v>
      </c>
      <c r="G766" s="16" t="n">
        <v>45065</v>
      </c>
      <c r="H766" s="19" t="n">
        <v>3.868</v>
      </c>
      <c r="J766" s="16" t="n">
        <v>45065</v>
      </c>
      <c r="K766" s="19" t="n">
        <v>2.753</v>
      </c>
      <c r="M766" s="16" t="n">
        <v>45204</v>
      </c>
      <c r="N766" s="19" t="n">
        <v>149058</v>
      </c>
    </row>
    <row r="767">
      <c r="A767" s="16" t="n">
        <v>45203</v>
      </c>
      <c r="B767" s="19" t="n">
        <v>1923.09</v>
      </c>
      <c r="D767" s="16" t="n">
        <v>45201</v>
      </c>
      <c r="E767" s="19" t="n">
        <v>15.84</v>
      </c>
      <c r="G767" s="16" t="n">
        <v>45068</v>
      </c>
      <c r="H767" s="19" t="n">
        <v>3.936</v>
      </c>
      <c r="J767" s="16" t="n">
        <v>45068</v>
      </c>
      <c r="K767" s="19" t="n">
        <v>2.789</v>
      </c>
      <c r="M767" s="16" t="n">
        <v>45203</v>
      </c>
      <c r="N767" s="19" t="n">
        <v>148632</v>
      </c>
    </row>
    <row r="768">
      <c r="A768" s="16" t="n">
        <v>45201</v>
      </c>
      <c r="B768" s="19" t="n">
        <v>1901.99</v>
      </c>
      <c r="D768" s="16" t="n">
        <v>45198</v>
      </c>
      <c r="E768" s="19" t="n">
        <v>13.53</v>
      </c>
      <c r="G768" s="16" t="n">
        <v>45069</v>
      </c>
      <c r="H768" s="19" t="n">
        <v>3.948</v>
      </c>
      <c r="J768" s="16" t="n">
        <v>45069</v>
      </c>
      <c r="K768" s="19" t="n">
        <v>2.785</v>
      </c>
      <c r="M768" s="16" t="n">
        <v>45201</v>
      </c>
      <c r="N768" s="19" t="n">
        <v>147911</v>
      </c>
    </row>
    <row r="769">
      <c r="A769" s="16" t="n">
        <v>45198</v>
      </c>
      <c r="B769" s="19" t="n">
        <v>1920.85</v>
      </c>
      <c r="D769" s="16" t="n">
        <v>45197</v>
      </c>
      <c r="E769" s="19" t="n">
        <v>13.88</v>
      </c>
      <c r="G769" s="16" t="n">
        <v>45070</v>
      </c>
      <c r="H769" s="19" t="n">
        <v>3.973</v>
      </c>
      <c r="J769" s="16" t="n">
        <v>45070</v>
      </c>
      <c r="K769" s="19" t="n">
        <v>2.794</v>
      </c>
      <c r="M769" s="16" t="n">
        <v>45198</v>
      </c>
      <c r="N769" s="19" t="n">
        <v>148843</v>
      </c>
    </row>
    <row r="770">
      <c r="A770" s="16" t="n">
        <v>45197</v>
      </c>
      <c r="B770" s="19" t="n">
        <v>1923.08</v>
      </c>
      <c r="D770" s="16" t="n">
        <v>45196</v>
      </c>
      <c r="E770" s="19" t="n">
        <v>15.03</v>
      </c>
      <c r="G770" s="16" t="n">
        <v>45071</v>
      </c>
      <c r="H770" s="19" t="n">
        <v>4.006</v>
      </c>
      <c r="J770" s="16" t="n">
        <v>45071</v>
      </c>
      <c r="K770" s="19" t="n">
        <v>2.812</v>
      </c>
      <c r="M770" s="16" t="n">
        <v>45197</v>
      </c>
      <c r="N770" s="19" t="n">
        <v>148796</v>
      </c>
    </row>
    <row r="771">
      <c r="A771" s="16" t="n">
        <v>45196</v>
      </c>
      <c r="B771" s="19" t="n">
        <v>1930.02</v>
      </c>
      <c r="D771" s="16" t="n">
        <v>45195</v>
      </c>
      <c r="E771" s="19" t="n">
        <v>14.63</v>
      </c>
      <c r="G771" s="16" t="n">
        <v>45072</v>
      </c>
      <c r="H771" s="19" t="n">
        <v>4.02</v>
      </c>
      <c r="J771" s="16" t="n">
        <v>45072</v>
      </c>
      <c r="K771" s="19" t="n">
        <v>2.81</v>
      </c>
      <c r="M771" s="16" t="n">
        <v>45196</v>
      </c>
      <c r="N771" s="19" t="n">
        <v>149137</v>
      </c>
    </row>
    <row r="772">
      <c r="A772" s="16" t="n">
        <v>45195</v>
      </c>
      <c r="B772" s="19" t="n">
        <v>1942.15</v>
      </c>
      <c r="D772" s="16" t="n">
        <v>45194</v>
      </c>
      <c r="E772" s="19" t="n">
        <v>13.57</v>
      </c>
      <c r="G772" s="16" t="n">
        <v>45075</v>
      </c>
      <c r="H772" s="19" t="n">
        <v>4.052</v>
      </c>
      <c r="J772" s="16" t="n">
        <v>45075</v>
      </c>
      <c r="K772" s="19" t="n">
        <v>2.812</v>
      </c>
      <c r="M772" s="16" t="n">
        <v>45195</v>
      </c>
      <c r="N772" s="19" t="n">
        <v>148952</v>
      </c>
    </row>
    <row r="773">
      <c r="A773" s="16" t="n">
        <v>45194</v>
      </c>
      <c r="B773" s="19" t="n">
        <v>1961.02</v>
      </c>
      <c r="D773" s="16" t="n">
        <v>45191</v>
      </c>
      <c r="E773" s="19" t="n">
        <v>13.35</v>
      </c>
      <c r="G773" s="16" t="n">
        <v>45076</v>
      </c>
      <c r="H773" s="19" t="n">
        <v>4.12</v>
      </c>
      <c r="J773" s="16" t="n">
        <v>45076</v>
      </c>
      <c r="K773" s="19" t="n">
        <v>2.807</v>
      </c>
      <c r="M773" s="16" t="n">
        <v>45194</v>
      </c>
      <c r="N773" s="19" t="n">
        <v>149180</v>
      </c>
    </row>
    <row r="774">
      <c r="A774" s="16" t="n">
        <v>45191</v>
      </c>
      <c r="B774" s="19" t="n">
        <v>1952.3</v>
      </c>
      <c r="D774" s="16" t="n">
        <v>45190</v>
      </c>
      <c r="E774" s="19" t="n">
        <v>15.1</v>
      </c>
      <c r="G774" s="16" t="n">
        <v>45077</v>
      </c>
      <c r="H774" s="19" t="n">
        <v>4.101</v>
      </c>
      <c r="J774" s="16" t="n">
        <v>45077</v>
      </c>
      <c r="K774" s="19" t="n">
        <v>2.828</v>
      </c>
      <c r="M774" s="16" t="n">
        <v>45191</v>
      </c>
      <c r="N774" s="19" t="n">
        <v>148010</v>
      </c>
    </row>
    <row r="775">
      <c r="A775" s="16" t="n">
        <v>45190</v>
      </c>
      <c r="B775" s="19" t="n">
        <v>1941.64</v>
      </c>
      <c r="D775" s="16" t="n">
        <v>45189</v>
      </c>
      <c r="E775" s="19" t="n">
        <v>15.81</v>
      </c>
      <c r="G775" s="16" t="n">
        <v>45078</v>
      </c>
      <c r="H775" s="19" t="n">
        <v>4.042</v>
      </c>
      <c r="J775" s="16" t="n">
        <v>45078</v>
      </c>
      <c r="K775" s="19" t="n">
        <v>2.812</v>
      </c>
      <c r="M775" s="16" t="n">
        <v>45190</v>
      </c>
      <c r="N775" s="19" t="n">
        <v>147970</v>
      </c>
    </row>
    <row r="776">
      <c r="A776" s="16" t="n">
        <v>45189</v>
      </c>
      <c r="B776" s="19" t="n">
        <v>1935.37</v>
      </c>
      <c r="D776" s="16" t="n">
        <v>45188</v>
      </c>
      <c r="E776" s="19" t="n">
        <v>15.7</v>
      </c>
      <c r="G776" s="16" t="n">
        <v>45079</v>
      </c>
      <c r="H776" s="19" t="n">
        <v>4.054</v>
      </c>
      <c r="J776" s="16" t="n">
        <v>45079</v>
      </c>
      <c r="K776" s="19" t="n">
        <v>2.806</v>
      </c>
      <c r="M776" s="16" t="n">
        <v>45189</v>
      </c>
      <c r="N776" s="19" t="n">
        <v>147296</v>
      </c>
    </row>
    <row r="777">
      <c r="A777" s="16" t="n">
        <v>45188</v>
      </c>
      <c r="B777" s="19" t="n">
        <v>1928.24</v>
      </c>
      <c r="D777" s="16" t="n">
        <v>45187</v>
      </c>
      <c r="E777" s="19" t="n">
        <v>15.72</v>
      </c>
      <c r="G777" s="16" t="n">
        <v>45082</v>
      </c>
      <c r="H777" s="19" t="n">
        <v>4.087</v>
      </c>
      <c r="J777" s="16" t="n">
        <v>45082</v>
      </c>
      <c r="K777" s="19" t="n">
        <v>2.817</v>
      </c>
      <c r="M777" s="16" t="n">
        <v>45188</v>
      </c>
      <c r="N777" s="19" t="n">
        <v>146413</v>
      </c>
    </row>
    <row r="778">
      <c r="A778" s="16" t="n">
        <v>45187</v>
      </c>
      <c r="B778" s="19" t="n">
        <v>1933.43</v>
      </c>
      <c r="D778" s="16" t="n">
        <v>45184</v>
      </c>
      <c r="E778" s="19" t="n">
        <v>15.54</v>
      </c>
      <c r="G778" s="16" t="n">
        <v>45083</v>
      </c>
      <c r="H778" s="19" t="n">
        <v>4.03</v>
      </c>
      <c r="J778" s="16" t="n">
        <v>45083</v>
      </c>
      <c r="K778" s="19" t="n">
        <v>2.804</v>
      </c>
      <c r="M778" s="16" t="n">
        <v>45187</v>
      </c>
      <c r="N778" s="19" t="n">
        <v>147360</v>
      </c>
    </row>
    <row r="779">
      <c r="A779" s="16" t="n">
        <v>45184</v>
      </c>
      <c r="B779" s="19" t="n">
        <v>1928.93</v>
      </c>
      <c r="D779" s="16" t="n">
        <v>45183</v>
      </c>
      <c r="E779" s="19" t="n">
        <v>17.24</v>
      </c>
      <c r="G779" s="16" t="n">
        <v>45084</v>
      </c>
      <c r="H779" s="19" t="n">
        <v>3.969</v>
      </c>
      <c r="J779" s="16" t="n">
        <v>45084</v>
      </c>
      <c r="K779" s="19" t="n">
        <v>2.812</v>
      </c>
      <c r="M779" s="16" t="n">
        <v>45184</v>
      </c>
      <c r="N779" s="19" t="n">
        <v>146817</v>
      </c>
    </row>
    <row r="780">
      <c r="A780" s="16" t="n">
        <v>45183</v>
      </c>
      <c r="B780" s="19" t="n">
        <v>1925.53</v>
      </c>
      <c r="D780" s="16" t="n">
        <v>45182</v>
      </c>
      <c r="E780" s="19" t="n">
        <v>17.05</v>
      </c>
      <c r="G780" s="16" t="n">
        <v>45085</v>
      </c>
      <c r="H780" s="19" t="n">
        <v>3.935</v>
      </c>
      <c r="J780" s="16" t="n">
        <v>45085</v>
      </c>
      <c r="K780" s="19" t="n">
        <v>2.785</v>
      </c>
      <c r="M780" s="16" t="n">
        <v>45183</v>
      </c>
      <c r="N780" s="19" t="n">
        <v>147375</v>
      </c>
    </row>
    <row r="781">
      <c r="A781" s="16" t="n">
        <v>45182</v>
      </c>
      <c r="B781" s="19" t="n">
        <v>1935.33</v>
      </c>
      <c r="D781" s="16" t="n">
        <v>45181</v>
      </c>
      <c r="E781" s="19" t="n">
        <v>16.74</v>
      </c>
      <c r="G781" s="16" t="n">
        <v>45086</v>
      </c>
      <c r="H781" s="19" t="n">
        <v>3.913</v>
      </c>
      <c r="J781" s="16" t="n">
        <v>45086</v>
      </c>
      <c r="K781" s="19" t="n">
        <v>2.811</v>
      </c>
      <c r="M781" s="16" t="n">
        <v>45182</v>
      </c>
      <c r="N781" s="19" t="n">
        <v>147452</v>
      </c>
    </row>
    <row r="782">
      <c r="A782" s="16" t="n">
        <v>45181</v>
      </c>
      <c r="B782" s="19" t="n">
        <v>1932.9</v>
      </c>
      <c r="D782" s="16" t="n">
        <v>45180</v>
      </c>
      <c r="E782" s="19" t="n">
        <v>15.34</v>
      </c>
      <c r="G782" s="16" t="n">
        <v>45089</v>
      </c>
      <c r="H782" s="19" t="n">
        <v>3.785</v>
      </c>
      <c r="J782" s="16" t="n">
        <v>45089</v>
      </c>
      <c r="K782" s="19" t="n">
        <v>2.751</v>
      </c>
      <c r="M782" s="16" t="n">
        <v>45181</v>
      </c>
      <c r="N782" s="19" t="n">
        <v>147073</v>
      </c>
    </row>
    <row r="783">
      <c r="A783" s="16" t="n">
        <v>45180</v>
      </c>
      <c r="B783" s="19" t="n">
        <v>1944.61</v>
      </c>
      <c r="D783" s="16" t="n">
        <v>45177</v>
      </c>
      <c r="E783" s="19" t="n">
        <v>16.87</v>
      </c>
      <c r="G783" s="16" t="n">
        <v>45090</v>
      </c>
      <c r="H783" s="19" t="n">
        <v>3.791</v>
      </c>
      <c r="J783" s="16" t="n">
        <v>45090</v>
      </c>
      <c r="K783" s="19" t="n">
        <v>2.752</v>
      </c>
      <c r="M783" s="16" t="n">
        <v>45180</v>
      </c>
      <c r="N783" s="19" t="n">
        <v>148049</v>
      </c>
    </row>
    <row r="784">
      <c r="A784" s="16" t="n">
        <v>45177</v>
      </c>
      <c r="B784" s="19" t="n">
        <v>1917.26</v>
      </c>
      <c r="D784" s="16" t="n">
        <v>45176</v>
      </c>
      <c r="E784" s="19" t="n">
        <v>18.93</v>
      </c>
      <c r="G784" s="16" t="n">
        <v>45091</v>
      </c>
      <c r="H784" s="19" t="n">
        <v>3.785</v>
      </c>
      <c r="J784" s="16" t="n">
        <v>45091</v>
      </c>
      <c r="K784" s="19" t="n">
        <v>2.726</v>
      </c>
      <c r="M784" s="16" t="n">
        <v>45177</v>
      </c>
      <c r="N784" s="19" t="n">
        <v>146801</v>
      </c>
    </row>
    <row r="785">
      <c r="A785" s="16" t="n">
        <v>45176</v>
      </c>
      <c r="B785" s="19" t="n">
        <v>1884.43</v>
      </c>
      <c r="D785" s="16" t="n">
        <v>45175</v>
      </c>
      <c r="E785" s="19" t="n">
        <v>18.21</v>
      </c>
      <c r="G785" s="16" t="n">
        <v>45092</v>
      </c>
      <c r="H785" s="19" t="n">
        <v>3.826</v>
      </c>
      <c r="J785" s="16" t="n">
        <v>45092</v>
      </c>
      <c r="K785" s="19" t="n">
        <v>2.731</v>
      </c>
      <c r="M785" s="16" t="n">
        <v>45176</v>
      </c>
      <c r="N785" s="19" t="n">
        <v>144644</v>
      </c>
    </row>
    <row r="786">
      <c r="A786" s="16" t="n">
        <v>45175</v>
      </c>
      <c r="B786" s="19" t="n">
        <v>1905.66</v>
      </c>
      <c r="D786" s="16" t="n">
        <v>45174</v>
      </c>
      <c r="E786" s="19" t="n">
        <v>15.92</v>
      </c>
      <c r="G786" s="16" t="n">
        <v>45093</v>
      </c>
      <c r="H786" s="19" t="n">
        <v>3.787</v>
      </c>
      <c r="J786" s="16" t="n">
        <v>45093</v>
      </c>
      <c r="K786" s="19" t="n">
        <v>2.725</v>
      </c>
      <c r="M786" s="16" t="n">
        <v>45175</v>
      </c>
      <c r="N786" s="19" t="n">
        <v>144601</v>
      </c>
    </row>
    <row r="787">
      <c r="A787" s="16" t="n">
        <v>45174</v>
      </c>
      <c r="B787" s="19" t="n">
        <v>1933.53</v>
      </c>
      <c r="D787" s="16" t="n">
        <v>45173</v>
      </c>
      <c r="E787" s="19" t="n">
        <v>17.03</v>
      </c>
      <c r="G787" s="16" t="n">
        <v>45096</v>
      </c>
      <c r="H787" s="19" t="n">
        <v>3.722</v>
      </c>
      <c r="J787" s="16" t="n">
        <v>45096</v>
      </c>
      <c r="K787" s="19" t="n">
        <v>2.701</v>
      </c>
      <c r="M787" s="16" t="n">
        <v>45174</v>
      </c>
      <c r="N787" s="19" t="n">
        <v>146437</v>
      </c>
    </row>
    <row r="788">
      <c r="A788" s="16" t="n">
        <v>45173</v>
      </c>
      <c r="B788" s="19" t="n">
        <v>1937.13</v>
      </c>
      <c r="D788" s="16" t="n">
        <v>45170</v>
      </c>
      <c r="E788" s="19" t="n">
        <v>18.02</v>
      </c>
      <c r="G788" s="16" t="n">
        <v>45097</v>
      </c>
      <c r="H788" s="19" t="n">
        <v>3.758</v>
      </c>
      <c r="J788" s="16" t="n">
        <v>45097</v>
      </c>
      <c r="K788" s="19" t="n">
        <v>2.71</v>
      </c>
      <c r="M788" s="16" t="n">
        <v>45173</v>
      </c>
      <c r="N788" s="19" t="n">
        <v>145994</v>
      </c>
    </row>
    <row r="789">
      <c r="A789" s="16" t="n">
        <v>45170</v>
      </c>
      <c r="B789" s="19" t="n">
        <v>1906.36</v>
      </c>
      <c r="D789" s="16" t="n">
        <v>45169</v>
      </c>
      <c r="E789" s="19" t="n">
        <v>18.08</v>
      </c>
      <c r="G789" s="16" t="n">
        <v>45098</v>
      </c>
      <c r="H789" s="19" t="n">
        <v>3.694</v>
      </c>
      <c r="J789" s="16" t="n">
        <v>45098</v>
      </c>
      <c r="K789" s="19" t="n">
        <v>2.711</v>
      </c>
      <c r="M789" s="16" t="n">
        <v>45170</v>
      </c>
      <c r="N789" s="19" t="n">
        <v>144227</v>
      </c>
    </row>
    <row r="790">
      <c r="A790" s="16" t="n">
        <v>45169</v>
      </c>
      <c r="B790" s="19" t="n">
        <v>1904.41</v>
      </c>
      <c r="D790" s="16" t="n">
        <v>45168</v>
      </c>
      <c r="E790" s="19" t="n">
        <v>15.36</v>
      </c>
      <c r="G790" s="16" t="n">
        <v>45099</v>
      </c>
      <c r="H790" s="19" t="n">
        <v>3.695</v>
      </c>
      <c r="J790" s="16" t="n">
        <v>45099</v>
      </c>
      <c r="K790" s="19" t="n">
        <v>2.679</v>
      </c>
      <c r="M790" s="16" t="n">
        <v>45169</v>
      </c>
      <c r="N790" s="19" t="n">
        <v>144676</v>
      </c>
    </row>
    <row r="791">
      <c r="A791" s="16" t="n">
        <v>45168</v>
      </c>
      <c r="B791" s="19" t="n">
        <v>1960.17</v>
      </c>
      <c r="D791" s="16" t="n">
        <v>45167</v>
      </c>
      <c r="E791" s="19" t="n">
        <v>15.68</v>
      </c>
      <c r="G791" s="16" t="n">
        <v>45100</v>
      </c>
      <c r="H791" s="19" t="n">
        <v>3.69</v>
      </c>
      <c r="J791" s="16" t="n">
        <v>45100</v>
      </c>
      <c r="K791" s="19" t="n">
        <v>2.707</v>
      </c>
      <c r="M791" s="16" t="n">
        <v>45168</v>
      </c>
      <c r="N791" s="19" t="n">
        <v>147218</v>
      </c>
    </row>
    <row r="792">
      <c r="A792" s="16" t="n">
        <v>45167</v>
      </c>
      <c r="B792" s="19" t="n">
        <v>1949.62</v>
      </c>
      <c r="D792" s="16" t="n">
        <v>45166</v>
      </c>
      <c r="E792" s="19" t="n">
        <v>19.35</v>
      </c>
      <c r="G792" s="16" t="n">
        <v>45103</v>
      </c>
      <c r="H792" s="19" t="n">
        <v>3.634</v>
      </c>
      <c r="J792" s="16" t="n">
        <v>45103</v>
      </c>
      <c r="K792" s="19" t="n">
        <v>2.66</v>
      </c>
      <c r="M792" s="16" t="n">
        <v>45167</v>
      </c>
      <c r="N792" s="19" t="n">
        <v>146648</v>
      </c>
    </row>
    <row r="793">
      <c r="A793" s="16" t="n">
        <v>45166</v>
      </c>
      <c r="B793" s="19" t="n">
        <v>1890.19</v>
      </c>
      <c r="D793" s="16" t="n">
        <v>45163</v>
      </c>
      <c r="E793" s="19" t="n">
        <v>17.74</v>
      </c>
      <c r="G793" s="16" t="n">
        <v>45104</v>
      </c>
      <c r="H793" s="19" t="n">
        <v>3.632</v>
      </c>
      <c r="J793" s="16" t="n">
        <v>45104</v>
      </c>
      <c r="K793" s="19" t="n">
        <v>2.668</v>
      </c>
      <c r="M793" s="16" t="n">
        <v>45166</v>
      </c>
      <c r="N793" s="19" t="n">
        <v>144747</v>
      </c>
    </row>
    <row r="794">
      <c r="A794" s="16" t="n">
        <v>45163</v>
      </c>
      <c r="B794" s="19" t="n">
        <v>1901.24</v>
      </c>
      <c r="D794" s="16" t="n">
        <v>45162</v>
      </c>
      <c r="E794" s="19" t="n">
        <v>15.98</v>
      </c>
      <c r="G794" s="16" t="n">
        <v>45105</v>
      </c>
      <c r="H794" s="19" t="n">
        <v>3.548</v>
      </c>
      <c r="J794" s="16" t="n">
        <v>45105</v>
      </c>
      <c r="K794" s="19" t="n">
        <v>2.64</v>
      </c>
      <c r="M794" s="16" t="n">
        <v>45163</v>
      </c>
      <c r="N794" s="19" t="n">
        <v>145223</v>
      </c>
    </row>
    <row r="795">
      <c r="A795" s="16" t="n">
        <v>45162</v>
      </c>
      <c r="B795" s="19" t="n">
        <v>1914.77</v>
      </c>
      <c r="D795" s="16" t="n">
        <v>45161</v>
      </c>
      <c r="E795" s="19" t="n">
        <v>16.95</v>
      </c>
      <c r="G795" s="16" t="n">
        <v>45106</v>
      </c>
      <c r="H795" s="19" t="n">
        <v>3.536</v>
      </c>
      <c r="J795" s="16" t="n">
        <v>45106</v>
      </c>
      <c r="K795" s="19" t="n">
        <v>2.681</v>
      </c>
      <c r="M795" s="16" t="n">
        <v>45162</v>
      </c>
      <c r="N795" s="19" t="n">
        <v>145218</v>
      </c>
    </row>
    <row r="796">
      <c r="A796" s="16" t="n">
        <v>45161</v>
      </c>
      <c r="B796" s="19" t="n">
        <v>1884.26</v>
      </c>
      <c r="D796" s="16" t="n">
        <v>45160</v>
      </c>
      <c r="E796" s="19" t="n">
        <v>16.79</v>
      </c>
      <c r="G796" s="16" t="n">
        <v>45107</v>
      </c>
      <c r="H796" s="19" t="n">
        <v>3.548</v>
      </c>
      <c r="J796" s="16" t="n">
        <v>45107</v>
      </c>
      <c r="K796" s="19" t="n">
        <v>2.676</v>
      </c>
      <c r="M796" s="16" t="n">
        <v>45161</v>
      </c>
      <c r="N796" s="19" t="n">
        <v>143673</v>
      </c>
    </row>
    <row r="797">
      <c r="A797" s="16" t="n">
        <v>45160</v>
      </c>
      <c r="B797" s="19" t="n">
        <v>1892.44</v>
      </c>
      <c r="D797" s="16" t="n">
        <v>45159</v>
      </c>
      <c r="E797" s="19" t="n">
        <v>17.17</v>
      </c>
      <c r="G797" s="16" t="n">
        <v>45110</v>
      </c>
      <c r="H797" s="19" t="n">
        <v>3.528</v>
      </c>
      <c r="J797" s="16" t="n">
        <v>45110</v>
      </c>
      <c r="K797" s="19" t="n">
        <v>2.686</v>
      </c>
      <c r="M797" s="16" t="n">
        <v>45160</v>
      </c>
      <c r="N797" s="19" t="n">
        <v>144881</v>
      </c>
    </row>
    <row r="798">
      <c r="A798" s="16" t="n">
        <v>45159</v>
      </c>
      <c r="B798" s="19" t="n">
        <v>1873.71</v>
      </c>
      <c r="D798" s="16" t="n">
        <v>45156</v>
      </c>
      <c r="E798" s="19" t="n">
        <v>16.8</v>
      </c>
      <c r="G798" s="16" t="n">
        <v>45111</v>
      </c>
      <c r="H798" s="19" t="n">
        <v>3.54</v>
      </c>
      <c r="J798" s="16" t="n">
        <v>45111</v>
      </c>
      <c r="K798" s="19" t="n">
        <v>2.694</v>
      </c>
      <c r="M798" s="16" t="n">
        <v>45159</v>
      </c>
      <c r="N798" s="19" t="n">
        <v>143934</v>
      </c>
    </row>
    <row r="799">
      <c r="A799" s="16" t="n">
        <v>45156</v>
      </c>
      <c r="B799" s="19" t="n">
        <v>1863.07</v>
      </c>
      <c r="D799" s="16" t="n">
        <v>45155</v>
      </c>
      <c r="E799" s="19" t="n">
        <v>17.2</v>
      </c>
      <c r="G799" s="16" t="n">
        <v>45112</v>
      </c>
      <c r="H799" s="19" t="n">
        <v>3.544</v>
      </c>
      <c r="J799" s="16" t="n">
        <v>45112</v>
      </c>
      <c r="K799" s="19" t="n">
        <v>2.711</v>
      </c>
      <c r="M799" s="16" t="n">
        <v>45156</v>
      </c>
      <c r="N799" s="19" t="n">
        <v>143326</v>
      </c>
    </row>
    <row r="800">
      <c r="A800" s="16" t="n">
        <v>45155</v>
      </c>
      <c r="B800" s="19" t="n">
        <v>1860.55</v>
      </c>
      <c r="D800" s="16" t="n">
        <v>45154</v>
      </c>
      <c r="E800" s="19" t="n">
        <v>18.18</v>
      </c>
      <c r="G800" s="16" t="n">
        <v>45113</v>
      </c>
      <c r="H800" s="19" t="n">
        <v>3.47</v>
      </c>
      <c r="J800" s="16" t="n">
        <v>45113</v>
      </c>
      <c r="K800" s="19" t="n">
        <v>2.666</v>
      </c>
      <c r="M800" s="16" t="n">
        <v>45155</v>
      </c>
      <c r="N800" s="19" t="n">
        <v>144024</v>
      </c>
    </row>
    <row r="801">
      <c r="A801" s="16" t="n">
        <v>45154</v>
      </c>
      <c r="B801" s="19" t="n">
        <v>1853.81</v>
      </c>
      <c r="D801" s="16" t="n">
        <v>45152</v>
      </c>
      <c r="E801" s="19" t="n">
        <v>18</v>
      </c>
      <c r="G801" s="16" t="n">
        <v>45114</v>
      </c>
      <c r="H801" s="19" t="n">
        <v>3.418</v>
      </c>
      <c r="J801" s="16" t="n">
        <v>45114</v>
      </c>
      <c r="K801" s="19" t="n">
        <v>2.633</v>
      </c>
      <c r="M801" s="16" t="n">
        <v>45154</v>
      </c>
      <c r="N801" s="19" t="n">
        <v>144005</v>
      </c>
    </row>
    <row r="802">
      <c r="A802" s="16" t="n">
        <v>45152</v>
      </c>
      <c r="B802" s="19" t="n">
        <v>1866.38</v>
      </c>
      <c r="D802" s="16" t="n">
        <v>45149</v>
      </c>
      <c r="E802" s="19" t="n">
        <v>18.1</v>
      </c>
      <c r="G802" s="16" t="n">
        <v>45117</v>
      </c>
      <c r="H802" s="19" t="n">
        <v>3.379</v>
      </c>
      <c r="J802" s="16" t="n">
        <v>45117</v>
      </c>
      <c r="K802" s="19" t="n">
        <v>2.585</v>
      </c>
      <c r="M802" s="16" t="n">
        <v>45152</v>
      </c>
      <c r="N802" s="19" t="n">
        <v>144165</v>
      </c>
    </row>
    <row r="803">
      <c r="A803" s="16" t="n">
        <v>45149</v>
      </c>
      <c r="B803" s="19" t="n">
        <v>1876.42</v>
      </c>
      <c r="D803" s="16" t="n">
        <v>45148</v>
      </c>
      <c r="E803" s="19" t="n">
        <v>17.15</v>
      </c>
      <c r="G803" s="16" t="n">
        <v>45118</v>
      </c>
      <c r="H803" s="19" t="n">
        <v>3.394</v>
      </c>
      <c r="J803" s="16" t="n">
        <v>45118</v>
      </c>
      <c r="K803" s="19" t="n">
        <v>2.602</v>
      </c>
      <c r="M803" s="16" t="n">
        <v>45149</v>
      </c>
      <c r="N803" s="19" t="n">
        <v>143254</v>
      </c>
    </row>
    <row r="804">
      <c r="A804" s="16" t="n">
        <v>45148</v>
      </c>
      <c r="B804" s="19" t="n">
        <v>1898.86</v>
      </c>
      <c r="D804" s="16" t="n">
        <v>45147</v>
      </c>
      <c r="E804" s="19" t="n">
        <v>17.96</v>
      </c>
      <c r="G804" s="16" t="n">
        <v>45119</v>
      </c>
      <c r="H804" s="19" t="n">
        <v>3.361</v>
      </c>
      <c r="J804" s="16" t="n">
        <v>45119</v>
      </c>
      <c r="K804" s="19" t="n">
        <v>2.597</v>
      </c>
      <c r="M804" s="16" t="n">
        <v>45148</v>
      </c>
      <c r="N804" s="19" t="n">
        <v>145109</v>
      </c>
    </row>
    <row r="805">
      <c r="A805" s="16" t="n">
        <v>45147</v>
      </c>
      <c r="B805" s="19" t="n">
        <v>1904.05</v>
      </c>
      <c r="D805" s="16" t="n">
        <v>45146</v>
      </c>
      <c r="E805" s="19" t="n">
        <v>17.52</v>
      </c>
      <c r="G805" s="16" t="n">
        <v>45120</v>
      </c>
      <c r="H805" s="19" t="n">
        <v>3.359</v>
      </c>
      <c r="J805" s="16" t="n">
        <v>45120</v>
      </c>
      <c r="K805" s="19" t="n">
        <v>2.598</v>
      </c>
      <c r="M805" s="16" t="n">
        <v>45147</v>
      </c>
      <c r="N805" s="19" t="n">
        <v>145816</v>
      </c>
    </row>
    <row r="806">
      <c r="A806" s="16" t="n">
        <v>45146</v>
      </c>
      <c r="B806" s="19" t="n">
        <v>1907.97</v>
      </c>
      <c r="D806" s="16" t="n">
        <v>45145</v>
      </c>
      <c r="E806" s="19" t="n">
        <v>17.93</v>
      </c>
      <c r="G806" s="16" t="n">
        <v>45121</v>
      </c>
      <c r="H806" s="19" t="n">
        <v>3.318</v>
      </c>
      <c r="J806" s="16" t="n">
        <v>45121</v>
      </c>
      <c r="K806" s="19" t="n">
        <v>2.596</v>
      </c>
      <c r="M806" s="16" t="n">
        <v>45146</v>
      </c>
      <c r="N806" s="19" t="n">
        <v>145527</v>
      </c>
    </row>
    <row r="807">
      <c r="A807" s="16" t="n">
        <v>45145</v>
      </c>
      <c r="B807" s="19" t="n">
        <v>1905.28</v>
      </c>
      <c r="D807" s="16" t="n">
        <v>45142</v>
      </c>
      <c r="E807" s="19" t="n">
        <v>17.59</v>
      </c>
      <c r="G807" s="16" t="n">
        <v>45124</v>
      </c>
      <c r="H807" s="19" t="n">
        <v>3.382</v>
      </c>
      <c r="J807" s="16" t="n">
        <v>45124</v>
      </c>
      <c r="K807" s="19" t="n">
        <v>2.625</v>
      </c>
      <c r="M807" s="16" t="n">
        <v>45145</v>
      </c>
      <c r="N807" s="19" t="n">
        <v>145618</v>
      </c>
    </row>
    <row r="808">
      <c r="A808" s="16" t="n">
        <v>45142</v>
      </c>
      <c r="B808" s="19" t="n">
        <v>1927.56</v>
      </c>
      <c r="D808" s="16" t="n">
        <v>45141</v>
      </c>
      <c r="E808" s="19" t="n">
        <v>18.06</v>
      </c>
      <c r="G808" s="16" t="n">
        <v>45125</v>
      </c>
      <c r="H808" s="19" t="n">
        <v>3.464</v>
      </c>
      <c r="J808" s="16" t="n">
        <v>45125</v>
      </c>
      <c r="K808" s="19" t="n">
        <v>2.683</v>
      </c>
      <c r="M808" s="16" t="n">
        <v>45142</v>
      </c>
      <c r="N808" s="19" t="n">
        <v>147760</v>
      </c>
    </row>
    <row r="809">
      <c r="A809" s="16" t="n">
        <v>45141</v>
      </c>
      <c r="B809" s="19" t="n">
        <v>1925.3</v>
      </c>
      <c r="D809" s="16" t="n">
        <v>45140</v>
      </c>
      <c r="E809" s="19" t="n">
        <v>18.06</v>
      </c>
      <c r="G809" s="16" t="n">
        <v>45126</v>
      </c>
      <c r="H809" s="19" t="n">
        <v>3.477</v>
      </c>
      <c r="J809" s="16" t="n">
        <v>45126</v>
      </c>
      <c r="K809" s="19" t="n">
        <v>2.751</v>
      </c>
      <c r="M809" s="16" t="n">
        <v>45141</v>
      </c>
      <c r="N809" s="19" t="n">
        <v>147511</v>
      </c>
    </row>
    <row r="810">
      <c r="A810" s="16" t="n">
        <v>45140</v>
      </c>
      <c r="B810" s="19" t="n">
        <v>1922.83</v>
      </c>
      <c r="D810" s="16" t="n">
        <v>45139</v>
      </c>
      <c r="E810" s="19" t="n">
        <v>15.2</v>
      </c>
      <c r="G810" s="16" t="n">
        <v>45127</v>
      </c>
      <c r="H810" s="19" t="n">
        <v>3.494</v>
      </c>
      <c r="J810" s="16" t="n">
        <v>45127</v>
      </c>
      <c r="K810" s="19" t="n">
        <v>2.752</v>
      </c>
      <c r="M810" s="16" t="n">
        <v>45140</v>
      </c>
      <c r="N810" s="19" t="n">
        <v>147230</v>
      </c>
    </row>
    <row r="811">
      <c r="A811" s="16" t="n">
        <v>45139</v>
      </c>
      <c r="B811" s="19" t="n">
        <v>1965.66</v>
      </c>
      <c r="D811" s="16" t="n">
        <v>45138</v>
      </c>
      <c r="E811" s="19" t="n">
        <v>14.56</v>
      </c>
      <c r="G811" s="16" t="n">
        <v>45128</v>
      </c>
      <c r="H811" s="19" t="n">
        <v>3.5</v>
      </c>
      <c r="J811" s="16" t="n">
        <v>45128</v>
      </c>
      <c r="K811" s="19" t="n">
        <v>2.763</v>
      </c>
      <c r="M811" s="16" t="n">
        <v>45139</v>
      </c>
      <c r="N811" s="19" t="n">
        <v>149851</v>
      </c>
    </row>
    <row r="812">
      <c r="A812" s="16" t="n">
        <v>45138</v>
      </c>
      <c r="B812" s="19" t="n">
        <v>1966.97</v>
      </c>
      <c r="D812" s="16" t="n">
        <v>45135</v>
      </c>
      <c r="E812" s="19" t="n">
        <v>15.16</v>
      </c>
      <c r="G812" s="16" t="n">
        <v>45131</v>
      </c>
      <c r="H812" s="19" t="n">
        <v>3.574</v>
      </c>
      <c r="J812" s="16" t="n">
        <v>45131</v>
      </c>
      <c r="K812" s="19" t="n">
        <v>2.768</v>
      </c>
      <c r="M812" s="16" t="n">
        <v>45138</v>
      </c>
      <c r="N812" s="19" t="n">
        <v>149783</v>
      </c>
    </row>
    <row r="813">
      <c r="A813" s="16" t="n">
        <v>45135</v>
      </c>
      <c r="B813" s="19" t="n">
        <v>1965.37</v>
      </c>
      <c r="D813" s="16" t="n">
        <v>45134</v>
      </c>
      <c r="E813" s="19" t="n">
        <v>15.45</v>
      </c>
      <c r="G813" s="16" t="n">
        <v>45132</v>
      </c>
      <c r="H813" s="19" t="n">
        <v>3.476</v>
      </c>
      <c r="J813" s="16" t="n">
        <v>45132</v>
      </c>
      <c r="K813" s="19" t="n">
        <v>2.695</v>
      </c>
      <c r="M813" s="16" t="n">
        <v>45135</v>
      </c>
      <c r="N813" s="19" t="n">
        <v>149622</v>
      </c>
    </row>
    <row r="814">
      <c r="A814" s="16" t="n">
        <v>45134</v>
      </c>
      <c r="B814" s="19" t="n">
        <v>1941.06</v>
      </c>
      <c r="D814" s="16" t="n">
        <v>45133</v>
      </c>
      <c r="E814" s="19" t="n">
        <v>13.68</v>
      </c>
      <c r="G814" s="16" t="n">
        <v>45133</v>
      </c>
      <c r="H814" s="19" t="n">
        <v>3.488</v>
      </c>
      <c r="J814" s="16" t="n">
        <v>45133</v>
      </c>
      <c r="K814" s="19" t="n">
        <v>2.728</v>
      </c>
      <c r="M814" s="16" t="n">
        <v>45134</v>
      </c>
      <c r="N814" s="19" t="n">
        <v>149372</v>
      </c>
    </row>
    <row r="815">
      <c r="A815" s="16" t="n">
        <v>45133</v>
      </c>
      <c r="B815" s="19" t="n">
        <v>1962.96</v>
      </c>
      <c r="D815" s="16" t="n">
        <v>45132</v>
      </c>
      <c r="E815" s="19" t="n">
        <v>14.29</v>
      </c>
      <c r="G815" s="16" t="n">
        <v>45134</v>
      </c>
      <c r="H815" s="19" t="n">
        <v>3.546</v>
      </c>
      <c r="J815" s="16" t="n">
        <v>45134</v>
      </c>
      <c r="K815" s="19" t="n">
        <v>2.745</v>
      </c>
      <c r="M815" s="16" t="n">
        <v>45133</v>
      </c>
      <c r="N815" s="19" t="n">
        <v>150407</v>
      </c>
    </row>
    <row r="816">
      <c r="A816" s="16" t="n">
        <v>45132</v>
      </c>
      <c r="B816" s="19" t="n">
        <v>1960.31</v>
      </c>
      <c r="D816" s="16" t="n">
        <v>45131</v>
      </c>
      <c r="E816" s="19" t="n">
        <v>14.45</v>
      </c>
      <c r="G816" s="16" t="n">
        <v>45135</v>
      </c>
      <c r="H816" s="19" t="n">
        <v>3.524</v>
      </c>
      <c r="J816" s="16" t="n">
        <v>45135</v>
      </c>
      <c r="K816" s="19" t="n">
        <v>2.766</v>
      </c>
      <c r="M816" s="16" t="n">
        <v>45132</v>
      </c>
      <c r="N816" s="19" t="n">
        <v>149945</v>
      </c>
    </row>
    <row r="817">
      <c r="A817" s="16" t="n">
        <v>45131</v>
      </c>
      <c r="B817" s="19" t="n">
        <v>1947.67</v>
      </c>
      <c r="D817" s="16" t="n">
        <v>45128</v>
      </c>
      <c r="E817" s="19" t="n">
        <v>11.91</v>
      </c>
      <c r="G817" s="16" t="n">
        <v>45138</v>
      </c>
      <c r="H817" s="19" t="n">
        <v>3.478</v>
      </c>
      <c r="J817" s="16" t="n">
        <v>45138</v>
      </c>
      <c r="K817" s="19" t="n">
        <v>2.725</v>
      </c>
      <c r="M817" s="16" t="n">
        <v>45131</v>
      </c>
      <c r="N817" s="19" t="n">
        <v>149021</v>
      </c>
    </row>
    <row r="818">
      <c r="A818" s="16" t="n">
        <v>45128</v>
      </c>
      <c r="B818" s="19" t="n">
        <v>1990.7</v>
      </c>
      <c r="D818" s="16" t="n">
        <v>45127</v>
      </c>
      <c r="E818" s="19" t="n">
        <v>11.95</v>
      </c>
      <c r="G818" s="16" t="n">
        <v>45139</v>
      </c>
      <c r="H818" s="19" t="n">
        <v>3.422</v>
      </c>
      <c r="J818" s="16" t="n">
        <v>45139</v>
      </c>
      <c r="K818" s="19" t="n">
        <v>2.681</v>
      </c>
      <c r="M818" s="16" t="n">
        <v>45128</v>
      </c>
      <c r="N818" s="19" t="n">
        <v>150138</v>
      </c>
    </row>
    <row r="819">
      <c r="A819" s="16" t="n">
        <v>45127</v>
      </c>
      <c r="B819" s="19" t="n">
        <v>1988.96</v>
      </c>
      <c r="D819" s="16" t="n">
        <v>45126</v>
      </c>
      <c r="E819" s="19" t="n">
        <v>11.55</v>
      </c>
      <c r="G819" s="16" t="n">
        <v>45140</v>
      </c>
      <c r="H819" s="19" t="n">
        <v>3.453</v>
      </c>
      <c r="J819" s="16" t="n">
        <v>45140</v>
      </c>
      <c r="K819" s="19" t="n">
        <v>2.661</v>
      </c>
      <c r="M819" s="16" t="n">
        <v>45127</v>
      </c>
      <c r="N819" s="19" t="n">
        <v>149084</v>
      </c>
    </row>
    <row r="820">
      <c r="A820" s="16" t="n">
        <v>45126</v>
      </c>
      <c r="B820" s="19" t="n">
        <v>1992.21</v>
      </c>
      <c r="D820" s="16" t="n">
        <v>45125</v>
      </c>
      <c r="E820" s="19" t="n">
        <v>12.95</v>
      </c>
      <c r="G820" s="16" t="n">
        <v>45141</v>
      </c>
      <c r="H820" s="19" t="n">
        <v>3.443</v>
      </c>
      <c r="J820" s="16" t="n">
        <v>45141</v>
      </c>
      <c r="K820" s="19" t="n">
        <v>2.66</v>
      </c>
      <c r="M820" s="16" t="n">
        <v>45126</v>
      </c>
      <c r="N820" s="19" t="n">
        <v>149528</v>
      </c>
    </row>
    <row r="821">
      <c r="A821" s="16" t="n">
        <v>45125</v>
      </c>
      <c r="B821" s="19" t="n">
        <v>1958.41</v>
      </c>
      <c r="D821" s="16" t="n">
        <v>45124</v>
      </c>
      <c r="E821" s="19" t="n">
        <v>11.21</v>
      </c>
      <c r="G821" s="16" t="n">
        <v>45142</v>
      </c>
      <c r="H821" s="19" t="n">
        <v>3.468</v>
      </c>
      <c r="J821" s="16" t="n">
        <v>45142</v>
      </c>
      <c r="K821" s="19" t="n">
        <v>2.681</v>
      </c>
      <c r="M821" s="16" t="n">
        <v>45125</v>
      </c>
      <c r="N821" s="19" t="n">
        <v>148425</v>
      </c>
    </row>
    <row r="822">
      <c r="A822" s="16" t="n">
        <v>45124</v>
      </c>
      <c r="B822" s="19" t="n">
        <v>1962.83</v>
      </c>
      <c r="D822" s="16" t="n">
        <v>45121</v>
      </c>
      <c r="E822" s="19" t="n">
        <v>10</v>
      </c>
      <c r="G822" s="16" t="n">
        <v>45145</v>
      </c>
      <c r="H822" s="19" t="n">
        <v>3.494</v>
      </c>
      <c r="J822" s="16" t="n">
        <v>45145</v>
      </c>
      <c r="K822" s="19" t="n">
        <v>2.672</v>
      </c>
      <c r="M822" s="16" t="n">
        <v>45124</v>
      </c>
      <c r="N822" s="19" t="n">
        <v>149605</v>
      </c>
    </row>
    <row r="823">
      <c r="A823" s="16" t="n">
        <v>45121</v>
      </c>
      <c r="B823" s="19" t="n">
        <v>1980.61</v>
      </c>
      <c r="D823" s="16" t="n">
        <v>45120</v>
      </c>
      <c r="E823" s="19" t="n">
        <v>11.75</v>
      </c>
      <c r="G823" s="16" t="n">
        <v>45146</v>
      </c>
      <c r="H823" s="19" t="n">
        <v>3.487</v>
      </c>
      <c r="J823" s="16" t="n">
        <v>45146</v>
      </c>
      <c r="K823" s="19" t="n">
        <v>2.686</v>
      </c>
      <c r="M823" s="16" t="n">
        <v>45121</v>
      </c>
      <c r="N823" s="19" t="n">
        <v>150469</v>
      </c>
    </row>
    <row r="824">
      <c r="A824" s="16" t="n">
        <v>45120</v>
      </c>
      <c r="B824" s="19" t="n">
        <v>1956.09</v>
      </c>
      <c r="D824" s="16" t="n">
        <v>45119</v>
      </c>
      <c r="E824" s="19" t="n">
        <v>10.4</v>
      </c>
      <c r="G824" s="16" t="n">
        <v>45147</v>
      </c>
      <c r="H824" s="19" t="n">
        <v>3.485</v>
      </c>
      <c r="J824" s="16" t="n">
        <v>45147</v>
      </c>
      <c r="K824" s="19" t="n">
        <v>2.684</v>
      </c>
      <c r="M824" s="16" t="n">
        <v>45120</v>
      </c>
      <c r="N824" s="19" t="n">
        <v>150624</v>
      </c>
    </row>
    <row r="825">
      <c r="A825" s="16" t="n">
        <v>45119</v>
      </c>
      <c r="B825" s="19" t="n">
        <v>1957.02</v>
      </c>
      <c r="D825" s="16" t="n">
        <v>45118</v>
      </c>
      <c r="E825" s="19" t="n">
        <v>11.18</v>
      </c>
      <c r="G825" s="16" t="n">
        <v>45148</v>
      </c>
      <c r="H825" s="19" t="n">
        <v>3.531</v>
      </c>
      <c r="J825" s="16" t="n">
        <v>45148</v>
      </c>
      <c r="K825" s="19" t="n">
        <v>2.723</v>
      </c>
      <c r="M825" s="16" t="n">
        <v>45119</v>
      </c>
      <c r="N825" s="19" t="n">
        <v>150342</v>
      </c>
    </row>
    <row r="826">
      <c r="A826" s="16" t="n">
        <v>45118</v>
      </c>
      <c r="B826" s="19" t="n">
        <v>1941.83</v>
      </c>
      <c r="D826" s="16" t="n">
        <v>45117</v>
      </c>
      <c r="E826" s="19" t="n">
        <v>10.19</v>
      </c>
      <c r="G826" s="16" t="n">
        <v>45149</v>
      </c>
      <c r="H826" s="19" t="n">
        <v>3.593</v>
      </c>
      <c r="J826" s="16" t="n">
        <v>45149</v>
      </c>
      <c r="K826" s="19" t="n">
        <v>2.737</v>
      </c>
      <c r="M826" s="16" t="n">
        <v>45118</v>
      </c>
      <c r="N826" s="19" t="n">
        <v>149229</v>
      </c>
    </row>
    <row r="827">
      <c r="A827" s="16" t="n">
        <v>45117</v>
      </c>
      <c r="B827" s="19" t="n">
        <v>1940.78</v>
      </c>
      <c r="D827" s="16" t="n">
        <v>45114</v>
      </c>
      <c r="E827" s="19" t="n">
        <v>10</v>
      </c>
      <c r="G827" s="16" t="n">
        <v>45152</v>
      </c>
      <c r="H827" s="19" t="n">
        <v>3.634</v>
      </c>
      <c r="J827" s="16" t="n">
        <v>45152</v>
      </c>
      <c r="K827" s="19" t="n">
        <v>2.753</v>
      </c>
      <c r="M827" s="16" t="n">
        <v>45117</v>
      </c>
      <c r="N827" s="19" t="n">
        <v>149113</v>
      </c>
    </row>
    <row r="828">
      <c r="A828" s="16" t="n">
        <v>45114</v>
      </c>
      <c r="B828" s="19" t="n">
        <v>1937.26</v>
      </c>
      <c r="D828" s="16" t="n">
        <v>45113</v>
      </c>
      <c r="E828" s="19" t="n">
        <v>10</v>
      </c>
      <c r="G828" s="16" t="n">
        <v>45154</v>
      </c>
      <c r="H828" s="19" t="n">
        <v>3.623</v>
      </c>
      <c r="J828" s="16" t="n">
        <v>45154</v>
      </c>
      <c r="K828" s="19" t="n">
        <v>2.731</v>
      </c>
      <c r="M828" s="16" t="n">
        <v>45114</v>
      </c>
      <c r="N828" s="19" t="n">
        <v>150354</v>
      </c>
    </row>
    <row r="829">
      <c r="A829" s="16" t="n">
        <v>45113</v>
      </c>
      <c r="B829" s="19" t="n">
        <v>1919.82</v>
      </c>
      <c r="D829" s="16" t="n">
        <v>45112</v>
      </c>
      <c r="E829" s="19" t="n">
        <v>11.06</v>
      </c>
      <c r="G829" s="16" t="n">
        <v>45155</v>
      </c>
      <c r="H829" s="19" t="n">
        <v>3.535</v>
      </c>
      <c r="J829" s="16" t="n">
        <v>45155</v>
      </c>
      <c r="K829" s="19" t="n">
        <v>2.673</v>
      </c>
      <c r="M829" s="16" t="n">
        <v>45113</v>
      </c>
      <c r="N829" s="19" t="n">
        <v>149418</v>
      </c>
    </row>
    <row r="830">
      <c r="A830" s="16" t="n">
        <v>45112</v>
      </c>
      <c r="B830" s="19" t="n">
        <v>1892.49</v>
      </c>
      <c r="D830" s="16" t="n">
        <v>45111</v>
      </c>
      <c r="E830" s="19" t="n">
        <v>10.56</v>
      </c>
      <c r="G830" s="16" t="n">
        <v>45156</v>
      </c>
      <c r="H830" s="19" t="n">
        <v>3.556</v>
      </c>
      <c r="J830" s="16" t="n">
        <v>45156</v>
      </c>
      <c r="K830" s="19" t="n">
        <v>2.698</v>
      </c>
      <c r="M830" s="16" t="n">
        <v>45112</v>
      </c>
      <c r="N830" s="19" t="n">
        <v>148151</v>
      </c>
    </row>
    <row r="831">
      <c r="A831" s="16" t="n">
        <v>45111</v>
      </c>
      <c r="B831" s="19" t="n">
        <v>1889.99</v>
      </c>
      <c r="D831" s="16" t="n">
        <v>45110</v>
      </c>
      <c r="E831" s="19" t="n">
        <v>10</v>
      </c>
      <c r="G831" s="16" t="n">
        <v>45159</v>
      </c>
      <c r="H831" s="19" t="n">
        <v>3.535</v>
      </c>
      <c r="J831" s="16" t="n">
        <v>45159</v>
      </c>
      <c r="K831" s="19" t="n">
        <v>2.708</v>
      </c>
      <c r="M831" s="16" t="n">
        <v>45111</v>
      </c>
      <c r="N831" s="19" t="n">
        <v>149098</v>
      </c>
    </row>
    <row r="832">
      <c r="A832" s="16" t="n">
        <v>45110</v>
      </c>
      <c r="B832" s="19" t="n">
        <v>1901.73</v>
      </c>
      <c r="D832" s="16" t="n">
        <v>45107</v>
      </c>
      <c r="E832" s="19" t="n">
        <v>10</v>
      </c>
      <c r="G832" s="16" t="n">
        <v>45160</v>
      </c>
      <c r="H832" s="19" t="n">
        <v>3.464</v>
      </c>
      <c r="J832" s="16" t="n">
        <v>45160</v>
      </c>
      <c r="K832" s="19" t="n">
        <v>2.669</v>
      </c>
      <c r="M832" s="16" t="n">
        <v>45110</v>
      </c>
      <c r="N832" s="19" t="n">
        <v>150129</v>
      </c>
    </row>
    <row r="833">
      <c r="A833" s="16" t="n">
        <v>45107</v>
      </c>
      <c r="B833" s="19" t="n">
        <v>1883.69</v>
      </c>
      <c r="D833" s="16" t="n">
        <v>45106</v>
      </c>
      <c r="E833" s="19" t="n">
        <v>10</v>
      </c>
      <c r="G833" s="16" t="n">
        <v>45161</v>
      </c>
      <c r="H833" s="19" t="n">
        <v>3.504</v>
      </c>
      <c r="J833" s="16" t="n">
        <v>45161</v>
      </c>
      <c r="K833" s="19" t="n">
        <v>2.692</v>
      </c>
      <c r="M833" s="16" t="n">
        <v>45107</v>
      </c>
      <c r="N833" s="19" t="n">
        <v>148792</v>
      </c>
    </row>
    <row r="834">
      <c r="A834" s="16" t="n">
        <v>45106</v>
      </c>
      <c r="B834" s="19" t="n">
        <v>1876.43</v>
      </c>
      <c r="D834" s="16" t="n">
        <v>45105</v>
      </c>
      <c r="E834" s="19" t="n">
        <v>12.32</v>
      </c>
      <c r="G834" s="16" t="n">
        <v>45162</v>
      </c>
      <c r="H834" s="19" t="n">
        <v>3.496</v>
      </c>
      <c r="J834" s="16" t="n">
        <v>45162</v>
      </c>
      <c r="K834" s="19" t="n">
        <v>2.739</v>
      </c>
      <c r="M834" s="16" t="n">
        <v>45106</v>
      </c>
      <c r="N834" s="19" t="n">
        <v>148958</v>
      </c>
    </row>
    <row r="835">
      <c r="A835" s="16" t="n">
        <v>45105</v>
      </c>
      <c r="B835" s="19" t="n">
        <v>1834.97</v>
      </c>
      <c r="D835" s="16" t="n">
        <v>45104</v>
      </c>
      <c r="E835" s="19" t="n">
        <v>14.28</v>
      </c>
      <c r="G835" s="16" t="n">
        <v>45163</v>
      </c>
      <c r="H835" s="19" t="n">
        <v>3.547</v>
      </c>
      <c r="J835" s="16" t="n">
        <v>45163</v>
      </c>
      <c r="K835" s="19" t="n">
        <v>2.783</v>
      </c>
      <c r="M835" s="16" t="n">
        <v>45105</v>
      </c>
      <c r="N835" s="19" t="n">
        <v>147808</v>
      </c>
    </row>
    <row r="836">
      <c r="A836" s="16" t="n">
        <v>45104</v>
      </c>
      <c r="B836" s="19" t="n">
        <v>1803.51</v>
      </c>
      <c r="D836" s="16" t="n">
        <v>45103</v>
      </c>
      <c r="E836" s="19" t="n">
        <v>14.8</v>
      </c>
      <c r="G836" s="16" t="n">
        <v>45166</v>
      </c>
      <c r="H836" s="19" t="n">
        <v>3.604</v>
      </c>
      <c r="J836" s="16" t="n">
        <v>45166</v>
      </c>
      <c r="K836" s="19" t="n">
        <v>2.826</v>
      </c>
      <c r="M836" s="16" t="n">
        <v>45104</v>
      </c>
      <c r="N836" s="19" t="n">
        <v>147249</v>
      </c>
    </row>
    <row r="837">
      <c r="A837" s="16" t="n">
        <v>45103</v>
      </c>
      <c r="B837" s="19" t="n">
        <v>1792.5</v>
      </c>
      <c r="D837" s="16" t="n">
        <v>45100</v>
      </c>
      <c r="E837" s="19" t="n">
        <v>14.74</v>
      </c>
      <c r="G837" s="16" t="n">
        <v>45167</v>
      </c>
      <c r="H837" s="19" t="n">
        <v>3.515</v>
      </c>
      <c r="J837" s="16" t="n">
        <v>45167</v>
      </c>
      <c r="K837" s="19" t="n">
        <v>2.823</v>
      </c>
      <c r="M837" s="16" t="n">
        <v>45103</v>
      </c>
      <c r="N837" s="19" t="n">
        <v>145813</v>
      </c>
    </row>
    <row r="838">
      <c r="A838" s="16" t="n">
        <v>45100</v>
      </c>
      <c r="B838" s="19" t="n">
        <v>1781.76</v>
      </c>
      <c r="D838" s="16" t="n">
        <v>45099</v>
      </c>
      <c r="E838" s="19" t="n">
        <v>16.44</v>
      </c>
      <c r="G838" s="16" t="n">
        <v>45168</v>
      </c>
      <c r="H838" s="19" t="n">
        <v>3.419</v>
      </c>
      <c r="J838" s="16" t="n">
        <v>45168</v>
      </c>
      <c r="K838" s="19" t="n">
        <v>2.744</v>
      </c>
      <c r="M838" s="16" t="n">
        <v>45100</v>
      </c>
      <c r="N838" s="19" t="n">
        <v>145091</v>
      </c>
    </row>
    <row r="839">
      <c r="A839" s="16" t="n">
        <v>45099</v>
      </c>
      <c r="B839" s="19" t="n">
        <v>1761.07</v>
      </c>
      <c r="D839" s="16" t="n">
        <v>45098</v>
      </c>
      <c r="E839" s="19" t="n">
        <v>14.73</v>
      </c>
      <c r="G839" s="16" t="n">
        <v>45169</v>
      </c>
      <c r="H839" s="19" t="n">
        <v>3.491</v>
      </c>
      <c r="J839" s="16" t="n">
        <v>45169</v>
      </c>
      <c r="K839" s="19" t="n">
        <v>2.734</v>
      </c>
      <c r="M839" s="16" t="n">
        <v>45099</v>
      </c>
      <c r="N839" s="19" t="n">
        <v>142983</v>
      </c>
    </row>
    <row r="840">
      <c r="A840" s="16" t="n">
        <v>45098</v>
      </c>
      <c r="B840" s="19" t="n">
        <v>1774.95</v>
      </c>
      <c r="D840" s="16" t="n">
        <v>45097</v>
      </c>
      <c r="E840" s="19" t="n">
        <v>17.74</v>
      </c>
      <c r="G840" s="16" t="n">
        <v>45170</v>
      </c>
      <c r="H840" s="19" t="n">
        <v>3.481</v>
      </c>
      <c r="J840" s="16" t="n">
        <v>45170</v>
      </c>
      <c r="K840" s="19" t="n">
        <v>2.726</v>
      </c>
      <c r="M840" s="16" t="n">
        <v>45098</v>
      </c>
      <c r="N840" s="19" t="n">
        <v>143250</v>
      </c>
    </row>
    <row r="841">
      <c r="A841" s="16" t="n">
        <v>45097</v>
      </c>
      <c r="B841" s="19" t="n">
        <v>1741.75</v>
      </c>
      <c r="D841" s="16" t="n">
        <v>45096</v>
      </c>
      <c r="E841" s="19" t="n">
        <v>17.84</v>
      </c>
      <c r="G841" s="16" t="n">
        <v>45173</v>
      </c>
      <c r="H841" s="19" t="n">
        <v>3.449</v>
      </c>
      <c r="J841" s="16" t="n">
        <v>45173</v>
      </c>
      <c r="K841" s="19" t="n">
        <v>2.723</v>
      </c>
      <c r="M841" s="16" t="n">
        <v>45097</v>
      </c>
      <c r="N841" s="19" t="n">
        <v>141229</v>
      </c>
    </row>
    <row r="842">
      <c r="A842" s="16" t="n">
        <v>45096</v>
      </c>
      <c r="B842" s="19" t="n">
        <v>1749.17</v>
      </c>
      <c r="D842" s="16" t="n">
        <v>45093</v>
      </c>
      <c r="E842" s="19" t="n">
        <v>21.17</v>
      </c>
      <c r="G842" s="16" t="n">
        <v>45174</v>
      </c>
      <c r="H842" s="19" t="n">
        <v>3.449</v>
      </c>
      <c r="J842" s="16" t="n">
        <v>45174</v>
      </c>
      <c r="K842" s="19" t="n">
        <v>2.722</v>
      </c>
      <c r="M842" s="16" t="n">
        <v>45096</v>
      </c>
      <c r="N842" s="19" t="n">
        <v>141172</v>
      </c>
    </row>
    <row r="843">
      <c r="A843" s="16" t="n">
        <v>45093</v>
      </c>
      <c r="B843" s="19" t="n">
        <v>1715.08</v>
      </c>
      <c r="D843" s="16" t="n">
        <v>45092</v>
      </c>
      <c r="E843" s="19" t="n">
        <v>21.39</v>
      </c>
      <c r="G843" s="16" t="n">
        <v>45175</v>
      </c>
      <c r="H843" s="19" t="n">
        <v>3.51</v>
      </c>
      <c r="J843" s="16" t="n">
        <v>45175</v>
      </c>
      <c r="K843" s="19" t="n">
        <v>2.739</v>
      </c>
      <c r="M843" s="16" t="n">
        <v>45093</v>
      </c>
      <c r="N843" s="19" t="n">
        <v>139092</v>
      </c>
    </row>
    <row r="844">
      <c r="A844" s="16" t="n">
        <v>45092</v>
      </c>
      <c r="B844" s="19" t="n">
        <v>1702.16</v>
      </c>
      <c r="D844" s="16" t="n">
        <v>45091</v>
      </c>
      <c r="E844" s="19" t="n">
        <v>20.94</v>
      </c>
      <c r="G844" s="16" t="n">
        <v>45176</v>
      </c>
      <c r="H844" s="19" t="n">
        <v>3.531</v>
      </c>
      <c r="J844" s="16" t="n">
        <v>45176</v>
      </c>
      <c r="K844" s="19" t="n">
        <v>2.73</v>
      </c>
      <c r="M844" s="16" t="n">
        <v>45092</v>
      </c>
      <c r="N844" s="19" t="n">
        <v>138832</v>
      </c>
    </row>
    <row r="845">
      <c r="A845" s="16" t="n">
        <v>45091</v>
      </c>
      <c r="B845" s="19" t="n">
        <v>1726.91</v>
      </c>
      <c r="D845" s="16" t="n">
        <v>45090</v>
      </c>
      <c r="E845" s="19" t="n">
        <v>20.36</v>
      </c>
      <c r="G845" s="16" t="n">
        <v>45177</v>
      </c>
      <c r="H845" s="19" t="n">
        <v>3.49</v>
      </c>
      <c r="J845" s="16" t="n">
        <v>45177</v>
      </c>
      <c r="K845" s="19" t="n">
        <v>2.74</v>
      </c>
      <c r="M845" s="16" t="n">
        <v>45091</v>
      </c>
      <c r="N845" s="19" t="n">
        <v>140261</v>
      </c>
    </row>
    <row r="846">
      <c r="A846" s="16" t="n">
        <v>45090</v>
      </c>
      <c r="B846" s="19" t="n">
        <v>1740.82</v>
      </c>
      <c r="D846" s="16" t="n">
        <v>45089</v>
      </c>
      <c r="E846" s="19" t="n">
        <v>20.88</v>
      </c>
      <c r="G846" s="16" t="n">
        <v>45180</v>
      </c>
      <c r="H846" s="19" t="n">
        <v>3.494</v>
      </c>
      <c r="J846" s="16" t="n">
        <v>45180</v>
      </c>
      <c r="K846" s="19" t="n">
        <v>2.771</v>
      </c>
      <c r="M846" s="16" t="n">
        <v>45090</v>
      </c>
      <c r="N846" s="19" t="n">
        <v>140892</v>
      </c>
    </row>
    <row r="847">
      <c r="A847" s="16" t="n">
        <v>45089</v>
      </c>
      <c r="B847" s="19" t="n">
        <v>1738.55</v>
      </c>
      <c r="D847" s="16" t="n">
        <v>45086</v>
      </c>
      <c r="E847" s="19" t="n">
        <v>22.78</v>
      </c>
      <c r="G847" s="16" t="n">
        <v>45181</v>
      </c>
      <c r="H847" s="19" t="n">
        <v>3.509</v>
      </c>
      <c r="J847" s="16" t="n">
        <v>45181</v>
      </c>
      <c r="K847" s="19" t="n">
        <v>2.758</v>
      </c>
      <c r="M847" s="16" t="n">
        <v>45089</v>
      </c>
      <c r="N847" s="19" t="n">
        <v>140535</v>
      </c>
    </row>
    <row r="848">
      <c r="A848" s="16" t="n">
        <v>45086</v>
      </c>
      <c r="B848" s="19" t="n">
        <v>1709.96</v>
      </c>
      <c r="D848" s="16" t="n">
        <v>45084</v>
      </c>
      <c r="E848" s="19" t="n">
        <v>24.71</v>
      </c>
      <c r="G848" s="16" t="n">
        <v>45182</v>
      </c>
      <c r="H848" s="19" t="n">
        <v>3.457</v>
      </c>
      <c r="J848" s="16" t="n">
        <v>45182</v>
      </c>
      <c r="K848" s="19" t="n">
        <v>2.715</v>
      </c>
      <c r="M848" s="16" t="n">
        <v>45086</v>
      </c>
      <c r="N848" s="19" t="n">
        <v>138563</v>
      </c>
    </row>
    <row r="849">
      <c r="A849" s="16" t="n">
        <v>45085</v>
      </c>
      <c r="B849" s="19" t="n">
        <v>1693.63</v>
      </c>
      <c r="D849" s="16" t="n">
        <v>45083</v>
      </c>
      <c r="E849" s="19" t="n">
        <v>25.48</v>
      </c>
      <c r="G849" s="16" t="n">
        <v>45183</v>
      </c>
      <c r="H849" s="19" t="n">
        <v>3.492</v>
      </c>
      <c r="J849" s="16" t="n">
        <v>45183</v>
      </c>
      <c r="K849" s="19" t="n">
        <v>2.719</v>
      </c>
      <c r="M849" s="16" t="n">
        <v>45085</v>
      </c>
      <c r="N849" s="19" t="n">
        <v>137990</v>
      </c>
    </row>
    <row r="850">
      <c r="A850" s="16" t="n">
        <v>45084</v>
      </c>
      <c r="B850" s="19" t="n">
        <v>1687.63</v>
      </c>
      <c r="D850" s="16" t="n">
        <v>45082</v>
      </c>
      <c r="E850" s="19" t="n">
        <v>26.45</v>
      </c>
      <c r="G850" s="16" t="n">
        <v>45184</v>
      </c>
      <c r="H850" s="19" t="n">
        <v>3.515</v>
      </c>
      <c r="J850" s="16" t="n">
        <v>45184</v>
      </c>
      <c r="K850" s="19" t="n">
        <v>2.739</v>
      </c>
      <c r="M850" s="16" t="n">
        <v>45084</v>
      </c>
      <c r="N850" s="19" t="n">
        <v>137139</v>
      </c>
    </row>
    <row r="851">
      <c r="A851" s="16" t="n">
        <v>45083</v>
      </c>
      <c r="B851" s="19" t="n">
        <v>1665.13</v>
      </c>
      <c r="D851" s="16" t="n">
        <v>45079</v>
      </c>
      <c r="E851" s="19" t="n">
        <v>25.02</v>
      </c>
      <c r="G851" s="16" t="n">
        <v>45187</v>
      </c>
      <c r="H851" s="19" t="n">
        <v>3.518</v>
      </c>
      <c r="J851" s="16" t="n">
        <v>45187</v>
      </c>
      <c r="K851" s="19" t="n">
        <v>2.749</v>
      </c>
      <c r="M851" s="16" t="n">
        <v>45083</v>
      </c>
      <c r="N851" s="19" t="n">
        <v>135477</v>
      </c>
    </row>
    <row r="852">
      <c r="A852" s="16" t="n">
        <v>45082</v>
      </c>
      <c r="B852" s="19" t="n">
        <v>1646.52</v>
      </c>
      <c r="D852" s="16" t="n">
        <v>45078</v>
      </c>
      <c r="E852" s="19" t="n">
        <v>24.6</v>
      </c>
      <c r="G852" s="16" t="n">
        <v>45188</v>
      </c>
      <c r="H852" s="19" t="n">
        <v>3.546</v>
      </c>
      <c r="J852" s="16" t="n">
        <v>45188</v>
      </c>
      <c r="K852" s="19" t="n">
        <v>2.763</v>
      </c>
      <c r="M852" s="16" t="n">
        <v>45082</v>
      </c>
      <c r="N852" s="19" t="n">
        <v>134195</v>
      </c>
    </row>
    <row r="853">
      <c r="A853" s="16" t="n">
        <v>45079</v>
      </c>
      <c r="B853" s="19" t="n">
        <v>1664.26</v>
      </c>
      <c r="D853" s="16" t="n">
        <v>45077</v>
      </c>
      <c r="E853" s="19" t="n">
        <v>27.19</v>
      </c>
      <c r="G853" s="16" t="n">
        <v>45189</v>
      </c>
      <c r="H853" s="19" t="n">
        <v>3.558</v>
      </c>
      <c r="J853" s="16" t="n">
        <v>45189</v>
      </c>
      <c r="K853" s="19" t="n">
        <v>2.78</v>
      </c>
      <c r="M853" s="16" t="n">
        <v>45079</v>
      </c>
      <c r="N853" s="19" t="n">
        <v>136449</v>
      </c>
    </row>
    <row r="854">
      <c r="A854" s="16" t="n">
        <v>45078</v>
      </c>
      <c r="B854" s="19" t="n">
        <v>1670.17</v>
      </c>
      <c r="D854" s="16" t="n">
        <v>45076</v>
      </c>
      <c r="E854" s="19" t="n">
        <v>29.28</v>
      </c>
      <c r="G854" s="16" t="n">
        <v>45190</v>
      </c>
      <c r="H854" s="19" t="n">
        <v>3.524</v>
      </c>
      <c r="J854" s="16" t="n">
        <v>45190</v>
      </c>
      <c r="K854" s="19" t="n">
        <v>2.766</v>
      </c>
      <c r="M854" s="16" t="n">
        <v>45078</v>
      </c>
      <c r="N854" s="19" t="n">
        <v>136923</v>
      </c>
    </row>
    <row r="855">
      <c r="A855" s="16" t="n">
        <v>45077</v>
      </c>
      <c r="B855" s="19" t="n">
        <v>1641.37</v>
      </c>
      <c r="D855" s="16" t="n">
        <v>45075</v>
      </c>
      <c r="E855" s="19" t="n">
        <v>25.73</v>
      </c>
      <c r="G855" s="16" t="n">
        <v>45191</v>
      </c>
      <c r="H855" s="19" t="n">
        <v>3.492</v>
      </c>
      <c r="J855" s="16" t="n">
        <v>45191</v>
      </c>
      <c r="K855" s="19" t="n">
        <v>2.746</v>
      </c>
      <c r="M855" s="16" t="n">
        <v>45077</v>
      </c>
      <c r="N855" s="19" t="n">
        <v>134742</v>
      </c>
    </row>
    <row r="856">
      <c r="A856" s="16" t="n">
        <v>45076</v>
      </c>
      <c r="B856" s="19" t="n">
        <v>1618.07</v>
      </c>
      <c r="D856" s="16" t="n">
        <v>45072</v>
      </c>
      <c r="E856" s="19" t="n">
        <v>24.08</v>
      </c>
      <c r="G856" s="16" t="n">
        <v>45194</v>
      </c>
      <c r="H856" s="19" t="n">
        <v>3.512</v>
      </c>
      <c r="J856" s="16" t="n">
        <v>45194</v>
      </c>
      <c r="K856" s="19" t="n">
        <v>2.774</v>
      </c>
      <c r="M856" s="16" t="n">
        <v>45076</v>
      </c>
      <c r="N856" s="19" t="n">
        <v>134163</v>
      </c>
    </row>
    <row r="857">
      <c r="A857" s="16" t="n">
        <v>45075</v>
      </c>
      <c r="B857" s="19" t="n">
        <v>1655.22</v>
      </c>
      <c r="D857" s="16" t="n">
        <v>45071</v>
      </c>
      <c r="E857" s="19" t="n">
        <v>23.18</v>
      </c>
      <c r="G857" s="16" t="n">
        <v>45195</v>
      </c>
      <c r="H857" s="19" t="n">
        <v>3.513</v>
      </c>
      <c r="J857" s="16" t="n">
        <v>45195</v>
      </c>
      <c r="K857" s="19" t="n">
        <v>2.743</v>
      </c>
      <c r="M857" s="16" t="n">
        <v>45075</v>
      </c>
      <c r="N857" s="19" t="n">
        <v>136178</v>
      </c>
    </row>
    <row r="858">
      <c r="A858" s="16" t="n">
        <v>45072</v>
      </c>
      <c r="B858" s="19" t="n">
        <v>1679.7</v>
      </c>
      <c r="D858" s="16" t="n">
        <v>45070</v>
      </c>
      <c r="E858" s="19" t="n">
        <v>23.33</v>
      </c>
      <c r="G858" s="16" t="n">
        <v>45196</v>
      </c>
      <c r="H858" s="19" t="n">
        <v>3.496</v>
      </c>
      <c r="J858" s="16" t="n">
        <v>45196</v>
      </c>
      <c r="K858" s="19" t="n">
        <v>2.722</v>
      </c>
      <c r="M858" s="16" t="n">
        <v>45072</v>
      </c>
      <c r="N858" s="19" t="n">
        <v>136670</v>
      </c>
    </row>
    <row r="859">
      <c r="A859" s="16" t="n">
        <v>45071</v>
      </c>
      <c r="B859" s="19" t="n">
        <v>1692.15</v>
      </c>
      <c r="D859" s="16" t="n">
        <v>45069</v>
      </c>
      <c r="E859" s="19" t="n">
        <v>24.26</v>
      </c>
      <c r="G859" s="16" t="n">
        <v>45197</v>
      </c>
      <c r="H859" s="19" t="n">
        <v>3.533</v>
      </c>
      <c r="J859" s="16" t="n">
        <v>45197</v>
      </c>
      <c r="K859" s="19" t="n">
        <v>2.734</v>
      </c>
      <c r="M859" s="16" t="n">
        <v>45071</v>
      </c>
      <c r="N859" s="19" t="n">
        <v>137064</v>
      </c>
    </row>
    <row r="860">
      <c r="A860" s="16" t="n">
        <v>45070</v>
      </c>
      <c r="B860" s="19" t="n">
        <v>1689.82</v>
      </c>
      <c r="D860" s="16" t="n">
        <v>45068</v>
      </c>
      <c r="E860" s="19" t="n">
        <v>23.69</v>
      </c>
      <c r="G860" s="16" t="n">
        <v>45198</v>
      </c>
      <c r="H860" s="19" t="n">
        <v>3.54</v>
      </c>
      <c r="J860" s="16" t="n">
        <v>45198</v>
      </c>
      <c r="K860" s="19" t="n">
        <v>2.731</v>
      </c>
      <c r="M860" s="16" t="n">
        <v>45070</v>
      </c>
      <c r="N860" s="19" t="n">
        <v>136834</v>
      </c>
    </row>
    <row r="861">
      <c r="A861" s="16" t="n">
        <v>45069</v>
      </c>
      <c r="B861" s="19" t="n">
        <v>1692.09</v>
      </c>
      <c r="D861" s="16" t="n">
        <v>45065</v>
      </c>
      <c r="E861" s="19" t="n">
        <v>23.05</v>
      </c>
      <c r="G861" s="16" t="n">
        <v>45201</v>
      </c>
      <c r="H861" s="19" t="n">
        <v>3.589</v>
      </c>
      <c r="J861" s="16" t="n">
        <v>45201</v>
      </c>
      <c r="K861" s="19" t="n">
        <v>2.756</v>
      </c>
      <c r="M861" s="16" t="n">
        <v>45069</v>
      </c>
      <c r="N861" s="19" t="n">
        <v>136693</v>
      </c>
    </row>
    <row r="862">
      <c r="A862" s="16" t="n">
        <v>45068</v>
      </c>
      <c r="B862" s="19" t="n">
        <v>1696.15</v>
      </c>
      <c r="D862" s="16" t="n">
        <v>45064</v>
      </c>
      <c r="E862" s="19" t="n">
        <v>21.5</v>
      </c>
      <c r="G862" s="16" t="n">
        <v>45203</v>
      </c>
      <c r="H862" s="19" t="n">
        <v>3.523</v>
      </c>
      <c r="J862" s="16" t="n">
        <v>45203</v>
      </c>
      <c r="K862" s="19" t="n">
        <v>2.722</v>
      </c>
      <c r="M862" s="16" t="n">
        <v>45068</v>
      </c>
      <c r="N862" s="19" t="n">
        <v>137467</v>
      </c>
    </row>
    <row r="863">
      <c r="A863" s="16" t="n">
        <v>45065</v>
      </c>
      <c r="B863" s="19" t="n">
        <v>1713.47</v>
      </c>
      <c r="D863" s="16" t="n">
        <v>45063</v>
      </c>
      <c r="E863" s="19" t="n">
        <v>23.87</v>
      </c>
      <c r="G863" s="16" t="n">
        <v>45204</v>
      </c>
      <c r="H863" s="19" t="n">
        <v>3.565</v>
      </c>
      <c r="J863" s="16" t="n">
        <v>45204</v>
      </c>
      <c r="K863" s="19" t="n">
        <v>2.768</v>
      </c>
      <c r="M863" s="16" t="n">
        <v>45065</v>
      </c>
      <c r="N863" s="19" t="n">
        <v>138101</v>
      </c>
    </row>
    <row r="864">
      <c r="A864" s="16" t="n">
        <v>45064</v>
      </c>
      <c r="B864" s="19" t="n">
        <v>1736.31</v>
      </c>
      <c r="D864" s="16" t="n">
        <v>45062</v>
      </c>
      <c r="E864" s="19" t="n">
        <v>22.8</v>
      </c>
      <c r="G864" s="16" t="n">
        <v>45205</v>
      </c>
      <c r="H864" s="19" t="n">
        <v>3.556</v>
      </c>
      <c r="J864" s="16" t="n">
        <v>45205</v>
      </c>
      <c r="K864" s="19" t="n">
        <v>2.75</v>
      </c>
      <c r="M864" s="16" t="n">
        <v>45064</v>
      </c>
      <c r="N864" s="19" t="n">
        <v>138917</v>
      </c>
    </row>
    <row r="865">
      <c r="A865" s="16" t="n">
        <v>45063</v>
      </c>
      <c r="B865" s="19" t="n">
        <v>1710.21</v>
      </c>
      <c r="D865" s="16" t="n">
        <v>45061</v>
      </c>
      <c r="E865" s="19" t="n">
        <v>24.37</v>
      </c>
      <c r="G865" s="16" t="n">
        <v>45209</v>
      </c>
      <c r="H865" s="19" t="n">
        <v>3.544</v>
      </c>
      <c r="J865" s="16" t="n">
        <v>45209</v>
      </c>
      <c r="K865" s="19" t="n">
        <v>2.776</v>
      </c>
      <c r="M865" s="16" t="n">
        <v>45063</v>
      </c>
      <c r="N865" s="19" t="n">
        <v>138308</v>
      </c>
    </row>
    <row r="866">
      <c r="A866" s="16" t="n">
        <v>45062</v>
      </c>
      <c r="B866" s="19" t="n">
        <v>1732.88</v>
      </c>
      <c r="D866" s="16" t="n">
        <v>45058</v>
      </c>
      <c r="E866" s="19" t="n">
        <v>24.91</v>
      </c>
      <c r="G866" s="16" t="n">
        <v>45210</v>
      </c>
      <c r="H866" s="19" t="n">
        <v>3.577</v>
      </c>
      <c r="J866" s="16" t="n">
        <v>45210</v>
      </c>
      <c r="K866" s="19" t="n">
        <v>2.774</v>
      </c>
      <c r="M866" s="16" t="n">
        <v>45062</v>
      </c>
      <c r="N866" s="19" t="n">
        <v>140521</v>
      </c>
    </row>
    <row r="867">
      <c r="A867" s="16" t="n">
        <v>45061</v>
      </c>
      <c r="B867" s="19" t="n">
        <v>1713.09</v>
      </c>
      <c r="D867" s="16" t="n">
        <v>45057</v>
      </c>
      <c r="E867" s="19" t="n">
        <v>25.87</v>
      </c>
      <c r="G867" s="16" t="n">
        <v>45211</v>
      </c>
      <c r="H867" s="19" t="n">
        <v>3.584</v>
      </c>
      <c r="J867" s="16" t="n">
        <v>45211</v>
      </c>
      <c r="K867" s="19" t="n">
        <v>2.764</v>
      </c>
      <c r="M867" s="16" t="n">
        <v>45061</v>
      </c>
      <c r="N867" s="19" t="n">
        <v>139447</v>
      </c>
    </row>
    <row r="868">
      <c r="A868" s="16" t="n">
        <v>45058</v>
      </c>
      <c r="B868" s="19" t="n">
        <v>1698.08</v>
      </c>
      <c r="D868" s="16" t="n">
        <v>45056</v>
      </c>
      <c r="E868" s="19" t="n">
        <v>26.5</v>
      </c>
      <c r="G868" s="16" t="n">
        <v>45212</v>
      </c>
      <c r="H868" s="19" t="n">
        <v>3.525</v>
      </c>
      <c r="J868" s="16" t="n">
        <v>45212</v>
      </c>
      <c r="K868" s="19" t="n">
        <v>2.778</v>
      </c>
      <c r="M868" s="16" t="n">
        <v>45058</v>
      </c>
      <c r="N868" s="19" t="n">
        <v>137571</v>
      </c>
    </row>
    <row r="869">
      <c r="A869" s="16" t="n">
        <v>45057</v>
      </c>
      <c r="B869" s="19" t="n">
        <v>1682.64</v>
      </c>
      <c r="D869" s="16" t="n">
        <v>45055</v>
      </c>
      <c r="E869" s="19" t="n">
        <v>27.09</v>
      </c>
      <c r="G869" s="16" t="n">
        <v>45215</v>
      </c>
      <c r="H869" s="19" t="n">
        <v>3.525</v>
      </c>
      <c r="J869" s="16" t="n">
        <v>45215</v>
      </c>
      <c r="K869" s="19" t="n">
        <v>2.802</v>
      </c>
      <c r="M869" s="16" t="n">
        <v>45057</v>
      </c>
      <c r="N869" s="19" t="n">
        <v>136640</v>
      </c>
    </row>
    <row r="870">
      <c r="A870" s="16" t="n">
        <v>45056</v>
      </c>
      <c r="B870" s="19" t="n">
        <v>1693.1</v>
      </c>
      <c r="D870" s="16" t="n">
        <v>45054</v>
      </c>
      <c r="E870" s="19" t="n">
        <v>26.2</v>
      </c>
      <c r="G870" s="16" t="n">
        <v>45216</v>
      </c>
      <c r="H870" s="19" t="n">
        <v>3.493</v>
      </c>
      <c r="J870" s="16" t="n">
        <v>45216</v>
      </c>
      <c r="K870" s="19" t="n">
        <v>2.79</v>
      </c>
      <c r="M870" s="16" t="n">
        <v>45056</v>
      </c>
      <c r="N870" s="19" t="n">
        <v>137227</v>
      </c>
    </row>
    <row r="871">
      <c r="A871" s="16" t="n">
        <v>45055</v>
      </c>
      <c r="B871" s="19" t="n">
        <v>1686.08</v>
      </c>
      <c r="D871" s="16" t="n">
        <v>45050</v>
      </c>
      <c r="E871" s="19" t="n">
        <v>25.81</v>
      </c>
      <c r="G871" s="16" t="n">
        <v>45217</v>
      </c>
      <c r="H871" s="19" t="n">
        <v>3.44</v>
      </c>
      <c r="J871" s="16" t="n">
        <v>45217</v>
      </c>
      <c r="K871" s="19" t="n">
        <v>2.752</v>
      </c>
      <c r="M871" s="16" t="n">
        <v>45055</v>
      </c>
      <c r="N871" s="19" t="n">
        <v>136965</v>
      </c>
    </row>
    <row r="872">
      <c r="A872" s="16" t="n">
        <v>45054</v>
      </c>
      <c r="B872" s="19" t="n">
        <v>1692.35</v>
      </c>
      <c r="D872" s="16" t="n">
        <v>45049</v>
      </c>
      <c r="E872" s="19" t="n">
        <v>26.08</v>
      </c>
      <c r="G872" s="16" t="n">
        <v>45218</v>
      </c>
      <c r="H872" s="19" t="n">
        <v>3.409</v>
      </c>
      <c r="J872" s="16" t="n">
        <v>45218</v>
      </c>
      <c r="K872" s="19" t="n">
        <v>2.736</v>
      </c>
      <c r="M872" s="16" t="n">
        <v>45054</v>
      </c>
      <c r="N872" s="19" t="n">
        <v>137727</v>
      </c>
    </row>
    <row r="873">
      <c r="A873" s="16" t="n">
        <v>45050</v>
      </c>
      <c r="B873" s="19" t="n">
        <v>1692.11</v>
      </c>
      <c r="D873" s="16" t="n">
        <v>45048</v>
      </c>
      <c r="E873" s="19" t="n">
        <v>27.88</v>
      </c>
      <c r="G873" s="16" t="n">
        <v>45219</v>
      </c>
      <c r="H873" s="19" t="n">
        <v>3.468</v>
      </c>
      <c r="J873" s="16" t="n">
        <v>45219</v>
      </c>
      <c r="K873" s="19" t="n">
        <v>2.798</v>
      </c>
      <c r="M873" s="16" t="n">
        <v>45050</v>
      </c>
      <c r="N873" s="19" t="n">
        <v>137985</v>
      </c>
    </row>
    <row r="874">
      <c r="A874" s="16" t="n">
        <v>45049</v>
      </c>
      <c r="B874" s="19" t="n">
        <v>1684.06</v>
      </c>
      <c r="D874" s="16" t="n">
        <v>45047</v>
      </c>
      <c r="E874" s="19" t="n">
        <v>26.47</v>
      </c>
      <c r="G874" s="16" t="n">
        <v>45222</v>
      </c>
      <c r="H874" s="19" t="n">
        <v>3.439</v>
      </c>
      <c r="J874" s="16" t="n">
        <v>45222</v>
      </c>
      <c r="K874" s="19" t="n">
        <v>2.777</v>
      </c>
      <c r="M874" s="16" t="n">
        <v>45049</v>
      </c>
      <c r="N874" s="19" t="n">
        <v>138590</v>
      </c>
    </row>
    <row r="875">
      <c r="A875" s="16" t="n">
        <v>45048</v>
      </c>
      <c r="B875" s="19" t="n">
        <v>1666.09</v>
      </c>
      <c r="D875" s="16" t="n">
        <v>45044</v>
      </c>
      <c r="E875" s="19" t="n">
        <v>25.87</v>
      </c>
      <c r="G875" s="16" t="n">
        <v>45223</v>
      </c>
      <c r="H875" s="19" t="n">
        <v>3.422</v>
      </c>
      <c r="J875" s="16" t="n">
        <v>45223</v>
      </c>
      <c r="K875" s="19" t="n">
        <v>2.786</v>
      </c>
      <c r="M875" s="16" t="n">
        <v>45048</v>
      </c>
      <c r="N875" s="19" t="n">
        <v>137907</v>
      </c>
    </row>
    <row r="876">
      <c r="A876" s="16" t="n">
        <v>45047</v>
      </c>
      <c r="B876" s="19" t="n">
        <v>1674.7</v>
      </c>
      <c r="D876" s="16" t="n">
        <v>45043</v>
      </c>
      <c r="E876" s="19" t="n">
        <v>27.37</v>
      </c>
      <c r="G876" s="16" t="n">
        <v>45224</v>
      </c>
      <c r="H876" s="19" t="n">
        <v>3.359</v>
      </c>
      <c r="J876" s="16" t="n">
        <v>45224</v>
      </c>
      <c r="K876" s="19" t="n">
        <v>2.775</v>
      </c>
      <c r="M876" s="16" t="n">
        <v>45047</v>
      </c>
      <c r="N876" s="19" t="n">
        <v>138046</v>
      </c>
    </row>
    <row r="877">
      <c r="A877" s="16" t="n">
        <v>45044</v>
      </c>
      <c r="B877" s="19" t="n">
        <v>1679.18</v>
      </c>
      <c r="D877" s="16" t="n">
        <v>45042</v>
      </c>
      <c r="E877" s="19" t="n">
        <v>26.15</v>
      </c>
      <c r="G877" s="16" t="n">
        <v>45225</v>
      </c>
      <c r="H877" s="19" t="n">
        <v>3.368</v>
      </c>
      <c r="J877" s="16" t="n">
        <v>45225</v>
      </c>
      <c r="K877" s="19" t="n">
        <v>2.785</v>
      </c>
      <c r="M877" s="16" t="n">
        <v>45044</v>
      </c>
      <c r="N877" s="19" t="n">
        <v>137857</v>
      </c>
    </row>
    <row r="878">
      <c r="A878" s="16" t="n">
        <v>45043</v>
      </c>
      <c r="B878" s="19" t="n">
        <v>1662.75</v>
      </c>
      <c r="D878" s="16" t="n">
        <v>45041</v>
      </c>
      <c r="E878" s="19" t="n">
        <v>23.75</v>
      </c>
      <c r="G878" s="16" t="n">
        <v>45226</v>
      </c>
      <c r="H878" s="19" t="n">
        <v>3.361</v>
      </c>
      <c r="J878" s="16" t="n">
        <v>45226</v>
      </c>
      <c r="K878" s="19" t="n">
        <v>2.816</v>
      </c>
      <c r="M878" s="16" t="n">
        <v>45043</v>
      </c>
      <c r="N878" s="19" t="n">
        <v>136919</v>
      </c>
    </row>
    <row r="879">
      <c r="A879" s="16" t="n">
        <v>45042</v>
      </c>
      <c r="B879" s="19" t="n">
        <v>1681.03</v>
      </c>
      <c r="D879" s="16" t="n">
        <v>45040</v>
      </c>
      <c r="E879" s="19" t="n">
        <v>23.08</v>
      </c>
      <c r="G879" s="16" t="n">
        <v>45229</v>
      </c>
      <c r="H879" s="19" t="n">
        <v>3.367</v>
      </c>
      <c r="J879" s="16" t="n">
        <v>45229</v>
      </c>
      <c r="K879" s="19" t="n">
        <v>2.79</v>
      </c>
      <c r="M879" s="16" t="n">
        <v>45042</v>
      </c>
      <c r="N879" s="19" t="n">
        <v>138101</v>
      </c>
    </row>
    <row r="880">
      <c r="A880" s="16" t="n">
        <v>45041</v>
      </c>
      <c r="B880" s="19" t="n">
        <v>1705.27</v>
      </c>
      <c r="D880" s="16" t="n">
        <v>45037</v>
      </c>
      <c r="E880" s="19" t="n">
        <v>22.84</v>
      </c>
      <c r="G880" s="16" t="n">
        <v>45230</v>
      </c>
      <c r="H880" s="19" t="n">
        <v>3.346</v>
      </c>
      <c r="J880" s="16" t="n">
        <v>45230</v>
      </c>
      <c r="K880" s="19" t="n">
        <v>2.777</v>
      </c>
      <c r="M880" s="16" t="n">
        <v>45041</v>
      </c>
      <c r="N880" s="19" t="n">
        <v>139841</v>
      </c>
    </row>
    <row r="881">
      <c r="A881" s="16" t="n">
        <v>45040</v>
      </c>
      <c r="B881" s="19" t="n">
        <v>1728.44</v>
      </c>
      <c r="D881" s="16" t="n">
        <v>45036</v>
      </c>
      <c r="E881" s="19" t="n">
        <v>22.37</v>
      </c>
      <c r="G881" s="16" t="n">
        <v>45231</v>
      </c>
      <c r="H881" s="19" t="n">
        <v>3.334</v>
      </c>
      <c r="J881" s="16" t="n">
        <v>45231</v>
      </c>
      <c r="K881" s="19" t="n">
        <v>2.781</v>
      </c>
      <c r="M881" s="16" t="n">
        <v>45040</v>
      </c>
      <c r="N881" s="19" t="n">
        <v>140110</v>
      </c>
    </row>
    <row r="882">
      <c r="A882" s="16" t="n">
        <v>45037</v>
      </c>
      <c r="B882" s="19" t="n">
        <v>1727.6</v>
      </c>
      <c r="D882" s="16" t="n">
        <v>45035</v>
      </c>
      <c r="E882" s="19" t="n">
        <v>23.3</v>
      </c>
      <c r="G882" s="16" t="n">
        <v>45232</v>
      </c>
      <c r="H882" s="19" t="n">
        <v>3.3</v>
      </c>
      <c r="J882" s="16" t="n">
        <v>45232</v>
      </c>
      <c r="K882" s="19" t="n">
        <v>2.763</v>
      </c>
      <c r="M882" s="16" t="n">
        <v>45037</v>
      </c>
      <c r="N882" s="19" t="n">
        <v>138845</v>
      </c>
    </row>
    <row r="883">
      <c r="A883" s="16" t="n">
        <v>45036</v>
      </c>
      <c r="B883" s="19" t="n">
        <v>1740.92</v>
      </c>
      <c r="D883" s="16" t="n">
        <v>45034</v>
      </c>
      <c r="E883" s="19" t="n">
        <v>24.75</v>
      </c>
      <c r="G883" s="16" t="n">
        <v>45233</v>
      </c>
      <c r="H883" s="19" t="n">
        <v>3.326</v>
      </c>
      <c r="J883" s="16" t="n">
        <v>45233</v>
      </c>
      <c r="K883" s="19" t="n">
        <v>2.758</v>
      </c>
      <c r="M883" s="16" t="n">
        <v>45036</v>
      </c>
      <c r="N883" s="19" t="n">
        <v>139310</v>
      </c>
    </row>
    <row r="884">
      <c r="A884" s="16" t="n">
        <v>45035</v>
      </c>
      <c r="B884" s="19" t="n">
        <v>1729.79</v>
      </c>
      <c r="D884" s="16" t="n">
        <v>45033</v>
      </c>
      <c r="E884" s="19" t="n">
        <v>26.95</v>
      </c>
      <c r="G884" s="16" t="n">
        <v>45236</v>
      </c>
      <c r="H884" s="19" t="n">
        <v>3.332</v>
      </c>
      <c r="J884" s="16" t="n">
        <v>45236</v>
      </c>
      <c r="K884" s="19" t="n">
        <v>2.767</v>
      </c>
      <c r="M884" s="16" t="n">
        <v>45035</v>
      </c>
      <c r="N884" s="19" t="n">
        <v>138719</v>
      </c>
    </row>
    <row r="885">
      <c r="A885" s="16" t="n">
        <v>45034</v>
      </c>
      <c r="B885" s="19" t="n">
        <v>1702.78</v>
      </c>
      <c r="D885" s="16" t="n">
        <v>45030</v>
      </c>
      <c r="E885" s="19" t="n">
        <v>28.55</v>
      </c>
      <c r="G885" s="16" t="n">
        <v>45237</v>
      </c>
      <c r="H885" s="19" t="n">
        <v>3.305</v>
      </c>
      <c r="J885" s="16" t="n">
        <v>45237</v>
      </c>
      <c r="K885" s="19" t="n">
        <v>2.754</v>
      </c>
      <c r="M885" s="16" t="n">
        <v>45034</v>
      </c>
      <c r="N885" s="19" t="n">
        <v>137399</v>
      </c>
    </row>
    <row r="886">
      <c r="A886" s="16" t="n">
        <v>45033</v>
      </c>
      <c r="B886" s="19" t="n">
        <v>1666.71</v>
      </c>
      <c r="D886" s="16" t="n">
        <v>45029</v>
      </c>
      <c r="E886" s="19" t="n">
        <v>27</v>
      </c>
      <c r="G886" s="16" t="n">
        <v>45238</v>
      </c>
      <c r="H886" s="19" t="n">
        <v>3.306</v>
      </c>
      <c r="J886" s="16" t="n">
        <v>45238</v>
      </c>
      <c r="K886" s="19" t="n">
        <v>2.753</v>
      </c>
      <c r="M886" s="16" t="n">
        <v>45033</v>
      </c>
      <c r="N886" s="19" t="n">
        <v>135285</v>
      </c>
    </row>
    <row r="887">
      <c r="A887" s="16" t="n">
        <v>45030</v>
      </c>
      <c r="B887" s="19" t="n">
        <v>1656.11</v>
      </c>
      <c r="D887" s="16" t="n">
        <v>45028</v>
      </c>
      <c r="E887" s="19" t="n">
        <v>26.4</v>
      </c>
      <c r="G887" s="16" t="n">
        <v>45239</v>
      </c>
      <c r="H887" s="19" t="n">
        <v>3.299</v>
      </c>
      <c r="J887" s="16" t="n">
        <v>45239</v>
      </c>
      <c r="K887" s="19" t="n">
        <v>2.736</v>
      </c>
      <c r="M887" s="16" t="n">
        <v>45030</v>
      </c>
      <c r="N887" s="19" t="n">
        <v>134748</v>
      </c>
    </row>
    <row r="888">
      <c r="A888" s="16" t="n">
        <v>45029</v>
      </c>
      <c r="B888" s="19" t="n">
        <v>1669.36</v>
      </c>
      <c r="D888" s="16" t="n">
        <v>45027</v>
      </c>
      <c r="E888" s="19" t="n">
        <v>27.03</v>
      </c>
      <c r="G888" s="16" t="n">
        <v>45240</v>
      </c>
      <c r="H888" s="19" t="n">
        <v>3.341</v>
      </c>
      <c r="J888" s="16" t="n">
        <v>45240</v>
      </c>
      <c r="K888" s="19" t="n">
        <v>2.731</v>
      </c>
      <c r="M888" s="16" t="n">
        <v>45029</v>
      </c>
      <c r="N888" s="19" t="n">
        <v>134977</v>
      </c>
    </row>
    <row r="889">
      <c r="A889" s="16" t="n">
        <v>45028</v>
      </c>
      <c r="B889" s="19" t="n">
        <v>1681.83</v>
      </c>
      <c r="D889" s="16" t="n">
        <v>45026</v>
      </c>
      <c r="E889" s="19" t="n">
        <v>26.06</v>
      </c>
      <c r="G889" s="16" t="n">
        <v>45243</v>
      </c>
      <c r="H889" s="19" t="n">
        <v>3.244</v>
      </c>
      <c r="J889" s="16" t="n">
        <v>45243</v>
      </c>
      <c r="K889" s="19" t="n">
        <v>2.678</v>
      </c>
      <c r="M889" s="16" t="n">
        <v>45028</v>
      </c>
      <c r="N889" s="19" t="n">
        <v>135938</v>
      </c>
    </row>
    <row r="890">
      <c r="A890" s="16" t="n">
        <v>45027</v>
      </c>
      <c r="B890" s="19" t="n">
        <v>1673.6</v>
      </c>
      <c r="D890" s="16" t="n">
        <v>45023</v>
      </c>
      <c r="E890" s="19" t="n">
        <v>24.2</v>
      </c>
      <c r="G890" s="16" t="n">
        <v>45244</v>
      </c>
      <c r="H890" s="19" t="n">
        <v>3.224</v>
      </c>
      <c r="J890" s="16" t="n">
        <v>45244</v>
      </c>
      <c r="K890" s="19" t="n">
        <v>2.696</v>
      </c>
      <c r="M890" s="16" t="n">
        <v>45027</v>
      </c>
      <c r="N890" s="19" t="n">
        <v>135266</v>
      </c>
    </row>
    <row r="891">
      <c r="A891" s="16" t="n">
        <v>45026</v>
      </c>
      <c r="B891" s="19" t="n">
        <v>1707.62</v>
      </c>
      <c r="D891" s="16" t="n">
        <v>45022</v>
      </c>
      <c r="E891" s="19" t="n">
        <v>22.84</v>
      </c>
      <c r="G891" s="16" t="n">
        <v>45245</v>
      </c>
      <c r="H891" s="19" t="n">
        <v>3.275</v>
      </c>
      <c r="J891" s="16" t="n">
        <v>45245</v>
      </c>
      <c r="K891" s="19" t="n">
        <v>2.7</v>
      </c>
      <c r="M891" s="16" t="n">
        <v>45026</v>
      </c>
      <c r="N891" s="19" t="n">
        <v>136340</v>
      </c>
    </row>
    <row r="892">
      <c r="A892" s="16" t="n">
        <v>45023</v>
      </c>
      <c r="B892" s="19" t="n">
        <v>1752.38</v>
      </c>
      <c r="D892" s="16" t="n">
        <v>45021</v>
      </c>
      <c r="E892" s="19" t="n">
        <v>24.31</v>
      </c>
      <c r="G892" s="16" t="n">
        <v>45246</v>
      </c>
      <c r="H892" s="19" t="n">
        <v>3.267</v>
      </c>
      <c r="J892" s="16" t="n">
        <v>45246</v>
      </c>
      <c r="K892" s="19" t="n">
        <v>2.696</v>
      </c>
      <c r="M892" s="16" t="n">
        <v>45023</v>
      </c>
      <c r="N892" s="19" t="n">
        <v>138892</v>
      </c>
    </row>
    <row r="893">
      <c r="A893" s="16" t="n">
        <v>45022</v>
      </c>
      <c r="B893" s="19" t="n">
        <v>1775.18</v>
      </c>
      <c r="D893" s="16" t="n">
        <v>45020</v>
      </c>
      <c r="E893" s="19" t="n">
        <v>24.84</v>
      </c>
      <c r="G893" s="16" t="n">
        <v>45247</v>
      </c>
      <c r="H893" s="19" t="n">
        <v>3.216</v>
      </c>
      <c r="J893" s="16" t="n">
        <v>45247</v>
      </c>
      <c r="K893" s="19" t="n">
        <v>2.666</v>
      </c>
      <c r="M893" s="16" t="n">
        <v>45022</v>
      </c>
      <c r="N893" s="19" t="n">
        <v>139876</v>
      </c>
    </row>
    <row r="894">
      <c r="A894" s="16" t="n">
        <v>45021</v>
      </c>
      <c r="B894" s="19" t="n">
        <v>1762.5</v>
      </c>
      <c r="D894" s="16" t="n">
        <v>45019</v>
      </c>
      <c r="E894" s="19" t="n">
        <v>25.53</v>
      </c>
      <c r="G894" s="16" t="n">
        <v>45250</v>
      </c>
      <c r="H894" s="19" t="n">
        <v>3.199</v>
      </c>
      <c r="J894" s="16" t="n">
        <v>45250</v>
      </c>
      <c r="K894" s="19" t="n">
        <v>2.685</v>
      </c>
      <c r="M894" s="16" t="n">
        <v>45021</v>
      </c>
      <c r="N894" s="19" t="n">
        <v>139200</v>
      </c>
    </row>
    <row r="895">
      <c r="A895" s="16" t="n">
        <v>45020</v>
      </c>
      <c r="B895" s="19" t="n">
        <v>1769.66</v>
      </c>
      <c r="D895" s="16" t="n">
        <v>45016</v>
      </c>
      <c r="E895" s="19" t="n">
        <v>24.22</v>
      </c>
      <c r="G895" s="16" t="n">
        <v>45251</v>
      </c>
      <c r="H895" s="19" t="n">
        <v>3.148</v>
      </c>
      <c r="J895" s="16" t="n">
        <v>45251</v>
      </c>
      <c r="K895" s="19" t="n">
        <v>2.642</v>
      </c>
      <c r="M895" s="16" t="n">
        <v>45020</v>
      </c>
      <c r="N895" s="19" t="n">
        <v>138840</v>
      </c>
    </row>
    <row r="896">
      <c r="A896" s="16" t="n">
        <v>45019</v>
      </c>
      <c r="B896" s="19" t="n">
        <v>1752.78</v>
      </c>
      <c r="D896" s="16" t="n">
        <v>45015</v>
      </c>
      <c r="E896" s="19" t="n">
        <v>28.04</v>
      </c>
      <c r="G896" s="16" t="n">
        <v>45252</v>
      </c>
      <c r="H896" s="19" t="n">
        <v>3.07</v>
      </c>
      <c r="J896" s="16" t="n">
        <v>45252</v>
      </c>
      <c r="K896" s="19" t="n">
        <v>2.585</v>
      </c>
      <c r="M896" s="16" t="n">
        <v>45019</v>
      </c>
      <c r="N896" s="19" t="n">
        <v>137789</v>
      </c>
    </row>
    <row r="897">
      <c r="A897" s="16" t="n">
        <v>45016</v>
      </c>
      <c r="B897" s="19" t="n">
        <v>1785.65</v>
      </c>
      <c r="D897" s="16" t="n">
        <v>45014</v>
      </c>
      <c r="E897" s="19" t="n">
        <v>28.92</v>
      </c>
      <c r="G897" s="16" t="n">
        <v>45253</v>
      </c>
      <c r="H897" s="19" t="n">
        <v>3.087</v>
      </c>
      <c r="J897" s="16" t="n">
        <v>45253</v>
      </c>
      <c r="K897" s="19" t="n">
        <v>2.61</v>
      </c>
      <c r="M897" s="16" t="n">
        <v>45016</v>
      </c>
      <c r="N897" s="19" t="n">
        <v>139618</v>
      </c>
    </row>
    <row r="898">
      <c r="A898" s="16" t="n">
        <v>45015</v>
      </c>
      <c r="B898" s="19" t="n">
        <v>1744.69</v>
      </c>
      <c r="D898" s="16" t="n">
        <v>45013</v>
      </c>
      <c r="E898" s="19" t="n">
        <v>25.77</v>
      </c>
      <c r="G898" s="16" t="n">
        <v>45254</v>
      </c>
      <c r="H898" s="19" t="n">
        <v>3.063</v>
      </c>
      <c r="J898" s="16" t="n">
        <v>45254</v>
      </c>
      <c r="K898" s="19" t="n">
        <v>2.604</v>
      </c>
      <c r="M898" s="16" t="n">
        <v>45015</v>
      </c>
      <c r="N898" s="19" t="n">
        <v>136998</v>
      </c>
    </row>
    <row r="899">
      <c r="A899" s="16" t="n">
        <v>45014</v>
      </c>
      <c r="B899" s="19" t="n">
        <v>1732.71</v>
      </c>
      <c r="D899" s="16" t="n">
        <v>45012</v>
      </c>
      <c r="E899" s="19" t="n">
        <v>25.81</v>
      </c>
      <c r="G899" s="16" t="n">
        <v>45257</v>
      </c>
      <c r="H899" s="19" t="n">
        <v>3.048</v>
      </c>
      <c r="J899" s="16" t="n">
        <v>45257</v>
      </c>
      <c r="K899" s="19" t="n">
        <v>2.578</v>
      </c>
      <c r="M899" s="16" t="n">
        <v>45014</v>
      </c>
      <c r="N899" s="19" t="n">
        <v>136338</v>
      </c>
    </row>
    <row r="900">
      <c r="A900" s="16" t="n">
        <v>45013</v>
      </c>
      <c r="B900" s="19" t="n">
        <v>1774.52</v>
      </c>
      <c r="D900" s="16" t="n">
        <v>45009</v>
      </c>
      <c r="E900" s="19" t="n">
        <v>26.91</v>
      </c>
      <c r="G900" s="16" t="n">
        <v>45258</v>
      </c>
      <c r="H900" s="19" t="n">
        <v>3.03</v>
      </c>
      <c r="J900" s="16" t="n">
        <v>45258</v>
      </c>
      <c r="K900" s="19" t="n">
        <v>2.587</v>
      </c>
      <c r="M900" s="16" t="n">
        <v>45013</v>
      </c>
      <c r="N900" s="19" t="n">
        <v>138712</v>
      </c>
    </row>
    <row r="901">
      <c r="A901" s="16" t="n">
        <v>45012</v>
      </c>
      <c r="B901" s="19" t="n">
        <v>1782.23</v>
      </c>
      <c r="D901" s="16" t="n">
        <v>45008</v>
      </c>
      <c r="E901" s="19" t="n">
        <v>29.24</v>
      </c>
      <c r="G901" s="16" t="n">
        <v>45259</v>
      </c>
      <c r="H901" s="19" t="n">
        <v>3.03</v>
      </c>
      <c r="J901" s="16" t="n">
        <v>45259</v>
      </c>
      <c r="K901" s="19" t="n">
        <v>2.563</v>
      </c>
      <c r="M901" s="16" t="n">
        <v>45012</v>
      </c>
      <c r="N901" s="19" t="n">
        <v>139233</v>
      </c>
    </row>
    <row r="902">
      <c r="A902" s="16" t="n">
        <v>45009</v>
      </c>
      <c r="B902" s="19" t="n">
        <v>1772.61</v>
      </c>
      <c r="D902" s="16" t="n">
        <v>45007</v>
      </c>
      <c r="E902" s="19" t="n">
        <v>28.41</v>
      </c>
      <c r="G902" s="16" t="n">
        <v>45260</v>
      </c>
      <c r="H902" s="19" t="n">
        <v>3.029</v>
      </c>
      <c r="J902" s="16" t="n">
        <v>45260</v>
      </c>
      <c r="K902" s="19" t="n">
        <v>2.581</v>
      </c>
      <c r="M902" s="16" t="n">
        <v>45009</v>
      </c>
      <c r="N902" s="19" t="n">
        <v>138424</v>
      </c>
    </row>
    <row r="903">
      <c r="A903" s="16" t="n">
        <v>45008</v>
      </c>
      <c r="B903" s="19" t="n">
        <v>1742.43</v>
      </c>
      <c r="D903" s="16" t="n">
        <v>45006</v>
      </c>
      <c r="E903" s="19" t="n">
        <v>29.15</v>
      </c>
      <c r="G903" s="16" t="n">
        <v>45261</v>
      </c>
      <c r="H903" s="19" t="n">
        <v>3.021</v>
      </c>
      <c r="J903" s="16" t="n">
        <v>45261</v>
      </c>
      <c r="K903" s="19" t="n">
        <v>2.584</v>
      </c>
      <c r="M903" s="16" t="n">
        <v>45008</v>
      </c>
      <c r="N903" s="19" t="n">
        <v>137911</v>
      </c>
    </row>
    <row r="904">
      <c r="A904" s="16" t="n">
        <v>45007</v>
      </c>
      <c r="B904" s="19" t="n">
        <v>1746.35</v>
      </c>
      <c r="D904" s="16" t="n">
        <v>45005</v>
      </c>
      <c r="E904" s="19" t="n">
        <v>30.97</v>
      </c>
      <c r="G904" s="16" t="n">
        <v>45264</v>
      </c>
      <c r="H904" s="19" t="n">
        <v>3.05</v>
      </c>
      <c r="J904" s="16" t="n">
        <v>45264</v>
      </c>
      <c r="K904" s="19" t="n">
        <v>2.594</v>
      </c>
      <c r="M904" s="16" t="n">
        <v>45007</v>
      </c>
      <c r="N904" s="19" t="n">
        <v>137769</v>
      </c>
    </row>
    <row r="905">
      <c r="A905" s="16" t="n">
        <v>45006</v>
      </c>
      <c r="B905" s="19" t="n">
        <v>1739.29</v>
      </c>
      <c r="D905" s="16" t="n">
        <v>45002</v>
      </c>
      <c r="E905" s="19" t="n">
        <v>28.34</v>
      </c>
      <c r="G905" s="16" t="n">
        <v>45265</v>
      </c>
      <c r="H905" s="19" t="n">
        <v>3.101</v>
      </c>
      <c r="J905" s="16" t="n">
        <v>45265</v>
      </c>
      <c r="K905" s="19" t="n">
        <v>2.626</v>
      </c>
      <c r="M905" s="16" t="n">
        <v>45006</v>
      </c>
      <c r="N905" s="19" t="n">
        <v>137663</v>
      </c>
    </row>
    <row r="906">
      <c r="A906" s="16" t="n">
        <v>45005</v>
      </c>
      <c r="B906" s="19" t="n">
        <v>1721.27</v>
      </c>
      <c r="D906" s="16" t="n">
        <v>45001</v>
      </c>
      <c r="E906" s="19" t="n">
        <v>29.54</v>
      </c>
      <c r="G906" s="16" t="n">
        <v>45266</v>
      </c>
      <c r="H906" s="19" t="n">
        <v>3.041</v>
      </c>
      <c r="J906" s="16" t="n">
        <v>45266</v>
      </c>
      <c r="K906" s="19" t="n">
        <v>2.628</v>
      </c>
      <c r="M906" s="16" t="n">
        <v>45005</v>
      </c>
      <c r="N906" s="19" t="n">
        <v>136325</v>
      </c>
    </row>
    <row r="907">
      <c r="A907" s="16" t="n">
        <v>45002</v>
      </c>
      <c r="B907" s="19" t="n">
        <v>1767.28</v>
      </c>
      <c r="D907" s="16" t="n">
        <v>45000</v>
      </c>
      <c r="E907" s="19" t="n">
        <v>30.2</v>
      </c>
      <c r="G907" s="16" t="n">
        <v>45267</v>
      </c>
      <c r="H907" s="19" t="n">
        <v>3.059</v>
      </c>
      <c r="J907" s="16" t="n">
        <v>45267</v>
      </c>
      <c r="K907" s="19" t="n">
        <v>2.607</v>
      </c>
      <c r="M907" s="16" t="n">
        <v>45002</v>
      </c>
      <c r="N907" s="19" t="n">
        <v>138438</v>
      </c>
    </row>
    <row r="908">
      <c r="A908" s="16" t="n">
        <v>45001</v>
      </c>
      <c r="B908" s="19" t="n">
        <v>1750.84</v>
      </c>
      <c r="D908" s="16" t="n">
        <v>44999</v>
      </c>
      <c r="E908" s="19" t="n">
        <v>29.67</v>
      </c>
      <c r="G908" s="16" t="n">
        <v>45268</v>
      </c>
      <c r="H908" s="19" t="n">
        <v>3.001</v>
      </c>
      <c r="J908" s="16" t="n">
        <v>45268</v>
      </c>
      <c r="K908" s="19" t="n">
        <v>2.599</v>
      </c>
      <c r="M908" s="16" t="n">
        <v>45001</v>
      </c>
      <c r="N908" s="19" t="n">
        <v>137586</v>
      </c>
    </row>
    <row r="909">
      <c r="A909" s="16" t="n">
        <v>45000</v>
      </c>
      <c r="B909" s="19" t="n">
        <v>1737.89</v>
      </c>
      <c r="D909" s="16" t="n">
        <v>44998</v>
      </c>
      <c r="E909" s="19" t="n">
        <v>30.24</v>
      </c>
      <c r="G909" s="16" t="n">
        <v>45271</v>
      </c>
      <c r="H909" s="19" t="n">
        <v>3.043</v>
      </c>
      <c r="J909" s="16" t="n">
        <v>45271</v>
      </c>
      <c r="K909" s="19" t="n">
        <v>2.581</v>
      </c>
      <c r="M909" s="16" t="n">
        <v>45000</v>
      </c>
      <c r="N909" s="19" t="n">
        <v>136162</v>
      </c>
    </row>
    <row r="910">
      <c r="A910" s="16" t="n">
        <v>44999</v>
      </c>
      <c r="B910" s="19" t="n">
        <v>1749.84</v>
      </c>
      <c r="D910" s="16" t="n">
        <v>44995</v>
      </c>
      <c r="E910" s="19" t="n">
        <v>30.3</v>
      </c>
      <c r="G910" s="16" t="n">
        <v>45272</v>
      </c>
      <c r="H910" s="19" t="n">
        <v>3.083</v>
      </c>
      <c r="J910" s="16" t="n">
        <v>45272</v>
      </c>
      <c r="K910" s="19" t="n">
        <v>2.612</v>
      </c>
      <c r="M910" s="16" t="n">
        <v>44999</v>
      </c>
      <c r="N910" s="19" t="n">
        <v>135546</v>
      </c>
    </row>
    <row r="911">
      <c r="A911" s="16" t="n">
        <v>44998</v>
      </c>
      <c r="B911" s="19" t="n">
        <v>1758.27</v>
      </c>
      <c r="D911" s="16" t="n">
        <v>44994</v>
      </c>
      <c r="E911" s="19" t="n">
        <v>28.51</v>
      </c>
      <c r="G911" s="16" t="n">
        <v>45273</v>
      </c>
      <c r="H911" s="19" t="n">
        <v>3.047</v>
      </c>
      <c r="J911" s="16" t="n">
        <v>45273</v>
      </c>
      <c r="K911" s="19" t="n">
        <v>2.591</v>
      </c>
      <c r="M911" s="16" t="n">
        <v>44998</v>
      </c>
      <c r="N911" s="19" t="n">
        <v>135375</v>
      </c>
    </row>
    <row r="912">
      <c r="A912" s="16" t="n">
        <v>44995</v>
      </c>
      <c r="B912" s="19" t="n">
        <v>1762.41</v>
      </c>
      <c r="D912" s="16" t="n">
        <v>44993</v>
      </c>
      <c r="E912" s="19" t="n">
        <v>25.68</v>
      </c>
      <c r="G912" s="16" t="n">
        <v>45274</v>
      </c>
      <c r="H912" s="19" t="n">
        <v>3.067</v>
      </c>
      <c r="J912" s="16" t="n">
        <v>45274</v>
      </c>
      <c r="K912" s="19" t="n">
        <v>2.636</v>
      </c>
      <c r="M912" s="16" t="n">
        <v>44995</v>
      </c>
      <c r="N912" s="19" t="n">
        <v>136094</v>
      </c>
    </row>
    <row r="913">
      <c r="A913" s="16" t="n">
        <v>44994</v>
      </c>
      <c r="B913" s="19" t="n">
        <v>1782.59</v>
      </c>
      <c r="D913" s="16" t="n">
        <v>44992</v>
      </c>
      <c r="E913" s="19" t="n">
        <v>25.09</v>
      </c>
      <c r="G913" s="16" t="n">
        <v>45275</v>
      </c>
      <c r="H913" s="19" t="n">
        <v>3</v>
      </c>
      <c r="J913" s="16" t="n">
        <v>45275</v>
      </c>
      <c r="K913" s="19" t="n">
        <v>2.628</v>
      </c>
      <c r="M913" s="16" t="n">
        <v>44994</v>
      </c>
      <c r="N913" s="19" t="n">
        <v>136796</v>
      </c>
    </row>
    <row r="914">
      <c r="A914" s="16" t="n">
        <v>44993</v>
      </c>
      <c r="B914" s="19" t="n">
        <v>1826.6</v>
      </c>
      <c r="D914" s="16" t="n">
        <v>44991</v>
      </c>
      <c r="E914" s="19" t="n">
        <v>23.58</v>
      </c>
      <c r="G914" s="16" t="n">
        <v>45278</v>
      </c>
      <c r="H914" s="19" t="n">
        <v>3.007</v>
      </c>
      <c r="J914" s="16" t="n">
        <v>45278</v>
      </c>
      <c r="K914" s="19" t="n">
        <v>2.609</v>
      </c>
      <c r="M914" s="16" t="n">
        <v>44993</v>
      </c>
      <c r="N914" s="19" t="n">
        <v>139164</v>
      </c>
    </row>
    <row r="915">
      <c r="A915" s="16" t="n">
        <v>44992</v>
      </c>
      <c r="B915" s="19" t="n">
        <v>1841.97</v>
      </c>
      <c r="D915" s="16" t="n">
        <v>44988</v>
      </c>
      <c r="E915" s="19" t="n">
        <v>21.63</v>
      </c>
      <c r="G915" s="16" t="n">
        <v>45279</v>
      </c>
      <c r="H915" s="19" t="n">
        <v>3.006</v>
      </c>
      <c r="J915" s="16" t="n">
        <v>45279</v>
      </c>
      <c r="K915" s="19" t="n">
        <v>2.564</v>
      </c>
      <c r="M915" s="16" t="n">
        <v>44992</v>
      </c>
      <c r="N915" s="19" t="n">
        <v>138298</v>
      </c>
    </row>
    <row r="916">
      <c r="A916" s="16" t="n">
        <v>44991</v>
      </c>
      <c r="B916" s="19" t="n">
        <v>1853.56</v>
      </c>
      <c r="D916" s="16" t="n">
        <v>44987</v>
      </c>
      <c r="E916" s="19" t="n">
        <v>20.77</v>
      </c>
      <c r="G916" s="16" t="n">
        <v>45280</v>
      </c>
      <c r="H916" s="19" t="n">
        <v>2.964</v>
      </c>
      <c r="J916" s="16" t="n">
        <v>45280</v>
      </c>
      <c r="K916" s="19" t="n">
        <v>2.534</v>
      </c>
      <c r="M916" s="16" t="n">
        <v>44991</v>
      </c>
      <c r="N916" s="19" t="n">
        <v>138998</v>
      </c>
    </row>
    <row r="917">
      <c r="A917" s="16" t="n">
        <v>44988</v>
      </c>
      <c r="B917" s="19" t="n">
        <v>1889.99</v>
      </c>
      <c r="D917" s="16" t="n">
        <v>44985</v>
      </c>
      <c r="E917" s="19" t="n">
        <v>20.44</v>
      </c>
      <c r="G917" s="16" t="n">
        <v>45281</v>
      </c>
      <c r="H917" s="19" t="n">
        <v>2.972</v>
      </c>
      <c r="J917" s="16" t="n">
        <v>45281</v>
      </c>
      <c r="K917" s="19" t="n">
        <v>2.533</v>
      </c>
      <c r="M917" s="16" t="n">
        <v>44988</v>
      </c>
      <c r="N917" s="19" t="n">
        <v>141208</v>
      </c>
    </row>
    <row r="918">
      <c r="A918" s="16" t="n">
        <v>44987</v>
      </c>
      <c r="B918" s="19" t="n">
        <v>1902.02</v>
      </c>
      <c r="D918" s="16" t="n">
        <v>44984</v>
      </c>
      <c r="E918" s="19" t="n">
        <v>18.61</v>
      </c>
      <c r="G918" s="16" t="n">
        <v>45282</v>
      </c>
      <c r="H918" s="19" t="n">
        <v>2.959</v>
      </c>
      <c r="J918" s="16" t="n">
        <v>45282</v>
      </c>
      <c r="K918" s="19" t="n">
        <v>2.519</v>
      </c>
      <c r="M918" s="16" t="n">
        <v>44987</v>
      </c>
      <c r="N918" s="19" t="n">
        <v>140838</v>
      </c>
    </row>
    <row r="919">
      <c r="A919" s="16" t="n">
        <v>44985</v>
      </c>
      <c r="B919" s="19" t="n">
        <v>1902.34</v>
      </c>
      <c r="D919" s="16" t="n">
        <v>44981</v>
      </c>
      <c r="E919" s="19" t="n">
        <v>19.5</v>
      </c>
      <c r="G919" s="16" t="n">
        <v>45286</v>
      </c>
      <c r="H919" s="19" t="n">
        <v>2.999</v>
      </c>
      <c r="J919" s="16" t="n">
        <v>45286</v>
      </c>
      <c r="K919" s="19" t="n">
        <v>2.536</v>
      </c>
      <c r="M919" s="16" t="n">
        <v>44985</v>
      </c>
      <c r="N919" s="19" t="n">
        <v>140780</v>
      </c>
    </row>
    <row r="920">
      <c r="A920" s="16" t="n">
        <v>44984</v>
      </c>
      <c r="B920" s="19" t="n">
        <v>1936.12</v>
      </c>
      <c r="D920" s="16" t="n">
        <v>44980</v>
      </c>
      <c r="E920" s="19" t="n">
        <v>18.3</v>
      </c>
      <c r="G920" s="16" t="n">
        <v>45287</v>
      </c>
      <c r="H920" s="19" t="n">
        <v>3.015</v>
      </c>
      <c r="J920" s="16" t="n">
        <v>45287</v>
      </c>
      <c r="K920" s="19" t="n">
        <v>2.561</v>
      </c>
      <c r="M920" s="16" t="n">
        <v>44984</v>
      </c>
      <c r="N920" s="19" t="n">
        <v>142354</v>
      </c>
    </row>
    <row r="921">
      <c r="A921" s="16" t="n">
        <v>44981</v>
      </c>
      <c r="B921" s="19" t="n">
        <v>1921.49</v>
      </c>
      <c r="D921" s="16" t="n">
        <v>44979</v>
      </c>
      <c r="E921" s="19" t="n">
        <v>18.42</v>
      </c>
      <c r="G921" s="16" t="n">
        <v>45288</v>
      </c>
      <c r="H921" s="19" t="n">
        <v>3.056</v>
      </c>
      <c r="J921" s="16" t="n">
        <v>45288</v>
      </c>
      <c r="K921" s="19" t="n">
        <v>2.517</v>
      </c>
      <c r="M921" s="16" t="n">
        <v>44981</v>
      </c>
      <c r="N921" s="19" t="n">
        <v>141280</v>
      </c>
    </row>
    <row r="922">
      <c r="A922" s="16" t="n">
        <v>44980</v>
      </c>
      <c r="B922" s="19" t="n">
        <v>1931.45</v>
      </c>
      <c r="D922" s="16" t="n">
        <v>44978</v>
      </c>
      <c r="E922" s="19" t="n">
        <v>17.7</v>
      </c>
      <c r="G922" s="16" t="n">
        <v>45289</v>
      </c>
      <c r="H922" s="19" t="n">
        <v>3.067</v>
      </c>
      <c r="J922" s="16" t="n">
        <v>45289</v>
      </c>
      <c r="K922" s="19" t="n">
        <v>2.551</v>
      </c>
      <c r="M922" s="16" t="n">
        <v>44980</v>
      </c>
      <c r="N922" s="19" t="n">
        <v>142100</v>
      </c>
    </row>
    <row r="923">
      <c r="A923" s="16" t="n">
        <v>44979</v>
      </c>
      <c r="B923" s="19" t="n">
        <v>1926.61</v>
      </c>
      <c r="D923" s="16" t="n">
        <v>44977</v>
      </c>
      <c r="E923" s="19" t="n">
        <v>19.42</v>
      </c>
      <c r="G923" s="16" t="n">
        <v>45293</v>
      </c>
      <c r="H923" s="19" t="n">
        <v>3.109</v>
      </c>
      <c r="J923" s="16" t="n">
        <v>45293</v>
      </c>
      <c r="K923" s="19" t="n">
        <v>2.55</v>
      </c>
      <c r="M923" s="16" t="n">
        <v>44979</v>
      </c>
      <c r="N923" s="19" t="n">
        <v>141481</v>
      </c>
    </row>
    <row r="924">
      <c r="A924" s="16" t="n">
        <v>44978</v>
      </c>
      <c r="B924" s="19" t="n">
        <v>1944.56</v>
      </c>
      <c r="D924" s="16" t="n">
        <v>44974</v>
      </c>
      <c r="E924" s="19" t="n">
        <v>20.47</v>
      </c>
      <c r="G924" s="16" t="n">
        <v>45294</v>
      </c>
      <c r="H924" s="19" t="n">
        <v>3.156</v>
      </c>
      <c r="J924" s="16" t="n">
        <v>45294</v>
      </c>
      <c r="K924" s="19" t="n">
        <v>2.563</v>
      </c>
      <c r="M924" s="16" t="n">
        <v>44978</v>
      </c>
      <c r="N924" s="19" t="n">
        <v>142348</v>
      </c>
    </row>
    <row r="925">
      <c r="A925" s="16" t="n">
        <v>44977</v>
      </c>
      <c r="B925" s="19" t="n">
        <v>1937.76</v>
      </c>
      <c r="D925" s="16" t="n">
        <v>44973</v>
      </c>
      <c r="E925" s="19" t="n">
        <v>19.58</v>
      </c>
      <c r="G925" s="16" t="n">
        <v>45295</v>
      </c>
      <c r="H925" s="19" t="n">
        <v>3.224</v>
      </c>
      <c r="J925" s="16" t="n">
        <v>45295</v>
      </c>
      <c r="K925" s="19" t="n">
        <v>2.584</v>
      </c>
      <c r="M925" s="16" t="n">
        <v>44977</v>
      </c>
      <c r="N925" s="19" t="n">
        <v>141955</v>
      </c>
    </row>
    <row r="926">
      <c r="A926" s="16" t="n">
        <v>44974</v>
      </c>
      <c r="B926" s="19" t="n">
        <v>1917.82</v>
      </c>
      <c r="D926" s="16" t="n">
        <v>44972</v>
      </c>
      <c r="E926" s="19" t="n">
        <v>20.21</v>
      </c>
      <c r="G926" s="16" t="n">
        <v>45296</v>
      </c>
      <c r="H926" s="19" t="n">
        <v>3.247</v>
      </c>
      <c r="J926" s="16" t="n">
        <v>45296</v>
      </c>
      <c r="K926" s="19" t="n">
        <v>2.591</v>
      </c>
      <c r="M926" s="16" t="n">
        <v>44974</v>
      </c>
      <c r="N926" s="19" t="n">
        <v>140951</v>
      </c>
    </row>
    <row r="927">
      <c r="A927" s="16" t="n">
        <v>44973</v>
      </c>
      <c r="B927" s="19" t="n">
        <v>1932.24</v>
      </c>
      <c r="D927" s="16" t="n">
        <v>44971</v>
      </c>
      <c r="E927" s="19" t="n">
        <v>21.32</v>
      </c>
      <c r="G927" s="16" t="n">
        <v>45299</v>
      </c>
      <c r="H927" s="19" t="n">
        <v>3.253</v>
      </c>
      <c r="J927" s="16" t="n">
        <v>45299</v>
      </c>
      <c r="K927" s="19" t="n">
        <v>2.585</v>
      </c>
      <c r="M927" s="16" t="n">
        <v>44973</v>
      </c>
      <c r="N927" s="19" t="n">
        <v>141950</v>
      </c>
    </row>
    <row r="928">
      <c r="A928" s="16" t="n">
        <v>44972</v>
      </c>
      <c r="B928" s="19" t="n">
        <v>1939.81</v>
      </c>
      <c r="D928" s="16" t="n">
        <v>44970</v>
      </c>
      <c r="E928" s="19" t="n">
        <v>20.86</v>
      </c>
      <c r="G928" s="16" t="n">
        <v>45300</v>
      </c>
      <c r="H928" s="19" t="n">
        <v>3.297</v>
      </c>
      <c r="J928" s="16" t="n">
        <v>45300</v>
      </c>
      <c r="K928" s="19" t="n">
        <v>2.599</v>
      </c>
      <c r="M928" s="16" t="n">
        <v>44972</v>
      </c>
      <c r="N928" s="19" t="n">
        <v>141769</v>
      </c>
    </row>
    <row r="929">
      <c r="A929" s="16" t="n">
        <v>44971</v>
      </c>
      <c r="B929" s="19" t="n">
        <v>1917.1</v>
      </c>
      <c r="D929" s="16" t="n">
        <v>44967</v>
      </c>
      <c r="E929" s="19" t="n">
        <v>19.71</v>
      </c>
      <c r="G929" s="16" t="n">
        <v>45301</v>
      </c>
      <c r="H929" s="19" t="n">
        <v>3.281</v>
      </c>
      <c r="J929" s="16" t="n">
        <v>45301</v>
      </c>
      <c r="K929" s="19" t="n">
        <v>2.62</v>
      </c>
      <c r="M929" s="16" t="n">
        <v>44971</v>
      </c>
      <c r="N929" s="19" t="n">
        <v>140555</v>
      </c>
    </row>
    <row r="930">
      <c r="A930" s="16" t="n">
        <v>44970</v>
      </c>
      <c r="B930" s="19" t="n">
        <v>1922.65</v>
      </c>
      <c r="D930" s="16" t="n">
        <v>44966</v>
      </c>
      <c r="E930" s="19" t="n">
        <v>18.25</v>
      </c>
      <c r="G930" s="16" t="n">
        <v>45302</v>
      </c>
      <c r="H930" s="19" t="n">
        <v>3.303</v>
      </c>
      <c r="J930" s="16" t="n">
        <v>45302</v>
      </c>
      <c r="K930" s="19" t="n">
        <v>2.596</v>
      </c>
      <c r="M930" s="16" t="n">
        <v>44970</v>
      </c>
      <c r="N930" s="19" t="n">
        <v>140315</v>
      </c>
    </row>
    <row r="931">
      <c r="A931" s="16" t="n">
        <v>44967</v>
      </c>
      <c r="B931" s="19" t="n">
        <v>1944.19</v>
      </c>
      <c r="D931" s="16" t="n">
        <v>44965</v>
      </c>
      <c r="E931" s="19" t="n">
        <v>18.37</v>
      </c>
      <c r="G931" s="16" t="n">
        <v>45303</v>
      </c>
      <c r="H931" s="19" t="n">
        <v>3.335</v>
      </c>
      <c r="J931" s="16" t="n">
        <v>45303</v>
      </c>
      <c r="K931" s="19" t="n">
        <v>2.612</v>
      </c>
      <c r="M931" s="16" t="n">
        <v>44967</v>
      </c>
      <c r="N931" s="19" t="n">
        <v>141926</v>
      </c>
    </row>
    <row r="932">
      <c r="A932" s="16" t="n">
        <v>44966</v>
      </c>
      <c r="B932" s="19" t="n">
        <v>1968.66</v>
      </c>
      <c r="D932" s="16" t="n">
        <v>44964</v>
      </c>
      <c r="E932" s="19" t="n">
        <v>19.14</v>
      </c>
      <c r="G932" s="16" t="n">
        <v>45306</v>
      </c>
      <c r="H932" s="19" t="n">
        <v>3.296</v>
      </c>
      <c r="J932" s="16" t="n">
        <v>45306</v>
      </c>
      <c r="K932" s="19" t="n">
        <v>2.599</v>
      </c>
      <c r="M932" s="16" t="n">
        <v>44966</v>
      </c>
      <c r="N932" s="19" t="n">
        <v>142835</v>
      </c>
    </row>
    <row r="933">
      <c r="A933" s="16" t="n">
        <v>44965</v>
      </c>
      <c r="B933" s="19" t="n">
        <v>1978.16</v>
      </c>
      <c r="D933" s="16" t="n">
        <v>44963</v>
      </c>
      <c r="E933" s="19" t="n">
        <v>18.09</v>
      </c>
      <c r="G933" s="16" t="n">
        <v>45307</v>
      </c>
      <c r="H933" s="19" t="n">
        <v>3.241</v>
      </c>
      <c r="J933" s="16" t="n">
        <v>45307</v>
      </c>
      <c r="K933" s="19" t="n">
        <v>2.575</v>
      </c>
      <c r="M933" s="16" t="n">
        <v>44965</v>
      </c>
      <c r="N933" s="19" t="n">
        <v>142962</v>
      </c>
    </row>
    <row r="934">
      <c r="A934" s="16" t="n">
        <v>44964</v>
      </c>
      <c r="B934" s="19" t="n">
        <v>1942.83</v>
      </c>
      <c r="D934" s="16" t="n">
        <v>44960</v>
      </c>
      <c r="E934" s="19" t="n">
        <v>19.24</v>
      </c>
      <c r="G934" s="16" t="n">
        <v>45308</v>
      </c>
      <c r="H934" s="19" t="n">
        <v>3.255</v>
      </c>
      <c r="J934" s="16" t="n">
        <v>45308</v>
      </c>
      <c r="K934" s="19" t="n">
        <v>2.602</v>
      </c>
      <c r="M934" s="16" t="n">
        <v>44964</v>
      </c>
      <c r="N934" s="19" t="n">
        <v>140742</v>
      </c>
    </row>
    <row r="935">
      <c r="A935" s="16" t="n">
        <v>44963</v>
      </c>
      <c r="B935" s="19" t="n">
        <v>1953.91</v>
      </c>
      <c r="D935" s="16" t="n">
        <v>44959</v>
      </c>
      <c r="E935" s="19" t="n">
        <v>18.58</v>
      </c>
      <c r="G935" s="16" t="n">
        <v>45309</v>
      </c>
      <c r="H935" s="19" t="n">
        <v>3.27</v>
      </c>
      <c r="J935" s="16" t="n">
        <v>45309</v>
      </c>
      <c r="K935" s="19" t="n">
        <v>2.626</v>
      </c>
      <c r="M935" s="16" t="n">
        <v>44963</v>
      </c>
      <c r="N935" s="19" t="n">
        <v>141140</v>
      </c>
    </row>
    <row r="936">
      <c r="A936" s="16" t="n">
        <v>44960</v>
      </c>
      <c r="B936" s="19" t="n">
        <v>1935</v>
      </c>
      <c r="D936" s="16" t="n">
        <v>44958</v>
      </c>
      <c r="E936" s="19" t="n">
        <v>16.79</v>
      </c>
      <c r="G936" s="16" t="n">
        <v>45310</v>
      </c>
      <c r="H936" s="19" t="n">
        <v>3.212</v>
      </c>
      <c r="J936" s="16" t="n">
        <v>45310</v>
      </c>
      <c r="K936" s="19" t="n">
        <v>2.608</v>
      </c>
      <c r="M936" s="16" t="n">
        <v>44960</v>
      </c>
      <c r="N936" s="19" t="n">
        <v>139756</v>
      </c>
    </row>
    <row r="937">
      <c r="A937" s="16" t="n">
        <v>44959</v>
      </c>
      <c r="B937" s="19" t="n">
        <v>1910.52</v>
      </c>
      <c r="D937" s="16" t="n">
        <v>44957</v>
      </c>
      <c r="E937" s="19" t="n">
        <v>18.46</v>
      </c>
      <c r="G937" s="16" t="n">
        <v>45313</v>
      </c>
      <c r="H937" s="19" t="n">
        <v>3.241</v>
      </c>
      <c r="J937" s="16" t="n">
        <v>45313</v>
      </c>
      <c r="K937" s="19" t="n">
        <v>2.59</v>
      </c>
      <c r="M937" s="16" t="n">
        <v>44959</v>
      </c>
      <c r="N937" s="19" t="n">
        <v>137617</v>
      </c>
    </row>
    <row r="938">
      <c r="A938" s="16" t="n">
        <v>44958</v>
      </c>
      <c r="B938" s="19" t="n">
        <v>1919.94</v>
      </c>
      <c r="D938" s="16" t="n">
        <v>44956</v>
      </c>
      <c r="E938" s="19" t="n">
        <v>17.39</v>
      </c>
      <c r="G938" s="16" t="n">
        <v>45314</v>
      </c>
      <c r="H938" s="19" t="n">
        <v>3.193</v>
      </c>
      <c r="J938" s="16" t="n">
        <v>45314</v>
      </c>
      <c r="K938" s="19" t="n">
        <v>2.554</v>
      </c>
      <c r="M938" s="16" t="n">
        <v>44958</v>
      </c>
      <c r="N938" s="19" t="n">
        <v>139125</v>
      </c>
    </row>
    <row r="939">
      <c r="A939" s="16" t="n">
        <v>44957</v>
      </c>
      <c r="B939" s="19" t="n">
        <v>1885.09</v>
      </c>
      <c r="D939" s="16" t="n">
        <v>44953</v>
      </c>
      <c r="E939" s="19" t="n">
        <v>16.09</v>
      </c>
      <c r="G939" s="16" t="n">
        <v>45315</v>
      </c>
      <c r="H939" s="19" t="n">
        <v>3.222</v>
      </c>
      <c r="J939" s="16" t="n">
        <v>45315</v>
      </c>
      <c r="K939" s="19" t="n">
        <v>2.525</v>
      </c>
      <c r="M939" s="16" t="n">
        <v>44957</v>
      </c>
      <c r="N939" s="19" t="n">
        <v>137824</v>
      </c>
    </row>
    <row r="940">
      <c r="A940" s="16" t="n">
        <v>44956</v>
      </c>
      <c r="B940" s="19" t="n">
        <v>1922.8</v>
      </c>
      <c r="D940" s="16" t="n">
        <v>44952</v>
      </c>
      <c r="E940" s="19" t="n">
        <v>17.74</v>
      </c>
      <c r="G940" s="16" t="n">
        <v>45316</v>
      </c>
      <c r="H940" s="19" t="n">
        <v>3.243</v>
      </c>
      <c r="J940" s="16" t="n">
        <v>45316</v>
      </c>
      <c r="K940" s="19" t="n">
        <v>2.547</v>
      </c>
      <c r="M940" s="16" t="n">
        <v>44956</v>
      </c>
      <c r="N940" s="19" t="n">
        <v>139586</v>
      </c>
    </row>
    <row r="941">
      <c r="A941" s="16" t="n">
        <v>44953</v>
      </c>
      <c r="B941" s="19" t="n">
        <v>1936.48</v>
      </c>
      <c r="D941" s="16" t="n">
        <v>44951</v>
      </c>
      <c r="E941" s="19" t="n">
        <v>18.46</v>
      </c>
      <c r="G941" s="16" t="n">
        <v>45317</v>
      </c>
      <c r="H941" s="19" t="n">
        <v>3.256</v>
      </c>
      <c r="J941" s="16" t="n">
        <v>45317</v>
      </c>
      <c r="K941" s="19" t="n">
        <v>2.537</v>
      </c>
      <c r="M941" s="16" t="n">
        <v>44953</v>
      </c>
      <c r="N941" s="19" t="n">
        <v>139832</v>
      </c>
    </row>
    <row r="942">
      <c r="A942" s="16" t="n">
        <v>44952</v>
      </c>
      <c r="B942" s="19" t="n">
        <v>1907.77</v>
      </c>
      <c r="D942" s="16" t="n">
        <v>44950</v>
      </c>
      <c r="E942" s="19" t="n">
        <v>19.11</v>
      </c>
      <c r="G942" s="16" t="n">
        <v>45320</v>
      </c>
      <c r="H942" s="19" t="n">
        <v>3.242</v>
      </c>
      <c r="J942" s="16" t="n">
        <v>45320</v>
      </c>
      <c r="K942" s="19" t="n">
        <v>2.546</v>
      </c>
      <c r="M942" s="16" t="n">
        <v>44952</v>
      </c>
      <c r="N942" s="19" t="n">
        <v>138471</v>
      </c>
    </row>
    <row r="943">
      <c r="A943" s="16" t="n">
        <v>44951</v>
      </c>
      <c r="B943" s="19" t="n">
        <v>1912.83</v>
      </c>
      <c r="D943" s="16" t="n">
        <v>44949</v>
      </c>
      <c r="E943" s="19" t="n">
        <v>19.76</v>
      </c>
      <c r="G943" s="16" t="n">
        <v>45321</v>
      </c>
      <c r="H943" s="19" t="n">
        <v>3.235</v>
      </c>
      <c r="J943" s="16" t="n">
        <v>45321</v>
      </c>
      <c r="K943" s="19" t="n">
        <v>2.534</v>
      </c>
      <c r="M943" s="16" t="n">
        <v>44951</v>
      </c>
      <c r="N943" s="19" t="n">
        <v>138944</v>
      </c>
    </row>
    <row r="944">
      <c r="A944" s="16" t="n">
        <v>44950</v>
      </c>
      <c r="B944" s="19" t="n">
        <v>1893.01</v>
      </c>
      <c r="D944" s="16" t="n">
        <v>44946</v>
      </c>
      <c r="E944" s="19" t="n">
        <v>19.7</v>
      </c>
      <c r="G944" s="16" t="n">
        <v>45322</v>
      </c>
      <c r="H944" s="19" t="n">
        <v>3.301</v>
      </c>
      <c r="J944" s="16" t="n">
        <v>45322</v>
      </c>
      <c r="K944" s="19" t="n">
        <v>2.532</v>
      </c>
      <c r="M944" s="16" t="n">
        <v>44950</v>
      </c>
      <c r="N944" s="19" t="n">
        <v>138403</v>
      </c>
    </row>
    <row r="945">
      <c r="A945" s="16" t="n">
        <v>44949</v>
      </c>
      <c r="B945" s="19" t="n">
        <v>1890.47</v>
      </c>
      <c r="D945" s="16" t="n">
        <v>44945</v>
      </c>
      <c r="E945" s="19" t="n">
        <v>19.77</v>
      </c>
      <c r="G945" s="16" t="n">
        <v>45323</v>
      </c>
      <c r="H945" s="19" t="n">
        <v>3.334</v>
      </c>
      <c r="J945" s="16" t="n">
        <v>45323</v>
      </c>
      <c r="K945" s="19" t="n">
        <v>2.566</v>
      </c>
      <c r="M945" s="16" t="n">
        <v>44949</v>
      </c>
      <c r="N945" s="19" t="n">
        <v>138619</v>
      </c>
    </row>
    <row r="946">
      <c r="A946" s="16" t="n">
        <v>44946</v>
      </c>
      <c r="B946" s="19" t="n">
        <v>1892.58</v>
      </c>
      <c r="D946" s="16" t="n">
        <v>44944</v>
      </c>
      <c r="E946" s="19" t="n">
        <v>21.94</v>
      </c>
      <c r="G946" s="16" t="n">
        <v>45324</v>
      </c>
      <c r="H946" s="19" t="n">
        <v>3.288</v>
      </c>
      <c r="J946" s="16" t="n">
        <v>45324</v>
      </c>
      <c r="K946" s="19" t="n">
        <v>2.526</v>
      </c>
      <c r="M946" s="16" t="n">
        <v>44946</v>
      </c>
      <c r="N946" s="19" t="n">
        <v>137327</v>
      </c>
    </row>
    <row r="947">
      <c r="A947" s="16" t="n">
        <v>44945</v>
      </c>
      <c r="B947" s="19" t="n">
        <v>1911.99</v>
      </c>
      <c r="D947" s="16" t="n">
        <v>44943</v>
      </c>
      <c r="E947" s="19" t="n">
        <v>22.84</v>
      </c>
      <c r="G947" s="16" t="n">
        <v>45327</v>
      </c>
      <c r="H947" s="19" t="n">
        <v>3.303</v>
      </c>
      <c r="J947" s="16" t="n">
        <v>45327</v>
      </c>
      <c r="K947" s="19" t="n">
        <v>2.568</v>
      </c>
      <c r="M947" s="16" t="n">
        <v>44945</v>
      </c>
      <c r="N947" s="19" t="n">
        <v>138032</v>
      </c>
    </row>
    <row r="948">
      <c r="A948" s="16" t="n">
        <v>44944</v>
      </c>
      <c r="B948" s="19" t="n">
        <v>1883.08</v>
      </c>
      <c r="D948" s="16" t="n">
        <v>44942</v>
      </c>
      <c r="E948" s="19" t="n">
        <v>23.4</v>
      </c>
      <c r="G948" s="16" t="n">
        <v>45328</v>
      </c>
      <c r="H948" s="19" t="n">
        <v>3.241</v>
      </c>
      <c r="J948" s="16" t="n">
        <v>45328</v>
      </c>
      <c r="K948" s="19" t="n">
        <v>2.539</v>
      </c>
      <c r="M948" s="16" t="n">
        <v>44944</v>
      </c>
      <c r="N948" s="19" t="n">
        <v>135755</v>
      </c>
    </row>
    <row r="949">
      <c r="A949" s="16" t="n">
        <v>44943</v>
      </c>
      <c r="B949" s="19" t="n">
        <v>1889.83</v>
      </c>
      <c r="D949" s="16" t="n">
        <v>44939</v>
      </c>
      <c r="E949" s="19" t="n">
        <v>23.16</v>
      </c>
      <c r="G949" s="16" t="n">
        <v>45329</v>
      </c>
      <c r="H949" s="19" t="n">
        <v>3.308</v>
      </c>
      <c r="J949" s="16" t="n">
        <v>45329</v>
      </c>
      <c r="K949" s="19" t="n">
        <v>2.548</v>
      </c>
      <c r="M949" s="16" t="n">
        <v>44943</v>
      </c>
      <c r="N949" s="19" t="n">
        <v>135824</v>
      </c>
    </row>
    <row r="950">
      <c r="A950" s="16" t="n">
        <v>44942</v>
      </c>
      <c r="B950" s="19" t="n">
        <v>1882.24</v>
      </c>
      <c r="D950" s="16" t="n">
        <v>44938</v>
      </c>
      <c r="E950" s="19" t="n">
        <v>23.75</v>
      </c>
      <c r="G950" s="16" t="n">
        <v>45330</v>
      </c>
      <c r="H950" s="19" t="n">
        <v>3.316</v>
      </c>
      <c r="J950" s="16" t="n">
        <v>45330</v>
      </c>
      <c r="K950" s="19" t="n">
        <v>2.544</v>
      </c>
      <c r="M950" s="16" t="n">
        <v>44942</v>
      </c>
      <c r="N950" s="19" t="n">
        <v>135234</v>
      </c>
    </row>
    <row r="951">
      <c r="A951" s="16" t="n">
        <v>44939</v>
      </c>
      <c r="B951" s="19" t="n">
        <v>1886.03</v>
      </c>
      <c r="D951" s="16" t="n">
        <v>44937</v>
      </c>
      <c r="E951" s="19" t="n">
        <v>25.15</v>
      </c>
      <c r="G951" s="16" t="n">
        <v>45331</v>
      </c>
      <c r="H951" s="19" t="n">
        <v>3.367</v>
      </c>
      <c r="J951" s="16" t="n">
        <v>45331</v>
      </c>
      <c r="K951" s="19" t="n">
        <v>2.565</v>
      </c>
      <c r="M951" s="16" t="n">
        <v>44939</v>
      </c>
      <c r="N951" s="19" t="n">
        <v>135666</v>
      </c>
    </row>
    <row r="952">
      <c r="A952" s="16" t="n">
        <v>44938</v>
      </c>
      <c r="B952" s="19" t="n">
        <v>1876.07</v>
      </c>
      <c r="D952" s="16" t="n">
        <v>44936</v>
      </c>
      <c r="E952" s="19" t="n">
        <v>26.72</v>
      </c>
      <c r="G952" s="16" t="n">
        <v>45334</v>
      </c>
      <c r="H952" s="19" t="n">
        <v>3.31</v>
      </c>
      <c r="J952" s="16" t="n">
        <v>45334</v>
      </c>
      <c r="K952" s="19" t="n">
        <v>2.612</v>
      </c>
      <c r="M952" s="16" t="n">
        <v>44938</v>
      </c>
      <c r="N952" s="19" t="n">
        <v>134666</v>
      </c>
    </row>
    <row r="953">
      <c r="A953" s="16" t="n">
        <v>44937</v>
      </c>
      <c r="B953" s="19" t="n">
        <v>1868.81</v>
      </c>
      <c r="D953" s="16" t="n">
        <v>44935</v>
      </c>
      <c r="E953" s="19" t="n">
        <v>26.11</v>
      </c>
      <c r="G953" s="16" t="n">
        <v>45335</v>
      </c>
      <c r="H953" s="19" t="n">
        <v>3.363</v>
      </c>
      <c r="J953" s="16" t="n">
        <v>45335</v>
      </c>
      <c r="K953" s="19" t="n">
        <v>2.599</v>
      </c>
      <c r="M953" s="16" t="n">
        <v>44937</v>
      </c>
      <c r="N953" s="19" t="n">
        <v>135209</v>
      </c>
    </row>
    <row r="954">
      <c r="A954" s="16" t="n">
        <v>44936</v>
      </c>
      <c r="B954" s="19" t="n">
        <v>1840.01</v>
      </c>
      <c r="D954" s="16" t="n">
        <v>44932</v>
      </c>
      <c r="E954" s="19" t="n">
        <v>27.68</v>
      </c>
      <c r="G954" s="16" t="n">
        <v>45336</v>
      </c>
      <c r="H954" s="19" t="n">
        <v>3.383</v>
      </c>
      <c r="J954" s="16" t="n">
        <v>45336</v>
      </c>
      <c r="K954" s="19" t="n">
        <v>2.605</v>
      </c>
      <c r="M954" s="16" t="n">
        <v>44936</v>
      </c>
      <c r="N954" s="19" t="n">
        <v>133365</v>
      </c>
    </row>
    <row r="955">
      <c r="A955" s="16" t="n">
        <v>44935</v>
      </c>
      <c r="B955" s="19" t="n">
        <v>1850.39</v>
      </c>
      <c r="D955" s="16" t="n">
        <v>44931</v>
      </c>
      <c r="E955" s="19" t="n">
        <v>30.15</v>
      </c>
      <c r="G955" s="16" t="n">
        <v>45337</v>
      </c>
      <c r="H955" s="19" t="n">
        <v>3.328</v>
      </c>
      <c r="J955" s="16" t="n">
        <v>45337</v>
      </c>
      <c r="K955" s="19" t="n">
        <v>2.584</v>
      </c>
      <c r="M955" s="16" t="n">
        <v>44935</v>
      </c>
      <c r="N955" s="19" t="n">
        <v>134444</v>
      </c>
    </row>
    <row r="956">
      <c r="A956" s="16" t="n">
        <v>44932</v>
      </c>
      <c r="B956" s="19" t="n">
        <v>1843.62</v>
      </c>
      <c r="D956" s="16" t="n">
        <v>44930</v>
      </c>
      <c r="E956" s="19" t="n">
        <v>30.19</v>
      </c>
      <c r="G956" s="16" t="n">
        <v>45338</v>
      </c>
      <c r="H956" s="19" t="n">
        <v>3.349</v>
      </c>
      <c r="J956" s="16" t="n">
        <v>45338</v>
      </c>
      <c r="K956" s="19" t="n">
        <v>2.604</v>
      </c>
      <c r="M956" s="16" t="n">
        <v>44932</v>
      </c>
      <c r="N956" s="19" t="n">
        <v>134383</v>
      </c>
    </row>
    <row r="957">
      <c r="A957" s="16" t="n">
        <v>44931</v>
      </c>
      <c r="B957" s="19" t="n">
        <v>1809.77</v>
      </c>
      <c r="D957" s="16" t="n">
        <v>44929</v>
      </c>
      <c r="E957" s="19" t="n">
        <v>31.96</v>
      </c>
      <c r="G957" s="16" t="n">
        <v>45341</v>
      </c>
      <c r="H957" s="19" t="n">
        <v>3.351</v>
      </c>
      <c r="J957" s="16" t="n">
        <v>45341</v>
      </c>
      <c r="K957" s="19" t="n">
        <v>2.588</v>
      </c>
      <c r="M957" s="16" t="n">
        <v>44931</v>
      </c>
      <c r="N957" s="19" t="n">
        <v>133348</v>
      </c>
    </row>
    <row r="958">
      <c r="A958" s="16" t="n">
        <v>44930</v>
      </c>
      <c r="B958" s="19" t="n">
        <v>1800.98</v>
      </c>
      <c r="D958" s="16" t="n">
        <v>44928</v>
      </c>
      <c r="E958" s="19" t="n">
        <v>31.98</v>
      </c>
      <c r="G958" s="16" t="n">
        <v>45342</v>
      </c>
      <c r="H958" s="19" t="n">
        <v>3.339</v>
      </c>
      <c r="J958" s="16" t="n">
        <v>45342</v>
      </c>
      <c r="K958" s="19" t="n">
        <v>2.614</v>
      </c>
      <c r="M958" s="16" t="n">
        <v>44930</v>
      </c>
      <c r="N958" s="19" t="n">
        <v>133497</v>
      </c>
    </row>
    <row r="959">
      <c r="A959" s="16" t="n">
        <v>44929</v>
      </c>
      <c r="B959" s="19" t="n">
        <v>1788.87</v>
      </c>
      <c r="D959" s="16" t="n">
        <v>44925</v>
      </c>
      <c r="E959" s="19" t="n">
        <v>31.97</v>
      </c>
      <c r="G959" s="16" t="n">
        <v>45343</v>
      </c>
      <c r="H959" s="19" t="n">
        <v>3.33</v>
      </c>
      <c r="J959" s="16" t="n">
        <v>45343</v>
      </c>
      <c r="K959" s="19" t="n">
        <v>2.597</v>
      </c>
      <c r="M959" s="16" t="n">
        <v>44929</v>
      </c>
      <c r="N959" s="19" t="n">
        <v>133634</v>
      </c>
    </row>
    <row r="960">
      <c r="A960" s="16" t="n">
        <v>44928</v>
      </c>
      <c r="B960" s="19" t="n">
        <v>1780.8</v>
      </c>
      <c r="D960" s="16" t="n">
        <v>44924</v>
      </c>
      <c r="E960" s="19" t="n">
        <v>33.49</v>
      </c>
      <c r="G960" s="16" t="n">
        <v>45344</v>
      </c>
      <c r="H960" s="19" t="n">
        <v>3.312</v>
      </c>
      <c r="J960" s="16" t="n">
        <v>45344</v>
      </c>
      <c r="K960" s="19" t="n">
        <v>2.576</v>
      </c>
      <c r="M960" s="16" t="n">
        <v>44928</v>
      </c>
      <c r="N960" s="19" t="n">
        <v>133939</v>
      </c>
    </row>
    <row r="961">
      <c r="A961" s="16" t="n">
        <v>44925</v>
      </c>
      <c r="B961" s="19" t="n">
        <v>1783.46</v>
      </c>
      <c r="D961" s="16" t="n">
        <v>44923</v>
      </c>
      <c r="E961" s="19" t="n">
        <v>33.27</v>
      </c>
      <c r="G961" s="16" t="n">
        <v>45345</v>
      </c>
      <c r="H961" s="19" t="n">
        <v>3.269</v>
      </c>
      <c r="J961" s="16" t="n">
        <v>45345</v>
      </c>
      <c r="K961" s="19" t="n">
        <v>2.494</v>
      </c>
      <c r="M961" s="16" t="n">
        <v>44925</v>
      </c>
      <c r="N961" s="19" t="n">
        <v>134063</v>
      </c>
    </row>
    <row r="962">
      <c r="A962" s="16" t="n">
        <v>44924</v>
      </c>
      <c r="B962" s="19" t="n">
        <v>1775.43</v>
      </c>
      <c r="D962" s="16" t="n">
        <v>44922</v>
      </c>
      <c r="E962" s="19" t="n">
        <v>32.84</v>
      </c>
      <c r="G962" s="16" t="n">
        <v>45348</v>
      </c>
      <c r="H962" s="19" t="n">
        <v>3.215</v>
      </c>
      <c r="J962" s="16" t="n">
        <v>45348</v>
      </c>
      <c r="K962" s="19" t="n">
        <v>2.474</v>
      </c>
      <c r="M962" s="16" t="n">
        <v>44924</v>
      </c>
      <c r="N962" s="19" t="n">
        <v>133896</v>
      </c>
    </row>
    <row r="963">
      <c r="A963" s="16" t="n">
        <v>44923</v>
      </c>
      <c r="B963" s="19" t="n">
        <v>1772.62</v>
      </c>
      <c r="D963" s="16" t="n">
        <v>44921</v>
      </c>
      <c r="E963" s="19" t="n">
        <v>31.86</v>
      </c>
      <c r="G963" s="16" t="n">
        <v>45349</v>
      </c>
      <c r="H963" s="19" t="n">
        <v>3.249</v>
      </c>
      <c r="J963" s="16" t="n">
        <v>45349</v>
      </c>
      <c r="K963" s="19" t="n">
        <v>2.482</v>
      </c>
      <c r="M963" s="16" t="n">
        <v>44923</v>
      </c>
      <c r="N963" s="19" t="n">
        <v>132909</v>
      </c>
    </row>
    <row r="964">
      <c r="A964" s="16" t="n">
        <v>44922</v>
      </c>
      <c r="B964" s="19" t="n">
        <v>1776.98</v>
      </c>
      <c r="D964" s="16" t="n">
        <v>44918</v>
      </c>
      <c r="E964" s="19" t="n">
        <v>32.62</v>
      </c>
      <c r="G964" s="16" t="n">
        <v>45350</v>
      </c>
      <c r="H964" s="19" t="n">
        <v>3.214</v>
      </c>
      <c r="J964" s="16" t="n">
        <v>45350</v>
      </c>
      <c r="K964" s="19" t="n">
        <v>2.483</v>
      </c>
      <c r="M964" s="16" t="n">
        <v>44922</v>
      </c>
      <c r="N964" s="19" t="n">
        <v>132577</v>
      </c>
    </row>
    <row r="965">
      <c r="A965" s="16" t="n">
        <v>44921</v>
      </c>
      <c r="B965" s="19" t="n">
        <v>1799.9</v>
      </c>
      <c r="D965" s="16" t="n">
        <v>44917</v>
      </c>
      <c r="E965" s="19" t="n">
        <v>31.97</v>
      </c>
      <c r="G965" s="16" t="n">
        <v>45351</v>
      </c>
      <c r="H965" s="19" t="n">
        <v>3.301</v>
      </c>
      <c r="J965" s="16" t="n">
        <v>45351</v>
      </c>
      <c r="K965" s="19" t="n">
        <v>2.496</v>
      </c>
      <c r="M965" s="16" t="n">
        <v>44921</v>
      </c>
      <c r="N965" s="19" t="n">
        <v>134059</v>
      </c>
    </row>
    <row r="966">
      <c r="A966" s="16" t="n">
        <v>44918</v>
      </c>
      <c r="B966" s="19" t="n">
        <v>1790.41</v>
      </c>
      <c r="D966" s="16" t="n">
        <v>44916</v>
      </c>
      <c r="E966" s="19" t="n">
        <v>30.23</v>
      </c>
      <c r="G966" s="16" t="n">
        <v>45355</v>
      </c>
      <c r="H966" s="19" t="n">
        <v>3.288</v>
      </c>
      <c r="J966" s="16" t="n">
        <v>45355</v>
      </c>
      <c r="K966" s="19" t="n">
        <v>2.498</v>
      </c>
      <c r="M966" s="16" t="n">
        <v>44918</v>
      </c>
      <c r="N966" s="19" t="n">
        <v>133372</v>
      </c>
    </row>
    <row r="967">
      <c r="A967" s="16" t="n">
        <v>44917</v>
      </c>
      <c r="B967" s="19" t="n">
        <v>1799.46</v>
      </c>
      <c r="D967" s="16" t="n">
        <v>44915</v>
      </c>
      <c r="E967" s="19" t="n">
        <v>31.88</v>
      </c>
      <c r="G967" s="16" t="n">
        <v>45356</v>
      </c>
      <c r="H967" s="19" t="n">
        <v>3.384</v>
      </c>
      <c r="J967" s="16" t="n">
        <v>45356</v>
      </c>
      <c r="K967" s="19" t="n">
        <v>2.529</v>
      </c>
      <c r="M967" s="16" t="n">
        <v>44917</v>
      </c>
      <c r="N967" s="19" t="n">
        <v>134136</v>
      </c>
    </row>
    <row r="968">
      <c r="A968" s="16" t="n">
        <v>44916</v>
      </c>
      <c r="B968" s="19" t="n">
        <v>1834.13</v>
      </c>
      <c r="D968" s="16" t="n">
        <v>44914</v>
      </c>
      <c r="E968" s="19" t="n">
        <v>32.29</v>
      </c>
      <c r="G968" s="16" t="n">
        <v>45357</v>
      </c>
      <c r="H968" s="19" t="n">
        <v>3.347</v>
      </c>
      <c r="J968" s="16" t="n">
        <v>45357</v>
      </c>
      <c r="K968" s="19" t="n">
        <v>2.534</v>
      </c>
      <c r="M968" s="16" t="n">
        <v>44916</v>
      </c>
      <c r="N968" s="19" t="n">
        <v>135773</v>
      </c>
    </row>
    <row r="969">
      <c r="A969" s="16" t="n">
        <v>44915</v>
      </c>
      <c r="B969" s="19" t="n">
        <v>1822.22</v>
      </c>
      <c r="D969" s="16" t="n">
        <v>44911</v>
      </c>
      <c r="E969" s="19" t="n">
        <v>31.29</v>
      </c>
      <c r="G969" s="16" t="n">
        <v>45358</v>
      </c>
      <c r="H969" s="19" t="n">
        <v>3.327</v>
      </c>
      <c r="J969" s="16" t="n">
        <v>45358</v>
      </c>
      <c r="K969" s="19" t="n">
        <v>2.572</v>
      </c>
      <c r="M969" s="16" t="n">
        <v>44915</v>
      </c>
      <c r="N969" s="19" t="n">
        <v>135873</v>
      </c>
    </row>
    <row r="970">
      <c r="A970" s="16" t="n">
        <v>44914</v>
      </c>
      <c r="B970" s="19" t="n">
        <v>1823.49</v>
      </c>
      <c r="D970" s="16" t="n">
        <v>44910</v>
      </c>
      <c r="E970" s="19" t="n">
        <v>30.2</v>
      </c>
      <c r="G970" s="16" t="n">
        <v>45359</v>
      </c>
      <c r="H970" s="19" t="n">
        <v>3.3</v>
      </c>
      <c r="J970" s="16" t="n">
        <v>45359</v>
      </c>
      <c r="K970" s="19" t="n">
        <v>2.527</v>
      </c>
      <c r="M970" s="16" t="n">
        <v>44914</v>
      </c>
      <c r="N970" s="19" t="n">
        <v>135192</v>
      </c>
    </row>
    <row r="971">
      <c r="A971" s="16" t="n">
        <v>44911</v>
      </c>
      <c r="B971" s="19" t="n">
        <v>1852.34</v>
      </c>
      <c r="D971" s="16" t="n">
        <v>44909</v>
      </c>
      <c r="E971" s="19" t="n">
        <v>31.17</v>
      </c>
      <c r="G971" s="16" t="n">
        <v>45362</v>
      </c>
      <c r="H971" s="19" t="n">
        <v>3.282</v>
      </c>
      <c r="J971" s="16" t="n">
        <v>45362</v>
      </c>
      <c r="K971" s="19" t="n">
        <v>2.535</v>
      </c>
      <c r="M971" s="16" t="n">
        <v>44911</v>
      </c>
      <c r="N971" s="19" t="n">
        <v>136316</v>
      </c>
    </row>
    <row r="972">
      <c r="A972" s="16" t="n">
        <v>44910</v>
      </c>
      <c r="B972" s="19" t="n">
        <v>1883.37</v>
      </c>
      <c r="D972" s="16" t="n">
        <v>44908</v>
      </c>
      <c r="E972" s="19" t="n">
        <v>32.67</v>
      </c>
      <c r="G972" s="16" t="n">
        <v>45363</v>
      </c>
      <c r="H972" s="19" t="n">
        <v>3.294</v>
      </c>
      <c r="J972" s="16" t="n">
        <v>45363</v>
      </c>
      <c r="K972" s="19" t="n">
        <v>2.542</v>
      </c>
      <c r="M972" s="16" t="n">
        <v>44910</v>
      </c>
      <c r="N972" s="19" t="n">
        <v>138678</v>
      </c>
    </row>
    <row r="973">
      <c r="A973" s="16" t="n">
        <v>44909</v>
      </c>
      <c r="B973" s="19" t="n">
        <v>1893.33</v>
      </c>
      <c r="D973" s="16" t="n">
        <v>44907</v>
      </c>
      <c r="E973" s="19" t="n">
        <v>32.54</v>
      </c>
      <c r="G973" s="16" t="n">
        <v>45364</v>
      </c>
      <c r="H973" s="19" t="n">
        <v>3.35</v>
      </c>
      <c r="J973" s="16" t="n">
        <v>45364</v>
      </c>
      <c r="K973" s="19" t="n">
        <v>2.528</v>
      </c>
      <c r="M973" s="16" t="n">
        <v>44909</v>
      </c>
      <c r="N973" s="19" t="n">
        <v>138945</v>
      </c>
    </row>
    <row r="974">
      <c r="A974" s="16" t="n">
        <v>44908</v>
      </c>
      <c r="B974" s="19" t="n">
        <v>1874.68</v>
      </c>
      <c r="D974" s="16" t="n">
        <v>44904</v>
      </c>
      <c r="E974" s="19" t="n">
        <v>32.63</v>
      </c>
      <c r="G974" s="16" t="n">
        <v>45365</v>
      </c>
      <c r="H974" s="19" t="n">
        <v>3.368</v>
      </c>
      <c r="J974" s="16" t="n">
        <v>45365</v>
      </c>
      <c r="K974" s="19" t="n">
        <v>2.486</v>
      </c>
      <c r="M974" s="16" t="n">
        <v>44908</v>
      </c>
      <c r="N974" s="19" t="n">
        <v>137791</v>
      </c>
    </row>
    <row r="975">
      <c r="A975" s="16" t="n">
        <v>44907</v>
      </c>
      <c r="B975" s="19" t="n">
        <v>1907.96</v>
      </c>
      <c r="D975" s="16" t="n">
        <v>44903</v>
      </c>
      <c r="E975" s="19" t="n">
        <v>33.93</v>
      </c>
      <c r="G975" s="16" t="n">
        <v>45366</v>
      </c>
      <c r="H975" s="19" t="n">
        <v>3.367</v>
      </c>
      <c r="J975" s="16" t="n">
        <v>45366</v>
      </c>
      <c r="K975" s="19" t="n">
        <v>2.515</v>
      </c>
      <c r="M975" s="16" t="n">
        <v>44907</v>
      </c>
      <c r="N975" s="19" t="n">
        <v>138553</v>
      </c>
    </row>
    <row r="976">
      <c r="A976" s="16" t="n">
        <v>44904</v>
      </c>
      <c r="B976" s="19" t="n">
        <v>1921.43</v>
      </c>
      <c r="D976" s="16" t="n">
        <v>44902</v>
      </c>
      <c r="E976" s="19" t="n">
        <v>33.72</v>
      </c>
      <c r="G976" s="16" t="n">
        <v>45369</v>
      </c>
      <c r="H976" s="19" t="n">
        <v>3.341</v>
      </c>
      <c r="J976" s="16" t="n">
        <v>45369</v>
      </c>
      <c r="K976" s="19" t="n">
        <v>2.519</v>
      </c>
      <c r="M976" s="16" t="n">
        <v>44904</v>
      </c>
      <c r="N976" s="19" t="n">
        <v>138366</v>
      </c>
    </row>
    <row r="977">
      <c r="A977" s="16" t="n">
        <v>44903</v>
      </c>
      <c r="B977" s="19" t="n">
        <v>1898.69</v>
      </c>
      <c r="D977" s="16" t="n">
        <v>44901</v>
      </c>
      <c r="E977" s="19" t="n">
        <v>33.2</v>
      </c>
      <c r="G977" s="16" t="n">
        <v>45370</v>
      </c>
      <c r="H977" s="19" t="n">
        <v>3.321</v>
      </c>
      <c r="J977" s="16" t="n">
        <v>45370</v>
      </c>
      <c r="K977" s="19" t="n">
        <v>2.479</v>
      </c>
      <c r="M977" s="16" t="n">
        <v>44903</v>
      </c>
      <c r="N977" s="19" t="n">
        <v>137796</v>
      </c>
    </row>
    <row r="978">
      <c r="A978" s="16" t="n">
        <v>44902</v>
      </c>
      <c r="B978" s="19" t="n">
        <v>1904.45</v>
      </c>
      <c r="D978" s="16" t="n">
        <v>44900</v>
      </c>
      <c r="E978" s="19" t="n">
        <v>33.09</v>
      </c>
      <c r="G978" s="16" t="n">
        <v>45371</v>
      </c>
      <c r="H978" s="19" t="n">
        <v>3.317</v>
      </c>
      <c r="J978" s="16" t="n">
        <v>45371</v>
      </c>
      <c r="K978" s="19" t="n">
        <v>2.505</v>
      </c>
      <c r="M978" s="16" t="n">
        <v>44902</v>
      </c>
      <c r="N978" s="19" t="n">
        <v>137977</v>
      </c>
    </row>
    <row r="979">
      <c r="A979" s="16" t="n">
        <v>44901</v>
      </c>
      <c r="B979" s="19" t="n">
        <v>1924.05</v>
      </c>
      <c r="D979" s="16" t="n">
        <v>44897</v>
      </c>
      <c r="E979" s="19" t="n">
        <v>31.25</v>
      </c>
      <c r="G979" s="16" t="n">
        <v>45372</v>
      </c>
      <c r="H979" s="19" t="n">
        <v>3.286</v>
      </c>
      <c r="J979" s="16" t="n">
        <v>45372</v>
      </c>
      <c r="K979" s="19" t="n">
        <v>2.479</v>
      </c>
      <c r="M979" s="16" t="n">
        <v>44901</v>
      </c>
      <c r="N979" s="19" t="n">
        <v>139632</v>
      </c>
    </row>
    <row r="980">
      <c r="A980" s="16" t="n">
        <v>44900</v>
      </c>
      <c r="B980" s="19" t="n">
        <v>1933.57</v>
      </c>
      <c r="D980" s="16" t="n">
        <v>44896</v>
      </c>
      <c r="E980" s="19" t="n">
        <v>30.09</v>
      </c>
      <c r="G980" s="16" t="n">
        <v>45373</v>
      </c>
      <c r="H980" s="19" t="n">
        <v>3.246</v>
      </c>
      <c r="J980" s="16" t="n">
        <v>45373</v>
      </c>
      <c r="K980" s="19" t="n">
        <v>2.493</v>
      </c>
      <c r="M980" s="16" t="n">
        <v>44900</v>
      </c>
      <c r="N980" s="19" t="n">
        <v>140234</v>
      </c>
    </row>
    <row r="981">
      <c r="A981" s="16" t="n">
        <v>44897</v>
      </c>
      <c r="B981" s="19" t="n">
        <v>1949.19</v>
      </c>
      <c r="D981" s="16" t="n">
        <v>44895</v>
      </c>
      <c r="E981" s="19" t="n">
        <v>30.57</v>
      </c>
      <c r="G981" s="16" t="n">
        <v>45376</v>
      </c>
      <c r="H981" s="19" t="n">
        <v>3.245</v>
      </c>
      <c r="J981" s="16" t="n">
        <v>45376</v>
      </c>
      <c r="K981" s="19" t="n">
        <v>2.47</v>
      </c>
      <c r="M981" s="16" t="n">
        <v>44897</v>
      </c>
      <c r="N981" s="19" t="n">
        <v>139868</v>
      </c>
    </row>
    <row r="982">
      <c r="A982" s="16" t="n">
        <v>44896</v>
      </c>
      <c r="B982" s="19" t="n">
        <v>1962.66</v>
      </c>
      <c r="D982" s="16" t="n">
        <v>44894</v>
      </c>
      <c r="E982" s="19" t="n">
        <v>30.54</v>
      </c>
      <c r="G982" s="16" t="n">
        <v>45377</v>
      </c>
      <c r="H982" s="19" t="n">
        <v>3.352</v>
      </c>
      <c r="J982" s="16" t="n">
        <v>45377</v>
      </c>
      <c r="K982" s="19" t="n">
        <v>2.473</v>
      </c>
      <c r="M982" s="16" t="n">
        <v>44896</v>
      </c>
      <c r="N982" s="19" t="n">
        <v>141220</v>
      </c>
    </row>
    <row r="983">
      <c r="A983" s="16" t="n">
        <v>44895</v>
      </c>
      <c r="B983" s="19" t="n">
        <v>1947.64</v>
      </c>
      <c r="D983" s="16" t="n">
        <v>44893</v>
      </c>
      <c r="E983" s="19" t="n">
        <v>28.09</v>
      </c>
      <c r="G983" s="16" t="n">
        <v>45378</v>
      </c>
      <c r="H983" s="19" t="n">
        <v>3.319</v>
      </c>
      <c r="J983" s="16" t="n">
        <v>45378</v>
      </c>
      <c r="K983" s="19" t="n">
        <v>2.447</v>
      </c>
      <c r="M983" s="16" t="n">
        <v>44895</v>
      </c>
      <c r="N983" s="19" t="n">
        <v>140770</v>
      </c>
    </row>
    <row r="984">
      <c r="A984" s="16" t="n">
        <v>44894</v>
      </c>
      <c r="B984" s="19" t="n">
        <v>1964.74</v>
      </c>
      <c r="D984" s="16" t="n">
        <v>44890</v>
      </c>
      <c r="E984" s="19" t="n">
        <v>29.09</v>
      </c>
      <c r="G984" s="16" t="n">
        <v>45379</v>
      </c>
      <c r="H984" s="19" t="n">
        <v>3.385</v>
      </c>
      <c r="J984" s="16" t="n">
        <v>45379</v>
      </c>
      <c r="K984" s="19" t="n">
        <v>2.458</v>
      </c>
      <c r="M984" s="16" t="n">
        <v>44894</v>
      </c>
      <c r="N984" s="19" t="n">
        <v>142792</v>
      </c>
    </row>
    <row r="985">
      <c r="A985" s="16" t="n">
        <v>44893</v>
      </c>
      <c r="B985" s="19" t="n">
        <v>2001.25</v>
      </c>
      <c r="D985" s="16" t="n">
        <v>44889</v>
      </c>
      <c r="E985" s="19" t="n">
        <v>31.4</v>
      </c>
      <c r="G985" s="16" t="n">
        <v>45380</v>
      </c>
      <c r="H985" s="19" t="n">
        <v>3.409</v>
      </c>
      <c r="J985" s="16" t="n">
        <v>45380</v>
      </c>
      <c r="K985" s="19" t="n">
        <v>2.474</v>
      </c>
      <c r="M985" s="16" t="n">
        <v>44893</v>
      </c>
      <c r="N985" s="19" t="n">
        <v>144784</v>
      </c>
    </row>
    <row r="986">
      <c r="A986" s="16" t="n">
        <v>44890</v>
      </c>
      <c r="B986" s="19" t="n">
        <v>2005.29</v>
      </c>
      <c r="D986" s="16" t="n">
        <v>44888</v>
      </c>
      <c r="E986" s="19" t="n">
        <v>33.22</v>
      </c>
      <c r="G986" s="16" t="n">
        <v>45383</v>
      </c>
      <c r="H986" s="19" t="n">
        <v>3.406</v>
      </c>
      <c r="J986" s="16" t="n">
        <v>45383</v>
      </c>
      <c r="K986" s="19" t="n">
        <v>2.477</v>
      </c>
      <c r="M986" s="16" t="n">
        <v>44890</v>
      </c>
      <c r="N986" s="19" t="n">
        <v>145010</v>
      </c>
    </row>
    <row r="987">
      <c r="A987" s="16" t="n">
        <v>44889</v>
      </c>
      <c r="B987" s="19" t="n">
        <v>1974.42</v>
      </c>
      <c r="D987" s="16" t="n">
        <v>44887</v>
      </c>
      <c r="E987" s="19" t="n">
        <v>31.15</v>
      </c>
      <c r="G987" s="16" t="n">
        <v>45384</v>
      </c>
      <c r="H987" s="19" t="n">
        <v>3.312</v>
      </c>
      <c r="J987" s="16" t="n">
        <v>45384</v>
      </c>
      <c r="K987" s="19" t="n">
        <v>2.414</v>
      </c>
      <c r="M987" s="16" t="n">
        <v>44889</v>
      </c>
      <c r="N987" s="19" t="n">
        <v>143197</v>
      </c>
    </row>
    <row r="988">
      <c r="A988" s="16" t="n">
        <v>44888</v>
      </c>
      <c r="B988" s="19" t="n">
        <v>1961.35</v>
      </c>
      <c r="D988" s="16" t="n">
        <v>44886</v>
      </c>
      <c r="E988" s="19" t="n">
        <v>30.38</v>
      </c>
      <c r="G988" s="16" t="n">
        <v>45385</v>
      </c>
      <c r="H988" s="19" t="n">
        <v>3.27</v>
      </c>
      <c r="J988" s="16" t="n">
        <v>45385</v>
      </c>
      <c r="K988" s="19" t="n">
        <v>2.381</v>
      </c>
      <c r="M988" s="16" t="n">
        <v>44888</v>
      </c>
      <c r="N988" s="19" t="n">
        <v>142240</v>
      </c>
    </row>
    <row r="989">
      <c r="A989" s="16" t="n">
        <v>44887</v>
      </c>
      <c r="B989" s="19" t="n">
        <v>1998.69</v>
      </c>
      <c r="D989" s="16" t="n">
        <v>44883</v>
      </c>
      <c r="E989" s="19" t="n">
        <v>29.37</v>
      </c>
      <c r="G989" s="16" t="n">
        <v>45386</v>
      </c>
      <c r="H989" s="19" t="n">
        <v>3.351</v>
      </c>
      <c r="J989" s="16" t="n">
        <v>45386</v>
      </c>
      <c r="K989" s="19" t="n">
        <v>2.429</v>
      </c>
      <c r="M989" s="16" t="n">
        <v>44887</v>
      </c>
      <c r="N989" s="19" t="n">
        <v>143107</v>
      </c>
    </row>
    <row r="990">
      <c r="A990" s="16" t="n">
        <v>44886</v>
      </c>
      <c r="B990" s="19" t="n">
        <v>2016.71</v>
      </c>
      <c r="D990" s="16" t="n">
        <v>44882</v>
      </c>
      <c r="E990" s="19" t="n">
        <v>29.87</v>
      </c>
      <c r="G990" s="16" t="n">
        <v>45387</v>
      </c>
      <c r="H990" s="19" t="n">
        <v>3.383</v>
      </c>
      <c r="J990" s="16" t="n">
        <v>45387</v>
      </c>
      <c r="K990" s="19" t="n">
        <v>2.461</v>
      </c>
      <c r="M990" s="16" t="n">
        <v>44886</v>
      </c>
      <c r="N990" s="19" t="n">
        <v>144189</v>
      </c>
    </row>
    <row r="991">
      <c r="A991" s="16" t="n">
        <v>44883</v>
      </c>
      <c r="B991" s="19" t="n">
        <v>2034.56</v>
      </c>
      <c r="D991" s="16" t="n">
        <v>44881</v>
      </c>
      <c r="E991" s="19" t="n">
        <v>30.34</v>
      </c>
      <c r="G991" s="16" t="n">
        <v>45390</v>
      </c>
      <c r="H991" s="19" t="n">
        <v>3.436</v>
      </c>
      <c r="J991" s="16" t="n">
        <v>45390</v>
      </c>
      <c r="K991" s="19" t="n">
        <v>2.502</v>
      </c>
      <c r="M991" s="16" t="n">
        <v>44883</v>
      </c>
      <c r="N991" s="19" t="n">
        <v>144876</v>
      </c>
    </row>
    <row r="992">
      <c r="A992" s="16" t="n">
        <v>44882</v>
      </c>
      <c r="B992" s="19" t="n">
        <v>2040.85</v>
      </c>
      <c r="D992" s="16" t="n">
        <v>44880</v>
      </c>
      <c r="E992" s="19" t="n">
        <v>31.14</v>
      </c>
      <c r="G992" s="16" t="n">
        <v>45391</v>
      </c>
      <c r="H992" s="19" t="n">
        <v>3.458</v>
      </c>
      <c r="J992" s="16" t="n">
        <v>45391</v>
      </c>
      <c r="K992" s="19" t="n">
        <v>2.495</v>
      </c>
      <c r="M992" s="16" t="n">
        <v>44882</v>
      </c>
      <c r="N992" s="19" t="n">
        <v>144685</v>
      </c>
    </row>
    <row r="993">
      <c r="A993" s="16" t="n">
        <v>44881</v>
      </c>
      <c r="B993" s="19" t="n">
        <v>2017.75</v>
      </c>
      <c r="D993" s="16" t="n">
        <v>44879</v>
      </c>
      <c r="E993" s="19" t="n">
        <v>28.7</v>
      </c>
      <c r="G993" s="16" t="n">
        <v>45392</v>
      </c>
      <c r="H993" s="19" t="n">
        <v>3.438</v>
      </c>
      <c r="J993" s="16" t="n">
        <v>45392</v>
      </c>
      <c r="K993" s="19" t="n">
        <v>2.521</v>
      </c>
      <c r="M993" s="16" t="n">
        <v>44881</v>
      </c>
      <c r="N993" s="19" t="n">
        <v>143052</v>
      </c>
    </row>
    <row r="994">
      <c r="A994" s="16" t="n">
        <v>44880</v>
      </c>
      <c r="B994" s="19" t="n">
        <v>2025.31</v>
      </c>
      <c r="D994" s="16" t="n">
        <v>44876</v>
      </c>
      <c r="E994" s="19" t="n">
        <v>28.97</v>
      </c>
      <c r="G994" s="16" t="n">
        <v>45393</v>
      </c>
      <c r="H994" s="19" t="n">
        <v>3.398</v>
      </c>
      <c r="J994" s="16" t="n">
        <v>45393</v>
      </c>
      <c r="K994" s="19" t="n">
        <v>2.502</v>
      </c>
      <c r="M994" s="16" t="n">
        <v>44880</v>
      </c>
      <c r="N994" s="19" t="n">
        <v>143679</v>
      </c>
    </row>
    <row r="995">
      <c r="A995" s="16" t="n">
        <v>44879</v>
      </c>
      <c r="B995" s="19" t="n">
        <v>2062.58</v>
      </c>
      <c r="D995" s="16" t="n">
        <v>44875</v>
      </c>
      <c r="E995" s="19" t="n">
        <v>27.88</v>
      </c>
      <c r="G995" s="16" t="n">
        <v>45394</v>
      </c>
      <c r="H995" s="19" t="n">
        <v>3.4</v>
      </c>
      <c r="J995" s="16" t="n">
        <v>45394</v>
      </c>
      <c r="K995" s="19" t="n">
        <v>2.529</v>
      </c>
      <c r="M995" s="16" t="n">
        <v>44879</v>
      </c>
      <c r="N995" s="19" t="n">
        <v>146022</v>
      </c>
    </row>
    <row r="996">
      <c r="A996" s="16" t="n">
        <v>44876</v>
      </c>
      <c r="B996" s="19" t="n">
        <v>2088.66</v>
      </c>
      <c r="D996" s="16" t="n">
        <v>44874</v>
      </c>
      <c r="E996" s="19" t="n">
        <v>27.69</v>
      </c>
      <c r="G996" s="16" t="n">
        <v>45397</v>
      </c>
      <c r="H996" s="19" t="n">
        <v>3.38</v>
      </c>
      <c r="J996" s="16" t="n">
        <v>45397</v>
      </c>
      <c r="K996" s="19" t="n">
        <v>2.477</v>
      </c>
      <c r="M996" s="16" t="n">
        <v>44876</v>
      </c>
      <c r="N996" s="19" t="n">
        <v>146806</v>
      </c>
    </row>
    <row r="997">
      <c r="A997" s="16" t="n">
        <v>44875</v>
      </c>
      <c r="B997" s="19" t="n">
        <v>2105.09</v>
      </c>
      <c r="D997" s="16" t="n">
        <v>44873</v>
      </c>
      <c r="E997" s="19" t="n">
        <v>27.99</v>
      </c>
      <c r="G997" s="16" t="n">
        <v>45398</v>
      </c>
      <c r="H997" s="19" t="n">
        <v>3.367</v>
      </c>
      <c r="J997" s="16" t="n">
        <v>45398</v>
      </c>
      <c r="K997" s="19" t="n">
        <v>2.474</v>
      </c>
      <c r="M997" s="16" t="n">
        <v>44875</v>
      </c>
      <c r="N997" s="19" t="n">
        <v>147826</v>
      </c>
    </row>
    <row r="998">
      <c r="A998" s="16" t="n">
        <v>44874</v>
      </c>
      <c r="B998" s="19" t="n">
        <v>2088.12</v>
      </c>
      <c r="D998" s="16" t="n">
        <v>44872</v>
      </c>
      <c r="E998" s="19" t="n">
        <v>28.95</v>
      </c>
      <c r="G998" s="16" t="n">
        <v>45399</v>
      </c>
      <c r="H998" s="19" t="n">
        <v>3.344</v>
      </c>
      <c r="J998" s="16" t="n">
        <v>45399</v>
      </c>
      <c r="K998" s="19" t="n">
        <v>2.483</v>
      </c>
      <c r="M998" s="16" t="n">
        <v>44874</v>
      </c>
      <c r="N998" s="19" t="n">
        <v>147058</v>
      </c>
    </row>
    <row r="999">
      <c r="A999" s="16" t="n">
        <v>44873</v>
      </c>
      <c r="B999" s="19" t="n">
        <v>2095.53</v>
      </c>
      <c r="D999" s="16" t="n">
        <v>44869</v>
      </c>
      <c r="E999" s="19" t="n">
        <v>29.42</v>
      </c>
      <c r="G999" s="16" t="n">
        <v>45400</v>
      </c>
      <c r="H999" s="19" t="n">
        <v>3.38</v>
      </c>
      <c r="J999" s="16" t="n">
        <v>45400</v>
      </c>
      <c r="K999" s="19" t="n">
        <v>2.483</v>
      </c>
      <c r="M999" s="16" t="n">
        <v>44873</v>
      </c>
      <c r="N999" s="19" t="n">
        <v>147407</v>
      </c>
    </row>
    <row r="1000">
      <c r="A1000" s="16" t="n">
        <v>44872</v>
      </c>
      <c r="B1000" s="19" t="n">
        <v>2067</v>
      </c>
      <c r="D1000" s="16" t="n">
        <v>44868</v>
      </c>
      <c r="E1000" s="19" t="n">
        <v>30.78</v>
      </c>
      <c r="G1000" s="16" t="n">
        <v>45401</v>
      </c>
      <c r="H1000" s="19" t="n">
        <v>3.343</v>
      </c>
      <c r="J1000" s="16" t="n">
        <v>45401</v>
      </c>
      <c r="K1000" s="19" t="n">
        <v>2.467</v>
      </c>
      <c r="M1000" s="16" t="n">
        <v>44872</v>
      </c>
      <c r="N1000" s="19" t="n">
        <v>146089</v>
      </c>
    </row>
    <row r="1001">
      <c r="A1001" s="16" t="n">
        <v>44869</v>
      </c>
      <c r="B1001" s="19" t="n">
        <v>2068.91</v>
      </c>
      <c r="D1001" s="16" t="n">
        <v>44867</v>
      </c>
      <c r="E1001" s="19" t="n">
        <v>30.83</v>
      </c>
      <c r="G1001" s="16" t="n">
        <v>45404</v>
      </c>
      <c r="H1001" s="19" t="n">
        <v>3.357</v>
      </c>
      <c r="J1001" s="16" t="n">
        <v>45404</v>
      </c>
      <c r="K1001" s="19" t="n">
        <v>2.472</v>
      </c>
      <c r="M1001" s="16" t="n">
        <v>44869</v>
      </c>
      <c r="N1001" s="19" t="n">
        <v>146484</v>
      </c>
    </row>
    <row r="1002">
      <c r="A1002" s="16" t="n">
        <v>44868</v>
      </c>
      <c r="B1002" s="19" t="n">
        <v>2047.56</v>
      </c>
      <c r="D1002" s="16" t="n">
        <v>44866</v>
      </c>
      <c r="E1002" s="19" t="n">
        <v>34.13</v>
      </c>
      <c r="G1002" s="16" t="n">
        <v>45405</v>
      </c>
      <c r="H1002" s="19" t="n">
        <v>3.351</v>
      </c>
      <c r="J1002" s="16" t="n">
        <v>45405</v>
      </c>
      <c r="K1002" s="19" t="n">
        <v>2.457</v>
      </c>
      <c r="M1002" s="16" t="n">
        <v>44868</v>
      </c>
      <c r="N1002" s="19" t="n">
        <v>145732</v>
      </c>
    </row>
    <row r="1003">
      <c r="A1003" s="16" t="n">
        <v>44867</v>
      </c>
      <c r="B1003" s="19" t="n">
        <v>2055.57</v>
      </c>
      <c r="D1003" s="16" t="n">
        <v>44865</v>
      </c>
      <c r="E1003" s="19" t="n">
        <v>31.12</v>
      </c>
      <c r="G1003" s="16" t="n">
        <v>45406</v>
      </c>
      <c r="H1003" s="19" t="n">
        <v>3.373</v>
      </c>
      <c r="J1003" s="16" t="n">
        <v>45406</v>
      </c>
      <c r="K1003" s="19" t="n">
        <v>2.437</v>
      </c>
      <c r="M1003" s="16" t="n">
        <v>44867</v>
      </c>
      <c r="N1003" s="19" t="n">
        <v>146024</v>
      </c>
    </row>
    <row r="1004">
      <c r="A1004" s="16" t="n">
        <v>44866</v>
      </c>
      <c r="B1004" s="19" t="n">
        <v>2008.43</v>
      </c>
      <c r="D1004" s="16" t="n">
        <v>44862</v>
      </c>
      <c r="E1004" s="19" t="n">
        <v>28.71</v>
      </c>
      <c r="G1004" s="16" t="n">
        <v>45407</v>
      </c>
      <c r="H1004" s="19" t="n">
        <v>3.403</v>
      </c>
      <c r="J1004" s="16" t="n">
        <v>45407</v>
      </c>
      <c r="K1004" s="19" t="n">
        <v>2.421</v>
      </c>
      <c r="M1004" s="16" t="n">
        <v>44866</v>
      </c>
      <c r="N1004" s="19" t="n">
        <v>143392</v>
      </c>
    </row>
    <row r="1005">
      <c r="A1005" s="16" t="n">
        <v>44865</v>
      </c>
      <c r="B1005" s="19" t="n">
        <v>2042.24</v>
      </c>
      <c r="D1005" s="16" t="n">
        <v>44861</v>
      </c>
      <c r="E1005" s="19" t="n">
        <v>27.82</v>
      </c>
      <c r="G1005" s="16" t="n">
        <v>45408</v>
      </c>
      <c r="H1005" s="19" t="n">
        <v>3.434</v>
      </c>
      <c r="J1005" s="16" t="n">
        <v>45408</v>
      </c>
      <c r="K1005" s="19" t="n">
        <v>2.414</v>
      </c>
      <c r="M1005" s="16" t="n">
        <v>44865</v>
      </c>
      <c r="N1005" s="19" t="n">
        <v>145240</v>
      </c>
    </row>
    <row r="1006">
      <c r="A1006" s="16" t="n">
        <v>44862</v>
      </c>
      <c r="B1006" s="19" t="n">
        <v>2108.04</v>
      </c>
      <c r="D1006" s="16" t="n">
        <v>44860</v>
      </c>
      <c r="E1006" s="19" t="n">
        <v>28.1</v>
      </c>
      <c r="G1006" s="16" t="n">
        <v>45411</v>
      </c>
      <c r="H1006" s="19" t="n">
        <v>3.392</v>
      </c>
      <c r="J1006" s="16" t="n">
        <v>45411</v>
      </c>
      <c r="K1006" s="19" t="n">
        <v>2.398</v>
      </c>
      <c r="M1006" s="16" t="n">
        <v>44862</v>
      </c>
      <c r="N1006" s="19" t="n">
        <v>149168</v>
      </c>
    </row>
    <row r="1007">
      <c r="A1007" s="16" t="n">
        <v>44861</v>
      </c>
      <c r="B1007" s="19" t="n">
        <v>2138.33</v>
      </c>
      <c r="D1007" s="16" t="n">
        <v>44859</v>
      </c>
      <c r="E1007" s="19" t="n">
        <v>25.08</v>
      </c>
      <c r="G1007" s="16" t="n">
        <v>45412</v>
      </c>
      <c r="H1007" s="19" t="n">
        <v>3.45</v>
      </c>
      <c r="J1007" s="16" t="n">
        <v>45412</v>
      </c>
      <c r="K1007" s="19" t="n">
        <v>2.389</v>
      </c>
      <c r="M1007" s="16" t="n">
        <v>44861</v>
      </c>
      <c r="N1007" s="19" t="n">
        <v>150584</v>
      </c>
    </row>
    <row r="1008">
      <c r="A1008" s="16" t="n">
        <v>44860</v>
      </c>
      <c r="B1008" s="19" t="n">
        <v>2127.91</v>
      </c>
      <c r="D1008" s="16" t="n">
        <v>44858</v>
      </c>
      <c r="E1008" s="19" t="n">
        <v>23.36</v>
      </c>
      <c r="G1008" s="16" t="n">
        <v>45413</v>
      </c>
      <c r="H1008" s="19" t="n">
        <v>3.37</v>
      </c>
      <c r="J1008" s="16" t="n">
        <v>45413</v>
      </c>
      <c r="K1008" s="19" t="n">
        <v>2.342</v>
      </c>
      <c r="M1008" s="16" t="n">
        <v>44860</v>
      </c>
      <c r="N1008" s="19" t="n">
        <v>149940</v>
      </c>
    </row>
    <row r="1009">
      <c r="A1009" s="16" t="n">
        <v>44859</v>
      </c>
      <c r="B1009" s="19" t="n">
        <v>2176.12</v>
      </c>
      <c r="D1009" s="16" t="n">
        <v>44855</v>
      </c>
      <c r="E1009" s="19" t="n">
        <v>25.15</v>
      </c>
      <c r="G1009" s="16" t="n">
        <v>45414</v>
      </c>
      <c r="H1009" s="19" t="n">
        <v>3.374</v>
      </c>
      <c r="J1009" s="16" t="n">
        <v>45414</v>
      </c>
      <c r="K1009" s="19" t="n">
        <v>2.346</v>
      </c>
      <c r="M1009" s="16" t="n">
        <v>44859</v>
      </c>
      <c r="N1009" s="19" t="n">
        <v>151747</v>
      </c>
    </row>
    <row r="1010">
      <c r="A1010" s="16" t="n">
        <v>44858</v>
      </c>
      <c r="B1010" s="19" t="n">
        <v>2208.08</v>
      </c>
      <c r="D1010" s="16" t="n">
        <v>44854</v>
      </c>
      <c r="E1010" s="19" t="n">
        <v>23.82</v>
      </c>
      <c r="G1010" s="16" t="n">
        <v>45415</v>
      </c>
      <c r="H1010" s="19" t="n">
        <v>3.28</v>
      </c>
      <c r="J1010" s="16" t="n">
        <v>45415</v>
      </c>
      <c r="K1010" s="19" t="n">
        <v>2.325</v>
      </c>
      <c r="M1010" s="16" t="n">
        <v>44858</v>
      </c>
      <c r="N1010" s="19" t="n">
        <v>153305</v>
      </c>
    </row>
    <row r="1011">
      <c r="A1011" s="16" t="n">
        <v>44855</v>
      </c>
      <c r="B1011" s="19" t="n">
        <v>2179.58</v>
      </c>
      <c r="D1011" s="16" t="n">
        <v>44853</v>
      </c>
      <c r="E1011" s="19" t="n">
        <v>23.81</v>
      </c>
      <c r="G1011" s="16" t="n">
        <v>45418</v>
      </c>
      <c r="H1011" s="19" t="n">
        <v>3.273</v>
      </c>
      <c r="J1011" s="16" t="n">
        <v>45418</v>
      </c>
      <c r="K1011" s="19" t="n">
        <v>2.319</v>
      </c>
      <c r="M1011" s="16" t="n">
        <v>44855</v>
      </c>
      <c r="N1011" s="19" t="n">
        <v>151473</v>
      </c>
    </row>
    <row r="1012">
      <c r="A1012" s="16" t="n">
        <v>44854</v>
      </c>
      <c r="B1012" s="19" t="n">
        <v>2193.23</v>
      </c>
      <c r="D1012" s="16" t="n">
        <v>44852</v>
      </c>
      <c r="E1012" s="19" t="n">
        <v>24.27</v>
      </c>
      <c r="G1012" s="16" t="n">
        <v>45419</v>
      </c>
      <c r="H1012" s="19" t="n">
        <v>3.378</v>
      </c>
      <c r="J1012" s="16" t="n">
        <v>45419</v>
      </c>
      <c r="K1012" s="19" t="n">
        <v>2.307</v>
      </c>
      <c r="M1012" s="16" t="n">
        <v>44854</v>
      </c>
      <c r="N1012" s="19" t="n">
        <v>152581</v>
      </c>
    </row>
    <row r="1013">
      <c r="A1013" s="16" t="n">
        <v>44853</v>
      </c>
      <c r="B1013" s="19" t="n">
        <v>2198.31</v>
      </c>
      <c r="D1013" s="16" t="n">
        <v>44851</v>
      </c>
      <c r="E1013" s="19" t="n">
        <v>24.52</v>
      </c>
      <c r="G1013" s="16" t="n">
        <v>45420</v>
      </c>
      <c r="H1013" s="19" t="n">
        <v>3.359</v>
      </c>
      <c r="J1013" s="16" t="n">
        <v>45420</v>
      </c>
      <c r="K1013" s="19" t="n">
        <v>2.316</v>
      </c>
      <c r="M1013" s="16" t="n">
        <v>44853</v>
      </c>
      <c r="N1013" s="19" t="n">
        <v>153930</v>
      </c>
    </row>
    <row r="1014">
      <c r="A1014" s="16" t="n">
        <v>44852</v>
      </c>
      <c r="B1014" s="19" t="n">
        <v>2185.86</v>
      </c>
      <c r="D1014" s="16" t="n">
        <v>44848</v>
      </c>
      <c r="E1014" s="19" t="n">
        <v>25.63</v>
      </c>
      <c r="G1014" s="16" t="n">
        <v>45421</v>
      </c>
      <c r="H1014" s="19" t="n">
        <v>3.32</v>
      </c>
      <c r="J1014" s="16" t="n">
        <v>45421</v>
      </c>
      <c r="K1014" s="19" t="n">
        <v>2.276</v>
      </c>
      <c r="M1014" s="16" t="n">
        <v>44852</v>
      </c>
      <c r="N1014" s="19" t="n">
        <v>152545</v>
      </c>
    </row>
    <row r="1015">
      <c r="A1015" s="16" t="n">
        <v>44851</v>
      </c>
      <c r="B1015" s="19" t="n">
        <v>2176.57</v>
      </c>
      <c r="D1015" s="16" t="n">
        <v>44847</v>
      </c>
      <c r="E1015" s="19" t="n">
        <v>25.34</v>
      </c>
      <c r="G1015" s="16" t="n">
        <v>45422</v>
      </c>
      <c r="H1015" s="19" t="n">
        <v>3.371</v>
      </c>
      <c r="J1015" s="16" t="n">
        <v>45422</v>
      </c>
      <c r="K1015" s="19" t="n">
        <v>2.285</v>
      </c>
      <c r="M1015" s="16" t="n">
        <v>44851</v>
      </c>
      <c r="N1015" s="19" t="n">
        <v>152678</v>
      </c>
    </row>
    <row r="1016">
      <c r="A1016" s="16" t="n">
        <v>44848</v>
      </c>
      <c r="B1016" s="19" t="n">
        <v>2153.99</v>
      </c>
      <c r="D1016" s="16" t="n">
        <v>44846</v>
      </c>
      <c r="E1016" s="19" t="n">
        <v>25.6</v>
      </c>
      <c r="G1016" s="16" t="n">
        <v>45425</v>
      </c>
      <c r="H1016" s="19" t="n">
        <v>3.394</v>
      </c>
      <c r="J1016" s="16" t="n">
        <v>45425</v>
      </c>
      <c r="K1016" s="19" t="n">
        <v>2.274</v>
      </c>
      <c r="M1016" s="16" t="n">
        <v>44848</v>
      </c>
      <c r="N1016" s="19" t="n">
        <v>150449</v>
      </c>
    </row>
    <row r="1017">
      <c r="A1017" s="16" t="n">
        <v>44847</v>
      </c>
      <c r="B1017" s="19" t="n">
        <v>2166.41</v>
      </c>
      <c r="D1017" s="16" t="n">
        <v>44845</v>
      </c>
      <c r="E1017" s="19" t="n">
        <v>23.31</v>
      </c>
      <c r="G1017" s="16" t="n">
        <v>45426</v>
      </c>
      <c r="H1017" s="19" t="n">
        <v>3.381</v>
      </c>
      <c r="J1017" s="16" t="n">
        <v>45426</v>
      </c>
      <c r="K1017" s="19" t="n">
        <v>2.262</v>
      </c>
      <c r="M1017" s="16" t="n">
        <v>44847</v>
      </c>
      <c r="N1017" s="19" t="n">
        <v>151230</v>
      </c>
    </row>
    <row r="1018">
      <c r="A1018" s="16" t="n">
        <v>44846</v>
      </c>
      <c r="B1018" s="19" t="n">
        <v>2172.27</v>
      </c>
      <c r="D1018" s="16" t="n">
        <v>44844</v>
      </c>
      <c r="E1018" s="19" t="n">
        <v>22.57</v>
      </c>
      <c r="G1018" s="16" t="n">
        <v>45427</v>
      </c>
      <c r="H1018" s="19" t="n">
        <v>3.327</v>
      </c>
      <c r="J1018" s="16" t="n">
        <v>45427</v>
      </c>
      <c r="K1018" s="19" t="n">
        <v>2.252</v>
      </c>
      <c r="M1018" s="16" t="n">
        <v>44846</v>
      </c>
      <c r="N1018" s="19" t="n">
        <v>152182</v>
      </c>
    </row>
    <row r="1019">
      <c r="A1019" s="16" t="n">
        <v>44845</v>
      </c>
      <c r="B1019" s="19" t="n">
        <v>2211.78</v>
      </c>
      <c r="D1019" s="16" t="n">
        <v>44841</v>
      </c>
      <c r="E1019" s="19" t="n">
        <v>20.27</v>
      </c>
      <c r="G1019" s="16" t="n">
        <v>45428</v>
      </c>
      <c r="H1019" s="19" t="n">
        <v>3.367</v>
      </c>
      <c r="J1019" s="16" t="n">
        <v>45428</v>
      </c>
      <c r="K1019" s="19" t="n">
        <v>2.298</v>
      </c>
      <c r="M1019" s="16" t="n">
        <v>44845</v>
      </c>
      <c r="N1019" s="19" t="n">
        <v>153485</v>
      </c>
    </row>
    <row r="1020">
      <c r="A1020" s="16" t="n">
        <v>44844</v>
      </c>
      <c r="B1020" s="19" t="n">
        <v>2226.08</v>
      </c>
      <c r="D1020" s="16" t="n">
        <v>44840</v>
      </c>
      <c r="E1020" s="19" t="n">
        <v>20.64</v>
      </c>
      <c r="G1020" s="16" t="n">
        <v>45429</v>
      </c>
      <c r="H1020" s="19" t="n">
        <v>3.396</v>
      </c>
      <c r="J1020" s="16" t="n">
        <v>45429</v>
      </c>
      <c r="K1020" s="19" t="n">
        <v>2.311</v>
      </c>
      <c r="M1020" s="16" t="n">
        <v>44844</v>
      </c>
      <c r="N1020" s="19" t="n">
        <v>153847</v>
      </c>
    </row>
    <row r="1021">
      <c r="A1021" s="16" t="n">
        <v>44841</v>
      </c>
      <c r="B1021" s="19" t="n">
        <v>2269.53</v>
      </c>
      <c r="D1021" s="16" t="n">
        <v>44839</v>
      </c>
      <c r="E1021" s="19" t="n">
        <v>21.92</v>
      </c>
      <c r="G1021" s="16" t="n">
        <v>45432</v>
      </c>
      <c r="H1021" s="19" t="n">
        <v>3.466</v>
      </c>
      <c r="J1021" s="16" t="n">
        <v>45432</v>
      </c>
      <c r="K1021" s="19" t="n">
        <v>2.299</v>
      </c>
      <c r="M1021" s="16" t="n">
        <v>44841</v>
      </c>
      <c r="N1021" s="19" t="n">
        <v>154874</v>
      </c>
    </row>
    <row r="1022">
      <c r="A1022" s="16" t="n">
        <v>44840</v>
      </c>
      <c r="B1022" s="19" t="n">
        <v>2271.05</v>
      </c>
      <c r="D1022" s="16" t="n">
        <v>44838</v>
      </c>
      <c r="E1022" s="19" t="n">
        <v>21.63</v>
      </c>
      <c r="G1022" s="16" t="n">
        <v>45433</v>
      </c>
      <c r="H1022" s="19" t="n">
        <v>3.462</v>
      </c>
      <c r="J1022" s="16" t="n">
        <v>45433</v>
      </c>
      <c r="K1022" s="19" t="n">
        <v>2.287</v>
      </c>
      <c r="M1022" s="16" t="n">
        <v>44840</v>
      </c>
      <c r="N1022" s="19" t="n">
        <v>154592</v>
      </c>
    </row>
    <row r="1023">
      <c r="A1023" s="16" t="n">
        <v>44839</v>
      </c>
      <c r="B1023" s="19" t="n">
        <v>2263.16</v>
      </c>
      <c r="D1023" s="16" t="n">
        <v>44834</v>
      </c>
      <c r="E1023" s="19" t="n">
        <v>20.55</v>
      </c>
      <c r="G1023" s="16" t="n">
        <v>45434</v>
      </c>
      <c r="H1023" s="19" t="n">
        <v>3.401</v>
      </c>
      <c r="J1023" s="16" t="n">
        <v>45434</v>
      </c>
      <c r="K1023" s="19" t="n">
        <v>2.273</v>
      </c>
      <c r="M1023" s="16" t="n">
        <v>44839</v>
      </c>
      <c r="N1023" s="19" t="n">
        <v>153781</v>
      </c>
    </row>
    <row r="1024">
      <c r="A1024" s="16" t="n">
        <v>44838</v>
      </c>
      <c r="B1024" s="19" t="n">
        <v>2279.04</v>
      </c>
      <c r="D1024" s="16" t="n">
        <v>44833</v>
      </c>
      <c r="E1024" s="19" t="n">
        <v>23.05</v>
      </c>
      <c r="G1024" s="16" t="n">
        <v>45435</v>
      </c>
      <c r="H1024" s="19" t="n">
        <v>3.36</v>
      </c>
      <c r="J1024" s="16" t="n">
        <v>45435</v>
      </c>
      <c r="K1024" s="19" t="n">
        <v>2.3</v>
      </c>
      <c r="M1024" s="16" t="n">
        <v>44838</v>
      </c>
      <c r="N1024" s="19" t="n">
        <v>153733</v>
      </c>
    </row>
    <row r="1025">
      <c r="A1025" s="16" t="n">
        <v>44834</v>
      </c>
      <c r="B1025" s="19" t="n">
        <v>2289.07</v>
      </c>
      <c r="D1025" s="16" t="n">
        <v>44832</v>
      </c>
      <c r="E1025" s="19" t="n">
        <v>22.35</v>
      </c>
      <c r="G1025" s="16" t="n">
        <v>45436</v>
      </c>
      <c r="H1025" s="19" t="n">
        <v>3.289</v>
      </c>
      <c r="J1025" s="16" t="n">
        <v>45436</v>
      </c>
      <c r="K1025" s="19" t="n">
        <v>2.25</v>
      </c>
      <c r="M1025" s="16" t="n">
        <v>44834</v>
      </c>
      <c r="N1025" s="19" t="n">
        <v>153884</v>
      </c>
    </row>
    <row r="1026">
      <c r="A1026" s="16" t="n">
        <v>44833</v>
      </c>
      <c r="B1026" s="19" t="n">
        <v>2253.81</v>
      </c>
      <c r="D1026" s="16" t="n">
        <v>44831</v>
      </c>
      <c r="E1026" s="19" t="n">
        <v>22.14</v>
      </c>
      <c r="G1026" s="16" t="n">
        <v>45439</v>
      </c>
      <c r="H1026" s="19" t="n">
        <v>3.239</v>
      </c>
      <c r="J1026" s="16" t="n">
        <v>45439</v>
      </c>
      <c r="K1026" s="19" t="n">
        <v>2.234</v>
      </c>
      <c r="M1026" s="16" t="n">
        <v>44833</v>
      </c>
      <c r="N1026" s="19" t="n">
        <v>152865</v>
      </c>
    </row>
    <row r="1027">
      <c r="A1027" s="16" t="n">
        <v>44832</v>
      </c>
      <c r="B1027" s="19" t="n">
        <v>2254.61</v>
      </c>
      <c r="D1027" s="16" t="n">
        <v>44830</v>
      </c>
      <c r="E1027" s="19" t="n">
        <v>25.46</v>
      </c>
      <c r="G1027" s="16" t="n">
        <v>45440</v>
      </c>
      <c r="H1027" s="19" t="n">
        <v>3.259</v>
      </c>
      <c r="J1027" s="16" t="n">
        <v>45440</v>
      </c>
      <c r="K1027" s="19" t="n">
        <v>2.214</v>
      </c>
      <c r="M1027" s="16" t="n">
        <v>44832</v>
      </c>
      <c r="N1027" s="19" t="n">
        <v>152788</v>
      </c>
    </row>
    <row r="1028">
      <c r="A1028" s="16" t="n">
        <v>44831</v>
      </c>
      <c r="B1028" s="19" t="n">
        <v>2244.84</v>
      </c>
      <c r="D1028" s="16" t="n">
        <v>44827</v>
      </c>
      <c r="E1028" s="19" t="n">
        <v>25.77</v>
      </c>
      <c r="G1028" s="16" t="n">
        <v>45441</v>
      </c>
      <c r="H1028" s="19" t="n">
        <v>3.25</v>
      </c>
      <c r="J1028" s="16" t="n">
        <v>45441</v>
      </c>
      <c r="K1028" s="19" t="n">
        <v>2.205</v>
      </c>
      <c r="M1028" s="16" t="n">
        <v>44831</v>
      </c>
      <c r="N1028" s="19" t="n">
        <v>152827</v>
      </c>
    </row>
    <row r="1029">
      <c r="A1029" s="16" t="n">
        <v>44830</v>
      </c>
      <c r="B1029" s="19" t="n">
        <v>2174.92</v>
      </c>
      <c r="D1029" s="16" t="n">
        <v>44826</v>
      </c>
      <c r="E1029" s="19" t="n">
        <v>27.19</v>
      </c>
      <c r="G1029" s="16" t="n">
        <v>45442</v>
      </c>
      <c r="H1029" s="19" t="n">
        <v>3.212</v>
      </c>
      <c r="J1029" s="16" t="n">
        <v>45442</v>
      </c>
      <c r="K1029" s="19" t="n">
        <v>2.212</v>
      </c>
      <c r="M1029" s="16" t="n">
        <v>44830</v>
      </c>
      <c r="N1029" s="19" t="n">
        <v>149910</v>
      </c>
    </row>
    <row r="1030">
      <c r="A1030" s="16" t="n">
        <v>44827</v>
      </c>
      <c r="B1030" s="19" t="n">
        <v>2175.37</v>
      </c>
      <c r="D1030" s="16" t="n">
        <v>44825</v>
      </c>
      <c r="E1030" s="19" t="n">
        <v>28.1</v>
      </c>
      <c r="G1030" s="16" t="n">
        <v>45443</v>
      </c>
      <c r="H1030" s="19" t="n">
        <v>3.169</v>
      </c>
      <c r="J1030" s="16" t="n">
        <v>45443</v>
      </c>
      <c r="K1030" s="19" t="n">
        <v>2.194</v>
      </c>
      <c r="M1030" s="16" t="n">
        <v>44827</v>
      </c>
      <c r="N1030" s="19" t="n">
        <v>150854</v>
      </c>
    </row>
    <row r="1031">
      <c r="A1031" s="16" t="n">
        <v>44826</v>
      </c>
      <c r="B1031" s="19" t="n">
        <v>2159</v>
      </c>
      <c r="D1031" s="16" t="n">
        <v>44824</v>
      </c>
      <c r="E1031" s="19" t="n">
        <v>28</v>
      </c>
      <c r="G1031" s="16" t="n">
        <v>45446</v>
      </c>
      <c r="H1031" s="19" t="n">
        <v>3.116</v>
      </c>
      <c r="J1031" s="16" t="n">
        <v>45446</v>
      </c>
      <c r="K1031" s="19" t="n">
        <v>2.209</v>
      </c>
      <c r="M1031" s="16" t="n">
        <v>44826</v>
      </c>
      <c r="N1031" s="19" t="n">
        <v>150267</v>
      </c>
    </row>
    <row r="1032">
      <c r="A1032" s="16" t="n">
        <v>44825</v>
      </c>
      <c r="B1032" s="19" t="n">
        <v>2141.52</v>
      </c>
      <c r="D1032" s="16" t="n">
        <v>44823</v>
      </c>
      <c r="E1032" s="19" t="n">
        <v>27.38</v>
      </c>
      <c r="G1032" s="16" t="n">
        <v>45447</v>
      </c>
      <c r="H1032" s="19" t="n">
        <v>3.059</v>
      </c>
      <c r="J1032" s="16" t="n">
        <v>45447</v>
      </c>
      <c r="K1032" s="19" t="n">
        <v>2.179</v>
      </c>
      <c r="M1032" s="16" t="n">
        <v>44825</v>
      </c>
      <c r="N1032" s="19" t="n">
        <v>150205</v>
      </c>
    </row>
    <row r="1033">
      <c r="A1033" s="16" t="n">
        <v>44824</v>
      </c>
      <c r="B1033" s="19" t="n">
        <v>2148.99</v>
      </c>
      <c r="D1033" s="16" t="n">
        <v>44820</v>
      </c>
      <c r="E1033" s="19" t="n">
        <v>27.61</v>
      </c>
      <c r="G1033" s="16" t="n">
        <v>45448</v>
      </c>
      <c r="H1033" s="19" t="n">
        <v>3.019</v>
      </c>
      <c r="J1033" s="16" t="n">
        <v>45448</v>
      </c>
      <c r="K1033" s="19" t="n">
        <v>2.196</v>
      </c>
      <c r="M1033" s="16" t="n">
        <v>44824</v>
      </c>
      <c r="N1033" s="19" t="n">
        <v>150266</v>
      </c>
    </row>
    <row r="1034">
      <c r="A1034" s="16" t="n">
        <v>44823</v>
      </c>
      <c r="B1034" s="19" t="n">
        <v>2146.64</v>
      </c>
      <c r="D1034" s="16" t="n">
        <v>44819</v>
      </c>
      <c r="E1034" s="19" t="n">
        <v>28.51</v>
      </c>
      <c r="G1034" s="16" t="n">
        <v>45449</v>
      </c>
      <c r="H1034" s="19" t="n">
        <v>3.041</v>
      </c>
      <c r="J1034" s="16" t="n">
        <v>45449</v>
      </c>
      <c r="K1034" s="19" t="n">
        <v>2.222</v>
      </c>
      <c r="M1034" s="16" t="n">
        <v>44823</v>
      </c>
      <c r="N1034" s="19" t="n">
        <v>151313</v>
      </c>
    </row>
    <row r="1035">
      <c r="A1035" s="16" t="n">
        <v>44820</v>
      </c>
      <c r="B1035" s="19" t="n">
        <v>2164.58</v>
      </c>
      <c r="D1035" s="16" t="n">
        <v>44818</v>
      </c>
      <c r="E1035" s="19" t="n">
        <v>26.17</v>
      </c>
      <c r="G1035" s="16" t="n">
        <v>45450</v>
      </c>
      <c r="H1035" s="19" t="n">
        <v>3.024</v>
      </c>
      <c r="J1035" s="16" t="n">
        <v>45450</v>
      </c>
      <c r="K1035" s="19" t="n">
        <v>2.224</v>
      </c>
      <c r="M1035" s="16" t="n">
        <v>44820</v>
      </c>
      <c r="N1035" s="19" t="n">
        <v>152385</v>
      </c>
    </row>
    <row r="1036">
      <c r="A1036" s="16" t="n">
        <v>44819</v>
      </c>
      <c r="B1036" s="19" t="n">
        <v>2156.27</v>
      </c>
      <c r="D1036" s="16" t="n">
        <v>44817</v>
      </c>
      <c r="E1036" s="19" t="n">
        <v>24.77</v>
      </c>
      <c r="G1036" s="16" t="n">
        <v>45453</v>
      </c>
      <c r="H1036" s="19" t="n">
        <v>3.003</v>
      </c>
      <c r="J1036" s="16" t="n">
        <v>45453</v>
      </c>
      <c r="K1036" s="19" t="n">
        <v>2.212</v>
      </c>
      <c r="M1036" s="16" t="n">
        <v>44819</v>
      </c>
      <c r="N1036" s="19" t="n">
        <v>152297</v>
      </c>
    </row>
    <row r="1037">
      <c r="A1037" s="16" t="n">
        <v>44818</v>
      </c>
      <c r="B1037" s="19" t="n">
        <v>2203.33</v>
      </c>
      <c r="D1037" s="16" t="n">
        <v>44816</v>
      </c>
      <c r="E1037" s="19" t="n">
        <v>22.78</v>
      </c>
      <c r="G1037" s="16" t="n">
        <v>45454</v>
      </c>
      <c r="H1037" s="19" t="n">
        <v>2.959</v>
      </c>
      <c r="J1037" s="16" t="n">
        <v>45454</v>
      </c>
      <c r="K1037" s="19" t="n">
        <v>2.196</v>
      </c>
      <c r="M1037" s="16" t="n">
        <v>44818</v>
      </c>
      <c r="N1037" s="19" t="n">
        <v>154157</v>
      </c>
    </row>
    <row r="1038">
      <c r="A1038" s="16" t="n">
        <v>44817</v>
      </c>
      <c r="B1038" s="19" t="n">
        <v>2245.94</v>
      </c>
      <c r="D1038" s="16" t="n">
        <v>44813</v>
      </c>
      <c r="E1038" s="19" t="n">
        <v>21.96</v>
      </c>
      <c r="G1038" s="16" t="n">
        <v>45455</v>
      </c>
      <c r="H1038" s="19" t="n">
        <v>3.08</v>
      </c>
      <c r="J1038" s="16" t="n">
        <v>45455</v>
      </c>
      <c r="K1038" s="19" t="n">
        <v>2.223</v>
      </c>
      <c r="M1038" s="16" t="n">
        <v>44817</v>
      </c>
      <c r="N1038" s="19" t="n">
        <v>155763</v>
      </c>
    </row>
    <row r="1039">
      <c r="A1039" s="16" t="n">
        <v>44816</v>
      </c>
      <c r="B1039" s="19" t="n">
        <v>2284.54</v>
      </c>
      <c r="D1039" s="16" t="n">
        <v>44812</v>
      </c>
      <c r="E1039" s="19" t="n">
        <v>22.33</v>
      </c>
      <c r="G1039" s="16" t="n">
        <v>45456</v>
      </c>
      <c r="H1039" s="19" t="n">
        <v>3.106</v>
      </c>
      <c r="J1039" s="16" t="n">
        <v>45456</v>
      </c>
      <c r="K1039" s="19" t="n">
        <v>2.24</v>
      </c>
      <c r="M1039" s="16" t="n">
        <v>44816</v>
      </c>
      <c r="N1039" s="19" t="n">
        <v>157525</v>
      </c>
    </row>
    <row r="1040">
      <c r="A1040" s="16" t="n">
        <v>44813</v>
      </c>
      <c r="B1040" s="19" t="n">
        <v>2294.85</v>
      </c>
      <c r="D1040" s="16" t="n">
        <v>44811</v>
      </c>
      <c r="E1040" s="19" t="n">
        <v>23.18</v>
      </c>
      <c r="G1040" s="16" t="n">
        <v>45457</v>
      </c>
      <c r="H1040" s="19" t="n">
        <v>3.058</v>
      </c>
      <c r="J1040" s="16" t="n">
        <v>45457</v>
      </c>
      <c r="K1040" s="19" t="n">
        <v>2.223</v>
      </c>
      <c r="M1040" s="16" t="n">
        <v>44813</v>
      </c>
      <c r="N1040" s="19" t="n">
        <v>157497</v>
      </c>
    </row>
    <row r="1041">
      <c r="A1041" s="16" t="n">
        <v>44812</v>
      </c>
      <c r="B1041" s="19" t="n">
        <v>2277.88</v>
      </c>
      <c r="D1041" s="16" t="n">
        <v>44810</v>
      </c>
      <c r="E1041" s="19" t="n">
        <v>23.13</v>
      </c>
      <c r="G1041" s="16" t="n">
        <v>45460</v>
      </c>
      <c r="H1041" s="19" t="n">
        <v>3.074</v>
      </c>
      <c r="J1041" s="16" t="n">
        <v>45460</v>
      </c>
      <c r="K1041" s="19" t="n">
        <v>2.261</v>
      </c>
      <c r="M1041" s="16" t="n">
        <v>44812</v>
      </c>
      <c r="N1041" s="19" t="n">
        <v>157226</v>
      </c>
    </row>
    <row r="1042">
      <c r="A1042" s="16" t="n">
        <v>44811</v>
      </c>
      <c r="B1042" s="19" t="n">
        <v>2267.69</v>
      </c>
      <c r="D1042" s="16" t="n">
        <v>44809</v>
      </c>
      <c r="E1042" s="19" t="n">
        <v>21.75</v>
      </c>
      <c r="G1042" s="16" t="n">
        <v>45461</v>
      </c>
      <c r="H1042" s="19" t="n">
        <v>2.993</v>
      </c>
      <c r="J1042" s="16" t="n">
        <v>45461</v>
      </c>
      <c r="K1042" s="19" t="n">
        <v>2.232</v>
      </c>
      <c r="M1042" s="16" t="n">
        <v>44811</v>
      </c>
      <c r="N1042" s="19" t="n">
        <v>157019</v>
      </c>
    </row>
    <row r="1043">
      <c r="A1043" s="16" t="n">
        <v>44810</v>
      </c>
      <c r="B1043" s="19" t="n">
        <v>2252.26</v>
      </c>
      <c r="D1043" s="16" t="n">
        <v>44806</v>
      </c>
      <c r="E1043" s="19" t="n">
        <v>20.66</v>
      </c>
      <c r="G1043" s="16" t="n">
        <v>45462</v>
      </c>
      <c r="H1043" s="19" t="n">
        <v>3.017</v>
      </c>
      <c r="J1043" s="16" t="n">
        <v>45462</v>
      </c>
      <c r="K1043" s="19" t="n">
        <v>2.225</v>
      </c>
      <c r="M1043" s="16" t="n">
        <v>44810</v>
      </c>
      <c r="N1043" s="19" t="n">
        <v>155284</v>
      </c>
    </row>
    <row r="1044">
      <c r="A1044" s="16" t="n">
        <v>44809</v>
      </c>
      <c r="B1044" s="19" t="n">
        <v>2293.88</v>
      </c>
      <c r="D1044" s="16" t="n">
        <v>44805</v>
      </c>
      <c r="E1044" s="19" t="n">
        <v>21.07</v>
      </c>
      <c r="G1044" s="16" t="n">
        <v>45463</v>
      </c>
      <c r="H1044" s="19" t="n">
        <v>3.027</v>
      </c>
      <c r="J1044" s="16" t="n">
        <v>45463</v>
      </c>
      <c r="K1044" s="19" t="n">
        <v>2.18</v>
      </c>
      <c r="M1044" s="16" t="n">
        <v>44809</v>
      </c>
      <c r="N1044" s="19" t="n">
        <v>156787</v>
      </c>
    </row>
    <row r="1045">
      <c r="A1045" s="16" t="n">
        <v>44806</v>
      </c>
      <c r="B1045" s="19" t="n">
        <v>2310.68</v>
      </c>
      <c r="D1045" s="16" t="n">
        <v>44804</v>
      </c>
      <c r="E1045" s="19" t="n">
        <v>19.8</v>
      </c>
      <c r="G1045" s="16" t="n">
        <v>45464</v>
      </c>
      <c r="H1045" s="19" t="n">
        <v>2.943</v>
      </c>
      <c r="J1045" s="16" t="n">
        <v>45464</v>
      </c>
      <c r="K1045" s="19" t="n">
        <v>2.124</v>
      </c>
      <c r="M1045" s="16" t="n">
        <v>44806</v>
      </c>
      <c r="N1045" s="19" t="n">
        <v>157641</v>
      </c>
    </row>
    <row r="1046">
      <c r="A1046" s="16" t="n">
        <v>44805</v>
      </c>
      <c r="B1046" s="19" t="n">
        <v>2309.65</v>
      </c>
      <c r="D1046" s="16" t="n">
        <v>44803</v>
      </c>
      <c r="E1046" s="19" t="n">
        <v>20.73</v>
      </c>
      <c r="G1046" s="16" t="n">
        <v>45467</v>
      </c>
      <c r="H1046" s="19" t="n">
        <v>2.875</v>
      </c>
      <c r="J1046" s="16" t="n">
        <v>45467</v>
      </c>
      <c r="K1046" s="19" t="n">
        <v>2.119</v>
      </c>
      <c r="M1046" s="16" t="n">
        <v>44805</v>
      </c>
      <c r="N1046" s="19" t="n">
        <v>158215</v>
      </c>
    </row>
    <row r="1047">
      <c r="A1047" s="16" t="n">
        <v>44804</v>
      </c>
      <c r="B1047" s="19" t="n">
        <v>2339.69</v>
      </c>
      <c r="D1047" s="16" t="n">
        <v>44802</v>
      </c>
      <c r="E1047" s="19" t="n">
        <v>20.56</v>
      </c>
      <c r="G1047" s="16" t="n">
        <v>45468</v>
      </c>
      <c r="H1047" s="19" t="n">
        <v>2.878</v>
      </c>
      <c r="J1047" s="16" t="n">
        <v>45468</v>
      </c>
      <c r="K1047" s="19" t="n">
        <v>2.126</v>
      </c>
      <c r="M1047" s="16" t="n">
        <v>44804</v>
      </c>
      <c r="N1047" s="19" t="n">
        <v>159087</v>
      </c>
    </row>
    <row r="1048">
      <c r="A1048" s="16" t="n">
        <v>44803</v>
      </c>
      <c r="B1048" s="19" t="n">
        <v>2338.64</v>
      </c>
      <c r="D1048" s="16" t="n">
        <v>44799</v>
      </c>
      <c r="E1048" s="19" t="n">
        <v>18.92</v>
      </c>
      <c r="G1048" s="16" t="n">
        <v>45469</v>
      </c>
      <c r="H1048" s="19" t="n">
        <v>2.856</v>
      </c>
      <c r="J1048" s="16" t="n">
        <v>45469</v>
      </c>
      <c r="K1048" s="19" t="n">
        <v>2.08</v>
      </c>
      <c r="M1048" s="16" t="n">
        <v>44803</v>
      </c>
      <c r="N1048" s="19" t="n">
        <v>158976</v>
      </c>
    </row>
    <row r="1049">
      <c r="A1049" s="16" t="n">
        <v>44802</v>
      </c>
      <c r="B1049" s="19" t="n">
        <v>2366.33</v>
      </c>
      <c r="D1049" s="16" t="n">
        <v>44798</v>
      </c>
      <c r="E1049" s="19" t="n">
        <v>18.71</v>
      </c>
      <c r="G1049" s="16" t="n">
        <v>45470</v>
      </c>
      <c r="H1049" s="19" t="n">
        <v>2.865</v>
      </c>
      <c r="J1049" s="16" t="n">
        <v>45470</v>
      </c>
      <c r="K1049" s="19" t="n">
        <v>2.111</v>
      </c>
      <c r="M1049" s="16" t="n">
        <v>44802</v>
      </c>
      <c r="N1049" s="19" t="n">
        <v>159506</v>
      </c>
    </row>
    <row r="1050">
      <c r="A1050" s="16" t="n">
        <v>44799</v>
      </c>
      <c r="B1050" s="19" t="n">
        <v>2371.07</v>
      </c>
      <c r="D1050" s="16" t="n">
        <v>44797</v>
      </c>
      <c r="E1050" s="19" t="n">
        <v>17.45</v>
      </c>
      <c r="G1050" s="16" t="n">
        <v>45471</v>
      </c>
      <c r="H1050" s="19" t="n">
        <v>2.722</v>
      </c>
      <c r="J1050" s="16" t="n">
        <v>45471</v>
      </c>
      <c r="K1050" s="19" t="n">
        <v>2.057</v>
      </c>
      <c r="M1050" s="16" t="n">
        <v>44799</v>
      </c>
      <c r="N1050" s="19" t="n">
        <v>161305</v>
      </c>
    </row>
    <row r="1051">
      <c r="A1051" s="16" t="n">
        <v>44798</v>
      </c>
      <c r="B1051" s="19" t="n">
        <v>2403.7</v>
      </c>
      <c r="D1051" s="16" t="n">
        <v>44796</v>
      </c>
      <c r="E1051" s="19" t="n">
        <v>18.42</v>
      </c>
      <c r="G1051" s="16" t="n">
        <v>45474</v>
      </c>
      <c r="H1051" s="19" t="n">
        <v>2.663</v>
      </c>
      <c r="J1051" s="16" t="n">
        <v>45474</v>
      </c>
      <c r="K1051" s="19" t="n">
        <v>2.04</v>
      </c>
      <c r="M1051" s="16" t="n">
        <v>44798</v>
      </c>
      <c r="N1051" s="19" t="n">
        <v>162241</v>
      </c>
    </row>
    <row r="1052">
      <c r="A1052" s="16" t="n">
        <v>44797</v>
      </c>
      <c r="B1052" s="19" t="n">
        <v>2405.58</v>
      </c>
      <c r="D1052" s="16" t="n">
        <v>44795</v>
      </c>
      <c r="E1052" s="19" t="n">
        <v>17.34</v>
      </c>
      <c r="G1052" s="16" t="n">
        <v>45475</v>
      </c>
      <c r="H1052" s="19" t="n">
        <v>2.678</v>
      </c>
      <c r="J1052" s="16" t="n">
        <v>45475</v>
      </c>
      <c r="K1052" s="19" t="n">
        <v>2.026</v>
      </c>
      <c r="M1052" s="16" t="n">
        <v>44797</v>
      </c>
      <c r="N1052" s="19" t="n">
        <v>162507</v>
      </c>
    </row>
    <row r="1053">
      <c r="A1053" s="16" t="n">
        <v>44796</v>
      </c>
      <c r="B1053" s="19" t="n">
        <v>2382.24</v>
      </c>
      <c r="D1053" s="16" t="n">
        <v>44792</v>
      </c>
      <c r="E1053" s="19" t="n">
        <v>18.97</v>
      </c>
      <c r="G1053" s="16" t="n">
        <v>45476</v>
      </c>
      <c r="H1053" s="19" t="n">
        <v>2.752</v>
      </c>
      <c r="J1053" s="16" t="n">
        <v>45476</v>
      </c>
      <c r="K1053" s="19" t="n">
        <v>2.04</v>
      </c>
      <c r="M1053" s="16" t="n">
        <v>44796</v>
      </c>
      <c r="N1053" s="19" t="n">
        <v>162125</v>
      </c>
    </row>
    <row r="1054">
      <c r="A1054" s="16" t="n">
        <v>44795</v>
      </c>
      <c r="B1054" s="19" t="n">
        <v>2377.31</v>
      </c>
      <c r="D1054" s="16" t="n">
        <v>44791</v>
      </c>
      <c r="E1054" s="19" t="n">
        <v>20.82</v>
      </c>
      <c r="G1054" s="16" t="n">
        <v>45477</v>
      </c>
      <c r="H1054" s="19" t="n">
        <v>2.768</v>
      </c>
      <c r="J1054" s="16" t="n">
        <v>45477</v>
      </c>
      <c r="K1054" s="19" t="n">
        <v>2.051</v>
      </c>
      <c r="M1054" s="16" t="n">
        <v>44795</v>
      </c>
      <c r="N1054" s="19" t="n">
        <v>162144</v>
      </c>
    </row>
    <row r="1055">
      <c r="A1055" s="16" t="n">
        <v>44792</v>
      </c>
      <c r="B1055" s="19" t="n">
        <v>2351.57</v>
      </c>
      <c r="D1055" s="16" t="n">
        <v>44790</v>
      </c>
      <c r="E1055" s="19" t="n">
        <v>23.44</v>
      </c>
      <c r="G1055" s="16" t="n">
        <v>45478</v>
      </c>
      <c r="H1055" s="19" t="n">
        <v>2.805</v>
      </c>
      <c r="J1055" s="16" t="n">
        <v>45478</v>
      </c>
      <c r="K1055" s="19" t="n">
        <v>2.054</v>
      </c>
      <c r="M1055" s="16" t="n">
        <v>44792</v>
      </c>
      <c r="N1055" s="19" t="n">
        <v>160832</v>
      </c>
    </row>
    <row r="1056">
      <c r="A1056" s="16" t="n">
        <v>44791</v>
      </c>
      <c r="B1056" s="19" t="n">
        <v>2323.61</v>
      </c>
      <c r="D1056" s="16" t="n">
        <v>44789</v>
      </c>
      <c r="E1056" s="19" t="n">
        <v>24.2</v>
      </c>
      <c r="G1056" s="16" t="n">
        <v>45481</v>
      </c>
      <c r="H1056" s="19" t="n">
        <v>2.794</v>
      </c>
      <c r="J1056" s="16" t="n">
        <v>45481</v>
      </c>
      <c r="K1056" s="19" t="n">
        <v>2.053</v>
      </c>
      <c r="M1056" s="16" t="n">
        <v>44791</v>
      </c>
      <c r="N1056" s="19" t="n">
        <v>159966</v>
      </c>
    </row>
    <row r="1057">
      <c r="A1057" s="16" t="n">
        <v>44790</v>
      </c>
      <c r="B1057" s="19" t="n">
        <v>2286.44</v>
      </c>
      <c r="D1057" s="16" t="n">
        <v>44785</v>
      </c>
      <c r="E1057" s="19" t="n">
        <v>25.1</v>
      </c>
      <c r="G1057" s="16" t="n">
        <v>45482</v>
      </c>
      <c r="H1057" s="19" t="n">
        <v>2.761</v>
      </c>
      <c r="J1057" s="16" t="n">
        <v>45482</v>
      </c>
      <c r="K1057" s="19" t="n">
        <v>2.005</v>
      </c>
      <c r="M1057" s="16" t="n">
        <v>44790</v>
      </c>
      <c r="N1057" s="19" t="n">
        <v>158535</v>
      </c>
    </row>
    <row r="1058">
      <c r="A1058" s="16" t="n">
        <v>44789</v>
      </c>
      <c r="B1058" s="19" t="n">
        <v>2295.98</v>
      </c>
      <c r="D1058" s="16" t="n">
        <v>44784</v>
      </c>
      <c r="E1058" s="19" t="n">
        <v>24.93</v>
      </c>
      <c r="G1058" s="16" t="n">
        <v>45483</v>
      </c>
      <c r="H1058" s="19" t="n">
        <v>2.812</v>
      </c>
      <c r="J1058" s="16" t="n">
        <v>45483</v>
      </c>
      <c r="K1058" s="19" t="n">
        <v>1.99</v>
      </c>
      <c r="M1058" s="16" t="n">
        <v>44789</v>
      </c>
      <c r="N1058" s="19" t="n">
        <v>157924</v>
      </c>
    </row>
    <row r="1059">
      <c r="A1059" s="16" t="n">
        <v>44785</v>
      </c>
      <c r="B1059" s="19" t="n">
        <v>2293.37</v>
      </c>
      <c r="D1059" s="16" t="n">
        <v>44783</v>
      </c>
      <c r="E1059" s="19" t="n">
        <v>24.5</v>
      </c>
      <c r="G1059" s="16" t="n">
        <v>45484</v>
      </c>
      <c r="H1059" s="19" t="n">
        <v>2.79</v>
      </c>
      <c r="J1059" s="16" t="n">
        <v>45484</v>
      </c>
      <c r="K1059" s="19" t="n">
        <v>1.986</v>
      </c>
      <c r="M1059" s="16" t="n">
        <v>44785</v>
      </c>
      <c r="N1059" s="19" t="n">
        <v>157908</v>
      </c>
    </row>
    <row r="1060">
      <c r="A1060" s="16" t="n">
        <v>44784</v>
      </c>
      <c r="B1060" s="19" t="n">
        <v>2307.9</v>
      </c>
      <c r="D1060" s="16" t="n">
        <v>44782</v>
      </c>
      <c r="E1060" s="19" t="n">
        <v>22.5</v>
      </c>
      <c r="G1060" s="16" t="n">
        <v>45485</v>
      </c>
      <c r="H1060" s="19" t="n">
        <v>2.729</v>
      </c>
      <c r="J1060" s="16" t="n">
        <v>45485</v>
      </c>
      <c r="K1060" s="19" t="n">
        <v>1.936</v>
      </c>
      <c r="M1060" s="16" t="n">
        <v>44784</v>
      </c>
      <c r="N1060" s="19" t="n">
        <v>158213</v>
      </c>
    </row>
    <row r="1061">
      <c r="A1061" s="16" t="n">
        <v>44783</v>
      </c>
      <c r="B1061" s="19" t="n">
        <v>2325.35</v>
      </c>
      <c r="D1061" s="16" t="n">
        <v>44781</v>
      </c>
      <c r="E1061" s="19" t="n">
        <v>21.86</v>
      </c>
      <c r="G1061" s="16" t="n">
        <v>45488</v>
      </c>
      <c r="H1061" s="19" t="n">
        <v>2.804</v>
      </c>
      <c r="J1061" s="16" t="n">
        <v>45488</v>
      </c>
      <c r="K1061" s="19" t="n">
        <v>1.995</v>
      </c>
      <c r="M1061" s="16" t="n">
        <v>44783</v>
      </c>
      <c r="N1061" s="19" t="n">
        <v>158771</v>
      </c>
    </row>
    <row r="1062">
      <c r="A1062" s="16" t="n">
        <v>44782</v>
      </c>
      <c r="B1062" s="19" t="n">
        <v>2362.21</v>
      </c>
      <c r="D1062" s="16" t="n">
        <v>44778</v>
      </c>
      <c r="E1062" s="19" t="n">
        <v>22.42</v>
      </c>
      <c r="G1062" s="16" t="n">
        <v>45489</v>
      </c>
      <c r="H1062" s="19" t="n">
        <v>2.706</v>
      </c>
      <c r="J1062" s="16" t="n">
        <v>45489</v>
      </c>
      <c r="K1062" s="19" t="n">
        <v>1.973</v>
      </c>
      <c r="M1062" s="16" t="n">
        <v>44782</v>
      </c>
      <c r="N1062" s="19" t="n">
        <v>160578</v>
      </c>
    </row>
    <row r="1063">
      <c r="A1063" s="16" t="n">
        <v>44781</v>
      </c>
      <c r="B1063" s="19" t="n">
        <v>2359.64</v>
      </c>
      <c r="D1063" s="16" t="n">
        <v>44777</v>
      </c>
      <c r="E1063" s="19" t="n">
        <v>21.42</v>
      </c>
      <c r="G1063" s="16" t="n">
        <v>45490</v>
      </c>
      <c r="H1063" s="19" t="n">
        <v>2.691</v>
      </c>
      <c r="J1063" s="16" t="n">
        <v>45490</v>
      </c>
      <c r="K1063" s="19" t="n">
        <v>1.931</v>
      </c>
      <c r="M1063" s="16" t="n">
        <v>44781</v>
      </c>
      <c r="N1063" s="19" t="n">
        <v>160214</v>
      </c>
    </row>
    <row r="1064">
      <c r="A1064" s="16" t="n">
        <v>44778</v>
      </c>
      <c r="B1064" s="19" t="n">
        <v>2336.66</v>
      </c>
      <c r="D1064" s="16" t="n">
        <v>44776</v>
      </c>
      <c r="E1064" s="19" t="n">
        <v>22.87</v>
      </c>
      <c r="G1064" s="16" t="n">
        <v>45491</v>
      </c>
      <c r="H1064" s="19" t="n">
        <v>2.68</v>
      </c>
      <c r="J1064" s="16" t="n">
        <v>45491</v>
      </c>
      <c r="K1064" s="19" t="n">
        <v>1.919</v>
      </c>
      <c r="M1064" s="16" t="n">
        <v>44778</v>
      </c>
      <c r="N1064" s="19" t="n">
        <v>158670</v>
      </c>
    </row>
    <row r="1065">
      <c r="A1065" s="16" t="n">
        <v>44777</v>
      </c>
      <c r="B1065" s="19" t="n">
        <v>2366.89</v>
      </c>
      <c r="D1065" s="16" t="n">
        <v>44775</v>
      </c>
      <c r="E1065" s="19" t="n">
        <v>24.02</v>
      </c>
      <c r="G1065" s="16" t="n">
        <v>45492</v>
      </c>
      <c r="H1065" s="19" t="n">
        <v>2.761</v>
      </c>
      <c r="J1065" s="16" t="n">
        <v>45492</v>
      </c>
      <c r="K1065" s="19" t="n">
        <v>1.95</v>
      </c>
      <c r="M1065" s="16" t="n">
        <v>44777</v>
      </c>
      <c r="N1065" s="19" t="n">
        <v>159639</v>
      </c>
    </row>
    <row r="1066">
      <c r="A1066" s="16" t="n">
        <v>44776</v>
      </c>
      <c r="B1066" s="19" t="n">
        <v>2350.48</v>
      </c>
      <c r="D1066" s="16" t="n">
        <v>44774</v>
      </c>
      <c r="E1066" s="19" t="n">
        <v>22.78</v>
      </c>
      <c r="G1066" s="16" t="n">
        <v>45495</v>
      </c>
      <c r="H1066" s="19" t="n">
        <v>2.718</v>
      </c>
      <c r="J1066" s="16" t="n">
        <v>45495</v>
      </c>
      <c r="K1066" s="19" t="n">
        <v>1.958</v>
      </c>
      <c r="M1066" s="16" t="n">
        <v>44776</v>
      </c>
      <c r="N1066" s="19" t="n">
        <v>159203</v>
      </c>
    </row>
    <row r="1067">
      <c r="A1067" s="16" t="n">
        <v>44775</v>
      </c>
      <c r="B1067" s="19" t="n">
        <v>2333.62</v>
      </c>
      <c r="D1067" s="16" t="n">
        <v>44771</v>
      </c>
      <c r="E1067" s="19" t="n">
        <v>23.68</v>
      </c>
      <c r="G1067" s="16" t="n">
        <v>45496</v>
      </c>
      <c r="H1067" s="19" t="n">
        <v>2.694</v>
      </c>
      <c r="J1067" s="16" t="n">
        <v>45496</v>
      </c>
      <c r="K1067" s="19" t="n">
        <v>1.952</v>
      </c>
      <c r="M1067" s="16" t="n">
        <v>44775</v>
      </c>
      <c r="N1067" s="19" t="n">
        <v>157787</v>
      </c>
    </row>
    <row r="1068">
      <c r="A1068" s="16" t="n">
        <v>44774</v>
      </c>
      <c r="B1068" s="19" t="n">
        <v>2363.5</v>
      </c>
      <c r="D1068" s="16" t="n">
        <v>44770</v>
      </c>
      <c r="E1068" s="19" t="n">
        <v>22.94</v>
      </c>
      <c r="G1068" s="16" t="n">
        <v>45497</v>
      </c>
      <c r="H1068" s="19" t="n">
        <v>2.712</v>
      </c>
      <c r="J1068" s="16" t="n">
        <v>45497</v>
      </c>
      <c r="K1068" s="19" t="n">
        <v>1.947</v>
      </c>
      <c r="M1068" s="16" t="n">
        <v>44774</v>
      </c>
      <c r="N1068" s="19" t="n">
        <v>159070</v>
      </c>
    </row>
    <row r="1069">
      <c r="A1069" s="16" t="n">
        <v>44771</v>
      </c>
      <c r="B1069" s="19" t="n">
        <v>2348.18</v>
      </c>
      <c r="D1069" s="16" t="n">
        <v>44769</v>
      </c>
      <c r="E1069" s="19" t="n">
        <v>23.52</v>
      </c>
      <c r="G1069" s="16" t="n">
        <v>45498</v>
      </c>
      <c r="H1069" s="19" t="n">
        <v>2.719</v>
      </c>
      <c r="J1069" s="16" t="n">
        <v>45498</v>
      </c>
      <c r="K1069" s="19" t="n">
        <v>1.97</v>
      </c>
      <c r="M1069" s="16" t="n">
        <v>44771</v>
      </c>
      <c r="N1069" s="19" t="n">
        <v>159307</v>
      </c>
    </row>
    <row r="1070">
      <c r="A1070" s="16" t="n">
        <v>44770</v>
      </c>
      <c r="B1070" s="19" t="n">
        <v>2361</v>
      </c>
      <c r="D1070" s="16" t="n">
        <v>44768</v>
      </c>
      <c r="E1070" s="19" t="n">
        <v>23.45</v>
      </c>
      <c r="G1070" s="16" t="n">
        <v>45499</v>
      </c>
      <c r="H1070" s="19" t="n">
        <v>2.67</v>
      </c>
      <c r="J1070" s="16" t="n">
        <v>45499</v>
      </c>
      <c r="K1070" s="19" t="n">
        <v>1.935</v>
      </c>
      <c r="M1070" s="16" t="n">
        <v>44770</v>
      </c>
      <c r="N1070" s="19" t="n">
        <v>160844</v>
      </c>
    </row>
    <row r="1071">
      <c r="A1071" s="16" t="n">
        <v>44769</v>
      </c>
      <c r="B1071" s="19" t="n">
        <v>2356.2</v>
      </c>
      <c r="D1071" s="16" t="n">
        <v>44767</v>
      </c>
      <c r="E1071" s="19" t="n">
        <v>23.28</v>
      </c>
      <c r="G1071" s="16" t="n">
        <v>45502</v>
      </c>
      <c r="H1071" s="19" t="n">
        <v>2.731</v>
      </c>
      <c r="J1071" s="16" t="n">
        <v>45502</v>
      </c>
      <c r="K1071" s="19" t="n">
        <v>1.951</v>
      </c>
      <c r="M1071" s="16" t="n">
        <v>44769</v>
      </c>
      <c r="N1071" s="19" t="n">
        <v>159873</v>
      </c>
    </row>
    <row r="1072">
      <c r="A1072" s="16" t="n">
        <v>44768</v>
      </c>
      <c r="B1072" s="19" t="n">
        <v>2358.46</v>
      </c>
      <c r="D1072" s="16" t="n">
        <v>44764</v>
      </c>
      <c r="E1072" s="19" t="n">
        <v>22.45</v>
      </c>
      <c r="G1072" s="16" t="n">
        <v>45503</v>
      </c>
      <c r="H1072" s="19" t="n">
        <v>2.664</v>
      </c>
      <c r="J1072" s="16" t="n">
        <v>45503</v>
      </c>
      <c r="K1072" s="19" t="n">
        <v>1.905</v>
      </c>
      <c r="M1072" s="16" t="n">
        <v>44768</v>
      </c>
      <c r="N1072" s="19" t="n">
        <v>160967</v>
      </c>
    </row>
    <row r="1073">
      <c r="A1073" s="16" t="n">
        <v>44767</v>
      </c>
      <c r="B1073" s="19" t="n">
        <v>2360.19</v>
      </c>
      <c r="D1073" s="16" t="n">
        <v>44763</v>
      </c>
      <c r="E1073" s="19" t="n">
        <v>22.42</v>
      </c>
      <c r="G1073" s="16" t="n">
        <v>45504</v>
      </c>
      <c r="H1073" s="19" t="n">
        <v>2.663</v>
      </c>
      <c r="J1073" s="16" t="n">
        <v>45504</v>
      </c>
      <c r="K1073" s="19" t="n">
        <v>1.91</v>
      </c>
      <c r="M1073" s="16" t="n">
        <v>44767</v>
      </c>
      <c r="N1073" s="19" t="n">
        <v>160424</v>
      </c>
    </row>
    <row r="1074">
      <c r="A1074" s="16" t="n">
        <v>44764</v>
      </c>
      <c r="B1074" s="19" t="n">
        <v>2368.56</v>
      </c>
      <c r="D1074" s="16" t="n">
        <v>44762</v>
      </c>
      <c r="E1074" s="19" t="n">
        <v>21.99</v>
      </c>
      <c r="G1074" s="16" t="n">
        <v>45505</v>
      </c>
      <c r="H1074" s="19" t="n">
        <v>2.595</v>
      </c>
      <c r="J1074" s="16" t="n">
        <v>45505</v>
      </c>
      <c r="K1074" s="19" t="n">
        <v>1.847</v>
      </c>
      <c r="M1074" s="16" t="n">
        <v>44764</v>
      </c>
      <c r="N1074" s="19" t="n">
        <v>159675</v>
      </c>
    </row>
    <row r="1075">
      <c r="A1075" s="16" t="n">
        <v>44763</v>
      </c>
      <c r="B1075" s="19" t="n">
        <v>2384.25</v>
      </c>
      <c r="D1075" s="16" t="n">
        <v>44761</v>
      </c>
      <c r="E1075" s="19" t="n">
        <v>22.4</v>
      </c>
      <c r="G1075" s="16" t="n">
        <v>45506</v>
      </c>
      <c r="H1075" s="19" t="n">
        <v>2.621</v>
      </c>
      <c r="J1075" s="16" t="n">
        <v>45506</v>
      </c>
      <c r="K1075" s="19" t="n">
        <v>1.845</v>
      </c>
      <c r="M1075" s="16" t="n">
        <v>44763</v>
      </c>
      <c r="N1075" s="19" t="n">
        <v>161008</v>
      </c>
    </row>
    <row r="1076">
      <c r="A1076" s="16" t="n">
        <v>44762</v>
      </c>
      <c r="B1076" s="19" t="n">
        <v>2381.62</v>
      </c>
      <c r="D1076" s="16" t="n">
        <v>44760</v>
      </c>
      <c r="E1076" s="19" t="n">
        <v>21.12</v>
      </c>
      <c r="G1076" s="16" t="n">
        <v>45509</v>
      </c>
      <c r="H1076" s="19" t="n">
        <v>2.596</v>
      </c>
      <c r="J1076" s="16" t="n">
        <v>45509</v>
      </c>
      <c r="K1076" s="19" t="n">
        <v>1.833</v>
      </c>
      <c r="M1076" s="16" t="n">
        <v>44762</v>
      </c>
      <c r="N1076" s="19" t="n">
        <v>160480</v>
      </c>
    </row>
    <row r="1077">
      <c r="A1077" s="16" t="n">
        <v>44761</v>
      </c>
      <c r="B1077" s="19" t="n">
        <v>2373.12</v>
      </c>
      <c r="D1077" s="16" t="n">
        <v>44757</v>
      </c>
      <c r="E1077" s="19" t="n">
        <v>22.67</v>
      </c>
      <c r="G1077" s="16" t="n">
        <v>45510</v>
      </c>
      <c r="H1077" s="19" t="n">
        <v>2.557</v>
      </c>
      <c r="J1077" s="16" t="n">
        <v>45510</v>
      </c>
      <c r="K1077" s="19" t="n">
        <v>1.828</v>
      </c>
      <c r="M1077" s="16" t="n">
        <v>44761</v>
      </c>
      <c r="N1077" s="19" t="n">
        <v>160759</v>
      </c>
    </row>
    <row r="1078">
      <c r="A1078" s="16" t="n">
        <v>44760</v>
      </c>
      <c r="B1078" s="19" t="n">
        <v>2376.96</v>
      </c>
      <c r="D1078" s="16" t="n">
        <v>44756</v>
      </c>
      <c r="E1078" s="19" t="n">
        <v>22.72</v>
      </c>
      <c r="G1078" s="16" t="n">
        <v>45511</v>
      </c>
      <c r="H1078" s="19" t="n">
        <v>2.601</v>
      </c>
      <c r="J1078" s="16" t="n">
        <v>45511</v>
      </c>
      <c r="K1078" s="19" t="n">
        <v>1.832</v>
      </c>
      <c r="M1078" s="16" t="n">
        <v>44760</v>
      </c>
      <c r="N1078" s="19" t="n">
        <v>160134</v>
      </c>
    </row>
    <row r="1079">
      <c r="A1079" s="16" t="n">
        <v>44757</v>
      </c>
      <c r="B1079" s="19" t="n">
        <v>2350.82</v>
      </c>
      <c r="D1079" s="16" t="n">
        <v>44755</v>
      </c>
      <c r="E1079" s="19" t="n">
        <v>24.22</v>
      </c>
      <c r="G1079" s="16" t="n">
        <v>45512</v>
      </c>
      <c r="H1079" s="19" t="n">
        <v>2.62</v>
      </c>
      <c r="J1079" s="16" t="n">
        <v>45512</v>
      </c>
      <c r="K1079" s="19" t="n">
        <v>1.81</v>
      </c>
      <c r="M1079" s="16" t="n">
        <v>44757</v>
      </c>
      <c r="N1079" s="19" t="n">
        <v>158017</v>
      </c>
    </row>
    <row r="1080">
      <c r="A1080" s="16" t="n">
        <v>44756</v>
      </c>
      <c r="B1080" s="19" t="n">
        <v>2335.48</v>
      </c>
      <c r="D1080" s="16" t="n">
        <v>44754</v>
      </c>
      <c r="E1080" s="19" t="n">
        <v>23.79</v>
      </c>
      <c r="G1080" s="16" t="n">
        <v>45513</v>
      </c>
      <c r="H1080" s="19" t="n">
        <v>2.637</v>
      </c>
      <c r="J1080" s="16" t="n">
        <v>45513</v>
      </c>
      <c r="K1080" s="19" t="n">
        <v>1.765</v>
      </c>
      <c r="M1080" s="16" t="n">
        <v>44756</v>
      </c>
      <c r="N1080" s="19" t="n">
        <v>157847</v>
      </c>
    </row>
    <row r="1081">
      <c r="A1081" s="16" t="n">
        <v>44755</v>
      </c>
      <c r="B1081" s="19" t="n">
        <v>2325.01</v>
      </c>
      <c r="D1081" s="16" t="n">
        <v>44753</v>
      </c>
      <c r="E1081" s="19" t="n">
        <v>23.52</v>
      </c>
      <c r="G1081" s="16" t="n">
        <v>45516</v>
      </c>
      <c r="H1081" s="19" t="n">
        <v>2.641</v>
      </c>
      <c r="J1081" s="16" t="n">
        <v>45516</v>
      </c>
      <c r="K1081" s="19" t="n">
        <v>1.786</v>
      </c>
      <c r="M1081" s="16" t="n">
        <v>44755</v>
      </c>
      <c r="N1081" s="19" t="n">
        <v>158261</v>
      </c>
    </row>
    <row r="1082">
      <c r="A1082" s="16" t="n">
        <v>44754</v>
      </c>
      <c r="B1082" s="19" t="n">
        <v>2347.95</v>
      </c>
      <c r="D1082" s="16" t="n">
        <v>44750</v>
      </c>
      <c r="E1082" s="19" t="n">
        <v>22.66</v>
      </c>
      <c r="G1082" s="16" t="n">
        <v>45517</v>
      </c>
      <c r="H1082" s="19" t="n">
        <v>2.711</v>
      </c>
      <c r="J1082" s="16" t="n">
        <v>45517</v>
      </c>
      <c r="K1082" s="19" t="n">
        <v>1.808</v>
      </c>
      <c r="M1082" s="16" t="n">
        <v>44754</v>
      </c>
      <c r="N1082" s="19" t="n">
        <v>158793</v>
      </c>
    </row>
    <row r="1083">
      <c r="A1083" s="16" t="n">
        <v>44753</v>
      </c>
      <c r="B1083" s="19" t="n">
        <v>2345.54</v>
      </c>
      <c r="D1083" s="16" t="n">
        <v>44749</v>
      </c>
      <c r="E1083" s="19" t="n">
        <v>23.92</v>
      </c>
      <c r="G1083" s="16" t="n">
        <v>45518</v>
      </c>
      <c r="H1083" s="19" t="n">
        <v>2.633</v>
      </c>
      <c r="J1083" s="16" t="n">
        <v>45518</v>
      </c>
      <c r="K1083" s="19" t="n">
        <v>1.813</v>
      </c>
      <c r="M1083" s="16" t="n">
        <v>44753</v>
      </c>
      <c r="N1083" s="19" t="n">
        <v>159313</v>
      </c>
    </row>
    <row r="1084">
      <c r="A1084" s="16" t="n">
        <v>44750</v>
      </c>
      <c r="B1084" s="19" t="n">
        <v>2366.36</v>
      </c>
      <c r="D1084" s="16" t="n">
        <v>44748</v>
      </c>
      <c r="E1084" s="19" t="n">
        <v>22.55</v>
      </c>
      <c r="G1084" s="16" t="n">
        <v>45520</v>
      </c>
      <c r="H1084" s="19" t="n">
        <v>2.6</v>
      </c>
      <c r="J1084" s="16" t="n">
        <v>45520</v>
      </c>
      <c r="K1084" s="19" t="n">
        <v>1.809</v>
      </c>
      <c r="M1084" s="16" t="n">
        <v>44750</v>
      </c>
      <c r="N1084" s="19" t="n">
        <v>160435</v>
      </c>
    </row>
    <row r="1085">
      <c r="A1085" s="16" t="n">
        <v>44749</v>
      </c>
      <c r="B1085" s="19" t="n">
        <v>2343.25</v>
      </c>
      <c r="D1085" s="16" t="n">
        <v>44747</v>
      </c>
      <c r="E1085" s="19" t="n">
        <v>24.55</v>
      </c>
      <c r="G1085" s="16" t="n">
        <v>45523</v>
      </c>
      <c r="H1085" s="19" t="n">
        <v>2.665</v>
      </c>
      <c r="J1085" s="16" t="n">
        <v>45523</v>
      </c>
      <c r="K1085" s="19" t="n">
        <v>1.836</v>
      </c>
      <c r="M1085" s="16" t="n">
        <v>44749</v>
      </c>
      <c r="N1085" s="19" t="n">
        <v>159686</v>
      </c>
    </row>
    <row r="1086">
      <c r="A1086" s="16" t="n">
        <v>44748</v>
      </c>
      <c r="B1086" s="19" t="n">
        <v>2372.99</v>
      </c>
      <c r="D1086" s="16" t="n">
        <v>44746</v>
      </c>
      <c r="E1086" s="19" t="n">
        <v>23.05</v>
      </c>
      <c r="G1086" s="16" t="n">
        <v>45524</v>
      </c>
      <c r="H1086" s="19" t="n">
        <v>2.576</v>
      </c>
      <c r="J1086" s="16" t="n">
        <v>45524</v>
      </c>
      <c r="K1086" s="19" t="n">
        <v>1.812</v>
      </c>
      <c r="M1086" s="16" t="n">
        <v>44748</v>
      </c>
      <c r="N1086" s="19" t="n">
        <v>160210</v>
      </c>
    </row>
    <row r="1087">
      <c r="A1087" s="16" t="n">
        <v>44747</v>
      </c>
      <c r="B1087" s="19" t="n">
        <v>2338.54</v>
      </c>
      <c r="D1087" s="16" t="n">
        <v>44743</v>
      </c>
      <c r="E1087" s="19" t="n">
        <v>24.38</v>
      </c>
      <c r="G1087" s="16" t="n">
        <v>45525</v>
      </c>
      <c r="H1087" s="19" t="n">
        <v>2.63</v>
      </c>
      <c r="J1087" s="16" t="n">
        <v>45525</v>
      </c>
      <c r="K1087" s="19" t="n">
        <v>1.839</v>
      </c>
      <c r="M1087" s="16" t="n">
        <v>44747</v>
      </c>
      <c r="N1087" s="19" t="n">
        <v>159515</v>
      </c>
    </row>
    <row r="1088">
      <c r="A1088" s="16" t="n">
        <v>44746</v>
      </c>
      <c r="B1088" s="19" t="n">
        <v>2356.59</v>
      </c>
      <c r="D1088" s="16" t="n">
        <v>44742</v>
      </c>
      <c r="E1088" s="19" t="n">
        <v>22.73</v>
      </c>
      <c r="G1088" s="16" t="n">
        <v>45526</v>
      </c>
      <c r="H1088" s="19" t="n">
        <v>2.643</v>
      </c>
      <c r="J1088" s="16" t="n">
        <v>45526</v>
      </c>
      <c r="K1088" s="19" t="n">
        <v>1.849</v>
      </c>
      <c r="M1088" s="16" t="n">
        <v>44746</v>
      </c>
      <c r="N1088" s="19" t="n">
        <v>161447</v>
      </c>
    </row>
    <row r="1089">
      <c r="A1089" s="16" t="n">
        <v>44743</v>
      </c>
      <c r="B1089" s="19" t="n">
        <v>2319.42</v>
      </c>
      <c r="D1089" s="16" t="n">
        <v>44741</v>
      </c>
      <c r="E1089" s="19" t="n">
        <v>23.45</v>
      </c>
      <c r="G1089" s="16" t="n">
        <v>45527</v>
      </c>
      <c r="H1089" s="19" t="n">
        <v>2.62</v>
      </c>
      <c r="J1089" s="16" t="n">
        <v>45527</v>
      </c>
      <c r="K1089" s="19" t="n">
        <v>1.838</v>
      </c>
      <c r="M1089" s="16" t="n">
        <v>44743</v>
      </c>
      <c r="N1089" s="19" t="n">
        <v>160095</v>
      </c>
    </row>
    <row r="1090">
      <c r="A1090" s="16" t="n">
        <v>44742</v>
      </c>
      <c r="B1090" s="19" t="n">
        <v>2362.66</v>
      </c>
      <c r="D1090" s="16" t="n">
        <v>44740</v>
      </c>
      <c r="E1090" s="19" t="n">
        <v>21.13</v>
      </c>
      <c r="G1090" s="16" t="n">
        <v>45530</v>
      </c>
      <c r="H1090" s="19" t="n">
        <v>2.629</v>
      </c>
      <c r="J1090" s="16" t="n">
        <v>45530</v>
      </c>
      <c r="K1090" s="19" t="n">
        <v>1.868</v>
      </c>
      <c r="M1090" s="16" t="n">
        <v>44742</v>
      </c>
      <c r="N1090" s="19" t="n">
        <v>161906</v>
      </c>
    </row>
    <row r="1091">
      <c r="A1091" s="16" t="n">
        <v>44741</v>
      </c>
      <c r="B1091" s="19" t="n">
        <v>2357.45</v>
      </c>
      <c r="D1091" s="16" t="n">
        <v>44739</v>
      </c>
      <c r="E1091" s="19" t="n">
        <v>19.77</v>
      </c>
      <c r="G1091" s="16" t="n">
        <v>45531</v>
      </c>
      <c r="H1091" s="19" t="n">
        <v>2.697</v>
      </c>
      <c r="J1091" s="16" t="n">
        <v>45531</v>
      </c>
      <c r="K1091" s="19" t="n">
        <v>1.87</v>
      </c>
      <c r="M1091" s="16" t="n">
        <v>44741</v>
      </c>
      <c r="N1091" s="19" t="n">
        <v>161182</v>
      </c>
    </row>
    <row r="1092">
      <c r="A1092" s="16" t="n">
        <v>44740</v>
      </c>
      <c r="B1092" s="19" t="n">
        <v>2418.46</v>
      </c>
      <c r="D1092" s="16" t="n">
        <v>44736</v>
      </c>
      <c r="E1092" s="19" t="n">
        <v>20.13</v>
      </c>
      <c r="G1092" s="16" t="n">
        <v>45532</v>
      </c>
      <c r="H1092" s="19" t="n">
        <v>2.66</v>
      </c>
      <c r="J1092" s="16" t="n">
        <v>45532</v>
      </c>
      <c r="K1092" s="19" t="n">
        <v>1.852</v>
      </c>
      <c r="M1092" s="16" t="n">
        <v>44740</v>
      </c>
      <c r="N1092" s="19" t="n">
        <v>162342</v>
      </c>
    </row>
    <row r="1093">
      <c r="A1093" s="16" t="n">
        <v>44739</v>
      </c>
      <c r="B1093" s="19" t="n">
        <v>2433.56</v>
      </c>
      <c r="D1093" s="16" t="n">
        <v>44735</v>
      </c>
      <c r="E1093" s="19" t="n">
        <v>18.75</v>
      </c>
      <c r="G1093" s="16" t="n">
        <v>45533</v>
      </c>
      <c r="H1093" s="19" t="n">
        <v>2.614</v>
      </c>
      <c r="J1093" s="16" t="n">
        <v>45533</v>
      </c>
      <c r="K1093" s="19" t="n">
        <v>1.831</v>
      </c>
      <c r="M1093" s="16" t="n">
        <v>44739</v>
      </c>
      <c r="N1093" s="19" t="n">
        <v>160636</v>
      </c>
    </row>
    <row r="1094">
      <c r="A1094" s="16" t="n">
        <v>44736</v>
      </c>
      <c r="B1094" s="19" t="n">
        <v>2429.01</v>
      </c>
      <c r="D1094" s="16" t="n">
        <v>44734</v>
      </c>
      <c r="E1094" s="19" t="n">
        <v>20.54</v>
      </c>
      <c r="G1094" s="16" t="n">
        <v>45534</v>
      </c>
      <c r="H1094" s="19" t="n">
        <v>2.656</v>
      </c>
      <c r="J1094" s="16" t="n">
        <v>45534</v>
      </c>
      <c r="K1094" s="19" t="n">
        <v>1.844</v>
      </c>
      <c r="M1094" s="16" t="n">
        <v>44736</v>
      </c>
      <c r="N1094" s="19" t="n">
        <v>159926</v>
      </c>
    </row>
    <row r="1095">
      <c r="A1095" s="16" t="n">
        <v>44735</v>
      </c>
      <c r="B1095" s="19" t="n">
        <v>2468.81</v>
      </c>
      <c r="D1095" s="16" t="n">
        <v>44733</v>
      </c>
      <c r="E1095" s="19" t="n">
        <v>20.18</v>
      </c>
      <c r="G1095" s="16" t="n">
        <v>45537</v>
      </c>
      <c r="H1095" s="19" t="n">
        <v>2.58</v>
      </c>
      <c r="J1095" s="16" t="n">
        <v>45537</v>
      </c>
      <c r="K1095" s="19" t="n">
        <v>1.805</v>
      </c>
      <c r="M1095" s="16" t="n">
        <v>44735</v>
      </c>
      <c r="N1095" s="19" t="n">
        <v>159618</v>
      </c>
    </row>
    <row r="1096">
      <c r="A1096" s="16" t="n">
        <v>44734</v>
      </c>
      <c r="B1096" s="19" t="n">
        <v>2448.07</v>
      </c>
      <c r="D1096" s="16" t="n">
        <v>44732</v>
      </c>
      <c r="E1096" s="19" t="n">
        <v>19.12</v>
      </c>
      <c r="G1096" s="16" t="n">
        <v>45538</v>
      </c>
      <c r="H1096" s="19" t="n">
        <v>2.616</v>
      </c>
      <c r="J1096" s="16" t="n">
        <v>45538</v>
      </c>
      <c r="K1096" s="19" t="n">
        <v>1.844</v>
      </c>
      <c r="M1096" s="16" t="n">
        <v>44734</v>
      </c>
      <c r="N1096" s="19" t="n">
        <v>157899</v>
      </c>
    </row>
    <row r="1097">
      <c r="A1097" s="16" t="n">
        <v>44733</v>
      </c>
      <c r="B1097" s="19" t="n">
        <v>2463.82</v>
      </c>
      <c r="D1097" s="16" t="n">
        <v>44729</v>
      </c>
      <c r="E1097" s="19" t="n">
        <v>19.04</v>
      </c>
      <c r="G1097" s="16" t="n">
        <v>45539</v>
      </c>
      <c r="H1097" s="19" t="n">
        <v>2.708</v>
      </c>
      <c r="J1097" s="16" t="n">
        <v>45539</v>
      </c>
      <c r="K1097" s="19" t="n">
        <v>1.892</v>
      </c>
      <c r="M1097" s="16" t="n">
        <v>44733</v>
      </c>
      <c r="N1097" s="19" t="n">
        <v>158644</v>
      </c>
    </row>
    <row r="1098">
      <c r="A1098" s="16" t="n">
        <v>44732</v>
      </c>
      <c r="B1098" s="19" t="n">
        <v>2466.63</v>
      </c>
      <c r="D1098" s="16" t="n">
        <v>44728</v>
      </c>
      <c r="E1098" s="19" t="n">
        <v>20.44</v>
      </c>
      <c r="G1098" s="16" t="n">
        <v>45540</v>
      </c>
      <c r="H1098" s="19" t="n">
        <v>2.663</v>
      </c>
      <c r="J1098" s="16" t="n">
        <v>45540</v>
      </c>
      <c r="K1098" s="19" t="n">
        <v>1.892</v>
      </c>
      <c r="M1098" s="16" t="n">
        <v>44732</v>
      </c>
      <c r="N1098" s="19" t="n">
        <v>158244</v>
      </c>
    </row>
    <row r="1099">
      <c r="A1099" s="16" t="n">
        <v>44729</v>
      </c>
      <c r="B1099" s="19" t="n">
        <v>2481.08</v>
      </c>
      <c r="D1099" s="16" t="n">
        <v>44727</v>
      </c>
      <c r="E1099" s="19" t="n">
        <v>20.24</v>
      </c>
      <c r="G1099" s="16" t="n">
        <v>45541</v>
      </c>
      <c r="H1099" s="19" t="n">
        <v>2.681</v>
      </c>
      <c r="J1099" s="16" t="n">
        <v>45541</v>
      </c>
      <c r="K1099" s="19" t="n">
        <v>1.928</v>
      </c>
      <c r="M1099" s="16" t="n">
        <v>44729</v>
      </c>
      <c r="N1099" s="19" t="n">
        <v>159023</v>
      </c>
    </row>
    <row r="1100">
      <c r="A1100" s="16" t="n">
        <v>44728</v>
      </c>
      <c r="B1100" s="19" t="n">
        <v>2463.5</v>
      </c>
      <c r="D1100" s="16" t="n">
        <v>44726</v>
      </c>
      <c r="E1100" s="19" t="n">
        <v>19.79</v>
      </c>
      <c r="G1100" s="16" t="n">
        <v>45544</v>
      </c>
      <c r="H1100" s="19" t="n">
        <v>2.699</v>
      </c>
      <c r="J1100" s="16" t="n">
        <v>45544</v>
      </c>
      <c r="K1100" s="19" t="n">
        <v>1.957</v>
      </c>
      <c r="M1100" s="16" t="n">
        <v>44728</v>
      </c>
      <c r="N1100" s="19" t="n">
        <v>158667</v>
      </c>
    </row>
    <row r="1101">
      <c r="A1101" s="16" t="n">
        <v>44727</v>
      </c>
      <c r="B1101" s="19" t="n">
        <v>2470.36</v>
      </c>
      <c r="D1101" s="16" t="n">
        <v>44725</v>
      </c>
      <c r="E1101" s="19" t="n">
        <v>22.05</v>
      </c>
      <c r="G1101" s="16" t="n">
        <v>45545</v>
      </c>
      <c r="H1101" s="19" t="n">
        <v>2.624</v>
      </c>
      <c r="J1101" s="16" t="n">
        <v>45545</v>
      </c>
      <c r="K1101" s="19" t="n">
        <v>1.937</v>
      </c>
      <c r="M1101" s="16" t="n">
        <v>44727</v>
      </c>
      <c r="N1101" s="19" t="n">
        <v>158767</v>
      </c>
    </row>
    <row r="1102">
      <c r="A1102" s="16" t="n">
        <v>44726</v>
      </c>
      <c r="B1102" s="19" t="n">
        <v>2475.75</v>
      </c>
      <c r="D1102" s="16" t="n">
        <v>44722</v>
      </c>
      <c r="E1102" s="19" t="n">
        <v>20.56</v>
      </c>
      <c r="G1102" s="16" t="n">
        <v>45546</v>
      </c>
      <c r="H1102" s="19" t="n">
        <v>2.626</v>
      </c>
      <c r="J1102" s="16" t="n">
        <v>45546</v>
      </c>
      <c r="K1102" s="19" t="n">
        <v>1.911</v>
      </c>
      <c r="M1102" s="16" t="n">
        <v>44726</v>
      </c>
      <c r="N1102" s="19" t="n">
        <v>158504</v>
      </c>
    </row>
    <row r="1103">
      <c r="A1103" s="16" t="n">
        <v>44725</v>
      </c>
      <c r="B1103" s="19" t="n">
        <v>2406.94</v>
      </c>
      <c r="D1103" s="16" t="n">
        <v>44721</v>
      </c>
      <c r="E1103" s="19" t="n">
        <v>20.92</v>
      </c>
      <c r="G1103" s="16" t="n">
        <v>45547</v>
      </c>
      <c r="H1103" s="19" t="n">
        <v>2.627</v>
      </c>
      <c r="J1103" s="16" t="n">
        <v>45547</v>
      </c>
      <c r="K1103" s="19" t="n">
        <v>1.919</v>
      </c>
      <c r="M1103" s="16" t="n">
        <v>44725</v>
      </c>
      <c r="N1103" s="19" t="n">
        <v>156292</v>
      </c>
    </row>
    <row r="1104">
      <c r="A1104" s="16" t="n">
        <v>44722</v>
      </c>
      <c r="B1104" s="19" t="n">
        <v>2441.82</v>
      </c>
      <c r="D1104" s="16" t="n">
        <v>44720</v>
      </c>
      <c r="E1104" s="19" t="n">
        <v>20.17</v>
      </c>
      <c r="G1104" s="16" t="n">
        <v>45548</v>
      </c>
      <c r="H1104" s="19" t="n">
        <v>2.604</v>
      </c>
      <c r="J1104" s="16" t="n">
        <v>45548</v>
      </c>
      <c r="K1104" s="19" t="n">
        <v>1.92</v>
      </c>
      <c r="M1104" s="16" t="n">
        <v>44722</v>
      </c>
      <c r="N1104" s="19" t="n">
        <v>156999</v>
      </c>
    </row>
    <row r="1105">
      <c r="A1105" s="16" t="n">
        <v>44721</v>
      </c>
      <c r="B1105" s="19" t="n">
        <v>2447.16</v>
      </c>
      <c r="D1105" s="16" t="n">
        <v>44719</v>
      </c>
      <c r="E1105" s="19" t="n">
        <v>21.27</v>
      </c>
      <c r="G1105" s="16" t="n">
        <v>45551</v>
      </c>
      <c r="H1105" s="19" t="n">
        <v>2.578</v>
      </c>
      <c r="J1105" s="16" t="n">
        <v>45551</v>
      </c>
      <c r="K1105" s="19" t="n">
        <v>1.896</v>
      </c>
      <c r="M1105" s="16" t="n">
        <v>44721</v>
      </c>
      <c r="N1105" s="19" t="n">
        <v>157362</v>
      </c>
    </row>
    <row r="1106">
      <c r="A1106" s="16" t="n">
        <v>44720</v>
      </c>
      <c r="B1106" s="19" t="n">
        <v>2471.66</v>
      </c>
      <c r="D1106" s="16" t="n">
        <v>44718</v>
      </c>
      <c r="E1106" s="19" t="n">
        <v>20.71</v>
      </c>
      <c r="G1106" s="16" t="n">
        <v>45552</v>
      </c>
      <c r="H1106" s="19" t="n">
        <v>2.56</v>
      </c>
      <c r="J1106" s="16" t="n">
        <v>45552</v>
      </c>
      <c r="K1106" s="19" t="n">
        <v>1.885</v>
      </c>
      <c r="M1106" s="16" t="n">
        <v>44720</v>
      </c>
      <c r="N1106" s="19" t="n">
        <v>157867</v>
      </c>
    </row>
    <row r="1107">
      <c r="A1107" s="16" t="n">
        <v>44719</v>
      </c>
      <c r="B1107" s="19" t="n">
        <v>2448.57</v>
      </c>
      <c r="D1107" s="16" t="n">
        <v>44715</v>
      </c>
      <c r="E1107" s="19" t="n">
        <v>18.09</v>
      </c>
      <c r="G1107" s="16" t="n">
        <v>45553</v>
      </c>
      <c r="H1107" s="19" t="n">
        <v>2.445</v>
      </c>
      <c r="J1107" s="16" t="n">
        <v>45553</v>
      </c>
      <c r="K1107" s="19" t="n">
        <v>1.831</v>
      </c>
      <c r="M1107" s="16" t="n">
        <v>44719</v>
      </c>
      <c r="N1107" s="19" t="n">
        <v>155860</v>
      </c>
    </row>
    <row r="1108">
      <c r="A1108" s="16" t="n">
        <v>44718</v>
      </c>
      <c r="B1108" s="19" t="n">
        <v>2446.9</v>
      </c>
      <c r="D1108" s="16" t="n">
        <v>44714</v>
      </c>
      <c r="E1108" s="19" t="n">
        <v>19.24</v>
      </c>
      <c r="G1108" s="16" t="n">
        <v>45554</v>
      </c>
      <c r="H1108" s="19" t="n">
        <v>2.51</v>
      </c>
      <c r="J1108" s="16" t="n">
        <v>45554</v>
      </c>
      <c r="K1108" s="19" t="n">
        <v>1.892</v>
      </c>
      <c r="M1108" s="16" t="n">
        <v>44718</v>
      </c>
      <c r="N1108" s="19" t="n">
        <v>156342</v>
      </c>
    </row>
    <row r="1109">
      <c r="A1109" s="16" t="n">
        <v>44715</v>
      </c>
      <c r="B1109" s="19" t="n">
        <v>2489.02</v>
      </c>
      <c r="D1109" s="16" t="n">
        <v>44713</v>
      </c>
      <c r="E1109" s="19" t="n">
        <v>18.25</v>
      </c>
      <c r="G1109" s="16" t="n">
        <v>45555</v>
      </c>
      <c r="H1109" s="19" t="n">
        <v>2.52</v>
      </c>
      <c r="J1109" s="16" t="n">
        <v>45555</v>
      </c>
      <c r="K1109" s="19" t="n">
        <v>1.901</v>
      </c>
      <c r="M1109" s="16" t="n">
        <v>44715</v>
      </c>
      <c r="N1109" s="19" t="n">
        <v>157066</v>
      </c>
    </row>
    <row r="1110">
      <c r="A1110" s="16" t="n">
        <v>44714</v>
      </c>
      <c r="B1110" s="19" t="n">
        <v>2460.08</v>
      </c>
      <c r="D1110" s="16" t="n">
        <v>44712</v>
      </c>
      <c r="E1110" s="19" t="n">
        <v>20.07</v>
      </c>
      <c r="G1110" s="16" t="n">
        <v>45558</v>
      </c>
      <c r="H1110" s="19" t="n">
        <v>2.56</v>
      </c>
      <c r="J1110" s="16" t="n">
        <v>45558</v>
      </c>
      <c r="K1110" s="19" t="n">
        <v>1.911</v>
      </c>
      <c r="M1110" s="16" t="n">
        <v>44714</v>
      </c>
      <c r="N1110" s="19" t="n">
        <v>155975</v>
      </c>
    </row>
    <row r="1111">
      <c r="A1111" s="16" t="n">
        <v>44713</v>
      </c>
      <c r="B1111" s="19" t="n">
        <v>2487.07</v>
      </c>
      <c r="D1111" s="16" t="n">
        <v>44711</v>
      </c>
      <c r="E1111" s="19" t="n">
        <v>18.17</v>
      </c>
      <c r="G1111" s="16" t="n">
        <v>45559</v>
      </c>
      <c r="H1111" s="19" t="n">
        <v>2.584</v>
      </c>
      <c r="J1111" s="16" t="n">
        <v>45559</v>
      </c>
      <c r="K1111" s="19" t="n">
        <v>1.928</v>
      </c>
      <c r="M1111" s="16" t="n">
        <v>44713</v>
      </c>
      <c r="N1111" s="19" t="n">
        <v>156902</v>
      </c>
    </row>
    <row r="1112">
      <c r="A1112" s="16" t="n">
        <v>44712</v>
      </c>
      <c r="B1112" s="19" t="n">
        <v>2456.4</v>
      </c>
      <c r="D1112" s="16" t="n">
        <v>44708</v>
      </c>
      <c r="E1112" s="19" t="n">
        <v>18.46</v>
      </c>
      <c r="G1112" s="16" t="n">
        <v>45560</v>
      </c>
      <c r="H1112" s="19" t="n">
        <v>2.559</v>
      </c>
      <c r="J1112" s="16" t="n">
        <v>45560</v>
      </c>
      <c r="K1112" s="19" t="n">
        <v>1.925</v>
      </c>
      <c r="M1112" s="16" t="n">
        <v>44712</v>
      </c>
      <c r="N1112" s="19" t="n">
        <v>155973</v>
      </c>
    </row>
    <row r="1113">
      <c r="A1113" s="16" t="n">
        <v>44711</v>
      </c>
      <c r="B1113" s="19" t="n">
        <v>2482.93</v>
      </c>
      <c r="D1113" s="16" t="n">
        <v>44707</v>
      </c>
      <c r="E1113" s="19" t="n">
        <v>19.15</v>
      </c>
      <c r="G1113" s="16" t="n">
        <v>45561</v>
      </c>
      <c r="H1113" s="19" t="n">
        <v>2.559</v>
      </c>
      <c r="J1113" s="16" t="n">
        <v>45561</v>
      </c>
      <c r="K1113" s="19" t="n">
        <v>1.891</v>
      </c>
      <c r="M1113" s="16" t="n">
        <v>44711</v>
      </c>
      <c r="N1113" s="19" t="n">
        <v>157571</v>
      </c>
    </row>
    <row r="1114">
      <c r="A1114" s="16" t="n">
        <v>44708</v>
      </c>
      <c r="B1114" s="19" t="n">
        <v>2458.37</v>
      </c>
      <c r="D1114" s="16" t="n">
        <v>44706</v>
      </c>
      <c r="E1114" s="19" t="n">
        <v>16.88</v>
      </c>
      <c r="G1114" s="16" t="n">
        <v>45562</v>
      </c>
      <c r="H1114" s="19" t="n">
        <v>2.553</v>
      </c>
      <c r="J1114" s="16" t="n">
        <v>45562</v>
      </c>
      <c r="K1114" s="19" t="n">
        <v>1.903</v>
      </c>
      <c r="M1114" s="16" t="n">
        <v>44708</v>
      </c>
      <c r="N1114" s="19" t="n">
        <v>157915</v>
      </c>
    </row>
    <row r="1115">
      <c r="A1115" s="16" t="n">
        <v>44707</v>
      </c>
      <c r="B1115" s="19" t="n">
        <v>2454.07</v>
      </c>
      <c r="D1115" s="16" t="n">
        <v>44705</v>
      </c>
      <c r="E1115" s="19" t="n">
        <v>18.02</v>
      </c>
      <c r="G1115" s="16" t="n">
        <v>45565</v>
      </c>
      <c r="H1115" s="19" t="n">
        <v>2.56</v>
      </c>
      <c r="J1115" s="16" t="n">
        <v>45565</v>
      </c>
      <c r="K1115" s="19" t="n">
        <v>1.893</v>
      </c>
      <c r="M1115" s="16" t="n">
        <v>44707</v>
      </c>
      <c r="N1115" s="19" t="n">
        <v>159708</v>
      </c>
    </row>
    <row r="1116">
      <c r="A1116" s="16" t="n">
        <v>44706</v>
      </c>
      <c r="B1116" s="19" t="n">
        <v>2492.26</v>
      </c>
      <c r="D1116" s="16" t="n">
        <v>44704</v>
      </c>
      <c r="E1116" s="19" t="n">
        <v>18.01</v>
      </c>
      <c r="G1116" s="16" t="n">
        <v>45566</v>
      </c>
      <c r="H1116" s="19" t="n">
        <v>2.671</v>
      </c>
      <c r="J1116" s="16" t="n">
        <v>45566</v>
      </c>
      <c r="K1116" s="19" t="n">
        <v>1.934</v>
      </c>
      <c r="M1116" s="16" t="n">
        <v>44706</v>
      </c>
      <c r="N1116" s="19" t="n">
        <v>160051</v>
      </c>
    </row>
    <row r="1117">
      <c r="A1117" s="16" t="n">
        <v>44705</v>
      </c>
      <c r="B1117" s="19" t="n">
        <v>2474.54</v>
      </c>
      <c r="D1117" s="16" t="n">
        <v>44701</v>
      </c>
      <c r="E1117" s="19" t="n">
        <v>18.41</v>
      </c>
      <c r="G1117" s="16" t="n">
        <v>45567</v>
      </c>
      <c r="H1117" s="19" t="n">
        <v>2.677</v>
      </c>
      <c r="J1117" s="16" t="n">
        <v>45567</v>
      </c>
      <c r="K1117" s="19" t="n">
        <v>1.944</v>
      </c>
      <c r="M1117" s="16" t="n">
        <v>44705</v>
      </c>
      <c r="N1117" s="19" t="n">
        <v>159588</v>
      </c>
    </row>
    <row r="1118">
      <c r="A1118" s="16" t="n">
        <v>44704</v>
      </c>
      <c r="B1118" s="19" t="n">
        <v>2476.97</v>
      </c>
      <c r="D1118" s="16" t="n">
        <v>44700</v>
      </c>
      <c r="E1118" s="19" t="n">
        <v>17.94</v>
      </c>
      <c r="G1118" s="16" t="n">
        <v>45569</v>
      </c>
      <c r="H1118" s="19" t="n">
        <v>2.726</v>
      </c>
      <c r="J1118" s="16" t="n">
        <v>45569</v>
      </c>
      <c r="K1118" s="19" t="n">
        <v>2.019</v>
      </c>
      <c r="M1118" s="16" t="n">
        <v>44704</v>
      </c>
      <c r="N1118" s="19" t="n">
        <v>159057</v>
      </c>
    </row>
    <row r="1119">
      <c r="A1119" s="16" t="n">
        <v>44701</v>
      </c>
      <c r="B1119" s="19" t="n">
        <v>2461.4</v>
      </c>
      <c r="D1119" s="16" t="n">
        <v>44699</v>
      </c>
      <c r="E1119" s="19" t="n">
        <v>16.02</v>
      </c>
      <c r="G1119" s="16" t="n">
        <v>45572</v>
      </c>
      <c r="H1119" s="19" t="n">
        <v>2.727</v>
      </c>
      <c r="J1119" s="16" t="n">
        <v>45572</v>
      </c>
      <c r="K1119" s="19" t="n">
        <v>2.016</v>
      </c>
      <c r="M1119" s="16" t="n">
        <v>44701</v>
      </c>
      <c r="N1119" s="19" t="n">
        <v>158583</v>
      </c>
    </row>
    <row r="1120">
      <c r="A1120" s="16" t="n">
        <v>44700</v>
      </c>
      <c r="B1120" s="19" t="n">
        <v>2492.99</v>
      </c>
      <c r="D1120" s="16" t="n">
        <v>44698</v>
      </c>
      <c r="E1120" s="19" t="n">
        <v>19.23</v>
      </c>
      <c r="G1120" s="16" t="n">
        <v>45573</v>
      </c>
      <c r="H1120" s="19" t="n">
        <v>2.746</v>
      </c>
      <c r="J1120" s="16" t="n">
        <v>45573</v>
      </c>
      <c r="K1120" s="19" t="n">
        <v>2.013</v>
      </c>
      <c r="M1120" s="16" t="n">
        <v>44700</v>
      </c>
      <c r="N1120" s="19" t="n">
        <v>160097</v>
      </c>
    </row>
    <row r="1121">
      <c r="A1121" s="16" t="n">
        <v>44699</v>
      </c>
      <c r="B1121" s="19" t="n">
        <v>2516.89</v>
      </c>
      <c r="D1121" s="16" t="n">
        <v>44697</v>
      </c>
      <c r="E1121" s="19" t="n">
        <v>17.16</v>
      </c>
      <c r="G1121" s="16" t="n">
        <v>45575</v>
      </c>
      <c r="H1121" s="19" t="n">
        <v>2.668</v>
      </c>
      <c r="J1121" s="16" t="n">
        <v>45575</v>
      </c>
      <c r="K1121" s="19" t="n">
        <v>1.987</v>
      </c>
      <c r="M1121" s="16" t="n">
        <v>44699</v>
      </c>
      <c r="N1121" s="19" t="n">
        <v>160822</v>
      </c>
    </row>
    <row r="1122">
      <c r="A1122" s="16" t="n">
        <v>44698</v>
      </c>
      <c r="B1122" s="19" t="n">
        <v>2450.01</v>
      </c>
      <c r="D1122" s="16" t="n">
        <v>44694</v>
      </c>
      <c r="E1122" s="19" t="n">
        <v>16.15</v>
      </c>
      <c r="G1122" s="16" t="n">
        <v>45576</v>
      </c>
      <c r="H1122" s="19" t="n">
        <v>2.723</v>
      </c>
      <c r="J1122" s="16" t="n">
        <v>45576</v>
      </c>
      <c r="K1122" s="19" t="n">
        <v>2.004</v>
      </c>
      <c r="M1122" s="16" t="n">
        <v>44698</v>
      </c>
      <c r="N1122" s="19" t="n">
        <v>158244</v>
      </c>
    </row>
    <row r="1123">
      <c r="A1123" s="16" t="n">
        <v>44697</v>
      </c>
      <c r="B1123" s="19" t="n">
        <v>2488.67</v>
      </c>
      <c r="D1123" s="16" t="n">
        <v>44693</v>
      </c>
      <c r="E1123" s="19" t="n">
        <v>17.81</v>
      </c>
      <c r="G1123" s="16" t="n">
        <v>45579</v>
      </c>
      <c r="H1123" s="19" t="n">
        <v>2.831</v>
      </c>
      <c r="J1123" s="16" t="n">
        <v>45579</v>
      </c>
      <c r="K1123" s="19" t="n">
        <v>2.074</v>
      </c>
      <c r="M1123" s="16" t="n">
        <v>44697</v>
      </c>
      <c r="N1123" s="19" t="n">
        <v>159929</v>
      </c>
    </row>
    <row r="1124">
      <c r="A1124" s="16" t="n">
        <v>44694</v>
      </c>
      <c r="B1124" s="19" t="n">
        <v>2513.91</v>
      </c>
      <c r="D1124" s="16" t="n">
        <v>44692</v>
      </c>
      <c r="E1124" s="19" t="n">
        <v>16.43</v>
      </c>
      <c r="G1124" s="16" t="n">
        <v>45580</v>
      </c>
      <c r="H1124" s="19" t="n">
        <v>2.826</v>
      </c>
      <c r="J1124" s="16" t="n">
        <v>45580</v>
      </c>
      <c r="K1124" s="19" t="n">
        <v>2.068</v>
      </c>
      <c r="M1124" s="16" t="n">
        <v>44694</v>
      </c>
      <c r="N1124" s="19" t="n">
        <v>161201</v>
      </c>
    </row>
    <row r="1125">
      <c r="A1125" s="16" t="n">
        <v>44693</v>
      </c>
      <c r="B1125" s="19" t="n">
        <v>2485.39</v>
      </c>
      <c r="D1125" s="16" t="n">
        <v>44691</v>
      </c>
      <c r="E1125" s="19" t="n">
        <v>15.03</v>
      </c>
      <c r="G1125" s="16" t="n">
        <v>45581</v>
      </c>
      <c r="H1125" s="19" t="n">
        <v>2.865</v>
      </c>
      <c r="J1125" s="16" t="n">
        <v>45581</v>
      </c>
      <c r="K1125" s="19" t="n">
        <v>2.076</v>
      </c>
      <c r="M1125" s="16" t="n">
        <v>44693</v>
      </c>
      <c r="N1125" s="19" t="n">
        <v>159311</v>
      </c>
    </row>
    <row r="1126">
      <c r="A1126" s="16" t="n">
        <v>44692</v>
      </c>
      <c r="B1126" s="19" t="n">
        <v>2518.13</v>
      </c>
      <c r="D1126" s="16" t="n">
        <v>44690</v>
      </c>
      <c r="E1126" s="19" t="n">
        <v>11.75</v>
      </c>
      <c r="G1126" s="16" t="n">
        <v>45582</v>
      </c>
      <c r="H1126" s="19" t="n">
        <v>2.87</v>
      </c>
      <c r="J1126" s="16" t="n">
        <v>45582</v>
      </c>
      <c r="K1126" s="19" t="n">
        <v>2.053</v>
      </c>
      <c r="M1126" s="16" t="n">
        <v>44692</v>
      </c>
      <c r="N1126" s="19" t="n">
        <v>161946</v>
      </c>
    </row>
    <row r="1127">
      <c r="A1127" s="16" t="n">
        <v>44691</v>
      </c>
      <c r="B1127" s="19" t="n">
        <v>2531.86</v>
      </c>
      <c r="D1127" s="16" t="n">
        <v>44687</v>
      </c>
      <c r="E1127" s="19" t="n">
        <v>11.26</v>
      </c>
      <c r="G1127" s="16" t="n">
        <v>45583</v>
      </c>
      <c r="H1127" s="19" t="n">
        <v>2.843</v>
      </c>
      <c r="J1127" s="16" t="n">
        <v>45583</v>
      </c>
      <c r="K1127" s="19" t="n">
        <v>2.033</v>
      </c>
      <c r="M1127" s="16" t="n">
        <v>44691</v>
      </c>
      <c r="N1127" s="19" t="n">
        <v>163134</v>
      </c>
    </row>
    <row r="1128">
      <c r="A1128" s="16" t="n">
        <v>44690</v>
      </c>
      <c r="B1128" s="19" t="n">
        <v>2584.63</v>
      </c>
      <c r="D1128" s="16" t="n">
        <v>44685</v>
      </c>
      <c r="E1128" s="19" t="n">
        <v>12.48</v>
      </c>
      <c r="G1128" s="16" t="n">
        <v>45586</v>
      </c>
      <c r="H1128" s="19" t="n">
        <v>2.834</v>
      </c>
      <c r="J1128" s="16" t="n">
        <v>45586</v>
      </c>
      <c r="K1128" s="19" t="n">
        <v>2.057</v>
      </c>
      <c r="M1128" s="16" t="n">
        <v>44690</v>
      </c>
      <c r="N1128" s="19" t="n">
        <v>164730</v>
      </c>
    </row>
    <row r="1129">
      <c r="A1129" s="16" t="n">
        <v>44687</v>
      </c>
      <c r="B1129" s="19" t="n">
        <v>2583.78</v>
      </c>
      <c r="D1129" s="16" t="n">
        <v>44684</v>
      </c>
      <c r="E1129" s="19" t="n">
        <v>12.75</v>
      </c>
      <c r="G1129" s="16" t="n">
        <v>45587</v>
      </c>
      <c r="H1129" s="19" t="n">
        <v>2.846</v>
      </c>
      <c r="J1129" s="16" t="n">
        <v>45587</v>
      </c>
      <c r="K1129" s="19" t="n">
        <v>2.018</v>
      </c>
      <c r="M1129" s="16" t="n">
        <v>44687</v>
      </c>
      <c r="N1129" s="19" t="n">
        <v>164678</v>
      </c>
    </row>
    <row r="1130">
      <c r="A1130" s="16" t="n">
        <v>44685</v>
      </c>
      <c r="B1130" s="19" t="n">
        <v>2550.13</v>
      </c>
      <c r="D1130" s="16" t="n">
        <v>44683</v>
      </c>
      <c r="E1130" s="19" t="n">
        <v>13.87</v>
      </c>
      <c r="G1130" s="16" t="n">
        <v>45588</v>
      </c>
      <c r="H1130" s="19" t="n">
        <v>2.853</v>
      </c>
      <c r="J1130" s="16" t="n">
        <v>45588</v>
      </c>
      <c r="K1130" s="19" t="n">
        <v>2.02</v>
      </c>
      <c r="M1130" s="16" t="n">
        <v>44685</v>
      </c>
      <c r="N1130" s="19" t="n">
        <v>163376</v>
      </c>
    </row>
    <row r="1131">
      <c r="A1131" s="16" t="n">
        <v>44684</v>
      </c>
      <c r="B1131" s="19" t="n">
        <v>2547.04</v>
      </c>
      <c r="D1131" s="16" t="n">
        <v>44680</v>
      </c>
      <c r="E1131" s="19" t="n">
        <v>11.88</v>
      </c>
      <c r="G1131" s="16" t="n">
        <v>45589</v>
      </c>
      <c r="H1131" s="19" t="n">
        <v>2.84</v>
      </c>
      <c r="J1131" s="16" t="n">
        <v>45589</v>
      </c>
      <c r="K1131" s="19" t="n">
        <v>2.056</v>
      </c>
      <c r="M1131" s="16" t="n">
        <v>44684</v>
      </c>
      <c r="N1131" s="19" t="n">
        <v>163598</v>
      </c>
    </row>
    <row r="1132">
      <c r="A1132" s="16" t="n">
        <v>44683</v>
      </c>
      <c r="B1132" s="19" t="n">
        <v>2523.57</v>
      </c>
      <c r="D1132" s="16" t="n">
        <v>44679</v>
      </c>
      <c r="E1132" s="19" t="n">
        <v>10.95</v>
      </c>
      <c r="G1132" s="16" t="n">
        <v>45590</v>
      </c>
      <c r="H1132" s="19" t="n">
        <v>2.834</v>
      </c>
      <c r="J1132" s="16" t="n">
        <v>45590</v>
      </c>
      <c r="K1132" s="19" t="n">
        <v>2.069</v>
      </c>
      <c r="M1132" s="16" t="n">
        <v>44683</v>
      </c>
      <c r="N1132" s="19" t="n">
        <v>162961</v>
      </c>
    </row>
    <row r="1133">
      <c r="A1133" s="16" t="n">
        <v>44680</v>
      </c>
      <c r="B1133" s="19" t="n">
        <v>2585.04</v>
      </c>
      <c r="D1133" s="16" t="n">
        <v>44678</v>
      </c>
      <c r="E1133" s="19" t="n">
        <v>10.92</v>
      </c>
      <c r="G1133" s="16" t="n">
        <v>45593</v>
      </c>
      <c r="H1133" s="19" t="n">
        <v>2.775</v>
      </c>
      <c r="J1133" s="16" t="n">
        <v>45593</v>
      </c>
      <c r="K1133" s="19" t="n">
        <v>2.072</v>
      </c>
      <c r="M1133" s="16" t="n">
        <v>44680</v>
      </c>
      <c r="N1133" s="19" t="n">
        <v>166232</v>
      </c>
    </row>
    <row r="1134">
      <c r="A1134" s="16" t="n">
        <v>44679</v>
      </c>
      <c r="B1134" s="19" t="n">
        <v>2601.59</v>
      </c>
      <c r="D1134" s="16" t="n">
        <v>44677</v>
      </c>
      <c r="E1134" s="19" t="n">
        <v>10</v>
      </c>
      <c r="G1134" s="16" t="n">
        <v>45594</v>
      </c>
      <c r="H1134" s="19" t="n">
        <v>2.779</v>
      </c>
      <c r="J1134" s="16" t="n">
        <v>45594</v>
      </c>
      <c r="K1134" s="19" t="n">
        <v>2.049</v>
      </c>
      <c r="M1134" s="16" t="n">
        <v>44679</v>
      </c>
      <c r="N1134" s="19" t="n">
        <v>166742</v>
      </c>
    </row>
    <row r="1135">
      <c r="A1135" s="16" t="n">
        <v>44678</v>
      </c>
      <c r="B1135" s="19" t="n">
        <v>2583.72</v>
      </c>
      <c r="D1135" s="16" t="n">
        <v>44676</v>
      </c>
      <c r="E1135" s="19" t="n">
        <v>10</v>
      </c>
      <c r="G1135" s="16" t="n">
        <v>45595</v>
      </c>
      <c r="H1135" s="19" t="n">
        <v>2.771</v>
      </c>
      <c r="J1135" s="16" t="n">
        <v>45595</v>
      </c>
      <c r="K1135" s="19" t="n">
        <v>2.046</v>
      </c>
      <c r="M1135" s="16" t="n">
        <v>44678</v>
      </c>
      <c r="N1135" s="19" t="n">
        <v>166170</v>
      </c>
    </row>
    <row r="1136">
      <c r="A1136" s="16" t="n">
        <v>44677</v>
      </c>
      <c r="B1136" s="19" t="n">
        <v>2610.78</v>
      </c>
      <c r="D1136" s="16" t="n">
        <v>44673</v>
      </c>
      <c r="E1136" s="19" t="n">
        <v>10</v>
      </c>
      <c r="G1136" s="16" t="n">
        <v>45596</v>
      </c>
      <c r="H1136" s="19" t="n">
        <v>2.786</v>
      </c>
      <c r="J1136" s="16" t="n">
        <v>45596</v>
      </c>
      <c r="K1136" s="19" t="n">
        <v>2.08</v>
      </c>
      <c r="M1136" s="16" t="n">
        <v>44677</v>
      </c>
      <c r="N1136" s="19" t="n">
        <v>167660</v>
      </c>
    </row>
    <row r="1137">
      <c r="A1137" s="16" t="n">
        <v>44676</v>
      </c>
      <c r="B1137" s="19" t="n">
        <v>2535.56</v>
      </c>
      <c r="D1137" s="16" t="n">
        <v>44672</v>
      </c>
      <c r="E1137" s="19" t="n">
        <v>10</v>
      </c>
      <c r="G1137" s="16" t="n">
        <v>45597</v>
      </c>
      <c r="H1137" s="19" t="n">
        <v>2.806</v>
      </c>
      <c r="J1137" s="16" t="n">
        <v>45597</v>
      </c>
      <c r="K1137" s="19" t="n">
        <v>2.102</v>
      </c>
      <c r="M1137" s="16" t="n">
        <v>44676</v>
      </c>
      <c r="N1137" s="19" t="n">
        <v>164953</v>
      </c>
    </row>
    <row r="1138">
      <c r="A1138" s="16" t="n">
        <v>44673</v>
      </c>
      <c r="B1138" s="19" t="n">
        <v>2504.29</v>
      </c>
      <c r="D1138" s="16" t="n">
        <v>44671</v>
      </c>
      <c r="E1138" s="19" t="n">
        <v>10.34</v>
      </c>
      <c r="G1138" s="16" t="n">
        <v>45600</v>
      </c>
      <c r="H1138" s="19" t="n">
        <v>2.811</v>
      </c>
      <c r="J1138" s="16" t="n">
        <v>45600</v>
      </c>
      <c r="K1138" s="19" t="n">
        <v>2.045</v>
      </c>
      <c r="M1138" s="16" t="n">
        <v>44673</v>
      </c>
      <c r="N1138" s="19" t="n">
        <v>163687</v>
      </c>
    </row>
    <row r="1139">
      <c r="A1139" s="16" t="n">
        <v>44672</v>
      </c>
      <c r="B1139" s="19" t="n">
        <v>2483.85</v>
      </c>
      <c r="D1139" s="16" t="n">
        <v>44670</v>
      </c>
      <c r="E1139" s="19" t="n">
        <v>12.29</v>
      </c>
      <c r="G1139" s="16" t="n">
        <v>45601</v>
      </c>
      <c r="H1139" s="19" t="n">
        <v>2.781</v>
      </c>
      <c r="J1139" s="16" t="n">
        <v>45601</v>
      </c>
      <c r="K1139" s="19" t="n">
        <v>2.01</v>
      </c>
      <c r="M1139" s="16" t="n">
        <v>44672</v>
      </c>
      <c r="N1139" s="19" t="n">
        <v>164007</v>
      </c>
    </row>
    <row r="1140">
      <c r="A1140" s="16" t="n">
        <v>44671</v>
      </c>
      <c r="B1140" s="19" t="n">
        <v>2484.86</v>
      </c>
      <c r="D1140" s="16" t="n">
        <v>44669</v>
      </c>
      <c r="E1140" s="19" t="n">
        <v>12.34</v>
      </c>
      <c r="G1140" s="16" t="n">
        <v>45602</v>
      </c>
      <c r="H1140" s="19" t="n">
        <v>2.755</v>
      </c>
      <c r="J1140" s="16" t="n">
        <v>45602</v>
      </c>
      <c r="K1140" s="19" t="n">
        <v>2.004</v>
      </c>
      <c r="M1140" s="16" t="n">
        <v>44671</v>
      </c>
      <c r="N1140" s="19" t="n">
        <v>164084</v>
      </c>
    </row>
    <row r="1141">
      <c r="A1141" s="16" t="n">
        <v>44670</v>
      </c>
      <c r="B1141" s="19" t="n">
        <v>2447.33</v>
      </c>
      <c r="D1141" s="16" t="n">
        <v>44666</v>
      </c>
      <c r="E1141" s="19" t="n">
        <v>11.99</v>
      </c>
      <c r="G1141" s="16" t="n">
        <v>45603</v>
      </c>
      <c r="H1141" s="19" t="n">
        <v>2.7</v>
      </c>
      <c r="J1141" s="16" t="n">
        <v>45603</v>
      </c>
      <c r="K1141" s="19" t="n">
        <v>2.022</v>
      </c>
      <c r="M1141" s="16" t="n">
        <v>44670</v>
      </c>
      <c r="N1141" s="19" t="n">
        <v>162309</v>
      </c>
    </row>
    <row r="1142">
      <c r="A1142" s="16" t="n">
        <v>44669</v>
      </c>
      <c r="B1142" s="19" t="n">
        <v>2428.98</v>
      </c>
      <c r="D1142" s="16" t="n">
        <v>44665</v>
      </c>
      <c r="E1142" s="19" t="n">
        <v>12.45</v>
      </c>
      <c r="G1142" s="16" t="n">
        <v>45604</v>
      </c>
      <c r="H1142" s="19" t="n">
        <v>2.648</v>
      </c>
      <c r="J1142" s="16" t="n">
        <v>45604</v>
      </c>
      <c r="K1142" s="19" t="n">
        <v>1.961</v>
      </c>
      <c r="M1142" s="16" t="n">
        <v>44669</v>
      </c>
      <c r="N1142" s="19" t="n">
        <v>160624</v>
      </c>
    </row>
    <row r="1143">
      <c r="A1143" s="16" t="n">
        <v>44666</v>
      </c>
      <c r="B1143" s="19" t="n">
        <v>2453.98</v>
      </c>
      <c r="D1143" s="16" t="n">
        <v>44664</v>
      </c>
      <c r="E1143" s="19" t="n">
        <v>11.96</v>
      </c>
      <c r="G1143" s="16" t="n">
        <v>45607</v>
      </c>
      <c r="H1143" s="19" t="n">
        <v>2.614</v>
      </c>
      <c r="J1143" s="16" t="n">
        <v>45607</v>
      </c>
      <c r="K1143" s="19" t="n">
        <v>1.94</v>
      </c>
      <c r="M1143" s="16" t="n">
        <v>44666</v>
      </c>
      <c r="N1143" s="19" t="n">
        <v>161970</v>
      </c>
    </row>
    <row r="1144">
      <c r="A1144" s="16" t="n">
        <v>44665</v>
      </c>
      <c r="B1144" s="19" t="n">
        <v>2428.74</v>
      </c>
      <c r="D1144" s="16" t="n">
        <v>44663</v>
      </c>
      <c r="E1144" s="19" t="n">
        <v>12.99</v>
      </c>
      <c r="G1144" s="16" t="n">
        <v>45608</v>
      </c>
      <c r="H1144" s="19" t="n">
        <v>2.611</v>
      </c>
      <c r="J1144" s="16" t="n">
        <v>45608</v>
      </c>
      <c r="K1144" s="19" t="n">
        <v>1.928</v>
      </c>
      <c r="M1144" s="16" t="n">
        <v>44665</v>
      </c>
      <c r="N1144" s="19" t="n">
        <v>160734</v>
      </c>
    </row>
    <row r="1145">
      <c r="A1145" s="16" t="n">
        <v>44664</v>
      </c>
      <c r="B1145" s="19" t="n">
        <v>2445.12</v>
      </c>
      <c r="D1145" s="16" t="n">
        <v>44662</v>
      </c>
      <c r="E1145" s="19" t="n">
        <v>13.79</v>
      </c>
      <c r="G1145" s="16" t="n">
        <v>45609</v>
      </c>
      <c r="H1145" s="19" t="n">
        <v>2.616</v>
      </c>
      <c r="J1145" s="16" t="n">
        <v>45609</v>
      </c>
      <c r="K1145" s="19" t="n">
        <v>1.902</v>
      </c>
      <c r="M1145" s="16" t="n">
        <v>44664</v>
      </c>
      <c r="N1145" s="19" t="n">
        <v>160809</v>
      </c>
    </row>
    <row r="1146">
      <c r="A1146" s="16" t="n">
        <v>44663</v>
      </c>
      <c r="B1146" s="19" t="n">
        <v>2420.05</v>
      </c>
      <c r="D1146" s="16" t="n">
        <v>44659</v>
      </c>
      <c r="E1146" s="19" t="n">
        <v>12.18</v>
      </c>
      <c r="G1146" s="16" t="n">
        <v>45610</v>
      </c>
      <c r="H1146" s="19" t="n">
        <v>2.535</v>
      </c>
      <c r="J1146" s="16" t="n">
        <v>45610</v>
      </c>
      <c r="K1146" s="19" t="n">
        <v>1.85</v>
      </c>
      <c r="M1146" s="16" t="n">
        <v>44663</v>
      </c>
      <c r="N1146" s="19" t="n">
        <v>159778</v>
      </c>
    </row>
    <row r="1147">
      <c r="A1147" s="16" t="n">
        <v>44662</v>
      </c>
      <c r="B1147" s="19" t="n">
        <v>2399.37</v>
      </c>
      <c r="D1147" s="16" t="n">
        <v>44658</v>
      </c>
      <c r="E1147" s="19" t="n">
        <v>12.56</v>
      </c>
      <c r="G1147" s="16" t="n">
        <v>45611</v>
      </c>
      <c r="H1147" s="19" t="n">
        <v>2.646</v>
      </c>
      <c r="J1147" s="16" t="n">
        <v>45611</v>
      </c>
      <c r="K1147" s="19" t="n">
        <v>1.866</v>
      </c>
      <c r="M1147" s="16" t="n">
        <v>44662</v>
      </c>
      <c r="N1147" s="19" t="n">
        <v>159157</v>
      </c>
    </row>
    <row r="1148">
      <c r="A1148" s="16" t="n">
        <v>44659</v>
      </c>
      <c r="B1148" s="19" t="n">
        <v>2436.88</v>
      </c>
      <c r="D1148" s="16" t="n">
        <v>44657</v>
      </c>
      <c r="E1148" s="19" t="n">
        <v>12.59</v>
      </c>
      <c r="G1148" s="16" t="n">
        <v>45614</v>
      </c>
      <c r="H1148" s="19" t="n">
        <v>2.694</v>
      </c>
      <c r="J1148" s="16" t="n">
        <v>45614</v>
      </c>
      <c r="K1148" s="19" t="n">
        <v>1.855</v>
      </c>
      <c r="M1148" s="16" t="n">
        <v>44659</v>
      </c>
      <c r="N1148" s="19" t="n">
        <v>159967</v>
      </c>
    </row>
    <row r="1149">
      <c r="A1149" s="16" t="n">
        <v>44658</v>
      </c>
      <c r="B1149" s="19" t="n">
        <v>2425.47</v>
      </c>
      <c r="D1149" s="16" t="n">
        <v>44656</v>
      </c>
      <c r="E1149" s="19" t="n">
        <v>13.18</v>
      </c>
      <c r="G1149" s="16" t="n">
        <v>45615</v>
      </c>
      <c r="H1149" s="19" t="n">
        <v>2.737</v>
      </c>
      <c r="J1149" s="16" t="n">
        <v>45615</v>
      </c>
      <c r="K1149" s="19" t="n">
        <v>1.868</v>
      </c>
      <c r="M1149" s="16" t="n">
        <v>44658</v>
      </c>
      <c r="N1149" s="19" t="n">
        <v>159833</v>
      </c>
    </row>
    <row r="1150">
      <c r="A1150" s="16" t="n">
        <v>44657</v>
      </c>
      <c r="B1150" s="19" t="n">
        <v>2433.14</v>
      </c>
      <c r="D1150" s="16" t="n">
        <v>44655</v>
      </c>
      <c r="E1150" s="19" t="n">
        <v>13.88</v>
      </c>
      <c r="G1150" s="16" t="n">
        <v>45616</v>
      </c>
      <c r="H1150" s="19" t="n">
        <v>2.696</v>
      </c>
      <c r="J1150" s="16" t="n">
        <v>45616</v>
      </c>
      <c r="K1150" s="19" t="n">
        <v>1.86</v>
      </c>
      <c r="M1150" s="16" t="n">
        <v>44657</v>
      </c>
      <c r="N1150" s="19" t="n">
        <v>160620</v>
      </c>
    </row>
    <row r="1151">
      <c r="A1151" s="16" t="n">
        <v>44656</v>
      </c>
      <c r="B1151" s="19" t="n">
        <v>2418.95</v>
      </c>
      <c r="D1151" s="16" t="n">
        <v>44652</v>
      </c>
      <c r="E1151" s="19" t="n">
        <v>14.83</v>
      </c>
      <c r="G1151" s="16" t="n">
        <v>45617</v>
      </c>
      <c r="H1151" s="19" t="n">
        <v>2.67</v>
      </c>
      <c r="J1151" s="16" t="n">
        <v>45617</v>
      </c>
      <c r="K1151" s="19" t="n">
        <v>1.873</v>
      </c>
      <c r="M1151" s="16" t="n">
        <v>44656</v>
      </c>
      <c r="N1151" s="19" t="n">
        <v>159531</v>
      </c>
    </row>
    <row r="1152">
      <c r="A1152" s="16" t="n">
        <v>44655</v>
      </c>
      <c r="B1152" s="19" t="n">
        <v>2400.22</v>
      </c>
      <c r="D1152" s="16" t="n">
        <v>44651</v>
      </c>
      <c r="E1152" s="19" t="n">
        <v>14.2</v>
      </c>
      <c r="G1152" s="16" t="n">
        <v>45618</v>
      </c>
      <c r="H1152" s="19" t="n">
        <v>2.675</v>
      </c>
      <c r="J1152" s="16" t="n">
        <v>45618</v>
      </c>
      <c r="K1152" s="19" t="n">
        <v>1.871</v>
      </c>
      <c r="M1152" s="16" t="n">
        <v>44655</v>
      </c>
      <c r="N1152" s="19" t="n">
        <v>158390</v>
      </c>
    </row>
    <row r="1153">
      <c r="A1153" s="16" t="n">
        <v>44652</v>
      </c>
      <c r="B1153" s="19" t="n">
        <v>2371.46</v>
      </c>
      <c r="D1153" s="16" t="n">
        <v>44650</v>
      </c>
      <c r="E1153" s="19" t="n">
        <v>14.2</v>
      </c>
      <c r="G1153" s="16" t="n">
        <v>45621</v>
      </c>
      <c r="H1153" s="19" t="n">
        <v>2.618</v>
      </c>
      <c r="J1153" s="16" t="n">
        <v>45621</v>
      </c>
      <c r="K1153" s="19" t="n">
        <v>1.839</v>
      </c>
      <c r="M1153" s="16" t="n">
        <v>44652</v>
      </c>
      <c r="N1153" s="19" t="n">
        <v>157484</v>
      </c>
    </row>
    <row r="1154">
      <c r="A1154" s="16" t="n">
        <v>44651</v>
      </c>
      <c r="B1154" s="19" t="n">
        <v>2389.08</v>
      </c>
      <c r="D1154" s="16" t="n">
        <v>44649</v>
      </c>
      <c r="E1154" s="19" t="n">
        <v>14.09</v>
      </c>
      <c r="G1154" s="16" t="n">
        <v>45622</v>
      </c>
      <c r="H1154" s="19" t="n">
        <v>2.634</v>
      </c>
      <c r="J1154" s="16" t="n">
        <v>45622</v>
      </c>
      <c r="K1154" s="19" t="n">
        <v>1.85</v>
      </c>
      <c r="M1154" s="16" t="n">
        <v>44651</v>
      </c>
      <c r="N1154" s="19" t="n">
        <v>157803</v>
      </c>
    </row>
    <row r="1155">
      <c r="A1155" s="16" t="n">
        <v>44650</v>
      </c>
      <c r="B1155" s="19" t="n">
        <v>2368.5</v>
      </c>
      <c r="D1155" s="16" t="n">
        <v>44648</v>
      </c>
      <c r="E1155" s="19" t="n">
        <v>12.96</v>
      </c>
      <c r="G1155" s="16" t="n">
        <v>45623</v>
      </c>
      <c r="H1155" s="19" t="n">
        <v>2.541</v>
      </c>
      <c r="J1155" s="16" t="n">
        <v>45623</v>
      </c>
      <c r="K1155" s="19" t="n">
        <v>1.788</v>
      </c>
      <c r="M1155" s="16" t="n">
        <v>44650</v>
      </c>
      <c r="N1155" s="19" t="n">
        <v>156440</v>
      </c>
    </row>
    <row r="1156">
      <c r="A1156" s="16" t="n">
        <v>44649</v>
      </c>
      <c r="B1156" s="19" t="n">
        <v>2352.06</v>
      </c>
      <c r="D1156" s="16" t="n">
        <v>44645</v>
      </c>
      <c r="E1156" s="19" t="n">
        <v>14.27</v>
      </c>
      <c r="G1156" s="16" t="n">
        <v>45624</v>
      </c>
      <c r="H1156" s="19" t="n">
        <v>2.606</v>
      </c>
      <c r="J1156" s="16" t="n">
        <v>45624</v>
      </c>
      <c r="K1156" s="19" t="n">
        <v>1.837</v>
      </c>
      <c r="M1156" s="16" t="n">
        <v>44649</v>
      </c>
      <c r="N1156" s="19" t="n">
        <v>155341</v>
      </c>
    </row>
    <row r="1157">
      <c r="A1157" s="16" t="n">
        <v>44648</v>
      </c>
      <c r="B1157" s="19" t="n">
        <v>2387.44</v>
      </c>
      <c r="D1157" s="16" t="n">
        <v>44644</v>
      </c>
      <c r="E1157" s="19" t="n">
        <v>14.22</v>
      </c>
      <c r="G1157" s="16" t="n">
        <v>45625</v>
      </c>
      <c r="H1157" s="19" t="n">
        <v>2.576</v>
      </c>
      <c r="J1157" s="16" t="n">
        <v>45625</v>
      </c>
      <c r="K1157" s="19" t="n">
        <v>1.816</v>
      </c>
      <c r="M1157" s="16" t="n">
        <v>44648</v>
      </c>
      <c r="N1157" s="19" t="n">
        <v>157196</v>
      </c>
    </row>
    <row r="1158">
      <c r="A1158" s="16" t="n">
        <v>44645</v>
      </c>
      <c r="B1158" s="19" t="n">
        <v>2360.72</v>
      </c>
      <c r="D1158" s="16" t="n">
        <v>44643</v>
      </c>
      <c r="E1158" s="19" t="n">
        <v>12.65</v>
      </c>
      <c r="G1158" s="16" t="n">
        <v>45628</v>
      </c>
      <c r="H1158" s="19" t="n">
        <v>2.566</v>
      </c>
      <c r="J1158" s="16" t="n">
        <v>45628</v>
      </c>
      <c r="K1158" s="19" t="n">
        <v>1.816</v>
      </c>
      <c r="M1158" s="16" t="n">
        <v>44645</v>
      </c>
      <c r="N1158" s="19" t="n">
        <v>156394</v>
      </c>
    </row>
    <row r="1159">
      <c r="A1159" s="16" t="n">
        <v>44644</v>
      </c>
      <c r="B1159" s="19" t="n">
        <v>2349.77</v>
      </c>
      <c r="D1159" s="16" t="n">
        <v>44642</v>
      </c>
      <c r="E1159" s="19" t="n">
        <v>14.2</v>
      </c>
      <c r="G1159" s="16" t="n">
        <v>45629</v>
      </c>
      <c r="H1159" s="19" t="n">
        <v>2.559</v>
      </c>
      <c r="J1159" s="16" t="n">
        <v>45629</v>
      </c>
      <c r="K1159" s="19" t="n">
        <v>1.778</v>
      </c>
      <c r="M1159" s="16" t="n">
        <v>44644</v>
      </c>
      <c r="N1159" s="19" t="n">
        <v>155457</v>
      </c>
    </row>
    <row r="1160">
      <c r="A1160" s="16" t="n">
        <v>44643</v>
      </c>
      <c r="B1160" s="19" t="n">
        <v>2371.69</v>
      </c>
      <c r="D1160" s="16" t="n">
        <v>44641</v>
      </c>
      <c r="E1160" s="19" t="n">
        <v>15.84</v>
      </c>
      <c r="G1160" s="16" t="n">
        <v>45630</v>
      </c>
      <c r="H1160" s="19" t="n">
        <v>2.538</v>
      </c>
      <c r="J1160" s="16" t="n">
        <v>45630</v>
      </c>
      <c r="K1160" s="19" t="n">
        <v>1.772</v>
      </c>
      <c r="M1160" s="16" t="n">
        <v>44643</v>
      </c>
      <c r="N1160" s="19" t="n">
        <v>156811</v>
      </c>
    </row>
    <row r="1161">
      <c r="A1161" s="16" t="n">
        <v>44642</v>
      </c>
      <c r="B1161" s="19" t="n">
        <v>2325.41</v>
      </c>
      <c r="D1161" s="16" t="n">
        <v>44638</v>
      </c>
      <c r="E1161" s="19" t="n">
        <v>15.19</v>
      </c>
      <c r="G1161" s="16" t="n">
        <v>45631</v>
      </c>
      <c r="H1161" s="19" t="n">
        <v>2.563</v>
      </c>
      <c r="J1161" s="16" t="n">
        <v>45631</v>
      </c>
      <c r="K1161" s="19" t="n">
        <v>1.784</v>
      </c>
      <c r="M1161" s="16" t="n">
        <v>44642</v>
      </c>
      <c r="N1161" s="19" t="n">
        <v>155306</v>
      </c>
    </row>
    <row r="1162">
      <c r="A1162" s="16" t="n">
        <v>44641</v>
      </c>
      <c r="B1162" s="19" t="n">
        <v>2290.82</v>
      </c>
      <c r="D1162" s="16" t="n">
        <v>44637</v>
      </c>
      <c r="E1162" s="19" t="n">
        <v>14.87</v>
      </c>
      <c r="G1162" s="16" t="n">
        <v>45632</v>
      </c>
      <c r="H1162" s="19" t="n">
        <v>2.56</v>
      </c>
      <c r="J1162" s="16" t="n">
        <v>45632</v>
      </c>
      <c r="K1162" s="19" t="n">
        <v>1.795</v>
      </c>
      <c r="M1162" s="16" t="n">
        <v>44641</v>
      </c>
      <c r="N1162" s="19" t="n">
        <v>154177</v>
      </c>
    </row>
    <row r="1163">
      <c r="A1163" s="16" t="n">
        <v>44638</v>
      </c>
      <c r="B1163" s="19" t="n">
        <v>2312.32</v>
      </c>
      <c r="D1163" s="16" t="n">
        <v>44636</v>
      </c>
      <c r="E1163" s="19" t="n">
        <v>13.48</v>
      </c>
      <c r="G1163" s="16" t="n">
        <v>45635</v>
      </c>
      <c r="H1163" s="19" t="n">
        <v>2.557</v>
      </c>
      <c r="J1163" s="16" t="n">
        <v>45635</v>
      </c>
      <c r="K1163" s="19" t="n">
        <v>1.815</v>
      </c>
      <c r="M1163" s="16" t="n">
        <v>44638</v>
      </c>
      <c r="N1163" s="19" t="n">
        <v>154223</v>
      </c>
    </row>
    <row r="1164">
      <c r="A1164" s="16" t="n">
        <v>44637</v>
      </c>
      <c r="B1164" s="19" t="n">
        <v>2297.04</v>
      </c>
      <c r="D1164" s="16" t="n">
        <v>44635</v>
      </c>
      <c r="E1164" s="19" t="n">
        <v>14.08</v>
      </c>
      <c r="G1164" s="16" t="n">
        <v>45636</v>
      </c>
      <c r="H1164" s="19" t="n">
        <v>2.457</v>
      </c>
      <c r="J1164" s="16" t="n">
        <v>45636</v>
      </c>
      <c r="K1164" s="19" t="n">
        <v>1.775</v>
      </c>
      <c r="M1164" s="16" t="n">
        <v>44637</v>
      </c>
      <c r="N1164" s="19" t="n">
        <v>154499</v>
      </c>
    </row>
    <row r="1165">
      <c r="A1165" s="16" t="n">
        <v>44636</v>
      </c>
      <c r="B1165" s="19" t="n">
        <v>2325.07</v>
      </c>
      <c r="D1165" s="16" t="n">
        <v>44634</v>
      </c>
      <c r="E1165" s="19" t="n">
        <v>10</v>
      </c>
      <c r="G1165" s="16" t="n">
        <v>45637</v>
      </c>
      <c r="H1165" s="19" t="n">
        <v>2.437</v>
      </c>
      <c r="J1165" s="16" t="n">
        <v>45637</v>
      </c>
      <c r="K1165" s="19" t="n">
        <v>1.794</v>
      </c>
      <c r="M1165" s="16" t="n">
        <v>44636</v>
      </c>
      <c r="N1165" s="19" t="n">
        <v>154639</v>
      </c>
    </row>
    <row r="1166">
      <c r="A1166" s="16" t="n">
        <v>44635</v>
      </c>
      <c r="B1166" s="19" t="n">
        <v>2298.75</v>
      </c>
      <c r="D1166" s="16" t="n">
        <v>44631</v>
      </c>
      <c r="E1166" s="19" t="n">
        <v>10</v>
      </c>
      <c r="G1166" s="16" t="n">
        <v>45638</v>
      </c>
      <c r="H1166" s="19" t="n">
        <v>2.436</v>
      </c>
      <c r="J1166" s="16" t="n">
        <v>45638</v>
      </c>
      <c r="K1166" s="19" t="n">
        <v>1.784</v>
      </c>
      <c r="M1166" s="16" t="n">
        <v>44635</v>
      </c>
      <c r="N1166" s="19" t="n">
        <v>153233</v>
      </c>
    </row>
    <row r="1167">
      <c r="A1167" s="16" t="n">
        <v>44634</v>
      </c>
      <c r="B1167" s="19" t="n">
        <v>2369.08</v>
      </c>
      <c r="D1167" s="16" t="n">
        <v>44630</v>
      </c>
      <c r="E1167" s="19" t="n">
        <v>10.66</v>
      </c>
      <c r="G1167" s="16" t="n">
        <v>45639</v>
      </c>
      <c r="H1167" s="19" t="n">
        <v>2.43</v>
      </c>
      <c r="J1167" s="16" t="n">
        <v>45639</v>
      </c>
      <c r="K1167" s="19" t="n">
        <v>1.808</v>
      </c>
      <c r="M1167" s="16" t="n">
        <v>44634</v>
      </c>
      <c r="N1167" s="19" t="n">
        <v>155982</v>
      </c>
    </row>
    <row r="1168">
      <c r="A1168" s="16" t="n">
        <v>44631</v>
      </c>
      <c r="B1168" s="19" t="n">
        <v>2341.07</v>
      </c>
      <c r="D1168" s="16" t="n">
        <v>44629</v>
      </c>
      <c r="E1168" s="19" t="n">
        <v>12.05</v>
      </c>
      <c r="G1168" s="16" t="n">
        <v>45642</v>
      </c>
      <c r="H1168" s="19" t="n">
        <v>2.474</v>
      </c>
      <c r="J1168" s="16" t="n">
        <v>45642</v>
      </c>
      <c r="K1168" s="19" t="n">
        <v>1.805</v>
      </c>
      <c r="M1168" s="16" t="n">
        <v>44631</v>
      </c>
      <c r="N1168" s="19" t="n">
        <v>154249</v>
      </c>
    </row>
    <row r="1169">
      <c r="A1169" s="16" t="n">
        <v>44630</v>
      </c>
      <c r="B1169" s="19" t="n">
        <v>2320.25</v>
      </c>
      <c r="D1169" s="16" t="n">
        <v>44628</v>
      </c>
      <c r="E1169" s="19" t="n">
        <v>12.35</v>
      </c>
      <c r="G1169" s="16" t="n">
        <v>45643</v>
      </c>
      <c r="H1169" s="19" t="n">
        <v>2.472</v>
      </c>
      <c r="J1169" s="16" t="n">
        <v>45643</v>
      </c>
      <c r="K1169" s="19" t="n">
        <v>1.811</v>
      </c>
      <c r="M1169" s="16" t="n">
        <v>44630</v>
      </c>
      <c r="N1169" s="19" t="n">
        <v>153244</v>
      </c>
    </row>
    <row r="1170">
      <c r="A1170" s="16" t="n">
        <v>44629</v>
      </c>
      <c r="B1170" s="19" t="n">
        <v>2294.59</v>
      </c>
      <c r="D1170" s="16" t="n">
        <v>44627</v>
      </c>
      <c r="E1170" s="19" t="n">
        <v>12.36</v>
      </c>
      <c r="G1170" s="16" t="n">
        <v>45644</v>
      </c>
      <c r="H1170" s="19" t="n">
        <v>2.347</v>
      </c>
      <c r="J1170" s="16" t="n">
        <v>45644</v>
      </c>
      <c r="K1170" s="19" t="n">
        <v>1.75</v>
      </c>
      <c r="M1170" s="16" t="n">
        <v>44629</v>
      </c>
      <c r="N1170" s="19" t="n">
        <v>152342</v>
      </c>
    </row>
    <row r="1171">
      <c r="A1171" s="16" t="n">
        <v>44628</v>
      </c>
      <c r="B1171" s="19" t="n">
        <v>2294.9</v>
      </c>
      <c r="D1171" s="16" t="n">
        <v>44624</v>
      </c>
      <c r="E1171" s="19" t="n">
        <v>12.38</v>
      </c>
      <c r="G1171" s="16" t="n">
        <v>45645</v>
      </c>
      <c r="H1171" s="19" t="n">
        <v>2.3</v>
      </c>
      <c r="J1171" s="16" t="n">
        <v>45645</v>
      </c>
      <c r="K1171" s="19" t="n">
        <v>1.761</v>
      </c>
      <c r="M1171" s="16" t="n">
        <v>44628</v>
      </c>
      <c r="N1171" s="19" t="n">
        <v>152592</v>
      </c>
    </row>
    <row r="1172">
      <c r="A1172" s="16" t="n">
        <v>44627</v>
      </c>
      <c r="B1172" s="19" t="n">
        <v>2305.75</v>
      </c>
      <c r="D1172" s="16" t="n">
        <v>44623</v>
      </c>
      <c r="E1172" s="19" t="n">
        <v>13.36</v>
      </c>
      <c r="G1172" s="16" t="n">
        <v>45646</v>
      </c>
      <c r="H1172" s="19" t="n">
        <v>2.295</v>
      </c>
      <c r="J1172" s="16" t="n">
        <v>45646</v>
      </c>
      <c r="K1172" s="19" t="n">
        <v>1.733</v>
      </c>
      <c r="M1172" s="16" t="n">
        <v>44627</v>
      </c>
      <c r="N1172" s="19" t="n">
        <v>153044</v>
      </c>
    </row>
    <row r="1173">
      <c r="A1173" s="16" t="n">
        <v>44624</v>
      </c>
      <c r="B1173" s="19" t="n">
        <v>2300.01</v>
      </c>
      <c r="D1173" s="16" t="n">
        <v>44622</v>
      </c>
      <c r="E1173" s="19" t="n">
        <v>14.18</v>
      </c>
      <c r="G1173" s="16" t="n">
        <v>45649</v>
      </c>
      <c r="H1173" s="19" t="n">
        <v>2.299</v>
      </c>
      <c r="J1173" s="16" t="n">
        <v>45649</v>
      </c>
      <c r="K1173" s="19" t="n">
        <v>1.738</v>
      </c>
      <c r="M1173" s="16" t="n">
        <v>44624</v>
      </c>
      <c r="N1173" s="19" t="n">
        <v>151720</v>
      </c>
    </row>
    <row r="1174">
      <c r="A1174" s="16" t="n">
        <v>44623</v>
      </c>
      <c r="B1174" s="19" t="n">
        <v>2296.32</v>
      </c>
      <c r="D1174" s="16" t="n">
        <v>44620</v>
      </c>
      <c r="E1174" s="19" t="n">
        <v>15.8</v>
      </c>
      <c r="G1174" s="16" t="n">
        <v>45650</v>
      </c>
      <c r="H1174" s="19" t="n">
        <v>2.223</v>
      </c>
      <c r="J1174" s="16" t="n">
        <v>45650</v>
      </c>
      <c r="K1174" s="19" t="n">
        <v>1.703</v>
      </c>
      <c r="M1174" s="16" t="n">
        <v>44623</v>
      </c>
      <c r="N1174" s="19" t="n">
        <v>152221</v>
      </c>
    </row>
    <row r="1175">
      <c r="A1175" s="16" t="n">
        <v>44622</v>
      </c>
      <c r="B1175" s="19" t="n">
        <v>2278.98</v>
      </c>
      <c r="D1175" s="16" t="n">
        <v>44617</v>
      </c>
      <c r="E1175" s="19" t="n">
        <v>13.43</v>
      </c>
      <c r="G1175" s="16" t="n">
        <v>45652</v>
      </c>
      <c r="H1175" s="19" t="n">
        <v>2.188</v>
      </c>
      <c r="J1175" s="16" t="n">
        <v>45652</v>
      </c>
      <c r="K1175" s="19" t="n">
        <v>1.677</v>
      </c>
      <c r="M1175" s="16" t="n">
        <v>44622</v>
      </c>
      <c r="N1175" s="19" t="n">
        <v>150594</v>
      </c>
    </row>
    <row r="1176">
      <c r="A1176" s="16" t="n">
        <v>44620</v>
      </c>
      <c r="B1176" s="19" t="n">
        <v>2262.08</v>
      </c>
      <c r="D1176" s="16" t="n">
        <v>44616</v>
      </c>
      <c r="E1176" s="19" t="n">
        <v>14.06</v>
      </c>
      <c r="G1176" s="16" t="n">
        <v>45653</v>
      </c>
      <c r="H1176" s="19" t="n">
        <v>2.23</v>
      </c>
      <c r="J1176" s="16" t="n">
        <v>45653</v>
      </c>
      <c r="K1176" s="19" t="n">
        <v>1.68</v>
      </c>
      <c r="M1176" s="16" t="n">
        <v>44620</v>
      </c>
      <c r="N1176" s="19" t="n">
        <v>149991</v>
      </c>
    </row>
    <row r="1177">
      <c r="A1177" s="16" t="n">
        <v>44617</v>
      </c>
      <c r="B1177" s="19" t="n">
        <v>2297.22</v>
      </c>
      <c r="D1177" s="16" t="n">
        <v>44615</v>
      </c>
      <c r="E1177" s="19" t="n">
        <v>16.44</v>
      </c>
      <c r="G1177" s="16" t="n">
        <v>45656</v>
      </c>
      <c r="H1177" s="19" t="n">
        <v>2.24</v>
      </c>
      <c r="J1177" s="16" t="n">
        <v>45656</v>
      </c>
      <c r="K1177" s="19" t="n">
        <v>1.691</v>
      </c>
      <c r="M1177" s="16" t="n">
        <v>44617</v>
      </c>
      <c r="N1177" s="19" t="n">
        <v>152485</v>
      </c>
    </row>
    <row r="1178">
      <c r="A1178" s="16" t="n">
        <v>44616</v>
      </c>
      <c r="B1178" s="19" t="n">
        <v>2290.41</v>
      </c>
      <c r="D1178" s="16" t="n">
        <v>44614</v>
      </c>
      <c r="E1178" s="19" t="n">
        <v>18.18</v>
      </c>
      <c r="G1178" s="16" t="n">
        <v>45657</v>
      </c>
      <c r="H1178" s="19" t="n">
        <v>2.283</v>
      </c>
      <c r="J1178" s="16" t="n">
        <v>45657</v>
      </c>
      <c r="K1178" s="19" t="n">
        <v>1.739</v>
      </c>
      <c r="M1178" s="16" t="n">
        <v>44616</v>
      </c>
      <c r="N1178" s="19" t="n">
        <v>151750</v>
      </c>
    </row>
    <row r="1179">
      <c r="A1179" s="16" t="n">
        <v>44615</v>
      </c>
      <c r="B1179" s="19" t="n">
        <v>2252.51</v>
      </c>
      <c r="D1179" s="16" t="n">
        <v>44613</v>
      </c>
      <c r="E1179" s="19" t="n">
        <v>18.59</v>
      </c>
      <c r="G1179" s="16" t="n">
        <v>45659</v>
      </c>
      <c r="H1179" s="19" t="n">
        <v>2.3</v>
      </c>
      <c r="J1179" s="16" t="n">
        <v>45659</v>
      </c>
      <c r="K1179" s="19" t="n">
        <v>1.71</v>
      </c>
      <c r="M1179" s="16" t="n">
        <v>44615</v>
      </c>
      <c r="N1179" s="19" t="n">
        <v>149182</v>
      </c>
    </row>
    <row r="1180">
      <c r="A1180" s="16" t="n">
        <v>44614</v>
      </c>
      <c r="B1180" s="19" t="n">
        <v>2225.6</v>
      </c>
      <c r="D1180" s="16" t="n">
        <v>44610</v>
      </c>
      <c r="E1180" s="19" t="n">
        <v>17.47</v>
      </c>
      <c r="G1180" s="16" t="n">
        <v>45660</v>
      </c>
      <c r="H1180" s="19" t="n">
        <v>2.235</v>
      </c>
      <c r="J1180" s="16" t="n">
        <v>45660</v>
      </c>
      <c r="K1180" s="19" t="n">
        <v>1.696</v>
      </c>
      <c r="M1180" s="16" t="n">
        <v>44614</v>
      </c>
      <c r="N1180" s="19" t="n">
        <v>147457</v>
      </c>
    </row>
    <row r="1181">
      <c r="A1181" s="16" t="n">
        <v>44613</v>
      </c>
      <c r="B1181" s="19" t="n">
        <v>2244</v>
      </c>
      <c r="D1181" s="16" t="n">
        <v>44609</v>
      </c>
      <c r="E1181" s="19" t="n">
        <v>18.9</v>
      </c>
      <c r="G1181" s="16" t="n">
        <v>45663</v>
      </c>
      <c r="H1181" s="19" t="n">
        <v>2.226</v>
      </c>
      <c r="J1181" s="16" t="n">
        <v>45663</v>
      </c>
      <c r="K1181" s="19" t="n">
        <v>1.649</v>
      </c>
      <c r="M1181" s="16" t="n">
        <v>44613</v>
      </c>
      <c r="N1181" s="19" t="n">
        <v>148588</v>
      </c>
    </row>
    <row r="1182">
      <c r="A1182" s="16" t="n">
        <v>44610</v>
      </c>
      <c r="B1182" s="19" t="n">
        <v>2253.55</v>
      </c>
      <c r="D1182" s="16" t="n">
        <v>44608</v>
      </c>
      <c r="E1182" s="19" t="n">
        <v>19.83</v>
      </c>
      <c r="G1182" s="16" t="n">
        <v>45664</v>
      </c>
      <c r="H1182" s="19" t="n">
        <v>2.239</v>
      </c>
      <c r="J1182" s="16" t="n">
        <v>45664</v>
      </c>
      <c r="K1182" s="19" t="n">
        <v>1.659</v>
      </c>
      <c r="M1182" s="16" t="n">
        <v>44610</v>
      </c>
      <c r="N1182" s="19" t="n">
        <v>149690</v>
      </c>
    </row>
    <row r="1183">
      <c r="A1183" s="16" t="n">
        <v>44609</v>
      </c>
      <c r="B1183" s="19" t="n">
        <v>2231.04</v>
      </c>
      <c r="D1183" s="16" t="n">
        <v>44607</v>
      </c>
      <c r="E1183" s="19" t="n">
        <v>18.37</v>
      </c>
      <c r="G1183" s="16" t="n">
        <v>45665</v>
      </c>
      <c r="H1183" s="19" t="n">
        <v>2.226</v>
      </c>
      <c r="J1183" s="16" t="n">
        <v>45665</v>
      </c>
      <c r="K1183" s="19" t="n">
        <v>1.67</v>
      </c>
      <c r="M1183" s="16" t="n">
        <v>44609</v>
      </c>
      <c r="N1183" s="19" t="n">
        <v>149690</v>
      </c>
    </row>
    <row r="1184">
      <c r="A1184" s="16" t="n">
        <v>44608</v>
      </c>
      <c r="B1184" s="19" t="n">
        <v>2211.36</v>
      </c>
      <c r="D1184" s="16" t="n">
        <v>44606</v>
      </c>
      <c r="E1184" s="19" t="n">
        <v>17.14</v>
      </c>
      <c r="G1184" s="16" t="n">
        <v>45666</v>
      </c>
      <c r="H1184" s="19" t="n">
        <v>2.256</v>
      </c>
      <c r="J1184" s="16" t="n">
        <v>45666</v>
      </c>
      <c r="K1184" s="19" t="n">
        <v>1.678</v>
      </c>
      <c r="M1184" s="16" t="n">
        <v>44608</v>
      </c>
      <c r="N1184" s="19" t="n">
        <v>148798</v>
      </c>
    </row>
    <row r="1185">
      <c r="A1185" s="16" t="n">
        <v>44607</v>
      </c>
      <c r="B1185" s="19" t="n">
        <v>2220.38</v>
      </c>
      <c r="D1185" s="16" t="n">
        <v>44603</v>
      </c>
      <c r="E1185" s="19" t="n">
        <v>16.69</v>
      </c>
      <c r="G1185" s="16" t="n">
        <v>45667</v>
      </c>
      <c r="H1185" s="19" t="n">
        <v>2.27</v>
      </c>
      <c r="J1185" s="16" t="n">
        <v>45667</v>
      </c>
      <c r="K1185" s="19" t="n">
        <v>1.691</v>
      </c>
      <c r="M1185" s="16" t="n">
        <v>44607</v>
      </c>
      <c r="N1185" s="19" t="n">
        <v>149518</v>
      </c>
    </row>
    <row r="1186">
      <c r="A1186" s="16" t="n">
        <v>44606</v>
      </c>
      <c r="B1186" s="19" t="n">
        <v>2253.51</v>
      </c>
      <c r="D1186" s="16" t="n">
        <v>44602</v>
      </c>
      <c r="E1186" s="19" t="n">
        <v>18.72</v>
      </c>
      <c r="G1186" s="16" t="n">
        <v>45670</v>
      </c>
      <c r="H1186" s="19" t="n">
        <v>2.27</v>
      </c>
      <c r="J1186" s="16" t="n">
        <v>45670</v>
      </c>
      <c r="K1186" s="19" t="n">
        <v>1.708</v>
      </c>
      <c r="M1186" s="16" t="n">
        <v>44606</v>
      </c>
      <c r="N1186" s="19" t="n">
        <v>150456</v>
      </c>
    </row>
    <row r="1187">
      <c r="A1187" s="16" t="n">
        <v>44603</v>
      </c>
      <c r="B1187" s="19" t="n">
        <v>2257.03</v>
      </c>
      <c r="D1187" s="16" t="n">
        <v>44601</v>
      </c>
      <c r="E1187" s="19" t="n">
        <v>19.62</v>
      </c>
      <c r="G1187" s="16" t="n">
        <v>45671</v>
      </c>
      <c r="H1187" s="19" t="n">
        <v>2.319</v>
      </c>
      <c r="J1187" s="16" t="n">
        <v>45671</v>
      </c>
      <c r="K1187" s="19" t="n">
        <v>1.717</v>
      </c>
      <c r="M1187" s="16" t="n">
        <v>44603</v>
      </c>
      <c r="N1187" s="19" t="n">
        <v>150872</v>
      </c>
    </row>
    <row r="1188">
      <c r="A1188" s="16" t="n">
        <v>44602</v>
      </c>
      <c r="B1188" s="19" t="n">
        <v>2245.56</v>
      </c>
      <c r="D1188" s="16" t="n">
        <v>44600</v>
      </c>
      <c r="E1188" s="19" t="n">
        <v>19.37</v>
      </c>
      <c r="G1188" s="16" t="n">
        <v>45672</v>
      </c>
      <c r="H1188" s="19" t="n">
        <v>2.234</v>
      </c>
      <c r="J1188" s="16" t="n">
        <v>45672</v>
      </c>
      <c r="K1188" s="19" t="n">
        <v>1.696</v>
      </c>
      <c r="M1188" s="16" t="n">
        <v>44602</v>
      </c>
      <c r="N1188" s="19" t="n">
        <v>152217</v>
      </c>
    </row>
    <row r="1189">
      <c r="A1189" s="16" t="n">
        <v>44601</v>
      </c>
      <c r="B1189" s="19" t="n">
        <v>2236.19</v>
      </c>
      <c r="D1189" s="16" t="n">
        <v>44599</v>
      </c>
      <c r="E1189" s="19" t="n">
        <v>18.88</v>
      </c>
      <c r="G1189" s="16" t="n">
        <v>45673</v>
      </c>
      <c r="H1189" s="19" t="n">
        <v>2.226</v>
      </c>
      <c r="J1189" s="16" t="n">
        <v>45673</v>
      </c>
      <c r="K1189" s="19" t="n">
        <v>1.699</v>
      </c>
      <c r="M1189" s="16" t="n">
        <v>44601</v>
      </c>
      <c r="N1189" s="19" t="n">
        <v>151309</v>
      </c>
    </row>
    <row r="1190">
      <c r="A1190" s="16" t="n">
        <v>44600</v>
      </c>
      <c r="B1190" s="19" t="n">
        <v>2251.51</v>
      </c>
      <c r="D1190" s="16" t="n">
        <v>44596</v>
      </c>
      <c r="E1190" s="19" t="n">
        <v>18.61</v>
      </c>
      <c r="G1190" s="16" t="n">
        <v>45674</v>
      </c>
      <c r="H1190" s="19" t="n">
        <v>2.277</v>
      </c>
      <c r="J1190" s="16" t="n">
        <v>45674</v>
      </c>
      <c r="K1190" s="19" t="n">
        <v>1.689</v>
      </c>
      <c r="M1190" s="16" t="n">
        <v>44600</v>
      </c>
      <c r="N1190" s="19" t="n">
        <v>152060</v>
      </c>
    </row>
    <row r="1191">
      <c r="A1191" s="16" t="n">
        <v>44599</v>
      </c>
      <c r="B1191" s="19" t="n">
        <v>2263.62</v>
      </c>
      <c r="D1191" s="16" t="n">
        <v>44595</v>
      </c>
      <c r="E1191" s="19" t="n">
        <v>20.07</v>
      </c>
      <c r="G1191" s="16" t="n">
        <v>45677</v>
      </c>
      <c r="H1191" s="19" t="n">
        <v>2.301</v>
      </c>
      <c r="J1191" s="16" t="n">
        <v>45677</v>
      </c>
      <c r="K1191" s="19" t="n">
        <v>1.708</v>
      </c>
      <c r="M1191" s="16" t="n">
        <v>44599</v>
      </c>
      <c r="N1191" s="19" t="n">
        <v>151980</v>
      </c>
    </row>
    <row r="1192">
      <c r="A1192" s="16" t="n">
        <v>44596</v>
      </c>
      <c r="B1192" s="19" t="n">
        <v>2273.24</v>
      </c>
      <c r="D1192" s="16" t="n">
        <v>44594</v>
      </c>
      <c r="E1192" s="19" t="n">
        <v>18.93</v>
      </c>
      <c r="G1192" s="16" t="n">
        <v>45678</v>
      </c>
      <c r="H1192" s="19" t="n">
        <v>2.285</v>
      </c>
      <c r="J1192" s="16" t="n">
        <v>45678</v>
      </c>
      <c r="K1192" s="19" t="n">
        <v>1.685</v>
      </c>
      <c r="M1192" s="16" t="n">
        <v>44596</v>
      </c>
      <c r="N1192" s="19" t="n">
        <v>152315</v>
      </c>
    </row>
    <row r="1193">
      <c r="A1193" s="16" t="n">
        <v>44595</v>
      </c>
      <c r="B1193" s="19" t="n">
        <v>2256.05</v>
      </c>
      <c r="D1193" s="16" t="n">
        <v>44593</v>
      </c>
      <c r="E1193" s="19" t="n">
        <v>20.39</v>
      </c>
      <c r="G1193" s="16" t="n">
        <v>45679</v>
      </c>
      <c r="H1193" s="19" t="n">
        <v>2.319</v>
      </c>
      <c r="J1193" s="16" t="n">
        <v>45679</v>
      </c>
      <c r="K1193" s="19" t="n">
        <v>1.722</v>
      </c>
      <c r="M1193" s="16" t="n">
        <v>44595</v>
      </c>
      <c r="N1193" s="19" t="n">
        <v>150791</v>
      </c>
    </row>
    <row r="1194">
      <c r="A1194" s="16" t="n">
        <v>44594</v>
      </c>
      <c r="B1194" s="19" t="n">
        <v>2278.61</v>
      </c>
      <c r="D1194" s="16" t="n">
        <v>44592</v>
      </c>
      <c r="E1194" s="19" t="n">
        <v>20.23</v>
      </c>
      <c r="G1194" s="16" t="n">
        <v>45680</v>
      </c>
      <c r="H1194" s="19" t="n">
        <v>2.353</v>
      </c>
      <c r="J1194" s="16" t="n">
        <v>45680</v>
      </c>
      <c r="K1194" s="19" t="n">
        <v>1.751</v>
      </c>
      <c r="M1194" s="16" t="n">
        <v>44594</v>
      </c>
      <c r="N1194" s="19" t="n">
        <v>151954</v>
      </c>
    </row>
    <row r="1195">
      <c r="A1195" s="16" t="n">
        <v>44593</v>
      </c>
      <c r="B1195" s="19" t="n">
        <v>2262.31</v>
      </c>
      <c r="D1195" s="16" t="n">
        <v>44589</v>
      </c>
      <c r="E1195" s="19" t="n">
        <v>17.49</v>
      </c>
      <c r="G1195" s="16" t="n">
        <v>45681</v>
      </c>
      <c r="H1195" s="19" t="n">
        <v>2.302</v>
      </c>
      <c r="J1195" s="16" t="n">
        <v>45681</v>
      </c>
      <c r="K1195" s="19" t="n">
        <v>1.755</v>
      </c>
      <c r="M1195" s="16" t="n">
        <v>44593</v>
      </c>
      <c r="N1195" s="19" t="n">
        <v>151321</v>
      </c>
    </row>
    <row r="1196">
      <c r="A1196" s="16" t="n">
        <v>44592</v>
      </c>
      <c r="B1196" s="19" t="n">
        <v>2255.51</v>
      </c>
      <c r="D1196" s="16" t="n">
        <v>44588</v>
      </c>
      <c r="E1196" s="19" t="n">
        <v>16.47</v>
      </c>
      <c r="G1196" s="16" t="n">
        <v>45684</v>
      </c>
      <c r="H1196" s="19" t="n">
        <v>2.298</v>
      </c>
      <c r="J1196" s="16" t="n">
        <v>45684</v>
      </c>
      <c r="K1196" s="19" t="n">
        <v>1.735</v>
      </c>
      <c r="M1196" s="16" t="n">
        <v>44592</v>
      </c>
      <c r="N1196" s="19" t="n">
        <v>152232</v>
      </c>
    </row>
    <row r="1197">
      <c r="A1197" s="16" t="n">
        <v>44589</v>
      </c>
      <c r="B1197" s="19" t="n">
        <v>2292.86</v>
      </c>
      <c r="D1197" s="16" t="n">
        <v>44587</v>
      </c>
      <c r="E1197" s="19" t="n">
        <v>15.97</v>
      </c>
      <c r="G1197" s="16" t="n">
        <v>45685</v>
      </c>
      <c r="H1197" s="19" t="n">
        <v>2.217</v>
      </c>
      <c r="J1197" s="16" t="n">
        <v>45685</v>
      </c>
      <c r="K1197" s="19" t="n">
        <v>1.698</v>
      </c>
      <c r="M1197" s="16" t="n">
        <v>44589</v>
      </c>
      <c r="N1197" s="19" t="n">
        <v>153042</v>
      </c>
    </row>
    <row r="1198">
      <c r="A1198" s="16" t="n">
        <v>44588</v>
      </c>
      <c r="B1198" s="19" t="n">
        <v>2310.2</v>
      </c>
      <c r="D1198" s="16" t="n">
        <v>44586</v>
      </c>
      <c r="E1198" s="19" t="n">
        <v>18.06</v>
      </c>
      <c r="G1198" s="16" t="n">
        <v>45686</v>
      </c>
      <c r="H1198" s="19" t="n">
        <v>2.208</v>
      </c>
      <c r="J1198" s="16" t="n">
        <v>45686</v>
      </c>
      <c r="K1198" s="19" t="n">
        <v>1.667</v>
      </c>
      <c r="M1198" s="16" t="n">
        <v>44588</v>
      </c>
      <c r="N1198" s="19" t="n">
        <v>153336</v>
      </c>
    </row>
    <row r="1199">
      <c r="A1199" s="16" t="n">
        <v>44587</v>
      </c>
      <c r="B1199" s="19" t="n">
        <v>2303.51</v>
      </c>
      <c r="D1199" s="16" t="n">
        <v>44585</v>
      </c>
      <c r="E1199" s="19" t="n">
        <v>19.9</v>
      </c>
      <c r="G1199" s="16" t="n">
        <v>45687</v>
      </c>
      <c r="H1199" s="19" t="n">
        <v>2.233</v>
      </c>
      <c r="J1199" s="16" t="n">
        <v>45687</v>
      </c>
      <c r="K1199" s="19" t="n">
        <v>1.698</v>
      </c>
      <c r="M1199" s="16" t="n">
        <v>44587</v>
      </c>
      <c r="N1199" s="19" t="n">
        <v>153224</v>
      </c>
    </row>
    <row r="1200">
      <c r="A1200" s="16" t="n">
        <v>44586</v>
      </c>
      <c r="B1200" s="19" t="n">
        <v>2267.05</v>
      </c>
      <c r="D1200" s="16" t="n">
        <v>44582</v>
      </c>
      <c r="E1200" s="19" t="n">
        <v>19.61</v>
      </c>
      <c r="G1200" s="16" t="n">
        <v>45688</v>
      </c>
      <c r="H1200" s="19" t="n">
        <v>2.201</v>
      </c>
      <c r="J1200" s="16" t="n">
        <v>45688</v>
      </c>
      <c r="K1200" s="19" t="n">
        <v>1.694</v>
      </c>
      <c r="M1200" s="16" t="n">
        <v>44586</v>
      </c>
      <c r="N1200" s="19" t="n">
        <v>150916</v>
      </c>
    </row>
    <row r="1201">
      <c r="A1201" s="16" t="n">
        <v>44585</v>
      </c>
      <c r="B1201" s="19" t="n">
        <v>2251.76</v>
      </c>
      <c r="D1201" s="16" t="n">
        <v>44581</v>
      </c>
      <c r="E1201" s="19" t="n">
        <v>20.76</v>
      </c>
      <c r="G1201" s="16" t="n">
        <v>45691</v>
      </c>
      <c r="H1201" s="19" t="n">
        <v>2.217</v>
      </c>
      <c r="J1201" s="16" t="n">
        <v>45691</v>
      </c>
      <c r="K1201" s="19" t="n">
        <v>1.734</v>
      </c>
      <c r="M1201" s="16" t="n">
        <v>44585</v>
      </c>
      <c r="N1201" s="19" t="n">
        <v>150916</v>
      </c>
    </row>
    <row r="1202">
      <c r="A1202" s="16" t="n">
        <v>44582</v>
      </c>
      <c r="B1202" s="19" t="n">
        <v>2257.7</v>
      </c>
      <c r="D1202" s="16" t="n">
        <v>44580</v>
      </c>
      <c r="E1202" s="19" t="n">
        <v>22.22</v>
      </c>
      <c r="G1202" s="16" t="n">
        <v>45692</v>
      </c>
      <c r="H1202" s="19" t="n">
        <v>2.204</v>
      </c>
      <c r="J1202" s="16" t="n">
        <v>45692</v>
      </c>
      <c r="K1202" s="19" t="n">
        <v>1.739</v>
      </c>
      <c r="M1202" s="16" t="n">
        <v>44582</v>
      </c>
      <c r="N1202" s="19" t="n">
        <v>150944</v>
      </c>
    </row>
    <row r="1203">
      <c r="A1203" s="16" t="n">
        <v>44581</v>
      </c>
      <c r="B1203" s="19" t="n">
        <v>2251.57</v>
      </c>
      <c r="D1203" s="16" t="n">
        <v>44579</v>
      </c>
      <c r="E1203" s="19" t="n">
        <v>22.71</v>
      </c>
      <c r="G1203" s="16" t="n">
        <v>45693</v>
      </c>
      <c r="H1203" s="19" t="n">
        <v>2.259</v>
      </c>
      <c r="J1203" s="16" t="n">
        <v>45693</v>
      </c>
      <c r="K1203" s="19" t="n">
        <v>1.773</v>
      </c>
      <c r="M1203" s="16" t="n">
        <v>44581</v>
      </c>
      <c r="N1203" s="19" t="n">
        <v>150427</v>
      </c>
    </row>
    <row r="1204">
      <c r="A1204" s="16" t="n">
        <v>44580</v>
      </c>
      <c r="B1204" s="19" t="n">
        <v>2208.15</v>
      </c>
      <c r="D1204" s="16" t="n">
        <v>44578</v>
      </c>
      <c r="E1204" s="19" t="n">
        <v>25.16</v>
      </c>
      <c r="G1204" s="16" t="n">
        <v>45694</v>
      </c>
      <c r="H1204" s="19" t="n">
        <v>2.285</v>
      </c>
      <c r="J1204" s="16" t="n">
        <v>45694</v>
      </c>
      <c r="K1204" s="19" t="n">
        <v>1.798</v>
      </c>
      <c r="M1204" s="16" t="n">
        <v>44580</v>
      </c>
      <c r="N1204" s="19" t="n">
        <v>148370</v>
      </c>
    </row>
    <row r="1205">
      <c r="A1205" s="16" t="n">
        <v>44579</v>
      </c>
      <c r="B1205" s="19" t="n">
        <v>2220.74</v>
      </c>
      <c r="D1205" s="16" t="n">
        <v>44575</v>
      </c>
      <c r="E1205" s="19" t="n">
        <v>25.75</v>
      </c>
      <c r="G1205" s="16" t="n">
        <v>45695</v>
      </c>
      <c r="H1205" s="19" t="n">
        <v>2.307</v>
      </c>
      <c r="J1205" s="16" t="n">
        <v>45695</v>
      </c>
      <c r="K1205" s="19" t="n">
        <v>1.77</v>
      </c>
      <c r="M1205" s="16" t="n">
        <v>44579</v>
      </c>
      <c r="N1205" s="19" t="n">
        <v>148119</v>
      </c>
    </row>
    <row r="1206">
      <c r="A1206" s="16" t="n">
        <v>44578</v>
      </c>
      <c r="B1206" s="19" t="n">
        <v>2146.18</v>
      </c>
      <c r="D1206" s="16" t="n">
        <v>44574</v>
      </c>
      <c r="E1206" s="19" t="n">
        <v>26.72</v>
      </c>
      <c r="G1206" s="16" t="n">
        <v>45698</v>
      </c>
      <c r="H1206" s="19" t="n">
        <v>2.313</v>
      </c>
      <c r="J1206" s="16" t="n">
        <v>45698</v>
      </c>
      <c r="K1206" s="19" t="n">
        <v>1.775</v>
      </c>
      <c r="M1206" s="16" t="n">
        <v>44578</v>
      </c>
      <c r="N1206" s="19" t="n">
        <v>145081</v>
      </c>
    </row>
    <row r="1207">
      <c r="A1207" s="16" t="n">
        <v>44575</v>
      </c>
      <c r="B1207" s="19" t="n">
        <v>2141.04</v>
      </c>
      <c r="D1207" s="16" t="n">
        <v>44573</v>
      </c>
      <c r="E1207" s="19" t="n">
        <v>26.19</v>
      </c>
      <c r="G1207" s="16" t="n">
        <v>45699</v>
      </c>
      <c r="H1207" s="19" t="n">
        <v>2.404</v>
      </c>
      <c r="J1207" s="16" t="n">
        <v>45699</v>
      </c>
      <c r="K1207" s="19" t="n">
        <v>1.815</v>
      </c>
      <c r="M1207" s="16" t="n">
        <v>44575</v>
      </c>
      <c r="N1207" s="19" t="n">
        <v>145067</v>
      </c>
    </row>
    <row r="1208">
      <c r="A1208" s="16" t="n">
        <v>44574</v>
      </c>
      <c r="B1208" s="19" t="n">
        <v>2137.36</v>
      </c>
      <c r="D1208" s="16" t="n">
        <v>44572</v>
      </c>
      <c r="E1208" s="19" t="n">
        <v>27.6</v>
      </c>
      <c r="G1208" s="16" t="n">
        <v>45700</v>
      </c>
      <c r="H1208" s="19" t="n">
        <v>2.436</v>
      </c>
      <c r="J1208" s="16" t="n">
        <v>45700</v>
      </c>
      <c r="K1208" s="19" t="n">
        <v>1.806</v>
      </c>
      <c r="M1208" s="16" t="n">
        <v>44574</v>
      </c>
      <c r="N1208" s="19" t="n">
        <v>144000</v>
      </c>
    </row>
    <row r="1209">
      <c r="A1209" s="16" t="n">
        <v>44573</v>
      </c>
      <c r="B1209" s="19" t="n">
        <v>2161.51</v>
      </c>
      <c r="D1209" s="16" t="n">
        <v>44571</v>
      </c>
      <c r="E1209" s="19" t="n">
        <v>26.85</v>
      </c>
      <c r="G1209" s="16" t="n">
        <v>45701</v>
      </c>
      <c r="H1209" s="19" t="n">
        <v>2.44</v>
      </c>
      <c r="J1209" s="16" t="n">
        <v>45701</v>
      </c>
      <c r="K1209" s="19" t="n">
        <v>1.826</v>
      </c>
      <c r="M1209" s="16" t="n">
        <v>44573</v>
      </c>
      <c r="N1209" s="19" t="n">
        <v>145357</v>
      </c>
    </row>
    <row r="1210">
      <c r="A1210" s="16" t="n">
        <v>44572</v>
      </c>
      <c r="B1210" s="19" t="n">
        <v>2146.66</v>
      </c>
      <c r="D1210" s="16" t="n">
        <v>44568</v>
      </c>
      <c r="E1210" s="19" t="n">
        <v>26.26</v>
      </c>
      <c r="G1210" s="16" t="n">
        <v>45702</v>
      </c>
      <c r="H1210" s="19" t="n">
        <v>2.437</v>
      </c>
      <c r="J1210" s="16" t="n">
        <v>45702</v>
      </c>
      <c r="K1210" s="19" t="n">
        <v>1.799</v>
      </c>
      <c r="M1210" s="16" t="n">
        <v>44572</v>
      </c>
      <c r="N1210" s="19" t="n">
        <v>144476</v>
      </c>
    </row>
    <row r="1211">
      <c r="A1211" s="16" t="n">
        <v>44571</v>
      </c>
      <c r="B1211" s="19" t="n">
        <v>2176.22</v>
      </c>
      <c r="D1211" s="16" t="n">
        <v>44567</v>
      </c>
      <c r="E1211" s="19" t="n">
        <v>26.74</v>
      </c>
      <c r="G1211" s="16" t="n">
        <v>45705</v>
      </c>
      <c r="H1211" s="19" t="n">
        <v>2.454</v>
      </c>
      <c r="J1211" s="16" t="n">
        <v>45705</v>
      </c>
      <c r="K1211" s="19" t="n">
        <v>1.812</v>
      </c>
      <c r="M1211" s="16" t="n">
        <v>44571</v>
      </c>
      <c r="N1211" s="19" t="n">
        <v>145213</v>
      </c>
    </row>
    <row r="1212">
      <c r="A1212" s="16" t="n">
        <v>44568</v>
      </c>
      <c r="B1212" s="19" t="n">
        <v>2188.8</v>
      </c>
      <c r="D1212" s="16" t="n">
        <v>44566</v>
      </c>
      <c r="E1212" s="19" t="n">
        <v>26.83</v>
      </c>
      <c r="G1212" s="16" t="n">
        <v>45706</v>
      </c>
      <c r="H1212" s="19" t="n">
        <v>2.565</v>
      </c>
      <c r="J1212" s="16" t="n">
        <v>45706</v>
      </c>
      <c r="K1212" s="19" t="n">
        <v>1.873</v>
      </c>
      <c r="M1212" s="16" t="n">
        <v>44568</v>
      </c>
      <c r="N1212" s="19" t="n">
        <v>145953</v>
      </c>
    </row>
    <row r="1213">
      <c r="A1213" s="16" t="n">
        <v>44567</v>
      </c>
      <c r="B1213" s="19" t="n">
        <v>2187.44</v>
      </c>
      <c r="D1213" s="16" t="n">
        <v>44565</v>
      </c>
      <c r="E1213" s="19" t="n">
        <v>27.11</v>
      </c>
      <c r="G1213" s="16" t="n">
        <v>45707</v>
      </c>
      <c r="H1213" s="19" t="n">
        <v>2.597</v>
      </c>
      <c r="J1213" s="16" t="n">
        <v>45707</v>
      </c>
      <c r="K1213" s="19" t="n">
        <v>1.885</v>
      </c>
      <c r="M1213" s="16" t="n">
        <v>44567</v>
      </c>
      <c r="N1213" s="19" t="n">
        <v>145856</v>
      </c>
    </row>
    <row r="1214">
      <c r="A1214" s="16" t="n">
        <v>44566</v>
      </c>
      <c r="B1214" s="19" t="n">
        <v>2194.22</v>
      </c>
      <c r="D1214" s="16" t="n">
        <v>44564</v>
      </c>
      <c r="E1214" s="19" t="n">
        <v>26.06</v>
      </c>
      <c r="G1214" s="16" t="n">
        <v>45708</v>
      </c>
      <c r="H1214" s="19" t="n">
        <v>2.597</v>
      </c>
      <c r="J1214" s="16" t="n">
        <v>45708</v>
      </c>
      <c r="K1214" s="19" t="n">
        <v>1.892</v>
      </c>
      <c r="M1214" s="16" t="n">
        <v>44566</v>
      </c>
      <c r="N1214" s="19" t="n">
        <v>146479</v>
      </c>
    </row>
    <row r="1215">
      <c r="A1215" s="16" t="n">
        <v>44565</v>
      </c>
      <c r="B1215" s="19" t="n">
        <v>2199.11</v>
      </c>
      <c r="D1215" s="16" t="n">
        <v>44561</v>
      </c>
      <c r="E1215" s="19" t="n">
        <v>25.17</v>
      </c>
      <c r="G1215" s="16" t="n">
        <v>45709</v>
      </c>
      <c r="H1215" s="19" t="n">
        <v>2.669</v>
      </c>
      <c r="J1215" s="16" t="n">
        <v>45709</v>
      </c>
      <c r="K1215" s="19" t="n">
        <v>1.931</v>
      </c>
      <c r="M1215" s="16" t="n">
        <v>44565</v>
      </c>
      <c r="N1215" s="19" t="n">
        <v>146857</v>
      </c>
    </row>
    <row r="1216">
      <c r="A1216" s="16" t="n">
        <v>44564</v>
      </c>
      <c r="B1216" s="19" t="n">
        <v>2224.87</v>
      </c>
      <c r="D1216" s="16" t="n">
        <v>44560</v>
      </c>
      <c r="E1216" s="19" t="n">
        <v>25.5</v>
      </c>
      <c r="G1216" s="16" t="n">
        <v>45712</v>
      </c>
      <c r="H1216" s="19" t="n">
        <v>2.681</v>
      </c>
      <c r="J1216" s="16" t="n">
        <v>45712</v>
      </c>
      <c r="K1216" s="19" t="n">
        <v>1.928</v>
      </c>
      <c r="M1216" s="16" t="n">
        <v>44564</v>
      </c>
      <c r="N1216" s="19" t="n">
        <v>148466</v>
      </c>
    </row>
    <row r="1217">
      <c r="A1217" s="16" t="n">
        <v>44561</v>
      </c>
      <c r="B1217" s="19" t="n">
        <v>2248.71</v>
      </c>
      <c r="D1217" s="16" t="n">
        <v>44559</v>
      </c>
      <c r="E1217" s="19" t="n">
        <v>26.65</v>
      </c>
      <c r="G1217" s="16" t="n">
        <v>45713</v>
      </c>
      <c r="H1217" s="19" t="n">
        <v>2.703</v>
      </c>
      <c r="J1217" s="16" t="n">
        <v>45713</v>
      </c>
      <c r="K1217" s="19" t="n">
        <v>1.938</v>
      </c>
      <c r="M1217" s="16" t="n">
        <v>44561</v>
      </c>
      <c r="N1217" s="19" t="n">
        <v>149962</v>
      </c>
    </row>
    <row r="1218">
      <c r="A1218" s="16" t="n">
        <v>44560</v>
      </c>
      <c r="B1218" s="19" t="n">
        <v>2256.68</v>
      </c>
      <c r="D1218" s="16" t="n">
        <v>44558</v>
      </c>
      <c r="E1218" s="19" t="n">
        <v>23.65</v>
      </c>
      <c r="G1218" s="16" t="n">
        <v>45714</v>
      </c>
      <c r="H1218" s="19" t="n">
        <v>2.703</v>
      </c>
      <c r="J1218" s="16" t="n">
        <v>45714</v>
      </c>
      <c r="K1218" s="19" t="n">
        <v>1.926</v>
      </c>
      <c r="M1218" s="16" t="n">
        <v>44560</v>
      </c>
      <c r="N1218" s="19" t="n">
        <v>150508</v>
      </c>
    </row>
    <row r="1219">
      <c r="A1219" s="16" t="n">
        <v>44559</v>
      </c>
      <c r="B1219" s="19" t="n">
        <v>2249.16</v>
      </c>
      <c r="D1219" s="16" t="n">
        <v>44557</v>
      </c>
      <c r="E1219" s="19" t="n">
        <v>23.79</v>
      </c>
      <c r="G1219" s="16" t="n">
        <v>45715</v>
      </c>
      <c r="H1219" s="19" t="n">
        <v>2.772</v>
      </c>
      <c r="J1219" s="16" t="n">
        <v>45715</v>
      </c>
      <c r="K1219" s="19" t="n">
        <v>1.948</v>
      </c>
      <c r="M1219" s="16" t="n">
        <v>44559</v>
      </c>
      <c r="N1219" s="19" t="n">
        <v>149813</v>
      </c>
    </row>
    <row r="1220">
      <c r="A1220" s="16" t="n">
        <v>44558</v>
      </c>
      <c r="B1220" s="19" t="n">
        <v>2307.86</v>
      </c>
      <c r="D1220" s="16" t="n">
        <v>44554</v>
      </c>
      <c r="E1220" s="19" t="n">
        <v>25.29</v>
      </c>
      <c r="G1220" s="16" t="n">
        <v>45716</v>
      </c>
      <c r="H1220" s="19" t="n">
        <v>2.812</v>
      </c>
      <c r="J1220" s="16" t="n">
        <v>45716</v>
      </c>
      <c r="K1220" s="19" t="n">
        <v>1.978</v>
      </c>
      <c r="M1220" s="16" t="n">
        <v>44558</v>
      </c>
      <c r="N1220" s="19" t="n">
        <v>152488</v>
      </c>
    </row>
    <row r="1221">
      <c r="A1221" s="16" t="n">
        <v>44557</v>
      </c>
      <c r="B1221" s="19" t="n">
        <v>2299.28</v>
      </c>
      <c r="D1221" s="16" t="n">
        <v>44553</v>
      </c>
      <c r="E1221" s="19" t="n">
        <v>23.79</v>
      </c>
      <c r="G1221" s="16" t="n">
        <v>45719</v>
      </c>
      <c r="H1221" s="19" t="n">
        <v>2.767</v>
      </c>
      <c r="J1221" s="16" t="n">
        <v>45719</v>
      </c>
      <c r="K1221" s="19" t="n">
        <v>1.948</v>
      </c>
      <c r="M1221" s="16" t="n">
        <v>44557</v>
      </c>
      <c r="N1221" s="19" t="n">
        <v>151330</v>
      </c>
    </row>
    <row r="1222">
      <c r="A1222" s="16" t="n">
        <v>44554</v>
      </c>
      <c r="B1222" s="19" t="n">
        <v>2287.94</v>
      </c>
      <c r="D1222" s="16" t="n">
        <v>44552</v>
      </c>
      <c r="E1222" s="19" t="n">
        <v>22.75</v>
      </c>
      <c r="G1222" s="16" t="n">
        <v>45720</v>
      </c>
      <c r="H1222" s="19" t="n">
        <v>2.753</v>
      </c>
      <c r="J1222" s="16" t="n">
        <v>45720</v>
      </c>
      <c r="K1222" s="19" t="n">
        <v>1.99</v>
      </c>
      <c r="M1222" s="16" t="n">
        <v>44554</v>
      </c>
      <c r="N1222" s="19" t="n">
        <v>150211</v>
      </c>
    </row>
    <row r="1223">
      <c r="A1223" s="16" t="n">
        <v>44553</v>
      </c>
      <c r="B1223" s="19" t="n">
        <v>2312.55</v>
      </c>
      <c r="D1223" s="16" t="n">
        <v>44551</v>
      </c>
      <c r="E1223" s="19" t="n">
        <v>21.58</v>
      </c>
      <c r="G1223" s="16" t="n">
        <v>45721</v>
      </c>
      <c r="H1223" s="19" t="n">
        <v>2.846</v>
      </c>
      <c r="J1223" s="16" t="n">
        <v>45721</v>
      </c>
      <c r="K1223" s="19" t="n">
        <v>2.014</v>
      </c>
      <c r="M1223" s="16" t="n">
        <v>44553</v>
      </c>
      <c r="N1223" s="19" t="n">
        <v>151278</v>
      </c>
    </row>
    <row r="1224">
      <c r="A1224" s="16" t="n">
        <v>44552</v>
      </c>
      <c r="B1224" s="19" t="n">
        <v>2323.48</v>
      </c>
      <c r="D1224" s="16" t="n">
        <v>44550</v>
      </c>
      <c r="E1224" s="19" t="n">
        <v>22.08</v>
      </c>
      <c r="G1224" s="16" t="n">
        <v>45722</v>
      </c>
      <c r="H1224" s="19" t="n">
        <v>2.829</v>
      </c>
      <c r="J1224" s="16" t="n">
        <v>45722</v>
      </c>
      <c r="K1224" s="19" t="n">
        <v>2.018</v>
      </c>
      <c r="M1224" s="16" t="n">
        <v>44552</v>
      </c>
      <c r="N1224" s="19" t="n">
        <v>151541</v>
      </c>
    </row>
    <row r="1225">
      <c r="A1225" s="16" t="n">
        <v>44551</v>
      </c>
      <c r="B1225" s="19" t="n">
        <v>2351.01</v>
      </c>
      <c r="D1225" s="16" t="n">
        <v>44547</v>
      </c>
      <c r="E1225" s="19" t="n">
        <v>21.99</v>
      </c>
      <c r="G1225" s="16" t="n">
        <v>45723</v>
      </c>
      <c r="H1225" s="19" t="n">
        <v>2.841</v>
      </c>
      <c r="J1225" s="16" t="n">
        <v>45723</v>
      </c>
      <c r="K1225" s="19" t="n">
        <v>2.021</v>
      </c>
      <c r="M1225" s="16" t="n">
        <v>44551</v>
      </c>
      <c r="N1225" s="19" t="n">
        <v>152653</v>
      </c>
    </row>
    <row r="1226">
      <c r="A1226" s="16" t="n">
        <v>44550</v>
      </c>
      <c r="B1226" s="19" t="n">
        <v>2334.79</v>
      </c>
      <c r="D1226" s="16" t="n">
        <v>44546</v>
      </c>
      <c r="E1226" s="19" t="n">
        <v>21.06</v>
      </c>
      <c r="G1226" s="16" t="n">
        <v>45726</v>
      </c>
      <c r="H1226" s="19" t="n">
        <v>2.846</v>
      </c>
      <c r="J1226" s="16" t="n">
        <v>45726</v>
      </c>
      <c r="K1226" s="19" t="n">
        <v>2.02</v>
      </c>
      <c r="M1226" s="16" t="n">
        <v>44550</v>
      </c>
      <c r="N1226" s="19" t="n">
        <v>151923</v>
      </c>
    </row>
    <row r="1227">
      <c r="A1227" s="16" t="n">
        <v>44547</v>
      </c>
      <c r="B1227" s="19" t="n">
        <v>2342.37</v>
      </c>
      <c r="D1227" s="16" t="n">
        <v>44545</v>
      </c>
      <c r="E1227" s="19" t="n">
        <v>19.71</v>
      </c>
      <c r="G1227" s="16" t="n">
        <v>45727</v>
      </c>
      <c r="H1227" s="19" t="n">
        <v>2.914</v>
      </c>
      <c r="J1227" s="16" t="n">
        <v>45727</v>
      </c>
      <c r="K1227" s="19" t="n">
        <v>2.061</v>
      </c>
      <c r="M1227" s="16" t="n">
        <v>44547</v>
      </c>
      <c r="N1227" s="19" t="n">
        <v>152184</v>
      </c>
    </row>
    <row r="1228">
      <c r="A1228" s="16" t="n">
        <v>44546</v>
      </c>
      <c r="B1228" s="19" t="n">
        <v>2350.52</v>
      </c>
      <c r="D1228" s="16" t="n">
        <v>44544</v>
      </c>
      <c r="E1228" s="19" t="n">
        <v>21.65</v>
      </c>
      <c r="G1228" s="16" t="n">
        <v>45728</v>
      </c>
      <c r="H1228" s="19" t="n">
        <v>2.811</v>
      </c>
      <c r="J1228" s="16" t="n">
        <v>45728</v>
      </c>
      <c r="K1228" s="19" t="n">
        <v>2.051</v>
      </c>
      <c r="M1228" s="16" t="n">
        <v>44546</v>
      </c>
      <c r="N1228" s="19" t="n">
        <v>153798</v>
      </c>
    </row>
    <row r="1229">
      <c r="A1229" s="16" t="n">
        <v>44545</v>
      </c>
      <c r="B1229" s="19" t="n">
        <v>2359.4</v>
      </c>
      <c r="D1229" s="16" t="n">
        <v>44543</v>
      </c>
      <c r="E1229" s="19" t="n">
        <v>22.36</v>
      </c>
      <c r="G1229" s="16" t="n">
        <v>45729</v>
      </c>
      <c r="H1229" s="19" t="n">
        <v>2.847</v>
      </c>
      <c r="J1229" s="16" t="n">
        <v>45729</v>
      </c>
      <c r="K1229" s="19" t="n">
        <v>2.077</v>
      </c>
      <c r="M1229" s="16" t="n">
        <v>44545</v>
      </c>
      <c r="N1229" s="19" t="n">
        <v>154702</v>
      </c>
    </row>
    <row r="1230">
      <c r="A1230" s="16" t="n">
        <v>44544</v>
      </c>
      <c r="B1230" s="19" t="n">
        <v>2315.25</v>
      </c>
      <c r="D1230" s="16" t="n">
        <v>44540</v>
      </c>
      <c r="E1230" s="19" t="n">
        <v>19.83</v>
      </c>
      <c r="G1230" s="16" t="n">
        <v>45730</v>
      </c>
      <c r="H1230" s="19" t="n">
        <v>2.808</v>
      </c>
      <c r="J1230" s="16" t="n">
        <v>45730</v>
      </c>
      <c r="K1230" s="19" t="n">
        <v>2.051</v>
      </c>
      <c r="M1230" s="16" t="n">
        <v>44544</v>
      </c>
      <c r="N1230" s="19" t="n">
        <v>153216</v>
      </c>
    </row>
    <row r="1231">
      <c r="A1231" s="16" t="n">
        <v>44543</v>
      </c>
      <c r="B1231" s="19" t="n">
        <v>2291</v>
      </c>
      <c r="D1231" s="16" t="n">
        <v>44539</v>
      </c>
      <c r="E1231" s="19" t="n">
        <v>18.01</v>
      </c>
      <c r="G1231" s="16" t="n">
        <v>45733</v>
      </c>
      <c r="H1231" s="19" t="n">
        <v>2.864</v>
      </c>
      <c r="J1231" s="16" t="n">
        <v>45733</v>
      </c>
      <c r="K1231" s="19" t="n">
        <v>2.074</v>
      </c>
      <c r="M1231" s="16" t="n">
        <v>44543</v>
      </c>
      <c r="N1231" s="19" t="n">
        <v>152328</v>
      </c>
    </row>
    <row r="1232">
      <c r="A1232" s="16" t="n">
        <v>44540</v>
      </c>
      <c r="B1232" s="19" t="n">
        <v>2329.61</v>
      </c>
      <c r="D1232" s="16" t="n">
        <v>44538</v>
      </c>
      <c r="E1232" s="19" t="n">
        <v>19.16</v>
      </c>
      <c r="G1232" s="16" t="n">
        <v>45734</v>
      </c>
      <c r="H1232" s="19" t="n">
        <v>2.827</v>
      </c>
      <c r="J1232" s="16" t="n">
        <v>45734</v>
      </c>
      <c r="K1232" s="19" t="n">
        <v>2.071</v>
      </c>
      <c r="M1232" s="16" t="n">
        <v>44540</v>
      </c>
      <c r="N1232" s="19" t="n">
        <v>153212</v>
      </c>
    </row>
    <row r="1233">
      <c r="A1233" s="16" t="n">
        <v>44539</v>
      </c>
      <c r="B1233" s="19" t="n">
        <v>2378.17</v>
      </c>
      <c r="D1233" s="16" t="n">
        <v>44537</v>
      </c>
      <c r="E1233" s="19" t="n">
        <v>19.13</v>
      </c>
      <c r="G1233" s="16" t="n">
        <v>45735</v>
      </c>
      <c r="H1233" s="19" t="n">
        <v>2.779</v>
      </c>
      <c r="J1233" s="16" t="n">
        <v>45735</v>
      </c>
      <c r="K1233" s="19" t="n">
        <v>2.074</v>
      </c>
      <c r="M1233" s="16" t="n">
        <v>44539</v>
      </c>
      <c r="N1233" s="19" t="n">
        <v>155032</v>
      </c>
    </row>
    <row r="1234">
      <c r="A1234" s="16" t="n">
        <v>44538</v>
      </c>
      <c r="B1234" s="19" t="n">
        <v>2364.82</v>
      </c>
      <c r="D1234" s="16" t="n">
        <v>44536</v>
      </c>
      <c r="E1234" s="19" t="n">
        <v>18.89</v>
      </c>
      <c r="G1234" s="16" t="n">
        <v>45736</v>
      </c>
      <c r="H1234" s="19" t="n">
        <v>2.75</v>
      </c>
      <c r="J1234" s="16" t="n">
        <v>45736</v>
      </c>
      <c r="K1234" s="19" t="n">
        <v>2.085</v>
      </c>
      <c r="M1234" s="16" t="n">
        <v>44538</v>
      </c>
      <c r="N1234" s="19" t="n">
        <v>154122</v>
      </c>
    </row>
    <row r="1235">
      <c r="A1235" s="16" t="n">
        <v>44537</v>
      </c>
      <c r="B1235" s="19" t="n">
        <v>2367.18</v>
      </c>
      <c r="D1235" s="16" t="n">
        <v>44533</v>
      </c>
      <c r="E1235" s="19" t="n">
        <v>19.81</v>
      </c>
      <c r="G1235" s="16" t="n">
        <v>45737</v>
      </c>
      <c r="H1235" s="19" t="n">
        <v>2.669</v>
      </c>
      <c r="J1235" s="16" t="n">
        <v>45737</v>
      </c>
      <c r="K1235" s="19" t="n">
        <v>2.054</v>
      </c>
      <c r="M1235" s="16" t="n">
        <v>44537</v>
      </c>
      <c r="N1235" s="19" t="n">
        <v>153408</v>
      </c>
    </row>
    <row r="1236">
      <c r="A1236" s="16" t="n">
        <v>44536</v>
      </c>
      <c r="B1236" s="19" t="n">
        <v>2377.15</v>
      </c>
      <c r="D1236" s="16" t="n">
        <v>44532</v>
      </c>
      <c r="E1236" s="19" t="n">
        <v>21.78</v>
      </c>
      <c r="G1236" s="16" t="n">
        <v>45740</v>
      </c>
      <c r="H1236" s="19" t="n">
        <v>2.755</v>
      </c>
      <c r="J1236" s="16" t="n">
        <v>45740</v>
      </c>
      <c r="K1236" s="19" t="n">
        <v>2.086</v>
      </c>
      <c r="M1236" s="16" t="n">
        <v>44536</v>
      </c>
      <c r="N1236" s="19" t="n">
        <v>152928</v>
      </c>
    </row>
    <row r="1237">
      <c r="A1237" s="16" t="n">
        <v>44533</v>
      </c>
      <c r="B1237" s="19" t="n">
        <v>2347.77</v>
      </c>
      <c r="D1237" s="16" t="n">
        <v>44531</v>
      </c>
      <c r="E1237" s="19" t="n">
        <v>19.99</v>
      </c>
      <c r="G1237" s="16" t="n">
        <v>45741</v>
      </c>
      <c r="H1237" s="19" t="n">
        <v>2.827</v>
      </c>
      <c r="J1237" s="16" t="n">
        <v>45741</v>
      </c>
      <c r="K1237" s="19" t="n">
        <v>2.09</v>
      </c>
      <c r="M1237" s="16" t="n">
        <v>44533</v>
      </c>
      <c r="N1237" s="19" t="n">
        <v>152091</v>
      </c>
    </row>
    <row r="1238">
      <c r="A1238" s="16" t="n">
        <v>44532</v>
      </c>
      <c r="B1238" s="19" t="n">
        <v>2322.28</v>
      </c>
      <c r="D1238" s="16" t="n">
        <v>44530</v>
      </c>
      <c r="E1238" s="19" t="n">
        <v>19.66</v>
      </c>
      <c r="G1238" s="16" t="n">
        <v>45742</v>
      </c>
      <c r="H1238" s="19" t="n">
        <v>2.79</v>
      </c>
      <c r="J1238" s="16" t="n">
        <v>45742</v>
      </c>
      <c r="K1238" s="19" t="n">
        <v>2.104</v>
      </c>
      <c r="M1238" s="16" t="n">
        <v>44532</v>
      </c>
      <c r="N1238" s="19" t="n">
        <v>150651</v>
      </c>
    </row>
    <row r="1239">
      <c r="A1239" s="16" t="n">
        <v>44531</v>
      </c>
      <c r="B1239" s="19" t="n">
        <v>2376.33</v>
      </c>
      <c r="D1239" s="16" t="n">
        <v>44529</v>
      </c>
      <c r="E1239" s="19" t="n">
        <v>19.86</v>
      </c>
      <c r="G1239" s="16" t="n">
        <v>45743</v>
      </c>
      <c r="H1239" s="19" t="n">
        <v>2.743</v>
      </c>
      <c r="J1239" s="16" t="n">
        <v>45743</v>
      </c>
      <c r="K1239" s="19" t="n">
        <v>2.092</v>
      </c>
      <c r="M1239" s="16" t="n">
        <v>44531</v>
      </c>
      <c r="N1239" s="19" t="n">
        <v>152160</v>
      </c>
    </row>
    <row r="1240">
      <c r="A1240" s="16" t="n">
        <v>44530</v>
      </c>
      <c r="B1240" s="19" t="n">
        <v>2393.33</v>
      </c>
      <c r="D1240" s="16" t="n">
        <v>44526</v>
      </c>
      <c r="E1240" s="19" t="n">
        <v>19.47</v>
      </c>
      <c r="G1240" s="16" t="n">
        <v>45744</v>
      </c>
      <c r="H1240" s="19" t="n">
        <v>2.72</v>
      </c>
      <c r="J1240" s="16" t="n">
        <v>45744</v>
      </c>
      <c r="K1240" s="19" t="n">
        <v>2.095</v>
      </c>
      <c r="M1240" s="16" t="n">
        <v>44530</v>
      </c>
      <c r="N1240" s="19" t="n">
        <v>153511</v>
      </c>
    </row>
    <row r="1241">
      <c r="A1241" s="16" t="n">
        <v>44529</v>
      </c>
      <c r="B1241" s="19" t="n">
        <v>2375.19</v>
      </c>
      <c r="D1241" s="16" t="n">
        <v>44525</v>
      </c>
      <c r="E1241" s="19" t="n">
        <v>19.39</v>
      </c>
      <c r="G1241" s="16" t="n">
        <v>45747</v>
      </c>
      <c r="H1241" s="19" t="n">
        <v>2.644</v>
      </c>
      <c r="J1241" s="16" t="n">
        <v>45747</v>
      </c>
      <c r="K1241" s="19" t="n">
        <v>2.054</v>
      </c>
      <c r="M1241" s="16" t="n">
        <v>44529</v>
      </c>
      <c r="N1241" s="19" t="n">
        <v>152848</v>
      </c>
    </row>
    <row r="1242">
      <c r="A1242" s="16" t="n">
        <v>44526</v>
      </c>
      <c r="B1242" s="19" t="n">
        <v>2376.57</v>
      </c>
      <c r="D1242" s="16" t="n">
        <v>44524</v>
      </c>
      <c r="E1242" s="19" t="n">
        <v>19.29</v>
      </c>
      <c r="G1242" s="16" t="n">
        <v>45748</v>
      </c>
      <c r="H1242" s="19" t="n">
        <v>2.671</v>
      </c>
      <c r="J1242" s="16" t="n">
        <v>45748</v>
      </c>
      <c r="K1242" s="19" t="n">
        <v>2.05</v>
      </c>
      <c r="M1242" s="16" t="n">
        <v>44526</v>
      </c>
      <c r="N1242" s="19" t="n">
        <v>152654</v>
      </c>
    </row>
    <row r="1243">
      <c r="A1243" s="16" t="n">
        <v>44525</v>
      </c>
      <c r="B1243" s="19" t="n">
        <v>2382.54</v>
      </c>
      <c r="D1243" s="16" t="n">
        <v>44523</v>
      </c>
      <c r="E1243" s="19" t="n">
        <v>18.11</v>
      </c>
      <c r="G1243" s="16" t="n">
        <v>45749</v>
      </c>
      <c r="H1243" s="19" t="n">
        <v>2.636</v>
      </c>
      <c r="J1243" s="16" t="n">
        <v>45749</v>
      </c>
      <c r="K1243" s="19" t="n">
        <v>1.997</v>
      </c>
      <c r="M1243" s="16" t="n">
        <v>44525</v>
      </c>
      <c r="N1243" s="19" t="n">
        <v>153867</v>
      </c>
    </row>
    <row r="1244">
      <c r="A1244" s="16" t="n">
        <v>44524</v>
      </c>
      <c r="B1244" s="19" t="n">
        <v>2400.6</v>
      </c>
      <c r="D1244" s="16" t="n">
        <v>44522</v>
      </c>
      <c r="E1244" s="19" t="n">
        <v>17.09</v>
      </c>
      <c r="G1244" s="16" t="n">
        <v>45750</v>
      </c>
      <c r="H1244" s="19" t="n">
        <v>2.664</v>
      </c>
      <c r="J1244" s="16" t="n">
        <v>45750</v>
      </c>
      <c r="K1244" s="19" t="n">
        <v>1.984</v>
      </c>
      <c r="M1244" s="16" t="n">
        <v>44524</v>
      </c>
      <c r="N1244" s="19" t="n">
        <v>154874</v>
      </c>
    </row>
    <row r="1245">
      <c r="A1245" s="16" t="n">
        <v>44523</v>
      </c>
      <c r="B1245" s="19" t="n">
        <v>2399.03</v>
      </c>
      <c r="D1245" s="16" t="n">
        <v>44519</v>
      </c>
      <c r="E1245" s="19" t="n">
        <v>15.48</v>
      </c>
      <c r="G1245" s="16" t="n">
        <v>45751</v>
      </c>
      <c r="H1245" s="19" t="n">
        <v>2.696</v>
      </c>
      <c r="J1245" s="16" t="n">
        <v>45751</v>
      </c>
      <c r="K1245" s="19" t="n">
        <v>2.024</v>
      </c>
      <c r="M1245" s="16" t="n">
        <v>44523</v>
      </c>
      <c r="N1245" s="19" t="n">
        <v>153795</v>
      </c>
    </row>
    <row r="1246">
      <c r="A1246" s="16" t="n">
        <v>44522</v>
      </c>
      <c r="B1246" s="19" t="n">
        <v>2412.68</v>
      </c>
      <c r="D1246" s="16" t="n">
        <v>44518</v>
      </c>
      <c r="E1246" s="19" t="n">
        <v>14.23</v>
      </c>
      <c r="G1246" s="16" t="n">
        <v>45754</v>
      </c>
      <c r="H1246" s="19" t="n">
        <v>2.632</v>
      </c>
      <c r="J1246" s="16" t="n">
        <v>45754</v>
      </c>
      <c r="K1246" s="19" t="n">
        <v>1.973</v>
      </c>
      <c r="M1246" s="16" t="n">
        <v>44522</v>
      </c>
      <c r="N1246" s="19" t="n">
        <v>153627</v>
      </c>
    </row>
    <row r="1247">
      <c r="A1247" s="16" t="n">
        <v>44519</v>
      </c>
      <c r="B1247" s="19" t="n">
        <v>2439.98</v>
      </c>
      <c r="D1247" s="16" t="n">
        <v>44517</v>
      </c>
      <c r="E1247" s="19" t="n">
        <v>15.43</v>
      </c>
      <c r="G1247" s="16" t="n">
        <v>45755</v>
      </c>
      <c r="H1247" s="19" t="n">
        <v>2.664</v>
      </c>
      <c r="J1247" s="16" t="n">
        <v>45755</v>
      </c>
      <c r="K1247" s="19" t="n">
        <v>1.969</v>
      </c>
      <c r="M1247" s="16" t="n">
        <v>44519</v>
      </c>
      <c r="N1247" s="19" t="n">
        <v>155128</v>
      </c>
    </row>
    <row r="1248">
      <c r="A1248" s="16" t="n">
        <v>44518</v>
      </c>
      <c r="B1248" s="19" t="n">
        <v>2465.71</v>
      </c>
      <c r="D1248" s="16" t="n">
        <v>44516</v>
      </c>
      <c r="E1248" s="19" t="n">
        <v>14.51</v>
      </c>
      <c r="G1248" s="16" t="n">
        <v>45756</v>
      </c>
      <c r="H1248" s="19" t="n">
        <v>2.687</v>
      </c>
      <c r="J1248" s="16" t="n">
        <v>45756</v>
      </c>
      <c r="K1248" s="19" t="n">
        <v>2.01</v>
      </c>
      <c r="M1248" s="16" t="n">
        <v>44518</v>
      </c>
      <c r="N1248" s="19" t="n">
        <v>156378</v>
      </c>
    </row>
    <row r="1249">
      <c r="A1249" s="16" t="n">
        <v>44517</v>
      </c>
      <c r="B1249" s="19" t="n">
        <v>2445.53</v>
      </c>
      <c r="D1249" s="16" t="n">
        <v>44515</v>
      </c>
      <c r="E1249" s="19" t="n">
        <v>15.73</v>
      </c>
      <c r="G1249" s="16" t="n">
        <v>45757</v>
      </c>
      <c r="H1249" s="19" t="n">
        <v>2.687</v>
      </c>
      <c r="J1249" s="16" t="n">
        <v>45757</v>
      </c>
      <c r="K1249" s="19" t="n">
        <v>2.04</v>
      </c>
      <c r="M1249" s="16" t="n">
        <v>44517</v>
      </c>
      <c r="N1249" s="19" t="n">
        <v>156047</v>
      </c>
    </row>
    <row r="1250">
      <c r="A1250" s="16" t="n">
        <v>44516</v>
      </c>
      <c r="B1250" s="19" t="n">
        <v>2458.9</v>
      </c>
      <c r="D1250" s="16" t="n">
        <v>44512</v>
      </c>
      <c r="E1250" s="19" t="n">
        <v>14.55</v>
      </c>
      <c r="G1250" s="16" t="n">
        <v>45758</v>
      </c>
      <c r="H1250" s="19" t="n">
        <v>2.754</v>
      </c>
      <c r="J1250" s="16" t="n">
        <v>45758</v>
      </c>
      <c r="K1250" s="19" t="n">
        <v>2.055</v>
      </c>
      <c r="M1250" s="16" t="n">
        <v>44516</v>
      </c>
      <c r="N1250" s="19" t="n">
        <v>156758</v>
      </c>
    </row>
    <row r="1251">
      <c r="A1251" s="16" t="n">
        <v>44515</v>
      </c>
      <c r="B1251" s="19" t="n">
        <v>2412.6</v>
      </c>
      <c r="D1251" s="16" t="n">
        <v>44511</v>
      </c>
      <c r="E1251" s="19" t="n">
        <v>11.65</v>
      </c>
      <c r="G1251" s="16" t="n">
        <v>45761</v>
      </c>
      <c r="H1251" s="19" t="n">
        <v>2.745</v>
      </c>
      <c r="J1251" s="16" t="n">
        <v>45761</v>
      </c>
      <c r="K1251" s="19" t="n">
        <v>2.059</v>
      </c>
      <c r="M1251" s="16" t="n">
        <v>44515</v>
      </c>
      <c r="N1251" s="19" t="n">
        <v>154796</v>
      </c>
    </row>
    <row r="1252">
      <c r="A1252" s="16" t="n">
        <v>44512</v>
      </c>
      <c r="B1252" s="19" t="n">
        <v>2418.96</v>
      </c>
      <c r="D1252" s="16" t="n">
        <v>44510</v>
      </c>
      <c r="E1252" s="19" t="n">
        <v>12.68</v>
      </c>
      <c r="G1252" s="16" t="n">
        <v>45762</v>
      </c>
      <c r="H1252" s="19" t="n">
        <v>2.715</v>
      </c>
      <c r="J1252" s="16" t="n">
        <v>45762</v>
      </c>
      <c r="K1252" s="19" t="n">
        <v>2.047</v>
      </c>
      <c r="M1252" s="16" t="n">
        <v>44512</v>
      </c>
      <c r="N1252" s="19" t="n">
        <v>155432</v>
      </c>
    </row>
    <row r="1253">
      <c r="A1253" s="16" t="n">
        <v>44511</v>
      </c>
      <c r="B1253" s="19" t="n">
        <v>2459</v>
      </c>
      <c r="D1253" s="16" t="n">
        <v>44509</v>
      </c>
      <c r="E1253" s="19" t="n">
        <v>12.34</v>
      </c>
      <c r="G1253" s="16" t="n">
        <v>45763</v>
      </c>
      <c r="H1253" s="19" t="n">
        <v>2.676</v>
      </c>
      <c r="J1253" s="16" t="n">
        <v>45763</v>
      </c>
      <c r="K1253" s="19" t="n">
        <v>1.984</v>
      </c>
      <c r="M1253" s="16" t="n">
        <v>44511</v>
      </c>
      <c r="N1253" s="19" t="n">
        <v>156523</v>
      </c>
    </row>
    <row r="1254">
      <c r="A1254" s="16" t="n">
        <v>44510</v>
      </c>
      <c r="B1254" s="19" t="n">
        <v>2424.78</v>
      </c>
      <c r="D1254" s="16" t="n">
        <v>44508</v>
      </c>
      <c r="E1254" s="19" t="n">
        <v>13.24</v>
      </c>
      <c r="G1254" s="16" t="n">
        <v>45764</v>
      </c>
      <c r="H1254" s="19" t="n">
        <v>2.625</v>
      </c>
      <c r="J1254" s="16" t="n">
        <v>45764</v>
      </c>
      <c r="K1254" s="19" t="n">
        <v>1.933</v>
      </c>
      <c r="M1254" s="16" t="n">
        <v>44510</v>
      </c>
      <c r="N1254" s="19" t="n">
        <v>155940</v>
      </c>
    </row>
    <row r="1255">
      <c r="A1255" s="16" t="n">
        <v>44509</v>
      </c>
      <c r="B1255" s="19" t="n">
        <v>2458.56</v>
      </c>
      <c r="D1255" s="16" t="n">
        <v>44505</v>
      </c>
      <c r="E1255" s="19" t="n">
        <v>10.53</v>
      </c>
      <c r="G1255" s="16" t="n">
        <v>45765</v>
      </c>
      <c r="H1255" s="19" t="n">
        <v>2.66</v>
      </c>
      <c r="J1255" s="16" t="n">
        <v>45765</v>
      </c>
      <c r="K1255" s="19" t="n">
        <v>1.956</v>
      </c>
      <c r="M1255" s="16" t="n">
        <v>44509</v>
      </c>
      <c r="N1255" s="19" t="n">
        <v>156685</v>
      </c>
    </row>
    <row r="1256">
      <c r="A1256" s="16" t="n">
        <v>44508</v>
      </c>
      <c r="B1256" s="19" t="n">
        <v>2438.31</v>
      </c>
      <c r="D1256" s="16" t="n">
        <v>44504</v>
      </c>
      <c r="E1256" s="19" t="n">
        <v>11.03</v>
      </c>
      <c r="G1256" s="16" t="n">
        <v>45768</v>
      </c>
      <c r="H1256" s="19" t="n">
        <v>2.643</v>
      </c>
      <c r="J1256" s="16" t="n">
        <v>45768</v>
      </c>
      <c r="K1256" s="19" t="n">
        <v>1.948</v>
      </c>
      <c r="M1256" s="16" t="n">
        <v>44508</v>
      </c>
      <c r="N1256" s="19" t="n">
        <v>156204</v>
      </c>
    </row>
    <row r="1257">
      <c r="A1257" s="16" t="n">
        <v>44505</v>
      </c>
      <c r="B1257" s="19" t="n">
        <v>2498.86</v>
      </c>
      <c r="D1257" s="16" t="n">
        <v>44503</v>
      </c>
      <c r="E1257" s="19" t="n">
        <v>10.32</v>
      </c>
      <c r="G1257" s="16" t="n">
        <v>45769</v>
      </c>
      <c r="H1257" s="19" t="n">
        <v>2.698</v>
      </c>
      <c r="J1257" s="16" t="n">
        <v>45769</v>
      </c>
      <c r="K1257" s="19" t="n">
        <v>1.971</v>
      </c>
      <c r="M1257" s="16" t="n">
        <v>44505</v>
      </c>
      <c r="N1257" s="19" t="n">
        <v>158090</v>
      </c>
    </row>
    <row r="1258">
      <c r="A1258" s="16" t="n">
        <v>44504</v>
      </c>
      <c r="B1258" s="19" t="n">
        <v>2484.56</v>
      </c>
      <c r="D1258" s="16" t="n">
        <v>44502</v>
      </c>
      <c r="E1258" s="19" t="n">
        <v>10.36</v>
      </c>
      <c r="G1258" s="16" t="n">
        <v>45770</v>
      </c>
      <c r="H1258" s="19" t="n">
        <v>2.669</v>
      </c>
      <c r="J1258" s="16" t="n">
        <v>45770</v>
      </c>
      <c r="K1258" s="19" t="n">
        <v>1.931</v>
      </c>
      <c r="M1258" s="16" t="n">
        <v>44504</v>
      </c>
      <c r="N1258" s="19" t="n">
        <v>157293</v>
      </c>
    </row>
    <row r="1259">
      <c r="A1259" s="16" t="n">
        <v>44503</v>
      </c>
      <c r="B1259" s="19" t="n">
        <v>2495.26</v>
      </c>
      <c r="D1259" s="16" t="n">
        <v>44501</v>
      </c>
      <c r="E1259" s="19" t="n">
        <v>10.38</v>
      </c>
      <c r="G1259" s="16" t="n">
        <v>45771</v>
      </c>
      <c r="H1259" s="19" t="n">
        <v>2.59</v>
      </c>
      <c r="J1259" s="16" t="n">
        <v>45771</v>
      </c>
      <c r="K1259" s="19" t="n">
        <v>1.903</v>
      </c>
      <c r="M1259" s="16" t="n">
        <v>44503</v>
      </c>
      <c r="N1259" s="19" t="n">
        <v>157504</v>
      </c>
    </row>
    <row r="1260">
      <c r="A1260" s="16" t="n">
        <v>44502</v>
      </c>
      <c r="B1260" s="19" t="n">
        <v>2483.82</v>
      </c>
      <c r="D1260" s="16" t="n">
        <v>44498</v>
      </c>
      <c r="E1260" s="19" t="n">
        <v>10.37</v>
      </c>
      <c r="G1260" s="16" t="n">
        <v>45772</v>
      </c>
      <c r="H1260" s="19" t="n">
        <v>2.56</v>
      </c>
      <c r="J1260" s="16" t="n">
        <v>45772</v>
      </c>
      <c r="K1260" s="19" t="n">
        <v>1.909</v>
      </c>
      <c r="M1260" s="16" t="n">
        <v>44502</v>
      </c>
      <c r="N1260" s="19" t="n">
        <v>156873</v>
      </c>
    </row>
    <row r="1261">
      <c r="A1261" s="16" t="n">
        <v>44501</v>
      </c>
      <c r="B1261" s="19" t="n">
        <v>2468.36</v>
      </c>
      <c r="D1261" s="16" t="n">
        <v>44497</v>
      </c>
      <c r="E1261" s="19" t="n">
        <v>10</v>
      </c>
      <c r="G1261" s="16" t="n">
        <v>45775</v>
      </c>
      <c r="H1261" s="19" t="n">
        <v>2.582</v>
      </c>
      <c r="J1261" s="16" t="n">
        <v>45775</v>
      </c>
      <c r="K1261" s="19" t="n">
        <v>1.882</v>
      </c>
      <c r="M1261" s="16" t="n">
        <v>44501</v>
      </c>
      <c r="N1261" s="19" t="n">
        <v>157343</v>
      </c>
    </row>
    <row r="1262">
      <c r="A1262" s="16" t="n">
        <v>44498</v>
      </c>
      <c r="B1262" s="19" t="n">
        <v>2442.44</v>
      </c>
      <c r="D1262" s="16" t="n">
        <v>44496</v>
      </c>
      <c r="E1262" s="19" t="n">
        <v>10.01</v>
      </c>
      <c r="G1262" s="16" t="n">
        <v>45776</v>
      </c>
      <c r="H1262" s="19" t="n">
        <v>2.561</v>
      </c>
      <c r="J1262" s="16" t="n">
        <v>45776</v>
      </c>
      <c r="K1262" s="19" t="n">
        <v>1.867</v>
      </c>
      <c r="M1262" s="16" t="n">
        <v>44498</v>
      </c>
      <c r="N1262" s="19" t="n">
        <v>156890</v>
      </c>
    </row>
    <row r="1263">
      <c r="A1263" s="16" t="n">
        <v>44497</v>
      </c>
      <c r="B1263" s="19" t="n">
        <v>2440.17</v>
      </c>
      <c r="D1263" s="16" t="n">
        <v>44495</v>
      </c>
      <c r="E1263" s="19" t="n">
        <v>10</v>
      </c>
      <c r="G1263" s="16" t="n">
        <v>45777</v>
      </c>
      <c r="H1263" s="19" t="n">
        <v>2.515</v>
      </c>
      <c r="J1263" s="16" t="n">
        <v>45777</v>
      </c>
      <c r="K1263" s="19" t="n">
        <v>1.846</v>
      </c>
      <c r="M1263" s="16" t="n">
        <v>44497</v>
      </c>
      <c r="N1263" s="19" t="n">
        <v>157426</v>
      </c>
    </row>
    <row r="1264">
      <c r="A1264" s="16" t="n">
        <v>44496</v>
      </c>
      <c r="B1264" s="19" t="n">
        <v>2420.87</v>
      </c>
      <c r="D1264" s="16" t="n">
        <v>44494</v>
      </c>
      <c r="E1264" s="19" t="n">
        <v>10.73</v>
      </c>
      <c r="G1264" s="16" t="n">
        <v>45778</v>
      </c>
      <c r="H1264" s="19" t="n">
        <v>2.483</v>
      </c>
      <c r="J1264" s="16" t="n">
        <v>45778</v>
      </c>
      <c r="K1264" s="19" t="n">
        <v>1.851</v>
      </c>
      <c r="M1264" s="16" t="n">
        <v>44496</v>
      </c>
      <c r="N1264" s="19" t="n">
        <v>157109</v>
      </c>
    </row>
    <row r="1265">
      <c r="A1265" s="16" t="n">
        <v>44495</v>
      </c>
      <c r="B1265" s="19" t="n">
        <v>2409.98</v>
      </c>
      <c r="D1265" s="16" t="n">
        <v>44491</v>
      </c>
      <c r="E1265" s="19" t="n">
        <v>10</v>
      </c>
      <c r="G1265" s="16" t="n">
        <v>45779</v>
      </c>
      <c r="H1265" s="19" t="n">
        <v>2.48</v>
      </c>
      <c r="J1265" s="16" t="n">
        <v>45779</v>
      </c>
      <c r="K1265" s="19" t="n">
        <v>1.866</v>
      </c>
      <c r="M1265" s="16" t="n">
        <v>44495</v>
      </c>
      <c r="N1265" s="19" t="n">
        <v>156111</v>
      </c>
    </row>
    <row r="1266">
      <c r="A1266" s="16" t="n">
        <v>44494</v>
      </c>
      <c r="B1266" s="19" t="n">
        <v>2381.93</v>
      </c>
      <c r="D1266" s="16" t="n">
        <v>44490</v>
      </c>
      <c r="E1266" s="19" t="n">
        <v>10</v>
      </c>
      <c r="G1266" s="16" t="n">
        <v>45783</v>
      </c>
      <c r="H1266" s="19" t="n">
        <v>2.479</v>
      </c>
      <c r="J1266" s="16" t="n">
        <v>45783</v>
      </c>
      <c r="K1266" s="19" t="n">
        <v>1.871</v>
      </c>
      <c r="M1266" s="16" t="n">
        <v>44494</v>
      </c>
      <c r="N1266" s="19" t="n">
        <v>154261</v>
      </c>
    </row>
    <row r="1267">
      <c r="A1267" s="16" t="n">
        <v>44491</v>
      </c>
      <c r="B1267" s="19" t="n">
        <v>2381.43</v>
      </c>
      <c r="D1267" s="16" t="n">
        <v>44489</v>
      </c>
      <c r="E1267" s="19" t="n">
        <v>10</v>
      </c>
      <c r="G1267" s="16" t="n">
        <v>45784</v>
      </c>
      <c r="H1267" s="19" t="n">
        <v>2.517</v>
      </c>
      <c r="J1267" s="16" t="n">
        <v>45784</v>
      </c>
      <c r="K1267" s="19" t="n">
        <v>1.904</v>
      </c>
      <c r="M1267" s="16" t="n">
        <v>44491</v>
      </c>
      <c r="N1267" s="19" t="n">
        <v>154289</v>
      </c>
    </row>
    <row r="1268">
      <c r="A1268" s="16" t="n">
        <v>44490</v>
      </c>
      <c r="B1268" s="19" t="n">
        <v>2350.08</v>
      </c>
      <c r="D1268" s="16" t="n">
        <v>44488</v>
      </c>
      <c r="E1268" s="19" t="n">
        <v>10.11</v>
      </c>
      <c r="G1268" s="16" t="n">
        <v>45785</v>
      </c>
      <c r="H1268" s="19" t="n">
        <v>2.474</v>
      </c>
      <c r="J1268" s="16" t="n">
        <v>45785</v>
      </c>
      <c r="K1268" s="19" t="n">
        <v>1.865</v>
      </c>
      <c r="M1268" s="16" t="n">
        <v>44490</v>
      </c>
      <c r="N1268" s="19" t="n">
        <v>153194</v>
      </c>
    </row>
    <row r="1269">
      <c r="A1269" s="16" t="n">
        <v>44489</v>
      </c>
      <c r="B1269" s="19" t="n">
        <v>2335.11</v>
      </c>
      <c r="D1269" s="16" t="n">
        <v>44487</v>
      </c>
      <c r="E1269" s="19" t="n">
        <v>10</v>
      </c>
      <c r="G1269" s="16" t="n">
        <v>45786</v>
      </c>
      <c r="H1269" s="19" t="n">
        <v>2.518</v>
      </c>
      <c r="J1269" s="16" t="n">
        <v>45786</v>
      </c>
      <c r="K1269" s="19" t="n">
        <v>1.858</v>
      </c>
      <c r="M1269" s="16" t="n">
        <v>44489</v>
      </c>
      <c r="N1269" s="19" t="n">
        <v>152463</v>
      </c>
    </row>
    <row r="1270">
      <c r="A1270" s="16" t="n">
        <v>44488</v>
      </c>
      <c r="B1270" s="19" t="n">
        <v>2310.34</v>
      </c>
      <c r="D1270" s="16" t="n">
        <v>44484</v>
      </c>
      <c r="E1270" s="19" t="n">
        <v>10</v>
      </c>
      <c r="G1270" s="16" t="n">
        <v>45789</v>
      </c>
      <c r="H1270" s="19" t="n">
        <v>2.51</v>
      </c>
      <c r="J1270" s="16" t="n">
        <v>45789</v>
      </c>
      <c r="K1270" s="19" t="n">
        <v>1.865</v>
      </c>
      <c r="M1270" s="16" t="n">
        <v>44488</v>
      </c>
      <c r="N1270" s="19" t="n">
        <v>150726</v>
      </c>
    </row>
    <row r="1271">
      <c r="A1271" s="16" t="n">
        <v>44487</v>
      </c>
      <c r="B1271" s="19" t="n">
        <v>2300.83</v>
      </c>
      <c r="D1271" s="16" t="n">
        <v>44483</v>
      </c>
      <c r="E1271" s="19" t="n">
        <v>10.04</v>
      </c>
      <c r="G1271" s="16" t="n">
        <v>45790</v>
      </c>
      <c r="H1271" s="19" t="n">
        <v>2.549</v>
      </c>
      <c r="J1271" s="16" t="n">
        <v>45790</v>
      </c>
      <c r="K1271" s="19" t="n">
        <v>1.874</v>
      </c>
      <c r="M1271" s="16" t="n">
        <v>44487</v>
      </c>
      <c r="N1271" s="19" t="n">
        <v>150988</v>
      </c>
    </row>
    <row r="1272">
      <c r="A1272" s="16" t="n">
        <v>44484</v>
      </c>
      <c r="B1272" s="19" t="n">
        <v>2297.08</v>
      </c>
      <c r="D1272" s="16" t="n">
        <v>44482</v>
      </c>
      <c r="E1272" s="19" t="n">
        <v>10.73</v>
      </c>
      <c r="G1272" s="16" t="n">
        <v>45791</v>
      </c>
      <c r="H1272" s="19" t="n">
        <v>2.578</v>
      </c>
      <c r="J1272" s="16" t="n">
        <v>45791</v>
      </c>
      <c r="K1272" s="19" t="n">
        <v>1.901</v>
      </c>
      <c r="M1272" s="16" t="n">
        <v>44484</v>
      </c>
      <c r="N1272" s="19" t="n">
        <v>150357</v>
      </c>
    </row>
    <row r="1273">
      <c r="A1273" s="16" t="n">
        <v>44483</v>
      </c>
      <c r="B1273" s="19" t="n">
        <v>2238.2</v>
      </c>
      <c r="D1273" s="16" t="n">
        <v>44481</v>
      </c>
      <c r="E1273" s="19" t="n">
        <v>14.83</v>
      </c>
      <c r="G1273" s="16" t="n">
        <v>45792</v>
      </c>
      <c r="H1273" s="19" t="n">
        <v>2.605</v>
      </c>
      <c r="J1273" s="16" t="n">
        <v>45792</v>
      </c>
      <c r="K1273" s="19" t="n">
        <v>1.907</v>
      </c>
      <c r="M1273" s="16" t="n">
        <v>44483</v>
      </c>
      <c r="N1273" s="19" t="n">
        <v>148074</v>
      </c>
    </row>
    <row r="1274">
      <c r="A1274" s="16" t="n">
        <v>44482</v>
      </c>
      <c r="B1274" s="19" t="n">
        <v>2204.45</v>
      </c>
      <c r="D1274" s="16" t="n">
        <v>44480</v>
      </c>
      <c r="E1274" s="19" t="n">
        <v>14.25</v>
      </c>
      <c r="G1274" s="16" t="n">
        <v>45793</v>
      </c>
      <c r="H1274" s="19" t="n">
        <v>2.626</v>
      </c>
      <c r="J1274" s="16" t="n">
        <v>45793</v>
      </c>
      <c r="K1274" s="19" t="n">
        <v>1.897</v>
      </c>
      <c r="M1274" s="16" t="n">
        <v>44482</v>
      </c>
      <c r="N1274" s="19" t="n">
        <v>147455</v>
      </c>
    </row>
    <row r="1275">
      <c r="A1275" s="16" t="n">
        <v>44481</v>
      </c>
      <c r="B1275" s="19" t="n">
        <v>2126.31</v>
      </c>
      <c r="D1275" s="16" t="n">
        <v>44477</v>
      </c>
      <c r="E1275" s="19" t="n">
        <v>13.83</v>
      </c>
      <c r="G1275" s="16" t="n">
        <v>45796</v>
      </c>
      <c r="H1275" s="19" t="n">
        <v>2.656</v>
      </c>
      <c r="J1275" s="16" t="n">
        <v>45796</v>
      </c>
      <c r="K1275" s="19" t="n">
        <v>1.925</v>
      </c>
      <c r="M1275" s="16" t="n">
        <v>44481</v>
      </c>
      <c r="N1275" s="19" t="n">
        <v>142684</v>
      </c>
    </row>
    <row r="1276">
      <c r="A1276" s="16" t="n">
        <v>44480</v>
      </c>
      <c r="B1276" s="19" t="n">
        <v>2128.75</v>
      </c>
      <c r="D1276" s="16" t="n">
        <v>44476</v>
      </c>
      <c r="E1276" s="19" t="n">
        <v>13.16</v>
      </c>
      <c r="G1276" s="16" t="n">
        <v>45797</v>
      </c>
      <c r="H1276" s="19" t="n">
        <v>2.62</v>
      </c>
      <c r="J1276" s="16" t="n">
        <v>45797</v>
      </c>
      <c r="K1276" s="19" t="n">
        <v>1.897</v>
      </c>
      <c r="M1276" s="16" t="n">
        <v>44480</v>
      </c>
      <c r="N1276" s="19" t="n">
        <v>143798</v>
      </c>
    </row>
    <row r="1277">
      <c r="A1277" s="16" t="n">
        <v>44477</v>
      </c>
      <c r="B1277" s="19" t="n">
        <v>2140.29</v>
      </c>
      <c r="D1277" s="16" t="n">
        <v>44475</v>
      </c>
      <c r="E1277" s="19" t="n">
        <v>11.38</v>
      </c>
      <c r="G1277" s="16" t="n">
        <v>45798</v>
      </c>
      <c r="H1277" s="19" t="n">
        <v>2.631</v>
      </c>
      <c r="J1277" s="16" t="n">
        <v>45798</v>
      </c>
      <c r="K1277" s="19" t="n">
        <v>1.928</v>
      </c>
      <c r="M1277" s="16" t="n">
        <v>44477</v>
      </c>
      <c r="N1277" s="19" t="n">
        <v>145164</v>
      </c>
    </row>
    <row r="1278">
      <c r="A1278" s="16" t="n">
        <v>44476</v>
      </c>
      <c r="B1278" s="19" t="n">
        <v>2123.56</v>
      </c>
      <c r="D1278" s="16" t="n">
        <v>44474</v>
      </c>
      <c r="E1278" s="19" t="n">
        <v>11.31</v>
      </c>
      <c r="G1278" s="16" t="n">
        <v>45799</v>
      </c>
      <c r="H1278" s="19" t="n">
        <v>2.547</v>
      </c>
      <c r="J1278" s="16" t="n">
        <v>45799</v>
      </c>
      <c r="K1278" s="19" t="n">
        <v>1.905</v>
      </c>
      <c r="M1278" s="16" t="n">
        <v>44476</v>
      </c>
      <c r="N1278" s="19" t="n">
        <v>144300</v>
      </c>
    </row>
    <row r="1279">
      <c r="A1279" s="16" t="n">
        <v>44475</v>
      </c>
      <c r="B1279" s="19" t="n">
        <v>2165.52</v>
      </c>
      <c r="D1279" s="16" t="n">
        <v>44473</v>
      </c>
      <c r="E1279" s="19" t="n">
        <v>10</v>
      </c>
      <c r="G1279" s="16" t="n">
        <v>45800</v>
      </c>
      <c r="H1279" s="19" t="n">
        <v>2.6</v>
      </c>
      <c r="J1279" s="16" t="n">
        <v>45800</v>
      </c>
      <c r="K1279" s="19" t="n">
        <v>1.889</v>
      </c>
      <c r="M1279" s="16" t="n">
        <v>44475</v>
      </c>
      <c r="N1279" s="19" t="n">
        <v>145858</v>
      </c>
    </row>
    <row r="1280">
      <c r="A1280" s="16" t="n">
        <v>44474</v>
      </c>
      <c r="B1280" s="19" t="n">
        <v>2156.19</v>
      </c>
      <c r="D1280" s="16" t="n">
        <v>44470</v>
      </c>
      <c r="E1280" s="19" t="n">
        <v>10</v>
      </c>
      <c r="G1280" s="16" t="n">
        <v>45803</v>
      </c>
      <c r="H1280" s="19" t="n">
        <v>2.615</v>
      </c>
      <c r="J1280" s="16" t="n">
        <v>45803</v>
      </c>
      <c r="K1280" s="19" t="n">
        <v>1.871</v>
      </c>
      <c r="M1280" s="16" t="n">
        <v>44474</v>
      </c>
      <c r="N1280" s="19" t="n">
        <v>145405</v>
      </c>
    </row>
    <row r="1281">
      <c r="A1281" s="16" t="n">
        <v>44473</v>
      </c>
      <c r="B1281" s="19" t="n">
        <v>2159.89</v>
      </c>
      <c r="D1281" s="16" t="n">
        <v>44469</v>
      </c>
      <c r="E1281" s="19" t="n">
        <v>10</v>
      </c>
      <c r="G1281" s="16" t="n">
        <v>45804</v>
      </c>
      <c r="H1281" s="19" t="n">
        <v>2.552</v>
      </c>
      <c r="J1281" s="16" t="n">
        <v>45804</v>
      </c>
      <c r="K1281" s="19" t="n">
        <v>1.838</v>
      </c>
      <c r="M1281" s="16" t="n">
        <v>44473</v>
      </c>
      <c r="N1281" s="19" t="n">
        <v>145447</v>
      </c>
    </row>
    <row r="1282">
      <c r="A1282" s="16" t="n">
        <v>44470</v>
      </c>
      <c r="B1282" s="19" t="n">
        <v>2122.57</v>
      </c>
      <c r="D1282" s="16" t="n">
        <v>44468</v>
      </c>
      <c r="E1282" s="19" t="n">
        <v>10</v>
      </c>
      <c r="G1282" s="16" t="n">
        <v>45805</v>
      </c>
      <c r="H1282" s="19" t="n">
        <v>2.585</v>
      </c>
      <c r="J1282" s="16" t="n">
        <v>45805</v>
      </c>
      <c r="K1282" s="19" t="n">
        <v>1.837</v>
      </c>
      <c r="M1282" s="16" t="n">
        <v>44470</v>
      </c>
      <c r="N1282" s="19" t="n">
        <v>143605</v>
      </c>
    </row>
    <row r="1283">
      <c r="A1283" s="16" t="n">
        <v>44469</v>
      </c>
      <c r="B1283" s="19" t="n">
        <v>2101.38</v>
      </c>
      <c r="D1283" s="16" t="n">
        <v>44467</v>
      </c>
      <c r="E1283" s="19" t="n">
        <v>10.4</v>
      </c>
      <c r="G1283" s="16" t="n">
        <v>45806</v>
      </c>
      <c r="H1283" s="19" t="n">
        <v>2.653</v>
      </c>
      <c r="J1283" s="16" t="n">
        <v>45806</v>
      </c>
      <c r="K1283" s="19" t="n">
        <v>1.859</v>
      </c>
      <c r="M1283" s="16" t="n">
        <v>44469</v>
      </c>
      <c r="N1283" s="19" t="n">
        <v>142183</v>
      </c>
    </row>
    <row r="1284">
      <c r="A1284" s="16" t="n">
        <v>44468</v>
      </c>
      <c r="B1284" s="19" t="n">
        <v>2099.52</v>
      </c>
      <c r="D1284" s="16" t="n">
        <v>44466</v>
      </c>
      <c r="E1284" s="19" t="n">
        <v>10</v>
      </c>
      <c r="G1284" s="16" t="n">
        <v>45807</v>
      </c>
      <c r="H1284" s="19" t="n">
        <v>2.63</v>
      </c>
      <c r="J1284" s="16" t="n">
        <v>45807</v>
      </c>
      <c r="K1284" s="19" t="n">
        <v>1.856</v>
      </c>
      <c r="M1284" s="16" t="n">
        <v>44468</v>
      </c>
      <c r="N1284" s="19" t="n">
        <v>141898</v>
      </c>
    </row>
    <row r="1285">
      <c r="A1285" s="16" t="n">
        <v>44467</v>
      </c>
      <c r="B1285" s="19" t="n">
        <v>2075.46</v>
      </c>
      <c r="D1285" s="16" t="n">
        <v>44463</v>
      </c>
      <c r="E1285" s="19" t="n">
        <v>11.89</v>
      </c>
      <c r="G1285" s="16" t="n">
        <v>45810</v>
      </c>
      <c r="H1285" s="19" t="n">
        <v>2.653</v>
      </c>
      <c r="J1285" s="16" t="n">
        <v>45810</v>
      </c>
      <c r="K1285" s="19" t="n">
        <v>1.855</v>
      </c>
      <c r="M1285" s="16" t="n">
        <v>44467</v>
      </c>
      <c r="N1285" s="19" t="n">
        <v>140616</v>
      </c>
    </row>
    <row r="1286">
      <c r="A1286" s="16" t="n">
        <v>44466</v>
      </c>
      <c r="B1286" s="19" t="n">
        <v>2066.65</v>
      </c>
      <c r="D1286" s="16" t="n">
        <v>44462</v>
      </c>
      <c r="E1286" s="19" t="n">
        <v>11.95</v>
      </c>
      <c r="G1286" s="16" t="n">
        <v>45811</v>
      </c>
      <c r="H1286" s="19" t="n">
        <v>2.65</v>
      </c>
      <c r="J1286" s="16" t="n">
        <v>45811</v>
      </c>
      <c r="K1286" s="19" t="n">
        <v>1.789</v>
      </c>
      <c r="M1286" s="16" t="n">
        <v>44466</v>
      </c>
      <c r="N1286" s="19" t="n">
        <v>139617</v>
      </c>
    </row>
    <row r="1287">
      <c r="A1287" s="16" t="n">
        <v>44463</v>
      </c>
      <c r="B1287" s="19" t="n">
        <v>2015.43</v>
      </c>
      <c r="D1287" s="16" t="n">
        <v>44461</v>
      </c>
      <c r="E1287" s="19" t="n">
        <v>10</v>
      </c>
      <c r="G1287" s="16" t="n">
        <v>45812</v>
      </c>
      <c r="H1287" s="19" t="n">
        <v>2.688</v>
      </c>
      <c r="J1287" s="16" t="n">
        <v>45812</v>
      </c>
      <c r="K1287" s="19" t="n">
        <v>1.831</v>
      </c>
      <c r="M1287" s="16" t="n">
        <v>44463</v>
      </c>
      <c r="N1287" s="19" t="n">
        <v>138115</v>
      </c>
    </row>
    <row r="1288">
      <c r="A1288" s="16" t="n">
        <v>44462</v>
      </c>
      <c r="B1288" s="19" t="n">
        <v>2008.48</v>
      </c>
      <c r="D1288" s="16" t="n">
        <v>44460</v>
      </c>
      <c r="E1288" s="19" t="n">
        <v>10</v>
      </c>
      <c r="G1288" s="16" t="n">
        <v>45813</v>
      </c>
      <c r="H1288" s="19" t="n">
        <v>2.66</v>
      </c>
      <c r="J1288" s="16" t="n">
        <v>45813</v>
      </c>
      <c r="K1288" s="19" t="n">
        <v>1.804</v>
      </c>
      <c r="M1288" s="16" t="n">
        <v>44462</v>
      </c>
      <c r="N1288" s="19" t="n">
        <v>137674</v>
      </c>
    </row>
    <row r="1289">
      <c r="A1289" s="16" t="n">
        <v>44461</v>
      </c>
      <c r="B1289" s="19" t="n">
        <v>2033.77</v>
      </c>
      <c r="D1289" s="16" t="n">
        <v>44459</v>
      </c>
      <c r="E1289" s="19" t="n">
        <v>10</v>
      </c>
      <c r="G1289" s="16" t="n">
        <v>45814</v>
      </c>
      <c r="H1289" s="19" t="n">
        <v>2.655</v>
      </c>
      <c r="J1289" s="16" t="n">
        <v>45814</v>
      </c>
      <c r="K1289" s="19" t="n">
        <v>1.78</v>
      </c>
      <c r="M1289" s="16" t="n">
        <v>44461</v>
      </c>
      <c r="N1289" s="19" t="n">
        <v>139857</v>
      </c>
    </row>
    <row r="1290">
      <c r="A1290" s="16" t="n">
        <v>44460</v>
      </c>
      <c r="B1290" s="19" t="n">
        <v>2021.86</v>
      </c>
      <c r="D1290" s="16" t="n">
        <v>44456</v>
      </c>
      <c r="E1290" s="19" t="n">
        <v>11.08</v>
      </c>
      <c r="G1290" s="16" t="n">
        <v>45817</v>
      </c>
      <c r="H1290" s="19" t="n">
        <v>2.534</v>
      </c>
      <c r="J1290" s="16" t="n">
        <v>45817</v>
      </c>
      <c r="K1290" s="19" t="n">
        <v>1.743</v>
      </c>
      <c r="M1290" s="16" t="n">
        <v>44460</v>
      </c>
      <c r="N1290" s="19" t="n">
        <v>137543</v>
      </c>
    </row>
    <row r="1291">
      <c r="A1291" s="16" t="n">
        <v>44459</v>
      </c>
      <c r="B1291" s="19" t="n">
        <v>1994.45</v>
      </c>
      <c r="D1291" s="16" t="n">
        <v>44455</v>
      </c>
      <c r="E1291" s="19" t="n">
        <v>11.25</v>
      </c>
      <c r="G1291" s="16" t="n">
        <v>45818</v>
      </c>
      <c r="H1291" s="19" t="n">
        <v>2.498</v>
      </c>
      <c r="J1291" s="16" t="n">
        <v>45818</v>
      </c>
      <c r="K1291" s="19" t="n">
        <v>1.722</v>
      </c>
      <c r="M1291" s="16" t="n">
        <v>44459</v>
      </c>
      <c r="N1291" s="19" t="n">
        <v>136425</v>
      </c>
    </row>
    <row r="1292">
      <c r="A1292" s="16" t="n">
        <v>44456</v>
      </c>
      <c r="B1292" s="19" t="n">
        <v>1969.61</v>
      </c>
      <c r="D1292" s="16" t="n">
        <v>44454</v>
      </c>
      <c r="E1292" s="19" t="n">
        <v>11.93</v>
      </c>
      <c r="G1292" s="16" t="n">
        <v>45819</v>
      </c>
      <c r="H1292" s="19" t="n">
        <v>2.554</v>
      </c>
      <c r="J1292" s="16" t="n">
        <v>45819</v>
      </c>
      <c r="K1292" s="19" t="n">
        <v>1.742</v>
      </c>
      <c r="M1292" s="16" t="n">
        <v>44456</v>
      </c>
      <c r="N1292" s="19" t="n">
        <v>134988</v>
      </c>
    </row>
    <row r="1293">
      <c r="A1293" s="16" t="n">
        <v>44455</v>
      </c>
      <c r="B1293" s="19" t="n">
        <v>1964.57</v>
      </c>
      <c r="D1293" s="16" t="n">
        <v>44453</v>
      </c>
      <c r="E1293" s="19" t="n">
        <v>13.1</v>
      </c>
      <c r="G1293" s="16" t="n">
        <v>45820</v>
      </c>
      <c r="H1293" s="19" t="n">
        <v>2.558</v>
      </c>
      <c r="J1293" s="16" t="n">
        <v>45820</v>
      </c>
      <c r="K1293" s="19" t="n">
        <v>1.717</v>
      </c>
      <c r="M1293" s="16" t="n">
        <v>44455</v>
      </c>
      <c r="N1293" s="19" t="n">
        <v>134688</v>
      </c>
    </row>
    <row r="1294">
      <c r="A1294" s="16" t="n">
        <v>44454</v>
      </c>
      <c r="B1294" s="19" t="n">
        <v>1955.75</v>
      </c>
      <c r="D1294" s="16" t="n">
        <v>44452</v>
      </c>
      <c r="E1294" s="19" t="n">
        <v>13.36</v>
      </c>
      <c r="G1294" s="16" t="n">
        <v>45821</v>
      </c>
      <c r="H1294" s="19" t="n">
        <v>2.535</v>
      </c>
      <c r="J1294" s="16" t="n">
        <v>45821</v>
      </c>
      <c r="K1294" s="19" t="n">
        <v>1.722</v>
      </c>
      <c r="M1294" s="16" t="n">
        <v>44454</v>
      </c>
      <c r="N1294" s="19" t="n">
        <v>134432</v>
      </c>
    </row>
    <row r="1295">
      <c r="A1295" s="16" t="n">
        <v>44453</v>
      </c>
      <c r="B1295" s="19" t="n">
        <v>1921.99</v>
      </c>
      <c r="D1295" s="16" t="n">
        <v>44449</v>
      </c>
      <c r="E1295" s="19" t="n">
        <v>13.36</v>
      </c>
      <c r="G1295" s="16" t="n">
        <v>45824</v>
      </c>
      <c r="H1295" s="19" t="n">
        <v>2.386</v>
      </c>
      <c r="J1295" s="16" t="n">
        <v>45824</v>
      </c>
      <c r="K1295" s="19" t="n">
        <v>1.682</v>
      </c>
      <c r="M1295" s="16" t="n">
        <v>44453</v>
      </c>
      <c r="N1295" s="19" t="n">
        <v>133888</v>
      </c>
    </row>
    <row r="1296">
      <c r="A1296" s="16" t="n">
        <v>44452</v>
      </c>
      <c r="B1296" s="19" t="n">
        <v>1927.82</v>
      </c>
      <c r="D1296" s="16" t="n">
        <v>44448</v>
      </c>
      <c r="E1296" s="19" t="n">
        <v>13.91</v>
      </c>
      <c r="G1296" s="16" t="n">
        <v>45825</v>
      </c>
      <c r="H1296" s="19" t="n">
        <v>2.423</v>
      </c>
      <c r="J1296" s="16" t="n">
        <v>45825</v>
      </c>
      <c r="K1296" s="19" t="n">
        <v>1.69</v>
      </c>
      <c r="M1296" s="16" t="n">
        <v>44452</v>
      </c>
      <c r="N1296" s="19" t="n">
        <v>134599</v>
      </c>
    </row>
    <row r="1297">
      <c r="A1297" s="16" t="n">
        <v>44449</v>
      </c>
      <c r="B1297" s="19" t="n">
        <v>1921.12</v>
      </c>
      <c r="D1297" s="16" t="n">
        <v>44447</v>
      </c>
      <c r="E1297" s="19" t="n">
        <v>13.77</v>
      </c>
      <c r="G1297" s="16" t="n">
        <v>45826</v>
      </c>
      <c r="H1297" s="19" t="n">
        <v>2.415</v>
      </c>
      <c r="J1297" s="16" t="n">
        <v>45826</v>
      </c>
      <c r="K1297" s="19" t="n">
        <v>1.696</v>
      </c>
      <c r="M1297" s="16" t="n">
        <v>44449</v>
      </c>
      <c r="N1297" s="19" t="n">
        <v>133991</v>
      </c>
    </row>
    <row r="1298">
      <c r="A1298" s="16" t="n">
        <v>44448</v>
      </c>
      <c r="B1298" s="19" t="n">
        <v>1905.65</v>
      </c>
      <c r="D1298" s="16" t="n">
        <v>44446</v>
      </c>
      <c r="E1298" s="19" t="n">
        <v>14.61</v>
      </c>
      <c r="G1298" s="16" t="n">
        <v>45827</v>
      </c>
      <c r="H1298" s="19" t="n">
        <v>2.468</v>
      </c>
      <c r="J1298" s="16" t="n">
        <v>45827</v>
      </c>
      <c r="K1298" s="19" t="n">
        <v>1.674</v>
      </c>
      <c r="M1298" s="16" t="n">
        <v>44448</v>
      </c>
      <c r="N1298" s="19" t="n">
        <v>133018</v>
      </c>
    </row>
    <row r="1299">
      <c r="A1299" s="16" t="n">
        <v>44447</v>
      </c>
      <c r="B1299" s="19" t="n">
        <v>1908.8</v>
      </c>
      <c r="D1299" s="16" t="n">
        <v>44445</v>
      </c>
      <c r="E1299" s="19" t="n">
        <v>16.75</v>
      </c>
      <c r="G1299" s="16" t="n">
        <v>45828</v>
      </c>
      <c r="H1299" s="19" t="n">
        <v>2.409</v>
      </c>
      <c r="J1299" s="16" t="n">
        <v>45828</v>
      </c>
      <c r="K1299" s="19" t="n">
        <v>1.665</v>
      </c>
      <c r="M1299" s="16" t="n">
        <v>44447</v>
      </c>
      <c r="N1299" s="19" t="n">
        <v>133705</v>
      </c>
    </row>
    <row r="1300">
      <c r="A1300" s="16" t="n">
        <v>44446</v>
      </c>
      <c r="B1300" s="19" t="n">
        <v>1903.11</v>
      </c>
      <c r="D1300" s="16" t="n">
        <v>44442</v>
      </c>
      <c r="E1300" s="19" t="n">
        <v>18.45</v>
      </c>
      <c r="G1300" s="16" t="n">
        <v>45831</v>
      </c>
      <c r="H1300" s="19" t="n">
        <v>2.427</v>
      </c>
      <c r="J1300" s="16" t="n">
        <v>45831</v>
      </c>
      <c r="K1300" s="19" t="n">
        <v>1.658</v>
      </c>
      <c r="M1300" s="16" t="n">
        <v>44446</v>
      </c>
      <c r="N1300" s="19" t="n">
        <v>132856</v>
      </c>
    </row>
    <row r="1301">
      <c r="A1301" s="16" t="n">
        <v>44445</v>
      </c>
      <c r="B1301" s="19" t="n">
        <v>1862.38</v>
      </c>
      <c r="D1301" s="16" t="n">
        <v>44441</v>
      </c>
      <c r="E1301" s="19" t="n">
        <v>17.27</v>
      </c>
      <c r="G1301" s="16" t="n">
        <v>45832</v>
      </c>
      <c r="H1301" s="19" t="n">
        <v>2.483</v>
      </c>
      <c r="J1301" s="16" t="n">
        <v>45832</v>
      </c>
      <c r="K1301" s="19" t="n">
        <v>1.667</v>
      </c>
      <c r="M1301" s="16" t="n">
        <v>44445</v>
      </c>
      <c r="N1301" s="19" t="n">
        <v>132110</v>
      </c>
    </row>
    <row r="1302">
      <c r="A1302" s="16" t="n">
        <v>44442</v>
      </c>
      <c r="B1302" s="19" t="n">
        <v>1837.92</v>
      </c>
      <c r="D1302" s="16" t="n">
        <v>44440</v>
      </c>
      <c r="E1302" s="19" t="n">
        <v>17.9</v>
      </c>
      <c r="G1302" s="16" t="n">
        <v>45833</v>
      </c>
      <c r="H1302" s="19" t="n">
        <v>2.45</v>
      </c>
      <c r="J1302" s="16" t="n">
        <v>45833</v>
      </c>
      <c r="K1302" s="19" t="n">
        <v>1.692</v>
      </c>
      <c r="M1302" s="16" t="n">
        <v>44442</v>
      </c>
      <c r="N1302" s="19" t="n">
        <v>131689</v>
      </c>
    </row>
    <row r="1303">
      <c r="A1303" s="16" t="n">
        <v>44441</v>
      </c>
      <c r="B1303" s="19" t="n">
        <v>1851.38</v>
      </c>
      <c r="D1303" s="16" t="n">
        <v>44439</v>
      </c>
      <c r="E1303" s="19" t="n">
        <v>16.9</v>
      </c>
      <c r="G1303" s="16" t="n">
        <v>45834</v>
      </c>
      <c r="H1303" s="19" t="n">
        <v>2.483</v>
      </c>
      <c r="J1303" s="16" t="n">
        <v>45834</v>
      </c>
      <c r="K1303" s="19" t="n">
        <v>1.679</v>
      </c>
      <c r="M1303" s="16" t="n">
        <v>44441</v>
      </c>
      <c r="N1303" s="19" t="n">
        <v>132259</v>
      </c>
    </row>
    <row r="1304">
      <c r="A1304" s="16" t="n">
        <v>44440</v>
      </c>
      <c r="B1304" s="19" t="n">
        <v>1840.25</v>
      </c>
      <c r="D1304" s="16" t="n">
        <v>44438</v>
      </c>
      <c r="E1304" s="19" t="n">
        <v>15.69</v>
      </c>
      <c r="G1304" s="16" t="n">
        <v>45835</v>
      </c>
      <c r="H1304" s="19" t="n">
        <v>2.452</v>
      </c>
      <c r="J1304" s="16" t="n">
        <v>45835</v>
      </c>
      <c r="K1304" s="19" t="n">
        <v>1.671</v>
      </c>
      <c r="M1304" s="16" t="n">
        <v>44440</v>
      </c>
      <c r="N1304" s="19" t="n">
        <v>131996</v>
      </c>
    </row>
    <row r="1305">
      <c r="A1305" s="16" t="n">
        <v>44439</v>
      </c>
      <c r="B1305" s="19" t="n">
        <v>1858.57</v>
      </c>
      <c r="D1305" s="16" t="n">
        <v>44435</v>
      </c>
      <c r="E1305" s="19" t="n">
        <v>15.29</v>
      </c>
      <c r="G1305" s="16" t="n">
        <v>45838</v>
      </c>
      <c r="H1305" s="19" t="n">
        <v>2.491</v>
      </c>
      <c r="J1305" s="16" t="n">
        <v>45838</v>
      </c>
      <c r="K1305" s="19" t="n">
        <v>1.706</v>
      </c>
      <c r="M1305" s="16" t="n">
        <v>44439</v>
      </c>
      <c r="N1305" s="19" t="n">
        <v>132485</v>
      </c>
    </row>
    <row r="1306">
      <c r="A1306" s="16" t="n">
        <v>44438</v>
      </c>
      <c r="B1306" s="19" t="n">
        <v>1871.75</v>
      </c>
      <c r="D1306" s="16" t="n">
        <v>44434</v>
      </c>
      <c r="E1306" s="19" t="n">
        <v>17.13</v>
      </c>
      <c r="G1306" s="16" t="n">
        <v>45839</v>
      </c>
      <c r="H1306" s="19" t="n">
        <v>2.457</v>
      </c>
      <c r="J1306" s="16" t="n">
        <v>45839</v>
      </c>
      <c r="K1306" s="19" t="n">
        <v>1.684</v>
      </c>
      <c r="M1306" s="16" t="n">
        <v>44438</v>
      </c>
      <c r="N1306" s="19" t="n">
        <v>132268</v>
      </c>
    </row>
    <row r="1307">
      <c r="A1307" s="16" t="n">
        <v>44435</v>
      </c>
      <c r="B1307" s="19" t="n">
        <v>1865.39</v>
      </c>
      <c r="D1307" s="16" t="n">
        <v>44433</v>
      </c>
      <c r="E1307" s="19" t="n">
        <v>16.71</v>
      </c>
      <c r="G1307" s="16" t="n">
        <v>45840</v>
      </c>
      <c r="H1307" s="19" t="n">
        <v>2.527</v>
      </c>
      <c r="J1307" s="16" t="n">
        <v>45840</v>
      </c>
      <c r="K1307" s="19" t="n">
        <v>1.735</v>
      </c>
      <c r="M1307" s="16" t="n">
        <v>44435</v>
      </c>
      <c r="N1307" s="19" t="n">
        <v>131806</v>
      </c>
    </row>
    <row r="1308">
      <c r="A1308" s="16" t="n">
        <v>44434</v>
      </c>
      <c r="B1308" s="19" t="n">
        <v>1841.12</v>
      </c>
      <c r="D1308" s="16" t="n">
        <v>44432</v>
      </c>
      <c r="E1308" s="19" t="n">
        <v>17.78</v>
      </c>
      <c r="G1308" s="16" t="n">
        <v>45841</v>
      </c>
      <c r="H1308" s="19" t="n">
        <v>2.581</v>
      </c>
      <c r="J1308" s="16" t="n">
        <v>45841</v>
      </c>
      <c r="K1308" s="19" t="n">
        <v>1.735</v>
      </c>
      <c r="M1308" s="16" t="n">
        <v>44434</v>
      </c>
      <c r="N1308" s="19" t="n">
        <v>129671</v>
      </c>
    </row>
    <row r="1309">
      <c r="A1309" s="16" t="n">
        <v>44433</v>
      </c>
      <c r="B1309" s="19" t="n">
        <v>1840.49</v>
      </c>
      <c r="D1309" s="16" t="n">
        <v>44431</v>
      </c>
      <c r="E1309" s="19" t="n">
        <v>18.79</v>
      </c>
      <c r="G1309" s="16" t="n">
        <v>45842</v>
      </c>
      <c r="H1309" s="19" t="n">
        <v>2.591</v>
      </c>
      <c r="J1309" s="16" t="n">
        <v>45842</v>
      </c>
      <c r="K1309" s="19" t="n">
        <v>1.768</v>
      </c>
      <c r="M1309" s="16" t="n">
        <v>44433</v>
      </c>
      <c r="N1309" s="19" t="n">
        <v>128865</v>
      </c>
    </row>
    <row r="1310">
      <c r="A1310" s="16" t="n">
        <v>44432</v>
      </c>
      <c r="B1310" s="19" t="n">
        <v>1822.48</v>
      </c>
      <c r="D1310" s="16" t="n">
        <v>44428</v>
      </c>
      <c r="E1310" s="19" t="n">
        <v>19.58</v>
      </c>
      <c r="G1310" s="16" t="n">
        <v>45845</v>
      </c>
      <c r="H1310" s="19" t="n">
        <v>2.549</v>
      </c>
      <c r="J1310" s="16" t="n">
        <v>45845</v>
      </c>
      <c r="K1310" s="19" t="n">
        <v>1.74</v>
      </c>
      <c r="M1310" s="16" t="n">
        <v>44432</v>
      </c>
      <c r="N1310" s="19" t="n">
        <v>128733</v>
      </c>
    </row>
    <row r="1311">
      <c r="A1311" s="16" t="n">
        <v>44431</v>
      </c>
      <c r="B1311" s="19" t="n">
        <v>1797.65</v>
      </c>
      <c r="D1311" s="16" t="n">
        <v>44427</v>
      </c>
      <c r="E1311" s="19" t="n">
        <v>18.31</v>
      </c>
      <c r="G1311" s="16" t="n">
        <v>45846</v>
      </c>
      <c r="H1311" s="19" t="n">
        <v>2.534</v>
      </c>
      <c r="J1311" s="16" t="n">
        <v>45846</v>
      </c>
      <c r="K1311" s="19" t="n">
        <v>1.751</v>
      </c>
      <c r="M1311" s="16" t="n">
        <v>44431</v>
      </c>
      <c r="N1311" s="19" t="n">
        <v>127999</v>
      </c>
    </row>
    <row r="1312">
      <c r="A1312" s="16" t="n">
        <v>44428</v>
      </c>
      <c r="B1312" s="19" t="n">
        <v>1785.59</v>
      </c>
      <c r="D1312" s="16" t="n">
        <v>44426</v>
      </c>
      <c r="E1312" s="19" t="n">
        <v>19.6</v>
      </c>
      <c r="G1312" s="16" t="n">
        <v>45847</v>
      </c>
      <c r="H1312" s="19" t="n">
        <v>2.559</v>
      </c>
      <c r="J1312" s="16" t="n">
        <v>45847</v>
      </c>
      <c r="K1312" s="19" t="n">
        <v>1.742</v>
      </c>
      <c r="M1312" s="16" t="n">
        <v>44428</v>
      </c>
      <c r="N1312" s="19" t="n">
        <v>127655</v>
      </c>
    </row>
    <row r="1313">
      <c r="A1313" s="16" t="n">
        <v>44427</v>
      </c>
      <c r="B1313" s="19" t="n">
        <v>1803.22</v>
      </c>
      <c r="D1313" s="16" t="n">
        <v>44425</v>
      </c>
      <c r="E1313" s="19" t="n">
        <v>22.47</v>
      </c>
      <c r="G1313" s="16" t="n">
        <v>45848</v>
      </c>
      <c r="H1313" s="19" t="n">
        <v>2.529</v>
      </c>
      <c r="J1313" s="16" t="n">
        <v>45848</v>
      </c>
      <c r="K1313" s="19" t="n">
        <v>1.737</v>
      </c>
      <c r="M1313" s="16" t="n">
        <v>44427</v>
      </c>
      <c r="N1313" s="19" t="n">
        <v>127663</v>
      </c>
    </row>
    <row r="1314">
      <c r="A1314" s="16" t="n">
        <v>44426</v>
      </c>
      <c r="B1314" s="19" t="n">
        <v>1783.47</v>
      </c>
      <c r="D1314" s="16" t="n">
        <v>44424</v>
      </c>
      <c r="E1314" s="19" t="n">
        <v>21.99</v>
      </c>
      <c r="G1314" s="16" t="n">
        <v>45849</v>
      </c>
      <c r="H1314" s="19" t="n">
        <v>2.562</v>
      </c>
      <c r="J1314" s="16" t="n">
        <v>45849</v>
      </c>
      <c r="K1314" s="19" t="n">
        <v>1.723</v>
      </c>
      <c r="M1314" s="16" t="n">
        <v>44426</v>
      </c>
      <c r="N1314" s="19" t="n">
        <v>127503</v>
      </c>
    </row>
    <row r="1315">
      <c r="A1315" s="16" t="n">
        <v>44425</v>
      </c>
      <c r="B1315" s="19" t="n">
        <v>1746.71</v>
      </c>
      <c r="D1315" s="16" t="n">
        <v>44421</v>
      </c>
      <c r="E1315" s="19" t="n">
        <v>21.42</v>
      </c>
      <c r="G1315" s="16" t="n">
        <v>45852</v>
      </c>
      <c r="H1315" s="19" t="n">
        <v>2.517</v>
      </c>
      <c r="J1315" s="16" t="n">
        <v>45852</v>
      </c>
      <c r="K1315" s="19" t="n">
        <v>1.69</v>
      </c>
      <c r="M1315" s="16" t="n">
        <v>44425</v>
      </c>
      <c r="N1315" s="19" t="n">
        <v>125580</v>
      </c>
    </row>
    <row r="1316">
      <c r="A1316" s="16" t="n">
        <v>44424</v>
      </c>
      <c r="B1316" s="19" t="n">
        <v>1759.26</v>
      </c>
      <c r="D1316" s="16" t="n">
        <v>44420</v>
      </c>
      <c r="E1316" s="19" t="n">
        <v>20.27</v>
      </c>
      <c r="G1316" s="16" t="n">
        <v>45853</v>
      </c>
      <c r="H1316" s="19" t="n">
        <v>2.565</v>
      </c>
      <c r="J1316" s="16" t="n">
        <v>45853</v>
      </c>
      <c r="K1316" s="19" t="n">
        <v>1.712</v>
      </c>
      <c r="M1316" s="16" t="n">
        <v>44424</v>
      </c>
      <c r="N1316" s="19" t="n">
        <v>126174</v>
      </c>
    </row>
    <row r="1317">
      <c r="A1317" s="16" t="n">
        <v>44421</v>
      </c>
      <c r="B1317" s="19" t="n">
        <v>1771.14</v>
      </c>
      <c r="D1317" s="16" t="n">
        <v>44419</v>
      </c>
      <c r="E1317" s="19" t="n">
        <v>22.03</v>
      </c>
      <c r="G1317" s="16" t="n">
        <v>45854</v>
      </c>
      <c r="H1317" s="19" t="n">
        <v>2.632</v>
      </c>
      <c r="J1317" s="16" t="n">
        <v>45854</v>
      </c>
      <c r="K1317" s="19" t="n">
        <v>1.703</v>
      </c>
      <c r="M1317" s="16" t="n">
        <v>44421</v>
      </c>
      <c r="N1317" s="19" t="n">
        <v>126921</v>
      </c>
    </row>
    <row r="1318">
      <c r="A1318" s="16" t="n">
        <v>44420</v>
      </c>
      <c r="B1318" s="19" t="n">
        <v>1785.32</v>
      </c>
      <c r="D1318" s="16" t="n">
        <v>44418</v>
      </c>
      <c r="E1318" s="19" t="n">
        <v>23.73</v>
      </c>
      <c r="G1318" s="16" t="n">
        <v>45855</v>
      </c>
      <c r="H1318" s="19" t="n">
        <v>2.687</v>
      </c>
      <c r="J1318" s="16" t="n">
        <v>45855</v>
      </c>
      <c r="K1318" s="19" t="n">
        <v>1.721</v>
      </c>
      <c r="M1318" s="16" t="n">
        <v>44420</v>
      </c>
      <c r="N1318" s="19" t="n">
        <v>128439</v>
      </c>
    </row>
    <row r="1319">
      <c r="A1319" s="16" t="n">
        <v>44419</v>
      </c>
      <c r="B1319" s="19" t="n">
        <v>1746.82</v>
      </c>
      <c r="D1319" s="16" t="n">
        <v>44417</v>
      </c>
      <c r="E1319" s="19" t="n">
        <v>23.43</v>
      </c>
      <c r="G1319" s="16" t="n">
        <v>45856</v>
      </c>
      <c r="H1319" s="19" t="n">
        <v>2.687</v>
      </c>
      <c r="J1319" s="16" t="n">
        <v>45856</v>
      </c>
      <c r="K1319" s="19" t="n">
        <v>1.717</v>
      </c>
      <c r="M1319" s="16" t="n">
        <v>44419</v>
      </c>
      <c r="N1319" s="19" t="n">
        <v>125967</v>
      </c>
    </row>
    <row r="1320">
      <c r="A1320" s="16" t="n">
        <v>44418</v>
      </c>
      <c r="B1320" s="19" t="n">
        <v>1723.94</v>
      </c>
      <c r="D1320" s="16" t="n">
        <v>44414</v>
      </c>
      <c r="E1320" s="19" t="n">
        <v>20.94</v>
      </c>
      <c r="G1320" s="16" t="n">
        <v>45859</v>
      </c>
      <c r="H1320" s="19" t="n">
        <v>2.683</v>
      </c>
      <c r="J1320" s="16" t="n">
        <v>45859</v>
      </c>
      <c r="K1320" s="19" t="n">
        <v>1.68</v>
      </c>
      <c r="M1320" s="16" t="n">
        <v>44418</v>
      </c>
      <c r="N1320" s="19" t="n">
        <v>125379</v>
      </c>
    </row>
    <row r="1321">
      <c r="A1321" s="16" t="n">
        <v>44417</v>
      </c>
      <c r="B1321" s="19" t="n">
        <v>1723.66</v>
      </c>
      <c r="D1321" s="16" t="n">
        <v>44413</v>
      </c>
      <c r="E1321" s="19" t="n">
        <v>19.57</v>
      </c>
      <c r="G1321" s="16" t="n">
        <v>45860</v>
      </c>
      <c r="H1321" s="19" t="n">
        <v>2.719</v>
      </c>
      <c r="J1321" s="16" t="n">
        <v>45860</v>
      </c>
      <c r="K1321" s="19" t="n">
        <v>1.685</v>
      </c>
      <c r="M1321" s="16" t="n">
        <v>44417</v>
      </c>
      <c r="N1321" s="19" t="n">
        <v>125524</v>
      </c>
    </row>
    <row r="1322">
      <c r="A1322" s="16" t="n">
        <v>44414</v>
      </c>
      <c r="B1322" s="19" t="n">
        <v>1756.01</v>
      </c>
      <c r="D1322" s="16" t="n">
        <v>44412</v>
      </c>
      <c r="E1322" s="19" t="n">
        <v>21.39</v>
      </c>
      <c r="G1322" s="16" t="n">
        <v>45861</v>
      </c>
      <c r="H1322" s="19" t="n">
        <v>2.663</v>
      </c>
      <c r="J1322" s="16" t="n">
        <v>45861</v>
      </c>
      <c r="K1322" s="19" t="n">
        <v>1.672</v>
      </c>
      <c r="M1322" s="16" t="n">
        <v>44414</v>
      </c>
      <c r="N1322" s="19" t="n">
        <v>126811</v>
      </c>
    </row>
    <row r="1323">
      <c r="A1323" s="16" t="n">
        <v>44413</v>
      </c>
      <c r="B1323" s="19" t="n">
        <v>1763.65</v>
      </c>
      <c r="D1323" s="16" t="n">
        <v>44411</v>
      </c>
      <c r="E1323" s="19" t="n">
        <v>20.55</v>
      </c>
      <c r="G1323" s="16" t="n">
        <v>45862</v>
      </c>
      <c r="H1323" s="19" t="n">
        <v>2.639</v>
      </c>
      <c r="J1323" s="16" t="n">
        <v>45862</v>
      </c>
      <c r="K1323" s="19" t="n">
        <v>1.661</v>
      </c>
      <c r="M1323" s="16" t="n">
        <v>44413</v>
      </c>
      <c r="N1323" s="19" t="n">
        <v>128348</v>
      </c>
    </row>
    <row r="1324">
      <c r="A1324" s="16" t="n">
        <v>44412</v>
      </c>
      <c r="B1324" s="19" t="n">
        <v>1756.38</v>
      </c>
      <c r="D1324" s="16" t="n">
        <v>44410</v>
      </c>
      <c r="E1324" s="19" t="n">
        <v>21.36</v>
      </c>
      <c r="G1324" s="16" t="n">
        <v>45863</v>
      </c>
      <c r="H1324" s="19" t="n">
        <v>2.721</v>
      </c>
      <c r="J1324" s="16" t="n">
        <v>45863</v>
      </c>
      <c r="K1324" s="19" t="n">
        <v>1.671</v>
      </c>
      <c r="M1324" s="16" t="n">
        <v>44412</v>
      </c>
      <c r="N1324" s="19" t="n">
        <v>128546</v>
      </c>
    </row>
    <row r="1325">
      <c r="A1325" s="16" t="n">
        <v>44411</v>
      </c>
      <c r="B1325" s="19" t="n">
        <v>1766.44</v>
      </c>
      <c r="D1325" s="16" t="n">
        <v>44407</v>
      </c>
      <c r="E1325" s="19" t="n">
        <v>20.47</v>
      </c>
      <c r="G1325" s="16" t="n">
        <v>45866</v>
      </c>
      <c r="H1325" s="19" t="n">
        <v>2.655</v>
      </c>
      <c r="J1325" s="16" t="n">
        <v>45866</v>
      </c>
      <c r="K1325" s="19" t="n">
        <v>1.652</v>
      </c>
      <c r="M1325" s="16" t="n">
        <v>44411</v>
      </c>
      <c r="N1325" s="19" t="n">
        <v>129338</v>
      </c>
    </row>
    <row r="1326">
      <c r="A1326" s="16" t="n">
        <v>44410</v>
      </c>
      <c r="B1326" s="19" t="n">
        <v>1756.38</v>
      </c>
      <c r="D1326" s="16" t="n">
        <v>44406</v>
      </c>
      <c r="E1326" s="19" t="n">
        <v>20.49</v>
      </c>
      <c r="G1326" s="16" t="n">
        <v>45867</v>
      </c>
      <c r="H1326" s="19" t="n">
        <v>2.651</v>
      </c>
      <c r="J1326" s="16" t="n">
        <v>45867</v>
      </c>
      <c r="K1326" s="19" t="n">
        <v>1.642</v>
      </c>
      <c r="M1326" s="16" t="n">
        <v>44410</v>
      </c>
      <c r="N1326" s="19" t="n">
        <v>129701</v>
      </c>
    </row>
    <row r="1327">
      <c r="A1327" s="16" t="n">
        <v>44407</v>
      </c>
      <c r="B1327" s="19" t="n">
        <v>1752.04</v>
      </c>
      <c r="D1327" s="16" t="n">
        <v>44405</v>
      </c>
      <c r="E1327" s="19" t="n">
        <v>20.71</v>
      </c>
      <c r="G1327" s="16" t="n">
        <v>45868</v>
      </c>
      <c r="H1327" s="19" t="n">
        <v>2.626</v>
      </c>
      <c r="J1327" s="16" t="n">
        <v>45868</v>
      </c>
      <c r="K1327" s="19" t="n">
        <v>1.647</v>
      </c>
      <c r="M1327" s="16" t="n">
        <v>44407</v>
      </c>
      <c r="N1327" s="19" t="n">
        <v>129488</v>
      </c>
    </row>
    <row r="1328">
      <c r="A1328" s="16" t="n">
        <v>44406</v>
      </c>
      <c r="B1328" s="19" t="n">
        <v>1745.95</v>
      </c>
      <c r="D1328" s="16" t="n">
        <v>44404</v>
      </c>
      <c r="E1328" s="19" t="n">
        <v>21.58</v>
      </c>
      <c r="G1328" s="16" t="n">
        <v>45869</v>
      </c>
      <c r="H1328" s="19" t="n">
        <v>2.555</v>
      </c>
      <c r="J1328" s="16" t="n">
        <v>45869</v>
      </c>
      <c r="K1328" s="19" t="n">
        <v>1.64</v>
      </c>
      <c r="M1328" s="16" t="n">
        <v>44406</v>
      </c>
      <c r="N1328" s="19" t="n">
        <v>129414</v>
      </c>
    </row>
    <row r="1329">
      <c r="A1329" s="16" t="n">
        <v>44405</v>
      </c>
      <c r="B1329" s="19" t="n">
        <v>1743.16</v>
      </c>
      <c r="D1329" s="16" t="n">
        <v>44403</v>
      </c>
      <c r="E1329" s="19" t="n">
        <v>20.38</v>
      </c>
      <c r="G1329" s="16" t="n">
        <v>45870</v>
      </c>
      <c r="H1329" s="19" t="n">
        <v>2.566</v>
      </c>
      <c r="J1329" s="16" t="n">
        <v>45870</v>
      </c>
      <c r="K1329" s="19" t="n">
        <v>1.633</v>
      </c>
      <c r="M1329" s="16" t="n">
        <v>44405</v>
      </c>
      <c r="N1329" s="19" t="n">
        <v>128856</v>
      </c>
    </row>
    <row r="1330">
      <c r="A1330" s="16" t="n">
        <v>44404</v>
      </c>
      <c r="B1330" s="19" t="n">
        <v>1738.8</v>
      </c>
      <c r="D1330" s="16" t="n">
        <v>44400</v>
      </c>
      <c r="E1330" s="19" t="n">
        <v>19.66</v>
      </c>
      <c r="G1330" s="16" t="n">
        <v>45873</v>
      </c>
      <c r="H1330" s="19" t="n">
        <v>2.526</v>
      </c>
      <c r="J1330" s="16" t="n">
        <v>45873</v>
      </c>
      <c r="K1330" s="19" t="n">
        <v>1.646</v>
      </c>
      <c r="M1330" s="16" t="n">
        <v>44404</v>
      </c>
      <c r="N1330" s="19" t="n">
        <v>128752</v>
      </c>
    </row>
    <row r="1331">
      <c r="A1331" s="16" t="n">
        <v>44403</v>
      </c>
      <c r="B1331" s="19" t="n">
        <v>1760.37</v>
      </c>
      <c r="D1331" s="16" t="n">
        <v>44399</v>
      </c>
      <c r="E1331" s="19" t="n">
        <v>19.21</v>
      </c>
      <c r="G1331" s="16" t="n">
        <v>45874</v>
      </c>
      <c r="H1331" s="19" t="n">
        <v>2.566</v>
      </c>
      <c r="J1331" s="16" t="n">
        <v>45874</v>
      </c>
      <c r="K1331" s="19" t="n">
        <v>1.684</v>
      </c>
      <c r="M1331" s="16" t="n">
        <v>44403</v>
      </c>
      <c r="N1331" s="19" t="n">
        <v>130058</v>
      </c>
    </row>
    <row r="1332">
      <c r="A1332" s="16" t="n">
        <v>44400</v>
      </c>
      <c r="B1332" s="19" t="n">
        <v>1772.51</v>
      </c>
      <c r="D1332" s="16" t="n">
        <v>44398</v>
      </c>
      <c r="E1332" s="19" t="n">
        <v>19.98</v>
      </c>
      <c r="G1332" s="16" t="n">
        <v>45875</v>
      </c>
      <c r="H1332" s="19" t="n">
        <v>2.56</v>
      </c>
      <c r="J1332" s="16" t="n">
        <v>45875</v>
      </c>
      <c r="K1332" s="19" t="n">
        <v>1.683</v>
      </c>
      <c r="M1332" s="16" t="n">
        <v>44400</v>
      </c>
      <c r="N1332" s="19" t="n">
        <v>130541</v>
      </c>
    </row>
    <row r="1333">
      <c r="A1333" s="16" t="n">
        <v>44399</v>
      </c>
      <c r="B1333" s="19" t="n">
        <v>1764.58</v>
      </c>
      <c r="D1333" s="16" t="n">
        <v>44397</v>
      </c>
      <c r="E1333" s="19" t="n">
        <v>20.08</v>
      </c>
      <c r="G1333" s="16" t="n">
        <v>45876</v>
      </c>
      <c r="H1333" s="19" t="n">
        <v>2.587</v>
      </c>
      <c r="J1333" s="16" t="n">
        <v>45876</v>
      </c>
      <c r="K1333" s="19" t="n">
        <v>1.731</v>
      </c>
      <c r="M1333" s="16" t="n">
        <v>44399</v>
      </c>
      <c r="N1333" s="19" t="n">
        <v>129907</v>
      </c>
    </row>
    <row r="1334">
      <c r="A1334" s="16" t="n">
        <v>44398</v>
      </c>
      <c r="B1334" s="19" t="n">
        <v>1757.78</v>
      </c>
      <c r="D1334" s="16" t="n">
        <v>44396</v>
      </c>
      <c r="E1334" s="19" t="n">
        <v>19.74</v>
      </c>
      <c r="G1334" s="16" t="n">
        <v>45877</v>
      </c>
      <c r="H1334" s="19" t="n">
        <v>2.592</v>
      </c>
      <c r="J1334" s="16" t="n">
        <v>45877</v>
      </c>
      <c r="K1334" s="19" t="n">
        <v>1.72</v>
      </c>
      <c r="M1334" s="16" t="n">
        <v>44398</v>
      </c>
      <c r="N1334" s="19" t="n">
        <v>131098</v>
      </c>
    </row>
    <row r="1335">
      <c r="A1335" s="16" t="n">
        <v>44397</v>
      </c>
      <c r="B1335" s="19" t="n">
        <v>1746.31</v>
      </c>
      <c r="D1335" s="16" t="n">
        <v>44393</v>
      </c>
      <c r="E1335" s="19" t="n">
        <v>19.2</v>
      </c>
      <c r="G1335" s="16" t="n">
        <v>45880</v>
      </c>
      <c r="H1335" s="19" t="n">
        <v>2.589</v>
      </c>
      <c r="J1335" s="16" t="n">
        <v>45880</v>
      </c>
      <c r="K1335" s="19" t="n">
        <v>1.711</v>
      </c>
      <c r="M1335" s="16" t="n">
        <v>44397</v>
      </c>
      <c r="N1335" s="19" t="n">
        <v>130615</v>
      </c>
    </row>
    <row r="1336">
      <c r="A1336" s="16" t="n">
        <v>44396</v>
      </c>
      <c r="B1336" s="19" t="n">
        <v>1753.92</v>
      </c>
      <c r="D1336" s="16" t="n">
        <v>44392</v>
      </c>
      <c r="E1336" s="19" t="n">
        <v>19.35</v>
      </c>
      <c r="G1336" s="16" t="n">
        <v>45881</v>
      </c>
      <c r="H1336" s="19" t="n">
        <v>2.579</v>
      </c>
      <c r="J1336" s="16" t="n">
        <v>45881</v>
      </c>
      <c r="K1336" s="19" t="n">
        <v>1.747</v>
      </c>
      <c r="M1336" s="16" t="n">
        <v>44396</v>
      </c>
      <c r="N1336" s="19" t="n">
        <v>131449</v>
      </c>
    </row>
    <row r="1337">
      <c r="A1337" s="16" t="n">
        <v>44393</v>
      </c>
      <c r="B1337" s="19" t="n">
        <v>1768.42</v>
      </c>
      <c r="D1337" s="16" t="n">
        <v>44391</v>
      </c>
      <c r="E1337" s="19" t="n">
        <v>20.18</v>
      </c>
      <c r="G1337" s="16" t="n">
        <v>45882</v>
      </c>
      <c r="H1337" s="19" t="n">
        <v>2.512</v>
      </c>
      <c r="J1337" s="16" t="n">
        <v>45882</v>
      </c>
      <c r="K1337" s="19" t="n">
        <v>1.738</v>
      </c>
      <c r="M1337" s="16" t="n">
        <v>44393</v>
      </c>
      <c r="N1337" s="19" t="n">
        <v>131858</v>
      </c>
    </row>
    <row r="1338">
      <c r="A1338" s="16" t="n">
        <v>44392</v>
      </c>
      <c r="B1338" s="19" t="n">
        <v>1769.27</v>
      </c>
      <c r="D1338" s="16" t="n">
        <v>44390</v>
      </c>
      <c r="E1338" s="19" t="n">
        <v>20.44</v>
      </c>
      <c r="G1338" s="16" t="n">
        <v>45883</v>
      </c>
      <c r="H1338" s="19" t="n">
        <v>2.499</v>
      </c>
      <c r="J1338" s="16" t="n">
        <v>45883</v>
      </c>
      <c r="K1338" s="19" t="n">
        <v>1.712</v>
      </c>
      <c r="M1338" s="16" t="n">
        <v>44392</v>
      </c>
      <c r="N1338" s="19" t="n">
        <v>131701</v>
      </c>
    </row>
    <row r="1339">
      <c r="A1339" s="16" t="n">
        <v>44391</v>
      </c>
      <c r="B1339" s="19" t="n">
        <v>1770.88</v>
      </c>
      <c r="D1339" s="16" t="n">
        <v>44389</v>
      </c>
      <c r="E1339" s="19" t="n">
        <v>20.63</v>
      </c>
      <c r="G1339" s="16" t="n">
        <v>45887</v>
      </c>
      <c r="H1339" s="19" t="n">
        <v>2.522</v>
      </c>
      <c r="J1339" s="16" t="n">
        <v>45887</v>
      </c>
      <c r="K1339" s="19" t="n">
        <v>1.739</v>
      </c>
      <c r="M1339" s="16" t="n">
        <v>44391</v>
      </c>
      <c r="N1339" s="19" t="n">
        <v>132196</v>
      </c>
    </row>
    <row r="1340">
      <c r="A1340" s="16" t="n">
        <v>44390</v>
      </c>
      <c r="B1340" s="19" t="n">
        <v>1783.61</v>
      </c>
      <c r="D1340" s="16" t="n">
        <v>44386</v>
      </c>
      <c r="E1340" s="19" t="n">
        <v>20.41</v>
      </c>
      <c r="G1340" s="16" t="n">
        <v>45888</v>
      </c>
      <c r="H1340" s="19" t="n">
        <v>2.552</v>
      </c>
      <c r="J1340" s="16" t="n">
        <v>45888</v>
      </c>
      <c r="K1340" s="19" t="n">
        <v>1.73</v>
      </c>
      <c r="M1340" s="16" t="n">
        <v>44390</v>
      </c>
      <c r="N1340" s="19" t="n">
        <v>133130</v>
      </c>
    </row>
    <row r="1341">
      <c r="A1341" s="16" t="n">
        <v>44389</v>
      </c>
      <c r="B1341" s="19" t="n">
        <v>1785.57</v>
      </c>
      <c r="D1341" s="16" t="n">
        <v>44385</v>
      </c>
      <c r="E1341" s="19" t="n">
        <v>24.42</v>
      </c>
      <c r="G1341" s="16" t="n">
        <v>45889</v>
      </c>
      <c r="H1341" s="19" t="n">
        <v>2.625</v>
      </c>
      <c r="J1341" s="16" t="n">
        <v>45889</v>
      </c>
      <c r="K1341" s="19" t="n">
        <v>1.769</v>
      </c>
      <c r="M1341" s="16" t="n">
        <v>44389</v>
      </c>
      <c r="N1341" s="19" t="n">
        <v>132886</v>
      </c>
    </row>
    <row r="1342">
      <c r="A1342" s="16" t="n">
        <v>44386</v>
      </c>
      <c r="B1342" s="19" t="n">
        <v>1779.07</v>
      </c>
      <c r="D1342" s="16" t="n">
        <v>44384</v>
      </c>
      <c r="E1342" s="19" t="n">
        <v>24.23</v>
      </c>
      <c r="G1342" s="16" t="n">
        <v>45890</v>
      </c>
      <c r="H1342" s="19" t="n">
        <v>2.707</v>
      </c>
      <c r="J1342" s="16" t="n">
        <v>45890</v>
      </c>
      <c r="K1342" s="19" t="n">
        <v>1.781</v>
      </c>
      <c r="M1342" s="16" t="n">
        <v>44386</v>
      </c>
      <c r="N1342" s="19" t="n">
        <v>132912</v>
      </c>
    </row>
    <row r="1343">
      <c r="A1343" s="16" t="n">
        <v>44385</v>
      </c>
      <c r="B1343" s="19" t="n">
        <v>1745.19</v>
      </c>
      <c r="D1343" s="16" t="n">
        <v>44383</v>
      </c>
      <c r="E1343" s="19" t="n">
        <v>25.31</v>
      </c>
      <c r="G1343" s="16" t="n">
        <v>45891</v>
      </c>
      <c r="H1343" s="19" t="n">
        <v>2.749</v>
      </c>
      <c r="J1343" s="16" t="n">
        <v>45891</v>
      </c>
      <c r="K1343" s="19" t="n">
        <v>1.824</v>
      </c>
      <c r="M1343" s="16" t="n">
        <v>44385</v>
      </c>
      <c r="N1343" s="19" t="n">
        <v>131642</v>
      </c>
    </row>
    <row r="1344">
      <c r="A1344" s="16" t="n">
        <v>44384</v>
      </c>
      <c r="B1344" s="19" t="n">
        <v>1740.78</v>
      </c>
      <c r="D1344" s="16" t="n">
        <v>44382</v>
      </c>
      <c r="E1344" s="19" t="n">
        <v>23.08</v>
      </c>
      <c r="G1344" s="16" t="n">
        <v>45894</v>
      </c>
      <c r="H1344" s="19" t="n">
        <v>2.781</v>
      </c>
      <c r="J1344" s="16" t="n">
        <v>45894</v>
      </c>
      <c r="K1344" s="19" t="n">
        <v>1.825</v>
      </c>
      <c r="M1344" s="16" t="n">
        <v>44384</v>
      </c>
      <c r="N1344" s="19" t="n">
        <v>131746</v>
      </c>
    </row>
    <row r="1345">
      <c r="A1345" s="16" t="n">
        <v>44383</v>
      </c>
      <c r="B1345" s="19" t="n">
        <v>1731.63</v>
      </c>
      <c r="D1345" s="16" t="n">
        <v>44379</v>
      </c>
      <c r="E1345" s="19" t="n">
        <v>22.89</v>
      </c>
      <c r="G1345" s="16" t="n">
        <v>45895</v>
      </c>
      <c r="H1345" s="19" t="n">
        <v>2.749</v>
      </c>
      <c r="J1345" s="16" t="n">
        <v>45895</v>
      </c>
      <c r="K1345" s="19" t="n">
        <v>1.822</v>
      </c>
      <c r="M1345" s="16" t="n">
        <v>44383</v>
      </c>
      <c r="N1345" s="19" t="n">
        <v>130237</v>
      </c>
    </row>
    <row r="1346">
      <c r="A1346" s="16" t="n">
        <v>44382</v>
      </c>
      <c r="B1346" s="19" t="n">
        <v>1765.78</v>
      </c>
      <c r="D1346" s="16" t="n">
        <v>44378</v>
      </c>
      <c r="E1346" s="19" t="n">
        <v>20.28</v>
      </c>
      <c r="G1346" s="16" t="n">
        <v>45896</v>
      </c>
      <c r="H1346" s="19" t="n">
        <v>2.801</v>
      </c>
      <c r="J1346" s="16" t="n">
        <v>45896</v>
      </c>
      <c r="K1346" s="19" t="n">
        <v>1.812</v>
      </c>
      <c r="M1346" s="16" t="n">
        <v>44382</v>
      </c>
      <c r="N1346" s="19" t="n">
        <v>130992</v>
      </c>
    </row>
    <row r="1347">
      <c r="A1347" s="16" t="n">
        <v>44379</v>
      </c>
      <c r="B1347" s="19" t="n">
        <v>1769.29</v>
      </c>
      <c r="D1347" s="16" t="n">
        <v>44377</v>
      </c>
      <c r="E1347" s="19" t="n">
        <v>22.74</v>
      </c>
      <c r="G1347" s="16" t="n">
        <v>45897</v>
      </c>
      <c r="H1347" s="19" t="n">
        <v>2.746</v>
      </c>
      <c r="J1347" s="16" t="n">
        <v>45897</v>
      </c>
      <c r="K1347" s="19" t="n">
        <v>1.802</v>
      </c>
      <c r="M1347" s="16" t="n">
        <v>44379</v>
      </c>
      <c r="N1347" s="19" t="n">
        <v>130921</v>
      </c>
    </row>
    <row r="1348">
      <c r="A1348" s="16" t="n">
        <v>44378</v>
      </c>
      <c r="B1348" s="19" t="n">
        <v>1797.76</v>
      </c>
      <c r="D1348" s="16" t="n">
        <v>44376</v>
      </c>
      <c r="E1348" s="19" t="n">
        <v>20.17</v>
      </c>
      <c r="G1348" s="16" t="n">
        <v>45898</v>
      </c>
      <c r="H1348" s="19" t="n">
        <v>2.821</v>
      </c>
      <c r="J1348" s="16" t="n">
        <v>45898</v>
      </c>
      <c r="K1348" s="19" t="n">
        <v>1.826</v>
      </c>
      <c r="M1348" s="16" t="n">
        <v>44378</v>
      </c>
      <c r="N1348" s="19" t="n">
        <v>132777</v>
      </c>
    </row>
    <row r="1349">
      <c r="A1349" s="16" t="n">
        <v>44377</v>
      </c>
      <c r="B1349" s="19" t="n">
        <v>1776.12</v>
      </c>
      <c r="D1349" s="16" t="n">
        <v>44375</v>
      </c>
      <c r="E1349" s="19" t="n">
        <v>20.57</v>
      </c>
      <c r="G1349" s="16" t="n">
        <v>45901</v>
      </c>
      <c r="H1349" s="19" t="n">
        <v>2.804</v>
      </c>
      <c r="J1349" s="16" t="n">
        <v>45901</v>
      </c>
      <c r="K1349" s="19" t="n">
        <v>1.837</v>
      </c>
      <c r="M1349" s="16" t="n">
        <v>44377</v>
      </c>
      <c r="N1349" s="19" t="n">
        <v>132248</v>
      </c>
    </row>
    <row r="1350">
      <c r="A1350" s="16" t="n">
        <v>44376</v>
      </c>
      <c r="B1350" s="19" t="n">
        <v>1801.87</v>
      </c>
      <c r="D1350" s="16" t="n">
        <v>44372</v>
      </c>
      <c r="E1350" s="19" t="n">
        <v>21.84</v>
      </c>
      <c r="G1350" s="16" t="n">
        <v>45902</v>
      </c>
      <c r="H1350" s="19" t="n">
        <v>2.75</v>
      </c>
      <c r="J1350" s="16" t="n">
        <v>45902</v>
      </c>
      <c r="K1350" s="19" t="n">
        <v>1.787</v>
      </c>
      <c r="M1350" s="16" t="n">
        <v>44376</v>
      </c>
      <c r="N1350" s="19" t="n">
        <v>133322</v>
      </c>
    </row>
    <row r="1351">
      <c r="A1351" s="16" t="n">
        <v>44375</v>
      </c>
      <c r="B1351" s="19" t="n">
        <v>1800.06</v>
      </c>
      <c r="D1351" s="16" t="n">
        <v>44371</v>
      </c>
      <c r="E1351" s="19" t="n">
        <v>22.76</v>
      </c>
      <c r="G1351" s="16" t="n">
        <v>45903</v>
      </c>
      <c r="H1351" s="19" t="n">
        <v>2.778</v>
      </c>
      <c r="J1351" s="16" t="n">
        <v>45903</v>
      </c>
      <c r="K1351" s="19" t="n">
        <v>1.754</v>
      </c>
      <c r="M1351" s="16" t="n">
        <v>44375</v>
      </c>
      <c r="N1351" s="19" t="n">
        <v>132823</v>
      </c>
    </row>
    <row r="1352">
      <c r="A1352" s="16" t="n">
        <v>44372</v>
      </c>
      <c r="B1352" s="19" t="n">
        <v>1777.05</v>
      </c>
      <c r="D1352" s="16" t="n">
        <v>44370</v>
      </c>
      <c r="E1352" s="19" t="n">
        <v>23.11</v>
      </c>
      <c r="G1352" s="16" t="n">
        <v>45904</v>
      </c>
      <c r="H1352" s="19" t="n">
        <v>2.767</v>
      </c>
      <c r="J1352" s="16" t="n">
        <v>45904</v>
      </c>
      <c r="K1352" s="19" t="n">
        <v>1.755</v>
      </c>
      <c r="M1352" s="16" t="n">
        <v>44372</v>
      </c>
      <c r="N1352" s="19" t="n">
        <v>132149</v>
      </c>
    </row>
    <row r="1353">
      <c r="A1353" s="16" t="n">
        <v>44371</v>
      </c>
      <c r="B1353" s="19" t="n">
        <v>1768.25</v>
      </c>
      <c r="D1353" s="16" t="n">
        <v>44369</v>
      </c>
      <c r="E1353" s="19" t="n">
        <v>22.98</v>
      </c>
      <c r="G1353" s="16" t="n">
        <v>45905</v>
      </c>
      <c r="H1353" s="19" t="n">
        <v>2.775</v>
      </c>
      <c r="J1353" s="16" t="n">
        <v>45905</v>
      </c>
      <c r="K1353" s="19" t="n">
        <v>1.762</v>
      </c>
      <c r="M1353" s="16" t="n">
        <v>44371</v>
      </c>
      <c r="N1353" s="19" t="n">
        <v>132623</v>
      </c>
    </row>
    <row r="1354">
      <c r="A1354" s="16" t="n">
        <v>44370</v>
      </c>
      <c r="B1354" s="19" t="n">
        <v>1785.03</v>
      </c>
      <c r="D1354" s="16" t="n">
        <v>44368</v>
      </c>
      <c r="E1354" s="19" t="n">
        <v>21.73</v>
      </c>
      <c r="G1354" s="16" t="n">
        <v>45908</v>
      </c>
      <c r="H1354" s="19" t="n">
        <v>2.728</v>
      </c>
      <c r="J1354" s="16" t="n">
        <v>45908</v>
      </c>
      <c r="K1354" s="19" t="n">
        <v>1.773</v>
      </c>
      <c r="M1354" s="16" t="n">
        <v>44370</v>
      </c>
      <c r="N1354" s="19" t="n">
        <v>133841</v>
      </c>
    </row>
    <row r="1355">
      <c r="A1355" s="16" t="n">
        <v>44369</v>
      </c>
      <c r="B1355" s="19" t="n">
        <v>1792.67</v>
      </c>
      <c r="D1355" s="16" t="n">
        <v>44365</v>
      </c>
      <c r="E1355" s="19" t="n">
        <v>20.87</v>
      </c>
      <c r="G1355" s="16" t="n">
        <v>45909</v>
      </c>
      <c r="H1355" s="19" t="n">
        <v>2.695</v>
      </c>
      <c r="J1355" s="16" t="n">
        <v>45909</v>
      </c>
      <c r="K1355" s="19" t="n">
        <v>1.782</v>
      </c>
      <c r="M1355" s="16" t="n">
        <v>44369</v>
      </c>
      <c r="N1355" s="19" t="n">
        <v>134599</v>
      </c>
    </row>
    <row r="1356">
      <c r="A1356" s="16" t="n">
        <v>44368</v>
      </c>
      <c r="B1356" s="19" t="n">
        <v>1803.46</v>
      </c>
      <c r="D1356" s="16" t="n">
        <v>44364</v>
      </c>
      <c r="E1356" s="19" t="n">
        <v>20.92</v>
      </c>
      <c r="G1356" s="16" t="n">
        <v>45910</v>
      </c>
      <c r="H1356" s="19" t="n">
        <v>2.713</v>
      </c>
      <c r="J1356" s="16" t="n">
        <v>45910</v>
      </c>
      <c r="K1356" s="19" t="n">
        <v>1.809</v>
      </c>
      <c r="M1356" s="16" t="n">
        <v>44368</v>
      </c>
      <c r="N1356" s="19" t="n">
        <v>134803</v>
      </c>
    </row>
    <row r="1357">
      <c r="A1357" s="16" t="n">
        <v>44365</v>
      </c>
      <c r="B1357" s="19" t="n">
        <v>1814.18</v>
      </c>
      <c r="D1357" s="16" t="n">
        <v>44363</v>
      </c>
      <c r="E1357" s="19" t="n">
        <v>20.8</v>
      </c>
      <c r="G1357" s="16" t="n">
        <v>45911</v>
      </c>
      <c r="H1357" s="19" t="n">
        <v>2.727</v>
      </c>
      <c r="J1357" s="16" t="n">
        <v>45911</v>
      </c>
      <c r="K1357" s="19" t="n">
        <v>1.847</v>
      </c>
      <c r="M1357" s="16" t="n">
        <v>44365</v>
      </c>
      <c r="N1357" s="19" t="n">
        <v>135702</v>
      </c>
    </row>
    <row r="1358">
      <c r="A1358" s="16" t="n">
        <v>44364</v>
      </c>
      <c r="B1358" s="19" t="n">
        <v>1811.2</v>
      </c>
      <c r="D1358" s="16" t="n">
        <v>44362</v>
      </c>
      <c r="E1358" s="19" t="n">
        <v>20.12</v>
      </c>
      <c r="G1358" s="16" t="n">
        <v>45912</v>
      </c>
      <c r="H1358" s="19" t="n">
        <v>2.729</v>
      </c>
      <c r="J1358" s="16" t="n">
        <v>45912</v>
      </c>
      <c r="K1358" s="19" t="n">
        <v>1.838</v>
      </c>
      <c r="M1358" s="16" t="n">
        <v>44364</v>
      </c>
      <c r="N1358" s="19" t="n">
        <v>135118</v>
      </c>
    </row>
    <row r="1359">
      <c r="A1359" s="16" t="n">
        <v>44363</v>
      </c>
      <c r="B1359" s="19" t="n">
        <v>1814.06</v>
      </c>
      <c r="D1359" s="16" t="n">
        <v>44361</v>
      </c>
      <c r="E1359" s="19" t="n">
        <v>20.65</v>
      </c>
      <c r="G1359" s="16" t="n">
        <v>45915</v>
      </c>
      <c r="H1359" s="19" t="n">
        <v>2.712</v>
      </c>
      <c r="J1359" s="16" t="n">
        <v>45915</v>
      </c>
      <c r="K1359" s="19" t="n">
        <v>1.817</v>
      </c>
      <c r="M1359" s="16" t="n">
        <v>44363</v>
      </c>
      <c r="N1359" s="19" t="n">
        <v>134202</v>
      </c>
    </row>
    <row r="1360">
      <c r="A1360" s="16" t="n">
        <v>44362</v>
      </c>
      <c r="B1360" s="19" t="n">
        <v>1817.89</v>
      </c>
      <c r="D1360" s="16" t="n">
        <v>44358</v>
      </c>
      <c r="E1360" s="19" t="n">
        <v>18.9</v>
      </c>
      <c r="G1360" s="16" t="n">
        <v>45916</v>
      </c>
      <c r="H1360" s="19" t="n">
        <v>2.672</v>
      </c>
      <c r="J1360" s="16" t="n">
        <v>45916</v>
      </c>
      <c r="K1360" s="19" t="n">
        <v>1.792</v>
      </c>
      <c r="M1360" s="16" t="n">
        <v>44362</v>
      </c>
      <c r="N1360" s="19" t="n">
        <v>135009</v>
      </c>
    </row>
    <row r="1361">
      <c r="A1361" s="16" t="n">
        <v>44361</v>
      </c>
      <c r="B1361" s="19" t="n">
        <v>1812.57</v>
      </c>
      <c r="D1361" s="16" t="n">
        <v>44357</v>
      </c>
      <c r="E1361" s="19" t="n">
        <v>18.55</v>
      </c>
      <c r="G1361" s="16" t="n">
        <v>45917</v>
      </c>
      <c r="H1361" s="19" t="n">
        <v>2.727</v>
      </c>
      <c r="J1361" s="16" t="n">
        <v>45917</v>
      </c>
      <c r="K1361" s="19" t="n">
        <v>1.8</v>
      </c>
      <c r="M1361" s="16" t="n">
        <v>44361</v>
      </c>
      <c r="N1361" s="19" t="n">
        <v>133930</v>
      </c>
    </row>
    <row r="1362">
      <c r="A1362" s="16" t="n">
        <v>44358</v>
      </c>
      <c r="B1362" s="19" t="n">
        <v>1837.07</v>
      </c>
      <c r="D1362" s="16" t="n">
        <v>44356</v>
      </c>
      <c r="E1362" s="19" t="n">
        <v>20.1</v>
      </c>
      <c r="G1362" s="16" t="n">
        <v>45918</v>
      </c>
      <c r="H1362" s="19" t="n">
        <v>2.796</v>
      </c>
      <c r="J1362" s="16" t="n">
        <v>45918</v>
      </c>
      <c r="K1362" s="19" t="n">
        <v>1.847</v>
      </c>
      <c r="M1362" s="16" t="n">
        <v>44358</v>
      </c>
      <c r="N1362" s="19" t="n">
        <v>135246</v>
      </c>
    </row>
    <row r="1363">
      <c r="A1363" s="16" t="n">
        <v>44357</v>
      </c>
      <c r="B1363" s="19" t="n">
        <v>1837.45</v>
      </c>
      <c r="D1363" s="16" t="n">
        <v>44355</v>
      </c>
      <c r="E1363" s="19" t="n">
        <v>19.16</v>
      </c>
      <c r="G1363" s="16" t="n">
        <v>45919</v>
      </c>
      <c r="H1363" s="19" t="n">
        <v>2.842</v>
      </c>
      <c r="J1363" s="16" t="n">
        <v>45919</v>
      </c>
      <c r="K1363" s="19" t="n">
        <v>1.84</v>
      </c>
      <c r="M1363" s="16" t="n">
        <v>44357</v>
      </c>
      <c r="N1363" s="19" t="n">
        <v>136059</v>
      </c>
    </row>
    <row r="1364">
      <c r="A1364" s="16" t="n">
        <v>44356</v>
      </c>
      <c r="B1364" s="19" t="n">
        <v>1830.34</v>
      </c>
      <c r="D1364" s="16" t="n">
        <v>44354</v>
      </c>
      <c r="E1364" s="19" t="n">
        <v>19.5</v>
      </c>
      <c r="G1364" s="16" t="n">
        <v>45922</v>
      </c>
      <c r="H1364" s="19" t="n">
        <v>2.835</v>
      </c>
      <c r="J1364" s="16" t="n">
        <v>45922</v>
      </c>
      <c r="K1364" s="19" t="n">
        <v>1.853</v>
      </c>
      <c r="M1364" s="16" t="n">
        <v>44356</v>
      </c>
      <c r="N1364" s="19" t="n">
        <v>135116</v>
      </c>
    </row>
    <row r="1365">
      <c r="A1365" s="16" t="n">
        <v>44355</v>
      </c>
      <c r="B1365" s="19" t="n">
        <v>1851.49</v>
      </c>
      <c r="D1365" s="16" t="n">
        <v>44351</v>
      </c>
      <c r="E1365" s="19" t="n">
        <v>20.03</v>
      </c>
      <c r="G1365" s="16" t="n">
        <v>45923</v>
      </c>
      <c r="H1365" s="19" t="n">
        <v>2.861</v>
      </c>
      <c r="J1365" s="16" t="n">
        <v>45923</v>
      </c>
      <c r="K1365" s="19" t="n">
        <v>1.86</v>
      </c>
      <c r="M1365" s="16" t="n">
        <v>44355</v>
      </c>
      <c r="N1365" s="19" t="n">
        <v>136312</v>
      </c>
    </row>
    <row r="1366">
      <c r="A1366" s="16" t="n">
        <v>44354</v>
      </c>
      <c r="B1366" s="19" t="n">
        <v>1854.64</v>
      </c>
      <c r="D1366" s="16" t="n">
        <v>44350</v>
      </c>
      <c r="E1366" s="19" t="n">
        <v>20</v>
      </c>
      <c r="G1366" s="16" t="n">
        <v>45924</v>
      </c>
      <c r="H1366" s="19" t="n">
        <v>2.872</v>
      </c>
      <c r="J1366" s="16" t="n">
        <v>45924</v>
      </c>
      <c r="K1366" s="19" t="n">
        <v>1.842</v>
      </c>
      <c r="M1366" s="16" t="n">
        <v>44354</v>
      </c>
      <c r="N1366" s="19" t="n">
        <v>136681</v>
      </c>
    </row>
    <row r="1367">
      <c r="A1367" s="16" t="n">
        <v>44351</v>
      </c>
      <c r="B1367" s="19" t="n">
        <v>1843.79</v>
      </c>
      <c r="D1367" s="16" t="n">
        <v>44349</v>
      </c>
      <c r="E1367" s="19" t="n">
        <v>19.67</v>
      </c>
      <c r="G1367" s="16" t="n">
        <v>45925</v>
      </c>
      <c r="H1367" s="19" t="n">
        <v>2.867</v>
      </c>
      <c r="J1367" s="16" t="n">
        <v>45925</v>
      </c>
      <c r="K1367" s="19" t="n">
        <v>1.836</v>
      </c>
      <c r="M1367" s="16" t="n">
        <v>44351</v>
      </c>
      <c r="N1367" s="19" t="n">
        <v>136209</v>
      </c>
    </row>
    <row r="1368">
      <c r="A1368" s="16" t="n">
        <v>44350</v>
      </c>
      <c r="B1368" s="19" t="n">
        <v>1855.37</v>
      </c>
      <c r="D1368" s="16" t="n">
        <v>44348</v>
      </c>
      <c r="E1368" s="19" t="n">
        <v>19.12</v>
      </c>
      <c r="G1368" s="16" t="n">
        <v>45926</v>
      </c>
      <c r="H1368" s="19" t="n">
        <v>2.791</v>
      </c>
      <c r="J1368" s="16" t="n">
        <v>45926</v>
      </c>
      <c r="K1368" s="19" t="n">
        <v>1.846</v>
      </c>
      <c r="M1368" s="16" t="n">
        <v>44350</v>
      </c>
      <c r="N1368" s="19" t="n">
        <v>136808</v>
      </c>
    </row>
    <row r="1369">
      <c r="A1369" s="16" t="n">
        <v>44349</v>
      </c>
      <c r="B1369" s="19" t="n">
        <v>1866.56</v>
      </c>
      <c r="D1369" s="16" t="n">
        <v>44347</v>
      </c>
      <c r="E1369" s="19" t="n">
        <v>18.78</v>
      </c>
      <c r="G1369" s="16" t="n">
        <v>45929</v>
      </c>
      <c r="H1369" s="19" t="n">
        <v>2.807</v>
      </c>
      <c r="J1369" s="16" t="n">
        <v>45929</v>
      </c>
      <c r="K1369" s="19" t="n">
        <v>1.83</v>
      </c>
      <c r="M1369" s="16" t="n">
        <v>44349</v>
      </c>
      <c r="N1369" s="19" t="n">
        <v>138046</v>
      </c>
    </row>
    <row r="1370">
      <c r="A1370" s="16" t="n">
        <v>44348</v>
      </c>
      <c r="B1370" s="19" t="n">
        <v>1862.84</v>
      </c>
      <c r="D1370" s="16" t="n">
        <v>44344</v>
      </c>
      <c r="E1370" s="19" t="n">
        <v>17.87</v>
      </c>
      <c r="G1370" s="16" t="n">
        <v>45930</v>
      </c>
      <c r="H1370" s="19" t="n">
        <v>2.876</v>
      </c>
      <c r="J1370" s="16" t="n">
        <v>45930</v>
      </c>
      <c r="K1370" s="19" t="n">
        <v>1.861</v>
      </c>
      <c r="M1370" s="16" t="n">
        <v>44348</v>
      </c>
      <c r="N1370" s="19" t="n">
        <v>137099</v>
      </c>
    </row>
    <row r="1371">
      <c r="A1371" s="16" t="n">
        <v>44347</v>
      </c>
      <c r="B1371" s="19" t="n">
        <v>1868.18</v>
      </c>
      <c r="D1371" s="16" t="n">
        <v>44343</v>
      </c>
      <c r="E1371" s="19" t="n">
        <v>15.52</v>
      </c>
      <c r="G1371" s="16" t="n">
        <v>45931</v>
      </c>
      <c r="H1371" s="19" t="n">
        <v>2.859</v>
      </c>
      <c r="J1371" s="16" t="n">
        <v>45931</v>
      </c>
      <c r="K1371" s="19" t="n">
        <v>1.827</v>
      </c>
      <c r="M1371" s="16" t="n">
        <v>44347</v>
      </c>
      <c r="N1371" s="19" t="n">
        <v>136911</v>
      </c>
    </row>
    <row r="1372">
      <c r="A1372" s="16" t="n">
        <v>44344</v>
      </c>
      <c r="B1372" s="19" t="n">
        <v>1873.53</v>
      </c>
      <c r="D1372" s="16" t="n">
        <v>44342</v>
      </c>
      <c r="E1372" s="19" t="n">
        <v>15.12</v>
      </c>
      <c r="G1372" s="16" t="n">
        <v>45932</v>
      </c>
      <c r="H1372" s="19" t="n">
        <v>2.913</v>
      </c>
      <c r="J1372" s="16" t="n">
        <v>45932</v>
      </c>
      <c r="K1372" s="19" t="n">
        <v>1.87</v>
      </c>
      <c r="M1372" s="16" t="n">
        <v>44344</v>
      </c>
      <c r="N1372" s="19" t="n">
        <v>137196</v>
      </c>
    </row>
    <row r="1373">
      <c r="A1373" s="16" t="n">
        <v>44343</v>
      </c>
      <c r="B1373" s="19" t="n">
        <v>1913.69</v>
      </c>
      <c r="D1373" s="16" t="n">
        <v>44341</v>
      </c>
      <c r="E1373" s="19" t="n">
        <v>15.85</v>
      </c>
      <c r="G1373" s="16" t="n">
        <v>45936</v>
      </c>
      <c r="H1373" s="19" t="n">
        <v>2.964</v>
      </c>
      <c r="J1373" s="16" t="n">
        <v>45936</v>
      </c>
      <c r="K1373" s="19" t="n">
        <v>1.876</v>
      </c>
      <c r="M1373" s="16" t="n">
        <v>44343</v>
      </c>
      <c r="N1373" s="19" t="n">
        <v>139311</v>
      </c>
    </row>
    <row r="1374">
      <c r="A1374" s="16" t="n">
        <v>44342</v>
      </c>
      <c r="B1374" s="19" t="n">
        <v>1917.41</v>
      </c>
      <c r="D1374" s="16" t="n">
        <v>44340</v>
      </c>
      <c r="E1374" s="19" t="n">
        <v>15.3</v>
      </c>
      <c r="G1374" s="16" t="n">
        <v>45937</v>
      </c>
      <c r="H1374" s="19" t="n">
        <v>2.92</v>
      </c>
      <c r="J1374" s="16" t="n">
        <v>45937</v>
      </c>
      <c r="K1374" s="19" t="n">
        <v>1.818</v>
      </c>
      <c r="M1374" s="16" t="n">
        <v>44342</v>
      </c>
      <c r="N1374" s="19" t="n">
        <v>138505</v>
      </c>
    </row>
    <row r="1375">
      <c r="A1375" s="16" t="n">
        <v>44341</v>
      </c>
      <c r="B1375" s="19" t="n">
        <v>1900.03</v>
      </c>
      <c r="D1375" s="16" t="n">
        <v>44337</v>
      </c>
      <c r="E1375" s="19" t="n">
        <v>14.78</v>
      </c>
      <c r="G1375" s="16" t="n">
        <v>45938</v>
      </c>
      <c r="H1375" s="19" t="n">
        <v>2.893</v>
      </c>
      <c r="J1375" s="16" t="n">
        <v>45938</v>
      </c>
      <c r="K1375" s="19" t="n">
        <v>1.78</v>
      </c>
      <c r="M1375" s="16" t="n">
        <v>44341</v>
      </c>
      <c r="N1375" s="19" t="n">
        <v>138290</v>
      </c>
    </row>
    <row r="1376">
      <c r="A1376" s="16" t="n">
        <v>44340</v>
      </c>
      <c r="B1376" s="19" t="n">
        <v>1918.22</v>
      </c>
      <c r="D1376" s="16" t="n">
        <v>44336</v>
      </c>
      <c r="E1376" s="19" t="n">
        <v>16.17</v>
      </c>
      <c r="G1376" s="16" t="n">
        <v>45940</v>
      </c>
      <c r="H1376" s="19" t="n">
        <v>2.923</v>
      </c>
      <c r="J1376" s="16" t="n">
        <v>45940</v>
      </c>
      <c r="K1376" s="19" t="n">
        <v>1.8</v>
      </c>
      <c r="M1376" s="16" t="n">
        <v>44340</v>
      </c>
      <c r="N1376" s="19" t="n">
        <v>139133</v>
      </c>
    </row>
    <row r="1377">
      <c r="A1377" s="16" t="n">
        <v>44337</v>
      </c>
      <c r="B1377" s="19" t="n">
        <v>1934.58</v>
      </c>
      <c r="D1377" s="16" t="n">
        <v>44335</v>
      </c>
      <c r="E1377" s="19" t="n">
        <v>14.34</v>
      </c>
      <c r="G1377" s="16" t="n">
        <v>45943</v>
      </c>
      <c r="H1377" s="19" t="n">
        <v>2.971</v>
      </c>
      <c r="J1377" s="16" t="n">
        <v>45943</v>
      </c>
      <c r="K1377" s="19" t="n">
        <v>1.82</v>
      </c>
      <c r="M1377" s="16" t="n">
        <v>44337</v>
      </c>
      <c r="N1377" s="19" t="n">
        <v>140420</v>
      </c>
    </row>
    <row r="1378">
      <c r="A1378" s="16" t="n">
        <v>44336</v>
      </c>
      <c r="B1378" s="19" t="n">
        <v>1922.59</v>
      </c>
      <c r="D1378" s="16" t="n">
        <v>44334</v>
      </c>
      <c r="E1378" s="19" t="n">
        <v>15.03</v>
      </c>
      <c r="G1378" s="16" t="n">
        <v>45944</v>
      </c>
      <c r="H1378" s="19" t="n">
        <v>2.993</v>
      </c>
      <c r="J1378" s="16" t="n">
        <v>45944</v>
      </c>
      <c r="K1378" s="19" t="n">
        <v>1.834</v>
      </c>
      <c r="M1378" s="16" t="n">
        <v>44336</v>
      </c>
      <c r="N1378" s="19" t="n">
        <v>139983</v>
      </c>
    </row>
    <row r="1379">
      <c r="A1379" s="16" t="n">
        <v>44335</v>
      </c>
      <c r="B1379" s="19" t="n">
        <v>1965.95</v>
      </c>
      <c r="D1379" s="16" t="n">
        <v>44333</v>
      </c>
      <c r="E1379" s="19" t="n">
        <v>13.82</v>
      </c>
      <c r="G1379" s="16" t="n">
        <v>45945</v>
      </c>
      <c r="H1379" s="19" t="n">
        <v>2.984</v>
      </c>
      <c r="J1379" s="16" t="n">
        <v>45945</v>
      </c>
      <c r="K1379" s="19" t="n">
        <v>1.837</v>
      </c>
      <c r="M1379" s="16" t="n">
        <v>44335</v>
      </c>
      <c r="N1379" s="19" t="n">
        <v>141477</v>
      </c>
    </row>
    <row r="1380">
      <c r="A1380" s="16" t="n">
        <v>44334</v>
      </c>
      <c r="B1380" s="19" t="n">
        <v>1935.13</v>
      </c>
      <c r="D1380" s="16" t="n">
        <v>44330</v>
      </c>
      <c r="E1380" s="19" t="n">
        <v>13.08</v>
      </c>
      <c r="G1380" s="16" t="n">
        <v>45946</v>
      </c>
      <c r="H1380" s="19" t="n">
        <v>2.977</v>
      </c>
      <c r="J1380" s="16" t="n">
        <v>45946</v>
      </c>
      <c r="K1380" s="19" t="n">
        <v>1.813</v>
      </c>
      <c r="M1380" s="16" t="n">
        <v>44334</v>
      </c>
      <c r="N1380" s="19" t="n">
        <v>140035</v>
      </c>
    </row>
    <row r="1381">
      <c r="A1381" s="16" t="n">
        <v>44333</v>
      </c>
      <c r="B1381" s="19" t="n">
        <v>1945.32</v>
      </c>
      <c r="D1381" s="16" t="n">
        <v>44329</v>
      </c>
      <c r="E1381" s="19" t="n">
        <v>13.1</v>
      </c>
      <c r="G1381" s="16" t="n">
        <v>45947</v>
      </c>
      <c r="H1381" s="19" t="n">
        <v>2.993</v>
      </c>
      <c r="J1381" s="16" t="n">
        <v>45947</v>
      </c>
      <c r="K1381" s="19" t="n">
        <v>1.804</v>
      </c>
      <c r="M1381" s="16" t="n">
        <v>44333</v>
      </c>
      <c r="N1381" s="19" t="n">
        <v>141632</v>
      </c>
    </row>
    <row r="1382">
      <c r="A1382" s="16" t="n">
        <v>44330</v>
      </c>
      <c r="B1382" s="19" t="n">
        <v>1947.73</v>
      </c>
      <c r="D1382" s="16" t="n">
        <v>44328</v>
      </c>
      <c r="E1382" s="19" t="n">
        <v>13.62</v>
      </c>
      <c r="G1382" s="16" t="n">
        <v>45950</v>
      </c>
      <c r="H1382" s="19" t="n">
        <v>2.927</v>
      </c>
      <c r="J1382" s="16" t="n">
        <v>45950</v>
      </c>
      <c r="K1382" s="19" t="n">
        <v>1.774</v>
      </c>
      <c r="M1382" s="16" t="n">
        <v>44330</v>
      </c>
      <c r="N1382" s="19" t="n">
        <v>141933</v>
      </c>
    </row>
    <row r="1383">
      <c r="A1383" s="16" t="n">
        <v>44329</v>
      </c>
      <c r="B1383" s="19" t="n">
        <v>1959.25</v>
      </c>
      <c r="D1383" s="16" t="n">
        <v>44327</v>
      </c>
      <c r="E1383" s="19" t="n">
        <v>11.88</v>
      </c>
      <c r="G1383" s="16" t="n">
        <v>45951</v>
      </c>
      <c r="H1383" s="19" t="n">
        <v>2.968</v>
      </c>
      <c r="J1383" s="16" t="n">
        <v>45951</v>
      </c>
      <c r="K1383" s="19" t="n">
        <v>1.782</v>
      </c>
      <c r="M1383" s="16" t="n">
        <v>44329</v>
      </c>
      <c r="N1383" s="19" t="n">
        <v>143464</v>
      </c>
    </row>
    <row r="1384">
      <c r="A1384" s="16" t="n">
        <v>44328</v>
      </c>
      <c r="B1384" s="19" t="n">
        <v>1935.63</v>
      </c>
      <c r="D1384" s="16" t="n">
        <v>44326</v>
      </c>
      <c r="E1384" s="19" t="n">
        <v>13.1</v>
      </c>
      <c r="G1384" s="16" t="n">
        <v>45952</v>
      </c>
      <c r="H1384" s="19" t="n">
        <v>3.021</v>
      </c>
      <c r="J1384" s="16" t="n">
        <v>45952</v>
      </c>
      <c r="K1384" s="19" t="n">
        <v>1.809</v>
      </c>
      <c r="M1384" s="16" t="n">
        <v>44328</v>
      </c>
      <c r="N1384" s="19" t="n">
        <v>142545</v>
      </c>
    </row>
    <row r="1385">
      <c r="A1385" s="16" t="n">
        <v>44327</v>
      </c>
      <c r="B1385" s="19" t="n">
        <v>1957.49</v>
      </c>
      <c r="D1385" s="16" t="n">
        <v>44323</v>
      </c>
      <c r="E1385" s="19" t="n">
        <v>11.43</v>
      </c>
      <c r="G1385" s="16" t="n">
        <v>45953</v>
      </c>
      <c r="H1385" s="19" t="n">
        <v>2.985</v>
      </c>
      <c r="J1385" s="16" t="n">
        <v>45953</v>
      </c>
      <c r="K1385" s="19" t="n">
        <v>1.802</v>
      </c>
      <c r="M1385" s="16" t="n">
        <v>44327</v>
      </c>
      <c r="N1385" s="19" t="n">
        <v>144165</v>
      </c>
    </row>
    <row r="1386">
      <c r="A1386" s="16" t="n">
        <v>44326</v>
      </c>
      <c r="B1386" s="19" t="n">
        <v>1925.43</v>
      </c>
      <c r="D1386" s="16" t="n">
        <v>44322</v>
      </c>
      <c r="E1386" s="19" t="n">
        <v>12.24</v>
      </c>
      <c r="G1386" s="16" t="n">
        <v>45954</v>
      </c>
      <c r="H1386" s="19" t="n">
        <v>2.964</v>
      </c>
      <c r="J1386" s="16" t="n">
        <v>45954</v>
      </c>
      <c r="K1386" s="19" t="n">
        <v>1.793</v>
      </c>
      <c r="M1386" s="16" t="n">
        <v>44326</v>
      </c>
      <c r="N1386" s="19" t="n">
        <v>142926</v>
      </c>
    </row>
    <row r="1387">
      <c r="A1387" s="16" t="n">
        <v>44323</v>
      </c>
      <c r="B1387" s="19" t="n">
        <v>1948.18</v>
      </c>
      <c r="D1387" s="16" t="n">
        <v>44320</v>
      </c>
      <c r="E1387" s="19" t="n">
        <v>10.83</v>
      </c>
      <c r="G1387" s="16" t="n">
        <v>45957</v>
      </c>
      <c r="H1387" s="19" t="n">
        <v>2.928</v>
      </c>
      <c r="J1387" s="16" t="n">
        <v>45957</v>
      </c>
      <c r="K1387" s="19" t="n">
        <v>1.767</v>
      </c>
      <c r="M1387" s="16" t="n">
        <v>44323</v>
      </c>
      <c r="N1387" s="19" t="n">
        <v>144027</v>
      </c>
    </row>
    <row r="1388">
      <c r="A1388" s="16" t="n">
        <v>44322</v>
      </c>
      <c r="B1388" s="19" t="n">
        <v>1951.84</v>
      </c>
      <c r="D1388" s="16" t="n">
        <v>44319</v>
      </c>
      <c r="E1388" s="19" t="n">
        <v>10.08</v>
      </c>
      <c r="G1388" s="16" t="n">
        <v>45958</v>
      </c>
      <c r="H1388" s="19" t="n">
        <v>2.95</v>
      </c>
      <c r="J1388" s="16" t="n">
        <v>45958</v>
      </c>
      <c r="K1388" s="19" t="n">
        <v>1.763</v>
      </c>
      <c r="M1388" s="16" t="n">
        <v>44322</v>
      </c>
      <c r="N1388" s="19" t="n">
        <v>143838</v>
      </c>
    </row>
    <row r="1389">
      <c r="A1389" s="16" t="n">
        <v>44320</v>
      </c>
      <c r="B1389" s="19" t="n">
        <v>1970.82</v>
      </c>
      <c r="D1389" s="16" t="n">
        <v>44316</v>
      </c>
      <c r="E1389" s="19" t="n">
        <v>10.62</v>
      </c>
      <c r="G1389" s="16" t="n">
        <v>45959</v>
      </c>
      <c r="H1389" s="19" t="n">
        <v>2.957</v>
      </c>
      <c r="J1389" s="16" t="n">
        <v>45959</v>
      </c>
      <c r="K1389" s="19" t="n">
        <v>1.772</v>
      </c>
      <c r="M1389" s="16" t="n">
        <v>44320</v>
      </c>
      <c r="N1389" s="19" t="n">
        <v>144140</v>
      </c>
    </row>
    <row r="1390">
      <c r="A1390" s="16" t="n">
        <v>44319</v>
      </c>
      <c r="B1390" s="19" t="n">
        <v>1991.28</v>
      </c>
      <c r="D1390" s="16" t="n">
        <v>44315</v>
      </c>
      <c r="E1390" s="19" t="n">
        <v>12.37</v>
      </c>
      <c r="G1390" s="16" t="n">
        <v>45960</v>
      </c>
      <c r="H1390" s="19" t="n">
        <v>2.996</v>
      </c>
      <c r="J1390" s="16" t="n">
        <v>45960</v>
      </c>
      <c r="K1390" s="19" t="n">
        <v>1.793</v>
      </c>
      <c r="M1390" s="16" t="n">
        <v>44319</v>
      </c>
      <c r="N1390" s="19" t="n">
        <v>145365</v>
      </c>
    </row>
    <row r="1391">
      <c r="A1391" s="16" t="n">
        <v>44316</v>
      </c>
      <c r="B1391" s="19" t="n">
        <v>1992.77</v>
      </c>
      <c r="D1391" s="16" t="n">
        <v>44314</v>
      </c>
      <c r="E1391" s="19" t="n">
        <v>11.37</v>
      </c>
      <c r="G1391" s="16" t="n">
        <v>45961</v>
      </c>
      <c r="H1391" s="19" t="n">
        <v>2.99</v>
      </c>
      <c r="J1391" s="16" t="n">
        <v>45961</v>
      </c>
      <c r="K1391" s="19" t="n">
        <v>1.761</v>
      </c>
      <c r="M1391" s="16" t="n">
        <v>44316</v>
      </c>
      <c r="N1391" s="19" t="n">
        <v>146039</v>
      </c>
    </row>
    <row r="1392">
      <c r="A1392" s="16" t="n">
        <v>44315</v>
      </c>
      <c r="B1392" s="19" t="n">
        <v>1972.83</v>
      </c>
      <c r="D1392" s="16" t="n">
        <v>44313</v>
      </c>
      <c r="E1392" s="19" t="n">
        <v>12.93</v>
      </c>
      <c r="G1392" s="16" t="n">
        <v>45964</v>
      </c>
      <c r="H1392" s="19" t="n">
        <v>2.991</v>
      </c>
      <c r="J1392" s="16" t="n">
        <v>45964</v>
      </c>
      <c r="K1392" s="19" t="n">
        <v>1.778</v>
      </c>
      <c r="M1392" s="16" t="n">
        <v>44315</v>
      </c>
      <c r="N1392" s="19" t="n">
        <v>145143</v>
      </c>
    </row>
    <row r="1393">
      <c r="A1393" s="16" t="n">
        <v>44314</v>
      </c>
      <c r="B1393" s="19" t="n">
        <v>1977.57</v>
      </c>
      <c r="D1393" s="16" t="n">
        <v>44312</v>
      </c>
      <c r="E1393" s="19" t="n">
        <v>16.52</v>
      </c>
      <c r="G1393" s="16" t="n">
        <v>45965</v>
      </c>
      <c r="H1393" s="19" t="n">
        <v>3.002</v>
      </c>
      <c r="J1393" s="16" t="n">
        <v>45965</v>
      </c>
      <c r="K1393" s="19" t="n">
        <v>1.76</v>
      </c>
      <c r="M1393" s="16" t="n">
        <v>44314</v>
      </c>
      <c r="N1393" s="19" t="n">
        <v>145366</v>
      </c>
    </row>
    <row r="1394">
      <c r="A1394" s="16" t="n">
        <v>44313</v>
      </c>
      <c r="B1394" s="19" t="n">
        <v>1956.41</v>
      </c>
      <c r="D1394" s="16" t="n">
        <v>44309</v>
      </c>
      <c r="E1394" s="19" t="n">
        <v>16.13</v>
      </c>
      <c r="G1394" s="16" t="n">
        <v>45966</v>
      </c>
      <c r="H1394" s="19" t="n">
        <v>2.937</v>
      </c>
      <c r="J1394" s="16" t="n">
        <v>45966</v>
      </c>
      <c r="K1394" s="19" t="n">
        <v>1.773</v>
      </c>
      <c r="M1394" s="16" t="n">
        <v>44313</v>
      </c>
      <c r="N1394" s="19" t="n">
        <v>144488</v>
      </c>
    </row>
    <row r="1395">
      <c r="A1395" s="16" t="n">
        <v>44312</v>
      </c>
      <c r="B1395" s="19" t="n">
        <v>1904.25</v>
      </c>
      <c r="D1395" s="16" t="n">
        <v>44308</v>
      </c>
      <c r="E1395" s="19" t="n">
        <v>16.56</v>
      </c>
      <c r="G1395" s="16" t="n">
        <v>45967</v>
      </c>
      <c r="H1395" s="19" t="n">
        <v>2.906</v>
      </c>
      <c r="J1395" s="16" t="n">
        <v>45967</v>
      </c>
      <c r="K1395" s="19" t="n">
        <v>1.746</v>
      </c>
      <c r="M1395" s="16" t="n">
        <v>44312</v>
      </c>
      <c r="N1395" s="19" t="n">
        <v>141833</v>
      </c>
    </row>
    <row r="1396">
      <c r="A1396" s="16" t="n">
        <v>44309</v>
      </c>
      <c r="B1396" s="19" t="n">
        <v>1914</v>
      </c>
      <c r="D1396" s="16" t="n">
        <v>44307</v>
      </c>
      <c r="E1396" s="19" t="n">
        <v>17.19</v>
      </c>
      <c r="G1396" s="16" t="n">
        <v>45968</v>
      </c>
      <c r="H1396" s="19" t="n">
        <v>2.857</v>
      </c>
      <c r="J1396" s="16" t="n">
        <v>45968</v>
      </c>
      <c r="K1396" s="19" t="n">
        <v>1.723</v>
      </c>
      <c r="M1396" s="16" t="n">
        <v>44309</v>
      </c>
      <c r="N1396" s="19" t="n">
        <v>142677</v>
      </c>
    </row>
    <row r="1397">
      <c r="A1397" s="16" t="n">
        <v>44308</v>
      </c>
      <c r="B1397" s="19" t="n">
        <v>1905.76</v>
      </c>
      <c r="D1397" s="16" t="n">
        <v>44306</v>
      </c>
      <c r="E1397" s="19" t="n">
        <v>17.13</v>
      </c>
      <c r="G1397" s="16" t="n">
        <v>45971</v>
      </c>
      <c r="H1397" s="19" t="n">
        <v>2.856</v>
      </c>
      <c r="J1397" s="16" t="n">
        <v>45971</v>
      </c>
      <c r="K1397" s="19" t="n">
        <v>1.717</v>
      </c>
      <c r="M1397" s="16" t="n">
        <v>44308</v>
      </c>
      <c r="N1397" s="19" t="n">
        <v>141766</v>
      </c>
    </row>
    <row r="1398">
      <c r="A1398" s="16" t="n">
        <v>44307</v>
      </c>
      <c r="B1398" s="19" t="n">
        <v>1894.18</v>
      </c>
      <c r="D1398" s="16" t="n">
        <v>44305</v>
      </c>
      <c r="E1398" s="19" t="n">
        <v>17.31</v>
      </c>
      <c r="G1398" s="16" t="n">
        <v>45972</v>
      </c>
      <c r="H1398" s="19" t="n">
        <v>2.854</v>
      </c>
      <c r="J1398" s="16" t="n">
        <v>45972</v>
      </c>
      <c r="K1398" s="19" t="n">
        <v>1.734</v>
      </c>
      <c r="M1398" s="16" t="n">
        <v>44307</v>
      </c>
      <c r="N1398" s="19" t="n">
        <v>141599</v>
      </c>
    </row>
    <row r="1399">
      <c r="A1399" s="16" t="n">
        <v>44306</v>
      </c>
      <c r="B1399" s="19" t="n">
        <v>1873.65</v>
      </c>
      <c r="D1399" s="16" t="n">
        <v>44302</v>
      </c>
      <c r="E1399" s="19" t="n">
        <v>20.31</v>
      </c>
      <c r="G1399" s="16" t="n">
        <v>45973</v>
      </c>
      <c r="H1399" s="19" t="n">
        <v>2.775</v>
      </c>
      <c r="J1399" s="16" t="n">
        <v>45973</v>
      </c>
      <c r="K1399" s="19" t="n">
        <v>1.71</v>
      </c>
      <c r="M1399" s="16" t="n">
        <v>44306</v>
      </c>
      <c r="N1399" s="19" t="n">
        <v>140168</v>
      </c>
    </row>
    <row r="1400">
      <c r="A1400" s="16" t="n">
        <v>44305</v>
      </c>
      <c r="B1400" s="19" t="n">
        <v>1863.45</v>
      </c>
      <c r="D1400" s="16" t="n">
        <v>44301</v>
      </c>
      <c r="E1400" s="19" t="n">
        <v>19.36</v>
      </c>
      <c r="G1400" s="16" t="n">
        <v>45974</v>
      </c>
      <c r="H1400" s="19" t="n">
        <v>2.736</v>
      </c>
      <c r="J1400" s="16" t="n">
        <v>45974</v>
      </c>
      <c r="K1400" s="19" t="n">
        <v>1.681</v>
      </c>
      <c r="M1400" s="16" t="n">
        <v>44305</v>
      </c>
      <c r="N1400" s="19" t="n">
        <v>139836</v>
      </c>
    </row>
    <row r="1401">
      <c r="A1401" s="16" t="n">
        <v>44302</v>
      </c>
      <c r="B1401" s="19" t="n">
        <v>1811.67</v>
      </c>
      <c r="D1401" s="16" t="n">
        <v>44300</v>
      </c>
      <c r="E1401" s="19" t="n">
        <v>19.34</v>
      </c>
      <c r="G1401" s="16" t="n">
        <v>45975</v>
      </c>
      <c r="H1401" s="19" t="n">
        <v>2.76</v>
      </c>
      <c r="J1401" s="16" t="n">
        <v>45975</v>
      </c>
      <c r="K1401" s="19" t="n">
        <v>1.712</v>
      </c>
      <c r="M1401" s="16" t="n">
        <v>44302</v>
      </c>
      <c r="N1401" s="19" t="n">
        <v>137548</v>
      </c>
    </row>
    <row r="1402">
      <c r="A1402" s="16" t="n">
        <v>44301</v>
      </c>
      <c r="B1402" s="19" t="n">
        <v>1839.92</v>
      </c>
      <c r="D1402" s="16" t="n">
        <v>44299</v>
      </c>
      <c r="E1402" s="19" t="n">
        <v>20.04</v>
      </c>
      <c r="G1402" s="16" t="n">
        <v>45978</v>
      </c>
      <c r="H1402" s="19" t="n">
        <v>2.745</v>
      </c>
      <c r="J1402" s="16" t="n">
        <v>45978</v>
      </c>
      <c r="K1402" s="19" t="n">
        <v>1.716</v>
      </c>
      <c r="M1402" s="16" t="n">
        <v>44301</v>
      </c>
      <c r="N1402" s="19" t="n">
        <v>138428</v>
      </c>
    </row>
    <row r="1403">
      <c r="A1403" s="16" t="n">
        <v>44300</v>
      </c>
      <c r="B1403" s="19" t="n">
        <v>1827.29</v>
      </c>
      <c r="D1403" s="16" t="n">
        <v>44298</v>
      </c>
      <c r="E1403" s="19" t="n">
        <v>21.1</v>
      </c>
      <c r="G1403" s="16" t="n">
        <v>45979</v>
      </c>
      <c r="H1403" s="19" t="n">
        <v>2.748</v>
      </c>
      <c r="J1403" s="16" t="n">
        <v>45979</v>
      </c>
      <c r="K1403" s="19" t="n">
        <v>1.686</v>
      </c>
      <c r="M1403" s="16" t="n">
        <v>44300</v>
      </c>
      <c r="N1403" s="19" t="n">
        <v>138732</v>
      </c>
    </row>
    <row r="1404">
      <c r="A1404" s="16" t="n">
        <v>44299</v>
      </c>
      <c r="B1404" s="19" t="n">
        <v>1805.66</v>
      </c>
      <c r="D1404" s="16" t="n">
        <v>44295</v>
      </c>
      <c r="E1404" s="19" t="n">
        <v>21.36</v>
      </c>
      <c r="G1404" s="16" t="n">
        <v>45980</v>
      </c>
      <c r="H1404" s="19" t="n">
        <v>2.808</v>
      </c>
      <c r="J1404" s="16" t="n">
        <v>45980</v>
      </c>
      <c r="K1404" s="19" t="n">
        <v>1.7</v>
      </c>
      <c r="M1404" s="16" t="n">
        <v>44299</v>
      </c>
      <c r="N1404" s="19" t="n">
        <v>138567</v>
      </c>
    </row>
    <row r="1405">
      <c r="A1405" s="16" t="n">
        <v>44298</v>
      </c>
      <c r="B1405" s="19" t="n">
        <v>1799.71</v>
      </c>
      <c r="D1405" s="16" t="n">
        <v>44294</v>
      </c>
      <c r="E1405" s="19" t="n">
        <v>21.85</v>
      </c>
      <c r="G1405" s="16" t="n">
        <v>45981</v>
      </c>
      <c r="H1405" s="19" t="n">
        <v>2.809</v>
      </c>
      <c r="J1405" s="16" t="n">
        <v>45981</v>
      </c>
      <c r="K1405" s="19" t="n">
        <v>1.668</v>
      </c>
      <c r="M1405" s="16" t="n">
        <v>44298</v>
      </c>
      <c r="N1405" s="19" t="n">
        <v>138390</v>
      </c>
    </row>
    <row r="1406">
      <c r="A1406" s="16" t="n">
        <v>44295</v>
      </c>
      <c r="B1406" s="19" t="n">
        <v>1803.19</v>
      </c>
      <c r="D1406" s="16" t="n">
        <v>44293</v>
      </c>
      <c r="E1406" s="19" t="n">
        <v>23.83</v>
      </c>
      <c r="G1406" s="16" t="n">
        <v>45982</v>
      </c>
      <c r="H1406" s="19" t="n">
        <v>2.797</v>
      </c>
      <c r="J1406" s="16" t="n">
        <v>45982</v>
      </c>
      <c r="K1406" s="19" t="n">
        <v>1.669</v>
      </c>
      <c r="M1406" s="16" t="n">
        <v>44295</v>
      </c>
      <c r="N1406" s="19" t="n">
        <v>138015</v>
      </c>
    </row>
    <row r="1407">
      <c r="A1407" s="16" t="n">
        <v>44294</v>
      </c>
      <c r="B1407" s="19" t="n">
        <v>1810.83</v>
      </c>
      <c r="D1407" s="16" t="n">
        <v>44292</v>
      </c>
      <c r="E1407" s="19" t="n">
        <v>24.89</v>
      </c>
      <c r="G1407" s="16" t="n">
        <v>45985</v>
      </c>
      <c r="H1407" s="19" t="n">
        <v>2.77</v>
      </c>
      <c r="J1407" s="16" t="n">
        <v>45985</v>
      </c>
      <c r="K1407" s="19" t="n">
        <v>1.651</v>
      </c>
      <c r="M1407" s="16" t="n">
        <v>44294</v>
      </c>
      <c r="N1407" s="19" t="n">
        <v>137499</v>
      </c>
    </row>
    <row r="1408">
      <c r="A1408" s="16" t="n">
        <v>44293</v>
      </c>
      <c r="B1408" s="19" t="n">
        <v>1784.66</v>
      </c>
      <c r="D1408" s="16" t="n">
        <v>44291</v>
      </c>
      <c r="E1408" s="19" t="n">
        <v>24.54</v>
      </c>
      <c r="G1408" s="16" t="n">
        <v>45986</v>
      </c>
      <c r="H1408" s="19" t="n">
        <v>2.731</v>
      </c>
      <c r="J1408" s="16" t="n">
        <v>45986</v>
      </c>
      <c r="K1408" s="19" t="n">
        <v>1.608</v>
      </c>
      <c r="M1408" s="16" t="n">
        <v>44293</v>
      </c>
      <c r="N1408" s="19" t="n">
        <v>135721</v>
      </c>
    </row>
    <row r="1409">
      <c r="A1409" s="16" t="n">
        <v>44292</v>
      </c>
      <c r="B1409" s="19" t="n">
        <v>1768.72</v>
      </c>
      <c r="D1409" s="16" t="n">
        <v>44288</v>
      </c>
      <c r="E1409" s="19" t="n">
        <v>25.37</v>
      </c>
      <c r="G1409" s="16" t="n">
        <v>45987</v>
      </c>
      <c r="H1409" s="19" t="n">
        <v>2.734</v>
      </c>
      <c r="J1409" s="16" t="n">
        <v>45987</v>
      </c>
      <c r="K1409" s="19" t="n">
        <v>1.594</v>
      </c>
      <c r="M1409" s="16" t="n">
        <v>44292</v>
      </c>
      <c r="N1409" s="19" t="n">
        <v>135087</v>
      </c>
    </row>
    <row r="1410">
      <c r="A1410" s="16" t="n">
        <v>44291</v>
      </c>
      <c r="B1410" s="19" t="n">
        <v>1763.78</v>
      </c>
      <c r="D1410" s="16" t="n">
        <v>44287</v>
      </c>
      <c r="E1410" s="19" t="n">
        <v>23</v>
      </c>
      <c r="G1410" s="16" t="n">
        <v>45988</v>
      </c>
      <c r="H1410" s="19" t="n">
        <v>2.677</v>
      </c>
      <c r="J1410" s="16" t="n">
        <v>45988</v>
      </c>
      <c r="K1410" s="19" t="n">
        <v>1.542</v>
      </c>
      <c r="M1410" s="16" t="n">
        <v>44291</v>
      </c>
      <c r="N1410" s="19" t="n">
        <v>135360</v>
      </c>
    </row>
    <row r="1411">
      <c r="A1411" s="16" t="n">
        <v>44288</v>
      </c>
      <c r="B1411" s="19" t="n">
        <v>1757.99</v>
      </c>
      <c r="D1411" s="16" t="n">
        <v>44286</v>
      </c>
      <c r="E1411" s="19" t="n">
        <v>23.16</v>
      </c>
      <c r="G1411" s="16" t="n">
        <v>45989</v>
      </c>
      <c r="H1411" s="19" t="n">
        <v>2.664</v>
      </c>
      <c r="J1411" s="16" t="n">
        <v>45989</v>
      </c>
      <c r="K1411" s="19" t="n">
        <v>1.503</v>
      </c>
      <c r="M1411" s="16" t="n">
        <v>44288</v>
      </c>
      <c r="N1411" s="19" t="n">
        <v>135067</v>
      </c>
    </row>
    <row r="1412">
      <c r="A1412" s="16" t="n">
        <v>44287</v>
      </c>
      <c r="B1412" s="19" t="n">
        <v>1791.98</v>
      </c>
      <c r="D1412" s="16" t="n">
        <v>44285</v>
      </c>
      <c r="E1412" s="19" t="n">
        <v>20.27</v>
      </c>
      <c r="G1412" s="16" t="n">
        <v>45992</v>
      </c>
      <c r="H1412" s="19" t="n">
        <v>2.685</v>
      </c>
      <c r="J1412" s="16" t="n">
        <v>45992</v>
      </c>
      <c r="K1412" s="19" t="n">
        <v>1.473</v>
      </c>
      <c r="M1412" s="16" t="n">
        <v>44287</v>
      </c>
      <c r="N1412" s="19" t="n">
        <v>136918</v>
      </c>
    </row>
    <row r="1413">
      <c r="A1413" s="16" t="n">
        <v>44286</v>
      </c>
      <c r="B1413" s="19" t="n">
        <v>1793.63</v>
      </c>
      <c r="D1413" s="16" t="n">
        <v>44284</v>
      </c>
      <c r="E1413" s="19" t="n">
        <v>21.05</v>
      </c>
      <c r="G1413" s="16" t="n">
        <v>45993</v>
      </c>
      <c r="H1413" s="19" t="n">
        <v>2.663</v>
      </c>
      <c r="J1413" s="16" t="n">
        <v>45993</v>
      </c>
      <c r="K1413" s="19" t="n">
        <v>1.469</v>
      </c>
      <c r="M1413" s="16" t="n">
        <v>44286</v>
      </c>
      <c r="N1413" s="19" t="n">
        <v>136929</v>
      </c>
    </row>
    <row r="1414">
      <c r="A1414" s="16" t="n">
        <v>44285</v>
      </c>
      <c r="B1414" s="19" t="n">
        <v>1853.41</v>
      </c>
      <c r="D1414" s="16" t="n">
        <v>44281</v>
      </c>
      <c r="E1414" s="19" t="n">
        <v>20.26</v>
      </c>
      <c r="G1414" s="16" t="n">
        <v>45994</v>
      </c>
      <c r="H1414" s="19" t="n">
        <v>2.671</v>
      </c>
      <c r="J1414" s="16" t="n">
        <v>45994</v>
      </c>
      <c r="K1414" s="19" t="n">
        <v>1.479</v>
      </c>
      <c r="M1414" s="16" t="n">
        <v>44285</v>
      </c>
      <c r="N1414" s="19" t="n">
        <v>139478</v>
      </c>
    </row>
    <row r="1415">
      <c r="A1415" s="16" t="n">
        <v>44284</v>
      </c>
      <c r="B1415" s="19" t="n">
        <v>1841.64</v>
      </c>
      <c r="D1415" s="16" t="n">
        <v>44280</v>
      </c>
      <c r="E1415" s="19" t="n">
        <v>18.83</v>
      </c>
      <c r="G1415" s="16" t="n">
        <v>45995</v>
      </c>
      <c r="H1415" s="19" t="n">
        <v>2.749</v>
      </c>
      <c r="J1415" s="16" t="n">
        <v>45995</v>
      </c>
      <c r="K1415" s="19" t="n">
        <v>1.494</v>
      </c>
      <c r="M1415" s="16" t="n">
        <v>44284</v>
      </c>
      <c r="N1415" s="19" t="n">
        <v>138753</v>
      </c>
    </row>
    <row r="1416">
      <c r="A1416" s="16" t="n">
        <v>44281</v>
      </c>
      <c r="B1416" s="19" t="n">
        <v>1863.37</v>
      </c>
      <c r="D1416" s="16" t="n">
        <v>44279</v>
      </c>
      <c r="E1416" s="19" t="n">
        <v>19.75</v>
      </c>
      <c r="G1416" s="16" t="n">
        <v>45996</v>
      </c>
      <c r="H1416" s="19" t="n">
        <v>2.707</v>
      </c>
      <c r="J1416" s="16" t="n">
        <v>45996</v>
      </c>
      <c r="K1416" s="19" t="n">
        <v>1.461</v>
      </c>
      <c r="M1416" s="16" t="n">
        <v>44281</v>
      </c>
      <c r="N1416" s="19" t="n">
        <v>139631</v>
      </c>
    </row>
    <row r="1417">
      <c r="A1417" s="16" t="n">
        <v>44280</v>
      </c>
      <c r="B1417" s="19" t="n">
        <v>1859.44</v>
      </c>
      <c r="D1417" s="16" t="n">
        <v>44278</v>
      </c>
      <c r="E1417" s="19" t="n">
        <v>21.8</v>
      </c>
      <c r="G1417" s="16" t="n">
        <v>45999</v>
      </c>
      <c r="H1417" s="19" t="n">
        <v>2.741</v>
      </c>
      <c r="J1417" s="16" t="n">
        <v>45999</v>
      </c>
      <c r="K1417" s="19" t="n">
        <v>1.469</v>
      </c>
      <c r="M1417" s="16" t="n">
        <v>44280</v>
      </c>
      <c r="N1417" s="19" t="n">
        <v>139483</v>
      </c>
    </row>
    <row r="1418">
      <c r="A1418" s="16" t="n">
        <v>44279</v>
      </c>
      <c r="B1418" s="19" t="n">
        <v>1848.75</v>
      </c>
      <c r="D1418" s="16" t="n">
        <v>44277</v>
      </c>
      <c r="E1418" s="19" t="n">
        <v>18.97</v>
      </c>
      <c r="G1418" s="16" t="n">
        <v>46000</v>
      </c>
      <c r="H1418" s="19" t="n">
        <v>2.707</v>
      </c>
      <c r="J1418" s="16" t="n">
        <v>46000</v>
      </c>
      <c r="K1418" s="19" t="n">
        <v>1.426</v>
      </c>
      <c r="M1418" s="16" t="n">
        <v>44279</v>
      </c>
      <c r="N1418" s="19" t="n">
        <v>138632</v>
      </c>
    </row>
    <row r="1419">
      <c r="A1419" s="16" t="n">
        <v>44278</v>
      </c>
      <c r="B1419" s="19" t="n">
        <v>1813.87</v>
      </c>
      <c r="D1419" s="16" t="n">
        <v>44274</v>
      </c>
      <c r="E1419" s="19" t="n">
        <v>18.01</v>
      </c>
      <c r="G1419" s="16" t="n">
        <v>46001</v>
      </c>
      <c r="H1419" s="19" t="n">
        <v>2.774</v>
      </c>
      <c r="J1419" s="16" t="n">
        <v>46001</v>
      </c>
      <c r="K1419" s="19" t="n">
        <v>1.417</v>
      </c>
      <c r="M1419" s="16" t="n">
        <v>44278</v>
      </c>
      <c r="N1419" s="19" t="n">
        <v>137189</v>
      </c>
    </row>
    <row r="1420">
      <c r="A1420" s="16" t="n">
        <v>44277</v>
      </c>
      <c r="B1420" s="19" t="n">
        <v>1864.59</v>
      </c>
      <c r="D1420" s="16" t="n">
        <v>44273</v>
      </c>
      <c r="E1420" s="19" t="n">
        <v>17.32</v>
      </c>
      <c r="G1420" s="16" t="n">
        <v>46002</v>
      </c>
      <c r="H1420" s="19" t="n">
        <v>2.729</v>
      </c>
      <c r="J1420" s="16" t="n">
        <v>46002</v>
      </c>
      <c r="K1420" s="19" t="n">
        <v>1.404</v>
      </c>
      <c r="M1420" s="16" t="n">
        <v>44277</v>
      </c>
      <c r="N1420" s="19" t="n">
        <v>140110</v>
      </c>
    </row>
    <row r="1421">
      <c r="A1421" s="16" t="n">
        <v>44274</v>
      </c>
      <c r="B1421" s="19" t="n">
        <v>1882.79</v>
      </c>
      <c r="D1421" s="16" t="n">
        <v>44272</v>
      </c>
      <c r="E1421" s="19" t="n">
        <v>16.46</v>
      </c>
      <c r="G1421" s="16" t="n">
        <v>46003</v>
      </c>
      <c r="H1421" s="19" t="n">
        <v>2.798</v>
      </c>
      <c r="J1421" s="16" t="n">
        <v>46003</v>
      </c>
      <c r="K1421" s="19" t="n">
        <v>1.444</v>
      </c>
      <c r="M1421" s="16" t="n">
        <v>44274</v>
      </c>
      <c r="N1421" s="19" t="n">
        <v>140879</v>
      </c>
    </row>
    <row r="1422">
      <c r="A1422" s="16" t="n">
        <v>44273</v>
      </c>
      <c r="B1422" s="19" t="n">
        <v>1900.25</v>
      </c>
      <c r="D1422" s="16" t="n">
        <v>44271</v>
      </c>
      <c r="E1422" s="19" t="n">
        <v>17.42</v>
      </c>
      <c r="G1422" s="16" t="n">
        <v>46006</v>
      </c>
      <c r="H1422" s="19" t="n">
        <v>2.702</v>
      </c>
      <c r="J1422" s="16" t="n">
        <v>46006</v>
      </c>
      <c r="K1422" s="19" t="n">
        <v>1.426</v>
      </c>
      <c r="M1422" s="16" t="n">
        <v>44273</v>
      </c>
      <c r="N1422" s="19" t="n">
        <v>141808</v>
      </c>
    </row>
    <row r="1423">
      <c r="A1423" s="16" t="n">
        <v>44272</v>
      </c>
      <c r="B1423" s="19" t="n">
        <v>1925.4</v>
      </c>
      <c r="D1423" s="16" t="n">
        <v>44266</v>
      </c>
      <c r="E1423" s="19" t="n">
        <v>15.37</v>
      </c>
      <c r="G1423" s="16" t="n">
        <v>46007</v>
      </c>
      <c r="H1423" s="19" t="n">
        <v>2.687</v>
      </c>
      <c r="J1423" s="16" t="n">
        <v>46007</v>
      </c>
      <c r="K1423" s="19" t="n">
        <v>1.43</v>
      </c>
      <c r="M1423" s="16" t="n">
        <v>44272</v>
      </c>
      <c r="N1423" s="19" t="n">
        <v>142185</v>
      </c>
    </row>
    <row r="1424">
      <c r="A1424" s="16" t="n">
        <v>44271</v>
      </c>
      <c r="B1424" s="19" t="n">
        <v>1925.56</v>
      </c>
      <c r="D1424" s="16" t="n">
        <v>44265</v>
      </c>
      <c r="E1424" s="19" t="n">
        <v>17.08</v>
      </c>
      <c r="G1424" s="16" t="n">
        <v>46008</v>
      </c>
      <c r="H1424" s="19" t="n">
        <v>2.763</v>
      </c>
      <c r="J1424" s="16" t="n">
        <v>46008</v>
      </c>
      <c r="K1424" s="19" t="n">
        <v>1.47</v>
      </c>
      <c r="M1424" s="16" t="n">
        <v>44271</v>
      </c>
      <c r="N1424" s="19" t="n">
        <v>142902</v>
      </c>
    </row>
    <row r="1425">
      <c r="A1425" s="16" t="n">
        <v>44270</v>
      </c>
      <c r="B1425" s="19" t="n">
        <v>1922.09</v>
      </c>
      <c r="D1425" s="16" t="n">
        <v>44264</v>
      </c>
      <c r="E1425" s="19" t="n">
        <v>16.38</v>
      </c>
      <c r="G1425" s="16" t="n">
        <v>46009</v>
      </c>
      <c r="H1425" s="19" t="n">
        <v>2.821</v>
      </c>
      <c r="J1425" s="16" t="n">
        <v>46009</v>
      </c>
      <c r="K1425" s="19" t="n">
        <v>1.452</v>
      </c>
      <c r="M1425" s="16" t="n">
        <v>44270</v>
      </c>
      <c r="N1425" s="19" t="n">
        <v>142811</v>
      </c>
    </row>
    <row r="1426">
      <c r="A1426" s="16" t="n">
        <v>44267</v>
      </c>
      <c r="B1426" s="19" t="n">
        <v>1883.88</v>
      </c>
      <c r="D1426" s="16" t="n">
        <v>44263</v>
      </c>
      <c r="E1426" s="19" t="n">
        <v>16.53</v>
      </c>
      <c r="G1426" s="16" t="n">
        <v>46010</v>
      </c>
      <c r="H1426" s="19" t="n">
        <v>2.837</v>
      </c>
      <c r="J1426" s="16" t="n">
        <v>46010</v>
      </c>
      <c r="K1426" s="19" t="n">
        <v>1.472</v>
      </c>
      <c r="M1426" s="16" t="n">
        <v>44267</v>
      </c>
      <c r="N1426" s="19" t="n">
        <v>141054</v>
      </c>
    </row>
    <row r="1427">
      <c r="A1427" s="16" t="n">
        <v>44266</v>
      </c>
      <c r="B1427" s="19" t="n">
        <v>1924.12</v>
      </c>
      <c r="D1427" s="16" t="n">
        <v>44260</v>
      </c>
      <c r="E1427" s="19" t="n">
        <v>15.49</v>
      </c>
      <c r="G1427" s="16" t="n">
        <v>46013</v>
      </c>
      <c r="H1427" s="19" t="n">
        <v>2.781</v>
      </c>
      <c r="J1427" s="16" t="n">
        <v>46013</v>
      </c>
      <c r="K1427" s="19" t="n">
        <v>1.458</v>
      </c>
      <c r="M1427" s="16" t="n">
        <v>44266</v>
      </c>
      <c r="N1427" s="19" t="n">
        <v>142234</v>
      </c>
    </row>
    <row r="1428">
      <c r="A1428" s="16" t="n">
        <v>44265</v>
      </c>
      <c r="B1428" s="19" t="n">
        <v>1890.45</v>
      </c>
      <c r="D1428" s="16" t="n">
        <v>44259</v>
      </c>
      <c r="E1428" s="19" t="n">
        <v>14.21</v>
      </c>
      <c r="G1428" s="16" t="n">
        <v>46014</v>
      </c>
      <c r="H1428" s="19" t="n">
        <v>2.772</v>
      </c>
      <c r="J1428" s="16" t="n">
        <v>46014</v>
      </c>
      <c r="K1428" s="19" t="n">
        <v>1.457</v>
      </c>
      <c r="M1428" s="16" t="n">
        <v>44265</v>
      </c>
      <c r="N1428" s="19" t="n">
        <v>141692</v>
      </c>
    </row>
    <row r="1429">
      <c r="A1429" s="16" t="n">
        <v>44264</v>
      </c>
      <c r="B1429" s="19" t="n">
        <v>1900.91</v>
      </c>
      <c r="D1429" s="16" t="n">
        <v>44258</v>
      </c>
      <c r="E1429" s="19" t="n">
        <v>15.69</v>
      </c>
      <c r="G1429" s="16" t="n">
        <v>46015</v>
      </c>
      <c r="H1429" s="19" t="n">
        <v>2.795</v>
      </c>
      <c r="J1429" s="16" t="n">
        <v>46015</v>
      </c>
      <c r="K1429" s="19" t="n">
        <v>1.457</v>
      </c>
      <c r="M1429" s="16" t="n">
        <v>44264</v>
      </c>
      <c r="N1429" s="19" t="n">
        <v>142641</v>
      </c>
    </row>
    <row r="1430">
      <c r="A1430" s="16" t="n">
        <v>44263</v>
      </c>
      <c r="B1430" s="19" t="n">
        <v>1887.68</v>
      </c>
      <c r="D1430" s="16" t="n">
        <v>44257</v>
      </c>
      <c r="E1430" s="19" t="n">
        <v>15.76</v>
      </c>
      <c r="G1430" s="16" t="n">
        <v>46017</v>
      </c>
      <c r="H1430" s="19" t="n">
        <v>2.8</v>
      </c>
      <c r="J1430" s="16" t="n">
        <v>46017</v>
      </c>
      <c r="K1430" s="19" t="n">
        <v>1.458</v>
      </c>
      <c r="M1430" s="16" t="n">
        <v>44263</v>
      </c>
      <c r="N1430" s="19" t="n">
        <v>142687</v>
      </c>
    </row>
    <row r="1431">
      <c r="A1431" s="16" t="n">
        <v>44260</v>
      </c>
      <c r="B1431" s="19" t="n">
        <v>1906.94</v>
      </c>
      <c r="D1431" s="16" t="n">
        <v>44253</v>
      </c>
      <c r="E1431" s="19" t="n">
        <v>14.03</v>
      </c>
      <c r="G1431" s="16" t="n">
        <v>46020</v>
      </c>
      <c r="H1431" s="19" t="n">
        <v>2.705</v>
      </c>
      <c r="J1431" s="16" t="n">
        <v>46020</v>
      </c>
      <c r="K1431" s="19" t="n">
        <v>1.398</v>
      </c>
      <c r="M1431" s="16" t="n">
        <v>44260</v>
      </c>
      <c r="N1431" s="19" t="n">
        <v>144195</v>
      </c>
    </row>
    <row r="1432">
      <c r="A1432" s="16" t="n">
        <v>44259</v>
      </c>
      <c r="B1432" s="19" t="n">
        <v>1912.24</v>
      </c>
      <c r="D1432" s="16" t="n">
        <v>44252</v>
      </c>
      <c r="E1432" s="19" t="n">
        <v>15.43</v>
      </c>
      <c r="G1432" s="16" t="n">
        <v>46021</v>
      </c>
      <c r="H1432" s="19" t="n">
        <v>2.69</v>
      </c>
      <c r="J1432" s="16" t="n">
        <v>46021</v>
      </c>
      <c r="K1432" s="19" t="n">
        <v>1.418</v>
      </c>
      <c r="M1432" s="16" t="n">
        <v>44259</v>
      </c>
      <c r="N1432" s="19" t="n">
        <v>145851</v>
      </c>
    </row>
    <row r="1433">
      <c r="A1433" s="16" t="n">
        <v>44258</v>
      </c>
      <c r="B1433" s="19" t="n">
        <v>1895.97</v>
      </c>
      <c r="D1433" s="16" t="n">
        <v>44251</v>
      </c>
      <c r="E1433" s="19" t="n">
        <v>15.79</v>
      </c>
      <c r="G1433" s="16" t="n">
        <v>46022</v>
      </c>
      <c r="H1433" s="19" t="n">
        <v>2.709</v>
      </c>
      <c r="J1433" s="16" t="n">
        <v>46022</v>
      </c>
      <c r="K1433" s="19" t="n">
        <v>1.416</v>
      </c>
      <c r="M1433" s="16" t="n">
        <v>44258</v>
      </c>
      <c r="N1433" s="19" t="n">
        <v>145379</v>
      </c>
    </row>
    <row r="1434">
      <c r="A1434" s="16" t="n">
        <v>44257</v>
      </c>
      <c r="B1434" s="19" t="n">
        <v>1892.85</v>
      </c>
      <c r="D1434" s="16" t="n">
        <v>44250</v>
      </c>
      <c r="E1434" s="19" t="n">
        <v>17.7</v>
      </c>
      <c r="G1434" s="16" t="n">
        <v>46024</v>
      </c>
      <c r="H1434" s="19" t="n">
        <v>2.746</v>
      </c>
      <c r="J1434" s="16" t="n">
        <v>46024</v>
      </c>
      <c r="K1434" s="19" t="n">
        <v>1.45</v>
      </c>
      <c r="M1434" s="16" t="n">
        <v>44257</v>
      </c>
      <c r="N1434" s="19" t="n">
        <v>145925</v>
      </c>
    </row>
    <row r="1435">
      <c r="A1435" s="16" t="n">
        <v>44253</v>
      </c>
      <c r="B1435" s="19" t="n">
        <v>1907.72</v>
      </c>
      <c r="D1435" s="16" t="n">
        <v>44249</v>
      </c>
      <c r="E1435" s="19" t="n">
        <v>17.32</v>
      </c>
      <c r="G1435" s="16" t="n">
        <v>46027</v>
      </c>
      <c r="H1435" s="19" t="n">
        <v>2.782</v>
      </c>
      <c r="J1435" s="16" t="n">
        <v>46027</v>
      </c>
      <c r="K1435" s="19" t="n">
        <v>1.48</v>
      </c>
      <c r="M1435" s="16" t="n">
        <v>44253</v>
      </c>
      <c r="N1435" s="19" t="n">
        <v>145899</v>
      </c>
    </row>
    <row r="1436">
      <c r="A1436" s="16" t="n">
        <v>44252</v>
      </c>
      <c r="B1436" s="19" t="n">
        <v>1884.75</v>
      </c>
      <c r="D1436" s="16" t="n">
        <v>44246</v>
      </c>
      <c r="E1436" s="19" t="n">
        <v>17.73</v>
      </c>
      <c r="G1436" s="16" t="n">
        <v>46028</v>
      </c>
      <c r="H1436" s="19" t="n">
        <v>2.773</v>
      </c>
      <c r="J1436" s="16" t="n">
        <v>46028</v>
      </c>
      <c r="K1436" s="19" t="n">
        <v>1.453</v>
      </c>
      <c r="M1436" s="16" t="n">
        <v>44252</v>
      </c>
      <c r="N1436" s="19" t="n">
        <v>146096</v>
      </c>
    </row>
    <row r="1437">
      <c r="A1437" s="16" t="n">
        <v>44251</v>
      </c>
      <c r="B1437" s="19" t="n">
        <v>1868.75</v>
      </c>
      <c r="D1437" s="16" t="n">
        <v>44245</v>
      </c>
      <c r="E1437" s="19" t="n">
        <v>16.79</v>
      </c>
      <c r="G1437" s="16" t="n">
        <v>46029</v>
      </c>
      <c r="H1437" s="19" t="n">
        <v>2.8</v>
      </c>
      <c r="J1437" s="16" t="n">
        <v>46029</v>
      </c>
      <c r="K1437" s="19" t="n">
        <v>1.449</v>
      </c>
      <c r="M1437" s="16" t="n">
        <v>44251</v>
      </c>
      <c r="N1437" s="19" t="n">
        <v>145092</v>
      </c>
    </row>
    <row r="1438">
      <c r="A1438" s="16" t="n">
        <v>44250</v>
      </c>
      <c r="B1438" s="19" t="n">
        <v>1838.93</v>
      </c>
      <c r="D1438" s="16" t="n">
        <v>44244</v>
      </c>
      <c r="E1438" s="19" t="n">
        <v>16.62</v>
      </c>
      <c r="G1438" s="16" t="n">
        <v>46030</v>
      </c>
      <c r="H1438" s="19" t="n">
        <v>2.816</v>
      </c>
      <c r="J1438" s="16" t="n">
        <v>46030</v>
      </c>
      <c r="K1438" s="19" t="n">
        <v>1.453</v>
      </c>
      <c r="M1438" s="16" t="n">
        <v>44250</v>
      </c>
      <c r="N1438" s="19" t="n">
        <v>144858</v>
      </c>
    </row>
    <row r="1439">
      <c r="A1439" s="16" t="n">
        <v>44249</v>
      </c>
      <c r="B1439" s="19" t="n">
        <v>1861.71</v>
      </c>
      <c r="D1439" s="16" t="n">
        <v>44243</v>
      </c>
      <c r="E1439" s="19" t="n">
        <v>15.24</v>
      </c>
      <c r="G1439" s="16" t="n">
        <v>46031</v>
      </c>
      <c r="H1439" s="19" t="n">
        <v>2.763</v>
      </c>
      <c r="J1439" s="16" t="n">
        <v>46031</v>
      </c>
      <c r="K1439" s="19" t="n">
        <v>1.436</v>
      </c>
      <c r="M1439" s="16" t="n">
        <v>44249</v>
      </c>
      <c r="N1439" s="19" t="n">
        <v>146200</v>
      </c>
    </row>
    <row r="1440">
      <c r="A1440" s="16" t="n">
        <v>44246</v>
      </c>
      <c r="B1440" s="19" t="n">
        <v>1852.32</v>
      </c>
      <c r="D1440" s="16" t="n">
        <v>44242</v>
      </c>
      <c r="E1440" s="19" t="n">
        <v>15.61</v>
      </c>
      <c r="G1440" s="16" t="n">
        <v>46034</v>
      </c>
      <c r="H1440" s="19" t="n">
        <v>2.754</v>
      </c>
      <c r="J1440" s="16" t="n">
        <v>46034</v>
      </c>
      <c r="K1440" s="19" t="n">
        <v>1.407</v>
      </c>
      <c r="M1440" s="16" t="n">
        <v>44246</v>
      </c>
      <c r="N1440" s="19" t="n">
        <v>146118</v>
      </c>
    </row>
    <row r="1441">
      <c r="A1441" s="16" t="n">
        <v>44245</v>
      </c>
      <c r="B1441" s="19" t="n">
        <v>1857.58</v>
      </c>
      <c r="D1441" s="16" t="n">
        <v>44239</v>
      </c>
      <c r="E1441" s="19" t="n">
        <v>15.94</v>
      </c>
      <c r="G1441" s="16" t="n">
        <v>46035</v>
      </c>
      <c r="H1441" s="19" t="n">
        <v>2.694</v>
      </c>
      <c r="J1441" s="16" t="n">
        <v>46035</v>
      </c>
      <c r="K1441" s="19" t="n">
        <v>1.379</v>
      </c>
      <c r="M1441" s="16" t="n">
        <v>44245</v>
      </c>
      <c r="N1441" s="19" t="n">
        <v>146871</v>
      </c>
    </row>
    <row r="1442">
      <c r="A1442" s="16" t="n">
        <v>44244</v>
      </c>
      <c r="B1442" s="19" t="n">
        <v>1844.72</v>
      </c>
      <c r="D1442" s="16" t="n">
        <v>44238</v>
      </c>
      <c r="E1442" s="19" t="n">
        <v>15.01</v>
      </c>
      <c r="G1442" s="16" t="n">
        <v>46036</v>
      </c>
      <c r="H1442" s="19" t="n">
        <v>2.638</v>
      </c>
      <c r="J1442" s="16" t="n">
        <v>46036</v>
      </c>
      <c r="K1442" s="19" t="n">
        <v>1.375</v>
      </c>
      <c r="M1442" s="16" t="n">
        <v>44244</v>
      </c>
      <c r="N1442" s="19" t="n">
        <v>146203</v>
      </c>
    </row>
    <row r="1443">
      <c r="A1443" s="16" t="n">
        <v>44243</v>
      </c>
      <c r="B1443" s="19" t="n">
        <v>1869.02</v>
      </c>
      <c r="D1443" s="16" t="n">
        <v>44237</v>
      </c>
      <c r="E1443" s="19" t="n">
        <v>15.5</v>
      </c>
      <c r="G1443" s="16" t="n">
        <v>46037</v>
      </c>
      <c r="H1443" s="19" t="n">
        <v>2.646</v>
      </c>
      <c r="J1443" s="16" t="n">
        <v>46037</v>
      </c>
      <c r="K1443" s="19" t="n">
        <v>1.369</v>
      </c>
      <c r="M1443" s="16" t="n">
        <v>44243</v>
      </c>
      <c r="N1443" s="19" t="n">
        <v>146885</v>
      </c>
    </row>
    <row r="1444">
      <c r="A1444" s="16" t="n">
        <v>44242</v>
      </c>
      <c r="B1444" s="19" t="n">
        <v>1854.31</v>
      </c>
      <c r="D1444" s="16" t="n">
        <v>44236</v>
      </c>
      <c r="E1444" s="19" t="n">
        <v>15.84</v>
      </c>
      <c r="G1444" s="16" t="n">
        <v>46038</v>
      </c>
      <c r="H1444" s="19" t="n">
        <v>2.648</v>
      </c>
      <c r="J1444" s="16" t="n">
        <v>46038</v>
      </c>
      <c r="K1444" s="19" t="n">
        <v>1.426</v>
      </c>
      <c r="M1444" s="16" t="n">
        <v>44242</v>
      </c>
      <c r="N1444" s="19" t="n">
        <v>147557</v>
      </c>
    </row>
    <row r="1445">
      <c r="A1445" s="16" t="n">
        <v>44239</v>
      </c>
      <c r="B1445" s="19" t="n">
        <v>1856.68</v>
      </c>
      <c r="D1445" s="16" t="n">
        <v>44235</v>
      </c>
      <c r="E1445" s="19" t="n">
        <v>16.96</v>
      </c>
      <c r="G1445" s="16" t="n">
        <v>46041</v>
      </c>
      <c r="H1445" s="19" t="n">
        <v>2.647</v>
      </c>
      <c r="J1445" s="16" t="n">
        <v>46041</v>
      </c>
      <c r="K1445" s="19" t="n">
        <v>1.444</v>
      </c>
      <c r="M1445" s="16" t="n">
        <v>44239</v>
      </c>
      <c r="N1445" s="19" t="n">
        <v>147402</v>
      </c>
    </row>
    <row r="1446">
      <c r="A1446" s="16" t="n">
        <v>44238</v>
      </c>
      <c r="B1446" s="19" t="n">
        <v>1864.93</v>
      </c>
      <c r="D1446" s="16" t="n">
        <v>44232</v>
      </c>
      <c r="E1446" s="19" t="n">
        <v>16.67</v>
      </c>
      <c r="G1446" s="16" t="n">
        <v>46042</v>
      </c>
      <c r="H1446" s="19" t="n">
        <v>2.593</v>
      </c>
      <c r="J1446" s="16" t="n">
        <v>46042</v>
      </c>
      <c r="K1446" s="19" t="n">
        <v>1.416</v>
      </c>
      <c r="M1446" s="16" t="n">
        <v>44238</v>
      </c>
      <c r="N1446" s="19" t="n">
        <v>148208</v>
      </c>
    </row>
    <row r="1447">
      <c r="A1447" s="16" t="n">
        <v>44237</v>
      </c>
      <c r="B1447" s="19" t="n">
        <v>1854.58</v>
      </c>
      <c r="D1447" s="16" t="n">
        <v>44231</v>
      </c>
      <c r="E1447" s="19" t="n">
        <v>18.05</v>
      </c>
      <c r="G1447" s="16" t="n">
        <v>46043</v>
      </c>
      <c r="H1447" s="19" t="n">
        <v>2.607</v>
      </c>
      <c r="J1447" s="16" t="n">
        <v>46043</v>
      </c>
      <c r="K1447" s="19" t="n">
        <v>1.399</v>
      </c>
      <c r="M1447" s="16" t="n">
        <v>44237</v>
      </c>
      <c r="N1447" s="19" t="n">
        <v>147672</v>
      </c>
    </row>
    <row r="1448">
      <c r="A1448" s="16" t="n">
        <v>44236</v>
      </c>
      <c r="B1448" s="19" t="n">
        <v>1838.98</v>
      </c>
      <c r="D1448" s="16" t="n">
        <v>44230</v>
      </c>
      <c r="E1448" s="19" t="n">
        <v>18.4</v>
      </c>
      <c r="G1448" s="16" t="n">
        <v>46044</v>
      </c>
      <c r="H1448" s="19" t="n">
        <v>2.606</v>
      </c>
      <c r="J1448" s="16" t="n">
        <v>46044</v>
      </c>
      <c r="K1448" s="19" t="n">
        <v>1.394</v>
      </c>
      <c r="M1448" s="16" t="n">
        <v>44236</v>
      </c>
      <c r="N1448" s="19" t="n">
        <v>146292</v>
      </c>
    </row>
    <row r="1449">
      <c r="A1449" s="16" t="n">
        <v>44235</v>
      </c>
      <c r="B1449" s="19" t="n">
        <v>1844.5</v>
      </c>
      <c r="D1449" s="16" t="n">
        <v>44229</v>
      </c>
      <c r="E1449" s="19" t="n">
        <v>19.75</v>
      </c>
      <c r="G1449" s="16" t="n">
        <v>46045</v>
      </c>
      <c r="H1449" s="19" t="n">
        <v>2.588</v>
      </c>
      <c r="J1449" s="16" t="n">
        <v>46045</v>
      </c>
      <c r="K1449" s="19" t="n">
        <v>1.37</v>
      </c>
      <c r="M1449" s="16" t="n">
        <v>44235</v>
      </c>
      <c r="N1449" s="19" t="n">
        <v>146438</v>
      </c>
    </row>
    <row r="1450">
      <c r="A1450" s="16" t="n">
        <v>44232</v>
      </c>
      <c r="B1450" s="19" t="n">
        <v>1857.09</v>
      </c>
      <c r="D1450" s="16" t="n">
        <v>44228</v>
      </c>
      <c r="E1450" s="19" t="n">
        <v>19.66</v>
      </c>
      <c r="G1450" s="16" t="n">
        <v>46048</v>
      </c>
      <c r="H1450" s="19" t="n">
        <v>2.54</v>
      </c>
      <c r="J1450" s="16" t="n">
        <v>46048</v>
      </c>
      <c r="K1450" s="19" t="n">
        <v>1.359</v>
      </c>
      <c r="M1450" s="16" t="n">
        <v>44232</v>
      </c>
      <c r="N1450" s="19" t="n">
        <v>147242</v>
      </c>
    </row>
    <row r="1451">
      <c r="A1451" s="16" t="n">
        <v>44231</v>
      </c>
      <c r="B1451" s="19" t="n">
        <v>1834.91</v>
      </c>
      <c r="D1451" s="16" t="n">
        <v>44225</v>
      </c>
      <c r="E1451" s="19" t="n">
        <v>18.4</v>
      </c>
      <c r="G1451" s="16" t="n">
        <v>46049</v>
      </c>
      <c r="H1451" s="19" t="n">
        <v>2.567</v>
      </c>
      <c r="J1451" s="16" t="n">
        <v>46049</v>
      </c>
      <c r="K1451" s="19" t="n">
        <v>1.391</v>
      </c>
      <c r="M1451" s="16" t="n">
        <v>44231</v>
      </c>
      <c r="N1451" s="19" t="n">
        <v>145544</v>
      </c>
    </row>
    <row r="1452">
      <c r="A1452" s="16" t="n">
        <v>44230</v>
      </c>
      <c r="B1452" s="19" t="n">
        <v>1825.95</v>
      </c>
      <c r="D1452" s="16" t="n">
        <v>44224</v>
      </c>
      <c r="E1452" s="19" t="n">
        <v>20.02</v>
      </c>
      <c r="G1452" s="16" t="n">
        <v>46050</v>
      </c>
      <c r="H1452" s="19" t="n">
        <v>2.586</v>
      </c>
      <c r="J1452" s="16" t="n">
        <v>46050</v>
      </c>
      <c r="K1452" s="19" t="n">
        <v>1.422</v>
      </c>
      <c r="M1452" s="16" t="n">
        <v>44230</v>
      </c>
      <c r="N1452" s="19" t="n">
        <v>145528</v>
      </c>
    </row>
    <row r="1453">
      <c r="A1453" s="16" t="n">
        <v>44229</v>
      </c>
      <c r="B1453" s="19" t="n">
        <v>1807.2</v>
      </c>
      <c r="D1453" s="16" t="n">
        <v>44223</v>
      </c>
      <c r="E1453" s="19" t="n">
        <v>18.8</v>
      </c>
      <c r="G1453" s="16" t="n">
        <v>46051</v>
      </c>
      <c r="H1453" s="19" t="n">
        <v>2.513</v>
      </c>
      <c r="J1453" s="16" t="n">
        <v>46051</v>
      </c>
      <c r="K1453" s="19" t="n">
        <v>1.404</v>
      </c>
      <c r="M1453" s="16" t="n">
        <v>44229</v>
      </c>
      <c r="N1453" s="19" t="n">
        <v>144130</v>
      </c>
    </row>
    <row r="1454">
      <c r="A1454" s="16" t="n">
        <v>44228</v>
      </c>
      <c r="B1454" s="19" t="n">
        <v>1814.66</v>
      </c>
      <c r="D1454" s="16" t="n">
        <v>44222</v>
      </c>
      <c r="E1454" s="19" t="n">
        <v>20.03</v>
      </c>
      <c r="G1454" s="16" t="n">
        <v>46052</v>
      </c>
      <c r="H1454" s="19" t="n">
        <v>2.493</v>
      </c>
      <c r="J1454" s="16" t="n">
        <v>46052</v>
      </c>
      <c r="K1454" s="19" t="n">
        <v>1.367</v>
      </c>
      <c r="M1454" s="16" t="n">
        <v>44228</v>
      </c>
      <c r="N1454" s="19" t="n">
        <v>144850</v>
      </c>
    </row>
    <row r="1455">
      <c r="A1455" s="16" t="n">
        <v>44225</v>
      </c>
      <c r="B1455" s="19" t="n">
        <v>1820.43</v>
      </c>
      <c r="D1455" s="16" t="n">
        <v>44221</v>
      </c>
      <c r="E1455" s="19" t="n">
        <v>20.12</v>
      </c>
      <c r="G1455" s="16" t="n">
        <v>46055</v>
      </c>
      <c r="H1455" s="19" t="n">
        <v>2.576</v>
      </c>
      <c r="J1455" s="16" t="n">
        <v>46055</v>
      </c>
      <c r="K1455" s="19" t="n">
        <v>1.404</v>
      </c>
      <c r="M1455" s="16" t="n">
        <v>44225</v>
      </c>
      <c r="N1455" s="19" t="n">
        <v>144800</v>
      </c>
    </row>
    <row r="1456">
      <c r="A1456" s="16" t="n">
        <v>44224</v>
      </c>
      <c r="B1456" s="19" t="n">
        <v>1789.27</v>
      </c>
      <c r="D1456" s="16" t="n">
        <v>44218</v>
      </c>
      <c r="E1456" s="19" t="n">
        <v>21.34</v>
      </c>
      <c r="G1456" s="16" t="n">
        <v>46056</v>
      </c>
      <c r="H1456" s="19" t="n">
        <v>2.52</v>
      </c>
      <c r="J1456" s="16" t="n">
        <v>46056</v>
      </c>
      <c r="K1456" s="19" t="n">
        <v>1.402</v>
      </c>
      <c r="M1456" s="16" t="n">
        <v>44224</v>
      </c>
      <c r="N1456" s="19" t="n">
        <v>143442</v>
      </c>
    </row>
    <row r="1457">
      <c r="A1457" s="16" t="n">
        <v>44223</v>
      </c>
      <c r="B1457" s="19" t="n">
        <v>1812.32</v>
      </c>
      <c r="D1457" s="16" t="n">
        <v>44217</v>
      </c>
      <c r="E1457" s="19" t="n">
        <v>21.85</v>
      </c>
      <c r="G1457" s="16" t="n">
        <v>46057</v>
      </c>
      <c r="H1457" s="19" t="n">
        <v>2.534</v>
      </c>
      <c r="J1457" s="16" t="n">
        <v>46057</v>
      </c>
      <c r="K1457" s="19" t="n">
        <v>1.4</v>
      </c>
      <c r="M1457" s="16" t="n">
        <v>44223</v>
      </c>
      <c r="N1457" s="19" t="n">
        <v>143637</v>
      </c>
    </row>
    <row r="1458">
      <c r="A1458" s="16" t="n">
        <v>44222</v>
      </c>
      <c r="B1458" s="19" t="n">
        <v>1784.27</v>
      </c>
      <c r="D1458" s="16" t="n">
        <v>44216</v>
      </c>
      <c r="E1458" s="19" t="n">
        <v>21.65</v>
      </c>
      <c r="G1458" s="16" t="n">
        <v>46058</v>
      </c>
      <c r="H1458" s="19" t="n">
        <v>2.56</v>
      </c>
      <c r="J1458" s="16" t="n">
        <v>46058</v>
      </c>
      <c r="K1458" s="19" t="n">
        <v>1.411</v>
      </c>
      <c r="M1458" s="16" t="n">
        <v>44222</v>
      </c>
      <c r="N1458" s="19" t="n">
        <v>142076</v>
      </c>
    </row>
    <row r="1459">
      <c r="A1459" s="16" t="n">
        <v>44221</v>
      </c>
      <c r="B1459" s="19" t="n">
        <v>1793.45</v>
      </c>
      <c r="D1459" s="16" t="n">
        <v>44215</v>
      </c>
      <c r="E1459" s="19" t="n">
        <v>19.29</v>
      </c>
      <c r="G1459" s="16" t="n">
        <v>46059</v>
      </c>
      <c r="H1459" s="19" t="n">
        <v>2.602</v>
      </c>
      <c r="J1459" s="16" t="n">
        <v>46059</v>
      </c>
      <c r="K1459" s="19" t="n">
        <v>1.46</v>
      </c>
      <c r="M1459" s="16" t="n">
        <v>44221</v>
      </c>
      <c r="N1459" s="19" t="n">
        <v>143491</v>
      </c>
    </row>
    <row r="1460">
      <c r="A1460" s="16" t="n">
        <v>44218</v>
      </c>
      <c r="B1460" s="19" t="n">
        <v>1764.96</v>
      </c>
      <c r="D1460" s="16" t="n">
        <v>44214</v>
      </c>
      <c r="E1460" s="19" t="n">
        <v>19.41</v>
      </c>
      <c r="G1460" s="16" t="n">
        <v>46062</v>
      </c>
      <c r="H1460" s="19" t="n">
        <v>2.575</v>
      </c>
      <c r="J1460" s="16" t="n">
        <v>46062</v>
      </c>
      <c r="K1460" s="19" t="n">
        <v>1.438</v>
      </c>
      <c r="M1460" s="16" t="n">
        <v>44218</v>
      </c>
      <c r="N1460" s="19" t="n">
        <v>142847</v>
      </c>
    </row>
    <row r="1461">
      <c r="A1461" s="16" t="n">
        <v>44217</v>
      </c>
      <c r="B1461" s="19" t="n">
        <v>1750.73</v>
      </c>
      <c r="D1461" s="16" t="n">
        <v>44211</v>
      </c>
      <c r="E1461" s="19" t="n">
        <v>20.21</v>
      </c>
      <c r="G1461" s="16" t="n">
        <v>46063</v>
      </c>
      <c r="H1461" s="19" t="n">
        <v>2.585</v>
      </c>
      <c r="J1461" s="16" t="n">
        <v>46063</v>
      </c>
      <c r="K1461" s="19" t="n">
        <v>1.432</v>
      </c>
      <c r="M1461" s="16" t="n">
        <v>44217</v>
      </c>
      <c r="N1461" s="19" t="n">
        <v>140541</v>
      </c>
    </row>
    <row r="1462">
      <c r="A1462" s="16" t="n">
        <v>44216</v>
      </c>
      <c r="B1462" s="19" t="n">
        <v>1753.42</v>
      </c>
      <c r="D1462" s="16" t="n">
        <v>44210</v>
      </c>
      <c r="E1462" s="19" t="n">
        <v>19.03</v>
      </c>
      <c r="G1462" s="16" t="n">
        <v>46064</v>
      </c>
      <c r="H1462" s="19" t="n">
        <v>2.618</v>
      </c>
      <c r="J1462" s="16" t="n">
        <v>46064</v>
      </c>
      <c r="K1462" s="19" t="n">
        <v>1.44</v>
      </c>
      <c r="M1462" s="16" t="n">
        <v>44216</v>
      </c>
      <c r="N1462" s="19" t="n">
        <v>140640</v>
      </c>
    </row>
    <row r="1463">
      <c r="A1463" s="16" t="n">
        <v>44215</v>
      </c>
      <c r="B1463" s="19" t="n">
        <v>1785.15</v>
      </c>
      <c r="D1463" s="16" t="n">
        <v>44209</v>
      </c>
      <c r="E1463" s="19" t="n">
        <v>17.03</v>
      </c>
      <c r="G1463" s="16" t="n">
        <v>46065</v>
      </c>
      <c r="H1463" s="19" t="n">
        <v>2.637</v>
      </c>
      <c r="J1463" s="16" t="n">
        <v>46065</v>
      </c>
      <c r="K1463" s="19" t="n">
        <v>1.436</v>
      </c>
      <c r="M1463" s="16" t="n">
        <v>44215</v>
      </c>
      <c r="N1463" s="19" t="n">
        <v>141450</v>
      </c>
    </row>
    <row r="1464">
      <c r="A1464" s="16" t="n">
        <v>44214</v>
      </c>
      <c r="B1464" s="19" t="n">
        <v>1784.41</v>
      </c>
      <c r="D1464" s="16" t="n">
        <v>44208</v>
      </c>
      <c r="E1464" s="19" t="n">
        <v>18.31</v>
      </c>
      <c r="G1464" s="16" t="n">
        <v>46066</v>
      </c>
      <c r="H1464" s="19" t="n">
        <v>2.59</v>
      </c>
      <c r="J1464" s="16" t="n">
        <v>46066</v>
      </c>
      <c r="K1464" s="19" t="n">
        <v>1.405</v>
      </c>
      <c r="M1464" s="16" t="n">
        <v>44214</v>
      </c>
      <c r="N1464" s="19" t="n">
        <v>141248</v>
      </c>
    </row>
    <row r="1465">
      <c r="A1465" s="16" t="n">
        <v>44211</v>
      </c>
      <c r="B1465" s="19" t="n">
        <v>1775.53</v>
      </c>
      <c r="D1465" s="16" t="n">
        <v>44207</v>
      </c>
      <c r="E1465" s="19" t="n">
        <v>17.59</v>
      </c>
      <c r="G1465" s="16" t="n">
        <v>46069</v>
      </c>
      <c r="H1465" s="19" t="n">
        <v>2.607</v>
      </c>
      <c r="J1465" s="16" t="n">
        <v>46069</v>
      </c>
      <c r="K1465" s="19" t="n">
        <v>1.411</v>
      </c>
      <c r="M1465" s="16" t="n">
        <v>44211</v>
      </c>
      <c r="N1465" s="19" t="n">
        <v>140792</v>
      </c>
    </row>
    <row r="1466">
      <c r="A1466" s="16" t="n">
        <v>44210</v>
      </c>
      <c r="B1466" s="19" t="n">
        <v>1780.55</v>
      </c>
      <c r="D1466" s="16" t="n">
        <v>44204</v>
      </c>
      <c r="E1466" s="19" t="n">
        <v>18.06</v>
      </c>
      <c r="G1466" s="16" t="n">
        <v>46070</v>
      </c>
      <c r="H1466" s="19" t="n">
        <v>2.589</v>
      </c>
      <c r="J1466" s="16" t="n">
        <v>46070</v>
      </c>
      <c r="K1466" s="19" t="n">
        <v>1.398</v>
      </c>
      <c r="M1466" s="16" t="n">
        <v>44210</v>
      </c>
      <c r="N1466" s="19" t="n">
        <v>140809</v>
      </c>
    </row>
    <row r="1467">
      <c r="A1467" s="16" t="n">
        <v>44209</v>
      </c>
      <c r="B1467" s="19" t="n">
        <v>1810.14</v>
      </c>
      <c r="D1467" s="16" t="n">
        <v>44203</v>
      </c>
      <c r="E1467" s="19" t="n">
        <v>19.31</v>
      </c>
      <c r="G1467" s="16" t="n">
        <v>46071</v>
      </c>
      <c r="H1467" s="19" t="n">
        <v>2.596</v>
      </c>
      <c r="J1467" s="16" t="n">
        <v>46071</v>
      </c>
      <c r="K1467" s="19" t="n">
        <v>1.427</v>
      </c>
      <c r="M1467" s="16" t="n">
        <v>44209</v>
      </c>
      <c r="N1467" s="19" t="n">
        <v>142591</v>
      </c>
    </row>
    <row r="1468">
      <c r="A1468" s="16" t="n">
        <v>44208</v>
      </c>
      <c r="B1468" s="19" t="n">
        <v>1784.42</v>
      </c>
      <c r="D1468" s="16" t="n">
        <v>44202</v>
      </c>
      <c r="E1468" s="19" t="n">
        <v>21.39</v>
      </c>
      <c r="G1468" s="16" t="n">
        <v>46072</v>
      </c>
      <c r="H1468" s="19" t="n">
        <v>2.585</v>
      </c>
      <c r="J1468" s="16" t="n">
        <v>46072</v>
      </c>
      <c r="K1468" s="19" t="n">
        <v>1.457</v>
      </c>
      <c r="M1468" s="16" t="n">
        <v>44208</v>
      </c>
      <c r="N1468" s="19" t="n">
        <v>141531</v>
      </c>
    </row>
    <row r="1469">
      <c r="A1469" s="16" t="n">
        <v>44207</v>
      </c>
      <c r="B1469" s="19" t="n">
        <v>1797.17</v>
      </c>
      <c r="D1469" s="16" t="n">
        <v>44201</v>
      </c>
      <c r="E1469" s="19" t="n">
        <v>19.81</v>
      </c>
      <c r="G1469" s="16" t="n">
        <v>46073</v>
      </c>
      <c r="H1469" s="19" t="n">
        <v>2.57</v>
      </c>
      <c r="J1469" s="16" t="n">
        <v>46073</v>
      </c>
      <c r="K1469" s="19" t="n">
        <v>1.395</v>
      </c>
      <c r="M1469" s="16" t="n">
        <v>44207</v>
      </c>
      <c r="N1469" s="19" t="n">
        <v>142454</v>
      </c>
    </row>
    <row r="1470">
      <c r="A1470" s="16" t="n">
        <v>44204</v>
      </c>
      <c r="B1470" s="19" t="n">
        <v>1793.38</v>
      </c>
      <c r="D1470" s="16" t="n">
        <v>44200</v>
      </c>
      <c r="E1470" s="19" t="n">
        <v>20.1</v>
      </c>
      <c r="G1470" s="16" t="n">
        <v>46076</v>
      </c>
      <c r="H1470" s="19" t="n">
        <v>2.493</v>
      </c>
      <c r="J1470" s="16" t="n">
        <v>46076</v>
      </c>
      <c r="K1470" s="19" t="n">
        <v>1.395</v>
      </c>
      <c r="M1470" s="16" t="n">
        <v>44204</v>
      </c>
      <c r="N1470" s="19" t="n">
        <v>142009</v>
      </c>
    </row>
    <row r="1471">
      <c r="A1471" s="16" t="n">
        <v>44203</v>
      </c>
      <c r="B1471" s="19" t="n">
        <v>1772.04</v>
      </c>
      <c r="D1471" s="16" t="n">
        <v>44196</v>
      </c>
      <c r="E1471" s="19" t="n">
        <v>21.13</v>
      </c>
      <c r="G1471" s="16" t="n">
        <v>46077</v>
      </c>
      <c r="H1471" s="19" t="n">
        <v>2.44</v>
      </c>
      <c r="J1471" s="16" t="n">
        <v>46077</v>
      </c>
      <c r="K1471" s="19" t="n">
        <v>1.364</v>
      </c>
      <c r="M1471" s="16" t="n">
        <v>44203</v>
      </c>
      <c r="N1471" s="19" t="n">
        <v>141093</v>
      </c>
    </row>
    <row r="1472">
      <c r="A1472" s="16" t="n">
        <v>44202</v>
      </c>
      <c r="B1472" s="19" t="n">
        <v>1732.2</v>
      </c>
      <c r="D1472" s="16" t="n">
        <v>44195</v>
      </c>
      <c r="E1472" s="19" t="n">
        <v>19.52</v>
      </c>
      <c r="G1472" s="16" t="n">
        <v>46078</v>
      </c>
      <c r="H1472" s="19" t="n">
        <v>2.474</v>
      </c>
      <c r="J1472" s="16" t="n">
        <v>46078</v>
      </c>
      <c r="K1472" s="19" t="n">
        <v>1.376</v>
      </c>
      <c r="M1472" s="16" t="n">
        <v>44202</v>
      </c>
      <c r="N1472" s="19" t="n">
        <v>139544</v>
      </c>
    </row>
    <row r="1473">
      <c r="A1473" s="16" t="n">
        <v>44201</v>
      </c>
      <c r="B1473" s="19" t="n">
        <v>1762.9</v>
      </c>
      <c r="D1473" s="16" t="n">
        <v>44194</v>
      </c>
      <c r="E1473" s="19" t="n">
        <v>20.42</v>
      </c>
      <c r="G1473" s="16" t="n">
        <v>46079</v>
      </c>
      <c r="H1473" s="19" t="n">
        <v>2.403</v>
      </c>
      <c r="J1473" s="16" t="n">
        <v>46079</v>
      </c>
      <c r="K1473" s="19" t="n">
        <v>1.336</v>
      </c>
      <c r="M1473" s="16" t="n">
        <v>44201</v>
      </c>
      <c r="N1473" s="19" t="n">
        <v>140293</v>
      </c>
    </row>
    <row r="1474">
      <c r="A1474" s="16" t="n">
        <v>44200</v>
      </c>
      <c r="B1474" s="19" t="n">
        <v>1744.45</v>
      </c>
      <c r="D1474" s="16" t="n">
        <v>44193</v>
      </c>
      <c r="E1474" s="19" t="n">
        <v>19.23</v>
      </c>
      <c r="G1474" s="16" t="n">
        <v>46080</v>
      </c>
      <c r="H1474" s="19" t="n">
        <v>2.421</v>
      </c>
      <c r="J1474" s="16" t="n">
        <v>46080</v>
      </c>
      <c r="K1474" s="19" t="n">
        <v>1.329</v>
      </c>
      <c r="M1474" s="16" t="n">
        <v>44200</v>
      </c>
      <c r="N1474" s="19" t="n">
        <v>139282</v>
      </c>
    </row>
    <row r="1475">
      <c r="A1475" s="16" t="n">
        <v>44196</v>
      </c>
      <c r="B1475" s="19" t="n">
        <v>1732.78</v>
      </c>
      <c r="D1475" s="16" t="n">
        <v>44189</v>
      </c>
      <c r="E1475" s="19" t="n">
        <v>18.34</v>
      </c>
      <c r="G1475" s="16" t="n">
        <v>46083</v>
      </c>
      <c r="H1475" s="19" t="n">
        <v>2.421</v>
      </c>
      <c r="J1475" s="16" t="n">
        <v>46083</v>
      </c>
      <c r="K1475" s="19" t="n">
        <v>1.343</v>
      </c>
      <c r="M1475" s="16" t="n">
        <v>44196</v>
      </c>
      <c r="N1475" s="19" t="n">
        <v>138384</v>
      </c>
    </row>
    <row r="1476">
      <c r="A1476" s="16" t="n">
        <v>44195</v>
      </c>
      <c r="B1476" s="19" t="n">
        <v>1756.19</v>
      </c>
      <c r="D1476" s="16" t="n">
        <v>44188</v>
      </c>
      <c r="E1476" s="19" t="n">
        <v>16.96</v>
      </c>
      <c r="G1476" s="16" t="n">
        <v>46084</v>
      </c>
      <c r="H1476" s="19" t="n">
        <v>2.418</v>
      </c>
      <c r="J1476" s="16" t="n">
        <v>46084</v>
      </c>
      <c r="K1476" s="19" t="n">
        <v>1.334</v>
      </c>
      <c r="M1476" s="16" t="n">
        <v>44195</v>
      </c>
      <c r="N1476" s="19" t="n">
        <v>138980</v>
      </c>
    </row>
    <row r="1477">
      <c r="A1477" s="16" t="n">
        <v>44194</v>
      </c>
      <c r="B1477" s="19" t="n">
        <v>1733.25</v>
      </c>
      <c r="D1477" s="16" t="n">
        <v>44187</v>
      </c>
      <c r="E1477" s="19" t="n">
        <v>19.2</v>
      </c>
      <c r="G1477" s="16" t="n">
        <v>46085</v>
      </c>
      <c r="H1477" s="19" t="n">
        <v>2.506</v>
      </c>
      <c r="J1477" s="16" t="n">
        <v>46085</v>
      </c>
      <c r="K1477" s="19" t="n">
        <v>1.384</v>
      </c>
      <c r="M1477" s="16" t="n">
        <v>44194</v>
      </c>
      <c r="N1477" s="19" t="n">
        <v>136680</v>
      </c>
    </row>
    <row r="1478">
      <c r="A1478" s="16" t="n">
        <v>44193</v>
      </c>
      <c r="B1478" s="19" t="n">
        <v>1742.65</v>
      </c>
      <c r="D1478" s="16" t="n">
        <v>44186</v>
      </c>
      <c r="E1478" s="19" t="n">
        <v>18.11</v>
      </c>
      <c r="G1478" s="16" t="n">
        <v>46086</v>
      </c>
      <c r="H1478" s="19" t="n">
        <v>2.465</v>
      </c>
      <c r="J1478" s="16" t="n">
        <v>46086</v>
      </c>
      <c r="K1478" s="19" t="n">
        <v>1.375</v>
      </c>
      <c r="M1478" s="16" t="n">
        <v>44193</v>
      </c>
      <c r="N1478" s="19" t="n">
        <v>137479</v>
      </c>
    </row>
    <row r="1479">
      <c r="A1479" s="16" t="n">
        <v>44189</v>
      </c>
      <c r="B1479" s="19" t="n">
        <v>1743.9</v>
      </c>
      <c r="D1479" s="16" t="n">
        <v>44183</v>
      </c>
      <c r="E1479" s="19" t="n">
        <v>19.29</v>
      </c>
      <c r="G1479" s="16" t="n">
        <v>46087</v>
      </c>
      <c r="H1479" s="19" t="n">
        <v>2.476</v>
      </c>
      <c r="J1479" s="16" t="n">
        <v>46087</v>
      </c>
      <c r="K1479" s="19" t="n">
        <v>1.336</v>
      </c>
      <c r="M1479" s="16" t="n">
        <v>44189</v>
      </c>
      <c r="N1479" s="19" t="n">
        <v>137914</v>
      </c>
    </row>
    <row r="1480">
      <c r="A1480" s="16" t="n">
        <v>44188</v>
      </c>
      <c r="B1480" s="19" t="n">
        <v>1768.23</v>
      </c>
      <c r="D1480" s="16" t="n">
        <v>44182</v>
      </c>
      <c r="E1480" s="19" t="n">
        <v>20.08</v>
      </c>
      <c r="G1480" s="16" t="n">
        <v>46090</v>
      </c>
      <c r="H1480" s="19" t="n">
        <v>2.533</v>
      </c>
      <c r="J1480" s="16" t="n">
        <v>46090</v>
      </c>
      <c r="K1480" s="19" t="n">
        <v>1.373</v>
      </c>
      <c r="M1480" s="16" t="n">
        <v>44188</v>
      </c>
      <c r="N1480" s="19" t="n">
        <v>139257</v>
      </c>
    </row>
    <row r="1481">
      <c r="A1481" s="16" t="n">
        <v>44187</v>
      </c>
      <c r="B1481" s="19" t="n">
        <v>1726.85</v>
      </c>
      <c r="D1481" s="16" t="n">
        <v>44181</v>
      </c>
      <c r="E1481" s="19" t="n">
        <v>21.12</v>
      </c>
      <c r="G1481" s="16" t="n">
        <v>46091</v>
      </c>
      <c r="H1481" s="19" t="n">
        <v>2.478</v>
      </c>
      <c r="J1481" s="16" t="n">
        <v>46091</v>
      </c>
      <c r="K1481" s="19" t="n">
        <v>1.312</v>
      </c>
      <c r="M1481" s="16" t="n">
        <v>44187</v>
      </c>
      <c r="N1481" s="19" t="n">
        <v>138121</v>
      </c>
    </row>
    <row r="1482">
      <c r="A1482" s="16" t="n">
        <v>44186</v>
      </c>
      <c r="B1482" s="19" t="n">
        <v>1741.38</v>
      </c>
      <c r="D1482" s="16" t="n">
        <v>44180</v>
      </c>
      <c r="E1482" s="19" t="n">
        <v>20.19</v>
      </c>
      <c r="G1482" s="16" t="n">
        <v>46092</v>
      </c>
      <c r="H1482" s="19" t="n">
        <v>2.508</v>
      </c>
      <c r="J1482" s="16" t="n">
        <v>46092</v>
      </c>
      <c r="K1482" s="19" t="n">
        <v>1.295</v>
      </c>
      <c r="M1482" s="16" t="n">
        <v>44186</v>
      </c>
      <c r="N1482" s="19" t="n">
        <v>138676</v>
      </c>
    </row>
    <row r="1483">
      <c r="A1483" s="16" t="n">
        <v>44183</v>
      </c>
      <c r="B1483" s="19" t="n">
        <v>1722.35</v>
      </c>
      <c r="D1483" s="16" t="n">
        <v>44179</v>
      </c>
      <c r="E1483" s="19" t="n">
        <v>19.88</v>
      </c>
      <c r="G1483" s="16" t="n">
        <v>46093</v>
      </c>
      <c r="H1483" s="19" t="n">
        <v>2.484</v>
      </c>
      <c r="J1483" s="16" t="n">
        <v>46093</v>
      </c>
      <c r="K1483" s="19" t="n">
        <v>1.296</v>
      </c>
      <c r="M1483" s="16" t="n">
        <v>44183</v>
      </c>
      <c r="N1483" s="19" t="n">
        <v>138201</v>
      </c>
    </row>
    <row r="1484">
      <c r="A1484" s="16" t="n">
        <v>44182</v>
      </c>
      <c r="B1484" s="19" t="n">
        <v>1691.39</v>
      </c>
      <c r="D1484" s="16" t="n">
        <v>44176</v>
      </c>
      <c r="E1484" s="19" t="n">
        <v>18.37</v>
      </c>
      <c r="G1484" s="16" t="n">
        <v>46094</v>
      </c>
      <c r="H1484" s="19" t="n">
        <v>2.497</v>
      </c>
      <c r="J1484" s="16" t="n">
        <v>46094</v>
      </c>
      <c r="K1484" s="19" t="n">
        <v>1.324</v>
      </c>
      <c r="M1484" s="16" t="n">
        <v>44182</v>
      </c>
      <c r="N1484" s="19" t="n">
        <v>137006</v>
      </c>
    </row>
    <row r="1485">
      <c r="A1485" s="16" t="n">
        <v>44181</v>
      </c>
      <c r="B1485" s="19" t="n">
        <v>1675.77</v>
      </c>
      <c r="D1485" s="16" t="n">
        <v>44175</v>
      </c>
      <c r="E1485" s="19" t="n">
        <v>17.64</v>
      </c>
      <c r="G1485" s="16" t="n">
        <v>46097</v>
      </c>
      <c r="H1485" s="19" t="n">
        <v>2.454</v>
      </c>
      <c r="J1485" s="16" t="n">
        <v>46097</v>
      </c>
      <c r="K1485" s="19" t="n">
        <v>1.346</v>
      </c>
      <c r="M1485" s="16" t="n">
        <v>44181</v>
      </c>
      <c r="N1485" s="19" t="n">
        <v>136189</v>
      </c>
    </row>
    <row r="1486">
      <c r="A1486" s="16" t="n">
        <v>44180</v>
      </c>
      <c r="B1486" s="19" t="n">
        <v>1703.24</v>
      </c>
      <c r="D1486" s="16" t="n">
        <v>44174</v>
      </c>
      <c r="E1486" s="19" t="n">
        <v>18.14</v>
      </c>
      <c r="G1486" s="16" t="n">
        <v>46098</v>
      </c>
      <c r="H1486" s="19" t="n">
        <v>2.509</v>
      </c>
      <c r="J1486" s="16" t="n">
        <v>46098</v>
      </c>
      <c r="K1486" s="19" t="n">
        <v>1.334</v>
      </c>
      <c r="M1486" s="16" t="n">
        <v>44180</v>
      </c>
      <c r="N1486" s="19" t="n">
        <v>138449</v>
      </c>
    </row>
    <row r="1487">
      <c r="A1487" s="16" t="n">
        <v>44179</v>
      </c>
      <c r="B1487" s="19" t="n">
        <v>1694.05</v>
      </c>
      <c r="D1487" s="16" t="n">
        <v>44173</v>
      </c>
      <c r="E1487" s="19" t="n">
        <v>19.35</v>
      </c>
      <c r="G1487" s="16" t="n">
        <v>46099</v>
      </c>
      <c r="H1487" s="19" t="n">
        <v>2.612</v>
      </c>
      <c r="J1487" s="16" t="n">
        <v>46099</v>
      </c>
      <c r="K1487" s="19" t="n">
        <v>1.396</v>
      </c>
      <c r="M1487" s="16" t="n">
        <v>44179</v>
      </c>
      <c r="N1487" s="19" t="n">
        <v>137692</v>
      </c>
    </row>
    <row r="1488">
      <c r="A1488" s="16" t="n">
        <v>44176</v>
      </c>
      <c r="B1488" s="19" t="n">
        <v>1721.02</v>
      </c>
      <c r="D1488" s="16" t="n">
        <v>44172</v>
      </c>
      <c r="E1488" s="19" t="n">
        <v>18.49</v>
      </c>
      <c r="G1488" s="16" t="n">
        <v>46100</v>
      </c>
      <c r="H1488" s="19" t="n">
        <v>2.641</v>
      </c>
      <c r="J1488" s="16" t="n">
        <v>46100</v>
      </c>
      <c r="K1488" s="19" t="n">
        <v>1.39</v>
      </c>
      <c r="M1488" s="16" t="n">
        <v>44176</v>
      </c>
      <c r="N1488" s="19" t="n">
        <v>139172</v>
      </c>
    </row>
    <row r="1489">
      <c r="A1489" s="16" t="n">
        <v>44175</v>
      </c>
      <c r="B1489" s="19" t="n">
        <v>1725.78</v>
      </c>
      <c r="D1489" s="16" t="n">
        <v>44169</v>
      </c>
      <c r="E1489" s="19" t="n">
        <v>18.08</v>
      </c>
      <c r="G1489" s="16" t="n">
        <v>46101</v>
      </c>
      <c r="H1489" s="19" t="n">
        <v>2.675</v>
      </c>
      <c r="J1489" s="16" t="n">
        <v>46101</v>
      </c>
      <c r="K1489" s="19" t="n">
        <v>1.428</v>
      </c>
      <c r="M1489" s="16" t="n">
        <v>44175</v>
      </c>
      <c r="N1489" s="19" t="n">
        <v>138003</v>
      </c>
    </row>
    <row r="1490">
      <c r="A1490" s="16" t="n">
        <v>44174</v>
      </c>
      <c r="B1490" s="19" t="n">
        <v>1721.25</v>
      </c>
      <c r="D1490" s="16" t="n">
        <v>44168</v>
      </c>
      <c r="E1490" s="19" t="n">
        <v>18.3</v>
      </c>
      <c r="G1490" s="16" t="n">
        <v>46104</v>
      </c>
      <c r="H1490" s="19" t="n">
        <v>2.607</v>
      </c>
      <c r="J1490" s="16" t="n">
        <v>46104</v>
      </c>
      <c r="K1490" s="19" t="n">
        <v>1.424</v>
      </c>
      <c r="M1490" s="16" t="n">
        <v>44174</v>
      </c>
      <c r="N1490" s="19" t="n">
        <v>137489</v>
      </c>
    </row>
    <row r="1491">
      <c r="A1491" s="16" t="n">
        <v>44173</v>
      </c>
      <c r="B1491" s="19" t="n">
        <v>1702.84</v>
      </c>
      <c r="D1491" s="16" t="n">
        <v>44167</v>
      </c>
      <c r="E1491" s="19" t="n">
        <v>18.83</v>
      </c>
      <c r="G1491" s="16" t="n">
        <v>46105</v>
      </c>
      <c r="H1491" s="19" t="n">
        <v>2.603</v>
      </c>
      <c r="J1491" s="16" t="n">
        <v>46105</v>
      </c>
      <c r="K1491" s="19" t="n">
        <v>1.432</v>
      </c>
      <c r="M1491" s="16" t="n">
        <v>44173</v>
      </c>
      <c r="N1491" s="19" t="n">
        <v>135655</v>
      </c>
    </row>
    <row r="1492">
      <c r="A1492" s="16" t="n">
        <v>44172</v>
      </c>
      <c r="B1492" s="19" t="n">
        <v>1705.76</v>
      </c>
      <c r="D1492" s="16" t="n">
        <v>44166</v>
      </c>
      <c r="E1492" s="19" t="n">
        <v>19.98</v>
      </c>
      <c r="G1492" s="16" t="n">
        <v>46106</v>
      </c>
      <c r="H1492" s="19" t="n">
        <v>2.633</v>
      </c>
      <c r="J1492" s="16" t="n">
        <v>46106</v>
      </c>
      <c r="K1492" s="19" t="n">
        <v>1.437</v>
      </c>
      <c r="M1492" s="16" t="n">
        <v>44172</v>
      </c>
      <c r="N1492" s="19" t="n">
        <v>135124</v>
      </c>
    </row>
    <row r="1493">
      <c r="A1493" s="16" t="n">
        <v>44169</v>
      </c>
      <c r="B1493" s="19" t="n">
        <v>1699.83</v>
      </c>
      <c r="D1493" s="16" t="n">
        <v>44165</v>
      </c>
      <c r="E1493" s="19" t="n">
        <v>19.72</v>
      </c>
      <c r="G1493" s="16" t="n">
        <v>46107</v>
      </c>
      <c r="H1493" s="19" t="n">
        <v>2.689</v>
      </c>
      <c r="J1493" s="16" t="n">
        <v>46107</v>
      </c>
      <c r="K1493" s="19" t="n">
        <v>1.434</v>
      </c>
      <c r="M1493" s="16" t="n">
        <v>44169</v>
      </c>
      <c r="N1493" s="19" t="n">
        <v>135345</v>
      </c>
    </row>
    <row r="1494">
      <c r="A1494" s="16" t="n">
        <v>44168</v>
      </c>
      <c r="B1494" s="19" t="n">
        <v>1697.88</v>
      </c>
      <c r="D1494" s="16" t="n">
        <v>44162</v>
      </c>
      <c r="E1494" s="19" t="n">
        <v>18.81</v>
      </c>
      <c r="G1494" s="16" t="n">
        <v>46108</v>
      </c>
      <c r="H1494" s="19" t="n">
        <v>2.667</v>
      </c>
      <c r="J1494" s="16" t="n">
        <v>46108</v>
      </c>
      <c r="K1494" s="19" t="n">
        <v>1.496</v>
      </c>
      <c r="M1494" s="16" t="n">
        <v>44168</v>
      </c>
      <c r="N1494" s="19" t="n">
        <v>135167</v>
      </c>
    </row>
    <row r="1495">
      <c r="A1495" s="16" t="n">
        <v>44167</v>
      </c>
      <c r="B1495" s="19" t="n">
        <v>1711.86</v>
      </c>
      <c r="D1495" s="16" t="n">
        <v>44161</v>
      </c>
      <c r="E1495" s="19" t="n">
        <v>18.3</v>
      </c>
      <c r="G1495" s="16" t="n">
        <v>46111</v>
      </c>
      <c r="H1495" s="19" t="n">
        <v>2.626</v>
      </c>
      <c r="J1495" s="16" t="n">
        <v>46111</v>
      </c>
      <c r="K1495" s="19" t="n">
        <v>1.51</v>
      </c>
      <c r="M1495" s="16" t="n">
        <v>44167</v>
      </c>
      <c r="N1495" s="19" t="n">
        <v>135361</v>
      </c>
    </row>
    <row r="1496">
      <c r="A1496" s="16" t="n">
        <v>44166</v>
      </c>
      <c r="B1496" s="19" t="n">
        <v>1708</v>
      </c>
      <c r="D1496" s="16" t="n">
        <v>44160</v>
      </c>
      <c r="E1496" s="19" t="n">
        <v>17.37</v>
      </c>
      <c r="G1496" s="16" t="n">
        <v>46112</v>
      </c>
      <c r="H1496" s="19" t="n">
        <v>2.557</v>
      </c>
      <c r="J1496" s="16" t="n">
        <v>46112</v>
      </c>
      <c r="K1496" s="19" t="n">
        <v>1.48</v>
      </c>
      <c r="M1496" s="16" t="n">
        <v>44166</v>
      </c>
      <c r="N1496" s="19" t="n">
        <v>134810</v>
      </c>
    </row>
    <row r="1497">
      <c r="A1497" s="16" t="n">
        <v>44165</v>
      </c>
      <c r="B1497" s="19" t="n">
        <v>1695.94</v>
      </c>
      <c r="D1497" s="16" t="n">
        <v>44159</v>
      </c>
      <c r="E1497" s="19" t="n">
        <v>18.64</v>
      </c>
      <c r="G1497" s="16" t="n">
        <v>46113</v>
      </c>
      <c r="H1497" s="19" t="n">
        <v>2.528</v>
      </c>
      <c r="J1497" s="16" t="n">
        <v>46113</v>
      </c>
      <c r="K1497" s="19" t="n">
        <v>1.503</v>
      </c>
      <c r="M1497" s="16" t="n">
        <v>44165</v>
      </c>
      <c r="N1497" s="19" t="n">
        <v>133801</v>
      </c>
    </row>
    <row r="1498">
      <c r="A1498" s="16" t="n">
        <v>44162</v>
      </c>
      <c r="B1498" s="19" t="n">
        <v>1710.06</v>
      </c>
      <c r="D1498" s="16" t="n">
        <v>44158</v>
      </c>
      <c r="E1498" s="19" t="n">
        <v>17.4</v>
      </c>
      <c r="G1498" s="16" t="n">
        <v>46114</v>
      </c>
      <c r="H1498" s="19" t="n">
        <v>2.508</v>
      </c>
      <c r="J1498" s="16" t="n">
        <v>46114</v>
      </c>
      <c r="K1498" s="19" t="n">
        <v>1.503</v>
      </c>
      <c r="M1498" s="16" t="n">
        <v>44162</v>
      </c>
      <c r="N1498" s="19" t="n">
        <v>133839</v>
      </c>
    </row>
    <row r="1499">
      <c r="A1499" s="16" t="n">
        <v>44161</v>
      </c>
      <c r="B1499" s="19" t="n">
        <v>1712.52</v>
      </c>
      <c r="D1499" s="16" t="n">
        <v>44155</v>
      </c>
      <c r="E1499" s="19" t="n">
        <v>18.01</v>
      </c>
      <c r="G1499" s="16" t="n">
        <v>46115</v>
      </c>
      <c r="H1499" s="19" t="n">
        <v>2.451</v>
      </c>
      <c r="J1499" s="16" t="n">
        <v>46115</v>
      </c>
      <c r="K1499" s="19" t="n">
        <v>1.448</v>
      </c>
      <c r="M1499" s="16" t="n">
        <v>44161</v>
      </c>
      <c r="N1499" s="19" t="n">
        <v>133497</v>
      </c>
    </row>
    <row r="1500">
      <c r="A1500" s="16" t="n">
        <v>44160</v>
      </c>
      <c r="B1500" s="19" t="n">
        <v>1729.59</v>
      </c>
      <c r="D1500" s="16" t="n">
        <v>44154</v>
      </c>
      <c r="E1500" s="19" t="n">
        <v>18.53</v>
      </c>
      <c r="G1500" s="16" t="n">
        <v>46118</v>
      </c>
      <c r="H1500" s="19" t="n">
        <v>2.504</v>
      </c>
      <c r="J1500" s="16" t="n">
        <v>46118</v>
      </c>
      <c r="K1500" s="19" t="n">
        <v>1.432</v>
      </c>
      <c r="M1500" s="16" t="n">
        <v>44160</v>
      </c>
      <c r="N1500" s="19" t="n">
        <v>134616</v>
      </c>
    </row>
    <row r="1501">
      <c r="A1501" s="16" t="n">
        <v>44159</v>
      </c>
      <c r="B1501" s="19" t="n">
        <v>1700</v>
      </c>
      <c r="D1501" s="16" t="n">
        <v>44153</v>
      </c>
      <c r="E1501" s="19" t="n">
        <v>21.17</v>
      </c>
      <c r="G1501" s="16" t="n">
        <v>46119</v>
      </c>
      <c r="H1501" s="19" t="n">
        <v>2.532</v>
      </c>
      <c r="J1501" s="16" t="n">
        <v>46119</v>
      </c>
      <c r="K1501" s="19" t="n">
        <v>1.465</v>
      </c>
      <c r="M1501" s="16" t="n">
        <v>44159</v>
      </c>
      <c r="N1501" s="19" t="n">
        <v>133201</v>
      </c>
    </row>
    <row r="1502">
      <c r="A1502" s="16" t="n">
        <v>44158</v>
      </c>
      <c r="B1502" s="19" t="n">
        <v>1700.43</v>
      </c>
      <c r="D1502" s="16" t="n">
        <v>44152</v>
      </c>
      <c r="E1502" s="19" t="n">
        <v>23.81</v>
      </c>
      <c r="G1502" s="16" t="n">
        <v>46120</v>
      </c>
      <c r="H1502" s="19" t="n">
        <v>2.521</v>
      </c>
      <c r="J1502" s="16" t="n">
        <v>46120</v>
      </c>
      <c r="K1502" s="19" t="n">
        <v>1.452</v>
      </c>
      <c r="M1502" s="16" t="n">
        <v>44158</v>
      </c>
      <c r="N1502" s="19" t="n">
        <v>132871</v>
      </c>
    </row>
    <row r="1503">
      <c r="A1503" s="16" t="n">
        <v>44155</v>
      </c>
      <c r="B1503" s="19" t="n">
        <v>1704.63</v>
      </c>
      <c r="D1503" s="16" t="n">
        <v>44151</v>
      </c>
      <c r="E1503" s="19" t="n">
        <v>24.65</v>
      </c>
      <c r="G1503" s="16" t="n">
        <v>46121</v>
      </c>
      <c r="H1503" s="19" t="n">
        <v>2.479</v>
      </c>
      <c r="J1503" s="16" t="n">
        <v>46121</v>
      </c>
      <c r="K1503" s="19" t="n">
        <v>1.418</v>
      </c>
      <c r="M1503" s="16" t="n">
        <v>44155</v>
      </c>
      <c r="N1503" s="19" t="n">
        <v>133447</v>
      </c>
    </row>
    <row r="1504">
      <c r="A1504" s="16" t="n">
        <v>44154</v>
      </c>
      <c r="B1504" s="19" t="n">
        <v>1699.91</v>
      </c>
      <c r="D1504" s="16" t="n">
        <v>44148</v>
      </c>
      <c r="E1504" s="19" t="n">
        <v>25.73</v>
      </c>
      <c r="G1504" s="16" t="n">
        <v>46122</v>
      </c>
      <c r="H1504" s="19" t="n">
        <v>2.457</v>
      </c>
      <c r="J1504" s="16" t="n">
        <v>46122</v>
      </c>
      <c r="K1504" s="19" t="n">
        <v>1.406</v>
      </c>
      <c r="M1504" s="16" t="n">
        <v>44154</v>
      </c>
      <c r="N1504" s="19" t="n">
        <v>133295</v>
      </c>
    </row>
    <row r="1505">
      <c r="A1505" s="16" t="n">
        <v>44153</v>
      </c>
      <c r="B1505" s="19" t="n">
        <v>1670.35</v>
      </c>
      <c r="D1505" s="16" t="n">
        <v>44147</v>
      </c>
      <c r="E1505" s="19" t="n">
        <v>24.58</v>
      </c>
      <c r="G1505" s="16" t="n">
        <v>46125</v>
      </c>
      <c r="H1505" s="19" t="n">
        <v>2.526</v>
      </c>
      <c r="J1505" s="16" t="n">
        <v>46125</v>
      </c>
      <c r="K1505" s="19" t="n">
        <v>1.448</v>
      </c>
      <c r="M1505" s="16" t="n">
        <v>44153</v>
      </c>
      <c r="N1505" s="19" t="n">
        <v>131891</v>
      </c>
    </row>
    <row r="1506">
      <c r="A1506" s="16" t="n">
        <v>44152</v>
      </c>
      <c r="B1506" s="19" t="n">
        <v>1635.84</v>
      </c>
      <c r="D1506" s="16" t="n">
        <v>44146</v>
      </c>
      <c r="E1506" s="19" t="n">
        <v>26.38</v>
      </c>
      <c r="G1506" s="16" t="n">
        <v>46126</v>
      </c>
      <c r="H1506" s="19" t="n">
        <v>2.496</v>
      </c>
      <c r="J1506" s="16" t="n">
        <v>46126</v>
      </c>
      <c r="K1506" s="19" t="n">
        <v>1.485</v>
      </c>
      <c r="M1506" s="16" t="n">
        <v>44152</v>
      </c>
      <c r="N1506" s="19" t="n">
        <v>129877</v>
      </c>
    </row>
    <row r="1507">
      <c r="A1507" s="16" t="n">
        <v>44151</v>
      </c>
      <c r="B1507" s="19" t="n">
        <v>1642.66</v>
      </c>
      <c r="D1507" s="16" t="n">
        <v>44145</v>
      </c>
      <c r="E1507" s="19" t="n">
        <v>24.38</v>
      </c>
      <c r="G1507" s="16" t="n">
        <v>46127</v>
      </c>
      <c r="H1507" s="19" t="n">
        <v>2.547</v>
      </c>
      <c r="J1507" s="16" t="n">
        <v>46127</v>
      </c>
      <c r="K1507" s="19" t="n">
        <v>1.476</v>
      </c>
      <c r="M1507" s="16" t="n">
        <v>44151</v>
      </c>
      <c r="N1507" s="19" t="n">
        <v>129965</v>
      </c>
    </row>
    <row r="1508">
      <c r="A1508" s="16" t="n">
        <v>44148</v>
      </c>
      <c r="B1508" s="19" t="n">
        <v>1630.33</v>
      </c>
      <c r="D1508" s="16" t="n">
        <v>44144</v>
      </c>
      <c r="E1508" s="19" t="n">
        <v>24.56</v>
      </c>
      <c r="G1508" s="16" t="n">
        <v>46128</v>
      </c>
      <c r="H1508" s="19" t="n">
        <v>2.556</v>
      </c>
      <c r="J1508" s="16" t="n">
        <v>46128</v>
      </c>
      <c r="K1508" s="19" t="n">
        <v>1.446</v>
      </c>
      <c r="M1508" s="16" t="n">
        <v>44148</v>
      </c>
      <c r="N1508" s="19" t="n">
        <v>128982</v>
      </c>
    </row>
    <row r="1509">
      <c r="A1509" s="16" t="n">
        <v>44147</v>
      </c>
      <c r="B1509" s="19" t="n">
        <v>1655.02</v>
      </c>
      <c r="D1509" s="16" t="n">
        <v>44141</v>
      </c>
      <c r="E1509" s="19" t="n">
        <v>24.44</v>
      </c>
      <c r="G1509" s="16" t="n">
        <v>46129</v>
      </c>
      <c r="H1509" s="19" t="n">
        <v>2.492</v>
      </c>
      <c r="J1509" s="16" t="n">
        <v>46129</v>
      </c>
      <c r="K1509" s="19" t="n">
        <v>1.407</v>
      </c>
      <c r="M1509" s="16" t="n">
        <v>44147</v>
      </c>
      <c r="N1509" s="19" t="n">
        <v>129880</v>
      </c>
    </row>
    <row r="1510">
      <c r="A1510" s="16" t="n">
        <v>44146</v>
      </c>
      <c r="B1510" s="19" t="n">
        <v>1640.51</v>
      </c>
      <c r="D1510" s="16" t="n">
        <v>44140</v>
      </c>
      <c r="E1510" s="19" t="n">
        <v>23.63</v>
      </c>
      <c r="G1510" s="16" t="n">
        <v>46132</v>
      </c>
      <c r="H1510" s="19" t="n">
        <v>2.489</v>
      </c>
      <c r="J1510" s="16" t="n">
        <v>46132</v>
      </c>
      <c r="K1510" s="19" t="n">
        <v>1.396</v>
      </c>
      <c r="M1510" s="16" t="n">
        <v>44146</v>
      </c>
      <c r="N1510" s="19" t="n">
        <v>129233</v>
      </c>
    </row>
    <row r="1511">
      <c r="A1511" s="16" t="n">
        <v>44145</v>
      </c>
      <c r="B1511" s="19" t="n">
        <v>1681.28</v>
      </c>
      <c r="D1511" s="16" t="n">
        <v>44139</v>
      </c>
      <c r="E1511" s="19" t="n">
        <v>23.05</v>
      </c>
      <c r="G1511" s="16" t="n">
        <v>46133</v>
      </c>
      <c r="H1511" s="19" t="n">
        <v>2.561</v>
      </c>
      <c r="J1511" s="16" t="n">
        <v>46133</v>
      </c>
      <c r="K1511" s="19" t="n">
        <v>1.442</v>
      </c>
      <c r="M1511" s="16" t="n">
        <v>44145</v>
      </c>
      <c r="N1511" s="19" t="n">
        <v>130493</v>
      </c>
    </row>
    <row r="1512">
      <c r="A1512" s="16" t="n">
        <v>44144</v>
      </c>
      <c r="B1512" s="19" t="n">
        <v>1672.09</v>
      </c>
      <c r="D1512" s="16" t="n">
        <v>44138</v>
      </c>
      <c r="E1512" s="19" t="n">
        <v>25.32</v>
      </c>
      <c r="G1512" s="16" t="n">
        <v>46134</v>
      </c>
      <c r="H1512" s="19" t="n">
        <v>2.53</v>
      </c>
      <c r="J1512" s="16" t="n">
        <v>46134</v>
      </c>
      <c r="K1512" s="19" t="n">
        <v>1.427</v>
      </c>
      <c r="M1512" s="16" t="n">
        <v>44144</v>
      </c>
      <c r="N1512" s="19" t="n">
        <v>130015</v>
      </c>
    </row>
    <row r="1513">
      <c r="A1513" s="16" t="n">
        <v>44141</v>
      </c>
      <c r="B1513" s="19" t="n">
        <v>1669.64</v>
      </c>
      <c r="D1513" s="16" t="n">
        <v>44137</v>
      </c>
      <c r="E1513" s="19" t="n">
        <v>24.91</v>
      </c>
      <c r="G1513" s="16" t="n">
        <v>46135</v>
      </c>
      <c r="H1513" s="19" t="n">
        <v>2.558</v>
      </c>
      <c r="J1513" s="16" t="n">
        <v>46135</v>
      </c>
      <c r="K1513" s="19" t="n">
        <v>1.459</v>
      </c>
      <c r="M1513" s="16" t="n">
        <v>44141</v>
      </c>
      <c r="N1513" s="19" t="n">
        <v>129279</v>
      </c>
    </row>
    <row r="1514">
      <c r="A1514" s="16" t="n">
        <v>44140</v>
      </c>
      <c r="B1514" s="19" t="n">
        <v>1694.64</v>
      </c>
      <c r="D1514" s="16" t="n">
        <v>44134</v>
      </c>
      <c r="E1514" s="19" t="n">
        <v>24.62</v>
      </c>
      <c r="G1514" s="16" t="n">
        <v>46136</v>
      </c>
      <c r="H1514" s="19" t="n">
        <v>2.457</v>
      </c>
      <c r="J1514" s="16" t="n">
        <v>46136</v>
      </c>
      <c r="K1514" s="19" t="n">
        <v>1.463</v>
      </c>
      <c r="M1514" s="16" t="n">
        <v>44140</v>
      </c>
      <c r="N1514" s="19" t="n">
        <v>130158</v>
      </c>
    </row>
    <row r="1515">
      <c r="A1515" s="16" t="n">
        <v>44139</v>
      </c>
      <c r="B1515" s="19" t="n">
        <v>1691.41</v>
      </c>
      <c r="D1515" s="16" t="n">
        <v>44133</v>
      </c>
      <c r="E1515" s="19" t="n">
        <v>24.65</v>
      </c>
      <c r="G1515" s="16" t="n">
        <v>46139</v>
      </c>
      <c r="H1515" s="19" t="n">
        <v>2.506</v>
      </c>
      <c r="J1515" s="16" t="n">
        <v>46139</v>
      </c>
      <c r="K1515" s="19" t="n">
        <v>1.435</v>
      </c>
      <c r="M1515" s="16" t="n">
        <v>44139</v>
      </c>
      <c r="N1515" s="19" t="n">
        <v>130164</v>
      </c>
    </row>
    <row r="1516">
      <c r="A1516" s="16" t="n">
        <v>44138</v>
      </c>
      <c r="B1516" s="19" t="n">
        <v>1672.32</v>
      </c>
      <c r="D1516" s="16" t="n">
        <v>44132</v>
      </c>
      <c r="E1516" s="19" t="n">
        <v>25.8</v>
      </c>
      <c r="G1516" s="16" t="n">
        <v>46140</v>
      </c>
      <c r="H1516" s="19" t="n">
        <v>2.519</v>
      </c>
      <c r="J1516" s="16" t="n">
        <v>46140</v>
      </c>
      <c r="K1516" s="19" t="n">
        <v>1.441</v>
      </c>
      <c r="M1516" s="16" t="n">
        <v>44138</v>
      </c>
      <c r="N1516" s="19" t="n">
        <v>128980</v>
      </c>
    </row>
    <row r="1517">
      <c r="A1517" s="16" t="n">
        <v>44137</v>
      </c>
      <c r="B1517" s="19" t="n">
        <v>1675.74</v>
      </c>
      <c r="D1517" s="16" t="n">
        <v>44131</v>
      </c>
      <c r="E1517" s="19" t="n">
        <v>26.37</v>
      </c>
      <c r="G1517" s="16" t="n">
        <v>46141</v>
      </c>
      <c r="H1517" s="19" t="n">
        <v>2.482</v>
      </c>
      <c r="J1517" s="16" t="n">
        <v>46141</v>
      </c>
      <c r="K1517" s="19" t="n">
        <v>1.428</v>
      </c>
      <c r="M1517" s="16" t="n">
        <v>44137</v>
      </c>
      <c r="N1517" s="19" t="n">
        <v>129664</v>
      </c>
    </row>
    <row r="1518">
      <c r="A1518" s="16" t="n">
        <v>44134</v>
      </c>
      <c r="B1518" s="19" t="n">
        <v>1684.25</v>
      </c>
      <c r="D1518" s="16" t="n">
        <v>44130</v>
      </c>
      <c r="E1518" s="19" t="n">
        <v>27</v>
      </c>
      <c r="G1518" s="16" t="n">
        <v>46142</v>
      </c>
      <c r="H1518" s="19" t="n">
        <v>2.482</v>
      </c>
      <c r="J1518" s="16" t="n">
        <v>46142</v>
      </c>
      <c r="K1518" s="19" t="n">
        <v>1.438</v>
      </c>
      <c r="M1518" s="16" t="n">
        <v>44134</v>
      </c>
      <c r="N1518" s="19" t="n">
        <v>129617</v>
      </c>
    </row>
    <row r="1519">
      <c r="A1519" s="16" t="n">
        <v>44133</v>
      </c>
      <c r="B1519" s="19" t="n">
        <v>1676.8</v>
      </c>
      <c r="D1519" s="16" t="n">
        <v>44127</v>
      </c>
      <c r="E1519" s="19" t="n">
        <v>24.71</v>
      </c>
      <c r="G1519" s="16" t="n">
        <v>46143</v>
      </c>
      <c r="H1519" s="19" t="n">
        <v>2.46</v>
      </c>
      <c r="J1519" s="16" t="n">
        <v>46143</v>
      </c>
      <c r="K1519" s="19" t="n">
        <v>1.397</v>
      </c>
      <c r="M1519" s="16" t="n">
        <v>44133</v>
      </c>
      <c r="N1519" s="19" t="n">
        <v>129243</v>
      </c>
    </row>
    <row r="1520">
      <c r="A1520" s="16" t="n">
        <v>44132</v>
      </c>
      <c r="B1520" s="19" t="n">
        <v>1668.74</v>
      </c>
      <c r="D1520" s="16" t="n">
        <v>44126</v>
      </c>
      <c r="E1520" s="19" t="n">
        <v>25.2</v>
      </c>
      <c r="G1520" s="16" t="n">
        <v>46146</v>
      </c>
      <c r="H1520" s="19" t="n">
        <v>2.497</v>
      </c>
      <c r="J1520" s="16" t="n">
        <v>46146</v>
      </c>
      <c r="K1520" s="19" t="n">
        <v>1.458</v>
      </c>
      <c r="M1520" s="16" t="n">
        <v>44132</v>
      </c>
      <c r="N1520" s="19" t="n">
        <v>128778</v>
      </c>
    </row>
    <row r="1521">
      <c r="A1521" s="16" t="n">
        <v>44131</v>
      </c>
      <c r="B1521" s="19" t="n">
        <v>1662.36</v>
      </c>
      <c r="D1521" s="16" t="n">
        <v>44125</v>
      </c>
      <c r="E1521" s="19" t="n">
        <v>24.64</v>
      </c>
      <c r="G1521" s="16" t="n">
        <v>46148</v>
      </c>
      <c r="H1521" s="19" t="n">
        <v>2.497</v>
      </c>
      <c r="J1521" s="16" t="n">
        <v>46148</v>
      </c>
      <c r="K1521" s="19" t="n">
        <v>1.449</v>
      </c>
      <c r="M1521" s="16" t="n">
        <v>44131</v>
      </c>
      <c r="N1521" s="19" t="n">
        <v>128223</v>
      </c>
    </row>
    <row r="1522">
      <c r="A1522" s="16" t="n">
        <v>44130</v>
      </c>
      <c r="B1522" s="19" t="n">
        <v>1655.15</v>
      </c>
      <c r="D1522" s="16" t="n">
        <v>44124</v>
      </c>
      <c r="E1522" s="19" t="n">
        <v>25.24</v>
      </c>
      <c r="G1522" s="16" t="n">
        <v>46149</v>
      </c>
      <c r="H1522" s="19" t="n">
        <v>2.534</v>
      </c>
      <c r="J1522" s="16" t="n">
        <v>46149</v>
      </c>
      <c r="K1522" s="19" t="n">
        <v>1.478</v>
      </c>
      <c r="M1522" s="16" t="n">
        <v>44130</v>
      </c>
      <c r="N1522" s="19" t="n">
        <v>127326</v>
      </c>
    </row>
    <row r="1523">
      <c r="A1523" s="16" t="n">
        <v>44127</v>
      </c>
      <c r="B1523" s="19" t="n">
        <v>1703.78</v>
      </c>
      <c r="D1523" s="16" t="n">
        <v>44123</v>
      </c>
      <c r="E1523" s="19" t="n">
        <v>26.37</v>
      </c>
      <c r="G1523" s="16" t="n">
        <v>46150</v>
      </c>
      <c r="H1523" s="19" t="n">
        <v>2.553</v>
      </c>
      <c r="J1523" s="16" t="n">
        <v>46150</v>
      </c>
      <c r="K1523" s="19" t="n">
        <v>1.501</v>
      </c>
      <c r="M1523" s="16" t="n">
        <v>44127</v>
      </c>
      <c r="N1523" s="19" t="n">
        <v>129534</v>
      </c>
    </row>
    <row r="1524">
      <c r="A1524" s="16" t="n">
        <v>44126</v>
      </c>
      <c r="B1524" s="19" t="n">
        <v>1710.28</v>
      </c>
      <c r="D1524" s="16" t="n">
        <v>44120</v>
      </c>
      <c r="E1524" s="19" t="n">
        <v>25.14</v>
      </c>
      <c r="G1524" s="16" t="n">
        <v>46153</v>
      </c>
      <c r="H1524" s="19" t="n">
        <v>2.567</v>
      </c>
      <c r="J1524" s="16" t="n">
        <v>46153</v>
      </c>
      <c r="K1524" s="19" t="n">
        <v>1.527</v>
      </c>
      <c r="M1524" s="16" t="n">
        <v>44126</v>
      </c>
      <c r="N1524" s="19" t="n">
        <v>129770</v>
      </c>
    </row>
    <row r="1525">
      <c r="A1525" s="16" t="n">
        <v>44125</v>
      </c>
      <c r="B1525" s="19" t="n">
        <v>1720.19</v>
      </c>
      <c r="D1525" s="16" t="n">
        <v>44119</v>
      </c>
      <c r="E1525" s="19" t="n">
        <v>27.84</v>
      </c>
      <c r="G1525" s="16" t="n">
        <v>46154</v>
      </c>
      <c r="H1525" s="19" t="n">
        <v>2.531</v>
      </c>
      <c r="J1525" s="16" t="n">
        <v>46154</v>
      </c>
      <c r="K1525" s="19" t="n">
        <v>1.505</v>
      </c>
      <c r="M1525" s="16" t="n">
        <v>44125</v>
      </c>
      <c r="N1525" s="19" t="n">
        <v>130009</v>
      </c>
    </row>
    <row r="1526">
      <c r="A1526" s="16" t="n">
        <v>44124</v>
      </c>
      <c r="B1526" s="19" t="n">
        <v>1712.04</v>
      </c>
      <c r="D1526" s="16" t="n">
        <v>44118</v>
      </c>
      <c r="E1526" s="19" t="n">
        <v>26.67</v>
      </c>
      <c r="G1526" s="16" t="n">
        <v>46155</v>
      </c>
      <c r="H1526" s="19" t="n">
        <v>2.501</v>
      </c>
      <c r="J1526" s="16" t="n">
        <v>46155</v>
      </c>
      <c r="K1526" s="19" t="n">
        <v>1.501</v>
      </c>
      <c r="M1526" s="16" t="n">
        <v>44124</v>
      </c>
      <c r="N1526" s="19" t="n">
        <v>128974</v>
      </c>
    </row>
    <row r="1527">
      <c r="A1527" s="16" t="n">
        <v>44123</v>
      </c>
      <c r="B1527" s="19" t="n">
        <v>1713.14</v>
      </c>
      <c r="D1527" s="16" t="n">
        <v>44117</v>
      </c>
      <c r="E1527" s="19" t="n">
        <v>26.43</v>
      </c>
      <c r="G1527" s="16" t="n">
        <v>46156</v>
      </c>
      <c r="H1527" s="19" t="n">
        <v>2.511</v>
      </c>
      <c r="J1527" s="16" t="n">
        <v>46156</v>
      </c>
      <c r="K1527" s="19" t="n">
        <v>1.491</v>
      </c>
      <c r="M1527" s="16" t="n">
        <v>44123</v>
      </c>
      <c r="N1527" s="19" t="n">
        <v>128525</v>
      </c>
    </row>
    <row r="1528">
      <c r="A1528" s="16" t="n">
        <v>44120</v>
      </c>
      <c r="B1528" s="19" t="n">
        <v>1746.21</v>
      </c>
      <c r="D1528" s="16" t="n">
        <v>44116</v>
      </c>
      <c r="E1528" s="19" t="n">
        <v>27.1</v>
      </c>
      <c r="G1528" s="16" t="n">
        <v>46157</v>
      </c>
      <c r="H1528" s="19" t="n">
        <v>2.549</v>
      </c>
      <c r="J1528" s="16" t="n">
        <v>46157</v>
      </c>
      <c r="K1528" s="19" t="n">
        <v>1.506</v>
      </c>
      <c r="M1528" s="16" t="n">
        <v>44120</v>
      </c>
      <c r="N1528" s="19" t="n">
        <v>129780</v>
      </c>
    </row>
    <row r="1529">
      <c r="A1529" s="16" t="n">
        <v>44119</v>
      </c>
      <c r="B1529" s="19" t="n">
        <v>1716.95</v>
      </c>
      <c r="D1529" s="16" t="n">
        <v>44112</v>
      </c>
      <c r="E1529" s="19" t="n">
        <v>25.92</v>
      </c>
      <c r="G1529" s="16" t="n">
        <v>46160</v>
      </c>
      <c r="H1529" s="19" t="n">
        <v>2.493</v>
      </c>
      <c r="J1529" s="16" t="n">
        <v>46160</v>
      </c>
      <c r="K1529" s="19" t="n">
        <v>1.489</v>
      </c>
      <c r="M1529" s="16" t="n">
        <v>44119</v>
      </c>
      <c r="N1529" s="19" t="n">
        <v>128125</v>
      </c>
    </row>
    <row r="1530">
      <c r="A1530" s="16" t="n">
        <v>44118</v>
      </c>
      <c r="B1530" s="19" t="n">
        <v>1734.68</v>
      </c>
      <c r="D1530" s="16" t="n">
        <v>44111</v>
      </c>
      <c r="E1530" s="19" t="n">
        <v>26.36</v>
      </c>
      <c r="G1530" s="16" t="n">
        <v>46161</v>
      </c>
      <c r="H1530" s="19" t="n">
        <v>2.443</v>
      </c>
      <c r="J1530" s="16" t="n">
        <v>46161</v>
      </c>
      <c r="K1530" s="19" t="n">
        <v>1.453</v>
      </c>
      <c r="M1530" s="16" t="n">
        <v>44118</v>
      </c>
      <c r="N1530" s="19" t="n">
        <v>128120</v>
      </c>
    </row>
    <row r="1531">
      <c r="A1531" s="16" t="n">
        <v>44117</v>
      </c>
      <c r="B1531" s="19" t="n">
        <v>1733.57</v>
      </c>
      <c r="D1531" s="16" t="n">
        <v>44110</v>
      </c>
      <c r="E1531" s="19" t="n">
        <v>26.69</v>
      </c>
      <c r="G1531" s="16" t="n">
        <v>46162</v>
      </c>
      <c r="H1531" s="19" t="n">
        <v>2.421</v>
      </c>
      <c r="J1531" s="16" t="n">
        <v>46162</v>
      </c>
      <c r="K1531" s="19" t="n">
        <v>1.497</v>
      </c>
      <c r="M1531" s="16" t="n">
        <v>44117</v>
      </c>
      <c r="N1531" s="19" t="n">
        <v>128366</v>
      </c>
    </row>
    <row r="1532">
      <c r="A1532" s="16" t="n">
        <v>44116</v>
      </c>
      <c r="B1532" s="19" t="n">
        <v>1708.42</v>
      </c>
      <c r="D1532" s="16" t="n">
        <v>44109</v>
      </c>
      <c r="E1532" s="19" t="n">
        <v>27.87</v>
      </c>
      <c r="G1532" s="16" t="n">
        <v>46163</v>
      </c>
      <c r="H1532" s="19" t="n">
        <v>2.383</v>
      </c>
      <c r="J1532" s="16" t="n">
        <v>46163</v>
      </c>
      <c r="K1532" s="19" t="n">
        <v>1.46</v>
      </c>
      <c r="M1532" s="16" t="n">
        <v>44116</v>
      </c>
      <c r="N1532" s="19" t="n">
        <v>127469</v>
      </c>
    </row>
    <row r="1533">
      <c r="A1533" s="16" t="n">
        <v>44112</v>
      </c>
      <c r="B1533" s="19" t="n">
        <v>1730.25</v>
      </c>
      <c r="D1533" s="16" t="n">
        <v>44106</v>
      </c>
      <c r="E1533" s="19" t="n">
        <v>27.19</v>
      </c>
      <c r="G1533" s="16" t="n">
        <v>46164</v>
      </c>
      <c r="H1533" s="19" t="n">
        <v>2.391</v>
      </c>
      <c r="J1533" s="16" t="n">
        <v>46164</v>
      </c>
      <c r="K1533" s="19" t="n">
        <v>1.511</v>
      </c>
      <c r="M1533" s="16" t="n">
        <v>44112</v>
      </c>
      <c r="N1533" s="19" t="n">
        <v>127651</v>
      </c>
    </row>
    <row r="1534">
      <c r="A1534" s="16" t="n">
        <v>44111</v>
      </c>
      <c r="B1534" s="19" t="n">
        <v>1724.27</v>
      </c>
      <c r="D1534" s="16" t="n">
        <v>44105</v>
      </c>
      <c r="E1534" s="19" t="n">
        <v>25.06</v>
      </c>
      <c r="G1534" s="16" t="n">
        <v>46167</v>
      </c>
      <c r="H1534" s="19" t="n">
        <v>2.459</v>
      </c>
      <c r="J1534" s="16" t="n">
        <v>46167</v>
      </c>
      <c r="K1534" s="19" t="n">
        <v>1.526</v>
      </c>
      <c r="M1534" s="16" t="n">
        <v>44111</v>
      </c>
      <c r="N1534" s="19" t="n">
        <v>127521</v>
      </c>
    </row>
    <row r="1535">
      <c r="A1535" s="16" t="n">
        <v>44110</v>
      </c>
      <c r="B1535" s="19" t="n">
        <v>1730.19</v>
      </c>
      <c r="D1535" s="16" t="n">
        <v>44104</v>
      </c>
      <c r="E1535" s="19" t="n">
        <v>26.83</v>
      </c>
      <c r="G1535" s="16" t="n">
        <v>46168</v>
      </c>
      <c r="H1535" s="19" t="n">
        <v>2.459</v>
      </c>
      <c r="J1535" s="16" t="n">
        <v>46168</v>
      </c>
      <c r="K1535" s="19" t="n">
        <v>1.522</v>
      </c>
      <c r="M1535" s="16" t="n">
        <v>44110</v>
      </c>
      <c r="N1535" s="19" t="n">
        <v>128481</v>
      </c>
    </row>
    <row r="1536">
      <c r="A1536" s="16" t="n">
        <v>44109</v>
      </c>
      <c r="B1536" s="19" t="n">
        <v>1739.74</v>
      </c>
      <c r="D1536" s="16" t="n">
        <v>44103</v>
      </c>
      <c r="E1536" s="19" t="n">
        <v>27.86</v>
      </c>
      <c r="G1536" s="16" t="n">
        <v>46169</v>
      </c>
      <c r="H1536" s="19" t="n">
        <v>2.464</v>
      </c>
      <c r="J1536" s="16" t="n">
        <v>46169</v>
      </c>
      <c r="K1536" s="19" t="n">
        <v>1.568</v>
      </c>
      <c r="M1536" s="16" t="n">
        <v>44109</v>
      </c>
      <c r="N1536" s="19" t="n">
        <v>128363</v>
      </c>
    </row>
    <row r="1537">
      <c r="A1537" s="16" t="n">
        <v>44106</v>
      </c>
      <c r="B1537" s="19" t="n">
        <v>1751.4</v>
      </c>
      <c r="D1537" s="16" t="n">
        <v>44102</v>
      </c>
      <c r="E1537" s="19" t="n">
        <v>28.6</v>
      </c>
      <c r="G1537" s="16" t="n">
        <v>46170</v>
      </c>
      <c r="H1537" s="19" t="n">
        <v>2.394</v>
      </c>
      <c r="J1537" s="16" t="n">
        <v>46170</v>
      </c>
      <c r="K1537" s="19" t="n">
        <v>1.526</v>
      </c>
      <c r="M1537" s="16" t="n">
        <v>44106</v>
      </c>
      <c r="N1537" s="19" t="n">
        <v>128961</v>
      </c>
    </row>
    <row r="1538">
      <c r="A1538" s="16" t="n">
        <v>44105</v>
      </c>
      <c r="B1538" s="19" t="n">
        <v>1792.08</v>
      </c>
      <c r="D1538" s="16" t="n">
        <v>44099</v>
      </c>
      <c r="E1538" s="19" t="n">
        <v>28.55</v>
      </c>
      <c r="G1538" s="16" t="n">
        <v>46171</v>
      </c>
      <c r="H1538" s="19" t="n">
        <v>2.43</v>
      </c>
      <c r="J1538" s="16" t="n">
        <v>46171</v>
      </c>
      <c r="K1538" s="19" t="n">
        <v>1.525</v>
      </c>
      <c r="M1538" s="16" t="n">
        <v>44105</v>
      </c>
      <c r="N1538" s="19" t="n">
        <v>131462</v>
      </c>
    </row>
    <row r="1539">
      <c r="A1539" s="16" t="n">
        <v>44104</v>
      </c>
      <c r="B1539" s="19" t="n">
        <v>1762.13</v>
      </c>
      <c r="D1539" s="16" t="n">
        <v>44098</v>
      </c>
      <c r="E1539" s="19" t="n">
        <v>29.79</v>
      </c>
      <c r="G1539" s="16" t="n">
        <v>46174</v>
      </c>
      <c r="H1539" s="19" t="n">
        <v>2.446</v>
      </c>
      <c r="J1539" s="16" t="n">
        <v>46174</v>
      </c>
      <c r="K1539" s="19" t="n">
        <v>1.512</v>
      </c>
      <c r="M1539" s="16" t="n">
        <v>44104</v>
      </c>
      <c r="N1539" s="19" t="n">
        <v>130999</v>
      </c>
    </row>
    <row r="1540">
      <c r="A1540" s="16" t="n">
        <v>44103</v>
      </c>
      <c r="B1540" s="19" t="n">
        <v>1762.68</v>
      </c>
      <c r="D1540" s="16" t="n">
        <v>44097</v>
      </c>
      <c r="E1540" s="19" t="n">
        <v>30.14</v>
      </c>
      <c r="G1540" s="16" t="n">
        <v>46175</v>
      </c>
      <c r="H1540" s="19" t="n">
        <v>2.491</v>
      </c>
      <c r="J1540" s="16" t="n">
        <v>46175</v>
      </c>
      <c r="K1540" s="19" t="n">
        <v>1.489</v>
      </c>
      <c r="M1540" s="16" t="n">
        <v>44103</v>
      </c>
      <c r="N1540" s="19" t="n">
        <v>132520</v>
      </c>
    </row>
    <row r="1541">
      <c r="A1541" s="16" t="n">
        <v>44102</v>
      </c>
      <c r="B1541" s="19" t="n">
        <v>1763.96</v>
      </c>
      <c r="D1541" s="16" t="n">
        <v>44096</v>
      </c>
      <c r="E1541" s="19" t="n">
        <v>27.5</v>
      </c>
      <c r="G1541" s="16" t="n">
        <v>46176</v>
      </c>
      <c r="H1541" s="19" t="n">
        <v>2.465</v>
      </c>
      <c r="J1541" s="16" t="n">
        <v>46176</v>
      </c>
      <c r="K1541" s="19" t="n">
        <v>1.461</v>
      </c>
      <c r="M1541" s="16" t="n">
        <v>44102</v>
      </c>
      <c r="N1541" s="19" t="n">
        <v>133152</v>
      </c>
    </row>
    <row r="1542">
      <c r="A1542" s="16" t="n">
        <v>44099</v>
      </c>
      <c r="B1542" s="19" t="n">
        <v>1776.83</v>
      </c>
      <c r="D1542" s="16" t="n">
        <v>44095</v>
      </c>
      <c r="E1542" s="19" t="n">
        <v>28.57</v>
      </c>
      <c r="G1542" s="16" t="n">
        <v>46177</v>
      </c>
      <c r="H1542" s="19" t="n">
        <v>2.468</v>
      </c>
      <c r="J1542" s="16" t="n">
        <v>46177</v>
      </c>
      <c r="K1542" s="19" t="n">
        <v>1.432</v>
      </c>
      <c r="M1542" s="16" t="n">
        <v>44099</v>
      </c>
      <c r="N1542" s="19" t="n">
        <v>134091</v>
      </c>
    </row>
    <row r="1543">
      <c r="A1543" s="16" t="n">
        <v>44098</v>
      </c>
      <c r="B1543" s="19" t="n">
        <v>1748.4</v>
      </c>
      <c r="D1543" s="16" t="n">
        <v>44092</v>
      </c>
      <c r="E1543" s="19" t="n">
        <v>29.88</v>
      </c>
      <c r="G1543" s="16" t="n">
        <v>46178</v>
      </c>
      <c r="H1543" s="19" t="n">
        <v>2.416</v>
      </c>
      <c r="J1543" s="16" t="n">
        <v>46178</v>
      </c>
      <c r="K1543" s="19" t="n">
        <v>1.424</v>
      </c>
      <c r="M1543" s="16" t="n">
        <v>44098</v>
      </c>
      <c r="N1543" s="19" t="n">
        <v>132614</v>
      </c>
    </row>
    <row r="1544">
      <c r="A1544" s="16" t="n">
        <v>44097</v>
      </c>
      <c r="B1544" s="19" t="n">
        <v>1755.52</v>
      </c>
      <c r="D1544" s="16" t="n">
        <v>44091</v>
      </c>
      <c r="E1544" s="19" t="n">
        <v>30.68</v>
      </c>
      <c r="G1544" s="16" t="n">
        <v>46181</v>
      </c>
      <c r="H1544" s="19" t="n">
        <v>2.438</v>
      </c>
      <c r="J1544" s="16" t="n">
        <v>46181</v>
      </c>
      <c r="K1544" s="19" t="n">
        <v>1.427</v>
      </c>
      <c r="M1544" s="16" t="n">
        <v>44097</v>
      </c>
      <c r="N1544" s="19" t="n">
        <v>133547</v>
      </c>
    </row>
    <row r="1545">
      <c r="A1545" s="16" t="n">
        <v>44096</v>
      </c>
      <c r="B1545" s="19" t="n">
        <v>1813.93</v>
      </c>
      <c r="D1545" s="16" t="n">
        <v>44090</v>
      </c>
      <c r="E1545" s="19" t="n">
        <v>29.49</v>
      </c>
      <c r="G1545" s="16" t="n">
        <v>46182</v>
      </c>
      <c r="H1545" s="19" t="n">
        <v>2.442</v>
      </c>
      <c r="J1545" s="16" t="n">
        <v>46182</v>
      </c>
      <c r="K1545" s="19" t="n">
        <v>1.423</v>
      </c>
      <c r="M1545" s="16" t="n">
        <v>44096</v>
      </c>
      <c r="N1545" s="19" t="n">
        <v>135626</v>
      </c>
    </row>
    <row r="1546">
      <c r="A1546" s="16" t="n">
        <v>44095</v>
      </c>
      <c r="B1546" s="19" t="n">
        <v>1817.36</v>
      </c>
      <c r="D1546" s="16" t="n">
        <v>44089</v>
      </c>
      <c r="E1546" s="19" t="n">
        <v>30.02</v>
      </c>
      <c r="G1546" s="16" t="n">
        <v>46183</v>
      </c>
      <c r="H1546" s="19" t="n">
        <v>2.464</v>
      </c>
      <c r="J1546" s="16" t="n">
        <v>46183</v>
      </c>
      <c r="K1546" s="19" t="n">
        <v>1.458</v>
      </c>
      <c r="M1546" s="16" t="n">
        <v>44095</v>
      </c>
      <c r="N1546" s="19" t="n">
        <v>135618</v>
      </c>
    </row>
    <row r="1547">
      <c r="A1547" s="16" t="n">
        <v>44092</v>
      </c>
      <c r="B1547" s="19" t="n">
        <v>1807.36</v>
      </c>
      <c r="D1547" s="16" t="n">
        <v>44088</v>
      </c>
      <c r="E1547" s="19" t="n">
        <v>29.08</v>
      </c>
      <c r="G1547" s="16" t="n">
        <v>46184</v>
      </c>
      <c r="H1547" s="19" t="n">
        <v>2.391</v>
      </c>
      <c r="J1547" s="16" t="n">
        <v>46184</v>
      </c>
      <c r="K1547" s="19" t="n">
        <v>1.427</v>
      </c>
      <c r="M1547" s="16" t="n">
        <v>44092</v>
      </c>
      <c r="N1547" s="19" t="n">
        <v>134730</v>
      </c>
    </row>
    <row r="1548">
      <c r="A1548" s="16" t="n">
        <v>44091</v>
      </c>
      <c r="B1548" s="19" t="n">
        <v>1797.96</v>
      </c>
      <c r="D1548" s="16" t="n">
        <v>44085</v>
      </c>
      <c r="E1548" s="19" t="n">
        <v>29.98</v>
      </c>
      <c r="G1548" s="16" t="n">
        <v>46185</v>
      </c>
      <c r="H1548" s="19" t="n">
        <v>2.386</v>
      </c>
      <c r="J1548" s="16" t="n">
        <v>46185</v>
      </c>
      <c r="K1548" s="19" t="n">
        <v>1.455</v>
      </c>
      <c r="M1548" s="16" t="n">
        <v>44091</v>
      </c>
      <c r="N1548" s="19" t="n">
        <v>134666</v>
      </c>
    </row>
    <row r="1549">
      <c r="A1549" s="16" t="n">
        <v>44090</v>
      </c>
      <c r="B1549" s="19" t="n">
        <v>1818.2</v>
      </c>
      <c r="D1549" s="16" t="n">
        <v>44084</v>
      </c>
      <c r="E1549" s="19" t="n">
        <v>30.33</v>
      </c>
      <c r="G1549" s="16" t="n">
        <v>46188</v>
      </c>
      <c r="H1549" s="19" t="n">
        <v>2.374</v>
      </c>
      <c r="J1549" s="16" t="n">
        <v>46188</v>
      </c>
      <c r="K1549" s="19" t="n">
        <v>1.476</v>
      </c>
      <c r="M1549" s="16" t="n">
        <v>44090</v>
      </c>
      <c r="N1549" s="19" t="n">
        <v>135299</v>
      </c>
    </row>
    <row r="1550">
      <c r="A1550" s="16" t="n">
        <v>44089</v>
      </c>
      <c r="B1550" s="19" t="n">
        <v>1823.62</v>
      </c>
      <c r="D1550" s="16" t="n">
        <v>44083</v>
      </c>
      <c r="E1550" s="19" t="n">
        <v>28.59</v>
      </c>
      <c r="G1550" s="16" t="n">
        <v>46189</v>
      </c>
      <c r="H1550" s="19" t="n">
        <v>2.299</v>
      </c>
      <c r="J1550" s="16" t="n">
        <v>46189</v>
      </c>
      <c r="K1550" s="19" t="n">
        <v>1.439</v>
      </c>
      <c r="M1550" s="16" t="n">
        <v>44089</v>
      </c>
      <c r="N1550" s="19" t="n">
        <v>135305</v>
      </c>
    </row>
    <row r="1551">
      <c r="A1551" s="16" t="n">
        <v>44088</v>
      </c>
      <c r="B1551" s="19" t="n">
        <v>1852.72</v>
      </c>
      <c r="D1551" s="16" t="n">
        <v>44082</v>
      </c>
      <c r="E1551" s="19" t="n">
        <v>28.16</v>
      </c>
      <c r="G1551" s="16" t="n">
        <v>46190</v>
      </c>
      <c r="H1551" s="19" t="n">
        <v>2.261</v>
      </c>
      <c r="J1551" s="16" t="n">
        <v>46190</v>
      </c>
      <c r="K1551" s="19" t="n">
        <v>1.418</v>
      </c>
      <c r="M1551" s="16" t="n">
        <v>44088</v>
      </c>
      <c r="N1551" s="19" t="n">
        <v>136419</v>
      </c>
    </row>
    <row r="1552">
      <c r="A1552" s="16" t="n">
        <v>44085</v>
      </c>
      <c r="B1552" s="19" t="n">
        <v>1841.09</v>
      </c>
      <c r="D1552" s="16" t="n">
        <v>44081</v>
      </c>
      <c r="E1552" s="19" t="n">
        <v>26.21</v>
      </c>
      <c r="G1552" s="16" t="n">
        <v>46191</v>
      </c>
      <c r="H1552" s="19" t="n">
        <v>2.31</v>
      </c>
      <c r="J1552" s="16" t="n">
        <v>46191</v>
      </c>
      <c r="K1552" s="19" t="n">
        <v>1.409</v>
      </c>
      <c r="M1552" s="16" t="n">
        <v>44085</v>
      </c>
      <c r="N1552" s="19" t="n">
        <v>136158</v>
      </c>
    </row>
    <row r="1553">
      <c r="A1553" s="16" t="n">
        <v>44084</v>
      </c>
      <c r="B1553" s="19" t="n">
        <v>1831.88</v>
      </c>
      <c r="D1553" s="16" t="n">
        <v>44078</v>
      </c>
      <c r="E1553" s="19" t="n">
        <v>25.56</v>
      </c>
      <c r="G1553" s="16" t="n">
        <v>46192</v>
      </c>
      <c r="H1553" s="19" t="n">
        <v>2.379</v>
      </c>
      <c r="J1553" s="16" t="n">
        <v>46192</v>
      </c>
      <c r="K1553" s="19" t="n">
        <v>1.448</v>
      </c>
      <c r="M1553" s="16" t="n">
        <v>44084</v>
      </c>
      <c r="N1553" s="19" t="n">
        <v>134627</v>
      </c>
    </row>
    <row r="1554">
      <c r="A1554" s="16" t="n">
        <v>44083</v>
      </c>
      <c r="B1554" s="19" t="n">
        <v>1850.97</v>
      </c>
      <c r="D1554" s="16" t="n">
        <v>44077</v>
      </c>
      <c r="E1554" s="19" t="n">
        <v>23.9</v>
      </c>
      <c r="G1554" s="16" t="n">
        <v>46195</v>
      </c>
      <c r="H1554" s="19" t="n">
        <v>2.287</v>
      </c>
      <c r="J1554" s="16" t="n">
        <v>46195</v>
      </c>
      <c r="K1554" s="19" t="n">
        <v>1.405</v>
      </c>
      <c r="M1554" s="16" t="n">
        <v>44083</v>
      </c>
      <c r="N1554" s="19" t="n">
        <v>135409</v>
      </c>
    </row>
    <row r="1555">
      <c r="A1555" s="16" t="n">
        <v>44082</v>
      </c>
      <c r="B1555" s="19" t="n">
        <v>1864.98</v>
      </c>
      <c r="D1555" s="16" t="n">
        <v>44076</v>
      </c>
      <c r="E1555" s="19" t="n">
        <v>26.65</v>
      </c>
      <c r="G1555" s="16" t="n">
        <v>46196</v>
      </c>
      <c r="H1555" s="19" t="n">
        <v>2.285</v>
      </c>
      <c r="J1555" s="16" t="n">
        <v>46196</v>
      </c>
      <c r="K1555" s="19" t="n">
        <v>1.411</v>
      </c>
      <c r="M1555" s="16" t="n">
        <v>44082</v>
      </c>
      <c r="N1555" s="19" t="n">
        <v>135620</v>
      </c>
    </row>
    <row r="1556">
      <c r="A1556" s="16" t="n">
        <v>44081</v>
      </c>
      <c r="B1556" s="19" t="n">
        <v>1894.68</v>
      </c>
      <c r="D1556" s="16" t="n">
        <v>44075</v>
      </c>
      <c r="E1556" s="19" t="n">
        <v>26.59</v>
      </c>
      <c r="G1556" s="16" t="n">
        <v>46197</v>
      </c>
      <c r="H1556" s="19" t="n">
        <v>2.306</v>
      </c>
      <c r="J1556" s="16" t="n">
        <v>46197</v>
      </c>
      <c r="K1556" s="19" t="n">
        <v>1.437</v>
      </c>
      <c r="M1556" s="16" t="n">
        <v>44081</v>
      </c>
      <c r="N1556" s="19" t="n">
        <v>137198</v>
      </c>
    </row>
    <row r="1557">
      <c r="A1557" s="16" t="n">
        <v>44078</v>
      </c>
      <c r="B1557" s="19" t="n">
        <v>1903.3</v>
      </c>
      <c r="D1557" s="16" t="n">
        <v>44074</v>
      </c>
      <c r="E1557" s="19" t="n">
        <v>26.33</v>
      </c>
      <c r="G1557" s="16" t="n">
        <v>46198</v>
      </c>
      <c r="H1557" s="19" t="n">
        <v>2.239</v>
      </c>
      <c r="J1557" s="16" t="n">
        <v>46198</v>
      </c>
      <c r="K1557" s="19" t="n">
        <v>1.403</v>
      </c>
      <c r="M1557" s="16" t="n">
        <v>44078</v>
      </c>
      <c r="N1557" s="19" t="n">
        <v>137453</v>
      </c>
    </row>
    <row r="1558">
      <c r="A1558" s="16" t="n">
        <v>44077</v>
      </c>
      <c r="B1558" s="19" t="n">
        <v>1909.23</v>
      </c>
      <c r="D1558" s="16" t="n">
        <v>44071</v>
      </c>
      <c r="E1558" s="19" t="n">
        <v>24.69</v>
      </c>
      <c r="G1558" s="16" t="n">
        <v>46199</v>
      </c>
      <c r="H1558" s="19" t="n">
        <v>2.223</v>
      </c>
      <c r="J1558" s="16" t="n">
        <v>46199</v>
      </c>
      <c r="K1558" s="19" t="n">
        <v>1.373</v>
      </c>
      <c r="M1558" s="16" t="n">
        <v>44077</v>
      </c>
      <c r="N1558" s="19" t="n">
        <v>137620</v>
      </c>
    </row>
    <row r="1559">
      <c r="A1559" s="16" t="n">
        <v>44076</v>
      </c>
      <c r="B1559" s="19" t="n">
        <v>1875.07</v>
      </c>
      <c r="D1559" s="16" t="n">
        <v>44070</v>
      </c>
      <c r="E1559" s="19" t="n">
        <v>23.17</v>
      </c>
      <c r="G1559" s="16" t="n">
        <v>46202</v>
      </c>
      <c r="H1559" s="19" t="n">
        <v>2.223</v>
      </c>
      <c r="J1559" s="16" t="n">
        <v>46202</v>
      </c>
      <c r="K1559" s="19" t="n">
        <v>1.365</v>
      </c>
      <c r="M1559" s="16" t="n">
        <v>44076</v>
      </c>
      <c r="N1559" s="19" t="n">
        <v>136440</v>
      </c>
    </row>
    <row r="1560">
      <c r="A1560" s="16" t="n">
        <v>44075</v>
      </c>
      <c r="B1560" s="19" t="n">
        <v>1879.19</v>
      </c>
      <c r="D1560" s="16" t="n">
        <v>44069</v>
      </c>
      <c r="E1560" s="19" t="n">
        <v>23.64</v>
      </c>
      <c r="G1560" s="16" t="n">
        <v>46203</v>
      </c>
      <c r="H1560" s="19" t="n">
        <v>2.178</v>
      </c>
      <c r="J1560" s="16" t="n">
        <v>46203</v>
      </c>
      <c r="K1560" s="19" t="n">
        <v>1.345</v>
      </c>
      <c r="M1560" s="16" t="n">
        <v>44075</v>
      </c>
      <c r="N1560" s="19" t="n">
        <v>137187</v>
      </c>
    </row>
    <row r="1561">
      <c r="A1561" s="16" t="n">
        <v>44074</v>
      </c>
      <c r="B1561" s="19" t="n">
        <v>1883.15</v>
      </c>
      <c r="D1561" s="16" t="n">
        <v>44068</v>
      </c>
      <c r="E1561" s="19" t="n">
        <v>23.69</v>
      </c>
      <c r="G1561" s="16" t="n">
        <v>46204</v>
      </c>
      <c r="H1561" s="19" t="n">
        <v>2.161</v>
      </c>
      <c r="J1561" s="16" t="n">
        <v>46204</v>
      </c>
      <c r="K1561" s="19" t="n">
        <v>1.324</v>
      </c>
      <c r="M1561" s="16" t="n">
        <v>44074</v>
      </c>
      <c r="N1561" s="19" t="n">
        <v>137473</v>
      </c>
    </row>
    <row r="1562">
      <c r="A1562" s="16" t="n">
        <v>44071</v>
      </c>
      <c r="B1562" s="19" t="n">
        <v>1901.73</v>
      </c>
      <c r="D1562" s="16" t="n">
        <v>44067</v>
      </c>
      <c r="E1562" s="19" t="n">
        <v>24.09</v>
      </c>
      <c r="G1562" s="16" t="n">
        <v>46205</v>
      </c>
      <c r="H1562" s="19" t="n">
        <v>2.173</v>
      </c>
      <c r="J1562" s="16" t="n">
        <v>46205</v>
      </c>
      <c r="K1562" s="19" t="n">
        <v>1.317</v>
      </c>
      <c r="M1562" s="16" t="n">
        <v>44071</v>
      </c>
      <c r="N1562" s="19" t="n">
        <v>138776</v>
      </c>
    </row>
    <row r="1563">
      <c r="A1563" s="16" t="n">
        <v>44070</v>
      </c>
      <c r="B1563" s="19" t="n">
        <v>1937.26</v>
      </c>
      <c r="D1563" s="16" t="n">
        <v>44064</v>
      </c>
      <c r="E1563" s="19" t="n">
        <v>25.48</v>
      </c>
      <c r="G1563" s="16" t="n">
        <v>46206</v>
      </c>
      <c r="H1563" s="19" t="n">
        <v>2.216</v>
      </c>
      <c r="J1563" s="16" t="n">
        <v>46206</v>
      </c>
      <c r="K1563" s="19" t="n">
        <v>1.309</v>
      </c>
      <c r="M1563" s="16" t="n">
        <v>44070</v>
      </c>
      <c r="N1563" s="19" t="n">
        <v>139118</v>
      </c>
    </row>
    <row r="1564">
      <c r="A1564" s="16" t="n">
        <v>44069</v>
      </c>
      <c r="B1564" s="19" t="n">
        <v>1930.17</v>
      </c>
      <c r="D1564" s="16" t="n">
        <v>44063</v>
      </c>
      <c r="E1564" s="19" t="n">
        <v>25.8</v>
      </c>
      <c r="G1564" s="16" t="n">
        <v>46209</v>
      </c>
      <c r="H1564" s="19" t="n">
        <v>2.271</v>
      </c>
      <c r="J1564" s="16" t="n">
        <v>46209</v>
      </c>
      <c r="K1564" s="19" t="n">
        <v>1.337</v>
      </c>
      <c r="M1564" s="16" t="n">
        <v>44069</v>
      </c>
      <c r="N1564" s="19" t="n">
        <v>139143</v>
      </c>
    </row>
    <row r="1565">
      <c r="A1565" s="16" t="n">
        <v>44068</v>
      </c>
      <c r="B1565" s="19" t="n">
        <v>1947.58</v>
      </c>
      <c r="D1565" s="16" t="n">
        <v>44062</v>
      </c>
      <c r="E1565" s="19" t="n">
        <v>24.59</v>
      </c>
      <c r="G1565" s="16" t="n">
        <v>46210</v>
      </c>
      <c r="H1565" s="19" t="n">
        <v>2.288</v>
      </c>
      <c r="J1565" s="16" t="n">
        <v>46210</v>
      </c>
      <c r="K1565" s="19" t="n">
        <v>1.356</v>
      </c>
      <c r="M1565" s="16" t="n">
        <v>44068</v>
      </c>
      <c r="N1565" s="19" t="n">
        <v>139064</v>
      </c>
    </row>
    <row r="1566">
      <c r="A1566" s="16" t="n">
        <v>44067</v>
      </c>
      <c r="B1566" s="19" t="n">
        <v>1954.24</v>
      </c>
      <c r="D1566" s="16" t="n">
        <v>44061</v>
      </c>
      <c r="E1566" s="19" t="n">
        <v>24.78</v>
      </c>
      <c r="G1566" s="16" t="n">
        <v>46211</v>
      </c>
      <c r="H1566" s="19" t="n">
        <v>2.371</v>
      </c>
      <c r="J1566" s="16" t="n">
        <v>46211</v>
      </c>
      <c r="K1566" s="19" t="n">
        <v>1.412</v>
      </c>
      <c r="M1566" s="16" t="n">
        <v>44067</v>
      </c>
      <c r="N1566" s="19" t="n">
        <v>139721</v>
      </c>
    </row>
    <row r="1567">
      <c r="A1567" s="16" t="n">
        <v>44064</v>
      </c>
      <c r="B1567" s="19" t="n">
        <v>1945.35</v>
      </c>
      <c r="D1567" s="16" t="n">
        <v>44060</v>
      </c>
      <c r="E1567" s="19" t="n">
        <v>23.82</v>
      </c>
      <c r="G1567" s="16" t="n">
        <v>46212</v>
      </c>
      <c r="H1567" s="19" t="n">
        <v>2.329</v>
      </c>
      <c r="J1567" s="16" t="n">
        <v>46212</v>
      </c>
      <c r="K1567" s="19" t="n">
        <v>1.385</v>
      </c>
      <c r="M1567" s="16" t="n">
        <v>44064</v>
      </c>
      <c r="N1567" s="19" t="n">
        <v>139205</v>
      </c>
    </row>
    <row r="1568">
      <c r="A1568" s="16" t="n">
        <v>44063</v>
      </c>
      <c r="B1568" s="19" t="n">
        <v>1942.01</v>
      </c>
      <c r="D1568" s="16" t="n">
        <v>44057</v>
      </c>
      <c r="E1568" s="19" t="n">
        <v>21.81</v>
      </c>
      <c r="G1568" s="16" t="n">
        <v>46213</v>
      </c>
      <c r="H1568" s="19" t="n">
        <v>2.324</v>
      </c>
      <c r="J1568" s="16" t="n">
        <v>46213</v>
      </c>
      <c r="K1568" s="19" t="n">
        <v>1.404</v>
      </c>
      <c r="M1568" s="16" t="n">
        <v>44063</v>
      </c>
      <c r="N1568" s="19" t="n">
        <v>139327</v>
      </c>
    </row>
    <row r="1569">
      <c r="A1569" s="16" t="n">
        <v>44062</v>
      </c>
      <c r="B1569" s="19" t="n">
        <v>1958.76</v>
      </c>
      <c r="D1569" s="16" t="n">
        <v>44056</v>
      </c>
      <c r="E1569" s="19" t="n">
        <v>23.21</v>
      </c>
      <c r="G1569" s="16" t="n">
        <v>46216</v>
      </c>
      <c r="H1569" s="19" t="n">
        <v>2.254</v>
      </c>
      <c r="J1569" s="16" t="n">
        <v>46216</v>
      </c>
      <c r="K1569" s="19" t="n">
        <v>1.394</v>
      </c>
      <c r="M1569" s="16" t="n">
        <v>44062</v>
      </c>
      <c r="N1569" s="19" t="n">
        <v>139888</v>
      </c>
    </row>
    <row r="1570">
      <c r="A1570" s="16" t="n">
        <v>44061</v>
      </c>
      <c r="B1570" s="19" t="n">
        <v>1948.83</v>
      </c>
      <c r="D1570" s="16" t="n">
        <v>44055</v>
      </c>
      <c r="E1570" s="19" t="n">
        <v>21.54</v>
      </c>
      <c r="G1570" s="16" t="n">
        <v>46217</v>
      </c>
      <c r="H1570" s="19" t="n">
        <v>2.269</v>
      </c>
      <c r="J1570" s="16" t="n">
        <v>46217</v>
      </c>
      <c r="K1570" s="19" t="n">
        <v>1.388</v>
      </c>
      <c r="M1570" s="16" t="n">
        <v>44061</v>
      </c>
      <c r="N1570" s="19" t="n">
        <v>139378</v>
      </c>
    </row>
    <row r="1571">
      <c r="A1571" s="16" t="n">
        <v>44060</v>
      </c>
      <c r="B1571" s="19" t="n">
        <v>1959.86</v>
      </c>
      <c r="D1571" s="16" t="n">
        <v>44054</v>
      </c>
      <c r="E1571" s="19" t="n">
        <v>19.4</v>
      </c>
      <c r="G1571" s="16" t="n">
        <v>46218</v>
      </c>
      <c r="H1571" s="19" t="n">
        <v>2.285</v>
      </c>
      <c r="J1571" s="16" t="n">
        <v>46218</v>
      </c>
      <c r="K1571" s="19" t="n">
        <v>1.387</v>
      </c>
      <c r="M1571" s="16" t="n">
        <v>44060</v>
      </c>
      <c r="N1571" s="19" t="n">
        <v>139430</v>
      </c>
    </row>
    <row r="1572">
      <c r="A1572" s="16" t="n">
        <v>44057</v>
      </c>
      <c r="B1572" s="19" t="n">
        <v>1998.62</v>
      </c>
      <c r="D1572" s="16" t="n">
        <v>44053</v>
      </c>
      <c r="E1572" s="19" t="n">
        <v>18.93</v>
      </c>
      <c r="G1572" s="16" t="n">
        <v>46219</v>
      </c>
      <c r="H1572" s="19" t="n">
        <v>2.303</v>
      </c>
      <c r="J1572" s="16" t="n">
        <v>46219</v>
      </c>
      <c r="K1572" s="19" t="n">
        <v>1.398</v>
      </c>
      <c r="M1572" s="16" t="n">
        <v>44057</v>
      </c>
      <c r="N1572" s="19" t="n">
        <v>141310</v>
      </c>
    </row>
    <row r="1573">
      <c r="A1573" s="16" t="n">
        <v>44056</v>
      </c>
      <c r="B1573" s="19" t="n">
        <v>1975.6</v>
      </c>
      <c r="D1573" s="16" t="n">
        <v>44050</v>
      </c>
      <c r="E1573" s="19" t="n">
        <v>19.19</v>
      </c>
      <c r="G1573" s="16" t="n">
        <v>46220</v>
      </c>
      <c r="H1573" s="19" t="n">
        <v>2.302</v>
      </c>
      <c r="J1573" s="16" t="n">
        <v>46220</v>
      </c>
      <c r="K1573" s="19" t="n">
        <v>1.398</v>
      </c>
      <c r="M1573" s="16" t="n">
        <v>44056</v>
      </c>
      <c r="N1573" s="19" t="n">
        <v>139723</v>
      </c>
    </row>
    <row r="1574">
      <c r="A1574" s="16" t="n">
        <v>44055</v>
      </c>
      <c r="B1574" s="19" t="n">
        <v>2011.58</v>
      </c>
      <c r="D1574" s="16" t="n">
        <v>44049</v>
      </c>
      <c r="E1574" s="19" t="n">
        <v>19.36</v>
      </c>
      <c r="G1574" s="16" t="n">
        <v>46223</v>
      </c>
      <c r="H1574" s="19" t="n">
        <v>2.313</v>
      </c>
      <c r="J1574" s="16" t="n">
        <v>46223</v>
      </c>
      <c r="K1574" s="19" t="n">
        <v>1.44</v>
      </c>
      <c r="M1574" s="16" t="n">
        <v>44055</v>
      </c>
      <c r="N1574" s="19" t="n">
        <v>141772</v>
      </c>
    </row>
    <row r="1575">
      <c r="A1575" s="16" t="n">
        <v>44054</v>
      </c>
      <c r="B1575" s="19" t="n">
        <v>2042.16</v>
      </c>
      <c r="D1575" s="16" t="n">
        <v>44048</v>
      </c>
      <c r="E1575" s="19" t="n">
        <v>21.47</v>
      </c>
      <c r="G1575" s="16" t="n">
        <v>46224</v>
      </c>
      <c r="H1575" s="19" t="n">
        <v>2.397</v>
      </c>
      <c r="J1575" s="16" t="n">
        <v>46224</v>
      </c>
      <c r="K1575" s="19" t="n">
        <v>1.462</v>
      </c>
      <c r="M1575" s="16" t="n">
        <v>44054</v>
      </c>
      <c r="N1575" s="19" t="n">
        <v>143818</v>
      </c>
    </row>
    <row r="1576">
      <c r="A1576" s="16" t="n">
        <v>44053</v>
      </c>
      <c r="B1576" s="19" t="n">
        <v>2033.48</v>
      </c>
      <c r="D1576" s="16" t="n">
        <v>44047</v>
      </c>
      <c r="E1576" s="19" t="n">
        <v>22.43</v>
      </c>
      <c r="G1576" s="16" t="n">
        <v>46225</v>
      </c>
      <c r="H1576" s="19" t="n">
        <v>2.381</v>
      </c>
      <c r="J1576" s="16" t="n">
        <v>46225</v>
      </c>
      <c r="K1576" s="19" t="n">
        <v>1.47</v>
      </c>
      <c r="M1576" s="16" t="n">
        <v>44053</v>
      </c>
      <c r="N1576" s="19" t="n">
        <v>142871</v>
      </c>
    </row>
    <row r="1577">
      <c r="A1577" s="16" t="n">
        <v>44050</v>
      </c>
      <c r="B1577" s="19" t="n">
        <v>2027.23</v>
      </c>
      <c r="D1577" s="16" t="n">
        <v>44046</v>
      </c>
      <c r="E1577" s="19" t="n">
        <v>24.03</v>
      </c>
      <c r="G1577" s="16" t="n">
        <v>46226</v>
      </c>
      <c r="H1577" s="19" t="n">
        <v>2.381</v>
      </c>
      <c r="J1577" s="16" t="n">
        <v>46226</v>
      </c>
      <c r="K1577" s="19" t="n">
        <v>1.449</v>
      </c>
      <c r="M1577" s="16" t="n">
        <v>44050</v>
      </c>
      <c r="N1577" s="19" t="n">
        <v>143082</v>
      </c>
    </row>
    <row r="1578">
      <c r="A1578" s="16" t="n">
        <v>44049</v>
      </c>
      <c r="B1578" s="19" t="n">
        <v>2035.72</v>
      </c>
      <c r="D1578" s="16" t="n">
        <v>44043</v>
      </c>
      <c r="E1578" s="19" t="n">
        <v>21.18</v>
      </c>
      <c r="G1578" s="16" t="n">
        <v>46227</v>
      </c>
      <c r="H1578" s="19" t="n">
        <v>2.428</v>
      </c>
      <c r="J1578" s="16" t="n">
        <v>46227</v>
      </c>
      <c r="K1578" s="19" t="n">
        <v>1.477</v>
      </c>
      <c r="M1578" s="16" t="n">
        <v>44049</v>
      </c>
      <c r="N1578" s="19" t="n">
        <v>143379</v>
      </c>
    </row>
    <row r="1579">
      <c r="A1579" s="16" t="n">
        <v>44048</v>
      </c>
      <c r="B1579" s="19" t="n">
        <v>2022.86</v>
      </c>
      <c r="D1579" s="16" t="n">
        <v>44042</v>
      </c>
      <c r="E1579" s="19" t="n">
        <v>19.62</v>
      </c>
      <c r="G1579" s="16" t="n">
        <v>46230</v>
      </c>
      <c r="H1579" s="19" t="n">
        <v>2.446</v>
      </c>
      <c r="J1579" s="16" t="n">
        <v>46230</v>
      </c>
      <c r="K1579" s="19" t="n">
        <v>1.452</v>
      </c>
      <c r="M1579" s="16" t="n">
        <v>44048</v>
      </c>
      <c r="N1579" s="19" t="n">
        <v>142813</v>
      </c>
    </row>
    <row r="1580">
      <c r="A1580" s="16" t="n">
        <v>44047</v>
      </c>
      <c r="B1580" s="19" t="n">
        <v>2007.29</v>
      </c>
      <c r="D1580" s="16" t="n">
        <v>44041</v>
      </c>
      <c r="E1580" s="19" t="n">
        <v>20.84</v>
      </c>
      <c r="G1580" s="16" t="n">
        <v>46231</v>
      </c>
      <c r="H1580" s="19" t="n">
        <v>2.437</v>
      </c>
      <c r="J1580" s="16" t="n">
        <v>46231</v>
      </c>
      <c r="K1580" s="19" t="n">
        <v>1.467</v>
      </c>
      <c r="M1580" s="16" t="n">
        <v>44047</v>
      </c>
      <c r="N1580" s="19" t="n">
        <v>142272</v>
      </c>
    </row>
    <row r="1581">
      <c r="A1581" s="16" t="n">
        <v>44046</v>
      </c>
      <c r="B1581" s="19" t="n">
        <v>1985.9</v>
      </c>
      <c r="D1581" s="16" t="n">
        <v>44040</v>
      </c>
      <c r="E1581" s="19" t="n">
        <v>20.46</v>
      </c>
      <c r="G1581" s="16" t="n">
        <v>46232</v>
      </c>
      <c r="H1581" s="19" t="n">
        <v>2.481</v>
      </c>
      <c r="J1581" s="16" t="n">
        <v>46232</v>
      </c>
      <c r="K1581" s="19" t="n">
        <v>1.51</v>
      </c>
      <c r="M1581" s="16" t="n">
        <v>44046</v>
      </c>
      <c r="N1581" s="19" t="n">
        <v>140518</v>
      </c>
    </row>
    <row r="1582">
      <c r="A1582" s="16" t="n">
        <v>44043</v>
      </c>
      <c r="B1582" s="19" t="n">
        <v>2034.41</v>
      </c>
      <c r="D1582" s="16" t="n">
        <v>44039</v>
      </c>
      <c r="E1582" s="19" t="n">
        <v>20.14</v>
      </c>
      <c r="G1582" s="16" t="n">
        <v>46233</v>
      </c>
      <c r="H1582" s="19" t="n">
        <v>2.437</v>
      </c>
      <c r="J1582" s="16" t="n">
        <v>46233</v>
      </c>
      <c r="K1582" s="19" t="n">
        <v>1.517</v>
      </c>
      <c r="M1582" s="16" t="n">
        <v>44043</v>
      </c>
      <c r="N1582" s="19" t="n">
        <v>142399</v>
      </c>
    </row>
    <row r="1583">
      <c r="A1583" s="16" t="n">
        <v>44042</v>
      </c>
      <c r="B1583" s="19" t="n">
        <v>2052.91</v>
      </c>
      <c r="D1583" s="16" t="n">
        <v>44036</v>
      </c>
      <c r="E1583" s="19" t="n">
        <v>21.58</v>
      </c>
      <c r="G1583" s="16" t="n">
        <v>46234</v>
      </c>
      <c r="H1583" s="19" t="n">
        <v>2.455</v>
      </c>
      <c r="J1583" s="16" t="n">
        <v>46234</v>
      </c>
      <c r="K1583" s="19" t="n">
        <v>1.493</v>
      </c>
      <c r="M1583" s="16" t="n">
        <v>44042</v>
      </c>
      <c r="N1583" s="19" t="n">
        <v>143304</v>
      </c>
    </row>
    <row r="1584">
      <c r="A1584" s="16" t="n">
        <v>44041</v>
      </c>
      <c r="B1584" s="19" t="n">
        <v>2048.53</v>
      </c>
      <c r="D1584" s="16" t="n">
        <v>44035</v>
      </c>
      <c r="E1584" s="19" t="n">
        <v>21.69</v>
      </c>
      <c r="G1584" s="16" t="n">
        <v>46237</v>
      </c>
      <c r="H1584" s="19" t="n">
        <v>2.576</v>
      </c>
      <c r="J1584" s="16" t="n">
        <v>46237</v>
      </c>
      <c r="K1584" s="19" t="n">
        <v>1.497</v>
      </c>
      <c r="M1584" s="16" t="n">
        <v>44041</v>
      </c>
      <c r="N1584" s="19" t="n">
        <v>143463</v>
      </c>
    </row>
    <row r="1585">
      <c r="A1585" s="16" t="n">
        <v>44040</v>
      </c>
      <c r="B1585" s="19" t="n">
        <v>2049.02</v>
      </c>
      <c r="D1585" s="16" t="n">
        <v>44034</v>
      </c>
      <c r="E1585" s="19" t="n">
        <v>20.51</v>
      </c>
      <c r="G1585" s="16" t="n">
        <v>46238</v>
      </c>
      <c r="H1585" s="19" t="n">
        <v>2.601</v>
      </c>
      <c r="J1585" s="16" t="n">
        <v>46238</v>
      </c>
      <c r="K1585" s="19" t="n">
        <v>1.47</v>
      </c>
      <c r="M1585" s="16" t="n">
        <v>44040</v>
      </c>
      <c r="N1585" s="19" t="n">
        <v>143727</v>
      </c>
    </row>
    <row r="1586">
      <c r="A1586" s="16" t="n">
        <v>44039</v>
      </c>
      <c r="B1586" s="19" t="n">
        <v>2039.03</v>
      </c>
      <c r="D1586" s="16" t="n">
        <v>44033</v>
      </c>
      <c r="E1586" s="19" t="n">
        <v>21.74</v>
      </c>
      <c r="G1586" s="16" t="n">
        <v>46239</v>
      </c>
      <c r="H1586" s="19" t="n">
        <v>2.635</v>
      </c>
      <c r="J1586" s="16" t="n">
        <v>46239</v>
      </c>
      <c r="K1586" s="19" t="n">
        <v>1.43</v>
      </c>
      <c r="M1586" s="16" t="n">
        <v>44039</v>
      </c>
      <c r="N1586" s="19" t="n">
        <v>143692</v>
      </c>
    </row>
    <row r="1587">
      <c r="A1587" s="16" t="n">
        <v>44036</v>
      </c>
      <c r="B1587" s="19" t="n">
        <v>2020.84</v>
      </c>
      <c r="D1587" s="16" t="n">
        <v>44032</v>
      </c>
      <c r="E1587" s="19" t="n">
        <v>20.48</v>
      </c>
      <c r="G1587" s="16" t="n">
        <v>46240</v>
      </c>
      <c r="H1587" s="19" t="n">
        <v>2.699</v>
      </c>
      <c r="J1587" s="16" t="n">
        <v>46240</v>
      </c>
      <c r="K1587" s="19" t="n">
        <v>1.442</v>
      </c>
      <c r="M1587" s="16" t="n">
        <v>44036</v>
      </c>
      <c r="N1587" s="19" t="n">
        <v>142848</v>
      </c>
    </row>
    <row r="1588">
      <c r="A1588" s="16" t="n">
        <v>44035</v>
      </c>
      <c r="B1588" s="19" t="n">
        <v>2041.55</v>
      </c>
      <c r="D1588" s="16" t="n">
        <v>44029</v>
      </c>
      <c r="E1588" s="19" t="n">
        <v>20.4</v>
      </c>
      <c r="G1588" s="16" t="n">
        <v>46241</v>
      </c>
      <c r="H1588" s="19" t="n">
        <v>2.595</v>
      </c>
      <c r="J1588" s="16" t="n">
        <v>46241</v>
      </c>
      <c r="K1588" s="19" t="n">
        <v>1.412</v>
      </c>
      <c r="M1588" s="16" t="n">
        <v>44035</v>
      </c>
      <c r="N1588" s="19" t="n">
        <v>144428</v>
      </c>
    </row>
    <row r="1589">
      <c r="A1589" s="16" t="n">
        <v>44034</v>
      </c>
      <c r="B1589" s="19" t="n">
        <v>2051.64</v>
      </c>
      <c r="D1589" s="16" t="n">
        <v>44028</v>
      </c>
      <c r="E1589" s="19" t="n">
        <v>18.66</v>
      </c>
      <c r="G1589" s="16" t="n">
        <v>46244</v>
      </c>
      <c r="H1589" s="19" t="n">
        <v>2.632</v>
      </c>
      <c r="J1589" s="16" t="n">
        <v>46244</v>
      </c>
      <c r="K1589" s="19" t="n">
        <v>1.39</v>
      </c>
      <c r="M1589" s="16" t="n">
        <v>44034</v>
      </c>
      <c r="N1589" s="19" t="n">
        <v>144435</v>
      </c>
    </row>
    <row r="1590">
      <c r="A1590" s="16" t="n">
        <v>44033</v>
      </c>
      <c r="B1590" s="19" t="n">
        <v>2038.75</v>
      </c>
      <c r="D1590" s="16" t="n">
        <v>44027</v>
      </c>
      <c r="E1590" s="19" t="n">
        <v>20.84</v>
      </c>
      <c r="G1590" s="16" t="n">
        <v>46245</v>
      </c>
      <c r="H1590" s="19" t="n">
        <v>2.676</v>
      </c>
      <c r="J1590" s="16" t="n">
        <v>46245</v>
      </c>
      <c r="K1590" s="19" t="n">
        <v>1.411</v>
      </c>
      <c r="M1590" s="16" t="n">
        <v>44033</v>
      </c>
      <c r="N1590" s="19" t="n">
        <v>144841</v>
      </c>
    </row>
    <row r="1591">
      <c r="A1591" s="16" t="n">
        <v>44032</v>
      </c>
      <c r="B1591" s="19" t="n">
        <v>2062.93</v>
      </c>
      <c r="D1591" s="16" t="n">
        <v>44026</v>
      </c>
      <c r="E1591" s="19" t="n">
        <v>19.56</v>
      </c>
      <c r="G1591" s="16" t="n">
        <v>46246</v>
      </c>
      <c r="H1591" s="19" t="n">
        <v>2.61</v>
      </c>
      <c r="J1591" s="16" t="n">
        <v>46246</v>
      </c>
      <c r="K1591" s="19" t="n">
        <v>1.408</v>
      </c>
      <c r="M1591" s="16" t="n">
        <v>44032</v>
      </c>
      <c r="N1591" s="19" t="n">
        <v>146105</v>
      </c>
    </row>
    <row r="1592">
      <c r="A1592" s="16" t="n">
        <v>44029</v>
      </c>
      <c r="B1592" s="19" t="n">
        <v>2068.45</v>
      </c>
      <c r="D1592" s="16" t="n">
        <v>44025</v>
      </c>
      <c r="E1592" s="19" t="n">
        <v>19.92</v>
      </c>
      <c r="G1592" s="16" t="n">
        <v>46247</v>
      </c>
      <c r="H1592" s="19" t="n">
        <v>2.612</v>
      </c>
      <c r="J1592" s="16" t="n">
        <v>46247</v>
      </c>
      <c r="K1592" s="19" t="n">
        <v>1.407</v>
      </c>
      <c r="M1592" s="16" t="n">
        <v>44029</v>
      </c>
      <c r="N1592" s="19" t="n">
        <v>146188</v>
      </c>
    </row>
    <row r="1593">
      <c r="A1593" s="16" t="n">
        <v>44028</v>
      </c>
      <c r="B1593" s="19" t="n">
        <v>2108.47</v>
      </c>
      <c r="D1593" s="16" t="n">
        <v>44022</v>
      </c>
      <c r="E1593" s="19" t="n">
        <v>22.94</v>
      </c>
      <c r="G1593" s="16" t="n">
        <v>46248</v>
      </c>
      <c r="H1593" s="19" t="n">
        <v>2.597</v>
      </c>
      <c r="J1593" s="16" t="n">
        <v>46248</v>
      </c>
      <c r="K1593" s="19" t="n">
        <v>1.398</v>
      </c>
      <c r="M1593" s="16" t="n">
        <v>44028</v>
      </c>
      <c r="N1593" s="19" t="n">
        <v>148067</v>
      </c>
    </row>
    <row r="1594">
      <c r="A1594" s="16" t="n">
        <v>44027</v>
      </c>
      <c r="B1594" s="19" t="n">
        <v>2071.09</v>
      </c>
      <c r="D1594" s="16" t="n">
        <v>44021</v>
      </c>
      <c r="E1594" s="19" t="n">
        <v>24.02</v>
      </c>
      <c r="G1594" s="16" t="n">
        <v>46251</v>
      </c>
      <c r="H1594" s="19" t="n">
        <v>2.634</v>
      </c>
      <c r="J1594" s="16" t="n">
        <v>46251</v>
      </c>
      <c r="K1594" s="19" t="n">
        <v>1.39</v>
      </c>
      <c r="M1594" s="16" t="n">
        <v>44027</v>
      </c>
      <c r="N1594" s="19" t="n">
        <v>146507</v>
      </c>
    </row>
    <row r="1595">
      <c r="A1595" s="16" t="n">
        <v>44026</v>
      </c>
      <c r="B1595" s="19" t="n">
        <v>2081.98</v>
      </c>
      <c r="D1595" s="16" t="n">
        <v>44020</v>
      </c>
      <c r="E1595" s="19" t="n">
        <v>23.9</v>
      </c>
      <c r="G1595" s="16" t="n">
        <v>46252</v>
      </c>
      <c r="H1595" s="19" t="n">
        <v>2.602</v>
      </c>
      <c r="J1595" s="16" t="n">
        <v>46252</v>
      </c>
      <c r="K1595" s="19" t="n">
        <v>1.368</v>
      </c>
      <c r="M1595" s="16" t="n">
        <v>44026</v>
      </c>
      <c r="N1595" s="19" t="n">
        <v>147714</v>
      </c>
    </row>
    <row r="1596">
      <c r="A1596" s="16" t="n">
        <v>44025</v>
      </c>
      <c r="B1596" s="19" t="n">
        <v>2079.61</v>
      </c>
      <c r="D1596" s="16" t="n">
        <v>44019</v>
      </c>
      <c r="E1596" s="19" t="n">
        <v>21.2</v>
      </c>
      <c r="G1596" s="16" t="n">
        <v>46253</v>
      </c>
      <c r="H1596" s="19" t="n">
        <v>2.613</v>
      </c>
      <c r="J1596" s="16" t="n">
        <v>46253</v>
      </c>
      <c r="K1596" s="19" t="n">
        <v>1.365</v>
      </c>
      <c r="M1596" s="16" t="n">
        <v>44025</v>
      </c>
      <c r="N1596" s="19" t="n">
        <v>147962</v>
      </c>
    </row>
    <row r="1597">
      <c r="A1597" s="16" t="n">
        <v>44022</v>
      </c>
      <c r="B1597" s="19" t="n">
        <v>2035.96</v>
      </c>
      <c r="D1597" s="16" t="n">
        <v>44018</v>
      </c>
      <c r="E1597" s="19" t="n">
        <v>21.42</v>
      </c>
      <c r="G1597" s="16" t="n">
        <v>46254</v>
      </c>
      <c r="H1597" s="19" t="n">
        <v>2.618</v>
      </c>
      <c r="J1597" s="16" t="n">
        <v>46254</v>
      </c>
      <c r="K1597" s="19" t="n">
        <v>1.343</v>
      </c>
      <c r="M1597" s="16" t="n">
        <v>44022</v>
      </c>
      <c r="N1597" s="19" t="n">
        <v>146784</v>
      </c>
    </row>
    <row r="1598">
      <c r="A1598" s="16" t="n">
        <v>44021</v>
      </c>
      <c r="B1598" s="19" t="n">
        <v>2015.67</v>
      </c>
      <c r="D1598" s="16" t="n">
        <v>44015</v>
      </c>
      <c r="E1598" s="19" t="n">
        <v>21.88</v>
      </c>
      <c r="G1598" s="16" t="n">
        <v>46255</v>
      </c>
      <c r="H1598" s="19" t="n">
        <v>2.572</v>
      </c>
      <c r="J1598" s="16" t="n">
        <v>46255</v>
      </c>
      <c r="K1598" s="19" t="n">
        <v>1.338</v>
      </c>
      <c r="M1598" s="16" t="n">
        <v>44021</v>
      </c>
      <c r="N1598" s="19" t="n">
        <v>146460</v>
      </c>
    </row>
    <row r="1599">
      <c r="A1599" s="16" t="n">
        <v>44020</v>
      </c>
      <c r="B1599" s="19" t="n">
        <v>1994.67</v>
      </c>
      <c r="D1599" s="16" t="n">
        <v>44014</v>
      </c>
      <c r="E1599" s="19" t="n">
        <v>21.8</v>
      </c>
      <c r="G1599" s="16" t="n">
        <v>46258</v>
      </c>
      <c r="H1599" s="19" t="n">
        <v>2.62</v>
      </c>
      <c r="J1599" s="16" t="n">
        <v>46258</v>
      </c>
      <c r="K1599" s="19" t="n">
        <v>1.35</v>
      </c>
      <c r="M1599" s="16" t="n">
        <v>44020</v>
      </c>
      <c r="N1599" s="19" t="n">
        <v>144739</v>
      </c>
    </row>
    <row r="1600">
      <c r="A1600" s="16" t="n">
        <v>44019</v>
      </c>
      <c r="B1600" s="19" t="n">
        <v>2051.05</v>
      </c>
      <c r="D1600" s="16" t="n">
        <v>44013</v>
      </c>
      <c r="E1600" s="19" t="n">
        <v>21.83</v>
      </c>
      <c r="G1600" s="16" t="n">
        <v>46259</v>
      </c>
      <c r="H1600" s="19" t="n">
        <v>2.604</v>
      </c>
      <c r="J1600" s="16" t="n">
        <v>46259</v>
      </c>
      <c r="K1600" s="19" t="n">
        <v>1.356</v>
      </c>
      <c r="M1600" s="16" t="n">
        <v>44019</v>
      </c>
      <c r="N1600" s="19" t="n">
        <v>146768</v>
      </c>
    </row>
    <row r="1601">
      <c r="A1601" s="16" t="n">
        <v>44018</v>
      </c>
      <c r="B1601" s="19" t="n">
        <v>2040.36</v>
      </c>
      <c r="D1601" s="16" t="n">
        <v>44012</v>
      </c>
      <c r="E1601" s="19" t="n">
        <v>21.88</v>
      </c>
      <c r="G1601" s="16" t="n">
        <v>46260</v>
      </c>
      <c r="H1601" s="19" t="n">
        <v>2.609</v>
      </c>
      <c r="J1601" s="16" t="n">
        <v>46260</v>
      </c>
      <c r="K1601" s="19" t="n">
        <v>1.375</v>
      </c>
      <c r="M1601" s="16" t="n">
        <v>44018</v>
      </c>
      <c r="N1601" s="19" t="n">
        <v>146344</v>
      </c>
    </row>
    <row r="1602">
      <c r="A1602" s="16" t="n">
        <v>44015</v>
      </c>
      <c r="B1602" s="19" t="n">
        <v>2026.87</v>
      </c>
      <c r="D1602" s="16" t="n">
        <v>44011</v>
      </c>
      <c r="E1602" s="19" t="n">
        <v>22.27</v>
      </c>
      <c r="G1602" s="16" t="n">
        <v>46261</v>
      </c>
      <c r="H1602" s="19" t="n">
        <v>2.578</v>
      </c>
      <c r="J1602" s="16" t="n">
        <v>46261</v>
      </c>
      <c r="K1602" s="19" t="n">
        <v>1.358</v>
      </c>
      <c r="M1602" s="16" t="n">
        <v>44015</v>
      </c>
      <c r="N1602" s="19" t="n">
        <v>146774</v>
      </c>
    </row>
    <row r="1603">
      <c r="A1603" s="16" t="n">
        <v>44014</v>
      </c>
      <c r="B1603" s="19" t="n">
        <v>2041.46</v>
      </c>
      <c r="D1603" s="16" t="n">
        <v>44008</v>
      </c>
      <c r="E1603" s="19" t="n">
        <v>23.27</v>
      </c>
      <c r="G1603" s="16" t="n">
        <v>46262</v>
      </c>
      <c r="H1603" s="19" t="n">
        <v>2.503</v>
      </c>
      <c r="J1603" s="16" t="n">
        <v>46262</v>
      </c>
      <c r="K1603" s="19" t="n">
        <v>1.319</v>
      </c>
      <c r="M1603" s="16" t="n">
        <v>44014</v>
      </c>
      <c r="N1603" s="19" t="n">
        <v>147901</v>
      </c>
    </row>
    <row r="1604">
      <c r="A1604" s="16" t="n">
        <v>44013</v>
      </c>
      <c r="B1604" s="19" t="n">
        <v>2036.84</v>
      </c>
      <c r="D1604" s="16" t="n">
        <v>44007</v>
      </c>
      <c r="E1604" s="19" t="n">
        <v>23.4</v>
      </c>
      <c r="G1604" s="16" t="n">
        <v>46265</v>
      </c>
      <c r="H1604" s="19" t="n">
        <v>2.511</v>
      </c>
      <c r="J1604" s="16" t="n">
        <v>46265</v>
      </c>
      <c r="K1604" s="19" t="n">
        <v>1.309</v>
      </c>
      <c r="M1604" s="16" t="n">
        <v>44013</v>
      </c>
      <c r="N1604" s="19" t="n">
        <v>147232</v>
      </c>
    </row>
    <row r="1605">
      <c r="A1605" s="16" t="n">
        <v>44012</v>
      </c>
      <c r="B1605" s="19" t="n">
        <v>2021.11</v>
      </c>
      <c r="D1605" s="16" t="n">
        <v>44006</v>
      </c>
      <c r="E1605" s="19" t="n">
        <v>24.19</v>
      </c>
      <c r="G1605" s="16" t="n">
        <v>46266</v>
      </c>
      <c r="H1605" s="19" t="n">
        <v>2.483</v>
      </c>
      <c r="J1605" s="16" t="n">
        <v>46266</v>
      </c>
      <c r="K1605" s="19" t="n">
        <v>1.315</v>
      </c>
      <c r="M1605" s="16" t="n">
        <v>44012</v>
      </c>
      <c r="N1605" s="19" t="n">
        <v>147068</v>
      </c>
    </row>
    <row r="1606">
      <c r="A1606" s="16" t="n">
        <v>44011</v>
      </c>
      <c r="B1606" s="19" t="n">
        <v>2004.74</v>
      </c>
      <c r="D1606" s="16" t="n">
        <v>44005</v>
      </c>
      <c r="E1606" s="19" t="n">
        <v>22.18</v>
      </c>
      <c r="G1606" s="16" t="n">
        <v>46267</v>
      </c>
      <c r="H1606" s="19" t="n">
        <v>2.466</v>
      </c>
      <c r="J1606" s="16" t="n">
        <v>46267</v>
      </c>
      <c r="K1606" s="19" t="n">
        <v>1.307</v>
      </c>
      <c r="M1606" s="16" t="n">
        <v>44011</v>
      </c>
      <c r="N1606" s="19" t="n">
        <v>147174</v>
      </c>
    </row>
    <row r="1607">
      <c r="A1607" s="16" t="n">
        <v>44008</v>
      </c>
      <c r="B1607" s="19" t="n">
        <v>1973.91</v>
      </c>
      <c r="D1607" s="16" t="n">
        <v>44004</v>
      </c>
      <c r="E1607" s="19" t="n">
        <v>24.04</v>
      </c>
      <c r="G1607" s="16" t="n">
        <v>46268</v>
      </c>
      <c r="H1607" s="19" t="n">
        <v>2.477</v>
      </c>
      <c r="J1607" s="16" t="n">
        <v>46268</v>
      </c>
      <c r="K1607" s="19" t="n">
        <v>1.287</v>
      </c>
      <c r="M1607" s="16" t="n">
        <v>44008</v>
      </c>
      <c r="N1607" s="19" t="n">
        <v>146293</v>
      </c>
    </row>
    <row r="1608">
      <c r="A1608" s="16" t="n">
        <v>44007</v>
      </c>
      <c r="B1608" s="19" t="n">
        <v>1991.42</v>
      </c>
      <c r="D1608" s="16" t="n">
        <v>44001</v>
      </c>
      <c r="E1608" s="19" t="n">
        <v>23.8</v>
      </c>
      <c r="G1608" s="16" t="n">
        <v>46269</v>
      </c>
      <c r="H1608" s="19" t="n">
        <v>2.52</v>
      </c>
      <c r="J1608" s="16" t="n">
        <v>46269</v>
      </c>
      <c r="K1608" s="19" t="n">
        <v>1.274</v>
      </c>
      <c r="M1608" s="16" t="n">
        <v>44007</v>
      </c>
      <c r="N1608" s="19" t="n">
        <v>146284</v>
      </c>
    </row>
    <row r="1609">
      <c r="A1609" s="16" t="n">
        <v>44006</v>
      </c>
      <c r="B1609" s="19" t="n">
        <v>1968.3</v>
      </c>
      <c r="D1609" s="16" t="n">
        <v>44000</v>
      </c>
      <c r="E1609" s="19" t="n">
        <v>22.71</v>
      </c>
      <c r="G1609" s="16" t="n">
        <v>46272</v>
      </c>
      <c r="H1609" s="19" t="n">
        <v>2.581</v>
      </c>
      <c r="J1609" s="16" t="n">
        <v>46272</v>
      </c>
      <c r="K1609" s="19" t="n">
        <v>1.278</v>
      </c>
      <c r="M1609" s="16" t="n">
        <v>44006</v>
      </c>
      <c r="N1609" s="19" t="n">
        <v>145805</v>
      </c>
    </row>
    <row r="1610">
      <c r="A1610" s="16" t="n">
        <v>44005</v>
      </c>
      <c r="B1610" s="19" t="n">
        <v>2021.84</v>
      </c>
      <c r="D1610" s="16" t="n">
        <v>43999</v>
      </c>
      <c r="E1610" s="19" t="n">
        <v>21.96</v>
      </c>
      <c r="G1610" s="16" t="n">
        <v>46273</v>
      </c>
      <c r="H1610" s="19" t="n">
        <v>2.649</v>
      </c>
      <c r="J1610" s="16" t="n">
        <v>46273</v>
      </c>
      <c r="K1610" s="19" t="n">
        <v>1.285</v>
      </c>
      <c r="M1610" s="16" t="n">
        <v>44005</v>
      </c>
      <c r="N1610" s="19" t="n">
        <v>147813</v>
      </c>
    </row>
    <row r="1611">
      <c r="A1611" s="16" t="n">
        <v>44004</v>
      </c>
      <c r="B1611" s="19" t="n">
        <v>2001.9</v>
      </c>
      <c r="D1611" s="16" t="n">
        <v>43998</v>
      </c>
      <c r="E1611" s="19" t="n">
        <v>19.73</v>
      </c>
      <c r="G1611" s="16" t="n">
        <v>46274</v>
      </c>
      <c r="H1611" s="19" t="n">
        <v>2.647</v>
      </c>
      <c r="J1611" s="16" t="n">
        <v>46274</v>
      </c>
      <c r="K1611" s="19" t="n">
        <v>1.311</v>
      </c>
      <c r="M1611" s="16" t="n">
        <v>44004</v>
      </c>
      <c r="N1611" s="19" t="n">
        <v>146971</v>
      </c>
    </row>
    <row r="1612">
      <c r="A1612" s="16" t="n">
        <v>44001</v>
      </c>
      <c r="B1612" s="19" t="n">
        <v>1992</v>
      </c>
      <c r="D1612" s="16" t="n">
        <v>43997</v>
      </c>
      <c r="E1612" s="19" t="n">
        <v>21.42</v>
      </c>
      <c r="G1612" s="16" t="n">
        <v>46275</v>
      </c>
      <c r="H1612" s="19" t="n">
        <v>2.574</v>
      </c>
      <c r="J1612" s="16" t="n">
        <v>46275</v>
      </c>
      <c r="K1612" s="19" t="n">
        <v>1.275</v>
      </c>
      <c r="M1612" s="16" t="n">
        <v>44001</v>
      </c>
      <c r="N1612" s="19" t="n">
        <v>147072</v>
      </c>
    </row>
    <row r="1613">
      <c r="A1613" s="16" t="n">
        <v>44000</v>
      </c>
      <c r="B1613" s="19" t="n">
        <v>2026.39</v>
      </c>
      <c r="D1613" s="16" t="n">
        <v>43994</v>
      </c>
      <c r="E1613" s="19" t="n">
        <v>17.77</v>
      </c>
      <c r="G1613" s="16" t="n">
        <v>46276</v>
      </c>
      <c r="H1613" s="19" t="n">
        <v>2.562</v>
      </c>
      <c r="J1613" s="16" t="n">
        <v>46276</v>
      </c>
      <c r="K1613" s="19" t="n">
        <v>1.254</v>
      </c>
      <c r="M1613" s="16" t="n">
        <v>44000</v>
      </c>
      <c r="N1613" s="19" t="n">
        <v>148529</v>
      </c>
    </row>
    <row r="1614">
      <c r="A1614" s="16" t="n">
        <v>43999</v>
      </c>
      <c r="B1614" s="19" t="n">
        <v>2042.29</v>
      </c>
      <c r="D1614" s="16" t="n">
        <v>43993</v>
      </c>
      <c r="E1614" s="19" t="n">
        <v>18.59</v>
      </c>
      <c r="G1614" s="16" t="n">
        <v>46279</v>
      </c>
      <c r="H1614" s="19" t="n">
        <v>2.481</v>
      </c>
      <c r="J1614" s="16" t="n">
        <v>46279</v>
      </c>
      <c r="K1614" s="19" t="n">
        <v>1.197</v>
      </c>
      <c r="M1614" s="16" t="n">
        <v>43999</v>
      </c>
      <c r="N1614" s="19" t="n">
        <v>149617</v>
      </c>
    </row>
    <row r="1615">
      <c r="A1615" s="16" t="n">
        <v>43998</v>
      </c>
      <c r="B1615" s="19" t="n">
        <v>2086.13</v>
      </c>
      <c r="D1615" s="16" t="n">
        <v>43992</v>
      </c>
      <c r="E1615" s="19" t="n">
        <v>20.35</v>
      </c>
      <c r="G1615" s="16" t="n">
        <v>46280</v>
      </c>
      <c r="H1615" s="19" t="n">
        <v>2.47</v>
      </c>
      <c r="J1615" s="16" t="n">
        <v>46280</v>
      </c>
      <c r="K1615" s="19" t="n">
        <v>1.194</v>
      </c>
      <c r="M1615" s="16" t="n">
        <v>43998</v>
      </c>
      <c r="N1615" s="19" t="n">
        <v>150791</v>
      </c>
    </row>
    <row r="1616">
      <c r="A1616" s="16" t="n">
        <v>43997</v>
      </c>
      <c r="B1616" s="19" t="n">
        <v>2051.92</v>
      </c>
      <c r="D1616" s="16" t="n">
        <v>43991</v>
      </c>
      <c r="E1616" s="19" t="n">
        <v>20.07</v>
      </c>
      <c r="G1616" s="16" t="n">
        <v>46281</v>
      </c>
      <c r="H1616" s="19" t="n">
        <v>2.488</v>
      </c>
      <c r="J1616" s="16" t="n">
        <v>46281</v>
      </c>
      <c r="K1616" s="19" t="n">
        <v>1.182</v>
      </c>
      <c r="M1616" s="16" t="n">
        <v>43997</v>
      </c>
      <c r="N1616" s="19" t="n">
        <v>148486</v>
      </c>
    </row>
    <row r="1617">
      <c r="A1617" s="16" t="n">
        <v>43994</v>
      </c>
      <c r="B1617" s="19" t="n">
        <v>2107.24</v>
      </c>
      <c r="D1617" s="16" t="n">
        <v>43990</v>
      </c>
      <c r="E1617" s="19" t="n">
        <v>20.65</v>
      </c>
      <c r="G1617" s="16" t="n">
        <v>46282</v>
      </c>
      <c r="H1617" s="19" t="n">
        <v>2.506</v>
      </c>
      <c r="J1617" s="16" t="n">
        <v>46282</v>
      </c>
      <c r="K1617" s="19" t="n">
        <v>1.165</v>
      </c>
      <c r="M1617" s="16" t="n">
        <v>43994</v>
      </c>
      <c r="N1617" s="19" t="n">
        <v>151359</v>
      </c>
    </row>
    <row r="1618">
      <c r="A1618" s="16" t="n">
        <v>43993</v>
      </c>
      <c r="B1618" s="19" t="n">
        <v>2082.52</v>
      </c>
      <c r="D1618" s="16" t="n">
        <v>43987</v>
      </c>
      <c r="E1618" s="19" t="n">
        <v>22.04</v>
      </c>
      <c r="G1618" s="16" t="n">
        <v>46283</v>
      </c>
      <c r="H1618" s="19" t="n">
        <v>2.473</v>
      </c>
      <c r="J1618" s="16" t="n">
        <v>46283</v>
      </c>
      <c r="K1618" s="19" t="n">
        <v>1.177</v>
      </c>
      <c r="M1618" s="16" t="n">
        <v>43993</v>
      </c>
      <c r="N1618" s="19" t="n">
        <v>151123</v>
      </c>
    </row>
    <row r="1619">
      <c r="A1619" s="16" t="n">
        <v>43992</v>
      </c>
      <c r="B1619" s="19" t="n">
        <v>2068.74</v>
      </c>
      <c r="D1619" s="16" t="n">
        <v>43986</v>
      </c>
      <c r="E1619" s="19" t="n">
        <v>20.32</v>
      </c>
      <c r="G1619" s="16" t="n">
        <v>46286</v>
      </c>
      <c r="H1619" s="19" t="n">
        <v>2.503</v>
      </c>
      <c r="J1619" s="16" t="n">
        <v>46286</v>
      </c>
      <c r="K1619" s="19" t="n">
        <v>1.185</v>
      </c>
      <c r="M1619" s="16" t="n">
        <v>43992</v>
      </c>
      <c r="N1619" s="19" t="n">
        <v>150555</v>
      </c>
    </row>
    <row r="1620">
      <c r="A1620" s="16" t="n">
        <v>43991</v>
      </c>
      <c r="B1620" s="19" t="n">
        <v>2078.31</v>
      </c>
      <c r="D1620" s="16" t="n">
        <v>43985</v>
      </c>
      <c r="E1620" s="19" t="n">
        <v>19.24</v>
      </c>
      <c r="G1620" s="16" t="n">
        <v>46287</v>
      </c>
      <c r="H1620" s="19" t="n">
        <v>2.504</v>
      </c>
      <c r="J1620" s="16" t="n">
        <v>46287</v>
      </c>
      <c r="K1620" s="19" t="n">
        <v>1.222</v>
      </c>
      <c r="M1620" s="16" t="n">
        <v>43991</v>
      </c>
      <c r="N1620" s="19" t="n">
        <v>151509</v>
      </c>
    </row>
    <row r="1621">
      <c r="A1621" s="16" t="n">
        <v>43990</v>
      </c>
      <c r="B1621" s="19" t="n">
        <v>2093.65</v>
      </c>
      <c r="D1621" s="16" t="n">
        <v>43984</v>
      </c>
      <c r="E1621" s="19" t="n">
        <v>18.46</v>
      </c>
      <c r="G1621" s="16" t="n">
        <v>46288</v>
      </c>
      <c r="H1621" s="19" t="n">
        <v>2.503</v>
      </c>
      <c r="J1621" s="16" t="n">
        <v>46288</v>
      </c>
      <c r="K1621" s="19" t="n">
        <v>1.236</v>
      </c>
      <c r="M1621" s="16" t="n">
        <v>43990</v>
      </c>
      <c r="N1621" s="19" t="n">
        <v>151984</v>
      </c>
    </row>
    <row r="1622">
      <c r="A1622" s="16" t="n">
        <v>43987</v>
      </c>
      <c r="B1622" s="19" t="n">
        <v>2071.66</v>
      </c>
      <c r="D1622" s="16" t="n">
        <v>43983</v>
      </c>
      <c r="E1622" s="19" t="n">
        <v>19.13</v>
      </c>
      <c r="G1622" s="16" t="n">
        <v>46289</v>
      </c>
      <c r="H1622" s="19" t="n">
        <v>2.537</v>
      </c>
      <c r="J1622" s="16" t="n">
        <v>46289</v>
      </c>
      <c r="K1622" s="19" t="n">
        <v>1.244</v>
      </c>
      <c r="M1622" s="16" t="n">
        <v>43987</v>
      </c>
      <c r="N1622" s="19" t="n">
        <v>151113</v>
      </c>
    </row>
    <row r="1623">
      <c r="A1623" s="16" t="n">
        <v>43986</v>
      </c>
      <c r="B1623" s="19" t="n">
        <v>2102.47</v>
      </c>
      <c r="D1623" s="16" t="n"/>
      <c r="E1623" s="19" t="n"/>
      <c r="G1623" s="16" t="n">
        <v>46290</v>
      </c>
      <c r="H1623" s="19" t="n">
        <v>2.556</v>
      </c>
      <c r="J1623" s="16" t="n">
        <v>46290</v>
      </c>
      <c r="K1623" s="19" t="n">
        <v>1.284</v>
      </c>
      <c r="M1623" s="16" t="n">
        <v>43986</v>
      </c>
      <c r="N1623" s="19" t="n">
        <v>151143</v>
      </c>
    </row>
    <row r="1624">
      <c r="A1624" s="16" t="n">
        <v>43985</v>
      </c>
      <c r="B1624" s="19" t="n">
        <v>2133.67</v>
      </c>
      <c r="D1624" s="16" t="n"/>
      <c r="E1624" s="19" t="n"/>
      <c r="G1624" s="16" t="n">
        <v>46293</v>
      </c>
      <c r="H1624" s="19" t="n">
        <v>2.529</v>
      </c>
      <c r="J1624" s="16" t="n">
        <v>46293</v>
      </c>
      <c r="K1624" s="19" t="n">
        <v>1.27</v>
      </c>
      <c r="M1624" s="16" t="n">
        <v>43985</v>
      </c>
      <c r="N1624" s="19" t="n">
        <v>152397</v>
      </c>
    </row>
    <row r="1625">
      <c r="A1625" s="16" t="n">
        <v>43984</v>
      </c>
      <c r="B1625" s="19" t="n">
        <v>2154.06</v>
      </c>
      <c r="D1625" s="16" t="n"/>
      <c r="E1625" s="19" t="n"/>
      <c r="G1625" s="16" t="n">
        <v>46294</v>
      </c>
      <c r="H1625" s="19" t="n">
        <v>2.545</v>
      </c>
      <c r="J1625" s="16" t="n">
        <v>46294</v>
      </c>
      <c r="K1625" s="19" t="n">
        <v>1.281</v>
      </c>
      <c r="M1625" s="16" t="n">
        <v>43984</v>
      </c>
      <c r="N1625" s="19" t="n">
        <v>153906</v>
      </c>
    </row>
    <row r="1626">
      <c r="A1626" s="16" t="n">
        <v>43983</v>
      </c>
      <c r="B1626" s="19" t="n">
        <v>2138.98</v>
      </c>
      <c r="D1626" s="16" t="n"/>
      <c r="E1626" s="19" t="n"/>
      <c r="G1626" s="16" t="n">
        <v>46295</v>
      </c>
      <c r="H1626" s="19" t="n">
        <v>2.541</v>
      </c>
      <c r="J1626" s="16" t="n">
        <v>46295</v>
      </c>
      <c r="K1626" s="19" t="n">
        <v>1.309</v>
      </c>
      <c r="M1626" s="16" t="n">
        <v>43983</v>
      </c>
      <c r="N1626" s="19" t="n">
        <v>151929</v>
      </c>
    </row>
    <row r="1627">
      <c r="A1627" s="16" t="n"/>
      <c r="B1627" s="19" t="n"/>
      <c r="D1627" s="16" t="n"/>
      <c r="E1627" s="19" t="n"/>
      <c r="G1627" s="16" t="n"/>
      <c r="H1627" s="19" t="n"/>
      <c r="J1627" s="16" t="n"/>
      <c r="K1627" s="19" t="n"/>
      <c r="M1627" s="16" t="n"/>
      <c r="N1627" s="19" t="n"/>
    </row>
    <row r="1628">
      <c r="A1628" s="16" t="n"/>
      <c r="B1628" s="19" t="n"/>
      <c r="D1628" s="16" t="n"/>
      <c r="E1628" s="19" t="n"/>
      <c r="G1628" s="16" t="n"/>
      <c r="H1628" s="19" t="n"/>
      <c r="J1628" s="16" t="n"/>
      <c r="K1628" s="19" t="n"/>
      <c r="M1628" s="16" t="n"/>
      <c r="N1628" s="19" t="n"/>
    </row>
    <row r="1629">
      <c r="A1629" s="16" t="n"/>
      <c r="B1629" s="19" t="n"/>
      <c r="D1629" s="16" t="n"/>
      <c r="E1629" s="19" t="n"/>
      <c r="G1629" s="16" t="n"/>
      <c r="H1629" s="19" t="n"/>
      <c r="J1629" s="16" t="n"/>
      <c r="K1629" s="19" t="n"/>
      <c r="M1629" s="16" t="n"/>
      <c r="N1629" s="19" t="n"/>
    </row>
    <row r="1630">
      <c r="A1630" s="16" t="n"/>
      <c r="B1630" s="19" t="n"/>
      <c r="D1630" s="16" t="n"/>
      <c r="E1630" s="19" t="n"/>
      <c r="G1630" s="16" t="n"/>
      <c r="H1630" s="19" t="n"/>
      <c r="J1630" s="16" t="n"/>
      <c r="K1630" s="19" t="n"/>
      <c r="M1630" s="16" t="n"/>
      <c r="N1630" s="19" t="n"/>
    </row>
    <row r="1631">
      <c r="A1631" s="16" t="n"/>
      <c r="B1631" s="19" t="n"/>
      <c r="D1631" s="16" t="n"/>
      <c r="E1631" s="19" t="n"/>
      <c r="G1631" s="16" t="n"/>
      <c r="H1631" s="19" t="n"/>
      <c r="J1631" s="16" t="n"/>
      <c r="K1631" s="19" t="n"/>
      <c r="M1631" s="16" t="n"/>
      <c r="N1631" s="19" t="n"/>
    </row>
    <row r="1632">
      <c r="A1632" s="16" t="n"/>
      <c r="B1632" s="19" t="n"/>
      <c r="D1632" s="16" t="n"/>
      <c r="E1632" s="19" t="n"/>
      <c r="G1632" s="16" t="n"/>
      <c r="H1632" s="19" t="n"/>
      <c r="J1632" s="16" t="n"/>
      <c r="K1632" s="19" t="n"/>
      <c r="M1632" s="16" t="n"/>
      <c r="N1632" s="19" t="n"/>
    </row>
    <row r="1633">
      <c r="A1633" s="16" t="n"/>
      <c r="B1633" s="19" t="n"/>
      <c r="D1633" s="16" t="n"/>
      <c r="E1633" s="19" t="n"/>
      <c r="G1633" s="16" t="n"/>
      <c r="H1633" s="19" t="n"/>
      <c r="J1633" s="16" t="n"/>
      <c r="K1633" s="19" t="n"/>
      <c r="M1633" s="16" t="n"/>
      <c r="N1633" s="19" t="n"/>
    </row>
    <row r="1634">
      <c r="A1634" s="16" t="n"/>
      <c r="B1634" s="19" t="n"/>
      <c r="D1634" s="16" t="n"/>
      <c r="E1634" s="19" t="n"/>
      <c r="G1634" s="16" t="n"/>
      <c r="H1634" s="19" t="n"/>
      <c r="J1634" s="16" t="n"/>
      <c r="K1634" s="19" t="n"/>
      <c r="M1634" s="16" t="n"/>
      <c r="N1634" s="19" t="n"/>
    </row>
    <row r="1635">
      <c r="A1635" s="16" t="n"/>
      <c r="B1635" s="19" t="n"/>
      <c r="D1635" s="16" t="n"/>
      <c r="E1635" s="19" t="n"/>
      <c r="G1635" s="16" t="n"/>
      <c r="H1635" s="19" t="n"/>
      <c r="J1635" s="16" t="n"/>
      <c r="K1635" s="19" t="n"/>
      <c r="M1635" s="16" t="n"/>
      <c r="N1635" s="19" t="n"/>
    </row>
    <row r="1636">
      <c r="A1636" s="16" t="n"/>
      <c r="B1636" s="19" t="n"/>
      <c r="D1636" s="16" t="n"/>
      <c r="E1636" s="19" t="n"/>
      <c r="G1636" s="16" t="n"/>
      <c r="H1636" s="19" t="n"/>
      <c r="J1636" s="16" t="n"/>
      <c r="K1636" s="19" t="n"/>
      <c r="M1636" s="16" t="n"/>
      <c r="N1636" s="19" t="n"/>
    </row>
    <row r="1637">
      <c r="A1637" s="16" t="n"/>
      <c r="B1637" s="19" t="n"/>
      <c r="D1637" s="16" t="n"/>
      <c r="E1637" s="19" t="n"/>
      <c r="G1637" s="16" t="n"/>
      <c r="H1637" s="19" t="n"/>
      <c r="J1637" s="16" t="n"/>
      <c r="K1637" s="19" t="n"/>
      <c r="M1637" s="16" t="n"/>
      <c r="N1637" s="19" t="n"/>
    </row>
    <row r="1638">
      <c r="A1638" s="16" t="n"/>
      <c r="B1638" s="19" t="n"/>
      <c r="D1638" s="16" t="n"/>
      <c r="E1638" s="19" t="n"/>
      <c r="G1638" s="16" t="n"/>
      <c r="H1638" s="19" t="n"/>
      <c r="J1638" s="16" t="n"/>
      <c r="K1638" s="19" t="n"/>
      <c r="M1638" s="16" t="n"/>
      <c r="N1638" s="19" t="n"/>
    </row>
    <row r="1639">
      <c r="A1639" s="16" t="n"/>
      <c r="B1639" s="19" t="n"/>
      <c r="D1639" s="16" t="n"/>
      <c r="E1639" s="19" t="n"/>
      <c r="G1639" s="16" t="n"/>
      <c r="H1639" s="19" t="n"/>
      <c r="J1639" s="16" t="n"/>
      <c r="K1639" s="19" t="n"/>
      <c r="M1639" s="16" t="n"/>
      <c r="N1639" s="19" t="n"/>
    </row>
    <row r="1640">
      <c r="A1640" s="16" t="n"/>
      <c r="B1640" s="19" t="n"/>
      <c r="D1640" s="16" t="n"/>
      <c r="E1640" s="19" t="n"/>
      <c r="G1640" s="16" t="n"/>
      <c r="H1640" s="19" t="n"/>
      <c r="J1640" s="16" t="n"/>
      <c r="K1640" s="19" t="n"/>
      <c r="M1640" s="16" t="n"/>
      <c r="N1640" s="19" t="n"/>
    </row>
    <row r="1641">
      <c r="A1641" s="16" t="n"/>
      <c r="B1641" s="19" t="n"/>
      <c r="D1641" s="16" t="n"/>
      <c r="E1641" s="19" t="n"/>
      <c r="G1641" s="16" t="n"/>
      <c r="H1641" s="19" t="n"/>
      <c r="J1641" s="16" t="n"/>
      <c r="K1641" s="19" t="n"/>
      <c r="M1641" s="16" t="n"/>
      <c r="N1641" s="19" t="n"/>
    </row>
    <row r="1642">
      <c r="A1642" s="16" t="n"/>
      <c r="B1642" s="19" t="n"/>
      <c r="D1642" s="16" t="n"/>
      <c r="E1642" s="19" t="n"/>
      <c r="G1642" s="16" t="n"/>
      <c r="H1642" s="19" t="n"/>
      <c r="J1642" s="16" t="n"/>
      <c r="K1642" s="19" t="n"/>
      <c r="M1642" s="16" t="n"/>
      <c r="N1642" s="19" t="n"/>
    </row>
    <row r="1643">
      <c r="A1643" s="16" t="n"/>
      <c r="B1643" s="19" t="n"/>
      <c r="D1643" s="16" t="n"/>
      <c r="E1643" s="19" t="n"/>
      <c r="G1643" s="16" t="n"/>
      <c r="H1643" s="19" t="n"/>
      <c r="J1643" s="16" t="n"/>
      <c r="K1643" s="19" t="n"/>
      <c r="M1643" s="16" t="n"/>
      <c r="N1643" s="19" t="n"/>
    </row>
    <row r="1644">
      <c r="A1644" s="16" t="n"/>
      <c r="B1644" s="19" t="n"/>
      <c r="D1644" s="16" t="n"/>
      <c r="E1644" s="19" t="n"/>
      <c r="G1644" s="16" t="n"/>
      <c r="H1644" s="19" t="n"/>
      <c r="J1644" s="16" t="n"/>
      <c r="K1644" s="19" t="n"/>
      <c r="M1644" s="16" t="n"/>
      <c r="N1644" s="19" t="n"/>
    </row>
    <row r="1645">
      <c r="A1645" s="16" t="n"/>
      <c r="B1645" s="19" t="n"/>
      <c r="D1645" s="16" t="n"/>
      <c r="E1645" s="19" t="n"/>
      <c r="G1645" s="16" t="n"/>
      <c r="H1645" s="19" t="n"/>
      <c r="J1645" s="16" t="n"/>
      <c r="K1645" s="19" t="n"/>
      <c r="M1645" s="16" t="n"/>
      <c r="N1645" s="19" t="n"/>
    </row>
    <row r="1646">
      <c r="A1646" s="16" t="n"/>
      <c r="B1646" s="19" t="n"/>
      <c r="D1646" s="16" t="n"/>
      <c r="E1646" s="19" t="n"/>
      <c r="G1646" s="16" t="n"/>
      <c r="H1646" s="19" t="n"/>
      <c r="J1646" s="16" t="n"/>
      <c r="K1646" s="19" t="n"/>
      <c r="M1646" s="16" t="n"/>
      <c r="N1646" s="19" t="n"/>
    </row>
    <row r="1647">
      <c r="A1647" s="16" t="n"/>
      <c r="B1647" s="19" t="n"/>
      <c r="D1647" s="16" t="n"/>
      <c r="E1647" s="19" t="n"/>
      <c r="G1647" s="16" t="n"/>
      <c r="H1647" s="19" t="n"/>
      <c r="J1647" s="16" t="n"/>
      <c r="K1647" s="19" t="n"/>
      <c r="M1647" s="16" t="n"/>
      <c r="N1647" s="19" t="n"/>
    </row>
    <row r="1648">
      <c r="A1648" s="16" t="n"/>
      <c r="B1648" s="19" t="n"/>
      <c r="D1648" s="16" t="n"/>
      <c r="E1648" s="19" t="n"/>
      <c r="G1648" s="16" t="n"/>
      <c r="H1648" s="19" t="n"/>
      <c r="J1648" s="16" t="n"/>
      <c r="K1648" s="19" t="n"/>
      <c r="M1648" s="16" t="n"/>
      <c r="N1648" s="19" t="n"/>
    </row>
    <row r="1649">
      <c r="A1649" s="16" t="n"/>
      <c r="B1649" s="19" t="n"/>
      <c r="D1649" s="16" t="n"/>
      <c r="E1649" s="19" t="n"/>
      <c r="G1649" s="16" t="n"/>
      <c r="H1649" s="19" t="n"/>
      <c r="J1649" s="16" t="n"/>
      <c r="K1649" s="19" t="n"/>
      <c r="M1649" s="16" t="n"/>
      <c r="N1649" s="19" t="n"/>
    </row>
    <row r="1650">
      <c r="A1650" s="16" t="n"/>
      <c r="B1650" s="19" t="n"/>
      <c r="D1650" s="16" t="n"/>
      <c r="E1650" s="19" t="n"/>
      <c r="G1650" s="16" t="n"/>
      <c r="H1650" s="19" t="n"/>
      <c r="J1650" s="16" t="n"/>
      <c r="K1650" s="19" t="n"/>
      <c r="M1650" s="16" t="n"/>
      <c r="N1650" s="19" t="n"/>
    </row>
    <row r="1651">
      <c r="A1651" s="16" t="n"/>
      <c r="B1651" s="19" t="n"/>
      <c r="D1651" s="16" t="n"/>
      <c r="E1651" s="19" t="n"/>
      <c r="G1651" s="16" t="n"/>
      <c r="H1651" s="19" t="n"/>
      <c r="J1651" s="16" t="n"/>
      <c r="K1651" s="19" t="n"/>
      <c r="M1651" s="16" t="n"/>
      <c r="N1651" s="19" t="n"/>
    </row>
    <row r="1652">
      <c r="A1652" s="16" t="n"/>
      <c r="B1652" s="19" t="n"/>
      <c r="D1652" s="16" t="n"/>
      <c r="E1652" s="19" t="n"/>
      <c r="G1652" s="16" t="n"/>
      <c r="H1652" s="19" t="n"/>
      <c r="J1652" s="16" t="n"/>
      <c r="K1652" s="19" t="n"/>
      <c r="M1652" s="16" t="n"/>
      <c r="N1652" s="19" t="n"/>
    </row>
    <row r="1653">
      <c r="A1653" s="16" t="n"/>
      <c r="B1653" s="19" t="n"/>
      <c r="D1653" s="16" t="n"/>
      <c r="E1653" s="19" t="n"/>
      <c r="G1653" s="16" t="n"/>
      <c r="H1653" s="19" t="n"/>
      <c r="J1653" s="16" t="n"/>
      <c r="K1653" s="19" t="n"/>
      <c r="M1653" s="16" t="n"/>
      <c r="N1653" s="19" t="n"/>
    </row>
    <row r="1654">
      <c r="A1654" s="16" t="n"/>
      <c r="B1654" s="19" t="n"/>
      <c r="D1654" s="16" t="n"/>
      <c r="E1654" s="19" t="n"/>
      <c r="G1654" s="16" t="n"/>
      <c r="H1654" s="19" t="n"/>
      <c r="J1654" s="16" t="n"/>
      <c r="K1654" s="19" t="n"/>
      <c r="M1654" s="16" t="n"/>
      <c r="N1654" s="19" t="n"/>
    </row>
    <row r="1655">
      <c r="A1655" s="16" t="n"/>
      <c r="B1655" s="19" t="n"/>
      <c r="D1655" s="16" t="n"/>
      <c r="E1655" s="19" t="n"/>
      <c r="G1655" s="16" t="n"/>
      <c r="H1655" s="19" t="n"/>
      <c r="J1655" s="16" t="n"/>
      <c r="K1655" s="19" t="n"/>
      <c r="M1655" s="16" t="n"/>
      <c r="N1655" s="19" t="n"/>
    </row>
    <row r="1656">
      <c r="A1656" s="16" t="n"/>
      <c r="B1656" s="19" t="n"/>
      <c r="D1656" s="16" t="n"/>
      <c r="E1656" s="19" t="n"/>
      <c r="G1656" s="16" t="n"/>
      <c r="H1656" s="19" t="n"/>
      <c r="J1656" s="16" t="n"/>
      <c r="K1656" s="19" t="n"/>
      <c r="M1656" s="16" t="n"/>
      <c r="N1656" s="19" t="n"/>
    </row>
    <row r="1657">
      <c r="A1657" s="16" t="n"/>
      <c r="B1657" s="19" t="n"/>
      <c r="D1657" s="16" t="n"/>
      <c r="E1657" s="19" t="n"/>
      <c r="G1657" s="16" t="n"/>
      <c r="H1657" s="19" t="n"/>
      <c r="J1657" s="16" t="n"/>
      <c r="K1657" s="19" t="n"/>
      <c r="M1657" s="16" t="n"/>
      <c r="N1657" s="19" t="n"/>
    </row>
    <row r="1658">
      <c r="A1658" s="16" t="n"/>
      <c r="B1658" s="19" t="n"/>
      <c r="D1658" s="16" t="n"/>
      <c r="E1658" s="19" t="n"/>
      <c r="G1658" s="16" t="n"/>
      <c r="H1658" s="19" t="n"/>
      <c r="J1658" s="16" t="n"/>
      <c r="K1658" s="19" t="n"/>
      <c r="M1658" s="16" t="n"/>
      <c r="N1658" s="19" t="n"/>
    </row>
    <row r="1659">
      <c r="A1659" s="16" t="n"/>
      <c r="B1659" s="19" t="n"/>
      <c r="D1659" s="16" t="n"/>
      <c r="E1659" s="19" t="n"/>
      <c r="G1659" s="16" t="n"/>
      <c r="H1659" s="19" t="n"/>
      <c r="J1659" s="16" t="n"/>
      <c r="K1659" s="19" t="n"/>
      <c r="M1659" s="16" t="n"/>
      <c r="N1659" s="19" t="n"/>
    </row>
    <row r="1660">
      <c r="A1660" s="16" t="n"/>
      <c r="B1660" s="19" t="n"/>
      <c r="D1660" s="16" t="n"/>
      <c r="E1660" s="19" t="n"/>
      <c r="G1660" s="16" t="n"/>
      <c r="H1660" s="19" t="n"/>
      <c r="J1660" s="16" t="n"/>
      <c r="K1660" s="19" t="n"/>
      <c r="M1660" s="16" t="n"/>
      <c r="N1660" s="19" t="n"/>
    </row>
    <row r="1661">
      <c r="A1661" s="16" t="n"/>
      <c r="B1661" s="19" t="n"/>
      <c r="D1661" s="16" t="n"/>
      <c r="E1661" s="19" t="n"/>
      <c r="G1661" s="16" t="n"/>
      <c r="H1661" s="19" t="n"/>
      <c r="J1661" s="16" t="n"/>
      <c r="K1661" s="19" t="n"/>
      <c r="M1661" s="16" t="n"/>
      <c r="N1661" s="19" t="n"/>
    </row>
    <row r="1662">
      <c r="A1662" s="16" t="n"/>
      <c r="B1662" s="19" t="n"/>
      <c r="D1662" s="16" t="n"/>
      <c r="E1662" s="19" t="n"/>
      <c r="G1662" s="16" t="n"/>
      <c r="H1662" s="19" t="n"/>
      <c r="J1662" s="16" t="n"/>
      <c r="K1662" s="19" t="n"/>
      <c r="M1662" s="16" t="n"/>
      <c r="N1662" s="19" t="n"/>
    </row>
    <row r="1663">
      <c r="A1663" s="16" t="n"/>
      <c r="B1663" s="19" t="n"/>
      <c r="D1663" s="16" t="n"/>
      <c r="E1663" s="19" t="n"/>
      <c r="G1663" s="16" t="n"/>
      <c r="H1663" s="19" t="n"/>
      <c r="J1663" s="16" t="n"/>
      <c r="K1663" s="19" t="n"/>
      <c r="M1663" s="16" t="n"/>
      <c r="N1663" s="19" t="n"/>
    </row>
    <row r="1664">
      <c r="A1664" s="16" t="n"/>
      <c r="B1664" s="19" t="n"/>
      <c r="D1664" s="16" t="n"/>
      <c r="E1664" s="19" t="n"/>
      <c r="G1664" s="16" t="n"/>
      <c r="H1664" s="19" t="n"/>
      <c r="J1664" s="16" t="n"/>
      <c r="K1664" s="19" t="n"/>
      <c r="M1664" s="16" t="n"/>
      <c r="N1664" s="19" t="n"/>
    </row>
    <row r="1665">
      <c r="A1665" s="16" t="n"/>
      <c r="B1665" s="19" t="n"/>
      <c r="D1665" s="16" t="n"/>
      <c r="E1665" s="19" t="n"/>
      <c r="G1665" s="16" t="n"/>
      <c r="H1665" s="19" t="n"/>
      <c r="J1665" s="16" t="n"/>
      <c r="K1665" s="19" t="n"/>
      <c r="M1665" s="16" t="n"/>
      <c r="N1665" s="19" t="n"/>
    </row>
    <row r="1666">
      <c r="A1666" s="16" t="n"/>
      <c r="B1666" s="19" t="n"/>
      <c r="D1666" s="16" t="n"/>
      <c r="E1666" s="19" t="n"/>
      <c r="G1666" s="16" t="n"/>
      <c r="H1666" s="19" t="n"/>
      <c r="J1666" s="16" t="n"/>
      <c r="K1666" s="19" t="n"/>
      <c r="M1666" s="16" t="n"/>
      <c r="N1666" s="19" t="n"/>
    </row>
    <row r="1667">
      <c r="A1667" s="16" t="n"/>
      <c r="B1667" s="19" t="n"/>
      <c r="D1667" s="16" t="n"/>
      <c r="E1667" s="19" t="n"/>
      <c r="G1667" s="16" t="n"/>
      <c r="H1667" s="19" t="n"/>
      <c r="J1667" s="16" t="n"/>
      <c r="K1667" s="19" t="n"/>
      <c r="M1667" s="16" t="n"/>
      <c r="N1667" s="19" t="n"/>
    </row>
    <row r="1668">
      <c r="A1668" s="16" t="n"/>
      <c r="B1668" s="19" t="n"/>
      <c r="D1668" s="16" t="n"/>
      <c r="E1668" s="19" t="n"/>
      <c r="G1668" s="16" t="n"/>
      <c r="H1668" s="19" t="n"/>
      <c r="J1668" s="16" t="n"/>
      <c r="K1668" s="19" t="n"/>
      <c r="M1668" s="16" t="n"/>
      <c r="N1668" s="19" t="n"/>
    </row>
    <row r="1669">
      <c r="A1669" s="16" t="n"/>
      <c r="B1669" s="19" t="n"/>
      <c r="D1669" s="16" t="n"/>
      <c r="E1669" s="19" t="n"/>
      <c r="G1669" s="16" t="n"/>
      <c r="H1669" s="19" t="n"/>
      <c r="J1669" s="16" t="n"/>
      <c r="K1669" s="19" t="n"/>
      <c r="M1669" s="16" t="n"/>
      <c r="N1669" s="19" t="n"/>
    </row>
    <row r="1670">
      <c r="A1670" s="16" t="n"/>
      <c r="B1670" s="19" t="n"/>
      <c r="D1670" s="16" t="n"/>
      <c r="E1670" s="19" t="n"/>
      <c r="G1670" s="16" t="n"/>
      <c r="H1670" s="19" t="n"/>
      <c r="J1670" s="16" t="n"/>
      <c r="K1670" s="19" t="n"/>
      <c r="M1670" s="16" t="n"/>
      <c r="N1670" s="19" t="n"/>
    </row>
    <row r="1671">
      <c r="A1671" s="16" t="n"/>
      <c r="B1671" s="19" t="n"/>
      <c r="D1671" s="16" t="n"/>
      <c r="E1671" s="19" t="n"/>
      <c r="G1671" s="16" t="n"/>
      <c r="H1671" s="19" t="n"/>
      <c r="J1671" s="16" t="n"/>
      <c r="K1671" s="19" t="n"/>
      <c r="M1671" s="16" t="n"/>
      <c r="N1671" s="19" t="n"/>
    </row>
    <row r="1672">
      <c r="A1672" s="16" t="n"/>
      <c r="B1672" s="19" t="n"/>
      <c r="D1672" s="16" t="n"/>
      <c r="E1672" s="19" t="n"/>
      <c r="G1672" s="16" t="n"/>
      <c r="H1672" s="19" t="n"/>
      <c r="J1672" s="16" t="n"/>
      <c r="K1672" s="19" t="n"/>
      <c r="M1672" s="16" t="n"/>
      <c r="N1672" s="19" t="n"/>
    </row>
    <row r="1673">
      <c r="A1673" s="16" t="n"/>
      <c r="B1673" s="19" t="n"/>
      <c r="D1673" s="16" t="n"/>
      <c r="E1673" s="19" t="n"/>
      <c r="G1673" s="16" t="n"/>
      <c r="H1673" s="19" t="n"/>
      <c r="J1673" s="16" t="n"/>
      <c r="K1673" s="19" t="n"/>
      <c r="M1673" s="16" t="n"/>
      <c r="N1673" s="19" t="n"/>
    </row>
    <row r="1674">
      <c r="A1674" s="16" t="n"/>
      <c r="B1674" s="19" t="n"/>
      <c r="D1674" s="16" t="n"/>
      <c r="E1674" s="19" t="n"/>
      <c r="G1674" s="16" t="n"/>
      <c r="H1674" s="19" t="n"/>
      <c r="J1674" s="16" t="n"/>
      <c r="K1674" s="19" t="n"/>
      <c r="M1674" s="16" t="n"/>
      <c r="N1674" s="19" t="n"/>
    </row>
    <row r="1675">
      <c r="A1675" s="16" t="n"/>
      <c r="B1675" s="19" t="n"/>
      <c r="D1675" s="16" t="n"/>
      <c r="E1675" s="19" t="n"/>
      <c r="G1675" s="16" t="n"/>
      <c r="H1675" s="19" t="n"/>
      <c r="J1675" s="16" t="n"/>
      <c r="K1675" s="19" t="n"/>
      <c r="M1675" s="16" t="n"/>
      <c r="N1675" s="19" t="n"/>
    </row>
    <row r="1676">
      <c r="A1676" s="16" t="n"/>
      <c r="B1676" s="19" t="n"/>
      <c r="D1676" s="16" t="n"/>
      <c r="E1676" s="19" t="n"/>
      <c r="G1676" s="16" t="n"/>
      <c r="H1676" s="19" t="n"/>
      <c r="J1676" s="16" t="n"/>
      <c r="K1676" s="19" t="n"/>
      <c r="M1676" s="16" t="n"/>
      <c r="N1676" s="19" t="n"/>
    </row>
    <row r="1677">
      <c r="A1677" s="16" t="n"/>
      <c r="B1677" s="19" t="n"/>
      <c r="D1677" s="16" t="n"/>
      <c r="E1677" s="19" t="n"/>
      <c r="G1677" s="16" t="n"/>
      <c r="H1677" s="19" t="n"/>
      <c r="J1677" s="16" t="n"/>
      <c r="K1677" s="19" t="n"/>
      <c r="M1677" s="16" t="n"/>
      <c r="N1677" s="19" t="n"/>
    </row>
    <row r="1678">
      <c r="A1678" s="16" t="n"/>
      <c r="B1678" s="19" t="n"/>
      <c r="D1678" s="16" t="n"/>
      <c r="E1678" s="19" t="n"/>
      <c r="G1678" s="16" t="n"/>
      <c r="H1678" s="19" t="n"/>
      <c r="J1678" s="16" t="n"/>
      <c r="K1678" s="19" t="n"/>
      <c r="M1678" s="16" t="n"/>
      <c r="N1678" s="19" t="n"/>
    </row>
    <row r="1679">
      <c r="A1679" s="16" t="n"/>
      <c r="B1679" s="19" t="n"/>
      <c r="D1679" s="16" t="n"/>
      <c r="E1679" s="19" t="n"/>
      <c r="G1679" s="16" t="n"/>
      <c r="H1679" s="19" t="n"/>
      <c r="J1679" s="16" t="n"/>
      <c r="K1679" s="19" t="n"/>
      <c r="M1679" s="16" t="n"/>
      <c r="N1679" s="19" t="n"/>
    </row>
    <row r="1680">
      <c r="A1680" s="16" t="n"/>
      <c r="B1680" s="19" t="n"/>
      <c r="D1680" s="16" t="n"/>
      <c r="E1680" s="19" t="n"/>
      <c r="G1680" s="16" t="n"/>
      <c r="H1680" s="19" t="n"/>
      <c r="J1680" s="16" t="n"/>
      <c r="K1680" s="19" t="n"/>
      <c r="M1680" s="16" t="n"/>
      <c r="N1680" s="19" t="n"/>
    </row>
    <row r="1681">
      <c r="A1681" s="16" t="n"/>
      <c r="B1681" s="19" t="n"/>
      <c r="D1681" s="16" t="n"/>
      <c r="E1681" s="19" t="n"/>
      <c r="G1681" s="16" t="n"/>
      <c r="H1681" s="19" t="n"/>
      <c r="J1681" s="16" t="n"/>
      <c r="K1681" s="19" t="n"/>
      <c r="M1681" s="16" t="n"/>
      <c r="N1681" s="19" t="n"/>
    </row>
    <row r="1682">
      <c r="A1682" s="16" t="n"/>
      <c r="B1682" s="19" t="n"/>
      <c r="D1682" s="16" t="n"/>
      <c r="E1682" s="19" t="n"/>
      <c r="G1682" s="16" t="n"/>
      <c r="H1682" s="19" t="n"/>
      <c r="J1682" s="16" t="n"/>
      <c r="K1682" s="19" t="n"/>
      <c r="M1682" s="16" t="n"/>
      <c r="N1682" s="19" t="n"/>
    </row>
    <row r="1683">
      <c r="A1683" s="16" t="n"/>
      <c r="B1683" s="19" t="n"/>
      <c r="D1683" s="16" t="n"/>
      <c r="E1683" s="19" t="n"/>
      <c r="G1683" s="16" t="n"/>
      <c r="H1683" s="19" t="n"/>
      <c r="J1683" s="16" t="n"/>
      <c r="K1683" s="19" t="n"/>
      <c r="M1683" s="16" t="n"/>
      <c r="N1683" s="19" t="n"/>
    </row>
    <row r="1684">
      <c r="A1684" s="16" t="n"/>
      <c r="B1684" s="19" t="n"/>
      <c r="D1684" s="16" t="n"/>
      <c r="E1684" s="19" t="n"/>
      <c r="G1684" s="16" t="n"/>
      <c r="H1684" s="19" t="n"/>
      <c r="J1684" s="16" t="n"/>
      <c r="K1684" s="19" t="n"/>
      <c r="M1684" s="16" t="n"/>
      <c r="N1684" s="19" t="n"/>
    </row>
    <row r="1685">
      <c r="A1685" s="16" t="n"/>
      <c r="B1685" s="19" t="n"/>
      <c r="D1685" s="16" t="n"/>
      <c r="E1685" s="19" t="n"/>
      <c r="G1685" s="16" t="n"/>
      <c r="H1685" s="19" t="n"/>
      <c r="J1685" s="16" t="n"/>
      <c r="K1685" s="19" t="n"/>
      <c r="M1685" s="16" t="n"/>
      <c r="N1685" s="19" t="n"/>
    </row>
    <row r="1686">
      <c r="A1686" s="16" t="n"/>
      <c r="B1686" s="19" t="n"/>
      <c r="D1686" s="16" t="n"/>
      <c r="E1686" s="19" t="n"/>
      <c r="G1686" s="16" t="n"/>
      <c r="H1686" s="19" t="n"/>
      <c r="J1686" s="16" t="n"/>
      <c r="K1686" s="19" t="n"/>
      <c r="M1686" s="16" t="n"/>
      <c r="N1686" s="19" t="n"/>
    </row>
    <row r="1687">
      <c r="A1687" s="16" t="n"/>
      <c r="B1687" s="19" t="n"/>
      <c r="D1687" s="16" t="n"/>
      <c r="E1687" s="19" t="n"/>
      <c r="G1687" s="16" t="n"/>
      <c r="H1687" s="19" t="n"/>
      <c r="J1687" s="16" t="n"/>
      <c r="K1687" s="19" t="n"/>
      <c r="M1687" s="16" t="n"/>
      <c r="N1687" s="19" t="n"/>
    </row>
    <row r="1688">
      <c r="A1688" s="16" t="n"/>
      <c r="B1688" s="19" t="n"/>
      <c r="D1688" s="16" t="n"/>
      <c r="E1688" s="19" t="n"/>
      <c r="G1688" s="16" t="n"/>
      <c r="H1688" s="19" t="n"/>
      <c r="J1688" s="16" t="n"/>
      <c r="K1688" s="19" t="n"/>
      <c r="M1688" s="16" t="n"/>
      <c r="N1688" s="19" t="n"/>
    </row>
    <row r="1689">
      <c r="A1689" s="16" t="n"/>
      <c r="B1689" s="19" t="n"/>
      <c r="D1689" s="16" t="n"/>
      <c r="E1689" s="19" t="n"/>
      <c r="G1689" s="16" t="n"/>
      <c r="H1689" s="19" t="n"/>
      <c r="J1689" s="16" t="n"/>
      <c r="K1689" s="19" t="n"/>
      <c r="M1689" s="16" t="n"/>
      <c r="N1689" s="19" t="n"/>
    </row>
    <row r="1690">
      <c r="A1690" s="16" t="n"/>
      <c r="B1690" s="19" t="n"/>
      <c r="D1690" s="16" t="n"/>
      <c r="E1690" s="19" t="n"/>
      <c r="G1690" s="16" t="n"/>
      <c r="H1690" s="19" t="n"/>
      <c r="J1690" s="16" t="n"/>
      <c r="K1690" s="19" t="n"/>
      <c r="M1690" s="16" t="n"/>
      <c r="N1690" s="19" t="n"/>
    </row>
    <row r="1691">
      <c r="A1691" s="16" t="n"/>
      <c r="B1691" s="19" t="n"/>
      <c r="D1691" s="16" t="n"/>
      <c r="E1691" s="19" t="n"/>
      <c r="G1691" s="16" t="n"/>
      <c r="H1691" s="19" t="n"/>
      <c r="J1691" s="16" t="n"/>
      <c r="K1691" s="19" t="n"/>
      <c r="M1691" s="16" t="n"/>
      <c r="N1691" s="19" t="n"/>
    </row>
    <row r="1692">
      <c r="A1692" s="16" t="n"/>
      <c r="B1692" s="19" t="n"/>
      <c r="D1692" s="16" t="n"/>
      <c r="E1692" s="19" t="n"/>
      <c r="G1692" s="16" t="n"/>
      <c r="H1692" s="19" t="n"/>
      <c r="J1692" s="16" t="n"/>
      <c r="K1692" s="19" t="n"/>
      <c r="M1692" s="16" t="n"/>
      <c r="N1692" s="19" t="n"/>
    </row>
    <row r="1693">
      <c r="A1693" s="16" t="n"/>
      <c r="B1693" s="19" t="n"/>
      <c r="D1693" s="16" t="n"/>
      <c r="E1693" s="19" t="n"/>
      <c r="G1693" s="16" t="n"/>
      <c r="H1693" s="19" t="n"/>
      <c r="J1693" s="16" t="n"/>
      <c r="K1693" s="19" t="n"/>
      <c r="M1693" s="16" t="n"/>
      <c r="N1693" s="19" t="n"/>
    </row>
    <row r="1694">
      <c r="A1694" s="16" t="n"/>
      <c r="B1694" s="19" t="n"/>
      <c r="D1694" s="16" t="n"/>
      <c r="E1694" s="19" t="n"/>
      <c r="G1694" s="16" t="n"/>
      <c r="H1694" s="19" t="n"/>
      <c r="J1694" s="16" t="n"/>
      <c r="K1694" s="19" t="n"/>
      <c r="M1694" s="16" t="n"/>
      <c r="N1694" s="19" t="n"/>
    </row>
    <row r="1695">
      <c r="A1695" s="16" t="n"/>
      <c r="B1695" s="19" t="n"/>
      <c r="D1695" s="16" t="n"/>
      <c r="E1695" s="19" t="n"/>
      <c r="G1695" s="16" t="n"/>
      <c r="H1695" s="19" t="n"/>
      <c r="J1695" s="16" t="n"/>
      <c r="K1695" s="19" t="n"/>
      <c r="M1695" s="16" t="n"/>
      <c r="N1695" s="19" t="n"/>
    </row>
    <row r="1696">
      <c r="A1696" s="16" t="n"/>
      <c r="B1696" s="19" t="n"/>
      <c r="D1696" s="16" t="n"/>
      <c r="E1696" s="19" t="n"/>
      <c r="G1696" s="16" t="n"/>
      <c r="H1696" s="19" t="n"/>
      <c r="J1696" s="16" t="n"/>
      <c r="K1696" s="19" t="n"/>
      <c r="M1696" s="16" t="n"/>
      <c r="N1696" s="19" t="n"/>
    </row>
    <row r="1697">
      <c r="A1697" s="16" t="n"/>
      <c r="B1697" s="19" t="n"/>
      <c r="D1697" s="16" t="n"/>
      <c r="E1697" s="19" t="n"/>
      <c r="G1697" s="16" t="n"/>
      <c r="H1697" s="19" t="n"/>
      <c r="J1697" s="16" t="n"/>
      <c r="K1697" s="19" t="n"/>
      <c r="M1697" s="16" t="n"/>
      <c r="N1697" s="19" t="n"/>
    </row>
    <row r="1698">
      <c r="A1698" s="16" t="n"/>
      <c r="B1698" s="19" t="n"/>
      <c r="D1698" s="16" t="n"/>
      <c r="E1698" s="19" t="n"/>
      <c r="G1698" s="16" t="n"/>
      <c r="H1698" s="19" t="n"/>
      <c r="J1698" s="16" t="n"/>
      <c r="K1698" s="19" t="n"/>
      <c r="M1698" s="16" t="n"/>
      <c r="N1698" s="19" t="n"/>
    </row>
    <row r="1699">
      <c r="A1699" s="16" t="n"/>
      <c r="B1699" s="19" t="n"/>
      <c r="D1699" s="16" t="n"/>
      <c r="E1699" s="19" t="n"/>
      <c r="G1699" s="16" t="n"/>
      <c r="H1699" s="19" t="n"/>
      <c r="J1699" s="16" t="n"/>
      <c r="K1699" s="19" t="n"/>
      <c r="M1699" s="16" t="n"/>
      <c r="N1699" s="19" t="n"/>
    </row>
    <row r="1700">
      <c r="A1700" s="16" t="n"/>
      <c r="B1700" s="19" t="n"/>
      <c r="D1700" s="16" t="n"/>
      <c r="E1700" s="19" t="n"/>
      <c r="G1700" s="16" t="n"/>
      <c r="H1700" s="19" t="n"/>
      <c r="J1700" s="16" t="n"/>
      <c r="K1700" s="19" t="n"/>
      <c r="M1700" s="16" t="n"/>
      <c r="N1700" s="19" t="n"/>
    </row>
    <row r="1701">
      <c r="A1701" s="16" t="n"/>
      <c r="B1701" s="19" t="n"/>
      <c r="D1701" s="16" t="n"/>
      <c r="E1701" s="19" t="n"/>
      <c r="G1701" s="16" t="n"/>
      <c r="H1701" s="19" t="n"/>
      <c r="J1701" s="16" t="n"/>
      <c r="K1701" s="19" t="n"/>
      <c r="M1701" s="16" t="n"/>
      <c r="N1701" s="19" t="n"/>
    </row>
    <row r="1702">
      <c r="A1702" s="16" t="n"/>
      <c r="B1702" s="19" t="n"/>
      <c r="D1702" s="16" t="n"/>
      <c r="E1702" s="19" t="n"/>
      <c r="G1702" s="16" t="n"/>
      <c r="H1702" s="19" t="n"/>
      <c r="J1702" s="16" t="n"/>
      <c r="K1702" s="19" t="n"/>
      <c r="M1702" s="16" t="n"/>
      <c r="N1702" s="19" t="n"/>
    </row>
    <row r="1703">
      <c r="A1703" s="16" t="n"/>
      <c r="B1703" s="19" t="n"/>
      <c r="D1703" s="16" t="n"/>
      <c r="E1703" s="19" t="n"/>
      <c r="G1703" s="16" t="n"/>
      <c r="H1703" s="19" t="n"/>
      <c r="J1703" s="16" t="n"/>
      <c r="K1703" s="19" t="n"/>
      <c r="M1703" s="16" t="n"/>
      <c r="N1703" s="19" t="n"/>
    </row>
    <row r="1704">
      <c r="A1704" s="16" t="n"/>
      <c r="B1704" s="19" t="n"/>
      <c r="D1704" s="16" t="n"/>
      <c r="E1704" s="19" t="n"/>
      <c r="G1704" s="16" t="n"/>
      <c r="H1704" s="19" t="n"/>
      <c r="J1704" s="16" t="n"/>
      <c r="K1704" s="19" t="n"/>
      <c r="M1704" s="16" t="n"/>
      <c r="N1704" s="19" t="n"/>
    </row>
    <row r="1705">
      <c r="A1705" s="16" t="n"/>
      <c r="B1705" s="19" t="n"/>
      <c r="D1705" s="16" t="n"/>
      <c r="E1705" s="19" t="n"/>
      <c r="G1705" s="16" t="n"/>
      <c r="H1705" s="19" t="n"/>
      <c r="J1705" s="16" t="n"/>
      <c r="K1705" s="19" t="n"/>
      <c r="M1705" s="16" t="n"/>
      <c r="N1705" s="19" t="n"/>
    </row>
    <row r="1706">
      <c r="A1706" s="16" t="n"/>
      <c r="B1706" s="19" t="n"/>
      <c r="D1706" s="16" t="n"/>
      <c r="E1706" s="19" t="n"/>
      <c r="G1706" s="16" t="n"/>
      <c r="H1706" s="19" t="n"/>
      <c r="J1706" s="16" t="n"/>
      <c r="K1706" s="19" t="n"/>
      <c r="M1706" s="16" t="n"/>
      <c r="N1706" s="19" t="n"/>
    </row>
    <row r="1707">
      <c r="A1707" s="16" t="n"/>
      <c r="B1707" s="19" t="n"/>
      <c r="D1707" s="16" t="n"/>
      <c r="E1707" s="19" t="n"/>
      <c r="G1707" s="16" t="n"/>
      <c r="H1707" s="19" t="n"/>
      <c r="J1707" s="16" t="n"/>
      <c r="K1707" s="19" t="n"/>
      <c r="M1707" s="16" t="n"/>
      <c r="N1707" s="19" t="n"/>
    </row>
    <row r="1708">
      <c r="A1708" s="16" t="n"/>
      <c r="B1708" s="19" t="n"/>
      <c r="D1708" s="16" t="n"/>
      <c r="E1708" s="19" t="n"/>
      <c r="G1708" s="16" t="n"/>
      <c r="H1708" s="19" t="n"/>
      <c r="J1708" s="16" t="n"/>
      <c r="K1708" s="19" t="n"/>
      <c r="M1708" s="16" t="n"/>
      <c r="N1708" s="19" t="n"/>
    </row>
    <row r="1709">
      <c r="A1709" s="16" t="n"/>
      <c r="B1709" s="19" t="n"/>
      <c r="D1709" s="16" t="n"/>
      <c r="E1709" s="19" t="n"/>
      <c r="G1709" s="16" t="n"/>
      <c r="H1709" s="19" t="n"/>
      <c r="J1709" s="16" t="n"/>
      <c r="K1709" s="19" t="n"/>
      <c r="M1709" s="16" t="n"/>
      <c r="N1709" s="19" t="n"/>
    </row>
    <row r="1710">
      <c r="A1710" s="16" t="n"/>
      <c r="B1710" s="19" t="n"/>
      <c r="D1710" s="16" t="n"/>
      <c r="E1710" s="19" t="n"/>
      <c r="G1710" s="16" t="n"/>
      <c r="H1710" s="19" t="n"/>
      <c r="J1710" s="16" t="n"/>
      <c r="K1710" s="19" t="n"/>
      <c r="M1710" s="16" t="n"/>
      <c r="N1710" s="19" t="n"/>
    </row>
    <row r="1711">
      <c r="A1711" s="16" t="n"/>
      <c r="B1711" s="19" t="n"/>
      <c r="D1711" s="16" t="n"/>
      <c r="E1711" s="19" t="n"/>
      <c r="G1711" s="16" t="n"/>
      <c r="H1711" s="19" t="n"/>
      <c r="J1711" s="16" t="n"/>
      <c r="K1711" s="19" t="n"/>
      <c r="M1711" s="16" t="n"/>
      <c r="N1711" s="19" t="n"/>
    </row>
    <row r="1712">
      <c r="A1712" s="16" t="n"/>
      <c r="B1712" s="19" t="n"/>
      <c r="D1712" s="16" t="n"/>
      <c r="E1712" s="19" t="n"/>
      <c r="G1712" s="16" t="n"/>
      <c r="H1712" s="19" t="n"/>
      <c r="J1712" s="16" t="n"/>
      <c r="K1712" s="19" t="n"/>
      <c r="M1712" s="16" t="n"/>
      <c r="N1712" s="19" t="n"/>
    </row>
    <row r="1713">
      <c r="A1713" s="16" t="n"/>
      <c r="B1713" s="19" t="n"/>
      <c r="D1713" s="16" t="n"/>
      <c r="E1713" s="19" t="n"/>
      <c r="G1713" s="16" t="n"/>
      <c r="H1713" s="19" t="n"/>
      <c r="J1713" s="16" t="n"/>
      <c r="K1713" s="19" t="n"/>
      <c r="M1713" s="16" t="n"/>
      <c r="N1713" s="19" t="n"/>
    </row>
    <row r="1714">
      <c r="A1714" s="16" t="n"/>
      <c r="B1714" s="19" t="n"/>
      <c r="D1714" s="16" t="n"/>
      <c r="E1714" s="19" t="n"/>
      <c r="G1714" s="16" t="n"/>
      <c r="H1714" s="19" t="n"/>
      <c r="J1714" s="16" t="n"/>
      <c r="K1714" s="19" t="n"/>
      <c r="M1714" s="16" t="n"/>
      <c r="N1714" s="19" t="n"/>
    </row>
    <row r="1715">
      <c r="A1715" s="16" t="n"/>
      <c r="B1715" s="19" t="n"/>
      <c r="D1715" s="16" t="n"/>
      <c r="E1715" s="19" t="n"/>
      <c r="G1715" s="16" t="n"/>
      <c r="H1715" s="19" t="n"/>
      <c r="J1715" s="16" t="n"/>
      <c r="K1715" s="19" t="n"/>
      <c r="M1715" s="16" t="n"/>
      <c r="N1715" s="19" t="n"/>
    </row>
    <row r="1716">
      <c r="A1716" s="16" t="n"/>
      <c r="B1716" s="19" t="n"/>
      <c r="D1716" s="16" t="n"/>
      <c r="E1716" s="19" t="n"/>
      <c r="G1716" s="16" t="n"/>
      <c r="H1716" s="19" t="n"/>
      <c r="J1716" s="16" t="n"/>
      <c r="K1716" s="19" t="n"/>
      <c r="M1716" s="16" t="n"/>
      <c r="N1716" s="19" t="n"/>
    </row>
    <row r="1717">
      <c r="A1717" s="16" t="n"/>
      <c r="B1717" s="19" t="n"/>
      <c r="D1717" s="16" t="n"/>
      <c r="E1717" s="19" t="n"/>
      <c r="G1717" s="16" t="n"/>
      <c r="H1717" s="19" t="n"/>
      <c r="J1717" s="16" t="n"/>
      <c r="K1717" s="19" t="n"/>
      <c r="M1717" s="16" t="n"/>
      <c r="N1717" s="19" t="n"/>
    </row>
    <row r="1718">
      <c r="A1718" s="16" t="n"/>
      <c r="B1718" s="19" t="n"/>
      <c r="D1718" s="16" t="n"/>
      <c r="E1718" s="19" t="n"/>
      <c r="G1718" s="16" t="n"/>
      <c r="H1718" s="19" t="n"/>
      <c r="J1718" s="16" t="n"/>
      <c r="K1718" s="19" t="n"/>
      <c r="M1718" s="16" t="n"/>
      <c r="N1718" s="19" t="n"/>
    </row>
    <row r="1719">
      <c r="A1719" s="16" t="n"/>
      <c r="B1719" s="19" t="n"/>
      <c r="D1719" s="16" t="n"/>
      <c r="E1719" s="19" t="n"/>
      <c r="G1719" s="16" t="n"/>
      <c r="H1719" s="19" t="n"/>
      <c r="J1719" s="16" t="n"/>
      <c r="K1719" s="19" t="n"/>
      <c r="M1719" s="16" t="n"/>
      <c r="N1719" s="19" t="n"/>
    </row>
    <row r="1720">
      <c r="A1720" s="16" t="n"/>
      <c r="B1720" s="19" t="n"/>
      <c r="D1720" s="16" t="n"/>
      <c r="E1720" s="19" t="n"/>
      <c r="G1720" s="16" t="n"/>
      <c r="H1720" s="19" t="n"/>
      <c r="J1720" s="16" t="n"/>
      <c r="K1720" s="19" t="n"/>
      <c r="M1720" s="16" t="n"/>
      <c r="N1720" s="19" t="n"/>
    </row>
    <row r="1721">
      <c r="A1721" s="16" t="n"/>
      <c r="B1721" s="19" t="n"/>
      <c r="D1721" s="16" t="n"/>
      <c r="E1721" s="19" t="n"/>
      <c r="G1721" s="16" t="n"/>
      <c r="H1721" s="19" t="n"/>
      <c r="J1721" s="16" t="n"/>
      <c r="K1721" s="19" t="n"/>
      <c r="M1721" s="16" t="n"/>
      <c r="N1721" s="19" t="n"/>
    </row>
    <row r="1722">
      <c r="A1722" s="16" t="n"/>
      <c r="B1722" s="19" t="n"/>
      <c r="D1722" s="16" t="n"/>
      <c r="E1722" s="19" t="n"/>
      <c r="G1722" s="16" t="n"/>
      <c r="H1722" s="19" t="n"/>
      <c r="J1722" s="16" t="n"/>
      <c r="K1722" s="19" t="n"/>
      <c r="M1722" s="16" t="n"/>
      <c r="N1722" s="19" t="n"/>
    </row>
    <row r="1723">
      <c r="A1723" s="16" t="n"/>
      <c r="B1723" s="19" t="n"/>
      <c r="D1723" s="16" t="n"/>
      <c r="E1723" s="19" t="n"/>
      <c r="G1723" s="16" t="n"/>
      <c r="H1723" s="19" t="n"/>
      <c r="J1723" s="16" t="n"/>
      <c r="K1723" s="19" t="n"/>
      <c r="M1723" s="16" t="n"/>
      <c r="N1723" s="19" t="n"/>
    </row>
    <row r="1724">
      <c r="A1724" s="16" t="n"/>
      <c r="B1724" s="19" t="n"/>
      <c r="D1724" s="16" t="n"/>
      <c r="E1724" s="19" t="n"/>
      <c r="G1724" s="16" t="n"/>
      <c r="H1724" s="19" t="n"/>
      <c r="J1724" s="16" t="n"/>
      <c r="K1724" s="19" t="n"/>
      <c r="M1724" s="16" t="n"/>
      <c r="N1724" s="19" t="n"/>
    </row>
    <row r="1725">
      <c r="A1725" s="16" t="n"/>
      <c r="B1725" s="19" t="n"/>
      <c r="D1725" s="16" t="n"/>
      <c r="E1725" s="19" t="n"/>
      <c r="G1725" s="16" t="n"/>
      <c r="H1725" s="19" t="n"/>
      <c r="J1725" s="16" t="n"/>
      <c r="K1725" s="19" t="n"/>
      <c r="M1725" s="16" t="n"/>
      <c r="N1725" s="19" t="n"/>
    </row>
    <row r="1726">
      <c r="A1726" s="16" t="n"/>
      <c r="B1726" s="19" t="n"/>
      <c r="D1726" s="16" t="n"/>
      <c r="E1726" s="19" t="n"/>
      <c r="G1726" s="16" t="n"/>
      <c r="H1726" s="19" t="n"/>
      <c r="J1726" s="16" t="n"/>
      <c r="K1726" s="19" t="n"/>
      <c r="M1726" s="16" t="n"/>
      <c r="N1726" s="19" t="n"/>
    </row>
    <row r="1727">
      <c r="A1727" s="16" t="n"/>
      <c r="B1727" s="19" t="n"/>
      <c r="D1727" s="16" t="n"/>
      <c r="E1727" s="19" t="n"/>
      <c r="G1727" s="16" t="n"/>
      <c r="H1727" s="19" t="n"/>
      <c r="J1727" s="16" t="n"/>
      <c r="K1727" s="19" t="n"/>
      <c r="M1727" s="16" t="n"/>
      <c r="N1727" s="19" t="n"/>
    </row>
    <row r="1728">
      <c r="A1728" s="16" t="n"/>
      <c r="B1728" s="19" t="n"/>
      <c r="D1728" s="16" t="n"/>
      <c r="E1728" s="19" t="n"/>
      <c r="G1728" s="16" t="n"/>
      <c r="H1728" s="19" t="n"/>
      <c r="J1728" s="16" t="n"/>
      <c r="K1728" s="19" t="n"/>
      <c r="M1728" s="16" t="n"/>
      <c r="N1728" s="19" t="n"/>
    </row>
    <row r="1729">
      <c r="A1729" s="16" t="n"/>
      <c r="B1729" s="19" t="n"/>
      <c r="D1729" s="16" t="n"/>
      <c r="E1729" s="19" t="n"/>
      <c r="G1729" s="16" t="n"/>
      <c r="H1729" s="19" t="n"/>
      <c r="J1729" s="16" t="n"/>
      <c r="K1729" s="19" t="n"/>
      <c r="M1729" s="16" t="n"/>
      <c r="N1729" s="19" t="n"/>
    </row>
    <row r="1730">
      <c r="A1730" s="16" t="n"/>
      <c r="B1730" s="19" t="n"/>
      <c r="D1730" s="16" t="n"/>
      <c r="E1730" s="19" t="n"/>
      <c r="G1730" s="16" t="n"/>
      <c r="H1730" s="19" t="n"/>
      <c r="J1730" s="16" t="n"/>
      <c r="K1730" s="19" t="n"/>
      <c r="M1730" s="16" t="n"/>
      <c r="N1730" s="19" t="n"/>
    </row>
    <row r="1731">
      <c r="A1731" s="16" t="n"/>
      <c r="B1731" s="19" t="n"/>
      <c r="D1731" s="16" t="n"/>
      <c r="E1731" s="19" t="n"/>
      <c r="G1731" s="16" t="n"/>
      <c r="H1731" s="19" t="n"/>
      <c r="J1731" s="16" t="n"/>
      <c r="K1731" s="19" t="n"/>
      <c r="M1731" s="16" t="n"/>
      <c r="N1731" s="19" t="n"/>
    </row>
    <row r="1732">
      <c r="A1732" s="16" t="n"/>
      <c r="B1732" s="19" t="n"/>
      <c r="D1732" s="16" t="n"/>
      <c r="E1732" s="19" t="n"/>
      <c r="G1732" s="16" t="n"/>
      <c r="H1732" s="19" t="n"/>
      <c r="J1732" s="16" t="n"/>
      <c r="K1732" s="19" t="n"/>
      <c r="M1732" s="16" t="n"/>
      <c r="N1732" s="19" t="n"/>
    </row>
    <row r="1733">
      <c r="A1733" s="16" t="n"/>
      <c r="B1733" s="19" t="n"/>
      <c r="D1733" s="16" t="n"/>
      <c r="E1733" s="19" t="n"/>
      <c r="G1733" s="16" t="n"/>
      <c r="H1733" s="19" t="n"/>
      <c r="J1733" s="16" t="n"/>
      <c r="K1733" s="19" t="n"/>
      <c r="M1733" s="16" t="n"/>
      <c r="N1733" s="19" t="n"/>
    </row>
    <row r="1734">
      <c r="A1734" s="16" t="n"/>
      <c r="B1734" s="19" t="n"/>
      <c r="D1734" s="16" t="n"/>
      <c r="E1734" s="19" t="n"/>
      <c r="G1734" s="16" t="n"/>
      <c r="H1734" s="19" t="n"/>
      <c r="J1734" s="16" t="n"/>
      <c r="K1734" s="19" t="n"/>
      <c r="M1734" s="16" t="n"/>
      <c r="N1734" s="19" t="n"/>
    </row>
    <row r="1735">
      <c r="A1735" s="16" t="n"/>
      <c r="B1735" s="19" t="n"/>
      <c r="D1735" s="16" t="n"/>
      <c r="E1735" s="19" t="n"/>
      <c r="G1735" s="16" t="n"/>
      <c r="H1735" s="19" t="n"/>
      <c r="J1735" s="16" t="n"/>
      <c r="K1735" s="19" t="n"/>
      <c r="M1735" s="16" t="n"/>
      <c r="N1735" s="19" t="n"/>
    </row>
    <row r="1736">
      <c r="A1736" s="16" t="n"/>
      <c r="B1736" s="19" t="n"/>
      <c r="D1736" s="16" t="n"/>
      <c r="E1736" s="19" t="n"/>
      <c r="G1736" s="16" t="n"/>
      <c r="H1736" s="19" t="n"/>
      <c r="J1736" s="16" t="n"/>
      <c r="K1736" s="19" t="n"/>
      <c r="M1736" s="16" t="n"/>
      <c r="N1736" s="19" t="n"/>
    </row>
    <row r="1737">
      <c r="A1737" s="16" t="n"/>
      <c r="B1737" s="19" t="n"/>
      <c r="D1737" s="16" t="n"/>
      <c r="E1737" s="19" t="n"/>
      <c r="G1737" s="16" t="n"/>
      <c r="H1737" s="19" t="n"/>
      <c r="J1737" s="16" t="n"/>
      <c r="K1737" s="19" t="n"/>
      <c r="M1737" s="16" t="n"/>
      <c r="N1737" s="19" t="n"/>
    </row>
    <row r="1738">
      <c r="A1738" s="16" t="n"/>
      <c r="B1738" s="19" t="n"/>
      <c r="D1738" s="16" t="n"/>
      <c r="E1738" s="19" t="n"/>
      <c r="G1738" s="16" t="n"/>
      <c r="H1738" s="19" t="n"/>
      <c r="J1738" s="16" t="n"/>
      <c r="K1738" s="19" t="n"/>
      <c r="M1738" s="16" t="n"/>
      <c r="N1738" s="19" t="n"/>
    </row>
    <row r="1739">
      <c r="A1739" s="16" t="n"/>
      <c r="B1739" s="19" t="n"/>
      <c r="D1739" s="16" t="n"/>
      <c r="E1739" s="19" t="n"/>
      <c r="G1739" s="16" t="n"/>
      <c r="H1739" s="19" t="n"/>
      <c r="J1739" s="16" t="n"/>
      <c r="K1739" s="19" t="n"/>
      <c r="M1739" s="16" t="n"/>
      <c r="N1739" s="19" t="n"/>
    </row>
    <row r="1740">
      <c r="A1740" s="16" t="n"/>
      <c r="B1740" s="19" t="n"/>
      <c r="D1740" s="16" t="n"/>
      <c r="E1740" s="19" t="n"/>
      <c r="G1740" s="16" t="n"/>
      <c r="H1740" s="19" t="n"/>
      <c r="J1740" s="16" t="n"/>
      <c r="K1740" s="19" t="n"/>
      <c r="M1740" s="16" t="n"/>
      <c r="N1740" s="19" t="n"/>
    </row>
    <row r="1741">
      <c r="A1741" s="16" t="n"/>
      <c r="B1741" s="19" t="n"/>
      <c r="D1741" s="16" t="n"/>
      <c r="E1741" s="19" t="n"/>
      <c r="G1741" s="16" t="n"/>
      <c r="H1741" s="19" t="n"/>
      <c r="J1741" s="16" t="n"/>
      <c r="K1741" s="19" t="n"/>
      <c r="M1741" s="16" t="n"/>
      <c r="N1741" s="19" t="n"/>
    </row>
    <row r="1742">
      <c r="A1742" s="16" t="n"/>
      <c r="B1742" s="19" t="n"/>
      <c r="D1742" s="16" t="n"/>
      <c r="E1742" s="19" t="n"/>
      <c r="G1742" s="16" t="n"/>
      <c r="H1742" s="19" t="n"/>
      <c r="J1742" s="16" t="n"/>
      <c r="K1742" s="19" t="n"/>
      <c r="M1742" s="16" t="n"/>
      <c r="N1742" s="19" t="n"/>
    </row>
    <row r="1743">
      <c r="A1743" s="16" t="n"/>
      <c r="B1743" s="19" t="n"/>
      <c r="D1743" s="16" t="n"/>
      <c r="E1743" s="19" t="n"/>
      <c r="G1743" s="16" t="n"/>
      <c r="H1743" s="19" t="n"/>
      <c r="J1743" s="16" t="n"/>
      <c r="K1743" s="19" t="n"/>
      <c r="M1743" s="16" t="n"/>
      <c r="N1743" s="19" t="n"/>
    </row>
    <row r="1744">
      <c r="A1744" s="16" t="n"/>
      <c r="B1744" s="19" t="n"/>
      <c r="D1744" s="16" t="n"/>
      <c r="E1744" s="19" t="n"/>
      <c r="G1744" s="16" t="n"/>
      <c r="H1744" s="19" t="n"/>
      <c r="J1744" s="16" t="n"/>
      <c r="K1744" s="19" t="n"/>
      <c r="M1744" s="16" t="n"/>
      <c r="N1744" s="19" t="n"/>
    </row>
    <row r="1745">
      <c r="A1745" s="16" t="n"/>
      <c r="B1745" s="19" t="n"/>
      <c r="D1745" s="16" t="n"/>
      <c r="E1745" s="19" t="n"/>
      <c r="G1745" s="16" t="n"/>
      <c r="H1745" s="19" t="n"/>
      <c r="J1745" s="16" t="n"/>
      <c r="K1745" s="19" t="n"/>
      <c r="M1745" s="16" t="n"/>
      <c r="N1745" s="19" t="n"/>
    </row>
    <row r="1746">
      <c r="A1746" s="16" t="n"/>
      <c r="B1746" s="19" t="n"/>
      <c r="D1746" s="16" t="n"/>
      <c r="E1746" s="19" t="n"/>
      <c r="G1746" s="16" t="n"/>
      <c r="H1746" s="19" t="n"/>
      <c r="J1746" s="16" t="n"/>
      <c r="K1746" s="19" t="n"/>
      <c r="M1746" s="16" t="n"/>
      <c r="N1746" s="19" t="n"/>
    </row>
    <row r="1747">
      <c r="A1747" s="16" t="n"/>
      <c r="B1747" s="19" t="n"/>
      <c r="D1747" s="16" t="n"/>
      <c r="E1747" s="19" t="n"/>
      <c r="G1747" s="16" t="n"/>
      <c r="H1747" s="19" t="n"/>
      <c r="J1747" s="16" t="n"/>
      <c r="K1747" s="19" t="n"/>
      <c r="M1747" s="16" t="n"/>
      <c r="N1747" s="19" t="n"/>
    </row>
    <row r="1748">
      <c r="A1748" s="16" t="n"/>
      <c r="B1748" s="19" t="n"/>
      <c r="D1748" s="16" t="n"/>
      <c r="E1748" s="19" t="n"/>
      <c r="G1748" s="16" t="n"/>
      <c r="H1748" s="19" t="n"/>
      <c r="J1748" s="16" t="n"/>
      <c r="K1748" s="19" t="n"/>
      <c r="M1748" s="16" t="n"/>
      <c r="N1748" s="19" t="n"/>
    </row>
    <row r="1749">
      <c r="A1749" s="16" t="n"/>
      <c r="B1749" s="19" t="n"/>
      <c r="D1749" s="16" t="n"/>
      <c r="E1749" s="19" t="n"/>
      <c r="G1749" s="16" t="n"/>
      <c r="H1749" s="19" t="n"/>
      <c r="J1749" s="16" t="n"/>
      <c r="K1749" s="19" t="n"/>
      <c r="M1749" s="16" t="n"/>
      <c r="N1749" s="19" t="n"/>
    </row>
    <row r="1750">
      <c r="A1750" s="16" t="n"/>
      <c r="B1750" s="19" t="n"/>
      <c r="D1750" s="16" t="n"/>
      <c r="E1750" s="19" t="n"/>
      <c r="G1750" s="16" t="n"/>
      <c r="H1750" s="19" t="n"/>
      <c r="J1750" s="16" t="n"/>
      <c r="K1750" s="19" t="n"/>
      <c r="M1750" s="16" t="n"/>
      <c r="N1750" s="19" t="n"/>
    </row>
    <row r="1751">
      <c r="A1751" s="16" t="n"/>
      <c r="B1751" s="19" t="n"/>
      <c r="D1751" s="16" t="n"/>
      <c r="E1751" s="19" t="n"/>
      <c r="G1751" s="16" t="n"/>
      <c r="H1751" s="19" t="n"/>
      <c r="J1751" s="16" t="n"/>
      <c r="K1751" s="19" t="n"/>
      <c r="M1751" s="16" t="n"/>
      <c r="N1751" s="19" t="n"/>
    </row>
    <row r="1752">
      <c r="A1752" s="16" t="n"/>
      <c r="B1752" s="19" t="n"/>
      <c r="D1752" s="16" t="n"/>
      <c r="E1752" s="19" t="n"/>
      <c r="G1752" s="16" t="n"/>
      <c r="H1752" s="19" t="n"/>
      <c r="J1752" s="16" t="n"/>
      <c r="K1752" s="19" t="n"/>
      <c r="M1752" s="16" t="n"/>
      <c r="N1752" s="19" t="n"/>
    </row>
    <row r="1753">
      <c r="A1753" s="16" t="n"/>
      <c r="B1753" s="19" t="n"/>
      <c r="D1753" s="16" t="n"/>
      <c r="E1753" s="19" t="n"/>
      <c r="G1753" s="16" t="n"/>
      <c r="H1753" s="19" t="n"/>
      <c r="J1753" s="16" t="n"/>
      <c r="K1753" s="19" t="n"/>
      <c r="M1753" s="16" t="n"/>
      <c r="N1753" s="19" t="n"/>
    </row>
    <row r="1754">
      <c r="A1754" s="16" t="n"/>
      <c r="B1754" s="19" t="n"/>
      <c r="D1754" s="16" t="n"/>
      <c r="E1754" s="19" t="n"/>
      <c r="G1754" s="16" t="n"/>
      <c r="H1754" s="19" t="n"/>
      <c r="J1754" s="16" t="n"/>
      <c r="K1754" s="19" t="n"/>
      <c r="M1754" s="16" t="n"/>
      <c r="N1754" s="19" t="n"/>
    </row>
    <row r="1755">
      <c r="A1755" s="16" t="n"/>
      <c r="B1755" s="19" t="n"/>
      <c r="D1755" s="16" t="n"/>
      <c r="E1755" s="19" t="n"/>
      <c r="G1755" s="16" t="n"/>
      <c r="H1755" s="19" t="n"/>
      <c r="J1755" s="16" t="n"/>
      <c r="K1755" s="19" t="n"/>
      <c r="M1755" s="16" t="n"/>
      <c r="N1755" s="19" t="n"/>
    </row>
    <row r="1756">
      <c r="A1756" s="16" t="n"/>
      <c r="B1756" s="19" t="n"/>
      <c r="D1756" s="16" t="n"/>
      <c r="E1756" s="19" t="n"/>
      <c r="G1756" s="16" t="n"/>
      <c r="H1756" s="19" t="n"/>
      <c r="J1756" s="16" t="n"/>
      <c r="K1756" s="19" t="n"/>
      <c r="M1756" s="16" t="n"/>
      <c r="N1756" s="19" t="n"/>
    </row>
    <row r="1757">
      <c r="A1757" s="16" t="n"/>
      <c r="B1757" s="19" t="n"/>
      <c r="D1757" s="16" t="n"/>
      <c r="E1757" s="19" t="n"/>
      <c r="G1757" s="16" t="n"/>
      <c r="H1757" s="19" t="n"/>
      <c r="J1757" s="16" t="n"/>
      <c r="K1757" s="19" t="n"/>
      <c r="M1757" s="16" t="n"/>
      <c r="N1757" s="19" t="n"/>
    </row>
    <row r="1758">
      <c r="A1758" s="16" t="n"/>
      <c r="B1758" s="19" t="n"/>
      <c r="D1758" s="16" t="n"/>
      <c r="E1758" s="19" t="n"/>
      <c r="G1758" s="16" t="n"/>
      <c r="H1758" s="19" t="n"/>
      <c r="J1758" s="16" t="n"/>
      <c r="K1758" s="19" t="n"/>
      <c r="M1758" s="16" t="n"/>
      <c r="N1758" s="19" t="n"/>
    </row>
    <row r="1759">
      <c r="A1759" s="16" t="n"/>
      <c r="B1759" s="19" t="n"/>
      <c r="D1759" s="16" t="n"/>
      <c r="E1759" s="19" t="n"/>
      <c r="G1759" s="16" t="n"/>
      <c r="H1759" s="19" t="n"/>
      <c r="J1759" s="16" t="n"/>
      <c r="K1759" s="19" t="n"/>
      <c r="M1759" s="16" t="n"/>
      <c r="N1759" s="19" t="n"/>
    </row>
    <row r="1760">
      <c r="A1760" s="16" t="n"/>
      <c r="B1760" s="19" t="n"/>
      <c r="D1760" s="16" t="n"/>
      <c r="E1760" s="19" t="n"/>
      <c r="G1760" s="16" t="n"/>
      <c r="H1760" s="19" t="n"/>
      <c r="J1760" s="16" t="n"/>
      <c r="K1760" s="19" t="n"/>
      <c r="M1760" s="16" t="n"/>
      <c r="N1760" s="19" t="n"/>
    </row>
    <row r="1761">
      <c r="A1761" s="16" t="n"/>
      <c r="B1761" s="19" t="n"/>
      <c r="D1761" s="16" t="n"/>
      <c r="E1761" s="19" t="n"/>
      <c r="G1761" s="16" t="n"/>
      <c r="H1761" s="19" t="n"/>
      <c r="J1761" s="16" t="n"/>
      <c r="K1761" s="19" t="n"/>
      <c r="M1761" s="16" t="n"/>
      <c r="N1761" s="19" t="n"/>
    </row>
    <row r="1762">
      <c r="A1762" s="16" t="n"/>
      <c r="B1762" s="19" t="n"/>
      <c r="D1762" s="16" t="n"/>
      <c r="E1762" s="19" t="n"/>
      <c r="G1762" s="16" t="n"/>
      <c r="H1762" s="19" t="n"/>
      <c r="J1762" s="16" t="n"/>
      <c r="K1762" s="19" t="n"/>
      <c r="M1762" s="16" t="n"/>
      <c r="N1762" s="19" t="n"/>
    </row>
    <row r="1763">
      <c r="A1763" s="16" t="n"/>
      <c r="B1763" s="19" t="n"/>
      <c r="D1763" s="16" t="n"/>
      <c r="E1763" s="19" t="n"/>
      <c r="G1763" s="16" t="n"/>
      <c r="H1763" s="19" t="n"/>
      <c r="J1763" s="16" t="n"/>
      <c r="K1763" s="19" t="n"/>
      <c r="M1763" s="16" t="n"/>
      <c r="N1763" s="19" t="n"/>
    </row>
    <row r="1764">
      <c r="A1764" s="16" t="n"/>
      <c r="B1764" s="19" t="n"/>
      <c r="D1764" s="16" t="n"/>
      <c r="E1764" s="19" t="n"/>
      <c r="G1764" s="16" t="n"/>
      <c r="H1764" s="19" t="n"/>
      <c r="J1764" s="16" t="n"/>
      <c r="K1764" s="19" t="n"/>
      <c r="M1764" s="16" t="n"/>
      <c r="N1764" s="19" t="n"/>
    </row>
    <row r="1765">
      <c r="A1765" s="16" t="n"/>
      <c r="B1765" s="19" t="n"/>
      <c r="D1765" s="16" t="n"/>
      <c r="E1765" s="19" t="n"/>
      <c r="G1765" s="16" t="n"/>
      <c r="H1765" s="19" t="n"/>
      <c r="J1765" s="16" t="n"/>
      <c r="K1765" s="19" t="n"/>
      <c r="M1765" s="16" t="n"/>
      <c r="N1765" s="19" t="n"/>
    </row>
    <row r="1766">
      <c r="A1766" s="16" t="n"/>
      <c r="B1766" s="19" t="n"/>
      <c r="D1766" s="16" t="n"/>
      <c r="E1766" s="19" t="n"/>
      <c r="G1766" s="16" t="n"/>
      <c r="H1766" s="19" t="n"/>
      <c r="J1766" s="16" t="n"/>
      <c r="K1766" s="19" t="n"/>
      <c r="M1766" s="16" t="n"/>
      <c r="N1766" s="19" t="n"/>
    </row>
    <row r="1767">
      <c r="A1767" s="16" t="n"/>
      <c r="B1767" s="19" t="n"/>
      <c r="D1767" s="16" t="n"/>
      <c r="E1767" s="19" t="n"/>
      <c r="G1767" s="16" t="n"/>
      <c r="H1767" s="19" t="n"/>
      <c r="J1767" s="16" t="n"/>
      <c r="K1767" s="19" t="n"/>
      <c r="M1767" s="16" t="n"/>
      <c r="N1767" s="19" t="n"/>
    </row>
    <row r="1768">
      <c r="A1768" s="16" t="n"/>
      <c r="B1768" s="19" t="n"/>
      <c r="D1768" s="16" t="n"/>
      <c r="E1768" s="19" t="n"/>
      <c r="G1768" s="16" t="n"/>
      <c r="H1768" s="19" t="n"/>
      <c r="J1768" s="16" t="n"/>
      <c r="K1768" s="19" t="n"/>
      <c r="M1768" s="16" t="n"/>
      <c r="N1768" s="19" t="n"/>
    </row>
    <row r="1769">
      <c r="A1769" s="16" t="n"/>
      <c r="B1769" s="19" t="n"/>
      <c r="D1769" s="16" t="n"/>
      <c r="E1769" s="19" t="n"/>
      <c r="G1769" s="16" t="n"/>
      <c r="H1769" s="19" t="n"/>
      <c r="J1769" s="16" t="n"/>
      <c r="K1769" s="19" t="n"/>
      <c r="M1769" s="16" t="n"/>
      <c r="N1769" s="19" t="n"/>
    </row>
    <row r="1770">
      <c r="A1770" s="16" t="n"/>
      <c r="B1770" s="19" t="n"/>
      <c r="D1770" s="16" t="n"/>
      <c r="E1770" s="19" t="n"/>
      <c r="G1770" s="16" t="n"/>
      <c r="H1770" s="19" t="n"/>
      <c r="J1770" s="16" t="n"/>
      <c r="K1770" s="19" t="n"/>
      <c r="M1770" s="16" t="n"/>
      <c r="N1770" s="19" t="n"/>
    </row>
    <row r="1771">
      <c r="A1771" s="16" t="n"/>
      <c r="B1771" s="19" t="n"/>
      <c r="D1771" s="16" t="n"/>
      <c r="E1771" s="19" t="n"/>
      <c r="G1771" s="16" t="n"/>
      <c r="H1771" s="19" t="n"/>
      <c r="J1771" s="16" t="n"/>
      <c r="K1771" s="19" t="n"/>
      <c r="M1771" s="16" t="n"/>
      <c r="N1771" s="19" t="n"/>
    </row>
    <row r="1772">
      <c r="A1772" s="16" t="n"/>
      <c r="B1772" s="19" t="n"/>
      <c r="D1772" s="16" t="n"/>
      <c r="E1772" s="19" t="n"/>
      <c r="G1772" s="16" t="n"/>
      <c r="H1772" s="19" t="n"/>
      <c r="J1772" s="16" t="n"/>
      <c r="K1772" s="19" t="n"/>
      <c r="M1772" s="16" t="n"/>
      <c r="N1772" s="19" t="n"/>
    </row>
    <row r="1773">
      <c r="A1773" s="16" t="n"/>
      <c r="B1773" s="19" t="n"/>
      <c r="D1773" s="16" t="n"/>
      <c r="E1773" s="19" t="n"/>
      <c r="G1773" s="16" t="n"/>
      <c r="H1773" s="19" t="n"/>
      <c r="J1773" s="16" t="n"/>
      <c r="K1773" s="19" t="n"/>
      <c r="M1773" s="16" t="n"/>
      <c r="N1773" s="19" t="n"/>
    </row>
    <row r="1774">
      <c r="A1774" s="16" t="n"/>
      <c r="B1774" s="19" t="n"/>
      <c r="D1774" s="16" t="n"/>
      <c r="E1774" s="19" t="n"/>
      <c r="G1774" s="16" t="n"/>
      <c r="H1774" s="19" t="n"/>
      <c r="J1774" s="16" t="n"/>
      <c r="K1774" s="19" t="n"/>
      <c r="M1774" s="16" t="n"/>
      <c r="N1774" s="19" t="n"/>
    </row>
    <row r="1775">
      <c r="A1775" s="16" t="n"/>
      <c r="B1775" s="19" t="n"/>
      <c r="D1775" s="16" t="n"/>
      <c r="E1775" s="19" t="n"/>
      <c r="G1775" s="16" t="n"/>
      <c r="H1775" s="19" t="n"/>
      <c r="J1775" s="16" t="n"/>
      <c r="K1775" s="19" t="n"/>
      <c r="M1775" s="16" t="n"/>
      <c r="N1775" s="19" t="n"/>
    </row>
    <row r="1776">
      <c r="A1776" s="16" t="n"/>
      <c r="B1776" s="19" t="n"/>
      <c r="D1776" s="16" t="n"/>
      <c r="E1776" s="19" t="n"/>
      <c r="G1776" s="16" t="n"/>
      <c r="H1776" s="19" t="n"/>
      <c r="J1776" s="16" t="n"/>
      <c r="K1776" s="19" t="n"/>
      <c r="M1776" s="16" t="n"/>
      <c r="N1776" s="19" t="n"/>
    </row>
    <row r="1777">
      <c r="A1777" s="16" t="n"/>
      <c r="B1777" s="19" t="n"/>
      <c r="D1777" s="16" t="n"/>
      <c r="E1777" s="19" t="n"/>
      <c r="G1777" s="16" t="n"/>
      <c r="H1777" s="19" t="n"/>
      <c r="J1777" s="16" t="n"/>
      <c r="K1777" s="19" t="n"/>
      <c r="M1777" s="16" t="n"/>
      <c r="N1777" s="19" t="n"/>
    </row>
    <row r="1778">
      <c r="A1778" s="16" t="n"/>
      <c r="B1778" s="19" t="n"/>
      <c r="D1778" s="16" t="n"/>
      <c r="E1778" s="19" t="n"/>
      <c r="G1778" s="16" t="n"/>
      <c r="H1778" s="19" t="n"/>
      <c r="J1778" s="16" t="n"/>
      <c r="K1778" s="19" t="n"/>
      <c r="M1778" s="16" t="n"/>
      <c r="N1778" s="19" t="n"/>
    </row>
    <row r="1779">
      <c r="A1779" s="16" t="n"/>
      <c r="B1779" s="19" t="n"/>
      <c r="D1779" s="16" t="n"/>
      <c r="E1779" s="19" t="n"/>
      <c r="G1779" s="16" t="n"/>
      <c r="H1779" s="19" t="n"/>
      <c r="J1779" s="16" t="n"/>
      <c r="K1779" s="19" t="n"/>
      <c r="M1779" s="16" t="n"/>
      <c r="N1779" s="19" t="n"/>
    </row>
    <row r="1780">
      <c r="A1780" s="16" t="n"/>
      <c r="B1780" s="19" t="n"/>
      <c r="D1780" s="16" t="n"/>
      <c r="E1780" s="19" t="n"/>
      <c r="G1780" s="16" t="n"/>
      <c r="H1780" s="19" t="n"/>
      <c r="J1780" s="16" t="n"/>
      <c r="K1780" s="19" t="n"/>
      <c r="M1780" s="16" t="n"/>
      <c r="N1780" s="19" t="n"/>
    </row>
    <row r="1781">
      <c r="A1781" s="16" t="n"/>
      <c r="B1781" s="19" t="n"/>
      <c r="D1781" s="16" t="n"/>
      <c r="E1781" s="19" t="n"/>
      <c r="G1781" s="16" t="n"/>
      <c r="H1781" s="19" t="n"/>
      <c r="J1781" s="16" t="n"/>
      <c r="K1781" s="19" t="n"/>
      <c r="M1781" s="16" t="n"/>
      <c r="N1781" s="19" t="n"/>
    </row>
    <row r="1782">
      <c r="A1782" s="16" t="n"/>
      <c r="B1782" s="19" t="n"/>
      <c r="D1782" s="16" t="n"/>
      <c r="E1782" s="19" t="n"/>
      <c r="G1782" s="16" t="n"/>
      <c r="H1782" s="19" t="n"/>
      <c r="J1782" s="16" t="n"/>
      <c r="K1782" s="19" t="n"/>
      <c r="M1782" s="16" t="n"/>
      <c r="N1782" s="19" t="n"/>
    </row>
    <row r="1783">
      <c r="A1783" s="16" t="n"/>
      <c r="B1783" s="19" t="n"/>
      <c r="D1783" s="16" t="n"/>
      <c r="E1783" s="19" t="n"/>
      <c r="G1783" s="16" t="n"/>
      <c r="H1783" s="19" t="n"/>
      <c r="J1783" s="16" t="n"/>
      <c r="K1783" s="19" t="n"/>
      <c r="M1783" s="16" t="n"/>
      <c r="N1783" s="19" t="n"/>
    </row>
    <row r="1784">
      <c r="A1784" s="16" t="n"/>
      <c r="B1784" s="19" t="n"/>
      <c r="D1784" s="16" t="n"/>
      <c r="E1784" s="19" t="n"/>
      <c r="G1784" s="16" t="n"/>
      <c r="H1784" s="19" t="n"/>
      <c r="J1784" s="16" t="n"/>
      <c r="K1784" s="19" t="n"/>
      <c r="M1784" s="16" t="n"/>
      <c r="N1784" s="19" t="n"/>
    </row>
    <row r="1785">
      <c r="A1785" s="16" t="n"/>
      <c r="B1785" s="19" t="n"/>
      <c r="D1785" s="16" t="n"/>
      <c r="E1785" s="19" t="n"/>
      <c r="G1785" s="16" t="n"/>
      <c r="H1785" s="19" t="n"/>
      <c r="J1785" s="16" t="n"/>
      <c r="K1785" s="19" t="n"/>
      <c r="M1785" s="16" t="n"/>
      <c r="N1785" s="19" t="n"/>
    </row>
    <row r="1786">
      <c r="A1786" s="16" t="n"/>
      <c r="B1786" s="19" t="n"/>
      <c r="D1786" s="16" t="n"/>
      <c r="E1786" s="19" t="n"/>
      <c r="G1786" s="16" t="n"/>
      <c r="H1786" s="19" t="n"/>
      <c r="J1786" s="16" t="n"/>
      <c r="K1786" s="19" t="n"/>
      <c r="M1786" s="16" t="n"/>
      <c r="N1786" s="19" t="n"/>
    </row>
    <row r="1787">
      <c r="A1787" s="16" t="n"/>
      <c r="B1787" s="19" t="n"/>
      <c r="D1787" s="16" t="n"/>
      <c r="E1787" s="19" t="n"/>
      <c r="G1787" s="16" t="n"/>
      <c r="H1787" s="19" t="n"/>
      <c r="J1787" s="16" t="n"/>
      <c r="K1787" s="19" t="n"/>
      <c r="M1787" s="16" t="n"/>
      <c r="N1787" s="19" t="n"/>
    </row>
    <row r="1788">
      <c r="A1788" s="16" t="n"/>
      <c r="B1788" s="19" t="n"/>
      <c r="D1788" s="16" t="n"/>
      <c r="E1788" s="19" t="n"/>
      <c r="G1788" s="16" t="n"/>
      <c r="H1788" s="19" t="n"/>
      <c r="J1788" s="16" t="n"/>
      <c r="K1788" s="19" t="n"/>
      <c r="M1788" s="16" t="n"/>
      <c r="N1788" s="19" t="n"/>
    </row>
    <row r="1789">
      <c r="A1789" s="16" t="n"/>
      <c r="B1789" s="19" t="n"/>
      <c r="D1789" s="16" t="n"/>
      <c r="E1789" s="19" t="n"/>
      <c r="G1789" s="16" t="n"/>
      <c r="H1789" s="19" t="n"/>
      <c r="J1789" s="16" t="n"/>
      <c r="K1789" s="19" t="n"/>
      <c r="M1789" s="16" t="n"/>
      <c r="N1789" s="19" t="n"/>
    </row>
    <row r="1790">
      <c r="A1790" s="16" t="n"/>
      <c r="B1790" s="19" t="n"/>
      <c r="D1790" s="16" t="n"/>
      <c r="E1790" s="19" t="n"/>
      <c r="G1790" s="16" t="n"/>
      <c r="H1790" s="19" t="n"/>
      <c r="J1790" s="16" t="n"/>
      <c r="K1790" s="19" t="n"/>
      <c r="M1790" s="16" t="n"/>
      <c r="N1790" s="19" t="n"/>
    </row>
    <row r="1791">
      <c r="A1791" s="16" t="n"/>
      <c r="B1791" s="19" t="n"/>
      <c r="D1791" s="16" t="n"/>
      <c r="E1791" s="19" t="n"/>
      <c r="G1791" s="16" t="n"/>
      <c r="H1791" s="19" t="n"/>
      <c r="J1791" s="16" t="n"/>
      <c r="K1791" s="19" t="n"/>
      <c r="M1791" s="16" t="n"/>
      <c r="N1791" s="19" t="n"/>
    </row>
    <row r="1792">
      <c r="A1792" s="16" t="n"/>
      <c r="B1792" s="19" t="n"/>
      <c r="D1792" s="16" t="n"/>
      <c r="E1792" s="19" t="n"/>
      <c r="G1792" s="16" t="n"/>
      <c r="H1792" s="19" t="n"/>
      <c r="J1792" s="16" t="n"/>
      <c r="K1792" s="19" t="n"/>
      <c r="M1792" s="16" t="n"/>
      <c r="N1792" s="19" t="n"/>
    </row>
    <row r="1793">
      <c r="A1793" s="16" t="n"/>
      <c r="B1793" s="19" t="n"/>
      <c r="D1793" s="16" t="n"/>
      <c r="E1793" s="19" t="n"/>
      <c r="G1793" s="16" t="n"/>
      <c r="H1793" s="19" t="n"/>
      <c r="J1793" s="16" t="n"/>
      <c r="K1793" s="19" t="n"/>
      <c r="M1793" s="16" t="n"/>
      <c r="N1793" s="19" t="n"/>
    </row>
    <row r="1794">
      <c r="A1794" s="16" t="n"/>
      <c r="B1794" s="19" t="n"/>
      <c r="D1794" s="16" t="n"/>
      <c r="E1794" s="19" t="n"/>
      <c r="G1794" s="16" t="n"/>
      <c r="H1794" s="19" t="n"/>
      <c r="J1794" s="16" t="n"/>
      <c r="K1794" s="19" t="n"/>
      <c r="M1794" s="16" t="n"/>
      <c r="N1794" s="19" t="n"/>
    </row>
    <row r="1795">
      <c r="A1795" s="16" t="n"/>
      <c r="B1795" s="19" t="n"/>
      <c r="D1795" s="16" t="n"/>
      <c r="E1795" s="19" t="n"/>
      <c r="G1795" s="16" t="n"/>
      <c r="H1795" s="19" t="n"/>
      <c r="J1795" s="16" t="n"/>
      <c r="K1795" s="19" t="n"/>
      <c r="M1795" s="16" t="n"/>
      <c r="N1795" s="19" t="n"/>
    </row>
    <row r="1796">
      <c r="A1796" s="16" t="n"/>
      <c r="B1796" s="19" t="n"/>
      <c r="D1796" s="16" t="n"/>
      <c r="E1796" s="19" t="n"/>
      <c r="G1796" s="16" t="n"/>
      <c r="H1796" s="19" t="n"/>
      <c r="J1796" s="16" t="n"/>
      <c r="K1796" s="19" t="n"/>
      <c r="M1796" s="16" t="n"/>
      <c r="N1796" s="19" t="n"/>
    </row>
    <row r="1797">
      <c r="A1797" s="16" t="n"/>
      <c r="B1797" s="19" t="n"/>
      <c r="D1797" s="16" t="n"/>
      <c r="E1797" s="19" t="n"/>
      <c r="G1797" s="16" t="n"/>
      <c r="H1797" s="19" t="n"/>
      <c r="J1797" s="16" t="n"/>
      <c r="K1797" s="19" t="n"/>
      <c r="M1797" s="16" t="n"/>
      <c r="N1797" s="19" t="n"/>
    </row>
    <row r="1798">
      <c r="A1798" s="16" t="n"/>
      <c r="B1798" s="19" t="n"/>
      <c r="D1798" s="16" t="n"/>
      <c r="E1798" s="19" t="n"/>
      <c r="G1798" s="16" t="n"/>
      <c r="H1798" s="19" t="n"/>
      <c r="J1798" s="16" t="n"/>
      <c r="K1798" s="19" t="n"/>
      <c r="M1798" s="16" t="n"/>
      <c r="N1798" s="19" t="n"/>
    </row>
    <row r="1799">
      <c r="A1799" s="16" t="n"/>
      <c r="B1799" s="19" t="n"/>
      <c r="D1799" s="16" t="n"/>
      <c r="E1799" s="19" t="n"/>
      <c r="G1799" s="16" t="n"/>
      <c r="H1799" s="19" t="n"/>
      <c r="J1799" s="16" t="n"/>
      <c r="K1799" s="19" t="n"/>
      <c r="M1799" s="16" t="n"/>
      <c r="N1799" s="19" t="n"/>
    </row>
    <row r="1800">
      <c r="A1800" s="16" t="n"/>
      <c r="B1800" s="19" t="n"/>
      <c r="D1800" s="16" t="n"/>
      <c r="E1800" s="19" t="n"/>
      <c r="G1800" s="16" t="n"/>
      <c r="H1800" s="19" t="n"/>
      <c r="J1800" s="16" t="n"/>
      <c r="K1800" s="19" t="n"/>
      <c r="M1800" s="16" t="n"/>
      <c r="N1800" s="19" t="n"/>
    </row>
    <row r="1801">
      <c r="A1801" s="16" t="n"/>
      <c r="B1801" s="19" t="n"/>
      <c r="D1801" s="16" t="n"/>
      <c r="E1801" s="19" t="n"/>
      <c r="G1801" s="16" t="n"/>
      <c r="H1801" s="19" t="n"/>
      <c r="J1801" s="16" t="n"/>
      <c r="K1801" s="19" t="n"/>
      <c r="M1801" s="16" t="n"/>
      <c r="N1801" s="19" t="n"/>
    </row>
    <row r="1802">
      <c r="A1802" s="16" t="n"/>
      <c r="B1802" s="19" t="n"/>
      <c r="D1802" s="16" t="n"/>
      <c r="E1802" s="19" t="n"/>
      <c r="G1802" s="16" t="n"/>
      <c r="H1802" s="19" t="n"/>
      <c r="J1802" s="16" t="n"/>
      <c r="K1802" s="19" t="n"/>
      <c r="M1802" s="16" t="n"/>
      <c r="N1802" s="19" t="n"/>
    </row>
    <row r="1803">
      <c r="A1803" s="16" t="n"/>
      <c r="B1803" s="19" t="n"/>
      <c r="D1803" s="16" t="n"/>
      <c r="E1803" s="19" t="n"/>
      <c r="G1803" s="16" t="n"/>
      <c r="H1803" s="19" t="n"/>
      <c r="J1803" s="16" t="n"/>
      <c r="K1803" s="19" t="n"/>
      <c r="M1803" s="16" t="n"/>
      <c r="N1803" s="19" t="n"/>
    </row>
    <row r="1804">
      <c r="A1804" s="16" t="n"/>
      <c r="B1804" s="19" t="n"/>
      <c r="D1804" s="16" t="n"/>
      <c r="E1804" s="19" t="n"/>
      <c r="G1804" s="16" t="n"/>
      <c r="H1804" s="19" t="n"/>
      <c r="J1804" s="16" t="n"/>
      <c r="K1804" s="19" t="n"/>
      <c r="M1804" s="16" t="n"/>
      <c r="N1804" s="19" t="n"/>
    </row>
    <row r="1805">
      <c r="A1805" s="16" t="n"/>
      <c r="B1805" s="19" t="n"/>
      <c r="D1805" s="16" t="n"/>
      <c r="E1805" s="19" t="n"/>
      <c r="G1805" s="16" t="n"/>
      <c r="H1805" s="19" t="n"/>
      <c r="J1805" s="16" t="n"/>
      <c r="K1805" s="19" t="n"/>
      <c r="M1805" s="16" t="n"/>
      <c r="N1805" s="19" t="n"/>
    </row>
    <row r="1806">
      <c r="A1806" s="16" t="n"/>
      <c r="B1806" s="19" t="n"/>
      <c r="D1806" s="16" t="n"/>
      <c r="E1806" s="19" t="n"/>
      <c r="G1806" s="16" t="n"/>
      <c r="H1806" s="19" t="n"/>
      <c r="J1806" s="16" t="n"/>
      <c r="K1806" s="19" t="n"/>
      <c r="M1806" s="16" t="n"/>
      <c r="N1806" s="19" t="n"/>
    </row>
    <row r="1807">
      <c r="A1807" s="16" t="n"/>
      <c r="B1807" s="19" t="n"/>
      <c r="D1807" s="16" t="n"/>
      <c r="E1807" s="19" t="n"/>
      <c r="G1807" s="16" t="n"/>
      <c r="H1807" s="19" t="n"/>
      <c r="J1807" s="16" t="n"/>
      <c r="K1807" s="19" t="n"/>
      <c r="M1807" s="16" t="n"/>
      <c r="N1807" s="19" t="n"/>
    </row>
    <row r="1808">
      <c r="A1808" s="16" t="n"/>
      <c r="B1808" s="19" t="n"/>
      <c r="D1808" s="16" t="n"/>
      <c r="E1808" s="19" t="n"/>
      <c r="G1808" s="16" t="n"/>
      <c r="H1808" s="19" t="n"/>
      <c r="J1808" s="16" t="n"/>
      <c r="K1808" s="19" t="n"/>
      <c r="M1808" s="16" t="n"/>
      <c r="N1808" s="19" t="n"/>
    </row>
    <row r="1809">
      <c r="A1809" s="16" t="n"/>
      <c r="B1809" s="19" t="n"/>
      <c r="D1809" s="16" t="n"/>
      <c r="E1809" s="19" t="n"/>
      <c r="G1809" s="16" t="n"/>
      <c r="H1809" s="19" t="n"/>
      <c r="J1809" s="16" t="n"/>
      <c r="K1809" s="19" t="n"/>
      <c r="M1809" s="16" t="n"/>
      <c r="N1809" s="19" t="n"/>
    </row>
    <row r="1810">
      <c r="A1810" s="16" t="n"/>
      <c r="B1810" s="19" t="n"/>
      <c r="D1810" s="16" t="n"/>
      <c r="E1810" s="19" t="n"/>
      <c r="G1810" s="16" t="n"/>
      <c r="H1810" s="19" t="n"/>
      <c r="J1810" s="16" t="n"/>
      <c r="K1810" s="19" t="n"/>
      <c r="M1810" s="16" t="n"/>
      <c r="N1810" s="19" t="n"/>
    </row>
    <row r="1811">
      <c r="A1811" s="16" t="n"/>
      <c r="B1811" s="19" t="n"/>
      <c r="D1811" s="16" t="n"/>
      <c r="E1811" s="19" t="n"/>
      <c r="G1811" s="16" t="n"/>
      <c r="H1811" s="19" t="n"/>
      <c r="J1811" s="16" t="n"/>
      <c r="K1811" s="19" t="n"/>
      <c r="M1811" s="16" t="n"/>
      <c r="N1811" s="19" t="n"/>
    </row>
    <row r="1812">
      <c r="A1812" s="16" t="n"/>
      <c r="B1812" s="19" t="n"/>
      <c r="D1812" s="16" t="n"/>
      <c r="E1812" s="19" t="n"/>
      <c r="G1812" s="16" t="n"/>
      <c r="H1812" s="19" t="n"/>
      <c r="J1812" s="16" t="n"/>
      <c r="K1812" s="19" t="n"/>
      <c r="M1812" s="16" t="n"/>
      <c r="N1812" s="19" t="n"/>
    </row>
    <row r="1813">
      <c r="A1813" s="16" t="n"/>
      <c r="B1813" s="19" t="n"/>
      <c r="D1813" s="16" t="n"/>
      <c r="E1813" s="19" t="n"/>
      <c r="G1813" s="16" t="n"/>
      <c r="H1813" s="19" t="n"/>
      <c r="J1813" s="16" t="n"/>
      <c r="K1813" s="19" t="n"/>
      <c r="M1813" s="16" t="n"/>
      <c r="N1813" s="19" t="n"/>
    </row>
    <row r="1814">
      <c r="A1814" s="16" t="n"/>
      <c r="B1814" s="19" t="n"/>
      <c r="D1814" s="16" t="n"/>
      <c r="E1814" s="19" t="n"/>
      <c r="G1814" s="16" t="n"/>
      <c r="H1814" s="19" t="n"/>
      <c r="J1814" s="16" t="n"/>
      <c r="K1814" s="19" t="n"/>
      <c r="M1814" s="16" t="n"/>
      <c r="N1814" s="19" t="n"/>
    </row>
    <row r="1815">
      <c r="A1815" s="16" t="n"/>
      <c r="B1815" s="19" t="n"/>
      <c r="D1815" s="16" t="n"/>
      <c r="E1815" s="19" t="n"/>
      <c r="G1815" s="16" t="n"/>
      <c r="H1815" s="19" t="n"/>
      <c r="J1815" s="16" t="n"/>
      <c r="K1815" s="19" t="n"/>
      <c r="M1815" s="16" t="n"/>
      <c r="N1815" s="19" t="n"/>
    </row>
    <row r="1816">
      <c r="A1816" s="16" t="n"/>
      <c r="B1816" s="19" t="n"/>
      <c r="D1816" s="16" t="n"/>
      <c r="E1816" s="19" t="n"/>
      <c r="G1816" s="16" t="n"/>
      <c r="H1816" s="19" t="n"/>
      <c r="J1816" s="16" t="n"/>
      <c r="K1816" s="19" t="n"/>
      <c r="M1816" s="16" t="n"/>
      <c r="N1816" s="19" t="n"/>
    </row>
    <row r="1817">
      <c r="A1817" s="16" t="n"/>
      <c r="B1817" s="19" t="n"/>
      <c r="D1817" s="16" t="n"/>
      <c r="E1817" s="19" t="n"/>
      <c r="G1817" s="16" t="n"/>
      <c r="H1817" s="19" t="n"/>
      <c r="J1817" s="16" t="n"/>
      <c r="K1817" s="19" t="n"/>
      <c r="M1817" s="16" t="n"/>
      <c r="N1817" s="19" t="n"/>
    </row>
    <row r="1818">
      <c r="A1818" s="16" t="n"/>
      <c r="B1818" s="19" t="n"/>
      <c r="D1818" s="16" t="n"/>
      <c r="E1818" s="19" t="n"/>
      <c r="G1818" s="16" t="n"/>
      <c r="H1818" s="19" t="n"/>
      <c r="J1818" s="16" t="n"/>
      <c r="K1818" s="19" t="n"/>
      <c r="M1818" s="16" t="n"/>
      <c r="N1818" s="19" t="n"/>
    </row>
    <row r="1819">
      <c r="A1819" s="16" t="n"/>
      <c r="B1819" s="19" t="n"/>
      <c r="D1819" s="16" t="n"/>
      <c r="E1819" s="19" t="n"/>
      <c r="G1819" s="16" t="n"/>
      <c r="H1819" s="19" t="n"/>
      <c r="J1819" s="16" t="n"/>
      <c r="K1819" s="19" t="n"/>
      <c r="M1819" s="16" t="n"/>
      <c r="N1819" s="19" t="n"/>
    </row>
    <row r="1820">
      <c r="A1820" s="16" t="n"/>
      <c r="B1820" s="19" t="n"/>
      <c r="D1820" s="16" t="n"/>
      <c r="E1820" s="19" t="n"/>
      <c r="G1820" s="16" t="n"/>
      <c r="H1820" s="19" t="n"/>
      <c r="J1820" s="16" t="n"/>
      <c r="K1820" s="19" t="n"/>
      <c r="M1820" s="16" t="n"/>
      <c r="N1820" s="19" t="n"/>
    </row>
    <row r="1821">
      <c r="A1821" s="16" t="n"/>
      <c r="B1821" s="19" t="n"/>
      <c r="D1821" s="16" t="n"/>
      <c r="E1821" s="19" t="n"/>
      <c r="G1821" s="16" t="n"/>
      <c r="H1821" s="19" t="n"/>
      <c r="J1821" s="16" t="n"/>
      <c r="K1821" s="19" t="n"/>
      <c r="M1821" s="16" t="n"/>
      <c r="N1821" s="19" t="n"/>
    </row>
    <row r="1822">
      <c r="A1822" s="16" t="n"/>
      <c r="B1822" s="19" t="n"/>
      <c r="D1822" s="16" t="n"/>
      <c r="E1822" s="19" t="n"/>
      <c r="G1822" s="16" t="n"/>
      <c r="H1822" s="19" t="n"/>
      <c r="J1822" s="16" t="n"/>
      <c r="K1822" s="19" t="n"/>
      <c r="M1822" s="16" t="n"/>
      <c r="N1822" s="19" t="n"/>
    </row>
    <row r="1823">
      <c r="A1823" s="16" t="n"/>
      <c r="B1823" s="19" t="n"/>
      <c r="D1823" s="16" t="n"/>
      <c r="E1823" s="19" t="n"/>
      <c r="G1823" s="16" t="n"/>
      <c r="H1823" s="19" t="n"/>
      <c r="J1823" s="16" t="n"/>
      <c r="K1823" s="19" t="n"/>
      <c r="M1823" s="16" t="n"/>
      <c r="N1823" s="19" t="n"/>
    </row>
    <row r="1824">
      <c r="A1824" s="16" t="n"/>
      <c r="B1824" s="19" t="n"/>
      <c r="D1824" s="16" t="n"/>
      <c r="E1824" s="19" t="n"/>
      <c r="G1824" s="16" t="n"/>
      <c r="H1824" s="19" t="n"/>
      <c r="J1824" s="16" t="n"/>
      <c r="K1824" s="19" t="n"/>
      <c r="M1824" s="16" t="n"/>
      <c r="N1824" s="19" t="n"/>
    </row>
    <row r="1825">
      <c r="A1825" s="16" t="n"/>
      <c r="B1825" s="19" t="n"/>
      <c r="D1825" s="16" t="n"/>
      <c r="E1825" s="19" t="n"/>
      <c r="G1825" s="16" t="n"/>
      <c r="H1825" s="19" t="n"/>
      <c r="J1825" s="16" t="n"/>
      <c r="K1825" s="19" t="n"/>
      <c r="M1825" s="16" t="n"/>
      <c r="N1825" s="19" t="n"/>
    </row>
    <row r="1826">
      <c r="A1826" s="16" t="n"/>
      <c r="B1826" s="19" t="n"/>
      <c r="D1826" s="16" t="n"/>
      <c r="E1826" s="19" t="n"/>
      <c r="G1826" s="16" t="n"/>
      <c r="H1826" s="19" t="n"/>
      <c r="J1826" s="16" t="n"/>
      <c r="K1826" s="19" t="n"/>
      <c r="M1826" s="16" t="n"/>
      <c r="N1826" s="19" t="n"/>
    </row>
    <row r="1827">
      <c r="A1827" s="16" t="n"/>
      <c r="B1827" s="19" t="n"/>
      <c r="D1827" s="16" t="n"/>
      <c r="E1827" s="19" t="n"/>
      <c r="G1827" s="16" t="n"/>
      <c r="H1827" s="19" t="n"/>
      <c r="J1827" s="16" t="n"/>
      <c r="K1827" s="19" t="n"/>
      <c r="M1827" s="16" t="n"/>
      <c r="N1827" s="19" t="n"/>
    </row>
    <row r="1828">
      <c r="A1828" s="16" t="n"/>
      <c r="B1828" s="19" t="n"/>
      <c r="D1828" s="16" t="n"/>
      <c r="E1828" s="19" t="n"/>
      <c r="G1828" s="16" t="n"/>
      <c r="H1828" s="19" t="n"/>
      <c r="J1828" s="16" t="n"/>
      <c r="K1828" s="19" t="n"/>
      <c r="M1828" s="16" t="n"/>
      <c r="N1828" s="19" t="n"/>
    </row>
    <row r="1829">
      <c r="A1829" s="16" t="n"/>
      <c r="B1829" s="19" t="n"/>
      <c r="D1829" s="16" t="n"/>
      <c r="E1829" s="19" t="n"/>
      <c r="G1829" s="16" t="n"/>
      <c r="H1829" s="19" t="n"/>
      <c r="J1829" s="16" t="n"/>
      <c r="K1829" s="19" t="n"/>
      <c r="M1829" s="16" t="n"/>
      <c r="N1829" s="19" t="n"/>
    </row>
    <row r="1830">
      <c r="A1830" s="16" t="n"/>
      <c r="B1830" s="19" t="n"/>
      <c r="D1830" s="16" t="n"/>
      <c r="E1830" s="19" t="n"/>
      <c r="G1830" s="16" t="n"/>
      <c r="H1830" s="19" t="n"/>
      <c r="J1830" s="16" t="n"/>
      <c r="K1830" s="19" t="n"/>
      <c r="M1830" s="16" t="n"/>
      <c r="N1830" s="19" t="n"/>
    </row>
    <row r="1831">
      <c r="A1831" s="16" t="n"/>
      <c r="B1831" s="19" t="n"/>
      <c r="D1831" s="16" t="n"/>
      <c r="E1831" s="19" t="n"/>
      <c r="G1831" s="16" t="n"/>
      <c r="H1831" s="19" t="n"/>
      <c r="J1831" s="16" t="n"/>
      <c r="K1831" s="19" t="n"/>
      <c r="M1831" s="16" t="n"/>
      <c r="N1831" s="19" t="n"/>
    </row>
    <row r="1832">
      <c r="A1832" s="16" t="n"/>
      <c r="B1832" s="19" t="n"/>
      <c r="D1832" s="16" t="n"/>
      <c r="E1832" s="19" t="n"/>
      <c r="G1832" s="16" t="n"/>
      <c r="H1832" s="19" t="n"/>
      <c r="J1832" s="16" t="n"/>
      <c r="K1832" s="19" t="n"/>
      <c r="M1832" s="16" t="n"/>
      <c r="N1832" s="19" t="n"/>
    </row>
    <row r="1833">
      <c r="A1833" s="16" t="n"/>
      <c r="B1833" s="19" t="n"/>
      <c r="D1833" s="16" t="n"/>
      <c r="E1833" s="19" t="n"/>
      <c r="G1833" s="16" t="n"/>
      <c r="H1833" s="19" t="n"/>
      <c r="J1833" s="16" t="n"/>
      <c r="K1833" s="19" t="n"/>
      <c r="M1833" s="16" t="n"/>
      <c r="N1833" s="19" t="n"/>
    </row>
    <row r="1834">
      <c r="A1834" s="16" t="n"/>
      <c r="B1834" s="19" t="n"/>
      <c r="D1834" s="16" t="n"/>
      <c r="E1834" s="19" t="n"/>
      <c r="G1834" s="16" t="n"/>
      <c r="H1834" s="19" t="n"/>
      <c r="J1834" s="16" t="n"/>
      <c r="K1834" s="19" t="n"/>
      <c r="M1834" s="16" t="n"/>
      <c r="N1834" s="19" t="n"/>
    </row>
    <row r="1835">
      <c r="A1835" s="16" t="n"/>
      <c r="B1835" s="19" t="n"/>
      <c r="D1835" s="16" t="n"/>
      <c r="E1835" s="19" t="n"/>
      <c r="G1835" s="16" t="n"/>
      <c r="H1835" s="19" t="n"/>
      <c r="J1835" s="16" t="n"/>
      <c r="K1835" s="19" t="n"/>
      <c r="M1835" s="16" t="n"/>
      <c r="N1835" s="19" t="n"/>
    </row>
    <row r="1836">
      <c r="A1836" s="16" t="n"/>
      <c r="B1836" s="19" t="n"/>
      <c r="D1836" s="16" t="n"/>
      <c r="E1836" s="19" t="n"/>
      <c r="G1836" s="16" t="n"/>
      <c r="H1836" s="19" t="n"/>
      <c r="J1836" s="16" t="n"/>
      <c r="K1836" s="19" t="n"/>
      <c r="M1836" s="16" t="n"/>
      <c r="N1836" s="19" t="n"/>
    </row>
    <row r="1837">
      <c r="A1837" s="16" t="n"/>
      <c r="B1837" s="19" t="n"/>
      <c r="D1837" s="16" t="n"/>
      <c r="E1837" s="19" t="n"/>
      <c r="G1837" s="16" t="n"/>
      <c r="H1837" s="19" t="n"/>
      <c r="J1837" s="16" t="n"/>
      <c r="K1837" s="19" t="n"/>
      <c r="M1837" s="16" t="n"/>
      <c r="N1837" s="19" t="n"/>
    </row>
    <row r="1838">
      <c r="A1838" s="16" t="n"/>
      <c r="B1838" s="19" t="n"/>
      <c r="D1838" s="16" t="n"/>
      <c r="E1838" s="19" t="n"/>
      <c r="G1838" s="16" t="n"/>
      <c r="H1838" s="19" t="n"/>
      <c r="J1838" s="16" t="n"/>
      <c r="K1838" s="19" t="n"/>
      <c r="M1838" s="16" t="n"/>
      <c r="N1838" s="19" t="n"/>
    </row>
    <row r="1839">
      <c r="A1839" s="16" t="n"/>
      <c r="B1839" s="19" t="n"/>
      <c r="D1839" s="16" t="n"/>
      <c r="E1839" s="19" t="n"/>
      <c r="G1839" s="16" t="n"/>
      <c r="H1839" s="19" t="n"/>
      <c r="J1839" s="16" t="n"/>
      <c r="K1839" s="19" t="n"/>
      <c r="M1839" s="16" t="n"/>
      <c r="N1839" s="19" t="n"/>
    </row>
    <row r="1840">
      <c r="A1840" s="16" t="n"/>
      <c r="B1840" s="19" t="n"/>
      <c r="D1840" s="16" t="n"/>
      <c r="E1840" s="19" t="n"/>
      <c r="G1840" s="16" t="n"/>
      <c r="H1840" s="19" t="n"/>
      <c r="J1840" s="16" t="n"/>
      <c r="K1840" s="19" t="n"/>
      <c r="M1840" s="16" t="n"/>
      <c r="N1840" s="19" t="n"/>
    </row>
    <row r="1841">
      <c r="A1841" s="16" t="n"/>
      <c r="B1841" s="19" t="n"/>
      <c r="D1841" s="16" t="n"/>
      <c r="E1841" s="19" t="n"/>
      <c r="G1841" s="16" t="n"/>
      <c r="H1841" s="19" t="n"/>
      <c r="J1841" s="16" t="n"/>
      <c r="K1841" s="19" t="n"/>
      <c r="M1841" s="16" t="n"/>
      <c r="N1841" s="19" t="n"/>
    </row>
    <row r="1842">
      <c r="A1842" s="16" t="n"/>
      <c r="B1842" s="19" t="n"/>
      <c r="D1842" s="16" t="n"/>
      <c r="E1842" s="19" t="n"/>
      <c r="G1842" s="16" t="n"/>
      <c r="H1842" s="19" t="n"/>
      <c r="J1842" s="16" t="n"/>
      <c r="K1842" s="19" t="n"/>
      <c r="M1842" s="16" t="n"/>
      <c r="N1842" s="19" t="n"/>
    </row>
    <row r="1843">
      <c r="A1843" s="16" t="n"/>
      <c r="B1843" s="19" t="n"/>
      <c r="D1843" s="16" t="n"/>
      <c r="E1843" s="19" t="n"/>
      <c r="G1843" s="16" t="n"/>
      <c r="H1843" s="19" t="n"/>
      <c r="J1843" s="16" t="n"/>
      <c r="K1843" s="19" t="n"/>
      <c r="M1843" s="16" t="n"/>
      <c r="N1843" s="19" t="n"/>
    </row>
    <row r="1844">
      <c r="A1844" s="16" t="n"/>
      <c r="B1844" s="19" t="n"/>
      <c r="D1844" s="16" t="n"/>
      <c r="E1844" s="19" t="n"/>
      <c r="G1844" s="16" t="n"/>
      <c r="H1844" s="19" t="n"/>
      <c r="J1844" s="16" t="n"/>
      <c r="K1844" s="19" t="n"/>
      <c r="M1844" s="16" t="n"/>
      <c r="N1844" s="19" t="n"/>
    </row>
    <row r="1845">
      <c r="A1845" s="16" t="n"/>
      <c r="B1845" s="19" t="n"/>
      <c r="D1845" s="16" t="n"/>
      <c r="E1845" s="19" t="n"/>
      <c r="G1845" s="16" t="n"/>
      <c r="H1845" s="19" t="n"/>
      <c r="J1845" s="16" t="n"/>
      <c r="K1845" s="19" t="n"/>
      <c r="M1845" s="16" t="n"/>
      <c r="N1845" s="19" t="n"/>
    </row>
    <row r="1846">
      <c r="A1846" s="16" t="n"/>
      <c r="B1846" s="19" t="n"/>
      <c r="D1846" s="16" t="n"/>
      <c r="E1846" s="19" t="n"/>
      <c r="G1846" s="16" t="n"/>
      <c r="H1846" s="19" t="n"/>
      <c r="J1846" s="16" t="n"/>
      <c r="K1846" s="19" t="n"/>
      <c r="M1846" s="16" t="n"/>
      <c r="N1846" s="19" t="n"/>
    </row>
    <row r="1847">
      <c r="A1847" s="16" t="n"/>
      <c r="B1847" s="19" t="n"/>
      <c r="D1847" s="16" t="n"/>
      <c r="E1847" s="19" t="n"/>
      <c r="G1847" s="16" t="n"/>
      <c r="H1847" s="19" t="n"/>
      <c r="J1847" s="16" t="n"/>
      <c r="K1847" s="19" t="n"/>
      <c r="M1847" s="16" t="n"/>
      <c r="N1847" s="19" t="n"/>
    </row>
    <row r="1848">
      <c r="A1848" s="16" t="n"/>
      <c r="B1848" s="19" t="n"/>
      <c r="D1848" s="16" t="n"/>
      <c r="E1848" s="19" t="n"/>
      <c r="G1848" s="16" t="n"/>
      <c r="H1848" s="19" t="n"/>
      <c r="J1848" s="16" t="n"/>
      <c r="K1848" s="19" t="n"/>
      <c r="M1848" s="16" t="n"/>
      <c r="N1848" s="19" t="n"/>
    </row>
    <row r="1849">
      <c r="A1849" s="16" t="n"/>
      <c r="B1849" s="19" t="n"/>
      <c r="D1849" s="16" t="n"/>
      <c r="E1849" s="19" t="n"/>
      <c r="G1849" s="16" t="n"/>
      <c r="H1849" s="19" t="n"/>
      <c r="J1849" s="16" t="n"/>
      <c r="K1849" s="19" t="n"/>
      <c r="M1849" s="16" t="n"/>
      <c r="N1849" s="19" t="n"/>
    </row>
    <row r="1850">
      <c r="A1850" s="16" t="n"/>
      <c r="B1850" s="19" t="n"/>
      <c r="D1850" s="16" t="n"/>
      <c r="E1850" s="19" t="n"/>
      <c r="G1850" s="16" t="n"/>
      <c r="H1850" s="19" t="n"/>
      <c r="J1850" s="16" t="n"/>
      <c r="K1850" s="19" t="n"/>
      <c r="M1850" s="16" t="n"/>
      <c r="N1850" s="19" t="n"/>
    </row>
    <row r="1851">
      <c r="A1851" s="16" t="n"/>
      <c r="B1851" s="19" t="n"/>
      <c r="D1851" s="16" t="n"/>
      <c r="E1851" s="19" t="n"/>
      <c r="G1851" s="16" t="n"/>
      <c r="H1851" s="19" t="n"/>
      <c r="J1851" s="16" t="n"/>
      <c r="K1851" s="19" t="n"/>
      <c r="M1851" s="16" t="n"/>
      <c r="N1851" s="19" t="n"/>
    </row>
    <row r="1852">
      <c r="A1852" s="16" t="n"/>
      <c r="B1852" s="19" t="n"/>
      <c r="D1852" s="16" t="n"/>
      <c r="E1852" s="19" t="n"/>
      <c r="G1852" s="16" t="n"/>
      <c r="H1852" s="19" t="n"/>
      <c r="J1852" s="16" t="n"/>
      <c r="K1852" s="19" t="n"/>
      <c r="M1852" s="16" t="n"/>
      <c r="N1852" s="19" t="n"/>
    </row>
    <row r="1853">
      <c r="A1853" s="16" t="n"/>
      <c r="B1853" s="19" t="n"/>
      <c r="D1853" s="16" t="n"/>
      <c r="E1853" s="19" t="n"/>
      <c r="G1853" s="16" t="n"/>
      <c r="H1853" s="19" t="n"/>
      <c r="J1853" s="16" t="n"/>
      <c r="K1853" s="19" t="n"/>
      <c r="M1853" s="16" t="n"/>
      <c r="N1853" s="19" t="n"/>
    </row>
    <row r="1854">
      <c r="A1854" s="16" t="n"/>
      <c r="B1854" s="19" t="n"/>
      <c r="D1854" s="16" t="n"/>
      <c r="E1854" s="19" t="n"/>
      <c r="G1854" s="16" t="n"/>
      <c r="H1854" s="19" t="n"/>
      <c r="J1854" s="16" t="n"/>
      <c r="K1854" s="19" t="n"/>
      <c r="M1854" s="16" t="n"/>
      <c r="N1854" s="19" t="n"/>
    </row>
    <row r="1855">
      <c r="A1855" s="16" t="n"/>
      <c r="B1855" s="19" t="n"/>
      <c r="D1855" s="16" t="n"/>
      <c r="E1855" s="19" t="n"/>
      <c r="G1855" s="16" t="n"/>
      <c r="H1855" s="19" t="n"/>
      <c r="J1855" s="16" t="n"/>
      <c r="K1855" s="19" t="n"/>
      <c r="M1855" s="16" t="n"/>
      <c r="N1855" s="19" t="n"/>
    </row>
    <row r="1856">
      <c r="A1856" s="16" t="n"/>
      <c r="B1856" s="19" t="n"/>
      <c r="D1856" s="16" t="n"/>
      <c r="E1856" s="19" t="n"/>
      <c r="G1856" s="16" t="n"/>
      <c r="H1856" s="19" t="n"/>
      <c r="J1856" s="16" t="n"/>
      <c r="K1856" s="19" t="n"/>
      <c r="M1856" s="16" t="n"/>
      <c r="N1856" s="19" t="n"/>
    </row>
    <row r="1857">
      <c r="A1857" s="16" t="n"/>
      <c r="B1857" s="19" t="n"/>
      <c r="D1857" s="16" t="n"/>
      <c r="E1857" s="19" t="n"/>
      <c r="G1857" s="16" t="n"/>
      <c r="H1857" s="19" t="n"/>
      <c r="J1857" s="16" t="n"/>
      <c r="K1857" s="19" t="n"/>
      <c r="M1857" s="16" t="n"/>
      <c r="N1857" s="19" t="n"/>
    </row>
    <row r="1858">
      <c r="A1858" s="16" t="n"/>
      <c r="B1858" s="19" t="n"/>
      <c r="D1858" s="16" t="n"/>
      <c r="E1858" s="19" t="n"/>
      <c r="G1858" s="16" t="n"/>
      <c r="H1858" s="19" t="n"/>
      <c r="J1858" s="16" t="n"/>
      <c r="K1858" s="19" t="n"/>
      <c r="M1858" s="16" t="n"/>
      <c r="N1858" s="19" t="n"/>
    </row>
    <row r="1859">
      <c r="A1859" s="16" t="n"/>
      <c r="B1859" s="19" t="n"/>
      <c r="D1859" s="16" t="n"/>
      <c r="E1859" s="19" t="n"/>
      <c r="G1859" s="16" t="n"/>
      <c r="H1859" s="19" t="n"/>
      <c r="J1859" s="16" t="n"/>
      <c r="K1859" s="19" t="n"/>
      <c r="M1859" s="16" t="n"/>
      <c r="N1859" s="19" t="n"/>
    </row>
    <row r="1860">
      <c r="A1860" s="16" t="n"/>
      <c r="B1860" s="19" t="n"/>
      <c r="D1860" s="16" t="n"/>
      <c r="E1860" s="19" t="n"/>
      <c r="G1860" s="16" t="n"/>
      <c r="H1860" s="19" t="n"/>
      <c r="J1860" s="16" t="n"/>
      <c r="K1860" s="19" t="n"/>
      <c r="M1860" s="16" t="n"/>
      <c r="N1860" s="19" t="n"/>
    </row>
    <row r="1861">
      <c r="A1861" s="16" t="n"/>
      <c r="B1861" s="19" t="n"/>
      <c r="D1861" s="16" t="n"/>
      <c r="E1861" s="19" t="n"/>
      <c r="G1861" s="16" t="n"/>
      <c r="H1861" s="19" t="n"/>
      <c r="J1861" s="16" t="n"/>
      <c r="K1861" s="19" t="n"/>
      <c r="M1861" s="16" t="n"/>
      <c r="N1861" s="19" t="n"/>
    </row>
    <row r="1862">
      <c r="A1862" s="16" t="n"/>
      <c r="B1862" s="19" t="n"/>
      <c r="D1862" s="16" t="n"/>
      <c r="E1862" s="19" t="n"/>
      <c r="G1862" s="16" t="n"/>
      <c r="H1862" s="19" t="n"/>
      <c r="J1862" s="16" t="n"/>
      <c r="K1862" s="19" t="n"/>
      <c r="M1862" s="16" t="n"/>
      <c r="N1862" s="19" t="n"/>
    </row>
    <row r="1863">
      <c r="A1863" s="16" t="n"/>
      <c r="B1863" s="19" t="n"/>
      <c r="D1863" s="16" t="n"/>
      <c r="E1863" s="19" t="n"/>
      <c r="G1863" s="16" t="n"/>
      <c r="H1863" s="19" t="n"/>
      <c r="J1863" s="16" t="n"/>
      <c r="K1863" s="19" t="n"/>
      <c r="M1863" s="16" t="n"/>
      <c r="N1863" s="19" t="n"/>
    </row>
    <row r="1864">
      <c r="A1864" s="16" t="n"/>
      <c r="B1864" s="19" t="n"/>
      <c r="D1864" s="16" t="n"/>
      <c r="E1864" s="19" t="n"/>
      <c r="G1864" s="16" t="n"/>
      <c r="H1864" s="19" t="n"/>
      <c r="J1864" s="16" t="n"/>
      <c r="K1864" s="19" t="n"/>
      <c r="M1864" s="16" t="n"/>
      <c r="N1864" s="19" t="n"/>
    </row>
    <row r="1865">
      <c r="A1865" s="16" t="n"/>
      <c r="B1865" s="19" t="n"/>
      <c r="D1865" s="16" t="n"/>
      <c r="E1865" s="19" t="n"/>
      <c r="G1865" s="16" t="n"/>
      <c r="H1865" s="19" t="n"/>
      <c r="J1865" s="16" t="n"/>
      <c r="K1865" s="19" t="n"/>
      <c r="M1865" s="16" t="n"/>
      <c r="N1865" s="19" t="n"/>
    </row>
    <row r="1866">
      <c r="A1866" s="16" t="n"/>
      <c r="B1866" s="19" t="n"/>
      <c r="D1866" s="16" t="n"/>
      <c r="E1866" s="19" t="n"/>
      <c r="G1866" s="16" t="n"/>
      <c r="H1866" s="19" t="n"/>
      <c r="J1866" s="16" t="n"/>
      <c r="K1866" s="19" t="n"/>
      <c r="M1866" s="16" t="n"/>
      <c r="N1866" s="19" t="n"/>
    </row>
    <row r="1867">
      <c r="A1867" s="16" t="n"/>
      <c r="B1867" s="19" t="n"/>
      <c r="D1867" s="16" t="n"/>
      <c r="E1867" s="19" t="n"/>
      <c r="G1867" s="16" t="n"/>
      <c r="H1867" s="19" t="n"/>
      <c r="J1867" s="16" t="n"/>
      <c r="K1867" s="19" t="n"/>
      <c r="M1867" s="16" t="n"/>
      <c r="N1867" s="19" t="n"/>
    </row>
    <row r="1868">
      <c r="A1868" s="16" t="n"/>
      <c r="B1868" s="19" t="n"/>
      <c r="D1868" s="16" t="n"/>
      <c r="E1868" s="19" t="n"/>
      <c r="G1868" s="16" t="n"/>
      <c r="H1868" s="19" t="n"/>
      <c r="J1868" s="16" t="n"/>
      <c r="K1868" s="19" t="n"/>
      <c r="M1868" s="16" t="n"/>
      <c r="N1868" s="19" t="n"/>
    </row>
    <row r="1869">
      <c r="A1869" s="16" t="n"/>
      <c r="B1869" s="19" t="n"/>
      <c r="D1869" s="16" t="n"/>
      <c r="E1869" s="19" t="n"/>
      <c r="G1869" s="16" t="n"/>
      <c r="H1869" s="19" t="n"/>
      <c r="J1869" s="16" t="n"/>
      <c r="K1869" s="19" t="n"/>
      <c r="M1869" s="16" t="n"/>
      <c r="N1869" s="19" t="n"/>
    </row>
    <row r="1870">
      <c r="A1870" s="16" t="n"/>
      <c r="B1870" s="19" t="n"/>
      <c r="D1870" s="16" t="n"/>
      <c r="E1870" s="19" t="n"/>
      <c r="G1870" s="16" t="n"/>
      <c r="H1870" s="19" t="n"/>
      <c r="J1870" s="16" t="n"/>
      <c r="K1870" s="19" t="n"/>
      <c r="M1870" s="16" t="n"/>
      <c r="N1870" s="19" t="n"/>
    </row>
    <row r="1871">
      <c r="A1871" s="16" t="n"/>
      <c r="B1871" s="19" t="n"/>
      <c r="D1871" s="16" t="n"/>
      <c r="E1871" s="19" t="n"/>
      <c r="G1871" s="16" t="n"/>
      <c r="H1871" s="19" t="n"/>
      <c r="J1871" s="16" t="n"/>
      <c r="K1871" s="19" t="n"/>
      <c r="M1871" s="16" t="n"/>
      <c r="N1871" s="19" t="n"/>
    </row>
    <row r="1872">
      <c r="A1872" s="16" t="n"/>
      <c r="B1872" s="19" t="n"/>
      <c r="D1872" s="16" t="n"/>
      <c r="E1872" s="19" t="n"/>
      <c r="G1872" s="16" t="n"/>
      <c r="H1872" s="19" t="n"/>
      <c r="J1872" s="16" t="n"/>
      <c r="K1872" s="19" t="n"/>
      <c r="M1872" s="16" t="n"/>
      <c r="N1872" s="19" t="n"/>
    </row>
    <row r="1873">
      <c r="A1873" s="16" t="n"/>
      <c r="B1873" s="19" t="n"/>
      <c r="D1873" s="16" t="n"/>
      <c r="E1873" s="19" t="n"/>
      <c r="G1873" s="16" t="n"/>
      <c r="H1873" s="19" t="n"/>
      <c r="J1873" s="16" t="n"/>
      <c r="K1873" s="19" t="n"/>
      <c r="M1873" s="16" t="n"/>
      <c r="N1873" s="19" t="n"/>
    </row>
    <row r="1874">
      <c r="A1874" s="16" t="n"/>
      <c r="B1874" s="19" t="n"/>
      <c r="D1874" s="16" t="n"/>
      <c r="E1874" s="19" t="n"/>
      <c r="G1874" s="16" t="n"/>
      <c r="H1874" s="19" t="n"/>
      <c r="J1874" s="16" t="n"/>
      <c r="K1874" s="19" t="n"/>
      <c r="M1874" s="16" t="n"/>
      <c r="N1874" s="19" t="n"/>
    </row>
    <row r="1875">
      <c r="A1875" s="16" t="n"/>
      <c r="B1875" s="19" t="n"/>
      <c r="D1875" s="16" t="n"/>
      <c r="E1875" s="19" t="n"/>
      <c r="G1875" s="16" t="n"/>
      <c r="H1875" s="19" t="n"/>
      <c r="J1875" s="16" t="n"/>
      <c r="K1875" s="19" t="n"/>
      <c r="M1875" s="16" t="n"/>
      <c r="N1875" s="19" t="n"/>
    </row>
    <row r="1876">
      <c r="A1876" s="16" t="n"/>
      <c r="B1876" s="19" t="n"/>
      <c r="D1876" s="16" t="n"/>
      <c r="E1876" s="19" t="n"/>
      <c r="G1876" s="16" t="n"/>
      <c r="H1876" s="19" t="n"/>
      <c r="J1876" s="16" t="n"/>
      <c r="K1876" s="19" t="n"/>
      <c r="M1876" s="16" t="n"/>
      <c r="N1876" s="19" t="n"/>
    </row>
    <row r="1877">
      <c r="A1877" s="16" t="n"/>
      <c r="B1877" s="19" t="n"/>
      <c r="D1877" s="16" t="n"/>
      <c r="E1877" s="19" t="n"/>
      <c r="G1877" s="16" t="n"/>
      <c r="H1877" s="19" t="n"/>
      <c r="J1877" s="16" t="n"/>
      <c r="K1877" s="19" t="n"/>
      <c r="M1877" s="16" t="n"/>
      <c r="N1877" s="19" t="n"/>
    </row>
    <row r="1878">
      <c r="A1878" s="16" t="n"/>
      <c r="B1878" s="19" t="n"/>
      <c r="D1878" s="16" t="n"/>
      <c r="E1878" s="19" t="n"/>
      <c r="G1878" s="16" t="n"/>
      <c r="H1878" s="19" t="n"/>
      <c r="J1878" s="16" t="n"/>
      <c r="K1878" s="19" t="n"/>
      <c r="M1878" s="16" t="n"/>
      <c r="N1878" s="19" t="n"/>
    </row>
    <row r="1879">
      <c r="A1879" s="16" t="n"/>
      <c r="B1879" s="19" t="n"/>
      <c r="D1879" s="16" t="n"/>
      <c r="E1879" s="19" t="n"/>
      <c r="G1879" s="16" t="n"/>
      <c r="H1879" s="19" t="n"/>
      <c r="J1879" s="16" t="n"/>
      <c r="K1879" s="19" t="n"/>
      <c r="M1879" s="16" t="n"/>
      <c r="N1879" s="19" t="n"/>
    </row>
    <row r="1880">
      <c r="A1880" s="16" t="n"/>
      <c r="B1880" s="19" t="n"/>
      <c r="D1880" s="16" t="n"/>
      <c r="E1880" s="19" t="n"/>
      <c r="G1880" s="16" t="n"/>
      <c r="H1880" s="19" t="n"/>
      <c r="J1880" s="16" t="n"/>
      <c r="K1880" s="19" t="n"/>
      <c r="M1880" s="16" t="n"/>
      <c r="N1880" s="19" t="n"/>
    </row>
    <row r="1881">
      <c r="A1881" s="16" t="n"/>
      <c r="B1881" s="19" t="n"/>
      <c r="D1881" s="16" t="n"/>
      <c r="E1881" s="19" t="n"/>
      <c r="G1881" s="16" t="n"/>
      <c r="H1881" s="19" t="n"/>
      <c r="J1881" s="16" t="n"/>
      <c r="K1881" s="19" t="n"/>
      <c r="M1881" s="16" t="n"/>
      <c r="N1881" s="19" t="n"/>
    </row>
    <row r="1882">
      <c r="A1882" s="16" t="n"/>
      <c r="B1882" s="19" t="n"/>
      <c r="D1882" s="16" t="n"/>
      <c r="E1882" s="19" t="n"/>
      <c r="G1882" s="16" t="n"/>
      <c r="H1882" s="19" t="n"/>
      <c r="J1882" s="16" t="n"/>
      <c r="K1882" s="19" t="n"/>
      <c r="M1882" s="16" t="n"/>
      <c r="N1882" s="19" t="n"/>
    </row>
    <row r="1883">
      <c r="A1883" s="16" t="n"/>
      <c r="B1883" s="19" t="n"/>
      <c r="D1883" s="16" t="n"/>
      <c r="E1883" s="19" t="n"/>
      <c r="G1883" s="16" t="n"/>
      <c r="H1883" s="19" t="n"/>
      <c r="J1883" s="16" t="n"/>
      <c r="K1883" s="19" t="n"/>
      <c r="M1883" s="16" t="n"/>
      <c r="N1883" s="19" t="n"/>
    </row>
    <row r="1884">
      <c r="A1884" s="16" t="n"/>
      <c r="B1884" s="19" t="n"/>
      <c r="D1884" s="16" t="n"/>
      <c r="E1884" s="19" t="n"/>
      <c r="G1884" s="16" t="n"/>
      <c r="H1884" s="19" t="n"/>
      <c r="J1884" s="16" t="n"/>
      <c r="K1884" s="19" t="n"/>
      <c r="M1884" s="16" t="n"/>
      <c r="N1884" s="19" t="n"/>
    </row>
    <row r="1885">
      <c r="A1885" s="16" t="n"/>
      <c r="B1885" s="19" t="n"/>
      <c r="D1885" s="16" t="n"/>
      <c r="E1885" s="19" t="n"/>
      <c r="G1885" s="16" t="n"/>
      <c r="H1885" s="19" t="n"/>
      <c r="J1885" s="16" t="n"/>
      <c r="K1885" s="19" t="n"/>
      <c r="M1885" s="16" t="n"/>
      <c r="N1885" s="19" t="n"/>
    </row>
    <row r="1886">
      <c r="A1886" s="16" t="n"/>
      <c r="B1886" s="19" t="n"/>
      <c r="D1886" s="16" t="n"/>
      <c r="E1886" s="19" t="n"/>
      <c r="G1886" s="16" t="n"/>
      <c r="H1886" s="19" t="n"/>
      <c r="J1886" s="16" t="n"/>
      <c r="K1886" s="19" t="n"/>
      <c r="M1886" s="16" t="n"/>
      <c r="N1886" s="19" t="n"/>
    </row>
    <row r="1887">
      <c r="A1887" s="16" t="n"/>
      <c r="B1887" s="19" t="n"/>
      <c r="D1887" s="16" t="n"/>
      <c r="E1887" s="19" t="n"/>
      <c r="G1887" s="16" t="n"/>
      <c r="H1887" s="19" t="n"/>
      <c r="J1887" s="16" t="n"/>
      <c r="K1887" s="19" t="n"/>
      <c r="M1887" s="16" t="n"/>
      <c r="N1887" s="19" t="n"/>
    </row>
    <row r="1888">
      <c r="A1888" s="16" t="n"/>
      <c r="B1888" s="19" t="n"/>
      <c r="D1888" s="16" t="n"/>
      <c r="E1888" s="19" t="n"/>
      <c r="G1888" s="16" t="n"/>
      <c r="H1888" s="19" t="n"/>
      <c r="J1888" s="16" t="n"/>
      <c r="K1888" s="19" t="n"/>
      <c r="M1888" s="16" t="n"/>
      <c r="N1888" s="19" t="n"/>
    </row>
    <row r="1889">
      <c r="A1889" s="16" t="n"/>
      <c r="B1889" s="19" t="n"/>
      <c r="D1889" s="16" t="n"/>
      <c r="E1889" s="19" t="n"/>
      <c r="G1889" s="16" t="n"/>
      <c r="H1889" s="19" t="n"/>
      <c r="J1889" s="16" t="n"/>
      <c r="K1889" s="19" t="n"/>
      <c r="M1889" s="16" t="n"/>
      <c r="N1889" s="19" t="n"/>
    </row>
    <row r="1890">
      <c r="A1890" s="16" t="n"/>
      <c r="B1890" s="19" t="n"/>
      <c r="D1890" s="16" t="n"/>
      <c r="E1890" s="19" t="n"/>
      <c r="G1890" s="16" t="n"/>
      <c r="H1890" s="19" t="n"/>
      <c r="J1890" s="16" t="n"/>
      <c r="K1890" s="19" t="n"/>
      <c r="M1890" s="16" t="n"/>
      <c r="N1890" s="19" t="n"/>
    </row>
    <row r="1891">
      <c r="A1891" s="16" t="n"/>
      <c r="B1891" s="19" t="n"/>
      <c r="D1891" s="16" t="n"/>
      <c r="E1891" s="19" t="n"/>
      <c r="G1891" s="16" t="n"/>
      <c r="H1891" s="19" t="n"/>
      <c r="J1891" s="16" t="n"/>
      <c r="K1891" s="19" t="n"/>
      <c r="M1891" s="16" t="n"/>
      <c r="N1891" s="19" t="n"/>
    </row>
    <row r="1892">
      <c r="A1892" s="16" t="n"/>
      <c r="B1892" s="19" t="n"/>
      <c r="D1892" s="16" t="n"/>
      <c r="E1892" s="19" t="n"/>
      <c r="G1892" s="16" t="n"/>
      <c r="H1892" s="19" t="n"/>
      <c r="J1892" s="16" t="n"/>
      <c r="K1892" s="19" t="n"/>
      <c r="M1892" s="16" t="n"/>
      <c r="N1892" s="19" t="n"/>
    </row>
    <row r="1893">
      <c r="A1893" s="16" t="n"/>
      <c r="B1893" s="19" t="n"/>
      <c r="D1893" s="16" t="n"/>
      <c r="E1893" s="19" t="n"/>
      <c r="G1893" s="16" t="n"/>
      <c r="H1893" s="19" t="n"/>
      <c r="J1893" s="16" t="n"/>
      <c r="K1893" s="19" t="n"/>
      <c r="M1893" s="16" t="n"/>
      <c r="N1893" s="19" t="n"/>
    </row>
    <row r="1894">
      <c r="A1894" s="16" t="n"/>
      <c r="B1894" s="19" t="n"/>
      <c r="D1894" s="16" t="n"/>
      <c r="E1894" s="19" t="n"/>
      <c r="G1894" s="16" t="n"/>
      <c r="H1894" s="19" t="n"/>
      <c r="J1894" s="16" t="n"/>
      <c r="K1894" s="19" t="n"/>
      <c r="M1894" s="16" t="n"/>
      <c r="N1894" s="19" t="n"/>
    </row>
    <row r="1895">
      <c r="A1895" s="16" t="n"/>
      <c r="B1895" s="19" t="n"/>
      <c r="D1895" s="16" t="n"/>
      <c r="E1895" s="19" t="n"/>
      <c r="G1895" s="16" t="n"/>
      <c r="H1895" s="19" t="n"/>
      <c r="J1895" s="16" t="n"/>
      <c r="K1895" s="19" t="n"/>
      <c r="M1895" s="16" t="n"/>
      <c r="N1895" s="19" t="n"/>
    </row>
    <row r="1896">
      <c r="A1896" s="16" t="n"/>
      <c r="B1896" s="19" t="n"/>
      <c r="D1896" s="16" t="n"/>
      <c r="E1896" s="19" t="n"/>
      <c r="G1896" s="16" t="n"/>
      <c r="H1896" s="19" t="n"/>
      <c r="J1896" s="16" t="n"/>
      <c r="K1896" s="19" t="n"/>
      <c r="M1896" s="16" t="n"/>
      <c r="N1896" s="19" t="n"/>
    </row>
    <row r="1897">
      <c r="A1897" s="16" t="n"/>
      <c r="B1897" s="19" t="n"/>
      <c r="D1897" s="16" t="n"/>
      <c r="E1897" s="19" t="n"/>
      <c r="G1897" s="16" t="n"/>
      <c r="H1897" s="19" t="n"/>
      <c r="J1897" s="16" t="n"/>
      <c r="K1897" s="19" t="n"/>
      <c r="M1897" s="16" t="n"/>
      <c r="N1897" s="19" t="n"/>
    </row>
    <row r="1898">
      <c r="A1898" s="16" t="n"/>
      <c r="B1898" s="19" t="n"/>
      <c r="D1898" s="16" t="n"/>
      <c r="E1898" s="19" t="n"/>
      <c r="G1898" s="16" t="n"/>
      <c r="H1898" s="19" t="n"/>
      <c r="J1898" s="16" t="n"/>
      <c r="K1898" s="19" t="n"/>
      <c r="M1898" s="16" t="n"/>
      <c r="N1898" s="19" t="n"/>
    </row>
    <row r="1899">
      <c r="A1899" s="16" t="n"/>
      <c r="B1899" s="19" t="n"/>
      <c r="D1899" s="16" t="n"/>
      <c r="E1899" s="19" t="n"/>
      <c r="G1899" s="16" t="n"/>
      <c r="H1899" s="19" t="n"/>
      <c r="J1899" s="16" t="n"/>
      <c r="K1899" s="19" t="n"/>
      <c r="M1899" s="16" t="n"/>
      <c r="N1899" s="19" t="n"/>
    </row>
    <row r="1900">
      <c r="A1900" s="16" t="n"/>
      <c r="B1900" s="19" t="n"/>
      <c r="D1900" s="16" t="n"/>
      <c r="E1900" s="19" t="n"/>
      <c r="G1900" s="16" t="n"/>
      <c r="H1900" s="19" t="n"/>
      <c r="J1900" s="16" t="n"/>
      <c r="K1900" s="19" t="n"/>
      <c r="M1900" s="16" t="n"/>
      <c r="N1900" s="19" t="n"/>
    </row>
    <row r="1901">
      <c r="A1901" s="16" t="n"/>
      <c r="B1901" s="19" t="n"/>
      <c r="D1901" s="16" t="n"/>
      <c r="E1901" s="19" t="n"/>
      <c r="G1901" s="16" t="n"/>
      <c r="H1901" s="19" t="n"/>
      <c r="J1901" s="16" t="n"/>
      <c r="K1901" s="19" t="n"/>
      <c r="M1901" s="16" t="n"/>
      <c r="N1901" s="19" t="n"/>
    </row>
    <row r="1902">
      <c r="A1902" s="16" t="n"/>
      <c r="B1902" s="19" t="n"/>
      <c r="D1902" s="16" t="n"/>
      <c r="E1902" s="19" t="n"/>
      <c r="G1902" s="16" t="n"/>
      <c r="H1902" s="19" t="n"/>
      <c r="J1902" s="16" t="n"/>
      <c r="K1902" s="19" t="n"/>
      <c r="M1902" s="16" t="n"/>
      <c r="N1902" s="19" t="n"/>
    </row>
    <row r="1903">
      <c r="A1903" s="16" t="n"/>
      <c r="B1903" s="19" t="n"/>
      <c r="D1903" s="16" t="n"/>
      <c r="E1903" s="19" t="n"/>
      <c r="G1903" s="16" t="n"/>
      <c r="H1903" s="19" t="n"/>
      <c r="J1903" s="16" t="n"/>
      <c r="K1903" s="19" t="n"/>
      <c r="M1903" s="16" t="n"/>
      <c r="N1903" s="19" t="n"/>
    </row>
    <row r="1904">
      <c r="A1904" s="16" t="n"/>
      <c r="B1904" s="19" t="n"/>
      <c r="D1904" s="16" t="n"/>
      <c r="E1904" s="19" t="n"/>
      <c r="G1904" s="16" t="n"/>
      <c r="H1904" s="19" t="n"/>
      <c r="J1904" s="16" t="n"/>
      <c r="K1904" s="19" t="n"/>
      <c r="M1904" s="16" t="n"/>
      <c r="N1904" s="19" t="n"/>
    </row>
    <row r="1905">
      <c r="A1905" s="16" t="n"/>
      <c r="B1905" s="19" t="n"/>
      <c r="D1905" s="16" t="n"/>
      <c r="E1905" s="19" t="n"/>
      <c r="G1905" s="16" t="n"/>
      <c r="H1905" s="19" t="n"/>
      <c r="J1905" s="16" t="n"/>
      <c r="K1905" s="19" t="n"/>
      <c r="M1905" s="16" t="n"/>
      <c r="N1905" s="19" t="n"/>
    </row>
    <row r="1906">
      <c r="A1906" s="16" t="n"/>
      <c r="B1906" s="19" t="n"/>
      <c r="D1906" s="16" t="n"/>
      <c r="E1906" s="19" t="n"/>
      <c r="G1906" s="16" t="n"/>
      <c r="H1906" s="19" t="n"/>
      <c r="J1906" s="16" t="n"/>
      <c r="K1906" s="19" t="n"/>
      <c r="M1906" s="16" t="n"/>
      <c r="N1906" s="19" t="n"/>
    </row>
    <row r="1907">
      <c r="A1907" s="16" t="n"/>
      <c r="B1907" s="19" t="n"/>
      <c r="D1907" s="16" t="n"/>
      <c r="E1907" s="19" t="n"/>
      <c r="G1907" s="16" t="n"/>
      <c r="H1907" s="19" t="n"/>
      <c r="J1907" s="16" t="n"/>
      <c r="K1907" s="19" t="n"/>
      <c r="M1907" s="16" t="n"/>
      <c r="N1907" s="19" t="n"/>
    </row>
    <row r="1908">
      <c r="A1908" s="16" t="n"/>
      <c r="B1908" s="19" t="n"/>
      <c r="D1908" s="16" t="n"/>
      <c r="E1908" s="19" t="n"/>
      <c r="G1908" s="16" t="n"/>
      <c r="H1908" s="19" t="n"/>
      <c r="J1908" s="16" t="n"/>
      <c r="K1908" s="19" t="n"/>
      <c r="M1908" s="16" t="n"/>
      <c r="N1908" s="19" t="n"/>
    </row>
    <row r="1909">
      <c r="A1909" s="16" t="n"/>
      <c r="B1909" s="19" t="n"/>
      <c r="D1909" s="16" t="n"/>
      <c r="E1909" s="19" t="n"/>
      <c r="G1909" s="16" t="n"/>
      <c r="H1909" s="19" t="n"/>
      <c r="J1909" s="16" t="n"/>
      <c r="K1909" s="19" t="n"/>
      <c r="M1909" s="16" t="n"/>
      <c r="N1909" s="19" t="n"/>
    </row>
    <row r="1910">
      <c r="A1910" s="16" t="n"/>
      <c r="B1910" s="19" t="n"/>
      <c r="D1910" s="16" t="n"/>
      <c r="E1910" s="19" t="n"/>
      <c r="G1910" s="16" t="n"/>
      <c r="H1910" s="19" t="n"/>
      <c r="J1910" s="16" t="n"/>
      <c r="K1910" s="19" t="n"/>
      <c r="M1910" s="16" t="n"/>
      <c r="N1910" s="19" t="n"/>
    </row>
    <row r="1911">
      <c r="A1911" s="16" t="n"/>
      <c r="B1911" s="19" t="n"/>
      <c r="D1911" s="16" t="n"/>
      <c r="E1911" s="19" t="n"/>
      <c r="G1911" s="16" t="n"/>
      <c r="H1911" s="19" t="n"/>
      <c r="J1911" s="16" t="n"/>
      <c r="K1911" s="19" t="n"/>
      <c r="M1911" s="16" t="n"/>
      <c r="N1911" s="19" t="n"/>
    </row>
    <row r="1912">
      <c r="A1912" s="16" t="n"/>
      <c r="B1912" s="19" t="n"/>
      <c r="D1912" s="16" t="n"/>
      <c r="E1912" s="19" t="n"/>
      <c r="G1912" s="16" t="n"/>
      <c r="H1912" s="19" t="n"/>
      <c r="J1912" s="16" t="n"/>
      <c r="K1912" s="19" t="n"/>
      <c r="M1912" s="16" t="n"/>
      <c r="N1912" s="19" t="n"/>
    </row>
    <row r="1913">
      <c r="A1913" s="16" t="n"/>
      <c r="B1913" s="19" t="n"/>
      <c r="D1913" s="16" t="n"/>
      <c r="E1913" s="19" t="n"/>
      <c r="G1913" s="16" t="n"/>
      <c r="H1913" s="19" t="n"/>
      <c r="J1913" s="16" t="n"/>
      <c r="K1913" s="19" t="n"/>
      <c r="M1913" s="16" t="n"/>
      <c r="N1913" s="19" t="n"/>
    </row>
    <row r="1914">
      <c r="A1914" s="16" t="n"/>
      <c r="B1914" s="19" t="n"/>
      <c r="D1914" s="16" t="n"/>
      <c r="E1914" s="19" t="n"/>
      <c r="G1914" s="16" t="n"/>
      <c r="H1914" s="19" t="n"/>
      <c r="J1914" s="16" t="n"/>
      <c r="K1914" s="19" t="n"/>
      <c r="M1914" s="16" t="n"/>
      <c r="N1914" s="19" t="n"/>
    </row>
    <row r="1915">
      <c r="A1915" s="16" t="n"/>
      <c r="B1915" s="19" t="n"/>
      <c r="D1915" s="16" t="n"/>
      <c r="E1915" s="19" t="n"/>
      <c r="G1915" s="16" t="n"/>
      <c r="H1915" s="19" t="n"/>
      <c r="J1915" s="16" t="n"/>
      <c r="K1915" s="19" t="n"/>
      <c r="M1915" s="16" t="n"/>
      <c r="N1915" s="19" t="n"/>
    </row>
    <row r="1916">
      <c r="A1916" s="16" t="n"/>
      <c r="B1916" s="19" t="n"/>
      <c r="D1916" s="16" t="n"/>
      <c r="E1916" s="19" t="n"/>
      <c r="G1916" s="16" t="n"/>
      <c r="H1916" s="19" t="n"/>
      <c r="J1916" s="16" t="n"/>
      <c r="K1916" s="19" t="n"/>
      <c r="M1916" s="16" t="n"/>
      <c r="N1916" s="19" t="n"/>
    </row>
    <row r="1917">
      <c r="A1917" s="16" t="n"/>
      <c r="B1917" s="19" t="n"/>
      <c r="D1917" s="16" t="n"/>
      <c r="E1917" s="19" t="n"/>
      <c r="G1917" s="16" t="n"/>
      <c r="H1917" s="19" t="n"/>
      <c r="J1917" s="16" t="n"/>
      <c r="K1917" s="19" t="n"/>
      <c r="M1917" s="16" t="n"/>
      <c r="N1917" s="19" t="n"/>
    </row>
    <row r="1918">
      <c r="A1918" s="16" t="n"/>
      <c r="B1918" s="19" t="n"/>
      <c r="D1918" s="16" t="n"/>
      <c r="E1918" s="19" t="n"/>
      <c r="G1918" s="16" t="n"/>
      <c r="H1918" s="19" t="n"/>
      <c r="J1918" s="16" t="n"/>
      <c r="K1918" s="19" t="n"/>
      <c r="M1918" s="16" t="n"/>
      <c r="N1918" s="19" t="n"/>
    </row>
    <row r="1919">
      <c r="A1919" s="16" t="n"/>
      <c r="B1919" s="19" t="n"/>
      <c r="D1919" s="16" t="n"/>
      <c r="E1919" s="19" t="n"/>
      <c r="G1919" s="16" t="n"/>
      <c r="H1919" s="19" t="n"/>
      <c r="J1919" s="16" t="n"/>
      <c r="K1919" s="19" t="n"/>
      <c r="M1919" s="16" t="n"/>
      <c r="N1919" s="19" t="n"/>
    </row>
    <row r="1920">
      <c r="A1920" s="16" t="n"/>
      <c r="B1920" s="19" t="n"/>
      <c r="D1920" s="16" t="n"/>
      <c r="E1920" s="19" t="n"/>
      <c r="G1920" s="16" t="n"/>
      <c r="H1920" s="19" t="n"/>
      <c r="J1920" s="16" t="n"/>
      <c r="K1920" s="19" t="n"/>
      <c r="M1920" s="16" t="n"/>
      <c r="N1920" s="19" t="n"/>
    </row>
    <row r="1921">
      <c r="A1921" s="16" t="n"/>
      <c r="B1921" s="19" t="n"/>
      <c r="D1921" s="16" t="n"/>
      <c r="E1921" s="19" t="n"/>
      <c r="G1921" s="16" t="n"/>
      <c r="H1921" s="19" t="n"/>
      <c r="J1921" s="16" t="n"/>
      <c r="K1921" s="19" t="n"/>
      <c r="M1921" s="16" t="n"/>
      <c r="N1921" s="19" t="n"/>
    </row>
    <row r="1922">
      <c r="A1922" s="16" t="n"/>
      <c r="B1922" s="19" t="n"/>
      <c r="D1922" s="16" t="n"/>
      <c r="E1922" s="19" t="n"/>
      <c r="G1922" s="16" t="n"/>
      <c r="H1922" s="19" t="n"/>
      <c r="J1922" s="16" t="n"/>
      <c r="K1922" s="19" t="n"/>
      <c r="M1922" s="16" t="n"/>
      <c r="N1922" s="19" t="n"/>
    </row>
    <row r="1923">
      <c r="A1923" s="16" t="n"/>
      <c r="B1923" s="19" t="n"/>
      <c r="D1923" s="16" t="n"/>
      <c r="E1923" s="19" t="n"/>
      <c r="G1923" s="16" t="n"/>
      <c r="H1923" s="19" t="n"/>
      <c r="J1923" s="16" t="n"/>
      <c r="K1923" s="19" t="n"/>
      <c r="M1923" s="16" t="n"/>
      <c r="N1923" s="19" t="n"/>
    </row>
    <row r="1924">
      <c r="A1924" s="16" t="n"/>
      <c r="B1924" s="19" t="n"/>
      <c r="D1924" s="16" t="n"/>
      <c r="E1924" s="19" t="n"/>
      <c r="G1924" s="16" t="n"/>
      <c r="H1924" s="19" t="n"/>
      <c r="J1924" s="16" t="n"/>
      <c r="K1924" s="19" t="n"/>
      <c r="M1924" s="16" t="n"/>
      <c r="N1924" s="19" t="n"/>
    </row>
    <row r="1925">
      <c r="A1925" s="16" t="n"/>
      <c r="B1925" s="19" t="n"/>
      <c r="D1925" s="16" t="n"/>
      <c r="E1925" s="19" t="n"/>
      <c r="G1925" s="16" t="n"/>
      <c r="H1925" s="19" t="n"/>
      <c r="J1925" s="16" t="n"/>
      <c r="K1925" s="19" t="n"/>
      <c r="M1925" s="16" t="n"/>
      <c r="N1925" s="19" t="n"/>
    </row>
    <row r="1926">
      <c r="A1926" s="16" t="n"/>
      <c r="B1926" s="19" t="n"/>
      <c r="D1926" s="16" t="n"/>
      <c r="E1926" s="19" t="n"/>
      <c r="G1926" s="16" t="n"/>
      <c r="H1926" s="19" t="n"/>
      <c r="J1926" s="16" t="n"/>
      <c r="K1926" s="19" t="n"/>
      <c r="M1926" s="16" t="n"/>
      <c r="N1926" s="19" t="n"/>
    </row>
    <row r="1927">
      <c r="A1927" s="16" t="n"/>
      <c r="B1927" s="19" t="n"/>
      <c r="D1927" s="16" t="n"/>
      <c r="E1927" s="19" t="n"/>
      <c r="G1927" s="16" t="n"/>
      <c r="H1927" s="19" t="n"/>
      <c r="J1927" s="16" t="n"/>
      <c r="K1927" s="19" t="n"/>
      <c r="M1927" s="16" t="n"/>
      <c r="N1927" s="19" t="n"/>
    </row>
    <row r="1928">
      <c r="A1928" s="16" t="n"/>
      <c r="B1928" s="19" t="n"/>
      <c r="D1928" s="16" t="n"/>
      <c r="E1928" s="19" t="n"/>
      <c r="G1928" s="16" t="n"/>
      <c r="H1928" s="19" t="n"/>
      <c r="J1928" s="16" t="n"/>
      <c r="K1928" s="19" t="n"/>
      <c r="M1928" s="16" t="n"/>
      <c r="N1928" s="19" t="n"/>
    </row>
    <row r="1929">
      <c r="A1929" s="16" t="n"/>
      <c r="B1929" s="19" t="n"/>
      <c r="D1929" s="16" t="n"/>
      <c r="E1929" s="19" t="n"/>
      <c r="G1929" s="16" t="n"/>
      <c r="H1929" s="19" t="n"/>
      <c r="J1929" s="16" t="n"/>
      <c r="K1929" s="19" t="n"/>
      <c r="M1929" s="16" t="n"/>
      <c r="N1929" s="19" t="n"/>
    </row>
    <row r="1930">
      <c r="A1930" s="16" t="n"/>
      <c r="B1930" s="19" t="n"/>
      <c r="D1930" s="16" t="n"/>
      <c r="E1930" s="19" t="n"/>
      <c r="G1930" s="16" t="n"/>
      <c r="H1930" s="19" t="n"/>
      <c r="J1930" s="16" t="n"/>
      <c r="K1930" s="19" t="n"/>
      <c r="M1930" s="16" t="n"/>
      <c r="N1930" s="19" t="n"/>
    </row>
    <row r="1931">
      <c r="A1931" s="16" t="n"/>
      <c r="B1931" s="19" t="n"/>
      <c r="D1931" s="16" t="n"/>
      <c r="E1931" s="19" t="n"/>
      <c r="G1931" s="16" t="n"/>
      <c r="H1931" s="19" t="n"/>
      <c r="J1931" s="16" t="n"/>
      <c r="K1931" s="19" t="n"/>
      <c r="M1931" s="16" t="n"/>
      <c r="N1931" s="19" t="n"/>
    </row>
    <row r="1932">
      <c r="A1932" s="16" t="n"/>
      <c r="B1932" s="19" t="n"/>
      <c r="D1932" s="16" t="n"/>
      <c r="E1932" s="19" t="n"/>
      <c r="G1932" s="16" t="n"/>
      <c r="H1932" s="19" t="n"/>
      <c r="J1932" s="16" t="n"/>
      <c r="K1932" s="19" t="n"/>
      <c r="M1932" s="16" t="n"/>
      <c r="N1932" s="19" t="n"/>
    </row>
    <row r="1933">
      <c r="A1933" s="16" t="n"/>
      <c r="B1933" s="19" t="n"/>
      <c r="D1933" s="16" t="n"/>
      <c r="E1933" s="19" t="n"/>
      <c r="G1933" s="16" t="n"/>
      <c r="H1933" s="19" t="n"/>
      <c r="J1933" s="16" t="n"/>
      <c r="K1933" s="19" t="n"/>
      <c r="M1933" s="16" t="n"/>
      <c r="N1933" s="19" t="n"/>
    </row>
    <row r="1934">
      <c r="A1934" s="16" t="n"/>
      <c r="B1934" s="19" t="n"/>
      <c r="D1934" s="16" t="n"/>
      <c r="E1934" s="19" t="n"/>
      <c r="G1934" s="16" t="n"/>
      <c r="H1934" s="19" t="n"/>
      <c r="J1934" s="16" t="n"/>
      <c r="K1934" s="19" t="n"/>
      <c r="M1934" s="16" t="n"/>
      <c r="N1934" s="19" t="n"/>
    </row>
    <row r="1935">
      <c r="A1935" s="16" t="n"/>
      <c r="B1935" s="19" t="n"/>
      <c r="D1935" s="16" t="n"/>
      <c r="E1935" s="19" t="n"/>
      <c r="G1935" s="16" t="n"/>
      <c r="H1935" s="19" t="n"/>
      <c r="J1935" s="16" t="n"/>
      <c r="K1935" s="19" t="n"/>
      <c r="M1935" s="16" t="n"/>
      <c r="N1935" s="19" t="n"/>
    </row>
    <row r="1936">
      <c r="A1936" s="16" t="n"/>
      <c r="B1936" s="19" t="n"/>
      <c r="D1936" s="16" t="n"/>
      <c r="E1936" s="19" t="n"/>
      <c r="G1936" s="16" t="n"/>
      <c r="H1936" s="19" t="n"/>
      <c r="J1936" s="16" t="n"/>
      <c r="K1936" s="19" t="n"/>
      <c r="M1936" s="16" t="n"/>
      <c r="N1936" s="19" t="n"/>
    </row>
    <row r="1937">
      <c r="A1937" s="16" t="n"/>
      <c r="B1937" s="19" t="n"/>
      <c r="D1937" s="16" t="n"/>
      <c r="E1937" s="19" t="n"/>
      <c r="G1937" s="16" t="n"/>
      <c r="H1937" s="19" t="n"/>
      <c r="J1937" s="16" t="n"/>
      <c r="K1937" s="19" t="n"/>
      <c r="M1937" s="16" t="n"/>
      <c r="N1937" s="19" t="n"/>
    </row>
    <row r="1938">
      <c r="A1938" s="16" t="n"/>
      <c r="B1938" s="19" t="n"/>
      <c r="D1938" s="16" t="n"/>
      <c r="E1938" s="19" t="n"/>
      <c r="G1938" s="16" t="n"/>
      <c r="H1938" s="19" t="n"/>
      <c r="J1938" s="16" t="n"/>
      <c r="K1938" s="19" t="n"/>
      <c r="M1938" s="16" t="n"/>
      <c r="N1938" s="19" t="n"/>
    </row>
    <row r="1939">
      <c r="A1939" s="16" t="n"/>
      <c r="B1939" s="19" t="n"/>
      <c r="D1939" s="16" t="n"/>
      <c r="E1939" s="19" t="n"/>
      <c r="G1939" s="16" t="n"/>
      <c r="H1939" s="19" t="n"/>
      <c r="J1939" s="16" t="n"/>
      <c r="K1939" s="19" t="n"/>
      <c r="M1939" s="16" t="n"/>
      <c r="N1939" s="19" t="n"/>
    </row>
    <row r="1940">
      <c r="A1940" s="16" t="n"/>
      <c r="B1940" s="19" t="n"/>
      <c r="D1940" s="16" t="n"/>
      <c r="E1940" s="19" t="n"/>
      <c r="G1940" s="16" t="n"/>
      <c r="H1940" s="19" t="n"/>
      <c r="J1940" s="16" t="n"/>
      <c r="K1940" s="19" t="n"/>
      <c r="M1940" s="16" t="n"/>
      <c r="N1940" s="19" t="n"/>
    </row>
    <row r="1941">
      <c r="A1941" s="16" t="n"/>
      <c r="B1941" s="19" t="n"/>
      <c r="D1941" s="16" t="n"/>
      <c r="E1941" s="19" t="n"/>
      <c r="G1941" s="16" t="n"/>
      <c r="H1941" s="19" t="n"/>
      <c r="J1941" s="16" t="n"/>
      <c r="K1941" s="19" t="n"/>
      <c r="M1941" s="16" t="n"/>
      <c r="N1941" s="19" t="n"/>
    </row>
    <row r="1942">
      <c r="A1942" s="16" t="n"/>
      <c r="B1942" s="19" t="n"/>
      <c r="D1942" s="16" t="n"/>
      <c r="E1942" s="19" t="n"/>
      <c r="G1942" s="16" t="n"/>
      <c r="H1942" s="19" t="n"/>
      <c r="J1942" s="16" t="n"/>
      <c r="K1942" s="19" t="n"/>
      <c r="M1942" s="16" t="n"/>
      <c r="N1942" s="19" t="n"/>
    </row>
    <row r="1943">
      <c r="A1943" s="16" t="n"/>
      <c r="B1943" s="19" t="n"/>
      <c r="D1943" s="16" t="n"/>
      <c r="E1943" s="19" t="n"/>
      <c r="G1943" s="16" t="n"/>
      <c r="H1943" s="19" t="n"/>
      <c r="J1943" s="16" t="n"/>
      <c r="K1943" s="19" t="n"/>
      <c r="M1943" s="16" t="n"/>
      <c r="N1943" s="19" t="n"/>
    </row>
    <row r="1944">
      <c r="A1944" s="16" t="n"/>
      <c r="B1944" s="19" t="n"/>
      <c r="D1944" s="16" t="n"/>
      <c r="E1944" s="19" t="n"/>
      <c r="G1944" s="16" t="n"/>
      <c r="H1944" s="19" t="n"/>
      <c r="J1944" s="16" t="n"/>
      <c r="K1944" s="19" t="n"/>
      <c r="M1944" s="16" t="n"/>
      <c r="N1944" s="19" t="n"/>
    </row>
    <row r="1945">
      <c r="A1945" s="16" t="n"/>
      <c r="B1945" s="19" t="n"/>
      <c r="D1945" s="16" t="n"/>
      <c r="E1945" s="19" t="n"/>
      <c r="G1945" s="16" t="n"/>
      <c r="H1945" s="19" t="n"/>
      <c r="J1945" s="16" t="n"/>
      <c r="K1945" s="19" t="n"/>
      <c r="M1945" s="16" t="n"/>
      <c r="N1945" s="19" t="n"/>
    </row>
    <row r="1946">
      <c r="A1946" s="16" t="n"/>
      <c r="B1946" s="19" t="n"/>
      <c r="D1946" s="16" t="n"/>
      <c r="E1946" s="19" t="n"/>
      <c r="G1946" s="16" t="n"/>
      <c r="H1946" s="19" t="n"/>
      <c r="J1946" s="16" t="n"/>
      <c r="K1946" s="19" t="n"/>
      <c r="M1946" s="16" t="n"/>
      <c r="N1946" s="19" t="n"/>
    </row>
    <row r="1947">
      <c r="A1947" s="16" t="n"/>
      <c r="B1947" s="19" t="n"/>
      <c r="D1947" s="16" t="n"/>
      <c r="E1947" s="19" t="n"/>
      <c r="G1947" s="16" t="n"/>
      <c r="H1947" s="19" t="n"/>
      <c r="J1947" s="16" t="n"/>
      <c r="K1947" s="19" t="n"/>
      <c r="M1947" s="16" t="n"/>
      <c r="N1947" s="19" t="n"/>
    </row>
    <row r="1948">
      <c r="A1948" s="16" t="n"/>
      <c r="B1948" s="19" t="n"/>
      <c r="D1948" s="16" t="n"/>
      <c r="E1948" s="19" t="n"/>
      <c r="G1948" s="16" t="n"/>
      <c r="H1948" s="19" t="n"/>
      <c r="J1948" s="16" t="n"/>
      <c r="K1948" s="19" t="n"/>
      <c r="M1948" s="16" t="n"/>
      <c r="N1948" s="19" t="n"/>
    </row>
    <row r="1949">
      <c r="A1949" s="16" t="n"/>
      <c r="B1949" s="19" t="n"/>
      <c r="D1949" s="16" t="n"/>
      <c r="E1949" s="19" t="n"/>
      <c r="G1949" s="16" t="n"/>
      <c r="H1949" s="19" t="n"/>
      <c r="J1949" s="16" t="n"/>
      <c r="K1949" s="19" t="n"/>
      <c r="M1949" s="16" t="n"/>
      <c r="N1949" s="19" t="n"/>
    </row>
    <row r="1950">
      <c r="A1950" s="16" t="n"/>
      <c r="B1950" s="19" t="n"/>
      <c r="D1950" s="16" t="n"/>
      <c r="E1950" s="19" t="n"/>
      <c r="G1950" s="16" t="n"/>
      <c r="H1950" s="19" t="n"/>
      <c r="J1950" s="16" t="n"/>
      <c r="K1950" s="19" t="n"/>
      <c r="M1950" s="16" t="n"/>
      <c r="N1950" s="19" t="n"/>
    </row>
    <row r="1951">
      <c r="A1951" s="16" t="n"/>
      <c r="B1951" s="19" t="n"/>
      <c r="D1951" s="16" t="n"/>
      <c r="E1951" s="19" t="n"/>
      <c r="G1951" s="16" t="n"/>
      <c r="H1951" s="19" t="n"/>
      <c r="J1951" s="16" t="n"/>
      <c r="K1951" s="19" t="n"/>
      <c r="M1951" s="16" t="n"/>
      <c r="N1951" s="19" t="n"/>
    </row>
    <row r="1952">
      <c r="A1952" s="16" t="n"/>
      <c r="B1952" s="19" t="n"/>
      <c r="D1952" s="16" t="n"/>
      <c r="E1952" s="19" t="n"/>
      <c r="G1952" s="16" t="n"/>
      <c r="H1952" s="19" t="n"/>
      <c r="J1952" s="16" t="n"/>
      <c r="K1952" s="19" t="n"/>
      <c r="M1952" s="16" t="n"/>
      <c r="N1952" s="19" t="n"/>
    </row>
    <row r="1953">
      <c r="A1953" s="16" t="n"/>
      <c r="B1953" s="19" t="n"/>
      <c r="D1953" s="16" t="n"/>
      <c r="E1953" s="19" t="n"/>
      <c r="G1953" s="16" t="n"/>
      <c r="H1953" s="19" t="n"/>
      <c r="J1953" s="16" t="n"/>
      <c r="K1953" s="19" t="n"/>
      <c r="M1953" s="16" t="n"/>
      <c r="N1953" s="19" t="n"/>
    </row>
    <row r="1954">
      <c r="A1954" s="16" t="n"/>
      <c r="B1954" s="19" t="n"/>
      <c r="D1954" s="16" t="n"/>
      <c r="E1954" s="19" t="n"/>
      <c r="G1954" s="16" t="n"/>
      <c r="H1954" s="19" t="n"/>
      <c r="J1954" s="16" t="n"/>
      <c r="K1954" s="19" t="n"/>
      <c r="M1954" s="16" t="n"/>
      <c r="N1954" s="19" t="n"/>
    </row>
    <row r="1955">
      <c r="A1955" s="16" t="n"/>
      <c r="B1955" s="19" t="n"/>
      <c r="D1955" s="16" t="n"/>
      <c r="E1955" s="19" t="n"/>
      <c r="G1955" s="16" t="n"/>
      <c r="H1955" s="19" t="n"/>
      <c r="J1955" s="16" t="n"/>
      <c r="K1955" s="19" t="n"/>
      <c r="M1955" s="16" t="n"/>
      <c r="N1955" s="19" t="n"/>
    </row>
    <row r="1956">
      <c r="A1956" s="16" t="n"/>
      <c r="B1956" s="19" t="n"/>
      <c r="D1956" s="16" t="n"/>
      <c r="E1956" s="19" t="n"/>
      <c r="G1956" s="16" t="n"/>
      <c r="H1956" s="19" t="n"/>
      <c r="J1956" s="16" t="n"/>
      <c r="K1956" s="19" t="n"/>
      <c r="M1956" s="16" t="n"/>
      <c r="N1956" s="19" t="n"/>
    </row>
    <row r="1957">
      <c r="A1957" s="16" t="n"/>
      <c r="B1957" s="19" t="n"/>
      <c r="D1957" s="16" t="n"/>
      <c r="E1957" s="19" t="n"/>
      <c r="G1957" s="16" t="n"/>
      <c r="H1957" s="19" t="n"/>
      <c r="J1957" s="16" t="n"/>
      <c r="K1957" s="19" t="n"/>
      <c r="M1957" s="16" t="n"/>
      <c r="N1957" s="19" t="n"/>
    </row>
    <row r="1958">
      <c r="A1958" s="16" t="n"/>
      <c r="B1958" s="19" t="n"/>
      <c r="D1958" s="16" t="n"/>
      <c r="E1958" s="19" t="n"/>
      <c r="G1958" s="16" t="n"/>
      <c r="H1958" s="19" t="n"/>
      <c r="J1958" s="16" t="n"/>
      <c r="K1958" s="19" t="n"/>
      <c r="M1958" s="16" t="n"/>
      <c r="N1958" s="19" t="n"/>
    </row>
    <row r="1959">
      <c r="A1959" s="16" t="n"/>
      <c r="B1959" s="19" t="n"/>
      <c r="D1959" s="16" t="n"/>
      <c r="E1959" s="19" t="n"/>
      <c r="G1959" s="16" t="n"/>
      <c r="H1959" s="19" t="n"/>
      <c r="J1959" s="16" t="n"/>
      <c r="K1959" s="19" t="n"/>
      <c r="M1959" s="16" t="n"/>
      <c r="N1959" s="19" t="n"/>
    </row>
    <row r="1960">
      <c r="A1960" s="16" t="n"/>
      <c r="B1960" s="19" t="n"/>
      <c r="D1960" s="16" t="n"/>
      <c r="E1960" s="19" t="n"/>
      <c r="G1960" s="16" t="n"/>
      <c r="H1960" s="19" t="n"/>
      <c r="J1960" s="16" t="n"/>
      <c r="K1960" s="19" t="n"/>
      <c r="M1960" s="16" t="n"/>
      <c r="N1960" s="19" t="n"/>
    </row>
    <row r="1961">
      <c r="A1961" s="16" t="n"/>
      <c r="B1961" s="19" t="n"/>
      <c r="D1961" s="16" t="n"/>
      <c r="E1961" s="19" t="n"/>
      <c r="G1961" s="16" t="n"/>
      <c r="H1961" s="19" t="n"/>
      <c r="J1961" s="16" t="n"/>
      <c r="K1961" s="19" t="n"/>
      <c r="M1961" s="16" t="n"/>
      <c r="N1961" s="19" t="n"/>
    </row>
    <row r="1962">
      <c r="A1962" s="16" t="n"/>
      <c r="B1962" s="19" t="n"/>
      <c r="D1962" s="16" t="n"/>
      <c r="E1962" s="19" t="n"/>
      <c r="G1962" s="16" t="n"/>
      <c r="H1962" s="19" t="n"/>
      <c r="J1962" s="16" t="n"/>
      <c r="K1962" s="19" t="n"/>
      <c r="M1962" s="16" t="n"/>
      <c r="N1962" s="19" t="n"/>
    </row>
    <row r="1963">
      <c r="A1963" s="16" t="n"/>
      <c r="B1963" s="19" t="n"/>
      <c r="D1963" s="16" t="n"/>
      <c r="E1963" s="19" t="n"/>
      <c r="G1963" s="16" t="n"/>
      <c r="H1963" s="19" t="n"/>
      <c r="J1963" s="16" t="n"/>
      <c r="K1963" s="19" t="n"/>
      <c r="M1963" s="16" t="n"/>
      <c r="N1963" s="19" t="n"/>
    </row>
    <row r="1964">
      <c r="A1964" s="16" t="n"/>
      <c r="B1964" s="19" t="n"/>
      <c r="D1964" s="16" t="n"/>
      <c r="E1964" s="19" t="n"/>
      <c r="G1964" s="16" t="n"/>
      <c r="H1964" s="19" t="n"/>
      <c r="J1964" s="16" t="n"/>
      <c r="K1964" s="19" t="n"/>
      <c r="M1964" s="16" t="n"/>
      <c r="N1964" s="19" t="n"/>
    </row>
    <row r="1965">
      <c r="A1965" s="16" t="n"/>
      <c r="B1965" s="19" t="n"/>
      <c r="D1965" s="16" t="n"/>
      <c r="E1965" s="19" t="n"/>
      <c r="G1965" s="16" t="n"/>
      <c r="H1965" s="19" t="n"/>
      <c r="J1965" s="16" t="n"/>
      <c r="K1965" s="19" t="n"/>
      <c r="M1965" s="16" t="n"/>
      <c r="N1965" s="19" t="n"/>
    </row>
    <row r="1966">
      <c r="A1966" s="16" t="n"/>
      <c r="B1966" s="19" t="n"/>
      <c r="D1966" s="16" t="n"/>
      <c r="E1966" s="19" t="n"/>
      <c r="G1966" s="16" t="n"/>
      <c r="H1966" s="19" t="n"/>
      <c r="J1966" s="16" t="n"/>
      <c r="K1966" s="19" t="n"/>
      <c r="M1966" s="16" t="n"/>
      <c r="N1966" s="19" t="n"/>
    </row>
    <row r="1967">
      <c r="A1967" s="16" t="n"/>
      <c r="B1967" s="19" t="n"/>
      <c r="D1967" s="16" t="n"/>
      <c r="E1967" s="19" t="n"/>
      <c r="G1967" s="16" t="n"/>
      <c r="H1967" s="19" t="n"/>
      <c r="J1967" s="16" t="n"/>
      <c r="K1967" s="19" t="n"/>
      <c r="M1967" s="16" t="n"/>
      <c r="N1967" s="19" t="n"/>
    </row>
    <row r="1968">
      <c r="A1968" s="16" t="n"/>
      <c r="B1968" s="19" t="n"/>
      <c r="D1968" s="16" t="n"/>
      <c r="E1968" s="19" t="n"/>
      <c r="G1968" s="16" t="n"/>
      <c r="H1968" s="19" t="n"/>
      <c r="J1968" s="16" t="n"/>
      <c r="K1968" s="19" t="n"/>
      <c r="M1968" s="16" t="n"/>
      <c r="N1968" s="19" t="n"/>
    </row>
    <row r="1969">
      <c r="A1969" s="16" t="n"/>
      <c r="B1969" s="19" t="n"/>
      <c r="D1969" s="16" t="n"/>
      <c r="E1969" s="19" t="n"/>
      <c r="G1969" s="16" t="n"/>
      <c r="H1969" s="19" t="n"/>
      <c r="J1969" s="16" t="n"/>
      <c r="K1969" s="19" t="n"/>
      <c r="M1969" s="16" t="n"/>
      <c r="N1969" s="19" t="n"/>
    </row>
    <row r="1970">
      <c r="A1970" s="16" t="n"/>
      <c r="B1970" s="19" t="n"/>
      <c r="D1970" s="16" t="n"/>
      <c r="E1970" s="19" t="n"/>
      <c r="G1970" s="16" t="n"/>
      <c r="H1970" s="19" t="n"/>
      <c r="J1970" s="16" t="n"/>
      <c r="K1970" s="19" t="n"/>
      <c r="M1970" s="16" t="n"/>
      <c r="N1970" s="19" t="n"/>
    </row>
    <row r="1971">
      <c r="A1971" s="16" t="n"/>
      <c r="B1971" s="19" t="n"/>
      <c r="D1971" s="16" t="n"/>
      <c r="E1971" s="19" t="n"/>
      <c r="G1971" s="16" t="n"/>
      <c r="H1971" s="19" t="n"/>
      <c r="J1971" s="16" t="n"/>
      <c r="K1971" s="19" t="n"/>
      <c r="M1971" s="16" t="n"/>
      <c r="N1971" s="19" t="n"/>
    </row>
    <row r="1972">
      <c r="A1972" s="16" t="n"/>
      <c r="B1972" s="19" t="n"/>
      <c r="D1972" s="16" t="n"/>
      <c r="E1972" s="19" t="n"/>
      <c r="G1972" s="16" t="n"/>
      <c r="H1972" s="19" t="n"/>
      <c r="J1972" s="16" t="n"/>
      <c r="K1972" s="19" t="n"/>
      <c r="M1972" s="16" t="n"/>
      <c r="N1972" s="19" t="n"/>
    </row>
    <row r="1973">
      <c r="A1973" s="16" t="n"/>
      <c r="B1973" s="19" t="n"/>
      <c r="D1973" s="16" t="n"/>
      <c r="E1973" s="19" t="n"/>
      <c r="G1973" s="16" t="n"/>
      <c r="H1973" s="19" t="n"/>
      <c r="J1973" s="16" t="n"/>
      <c r="K1973" s="19" t="n"/>
      <c r="M1973" s="16" t="n"/>
      <c r="N1973" s="19" t="n"/>
    </row>
    <row r="1974">
      <c r="A1974" s="16" t="n"/>
      <c r="B1974" s="19" t="n"/>
      <c r="D1974" s="16" t="n"/>
      <c r="E1974" s="19" t="n"/>
      <c r="G1974" s="16" t="n"/>
      <c r="H1974" s="19" t="n"/>
      <c r="J1974" s="16" t="n"/>
      <c r="K1974" s="19" t="n"/>
      <c r="M1974" s="16" t="n"/>
      <c r="N1974" s="19" t="n"/>
    </row>
    <row r="1975">
      <c r="A1975" s="16" t="n"/>
      <c r="B1975" s="19" t="n"/>
      <c r="D1975" s="16" t="n"/>
      <c r="E1975" s="19" t="n"/>
      <c r="G1975" s="16" t="n"/>
      <c r="H1975" s="19" t="n"/>
      <c r="J1975" s="16" t="n"/>
      <c r="K1975" s="19" t="n"/>
      <c r="M1975" s="16" t="n"/>
      <c r="N1975" s="19" t="n"/>
    </row>
    <row r="1976">
      <c r="A1976" s="16" t="n"/>
      <c r="B1976" s="19" t="n"/>
      <c r="D1976" s="16" t="n"/>
      <c r="E1976" s="19" t="n"/>
      <c r="G1976" s="16" t="n"/>
      <c r="H1976" s="19" t="n"/>
      <c r="J1976" s="16" t="n"/>
      <c r="K1976" s="19" t="n"/>
      <c r="M1976" s="16" t="n"/>
      <c r="N1976" s="19" t="n"/>
    </row>
    <row r="1977">
      <c r="A1977" s="16" t="n"/>
      <c r="B1977" s="19" t="n"/>
      <c r="D1977" s="16" t="n"/>
      <c r="E1977" s="19" t="n"/>
      <c r="G1977" s="16" t="n"/>
      <c r="H1977" s="19" t="n"/>
      <c r="J1977" s="16" t="n"/>
      <c r="K1977" s="19" t="n"/>
      <c r="M1977" s="16" t="n"/>
      <c r="N1977" s="19" t="n"/>
    </row>
    <row r="1978">
      <c r="A1978" s="16" t="n"/>
      <c r="B1978" s="19" t="n"/>
      <c r="D1978" s="16" t="n"/>
      <c r="E1978" s="19" t="n"/>
      <c r="G1978" s="16" t="n"/>
      <c r="H1978" s="19" t="n"/>
      <c r="J1978" s="16" t="n"/>
      <c r="K1978" s="19" t="n"/>
      <c r="M1978" s="16" t="n"/>
      <c r="N1978" s="19" t="n"/>
    </row>
    <row r="1979">
      <c r="A1979" s="16" t="n"/>
      <c r="B1979" s="19" t="n"/>
      <c r="D1979" s="16" t="n"/>
      <c r="E1979" s="19" t="n"/>
      <c r="G1979" s="16" t="n"/>
      <c r="H1979" s="19" t="n"/>
      <c r="J1979" s="16" t="n"/>
      <c r="K1979" s="19" t="n"/>
      <c r="M1979" s="16" t="n"/>
      <c r="N1979" s="19" t="n"/>
    </row>
    <row r="1980">
      <c r="A1980" s="16" t="n"/>
      <c r="B1980" s="19" t="n"/>
      <c r="D1980" s="16" t="n"/>
      <c r="E1980" s="19" t="n"/>
      <c r="G1980" s="16" t="n"/>
      <c r="H1980" s="19" t="n"/>
      <c r="J1980" s="16" t="n"/>
      <c r="K1980" s="19" t="n"/>
      <c r="M1980" s="16" t="n"/>
      <c r="N1980" s="19" t="n"/>
    </row>
    <row r="1981">
      <c r="A1981" s="16" t="n"/>
      <c r="B1981" s="19" t="n"/>
      <c r="D1981" s="16" t="n"/>
      <c r="E1981" s="19" t="n"/>
      <c r="G1981" s="16" t="n"/>
      <c r="H1981" s="19" t="n"/>
      <c r="J1981" s="16" t="n"/>
      <c r="K1981" s="19" t="n"/>
      <c r="M1981" s="16" t="n"/>
      <c r="N1981" s="19" t="n"/>
    </row>
    <row r="1982">
      <c r="A1982" s="16" t="n"/>
      <c r="B1982" s="19" t="n"/>
      <c r="D1982" s="16" t="n"/>
      <c r="E1982" s="19" t="n"/>
      <c r="G1982" s="16" t="n"/>
      <c r="H1982" s="19" t="n"/>
      <c r="J1982" s="16" t="n"/>
      <c r="K1982" s="19" t="n"/>
      <c r="M1982" s="16" t="n"/>
      <c r="N1982" s="19" t="n"/>
    </row>
    <row r="1983">
      <c r="A1983" s="16" t="n"/>
      <c r="B1983" s="19" t="n"/>
      <c r="D1983" s="16" t="n"/>
      <c r="E1983" s="19" t="n"/>
      <c r="G1983" s="16" t="n"/>
      <c r="H1983" s="19" t="n"/>
      <c r="J1983" s="16" t="n"/>
      <c r="K1983" s="19" t="n"/>
      <c r="M1983" s="16" t="n"/>
      <c r="N1983" s="19" t="n"/>
    </row>
    <row r="1984">
      <c r="A1984" s="16" t="n"/>
      <c r="B1984" s="19" t="n"/>
      <c r="D1984" s="16" t="n"/>
      <c r="E1984" s="19" t="n"/>
      <c r="G1984" s="16" t="n"/>
      <c r="H1984" s="19" t="n"/>
      <c r="J1984" s="16" t="n"/>
      <c r="K1984" s="19" t="n"/>
      <c r="M1984" s="16" t="n"/>
      <c r="N1984" s="19" t="n"/>
    </row>
    <row r="1985">
      <c r="A1985" s="16" t="n"/>
      <c r="B1985" s="19" t="n"/>
      <c r="D1985" s="16" t="n"/>
      <c r="E1985" s="19" t="n"/>
      <c r="G1985" s="16" t="n"/>
      <c r="H1985" s="19" t="n"/>
      <c r="J1985" s="16" t="n"/>
      <c r="K1985" s="19" t="n"/>
      <c r="M1985" s="16" t="n"/>
      <c r="N1985" s="19" t="n"/>
    </row>
    <row r="1986">
      <c r="A1986" s="16" t="n"/>
      <c r="B1986" s="19" t="n"/>
      <c r="D1986" s="16" t="n"/>
      <c r="E1986" s="19" t="n"/>
      <c r="G1986" s="16" t="n"/>
      <c r="H1986" s="19" t="n"/>
      <c r="J1986" s="16" t="n"/>
      <c r="K1986" s="19" t="n"/>
      <c r="M1986" s="16" t="n"/>
      <c r="N1986" s="19" t="n"/>
    </row>
    <row r="1987">
      <c r="A1987" s="16" t="n"/>
      <c r="B1987" s="19" t="n"/>
      <c r="D1987" s="16" t="n"/>
      <c r="E1987" s="19" t="n"/>
      <c r="G1987" s="16" t="n"/>
      <c r="H1987" s="19" t="n"/>
      <c r="J1987" s="16" t="n"/>
      <c r="K1987" s="19" t="n"/>
      <c r="M1987" s="16" t="n"/>
      <c r="N1987" s="19" t="n"/>
    </row>
    <row r="1988">
      <c r="A1988" s="16" t="n"/>
      <c r="B1988" s="19" t="n"/>
      <c r="D1988" s="16" t="n"/>
      <c r="E1988" s="19" t="n"/>
      <c r="G1988" s="16" t="n"/>
      <c r="H1988" s="19" t="n"/>
      <c r="J1988" s="16" t="n"/>
      <c r="K1988" s="19" t="n"/>
      <c r="M1988" s="16" t="n"/>
      <c r="N1988" s="19" t="n"/>
    </row>
    <row r="1989">
      <c r="A1989" s="16" t="n"/>
      <c r="B1989" s="19" t="n"/>
      <c r="D1989" s="16" t="n"/>
      <c r="E1989" s="19" t="n"/>
      <c r="G1989" s="16" t="n"/>
      <c r="H1989" s="19" t="n"/>
      <c r="J1989" s="16" t="n"/>
      <c r="K1989" s="19" t="n"/>
      <c r="M1989" s="16" t="n"/>
      <c r="N1989" s="19" t="n"/>
    </row>
    <row r="1990">
      <c r="A1990" s="16" t="n"/>
      <c r="B1990" s="19" t="n"/>
      <c r="D1990" s="16" t="n"/>
      <c r="E1990" s="19" t="n"/>
      <c r="G1990" s="16" t="n"/>
      <c r="H1990" s="19" t="n"/>
      <c r="J1990" s="16" t="n"/>
      <c r="K1990" s="19" t="n"/>
      <c r="M1990" s="16" t="n"/>
      <c r="N1990" s="19" t="n"/>
    </row>
    <row r="1991">
      <c r="A1991" s="16" t="n"/>
      <c r="B1991" s="19" t="n"/>
      <c r="D1991" s="16" t="n"/>
      <c r="E1991" s="19" t="n"/>
      <c r="G1991" s="16" t="n"/>
      <c r="H1991" s="19" t="n"/>
      <c r="J1991" s="16" t="n"/>
      <c r="K1991" s="19" t="n"/>
      <c r="M1991" s="16" t="n"/>
      <c r="N1991" s="19" t="n"/>
    </row>
    <row r="1992">
      <c r="A1992" s="16" t="n"/>
      <c r="B1992" s="19" t="n"/>
      <c r="D1992" s="16" t="n"/>
      <c r="E1992" s="19" t="n"/>
      <c r="G1992" s="16" t="n"/>
      <c r="H1992" s="19" t="n"/>
      <c r="J1992" s="16" t="n"/>
      <c r="K1992" s="19" t="n"/>
      <c r="M1992" s="16" t="n"/>
      <c r="N1992" s="19" t="n"/>
    </row>
    <row r="1993">
      <c r="A1993" s="16" t="n"/>
      <c r="B1993" s="19" t="n"/>
      <c r="D1993" s="16" t="n"/>
      <c r="E1993" s="19" t="n"/>
      <c r="G1993" s="16" t="n"/>
      <c r="H1993" s="19" t="n"/>
      <c r="J1993" s="16" t="n"/>
      <c r="K1993" s="19" t="n"/>
      <c r="M1993" s="16" t="n"/>
      <c r="N1993" s="19" t="n"/>
    </row>
    <row r="1994">
      <c r="A1994" s="16" t="n"/>
      <c r="B1994" s="19" t="n"/>
      <c r="D1994" s="16" t="n"/>
      <c r="E1994" s="19" t="n"/>
      <c r="G1994" s="16" t="n"/>
      <c r="H1994" s="19" t="n"/>
      <c r="J1994" s="16" t="n"/>
      <c r="K1994" s="19" t="n"/>
      <c r="M1994" s="16" t="n"/>
      <c r="N1994" s="19" t="n"/>
    </row>
    <row r="1995">
      <c r="A1995" s="16" t="n"/>
      <c r="B1995" s="19" t="n"/>
      <c r="D1995" s="16" t="n"/>
      <c r="E1995" s="19" t="n"/>
      <c r="G1995" s="16" t="n"/>
      <c r="H1995" s="19" t="n"/>
      <c r="J1995" s="16" t="n"/>
      <c r="K1995" s="19" t="n"/>
      <c r="M1995" s="16" t="n"/>
      <c r="N1995" s="19" t="n"/>
    </row>
    <row r="1996">
      <c r="A1996" s="16" t="n"/>
      <c r="B1996" s="19" t="n"/>
      <c r="D1996" s="16" t="n"/>
      <c r="E1996" s="19" t="n"/>
      <c r="G1996" s="16" t="n"/>
      <c r="H1996" s="19" t="n"/>
      <c r="J1996" s="16" t="n"/>
      <c r="K1996" s="19" t="n"/>
      <c r="M1996" s="16" t="n"/>
      <c r="N1996" s="19" t="n"/>
    </row>
    <row r="1997">
      <c r="A1997" s="16" t="n"/>
      <c r="B1997" s="19" t="n"/>
      <c r="D1997" s="16" t="n"/>
      <c r="E1997" s="19" t="n"/>
      <c r="G1997" s="16" t="n"/>
      <c r="H1997" s="19" t="n"/>
      <c r="J1997" s="16" t="n"/>
      <c r="K1997" s="19" t="n"/>
      <c r="M1997" s="16" t="n"/>
      <c r="N1997" s="19" t="n"/>
    </row>
    <row r="1998">
      <c r="A1998" s="16" t="n"/>
      <c r="B1998" s="19" t="n"/>
      <c r="D1998" s="16" t="n"/>
      <c r="E1998" s="19" t="n"/>
      <c r="G1998" s="16" t="n"/>
      <c r="H1998" s="19" t="n"/>
      <c r="J1998" s="16" t="n"/>
      <c r="K1998" s="19" t="n"/>
      <c r="M1998" s="16" t="n"/>
      <c r="N1998" s="19" t="n"/>
    </row>
    <row r="1999">
      <c r="A1999" s="16" t="n"/>
      <c r="B1999" s="19" t="n"/>
      <c r="D1999" s="16" t="n"/>
      <c r="E1999" s="19" t="n"/>
      <c r="G1999" s="16" t="n"/>
      <c r="H1999" s="19" t="n"/>
      <c r="J1999" s="16" t="n"/>
      <c r="K1999" s="19" t="n"/>
      <c r="M1999" s="16" t="n"/>
      <c r="N1999" s="19" t="n"/>
    </row>
    <row r="2000">
      <c r="A2000" s="16" t="n"/>
      <c r="B2000" s="19" t="n"/>
      <c r="D2000" s="16" t="n"/>
      <c r="E2000" s="19" t="n"/>
      <c r="G2000" s="16" t="n"/>
      <c r="H2000" s="19" t="n"/>
      <c r="J2000" s="16" t="n"/>
      <c r="K2000" s="19" t="n"/>
      <c r="M2000" s="16" t="n"/>
      <c r="N2000" s="19" t="n"/>
    </row>
    <row r="2001">
      <c r="A2001" s="16" t="n"/>
      <c r="B2001" s="19" t="n"/>
      <c r="D2001" s="16" t="n"/>
      <c r="E2001" s="19" t="n"/>
      <c r="G2001" s="16" t="n"/>
      <c r="H2001" s="19" t="n"/>
      <c r="J2001" s="16" t="n"/>
      <c r="K2001" s="19" t="n"/>
      <c r="M2001" s="16" t="n"/>
      <c r="N2001" s="19" t="n"/>
    </row>
    <row r="2002">
      <c r="A2002" s="16" t="n"/>
      <c r="B2002" s="19" t="n"/>
      <c r="D2002" s="16" t="n"/>
      <c r="E2002" s="19" t="n"/>
      <c r="G2002" s="16" t="n"/>
      <c r="H2002" s="19" t="n"/>
      <c r="J2002" s="16" t="n"/>
      <c r="K2002" s="19" t="n"/>
      <c r="M2002" s="16" t="n"/>
      <c r="N2002" s="19" t="n"/>
    </row>
    <row r="2003">
      <c r="A2003" s="16" t="n"/>
      <c r="B2003" s="19" t="n"/>
      <c r="D2003" s="16" t="n"/>
      <c r="E2003" s="19" t="n"/>
      <c r="G2003" s="16" t="n"/>
      <c r="H2003" s="19" t="n"/>
      <c r="J2003" s="16" t="n"/>
      <c r="K2003" s="19" t="n"/>
      <c r="M2003" s="16" t="n"/>
      <c r="N2003" s="19" t="n"/>
    </row>
    <row r="2004">
      <c r="A2004" s="16" t="n"/>
      <c r="B2004" s="19" t="n"/>
      <c r="D2004" s="16" t="n"/>
      <c r="E2004" s="19" t="n"/>
      <c r="G2004" s="16" t="n"/>
      <c r="H2004" s="19" t="n"/>
      <c r="J2004" s="16" t="n"/>
      <c r="K2004" s="19" t="n"/>
      <c r="M2004" s="16" t="n"/>
      <c r="N2004" s="19" t="n"/>
    </row>
    <row r="2005">
      <c r="A2005" s="16" t="n"/>
      <c r="B2005" s="19" t="n"/>
      <c r="D2005" s="16" t="n"/>
      <c r="E2005" s="19" t="n"/>
      <c r="G2005" s="16" t="n"/>
      <c r="H2005" s="19" t="n"/>
      <c r="J2005" s="16" t="n"/>
      <c r="K2005" s="19" t="n"/>
      <c r="M2005" s="16" t="n"/>
      <c r="N2005" s="19" t="n"/>
    </row>
    <row r="2006">
      <c r="A2006" s="16" t="n"/>
      <c r="B2006" s="19" t="n"/>
      <c r="D2006" s="16" t="n"/>
      <c r="E2006" s="19" t="n"/>
      <c r="G2006" s="16" t="n"/>
      <c r="H2006" s="19" t="n"/>
      <c r="J2006" s="16" t="n"/>
      <c r="K2006" s="19" t="n"/>
      <c r="M2006" s="16" t="n"/>
      <c r="N2006" s="19" t="n"/>
    </row>
    <row r="2007">
      <c r="A2007" s="16" t="n"/>
      <c r="B2007" s="19" t="n"/>
      <c r="D2007" s="16" t="n"/>
      <c r="E2007" s="19" t="n"/>
      <c r="G2007" s="16" t="n"/>
      <c r="H2007" s="19" t="n"/>
      <c r="J2007" s="16" t="n"/>
      <c r="K2007" s="19" t="n"/>
      <c r="M2007" s="16" t="n"/>
      <c r="N2007" s="19" t="n"/>
    </row>
    <row r="2008">
      <c r="A2008" s="16" t="n"/>
      <c r="B2008" s="19" t="n"/>
      <c r="D2008" s="16" t="n"/>
      <c r="E2008" s="19" t="n"/>
      <c r="G2008" s="16" t="n"/>
      <c r="H2008" s="19" t="n"/>
      <c r="J2008" s="16" t="n"/>
      <c r="K2008" s="19" t="n"/>
      <c r="M2008" s="16" t="n"/>
      <c r="N2008" s="19" t="n"/>
    </row>
    <row r="2009">
      <c r="A2009" s="16" t="n"/>
      <c r="B2009" s="19" t="n"/>
      <c r="D2009" s="16" t="n"/>
      <c r="E2009" s="19" t="n"/>
      <c r="G2009" s="16" t="n"/>
      <c r="H2009" s="19" t="n"/>
      <c r="J2009" s="16" t="n"/>
      <c r="K2009" s="19" t="n"/>
      <c r="M2009" s="16" t="n"/>
      <c r="N2009" s="19" t="n"/>
    </row>
    <row r="2010">
      <c r="A2010" s="16" t="n"/>
      <c r="B2010" s="19" t="n"/>
      <c r="D2010" s="16" t="n"/>
      <c r="E2010" s="19" t="n"/>
      <c r="G2010" s="16" t="n"/>
      <c r="H2010" s="19" t="n"/>
      <c r="J2010" s="16" t="n"/>
      <c r="K2010" s="19" t="n"/>
      <c r="M2010" s="16" t="n"/>
      <c r="N2010" s="19" t="n"/>
    </row>
    <row r="2011">
      <c r="A2011" s="16" t="n"/>
      <c r="B2011" s="19" t="n"/>
      <c r="D2011" s="16" t="n"/>
      <c r="E2011" s="19" t="n"/>
      <c r="G2011" s="16" t="n"/>
      <c r="H2011" s="19" t="n"/>
      <c r="J2011" s="16" t="n"/>
      <c r="K2011" s="19" t="n"/>
      <c r="M2011" s="16" t="n"/>
      <c r="N2011" s="19" t="n"/>
    </row>
    <row r="2012">
      <c r="A2012" s="16" t="n"/>
      <c r="B2012" s="19" t="n"/>
      <c r="D2012" s="16" t="n"/>
      <c r="E2012" s="19" t="n"/>
      <c r="G2012" s="16" t="n"/>
      <c r="H2012" s="19" t="n"/>
      <c r="J2012" s="16" t="n"/>
      <c r="K2012" s="19" t="n"/>
      <c r="M2012" s="16" t="n"/>
      <c r="N2012" s="19" t="n"/>
    </row>
    <row r="2013">
      <c r="A2013" s="16" t="n"/>
      <c r="B2013" s="19" t="n"/>
      <c r="D2013" s="16" t="n"/>
      <c r="E2013" s="19" t="n"/>
      <c r="G2013" s="16" t="n"/>
      <c r="H2013" s="19" t="n"/>
      <c r="J2013" s="16" t="n"/>
      <c r="K2013" s="19" t="n"/>
      <c r="M2013" s="16" t="n"/>
      <c r="N2013" s="19" t="n"/>
    </row>
    <row r="2014">
      <c r="A2014" s="16" t="n"/>
      <c r="B2014" s="19" t="n"/>
      <c r="D2014" s="16" t="n"/>
      <c r="E2014" s="19" t="n"/>
      <c r="G2014" s="16" t="n"/>
      <c r="H2014" s="19" t="n"/>
      <c r="J2014" s="16" t="n"/>
      <c r="K2014" s="19" t="n"/>
      <c r="M2014" s="16" t="n"/>
      <c r="N2014" s="19" t="n"/>
    </row>
    <row r="2015">
      <c r="A2015" s="16" t="n"/>
      <c r="B2015" s="19" t="n"/>
      <c r="D2015" s="16" t="n"/>
      <c r="E2015" s="19" t="n"/>
      <c r="G2015" s="16" t="n"/>
      <c r="H2015" s="19" t="n"/>
      <c r="J2015" s="16" t="n"/>
      <c r="K2015" s="19" t="n"/>
      <c r="M2015" s="16" t="n"/>
      <c r="N2015" s="19" t="n"/>
    </row>
    <row r="2016">
      <c r="A2016" s="16" t="n"/>
      <c r="B2016" s="19" t="n"/>
      <c r="D2016" s="16" t="n"/>
      <c r="E2016" s="19" t="n"/>
      <c r="G2016" s="16" t="n"/>
      <c r="H2016" s="19" t="n"/>
      <c r="J2016" s="16" t="n"/>
      <c r="K2016" s="19" t="n"/>
      <c r="M2016" s="16" t="n"/>
      <c r="N2016" s="19" t="n"/>
    </row>
    <row r="2017">
      <c r="A2017" s="16" t="n"/>
      <c r="B2017" s="19" t="n"/>
      <c r="D2017" s="16" t="n"/>
      <c r="E2017" s="19" t="n"/>
      <c r="G2017" s="16" t="n"/>
      <c r="H2017" s="19" t="n"/>
      <c r="J2017" s="16" t="n"/>
      <c r="K2017" s="19" t="n"/>
      <c r="M2017" s="16" t="n"/>
      <c r="N2017" s="19" t="n"/>
    </row>
    <row r="2018">
      <c r="A2018" s="16" t="n"/>
      <c r="B2018" s="19" t="n"/>
      <c r="D2018" s="16" t="n"/>
      <c r="E2018" s="19" t="n"/>
      <c r="G2018" s="16" t="n"/>
      <c r="H2018" s="19" t="n"/>
      <c r="J2018" s="16" t="n"/>
      <c r="K2018" s="19" t="n"/>
      <c r="M2018" s="16" t="n"/>
      <c r="N2018" s="19" t="n"/>
    </row>
    <row r="2019">
      <c r="A2019" s="16" t="n"/>
      <c r="B2019" s="19" t="n"/>
      <c r="D2019" s="16" t="n"/>
      <c r="E2019" s="19" t="n"/>
      <c r="G2019" s="16" t="n"/>
      <c r="H2019" s="19" t="n"/>
      <c r="J2019" s="16" t="n"/>
      <c r="K2019" s="19" t="n"/>
      <c r="M2019" s="16" t="n"/>
      <c r="N2019" s="19" t="n"/>
    </row>
    <row r="2020">
      <c r="A2020" s="16" t="n"/>
      <c r="B2020" s="19" t="n"/>
      <c r="D2020" s="16" t="n"/>
      <c r="E2020" s="19" t="n"/>
      <c r="G2020" s="16" t="n"/>
      <c r="H2020" s="19" t="n"/>
      <c r="J2020" s="16" t="n"/>
      <c r="K2020" s="19" t="n"/>
      <c r="M2020" s="16" t="n"/>
      <c r="N2020" s="19" t="n"/>
    </row>
    <row r="2021">
      <c r="A2021" s="16" t="n"/>
      <c r="B2021" s="19" t="n"/>
      <c r="D2021" s="16" t="n"/>
      <c r="E2021" s="19" t="n"/>
      <c r="G2021" s="16" t="n"/>
      <c r="H2021" s="19" t="n"/>
      <c r="J2021" s="16" t="n"/>
      <c r="K2021" s="19" t="n"/>
      <c r="M2021" s="16" t="n"/>
      <c r="N2021" s="19" t="n"/>
    </row>
    <row r="2022">
      <c r="A2022" s="16" t="n"/>
      <c r="B2022" s="19" t="n"/>
      <c r="D2022" s="16" t="n"/>
      <c r="E2022" s="19" t="n"/>
      <c r="G2022" s="16" t="n"/>
      <c r="H2022" s="19" t="n"/>
      <c r="J2022" s="16" t="n"/>
      <c r="K2022" s="19" t="n"/>
      <c r="M2022" s="16" t="n"/>
      <c r="N2022" s="19" t="n"/>
    </row>
    <row r="2023">
      <c r="A2023" s="16" t="n"/>
      <c r="B2023" s="19" t="n"/>
      <c r="D2023" s="16" t="n"/>
      <c r="E2023" s="19" t="n"/>
      <c r="G2023" s="16" t="n"/>
      <c r="H2023" s="19" t="n"/>
      <c r="J2023" s="16" t="n"/>
      <c r="K2023" s="19" t="n"/>
      <c r="M2023" s="16" t="n"/>
      <c r="N2023" s="19" t="n"/>
    </row>
    <row r="2024">
      <c r="A2024" s="16" t="n"/>
      <c r="B2024" s="19" t="n"/>
      <c r="D2024" s="16" t="n"/>
      <c r="E2024" s="19" t="n"/>
      <c r="G2024" s="16" t="n"/>
      <c r="H2024" s="19" t="n"/>
      <c r="J2024" s="16" t="n"/>
      <c r="K2024" s="19" t="n"/>
      <c r="M2024" s="16" t="n"/>
      <c r="N2024" s="19" t="n"/>
    </row>
    <row r="2025">
      <c r="A2025" s="16" t="n"/>
      <c r="B2025" s="19" t="n"/>
      <c r="D2025" s="16" t="n"/>
      <c r="E2025" s="19" t="n"/>
      <c r="G2025" s="16" t="n"/>
      <c r="H2025" s="19" t="n"/>
      <c r="J2025" s="16" t="n"/>
      <c r="K2025" s="19" t="n"/>
      <c r="M2025" s="16" t="n"/>
      <c r="N2025" s="19" t="n"/>
    </row>
    <row r="2026">
      <c r="A2026" s="16" t="n"/>
      <c r="B2026" s="19" t="n"/>
      <c r="D2026" s="16" t="n"/>
      <c r="E2026" s="19" t="n"/>
      <c r="G2026" s="16" t="n"/>
      <c r="H2026" s="19" t="n"/>
      <c r="J2026" s="16" t="n"/>
      <c r="K2026" s="19" t="n"/>
      <c r="M2026" s="16" t="n"/>
      <c r="N2026" s="19" t="n"/>
    </row>
    <row r="2027">
      <c r="A2027" s="16" t="n"/>
      <c r="B2027" s="19" t="n"/>
      <c r="D2027" s="16" t="n"/>
      <c r="E2027" s="19" t="n"/>
      <c r="G2027" s="16" t="n"/>
      <c r="H2027" s="19" t="n"/>
      <c r="J2027" s="16" t="n"/>
      <c r="K2027" s="19" t="n"/>
      <c r="M2027" s="16" t="n"/>
      <c r="N2027" s="19" t="n"/>
    </row>
    <row r="2028">
      <c r="A2028" s="16" t="n"/>
      <c r="B2028" s="19" t="n"/>
      <c r="D2028" s="16" t="n"/>
      <c r="E2028" s="19" t="n"/>
      <c r="G2028" s="16" t="n"/>
      <c r="H2028" s="19" t="n"/>
      <c r="J2028" s="16" t="n"/>
      <c r="K2028" s="19" t="n"/>
      <c r="M2028" s="16" t="n"/>
      <c r="N2028" s="19" t="n"/>
    </row>
    <row r="2029">
      <c r="A2029" s="16" t="n"/>
      <c r="B2029" s="19" t="n"/>
      <c r="D2029" s="16" t="n"/>
      <c r="E2029" s="19" t="n"/>
      <c r="G2029" s="16" t="n"/>
      <c r="H2029" s="19" t="n"/>
      <c r="J2029" s="16" t="n"/>
      <c r="K2029" s="19" t="n"/>
      <c r="M2029" s="16" t="n"/>
      <c r="N2029" s="19" t="n"/>
    </row>
    <row r="2030">
      <c r="A2030" s="16" t="n"/>
      <c r="B2030" s="19" t="n"/>
      <c r="D2030" s="16" t="n"/>
      <c r="E2030" s="19" t="n"/>
      <c r="G2030" s="16" t="n"/>
      <c r="H2030" s="19" t="n"/>
      <c r="J2030" s="16" t="n"/>
      <c r="K2030" s="19" t="n"/>
      <c r="M2030" s="16" t="n"/>
      <c r="N2030" s="19" t="n"/>
    </row>
    <row r="2031">
      <c r="A2031" s="16" t="n"/>
      <c r="B2031" s="19" t="n"/>
      <c r="D2031" s="16" t="n"/>
      <c r="E2031" s="19" t="n"/>
      <c r="G2031" s="16" t="n"/>
      <c r="H2031" s="19" t="n"/>
      <c r="J2031" s="16" t="n"/>
      <c r="K2031" s="19" t="n"/>
      <c r="M2031" s="16" t="n"/>
      <c r="N2031" s="19" t="n"/>
    </row>
    <row r="2032">
      <c r="A2032" s="16" t="n"/>
      <c r="B2032" s="19" t="n"/>
      <c r="D2032" s="16" t="n"/>
      <c r="E2032" s="19" t="n"/>
      <c r="G2032" s="16" t="n"/>
      <c r="H2032" s="19" t="n"/>
      <c r="J2032" s="16" t="n"/>
      <c r="K2032" s="19" t="n"/>
      <c r="M2032" s="16" t="n"/>
      <c r="N2032" s="19" t="n"/>
    </row>
    <row r="2033">
      <c r="A2033" s="16" t="n"/>
      <c r="B2033" s="19" t="n"/>
      <c r="D2033" s="16" t="n"/>
      <c r="E2033" s="19" t="n"/>
      <c r="G2033" s="16" t="n"/>
      <c r="H2033" s="19" t="n"/>
      <c r="J2033" s="16" t="n"/>
      <c r="K2033" s="19" t="n"/>
      <c r="M2033" s="16" t="n"/>
      <c r="N2033" s="19" t="n"/>
    </row>
    <row r="2034">
      <c r="A2034" s="16" t="n"/>
      <c r="B2034" s="19" t="n"/>
      <c r="D2034" s="16" t="n"/>
      <c r="E2034" s="19" t="n"/>
      <c r="G2034" s="16" t="n"/>
      <c r="H2034" s="19" t="n"/>
      <c r="J2034" s="16" t="n"/>
      <c r="K2034" s="19" t="n"/>
      <c r="M2034" s="16" t="n"/>
      <c r="N2034" s="19" t="n"/>
    </row>
    <row r="2035">
      <c r="A2035" s="16" t="n"/>
      <c r="B2035" s="19" t="n"/>
      <c r="D2035" s="16" t="n"/>
      <c r="E2035" s="19" t="n"/>
      <c r="G2035" s="16" t="n"/>
      <c r="H2035" s="19" t="n"/>
      <c r="J2035" s="16" t="n"/>
      <c r="K2035" s="19" t="n"/>
      <c r="M2035" s="16" t="n"/>
      <c r="N2035" s="19" t="n"/>
    </row>
    <row r="2036">
      <c r="A2036" s="16" t="n"/>
      <c r="B2036" s="19" t="n"/>
      <c r="D2036" s="16" t="n"/>
      <c r="E2036" s="19" t="n"/>
      <c r="G2036" s="16" t="n"/>
      <c r="H2036" s="19" t="n"/>
      <c r="J2036" s="16" t="n"/>
      <c r="K2036" s="19" t="n"/>
      <c r="M2036" s="16" t="n"/>
      <c r="N2036" s="19" t="n"/>
    </row>
    <row r="2037">
      <c r="A2037" s="16" t="n"/>
      <c r="B2037" s="19" t="n"/>
      <c r="D2037" s="16" t="n"/>
      <c r="E2037" s="19" t="n"/>
      <c r="G2037" s="16" t="n"/>
      <c r="H2037" s="19" t="n"/>
      <c r="J2037" s="16" t="n"/>
      <c r="K2037" s="19" t="n"/>
      <c r="M2037" s="16" t="n"/>
      <c r="N2037" s="19" t="n"/>
    </row>
    <row r="2038">
      <c r="A2038" s="16" t="n"/>
      <c r="B2038" s="19" t="n"/>
      <c r="D2038" s="16" t="n"/>
      <c r="E2038" s="19" t="n"/>
      <c r="G2038" s="16" t="n"/>
      <c r="H2038" s="19" t="n"/>
      <c r="J2038" s="16" t="n"/>
      <c r="K2038" s="19" t="n"/>
      <c r="M2038" s="16" t="n"/>
      <c r="N2038" s="19" t="n"/>
    </row>
    <row r="2039">
      <c r="A2039" s="16" t="n"/>
      <c r="B2039" s="19" t="n"/>
      <c r="D2039" s="16" t="n"/>
      <c r="E2039" s="19" t="n"/>
      <c r="G2039" s="16" t="n"/>
      <c r="H2039" s="19" t="n"/>
      <c r="J2039" s="16" t="n"/>
      <c r="K2039" s="19" t="n"/>
      <c r="M2039" s="16" t="n"/>
      <c r="N2039" s="19" t="n"/>
    </row>
    <row r="2040">
      <c r="A2040" s="16" t="n"/>
      <c r="B2040" s="19" t="n"/>
      <c r="D2040" s="16" t="n"/>
      <c r="E2040" s="19" t="n"/>
      <c r="G2040" s="16" t="n"/>
      <c r="H2040" s="19" t="n"/>
      <c r="J2040" s="16" t="n"/>
      <c r="K2040" s="19" t="n"/>
      <c r="M2040" s="16" t="n"/>
      <c r="N2040" s="19" t="n"/>
    </row>
    <row r="2041">
      <c r="A2041" s="16" t="n"/>
      <c r="B2041" s="19" t="n"/>
      <c r="D2041" s="16" t="n"/>
      <c r="E2041" s="19" t="n"/>
      <c r="G2041" s="16" t="n"/>
      <c r="H2041" s="19" t="n"/>
      <c r="J2041" s="16" t="n"/>
      <c r="K2041" s="19" t="n"/>
      <c r="M2041" s="16" t="n"/>
      <c r="N2041" s="19" t="n"/>
    </row>
    <row r="2042">
      <c r="A2042" s="16" t="n"/>
      <c r="B2042" s="19" t="n"/>
      <c r="D2042" s="16" t="n"/>
      <c r="E2042" s="19" t="n"/>
      <c r="G2042" s="16" t="n"/>
      <c r="H2042" s="19" t="n"/>
      <c r="J2042" s="16" t="n"/>
      <c r="K2042" s="19" t="n"/>
      <c r="M2042" s="16" t="n"/>
      <c r="N2042" s="19" t="n"/>
    </row>
    <row r="2043">
      <c r="A2043" s="16" t="n"/>
      <c r="B2043" s="19" t="n"/>
      <c r="D2043" s="16" t="n"/>
      <c r="E2043" s="19" t="n"/>
      <c r="G2043" s="16" t="n"/>
      <c r="H2043" s="19" t="n"/>
      <c r="J2043" s="16" t="n"/>
      <c r="K2043" s="19" t="n"/>
      <c r="M2043" s="16" t="n"/>
      <c r="N2043" s="19" t="n"/>
    </row>
    <row r="2044">
      <c r="A2044" s="16" t="n"/>
      <c r="B2044" s="19" t="n"/>
      <c r="D2044" s="16" t="n"/>
      <c r="E2044" s="19" t="n"/>
      <c r="G2044" s="16" t="n"/>
      <c r="H2044" s="19" t="n"/>
      <c r="J2044" s="16" t="n"/>
      <c r="K2044" s="19" t="n"/>
      <c r="M2044" s="16" t="n"/>
      <c r="N2044" s="19" t="n"/>
    </row>
    <row r="2045">
      <c r="A2045" s="16" t="n"/>
      <c r="B2045" s="19" t="n"/>
      <c r="D2045" s="16" t="n"/>
      <c r="E2045" s="19" t="n"/>
      <c r="G2045" s="16" t="n"/>
      <c r="H2045" s="19" t="n"/>
      <c r="J2045" s="16" t="n"/>
      <c r="K2045" s="19" t="n"/>
      <c r="M2045" s="16" t="n"/>
      <c r="N2045" s="19" t="n"/>
    </row>
    <row r="2046">
      <c r="A2046" s="16" t="n"/>
      <c r="B2046" s="19" t="n"/>
      <c r="D2046" s="16" t="n"/>
      <c r="E2046" s="19" t="n"/>
      <c r="G2046" s="16" t="n"/>
      <c r="H2046" s="19" t="n"/>
      <c r="J2046" s="16" t="n"/>
      <c r="K2046" s="19" t="n"/>
      <c r="M2046" s="16" t="n"/>
      <c r="N2046" s="19" t="n"/>
    </row>
    <row r="2047">
      <c r="A2047" s="16" t="n"/>
      <c r="B2047" s="19" t="n"/>
      <c r="D2047" s="16" t="n"/>
      <c r="E2047" s="19" t="n"/>
      <c r="G2047" s="16" t="n"/>
      <c r="H2047" s="19" t="n"/>
      <c r="J2047" s="16" t="n"/>
      <c r="K2047" s="19" t="n"/>
      <c r="M2047" s="16" t="n"/>
      <c r="N2047" s="19" t="n"/>
    </row>
    <row r="2048">
      <c r="A2048" s="16" t="n"/>
      <c r="B2048" s="19" t="n"/>
      <c r="D2048" s="16" t="n"/>
      <c r="E2048" s="19" t="n"/>
      <c r="G2048" s="16" t="n"/>
      <c r="H2048" s="19" t="n"/>
      <c r="J2048" s="16" t="n"/>
      <c r="K2048" s="19" t="n"/>
      <c r="M2048" s="16" t="n"/>
      <c r="N2048" s="19" t="n"/>
    </row>
    <row r="2049">
      <c r="A2049" s="16" t="n"/>
      <c r="B2049" s="19" t="n"/>
      <c r="D2049" s="16" t="n"/>
      <c r="E2049" s="19" t="n"/>
      <c r="G2049" s="16" t="n"/>
      <c r="H2049" s="19" t="n"/>
      <c r="J2049" s="16" t="n"/>
      <c r="K2049" s="19" t="n"/>
      <c r="M2049" s="16" t="n"/>
      <c r="N2049" s="19" t="n"/>
    </row>
    <row r="2050">
      <c r="A2050" s="16" t="n"/>
      <c r="B2050" s="19" t="n"/>
      <c r="D2050" s="16" t="n"/>
      <c r="E2050" s="19" t="n"/>
      <c r="G2050" s="16" t="n"/>
      <c r="H2050" s="19" t="n"/>
      <c r="J2050" s="16" t="n"/>
      <c r="K2050" s="19" t="n"/>
      <c r="M2050" s="16" t="n"/>
      <c r="N2050" s="19" t="n"/>
    </row>
    <row r="2051">
      <c r="A2051" s="16" t="n"/>
      <c r="B2051" s="19" t="n"/>
      <c r="D2051" s="16" t="n"/>
      <c r="E2051" s="19" t="n"/>
      <c r="G2051" s="16" t="n"/>
      <c r="H2051" s="19" t="n"/>
      <c r="J2051" s="16" t="n"/>
      <c r="K2051" s="19" t="n"/>
      <c r="M2051" s="16" t="n"/>
      <c r="N2051" s="19" t="n"/>
    </row>
    <row r="2052">
      <c r="A2052" s="16" t="n"/>
      <c r="B2052" s="19" t="n"/>
      <c r="D2052" s="16" t="n"/>
      <c r="E2052" s="19" t="n"/>
      <c r="G2052" s="16" t="n"/>
      <c r="H2052" s="19" t="n"/>
      <c r="J2052" s="16" t="n"/>
      <c r="K2052" s="19" t="n"/>
      <c r="M2052" s="16" t="n"/>
      <c r="N2052" s="19" t="n"/>
    </row>
    <row r="2053">
      <c r="A2053" s="16" t="n"/>
      <c r="B2053" s="19" t="n"/>
      <c r="D2053" s="16" t="n"/>
      <c r="E2053" s="19" t="n"/>
      <c r="G2053" s="16" t="n"/>
      <c r="H2053" s="19" t="n"/>
      <c r="J2053" s="16" t="n"/>
      <c r="K2053" s="19" t="n"/>
      <c r="M2053" s="16" t="n"/>
      <c r="N2053" s="19" t="n"/>
    </row>
    <row r="2054">
      <c r="A2054" s="16" t="n"/>
      <c r="B2054" s="19" t="n"/>
      <c r="D2054" s="16" t="n"/>
      <c r="E2054" s="19" t="n"/>
      <c r="G2054" s="16" t="n"/>
      <c r="H2054" s="19" t="n"/>
      <c r="J2054" s="16" t="n"/>
      <c r="K2054" s="19" t="n"/>
      <c r="M2054" s="16" t="n"/>
      <c r="N2054" s="19" t="n"/>
    </row>
    <row r="2055">
      <c r="A2055" s="16" t="n"/>
      <c r="B2055" s="19" t="n"/>
      <c r="D2055" s="16" t="n"/>
      <c r="E2055" s="19" t="n"/>
      <c r="G2055" s="16" t="n"/>
      <c r="H2055" s="19" t="n"/>
      <c r="J2055" s="16" t="n"/>
      <c r="K2055" s="19" t="n"/>
      <c r="M2055" s="16" t="n"/>
      <c r="N2055" s="19" t="n"/>
    </row>
    <row r="2056">
      <c r="A2056" s="16" t="n"/>
      <c r="B2056" s="19" t="n"/>
      <c r="D2056" s="16" t="n"/>
      <c r="E2056" s="19" t="n"/>
      <c r="G2056" s="16" t="n"/>
      <c r="H2056" s="19" t="n"/>
      <c r="J2056" s="16" t="n"/>
      <c r="K2056" s="19" t="n"/>
      <c r="M2056" s="16" t="n"/>
      <c r="N2056" s="19" t="n"/>
    </row>
    <row r="2057">
      <c r="A2057" s="16" t="n"/>
      <c r="B2057" s="19" t="n"/>
      <c r="D2057" s="16" t="n"/>
      <c r="E2057" s="19" t="n"/>
      <c r="G2057" s="16" t="n"/>
      <c r="H2057" s="19" t="n"/>
      <c r="J2057" s="16" t="n"/>
      <c r="K2057" s="19" t="n"/>
      <c r="M2057" s="16" t="n"/>
      <c r="N2057" s="19" t="n"/>
    </row>
    <row r="2058">
      <c r="A2058" s="16" t="n"/>
      <c r="B2058" s="19" t="n"/>
      <c r="D2058" s="16" t="n"/>
      <c r="E2058" s="19" t="n"/>
      <c r="G2058" s="16" t="n"/>
      <c r="H2058" s="19" t="n"/>
      <c r="J2058" s="16" t="n"/>
      <c r="K2058" s="19" t="n"/>
      <c r="M2058" s="16" t="n"/>
      <c r="N2058" s="19" t="n"/>
    </row>
    <row r="2059">
      <c r="A2059" s="16" t="n"/>
      <c r="B2059" s="19" t="n"/>
      <c r="D2059" s="16" t="n"/>
      <c r="E2059" s="19" t="n"/>
      <c r="G2059" s="16" t="n"/>
      <c r="H2059" s="19" t="n"/>
      <c r="J2059" s="16" t="n"/>
      <c r="K2059" s="19" t="n"/>
      <c r="M2059" s="16" t="n"/>
      <c r="N2059" s="19" t="n"/>
    </row>
    <row r="2060">
      <c r="A2060" s="16" t="n"/>
      <c r="B2060" s="19" t="n"/>
      <c r="D2060" s="16" t="n"/>
      <c r="E2060" s="19" t="n"/>
      <c r="G2060" s="16" t="n"/>
      <c r="H2060" s="19" t="n"/>
      <c r="J2060" s="16" t="n"/>
      <c r="K2060" s="19" t="n"/>
      <c r="M2060" s="16" t="n"/>
      <c r="N2060" s="19" t="n"/>
    </row>
    <row r="2061">
      <c r="A2061" s="16" t="n"/>
      <c r="B2061" s="19" t="n"/>
      <c r="D2061" s="16" t="n"/>
      <c r="E2061" s="19" t="n"/>
      <c r="G2061" s="16" t="n"/>
      <c r="H2061" s="19" t="n"/>
      <c r="J2061" s="16" t="n"/>
      <c r="K2061" s="19" t="n"/>
      <c r="M2061" s="16" t="n"/>
      <c r="N2061" s="19" t="n"/>
    </row>
    <row r="2062">
      <c r="A2062" s="16" t="n"/>
      <c r="B2062" s="19" t="n"/>
      <c r="D2062" s="16" t="n"/>
      <c r="E2062" s="19" t="n"/>
      <c r="G2062" s="16" t="n"/>
      <c r="H2062" s="19" t="n"/>
      <c r="J2062" s="16" t="n"/>
      <c r="K2062" s="19" t="n"/>
      <c r="M2062" s="16" t="n"/>
      <c r="N2062" s="19" t="n"/>
    </row>
    <row r="2063">
      <c r="A2063" s="16" t="n"/>
      <c r="B2063" s="19" t="n"/>
      <c r="D2063" s="16" t="n"/>
      <c r="E2063" s="19" t="n"/>
      <c r="G2063" s="16" t="n"/>
      <c r="H2063" s="19" t="n"/>
      <c r="J2063" s="16" t="n"/>
      <c r="K2063" s="19" t="n"/>
      <c r="M2063" s="16" t="n"/>
      <c r="N2063" s="19" t="n"/>
    </row>
    <row r="2064">
      <c r="A2064" s="16" t="n"/>
      <c r="B2064" s="19" t="n"/>
      <c r="D2064" s="16" t="n"/>
      <c r="E2064" s="19" t="n"/>
      <c r="G2064" s="16" t="n"/>
      <c r="H2064" s="19" t="n"/>
      <c r="J2064" s="16" t="n"/>
      <c r="K2064" s="19" t="n"/>
      <c r="M2064" s="16" t="n"/>
      <c r="N2064" s="19" t="n"/>
    </row>
    <row r="2065">
      <c r="A2065" s="16" t="n"/>
      <c r="B2065" s="19" t="n"/>
      <c r="D2065" s="16" t="n"/>
      <c r="E2065" s="19" t="n"/>
      <c r="G2065" s="16" t="n"/>
      <c r="H2065" s="19" t="n"/>
      <c r="J2065" s="16" t="n"/>
      <c r="K2065" s="19" t="n"/>
      <c r="M2065" s="16" t="n"/>
      <c r="N2065" s="19" t="n"/>
    </row>
    <row r="2066">
      <c r="A2066" s="16" t="n"/>
      <c r="B2066" s="19" t="n"/>
      <c r="D2066" s="16" t="n"/>
      <c r="E2066" s="19" t="n"/>
      <c r="G2066" s="16" t="n"/>
      <c r="H2066" s="19" t="n"/>
      <c r="J2066" s="16" t="n"/>
      <c r="K2066" s="19" t="n"/>
      <c r="M2066" s="16" t="n"/>
      <c r="N2066" s="19" t="n"/>
    </row>
    <row r="2067">
      <c r="A2067" s="16" t="n"/>
      <c r="B2067" s="19" t="n"/>
      <c r="D2067" s="16" t="n"/>
      <c r="E2067" s="19" t="n"/>
      <c r="G2067" s="16" t="n"/>
      <c r="H2067" s="19" t="n"/>
      <c r="J2067" s="16" t="n"/>
      <c r="K2067" s="19" t="n"/>
      <c r="M2067" s="16" t="n"/>
      <c r="N2067" s="19" t="n"/>
    </row>
    <row r="2068">
      <c r="A2068" s="16" t="n"/>
      <c r="B2068" s="19" t="n"/>
      <c r="D2068" s="16" t="n"/>
      <c r="E2068" s="19" t="n"/>
      <c r="G2068" s="16" t="n"/>
      <c r="H2068" s="19" t="n"/>
      <c r="J2068" s="16" t="n"/>
      <c r="K2068" s="19" t="n"/>
      <c r="M2068" s="16" t="n"/>
      <c r="N2068" s="19" t="n"/>
    </row>
    <row r="2069">
      <c r="A2069" s="16" t="n"/>
      <c r="B2069" s="19" t="n"/>
      <c r="D2069" s="16" t="n"/>
      <c r="E2069" s="19" t="n"/>
      <c r="G2069" s="16" t="n"/>
      <c r="H2069" s="19" t="n"/>
      <c r="J2069" s="16" t="n"/>
      <c r="K2069" s="19" t="n"/>
      <c r="M2069" s="16" t="n"/>
      <c r="N2069" s="19" t="n"/>
    </row>
    <row r="2070">
      <c r="A2070" s="16" t="n"/>
      <c r="B2070" s="19" t="n"/>
      <c r="D2070" s="16" t="n"/>
      <c r="E2070" s="19" t="n"/>
      <c r="G2070" s="16" t="n"/>
      <c r="H2070" s="19" t="n"/>
      <c r="J2070" s="16" t="n"/>
      <c r="K2070" s="19" t="n"/>
      <c r="M2070" s="16" t="n"/>
      <c r="N2070" s="19" t="n"/>
    </row>
    <row r="2071">
      <c r="A2071" s="16" t="n"/>
      <c r="B2071" s="19" t="n"/>
      <c r="D2071" s="16" t="n"/>
      <c r="E2071" s="19" t="n"/>
      <c r="G2071" s="16" t="n"/>
      <c r="H2071" s="19" t="n"/>
      <c r="J2071" s="16" t="n"/>
      <c r="K2071" s="19" t="n"/>
      <c r="M2071" s="16" t="n"/>
      <c r="N2071" s="19" t="n"/>
    </row>
    <row r="2072">
      <c r="A2072" s="16" t="n"/>
      <c r="B2072" s="19" t="n"/>
      <c r="D2072" s="16" t="n"/>
      <c r="E2072" s="19" t="n"/>
      <c r="G2072" s="16" t="n"/>
      <c r="H2072" s="19" t="n"/>
      <c r="J2072" s="16" t="n"/>
      <c r="K2072" s="19" t="n"/>
      <c r="M2072" s="16" t="n"/>
      <c r="N2072" s="19" t="n"/>
    </row>
    <row r="2073">
      <c r="A2073" s="16" t="n"/>
      <c r="B2073" s="19" t="n"/>
      <c r="D2073" s="16" t="n"/>
      <c r="E2073" s="19" t="n"/>
      <c r="G2073" s="16" t="n"/>
      <c r="H2073" s="19" t="n"/>
      <c r="J2073" s="16" t="n"/>
      <c r="K2073" s="19" t="n"/>
      <c r="M2073" s="16" t="n"/>
      <c r="N2073" s="19" t="n"/>
    </row>
    <row r="2074">
      <c r="A2074" s="16" t="n"/>
      <c r="B2074" s="19" t="n"/>
      <c r="D2074" s="16" t="n"/>
      <c r="E2074" s="19" t="n"/>
      <c r="G2074" s="16" t="n"/>
      <c r="H2074" s="19" t="n"/>
      <c r="J2074" s="16" t="n"/>
      <c r="K2074" s="19" t="n"/>
      <c r="M2074" s="16" t="n"/>
      <c r="N2074" s="19" t="n"/>
    </row>
    <row r="2075">
      <c r="A2075" s="16" t="n"/>
      <c r="B2075" s="19" t="n"/>
      <c r="D2075" s="16" t="n"/>
      <c r="E2075" s="19" t="n"/>
      <c r="G2075" s="16" t="n"/>
      <c r="H2075" s="19" t="n"/>
      <c r="J2075" s="16" t="n"/>
      <c r="K2075" s="19" t="n"/>
      <c r="M2075" s="16" t="n"/>
      <c r="N2075" s="19" t="n"/>
    </row>
    <row r="2076">
      <c r="A2076" s="16" t="n"/>
      <c r="B2076" s="19" t="n"/>
      <c r="D2076" s="16" t="n"/>
      <c r="E2076" s="19" t="n"/>
      <c r="G2076" s="16" t="n"/>
      <c r="H2076" s="19" t="n"/>
      <c r="J2076" s="16" t="n"/>
      <c r="K2076" s="19" t="n"/>
      <c r="M2076" s="16" t="n"/>
      <c r="N2076" s="19" t="n"/>
    </row>
    <row r="2077">
      <c r="A2077" s="16" t="n"/>
      <c r="B2077" s="19" t="n"/>
      <c r="D2077" s="16" t="n"/>
      <c r="E2077" s="19" t="n"/>
      <c r="G2077" s="16" t="n"/>
      <c r="H2077" s="19" t="n"/>
      <c r="J2077" s="16" t="n"/>
      <c r="K2077" s="19" t="n"/>
      <c r="M2077" s="16" t="n"/>
      <c r="N2077" s="19" t="n"/>
    </row>
    <row r="2078">
      <c r="A2078" s="16" t="n"/>
      <c r="B2078" s="19" t="n"/>
      <c r="D2078" s="16" t="n"/>
      <c r="E2078" s="19" t="n"/>
      <c r="G2078" s="16" t="n"/>
      <c r="H2078" s="19" t="n"/>
      <c r="J2078" s="16" t="n"/>
      <c r="K2078" s="19" t="n"/>
      <c r="M2078" s="16" t="n"/>
      <c r="N2078" s="19" t="n"/>
    </row>
    <row r="2079">
      <c r="A2079" s="16" t="n"/>
      <c r="B2079" s="19" t="n"/>
      <c r="D2079" s="16" t="n"/>
      <c r="E2079" s="19" t="n"/>
      <c r="G2079" s="16" t="n"/>
      <c r="H2079" s="19" t="n"/>
      <c r="J2079" s="16" t="n"/>
      <c r="K2079" s="19" t="n"/>
      <c r="M2079" s="16" t="n"/>
      <c r="N2079" s="19" t="n"/>
    </row>
    <row r="2080">
      <c r="A2080" s="16" t="n"/>
      <c r="B2080" s="19" t="n"/>
      <c r="D2080" s="16" t="n"/>
      <c r="E2080" s="19" t="n"/>
      <c r="G2080" s="16" t="n"/>
      <c r="H2080" s="19" t="n"/>
      <c r="J2080" s="16" t="n"/>
      <c r="K2080" s="19" t="n"/>
      <c r="M2080" s="16" t="n"/>
      <c r="N2080" s="19" t="n"/>
    </row>
    <row r="2081">
      <c r="A2081" s="16" t="n"/>
      <c r="B2081" s="19" t="n"/>
      <c r="D2081" s="16" t="n"/>
      <c r="E2081" s="19" t="n"/>
      <c r="G2081" s="16" t="n"/>
      <c r="H2081" s="19" t="n"/>
      <c r="J2081" s="16" t="n"/>
      <c r="K2081" s="19" t="n"/>
      <c r="M2081" s="16" t="n"/>
      <c r="N2081" s="19" t="n"/>
    </row>
    <row r="2082">
      <c r="A2082" s="16" t="n"/>
      <c r="B2082" s="19" t="n"/>
      <c r="D2082" s="16" t="n"/>
      <c r="E2082" s="19" t="n"/>
      <c r="G2082" s="16" t="n"/>
      <c r="H2082" s="19" t="n"/>
      <c r="J2082" s="16" t="n"/>
      <c r="K2082" s="19" t="n"/>
      <c r="M2082" s="16" t="n"/>
      <c r="N2082" s="19" t="n"/>
    </row>
    <row r="2083">
      <c r="A2083" s="16" t="n"/>
      <c r="B2083" s="19" t="n"/>
      <c r="D2083" s="16" t="n"/>
      <c r="E2083" s="19" t="n"/>
      <c r="G2083" s="16" t="n"/>
      <c r="H2083" s="19" t="n"/>
      <c r="J2083" s="16" t="n"/>
      <c r="K2083" s="19" t="n"/>
      <c r="M2083" s="16" t="n"/>
      <c r="N2083" s="19" t="n"/>
    </row>
    <row r="2084">
      <c r="A2084" s="16" t="n"/>
      <c r="B2084" s="19" t="n"/>
      <c r="D2084" s="16" t="n"/>
      <c r="E2084" s="19" t="n"/>
      <c r="G2084" s="16" t="n"/>
      <c r="H2084" s="19" t="n"/>
      <c r="J2084" s="16" t="n"/>
      <c r="K2084" s="19" t="n"/>
      <c r="M2084" s="16" t="n"/>
      <c r="N2084" s="19" t="n"/>
    </row>
    <row r="2085">
      <c r="A2085" s="16" t="n"/>
      <c r="B2085" s="19" t="n"/>
      <c r="D2085" s="16" t="n"/>
      <c r="E2085" s="19" t="n"/>
      <c r="G2085" s="16" t="n"/>
      <c r="H2085" s="19" t="n"/>
      <c r="J2085" s="16" t="n"/>
      <c r="K2085" s="19" t="n"/>
      <c r="M2085" s="16" t="n"/>
      <c r="N2085" s="19" t="n"/>
    </row>
    <row r="2086">
      <c r="A2086" s="16" t="n"/>
      <c r="B2086" s="19" t="n"/>
      <c r="D2086" s="16" t="n"/>
      <c r="E2086" s="19" t="n"/>
      <c r="G2086" s="16" t="n"/>
      <c r="H2086" s="19" t="n"/>
      <c r="J2086" s="16" t="n"/>
      <c r="K2086" s="19" t="n"/>
      <c r="M2086" s="16" t="n"/>
      <c r="N2086" s="19" t="n"/>
    </row>
    <row r="2087">
      <c r="A2087" s="16" t="n"/>
      <c r="B2087" s="19" t="n"/>
      <c r="D2087" s="16" t="n"/>
      <c r="E2087" s="19" t="n"/>
      <c r="G2087" s="16" t="n"/>
      <c r="H2087" s="19" t="n"/>
      <c r="J2087" s="16" t="n"/>
      <c r="K2087" s="19" t="n"/>
      <c r="M2087" s="16" t="n"/>
      <c r="N2087" s="19" t="n"/>
    </row>
    <row r="2088">
      <c r="A2088" s="16" t="n"/>
      <c r="B2088" s="19" t="n"/>
      <c r="D2088" s="16" t="n"/>
      <c r="E2088" s="19" t="n"/>
      <c r="G2088" s="16" t="n"/>
      <c r="H2088" s="19" t="n"/>
      <c r="J2088" s="16" t="n"/>
      <c r="K2088" s="19" t="n"/>
      <c r="M2088" s="16" t="n"/>
      <c r="N2088" s="19" t="n"/>
    </row>
    <row r="2089">
      <c r="A2089" s="16" t="n"/>
      <c r="B2089" s="19" t="n"/>
      <c r="D2089" s="16" t="n"/>
      <c r="E2089" s="19" t="n"/>
      <c r="G2089" s="16" t="n"/>
      <c r="H2089" s="19" t="n"/>
      <c r="J2089" s="16" t="n"/>
      <c r="K2089" s="19" t="n"/>
      <c r="M2089" s="16" t="n"/>
      <c r="N2089" s="19" t="n"/>
    </row>
    <row r="2090">
      <c r="A2090" s="16" t="n"/>
      <c r="B2090" s="19" t="n"/>
      <c r="D2090" s="16" t="n"/>
      <c r="E2090" s="19" t="n"/>
      <c r="G2090" s="16" t="n"/>
      <c r="H2090" s="19" t="n"/>
      <c r="J2090" s="16" t="n"/>
      <c r="K2090" s="19" t="n"/>
      <c r="M2090" s="16" t="n"/>
      <c r="N2090" s="19" t="n"/>
    </row>
    <row r="2091">
      <c r="A2091" s="16" t="n"/>
      <c r="B2091" s="19" t="n"/>
      <c r="D2091" s="16" t="n"/>
      <c r="E2091" s="19" t="n"/>
      <c r="G2091" s="16" t="n"/>
      <c r="H2091" s="19" t="n"/>
      <c r="J2091" s="16" t="n"/>
      <c r="K2091" s="19" t="n"/>
      <c r="M2091" s="16" t="n"/>
      <c r="N2091" s="19" t="n"/>
    </row>
    <row r="2092">
      <c r="A2092" s="16" t="n"/>
      <c r="B2092" s="19" t="n"/>
      <c r="D2092" s="16" t="n"/>
      <c r="E2092" s="19" t="n"/>
      <c r="G2092" s="16" t="n"/>
      <c r="H2092" s="19" t="n"/>
      <c r="J2092" s="16" t="n"/>
      <c r="K2092" s="19" t="n"/>
      <c r="M2092" s="16" t="n"/>
      <c r="N2092" s="19" t="n"/>
    </row>
    <row r="2093">
      <c r="A2093" s="16" t="n"/>
      <c r="B2093" s="19" t="n"/>
      <c r="D2093" s="16" t="n"/>
      <c r="E2093" s="19" t="n"/>
      <c r="G2093" s="16" t="n"/>
      <c r="H2093" s="19" t="n"/>
      <c r="J2093" s="16" t="n"/>
      <c r="K2093" s="19" t="n"/>
      <c r="M2093" s="16" t="n"/>
      <c r="N2093" s="19" t="n"/>
    </row>
    <row r="2094">
      <c r="A2094" s="16" t="n"/>
      <c r="B2094" s="19" t="n"/>
      <c r="D2094" s="16" t="n"/>
      <c r="E2094" s="19" t="n"/>
      <c r="G2094" s="16" t="n"/>
      <c r="H2094" s="19" t="n"/>
      <c r="J2094" s="16" t="n"/>
      <c r="K2094" s="19" t="n"/>
      <c r="M2094" s="16" t="n"/>
      <c r="N2094" s="19" t="n"/>
    </row>
    <row r="2095">
      <c r="A2095" s="16" t="n"/>
      <c r="B2095" s="19" t="n"/>
      <c r="D2095" s="16" t="n"/>
      <c r="E2095" s="19" t="n"/>
      <c r="G2095" s="16" t="n"/>
      <c r="H2095" s="19" t="n"/>
      <c r="J2095" s="16" t="n"/>
      <c r="K2095" s="19" t="n"/>
      <c r="M2095" s="16" t="n"/>
      <c r="N2095" s="19" t="n"/>
    </row>
    <row r="2096">
      <c r="A2096" s="16" t="n"/>
      <c r="B2096" s="19" t="n"/>
      <c r="D2096" s="16" t="n"/>
      <c r="E2096" s="19" t="n"/>
      <c r="G2096" s="16" t="n"/>
      <c r="H2096" s="19" t="n"/>
      <c r="J2096" s="16" t="n"/>
      <c r="K2096" s="19" t="n"/>
      <c r="M2096" s="16" t="n"/>
      <c r="N2096" s="19" t="n"/>
    </row>
    <row r="2097">
      <c r="A2097" s="16" t="n"/>
      <c r="B2097" s="19" t="n"/>
      <c r="D2097" s="16" t="n"/>
      <c r="E2097" s="19" t="n"/>
      <c r="G2097" s="16" t="n"/>
      <c r="H2097" s="19" t="n"/>
      <c r="J2097" s="16" t="n"/>
      <c r="K2097" s="19" t="n"/>
      <c r="M2097" s="16" t="n"/>
      <c r="N2097" s="19" t="n"/>
    </row>
    <row r="2098">
      <c r="A2098" s="16" t="n"/>
      <c r="B2098" s="19" t="n"/>
      <c r="D2098" s="16" t="n"/>
      <c r="E2098" s="19" t="n"/>
      <c r="G2098" s="16" t="n"/>
      <c r="H2098" s="19" t="n"/>
      <c r="J2098" s="16" t="n"/>
      <c r="K2098" s="19" t="n"/>
      <c r="M2098" s="16" t="n"/>
      <c r="N2098" s="19" t="n"/>
    </row>
    <row r="2099">
      <c r="A2099" s="16" t="n"/>
      <c r="B2099" s="19" t="n"/>
      <c r="D2099" s="16" t="n"/>
      <c r="E2099" s="19" t="n"/>
      <c r="G2099" s="16" t="n"/>
      <c r="H2099" s="19" t="n"/>
      <c r="J2099" s="16" t="n"/>
      <c r="K2099" s="19" t="n"/>
      <c r="M2099" s="16" t="n"/>
      <c r="N2099" s="19" t="n"/>
    </row>
    <row r="2100">
      <c r="A2100" s="16" t="n"/>
      <c r="B2100" s="19" t="n"/>
      <c r="D2100" s="16" t="n"/>
      <c r="E2100" s="19" t="n"/>
      <c r="G2100" s="16" t="n"/>
      <c r="H2100" s="19" t="n"/>
      <c r="J2100" s="16" t="n"/>
      <c r="K2100" s="19" t="n"/>
      <c r="M2100" s="16" t="n"/>
      <c r="N2100" s="19" t="n"/>
    </row>
    <row r="2101">
      <c r="A2101" s="16" t="n"/>
      <c r="B2101" s="19" t="n"/>
      <c r="D2101" s="16" t="n"/>
      <c r="E2101" s="19" t="n"/>
      <c r="G2101" s="16" t="n"/>
      <c r="H2101" s="19" t="n"/>
      <c r="J2101" s="16" t="n"/>
      <c r="K2101" s="19" t="n"/>
      <c r="M2101" s="16" t="n"/>
      <c r="N2101" s="19" t="n"/>
    </row>
    <row r="2102">
      <c r="A2102" s="16" t="n"/>
      <c r="B2102" s="19" t="n"/>
      <c r="D2102" s="16" t="n"/>
      <c r="E2102" s="19" t="n"/>
      <c r="G2102" s="16" t="n"/>
      <c r="H2102" s="19" t="n"/>
      <c r="J2102" s="16" t="n"/>
      <c r="K2102" s="19" t="n"/>
      <c r="M2102" s="16" t="n"/>
      <c r="N2102" s="19" t="n"/>
    </row>
    <row r="2103">
      <c r="A2103" s="16" t="n"/>
      <c r="B2103" s="19" t="n"/>
      <c r="D2103" s="16" t="n"/>
      <c r="E2103" s="19" t="n"/>
      <c r="G2103" s="16" t="n"/>
      <c r="H2103" s="19" t="n"/>
      <c r="J2103" s="16" t="n"/>
      <c r="K2103" s="19" t="n"/>
      <c r="M2103" s="16" t="n"/>
      <c r="N2103" s="19" t="n"/>
    </row>
    <row r="2104">
      <c r="A2104" s="16" t="n"/>
      <c r="B2104" s="19" t="n"/>
      <c r="D2104" s="16" t="n"/>
      <c r="E2104" s="19" t="n"/>
      <c r="G2104" s="16" t="n"/>
      <c r="H2104" s="19" t="n"/>
      <c r="J2104" s="16" t="n"/>
      <c r="K2104" s="19" t="n"/>
      <c r="M2104" s="16" t="n"/>
      <c r="N2104" s="19" t="n"/>
    </row>
    <row r="2105">
      <c r="A2105" s="16" t="n"/>
      <c r="B2105" s="19" t="n"/>
      <c r="D2105" s="16" t="n"/>
      <c r="E2105" s="19" t="n"/>
      <c r="G2105" s="16" t="n"/>
      <c r="H2105" s="19" t="n"/>
      <c r="J2105" s="16" t="n"/>
      <c r="K2105" s="19" t="n"/>
      <c r="M2105" s="16" t="n"/>
      <c r="N2105" s="19" t="n"/>
    </row>
    <row r="2106">
      <c r="A2106" s="16" t="n"/>
      <c r="B2106" s="19" t="n"/>
      <c r="D2106" s="16" t="n"/>
      <c r="E2106" s="19" t="n"/>
      <c r="G2106" s="16" t="n"/>
      <c r="H2106" s="19" t="n"/>
      <c r="J2106" s="16" t="n"/>
      <c r="K2106" s="19" t="n"/>
      <c r="M2106" s="16" t="n"/>
      <c r="N2106" s="19" t="n"/>
    </row>
    <row r="2107">
      <c r="A2107" s="16" t="n"/>
      <c r="B2107" s="19" t="n"/>
      <c r="D2107" s="16" t="n"/>
      <c r="E2107" s="19" t="n"/>
      <c r="G2107" s="16" t="n"/>
      <c r="H2107" s="19" t="n"/>
      <c r="J2107" s="16" t="n"/>
      <c r="K2107" s="19" t="n"/>
      <c r="M2107" s="16" t="n"/>
      <c r="N2107" s="19" t="n"/>
    </row>
    <row r="2108">
      <c r="A2108" s="16" t="n"/>
      <c r="B2108" s="19" t="n"/>
      <c r="D2108" s="16" t="n"/>
      <c r="E2108" s="19" t="n"/>
      <c r="G2108" s="16" t="n"/>
      <c r="H2108" s="19" t="n"/>
      <c r="J2108" s="16" t="n"/>
      <c r="K2108" s="19" t="n"/>
      <c r="M2108" s="16" t="n"/>
      <c r="N2108" s="19" t="n"/>
    </row>
    <row r="2109">
      <c r="A2109" s="16" t="n"/>
      <c r="B2109" s="19" t="n"/>
      <c r="D2109" s="16" t="n"/>
      <c r="E2109" s="19" t="n"/>
      <c r="G2109" s="16" t="n"/>
      <c r="H2109" s="19" t="n"/>
      <c r="J2109" s="16" t="n"/>
      <c r="K2109" s="19" t="n"/>
      <c r="M2109" s="16" t="n"/>
      <c r="N2109" s="19" t="n"/>
    </row>
    <row r="2110">
      <c r="A2110" s="16" t="n"/>
      <c r="B2110" s="19" t="n"/>
      <c r="D2110" s="16" t="n"/>
      <c r="E2110" s="19" t="n"/>
      <c r="G2110" s="16" t="n"/>
      <c r="H2110" s="19" t="n"/>
      <c r="J2110" s="16" t="n"/>
      <c r="K2110" s="19" t="n"/>
      <c r="M2110" s="16" t="n"/>
      <c r="N2110" s="19" t="n"/>
    </row>
    <row r="2111">
      <c r="A2111" s="16" t="n"/>
      <c r="B2111" s="19" t="n"/>
      <c r="D2111" s="16" t="n"/>
      <c r="E2111" s="19" t="n"/>
      <c r="G2111" s="16" t="n"/>
      <c r="H2111" s="19" t="n"/>
      <c r="J2111" s="16" t="n"/>
      <c r="K2111" s="19" t="n"/>
      <c r="M2111" s="16" t="n"/>
      <c r="N2111" s="19" t="n"/>
    </row>
    <row r="2112">
      <c r="A2112" s="16" t="n"/>
      <c r="B2112" s="19" t="n"/>
      <c r="D2112" s="16" t="n"/>
      <c r="E2112" s="19" t="n"/>
      <c r="G2112" s="16" t="n"/>
      <c r="H2112" s="19" t="n"/>
      <c r="J2112" s="16" t="n"/>
      <c r="K2112" s="19" t="n"/>
      <c r="M2112" s="16" t="n"/>
      <c r="N2112" s="19" t="n"/>
    </row>
    <row r="2113">
      <c r="A2113" s="16" t="n"/>
      <c r="B2113" s="19" t="n"/>
      <c r="D2113" s="16" t="n"/>
      <c r="E2113" s="19" t="n"/>
      <c r="G2113" s="16" t="n"/>
      <c r="H2113" s="19" t="n"/>
      <c r="J2113" s="16" t="n"/>
      <c r="K2113" s="19" t="n"/>
      <c r="M2113" s="16" t="n"/>
      <c r="N2113" s="19" t="n"/>
    </row>
    <row r="2114">
      <c r="A2114" s="16" t="n"/>
      <c r="B2114" s="19" t="n"/>
      <c r="D2114" s="16" t="n"/>
      <c r="E2114" s="19" t="n"/>
      <c r="G2114" s="16" t="n"/>
      <c r="H2114" s="19" t="n"/>
      <c r="J2114" s="16" t="n"/>
      <c r="K2114" s="19" t="n"/>
      <c r="M2114" s="16" t="n"/>
      <c r="N2114" s="19" t="n"/>
    </row>
    <row r="2115">
      <c r="A2115" s="16" t="n"/>
      <c r="B2115" s="19" t="n"/>
      <c r="D2115" s="16" t="n"/>
      <c r="E2115" s="19" t="n"/>
      <c r="G2115" s="16" t="n"/>
      <c r="H2115" s="19" t="n"/>
      <c r="J2115" s="16" t="n"/>
      <c r="K2115" s="19" t="n"/>
      <c r="M2115" s="16" t="n"/>
      <c r="N2115" s="19" t="n"/>
    </row>
    <row r="2116">
      <c r="A2116" s="16" t="n"/>
      <c r="B2116" s="19" t="n"/>
      <c r="D2116" s="16" t="n"/>
      <c r="E2116" s="19" t="n"/>
      <c r="G2116" s="16" t="n"/>
      <c r="H2116" s="19" t="n"/>
      <c r="J2116" s="16" t="n"/>
      <c r="K2116" s="19" t="n"/>
      <c r="M2116" s="16" t="n"/>
      <c r="N2116" s="19" t="n"/>
    </row>
    <row r="2117">
      <c r="A2117" s="16" t="n"/>
      <c r="B2117" s="19" t="n"/>
      <c r="D2117" s="16" t="n"/>
      <c r="E2117" s="19" t="n"/>
      <c r="G2117" s="16" t="n"/>
      <c r="H2117" s="19" t="n"/>
      <c r="J2117" s="16" t="n"/>
      <c r="K2117" s="19" t="n"/>
      <c r="M2117" s="16" t="n"/>
      <c r="N2117" s="19" t="n"/>
    </row>
    <row r="2118">
      <c r="A2118" s="16" t="n"/>
      <c r="B2118" s="19" t="n"/>
      <c r="D2118" s="16" t="n"/>
      <c r="E2118" s="19" t="n"/>
      <c r="G2118" s="16" t="n"/>
      <c r="H2118" s="19" t="n"/>
      <c r="J2118" s="16" t="n"/>
      <c r="K2118" s="19" t="n"/>
      <c r="M2118" s="16" t="n"/>
      <c r="N2118" s="19" t="n"/>
    </row>
    <row r="2119">
      <c r="A2119" s="16" t="n"/>
      <c r="B2119" s="19" t="n"/>
      <c r="D2119" s="16" t="n"/>
      <c r="E2119" s="19" t="n"/>
      <c r="G2119" s="16" t="n"/>
      <c r="H2119" s="19" t="n"/>
      <c r="J2119" s="16" t="n"/>
      <c r="K2119" s="19" t="n"/>
      <c r="M2119" s="16" t="n"/>
      <c r="N2119" s="19" t="n"/>
    </row>
    <row r="2120">
      <c r="A2120" s="16" t="n"/>
      <c r="B2120" s="19" t="n"/>
      <c r="D2120" s="16" t="n"/>
      <c r="E2120" s="19" t="n"/>
      <c r="G2120" s="16" t="n"/>
      <c r="H2120" s="19" t="n"/>
      <c r="J2120" s="16" t="n"/>
      <c r="K2120" s="19" t="n"/>
      <c r="M2120" s="16" t="n"/>
      <c r="N2120" s="19" t="n"/>
    </row>
    <row r="2121">
      <c r="A2121" s="16" t="n"/>
      <c r="B2121" s="19" t="n"/>
      <c r="D2121" s="16" t="n"/>
      <c r="E2121" s="19" t="n"/>
      <c r="G2121" s="16" t="n"/>
      <c r="H2121" s="19" t="n"/>
      <c r="J2121" s="16" t="n"/>
      <c r="K2121" s="19" t="n"/>
      <c r="M2121" s="16" t="n"/>
      <c r="N2121" s="19" t="n"/>
    </row>
    <row r="2122">
      <c r="A2122" s="16" t="n"/>
      <c r="B2122" s="19" t="n"/>
      <c r="D2122" s="16" t="n"/>
      <c r="E2122" s="19" t="n"/>
      <c r="G2122" s="16" t="n"/>
      <c r="H2122" s="19" t="n"/>
      <c r="J2122" s="16" t="n"/>
      <c r="K2122" s="19" t="n"/>
      <c r="M2122" s="16" t="n"/>
      <c r="N2122" s="19" t="n"/>
    </row>
    <row r="2123">
      <c r="A2123" s="16" t="n"/>
      <c r="B2123" s="19" t="n"/>
      <c r="D2123" s="16" t="n"/>
      <c r="E2123" s="19" t="n"/>
      <c r="G2123" s="16" t="n"/>
      <c r="H2123" s="19" t="n"/>
      <c r="J2123" s="16" t="n"/>
      <c r="K2123" s="19" t="n"/>
      <c r="M2123" s="16" t="n"/>
      <c r="N2123" s="19" t="n"/>
    </row>
    <row r="2124">
      <c r="A2124" s="16" t="n"/>
      <c r="B2124" s="19" t="n"/>
      <c r="D2124" s="16" t="n"/>
      <c r="E2124" s="19" t="n"/>
      <c r="G2124" s="16" t="n"/>
      <c r="H2124" s="19" t="n"/>
      <c r="J2124" s="16" t="n"/>
      <c r="K2124" s="19" t="n"/>
      <c r="M2124" s="16" t="n"/>
      <c r="N2124" s="19" t="n"/>
    </row>
    <row r="2125">
      <c r="A2125" s="16" t="n"/>
      <c r="B2125" s="19" t="n"/>
      <c r="D2125" s="16" t="n"/>
      <c r="E2125" s="19" t="n"/>
      <c r="G2125" s="16" t="n"/>
      <c r="H2125" s="19" t="n"/>
      <c r="J2125" s="16" t="n"/>
      <c r="K2125" s="19" t="n"/>
      <c r="M2125" s="16" t="n"/>
      <c r="N2125" s="19" t="n"/>
    </row>
    <row r="2126">
      <c r="A2126" s="16" t="n"/>
      <c r="B2126" s="19" t="n"/>
      <c r="D2126" s="16" t="n"/>
      <c r="E2126" s="19" t="n"/>
      <c r="G2126" s="16" t="n"/>
      <c r="H2126" s="19" t="n"/>
      <c r="J2126" s="16" t="n"/>
      <c r="K2126" s="19" t="n"/>
      <c r="M2126" s="16" t="n"/>
      <c r="N2126" s="19" t="n"/>
    </row>
    <row r="2127">
      <c r="A2127" s="16" t="n"/>
      <c r="B2127" s="19" t="n"/>
      <c r="D2127" s="16" t="n"/>
      <c r="E2127" s="19" t="n"/>
      <c r="G2127" s="16" t="n"/>
      <c r="H2127" s="19" t="n"/>
      <c r="J2127" s="16" t="n"/>
      <c r="K2127" s="19" t="n"/>
      <c r="M2127" s="16" t="n"/>
      <c r="N2127" s="19" t="n"/>
    </row>
    <row r="2128">
      <c r="A2128" s="16" t="n"/>
      <c r="B2128" s="19" t="n"/>
      <c r="D2128" s="16" t="n"/>
      <c r="E2128" s="19" t="n"/>
      <c r="G2128" s="16" t="n"/>
      <c r="H2128" s="19" t="n"/>
      <c r="J2128" s="16" t="n"/>
      <c r="K2128" s="19" t="n"/>
      <c r="M2128" s="16" t="n"/>
      <c r="N2128" s="19" t="n"/>
    </row>
    <row r="2129">
      <c r="A2129" s="16" t="n"/>
      <c r="B2129" s="19" t="n"/>
      <c r="D2129" s="16" t="n"/>
      <c r="E2129" s="19" t="n"/>
      <c r="G2129" s="16" t="n"/>
      <c r="H2129" s="19" t="n"/>
      <c r="J2129" s="16" t="n"/>
      <c r="K2129" s="19" t="n"/>
      <c r="M2129" s="16" t="n"/>
      <c r="N2129" s="19" t="n"/>
    </row>
    <row r="2130">
      <c r="A2130" s="16" t="n"/>
      <c r="B2130" s="19" t="n"/>
      <c r="D2130" s="16" t="n"/>
      <c r="E2130" s="19" t="n"/>
      <c r="G2130" s="16" t="n"/>
      <c r="H2130" s="19" t="n"/>
      <c r="J2130" s="16" t="n"/>
      <c r="K2130" s="19" t="n"/>
      <c r="M2130" s="16" t="n"/>
      <c r="N2130" s="19" t="n"/>
    </row>
    <row r="2131">
      <c r="A2131" s="16" t="n"/>
      <c r="B2131" s="19" t="n"/>
      <c r="D2131" s="16" t="n"/>
      <c r="E2131" s="19" t="n"/>
      <c r="G2131" s="16" t="n"/>
      <c r="H2131" s="19" t="n"/>
      <c r="J2131" s="16" t="n"/>
      <c r="K2131" s="19" t="n"/>
      <c r="M2131" s="16" t="n"/>
      <c r="N2131" s="19" t="n"/>
    </row>
    <row r="2132">
      <c r="A2132" s="16" t="n"/>
      <c r="B2132" s="19" t="n"/>
      <c r="D2132" s="16" t="n"/>
      <c r="E2132" s="19" t="n"/>
      <c r="G2132" s="16" t="n"/>
      <c r="H2132" s="19" t="n"/>
      <c r="J2132" s="16" t="n"/>
      <c r="K2132" s="19" t="n"/>
      <c r="M2132" s="16" t="n"/>
      <c r="N2132" s="19" t="n"/>
    </row>
    <row r="2133">
      <c r="A2133" s="16" t="n"/>
      <c r="B2133" s="19" t="n"/>
      <c r="D2133" s="16" t="n"/>
      <c r="E2133" s="19" t="n"/>
      <c r="G2133" s="16" t="n"/>
      <c r="H2133" s="19" t="n"/>
      <c r="J2133" s="16" t="n"/>
      <c r="K2133" s="19" t="n"/>
      <c r="M2133" s="16" t="n"/>
      <c r="N2133" s="19" t="n"/>
    </row>
    <row r="2134">
      <c r="A2134" s="16" t="n"/>
      <c r="B2134" s="19" t="n"/>
      <c r="D2134" s="16" t="n"/>
      <c r="E2134" s="19" t="n"/>
      <c r="G2134" s="16" t="n"/>
      <c r="H2134" s="19" t="n"/>
      <c r="J2134" s="16" t="n"/>
      <c r="K2134" s="19" t="n"/>
      <c r="M2134" s="16" t="n"/>
      <c r="N2134" s="19" t="n"/>
    </row>
    <row r="2135">
      <c r="A2135" s="16" t="n"/>
      <c r="B2135" s="19" t="n"/>
      <c r="D2135" s="16" t="n"/>
      <c r="E2135" s="19" t="n"/>
      <c r="G2135" s="16" t="n"/>
      <c r="H2135" s="19" t="n"/>
      <c r="J2135" s="16" t="n"/>
      <c r="K2135" s="19" t="n"/>
      <c r="M2135" s="16" t="n"/>
      <c r="N2135" s="19" t="n"/>
    </row>
    <row r="2136">
      <c r="A2136" s="16" t="n"/>
      <c r="B2136" s="19" t="n"/>
      <c r="D2136" s="16" t="n"/>
      <c r="E2136" s="19" t="n"/>
      <c r="G2136" s="16" t="n"/>
      <c r="H2136" s="19" t="n"/>
      <c r="J2136" s="16" t="n"/>
      <c r="K2136" s="19" t="n"/>
      <c r="M2136" s="16" t="n"/>
      <c r="N2136" s="19" t="n"/>
    </row>
    <row r="2137">
      <c r="A2137" s="16" t="n"/>
      <c r="B2137" s="19" t="n"/>
      <c r="D2137" s="16" t="n"/>
      <c r="E2137" s="19" t="n"/>
      <c r="G2137" s="16" t="n"/>
      <c r="H2137" s="19" t="n"/>
      <c r="J2137" s="16" t="n"/>
      <c r="K2137" s="19" t="n"/>
      <c r="M2137" s="16" t="n"/>
      <c r="N2137" s="19" t="n"/>
    </row>
    <row r="2138">
      <c r="A2138" s="16" t="n"/>
      <c r="B2138" s="19" t="n"/>
      <c r="D2138" s="16" t="n"/>
      <c r="E2138" s="19" t="n"/>
      <c r="G2138" s="16" t="n"/>
      <c r="H2138" s="19" t="n"/>
      <c r="J2138" s="16" t="n"/>
      <c r="K2138" s="19" t="n"/>
      <c r="M2138" s="16" t="n"/>
      <c r="N2138" s="19" t="n"/>
    </row>
    <row r="2139">
      <c r="A2139" s="16" t="n"/>
      <c r="B2139" s="19" t="n"/>
      <c r="D2139" s="16" t="n"/>
      <c r="E2139" s="19" t="n"/>
      <c r="G2139" s="16" t="n"/>
      <c r="H2139" s="19" t="n"/>
      <c r="J2139" s="16" t="n"/>
      <c r="K2139" s="19" t="n"/>
      <c r="M2139" s="16" t="n"/>
      <c r="N2139" s="19" t="n"/>
    </row>
    <row r="2140">
      <c r="A2140" s="16" t="n"/>
      <c r="B2140" s="19" t="n"/>
      <c r="D2140" s="16" t="n"/>
      <c r="E2140" s="19" t="n"/>
      <c r="G2140" s="16" t="n"/>
      <c r="H2140" s="19" t="n"/>
      <c r="J2140" s="16" t="n"/>
      <c r="K2140" s="19" t="n"/>
      <c r="M2140" s="16" t="n"/>
      <c r="N2140" s="19" t="n"/>
    </row>
    <row r="2141">
      <c r="A2141" s="16" t="n"/>
      <c r="B2141" s="19" t="n"/>
      <c r="D2141" s="16" t="n"/>
      <c r="E2141" s="19" t="n"/>
      <c r="G2141" s="16" t="n"/>
      <c r="H2141" s="19" t="n"/>
      <c r="J2141" s="16" t="n"/>
      <c r="K2141" s="19" t="n"/>
      <c r="M2141" s="16" t="n"/>
      <c r="N2141" s="19" t="n"/>
    </row>
    <row r="2142">
      <c r="A2142" s="16" t="n"/>
      <c r="B2142" s="19" t="n"/>
      <c r="D2142" s="16" t="n"/>
      <c r="E2142" s="19" t="n"/>
      <c r="G2142" s="16" t="n"/>
      <c r="H2142" s="19" t="n"/>
      <c r="J2142" s="16" t="n"/>
      <c r="K2142" s="19" t="n"/>
      <c r="M2142" s="16" t="n"/>
      <c r="N2142" s="19" t="n"/>
    </row>
    <row r="2143">
      <c r="A2143" s="16" t="n"/>
      <c r="B2143" s="19" t="n"/>
      <c r="D2143" s="16" t="n"/>
      <c r="E2143" s="19" t="n"/>
      <c r="G2143" s="16" t="n"/>
      <c r="H2143" s="19" t="n"/>
      <c r="J2143" s="16" t="n"/>
      <c r="K2143" s="19" t="n"/>
      <c r="M2143" s="16" t="n"/>
      <c r="N2143" s="19" t="n"/>
    </row>
    <row r="2144">
      <c r="A2144" s="16" t="n"/>
      <c r="B2144" s="19" t="n"/>
      <c r="D2144" s="16" t="n"/>
      <c r="E2144" s="19" t="n"/>
      <c r="G2144" s="16" t="n"/>
      <c r="H2144" s="19" t="n"/>
      <c r="J2144" s="16" t="n"/>
      <c r="K2144" s="19" t="n"/>
      <c r="M2144" s="16" t="n"/>
      <c r="N2144" s="19" t="n"/>
    </row>
    <row r="2145">
      <c r="A2145" s="16" t="n"/>
      <c r="B2145" s="19" t="n"/>
      <c r="D2145" s="16" t="n"/>
      <c r="E2145" s="19" t="n"/>
      <c r="G2145" s="16" t="n"/>
      <c r="H2145" s="19" t="n"/>
      <c r="J2145" s="16" t="n"/>
      <c r="K2145" s="19" t="n"/>
      <c r="M2145" s="16" t="n"/>
      <c r="N2145" s="19" t="n"/>
    </row>
    <row r="2146">
      <c r="A2146" s="16" t="n"/>
      <c r="B2146" s="19" t="n"/>
      <c r="D2146" s="16" t="n"/>
      <c r="E2146" s="19" t="n"/>
      <c r="G2146" s="16" t="n"/>
      <c r="H2146" s="19" t="n"/>
      <c r="J2146" s="16" t="n"/>
      <c r="K2146" s="19" t="n"/>
      <c r="M2146" s="16" t="n"/>
      <c r="N2146" s="19" t="n"/>
    </row>
    <row r="2147">
      <c r="A2147" s="16" t="n"/>
      <c r="B2147" s="19" t="n"/>
      <c r="D2147" s="16" t="n"/>
      <c r="E2147" s="19" t="n"/>
      <c r="G2147" s="16" t="n"/>
      <c r="H2147" s="19" t="n"/>
      <c r="J2147" s="16" t="n"/>
      <c r="K2147" s="19" t="n"/>
      <c r="M2147" s="16" t="n"/>
      <c r="N2147" s="19" t="n"/>
    </row>
    <row r="2148">
      <c r="A2148" s="16" t="n"/>
      <c r="B2148" s="19" t="n"/>
      <c r="D2148" s="16" t="n"/>
      <c r="E2148" s="19" t="n"/>
      <c r="G2148" s="16" t="n"/>
      <c r="H2148" s="19" t="n"/>
      <c r="J2148" s="16" t="n"/>
      <c r="K2148" s="19" t="n"/>
      <c r="M2148" s="16" t="n"/>
      <c r="N2148" s="19" t="n"/>
    </row>
    <row r="2149">
      <c r="A2149" s="16" t="n"/>
      <c r="B2149" s="19" t="n"/>
      <c r="D2149" s="16" t="n"/>
      <c r="E2149" s="19" t="n"/>
      <c r="G2149" s="16" t="n"/>
      <c r="H2149" s="19" t="n"/>
      <c r="J2149" s="16" t="n"/>
      <c r="K2149" s="19" t="n"/>
      <c r="M2149" s="16" t="n"/>
      <c r="N2149" s="19" t="n"/>
    </row>
    <row r="2150">
      <c r="A2150" s="16" t="n"/>
      <c r="B2150" s="19" t="n"/>
      <c r="D2150" s="16" t="n"/>
      <c r="E2150" s="19" t="n"/>
      <c r="G2150" s="16" t="n"/>
      <c r="H2150" s="19" t="n"/>
      <c r="J2150" s="16" t="n"/>
      <c r="K2150" s="19" t="n"/>
      <c r="M2150" s="16" t="n"/>
      <c r="N2150" s="19" t="n"/>
    </row>
    <row r="2151">
      <c r="A2151" s="16" t="n"/>
      <c r="B2151" s="19" t="n"/>
      <c r="D2151" s="16" t="n"/>
      <c r="E2151" s="19" t="n"/>
      <c r="G2151" s="16" t="n"/>
      <c r="H2151" s="19" t="n"/>
      <c r="J2151" s="16" t="n"/>
      <c r="K2151" s="19" t="n"/>
      <c r="M2151" s="16" t="n"/>
      <c r="N2151" s="19" t="n"/>
    </row>
    <row r="2152">
      <c r="A2152" s="16" t="n"/>
      <c r="B2152" s="19" t="n"/>
      <c r="D2152" s="16" t="n"/>
      <c r="E2152" s="19" t="n"/>
      <c r="G2152" s="16" t="n"/>
      <c r="H2152" s="19" t="n"/>
      <c r="J2152" s="16" t="n"/>
      <c r="K2152" s="19" t="n"/>
      <c r="M2152" s="16" t="n"/>
      <c r="N2152" s="19" t="n"/>
    </row>
    <row r="2153">
      <c r="A2153" s="16" t="n"/>
      <c r="B2153" s="19" t="n"/>
      <c r="D2153" s="16" t="n"/>
      <c r="E2153" s="19" t="n"/>
      <c r="G2153" s="16" t="n"/>
      <c r="H2153" s="19" t="n"/>
      <c r="J2153" s="16" t="n"/>
      <c r="K2153" s="19" t="n"/>
      <c r="M2153" s="16" t="n"/>
      <c r="N2153" s="19" t="n"/>
    </row>
    <row r="2154">
      <c r="A2154" s="16" t="n"/>
      <c r="B2154" s="19" t="n"/>
      <c r="D2154" s="16" t="n"/>
      <c r="E2154" s="19" t="n"/>
      <c r="G2154" s="16" t="n"/>
      <c r="H2154" s="19" t="n"/>
      <c r="J2154" s="16" t="n"/>
      <c r="K2154" s="19" t="n"/>
      <c r="M2154" s="16" t="n"/>
      <c r="N2154" s="19" t="n"/>
    </row>
    <row r="2155">
      <c r="A2155" s="16" t="n"/>
      <c r="B2155" s="19" t="n"/>
      <c r="D2155" s="16" t="n"/>
      <c r="E2155" s="19" t="n"/>
      <c r="G2155" s="16" t="n"/>
      <c r="H2155" s="19" t="n"/>
      <c r="J2155" s="16" t="n"/>
      <c r="K2155" s="19" t="n"/>
      <c r="M2155" s="16" t="n"/>
      <c r="N2155" s="19" t="n"/>
    </row>
    <row r="2156">
      <c r="A2156" s="16" t="n"/>
      <c r="B2156" s="19" t="n"/>
      <c r="D2156" s="16" t="n"/>
      <c r="E2156" s="19" t="n"/>
      <c r="G2156" s="16" t="n"/>
      <c r="H2156" s="19" t="n"/>
      <c r="J2156" s="16" t="n"/>
      <c r="K2156" s="19" t="n"/>
      <c r="M2156" s="16" t="n"/>
      <c r="N2156" s="19" t="n"/>
    </row>
    <row r="2157">
      <c r="A2157" s="16" t="n"/>
      <c r="B2157" s="19" t="n"/>
      <c r="D2157" s="16" t="n"/>
      <c r="E2157" s="19" t="n"/>
      <c r="G2157" s="16" t="n"/>
      <c r="H2157" s="19" t="n"/>
      <c r="J2157" s="16" t="n"/>
      <c r="K2157" s="19" t="n"/>
      <c r="M2157" s="16" t="n"/>
      <c r="N2157" s="19" t="n"/>
    </row>
    <row r="2158">
      <c r="A2158" s="16" t="n"/>
      <c r="B2158" s="19" t="n"/>
      <c r="D2158" s="16" t="n"/>
      <c r="E2158" s="19" t="n"/>
      <c r="G2158" s="16" t="n"/>
      <c r="H2158" s="19" t="n"/>
      <c r="J2158" s="16" t="n"/>
      <c r="K2158" s="19" t="n"/>
      <c r="M2158" s="16" t="n"/>
      <c r="N2158" s="19" t="n"/>
    </row>
    <row r="2159">
      <c r="A2159" s="16" t="n"/>
      <c r="B2159" s="19" t="n"/>
      <c r="D2159" s="16" t="n"/>
      <c r="E2159" s="19" t="n"/>
      <c r="G2159" s="16" t="n"/>
      <c r="H2159" s="19" t="n"/>
      <c r="J2159" s="16" t="n"/>
      <c r="K2159" s="19" t="n"/>
      <c r="M2159" s="16" t="n"/>
      <c r="N2159" s="19" t="n"/>
    </row>
    <row r="2160">
      <c r="A2160" s="16" t="n"/>
      <c r="B2160" s="19" t="n"/>
      <c r="D2160" s="16" t="n"/>
      <c r="E2160" s="19" t="n"/>
      <c r="G2160" s="16" t="n"/>
      <c r="H2160" s="19" t="n"/>
      <c r="J2160" s="16" t="n"/>
      <c r="K2160" s="19" t="n"/>
      <c r="M2160" s="16" t="n"/>
      <c r="N2160" s="19" t="n"/>
    </row>
    <row r="2161">
      <c r="A2161" s="16" t="n"/>
      <c r="B2161" s="19" t="n"/>
      <c r="D2161" s="16" t="n"/>
      <c r="E2161" s="19" t="n"/>
      <c r="G2161" s="16" t="n"/>
      <c r="H2161" s="19" t="n"/>
      <c r="J2161" s="16" t="n"/>
      <c r="K2161" s="19" t="n"/>
      <c r="M2161" s="16" t="n"/>
      <c r="N2161" s="19" t="n"/>
    </row>
    <row r="2162">
      <c r="A2162" s="16" t="n"/>
      <c r="B2162" s="19" t="n"/>
      <c r="D2162" s="16" t="n"/>
      <c r="E2162" s="19" t="n"/>
      <c r="G2162" s="16" t="n"/>
      <c r="H2162" s="19" t="n"/>
      <c r="J2162" s="16" t="n"/>
      <c r="K2162" s="19" t="n"/>
      <c r="M2162" s="16" t="n"/>
      <c r="N2162" s="19" t="n"/>
    </row>
    <row r="2163">
      <c r="A2163" s="16" t="n"/>
      <c r="B2163" s="19" t="n"/>
      <c r="D2163" s="16" t="n"/>
      <c r="E2163" s="19" t="n"/>
      <c r="G2163" s="16" t="n"/>
      <c r="H2163" s="19" t="n"/>
      <c r="J2163" s="16" t="n"/>
      <c r="K2163" s="19" t="n"/>
      <c r="M2163" s="16" t="n"/>
      <c r="N2163" s="19" t="n"/>
    </row>
    <row r="2164">
      <c r="A2164" s="16" t="n"/>
      <c r="B2164" s="19" t="n"/>
      <c r="D2164" s="16" t="n"/>
      <c r="E2164" s="19" t="n"/>
      <c r="G2164" s="16" t="n"/>
      <c r="H2164" s="19" t="n"/>
      <c r="J2164" s="16" t="n"/>
      <c r="K2164" s="19" t="n"/>
      <c r="M2164" s="16" t="n"/>
      <c r="N2164" s="19" t="n"/>
    </row>
    <row r="2165">
      <c r="A2165" s="16" t="n"/>
      <c r="B2165" s="19" t="n"/>
      <c r="D2165" s="16" t="n"/>
      <c r="E2165" s="19" t="n"/>
      <c r="G2165" s="16" t="n"/>
      <c r="H2165" s="19" t="n"/>
      <c r="J2165" s="16" t="n"/>
      <c r="K2165" s="19" t="n"/>
      <c r="M2165" s="16" t="n"/>
      <c r="N2165" s="19" t="n"/>
    </row>
    <row r="2166">
      <c r="A2166" s="16" t="n"/>
      <c r="B2166" s="19" t="n"/>
      <c r="D2166" s="16" t="n"/>
      <c r="E2166" s="19" t="n"/>
      <c r="G2166" s="16" t="n"/>
      <c r="H2166" s="19" t="n"/>
      <c r="J2166" s="16" t="n"/>
      <c r="K2166" s="19" t="n"/>
      <c r="M2166" s="16" t="n"/>
      <c r="N2166" s="19" t="n"/>
    </row>
    <row r="2167">
      <c r="A2167" s="16" t="n"/>
      <c r="B2167" s="19" t="n"/>
      <c r="D2167" s="16" t="n"/>
      <c r="E2167" s="19" t="n"/>
      <c r="G2167" s="16" t="n"/>
      <c r="H2167" s="19" t="n"/>
      <c r="J2167" s="16" t="n"/>
      <c r="K2167" s="19" t="n"/>
      <c r="M2167" s="16" t="n"/>
      <c r="N2167" s="19" t="n"/>
    </row>
    <row r="2168">
      <c r="A2168" s="16" t="n"/>
      <c r="B2168" s="19" t="n"/>
      <c r="D2168" s="16" t="n"/>
      <c r="E2168" s="19" t="n"/>
      <c r="G2168" s="16" t="n"/>
      <c r="H2168" s="19" t="n"/>
      <c r="J2168" s="16" t="n"/>
      <c r="K2168" s="19" t="n"/>
      <c r="M2168" s="16" t="n"/>
      <c r="N2168" s="19" t="n"/>
    </row>
    <row r="2169">
      <c r="A2169" s="16" t="n"/>
      <c r="B2169" s="19" t="n"/>
      <c r="D2169" s="16" t="n"/>
      <c r="E2169" s="19" t="n"/>
      <c r="G2169" s="16" t="n"/>
      <c r="H2169" s="19" t="n"/>
      <c r="J2169" s="16" t="n"/>
      <c r="K2169" s="19" t="n"/>
      <c r="M2169" s="16" t="n"/>
      <c r="N2169" s="19" t="n"/>
    </row>
    <row r="2170">
      <c r="A2170" s="16" t="n"/>
      <c r="B2170" s="19" t="n"/>
      <c r="D2170" s="16" t="n"/>
      <c r="E2170" s="19" t="n"/>
      <c r="G2170" s="16" t="n"/>
      <c r="H2170" s="19" t="n"/>
      <c r="J2170" s="16" t="n"/>
      <c r="K2170" s="19" t="n"/>
      <c r="M2170" s="16" t="n"/>
      <c r="N2170" s="19" t="n"/>
    </row>
    <row r="2171">
      <c r="A2171" s="16" t="n"/>
      <c r="B2171" s="19" t="n"/>
      <c r="D2171" s="16" t="n"/>
      <c r="E2171" s="19" t="n"/>
      <c r="G2171" s="16" t="n"/>
      <c r="H2171" s="19" t="n"/>
      <c r="J2171" s="16" t="n"/>
      <c r="K2171" s="19" t="n"/>
      <c r="M2171" s="16" t="n"/>
      <c r="N2171" s="19" t="n"/>
    </row>
    <row r="2172">
      <c r="A2172" s="16" t="n"/>
      <c r="B2172" s="19" t="n"/>
      <c r="D2172" s="16" t="n"/>
      <c r="E2172" s="19" t="n"/>
      <c r="G2172" s="16" t="n"/>
      <c r="H2172" s="19" t="n"/>
      <c r="J2172" s="16" t="n"/>
      <c r="K2172" s="19" t="n"/>
      <c r="M2172" s="16" t="n"/>
      <c r="N2172" s="19" t="n"/>
    </row>
    <row r="2173">
      <c r="A2173" s="16" t="n"/>
      <c r="B2173" s="19" t="n"/>
      <c r="D2173" s="16" t="n"/>
      <c r="E2173" s="19" t="n"/>
      <c r="G2173" s="16" t="n"/>
      <c r="H2173" s="19" t="n"/>
      <c r="J2173" s="16" t="n"/>
      <c r="K2173" s="19" t="n"/>
      <c r="M2173" s="16" t="n"/>
      <c r="N2173" s="19" t="n"/>
    </row>
    <row r="2174">
      <c r="A2174" s="16" t="n"/>
      <c r="B2174" s="19" t="n"/>
      <c r="D2174" s="16" t="n"/>
      <c r="E2174" s="19" t="n"/>
      <c r="G2174" s="16" t="n"/>
      <c r="H2174" s="19" t="n"/>
      <c r="J2174" s="16" t="n"/>
      <c r="K2174" s="19" t="n"/>
      <c r="M2174" s="16" t="n"/>
      <c r="N2174" s="19" t="n"/>
    </row>
    <row r="2175">
      <c r="A2175" s="16" t="n"/>
      <c r="B2175" s="19" t="n"/>
      <c r="D2175" s="16" t="n"/>
      <c r="E2175" s="19" t="n"/>
      <c r="G2175" s="16" t="n"/>
      <c r="H2175" s="19" t="n"/>
      <c r="J2175" s="16" t="n"/>
      <c r="K2175" s="19" t="n"/>
      <c r="M2175" s="16" t="n"/>
      <c r="N2175" s="19" t="n"/>
    </row>
    <row r="2176">
      <c r="A2176" s="16" t="n"/>
      <c r="B2176" s="19" t="n"/>
      <c r="D2176" s="16" t="n"/>
      <c r="E2176" s="19" t="n"/>
      <c r="G2176" s="16" t="n"/>
      <c r="H2176" s="19" t="n"/>
      <c r="J2176" s="16" t="n"/>
      <c r="K2176" s="19" t="n"/>
      <c r="M2176" s="16" t="n"/>
      <c r="N2176" s="19" t="n"/>
    </row>
    <row r="2177">
      <c r="A2177" s="16" t="n"/>
      <c r="B2177" s="19" t="n"/>
      <c r="D2177" s="16" t="n"/>
      <c r="E2177" s="19" t="n"/>
      <c r="G2177" s="16" t="n"/>
      <c r="H2177" s="19" t="n"/>
      <c r="J2177" s="16" t="n"/>
      <c r="K2177" s="19" t="n"/>
      <c r="M2177" s="16" t="n"/>
      <c r="N2177" s="19" t="n"/>
    </row>
    <row r="2178">
      <c r="A2178" s="16" t="n"/>
      <c r="B2178" s="19" t="n"/>
      <c r="D2178" s="16" t="n"/>
      <c r="E2178" s="19" t="n"/>
      <c r="G2178" s="16" t="n"/>
      <c r="H2178" s="19" t="n"/>
      <c r="J2178" s="16" t="n"/>
      <c r="K2178" s="19" t="n"/>
      <c r="M2178" s="16" t="n"/>
      <c r="N2178" s="19" t="n"/>
    </row>
    <row r="2179">
      <c r="A2179" s="16" t="n"/>
      <c r="B2179" s="19" t="n"/>
      <c r="D2179" s="16" t="n"/>
      <c r="E2179" s="19" t="n"/>
      <c r="G2179" s="16" t="n"/>
      <c r="H2179" s="19" t="n"/>
      <c r="J2179" s="16" t="n"/>
      <c r="K2179" s="19" t="n"/>
      <c r="M2179" s="16" t="n"/>
      <c r="N2179" s="19" t="n"/>
    </row>
    <row r="2180">
      <c r="A2180" s="16" t="n"/>
      <c r="B2180" s="19" t="n"/>
      <c r="D2180" s="16" t="n"/>
      <c r="E2180" s="19" t="n"/>
      <c r="G2180" s="16" t="n"/>
      <c r="H2180" s="19" t="n"/>
      <c r="J2180" s="16" t="n"/>
      <c r="K2180" s="19" t="n"/>
      <c r="M2180" s="16" t="n"/>
      <c r="N2180" s="19" t="n"/>
    </row>
    <row r="2181">
      <c r="A2181" s="16" t="n"/>
      <c r="B2181" s="19" t="n"/>
      <c r="D2181" s="16" t="n"/>
      <c r="E2181" s="19" t="n"/>
      <c r="G2181" s="16" t="n"/>
      <c r="H2181" s="19" t="n"/>
      <c r="J2181" s="16" t="n"/>
      <c r="K2181" s="19" t="n"/>
      <c r="M2181" s="16" t="n"/>
      <c r="N2181" s="19" t="n"/>
    </row>
    <row r="2182">
      <c r="A2182" s="16" t="n"/>
      <c r="B2182" s="19" t="n"/>
      <c r="D2182" s="16" t="n"/>
      <c r="E2182" s="19" t="n"/>
      <c r="G2182" s="16" t="n"/>
      <c r="H2182" s="19" t="n"/>
      <c r="J2182" s="16" t="n"/>
      <c r="K2182" s="19" t="n"/>
      <c r="M2182" s="16" t="n"/>
      <c r="N2182" s="19" t="n"/>
    </row>
    <row r="2183">
      <c r="A2183" s="16" t="n"/>
      <c r="B2183" s="19" t="n"/>
      <c r="D2183" s="16" t="n"/>
      <c r="E2183" s="19" t="n"/>
      <c r="G2183" s="16" t="n"/>
      <c r="H2183" s="19" t="n"/>
      <c r="J2183" s="16" t="n"/>
      <c r="K2183" s="19" t="n"/>
      <c r="M2183" s="16" t="n"/>
      <c r="N2183" s="19" t="n"/>
    </row>
    <row r="2184">
      <c r="A2184" s="16" t="n"/>
      <c r="B2184" s="19" t="n"/>
      <c r="D2184" s="16" t="n"/>
      <c r="E2184" s="19" t="n"/>
      <c r="G2184" s="16" t="n"/>
      <c r="H2184" s="19" t="n"/>
      <c r="J2184" s="16" t="n"/>
      <c r="K2184" s="19" t="n"/>
      <c r="M2184" s="16" t="n"/>
      <c r="N2184" s="19" t="n"/>
    </row>
    <row r="2185">
      <c r="A2185" s="16" t="n"/>
      <c r="B2185" s="19" t="n"/>
      <c r="D2185" s="16" t="n"/>
      <c r="E2185" s="19" t="n"/>
      <c r="G2185" s="16" t="n"/>
      <c r="H2185" s="19" t="n"/>
      <c r="J2185" s="16" t="n"/>
      <c r="K2185" s="19" t="n"/>
      <c r="M2185" s="16" t="n"/>
      <c r="N2185" s="19" t="n"/>
    </row>
    <row r="2186">
      <c r="A2186" s="16" t="n"/>
      <c r="B2186" s="19" t="n"/>
      <c r="D2186" s="16" t="n"/>
      <c r="E2186" s="19" t="n"/>
      <c r="G2186" s="16" t="n"/>
      <c r="H2186" s="19" t="n"/>
      <c r="J2186" s="16" t="n"/>
      <c r="K2186" s="19" t="n"/>
      <c r="M2186" s="16" t="n"/>
      <c r="N2186" s="19" t="n"/>
    </row>
    <row r="2187">
      <c r="A2187" s="16" t="n"/>
      <c r="B2187" s="19" t="n"/>
      <c r="D2187" s="16" t="n"/>
      <c r="E2187" s="19" t="n"/>
      <c r="G2187" s="16" t="n"/>
      <c r="H2187" s="19" t="n"/>
      <c r="J2187" s="16" t="n"/>
      <c r="K2187" s="19" t="n"/>
      <c r="M2187" s="16" t="n"/>
      <c r="N2187" s="19" t="n"/>
    </row>
    <row r="2188">
      <c r="A2188" s="16" t="n"/>
      <c r="B2188" s="19" t="n"/>
      <c r="D2188" s="16" t="n"/>
      <c r="E2188" s="19" t="n"/>
      <c r="G2188" s="16" t="n"/>
      <c r="H2188" s="19" t="n"/>
      <c r="J2188" s="16" t="n"/>
      <c r="K2188" s="19" t="n"/>
      <c r="M2188" s="16" t="n"/>
      <c r="N2188" s="19" t="n"/>
    </row>
    <row r="2189">
      <c r="A2189" s="16" t="n"/>
      <c r="B2189" s="19" t="n"/>
      <c r="D2189" s="16" t="n"/>
      <c r="E2189" s="19" t="n"/>
      <c r="G2189" s="16" t="n"/>
      <c r="H2189" s="19" t="n"/>
      <c r="J2189" s="16" t="n"/>
      <c r="K2189" s="19" t="n"/>
      <c r="M2189" s="16" t="n"/>
      <c r="N2189" s="19" t="n"/>
    </row>
    <row r="2190">
      <c r="A2190" s="16" t="n"/>
      <c r="B2190" s="19" t="n"/>
      <c r="D2190" s="16" t="n"/>
      <c r="E2190" s="19" t="n"/>
      <c r="G2190" s="16" t="n"/>
      <c r="H2190" s="19" t="n"/>
      <c r="J2190" s="16" t="n"/>
      <c r="K2190" s="19" t="n"/>
      <c r="M2190" s="16" t="n"/>
      <c r="N2190" s="19" t="n"/>
    </row>
    <row r="2191">
      <c r="A2191" s="16" t="n"/>
      <c r="B2191" s="19" t="n"/>
      <c r="D2191" s="16" t="n"/>
      <c r="E2191" s="19" t="n"/>
      <c r="G2191" s="16" t="n"/>
      <c r="H2191" s="19" t="n"/>
      <c r="J2191" s="16" t="n"/>
      <c r="K2191" s="19" t="n"/>
      <c r="M2191" s="16" t="n"/>
      <c r="N2191" s="19" t="n"/>
    </row>
    <row r="2192">
      <c r="A2192" s="16" t="n"/>
      <c r="B2192" s="19" t="n"/>
      <c r="D2192" s="16" t="n"/>
      <c r="E2192" s="19" t="n"/>
      <c r="G2192" s="16" t="n"/>
      <c r="H2192" s="19" t="n"/>
      <c r="J2192" s="16" t="n"/>
      <c r="K2192" s="19" t="n"/>
      <c r="M2192" s="16" t="n"/>
      <c r="N2192" s="19" t="n"/>
    </row>
    <row r="2193">
      <c r="A2193" s="16" t="n"/>
      <c r="B2193" s="19" t="n"/>
      <c r="D2193" s="16" t="n"/>
      <c r="E2193" s="19" t="n"/>
      <c r="G2193" s="16" t="n"/>
      <c r="H2193" s="19" t="n"/>
      <c r="J2193" s="16" t="n"/>
      <c r="K2193" s="19" t="n"/>
      <c r="M2193" s="16" t="n"/>
      <c r="N2193" s="19" t="n"/>
    </row>
    <row r="2194">
      <c r="A2194" s="16" t="n"/>
      <c r="B2194" s="19" t="n"/>
      <c r="D2194" s="16" t="n"/>
      <c r="E2194" s="19" t="n"/>
      <c r="G2194" s="16" t="n"/>
      <c r="H2194" s="19" t="n"/>
      <c r="J2194" s="16" t="n"/>
      <c r="K2194" s="19" t="n"/>
      <c r="M2194" s="16" t="n"/>
      <c r="N2194" s="19" t="n"/>
    </row>
    <row r="2195">
      <c r="A2195" s="16" t="n"/>
      <c r="B2195" s="19" t="n"/>
      <c r="D2195" s="16" t="n"/>
      <c r="E2195" s="19" t="n"/>
      <c r="G2195" s="16" t="n"/>
      <c r="H2195" s="19" t="n"/>
      <c r="J2195" s="16" t="n"/>
      <c r="K2195" s="19" t="n"/>
      <c r="M2195" s="16" t="n"/>
      <c r="N2195" s="19" t="n"/>
    </row>
    <row r="2196">
      <c r="A2196" s="16" t="n"/>
      <c r="B2196" s="19" t="n"/>
      <c r="D2196" s="16" t="n"/>
      <c r="E2196" s="19" t="n"/>
      <c r="G2196" s="16" t="n"/>
      <c r="H2196" s="19" t="n"/>
      <c r="J2196" s="16" t="n"/>
      <c r="K2196" s="19" t="n"/>
      <c r="M2196" s="16" t="n"/>
      <c r="N2196" s="19" t="n"/>
    </row>
    <row r="2197">
      <c r="A2197" s="16" t="n"/>
      <c r="B2197" s="19" t="n"/>
      <c r="D2197" s="16" t="n"/>
      <c r="E2197" s="19" t="n"/>
      <c r="G2197" s="16" t="n"/>
      <c r="H2197" s="19" t="n"/>
      <c r="J2197" s="16" t="n"/>
      <c r="K2197" s="19" t="n"/>
      <c r="M2197" s="16" t="n"/>
      <c r="N2197" s="19" t="n"/>
    </row>
    <row r="2198">
      <c r="A2198" s="16" t="n"/>
      <c r="B2198" s="19" t="n"/>
      <c r="D2198" s="16" t="n"/>
      <c r="E2198" s="19" t="n"/>
      <c r="G2198" s="16" t="n"/>
      <c r="H2198" s="19" t="n"/>
      <c r="J2198" s="16" t="n"/>
      <c r="K2198" s="19" t="n"/>
      <c r="M2198" s="16" t="n"/>
      <c r="N2198" s="19" t="n"/>
    </row>
    <row r="2199">
      <c r="A2199" s="16" t="n"/>
      <c r="B2199" s="19" t="n"/>
      <c r="D2199" s="16" t="n"/>
      <c r="E2199" s="19" t="n"/>
      <c r="G2199" s="16" t="n"/>
      <c r="H2199" s="19" t="n"/>
      <c r="J2199" s="16" t="n"/>
      <c r="K2199" s="19" t="n"/>
      <c r="M2199" s="16" t="n"/>
      <c r="N2199" s="19" t="n"/>
    </row>
    <row r="2200">
      <c r="A2200" s="16" t="n"/>
      <c r="B2200" s="19" t="n"/>
      <c r="D2200" s="16" t="n"/>
      <c r="E2200" s="19" t="n"/>
      <c r="G2200" s="16" t="n"/>
      <c r="H2200" s="19" t="n"/>
      <c r="J2200" s="16" t="n"/>
      <c r="K2200" s="19" t="n"/>
      <c r="M2200" s="16" t="n"/>
      <c r="N2200" s="19" t="n"/>
    </row>
    <row r="2201">
      <c r="A2201" s="16" t="n"/>
      <c r="B2201" s="19" t="n"/>
      <c r="D2201" s="16" t="n"/>
      <c r="E2201" s="19" t="n"/>
      <c r="G2201" s="16" t="n"/>
      <c r="H2201" s="19" t="n"/>
      <c r="J2201" s="16" t="n"/>
      <c r="K2201" s="19" t="n"/>
      <c r="M2201" s="16" t="n"/>
      <c r="N2201" s="19" t="n"/>
    </row>
    <row r="2202">
      <c r="A2202" s="16" t="n"/>
      <c r="B2202" s="19" t="n"/>
      <c r="D2202" s="16" t="n"/>
      <c r="E2202" s="19" t="n"/>
      <c r="G2202" s="16" t="n"/>
      <c r="H2202" s="19" t="n"/>
      <c r="J2202" s="16" t="n"/>
      <c r="K2202" s="19" t="n"/>
      <c r="M2202" s="16" t="n"/>
      <c r="N2202" s="19" t="n"/>
    </row>
    <row r="2203">
      <c r="A2203" s="16" t="n"/>
      <c r="B2203" s="19" t="n"/>
      <c r="D2203" s="16" t="n"/>
      <c r="E2203" s="19" t="n"/>
      <c r="G2203" s="16" t="n"/>
      <c r="H2203" s="19" t="n"/>
      <c r="J2203" s="16" t="n"/>
      <c r="K2203" s="19" t="n"/>
      <c r="M2203" s="16" t="n"/>
      <c r="N2203" s="19" t="n"/>
    </row>
    <row r="2204">
      <c r="A2204" s="16" t="n"/>
      <c r="B2204" s="19" t="n"/>
      <c r="D2204" s="16" t="n"/>
      <c r="E2204" s="19" t="n"/>
      <c r="G2204" s="16" t="n"/>
      <c r="H2204" s="19" t="n"/>
      <c r="J2204" s="16" t="n"/>
      <c r="K2204" s="19" t="n"/>
      <c r="M2204" s="16" t="n"/>
      <c r="N2204" s="19" t="n"/>
    </row>
    <row r="2205">
      <c r="A2205" s="16" t="n"/>
      <c r="B2205" s="19" t="n"/>
      <c r="D2205" s="16" t="n"/>
      <c r="E2205" s="19" t="n"/>
      <c r="G2205" s="16" t="n"/>
      <c r="H2205" s="19" t="n"/>
      <c r="J2205" s="16" t="n"/>
      <c r="K2205" s="19" t="n"/>
      <c r="M2205" s="16" t="n"/>
      <c r="N2205" s="19" t="n"/>
    </row>
    <row r="2206">
      <c r="A2206" s="16" t="n"/>
      <c r="B2206" s="19" t="n"/>
      <c r="D2206" s="16" t="n"/>
      <c r="E2206" s="19" t="n"/>
      <c r="G2206" s="16" t="n"/>
      <c r="H2206" s="19" t="n"/>
      <c r="J2206" s="16" t="n"/>
      <c r="K2206" s="19" t="n"/>
      <c r="M2206" s="16" t="n"/>
      <c r="N2206" s="19" t="n"/>
    </row>
    <row r="2207">
      <c r="A2207" s="16" t="n"/>
      <c r="B2207" s="19" t="n"/>
      <c r="D2207" s="16" t="n"/>
      <c r="E2207" s="19" t="n"/>
      <c r="G2207" s="16" t="n"/>
      <c r="H2207" s="19" t="n"/>
      <c r="J2207" s="16" t="n"/>
      <c r="K2207" s="19" t="n"/>
      <c r="M2207" s="16" t="n"/>
      <c r="N2207" s="19" t="n"/>
    </row>
    <row r="2208">
      <c r="A2208" s="16" t="n"/>
      <c r="B2208" s="19" t="n"/>
      <c r="D2208" s="16" t="n"/>
      <c r="E2208" s="19" t="n"/>
      <c r="G2208" s="16" t="n"/>
      <c r="H2208" s="19" t="n"/>
      <c r="J2208" s="16" t="n"/>
      <c r="K2208" s="19" t="n"/>
      <c r="M2208" s="16" t="n"/>
      <c r="N2208" s="19" t="n"/>
    </row>
    <row r="2209">
      <c r="A2209" s="16" t="n"/>
      <c r="B2209" s="19" t="n"/>
      <c r="D2209" s="16" t="n"/>
      <c r="E2209" s="19" t="n"/>
      <c r="G2209" s="16" t="n"/>
      <c r="H2209" s="19" t="n"/>
      <c r="J2209" s="16" t="n"/>
      <c r="K2209" s="19" t="n"/>
      <c r="M2209" s="16" t="n"/>
      <c r="N2209" s="19" t="n"/>
    </row>
    <row r="2210">
      <c r="A2210" s="16" t="n"/>
      <c r="B2210" s="19" t="n"/>
      <c r="D2210" s="16" t="n"/>
      <c r="E2210" s="19" t="n"/>
      <c r="G2210" s="16" t="n"/>
      <c r="H2210" s="19" t="n"/>
      <c r="J2210" s="16" t="n"/>
      <c r="K2210" s="19" t="n"/>
      <c r="M2210" s="16" t="n"/>
      <c r="N2210" s="19" t="n"/>
    </row>
    <row r="2211">
      <c r="A2211" s="16" t="n"/>
      <c r="B2211" s="19" t="n"/>
      <c r="D2211" s="16" t="n"/>
      <c r="E2211" s="19" t="n"/>
      <c r="G2211" s="16" t="n"/>
      <c r="H2211" s="19" t="n"/>
      <c r="J2211" s="16" t="n"/>
      <c r="K2211" s="19" t="n"/>
      <c r="M2211" s="16" t="n"/>
      <c r="N2211" s="19" t="n"/>
    </row>
    <row r="2212">
      <c r="A2212" s="16" t="n"/>
      <c r="B2212" s="19" t="n"/>
      <c r="D2212" s="16" t="n"/>
      <c r="E2212" s="19" t="n"/>
      <c r="G2212" s="16" t="n"/>
      <c r="H2212" s="19" t="n"/>
      <c r="J2212" s="16" t="n"/>
      <c r="K2212" s="19" t="n"/>
      <c r="M2212" s="16" t="n"/>
      <c r="N2212" s="19" t="n"/>
    </row>
    <row r="2213">
      <c r="A2213" s="16" t="n"/>
      <c r="B2213" s="19" t="n"/>
      <c r="D2213" s="16" t="n"/>
      <c r="E2213" s="19" t="n"/>
      <c r="G2213" s="16" t="n"/>
      <c r="H2213" s="19" t="n"/>
      <c r="J2213" s="16" t="n"/>
      <c r="K2213" s="19" t="n"/>
      <c r="M2213" s="16" t="n"/>
      <c r="N2213" s="19" t="n"/>
    </row>
    <row r="2214">
      <c r="A2214" s="16" t="n"/>
      <c r="B2214" s="19" t="n"/>
      <c r="D2214" s="16" t="n"/>
      <c r="E2214" s="19" t="n"/>
      <c r="G2214" s="16" t="n"/>
      <c r="H2214" s="19" t="n"/>
      <c r="J2214" s="16" t="n"/>
      <c r="K2214" s="19" t="n"/>
      <c r="M2214" s="16" t="n"/>
      <c r="N2214" s="19" t="n"/>
    </row>
    <row r="2215">
      <c r="A2215" s="16" t="n"/>
      <c r="B2215" s="19" t="n"/>
      <c r="D2215" s="16" t="n"/>
      <c r="E2215" s="19" t="n"/>
      <c r="G2215" s="16" t="n"/>
      <c r="H2215" s="19" t="n"/>
      <c r="J2215" s="16" t="n"/>
      <c r="K2215" s="19" t="n"/>
      <c r="M2215" s="16" t="n"/>
      <c r="N2215" s="19" t="n"/>
    </row>
    <row r="2216">
      <c r="A2216" s="16" t="n"/>
      <c r="B2216" s="19" t="n"/>
      <c r="D2216" s="16" t="n"/>
      <c r="E2216" s="19" t="n"/>
      <c r="G2216" s="16" t="n"/>
      <c r="H2216" s="19" t="n"/>
      <c r="J2216" s="16" t="n"/>
      <c r="K2216" s="19" t="n"/>
      <c r="M2216" s="16" t="n"/>
      <c r="N2216" s="19" t="n"/>
    </row>
    <row r="2217">
      <c r="A2217" s="16" t="n"/>
      <c r="B2217" s="19" t="n"/>
      <c r="D2217" s="16" t="n"/>
      <c r="E2217" s="19" t="n"/>
      <c r="G2217" s="16" t="n"/>
      <c r="H2217" s="19" t="n"/>
      <c r="J2217" s="16" t="n"/>
      <c r="K2217" s="19" t="n"/>
      <c r="M2217" s="16" t="n"/>
      <c r="N2217" s="19" t="n"/>
    </row>
    <row r="2218">
      <c r="A2218" s="16" t="n"/>
      <c r="B2218" s="19" t="n"/>
      <c r="D2218" s="16" t="n"/>
      <c r="E2218" s="19" t="n"/>
      <c r="G2218" s="16" t="n"/>
      <c r="H2218" s="19" t="n"/>
      <c r="J2218" s="16" t="n"/>
      <c r="K2218" s="19" t="n"/>
      <c r="M2218" s="16" t="n"/>
      <c r="N2218" s="19" t="n"/>
    </row>
    <row r="2219">
      <c r="A2219" s="16" t="n"/>
      <c r="B2219" s="19" t="n"/>
      <c r="D2219" s="16" t="n"/>
      <c r="E2219" s="19" t="n"/>
      <c r="G2219" s="16" t="n"/>
      <c r="H2219" s="19" t="n"/>
      <c r="J2219" s="16" t="n"/>
      <c r="K2219" s="19" t="n"/>
      <c r="M2219" s="16" t="n"/>
      <c r="N2219" s="19" t="n"/>
    </row>
    <row r="2220">
      <c r="A2220" s="16" t="n"/>
      <c r="B2220" s="19" t="n"/>
      <c r="D2220" s="16" t="n"/>
      <c r="E2220" s="19" t="n"/>
      <c r="G2220" s="16" t="n"/>
      <c r="H2220" s="19" t="n"/>
      <c r="J2220" s="16" t="n"/>
      <c r="K2220" s="19" t="n"/>
      <c r="M2220" s="16" t="n"/>
      <c r="N2220" s="19" t="n"/>
    </row>
    <row r="2221">
      <c r="A2221" s="16" t="n"/>
      <c r="B2221" s="19" t="n"/>
      <c r="D2221" s="16" t="n"/>
      <c r="E2221" s="19" t="n"/>
      <c r="G2221" s="16" t="n"/>
      <c r="H2221" s="19" t="n"/>
      <c r="J2221" s="16" t="n"/>
      <c r="K2221" s="19" t="n"/>
      <c r="M2221" s="16" t="n"/>
      <c r="N2221" s="19" t="n"/>
    </row>
    <row r="2222">
      <c r="A2222" s="16" t="n"/>
      <c r="B2222" s="19" t="n"/>
      <c r="D2222" s="16" t="n"/>
      <c r="E2222" s="19" t="n"/>
      <c r="G2222" s="16" t="n"/>
      <c r="H2222" s="19" t="n"/>
      <c r="J2222" s="16" t="n"/>
      <c r="K2222" s="19" t="n"/>
      <c r="M2222" s="16" t="n"/>
      <c r="N2222" s="19" t="n"/>
    </row>
    <row r="2223">
      <c r="A2223" s="16" t="n"/>
      <c r="B2223" s="19" t="n"/>
      <c r="D2223" s="16" t="n"/>
      <c r="E2223" s="19" t="n"/>
      <c r="G2223" s="16" t="n"/>
      <c r="H2223" s="19" t="n"/>
      <c r="J2223" s="16" t="n"/>
      <c r="K2223" s="19" t="n"/>
      <c r="M2223" s="16" t="n"/>
      <c r="N2223" s="19" t="n"/>
    </row>
    <row r="2224">
      <c r="A2224" s="16" t="n"/>
      <c r="B2224" s="19" t="n"/>
      <c r="D2224" s="16" t="n"/>
      <c r="E2224" s="19" t="n"/>
      <c r="G2224" s="16" t="n"/>
      <c r="H2224" s="19" t="n"/>
      <c r="J2224" s="16" t="n"/>
      <c r="K2224" s="19" t="n"/>
      <c r="M2224" s="16" t="n"/>
      <c r="N2224" s="19" t="n"/>
    </row>
    <row r="2225">
      <c r="A2225" s="16" t="n"/>
      <c r="B2225" s="19" t="n"/>
      <c r="D2225" s="16" t="n"/>
      <c r="E2225" s="19" t="n"/>
      <c r="G2225" s="16" t="n"/>
      <c r="H2225" s="19" t="n"/>
      <c r="J2225" s="16" t="n"/>
      <c r="K2225" s="19" t="n"/>
      <c r="M2225" s="16" t="n"/>
      <c r="N2225" s="19" t="n"/>
    </row>
    <row r="2226">
      <c r="A2226" s="16" t="n"/>
      <c r="B2226" s="19" t="n"/>
      <c r="D2226" s="16" t="n"/>
      <c r="E2226" s="19" t="n"/>
      <c r="G2226" s="16" t="n"/>
      <c r="H2226" s="19" t="n"/>
      <c r="J2226" s="16" t="n"/>
      <c r="K2226" s="19" t="n"/>
      <c r="M2226" s="16" t="n"/>
      <c r="N2226" s="19" t="n"/>
    </row>
    <row r="2227">
      <c r="A2227" s="16" t="n"/>
      <c r="B2227" s="19" t="n"/>
      <c r="D2227" s="16" t="n"/>
      <c r="E2227" s="19" t="n"/>
      <c r="G2227" s="16" t="n"/>
      <c r="H2227" s="19" t="n"/>
      <c r="J2227" s="16" t="n"/>
      <c r="K2227" s="19" t="n"/>
      <c r="M2227" s="16" t="n"/>
      <c r="N2227" s="19" t="n"/>
    </row>
    <row r="2228">
      <c r="A2228" s="16" t="n"/>
      <c r="B2228" s="19" t="n"/>
      <c r="D2228" s="16" t="n"/>
      <c r="E2228" s="19" t="n"/>
      <c r="G2228" s="16" t="n"/>
      <c r="H2228" s="19" t="n"/>
      <c r="J2228" s="16" t="n"/>
      <c r="K2228" s="19" t="n"/>
      <c r="M2228" s="16" t="n"/>
      <c r="N2228" s="19" t="n"/>
    </row>
    <row r="2229">
      <c r="A2229" s="16" t="n"/>
      <c r="B2229" s="19" t="n"/>
      <c r="D2229" s="16" t="n"/>
      <c r="E2229" s="19" t="n"/>
      <c r="G2229" s="16" t="n"/>
      <c r="H2229" s="19" t="n"/>
      <c r="J2229" s="16" t="n"/>
      <c r="K2229" s="19" t="n"/>
      <c r="M2229" s="16" t="n"/>
      <c r="N2229" s="19" t="n"/>
    </row>
    <row r="2230">
      <c r="A2230" s="16" t="n"/>
      <c r="B2230" s="19" t="n"/>
      <c r="D2230" s="16" t="n"/>
      <c r="E2230" s="19" t="n"/>
      <c r="G2230" s="16" t="n"/>
      <c r="H2230" s="19" t="n"/>
      <c r="J2230" s="16" t="n"/>
      <c r="K2230" s="19" t="n"/>
      <c r="M2230" s="16" t="n"/>
      <c r="N2230" s="19" t="n"/>
    </row>
    <row r="2231">
      <c r="A2231" s="16" t="n"/>
      <c r="B2231" s="19" t="n"/>
      <c r="D2231" s="16" t="n"/>
      <c r="E2231" s="19" t="n"/>
      <c r="G2231" s="16" t="n"/>
      <c r="H2231" s="19" t="n"/>
      <c r="J2231" s="16" t="n"/>
      <c r="K2231" s="19" t="n"/>
      <c r="M2231" s="16" t="n"/>
      <c r="N2231" s="19" t="n"/>
    </row>
    <row r="2232">
      <c r="A2232" s="16" t="n"/>
      <c r="B2232" s="19" t="n"/>
      <c r="D2232" s="16" t="n"/>
      <c r="E2232" s="19" t="n"/>
      <c r="G2232" s="16" t="n"/>
      <c r="H2232" s="19" t="n"/>
      <c r="J2232" s="16" t="n"/>
      <c r="K2232" s="19" t="n"/>
      <c r="M2232" s="16" t="n"/>
      <c r="N2232" s="19" t="n"/>
    </row>
    <row r="2233">
      <c r="A2233" s="16" t="n"/>
      <c r="B2233" s="19" t="n"/>
      <c r="D2233" s="16" t="n"/>
      <c r="E2233" s="19" t="n"/>
      <c r="G2233" s="16" t="n"/>
      <c r="H2233" s="19" t="n"/>
      <c r="J2233" s="16" t="n"/>
      <c r="K2233" s="19" t="n"/>
      <c r="M2233" s="16" t="n"/>
      <c r="N2233" s="19" t="n"/>
    </row>
    <row r="2234">
      <c r="A2234" s="16" t="n"/>
      <c r="B2234" s="19" t="n"/>
      <c r="D2234" s="16" t="n"/>
      <c r="E2234" s="19" t="n"/>
      <c r="G2234" s="16" t="n"/>
      <c r="H2234" s="19" t="n"/>
      <c r="J2234" s="16" t="n"/>
      <c r="K2234" s="19" t="n"/>
      <c r="M2234" s="16" t="n"/>
      <c r="N2234" s="19" t="n"/>
    </row>
    <row r="2235">
      <c r="A2235" s="16" t="n"/>
      <c r="B2235" s="19" t="n"/>
      <c r="D2235" s="16" t="n"/>
      <c r="E2235" s="19" t="n"/>
      <c r="G2235" s="16" t="n"/>
      <c r="H2235" s="19" t="n"/>
      <c r="J2235" s="16" t="n"/>
      <c r="K2235" s="19" t="n"/>
      <c r="M2235" s="16" t="n"/>
      <c r="N2235" s="19" t="n"/>
    </row>
    <row r="2236">
      <c r="A2236" s="16" t="n"/>
      <c r="B2236" s="19" t="n"/>
      <c r="D2236" s="16" t="n"/>
      <c r="E2236" s="19" t="n"/>
      <c r="G2236" s="16" t="n"/>
      <c r="H2236" s="19" t="n"/>
      <c r="J2236" s="16" t="n"/>
      <c r="K2236" s="19" t="n"/>
      <c r="M2236" s="16" t="n"/>
      <c r="N2236" s="19" t="n"/>
    </row>
    <row r="2237">
      <c r="A2237" s="16" t="n"/>
      <c r="B2237" s="19" t="n"/>
      <c r="D2237" s="16" t="n"/>
      <c r="E2237" s="19" t="n"/>
      <c r="G2237" s="16" t="n"/>
      <c r="H2237" s="19" t="n"/>
      <c r="J2237" s="16" t="n"/>
      <c r="K2237" s="19" t="n"/>
      <c r="M2237" s="16" t="n"/>
      <c r="N2237" s="19" t="n"/>
    </row>
    <row r="2238">
      <c r="A2238" s="16" t="n"/>
      <c r="B2238" s="19" t="n"/>
      <c r="D2238" s="16" t="n"/>
      <c r="E2238" s="19" t="n"/>
      <c r="G2238" s="16" t="n"/>
      <c r="H2238" s="19" t="n"/>
      <c r="J2238" s="16" t="n"/>
      <c r="K2238" s="19" t="n"/>
      <c r="M2238" s="16" t="n"/>
      <c r="N2238" s="19" t="n"/>
    </row>
    <row r="2239">
      <c r="A2239" s="16" t="n"/>
      <c r="B2239" s="19" t="n"/>
      <c r="D2239" s="16" t="n"/>
      <c r="E2239" s="19" t="n"/>
      <c r="G2239" s="16" t="n"/>
      <c r="H2239" s="19" t="n"/>
      <c r="J2239" s="16" t="n"/>
      <c r="K2239" s="19" t="n"/>
      <c r="M2239" s="16" t="n"/>
      <c r="N2239" s="19" t="n"/>
    </row>
    <row r="2240">
      <c r="A2240" s="16" t="n"/>
      <c r="B2240" s="19" t="n"/>
      <c r="D2240" s="16" t="n"/>
      <c r="E2240" s="19" t="n"/>
      <c r="G2240" s="16" t="n"/>
      <c r="H2240" s="19" t="n"/>
      <c r="J2240" s="16" t="n"/>
      <c r="K2240" s="19" t="n"/>
      <c r="M2240" s="16" t="n"/>
      <c r="N2240" s="19" t="n"/>
    </row>
    <row r="2241">
      <c r="A2241" s="16" t="n"/>
      <c r="B2241" s="19" t="n"/>
      <c r="D2241" s="16" t="n"/>
      <c r="E2241" s="19" t="n"/>
      <c r="G2241" s="16" t="n"/>
      <c r="H2241" s="19" t="n"/>
      <c r="J2241" s="16" t="n"/>
      <c r="K2241" s="19" t="n"/>
      <c r="M2241" s="16" t="n"/>
      <c r="N2241" s="19" t="n"/>
    </row>
    <row r="2242">
      <c r="A2242" s="16" t="n"/>
      <c r="B2242" s="19" t="n"/>
      <c r="D2242" s="16" t="n"/>
      <c r="E2242" s="19" t="n"/>
      <c r="G2242" s="16" t="n"/>
      <c r="H2242" s="19" t="n"/>
      <c r="J2242" s="16" t="n"/>
      <c r="K2242" s="19" t="n"/>
      <c r="M2242" s="16" t="n"/>
      <c r="N2242" s="19" t="n"/>
    </row>
    <row r="2243">
      <c r="A2243" s="16" t="n"/>
      <c r="B2243" s="19" t="n"/>
      <c r="D2243" s="16" t="n"/>
      <c r="E2243" s="19" t="n"/>
      <c r="G2243" s="16" t="n"/>
      <c r="H2243" s="19" t="n"/>
      <c r="J2243" s="16" t="n"/>
      <c r="K2243" s="19" t="n"/>
      <c r="M2243" s="16" t="n"/>
      <c r="N2243" s="19" t="n"/>
    </row>
    <row r="2244">
      <c r="A2244" s="16" t="n"/>
      <c r="B2244" s="19" t="n"/>
      <c r="D2244" s="16" t="n"/>
      <c r="E2244" s="19" t="n"/>
      <c r="G2244" s="16" t="n"/>
      <c r="H2244" s="19" t="n"/>
      <c r="J2244" s="16" t="n"/>
      <c r="K2244" s="19" t="n"/>
      <c r="M2244" s="16" t="n"/>
      <c r="N2244" s="19" t="n"/>
    </row>
    <row r="2245">
      <c r="A2245" s="16" t="n"/>
      <c r="B2245" s="19" t="n"/>
      <c r="D2245" s="16" t="n"/>
      <c r="E2245" s="19" t="n"/>
      <c r="G2245" s="16" t="n"/>
      <c r="H2245" s="19" t="n"/>
      <c r="J2245" s="16" t="n"/>
      <c r="K2245" s="19" t="n"/>
      <c r="M2245" s="16" t="n"/>
      <c r="N2245" s="19" t="n"/>
    </row>
    <row r="2246">
      <c r="A2246" s="16" t="n"/>
      <c r="B2246" s="19" t="n"/>
      <c r="D2246" s="16" t="n"/>
      <c r="E2246" s="19" t="n"/>
      <c r="G2246" s="16" t="n"/>
      <c r="H2246" s="19" t="n"/>
      <c r="J2246" s="16" t="n"/>
      <c r="K2246" s="19" t="n"/>
      <c r="M2246" s="16" t="n"/>
      <c r="N2246" s="19" t="n"/>
    </row>
    <row r="2247">
      <c r="A2247" s="16" t="n"/>
      <c r="B2247" s="19" t="n"/>
      <c r="D2247" s="16" t="n"/>
      <c r="E2247" s="19" t="n"/>
      <c r="G2247" s="16" t="n"/>
      <c r="H2247" s="19" t="n"/>
      <c r="J2247" s="16" t="n"/>
      <c r="K2247" s="19" t="n"/>
      <c r="M2247" s="16" t="n"/>
      <c r="N2247" s="19" t="n"/>
    </row>
    <row r="2248">
      <c r="A2248" s="16" t="n"/>
      <c r="B2248" s="19" t="n"/>
      <c r="D2248" s="16" t="n"/>
      <c r="E2248" s="19" t="n"/>
      <c r="G2248" s="16" t="n"/>
      <c r="H2248" s="19" t="n"/>
      <c r="J2248" s="16" t="n"/>
      <c r="K2248" s="19" t="n"/>
      <c r="M2248" s="16" t="n"/>
      <c r="N2248" s="19" t="n"/>
    </row>
    <row r="2249">
      <c r="A2249" s="16" t="n"/>
      <c r="B2249" s="19" t="n"/>
      <c r="D2249" s="16" t="n"/>
      <c r="E2249" s="19" t="n"/>
      <c r="G2249" s="16" t="n"/>
      <c r="H2249" s="19" t="n"/>
      <c r="J2249" s="16" t="n"/>
      <c r="K2249" s="19" t="n"/>
      <c r="M2249" s="16" t="n"/>
      <c r="N2249" s="19" t="n"/>
    </row>
    <row r="2250">
      <c r="A2250" s="16" t="n"/>
      <c r="B2250" s="19" t="n"/>
      <c r="D2250" s="16" t="n"/>
      <c r="E2250" s="19" t="n"/>
      <c r="G2250" s="16" t="n"/>
      <c r="H2250" s="19" t="n"/>
      <c r="J2250" s="16" t="n"/>
      <c r="K2250" s="19" t="n"/>
      <c r="M2250" s="16" t="n"/>
      <c r="N2250" s="19" t="n"/>
    </row>
    <row r="2251">
      <c r="A2251" s="16" t="n"/>
      <c r="B2251" s="19" t="n"/>
      <c r="D2251" s="16" t="n"/>
      <c r="E2251" s="19" t="n"/>
      <c r="G2251" s="16" t="n"/>
      <c r="H2251" s="19" t="n"/>
      <c r="J2251" s="16" t="n"/>
      <c r="K2251" s="19" t="n"/>
      <c r="M2251" s="16" t="n"/>
      <c r="N2251" s="19" t="n"/>
    </row>
    <row r="2252">
      <c r="A2252" s="16" t="n"/>
      <c r="B2252" s="19" t="n"/>
      <c r="D2252" s="16" t="n"/>
      <c r="E2252" s="19" t="n"/>
      <c r="G2252" s="16" t="n"/>
      <c r="H2252" s="19" t="n"/>
      <c r="J2252" s="16" t="n"/>
      <c r="K2252" s="19" t="n"/>
      <c r="M2252" s="16" t="n"/>
      <c r="N2252" s="19" t="n"/>
    </row>
    <row r="2253">
      <c r="A2253" s="16" t="n"/>
      <c r="B2253" s="19" t="n"/>
      <c r="D2253" s="16" t="n"/>
      <c r="E2253" s="19" t="n"/>
      <c r="G2253" s="16" t="n"/>
      <c r="H2253" s="19" t="n"/>
      <c r="J2253" s="16" t="n"/>
      <c r="K2253" s="19" t="n"/>
      <c r="M2253" s="16" t="n"/>
      <c r="N2253" s="19" t="n"/>
    </row>
    <row r="2254">
      <c r="A2254" s="16" t="n"/>
      <c r="B2254" s="19" t="n"/>
      <c r="D2254" s="16" t="n"/>
      <c r="E2254" s="19" t="n"/>
      <c r="G2254" s="16" t="n"/>
      <c r="H2254" s="19" t="n"/>
      <c r="J2254" s="16" t="n"/>
      <c r="K2254" s="19" t="n"/>
      <c r="M2254" s="16" t="n"/>
      <c r="N2254" s="19" t="n"/>
    </row>
    <row r="2255">
      <c r="A2255" s="16" t="n"/>
      <c r="B2255" s="19" t="n"/>
      <c r="D2255" s="16" t="n"/>
      <c r="E2255" s="19" t="n"/>
      <c r="G2255" s="16" t="n"/>
      <c r="H2255" s="19" t="n"/>
      <c r="J2255" s="16" t="n"/>
      <c r="K2255" s="19" t="n"/>
      <c r="M2255" s="16" t="n"/>
      <c r="N2255" s="19" t="n"/>
    </row>
    <row r="2256">
      <c r="A2256" s="16" t="n"/>
      <c r="B2256" s="19" t="n"/>
      <c r="D2256" s="16" t="n"/>
      <c r="E2256" s="19" t="n"/>
      <c r="G2256" s="16" t="n"/>
      <c r="H2256" s="19" t="n"/>
      <c r="J2256" s="16" t="n"/>
      <c r="K2256" s="19" t="n"/>
      <c r="M2256" s="16" t="n"/>
      <c r="N2256" s="19" t="n"/>
    </row>
    <row r="2257">
      <c r="A2257" s="16" t="n"/>
      <c r="B2257" s="19" t="n"/>
      <c r="D2257" s="16" t="n"/>
      <c r="E2257" s="19" t="n"/>
      <c r="G2257" s="16" t="n"/>
      <c r="H2257" s="19" t="n"/>
      <c r="J2257" s="16" t="n"/>
      <c r="K2257" s="19" t="n"/>
      <c r="M2257" s="16" t="n"/>
      <c r="N2257" s="19" t="n"/>
    </row>
    <row r="2258">
      <c r="A2258" s="16" t="n"/>
      <c r="B2258" s="19" t="n"/>
      <c r="D2258" s="16" t="n"/>
      <c r="E2258" s="19" t="n"/>
      <c r="G2258" s="16" t="n"/>
      <c r="H2258" s="19" t="n"/>
      <c r="J2258" s="16" t="n"/>
      <c r="K2258" s="19" t="n"/>
      <c r="M2258" s="16" t="n"/>
      <c r="N2258" s="19" t="n"/>
    </row>
    <row r="2259">
      <c r="A2259" s="16" t="n"/>
      <c r="B2259" s="19" t="n"/>
      <c r="D2259" s="16" t="n"/>
      <c r="E2259" s="19" t="n"/>
      <c r="G2259" s="16" t="n"/>
      <c r="H2259" s="19" t="n"/>
      <c r="J2259" s="16" t="n"/>
      <c r="K2259" s="19" t="n"/>
      <c r="M2259" s="16" t="n"/>
      <c r="N2259" s="19" t="n"/>
    </row>
    <row r="2260">
      <c r="A2260" s="16" t="n"/>
      <c r="B2260" s="19" t="n"/>
      <c r="D2260" s="16" t="n"/>
      <c r="E2260" s="19" t="n"/>
      <c r="G2260" s="16" t="n"/>
      <c r="H2260" s="19" t="n"/>
      <c r="J2260" s="16" t="n"/>
      <c r="K2260" s="19" t="n"/>
      <c r="M2260" s="16" t="n"/>
      <c r="N2260" s="19" t="n"/>
    </row>
    <row r="2261">
      <c r="A2261" s="16" t="n"/>
      <c r="B2261" s="19" t="n"/>
      <c r="D2261" s="16" t="n"/>
      <c r="E2261" s="19" t="n"/>
      <c r="G2261" s="16" t="n"/>
      <c r="H2261" s="19" t="n"/>
      <c r="J2261" s="16" t="n"/>
      <c r="K2261" s="19" t="n"/>
      <c r="M2261" s="16" t="n"/>
      <c r="N2261" s="19" t="n"/>
    </row>
    <row r="2262">
      <c r="A2262" s="16" t="n"/>
      <c r="B2262" s="19" t="n"/>
      <c r="D2262" s="16" t="n"/>
      <c r="E2262" s="19" t="n"/>
      <c r="G2262" s="16" t="n"/>
      <c r="H2262" s="19" t="n"/>
      <c r="J2262" s="16" t="n"/>
      <c r="K2262" s="19" t="n"/>
      <c r="M2262" s="16" t="n"/>
      <c r="N2262" s="19" t="n"/>
    </row>
    <row r="2263">
      <c r="A2263" s="16" t="n"/>
      <c r="B2263" s="19" t="n"/>
      <c r="D2263" s="16" t="n"/>
      <c r="E2263" s="19" t="n"/>
      <c r="G2263" s="16" t="n"/>
      <c r="H2263" s="19" t="n"/>
      <c r="J2263" s="16" t="n"/>
      <c r="K2263" s="19" t="n"/>
      <c r="M2263" s="16" t="n"/>
      <c r="N2263" s="19" t="n"/>
    </row>
    <row r="2264">
      <c r="A2264" s="16" t="n"/>
      <c r="B2264" s="19" t="n"/>
      <c r="D2264" s="16" t="n"/>
      <c r="E2264" s="19" t="n"/>
      <c r="G2264" s="16" t="n"/>
      <c r="H2264" s="19" t="n"/>
      <c r="J2264" s="16" t="n"/>
      <c r="K2264" s="19" t="n"/>
      <c r="M2264" s="16" t="n"/>
      <c r="N2264" s="19" t="n"/>
    </row>
    <row r="2265">
      <c r="A2265" s="16" t="n"/>
      <c r="B2265" s="19" t="n"/>
      <c r="D2265" s="16" t="n"/>
      <c r="E2265" s="19" t="n"/>
      <c r="G2265" s="16" t="n"/>
      <c r="H2265" s="19" t="n"/>
      <c r="J2265" s="16" t="n"/>
      <c r="K2265" s="19" t="n"/>
      <c r="M2265" s="16" t="n"/>
      <c r="N2265" s="19" t="n"/>
    </row>
    <row r="2266">
      <c r="A2266" s="16" t="n"/>
      <c r="B2266" s="19" t="n"/>
      <c r="D2266" s="16" t="n"/>
      <c r="E2266" s="19" t="n"/>
      <c r="G2266" s="16" t="n"/>
      <c r="H2266" s="19" t="n"/>
      <c r="J2266" s="16" t="n"/>
      <c r="K2266" s="19" t="n"/>
      <c r="M2266" s="16" t="n"/>
      <c r="N2266" s="19" t="n"/>
    </row>
    <row r="2267">
      <c r="A2267" s="16" t="n"/>
      <c r="B2267" s="19" t="n"/>
      <c r="D2267" s="16" t="n"/>
      <c r="E2267" s="19" t="n"/>
      <c r="G2267" s="16" t="n"/>
      <c r="H2267" s="19" t="n"/>
      <c r="J2267" s="16" t="n"/>
      <c r="K2267" s="19" t="n"/>
      <c r="M2267" s="16" t="n"/>
      <c r="N2267" s="19" t="n"/>
    </row>
    <row r="2268">
      <c r="A2268" s="16" t="n"/>
      <c r="B2268" s="19" t="n"/>
      <c r="D2268" s="16" t="n"/>
      <c r="E2268" s="19" t="n"/>
      <c r="G2268" s="16" t="n"/>
      <c r="H2268" s="19" t="n"/>
      <c r="J2268" s="16" t="n"/>
      <c r="K2268" s="19" t="n"/>
      <c r="M2268" s="16" t="n"/>
      <c r="N2268" s="19" t="n"/>
    </row>
    <row r="2269">
      <c r="A2269" s="16" t="n"/>
      <c r="B2269" s="19" t="n"/>
      <c r="D2269" s="16" t="n"/>
      <c r="E2269" s="19" t="n"/>
      <c r="G2269" s="16" t="n"/>
      <c r="H2269" s="19" t="n"/>
      <c r="J2269" s="16" t="n"/>
      <c r="K2269" s="19" t="n"/>
      <c r="M2269" s="16" t="n"/>
      <c r="N2269" s="19" t="n"/>
    </row>
    <row r="2270">
      <c r="A2270" s="16" t="n"/>
      <c r="B2270" s="19" t="n"/>
      <c r="D2270" s="16" t="n"/>
      <c r="E2270" s="19" t="n"/>
      <c r="G2270" s="16" t="n"/>
      <c r="H2270" s="19" t="n"/>
      <c r="J2270" s="16" t="n"/>
      <c r="K2270" s="19" t="n"/>
      <c r="M2270" s="16" t="n"/>
      <c r="N2270" s="19" t="n"/>
    </row>
    <row r="2271">
      <c r="A2271" s="16" t="n"/>
      <c r="B2271" s="19" t="n"/>
      <c r="D2271" s="16" t="n"/>
      <c r="E2271" s="19" t="n"/>
      <c r="G2271" s="16" t="n"/>
      <c r="H2271" s="19" t="n"/>
      <c r="J2271" s="16" t="n"/>
      <c r="K2271" s="19" t="n"/>
      <c r="M2271" s="16" t="n"/>
      <c r="N2271" s="19" t="n"/>
    </row>
    <row r="2272">
      <c r="A2272" s="16" t="n"/>
      <c r="B2272" s="19" t="n"/>
      <c r="D2272" s="16" t="n"/>
      <c r="E2272" s="19" t="n"/>
      <c r="G2272" s="16" t="n"/>
      <c r="H2272" s="19" t="n"/>
      <c r="J2272" s="16" t="n"/>
      <c r="K2272" s="19" t="n"/>
      <c r="M2272" s="16" t="n"/>
      <c r="N2272" s="19" t="n"/>
    </row>
    <row r="2273">
      <c r="A2273" s="16" t="n"/>
      <c r="B2273" s="19" t="n"/>
      <c r="D2273" s="16" t="n"/>
      <c r="E2273" s="19" t="n"/>
      <c r="G2273" s="16" t="n"/>
      <c r="H2273" s="19" t="n"/>
      <c r="J2273" s="16" t="n"/>
      <c r="K2273" s="19" t="n"/>
      <c r="M2273" s="16" t="n"/>
      <c r="N2273" s="19" t="n"/>
    </row>
    <row r="2274">
      <c r="A2274" s="16" t="n"/>
      <c r="B2274" s="19" t="n"/>
      <c r="D2274" s="16" t="n"/>
      <c r="E2274" s="19" t="n"/>
      <c r="G2274" s="16" t="n"/>
      <c r="H2274" s="19" t="n"/>
      <c r="J2274" s="16" t="n"/>
      <c r="K2274" s="19" t="n"/>
      <c r="M2274" s="16" t="n"/>
      <c r="N2274" s="19" t="n"/>
    </row>
    <row r="2275">
      <c r="A2275" s="16" t="n"/>
      <c r="B2275" s="19" t="n"/>
      <c r="D2275" s="16" t="n"/>
      <c r="E2275" s="19" t="n"/>
      <c r="G2275" s="16" t="n"/>
      <c r="H2275" s="19" t="n"/>
      <c r="J2275" s="16" t="n"/>
      <c r="K2275" s="19" t="n"/>
      <c r="M2275" s="16" t="n"/>
      <c r="N2275" s="19" t="n"/>
    </row>
    <row r="2276">
      <c r="A2276" s="16" t="n"/>
      <c r="B2276" s="19" t="n"/>
      <c r="D2276" s="16" t="n"/>
      <c r="E2276" s="19" t="n"/>
      <c r="G2276" s="16" t="n"/>
      <c r="H2276" s="19" t="n"/>
      <c r="J2276" s="16" t="n"/>
      <c r="K2276" s="19" t="n"/>
      <c r="M2276" s="16" t="n"/>
      <c r="N2276" s="19" t="n"/>
    </row>
    <row r="2277">
      <c r="A2277" s="16" t="n"/>
      <c r="B2277" s="19" t="n"/>
      <c r="D2277" s="16" t="n"/>
      <c r="E2277" s="19" t="n"/>
      <c r="G2277" s="16" t="n"/>
      <c r="H2277" s="19" t="n"/>
      <c r="J2277" s="16" t="n"/>
      <c r="K2277" s="19" t="n"/>
      <c r="M2277" s="16" t="n"/>
      <c r="N2277" s="19" t="n"/>
    </row>
    <row r="2278">
      <c r="A2278" s="16" t="n"/>
      <c r="B2278" s="19" t="n"/>
      <c r="D2278" s="16" t="n"/>
      <c r="E2278" s="19" t="n"/>
      <c r="G2278" s="16" t="n"/>
      <c r="H2278" s="19" t="n"/>
      <c r="J2278" s="16" t="n"/>
      <c r="K2278" s="19" t="n"/>
      <c r="M2278" s="16" t="n"/>
      <c r="N2278" s="19" t="n"/>
    </row>
    <row r="2279">
      <c r="A2279" s="16" t="n"/>
      <c r="B2279" s="19" t="n"/>
      <c r="D2279" s="16" t="n"/>
      <c r="E2279" s="19" t="n"/>
      <c r="G2279" s="16" t="n"/>
      <c r="H2279" s="19" t="n"/>
      <c r="J2279" s="16" t="n"/>
      <c r="K2279" s="19" t="n"/>
      <c r="M2279" s="16" t="n"/>
      <c r="N2279" s="19" t="n"/>
    </row>
    <row r="2280">
      <c r="A2280" s="16" t="n"/>
      <c r="B2280" s="19" t="n"/>
      <c r="D2280" s="16" t="n"/>
      <c r="E2280" s="19" t="n"/>
      <c r="G2280" s="16" t="n"/>
      <c r="H2280" s="19" t="n"/>
      <c r="J2280" s="16" t="n"/>
      <c r="K2280" s="19" t="n"/>
      <c r="M2280" s="16" t="n"/>
      <c r="N2280" s="19" t="n"/>
    </row>
    <row r="2281">
      <c r="A2281" s="16" t="n"/>
      <c r="B2281" s="19" t="n"/>
      <c r="D2281" s="16" t="n"/>
      <c r="E2281" s="19" t="n"/>
      <c r="G2281" s="16" t="n"/>
      <c r="H2281" s="19" t="n"/>
      <c r="J2281" s="16" t="n"/>
      <c r="K2281" s="19" t="n"/>
      <c r="M2281" s="16" t="n"/>
      <c r="N2281" s="19" t="n"/>
    </row>
    <row r="2282">
      <c r="A2282" s="16" t="n"/>
      <c r="B2282" s="19" t="n"/>
      <c r="D2282" s="16" t="n"/>
      <c r="E2282" s="19" t="n"/>
      <c r="G2282" s="16" t="n"/>
      <c r="H2282" s="19" t="n"/>
      <c r="J2282" s="16" t="n"/>
      <c r="K2282" s="19" t="n"/>
      <c r="M2282" s="16" t="n"/>
      <c r="N2282" s="19" t="n"/>
    </row>
    <row r="2283">
      <c r="A2283" s="16" t="n"/>
      <c r="B2283" s="19" t="n"/>
      <c r="D2283" s="16" t="n"/>
      <c r="E2283" s="19" t="n"/>
      <c r="G2283" s="16" t="n"/>
      <c r="H2283" s="19" t="n"/>
      <c r="J2283" s="16" t="n"/>
      <c r="K2283" s="19" t="n"/>
      <c r="M2283" s="16" t="n"/>
      <c r="N2283" s="19" t="n"/>
    </row>
    <row r="2284">
      <c r="A2284" s="16" t="n"/>
      <c r="B2284" s="19" t="n"/>
      <c r="D2284" s="16" t="n"/>
      <c r="E2284" s="19" t="n"/>
      <c r="G2284" s="16" t="n"/>
      <c r="H2284" s="19" t="n"/>
      <c r="J2284" s="16" t="n"/>
      <c r="K2284" s="19" t="n"/>
      <c r="M2284" s="16" t="n"/>
      <c r="N2284" s="19" t="n"/>
    </row>
    <row r="2285">
      <c r="A2285" s="16" t="n"/>
      <c r="B2285" s="19" t="n"/>
      <c r="D2285" s="16" t="n"/>
      <c r="E2285" s="19" t="n"/>
      <c r="G2285" s="16" t="n"/>
      <c r="H2285" s="19" t="n"/>
      <c r="J2285" s="16" t="n"/>
      <c r="K2285" s="19" t="n"/>
      <c r="M2285" s="16" t="n"/>
      <c r="N2285" s="19" t="n"/>
    </row>
    <row r="2286">
      <c r="A2286" s="16" t="n"/>
      <c r="B2286" s="19" t="n"/>
      <c r="D2286" s="16" t="n"/>
      <c r="E2286" s="19" t="n"/>
      <c r="G2286" s="16" t="n"/>
      <c r="H2286" s="19" t="n"/>
      <c r="J2286" s="16" t="n"/>
      <c r="K2286" s="19" t="n"/>
      <c r="M2286" s="16" t="n"/>
      <c r="N2286" s="19" t="n"/>
    </row>
    <row r="2287">
      <c r="A2287" s="16" t="n"/>
      <c r="B2287" s="19" t="n"/>
      <c r="D2287" s="16" t="n"/>
      <c r="E2287" s="19" t="n"/>
      <c r="G2287" s="16" t="n"/>
      <c r="H2287" s="19" t="n"/>
      <c r="J2287" s="16" t="n"/>
      <c r="K2287" s="19" t="n"/>
      <c r="M2287" s="16" t="n"/>
      <c r="N2287" s="19" t="n"/>
    </row>
    <row r="2288">
      <c r="A2288" s="16" t="n"/>
      <c r="B2288" s="19" t="n"/>
      <c r="D2288" s="16" t="n"/>
      <c r="E2288" s="19" t="n"/>
      <c r="G2288" s="16" t="n"/>
      <c r="H2288" s="19" t="n"/>
      <c r="J2288" s="16" t="n"/>
      <c r="K2288" s="19" t="n"/>
      <c r="M2288" s="16" t="n"/>
      <c r="N2288" s="19" t="n"/>
    </row>
    <row r="2289">
      <c r="A2289" s="16" t="n"/>
      <c r="B2289" s="19" t="n"/>
      <c r="D2289" s="16" t="n"/>
      <c r="E2289" s="19" t="n"/>
      <c r="G2289" s="16" t="n"/>
      <c r="H2289" s="19" t="n"/>
      <c r="J2289" s="16" t="n"/>
      <c r="K2289" s="19" t="n"/>
      <c r="M2289" s="16" t="n"/>
      <c r="N2289" s="19" t="n"/>
    </row>
    <row r="2290">
      <c r="A2290" s="16" t="n"/>
      <c r="B2290" s="19" t="n"/>
      <c r="D2290" s="16" t="n"/>
      <c r="E2290" s="19" t="n"/>
      <c r="G2290" s="16" t="n"/>
      <c r="H2290" s="19" t="n"/>
      <c r="J2290" s="16" t="n"/>
      <c r="K2290" s="19" t="n"/>
      <c r="M2290" s="16" t="n"/>
      <c r="N2290" s="19" t="n"/>
    </row>
    <row r="2291">
      <c r="A2291" s="16" t="n"/>
      <c r="B2291" s="19" t="n"/>
      <c r="D2291" s="16" t="n"/>
      <c r="E2291" s="19" t="n"/>
      <c r="G2291" s="16" t="n"/>
      <c r="H2291" s="19" t="n"/>
      <c r="J2291" s="16" t="n"/>
      <c r="K2291" s="19" t="n"/>
      <c r="M2291" s="16" t="n"/>
      <c r="N2291" s="19" t="n"/>
    </row>
    <row r="2292">
      <c r="A2292" s="16" t="n"/>
      <c r="B2292" s="19" t="n"/>
      <c r="D2292" s="16" t="n"/>
      <c r="E2292" s="19" t="n"/>
      <c r="G2292" s="16" t="n"/>
      <c r="H2292" s="19" t="n"/>
      <c r="J2292" s="16" t="n"/>
      <c r="K2292" s="19" t="n"/>
      <c r="M2292" s="16" t="n"/>
      <c r="N2292" s="19" t="n"/>
    </row>
    <row r="2293">
      <c r="A2293" s="16" t="n"/>
      <c r="B2293" s="19" t="n"/>
      <c r="D2293" s="16" t="n"/>
      <c r="E2293" s="19" t="n"/>
      <c r="G2293" s="16" t="n"/>
      <c r="H2293" s="19" t="n"/>
      <c r="J2293" s="16" t="n"/>
      <c r="K2293" s="19" t="n"/>
      <c r="M2293" s="16" t="n"/>
      <c r="N2293" s="19" t="n"/>
    </row>
    <row r="2294">
      <c r="A2294" s="16" t="n"/>
      <c r="B2294" s="19" t="n"/>
      <c r="D2294" s="16" t="n"/>
      <c r="E2294" s="19" t="n"/>
      <c r="G2294" s="16" t="n"/>
      <c r="H2294" s="19" t="n"/>
      <c r="J2294" s="16" t="n"/>
      <c r="K2294" s="19" t="n"/>
      <c r="M2294" s="16" t="n"/>
      <c r="N2294" s="19" t="n"/>
    </row>
    <row r="2295">
      <c r="A2295" s="16" t="n"/>
      <c r="B2295" s="19" t="n"/>
      <c r="D2295" s="16" t="n"/>
      <c r="E2295" s="19" t="n"/>
      <c r="G2295" s="16" t="n"/>
      <c r="H2295" s="19" t="n"/>
      <c r="J2295" s="16" t="n"/>
      <c r="K2295" s="19" t="n"/>
      <c r="M2295" s="16" t="n"/>
      <c r="N2295" s="19" t="n"/>
    </row>
    <row r="2296">
      <c r="A2296" s="16" t="n"/>
      <c r="B2296" s="19" t="n"/>
      <c r="D2296" s="16" t="n"/>
      <c r="E2296" s="19" t="n"/>
      <c r="G2296" s="16" t="n"/>
      <c r="H2296" s="19" t="n"/>
      <c r="J2296" s="16" t="n"/>
      <c r="K2296" s="19" t="n"/>
      <c r="M2296" s="16" t="n"/>
      <c r="N2296" s="19" t="n"/>
    </row>
    <row r="2297">
      <c r="A2297" s="16" t="n"/>
      <c r="B2297" s="19" t="n"/>
      <c r="D2297" s="16" t="n"/>
      <c r="E2297" s="19" t="n"/>
      <c r="G2297" s="16" t="n"/>
      <c r="H2297" s="19" t="n"/>
      <c r="J2297" s="16" t="n"/>
      <c r="K2297" s="19" t="n"/>
      <c r="M2297" s="16" t="n"/>
      <c r="N2297" s="19" t="n"/>
    </row>
    <row r="2298">
      <c r="A2298" s="16" t="n"/>
      <c r="B2298" s="19" t="n"/>
      <c r="D2298" s="16" t="n"/>
      <c r="E2298" s="19" t="n"/>
      <c r="G2298" s="16" t="n"/>
      <c r="H2298" s="19" t="n"/>
      <c r="J2298" s="16" t="n"/>
      <c r="K2298" s="19" t="n"/>
      <c r="M2298" s="16" t="n"/>
      <c r="N2298" s="19" t="n"/>
    </row>
    <row r="2299">
      <c r="A2299" s="16" t="n"/>
      <c r="B2299" s="19" t="n"/>
      <c r="D2299" s="16" t="n"/>
      <c r="E2299" s="19" t="n"/>
      <c r="G2299" s="16" t="n"/>
      <c r="H2299" s="19" t="n"/>
      <c r="J2299" s="16" t="n"/>
      <c r="K2299" s="19" t="n"/>
      <c r="M2299" s="16" t="n"/>
      <c r="N2299" s="19" t="n"/>
    </row>
    <row r="2300">
      <c r="A2300" s="16" t="n"/>
      <c r="B2300" s="19" t="n"/>
      <c r="D2300" s="16" t="n"/>
      <c r="E2300" s="19" t="n"/>
      <c r="G2300" s="16" t="n"/>
      <c r="H2300" s="19" t="n"/>
      <c r="J2300" s="16" t="n"/>
      <c r="K2300" s="19" t="n"/>
      <c r="M2300" s="16" t="n"/>
      <c r="N2300" s="19" t="n"/>
    </row>
    <row r="2301">
      <c r="A2301" s="16" t="n"/>
      <c r="B2301" s="19" t="n"/>
      <c r="D2301" s="16" t="n"/>
      <c r="E2301" s="19" t="n"/>
      <c r="G2301" s="16" t="n"/>
      <c r="H2301" s="19" t="n"/>
      <c r="J2301" s="16" t="n"/>
      <c r="K2301" s="19" t="n"/>
      <c r="M2301" s="16" t="n"/>
      <c r="N2301" s="19" t="n"/>
    </row>
    <row r="2302">
      <c r="A2302" s="16" t="n"/>
      <c r="B2302" s="19" t="n"/>
      <c r="D2302" s="16" t="n"/>
      <c r="E2302" s="19" t="n"/>
      <c r="G2302" s="16" t="n"/>
      <c r="H2302" s="19" t="n"/>
      <c r="J2302" s="16" t="n"/>
      <c r="K2302" s="19" t="n"/>
      <c r="M2302" s="16" t="n"/>
      <c r="N2302" s="19" t="n"/>
    </row>
    <row r="2303">
      <c r="A2303" s="16" t="n"/>
      <c r="B2303" s="19" t="n"/>
      <c r="D2303" s="16" t="n"/>
      <c r="E2303" s="19" t="n"/>
      <c r="G2303" s="16" t="n"/>
      <c r="H2303" s="19" t="n"/>
      <c r="J2303" s="16" t="n"/>
      <c r="K2303" s="19" t="n"/>
      <c r="M2303" s="16" t="n"/>
      <c r="N2303" s="19" t="n"/>
    </row>
    <row r="2304">
      <c r="A2304" s="16" t="n"/>
      <c r="B2304" s="19" t="n"/>
      <c r="D2304" s="16" t="n"/>
      <c r="E2304" s="19" t="n"/>
      <c r="G2304" s="16" t="n"/>
      <c r="H2304" s="19" t="n"/>
      <c r="J2304" s="16" t="n"/>
      <c r="K2304" s="19" t="n"/>
      <c r="M2304" s="16" t="n"/>
      <c r="N2304" s="19" t="n"/>
    </row>
    <row r="2305">
      <c r="A2305" s="16" t="n"/>
      <c r="B2305" s="19" t="n"/>
      <c r="D2305" s="16" t="n"/>
      <c r="E2305" s="19" t="n"/>
      <c r="G2305" s="16" t="n"/>
      <c r="H2305" s="19" t="n"/>
      <c r="J2305" s="16" t="n"/>
      <c r="K2305" s="19" t="n"/>
      <c r="M2305" s="16" t="n"/>
      <c r="N2305" s="19" t="n"/>
    </row>
    <row r="2306">
      <c r="A2306" s="16" t="n"/>
      <c r="B2306" s="19" t="n"/>
      <c r="D2306" s="16" t="n"/>
      <c r="E2306" s="19" t="n"/>
      <c r="G2306" s="16" t="n"/>
      <c r="H2306" s="19" t="n"/>
      <c r="J2306" s="16" t="n"/>
      <c r="K2306" s="19" t="n"/>
      <c r="M2306" s="16" t="n"/>
      <c r="N2306" s="19" t="n"/>
    </row>
    <row r="2307">
      <c r="A2307" s="16" t="n"/>
      <c r="B2307" s="19" t="n"/>
      <c r="D2307" s="16" t="n"/>
      <c r="E2307" s="19" t="n"/>
      <c r="G2307" s="16" t="n"/>
      <c r="H2307" s="19" t="n"/>
      <c r="J2307" s="16" t="n"/>
      <c r="K2307" s="19" t="n"/>
      <c r="M2307" s="16" t="n"/>
      <c r="N2307" s="19" t="n"/>
    </row>
    <row r="2308">
      <c r="A2308" s="16" t="n"/>
      <c r="B2308" s="19" t="n"/>
      <c r="D2308" s="16" t="n"/>
      <c r="E2308" s="19" t="n"/>
      <c r="G2308" s="16" t="n"/>
      <c r="H2308" s="19" t="n"/>
      <c r="J2308" s="16" t="n"/>
      <c r="K2308" s="19" t="n"/>
      <c r="M2308" s="16" t="n"/>
      <c r="N2308" s="19" t="n"/>
    </row>
    <row r="2309">
      <c r="A2309" s="16" t="n"/>
      <c r="B2309" s="19" t="n"/>
      <c r="D2309" s="16" t="n"/>
      <c r="E2309" s="19" t="n"/>
      <c r="G2309" s="16" t="n"/>
      <c r="H2309" s="19" t="n"/>
      <c r="J2309" s="16" t="n"/>
      <c r="K2309" s="19" t="n"/>
      <c r="M2309" s="16" t="n"/>
      <c r="N2309" s="19" t="n"/>
    </row>
    <row r="2310">
      <c r="A2310" s="16" t="n"/>
      <c r="B2310" s="19" t="n"/>
      <c r="D2310" s="16" t="n"/>
      <c r="E2310" s="19" t="n"/>
      <c r="G2310" s="16" t="n"/>
      <c r="H2310" s="19" t="n"/>
      <c r="J2310" s="16" t="n"/>
      <c r="K2310" s="19" t="n"/>
      <c r="M2310" s="16" t="n"/>
      <c r="N2310" s="19" t="n"/>
    </row>
    <row r="2311">
      <c r="A2311" s="16" t="n"/>
      <c r="B2311" s="19" t="n"/>
      <c r="D2311" s="16" t="n"/>
      <c r="E2311" s="19" t="n"/>
      <c r="G2311" s="16" t="n"/>
      <c r="H2311" s="19" t="n"/>
      <c r="J2311" s="16" t="n"/>
      <c r="K2311" s="19" t="n"/>
      <c r="M2311" s="16" t="n"/>
      <c r="N2311" s="19" t="n"/>
    </row>
    <row r="2312">
      <c r="A2312" s="16" t="n"/>
      <c r="B2312" s="19" t="n"/>
      <c r="D2312" s="16" t="n"/>
      <c r="E2312" s="19" t="n"/>
      <c r="G2312" s="16" t="n"/>
      <c r="H2312" s="19" t="n"/>
      <c r="J2312" s="16" t="n"/>
      <c r="K2312" s="19" t="n"/>
      <c r="M2312" s="16" t="n"/>
      <c r="N2312" s="19" t="n"/>
    </row>
    <row r="2313">
      <c r="A2313" s="16" t="n"/>
      <c r="B2313" s="19" t="n"/>
      <c r="D2313" s="16" t="n"/>
      <c r="E2313" s="19" t="n"/>
      <c r="G2313" s="16" t="n"/>
      <c r="H2313" s="19" t="n"/>
      <c r="J2313" s="16" t="n"/>
      <c r="K2313" s="19" t="n"/>
      <c r="M2313" s="16" t="n"/>
      <c r="N2313" s="19" t="n"/>
    </row>
    <row r="2314">
      <c r="A2314" s="16" t="n"/>
      <c r="B2314" s="19" t="n"/>
      <c r="D2314" s="16" t="n"/>
      <c r="E2314" s="19" t="n"/>
      <c r="G2314" s="16" t="n"/>
      <c r="H2314" s="19" t="n"/>
      <c r="J2314" s="16" t="n"/>
      <c r="K2314" s="19" t="n"/>
      <c r="M2314" s="16" t="n"/>
      <c r="N2314" s="19" t="n"/>
    </row>
    <row r="2315">
      <c r="A2315" s="16" t="n"/>
      <c r="B2315" s="19" t="n"/>
      <c r="D2315" s="16" t="n"/>
      <c r="E2315" s="19" t="n"/>
      <c r="G2315" s="16" t="n"/>
      <c r="H2315" s="19" t="n"/>
      <c r="J2315" s="16" t="n"/>
      <c r="K2315" s="19" t="n"/>
      <c r="M2315" s="16" t="n"/>
      <c r="N2315" s="19" t="n"/>
    </row>
    <row r="2316">
      <c r="A2316" s="16" t="n"/>
      <c r="B2316" s="19" t="n"/>
      <c r="D2316" s="16" t="n"/>
      <c r="E2316" s="19" t="n"/>
      <c r="G2316" s="16" t="n"/>
      <c r="H2316" s="19" t="n"/>
      <c r="J2316" s="16" t="n"/>
      <c r="K2316" s="19" t="n"/>
      <c r="M2316" s="16" t="n"/>
      <c r="N2316" s="19" t="n"/>
    </row>
    <row r="2317">
      <c r="A2317" s="16" t="n"/>
      <c r="B2317" s="19" t="n"/>
      <c r="D2317" s="16" t="n"/>
      <c r="E2317" s="19" t="n"/>
      <c r="G2317" s="16" t="n"/>
      <c r="H2317" s="19" t="n"/>
      <c r="J2317" s="16" t="n"/>
      <c r="K2317" s="19" t="n"/>
      <c r="M2317" s="16" t="n"/>
      <c r="N2317" s="19" t="n"/>
    </row>
    <row r="2318">
      <c r="A2318" s="16" t="n"/>
      <c r="B2318" s="19" t="n"/>
      <c r="D2318" s="16" t="n"/>
      <c r="E2318" s="19" t="n"/>
      <c r="G2318" s="16" t="n"/>
      <c r="H2318" s="19" t="n"/>
      <c r="J2318" s="16" t="n"/>
      <c r="K2318" s="19" t="n"/>
      <c r="M2318" s="16" t="n"/>
      <c r="N2318" s="19" t="n"/>
    </row>
    <row r="2319">
      <c r="A2319" s="16" t="n"/>
      <c r="B2319" s="19" t="n"/>
      <c r="D2319" s="16" t="n"/>
      <c r="E2319" s="19" t="n"/>
      <c r="G2319" s="16" t="n"/>
      <c r="H2319" s="19" t="n"/>
      <c r="J2319" s="16" t="n"/>
      <c r="K2319" s="19" t="n"/>
      <c r="M2319" s="16" t="n"/>
      <c r="N2319" s="19" t="n"/>
    </row>
    <row r="2320">
      <c r="A2320" s="16" t="n"/>
      <c r="B2320" s="19" t="n"/>
      <c r="D2320" s="16" t="n"/>
      <c r="E2320" s="19" t="n"/>
      <c r="G2320" s="16" t="n"/>
      <c r="H2320" s="19" t="n"/>
      <c r="J2320" s="16" t="n"/>
      <c r="K2320" s="19" t="n"/>
      <c r="M2320" s="16" t="n"/>
      <c r="N2320" s="19" t="n"/>
    </row>
    <row r="2321">
      <c r="A2321" s="16" t="n"/>
      <c r="B2321" s="19" t="n"/>
      <c r="D2321" s="16" t="n"/>
      <c r="E2321" s="19" t="n"/>
      <c r="G2321" s="16" t="n"/>
      <c r="H2321" s="19" t="n"/>
      <c r="J2321" s="16" t="n"/>
      <c r="K2321" s="19" t="n"/>
      <c r="M2321" s="16" t="n"/>
      <c r="N2321" s="19" t="n"/>
    </row>
    <row r="2322">
      <c r="A2322" s="16" t="n"/>
      <c r="B2322" s="19" t="n"/>
      <c r="D2322" s="16" t="n"/>
      <c r="E2322" s="19" t="n"/>
      <c r="G2322" s="16" t="n"/>
      <c r="H2322" s="19" t="n"/>
      <c r="J2322" s="16" t="n"/>
      <c r="K2322" s="19" t="n"/>
      <c r="M2322" s="16" t="n"/>
      <c r="N2322" s="19" t="n"/>
    </row>
    <row r="2323">
      <c r="A2323" s="16" t="n"/>
      <c r="B2323" s="19" t="n"/>
      <c r="D2323" s="16" t="n"/>
      <c r="E2323" s="19" t="n"/>
      <c r="G2323" s="16" t="n"/>
      <c r="H2323" s="19" t="n"/>
      <c r="J2323" s="16" t="n"/>
      <c r="K2323" s="19" t="n"/>
      <c r="M2323" s="16" t="n"/>
      <c r="N2323" s="19" t="n"/>
    </row>
    <row r="2324">
      <c r="A2324" s="16" t="n"/>
      <c r="B2324" s="19" t="n"/>
      <c r="D2324" s="16" t="n"/>
      <c r="E2324" s="19" t="n"/>
      <c r="G2324" s="16" t="n"/>
      <c r="H2324" s="19" t="n"/>
      <c r="J2324" s="16" t="n"/>
      <c r="K2324" s="19" t="n"/>
      <c r="M2324" s="16" t="n"/>
      <c r="N2324" s="19" t="n"/>
    </row>
    <row r="2325">
      <c r="A2325" s="16" t="n"/>
      <c r="B2325" s="19" t="n"/>
      <c r="D2325" s="16" t="n"/>
      <c r="E2325" s="19" t="n"/>
      <c r="G2325" s="16" t="n"/>
      <c r="H2325" s="19" t="n"/>
      <c r="J2325" s="16" t="n"/>
      <c r="K2325" s="19" t="n"/>
      <c r="M2325" s="16" t="n"/>
      <c r="N2325" s="19" t="n"/>
    </row>
    <row r="2326">
      <c r="A2326" s="16" t="n"/>
      <c r="B2326" s="19" t="n"/>
      <c r="D2326" s="16" t="n"/>
      <c r="E2326" s="19" t="n"/>
      <c r="G2326" s="16" t="n"/>
      <c r="H2326" s="19" t="n"/>
      <c r="J2326" s="16" t="n"/>
      <c r="K2326" s="19" t="n"/>
      <c r="M2326" s="16" t="n"/>
      <c r="N2326" s="19" t="n"/>
    </row>
    <row r="2327">
      <c r="A2327" s="16" t="n"/>
      <c r="B2327" s="19" t="n"/>
      <c r="D2327" s="16" t="n"/>
      <c r="E2327" s="19" t="n"/>
      <c r="G2327" s="16" t="n"/>
      <c r="H2327" s="19" t="n"/>
      <c r="J2327" s="16" t="n"/>
      <c r="K2327" s="19" t="n"/>
      <c r="M2327" s="16" t="n"/>
      <c r="N2327" s="19" t="n"/>
    </row>
    <row r="2328">
      <c r="A2328" s="16" t="n"/>
      <c r="B2328" s="19" t="n"/>
      <c r="D2328" s="16" t="n"/>
      <c r="E2328" s="19" t="n"/>
      <c r="G2328" s="16" t="n"/>
      <c r="H2328" s="19" t="n"/>
      <c r="J2328" s="16" t="n"/>
      <c r="K2328" s="19" t="n"/>
      <c r="M2328" s="16" t="n"/>
      <c r="N2328" s="19" t="n"/>
    </row>
    <row r="2329">
      <c r="A2329" s="16" t="n"/>
      <c r="B2329" s="19" t="n"/>
      <c r="D2329" s="16" t="n"/>
      <c r="E2329" s="19" t="n"/>
      <c r="G2329" s="16" t="n"/>
      <c r="H2329" s="19" t="n"/>
      <c r="J2329" s="16" t="n"/>
      <c r="K2329" s="19" t="n"/>
      <c r="M2329" s="16" t="n"/>
      <c r="N2329" s="19" t="n"/>
    </row>
    <row r="2330">
      <c r="A2330" s="16" t="n"/>
      <c r="B2330" s="19" t="n"/>
      <c r="D2330" s="16" t="n"/>
      <c r="E2330" s="19" t="n"/>
      <c r="G2330" s="16" t="n"/>
      <c r="H2330" s="19" t="n"/>
      <c r="J2330" s="16" t="n"/>
      <c r="K2330" s="19" t="n"/>
      <c r="M2330" s="16" t="n"/>
      <c r="N2330" s="19" t="n"/>
    </row>
    <row r="2331">
      <c r="A2331" s="16" t="n"/>
      <c r="B2331" s="19" t="n"/>
      <c r="D2331" s="16" t="n"/>
      <c r="E2331" s="19" t="n"/>
      <c r="G2331" s="16" t="n"/>
      <c r="H2331" s="19" t="n"/>
      <c r="J2331" s="16" t="n"/>
      <c r="K2331" s="19" t="n"/>
      <c r="M2331" s="16" t="n"/>
      <c r="N2331" s="19" t="n"/>
    </row>
    <row r="2332">
      <c r="A2332" s="16" t="n"/>
      <c r="B2332" s="19" t="n"/>
      <c r="D2332" s="16" t="n"/>
      <c r="E2332" s="19" t="n"/>
      <c r="G2332" s="16" t="n"/>
      <c r="H2332" s="19" t="n"/>
      <c r="J2332" s="16" t="n"/>
      <c r="K2332" s="19" t="n"/>
      <c r="M2332" s="16" t="n"/>
      <c r="N2332" s="19" t="n"/>
    </row>
    <row r="2333">
      <c r="A2333" s="16" t="n"/>
      <c r="B2333" s="19" t="n"/>
      <c r="D2333" s="16" t="n"/>
      <c r="E2333" s="19" t="n"/>
      <c r="G2333" s="16" t="n"/>
      <c r="H2333" s="19" t="n"/>
      <c r="J2333" s="16" t="n"/>
      <c r="K2333" s="19" t="n"/>
      <c r="M2333" s="16" t="n"/>
      <c r="N2333" s="19" t="n"/>
    </row>
    <row r="2334">
      <c r="A2334" s="16" t="n"/>
      <c r="B2334" s="19" t="n"/>
      <c r="D2334" s="16" t="n"/>
      <c r="E2334" s="19" t="n"/>
      <c r="G2334" s="16" t="n"/>
      <c r="H2334" s="19" t="n"/>
      <c r="J2334" s="16" t="n"/>
      <c r="K2334" s="19" t="n"/>
      <c r="M2334" s="16" t="n"/>
      <c r="N2334" s="19" t="n"/>
    </row>
    <row r="2335">
      <c r="A2335" s="16" t="n"/>
      <c r="B2335" s="19" t="n"/>
      <c r="D2335" s="16" t="n"/>
      <c r="E2335" s="19" t="n"/>
      <c r="G2335" s="16" t="n"/>
      <c r="H2335" s="19" t="n"/>
      <c r="J2335" s="16" t="n"/>
      <c r="K2335" s="19" t="n"/>
      <c r="M2335" s="16" t="n"/>
      <c r="N2335" s="19" t="n"/>
    </row>
    <row r="2336">
      <c r="A2336" s="16" t="n"/>
      <c r="B2336" s="19" t="n"/>
      <c r="D2336" s="16" t="n"/>
      <c r="E2336" s="19" t="n"/>
      <c r="G2336" s="16" t="n"/>
      <c r="H2336" s="19" t="n"/>
      <c r="J2336" s="16" t="n"/>
      <c r="K2336" s="19" t="n"/>
      <c r="M2336" s="16" t="n"/>
      <c r="N2336" s="19" t="n"/>
    </row>
    <row r="2337">
      <c r="A2337" s="16" t="n"/>
      <c r="B2337" s="19" t="n"/>
      <c r="D2337" s="16" t="n"/>
      <c r="E2337" s="19" t="n"/>
      <c r="G2337" s="16" t="n"/>
      <c r="H2337" s="19" t="n"/>
      <c r="J2337" s="16" t="n"/>
      <c r="K2337" s="19" t="n"/>
      <c r="M2337" s="16" t="n"/>
      <c r="N2337" s="19" t="n"/>
    </row>
    <row r="2338">
      <c r="A2338" s="16" t="n"/>
      <c r="B2338" s="19" t="n"/>
      <c r="D2338" s="16" t="n"/>
      <c r="E2338" s="19" t="n"/>
      <c r="G2338" s="16" t="n"/>
      <c r="H2338" s="19" t="n"/>
      <c r="J2338" s="16" t="n"/>
      <c r="K2338" s="19" t="n"/>
      <c r="M2338" s="16" t="n"/>
      <c r="N2338" s="19" t="n"/>
    </row>
    <row r="2339">
      <c r="A2339" s="16" t="n"/>
      <c r="B2339" s="19" t="n"/>
      <c r="D2339" s="16" t="n"/>
      <c r="E2339" s="19" t="n"/>
      <c r="G2339" s="16" t="n"/>
      <c r="H2339" s="19" t="n"/>
      <c r="J2339" s="16" t="n"/>
      <c r="K2339" s="19" t="n"/>
      <c r="M2339" s="16" t="n"/>
      <c r="N2339" s="19" t="n"/>
    </row>
    <row r="2340">
      <c r="A2340" s="16" t="n"/>
      <c r="B2340" s="19" t="n"/>
      <c r="D2340" s="16" t="n"/>
      <c r="E2340" s="19" t="n"/>
      <c r="G2340" s="16" t="n"/>
      <c r="H2340" s="19" t="n"/>
      <c r="J2340" s="16" t="n"/>
      <c r="K2340" s="19" t="n"/>
      <c r="M2340" s="16" t="n"/>
      <c r="N2340" s="19" t="n"/>
    </row>
    <row r="2341">
      <c r="A2341" s="16" t="n"/>
      <c r="B2341" s="19" t="n"/>
      <c r="D2341" s="16" t="n"/>
      <c r="E2341" s="19" t="n"/>
      <c r="G2341" s="16" t="n"/>
      <c r="H2341" s="19" t="n"/>
      <c r="J2341" s="16" t="n"/>
      <c r="K2341" s="19" t="n"/>
      <c r="M2341" s="16" t="n"/>
      <c r="N2341" s="19" t="n"/>
    </row>
    <row r="2342">
      <c r="A2342" s="16" t="n"/>
      <c r="B2342" s="19" t="n"/>
      <c r="D2342" s="16" t="n"/>
      <c r="E2342" s="19" t="n"/>
      <c r="G2342" s="16" t="n"/>
      <c r="H2342" s="19" t="n"/>
      <c r="J2342" s="16" t="n"/>
      <c r="K2342" s="19" t="n"/>
      <c r="M2342" s="16" t="n"/>
      <c r="N2342" s="19" t="n"/>
    </row>
    <row r="2343">
      <c r="A2343" s="16" t="n"/>
      <c r="B2343" s="19" t="n"/>
      <c r="D2343" s="16" t="n"/>
      <c r="E2343" s="19" t="n"/>
      <c r="G2343" s="16" t="n"/>
      <c r="H2343" s="19" t="n"/>
      <c r="J2343" s="16" t="n"/>
      <c r="K2343" s="19" t="n"/>
      <c r="M2343" s="16" t="n"/>
      <c r="N2343" s="19" t="n"/>
    </row>
    <row r="2344">
      <c r="A2344" s="16" t="n"/>
      <c r="B2344" s="19" t="n"/>
      <c r="D2344" s="16" t="n"/>
      <c r="E2344" s="19" t="n"/>
      <c r="G2344" s="16" t="n"/>
      <c r="H2344" s="19" t="n"/>
      <c r="J2344" s="16" t="n"/>
      <c r="K2344" s="19" t="n"/>
      <c r="M2344" s="16" t="n"/>
      <c r="N2344" s="19" t="n"/>
    </row>
    <row r="2345">
      <c r="A2345" s="16" t="n"/>
      <c r="B2345" s="19" t="n"/>
      <c r="D2345" s="16" t="n"/>
      <c r="E2345" s="19" t="n"/>
      <c r="G2345" s="16" t="n"/>
      <c r="H2345" s="19" t="n"/>
      <c r="J2345" s="16" t="n"/>
      <c r="K2345" s="19" t="n"/>
      <c r="M2345" s="16" t="n"/>
      <c r="N2345" s="19" t="n"/>
    </row>
    <row r="2346">
      <c r="A2346" s="16" t="n"/>
      <c r="B2346" s="19" t="n"/>
      <c r="D2346" s="16" t="n"/>
      <c r="E2346" s="19" t="n"/>
      <c r="G2346" s="16" t="n"/>
      <c r="H2346" s="19" t="n"/>
      <c r="J2346" s="16" t="n"/>
      <c r="K2346" s="19" t="n"/>
      <c r="M2346" s="16" t="n"/>
      <c r="N2346" s="19" t="n"/>
    </row>
    <row r="2347">
      <c r="A2347" s="16" t="n"/>
      <c r="B2347" s="19" t="n"/>
      <c r="D2347" s="16" t="n"/>
      <c r="E2347" s="19" t="n"/>
      <c r="G2347" s="16" t="n"/>
      <c r="H2347" s="19" t="n"/>
      <c r="J2347" s="16" t="n"/>
      <c r="K2347" s="19" t="n"/>
      <c r="M2347" s="16" t="n"/>
      <c r="N2347" s="19" t="n"/>
    </row>
    <row r="2348">
      <c r="A2348" s="16" t="n"/>
      <c r="B2348" s="19" t="n"/>
      <c r="D2348" s="16" t="n"/>
      <c r="E2348" s="19" t="n"/>
      <c r="G2348" s="16" t="n"/>
      <c r="H2348" s="19" t="n"/>
      <c r="J2348" s="16" t="n"/>
      <c r="K2348" s="19" t="n"/>
      <c r="M2348" s="16" t="n"/>
      <c r="N2348" s="19" t="n"/>
    </row>
    <row r="2349">
      <c r="A2349" s="16" t="n"/>
      <c r="B2349" s="19" t="n"/>
      <c r="D2349" s="16" t="n"/>
      <c r="E2349" s="19" t="n"/>
      <c r="G2349" s="16" t="n"/>
      <c r="H2349" s="19" t="n"/>
      <c r="J2349" s="16" t="n"/>
      <c r="K2349" s="19" t="n"/>
      <c r="M2349" s="16" t="n"/>
      <c r="N2349" s="19" t="n"/>
    </row>
    <row r="2350">
      <c r="A2350" s="16" t="n"/>
      <c r="B2350" s="19" t="n"/>
      <c r="D2350" s="16" t="n"/>
      <c r="E2350" s="19" t="n"/>
      <c r="G2350" s="16" t="n"/>
      <c r="H2350" s="19" t="n"/>
      <c r="J2350" s="16" t="n"/>
      <c r="K2350" s="19" t="n"/>
      <c r="M2350" s="16" t="n"/>
      <c r="N2350" s="19" t="n"/>
    </row>
    <row r="2351">
      <c r="A2351" s="16" t="n"/>
      <c r="B2351" s="19" t="n"/>
      <c r="D2351" s="16" t="n"/>
      <c r="E2351" s="19" t="n"/>
      <c r="G2351" s="16" t="n"/>
      <c r="H2351" s="19" t="n"/>
      <c r="J2351" s="16" t="n"/>
      <c r="K2351" s="19" t="n"/>
      <c r="M2351" s="16" t="n"/>
      <c r="N2351" s="19" t="n"/>
    </row>
    <row r="2352">
      <c r="A2352" s="16" t="n"/>
      <c r="B2352" s="19" t="n"/>
      <c r="D2352" s="16" t="n"/>
      <c r="E2352" s="19" t="n"/>
      <c r="G2352" s="16" t="n"/>
      <c r="H2352" s="19" t="n"/>
      <c r="J2352" s="16" t="n"/>
      <c r="K2352" s="19" t="n"/>
      <c r="M2352" s="16" t="n"/>
      <c r="N2352" s="19" t="n"/>
    </row>
    <row r="2353">
      <c r="A2353" s="16" t="n"/>
      <c r="B2353" s="19" t="n"/>
      <c r="D2353" s="16" t="n"/>
      <c r="E2353" s="19" t="n"/>
      <c r="G2353" s="16" t="n"/>
      <c r="H2353" s="19" t="n"/>
      <c r="J2353" s="16" t="n"/>
      <c r="K2353" s="19" t="n"/>
      <c r="M2353" s="16" t="n"/>
      <c r="N2353" s="19" t="n"/>
    </row>
    <row r="2354">
      <c r="A2354" s="16" t="n"/>
      <c r="B2354" s="19" t="n"/>
      <c r="D2354" s="16" t="n"/>
      <c r="E2354" s="19" t="n"/>
      <c r="G2354" s="16" t="n"/>
      <c r="H2354" s="19" t="n"/>
      <c r="J2354" s="16" t="n"/>
      <c r="K2354" s="19" t="n"/>
      <c r="M2354" s="16" t="n"/>
      <c r="N2354" s="19" t="n"/>
    </row>
    <row r="2355">
      <c r="A2355" s="16" t="n"/>
      <c r="B2355" s="19" t="n"/>
      <c r="D2355" s="16" t="n"/>
      <c r="E2355" s="19" t="n"/>
      <c r="G2355" s="16" t="n"/>
      <c r="H2355" s="19" t="n"/>
      <c r="J2355" s="16" t="n"/>
      <c r="K2355" s="19" t="n"/>
      <c r="M2355" s="16" t="n"/>
      <c r="N2355" s="19" t="n"/>
    </row>
    <row r="2356">
      <c r="A2356" s="16" t="n"/>
      <c r="B2356" s="19" t="n"/>
      <c r="D2356" s="16" t="n"/>
      <c r="E2356" s="19" t="n"/>
      <c r="G2356" s="16" t="n"/>
      <c r="H2356" s="19" t="n"/>
      <c r="J2356" s="16" t="n"/>
      <c r="K2356" s="19" t="n"/>
      <c r="M2356" s="16" t="n"/>
      <c r="N2356" s="19" t="n"/>
    </row>
    <row r="2357">
      <c r="A2357" s="16" t="n"/>
      <c r="B2357" s="19" t="n"/>
      <c r="D2357" s="16" t="n"/>
      <c r="E2357" s="19" t="n"/>
      <c r="G2357" s="16" t="n"/>
      <c r="H2357" s="19" t="n"/>
      <c r="J2357" s="16" t="n"/>
      <c r="K2357" s="19" t="n"/>
      <c r="M2357" s="16" t="n"/>
      <c r="N2357" s="19" t="n"/>
    </row>
    <row r="2358">
      <c r="A2358" s="16" t="n"/>
      <c r="B2358" s="19" t="n"/>
      <c r="D2358" s="16" t="n"/>
      <c r="E2358" s="19" t="n"/>
      <c r="G2358" s="16" t="n"/>
      <c r="H2358" s="19" t="n"/>
      <c r="J2358" s="16" t="n"/>
      <c r="K2358" s="19" t="n"/>
      <c r="M2358" s="16" t="n"/>
      <c r="N2358" s="19" t="n"/>
    </row>
    <row r="2359">
      <c r="A2359" s="16" t="n"/>
      <c r="B2359" s="19" t="n"/>
      <c r="D2359" s="16" t="n"/>
      <c r="E2359" s="19" t="n"/>
      <c r="G2359" s="16" t="n"/>
      <c r="H2359" s="19" t="n"/>
      <c r="J2359" s="16" t="n"/>
      <c r="K2359" s="19" t="n"/>
      <c r="M2359" s="16" t="n"/>
      <c r="N2359" s="19" t="n"/>
    </row>
    <row r="2360">
      <c r="A2360" s="16" t="n"/>
      <c r="B2360" s="19" t="n"/>
      <c r="D2360" s="16" t="n"/>
      <c r="E2360" s="19" t="n"/>
      <c r="G2360" s="16" t="n"/>
      <c r="H2360" s="19" t="n"/>
      <c r="J2360" s="16" t="n"/>
      <c r="K2360" s="19" t="n"/>
      <c r="M2360" s="16" t="n"/>
      <c r="N2360" s="19" t="n"/>
    </row>
    <row r="2361">
      <c r="A2361" s="16" t="n"/>
      <c r="B2361" s="19" t="n"/>
      <c r="D2361" s="16" t="n"/>
      <c r="E2361" s="19" t="n"/>
      <c r="G2361" s="16" t="n"/>
      <c r="H2361" s="19" t="n"/>
      <c r="J2361" s="16" t="n"/>
      <c r="K2361" s="19" t="n"/>
      <c r="M2361" s="16" t="n"/>
      <c r="N2361" s="19" t="n"/>
    </row>
    <row r="2362">
      <c r="A2362" s="16" t="n"/>
      <c r="B2362" s="19" t="n"/>
      <c r="D2362" s="16" t="n"/>
      <c r="E2362" s="19" t="n"/>
      <c r="G2362" s="16" t="n"/>
      <c r="H2362" s="19" t="n"/>
      <c r="J2362" s="16" t="n"/>
      <c r="K2362" s="19" t="n"/>
      <c r="M2362" s="16" t="n"/>
      <c r="N2362" s="19" t="n"/>
    </row>
    <row r="2363">
      <c r="A2363" s="16" t="n"/>
      <c r="B2363" s="19" t="n"/>
      <c r="D2363" s="16" t="n"/>
      <c r="E2363" s="19" t="n"/>
      <c r="G2363" s="16" t="n"/>
      <c r="H2363" s="19" t="n"/>
      <c r="J2363" s="16" t="n"/>
      <c r="K2363" s="19" t="n"/>
      <c r="M2363" s="16" t="n"/>
      <c r="N2363" s="19" t="n"/>
    </row>
    <row r="2364">
      <c r="A2364" s="16" t="n"/>
      <c r="B2364" s="19" t="n"/>
      <c r="D2364" s="16" t="n"/>
      <c r="E2364" s="19" t="n"/>
      <c r="G2364" s="16" t="n"/>
      <c r="H2364" s="19" t="n"/>
      <c r="J2364" s="16" t="n"/>
      <c r="K2364" s="19" t="n"/>
      <c r="M2364" s="16" t="n"/>
      <c r="N2364" s="19" t="n"/>
    </row>
    <row r="2365">
      <c r="A2365" s="16" t="n"/>
      <c r="B2365" s="19" t="n"/>
      <c r="D2365" s="16" t="n"/>
      <c r="E2365" s="19" t="n"/>
      <c r="G2365" s="16" t="n"/>
      <c r="H2365" s="19" t="n"/>
      <c r="J2365" s="16" t="n"/>
      <c r="K2365" s="19" t="n"/>
      <c r="M2365" s="16" t="n"/>
      <c r="N2365" s="19" t="n"/>
    </row>
    <row r="2366">
      <c r="A2366" s="16" t="n"/>
      <c r="B2366" s="19" t="n"/>
      <c r="D2366" s="16" t="n"/>
      <c r="E2366" s="19" t="n"/>
      <c r="G2366" s="16" t="n"/>
      <c r="H2366" s="19" t="n"/>
      <c r="J2366" s="16" t="n"/>
      <c r="K2366" s="19" t="n"/>
      <c r="M2366" s="16" t="n"/>
      <c r="N2366" s="19" t="n"/>
    </row>
    <row r="2367">
      <c r="A2367" s="16" t="n"/>
      <c r="B2367" s="19" t="n"/>
      <c r="D2367" s="16" t="n"/>
      <c r="E2367" s="19" t="n"/>
      <c r="G2367" s="16" t="n"/>
      <c r="H2367" s="19" t="n"/>
      <c r="J2367" s="16" t="n"/>
      <c r="K2367" s="19" t="n"/>
      <c r="M2367" s="16" t="n"/>
      <c r="N2367" s="19" t="n"/>
    </row>
    <row r="2368">
      <c r="A2368" s="16" t="n"/>
      <c r="B2368" s="19" t="n"/>
      <c r="D2368" s="16" t="n"/>
      <c r="E2368" s="19" t="n"/>
      <c r="G2368" s="16" t="n"/>
      <c r="H2368" s="19" t="n"/>
      <c r="J2368" s="16" t="n"/>
      <c r="K2368" s="19" t="n"/>
      <c r="M2368" s="16" t="n"/>
      <c r="N2368" s="19" t="n"/>
    </row>
    <row r="2369">
      <c r="A2369" s="16" t="n"/>
      <c r="B2369" s="19" t="n"/>
      <c r="D2369" s="16" t="n"/>
      <c r="E2369" s="19" t="n"/>
      <c r="G2369" s="16" t="n"/>
      <c r="H2369" s="19" t="n"/>
      <c r="J2369" s="16" t="n"/>
      <c r="K2369" s="19" t="n"/>
      <c r="M2369" s="16" t="n"/>
      <c r="N2369" s="19" t="n"/>
    </row>
    <row r="2370">
      <c r="A2370" s="16" t="n"/>
      <c r="B2370" s="19" t="n"/>
      <c r="D2370" s="16" t="n"/>
      <c r="E2370" s="19" t="n"/>
      <c r="G2370" s="16" t="n"/>
      <c r="H2370" s="19" t="n"/>
      <c r="J2370" s="16" t="n"/>
      <c r="K2370" s="19" t="n"/>
      <c r="M2370" s="16" t="n"/>
      <c r="N2370" s="19" t="n"/>
    </row>
    <row r="2371">
      <c r="A2371" s="16" t="n"/>
      <c r="B2371" s="19" t="n"/>
      <c r="D2371" s="16" t="n"/>
      <c r="E2371" s="19" t="n"/>
      <c r="G2371" s="16" t="n"/>
      <c r="H2371" s="19" t="n"/>
      <c r="J2371" s="16" t="n"/>
      <c r="K2371" s="19" t="n"/>
      <c r="M2371" s="16" t="n"/>
      <c r="N2371" s="19" t="n"/>
    </row>
    <row r="2372">
      <c r="A2372" s="16" t="n"/>
      <c r="B2372" s="19" t="n"/>
      <c r="D2372" s="16" t="n"/>
      <c r="E2372" s="19" t="n"/>
      <c r="G2372" s="16" t="n"/>
      <c r="H2372" s="19" t="n"/>
      <c r="J2372" s="16" t="n"/>
      <c r="K2372" s="19" t="n"/>
      <c r="M2372" s="16" t="n"/>
      <c r="N2372" s="19" t="n"/>
    </row>
    <row r="2373">
      <c r="A2373" s="16" t="n"/>
      <c r="B2373" s="19" t="n"/>
      <c r="D2373" s="16" t="n"/>
      <c r="E2373" s="19" t="n"/>
      <c r="G2373" s="16" t="n"/>
      <c r="H2373" s="19" t="n"/>
      <c r="J2373" s="16" t="n"/>
      <c r="K2373" s="19" t="n"/>
      <c r="M2373" s="16" t="n"/>
      <c r="N2373" s="19" t="n"/>
    </row>
    <row r="2374">
      <c r="A2374" s="16" t="n"/>
      <c r="B2374" s="19" t="n"/>
      <c r="D2374" s="16" t="n"/>
      <c r="E2374" s="19" t="n"/>
      <c r="G2374" s="16" t="n"/>
      <c r="H2374" s="19" t="n"/>
      <c r="J2374" s="16" t="n"/>
      <c r="K2374" s="19" t="n"/>
      <c r="M2374" s="16" t="n"/>
      <c r="N2374" s="19" t="n"/>
    </row>
    <row r="2375">
      <c r="A2375" s="16" t="n"/>
      <c r="B2375" s="19" t="n"/>
      <c r="D2375" s="16" t="n"/>
      <c r="E2375" s="19" t="n"/>
      <c r="G2375" s="16" t="n"/>
      <c r="H2375" s="19" t="n"/>
      <c r="J2375" s="16" t="n"/>
      <c r="K2375" s="19" t="n"/>
      <c r="M2375" s="16" t="n"/>
      <c r="N2375" s="19" t="n"/>
    </row>
    <row r="2376">
      <c r="A2376" s="16" t="n"/>
      <c r="B2376" s="19" t="n"/>
      <c r="D2376" s="16" t="n"/>
      <c r="E2376" s="19" t="n"/>
      <c r="G2376" s="16" t="n"/>
      <c r="H2376" s="19" t="n"/>
      <c r="J2376" s="16" t="n"/>
      <c r="K2376" s="19" t="n"/>
      <c r="M2376" s="16" t="n"/>
      <c r="N2376" s="19" t="n"/>
    </row>
    <row r="2377">
      <c r="A2377" s="16" t="n"/>
      <c r="B2377" s="19" t="n"/>
      <c r="D2377" s="16" t="n"/>
      <c r="E2377" s="19" t="n"/>
      <c r="G2377" s="16" t="n"/>
      <c r="H2377" s="19" t="n"/>
      <c r="J2377" s="16" t="n"/>
      <c r="K2377" s="19" t="n"/>
      <c r="M2377" s="16" t="n"/>
      <c r="N2377" s="19" t="n"/>
    </row>
    <row r="2378">
      <c r="A2378" s="16" t="n"/>
      <c r="B2378" s="19" t="n"/>
      <c r="D2378" s="16" t="n"/>
      <c r="E2378" s="19" t="n"/>
      <c r="G2378" s="16" t="n"/>
      <c r="H2378" s="19" t="n"/>
      <c r="J2378" s="16" t="n"/>
      <c r="K2378" s="19" t="n"/>
      <c r="M2378" s="16" t="n"/>
      <c r="N2378" s="19" t="n"/>
    </row>
    <row r="2379">
      <c r="A2379" s="16" t="n"/>
      <c r="B2379" s="19" t="n"/>
      <c r="D2379" s="16" t="n"/>
      <c r="E2379" s="19" t="n"/>
      <c r="G2379" s="16" t="n"/>
      <c r="H2379" s="19" t="n"/>
      <c r="J2379" s="16" t="n"/>
      <c r="K2379" s="19" t="n"/>
      <c r="M2379" s="16" t="n"/>
      <c r="N2379" s="19" t="n"/>
    </row>
    <row r="2380">
      <c r="A2380" s="16" t="n"/>
      <c r="B2380" s="19" t="n"/>
      <c r="D2380" s="16" t="n"/>
      <c r="E2380" s="19" t="n"/>
      <c r="G2380" s="16" t="n"/>
      <c r="H2380" s="19" t="n"/>
      <c r="J2380" s="16" t="n"/>
      <c r="K2380" s="19" t="n"/>
      <c r="M2380" s="16" t="n"/>
      <c r="N2380" s="19" t="n"/>
    </row>
    <row r="2381">
      <c r="A2381" s="16" t="n"/>
      <c r="B2381" s="19" t="n"/>
      <c r="D2381" s="16" t="n"/>
      <c r="E2381" s="19" t="n"/>
      <c r="G2381" s="16" t="n"/>
      <c r="H2381" s="19" t="n"/>
      <c r="J2381" s="16" t="n"/>
      <c r="K2381" s="19" t="n"/>
      <c r="M2381" s="16" t="n"/>
      <c r="N2381" s="19" t="n"/>
    </row>
    <row r="2382">
      <c r="A2382" s="16" t="n"/>
      <c r="B2382" s="19" t="n"/>
      <c r="D2382" s="16" t="n"/>
      <c r="E2382" s="19" t="n"/>
      <c r="G2382" s="16" t="n"/>
      <c r="H2382" s="19" t="n"/>
      <c r="J2382" s="16" t="n"/>
      <c r="K2382" s="19" t="n"/>
      <c r="M2382" s="16" t="n"/>
      <c r="N2382" s="19" t="n"/>
    </row>
    <row r="2383">
      <c r="A2383" s="16" t="n"/>
      <c r="B2383" s="19" t="n"/>
      <c r="D2383" s="16" t="n"/>
      <c r="E2383" s="19" t="n"/>
      <c r="G2383" s="16" t="n"/>
      <c r="H2383" s="19" t="n"/>
      <c r="J2383" s="16" t="n"/>
      <c r="K2383" s="19" t="n"/>
      <c r="M2383" s="16" t="n"/>
      <c r="N2383" s="19" t="n"/>
    </row>
    <row r="2384">
      <c r="A2384" s="16" t="n"/>
      <c r="B2384" s="19" t="n"/>
      <c r="D2384" s="16" t="n"/>
      <c r="E2384" s="19" t="n"/>
      <c r="G2384" s="16" t="n"/>
      <c r="H2384" s="19" t="n"/>
      <c r="J2384" s="16" t="n"/>
      <c r="K2384" s="19" t="n"/>
      <c r="M2384" s="16" t="n"/>
      <c r="N2384" s="19" t="n"/>
    </row>
    <row r="2385">
      <c r="A2385" s="16" t="n"/>
      <c r="B2385" s="19" t="n"/>
      <c r="D2385" s="16" t="n"/>
      <c r="E2385" s="19" t="n"/>
      <c r="G2385" s="16" t="n"/>
      <c r="H2385" s="19" t="n"/>
      <c r="J2385" s="16" t="n"/>
      <c r="K2385" s="19" t="n"/>
      <c r="M2385" s="16" t="n"/>
      <c r="N2385" s="19" t="n"/>
    </row>
    <row r="2386">
      <c r="A2386" s="16" t="n"/>
      <c r="B2386" s="19" t="n"/>
      <c r="D2386" s="16" t="n"/>
      <c r="E2386" s="19" t="n"/>
      <c r="G2386" s="16" t="n"/>
      <c r="H2386" s="19" t="n"/>
      <c r="J2386" s="16" t="n"/>
      <c r="K2386" s="19" t="n"/>
      <c r="M2386" s="16" t="n"/>
      <c r="N2386" s="19" t="n"/>
    </row>
    <row r="2387">
      <c r="A2387" s="16" t="n"/>
      <c r="B2387" s="19" t="n"/>
      <c r="D2387" s="16" t="n"/>
      <c r="E2387" s="19" t="n"/>
      <c r="G2387" s="16" t="n"/>
      <c r="H2387" s="19" t="n"/>
      <c r="J2387" s="16" t="n"/>
      <c r="K2387" s="19" t="n"/>
      <c r="M2387" s="16" t="n"/>
      <c r="N2387" s="19" t="n"/>
    </row>
    <row r="2388">
      <c r="A2388" s="16" t="n"/>
      <c r="B2388" s="19" t="n"/>
      <c r="D2388" s="16" t="n"/>
      <c r="E2388" s="19" t="n"/>
      <c r="G2388" s="16" t="n"/>
      <c r="H2388" s="19" t="n"/>
      <c r="J2388" s="16" t="n"/>
      <c r="K2388" s="19" t="n"/>
      <c r="M2388" s="16" t="n"/>
      <c r="N2388" s="19" t="n"/>
    </row>
    <row r="2389">
      <c r="A2389" s="16" t="n"/>
      <c r="B2389" s="19" t="n"/>
      <c r="D2389" s="16" t="n"/>
      <c r="E2389" s="19" t="n"/>
      <c r="G2389" s="16" t="n"/>
      <c r="H2389" s="19" t="n"/>
      <c r="J2389" s="16" t="n"/>
      <c r="K2389" s="19" t="n"/>
      <c r="M2389" s="16" t="n"/>
      <c r="N2389" s="19" t="n"/>
    </row>
    <row r="2390">
      <c r="A2390" s="16" t="n"/>
      <c r="B2390" s="19" t="n"/>
      <c r="D2390" s="16" t="n"/>
      <c r="E2390" s="19" t="n"/>
      <c r="G2390" s="16" t="n"/>
      <c r="H2390" s="19" t="n"/>
      <c r="J2390" s="16" t="n"/>
      <c r="K2390" s="19" t="n"/>
      <c r="M2390" s="16" t="n"/>
      <c r="N2390" s="19" t="n"/>
    </row>
    <row r="2391">
      <c r="A2391" s="16" t="n"/>
      <c r="B2391" s="19" t="n"/>
      <c r="D2391" s="16" t="n"/>
      <c r="E2391" s="19" t="n"/>
      <c r="G2391" s="16" t="n"/>
      <c r="H2391" s="19" t="n"/>
      <c r="J2391" s="16" t="n"/>
      <c r="K2391" s="19" t="n"/>
      <c r="M2391" s="16" t="n"/>
      <c r="N2391" s="19" t="n"/>
    </row>
    <row r="2392">
      <c r="A2392" s="16" t="n"/>
      <c r="B2392" s="19" t="n"/>
      <c r="D2392" s="16" t="n"/>
      <c r="E2392" s="19" t="n"/>
      <c r="G2392" s="16" t="n"/>
      <c r="H2392" s="19" t="n"/>
      <c r="J2392" s="16" t="n"/>
      <c r="K2392" s="19" t="n"/>
      <c r="M2392" s="16" t="n"/>
      <c r="N2392" s="19" t="n"/>
    </row>
    <row r="2393">
      <c r="A2393" s="16" t="n"/>
      <c r="B2393" s="19" t="n"/>
      <c r="D2393" s="16" t="n"/>
      <c r="E2393" s="19" t="n"/>
      <c r="G2393" s="16" t="n"/>
      <c r="H2393" s="19" t="n"/>
      <c r="J2393" s="16" t="n"/>
      <c r="K2393" s="19" t="n"/>
      <c r="M2393" s="16" t="n"/>
      <c r="N2393" s="19" t="n"/>
    </row>
    <row r="2394">
      <c r="A2394" s="16" t="n"/>
      <c r="B2394" s="19" t="n"/>
      <c r="D2394" s="16" t="n"/>
      <c r="E2394" s="19" t="n"/>
      <c r="G2394" s="16" t="n"/>
      <c r="H2394" s="19" t="n"/>
      <c r="J2394" s="16" t="n"/>
      <c r="K2394" s="19" t="n"/>
      <c r="M2394" s="16" t="n"/>
      <c r="N2394" s="19" t="n"/>
    </row>
    <row r="2395">
      <c r="A2395" s="16" t="n"/>
      <c r="B2395" s="19" t="n"/>
      <c r="D2395" s="16" t="n"/>
      <c r="E2395" s="19" t="n"/>
      <c r="G2395" s="16" t="n"/>
      <c r="H2395" s="19" t="n"/>
      <c r="J2395" s="16" t="n"/>
      <c r="K2395" s="19" t="n"/>
      <c r="M2395" s="16" t="n"/>
      <c r="N2395" s="19" t="n"/>
    </row>
    <row r="2396">
      <c r="A2396" s="16" t="n"/>
      <c r="B2396" s="19" t="n"/>
      <c r="D2396" s="16" t="n"/>
      <c r="E2396" s="19" t="n"/>
      <c r="G2396" s="16" t="n"/>
      <c r="H2396" s="19" t="n"/>
      <c r="J2396" s="16" t="n"/>
      <c r="K2396" s="19" t="n"/>
      <c r="M2396" s="16" t="n"/>
      <c r="N2396" s="19" t="n"/>
    </row>
    <row r="2397">
      <c r="A2397" s="16" t="n"/>
      <c r="B2397" s="19" t="n"/>
      <c r="D2397" s="16" t="n"/>
      <c r="E2397" s="19" t="n"/>
      <c r="G2397" s="16" t="n"/>
      <c r="H2397" s="19" t="n"/>
      <c r="J2397" s="16" t="n"/>
      <c r="K2397" s="19" t="n"/>
      <c r="M2397" s="16" t="n"/>
      <c r="N2397" s="19" t="n"/>
    </row>
    <row r="2398">
      <c r="A2398" s="16" t="n"/>
      <c r="B2398" s="19" t="n"/>
      <c r="D2398" s="16" t="n"/>
      <c r="E2398" s="19" t="n"/>
      <c r="G2398" s="16" t="n"/>
      <c r="H2398" s="19" t="n"/>
      <c r="J2398" s="16" t="n"/>
      <c r="K2398" s="19" t="n"/>
      <c r="M2398" s="16" t="n"/>
      <c r="N2398" s="19" t="n"/>
    </row>
    <row r="2399">
      <c r="A2399" s="16" t="n"/>
      <c r="B2399" s="19" t="n"/>
      <c r="D2399" s="16" t="n"/>
      <c r="E2399" s="19" t="n"/>
      <c r="G2399" s="16" t="n"/>
      <c r="H2399" s="19" t="n"/>
      <c r="J2399" s="16" t="n"/>
      <c r="K2399" s="19" t="n"/>
      <c r="M2399" s="16" t="n"/>
      <c r="N2399" s="19" t="n"/>
    </row>
    <row r="2400">
      <c r="A2400" s="16" t="n"/>
      <c r="B2400" s="19" t="n"/>
      <c r="D2400" s="16" t="n"/>
      <c r="E2400" s="19" t="n"/>
      <c r="G2400" s="16" t="n"/>
      <c r="H2400" s="19" t="n"/>
      <c r="J2400" s="16" t="n"/>
      <c r="K2400" s="19" t="n"/>
      <c r="M2400" s="16" t="n"/>
      <c r="N2400" s="19" t="n"/>
    </row>
    <row r="2401">
      <c r="A2401" s="16" t="n"/>
      <c r="B2401" s="19" t="n"/>
      <c r="D2401" s="16" t="n"/>
      <c r="E2401" s="19" t="n"/>
      <c r="G2401" s="16" t="n"/>
      <c r="H2401" s="19" t="n"/>
      <c r="J2401" s="16" t="n"/>
      <c r="K2401" s="19" t="n"/>
      <c r="M2401" s="16" t="n"/>
      <c r="N2401" s="19" t="n"/>
    </row>
    <row r="2402">
      <c r="A2402" s="16" t="n"/>
      <c r="B2402" s="19" t="n"/>
      <c r="D2402" s="16" t="n"/>
      <c r="E2402" s="19" t="n"/>
      <c r="G2402" s="16" t="n"/>
      <c r="H2402" s="19" t="n"/>
      <c r="J2402" s="16" t="n"/>
      <c r="K2402" s="19" t="n"/>
      <c r="M2402" s="16" t="n"/>
      <c r="N2402" s="19" t="n"/>
    </row>
    <row r="2403">
      <c r="A2403" s="16" t="n"/>
      <c r="B2403" s="19" t="n"/>
      <c r="D2403" s="16" t="n"/>
      <c r="E2403" s="19" t="n"/>
      <c r="G2403" s="16" t="n"/>
      <c r="H2403" s="19" t="n"/>
      <c r="J2403" s="16" t="n"/>
      <c r="K2403" s="19" t="n"/>
      <c r="M2403" s="16" t="n"/>
      <c r="N2403" s="19" t="n"/>
    </row>
    <row r="2404">
      <c r="A2404" s="16" t="n"/>
      <c r="B2404" s="19" t="n"/>
      <c r="D2404" s="16" t="n"/>
      <c r="E2404" s="19" t="n"/>
      <c r="G2404" s="16" t="n"/>
      <c r="H2404" s="19" t="n"/>
      <c r="J2404" s="16" t="n"/>
      <c r="K2404" s="19" t="n"/>
      <c r="M2404" s="16" t="n"/>
      <c r="N2404" s="19" t="n"/>
    </row>
    <row r="2405">
      <c r="A2405" s="16" t="n"/>
      <c r="B2405" s="19" t="n"/>
      <c r="D2405" s="16" t="n"/>
      <c r="E2405" s="19" t="n"/>
      <c r="G2405" s="16" t="n"/>
      <c r="H2405" s="19" t="n"/>
      <c r="J2405" s="16" t="n"/>
      <c r="K2405" s="19" t="n"/>
      <c r="M2405" s="16" t="n"/>
      <c r="N2405" s="19" t="n"/>
    </row>
    <row r="2406">
      <c r="A2406" s="16" t="n"/>
      <c r="B2406" s="19" t="n"/>
      <c r="D2406" s="16" t="n"/>
      <c r="E2406" s="19" t="n"/>
      <c r="G2406" s="16" t="n"/>
      <c r="H2406" s="19" t="n"/>
      <c r="J2406" s="16" t="n"/>
      <c r="K2406" s="19" t="n"/>
      <c r="M2406" s="16" t="n"/>
      <c r="N2406" s="19" t="n"/>
    </row>
    <row r="2407">
      <c r="A2407" s="16" t="n"/>
      <c r="B2407" s="19" t="n"/>
      <c r="D2407" s="16" t="n"/>
      <c r="E2407" s="19" t="n"/>
      <c r="G2407" s="16" t="n"/>
      <c r="H2407" s="19" t="n"/>
      <c r="J2407" s="16" t="n"/>
      <c r="K2407" s="19" t="n"/>
      <c r="M2407" s="16" t="n"/>
      <c r="N2407" s="19" t="n"/>
    </row>
    <row r="2408">
      <c r="A2408" s="16" t="n"/>
      <c r="B2408" s="19" t="n"/>
      <c r="D2408" s="16" t="n"/>
      <c r="E2408" s="19" t="n"/>
      <c r="G2408" s="16" t="n"/>
      <c r="H2408" s="19" t="n"/>
      <c r="J2408" s="16" t="n"/>
      <c r="K2408" s="19" t="n"/>
      <c r="M2408" s="16" t="n"/>
      <c r="N2408" s="19" t="n"/>
    </row>
    <row r="2409">
      <c r="A2409" s="16" t="n"/>
      <c r="B2409" s="19" t="n"/>
      <c r="D2409" s="16" t="n"/>
      <c r="E2409" s="19" t="n"/>
      <c r="G2409" s="16" t="n"/>
      <c r="H2409" s="19" t="n"/>
      <c r="J2409" s="16" t="n"/>
      <c r="K2409" s="19" t="n"/>
      <c r="M2409" s="16" t="n"/>
      <c r="N2409" s="19" t="n"/>
    </row>
    <row r="2410">
      <c r="A2410" s="16" t="n"/>
      <c r="B2410" s="19" t="n"/>
      <c r="D2410" s="16" t="n"/>
      <c r="E2410" s="19" t="n"/>
      <c r="G2410" s="16" t="n"/>
      <c r="H2410" s="19" t="n"/>
      <c r="J2410" s="16" t="n"/>
      <c r="K2410" s="19" t="n"/>
      <c r="M2410" s="16" t="n"/>
      <c r="N2410" s="19" t="n"/>
    </row>
    <row r="2411">
      <c r="A2411" s="16" t="n"/>
      <c r="B2411" s="19" t="n"/>
      <c r="D2411" s="16" t="n"/>
      <c r="E2411" s="19" t="n"/>
      <c r="G2411" s="16" t="n"/>
      <c r="H2411" s="19" t="n"/>
      <c r="J2411" s="16" t="n"/>
      <c r="K2411" s="19" t="n"/>
      <c r="M2411" s="16" t="n"/>
      <c r="N2411" s="19" t="n"/>
    </row>
    <row r="2412">
      <c r="A2412" s="16" t="n"/>
      <c r="B2412" s="19" t="n"/>
      <c r="D2412" s="16" t="n"/>
      <c r="E2412" s="19" t="n"/>
      <c r="G2412" s="16" t="n"/>
      <c r="H2412" s="19" t="n"/>
      <c r="J2412" s="16" t="n"/>
      <c r="K2412" s="19" t="n"/>
      <c r="M2412" s="16" t="n"/>
      <c r="N2412" s="19" t="n"/>
    </row>
    <row r="2413">
      <c r="A2413" s="16" t="n"/>
      <c r="B2413" s="19" t="n"/>
      <c r="D2413" s="16" t="n"/>
      <c r="E2413" s="19" t="n"/>
      <c r="G2413" s="16" t="n"/>
      <c r="H2413" s="19" t="n"/>
      <c r="J2413" s="16" t="n"/>
      <c r="K2413" s="19" t="n"/>
      <c r="M2413" s="16" t="n"/>
      <c r="N2413" s="19" t="n"/>
    </row>
    <row r="2414">
      <c r="A2414" s="16" t="n"/>
      <c r="B2414" s="19" t="n"/>
      <c r="D2414" s="16" t="n"/>
      <c r="E2414" s="19" t="n"/>
      <c r="G2414" s="16" t="n"/>
      <c r="H2414" s="19" t="n"/>
      <c r="J2414" s="16" t="n"/>
      <c r="K2414" s="19" t="n"/>
      <c r="M2414" s="16" t="n"/>
      <c r="N2414" s="19" t="n"/>
    </row>
    <row r="2415">
      <c r="A2415" s="16" t="n"/>
      <c r="B2415" s="19" t="n"/>
      <c r="D2415" s="16" t="n"/>
      <c r="E2415" s="19" t="n"/>
      <c r="G2415" s="16" t="n"/>
      <c r="H2415" s="19" t="n"/>
      <c r="J2415" s="16" t="n"/>
      <c r="K2415" s="19" t="n"/>
      <c r="M2415" s="16" t="n"/>
      <c r="N2415" s="19" t="n"/>
    </row>
    <row r="2416">
      <c r="A2416" s="16" t="n"/>
      <c r="B2416" s="19" t="n"/>
      <c r="D2416" s="16" t="n"/>
      <c r="E2416" s="19" t="n"/>
      <c r="G2416" s="16" t="n"/>
      <c r="H2416" s="19" t="n"/>
      <c r="J2416" s="16" t="n"/>
      <c r="K2416" s="19" t="n"/>
      <c r="M2416" s="16" t="n"/>
      <c r="N2416" s="19" t="n"/>
    </row>
    <row r="2417">
      <c r="A2417" s="16" t="n"/>
      <c r="B2417" s="19" t="n"/>
      <c r="D2417" s="16" t="n"/>
      <c r="E2417" s="19" t="n"/>
      <c r="G2417" s="16" t="n"/>
      <c r="H2417" s="19" t="n"/>
      <c r="J2417" s="16" t="n"/>
      <c r="K2417" s="19" t="n"/>
      <c r="M2417" s="16" t="n"/>
      <c r="N2417" s="19" t="n"/>
    </row>
    <row r="2418">
      <c r="A2418" s="16" t="n"/>
      <c r="B2418" s="19" t="n"/>
      <c r="D2418" s="16" t="n"/>
      <c r="E2418" s="19" t="n"/>
      <c r="G2418" s="16" t="n"/>
      <c r="H2418" s="19" t="n"/>
      <c r="J2418" s="16" t="n"/>
      <c r="K2418" s="19" t="n"/>
      <c r="M2418" s="16" t="n"/>
      <c r="N2418" s="19" t="n"/>
    </row>
    <row r="2419">
      <c r="A2419" s="16" t="n"/>
      <c r="B2419" s="19" t="n"/>
      <c r="D2419" s="16" t="n"/>
      <c r="E2419" s="19" t="n"/>
      <c r="G2419" s="16" t="n"/>
      <c r="H2419" s="19" t="n"/>
      <c r="J2419" s="16" t="n"/>
      <c r="K2419" s="19" t="n"/>
      <c r="M2419" s="16" t="n"/>
      <c r="N2419" s="19" t="n"/>
    </row>
    <row r="2420">
      <c r="A2420" s="16" t="n"/>
      <c r="B2420" s="19" t="n"/>
      <c r="D2420" s="16" t="n"/>
      <c r="E2420" s="19" t="n"/>
      <c r="G2420" s="16" t="n"/>
      <c r="H2420" s="19" t="n"/>
      <c r="J2420" s="16" t="n"/>
      <c r="K2420" s="19" t="n"/>
      <c r="M2420" s="16" t="n"/>
      <c r="N2420" s="19" t="n"/>
    </row>
    <row r="2421">
      <c r="A2421" s="16" t="n"/>
      <c r="B2421" s="19" t="n"/>
      <c r="D2421" s="16" t="n"/>
      <c r="E2421" s="19" t="n"/>
      <c r="G2421" s="16" t="n"/>
      <c r="H2421" s="19" t="n"/>
      <c r="J2421" s="16" t="n"/>
      <c r="K2421" s="19" t="n"/>
      <c r="M2421" s="16" t="n"/>
      <c r="N2421" s="19" t="n"/>
    </row>
    <row r="2422">
      <c r="A2422" s="16" t="n"/>
      <c r="B2422" s="19" t="n"/>
      <c r="D2422" s="16" t="n"/>
      <c r="E2422" s="19" t="n"/>
      <c r="G2422" s="16" t="n"/>
      <c r="H2422" s="19" t="n"/>
      <c r="J2422" s="16" t="n"/>
      <c r="K2422" s="19" t="n"/>
      <c r="M2422" s="16" t="n"/>
      <c r="N2422" s="19" t="n"/>
    </row>
    <row r="2423">
      <c r="A2423" s="16" t="n"/>
      <c r="B2423" s="19" t="n"/>
      <c r="D2423" s="16" t="n"/>
      <c r="E2423" s="19" t="n"/>
      <c r="G2423" s="16" t="n"/>
      <c r="H2423" s="19" t="n"/>
      <c r="J2423" s="16" t="n"/>
      <c r="K2423" s="19" t="n"/>
      <c r="M2423" s="16" t="n"/>
      <c r="N2423" s="19" t="n"/>
    </row>
    <row r="2424">
      <c r="A2424" s="16" t="n"/>
      <c r="B2424" s="19" t="n"/>
      <c r="D2424" s="16" t="n"/>
      <c r="E2424" s="19" t="n"/>
      <c r="G2424" s="16" t="n"/>
      <c r="H2424" s="19" t="n"/>
      <c r="J2424" s="16" t="n"/>
      <c r="K2424" s="19" t="n"/>
      <c r="M2424" s="16" t="n"/>
      <c r="N2424" s="19" t="n"/>
    </row>
    <row r="2425">
      <c r="A2425" s="16" t="n"/>
      <c r="B2425" s="19" t="n"/>
      <c r="D2425" s="16" t="n"/>
      <c r="E2425" s="19" t="n"/>
      <c r="G2425" s="16" t="n"/>
      <c r="H2425" s="19" t="n"/>
      <c r="J2425" s="16" t="n"/>
      <c r="K2425" s="19" t="n"/>
      <c r="M2425" s="16" t="n"/>
      <c r="N2425" s="19" t="n"/>
    </row>
    <row r="2426">
      <c r="A2426" s="16" t="n"/>
      <c r="B2426" s="19" t="n"/>
      <c r="D2426" s="16" t="n"/>
      <c r="E2426" s="19" t="n"/>
      <c r="G2426" s="16" t="n"/>
      <c r="H2426" s="19" t="n"/>
      <c r="J2426" s="16" t="n"/>
      <c r="K2426" s="19" t="n"/>
      <c r="M2426" s="16" t="n"/>
      <c r="N2426" s="19" t="n"/>
    </row>
    <row r="2427">
      <c r="A2427" s="16" t="n"/>
      <c r="B2427" s="19" t="n"/>
      <c r="D2427" s="16" t="n"/>
      <c r="E2427" s="19" t="n"/>
      <c r="G2427" s="16" t="n"/>
      <c r="H2427" s="19" t="n"/>
      <c r="J2427" s="16" t="n"/>
      <c r="K2427" s="19" t="n"/>
      <c r="M2427" s="16" t="n"/>
      <c r="N2427" s="19" t="n"/>
    </row>
    <row r="2428">
      <c r="A2428" s="16" t="n"/>
      <c r="B2428" s="19" t="n"/>
      <c r="D2428" s="16" t="n"/>
      <c r="E2428" s="19" t="n"/>
      <c r="G2428" s="16" t="n"/>
      <c r="H2428" s="19" t="n"/>
      <c r="J2428" s="16" t="n"/>
      <c r="K2428" s="19" t="n"/>
      <c r="M2428" s="16" t="n"/>
      <c r="N2428" s="19" t="n"/>
    </row>
    <row r="2429">
      <c r="A2429" s="16" t="n"/>
      <c r="B2429" s="19" t="n"/>
      <c r="D2429" s="16" t="n"/>
      <c r="E2429" s="19" t="n"/>
      <c r="G2429" s="16" t="n"/>
      <c r="H2429" s="19" t="n"/>
      <c r="J2429" s="16" t="n"/>
      <c r="K2429" s="19" t="n"/>
      <c r="M2429" s="16" t="n"/>
      <c r="N2429" s="19" t="n"/>
    </row>
    <row r="2430">
      <c r="A2430" s="16" t="n"/>
      <c r="B2430" s="19" t="n"/>
      <c r="D2430" s="16" t="n"/>
      <c r="E2430" s="19" t="n"/>
      <c r="G2430" s="16" t="n"/>
      <c r="H2430" s="19" t="n"/>
      <c r="J2430" s="16" t="n"/>
      <c r="K2430" s="19" t="n"/>
      <c r="M2430" s="16" t="n"/>
      <c r="N2430" s="19" t="n"/>
    </row>
    <row r="2431">
      <c r="A2431" s="16" t="n"/>
      <c r="B2431" s="19" t="n"/>
      <c r="D2431" s="16" t="n"/>
      <c r="E2431" s="19" t="n"/>
      <c r="G2431" s="16" t="n"/>
      <c r="H2431" s="19" t="n"/>
      <c r="J2431" s="16" t="n"/>
      <c r="K2431" s="19" t="n"/>
      <c r="M2431" s="16" t="n"/>
      <c r="N2431" s="19" t="n"/>
    </row>
    <row r="2432">
      <c r="A2432" s="16" t="n"/>
      <c r="B2432" s="19" t="n"/>
      <c r="D2432" s="16" t="n"/>
      <c r="E2432" s="19" t="n"/>
      <c r="G2432" s="16" t="n"/>
      <c r="H2432" s="19" t="n"/>
      <c r="J2432" s="16" t="n"/>
      <c r="K2432" s="19" t="n"/>
      <c r="M2432" s="16" t="n"/>
      <c r="N2432" s="19" t="n"/>
    </row>
    <row r="2433">
      <c r="A2433" s="16" t="n"/>
      <c r="B2433" s="19" t="n"/>
      <c r="D2433" s="16" t="n"/>
      <c r="E2433" s="19" t="n"/>
      <c r="G2433" s="16" t="n"/>
      <c r="H2433" s="19" t="n"/>
      <c r="J2433" s="16" t="n"/>
      <c r="K2433" s="19" t="n"/>
      <c r="M2433" s="16" t="n"/>
      <c r="N2433" s="19" t="n"/>
    </row>
    <row r="2434">
      <c r="A2434" s="16" t="n"/>
      <c r="B2434" s="19" t="n"/>
      <c r="D2434" s="16" t="n"/>
      <c r="E2434" s="19" t="n"/>
      <c r="G2434" s="16" t="n"/>
      <c r="H2434" s="19" t="n"/>
      <c r="J2434" s="16" t="n"/>
      <c r="K2434" s="19" t="n"/>
      <c r="M2434" s="16" t="n"/>
      <c r="N2434" s="19" t="n"/>
    </row>
    <row r="2435">
      <c r="A2435" s="16" t="n"/>
      <c r="B2435" s="19" t="n"/>
      <c r="D2435" s="16" t="n"/>
      <c r="E2435" s="19" t="n"/>
      <c r="G2435" s="16" t="n"/>
      <c r="H2435" s="19" t="n"/>
      <c r="J2435" s="16" t="n"/>
      <c r="K2435" s="19" t="n"/>
      <c r="M2435" s="16" t="n"/>
      <c r="N2435" s="19" t="n"/>
    </row>
    <row r="2436">
      <c r="A2436" s="16" t="n"/>
      <c r="B2436" s="19" t="n"/>
      <c r="D2436" s="16" t="n"/>
      <c r="E2436" s="19" t="n"/>
      <c r="G2436" s="16" t="n"/>
      <c r="H2436" s="19" t="n"/>
      <c r="J2436" s="16" t="n"/>
      <c r="K2436" s="19" t="n"/>
      <c r="M2436" s="16" t="n"/>
      <c r="N2436" s="19" t="n"/>
    </row>
    <row r="2437">
      <c r="A2437" s="16" t="n"/>
      <c r="B2437" s="19" t="n"/>
      <c r="D2437" s="16" t="n"/>
      <c r="E2437" s="19" t="n"/>
      <c r="G2437" s="16" t="n"/>
      <c r="H2437" s="19" t="n"/>
      <c r="J2437" s="16" t="n"/>
      <c r="K2437" s="19" t="n"/>
      <c r="M2437" s="16" t="n"/>
      <c r="N2437" s="19" t="n"/>
    </row>
    <row r="2438">
      <c r="A2438" s="16" t="n"/>
      <c r="B2438" s="19" t="n"/>
      <c r="D2438" s="16" t="n"/>
      <c r="E2438" s="19" t="n"/>
      <c r="G2438" s="16" t="n"/>
      <c r="H2438" s="19" t="n"/>
      <c r="J2438" s="16" t="n"/>
      <c r="K2438" s="19" t="n"/>
      <c r="M2438" s="16" t="n"/>
      <c r="N2438" s="19" t="n"/>
    </row>
    <row r="2439">
      <c r="A2439" s="16" t="n"/>
      <c r="B2439" s="19" t="n"/>
      <c r="D2439" s="16" t="n"/>
      <c r="E2439" s="19" t="n"/>
      <c r="G2439" s="16" t="n"/>
      <c r="H2439" s="19" t="n"/>
      <c r="J2439" s="16" t="n"/>
      <c r="K2439" s="19" t="n"/>
      <c r="M2439" s="16" t="n"/>
      <c r="N2439" s="19" t="n"/>
    </row>
    <row r="2440">
      <c r="A2440" s="16" t="n"/>
      <c r="B2440" s="19" t="n"/>
      <c r="D2440" s="16" t="n"/>
      <c r="E2440" s="19" t="n"/>
      <c r="G2440" s="16" t="n"/>
      <c r="H2440" s="19" t="n"/>
      <c r="J2440" s="16" t="n"/>
      <c r="K2440" s="19" t="n"/>
      <c r="M2440" s="16" t="n"/>
      <c r="N2440" s="19" t="n"/>
    </row>
    <row r="2441">
      <c r="A2441" s="16" t="n"/>
      <c r="B2441" s="19" t="n"/>
      <c r="D2441" s="16" t="n"/>
      <c r="E2441" s="19" t="n"/>
      <c r="G2441" s="16" t="n"/>
      <c r="H2441" s="19" t="n"/>
      <c r="J2441" s="16" t="n"/>
      <c r="K2441" s="19" t="n"/>
      <c r="M2441" s="16" t="n"/>
      <c r="N2441" s="19" t="n"/>
    </row>
    <row r="2442">
      <c r="A2442" s="16" t="n"/>
      <c r="B2442" s="19" t="n"/>
      <c r="D2442" s="16" t="n"/>
      <c r="E2442" s="19" t="n"/>
      <c r="G2442" s="16" t="n"/>
      <c r="H2442" s="19" t="n"/>
      <c r="J2442" s="16" t="n"/>
      <c r="K2442" s="19" t="n"/>
      <c r="M2442" s="16" t="n"/>
      <c r="N2442" s="19" t="n"/>
    </row>
    <row r="2443">
      <c r="A2443" s="16" t="n"/>
      <c r="B2443" s="19" t="n"/>
      <c r="D2443" s="16" t="n"/>
      <c r="E2443" s="19" t="n"/>
      <c r="G2443" s="16" t="n"/>
      <c r="H2443" s="19" t="n"/>
      <c r="J2443" s="16" t="n"/>
      <c r="K2443" s="19" t="n"/>
      <c r="M2443" s="16" t="n"/>
      <c r="N2443" s="19" t="n"/>
    </row>
    <row r="2444">
      <c r="A2444" s="16" t="n"/>
      <c r="B2444" s="19" t="n"/>
      <c r="D2444" s="16" t="n"/>
      <c r="E2444" s="19" t="n"/>
      <c r="G2444" s="16" t="n"/>
      <c r="H2444" s="19" t="n"/>
      <c r="J2444" s="16" t="n"/>
      <c r="K2444" s="19" t="n"/>
      <c r="M2444" s="16" t="n"/>
      <c r="N2444" s="19" t="n"/>
    </row>
    <row r="2445">
      <c r="A2445" s="16" t="n"/>
      <c r="B2445" s="19" t="n"/>
      <c r="D2445" s="16" t="n"/>
      <c r="E2445" s="19" t="n"/>
      <c r="G2445" s="16" t="n"/>
      <c r="H2445" s="19" t="n"/>
      <c r="J2445" s="16" t="n"/>
      <c r="K2445" s="19" t="n"/>
      <c r="M2445" s="16" t="n"/>
      <c r="N2445" s="19" t="n"/>
    </row>
    <row r="2446">
      <c r="A2446" s="16" t="n"/>
      <c r="B2446" s="19" t="n"/>
      <c r="D2446" s="16" t="n"/>
      <c r="E2446" s="19" t="n"/>
      <c r="G2446" s="16" t="n"/>
      <c r="H2446" s="19" t="n"/>
      <c r="J2446" s="16" t="n"/>
      <c r="K2446" s="19" t="n"/>
      <c r="M2446" s="16" t="n"/>
      <c r="N2446" s="19" t="n"/>
    </row>
    <row r="2447">
      <c r="A2447" s="16" t="n"/>
      <c r="B2447" s="19" t="n"/>
      <c r="D2447" s="16" t="n"/>
      <c r="E2447" s="19" t="n"/>
      <c r="G2447" s="16" t="n"/>
      <c r="H2447" s="19" t="n"/>
      <c r="J2447" s="16" t="n"/>
      <c r="K2447" s="19" t="n"/>
      <c r="M2447" s="16" t="n"/>
      <c r="N2447" s="19" t="n"/>
    </row>
    <row r="2448">
      <c r="A2448" s="16" t="n"/>
      <c r="B2448" s="19" t="n"/>
      <c r="D2448" s="16" t="n"/>
      <c r="E2448" s="19" t="n"/>
      <c r="G2448" s="16" t="n"/>
      <c r="H2448" s="19" t="n"/>
      <c r="J2448" s="16" t="n"/>
      <c r="K2448" s="19" t="n"/>
      <c r="M2448" s="16" t="n"/>
      <c r="N2448" s="19" t="n"/>
    </row>
    <row r="2449">
      <c r="A2449" s="16" t="n"/>
      <c r="B2449" s="19" t="n"/>
      <c r="D2449" s="16" t="n"/>
      <c r="E2449" s="19" t="n"/>
      <c r="G2449" s="16" t="n"/>
      <c r="H2449" s="19" t="n"/>
      <c r="J2449" s="16" t="n"/>
      <c r="K2449" s="19" t="n"/>
      <c r="M2449" s="16" t="n"/>
      <c r="N2449" s="19" t="n"/>
    </row>
    <row r="2450">
      <c r="A2450" s="16" t="n"/>
      <c r="B2450" s="19" t="n"/>
      <c r="D2450" s="16" t="n"/>
      <c r="E2450" s="19" t="n"/>
      <c r="G2450" s="16" t="n"/>
      <c r="H2450" s="19" t="n"/>
      <c r="J2450" s="16" t="n"/>
      <c r="K2450" s="19" t="n"/>
      <c r="M2450" s="16" t="n"/>
      <c r="N2450" s="19" t="n"/>
    </row>
    <row r="2451">
      <c r="A2451" s="16" t="n"/>
      <c r="B2451" s="19" t="n"/>
      <c r="D2451" s="16" t="n"/>
      <c r="E2451" s="19" t="n"/>
      <c r="G2451" s="16" t="n"/>
      <c r="H2451" s="19" t="n"/>
      <c r="J2451" s="16" t="n"/>
      <c r="K2451" s="19" t="n"/>
      <c r="M2451" s="16" t="n"/>
      <c r="N2451" s="19" t="n"/>
    </row>
    <row r="2452">
      <c r="A2452" s="16" t="n"/>
      <c r="B2452" s="19" t="n"/>
      <c r="D2452" s="16" t="n"/>
      <c r="E2452" s="19" t="n"/>
      <c r="G2452" s="16" t="n"/>
      <c r="H2452" s="19" t="n"/>
      <c r="J2452" s="16" t="n"/>
      <c r="K2452" s="19" t="n"/>
      <c r="M2452" s="16" t="n"/>
      <c r="N2452" s="19" t="n"/>
    </row>
    <row r="2453">
      <c r="A2453" s="16" t="n"/>
      <c r="B2453" s="19" t="n"/>
      <c r="D2453" s="16" t="n"/>
      <c r="E2453" s="19" t="n"/>
      <c r="G2453" s="16" t="n"/>
      <c r="H2453" s="19" t="n"/>
      <c r="J2453" s="16" t="n"/>
      <c r="K2453" s="19" t="n"/>
      <c r="M2453" s="16" t="n"/>
      <c r="N2453" s="19" t="n"/>
    </row>
    <row r="2454">
      <c r="A2454" s="16" t="n"/>
      <c r="B2454" s="19" t="n"/>
      <c r="D2454" s="16" t="n"/>
      <c r="E2454" s="19" t="n"/>
      <c r="G2454" s="16" t="n"/>
      <c r="H2454" s="19" t="n"/>
      <c r="J2454" s="16" t="n"/>
      <c r="K2454" s="19" t="n"/>
      <c r="M2454" s="16" t="n"/>
      <c r="N2454" s="19" t="n"/>
    </row>
    <row r="2455">
      <c r="A2455" s="16" t="n"/>
      <c r="B2455" s="19" t="n"/>
      <c r="D2455" s="16" t="n"/>
      <c r="E2455" s="19" t="n"/>
      <c r="G2455" s="16" t="n"/>
      <c r="H2455" s="19" t="n"/>
      <c r="J2455" s="16" t="n"/>
      <c r="K2455" s="19" t="n"/>
      <c r="M2455" s="16" t="n"/>
      <c r="N2455" s="19" t="n"/>
    </row>
    <row r="2456">
      <c r="A2456" s="16" t="n"/>
      <c r="B2456" s="19" t="n"/>
      <c r="D2456" s="16" t="n"/>
      <c r="E2456" s="19" t="n"/>
      <c r="G2456" s="16" t="n"/>
      <c r="H2456" s="19" t="n"/>
      <c r="J2456" s="16" t="n"/>
      <c r="K2456" s="19" t="n"/>
      <c r="M2456" s="16" t="n"/>
      <c r="N2456" s="19" t="n"/>
    </row>
    <row r="2457">
      <c r="A2457" s="16" t="n"/>
      <c r="B2457" s="19" t="n"/>
      <c r="D2457" s="16" t="n"/>
      <c r="E2457" s="19" t="n"/>
      <c r="G2457" s="16" t="n"/>
      <c r="H2457" s="19" t="n"/>
      <c r="J2457" s="16" t="n"/>
      <c r="K2457" s="19" t="n"/>
      <c r="M2457" s="16" t="n"/>
      <c r="N2457" s="19" t="n"/>
    </row>
    <row r="2458">
      <c r="A2458" s="16" t="n"/>
      <c r="B2458" s="19" t="n"/>
      <c r="D2458" s="16" t="n"/>
      <c r="E2458" s="19" t="n"/>
      <c r="G2458" s="16" t="n"/>
      <c r="H2458" s="19" t="n"/>
      <c r="J2458" s="16" t="n"/>
      <c r="K2458" s="19" t="n"/>
      <c r="M2458" s="16" t="n"/>
      <c r="N2458" s="19" t="n"/>
    </row>
    <row r="2459">
      <c r="A2459" s="16" t="n"/>
      <c r="B2459" s="19" t="n"/>
      <c r="D2459" s="16" t="n"/>
      <c r="E2459" s="19" t="n"/>
      <c r="G2459" s="16" t="n"/>
      <c r="H2459" s="19" t="n"/>
      <c r="J2459" s="16" t="n"/>
      <c r="K2459" s="19" t="n"/>
      <c r="M2459" s="16" t="n"/>
      <c r="N2459" s="19" t="n"/>
    </row>
    <row r="2460">
      <c r="A2460" s="16" t="n"/>
      <c r="B2460" s="19" t="n"/>
      <c r="D2460" s="16" t="n"/>
      <c r="E2460" s="19" t="n"/>
      <c r="G2460" s="16" t="n"/>
      <c r="H2460" s="19" t="n"/>
      <c r="J2460" s="16" t="n"/>
      <c r="K2460" s="19" t="n"/>
      <c r="M2460" s="16" t="n"/>
      <c r="N2460" s="19" t="n"/>
    </row>
    <row r="2461">
      <c r="A2461" s="16" t="n"/>
      <c r="B2461" s="19" t="n"/>
      <c r="D2461" s="16" t="n"/>
      <c r="E2461" s="19" t="n"/>
      <c r="G2461" s="16" t="n"/>
      <c r="H2461" s="19" t="n"/>
      <c r="J2461" s="16" t="n"/>
      <c r="K2461" s="19" t="n"/>
      <c r="M2461" s="16" t="n"/>
      <c r="N2461" s="19" t="n"/>
    </row>
    <row r="2462">
      <c r="A2462" s="16" t="n"/>
      <c r="B2462" s="19" t="n"/>
      <c r="D2462" s="16" t="n"/>
      <c r="E2462" s="19" t="n"/>
      <c r="G2462" s="16" t="n"/>
      <c r="H2462" s="19" t="n"/>
      <c r="J2462" s="16" t="n"/>
      <c r="K2462" s="19" t="n"/>
      <c r="M2462" s="16" t="n"/>
      <c r="N2462" s="19" t="n"/>
    </row>
    <row r="2463">
      <c r="A2463" s="16" t="n"/>
      <c r="B2463" s="19" t="n"/>
      <c r="D2463" s="16" t="n"/>
      <c r="E2463" s="19" t="n"/>
      <c r="G2463" s="16" t="n"/>
      <c r="H2463" s="19" t="n"/>
      <c r="J2463" s="16" t="n"/>
      <c r="K2463" s="19" t="n"/>
      <c r="M2463" s="16" t="n"/>
      <c r="N2463" s="19" t="n"/>
    </row>
    <row r="2464">
      <c r="A2464" s="16" t="n"/>
      <c r="B2464" s="19" t="n"/>
      <c r="D2464" s="16" t="n"/>
      <c r="E2464" s="19" t="n"/>
      <c r="G2464" s="16" t="n"/>
      <c r="H2464" s="19" t="n"/>
      <c r="J2464" s="16" t="n"/>
      <c r="K2464" s="19" t="n"/>
      <c r="M2464" s="16" t="n"/>
      <c r="N2464" s="19" t="n"/>
    </row>
    <row r="2465">
      <c r="A2465" s="16" t="n"/>
      <c r="B2465" s="19" t="n"/>
      <c r="D2465" s="16" t="n"/>
      <c r="E2465" s="19" t="n"/>
      <c r="G2465" s="16" t="n"/>
      <c r="H2465" s="19" t="n"/>
      <c r="J2465" s="16" t="n"/>
      <c r="K2465" s="19" t="n"/>
      <c r="M2465" s="16" t="n"/>
      <c r="N2465" s="19" t="n"/>
    </row>
    <row r="2466">
      <c r="A2466" s="16" t="n"/>
      <c r="B2466" s="19" t="n"/>
      <c r="D2466" s="16" t="n"/>
      <c r="E2466" s="19" t="n"/>
      <c r="G2466" s="16" t="n"/>
      <c r="H2466" s="19" t="n"/>
      <c r="J2466" s="16" t="n"/>
      <c r="K2466" s="19" t="n"/>
      <c r="M2466" s="16" t="n"/>
      <c r="N2466" s="19" t="n"/>
    </row>
    <row r="2467">
      <c r="A2467" s="16" t="n"/>
      <c r="B2467" s="19" t="n"/>
      <c r="D2467" s="16" t="n"/>
      <c r="E2467" s="19" t="n"/>
      <c r="G2467" s="16" t="n"/>
      <c r="H2467" s="19" t="n"/>
      <c r="J2467" s="16" t="n"/>
      <c r="K2467" s="19" t="n"/>
      <c r="M2467" s="16" t="n"/>
      <c r="N2467" s="19" t="n"/>
    </row>
    <row r="2468">
      <c r="A2468" s="16" t="n"/>
      <c r="B2468" s="19" t="n"/>
      <c r="D2468" s="16" t="n"/>
      <c r="E2468" s="19" t="n"/>
      <c r="G2468" s="16" t="n"/>
      <c r="H2468" s="19" t="n"/>
      <c r="J2468" s="16" t="n"/>
      <c r="K2468" s="19" t="n"/>
      <c r="M2468" s="16" t="n"/>
      <c r="N2468" s="19" t="n"/>
    </row>
    <row r="2469">
      <c r="A2469" s="16" t="n"/>
      <c r="B2469" s="19" t="n"/>
      <c r="D2469" s="16" t="n"/>
      <c r="E2469" s="19" t="n"/>
      <c r="G2469" s="16" t="n"/>
      <c r="H2469" s="19" t="n"/>
      <c r="J2469" s="16" t="n"/>
      <c r="K2469" s="19" t="n"/>
      <c r="M2469" s="16" t="n"/>
      <c r="N2469" s="19" t="n"/>
    </row>
    <row r="2470">
      <c r="A2470" s="16" t="n"/>
      <c r="B2470" s="19" t="n"/>
      <c r="D2470" s="16" t="n"/>
      <c r="E2470" s="19" t="n"/>
      <c r="G2470" s="16" t="n"/>
      <c r="H2470" s="19" t="n"/>
      <c r="J2470" s="16" t="n"/>
      <c r="K2470" s="19" t="n"/>
      <c r="M2470" s="16" t="n"/>
      <c r="N2470" s="19" t="n"/>
    </row>
    <row r="2471">
      <c r="A2471" s="16" t="n"/>
      <c r="B2471" s="19" t="n"/>
      <c r="D2471" s="16" t="n"/>
      <c r="E2471" s="19" t="n"/>
      <c r="G2471" s="16" t="n"/>
      <c r="H2471" s="19" t="n"/>
      <c r="J2471" s="16" t="n"/>
      <c r="K2471" s="19" t="n"/>
      <c r="M2471" s="16" t="n"/>
      <c r="N2471" s="19" t="n"/>
    </row>
    <row r="2472">
      <c r="A2472" s="16" t="n"/>
      <c r="B2472" s="19" t="n"/>
      <c r="D2472" s="16" t="n"/>
      <c r="E2472" s="19" t="n"/>
      <c r="G2472" s="16" t="n"/>
      <c r="H2472" s="19" t="n"/>
      <c r="J2472" s="16" t="n"/>
      <c r="K2472" s="19" t="n"/>
      <c r="M2472" s="16" t="n"/>
      <c r="N2472" s="19" t="n"/>
    </row>
    <row r="2473">
      <c r="A2473" s="16" t="n"/>
      <c r="B2473" s="19" t="n"/>
      <c r="D2473" s="16" t="n"/>
      <c r="E2473" s="19" t="n"/>
      <c r="G2473" s="16" t="n"/>
      <c r="H2473" s="19" t="n"/>
      <c r="J2473" s="16" t="n"/>
      <c r="K2473" s="19" t="n"/>
      <c r="M2473" s="16" t="n"/>
      <c r="N2473" s="19" t="n"/>
    </row>
    <row r="2474">
      <c r="A2474" s="16" t="n"/>
      <c r="B2474" s="19" t="n"/>
      <c r="D2474" s="16" t="n"/>
      <c r="E2474" s="19" t="n"/>
      <c r="G2474" s="16" t="n"/>
      <c r="H2474" s="19" t="n"/>
      <c r="J2474" s="16" t="n"/>
      <c r="K2474" s="19" t="n"/>
      <c r="M2474" s="16" t="n"/>
      <c r="N2474" s="19" t="n"/>
    </row>
    <row r="2475">
      <c r="A2475" s="16" t="n"/>
      <c r="B2475" s="19" t="n"/>
      <c r="D2475" s="16" t="n"/>
      <c r="E2475" s="19" t="n"/>
      <c r="G2475" s="16" t="n"/>
      <c r="H2475" s="19" t="n"/>
      <c r="J2475" s="16" t="n"/>
      <c r="K2475" s="19" t="n"/>
      <c r="M2475" s="16" t="n"/>
      <c r="N2475" s="19" t="n"/>
    </row>
    <row r="2476">
      <c r="A2476" s="16" t="n"/>
      <c r="B2476" s="19" t="n"/>
      <c r="D2476" s="16" t="n"/>
      <c r="E2476" s="19" t="n"/>
      <c r="G2476" s="16" t="n"/>
      <c r="H2476" s="19" t="n"/>
      <c r="J2476" s="16" t="n"/>
      <c r="K2476" s="19" t="n"/>
      <c r="M2476" s="16" t="n"/>
      <c r="N2476" s="19" t="n"/>
    </row>
    <row r="2477">
      <c r="A2477" s="16" t="n"/>
      <c r="B2477" s="19" t="n"/>
      <c r="D2477" s="16" t="n"/>
      <c r="E2477" s="19" t="n"/>
      <c r="G2477" s="16" t="n"/>
      <c r="H2477" s="19" t="n"/>
      <c r="J2477" s="16" t="n"/>
      <c r="K2477" s="19" t="n"/>
      <c r="M2477" s="16" t="n"/>
      <c r="N2477" s="19" t="n"/>
    </row>
    <row r="2478">
      <c r="A2478" s="16" t="n"/>
      <c r="B2478" s="19" t="n"/>
      <c r="D2478" s="16" t="n"/>
      <c r="E2478" s="19" t="n"/>
      <c r="G2478" s="16" t="n"/>
      <c r="H2478" s="19" t="n"/>
      <c r="J2478" s="16" t="n"/>
      <c r="K2478" s="19" t="n"/>
      <c r="M2478" s="16" t="n"/>
      <c r="N2478" s="19" t="n"/>
    </row>
    <row r="2479">
      <c r="A2479" s="16" t="n"/>
      <c r="B2479" s="19" t="n"/>
      <c r="D2479" s="16" t="n"/>
      <c r="E2479" s="19" t="n"/>
      <c r="G2479" s="16" t="n"/>
      <c r="H2479" s="19" t="n"/>
      <c r="J2479" s="16" t="n"/>
      <c r="K2479" s="19" t="n"/>
      <c r="M2479" s="16" t="n"/>
      <c r="N2479" s="19" t="n"/>
    </row>
    <row r="2480">
      <c r="A2480" s="16" t="n"/>
      <c r="B2480" s="19" t="n"/>
      <c r="D2480" s="16" t="n"/>
      <c r="E2480" s="19" t="n"/>
      <c r="G2480" s="16" t="n"/>
      <c r="H2480" s="19" t="n"/>
      <c r="J2480" s="16" t="n"/>
      <c r="K2480" s="19" t="n"/>
      <c r="M2480" s="16" t="n"/>
      <c r="N2480" s="19" t="n"/>
    </row>
    <row r="2481">
      <c r="A2481" s="16" t="n"/>
      <c r="B2481" s="19" t="n"/>
      <c r="D2481" s="16" t="n"/>
      <c r="E2481" s="19" t="n"/>
      <c r="G2481" s="16" t="n"/>
      <c r="H2481" s="19" t="n"/>
      <c r="J2481" s="16" t="n"/>
      <c r="K2481" s="19" t="n"/>
      <c r="M2481" s="16" t="n"/>
      <c r="N2481" s="19" t="n"/>
    </row>
    <row r="2482">
      <c r="A2482" s="16" t="n"/>
      <c r="B2482" s="19" t="n"/>
      <c r="D2482" s="16" t="n"/>
      <c r="E2482" s="19" t="n"/>
      <c r="G2482" s="16" t="n"/>
      <c r="H2482" s="19" t="n"/>
      <c r="J2482" s="16" t="n"/>
      <c r="K2482" s="19" t="n"/>
      <c r="M2482" s="16" t="n"/>
      <c r="N2482" s="19" t="n"/>
    </row>
    <row r="2483">
      <c r="A2483" s="16" t="n"/>
      <c r="B2483" s="19" t="n"/>
      <c r="D2483" s="16" t="n"/>
      <c r="E2483" s="19" t="n"/>
      <c r="G2483" s="16" t="n"/>
      <c r="H2483" s="19" t="n"/>
      <c r="J2483" s="16" t="n"/>
      <c r="K2483" s="19" t="n"/>
      <c r="M2483" s="16" t="n"/>
      <c r="N2483" s="19" t="n"/>
    </row>
    <row r="2484">
      <c r="A2484" s="16" t="n"/>
      <c r="B2484" s="19" t="n"/>
      <c r="D2484" s="16" t="n"/>
      <c r="E2484" s="19" t="n"/>
      <c r="G2484" s="16" t="n"/>
      <c r="H2484" s="19" t="n"/>
      <c r="J2484" s="16" t="n"/>
      <c r="K2484" s="19" t="n"/>
      <c r="M2484" s="16" t="n"/>
      <c r="N2484" s="19" t="n"/>
    </row>
    <row r="2485">
      <c r="A2485" s="16" t="n"/>
      <c r="B2485" s="19" t="n"/>
      <c r="D2485" s="16" t="n"/>
      <c r="E2485" s="19" t="n"/>
      <c r="G2485" s="16" t="n"/>
      <c r="H2485" s="19" t="n"/>
      <c r="J2485" s="16" t="n"/>
      <c r="K2485" s="19" t="n"/>
      <c r="M2485" s="16" t="n"/>
      <c r="N2485" s="19" t="n"/>
    </row>
    <row r="2486">
      <c r="A2486" s="16" t="n"/>
      <c r="B2486" s="19" t="n"/>
      <c r="D2486" s="16" t="n"/>
      <c r="E2486" s="19" t="n"/>
      <c r="G2486" s="16" t="n"/>
      <c r="H2486" s="19" t="n"/>
      <c r="J2486" s="16" t="n"/>
      <c r="K2486" s="19" t="n"/>
      <c r="M2486" s="16" t="n"/>
      <c r="N2486" s="19" t="n"/>
    </row>
    <row r="2487">
      <c r="A2487" s="16" t="n"/>
      <c r="B2487" s="19" t="n"/>
      <c r="D2487" s="16" t="n"/>
      <c r="E2487" s="19" t="n"/>
      <c r="G2487" s="16" t="n"/>
      <c r="H2487" s="19" t="n"/>
      <c r="J2487" s="16" t="n"/>
      <c r="K2487" s="19" t="n"/>
      <c r="M2487" s="16" t="n"/>
      <c r="N2487" s="19" t="n"/>
    </row>
    <row r="2488">
      <c r="A2488" s="16" t="n"/>
      <c r="B2488" s="19" t="n"/>
      <c r="D2488" s="16" t="n"/>
      <c r="E2488" s="19" t="n"/>
      <c r="G2488" s="16" t="n"/>
      <c r="H2488" s="19" t="n"/>
      <c r="J2488" s="16" t="n"/>
      <c r="K2488" s="19" t="n"/>
      <c r="M2488" s="16" t="n"/>
      <c r="N2488" s="19" t="n"/>
    </row>
    <row r="2489">
      <c r="A2489" s="16" t="n"/>
      <c r="B2489" s="19" t="n"/>
      <c r="D2489" s="16" t="n"/>
      <c r="E2489" s="19" t="n"/>
      <c r="G2489" s="16" t="n"/>
      <c r="H2489" s="19" t="n"/>
      <c r="J2489" s="16" t="n"/>
      <c r="K2489" s="19" t="n"/>
      <c r="M2489" s="16" t="n"/>
      <c r="N2489" s="19" t="n"/>
    </row>
    <row r="2490">
      <c r="A2490" s="16" t="n"/>
      <c r="B2490" s="19" t="n"/>
      <c r="D2490" s="16" t="n"/>
      <c r="E2490" s="19" t="n"/>
      <c r="G2490" s="16" t="n"/>
      <c r="H2490" s="19" t="n"/>
      <c r="J2490" s="16" t="n"/>
      <c r="K2490" s="19" t="n"/>
      <c r="M2490" s="16" t="n"/>
      <c r="N2490" s="19" t="n"/>
    </row>
    <row r="2491">
      <c r="A2491" s="16" t="n"/>
      <c r="B2491" s="19" t="n"/>
      <c r="D2491" s="16" t="n"/>
      <c r="E2491" s="19" t="n"/>
      <c r="G2491" s="16" t="n"/>
      <c r="H2491" s="19" t="n"/>
      <c r="J2491" s="16" t="n"/>
      <c r="K2491" s="19" t="n"/>
      <c r="M2491" s="16" t="n"/>
      <c r="N2491" s="19" t="n"/>
    </row>
    <row r="2492">
      <c r="A2492" s="16" t="n"/>
      <c r="B2492" s="19" t="n"/>
      <c r="D2492" s="16" t="n"/>
      <c r="E2492" s="19" t="n"/>
      <c r="G2492" s="16" t="n"/>
      <c r="H2492" s="19" t="n"/>
      <c r="J2492" s="16" t="n"/>
      <c r="K2492" s="19" t="n"/>
      <c r="M2492" s="16" t="n"/>
      <c r="N2492" s="19" t="n"/>
    </row>
    <row r="2493">
      <c r="A2493" s="16" t="n"/>
      <c r="B2493" s="19" t="n"/>
      <c r="D2493" s="16" t="n"/>
      <c r="E2493" s="19" t="n"/>
      <c r="G2493" s="16" t="n"/>
      <c r="H2493" s="19" t="n"/>
      <c r="J2493" s="16" t="n"/>
      <c r="K2493" s="19" t="n"/>
      <c r="M2493" s="16" t="n"/>
      <c r="N2493" s="19" t="n"/>
    </row>
    <row r="2494">
      <c r="A2494" s="16" t="n"/>
      <c r="B2494" s="19" t="n"/>
      <c r="D2494" s="16" t="n"/>
      <c r="E2494" s="19" t="n"/>
      <c r="G2494" s="16" t="n"/>
      <c r="H2494" s="19" t="n"/>
      <c r="J2494" s="16" t="n"/>
      <c r="K2494" s="19" t="n"/>
      <c r="M2494" s="16" t="n"/>
      <c r="N2494" s="19" t="n"/>
    </row>
    <row r="2495">
      <c r="A2495" s="16" t="n"/>
      <c r="B2495" s="19" t="n"/>
      <c r="D2495" s="16" t="n"/>
      <c r="E2495" s="19" t="n"/>
      <c r="G2495" s="16" t="n"/>
      <c r="H2495" s="19" t="n"/>
      <c r="J2495" s="16" t="n"/>
      <c r="K2495" s="19" t="n"/>
      <c r="M2495" s="16" t="n"/>
      <c r="N2495" s="19" t="n"/>
    </row>
    <row r="2496">
      <c r="A2496" s="16" t="n"/>
      <c r="B2496" s="19" t="n"/>
      <c r="D2496" s="16" t="n"/>
      <c r="E2496" s="19" t="n"/>
      <c r="G2496" s="16" t="n"/>
      <c r="H2496" s="19" t="n"/>
      <c r="J2496" s="16" t="n"/>
      <c r="K2496" s="19" t="n"/>
      <c r="M2496" s="16" t="n"/>
      <c r="N2496" s="19" t="n"/>
    </row>
    <row r="2497">
      <c r="A2497" s="16" t="n"/>
      <c r="B2497" s="19" t="n"/>
      <c r="D2497" s="16" t="n"/>
      <c r="E2497" s="19" t="n"/>
      <c r="G2497" s="16" t="n"/>
      <c r="H2497" s="19" t="n"/>
      <c r="J2497" s="16" t="n"/>
      <c r="K2497" s="19" t="n"/>
      <c r="M2497" s="16" t="n"/>
      <c r="N2497" s="19" t="n"/>
    </row>
    <row r="2498">
      <c r="A2498" s="16" t="n"/>
      <c r="B2498" s="19" t="n"/>
      <c r="D2498" s="16" t="n"/>
      <c r="E2498" s="19" t="n"/>
      <c r="G2498" s="16" t="n"/>
      <c r="H2498" s="19" t="n"/>
      <c r="J2498" s="16" t="n"/>
      <c r="K2498" s="19" t="n"/>
      <c r="M2498" s="16" t="n"/>
      <c r="N2498" s="19" t="n"/>
    </row>
    <row r="2499">
      <c r="A2499" s="16" t="n"/>
      <c r="B2499" s="19" t="n"/>
      <c r="D2499" s="16" t="n"/>
      <c r="E2499" s="19" t="n"/>
      <c r="G2499" s="16" t="n"/>
      <c r="H2499" s="19" t="n"/>
      <c r="J2499" s="16" t="n"/>
      <c r="K2499" s="19" t="n"/>
      <c r="M2499" s="16" t="n"/>
      <c r="N2499" s="19" t="n"/>
    </row>
    <row r="2500">
      <c r="A2500" s="16" t="n"/>
      <c r="B2500" s="19" t="n"/>
      <c r="D2500" s="16" t="n"/>
      <c r="E2500" s="19" t="n"/>
      <c r="G2500" s="16" t="n"/>
      <c r="H2500" s="19" t="n"/>
      <c r="J2500" s="16" t="n"/>
      <c r="K2500" s="19" t="n"/>
      <c r="M2500" s="16" t="n"/>
      <c r="N2500" s="19" t="n"/>
    </row>
    <row r="2501">
      <c r="A2501" s="16" t="n"/>
      <c r="B2501" s="19" t="n"/>
      <c r="D2501" s="16" t="n"/>
      <c r="E2501" s="19" t="n"/>
      <c r="G2501" s="16" t="n"/>
      <c r="H2501" s="19" t="n"/>
      <c r="J2501" s="16" t="n"/>
      <c r="K2501" s="19" t="n"/>
      <c r="M2501" s="16" t="n"/>
      <c r="N2501" s="19" t="n"/>
    </row>
    <row r="2502">
      <c r="A2502" s="16" t="n"/>
      <c r="B2502" s="19" t="n"/>
      <c r="D2502" s="16" t="n"/>
      <c r="E2502" s="19" t="n"/>
      <c r="G2502" s="16" t="n"/>
      <c r="H2502" s="19" t="n"/>
      <c r="J2502" s="16" t="n"/>
      <c r="K2502" s="19" t="n"/>
      <c r="M2502" s="16" t="n"/>
      <c r="N2502" s="19" t="n"/>
    </row>
    <row r="2503">
      <c r="A2503" s="16" t="n"/>
      <c r="B2503" s="19" t="n"/>
      <c r="D2503" s="16" t="n"/>
      <c r="E2503" s="19" t="n"/>
      <c r="G2503" s="16" t="n"/>
      <c r="H2503" s="19" t="n"/>
      <c r="J2503" s="16" t="n"/>
      <c r="K2503" s="19" t="n"/>
      <c r="M2503" s="16" t="n"/>
      <c r="N2503" s="19" t="n"/>
    </row>
    <row r="2504">
      <c r="A2504" s="16" t="n"/>
      <c r="B2504" s="19" t="n"/>
      <c r="D2504" s="16" t="n"/>
      <c r="E2504" s="19" t="n"/>
      <c r="G2504" s="16" t="n"/>
      <c r="H2504" s="19" t="n"/>
      <c r="J2504" s="16" t="n"/>
      <c r="K2504" s="19" t="n"/>
      <c r="M2504" s="16" t="n"/>
      <c r="N2504" s="19" t="n"/>
    </row>
    <row r="2505">
      <c r="A2505" s="16" t="n"/>
      <c r="B2505" s="19" t="n"/>
      <c r="D2505" s="16" t="n"/>
      <c r="E2505" s="19" t="n"/>
      <c r="G2505" s="16" t="n"/>
      <c r="H2505" s="19" t="n"/>
      <c r="J2505" s="16" t="n"/>
      <c r="K2505" s="19" t="n"/>
      <c r="M2505" s="16" t="n"/>
      <c r="N2505" s="19" t="n"/>
    </row>
    <row r="2506">
      <c r="A2506" s="16" t="n"/>
      <c r="B2506" s="19" t="n"/>
      <c r="D2506" s="16" t="n"/>
      <c r="E2506" s="19" t="n"/>
      <c r="G2506" s="16" t="n"/>
      <c r="H2506" s="19" t="n"/>
      <c r="J2506" s="16" t="n"/>
      <c r="K2506" s="19" t="n"/>
      <c r="M2506" s="16" t="n"/>
      <c r="N2506" s="19" t="n"/>
    </row>
    <row r="2507">
      <c r="A2507" s="16" t="n"/>
      <c r="B2507" s="19" t="n"/>
      <c r="D2507" s="16" t="n"/>
      <c r="E2507" s="19" t="n"/>
      <c r="G2507" s="16" t="n"/>
      <c r="H2507" s="19" t="n"/>
      <c r="J2507" s="16" t="n"/>
      <c r="K2507" s="19" t="n"/>
      <c r="M2507" s="16" t="n"/>
      <c r="N2507" s="19" t="n"/>
    </row>
    <row r="2508">
      <c r="A2508" s="16" t="n"/>
      <c r="B2508" s="19" t="n"/>
      <c r="D2508" s="16" t="n"/>
      <c r="E2508" s="19" t="n"/>
      <c r="G2508" s="16" t="n"/>
      <c r="H2508" s="19" t="n"/>
      <c r="J2508" s="16" t="n"/>
      <c r="K2508" s="19" t="n"/>
      <c r="M2508" s="16" t="n"/>
      <c r="N2508" s="19" t="n"/>
    </row>
    <row r="2509">
      <c r="A2509" s="16" t="n"/>
      <c r="B2509" s="19" t="n"/>
      <c r="D2509" s="16" t="n"/>
      <c r="E2509" s="19" t="n"/>
      <c r="G2509" s="16" t="n"/>
      <c r="H2509" s="19" t="n"/>
      <c r="J2509" s="16" t="n"/>
      <c r="K2509" s="19" t="n"/>
      <c r="M2509" s="16" t="n"/>
      <c r="N2509" s="19" t="n"/>
    </row>
    <row r="2510">
      <c r="A2510" s="16" t="n"/>
      <c r="B2510" s="19" t="n"/>
      <c r="D2510" s="16" t="n"/>
      <c r="E2510" s="19" t="n"/>
      <c r="G2510" s="16" t="n"/>
      <c r="H2510" s="19" t="n"/>
      <c r="J2510" s="16" t="n"/>
      <c r="K2510" s="19" t="n"/>
      <c r="M2510" s="16" t="n"/>
      <c r="N2510" s="19" t="n"/>
    </row>
    <row r="2511">
      <c r="A2511" s="16" t="n"/>
      <c r="B2511" s="19" t="n"/>
      <c r="D2511" s="16" t="n"/>
      <c r="E2511" s="19" t="n"/>
      <c r="G2511" s="16" t="n"/>
      <c r="H2511" s="19" t="n"/>
      <c r="J2511" s="16" t="n"/>
      <c r="K2511" s="19" t="n"/>
      <c r="M2511" s="16" t="n"/>
      <c r="N2511" s="19" t="n"/>
    </row>
    <row r="2512">
      <c r="A2512" s="16" t="n"/>
      <c r="B2512" s="19" t="n"/>
      <c r="D2512" s="16" t="n"/>
      <c r="E2512" s="19" t="n"/>
      <c r="G2512" s="16" t="n"/>
      <c r="H2512" s="19" t="n"/>
      <c r="J2512" s="16" t="n"/>
      <c r="K2512" s="19" t="n"/>
      <c r="M2512" s="16" t="n"/>
      <c r="N2512" s="19" t="n"/>
    </row>
    <row r="2513">
      <c r="A2513" s="16" t="n"/>
      <c r="B2513" s="19" t="n"/>
      <c r="D2513" s="16" t="n"/>
      <c r="E2513" s="19" t="n"/>
      <c r="G2513" s="16" t="n"/>
      <c r="H2513" s="19" t="n"/>
      <c r="J2513" s="16" t="n"/>
      <c r="K2513" s="19" t="n"/>
      <c r="M2513" s="16" t="n"/>
      <c r="N2513" s="19" t="n"/>
    </row>
    <row r="2514">
      <c r="A2514" s="16" t="n"/>
      <c r="B2514" s="19" t="n"/>
      <c r="D2514" s="16" t="n"/>
      <c r="E2514" s="19" t="n"/>
      <c r="G2514" s="16" t="n"/>
      <c r="H2514" s="19" t="n"/>
      <c r="J2514" s="16" t="n"/>
      <c r="K2514" s="19" t="n"/>
      <c r="M2514" s="16" t="n"/>
      <c r="N2514" s="19" t="n"/>
    </row>
    <row r="2515">
      <c r="A2515" s="16" t="n"/>
      <c r="B2515" s="19" t="n"/>
      <c r="D2515" s="16" t="n"/>
      <c r="E2515" s="19" t="n"/>
      <c r="G2515" s="16" t="n"/>
      <c r="H2515" s="19" t="n"/>
      <c r="J2515" s="16" t="n"/>
      <c r="K2515" s="19" t="n"/>
      <c r="M2515" s="16" t="n"/>
      <c r="N2515" s="19" t="n"/>
    </row>
    <row r="2516">
      <c r="A2516" s="16" t="n"/>
      <c r="B2516" s="19" t="n"/>
      <c r="D2516" s="16" t="n"/>
      <c r="E2516" s="19" t="n"/>
      <c r="G2516" s="16" t="n"/>
      <c r="H2516" s="19" t="n"/>
      <c r="J2516" s="16" t="n"/>
      <c r="K2516" s="19" t="n"/>
      <c r="M2516" s="16" t="n"/>
      <c r="N2516" s="19" t="n"/>
    </row>
    <row r="2517">
      <c r="A2517" s="16" t="n"/>
      <c r="B2517" s="19" t="n"/>
      <c r="D2517" s="16" t="n"/>
      <c r="E2517" s="19" t="n"/>
      <c r="G2517" s="16" t="n"/>
      <c r="H2517" s="19" t="n"/>
      <c r="J2517" s="16" t="n"/>
      <c r="K2517" s="19" t="n"/>
      <c r="M2517" s="16" t="n"/>
      <c r="N2517" s="19" t="n"/>
    </row>
    <row r="2518">
      <c r="A2518" s="16" t="n"/>
      <c r="B2518" s="19" t="n"/>
      <c r="D2518" s="16" t="n"/>
      <c r="E2518" s="19" t="n"/>
      <c r="G2518" s="16" t="n"/>
      <c r="H2518" s="19" t="n"/>
      <c r="J2518" s="16" t="n"/>
      <c r="K2518" s="19" t="n"/>
      <c r="M2518" s="16" t="n"/>
      <c r="N2518" s="19" t="n"/>
    </row>
    <row r="2519">
      <c r="A2519" s="16" t="n"/>
      <c r="B2519" s="19" t="n"/>
      <c r="D2519" s="16" t="n"/>
      <c r="E2519" s="19" t="n"/>
      <c r="G2519" s="16" t="n"/>
      <c r="H2519" s="19" t="n"/>
      <c r="J2519" s="16" t="n"/>
      <c r="K2519" s="19" t="n"/>
      <c r="M2519" s="16" t="n"/>
      <c r="N2519" s="19" t="n"/>
    </row>
    <row r="2520">
      <c r="A2520" s="16" t="n"/>
      <c r="B2520" s="19" t="n"/>
      <c r="D2520" s="16" t="n"/>
      <c r="E2520" s="19" t="n"/>
      <c r="G2520" s="16" t="n"/>
      <c r="H2520" s="19" t="n"/>
      <c r="J2520" s="16" t="n"/>
      <c r="K2520" s="19" t="n"/>
      <c r="M2520" s="16" t="n"/>
      <c r="N2520" s="19" t="n"/>
    </row>
    <row r="2521">
      <c r="A2521" s="16" t="n"/>
      <c r="B2521" s="19" t="n"/>
      <c r="D2521" s="16" t="n"/>
      <c r="E2521" s="19" t="n"/>
      <c r="G2521" s="16" t="n"/>
      <c r="H2521" s="19" t="n"/>
      <c r="J2521" s="16" t="n"/>
      <c r="K2521" s="19" t="n"/>
      <c r="M2521" s="16" t="n"/>
      <c r="N2521" s="19" t="n"/>
    </row>
    <row r="2522">
      <c r="A2522" s="16" t="n"/>
      <c r="B2522" s="19" t="n"/>
      <c r="D2522" s="16" t="n"/>
      <c r="E2522" s="19" t="n"/>
      <c r="G2522" s="16" t="n"/>
      <c r="H2522" s="19" t="n"/>
      <c r="J2522" s="16" t="n"/>
      <c r="K2522" s="19" t="n"/>
      <c r="M2522" s="16" t="n"/>
      <c r="N2522" s="19" t="n"/>
    </row>
    <row r="2523">
      <c r="A2523" s="16" t="n"/>
      <c r="B2523" s="19" t="n"/>
      <c r="D2523" s="16" t="n"/>
      <c r="E2523" s="19" t="n"/>
      <c r="G2523" s="16" t="n"/>
      <c r="H2523" s="19" t="n"/>
      <c r="J2523" s="16" t="n"/>
      <c r="K2523" s="19" t="n"/>
      <c r="M2523" s="16" t="n"/>
      <c r="N2523" s="19" t="n"/>
    </row>
    <row r="2524">
      <c r="A2524" s="16" t="n"/>
      <c r="B2524" s="19" t="n"/>
      <c r="D2524" s="16" t="n"/>
      <c r="E2524" s="19" t="n"/>
      <c r="G2524" s="16" t="n"/>
      <c r="H2524" s="19" t="n"/>
      <c r="J2524" s="16" t="n"/>
      <c r="K2524" s="19" t="n"/>
      <c r="M2524" s="16" t="n"/>
      <c r="N2524" s="19" t="n"/>
    </row>
    <row r="2525">
      <c r="A2525" s="16" t="n"/>
      <c r="B2525" s="19" t="n"/>
      <c r="D2525" s="16" t="n"/>
      <c r="E2525" s="19" t="n"/>
      <c r="G2525" s="16" t="n"/>
      <c r="H2525" s="19" t="n"/>
      <c r="J2525" s="16" t="n"/>
      <c r="K2525" s="19" t="n"/>
      <c r="M2525" s="16" t="n"/>
      <c r="N2525" s="19" t="n"/>
    </row>
    <row r="2526">
      <c r="A2526" s="16" t="n"/>
      <c r="B2526" s="19" t="n"/>
      <c r="D2526" s="16" t="n"/>
      <c r="E2526" s="19" t="n"/>
      <c r="G2526" s="16" t="n"/>
      <c r="H2526" s="19" t="n"/>
      <c r="J2526" s="16" t="n"/>
      <c r="K2526" s="19" t="n"/>
      <c r="M2526" s="16" t="n"/>
      <c r="N2526" s="19" t="n"/>
    </row>
    <row r="2527">
      <c r="A2527" s="16" t="n"/>
      <c r="B2527" s="19" t="n"/>
      <c r="D2527" s="16" t="n"/>
      <c r="E2527" s="19" t="n"/>
      <c r="G2527" s="16" t="n"/>
      <c r="H2527" s="19" t="n"/>
      <c r="J2527" s="16" t="n"/>
      <c r="K2527" s="19" t="n"/>
      <c r="M2527" s="16" t="n"/>
      <c r="N2527" s="19" t="n"/>
    </row>
    <row r="2528">
      <c r="A2528" s="16" t="n"/>
      <c r="B2528" s="19" t="n"/>
      <c r="D2528" s="16" t="n"/>
      <c r="E2528" s="19" t="n"/>
      <c r="G2528" s="16" t="n"/>
      <c r="H2528" s="19" t="n"/>
      <c r="J2528" s="16" t="n"/>
      <c r="K2528" s="19" t="n"/>
      <c r="M2528" s="16" t="n"/>
      <c r="N2528" s="19" t="n"/>
    </row>
    <row r="2529">
      <c r="A2529" s="16" t="n"/>
      <c r="B2529" s="19" t="n"/>
      <c r="D2529" s="16" t="n"/>
      <c r="E2529" s="19" t="n"/>
      <c r="G2529" s="16" t="n"/>
      <c r="H2529" s="19" t="n"/>
      <c r="J2529" s="16" t="n"/>
      <c r="K2529" s="19" t="n"/>
      <c r="M2529" s="16" t="n"/>
      <c r="N2529" s="19" t="n"/>
    </row>
    <row r="2530">
      <c r="A2530" s="16" t="n"/>
      <c r="B2530" s="19" t="n"/>
      <c r="D2530" s="16" t="n"/>
      <c r="E2530" s="19" t="n"/>
      <c r="G2530" s="16" t="n"/>
      <c r="H2530" s="19" t="n"/>
      <c r="J2530" s="16" t="n"/>
      <c r="K2530" s="19" t="n"/>
      <c r="M2530" s="16" t="n"/>
      <c r="N2530" s="19" t="n"/>
    </row>
    <row r="2531">
      <c r="A2531" s="16" t="n"/>
      <c r="B2531" s="19" t="n"/>
      <c r="D2531" s="16" t="n"/>
      <c r="E2531" s="19" t="n"/>
      <c r="G2531" s="16" t="n"/>
      <c r="H2531" s="19" t="n"/>
      <c r="J2531" s="16" t="n"/>
      <c r="K2531" s="19" t="n"/>
      <c r="M2531" s="16" t="n"/>
      <c r="N2531" s="19" t="n"/>
    </row>
    <row r="2532">
      <c r="A2532" s="16" t="n"/>
      <c r="B2532" s="19" t="n"/>
      <c r="D2532" s="16" t="n"/>
      <c r="E2532" s="19" t="n"/>
      <c r="G2532" s="16" t="n"/>
      <c r="H2532" s="19" t="n"/>
      <c r="J2532" s="16" t="n"/>
      <c r="K2532" s="19" t="n"/>
      <c r="M2532" s="16" t="n"/>
      <c r="N2532" s="19" t="n"/>
    </row>
    <row r="2533">
      <c r="A2533" s="16" t="n"/>
      <c r="B2533" s="19" t="n"/>
      <c r="D2533" s="16" t="n"/>
      <c r="E2533" s="19" t="n"/>
      <c r="G2533" s="16" t="n"/>
      <c r="H2533" s="19" t="n"/>
      <c r="J2533" s="16" t="n"/>
      <c r="K2533" s="19" t="n"/>
      <c r="M2533" s="16" t="n"/>
      <c r="N2533" s="19" t="n"/>
    </row>
    <row r="2534">
      <c r="A2534" s="16" t="n"/>
      <c r="B2534" s="19" t="n"/>
      <c r="D2534" s="16" t="n"/>
      <c r="E2534" s="19" t="n"/>
      <c r="G2534" s="16" t="n"/>
      <c r="H2534" s="19" t="n"/>
      <c r="J2534" s="16" t="n"/>
      <c r="K2534" s="19" t="n"/>
      <c r="M2534" s="16" t="n"/>
      <c r="N2534" s="19" t="n"/>
    </row>
    <row r="2535">
      <c r="A2535" s="16" t="n"/>
      <c r="B2535" s="19" t="n"/>
      <c r="D2535" s="16" t="n"/>
      <c r="E2535" s="19" t="n"/>
      <c r="G2535" s="16" t="n"/>
      <c r="H2535" s="19" t="n"/>
      <c r="J2535" s="16" t="n"/>
      <c r="K2535" s="19" t="n"/>
      <c r="M2535" s="16" t="n"/>
      <c r="N2535" s="19" t="n"/>
    </row>
    <row r="2536">
      <c r="A2536" s="16" t="n"/>
      <c r="B2536" s="19" t="n"/>
      <c r="D2536" s="16" t="n"/>
      <c r="E2536" s="19" t="n"/>
      <c r="G2536" s="16" t="n"/>
      <c r="H2536" s="19" t="n"/>
      <c r="J2536" s="16" t="n"/>
      <c r="K2536" s="19" t="n"/>
      <c r="M2536" s="16" t="n"/>
      <c r="N2536" s="19" t="n"/>
    </row>
    <row r="2537">
      <c r="A2537" s="16" t="n"/>
      <c r="B2537" s="19" t="n"/>
      <c r="D2537" s="16" t="n"/>
      <c r="E2537" s="19" t="n"/>
      <c r="G2537" s="16" t="n"/>
      <c r="H2537" s="19" t="n"/>
      <c r="J2537" s="16" t="n"/>
      <c r="K2537" s="19" t="n"/>
      <c r="M2537" s="16" t="n"/>
      <c r="N2537" s="19" t="n"/>
    </row>
    <row r="2538">
      <c r="A2538" s="16" t="n"/>
      <c r="B2538" s="19" t="n"/>
      <c r="D2538" s="16" t="n"/>
      <c r="E2538" s="19" t="n"/>
      <c r="G2538" s="16" t="n"/>
      <c r="H2538" s="19" t="n"/>
      <c r="J2538" s="16" t="n"/>
      <c r="K2538" s="19" t="n"/>
      <c r="M2538" s="16" t="n"/>
      <c r="N2538" s="19" t="n"/>
    </row>
    <row r="2539">
      <c r="A2539" s="16" t="n"/>
      <c r="B2539" s="19" t="n"/>
      <c r="D2539" s="16" t="n"/>
      <c r="E2539" s="19" t="n"/>
      <c r="G2539" s="16" t="n"/>
      <c r="H2539" s="19" t="n"/>
      <c r="J2539" s="16" t="n"/>
      <c r="K2539" s="19" t="n"/>
      <c r="M2539" s="16" t="n"/>
      <c r="N2539" s="19" t="n"/>
    </row>
    <row r="2540">
      <c r="A2540" s="16" t="n"/>
      <c r="B2540" s="19" t="n"/>
      <c r="D2540" s="16" t="n"/>
      <c r="E2540" s="19" t="n"/>
      <c r="G2540" s="16" t="n"/>
      <c r="H2540" s="19" t="n"/>
      <c r="J2540" s="16" t="n"/>
      <c r="K2540" s="19" t="n"/>
      <c r="M2540" s="16" t="n"/>
      <c r="N2540" s="19" t="n"/>
    </row>
    <row r="2541">
      <c r="A2541" s="16" t="n"/>
      <c r="B2541" s="19" t="n"/>
      <c r="D2541" s="16" t="n"/>
      <c r="E2541" s="19" t="n"/>
      <c r="G2541" s="16" t="n"/>
      <c r="H2541" s="19" t="n"/>
      <c r="J2541" s="16" t="n"/>
      <c r="K2541" s="19" t="n"/>
      <c r="M2541" s="16" t="n"/>
      <c r="N2541" s="19" t="n"/>
    </row>
    <row r="2542">
      <c r="A2542" s="16" t="n"/>
      <c r="B2542" s="19" t="n"/>
      <c r="D2542" s="16" t="n"/>
      <c r="E2542" s="19" t="n"/>
      <c r="G2542" s="16" t="n"/>
      <c r="H2542" s="19" t="n"/>
      <c r="J2542" s="16" t="n"/>
      <c r="K2542" s="19" t="n"/>
      <c r="M2542" s="16" t="n"/>
      <c r="N2542" s="19" t="n"/>
    </row>
    <row r="2543">
      <c r="A2543" s="16" t="n"/>
      <c r="B2543" s="19" t="n"/>
      <c r="D2543" s="16" t="n"/>
      <c r="E2543" s="19" t="n"/>
      <c r="G2543" s="16" t="n"/>
      <c r="H2543" s="19" t="n"/>
      <c r="J2543" s="16" t="n"/>
      <c r="K2543" s="19" t="n"/>
      <c r="M2543" s="16" t="n"/>
      <c r="N2543" s="19" t="n"/>
    </row>
    <row r="2544">
      <c r="A2544" s="16" t="n"/>
      <c r="B2544" s="19" t="n"/>
      <c r="D2544" s="16" t="n"/>
      <c r="E2544" s="19" t="n"/>
      <c r="G2544" s="16" t="n"/>
      <c r="H2544" s="19" t="n"/>
      <c r="J2544" s="16" t="n"/>
      <c r="K2544" s="19" t="n"/>
      <c r="M2544" s="16" t="n"/>
      <c r="N2544" s="19" t="n"/>
    </row>
    <row r="2545">
      <c r="A2545" s="16" t="n"/>
      <c r="B2545" s="19" t="n"/>
      <c r="D2545" s="16" t="n"/>
      <c r="E2545" s="19" t="n"/>
      <c r="G2545" s="16" t="n"/>
      <c r="H2545" s="19" t="n"/>
      <c r="J2545" s="16" t="n"/>
      <c r="K2545" s="19" t="n"/>
      <c r="M2545" s="16" t="n"/>
      <c r="N2545" s="19" t="n"/>
    </row>
    <row r="2546">
      <c r="A2546" s="16" t="n"/>
      <c r="B2546" s="19" t="n"/>
      <c r="D2546" s="16" t="n"/>
      <c r="E2546" s="19" t="n"/>
      <c r="G2546" s="16" t="n"/>
      <c r="H2546" s="19" t="n"/>
      <c r="J2546" s="16" t="n"/>
      <c r="K2546" s="19" t="n"/>
      <c r="M2546" s="16" t="n"/>
      <c r="N2546" s="19" t="n"/>
    </row>
    <row r="2547">
      <c r="A2547" s="16" t="n"/>
      <c r="B2547" s="19" t="n"/>
      <c r="D2547" s="16" t="n"/>
      <c r="E2547" s="19" t="n"/>
      <c r="G2547" s="16" t="n"/>
      <c r="H2547" s="19" t="n"/>
      <c r="J2547" s="16" t="n"/>
      <c r="K2547" s="19" t="n"/>
      <c r="M2547" s="16" t="n"/>
      <c r="N2547" s="19" t="n"/>
    </row>
    <row r="2548">
      <c r="A2548" s="16" t="n"/>
      <c r="B2548" s="19" t="n"/>
      <c r="D2548" s="16" t="n"/>
      <c r="E2548" s="19" t="n"/>
      <c r="G2548" s="16" t="n"/>
      <c r="H2548" s="19" t="n"/>
      <c r="J2548" s="16" t="n"/>
      <c r="K2548" s="19" t="n"/>
      <c r="M2548" s="16" t="n"/>
      <c r="N2548" s="19" t="n"/>
    </row>
    <row r="2549">
      <c r="A2549" s="16" t="n"/>
      <c r="B2549" s="19" t="n"/>
      <c r="D2549" s="16" t="n"/>
      <c r="E2549" s="19" t="n"/>
      <c r="G2549" s="16" t="n"/>
      <c r="H2549" s="19" t="n"/>
      <c r="J2549" s="16" t="n"/>
      <c r="K2549" s="19" t="n"/>
      <c r="M2549" s="16" t="n"/>
      <c r="N2549" s="19" t="n"/>
    </row>
    <row r="2550">
      <c r="A2550" s="16" t="n"/>
      <c r="B2550" s="19" t="n"/>
      <c r="D2550" s="16" t="n"/>
      <c r="E2550" s="19" t="n"/>
      <c r="G2550" s="16" t="n"/>
      <c r="H2550" s="19" t="n"/>
      <c r="J2550" s="16" t="n"/>
      <c r="K2550" s="19" t="n"/>
      <c r="M2550" s="16" t="n"/>
      <c r="N2550" s="19" t="n"/>
    </row>
    <row r="2551">
      <c r="A2551" s="16" t="n"/>
      <c r="B2551" s="19" t="n"/>
      <c r="D2551" s="16" t="n"/>
      <c r="E2551" s="19" t="n"/>
      <c r="G2551" s="16" t="n"/>
      <c r="H2551" s="19" t="n"/>
      <c r="J2551" s="16" t="n"/>
      <c r="K2551" s="19" t="n"/>
      <c r="M2551" s="16" t="n"/>
      <c r="N2551" s="19" t="n"/>
    </row>
    <row r="2552">
      <c r="A2552" s="16" t="n"/>
      <c r="B2552" s="19" t="n"/>
      <c r="D2552" s="16" t="n"/>
      <c r="E2552" s="19" t="n"/>
      <c r="G2552" s="16" t="n"/>
      <c r="H2552" s="19" t="n"/>
      <c r="J2552" s="16" t="n"/>
      <c r="K2552" s="19" t="n"/>
      <c r="M2552" s="16" t="n"/>
      <c r="N2552" s="19" t="n"/>
    </row>
    <row r="2553">
      <c r="A2553" s="16" t="n"/>
      <c r="B2553" s="19" t="n"/>
      <c r="D2553" s="16" t="n"/>
      <c r="E2553" s="19" t="n"/>
      <c r="G2553" s="16" t="n"/>
      <c r="H2553" s="19" t="n"/>
      <c r="J2553" s="16" t="n"/>
      <c r="K2553" s="19" t="n"/>
      <c r="M2553" s="16" t="n"/>
      <c r="N2553" s="19" t="n"/>
    </row>
    <row r="2554">
      <c r="A2554" s="16" t="n"/>
      <c r="B2554" s="19" t="n"/>
      <c r="D2554" s="16" t="n"/>
      <c r="E2554" s="19" t="n"/>
      <c r="G2554" s="16" t="n"/>
      <c r="H2554" s="19" t="n"/>
      <c r="J2554" s="16" t="n"/>
      <c r="K2554" s="19" t="n"/>
      <c r="M2554" s="16" t="n"/>
      <c r="N2554" s="19" t="n"/>
    </row>
    <row r="2555">
      <c r="A2555" s="16" t="n"/>
      <c r="B2555" s="19" t="n"/>
      <c r="D2555" s="16" t="n"/>
      <c r="E2555" s="19" t="n"/>
      <c r="G2555" s="16" t="n"/>
      <c r="H2555" s="19" t="n"/>
      <c r="J2555" s="16" t="n"/>
      <c r="K2555" s="19" t="n"/>
      <c r="M2555" s="16" t="n"/>
      <c r="N2555" s="19" t="n"/>
    </row>
    <row r="2556">
      <c r="A2556" s="16" t="n"/>
      <c r="B2556" s="19" t="n"/>
      <c r="D2556" s="16" t="n"/>
      <c r="E2556" s="19" t="n"/>
      <c r="G2556" s="16" t="n"/>
      <c r="H2556" s="19" t="n"/>
      <c r="J2556" s="16" t="n"/>
      <c r="K2556" s="19" t="n"/>
      <c r="M2556" s="16" t="n"/>
      <c r="N2556" s="19" t="n"/>
    </row>
    <row r="2557">
      <c r="A2557" s="16" t="n"/>
      <c r="B2557" s="19" t="n"/>
      <c r="D2557" s="16" t="n"/>
      <c r="E2557" s="19" t="n"/>
      <c r="G2557" s="16" t="n"/>
      <c r="H2557" s="19" t="n"/>
      <c r="J2557" s="16" t="n"/>
      <c r="K2557" s="19" t="n"/>
      <c r="M2557" s="16" t="n"/>
      <c r="N2557" s="19" t="n"/>
    </row>
    <row r="2558">
      <c r="A2558" s="16" t="n"/>
      <c r="B2558" s="19" t="n"/>
      <c r="D2558" s="16" t="n"/>
      <c r="E2558" s="19" t="n"/>
      <c r="G2558" s="16" t="n"/>
      <c r="H2558" s="19" t="n"/>
      <c r="J2558" s="16" t="n"/>
      <c r="K2558" s="19" t="n"/>
      <c r="M2558" s="16" t="n"/>
      <c r="N2558" s="19" t="n"/>
    </row>
    <row r="2559">
      <c r="A2559" s="16" t="n"/>
      <c r="B2559" s="19" t="n"/>
      <c r="D2559" s="16" t="n"/>
      <c r="E2559" s="19" t="n"/>
      <c r="G2559" s="16" t="n"/>
      <c r="H2559" s="19" t="n"/>
      <c r="J2559" s="16" t="n"/>
      <c r="K2559" s="19" t="n"/>
      <c r="M2559" s="16" t="n"/>
      <c r="N2559" s="19" t="n"/>
    </row>
    <row r="2560">
      <c r="A2560" s="16" t="n"/>
      <c r="B2560" s="19" t="n"/>
      <c r="D2560" s="16" t="n"/>
      <c r="E2560" s="19" t="n"/>
      <c r="G2560" s="16" t="n"/>
      <c r="H2560" s="19" t="n"/>
      <c r="J2560" s="16" t="n"/>
      <c r="K2560" s="19" t="n"/>
      <c r="M2560" s="16" t="n"/>
      <c r="N2560" s="19" t="n"/>
    </row>
    <row r="2561">
      <c r="A2561" s="16" t="n"/>
      <c r="B2561" s="19" t="n"/>
      <c r="D2561" s="16" t="n"/>
      <c r="E2561" s="19" t="n"/>
      <c r="G2561" s="16" t="n"/>
      <c r="H2561" s="19" t="n"/>
      <c r="J2561" s="16" t="n"/>
      <c r="K2561" s="19" t="n"/>
      <c r="M2561" s="16" t="n"/>
      <c r="N2561" s="19" t="n"/>
    </row>
    <row r="2562">
      <c r="A2562" s="16" t="n"/>
      <c r="B2562" s="19" t="n"/>
      <c r="D2562" s="16" t="n"/>
      <c r="E2562" s="19" t="n"/>
      <c r="G2562" s="16" t="n"/>
      <c r="H2562" s="19" t="n"/>
      <c r="J2562" s="16" t="n"/>
      <c r="K2562" s="19" t="n"/>
      <c r="M2562" s="16" t="n"/>
      <c r="N2562" s="19" t="n"/>
    </row>
    <row r="2563">
      <c r="A2563" s="16" t="n"/>
      <c r="B2563" s="19" t="n"/>
      <c r="D2563" s="16" t="n"/>
      <c r="E2563" s="19" t="n"/>
      <c r="G2563" s="16" t="n"/>
      <c r="H2563" s="19" t="n"/>
      <c r="J2563" s="16" t="n"/>
      <c r="K2563" s="19" t="n"/>
      <c r="M2563" s="16" t="n"/>
      <c r="N2563" s="19" t="n"/>
    </row>
    <row r="2564">
      <c r="A2564" s="16" t="n"/>
      <c r="B2564" s="19" t="n"/>
      <c r="D2564" s="16" t="n"/>
      <c r="E2564" s="19" t="n"/>
      <c r="G2564" s="16" t="n"/>
      <c r="H2564" s="19" t="n"/>
      <c r="J2564" s="16" t="n"/>
      <c r="K2564" s="19" t="n"/>
      <c r="M2564" s="16" t="n"/>
      <c r="N2564" s="19" t="n"/>
    </row>
    <row r="2565">
      <c r="A2565" s="16" t="n"/>
      <c r="B2565" s="19" t="n"/>
      <c r="D2565" s="16" t="n"/>
      <c r="E2565" s="19" t="n"/>
      <c r="G2565" s="16" t="n"/>
      <c r="H2565" s="19" t="n"/>
      <c r="J2565" s="16" t="n"/>
      <c r="K2565" s="19" t="n"/>
      <c r="M2565" s="16" t="n"/>
      <c r="N2565" s="19" t="n"/>
    </row>
    <row r="2566">
      <c r="A2566" s="16" t="n"/>
      <c r="B2566" s="19" t="n"/>
      <c r="D2566" s="16" t="n"/>
      <c r="E2566" s="19" t="n"/>
      <c r="G2566" s="16" t="n"/>
      <c r="H2566" s="19" t="n"/>
      <c r="J2566" s="16" t="n"/>
      <c r="K2566" s="19" t="n"/>
      <c r="M2566" s="16" t="n"/>
      <c r="N2566" s="19" t="n"/>
    </row>
    <row r="2567">
      <c r="A2567" s="16" t="n"/>
      <c r="B2567" s="19" t="n"/>
      <c r="D2567" s="16" t="n"/>
      <c r="E2567" s="19" t="n"/>
      <c r="G2567" s="16" t="n"/>
      <c r="H2567" s="19" t="n"/>
      <c r="J2567" s="16" t="n"/>
      <c r="K2567" s="19" t="n"/>
      <c r="M2567" s="16" t="n"/>
      <c r="N2567" s="19" t="n"/>
    </row>
    <row r="2568">
      <c r="A2568" s="16" t="n"/>
      <c r="B2568" s="19" t="n"/>
      <c r="D2568" s="16" t="n"/>
      <c r="E2568" s="19" t="n"/>
      <c r="G2568" s="16" t="n"/>
      <c r="H2568" s="19" t="n"/>
      <c r="J2568" s="16" t="n"/>
      <c r="K2568" s="19" t="n"/>
      <c r="M2568" s="16" t="n"/>
      <c r="N2568" s="19" t="n"/>
    </row>
    <row r="2569">
      <c r="A2569" s="16" t="n"/>
      <c r="B2569" s="19" t="n"/>
      <c r="D2569" s="16" t="n"/>
      <c r="E2569" s="19" t="n"/>
      <c r="G2569" s="16" t="n"/>
      <c r="H2569" s="19" t="n"/>
      <c r="J2569" s="16" t="n"/>
      <c r="K2569" s="19" t="n"/>
      <c r="M2569" s="16" t="n"/>
      <c r="N2569" s="19" t="n"/>
    </row>
    <row r="2570">
      <c r="A2570" s="16" t="n"/>
      <c r="B2570" s="19" t="n"/>
      <c r="D2570" s="16" t="n"/>
      <c r="E2570" s="19" t="n"/>
      <c r="G2570" s="16" t="n"/>
      <c r="H2570" s="19" t="n"/>
      <c r="J2570" s="16" t="n"/>
      <c r="K2570" s="19" t="n"/>
      <c r="M2570" s="16" t="n"/>
      <c r="N2570" s="19" t="n"/>
    </row>
    <row r="2571">
      <c r="A2571" s="16" t="n"/>
      <c r="B2571" s="19" t="n"/>
      <c r="D2571" s="16" t="n"/>
      <c r="E2571" s="19" t="n"/>
      <c r="G2571" s="16" t="n"/>
      <c r="H2571" s="19" t="n"/>
      <c r="J2571" s="16" t="n"/>
      <c r="K2571" s="19" t="n"/>
      <c r="M2571" s="16" t="n"/>
      <c r="N2571" s="19" t="n"/>
    </row>
    <row r="2572">
      <c r="A2572" s="16" t="n"/>
      <c r="B2572" s="19" t="n"/>
      <c r="D2572" s="16" t="n"/>
      <c r="E2572" s="19" t="n"/>
      <c r="G2572" s="16" t="n"/>
      <c r="H2572" s="19" t="n"/>
      <c r="J2572" s="16" t="n"/>
      <c r="K2572" s="19" t="n"/>
      <c r="M2572" s="16" t="n"/>
      <c r="N2572" s="19" t="n"/>
    </row>
    <row r="2573">
      <c r="A2573" s="16" t="n"/>
      <c r="B2573" s="19" t="n"/>
      <c r="D2573" s="16" t="n"/>
      <c r="E2573" s="19" t="n"/>
      <c r="G2573" s="16" t="n"/>
      <c r="H2573" s="19" t="n"/>
      <c r="J2573" s="16" t="n"/>
      <c r="K2573" s="19" t="n"/>
      <c r="M2573" s="16" t="n"/>
      <c r="N2573" s="19" t="n"/>
    </row>
    <row r="2574">
      <c r="A2574" s="16" t="n"/>
      <c r="B2574" s="19" t="n"/>
      <c r="D2574" s="16" t="n"/>
      <c r="E2574" s="19" t="n"/>
      <c r="G2574" s="16" t="n"/>
      <c r="H2574" s="19" t="n"/>
      <c r="J2574" s="16" t="n"/>
      <c r="K2574" s="19" t="n"/>
      <c r="M2574" s="16" t="n"/>
      <c r="N2574" s="19" t="n"/>
    </row>
    <row r="2575">
      <c r="A2575" s="16" t="n"/>
      <c r="B2575" s="19" t="n"/>
      <c r="D2575" s="16" t="n"/>
      <c r="E2575" s="19" t="n"/>
      <c r="G2575" s="16" t="n"/>
      <c r="H2575" s="19" t="n"/>
      <c r="J2575" s="16" t="n"/>
      <c r="K2575" s="19" t="n"/>
      <c r="M2575" s="16" t="n"/>
      <c r="N2575" s="19" t="n"/>
    </row>
    <row r="2576">
      <c r="A2576" s="16" t="n"/>
      <c r="B2576" s="19" t="n"/>
      <c r="D2576" s="16" t="n"/>
      <c r="E2576" s="19" t="n"/>
      <c r="G2576" s="16" t="n"/>
      <c r="H2576" s="19" t="n"/>
      <c r="J2576" s="16" t="n"/>
      <c r="K2576" s="19" t="n"/>
      <c r="M2576" s="16" t="n"/>
      <c r="N2576" s="19" t="n"/>
    </row>
    <row r="2577">
      <c r="A2577" s="16" t="n"/>
      <c r="B2577" s="19" t="n"/>
      <c r="D2577" s="16" t="n"/>
      <c r="E2577" s="19" t="n"/>
      <c r="G2577" s="16" t="n"/>
      <c r="H2577" s="19" t="n"/>
      <c r="J2577" s="16" t="n"/>
      <c r="K2577" s="19" t="n"/>
      <c r="M2577" s="16" t="n"/>
      <c r="N2577" s="19" t="n"/>
    </row>
    <row r="2578">
      <c r="A2578" s="16" t="n"/>
      <c r="B2578" s="19" t="n"/>
      <c r="D2578" s="16" t="n"/>
      <c r="E2578" s="19" t="n"/>
      <c r="G2578" s="16" t="n"/>
      <c r="H2578" s="19" t="n"/>
      <c r="J2578" s="16" t="n"/>
      <c r="K2578" s="19" t="n"/>
      <c r="M2578" s="16" t="n"/>
      <c r="N2578" s="19" t="n"/>
    </row>
    <row r="2579">
      <c r="A2579" s="16" t="n"/>
      <c r="B2579" s="19" t="n"/>
      <c r="D2579" s="16" t="n"/>
      <c r="E2579" s="19" t="n"/>
      <c r="G2579" s="16" t="n"/>
      <c r="H2579" s="19" t="n"/>
      <c r="J2579" s="16" t="n"/>
      <c r="K2579" s="19" t="n"/>
      <c r="M2579" s="16" t="n"/>
      <c r="N2579" s="19" t="n"/>
    </row>
    <row r="2580">
      <c r="A2580" s="16" t="n"/>
      <c r="B2580" s="19" t="n"/>
      <c r="D2580" s="16" t="n"/>
      <c r="E2580" s="19" t="n"/>
      <c r="G2580" s="16" t="n"/>
      <c r="H2580" s="19" t="n"/>
      <c r="J2580" s="16" t="n"/>
      <c r="K2580" s="19" t="n"/>
      <c r="M2580" s="16" t="n"/>
      <c r="N2580" s="19" t="n"/>
    </row>
    <row r="2581">
      <c r="A2581" s="16" t="n"/>
      <c r="B2581" s="19" t="n"/>
      <c r="D2581" s="16" t="n"/>
      <c r="E2581" s="19" t="n"/>
      <c r="G2581" s="16" t="n"/>
      <c r="H2581" s="19" t="n"/>
      <c r="J2581" s="16" t="n"/>
      <c r="K2581" s="19" t="n"/>
      <c r="M2581" s="16" t="n"/>
      <c r="N2581" s="19" t="n"/>
    </row>
    <row r="2582">
      <c r="A2582" s="16" t="n"/>
      <c r="B2582" s="19" t="n"/>
      <c r="D2582" s="16" t="n"/>
      <c r="E2582" s="19" t="n"/>
      <c r="G2582" s="16" t="n"/>
      <c r="H2582" s="19" t="n"/>
      <c r="J2582" s="16" t="n"/>
      <c r="K2582" s="19" t="n"/>
      <c r="M2582" s="16" t="n"/>
      <c r="N2582" s="19" t="n"/>
    </row>
    <row r="2583">
      <c r="A2583" s="16" t="n"/>
      <c r="B2583" s="19" t="n"/>
      <c r="D2583" s="16" t="n"/>
      <c r="E2583" s="19" t="n"/>
      <c r="G2583" s="16" t="n"/>
      <c r="H2583" s="19" t="n"/>
      <c r="J2583" s="16" t="n"/>
      <c r="K2583" s="19" t="n"/>
      <c r="M2583" s="16" t="n"/>
      <c r="N2583" s="19" t="n"/>
    </row>
    <row r="2584">
      <c r="A2584" s="16" t="n"/>
      <c r="B2584" s="19" t="n"/>
      <c r="D2584" s="16" t="n"/>
      <c r="E2584" s="19" t="n"/>
      <c r="G2584" s="16" t="n"/>
      <c r="H2584" s="19" t="n"/>
      <c r="J2584" s="16" t="n"/>
      <c r="K2584" s="19" t="n"/>
      <c r="M2584" s="16" t="n"/>
      <c r="N2584" s="19" t="n"/>
    </row>
    <row r="2585">
      <c r="A2585" s="16" t="n"/>
      <c r="B2585" s="19" t="n"/>
      <c r="D2585" s="16" t="n"/>
      <c r="E2585" s="19" t="n"/>
      <c r="G2585" s="16" t="n"/>
      <c r="H2585" s="19" t="n"/>
      <c r="J2585" s="16" t="n"/>
      <c r="K2585" s="19" t="n"/>
      <c r="M2585" s="16" t="n"/>
      <c r="N2585" s="19" t="n"/>
    </row>
    <row r="2586">
      <c r="A2586" s="16" t="n"/>
      <c r="B2586" s="19" t="n"/>
      <c r="D2586" s="16" t="n"/>
      <c r="E2586" s="19" t="n"/>
      <c r="G2586" s="16" t="n"/>
      <c r="H2586" s="19" t="n"/>
      <c r="J2586" s="16" t="n"/>
      <c r="K2586" s="19" t="n"/>
      <c r="M2586" s="16" t="n"/>
      <c r="N2586" s="19" t="n"/>
    </row>
    <row r="2587">
      <c r="A2587" s="16" t="n"/>
      <c r="B2587" s="19" t="n"/>
      <c r="D2587" s="16" t="n"/>
      <c r="E2587" s="19" t="n"/>
      <c r="G2587" s="16" t="n"/>
      <c r="H2587" s="19" t="n"/>
      <c r="J2587" s="16" t="n"/>
      <c r="K2587" s="19" t="n"/>
      <c r="M2587" s="16" t="n"/>
      <c r="N2587" s="19" t="n"/>
    </row>
    <row r="2588">
      <c r="A2588" s="16" t="n"/>
      <c r="B2588" s="19" t="n"/>
      <c r="D2588" s="16" t="n"/>
      <c r="E2588" s="19" t="n"/>
      <c r="G2588" s="16" t="n"/>
      <c r="H2588" s="19" t="n"/>
      <c r="J2588" s="16" t="n"/>
      <c r="K2588" s="19" t="n"/>
      <c r="M2588" s="16" t="n"/>
      <c r="N2588" s="19" t="n"/>
    </row>
    <row r="2589">
      <c r="A2589" s="16" t="n"/>
      <c r="B2589" s="19" t="n"/>
      <c r="D2589" s="16" t="n"/>
      <c r="E2589" s="19" t="n"/>
      <c r="G2589" s="16" t="n"/>
      <c r="H2589" s="19" t="n"/>
      <c r="J2589" s="16" t="n"/>
      <c r="K2589" s="19" t="n"/>
      <c r="M2589" s="16" t="n"/>
      <c r="N2589" s="19" t="n"/>
    </row>
    <row r="2590">
      <c r="A2590" s="16" t="n"/>
      <c r="B2590" s="19" t="n"/>
      <c r="D2590" s="16" t="n"/>
      <c r="E2590" s="19" t="n"/>
      <c r="G2590" s="16" t="n"/>
      <c r="H2590" s="19" t="n"/>
      <c r="J2590" s="16" t="n"/>
      <c r="K2590" s="19" t="n"/>
      <c r="M2590" s="16" t="n"/>
      <c r="N2590" s="19" t="n"/>
    </row>
    <row r="2591">
      <c r="A2591" s="16" t="n"/>
      <c r="B2591" s="19" t="n"/>
      <c r="D2591" s="16" t="n"/>
      <c r="E2591" s="19" t="n"/>
      <c r="G2591" s="16" t="n"/>
      <c r="H2591" s="19" t="n"/>
      <c r="J2591" s="16" t="n"/>
      <c r="K2591" s="19" t="n"/>
      <c r="M2591" s="16" t="n"/>
      <c r="N2591" s="19" t="n"/>
    </row>
    <row r="2592">
      <c r="A2592" s="16" t="n"/>
      <c r="B2592" s="19" t="n"/>
      <c r="D2592" s="16" t="n"/>
      <c r="E2592" s="19" t="n"/>
      <c r="G2592" s="16" t="n"/>
      <c r="H2592" s="19" t="n"/>
      <c r="J2592" s="16" t="n"/>
      <c r="K2592" s="19" t="n"/>
      <c r="M2592" s="16" t="n"/>
      <c r="N2592" s="19" t="n"/>
    </row>
    <row r="2593">
      <c r="A2593" s="16" t="n"/>
      <c r="B2593" s="19" t="n"/>
      <c r="D2593" s="16" t="n"/>
      <c r="E2593" s="19" t="n"/>
      <c r="G2593" s="16" t="n"/>
      <c r="H2593" s="19" t="n"/>
      <c r="J2593" s="16" t="n"/>
      <c r="K2593" s="19" t="n"/>
      <c r="M2593" s="16" t="n"/>
      <c r="N2593" s="19" t="n"/>
    </row>
    <row r="2594">
      <c r="A2594" s="16" t="n"/>
      <c r="B2594" s="19" t="n"/>
      <c r="D2594" s="16" t="n"/>
      <c r="E2594" s="19" t="n"/>
      <c r="G2594" s="16" t="n"/>
      <c r="H2594" s="19" t="n"/>
      <c r="J2594" s="16" t="n"/>
      <c r="K2594" s="19" t="n"/>
      <c r="M2594" s="16" t="n"/>
      <c r="N2594" s="19" t="n"/>
    </row>
    <row r="2595">
      <c r="A2595" s="16" t="n"/>
      <c r="B2595" s="19" t="n"/>
      <c r="D2595" s="16" t="n"/>
      <c r="E2595" s="19" t="n"/>
      <c r="G2595" s="16" t="n"/>
      <c r="H2595" s="19" t="n"/>
      <c r="J2595" s="16" t="n"/>
      <c r="K2595" s="19" t="n"/>
      <c r="M2595" s="16" t="n"/>
      <c r="N2595" s="19" t="n"/>
    </row>
    <row r="2596">
      <c r="A2596" s="16" t="n"/>
      <c r="B2596" s="19" t="n"/>
      <c r="D2596" s="16" t="n"/>
      <c r="E2596" s="19" t="n"/>
      <c r="G2596" s="16" t="n"/>
      <c r="H2596" s="19" t="n"/>
      <c r="J2596" s="16" t="n"/>
      <c r="K2596" s="19" t="n"/>
      <c r="M2596" s="16" t="n"/>
      <c r="N2596" s="19" t="n"/>
    </row>
    <row r="2597">
      <c r="A2597" s="16" t="n"/>
      <c r="B2597" s="19" t="n"/>
      <c r="D2597" s="16" t="n"/>
      <c r="E2597" s="19" t="n"/>
      <c r="G2597" s="16" t="n"/>
      <c r="H2597" s="19" t="n"/>
      <c r="J2597" s="16" t="n"/>
      <c r="K2597" s="19" t="n"/>
      <c r="M2597" s="16" t="n"/>
      <c r="N2597" s="19" t="n"/>
    </row>
    <row r="2598">
      <c r="A2598" s="16" t="n"/>
      <c r="B2598" s="19" t="n"/>
      <c r="D2598" s="16" t="n"/>
      <c r="E2598" s="19" t="n"/>
      <c r="G2598" s="16" t="n"/>
      <c r="H2598" s="19" t="n"/>
      <c r="J2598" s="16" t="n"/>
      <c r="K2598" s="19" t="n"/>
      <c r="M2598" s="16" t="n"/>
      <c r="N2598" s="19" t="n"/>
    </row>
    <row r="2599">
      <c r="A2599" s="16" t="n"/>
      <c r="B2599" s="19" t="n"/>
      <c r="D2599" s="16" t="n"/>
      <c r="E2599" s="19" t="n"/>
      <c r="G2599" s="16" t="n"/>
      <c r="H2599" s="19" t="n"/>
      <c r="J2599" s="16" t="n"/>
      <c r="K2599" s="19" t="n"/>
      <c r="M2599" s="16" t="n"/>
      <c r="N2599" s="19" t="n"/>
    </row>
    <row r="2600">
      <c r="A2600" s="16" t="n"/>
      <c r="B2600" s="19" t="n"/>
      <c r="D2600" s="16" t="n"/>
      <c r="E2600" s="19" t="n"/>
      <c r="G2600" s="16" t="n"/>
      <c r="H2600" s="19" t="n"/>
      <c r="J2600" s="16" t="n"/>
      <c r="K2600" s="19" t="n"/>
      <c r="M2600" s="16" t="n"/>
      <c r="N2600" s="19" t="n"/>
    </row>
    <row r="2601">
      <c r="A2601" s="16" t="n"/>
      <c r="B2601" s="19" t="n"/>
      <c r="D2601" s="16" t="n"/>
      <c r="E2601" s="19" t="n"/>
      <c r="G2601" s="16" t="n"/>
      <c r="H2601" s="19" t="n"/>
      <c r="J2601" s="16" t="n"/>
      <c r="K2601" s="19" t="n"/>
      <c r="M2601" s="16" t="n"/>
      <c r="N2601" s="19" t="n"/>
    </row>
    <row r="2602">
      <c r="A2602" s="16" t="n"/>
      <c r="B2602" s="19" t="n"/>
      <c r="D2602" s="16" t="n"/>
      <c r="E2602" s="19" t="n"/>
      <c r="G2602" s="16" t="n"/>
      <c r="H2602" s="19" t="n"/>
      <c r="J2602" s="16" t="n"/>
      <c r="K2602" s="19" t="n"/>
      <c r="M2602" s="16" t="n"/>
      <c r="N2602" s="19" t="n"/>
    </row>
    <row r="2603">
      <c r="A2603" s="16" t="n"/>
      <c r="B2603" s="19" t="n"/>
      <c r="D2603" s="16" t="n"/>
      <c r="E2603" s="19" t="n"/>
      <c r="G2603" s="16" t="n"/>
      <c r="H2603" s="19" t="n"/>
      <c r="J2603" s="16" t="n"/>
      <c r="K2603" s="19" t="n"/>
      <c r="M2603" s="16" t="n"/>
      <c r="N2603" s="19" t="n"/>
    </row>
    <row r="2604">
      <c r="A2604" s="16" t="n"/>
      <c r="B2604" s="19" t="n"/>
      <c r="D2604" s="16" t="n"/>
      <c r="E2604" s="19" t="n"/>
      <c r="G2604" s="16" t="n"/>
      <c r="H2604" s="19" t="n"/>
      <c r="J2604" s="16" t="n"/>
      <c r="K2604" s="19" t="n"/>
      <c r="M2604" s="16" t="n"/>
      <c r="N2604" s="19" t="n"/>
    </row>
    <row r="2605">
      <c r="A2605" s="16" t="n"/>
      <c r="B2605" s="19" t="n"/>
      <c r="D2605" s="16" t="n"/>
      <c r="E2605" s="19" t="n"/>
      <c r="G2605" s="16" t="n"/>
      <c r="H2605" s="19" t="n"/>
      <c r="J2605" s="16" t="n"/>
      <c r="K2605" s="19" t="n"/>
      <c r="M2605" s="16" t="n"/>
      <c r="N2605" s="19" t="n"/>
    </row>
    <row r="2606">
      <c r="A2606" s="16" t="n"/>
      <c r="B2606" s="19" t="n"/>
      <c r="D2606" s="16" t="n"/>
      <c r="E2606" s="19" t="n"/>
      <c r="G2606" s="16" t="n"/>
      <c r="H2606" s="19" t="n"/>
      <c r="J2606" s="16" t="n"/>
      <c r="K2606" s="19" t="n"/>
      <c r="M2606" s="16" t="n"/>
      <c r="N2606" s="19" t="n"/>
    </row>
    <row r="2607">
      <c r="A2607" s="16" t="n"/>
      <c r="B2607" s="19" t="n"/>
      <c r="D2607" s="16" t="n"/>
      <c r="E2607" s="19" t="n"/>
      <c r="G2607" s="16" t="n"/>
      <c r="H2607" s="19" t="n"/>
      <c r="J2607" s="16" t="n"/>
      <c r="K2607" s="19" t="n"/>
      <c r="M2607" s="16" t="n"/>
      <c r="N2607" s="19" t="n"/>
    </row>
    <row r="2608">
      <c r="A2608" s="16" t="n"/>
      <c r="B2608" s="19" t="n"/>
      <c r="D2608" s="16" t="n"/>
      <c r="E2608" s="19" t="n"/>
      <c r="G2608" s="16" t="n"/>
      <c r="H2608" s="19" t="n"/>
      <c r="J2608" s="16" t="n"/>
      <c r="K2608" s="19" t="n"/>
      <c r="M2608" s="16" t="n"/>
      <c r="N2608" s="19" t="n"/>
    </row>
    <row r="2609">
      <c r="A2609" s="16" t="n"/>
      <c r="B2609" s="19" t="n"/>
      <c r="D2609" s="16" t="n"/>
      <c r="E2609" s="19" t="n"/>
      <c r="G2609" s="16" t="n"/>
      <c r="H2609" s="19" t="n"/>
      <c r="J2609" s="16" t="n"/>
      <c r="K2609" s="19" t="n"/>
      <c r="M2609" s="16" t="n"/>
      <c r="N2609" s="19" t="n"/>
    </row>
    <row r="2610">
      <c r="A2610" s="16" t="n"/>
      <c r="B2610" s="19" t="n"/>
      <c r="D2610" s="16" t="n"/>
      <c r="E2610" s="19" t="n"/>
      <c r="G2610" s="16" t="n"/>
      <c r="H2610" s="19" t="n"/>
      <c r="J2610" s="16" t="n"/>
      <c r="K2610" s="19" t="n"/>
      <c r="M2610" s="16" t="n"/>
      <c r="N2610" s="19" t="n"/>
    </row>
    <row r="2611">
      <c r="A2611" s="16" t="n"/>
      <c r="B2611" s="19" t="n"/>
      <c r="D2611" s="16" t="n"/>
      <c r="E2611" s="19" t="n"/>
      <c r="G2611" s="16" t="n"/>
      <c r="H2611" s="19" t="n"/>
      <c r="J2611" s="16" t="n"/>
      <c r="K2611" s="19" t="n"/>
      <c r="M2611" s="16" t="n"/>
      <c r="N2611" s="19" t="n"/>
    </row>
    <row r="2612">
      <c r="A2612" s="16" t="n"/>
      <c r="B2612" s="19" t="n"/>
      <c r="D2612" s="16" t="n"/>
      <c r="E2612" s="19" t="n"/>
      <c r="G2612" s="16" t="n"/>
      <c r="H2612" s="19" t="n"/>
      <c r="J2612" s="16" t="n"/>
      <c r="K2612" s="19" t="n"/>
      <c r="M2612" s="16" t="n"/>
      <c r="N2612" s="19" t="n"/>
    </row>
    <row r="2613">
      <c r="A2613" s="16" t="n"/>
      <c r="B2613" s="19" t="n"/>
      <c r="D2613" s="16" t="n"/>
      <c r="E2613" s="19" t="n"/>
      <c r="G2613" s="16" t="n"/>
      <c r="H2613" s="19" t="n"/>
      <c r="J2613" s="16" t="n"/>
      <c r="K2613" s="19" t="n"/>
      <c r="M2613" s="16" t="n"/>
      <c r="N2613" s="19" t="n"/>
    </row>
    <row r="2614">
      <c r="A2614" s="16" t="n"/>
      <c r="B2614" s="19" t="n"/>
      <c r="D2614" s="16" t="n"/>
      <c r="E2614" s="19" t="n"/>
      <c r="G2614" s="16" t="n"/>
      <c r="H2614" s="19" t="n"/>
      <c r="J2614" s="16" t="n"/>
      <c r="K2614" s="19" t="n"/>
      <c r="M2614" s="16" t="n"/>
      <c r="N2614" s="19" t="n"/>
    </row>
    <row r="2615">
      <c r="A2615" s="16" t="n"/>
      <c r="B2615" s="19" t="n"/>
      <c r="D2615" s="16" t="n"/>
      <c r="E2615" s="19" t="n"/>
      <c r="G2615" s="16" t="n"/>
      <c r="H2615" s="19" t="n"/>
      <c r="J2615" s="16" t="n"/>
      <c r="K2615" s="19" t="n"/>
      <c r="M2615" s="16" t="n"/>
      <c r="N2615" s="19" t="n"/>
    </row>
    <row r="2616">
      <c r="A2616" s="16" t="n"/>
      <c r="B2616" s="19" t="n"/>
      <c r="D2616" s="16" t="n"/>
      <c r="E2616" s="19" t="n"/>
      <c r="G2616" s="16" t="n"/>
      <c r="H2616" s="19" t="n"/>
      <c r="J2616" s="16" t="n"/>
      <c r="K2616" s="19" t="n"/>
      <c r="M2616" s="16" t="n"/>
      <c r="N2616" s="19" t="n"/>
    </row>
    <row r="2617">
      <c r="A2617" s="16" t="n"/>
      <c r="B2617" s="19" t="n"/>
      <c r="D2617" s="16" t="n"/>
      <c r="E2617" s="19" t="n"/>
      <c r="G2617" s="16" t="n"/>
      <c r="H2617" s="19" t="n"/>
      <c r="J2617" s="16" t="n"/>
      <c r="K2617" s="19" t="n"/>
      <c r="M2617" s="16" t="n"/>
      <c r="N2617" s="19" t="n"/>
    </row>
    <row r="2618">
      <c r="A2618" s="16" t="n"/>
      <c r="B2618" s="19" t="n"/>
      <c r="D2618" s="16" t="n"/>
      <c r="E2618" s="19" t="n"/>
      <c r="G2618" s="16" t="n"/>
      <c r="H2618" s="19" t="n"/>
      <c r="J2618" s="16" t="n"/>
      <c r="K2618" s="19" t="n"/>
      <c r="M2618" s="16" t="n"/>
      <c r="N2618" s="19" t="n"/>
    </row>
    <row r="2619">
      <c r="A2619" s="16" t="n"/>
      <c r="B2619" s="19" t="n"/>
      <c r="D2619" s="16" t="n"/>
      <c r="E2619" s="19" t="n"/>
      <c r="G2619" s="16" t="n"/>
      <c r="H2619" s="19" t="n"/>
      <c r="J2619" s="16" t="n"/>
      <c r="K2619" s="19" t="n"/>
      <c r="M2619" s="16" t="n"/>
      <c r="N2619" s="19" t="n"/>
    </row>
    <row r="2620">
      <c r="A2620" s="16" t="n"/>
      <c r="B2620" s="19" t="n"/>
      <c r="D2620" s="16" t="n"/>
      <c r="E2620" s="19" t="n"/>
      <c r="G2620" s="16" t="n"/>
      <c r="H2620" s="19" t="n"/>
      <c r="J2620" s="16" t="n"/>
      <c r="K2620" s="19" t="n"/>
      <c r="M2620" s="16" t="n"/>
      <c r="N2620" s="19" t="n"/>
    </row>
    <row r="2621">
      <c r="A2621" s="16" t="n"/>
      <c r="B2621" s="19" t="n"/>
      <c r="D2621" s="16" t="n"/>
      <c r="E2621" s="19" t="n"/>
      <c r="G2621" s="16" t="n"/>
      <c r="H2621" s="19" t="n"/>
      <c r="J2621" s="16" t="n"/>
      <c r="K2621" s="19" t="n"/>
      <c r="M2621" s="16" t="n"/>
      <c r="N2621" s="19" t="n"/>
    </row>
    <row r="2622">
      <c r="A2622" s="16" t="n"/>
      <c r="B2622" s="19" t="n"/>
      <c r="D2622" s="16" t="n"/>
      <c r="E2622" s="19" t="n"/>
      <c r="G2622" s="16" t="n"/>
      <c r="H2622" s="19" t="n"/>
      <c r="J2622" s="16" t="n"/>
      <c r="K2622" s="19" t="n"/>
      <c r="M2622" s="16" t="n"/>
      <c r="N2622" s="19" t="n"/>
    </row>
    <row r="2623">
      <c r="A2623" s="16" t="n"/>
      <c r="B2623" s="19" t="n"/>
      <c r="D2623" s="16" t="n"/>
      <c r="E2623" s="19" t="n"/>
      <c r="G2623" s="16" t="n"/>
      <c r="H2623" s="19" t="n"/>
      <c r="J2623" s="16" t="n"/>
      <c r="K2623" s="19" t="n"/>
      <c r="M2623" s="16" t="n"/>
      <c r="N2623" s="19" t="n"/>
    </row>
    <row r="2624">
      <c r="A2624" s="16" t="n"/>
      <c r="B2624" s="19" t="n"/>
      <c r="D2624" s="16" t="n"/>
      <c r="E2624" s="19" t="n"/>
      <c r="G2624" s="16" t="n"/>
      <c r="H2624" s="19" t="n"/>
      <c r="J2624" s="16" t="n"/>
      <c r="K2624" s="19" t="n"/>
      <c r="M2624" s="16" t="n"/>
      <c r="N2624" s="19" t="n"/>
    </row>
    <row r="2625">
      <c r="A2625" s="16" t="n"/>
      <c r="B2625" s="19" t="n"/>
      <c r="D2625" s="16" t="n"/>
      <c r="E2625" s="19" t="n"/>
      <c r="G2625" s="16" t="n"/>
      <c r="H2625" s="19" t="n"/>
      <c r="J2625" s="16" t="n"/>
      <c r="K2625" s="19" t="n"/>
      <c r="M2625" s="16" t="n"/>
      <c r="N2625" s="19" t="n"/>
    </row>
    <row r="2626">
      <c r="A2626" s="16" t="n"/>
      <c r="B2626" s="19" t="n"/>
      <c r="D2626" s="16" t="n"/>
      <c r="E2626" s="19" t="n"/>
      <c r="G2626" s="16" t="n"/>
      <c r="H2626" s="19" t="n"/>
      <c r="J2626" s="16" t="n"/>
      <c r="K2626" s="19" t="n"/>
      <c r="M2626" s="16" t="n"/>
      <c r="N2626" s="19" t="n"/>
    </row>
    <row r="2627">
      <c r="A2627" s="16" t="n"/>
      <c r="B2627" s="19" t="n"/>
      <c r="D2627" s="16" t="n"/>
      <c r="E2627" s="19" t="n"/>
      <c r="G2627" s="16" t="n"/>
      <c r="H2627" s="19" t="n"/>
      <c r="J2627" s="16" t="n"/>
      <c r="K2627" s="19" t="n"/>
      <c r="M2627" s="16" t="n"/>
      <c r="N2627" s="19" t="n"/>
    </row>
    <row r="2628">
      <c r="A2628" s="16" t="n"/>
      <c r="B2628" s="19" t="n"/>
      <c r="D2628" s="16" t="n"/>
      <c r="E2628" s="19" t="n"/>
      <c r="G2628" s="16" t="n"/>
      <c r="H2628" s="19" t="n"/>
      <c r="J2628" s="16" t="n"/>
      <c r="K2628" s="19" t="n"/>
      <c r="M2628" s="16" t="n"/>
      <c r="N2628" s="19" t="n"/>
    </row>
    <row r="2629">
      <c r="A2629" s="16" t="n"/>
      <c r="B2629" s="19" t="n"/>
      <c r="D2629" s="16" t="n"/>
      <c r="E2629" s="19" t="n"/>
      <c r="G2629" s="16" t="n"/>
      <c r="H2629" s="19" t="n"/>
      <c r="J2629" s="16" t="n"/>
      <c r="K2629" s="19" t="n"/>
      <c r="M2629" s="16" t="n"/>
      <c r="N2629" s="19" t="n"/>
    </row>
    <row r="2630">
      <c r="A2630" s="16" t="n"/>
      <c r="B2630" s="19" t="n"/>
      <c r="D2630" s="16" t="n"/>
      <c r="E2630" s="19" t="n"/>
      <c r="G2630" s="16" t="n"/>
      <c r="H2630" s="19" t="n"/>
      <c r="J2630" s="16" t="n"/>
      <c r="K2630" s="19" t="n"/>
      <c r="M2630" s="16" t="n"/>
      <c r="N2630" s="19" t="n"/>
    </row>
    <row r="2631">
      <c r="A2631" s="16" t="n"/>
      <c r="B2631" s="19" t="n"/>
      <c r="D2631" s="16" t="n"/>
      <c r="E2631" s="19" t="n"/>
      <c r="G2631" s="16" t="n"/>
      <c r="H2631" s="19" t="n"/>
      <c r="J2631" s="16" t="n"/>
      <c r="K2631" s="19" t="n"/>
      <c r="M2631" s="16" t="n"/>
      <c r="N2631" s="19" t="n"/>
    </row>
    <row r="2632">
      <c r="A2632" s="16" t="n"/>
      <c r="B2632" s="19" t="n"/>
      <c r="D2632" s="16" t="n"/>
      <c r="E2632" s="19" t="n"/>
      <c r="G2632" s="16" t="n"/>
      <c r="H2632" s="19" t="n"/>
      <c r="J2632" s="16" t="n"/>
      <c r="K2632" s="19" t="n"/>
      <c r="M2632" s="16" t="n"/>
      <c r="N2632" s="19" t="n"/>
    </row>
    <row r="2633">
      <c r="A2633" s="16" t="n"/>
      <c r="B2633" s="19" t="n"/>
      <c r="D2633" s="16" t="n"/>
      <c r="E2633" s="19" t="n"/>
      <c r="G2633" s="16" t="n"/>
      <c r="H2633" s="19" t="n"/>
      <c r="J2633" s="16" t="n"/>
      <c r="K2633" s="19" t="n"/>
      <c r="M2633" s="16" t="n"/>
      <c r="N2633" s="19" t="n"/>
    </row>
    <row r="2634">
      <c r="A2634" s="16" t="n"/>
      <c r="B2634" s="19" t="n"/>
      <c r="D2634" s="16" t="n"/>
      <c r="E2634" s="19" t="n"/>
      <c r="G2634" s="16" t="n"/>
      <c r="H2634" s="19" t="n"/>
      <c r="J2634" s="16" t="n"/>
      <c r="K2634" s="19" t="n"/>
      <c r="M2634" s="16" t="n"/>
      <c r="N2634" s="19" t="n"/>
    </row>
    <row r="2635">
      <c r="A2635" s="16" t="n"/>
      <c r="B2635" s="19" t="n"/>
      <c r="D2635" s="16" t="n"/>
      <c r="E2635" s="19" t="n"/>
      <c r="G2635" s="16" t="n"/>
      <c r="H2635" s="19" t="n"/>
      <c r="J2635" s="16" t="n"/>
      <c r="K2635" s="19" t="n"/>
      <c r="M2635" s="16" t="n"/>
      <c r="N2635" s="19" t="n"/>
    </row>
    <row r="2636">
      <c r="A2636" s="16" t="n"/>
      <c r="B2636" s="19" t="n"/>
      <c r="D2636" s="16" t="n"/>
      <c r="E2636" s="19" t="n"/>
      <c r="G2636" s="16" t="n"/>
      <c r="H2636" s="19" t="n"/>
      <c r="J2636" s="16" t="n"/>
      <c r="K2636" s="19" t="n"/>
      <c r="M2636" s="16" t="n"/>
      <c r="N2636" s="19" t="n"/>
    </row>
    <row r="2637">
      <c r="A2637" s="16" t="n"/>
      <c r="B2637" s="19" t="n"/>
      <c r="D2637" s="16" t="n"/>
      <c r="E2637" s="19" t="n"/>
      <c r="G2637" s="16" t="n"/>
      <c r="H2637" s="19" t="n"/>
      <c r="J2637" s="16" t="n"/>
      <c r="K2637" s="19" t="n"/>
      <c r="M2637" s="16" t="n"/>
      <c r="N2637" s="19" t="n"/>
    </row>
    <row r="2638">
      <c r="A2638" s="16" t="n"/>
      <c r="B2638" s="19" t="n"/>
      <c r="D2638" s="16" t="n"/>
      <c r="E2638" s="19" t="n"/>
      <c r="G2638" s="16" t="n"/>
      <c r="H2638" s="19" t="n"/>
      <c r="J2638" s="16" t="n"/>
      <c r="K2638" s="19" t="n"/>
      <c r="M2638" s="16" t="n"/>
      <c r="N2638" s="19" t="n"/>
    </row>
    <row r="2639">
      <c r="A2639" s="16" t="n"/>
      <c r="B2639" s="19" t="n"/>
      <c r="D2639" s="16" t="n"/>
      <c r="E2639" s="19" t="n"/>
      <c r="G2639" s="16" t="n"/>
      <c r="H2639" s="19" t="n"/>
      <c r="J2639" s="16" t="n"/>
      <c r="K2639" s="19" t="n"/>
      <c r="M2639" s="16" t="n"/>
      <c r="N2639" s="19" t="n"/>
    </row>
    <row r="2640">
      <c r="A2640" s="16" t="n"/>
      <c r="B2640" s="19" t="n"/>
      <c r="D2640" s="16" t="n"/>
      <c r="E2640" s="19" t="n"/>
      <c r="G2640" s="16" t="n"/>
      <c r="H2640" s="19" t="n"/>
      <c r="J2640" s="16" t="n"/>
      <c r="K2640" s="19" t="n"/>
      <c r="M2640" s="16" t="n"/>
      <c r="N2640" s="19" t="n"/>
    </row>
    <row r="2641">
      <c r="A2641" s="16" t="n"/>
      <c r="B2641" s="19" t="n"/>
      <c r="D2641" s="16" t="n"/>
      <c r="E2641" s="19" t="n"/>
      <c r="G2641" s="16" t="n"/>
      <c r="H2641" s="19" t="n"/>
      <c r="J2641" s="16" t="n"/>
      <c r="K2641" s="19" t="n"/>
      <c r="M2641" s="16" t="n"/>
      <c r="N2641" s="19" t="n"/>
    </row>
    <row r="2642">
      <c r="A2642" s="16" t="n"/>
      <c r="B2642" s="19" t="n"/>
      <c r="D2642" s="16" t="n"/>
      <c r="E2642" s="19" t="n"/>
      <c r="G2642" s="16" t="n"/>
      <c r="H2642" s="19" t="n"/>
      <c r="J2642" s="16" t="n"/>
      <c r="K2642" s="19" t="n"/>
      <c r="M2642" s="16" t="n"/>
      <c r="N2642" s="19" t="n"/>
    </row>
    <row r="2643">
      <c r="A2643" s="16" t="n"/>
      <c r="B2643" s="19" t="n"/>
      <c r="D2643" s="16" t="n"/>
      <c r="E2643" s="19" t="n"/>
      <c r="G2643" s="16" t="n"/>
      <c r="H2643" s="19" t="n"/>
      <c r="J2643" s="16" t="n"/>
      <c r="K2643" s="19" t="n"/>
      <c r="M2643" s="16" t="n"/>
      <c r="N2643" s="19" t="n"/>
    </row>
    <row r="2644">
      <c r="A2644" s="16" t="n"/>
      <c r="B2644" s="19" t="n"/>
      <c r="D2644" s="16" t="n"/>
      <c r="E2644" s="19" t="n"/>
      <c r="G2644" s="16" t="n"/>
      <c r="H2644" s="19" t="n"/>
      <c r="J2644" s="16" t="n"/>
      <c r="K2644" s="19" t="n"/>
      <c r="M2644" s="16" t="n"/>
      <c r="N2644" s="19" t="n"/>
    </row>
    <row r="2645">
      <c r="A2645" s="16" t="n"/>
      <c r="B2645" s="19" t="n"/>
      <c r="D2645" s="16" t="n"/>
      <c r="E2645" s="19" t="n"/>
      <c r="G2645" s="16" t="n"/>
      <c r="H2645" s="19" t="n"/>
      <c r="J2645" s="16" t="n"/>
      <c r="K2645" s="19" t="n"/>
      <c r="M2645" s="16" t="n"/>
      <c r="N2645" s="19" t="n"/>
    </row>
    <row r="2646">
      <c r="A2646" s="16" t="n"/>
      <c r="B2646" s="19" t="n"/>
      <c r="D2646" s="16" t="n"/>
      <c r="E2646" s="19" t="n"/>
      <c r="G2646" s="16" t="n"/>
      <c r="H2646" s="19" t="n"/>
      <c r="J2646" s="16" t="n"/>
      <c r="K2646" s="19" t="n"/>
      <c r="M2646" s="16" t="n"/>
      <c r="N2646" s="19" t="n"/>
    </row>
    <row r="2647">
      <c r="A2647" s="16" t="n"/>
      <c r="B2647" s="19" t="n"/>
      <c r="D2647" s="16" t="n"/>
      <c r="E2647" s="19" t="n"/>
      <c r="G2647" s="16" t="n"/>
      <c r="H2647" s="19" t="n"/>
      <c r="J2647" s="16" t="n"/>
      <c r="K2647" s="19" t="n"/>
      <c r="M2647" s="16" t="n"/>
      <c r="N2647" s="19" t="n"/>
    </row>
    <row r="2648">
      <c r="A2648" s="16" t="n"/>
      <c r="B2648" s="19" t="n"/>
      <c r="D2648" s="16" t="n"/>
      <c r="E2648" s="19" t="n"/>
      <c r="G2648" s="16" t="n"/>
      <c r="H2648" s="19" t="n"/>
      <c r="J2648" s="16" t="n"/>
      <c r="K2648" s="19" t="n"/>
      <c r="M2648" s="16" t="n"/>
      <c r="N2648" s="19" t="n"/>
    </row>
    <row r="2649">
      <c r="A2649" s="16" t="n"/>
      <c r="B2649" s="19" t="n"/>
      <c r="D2649" s="16" t="n"/>
      <c r="E2649" s="19" t="n"/>
      <c r="G2649" s="16" t="n"/>
      <c r="H2649" s="19" t="n"/>
      <c r="J2649" s="16" t="n"/>
      <c r="K2649" s="19" t="n"/>
      <c r="M2649" s="16" t="n"/>
      <c r="N2649" s="19" t="n"/>
    </row>
    <row r="2650">
      <c r="A2650" s="16" t="n"/>
      <c r="B2650" s="19" t="n"/>
      <c r="D2650" s="16" t="n"/>
      <c r="E2650" s="19" t="n"/>
      <c r="G2650" s="16" t="n"/>
      <c r="H2650" s="19" t="n"/>
      <c r="J2650" s="16" t="n"/>
      <c r="K2650" s="19" t="n"/>
      <c r="M2650" s="16" t="n"/>
      <c r="N2650" s="19" t="n"/>
    </row>
    <row r="2651">
      <c r="A2651" s="16" t="n"/>
      <c r="B2651" s="19" t="n"/>
      <c r="D2651" s="16" t="n"/>
      <c r="E2651" s="19" t="n"/>
      <c r="G2651" s="16" t="n"/>
      <c r="H2651" s="19" t="n"/>
      <c r="J2651" s="16" t="n"/>
      <c r="K2651" s="19" t="n"/>
      <c r="M2651" s="16" t="n"/>
      <c r="N2651" s="19" t="n"/>
    </row>
    <row r="2652">
      <c r="A2652" s="16" t="n"/>
      <c r="B2652" s="19" t="n"/>
      <c r="D2652" s="16" t="n"/>
      <c r="E2652" s="19" t="n"/>
      <c r="G2652" s="16" t="n"/>
      <c r="H2652" s="19" t="n"/>
      <c r="J2652" s="16" t="n"/>
      <c r="K2652" s="19" t="n"/>
      <c r="M2652" s="16" t="n"/>
      <c r="N2652" s="19" t="n"/>
    </row>
    <row r="2653">
      <c r="A2653" s="16" t="n"/>
      <c r="B2653" s="19" t="n"/>
      <c r="D2653" s="16" t="n"/>
      <c r="E2653" s="19" t="n"/>
      <c r="G2653" s="16" t="n"/>
      <c r="H2653" s="19" t="n"/>
      <c r="J2653" s="16" t="n"/>
      <c r="K2653" s="19" t="n"/>
      <c r="M2653" s="16" t="n"/>
      <c r="N2653" s="19" t="n"/>
    </row>
    <row r="2654">
      <c r="A2654" s="16" t="n"/>
      <c r="B2654" s="19" t="n"/>
      <c r="D2654" s="16" t="n"/>
      <c r="E2654" s="19" t="n"/>
      <c r="G2654" s="16" t="n"/>
      <c r="H2654" s="19" t="n"/>
      <c r="J2654" s="16" t="n"/>
      <c r="K2654" s="19" t="n"/>
      <c r="M2654" s="16" t="n"/>
      <c r="N2654" s="19" t="n"/>
    </row>
    <row r="2655">
      <c r="A2655" s="16" t="n"/>
      <c r="B2655" s="19" t="n"/>
      <c r="D2655" s="16" t="n"/>
      <c r="E2655" s="19" t="n"/>
      <c r="G2655" s="16" t="n"/>
      <c r="H2655" s="19" t="n"/>
      <c r="J2655" s="16" t="n"/>
      <c r="K2655" s="19" t="n"/>
      <c r="M2655" s="16" t="n"/>
      <c r="N2655" s="19" t="n"/>
    </row>
    <row r="2656">
      <c r="A2656" s="16" t="n"/>
      <c r="B2656" s="19" t="n"/>
      <c r="D2656" s="16" t="n"/>
      <c r="E2656" s="19" t="n"/>
      <c r="G2656" s="16" t="n"/>
      <c r="H2656" s="19" t="n"/>
      <c r="J2656" s="16" t="n"/>
      <c r="K2656" s="19" t="n"/>
      <c r="M2656" s="16" t="n"/>
      <c r="N2656" s="19" t="n"/>
    </row>
    <row r="2657">
      <c r="A2657" s="16" t="n"/>
      <c r="B2657" s="19" t="n"/>
      <c r="D2657" s="16" t="n"/>
      <c r="E2657" s="19" t="n"/>
      <c r="G2657" s="16" t="n"/>
      <c r="H2657" s="19" t="n"/>
      <c r="J2657" s="16" t="n"/>
      <c r="K2657" s="19" t="n"/>
      <c r="M2657" s="16" t="n"/>
      <c r="N2657" s="19" t="n"/>
    </row>
    <row r="2658">
      <c r="A2658" s="16" t="n"/>
      <c r="B2658" s="19" t="n"/>
      <c r="D2658" s="16" t="n"/>
      <c r="E2658" s="19" t="n"/>
      <c r="G2658" s="16" t="n"/>
      <c r="H2658" s="19" t="n"/>
      <c r="J2658" s="16" t="n"/>
      <c r="K2658" s="19" t="n"/>
      <c r="M2658" s="16" t="n"/>
      <c r="N2658" s="19" t="n"/>
    </row>
    <row r="2659">
      <c r="A2659" s="16" t="n"/>
      <c r="B2659" s="19" t="n"/>
      <c r="D2659" s="16" t="n"/>
      <c r="E2659" s="19" t="n"/>
      <c r="G2659" s="16" t="n"/>
      <c r="H2659" s="19" t="n"/>
      <c r="J2659" s="16" t="n"/>
      <c r="K2659" s="19" t="n"/>
      <c r="M2659" s="16" t="n"/>
      <c r="N2659" s="19" t="n"/>
    </row>
    <row r="2660">
      <c r="A2660" s="16" t="n"/>
      <c r="B2660" s="19" t="n"/>
      <c r="D2660" s="16" t="n"/>
      <c r="E2660" s="19" t="n"/>
      <c r="G2660" s="16" t="n"/>
      <c r="H2660" s="19" t="n"/>
      <c r="J2660" s="16" t="n"/>
      <c r="K2660" s="19" t="n"/>
      <c r="M2660" s="16" t="n"/>
      <c r="N2660" s="19" t="n"/>
    </row>
    <row r="2661">
      <c r="A2661" s="16" t="n"/>
      <c r="B2661" s="19" t="n"/>
      <c r="D2661" s="16" t="n"/>
      <c r="E2661" s="19" t="n"/>
      <c r="G2661" s="16" t="n"/>
      <c r="H2661" s="19" t="n"/>
      <c r="J2661" s="16" t="n"/>
      <c r="K2661" s="19" t="n"/>
      <c r="M2661" s="16" t="n"/>
      <c r="N2661" s="19" t="n"/>
    </row>
    <row r="2662">
      <c r="A2662" s="16" t="n"/>
      <c r="B2662" s="19" t="n"/>
      <c r="D2662" s="16" t="n"/>
      <c r="E2662" s="19" t="n"/>
      <c r="G2662" s="16" t="n"/>
      <c r="H2662" s="19" t="n"/>
      <c r="J2662" s="16" t="n"/>
      <c r="K2662" s="19" t="n"/>
      <c r="M2662" s="16" t="n"/>
      <c r="N2662" s="19" t="n"/>
    </row>
    <row r="2663">
      <c r="A2663" s="16" t="n"/>
      <c r="B2663" s="19" t="n"/>
      <c r="D2663" s="16" t="n"/>
      <c r="E2663" s="19" t="n"/>
      <c r="G2663" s="16" t="n"/>
      <c r="H2663" s="19" t="n"/>
      <c r="J2663" s="16" t="n"/>
      <c r="K2663" s="19" t="n"/>
      <c r="M2663" s="16" t="n"/>
      <c r="N2663" s="19" t="n"/>
    </row>
    <row r="2664">
      <c r="A2664" s="16" t="n"/>
      <c r="B2664" s="19" t="n"/>
      <c r="D2664" s="16" t="n"/>
      <c r="E2664" s="19" t="n"/>
      <c r="G2664" s="16" t="n"/>
      <c r="H2664" s="19" t="n"/>
      <c r="J2664" s="16" t="n"/>
      <c r="K2664" s="19" t="n"/>
      <c r="M2664" s="16" t="n"/>
      <c r="N2664" s="19" t="n"/>
    </row>
    <row r="2665">
      <c r="A2665" s="16" t="n"/>
      <c r="B2665" s="19" t="n"/>
      <c r="D2665" s="16" t="n"/>
      <c r="E2665" s="19" t="n"/>
      <c r="G2665" s="16" t="n"/>
      <c r="H2665" s="19" t="n"/>
      <c r="J2665" s="16" t="n"/>
      <c r="K2665" s="19" t="n"/>
      <c r="M2665" s="16" t="n"/>
      <c r="N2665" s="19" t="n"/>
    </row>
    <row r="2666">
      <c r="A2666" s="16" t="n"/>
      <c r="B2666" s="19" t="n"/>
      <c r="D2666" s="16" t="n"/>
      <c r="E2666" s="19" t="n"/>
      <c r="G2666" s="16" t="n"/>
      <c r="H2666" s="19" t="n"/>
      <c r="J2666" s="16" t="n"/>
      <c r="K2666" s="19" t="n"/>
      <c r="M2666" s="16" t="n"/>
      <c r="N2666" s="19" t="n"/>
    </row>
    <row r="2667">
      <c r="A2667" s="16" t="n"/>
      <c r="B2667" s="19" t="n"/>
      <c r="D2667" s="16" t="n"/>
      <c r="E2667" s="19" t="n"/>
      <c r="G2667" s="16" t="n"/>
      <c r="H2667" s="19" t="n"/>
      <c r="J2667" s="16" t="n"/>
      <c r="K2667" s="19" t="n"/>
      <c r="M2667" s="16" t="n"/>
      <c r="N2667" s="19" t="n"/>
    </row>
    <row r="2668">
      <c r="A2668" s="16" t="n"/>
      <c r="B2668" s="19" t="n"/>
      <c r="D2668" s="16" t="n"/>
      <c r="E2668" s="19" t="n"/>
      <c r="G2668" s="16" t="n"/>
      <c r="H2668" s="19" t="n"/>
      <c r="J2668" s="16" t="n"/>
      <c r="K2668" s="19" t="n"/>
      <c r="M2668" s="16" t="n"/>
      <c r="N2668" s="19" t="n"/>
    </row>
    <row r="2669">
      <c r="A2669" s="16" t="n"/>
      <c r="B2669" s="19" t="n"/>
      <c r="D2669" s="16" t="n"/>
      <c r="E2669" s="19" t="n"/>
      <c r="G2669" s="16" t="n"/>
      <c r="H2669" s="19" t="n"/>
      <c r="J2669" s="16" t="n"/>
      <c r="K2669" s="19" t="n"/>
      <c r="M2669" s="16" t="n"/>
      <c r="N2669" s="19" t="n"/>
    </row>
    <row r="2670">
      <c r="A2670" s="16" t="n"/>
      <c r="B2670" s="19" t="n"/>
      <c r="D2670" s="16" t="n"/>
      <c r="E2670" s="19" t="n"/>
      <c r="G2670" s="16" t="n"/>
      <c r="H2670" s="19" t="n"/>
      <c r="J2670" s="16" t="n"/>
      <c r="K2670" s="19" t="n"/>
      <c r="M2670" s="16" t="n"/>
      <c r="N2670" s="19" t="n"/>
    </row>
    <row r="2671">
      <c r="A2671" s="16" t="n"/>
      <c r="B2671" s="19" t="n"/>
      <c r="D2671" s="16" t="n"/>
      <c r="E2671" s="19" t="n"/>
      <c r="G2671" s="16" t="n"/>
      <c r="H2671" s="19" t="n"/>
      <c r="J2671" s="16" t="n"/>
      <c r="K2671" s="19" t="n"/>
      <c r="M2671" s="16" t="n"/>
      <c r="N2671" s="19" t="n"/>
    </row>
    <row r="2672">
      <c r="A2672" s="16" t="n"/>
      <c r="B2672" s="19" t="n"/>
      <c r="D2672" s="16" t="n"/>
      <c r="E2672" s="19" t="n"/>
      <c r="G2672" s="16" t="n"/>
      <c r="H2672" s="19" t="n"/>
      <c r="J2672" s="16" t="n"/>
      <c r="K2672" s="19" t="n"/>
      <c r="M2672" s="16" t="n"/>
      <c r="N2672" s="19" t="n"/>
    </row>
    <row r="2673">
      <c r="A2673" s="16" t="n"/>
      <c r="B2673" s="19" t="n"/>
      <c r="D2673" s="16" t="n"/>
      <c r="E2673" s="19" t="n"/>
      <c r="G2673" s="16" t="n"/>
      <c r="H2673" s="19" t="n"/>
      <c r="J2673" s="16" t="n"/>
      <c r="K2673" s="19" t="n"/>
      <c r="M2673" s="16" t="n"/>
      <c r="N2673" s="19" t="n"/>
    </row>
    <row r="2674">
      <c r="A2674" s="16" t="n"/>
      <c r="B2674" s="19" t="n"/>
      <c r="D2674" s="16" t="n"/>
      <c r="E2674" s="19" t="n"/>
      <c r="G2674" s="16" t="n"/>
      <c r="H2674" s="19" t="n"/>
      <c r="J2674" s="16" t="n"/>
      <c r="K2674" s="19" t="n"/>
      <c r="M2674" s="16" t="n"/>
      <c r="N2674" s="19" t="n"/>
    </row>
    <row r="2675">
      <c r="A2675" s="16" t="n"/>
      <c r="B2675" s="19" t="n"/>
      <c r="D2675" s="16" t="n"/>
      <c r="E2675" s="19" t="n"/>
      <c r="G2675" s="16" t="n"/>
      <c r="H2675" s="19" t="n"/>
      <c r="J2675" s="16" t="n"/>
      <c r="K2675" s="19" t="n"/>
      <c r="M2675" s="16" t="n"/>
      <c r="N2675" s="19" t="n"/>
    </row>
    <row r="2676">
      <c r="A2676" s="16" t="n"/>
      <c r="B2676" s="19" t="n"/>
      <c r="D2676" s="16" t="n"/>
      <c r="E2676" s="19" t="n"/>
      <c r="G2676" s="16" t="n"/>
      <c r="H2676" s="19" t="n"/>
      <c r="J2676" s="16" t="n"/>
      <c r="K2676" s="19" t="n"/>
      <c r="M2676" s="16" t="n"/>
      <c r="N2676" s="19" t="n"/>
    </row>
    <row r="2677">
      <c r="A2677" s="16" t="n"/>
      <c r="B2677" s="19" t="n"/>
      <c r="D2677" s="16" t="n"/>
      <c r="E2677" s="19" t="n"/>
      <c r="G2677" s="16" t="n"/>
      <c r="H2677" s="19" t="n"/>
      <c r="J2677" s="16" t="n"/>
      <c r="K2677" s="19" t="n"/>
      <c r="M2677" s="16" t="n"/>
      <c r="N2677" s="19" t="n"/>
    </row>
    <row r="2678">
      <c r="A2678" s="16" t="n"/>
      <c r="B2678" s="19" t="n"/>
      <c r="D2678" s="16" t="n"/>
      <c r="E2678" s="19" t="n"/>
      <c r="G2678" s="16" t="n"/>
      <c r="H2678" s="19" t="n"/>
      <c r="J2678" s="16" t="n"/>
      <c r="K2678" s="19" t="n"/>
      <c r="M2678" s="16" t="n"/>
      <c r="N2678" s="19" t="n"/>
    </row>
    <row r="2679">
      <c r="A2679" s="16" t="n"/>
      <c r="B2679" s="19" t="n"/>
      <c r="D2679" s="16" t="n"/>
      <c r="E2679" s="19" t="n"/>
      <c r="G2679" s="16" t="n"/>
      <c r="H2679" s="19" t="n"/>
      <c r="J2679" s="16" t="n"/>
      <c r="K2679" s="19" t="n"/>
      <c r="M2679" s="16" t="n"/>
      <c r="N2679" s="19" t="n"/>
    </row>
    <row r="2680">
      <c r="A2680" s="16" t="n"/>
      <c r="B2680" s="19" t="n"/>
      <c r="D2680" s="16" t="n"/>
      <c r="E2680" s="19" t="n"/>
      <c r="G2680" s="16" t="n"/>
      <c r="H2680" s="19" t="n"/>
      <c r="J2680" s="16" t="n"/>
      <c r="K2680" s="19" t="n"/>
      <c r="M2680" s="16" t="n"/>
      <c r="N2680" s="19" t="n"/>
    </row>
    <row r="2681">
      <c r="A2681" s="16" t="n"/>
      <c r="B2681" s="19" t="n"/>
      <c r="D2681" s="16" t="n"/>
      <c r="E2681" s="19" t="n"/>
      <c r="G2681" s="16" t="n"/>
      <c r="H2681" s="19" t="n"/>
      <c r="J2681" s="16" t="n"/>
      <c r="K2681" s="19" t="n"/>
      <c r="M2681" s="16" t="n"/>
      <c r="N2681" s="19" t="n"/>
    </row>
    <row r="2682">
      <c r="A2682" s="16" t="n"/>
      <c r="B2682" s="19" t="n"/>
      <c r="D2682" s="16" t="n"/>
      <c r="E2682" s="19" t="n"/>
      <c r="G2682" s="16" t="n"/>
      <c r="H2682" s="19" t="n"/>
      <c r="J2682" s="16" t="n"/>
      <c r="K2682" s="19" t="n"/>
      <c r="M2682" s="16" t="n"/>
      <c r="N2682" s="19" t="n"/>
    </row>
    <row r="2683">
      <c r="A2683" s="16" t="n"/>
      <c r="B2683" s="19" t="n"/>
      <c r="D2683" s="16" t="n"/>
      <c r="E2683" s="19" t="n"/>
      <c r="G2683" s="16" t="n"/>
      <c r="H2683" s="19" t="n"/>
      <c r="J2683" s="16" t="n"/>
      <c r="K2683" s="19" t="n"/>
      <c r="M2683" s="16" t="n"/>
      <c r="N2683" s="19" t="n"/>
    </row>
    <row r="2684">
      <c r="A2684" s="16" t="n"/>
      <c r="B2684" s="19" t="n"/>
      <c r="D2684" s="16" t="n"/>
      <c r="E2684" s="19" t="n"/>
      <c r="G2684" s="16" t="n"/>
      <c r="H2684" s="19" t="n"/>
      <c r="J2684" s="16" t="n"/>
      <c r="K2684" s="19" t="n"/>
      <c r="M2684" s="16" t="n"/>
      <c r="N2684" s="19" t="n"/>
    </row>
    <row r="2685">
      <c r="A2685" s="16" t="n"/>
      <c r="B2685" s="19" t="n"/>
      <c r="D2685" s="16" t="n"/>
      <c r="E2685" s="19" t="n"/>
      <c r="G2685" s="16" t="n"/>
      <c r="H2685" s="19" t="n"/>
      <c r="J2685" s="16" t="n"/>
      <c r="K2685" s="19" t="n"/>
      <c r="M2685" s="16" t="n"/>
      <c r="N2685" s="19" t="n"/>
    </row>
    <row r="2686">
      <c r="A2686" s="16" t="n"/>
      <c r="B2686" s="19" t="n"/>
      <c r="D2686" s="16" t="n"/>
      <c r="E2686" s="19" t="n"/>
      <c r="G2686" s="16" t="n"/>
      <c r="H2686" s="19" t="n"/>
      <c r="J2686" s="16" t="n"/>
      <c r="K2686" s="19" t="n"/>
      <c r="M2686" s="16" t="n"/>
      <c r="N2686" s="19" t="n"/>
    </row>
    <row r="2687">
      <c r="A2687" s="16" t="n"/>
      <c r="B2687" s="19" t="n"/>
      <c r="D2687" s="16" t="n"/>
      <c r="E2687" s="19" t="n"/>
      <c r="G2687" s="16" t="n"/>
      <c r="H2687" s="19" t="n"/>
      <c r="J2687" s="16" t="n"/>
      <c r="K2687" s="19" t="n"/>
      <c r="M2687" s="16" t="n"/>
      <c r="N2687" s="19" t="n"/>
    </row>
    <row r="2688">
      <c r="A2688" s="16" t="n"/>
      <c r="B2688" s="19" t="n"/>
      <c r="D2688" s="16" t="n"/>
      <c r="E2688" s="19" t="n"/>
      <c r="G2688" s="16" t="n"/>
      <c r="H2688" s="19" t="n"/>
      <c r="J2688" s="16" t="n"/>
      <c r="K2688" s="19" t="n"/>
      <c r="M2688" s="16" t="n"/>
      <c r="N2688" s="19" t="n"/>
    </row>
    <row r="2689">
      <c r="A2689" s="16" t="n"/>
      <c r="B2689" s="19" t="n"/>
      <c r="D2689" s="16" t="n"/>
      <c r="E2689" s="19" t="n"/>
      <c r="G2689" s="16" t="n"/>
      <c r="H2689" s="19" t="n"/>
      <c r="J2689" s="16" t="n"/>
      <c r="K2689" s="19" t="n"/>
      <c r="M2689" s="16" t="n"/>
      <c r="N2689" s="19" t="n"/>
    </row>
    <row r="2690">
      <c r="A2690" s="16" t="n"/>
      <c r="B2690" s="19" t="n"/>
      <c r="D2690" s="16" t="n"/>
      <c r="E2690" s="19" t="n"/>
      <c r="G2690" s="16" t="n"/>
      <c r="H2690" s="19" t="n"/>
      <c r="J2690" s="16" t="n"/>
      <c r="K2690" s="19" t="n"/>
      <c r="M2690" s="16" t="n"/>
      <c r="N2690" s="19" t="n"/>
    </row>
    <row r="2691">
      <c r="A2691" s="16" t="n"/>
      <c r="B2691" s="19" t="n"/>
      <c r="D2691" s="16" t="n"/>
      <c r="E2691" s="19" t="n"/>
      <c r="G2691" s="16" t="n"/>
      <c r="H2691" s="19" t="n"/>
      <c r="J2691" s="16" t="n"/>
      <c r="K2691" s="19" t="n"/>
      <c r="M2691" s="16" t="n"/>
      <c r="N2691" s="19" t="n"/>
    </row>
    <row r="2692">
      <c r="A2692" s="16" t="n"/>
      <c r="B2692" s="19" t="n"/>
      <c r="D2692" s="16" t="n"/>
      <c r="E2692" s="19" t="n"/>
      <c r="G2692" s="16" t="n"/>
      <c r="H2692" s="19" t="n"/>
      <c r="J2692" s="16" t="n"/>
      <c r="K2692" s="19" t="n"/>
      <c r="M2692" s="16" t="n"/>
      <c r="N2692" s="19" t="n"/>
    </row>
    <row r="2693">
      <c r="A2693" s="16" t="n"/>
      <c r="B2693" s="19" t="n"/>
      <c r="D2693" s="16" t="n"/>
      <c r="E2693" s="19" t="n"/>
      <c r="G2693" s="16" t="n"/>
      <c r="H2693" s="19" t="n"/>
      <c r="J2693" s="16" t="n"/>
      <c r="K2693" s="19" t="n"/>
      <c r="M2693" s="16" t="n"/>
      <c r="N2693" s="19" t="n"/>
    </row>
    <row r="2694">
      <c r="A2694" s="16" t="n"/>
      <c r="B2694" s="19" t="n"/>
      <c r="D2694" s="16" t="n"/>
      <c r="E2694" s="19" t="n"/>
      <c r="G2694" s="16" t="n"/>
      <c r="H2694" s="19" t="n"/>
      <c r="J2694" s="16" t="n"/>
      <c r="K2694" s="19" t="n"/>
      <c r="M2694" s="16" t="n"/>
      <c r="N2694" s="19" t="n"/>
    </row>
    <row r="2695">
      <c r="A2695" s="16" t="n"/>
      <c r="B2695" s="19" t="n"/>
      <c r="D2695" s="16" t="n"/>
      <c r="E2695" s="19" t="n"/>
      <c r="G2695" s="16" t="n"/>
      <c r="H2695" s="19" t="n"/>
      <c r="J2695" s="16" t="n"/>
      <c r="K2695" s="19" t="n"/>
      <c r="M2695" s="16" t="n"/>
      <c r="N2695" s="19" t="n"/>
    </row>
    <row r="2696">
      <c r="A2696" s="16" t="n"/>
      <c r="B2696" s="19" t="n"/>
      <c r="D2696" s="16" t="n"/>
      <c r="E2696" s="19" t="n"/>
      <c r="G2696" s="16" t="n"/>
      <c r="H2696" s="19" t="n"/>
      <c r="J2696" s="16" t="n"/>
      <c r="K2696" s="19" t="n"/>
      <c r="M2696" s="16" t="n"/>
      <c r="N2696" s="19" t="n"/>
    </row>
    <row r="2697">
      <c r="A2697" s="16" t="n"/>
      <c r="B2697" s="19" t="n"/>
      <c r="D2697" s="16" t="n"/>
      <c r="E2697" s="19" t="n"/>
      <c r="G2697" s="16" t="n"/>
      <c r="H2697" s="19" t="n"/>
      <c r="J2697" s="16" t="n"/>
      <c r="K2697" s="19" t="n"/>
      <c r="M2697" s="16" t="n"/>
      <c r="N2697" s="19" t="n"/>
    </row>
    <row r="2698">
      <c r="A2698" s="16" t="n"/>
      <c r="B2698" s="19" t="n"/>
      <c r="D2698" s="16" t="n"/>
      <c r="E2698" s="19" t="n"/>
      <c r="G2698" s="16" t="n"/>
      <c r="H2698" s="19" t="n"/>
      <c r="J2698" s="16" t="n"/>
      <c r="K2698" s="19" t="n"/>
      <c r="M2698" s="16" t="n"/>
      <c r="N2698" s="19" t="n"/>
    </row>
    <row r="2699">
      <c r="A2699" s="16" t="n"/>
      <c r="B2699" s="19" t="n"/>
      <c r="D2699" s="16" t="n"/>
      <c r="E2699" s="19" t="n"/>
      <c r="G2699" s="16" t="n"/>
      <c r="H2699" s="19" t="n"/>
      <c r="J2699" s="16" t="n"/>
      <c r="K2699" s="19" t="n"/>
      <c r="M2699" s="16" t="n"/>
      <c r="N2699" s="19" t="n"/>
    </row>
    <row r="2700">
      <c r="A2700" s="16" t="n"/>
      <c r="B2700" s="19" t="n"/>
      <c r="D2700" s="16" t="n"/>
      <c r="E2700" s="19" t="n"/>
      <c r="G2700" s="16" t="n"/>
      <c r="H2700" s="19" t="n"/>
      <c r="J2700" s="16" t="n"/>
      <c r="K2700" s="19" t="n"/>
      <c r="M2700" s="16" t="n"/>
      <c r="N2700" s="19" t="n"/>
    </row>
    <row r="2701">
      <c r="A2701" s="16" t="n"/>
      <c r="B2701" s="19" t="n"/>
      <c r="D2701" s="16" t="n"/>
      <c r="E2701" s="19" t="n"/>
      <c r="G2701" s="16" t="n"/>
      <c r="H2701" s="19" t="n"/>
      <c r="J2701" s="16" t="n"/>
      <c r="K2701" s="19" t="n"/>
      <c r="M2701" s="16" t="n"/>
      <c r="N2701" s="19" t="n"/>
    </row>
    <row r="2702">
      <c r="A2702" s="16" t="n"/>
      <c r="B2702" s="19" t="n"/>
      <c r="D2702" s="16" t="n"/>
      <c r="E2702" s="19" t="n"/>
      <c r="G2702" s="16" t="n"/>
      <c r="H2702" s="19" t="n"/>
      <c r="J2702" s="16" t="n"/>
      <c r="K2702" s="19" t="n"/>
      <c r="M2702" s="16" t="n"/>
      <c r="N2702" s="19" t="n"/>
    </row>
    <row r="2703">
      <c r="A2703" s="16" t="n"/>
      <c r="B2703" s="19" t="n"/>
      <c r="D2703" s="16" t="n"/>
      <c r="E2703" s="19" t="n"/>
      <c r="G2703" s="16" t="n"/>
      <c r="H2703" s="19" t="n"/>
      <c r="J2703" s="16" t="n"/>
      <c r="K2703" s="19" t="n"/>
      <c r="M2703" s="16" t="n"/>
      <c r="N2703" s="19" t="n"/>
    </row>
    <row r="2704">
      <c r="A2704" s="16" t="n"/>
      <c r="B2704" s="19" t="n"/>
      <c r="D2704" s="16" t="n"/>
      <c r="E2704" s="19" t="n"/>
      <c r="G2704" s="16" t="n"/>
      <c r="H2704" s="19" t="n"/>
      <c r="J2704" s="16" t="n"/>
      <c r="K2704" s="19" t="n"/>
      <c r="M2704" s="16" t="n"/>
      <c r="N2704" s="19" t="n"/>
    </row>
    <row r="2705">
      <c r="A2705" s="16" t="n"/>
      <c r="B2705" s="19" t="n"/>
      <c r="D2705" s="16" t="n"/>
      <c r="E2705" s="19" t="n"/>
      <c r="G2705" s="16" t="n"/>
      <c r="H2705" s="19" t="n"/>
      <c r="J2705" s="16" t="n"/>
      <c r="K2705" s="19" t="n"/>
      <c r="M2705" s="16" t="n"/>
      <c r="N2705" s="19" t="n"/>
    </row>
    <row r="2706">
      <c r="A2706" s="16" t="n"/>
      <c r="B2706" s="19" t="n"/>
      <c r="D2706" s="16" t="n"/>
      <c r="E2706" s="19" t="n"/>
      <c r="G2706" s="16" t="n"/>
      <c r="H2706" s="19" t="n"/>
      <c r="J2706" s="16" t="n"/>
      <c r="K2706" s="19" t="n"/>
      <c r="M2706" s="16" t="n"/>
      <c r="N2706" s="19" t="n"/>
    </row>
    <row r="2707">
      <c r="A2707" s="16" t="n"/>
      <c r="B2707" s="19" t="n"/>
      <c r="D2707" s="16" t="n"/>
      <c r="E2707" s="19" t="n"/>
      <c r="G2707" s="16" t="n"/>
      <c r="H2707" s="19" t="n"/>
      <c r="J2707" s="16" t="n"/>
      <c r="K2707" s="19" t="n"/>
      <c r="M2707" s="16" t="n"/>
      <c r="N2707" s="19" t="n"/>
    </row>
    <row r="2708">
      <c r="A2708" s="16" t="n"/>
      <c r="B2708" s="19" t="n"/>
      <c r="D2708" s="16" t="n"/>
      <c r="E2708" s="19" t="n"/>
      <c r="G2708" s="16" t="n"/>
      <c r="H2708" s="19" t="n"/>
      <c r="J2708" s="16" t="n"/>
      <c r="K2708" s="19" t="n"/>
      <c r="M2708" s="16" t="n"/>
      <c r="N2708" s="19" t="n"/>
    </row>
    <row r="2709">
      <c r="A2709" s="16" t="n"/>
      <c r="B2709" s="19" t="n"/>
      <c r="D2709" s="16" t="n"/>
      <c r="E2709" s="19" t="n"/>
      <c r="G2709" s="16" t="n"/>
      <c r="H2709" s="19" t="n"/>
      <c r="J2709" s="16" t="n"/>
      <c r="K2709" s="19" t="n"/>
      <c r="M2709" s="16" t="n"/>
      <c r="N2709" s="19" t="n"/>
    </row>
    <row r="2710">
      <c r="A2710" s="16" t="n"/>
      <c r="B2710" s="19" t="n"/>
      <c r="D2710" s="16" t="n"/>
      <c r="E2710" s="19" t="n"/>
      <c r="G2710" s="16" t="n"/>
      <c r="H2710" s="19" t="n"/>
      <c r="J2710" s="16" t="n"/>
      <c r="K2710" s="19" t="n"/>
      <c r="M2710" s="16" t="n"/>
      <c r="N2710" s="19" t="n"/>
    </row>
    <row r="2711">
      <c r="A2711" s="16" t="n"/>
      <c r="B2711" s="19" t="n"/>
      <c r="D2711" s="16" t="n"/>
      <c r="E2711" s="19" t="n"/>
      <c r="G2711" s="16" t="n"/>
      <c r="H2711" s="19" t="n"/>
      <c r="J2711" s="16" t="n"/>
      <c r="K2711" s="19" t="n"/>
      <c r="M2711" s="16" t="n"/>
      <c r="N2711" s="19" t="n"/>
    </row>
    <row r="2712">
      <c r="A2712" s="16" t="n"/>
      <c r="B2712" s="19" t="n"/>
      <c r="D2712" s="16" t="n"/>
      <c r="E2712" s="19" t="n"/>
      <c r="G2712" s="16" t="n"/>
      <c r="H2712" s="19" t="n"/>
      <c r="J2712" s="16" t="n"/>
      <c r="K2712" s="19" t="n"/>
      <c r="M2712" s="16" t="n"/>
      <c r="N2712" s="19" t="n"/>
    </row>
    <row r="2713">
      <c r="A2713" s="16" t="n"/>
      <c r="B2713" s="19" t="n"/>
      <c r="D2713" s="16" t="n"/>
      <c r="E2713" s="19" t="n"/>
      <c r="G2713" s="16" t="n"/>
      <c r="H2713" s="19" t="n"/>
      <c r="J2713" s="16" t="n"/>
      <c r="K2713" s="19" t="n"/>
      <c r="M2713" s="16" t="n"/>
      <c r="N2713" s="19" t="n"/>
    </row>
    <row r="2714">
      <c r="A2714" s="16" t="n"/>
      <c r="B2714" s="19" t="n"/>
      <c r="D2714" s="16" t="n"/>
      <c r="E2714" s="19" t="n"/>
      <c r="G2714" s="16" t="n"/>
      <c r="H2714" s="19" t="n"/>
      <c r="J2714" s="16" t="n"/>
      <c r="K2714" s="19" t="n"/>
      <c r="M2714" s="16" t="n"/>
      <c r="N2714" s="19" t="n"/>
    </row>
    <row r="2715">
      <c r="A2715" s="16" t="n"/>
      <c r="B2715" s="19" t="n"/>
      <c r="D2715" s="16" t="n"/>
      <c r="E2715" s="19" t="n"/>
      <c r="G2715" s="16" t="n"/>
      <c r="H2715" s="19" t="n"/>
      <c r="J2715" s="16" t="n"/>
      <c r="K2715" s="19" t="n"/>
      <c r="M2715" s="16" t="n"/>
      <c r="N2715" s="19" t="n"/>
    </row>
    <row r="2716">
      <c r="A2716" s="16" t="n"/>
      <c r="B2716" s="19" t="n"/>
      <c r="D2716" s="16" t="n"/>
      <c r="E2716" s="19" t="n"/>
      <c r="G2716" s="16" t="n"/>
      <c r="H2716" s="19" t="n"/>
      <c r="J2716" s="16" t="n"/>
      <c r="K2716" s="19" t="n"/>
      <c r="M2716" s="16" t="n"/>
      <c r="N2716" s="19" t="n"/>
    </row>
    <row r="2717">
      <c r="A2717" s="16" t="n"/>
      <c r="B2717" s="19" t="n"/>
      <c r="D2717" s="16" t="n"/>
      <c r="E2717" s="19" t="n"/>
      <c r="G2717" s="16" t="n"/>
      <c r="H2717" s="19" t="n"/>
      <c r="J2717" s="16" t="n"/>
      <c r="K2717" s="19" t="n"/>
      <c r="M2717" s="16" t="n"/>
      <c r="N2717" s="19" t="n"/>
    </row>
    <row r="2718">
      <c r="A2718" s="16" t="n"/>
      <c r="B2718" s="19" t="n"/>
      <c r="D2718" s="16" t="n"/>
      <c r="E2718" s="19" t="n"/>
      <c r="G2718" s="16" t="n"/>
      <c r="H2718" s="19" t="n"/>
      <c r="J2718" s="16" t="n"/>
      <c r="K2718" s="19" t="n"/>
      <c r="M2718" s="16" t="n"/>
      <c r="N2718" s="19" t="n"/>
    </row>
    <row r="2719">
      <c r="A2719" s="16" t="n"/>
      <c r="B2719" s="19" t="n"/>
      <c r="D2719" s="16" t="n"/>
      <c r="E2719" s="19" t="n"/>
      <c r="G2719" s="16" t="n"/>
      <c r="H2719" s="19" t="n"/>
      <c r="J2719" s="16" t="n"/>
      <c r="K2719" s="19" t="n"/>
      <c r="M2719" s="16" t="n"/>
      <c r="N2719" s="19" t="n"/>
    </row>
    <row r="2720">
      <c r="A2720" s="16" t="n"/>
      <c r="B2720" s="19" t="n"/>
      <c r="D2720" s="16" t="n"/>
      <c r="E2720" s="19" t="n"/>
      <c r="G2720" s="16" t="n"/>
      <c r="H2720" s="19" t="n"/>
      <c r="J2720" s="16" t="n"/>
      <c r="K2720" s="19" t="n"/>
      <c r="M2720" s="16" t="n"/>
      <c r="N2720" s="19" t="n"/>
    </row>
    <row r="2721">
      <c r="A2721" s="16" t="n"/>
      <c r="B2721" s="19" t="n"/>
      <c r="D2721" s="16" t="n"/>
      <c r="E2721" s="19" t="n"/>
      <c r="G2721" s="16" t="n"/>
      <c r="H2721" s="19" t="n"/>
      <c r="J2721" s="16" t="n"/>
      <c r="K2721" s="19" t="n"/>
      <c r="M2721" s="16" t="n"/>
      <c r="N2721" s="19" t="n"/>
    </row>
    <row r="2722">
      <c r="A2722" s="16" t="n"/>
      <c r="B2722" s="19" t="n"/>
      <c r="D2722" s="16" t="n"/>
      <c r="E2722" s="19" t="n"/>
      <c r="G2722" s="16" t="n"/>
      <c r="H2722" s="19" t="n"/>
      <c r="J2722" s="16" t="n"/>
      <c r="K2722" s="19" t="n"/>
      <c r="M2722" s="16" t="n"/>
      <c r="N2722" s="19" t="n"/>
    </row>
    <row r="2723">
      <c r="A2723" s="16" t="n"/>
      <c r="B2723" s="19" t="n"/>
      <c r="D2723" s="16" t="n"/>
      <c r="E2723" s="19" t="n"/>
      <c r="G2723" s="16" t="n"/>
      <c r="H2723" s="19" t="n"/>
      <c r="J2723" s="16" t="n"/>
      <c r="K2723" s="19" t="n"/>
      <c r="M2723" s="16" t="n"/>
      <c r="N2723" s="19" t="n"/>
    </row>
    <row r="2724">
      <c r="A2724" s="16" t="n"/>
      <c r="B2724" s="19" t="n"/>
      <c r="D2724" s="16" t="n"/>
      <c r="E2724" s="19" t="n"/>
      <c r="G2724" s="16" t="n"/>
      <c r="H2724" s="19" t="n"/>
      <c r="J2724" s="16" t="n"/>
      <c r="K2724" s="19" t="n"/>
      <c r="M2724" s="16" t="n"/>
      <c r="N2724" s="19" t="n"/>
    </row>
    <row r="2725">
      <c r="A2725" s="16" t="n"/>
      <c r="B2725" s="19" t="n"/>
      <c r="D2725" s="16" t="n"/>
      <c r="E2725" s="19" t="n"/>
      <c r="G2725" s="16" t="n"/>
      <c r="H2725" s="19" t="n"/>
      <c r="J2725" s="16" t="n"/>
      <c r="K2725" s="19" t="n"/>
      <c r="M2725" s="16" t="n"/>
      <c r="N2725" s="19" t="n"/>
    </row>
    <row r="2726">
      <c r="A2726" s="16" t="n"/>
      <c r="B2726" s="19" t="n"/>
      <c r="D2726" s="16" t="n"/>
      <c r="E2726" s="19" t="n"/>
      <c r="G2726" s="16" t="n"/>
      <c r="H2726" s="19" t="n"/>
      <c r="J2726" s="16" t="n"/>
      <c r="K2726" s="19" t="n"/>
      <c r="M2726" s="16" t="n"/>
      <c r="N2726" s="19" t="n"/>
    </row>
    <row r="2727">
      <c r="A2727" s="16" t="n"/>
      <c r="B2727" s="19" t="n"/>
      <c r="D2727" s="16" t="n"/>
      <c r="E2727" s="19" t="n"/>
      <c r="G2727" s="16" t="n"/>
      <c r="H2727" s="19" t="n"/>
      <c r="J2727" s="16" t="n"/>
      <c r="K2727" s="19" t="n"/>
      <c r="M2727" s="16" t="n"/>
      <c r="N2727" s="19" t="n"/>
    </row>
    <row r="2728">
      <c r="A2728" s="16" t="n"/>
      <c r="B2728" s="19" t="n"/>
      <c r="D2728" s="16" t="n"/>
      <c r="E2728" s="19" t="n"/>
      <c r="G2728" s="16" t="n"/>
      <c r="H2728" s="19" t="n"/>
      <c r="J2728" s="16" t="n"/>
      <c r="K2728" s="19" t="n"/>
      <c r="M2728" s="16" t="n"/>
      <c r="N2728" s="19" t="n"/>
    </row>
    <row r="2729">
      <c r="A2729" s="16" t="n"/>
      <c r="B2729" s="19" t="n"/>
      <c r="D2729" s="16" t="n"/>
      <c r="E2729" s="19" t="n"/>
      <c r="G2729" s="16" t="n"/>
      <c r="H2729" s="19" t="n"/>
      <c r="J2729" s="16" t="n"/>
      <c r="K2729" s="19" t="n"/>
      <c r="M2729" s="16" t="n"/>
      <c r="N2729" s="19" t="n"/>
    </row>
    <row r="2730">
      <c r="A2730" s="16" t="n"/>
      <c r="B2730" s="19" t="n"/>
      <c r="D2730" s="16" t="n"/>
      <c r="E2730" s="19" t="n"/>
      <c r="G2730" s="16" t="n"/>
      <c r="H2730" s="19" t="n"/>
      <c r="J2730" s="16" t="n"/>
      <c r="K2730" s="19" t="n"/>
      <c r="M2730" s="16" t="n"/>
      <c r="N2730" s="19" t="n"/>
    </row>
    <row r="2731">
      <c r="A2731" s="16" t="n"/>
      <c r="B2731" s="19" t="n"/>
      <c r="D2731" s="16" t="n"/>
      <c r="E2731" s="19" t="n"/>
      <c r="G2731" s="16" t="n"/>
      <c r="H2731" s="19" t="n"/>
      <c r="J2731" s="16" t="n"/>
      <c r="K2731" s="19" t="n"/>
      <c r="M2731" s="16" t="n"/>
      <c r="N2731" s="19" t="n"/>
    </row>
    <row r="2732">
      <c r="A2732" s="16" t="n"/>
      <c r="B2732" s="19" t="n"/>
      <c r="D2732" s="16" t="n"/>
      <c r="E2732" s="19" t="n"/>
      <c r="G2732" s="16" t="n"/>
      <c r="H2732" s="19" t="n"/>
      <c r="J2732" s="16" t="n"/>
      <c r="K2732" s="19" t="n"/>
      <c r="M2732" s="16" t="n"/>
      <c r="N2732" s="19" t="n"/>
    </row>
    <row r="2733">
      <c r="A2733" s="16" t="n"/>
      <c r="B2733" s="19" t="n"/>
      <c r="D2733" s="16" t="n"/>
      <c r="E2733" s="19" t="n"/>
      <c r="G2733" s="16" t="n"/>
      <c r="H2733" s="19" t="n"/>
      <c r="J2733" s="16" t="n"/>
      <c r="K2733" s="19" t="n"/>
      <c r="M2733" s="16" t="n"/>
      <c r="N2733" s="19" t="n"/>
    </row>
    <row r="2734">
      <c r="A2734" s="16" t="n"/>
      <c r="B2734" s="19" t="n"/>
      <c r="D2734" s="16" t="n"/>
      <c r="E2734" s="19" t="n"/>
      <c r="G2734" s="16" t="n"/>
      <c r="H2734" s="19" t="n"/>
      <c r="J2734" s="16" t="n"/>
      <c r="K2734" s="19" t="n"/>
      <c r="M2734" s="16" t="n"/>
      <c r="N2734" s="19" t="n"/>
    </row>
    <row r="2735">
      <c r="A2735" s="16" t="n"/>
      <c r="B2735" s="19" t="n"/>
      <c r="D2735" s="16" t="n"/>
      <c r="E2735" s="19" t="n"/>
      <c r="G2735" s="16" t="n"/>
      <c r="H2735" s="19" t="n"/>
      <c r="J2735" s="16" t="n"/>
      <c r="K2735" s="19" t="n"/>
      <c r="M2735" s="16" t="n"/>
      <c r="N2735" s="19" t="n"/>
    </row>
    <row r="2736">
      <c r="A2736" s="16" t="n"/>
      <c r="B2736" s="19" t="n"/>
      <c r="D2736" s="16" t="n"/>
      <c r="E2736" s="19" t="n"/>
      <c r="G2736" s="16" t="n"/>
      <c r="H2736" s="19" t="n"/>
      <c r="J2736" s="16" t="n"/>
      <c r="K2736" s="19" t="n"/>
      <c r="M2736" s="16" t="n"/>
      <c r="N2736" s="19" t="n"/>
    </row>
    <row r="2737">
      <c r="A2737" s="16" t="n"/>
      <c r="B2737" s="19" t="n"/>
      <c r="D2737" s="16" t="n"/>
      <c r="E2737" s="19" t="n"/>
      <c r="G2737" s="16" t="n"/>
      <c r="H2737" s="19" t="n"/>
      <c r="J2737" s="16" t="n"/>
      <c r="K2737" s="19" t="n"/>
      <c r="M2737" s="16" t="n"/>
      <c r="N2737" s="19" t="n"/>
    </row>
    <row r="2738">
      <c r="A2738" s="16" t="n"/>
      <c r="B2738" s="19" t="n"/>
      <c r="D2738" s="16" t="n"/>
      <c r="E2738" s="19" t="n"/>
      <c r="G2738" s="16" t="n"/>
      <c r="H2738" s="19" t="n"/>
      <c r="J2738" s="16" t="n"/>
      <c r="K2738" s="19" t="n"/>
      <c r="M2738" s="16" t="n"/>
      <c r="N2738" s="19" t="n"/>
    </row>
    <row r="2739">
      <c r="A2739" s="16" t="n"/>
      <c r="B2739" s="19" t="n"/>
      <c r="D2739" s="16" t="n"/>
      <c r="E2739" s="19" t="n"/>
      <c r="G2739" s="16" t="n"/>
      <c r="H2739" s="19" t="n"/>
      <c r="J2739" s="16" t="n"/>
      <c r="K2739" s="19" t="n"/>
      <c r="M2739" s="16" t="n"/>
      <c r="N2739" s="19" t="n"/>
    </row>
    <row r="2740">
      <c r="A2740" s="16" t="n"/>
      <c r="B2740" s="19" t="n"/>
      <c r="D2740" s="16" t="n"/>
      <c r="E2740" s="19" t="n"/>
      <c r="G2740" s="16" t="n"/>
      <c r="H2740" s="19" t="n"/>
      <c r="J2740" s="16" t="n"/>
      <c r="K2740" s="19" t="n"/>
      <c r="M2740" s="16" t="n"/>
      <c r="N2740" s="19" t="n"/>
    </row>
    <row r="2741">
      <c r="A2741" s="16" t="n"/>
      <c r="B2741" s="19" t="n"/>
      <c r="D2741" s="16" t="n"/>
      <c r="E2741" s="19" t="n"/>
      <c r="G2741" s="16" t="n"/>
      <c r="H2741" s="19" t="n"/>
      <c r="J2741" s="16" t="n"/>
      <c r="K2741" s="19" t="n"/>
      <c r="M2741" s="16" t="n"/>
      <c r="N2741" s="19" t="n"/>
    </row>
    <row r="2742">
      <c r="A2742" s="16" t="n"/>
      <c r="B2742" s="19" t="n"/>
      <c r="D2742" s="16" t="n"/>
      <c r="E2742" s="19" t="n"/>
      <c r="G2742" s="16" t="n"/>
      <c r="H2742" s="19" t="n"/>
      <c r="J2742" s="16" t="n"/>
      <c r="K2742" s="19" t="n"/>
      <c r="M2742" s="16" t="n"/>
      <c r="N2742" s="19" t="n"/>
    </row>
    <row r="2743">
      <c r="A2743" s="16" t="n"/>
      <c r="B2743" s="19" t="n"/>
      <c r="D2743" s="16" t="n"/>
      <c r="E2743" s="19" t="n"/>
      <c r="G2743" s="16" t="n"/>
      <c r="H2743" s="19" t="n"/>
      <c r="J2743" s="16" t="n"/>
      <c r="K2743" s="19" t="n"/>
      <c r="M2743" s="16" t="n"/>
      <c r="N2743" s="19" t="n"/>
    </row>
    <row r="2744">
      <c r="A2744" s="16" t="n"/>
      <c r="B2744" s="19" t="n"/>
      <c r="D2744" s="16" t="n"/>
      <c r="E2744" s="19" t="n"/>
      <c r="G2744" s="16" t="n"/>
      <c r="H2744" s="19" t="n"/>
      <c r="J2744" s="16" t="n"/>
      <c r="K2744" s="19" t="n"/>
      <c r="M2744" s="16" t="n"/>
      <c r="N2744" s="19" t="n"/>
    </row>
    <row r="2745">
      <c r="A2745" s="16" t="n"/>
      <c r="B2745" s="19" t="n"/>
      <c r="D2745" s="16" t="n"/>
      <c r="E2745" s="19" t="n"/>
      <c r="G2745" s="16" t="n"/>
      <c r="H2745" s="19" t="n"/>
      <c r="J2745" s="16" t="n"/>
      <c r="K2745" s="19" t="n"/>
      <c r="M2745" s="16" t="n"/>
      <c r="N2745" s="19" t="n"/>
    </row>
    <row r="2746">
      <c r="A2746" s="16" t="n"/>
      <c r="B2746" s="19" t="n"/>
      <c r="D2746" s="16" t="n"/>
      <c r="E2746" s="19" t="n"/>
      <c r="G2746" s="16" t="n"/>
      <c r="H2746" s="19" t="n"/>
      <c r="J2746" s="16" t="n"/>
      <c r="K2746" s="19" t="n"/>
      <c r="M2746" s="16" t="n"/>
      <c r="N2746" s="19" t="n"/>
    </row>
    <row r="2747">
      <c r="A2747" s="16" t="n"/>
      <c r="B2747" s="19" t="n"/>
      <c r="D2747" s="16" t="n"/>
      <c r="E2747" s="19" t="n"/>
      <c r="G2747" s="16" t="n"/>
      <c r="H2747" s="19" t="n"/>
      <c r="J2747" s="16" t="n"/>
      <c r="K2747" s="19" t="n"/>
      <c r="M2747" s="16" t="n"/>
      <c r="N2747" s="19" t="n"/>
    </row>
    <row r="2748">
      <c r="A2748" s="16" t="n"/>
      <c r="B2748" s="19" t="n"/>
      <c r="D2748" s="16" t="n"/>
      <c r="E2748" s="19" t="n"/>
      <c r="G2748" s="16" t="n"/>
      <c r="H2748" s="19" t="n"/>
      <c r="J2748" s="16" t="n"/>
      <c r="K2748" s="19" t="n"/>
      <c r="M2748" s="16" t="n"/>
      <c r="N2748" s="19" t="n"/>
    </row>
    <row r="2749">
      <c r="A2749" s="16" t="n"/>
      <c r="B2749" s="19" t="n"/>
      <c r="D2749" s="16" t="n"/>
      <c r="E2749" s="19" t="n"/>
      <c r="G2749" s="16" t="n"/>
      <c r="H2749" s="19" t="n"/>
      <c r="J2749" s="16" t="n"/>
      <c r="K2749" s="19" t="n"/>
      <c r="M2749" s="16" t="n"/>
      <c r="N2749" s="19" t="n"/>
    </row>
    <row r="2750">
      <c r="A2750" s="16" t="n"/>
      <c r="B2750" s="19" t="n"/>
      <c r="D2750" s="16" t="n"/>
      <c r="E2750" s="19" t="n"/>
      <c r="G2750" s="16" t="n"/>
      <c r="H2750" s="19" t="n"/>
      <c r="J2750" s="16" t="n"/>
      <c r="K2750" s="19" t="n"/>
      <c r="M2750" s="16" t="n"/>
      <c r="N2750" s="19" t="n"/>
    </row>
    <row r="2751">
      <c r="A2751" s="16" t="n"/>
      <c r="B2751" s="19" t="n"/>
      <c r="D2751" s="16" t="n"/>
      <c r="E2751" s="19" t="n"/>
      <c r="G2751" s="16" t="n"/>
      <c r="H2751" s="19" t="n"/>
      <c r="J2751" s="16" t="n"/>
      <c r="K2751" s="19" t="n"/>
      <c r="M2751" s="16" t="n"/>
      <c r="N2751" s="19" t="n"/>
    </row>
    <row r="2752">
      <c r="A2752" s="16" t="n"/>
      <c r="B2752" s="19" t="n"/>
      <c r="D2752" s="16" t="n"/>
      <c r="E2752" s="19" t="n"/>
      <c r="G2752" s="16" t="n"/>
      <c r="H2752" s="19" t="n"/>
      <c r="J2752" s="16" t="n"/>
      <c r="K2752" s="19" t="n"/>
      <c r="M2752" s="16" t="n"/>
      <c r="N2752" s="19" t="n"/>
    </row>
    <row r="2753">
      <c r="A2753" s="16" t="n"/>
      <c r="B2753" s="19" t="n"/>
      <c r="D2753" s="16" t="n"/>
      <c r="E2753" s="19" t="n"/>
      <c r="G2753" s="16" t="n"/>
      <c r="H2753" s="19" t="n"/>
      <c r="J2753" s="16" t="n"/>
      <c r="K2753" s="19" t="n"/>
      <c r="M2753" s="16" t="n"/>
      <c r="N2753" s="19" t="n"/>
    </row>
    <row r="2754">
      <c r="A2754" s="16" t="n"/>
      <c r="B2754" s="19" t="n"/>
      <c r="D2754" s="16" t="n"/>
      <c r="E2754" s="19" t="n"/>
      <c r="G2754" s="16" t="n"/>
      <c r="H2754" s="19" t="n"/>
      <c r="J2754" s="16" t="n"/>
      <c r="K2754" s="19" t="n"/>
      <c r="M2754" s="16" t="n"/>
      <c r="N2754" s="19" t="n"/>
    </row>
    <row r="2755">
      <c r="A2755" s="16" t="n"/>
      <c r="B2755" s="19" t="n"/>
      <c r="D2755" s="16" t="n"/>
      <c r="E2755" s="19" t="n"/>
      <c r="G2755" s="16" t="n"/>
      <c r="H2755" s="19" t="n"/>
      <c r="J2755" s="16" t="n"/>
      <c r="K2755" s="19" t="n"/>
      <c r="M2755" s="16" t="n"/>
      <c r="N2755" s="19" t="n"/>
    </row>
    <row r="2756">
      <c r="A2756" s="16" t="n"/>
      <c r="B2756" s="19" t="n"/>
      <c r="D2756" s="16" t="n"/>
      <c r="E2756" s="19" t="n"/>
      <c r="G2756" s="16" t="n"/>
      <c r="H2756" s="19" t="n"/>
      <c r="J2756" s="16" t="n"/>
      <c r="K2756" s="19" t="n"/>
      <c r="M2756" s="16" t="n"/>
      <c r="N2756" s="19" t="n"/>
    </row>
    <row r="2757">
      <c r="A2757" s="16" t="n"/>
      <c r="B2757" s="19" t="n"/>
      <c r="D2757" s="16" t="n"/>
      <c r="E2757" s="19" t="n"/>
      <c r="G2757" s="16" t="n"/>
      <c r="H2757" s="19" t="n"/>
      <c r="J2757" s="16" t="n"/>
      <c r="K2757" s="19" t="n"/>
      <c r="M2757" s="16" t="n"/>
      <c r="N2757" s="19" t="n"/>
    </row>
    <row r="2758">
      <c r="A2758" s="16" t="n"/>
      <c r="B2758" s="19" t="n"/>
      <c r="D2758" s="16" t="n"/>
      <c r="E2758" s="19" t="n"/>
      <c r="G2758" s="16" t="n"/>
      <c r="H2758" s="19" t="n"/>
      <c r="J2758" s="16" t="n"/>
      <c r="K2758" s="19" t="n"/>
      <c r="M2758" s="16" t="n"/>
      <c r="N2758" s="19" t="n"/>
    </row>
    <row r="2759">
      <c r="A2759" s="16" t="n"/>
      <c r="B2759" s="19" t="n"/>
      <c r="D2759" s="16" t="n"/>
      <c r="E2759" s="19" t="n"/>
      <c r="G2759" s="16" t="n"/>
      <c r="H2759" s="19" t="n"/>
      <c r="J2759" s="16" t="n"/>
      <c r="K2759" s="19" t="n"/>
      <c r="M2759" s="16" t="n"/>
      <c r="N2759" s="19" t="n"/>
    </row>
    <row r="2760">
      <c r="A2760" s="16" t="n"/>
      <c r="B2760" s="19" t="n"/>
      <c r="D2760" s="16" t="n"/>
      <c r="E2760" s="19" t="n"/>
      <c r="G2760" s="16" t="n"/>
      <c r="H2760" s="19" t="n"/>
      <c r="J2760" s="16" t="n"/>
      <c r="K2760" s="19" t="n"/>
      <c r="M2760" s="16" t="n"/>
      <c r="N2760" s="19" t="n"/>
    </row>
    <row r="2761">
      <c r="A2761" s="16" t="n"/>
      <c r="B2761" s="19" t="n"/>
      <c r="D2761" s="16" t="n"/>
      <c r="E2761" s="19" t="n"/>
      <c r="G2761" s="16" t="n"/>
      <c r="H2761" s="19" t="n"/>
      <c r="J2761" s="16" t="n"/>
      <c r="K2761" s="19" t="n"/>
      <c r="M2761" s="16" t="n"/>
      <c r="N2761" s="19" t="n"/>
    </row>
    <row r="2762">
      <c r="A2762" s="16" t="n"/>
      <c r="B2762" s="19" t="n"/>
      <c r="D2762" s="16" t="n"/>
      <c r="E2762" s="19" t="n"/>
      <c r="G2762" s="16" t="n"/>
      <c r="H2762" s="19" t="n"/>
      <c r="J2762" s="16" t="n"/>
      <c r="K2762" s="19" t="n"/>
      <c r="M2762" s="16" t="n"/>
      <c r="N2762" s="19" t="n"/>
    </row>
    <row r="2763">
      <c r="A2763" s="16" t="n"/>
      <c r="B2763" s="19" t="n"/>
      <c r="D2763" s="16" t="n"/>
      <c r="E2763" s="19" t="n"/>
      <c r="G2763" s="16" t="n"/>
      <c r="H2763" s="19" t="n"/>
      <c r="J2763" s="16" t="n"/>
      <c r="K2763" s="19" t="n"/>
      <c r="M2763" s="16" t="n"/>
      <c r="N2763" s="19" t="n"/>
    </row>
    <row r="2764">
      <c r="A2764" s="16" t="n"/>
      <c r="B2764" s="19" t="n"/>
      <c r="D2764" s="16" t="n"/>
      <c r="E2764" s="19" t="n"/>
      <c r="G2764" s="16" t="n"/>
      <c r="H2764" s="19" t="n"/>
      <c r="J2764" s="16" t="n"/>
      <c r="K2764" s="19" t="n"/>
      <c r="M2764" s="16" t="n"/>
      <c r="N2764" s="19" t="n"/>
    </row>
    <row r="2765">
      <c r="A2765" s="16" t="n"/>
      <c r="B2765" s="19" t="n"/>
      <c r="D2765" s="16" t="n"/>
      <c r="E2765" s="19" t="n"/>
      <c r="G2765" s="16" t="n"/>
      <c r="H2765" s="19" t="n"/>
      <c r="J2765" s="16" t="n"/>
      <c r="K2765" s="19" t="n"/>
      <c r="M2765" s="16" t="n"/>
      <c r="N2765" s="19" t="n"/>
    </row>
    <row r="2766">
      <c r="A2766" s="16" t="n"/>
      <c r="B2766" s="19" t="n"/>
      <c r="D2766" s="16" t="n"/>
      <c r="E2766" s="19" t="n"/>
      <c r="G2766" s="16" t="n"/>
      <c r="H2766" s="19" t="n"/>
      <c r="J2766" s="16" t="n"/>
      <c r="K2766" s="19" t="n"/>
      <c r="M2766" s="16" t="n"/>
      <c r="N2766" s="19" t="n"/>
    </row>
    <row r="2767">
      <c r="A2767" s="16" t="n"/>
      <c r="B2767" s="19" t="n"/>
      <c r="D2767" s="16" t="n"/>
      <c r="E2767" s="19" t="n"/>
      <c r="G2767" s="16" t="n"/>
      <c r="H2767" s="19" t="n"/>
      <c r="J2767" s="16" t="n"/>
      <c r="K2767" s="19" t="n"/>
      <c r="M2767" s="16" t="n"/>
      <c r="N2767" s="19" t="n"/>
    </row>
    <row r="2768">
      <c r="A2768" s="16" t="n"/>
      <c r="B2768" s="19" t="n"/>
      <c r="D2768" s="16" t="n"/>
      <c r="E2768" s="19" t="n"/>
      <c r="G2768" s="16" t="n"/>
      <c r="H2768" s="19" t="n"/>
      <c r="J2768" s="16" t="n"/>
      <c r="K2768" s="19" t="n"/>
      <c r="M2768" s="16" t="n"/>
      <c r="N2768" s="19" t="n"/>
    </row>
    <row r="2769">
      <c r="A2769" s="16" t="n"/>
      <c r="B2769" s="19" t="n"/>
      <c r="D2769" s="16" t="n"/>
      <c r="E2769" s="19" t="n"/>
      <c r="G2769" s="16" t="n"/>
      <c r="H2769" s="19" t="n"/>
      <c r="J2769" s="16" t="n"/>
      <c r="K2769" s="19" t="n"/>
      <c r="M2769" s="16" t="n"/>
      <c r="N2769" s="19" t="n"/>
    </row>
    <row r="2770">
      <c r="A2770" s="16" t="n"/>
      <c r="B2770" s="19" t="n"/>
      <c r="D2770" s="16" t="n"/>
      <c r="E2770" s="19" t="n"/>
      <c r="G2770" s="16" t="n"/>
      <c r="H2770" s="19" t="n"/>
      <c r="J2770" s="16" t="n"/>
      <c r="K2770" s="19" t="n"/>
      <c r="M2770" s="16" t="n"/>
      <c r="N2770" s="19" t="n"/>
    </row>
    <row r="2771">
      <c r="A2771" s="16" t="n"/>
      <c r="B2771" s="19" t="n"/>
      <c r="D2771" s="16" t="n"/>
      <c r="E2771" s="19" t="n"/>
      <c r="G2771" s="16" t="n"/>
      <c r="H2771" s="19" t="n"/>
      <c r="J2771" s="16" t="n"/>
      <c r="K2771" s="19" t="n"/>
      <c r="M2771" s="16" t="n"/>
      <c r="N2771" s="19" t="n"/>
    </row>
    <row r="2772">
      <c r="A2772" s="16" t="n"/>
      <c r="B2772" s="19" t="n"/>
      <c r="D2772" s="16" t="n"/>
      <c r="E2772" s="19" t="n"/>
      <c r="G2772" s="16" t="n"/>
      <c r="H2772" s="19" t="n"/>
      <c r="J2772" s="16" t="n"/>
      <c r="K2772" s="19" t="n"/>
      <c r="M2772" s="16" t="n"/>
      <c r="N2772" s="19" t="n"/>
    </row>
    <row r="2773">
      <c r="A2773" s="16" t="n"/>
      <c r="B2773" s="19" t="n"/>
      <c r="D2773" s="16" t="n"/>
      <c r="E2773" s="19" t="n"/>
      <c r="G2773" s="16" t="n"/>
      <c r="H2773" s="19" t="n"/>
      <c r="J2773" s="16" t="n"/>
      <c r="K2773" s="19" t="n"/>
      <c r="M2773" s="16" t="n"/>
      <c r="N2773" s="19" t="n"/>
    </row>
    <row r="2774">
      <c r="A2774" s="16" t="n"/>
      <c r="B2774" s="19" t="n"/>
      <c r="D2774" s="16" t="n"/>
      <c r="E2774" s="19" t="n"/>
      <c r="G2774" s="16" t="n"/>
      <c r="H2774" s="19" t="n"/>
      <c r="J2774" s="16" t="n"/>
      <c r="K2774" s="19" t="n"/>
      <c r="M2774" s="16" t="n"/>
      <c r="N2774" s="19" t="n"/>
    </row>
    <row r="2775">
      <c r="A2775" s="16" t="n"/>
      <c r="B2775" s="19" t="n"/>
      <c r="D2775" s="16" t="n"/>
      <c r="E2775" s="19" t="n"/>
      <c r="G2775" s="16" t="n"/>
      <c r="H2775" s="19" t="n"/>
      <c r="J2775" s="16" t="n"/>
      <c r="K2775" s="19" t="n"/>
      <c r="M2775" s="16" t="n"/>
      <c r="N2775" s="19" t="n"/>
    </row>
    <row r="2776">
      <c r="A2776" s="16" t="n"/>
      <c r="B2776" s="19" t="n"/>
      <c r="D2776" s="16" t="n"/>
      <c r="E2776" s="19" t="n"/>
      <c r="G2776" s="16" t="n"/>
      <c r="H2776" s="19" t="n"/>
      <c r="J2776" s="16" t="n"/>
      <c r="K2776" s="19" t="n"/>
      <c r="M2776" s="16" t="n"/>
      <c r="N2776" s="19" t="n"/>
    </row>
    <row r="2777">
      <c r="A2777" s="16" t="n"/>
      <c r="B2777" s="19" t="n"/>
      <c r="D2777" s="16" t="n"/>
      <c r="E2777" s="19" t="n"/>
      <c r="G2777" s="16" t="n"/>
      <c r="H2777" s="19" t="n"/>
      <c r="J2777" s="16" t="n"/>
      <c r="K2777" s="19" t="n"/>
      <c r="M2777" s="16" t="n"/>
      <c r="N2777" s="19" t="n"/>
    </row>
    <row r="2778">
      <c r="A2778" s="16" t="n"/>
      <c r="B2778" s="19" t="n"/>
      <c r="D2778" s="16" t="n"/>
      <c r="E2778" s="19" t="n"/>
      <c r="G2778" s="16" t="n"/>
      <c r="H2778" s="19" t="n"/>
      <c r="J2778" s="16" t="n"/>
      <c r="K2778" s="19" t="n"/>
      <c r="M2778" s="16" t="n"/>
      <c r="N2778" s="19" t="n"/>
    </row>
    <row r="2779">
      <c r="A2779" s="16" t="n"/>
      <c r="B2779" s="19" t="n"/>
      <c r="D2779" s="16" t="n"/>
      <c r="E2779" s="19" t="n"/>
      <c r="G2779" s="16" t="n"/>
      <c r="H2779" s="19" t="n"/>
      <c r="J2779" s="16" t="n"/>
      <c r="K2779" s="19" t="n"/>
      <c r="M2779" s="16" t="n"/>
      <c r="N2779" s="19" t="n"/>
    </row>
    <row r="2780">
      <c r="A2780" s="16" t="n"/>
      <c r="B2780" s="19" t="n"/>
      <c r="D2780" s="16" t="n"/>
      <c r="E2780" s="19" t="n"/>
      <c r="G2780" s="16" t="n"/>
      <c r="H2780" s="19" t="n"/>
      <c r="J2780" s="16" t="n"/>
      <c r="K2780" s="19" t="n"/>
      <c r="M2780" s="16" t="n"/>
      <c r="N2780" s="19" t="n"/>
    </row>
    <row r="2781">
      <c r="A2781" s="16" t="n"/>
      <c r="B2781" s="19" t="n"/>
      <c r="D2781" s="16" t="n"/>
      <c r="E2781" s="19" t="n"/>
      <c r="G2781" s="16" t="n"/>
      <c r="H2781" s="19" t="n"/>
      <c r="J2781" s="16" t="n"/>
      <c r="K2781" s="19" t="n"/>
      <c r="M2781" s="16" t="n"/>
      <c r="N2781" s="19" t="n"/>
    </row>
    <row r="2782">
      <c r="A2782" s="16" t="n"/>
      <c r="B2782" s="19" t="n"/>
      <c r="D2782" s="16" t="n"/>
      <c r="E2782" s="19" t="n"/>
      <c r="G2782" s="16" t="n"/>
      <c r="H2782" s="19" t="n"/>
      <c r="J2782" s="16" t="n"/>
      <c r="K2782" s="19" t="n"/>
      <c r="M2782" s="16" t="n"/>
      <c r="N2782" s="19" t="n"/>
    </row>
    <row r="2783">
      <c r="A2783" s="16" t="n"/>
      <c r="B2783" s="19" t="n"/>
      <c r="D2783" s="16" t="n"/>
      <c r="E2783" s="19" t="n"/>
      <c r="G2783" s="16" t="n"/>
      <c r="H2783" s="19" t="n"/>
      <c r="J2783" s="16" t="n"/>
      <c r="K2783" s="19" t="n"/>
      <c r="M2783" s="16" t="n"/>
      <c r="N2783" s="19" t="n"/>
    </row>
    <row r="2784">
      <c r="A2784" s="16" t="n"/>
      <c r="B2784" s="19" t="n"/>
      <c r="D2784" s="16" t="n"/>
      <c r="E2784" s="19" t="n"/>
      <c r="G2784" s="16" t="n"/>
      <c r="H2784" s="19" t="n"/>
      <c r="J2784" s="16" t="n"/>
      <c r="K2784" s="19" t="n"/>
      <c r="M2784" s="16" t="n"/>
      <c r="N2784" s="19" t="n"/>
    </row>
    <row r="2785">
      <c r="A2785" s="16" t="n"/>
      <c r="B2785" s="19" t="n"/>
      <c r="D2785" s="16" t="n"/>
      <c r="E2785" s="19" t="n"/>
      <c r="G2785" s="16" t="n"/>
      <c r="H2785" s="19" t="n"/>
      <c r="J2785" s="16" t="n"/>
      <c r="K2785" s="19" t="n"/>
      <c r="M2785" s="16" t="n"/>
      <c r="N2785" s="19" t="n"/>
    </row>
    <row r="2786">
      <c r="A2786" s="16" t="n"/>
      <c r="B2786" s="19" t="n"/>
      <c r="D2786" s="16" t="n"/>
      <c r="E2786" s="19" t="n"/>
      <c r="G2786" s="16" t="n"/>
      <c r="H2786" s="19" t="n"/>
      <c r="J2786" s="16" t="n"/>
      <c r="K2786" s="19" t="n"/>
      <c r="M2786" s="16" t="n"/>
      <c r="N2786" s="19" t="n"/>
    </row>
    <row r="2787">
      <c r="A2787" s="16" t="n"/>
      <c r="B2787" s="19" t="n"/>
      <c r="D2787" s="16" t="n"/>
      <c r="E2787" s="19" t="n"/>
      <c r="G2787" s="16" t="n"/>
      <c r="H2787" s="19" t="n"/>
      <c r="J2787" s="16" t="n"/>
      <c r="K2787" s="19" t="n"/>
      <c r="M2787" s="16" t="n"/>
      <c r="N2787" s="19" t="n"/>
    </row>
    <row r="2788">
      <c r="A2788" s="16" t="n"/>
      <c r="B2788" s="19" t="n"/>
      <c r="D2788" s="16" t="n"/>
      <c r="E2788" s="19" t="n"/>
      <c r="G2788" s="16" t="n"/>
      <c r="H2788" s="19" t="n"/>
      <c r="J2788" s="16" t="n"/>
      <c r="K2788" s="19" t="n"/>
      <c r="M2788" s="16" t="n"/>
      <c r="N2788" s="19" t="n"/>
    </row>
    <row r="2789">
      <c r="A2789" s="16" t="n"/>
      <c r="B2789" s="19" t="n"/>
      <c r="D2789" s="16" t="n"/>
      <c r="E2789" s="19" t="n"/>
      <c r="G2789" s="16" t="n"/>
      <c r="H2789" s="19" t="n"/>
      <c r="J2789" s="16" t="n"/>
      <c r="K2789" s="19" t="n"/>
      <c r="M2789" s="16" t="n"/>
      <c r="N2789" s="19" t="n"/>
    </row>
    <row r="2790">
      <c r="A2790" s="16" t="n"/>
      <c r="B2790" s="19" t="n"/>
      <c r="D2790" s="16" t="n"/>
      <c r="E2790" s="19" t="n"/>
      <c r="G2790" s="16" t="n"/>
      <c r="H2790" s="19" t="n"/>
      <c r="J2790" s="16" t="n"/>
      <c r="K2790" s="19" t="n"/>
      <c r="M2790" s="16" t="n"/>
      <c r="N2790" s="19" t="n"/>
    </row>
    <row r="2791">
      <c r="A2791" s="16" t="n"/>
      <c r="B2791" s="19" t="n"/>
      <c r="D2791" s="16" t="n"/>
      <c r="E2791" s="19" t="n"/>
      <c r="G2791" s="16" t="n"/>
      <c r="H2791" s="19" t="n"/>
      <c r="J2791" s="16" t="n"/>
      <c r="K2791" s="19" t="n"/>
      <c r="M2791" s="16" t="n"/>
      <c r="N2791" s="19" t="n"/>
    </row>
    <row r="2792">
      <c r="A2792" s="16" t="n"/>
      <c r="B2792" s="19" t="n"/>
      <c r="D2792" s="16" t="n"/>
      <c r="E2792" s="19" t="n"/>
      <c r="G2792" s="16" t="n"/>
      <c r="H2792" s="19" t="n"/>
      <c r="J2792" s="16" t="n"/>
      <c r="K2792" s="19" t="n"/>
      <c r="M2792" s="16" t="n"/>
      <c r="N2792" s="19" t="n"/>
    </row>
    <row r="2793">
      <c r="A2793" s="16" t="n"/>
      <c r="B2793" s="19" t="n"/>
      <c r="D2793" s="16" t="n"/>
      <c r="E2793" s="19" t="n"/>
      <c r="G2793" s="16" t="n"/>
      <c r="H2793" s="19" t="n"/>
      <c r="J2793" s="16" t="n"/>
      <c r="K2793" s="19" t="n"/>
      <c r="M2793" s="16" t="n"/>
      <c r="N2793" s="19" t="n"/>
    </row>
    <row r="2794">
      <c r="A2794" s="16" t="n"/>
      <c r="B2794" s="19" t="n"/>
      <c r="D2794" s="16" t="n"/>
      <c r="E2794" s="19" t="n"/>
      <c r="G2794" s="16" t="n"/>
      <c r="H2794" s="19" t="n"/>
      <c r="J2794" s="16" t="n"/>
      <c r="K2794" s="19" t="n"/>
      <c r="M2794" s="16" t="n"/>
      <c r="N2794" s="19" t="n"/>
    </row>
    <row r="2795">
      <c r="A2795" s="16" t="n"/>
      <c r="B2795" s="19" t="n"/>
      <c r="D2795" s="16" t="n"/>
      <c r="E2795" s="19" t="n"/>
      <c r="G2795" s="16" t="n"/>
      <c r="H2795" s="19" t="n"/>
      <c r="J2795" s="16" t="n"/>
      <c r="K2795" s="19" t="n"/>
      <c r="M2795" s="16" t="n"/>
      <c r="N2795" s="19" t="n"/>
    </row>
    <row r="2796">
      <c r="A2796" s="16" t="n"/>
      <c r="B2796" s="19" t="n"/>
      <c r="D2796" s="16" t="n"/>
      <c r="E2796" s="19" t="n"/>
      <c r="G2796" s="16" t="n"/>
      <c r="H2796" s="19" t="n"/>
      <c r="J2796" s="16" t="n"/>
      <c r="K2796" s="19" t="n"/>
      <c r="M2796" s="16" t="n"/>
      <c r="N2796" s="19" t="n"/>
    </row>
    <row r="2797">
      <c r="A2797" s="16" t="n"/>
      <c r="B2797" s="19" t="n"/>
      <c r="D2797" s="16" t="n"/>
      <c r="E2797" s="19" t="n"/>
      <c r="G2797" s="16" t="n"/>
      <c r="H2797" s="19" t="n"/>
      <c r="J2797" s="16" t="n"/>
      <c r="K2797" s="19" t="n"/>
      <c r="M2797" s="16" t="n"/>
      <c r="N2797" s="19" t="n"/>
    </row>
    <row r="2798">
      <c r="A2798" s="16" t="n"/>
      <c r="B2798" s="19" t="n"/>
      <c r="D2798" s="16" t="n"/>
      <c r="E2798" s="19" t="n"/>
      <c r="G2798" s="16" t="n"/>
      <c r="H2798" s="19" t="n"/>
      <c r="J2798" s="16" t="n"/>
      <c r="K2798" s="19" t="n"/>
      <c r="M2798" s="16" t="n"/>
      <c r="N2798" s="19" t="n"/>
    </row>
    <row r="2799">
      <c r="A2799" s="16" t="n"/>
      <c r="B2799" s="19" t="n"/>
      <c r="D2799" s="16" t="n"/>
      <c r="E2799" s="19" t="n"/>
      <c r="G2799" s="16" t="n"/>
      <c r="H2799" s="19" t="n"/>
      <c r="J2799" s="16" t="n"/>
      <c r="K2799" s="19" t="n"/>
      <c r="M2799" s="16" t="n"/>
      <c r="N2799" s="19" t="n"/>
    </row>
    <row r="2800">
      <c r="A2800" s="16" t="n"/>
      <c r="B2800" s="19" t="n"/>
      <c r="D2800" s="16" t="n"/>
      <c r="E2800" s="19" t="n"/>
      <c r="G2800" s="16" t="n"/>
      <c r="H2800" s="19" t="n"/>
      <c r="J2800" s="16" t="n"/>
      <c r="K2800" s="19" t="n"/>
      <c r="M2800" s="16" t="n"/>
      <c r="N2800" s="19" t="n"/>
    </row>
    <row r="2801">
      <c r="A2801" s="16" t="n"/>
      <c r="B2801" s="19" t="n"/>
      <c r="D2801" s="16" t="n"/>
      <c r="E2801" s="19" t="n"/>
      <c r="G2801" s="16" t="n"/>
      <c r="H2801" s="19" t="n"/>
      <c r="J2801" s="16" t="n"/>
      <c r="K2801" s="19" t="n"/>
      <c r="M2801" s="16" t="n"/>
      <c r="N2801" s="19" t="n"/>
    </row>
    <row r="2802">
      <c r="A2802" s="16" t="n"/>
      <c r="B2802" s="19" t="n"/>
      <c r="D2802" s="16" t="n"/>
      <c r="E2802" s="19" t="n"/>
      <c r="G2802" s="16" t="n"/>
      <c r="H2802" s="19" t="n"/>
      <c r="J2802" s="16" t="n"/>
      <c r="K2802" s="19" t="n"/>
      <c r="M2802" s="16" t="n"/>
      <c r="N2802" s="19" t="n"/>
    </row>
    <row r="2803">
      <c r="A2803" s="16" t="n"/>
      <c r="B2803" s="19" t="n"/>
      <c r="D2803" s="16" t="n"/>
      <c r="E2803" s="19" t="n"/>
      <c r="G2803" s="16" t="n"/>
      <c r="H2803" s="19" t="n"/>
      <c r="J2803" s="16" t="n"/>
      <c r="K2803" s="19" t="n"/>
      <c r="M2803" s="16" t="n"/>
      <c r="N2803" s="19" t="n"/>
    </row>
    <row r="2804">
      <c r="A2804" s="16" t="n"/>
      <c r="B2804" s="19" t="n"/>
      <c r="D2804" s="16" t="n"/>
      <c r="E2804" s="19" t="n"/>
      <c r="G2804" s="16" t="n"/>
      <c r="H2804" s="19" t="n"/>
      <c r="J2804" s="16" t="n"/>
      <c r="K2804" s="19" t="n"/>
      <c r="M2804" s="16" t="n"/>
      <c r="N2804" s="19" t="n"/>
    </row>
    <row r="2805">
      <c r="A2805" s="16" t="n"/>
      <c r="B2805" s="19" t="n"/>
      <c r="D2805" s="16" t="n"/>
      <c r="E2805" s="19" t="n"/>
      <c r="G2805" s="16" t="n"/>
      <c r="H2805" s="19" t="n"/>
      <c r="J2805" s="16" t="n"/>
      <c r="K2805" s="19" t="n"/>
      <c r="M2805" s="16" t="n"/>
      <c r="N2805" s="19" t="n"/>
    </row>
    <row r="2806">
      <c r="A2806" s="16" t="n"/>
      <c r="B2806" s="19" t="n"/>
      <c r="D2806" s="16" t="n"/>
      <c r="E2806" s="19" t="n"/>
      <c r="G2806" s="16" t="n"/>
      <c r="H2806" s="19" t="n"/>
      <c r="J2806" s="16" t="n"/>
      <c r="K2806" s="19" t="n"/>
      <c r="M2806" s="16" t="n"/>
      <c r="N2806" s="19" t="n"/>
    </row>
    <row r="2807">
      <c r="A2807" s="16" t="n"/>
      <c r="B2807" s="19" t="n"/>
      <c r="D2807" s="16" t="n"/>
      <c r="E2807" s="19" t="n"/>
      <c r="G2807" s="16" t="n"/>
      <c r="H2807" s="19" t="n"/>
      <c r="J2807" s="16" t="n"/>
      <c r="K2807" s="19" t="n"/>
      <c r="M2807" s="16" t="n"/>
      <c r="N2807" s="19" t="n"/>
    </row>
    <row r="2808">
      <c r="A2808" s="16" t="n"/>
      <c r="B2808" s="19" t="n"/>
      <c r="D2808" s="16" t="n"/>
      <c r="E2808" s="19" t="n"/>
      <c r="G2808" s="16" t="n"/>
      <c r="H2808" s="19" t="n"/>
      <c r="J2808" s="16" t="n"/>
      <c r="K2808" s="19" t="n"/>
      <c r="M2808" s="16" t="n"/>
      <c r="N2808" s="19" t="n"/>
    </row>
    <row r="2809">
      <c r="A2809" s="16" t="n"/>
      <c r="B2809" s="19" t="n"/>
      <c r="D2809" s="16" t="n"/>
      <c r="E2809" s="19" t="n"/>
      <c r="G2809" s="16" t="n"/>
      <c r="H2809" s="19" t="n"/>
      <c r="J2809" s="16" t="n"/>
      <c r="K2809" s="19" t="n"/>
      <c r="M2809" s="16" t="n"/>
      <c r="N2809" s="19" t="n"/>
    </row>
    <row r="2810">
      <c r="A2810" s="16" t="n"/>
      <c r="B2810" s="19" t="n"/>
      <c r="D2810" s="16" t="n"/>
      <c r="E2810" s="19" t="n"/>
      <c r="G2810" s="16" t="n"/>
      <c r="H2810" s="19" t="n"/>
      <c r="J2810" s="16" t="n"/>
      <c r="K2810" s="19" t="n"/>
      <c r="M2810" s="16" t="n"/>
      <c r="N2810" s="19" t="n"/>
    </row>
    <row r="2811">
      <c r="A2811" s="16" t="n"/>
      <c r="B2811" s="19" t="n"/>
      <c r="D2811" s="16" t="n"/>
      <c r="E2811" s="19" t="n"/>
      <c r="G2811" s="16" t="n"/>
      <c r="H2811" s="19" t="n"/>
      <c r="J2811" s="16" t="n"/>
      <c r="K2811" s="19" t="n"/>
      <c r="M2811" s="16" t="n"/>
      <c r="N2811" s="19" t="n"/>
    </row>
    <row r="2812">
      <c r="A2812" s="16" t="n"/>
      <c r="B2812" s="19" t="n"/>
      <c r="D2812" s="16" t="n"/>
      <c r="E2812" s="19" t="n"/>
      <c r="G2812" s="16" t="n"/>
      <c r="H2812" s="19" t="n"/>
      <c r="J2812" s="16" t="n"/>
      <c r="K2812" s="19" t="n"/>
      <c r="M2812" s="16" t="n"/>
      <c r="N2812" s="19" t="n"/>
    </row>
    <row r="2813">
      <c r="A2813" s="16" t="n"/>
      <c r="B2813" s="19" t="n"/>
      <c r="D2813" s="16" t="n"/>
      <c r="E2813" s="19" t="n"/>
      <c r="G2813" s="16" t="n"/>
      <c r="H2813" s="19" t="n"/>
      <c r="J2813" s="16" t="n"/>
      <c r="K2813" s="19" t="n"/>
      <c r="M2813" s="16" t="n"/>
      <c r="N2813" s="19" t="n"/>
    </row>
    <row r="2814">
      <c r="A2814" s="16" t="n"/>
      <c r="B2814" s="19" t="n"/>
      <c r="D2814" s="16" t="n"/>
      <c r="E2814" s="19" t="n"/>
      <c r="G2814" s="16" t="n"/>
      <c r="H2814" s="19" t="n"/>
      <c r="J2814" s="16" t="n"/>
      <c r="K2814" s="19" t="n"/>
      <c r="M2814" s="16" t="n"/>
      <c r="N2814" s="19" t="n"/>
    </row>
    <row r="2815">
      <c r="A2815" s="16" t="n"/>
      <c r="B2815" s="19" t="n"/>
      <c r="D2815" s="16" t="n"/>
      <c r="E2815" s="19" t="n"/>
      <c r="G2815" s="16" t="n"/>
      <c r="H2815" s="19" t="n"/>
      <c r="J2815" s="16" t="n"/>
      <c r="K2815" s="19" t="n"/>
      <c r="M2815" s="16" t="n"/>
      <c r="N2815" s="19" t="n"/>
    </row>
    <row r="2816">
      <c r="A2816" s="16" t="n"/>
      <c r="B2816" s="19" t="n"/>
      <c r="D2816" s="16" t="n"/>
      <c r="E2816" s="19" t="n"/>
      <c r="G2816" s="16" t="n"/>
      <c r="H2816" s="19" t="n"/>
      <c r="J2816" s="16" t="n"/>
      <c r="K2816" s="19" t="n"/>
      <c r="M2816" s="16" t="n"/>
      <c r="N2816" s="19" t="n"/>
    </row>
    <row r="2817">
      <c r="A2817" s="16" t="n"/>
      <c r="B2817" s="19" t="n"/>
      <c r="D2817" s="16" t="n"/>
      <c r="E2817" s="19" t="n"/>
      <c r="G2817" s="16" t="n"/>
      <c r="H2817" s="19" t="n"/>
      <c r="J2817" s="16" t="n"/>
      <c r="K2817" s="19" t="n"/>
      <c r="M2817" s="16" t="n"/>
      <c r="N2817" s="19" t="n"/>
    </row>
    <row r="2818">
      <c r="A2818" s="16" t="n"/>
      <c r="B2818" s="19" t="n"/>
      <c r="D2818" s="16" t="n"/>
      <c r="E2818" s="19" t="n"/>
      <c r="G2818" s="16" t="n"/>
      <c r="H2818" s="19" t="n"/>
      <c r="J2818" s="16" t="n"/>
      <c r="K2818" s="19" t="n"/>
      <c r="M2818" s="16" t="n"/>
      <c r="N2818" s="19" t="n"/>
    </row>
    <row r="2819">
      <c r="A2819" s="16" t="n"/>
      <c r="B2819" s="19" t="n"/>
      <c r="D2819" s="16" t="n"/>
      <c r="E2819" s="19" t="n"/>
      <c r="G2819" s="16" t="n"/>
      <c r="H2819" s="19" t="n"/>
      <c r="J2819" s="16" t="n"/>
      <c r="K2819" s="19" t="n"/>
      <c r="M2819" s="16" t="n"/>
      <c r="N2819" s="19" t="n"/>
    </row>
    <row r="2820">
      <c r="A2820" s="16" t="n"/>
      <c r="B2820" s="19" t="n"/>
      <c r="D2820" s="16" t="n"/>
      <c r="E2820" s="19" t="n"/>
      <c r="G2820" s="16" t="n"/>
      <c r="H2820" s="19" t="n"/>
      <c r="J2820" s="16" t="n"/>
      <c r="K2820" s="19" t="n"/>
      <c r="M2820" s="16" t="n"/>
      <c r="N2820" s="19" t="n"/>
    </row>
    <row r="2821">
      <c r="A2821" s="16" t="n"/>
      <c r="B2821" s="19" t="n"/>
      <c r="D2821" s="16" t="n"/>
      <c r="E2821" s="19" t="n"/>
      <c r="G2821" s="16" t="n"/>
      <c r="H2821" s="19" t="n"/>
      <c r="J2821" s="16" t="n"/>
      <c r="K2821" s="19" t="n"/>
      <c r="M2821" s="16" t="n"/>
      <c r="N2821" s="19" t="n"/>
    </row>
    <row r="2822">
      <c r="A2822" s="16" t="n"/>
      <c r="B2822" s="19" t="n"/>
      <c r="D2822" s="16" t="n"/>
      <c r="E2822" s="19" t="n"/>
      <c r="G2822" s="16" t="n"/>
      <c r="H2822" s="19" t="n"/>
      <c r="J2822" s="16" t="n"/>
      <c r="K2822" s="19" t="n"/>
      <c r="M2822" s="16" t="n"/>
      <c r="N2822" s="19" t="n"/>
    </row>
    <row r="2823">
      <c r="A2823" s="16" t="n"/>
      <c r="B2823" s="19" t="n"/>
      <c r="D2823" s="16" t="n"/>
      <c r="E2823" s="19" t="n"/>
      <c r="G2823" s="16" t="n"/>
      <c r="H2823" s="19" t="n"/>
      <c r="J2823" s="16" t="n"/>
      <c r="K2823" s="19" t="n"/>
      <c r="M2823" s="16" t="n"/>
      <c r="N2823" s="19" t="n"/>
    </row>
    <row r="2824">
      <c r="A2824" s="16" t="n"/>
      <c r="B2824" s="19" t="n"/>
      <c r="D2824" s="16" t="n"/>
      <c r="E2824" s="19" t="n"/>
      <c r="G2824" s="16" t="n"/>
      <c r="H2824" s="19" t="n"/>
      <c r="J2824" s="16" t="n"/>
      <c r="K2824" s="19" t="n"/>
      <c r="M2824" s="16" t="n"/>
      <c r="N2824" s="19" t="n"/>
    </row>
    <row r="2825">
      <c r="A2825" s="16" t="n"/>
      <c r="B2825" s="19" t="n"/>
      <c r="D2825" s="16" t="n"/>
      <c r="E2825" s="19" t="n"/>
      <c r="G2825" s="16" t="n"/>
      <c r="H2825" s="19" t="n"/>
      <c r="J2825" s="16" t="n"/>
      <c r="K2825" s="19" t="n"/>
      <c r="M2825" s="16" t="n"/>
      <c r="N2825" s="19" t="n"/>
    </row>
    <row r="2826">
      <c r="A2826" s="16" t="n"/>
      <c r="B2826" s="19" t="n"/>
      <c r="D2826" s="16" t="n"/>
      <c r="E2826" s="19" t="n"/>
      <c r="G2826" s="16" t="n"/>
      <c r="H2826" s="19" t="n"/>
      <c r="J2826" s="16" t="n"/>
      <c r="K2826" s="19" t="n"/>
      <c r="M2826" s="16" t="n"/>
      <c r="N2826" s="19" t="n"/>
    </row>
    <row r="2827">
      <c r="A2827" s="16" t="n"/>
      <c r="B2827" s="19" t="n"/>
      <c r="D2827" s="16" t="n"/>
      <c r="E2827" s="19" t="n"/>
      <c r="G2827" s="16" t="n"/>
      <c r="H2827" s="19" t="n"/>
      <c r="J2827" s="16" t="n"/>
      <c r="K2827" s="19" t="n"/>
      <c r="M2827" s="16" t="n"/>
      <c r="N2827" s="19" t="n"/>
    </row>
    <row r="2828">
      <c r="A2828" s="16" t="n"/>
      <c r="B2828" s="19" t="n"/>
      <c r="D2828" s="16" t="n"/>
      <c r="E2828" s="19" t="n"/>
      <c r="G2828" s="16" t="n"/>
      <c r="H2828" s="19" t="n"/>
      <c r="J2828" s="16" t="n"/>
      <c r="K2828" s="19" t="n"/>
      <c r="M2828" s="16" t="n"/>
      <c r="N2828" s="19" t="n"/>
    </row>
    <row r="2829">
      <c r="A2829" s="16" t="n"/>
      <c r="B2829" s="19" t="n"/>
      <c r="D2829" s="16" t="n"/>
      <c r="E2829" s="19" t="n"/>
      <c r="G2829" s="16" t="n"/>
      <c r="H2829" s="19" t="n"/>
      <c r="J2829" s="16" t="n"/>
      <c r="K2829" s="19" t="n"/>
      <c r="M2829" s="16" t="n"/>
      <c r="N2829" s="19" t="n"/>
    </row>
    <row r="2830">
      <c r="A2830" s="16" t="n"/>
      <c r="B2830" s="19" t="n"/>
      <c r="D2830" s="16" t="n"/>
      <c r="E2830" s="19" t="n"/>
      <c r="G2830" s="16" t="n"/>
      <c r="H2830" s="19" t="n"/>
      <c r="J2830" s="16" t="n"/>
      <c r="K2830" s="19" t="n"/>
      <c r="M2830" s="16" t="n"/>
      <c r="N2830" s="19" t="n"/>
    </row>
    <row r="2831">
      <c r="A2831" s="16" t="n"/>
      <c r="B2831" s="19" t="n"/>
      <c r="D2831" s="16" t="n"/>
      <c r="E2831" s="19" t="n"/>
      <c r="G2831" s="16" t="n"/>
      <c r="H2831" s="19" t="n"/>
      <c r="J2831" s="16" t="n"/>
      <c r="K2831" s="19" t="n"/>
      <c r="M2831" s="16" t="n"/>
      <c r="N2831" s="19" t="n"/>
    </row>
    <row r="2832">
      <c r="A2832" s="16" t="n"/>
      <c r="B2832" s="19" t="n"/>
      <c r="D2832" s="16" t="n"/>
      <c r="E2832" s="19" t="n"/>
      <c r="G2832" s="16" t="n"/>
      <c r="H2832" s="19" t="n"/>
      <c r="J2832" s="16" t="n"/>
      <c r="K2832" s="19" t="n"/>
      <c r="M2832" s="16" t="n"/>
      <c r="N2832" s="19" t="n"/>
    </row>
    <row r="2833">
      <c r="A2833" s="16" t="n"/>
      <c r="B2833" s="19" t="n"/>
      <c r="D2833" s="16" t="n"/>
      <c r="E2833" s="19" t="n"/>
      <c r="G2833" s="16" t="n"/>
      <c r="H2833" s="19" t="n"/>
      <c r="J2833" s="16" t="n"/>
      <c r="K2833" s="19" t="n"/>
      <c r="M2833" s="16" t="n"/>
      <c r="N2833" s="19" t="n"/>
    </row>
    <row r="2834">
      <c r="A2834" s="16" t="n"/>
      <c r="B2834" s="19" t="n"/>
      <c r="D2834" s="16" t="n"/>
      <c r="E2834" s="19" t="n"/>
      <c r="G2834" s="16" t="n"/>
      <c r="H2834" s="19" t="n"/>
      <c r="J2834" s="16" t="n"/>
      <c r="K2834" s="19" t="n"/>
      <c r="M2834" s="16" t="n"/>
      <c r="N2834" s="19" t="n"/>
    </row>
    <row r="2835">
      <c r="A2835" s="16" t="n"/>
      <c r="B2835" s="19" t="n"/>
      <c r="D2835" s="16" t="n"/>
      <c r="E2835" s="19" t="n"/>
      <c r="G2835" s="16" t="n"/>
      <c r="H2835" s="19" t="n"/>
      <c r="J2835" s="16" t="n"/>
      <c r="K2835" s="19" t="n"/>
      <c r="M2835" s="16" t="n"/>
      <c r="N2835" s="19" t="n"/>
    </row>
    <row r="2836">
      <c r="A2836" s="16" t="n"/>
      <c r="B2836" s="19" t="n"/>
      <c r="D2836" s="16" t="n"/>
      <c r="E2836" s="19" t="n"/>
      <c r="G2836" s="16" t="n"/>
      <c r="H2836" s="19" t="n"/>
      <c r="J2836" s="16" t="n"/>
      <c r="K2836" s="19" t="n"/>
      <c r="M2836" s="16" t="n"/>
      <c r="N2836" s="19" t="n"/>
    </row>
    <row r="2837">
      <c r="A2837" s="16" t="n"/>
      <c r="B2837" s="19" t="n"/>
      <c r="D2837" s="16" t="n"/>
      <c r="E2837" s="19" t="n"/>
      <c r="G2837" s="16" t="n"/>
      <c r="H2837" s="19" t="n"/>
      <c r="J2837" s="16" t="n"/>
      <c r="K2837" s="19" t="n"/>
      <c r="M2837" s="16" t="n"/>
      <c r="N2837" s="19" t="n"/>
    </row>
    <row r="2838">
      <c r="A2838" s="16" t="n"/>
      <c r="B2838" s="19" t="n"/>
      <c r="D2838" s="16" t="n"/>
      <c r="E2838" s="19" t="n"/>
      <c r="G2838" s="16" t="n"/>
      <c r="H2838" s="19" t="n"/>
      <c r="J2838" s="16" t="n"/>
      <c r="K2838" s="19" t="n"/>
      <c r="M2838" s="16" t="n"/>
      <c r="N2838" s="19" t="n"/>
    </row>
    <row r="2839">
      <c r="A2839" s="16" t="n"/>
      <c r="B2839" s="19" t="n"/>
      <c r="D2839" s="16" t="n"/>
      <c r="E2839" s="19" t="n"/>
      <c r="G2839" s="16" t="n"/>
      <c r="H2839" s="19" t="n"/>
      <c r="J2839" s="16" t="n"/>
      <c r="K2839" s="19" t="n"/>
      <c r="M2839" s="16" t="n"/>
      <c r="N2839" s="19" t="n"/>
    </row>
    <row r="2840">
      <c r="A2840" s="16" t="n"/>
      <c r="B2840" s="19" t="n"/>
      <c r="D2840" s="16" t="n"/>
      <c r="E2840" s="19" t="n"/>
      <c r="G2840" s="16" t="n"/>
      <c r="H2840" s="19" t="n"/>
      <c r="J2840" s="16" t="n"/>
      <c r="K2840" s="19" t="n"/>
      <c r="M2840" s="16" t="n"/>
      <c r="N2840" s="19" t="n"/>
    </row>
    <row r="2841">
      <c r="A2841" s="16" t="n"/>
      <c r="B2841" s="19" t="n"/>
      <c r="D2841" s="16" t="n"/>
      <c r="E2841" s="19" t="n"/>
      <c r="G2841" s="16" t="n"/>
      <c r="H2841" s="19" t="n"/>
      <c r="J2841" s="16" t="n"/>
      <c r="K2841" s="19" t="n"/>
      <c r="M2841" s="16" t="n"/>
      <c r="N2841" s="19" t="n"/>
    </row>
    <row r="2842">
      <c r="A2842" s="16" t="n"/>
      <c r="B2842" s="19" t="n"/>
      <c r="D2842" s="16" t="n"/>
      <c r="E2842" s="19" t="n"/>
      <c r="G2842" s="16" t="n"/>
      <c r="H2842" s="19" t="n"/>
      <c r="J2842" s="16" t="n"/>
      <c r="K2842" s="19" t="n"/>
      <c r="M2842" s="16" t="n"/>
      <c r="N2842" s="19" t="n"/>
    </row>
    <row r="2843">
      <c r="A2843" s="16" t="n"/>
      <c r="B2843" s="19" t="n"/>
      <c r="D2843" s="16" t="n"/>
      <c r="E2843" s="19" t="n"/>
      <c r="G2843" s="16" t="n"/>
      <c r="H2843" s="19" t="n"/>
      <c r="J2843" s="16" t="n"/>
      <c r="K2843" s="19" t="n"/>
      <c r="M2843" s="16" t="n"/>
      <c r="N2843" s="19" t="n"/>
    </row>
    <row r="2844">
      <c r="A2844" s="16" t="n"/>
      <c r="B2844" s="19" t="n"/>
      <c r="D2844" s="16" t="n"/>
      <c r="E2844" s="19" t="n"/>
      <c r="G2844" s="16" t="n"/>
      <c r="H2844" s="19" t="n"/>
      <c r="J2844" s="16" t="n"/>
      <c r="K2844" s="19" t="n"/>
      <c r="M2844" s="16" t="n"/>
      <c r="N2844" s="19" t="n"/>
    </row>
    <row r="2845">
      <c r="A2845" s="16" t="n"/>
      <c r="B2845" s="19" t="n"/>
      <c r="D2845" s="16" t="n"/>
      <c r="E2845" s="19" t="n"/>
      <c r="G2845" s="16" t="n"/>
      <c r="H2845" s="19" t="n"/>
      <c r="J2845" s="16" t="n"/>
      <c r="K2845" s="19" t="n"/>
      <c r="M2845" s="16" t="n"/>
      <c r="N2845" s="19" t="n"/>
    </row>
    <row r="2846">
      <c r="A2846" s="16" t="n"/>
      <c r="B2846" s="19" t="n"/>
      <c r="D2846" s="16" t="n"/>
      <c r="E2846" s="19" t="n"/>
      <c r="G2846" s="16" t="n"/>
      <c r="H2846" s="19" t="n"/>
      <c r="J2846" s="16" t="n"/>
      <c r="K2846" s="19" t="n"/>
      <c r="M2846" s="16" t="n"/>
      <c r="N2846" s="19" t="n"/>
    </row>
    <row r="2847">
      <c r="A2847" s="16" t="n"/>
      <c r="B2847" s="19" t="n"/>
      <c r="D2847" s="16" t="n"/>
      <c r="E2847" s="19" t="n"/>
      <c r="G2847" s="16" t="n"/>
      <c r="H2847" s="19" t="n"/>
      <c r="J2847" s="16" t="n"/>
      <c r="K2847" s="19" t="n"/>
      <c r="M2847" s="16" t="n"/>
      <c r="N2847" s="19" t="n"/>
    </row>
    <row r="2848">
      <c r="A2848" s="16" t="n"/>
      <c r="B2848" s="19" t="n"/>
      <c r="D2848" s="16" t="n"/>
      <c r="E2848" s="19" t="n"/>
      <c r="G2848" s="16" t="n"/>
      <c r="H2848" s="19" t="n"/>
      <c r="J2848" s="16" t="n"/>
      <c r="K2848" s="19" t="n"/>
      <c r="M2848" s="16" t="n"/>
      <c r="N2848" s="19" t="n"/>
    </row>
    <row r="2849">
      <c r="A2849" s="16" t="n"/>
      <c r="B2849" s="19" t="n"/>
      <c r="D2849" s="16" t="n"/>
      <c r="E2849" s="19" t="n"/>
      <c r="G2849" s="16" t="n"/>
      <c r="H2849" s="19" t="n"/>
      <c r="J2849" s="16" t="n"/>
      <c r="K2849" s="19" t="n"/>
      <c r="M2849" s="16" t="n"/>
      <c r="N2849" s="19" t="n"/>
    </row>
    <row r="2850">
      <c r="A2850" s="16" t="n"/>
      <c r="B2850" s="19" t="n"/>
      <c r="D2850" s="16" t="n"/>
      <c r="E2850" s="19" t="n"/>
      <c r="G2850" s="16" t="n"/>
      <c r="H2850" s="19" t="n"/>
      <c r="J2850" s="16" t="n"/>
      <c r="K2850" s="19" t="n"/>
      <c r="M2850" s="16" t="n"/>
      <c r="N2850" s="19" t="n"/>
    </row>
    <row r="2851">
      <c r="A2851" s="16" t="n"/>
      <c r="B2851" s="19" t="n"/>
      <c r="D2851" s="16" t="n"/>
      <c r="E2851" s="19" t="n"/>
      <c r="G2851" s="16" t="n"/>
      <c r="H2851" s="19" t="n"/>
      <c r="J2851" s="16" t="n"/>
      <c r="K2851" s="19" t="n"/>
      <c r="M2851" s="16" t="n"/>
      <c r="N2851" s="19" t="n"/>
    </row>
    <row r="2852">
      <c r="A2852" s="16" t="n"/>
      <c r="B2852" s="19" t="n"/>
      <c r="D2852" s="16" t="n"/>
      <c r="E2852" s="19" t="n"/>
      <c r="G2852" s="16" t="n"/>
      <c r="H2852" s="19" t="n"/>
      <c r="J2852" s="16" t="n"/>
      <c r="K2852" s="19" t="n"/>
      <c r="M2852" s="16" t="n"/>
      <c r="N2852" s="19" t="n"/>
    </row>
    <row r="2853">
      <c r="A2853" s="16" t="n"/>
      <c r="B2853" s="19" t="n"/>
      <c r="D2853" s="16" t="n"/>
      <c r="E2853" s="19" t="n"/>
      <c r="G2853" s="16" t="n"/>
      <c r="H2853" s="19" t="n"/>
      <c r="J2853" s="16" t="n"/>
      <c r="K2853" s="19" t="n"/>
      <c r="M2853" s="16" t="n"/>
      <c r="N2853" s="19" t="n"/>
    </row>
    <row r="2854">
      <c r="A2854" s="16" t="n"/>
      <c r="B2854" s="19" t="n"/>
      <c r="D2854" s="16" t="n"/>
      <c r="E2854" s="19" t="n"/>
      <c r="G2854" s="16" t="n"/>
      <c r="H2854" s="19" t="n"/>
      <c r="J2854" s="16" t="n"/>
      <c r="K2854" s="19" t="n"/>
      <c r="M2854" s="16" t="n"/>
      <c r="N2854" s="19" t="n"/>
    </row>
    <row r="2855">
      <c r="A2855" s="16" t="n"/>
      <c r="B2855" s="19" t="n"/>
      <c r="D2855" s="16" t="n"/>
      <c r="E2855" s="19" t="n"/>
      <c r="G2855" s="16" t="n"/>
      <c r="H2855" s="19" t="n"/>
      <c r="J2855" s="16" t="n"/>
      <c r="K2855" s="19" t="n"/>
      <c r="M2855" s="16" t="n"/>
      <c r="N2855" s="19" t="n"/>
    </row>
    <row r="2856">
      <c r="A2856" s="16" t="n"/>
      <c r="B2856" s="19" t="n"/>
      <c r="D2856" s="16" t="n"/>
      <c r="E2856" s="19" t="n"/>
      <c r="G2856" s="16" t="n"/>
      <c r="H2856" s="19" t="n"/>
      <c r="J2856" s="16" t="n"/>
      <c r="K2856" s="19" t="n"/>
      <c r="M2856" s="16" t="n"/>
      <c r="N2856" s="19" t="n"/>
    </row>
    <row r="2857">
      <c r="A2857" s="16" t="n"/>
      <c r="B2857" s="19" t="n"/>
      <c r="D2857" s="16" t="n"/>
      <c r="E2857" s="19" t="n"/>
      <c r="G2857" s="16" t="n"/>
      <c r="H2857" s="19" t="n"/>
      <c r="J2857" s="16" t="n"/>
      <c r="K2857" s="19" t="n"/>
      <c r="M2857" s="16" t="n"/>
      <c r="N2857" s="19" t="n"/>
    </row>
    <row r="2858">
      <c r="A2858" s="16" t="n"/>
      <c r="B2858" s="19" t="n"/>
      <c r="D2858" s="16" t="n"/>
      <c r="E2858" s="19" t="n"/>
      <c r="G2858" s="16" t="n"/>
      <c r="H2858" s="19" t="n"/>
      <c r="J2858" s="16" t="n"/>
      <c r="K2858" s="19" t="n"/>
      <c r="M2858" s="16" t="n"/>
      <c r="N2858" s="19" t="n"/>
    </row>
    <row r="2859">
      <c r="A2859" s="16" t="n"/>
      <c r="B2859" s="19" t="n"/>
      <c r="D2859" s="16" t="n"/>
      <c r="E2859" s="19" t="n"/>
      <c r="G2859" s="16" t="n"/>
      <c r="H2859" s="19" t="n"/>
      <c r="J2859" s="16" t="n"/>
      <c r="K2859" s="19" t="n"/>
      <c r="M2859" s="16" t="n"/>
      <c r="N2859" s="19" t="n"/>
    </row>
    <row r="2860">
      <c r="A2860" s="16" t="n"/>
      <c r="B2860" s="19" t="n"/>
      <c r="D2860" s="16" t="n"/>
      <c r="E2860" s="19" t="n"/>
      <c r="G2860" s="16" t="n"/>
      <c r="H2860" s="19" t="n"/>
      <c r="J2860" s="16" t="n"/>
      <c r="K2860" s="19" t="n"/>
      <c r="M2860" s="16" t="n"/>
      <c r="N2860" s="19" t="n"/>
    </row>
    <row r="2861">
      <c r="A2861" s="16" t="n"/>
      <c r="B2861" s="19" t="n"/>
      <c r="D2861" s="16" t="n"/>
      <c r="E2861" s="19" t="n"/>
      <c r="G2861" s="16" t="n"/>
      <c r="H2861" s="19" t="n"/>
      <c r="J2861" s="16" t="n"/>
      <c r="K2861" s="19" t="n"/>
      <c r="M2861" s="16" t="n"/>
      <c r="N2861" s="19" t="n"/>
    </row>
    <row r="2862">
      <c r="A2862" s="16" t="n"/>
      <c r="B2862" s="19" t="n"/>
      <c r="D2862" s="16" t="n"/>
      <c r="E2862" s="19" t="n"/>
      <c r="G2862" s="16" t="n"/>
      <c r="H2862" s="19" t="n"/>
      <c r="J2862" s="16" t="n"/>
      <c r="K2862" s="19" t="n"/>
      <c r="M2862" s="16" t="n"/>
      <c r="N2862" s="19" t="n"/>
    </row>
    <row r="2863">
      <c r="A2863" s="16" t="n"/>
      <c r="B2863" s="19" t="n"/>
      <c r="D2863" s="16" t="n"/>
      <c r="E2863" s="19" t="n"/>
      <c r="G2863" s="16" t="n"/>
      <c r="H2863" s="19" t="n"/>
      <c r="J2863" s="16" t="n"/>
      <c r="K2863" s="19" t="n"/>
      <c r="M2863" s="16" t="n"/>
      <c r="N2863" s="19" t="n"/>
    </row>
    <row r="2864">
      <c r="A2864" s="16" t="n"/>
      <c r="B2864" s="19" t="n"/>
      <c r="D2864" s="16" t="n"/>
      <c r="E2864" s="19" t="n"/>
      <c r="G2864" s="16" t="n"/>
      <c r="H2864" s="19" t="n"/>
      <c r="J2864" s="16" t="n"/>
      <c r="K2864" s="19" t="n"/>
      <c r="M2864" s="16" t="n"/>
      <c r="N2864" s="19" t="n"/>
    </row>
    <row r="2865">
      <c r="A2865" s="16" t="n"/>
      <c r="B2865" s="19" t="n"/>
      <c r="D2865" s="16" t="n"/>
      <c r="E2865" s="19" t="n"/>
      <c r="G2865" s="16" t="n"/>
      <c r="H2865" s="19" t="n"/>
      <c r="J2865" s="16" t="n"/>
      <c r="K2865" s="19" t="n"/>
      <c r="M2865" s="16" t="n"/>
      <c r="N2865" s="19" t="n"/>
    </row>
    <row r="2866">
      <c r="A2866" s="16" t="n"/>
      <c r="B2866" s="19" t="n"/>
      <c r="D2866" s="16" t="n"/>
      <c r="E2866" s="19" t="n"/>
      <c r="G2866" s="16" t="n"/>
      <c r="H2866" s="19" t="n"/>
      <c r="J2866" s="16" t="n"/>
      <c r="K2866" s="19" t="n"/>
      <c r="M2866" s="16" t="n"/>
      <c r="N2866" s="19" t="n"/>
    </row>
    <row r="2867">
      <c r="A2867" s="16" t="n"/>
      <c r="B2867" s="19" t="n"/>
      <c r="D2867" s="16" t="n"/>
      <c r="E2867" s="19" t="n"/>
      <c r="G2867" s="16" t="n"/>
      <c r="H2867" s="19" t="n"/>
      <c r="J2867" s="16" t="n"/>
      <c r="K2867" s="19" t="n"/>
      <c r="M2867" s="16" t="n"/>
      <c r="N2867" s="19" t="n"/>
    </row>
    <row r="2868">
      <c r="A2868" s="16" t="n"/>
      <c r="B2868" s="19" t="n"/>
      <c r="D2868" s="16" t="n"/>
      <c r="E2868" s="19" t="n"/>
      <c r="G2868" s="16" t="n"/>
      <c r="H2868" s="19" t="n"/>
      <c r="J2868" s="16" t="n"/>
      <c r="K2868" s="19" t="n"/>
      <c r="M2868" s="16" t="n"/>
      <c r="N2868" s="19" t="n"/>
    </row>
    <row r="2869">
      <c r="A2869" s="16" t="n"/>
      <c r="B2869" s="19" t="n"/>
      <c r="D2869" s="16" t="n"/>
      <c r="E2869" s="19" t="n"/>
      <c r="G2869" s="16" t="n"/>
      <c r="H2869" s="19" t="n"/>
      <c r="J2869" s="16" t="n"/>
      <c r="K2869" s="19" t="n"/>
      <c r="M2869" s="16" t="n"/>
      <c r="N2869" s="19" t="n"/>
    </row>
    <row r="2870">
      <c r="A2870" s="16" t="n"/>
      <c r="B2870" s="19" t="n"/>
      <c r="D2870" s="16" t="n"/>
      <c r="E2870" s="19" t="n"/>
      <c r="G2870" s="16" t="n"/>
      <c r="H2870" s="19" t="n"/>
      <c r="J2870" s="16" t="n"/>
      <c r="K2870" s="19" t="n"/>
      <c r="M2870" s="16" t="n"/>
      <c r="N2870" s="19" t="n"/>
    </row>
    <row r="2871">
      <c r="A2871" s="16" t="n"/>
      <c r="B2871" s="19" t="n"/>
      <c r="D2871" s="16" t="n"/>
      <c r="E2871" s="19" t="n"/>
      <c r="G2871" s="16" t="n"/>
      <c r="H2871" s="19" t="n"/>
      <c r="J2871" s="16" t="n"/>
      <c r="K2871" s="19" t="n"/>
      <c r="M2871" s="16" t="n"/>
      <c r="N2871" s="19" t="n"/>
    </row>
    <row r="2872">
      <c r="A2872" s="16" t="n"/>
      <c r="B2872" s="19" t="n"/>
      <c r="D2872" s="16" t="n"/>
      <c r="E2872" s="19" t="n"/>
      <c r="G2872" s="16" t="n"/>
      <c r="H2872" s="19" t="n"/>
      <c r="J2872" s="16" t="n"/>
      <c r="K2872" s="19" t="n"/>
      <c r="M2872" s="16" t="n"/>
      <c r="N2872" s="19" t="n"/>
    </row>
    <row r="2873">
      <c r="A2873" s="16" t="n"/>
      <c r="B2873" s="19" t="n"/>
      <c r="D2873" s="16" t="n"/>
      <c r="E2873" s="19" t="n"/>
      <c r="G2873" s="16" t="n"/>
      <c r="H2873" s="19" t="n"/>
      <c r="J2873" s="16" t="n"/>
      <c r="K2873" s="19" t="n"/>
      <c r="M2873" s="16" t="n"/>
      <c r="N2873" s="19" t="n"/>
    </row>
    <row r="2874">
      <c r="A2874" s="16" t="n"/>
      <c r="B2874" s="19" t="n"/>
      <c r="D2874" s="16" t="n"/>
      <c r="E2874" s="19" t="n"/>
      <c r="G2874" s="16" t="n"/>
      <c r="H2874" s="19" t="n"/>
      <c r="J2874" s="16" t="n"/>
      <c r="K2874" s="19" t="n"/>
      <c r="M2874" s="16" t="n"/>
      <c r="N2874" s="19" t="n"/>
    </row>
    <row r="2875">
      <c r="A2875" s="16" t="n"/>
      <c r="B2875" s="19" t="n"/>
      <c r="D2875" s="16" t="n"/>
      <c r="E2875" s="19" t="n"/>
      <c r="G2875" s="16" t="n"/>
      <c r="H2875" s="19" t="n"/>
      <c r="J2875" s="16" t="n"/>
      <c r="K2875" s="19" t="n"/>
      <c r="M2875" s="16" t="n"/>
      <c r="N2875" s="19" t="n"/>
    </row>
    <row r="2876">
      <c r="A2876" s="16" t="n"/>
      <c r="B2876" s="19" t="n"/>
      <c r="D2876" s="16" t="n"/>
      <c r="E2876" s="19" t="n"/>
      <c r="G2876" s="16" t="n"/>
      <c r="H2876" s="19" t="n"/>
      <c r="J2876" s="16" t="n"/>
      <c r="K2876" s="19" t="n"/>
      <c r="M2876" s="16" t="n"/>
      <c r="N2876" s="19" t="n"/>
    </row>
    <row r="2877">
      <c r="A2877" s="16" t="n"/>
      <c r="B2877" s="19" t="n"/>
      <c r="D2877" s="16" t="n"/>
      <c r="E2877" s="19" t="n"/>
      <c r="G2877" s="16" t="n"/>
      <c r="H2877" s="19" t="n"/>
      <c r="J2877" s="16" t="n"/>
      <c r="K2877" s="19" t="n"/>
      <c r="M2877" s="16" t="n"/>
      <c r="N2877" s="19" t="n"/>
    </row>
    <row r="2878">
      <c r="A2878" s="16" t="n"/>
      <c r="B2878" s="19" t="n"/>
      <c r="D2878" s="16" t="n"/>
      <c r="E2878" s="19" t="n"/>
      <c r="G2878" s="16" t="n"/>
      <c r="H2878" s="19" t="n"/>
      <c r="J2878" s="16" t="n"/>
      <c r="K2878" s="19" t="n"/>
      <c r="M2878" s="16" t="n"/>
      <c r="N2878" s="19" t="n"/>
    </row>
    <row r="2879">
      <c r="A2879" s="16" t="n"/>
      <c r="B2879" s="19" t="n"/>
      <c r="D2879" s="16" t="n"/>
      <c r="E2879" s="19" t="n"/>
      <c r="G2879" s="16" t="n"/>
      <c r="H2879" s="19" t="n"/>
      <c r="J2879" s="16" t="n"/>
      <c r="K2879" s="19" t="n"/>
      <c r="M2879" s="16" t="n"/>
      <c r="N2879" s="19" t="n"/>
    </row>
    <row r="2880">
      <c r="A2880" s="16" t="n"/>
      <c r="B2880" s="19" t="n"/>
      <c r="D2880" s="16" t="n"/>
      <c r="E2880" s="19" t="n"/>
      <c r="G2880" s="16" t="n"/>
      <c r="H2880" s="19" t="n"/>
      <c r="J2880" s="16" t="n"/>
      <c r="K2880" s="19" t="n"/>
      <c r="M2880" s="16" t="n"/>
      <c r="N2880" s="19" t="n"/>
    </row>
    <row r="2881">
      <c r="A2881" s="16" t="n"/>
      <c r="B2881" s="19" t="n"/>
      <c r="D2881" s="16" t="n"/>
      <c r="E2881" s="19" t="n"/>
      <c r="G2881" s="16" t="n"/>
      <c r="H2881" s="19" t="n"/>
      <c r="J2881" s="16" t="n"/>
      <c r="K2881" s="19" t="n"/>
      <c r="M2881" s="16" t="n"/>
      <c r="N2881" s="19" t="n"/>
    </row>
    <row r="2882">
      <c r="A2882" s="16" t="n"/>
      <c r="B2882" s="19" t="n"/>
      <c r="D2882" s="16" t="n"/>
      <c r="E2882" s="19" t="n"/>
      <c r="G2882" s="16" t="n"/>
      <c r="H2882" s="19" t="n"/>
      <c r="J2882" s="16" t="n"/>
      <c r="K2882" s="19" t="n"/>
      <c r="M2882" s="16" t="n"/>
      <c r="N2882" s="19" t="n"/>
    </row>
    <row r="2883">
      <c r="A2883" s="16" t="n"/>
      <c r="B2883" s="19" t="n"/>
      <c r="D2883" s="16" t="n"/>
      <c r="E2883" s="19" t="n"/>
      <c r="G2883" s="16" t="n"/>
      <c r="H2883" s="19" t="n"/>
      <c r="J2883" s="16" t="n"/>
      <c r="K2883" s="19" t="n"/>
      <c r="M2883" s="16" t="n"/>
      <c r="N2883" s="19" t="n"/>
    </row>
    <row r="2884">
      <c r="A2884" s="16" t="n"/>
      <c r="B2884" s="19" t="n"/>
      <c r="D2884" s="16" t="n"/>
      <c r="E2884" s="19" t="n"/>
      <c r="G2884" s="16" t="n"/>
      <c r="H2884" s="19" t="n"/>
      <c r="J2884" s="16" t="n"/>
      <c r="K2884" s="19" t="n"/>
      <c r="M2884" s="16" t="n"/>
      <c r="N2884" s="19" t="n"/>
    </row>
    <row r="2885">
      <c r="A2885" s="16" t="n"/>
      <c r="B2885" s="19" t="n"/>
      <c r="D2885" s="16" t="n"/>
      <c r="E2885" s="19" t="n"/>
      <c r="G2885" s="16" t="n"/>
      <c r="H2885" s="19" t="n"/>
      <c r="J2885" s="16" t="n"/>
      <c r="K2885" s="19" t="n"/>
      <c r="M2885" s="16" t="n"/>
      <c r="N2885" s="19" t="n"/>
    </row>
    <row r="2886">
      <c r="A2886" s="16" t="n"/>
      <c r="B2886" s="19" t="n"/>
      <c r="D2886" s="16" t="n"/>
      <c r="E2886" s="19" t="n"/>
      <c r="G2886" s="16" t="n"/>
      <c r="H2886" s="19" t="n"/>
      <c r="J2886" s="16" t="n"/>
      <c r="K2886" s="19" t="n"/>
      <c r="M2886" s="16" t="n"/>
      <c r="N2886" s="19" t="n"/>
    </row>
    <row r="2887">
      <c r="A2887" s="16" t="n"/>
      <c r="B2887" s="19" t="n"/>
      <c r="D2887" s="16" t="n"/>
      <c r="E2887" s="19" t="n"/>
      <c r="G2887" s="16" t="n"/>
      <c r="H2887" s="19" t="n"/>
      <c r="J2887" s="16" t="n"/>
      <c r="K2887" s="19" t="n"/>
      <c r="M2887" s="16" t="n"/>
      <c r="N2887" s="19" t="n"/>
    </row>
    <row r="2888">
      <c r="A2888" s="16" t="n"/>
      <c r="B2888" s="19" t="n"/>
      <c r="D2888" s="16" t="n"/>
      <c r="E2888" s="19" t="n"/>
      <c r="G2888" s="16" t="n"/>
      <c r="H2888" s="19" t="n"/>
      <c r="J2888" s="16" t="n"/>
      <c r="K2888" s="19" t="n"/>
      <c r="M2888" s="16" t="n"/>
      <c r="N2888" s="19" t="n"/>
    </row>
    <row r="2889">
      <c r="A2889" s="16" t="n"/>
      <c r="B2889" s="19" t="n"/>
      <c r="D2889" s="16" t="n"/>
      <c r="E2889" s="19" t="n"/>
      <c r="G2889" s="16" t="n"/>
      <c r="H2889" s="19" t="n"/>
      <c r="J2889" s="16" t="n"/>
      <c r="K2889" s="19" t="n"/>
      <c r="M2889" s="16" t="n"/>
      <c r="N2889" s="19" t="n"/>
    </row>
    <row r="2890">
      <c r="A2890" s="16" t="n"/>
      <c r="B2890" s="19" t="n"/>
      <c r="D2890" s="16" t="n"/>
      <c r="E2890" s="19" t="n"/>
      <c r="G2890" s="16" t="n"/>
      <c r="H2890" s="19" t="n"/>
      <c r="J2890" s="16" t="n"/>
      <c r="K2890" s="19" t="n"/>
      <c r="M2890" s="16" t="n"/>
      <c r="N2890" s="19" t="n"/>
    </row>
    <row r="2891">
      <c r="A2891" s="16" t="n"/>
      <c r="B2891" s="19" t="n"/>
      <c r="D2891" s="16" t="n"/>
      <c r="E2891" s="19" t="n"/>
      <c r="G2891" s="16" t="n"/>
      <c r="H2891" s="19" t="n"/>
      <c r="J2891" s="16" t="n"/>
      <c r="K2891" s="19" t="n"/>
      <c r="M2891" s="16" t="n"/>
      <c r="N2891" s="19" t="n"/>
    </row>
    <row r="2892">
      <c r="A2892" s="16" t="n"/>
      <c r="B2892" s="19" t="n"/>
      <c r="D2892" s="16" t="n"/>
      <c r="E2892" s="19" t="n"/>
      <c r="G2892" s="16" t="n"/>
      <c r="H2892" s="19" t="n"/>
      <c r="J2892" s="16" t="n"/>
      <c r="K2892" s="19" t="n"/>
      <c r="M2892" s="16" t="n"/>
      <c r="N2892" s="19" t="n"/>
    </row>
    <row r="2893">
      <c r="A2893" s="16" t="n"/>
      <c r="B2893" s="19" t="n"/>
      <c r="D2893" s="16" t="n"/>
      <c r="E2893" s="19" t="n"/>
      <c r="G2893" s="16" t="n"/>
      <c r="H2893" s="19" t="n"/>
      <c r="J2893" s="16" t="n"/>
      <c r="K2893" s="19" t="n"/>
      <c r="M2893" s="16" t="n"/>
      <c r="N2893" s="19" t="n"/>
    </row>
    <row r="2894">
      <c r="A2894" s="16" t="n"/>
      <c r="B2894" s="19" t="n"/>
      <c r="D2894" s="16" t="n"/>
      <c r="E2894" s="19" t="n"/>
      <c r="G2894" s="16" t="n"/>
      <c r="H2894" s="19" t="n"/>
      <c r="J2894" s="16" t="n"/>
      <c r="K2894" s="19" t="n"/>
      <c r="M2894" s="16" t="n"/>
      <c r="N2894" s="19" t="n"/>
    </row>
    <row r="2895">
      <c r="A2895" s="16" t="n"/>
      <c r="B2895" s="19" t="n"/>
      <c r="D2895" s="16" t="n"/>
      <c r="E2895" s="19" t="n"/>
      <c r="G2895" s="16" t="n"/>
      <c r="H2895" s="19" t="n"/>
      <c r="J2895" s="16" t="n"/>
      <c r="K2895" s="19" t="n"/>
      <c r="M2895" s="16" t="n"/>
      <c r="N2895" s="19" t="n"/>
    </row>
    <row r="2896">
      <c r="A2896" s="16" t="n"/>
      <c r="B2896" s="19" t="n"/>
      <c r="D2896" s="16" t="n"/>
      <c r="E2896" s="19" t="n"/>
      <c r="G2896" s="16" t="n"/>
      <c r="H2896" s="19" t="n"/>
      <c r="J2896" s="16" t="n"/>
      <c r="K2896" s="19" t="n"/>
      <c r="M2896" s="16" t="n"/>
      <c r="N2896" s="19" t="n"/>
    </row>
    <row r="2897">
      <c r="A2897" s="16" t="n"/>
      <c r="B2897" s="19" t="n"/>
      <c r="D2897" s="16" t="n"/>
      <c r="E2897" s="19" t="n"/>
      <c r="G2897" s="16" t="n"/>
      <c r="H2897" s="19" t="n"/>
      <c r="J2897" s="16" t="n"/>
      <c r="K2897" s="19" t="n"/>
      <c r="M2897" s="16" t="n"/>
      <c r="N2897" s="19" t="n"/>
    </row>
    <row r="2898">
      <c r="A2898" s="16" t="n"/>
      <c r="B2898" s="19" t="n"/>
      <c r="D2898" s="16" t="n"/>
      <c r="E2898" s="19" t="n"/>
      <c r="G2898" s="16" t="n"/>
      <c r="H2898" s="19" t="n"/>
      <c r="J2898" s="16" t="n"/>
      <c r="K2898" s="19" t="n"/>
      <c r="M2898" s="16" t="n"/>
      <c r="N2898" s="19" t="n"/>
    </row>
    <row r="2899">
      <c r="A2899" s="16" t="n"/>
      <c r="B2899" s="19" t="n"/>
      <c r="D2899" s="16" t="n"/>
      <c r="E2899" s="19" t="n"/>
      <c r="G2899" s="16" t="n"/>
      <c r="H2899" s="19" t="n"/>
      <c r="J2899" s="16" t="n"/>
      <c r="K2899" s="19" t="n"/>
      <c r="M2899" s="16" t="n"/>
      <c r="N2899" s="19" t="n"/>
    </row>
    <row r="2900">
      <c r="A2900" s="16" t="n"/>
      <c r="B2900" s="19" t="n"/>
      <c r="D2900" s="16" t="n"/>
      <c r="E2900" s="19" t="n"/>
      <c r="G2900" s="16" t="n"/>
      <c r="H2900" s="19" t="n"/>
      <c r="J2900" s="16" t="n"/>
      <c r="K2900" s="19" t="n"/>
      <c r="M2900" s="16" t="n"/>
      <c r="N2900" s="19" t="n"/>
    </row>
    <row r="2901">
      <c r="A2901" s="16" t="n"/>
      <c r="B2901" s="19" t="n"/>
      <c r="D2901" s="16" t="n"/>
      <c r="E2901" s="19" t="n"/>
      <c r="G2901" s="16" t="n"/>
      <c r="H2901" s="19" t="n"/>
      <c r="J2901" s="16" t="n"/>
      <c r="K2901" s="19" t="n"/>
      <c r="M2901" s="16" t="n"/>
      <c r="N2901" s="19" t="n"/>
    </row>
    <row r="2902">
      <c r="A2902" s="16" t="n"/>
      <c r="B2902" s="19" t="n"/>
      <c r="D2902" s="16" t="n"/>
      <c r="E2902" s="19" t="n"/>
      <c r="G2902" s="16" t="n"/>
      <c r="H2902" s="19" t="n"/>
      <c r="J2902" s="16" t="n"/>
      <c r="K2902" s="19" t="n"/>
      <c r="M2902" s="16" t="n"/>
      <c r="N2902" s="19" t="n"/>
    </row>
    <row r="2903">
      <c r="A2903" s="16" t="n"/>
      <c r="B2903" s="19" t="n"/>
      <c r="D2903" s="16" t="n"/>
      <c r="E2903" s="19" t="n"/>
      <c r="G2903" s="16" t="n"/>
      <c r="H2903" s="19" t="n"/>
      <c r="J2903" s="16" t="n"/>
      <c r="K2903" s="19" t="n"/>
      <c r="M2903" s="16" t="n"/>
      <c r="N2903" s="19" t="n"/>
    </row>
    <row r="2904">
      <c r="A2904" s="16" t="n"/>
      <c r="B2904" s="19" t="n"/>
      <c r="D2904" s="16" t="n"/>
      <c r="E2904" s="19" t="n"/>
      <c r="G2904" s="16" t="n"/>
      <c r="H2904" s="19" t="n"/>
      <c r="J2904" s="16" t="n"/>
      <c r="K2904" s="19" t="n"/>
      <c r="M2904" s="16" t="n"/>
      <c r="N2904" s="19" t="n"/>
    </row>
    <row r="2905">
      <c r="A2905" s="16" t="n"/>
      <c r="B2905" s="19" t="n"/>
      <c r="D2905" s="16" t="n"/>
      <c r="E2905" s="19" t="n"/>
      <c r="G2905" s="16" t="n"/>
      <c r="H2905" s="19" t="n"/>
      <c r="J2905" s="16" t="n"/>
      <c r="K2905" s="19" t="n"/>
      <c r="M2905" s="16" t="n"/>
      <c r="N2905" s="19" t="n"/>
    </row>
    <row r="2906">
      <c r="A2906" s="16" t="n"/>
      <c r="B2906" s="19" t="n"/>
      <c r="D2906" s="16" t="n"/>
      <c r="E2906" s="19" t="n"/>
      <c r="G2906" s="16" t="n"/>
      <c r="H2906" s="19" t="n"/>
      <c r="J2906" s="16" t="n"/>
      <c r="K2906" s="19" t="n"/>
      <c r="M2906" s="16" t="n"/>
      <c r="N2906" s="19" t="n"/>
    </row>
    <row r="2907">
      <c r="A2907" s="16" t="n"/>
      <c r="B2907" s="19" t="n"/>
      <c r="D2907" s="16" t="n"/>
      <c r="E2907" s="19" t="n"/>
      <c r="G2907" s="16" t="n"/>
      <c r="H2907" s="19" t="n"/>
      <c r="J2907" s="16" t="n"/>
      <c r="K2907" s="19" t="n"/>
      <c r="M2907" s="16" t="n"/>
      <c r="N2907" s="19" t="n"/>
    </row>
    <row r="2908">
      <c r="A2908" s="16" t="n"/>
      <c r="B2908" s="19" t="n"/>
      <c r="D2908" s="16" t="n"/>
      <c r="E2908" s="19" t="n"/>
      <c r="G2908" s="16" t="n"/>
      <c r="H2908" s="19" t="n"/>
      <c r="J2908" s="16" t="n"/>
      <c r="K2908" s="19" t="n"/>
      <c r="M2908" s="16" t="n"/>
      <c r="N2908" s="19" t="n"/>
    </row>
    <row r="2909">
      <c r="A2909" s="16" t="n"/>
      <c r="B2909" s="19" t="n"/>
      <c r="D2909" s="16" t="n"/>
      <c r="E2909" s="19" t="n"/>
      <c r="G2909" s="16" t="n"/>
      <c r="H2909" s="19" t="n"/>
      <c r="J2909" s="16" t="n"/>
      <c r="K2909" s="19" t="n"/>
      <c r="M2909" s="16" t="n"/>
      <c r="N2909" s="19" t="n"/>
    </row>
    <row r="2910">
      <c r="A2910" s="16" t="n"/>
      <c r="B2910" s="19" t="n"/>
      <c r="D2910" s="16" t="n"/>
      <c r="E2910" s="19" t="n"/>
      <c r="G2910" s="16" t="n"/>
      <c r="H2910" s="19" t="n"/>
      <c r="J2910" s="16" t="n"/>
      <c r="K2910" s="19" t="n"/>
      <c r="M2910" s="16" t="n"/>
      <c r="N2910" s="19" t="n"/>
    </row>
    <row r="2911">
      <c r="A2911" s="16" t="n"/>
      <c r="B2911" s="19" t="n"/>
      <c r="D2911" s="16" t="n"/>
      <c r="E2911" s="19" t="n"/>
      <c r="G2911" s="16" t="n"/>
      <c r="H2911" s="19" t="n"/>
      <c r="J2911" s="16" t="n"/>
      <c r="K2911" s="19" t="n"/>
      <c r="M2911" s="16" t="n"/>
      <c r="N2911" s="19" t="n"/>
    </row>
    <row r="2912">
      <c r="A2912" s="16" t="n"/>
      <c r="B2912" s="19" t="n"/>
      <c r="D2912" s="16" t="n"/>
      <c r="E2912" s="19" t="n"/>
      <c r="G2912" s="16" t="n"/>
      <c r="H2912" s="19" t="n"/>
      <c r="J2912" s="16" t="n"/>
      <c r="K2912" s="19" t="n"/>
      <c r="M2912" s="16" t="n"/>
      <c r="N2912" s="19" t="n"/>
    </row>
    <row r="2913">
      <c r="A2913" s="16" t="n"/>
      <c r="B2913" s="19" t="n"/>
      <c r="D2913" s="16" t="n"/>
      <c r="E2913" s="19" t="n"/>
      <c r="G2913" s="16" t="n"/>
      <c r="H2913" s="19" t="n"/>
      <c r="J2913" s="16" t="n"/>
      <c r="K2913" s="19" t="n"/>
      <c r="M2913" s="16" t="n"/>
      <c r="N2913" s="19" t="n"/>
    </row>
    <row r="2914">
      <c r="A2914" s="16" t="n"/>
      <c r="B2914" s="19" t="n"/>
      <c r="D2914" s="16" t="n"/>
      <c r="E2914" s="19" t="n"/>
      <c r="G2914" s="16" t="n"/>
      <c r="H2914" s="19" t="n"/>
      <c r="J2914" s="16" t="n"/>
      <c r="K2914" s="19" t="n"/>
      <c r="M2914" s="16" t="n"/>
      <c r="N2914" s="19" t="n"/>
    </row>
    <row r="2915">
      <c r="A2915" s="16" t="n"/>
      <c r="B2915" s="19" t="n"/>
      <c r="D2915" s="16" t="n"/>
      <c r="E2915" s="19" t="n"/>
      <c r="G2915" s="16" t="n"/>
      <c r="H2915" s="19" t="n"/>
      <c r="J2915" s="16" t="n"/>
      <c r="K2915" s="19" t="n"/>
      <c r="M2915" s="16" t="n"/>
      <c r="N2915" s="19" t="n"/>
    </row>
    <row r="2916">
      <c r="A2916" s="16" t="n"/>
      <c r="B2916" s="19" t="n"/>
      <c r="D2916" s="16" t="n"/>
      <c r="E2916" s="19" t="n"/>
      <c r="G2916" s="16" t="n"/>
      <c r="H2916" s="19" t="n"/>
      <c r="J2916" s="16" t="n"/>
      <c r="K2916" s="19" t="n"/>
      <c r="M2916" s="16" t="n"/>
      <c r="N2916" s="19" t="n"/>
    </row>
    <row r="2917">
      <c r="A2917" s="16" t="n"/>
      <c r="B2917" s="19" t="n"/>
      <c r="D2917" s="16" t="n"/>
      <c r="E2917" s="19" t="n"/>
      <c r="G2917" s="16" t="n"/>
      <c r="H2917" s="19" t="n"/>
      <c r="J2917" s="16" t="n"/>
      <c r="K2917" s="19" t="n"/>
      <c r="M2917" s="16" t="n"/>
      <c r="N2917" s="19" t="n"/>
    </row>
    <row r="2918">
      <c r="A2918" s="16" t="n"/>
      <c r="B2918" s="19" t="n"/>
      <c r="D2918" s="16" t="n"/>
      <c r="E2918" s="19" t="n"/>
      <c r="G2918" s="16" t="n"/>
      <c r="H2918" s="19" t="n"/>
      <c r="J2918" s="16" t="n"/>
      <c r="K2918" s="19" t="n"/>
      <c r="M2918" s="16" t="n"/>
      <c r="N2918" s="19" t="n"/>
    </row>
    <row r="2919">
      <c r="A2919" s="16" t="n"/>
      <c r="B2919" s="19" t="n"/>
      <c r="D2919" s="16" t="n"/>
      <c r="E2919" s="19" t="n"/>
      <c r="G2919" s="16" t="n"/>
      <c r="H2919" s="19" t="n"/>
      <c r="J2919" s="16" t="n"/>
      <c r="K2919" s="19" t="n"/>
      <c r="M2919" s="16" t="n"/>
      <c r="N2919" s="19" t="n"/>
    </row>
    <row r="2920">
      <c r="A2920" s="16" t="n"/>
      <c r="B2920" s="19" t="n"/>
      <c r="D2920" s="16" t="n"/>
      <c r="E2920" s="19" t="n"/>
      <c r="G2920" s="16" t="n"/>
      <c r="H2920" s="19" t="n"/>
      <c r="J2920" s="16" t="n"/>
      <c r="K2920" s="19" t="n"/>
      <c r="M2920" s="16" t="n"/>
      <c r="N2920" s="19" t="n"/>
    </row>
    <row r="2921">
      <c r="A2921" s="16" t="n"/>
      <c r="B2921" s="19" t="n"/>
      <c r="D2921" s="16" t="n"/>
      <c r="E2921" s="19" t="n"/>
      <c r="G2921" s="16" t="n"/>
      <c r="H2921" s="19" t="n"/>
      <c r="J2921" s="16" t="n"/>
      <c r="K2921" s="19" t="n"/>
      <c r="M2921" s="16" t="n"/>
      <c r="N2921" s="19" t="n"/>
    </row>
    <row r="2922">
      <c r="A2922" s="16" t="n"/>
      <c r="B2922" s="19" t="n"/>
      <c r="D2922" s="16" t="n"/>
      <c r="E2922" s="19" t="n"/>
      <c r="G2922" s="16" t="n"/>
      <c r="H2922" s="19" t="n"/>
      <c r="J2922" s="16" t="n"/>
      <c r="K2922" s="19" t="n"/>
      <c r="M2922" s="16" t="n"/>
      <c r="N2922" s="19" t="n"/>
    </row>
    <row r="2923">
      <c r="A2923" s="16" t="n"/>
      <c r="B2923" s="19" t="n"/>
      <c r="D2923" s="16" t="n"/>
      <c r="E2923" s="19" t="n"/>
      <c r="G2923" s="16" t="n"/>
      <c r="H2923" s="19" t="n"/>
      <c r="J2923" s="16" t="n"/>
      <c r="K2923" s="19" t="n"/>
      <c r="M2923" s="16" t="n"/>
      <c r="N2923" s="19" t="n"/>
    </row>
    <row r="2924">
      <c r="A2924" s="16" t="n"/>
      <c r="B2924" s="19" t="n"/>
      <c r="D2924" s="16" t="n"/>
      <c r="E2924" s="19" t="n"/>
      <c r="G2924" s="16" t="n"/>
      <c r="H2924" s="19" t="n"/>
      <c r="J2924" s="16" t="n"/>
      <c r="K2924" s="19" t="n"/>
      <c r="M2924" s="16" t="n"/>
      <c r="N2924" s="19" t="n"/>
    </row>
    <row r="2925">
      <c r="A2925" s="16" t="n"/>
      <c r="B2925" s="19" t="n"/>
      <c r="D2925" s="16" t="n"/>
      <c r="E2925" s="19" t="n"/>
      <c r="G2925" s="16" t="n"/>
      <c r="H2925" s="19" t="n"/>
      <c r="J2925" s="16" t="n"/>
      <c r="K2925" s="19" t="n"/>
      <c r="M2925" s="16" t="n"/>
      <c r="N2925" s="19" t="n"/>
    </row>
    <row r="2926">
      <c r="A2926" s="16" t="n"/>
      <c r="B2926" s="19" t="n"/>
      <c r="D2926" s="16" t="n"/>
      <c r="E2926" s="19" t="n"/>
      <c r="G2926" s="16" t="n"/>
      <c r="H2926" s="19" t="n"/>
      <c r="J2926" s="16" t="n"/>
      <c r="K2926" s="19" t="n"/>
      <c r="M2926" s="16" t="n"/>
      <c r="N2926" s="19" t="n"/>
    </row>
    <row r="2927">
      <c r="A2927" s="16" t="n"/>
      <c r="B2927" s="19" t="n"/>
      <c r="D2927" s="16" t="n"/>
      <c r="E2927" s="19" t="n"/>
      <c r="G2927" s="16" t="n"/>
      <c r="H2927" s="19" t="n"/>
      <c r="J2927" s="16" t="n"/>
      <c r="K2927" s="19" t="n"/>
      <c r="M2927" s="16" t="n"/>
      <c r="N2927" s="19" t="n"/>
    </row>
    <row r="2928">
      <c r="A2928" s="16" t="n"/>
      <c r="B2928" s="19" t="n"/>
      <c r="D2928" s="16" t="n"/>
      <c r="E2928" s="19" t="n"/>
      <c r="G2928" s="16" t="n"/>
      <c r="H2928" s="19" t="n"/>
      <c r="J2928" s="16" t="n"/>
      <c r="K2928" s="19" t="n"/>
      <c r="M2928" s="16" t="n"/>
      <c r="N2928" s="19" t="n"/>
    </row>
    <row r="2929">
      <c r="A2929" s="16" t="n"/>
      <c r="B2929" s="19" t="n"/>
      <c r="D2929" s="16" t="n"/>
      <c r="E2929" s="19" t="n"/>
      <c r="G2929" s="16" t="n"/>
      <c r="H2929" s="19" t="n"/>
      <c r="J2929" s="16" t="n"/>
      <c r="K2929" s="19" t="n"/>
      <c r="M2929" s="16" t="n"/>
      <c r="N2929" s="19" t="n"/>
    </row>
    <row r="2930">
      <c r="A2930" s="16" t="n"/>
      <c r="B2930" s="19" t="n"/>
      <c r="D2930" s="16" t="n"/>
      <c r="E2930" s="19" t="n"/>
      <c r="G2930" s="16" t="n"/>
      <c r="H2930" s="19" t="n"/>
      <c r="J2930" s="16" t="n"/>
      <c r="K2930" s="19" t="n"/>
      <c r="M2930" s="16" t="n"/>
      <c r="N2930" s="19" t="n"/>
    </row>
    <row r="2931">
      <c r="A2931" s="16" t="n"/>
      <c r="B2931" s="19" t="n"/>
      <c r="D2931" s="16" t="n"/>
      <c r="E2931" s="19" t="n"/>
      <c r="G2931" s="16" t="n"/>
      <c r="H2931" s="19" t="n"/>
      <c r="J2931" s="16" t="n"/>
      <c r="K2931" s="19" t="n"/>
      <c r="M2931" s="16" t="n"/>
      <c r="N2931" s="19" t="n"/>
    </row>
    <row r="2932">
      <c r="A2932" s="16" t="n"/>
      <c r="B2932" s="19" t="n"/>
      <c r="D2932" s="16" t="n"/>
      <c r="E2932" s="19" t="n"/>
      <c r="G2932" s="16" t="n"/>
      <c r="H2932" s="19" t="n"/>
      <c r="J2932" s="16" t="n"/>
      <c r="K2932" s="19" t="n"/>
      <c r="M2932" s="16" t="n"/>
      <c r="N2932" s="19" t="n"/>
    </row>
    <row r="2933">
      <c r="A2933" s="16" t="n"/>
      <c r="B2933" s="19" t="n"/>
      <c r="D2933" s="16" t="n"/>
      <c r="E2933" s="19" t="n"/>
      <c r="G2933" s="16" t="n"/>
      <c r="H2933" s="19" t="n"/>
      <c r="J2933" s="16" t="n"/>
      <c r="K2933" s="19" t="n"/>
      <c r="M2933" s="16" t="n"/>
      <c r="N2933" s="19" t="n"/>
    </row>
    <row r="2934">
      <c r="A2934" s="16" t="n"/>
      <c r="B2934" s="19" t="n"/>
      <c r="D2934" s="16" t="n"/>
      <c r="E2934" s="19" t="n"/>
      <c r="G2934" s="16" t="n"/>
      <c r="H2934" s="19" t="n"/>
      <c r="J2934" s="16" t="n"/>
      <c r="K2934" s="19" t="n"/>
      <c r="M2934" s="16" t="n"/>
      <c r="N2934" s="19" t="n"/>
    </row>
    <row r="2935">
      <c r="A2935" s="16" t="n"/>
      <c r="B2935" s="19" t="n"/>
      <c r="D2935" s="16" t="n"/>
      <c r="E2935" s="19" t="n"/>
      <c r="G2935" s="16" t="n"/>
      <c r="H2935" s="19" t="n"/>
      <c r="J2935" s="16" t="n"/>
      <c r="K2935" s="19" t="n"/>
      <c r="M2935" s="16" t="n"/>
      <c r="N2935" s="19" t="n"/>
    </row>
    <row r="2936">
      <c r="A2936" s="16" t="n"/>
      <c r="B2936" s="19" t="n"/>
      <c r="D2936" s="16" t="n"/>
      <c r="E2936" s="19" t="n"/>
      <c r="G2936" s="16" t="n"/>
      <c r="H2936" s="19" t="n"/>
      <c r="J2936" s="16" t="n"/>
      <c r="K2936" s="19" t="n"/>
      <c r="M2936" s="16" t="n"/>
      <c r="N2936" s="19" t="n"/>
    </row>
    <row r="2937">
      <c r="A2937" s="16" t="n"/>
      <c r="B2937" s="19" t="n"/>
      <c r="D2937" s="16" t="n"/>
      <c r="E2937" s="19" t="n"/>
      <c r="G2937" s="16" t="n"/>
      <c r="H2937" s="19" t="n"/>
      <c r="J2937" s="16" t="n"/>
      <c r="K2937" s="19" t="n"/>
      <c r="M2937" s="16" t="n"/>
      <c r="N2937" s="19" t="n"/>
    </row>
    <row r="2938">
      <c r="A2938" s="16" t="n"/>
      <c r="B2938" s="19" t="n"/>
      <c r="D2938" s="16" t="n"/>
      <c r="E2938" s="19" t="n"/>
      <c r="G2938" s="16" t="n"/>
      <c r="H2938" s="19" t="n"/>
      <c r="J2938" s="16" t="n"/>
      <c r="K2938" s="19" t="n"/>
      <c r="M2938" s="16" t="n"/>
      <c r="N2938" s="19" t="n"/>
    </row>
    <row r="2939">
      <c r="A2939" s="16" t="n"/>
      <c r="B2939" s="19" t="n"/>
      <c r="D2939" s="16" t="n"/>
      <c r="E2939" s="19" t="n"/>
      <c r="G2939" s="16" t="n"/>
      <c r="H2939" s="19" t="n"/>
      <c r="J2939" s="16" t="n"/>
      <c r="K2939" s="19" t="n"/>
      <c r="M2939" s="16" t="n"/>
      <c r="N2939" s="19" t="n"/>
    </row>
    <row r="2940">
      <c r="A2940" s="16" t="n"/>
      <c r="B2940" s="19" t="n"/>
      <c r="D2940" s="16" t="n"/>
      <c r="E2940" s="19" t="n"/>
      <c r="G2940" s="16" t="n"/>
      <c r="H2940" s="19" t="n"/>
      <c r="J2940" s="16" t="n"/>
      <c r="K2940" s="19" t="n"/>
      <c r="M2940" s="16" t="n"/>
      <c r="N2940" s="19" t="n"/>
    </row>
    <row r="2941">
      <c r="A2941" s="16" t="n"/>
      <c r="B2941" s="19" t="n"/>
      <c r="D2941" s="16" t="n"/>
      <c r="E2941" s="19" t="n"/>
      <c r="G2941" s="16" t="n"/>
      <c r="H2941" s="19" t="n"/>
      <c r="J2941" s="16" t="n"/>
      <c r="K2941" s="19" t="n"/>
      <c r="M2941" s="16" t="n"/>
      <c r="N2941" s="19" t="n"/>
    </row>
    <row r="2942">
      <c r="A2942" s="16" t="n"/>
      <c r="B2942" s="19" t="n"/>
      <c r="D2942" s="16" t="n"/>
      <c r="E2942" s="19" t="n"/>
      <c r="G2942" s="16" t="n"/>
      <c r="H2942" s="19" t="n"/>
      <c r="J2942" s="16" t="n"/>
      <c r="K2942" s="19" t="n"/>
      <c r="M2942" s="16" t="n"/>
      <c r="N2942" s="19" t="n"/>
    </row>
    <row r="2943">
      <c r="A2943" s="16" t="n"/>
      <c r="B2943" s="19" t="n"/>
      <c r="D2943" s="16" t="n"/>
      <c r="E2943" s="19" t="n"/>
      <c r="G2943" s="16" t="n"/>
      <c r="H2943" s="19" t="n"/>
      <c r="J2943" s="16" t="n"/>
      <c r="K2943" s="19" t="n"/>
      <c r="M2943" s="16" t="n"/>
      <c r="N2943" s="19" t="n"/>
    </row>
    <row r="2944">
      <c r="A2944" s="16" t="n"/>
      <c r="B2944" s="19" t="n"/>
      <c r="D2944" s="16" t="n"/>
      <c r="E2944" s="19" t="n"/>
      <c r="G2944" s="16" t="n"/>
      <c r="H2944" s="19" t="n"/>
      <c r="J2944" s="16" t="n"/>
      <c r="K2944" s="19" t="n"/>
      <c r="M2944" s="16" t="n"/>
      <c r="N2944" s="19" t="n"/>
    </row>
    <row r="2945">
      <c r="A2945" s="16" t="n"/>
      <c r="B2945" s="19" t="n"/>
      <c r="D2945" s="16" t="n"/>
      <c r="E2945" s="19" t="n"/>
      <c r="G2945" s="16" t="n"/>
      <c r="H2945" s="19" t="n"/>
      <c r="J2945" s="16" t="n"/>
      <c r="K2945" s="19" t="n"/>
      <c r="M2945" s="16" t="n"/>
      <c r="N2945" s="19" t="n"/>
    </row>
    <row r="2946">
      <c r="A2946" s="16" t="n"/>
      <c r="B2946" s="19" t="n"/>
      <c r="D2946" s="16" t="n"/>
      <c r="E2946" s="19" t="n"/>
      <c r="G2946" s="16" t="n"/>
      <c r="H2946" s="19" t="n"/>
      <c r="J2946" s="16" t="n"/>
      <c r="K2946" s="19" t="n"/>
      <c r="M2946" s="16" t="n"/>
      <c r="N2946" s="19" t="n"/>
    </row>
    <row r="2947">
      <c r="A2947" s="16" t="n"/>
      <c r="B2947" s="19" t="n"/>
      <c r="D2947" s="16" t="n"/>
      <c r="E2947" s="19" t="n"/>
      <c r="G2947" s="16" t="n"/>
      <c r="H2947" s="19" t="n"/>
      <c r="J2947" s="16" t="n"/>
      <c r="K2947" s="19" t="n"/>
      <c r="M2947" s="16" t="n"/>
      <c r="N2947" s="19" t="n"/>
    </row>
    <row r="2948">
      <c r="A2948" s="16" t="n"/>
      <c r="B2948" s="19" t="n"/>
      <c r="D2948" s="16" t="n"/>
      <c r="E2948" s="19" t="n"/>
      <c r="G2948" s="16" t="n"/>
      <c r="H2948" s="19" t="n"/>
      <c r="J2948" s="16" t="n"/>
      <c r="K2948" s="19" t="n"/>
      <c r="M2948" s="16" t="n"/>
      <c r="N2948" s="19" t="n"/>
    </row>
    <row r="2949">
      <c r="A2949" s="16" t="n"/>
      <c r="B2949" s="19" t="n"/>
      <c r="D2949" s="16" t="n"/>
      <c r="E2949" s="19" t="n"/>
      <c r="G2949" s="16" t="n"/>
      <c r="H2949" s="19" t="n"/>
      <c r="J2949" s="16" t="n"/>
      <c r="K2949" s="19" t="n"/>
      <c r="M2949" s="16" t="n"/>
      <c r="N2949" s="19" t="n"/>
    </row>
    <row r="2950">
      <c r="A2950" s="16" t="n"/>
      <c r="B2950" s="19" t="n"/>
      <c r="D2950" s="16" t="n"/>
      <c r="E2950" s="19" t="n"/>
      <c r="G2950" s="16" t="n"/>
      <c r="H2950" s="19" t="n"/>
      <c r="J2950" s="16" t="n"/>
      <c r="K2950" s="19" t="n"/>
      <c r="M2950" s="16" t="n"/>
      <c r="N2950" s="19" t="n"/>
    </row>
    <row r="2951">
      <c r="A2951" s="16" t="n"/>
      <c r="B2951" s="19" t="n"/>
      <c r="D2951" s="16" t="n"/>
      <c r="E2951" s="19" t="n"/>
      <c r="G2951" s="16" t="n"/>
      <c r="H2951" s="19" t="n"/>
      <c r="J2951" s="16" t="n"/>
      <c r="K2951" s="19" t="n"/>
      <c r="M2951" s="16" t="n"/>
      <c r="N2951" s="19" t="n"/>
    </row>
    <row r="2952">
      <c r="A2952" s="16" t="n"/>
      <c r="B2952" s="19" t="n"/>
      <c r="D2952" s="16" t="n"/>
      <c r="E2952" s="19" t="n"/>
      <c r="G2952" s="16" t="n"/>
      <c r="H2952" s="19" t="n"/>
      <c r="J2952" s="16" t="n"/>
      <c r="K2952" s="19" t="n"/>
      <c r="M2952" s="16" t="n"/>
      <c r="N2952" s="19" t="n"/>
    </row>
    <row r="2953">
      <c r="A2953" s="16" t="n"/>
      <c r="B2953" s="19" t="n"/>
      <c r="D2953" s="16" t="n"/>
      <c r="E2953" s="19" t="n"/>
      <c r="G2953" s="16" t="n"/>
      <c r="H2953" s="19" t="n"/>
      <c r="J2953" s="16" t="n"/>
      <c r="K2953" s="19" t="n"/>
      <c r="M2953" s="16" t="n"/>
      <c r="N2953" s="19" t="n"/>
    </row>
    <row r="2954">
      <c r="A2954" s="16" t="n"/>
      <c r="B2954" s="19" t="n"/>
      <c r="D2954" s="16" t="n"/>
      <c r="E2954" s="19" t="n"/>
      <c r="G2954" s="16" t="n"/>
      <c r="H2954" s="19" t="n"/>
      <c r="J2954" s="16" t="n"/>
      <c r="K2954" s="19" t="n"/>
      <c r="M2954" s="16" t="n"/>
      <c r="N2954" s="19" t="n"/>
    </row>
    <row r="2955">
      <c r="A2955" s="16" t="n"/>
      <c r="B2955" s="19" t="n"/>
      <c r="D2955" s="16" t="n"/>
      <c r="E2955" s="19" t="n"/>
      <c r="G2955" s="16" t="n"/>
      <c r="H2955" s="19" t="n"/>
      <c r="J2955" s="16" t="n"/>
      <c r="K2955" s="19" t="n"/>
      <c r="M2955" s="16" t="n"/>
      <c r="N2955" s="19" t="n"/>
    </row>
    <row r="2956">
      <c r="A2956" s="16" t="n"/>
      <c r="B2956" s="19" t="n"/>
      <c r="D2956" s="16" t="n"/>
      <c r="E2956" s="19" t="n"/>
      <c r="G2956" s="16" t="n"/>
      <c r="H2956" s="19" t="n"/>
      <c r="J2956" s="16" t="n"/>
      <c r="K2956" s="19" t="n"/>
      <c r="M2956" s="16" t="n"/>
      <c r="N2956" s="19" t="n"/>
    </row>
    <row r="2957">
      <c r="A2957" s="16" t="n"/>
      <c r="B2957" s="19" t="n"/>
      <c r="D2957" s="16" t="n"/>
      <c r="E2957" s="19" t="n"/>
      <c r="G2957" s="16" t="n"/>
      <c r="H2957" s="19" t="n"/>
      <c r="J2957" s="16" t="n"/>
      <c r="K2957" s="19" t="n"/>
      <c r="M2957" s="16" t="n"/>
      <c r="N2957" s="19" t="n"/>
    </row>
    <row r="2958">
      <c r="A2958" s="16" t="n"/>
      <c r="B2958" s="19" t="n"/>
      <c r="D2958" s="16" t="n"/>
      <c r="E2958" s="19" t="n"/>
      <c r="G2958" s="16" t="n"/>
      <c r="H2958" s="19" t="n"/>
      <c r="J2958" s="16" t="n"/>
      <c r="K2958" s="19" t="n"/>
      <c r="M2958" s="16" t="n"/>
      <c r="N2958" s="19" t="n"/>
    </row>
    <row r="2959">
      <c r="A2959" s="16" t="n"/>
      <c r="B2959" s="19" t="n"/>
      <c r="D2959" s="16" t="n"/>
      <c r="E2959" s="19" t="n"/>
      <c r="G2959" s="16" t="n"/>
      <c r="H2959" s="19" t="n"/>
      <c r="J2959" s="16" t="n"/>
      <c r="K2959" s="19" t="n"/>
      <c r="M2959" s="16" t="n"/>
      <c r="N2959" s="19" t="n"/>
    </row>
    <row r="2960">
      <c r="A2960" s="16" t="n"/>
      <c r="B2960" s="19" t="n"/>
      <c r="D2960" s="16" t="n"/>
      <c r="E2960" s="19" t="n"/>
      <c r="G2960" s="16" t="n"/>
      <c r="H2960" s="19" t="n"/>
      <c r="J2960" s="16" t="n"/>
      <c r="K2960" s="19" t="n"/>
      <c r="M2960" s="16" t="n"/>
      <c r="N2960" s="19" t="n"/>
    </row>
    <row r="2961">
      <c r="A2961" s="16" t="n"/>
      <c r="B2961" s="19" t="n"/>
      <c r="D2961" s="16" t="n"/>
      <c r="E2961" s="19" t="n"/>
      <c r="G2961" s="16" t="n"/>
      <c r="H2961" s="19" t="n"/>
      <c r="J2961" s="16" t="n"/>
      <c r="K2961" s="19" t="n"/>
      <c r="M2961" s="16" t="n"/>
      <c r="N2961" s="19" t="n"/>
    </row>
    <row r="2962">
      <c r="A2962" s="16" t="n"/>
      <c r="B2962" s="19" t="n"/>
      <c r="D2962" s="16" t="n"/>
      <c r="E2962" s="19" t="n"/>
      <c r="G2962" s="16" t="n"/>
      <c r="H2962" s="19" t="n"/>
      <c r="J2962" s="16" t="n"/>
      <c r="K2962" s="19" t="n"/>
      <c r="M2962" s="16" t="n"/>
      <c r="N2962" s="19" t="n"/>
    </row>
    <row r="2963">
      <c r="A2963" s="16" t="n"/>
      <c r="B2963" s="19" t="n"/>
      <c r="D2963" s="16" t="n"/>
      <c r="E2963" s="19" t="n"/>
      <c r="G2963" s="16" t="n"/>
      <c r="H2963" s="19" t="n"/>
      <c r="J2963" s="16" t="n"/>
      <c r="K2963" s="19" t="n"/>
      <c r="M2963" s="16" t="n"/>
      <c r="N2963" s="19" t="n"/>
    </row>
    <row r="2964">
      <c r="A2964" s="16" t="n"/>
      <c r="B2964" s="19" t="n"/>
      <c r="D2964" s="16" t="n"/>
      <c r="E2964" s="19" t="n"/>
      <c r="G2964" s="16" t="n"/>
      <c r="H2964" s="19" t="n"/>
      <c r="J2964" s="16" t="n"/>
      <c r="K2964" s="19" t="n"/>
      <c r="M2964" s="16" t="n"/>
      <c r="N2964" s="19" t="n"/>
    </row>
    <row r="2965">
      <c r="A2965" s="16" t="n"/>
      <c r="B2965" s="19" t="n"/>
      <c r="D2965" s="16" t="n"/>
      <c r="E2965" s="19" t="n"/>
      <c r="G2965" s="16" t="n"/>
      <c r="H2965" s="19" t="n"/>
      <c r="J2965" s="16" t="n"/>
      <c r="K2965" s="19" t="n"/>
      <c r="M2965" s="16" t="n"/>
      <c r="N2965" s="19" t="n"/>
    </row>
    <row r="2966">
      <c r="A2966" s="16" t="n"/>
      <c r="B2966" s="19" t="n"/>
      <c r="D2966" s="16" t="n"/>
      <c r="E2966" s="19" t="n"/>
      <c r="G2966" s="16" t="n"/>
      <c r="H2966" s="19" t="n"/>
      <c r="J2966" s="16" t="n"/>
      <c r="K2966" s="19" t="n"/>
      <c r="M2966" s="16" t="n"/>
      <c r="N2966" s="19" t="n"/>
    </row>
    <row r="2967">
      <c r="A2967" s="16" t="n"/>
      <c r="B2967" s="19" t="n"/>
      <c r="D2967" s="16" t="n"/>
      <c r="E2967" s="19" t="n"/>
      <c r="G2967" s="16" t="n"/>
      <c r="H2967" s="19" t="n"/>
      <c r="J2967" s="16" t="n"/>
      <c r="K2967" s="19" t="n"/>
      <c r="M2967" s="16" t="n"/>
      <c r="N2967" s="19" t="n"/>
    </row>
    <row r="2968">
      <c r="A2968" s="16" t="n"/>
      <c r="B2968" s="19" t="n"/>
      <c r="D2968" s="16" t="n"/>
      <c r="E2968" s="19" t="n"/>
      <c r="G2968" s="16" t="n"/>
      <c r="H2968" s="19" t="n"/>
      <c r="J2968" s="16" t="n"/>
      <c r="K2968" s="19" t="n"/>
      <c r="M2968" s="16" t="n"/>
      <c r="N2968" s="19" t="n"/>
    </row>
    <row r="2969">
      <c r="A2969" s="16" t="n"/>
      <c r="B2969" s="19" t="n"/>
      <c r="D2969" s="16" t="n"/>
      <c r="E2969" s="19" t="n"/>
      <c r="G2969" s="16" t="n"/>
      <c r="H2969" s="19" t="n"/>
      <c r="J2969" s="16" t="n"/>
      <c r="K2969" s="19" t="n"/>
      <c r="M2969" s="16" t="n"/>
      <c r="N2969" s="19" t="n"/>
    </row>
    <row r="2970">
      <c r="A2970" s="16" t="n"/>
      <c r="B2970" s="19" t="n"/>
      <c r="D2970" s="16" t="n"/>
      <c r="E2970" s="19" t="n"/>
      <c r="G2970" s="16" t="n"/>
      <c r="H2970" s="19" t="n"/>
      <c r="J2970" s="16" t="n"/>
      <c r="K2970" s="19" t="n"/>
      <c r="M2970" s="16" t="n"/>
      <c r="N2970" s="19" t="n"/>
    </row>
    <row r="2971">
      <c r="A2971" s="16" t="n"/>
      <c r="B2971" s="19" t="n"/>
      <c r="D2971" s="16" t="n"/>
      <c r="E2971" s="19" t="n"/>
      <c r="G2971" s="16" t="n"/>
      <c r="H2971" s="19" t="n"/>
      <c r="J2971" s="16" t="n"/>
      <c r="K2971" s="19" t="n"/>
      <c r="M2971" s="16" t="n"/>
      <c r="N2971" s="19" t="n"/>
    </row>
    <row r="2972">
      <c r="A2972" s="16" t="n"/>
      <c r="B2972" s="19" t="n"/>
      <c r="D2972" s="16" t="n"/>
      <c r="E2972" s="19" t="n"/>
      <c r="G2972" s="16" t="n"/>
      <c r="H2972" s="19" t="n"/>
      <c r="J2972" s="16" t="n"/>
      <c r="K2972" s="19" t="n"/>
      <c r="M2972" s="16" t="n"/>
      <c r="N2972" s="19" t="n"/>
    </row>
    <row r="2973">
      <c r="A2973" s="16" t="n"/>
      <c r="B2973" s="19" t="n"/>
      <c r="D2973" s="16" t="n"/>
      <c r="E2973" s="19" t="n"/>
      <c r="G2973" s="16" t="n"/>
      <c r="H2973" s="19" t="n"/>
      <c r="J2973" s="16" t="n"/>
      <c r="K2973" s="19" t="n"/>
      <c r="M2973" s="16" t="n"/>
      <c r="N2973" s="19" t="n"/>
    </row>
    <row r="2974">
      <c r="A2974" s="16" t="n"/>
      <c r="B2974" s="19" t="n"/>
      <c r="D2974" s="16" t="n"/>
      <c r="E2974" s="19" t="n"/>
      <c r="G2974" s="16" t="n"/>
      <c r="H2974" s="19" t="n"/>
      <c r="J2974" s="16" t="n"/>
      <c r="K2974" s="19" t="n"/>
      <c r="M2974" s="16" t="n"/>
      <c r="N2974" s="19" t="n"/>
    </row>
    <row r="2975">
      <c r="A2975" s="16" t="n"/>
      <c r="B2975" s="19" t="n"/>
      <c r="D2975" s="16" t="n"/>
      <c r="E2975" s="19" t="n"/>
      <c r="G2975" s="16" t="n"/>
      <c r="H2975" s="19" t="n"/>
      <c r="J2975" s="16" t="n"/>
      <c r="K2975" s="19" t="n"/>
      <c r="M2975" s="16" t="n"/>
      <c r="N2975" s="19" t="n"/>
    </row>
    <row r="2976">
      <c r="A2976" s="16" t="n"/>
      <c r="B2976" s="19" t="n"/>
      <c r="D2976" s="16" t="n"/>
      <c r="E2976" s="19" t="n"/>
      <c r="G2976" s="16" t="n"/>
      <c r="H2976" s="19" t="n"/>
      <c r="J2976" s="16" t="n"/>
      <c r="K2976" s="19" t="n"/>
      <c r="M2976" s="16" t="n"/>
      <c r="N2976" s="19" t="n"/>
    </row>
    <row r="2977">
      <c r="A2977" s="16" t="n"/>
      <c r="B2977" s="19" t="n"/>
      <c r="D2977" s="16" t="n"/>
      <c r="E2977" s="19" t="n"/>
      <c r="G2977" s="16" t="n"/>
      <c r="H2977" s="19" t="n"/>
      <c r="J2977" s="16" t="n"/>
      <c r="K2977" s="19" t="n"/>
      <c r="M2977" s="16" t="n"/>
      <c r="N2977" s="19" t="n"/>
    </row>
    <row r="2978">
      <c r="A2978" s="16" t="n"/>
      <c r="B2978" s="19" t="n"/>
      <c r="D2978" s="16" t="n"/>
      <c r="E2978" s="19" t="n"/>
      <c r="G2978" s="16" t="n"/>
      <c r="H2978" s="19" t="n"/>
      <c r="J2978" s="16" t="n"/>
      <c r="K2978" s="19" t="n"/>
      <c r="M2978" s="16" t="n"/>
      <c r="N2978" s="19" t="n"/>
    </row>
    <row r="2979">
      <c r="A2979" s="16" t="n"/>
      <c r="B2979" s="19" t="n"/>
      <c r="D2979" s="16" t="n"/>
      <c r="E2979" s="19" t="n"/>
      <c r="G2979" s="16" t="n"/>
      <c r="H2979" s="19" t="n"/>
      <c r="J2979" s="16" t="n"/>
      <c r="K2979" s="19" t="n"/>
      <c r="M2979" s="16" t="n"/>
      <c r="N2979" s="19" t="n"/>
    </row>
    <row r="2980">
      <c r="A2980" s="16" t="n"/>
      <c r="B2980" s="19" t="n"/>
      <c r="D2980" s="16" t="n"/>
      <c r="E2980" s="19" t="n"/>
      <c r="G2980" s="16" t="n"/>
      <c r="H2980" s="19" t="n"/>
      <c r="J2980" s="16" t="n"/>
      <c r="K2980" s="19" t="n"/>
      <c r="M2980" s="16" t="n"/>
      <c r="N2980" s="19" t="n"/>
    </row>
    <row r="2981">
      <c r="A2981" s="16" t="n"/>
      <c r="B2981" s="19" t="n"/>
      <c r="D2981" s="16" t="n"/>
      <c r="E2981" s="19" t="n"/>
      <c r="G2981" s="16" t="n"/>
      <c r="H2981" s="19" t="n"/>
      <c r="J2981" s="16" t="n"/>
      <c r="K2981" s="19" t="n"/>
      <c r="M2981" s="16" t="n"/>
      <c r="N2981" s="19" t="n"/>
    </row>
    <row r="2982">
      <c r="A2982" s="16" t="n"/>
      <c r="B2982" s="19" t="n"/>
      <c r="D2982" s="16" t="n"/>
      <c r="E2982" s="19" t="n"/>
      <c r="G2982" s="16" t="n"/>
      <c r="H2982" s="19" t="n"/>
      <c r="J2982" s="16" t="n"/>
      <c r="K2982" s="19" t="n"/>
      <c r="M2982" s="16" t="n"/>
      <c r="N2982" s="19" t="n"/>
    </row>
    <row r="2983">
      <c r="A2983" s="16" t="n"/>
      <c r="B2983" s="19" t="n"/>
      <c r="D2983" s="16" t="n"/>
      <c r="E2983" s="19" t="n"/>
      <c r="G2983" s="16" t="n"/>
      <c r="H2983" s="19" t="n"/>
      <c r="J2983" s="16" t="n"/>
      <c r="K2983" s="19" t="n"/>
      <c r="M2983" s="16" t="n"/>
      <c r="N2983" s="19" t="n"/>
    </row>
    <row r="2984">
      <c r="A2984" s="16" t="n"/>
      <c r="B2984" s="19" t="n"/>
      <c r="D2984" s="16" t="n"/>
      <c r="E2984" s="19" t="n"/>
      <c r="G2984" s="16" t="n"/>
      <c r="H2984" s="19" t="n"/>
      <c r="J2984" s="16" t="n"/>
      <c r="K2984" s="19" t="n"/>
      <c r="M2984" s="16" t="n"/>
      <c r="N2984" s="19" t="n"/>
    </row>
    <row r="2985">
      <c r="A2985" s="16" t="n"/>
      <c r="B2985" s="19" t="n"/>
      <c r="D2985" s="16" t="n"/>
      <c r="E2985" s="19" t="n"/>
      <c r="G2985" s="16" t="n"/>
      <c r="H2985" s="19" t="n"/>
      <c r="J2985" s="16" t="n"/>
      <c r="K2985" s="19" t="n"/>
      <c r="M2985" s="16" t="n"/>
      <c r="N2985" s="19" t="n"/>
    </row>
    <row r="2986">
      <c r="A2986" s="16" t="n"/>
      <c r="B2986" s="19" t="n"/>
      <c r="D2986" s="16" t="n"/>
      <c r="E2986" s="19" t="n"/>
      <c r="G2986" s="16" t="n"/>
      <c r="H2986" s="19" t="n"/>
      <c r="J2986" s="16" t="n"/>
      <c r="K2986" s="19" t="n"/>
      <c r="M2986" s="16" t="n"/>
      <c r="N2986" s="19" t="n"/>
    </row>
    <row r="2987">
      <c r="A2987" s="16" t="n"/>
      <c r="B2987" s="19" t="n"/>
      <c r="D2987" s="16" t="n"/>
      <c r="E2987" s="19" t="n"/>
      <c r="G2987" s="16" t="n"/>
      <c r="H2987" s="19" t="n"/>
      <c r="J2987" s="16" t="n"/>
      <c r="K2987" s="19" t="n"/>
      <c r="M2987" s="16" t="n"/>
      <c r="N2987" s="19" t="n"/>
    </row>
    <row r="2988">
      <c r="A2988" s="16" t="n"/>
      <c r="B2988" s="19" t="n"/>
      <c r="D2988" s="16" t="n"/>
      <c r="E2988" s="19" t="n"/>
      <c r="G2988" s="16" t="n"/>
      <c r="H2988" s="19" t="n"/>
      <c r="J2988" s="16" t="n"/>
      <c r="K2988" s="19" t="n"/>
      <c r="M2988" s="16" t="n"/>
      <c r="N2988" s="19" t="n"/>
    </row>
    <row r="2989">
      <c r="A2989" s="16" t="n"/>
      <c r="B2989" s="19" t="n"/>
      <c r="D2989" s="16" t="n"/>
      <c r="E2989" s="19" t="n"/>
      <c r="G2989" s="16" t="n"/>
      <c r="H2989" s="19" t="n"/>
      <c r="J2989" s="16" t="n"/>
      <c r="K2989" s="19" t="n"/>
      <c r="M2989" s="16" t="n"/>
      <c r="N2989" s="19" t="n"/>
    </row>
    <row r="2990">
      <c r="A2990" s="16" t="n"/>
      <c r="B2990" s="19" t="n"/>
      <c r="D2990" s="16" t="n"/>
      <c r="E2990" s="19" t="n"/>
      <c r="G2990" s="16" t="n"/>
      <c r="H2990" s="19" t="n"/>
      <c r="J2990" s="16" t="n"/>
      <c r="K2990" s="19" t="n"/>
      <c r="M2990" s="16" t="n"/>
      <c r="N2990" s="19" t="n"/>
    </row>
    <row r="2991">
      <c r="A2991" s="16" t="n"/>
      <c r="B2991" s="19" t="n"/>
      <c r="D2991" s="16" t="n"/>
      <c r="E2991" s="19" t="n"/>
      <c r="G2991" s="16" t="n"/>
      <c r="H2991" s="19" t="n"/>
      <c r="J2991" s="16" t="n"/>
      <c r="K2991" s="19" t="n"/>
      <c r="M2991" s="16" t="n"/>
      <c r="N2991" s="19" t="n"/>
    </row>
    <row r="2992">
      <c r="A2992" s="16" t="n"/>
      <c r="B2992" s="19" t="n"/>
      <c r="D2992" s="16" t="n"/>
      <c r="E2992" s="19" t="n"/>
      <c r="G2992" s="16" t="n"/>
      <c r="H2992" s="19" t="n"/>
      <c r="J2992" s="16" t="n"/>
      <c r="K2992" s="19" t="n"/>
      <c r="M2992" s="16" t="n"/>
      <c r="N2992" s="19" t="n"/>
    </row>
    <row r="2993">
      <c r="A2993" s="16" t="n"/>
      <c r="B2993" s="19" t="n"/>
      <c r="D2993" s="16" t="n"/>
      <c r="E2993" s="19" t="n"/>
      <c r="G2993" s="16" t="n"/>
      <c r="H2993" s="19" t="n"/>
      <c r="J2993" s="16" t="n"/>
      <c r="K2993" s="19" t="n"/>
      <c r="M2993" s="16" t="n"/>
      <c r="N2993" s="19" t="n"/>
    </row>
    <row r="2994">
      <c r="A2994" s="16" t="n"/>
      <c r="B2994" s="19" t="n"/>
      <c r="D2994" s="16" t="n"/>
      <c r="E2994" s="19" t="n"/>
      <c r="G2994" s="16" t="n"/>
      <c r="H2994" s="19" t="n"/>
      <c r="J2994" s="16" t="n"/>
      <c r="K2994" s="19" t="n"/>
      <c r="M2994" s="16" t="n"/>
      <c r="N2994" s="19" t="n"/>
    </row>
    <row r="2995">
      <c r="A2995" s="16" t="n"/>
      <c r="B2995" s="19" t="n"/>
      <c r="D2995" s="16" t="n"/>
      <c r="E2995" s="19" t="n"/>
      <c r="G2995" s="16" t="n"/>
      <c r="H2995" s="19" t="n"/>
      <c r="J2995" s="16" t="n"/>
      <c r="K2995" s="19" t="n"/>
      <c r="M2995" s="16" t="n"/>
      <c r="N2995" s="19" t="n"/>
    </row>
    <row r="2996">
      <c r="A2996" s="16" t="n"/>
      <c r="B2996" s="19" t="n"/>
      <c r="D2996" s="16" t="n"/>
      <c r="E2996" s="19" t="n"/>
      <c r="G2996" s="16" t="n"/>
      <c r="H2996" s="19" t="n"/>
      <c r="J2996" s="16" t="n"/>
      <c r="K2996" s="19" t="n"/>
      <c r="M2996" s="16" t="n"/>
      <c r="N2996" s="19" t="n"/>
    </row>
    <row r="2997">
      <c r="A2997" s="16" t="n"/>
      <c r="B2997" s="19" t="n"/>
      <c r="D2997" s="16" t="n"/>
      <c r="E2997" s="19" t="n"/>
      <c r="G2997" s="16" t="n"/>
      <c r="H2997" s="19" t="n"/>
      <c r="J2997" s="16" t="n"/>
      <c r="K2997" s="19" t="n"/>
      <c r="M2997" s="16" t="n"/>
      <c r="N2997" s="19" t="n"/>
    </row>
    <row r="2998">
      <c r="A2998" s="16" t="n"/>
      <c r="B2998" s="19" t="n"/>
      <c r="D2998" s="16" t="n"/>
      <c r="E2998" s="19" t="n"/>
      <c r="G2998" s="16" t="n"/>
      <c r="H2998" s="19" t="n"/>
      <c r="J2998" s="16" t="n"/>
      <c r="K2998" s="19" t="n"/>
      <c r="M2998" s="16" t="n"/>
      <c r="N2998" s="19" t="n"/>
    </row>
    <row r="2999">
      <c r="A2999" s="16" t="n"/>
      <c r="B2999" s="19" t="n"/>
      <c r="D2999" s="16" t="n"/>
      <c r="E2999" s="19" t="n"/>
      <c r="G2999" s="16" t="n"/>
      <c r="H2999" s="19" t="n"/>
      <c r="J2999" s="16" t="n"/>
      <c r="K2999" s="19" t="n"/>
      <c r="M2999" s="16" t="n"/>
      <c r="N2999" s="19" t="n"/>
    </row>
    <row r="3000">
      <c r="A3000" s="16" t="n"/>
      <c r="B3000" s="19" t="n"/>
      <c r="D3000" s="16" t="n"/>
      <c r="E3000" s="19" t="n"/>
      <c r="G3000" s="16" t="n"/>
      <c r="H3000" s="19" t="n"/>
      <c r="J3000" s="16" t="n"/>
      <c r="K3000" s="19" t="n"/>
      <c r="M3000" s="16" t="n"/>
      <c r="N3000" s="19" t="n"/>
    </row>
    <row r="3001">
      <c r="A3001" s="16" t="n"/>
      <c r="B3001" s="19" t="n"/>
      <c r="D3001" s="16" t="n"/>
      <c r="E3001" s="19" t="n"/>
      <c r="G3001" s="16" t="n"/>
      <c r="H3001" s="19" t="n"/>
      <c r="J3001" s="16" t="n"/>
      <c r="K3001" s="19" t="n"/>
      <c r="M3001" s="16" t="n"/>
      <c r="N3001" s="19" t="n"/>
    </row>
    <row r="3002">
      <c r="A3002" s="16" t="n"/>
      <c r="B3002" s="19" t="n"/>
      <c r="D3002" s="16" t="n"/>
      <c r="E3002" s="19" t="n"/>
      <c r="G3002" s="16" t="n"/>
      <c r="H3002" s="19" t="n"/>
      <c r="J3002" s="16" t="n"/>
      <c r="K3002" s="19" t="n"/>
      <c r="M3002" s="16" t="n"/>
      <c r="N3002" s="19" t="n"/>
    </row>
    <row r="3003">
      <c r="A3003" s="16" t="n"/>
      <c r="B3003" s="19" t="n"/>
      <c r="D3003" s="16" t="n"/>
      <c r="E3003" s="19" t="n"/>
      <c r="G3003" s="16" t="n"/>
      <c r="H3003" s="19" t="n"/>
      <c r="J3003" s="16" t="n"/>
      <c r="K3003" s="19" t="n"/>
      <c r="M3003" s="16" t="n"/>
      <c r="N3003" s="19" t="n"/>
    </row>
    <row r="3004">
      <c r="A3004" s="16" t="n"/>
      <c r="B3004" s="19" t="n"/>
      <c r="D3004" s="16" t="n"/>
      <c r="E3004" s="19" t="n"/>
      <c r="G3004" s="16" t="n"/>
      <c r="H3004" s="19" t="n"/>
      <c r="J3004" s="16" t="n"/>
      <c r="K3004" s="19" t="n"/>
      <c r="M3004" s="16" t="n"/>
      <c r="N3004" s="19" t="n"/>
    </row>
    <row r="3005">
      <c r="A3005" s="16" t="n"/>
      <c r="B3005" s="19" t="n"/>
      <c r="D3005" s="16" t="n"/>
      <c r="E3005" s="19" t="n"/>
      <c r="G3005" s="16" t="n"/>
      <c r="H3005" s="19" t="n"/>
      <c r="J3005" s="16" t="n"/>
      <c r="K3005" s="19" t="n"/>
      <c r="M3005" s="16" t="n"/>
      <c r="N3005" s="19" t="n"/>
    </row>
    <row r="3006">
      <c r="A3006" s="16" t="n"/>
      <c r="B3006" s="19" t="n"/>
      <c r="D3006" s="16" t="n"/>
      <c r="E3006" s="19" t="n"/>
      <c r="G3006" s="16" t="n"/>
      <c r="H3006" s="19" t="n"/>
      <c r="J3006" s="16" t="n"/>
      <c r="K3006" s="19" t="n"/>
      <c r="M3006" s="16" t="n"/>
      <c r="N3006" s="19" t="n"/>
    </row>
    <row r="3007">
      <c r="A3007" s="16" t="n"/>
      <c r="B3007" s="19" t="n"/>
      <c r="D3007" s="16" t="n"/>
      <c r="E3007" s="19" t="n"/>
      <c r="G3007" s="16" t="n"/>
      <c r="H3007" s="19" t="n"/>
      <c r="J3007" s="16" t="n"/>
      <c r="K3007" s="19" t="n"/>
      <c r="M3007" s="16" t="n"/>
      <c r="N3007" s="19" t="n"/>
    </row>
    <row r="3008">
      <c r="A3008" s="16" t="n"/>
      <c r="B3008" s="19" t="n"/>
      <c r="D3008" s="16" t="n"/>
      <c r="E3008" s="19" t="n"/>
      <c r="G3008" s="16" t="n"/>
      <c r="H3008" s="19" t="n"/>
      <c r="J3008" s="16" t="n"/>
      <c r="K3008" s="19" t="n"/>
      <c r="M3008" s="16" t="n"/>
      <c r="N3008" s="19" t="n"/>
    </row>
    <row r="3009">
      <c r="A3009" s="16" t="n"/>
      <c r="B3009" s="19" t="n"/>
      <c r="D3009" s="16" t="n"/>
      <c r="E3009" s="19" t="n"/>
      <c r="G3009" s="16" t="n"/>
      <c r="H3009" s="19" t="n"/>
      <c r="J3009" s="16" t="n"/>
      <c r="K3009" s="19" t="n"/>
      <c r="M3009" s="16" t="n"/>
      <c r="N3009" s="19" t="n"/>
    </row>
    <row r="3010">
      <c r="A3010" s="16" t="n"/>
      <c r="B3010" s="19" t="n"/>
      <c r="D3010" s="16" t="n"/>
      <c r="E3010" s="19" t="n"/>
      <c r="G3010" s="16" t="n"/>
      <c r="H3010" s="19" t="n"/>
      <c r="J3010" s="16" t="n"/>
      <c r="K3010" s="19" t="n"/>
      <c r="M3010" s="16" t="n"/>
      <c r="N3010" s="19" t="n"/>
    </row>
    <row r="3011">
      <c r="A3011" s="16" t="n"/>
      <c r="B3011" s="19" t="n"/>
      <c r="D3011" s="16" t="n"/>
      <c r="E3011" s="19" t="n"/>
      <c r="G3011" s="16" t="n"/>
      <c r="H3011" s="19" t="n"/>
      <c r="J3011" s="16" t="n"/>
      <c r="K3011" s="19" t="n"/>
      <c r="M3011" s="16" t="n"/>
      <c r="N3011" s="19" t="n"/>
    </row>
    <row r="3012">
      <c r="A3012" s="16" t="n"/>
      <c r="B3012" s="19" t="n"/>
      <c r="D3012" s="16" t="n"/>
      <c r="E3012" s="19" t="n"/>
      <c r="G3012" s="16" t="n"/>
      <c r="H3012" s="19" t="n"/>
      <c r="J3012" s="16" t="n"/>
      <c r="K3012" s="19" t="n"/>
      <c r="M3012" s="16" t="n"/>
      <c r="N3012" s="19" t="n"/>
    </row>
    <row r="3013">
      <c r="A3013" s="16" t="n"/>
      <c r="B3013" s="19" t="n"/>
      <c r="D3013" s="16" t="n"/>
      <c r="E3013" s="19" t="n"/>
      <c r="G3013" s="16" t="n"/>
      <c r="H3013" s="19" t="n"/>
      <c r="J3013" s="16" t="n"/>
      <c r="K3013" s="19" t="n"/>
      <c r="M3013" s="16" t="n"/>
      <c r="N3013" s="19" t="n"/>
    </row>
    <row r="3014">
      <c r="A3014" s="16" t="n"/>
      <c r="B3014" s="19" t="n"/>
      <c r="D3014" s="16" t="n"/>
      <c r="E3014" s="19" t="n"/>
      <c r="G3014" s="16" t="n"/>
      <c r="H3014" s="19" t="n"/>
      <c r="J3014" s="16" t="n"/>
      <c r="K3014" s="19" t="n"/>
      <c r="M3014" s="16" t="n"/>
      <c r="N3014" s="19" t="n"/>
    </row>
    <row r="3015">
      <c r="A3015" s="16" t="n"/>
      <c r="B3015" s="19" t="n"/>
      <c r="D3015" s="16" t="n"/>
      <c r="E3015" s="19" t="n"/>
      <c r="G3015" s="16" t="n"/>
      <c r="H3015" s="19" t="n"/>
      <c r="J3015" s="16" t="n"/>
      <c r="K3015" s="19" t="n"/>
      <c r="M3015" s="16" t="n"/>
      <c r="N3015" s="19" t="n"/>
    </row>
    <row r="3016">
      <c r="A3016" s="16" t="n"/>
      <c r="B3016" s="19" t="n"/>
      <c r="D3016" s="16" t="n"/>
      <c r="E3016" s="19" t="n"/>
      <c r="G3016" s="16" t="n"/>
      <c r="H3016" s="19" t="n"/>
      <c r="J3016" s="16" t="n"/>
      <c r="K3016" s="19" t="n"/>
      <c r="M3016" s="16" t="n"/>
      <c r="N3016" s="19" t="n"/>
    </row>
    <row r="3017">
      <c r="A3017" s="16" t="n"/>
      <c r="B3017" s="19" t="n"/>
      <c r="D3017" s="16" t="n"/>
      <c r="E3017" s="19" t="n"/>
      <c r="G3017" s="16" t="n"/>
      <c r="H3017" s="19" t="n"/>
      <c r="J3017" s="16" t="n"/>
      <c r="K3017" s="19" t="n"/>
      <c r="M3017" s="16" t="n"/>
      <c r="N3017" s="19" t="n"/>
    </row>
    <row r="3018">
      <c r="A3018" s="16" t="n"/>
      <c r="B3018" s="19" t="n"/>
      <c r="D3018" s="16" t="n"/>
      <c r="E3018" s="19" t="n"/>
      <c r="G3018" s="16" t="n"/>
      <c r="H3018" s="19" t="n"/>
      <c r="J3018" s="16" t="n"/>
      <c r="K3018" s="19" t="n"/>
      <c r="M3018" s="16" t="n"/>
      <c r="N3018" s="19" t="n"/>
    </row>
    <row r="3019">
      <c r="A3019" s="16" t="n"/>
      <c r="B3019" s="19" t="n"/>
      <c r="D3019" s="16" t="n"/>
      <c r="E3019" s="19" t="n"/>
      <c r="G3019" s="16" t="n"/>
      <c r="H3019" s="19" t="n"/>
      <c r="J3019" s="16" t="n"/>
      <c r="K3019" s="19" t="n"/>
      <c r="M3019" s="16" t="n"/>
      <c r="N3019" s="19" t="n"/>
    </row>
    <row r="3020">
      <c r="A3020" s="16" t="n"/>
      <c r="B3020" s="19" t="n"/>
      <c r="D3020" s="16" t="n"/>
      <c r="E3020" s="19" t="n"/>
      <c r="G3020" s="16" t="n"/>
      <c r="H3020" s="19" t="n"/>
      <c r="J3020" s="16" t="n"/>
      <c r="K3020" s="19" t="n"/>
      <c r="M3020" s="16" t="n"/>
      <c r="N3020" s="19" t="n"/>
    </row>
    <row r="3021">
      <c r="A3021" s="16" t="n"/>
      <c r="B3021" s="19" t="n"/>
      <c r="D3021" s="16" t="n"/>
      <c r="E3021" s="19" t="n"/>
      <c r="G3021" s="16" t="n"/>
      <c r="H3021" s="19" t="n"/>
      <c r="J3021" s="16" t="n"/>
      <c r="K3021" s="19" t="n"/>
      <c r="M3021" s="16" t="n"/>
      <c r="N3021" s="19" t="n"/>
    </row>
    <row r="3022">
      <c r="A3022" s="16" t="n"/>
      <c r="B3022" s="19" t="n"/>
      <c r="D3022" s="16" t="n"/>
      <c r="E3022" s="19" t="n"/>
      <c r="G3022" s="16" t="n"/>
      <c r="H3022" s="19" t="n"/>
      <c r="J3022" s="16" t="n"/>
      <c r="K3022" s="19" t="n"/>
      <c r="M3022" s="16" t="n"/>
      <c r="N3022" s="19" t="n"/>
    </row>
    <row r="3023">
      <c r="A3023" s="16" t="n"/>
      <c r="B3023" s="19" t="n"/>
      <c r="D3023" s="16" t="n"/>
      <c r="E3023" s="19" t="n"/>
      <c r="G3023" s="16" t="n"/>
      <c r="H3023" s="19" t="n"/>
      <c r="J3023" s="16" t="n"/>
      <c r="K3023" s="19" t="n"/>
      <c r="M3023" s="16" t="n"/>
      <c r="N3023" s="19" t="n"/>
    </row>
    <row r="3024">
      <c r="A3024" s="16" t="n"/>
      <c r="B3024" s="19" t="n"/>
      <c r="D3024" s="16" t="n"/>
      <c r="E3024" s="19" t="n"/>
      <c r="G3024" s="16" t="n"/>
      <c r="H3024" s="19" t="n"/>
      <c r="J3024" s="16" t="n"/>
      <c r="K3024" s="19" t="n"/>
      <c r="M3024" s="16" t="n"/>
      <c r="N3024" s="19" t="n"/>
    </row>
    <row r="3025">
      <c r="A3025" s="16" t="n"/>
      <c r="B3025" s="19" t="n"/>
      <c r="D3025" s="16" t="n"/>
      <c r="E3025" s="19" t="n"/>
      <c r="G3025" s="16" t="n"/>
      <c r="H3025" s="19" t="n"/>
      <c r="J3025" s="16" t="n"/>
      <c r="K3025" s="19" t="n"/>
      <c r="M3025" s="16" t="n"/>
      <c r="N3025" s="19" t="n"/>
    </row>
    <row r="3026">
      <c r="A3026" s="16" t="n"/>
      <c r="B3026" s="19" t="n"/>
      <c r="D3026" s="16" t="n"/>
      <c r="E3026" s="19" t="n"/>
      <c r="G3026" s="16" t="n"/>
      <c r="H3026" s="19" t="n"/>
      <c r="J3026" s="16" t="n"/>
      <c r="K3026" s="19" t="n"/>
      <c r="M3026" s="16" t="n"/>
      <c r="N3026" s="19" t="n"/>
    </row>
    <row r="3027">
      <c r="A3027" s="16" t="n"/>
      <c r="B3027" s="19" t="n"/>
      <c r="D3027" s="16" t="n"/>
      <c r="E3027" s="19" t="n"/>
      <c r="G3027" s="16" t="n"/>
      <c r="H3027" s="19" t="n"/>
      <c r="J3027" s="16" t="n"/>
      <c r="K3027" s="19" t="n"/>
      <c r="M3027" s="16" t="n"/>
      <c r="N3027" s="19" t="n"/>
    </row>
    <row r="3028">
      <c r="A3028" s="16" t="n"/>
      <c r="B3028" s="19" t="n"/>
      <c r="D3028" s="16" t="n"/>
      <c r="E3028" s="19" t="n"/>
      <c r="G3028" s="16" t="n"/>
      <c r="H3028" s="19" t="n"/>
      <c r="J3028" s="16" t="n"/>
      <c r="K3028" s="19" t="n"/>
      <c r="M3028" s="16" t="n"/>
      <c r="N3028" s="19" t="n"/>
    </row>
    <row r="3029">
      <c r="A3029" s="16" t="n"/>
      <c r="B3029" s="19" t="n"/>
      <c r="D3029" s="16" t="n"/>
      <c r="E3029" s="19" t="n"/>
      <c r="G3029" s="16" t="n"/>
      <c r="H3029" s="19" t="n"/>
      <c r="J3029" s="16" t="n"/>
      <c r="K3029" s="19" t="n"/>
      <c r="M3029" s="16" t="n"/>
      <c r="N3029" s="19" t="n"/>
    </row>
    <row r="3030">
      <c r="A3030" s="16" t="n"/>
      <c r="B3030" s="19" t="n"/>
      <c r="D3030" s="16" t="n"/>
      <c r="E3030" s="19" t="n"/>
      <c r="G3030" s="16" t="n"/>
      <c r="H3030" s="19" t="n"/>
      <c r="J3030" s="16" t="n"/>
      <c r="K3030" s="19" t="n"/>
      <c r="M3030" s="16" t="n"/>
      <c r="N3030" s="19" t="n"/>
    </row>
    <row r="3031">
      <c r="A3031" s="16" t="n"/>
      <c r="B3031" s="19" t="n"/>
      <c r="D3031" s="16" t="n"/>
      <c r="E3031" s="19" t="n"/>
      <c r="G3031" s="16" t="n"/>
      <c r="H3031" s="19" t="n"/>
      <c r="J3031" s="16" t="n"/>
      <c r="K3031" s="19" t="n"/>
      <c r="M3031" s="16" t="n"/>
      <c r="N3031" s="19" t="n"/>
    </row>
    <row r="3032">
      <c r="A3032" s="16" t="n"/>
      <c r="B3032" s="19" t="n"/>
      <c r="D3032" s="16" t="n"/>
      <c r="E3032" s="19" t="n"/>
      <c r="G3032" s="16" t="n"/>
      <c r="H3032" s="19" t="n"/>
      <c r="J3032" s="16" t="n"/>
      <c r="K3032" s="19" t="n"/>
      <c r="M3032" s="16" t="n"/>
      <c r="N3032" s="19" t="n"/>
    </row>
    <row r="3033">
      <c r="A3033" s="16" t="n"/>
      <c r="B3033" s="19" t="n"/>
      <c r="D3033" s="16" t="n"/>
      <c r="E3033" s="19" t="n"/>
      <c r="G3033" s="16" t="n"/>
      <c r="H3033" s="19" t="n"/>
      <c r="J3033" s="16" t="n"/>
      <c r="K3033" s="19" t="n"/>
      <c r="M3033" s="16" t="n"/>
      <c r="N3033" s="19" t="n"/>
    </row>
    <row r="3034">
      <c r="A3034" s="16" t="n"/>
      <c r="B3034" s="19" t="n"/>
      <c r="D3034" s="16" t="n"/>
      <c r="E3034" s="19" t="n"/>
      <c r="G3034" s="16" t="n"/>
      <c r="H3034" s="19" t="n"/>
      <c r="J3034" s="16" t="n"/>
      <c r="K3034" s="19" t="n"/>
      <c r="M3034" s="16" t="n"/>
      <c r="N3034" s="19" t="n"/>
    </row>
    <row r="3035">
      <c r="A3035" s="16" t="n"/>
      <c r="B3035" s="19" t="n"/>
      <c r="D3035" s="16" t="n"/>
      <c r="E3035" s="19" t="n"/>
      <c r="G3035" s="16" t="n"/>
      <c r="H3035" s="19" t="n"/>
      <c r="J3035" s="16" t="n"/>
      <c r="K3035" s="19" t="n"/>
      <c r="M3035" s="16" t="n"/>
      <c r="N3035" s="19" t="n"/>
    </row>
    <row r="3036">
      <c r="A3036" s="16" t="n"/>
      <c r="B3036" s="19" t="n"/>
      <c r="D3036" s="16" t="n"/>
      <c r="E3036" s="19" t="n"/>
      <c r="G3036" s="16" t="n"/>
      <c r="H3036" s="19" t="n"/>
      <c r="J3036" s="16" t="n"/>
      <c r="K3036" s="19" t="n"/>
      <c r="M3036" s="16" t="n"/>
      <c r="N3036" s="19" t="n"/>
    </row>
    <row r="3037">
      <c r="A3037" s="16" t="n"/>
      <c r="B3037" s="19" t="n"/>
      <c r="D3037" s="16" t="n"/>
      <c r="E3037" s="19" t="n"/>
      <c r="G3037" s="16" t="n"/>
      <c r="H3037" s="19" t="n"/>
      <c r="J3037" s="16" t="n"/>
      <c r="K3037" s="19" t="n"/>
      <c r="M3037" s="16" t="n"/>
      <c r="N3037" s="19" t="n"/>
    </row>
    <row r="3038">
      <c r="A3038" s="16" t="n"/>
      <c r="B3038" s="19" t="n"/>
      <c r="D3038" s="16" t="n"/>
      <c r="E3038" s="19" t="n"/>
      <c r="G3038" s="16" t="n"/>
      <c r="H3038" s="19" t="n"/>
      <c r="J3038" s="16" t="n"/>
      <c r="K3038" s="19" t="n"/>
      <c r="M3038" s="16" t="n"/>
      <c r="N3038" s="19" t="n"/>
    </row>
    <row r="3039">
      <c r="A3039" s="16" t="n"/>
      <c r="B3039" s="19" t="n"/>
      <c r="D3039" s="16" t="n"/>
      <c r="E3039" s="19" t="n"/>
      <c r="G3039" s="16" t="n"/>
      <c r="H3039" s="19" t="n"/>
      <c r="J3039" s="16" t="n"/>
      <c r="K3039" s="19" t="n"/>
      <c r="M3039" s="16" t="n"/>
      <c r="N3039" s="19" t="n"/>
    </row>
    <row r="3040">
      <c r="A3040" s="16" t="n"/>
      <c r="B3040" s="19" t="n"/>
      <c r="D3040" s="16" t="n"/>
      <c r="E3040" s="19" t="n"/>
      <c r="G3040" s="16" t="n"/>
      <c r="H3040" s="19" t="n"/>
      <c r="J3040" s="16" t="n"/>
      <c r="K3040" s="19" t="n"/>
      <c r="M3040" s="16" t="n"/>
      <c r="N3040" s="19" t="n"/>
    </row>
    <row r="3041">
      <c r="A3041" s="16" t="n"/>
      <c r="B3041" s="19" t="n"/>
      <c r="D3041" s="16" t="n"/>
      <c r="E3041" s="19" t="n"/>
      <c r="G3041" s="16" t="n"/>
      <c r="H3041" s="19" t="n"/>
      <c r="J3041" s="16" t="n"/>
      <c r="K3041" s="19" t="n"/>
      <c r="M3041" s="16" t="n"/>
      <c r="N3041" s="19" t="n"/>
    </row>
    <row r="3042">
      <c r="A3042" s="16" t="n"/>
      <c r="B3042" s="19" t="n"/>
      <c r="D3042" s="16" t="n"/>
      <c r="E3042" s="19" t="n"/>
      <c r="G3042" s="16" t="n"/>
      <c r="H3042" s="19" t="n"/>
      <c r="J3042" s="16" t="n"/>
      <c r="K3042" s="19" t="n"/>
      <c r="M3042" s="16" t="n"/>
      <c r="N3042" s="19" t="n"/>
    </row>
    <row r="3043">
      <c r="A3043" s="16" t="n"/>
      <c r="B3043" s="19" t="n"/>
      <c r="D3043" s="16" t="n"/>
      <c r="E3043" s="19" t="n"/>
      <c r="G3043" s="16" t="n"/>
      <c r="H3043" s="19" t="n"/>
      <c r="J3043" s="16" t="n"/>
      <c r="K3043" s="19" t="n"/>
      <c r="M3043" s="16" t="n"/>
      <c r="N3043" s="19" t="n"/>
    </row>
    <row r="3044">
      <c r="A3044" s="16" t="n"/>
      <c r="B3044" s="19" t="n"/>
      <c r="D3044" s="16" t="n"/>
      <c r="E3044" s="19" t="n"/>
      <c r="G3044" s="16" t="n"/>
      <c r="H3044" s="19" t="n"/>
      <c r="J3044" s="16" t="n"/>
      <c r="K3044" s="19" t="n"/>
      <c r="M3044" s="16" t="n"/>
      <c r="N3044" s="19" t="n"/>
    </row>
    <row r="3045">
      <c r="A3045" s="16" t="n"/>
      <c r="B3045" s="19" t="n"/>
      <c r="D3045" s="16" t="n"/>
      <c r="E3045" s="19" t="n"/>
      <c r="G3045" s="16" t="n"/>
      <c r="H3045" s="19" t="n"/>
      <c r="J3045" s="16" t="n"/>
      <c r="K3045" s="19" t="n"/>
      <c r="M3045" s="16" t="n"/>
      <c r="N3045" s="19" t="n"/>
    </row>
    <row r="3046">
      <c r="A3046" s="16" t="n"/>
      <c r="B3046" s="19" t="n"/>
      <c r="D3046" s="16" t="n"/>
      <c r="E3046" s="19" t="n"/>
      <c r="G3046" s="16" t="n"/>
      <c r="H3046" s="19" t="n"/>
      <c r="J3046" s="16" t="n"/>
      <c r="K3046" s="19" t="n"/>
      <c r="M3046" s="16" t="n"/>
      <c r="N3046" s="19" t="n"/>
    </row>
    <row r="3047">
      <c r="A3047" s="16" t="n"/>
      <c r="B3047" s="19" t="n"/>
      <c r="D3047" s="16" t="n"/>
      <c r="E3047" s="19" t="n"/>
      <c r="G3047" s="16" t="n"/>
      <c r="H3047" s="19" t="n"/>
      <c r="J3047" s="16" t="n"/>
      <c r="K3047" s="19" t="n"/>
      <c r="M3047" s="16" t="n"/>
      <c r="N3047" s="19" t="n"/>
    </row>
    <row r="3048">
      <c r="A3048" s="16" t="n"/>
      <c r="B3048" s="19" t="n"/>
      <c r="D3048" s="16" t="n"/>
      <c r="E3048" s="19" t="n"/>
      <c r="G3048" s="16" t="n"/>
      <c r="H3048" s="19" t="n"/>
      <c r="J3048" s="16" t="n"/>
      <c r="K3048" s="19" t="n"/>
      <c r="M3048" s="16" t="n"/>
      <c r="N3048" s="19" t="n"/>
    </row>
    <row r="3049">
      <c r="A3049" s="16" t="n"/>
      <c r="B3049" s="19" t="n"/>
      <c r="D3049" s="16" t="n"/>
      <c r="E3049" s="19" t="n"/>
      <c r="G3049" s="16" t="n"/>
      <c r="H3049" s="19" t="n"/>
      <c r="J3049" s="16" t="n"/>
      <c r="K3049" s="19" t="n"/>
      <c r="M3049" s="16" t="n"/>
      <c r="N3049" s="19" t="n"/>
    </row>
    <row r="3050">
      <c r="A3050" s="16" t="n"/>
      <c r="B3050" s="19" t="n"/>
      <c r="D3050" s="16" t="n"/>
      <c r="E3050" s="19" t="n"/>
      <c r="G3050" s="16" t="n"/>
      <c r="H3050" s="19" t="n"/>
      <c r="J3050" s="16" t="n"/>
      <c r="K3050" s="19" t="n"/>
      <c r="M3050" s="16" t="n"/>
      <c r="N3050" s="19" t="n"/>
    </row>
    <row r="3051">
      <c r="A3051" s="16" t="n"/>
      <c r="B3051" s="19" t="n"/>
      <c r="D3051" s="16" t="n"/>
      <c r="E3051" s="19" t="n"/>
      <c r="G3051" s="16" t="n"/>
      <c r="H3051" s="19" t="n"/>
      <c r="J3051" s="16" t="n"/>
      <c r="K3051" s="19" t="n"/>
      <c r="M3051" s="16" t="n"/>
      <c r="N3051" s="19" t="n"/>
    </row>
    <row r="3052">
      <c r="A3052" s="16" t="n"/>
      <c r="B3052" s="19" t="n"/>
      <c r="D3052" s="16" t="n"/>
      <c r="E3052" s="19" t="n"/>
      <c r="G3052" s="16" t="n"/>
      <c r="H3052" s="19" t="n"/>
      <c r="J3052" s="16" t="n"/>
      <c r="K3052" s="19" t="n"/>
      <c r="M3052" s="16" t="n"/>
      <c r="N3052" s="19" t="n"/>
    </row>
    <row r="3053">
      <c r="A3053" s="16" t="n"/>
      <c r="B3053" s="19" t="n"/>
      <c r="D3053" s="16" t="n"/>
      <c r="E3053" s="19" t="n"/>
      <c r="G3053" s="16" t="n"/>
      <c r="H3053" s="19" t="n"/>
      <c r="J3053" s="16" t="n"/>
      <c r="K3053" s="19" t="n"/>
      <c r="M3053" s="16" t="n"/>
      <c r="N3053" s="19" t="n"/>
    </row>
    <row r="3054">
      <c r="A3054" s="16" t="n"/>
      <c r="B3054" s="19" t="n"/>
      <c r="D3054" s="16" t="n"/>
      <c r="E3054" s="19" t="n"/>
      <c r="G3054" s="16" t="n"/>
      <c r="H3054" s="19" t="n"/>
      <c r="J3054" s="16" t="n"/>
      <c r="K3054" s="19" t="n"/>
      <c r="M3054" s="16" t="n"/>
      <c r="N3054" s="19" t="n"/>
    </row>
    <row r="3055">
      <c r="A3055" s="16" t="n"/>
      <c r="B3055" s="19" t="n"/>
      <c r="D3055" s="16" t="n"/>
      <c r="E3055" s="19" t="n"/>
      <c r="G3055" s="16" t="n"/>
      <c r="H3055" s="19" t="n"/>
      <c r="J3055" s="16" t="n"/>
      <c r="K3055" s="19" t="n"/>
      <c r="M3055" s="16" t="n"/>
      <c r="N3055" s="19" t="n"/>
    </row>
    <row r="3056">
      <c r="A3056" s="16" t="n"/>
      <c r="B3056" s="19" t="n"/>
      <c r="D3056" s="16" t="n"/>
      <c r="E3056" s="19" t="n"/>
      <c r="G3056" s="16" t="n"/>
      <c r="H3056" s="19" t="n"/>
      <c r="J3056" s="16" t="n"/>
      <c r="K3056" s="19" t="n"/>
      <c r="M3056" s="16" t="n"/>
      <c r="N3056" s="19" t="n"/>
    </row>
    <row r="3057">
      <c r="A3057" s="16" t="n"/>
      <c r="B3057" s="19" t="n"/>
      <c r="D3057" s="16" t="n"/>
      <c r="E3057" s="19" t="n"/>
      <c r="G3057" s="16" t="n"/>
      <c r="H3057" s="19" t="n"/>
      <c r="J3057" s="16" t="n"/>
      <c r="K3057" s="19" t="n"/>
      <c r="M3057" s="16" t="n"/>
      <c r="N3057" s="19" t="n"/>
    </row>
    <row r="3058">
      <c r="A3058" s="16" t="n"/>
      <c r="B3058" s="19" t="n"/>
      <c r="D3058" s="16" t="n"/>
      <c r="E3058" s="19" t="n"/>
      <c r="G3058" s="16" t="n"/>
      <c r="H3058" s="19" t="n"/>
      <c r="J3058" s="16" t="n"/>
      <c r="K3058" s="19" t="n"/>
      <c r="M3058" s="16" t="n"/>
      <c r="N3058" s="19" t="n"/>
    </row>
    <row r="3059">
      <c r="A3059" s="16" t="n"/>
      <c r="B3059" s="19" t="n"/>
      <c r="D3059" s="16" t="n"/>
      <c r="E3059" s="19" t="n"/>
      <c r="G3059" s="16" t="n"/>
      <c r="H3059" s="19" t="n"/>
      <c r="J3059" s="16" t="n"/>
      <c r="K3059" s="19" t="n"/>
      <c r="M3059" s="16" t="n"/>
      <c r="N3059" s="19" t="n"/>
    </row>
    <row r="3060">
      <c r="A3060" s="16" t="n"/>
      <c r="B3060" s="19" t="n"/>
      <c r="D3060" s="16" t="n"/>
      <c r="E3060" s="19" t="n"/>
      <c r="G3060" s="16" t="n"/>
      <c r="H3060" s="19" t="n"/>
      <c r="J3060" s="16" t="n"/>
      <c r="K3060" s="19" t="n"/>
      <c r="M3060" s="16" t="n"/>
      <c r="N3060" s="19" t="n"/>
    </row>
    <row r="3061">
      <c r="A3061" s="16" t="n"/>
      <c r="B3061" s="19" t="n"/>
      <c r="D3061" s="16" t="n"/>
      <c r="E3061" s="19" t="n"/>
      <c r="G3061" s="16" t="n"/>
      <c r="H3061" s="19" t="n"/>
      <c r="J3061" s="16" t="n"/>
      <c r="K3061" s="19" t="n"/>
      <c r="M3061" s="16" t="n"/>
      <c r="N3061" s="19" t="n"/>
    </row>
    <row r="3062">
      <c r="A3062" s="16" t="n"/>
      <c r="B3062" s="19" t="n"/>
      <c r="D3062" s="16" t="n"/>
      <c r="E3062" s="19" t="n"/>
      <c r="G3062" s="16" t="n"/>
      <c r="H3062" s="19" t="n"/>
      <c r="J3062" s="16" t="n"/>
      <c r="K3062" s="19" t="n"/>
      <c r="M3062" s="16" t="n"/>
      <c r="N3062" s="19" t="n"/>
    </row>
    <row r="3063">
      <c r="A3063" s="16" t="n"/>
      <c r="B3063" s="19" t="n"/>
      <c r="D3063" s="16" t="n"/>
      <c r="E3063" s="19" t="n"/>
      <c r="G3063" s="16" t="n"/>
      <c r="H3063" s="19" t="n"/>
      <c r="J3063" s="16" t="n"/>
      <c r="K3063" s="19" t="n"/>
      <c r="M3063" s="16" t="n"/>
      <c r="N3063" s="19" t="n"/>
    </row>
    <row r="3064">
      <c r="A3064" s="16" t="n"/>
      <c r="B3064" s="19" t="n"/>
      <c r="D3064" s="16" t="n"/>
      <c r="E3064" s="19" t="n"/>
      <c r="G3064" s="16" t="n"/>
      <c r="H3064" s="19" t="n"/>
      <c r="J3064" s="16" t="n"/>
      <c r="K3064" s="19" t="n"/>
      <c r="M3064" s="16" t="n"/>
      <c r="N3064" s="19" t="n"/>
    </row>
    <row r="3065">
      <c r="A3065" s="16" t="n"/>
      <c r="B3065" s="19" t="n"/>
      <c r="D3065" s="16" t="n"/>
      <c r="E3065" s="19" t="n"/>
      <c r="G3065" s="16" t="n"/>
      <c r="H3065" s="19" t="n"/>
      <c r="J3065" s="16" t="n"/>
      <c r="K3065" s="19" t="n"/>
      <c r="M3065" s="16" t="n"/>
      <c r="N3065" s="19" t="n"/>
    </row>
    <row r="3066">
      <c r="A3066" s="16" t="n"/>
      <c r="B3066" s="19" t="n"/>
      <c r="D3066" s="16" t="n"/>
      <c r="E3066" s="19" t="n"/>
      <c r="G3066" s="16" t="n"/>
      <c r="H3066" s="19" t="n"/>
      <c r="J3066" s="16" t="n"/>
      <c r="K3066" s="19" t="n"/>
      <c r="M3066" s="16" t="n"/>
      <c r="N3066" s="19" t="n"/>
    </row>
    <row r="3067">
      <c r="A3067" s="16" t="n"/>
      <c r="B3067" s="19" t="n"/>
      <c r="D3067" s="16" t="n"/>
      <c r="E3067" s="19" t="n"/>
      <c r="G3067" s="16" t="n"/>
      <c r="H3067" s="19" t="n"/>
      <c r="J3067" s="16" t="n"/>
      <c r="K3067" s="19" t="n"/>
      <c r="M3067" s="16" t="n"/>
      <c r="N3067" s="19" t="n"/>
    </row>
    <row r="3068">
      <c r="A3068" s="16" t="n"/>
      <c r="B3068" s="19" t="n"/>
      <c r="D3068" s="16" t="n"/>
      <c r="E3068" s="19" t="n"/>
      <c r="G3068" s="16" t="n"/>
      <c r="H3068" s="19" t="n"/>
      <c r="J3068" s="16" t="n"/>
      <c r="K3068" s="19" t="n"/>
      <c r="M3068" s="16" t="n"/>
      <c r="N3068" s="19" t="n"/>
    </row>
    <row r="3069">
      <c r="A3069" s="16" t="n"/>
      <c r="B3069" s="19" t="n"/>
      <c r="D3069" s="16" t="n"/>
      <c r="E3069" s="19" t="n"/>
      <c r="G3069" s="16" t="n"/>
      <c r="H3069" s="19" t="n"/>
      <c r="J3069" s="16" t="n"/>
      <c r="K3069" s="19" t="n"/>
      <c r="M3069" s="16" t="n"/>
      <c r="N3069" s="19" t="n"/>
    </row>
    <row r="3070">
      <c r="A3070" s="16" t="n"/>
      <c r="B3070" s="19" t="n"/>
      <c r="D3070" s="16" t="n"/>
      <c r="E3070" s="19" t="n"/>
      <c r="G3070" s="16" t="n"/>
      <c r="H3070" s="19" t="n"/>
      <c r="J3070" s="16" t="n"/>
      <c r="K3070" s="19" t="n"/>
      <c r="M3070" s="16" t="n"/>
      <c r="N3070" s="19" t="n"/>
    </row>
    <row r="3071">
      <c r="A3071" s="16" t="n"/>
      <c r="B3071" s="19" t="n"/>
      <c r="D3071" s="16" t="n"/>
      <c r="E3071" s="19" t="n"/>
      <c r="G3071" s="16" t="n"/>
      <c r="H3071" s="19" t="n"/>
      <c r="J3071" s="16" t="n"/>
      <c r="K3071" s="19" t="n"/>
      <c r="M3071" s="16" t="n"/>
      <c r="N3071" s="19" t="n"/>
    </row>
    <row r="3072">
      <c r="A3072" s="16" t="n"/>
      <c r="B3072" s="19" t="n"/>
      <c r="D3072" s="16" t="n"/>
      <c r="E3072" s="19" t="n"/>
      <c r="G3072" s="16" t="n"/>
      <c r="H3072" s="19" t="n"/>
      <c r="J3072" s="16" t="n"/>
      <c r="K3072" s="19" t="n"/>
      <c r="M3072" s="16" t="n"/>
      <c r="N3072" s="19" t="n"/>
    </row>
    <row r="3073">
      <c r="A3073" s="16" t="n"/>
      <c r="B3073" s="19" t="n"/>
      <c r="D3073" s="16" t="n"/>
      <c r="E3073" s="19" t="n"/>
      <c r="G3073" s="16" t="n"/>
      <c r="H3073" s="19" t="n"/>
      <c r="J3073" s="16" t="n"/>
      <c r="K3073" s="19" t="n"/>
      <c r="M3073" s="16" t="n"/>
      <c r="N3073" s="19" t="n"/>
    </row>
    <row r="3074">
      <c r="A3074" s="16" t="n"/>
      <c r="B3074" s="19" t="n"/>
      <c r="D3074" s="16" t="n"/>
      <c r="E3074" s="19" t="n"/>
      <c r="G3074" s="16" t="n"/>
      <c r="H3074" s="19" t="n"/>
      <c r="J3074" s="16" t="n"/>
      <c r="K3074" s="19" t="n"/>
      <c r="M3074" s="16" t="n"/>
      <c r="N3074" s="19" t="n"/>
    </row>
    <row r="3075">
      <c r="A3075" s="16" t="n"/>
      <c r="B3075" s="19" t="n"/>
      <c r="D3075" s="16" t="n"/>
      <c r="E3075" s="19" t="n"/>
      <c r="G3075" s="16" t="n"/>
      <c r="H3075" s="19" t="n"/>
      <c r="J3075" s="16" t="n"/>
      <c r="K3075" s="19" t="n"/>
      <c r="M3075" s="16" t="n"/>
      <c r="N3075" s="19" t="n"/>
    </row>
    <row r="3076">
      <c r="A3076" s="16" t="n"/>
      <c r="B3076" s="19" t="n"/>
      <c r="D3076" s="16" t="n"/>
      <c r="E3076" s="19" t="n"/>
      <c r="G3076" s="16" t="n"/>
      <c r="H3076" s="19" t="n"/>
      <c r="J3076" s="16" t="n"/>
      <c r="K3076" s="19" t="n"/>
      <c r="M3076" s="16" t="n"/>
      <c r="N3076" s="19" t="n"/>
    </row>
    <row r="3077">
      <c r="A3077" s="16" t="n"/>
      <c r="B3077" s="19" t="n"/>
      <c r="D3077" s="16" t="n"/>
      <c r="E3077" s="19" t="n"/>
      <c r="G3077" s="16" t="n"/>
      <c r="H3077" s="19" t="n"/>
      <c r="J3077" s="16" t="n"/>
      <c r="K3077" s="19" t="n"/>
      <c r="M3077" s="16" t="n"/>
      <c r="N3077" s="19" t="n"/>
    </row>
    <row r="3078">
      <c r="A3078" s="16" t="n"/>
      <c r="B3078" s="19" t="n"/>
      <c r="D3078" s="16" t="n"/>
      <c r="E3078" s="19" t="n"/>
      <c r="G3078" s="16" t="n"/>
      <c r="H3078" s="19" t="n"/>
      <c r="J3078" s="16" t="n"/>
      <c r="K3078" s="19" t="n"/>
      <c r="M3078" s="16" t="n"/>
      <c r="N3078" s="19" t="n"/>
    </row>
    <row r="3079">
      <c r="A3079" s="16" t="n"/>
      <c r="B3079" s="19" t="n"/>
      <c r="D3079" s="16" t="n"/>
      <c r="E3079" s="19" t="n"/>
      <c r="G3079" s="16" t="n"/>
      <c r="H3079" s="19" t="n"/>
      <c r="J3079" s="16" t="n"/>
      <c r="K3079" s="19" t="n"/>
      <c r="M3079" s="16" t="n"/>
      <c r="N3079" s="19" t="n"/>
    </row>
    <row r="3080">
      <c r="A3080" s="16" t="n"/>
      <c r="B3080" s="19" t="n"/>
      <c r="D3080" s="16" t="n"/>
      <c r="E3080" s="19" t="n"/>
      <c r="G3080" s="16" t="n"/>
      <c r="H3080" s="19" t="n"/>
      <c r="J3080" s="16" t="n"/>
      <c r="K3080" s="19" t="n"/>
      <c r="M3080" s="16" t="n"/>
      <c r="N3080" s="19" t="n"/>
    </row>
    <row r="3081">
      <c r="A3081" s="16" t="n"/>
      <c r="B3081" s="19" t="n"/>
      <c r="D3081" s="16" t="n"/>
      <c r="E3081" s="19" t="n"/>
      <c r="G3081" s="16" t="n"/>
      <c r="H3081" s="19" t="n"/>
      <c r="J3081" s="16" t="n"/>
      <c r="K3081" s="19" t="n"/>
      <c r="M3081" s="16" t="n"/>
      <c r="N3081" s="19" t="n"/>
    </row>
    <row r="3082">
      <c r="A3082" s="16" t="n"/>
      <c r="B3082" s="19" t="n"/>
      <c r="D3082" s="16" t="n"/>
      <c r="E3082" s="19" t="n"/>
      <c r="G3082" s="16" t="n"/>
      <c r="H3082" s="19" t="n"/>
      <c r="J3082" s="16" t="n"/>
      <c r="K3082" s="19" t="n"/>
      <c r="M3082" s="16" t="n"/>
      <c r="N3082" s="19" t="n"/>
    </row>
    <row r="3083">
      <c r="A3083" s="16" t="n"/>
      <c r="B3083" s="19" t="n"/>
      <c r="D3083" s="16" t="n"/>
      <c r="E3083" s="19" t="n"/>
      <c r="G3083" s="16" t="n"/>
      <c r="H3083" s="19" t="n"/>
      <c r="J3083" s="16" t="n"/>
      <c r="K3083" s="19" t="n"/>
      <c r="M3083" s="16" t="n"/>
      <c r="N3083" s="19" t="n"/>
    </row>
    <row r="3084">
      <c r="A3084" s="16" t="n"/>
      <c r="B3084" s="19" t="n"/>
      <c r="D3084" s="16" t="n"/>
      <c r="E3084" s="19" t="n"/>
      <c r="G3084" s="16" t="n"/>
      <c r="H3084" s="19" t="n"/>
      <c r="J3084" s="16" t="n"/>
      <c r="K3084" s="19" t="n"/>
      <c r="M3084" s="16" t="n"/>
      <c r="N3084" s="19" t="n"/>
    </row>
    <row r="3085">
      <c r="A3085" s="16" t="n"/>
      <c r="B3085" s="19" t="n"/>
      <c r="D3085" s="16" t="n"/>
      <c r="E3085" s="19" t="n"/>
      <c r="G3085" s="16" t="n"/>
      <c r="H3085" s="19" t="n"/>
      <c r="J3085" s="16" t="n"/>
      <c r="K3085" s="19" t="n"/>
      <c r="M3085" s="16" t="n"/>
      <c r="N3085" s="19" t="n"/>
    </row>
    <row r="3086">
      <c r="A3086" s="16" t="n"/>
      <c r="B3086" s="19" t="n"/>
      <c r="D3086" s="16" t="n"/>
      <c r="E3086" s="19" t="n"/>
      <c r="G3086" s="16" t="n"/>
      <c r="H3086" s="19" t="n"/>
      <c r="J3086" s="16" t="n"/>
      <c r="K3086" s="19" t="n"/>
      <c r="M3086" s="16" t="n"/>
      <c r="N3086" s="19" t="n"/>
    </row>
    <row r="3087">
      <c r="A3087" s="16" t="n"/>
      <c r="B3087" s="19" t="n"/>
      <c r="D3087" s="16" t="n"/>
      <c r="E3087" s="19" t="n"/>
      <c r="G3087" s="16" t="n"/>
      <c r="H3087" s="19" t="n"/>
      <c r="J3087" s="16" t="n"/>
      <c r="K3087" s="19" t="n"/>
      <c r="M3087" s="16" t="n"/>
      <c r="N3087" s="19" t="n"/>
    </row>
    <row r="3088">
      <c r="A3088" s="16" t="n"/>
      <c r="B3088" s="19" t="n"/>
      <c r="D3088" s="16" t="n"/>
      <c r="E3088" s="19" t="n"/>
      <c r="G3088" s="16" t="n"/>
      <c r="H3088" s="19" t="n"/>
      <c r="J3088" s="16" t="n"/>
      <c r="K3088" s="19" t="n"/>
      <c r="M3088" s="16" t="n"/>
      <c r="N3088" s="19" t="n"/>
    </row>
    <row r="3089">
      <c r="A3089" s="16" t="n"/>
      <c r="B3089" s="19" t="n"/>
      <c r="D3089" s="16" t="n"/>
      <c r="E3089" s="19" t="n"/>
      <c r="G3089" s="16" t="n"/>
      <c r="H3089" s="19" t="n"/>
      <c r="J3089" s="16" t="n"/>
      <c r="K3089" s="19" t="n"/>
      <c r="M3089" s="16" t="n"/>
      <c r="N3089" s="19" t="n"/>
    </row>
    <row r="3090">
      <c r="A3090" s="16" t="n"/>
      <c r="B3090" s="19" t="n"/>
      <c r="D3090" s="16" t="n"/>
      <c r="E3090" s="19" t="n"/>
      <c r="G3090" s="16" t="n"/>
      <c r="H3090" s="19" t="n"/>
      <c r="J3090" s="16" t="n"/>
      <c r="K3090" s="19" t="n"/>
      <c r="M3090" s="16" t="n"/>
      <c r="N3090" s="19" t="n"/>
    </row>
    <row r="3091">
      <c r="A3091" s="16" t="n"/>
      <c r="B3091" s="19" t="n"/>
      <c r="D3091" s="16" t="n"/>
      <c r="E3091" s="19" t="n"/>
      <c r="G3091" s="16" t="n"/>
      <c r="H3091" s="19" t="n"/>
      <c r="J3091" s="16" t="n"/>
      <c r="K3091" s="19" t="n"/>
      <c r="M3091" s="16" t="n"/>
      <c r="N3091" s="19" t="n"/>
    </row>
    <row r="3092">
      <c r="A3092" s="16" t="n"/>
      <c r="B3092" s="19" t="n"/>
      <c r="D3092" s="16" t="n"/>
      <c r="E3092" s="19" t="n"/>
      <c r="G3092" s="16" t="n"/>
      <c r="H3092" s="19" t="n"/>
      <c r="J3092" s="16" t="n"/>
      <c r="K3092" s="19" t="n"/>
      <c r="M3092" s="16" t="n"/>
      <c r="N3092" s="19" t="n"/>
    </row>
    <row r="3093">
      <c r="A3093" s="16" t="n"/>
      <c r="B3093" s="19" t="n"/>
      <c r="D3093" s="16" t="n"/>
      <c r="E3093" s="19" t="n"/>
      <c r="G3093" s="16" t="n"/>
      <c r="H3093" s="19" t="n"/>
      <c r="J3093" s="16" t="n"/>
      <c r="K3093" s="19" t="n"/>
      <c r="M3093" s="16" t="n"/>
      <c r="N3093" s="19" t="n"/>
    </row>
    <row r="3094">
      <c r="A3094" s="16" t="n"/>
      <c r="B3094" s="19" t="n"/>
      <c r="D3094" s="16" t="n"/>
      <c r="E3094" s="19" t="n"/>
      <c r="G3094" s="16" t="n"/>
      <c r="H3094" s="19" t="n"/>
      <c r="J3094" s="16" t="n"/>
      <c r="K3094" s="19" t="n"/>
      <c r="M3094" s="16" t="n"/>
      <c r="N3094" s="19" t="n"/>
    </row>
    <row r="3095">
      <c r="A3095" s="16" t="n"/>
      <c r="B3095" s="19" t="n"/>
      <c r="D3095" s="16" t="n"/>
      <c r="E3095" s="19" t="n"/>
      <c r="G3095" s="16" t="n"/>
      <c r="H3095" s="19" t="n"/>
      <c r="J3095" s="16" t="n"/>
      <c r="K3095" s="19" t="n"/>
      <c r="M3095" s="16" t="n"/>
      <c r="N3095" s="19" t="n"/>
    </row>
    <row r="3096">
      <c r="A3096" s="16" t="n"/>
      <c r="B3096" s="19" t="n"/>
      <c r="D3096" s="16" t="n"/>
      <c r="E3096" s="19" t="n"/>
      <c r="G3096" s="16" t="n"/>
      <c r="H3096" s="19" t="n"/>
      <c r="J3096" s="16" t="n"/>
      <c r="K3096" s="19" t="n"/>
      <c r="M3096" s="16" t="n"/>
      <c r="N3096" s="19" t="n"/>
    </row>
    <row r="3097">
      <c r="A3097" s="16" t="n"/>
      <c r="B3097" s="19" t="n"/>
      <c r="D3097" s="16" t="n"/>
      <c r="E3097" s="19" t="n"/>
      <c r="G3097" s="16" t="n"/>
      <c r="H3097" s="19" t="n"/>
      <c r="J3097" s="16" t="n"/>
      <c r="K3097" s="19" t="n"/>
      <c r="M3097" s="16" t="n"/>
      <c r="N3097" s="19" t="n"/>
    </row>
    <row r="3098">
      <c r="A3098" s="16" t="n"/>
      <c r="B3098" s="19" t="n"/>
      <c r="D3098" s="16" t="n"/>
      <c r="E3098" s="19" t="n"/>
      <c r="G3098" s="16" t="n"/>
      <c r="H3098" s="19" t="n"/>
      <c r="J3098" s="16" t="n"/>
      <c r="K3098" s="19" t="n"/>
      <c r="M3098" s="16" t="n"/>
      <c r="N3098" s="19" t="n"/>
    </row>
    <row r="3099">
      <c r="A3099" s="16" t="n"/>
      <c r="B3099" s="19" t="n"/>
      <c r="D3099" s="16" t="n"/>
      <c r="E3099" s="19" t="n"/>
      <c r="G3099" s="16" t="n"/>
      <c r="H3099" s="19" t="n"/>
      <c r="J3099" s="16" t="n"/>
      <c r="K3099" s="19" t="n"/>
      <c r="M3099" s="16" t="n"/>
      <c r="N3099" s="19" t="n"/>
    </row>
    <row r="3100">
      <c r="A3100" s="16" t="n"/>
      <c r="B3100" s="19" t="n"/>
      <c r="D3100" s="16" t="n"/>
      <c r="E3100" s="19" t="n"/>
      <c r="G3100" s="16" t="n"/>
      <c r="H3100" s="19" t="n"/>
      <c r="J3100" s="16" t="n"/>
      <c r="K3100" s="19" t="n"/>
      <c r="M3100" s="16" t="n"/>
      <c r="N3100" s="19" t="n"/>
    </row>
    <row r="3101">
      <c r="A3101" s="16" t="n"/>
      <c r="B3101" s="19" t="n"/>
      <c r="D3101" s="16" t="n"/>
      <c r="E3101" s="19" t="n"/>
      <c r="G3101" s="16" t="n"/>
      <c r="H3101" s="19" t="n"/>
      <c r="J3101" s="16" t="n"/>
      <c r="K3101" s="19" t="n"/>
      <c r="M3101" s="16" t="n"/>
      <c r="N3101" s="19" t="n"/>
    </row>
    <row r="3102">
      <c r="A3102" s="16" t="n"/>
      <c r="B3102" s="19" t="n"/>
      <c r="D3102" s="16" t="n"/>
      <c r="E3102" s="19" t="n"/>
      <c r="G3102" s="16" t="n"/>
      <c r="H3102" s="19" t="n"/>
      <c r="J3102" s="16" t="n"/>
      <c r="K3102" s="19" t="n"/>
      <c r="M3102" s="16" t="n"/>
      <c r="N3102" s="19" t="n"/>
    </row>
    <row r="3103">
      <c r="A3103" s="16" t="n"/>
      <c r="B3103" s="19" t="n"/>
      <c r="D3103" s="16" t="n"/>
      <c r="E3103" s="19" t="n"/>
      <c r="G3103" s="16" t="n"/>
      <c r="H3103" s="19" t="n"/>
      <c r="J3103" s="16" t="n"/>
      <c r="K3103" s="19" t="n"/>
      <c r="M3103" s="16" t="n"/>
      <c r="N3103" s="19" t="n"/>
    </row>
    <row r="3104">
      <c r="A3104" s="16" t="n"/>
      <c r="B3104" s="19" t="n"/>
      <c r="D3104" s="16" t="n"/>
      <c r="E3104" s="19" t="n"/>
      <c r="G3104" s="16" t="n"/>
      <c r="H3104" s="19" t="n"/>
      <c r="J3104" s="16" t="n"/>
      <c r="K3104" s="19" t="n"/>
      <c r="M3104" s="16" t="n"/>
      <c r="N3104" s="19" t="n"/>
    </row>
    <row r="3105">
      <c r="A3105" s="16" t="n"/>
      <c r="B3105" s="19" t="n"/>
      <c r="D3105" s="16" t="n"/>
      <c r="E3105" s="19" t="n"/>
      <c r="G3105" s="16" t="n"/>
      <c r="H3105" s="19" t="n"/>
      <c r="J3105" s="16" t="n"/>
      <c r="K3105" s="19" t="n"/>
      <c r="M3105" s="16" t="n"/>
      <c r="N3105" s="19" t="n"/>
    </row>
    <row r="3106">
      <c r="A3106" s="16" t="n"/>
      <c r="B3106" s="19" t="n"/>
      <c r="D3106" s="16" t="n"/>
      <c r="E3106" s="19" t="n"/>
      <c r="G3106" s="16" t="n"/>
      <c r="H3106" s="19" t="n"/>
      <c r="J3106" s="16" t="n"/>
      <c r="K3106" s="19" t="n"/>
      <c r="M3106" s="16" t="n"/>
      <c r="N3106" s="19" t="n"/>
    </row>
    <row r="3107">
      <c r="A3107" s="16" t="n"/>
      <c r="B3107" s="19" t="n"/>
      <c r="D3107" s="16" t="n"/>
      <c r="E3107" s="19" t="n"/>
      <c r="G3107" s="16" t="n"/>
      <c r="H3107" s="19" t="n"/>
      <c r="J3107" s="16" t="n"/>
      <c r="K3107" s="19" t="n"/>
      <c r="M3107" s="16" t="n"/>
      <c r="N3107" s="19" t="n"/>
    </row>
    <row r="3108">
      <c r="A3108" s="16" t="n"/>
      <c r="B3108" s="19" t="n"/>
      <c r="D3108" s="16" t="n"/>
      <c r="E3108" s="19" t="n"/>
      <c r="G3108" s="16" t="n"/>
      <c r="H3108" s="19" t="n"/>
      <c r="J3108" s="16" t="n"/>
      <c r="K3108" s="19" t="n"/>
      <c r="M3108" s="16" t="n"/>
      <c r="N3108" s="19" t="n"/>
    </row>
    <row r="3109">
      <c r="A3109" s="16" t="n"/>
      <c r="B3109" s="19" t="n"/>
      <c r="D3109" s="16" t="n"/>
      <c r="E3109" s="19" t="n"/>
      <c r="G3109" s="16" t="n"/>
      <c r="H3109" s="19" t="n"/>
      <c r="J3109" s="16" t="n"/>
      <c r="K3109" s="19" t="n"/>
      <c r="M3109" s="16" t="n"/>
      <c r="N3109" s="19" t="n"/>
    </row>
    <row r="3110">
      <c r="A3110" s="16" t="n"/>
      <c r="B3110" s="19" t="n"/>
      <c r="D3110" s="16" t="n"/>
      <c r="E3110" s="19" t="n"/>
      <c r="G3110" s="16" t="n"/>
      <c r="H3110" s="19" t="n"/>
      <c r="J3110" s="16" t="n"/>
      <c r="K3110" s="19" t="n"/>
      <c r="M3110" s="16" t="n"/>
      <c r="N3110" s="19" t="n"/>
    </row>
    <row r="3111">
      <c r="A3111" s="16" t="n"/>
      <c r="B3111" s="19" t="n"/>
      <c r="D3111" s="16" t="n"/>
      <c r="E3111" s="19" t="n"/>
      <c r="G3111" s="16" t="n"/>
      <c r="H3111" s="19" t="n"/>
      <c r="J3111" s="16" t="n"/>
      <c r="K3111" s="19" t="n"/>
      <c r="M3111" s="16" t="n"/>
      <c r="N3111" s="19" t="n"/>
    </row>
    <row r="3112">
      <c r="A3112" s="16" t="n"/>
      <c r="B3112" s="19" t="n"/>
      <c r="D3112" s="16" t="n"/>
      <c r="E3112" s="19" t="n"/>
      <c r="G3112" s="16" t="n"/>
      <c r="H3112" s="19" t="n"/>
      <c r="J3112" s="16" t="n"/>
      <c r="K3112" s="19" t="n"/>
      <c r="M3112" s="16" t="n"/>
      <c r="N3112" s="19" t="n"/>
    </row>
    <row r="3113">
      <c r="A3113" s="16" t="n"/>
      <c r="B3113" s="19" t="n"/>
      <c r="D3113" s="16" t="n"/>
      <c r="E3113" s="19" t="n"/>
      <c r="G3113" s="16" t="n"/>
      <c r="H3113" s="19" t="n"/>
      <c r="J3113" s="16" t="n"/>
      <c r="K3113" s="19" t="n"/>
      <c r="M3113" s="16" t="n"/>
      <c r="N3113" s="19" t="n"/>
    </row>
    <row r="3114">
      <c r="A3114" s="16" t="n"/>
      <c r="B3114" s="19" t="n"/>
      <c r="D3114" s="16" t="n"/>
      <c r="E3114" s="19" t="n"/>
      <c r="G3114" s="16" t="n"/>
      <c r="H3114" s="19" t="n"/>
      <c r="J3114" s="16" t="n"/>
      <c r="K3114" s="19" t="n"/>
      <c r="M3114" s="16" t="n"/>
      <c r="N3114" s="19" t="n"/>
    </row>
    <row r="3115">
      <c r="A3115" s="16" t="n"/>
      <c r="B3115" s="19" t="n"/>
      <c r="D3115" s="16" t="n"/>
      <c r="E3115" s="19" t="n"/>
      <c r="G3115" s="16" t="n"/>
      <c r="H3115" s="19" t="n"/>
      <c r="J3115" s="16" t="n"/>
      <c r="K3115" s="19" t="n"/>
      <c r="M3115" s="16" t="n"/>
      <c r="N3115" s="19" t="n"/>
    </row>
    <row r="3116">
      <c r="A3116" s="16" t="n"/>
      <c r="B3116" s="19" t="n"/>
      <c r="D3116" s="16" t="n"/>
      <c r="E3116" s="19" t="n"/>
      <c r="G3116" s="16" t="n"/>
      <c r="H3116" s="19" t="n"/>
      <c r="J3116" s="16" t="n"/>
      <c r="K3116" s="19" t="n"/>
      <c r="M3116" s="16" t="n"/>
      <c r="N3116" s="19" t="n"/>
    </row>
    <row r="3117">
      <c r="A3117" s="16" t="n"/>
      <c r="B3117" s="19" t="n"/>
      <c r="D3117" s="16" t="n"/>
      <c r="E3117" s="19" t="n"/>
      <c r="G3117" s="16" t="n"/>
      <c r="H3117" s="19" t="n"/>
      <c r="J3117" s="16" t="n"/>
      <c r="K3117" s="19" t="n"/>
      <c r="M3117" s="16" t="n"/>
      <c r="N3117" s="19" t="n"/>
    </row>
    <row r="3118">
      <c r="A3118" s="16" t="n"/>
      <c r="B3118" s="19" t="n"/>
      <c r="D3118" s="16" t="n"/>
      <c r="E3118" s="19" t="n"/>
      <c r="G3118" s="16" t="n"/>
      <c r="H3118" s="19" t="n"/>
      <c r="J3118" s="16" t="n"/>
      <c r="K3118" s="19" t="n"/>
      <c r="M3118" s="16" t="n"/>
      <c r="N3118" s="19" t="n"/>
    </row>
    <row r="3119">
      <c r="A3119" s="16" t="n"/>
      <c r="B3119" s="19" t="n"/>
      <c r="D3119" s="16" t="n"/>
      <c r="E3119" s="19" t="n"/>
      <c r="G3119" s="16" t="n"/>
      <c r="H3119" s="19" t="n"/>
      <c r="J3119" s="16" t="n"/>
      <c r="K3119" s="19" t="n"/>
      <c r="M3119" s="16" t="n"/>
      <c r="N3119" s="19" t="n"/>
    </row>
    <row r="3120">
      <c r="A3120" s="16" t="n"/>
      <c r="B3120" s="19" t="n"/>
      <c r="D3120" s="16" t="n"/>
      <c r="E3120" s="19" t="n"/>
      <c r="G3120" s="16" t="n"/>
      <c r="H3120" s="19" t="n"/>
      <c r="J3120" s="16" t="n"/>
      <c r="K3120" s="19" t="n"/>
      <c r="M3120" s="16" t="n"/>
      <c r="N3120" s="19" t="n"/>
    </row>
    <row r="3121">
      <c r="A3121" s="16" t="n"/>
      <c r="B3121" s="19" t="n"/>
      <c r="D3121" s="16" t="n"/>
      <c r="E3121" s="19" t="n"/>
      <c r="G3121" s="16" t="n"/>
      <c r="H3121" s="19" t="n"/>
      <c r="J3121" s="16" t="n"/>
      <c r="K3121" s="19" t="n"/>
      <c r="M3121" s="16" t="n"/>
      <c r="N3121" s="19" t="n"/>
    </row>
    <row r="3122">
      <c r="A3122" s="16" t="n"/>
      <c r="B3122" s="19" t="n"/>
      <c r="D3122" s="16" t="n"/>
      <c r="E3122" s="19" t="n"/>
      <c r="G3122" s="16" t="n"/>
      <c r="H3122" s="19" t="n"/>
      <c r="J3122" s="16" t="n"/>
      <c r="K3122" s="19" t="n"/>
      <c r="M3122" s="16" t="n"/>
      <c r="N3122" s="19" t="n"/>
    </row>
    <row r="3123">
      <c r="A3123" s="16" t="n"/>
      <c r="B3123" s="19" t="n"/>
      <c r="D3123" s="16" t="n"/>
      <c r="E3123" s="19" t="n"/>
      <c r="G3123" s="16" t="n"/>
      <c r="H3123" s="19" t="n"/>
      <c r="J3123" s="16" t="n"/>
      <c r="K3123" s="19" t="n"/>
      <c r="M3123" s="16" t="n"/>
      <c r="N3123" s="19" t="n"/>
    </row>
    <row r="3124">
      <c r="A3124" s="16" t="n"/>
      <c r="B3124" s="19" t="n"/>
      <c r="D3124" s="16" t="n"/>
      <c r="E3124" s="19" t="n"/>
      <c r="G3124" s="16" t="n"/>
      <c r="H3124" s="19" t="n"/>
      <c r="J3124" s="16" t="n"/>
      <c r="K3124" s="19" t="n"/>
      <c r="M3124" s="16" t="n"/>
      <c r="N3124" s="19" t="n"/>
    </row>
    <row r="3125">
      <c r="A3125" s="16" t="n"/>
      <c r="B3125" s="19" t="n"/>
      <c r="D3125" s="16" t="n"/>
      <c r="E3125" s="19" t="n"/>
      <c r="G3125" s="16" t="n"/>
      <c r="H3125" s="19" t="n"/>
      <c r="J3125" s="16" t="n"/>
      <c r="K3125" s="19" t="n"/>
      <c r="M3125" s="16" t="n"/>
      <c r="N3125" s="19" t="n"/>
    </row>
    <row r="3126">
      <c r="A3126" s="16" t="n"/>
      <c r="B3126" s="19" t="n"/>
      <c r="D3126" s="16" t="n"/>
      <c r="E3126" s="19" t="n"/>
      <c r="G3126" s="16" t="n"/>
      <c r="H3126" s="19" t="n"/>
      <c r="J3126" s="16" t="n"/>
      <c r="K3126" s="19" t="n"/>
      <c r="M3126" s="16" t="n"/>
      <c r="N3126" s="19" t="n"/>
    </row>
    <row r="3127">
      <c r="A3127" s="16" t="n"/>
      <c r="B3127" s="19" t="n"/>
      <c r="D3127" s="16" t="n"/>
      <c r="E3127" s="19" t="n"/>
      <c r="G3127" s="16" t="n"/>
      <c r="H3127" s="19" t="n"/>
      <c r="J3127" s="16" t="n"/>
      <c r="K3127" s="19" t="n"/>
      <c r="M3127" s="16" t="n"/>
      <c r="N3127" s="19" t="n"/>
    </row>
    <row r="3128">
      <c r="A3128" s="16" t="n"/>
      <c r="B3128" s="19" t="n"/>
      <c r="D3128" s="16" t="n"/>
      <c r="E3128" s="19" t="n"/>
      <c r="G3128" s="16" t="n"/>
      <c r="H3128" s="19" t="n"/>
      <c r="J3128" s="16" t="n"/>
      <c r="K3128" s="19" t="n"/>
      <c r="M3128" s="16" t="n"/>
      <c r="N3128" s="19" t="n"/>
    </row>
    <row r="3129">
      <c r="A3129" s="16" t="n"/>
      <c r="B3129" s="19" t="n"/>
      <c r="D3129" s="16" t="n"/>
      <c r="E3129" s="19" t="n"/>
      <c r="G3129" s="16" t="n"/>
      <c r="H3129" s="19" t="n"/>
      <c r="J3129" s="16" t="n"/>
      <c r="K3129" s="19" t="n"/>
      <c r="M3129" s="16" t="n"/>
      <c r="N3129" s="19" t="n"/>
    </row>
    <row r="3130">
      <c r="A3130" s="16" t="n"/>
      <c r="B3130" s="19" t="n"/>
      <c r="D3130" s="16" t="n"/>
      <c r="E3130" s="19" t="n"/>
      <c r="G3130" s="16" t="n"/>
      <c r="H3130" s="19" t="n"/>
      <c r="J3130" s="16" t="n"/>
      <c r="K3130" s="19" t="n"/>
      <c r="M3130" s="16" t="n"/>
      <c r="N3130" s="19" t="n"/>
    </row>
    <row r="3131">
      <c r="A3131" s="16" t="n"/>
      <c r="B3131" s="19" t="n"/>
      <c r="D3131" s="16" t="n"/>
      <c r="E3131" s="19" t="n"/>
      <c r="G3131" s="16" t="n"/>
      <c r="H3131" s="19" t="n"/>
      <c r="J3131" s="16" t="n"/>
      <c r="K3131" s="19" t="n"/>
      <c r="M3131" s="16" t="n"/>
      <c r="N3131" s="19" t="n"/>
    </row>
    <row r="3132">
      <c r="A3132" s="16" t="n"/>
      <c r="B3132" s="19" t="n"/>
      <c r="D3132" s="16" t="n"/>
      <c r="E3132" s="19" t="n"/>
      <c r="G3132" s="16" t="n"/>
      <c r="H3132" s="19" t="n"/>
      <c r="J3132" s="16" t="n"/>
      <c r="K3132" s="19" t="n"/>
      <c r="M3132" s="16" t="n"/>
      <c r="N3132" s="19" t="n"/>
    </row>
    <row r="3133">
      <c r="A3133" s="16" t="n"/>
      <c r="B3133" s="19" t="n"/>
      <c r="D3133" s="16" t="n"/>
      <c r="E3133" s="19" t="n"/>
      <c r="G3133" s="16" t="n"/>
      <c r="H3133" s="19" t="n"/>
      <c r="J3133" s="16" t="n"/>
      <c r="K3133" s="19" t="n"/>
      <c r="M3133" s="16" t="n"/>
      <c r="N3133" s="19" t="n"/>
    </row>
    <row r="3134">
      <c r="A3134" s="16" t="n"/>
      <c r="B3134" s="19" t="n"/>
      <c r="D3134" s="16" t="n"/>
      <c r="E3134" s="19" t="n"/>
      <c r="G3134" s="16" t="n"/>
      <c r="H3134" s="19" t="n"/>
      <c r="J3134" s="16" t="n"/>
      <c r="K3134" s="19" t="n"/>
      <c r="M3134" s="16" t="n"/>
      <c r="N3134" s="19" t="n"/>
    </row>
    <row r="3135">
      <c r="A3135" s="16" t="n"/>
      <c r="B3135" s="19" t="n"/>
      <c r="D3135" s="16" t="n"/>
      <c r="E3135" s="19" t="n"/>
      <c r="G3135" s="16" t="n"/>
      <c r="H3135" s="19" t="n"/>
      <c r="J3135" s="16" t="n"/>
      <c r="K3135" s="19" t="n"/>
      <c r="M3135" s="16" t="n"/>
      <c r="N3135" s="19" t="n"/>
    </row>
    <row r="3136">
      <c r="A3136" s="16" t="n"/>
      <c r="B3136" s="19" t="n"/>
      <c r="D3136" s="16" t="n"/>
      <c r="E3136" s="19" t="n"/>
      <c r="G3136" s="16" t="n"/>
      <c r="H3136" s="19" t="n"/>
      <c r="J3136" s="16" t="n"/>
      <c r="K3136" s="19" t="n"/>
      <c r="M3136" s="16" t="n"/>
      <c r="N3136" s="19" t="n"/>
    </row>
    <row r="3137">
      <c r="A3137" s="16" t="n"/>
      <c r="B3137" s="19" t="n"/>
      <c r="D3137" s="16" t="n"/>
      <c r="E3137" s="19" t="n"/>
      <c r="G3137" s="16" t="n"/>
      <c r="H3137" s="19" t="n"/>
      <c r="J3137" s="16" t="n"/>
      <c r="K3137" s="19" t="n"/>
      <c r="M3137" s="16" t="n"/>
      <c r="N3137" s="19" t="n"/>
    </row>
    <row r="3138">
      <c r="A3138" s="16" t="n"/>
      <c r="B3138" s="19" t="n"/>
      <c r="D3138" s="16" t="n"/>
      <c r="E3138" s="19" t="n"/>
      <c r="G3138" s="16" t="n"/>
      <c r="H3138" s="19" t="n"/>
      <c r="J3138" s="16" t="n"/>
      <c r="K3138" s="19" t="n"/>
      <c r="M3138" s="16" t="n"/>
      <c r="N3138" s="19" t="n"/>
    </row>
    <row r="3139">
      <c r="A3139" s="16" t="n"/>
      <c r="B3139" s="19" t="n"/>
      <c r="D3139" s="16" t="n"/>
      <c r="E3139" s="19" t="n"/>
      <c r="G3139" s="16" t="n"/>
      <c r="H3139" s="19" t="n"/>
      <c r="J3139" s="16" t="n"/>
      <c r="K3139" s="19" t="n"/>
      <c r="M3139" s="16" t="n"/>
      <c r="N3139" s="19" t="n"/>
    </row>
    <row r="3140">
      <c r="A3140" s="16" t="n"/>
      <c r="B3140" s="19" t="n"/>
      <c r="D3140" s="16" t="n"/>
      <c r="E3140" s="19" t="n"/>
      <c r="G3140" s="16" t="n"/>
      <c r="H3140" s="19" t="n"/>
      <c r="J3140" s="16" t="n"/>
      <c r="K3140" s="19" t="n"/>
      <c r="M3140" s="16" t="n"/>
      <c r="N3140" s="19" t="n"/>
    </row>
    <row r="3141">
      <c r="A3141" s="16" t="n"/>
      <c r="B3141" s="19" t="n"/>
      <c r="D3141" s="16" t="n"/>
      <c r="E3141" s="19" t="n"/>
      <c r="G3141" s="16" t="n"/>
      <c r="H3141" s="19" t="n"/>
      <c r="J3141" s="16" t="n"/>
      <c r="K3141" s="19" t="n"/>
      <c r="M3141" s="16" t="n"/>
      <c r="N3141" s="19" t="n"/>
    </row>
    <row r="3142">
      <c r="A3142" s="16" t="n"/>
      <c r="B3142" s="19" t="n"/>
      <c r="D3142" s="16" t="n"/>
      <c r="E3142" s="19" t="n"/>
      <c r="G3142" s="16" t="n"/>
      <c r="H3142" s="19" t="n"/>
      <c r="J3142" s="16" t="n"/>
      <c r="K3142" s="19" t="n"/>
      <c r="M3142" s="16" t="n"/>
      <c r="N3142" s="19" t="n"/>
    </row>
    <row r="3143">
      <c r="A3143" s="16" t="n"/>
      <c r="B3143" s="19" t="n"/>
      <c r="D3143" s="16" t="n"/>
      <c r="E3143" s="19" t="n"/>
      <c r="G3143" s="16" t="n"/>
      <c r="H3143" s="19" t="n"/>
      <c r="J3143" s="16" t="n"/>
      <c r="K3143" s="19" t="n"/>
      <c r="M3143" s="16" t="n"/>
      <c r="N3143" s="19" t="n"/>
    </row>
    <row r="3144">
      <c r="A3144" s="16" t="n"/>
      <c r="B3144" s="19" t="n"/>
      <c r="D3144" s="16" t="n"/>
      <c r="E3144" s="19" t="n"/>
      <c r="G3144" s="16" t="n"/>
      <c r="H3144" s="19" t="n"/>
      <c r="J3144" s="16" t="n"/>
      <c r="K3144" s="19" t="n"/>
      <c r="M3144" s="16" t="n"/>
      <c r="N3144" s="19" t="n"/>
    </row>
    <row r="3145">
      <c r="A3145" s="16" t="n"/>
      <c r="B3145" s="19" t="n"/>
      <c r="D3145" s="16" t="n"/>
      <c r="E3145" s="19" t="n"/>
      <c r="G3145" s="16" t="n"/>
      <c r="H3145" s="19" t="n"/>
      <c r="J3145" s="16" t="n"/>
      <c r="K3145" s="19" t="n"/>
      <c r="M3145" s="16" t="n"/>
      <c r="N3145" s="19" t="n"/>
    </row>
    <row r="3146">
      <c r="A3146" s="16" t="n"/>
      <c r="B3146" s="19" t="n"/>
      <c r="D3146" s="16" t="n"/>
      <c r="E3146" s="19" t="n"/>
      <c r="G3146" s="16" t="n"/>
      <c r="H3146" s="19" t="n"/>
      <c r="J3146" s="16" t="n"/>
      <c r="K3146" s="19" t="n"/>
      <c r="M3146" s="16" t="n"/>
      <c r="N3146" s="19" t="n"/>
    </row>
    <row r="3147">
      <c r="A3147" s="16" t="n"/>
      <c r="B3147" s="19" t="n"/>
      <c r="D3147" s="16" t="n"/>
      <c r="E3147" s="19" t="n"/>
      <c r="G3147" s="16" t="n"/>
      <c r="H3147" s="19" t="n"/>
      <c r="J3147" s="16" t="n"/>
      <c r="K3147" s="19" t="n"/>
      <c r="M3147" s="16" t="n"/>
      <c r="N3147" s="19" t="n"/>
    </row>
    <row r="3148">
      <c r="A3148" s="16" t="n"/>
      <c r="B3148" s="19" t="n"/>
      <c r="D3148" s="16" t="n"/>
      <c r="E3148" s="19" t="n"/>
      <c r="G3148" s="16" t="n"/>
      <c r="H3148" s="19" t="n"/>
      <c r="J3148" s="16" t="n"/>
      <c r="K3148" s="19" t="n"/>
      <c r="M3148" s="16" t="n"/>
      <c r="N3148" s="19" t="n"/>
    </row>
    <row r="3149">
      <c r="A3149" s="16" t="n"/>
      <c r="B3149" s="19" t="n"/>
      <c r="D3149" s="16" t="n"/>
      <c r="E3149" s="19" t="n"/>
      <c r="G3149" s="16" t="n"/>
      <c r="H3149" s="19" t="n"/>
      <c r="J3149" s="16" t="n"/>
      <c r="K3149" s="19" t="n"/>
      <c r="M3149" s="16" t="n"/>
      <c r="N3149" s="19" t="n"/>
    </row>
    <row r="3150">
      <c r="A3150" s="16" t="n"/>
      <c r="B3150" s="19" t="n"/>
      <c r="D3150" s="16" t="n"/>
      <c r="E3150" s="19" t="n"/>
      <c r="G3150" s="16" t="n"/>
      <c r="H3150" s="19" t="n"/>
      <c r="J3150" s="16" t="n"/>
      <c r="K3150" s="19" t="n"/>
      <c r="M3150" s="16" t="n"/>
      <c r="N3150" s="19" t="n"/>
    </row>
    <row r="3151">
      <c r="A3151" s="16" t="n"/>
      <c r="B3151" s="19" t="n"/>
      <c r="D3151" s="16" t="n"/>
      <c r="E3151" s="19" t="n"/>
      <c r="G3151" s="16" t="n"/>
      <c r="H3151" s="19" t="n"/>
      <c r="J3151" s="16" t="n"/>
      <c r="K3151" s="19" t="n"/>
      <c r="M3151" s="16" t="n"/>
      <c r="N3151" s="19" t="n"/>
    </row>
    <row r="3152">
      <c r="A3152" s="16" t="n"/>
      <c r="B3152" s="19" t="n"/>
      <c r="D3152" s="16" t="n"/>
      <c r="E3152" s="19" t="n"/>
      <c r="G3152" s="16" t="n"/>
      <c r="H3152" s="19" t="n"/>
      <c r="J3152" s="16" t="n"/>
      <c r="K3152" s="19" t="n"/>
      <c r="M3152" s="16" t="n"/>
      <c r="N3152" s="19" t="n"/>
    </row>
    <row r="3153">
      <c r="A3153" s="16" t="n"/>
      <c r="B3153" s="19" t="n"/>
      <c r="D3153" s="16" t="n"/>
      <c r="E3153" s="19" t="n"/>
      <c r="G3153" s="16" t="n"/>
      <c r="H3153" s="19" t="n"/>
      <c r="J3153" s="16" t="n"/>
      <c r="K3153" s="19" t="n"/>
      <c r="M3153" s="16" t="n"/>
      <c r="N3153" s="19" t="n"/>
    </row>
    <row r="3154">
      <c r="A3154" s="16" t="n"/>
      <c r="B3154" s="19" t="n"/>
      <c r="D3154" s="16" t="n"/>
      <c r="E3154" s="19" t="n"/>
      <c r="G3154" s="16" t="n"/>
      <c r="H3154" s="19" t="n"/>
      <c r="J3154" s="16" t="n"/>
      <c r="K3154" s="19" t="n"/>
      <c r="M3154" s="16" t="n"/>
      <c r="N3154" s="19" t="n"/>
    </row>
    <row r="3155">
      <c r="A3155" s="16" t="n"/>
      <c r="B3155" s="19" t="n"/>
      <c r="D3155" s="16" t="n"/>
      <c r="E3155" s="19" t="n"/>
      <c r="G3155" s="16" t="n"/>
      <c r="H3155" s="19" t="n"/>
      <c r="J3155" s="16" t="n"/>
      <c r="K3155" s="19" t="n"/>
      <c r="M3155" s="16" t="n"/>
      <c r="N3155" s="19" t="n"/>
    </row>
    <row r="3156">
      <c r="A3156" s="16" t="n"/>
      <c r="B3156" s="19" t="n"/>
      <c r="D3156" s="16" t="n"/>
      <c r="E3156" s="19" t="n"/>
      <c r="G3156" s="16" t="n"/>
      <c r="H3156" s="19" t="n"/>
      <c r="J3156" s="16" t="n"/>
      <c r="K3156" s="19" t="n"/>
      <c r="M3156" s="16" t="n"/>
      <c r="N3156" s="19" t="n"/>
    </row>
    <row r="3157">
      <c r="A3157" s="16" t="n"/>
      <c r="B3157" s="19" t="n"/>
      <c r="D3157" s="16" t="n"/>
      <c r="E3157" s="19" t="n"/>
      <c r="G3157" s="16" t="n"/>
      <c r="H3157" s="19" t="n"/>
      <c r="J3157" s="16" t="n"/>
      <c r="K3157" s="19" t="n"/>
      <c r="M3157" s="16" t="n"/>
      <c r="N3157" s="19" t="n"/>
    </row>
    <row r="3158">
      <c r="A3158" s="16" t="n"/>
      <c r="B3158" s="19" t="n"/>
      <c r="D3158" s="16" t="n"/>
      <c r="E3158" s="19" t="n"/>
      <c r="G3158" s="16" t="n"/>
      <c r="H3158" s="19" t="n"/>
      <c r="J3158" s="16" t="n"/>
      <c r="K3158" s="19" t="n"/>
      <c r="M3158" s="16" t="n"/>
      <c r="N3158" s="19" t="n"/>
    </row>
    <row r="3159">
      <c r="A3159" s="16" t="n"/>
      <c r="B3159" s="19" t="n"/>
      <c r="D3159" s="16" t="n"/>
      <c r="E3159" s="19" t="n"/>
      <c r="G3159" s="16" t="n"/>
      <c r="H3159" s="19" t="n"/>
      <c r="J3159" s="16" t="n"/>
      <c r="K3159" s="19" t="n"/>
      <c r="M3159" s="16" t="n"/>
      <c r="N3159" s="19" t="n"/>
    </row>
    <row r="3160">
      <c r="A3160" s="16" t="n"/>
      <c r="B3160" s="19" t="n"/>
      <c r="D3160" s="16" t="n"/>
      <c r="E3160" s="19" t="n"/>
      <c r="G3160" s="16" t="n"/>
      <c r="H3160" s="19" t="n"/>
      <c r="J3160" s="16" t="n"/>
      <c r="K3160" s="19" t="n"/>
      <c r="M3160" s="16" t="n"/>
      <c r="N3160" s="19" t="n"/>
    </row>
    <row r="3161">
      <c r="A3161" s="16" t="n"/>
      <c r="B3161" s="19" t="n"/>
      <c r="D3161" s="16" t="n"/>
      <c r="E3161" s="19" t="n"/>
      <c r="G3161" s="16" t="n"/>
      <c r="H3161" s="19" t="n"/>
      <c r="J3161" s="16" t="n"/>
      <c r="K3161" s="19" t="n"/>
      <c r="M3161" s="16" t="n"/>
      <c r="N3161" s="19" t="n"/>
    </row>
    <row r="3162">
      <c r="A3162" s="16" t="n"/>
      <c r="B3162" s="19" t="n"/>
      <c r="D3162" s="16" t="n"/>
      <c r="E3162" s="19" t="n"/>
      <c r="G3162" s="16" t="n"/>
      <c r="H3162" s="19" t="n"/>
      <c r="J3162" s="16" t="n"/>
      <c r="K3162" s="19" t="n"/>
      <c r="M3162" s="16" t="n"/>
      <c r="N3162" s="19" t="n"/>
    </row>
    <row r="3163">
      <c r="A3163" s="16" t="n"/>
      <c r="B3163" s="19" t="n"/>
      <c r="D3163" s="16" t="n"/>
      <c r="E3163" s="19" t="n"/>
      <c r="G3163" s="16" t="n"/>
      <c r="H3163" s="19" t="n"/>
      <c r="J3163" s="16" t="n"/>
      <c r="K3163" s="19" t="n"/>
      <c r="M3163" s="16" t="n"/>
      <c r="N3163" s="19" t="n"/>
    </row>
    <row r="3164">
      <c r="A3164" s="16" t="n"/>
      <c r="B3164" s="19" t="n"/>
      <c r="D3164" s="16" t="n"/>
      <c r="E3164" s="19" t="n"/>
      <c r="G3164" s="16" t="n"/>
      <c r="H3164" s="19" t="n"/>
      <c r="J3164" s="16" t="n"/>
      <c r="K3164" s="19" t="n"/>
      <c r="M3164" s="16" t="n"/>
      <c r="N3164" s="19" t="n"/>
    </row>
    <row r="3165">
      <c r="A3165" s="16" t="n"/>
      <c r="B3165" s="19" t="n"/>
      <c r="D3165" s="16" t="n"/>
      <c r="E3165" s="19" t="n"/>
      <c r="G3165" s="16" t="n"/>
      <c r="H3165" s="19" t="n"/>
      <c r="J3165" s="16" t="n"/>
      <c r="K3165" s="19" t="n"/>
      <c r="M3165" s="16" t="n"/>
      <c r="N3165" s="19" t="n"/>
    </row>
    <row r="3166">
      <c r="A3166" s="16" t="n"/>
      <c r="B3166" s="19" t="n"/>
      <c r="D3166" s="16" t="n"/>
      <c r="E3166" s="19" t="n"/>
      <c r="G3166" s="16" t="n"/>
      <c r="H3166" s="19" t="n"/>
      <c r="J3166" s="16" t="n"/>
      <c r="K3166" s="19" t="n"/>
      <c r="M3166" s="16" t="n"/>
      <c r="N3166" s="19" t="n"/>
    </row>
    <row r="3167">
      <c r="A3167" s="16" t="n"/>
      <c r="B3167" s="19" t="n"/>
      <c r="D3167" s="16" t="n"/>
      <c r="E3167" s="19" t="n"/>
      <c r="G3167" s="16" t="n"/>
      <c r="H3167" s="19" t="n"/>
      <c r="J3167" s="16" t="n"/>
      <c r="K3167" s="19" t="n"/>
      <c r="M3167" s="16" t="n"/>
      <c r="N3167" s="19" t="n"/>
    </row>
    <row r="3168">
      <c r="A3168" s="16" t="n"/>
      <c r="B3168" s="19" t="n"/>
      <c r="D3168" s="16" t="n"/>
      <c r="E3168" s="19" t="n"/>
      <c r="G3168" s="16" t="n"/>
      <c r="H3168" s="19" t="n"/>
      <c r="J3168" s="16" t="n"/>
      <c r="K3168" s="19" t="n"/>
      <c r="M3168" s="16" t="n"/>
      <c r="N3168" s="19" t="n"/>
    </row>
    <row r="3169">
      <c r="A3169" s="16" t="n"/>
      <c r="B3169" s="19" t="n"/>
      <c r="D3169" s="16" t="n"/>
      <c r="E3169" s="19" t="n"/>
      <c r="G3169" s="16" t="n"/>
      <c r="H3169" s="19" t="n"/>
      <c r="J3169" s="16" t="n"/>
      <c r="K3169" s="19" t="n"/>
      <c r="M3169" s="16" t="n"/>
      <c r="N3169" s="19" t="n"/>
    </row>
    <row r="3170">
      <c r="A3170" s="16" t="n"/>
      <c r="B3170" s="19" t="n"/>
      <c r="D3170" s="16" t="n"/>
      <c r="E3170" s="19" t="n"/>
      <c r="G3170" s="16" t="n"/>
      <c r="H3170" s="19" t="n"/>
      <c r="J3170" s="16" t="n"/>
      <c r="K3170" s="19" t="n"/>
      <c r="M3170" s="16" t="n"/>
      <c r="N3170" s="19" t="n"/>
    </row>
    <row r="3171">
      <c r="A3171" s="16" t="n"/>
      <c r="B3171" s="19" t="n"/>
      <c r="D3171" s="16" t="n"/>
      <c r="E3171" s="19" t="n"/>
      <c r="G3171" s="16" t="n"/>
      <c r="H3171" s="19" t="n"/>
      <c r="J3171" s="16" t="n"/>
      <c r="K3171" s="19" t="n"/>
      <c r="M3171" s="16" t="n"/>
      <c r="N3171" s="19" t="n"/>
    </row>
    <row r="3172">
      <c r="A3172" s="16" t="n"/>
      <c r="B3172" s="19" t="n"/>
      <c r="D3172" s="16" t="n"/>
      <c r="E3172" s="19" t="n"/>
      <c r="G3172" s="16" t="n"/>
      <c r="H3172" s="19" t="n"/>
      <c r="J3172" s="16" t="n"/>
      <c r="K3172" s="19" t="n"/>
      <c r="M3172" s="16" t="n"/>
      <c r="N3172" s="19" t="n"/>
    </row>
    <row r="3173">
      <c r="A3173" s="16" t="n"/>
      <c r="B3173" s="19" t="n"/>
      <c r="D3173" s="16" t="n"/>
      <c r="E3173" s="19" t="n"/>
      <c r="G3173" s="16" t="n"/>
      <c r="H3173" s="19" t="n"/>
      <c r="J3173" s="16" t="n"/>
      <c r="K3173" s="19" t="n"/>
      <c r="M3173" s="16" t="n"/>
      <c r="N3173" s="19" t="n"/>
    </row>
    <row r="3174">
      <c r="A3174" s="16" t="n"/>
      <c r="B3174" s="19" t="n"/>
      <c r="D3174" s="16" t="n"/>
      <c r="E3174" s="19" t="n"/>
      <c r="G3174" s="16" t="n"/>
      <c r="H3174" s="19" t="n"/>
      <c r="J3174" s="16" t="n"/>
      <c r="K3174" s="19" t="n"/>
      <c r="M3174" s="16" t="n"/>
      <c r="N3174" s="19" t="n"/>
    </row>
    <row r="3175">
      <c r="A3175" s="16" t="n"/>
      <c r="B3175" s="19" t="n"/>
      <c r="D3175" s="16" t="n"/>
      <c r="E3175" s="19" t="n"/>
      <c r="G3175" s="16" t="n"/>
      <c r="H3175" s="19" t="n"/>
      <c r="J3175" s="16" t="n"/>
      <c r="K3175" s="19" t="n"/>
      <c r="M3175" s="16" t="n"/>
      <c r="N3175" s="19" t="n"/>
    </row>
    <row r="3176">
      <c r="A3176" s="16" t="n"/>
      <c r="B3176" s="19" t="n"/>
      <c r="D3176" s="16" t="n"/>
      <c r="E3176" s="19" t="n"/>
      <c r="G3176" s="16" t="n"/>
      <c r="H3176" s="19" t="n"/>
      <c r="J3176" s="16" t="n"/>
      <c r="K3176" s="19" t="n"/>
      <c r="M3176" s="16" t="n"/>
      <c r="N3176" s="19" t="n"/>
    </row>
    <row r="3177">
      <c r="A3177" s="16" t="n"/>
      <c r="B3177" s="19" t="n"/>
      <c r="D3177" s="16" t="n"/>
      <c r="E3177" s="19" t="n"/>
      <c r="G3177" s="16" t="n"/>
      <c r="H3177" s="19" t="n"/>
      <c r="J3177" s="16" t="n"/>
      <c r="K3177" s="19" t="n"/>
      <c r="M3177" s="16" t="n"/>
      <c r="N3177" s="19" t="n"/>
    </row>
    <row r="3178">
      <c r="A3178" s="16" t="n"/>
      <c r="B3178" s="19" t="n"/>
      <c r="D3178" s="16" t="n"/>
      <c r="E3178" s="19" t="n"/>
      <c r="G3178" s="16" t="n"/>
      <c r="H3178" s="19" t="n"/>
      <c r="J3178" s="16" t="n"/>
      <c r="K3178" s="19" t="n"/>
      <c r="M3178" s="16" t="n"/>
      <c r="N3178" s="19" t="n"/>
    </row>
    <row r="3179">
      <c r="A3179" s="16" t="n"/>
      <c r="B3179" s="19" t="n"/>
      <c r="D3179" s="16" t="n"/>
      <c r="E3179" s="19" t="n"/>
      <c r="G3179" s="16" t="n"/>
      <c r="H3179" s="19" t="n"/>
      <c r="J3179" s="16" t="n"/>
      <c r="K3179" s="19" t="n"/>
      <c r="M3179" s="16" t="n"/>
      <c r="N3179" s="19" t="n"/>
    </row>
    <row r="3180">
      <c r="A3180" s="16" t="n"/>
      <c r="B3180" s="19" t="n"/>
      <c r="D3180" s="16" t="n"/>
      <c r="E3180" s="19" t="n"/>
      <c r="G3180" s="16" t="n"/>
      <c r="H3180" s="19" t="n"/>
      <c r="J3180" s="16" t="n"/>
      <c r="K3180" s="19" t="n"/>
      <c r="M3180" s="16" t="n"/>
      <c r="N3180" s="19" t="n"/>
    </row>
    <row r="3181">
      <c r="A3181" s="16" t="n"/>
      <c r="B3181" s="19" t="n"/>
      <c r="D3181" s="16" t="n"/>
      <c r="E3181" s="19" t="n"/>
      <c r="G3181" s="16" t="n"/>
      <c r="H3181" s="19" t="n"/>
      <c r="J3181" s="16" t="n"/>
      <c r="K3181" s="19" t="n"/>
      <c r="M3181" s="16" t="n"/>
      <c r="N3181" s="19" t="n"/>
    </row>
    <row r="3182">
      <c r="A3182" s="16" t="n"/>
      <c r="B3182" s="19" t="n"/>
      <c r="D3182" s="16" t="n"/>
      <c r="E3182" s="19" t="n"/>
      <c r="G3182" s="16" t="n"/>
      <c r="H3182" s="19" t="n"/>
      <c r="J3182" s="16" t="n"/>
      <c r="K3182" s="19" t="n"/>
      <c r="M3182" s="16" t="n"/>
      <c r="N3182" s="19" t="n"/>
    </row>
    <row r="3183">
      <c r="A3183" s="16" t="n"/>
      <c r="B3183" s="19" t="n"/>
      <c r="D3183" s="16" t="n"/>
      <c r="E3183" s="19" t="n"/>
      <c r="G3183" s="16" t="n"/>
      <c r="H3183" s="19" t="n"/>
      <c r="J3183" s="16" t="n"/>
      <c r="K3183" s="19" t="n"/>
      <c r="M3183" s="16" t="n"/>
      <c r="N3183" s="19" t="n"/>
    </row>
    <row r="3184">
      <c r="A3184" s="16" t="n"/>
      <c r="B3184" s="19" t="n"/>
      <c r="D3184" s="16" t="n"/>
      <c r="E3184" s="19" t="n"/>
      <c r="G3184" s="16" t="n"/>
      <c r="H3184" s="19" t="n"/>
      <c r="J3184" s="16" t="n"/>
      <c r="K3184" s="19" t="n"/>
      <c r="M3184" s="16" t="n"/>
      <c r="N3184" s="19" t="n"/>
    </row>
    <row r="3185">
      <c r="A3185" s="16" t="n"/>
      <c r="B3185" s="19" t="n"/>
      <c r="D3185" s="16" t="n"/>
      <c r="E3185" s="19" t="n"/>
      <c r="G3185" s="16" t="n"/>
      <c r="H3185" s="19" t="n"/>
      <c r="J3185" s="16" t="n"/>
      <c r="K3185" s="19" t="n"/>
      <c r="M3185" s="16" t="n"/>
      <c r="N3185" s="19" t="n"/>
    </row>
    <row r="3186">
      <c r="A3186" s="16" t="n"/>
      <c r="B3186" s="19" t="n"/>
      <c r="D3186" s="16" t="n"/>
      <c r="E3186" s="19" t="n"/>
      <c r="G3186" s="16" t="n"/>
      <c r="H3186" s="19" t="n"/>
      <c r="J3186" s="16" t="n"/>
      <c r="K3186" s="19" t="n"/>
      <c r="M3186" s="16" t="n"/>
      <c r="N3186" s="19" t="n"/>
    </row>
    <row r="3187">
      <c r="A3187" s="16" t="n"/>
      <c r="B3187" s="19" t="n"/>
      <c r="D3187" s="16" t="n"/>
      <c r="E3187" s="19" t="n"/>
      <c r="G3187" s="16" t="n"/>
      <c r="H3187" s="19" t="n"/>
      <c r="J3187" s="16" t="n"/>
      <c r="K3187" s="19" t="n"/>
      <c r="M3187" s="16" t="n"/>
      <c r="N3187" s="19" t="n"/>
    </row>
    <row r="3188">
      <c r="A3188" s="16" t="n"/>
      <c r="B3188" s="19" t="n"/>
      <c r="D3188" s="16" t="n"/>
      <c r="E3188" s="19" t="n"/>
      <c r="G3188" s="16" t="n"/>
      <c r="H3188" s="19" t="n"/>
      <c r="J3188" s="16" t="n"/>
      <c r="K3188" s="19" t="n"/>
      <c r="M3188" s="16" t="n"/>
      <c r="N3188" s="19" t="n"/>
    </row>
    <row r="3189">
      <c r="A3189" s="16" t="n"/>
      <c r="B3189" s="19" t="n"/>
      <c r="D3189" s="16" t="n"/>
      <c r="E3189" s="19" t="n"/>
      <c r="G3189" s="16" t="n"/>
      <c r="H3189" s="19" t="n"/>
      <c r="J3189" s="16" t="n"/>
      <c r="K3189" s="19" t="n"/>
      <c r="M3189" s="16" t="n"/>
      <c r="N3189" s="19" t="n"/>
    </row>
    <row r="3190">
      <c r="A3190" s="16" t="n"/>
      <c r="B3190" s="19" t="n"/>
      <c r="D3190" s="16" t="n"/>
      <c r="E3190" s="19" t="n"/>
      <c r="G3190" s="16" t="n"/>
      <c r="H3190" s="19" t="n"/>
      <c r="J3190" s="16" t="n"/>
      <c r="K3190" s="19" t="n"/>
      <c r="M3190" s="16" t="n"/>
      <c r="N3190" s="19" t="n"/>
    </row>
    <row r="3191">
      <c r="A3191" s="16" t="n"/>
      <c r="B3191" s="19" t="n"/>
      <c r="D3191" s="16" t="n"/>
      <c r="E3191" s="19" t="n"/>
      <c r="G3191" s="16" t="n"/>
      <c r="H3191" s="19" t="n"/>
      <c r="J3191" s="16" t="n"/>
      <c r="K3191" s="19" t="n"/>
      <c r="M3191" s="16" t="n"/>
      <c r="N3191" s="19" t="n"/>
    </row>
    <row r="3192">
      <c r="A3192" s="16" t="n"/>
      <c r="B3192" s="19" t="n"/>
      <c r="D3192" s="16" t="n"/>
      <c r="E3192" s="19" t="n"/>
      <c r="G3192" s="16" t="n"/>
      <c r="H3192" s="19" t="n"/>
      <c r="J3192" s="16" t="n"/>
      <c r="K3192" s="19" t="n"/>
      <c r="M3192" s="16" t="n"/>
      <c r="N3192" s="19" t="n"/>
    </row>
    <row r="3193">
      <c r="A3193" s="16" t="n"/>
      <c r="B3193" s="19" t="n"/>
      <c r="D3193" s="16" t="n"/>
      <c r="E3193" s="19" t="n"/>
      <c r="G3193" s="16" t="n"/>
      <c r="H3193" s="19" t="n"/>
      <c r="J3193" s="16" t="n"/>
      <c r="K3193" s="19" t="n"/>
      <c r="M3193" s="16" t="n"/>
      <c r="N3193" s="19" t="n"/>
    </row>
    <row r="3194">
      <c r="A3194" s="16" t="n"/>
      <c r="B3194" s="19" t="n"/>
      <c r="D3194" s="16" t="n"/>
      <c r="E3194" s="19" t="n"/>
      <c r="G3194" s="16" t="n"/>
      <c r="H3194" s="19" t="n"/>
      <c r="J3194" s="16" t="n"/>
      <c r="K3194" s="19" t="n"/>
      <c r="M3194" s="16" t="n"/>
      <c r="N3194" s="19" t="n"/>
    </row>
    <row r="3195">
      <c r="A3195" s="16" t="n"/>
      <c r="B3195" s="19" t="n"/>
      <c r="D3195" s="16" t="n"/>
      <c r="E3195" s="19" t="n"/>
      <c r="G3195" s="16" t="n"/>
      <c r="H3195" s="19" t="n"/>
      <c r="J3195" s="16" t="n"/>
      <c r="K3195" s="19" t="n"/>
      <c r="M3195" s="16" t="n"/>
      <c r="N3195" s="19" t="n"/>
    </row>
    <row r="3196">
      <c r="A3196" s="16" t="n"/>
      <c r="B3196" s="19" t="n"/>
      <c r="D3196" s="16" t="n"/>
      <c r="E3196" s="19" t="n"/>
      <c r="G3196" s="16" t="n"/>
      <c r="H3196" s="19" t="n"/>
      <c r="J3196" s="16" t="n"/>
      <c r="K3196" s="19" t="n"/>
      <c r="M3196" s="16" t="n"/>
      <c r="N3196" s="19" t="n"/>
    </row>
    <row r="3197">
      <c r="A3197" s="16" t="n"/>
      <c r="B3197" s="19" t="n"/>
      <c r="D3197" s="16" t="n"/>
      <c r="E3197" s="19" t="n"/>
      <c r="G3197" s="16" t="n"/>
      <c r="H3197" s="19" t="n"/>
      <c r="J3197" s="16" t="n"/>
      <c r="K3197" s="19" t="n"/>
      <c r="M3197" s="16" t="n"/>
      <c r="N3197" s="19" t="n"/>
    </row>
    <row r="3198">
      <c r="A3198" s="16" t="n"/>
      <c r="B3198" s="19" t="n"/>
      <c r="D3198" s="16" t="n"/>
      <c r="E3198" s="19" t="n"/>
      <c r="G3198" s="16" t="n"/>
      <c r="H3198" s="19" t="n"/>
      <c r="J3198" s="16" t="n"/>
      <c r="K3198" s="19" t="n"/>
      <c r="M3198" s="16" t="n"/>
      <c r="N3198" s="19" t="n"/>
    </row>
    <row r="3199">
      <c r="A3199" s="16" t="n"/>
      <c r="B3199" s="19" t="n"/>
      <c r="D3199" s="16" t="n"/>
      <c r="E3199" s="19" t="n"/>
      <c r="G3199" s="16" t="n"/>
      <c r="H3199" s="19" t="n"/>
      <c r="J3199" s="16" t="n"/>
      <c r="K3199" s="19" t="n"/>
      <c r="M3199" s="16" t="n"/>
      <c r="N3199" s="19" t="n"/>
    </row>
    <row r="3200">
      <c r="A3200" s="16" t="n"/>
      <c r="B3200" s="19" t="n"/>
      <c r="D3200" s="16" t="n"/>
      <c r="E3200" s="19" t="n"/>
      <c r="G3200" s="16" t="n"/>
      <c r="H3200" s="19" t="n"/>
      <c r="J3200" s="16" t="n"/>
      <c r="K3200" s="19" t="n"/>
      <c r="M3200" s="16" t="n"/>
      <c r="N3200" s="19" t="n"/>
    </row>
    <row r="3201">
      <c r="A3201" s="16" t="n"/>
      <c r="B3201" s="19" t="n"/>
      <c r="D3201" s="16" t="n"/>
      <c r="E3201" s="19" t="n"/>
      <c r="G3201" s="16" t="n"/>
      <c r="H3201" s="19" t="n"/>
      <c r="J3201" s="16" t="n"/>
      <c r="K3201" s="19" t="n"/>
      <c r="M3201" s="16" t="n"/>
      <c r="N3201" s="19" t="n"/>
    </row>
    <row r="3202">
      <c r="A3202" s="16" t="n"/>
      <c r="B3202" s="19" t="n"/>
      <c r="D3202" s="16" t="n"/>
      <c r="E3202" s="19" t="n"/>
      <c r="G3202" s="16" t="n"/>
      <c r="H3202" s="19" t="n"/>
      <c r="J3202" s="16" t="n"/>
      <c r="K3202" s="19" t="n"/>
      <c r="M3202" s="16" t="n"/>
      <c r="N3202" s="19" t="n"/>
    </row>
    <row r="3203">
      <c r="A3203" s="16" t="n"/>
      <c r="B3203" s="19" t="n"/>
      <c r="D3203" s="16" t="n"/>
      <c r="E3203" s="19" t="n"/>
      <c r="G3203" s="16" t="n"/>
      <c r="H3203" s="19" t="n"/>
      <c r="J3203" s="16" t="n"/>
      <c r="K3203" s="19" t="n"/>
      <c r="M3203" s="16" t="n"/>
      <c r="N3203" s="19" t="n"/>
    </row>
    <row r="3204">
      <c r="A3204" s="16" t="n"/>
      <c r="B3204" s="19" t="n"/>
      <c r="D3204" s="16" t="n"/>
      <c r="E3204" s="19" t="n"/>
      <c r="G3204" s="16" t="n"/>
      <c r="H3204" s="19" t="n"/>
      <c r="J3204" s="16" t="n"/>
      <c r="K3204" s="19" t="n"/>
      <c r="M3204" s="16" t="n"/>
      <c r="N3204" s="19" t="n"/>
    </row>
    <row r="3205">
      <c r="A3205" s="16" t="n"/>
      <c r="B3205" s="19" t="n"/>
      <c r="D3205" s="16" t="n"/>
      <c r="E3205" s="19" t="n"/>
      <c r="G3205" s="16" t="n"/>
      <c r="H3205" s="19" t="n"/>
      <c r="J3205" s="16" t="n"/>
      <c r="K3205" s="19" t="n"/>
      <c r="M3205" s="16" t="n"/>
      <c r="N3205" s="19" t="n"/>
    </row>
    <row r="3206">
      <c r="A3206" s="16" t="n"/>
      <c r="B3206" s="19" t="n"/>
      <c r="D3206" s="16" t="n"/>
      <c r="E3206" s="19" t="n"/>
      <c r="G3206" s="16" t="n"/>
      <c r="H3206" s="19" t="n"/>
      <c r="J3206" s="16" t="n"/>
      <c r="K3206" s="19" t="n"/>
      <c r="M3206" s="16" t="n"/>
      <c r="N3206" s="19" t="n"/>
    </row>
    <row r="3207">
      <c r="A3207" s="16" t="n"/>
      <c r="B3207" s="19" t="n"/>
      <c r="D3207" s="16" t="n"/>
      <c r="E3207" s="19" t="n"/>
      <c r="G3207" s="16" t="n"/>
      <c r="H3207" s="19" t="n"/>
      <c r="J3207" s="16" t="n"/>
      <c r="K3207" s="19" t="n"/>
      <c r="M3207" s="16" t="n"/>
      <c r="N3207" s="19" t="n"/>
    </row>
    <row r="3208">
      <c r="A3208" s="16" t="n"/>
      <c r="B3208" s="19" t="n"/>
      <c r="D3208" s="16" t="n"/>
      <c r="E3208" s="19" t="n"/>
      <c r="G3208" s="16" t="n"/>
      <c r="H3208" s="19" t="n"/>
      <c r="J3208" s="16" t="n"/>
      <c r="K3208" s="19" t="n"/>
      <c r="M3208" s="16" t="n"/>
      <c r="N3208" s="19" t="n"/>
    </row>
    <row r="3209">
      <c r="A3209" s="16" t="n"/>
      <c r="B3209" s="19" t="n"/>
      <c r="D3209" s="16" t="n"/>
      <c r="E3209" s="19" t="n"/>
      <c r="G3209" s="16" t="n"/>
      <c r="H3209" s="19" t="n"/>
      <c r="J3209" s="16" t="n"/>
      <c r="K3209" s="19" t="n"/>
      <c r="M3209" s="16" t="n"/>
      <c r="N3209" s="19" t="n"/>
    </row>
    <row r="3210">
      <c r="A3210" s="16" t="n"/>
      <c r="B3210" s="19" t="n"/>
      <c r="D3210" s="16" t="n"/>
      <c r="E3210" s="19" t="n"/>
      <c r="G3210" s="16" t="n"/>
      <c r="H3210" s="19" t="n"/>
      <c r="J3210" s="16" t="n"/>
      <c r="K3210" s="19" t="n"/>
      <c r="M3210" s="16" t="n"/>
      <c r="N3210" s="19" t="n"/>
    </row>
    <row r="3211">
      <c r="A3211" s="16" t="n"/>
      <c r="B3211" s="19" t="n"/>
      <c r="D3211" s="16" t="n"/>
      <c r="E3211" s="19" t="n"/>
      <c r="G3211" s="16" t="n"/>
      <c r="H3211" s="19" t="n"/>
      <c r="J3211" s="16" t="n"/>
      <c r="K3211" s="19" t="n"/>
      <c r="M3211" s="16" t="n"/>
      <c r="N3211" s="19" t="n"/>
    </row>
    <row r="3212">
      <c r="A3212" s="16" t="n"/>
      <c r="B3212" s="19" t="n"/>
      <c r="D3212" s="16" t="n"/>
      <c r="E3212" s="19" t="n"/>
      <c r="G3212" s="16" t="n"/>
      <c r="H3212" s="19" t="n"/>
      <c r="J3212" s="16" t="n"/>
      <c r="K3212" s="19" t="n"/>
      <c r="M3212" s="16" t="n"/>
      <c r="N3212" s="19" t="n"/>
    </row>
    <row r="3213">
      <c r="A3213" s="16" t="n"/>
      <c r="B3213" s="19" t="n"/>
      <c r="D3213" s="16" t="n"/>
      <c r="E3213" s="19" t="n"/>
      <c r="G3213" s="16" t="n"/>
      <c r="H3213" s="19" t="n"/>
      <c r="J3213" s="16" t="n"/>
      <c r="K3213" s="19" t="n"/>
      <c r="M3213" s="16" t="n"/>
      <c r="N3213" s="19" t="n"/>
    </row>
    <row r="3214">
      <c r="A3214" s="16" t="n"/>
      <c r="B3214" s="19" t="n"/>
      <c r="D3214" s="16" t="n"/>
      <c r="E3214" s="19" t="n"/>
      <c r="G3214" s="16" t="n"/>
      <c r="H3214" s="19" t="n"/>
      <c r="J3214" s="16" t="n"/>
      <c r="K3214" s="19" t="n"/>
      <c r="M3214" s="16" t="n"/>
      <c r="N3214" s="19" t="n"/>
    </row>
    <row r="3215">
      <c r="A3215" s="16" t="n"/>
      <c r="B3215" s="19" t="n"/>
      <c r="D3215" s="16" t="n"/>
      <c r="E3215" s="19" t="n"/>
      <c r="G3215" s="16" t="n"/>
      <c r="H3215" s="19" t="n"/>
      <c r="J3215" s="16" t="n"/>
      <c r="K3215" s="19" t="n"/>
      <c r="M3215" s="16" t="n"/>
      <c r="N3215" s="19" t="n"/>
    </row>
    <row r="3216">
      <c r="A3216" s="16" t="n"/>
      <c r="B3216" s="19" t="n"/>
      <c r="D3216" s="16" t="n"/>
      <c r="E3216" s="19" t="n"/>
      <c r="G3216" s="16" t="n"/>
      <c r="H3216" s="19" t="n"/>
      <c r="J3216" s="16" t="n"/>
      <c r="K3216" s="19" t="n"/>
      <c r="M3216" s="16" t="n"/>
      <c r="N3216" s="19" t="n"/>
    </row>
    <row r="3217">
      <c r="A3217" s="16" t="n"/>
      <c r="B3217" s="19" t="n"/>
      <c r="D3217" s="16" t="n"/>
      <c r="E3217" s="19" t="n"/>
      <c r="G3217" s="16" t="n"/>
      <c r="H3217" s="19" t="n"/>
      <c r="J3217" s="16" t="n"/>
      <c r="K3217" s="19" t="n"/>
      <c r="M3217" s="16" t="n"/>
      <c r="N3217" s="19" t="n"/>
    </row>
    <row r="3218">
      <c r="A3218" s="16" t="n"/>
      <c r="B3218" s="19" t="n"/>
      <c r="D3218" s="16" t="n"/>
      <c r="E3218" s="19" t="n"/>
      <c r="G3218" s="16" t="n"/>
      <c r="H3218" s="19" t="n"/>
      <c r="J3218" s="16" t="n"/>
      <c r="K3218" s="19" t="n"/>
      <c r="M3218" s="16" t="n"/>
      <c r="N3218" s="19" t="n"/>
    </row>
    <row r="3219">
      <c r="A3219" s="16" t="n"/>
      <c r="B3219" s="19" t="n"/>
      <c r="D3219" s="16" t="n"/>
      <c r="E3219" s="19" t="n"/>
      <c r="G3219" s="16" t="n"/>
      <c r="H3219" s="19" t="n"/>
      <c r="J3219" s="16" t="n"/>
      <c r="K3219" s="19" t="n"/>
      <c r="M3219" s="16" t="n"/>
      <c r="N3219" s="19" t="n"/>
    </row>
    <row r="3220">
      <c r="A3220" s="16" t="n"/>
      <c r="B3220" s="19" t="n"/>
      <c r="D3220" s="16" t="n"/>
      <c r="E3220" s="19" t="n"/>
      <c r="G3220" s="16" t="n"/>
      <c r="H3220" s="19" t="n"/>
      <c r="J3220" s="16" t="n"/>
      <c r="K3220" s="19" t="n"/>
      <c r="M3220" s="16" t="n"/>
      <c r="N3220" s="19" t="n"/>
    </row>
    <row r="3221">
      <c r="A3221" s="16" t="n"/>
      <c r="B3221" s="19" t="n"/>
      <c r="D3221" s="16" t="n"/>
      <c r="E3221" s="19" t="n"/>
      <c r="G3221" s="16" t="n"/>
      <c r="H3221" s="19" t="n"/>
      <c r="J3221" s="16" t="n"/>
      <c r="K3221" s="19" t="n"/>
      <c r="M3221" s="16" t="n"/>
      <c r="N3221" s="19" t="n"/>
    </row>
    <row r="3222">
      <c r="A3222" s="16" t="n"/>
      <c r="B3222" s="19" t="n"/>
      <c r="D3222" s="16" t="n"/>
      <c r="E3222" s="19" t="n"/>
      <c r="G3222" s="16" t="n"/>
      <c r="H3222" s="19" t="n"/>
      <c r="J3222" s="16" t="n"/>
      <c r="K3222" s="19" t="n"/>
      <c r="M3222" s="16" t="n"/>
      <c r="N3222" s="19" t="n"/>
    </row>
    <row r="3223">
      <c r="A3223" s="16" t="n"/>
      <c r="B3223" s="19" t="n"/>
      <c r="D3223" s="16" t="n"/>
      <c r="E3223" s="19" t="n"/>
      <c r="G3223" s="16" t="n"/>
      <c r="H3223" s="19" t="n"/>
      <c r="J3223" s="16" t="n"/>
      <c r="K3223" s="19" t="n"/>
      <c r="M3223" s="16" t="n"/>
      <c r="N3223" s="19" t="n"/>
    </row>
    <row r="3224">
      <c r="A3224" s="16" t="n"/>
      <c r="B3224" s="19" t="n"/>
      <c r="D3224" s="16" t="n"/>
      <c r="E3224" s="19" t="n"/>
      <c r="G3224" s="16" t="n"/>
      <c r="H3224" s="19" t="n"/>
      <c r="J3224" s="16" t="n"/>
      <c r="K3224" s="19" t="n"/>
      <c r="M3224" s="16" t="n"/>
      <c r="N3224" s="19" t="n"/>
    </row>
    <row r="3225">
      <c r="A3225" s="16" t="n"/>
      <c r="B3225" s="19" t="n"/>
      <c r="D3225" s="16" t="n"/>
      <c r="E3225" s="19" t="n"/>
      <c r="G3225" s="16" t="n"/>
      <c r="H3225" s="19" t="n"/>
      <c r="J3225" s="16" t="n"/>
      <c r="K3225" s="19" t="n"/>
      <c r="M3225" s="16" t="n"/>
      <c r="N3225" s="19" t="n"/>
    </row>
    <row r="3226">
      <c r="A3226" s="16" t="n"/>
      <c r="B3226" s="19" t="n"/>
      <c r="D3226" s="16" t="n"/>
      <c r="E3226" s="19" t="n"/>
      <c r="G3226" s="16" t="n"/>
      <c r="H3226" s="19" t="n"/>
      <c r="J3226" s="16" t="n"/>
      <c r="K3226" s="19" t="n"/>
      <c r="M3226" s="16" t="n"/>
      <c r="N3226" s="19" t="n"/>
    </row>
    <row r="3227">
      <c r="A3227" s="16" t="n"/>
      <c r="B3227" s="19" t="n"/>
      <c r="D3227" s="16" t="n"/>
      <c r="E3227" s="19" t="n"/>
      <c r="G3227" s="16" t="n"/>
      <c r="H3227" s="19" t="n"/>
      <c r="J3227" s="16" t="n"/>
      <c r="K3227" s="19" t="n"/>
      <c r="M3227" s="16" t="n"/>
      <c r="N3227" s="19" t="n"/>
    </row>
    <row r="3228">
      <c r="A3228" s="16" t="n"/>
      <c r="B3228" s="19" t="n"/>
      <c r="D3228" s="16" t="n"/>
      <c r="E3228" s="19" t="n"/>
      <c r="G3228" s="16" t="n"/>
      <c r="H3228" s="19" t="n"/>
      <c r="J3228" s="16" t="n"/>
      <c r="K3228" s="19" t="n"/>
      <c r="M3228" s="16" t="n"/>
      <c r="N3228" s="19" t="n"/>
    </row>
    <row r="3229">
      <c r="A3229" s="16" t="n"/>
      <c r="B3229" s="19" t="n"/>
      <c r="D3229" s="16" t="n"/>
      <c r="E3229" s="19" t="n"/>
      <c r="G3229" s="16" t="n"/>
      <c r="H3229" s="19" t="n"/>
      <c r="J3229" s="16" t="n"/>
      <c r="K3229" s="19" t="n"/>
      <c r="M3229" s="16" t="n"/>
      <c r="N3229" s="19" t="n"/>
    </row>
    <row r="3230">
      <c r="A3230" s="16" t="n"/>
      <c r="B3230" s="19" t="n"/>
      <c r="D3230" s="16" t="n"/>
      <c r="E3230" s="19" t="n"/>
      <c r="G3230" s="16" t="n"/>
      <c r="H3230" s="19" t="n"/>
      <c r="J3230" s="16" t="n"/>
      <c r="K3230" s="19" t="n"/>
      <c r="M3230" s="16" t="n"/>
      <c r="N3230" s="19" t="n"/>
    </row>
    <row r="3231">
      <c r="A3231" s="16" t="n"/>
      <c r="B3231" s="19" t="n"/>
      <c r="D3231" s="16" t="n"/>
      <c r="E3231" s="19" t="n"/>
      <c r="G3231" s="16" t="n"/>
      <c r="H3231" s="19" t="n"/>
      <c r="J3231" s="16" t="n"/>
      <c r="K3231" s="19" t="n"/>
      <c r="M3231" s="16" t="n"/>
      <c r="N3231" s="19" t="n"/>
    </row>
    <row r="3232">
      <c r="A3232" s="16" t="n"/>
      <c r="B3232" s="19" t="n"/>
      <c r="D3232" s="16" t="n"/>
      <c r="E3232" s="19" t="n"/>
      <c r="G3232" s="16" t="n"/>
      <c r="H3232" s="19" t="n"/>
      <c r="J3232" s="16" t="n"/>
      <c r="K3232" s="19" t="n"/>
      <c r="M3232" s="16" t="n"/>
      <c r="N3232" s="19" t="n"/>
    </row>
    <row r="3233">
      <c r="A3233" s="16" t="n"/>
      <c r="B3233" s="19" t="n"/>
      <c r="D3233" s="16" t="n"/>
      <c r="E3233" s="19" t="n"/>
      <c r="G3233" s="16" t="n"/>
      <c r="H3233" s="19" t="n"/>
      <c r="J3233" s="16" t="n"/>
      <c r="K3233" s="19" t="n"/>
      <c r="M3233" s="16" t="n"/>
      <c r="N3233" s="19" t="n"/>
    </row>
    <row r="3234">
      <c r="A3234" s="16" t="n"/>
      <c r="B3234" s="19" t="n"/>
      <c r="D3234" s="16" t="n"/>
      <c r="E3234" s="19" t="n"/>
      <c r="G3234" s="16" t="n"/>
      <c r="H3234" s="19" t="n"/>
      <c r="J3234" s="16" t="n"/>
      <c r="K3234" s="19" t="n"/>
      <c r="M3234" s="16" t="n"/>
      <c r="N3234" s="19" t="n"/>
    </row>
    <row r="3235">
      <c r="A3235" s="16" t="n"/>
      <c r="B3235" s="19" t="n"/>
      <c r="D3235" s="16" t="n"/>
      <c r="E3235" s="19" t="n"/>
      <c r="G3235" s="16" t="n"/>
      <c r="H3235" s="19" t="n"/>
      <c r="J3235" s="16" t="n"/>
      <c r="K3235" s="19" t="n"/>
      <c r="M3235" s="16" t="n"/>
      <c r="N3235" s="19" t="n"/>
    </row>
    <row r="3236">
      <c r="A3236" s="16" t="n"/>
      <c r="B3236" s="19" t="n"/>
      <c r="D3236" s="16" t="n"/>
      <c r="E3236" s="19" t="n"/>
      <c r="G3236" s="16" t="n"/>
      <c r="H3236" s="19" t="n"/>
      <c r="J3236" s="16" t="n"/>
      <c r="K3236" s="19" t="n"/>
      <c r="M3236" s="16" t="n"/>
      <c r="N3236" s="19" t="n"/>
    </row>
    <row r="3237">
      <c r="A3237" s="16" t="n"/>
      <c r="B3237" s="19" t="n"/>
      <c r="D3237" s="16" t="n"/>
      <c r="E3237" s="19" t="n"/>
      <c r="G3237" s="16" t="n"/>
      <c r="H3237" s="19" t="n"/>
      <c r="J3237" s="16" t="n"/>
      <c r="K3237" s="19" t="n"/>
      <c r="M3237" s="16" t="n"/>
      <c r="N3237" s="19" t="n"/>
    </row>
    <row r="3238">
      <c r="A3238" s="16" t="n"/>
      <c r="B3238" s="19" t="n"/>
      <c r="D3238" s="16" t="n"/>
      <c r="E3238" s="19" t="n"/>
      <c r="G3238" s="16" t="n"/>
      <c r="H3238" s="19" t="n"/>
      <c r="J3238" s="16" t="n"/>
      <c r="K3238" s="19" t="n"/>
      <c r="M3238" s="16" t="n"/>
      <c r="N3238" s="19" t="n"/>
    </row>
    <row r="3239">
      <c r="A3239" s="16" t="n"/>
      <c r="B3239" s="19" t="n"/>
      <c r="D3239" s="16" t="n"/>
      <c r="E3239" s="19" t="n"/>
      <c r="G3239" s="16" t="n"/>
      <c r="H3239" s="19" t="n"/>
      <c r="J3239" s="16" t="n"/>
      <c r="K3239" s="19" t="n"/>
      <c r="M3239" s="16" t="n"/>
      <c r="N3239" s="19" t="n"/>
    </row>
    <row r="3240">
      <c r="A3240" s="16" t="n"/>
      <c r="B3240" s="19" t="n"/>
      <c r="D3240" s="16" t="n"/>
      <c r="E3240" s="19" t="n"/>
      <c r="G3240" s="16" t="n"/>
      <c r="H3240" s="19" t="n"/>
      <c r="J3240" s="16" t="n"/>
      <c r="K3240" s="19" t="n"/>
      <c r="M3240" s="16" t="n"/>
      <c r="N3240" s="19" t="n"/>
    </row>
    <row r="3241">
      <c r="A3241" s="16" t="n"/>
      <c r="B3241" s="19" t="n"/>
      <c r="D3241" s="16" t="n"/>
      <c r="E3241" s="19" t="n"/>
      <c r="G3241" s="16" t="n"/>
      <c r="H3241" s="19" t="n"/>
      <c r="J3241" s="16" t="n"/>
      <c r="K3241" s="19" t="n"/>
      <c r="M3241" s="16" t="n"/>
      <c r="N3241" s="19" t="n"/>
    </row>
    <row r="3242">
      <c r="A3242" s="16" t="n"/>
      <c r="B3242" s="19" t="n"/>
      <c r="D3242" s="16" t="n"/>
      <c r="E3242" s="19" t="n"/>
      <c r="G3242" s="16" t="n"/>
      <c r="H3242" s="19" t="n"/>
      <c r="J3242" s="16" t="n"/>
      <c r="K3242" s="19" t="n"/>
      <c r="M3242" s="16" t="n"/>
      <c r="N3242" s="19" t="n"/>
    </row>
    <row r="3243">
      <c r="A3243" s="16" t="n"/>
      <c r="B3243" s="19" t="n"/>
      <c r="D3243" s="16" t="n"/>
      <c r="E3243" s="19" t="n"/>
      <c r="G3243" s="16" t="n"/>
      <c r="H3243" s="19" t="n"/>
      <c r="J3243" s="16" t="n"/>
      <c r="K3243" s="19" t="n"/>
      <c r="M3243" s="16" t="n"/>
      <c r="N3243" s="19" t="n"/>
    </row>
    <row r="3244">
      <c r="A3244" s="16" t="n"/>
      <c r="B3244" s="19" t="n"/>
      <c r="D3244" s="16" t="n"/>
      <c r="E3244" s="19" t="n"/>
      <c r="G3244" s="16" t="n"/>
      <c r="H3244" s="19" t="n"/>
      <c r="J3244" s="16" t="n"/>
      <c r="K3244" s="19" t="n"/>
      <c r="M3244" s="16" t="n"/>
      <c r="N3244" s="19" t="n"/>
    </row>
    <row r="3245">
      <c r="A3245" s="16" t="n"/>
      <c r="B3245" s="19" t="n"/>
      <c r="D3245" s="16" t="n"/>
      <c r="E3245" s="19" t="n"/>
      <c r="G3245" s="16" t="n"/>
      <c r="H3245" s="19" t="n"/>
      <c r="J3245" s="16" t="n"/>
      <c r="K3245" s="19" t="n"/>
      <c r="M3245" s="16" t="n"/>
      <c r="N3245" s="19" t="n"/>
    </row>
    <row r="3246">
      <c r="A3246" s="16" t="n"/>
      <c r="B3246" s="19" t="n"/>
      <c r="D3246" s="16" t="n"/>
      <c r="E3246" s="19" t="n"/>
      <c r="G3246" s="16" t="n"/>
      <c r="H3246" s="19" t="n"/>
      <c r="J3246" s="16" t="n"/>
      <c r="K3246" s="19" t="n"/>
      <c r="M3246" s="16" t="n"/>
      <c r="N3246" s="19" t="n"/>
    </row>
    <row r="3247">
      <c r="A3247" s="16" t="n"/>
      <c r="B3247" s="19" t="n"/>
      <c r="D3247" s="16" t="n"/>
      <c r="E3247" s="19" t="n"/>
      <c r="G3247" s="16" t="n"/>
      <c r="H3247" s="19" t="n"/>
      <c r="J3247" s="16" t="n"/>
      <c r="K3247" s="19" t="n"/>
      <c r="M3247" s="16" t="n"/>
      <c r="N3247" s="19" t="n"/>
    </row>
    <row r="3248">
      <c r="A3248" s="16" t="n"/>
      <c r="B3248" s="19" t="n"/>
      <c r="D3248" s="16" t="n"/>
      <c r="E3248" s="19" t="n"/>
      <c r="G3248" s="16" t="n"/>
      <c r="H3248" s="19" t="n"/>
      <c r="J3248" s="16" t="n"/>
      <c r="K3248" s="19" t="n"/>
      <c r="M3248" s="16" t="n"/>
      <c r="N3248" s="19" t="n"/>
    </row>
    <row r="3249">
      <c r="A3249" s="16" t="n"/>
      <c r="B3249" s="19" t="n"/>
      <c r="D3249" s="16" t="n"/>
      <c r="E3249" s="19" t="n"/>
      <c r="G3249" s="16" t="n"/>
      <c r="H3249" s="19" t="n"/>
      <c r="J3249" s="16" t="n"/>
      <c r="K3249" s="19" t="n"/>
      <c r="M3249" s="16" t="n"/>
      <c r="N3249" s="19" t="n"/>
    </row>
    <row r="3250">
      <c r="A3250" s="16" t="n"/>
      <c r="B3250" s="19" t="n"/>
      <c r="D3250" s="16" t="n"/>
      <c r="E3250" s="19" t="n"/>
      <c r="G3250" s="16" t="n"/>
      <c r="H3250" s="19" t="n"/>
      <c r="J3250" s="16" t="n"/>
      <c r="K3250" s="19" t="n"/>
      <c r="M3250" s="16" t="n"/>
      <c r="N3250" s="19" t="n"/>
    </row>
    <row r="3251">
      <c r="A3251" s="16" t="n"/>
      <c r="B3251" s="19" t="n"/>
      <c r="D3251" s="16" t="n"/>
      <c r="E3251" s="19" t="n"/>
      <c r="G3251" s="16" t="n"/>
      <c r="H3251" s="19" t="n"/>
      <c r="J3251" s="16" t="n"/>
      <c r="K3251" s="19" t="n"/>
      <c r="M3251" s="16" t="n"/>
      <c r="N3251" s="19" t="n"/>
    </row>
    <row r="3252">
      <c r="A3252" s="16" t="n"/>
      <c r="B3252" s="19" t="n"/>
      <c r="D3252" s="16" t="n"/>
      <c r="E3252" s="19" t="n"/>
      <c r="G3252" s="16" t="n"/>
      <c r="H3252" s="19" t="n"/>
      <c r="J3252" s="16" t="n"/>
      <c r="K3252" s="19" t="n"/>
      <c r="M3252" s="16" t="n"/>
      <c r="N3252" s="19" t="n"/>
    </row>
    <row r="3253">
      <c r="A3253" s="16" t="n"/>
      <c r="B3253" s="19" t="n"/>
      <c r="D3253" s="16" t="n"/>
      <c r="E3253" s="19" t="n"/>
      <c r="G3253" s="16" t="n"/>
      <c r="H3253" s="19" t="n"/>
      <c r="J3253" s="16" t="n"/>
      <c r="K3253" s="19" t="n"/>
      <c r="M3253" s="16" t="n"/>
      <c r="N3253" s="19" t="n"/>
    </row>
    <row r="3254">
      <c r="A3254" s="16" t="n"/>
      <c r="B3254" s="19" t="n"/>
      <c r="D3254" s="16" t="n"/>
      <c r="E3254" s="19" t="n"/>
      <c r="G3254" s="16" t="n"/>
      <c r="H3254" s="19" t="n"/>
      <c r="J3254" s="16" t="n"/>
      <c r="K3254" s="19" t="n"/>
      <c r="M3254" s="16" t="n"/>
      <c r="N3254" s="19" t="n"/>
    </row>
    <row r="3255">
      <c r="A3255" s="16" t="n"/>
      <c r="B3255" s="19" t="n"/>
      <c r="D3255" s="16" t="n"/>
      <c r="E3255" s="19" t="n"/>
      <c r="G3255" s="16" t="n"/>
      <c r="H3255" s="19" t="n"/>
      <c r="J3255" s="16" t="n"/>
      <c r="K3255" s="19" t="n"/>
      <c r="M3255" s="16" t="n"/>
      <c r="N3255" s="19" t="n"/>
    </row>
    <row r="3256">
      <c r="A3256" s="16" t="n"/>
      <c r="B3256" s="19" t="n"/>
      <c r="D3256" s="16" t="n"/>
      <c r="E3256" s="19" t="n"/>
      <c r="G3256" s="16" t="n"/>
      <c r="H3256" s="19" t="n"/>
      <c r="J3256" s="16" t="n"/>
      <c r="K3256" s="19" t="n"/>
      <c r="M3256" s="16" t="n"/>
      <c r="N3256" s="19" t="n"/>
    </row>
    <row r="3257">
      <c r="A3257" s="16" t="n"/>
      <c r="B3257" s="19" t="n"/>
      <c r="D3257" s="16" t="n"/>
      <c r="E3257" s="19" t="n"/>
      <c r="G3257" s="16" t="n"/>
      <c r="H3257" s="19" t="n"/>
      <c r="J3257" s="16" t="n"/>
      <c r="K3257" s="19" t="n"/>
      <c r="M3257" s="16" t="n"/>
      <c r="N3257" s="19" t="n"/>
    </row>
    <row r="3258">
      <c r="A3258" s="16" t="n"/>
      <c r="B3258" s="19" t="n"/>
      <c r="D3258" s="16" t="n"/>
      <c r="E3258" s="19" t="n"/>
      <c r="G3258" s="16" t="n"/>
      <c r="H3258" s="19" t="n"/>
      <c r="J3258" s="16" t="n"/>
      <c r="K3258" s="19" t="n"/>
      <c r="M3258" s="16" t="n"/>
      <c r="N3258" s="19" t="n"/>
    </row>
    <row r="3259">
      <c r="A3259" s="16" t="n"/>
      <c r="B3259" s="19" t="n"/>
      <c r="D3259" s="16" t="n"/>
      <c r="E3259" s="19" t="n"/>
      <c r="G3259" s="16" t="n"/>
      <c r="H3259" s="19" t="n"/>
      <c r="J3259" s="16" t="n"/>
      <c r="K3259" s="19" t="n"/>
      <c r="M3259" s="16" t="n"/>
      <c r="N3259" s="19" t="n"/>
    </row>
    <row r="3260">
      <c r="A3260" s="16" t="n"/>
      <c r="B3260" s="19" t="n"/>
      <c r="D3260" s="16" t="n"/>
      <c r="E3260" s="19" t="n"/>
      <c r="G3260" s="16" t="n"/>
      <c r="H3260" s="19" t="n"/>
      <c r="J3260" s="16" t="n"/>
      <c r="K3260" s="19" t="n"/>
      <c r="M3260" s="16" t="n"/>
      <c r="N3260" s="19" t="n"/>
    </row>
    <row r="3261">
      <c r="A3261" s="16" t="n"/>
      <c r="B3261" s="19" t="n"/>
      <c r="D3261" s="16" t="n"/>
      <c r="E3261" s="19" t="n"/>
      <c r="G3261" s="16" t="n"/>
      <c r="H3261" s="19" t="n"/>
      <c r="J3261" s="16" t="n"/>
      <c r="K3261" s="19" t="n"/>
      <c r="M3261" s="16" t="n"/>
      <c r="N3261" s="19" t="n"/>
    </row>
    <row r="3262">
      <c r="A3262" s="16" t="n"/>
      <c r="B3262" s="19" t="n"/>
      <c r="D3262" s="16" t="n"/>
      <c r="E3262" s="19" t="n"/>
      <c r="G3262" s="16" t="n"/>
      <c r="H3262" s="19" t="n"/>
      <c r="J3262" s="16" t="n"/>
      <c r="K3262" s="19" t="n"/>
      <c r="M3262" s="16" t="n"/>
      <c r="N3262" s="19" t="n"/>
    </row>
    <row r="3263">
      <c r="A3263" s="16" t="n"/>
      <c r="B3263" s="19" t="n"/>
      <c r="D3263" s="16" t="n"/>
      <c r="E3263" s="19" t="n"/>
      <c r="G3263" s="16" t="n"/>
      <c r="H3263" s="19" t="n"/>
      <c r="J3263" s="16" t="n"/>
      <c r="K3263" s="19" t="n"/>
      <c r="M3263" s="16" t="n"/>
      <c r="N3263" s="19" t="n"/>
    </row>
    <row r="3264">
      <c r="A3264" s="16" t="n"/>
      <c r="B3264" s="19" t="n"/>
      <c r="D3264" s="16" t="n"/>
      <c r="E3264" s="19" t="n"/>
      <c r="G3264" s="16" t="n"/>
      <c r="H3264" s="19" t="n"/>
      <c r="J3264" s="16" t="n"/>
      <c r="K3264" s="19" t="n"/>
      <c r="M3264" s="16" t="n"/>
      <c r="N3264" s="19" t="n"/>
    </row>
    <row r="3265">
      <c r="A3265" s="16" t="n"/>
      <c r="B3265" s="19" t="n"/>
      <c r="D3265" s="16" t="n"/>
      <c r="E3265" s="19" t="n"/>
      <c r="G3265" s="16" t="n"/>
      <c r="H3265" s="19" t="n"/>
      <c r="J3265" s="16" t="n"/>
      <c r="K3265" s="19" t="n"/>
      <c r="M3265" s="16" t="n"/>
      <c r="N3265" s="19" t="n"/>
    </row>
    <row r="3266">
      <c r="A3266" s="16" t="n"/>
      <c r="B3266" s="19" t="n"/>
      <c r="D3266" s="16" t="n"/>
      <c r="E3266" s="19" t="n"/>
      <c r="G3266" s="16" t="n"/>
      <c r="H3266" s="19" t="n"/>
      <c r="J3266" s="16" t="n"/>
      <c r="K3266" s="19" t="n"/>
      <c r="M3266" s="16" t="n"/>
      <c r="N3266" s="19" t="n"/>
    </row>
    <row r="3267">
      <c r="A3267" s="16" t="n"/>
      <c r="B3267" s="19" t="n"/>
      <c r="D3267" s="16" t="n"/>
      <c r="E3267" s="19" t="n"/>
      <c r="G3267" s="16" t="n"/>
      <c r="H3267" s="19" t="n"/>
      <c r="J3267" s="16" t="n"/>
      <c r="K3267" s="19" t="n"/>
      <c r="M3267" s="16" t="n"/>
      <c r="N3267" s="19" t="n"/>
    </row>
    <row r="3268">
      <c r="A3268" s="16" t="n"/>
      <c r="B3268" s="19" t="n"/>
      <c r="D3268" s="16" t="n"/>
      <c r="E3268" s="19" t="n"/>
      <c r="G3268" s="16" t="n"/>
      <c r="H3268" s="19" t="n"/>
      <c r="J3268" s="16" t="n"/>
      <c r="K3268" s="19" t="n"/>
      <c r="M3268" s="16" t="n"/>
      <c r="N3268" s="19" t="n"/>
    </row>
    <row r="3269">
      <c r="A3269" s="16" t="n"/>
      <c r="B3269" s="19" t="n"/>
      <c r="D3269" s="16" t="n"/>
      <c r="E3269" s="19" t="n"/>
      <c r="G3269" s="16" t="n"/>
      <c r="H3269" s="19" t="n"/>
      <c r="J3269" s="16" t="n"/>
      <c r="K3269" s="19" t="n"/>
      <c r="M3269" s="16" t="n"/>
      <c r="N3269" s="19" t="n"/>
    </row>
    <row r="3270">
      <c r="A3270" s="16" t="n"/>
      <c r="B3270" s="19" t="n"/>
      <c r="D3270" s="16" t="n"/>
      <c r="E3270" s="19" t="n"/>
      <c r="G3270" s="16" t="n"/>
      <c r="H3270" s="19" t="n"/>
      <c r="J3270" s="16" t="n"/>
      <c r="K3270" s="19" t="n"/>
      <c r="M3270" s="16" t="n"/>
      <c r="N3270" s="19" t="n"/>
    </row>
    <row r="3271">
      <c r="A3271" s="16" t="n"/>
      <c r="B3271" s="19" t="n"/>
      <c r="D3271" s="16" t="n"/>
      <c r="E3271" s="19" t="n"/>
      <c r="G3271" s="16" t="n"/>
      <c r="H3271" s="19" t="n"/>
      <c r="J3271" s="16" t="n"/>
      <c r="K3271" s="19" t="n"/>
      <c r="M3271" s="16" t="n"/>
      <c r="N3271" s="19" t="n"/>
    </row>
    <row r="3272">
      <c r="A3272" s="16" t="n"/>
      <c r="B3272" s="19" t="n"/>
      <c r="D3272" s="16" t="n"/>
      <c r="E3272" s="19" t="n"/>
      <c r="G3272" s="16" t="n"/>
      <c r="H3272" s="19" t="n"/>
      <c r="J3272" s="16" t="n"/>
      <c r="K3272" s="19" t="n"/>
      <c r="M3272" s="16" t="n"/>
      <c r="N3272" s="19" t="n"/>
    </row>
    <row r="3273">
      <c r="A3273" s="16" t="n"/>
      <c r="B3273" s="19" t="n"/>
      <c r="D3273" s="16" t="n"/>
      <c r="E3273" s="19" t="n"/>
      <c r="G3273" s="16" t="n"/>
      <c r="H3273" s="19" t="n"/>
      <c r="J3273" s="16" t="n"/>
      <c r="K3273" s="19" t="n"/>
      <c r="M3273" s="16" t="n"/>
      <c r="N3273" s="19" t="n"/>
    </row>
    <row r="3274">
      <c r="A3274" s="16" t="n"/>
      <c r="B3274" s="19" t="n"/>
      <c r="D3274" s="16" t="n"/>
      <c r="E3274" s="19" t="n"/>
      <c r="G3274" s="16" t="n"/>
      <c r="H3274" s="19" t="n"/>
      <c r="J3274" s="16" t="n"/>
      <c r="K3274" s="19" t="n"/>
      <c r="M3274" s="16" t="n"/>
      <c r="N3274" s="19" t="n"/>
    </row>
    <row r="3275">
      <c r="A3275" s="16" t="n"/>
      <c r="B3275" s="19" t="n"/>
      <c r="D3275" s="16" t="n"/>
      <c r="E3275" s="19" t="n"/>
      <c r="G3275" s="16" t="n"/>
      <c r="H3275" s="19" t="n"/>
      <c r="J3275" s="16" t="n"/>
      <c r="K3275" s="19" t="n"/>
      <c r="M3275" s="16" t="n"/>
      <c r="N3275" s="19" t="n"/>
    </row>
    <row r="3276">
      <c r="A3276" s="16" t="n"/>
      <c r="B3276" s="19" t="n"/>
      <c r="D3276" s="16" t="n"/>
      <c r="E3276" s="19" t="n"/>
      <c r="G3276" s="16" t="n"/>
      <c r="H3276" s="19" t="n"/>
      <c r="J3276" s="16" t="n"/>
      <c r="K3276" s="19" t="n"/>
      <c r="M3276" s="16" t="n"/>
      <c r="N3276" s="19" t="n"/>
    </row>
    <row r="3277">
      <c r="A3277" s="16" t="n"/>
      <c r="B3277" s="19" t="n"/>
      <c r="D3277" s="16" t="n"/>
      <c r="E3277" s="19" t="n"/>
      <c r="G3277" s="16" t="n"/>
      <c r="H3277" s="19" t="n"/>
      <c r="J3277" s="16" t="n"/>
      <c r="K3277" s="19" t="n"/>
      <c r="M3277" s="16" t="n"/>
      <c r="N3277" s="19" t="n"/>
    </row>
    <row r="3278">
      <c r="A3278" s="16" t="n"/>
      <c r="B3278" s="19" t="n"/>
      <c r="D3278" s="16" t="n"/>
      <c r="E3278" s="19" t="n"/>
      <c r="G3278" s="16" t="n"/>
      <c r="H3278" s="19" t="n"/>
      <c r="J3278" s="16" t="n"/>
      <c r="K3278" s="19" t="n"/>
      <c r="M3278" s="16" t="n"/>
      <c r="N3278" s="19" t="n"/>
    </row>
    <row r="3279">
      <c r="A3279" s="16" t="n"/>
      <c r="B3279" s="19" t="n"/>
      <c r="D3279" s="16" t="n"/>
      <c r="E3279" s="19" t="n"/>
      <c r="G3279" s="16" t="n"/>
      <c r="H3279" s="19" t="n"/>
      <c r="J3279" s="16" t="n"/>
      <c r="K3279" s="19" t="n"/>
      <c r="M3279" s="16" t="n"/>
      <c r="N3279" s="19" t="n"/>
    </row>
    <row r="3280">
      <c r="A3280" s="16" t="n"/>
      <c r="B3280" s="19" t="n"/>
      <c r="D3280" s="16" t="n"/>
      <c r="E3280" s="19" t="n"/>
      <c r="G3280" s="16" t="n"/>
      <c r="H3280" s="19" t="n"/>
      <c r="J3280" s="16" t="n"/>
      <c r="K3280" s="19" t="n"/>
      <c r="M3280" s="16" t="n"/>
      <c r="N3280" s="19" t="n"/>
    </row>
    <row r="3281">
      <c r="A3281" s="16" t="n"/>
      <c r="B3281" s="19" t="n"/>
      <c r="D3281" s="16" t="n"/>
      <c r="E3281" s="19" t="n"/>
      <c r="G3281" s="16" t="n"/>
      <c r="H3281" s="19" t="n"/>
      <c r="J3281" s="16" t="n"/>
      <c r="K3281" s="19" t="n"/>
      <c r="M3281" s="16" t="n"/>
      <c r="N3281" s="19" t="n"/>
    </row>
    <row r="3282">
      <c r="A3282" s="16" t="n"/>
      <c r="B3282" s="19" t="n"/>
      <c r="D3282" s="16" t="n"/>
      <c r="E3282" s="19" t="n"/>
      <c r="G3282" s="16" t="n"/>
      <c r="H3282" s="19" t="n"/>
      <c r="J3282" s="16" t="n"/>
      <c r="K3282" s="19" t="n"/>
      <c r="M3282" s="16" t="n"/>
      <c r="N3282" s="19" t="n"/>
    </row>
    <row r="3283">
      <c r="A3283" s="16" t="n"/>
      <c r="B3283" s="19" t="n"/>
      <c r="D3283" s="16" t="n"/>
      <c r="E3283" s="19" t="n"/>
      <c r="G3283" s="16" t="n"/>
      <c r="H3283" s="19" t="n"/>
      <c r="J3283" s="16" t="n"/>
      <c r="K3283" s="19" t="n"/>
      <c r="M3283" s="16" t="n"/>
      <c r="N3283" s="19" t="n"/>
    </row>
    <row r="3284">
      <c r="A3284" s="16" t="n"/>
      <c r="B3284" s="19" t="n"/>
      <c r="D3284" s="16" t="n"/>
      <c r="E3284" s="19" t="n"/>
      <c r="G3284" s="16" t="n"/>
      <c r="H3284" s="19" t="n"/>
      <c r="J3284" s="16" t="n"/>
      <c r="K3284" s="19" t="n"/>
      <c r="M3284" s="16" t="n"/>
      <c r="N3284" s="19" t="n"/>
    </row>
    <row r="3285">
      <c r="A3285" s="16" t="n"/>
      <c r="B3285" s="19" t="n"/>
      <c r="D3285" s="16" t="n"/>
      <c r="E3285" s="19" t="n"/>
      <c r="G3285" s="16" t="n"/>
      <c r="H3285" s="19" t="n"/>
      <c r="J3285" s="16" t="n"/>
      <c r="K3285" s="19" t="n"/>
      <c r="M3285" s="16" t="n"/>
      <c r="N3285" s="19" t="n"/>
    </row>
    <row r="3286">
      <c r="A3286" s="16" t="n"/>
      <c r="B3286" s="19" t="n"/>
      <c r="D3286" s="16" t="n"/>
      <c r="E3286" s="19" t="n"/>
      <c r="G3286" s="16" t="n"/>
      <c r="H3286" s="19" t="n"/>
      <c r="J3286" s="16" t="n"/>
      <c r="K3286" s="19" t="n"/>
      <c r="M3286" s="16" t="n"/>
      <c r="N3286" s="19" t="n"/>
    </row>
    <row r="3287">
      <c r="A3287" s="16" t="n"/>
      <c r="B3287" s="19" t="n"/>
      <c r="D3287" s="16" t="n"/>
      <c r="E3287" s="19" t="n"/>
      <c r="G3287" s="16" t="n"/>
      <c r="H3287" s="19" t="n"/>
      <c r="J3287" s="16" t="n"/>
      <c r="K3287" s="19" t="n"/>
      <c r="M3287" s="16" t="n"/>
      <c r="N3287" s="19" t="n"/>
    </row>
    <row r="3288">
      <c r="A3288" s="16" t="n"/>
      <c r="B3288" s="19" t="n"/>
      <c r="D3288" s="16" t="n"/>
      <c r="E3288" s="19" t="n"/>
      <c r="G3288" s="16" t="n"/>
      <c r="H3288" s="19" t="n"/>
      <c r="J3288" s="16" t="n"/>
      <c r="K3288" s="19" t="n"/>
      <c r="M3288" s="16" t="n"/>
      <c r="N3288" s="19" t="n"/>
    </row>
    <row r="3289">
      <c r="A3289" s="16" t="n"/>
      <c r="B3289" s="19" t="n"/>
      <c r="D3289" s="16" t="n"/>
      <c r="E3289" s="19" t="n"/>
      <c r="G3289" s="16" t="n"/>
      <c r="H3289" s="19" t="n"/>
      <c r="J3289" s="16" t="n"/>
      <c r="K3289" s="19" t="n"/>
      <c r="M3289" s="16" t="n"/>
      <c r="N3289" s="19" t="n"/>
    </row>
    <row r="3290">
      <c r="A3290" s="16" t="n"/>
      <c r="B3290" s="19" t="n"/>
      <c r="D3290" s="16" t="n"/>
      <c r="E3290" s="19" t="n"/>
      <c r="G3290" s="16" t="n"/>
      <c r="H3290" s="19" t="n"/>
      <c r="J3290" s="16" t="n"/>
      <c r="K3290" s="19" t="n"/>
      <c r="M3290" s="16" t="n"/>
      <c r="N3290" s="19" t="n"/>
    </row>
    <row r="3291">
      <c r="A3291" s="16" t="n"/>
      <c r="B3291" s="19" t="n"/>
      <c r="D3291" s="16" t="n"/>
      <c r="E3291" s="19" t="n"/>
      <c r="G3291" s="16" t="n"/>
      <c r="H3291" s="19" t="n"/>
      <c r="J3291" s="16" t="n"/>
      <c r="K3291" s="19" t="n"/>
      <c r="M3291" s="16" t="n"/>
      <c r="N3291" s="19" t="n"/>
    </row>
    <row r="3292">
      <c r="A3292" s="16" t="n"/>
      <c r="B3292" s="19" t="n"/>
      <c r="D3292" s="16" t="n"/>
      <c r="E3292" s="19" t="n"/>
      <c r="G3292" s="16" t="n"/>
      <c r="H3292" s="19" t="n"/>
      <c r="J3292" s="16" t="n"/>
      <c r="K3292" s="19" t="n"/>
      <c r="M3292" s="16" t="n"/>
      <c r="N3292" s="19" t="n"/>
    </row>
    <row r="3293">
      <c r="A3293" s="16" t="n"/>
      <c r="B3293" s="19" t="n"/>
      <c r="D3293" s="16" t="n"/>
      <c r="E3293" s="19" t="n"/>
      <c r="G3293" s="16" t="n"/>
      <c r="H3293" s="19" t="n"/>
      <c r="J3293" s="16" t="n"/>
      <c r="K3293" s="19" t="n"/>
      <c r="M3293" s="16" t="n"/>
      <c r="N3293" s="19" t="n"/>
    </row>
    <row r="3294">
      <c r="A3294" s="16" t="n"/>
      <c r="B3294" s="19" t="n"/>
      <c r="D3294" s="16" t="n"/>
      <c r="E3294" s="19" t="n"/>
      <c r="G3294" s="16" t="n"/>
      <c r="H3294" s="19" t="n"/>
      <c r="J3294" s="16" t="n"/>
      <c r="K3294" s="19" t="n"/>
      <c r="M3294" s="16" t="n"/>
      <c r="N3294" s="19" t="n"/>
    </row>
    <row r="3295">
      <c r="A3295" s="16" t="n"/>
      <c r="B3295" s="19" t="n"/>
      <c r="D3295" s="16" t="n"/>
      <c r="E3295" s="19" t="n"/>
      <c r="G3295" s="16" t="n"/>
      <c r="H3295" s="19" t="n"/>
      <c r="J3295" s="16" t="n"/>
      <c r="K3295" s="19" t="n"/>
      <c r="M3295" s="16" t="n"/>
      <c r="N3295" s="19" t="n"/>
    </row>
    <row r="3296">
      <c r="A3296" s="16" t="n"/>
      <c r="B3296" s="19" t="n"/>
      <c r="D3296" s="16" t="n"/>
      <c r="E3296" s="19" t="n"/>
      <c r="G3296" s="16" t="n"/>
      <c r="H3296" s="19" t="n"/>
      <c r="J3296" s="16" t="n"/>
      <c r="K3296" s="19" t="n"/>
      <c r="M3296" s="16" t="n"/>
      <c r="N3296" s="19" t="n"/>
    </row>
    <row r="3297">
      <c r="A3297" s="16" t="n"/>
      <c r="B3297" s="19" t="n"/>
      <c r="D3297" s="16" t="n"/>
      <c r="E3297" s="19" t="n"/>
      <c r="G3297" s="16" t="n"/>
      <c r="H3297" s="19" t="n"/>
      <c r="J3297" s="16" t="n"/>
      <c r="K3297" s="19" t="n"/>
      <c r="M3297" s="16" t="n"/>
      <c r="N3297" s="19" t="n"/>
    </row>
    <row r="3298">
      <c r="A3298" s="16" t="n"/>
      <c r="B3298" s="19" t="n"/>
      <c r="D3298" s="16" t="n"/>
      <c r="E3298" s="19" t="n"/>
      <c r="G3298" s="16" t="n"/>
      <c r="H3298" s="19" t="n"/>
      <c r="J3298" s="16" t="n"/>
      <c r="K3298" s="19" t="n"/>
      <c r="M3298" s="16" t="n"/>
      <c r="N3298" s="19" t="n"/>
    </row>
    <row r="3299">
      <c r="A3299" s="16" t="n"/>
      <c r="B3299" s="19" t="n"/>
      <c r="D3299" s="16" t="n"/>
      <c r="E3299" s="19" t="n"/>
      <c r="G3299" s="16" t="n"/>
      <c r="H3299" s="19" t="n"/>
      <c r="J3299" s="16" t="n"/>
      <c r="K3299" s="19" t="n"/>
      <c r="M3299" s="16" t="n"/>
      <c r="N3299" s="19" t="n"/>
    </row>
    <row r="3300">
      <c r="A3300" s="16" t="n"/>
      <c r="B3300" s="19" t="n"/>
      <c r="D3300" s="16" t="n"/>
      <c r="E3300" s="19" t="n"/>
      <c r="G3300" s="16" t="n"/>
      <c r="H3300" s="19" t="n"/>
      <c r="J3300" s="16" t="n"/>
      <c r="K3300" s="19" t="n"/>
      <c r="M3300" s="16" t="n"/>
      <c r="N3300" s="19" t="n"/>
    </row>
    <row r="3301">
      <c r="A3301" s="16" t="n"/>
      <c r="B3301" s="19" t="n"/>
      <c r="D3301" s="16" t="n"/>
      <c r="E3301" s="19" t="n"/>
      <c r="G3301" s="16" t="n"/>
      <c r="H3301" s="19" t="n"/>
      <c r="J3301" s="16" t="n"/>
      <c r="K3301" s="19" t="n"/>
      <c r="M3301" s="16" t="n"/>
      <c r="N3301" s="19" t="n"/>
    </row>
    <row r="3302">
      <c r="A3302" s="16" t="n"/>
      <c r="B3302" s="19" t="n"/>
      <c r="D3302" s="16" t="n"/>
      <c r="E3302" s="19" t="n"/>
      <c r="G3302" s="16" t="n"/>
      <c r="H3302" s="19" t="n"/>
      <c r="J3302" s="16" t="n"/>
      <c r="K3302" s="19" t="n"/>
      <c r="M3302" s="16" t="n"/>
      <c r="N3302" s="19" t="n"/>
    </row>
    <row r="3303">
      <c r="A3303" s="16" t="n"/>
      <c r="B3303" s="19" t="n"/>
      <c r="D3303" s="16" t="n"/>
      <c r="E3303" s="19" t="n"/>
      <c r="G3303" s="16" t="n"/>
      <c r="H3303" s="19" t="n"/>
      <c r="J3303" s="16" t="n"/>
      <c r="K3303" s="19" t="n"/>
      <c r="M3303" s="16" t="n"/>
      <c r="N3303" s="19" t="n"/>
    </row>
    <row r="3304">
      <c r="A3304" s="16" t="n"/>
      <c r="B3304" s="19" t="n"/>
      <c r="D3304" s="16" t="n"/>
      <c r="E3304" s="19" t="n"/>
      <c r="G3304" s="16" t="n"/>
      <c r="H3304" s="19" t="n"/>
      <c r="J3304" s="16" t="n"/>
      <c r="K3304" s="19" t="n"/>
      <c r="M3304" s="16" t="n"/>
      <c r="N3304" s="19" t="n"/>
    </row>
    <row r="3305">
      <c r="A3305" s="16" t="n"/>
      <c r="B3305" s="19" t="n"/>
      <c r="D3305" s="16" t="n"/>
      <c r="E3305" s="19" t="n"/>
      <c r="G3305" s="16" t="n"/>
      <c r="H3305" s="19" t="n"/>
      <c r="J3305" s="16" t="n"/>
      <c r="K3305" s="19" t="n"/>
      <c r="M3305" s="16" t="n"/>
      <c r="N3305" s="19" t="n"/>
    </row>
    <row r="3306">
      <c r="A3306" s="16" t="n"/>
      <c r="B3306" s="19" t="n"/>
      <c r="D3306" s="16" t="n"/>
      <c r="E3306" s="19" t="n"/>
      <c r="G3306" s="16" t="n"/>
      <c r="H3306" s="19" t="n"/>
      <c r="J3306" s="16" t="n"/>
      <c r="K3306" s="19" t="n"/>
      <c r="M3306" s="16" t="n"/>
      <c r="N3306" s="19" t="n"/>
    </row>
    <row r="3307">
      <c r="A3307" s="16" t="n"/>
      <c r="B3307" s="19" t="n"/>
      <c r="D3307" s="16" t="n"/>
      <c r="E3307" s="19" t="n"/>
      <c r="G3307" s="16" t="n"/>
      <c r="H3307" s="19" t="n"/>
      <c r="J3307" s="16" t="n"/>
      <c r="K3307" s="19" t="n"/>
      <c r="M3307" s="16" t="n"/>
      <c r="N3307" s="19" t="n"/>
    </row>
    <row r="3308">
      <c r="A3308" s="16" t="n"/>
      <c r="B3308" s="19" t="n"/>
      <c r="D3308" s="16" t="n"/>
      <c r="E3308" s="19" t="n"/>
      <c r="G3308" s="16" t="n"/>
      <c r="H3308" s="19" t="n"/>
      <c r="J3308" s="16" t="n"/>
      <c r="K3308" s="19" t="n"/>
      <c r="M3308" s="16" t="n"/>
      <c r="N3308" s="19" t="n"/>
    </row>
    <row r="3309">
      <c r="A3309" s="16" t="n"/>
      <c r="B3309" s="19" t="n"/>
      <c r="D3309" s="16" t="n"/>
      <c r="E3309" s="19" t="n"/>
      <c r="G3309" s="16" t="n"/>
      <c r="H3309" s="19" t="n"/>
      <c r="J3309" s="16" t="n"/>
      <c r="K3309" s="19" t="n"/>
      <c r="M3309" s="16" t="n"/>
      <c r="N3309" s="19" t="n"/>
    </row>
    <row r="3310">
      <c r="A3310" s="16" t="n"/>
      <c r="B3310" s="19" t="n"/>
      <c r="D3310" s="16" t="n"/>
      <c r="E3310" s="19" t="n"/>
      <c r="G3310" s="16" t="n"/>
      <c r="H3310" s="19" t="n"/>
      <c r="J3310" s="16" t="n"/>
      <c r="K3310" s="19" t="n"/>
      <c r="M3310" s="16" t="n"/>
      <c r="N3310" s="19" t="n"/>
    </row>
    <row r="3311">
      <c r="A3311" s="16" t="n"/>
      <c r="B3311" s="19" t="n"/>
      <c r="D3311" s="16" t="n"/>
      <c r="E3311" s="19" t="n"/>
      <c r="G3311" s="16" t="n"/>
      <c r="H3311" s="19" t="n"/>
      <c r="J3311" s="16" t="n"/>
      <c r="K3311" s="19" t="n"/>
      <c r="M3311" s="16" t="n"/>
      <c r="N3311" s="19" t="n"/>
    </row>
    <row r="3312">
      <c r="A3312" s="16" t="n"/>
      <c r="B3312" s="19" t="n"/>
      <c r="D3312" s="16" t="n"/>
      <c r="E3312" s="19" t="n"/>
      <c r="G3312" s="16" t="n"/>
      <c r="H3312" s="19" t="n"/>
      <c r="J3312" s="16" t="n"/>
      <c r="K3312" s="19" t="n"/>
      <c r="M3312" s="16" t="n"/>
      <c r="N3312" s="19" t="n"/>
    </row>
    <row r="3313">
      <c r="A3313" s="16" t="n"/>
      <c r="B3313" s="19" t="n"/>
      <c r="D3313" s="16" t="n"/>
      <c r="E3313" s="19" t="n"/>
      <c r="G3313" s="16" t="n"/>
      <c r="H3313" s="19" t="n"/>
      <c r="J3313" s="16" t="n"/>
      <c r="K3313" s="19" t="n"/>
      <c r="M3313" s="16" t="n"/>
      <c r="N3313" s="19" t="n"/>
    </row>
    <row r="3314">
      <c r="A3314" s="16" t="n"/>
      <c r="B3314" s="19" t="n"/>
      <c r="D3314" s="16" t="n"/>
      <c r="E3314" s="19" t="n"/>
      <c r="G3314" s="16" t="n"/>
      <c r="H3314" s="19" t="n"/>
      <c r="J3314" s="16" t="n"/>
      <c r="K3314" s="19" t="n"/>
      <c r="M3314" s="16" t="n"/>
      <c r="N3314" s="19" t="n"/>
    </row>
    <row r="3315">
      <c r="A3315" s="16" t="n"/>
      <c r="B3315" s="19" t="n"/>
      <c r="D3315" s="16" t="n"/>
      <c r="E3315" s="19" t="n"/>
      <c r="G3315" s="16" t="n"/>
      <c r="H3315" s="19" t="n"/>
      <c r="J3315" s="16" t="n"/>
      <c r="K3315" s="19" t="n"/>
      <c r="M3315" s="16" t="n"/>
      <c r="N3315" s="19" t="n"/>
    </row>
    <row r="3316">
      <c r="A3316" s="16" t="n"/>
      <c r="B3316" s="19" t="n"/>
      <c r="D3316" s="16" t="n"/>
      <c r="E3316" s="19" t="n"/>
      <c r="G3316" s="16" t="n"/>
      <c r="H3316" s="19" t="n"/>
      <c r="J3316" s="16" t="n"/>
      <c r="K3316" s="19" t="n"/>
      <c r="M3316" s="16" t="n"/>
      <c r="N3316" s="19" t="n"/>
    </row>
    <row r="3317">
      <c r="A3317" s="16" t="n"/>
      <c r="B3317" s="19" t="n"/>
      <c r="D3317" s="16" t="n"/>
      <c r="E3317" s="19" t="n"/>
      <c r="G3317" s="16" t="n"/>
      <c r="H3317" s="19" t="n"/>
      <c r="J3317" s="16" t="n"/>
      <c r="K3317" s="19" t="n"/>
      <c r="M3317" s="16" t="n"/>
      <c r="N3317" s="19" t="n"/>
    </row>
    <row r="3318">
      <c r="A3318" s="16" t="n"/>
      <c r="B3318" s="19" t="n"/>
      <c r="D3318" s="16" t="n"/>
      <c r="E3318" s="19" t="n"/>
      <c r="G3318" s="16" t="n"/>
      <c r="H3318" s="19" t="n"/>
      <c r="J3318" s="16" t="n"/>
      <c r="K3318" s="19" t="n"/>
      <c r="M3318" s="16" t="n"/>
      <c r="N3318" s="19" t="n"/>
    </row>
    <row r="3319">
      <c r="A3319" s="16" t="n"/>
      <c r="B3319" s="19" t="n"/>
      <c r="D3319" s="16" t="n"/>
      <c r="E3319" s="19" t="n"/>
      <c r="G3319" s="16" t="n"/>
      <c r="H3319" s="19" t="n"/>
      <c r="J3319" s="16" t="n"/>
      <c r="K3319" s="19" t="n"/>
      <c r="M3319" s="16" t="n"/>
      <c r="N3319" s="19" t="n"/>
    </row>
    <row r="3320">
      <c r="A3320" s="16" t="n"/>
      <c r="B3320" s="19" t="n"/>
      <c r="D3320" s="16" t="n"/>
      <c r="E3320" s="19" t="n"/>
      <c r="G3320" s="16" t="n"/>
      <c r="H3320" s="19" t="n"/>
      <c r="J3320" s="16" t="n"/>
      <c r="K3320" s="19" t="n"/>
      <c r="M3320" s="16" t="n"/>
      <c r="N3320" s="19" t="n"/>
    </row>
    <row r="3321">
      <c r="A3321" s="16" t="n"/>
      <c r="B3321" s="19" t="n"/>
      <c r="D3321" s="16" t="n"/>
      <c r="E3321" s="19" t="n"/>
      <c r="G3321" s="16" t="n"/>
      <c r="H3321" s="19" t="n"/>
      <c r="J3321" s="16" t="n"/>
      <c r="K3321" s="19" t="n"/>
      <c r="M3321" s="16" t="n"/>
      <c r="N3321" s="19" t="n"/>
    </row>
    <row r="3322">
      <c r="A3322" s="16" t="n"/>
      <c r="B3322" s="19" t="n"/>
      <c r="D3322" s="16" t="n"/>
      <c r="E3322" s="19" t="n"/>
      <c r="G3322" s="16" t="n"/>
      <c r="H3322" s="19" t="n"/>
      <c r="J3322" s="16" t="n"/>
      <c r="K3322" s="19" t="n"/>
      <c r="M3322" s="16" t="n"/>
      <c r="N3322" s="19" t="n"/>
    </row>
    <row r="3323">
      <c r="A3323" s="16" t="n"/>
      <c r="B3323" s="19" t="n"/>
      <c r="D3323" s="16" t="n"/>
      <c r="E3323" s="19" t="n"/>
      <c r="G3323" s="16" t="n"/>
      <c r="H3323" s="19" t="n"/>
      <c r="J3323" s="16" t="n"/>
      <c r="K3323" s="19" t="n"/>
      <c r="M3323" s="16" t="n"/>
      <c r="N3323" s="19" t="n"/>
    </row>
    <row r="3324">
      <c r="A3324" s="16" t="n"/>
      <c r="B3324" s="19" t="n"/>
      <c r="D3324" s="16" t="n"/>
      <c r="E3324" s="19" t="n"/>
      <c r="G3324" s="16" t="n"/>
      <c r="H3324" s="19" t="n"/>
      <c r="J3324" s="16" t="n"/>
      <c r="K3324" s="19" t="n"/>
      <c r="M3324" s="16" t="n"/>
      <c r="N3324" s="19" t="n"/>
    </row>
    <row r="3325">
      <c r="A3325" s="16" t="n"/>
      <c r="B3325" s="19" t="n"/>
      <c r="D3325" s="16" t="n"/>
      <c r="E3325" s="19" t="n"/>
      <c r="G3325" s="16" t="n"/>
      <c r="H3325" s="19" t="n"/>
      <c r="J3325" s="16" t="n"/>
      <c r="K3325" s="19" t="n"/>
      <c r="M3325" s="16" t="n"/>
      <c r="N3325" s="19" t="n"/>
    </row>
    <row r="3326">
      <c r="A3326" s="16" t="n"/>
      <c r="B3326" s="19" t="n"/>
      <c r="D3326" s="16" t="n"/>
      <c r="E3326" s="19" t="n"/>
      <c r="G3326" s="16" t="n"/>
      <c r="H3326" s="19" t="n"/>
      <c r="J3326" s="16" t="n"/>
      <c r="K3326" s="19" t="n"/>
      <c r="M3326" s="16" t="n"/>
      <c r="N3326" s="19" t="n"/>
    </row>
    <row r="3327">
      <c r="A3327" s="16" t="n"/>
      <c r="B3327" s="19" t="n"/>
      <c r="D3327" s="16" t="n"/>
      <c r="E3327" s="19" t="n"/>
      <c r="G3327" s="16" t="n"/>
      <c r="H3327" s="19" t="n"/>
      <c r="J3327" s="16" t="n"/>
      <c r="K3327" s="19" t="n"/>
      <c r="M3327" s="16" t="n"/>
      <c r="N3327" s="19" t="n"/>
    </row>
    <row r="3328">
      <c r="A3328" s="16" t="n"/>
      <c r="B3328" s="19" t="n"/>
      <c r="D3328" s="16" t="n"/>
      <c r="E3328" s="19" t="n"/>
      <c r="G3328" s="16" t="n"/>
      <c r="H3328" s="19" t="n"/>
      <c r="J3328" s="16" t="n"/>
      <c r="K3328" s="19" t="n"/>
      <c r="M3328" s="16" t="n"/>
      <c r="N3328" s="19" t="n"/>
    </row>
    <row r="3329">
      <c r="A3329" s="16" t="n"/>
      <c r="B3329" s="19" t="n"/>
      <c r="D3329" s="16" t="n"/>
      <c r="E3329" s="19" t="n"/>
      <c r="G3329" s="16" t="n"/>
      <c r="H3329" s="19" t="n"/>
      <c r="J3329" s="16" t="n"/>
      <c r="K3329" s="19" t="n"/>
      <c r="M3329" s="16" t="n"/>
      <c r="N3329" s="19" t="n"/>
    </row>
    <row r="3330">
      <c r="A3330" s="16" t="n"/>
      <c r="B3330" s="19" t="n"/>
      <c r="D3330" s="16" t="n"/>
      <c r="E3330" s="19" t="n"/>
      <c r="G3330" s="16" t="n"/>
      <c r="H3330" s="19" t="n"/>
      <c r="J3330" s="16" t="n"/>
      <c r="K3330" s="19" t="n"/>
      <c r="M3330" s="16" t="n"/>
      <c r="N3330" s="19" t="n"/>
    </row>
    <row r="3331">
      <c r="A3331" s="16" t="n"/>
      <c r="B3331" s="19" t="n"/>
      <c r="D3331" s="16" t="n"/>
      <c r="E3331" s="19" t="n"/>
      <c r="G3331" s="16" t="n"/>
      <c r="H3331" s="19" t="n"/>
      <c r="J3331" s="16" t="n"/>
      <c r="K3331" s="19" t="n"/>
      <c r="M3331" s="16" t="n"/>
      <c r="N3331" s="19" t="n"/>
    </row>
    <row r="3332">
      <c r="A3332" s="16" t="n"/>
      <c r="B3332" s="19" t="n"/>
      <c r="D3332" s="16" t="n"/>
      <c r="E3332" s="19" t="n"/>
      <c r="G3332" s="16" t="n"/>
      <c r="H3332" s="19" t="n"/>
      <c r="J3332" s="16" t="n"/>
      <c r="K3332" s="19" t="n"/>
      <c r="M3332" s="16" t="n"/>
      <c r="N3332" s="19" t="n"/>
    </row>
    <row r="3333">
      <c r="A3333" s="16" t="n"/>
      <c r="B3333" s="19" t="n"/>
      <c r="D3333" s="16" t="n"/>
      <c r="E3333" s="19" t="n"/>
      <c r="G3333" s="16" t="n"/>
      <c r="H3333" s="19" t="n"/>
      <c r="J3333" s="16" t="n"/>
      <c r="K3333" s="19" t="n"/>
      <c r="M3333" s="16" t="n"/>
      <c r="N3333" s="19" t="n"/>
    </row>
    <row r="3334">
      <c r="A3334" s="16" t="n"/>
      <c r="B3334" s="19" t="n"/>
      <c r="D3334" s="16" t="n"/>
      <c r="E3334" s="19" t="n"/>
      <c r="G3334" s="16" t="n"/>
      <c r="H3334" s="19" t="n"/>
      <c r="J3334" s="16" t="n"/>
      <c r="K3334" s="19" t="n"/>
      <c r="M3334" s="16" t="n"/>
      <c r="N3334" s="19" t="n"/>
    </row>
    <row r="3335">
      <c r="A3335" s="16" t="n"/>
      <c r="B3335" s="19" t="n"/>
      <c r="D3335" s="16" t="n"/>
      <c r="E3335" s="19" t="n"/>
      <c r="G3335" s="16" t="n"/>
      <c r="H3335" s="19" t="n"/>
      <c r="J3335" s="16" t="n"/>
      <c r="K3335" s="19" t="n"/>
      <c r="M3335" s="16" t="n"/>
      <c r="N3335" s="19" t="n"/>
    </row>
    <row r="3336">
      <c r="A3336" s="16" t="n"/>
      <c r="B3336" s="19" t="n"/>
      <c r="D3336" s="16" t="n"/>
      <c r="E3336" s="19" t="n"/>
      <c r="G3336" s="16" t="n"/>
      <c r="H3336" s="19" t="n"/>
      <c r="J3336" s="16" t="n"/>
      <c r="K3336" s="19" t="n"/>
      <c r="M3336" s="16" t="n"/>
      <c r="N3336" s="19" t="n"/>
    </row>
    <row r="3337">
      <c r="A3337" s="16" t="n"/>
      <c r="B3337" s="19" t="n"/>
      <c r="D3337" s="16" t="n"/>
      <c r="E3337" s="19" t="n"/>
      <c r="G3337" s="16" t="n"/>
      <c r="H3337" s="19" t="n"/>
      <c r="J3337" s="16" t="n"/>
      <c r="K3337" s="19" t="n"/>
      <c r="M3337" s="16" t="n"/>
      <c r="N3337" s="19" t="n"/>
    </row>
    <row r="3338">
      <c r="A3338" s="16" t="n"/>
      <c r="B3338" s="19" t="n"/>
      <c r="D3338" s="16" t="n"/>
      <c r="E3338" s="19" t="n"/>
      <c r="G3338" s="16" t="n"/>
      <c r="H3338" s="19" t="n"/>
      <c r="J3338" s="16" t="n"/>
      <c r="K3338" s="19" t="n"/>
      <c r="M3338" s="16" t="n"/>
      <c r="N3338" s="19" t="n"/>
    </row>
    <row r="3339">
      <c r="A3339" s="16" t="n"/>
      <c r="B3339" s="19" t="n"/>
      <c r="D3339" s="16" t="n"/>
      <c r="E3339" s="19" t="n"/>
      <c r="G3339" s="16" t="n"/>
      <c r="H3339" s="19" t="n"/>
      <c r="J3339" s="16" t="n"/>
      <c r="K3339" s="19" t="n"/>
      <c r="M3339" s="16" t="n"/>
      <c r="N3339" s="19" t="n"/>
    </row>
    <row r="3340">
      <c r="A3340" s="16" t="n"/>
      <c r="B3340" s="19" t="n"/>
      <c r="D3340" s="16" t="n"/>
      <c r="E3340" s="19" t="n"/>
      <c r="G3340" s="16" t="n"/>
      <c r="H3340" s="19" t="n"/>
      <c r="J3340" s="16" t="n"/>
      <c r="K3340" s="19" t="n"/>
      <c r="M3340" s="16" t="n"/>
      <c r="N3340" s="19" t="n"/>
    </row>
    <row r="3341">
      <c r="A3341" s="16" t="n"/>
      <c r="B3341" s="19" t="n"/>
      <c r="D3341" s="16" t="n"/>
      <c r="E3341" s="19" t="n"/>
      <c r="G3341" s="16" t="n"/>
      <c r="H3341" s="19" t="n"/>
      <c r="J3341" s="16" t="n"/>
      <c r="K3341" s="19" t="n"/>
      <c r="M3341" s="16" t="n"/>
      <c r="N3341" s="19" t="n"/>
    </row>
    <row r="3342">
      <c r="A3342" s="16" t="n"/>
      <c r="B3342" s="19" t="n"/>
      <c r="D3342" s="16" t="n"/>
      <c r="E3342" s="19" t="n"/>
      <c r="G3342" s="16" t="n"/>
      <c r="H3342" s="19" t="n"/>
      <c r="J3342" s="16" t="n"/>
      <c r="K3342" s="19" t="n"/>
      <c r="M3342" s="16" t="n"/>
      <c r="N3342" s="19" t="n"/>
    </row>
    <row r="3343">
      <c r="A3343" s="16" t="n"/>
      <c r="B3343" s="19" t="n"/>
      <c r="D3343" s="16" t="n"/>
      <c r="E3343" s="19" t="n"/>
      <c r="G3343" s="16" t="n"/>
      <c r="H3343" s="19" t="n"/>
      <c r="J3343" s="16" t="n"/>
      <c r="K3343" s="19" t="n"/>
      <c r="M3343" s="16" t="n"/>
      <c r="N3343" s="19" t="n"/>
    </row>
    <row r="3344">
      <c r="A3344" s="16" t="n"/>
      <c r="B3344" s="19" t="n"/>
      <c r="D3344" s="16" t="n"/>
      <c r="E3344" s="19" t="n"/>
      <c r="G3344" s="16" t="n"/>
      <c r="H3344" s="19" t="n"/>
      <c r="J3344" s="16" t="n"/>
      <c r="K3344" s="19" t="n"/>
      <c r="M3344" s="16" t="n"/>
      <c r="N3344" s="19" t="n"/>
    </row>
    <row r="3345">
      <c r="A3345" s="16" t="n"/>
      <c r="B3345" s="19" t="n"/>
      <c r="D3345" s="16" t="n"/>
      <c r="E3345" s="19" t="n"/>
      <c r="G3345" s="16" t="n"/>
      <c r="H3345" s="19" t="n"/>
      <c r="J3345" s="16" t="n"/>
      <c r="K3345" s="19" t="n"/>
      <c r="M3345" s="16" t="n"/>
      <c r="N3345" s="19" t="n"/>
    </row>
    <row r="3346">
      <c r="A3346" s="16" t="n"/>
      <c r="B3346" s="19" t="n"/>
      <c r="D3346" s="16" t="n"/>
      <c r="E3346" s="19" t="n"/>
      <c r="G3346" s="16" t="n"/>
      <c r="H3346" s="19" t="n"/>
      <c r="J3346" s="16" t="n"/>
      <c r="K3346" s="19" t="n"/>
      <c r="M3346" s="16" t="n"/>
      <c r="N3346" s="19" t="n"/>
    </row>
    <row r="3347">
      <c r="A3347" s="16" t="n"/>
      <c r="B3347" s="19" t="n"/>
      <c r="D3347" s="16" t="n"/>
      <c r="E3347" s="19" t="n"/>
      <c r="G3347" s="16" t="n"/>
      <c r="H3347" s="19" t="n"/>
      <c r="J3347" s="16" t="n"/>
      <c r="K3347" s="19" t="n"/>
      <c r="M3347" s="16" t="n"/>
      <c r="N3347" s="19" t="n"/>
    </row>
    <row r="3348">
      <c r="A3348" s="16" t="n"/>
      <c r="B3348" s="19" t="n"/>
      <c r="D3348" s="16" t="n"/>
      <c r="E3348" s="19" t="n"/>
      <c r="G3348" s="16" t="n"/>
      <c r="H3348" s="19" t="n"/>
      <c r="J3348" s="16" t="n"/>
      <c r="K3348" s="19" t="n"/>
      <c r="M3348" s="16" t="n"/>
      <c r="N3348" s="19" t="n"/>
    </row>
    <row r="3349">
      <c r="A3349" s="16" t="n"/>
      <c r="B3349" s="19" t="n"/>
      <c r="D3349" s="16" t="n"/>
      <c r="E3349" s="19" t="n"/>
      <c r="G3349" s="16" t="n"/>
      <c r="H3349" s="19" t="n"/>
      <c r="J3349" s="16" t="n"/>
      <c r="K3349" s="19" t="n"/>
      <c r="M3349" s="16" t="n"/>
      <c r="N3349" s="19" t="n"/>
    </row>
    <row r="3350">
      <c r="A3350" s="16" t="n"/>
      <c r="B3350" s="19" t="n"/>
      <c r="D3350" s="16" t="n"/>
      <c r="E3350" s="19" t="n"/>
      <c r="G3350" s="16" t="n"/>
      <c r="H3350" s="19" t="n"/>
      <c r="J3350" s="16" t="n"/>
      <c r="K3350" s="19" t="n"/>
      <c r="M3350" s="16" t="n"/>
      <c r="N3350" s="19" t="n"/>
    </row>
    <row r="3351">
      <c r="A3351" s="16" t="n"/>
      <c r="B3351" s="19" t="n"/>
      <c r="D3351" s="16" t="n"/>
      <c r="E3351" s="19" t="n"/>
      <c r="G3351" s="16" t="n"/>
      <c r="H3351" s="19" t="n"/>
      <c r="J3351" s="16" t="n"/>
      <c r="K3351" s="19" t="n"/>
      <c r="M3351" s="16" t="n"/>
      <c r="N3351" s="19" t="n"/>
    </row>
    <row r="3352">
      <c r="A3352" s="16" t="n"/>
      <c r="B3352" s="19" t="n"/>
      <c r="D3352" s="16" t="n"/>
      <c r="E3352" s="19" t="n"/>
      <c r="G3352" s="16" t="n"/>
      <c r="H3352" s="19" t="n"/>
      <c r="J3352" s="16" t="n"/>
      <c r="K3352" s="19" t="n"/>
      <c r="M3352" s="16" t="n"/>
      <c r="N3352" s="19" t="n"/>
    </row>
    <row r="3353">
      <c r="A3353" s="16" t="n"/>
      <c r="B3353" s="19" t="n"/>
      <c r="D3353" s="16" t="n"/>
      <c r="E3353" s="19" t="n"/>
      <c r="G3353" s="16" t="n"/>
      <c r="H3353" s="19" t="n"/>
      <c r="J3353" s="16" t="n"/>
      <c r="K3353" s="19" t="n"/>
      <c r="M3353" s="16" t="n"/>
      <c r="N3353" s="19" t="n"/>
    </row>
    <row r="3354">
      <c r="A3354" s="16" t="n"/>
      <c r="B3354" s="19" t="n"/>
      <c r="D3354" s="16" t="n"/>
      <c r="E3354" s="19" t="n"/>
      <c r="G3354" s="16" t="n"/>
      <c r="H3354" s="19" t="n"/>
      <c r="J3354" s="16" t="n"/>
      <c r="K3354" s="19" t="n"/>
      <c r="M3354" s="16" t="n"/>
      <c r="N3354" s="19" t="n"/>
    </row>
    <row r="3355">
      <c r="A3355" s="16" t="n"/>
      <c r="B3355" s="19" t="n"/>
      <c r="D3355" s="16" t="n"/>
      <c r="E3355" s="19" t="n"/>
      <c r="G3355" s="16" t="n"/>
      <c r="H3355" s="19" t="n"/>
      <c r="J3355" s="16" t="n"/>
      <c r="K3355" s="19" t="n"/>
      <c r="M3355" s="16" t="n"/>
      <c r="N3355" s="19" t="n"/>
    </row>
    <row r="3356">
      <c r="A3356" s="16" t="n"/>
      <c r="B3356" s="19" t="n"/>
      <c r="D3356" s="16" t="n"/>
      <c r="E3356" s="19" t="n"/>
      <c r="G3356" s="16" t="n"/>
      <c r="H3356" s="19" t="n"/>
      <c r="J3356" s="16" t="n"/>
      <c r="K3356" s="19" t="n"/>
      <c r="M3356" s="16" t="n"/>
      <c r="N3356" s="19" t="n"/>
    </row>
    <row r="3357">
      <c r="A3357" s="16" t="n"/>
      <c r="B3357" s="19" t="n"/>
      <c r="D3357" s="16" t="n"/>
      <c r="E3357" s="19" t="n"/>
      <c r="G3357" s="16" t="n"/>
      <c r="H3357" s="19" t="n"/>
      <c r="J3357" s="16" t="n"/>
      <c r="K3357" s="19" t="n"/>
      <c r="M3357" s="16" t="n"/>
      <c r="N3357" s="19" t="n"/>
    </row>
    <row r="3358">
      <c r="A3358" s="16" t="n"/>
      <c r="B3358" s="19" t="n"/>
      <c r="D3358" s="16" t="n"/>
      <c r="E3358" s="19" t="n"/>
      <c r="G3358" s="16" t="n"/>
      <c r="H3358" s="19" t="n"/>
      <c r="J3358" s="16" t="n"/>
      <c r="K3358" s="19" t="n"/>
      <c r="M3358" s="16" t="n"/>
      <c r="N3358" s="19" t="n"/>
    </row>
    <row r="3359">
      <c r="A3359" s="16" t="n"/>
      <c r="B3359" s="19" t="n"/>
      <c r="D3359" s="16" t="n"/>
      <c r="E3359" s="19" t="n"/>
      <c r="G3359" s="16" t="n"/>
      <c r="H3359" s="19" t="n"/>
      <c r="J3359" s="16" t="n"/>
      <c r="K3359" s="19" t="n"/>
      <c r="M3359" s="16" t="n"/>
      <c r="N3359" s="19" t="n"/>
    </row>
    <row r="3360">
      <c r="A3360" s="16" t="n"/>
      <c r="B3360" s="19" t="n"/>
      <c r="D3360" s="16" t="n"/>
      <c r="E3360" s="19" t="n"/>
      <c r="G3360" s="16" t="n"/>
      <c r="H3360" s="19" t="n"/>
      <c r="J3360" s="16" t="n"/>
      <c r="K3360" s="19" t="n"/>
      <c r="M3360" s="16" t="n"/>
      <c r="N3360" s="19" t="n"/>
    </row>
    <row r="3361">
      <c r="A3361" s="16" t="n"/>
      <c r="B3361" s="19" t="n"/>
      <c r="D3361" s="16" t="n"/>
      <c r="E3361" s="19" t="n"/>
      <c r="G3361" s="16" t="n"/>
      <c r="H3361" s="19" t="n"/>
      <c r="J3361" s="16" t="n"/>
      <c r="K3361" s="19" t="n"/>
      <c r="M3361" s="16" t="n"/>
      <c r="N3361" s="19" t="n"/>
    </row>
    <row r="3362">
      <c r="A3362" s="16" t="n"/>
      <c r="B3362" s="19" t="n"/>
      <c r="D3362" s="16" t="n"/>
      <c r="E3362" s="19" t="n"/>
      <c r="G3362" s="16" t="n"/>
      <c r="H3362" s="19" t="n"/>
      <c r="J3362" s="16" t="n"/>
      <c r="K3362" s="19" t="n"/>
      <c r="M3362" s="16" t="n"/>
      <c r="N3362" s="19" t="n"/>
    </row>
    <row r="3363">
      <c r="A3363" s="16" t="n"/>
      <c r="B3363" s="19" t="n"/>
      <c r="D3363" s="16" t="n"/>
      <c r="E3363" s="19" t="n"/>
      <c r="G3363" s="16" t="n"/>
      <c r="H3363" s="19" t="n"/>
      <c r="J3363" s="16" t="n"/>
      <c r="K3363" s="19" t="n"/>
      <c r="M3363" s="16" t="n"/>
      <c r="N3363" s="19" t="n"/>
    </row>
    <row r="3364">
      <c r="A3364" s="16" t="n"/>
      <c r="B3364" s="19" t="n"/>
      <c r="D3364" s="16" t="n"/>
      <c r="E3364" s="19" t="n"/>
      <c r="G3364" s="16" t="n"/>
      <c r="H3364" s="19" t="n"/>
      <c r="J3364" s="16" t="n"/>
      <c r="K3364" s="19" t="n"/>
      <c r="M3364" s="16" t="n"/>
      <c r="N3364" s="19" t="n"/>
    </row>
    <row r="3365">
      <c r="A3365" s="16" t="n"/>
      <c r="B3365" s="19" t="n"/>
      <c r="D3365" s="16" t="n"/>
      <c r="E3365" s="19" t="n"/>
      <c r="G3365" s="16" t="n"/>
      <c r="H3365" s="19" t="n"/>
      <c r="J3365" s="16" t="n"/>
      <c r="K3365" s="19" t="n"/>
      <c r="M3365" s="16" t="n"/>
      <c r="N3365" s="19" t="n"/>
    </row>
    <row r="3366">
      <c r="A3366" s="16" t="n"/>
      <c r="B3366" s="19" t="n"/>
      <c r="D3366" s="16" t="n"/>
      <c r="E3366" s="19" t="n"/>
      <c r="G3366" s="16" t="n"/>
      <c r="H3366" s="19" t="n"/>
      <c r="J3366" s="16" t="n"/>
      <c r="K3366" s="19" t="n"/>
      <c r="M3366" s="16" t="n"/>
      <c r="N3366" s="19" t="n"/>
    </row>
    <row r="3367">
      <c r="A3367" s="16" t="n"/>
      <c r="B3367" s="19" t="n"/>
      <c r="D3367" s="16" t="n"/>
      <c r="E3367" s="19" t="n"/>
      <c r="G3367" s="16" t="n"/>
      <c r="H3367" s="19" t="n"/>
      <c r="J3367" s="16" t="n"/>
      <c r="K3367" s="19" t="n"/>
      <c r="M3367" s="16" t="n"/>
      <c r="N3367" s="19" t="n"/>
    </row>
    <row r="3368">
      <c r="A3368" s="16" t="n"/>
      <c r="B3368" s="19" t="n"/>
      <c r="D3368" s="16" t="n"/>
      <c r="E3368" s="19" t="n"/>
      <c r="G3368" s="16" t="n"/>
      <c r="H3368" s="19" t="n"/>
      <c r="J3368" s="16" t="n"/>
      <c r="K3368" s="19" t="n"/>
      <c r="M3368" s="16" t="n"/>
      <c r="N3368" s="19" t="n"/>
    </row>
    <row r="3369">
      <c r="A3369" s="16" t="n"/>
      <c r="B3369" s="19" t="n"/>
      <c r="D3369" s="16" t="n"/>
      <c r="E3369" s="19" t="n"/>
      <c r="G3369" s="16" t="n"/>
      <c r="H3369" s="19" t="n"/>
      <c r="J3369" s="16" t="n"/>
      <c r="K3369" s="19" t="n"/>
      <c r="M3369" s="16" t="n"/>
      <c r="N3369" s="19" t="n"/>
    </row>
    <row r="3370">
      <c r="A3370" s="16" t="n"/>
      <c r="B3370" s="19" t="n"/>
      <c r="D3370" s="16" t="n"/>
      <c r="E3370" s="19" t="n"/>
      <c r="G3370" s="16" t="n"/>
      <c r="H3370" s="19" t="n"/>
      <c r="J3370" s="16" t="n"/>
      <c r="K3370" s="19" t="n"/>
      <c r="M3370" s="16" t="n"/>
      <c r="N3370" s="19" t="n"/>
    </row>
    <row r="3371">
      <c r="A3371" s="16" t="n"/>
      <c r="B3371" s="19" t="n"/>
      <c r="D3371" s="16" t="n"/>
      <c r="E3371" s="19" t="n"/>
      <c r="G3371" s="16" t="n"/>
      <c r="H3371" s="19" t="n"/>
      <c r="J3371" s="16" t="n"/>
      <c r="K3371" s="19" t="n"/>
      <c r="M3371" s="16" t="n"/>
      <c r="N3371" s="19" t="n"/>
    </row>
    <row r="3372">
      <c r="A3372" s="16" t="n"/>
      <c r="B3372" s="19" t="n"/>
      <c r="D3372" s="16" t="n"/>
      <c r="E3372" s="19" t="n"/>
      <c r="G3372" s="16" t="n"/>
      <c r="H3372" s="19" t="n"/>
      <c r="J3372" s="16" t="n"/>
      <c r="K3372" s="19" t="n"/>
      <c r="M3372" s="16" t="n"/>
      <c r="N3372" s="19" t="n"/>
    </row>
    <row r="3373">
      <c r="A3373" s="16" t="n"/>
      <c r="B3373" s="19" t="n"/>
      <c r="D3373" s="16" t="n"/>
      <c r="E3373" s="19" t="n"/>
      <c r="G3373" s="16" t="n"/>
      <c r="H3373" s="19" t="n"/>
      <c r="J3373" s="16" t="n"/>
      <c r="K3373" s="19" t="n"/>
      <c r="M3373" s="16" t="n"/>
      <c r="N3373" s="19" t="n"/>
    </row>
    <row r="3374">
      <c r="A3374" s="16" t="n"/>
      <c r="B3374" s="19" t="n"/>
      <c r="D3374" s="16" t="n"/>
      <c r="E3374" s="19" t="n"/>
      <c r="G3374" s="16" t="n"/>
      <c r="H3374" s="19" t="n"/>
      <c r="J3374" s="16" t="n"/>
      <c r="K3374" s="19" t="n"/>
      <c r="M3374" s="16" t="n"/>
      <c r="N3374" s="19" t="n"/>
    </row>
    <row r="3375">
      <c r="A3375" s="16" t="n"/>
      <c r="B3375" s="19" t="n"/>
      <c r="D3375" s="16" t="n"/>
      <c r="E3375" s="19" t="n"/>
      <c r="G3375" s="16" t="n"/>
      <c r="H3375" s="19" t="n"/>
      <c r="J3375" s="16" t="n"/>
      <c r="K3375" s="19" t="n"/>
      <c r="M3375" s="16" t="n"/>
      <c r="N3375" s="19" t="n"/>
    </row>
    <row r="3376">
      <c r="A3376" s="16" t="n"/>
      <c r="B3376" s="19" t="n"/>
      <c r="D3376" s="16" t="n"/>
      <c r="E3376" s="19" t="n"/>
      <c r="G3376" s="16" t="n"/>
      <c r="H3376" s="19" t="n"/>
      <c r="J3376" s="16" t="n"/>
      <c r="K3376" s="19" t="n"/>
      <c r="M3376" s="16" t="n"/>
      <c r="N3376" s="19" t="n"/>
    </row>
    <row r="3377">
      <c r="A3377" s="16" t="n"/>
      <c r="B3377" s="19" t="n"/>
      <c r="D3377" s="16" t="n"/>
      <c r="E3377" s="19" t="n"/>
      <c r="G3377" s="16" t="n"/>
      <c r="H3377" s="19" t="n"/>
      <c r="J3377" s="16" t="n"/>
      <c r="K3377" s="19" t="n"/>
      <c r="M3377" s="16" t="n"/>
      <c r="N3377" s="19" t="n"/>
    </row>
    <row r="3378">
      <c r="A3378" s="16" t="n"/>
      <c r="B3378" s="19" t="n"/>
      <c r="D3378" s="16" t="n"/>
      <c r="E3378" s="19" t="n"/>
      <c r="G3378" s="16" t="n"/>
      <c r="H3378" s="19" t="n"/>
      <c r="J3378" s="16" t="n"/>
      <c r="K3378" s="19" t="n"/>
      <c r="M3378" s="16" t="n"/>
      <c r="N3378" s="19" t="n"/>
    </row>
    <row r="3379">
      <c r="A3379" s="16" t="n"/>
      <c r="B3379" s="19" t="n"/>
      <c r="D3379" s="16" t="n"/>
      <c r="E3379" s="19" t="n"/>
      <c r="G3379" s="16" t="n"/>
      <c r="H3379" s="19" t="n"/>
      <c r="J3379" s="16" t="n"/>
      <c r="K3379" s="19" t="n"/>
      <c r="M3379" s="16" t="n"/>
      <c r="N3379" s="19" t="n"/>
    </row>
    <row r="3380">
      <c r="A3380" s="16" t="n"/>
      <c r="B3380" s="19" t="n"/>
      <c r="D3380" s="16" t="n"/>
      <c r="E3380" s="19" t="n"/>
      <c r="G3380" s="16" t="n"/>
      <c r="H3380" s="19" t="n"/>
      <c r="J3380" s="16" t="n"/>
      <c r="K3380" s="19" t="n"/>
      <c r="M3380" s="16" t="n"/>
      <c r="N3380" s="19" t="n"/>
    </row>
    <row r="3381">
      <c r="A3381" s="16" t="n"/>
      <c r="B3381" s="19" t="n"/>
      <c r="D3381" s="16" t="n"/>
      <c r="E3381" s="19" t="n"/>
      <c r="G3381" s="16" t="n"/>
      <c r="H3381" s="19" t="n"/>
      <c r="J3381" s="16" t="n"/>
      <c r="K3381" s="19" t="n"/>
      <c r="M3381" s="16" t="n"/>
      <c r="N3381" s="19" t="n"/>
    </row>
    <row r="3382">
      <c r="A3382" s="16" t="n"/>
      <c r="B3382" s="19" t="n"/>
      <c r="D3382" s="16" t="n"/>
      <c r="E3382" s="19" t="n"/>
      <c r="G3382" s="16" t="n"/>
      <c r="H3382" s="19" t="n"/>
      <c r="J3382" s="16" t="n"/>
      <c r="K3382" s="19" t="n"/>
      <c r="M3382" s="16" t="n"/>
      <c r="N3382" s="19" t="n"/>
    </row>
    <row r="3383">
      <c r="A3383" s="16" t="n"/>
      <c r="B3383" s="19" t="n"/>
      <c r="D3383" s="16" t="n"/>
      <c r="E3383" s="19" t="n"/>
      <c r="G3383" s="16" t="n"/>
      <c r="H3383" s="19" t="n"/>
      <c r="J3383" s="16" t="n"/>
      <c r="K3383" s="19" t="n"/>
      <c r="M3383" s="16" t="n"/>
      <c r="N3383" s="19" t="n"/>
    </row>
    <row r="3384">
      <c r="A3384" s="16" t="n"/>
      <c r="B3384" s="19" t="n"/>
      <c r="D3384" s="16" t="n"/>
      <c r="E3384" s="19" t="n"/>
      <c r="G3384" s="16" t="n"/>
      <c r="H3384" s="19" t="n"/>
      <c r="J3384" s="16" t="n"/>
      <c r="K3384" s="19" t="n"/>
      <c r="M3384" s="16" t="n"/>
      <c r="N3384" s="19" t="n"/>
    </row>
    <row r="3385">
      <c r="A3385" s="16" t="n"/>
      <c r="B3385" s="19" t="n"/>
      <c r="D3385" s="16" t="n"/>
      <c r="E3385" s="19" t="n"/>
      <c r="G3385" s="16" t="n"/>
      <c r="H3385" s="19" t="n"/>
      <c r="J3385" s="16" t="n"/>
      <c r="K3385" s="19" t="n"/>
      <c r="M3385" s="16" t="n"/>
      <c r="N3385" s="19" t="n"/>
    </row>
    <row r="3386">
      <c r="A3386" s="16" t="n"/>
      <c r="B3386" s="19" t="n"/>
      <c r="D3386" s="16" t="n"/>
      <c r="E3386" s="19" t="n"/>
      <c r="G3386" s="16" t="n"/>
      <c r="H3386" s="19" t="n"/>
      <c r="J3386" s="16" t="n"/>
      <c r="K3386" s="19" t="n"/>
      <c r="M3386" s="16" t="n"/>
      <c r="N3386" s="19" t="n"/>
    </row>
    <row r="3387">
      <c r="A3387" s="16" t="n"/>
      <c r="B3387" s="19" t="n"/>
      <c r="D3387" s="16" t="n"/>
      <c r="E3387" s="19" t="n"/>
      <c r="G3387" s="16" t="n"/>
      <c r="H3387" s="19" t="n"/>
      <c r="J3387" s="16" t="n"/>
      <c r="K3387" s="19" t="n"/>
      <c r="M3387" s="16" t="n"/>
      <c r="N3387" s="19" t="n"/>
    </row>
    <row r="3388">
      <c r="A3388" s="16" t="n"/>
      <c r="B3388" s="19" t="n"/>
      <c r="D3388" s="16" t="n"/>
      <c r="E3388" s="19" t="n"/>
      <c r="G3388" s="16" t="n"/>
      <c r="H3388" s="19" t="n"/>
      <c r="J3388" s="16" t="n"/>
      <c r="K3388" s="19" t="n"/>
      <c r="M3388" s="16" t="n"/>
      <c r="N3388" s="19" t="n"/>
    </row>
    <row r="3389">
      <c r="A3389" s="16" t="n"/>
      <c r="B3389" s="19" t="n"/>
      <c r="D3389" s="16" t="n"/>
      <c r="E3389" s="19" t="n"/>
      <c r="G3389" s="16" t="n"/>
      <c r="H3389" s="19" t="n"/>
      <c r="J3389" s="16" t="n"/>
      <c r="K3389" s="19" t="n"/>
      <c r="M3389" s="16" t="n"/>
      <c r="N3389" s="19" t="n"/>
    </row>
    <row r="3390">
      <c r="A3390" s="16" t="n"/>
      <c r="B3390" s="19" t="n"/>
      <c r="D3390" s="16" t="n"/>
      <c r="E3390" s="19" t="n"/>
      <c r="G3390" s="16" t="n"/>
      <c r="H3390" s="19" t="n"/>
      <c r="J3390" s="16" t="n"/>
      <c r="K3390" s="19" t="n"/>
      <c r="M3390" s="16" t="n"/>
      <c r="N3390" s="19" t="n"/>
    </row>
    <row r="3391">
      <c r="A3391" s="16" t="n"/>
      <c r="B3391" s="19" t="n"/>
      <c r="D3391" s="16" t="n"/>
      <c r="E3391" s="19" t="n"/>
      <c r="G3391" s="16" t="n"/>
      <c r="H3391" s="19" t="n"/>
      <c r="J3391" s="16" t="n"/>
      <c r="K3391" s="19" t="n"/>
      <c r="M3391" s="16" t="n"/>
      <c r="N3391" s="19" t="n"/>
    </row>
    <row r="3392">
      <c r="A3392" s="16" t="n"/>
      <c r="B3392" s="19" t="n"/>
      <c r="D3392" s="16" t="n"/>
      <c r="E3392" s="19" t="n"/>
      <c r="G3392" s="16" t="n"/>
      <c r="H3392" s="19" t="n"/>
      <c r="J3392" s="16" t="n"/>
      <c r="K3392" s="19" t="n"/>
      <c r="M3392" s="16" t="n"/>
      <c r="N3392" s="19" t="n"/>
    </row>
    <row r="3393">
      <c r="A3393" s="16" t="n"/>
      <c r="B3393" s="19" t="n"/>
      <c r="D3393" s="16" t="n"/>
      <c r="E3393" s="19" t="n"/>
      <c r="G3393" s="16" t="n"/>
      <c r="H3393" s="19" t="n"/>
      <c r="J3393" s="16" t="n"/>
      <c r="K3393" s="19" t="n"/>
      <c r="M3393" s="16" t="n"/>
      <c r="N3393" s="19" t="n"/>
    </row>
    <row r="3394">
      <c r="A3394" s="16" t="n"/>
      <c r="B3394" s="19" t="n"/>
      <c r="D3394" s="16" t="n"/>
      <c r="E3394" s="19" t="n"/>
      <c r="G3394" s="16" t="n"/>
      <c r="H3394" s="19" t="n"/>
      <c r="J3394" s="16" t="n"/>
      <c r="K3394" s="19" t="n"/>
      <c r="M3394" s="16" t="n"/>
      <c r="N3394" s="19" t="n"/>
    </row>
    <row r="3395">
      <c r="A3395" s="16" t="n"/>
      <c r="B3395" s="19" t="n"/>
      <c r="D3395" s="16" t="n"/>
      <c r="E3395" s="19" t="n"/>
      <c r="G3395" s="16" t="n"/>
      <c r="H3395" s="19" t="n"/>
      <c r="J3395" s="16" t="n"/>
      <c r="K3395" s="19" t="n"/>
      <c r="M3395" s="16" t="n"/>
      <c r="N3395" s="19" t="n"/>
    </row>
    <row r="3396">
      <c r="A3396" s="16" t="n"/>
      <c r="B3396" s="19" t="n"/>
      <c r="D3396" s="16" t="n"/>
      <c r="E3396" s="19" t="n"/>
      <c r="G3396" s="16" t="n"/>
      <c r="H3396" s="19" t="n"/>
      <c r="J3396" s="16" t="n"/>
      <c r="K3396" s="19" t="n"/>
      <c r="M3396" s="16" t="n"/>
      <c r="N3396" s="19" t="n"/>
    </row>
    <row r="3397">
      <c r="A3397" s="16" t="n"/>
      <c r="B3397" s="19" t="n"/>
      <c r="D3397" s="16" t="n"/>
      <c r="E3397" s="19" t="n"/>
      <c r="G3397" s="16" t="n"/>
      <c r="H3397" s="19" t="n"/>
      <c r="J3397" s="16" t="n"/>
      <c r="K3397" s="19" t="n"/>
      <c r="M3397" s="16" t="n"/>
      <c r="N3397" s="19" t="n"/>
    </row>
    <row r="3398">
      <c r="A3398" s="16" t="n"/>
      <c r="B3398" s="19" t="n"/>
      <c r="D3398" s="16" t="n"/>
      <c r="E3398" s="19" t="n"/>
      <c r="G3398" s="16" t="n"/>
      <c r="H3398" s="19" t="n"/>
      <c r="J3398" s="16" t="n"/>
      <c r="K3398" s="19" t="n"/>
      <c r="M3398" s="16" t="n"/>
      <c r="N3398" s="19" t="n"/>
    </row>
    <row r="3399">
      <c r="A3399" s="16" t="n"/>
      <c r="B3399" s="19" t="n"/>
      <c r="D3399" s="16" t="n"/>
      <c r="E3399" s="19" t="n"/>
      <c r="G3399" s="16" t="n"/>
      <c r="H3399" s="19" t="n"/>
      <c r="J3399" s="16" t="n"/>
      <c r="K3399" s="19" t="n"/>
      <c r="M3399" s="16" t="n"/>
      <c r="N3399" s="19" t="n"/>
    </row>
    <row r="3400">
      <c r="A3400" s="16" t="n"/>
      <c r="B3400" s="19" t="n"/>
      <c r="D3400" s="16" t="n"/>
      <c r="E3400" s="19" t="n"/>
      <c r="G3400" s="16" t="n"/>
      <c r="H3400" s="19" t="n"/>
      <c r="J3400" s="16" t="n"/>
      <c r="K3400" s="19" t="n"/>
      <c r="M3400" s="16" t="n"/>
      <c r="N3400" s="19" t="n"/>
    </row>
    <row r="3401">
      <c r="A3401" s="16" t="n"/>
      <c r="B3401" s="19" t="n"/>
      <c r="D3401" s="16" t="n"/>
      <c r="E3401" s="19" t="n"/>
      <c r="G3401" s="16" t="n"/>
      <c r="H3401" s="19" t="n"/>
      <c r="J3401" s="16" t="n"/>
      <c r="K3401" s="19" t="n"/>
      <c r="M3401" s="16" t="n"/>
      <c r="N3401" s="19" t="n"/>
    </row>
    <row r="3402">
      <c r="A3402" s="16" t="n"/>
      <c r="B3402" s="19" t="n"/>
      <c r="D3402" s="16" t="n"/>
      <c r="E3402" s="19" t="n"/>
      <c r="G3402" s="16" t="n"/>
      <c r="H3402" s="19" t="n"/>
      <c r="J3402" s="16" t="n"/>
      <c r="K3402" s="19" t="n"/>
      <c r="M3402" s="16" t="n"/>
      <c r="N3402" s="19" t="n"/>
    </row>
    <row r="3403">
      <c r="A3403" s="16" t="n"/>
      <c r="B3403" s="19" t="n"/>
      <c r="D3403" s="16" t="n"/>
      <c r="E3403" s="19" t="n"/>
      <c r="G3403" s="16" t="n"/>
      <c r="H3403" s="19" t="n"/>
      <c r="J3403" s="16" t="n"/>
      <c r="K3403" s="19" t="n"/>
      <c r="M3403" s="16" t="n"/>
      <c r="N3403" s="19" t="n"/>
    </row>
    <row r="3404">
      <c r="A3404" s="16" t="n"/>
      <c r="B3404" s="19" t="n"/>
      <c r="D3404" s="16" t="n"/>
      <c r="E3404" s="19" t="n"/>
      <c r="G3404" s="16" t="n"/>
      <c r="H3404" s="19" t="n"/>
      <c r="J3404" s="16" t="n"/>
      <c r="K3404" s="19" t="n"/>
      <c r="M3404" s="16" t="n"/>
      <c r="N3404" s="19" t="n"/>
    </row>
    <row r="3405">
      <c r="A3405" s="16" t="n"/>
      <c r="B3405" s="19" t="n"/>
      <c r="D3405" s="16" t="n"/>
      <c r="E3405" s="19" t="n"/>
      <c r="G3405" s="16" t="n"/>
      <c r="H3405" s="19" t="n"/>
      <c r="J3405" s="16" t="n"/>
      <c r="K3405" s="19" t="n"/>
      <c r="M3405" s="16" t="n"/>
      <c r="N3405" s="19" t="n"/>
    </row>
    <row r="3406">
      <c r="A3406" s="16" t="n"/>
      <c r="B3406" s="19" t="n"/>
      <c r="D3406" s="16" t="n"/>
      <c r="E3406" s="19" t="n"/>
      <c r="G3406" s="16" t="n"/>
      <c r="H3406" s="19" t="n"/>
      <c r="J3406" s="16" t="n"/>
      <c r="K3406" s="19" t="n"/>
      <c r="M3406" s="16" t="n"/>
      <c r="N3406" s="19" t="n"/>
    </row>
    <row r="3407">
      <c r="A3407" s="16" t="n"/>
      <c r="B3407" s="19" t="n"/>
      <c r="D3407" s="16" t="n"/>
      <c r="E3407" s="19" t="n"/>
      <c r="G3407" s="16" t="n"/>
      <c r="H3407" s="19" t="n"/>
      <c r="J3407" s="16" t="n"/>
      <c r="K3407" s="19" t="n"/>
      <c r="M3407" s="16" t="n"/>
      <c r="N3407" s="19" t="n"/>
    </row>
    <row r="3408">
      <c r="A3408" s="16" t="n"/>
      <c r="B3408" s="19" t="n"/>
      <c r="D3408" s="16" t="n"/>
      <c r="E3408" s="19" t="n"/>
      <c r="G3408" s="16" t="n"/>
      <c r="H3408" s="19" t="n"/>
      <c r="J3408" s="16" t="n"/>
      <c r="K3408" s="19" t="n"/>
      <c r="M3408" s="16" t="n"/>
      <c r="N3408" s="19" t="n"/>
    </row>
    <row r="3409">
      <c r="A3409" s="16" t="n"/>
      <c r="B3409" s="19" t="n"/>
      <c r="D3409" s="16" t="n"/>
      <c r="E3409" s="19" t="n"/>
      <c r="G3409" s="16" t="n"/>
      <c r="H3409" s="19" t="n"/>
      <c r="J3409" s="16" t="n"/>
      <c r="K3409" s="19" t="n"/>
      <c r="M3409" s="16" t="n"/>
      <c r="N3409" s="19" t="n"/>
    </row>
    <row r="3410">
      <c r="A3410" s="16" t="n"/>
      <c r="B3410" s="19" t="n"/>
      <c r="D3410" s="16" t="n"/>
      <c r="E3410" s="19" t="n"/>
      <c r="G3410" s="16" t="n"/>
      <c r="H3410" s="19" t="n"/>
      <c r="J3410" s="16" t="n"/>
      <c r="K3410" s="19" t="n"/>
      <c r="M3410" s="16" t="n"/>
      <c r="N3410" s="19" t="n"/>
    </row>
    <row r="3411">
      <c r="A3411" s="16" t="n"/>
      <c r="B3411" s="19" t="n"/>
      <c r="D3411" s="16" t="n"/>
      <c r="E3411" s="19" t="n"/>
      <c r="G3411" s="16" t="n"/>
      <c r="H3411" s="19" t="n"/>
      <c r="J3411" s="16" t="n"/>
      <c r="K3411" s="19" t="n"/>
      <c r="M3411" s="16" t="n"/>
      <c r="N3411" s="19" t="n"/>
    </row>
    <row r="3412">
      <c r="A3412" s="16" t="n"/>
      <c r="B3412" s="19" t="n"/>
      <c r="D3412" s="16" t="n"/>
      <c r="E3412" s="19" t="n"/>
      <c r="G3412" s="16" t="n"/>
      <c r="H3412" s="19" t="n"/>
      <c r="J3412" s="16" t="n"/>
      <c r="K3412" s="19" t="n"/>
      <c r="M3412" s="16" t="n"/>
      <c r="N3412" s="19" t="n"/>
    </row>
    <row r="3413">
      <c r="A3413" s="16" t="n"/>
      <c r="B3413" s="19" t="n"/>
      <c r="D3413" s="16" t="n"/>
      <c r="E3413" s="19" t="n"/>
      <c r="G3413" s="16" t="n"/>
      <c r="H3413" s="19" t="n"/>
      <c r="J3413" s="16" t="n"/>
      <c r="K3413" s="19" t="n"/>
      <c r="M3413" s="16" t="n"/>
      <c r="N3413" s="19" t="n"/>
    </row>
    <row r="3414">
      <c r="A3414" s="16" t="n"/>
      <c r="B3414" s="19" t="n"/>
      <c r="D3414" s="16" t="n"/>
      <c r="E3414" s="19" t="n"/>
      <c r="G3414" s="16" t="n"/>
      <c r="H3414" s="19" t="n"/>
      <c r="J3414" s="16" t="n"/>
      <c r="K3414" s="19" t="n"/>
      <c r="M3414" s="16" t="n"/>
      <c r="N3414" s="19" t="n"/>
    </row>
    <row r="3415">
      <c r="A3415" s="16" t="n"/>
      <c r="B3415" s="19" t="n"/>
      <c r="D3415" s="16" t="n"/>
      <c r="E3415" s="19" t="n"/>
      <c r="G3415" s="16" t="n"/>
      <c r="H3415" s="19" t="n"/>
      <c r="J3415" s="16" t="n"/>
      <c r="K3415" s="19" t="n"/>
      <c r="M3415" s="16" t="n"/>
      <c r="N3415" s="19" t="n"/>
    </row>
    <row r="3416">
      <c r="A3416" s="16" t="n"/>
      <c r="B3416" s="19" t="n"/>
      <c r="D3416" s="16" t="n"/>
      <c r="E3416" s="19" t="n"/>
      <c r="G3416" s="16" t="n"/>
      <c r="H3416" s="19" t="n"/>
      <c r="J3416" s="16" t="n"/>
      <c r="K3416" s="19" t="n"/>
      <c r="M3416" s="16" t="n"/>
      <c r="N3416" s="19" t="n"/>
    </row>
    <row r="3417">
      <c r="A3417" s="16" t="n"/>
      <c r="B3417" s="19" t="n"/>
      <c r="D3417" s="16" t="n"/>
      <c r="E3417" s="19" t="n"/>
      <c r="G3417" s="16" t="n"/>
      <c r="H3417" s="19" t="n"/>
      <c r="J3417" s="16" t="n"/>
      <c r="K3417" s="19" t="n"/>
      <c r="M3417" s="16" t="n"/>
      <c r="N3417" s="19" t="n"/>
    </row>
    <row r="3418">
      <c r="A3418" s="16" t="n"/>
      <c r="B3418" s="19" t="n"/>
      <c r="D3418" s="16" t="n"/>
      <c r="E3418" s="19" t="n"/>
      <c r="G3418" s="16" t="n"/>
      <c r="H3418" s="19" t="n"/>
      <c r="J3418" s="16" t="n"/>
      <c r="K3418" s="19" t="n"/>
      <c r="M3418" s="16" t="n"/>
      <c r="N3418" s="19" t="n"/>
    </row>
    <row r="3419">
      <c r="A3419" s="16" t="n"/>
      <c r="B3419" s="19" t="n"/>
      <c r="D3419" s="16" t="n"/>
      <c r="E3419" s="19" t="n"/>
      <c r="G3419" s="16" t="n"/>
      <c r="H3419" s="19" t="n"/>
      <c r="J3419" s="16" t="n"/>
      <c r="K3419" s="19" t="n"/>
      <c r="M3419" s="16" t="n"/>
      <c r="N3419" s="19" t="n"/>
    </row>
    <row r="3420">
      <c r="A3420" s="16" t="n"/>
      <c r="B3420" s="19" t="n"/>
      <c r="D3420" s="16" t="n"/>
      <c r="E3420" s="19" t="n"/>
      <c r="G3420" s="16" t="n"/>
      <c r="H3420" s="19" t="n"/>
      <c r="J3420" s="16" t="n"/>
      <c r="K3420" s="19" t="n"/>
      <c r="M3420" s="16" t="n"/>
      <c r="N3420" s="19" t="n"/>
    </row>
    <row r="3421">
      <c r="A3421" s="16" t="n"/>
      <c r="B3421" s="19" t="n"/>
      <c r="D3421" s="16" t="n"/>
      <c r="E3421" s="19" t="n"/>
      <c r="G3421" s="16" t="n"/>
      <c r="H3421" s="19" t="n"/>
      <c r="J3421" s="16" t="n"/>
      <c r="K3421" s="19" t="n"/>
      <c r="M3421" s="16" t="n"/>
      <c r="N3421" s="19" t="n"/>
    </row>
    <row r="3422">
      <c r="A3422" s="16" t="n"/>
      <c r="B3422" s="19" t="n"/>
      <c r="D3422" s="16" t="n"/>
      <c r="E3422" s="19" t="n"/>
      <c r="G3422" s="16" t="n"/>
      <c r="H3422" s="19" t="n"/>
      <c r="J3422" s="16" t="n"/>
      <c r="K3422" s="19" t="n"/>
      <c r="M3422" s="16" t="n"/>
      <c r="N3422" s="19" t="n"/>
    </row>
    <row r="3423">
      <c r="A3423" s="16" t="n"/>
      <c r="B3423" s="19" t="n"/>
      <c r="D3423" s="16" t="n"/>
      <c r="E3423" s="19" t="n"/>
      <c r="G3423" s="16" t="n"/>
      <c r="H3423" s="19" t="n"/>
      <c r="J3423" s="16" t="n"/>
      <c r="K3423" s="19" t="n"/>
      <c r="M3423" s="16" t="n"/>
      <c r="N3423" s="19" t="n"/>
    </row>
    <row r="3424">
      <c r="A3424" s="16" t="n"/>
      <c r="B3424" s="19" t="n"/>
      <c r="D3424" s="16" t="n"/>
      <c r="E3424" s="19" t="n"/>
      <c r="G3424" s="16" t="n"/>
      <c r="H3424" s="19" t="n"/>
      <c r="J3424" s="16" t="n"/>
      <c r="K3424" s="19" t="n"/>
      <c r="M3424" s="16" t="n"/>
      <c r="N3424" s="19" t="n"/>
    </row>
    <row r="3425">
      <c r="A3425" s="16" t="n"/>
      <c r="B3425" s="19" t="n"/>
      <c r="D3425" s="16" t="n"/>
      <c r="E3425" s="19" t="n"/>
      <c r="G3425" s="16" t="n"/>
      <c r="H3425" s="19" t="n"/>
      <c r="J3425" s="16" t="n"/>
      <c r="K3425" s="19" t="n"/>
      <c r="M3425" s="16" t="n"/>
      <c r="N3425" s="19" t="n"/>
    </row>
    <row r="3426">
      <c r="A3426" s="16" t="n"/>
      <c r="B3426" s="19" t="n"/>
      <c r="D3426" s="16" t="n"/>
      <c r="E3426" s="19" t="n"/>
      <c r="G3426" s="16" t="n"/>
      <c r="H3426" s="19" t="n"/>
      <c r="J3426" s="16" t="n"/>
      <c r="K3426" s="19" t="n"/>
      <c r="M3426" s="16" t="n"/>
      <c r="N3426" s="19" t="n"/>
    </row>
    <row r="3427">
      <c r="A3427" s="16" t="n"/>
      <c r="B3427" s="19" t="n"/>
      <c r="D3427" s="16" t="n"/>
      <c r="E3427" s="19" t="n"/>
      <c r="G3427" s="16" t="n"/>
      <c r="H3427" s="19" t="n"/>
      <c r="J3427" s="16" t="n"/>
      <c r="K3427" s="19" t="n"/>
      <c r="M3427" s="16" t="n"/>
      <c r="N3427" s="19" t="n"/>
    </row>
    <row r="3428">
      <c r="A3428" s="16" t="n"/>
      <c r="B3428" s="19" t="n"/>
      <c r="D3428" s="16" t="n"/>
      <c r="E3428" s="19" t="n"/>
      <c r="G3428" s="16" t="n"/>
      <c r="H3428" s="19" t="n"/>
      <c r="J3428" s="16" t="n"/>
      <c r="K3428" s="19" t="n"/>
      <c r="M3428" s="16" t="n"/>
      <c r="N3428" s="19" t="n"/>
    </row>
    <row r="3429">
      <c r="A3429" s="16" t="n"/>
      <c r="B3429" s="19" t="n"/>
      <c r="D3429" s="16" t="n"/>
      <c r="E3429" s="19" t="n"/>
      <c r="G3429" s="16" t="n"/>
      <c r="H3429" s="19" t="n"/>
      <c r="J3429" s="16" t="n"/>
      <c r="K3429" s="19" t="n"/>
      <c r="M3429" s="16" t="n"/>
      <c r="N3429" s="19" t="n"/>
    </row>
    <row r="3430">
      <c r="A3430" s="16" t="n"/>
      <c r="B3430" s="19" t="n"/>
      <c r="D3430" s="16" t="n"/>
      <c r="E3430" s="19" t="n"/>
      <c r="G3430" s="16" t="n"/>
      <c r="H3430" s="19" t="n"/>
      <c r="J3430" s="16" t="n"/>
      <c r="K3430" s="19" t="n"/>
      <c r="M3430" s="16" t="n"/>
      <c r="N3430" s="19" t="n"/>
    </row>
    <row r="3431">
      <c r="A3431" s="16" t="n"/>
      <c r="B3431" s="19" t="n"/>
      <c r="D3431" s="16" t="n"/>
      <c r="E3431" s="19" t="n"/>
      <c r="G3431" s="16" t="n"/>
      <c r="H3431" s="19" t="n"/>
      <c r="J3431" s="16" t="n"/>
      <c r="K3431" s="19" t="n"/>
      <c r="M3431" s="16" t="n"/>
      <c r="N3431" s="19" t="n"/>
    </row>
    <row r="3432">
      <c r="A3432" s="16" t="n"/>
      <c r="B3432" s="19" t="n"/>
      <c r="D3432" s="16" t="n"/>
      <c r="E3432" s="19" t="n"/>
      <c r="G3432" s="16" t="n"/>
      <c r="H3432" s="19" t="n"/>
      <c r="J3432" s="16" t="n"/>
      <c r="K3432" s="19" t="n"/>
      <c r="M3432" s="16" t="n"/>
      <c r="N3432" s="19" t="n"/>
    </row>
    <row r="3433">
      <c r="A3433" s="16" t="n"/>
      <c r="B3433" s="19" t="n"/>
      <c r="D3433" s="16" t="n"/>
      <c r="E3433" s="19" t="n"/>
      <c r="G3433" s="16" t="n"/>
      <c r="H3433" s="19" t="n"/>
      <c r="J3433" s="16" t="n"/>
      <c r="K3433" s="19" t="n"/>
      <c r="M3433" s="16" t="n"/>
      <c r="N3433" s="19" t="n"/>
    </row>
    <row r="3434">
      <c r="A3434" s="16" t="n"/>
      <c r="B3434" s="19" t="n"/>
      <c r="D3434" s="16" t="n"/>
      <c r="E3434" s="19" t="n"/>
      <c r="G3434" s="16" t="n"/>
      <c r="H3434" s="19" t="n"/>
      <c r="J3434" s="16" t="n"/>
      <c r="K3434" s="19" t="n"/>
      <c r="M3434" s="16" t="n"/>
      <c r="N3434" s="19" t="n"/>
    </row>
    <row r="3435">
      <c r="A3435" s="16" t="n"/>
      <c r="B3435" s="19" t="n"/>
      <c r="D3435" s="16" t="n"/>
      <c r="E3435" s="19" t="n"/>
      <c r="G3435" s="16" t="n"/>
      <c r="H3435" s="19" t="n"/>
      <c r="J3435" s="16" t="n"/>
      <c r="K3435" s="19" t="n"/>
      <c r="M3435" s="16" t="n"/>
      <c r="N3435" s="19" t="n"/>
    </row>
    <row r="3436">
      <c r="A3436" s="16" t="n"/>
      <c r="B3436" s="19" t="n"/>
      <c r="D3436" s="16" t="n"/>
      <c r="E3436" s="19" t="n"/>
      <c r="G3436" s="16" t="n"/>
      <c r="H3436" s="19" t="n"/>
      <c r="J3436" s="16" t="n"/>
      <c r="K3436" s="19" t="n"/>
      <c r="M3436" s="16" t="n"/>
      <c r="N3436" s="19" t="n"/>
    </row>
    <row r="3437">
      <c r="A3437" s="16" t="n"/>
      <c r="B3437" s="19" t="n"/>
      <c r="D3437" s="16" t="n"/>
      <c r="E3437" s="19" t="n"/>
      <c r="G3437" s="16" t="n"/>
      <c r="H3437" s="19" t="n"/>
      <c r="J3437" s="16" t="n"/>
      <c r="K3437" s="19" t="n"/>
      <c r="M3437" s="16" t="n"/>
      <c r="N3437" s="19" t="n"/>
    </row>
    <row r="3438">
      <c r="A3438" s="16" t="n"/>
      <c r="B3438" s="19" t="n"/>
      <c r="D3438" s="16" t="n"/>
      <c r="E3438" s="19" t="n"/>
      <c r="G3438" s="16" t="n"/>
      <c r="H3438" s="19" t="n"/>
      <c r="J3438" s="16" t="n"/>
      <c r="K3438" s="19" t="n"/>
      <c r="M3438" s="16" t="n"/>
      <c r="N3438" s="19" t="n"/>
    </row>
    <row r="3439">
      <c r="A3439" s="16" t="n"/>
      <c r="B3439" s="19" t="n"/>
      <c r="D3439" s="16" t="n"/>
      <c r="E3439" s="19" t="n"/>
      <c r="G3439" s="16" t="n"/>
      <c r="H3439" s="19" t="n"/>
      <c r="J3439" s="16" t="n"/>
      <c r="K3439" s="19" t="n"/>
      <c r="M3439" s="16" t="n"/>
      <c r="N3439" s="19" t="n"/>
    </row>
    <row r="3440">
      <c r="A3440" s="16" t="n"/>
      <c r="B3440" s="19" t="n"/>
      <c r="D3440" s="16" t="n"/>
      <c r="E3440" s="19" t="n"/>
      <c r="G3440" s="16" t="n"/>
      <c r="H3440" s="19" t="n"/>
      <c r="J3440" s="16" t="n"/>
      <c r="K3440" s="19" t="n"/>
      <c r="M3440" s="16" t="n"/>
      <c r="N3440" s="19" t="n"/>
    </row>
    <row r="3441">
      <c r="A3441" s="16" t="n"/>
      <c r="B3441" s="19" t="n"/>
      <c r="D3441" s="16" t="n"/>
      <c r="E3441" s="19" t="n"/>
      <c r="G3441" s="16" t="n"/>
      <c r="H3441" s="19" t="n"/>
      <c r="J3441" s="16" t="n"/>
      <c r="K3441" s="19" t="n"/>
      <c r="M3441" s="16" t="n"/>
      <c r="N3441" s="19" t="n"/>
    </row>
    <row r="3442">
      <c r="A3442" s="16" t="n"/>
      <c r="B3442" s="19" t="n"/>
      <c r="D3442" s="16" t="n"/>
      <c r="E3442" s="19" t="n"/>
      <c r="G3442" s="16" t="n"/>
      <c r="H3442" s="19" t="n"/>
      <c r="J3442" s="16" t="n"/>
      <c r="K3442" s="19" t="n"/>
      <c r="M3442" s="16" t="n"/>
      <c r="N3442" s="19" t="n"/>
    </row>
    <row r="3443">
      <c r="A3443" s="16" t="n"/>
      <c r="B3443" s="19" t="n"/>
      <c r="D3443" s="16" t="n"/>
      <c r="E3443" s="19" t="n"/>
      <c r="G3443" s="16" t="n"/>
      <c r="H3443" s="19" t="n"/>
      <c r="J3443" s="16" t="n"/>
      <c r="K3443" s="19" t="n"/>
      <c r="M3443" s="16" t="n"/>
      <c r="N3443" s="19" t="n"/>
    </row>
    <row r="3444">
      <c r="A3444" s="16" t="n"/>
      <c r="B3444" s="19" t="n"/>
      <c r="D3444" s="16" t="n"/>
      <c r="E3444" s="19" t="n"/>
      <c r="G3444" s="16" t="n"/>
      <c r="H3444" s="19" t="n"/>
      <c r="J3444" s="16" t="n"/>
      <c r="K3444" s="19" t="n"/>
      <c r="M3444" s="16" t="n"/>
      <c r="N3444" s="19" t="n"/>
    </row>
    <row r="3445">
      <c r="A3445" s="16" t="n"/>
      <c r="B3445" s="19" t="n"/>
      <c r="D3445" s="16" t="n"/>
      <c r="E3445" s="19" t="n"/>
      <c r="G3445" s="16" t="n"/>
      <c r="H3445" s="19" t="n"/>
      <c r="J3445" s="16" t="n"/>
      <c r="K3445" s="19" t="n"/>
      <c r="M3445" s="16" t="n"/>
      <c r="N3445" s="19" t="n"/>
    </row>
    <row r="3446">
      <c r="A3446" s="16" t="n"/>
      <c r="B3446" s="19" t="n"/>
      <c r="D3446" s="16" t="n"/>
      <c r="E3446" s="19" t="n"/>
      <c r="G3446" s="16" t="n"/>
      <c r="H3446" s="19" t="n"/>
      <c r="J3446" s="16" t="n"/>
      <c r="K3446" s="19" t="n"/>
      <c r="M3446" s="16" t="n"/>
      <c r="N3446" s="19" t="n"/>
    </row>
    <row r="3447">
      <c r="A3447" s="16" t="n"/>
      <c r="B3447" s="19" t="n"/>
      <c r="D3447" s="16" t="n"/>
      <c r="E3447" s="19" t="n"/>
      <c r="G3447" s="16" t="n"/>
      <c r="H3447" s="19" t="n"/>
      <c r="J3447" s="16" t="n"/>
      <c r="K3447" s="19" t="n"/>
      <c r="M3447" s="16" t="n"/>
      <c r="N3447" s="19" t="n"/>
    </row>
    <row r="3448">
      <c r="A3448" s="16" t="n"/>
      <c r="B3448" s="19" t="n"/>
      <c r="D3448" s="16" t="n"/>
      <c r="E3448" s="19" t="n"/>
      <c r="G3448" s="16" t="n"/>
      <c r="H3448" s="19" t="n"/>
      <c r="J3448" s="16" t="n"/>
      <c r="K3448" s="19" t="n"/>
      <c r="M3448" s="16" t="n"/>
      <c r="N3448" s="19" t="n"/>
    </row>
    <row r="3449">
      <c r="A3449" s="16" t="n"/>
      <c r="B3449" s="19" t="n"/>
      <c r="D3449" s="16" t="n"/>
      <c r="E3449" s="19" t="n"/>
      <c r="G3449" s="16" t="n"/>
      <c r="H3449" s="19" t="n"/>
      <c r="J3449" s="16" t="n"/>
      <c r="K3449" s="19" t="n"/>
      <c r="M3449" s="16" t="n"/>
      <c r="N3449" s="19" t="n"/>
    </row>
    <row r="3450">
      <c r="A3450" s="16" t="n"/>
      <c r="B3450" s="19" t="n"/>
      <c r="D3450" s="16" t="n"/>
      <c r="E3450" s="19" t="n"/>
      <c r="G3450" s="16" t="n"/>
      <c r="H3450" s="19" t="n"/>
      <c r="J3450" s="16" t="n"/>
      <c r="K3450" s="19" t="n"/>
      <c r="M3450" s="16" t="n"/>
      <c r="N3450" s="19" t="n"/>
    </row>
    <row r="3451">
      <c r="A3451" s="16" t="n"/>
      <c r="B3451" s="19" t="n"/>
      <c r="D3451" s="16" t="n"/>
      <c r="E3451" s="19" t="n"/>
      <c r="G3451" s="16" t="n"/>
      <c r="H3451" s="19" t="n"/>
      <c r="J3451" s="16" t="n"/>
      <c r="K3451" s="19" t="n"/>
      <c r="M3451" s="16" t="n"/>
      <c r="N3451" s="19" t="n"/>
    </row>
    <row r="3452">
      <c r="A3452" s="16" t="n"/>
      <c r="B3452" s="19" t="n"/>
      <c r="D3452" s="16" t="n"/>
      <c r="E3452" s="19" t="n"/>
      <c r="G3452" s="16" t="n"/>
      <c r="H3452" s="19" t="n"/>
      <c r="J3452" s="16" t="n"/>
      <c r="K3452" s="19" t="n"/>
      <c r="M3452" s="16" t="n"/>
      <c r="N3452" s="19" t="n"/>
    </row>
    <row r="3453">
      <c r="A3453" s="16" t="n"/>
      <c r="B3453" s="19" t="n"/>
      <c r="D3453" s="16" t="n"/>
      <c r="E3453" s="19" t="n"/>
      <c r="G3453" s="16" t="n"/>
      <c r="H3453" s="19" t="n"/>
      <c r="J3453" s="16" t="n"/>
      <c r="K3453" s="19" t="n"/>
      <c r="M3453" s="16" t="n"/>
      <c r="N3453" s="19" t="n"/>
    </row>
    <row r="3454">
      <c r="A3454" s="16" t="n"/>
      <c r="B3454" s="19" t="n"/>
      <c r="D3454" s="16" t="n"/>
      <c r="E3454" s="19" t="n"/>
      <c r="G3454" s="16" t="n"/>
      <c r="H3454" s="19" t="n"/>
      <c r="J3454" s="16" t="n"/>
      <c r="K3454" s="19" t="n"/>
      <c r="M3454" s="16" t="n"/>
      <c r="N3454" s="19" t="n"/>
    </row>
    <row r="3455">
      <c r="A3455" s="16" t="n"/>
      <c r="B3455" s="19" t="n"/>
      <c r="D3455" s="16" t="n"/>
      <c r="E3455" s="19" t="n"/>
      <c r="G3455" s="16" t="n"/>
      <c r="H3455" s="19" t="n"/>
      <c r="J3455" s="16" t="n"/>
      <c r="K3455" s="19" t="n"/>
      <c r="M3455" s="16" t="n"/>
      <c r="N3455" s="19" t="n"/>
    </row>
    <row r="3456">
      <c r="A3456" s="16" t="n"/>
      <c r="B3456" s="19" t="n"/>
      <c r="D3456" s="16" t="n"/>
      <c r="E3456" s="19" t="n"/>
      <c r="G3456" s="16" t="n"/>
      <c r="H3456" s="19" t="n"/>
      <c r="J3456" s="16" t="n"/>
      <c r="K3456" s="19" t="n"/>
      <c r="M3456" s="16" t="n"/>
      <c r="N3456" s="19" t="n"/>
    </row>
    <row r="3457">
      <c r="A3457" s="16" t="n"/>
      <c r="B3457" s="19" t="n"/>
      <c r="D3457" s="16" t="n"/>
      <c r="E3457" s="19" t="n"/>
      <c r="G3457" s="16" t="n"/>
      <c r="H3457" s="19" t="n"/>
      <c r="J3457" s="16" t="n"/>
      <c r="K3457" s="19" t="n"/>
      <c r="M3457" s="16" t="n"/>
      <c r="N3457" s="19" t="n"/>
    </row>
    <row r="3458">
      <c r="A3458" s="16" t="n"/>
      <c r="B3458" s="19" t="n"/>
      <c r="D3458" s="16" t="n"/>
      <c r="E3458" s="19" t="n"/>
      <c r="G3458" s="16" t="n"/>
      <c r="H3458" s="19" t="n"/>
      <c r="J3458" s="16" t="n"/>
      <c r="K3458" s="19" t="n"/>
      <c r="M3458" s="16" t="n"/>
      <c r="N3458" s="19" t="n"/>
    </row>
    <row r="3459">
      <c r="A3459" s="16" t="n"/>
      <c r="B3459" s="19" t="n"/>
      <c r="D3459" s="16" t="n"/>
      <c r="E3459" s="19" t="n"/>
      <c r="G3459" s="16" t="n"/>
      <c r="H3459" s="19" t="n"/>
      <c r="J3459" s="16" t="n"/>
      <c r="K3459" s="19" t="n"/>
      <c r="M3459" s="16" t="n"/>
      <c r="N3459" s="19" t="n"/>
    </row>
    <row r="3460">
      <c r="A3460" s="16" t="n"/>
      <c r="B3460" s="19" t="n"/>
      <c r="D3460" s="16" t="n"/>
      <c r="E3460" s="19" t="n"/>
      <c r="G3460" s="16" t="n"/>
      <c r="H3460" s="19" t="n"/>
      <c r="J3460" s="16" t="n"/>
      <c r="K3460" s="19" t="n"/>
      <c r="M3460" s="16" t="n"/>
      <c r="N3460" s="19" t="n"/>
    </row>
    <row r="3461">
      <c r="A3461" s="16" t="n"/>
      <c r="B3461" s="19" t="n"/>
      <c r="D3461" s="16" t="n"/>
      <c r="E3461" s="19" t="n"/>
      <c r="G3461" s="16" t="n"/>
      <c r="H3461" s="19" t="n"/>
      <c r="J3461" s="16" t="n"/>
      <c r="K3461" s="19" t="n"/>
      <c r="M3461" s="16" t="n"/>
      <c r="N3461" s="19" t="n"/>
    </row>
    <row r="3462">
      <c r="A3462" s="16" t="n"/>
      <c r="B3462" s="19" t="n"/>
      <c r="D3462" s="16" t="n"/>
      <c r="E3462" s="19" t="n"/>
      <c r="G3462" s="16" t="n"/>
      <c r="H3462" s="19" t="n"/>
      <c r="J3462" s="16" t="n"/>
      <c r="K3462" s="19" t="n"/>
      <c r="M3462" s="16" t="n"/>
      <c r="N3462" s="19" t="n"/>
    </row>
    <row r="3463">
      <c r="A3463" s="16" t="n"/>
      <c r="B3463" s="19" t="n"/>
      <c r="D3463" s="16" t="n"/>
      <c r="E3463" s="19" t="n"/>
      <c r="G3463" s="16" t="n"/>
      <c r="H3463" s="19" t="n"/>
      <c r="J3463" s="16" t="n"/>
      <c r="K3463" s="19" t="n"/>
      <c r="M3463" s="16" t="n"/>
      <c r="N3463" s="19" t="n"/>
    </row>
    <row r="3464">
      <c r="A3464" s="16" t="n"/>
      <c r="B3464" s="19" t="n"/>
      <c r="D3464" s="16" t="n"/>
      <c r="E3464" s="19" t="n"/>
      <c r="G3464" s="16" t="n"/>
      <c r="H3464" s="19" t="n"/>
      <c r="J3464" s="16" t="n"/>
      <c r="K3464" s="19" t="n"/>
      <c r="M3464" s="16" t="n"/>
      <c r="N3464" s="19" t="n"/>
    </row>
    <row r="3465">
      <c r="A3465" s="16" t="n"/>
      <c r="B3465" s="19" t="n"/>
      <c r="D3465" s="16" t="n"/>
      <c r="E3465" s="19" t="n"/>
      <c r="G3465" s="16" t="n"/>
      <c r="H3465" s="19" t="n"/>
      <c r="J3465" s="16" t="n"/>
      <c r="K3465" s="19" t="n"/>
      <c r="M3465" s="16" t="n"/>
      <c r="N3465" s="19" t="n"/>
    </row>
    <row r="3466">
      <c r="A3466" s="16" t="n"/>
      <c r="B3466" s="19" t="n"/>
      <c r="D3466" s="16" t="n"/>
      <c r="E3466" s="19" t="n"/>
      <c r="G3466" s="16" t="n"/>
      <c r="H3466" s="19" t="n"/>
      <c r="J3466" s="16" t="n"/>
      <c r="K3466" s="19" t="n"/>
      <c r="M3466" s="16" t="n"/>
      <c r="N3466" s="19" t="n"/>
    </row>
    <row r="3467">
      <c r="A3467" s="16" t="n"/>
      <c r="B3467" s="19" t="n"/>
      <c r="D3467" s="16" t="n"/>
      <c r="E3467" s="19" t="n"/>
      <c r="G3467" s="16" t="n"/>
      <c r="H3467" s="19" t="n"/>
      <c r="J3467" s="16" t="n"/>
      <c r="K3467" s="19" t="n"/>
      <c r="M3467" s="16" t="n"/>
      <c r="N3467" s="19" t="n"/>
    </row>
    <row r="3468">
      <c r="A3468" s="16" t="n"/>
      <c r="B3468" s="19" t="n"/>
      <c r="D3468" s="16" t="n"/>
      <c r="E3468" s="19" t="n"/>
      <c r="G3468" s="16" t="n"/>
      <c r="H3468" s="19" t="n"/>
      <c r="J3468" s="16" t="n"/>
      <c r="K3468" s="19" t="n"/>
      <c r="M3468" s="16" t="n"/>
      <c r="N3468" s="19" t="n"/>
    </row>
    <row r="3469">
      <c r="A3469" s="16" t="n"/>
      <c r="B3469" s="19" t="n"/>
      <c r="D3469" s="16" t="n"/>
      <c r="E3469" s="19" t="n"/>
      <c r="G3469" s="16" t="n"/>
      <c r="H3469" s="19" t="n"/>
      <c r="J3469" s="16" t="n"/>
      <c r="K3469" s="19" t="n"/>
      <c r="M3469" s="16" t="n"/>
      <c r="N3469" s="19" t="n"/>
    </row>
    <row r="3470">
      <c r="A3470" s="16" t="n"/>
      <c r="B3470" s="19" t="n"/>
      <c r="D3470" s="16" t="n"/>
      <c r="E3470" s="19" t="n"/>
      <c r="G3470" s="16" t="n"/>
      <c r="H3470" s="19" t="n"/>
      <c r="J3470" s="16" t="n"/>
      <c r="K3470" s="19" t="n"/>
      <c r="M3470" s="16" t="n"/>
      <c r="N3470" s="19" t="n"/>
    </row>
    <row r="3471">
      <c r="A3471" s="16" t="n"/>
      <c r="B3471" s="19" t="n"/>
      <c r="D3471" s="16" t="n"/>
      <c r="E3471" s="19" t="n"/>
      <c r="G3471" s="16" t="n"/>
      <c r="H3471" s="19" t="n"/>
      <c r="J3471" s="16" t="n"/>
      <c r="K3471" s="19" t="n"/>
      <c r="M3471" s="16" t="n"/>
      <c r="N3471" s="19" t="n"/>
    </row>
    <row r="3472">
      <c r="A3472" s="16" t="n"/>
      <c r="B3472" s="19" t="n"/>
      <c r="D3472" s="16" t="n"/>
      <c r="E3472" s="19" t="n"/>
      <c r="G3472" s="16" t="n"/>
      <c r="H3472" s="19" t="n"/>
      <c r="J3472" s="16" t="n"/>
      <c r="K3472" s="19" t="n"/>
      <c r="M3472" s="16" t="n"/>
      <c r="N3472" s="19" t="n"/>
    </row>
    <row r="3473">
      <c r="A3473" s="16" t="n"/>
      <c r="B3473" s="19" t="n"/>
      <c r="D3473" s="16" t="n"/>
      <c r="E3473" s="19" t="n"/>
      <c r="G3473" s="16" t="n"/>
      <c r="H3473" s="19" t="n"/>
      <c r="J3473" s="16" t="n"/>
      <c r="K3473" s="19" t="n"/>
      <c r="M3473" s="16" t="n"/>
      <c r="N3473" s="19" t="n"/>
    </row>
    <row r="3474">
      <c r="A3474" s="16" t="n"/>
      <c r="B3474" s="19" t="n"/>
      <c r="D3474" s="16" t="n"/>
      <c r="E3474" s="19" t="n"/>
      <c r="G3474" s="16" t="n"/>
      <c r="H3474" s="19" t="n"/>
      <c r="J3474" s="16" t="n"/>
      <c r="K3474" s="19" t="n"/>
      <c r="M3474" s="16" t="n"/>
      <c r="N3474" s="19" t="n"/>
    </row>
    <row r="3475">
      <c r="A3475" s="16" t="n"/>
      <c r="B3475" s="19" t="n"/>
      <c r="D3475" s="16" t="n"/>
      <c r="E3475" s="19" t="n"/>
      <c r="G3475" s="16" t="n"/>
      <c r="H3475" s="19" t="n"/>
      <c r="J3475" s="16" t="n"/>
      <c r="K3475" s="19" t="n"/>
      <c r="M3475" s="16" t="n"/>
      <c r="N3475" s="19" t="n"/>
    </row>
    <row r="3476">
      <c r="A3476" s="16" t="n"/>
      <c r="B3476" s="19" t="n"/>
      <c r="D3476" s="16" t="n"/>
      <c r="E3476" s="19" t="n"/>
      <c r="G3476" s="16" t="n"/>
      <c r="H3476" s="19" t="n"/>
      <c r="J3476" s="16" t="n"/>
      <c r="K3476" s="19" t="n"/>
      <c r="M3476" s="16" t="n"/>
      <c r="N3476" s="19" t="n"/>
    </row>
    <row r="3477">
      <c r="A3477" s="16" t="n"/>
      <c r="B3477" s="19" t="n"/>
      <c r="D3477" s="16" t="n"/>
      <c r="E3477" s="19" t="n"/>
      <c r="G3477" s="16" t="n"/>
      <c r="H3477" s="19" t="n"/>
      <c r="J3477" s="16" t="n"/>
      <c r="K3477" s="19" t="n"/>
      <c r="M3477" s="16" t="n"/>
      <c r="N3477" s="19" t="n"/>
    </row>
    <row r="3478">
      <c r="A3478" s="16" t="n"/>
      <c r="B3478" s="19" t="n"/>
      <c r="D3478" s="16" t="n"/>
      <c r="E3478" s="19" t="n"/>
      <c r="G3478" s="16" t="n"/>
      <c r="H3478" s="19" t="n"/>
      <c r="J3478" s="16" t="n"/>
      <c r="K3478" s="19" t="n"/>
      <c r="M3478" s="16" t="n"/>
      <c r="N3478" s="19" t="n"/>
    </row>
    <row r="3479">
      <c r="A3479" s="16" t="n"/>
      <c r="B3479" s="19" t="n"/>
      <c r="D3479" s="16" t="n"/>
      <c r="E3479" s="19" t="n"/>
      <c r="G3479" s="16" t="n"/>
      <c r="H3479" s="19" t="n"/>
      <c r="J3479" s="16" t="n"/>
      <c r="K3479" s="19" t="n"/>
      <c r="M3479" s="16" t="n"/>
      <c r="N3479" s="19" t="n"/>
    </row>
    <row r="3480">
      <c r="A3480" s="16" t="n"/>
      <c r="B3480" s="19" t="n"/>
      <c r="D3480" s="16" t="n"/>
      <c r="E3480" s="19" t="n"/>
      <c r="G3480" s="16" t="n"/>
      <c r="H3480" s="19" t="n"/>
      <c r="J3480" s="16" t="n"/>
      <c r="K3480" s="19" t="n"/>
      <c r="M3480" s="16" t="n"/>
      <c r="N3480" s="19" t="n"/>
    </row>
    <row r="3481">
      <c r="A3481" s="16" t="n"/>
      <c r="B3481" s="19" t="n"/>
      <c r="D3481" s="16" t="n"/>
      <c r="E3481" s="19" t="n"/>
      <c r="G3481" s="16" t="n"/>
      <c r="H3481" s="19" t="n"/>
      <c r="J3481" s="16" t="n"/>
      <c r="K3481" s="19" t="n"/>
      <c r="M3481" s="16" t="n"/>
      <c r="N3481" s="19" t="n"/>
    </row>
    <row r="3482">
      <c r="A3482" s="16" t="n"/>
      <c r="B3482" s="19" t="n"/>
      <c r="D3482" s="16" t="n"/>
      <c r="E3482" s="19" t="n"/>
      <c r="G3482" s="16" t="n"/>
      <c r="H3482" s="19" t="n"/>
      <c r="J3482" s="16" t="n"/>
      <c r="K3482" s="19" t="n"/>
      <c r="M3482" s="16" t="n"/>
      <c r="N3482" s="19" t="n"/>
    </row>
    <row r="3483">
      <c r="A3483" s="16" t="n"/>
      <c r="B3483" s="19" t="n"/>
      <c r="D3483" s="16" t="n"/>
      <c r="E3483" s="19" t="n"/>
      <c r="G3483" s="16" t="n"/>
      <c r="H3483" s="19" t="n"/>
      <c r="J3483" s="16" t="n"/>
      <c r="K3483" s="19" t="n"/>
      <c r="M3483" s="16" t="n"/>
      <c r="N3483" s="19" t="n"/>
    </row>
    <row r="3484">
      <c r="A3484" s="16" t="n"/>
      <c r="B3484" s="19" t="n"/>
      <c r="D3484" s="16" t="n"/>
      <c r="E3484" s="19" t="n"/>
      <c r="G3484" s="16" t="n"/>
      <c r="H3484" s="19" t="n"/>
      <c r="J3484" s="16" t="n"/>
      <c r="K3484" s="19" t="n"/>
      <c r="M3484" s="16" t="n"/>
      <c r="N3484" s="19" t="n"/>
    </row>
    <row r="3485">
      <c r="A3485" s="16" t="n"/>
      <c r="B3485" s="19" t="n"/>
      <c r="D3485" s="16" t="n"/>
      <c r="E3485" s="19" t="n"/>
      <c r="G3485" s="16" t="n"/>
      <c r="H3485" s="19" t="n"/>
      <c r="J3485" s="16" t="n"/>
      <c r="K3485" s="19" t="n"/>
      <c r="M3485" s="16" t="n"/>
      <c r="N3485" s="19" t="n"/>
    </row>
    <row r="3486">
      <c r="A3486" s="16" t="n"/>
      <c r="B3486" s="19" t="n"/>
      <c r="D3486" s="16" t="n"/>
      <c r="E3486" s="19" t="n"/>
      <c r="G3486" s="16" t="n"/>
      <c r="H3486" s="19" t="n"/>
      <c r="J3486" s="16" t="n"/>
      <c r="K3486" s="19" t="n"/>
      <c r="M3486" s="16" t="n"/>
      <c r="N3486" s="19" t="n"/>
    </row>
    <row r="3487">
      <c r="A3487" s="16" t="n"/>
      <c r="B3487" s="19" t="n"/>
      <c r="D3487" s="16" t="n"/>
      <c r="E3487" s="19" t="n"/>
      <c r="G3487" s="16" t="n"/>
      <c r="H3487" s="19" t="n"/>
      <c r="J3487" s="16" t="n"/>
      <c r="K3487" s="19" t="n"/>
      <c r="M3487" s="16" t="n"/>
      <c r="N3487" s="19" t="n"/>
    </row>
    <row r="3488">
      <c r="A3488" s="16" t="n"/>
      <c r="B3488" s="19" t="n"/>
      <c r="D3488" s="16" t="n"/>
      <c r="E3488" s="19" t="n"/>
      <c r="G3488" s="16" t="n"/>
      <c r="H3488" s="19" t="n"/>
      <c r="J3488" s="16" t="n"/>
      <c r="K3488" s="19" t="n"/>
      <c r="M3488" s="16" t="n"/>
      <c r="N3488" s="19" t="n"/>
    </row>
    <row r="3489">
      <c r="A3489" s="16" t="n"/>
      <c r="B3489" s="19" t="n"/>
      <c r="D3489" s="16" t="n"/>
      <c r="E3489" s="19" t="n"/>
      <c r="G3489" s="16" t="n"/>
      <c r="H3489" s="19" t="n"/>
      <c r="J3489" s="16" t="n"/>
      <c r="K3489" s="19" t="n"/>
      <c r="M3489" s="16" t="n"/>
      <c r="N3489" s="19" t="n"/>
    </row>
    <row r="3490">
      <c r="A3490" s="16" t="n"/>
      <c r="B3490" s="19" t="n"/>
      <c r="D3490" s="16" t="n"/>
      <c r="E3490" s="19" t="n"/>
      <c r="G3490" s="16" t="n"/>
      <c r="H3490" s="19" t="n"/>
      <c r="J3490" s="16" t="n"/>
      <c r="K3490" s="19" t="n"/>
      <c r="M3490" s="16" t="n"/>
      <c r="N3490" s="19" t="n"/>
    </row>
    <row r="3491">
      <c r="A3491" s="16" t="n"/>
      <c r="B3491" s="19" t="n"/>
      <c r="D3491" s="16" t="n"/>
      <c r="E3491" s="19" t="n"/>
      <c r="G3491" s="16" t="n"/>
      <c r="H3491" s="19" t="n"/>
      <c r="J3491" s="16" t="n"/>
      <c r="K3491" s="19" t="n"/>
      <c r="M3491" s="16" t="n"/>
      <c r="N3491" s="19" t="n"/>
    </row>
    <row r="3492">
      <c r="A3492" s="16" t="n"/>
      <c r="B3492" s="19" t="n"/>
      <c r="D3492" s="16" t="n"/>
      <c r="E3492" s="19" t="n"/>
      <c r="G3492" s="16" t="n"/>
      <c r="H3492" s="19" t="n"/>
      <c r="J3492" s="16" t="n"/>
      <c r="K3492" s="19" t="n"/>
      <c r="M3492" s="16" t="n"/>
      <c r="N3492" s="19" t="n"/>
    </row>
    <row r="3493">
      <c r="A3493" s="16" t="n"/>
      <c r="B3493" s="19" t="n"/>
      <c r="D3493" s="16" t="n"/>
      <c r="E3493" s="19" t="n"/>
      <c r="G3493" s="16" t="n"/>
      <c r="H3493" s="19" t="n"/>
      <c r="J3493" s="16" t="n"/>
      <c r="K3493" s="19" t="n"/>
      <c r="M3493" s="16" t="n"/>
      <c r="N3493" s="19" t="n"/>
    </row>
    <row r="3494">
      <c r="A3494" s="16" t="n"/>
      <c r="B3494" s="19" t="n"/>
      <c r="D3494" s="16" t="n"/>
      <c r="E3494" s="19" t="n"/>
      <c r="G3494" s="16" t="n"/>
      <c r="H3494" s="19" t="n"/>
      <c r="J3494" s="16" t="n"/>
      <c r="K3494" s="19" t="n"/>
      <c r="M3494" s="16" t="n"/>
      <c r="N3494" s="19" t="n"/>
    </row>
    <row r="3495">
      <c r="A3495" s="16" t="n"/>
      <c r="B3495" s="19" t="n"/>
      <c r="D3495" s="16" t="n"/>
      <c r="E3495" s="19" t="n"/>
      <c r="G3495" s="16" t="n"/>
      <c r="H3495" s="19" t="n"/>
      <c r="J3495" s="16" t="n"/>
      <c r="K3495" s="19" t="n"/>
      <c r="M3495" s="16" t="n"/>
      <c r="N3495" s="19" t="n"/>
    </row>
    <row r="3496">
      <c r="A3496" s="16" t="n"/>
      <c r="B3496" s="19" t="n"/>
      <c r="D3496" s="16" t="n"/>
      <c r="E3496" s="19" t="n"/>
      <c r="G3496" s="16" t="n"/>
      <c r="H3496" s="19" t="n"/>
      <c r="J3496" s="16" t="n"/>
      <c r="K3496" s="19" t="n"/>
      <c r="M3496" s="16" t="n"/>
      <c r="N3496" s="19" t="n"/>
    </row>
    <row r="3497">
      <c r="A3497" s="16" t="n"/>
      <c r="B3497" s="19" t="n"/>
      <c r="D3497" s="16" t="n"/>
      <c r="E3497" s="19" t="n"/>
      <c r="G3497" s="16" t="n"/>
      <c r="H3497" s="19" t="n"/>
      <c r="J3497" s="16" t="n"/>
      <c r="K3497" s="19" t="n"/>
      <c r="M3497" s="16" t="n"/>
      <c r="N3497" s="19" t="n"/>
    </row>
    <row r="3498">
      <c r="A3498" s="16" t="n"/>
      <c r="B3498" s="19" t="n"/>
      <c r="D3498" s="16" t="n"/>
      <c r="E3498" s="19" t="n"/>
      <c r="G3498" s="16" t="n"/>
      <c r="H3498" s="19" t="n"/>
      <c r="J3498" s="16" t="n"/>
      <c r="K3498" s="19" t="n"/>
      <c r="M3498" s="16" t="n"/>
      <c r="N3498" s="19" t="n"/>
    </row>
    <row r="3499">
      <c r="A3499" s="16" t="n"/>
      <c r="B3499" s="19" t="n"/>
      <c r="D3499" s="16" t="n"/>
      <c r="E3499" s="19" t="n"/>
      <c r="G3499" s="16" t="n"/>
      <c r="H3499" s="19" t="n"/>
      <c r="J3499" s="16" t="n"/>
      <c r="K3499" s="19" t="n"/>
      <c r="M3499" s="16" t="n"/>
      <c r="N3499" s="19" t="n"/>
    </row>
    <row r="3500">
      <c r="A3500" s="16" t="n"/>
      <c r="B3500" s="19" t="n"/>
      <c r="D3500" s="16" t="n"/>
      <c r="E3500" s="19" t="n"/>
      <c r="G3500" s="16" t="n"/>
      <c r="H3500" s="19" t="n"/>
      <c r="J3500" s="16" t="n"/>
      <c r="K3500" s="19" t="n"/>
      <c r="M3500" s="16" t="n"/>
      <c r="N3500" s="19" t="n"/>
    </row>
    <row r="3501">
      <c r="A3501" s="16" t="n"/>
      <c r="B3501" s="19" t="n"/>
      <c r="D3501" s="16" t="n"/>
      <c r="E3501" s="19" t="n"/>
      <c r="G3501" s="16" t="n"/>
      <c r="H3501" s="19" t="n"/>
      <c r="J3501" s="16" t="n"/>
      <c r="K3501" s="19" t="n"/>
      <c r="M3501" s="16" t="n"/>
      <c r="N3501" s="19" t="n"/>
    </row>
    <row r="3502">
      <c r="A3502" s="16" t="n"/>
      <c r="B3502" s="19" t="n"/>
      <c r="D3502" s="16" t="n"/>
      <c r="E3502" s="19" t="n"/>
      <c r="G3502" s="16" t="n"/>
      <c r="H3502" s="19" t="n"/>
      <c r="J3502" s="16" t="n"/>
      <c r="K3502" s="19" t="n"/>
      <c r="M3502" s="16" t="n"/>
      <c r="N3502" s="19" t="n"/>
    </row>
    <row r="3503">
      <c r="A3503" s="16" t="n"/>
      <c r="B3503" s="19" t="n"/>
      <c r="D3503" s="16" t="n"/>
      <c r="E3503" s="19" t="n"/>
      <c r="G3503" s="16" t="n"/>
      <c r="H3503" s="19" t="n"/>
      <c r="J3503" s="16" t="n"/>
      <c r="K3503" s="19" t="n"/>
      <c r="M3503" s="16" t="n"/>
      <c r="N3503" s="19" t="n"/>
    </row>
    <row r="3504">
      <c r="A3504" s="16" t="n"/>
      <c r="B3504" s="19" t="n"/>
      <c r="D3504" s="16" t="n"/>
      <c r="E3504" s="19" t="n"/>
      <c r="G3504" s="16" t="n"/>
      <c r="H3504" s="19" t="n"/>
      <c r="J3504" s="16" t="n"/>
      <c r="K3504" s="19" t="n"/>
      <c r="M3504" s="16" t="n"/>
      <c r="N3504" s="19" t="n"/>
    </row>
    <row r="3505">
      <c r="A3505" s="16" t="n"/>
      <c r="B3505" s="19" t="n"/>
      <c r="D3505" s="16" t="n"/>
      <c r="E3505" s="19" t="n"/>
      <c r="G3505" s="16" t="n"/>
      <c r="H3505" s="19" t="n"/>
      <c r="J3505" s="16" t="n"/>
      <c r="K3505" s="19" t="n"/>
      <c r="M3505" s="16" t="n"/>
      <c r="N3505" s="19" t="n"/>
    </row>
    <row r="3506">
      <c r="A3506" s="16" t="n"/>
      <c r="B3506" s="19" t="n"/>
      <c r="D3506" s="16" t="n"/>
      <c r="E3506" s="19" t="n"/>
      <c r="G3506" s="16" t="n"/>
      <c r="H3506" s="19" t="n"/>
      <c r="J3506" s="16" t="n"/>
      <c r="K3506" s="19" t="n"/>
      <c r="M3506" s="16" t="n"/>
      <c r="N3506" s="19" t="n"/>
    </row>
    <row r="3507">
      <c r="A3507" s="16" t="n"/>
      <c r="B3507" s="19" t="n"/>
      <c r="D3507" s="16" t="n"/>
      <c r="E3507" s="19" t="n"/>
      <c r="G3507" s="16" t="n"/>
      <c r="H3507" s="19" t="n"/>
      <c r="J3507" s="16" t="n"/>
      <c r="K3507" s="19" t="n"/>
      <c r="M3507" s="16" t="n"/>
      <c r="N3507" s="19" t="n"/>
    </row>
    <row r="3508">
      <c r="A3508" s="16" t="n"/>
      <c r="B3508" s="19" t="n"/>
      <c r="D3508" s="16" t="n"/>
      <c r="E3508" s="19" t="n"/>
      <c r="G3508" s="16" t="n"/>
      <c r="H3508" s="19" t="n"/>
      <c r="J3508" s="16" t="n"/>
      <c r="K3508" s="19" t="n"/>
      <c r="M3508" s="16" t="n"/>
      <c r="N3508" s="19" t="n"/>
    </row>
    <row r="3509">
      <c r="A3509" s="16" t="n"/>
      <c r="B3509" s="19" t="n"/>
      <c r="D3509" s="16" t="n"/>
      <c r="E3509" s="19" t="n"/>
      <c r="G3509" s="16" t="n"/>
      <c r="H3509" s="19" t="n"/>
      <c r="J3509" s="16" t="n"/>
      <c r="K3509" s="19" t="n"/>
      <c r="M3509" s="16" t="n"/>
      <c r="N3509" s="19" t="n"/>
    </row>
    <row r="3510">
      <c r="A3510" s="16" t="n"/>
      <c r="B3510" s="19" t="n"/>
      <c r="D3510" s="16" t="n"/>
      <c r="E3510" s="19" t="n"/>
      <c r="G3510" s="16" t="n"/>
      <c r="H3510" s="19" t="n"/>
      <c r="J3510" s="16" t="n"/>
      <c r="K3510" s="19" t="n"/>
      <c r="M3510" s="16" t="n"/>
      <c r="N3510" s="19" t="n"/>
    </row>
    <row r="3511">
      <c r="A3511" s="16" t="n"/>
      <c r="B3511" s="19" t="n"/>
      <c r="D3511" s="16" t="n"/>
      <c r="E3511" s="19" t="n"/>
      <c r="G3511" s="16" t="n"/>
      <c r="H3511" s="19" t="n"/>
      <c r="J3511" s="16" t="n"/>
      <c r="K3511" s="19" t="n"/>
      <c r="M3511" s="16" t="n"/>
      <c r="N3511" s="19" t="n"/>
    </row>
    <row r="3512">
      <c r="A3512" s="16" t="n"/>
      <c r="B3512" s="19" t="n"/>
      <c r="D3512" s="16" t="n"/>
      <c r="E3512" s="19" t="n"/>
      <c r="G3512" s="16" t="n"/>
      <c r="H3512" s="19" t="n"/>
      <c r="J3512" s="16" t="n"/>
      <c r="K3512" s="19" t="n"/>
      <c r="M3512" s="16" t="n"/>
      <c r="N3512" s="19" t="n"/>
    </row>
    <row r="3513">
      <c r="A3513" s="16" t="n"/>
      <c r="B3513" s="19" t="n"/>
      <c r="D3513" s="16" t="n"/>
      <c r="E3513" s="19" t="n"/>
      <c r="G3513" s="16" t="n"/>
      <c r="H3513" s="19" t="n"/>
      <c r="J3513" s="16" t="n"/>
      <c r="K3513" s="19" t="n"/>
      <c r="M3513" s="16" t="n"/>
      <c r="N3513" s="19" t="n"/>
    </row>
    <row r="3514">
      <c r="A3514" s="16" t="n"/>
      <c r="B3514" s="19" t="n"/>
      <c r="D3514" s="16" t="n"/>
      <c r="E3514" s="19" t="n"/>
      <c r="G3514" s="16" t="n"/>
      <c r="H3514" s="19" t="n"/>
      <c r="J3514" s="16" t="n"/>
      <c r="K3514" s="19" t="n"/>
      <c r="M3514" s="16" t="n"/>
      <c r="N3514" s="19" t="n"/>
    </row>
    <row r="3515">
      <c r="A3515" s="16" t="n"/>
      <c r="B3515" s="19" t="n"/>
      <c r="D3515" s="16" t="n"/>
      <c r="E3515" s="19" t="n"/>
      <c r="G3515" s="16" t="n"/>
      <c r="H3515" s="19" t="n"/>
      <c r="J3515" s="16" t="n"/>
      <c r="K3515" s="19" t="n"/>
      <c r="M3515" s="16" t="n"/>
      <c r="N3515" s="19" t="n"/>
    </row>
    <row r="3516">
      <c r="A3516" s="16" t="n"/>
      <c r="B3516" s="19" t="n"/>
      <c r="D3516" s="16" t="n"/>
      <c r="E3516" s="19" t="n"/>
      <c r="G3516" s="16" t="n"/>
      <c r="H3516" s="19" t="n"/>
      <c r="J3516" s="16" t="n"/>
      <c r="K3516" s="19" t="n"/>
      <c r="M3516" s="16" t="n"/>
      <c r="N3516" s="19" t="n"/>
    </row>
    <row r="3517">
      <c r="A3517" s="16" t="n"/>
      <c r="B3517" s="19" t="n"/>
      <c r="D3517" s="16" t="n"/>
      <c r="E3517" s="19" t="n"/>
      <c r="G3517" s="16" t="n"/>
      <c r="H3517" s="19" t="n"/>
      <c r="J3517" s="16" t="n"/>
      <c r="K3517" s="19" t="n"/>
      <c r="M3517" s="16" t="n"/>
      <c r="N3517" s="19" t="n"/>
    </row>
    <row r="3518">
      <c r="A3518" s="16" t="n"/>
      <c r="B3518" s="19" t="n"/>
      <c r="D3518" s="16" t="n"/>
      <c r="E3518" s="19" t="n"/>
      <c r="G3518" s="16" t="n"/>
      <c r="H3518" s="19" t="n"/>
      <c r="J3518" s="16" t="n"/>
      <c r="K3518" s="19" t="n"/>
      <c r="M3518" s="16" t="n"/>
      <c r="N3518" s="19" t="n"/>
    </row>
    <row r="3519">
      <c r="A3519" s="16" t="n"/>
      <c r="B3519" s="19" t="n"/>
      <c r="D3519" s="16" t="n"/>
      <c r="E3519" s="19" t="n"/>
      <c r="G3519" s="16" t="n"/>
      <c r="H3519" s="19" t="n"/>
      <c r="J3519" s="16" t="n"/>
      <c r="K3519" s="19" t="n"/>
      <c r="M3519" s="16" t="n"/>
      <c r="N3519" s="19" t="n"/>
    </row>
    <row r="3520">
      <c r="A3520" s="16" t="n"/>
      <c r="B3520" s="19" t="n"/>
      <c r="D3520" s="16" t="n"/>
      <c r="E3520" s="19" t="n"/>
      <c r="G3520" s="16" t="n"/>
      <c r="H3520" s="19" t="n"/>
      <c r="J3520" s="16" t="n"/>
      <c r="K3520" s="19" t="n"/>
      <c r="M3520" s="16" t="n"/>
      <c r="N3520" s="19" t="n"/>
    </row>
    <row r="3521">
      <c r="A3521" s="16" t="n"/>
      <c r="B3521" s="19" t="n"/>
      <c r="D3521" s="16" t="n"/>
      <c r="E3521" s="19" t="n"/>
      <c r="G3521" s="16" t="n"/>
      <c r="H3521" s="19" t="n"/>
      <c r="J3521" s="16" t="n"/>
      <c r="K3521" s="19" t="n"/>
      <c r="M3521" s="16" t="n"/>
      <c r="N3521" s="19" t="n"/>
    </row>
    <row r="3522">
      <c r="A3522" s="16" t="n"/>
      <c r="B3522" s="19" t="n"/>
      <c r="D3522" s="16" t="n"/>
      <c r="E3522" s="19" t="n"/>
      <c r="G3522" s="16" t="n"/>
      <c r="H3522" s="19" t="n"/>
      <c r="J3522" s="16" t="n"/>
      <c r="K3522" s="19" t="n"/>
      <c r="M3522" s="16" t="n"/>
      <c r="N3522" s="19" t="n"/>
    </row>
    <row r="3523">
      <c r="A3523" s="16" t="n"/>
      <c r="B3523" s="19" t="n"/>
      <c r="D3523" s="16" t="n"/>
      <c r="E3523" s="19" t="n"/>
      <c r="G3523" s="16" t="n"/>
      <c r="H3523" s="19" t="n"/>
      <c r="J3523" s="16" t="n"/>
      <c r="K3523" s="19" t="n"/>
      <c r="M3523" s="16" t="n"/>
      <c r="N3523" s="19" t="n"/>
    </row>
    <row r="3524">
      <c r="A3524" s="16" t="n"/>
      <c r="B3524" s="19" t="n"/>
      <c r="D3524" s="16" t="n"/>
      <c r="E3524" s="19" t="n"/>
      <c r="G3524" s="16" t="n"/>
      <c r="H3524" s="19" t="n"/>
      <c r="J3524" s="16" t="n"/>
      <c r="K3524" s="19" t="n"/>
      <c r="M3524" s="16" t="n"/>
      <c r="N3524" s="19" t="n"/>
    </row>
    <row r="3525">
      <c r="A3525" s="16" t="n"/>
      <c r="B3525" s="19" t="n"/>
      <c r="D3525" s="16" t="n"/>
      <c r="E3525" s="19" t="n"/>
      <c r="G3525" s="16" t="n"/>
      <c r="H3525" s="19" t="n"/>
      <c r="J3525" s="16" t="n"/>
      <c r="K3525" s="19" t="n"/>
      <c r="M3525" s="16" t="n"/>
      <c r="N3525" s="19" t="n"/>
    </row>
    <row r="3526">
      <c r="A3526" s="16" t="n"/>
      <c r="B3526" s="19" t="n"/>
      <c r="D3526" s="16" t="n"/>
      <c r="E3526" s="19" t="n"/>
      <c r="G3526" s="16" t="n"/>
      <c r="H3526" s="19" t="n"/>
      <c r="J3526" s="16" t="n"/>
      <c r="K3526" s="19" t="n"/>
      <c r="M3526" s="16" t="n"/>
      <c r="N3526" s="19" t="n"/>
    </row>
    <row r="3527">
      <c r="A3527" s="16" t="n"/>
      <c r="B3527" s="19" t="n"/>
      <c r="D3527" s="16" t="n"/>
      <c r="E3527" s="19" t="n"/>
      <c r="G3527" s="16" t="n"/>
      <c r="H3527" s="19" t="n"/>
      <c r="J3527" s="16" t="n"/>
      <c r="K3527" s="19" t="n"/>
      <c r="M3527" s="16" t="n"/>
      <c r="N3527" s="19" t="n"/>
    </row>
    <row r="3528">
      <c r="A3528" s="16" t="n"/>
      <c r="B3528" s="19" t="n"/>
      <c r="D3528" s="16" t="n"/>
      <c r="E3528" s="19" t="n"/>
      <c r="G3528" s="16" t="n"/>
      <c r="H3528" s="19" t="n"/>
      <c r="J3528" s="16" t="n"/>
      <c r="K3528" s="19" t="n"/>
      <c r="M3528" s="16" t="n"/>
      <c r="N3528" s="19" t="n"/>
    </row>
    <row r="3529">
      <c r="A3529" s="16" t="n"/>
      <c r="B3529" s="19" t="n"/>
      <c r="D3529" s="16" t="n"/>
      <c r="E3529" s="19" t="n"/>
      <c r="G3529" s="16" t="n"/>
      <c r="H3529" s="19" t="n"/>
      <c r="J3529" s="16" t="n"/>
      <c r="K3529" s="19" t="n"/>
      <c r="M3529" s="16" t="n"/>
      <c r="N3529" s="19" t="n"/>
    </row>
    <row r="3530">
      <c r="A3530" s="16" t="n"/>
      <c r="B3530" s="19" t="n"/>
      <c r="D3530" s="16" t="n"/>
      <c r="E3530" s="19" t="n"/>
      <c r="G3530" s="16" t="n"/>
      <c r="H3530" s="19" t="n"/>
      <c r="J3530" s="16" t="n"/>
      <c r="K3530" s="19" t="n"/>
      <c r="M3530" s="16" t="n"/>
      <c r="N3530" s="19" t="n"/>
    </row>
    <row r="3531">
      <c r="A3531" s="16" t="n"/>
      <c r="B3531" s="19" t="n"/>
      <c r="D3531" s="16" t="n"/>
      <c r="E3531" s="19" t="n"/>
      <c r="G3531" s="16" t="n"/>
      <c r="H3531" s="19" t="n"/>
      <c r="J3531" s="16" t="n"/>
      <c r="K3531" s="19" t="n"/>
      <c r="M3531" s="16" t="n"/>
      <c r="N3531" s="19" t="n"/>
    </row>
    <row r="3532">
      <c r="A3532" s="16" t="n"/>
      <c r="B3532" s="19" t="n"/>
      <c r="D3532" s="16" t="n"/>
      <c r="E3532" s="19" t="n"/>
      <c r="G3532" s="16" t="n"/>
      <c r="H3532" s="19" t="n"/>
      <c r="J3532" s="16" t="n"/>
      <c r="K3532" s="19" t="n"/>
      <c r="M3532" s="16" t="n"/>
      <c r="N3532" s="19" t="n"/>
    </row>
    <row r="3533">
      <c r="A3533" s="16" t="n"/>
      <c r="B3533" s="19" t="n"/>
      <c r="D3533" s="16" t="n"/>
      <c r="E3533" s="19" t="n"/>
      <c r="G3533" s="16" t="n"/>
      <c r="H3533" s="19" t="n"/>
      <c r="J3533" s="16" t="n"/>
      <c r="K3533" s="19" t="n"/>
      <c r="M3533" s="16" t="n"/>
      <c r="N3533" s="19" t="n"/>
    </row>
    <row r="3534">
      <c r="A3534" s="16" t="n"/>
      <c r="B3534" s="19" t="n"/>
      <c r="D3534" s="16" t="n"/>
      <c r="E3534" s="19" t="n"/>
      <c r="G3534" s="16" t="n"/>
      <c r="H3534" s="19" t="n"/>
      <c r="J3534" s="16" t="n"/>
      <c r="K3534" s="19" t="n"/>
      <c r="M3534" s="16" t="n"/>
      <c r="N3534" s="19" t="n"/>
    </row>
    <row r="3535">
      <c r="A3535" s="16" t="n"/>
      <c r="B3535" s="19" t="n"/>
      <c r="D3535" s="16" t="n"/>
      <c r="E3535" s="19" t="n"/>
      <c r="G3535" s="16" t="n"/>
      <c r="H3535" s="19" t="n"/>
      <c r="J3535" s="16" t="n"/>
      <c r="K3535" s="19" t="n"/>
      <c r="M3535" s="16" t="n"/>
      <c r="N3535" s="19" t="n"/>
    </row>
    <row r="3536">
      <c r="A3536" s="16" t="n"/>
      <c r="B3536" s="19" t="n"/>
      <c r="D3536" s="16" t="n"/>
      <c r="E3536" s="19" t="n"/>
      <c r="G3536" s="16" t="n"/>
      <c r="H3536" s="19" t="n"/>
      <c r="J3536" s="16" t="n"/>
      <c r="K3536" s="19" t="n"/>
      <c r="M3536" s="16" t="n"/>
      <c r="N3536" s="19" t="n"/>
    </row>
    <row r="3537">
      <c r="A3537" s="16" t="n"/>
      <c r="B3537" s="19" t="n"/>
      <c r="D3537" s="16" t="n"/>
      <c r="E3537" s="19" t="n"/>
      <c r="G3537" s="16" t="n"/>
      <c r="H3537" s="19" t="n"/>
      <c r="J3537" s="16" t="n"/>
      <c r="K3537" s="19" t="n"/>
      <c r="M3537" s="16" t="n"/>
      <c r="N3537" s="19" t="n"/>
    </row>
    <row r="3538">
      <c r="A3538" s="16" t="n"/>
      <c r="B3538" s="19" t="n"/>
      <c r="D3538" s="16" t="n"/>
      <c r="E3538" s="19" t="n"/>
      <c r="G3538" s="16" t="n"/>
      <c r="H3538" s="19" t="n"/>
      <c r="J3538" s="16" t="n"/>
      <c r="K3538" s="19" t="n"/>
      <c r="M3538" s="16" t="n"/>
      <c r="N3538" s="19" t="n"/>
    </row>
    <row r="3539">
      <c r="A3539" s="16" t="n"/>
      <c r="B3539" s="19" t="n"/>
      <c r="D3539" s="16" t="n"/>
      <c r="E3539" s="19" t="n"/>
      <c r="G3539" s="16" t="n"/>
      <c r="H3539" s="19" t="n"/>
      <c r="J3539" s="16" t="n"/>
      <c r="K3539" s="19" t="n"/>
      <c r="M3539" s="16" t="n"/>
      <c r="N3539" s="19" t="n"/>
    </row>
    <row r="3540">
      <c r="A3540" s="16" t="n"/>
      <c r="B3540" s="19" t="n"/>
      <c r="D3540" s="16" t="n"/>
      <c r="E3540" s="19" t="n"/>
      <c r="G3540" s="16" t="n"/>
      <c r="H3540" s="19" t="n"/>
      <c r="J3540" s="16" t="n"/>
      <c r="K3540" s="19" t="n"/>
      <c r="M3540" s="16" t="n"/>
      <c r="N3540" s="19" t="n"/>
    </row>
    <row r="3541">
      <c r="A3541" s="16" t="n"/>
      <c r="B3541" s="19" t="n"/>
      <c r="D3541" s="16" t="n"/>
      <c r="E3541" s="19" t="n"/>
      <c r="G3541" s="16" t="n"/>
      <c r="H3541" s="19" t="n"/>
      <c r="J3541" s="16" t="n"/>
      <c r="K3541" s="19" t="n"/>
      <c r="M3541" s="16" t="n"/>
      <c r="N3541" s="19" t="n"/>
    </row>
    <row r="3542">
      <c r="A3542" s="16" t="n"/>
      <c r="B3542" s="19" t="n"/>
      <c r="D3542" s="16" t="n"/>
      <c r="E3542" s="19" t="n"/>
      <c r="G3542" s="16" t="n"/>
      <c r="H3542" s="19" t="n"/>
      <c r="J3542" s="16" t="n"/>
      <c r="K3542" s="19" t="n"/>
      <c r="M3542" s="16" t="n"/>
      <c r="N3542" s="19" t="n"/>
    </row>
    <row r="3543">
      <c r="A3543" s="16" t="n"/>
      <c r="B3543" s="19" t="n"/>
      <c r="D3543" s="16" t="n"/>
      <c r="E3543" s="19" t="n"/>
      <c r="G3543" s="16" t="n"/>
      <c r="H3543" s="19" t="n"/>
      <c r="J3543" s="16" t="n"/>
      <c r="K3543" s="19" t="n"/>
      <c r="M3543" s="16" t="n"/>
      <c r="N3543" s="19" t="n"/>
    </row>
    <row r="3544">
      <c r="A3544" s="16" t="n"/>
      <c r="B3544" s="19" t="n"/>
      <c r="D3544" s="16" t="n"/>
      <c r="E3544" s="19" t="n"/>
      <c r="G3544" s="16" t="n"/>
      <c r="H3544" s="19" t="n"/>
      <c r="J3544" s="16" t="n"/>
      <c r="K3544" s="19" t="n"/>
      <c r="M3544" s="16" t="n"/>
      <c r="N3544" s="19" t="n"/>
    </row>
    <row r="3545">
      <c r="A3545" s="16" t="n"/>
      <c r="B3545" s="19" t="n"/>
      <c r="D3545" s="16" t="n"/>
      <c r="E3545" s="19" t="n"/>
      <c r="G3545" s="16" t="n"/>
      <c r="H3545" s="19" t="n"/>
      <c r="J3545" s="16" t="n"/>
      <c r="K3545" s="19" t="n"/>
      <c r="M3545" s="16" t="n"/>
      <c r="N3545" s="19" t="n"/>
    </row>
    <row r="3546">
      <c r="A3546" s="16" t="n"/>
      <c r="B3546" s="19" t="n"/>
      <c r="D3546" s="16" t="n"/>
      <c r="E3546" s="19" t="n"/>
      <c r="G3546" s="16" t="n"/>
      <c r="H3546" s="19" t="n"/>
      <c r="J3546" s="16" t="n"/>
      <c r="K3546" s="19" t="n"/>
      <c r="M3546" s="16" t="n"/>
      <c r="N3546" s="19" t="n"/>
    </row>
    <row r="3547">
      <c r="A3547" s="16" t="n"/>
      <c r="B3547" s="19" t="n"/>
      <c r="D3547" s="16" t="n"/>
      <c r="E3547" s="19" t="n"/>
      <c r="G3547" s="16" t="n"/>
      <c r="H3547" s="19" t="n"/>
      <c r="J3547" s="16" t="n"/>
      <c r="K3547" s="19" t="n"/>
      <c r="M3547" s="16" t="n"/>
      <c r="N3547" s="19" t="n"/>
    </row>
    <row r="3548">
      <c r="A3548" s="16" t="n"/>
      <c r="B3548" s="19" t="n"/>
      <c r="D3548" s="16" t="n"/>
      <c r="E3548" s="19" t="n"/>
      <c r="G3548" s="16" t="n"/>
      <c r="H3548" s="19" t="n"/>
      <c r="J3548" s="16" t="n"/>
      <c r="K3548" s="19" t="n"/>
      <c r="M3548" s="16" t="n"/>
      <c r="N3548" s="19" t="n"/>
    </row>
    <row r="3549">
      <c r="A3549" s="16" t="n"/>
      <c r="B3549" s="19" t="n"/>
      <c r="D3549" s="16" t="n"/>
      <c r="E3549" s="19" t="n"/>
      <c r="G3549" s="16" t="n"/>
      <c r="H3549" s="19" t="n"/>
      <c r="J3549" s="16" t="n"/>
      <c r="K3549" s="19" t="n"/>
      <c r="M3549" s="16" t="n"/>
      <c r="N3549" s="19" t="n"/>
    </row>
    <row r="3550">
      <c r="A3550" s="16" t="n"/>
      <c r="B3550" s="19" t="n"/>
      <c r="D3550" s="16" t="n"/>
      <c r="E3550" s="19" t="n"/>
      <c r="G3550" s="16" t="n"/>
      <c r="H3550" s="19" t="n"/>
      <c r="J3550" s="16" t="n"/>
      <c r="K3550" s="19" t="n"/>
      <c r="M3550" s="16" t="n"/>
      <c r="N3550" s="19" t="n"/>
    </row>
    <row r="3551">
      <c r="A3551" s="16" t="n"/>
      <c r="B3551" s="19" t="n"/>
      <c r="D3551" s="16" t="n"/>
      <c r="E3551" s="19" t="n"/>
      <c r="G3551" s="16" t="n"/>
      <c r="H3551" s="19" t="n"/>
      <c r="J3551" s="16" t="n"/>
      <c r="K3551" s="19" t="n"/>
      <c r="M3551" s="16" t="n"/>
      <c r="N3551" s="19" t="n"/>
    </row>
    <row r="3552">
      <c r="A3552" s="16" t="n"/>
      <c r="B3552" s="19" t="n"/>
      <c r="D3552" s="16" t="n"/>
      <c r="E3552" s="19" t="n"/>
      <c r="G3552" s="16" t="n"/>
      <c r="H3552" s="19" t="n"/>
      <c r="J3552" s="16" t="n"/>
      <c r="K3552" s="19" t="n"/>
      <c r="M3552" s="16" t="n"/>
      <c r="N3552" s="19" t="n"/>
    </row>
    <row r="3553">
      <c r="A3553" s="16" t="n"/>
      <c r="B3553" s="19" t="n"/>
      <c r="D3553" s="16" t="n"/>
      <c r="E3553" s="19" t="n"/>
      <c r="G3553" s="16" t="n"/>
      <c r="H3553" s="19" t="n"/>
      <c r="J3553" s="16" t="n"/>
      <c r="K3553" s="19" t="n"/>
      <c r="M3553" s="16" t="n"/>
      <c r="N3553" s="19" t="n"/>
    </row>
    <row r="3554">
      <c r="A3554" s="16" t="n"/>
      <c r="B3554" s="19" t="n"/>
      <c r="D3554" s="16" t="n"/>
      <c r="E3554" s="19" t="n"/>
      <c r="G3554" s="16" t="n"/>
      <c r="H3554" s="19" t="n"/>
      <c r="J3554" s="16" t="n"/>
      <c r="K3554" s="19" t="n"/>
      <c r="M3554" s="16" t="n"/>
      <c r="N3554" s="19" t="n"/>
    </row>
    <row r="3555">
      <c r="A3555" s="16" t="n"/>
      <c r="B3555" s="19" t="n"/>
      <c r="D3555" s="16" t="n"/>
      <c r="E3555" s="19" t="n"/>
      <c r="G3555" s="16" t="n"/>
      <c r="H3555" s="19" t="n"/>
      <c r="J3555" s="16" t="n"/>
      <c r="K3555" s="19" t="n"/>
      <c r="M3555" s="16" t="n"/>
      <c r="N3555" s="19" t="n"/>
    </row>
    <row r="3556">
      <c r="A3556" s="16" t="n"/>
      <c r="B3556" s="19" t="n"/>
      <c r="D3556" s="16" t="n"/>
      <c r="E3556" s="19" t="n"/>
      <c r="G3556" s="16" t="n"/>
      <c r="H3556" s="19" t="n"/>
      <c r="J3556" s="16" t="n"/>
      <c r="K3556" s="19" t="n"/>
      <c r="M3556" s="16" t="n"/>
      <c r="N3556" s="19" t="n"/>
    </row>
    <row r="3557">
      <c r="A3557" s="16" t="n"/>
      <c r="B3557" s="19" t="n"/>
      <c r="D3557" s="16" t="n"/>
      <c r="E3557" s="19" t="n"/>
      <c r="G3557" s="16" t="n"/>
      <c r="H3557" s="19" t="n"/>
      <c r="J3557" s="16" t="n"/>
      <c r="K3557" s="19" t="n"/>
      <c r="M3557" s="16" t="n"/>
      <c r="N3557" s="19" t="n"/>
    </row>
    <row r="3558">
      <c r="A3558" s="16" t="n"/>
      <c r="B3558" s="19" t="n"/>
      <c r="D3558" s="16" t="n"/>
      <c r="E3558" s="19" t="n"/>
      <c r="G3558" s="16" t="n"/>
      <c r="H3558" s="19" t="n"/>
      <c r="J3558" s="16" t="n"/>
      <c r="K3558" s="19" t="n"/>
      <c r="M3558" s="16" t="n"/>
      <c r="N3558" s="19" t="n"/>
    </row>
    <row r="3559">
      <c r="A3559" s="16" t="n"/>
      <c r="B3559" s="19" t="n"/>
      <c r="D3559" s="16" t="n"/>
      <c r="E3559" s="19" t="n"/>
      <c r="G3559" s="16" t="n"/>
      <c r="H3559" s="19" t="n"/>
      <c r="J3559" s="16" t="n"/>
      <c r="K3559" s="19" t="n"/>
      <c r="M3559" s="16" t="n"/>
      <c r="N3559" s="19" t="n"/>
    </row>
    <row r="3560">
      <c r="A3560" s="16" t="n"/>
      <c r="B3560" s="19" t="n"/>
      <c r="D3560" s="16" t="n"/>
      <c r="E3560" s="19" t="n"/>
      <c r="G3560" s="16" t="n"/>
      <c r="H3560" s="19" t="n"/>
      <c r="J3560" s="16" t="n"/>
      <c r="K3560" s="19" t="n"/>
      <c r="M3560" s="16" t="n"/>
      <c r="N3560" s="19" t="n"/>
    </row>
    <row r="3561">
      <c r="A3561" s="16" t="n"/>
      <c r="B3561" s="19" t="n"/>
      <c r="D3561" s="16" t="n"/>
      <c r="E3561" s="19" t="n"/>
      <c r="G3561" s="16" t="n"/>
      <c r="H3561" s="19" t="n"/>
      <c r="J3561" s="16" t="n"/>
      <c r="K3561" s="19" t="n"/>
      <c r="M3561" s="16" t="n"/>
      <c r="N3561" s="19" t="n"/>
    </row>
    <row r="3562">
      <c r="A3562" s="16" t="n"/>
      <c r="B3562" s="19" t="n"/>
      <c r="D3562" s="16" t="n"/>
      <c r="E3562" s="19" t="n"/>
      <c r="G3562" s="16" t="n"/>
      <c r="H3562" s="19" t="n"/>
      <c r="J3562" s="16" t="n"/>
      <c r="K3562" s="19" t="n"/>
      <c r="M3562" s="16" t="n"/>
      <c r="N3562" s="19" t="n"/>
    </row>
    <row r="3563">
      <c r="A3563" s="16" t="n"/>
      <c r="B3563" s="19" t="n"/>
      <c r="D3563" s="16" t="n"/>
      <c r="E3563" s="19" t="n"/>
      <c r="G3563" s="16" t="n"/>
      <c r="H3563" s="19" t="n"/>
      <c r="J3563" s="16" t="n"/>
      <c r="K3563" s="19" t="n"/>
      <c r="M3563" s="16" t="n"/>
      <c r="N3563" s="19" t="n"/>
    </row>
    <row r="3564">
      <c r="A3564" s="16" t="n"/>
      <c r="B3564" s="19" t="n"/>
      <c r="D3564" s="16" t="n"/>
      <c r="E3564" s="19" t="n"/>
      <c r="G3564" s="16" t="n"/>
      <c r="H3564" s="19" t="n"/>
      <c r="J3564" s="16" t="n"/>
      <c r="K3564" s="19" t="n"/>
      <c r="M3564" s="16" t="n"/>
      <c r="N3564" s="19" t="n"/>
    </row>
    <row r="3565">
      <c r="A3565" s="16" t="n"/>
      <c r="B3565" s="19" t="n"/>
      <c r="D3565" s="16" t="n"/>
      <c r="E3565" s="19" t="n"/>
      <c r="G3565" s="16" t="n"/>
      <c r="H3565" s="19" t="n"/>
      <c r="J3565" s="16" t="n"/>
      <c r="K3565" s="19" t="n"/>
      <c r="M3565" s="16" t="n"/>
      <c r="N3565" s="19" t="n"/>
    </row>
    <row r="3566">
      <c r="A3566" s="16" t="n"/>
      <c r="B3566" s="19" t="n"/>
      <c r="D3566" s="16" t="n"/>
      <c r="E3566" s="19" t="n"/>
      <c r="G3566" s="16" t="n"/>
      <c r="H3566" s="19" t="n"/>
      <c r="J3566" s="16" t="n"/>
      <c r="K3566" s="19" t="n"/>
      <c r="M3566" s="16" t="n"/>
      <c r="N3566" s="19" t="n"/>
    </row>
    <row r="3567">
      <c r="A3567" s="16" t="n"/>
      <c r="B3567" s="19" t="n"/>
      <c r="D3567" s="16" t="n"/>
      <c r="E3567" s="19" t="n"/>
      <c r="G3567" s="16" t="n"/>
      <c r="H3567" s="19" t="n"/>
      <c r="J3567" s="16" t="n"/>
      <c r="K3567" s="19" t="n"/>
      <c r="M3567" s="16" t="n"/>
      <c r="N3567" s="19" t="n"/>
    </row>
    <row r="3568">
      <c r="A3568" s="16" t="n"/>
      <c r="B3568" s="19" t="n"/>
      <c r="D3568" s="16" t="n"/>
      <c r="E3568" s="19" t="n"/>
      <c r="G3568" s="16" t="n"/>
      <c r="H3568" s="19" t="n"/>
      <c r="J3568" s="16" t="n"/>
      <c r="K3568" s="19" t="n"/>
      <c r="M3568" s="16" t="n"/>
      <c r="N3568" s="19" t="n"/>
    </row>
    <row r="3569">
      <c r="A3569" s="16" t="n"/>
      <c r="B3569" s="19" t="n"/>
      <c r="D3569" s="16" t="n"/>
      <c r="E3569" s="19" t="n"/>
      <c r="G3569" s="16" t="n"/>
      <c r="H3569" s="19" t="n"/>
      <c r="J3569" s="16" t="n"/>
      <c r="K3569" s="19" t="n"/>
      <c r="M3569" s="16" t="n"/>
      <c r="N3569" s="19" t="n"/>
    </row>
    <row r="3570">
      <c r="A3570" s="16" t="n"/>
      <c r="B3570" s="19" t="n"/>
      <c r="D3570" s="16" t="n"/>
      <c r="E3570" s="19" t="n"/>
      <c r="G3570" s="16" t="n"/>
      <c r="H3570" s="19" t="n"/>
      <c r="J3570" s="16" t="n"/>
      <c r="K3570" s="19" t="n"/>
      <c r="M3570" s="16" t="n"/>
      <c r="N3570" s="19" t="n"/>
    </row>
    <row r="3571">
      <c r="A3571" s="16" t="n"/>
      <c r="B3571" s="19" t="n"/>
      <c r="D3571" s="16" t="n"/>
      <c r="E3571" s="19" t="n"/>
      <c r="G3571" s="16" t="n"/>
      <c r="H3571" s="19" t="n"/>
      <c r="J3571" s="16" t="n"/>
      <c r="K3571" s="19" t="n"/>
      <c r="M3571" s="16" t="n"/>
      <c r="N3571" s="19" t="n"/>
    </row>
    <row r="3572">
      <c r="A3572" s="16" t="n"/>
      <c r="B3572" s="19" t="n"/>
      <c r="D3572" s="16" t="n"/>
      <c r="E3572" s="19" t="n"/>
      <c r="G3572" s="16" t="n"/>
      <c r="H3572" s="19" t="n"/>
      <c r="J3572" s="16" t="n"/>
      <c r="K3572" s="19" t="n"/>
      <c r="M3572" s="16" t="n"/>
      <c r="N3572" s="19" t="n"/>
    </row>
    <row r="3573">
      <c r="A3573" s="16" t="n"/>
      <c r="B3573" s="19" t="n"/>
      <c r="D3573" s="16" t="n"/>
      <c r="E3573" s="19" t="n"/>
      <c r="G3573" s="16" t="n"/>
      <c r="H3573" s="19" t="n"/>
      <c r="J3573" s="16" t="n"/>
      <c r="K3573" s="19" t="n"/>
      <c r="M3573" s="16" t="n"/>
      <c r="N3573" s="19" t="n"/>
    </row>
    <row r="3574">
      <c r="A3574" s="16" t="n"/>
      <c r="B3574" s="19" t="n"/>
      <c r="D3574" s="16" t="n"/>
      <c r="E3574" s="19" t="n"/>
      <c r="G3574" s="16" t="n"/>
      <c r="H3574" s="19" t="n"/>
      <c r="J3574" s="16" t="n"/>
      <c r="K3574" s="19" t="n"/>
      <c r="M3574" s="16" t="n"/>
      <c r="N3574" s="19" t="n"/>
    </row>
    <row r="3575">
      <c r="A3575" s="16" t="n"/>
      <c r="B3575" s="19" t="n"/>
      <c r="D3575" s="16" t="n"/>
      <c r="E3575" s="19" t="n"/>
      <c r="G3575" s="16" t="n"/>
      <c r="H3575" s="19" t="n"/>
      <c r="J3575" s="16" t="n"/>
      <c r="K3575" s="19" t="n"/>
      <c r="M3575" s="16" t="n"/>
      <c r="N3575" s="19" t="n"/>
    </row>
    <row r="3576">
      <c r="A3576" s="16" t="n"/>
      <c r="B3576" s="19" t="n"/>
      <c r="D3576" s="16" t="n"/>
      <c r="E3576" s="19" t="n"/>
      <c r="G3576" s="16" t="n"/>
      <c r="H3576" s="19" t="n"/>
      <c r="J3576" s="16" t="n"/>
      <c r="K3576" s="19" t="n"/>
      <c r="M3576" s="16" t="n"/>
      <c r="N3576" s="19" t="n"/>
    </row>
    <row r="3577">
      <c r="A3577" s="16" t="n"/>
      <c r="B3577" s="19" t="n"/>
      <c r="D3577" s="16" t="n"/>
      <c r="E3577" s="19" t="n"/>
      <c r="G3577" s="16" t="n"/>
      <c r="H3577" s="19" t="n"/>
      <c r="J3577" s="16" t="n"/>
      <c r="K3577" s="19" t="n"/>
      <c r="M3577" s="16" t="n"/>
      <c r="N3577" s="19" t="n"/>
    </row>
    <row r="3578">
      <c r="A3578" s="16" t="n"/>
      <c r="B3578" s="19" t="n"/>
      <c r="D3578" s="16" t="n"/>
      <c r="E3578" s="19" t="n"/>
      <c r="G3578" s="16" t="n"/>
      <c r="H3578" s="19" t="n"/>
      <c r="J3578" s="16" t="n"/>
      <c r="K3578" s="19" t="n"/>
      <c r="M3578" s="16" t="n"/>
      <c r="N3578" s="19" t="n"/>
    </row>
    <row r="3579">
      <c r="A3579" s="16" t="n"/>
      <c r="B3579" s="19" t="n"/>
      <c r="D3579" s="16" t="n"/>
      <c r="E3579" s="19" t="n"/>
      <c r="G3579" s="16" t="n"/>
      <c r="H3579" s="19" t="n"/>
      <c r="J3579" s="16" t="n"/>
      <c r="K3579" s="19" t="n"/>
      <c r="M3579" s="16" t="n"/>
      <c r="N3579" s="19" t="n"/>
    </row>
    <row r="3580">
      <c r="A3580" s="16" t="n"/>
      <c r="B3580" s="19" t="n"/>
      <c r="D3580" s="16" t="n"/>
      <c r="E3580" s="19" t="n"/>
      <c r="G3580" s="16" t="n"/>
      <c r="H3580" s="19" t="n"/>
      <c r="J3580" s="16" t="n"/>
      <c r="K3580" s="19" t="n"/>
      <c r="M3580" s="16" t="n"/>
      <c r="N3580" s="19" t="n"/>
    </row>
    <row r="3581">
      <c r="A3581" s="16" t="n"/>
      <c r="B3581" s="19" t="n"/>
      <c r="D3581" s="16" t="n"/>
      <c r="E3581" s="19" t="n"/>
      <c r="G3581" s="16" t="n"/>
      <c r="H3581" s="19" t="n"/>
      <c r="J3581" s="16" t="n"/>
      <c r="K3581" s="19" t="n"/>
      <c r="M3581" s="16" t="n"/>
      <c r="N3581" s="19" t="n"/>
    </row>
    <row r="3582">
      <c r="A3582" s="16" t="n"/>
      <c r="B3582" s="19" t="n"/>
      <c r="D3582" s="16" t="n"/>
      <c r="E3582" s="19" t="n"/>
      <c r="G3582" s="16" t="n"/>
      <c r="H3582" s="19" t="n"/>
      <c r="J3582" s="16" t="n"/>
      <c r="K3582" s="19" t="n"/>
      <c r="M3582" s="16" t="n"/>
      <c r="N3582" s="19" t="n"/>
    </row>
    <row r="3583">
      <c r="A3583" s="16" t="n"/>
      <c r="B3583" s="19" t="n"/>
      <c r="D3583" s="16" t="n"/>
      <c r="E3583" s="19" t="n"/>
      <c r="G3583" s="16" t="n"/>
      <c r="H3583" s="19" t="n"/>
      <c r="J3583" s="16" t="n"/>
      <c r="K3583" s="19" t="n"/>
      <c r="M3583" s="16" t="n"/>
      <c r="N3583" s="19" t="n"/>
    </row>
    <row r="3584">
      <c r="A3584" s="16" t="n"/>
      <c r="B3584" s="19" t="n"/>
      <c r="D3584" s="16" t="n"/>
      <c r="E3584" s="19" t="n"/>
      <c r="G3584" s="16" t="n"/>
      <c r="H3584" s="19" t="n"/>
      <c r="J3584" s="16" t="n"/>
      <c r="K3584" s="19" t="n"/>
      <c r="M3584" s="16" t="n"/>
      <c r="N3584" s="19" t="n"/>
    </row>
    <row r="3585">
      <c r="A3585" s="16" t="n"/>
      <c r="B3585" s="19" t="n"/>
      <c r="D3585" s="16" t="n"/>
      <c r="E3585" s="19" t="n"/>
      <c r="G3585" s="16" t="n"/>
      <c r="H3585" s="19" t="n"/>
      <c r="J3585" s="16" t="n"/>
      <c r="K3585" s="19" t="n"/>
      <c r="M3585" s="16" t="n"/>
      <c r="N3585" s="19" t="n"/>
    </row>
    <row r="3586">
      <c r="A3586" s="16" t="n"/>
      <c r="B3586" s="19" t="n"/>
      <c r="D3586" s="16" t="n"/>
      <c r="E3586" s="19" t="n"/>
      <c r="G3586" s="16" t="n"/>
      <c r="H3586" s="19" t="n"/>
      <c r="J3586" s="16" t="n"/>
      <c r="K3586" s="19" t="n"/>
      <c r="M3586" s="16" t="n"/>
      <c r="N3586" s="19" t="n"/>
    </row>
    <row r="3587">
      <c r="A3587" s="16" t="n"/>
      <c r="B3587" s="19" t="n"/>
      <c r="D3587" s="16" t="n"/>
      <c r="E3587" s="19" t="n"/>
      <c r="G3587" s="16" t="n"/>
      <c r="H3587" s="19" t="n"/>
      <c r="J3587" s="16" t="n"/>
      <c r="K3587" s="19" t="n"/>
      <c r="M3587" s="16" t="n"/>
      <c r="N3587" s="19" t="n"/>
    </row>
    <row r="3588">
      <c r="A3588" s="16" t="n"/>
      <c r="B3588" s="19" t="n"/>
      <c r="D3588" s="16" t="n"/>
      <c r="E3588" s="19" t="n"/>
      <c r="G3588" s="16" t="n"/>
      <c r="H3588" s="19" t="n"/>
      <c r="J3588" s="16" t="n"/>
      <c r="K3588" s="19" t="n"/>
      <c r="M3588" s="16" t="n"/>
      <c r="N3588" s="19" t="n"/>
    </row>
    <row r="3589">
      <c r="A3589" s="16" t="n"/>
      <c r="B3589" s="19" t="n"/>
      <c r="D3589" s="16" t="n"/>
      <c r="E3589" s="19" t="n"/>
      <c r="G3589" s="16" t="n"/>
      <c r="H3589" s="19" t="n"/>
      <c r="J3589" s="16" t="n"/>
      <c r="K3589" s="19" t="n"/>
      <c r="M3589" s="16" t="n"/>
      <c r="N3589" s="19" t="n"/>
    </row>
    <row r="3590">
      <c r="A3590" s="16" t="n"/>
      <c r="B3590" s="19" t="n"/>
      <c r="D3590" s="16" t="n"/>
      <c r="E3590" s="19" t="n"/>
      <c r="G3590" s="16" t="n"/>
      <c r="H3590" s="19" t="n"/>
      <c r="J3590" s="16" t="n"/>
      <c r="K3590" s="19" t="n"/>
      <c r="M3590" s="16" t="n"/>
      <c r="N3590" s="19" t="n"/>
    </row>
    <row r="3591">
      <c r="A3591" s="16" t="n"/>
      <c r="B3591" s="19" t="n"/>
      <c r="D3591" s="16" t="n"/>
      <c r="E3591" s="19" t="n"/>
      <c r="G3591" s="16" t="n"/>
      <c r="H3591" s="19" t="n"/>
      <c r="J3591" s="16" t="n"/>
      <c r="K3591" s="19" t="n"/>
      <c r="M3591" s="16" t="n"/>
      <c r="N3591" s="19" t="n"/>
    </row>
    <row r="3592">
      <c r="A3592" s="16" t="n"/>
      <c r="B3592" s="19" t="n"/>
      <c r="D3592" s="16" t="n"/>
      <c r="E3592" s="19" t="n"/>
      <c r="G3592" s="16" t="n"/>
      <c r="H3592" s="19" t="n"/>
      <c r="J3592" s="16" t="n"/>
      <c r="K3592" s="19" t="n"/>
      <c r="M3592" s="16" t="n"/>
      <c r="N3592" s="19" t="n"/>
    </row>
    <row r="3593">
      <c r="A3593" s="16" t="n"/>
      <c r="B3593" s="19" t="n"/>
      <c r="D3593" s="16" t="n"/>
      <c r="E3593" s="19" t="n"/>
      <c r="G3593" s="16" t="n"/>
      <c r="H3593" s="19" t="n"/>
      <c r="J3593" s="16" t="n"/>
      <c r="K3593" s="19" t="n"/>
      <c r="M3593" s="16" t="n"/>
      <c r="N3593" s="19" t="n"/>
    </row>
    <row r="3594">
      <c r="A3594" s="16" t="n"/>
      <c r="B3594" s="19" t="n"/>
      <c r="D3594" s="16" t="n"/>
      <c r="E3594" s="19" t="n"/>
      <c r="G3594" s="16" t="n"/>
      <c r="H3594" s="19" t="n"/>
      <c r="J3594" s="16" t="n"/>
      <c r="K3594" s="19" t="n"/>
      <c r="M3594" s="16" t="n"/>
      <c r="N3594" s="19" t="n"/>
    </row>
    <row r="3595">
      <c r="A3595" s="16" t="n"/>
      <c r="B3595" s="19" t="n"/>
      <c r="D3595" s="16" t="n"/>
      <c r="E3595" s="19" t="n"/>
      <c r="G3595" s="16" t="n"/>
      <c r="H3595" s="19" t="n"/>
      <c r="J3595" s="16" t="n"/>
      <c r="K3595" s="19" t="n"/>
      <c r="M3595" s="16" t="n"/>
      <c r="N3595" s="19" t="n"/>
    </row>
    <row r="3596">
      <c r="A3596" s="16" t="n"/>
      <c r="B3596" s="19" t="n"/>
      <c r="D3596" s="16" t="n"/>
      <c r="E3596" s="19" t="n"/>
      <c r="G3596" s="16" t="n"/>
      <c r="H3596" s="19" t="n"/>
      <c r="J3596" s="16" t="n"/>
      <c r="K3596" s="19" t="n"/>
      <c r="M3596" s="16" t="n"/>
      <c r="N3596" s="19" t="n"/>
    </row>
    <row r="3597">
      <c r="A3597" s="16" t="n"/>
      <c r="B3597" s="19" t="n"/>
      <c r="D3597" s="16" t="n"/>
      <c r="E3597" s="19" t="n"/>
      <c r="G3597" s="16" t="n"/>
      <c r="H3597" s="19" t="n"/>
      <c r="J3597" s="16" t="n"/>
      <c r="K3597" s="19" t="n"/>
      <c r="M3597" s="16" t="n"/>
      <c r="N3597" s="19" t="n"/>
    </row>
    <row r="3598">
      <c r="A3598" s="16" t="n"/>
      <c r="B3598" s="19" t="n"/>
      <c r="D3598" s="16" t="n"/>
      <c r="E3598" s="19" t="n"/>
      <c r="G3598" s="16" t="n"/>
      <c r="H3598" s="19" t="n"/>
      <c r="J3598" s="16" t="n"/>
      <c r="K3598" s="19" t="n"/>
      <c r="M3598" s="16" t="n"/>
      <c r="N3598" s="19" t="n"/>
    </row>
    <row r="3599">
      <c r="A3599" s="16" t="n"/>
      <c r="B3599" s="19" t="n"/>
      <c r="D3599" s="16" t="n"/>
      <c r="E3599" s="19" t="n"/>
      <c r="G3599" s="16" t="n"/>
      <c r="H3599" s="19" t="n"/>
      <c r="J3599" s="16" t="n"/>
      <c r="K3599" s="19" t="n"/>
      <c r="M3599" s="16" t="n"/>
      <c r="N3599" s="19" t="n"/>
    </row>
    <row r="3600">
      <c r="A3600" s="16" t="n"/>
      <c r="B3600" s="19" t="n"/>
      <c r="D3600" s="16" t="n"/>
      <c r="E3600" s="19" t="n"/>
      <c r="G3600" s="16" t="n"/>
      <c r="H3600" s="19" t="n"/>
      <c r="J3600" s="16" t="n"/>
      <c r="K3600" s="19" t="n"/>
      <c r="M3600" s="16" t="n"/>
      <c r="N3600" s="19" t="n"/>
    </row>
    <row r="3601">
      <c r="A3601" s="16" t="n"/>
      <c r="B3601" s="19" t="n"/>
      <c r="D3601" s="16" t="n"/>
      <c r="E3601" s="19" t="n"/>
      <c r="G3601" s="16" t="n"/>
      <c r="H3601" s="19" t="n"/>
      <c r="J3601" s="16" t="n"/>
      <c r="K3601" s="19" t="n"/>
      <c r="M3601" s="16" t="n"/>
      <c r="N3601" s="19" t="n"/>
    </row>
    <row r="3602">
      <c r="A3602" s="16" t="n"/>
      <c r="B3602" s="19" t="n"/>
      <c r="D3602" s="16" t="n"/>
      <c r="E3602" s="19" t="n"/>
      <c r="G3602" s="16" t="n"/>
      <c r="H3602" s="19" t="n"/>
      <c r="J3602" s="16" t="n"/>
      <c r="K3602" s="19" t="n"/>
      <c r="M3602" s="16" t="n"/>
      <c r="N3602" s="19" t="n"/>
    </row>
    <row r="3603">
      <c r="A3603" s="16" t="n"/>
      <c r="B3603" s="19" t="n"/>
      <c r="D3603" s="16" t="n"/>
      <c r="E3603" s="19" t="n"/>
      <c r="G3603" s="16" t="n"/>
      <c r="H3603" s="19" t="n"/>
      <c r="J3603" s="16" t="n"/>
      <c r="K3603" s="19" t="n"/>
      <c r="M3603" s="16" t="n"/>
      <c r="N3603" s="19" t="n"/>
    </row>
    <row r="3604">
      <c r="A3604" s="16" t="n"/>
      <c r="B3604" s="19" t="n"/>
      <c r="D3604" s="16" t="n"/>
      <c r="E3604" s="19" t="n"/>
      <c r="G3604" s="16" t="n"/>
      <c r="H3604" s="19" t="n"/>
      <c r="J3604" s="16" t="n"/>
      <c r="K3604" s="19" t="n"/>
      <c r="M3604" s="16" t="n"/>
      <c r="N3604" s="19" t="n"/>
    </row>
    <row r="3605">
      <c r="A3605" s="16" t="n"/>
      <c r="B3605" s="19" t="n"/>
      <c r="D3605" s="16" t="n"/>
      <c r="E3605" s="19" t="n"/>
      <c r="G3605" s="16" t="n"/>
      <c r="H3605" s="19" t="n"/>
      <c r="J3605" s="16" t="n"/>
      <c r="K3605" s="19" t="n"/>
      <c r="M3605" s="16" t="n"/>
      <c r="N3605" s="19" t="n"/>
    </row>
    <row r="3606">
      <c r="A3606" s="16" t="n"/>
      <c r="B3606" s="19" t="n"/>
      <c r="D3606" s="16" t="n"/>
      <c r="E3606" s="19" t="n"/>
      <c r="G3606" s="16" t="n"/>
      <c r="H3606" s="19" t="n"/>
      <c r="J3606" s="16" t="n"/>
      <c r="K3606" s="19" t="n"/>
      <c r="M3606" s="16" t="n"/>
      <c r="N3606" s="19" t="n"/>
    </row>
    <row r="3607">
      <c r="A3607" s="16" t="n"/>
      <c r="B3607" s="19" t="n"/>
      <c r="D3607" s="16" t="n"/>
      <c r="E3607" s="19" t="n"/>
      <c r="G3607" s="16" t="n"/>
      <c r="H3607" s="19" t="n"/>
      <c r="J3607" s="16" t="n"/>
      <c r="K3607" s="19" t="n"/>
      <c r="M3607" s="16" t="n"/>
      <c r="N3607" s="19" t="n"/>
    </row>
    <row r="3608">
      <c r="A3608" s="16" t="n"/>
      <c r="B3608" s="19" t="n"/>
      <c r="D3608" s="16" t="n"/>
      <c r="E3608" s="19" t="n"/>
      <c r="G3608" s="16" t="n"/>
      <c r="H3608" s="19" t="n"/>
      <c r="J3608" s="16" t="n"/>
      <c r="K3608" s="19" t="n"/>
      <c r="M3608" s="16" t="n"/>
      <c r="N3608" s="19" t="n"/>
    </row>
    <row r="3609">
      <c r="A3609" s="16" t="n"/>
      <c r="B3609" s="19" t="n"/>
      <c r="D3609" s="16" t="n"/>
      <c r="E3609" s="19" t="n"/>
      <c r="G3609" s="16" t="n"/>
      <c r="H3609" s="19" t="n"/>
      <c r="J3609" s="16" t="n"/>
      <c r="K3609" s="19" t="n"/>
      <c r="M3609" s="16" t="n"/>
      <c r="N3609" s="19" t="n"/>
    </row>
    <row r="3610">
      <c r="A3610" s="16" t="n"/>
      <c r="B3610" s="19" t="n"/>
      <c r="D3610" s="16" t="n"/>
      <c r="E3610" s="19" t="n"/>
      <c r="G3610" s="16" t="n"/>
      <c r="H3610" s="19" t="n"/>
      <c r="J3610" s="16" t="n"/>
      <c r="K3610" s="19" t="n"/>
      <c r="M3610" s="16" t="n"/>
      <c r="N3610" s="19" t="n"/>
    </row>
    <row r="3611">
      <c r="A3611" s="16" t="n"/>
      <c r="B3611" s="19" t="n"/>
      <c r="D3611" s="16" t="n"/>
      <c r="E3611" s="19" t="n"/>
      <c r="G3611" s="16" t="n"/>
      <c r="H3611" s="19" t="n"/>
      <c r="J3611" s="16" t="n"/>
      <c r="K3611" s="19" t="n"/>
      <c r="M3611" s="16" t="n"/>
      <c r="N3611" s="19" t="n"/>
    </row>
    <row r="3612">
      <c r="A3612" s="16" t="n"/>
      <c r="B3612" s="19" t="n"/>
      <c r="D3612" s="16" t="n"/>
      <c r="E3612" s="19" t="n"/>
      <c r="G3612" s="16" t="n"/>
      <c r="H3612" s="19" t="n"/>
      <c r="J3612" s="16" t="n"/>
      <c r="K3612" s="19" t="n"/>
      <c r="M3612" s="16" t="n"/>
      <c r="N3612" s="19" t="n"/>
    </row>
    <row r="3613">
      <c r="A3613" s="16" t="n"/>
      <c r="B3613" s="19" t="n"/>
      <c r="D3613" s="16" t="n"/>
      <c r="E3613" s="19" t="n"/>
      <c r="G3613" s="16" t="n"/>
      <c r="H3613" s="19" t="n"/>
      <c r="J3613" s="16" t="n"/>
      <c r="K3613" s="19" t="n"/>
      <c r="M3613" s="16" t="n"/>
      <c r="N3613" s="19" t="n"/>
    </row>
    <row r="3614">
      <c r="A3614" s="16" t="n"/>
      <c r="B3614" s="19" t="n"/>
      <c r="D3614" s="16" t="n"/>
      <c r="E3614" s="19" t="n"/>
      <c r="G3614" s="16" t="n"/>
      <c r="H3614" s="19" t="n"/>
      <c r="J3614" s="16" t="n"/>
      <c r="K3614" s="19" t="n"/>
      <c r="M3614" s="16" t="n"/>
      <c r="N3614" s="19" t="n"/>
    </row>
    <row r="3615">
      <c r="A3615" s="16" t="n"/>
      <c r="B3615" s="19" t="n"/>
      <c r="D3615" s="16" t="n"/>
      <c r="E3615" s="19" t="n"/>
      <c r="G3615" s="16" t="n"/>
      <c r="H3615" s="19" t="n"/>
      <c r="J3615" s="16" t="n"/>
      <c r="K3615" s="19" t="n"/>
      <c r="M3615" s="16" t="n"/>
      <c r="N3615" s="19" t="n"/>
    </row>
    <row r="3616">
      <c r="A3616" s="16" t="n"/>
      <c r="B3616" s="19" t="n"/>
      <c r="D3616" s="16" t="n"/>
      <c r="E3616" s="19" t="n"/>
      <c r="G3616" s="16" t="n"/>
      <c r="H3616" s="19" t="n"/>
      <c r="J3616" s="16" t="n"/>
      <c r="K3616" s="19" t="n"/>
      <c r="M3616" s="16" t="n"/>
      <c r="N3616" s="19" t="n"/>
    </row>
    <row r="3617">
      <c r="A3617" s="16" t="n"/>
      <c r="B3617" s="19" t="n"/>
      <c r="D3617" s="16" t="n"/>
      <c r="E3617" s="19" t="n"/>
      <c r="G3617" s="16" t="n"/>
      <c r="H3617" s="19" t="n"/>
      <c r="J3617" s="16" t="n"/>
      <c r="K3617" s="19" t="n"/>
      <c r="M3617" s="16" t="n"/>
      <c r="N3617" s="19" t="n"/>
    </row>
    <row r="3618">
      <c r="A3618" s="16" t="n"/>
      <c r="B3618" s="19" t="n"/>
      <c r="D3618" s="16" t="n"/>
      <c r="E3618" s="19" t="n"/>
      <c r="G3618" s="16" t="n"/>
      <c r="H3618" s="19" t="n"/>
      <c r="J3618" s="16" t="n"/>
      <c r="K3618" s="19" t="n"/>
      <c r="M3618" s="16" t="n"/>
      <c r="N3618" s="19" t="n"/>
    </row>
    <row r="3619">
      <c r="A3619" s="16" t="n"/>
      <c r="B3619" s="19" t="n"/>
      <c r="D3619" s="16" t="n"/>
      <c r="E3619" s="19" t="n"/>
      <c r="G3619" s="16" t="n"/>
      <c r="H3619" s="19" t="n"/>
      <c r="J3619" s="16" t="n"/>
      <c r="K3619" s="19" t="n"/>
      <c r="M3619" s="16" t="n"/>
      <c r="N3619" s="19" t="n"/>
    </row>
    <row r="3620">
      <c r="A3620" s="16" t="n"/>
      <c r="B3620" s="19" t="n"/>
      <c r="D3620" s="16" t="n"/>
      <c r="E3620" s="19" t="n"/>
      <c r="G3620" s="16" t="n"/>
      <c r="H3620" s="19" t="n"/>
      <c r="J3620" s="16" t="n"/>
      <c r="K3620" s="19" t="n"/>
      <c r="M3620" s="16" t="n"/>
      <c r="N3620" s="19" t="n"/>
    </row>
    <row r="3621">
      <c r="A3621" s="16" t="n"/>
      <c r="B3621" s="19" t="n"/>
      <c r="D3621" s="16" t="n"/>
      <c r="E3621" s="19" t="n"/>
      <c r="G3621" s="16" t="n"/>
      <c r="H3621" s="19" t="n"/>
      <c r="J3621" s="16" t="n"/>
      <c r="K3621" s="19" t="n"/>
      <c r="M3621" s="16" t="n"/>
      <c r="N3621" s="19" t="n"/>
    </row>
    <row r="3622">
      <c r="A3622" s="16" t="n"/>
      <c r="B3622" s="19" t="n"/>
      <c r="D3622" s="16" t="n"/>
      <c r="E3622" s="19" t="n"/>
      <c r="G3622" s="16" t="n"/>
      <c r="H3622" s="19" t="n"/>
      <c r="J3622" s="16" t="n"/>
      <c r="K3622" s="19" t="n"/>
      <c r="M3622" s="16" t="n"/>
      <c r="N3622" s="19" t="n"/>
    </row>
    <row r="3623">
      <c r="A3623" s="16" t="n"/>
      <c r="B3623" s="19" t="n"/>
      <c r="D3623" s="16" t="n"/>
      <c r="E3623" s="19" t="n"/>
      <c r="G3623" s="16" t="n"/>
      <c r="H3623" s="19" t="n"/>
      <c r="J3623" s="16" t="n"/>
      <c r="K3623" s="19" t="n"/>
      <c r="M3623" s="16" t="n"/>
      <c r="N3623" s="19" t="n"/>
    </row>
    <row r="3624">
      <c r="A3624" s="16" t="n"/>
      <c r="B3624" s="19" t="n"/>
      <c r="D3624" s="16" t="n"/>
      <c r="E3624" s="19" t="n"/>
      <c r="G3624" s="16" t="n"/>
      <c r="H3624" s="19" t="n"/>
      <c r="J3624" s="16" t="n"/>
      <c r="K3624" s="19" t="n"/>
      <c r="M3624" s="16" t="n"/>
      <c r="N3624" s="19" t="n"/>
    </row>
    <row r="3625">
      <c r="A3625" s="16" t="n"/>
      <c r="B3625" s="19" t="n"/>
      <c r="D3625" s="16" t="n"/>
      <c r="E3625" s="19" t="n"/>
      <c r="G3625" s="16" t="n"/>
      <c r="H3625" s="19" t="n"/>
      <c r="J3625" s="16" t="n"/>
      <c r="K3625" s="19" t="n"/>
      <c r="M3625" s="16" t="n"/>
      <c r="N3625" s="19" t="n"/>
    </row>
    <row r="3626">
      <c r="A3626" s="16" t="n"/>
      <c r="B3626" s="19" t="n"/>
      <c r="D3626" s="16" t="n"/>
      <c r="E3626" s="19" t="n"/>
      <c r="G3626" s="16" t="n"/>
      <c r="H3626" s="19" t="n"/>
      <c r="J3626" s="16" t="n"/>
      <c r="K3626" s="19" t="n"/>
      <c r="M3626" s="16" t="n"/>
      <c r="N3626" s="19" t="n"/>
    </row>
    <row r="3627">
      <c r="A3627" s="16" t="n"/>
      <c r="B3627" s="19" t="n"/>
      <c r="D3627" s="16" t="n"/>
      <c r="E3627" s="19" t="n"/>
      <c r="G3627" s="16" t="n"/>
      <c r="H3627" s="19" t="n"/>
      <c r="J3627" s="16" t="n"/>
      <c r="K3627" s="19" t="n"/>
      <c r="M3627" s="16" t="n"/>
      <c r="N3627" s="19" t="n"/>
    </row>
    <row r="3628">
      <c r="A3628" s="16" t="n"/>
      <c r="B3628" s="19" t="n"/>
      <c r="D3628" s="16" t="n"/>
      <c r="E3628" s="19" t="n"/>
      <c r="G3628" s="16" t="n"/>
      <c r="H3628" s="19" t="n"/>
      <c r="J3628" s="16" t="n"/>
      <c r="K3628" s="19" t="n"/>
      <c r="M3628" s="16" t="n"/>
      <c r="N3628" s="19" t="n"/>
    </row>
    <row r="3629">
      <c r="A3629" s="16" t="n"/>
      <c r="B3629" s="19" t="n"/>
      <c r="D3629" s="16" t="n"/>
      <c r="E3629" s="19" t="n"/>
      <c r="G3629" s="16" t="n"/>
      <c r="H3629" s="19" t="n"/>
      <c r="J3629" s="16" t="n"/>
      <c r="K3629" s="19" t="n"/>
      <c r="M3629" s="16" t="n"/>
      <c r="N3629" s="19" t="n"/>
    </row>
    <row r="3630">
      <c r="A3630" s="16" t="n"/>
      <c r="B3630" s="19" t="n"/>
      <c r="D3630" s="16" t="n"/>
      <c r="E3630" s="19" t="n"/>
      <c r="G3630" s="16" t="n"/>
      <c r="H3630" s="19" t="n"/>
      <c r="J3630" s="16" t="n"/>
      <c r="K3630" s="19" t="n"/>
      <c r="M3630" s="16" t="n"/>
      <c r="N3630" s="19" t="n"/>
    </row>
    <row r="3631">
      <c r="A3631" s="16" t="n"/>
      <c r="B3631" s="19" t="n"/>
      <c r="D3631" s="16" t="n"/>
      <c r="E3631" s="19" t="n"/>
      <c r="G3631" s="16" t="n"/>
      <c r="H3631" s="19" t="n"/>
      <c r="J3631" s="16" t="n"/>
      <c r="K3631" s="19" t="n"/>
      <c r="M3631" s="16" t="n"/>
      <c r="N3631" s="19" t="n"/>
    </row>
    <row r="3632">
      <c r="A3632" s="16" t="n"/>
      <c r="B3632" s="19" t="n"/>
      <c r="D3632" s="16" t="n"/>
      <c r="E3632" s="19" t="n"/>
      <c r="G3632" s="16" t="n"/>
      <c r="H3632" s="19" t="n"/>
      <c r="J3632" s="16" t="n"/>
      <c r="K3632" s="19" t="n"/>
      <c r="M3632" s="16" t="n"/>
      <c r="N3632" s="19" t="n"/>
    </row>
    <row r="3633">
      <c r="A3633" s="16" t="n"/>
      <c r="B3633" s="19" t="n"/>
      <c r="D3633" s="16" t="n"/>
      <c r="E3633" s="19" t="n"/>
      <c r="G3633" s="16" t="n"/>
      <c r="H3633" s="19" t="n"/>
      <c r="J3633" s="16" t="n"/>
      <c r="K3633" s="19" t="n"/>
      <c r="M3633" s="16" t="n"/>
      <c r="N3633" s="19" t="n"/>
    </row>
    <row r="3634">
      <c r="A3634" s="16" t="n"/>
      <c r="B3634" s="19" t="n"/>
      <c r="D3634" s="16" t="n"/>
      <c r="E3634" s="19" t="n"/>
      <c r="G3634" s="16" t="n"/>
      <c r="H3634" s="19" t="n"/>
      <c r="J3634" s="16" t="n"/>
      <c r="K3634" s="19" t="n"/>
      <c r="M3634" s="16" t="n"/>
      <c r="N3634" s="19" t="n"/>
    </row>
    <row r="3635">
      <c r="A3635" s="16" t="n"/>
      <c r="B3635" s="19" t="n"/>
      <c r="D3635" s="16" t="n"/>
      <c r="E3635" s="19" t="n"/>
      <c r="G3635" s="16" t="n"/>
      <c r="H3635" s="19" t="n"/>
      <c r="J3635" s="16" t="n"/>
      <c r="K3635" s="19" t="n"/>
      <c r="M3635" s="16" t="n"/>
      <c r="N3635" s="19" t="n"/>
    </row>
    <row r="3636">
      <c r="A3636" s="16" t="n"/>
      <c r="B3636" s="19" t="n"/>
      <c r="D3636" s="16" t="n"/>
      <c r="E3636" s="19" t="n"/>
      <c r="G3636" s="16" t="n"/>
      <c r="H3636" s="19" t="n"/>
      <c r="J3636" s="16" t="n"/>
      <c r="K3636" s="19" t="n"/>
      <c r="M3636" s="16" t="n"/>
      <c r="N3636" s="19" t="n"/>
    </row>
    <row r="3637">
      <c r="A3637" s="16" t="n"/>
      <c r="B3637" s="19" t="n"/>
      <c r="D3637" s="16" t="n"/>
      <c r="E3637" s="19" t="n"/>
      <c r="G3637" s="16" t="n"/>
      <c r="H3637" s="19" t="n"/>
      <c r="J3637" s="16" t="n"/>
      <c r="K3637" s="19" t="n"/>
      <c r="M3637" s="16" t="n"/>
      <c r="N3637" s="19" t="n"/>
    </row>
    <row r="3638">
      <c r="A3638" s="16" t="n"/>
      <c r="B3638" s="19" t="n"/>
      <c r="D3638" s="16" t="n"/>
      <c r="E3638" s="19" t="n"/>
      <c r="G3638" s="16" t="n"/>
      <c r="H3638" s="19" t="n"/>
      <c r="J3638" s="16" t="n"/>
      <c r="K3638" s="19" t="n"/>
      <c r="M3638" s="16" t="n"/>
      <c r="N3638" s="19" t="n"/>
    </row>
    <row r="3639">
      <c r="A3639" s="16" t="n"/>
      <c r="B3639" s="19" t="n"/>
      <c r="D3639" s="16" t="n"/>
      <c r="E3639" s="19" t="n"/>
      <c r="G3639" s="16" t="n"/>
      <c r="H3639" s="19" t="n"/>
      <c r="J3639" s="16" t="n"/>
      <c r="K3639" s="19" t="n"/>
      <c r="M3639" s="16" t="n"/>
      <c r="N3639" s="19" t="n"/>
    </row>
    <row r="3640">
      <c r="A3640" s="16" t="n"/>
      <c r="B3640" s="19" t="n"/>
      <c r="D3640" s="16" t="n"/>
      <c r="E3640" s="19" t="n"/>
      <c r="G3640" s="16" t="n"/>
      <c r="H3640" s="19" t="n"/>
      <c r="J3640" s="16" t="n"/>
      <c r="K3640" s="19" t="n"/>
      <c r="M3640" s="16" t="n"/>
      <c r="N3640" s="19" t="n"/>
    </row>
    <row r="3641">
      <c r="A3641" s="16" t="n"/>
      <c r="B3641" s="19" t="n"/>
      <c r="D3641" s="16" t="n"/>
      <c r="E3641" s="19" t="n"/>
      <c r="G3641" s="16" t="n"/>
      <c r="H3641" s="19" t="n"/>
      <c r="J3641" s="16" t="n"/>
      <c r="K3641" s="19" t="n"/>
      <c r="M3641" s="16" t="n"/>
      <c r="N3641" s="19" t="n"/>
    </row>
    <row r="3642">
      <c r="A3642" s="16" t="n"/>
      <c r="B3642" s="19" t="n"/>
      <c r="D3642" s="16" t="n"/>
      <c r="E3642" s="19" t="n"/>
      <c r="G3642" s="16" t="n"/>
      <c r="H3642" s="19" t="n"/>
      <c r="J3642" s="16" t="n"/>
      <c r="K3642" s="19" t="n"/>
      <c r="M3642" s="16" t="n"/>
      <c r="N3642" s="19" t="n"/>
    </row>
    <row r="3643">
      <c r="A3643" s="16" t="n"/>
      <c r="B3643" s="19" t="n"/>
      <c r="D3643" s="16" t="n"/>
      <c r="E3643" s="19" t="n"/>
      <c r="G3643" s="16" t="n"/>
      <c r="H3643" s="19" t="n"/>
      <c r="J3643" s="16" t="n"/>
      <c r="K3643" s="19" t="n"/>
      <c r="M3643" s="16" t="n"/>
      <c r="N3643" s="19" t="n"/>
    </row>
    <row r="3644">
      <c r="A3644" s="16" t="n"/>
      <c r="B3644" s="19" t="n"/>
      <c r="D3644" s="16" t="n"/>
      <c r="E3644" s="19" t="n"/>
      <c r="G3644" s="16" t="n"/>
      <c r="H3644" s="19" t="n"/>
      <c r="J3644" s="16" t="n"/>
      <c r="K3644" s="19" t="n"/>
      <c r="M3644" s="16" t="n"/>
      <c r="N3644" s="19" t="n"/>
    </row>
    <row r="3645">
      <c r="A3645" s="16" t="n"/>
      <c r="B3645" s="19" t="n"/>
      <c r="D3645" s="16" t="n"/>
      <c r="E3645" s="19" t="n"/>
      <c r="G3645" s="16" t="n"/>
      <c r="H3645" s="19" t="n"/>
      <c r="J3645" s="16" t="n"/>
      <c r="K3645" s="19" t="n"/>
      <c r="M3645" s="16" t="n"/>
      <c r="N3645" s="19" t="n"/>
    </row>
    <row r="3646">
      <c r="A3646" s="16" t="n"/>
      <c r="B3646" s="19" t="n"/>
      <c r="D3646" s="16" t="n"/>
      <c r="E3646" s="19" t="n"/>
      <c r="G3646" s="16" t="n"/>
      <c r="H3646" s="19" t="n"/>
      <c r="J3646" s="16" t="n"/>
      <c r="K3646" s="19" t="n"/>
      <c r="M3646" s="16" t="n"/>
      <c r="N3646" s="19" t="n"/>
    </row>
    <row r="3647">
      <c r="A3647" s="16" t="n"/>
      <c r="B3647" s="19" t="n"/>
      <c r="D3647" s="16" t="n"/>
      <c r="E3647" s="19" t="n"/>
      <c r="G3647" s="16" t="n"/>
      <c r="H3647" s="19" t="n"/>
      <c r="J3647" s="16" t="n"/>
      <c r="K3647" s="19" t="n"/>
      <c r="M3647" s="16" t="n"/>
      <c r="N3647" s="19" t="n"/>
    </row>
    <row r="3648">
      <c r="A3648" s="16" t="n"/>
      <c r="B3648" s="19" t="n"/>
      <c r="D3648" s="16" t="n"/>
      <c r="E3648" s="19" t="n"/>
      <c r="G3648" s="16" t="n"/>
      <c r="H3648" s="19" t="n"/>
      <c r="J3648" s="16" t="n"/>
      <c r="K3648" s="19" t="n"/>
      <c r="M3648" s="16" t="n"/>
      <c r="N3648" s="19" t="n"/>
    </row>
    <row r="3649">
      <c r="A3649" s="16" t="n"/>
      <c r="B3649" s="19" t="n"/>
      <c r="D3649" s="16" t="n"/>
      <c r="E3649" s="19" t="n"/>
      <c r="G3649" s="16" t="n"/>
      <c r="H3649" s="19" t="n"/>
      <c r="J3649" s="16" t="n"/>
      <c r="K3649" s="19" t="n"/>
      <c r="M3649" s="16" t="n"/>
      <c r="N3649" s="19" t="n"/>
    </row>
    <row r="3650">
      <c r="A3650" s="16" t="n"/>
      <c r="B3650" s="19" t="n"/>
      <c r="D3650" s="16" t="n"/>
      <c r="E3650" s="19" t="n"/>
      <c r="G3650" s="16" t="n"/>
      <c r="H3650" s="19" t="n"/>
      <c r="J3650" s="16" t="n"/>
      <c r="K3650" s="19" t="n"/>
      <c r="M3650" s="16" t="n"/>
      <c r="N3650" s="19" t="n"/>
    </row>
    <row r="3651">
      <c r="A3651" s="16" t="n"/>
      <c r="B3651" s="19" t="n"/>
      <c r="D3651" s="16" t="n"/>
      <c r="E3651" s="19" t="n"/>
      <c r="G3651" s="16" t="n"/>
      <c r="H3651" s="19" t="n"/>
      <c r="J3651" s="16" t="n"/>
      <c r="K3651" s="19" t="n"/>
      <c r="M3651" s="16" t="n"/>
      <c r="N3651" s="19" t="n"/>
    </row>
    <row r="3652">
      <c r="A3652" s="16" t="n"/>
      <c r="B3652" s="19" t="n"/>
      <c r="D3652" s="16" t="n"/>
      <c r="E3652" s="19" t="n"/>
      <c r="G3652" s="16" t="n"/>
      <c r="H3652" s="19" t="n"/>
      <c r="J3652" s="16" t="n"/>
      <c r="K3652" s="19" t="n"/>
      <c r="M3652" s="16" t="n"/>
      <c r="N3652" s="19" t="n"/>
    </row>
    <row r="3653">
      <c r="A3653" s="16" t="n"/>
      <c r="B3653" s="19" t="n"/>
      <c r="D3653" s="16" t="n"/>
      <c r="E3653" s="19" t="n"/>
      <c r="G3653" s="16" t="n"/>
      <c r="H3653" s="19" t="n"/>
      <c r="J3653" s="16" t="n"/>
      <c r="K3653" s="19" t="n"/>
      <c r="M3653" s="16" t="n"/>
      <c r="N3653" s="19" t="n"/>
    </row>
    <row r="3654">
      <c r="A3654" s="16" t="n"/>
      <c r="B3654" s="19" t="n"/>
      <c r="D3654" s="16" t="n"/>
      <c r="E3654" s="19" t="n"/>
      <c r="G3654" s="16" t="n"/>
      <c r="H3654" s="19" t="n"/>
      <c r="J3654" s="16" t="n"/>
      <c r="K3654" s="19" t="n"/>
      <c r="M3654" s="16" t="n"/>
      <c r="N3654" s="19" t="n"/>
    </row>
    <row r="3655">
      <c r="A3655" s="16" t="n"/>
      <c r="B3655" s="19" t="n"/>
      <c r="D3655" s="16" t="n"/>
      <c r="E3655" s="19" t="n"/>
      <c r="G3655" s="16" t="n"/>
      <c r="H3655" s="19" t="n"/>
      <c r="J3655" s="16" t="n"/>
      <c r="K3655" s="19" t="n"/>
      <c r="M3655" s="16" t="n"/>
      <c r="N3655" s="19" t="n"/>
    </row>
    <row r="3656">
      <c r="A3656" s="16" t="n"/>
      <c r="B3656" s="19" t="n"/>
      <c r="D3656" s="16" t="n"/>
      <c r="E3656" s="19" t="n"/>
      <c r="G3656" s="16" t="n"/>
      <c r="H3656" s="19" t="n"/>
      <c r="J3656" s="16" t="n"/>
      <c r="K3656" s="19" t="n"/>
      <c r="M3656" s="16" t="n"/>
      <c r="N3656" s="19" t="n"/>
    </row>
    <row r="3657">
      <c r="A3657" s="16" t="n"/>
      <c r="B3657" s="19" t="n"/>
      <c r="D3657" s="16" t="n"/>
      <c r="E3657" s="19" t="n"/>
      <c r="G3657" s="16" t="n"/>
      <c r="H3657" s="19" t="n"/>
      <c r="J3657" s="16" t="n"/>
      <c r="K3657" s="19" t="n"/>
      <c r="M3657" s="16" t="n"/>
      <c r="N3657" s="19" t="n"/>
    </row>
    <row r="3658">
      <c r="A3658" s="16" t="n"/>
      <c r="B3658" s="19" t="n"/>
      <c r="D3658" s="16" t="n"/>
      <c r="E3658" s="19" t="n"/>
      <c r="G3658" s="16" t="n"/>
      <c r="H3658" s="19" t="n"/>
      <c r="J3658" s="16" t="n"/>
      <c r="K3658" s="19" t="n"/>
      <c r="M3658" s="16" t="n"/>
      <c r="N3658" s="19" t="n"/>
    </row>
    <row r="3659">
      <c r="A3659" s="16" t="n"/>
      <c r="B3659" s="19" t="n"/>
      <c r="D3659" s="16" t="n"/>
      <c r="E3659" s="19" t="n"/>
      <c r="G3659" s="16" t="n"/>
      <c r="H3659" s="19" t="n"/>
      <c r="J3659" s="16" t="n"/>
      <c r="K3659" s="19" t="n"/>
      <c r="M3659" s="16" t="n"/>
      <c r="N3659" s="19" t="n"/>
    </row>
    <row r="3660">
      <c r="A3660" s="16" t="n"/>
      <c r="B3660" s="19" t="n"/>
      <c r="D3660" s="16" t="n"/>
      <c r="E3660" s="19" t="n"/>
      <c r="G3660" s="16" t="n"/>
      <c r="H3660" s="19" t="n"/>
      <c r="J3660" s="16" t="n"/>
      <c r="K3660" s="19" t="n"/>
      <c r="M3660" s="16" t="n"/>
      <c r="N3660" s="19" t="n"/>
    </row>
    <row r="3661">
      <c r="A3661" s="16" t="n"/>
      <c r="B3661" s="19" t="n"/>
      <c r="D3661" s="16" t="n"/>
      <c r="E3661" s="19" t="n"/>
      <c r="G3661" s="16" t="n"/>
      <c r="H3661" s="19" t="n"/>
      <c r="J3661" s="16" t="n"/>
      <c r="K3661" s="19" t="n"/>
      <c r="M3661" s="16" t="n"/>
      <c r="N3661" s="19" t="n"/>
    </row>
    <row r="3662">
      <c r="A3662" s="16" t="n"/>
      <c r="B3662" s="19" t="n"/>
      <c r="D3662" s="16" t="n"/>
      <c r="E3662" s="19" t="n"/>
      <c r="G3662" s="16" t="n"/>
      <c r="H3662" s="19" t="n"/>
      <c r="J3662" s="16" t="n"/>
      <c r="K3662" s="19" t="n"/>
      <c r="M3662" s="16" t="n"/>
      <c r="N3662" s="19" t="n"/>
    </row>
    <row r="3663">
      <c r="A3663" s="16" t="n"/>
      <c r="B3663" s="19" t="n"/>
      <c r="D3663" s="16" t="n"/>
      <c r="E3663" s="19" t="n"/>
      <c r="G3663" s="16" t="n"/>
      <c r="H3663" s="19" t="n"/>
      <c r="J3663" s="16" t="n"/>
      <c r="K3663" s="19" t="n"/>
      <c r="M3663" s="16" t="n"/>
      <c r="N3663" s="19" t="n"/>
    </row>
    <row r="3664">
      <c r="A3664" s="16" t="n"/>
      <c r="B3664" s="19" t="n"/>
      <c r="D3664" s="16" t="n"/>
      <c r="E3664" s="19" t="n"/>
      <c r="G3664" s="16" t="n"/>
      <c r="H3664" s="19" t="n"/>
      <c r="J3664" s="16" t="n"/>
      <c r="K3664" s="19" t="n"/>
      <c r="M3664" s="16" t="n"/>
      <c r="N3664" s="19" t="n"/>
    </row>
    <row r="3665">
      <c r="A3665" s="16" t="n"/>
      <c r="B3665" s="19" t="n"/>
      <c r="D3665" s="16" t="n"/>
      <c r="E3665" s="19" t="n"/>
      <c r="G3665" s="16" t="n"/>
      <c r="H3665" s="19" t="n"/>
      <c r="J3665" s="16" t="n"/>
      <c r="K3665" s="19" t="n"/>
      <c r="M3665" s="16" t="n"/>
      <c r="N3665" s="19" t="n"/>
    </row>
    <row r="3666">
      <c r="A3666" s="16" t="n"/>
      <c r="B3666" s="19" t="n"/>
      <c r="D3666" s="16" t="n"/>
      <c r="E3666" s="19" t="n"/>
      <c r="G3666" s="16" t="n"/>
      <c r="H3666" s="19" t="n"/>
      <c r="J3666" s="16" t="n"/>
      <c r="K3666" s="19" t="n"/>
      <c r="M3666" s="16" t="n"/>
      <c r="N3666" s="19" t="n"/>
    </row>
    <row r="3667">
      <c r="A3667" s="16" t="n"/>
      <c r="B3667" s="19" t="n"/>
      <c r="D3667" s="16" t="n"/>
      <c r="E3667" s="19" t="n"/>
      <c r="G3667" s="16" t="n"/>
      <c r="H3667" s="19" t="n"/>
      <c r="J3667" s="16" t="n"/>
      <c r="K3667" s="19" t="n"/>
      <c r="M3667" s="16" t="n"/>
      <c r="N3667" s="19" t="n"/>
    </row>
    <row r="3668">
      <c r="A3668" s="16" t="n"/>
      <c r="B3668" s="19" t="n"/>
      <c r="D3668" s="16" t="n"/>
      <c r="E3668" s="19" t="n"/>
      <c r="G3668" s="16" t="n"/>
      <c r="H3668" s="19" t="n"/>
      <c r="J3668" s="16" t="n"/>
      <c r="K3668" s="19" t="n"/>
      <c r="M3668" s="16" t="n"/>
      <c r="N3668" s="19" t="n"/>
    </row>
    <row r="3669">
      <c r="A3669" s="16" t="n"/>
      <c r="B3669" s="19" t="n"/>
      <c r="D3669" s="16" t="n"/>
      <c r="E3669" s="19" t="n"/>
      <c r="G3669" s="16" t="n"/>
      <c r="H3669" s="19" t="n"/>
      <c r="J3669" s="16" t="n"/>
      <c r="K3669" s="19" t="n"/>
      <c r="M3669" s="16" t="n"/>
      <c r="N3669" s="19" t="n"/>
    </row>
    <row r="3670">
      <c r="A3670" s="16" t="n"/>
      <c r="B3670" s="19" t="n"/>
      <c r="D3670" s="16" t="n"/>
      <c r="E3670" s="19" t="n"/>
      <c r="G3670" s="16" t="n"/>
      <c r="H3670" s="19" t="n"/>
      <c r="J3670" s="16" t="n"/>
      <c r="K3670" s="19" t="n"/>
      <c r="M3670" s="16" t="n"/>
      <c r="N3670" s="19" t="n"/>
    </row>
    <row r="3671">
      <c r="A3671" s="16" t="n"/>
      <c r="B3671" s="19" t="n"/>
      <c r="D3671" s="16" t="n"/>
      <c r="E3671" s="19" t="n"/>
      <c r="G3671" s="16" t="n"/>
      <c r="H3671" s="19" t="n"/>
      <c r="J3671" s="16" t="n"/>
      <c r="K3671" s="19" t="n"/>
      <c r="M3671" s="16" t="n"/>
      <c r="N3671" s="19" t="n"/>
    </row>
    <row r="3672">
      <c r="A3672" s="16" t="n"/>
      <c r="B3672" s="19" t="n"/>
      <c r="D3672" s="16" t="n"/>
      <c r="E3672" s="19" t="n"/>
      <c r="G3672" s="16" t="n"/>
      <c r="H3672" s="19" t="n"/>
      <c r="J3672" s="16" t="n"/>
      <c r="K3672" s="19" t="n"/>
      <c r="M3672" s="16" t="n"/>
      <c r="N3672" s="19" t="n"/>
    </row>
    <row r="3673">
      <c r="A3673" s="16" t="n"/>
      <c r="B3673" s="19" t="n"/>
      <c r="D3673" s="16" t="n"/>
      <c r="E3673" s="19" t="n"/>
      <c r="G3673" s="16" t="n"/>
      <c r="H3673" s="19" t="n"/>
      <c r="J3673" s="16" t="n"/>
      <c r="K3673" s="19" t="n"/>
      <c r="M3673" s="16" t="n"/>
      <c r="N3673" s="19" t="n"/>
    </row>
    <row r="3674">
      <c r="A3674" s="16" t="n"/>
      <c r="B3674" s="19" t="n"/>
      <c r="D3674" s="16" t="n"/>
      <c r="E3674" s="19" t="n"/>
      <c r="G3674" s="16" t="n"/>
      <c r="H3674" s="19" t="n"/>
      <c r="J3674" s="16" t="n"/>
      <c r="K3674" s="19" t="n"/>
      <c r="M3674" s="16" t="n"/>
      <c r="N3674" s="19" t="n"/>
    </row>
    <row r="3675">
      <c r="A3675" s="16" t="n"/>
      <c r="B3675" s="19" t="n"/>
      <c r="D3675" s="16" t="n"/>
      <c r="E3675" s="19" t="n"/>
      <c r="G3675" s="16" t="n"/>
      <c r="H3675" s="19" t="n"/>
      <c r="J3675" s="16" t="n"/>
      <c r="K3675" s="19" t="n"/>
      <c r="M3675" s="16" t="n"/>
      <c r="N3675" s="19" t="n"/>
    </row>
    <row r="3676">
      <c r="A3676" s="16" t="n"/>
      <c r="B3676" s="19" t="n"/>
      <c r="D3676" s="16" t="n"/>
      <c r="E3676" s="19" t="n"/>
      <c r="G3676" s="16" t="n"/>
      <c r="H3676" s="19" t="n"/>
      <c r="J3676" s="16" t="n"/>
      <c r="K3676" s="19" t="n"/>
      <c r="M3676" s="16" t="n"/>
      <c r="N3676" s="19" t="n"/>
    </row>
    <row r="3677">
      <c r="A3677" s="16" t="n"/>
      <c r="B3677" s="19" t="n"/>
      <c r="D3677" s="16" t="n"/>
      <c r="E3677" s="19" t="n"/>
      <c r="G3677" s="16" t="n"/>
      <c r="H3677" s="19" t="n"/>
      <c r="J3677" s="16" t="n"/>
      <c r="K3677" s="19" t="n"/>
      <c r="M3677" s="16" t="n"/>
      <c r="N3677" s="19" t="n"/>
    </row>
    <row r="3678">
      <c r="A3678" s="16" t="n"/>
      <c r="B3678" s="19" t="n"/>
      <c r="D3678" s="16" t="n"/>
      <c r="E3678" s="19" t="n"/>
      <c r="G3678" s="16" t="n"/>
      <c r="H3678" s="19" t="n"/>
      <c r="J3678" s="16" t="n"/>
      <c r="K3678" s="19" t="n"/>
      <c r="M3678" s="16" t="n"/>
      <c r="N3678" s="19" t="n"/>
    </row>
    <row r="3679">
      <c r="A3679" s="16" t="n"/>
      <c r="B3679" s="19" t="n"/>
      <c r="D3679" s="16" t="n"/>
      <c r="E3679" s="19" t="n"/>
      <c r="G3679" s="16" t="n"/>
      <c r="H3679" s="19" t="n"/>
      <c r="J3679" s="16" t="n"/>
      <c r="K3679" s="19" t="n"/>
      <c r="M3679" s="16" t="n"/>
      <c r="N3679" s="19" t="n"/>
    </row>
    <row r="3680">
      <c r="A3680" s="16" t="n"/>
      <c r="B3680" s="19" t="n"/>
      <c r="D3680" s="16" t="n"/>
      <c r="E3680" s="19" t="n"/>
      <c r="G3680" s="16" t="n"/>
      <c r="H3680" s="19" t="n"/>
      <c r="J3680" s="16" t="n"/>
      <c r="K3680" s="19" t="n"/>
      <c r="M3680" s="16" t="n"/>
      <c r="N3680" s="19" t="n"/>
    </row>
    <row r="3681">
      <c r="A3681" s="16" t="n"/>
      <c r="B3681" s="19" t="n"/>
      <c r="D3681" s="16" t="n"/>
      <c r="E3681" s="19" t="n"/>
      <c r="G3681" s="16" t="n"/>
      <c r="H3681" s="19" t="n"/>
      <c r="J3681" s="16" t="n"/>
      <c r="K3681" s="19" t="n"/>
      <c r="M3681" s="16" t="n"/>
      <c r="N3681" s="19" t="n"/>
    </row>
    <row r="3682">
      <c r="A3682" s="16" t="n"/>
      <c r="B3682" s="19" t="n"/>
      <c r="D3682" s="16" t="n"/>
      <c r="E3682" s="19" t="n"/>
      <c r="G3682" s="16" t="n"/>
      <c r="H3682" s="19" t="n"/>
      <c r="J3682" s="16" t="n"/>
      <c r="K3682" s="19" t="n"/>
      <c r="M3682" s="16" t="n"/>
      <c r="N3682" s="19" t="n"/>
    </row>
    <row r="3683">
      <c r="A3683" s="16" t="n"/>
      <c r="B3683" s="19" t="n"/>
      <c r="D3683" s="16" t="n"/>
      <c r="E3683" s="19" t="n"/>
      <c r="G3683" s="16" t="n"/>
      <c r="H3683" s="19" t="n"/>
      <c r="J3683" s="16" t="n"/>
      <c r="K3683" s="19" t="n"/>
      <c r="M3683" s="16" t="n"/>
      <c r="N3683" s="19" t="n"/>
    </row>
    <row r="3684">
      <c r="A3684" s="16" t="n"/>
      <c r="B3684" s="19" t="n"/>
      <c r="D3684" s="16" t="n"/>
      <c r="E3684" s="19" t="n"/>
      <c r="G3684" s="16" t="n"/>
      <c r="H3684" s="19" t="n"/>
      <c r="J3684" s="16" t="n"/>
      <c r="K3684" s="19" t="n"/>
      <c r="M3684" s="16" t="n"/>
      <c r="N3684" s="19" t="n"/>
    </row>
    <row r="3685">
      <c r="A3685" s="16" t="n"/>
      <c r="B3685" s="19" t="n"/>
      <c r="D3685" s="16" t="n"/>
      <c r="E3685" s="19" t="n"/>
      <c r="G3685" s="16" t="n"/>
      <c r="H3685" s="19" t="n"/>
      <c r="J3685" s="16" t="n"/>
      <c r="K3685" s="19" t="n"/>
      <c r="M3685" s="16" t="n"/>
      <c r="N3685" s="19" t="n"/>
    </row>
    <row r="3686">
      <c r="A3686" s="16" t="n"/>
      <c r="B3686" s="19" t="n"/>
      <c r="D3686" s="16" t="n"/>
      <c r="E3686" s="19" t="n"/>
      <c r="G3686" s="16" t="n"/>
      <c r="H3686" s="19" t="n"/>
      <c r="J3686" s="16" t="n"/>
      <c r="K3686" s="19" t="n"/>
      <c r="M3686" s="16" t="n"/>
      <c r="N3686" s="19" t="n"/>
    </row>
    <row r="3687">
      <c r="A3687" s="16" t="n"/>
      <c r="B3687" s="19" t="n"/>
      <c r="D3687" s="16" t="n"/>
      <c r="E3687" s="19" t="n"/>
      <c r="G3687" s="16" t="n"/>
      <c r="H3687" s="19" t="n"/>
      <c r="J3687" s="16" t="n"/>
      <c r="K3687" s="19" t="n"/>
      <c r="M3687" s="16" t="n"/>
      <c r="N3687" s="19" t="n"/>
    </row>
    <row r="3688">
      <c r="A3688" s="16" t="n"/>
      <c r="B3688" s="19" t="n"/>
      <c r="D3688" s="16" t="n"/>
      <c r="E3688" s="19" t="n"/>
      <c r="G3688" s="16" t="n"/>
      <c r="H3688" s="19" t="n"/>
      <c r="J3688" s="16" t="n"/>
      <c r="K3688" s="19" t="n"/>
      <c r="M3688" s="16" t="n"/>
      <c r="N3688" s="19" t="n"/>
    </row>
    <row r="3689">
      <c r="A3689" s="16" t="n"/>
      <c r="B3689" s="19" t="n"/>
      <c r="D3689" s="16" t="n"/>
      <c r="E3689" s="19" t="n"/>
      <c r="G3689" s="16" t="n"/>
      <c r="H3689" s="19" t="n"/>
      <c r="J3689" s="16" t="n"/>
      <c r="K3689" s="19" t="n"/>
      <c r="M3689" s="16" t="n"/>
      <c r="N3689" s="19" t="n"/>
    </row>
    <row r="3690">
      <c r="A3690" s="16" t="n"/>
      <c r="B3690" s="19" t="n"/>
      <c r="D3690" s="16" t="n"/>
      <c r="E3690" s="19" t="n"/>
      <c r="G3690" s="16" t="n"/>
      <c r="H3690" s="19" t="n"/>
      <c r="J3690" s="16" t="n"/>
      <c r="K3690" s="19" t="n"/>
      <c r="M3690" s="16" t="n"/>
      <c r="N3690" s="19" t="n"/>
    </row>
    <row r="3691">
      <c r="A3691" s="16" t="n"/>
      <c r="B3691" s="19" t="n"/>
      <c r="D3691" s="16" t="n"/>
      <c r="E3691" s="19" t="n"/>
      <c r="G3691" s="16" t="n"/>
      <c r="H3691" s="19" t="n"/>
      <c r="J3691" s="16" t="n"/>
      <c r="K3691" s="19" t="n"/>
      <c r="M3691" s="16" t="n"/>
      <c r="N3691" s="19" t="n"/>
    </row>
    <row r="3692">
      <c r="A3692" s="16" t="n"/>
      <c r="B3692" s="19" t="n"/>
      <c r="D3692" s="16" t="n"/>
      <c r="E3692" s="19" t="n"/>
      <c r="G3692" s="16" t="n"/>
      <c r="H3692" s="19" t="n"/>
      <c r="J3692" s="16" t="n"/>
      <c r="K3692" s="19" t="n"/>
      <c r="M3692" s="16" t="n"/>
      <c r="N3692" s="19" t="n"/>
    </row>
    <row r="3693">
      <c r="A3693" s="16" t="n"/>
      <c r="B3693" s="19" t="n"/>
      <c r="D3693" s="16" t="n"/>
      <c r="E3693" s="19" t="n"/>
      <c r="G3693" s="16" t="n"/>
      <c r="H3693" s="19" t="n"/>
      <c r="J3693" s="16" t="n"/>
      <c r="K3693" s="19" t="n"/>
      <c r="M3693" s="16" t="n"/>
      <c r="N3693" s="19" t="n"/>
    </row>
    <row r="3694">
      <c r="A3694" s="16" t="n"/>
      <c r="B3694" s="19" t="n"/>
      <c r="D3694" s="16" t="n"/>
      <c r="E3694" s="19" t="n"/>
      <c r="G3694" s="16" t="n"/>
      <c r="H3694" s="19" t="n"/>
      <c r="J3694" s="16" t="n"/>
      <c r="K3694" s="19" t="n"/>
      <c r="M3694" s="16" t="n"/>
      <c r="N3694" s="19" t="n"/>
    </row>
    <row r="3695">
      <c r="A3695" s="16" t="n"/>
      <c r="B3695" s="19" t="n"/>
      <c r="D3695" s="16" t="n"/>
      <c r="E3695" s="19" t="n"/>
      <c r="G3695" s="16" t="n"/>
      <c r="H3695" s="19" t="n"/>
      <c r="J3695" s="16" t="n"/>
      <c r="K3695" s="19" t="n"/>
      <c r="M3695" s="16" t="n"/>
      <c r="N3695" s="19" t="n"/>
    </row>
    <row r="3696">
      <c r="A3696" s="16" t="n"/>
      <c r="B3696" s="19" t="n"/>
      <c r="D3696" s="16" t="n"/>
      <c r="E3696" s="19" t="n"/>
      <c r="G3696" s="16" t="n"/>
      <c r="H3696" s="19" t="n"/>
      <c r="J3696" s="16" t="n"/>
      <c r="K3696" s="19" t="n"/>
      <c r="M3696" s="16" t="n"/>
      <c r="N3696" s="19" t="n"/>
    </row>
    <row r="3697">
      <c r="A3697" s="16" t="n"/>
      <c r="B3697" s="19" t="n"/>
      <c r="D3697" s="16" t="n"/>
      <c r="E3697" s="19" t="n"/>
      <c r="G3697" s="16" t="n"/>
      <c r="H3697" s="19" t="n"/>
      <c r="J3697" s="16" t="n"/>
      <c r="K3697" s="19" t="n"/>
      <c r="M3697" s="16" t="n"/>
      <c r="N3697" s="19" t="n"/>
    </row>
    <row r="3698">
      <c r="A3698" s="16" t="n"/>
      <c r="B3698" s="19" t="n"/>
      <c r="D3698" s="16" t="n"/>
      <c r="E3698" s="19" t="n"/>
      <c r="G3698" s="16" t="n"/>
      <c r="H3698" s="19" t="n"/>
      <c r="J3698" s="16" t="n"/>
      <c r="K3698" s="19" t="n"/>
      <c r="M3698" s="16" t="n"/>
      <c r="N3698" s="19" t="n"/>
    </row>
    <row r="3699">
      <c r="A3699" s="16" t="n"/>
      <c r="B3699" s="19" t="n"/>
      <c r="D3699" s="16" t="n"/>
      <c r="E3699" s="19" t="n"/>
      <c r="G3699" s="16" t="n"/>
      <c r="H3699" s="19" t="n"/>
      <c r="J3699" s="16" t="n"/>
      <c r="K3699" s="19" t="n"/>
      <c r="M3699" s="16" t="n"/>
      <c r="N3699" s="19" t="n"/>
    </row>
    <row r="3700">
      <c r="A3700" s="16" t="n"/>
      <c r="B3700" s="19" t="n"/>
      <c r="D3700" s="16" t="n"/>
      <c r="E3700" s="19" t="n"/>
      <c r="G3700" s="16" t="n"/>
      <c r="H3700" s="19" t="n"/>
      <c r="J3700" s="16" t="n"/>
      <c r="K3700" s="19" t="n"/>
      <c r="M3700" s="16" t="n"/>
      <c r="N3700" s="19" t="n"/>
    </row>
    <row r="3701">
      <c r="A3701" s="16" t="n"/>
      <c r="B3701" s="19" t="n"/>
      <c r="D3701" s="16" t="n"/>
      <c r="E3701" s="19" t="n"/>
      <c r="G3701" s="16" t="n"/>
      <c r="H3701" s="19" t="n"/>
      <c r="J3701" s="16" t="n"/>
      <c r="K3701" s="19" t="n"/>
      <c r="M3701" s="16" t="n"/>
      <c r="N3701" s="19" t="n"/>
    </row>
    <row r="3702">
      <c r="A3702" s="16" t="n"/>
      <c r="B3702" s="19" t="n"/>
      <c r="D3702" s="16" t="n"/>
      <c r="E3702" s="19" t="n"/>
      <c r="G3702" s="16" t="n"/>
      <c r="H3702" s="19" t="n"/>
      <c r="J3702" s="16" t="n"/>
      <c r="K3702" s="19" t="n"/>
      <c r="M3702" s="16" t="n"/>
      <c r="N3702" s="19" t="n"/>
    </row>
    <row r="3703">
      <c r="A3703" s="16" t="n"/>
      <c r="B3703" s="19" t="n"/>
      <c r="D3703" s="16" t="n"/>
      <c r="E3703" s="19" t="n"/>
      <c r="G3703" s="16" t="n"/>
      <c r="H3703" s="19" t="n"/>
      <c r="J3703" s="16" t="n"/>
      <c r="K3703" s="19" t="n"/>
      <c r="M3703" s="16" t="n"/>
      <c r="N3703" s="19" t="n"/>
    </row>
    <row r="3704">
      <c r="A3704" s="16" t="n"/>
      <c r="B3704" s="19" t="n"/>
      <c r="D3704" s="16" t="n"/>
      <c r="E3704" s="19" t="n"/>
      <c r="G3704" s="16" t="n"/>
      <c r="H3704" s="19" t="n"/>
      <c r="J3704" s="16" t="n"/>
      <c r="K3704" s="19" t="n"/>
      <c r="M3704" s="16" t="n"/>
      <c r="N3704" s="19" t="n"/>
    </row>
    <row r="3705">
      <c r="A3705" s="16" t="n"/>
      <c r="B3705" s="19" t="n"/>
      <c r="D3705" s="16" t="n"/>
      <c r="E3705" s="19" t="n"/>
      <c r="G3705" s="16" t="n"/>
      <c r="H3705" s="19" t="n"/>
      <c r="J3705" s="16" t="n"/>
      <c r="K3705" s="19" t="n"/>
      <c r="M3705" s="16" t="n"/>
      <c r="N3705" s="19" t="n"/>
    </row>
    <row r="3706">
      <c r="A3706" s="16" t="n"/>
      <c r="B3706" s="19" t="n"/>
      <c r="D3706" s="16" t="n"/>
      <c r="E3706" s="19" t="n"/>
      <c r="G3706" s="16" t="n"/>
      <c r="H3706" s="19" t="n"/>
      <c r="J3706" s="16" t="n"/>
      <c r="K3706" s="19" t="n"/>
      <c r="M3706" s="16" t="n"/>
      <c r="N3706" s="19" t="n"/>
    </row>
    <row r="3707">
      <c r="A3707" s="16" t="n"/>
      <c r="B3707" s="19" t="n"/>
      <c r="D3707" s="16" t="n"/>
      <c r="E3707" s="19" t="n"/>
      <c r="G3707" s="16" t="n"/>
      <c r="H3707" s="19" t="n"/>
      <c r="J3707" s="16" t="n"/>
      <c r="K3707" s="19" t="n"/>
      <c r="M3707" s="16" t="n"/>
      <c r="N3707" s="19" t="n"/>
    </row>
    <row r="3708">
      <c r="A3708" s="16" t="n"/>
      <c r="B3708" s="19" t="n"/>
      <c r="D3708" s="16" t="n"/>
      <c r="E3708" s="19" t="n"/>
      <c r="G3708" s="16" t="n"/>
      <c r="H3708" s="19" t="n"/>
      <c r="J3708" s="16" t="n"/>
      <c r="K3708" s="19" t="n"/>
      <c r="M3708" s="16" t="n"/>
      <c r="N3708" s="19" t="n"/>
    </row>
    <row r="3709">
      <c r="A3709" s="16" t="n"/>
      <c r="B3709" s="19" t="n"/>
      <c r="D3709" s="16" t="n"/>
      <c r="E3709" s="19" t="n"/>
      <c r="G3709" s="16" t="n"/>
      <c r="H3709" s="19" t="n"/>
      <c r="J3709" s="16" t="n"/>
      <c r="K3709" s="19" t="n"/>
      <c r="M3709" s="16" t="n"/>
      <c r="N3709" s="19" t="n"/>
    </row>
    <row r="3710">
      <c r="A3710" s="16" t="n"/>
      <c r="B3710" s="19" t="n"/>
      <c r="D3710" s="16" t="n"/>
      <c r="E3710" s="19" t="n"/>
      <c r="G3710" s="16" t="n"/>
      <c r="H3710" s="19" t="n"/>
      <c r="J3710" s="16" t="n"/>
      <c r="K3710" s="19" t="n"/>
      <c r="M3710" s="16" t="n"/>
      <c r="N3710" s="19" t="n"/>
    </row>
    <row r="3711">
      <c r="A3711" s="16" t="n"/>
      <c r="B3711" s="19" t="n"/>
      <c r="D3711" s="16" t="n"/>
      <c r="E3711" s="19" t="n"/>
      <c r="G3711" s="16" t="n"/>
      <c r="H3711" s="19" t="n"/>
      <c r="J3711" s="16" t="n"/>
      <c r="K3711" s="19" t="n"/>
      <c r="M3711" s="16" t="n"/>
      <c r="N3711" s="19" t="n"/>
    </row>
    <row r="3712">
      <c r="A3712" s="16" t="n"/>
      <c r="B3712" s="19" t="n"/>
      <c r="D3712" s="16" t="n"/>
      <c r="E3712" s="19" t="n"/>
      <c r="G3712" s="16" t="n"/>
      <c r="H3712" s="19" t="n"/>
      <c r="J3712" s="16" t="n"/>
      <c r="K3712" s="19" t="n"/>
      <c r="M3712" s="16" t="n"/>
      <c r="N3712" s="19" t="n"/>
    </row>
    <row r="3713">
      <c r="A3713" s="16" t="n"/>
      <c r="B3713" s="19" t="n"/>
      <c r="D3713" s="16" t="n"/>
      <c r="E3713" s="19" t="n"/>
      <c r="G3713" s="16" t="n"/>
      <c r="H3713" s="19" t="n"/>
      <c r="J3713" s="16" t="n"/>
      <c r="K3713" s="19" t="n"/>
      <c r="M3713" s="16" t="n"/>
      <c r="N3713" s="19" t="n"/>
    </row>
    <row r="3714">
      <c r="A3714" s="16" t="n"/>
      <c r="B3714" s="19" t="n"/>
      <c r="D3714" s="16" t="n"/>
      <c r="E3714" s="19" t="n"/>
      <c r="G3714" s="16" t="n"/>
      <c r="H3714" s="19" t="n"/>
      <c r="J3714" s="16" t="n"/>
      <c r="K3714" s="19" t="n"/>
      <c r="M3714" s="16" t="n"/>
      <c r="N3714" s="19" t="n"/>
    </row>
    <row r="3715">
      <c r="A3715" s="16" t="n"/>
      <c r="B3715" s="19" t="n"/>
      <c r="D3715" s="16" t="n"/>
      <c r="E3715" s="19" t="n"/>
      <c r="G3715" s="16" t="n"/>
      <c r="H3715" s="19" t="n"/>
      <c r="J3715" s="16" t="n"/>
      <c r="K3715" s="19" t="n"/>
      <c r="M3715" s="16" t="n"/>
      <c r="N3715" s="19" t="n"/>
    </row>
    <row r="3716">
      <c r="A3716" s="16" t="n"/>
      <c r="B3716" s="19" t="n"/>
      <c r="D3716" s="16" t="n"/>
      <c r="E3716" s="19" t="n"/>
      <c r="G3716" s="16" t="n"/>
      <c r="H3716" s="19" t="n"/>
      <c r="J3716" s="16" t="n"/>
      <c r="K3716" s="19" t="n"/>
      <c r="M3716" s="16" t="n"/>
      <c r="N3716" s="19" t="n"/>
    </row>
    <row r="3717">
      <c r="A3717" s="16" t="n"/>
      <c r="B3717" s="19" t="n"/>
      <c r="D3717" s="16" t="n"/>
      <c r="E3717" s="19" t="n"/>
      <c r="G3717" s="16" t="n"/>
      <c r="H3717" s="19" t="n"/>
      <c r="J3717" s="16" t="n"/>
      <c r="K3717" s="19" t="n"/>
      <c r="M3717" s="16" t="n"/>
      <c r="N3717" s="19" t="n"/>
    </row>
    <row r="3718">
      <c r="A3718" s="16" t="n"/>
      <c r="B3718" s="19" t="n"/>
      <c r="D3718" s="16" t="n"/>
      <c r="E3718" s="19" t="n"/>
      <c r="G3718" s="16" t="n"/>
      <c r="H3718" s="19" t="n"/>
      <c r="J3718" s="16" t="n"/>
      <c r="K3718" s="19" t="n"/>
      <c r="M3718" s="16" t="n"/>
      <c r="N3718" s="19" t="n"/>
    </row>
    <row r="3719">
      <c r="A3719" s="16" t="n"/>
      <c r="B3719" s="19" t="n"/>
      <c r="D3719" s="16" t="n"/>
      <c r="E3719" s="19" t="n"/>
      <c r="G3719" s="16" t="n"/>
      <c r="H3719" s="19" t="n"/>
      <c r="J3719" s="16" t="n"/>
      <c r="K3719" s="19" t="n"/>
      <c r="M3719" s="16" t="n"/>
      <c r="N3719" s="19" t="n"/>
    </row>
    <row r="3720">
      <c r="A3720" s="16" t="n"/>
      <c r="B3720" s="19" t="n"/>
      <c r="D3720" s="16" t="n"/>
      <c r="E3720" s="19" t="n"/>
      <c r="G3720" s="16" t="n"/>
      <c r="H3720" s="19" t="n"/>
      <c r="J3720" s="16" t="n"/>
      <c r="K3720" s="19" t="n"/>
      <c r="M3720" s="16" t="n"/>
      <c r="N3720" s="19" t="n"/>
    </row>
    <row r="3721">
      <c r="A3721" s="16" t="n"/>
      <c r="B3721" s="19" t="n"/>
      <c r="D3721" s="16" t="n"/>
      <c r="E3721" s="19" t="n"/>
      <c r="G3721" s="16" t="n"/>
      <c r="H3721" s="19" t="n"/>
      <c r="J3721" s="16" t="n"/>
      <c r="K3721" s="19" t="n"/>
      <c r="M3721" s="16" t="n"/>
      <c r="N3721" s="19" t="n"/>
    </row>
    <row r="3722">
      <c r="A3722" s="16" t="n"/>
      <c r="B3722" s="19" t="n"/>
      <c r="D3722" s="16" t="n"/>
      <c r="E3722" s="19" t="n"/>
      <c r="G3722" s="16" t="n"/>
      <c r="H3722" s="19" t="n"/>
      <c r="J3722" s="16" t="n"/>
      <c r="K3722" s="19" t="n"/>
      <c r="M3722" s="16" t="n"/>
      <c r="N3722" s="19" t="n"/>
    </row>
    <row r="3723">
      <c r="A3723" s="16" t="n"/>
      <c r="B3723" s="19" t="n"/>
      <c r="D3723" s="16" t="n"/>
      <c r="E3723" s="19" t="n"/>
      <c r="G3723" s="16" t="n"/>
      <c r="H3723" s="19" t="n"/>
      <c r="J3723" s="16" t="n"/>
      <c r="K3723" s="19" t="n"/>
      <c r="M3723" s="16" t="n"/>
      <c r="N3723" s="19" t="n"/>
    </row>
    <row r="3724">
      <c r="A3724" s="16" t="n"/>
      <c r="B3724" s="19" t="n"/>
      <c r="D3724" s="16" t="n"/>
      <c r="E3724" s="19" t="n"/>
      <c r="G3724" s="16" t="n"/>
      <c r="H3724" s="19" t="n"/>
      <c r="J3724" s="16" t="n"/>
      <c r="K3724" s="19" t="n"/>
      <c r="M3724" s="16" t="n"/>
      <c r="N3724" s="19" t="n"/>
    </row>
    <row r="3725">
      <c r="A3725" s="16" t="n"/>
      <c r="B3725" s="19" t="n"/>
      <c r="D3725" s="16" t="n"/>
      <c r="E3725" s="19" t="n"/>
      <c r="G3725" s="16" t="n"/>
      <c r="H3725" s="19" t="n"/>
      <c r="J3725" s="16" t="n"/>
      <c r="K3725" s="19" t="n"/>
      <c r="M3725" s="16" t="n"/>
      <c r="N3725" s="19" t="n"/>
    </row>
    <row r="3726">
      <c r="A3726" s="16" t="n"/>
      <c r="B3726" s="19" t="n"/>
      <c r="D3726" s="16" t="n"/>
      <c r="E3726" s="19" t="n"/>
      <c r="G3726" s="16" t="n"/>
      <c r="H3726" s="19" t="n"/>
      <c r="J3726" s="16" t="n"/>
      <c r="K3726" s="19" t="n"/>
      <c r="M3726" s="16" t="n"/>
      <c r="N3726" s="19" t="n"/>
    </row>
    <row r="3727">
      <c r="A3727" s="16" t="n"/>
      <c r="B3727" s="19" t="n"/>
      <c r="D3727" s="16" t="n"/>
      <c r="E3727" s="19" t="n"/>
      <c r="G3727" s="16" t="n"/>
      <c r="H3727" s="19" t="n"/>
      <c r="J3727" s="16" t="n"/>
      <c r="K3727" s="19" t="n"/>
      <c r="M3727" s="16" t="n"/>
      <c r="N3727" s="19" t="n"/>
    </row>
    <row r="3728">
      <c r="A3728" s="16" t="n"/>
      <c r="B3728" s="19" t="n"/>
      <c r="D3728" s="16" t="n"/>
      <c r="E3728" s="19" t="n"/>
      <c r="G3728" s="16" t="n"/>
      <c r="H3728" s="19" t="n"/>
      <c r="J3728" s="16" t="n"/>
      <c r="K3728" s="19" t="n"/>
      <c r="M3728" s="16" t="n"/>
      <c r="N3728" s="19" t="n"/>
    </row>
    <row r="3729">
      <c r="A3729" s="16" t="n"/>
      <c r="B3729" s="19" t="n"/>
      <c r="D3729" s="16" t="n"/>
      <c r="E3729" s="19" t="n"/>
      <c r="G3729" s="16" t="n"/>
      <c r="H3729" s="19" t="n"/>
      <c r="J3729" s="16" t="n"/>
      <c r="K3729" s="19" t="n"/>
      <c r="M3729" s="16" t="n"/>
      <c r="N3729" s="19" t="n"/>
    </row>
    <row r="3730">
      <c r="A3730" s="16" t="n"/>
      <c r="B3730" s="19" t="n"/>
      <c r="D3730" s="16" t="n"/>
      <c r="E3730" s="19" t="n"/>
      <c r="G3730" s="16" t="n"/>
      <c r="H3730" s="19" t="n"/>
      <c r="J3730" s="16" t="n"/>
      <c r="K3730" s="19" t="n"/>
      <c r="M3730" s="16" t="n"/>
      <c r="N3730" s="19" t="n"/>
    </row>
    <row r="3731">
      <c r="A3731" s="16" t="n"/>
      <c r="B3731" s="19" t="n"/>
      <c r="D3731" s="16" t="n"/>
      <c r="E3731" s="19" t="n"/>
      <c r="G3731" s="16" t="n"/>
      <c r="H3731" s="19" t="n"/>
      <c r="J3731" s="16" t="n"/>
      <c r="K3731" s="19" t="n"/>
      <c r="M3731" s="16" t="n"/>
      <c r="N3731" s="19" t="n"/>
    </row>
    <row r="3732">
      <c r="A3732" s="16" t="n"/>
      <c r="B3732" s="19" t="n"/>
      <c r="D3732" s="16" t="n"/>
      <c r="E3732" s="19" t="n"/>
      <c r="G3732" s="16" t="n"/>
      <c r="H3732" s="19" t="n"/>
      <c r="J3732" s="16" t="n"/>
      <c r="K3732" s="19" t="n"/>
      <c r="M3732" s="16" t="n"/>
      <c r="N3732" s="19" t="n"/>
    </row>
    <row r="3733">
      <c r="A3733" s="16" t="n"/>
      <c r="B3733" s="19" t="n"/>
      <c r="D3733" s="16" t="n"/>
      <c r="E3733" s="19" t="n"/>
      <c r="G3733" s="16" t="n"/>
      <c r="H3733" s="19" t="n"/>
      <c r="J3733" s="16" t="n"/>
      <c r="K3733" s="19" t="n"/>
      <c r="M3733" s="16" t="n"/>
      <c r="N3733" s="19" t="n"/>
    </row>
    <row r="3734">
      <c r="A3734" s="16" t="n"/>
      <c r="B3734" s="19" t="n"/>
      <c r="D3734" s="16" t="n"/>
      <c r="E3734" s="19" t="n"/>
      <c r="G3734" s="16" t="n"/>
      <c r="H3734" s="19" t="n"/>
      <c r="J3734" s="16" t="n"/>
      <c r="K3734" s="19" t="n"/>
      <c r="M3734" s="16" t="n"/>
      <c r="N3734" s="19" t="n"/>
    </row>
    <row r="3735">
      <c r="A3735" s="16" t="n"/>
      <c r="B3735" s="19" t="n"/>
      <c r="D3735" s="16" t="n"/>
      <c r="E3735" s="19" t="n"/>
      <c r="G3735" s="16" t="n"/>
      <c r="H3735" s="19" t="n"/>
      <c r="J3735" s="16" t="n"/>
      <c r="K3735" s="19" t="n"/>
      <c r="M3735" s="16" t="n"/>
      <c r="N3735" s="19" t="n"/>
    </row>
    <row r="3736">
      <c r="A3736" s="16" t="n"/>
      <c r="B3736" s="19" t="n"/>
      <c r="D3736" s="16" t="n"/>
      <c r="E3736" s="19" t="n"/>
      <c r="G3736" s="16" t="n"/>
      <c r="H3736" s="19" t="n"/>
      <c r="J3736" s="16" t="n"/>
      <c r="K3736" s="19" t="n"/>
      <c r="M3736" s="16" t="n"/>
      <c r="N3736" s="19" t="n"/>
    </row>
    <row r="3737">
      <c r="A3737" s="16" t="n"/>
      <c r="B3737" s="19" t="n"/>
      <c r="D3737" s="16" t="n"/>
      <c r="E3737" s="19" t="n"/>
      <c r="G3737" s="16" t="n"/>
      <c r="H3737" s="19" t="n"/>
      <c r="J3737" s="16" t="n"/>
      <c r="K3737" s="19" t="n"/>
      <c r="M3737" s="16" t="n"/>
      <c r="N3737" s="19" t="n"/>
    </row>
    <row r="3738">
      <c r="A3738" s="16" t="n"/>
      <c r="B3738" s="19" t="n"/>
      <c r="D3738" s="16" t="n"/>
      <c r="E3738" s="19" t="n"/>
      <c r="G3738" s="16" t="n"/>
      <c r="H3738" s="19" t="n"/>
      <c r="J3738" s="16" t="n"/>
      <c r="K3738" s="19" t="n"/>
      <c r="M3738" s="16" t="n"/>
      <c r="N3738" s="19" t="n"/>
    </row>
    <row r="3739">
      <c r="A3739" s="16" t="n"/>
      <c r="B3739" s="19" t="n"/>
      <c r="D3739" s="16" t="n"/>
      <c r="E3739" s="19" t="n"/>
      <c r="G3739" s="16" t="n"/>
      <c r="H3739" s="19" t="n"/>
      <c r="J3739" s="16" t="n"/>
      <c r="K3739" s="19" t="n"/>
      <c r="M3739" s="16" t="n"/>
      <c r="N3739" s="19" t="n"/>
    </row>
    <row r="3740">
      <c r="A3740" s="16" t="n"/>
      <c r="B3740" s="19" t="n"/>
      <c r="D3740" s="16" t="n"/>
      <c r="E3740" s="19" t="n"/>
      <c r="G3740" s="16" t="n"/>
      <c r="H3740" s="19" t="n"/>
      <c r="J3740" s="16" t="n"/>
      <c r="K3740" s="19" t="n"/>
      <c r="M3740" s="16" t="n"/>
      <c r="N3740" s="19" t="n"/>
    </row>
    <row r="3741">
      <c r="A3741" s="16" t="n"/>
      <c r="B3741" s="19" t="n"/>
      <c r="D3741" s="16" t="n"/>
      <c r="E3741" s="19" t="n"/>
      <c r="G3741" s="16" t="n"/>
      <c r="H3741" s="19" t="n"/>
      <c r="J3741" s="16" t="n"/>
      <c r="K3741" s="19" t="n"/>
      <c r="M3741" s="16" t="n"/>
      <c r="N3741" s="19" t="n"/>
    </row>
    <row r="3742">
      <c r="A3742" s="16" t="n"/>
      <c r="B3742" s="19" t="n"/>
      <c r="D3742" s="16" t="n"/>
      <c r="E3742" s="19" t="n"/>
      <c r="G3742" s="16" t="n"/>
      <c r="H3742" s="19" t="n"/>
      <c r="J3742" s="16" t="n"/>
      <c r="K3742" s="19" t="n"/>
      <c r="M3742" s="16" t="n"/>
      <c r="N3742" s="19" t="n"/>
    </row>
    <row r="3743">
      <c r="A3743" s="16" t="n"/>
      <c r="B3743" s="19" t="n"/>
      <c r="D3743" s="16" t="n"/>
      <c r="E3743" s="19" t="n"/>
      <c r="G3743" s="16" t="n"/>
      <c r="H3743" s="19" t="n"/>
      <c r="J3743" s="16" t="n"/>
      <c r="K3743" s="19" t="n"/>
      <c r="M3743" s="16" t="n"/>
      <c r="N3743" s="19" t="n"/>
    </row>
    <row r="3744">
      <c r="A3744" s="16" t="n"/>
      <c r="B3744" s="19" t="n"/>
      <c r="D3744" s="16" t="n"/>
      <c r="E3744" s="19" t="n"/>
      <c r="G3744" s="16" t="n"/>
      <c r="H3744" s="19" t="n"/>
      <c r="J3744" s="16" t="n"/>
      <c r="K3744" s="19" t="n"/>
      <c r="M3744" s="16" t="n"/>
      <c r="N3744" s="19" t="n"/>
    </row>
    <row r="3745">
      <c r="A3745" s="16" t="n"/>
      <c r="B3745" s="19" t="n"/>
      <c r="D3745" s="16" t="n"/>
      <c r="E3745" s="19" t="n"/>
      <c r="G3745" s="16" t="n"/>
      <c r="H3745" s="19" t="n"/>
      <c r="J3745" s="16" t="n"/>
      <c r="K3745" s="19" t="n"/>
      <c r="M3745" s="16" t="n"/>
      <c r="N3745" s="19" t="n"/>
    </row>
    <row r="3746">
      <c r="A3746" s="16" t="n"/>
      <c r="B3746" s="19" t="n"/>
      <c r="D3746" s="16" t="n"/>
      <c r="E3746" s="19" t="n"/>
      <c r="G3746" s="16" t="n"/>
      <c r="H3746" s="19" t="n"/>
      <c r="J3746" s="16" t="n"/>
      <c r="K3746" s="19" t="n"/>
      <c r="M3746" s="16" t="n"/>
      <c r="N3746" s="19" t="n"/>
    </row>
    <row r="3747">
      <c r="A3747" s="16" t="n"/>
      <c r="B3747" s="19" t="n"/>
      <c r="D3747" s="16" t="n"/>
      <c r="E3747" s="19" t="n"/>
      <c r="G3747" s="16" t="n"/>
      <c r="H3747" s="19" t="n"/>
      <c r="J3747" s="16" t="n"/>
      <c r="K3747" s="19" t="n"/>
      <c r="M3747" s="16" t="n"/>
      <c r="N3747" s="19" t="n"/>
    </row>
    <row r="3748">
      <c r="A3748" s="16" t="n"/>
      <c r="B3748" s="19" t="n"/>
      <c r="D3748" s="16" t="n"/>
      <c r="E3748" s="19" t="n"/>
      <c r="G3748" s="16" t="n"/>
      <c r="H3748" s="19" t="n"/>
      <c r="J3748" s="16" t="n"/>
      <c r="K3748" s="19" t="n"/>
      <c r="M3748" s="16" t="n"/>
      <c r="N3748" s="19" t="n"/>
    </row>
    <row r="3749">
      <c r="A3749" s="16" t="n"/>
      <c r="B3749" s="19" t="n"/>
      <c r="D3749" s="16" t="n"/>
      <c r="E3749" s="19" t="n"/>
      <c r="G3749" s="16" t="n"/>
      <c r="H3749" s="19" t="n"/>
      <c r="J3749" s="16" t="n"/>
      <c r="K3749" s="19" t="n"/>
      <c r="M3749" s="16" t="n"/>
      <c r="N3749" s="19" t="n"/>
    </row>
    <row r="3750">
      <c r="A3750" s="16" t="n"/>
      <c r="B3750" s="19" t="n"/>
      <c r="D3750" s="16" t="n"/>
      <c r="E3750" s="19" t="n"/>
      <c r="G3750" s="16" t="n"/>
      <c r="H3750" s="19" t="n"/>
      <c r="J3750" s="16" t="n"/>
      <c r="K3750" s="19" t="n"/>
      <c r="M3750" s="16" t="n"/>
      <c r="N3750" s="19" t="n"/>
    </row>
    <row r="3751">
      <c r="A3751" s="16" t="n"/>
      <c r="B3751" s="19" t="n"/>
      <c r="D3751" s="16" t="n"/>
      <c r="E3751" s="19" t="n"/>
      <c r="G3751" s="16" t="n"/>
      <c r="H3751" s="19" t="n"/>
      <c r="J3751" s="16" t="n"/>
      <c r="K3751" s="19" t="n"/>
      <c r="M3751" s="16" t="n"/>
      <c r="N3751" s="19" t="n"/>
    </row>
    <row r="3752">
      <c r="A3752" s="16" t="n"/>
      <c r="B3752" s="19" t="n"/>
      <c r="D3752" s="16" t="n"/>
      <c r="E3752" s="19" t="n"/>
      <c r="G3752" s="16" t="n"/>
      <c r="H3752" s="19" t="n"/>
      <c r="J3752" s="16" t="n"/>
      <c r="K3752" s="19" t="n"/>
      <c r="M3752" s="16" t="n"/>
      <c r="N3752" s="19" t="n"/>
    </row>
    <row r="3753">
      <c r="A3753" s="16" t="n"/>
      <c r="B3753" s="19" t="n"/>
      <c r="D3753" s="16" t="n"/>
      <c r="E3753" s="19" t="n"/>
      <c r="G3753" s="16" t="n"/>
      <c r="H3753" s="19" t="n"/>
      <c r="J3753" s="16" t="n"/>
      <c r="K3753" s="19" t="n"/>
      <c r="M3753" s="16" t="n"/>
      <c r="N3753" s="19" t="n"/>
    </row>
    <row r="3754">
      <c r="A3754" s="16" t="n"/>
      <c r="B3754" s="19" t="n"/>
      <c r="D3754" s="16" t="n"/>
      <c r="E3754" s="19" t="n"/>
      <c r="G3754" s="16" t="n"/>
      <c r="H3754" s="19" t="n"/>
      <c r="J3754" s="16" t="n"/>
      <c r="K3754" s="19" t="n"/>
      <c r="M3754" s="16" t="n"/>
      <c r="N3754" s="19" t="n"/>
    </row>
    <row r="3755">
      <c r="A3755" s="16" t="n"/>
      <c r="B3755" s="19" t="n"/>
      <c r="D3755" s="16" t="n"/>
      <c r="E3755" s="19" t="n"/>
      <c r="G3755" s="16" t="n"/>
      <c r="H3755" s="19" t="n"/>
      <c r="J3755" s="16" t="n"/>
      <c r="K3755" s="19" t="n"/>
      <c r="M3755" s="16" t="n"/>
      <c r="N3755" s="19" t="n"/>
    </row>
    <row r="3756">
      <c r="A3756" s="16" t="n"/>
      <c r="B3756" s="19" t="n"/>
      <c r="D3756" s="16" t="n"/>
      <c r="E3756" s="19" t="n"/>
      <c r="G3756" s="16" t="n"/>
      <c r="H3756" s="19" t="n"/>
      <c r="J3756" s="16" t="n"/>
      <c r="K3756" s="19" t="n"/>
      <c r="M3756" s="16" t="n"/>
      <c r="N3756" s="19" t="n"/>
    </row>
    <row r="3757">
      <c r="A3757" s="16" t="n"/>
      <c r="B3757" s="19" t="n"/>
      <c r="D3757" s="16" t="n"/>
      <c r="E3757" s="19" t="n"/>
      <c r="G3757" s="16" t="n"/>
      <c r="H3757" s="19" t="n"/>
      <c r="J3757" s="16" t="n"/>
      <c r="K3757" s="19" t="n"/>
      <c r="M3757" s="16" t="n"/>
      <c r="N3757" s="19" t="n"/>
    </row>
    <row r="3758">
      <c r="A3758" s="16" t="n"/>
      <c r="B3758" s="19" t="n"/>
      <c r="D3758" s="16" t="n"/>
      <c r="E3758" s="19" t="n"/>
      <c r="G3758" s="16" t="n"/>
      <c r="H3758" s="19" t="n"/>
      <c r="J3758" s="16" t="n"/>
      <c r="K3758" s="19" t="n"/>
      <c r="M3758" s="16" t="n"/>
      <c r="N3758" s="19" t="n"/>
    </row>
    <row r="3759">
      <c r="A3759" s="16" t="n"/>
      <c r="B3759" s="19" t="n"/>
      <c r="D3759" s="16" t="n"/>
      <c r="E3759" s="19" t="n"/>
      <c r="G3759" s="16" t="n"/>
      <c r="H3759" s="19" t="n"/>
      <c r="J3759" s="16" t="n"/>
      <c r="K3759" s="19" t="n"/>
      <c r="M3759" s="16" t="n"/>
      <c r="N3759" s="19" t="n"/>
    </row>
    <row r="3760">
      <c r="A3760" s="16" t="n"/>
      <c r="B3760" s="19" t="n"/>
      <c r="D3760" s="16" t="n"/>
      <c r="E3760" s="19" t="n"/>
      <c r="G3760" s="16" t="n"/>
      <c r="H3760" s="19" t="n"/>
      <c r="J3760" s="16" t="n"/>
      <c r="K3760" s="19" t="n"/>
      <c r="M3760" s="16" t="n"/>
      <c r="N3760" s="19" t="n"/>
    </row>
    <row r="3761">
      <c r="A3761" s="16" t="n"/>
      <c r="B3761" s="19" t="n"/>
      <c r="D3761" s="16" t="n"/>
      <c r="E3761" s="19" t="n"/>
      <c r="G3761" s="16" t="n"/>
      <c r="H3761" s="19" t="n"/>
      <c r="J3761" s="16" t="n"/>
      <c r="K3761" s="19" t="n"/>
      <c r="M3761" s="16" t="n"/>
      <c r="N3761" s="19" t="n"/>
    </row>
    <row r="3762">
      <c r="A3762" s="16" t="n"/>
      <c r="B3762" s="19" t="n"/>
      <c r="D3762" s="16" t="n"/>
      <c r="E3762" s="19" t="n"/>
      <c r="G3762" s="16" t="n"/>
      <c r="H3762" s="19" t="n"/>
      <c r="J3762" s="16" t="n"/>
      <c r="K3762" s="19" t="n"/>
      <c r="M3762" s="16" t="n"/>
      <c r="N3762" s="19" t="n"/>
    </row>
    <row r="3763">
      <c r="A3763" s="16" t="n"/>
      <c r="B3763" s="19" t="n"/>
      <c r="D3763" s="16" t="n"/>
      <c r="E3763" s="19" t="n"/>
      <c r="G3763" s="16" t="n"/>
      <c r="H3763" s="19" t="n"/>
      <c r="J3763" s="16" t="n"/>
      <c r="K3763" s="19" t="n"/>
      <c r="M3763" s="16" t="n"/>
      <c r="N3763" s="19" t="n"/>
    </row>
    <row r="3764">
      <c r="A3764" s="16" t="n"/>
      <c r="B3764" s="19" t="n"/>
      <c r="D3764" s="16" t="n"/>
      <c r="E3764" s="19" t="n"/>
      <c r="G3764" s="16" t="n"/>
      <c r="H3764" s="19" t="n"/>
      <c r="J3764" s="16" t="n"/>
      <c r="K3764" s="19" t="n"/>
      <c r="M3764" s="16" t="n"/>
      <c r="N3764" s="19" t="n"/>
    </row>
    <row r="3765">
      <c r="A3765" s="16" t="n"/>
      <c r="B3765" s="19" t="n"/>
      <c r="D3765" s="16" t="n"/>
      <c r="E3765" s="19" t="n"/>
      <c r="G3765" s="16" t="n"/>
      <c r="H3765" s="19" t="n"/>
      <c r="J3765" s="16" t="n"/>
      <c r="K3765" s="19" t="n"/>
      <c r="M3765" s="16" t="n"/>
      <c r="N3765" s="19" t="n"/>
    </row>
    <row r="3766">
      <c r="A3766" s="16" t="n"/>
      <c r="B3766" s="19" t="n"/>
      <c r="D3766" s="16" t="n"/>
      <c r="E3766" s="19" t="n"/>
      <c r="G3766" s="16" t="n"/>
      <c r="H3766" s="19" t="n"/>
      <c r="J3766" s="16" t="n"/>
      <c r="K3766" s="19" t="n"/>
      <c r="M3766" s="16" t="n"/>
      <c r="N3766" s="19" t="n"/>
    </row>
    <row r="3767">
      <c r="A3767" s="16" t="n"/>
      <c r="B3767" s="19" t="n"/>
      <c r="D3767" s="16" t="n"/>
      <c r="E3767" s="19" t="n"/>
      <c r="G3767" s="16" t="n"/>
      <c r="H3767" s="19" t="n"/>
      <c r="J3767" s="16" t="n"/>
      <c r="K3767" s="19" t="n"/>
      <c r="M3767" s="16" t="n"/>
      <c r="N3767" s="19" t="n"/>
    </row>
    <row r="3768">
      <c r="A3768" s="16" t="n"/>
      <c r="B3768" s="19" t="n"/>
      <c r="D3768" s="16" t="n"/>
      <c r="E3768" s="19" t="n"/>
      <c r="G3768" s="16" t="n"/>
      <c r="H3768" s="19" t="n"/>
      <c r="J3768" s="16" t="n"/>
      <c r="K3768" s="19" t="n"/>
      <c r="M3768" s="16" t="n"/>
      <c r="N3768" s="19" t="n"/>
    </row>
    <row r="3769">
      <c r="A3769" s="16" t="n"/>
      <c r="B3769" s="19" t="n"/>
      <c r="D3769" s="16" t="n"/>
      <c r="E3769" s="19" t="n"/>
      <c r="G3769" s="16" t="n"/>
      <c r="H3769" s="19" t="n"/>
      <c r="J3769" s="16" t="n"/>
      <c r="K3769" s="19" t="n"/>
      <c r="M3769" s="16" t="n"/>
      <c r="N3769" s="19" t="n"/>
    </row>
    <row r="3770">
      <c r="A3770" s="16" t="n"/>
      <c r="B3770" s="19" t="n"/>
      <c r="D3770" s="16" t="n"/>
      <c r="E3770" s="19" t="n"/>
      <c r="G3770" s="16" t="n"/>
      <c r="H3770" s="19" t="n"/>
      <c r="J3770" s="16" t="n"/>
      <c r="K3770" s="19" t="n"/>
      <c r="M3770" s="16" t="n"/>
      <c r="N3770" s="19" t="n"/>
    </row>
    <row r="3771">
      <c r="A3771" s="16" t="n"/>
      <c r="B3771" s="19" t="n"/>
      <c r="D3771" s="16" t="n"/>
      <c r="E3771" s="19" t="n"/>
      <c r="G3771" s="16" t="n"/>
      <c r="H3771" s="19" t="n"/>
      <c r="J3771" s="16" t="n"/>
      <c r="K3771" s="19" t="n"/>
      <c r="M3771" s="16" t="n"/>
      <c r="N3771" s="19" t="n"/>
    </row>
    <row r="3772">
      <c r="A3772" s="16" t="n"/>
      <c r="B3772" s="19" t="n"/>
      <c r="D3772" s="16" t="n"/>
      <c r="E3772" s="19" t="n"/>
      <c r="G3772" s="16" t="n"/>
      <c r="H3772" s="19" t="n"/>
      <c r="J3772" s="16" t="n"/>
      <c r="K3772" s="19" t="n"/>
      <c r="M3772" s="16" t="n"/>
      <c r="N3772" s="19" t="n"/>
    </row>
    <row r="3773">
      <c r="A3773" s="16" t="n"/>
      <c r="B3773" s="19" t="n"/>
      <c r="D3773" s="16" t="n"/>
      <c r="E3773" s="19" t="n"/>
      <c r="G3773" s="16" t="n"/>
      <c r="H3773" s="19" t="n"/>
      <c r="J3773" s="16" t="n"/>
      <c r="K3773" s="19" t="n"/>
      <c r="M3773" s="16" t="n"/>
      <c r="N3773" s="19" t="n"/>
    </row>
    <row r="3774">
      <c r="A3774" s="16" t="n"/>
      <c r="B3774" s="19" t="n"/>
      <c r="D3774" s="16" t="n"/>
      <c r="E3774" s="19" t="n"/>
      <c r="G3774" s="16" t="n"/>
      <c r="H3774" s="19" t="n"/>
      <c r="J3774" s="16" t="n"/>
      <c r="K3774" s="19" t="n"/>
      <c r="M3774" s="16" t="n"/>
      <c r="N3774" s="19" t="n"/>
    </row>
    <row r="3775">
      <c r="A3775" s="16" t="n"/>
      <c r="B3775" s="19" t="n"/>
      <c r="D3775" s="16" t="n"/>
      <c r="E3775" s="19" t="n"/>
      <c r="G3775" s="16" t="n"/>
      <c r="H3775" s="19" t="n"/>
      <c r="J3775" s="16" t="n"/>
      <c r="K3775" s="19" t="n"/>
      <c r="M3775" s="16" t="n"/>
      <c r="N3775" s="19" t="n"/>
    </row>
    <row r="3776">
      <c r="A3776" s="16" t="n"/>
      <c r="B3776" s="19" t="n"/>
      <c r="D3776" s="16" t="n"/>
      <c r="E3776" s="19" t="n"/>
      <c r="G3776" s="16" t="n"/>
      <c r="H3776" s="19" t="n"/>
      <c r="J3776" s="16" t="n"/>
      <c r="K3776" s="19" t="n"/>
      <c r="M3776" s="16" t="n"/>
      <c r="N3776" s="19" t="n"/>
    </row>
    <row r="3777">
      <c r="A3777" s="16" t="n"/>
      <c r="B3777" s="19" t="n"/>
      <c r="D3777" s="16" t="n"/>
      <c r="E3777" s="19" t="n"/>
      <c r="G3777" s="16" t="n"/>
      <c r="H3777" s="19" t="n"/>
      <c r="J3777" s="16" t="n"/>
      <c r="K3777" s="19" t="n"/>
      <c r="M3777" s="16" t="n"/>
      <c r="N3777" s="19" t="n"/>
    </row>
    <row r="3778">
      <c r="A3778" s="16" t="n"/>
      <c r="B3778" s="19" t="n"/>
      <c r="D3778" s="16" t="n"/>
      <c r="E3778" s="19" t="n"/>
      <c r="G3778" s="16" t="n"/>
      <c r="H3778" s="19" t="n"/>
      <c r="J3778" s="16" t="n"/>
      <c r="K3778" s="19" t="n"/>
      <c r="M3778" s="16" t="n"/>
      <c r="N3778" s="19" t="n"/>
    </row>
    <row r="3779">
      <c r="A3779" s="16" t="n"/>
      <c r="B3779" s="19" t="n"/>
      <c r="D3779" s="16" t="n"/>
      <c r="E3779" s="19" t="n"/>
      <c r="G3779" s="16" t="n"/>
      <c r="H3779" s="19" t="n"/>
      <c r="J3779" s="16" t="n"/>
      <c r="K3779" s="19" t="n"/>
      <c r="M3779" s="16" t="n"/>
      <c r="N3779" s="19" t="n"/>
    </row>
    <row r="3780">
      <c r="A3780" s="16" t="n"/>
      <c r="B3780" s="19" t="n"/>
      <c r="D3780" s="16" t="n"/>
      <c r="E3780" s="19" t="n"/>
      <c r="G3780" s="16" t="n"/>
      <c r="H3780" s="19" t="n"/>
      <c r="J3780" s="16" t="n"/>
      <c r="K3780" s="19" t="n"/>
      <c r="M3780" s="16" t="n"/>
      <c r="N3780" s="19" t="n"/>
    </row>
    <row r="3781">
      <c r="A3781" s="16" t="n"/>
      <c r="B3781" s="19" t="n"/>
      <c r="D3781" s="16" t="n"/>
      <c r="E3781" s="19" t="n"/>
      <c r="G3781" s="16" t="n"/>
      <c r="H3781" s="19" t="n"/>
      <c r="J3781" s="16" t="n"/>
      <c r="K3781" s="19" t="n"/>
      <c r="M3781" s="16" t="n"/>
      <c r="N3781" s="19" t="n"/>
    </row>
    <row r="3782">
      <c r="A3782" s="16" t="n"/>
      <c r="B3782" s="19" t="n"/>
      <c r="D3782" s="16" t="n"/>
      <c r="E3782" s="19" t="n"/>
      <c r="G3782" s="16" t="n"/>
      <c r="H3782" s="19" t="n"/>
      <c r="J3782" s="16" t="n"/>
      <c r="K3782" s="19" t="n"/>
      <c r="M3782" s="16" t="n"/>
      <c r="N3782" s="19" t="n"/>
    </row>
    <row r="3783">
      <c r="A3783" s="16" t="n"/>
      <c r="B3783" s="19" t="n"/>
      <c r="D3783" s="16" t="n"/>
      <c r="E3783" s="19" t="n"/>
      <c r="G3783" s="16" t="n"/>
      <c r="H3783" s="19" t="n"/>
      <c r="J3783" s="16" t="n"/>
      <c r="K3783" s="19" t="n"/>
      <c r="M3783" s="16" t="n"/>
      <c r="N3783" s="19" t="n"/>
    </row>
    <row r="3784">
      <c r="A3784" s="16" t="n"/>
      <c r="B3784" s="19" t="n"/>
      <c r="D3784" s="16" t="n"/>
      <c r="E3784" s="19" t="n"/>
      <c r="G3784" s="16" t="n"/>
      <c r="H3784" s="19" t="n"/>
      <c r="J3784" s="16" t="n"/>
      <c r="K3784" s="19" t="n"/>
      <c r="M3784" s="16" t="n"/>
      <c r="N3784" s="19" t="n"/>
    </row>
    <row r="3785">
      <c r="A3785" s="16" t="n"/>
      <c r="B3785" s="19" t="n"/>
      <c r="D3785" s="16" t="n"/>
      <c r="E3785" s="19" t="n"/>
      <c r="G3785" s="16" t="n"/>
      <c r="H3785" s="19" t="n"/>
      <c r="J3785" s="16" t="n"/>
      <c r="K3785" s="19" t="n"/>
      <c r="M3785" s="16" t="n"/>
      <c r="N3785" s="19" t="n"/>
    </row>
    <row r="3786">
      <c r="A3786" s="16" t="n"/>
      <c r="B3786" s="19" t="n"/>
      <c r="D3786" s="16" t="n"/>
      <c r="E3786" s="19" t="n"/>
      <c r="G3786" s="16" t="n"/>
      <c r="H3786" s="19" t="n"/>
      <c r="J3786" s="16" t="n"/>
      <c r="K3786" s="19" t="n"/>
      <c r="M3786" s="16" t="n"/>
      <c r="N3786" s="19" t="n"/>
    </row>
    <row r="3787">
      <c r="A3787" s="16" t="n"/>
      <c r="B3787" s="19" t="n"/>
      <c r="D3787" s="16" t="n"/>
      <c r="E3787" s="19" t="n"/>
      <c r="G3787" s="16" t="n"/>
      <c r="H3787" s="19" t="n"/>
      <c r="J3787" s="16" t="n"/>
      <c r="K3787" s="19" t="n"/>
      <c r="M3787" s="16" t="n"/>
      <c r="N3787" s="19" t="n"/>
    </row>
    <row r="3788">
      <c r="A3788" s="16" t="n"/>
      <c r="B3788" s="19" t="n"/>
      <c r="D3788" s="16" t="n"/>
      <c r="E3788" s="19" t="n"/>
      <c r="G3788" s="16" t="n"/>
      <c r="H3788" s="19" t="n"/>
      <c r="J3788" s="16" t="n"/>
      <c r="K3788" s="19" t="n"/>
      <c r="M3788" s="16" t="n"/>
      <c r="N3788" s="19" t="n"/>
    </row>
    <row r="3789">
      <c r="A3789" s="16" t="n"/>
      <c r="B3789" s="19" t="n"/>
      <c r="D3789" s="16" t="n"/>
      <c r="E3789" s="19" t="n"/>
      <c r="G3789" s="16" t="n"/>
      <c r="H3789" s="19" t="n"/>
      <c r="J3789" s="16" t="n"/>
      <c r="K3789" s="19" t="n"/>
      <c r="M3789" s="16" t="n"/>
      <c r="N3789" s="19" t="n"/>
    </row>
    <row r="3790">
      <c r="A3790" s="16" t="n"/>
      <c r="B3790" s="19" t="n"/>
      <c r="D3790" s="16" t="n"/>
      <c r="E3790" s="19" t="n"/>
      <c r="G3790" s="16" t="n"/>
      <c r="H3790" s="19" t="n"/>
      <c r="J3790" s="16" t="n"/>
      <c r="K3790" s="19" t="n"/>
      <c r="M3790" s="16" t="n"/>
      <c r="N3790" s="19" t="n"/>
    </row>
    <row r="3791">
      <c r="A3791" s="16" t="n"/>
      <c r="B3791" s="19" t="n"/>
      <c r="D3791" s="16" t="n"/>
      <c r="E3791" s="19" t="n"/>
      <c r="G3791" s="16" t="n"/>
      <c r="H3791" s="19" t="n"/>
      <c r="J3791" s="16" t="n"/>
      <c r="K3791" s="19" t="n"/>
      <c r="M3791" s="16" t="n"/>
      <c r="N3791" s="19" t="n"/>
    </row>
    <row r="3792">
      <c r="A3792" s="16" t="n"/>
      <c r="B3792" s="19" t="n"/>
      <c r="D3792" s="16" t="n"/>
      <c r="E3792" s="19" t="n"/>
      <c r="G3792" s="16" t="n"/>
      <c r="H3792" s="19" t="n"/>
      <c r="J3792" s="16" t="n"/>
      <c r="K3792" s="19" t="n"/>
      <c r="M3792" s="16" t="n"/>
      <c r="N3792" s="19" t="n"/>
    </row>
    <row r="3793">
      <c r="A3793" s="16" t="n"/>
      <c r="B3793" s="19" t="n"/>
      <c r="D3793" s="16" t="n"/>
      <c r="E3793" s="19" t="n"/>
      <c r="G3793" s="16" t="n"/>
      <c r="H3793" s="19" t="n"/>
      <c r="J3793" s="16" t="n"/>
      <c r="K3793" s="19" t="n"/>
      <c r="M3793" s="16" t="n"/>
      <c r="N3793" s="19" t="n"/>
    </row>
    <row r="3794">
      <c r="A3794" s="16" t="n"/>
      <c r="B3794" s="19" t="n"/>
      <c r="D3794" s="16" t="n"/>
      <c r="E3794" s="19" t="n"/>
      <c r="G3794" s="16" t="n"/>
      <c r="H3794" s="19" t="n"/>
      <c r="J3794" s="16" t="n"/>
      <c r="K3794" s="19" t="n"/>
      <c r="M3794" s="16" t="n"/>
      <c r="N3794" s="19" t="n"/>
    </row>
    <row r="3795">
      <c r="A3795" s="16" t="n"/>
      <c r="B3795" s="19" t="n"/>
      <c r="D3795" s="16" t="n"/>
      <c r="E3795" s="19" t="n"/>
      <c r="G3795" s="16" t="n"/>
      <c r="H3795" s="19" t="n"/>
      <c r="J3795" s="16" t="n"/>
      <c r="K3795" s="19" t="n"/>
      <c r="M3795" s="16" t="n"/>
      <c r="N3795" s="19" t="n"/>
    </row>
    <row r="3796">
      <c r="A3796" s="16" t="n"/>
      <c r="B3796" s="19" t="n"/>
      <c r="D3796" s="16" t="n"/>
      <c r="E3796" s="19" t="n"/>
      <c r="G3796" s="16" t="n"/>
      <c r="H3796" s="19" t="n"/>
      <c r="J3796" s="16" t="n"/>
      <c r="K3796" s="19" t="n"/>
      <c r="M3796" s="16" t="n"/>
      <c r="N3796" s="19" t="n"/>
    </row>
    <row r="3797">
      <c r="A3797" s="16" t="n"/>
      <c r="B3797" s="19" t="n"/>
      <c r="D3797" s="16" t="n"/>
      <c r="E3797" s="19" t="n"/>
      <c r="G3797" s="16" t="n"/>
      <c r="H3797" s="19" t="n"/>
      <c r="J3797" s="16" t="n"/>
      <c r="K3797" s="19" t="n"/>
      <c r="M3797" s="16" t="n"/>
      <c r="N3797" s="19" t="n"/>
    </row>
    <row r="3798">
      <c r="A3798" s="16" t="n"/>
      <c r="B3798" s="19" t="n"/>
      <c r="D3798" s="16" t="n"/>
      <c r="E3798" s="19" t="n"/>
      <c r="G3798" s="16" t="n"/>
      <c r="H3798" s="19" t="n"/>
      <c r="J3798" s="16" t="n"/>
      <c r="K3798" s="19" t="n"/>
      <c r="M3798" s="16" t="n"/>
      <c r="N3798" s="19" t="n"/>
    </row>
    <row r="3799">
      <c r="A3799" s="16" t="n"/>
      <c r="B3799" s="19" t="n"/>
      <c r="D3799" s="16" t="n"/>
      <c r="E3799" s="19" t="n"/>
      <c r="G3799" s="16" t="n"/>
      <c r="H3799" s="19" t="n"/>
      <c r="J3799" s="16" t="n"/>
      <c r="K3799" s="19" t="n"/>
      <c r="M3799" s="16" t="n"/>
      <c r="N3799" s="19" t="n"/>
    </row>
    <row r="3800">
      <c r="A3800" s="16" t="n"/>
      <c r="B3800" s="19" t="n"/>
      <c r="D3800" s="16" t="n"/>
      <c r="E3800" s="19" t="n"/>
      <c r="G3800" s="16" t="n"/>
      <c r="H3800" s="19" t="n"/>
      <c r="J3800" s="16" t="n"/>
      <c r="K3800" s="19" t="n"/>
      <c r="M3800" s="16" t="n"/>
      <c r="N3800" s="19" t="n"/>
    </row>
    <row r="3801">
      <c r="A3801" s="16" t="n"/>
      <c r="B3801" s="19" t="n"/>
      <c r="D3801" s="16" t="n"/>
      <c r="E3801" s="19" t="n"/>
      <c r="G3801" s="16" t="n"/>
      <c r="H3801" s="19" t="n"/>
      <c r="J3801" s="16" t="n"/>
      <c r="K3801" s="19" t="n"/>
      <c r="M3801" s="16" t="n"/>
      <c r="N3801" s="19" t="n"/>
    </row>
    <row r="3802">
      <c r="A3802" s="16" t="n"/>
      <c r="B3802" s="19" t="n"/>
      <c r="D3802" s="16" t="n"/>
      <c r="E3802" s="19" t="n"/>
      <c r="G3802" s="16" t="n"/>
      <c r="H3802" s="19" t="n"/>
      <c r="J3802" s="16" t="n"/>
      <c r="K3802" s="19" t="n"/>
      <c r="M3802" s="16" t="n"/>
      <c r="N3802" s="19" t="n"/>
    </row>
    <row r="3803">
      <c r="A3803" s="16" t="n"/>
      <c r="B3803" s="19" t="n"/>
      <c r="D3803" s="16" t="n"/>
      <c r="E3803" s="19" t="n"/>
      <c r="G3803" s="16" t="n"/>
      <c r="H3803" s="19" t="n"/>
      <c r="J3803" s="16" t="n"/>
      <c r="K3803" s="19" t="n"/>
      <c r="M3803" s="16" t="n"/>
      <c r="N3803" s="19" t="n"/>
    </row>
    <row r="3804">
      <c r="A3804" s="16" t="n"/>
      <c r="B3804" s="19" t="n"/>
      <c r="D3804" s="16" t="n"/>
      <c r="E3804" s="19" t="n"/>
      <c r="G3804" s="16" t="n"/>
      <c r="H3804" s="19" t="n"/>
      <c r="J3804" s="16" t="n"/>
      <c r="K3804" s="19" t="n"/>
      <c r="M3804" s="16" t="n"/>
      <c r="N3804" s="19" t="n"/>
    </row>
    <row r="3805">
      <c r="A3805" s="16" t="n"/>
      <c r="B3805" s="19" t="n"/>
      <c r="D3805" s="16" t="n"/>
      <c r="E3805" s="19" t="n"/>
      <c r="G3805" s="16" t="n"/>
      <c r="H3805" s="19" t="n"/>
      <c r="J3805" s="16" t="n"/>
      <c r="K3805" s="19" t="n"/>
      <c r="M3805" s="16" t="n"/>
      <c r="N3805" s="19" t="n"/>
    </row>
    <row r="3806">
      <c r="A3806" s="16" t="n"/>
      <c r="B3806" s="19" t="n"/>
      <c r="D3806" s="16" t="n"/>
      <c r="E3806" s="19" t="n"/>
      <c r="G3806" s="16" t="n"/>
      <c r="H3806" s="19" t="n"/>
      <c r="J3806" s="16" t="n"/>
      <c r="K3806" s="19" t="n"/>
      <c r="M3806" s="16" t="n"/>
      <c r="N3806" s="19" t="n"/>
    </row>
    <row r="3807">
      <c r="A3807" s="16" t="n"/>
      <c r="B3807" s="19" t="n"/>
      <c r="D3807" s="16" t="n"/>
      <c r="E3807" s="19" t="n"/>
      <c r="G3807" s="16" t="n"/>
      <c r="H3807" s="19" t="n"/>
      <c r="J3807" s="16" t="n"/>
      <c r="K3807" s="19" t="n"/>
      <c r="M3807" s="16" t="n"/>
      <c r="N3807" s="19" t="n"/>
    </row>
    <row r="3808">
      <c r="A3808" s="16" t="n"/>
      <c r="B3808" s="19" t="n"/>
      <c r="D3808" s="16" t="n"/>
      <c r="E3808" s="19" t="n"/>
      <c r="G3808" s="16" t="n"/>
      <c r="H3808" s="19" t="n"/>
      <c r="J3808" s="16" t="n"/>
      <c r="K3808" s="19" t="n"/>
      <c r="M3808" s="16" t="n"/>
      <c r="N3808" s="19" t="n"/>
    </row>
    <row r="3809">
      <c r="A3809" s="16" t="n"/>
      <c r="B3809" s="19" t="n"/>
      <c r="D3809" s="16" t="n"/>
      <c r="E3809" s="19" t="n"/>
      <c r="G3809" s="16" t="n"/>
      <c r="H3809" s="19" t="n"/>
      <c r="J3809" s="16" t="n"/>
      <c r="K3809" s="19" t="n"/>
      <c r="M3809" s="16" t="n"/>
      <c r="N3809" s="19" t="n"/>
    </row>
    <row r="3810">
      <c r="A3810" s="16" t="n"/>
      <c r="B3810" s="19" t="n"/>
      <c r="D3810" s="16" t="n"/>
      <c r="E3810" s="19" t="n"/>
      <c r="G3810" s="16" t="n"/>
      <c r="H3810" s="19" t="n"/>
      <c r="J3810" s="16" t="n"/>
      <c r="K3810" s="19" t="n"/>
      <c r="M3810" s="16" t="n"/>
      <c r="N3810" s="19" t="n"/>
    </row>
    <row r="3811">
      <c r="A3811" s="16" t="n"/>
      <c r="B3811" s="19" t="n"/>
      <c r="D3811" s="16" t="n"/>
      <c r="E3811" s="19" t="n"/>
      <c r="G3811" s="16" t="n"/>
      <c r="H3811" s="19" t="n"/>
      <c r="J3811" s="16" t="n"/>
      <c r="K3811" s="19" t="n"/>
      <c r="M3811" s="16" t="n"/>
      <c r="N3811" s="19" t="n"/>
    </row>
    <row r="3812">
      <c r="A3812" s="16" t="n"/>
      <c r="B3812" s="19" t="n"/>
      <c r="D3812" s="16" t="n"/>
      <c r="E3812" s="19" t="n"/>
      <c r="G3812" s="16" t="n"/>
      <c r="H3812" s="19" t="n"/>
      <c r="J3812" s="16" t="n"/>
      <c r="K3812" s="19" t="n"/>
      <c r="M3812" s="16" t="n"/>
      <c r="N3812" s="19" t="n"/>
    </row>
    <row r="3813">
      <c r="A3813" s="16" t="n"/>
      <c r="B3813" s="19" t="n"/>
      <c r="D3813" s="16" t="n"/>
      <c r="E3813" s="19" t="n"/>
      <c r="G3813" s="16" t="n"/>
      <c r="H3813" s="19" t="n"/>
      <c r="J3813" s="16" t="n"/>
      <c r="K3813" s="19" t="n"/>
      <c r="M3813" s="16" t="n"/>
      <c r="N3813" s="19" t="n"/>
    </row>
    <row r="3814">
      <c r="A3814" s="16" t="n"/>
      <c r="B3814" s="19" t="n"/>
      <c r="D3814" s="16" t="n"/>
      <c r="E3814" s="19" t="n"/>
      <c r="G3814" s="16" t="n"/>
      <c r="H3814" s="19" t="n"/>
      <c r="J3814" s="16" t="n"/>
      <c r="K3814" s="19" t="n"/>
      <c r="M3814" s="16" t="n"/>
      <c r="N3814" s="19" t="n"/>
    </row>
    <row r="3815">
      <c r="A3815" s="16" t="n"/>
      <c r="B3815" s="19" t="n"/>
      <c r="D3815" s="16" t="n"/>
      <c r="E3815" s="19" t="n"/>
      <c r="G3815" s="16" t="n"/>
      <c r="H3815" s="19" t="n"/>
      <c r="J3815" s="16" t="n"/>
      <c r="K3815" s="19" t="n"/>
      <c r="M3815" s="16" t="n"/>
      <c r="N3815" s="19" t="n"/>
    </row>
    <row r="3816">
      <c r="A3816" s="16" t="n"/>
      <c r="B3816" s="19" t="n"/>
      <c r="D3816" s="16" t="n"/>
      <c r="E3816" s="19" t="n"/>
      <c r="G3816" s="16" t="n"/>
      <c r="H3816" s="19" t="n"/>
      <c r="J3816" s="16" t="n"/>
      <c r="K3816" s="19" t="n"/>
      <c r="M3816" s="16" t="n"/>
      <c r="N3816" s="19" t="n"/>
    </row>
    <row r="3817">
      <c r="A3817" s="16" t="n"/>
      <c r="B3817" s="19" t="n"/>
      <c r="D3817" s="16" t="n"/>
      <c r="E3817" s="19" t="n"/>
      <c r="G3817" s="16" t="n"/>
      <c r="H3817" s="19" t="n"/>
      <c r="J3817" s="16" t="n"/>
      <c r="K3817" s="19" t="n"/>
      <c r="M3817" s="16" t="n"/>
      <c r="N3817" s="19" t="n"/>
    </row>
    <row r="3818">
      <c r="A3818" s="16" t="n"/>
      <c r="B3818" s="19" t="n"/>
      <c r="D3818" s="16" t="n"/>
      <c r="E3818" s="19" t="n"/>
      <c r="G3818" s="16" t="n"/>
      <c r="H3818" s="19" t="n"/>
      <c r="J3818" s="16" t="n"/>
      <c r="K3818" s="19" t="n"/>
      <c r="M3818" s="16" t="n"/>
      <c r="N3818" s="19" t="n"/>
    </row>
    <row r="3819">
      <c r="A3819" s="16" t="n"/>
      <c r="B3819" s="19" t="n"/>
      <c r="D3819" s="16" t="n"/>
      <c r="E3819" s="19" t="n"/>
      <c r="G3819" s="16" t="n"/>
      <c r="H3819" s="19" t="n"/>
      <c r="J3819" s="16" t="n"/>
      <c r="K3819" s="19" t="n"/>
      <c r="M3819" s="16" t="n"/>
      <c r="N3819" s="19" t="n"/>
    </row>
    <row r="3820">
      <c r="A3820" s="16" t="n"/>
      <c r="B3820" s="19" t="n"/>
      <c r="D3820" s="16" t="n"/>
      <c r="E3820" s="19" t="n"/>
      <c r="G3820" s="16" t="n"/>
      <c r="H3820" s="19" t="n"/>
      <c r="J3820" s="16" t="n"/>
      <c r="K3820" s="19" t="n"/>
      <c r="M3820" s="16" t="n"/>
      <c r="N3820" s="19" t="n"/>
    </row>
    <row r="3821">
      <c r="A3821" s="16" t="n"/>
      <c r="B3821" s="19" t="n"/>
      <c r="D3821" s="16" t="n"/>
      <c r="E3821" s="19" t="n"/>
      <c r="G3821" s="16" t="n"/>
      <c r="H3821" s="19" t="n"/>
      <c r="J3821" s="16" t="n"/>
      <c r="K3821" s="19" t="n"/>
      <c r="M3821" s="16" t="n"/>
      <c r="N3821" s="19" t="n"/>
    </row>
    <row r="3822">
      <c r="A3822" s="16" t="n"/>
      <c r="B3822" s="19" t="n"/>
      <c r="D3822" s="16" t="n"/>
      <c r="E3822" s="19" t="n"/>
      <c r="G3822" s="16" t="n"/>
      <c r="H3822" s="19" t="n"/>
      <c r="J3822" s="16" t="n"/>
      <c r="K3822" s="19" t="n"/>
      <c r="M3822" s="16" t="n"/>
      <c r="N3822" s="19" t="n"/>
    </row>
    <row r="3823">
      <c r="A3823" s="16" t="n"/>
      <c r="B3823" s="19" t="n"/>
      <c r="D3823" s="16" t="n"/>
      <c r="E3823" s="19" t="n"/>
      <c r="G3823" s="16" t="n"/>
      <c r="H3823" s="19" t="n"/>
      <c r="J3823" s="16" t="n"/>
      <c r="K3823" s="19" t="n"/>
      <c r="M3823" s="16" t="n"/>
      <c r="N3823" s="19" t="n"/>
    </row>
    <row r="3824">
      <c r="A3824" s="16" t="n"/>
      <c r="B3824" s="19" t="n"/>
      <c r="D3824" s="16" t="n"/>
      <c r="E3824" s="19" t="n"/>
      <c r="G3824" s="16" t="n"/>
      <c r="H3824" s="19" t="n"/>
      <c r="J3824" s="16" t="n"/>
      <c r="K3824" s="19" t="n"/>
      <c r="M3824" s="16" t="n"/>
      <c r="N3824" s="19" t="n"/>
    </row>
    <row r="3825">
      <c r="A3825" s="16" t="n"/>
      <c r="B3825" s="19" t="n"/>
      <c r="D3825" s="16" t="n"/>
      <c r="E3825" s="19" t="n"/>
      <c r="G3825" s="16" t="n"/>
      <c r="H3825" s="19" t="n"/>
      <c r="J3825" s="16" t="n"/>
      <c r="K3825" s="19" t="n"/>
      <c r="M3825" s="16" t="n"/>
      <c r="N3825" s="19" t="n"/>
    </row>
    <row r="3826">
      <c r="A3826" s="16" t="n"/>
      <c r="B3826" s="19" t="n"/>
      <c r="D3826" s="16" t="n"/>
      <c r="E3826" s="19" t="n"/>
      <c r="G3826" s="16" t="n"/>
      <c r="H3826" s="19" t="n"/>
      <c r="J3826" s="16" t="n"/>
      <c r="K3826" s="19" t="n"/>
      <c r="M3826" s="16" t="n"/>
      <c r="N3826" s="19" t="n"/>
    </row>
    <row r="3827">
      <c r="A3827" s="16" t="n"/>
      <c r="B3827" s="19" t="n"/>
      <c r="D3827" s="16" t="n"/>
      <c r="E3827" s="19" t="n"/>
      <c r="G3827" s="16" t="n"/>
      <c r="H3827" s="19" t="n"/>
      <c r="J3827" s="16" t="n"/>
      <c r="K3827" s="19" t="n"/>
      <c r="M3827" s="16" t="n"/>
      <c r="N3827" s="19" t="n"/>
    </row>
    <row r="3828">
      <c r="A3828" s="16" t="n"/>
      <c r="B3828" s="19" t="n"/>
      <c r="D3828" s="16" t="n"/>
      <c r="E3828" s="19" t="n"/>
      <c r="G3828" s="16" t="n"/>
      <c r="H3828" s="19" t="n"/>
      <c r="J3828" s="16" t="n"/>
      <c r="K3828" s="19" t="n"/>
      <c r="M3828" s="16" t="n"/>
      <c r="N3828" s="19" t="n"/>
    </row>
    <row r="3829">
      <c r="A3829" s="16" t="n"/>
      <c r="B3829" s="19" t="n"/>
      <c r="D3829" s="16" t="n"/>
      <c r="E3829" s="19" t="n"/>
      <c r="G3829" s="16" t="n"/>
      <c r="H3829" s="19" t="n"/>
      <c r="J3829" s="16" t="n"/>
      <c r="K3829" s="19" t="n"/>
      <c r="M3829" s="16" t="n"/>
      <c r="N3829" s="19" t="n"/>
    </row>
    <row r="3830">
      <c r="A3830" s="16" t="n"/>
      <c r="B3830" s="19" t="n"/>
      <c r="D3830" s="16" t="n"/>
      <c r="E3830" s="19" t="n"/>
      <c r="G3830" s="16" t="n"/>
      <c r="H3830" s="19" t="n"/>
      <c r="J3830" s="16" t="n"/>
      <c r="K3830" s="19" t="n"/>
      <c r="M3830" s="16" t="n"/>
      <c r="N3830" s="19" t="n"/>
    </row>
    <row r="3831">
      <c r="A3831" s="16" t="n"/>
      <c r="B3831" s="19" t="n"/>
      <c r="D3831" s="16" t="n"/>
      <c r="E3831" s="19" t="n"/>
      <c r="G3831" s="16" t="n"/>
      <c r="H3831" s="19" t="n"/>
      <c r="J3831" s="16" t="n"/>
      <c r="K3831" s="19" t="n"/>
      <c r="M3831" s="16" t="n"/>
      <c r="N3831" s="19" t="n"/>
    </row>
    <row r="3832">
      <c r="A3832" s="16" t="n"/>
      <c r="B3832" s="19" t="n"/>
      <c r="D3832" s="16" t="n"/>
      <c r="E3832" s="19" t="n"/>
      <c r="G3832" s="16" t="n"/>
      <c r="H3832" s="19" t="n"/>
      <c r="J3832" s="16" t="n"/>
      <c r="K3832" s="19" t="n"/>
      <c r="M3832" s="16" t="n"/>
      <c r="N3832" s="19" t="n"/>
    </row>
    <row r="3833">
      <c r="A3833" s="16" t="n"/>
      <c r="B3833" s="19" t="n"/>
      <c r="D3833" s="16" t="n"/>
      <c r="E3833" s="19" t="n"/>
      <c r="G3833" s="16" t="n"/>
      <c r="H3833" s="19" t="n"/>
      <c r="J3833" s="16" t="n"/>
      <c r="K3833" s="19" t="n"/>
      <c r="M3833" s="16" t="n"/>
      <c r="N3833" s="19" t="n"/>
    </row>
    <row r="3834">
      <c r="A3834" s="16" t="n"/>
      <c r="B3834" s="19" t="n"/>
      <c r="D3834" s="16" t="n"/>
      <c r="E3834" s="19" t="n"/>
      <c r="G3834" s="16" t="n"/>
      <c r="H3834" s="19" t="n"/>
      <c r="J3834" s="16" t="n"/>
      <c r="K3834" s="19" t="n"/>
      <c r="M3834" s="16" t="n"/>
      <c r="N3834" s="19" t="n"/>
    </row>
    <row r="3835">
      <c r="A3835" s="16" t="n"/>
      <c r="B3835" s="19" t="n"/>
      <c r="D3835" s="16" t="n"/>
      <c r="E3835" s="19" t="n"/>
      <c r="G3835" s="16" t="n"/>
      <c r="H3835" s="19" t="n"/>
      <c r="J3835" s="16" t="n"/>
      <c r="K3835" s="19" t="n"/>
      <c r="M3835" s="16" t="n"/>
      <c r="N3835" s="19" t="n"/>
    </row>
    <row r="3836">
      <c r="A3836" s="16" t="n"/>
      <c r="B3836" s="19" t="n"/>
      <c r="D3836" s="16" t="n"/>
      <c r="E3836" s="19" t="n"/>
      <c r="G3836" s="16" t="n"/>
      <c r="H3836" s="19" t="n"/>
      <c r="J3836" s="16" t="n"/>
      <c r="K3836" s="19" t="n"/>
      <c r="M3836" s="16" t="n"/>
      <c r="N3836" s="19" t="n"/>
    </row>
    <row r="3837">
      <c r="A3837" s="16" t="n"/>
      <c r="B3837" s="19" t="n"/>
      <c r="D3837" s="16" t="n"/>
      <c r="E3837" s="19" t="n"/>
      <c r="G3837" s="16" t="n"/>
      <c r="H3837" s="19" t="n"/>
      <c r="J3837" s="16" t="n"/>
      <c r="K3837" s="19" t="n"/>
      <c r="M3837" s="16" t="n"/>
      <c r="N3837" s="19" t="n"/>
    </row>
    <row r="3838">
      <c r="A3838" s="16" t="n"/>
      <c r="B3838" s="19" t="n"/>
      <c r="D3838" s="16" t="n"/>
      <c r="E3838" s="19" t="n"/>
      <c r="G3838" s="16" t="n"/>
      <c r="H3838" s="19" t="n"/>
      <c r="J3838" s="16" t="n"/>
      <c r="K3838" s="19" t="n"/>
      <c r="M3838" s="16" t="n"/>
      <c r="N3838" s="19" t="n"/>
    </row>
    <row r="3839">
      <c r="A3839" s="16" t="n"/>
      <c r="B3839" s="19" t="n"/>
      <c r="D3839" s="16" t="n"/>
      <c r="E3839" s="19" t="n"/>
      <c r="G3839" s="16" t="n"/>
      <c r="H3839" s="19" t="n"/>
      <c r="J3839" s="16" t="n"/>
      <c r="K3839" s="19" t="n"/>
      <c r="M3839" s="16" t="n"/>
      <c r="N3839" s="19" t="n"/>
    </row>
    <row r="3840">
      <c r="A3840" s="16" t="n"/>
      <c r="B3840" s="19" t="n"/>
      <c r="D3840" s="16" t="n"/>
      <c r="E3840" s="19" t="n"/>
      <c r="G3840" s="16" t="n"/>
      <c r="H3840" s="19" t="n"/>
      <c r="J3840" s="16" t="n"/>
      <c r="K3840" s="19" t="n"/>
      <c r="M3840" s="16" t="n"/>
      <c r="N3840" s="19" t="n"/>
    </row>
    <row r="3841">
      <c r="A3841" s="16" t="n"/>
      <c r="B3841" s="19" t="n"/>
      <c r="D3841" s="16" t="n"/>
      <c r="E3841" s="19" t="n"/>
      <c r="G3841" s="16" t="n"/>
      <c r="H3841" s="19" t="n"/>
      <c r="J3841" s="16" t="n"/>
      <c r="K3841" s="19" t="n"/>
      <c r="M3841" s="16" t="n"/>
      <c r="N3841" s="19" t="n"/>
    </row>
    <row r="3842">
      <c r="A3842" s="16" t="n"/>
      <c r="B3842" s="19" t="n"/>
      <c r="D3842" s="16" t="n"/>
      <c r="E3842" s="19" t="n"/>
      <c r="G3842" s="16" t="n"/>
      <c r="H3842" s="19" t="n"/>
      <c r="J3842" s="16" t="n"/>
      <c r="K3842" s="19" t="n"/>
      <c r="M3842" s="16" t="n"/>
      <c r="N3842" s="19" t="n"/>
    </row>
    <row r="3843">
      <c r="A3843" s="16" t="n"/>
      <c r="B3843" s="19" t="n"/>
      <c r="D3843" s="16" t="n"/>
      <c r="E3843" s="19" t="n"/>
      <c r="G3843" s="16" t="n"/>
      <c r="H3843" s="19" t="n"/>
      <c r="J3843" s="16" t="n"/>
      <c r="K3843" s="19" t="n"/>
      <c r="M3843" s="16" t="n"/>
      <c r="N3843" s="19" t="n"/>
    </row>
    <row r="3844">
      <c r="A3844" s="16" t="n"/>
      <c r="B3844" s="19" t="n"/>
      <c r="D3844" s="16" t="n"/>
      <c r="E3844" s="19" t="n"/>
      <c r="G3844" s="16" t="n"/>
      <c r="H3844" s="19" t="n"/>
      <c r="J3844" s="16" t="n"/>
      <c r="K3844" s="19" t="n"/>
      <c r="M3844" s="16" t="n"/>
      <c r="N3844" s="19" t="n"/>
    </row>
    <row r="3845">
      <c r="A3845" s="16" t="n"/>
      <c r="B3845" s="19" t="n"/>
      <c r="D3845" s="16" t="n"/>
      <c r="E3845" s="19" t="n"/>
      <c r="G3845" s="16" t="n"/>
      <c r="H3845" s="19" t="n"/>
      <c r="J3845" s="16" t="n"/>
      <c r="K3845" s="19" t="n"/>
      <c r="M3845" s="16" t="n"/>
      <c r="N3845" s="19" t="n"/>
    </row>
    <row r="3846">
      <c r="A3846" s="16" t="n"/>
      <c r="B3846" s="19" t="n"/>
      <c r="D3846" s="16" t="n"/>
      <c r="E3846" s="19" t="n"/>
      <c r="G3846" s="16" t="n"/>
      <c r="H3846" s="19" t="n"/>
      <c r="J3846" s="16" t="n"/>
      <c r="K3846" s="19" t="n"/>
      <c r="M3846" s="16" t="n"/>
      <c r="N3846" s="19" t="n"/>
    </row>
    <row r="3847">
      <c r="A3847" s="16" t="n"/>
      <c r="B3847" s="19" t="n"/>
      <c r="D3847" s="16" t="n"/>
      <c r="E3847" s="19" t="n"/>
      <c r="G3847" s="16" t="n"/>
      <c r="H3847" s="19" t="n"/>
      <c r="J3847" s="16" t="n"/>
      <c r="K3847" s="19" t="n"/>
      <c r="M3847" s="16" t="n"/>
      <c r="N3847" s="19" t="n"/>
    </row>
    <row r="3848">
      <c r="A3848" s="16" t="n"/>
      <c r="B3848" s="19" t="n"/>
      <c r="D3848" s="16" t="n"/>
      <c r="E3848" s="19" t="n"/>
      <c r="G3848" s="16" t="n"/>
      <c r="H3848" s="19" t="n"/>
      <c r="J3848" s="16" t="n"/>
      <c r="K3848" s="19" t="n"/>
      <c r="M3848" s="16" t="n"/>
      <c r="N3848" s="19" t="n"/>
    </row>
    <row r="3849">
      <c r="A3849" s="16" t="n"/>
      <c r="B3849" s="19" t="n"/>
      <c r="D3849" s="16" t="n"/>
      <c r="E3849" s="19" t="n"/>
      <c r="G3849" s="16" t="n"/>
      <c r="H3849" s="19" t="n"/>
      <c r="J3849" s="16" t="n"/>
      <c r="K3849" s="19" t="n"/>
      <c r="M3849" s="16" t="n"/>
      <c r="N3849" s="19" t="n"/>
    </row>
    <row r="3850">
      <c r="A3850" s="16" t="n"/>
      <c r="B3850" s="19" t="n"/>
      <c r="D3850" s="16" t="n"/>
      <c r="E3850" s="19" t="n"/>
      <c r="G3850" s="16" t="n"/>
      <c r="H3850" s="19" t="n"/>
      <c r="J3850" s="16" t="n"/>
      <c r="K3850" s="19" t="n"/>
      <c r="M3850" s="16" t="n"/>
      <c r="N3850" s="19" t="n"/>
    </row>
    <row r="3851">
      <c r="A3851" s="16" t="n"/>
      <c r="B3851" s="19" t="n"/>
      <c r="D3851" s="16" t="n"/>
      <c r="E3851" s="19" t="n"/>
      <c r="G3851" s="16" t="n"/>
      <c r="H3851" s="19" t="n"/>
      <c r="J3851" s="16" t="n"/>
      <c r="K3851" s="19" t="n"/>
      <c r="M3851" s="16" t="n"/>
      <c r="N3851" s="19" t="n"/>
    </row>
    <row r="3852">
      <c r="A3852" s="16" t="n"/>
      <c r="B3852" s="19" t="n"/>
      <c r="D3852" s="16" t="n"/>
      <c r="E3852" s="19" t="n"/>
      <c r="G3852" s="16" t="n"/>
      <c r="H3852" s="19" t="n"/>
      <c r="J3852" s="16" t="n"/>
      <c r="K3852" s="19" t="n"/>
      <c r="M3852" s="16" t="n"/>
      <c r="N3852" s="19" t="n"/>
    </row>
    <row r="3853">
      <c r="A3853" s="16" t="n"/>
      <c r="B3853" s="19" t="n"/>
      <c r="D3853" s="16" t="n"/>
      <c r="E3853" s="19" t="n"/>
      <c r="G3853" s="16" t="n"/>
      <c r="H3853" s="19" t="n"/>
      <c r="J3853" s="16" t="n"/>
      <c r="K3853" s="19" t="n"/>
      <c r="M3853" s="16" t="n"/>
      <c r="N3853" s="19" t="n"/>
    </row>
    <row r="3854">
      <c r="A3854" s="16" t="n"/>
      <c r="B3854" s="19" t="n"/>
      <c r="D3854" s="16" t="n"/>
      <c r="E3854" s="19" t="n"/>
      <c r="G3854" s="16" t="n"/>
      <c r="H3854" s="19" t="n"/>
      <c r="J3854" s="16" t="n"/>
      <c r="K3854" s="19" t="n"/>
      <c r="M3854" s="16" t="n"/>
      <c r="N3854" s="19" t="n"/>
    </row>
    <row r="3855">
      <c r="A3855" s="16" t="n"/>
      <c r="B3855" s="19" t="n"/>
      <c r="D3855" s="16" t="n"/>
      <c r="E3855" s="19" t="n"/>
      <c r="G3855" s="16" t="n"/>
      <c r="H3855" s="19" t="n"/>
      <c r="J3855" s="16" t="n"/>
      <c r="K3855" s="19" t="n"/>
      <c r="M3855" s="16" t="n"/>
      <c r="N3855" s="19" t="n"/>
    </row>
    <row r="3856">
      <c r="A3856" s="16" t="n"/>
      <c r="B3856" s="19" t="n"/>
      <c r="D3856" s="16" t="n"/>
      <c r="E3856" s="19" t="n"/>
      <c r="G3856" s="16" t="n"/>
      <c r="H3856" s="19" t="n"/>
      <c r="J3856" s="16" t="n"/>
      <c r="K3856" s="19" t="n"/>
      <c r="M3856" s="16" t="n"/>
      <c r="N3856" s="19" t="n"/>
    </row>
    <row r="3857">
      <c r="A3857" s="16" t="n"/>
      <c r="B3857" s="19" t="n"/>
      <c r="D3857" s="16" t="n"/>
      <c r="E3857" s="19" t="n"/>
      <c r="G3857" s="16" t="n"/>
      <c r="H3857" s="19" t="n"/>
      <c r="J3857" s="16" t="n"/>
      <c r="K3857" s="19" t="n"/>
      <c r="M3857" s="16" t="n"/>
      <c r="N3857" s="19" t="n"/>
    </row>
    <row r="3858">
      <c r="A3858" s="16" t="n"/>
      <c r="B3858" s="19" t="n"/>
      <c r="D3858" s="16" t="n"/>
      <c r="E3858" s="19" t="n"/>
      <c r="G3858" s="16" t="n"/>
      <c r="H3858" s="19" t="n"/>
      <c r="J3858" s="16" t="n"/>
      <c r="K3858" s="19" t="n"/>
      <c r="M3858" s="16" t="n"/>
      <c r="N3858" s="19" t="n"/>
    </row>
    <row r="3859">
      <c r="A3859" s="16" t="n"/>
      <c r="B3859" s="19" t="n"/>
      <c r="D3859" s="16" t="n"/>
      <c r="E3859" s="19" t="n"/>
      <c r="G3859" s="16" t="n"/>
      <c r="H3859" s="19" t="n"/>
      <c r="J3859" s="16" t="n"/>
      <c r="K3859" s="19" t="n"/>
      <c r="M3859" s="16" t="n"/>
      <c r="N3859" s="19" t="n"/>
    </row>
    <row r="3860">
      <c r="A3860" s="16" t="n"/>
      <c r="B3860" s="19" t="n"/>
      <c r="D3860" s="16" t="n"/>
      <c r="E3860" s="19" t="n"/>
      <c r="G3860" s="16" t="n"/>
      <c r="H3860" s="19" t="n"/>
      <c r="J3860" s="16" t="n"/>
      <c r="K3860" s="19" t="n"/>
      <c r="M3860" s="16" t="n"/>
      <c r="N3860" s="19" t="n"/>
    </row>
    <row r="3861">
      <c r="A3861" s="16" t="n"/>
      <c r="B3861" s="19" t="n"/>
      <c r="D3861" s="16" t="n"/>
      <c r="E3861" s="19" t="n"/>
      <c r="G3861" s="16" t="n"/>
      <c r="H3861" s="19" t="n"/>
      <c r="J3861" s="16" t="n"/>
      <c r="K3861" s="19" t="n"/>
      <c r="M3861" s="16" t="n"/>
      <c r="N3861" s="19" t="n"/>
    </row>
    <row r="3862">
      <c r="A3862" s="16" t="n"/>
      <c r="B3862" s="19" t="n"/>
      <c r="D3862" s="16" t="n"/>
      <c r="E3862" s="19" t="n"/>
      <c r="G3862" s="16" t="n"/>
      <c r="H3862" s="19" t="n"/>
      <c r="J3862" s="16" t="n"/>
      <c r="K3862" s="19" t="n"/>
      <c r="M3862" s="16" t="n"/>
      <c r="N3862" s="19" t="n"/>
    </row>
    <row r="3863">
      <c r="A3863" s="16" t="n"/>
      <c r="B3863" s="19" t="n"/>
      <c r="D3863" s="16" t="n"/>
      <c r="E3863" s="19" t="n"/>
      <c r="G3863" s="16" t="n"/>
      <c r="H3863" s="19" t="n"/>
      <c r="J3863" s="16" t="n"/>
      <c r="K3863" s="19" t="n"/>
      <c r="M3863" s="16" t="n"/>
      <c r="N3863" s="19" t="n"/>
    </row>
    <row r="3864">
      <c r="A3864" s="16" t="n"/>
      <c r="B3864" s="19" t="n"/>
      <c r="D3864" s="16" t="n"/>
      <c r="E3864" s="19" t="n"/>
      <c r="G3864" s="16" t="n"/>
      <c r="H3864" s="19" t="n"/>
      <c r="J3864" s="16" t="n"/>
      <c r="K3864" s="19" t="n"/>
      <c r="M3864" s="16" t="n"/>
      <c r="N3864" s="19" t="n"/>
    </row>
    <row r="3865">
      <c r="A3865" s="16" t="n"/>
      <c r="B3865" s="19" t="n"/>
      <c r="D3865" s="16" t="n"/>
      <c r="E3865" s="19" t="n"/>
      <c r="G3865" s="16" t="n"/>
      <c r="H3865" s="19" t="n"/>
      <c r="J3865" s="16" t="n"/>
      <c r="K3865" s="19" t="n"/>
      <c r="M3865" s="16" t="n"/>
      <c r="N3865" s="19" t="n"/>
    </row>
    <row r="3866">
      <c r="A3866" s="16" t="n"/>
      <c r="B3866" s="19" t="n"/>
      <c r="D3866" s="16" t="n"/>
      <c r="E3866" s="19" t="n"/>
      <c r="G3866" s="16" t="n"/>
      <c r="H3866" s="19" t="n"/>
      <c r="J3866" s="16" t="n"/>
      <c r="K3866" s="19" t="n"/>
      <c r="M3866" s="16" t="n"/>
      <c r="N3866" s="19" t="n"/>
    </row>
    <row r="3867">
      <c r="A3867" s="16" t="n"/>
      <c r="B3867" s="19" t="n"/>
      <c r="D3867" s="16" t="n"/>
      <c r="E3867" s="19" t="n"/>
      <c r="G3867" s="16" t="n"/>
      <c r="H3867" s="19" t="n"/>
      <c r="J3867" s="16" t="n"/>
      <c r="K3867" s="19" t="n"/>
      <c r="M3867" s="16" t="n"/>
      <c r="N3867" s="19" t="n"/>
    </row>
    <row r="3868">
      <c r="A3868" s="16" t="n"/>
      <c r="B3868" s="19" t="n"/>
      <c r="D3868" s="16" t="n"/>
      <c r="E3868" s="19" t="n"/>
      <c r="G3868" s="16" t="n"/>
      <c r="H3868" s="19" t="n"/>
      <c r="J3868" s="16" t="n"/>
      <c r="K3868" s="19" t="n"/>
      <c r="M3868" s="16" t="n"/>
      <c r="N3868" s="19" t="n"/>
    </row>
    <row r="3869">
      <c r="A3869" s="16" t="n"/>
      <c r="B3869" s="19" t="n"/>
      <c r="D3869" s="16" t="n"/>
      <c r="E3869" s="19" t="n"/>
      <c r="G3869" s="16" t="n"/>
      <c r="H3869" s="19" t="n"/>
      <c r="J3869" s="16" t="n"/>
      <c r="K3869" s="19" t="n"/>
      <c r="M3869" s="16" t="n"/>
      <c r="N3869" s="19" t="n"/>
    </row>
    <row r="3870">
      <c r="A3870" s="16" t="n"/>
      <c r="B3870" s="19" t="n"/>
      <c r="D3870" s="16" t="n"/>
      <c r="E3870" s="19" t="n"/>
      <c r="G3870" s="16" t="n"/>
      <c r="H3870" s="19" t="n"/>
      <c r="J3870" s="16" t="n"/>
      <c r="K3870" s="19" t="n"/>
      <c r="M3870" s="16" t="n"/>
      <c r="N3870" s="19" t="n"/>
    </row>
    <row r="3871">
      <c r="A3871" s="16" t="n"/>
      <c r="B3871" s="19" t="n"/>
      <c r="D3871" s="16" t="n"/>
      <c r="E3871" s="19" t="n"/>
      <c r="G3871" s="16" t="n"/>
      <c r="H3871" s="19" t="n"/>
      <c r="J3871" s="16" t="n"/>
      <c r="K3871" s="19" t="n"/>
      <c r="M3871" s="16" t="n"/>
      <c r="N3871" s="19" t="n"/>
    </row>
    <row r="3872">
      <c r="A3872" s="16" t="n"/>
      <c r="B3872" s="19" t="n"/>
      <c r="D3872" s="16" t="n"/>
      <c r="E3872" s="19" t="n"/>
      <c r="G3872" s="16" t="n"/>
      <c r="H3872" s="19" t="n"/>
      <c r="J3872" s="16" t="n"/>
      <c r="K3872" s="19" t="n"/>
      <c r="M3872" s="16" t="n"/>
      <c r="N3872" s="19" t="n"/>
    </row>
    <row r="3873">
      <c r="A3873" s="16" t="n"/>
      <c r="B3873" s="19" t="n"/>
      <c r="D3873" s="16" t="n"/>
      <c r="E3873" s="19" t="n"/>
      <c r="G3873" s="16" t="n"/>
      <c r="H3873" s="19" t="n"/>
      <c r="J3873" s="16" t="n"/>
      <c r="K3873" s="19" t="n"/>
      <c r="M3873" s="16" t="n"/>
      <c r="N3873" s="19" t="n"/>
    </row>
    <row r="3874">
      <c r="A3874" s="16" t="n"/>
      <c r="B3874" s="19" t="n"/>
      <c r="D3874" s="16" t="n"/>
      <c r="E3874" s="19" t="n"/>
      <c r="G3874" s="16" t="n"/>
      <c r="H3874" s="19" t="n"/>
      <c r="J3874" s="16" t="n"/>
      <c r="K3874" s="19" t="n"/>
      <c r="M3874" s="16" t="n"/>
      <c r="N3874" s="19" t="n"/>
    </row>
    <row r="3875">
      <c r="A3875" s="16" t="n"/>
      <c r="B3875" s="19" t="n"/>
      <c r="D3875" s="16" t="n"/>
      <c r="E3875" s="19" t="n"/>
      <c r="G3875" s="16" t="n"/>
      <c r="H3875" s="19" t="n"/>
      <c r="J3875" s="16" t="n"/>
      <c r="K3875" s="19" t="n"/>
      <c r="M3875" s="16" t="n"/>
      <c r="N3875" s="19" t="n"/>
    </row>
    <row r="3876">
      <c r="A3876" s="16" t="n"/>
      <c r="B3876" s="19" t="n"/>
      <c r="D3876" s="16" t="n"/>
      <c r="E3876" s="19" t="n"/>
      <c r="G3876" s="16" t="n"/>
      <c r="H3876" s="19" t="n"/>
      <c r="J3876" s="16" t="n"/>
      <c r="K3876" s="19" t="n"/>
      <c r="M3876" s="16" t="n"/>
      <c r="N3876" s="19" t="n"/>
    </row>
    <row r="3877">
      <c r="A3877" s="16" t="n"/>
      <c r="B3877" s="19" t="n"/>
      <c r="D3877" s="16" t="n"/>
      <c r="E3877" s="19" t="n"/>
      <c r="G3877" s="16" t="n"/>
      <c r="H3877" s="19" t="n"/>
      <c r="J3877" s="16" t="n"/>
      <c r="K3877" s="19" t="n"/>
      <c r="M3877" s="16" t="n"/>
      <c r="N3877" s="19" t="n"/>
    </row>
    <row r="3878">
      <c r="A3878" s="16" t="n"/>
      <c r="B3878" s="19" t="n"/>
      <c r="D3878" s="16" t="n"/>
      <c r="E3878" s="19" t="n"/>
      <c r="G3878" s="16" t="n"/>
      <c r="H3878" s="19" t="n"/>
      <c r="J3878" s="16" t="n"/>
      <c r="K3878" s="19" t="n"/>
      <c r="M3878" s="16" t="n"/>
      <c r="N3878" s="19" t="n"/>
    </row>
    <row r="3879">
      <c r="A3879" s="16" t="n"/>
      <c r="B3879" s="19" t="n"/>
      <c r="D3879" s="16" t="n"/>
      <c r="E3879" s="19" t="n"/>
      <c r="G3879" s="16" t="n"/>
      <c r="H3879" s="19" t="n"/>
      <c r="J3879" s="16" t="n"/>
      <c r="K3879" s="19" t="n"/>
      <c r="M3879" s="16" t="n"/>
      <c r="N3879" s="19" t="n"/>
    </row>
    <row r="3880">
      <c r="A3880" s="16" t="n"/>
      <c r="B3880" s="19" t="n"/>
      <c r="D3880" s="16" t="n"/>
      <c r="E3880" s="19" t="n"/>
      <c r="G3880" s="16" t="n"/>
      <c r="H3880" s="19" t="n"/>
      <c r="J3880" s="16" t="n"/>
      <c r="K3880" s="19" t="n"/>
      <c r="M3880" s="16" t="n"/>
      <c r="N3880" s="19" t="n"/>
    </row>
    <row r="3881">
      <c r="A3881" s="16" t="n"/>
      <c r="B3881" s="19" t="n"/>
      <c r="D3881" s="16" t="n"/>
      <c r="E3881" s="19" t="n"/>
      <c r="G3881" s="16" t="n"/>
      <c r="H3881" s="19" t="n"/>
      <c r="J3881" s="16" t="n"/>
      <c r="K3881" s="19" t="n"/>
      <c r="M3881" s="16" t="n"/>
      <c r="N3881" s="19" t="n"/>
    </row>
    <row r="3882">
      <c r="A3882" s="16" t="n"/>
      <c r="B3882" s="19" t="n"/>
      <c r="D3882" s="16" t="n"/>
      <c r="E3882" s="19" t="n"/>
      <c r="G3882" s="16" t="n"/>
      <c r="H3882" s="19" t="n"/>
      <c r="J3882" s="16" t="n"/>
      <c r="K3882" s="19" t="n"/>
      <c r="M3882" s="16" t="n"/>
      <c r="N3882" s="19" t="n"/>
    </row>
    <row r="3883">
      <c r="A3883" s="16" t="n"/>
      <c r="B3883" s="19" t="n"/>
      <c r="D3883" s="16" t="n"/>
      <c r="E3883" s="19" t="n"/>
      <c r="G3883" s="16" t="n"/>
      <c r="H3883" s="19" t="n"/>
      <c r="J3883" s="16" t="n"/>
      <c r="K3883" s="19" t="n"/>
      <c r="M3883" s="16" t="n"/>
      <c r="N3883" s="19" t="n"/>
    </row>
    <row r="3884">
      <c r="A3884" s="16" t="n"/>
      <c r="B3884" s="19" t="n"/>
      <c r="D3884" s="16" t="n"/>
      <c r="E3884" s="19" t="n"/>
      <c r="G3884" s="16" t="n"/>
      <c r="H3884" s="19" t="n"/>
      <c r="J3884" s="16" t="n"/>
      <c r="K3884" s="19" t="n"/>
      <c r="M3884" s="16" t="n"/>
      <c r="N3884" s="19" t="n"/>
    </row>
    <row r="3885">
      <c r="A3885" s="16" t="n"/>
      <c r="B3885" s="19" t="n"/>
      <c r="D3885" s="16" t="n"/>
      <c r="E3885" s="19" t="n"/>
      <c r="G3885" s="16" t="n"/>
      <c r="H3885" s="19" t="n"/>
      <c r="J3885" s="16" t="n"/>
      <c r="K3885" s="19" t="n"/>
      <c r="M3885" s="16" t="n"/>
      <c r="N3885" s="19" t="n"/>
    </row>
    <row r="3886">
      <c r="A3886" s="16" t="n"/>
      <c r="B3886" s="19" t="n"/>
      <c r="D3886" s="16" t="n"/>
      <c r="E3886" s="19" t="n"/>
      <c r="G3886" s="16" t="n"/>
      <c r="H3886" s="19" t="n"/>
      <c r="J3886" s="16" t="n"/>
      <c r="K3886" s="19" t="n"/>
      <c r="M3886" s="16" t="n"/>
      <c r="N3886" s="19" t="n"/>
    </row>
    <row r="3887">
      <c r="A3887" s="16" t="n"/>
      <c r="B3887" s="19" t="n"/>
      <c r="D3887" s="16" t="n"/>
      <c r="E3887" s="19" t="n"/>
      <c r="G3887" s="16" t="n"/>
      <c r="H3887" s="19" t="n"/>
      <c r="J3887" s="16" t="n"/>
      <c r="K3887" s="19" t="n"/>
      <c r="M3887" s="16" t="n"/>
      <c r="N3887" s="19" t="n"/>
    </row>
    <row r="3888">
      <c r="A3888" s="16" t="n"/>
      <c r="B3888" s="19" t="n"/>
      <c r="D3888" s="16" t="n"/>
      <c r="E3888" s="19" t="n"/>
      <c r="G3888" s="16" t="n"/>
      <c r="H3888" s="19" t="n"/>
      <c r="J3888" s="16" t="n"/>
      <c r="K3888" s="19" t="n"/>
      <c r="M3888" s="16" t="n"/>
      <c r="N3888" s="19" t="n"/>
    </row>
    <row r="3889">
      <c r="A3889" s="16" t="n"/>
      <c r="B3889" s="19" t="n"/>
      <c r="D3889" s="16" t="n"/>
      <c r="E3889" s="19" t="n"/>
      <c r="G3889" s="16" t="n"/>
      <c r="H3889" s="19" t="n"/>
      <c r="J3889" s="16" t="n"/>
      <c r="K3889" s="19" t="n"/>
      <c r="M3889" s="16" t="n"/>
      <c r="N3889" s="19" t="n"/>
    </row>
    <row r="3890">
      <c r="A3890" s="16" t="n"/>
      <c r="B3890" s="19" t="n"/>
      <c r="D3890" s="16" t="n"/>
      <c r="E3890" s="19" t="n"/>
      <c r="G3890" s="16" t="n"/>
      <c r="H3890" s="19" t="n"/>
      <c r="J3890" s="16" t="n"/>
      <c r="K3890" s="19" t="n"/>
      <c r="M3890" s="16" t="n"/>
      <c r="N3890" s="19" t="n"/>
    </row>
    <row r="3891">
      <c r="A3891" s="16" t="n"/>
      <c r="B3891" s="19" t="n"/>
      <c r="D3891" s="16" t="n"/>
      <c r="E3891" s="19" t="n"/>
      <c r="G3891" s="16" t="n"/>
      <c r="H3891" s="19" t="n"/>
      <c r="J3891" s="16" t="n"/>
      <c r="K3891" s="19" t="n"/>
      <c r="M3891" s="16" t="n"/>
      <c r="N3891" s="19" t="n"/>
    </row>
    <row r="3892">
      <c r="A3892" s="16" t="n"/>
      <c r="B3892" s="19" t="n"/>
      <c r="D3892" s="16" t="n"/>
      <c r="E3892" s="19" t="n"/>
      <c r="G3892" s="16" t="n"/>
      <c r="H3892" s="19" t="n"/>
      <c r="J3892" s="16" t="n"/>
      <c r="K3892" s="19" t="n"/>
      <c r="M3892" s="16" t="n"/>
      <c r="N3892" s="19" t="n"/>
    </row>
    <row r="3893">
      <c r="A3893" s="16" t="n"/>
      <c r="B3893" s="19" t="n"/>
      <c r="D3893" s="16" t="n"/>
      <c r="E3893" s="19" t="n"/>
      <c r="G3893" s="16" t="n"/>
      <c r="H3893" s="19" t="n"/>
      <c r="J3893" s="16" t="n"/>
      <c r="K3893" s="19" t="n"/>
      <c r="M3893" s="16" t="n"/>
      <c r="N3893" s="19" t="n"/>
    </row>
    <row r="3894">
      <c r="A3894" s="16" t="n"/>
      <c r="B3894" s="19" t="n"/>
      <c r="D3894" s="16" t="n"/>
      <c r="E3894" s="19" t="n"/>
      <c r="G3894" s="16" t="n"/>
      <c r="H3894" s="19" t="n"/>
      <c r="J3894" s="16" t="n"/>
      <c r="K3894" s="19" t="n"/>
      <c r="M3894" s="16" t="n"/>
      <c r="N3894" s="19" t="n"/>
    </row>
    <row r="3895">
      <c r="A3895" s="16" t="n"/>
      <c r="B3895" s="19" t="n"/>
      <c r="D3895" s="16" t="n"/>
      <c r="E3895" s="19" t="n"/>
      <c r="G3895" s="16" t="n"/>
      <c r="H3895" s="19" t="n"/>
      <c r="J3895" s="16" t="n"/>
      <c r="K3895" s="19" t="n"/>
      <c r="M3895" s="16" t="n"/>
      <c r="N3895" s="19" t="n"/>
    </row>
    <row r="3896">
      <c r="A3896" s="16" t="n"/>
      <c r="B3896" s="19" t="n"/>
      <c r="D3896" s="16" t="n"/>
      <c r="E3896" s="19" t="n"/>
      <c r="G3896" s="16" t="n"/>
      <c r="H3896" s="19" t="n"/>
      <c r="J3896" s="16" t="n"/>
      <c r="K3896" s="19" t="n"/>
      <c r="M3896" s="16" t="n"/>
      <c r="N3896" s="19" t="n"/>
    </row>
    <row r="3897">
      <c r="A3897" s="16" t="n"/>
      <c r="B3897" s="19" t="n"/>
      <c r="D3897" s="16" t="n"/>
      <c r="E3897" s="19" t="n"/>
      <c r="G3897" s="16" t="n"/>
      <c r="H3897" s="19" t="n"/>
      <c r="J3897" s="16" t="n"/>
      <c r="K3897" s="19" t="n"/>
      <c r="M3897" s="16" t="n"/>
      <c r="N3897" s="19" t="n"/>
    </row>
    <row r="3898">
      <c r="A3898" s="16" t="n"/>
      <c r="B3898" s="19" t="n"/>
      <c r="D3898" s="16" t="n"/>
      <c r="E3898" s="19" t="n"/>
      <c r="G3898" s="16" t="n"/>
      <c r="H3898" s="19" t="n"/>
      <c r="J3898" s="16" t="n"/>
      <c r="K3898" s="19" t="n"/>
      <c r="M3898" s="16" t="n"/>
      <c r="N3898" s="19" t="n"/>
    </row>
    <row r="3899">
      <c r="A3899" s="16" t="n"/>
      <c r="B3899" s="19" t="n"/>
      <c r="D3899" s="16" t="n"/>
      <c r="E3899" s="19" t="n"/>
      <c r="G3899" s="16" t="n"/>
      <c r="H3899" s="19" t="n"/>
      <c r="J3899" s="16" t="n"/>
      <c r="K3899" s="19" t="n"/>
      <c r="M3899" s="16" t="n"/>
      <c r="N3899" s="19" t="n"/>
    </row>
    <row r="3900">
      <c r="A3900" s="16" t="n"/>
      <c r="B3900" s="19" t="n"/>
      <c r="D3900" s="16" t="n"/>
      <c r="E3900" s="19" t="n"/>
      <c r="G3900" s="16" t="n"/>
      <c r="H3900" s="19" t="n"/>
      <c r="J3900" s="16" t="n"/>
      <c r="K3900" s="19" t="n"/>
      <c r="M3900" s="16" t="n"/>
      <c r="N3900" s="19" t="n"/>
    </row>
    <row r="3901">
      <c r="A3901" s="16" t="n"/>
      <c r="B3901" s="19" t="n"/>
      <c r="D3901" s="16" t="n"/>
      <c r="E3901" s="19" t="n"/>
      <c r="G3901" s="16" t="n"/>
      <c r="H3901" s="19" t="n"/>
      <c r="J3901" s="16" t="n"/>
      <c r="K3901" s="19" t="n"/>
      <c r="M3901" s="16" t="n"/>
      <c r="N3901" s="19" t="n"/>
    </row>
    <row r="3902">
      <c r="A3902" s="16" t="n"/>
      <c r="B3902" s="19" t="n"/>
      <c r="D3902" s="16" t="n"/>
      <c r="E3902" s="19" t="n"/>
      <c r="G3902" s="16" t="n"/>
      <c r="H3902" s="19" t="n"/>
      <c r="J3902" s="16" t="n"/>
      <c r="K3902" s="19" t="n"/>
      <c r="M3902" s="16" t="n"/>
      <c r="N3902" s="19" t="n"/>
    </row>
    <row r="3903">
      <c r="A3903" s="16" t="n"/>
      <c r="B3903" s="19" t="n"/>
      <c r="D3903" s="16" t="n"/>
      <c r="E3903" s="19" t="n"/>
      <c r="G3903" s="16" t="n"/>
      <c r="H3903" s="19" t="n"/>
      <c r="J3903" s="16" t="n"/>
      <c r="K3903" s="19" t="n"/>
      <c r="M3903" s="16" t="n"/>
      <c r="N3903" s="19" t="n"/>
    </row>
    <row r="3904">
      <c r="A3904" s="16" t="n"/>
      <c r="B3904" s="19" t="n"/>
      <c r="D3904" s="16" t="n"/>
      <c r="E3904" s="19" t="n"/>
      <c r="G3904" s="16" t="n"/>
      <c r="H3904" s="19" t="n"/>
      <c r="J3904" s="16" t="n"/>
      <c r="K3904" s="19" t="n"/>
      <c r="M3904" s="16" t="n"/>
      <c r="N3904" s="19" t="n"/>
    </row>
    <row r="3905">
      <c r="A3905" s="16" t="n"/>
      <c r="B3905" s="19" t="n"/>
      <c r="D3905" s="16" t="n"/>
      <c r="E3905" s="19" t="n"/>
      <c r="G3905" s="16" t="n"/>
      <c r="H3905" s="19" t="n"/>
      <c r="J3905" s="16" t="n"/>
      <c r="K3905" s="19" t="n"/>
      <c r="M3905" s="16" t="n"/>
      <c r="N3905" s="19" t="n"/>
    </row>
    <row r="3906">
      <c r="A3906" s="16" t="n"/>
      <c r="B3906" s="19" t="n"/>
      <c r="D3906" s="16" t="n"/>
      <c r="E3906" s="19" t="n"/>
      <c r="G3906" s="16" t="n"/>
      <c r="H3906" s="19" t="n"/>
      <c r="J3906" s="16" t="n"/>
      <c r="K3906" s="19" t="n"/>
      <c r="M3906" s="16" t="n"/>
      <c r="N3906" s="19" t="n"/>
    </row>
    <row r="3907">
      <c r="A3907" s="16" t="n"/>
      <c r="B3907" s="19" t="n"/>
      <c r="D3907" s="16" t="n"/>
      <c r="E3907" s="19" t="n"/>
      <c r="G3907" s="16" t="n"/>
      <c r="H3907" s="19" t="n"/>
      <c r="J3907" s="16" t="n"/>
      <c r="K3907" s="19" t="n"/>
      <c r="M3907" s="16" t="n"/>
      <c r="N3907" s="19" t="n"/>
    </row>
    <row r="3908">
      <c r="A3908" s="16" t="n"/>
      <c r="B3908" s="19" t="n"/>
      <c r="D3908" s="16" t="n"/>
      <c r="E3908" s="19" t="n"/>
      <c r="G3908" s="16" t="n"/>
      <c r="H3908" s="19" t="n"/>
      <c r="J3908" s="16" t="n"/>
      <c r="K3908" s="19" t="n"/>
      <c r="M3908" s="16" t="n"/>
      <c r="N3908" s="19" t="n"/>
    </row>
    <row r="3909">
      <c r="A3909" s="16" t="n"/>
      <c r="B3909" s="19" t="n"/>
      <c r="D3909" s="16" t="n"/>
      <c r="E3909" s="19" t="n"/>
      <c r="G3909" s="16" t="n"/>
      <c r="H3909" s="19" t="n"/>
      <c r="J3909" s="16" t="n"/>
      <c r="K3909" s="19" t="n"/>
      <c r="M3909" s="16" t="n"/>
      <c r="N3909" s="19" t="n"/>
    </row>
    <row r="3910">
      <c r="A3910" s="16" t="n"/>
      <c r="B3910" s="19" t="n"/>
      <c r="D3910" s="16" t="n"/>
      <c r="E3910" s="19" t="n"/>
      <c r="G3910" s="16" t="n"/>
      <c r="H3910" s="19" t="n"/>
      <c r="J3910" s="16" t="n"/>
      <c r="K3910" s="19" t="n"/>
      <c r="M3910" s="16" t="n"/>
      <c r="N3910" s="19" t="n"/>
    </row>
    <row r="3911">
      <c r="A3911" s="16" t="n"/>
      <c r="B3911" s="19" t="n"/>
      <c r="D3911" s="16" t="n"/>
      <c r="E3911" s="19" t="n"/>
      <c r="G3911" s="16" t="n"/>
      <c r="H3911" s="19" t="n"/>
      <c r="J3911" s="16" t="n"/>
      <c r="K3911" s="19" t="n"/>
      <c r="M3911" s="16" t="n"/>
      <c r="N3911" s="19" t="n"/>
    </row>
    <row r="3912">
      <c r="A3912" s="16" t="n"/>
      <c r="B3912" s="19" t="n"/>
      <c r="D3912" s="16" t="n"/>
      <c r="E3912" s="19" t="n"/>
      <c r="G3912" s="16" t="n"/>
      <c r="H3912" s="19" t="n"/>
      <c r="J3912" s="16" t="n"/>
      <c r="K3912" s="19" t="n"/>
      <c r="M3912" s="16" t="n"/>
      <c r="N3912" s="19" t="n"/>
    </row>
    <row r="3913">
      <c r="A3913" s="16" t="n"/>
      <c r="B3913" s="19" t="n"/>
      <c r="D3913" s="16" t="n"/>
      <c r="E3913" s="19" t="n"/>
      <c r="G3913" s="16" t="n"/>
      <c r="H3913" s="19" t="n"/>
      <c r="J3913" s="16" t="n"/>
      <c r="K3913" s="19" t="n"/>
      <c r="M3913" s="16" t="n"/>
      <c r="N3913" s="19" t="n"/>
    </row>
    <row r="3914">
      <c r="A3914" s="16" t="n"/>
      <c r="B3914" s="19" t="n"/>
      <c r="D3914" s="16" t="n"/>
      <c r="E3914" s="19" t="n"/>
      <c r="G3914" s="16" t="n"/>
      <c r="H3914" s="19" t="n"/>
      <c r="J3914" s="16" t="n"/>
      <c r="K3914" s="19" t="n"/>
      <c r="M3914" s="16" t="n"/>
      <c r="N3914" s="19" t="n"/>
    </row>
    <row r="3915">
      <c r="A3915" s="16" t="n"/>
      <c r="B3915" s="19" t="n"/>
      <c r="D3915" s="16" t="n"/>
      <c r="E3915" s="19" t="n"/>
      <c r="G3915" s="16" t="n"/>
      <c r="H3915" s="19" t="n"/>
      <c r="J3915" s="16" t="n"/>
      <c r="K3915" s="19" t="n"/>
      <c r="M3915" s="16" t="n"/>
      <c r="N3915" s="19" t="n"/>
    </row>
    <row r="3916">
      <c r="A3916" s="16" t="n"/>
      <c r="B3916" s="19" t="n"/>
      <c r="D3916" s="16" t="n"/>
      <c r="E3916" s="19" t="n"/>
      <c r="G3916" s="16" t="n"/>
      <c r="H3916" s="19" t="n"/>
      <c r="J3916" s="16" t="n"/>
      <c r="K3916" s="19" t="n"/>
      <c r="M3916" s="16" t="n"/>
      <c r="N3916" s="19" t="n"/>
    </row>
    <row r="3917">
      <c r="A3917" s="16" t="n"/>
      <c r="B3917" s="19" t="n"/>
      <c r="D3917" s="16" t="n"/>
      <c r="E3917" s="19" t="n"/>
      <c r="G3917" s="16" t="n"/>
      <c r="H3917" s="19" t="n"/>
      <c r="J3917" s="16" t="n"/>
      <c r="K3917" s="19" t="n"/>
      <c r="M3917" s="16" t="n"/>
      <c r="N3917" s="19" t="n"/>
    </row>
    <row r="3918">
      <c r="A3918" s="16" t="n"/>
      <c r="B3918" s="19" t="n"/>
      <c r="D3918" s="16" t="n"/>
      <c r="E3918" s="19" t="n"/>
      <c r="G3918" s="16" t="n"/>
      <c r="H3918" s="19" t="n"/>
      <c r="J3918" s="16" t="n"/>
      <c r="K3918" s="19" t="n"/>
      <c r="M3918" s="16" t="n"/>
      <c r="N3918" s="19" t="n"/>
    </row>
    <row r="3919">
      <c r="A3919" s="16" t="n"/>
      <c r="B3919" s="19" t="n"/>
      <c r="D3919" s="16" t="n"/>
      <c r="E3919" s="19" t="n"/>
      <c r="G3919" s="16" t="n"/>
      <c r="H3919" s="19" t="n"/>
      <c r="J3919" s="16" t="n"/>
      <c r="K3919" s="19" t="n"/>
      <c r="M3919" s="16" t="n"/>
      <c r="N3919" s="19" t="n"/>
    </row>
    <row r="3920">
      <c r="A3920" s="16" t="n"/>
      <c r="B3920" s="19" t="n"/>
      <c r="D3920" s="16" t="n"/>
      <c r="E3920" s="19" t="n"/>
      <c r="G3920" s="16" t="n"/>
      <c r="H3920" s="19" t="n"/>
      <c r="J3920" s="16" t="n"/>
      <c r="K3920" s="19" t="n"/>
      <c r="M3920" s="16" t="n"/>
      <c r="N3920" s="19" t="n"/>
    </row>
    <row r="3921">
      <c r="A3921" s="16" t="n"/>
      <c r="B3921" s="19" t="n"/>
      <c r="D3921" s="16" t="n"/>
      <c r="E3921" s="19" t="n"/>
      <c r="G3921" s="16" t="n"/>
      <c r="H3921" s="19" t="n"/>
      <c r="J3921" s="16" t="n"/>
      <c r="K3921" s="19" t="n"/>
      <c r="M3921" s="16" t="n"/>
      <c r="N3921" s="19" t="n"/>
    </row>
    <row r="3922">
      <c r="A3922" s="16" t="n"/>
      <c r="B3922" s="19" t="n"/>
      <c r="D3922" s="16" t="n"/>
      <c r="E3922" s="19" t="n"/>
      <c r="G3922" s="16" t="n"/>
      <c r="H3922" s="19" t="n"/>
      <c r="J3922" s="16" t="n"/>
      <c r="K3922" s="19" t="n"/>
      <c r="M3922" s="16" t="n"/>
      <c r="N3922" s="19" t="n"/>
    </row>
    <row r="3923">
      <c r="A3923" s="16" t="n"/>
      <c r="B3923" s="19" t="n"/>
      <c r="D3923" s="16" t="n"/>
      <c r="E3923" s="19" t="n"/>
      <c r="G3923" s="16" t="n"/>
      <c r="H3923" s="19" t="n"/>
      <c r="J3923" s="16" t="n"/>
      <c r="K3923" s="19" t="n"/>
      <c r="M3923" s="16" t="n"/>
      <c r="N3923" s="19" t="n"/>
    </row>
    <row r="3924">
      <c r="A3924" s="16" t="n"/>
      <c r="B3924" s="19" t="n"/>
      <c r="D3924" s="16" t="n"/>
      <c r="E3924" s="19" t="n"/>
      <c r="G3924" s="16" t="n"/>
      <c r="H3924" s="19" t="n"/>
      <c r="J3924" s="16" t="n"/>
      <c r="K3924" s="19" t="n"/>
      <c r="M3924" s="16" t="n"/>
      <c r="N3924" s="19" t="n"/>
    </row>
    <row r="3925">
      <c r="A3925" s="16" t="n"/>
      <c r="B3925" s="19" t="n"/>
      <c r="D3925" s="16" t="n"/>
      <c r="E3925" s="19" t="n"/>
      <c r="G3925" s="16" t="n"/>
      <c r="H3925" s="19" t="n"/>
      <c r="J3925" s="16" t="n"/>
      <c r="K3925" s="19" t="n"/>
      <c r="M3925" s="16" t="n"/>
      <c r="N3925" s="19" t="n"/>
    </row>
    <row r="3926">
      <c r="A3926" s="16" t="n"/>
      <c r="B3926" s="19" t="n"/>
      <c r="D3926" s="16" t="n"/>
      <c r="E3926" s="19" t="n"/>
      <c r="G3926" s="16" t="n"/>
      <c r="H3926" s="19" t="n"/>
      <c r="J3926" s="16" t="n"/>
      <c r="K3926" s="19" t="n"/>
      <c r="M3926" s="16" t="n"/>
      <c r="N3926" s="19" t="n"/>
    </row>
    <row r="3927">
      <c r="A3927" s="16" t="n"/>
      <c r="B3927" s="19" t="n"/>
      <c r="D3927" s="16" t="n"/>
      <c r="E3927" s="19" t="n"/>
      <c r="G3927" s="16" t="n"/>
      <c r="H3927" s="19" t="n"/>
      <c r="J3927" s="16" t="n"/>
      <c r="K3927" s="19" t="n"/>
      <c r="M3927" s="16" t="n"/>
      <c r="N3927" s="19" t="n"/>
    </row>
    <row r="3928">
      <c r="A3928" s="16" t="n"/>
      <c r="B3928" s="19" t="n"/>
      <c r="D3928" s="16" t="n"/>
      <c r="E3928" s="19" t="n"/>
      <c r="G3928" s="16" t="n"/>
      <c r="H3928" s="19" t="n"/>
      <c r="J3928" s="16" t="n"/>
      <c r="K3928" s="19" t="n"/>
      <c r="M3928" s="16" t="n"/>
      <c r="N3928" s="19" t="n"/>
    </row>
    <row r="3929">
      <c r="A3929" s="16" t="n"/>
      <c r="B3929" s="19" t="n"/>
      <c r="D3929" s="16" t="n"/>
      <c r="E3929" s="19" t="n"/>
      <c r="G3929" s="16" t="n"/>
      <c r="H3929" s="19" t="n"/>
      <c r="J3929" s="16" t="n"/>
      <c r="K3929" s="19" t="n"/>
      <c r="M3929" s="16" t="n"/>
      <c r="N3929" s="19" t="n"/>
    </row>
    <row r="3930">
      <c r="A3930" s="16" t="n"/>
      <c r="B3930" s="19" t="n"/>
      <c r="D3930" s="16" t="n"/>
      <c r="E3930" s="19" t="n"/>
      <c r="G3930" s="16" t="n"/>
      <c r="H3930" s="19" t="n"/>
      <c r="J3930" s="16" t="n"/>
      <c r="K3930" s="19" t="n"/>
      <c r="M3930" s="16" t="n"/>
      <c r="N3930" s="19" t="n"/>
    </row>
    <row r="3931">
      <c r="A3931" s="16" t="n"/>
      <c r="B3931" s="19" t="n"/>
      <c r="D3931" s="16" t="n"/>
      <c r="E3931" s="19" t="n"/>
      <c r="G3931" s="16" t="n"/>
      <c r="H3931" s="19" t="n"/>
      <c r="J3931" s="16" t="n"/>
      <c r="K3931" s="19" t="n"/>
      <c r="M3931" s="16" t="n"/>
      <c r="N3931" s="19" t="n"/>
    </row>
    <row r="3932">
      <c r="A3932" s="16" t="n"/>
      <c r="B3932" s="19" t="n"/>
      <c r="D3932" s="16" t="n"/>
      <c r="E3932" s="19" t="n"/>
      <c r="G3932" s="16" t="n"/>
      <c r="H3932" s="19" t="n"/>
      <c r="J3932" s="16" t="n"/>
      <c r="K3932" s="19" t="n"/>
      <c r="M3932" s="16" t="n"/>
      <c r="N3932" s="19" t="n"/>
    </row>
    <row r="3933">
      <c r="A3933" s="16" t="n"/>
      <c r="B3933" s="19" t="n"/>
      <c r="D3933" s="16" t="n"/>
      <c r="E3933" s="19" t="n"/>
      <c r="G3933" s="16" t="n"/>
      <c r="H3933" s="19" t="n"/>
      <c r="J3933" s="16" t="n"/>
      <c r="K3933" s="19" t="n"/>
      <c r="M3933" s="16" t="n"/>
      <c r="N3933" s="19" t="n"/>
    </row>
    <row r="3934">
      <c r="A3934" s="16" t="n"/>
      <c r="B3934" s="19" t="n"/>
      <c r="D3934" s="16" t="n"/>
      <c r="E3934" s="19" t="n"/>
      <c r="G3934" s="16" t="n"/>
      <c r="H3934" s="19" t="n"/>
      <c r="J3934" s="16" t="n"/>
      <c r="K3934" s="19" t="n"/>
      <c r="M3934" s="16" t="n"/>
      <c r="N3934" s="19" t="n"/>
    </row>
    <row r="3935">
      <c r="A3935" s="16" t="n"/>
      <c r="B3935" s="19" t="n"/>
      <c r="D3935" s="16" t="n"/>
      <c r="E3935" s="19" t="n"/>
      <c r="G3935" s="16" t="n"/>
      <c r="H3935" s="19" t="n"/>
      <c r="J3935" s="16" t="n"/>
      <c r="K3935" s="19" t="n"/>
      <c r="M3935" s="16" t="n"/>
      <c r="N3935" s="19" t="n"/>
    </row>
    <row r="3936">
      <c r="A3936" s="16" t="n"/>
      <c r="B3936" s="19" t="n"/>
      <c r="D3936" s="16" t="n"/>
      <c r="E3936" s="19" t="n"/>
      <c r="G3936" s="16" t="n"/>
      <c r="H3936" s="19" t="n"/>
      <c r="J3936" s="16" t="n"/>
      <c r="K3936" s="19" t="n"/>
      <c r="M3936" s="16" t="n"/>
      <c r="N3936" s="19" t="n"/>
    </row>
    <row r="3937">
      <c r="A3937" s="16" t="n"/>
      <c r="B3937" s="19" t="n"/>
      <c r="D3937" s="16" t="n"/>
      <c r="E3937" s="19" t="n"/>
      <c r="G3937" s="16" t="n"/>
      <c r="H3937" s="19" t="n"/>
      <c r="J3937" s="16" t="n"/>
      <c r="K3937" s="19" t="n"/>
      <c r="M3937" s="16" t="n"/>
      <c r="N3937" s="19" t="n"/>
    </row>
    <row r="3938">
      <c r="A3938" s="16" t="n"/>
      <c r="B3938" s="19" t="n"/>
      <c r="D3938" s="16" t="n"/>
      <c r="E3938" s="19" t="n"/>
      <c r="G3938" s="16" t="n"/>
      <c r="H3938" s="19" t="n"/>
      <c r="J3938" s="16" t="n"/>
      <c r="K3938" s="19" t="n"/>
      <c r="M3938" s="16" t="n"/>
      <c r="N3938" s="19" t="n"/>
    </row>
    <row r="3939">
      <c r="A3939" s="16" t="n"/>
      <c r="B3939" s="19" t="n"/>
      <c r="D3939" s="16" t="n"/>
      <c r="E3939" s="19" t="n"/>
      <c r="G3939" s="16" t="n"/>
      <c r="H3939" s="19" t="n"/>
      <c r="J3939" s="16" t="n"/>
      <c r="K3939" s="19" t="n"/>
      <c r="M3939" s="16" t="n"/>
      <c r="N3939" s="19" t="n"/>
    </row>
    <row r="3940">
      <c r="A3940" s="16" t="n"/>
      <c r="B3940" s="19" t="n"/>
      <c r="D3940" s="16" t="n"/>
      <c r="E3940" s="19" t="n"/>
      <c r="G3940" s="16" t="n"/>
      <c r="H3940" s="19" t="n"/>
      <c r="J3940" s="16" t="n"/>
      <c r="K3940" s="19" t="n"/>
      <c r="M3940" s="16" t="n"/>
      <c r="N3940" s="19" t="n"/>
    </row>
    <row r="3941">
      <c r="A3941" s="16" t="n"/>
      <c r="B3941" s="19" t="n"/>
      <c r="D3941" s="16" t="n"/>
      <c r="E3941" s="19" t="n"/>
      <c r="G3941" s="16" t="n"/>
      <c r="H3941" s="19" t="n"/>
      <c r="J3941" s="16" t="n"/>
      <c r="K3941" s="19" t="n"/>
      <c r="M3941" s="16" t="n"/>
      <c r="N3941" s="19" t="n"/>
    </row>
    <row r="3942">
      <c r="A3942" s="16" t="n"/>
      <c r="B3942" s="19" t="n"/>
      <c r="D3942" s="16" t="n"/>
      <c r="E3942" s="19" t="n"/>
      <c r="G3942" s="16" t="n"/>
      <c r="H3942" s="19" t="n"/>
      <c r="J3942" s="16" t="n"/>
      <c r="K3942" s="19" t="n"/>
      <c r="M3942" s="16" t="n"/>
      <c r="N3942" s="19" t="n"/>
    </row>
    <row r="3943">
      <c r="A3943" s="16" t="n"/>
      <c r="B3943" s="19" t="n"/>
      <c r="D3943" s="16" t="n"/>
      <c r="E3943" s="19" t="n"/>
      <c r="G3943" s="16" t="n"/>
      <c r="H3943" s="19" t="n"/>
      <c r="J3943" s="16" t="n"/>
      <c r="K3943" s="19" t="n"/>
      <c r="M3943" s="16" t="n"/>
      <c r="N3943" s="19" t="n"/>
    </row>
    <row r="3944">
      <c r="A3944" s="16" t="n"/>
      <c r="B3944" s="19" t="n"/>
      <c r="D3944" s="16" t="n"/>
      <c r="E3944" s="19" t="n"/>
      <c r="G3944" s="16" t="n"/>
      <c r="H3944" s="19" t="n"/>
      <c r="J3944" s="16" t="n"/>
      <c r="K3944" s="19" t="n"/>
      <c r="M3944" s="16" t="n"/>
      <c r="N3944" s="19" t="n"/>
    </row>
    <row r="3945">
      <c r="A3945" s="16" t="n"/>
      <c r="B3945" s="19" t="n"/>
      <c r="D3945" s="16" t="n"/>
      <c r="E3945" s="19" t="n"/>
      <c r="G3945" s="16" t="n"/>
      <c r="H3945" s="19" t="n"/>
      <c r="J3945" s="16" t="n"/>
      <c r="K3945" s="19" t="n"/>
      <c r="M3945" s="16" t="n"/>
      <c r="N3945" s="19" t="n"/>
    </row>
    <row r="3946">
      <c r="A3946" s="16" t="n"/>
      <c r="B3946" s="19" t="n"/>
      <c r="D3946" s="16" t="n"/>
      <c r="E3946" s="19" t="n"/>
      <c r="G3946" s="16" t="n"/>
      <c r="H3946" s="19" t="n"/>
      <c r="J3946" s="16" t="n"/>
      <c r="K3946" s="19" t="n"/>
      <c r="M3946" s="16" t="n"/>
      <c r="N3946" s="19" t="n"/>
    </row>
    <row r="3947">
      <c r="A3947" s="16" t="n"/>
      <c r="B3947" s="19" t="n"/>
      <c r="D3947" s="16" t="n"/>
      <c r="E3947" s="19" t="n"/>
      <c r="G3947" s="16" t="n"/>
      <c r="H3947" s="19" t="n"/>
      <c r="J3947" s="16" t="n"/>
      <c r="K3947" s="19" t="n"/>
      <c r="M3947" s="16" t="n"/>
      <c r="N3947" s="19" t="n"/>
    </row>
    <row r="3948">
      <c r="A3948" s="16" t="n"/>
      <c r="B3948" s="19" t="n"/>
      <c r="D3948" s="16" t="n"/>
      <c r="E3948" s="19" t="n"/>
      <c r="G3948" s="16" t="n"/>
      <c r="H3948" s="19" t="n"/>
      <c r="J3948" s="16" t="n"/>
      <c r="K3948" s="19" t="n"/>
      <c r="M3948" s="16" t="n"/>
      <c r="N3948" s="19" t="n"/>
    </row>
    <row r="3949">
      <c r="A3949" s="16" t="n"/>
      <c r="B3949" s="19" t="n"/>
      <c r="D3949" s="16" t="n"/>
      <c r="E3949" s="19" t="n"/>
      <c r="G3949" s="16" t="n"/>
      <c r="H3949" s="19" t="n"/>
      <c r="J3949" s="16" t="n"/>
      <c r="K3949" s="19" t="n"/>
      <c r="M3949" s="16" t="n"/>
      <c r="N3949" s="19" t="n"/>
    </row>
    <row r="3950">
      <c r="A3950" s="16" t="n"/>
      <c r="B3950" s="19" t="n"/>
      <c r="D3950" s="16" t="n"/>
      <c r="E3950" s="19" t="n"/>
      <c r="G3950" s="16" t="n"/>
      <c r="H3950" s="19" t="n"/>
      <c r="J3950" s="16" t="n"/>
      <c r="K3950" s="19" t="n"/>
      <c r="M3950" s="16" t="n"/>
      <c r="N3950" s="19" t="n"/>
    </row>
    <row r="3951">
      <c r="A3951" s="16" t="n"/>
      <c r="B3951" s="19" t="n"/>
      <c r="D3951" s="16" t="n"/>
      <c r="E3951" s="19" t="n"/>
      <c r="G3951" s="16" t="n"/>
      <c r="H3951" s="19" t="n"/>
      <c r="J3951" s="16" t="n"/>
      <c r="K3951" s="19" t="n"/>
      <c r="M3951" s="16" t="n"/>
      <c r="N3951" s="19" t="n"/>
    </row>
    <row r="3952">
      <c r="A3952" s="16" t="n"/>
      <c r="B3952" s="19" t="n"/>
      <c r="D3952" s="16" t="n"/>
      <c r="E3952" s="19" t="n"/>
      <c r="G3952" s="16" t="n"/>
      <c r="H3952" s="19" t="n"/>
      <c r="J3952" s="16" t="n"/>
      <c r="K3952" s="19" t="n"/>
      <c r="M3952" s="16" t="n"/>
      <c r="N3952" s="19" t="n"/>
    </row>
    <row r="3953">
      <c r="A3953" s="16" t="n"/>
      <c r="B3953" s="19" t="n"/>
      <c r="D3953" s="16" t="n"/>
      <c r="E3953" s="19" t="n"/>
      <c r="G3953" s="16" t="n"/>
      <c r="H3953" s="19" t="n"/>
      <c r="J3953" s="16" t="n"/>
      <c r="K3953" s="19" t="n"/>
      <c r="M3953" s="16" t="n"/>
      <c r="N3953" s="19" t="n"/>
    </row>
    <row r="3954">
      <c r="A3954" s="16" t="n"/>
      <c r="B3954" s="19" t="n"/>
      <c r="D3954" s="16" t="n"/>
      <c r="E3954" s="19" t="n"/>
      <c r="G3954" s="16" t="n"/>
      <c r="H3954" s="19" t="n"/>
      <c r="J3954" s="16" t="n"/>
      <c r="K3954" s="19" t="n"/>
      <c r="M3954" s="16" t="n"/>
      <c r="N3954" s="19" t="n"/>
    </row>
    <row r="3955">
      <c r="A3955" s="16" t="n"/>
      <c r="B3955" s="19" t="n"/>
      <c r="D3955" s="16" t="n"/>
      <c r="E3955" s="19" t="n"/>
      <c r="G3955" s="16" t="n"/>
      <c r="H3955" s="19" t="n"/>
      <c r="J3955" s="16" t="n"/>
      <c r="K3955" s="19" t="n"/>
      <c r="M3955" s="16" t="n"/>
      <c r="N3955" s="19" t="n"/>
    </row>
    <row r="3956">
      <c r="A3956" s="16" t="n"/>
      <c r="B3956" s="19" t="n"/>
      <c r="D3956" s="16" t="n"/>
      <c r="E3956" s="19" t="n"/>
      <c r="G3956" s="16" t="n"/>
      <c r="H3956" s="19" t="n"/>
      <c r="J3956" s="16" t="n"/>
      <c r="K3956" s="19" t="n"/>
      <c r="M3956" s="16" t="n"/>
      <c r="N3956" s="19" t="n"/>
    </row>
    <row r="3957">
      <c r="A3957" s="16" t="n"/>
      <c r="B3957" s="19" t="n"/>
      <c r="D3957" s="16" t="n"/>
      <c r="E3957" s="19" t="n"/>
      <c r="G3957" s="16" t="n"/>
      <c r="H3957" s="19" t="n"/>
      <c r="J3957" s="16" t="n"/>
      <c r="K3957" s="19" t="n"/>
      <c r="M3957" s="16" t="n"/>
      <c r="N3957" s="19" t="n"/>
    </row>
    <row r="3958">
      <c r="A3958" s="16" t="n"/>
      <c r="B3958" s="19" t="n"/>
      <c r="D3958" s="16" t="n"/>
      <c r="E3958" s="19" t="n"/>
      <c r="G3958" s="16" t="n"/>
      <c r="H3958" s="19" t="n"/>
      <c r="J3958" s="16" t="n"/>
      <c r="K3958" s="19" t="n"/>
      <c r="M3958" s="16" t="n"/>
      <c r="N3958" s="19" t="n"/>
    </row>
    <row r="3959">
      <c r="A3959" s="16" t="n"/>
      <c r="B3959" s="19" t="n"/>
      <c r="D3959" s="16" t="n"/>
      <c r="E3959" s="19" t="n"/>
      <c r="G3959" s="16" t="n"/>
      <c r="H3959" s="19" t="n"/>
      <c r="J3959" s="16" t="n"/>
      <c r="K3959" s="19" t="n"/>
      <c r="M3959" s="16" t="n"/>
      <c r="N3959" s="19" t="n"/>
    </row>
    <row r="3960">
      <c r="A3960" s="16" t="n"/>
      <c r="B3960" s="19" t="n"/>
      <c r="D3960" s="16" t="n"/>
      <c r="E3960" s="19" t="n"/>
      <c r="G3960" s="16" t="n"/>
      <c r="H3960" s="19" t="n"/>
      <c r="J3960" s="16" t="n"/>
      <c r="K3960" s="19" t="n"/>
      <c r="M3960" s="16" t="n"/>
      <c r="N3960" s="19" t="n"/>
    </row>
    <row r="3961">
      <c r="A3961" s="16" t="n"/>
      <c r="B3961" s="19" t="n"/>
      <c r="D3961" s="16" t="n"/>
      <c r="E3961" s="19" t="n"/>
      <c r="G3961" s="16" t="n"/>
      <c r="H3961" s="19" t="n"/>
      <c r="J3961" s="16" t="n"/>
      <c r="K3961" s="19" t="n"/>
      <c r="M3961" s="16" t="n"/>
      <c r="N3961" s="19" t="n"/>
    </row>
    <row r="3962">
      <c r="A3962" s="16" t="n"/>
      <c r="B3962" s="19" t="n"/>
      <c r="D3962" s="16" t="n"/>
      <c r="E3962" s="19" t="n"/>
      <c r="G3962" s="16" t="n"/>
      <c r="H3962" s="19" t="n"/>
      <c r="J3962" s="16" t="n"/>
      <c r="K3962" s="19" t="n"/>
      <c r="M3962" s="16" t="n"/>
      <c r="N3962" s="19" t="n"/>
    </row>
    <row r="3963">
      <c r="A3963" s="16" t="n"/>
      <c r="B3963" s="19" t="n"/>
      <c r="D3963" s="16" t="n"/>
      <c r="E3963" s="19" t="n"/>
      <c r="G3963" s="16" t="n"/>
      <c r="H3963" s="19" t="n"/>
      <c r="J3963" s="16" t="n"/>
      <c r="K3963" s="19" t="n"/>
      <c r="M3963" s="16" t="n"/>
      <c r="N3963" s="19" t="n"/>
    </row>
    <row r="3964">
      <c r="A3964" s="16" t="n"/>
      <c r="B3964" s="19" t="n"/>
      <c r="D3964" s="16" t="n"/>
      <c r="E3964" s="19" t="n"/>
      <c r="G3964" s="16" t="n"/>
      <c r="H3964" s="19" t="n"/>
      <c r="J3964" s="16" t="n"/>
      <c r="K3964" s="19" t="n"/>
      <c r="M3964" s="16" t="n"/>
      <c r="N3964" s="19" t="n"/>
    </row>
    <row r="3965">
      <c r="A3965" s="16" t="n"/>
      <c r="B3965" s="19" t="n"/>
      <c r="D3965" s="16" t="n"/>
      <c r="E3965" s="19" t="n"/>
      <c r="G3965" s="16" t="n"/>
      <c r="H3965" s="19" t="n"/>
      <c r="J3965" s="16" t="n"/>
      <c r="K3965" s="19" t="n"/>
      <c r="M3965" s="16" t="n"/>
      <c r="N3965" s="19" t="n"/>
    </row>
    <row r="3966">
      <c r="A3966" s="16" t="n"/>
      <c r="B3966" s="19" t="n"/>
      <c r="D3966" s="16" t="n"/>
      <c r="E3966" s="19" t="n"/>
      <c r="G3966" s="16" t="n"/>
      <c r="H3966" s="19" t="n"/>
      <c r="J3966" s="16" t="n"/>
      <c r="K3966" s="19" t="n"/>
      <c r="M3966" s="16" t="n"/>
      <c r="N3966" s="19" t="n"/>
    </row>
    <row r="3967">
      <c r="A3967" s="16" t="n"/>
      <c r="B3967" s="19" t="n"/>
      <c r="D3967" s="16" t="n"/>
      <c r="E3967" s="19" t="n"/>
      <c r="G3967" s="16" t="n"/>
      <c r="H3967" s="19" t="n"/>
      <c r="J3967" s="16" t="n"/>
      <c r="K3967" s="19" t="n"/>
      <c r="M3967" s="16" t="n"/>
      <c r="N3967" s="19" t="n"/>
    </row>
    <row r="3968">
      <c r="A3968" s="16" t="n"/>
      <c r="B3968" s="19" t="n"/>
      <c r="D3968" s="16" t="n"/>
      <c r="E3968" s="19" t="n"/>
      <c r="G3968" s="16" t="n"/>
      <c r="H3968" s="19" t="n"/>
      <c r="J3968" s="16" t="n"/>
      <c r="K3968" s="19" t="n"/>
      <c r="M3968" s="16" t="n"/>
      <c r="N3968" s="19" t="n"/>
    </row>
    <row r="3969">
      <c r="A3969" s="16" t="n"/>
      <c r="B3969" s="19" t="n"/>
      <c r="D3969" s="16" t="n"/>
      <c r="E3969" s="19" t="n"/>
      <c r="G3969" s="16" t="n"/>
      <c r="H3969" s="19" t="n"/>
      <c r="J3969" s="16" t="n"/>
      <c r="K3969" s="19" t="n"/>
      <c r="M3969" s="16" t="n"/>
      <c r="N3969" s="19" t="n"/>
    </row>
    <row r="3970">
      <c r="A3970" s="16" t="n"/>
      <c r="B3970" s="19" t="n"/>
      <c r="D3970" s="16" t="n"/>
      <c r="E3970" s="19" t="n"/>
      <c r="G3970" s="16" t="n"/>
      <c r="H3970" s="19" t="n"/>
      <c r="J3970" s="16" t="n"/>
      <c r="K3970" s="19" t="n"/>
      <c r="M3970" s="16" t="n"/>
      <c r="N3970" s="19" t="n"/>
    </row>
    <row r="3971">
      <c r="A3971" s="16" t="n"/>
      <c r="B3971" s="19" t="n"/>
      <c r="D3971" s="16" t="n"/>
      <c r="E3971" s="19" t="n"/>
      <c r="G3971" s="16" t="n"/>
      <c r="H3971" s="19" t="n"/>
      <c r="J3971" s="16" t="n"/>
      <c r="K3971" s="19" t="n"/>
      <c r="M3971" s="16" t="n"/>
      <c r="N3971" s="19" t="n"/>
    </row>
    <row r="3972">
      <c r="A3972" s="16" t="n"/>
      <c r="B3972" s="19" t="n"/>
      <c r="D3972" s="16" t="n"/>
      <c r="E3972" s="19" t="n"/>
      <c r="G3972" s="16" t="n"/>
      <c r="H3972" s="19" t="n"/>
      <c r="J3972" s="16" t="n"/>
      <c r="K3972" s="19" t="n"/>
      <c r="M3972" s="16" t="n"/>
      <c r="N3972" s="19" t="n"/>
    </row>
    <row r="3973">
      <c r="A3973" s="16" t="n"/>
      <c r="B3973" s="19" t="n"/>
      <c r="D3973" s="16" t="n"/>
      <c r="E3973" s="19" t="n"/>
      <c r="G3973" s="16" t="n"/>
      <c r="H3973" s="19" t="n"/>
      <c r="J3973" s="16" t="n"/>
      <c r="K3973" s="19" t="n"/>
      <c r="M3973" s="16" t="n"/>
      <c r="N3973" s="19" t="n"/>
    </row>
    <row r="3974">
      <c r="A3974" s="16" t="n"/>
      <c r="B3974" s="19" t="n"/>
      <c r="D3974" s="16" t="n"/>
      <c r="E3974" s="19" t="n"/>
      <c r="G3974" s="16" t="n"/>
      <c r="H3974" s="19" t="n"/>
      <c r="J3974" s="16" t="n"/>
      <c r="K3974" s="19" t="n"/>
      <c r="M3974" s="16" t="n"/>
      <c r="N3974" s="19" t="n"/>
    </row>
    <row r="3975">
      <c r="A3975" s="16" t="n"/>
      <c r="B3975" s="19" t="n"/>
      <c r="D3975" s="16" t="n"/>
      <c r="E3975" s="19" t="n"/>
      <c r="G3975" s="16" t="n"/>
      <c r="H3975" s="19" t="n"/>
      <c r="J3975" s="16" t="n"/>
      <c r="K3975" s="19" t="n"/>
      <c r="M3975" s="16" t="n"/>
      <c r="N3975" s="19" t="n"/>
    </row>
    <row r="3976">
      <c r="A3976" s="16" t="n"/>
      <c r="B3976" s="19" t="n"/>
      <c r="D3976" s="16" t="n"/>
      <c r="E3976" s="19" t="n"/>
      <c r="G3976" s="16" t="n"/>
      <c r="H3976" s="19" t="n"/>
      <c r="J3976" s="16" t="n"/>
      <c r="K3976" s="19" t="n"/>
      <c r="M3976" s="16" t="n"/>
      <c r="N3976" s="19" t="n"/>
    </row>
    <row r="3977">
      <c r="A3977" s="16" t="n"/>
      <c r="B3977" s="19" t="n"/>
      <c r="D3977" s="16" t="n"/>
      <c r="E3977" s="19" t="n"/>
      <c r="G3977" s="16" t="n"/>
      <c r="H3977" s="19" t="n"/>
      <c r="J3977" s="16" t="n"/>
      <c r="K3977" s="19" t="n"/>
      <c r="M3977" s="16" t="n"/>
      <c r="N3977" s="19" t="n"/>
    </row>
    <row r="3978">
      <c r="A3978" s="16" t="n"/>
      <c r="B3978" s="19" t="n"/>
      <c r="D3978" s="16" t="n"/>
      <c r="E3978" s="19" t="n"/>
      <c r="G3978" s="16" t="n"/>
      <c r="H3978" s="19" t="n"/>
      <c r="J3978" s="16" t="n"/>
      <c r="K3978" s="19" t="n"/>
      <c r="M3978" s="16" t="n"/>
      <c r="N3978" s="19" t="n"/>
    </row>
    <row r="3979">
      <c r="A3979" s="16" t="n"/>
      <c r="B3979" s="19" t="n"/>
      <c r="D3979" s="16" t="n"/>
      <c r="E3979" s="19" t="n"/>
      <c r="G3979" s="16" t="n"/>
      <c r="H3979" s="19" t="n"/>
      <c r="J3979" s="16" t="n"/>
      <c r="K3979" s="19" t="n"/>
      <c r="M3979" s="16" t="n"/>
      <c r="N3979" s="19" t="n"/>
    </row>
    <row r="3980">
      <c r="A3980" s="16" t="n"/>
      <c r="B3980" s="19" t="n"/>
      <c r="D3980" s="16" t="n"/>
      <c r="E3980" s="19" t="n"/>
      <c r="G3980" s="16" t="n"/>
      <c r="H3980" s="19" t="n"/>
      <c r="J3980" s="16" t="n"/>
      <c r="K3980" s="19" t="n"/>
      <c r="M3980" s="16" t="n"/>
      <c r="N3980" s="19" t="n"/>
    </row>
    <row r="3981">
      <c r="A3981" s="16" t="n"/>
      <c r="B3981" s="19" t="n"/>
      <c r="D3981" s="16" t="n"/>
      <c r="E3981" s="19" t="n"/>
      <c r="G3981" s="16" t="n"/>
      <c r="H3981" s="19" t="n"/>
      <c r="J3981" s="16" t="n"/>
      <c r="K3981" s="19" t="n"/>
      <c r="M3981" s="16" t="n"/>
      <c r="N3981" s="19" t="n"/>
    </row>
    <row r="3982">
      <c r="A3982" s="16" t="n"/>
      <c r="B3982" s="19" t="n"/>
      <c r="D3982" s="16" t="n"/>
      <c r="E3982" s="19" t="n"/>
      <c r="G3982" s="16" t="n"/>
      <c r="H3982" s="19" t="n"/>
      <c r="J3982" s="16" t="n"/>
      <c r="K3982" s="19" t="n"/>
      <c r="M3982" s="16" t="n"/>
      <c r="N3982" s="19" t="n"/>
    </row>
    <row r="3983">
      <c r="A3983" s="16" t="n"/>
      <c r="B3983" s="19" t="n"/>
      <c r="D3983" s="16" t="n"/>
      <c r="E3983" s="19" t="n"/>
      <c r="G3983" s="16" t="n"/>
      <c r="H3983" s="19" t="n"/>
      <c r="J3983" s="16" t="n"/>
      <c r="K3983" s="19" t="n"/>
      <c r="M3983" s="16" t="n"/>
      <c r="N3983" s="19" t="n"/>
    </row>
    <row r="3984">
      <c r="A3984" s="16" t="n"/>
      <c r="B3984" s="19" t="n"/>
      <c r="D3984" s="16" t="n"/>
      <c r="E3984" s="19" t="n"/>
      <c r="G3984" s="16" t="n"/>
      <c r="H3984" s="19" t="n"/>
      <c r="J3984" s="16" t="n"/>
      <c r="K3984" s="19" t="n"/>
      <c r="M3984" s="16" t="n"/>
      <c r="N3984" s="19" t="n"/>
    </row>
    <row r="3985">
      <c r="A3985" s="16" t="n"/>
      <c r="B3985" s="19" t="n"/>
      <c r="D3985" s="16" t="n"/>
      <c r="E3985" s="19" t="n"/>
      <c r="G3985" s="16" t="n"/>
      <c r="H3985" s="19" t="n"/>
      <c r="J3985" s="16" t="n"/>
      <c r="K3985" s="19" t="n"/>
      <c r="M3985" s="16" t="n"/>
      <c r="N3985" s="19" t="n"/>
    </row>
    <row r="3986">
      <c r="A3986" s="16" t="n"/>
      <c r="B3986" s="19" t="n"/>
      <c r="D3986" s="16" t="n"/>
      <c r="E3986" s="19" t="n"/>
      <c r="G3986" s="16" t="n"/>
      <c r="H3986" s="19" t="n"/>
      <c r="J3986" s="16" t="n"/>
      <c r="K3986" s="19" t="n"/>
      <c r="M3986" s="16" t="n"/>
      <c r="N3986" s="19" t="n"/>
    </row>
    <row r="3987">
      <c r="A3987" s="16" t="n"/>
      <c r="B3987" s="19" t="n"/>
      <c r="D3987" s="16" t="n"/>
      <c r="E3987" s="19" t="n"/>
      <c r="G3987" s="16" t="n"/>
      <c r="H3987" s="19" t="n"/>
      <c r="J3987" s="16" t="n"/>
      <c r="K3987" s="19" t="n"/>
      <c r="M3987" s="16" t="n"/>
      <c r="N3987" s="19" t="n"/>
    </row>
    <row r="3988">
      <c r="A3988" s="16" t="n"/>
      <c r="B3988" s="19" t="n"/>
      <c r="D3988" s="16" t="n"/>
      <c r="E3988" s="19" t="n"/>
      <c r="G3988" s="16" t="n"/>
      <c r="H3988" s="19" t="n"/>
      <c r="J3988" s="16" t="n"/>
      <c r="K3988" s="19" t="n"/>
      <c r="M3988" s="16" t="n"/>
      <c r="N3988" s="19" t="n"/>
    </row>
    <row r="3989">
      <c r="A3989" s="16" t="n"/>
      <c r="B3989" s="19" t="n"/>
      <c r="D3989" s="16" t="n"/>
      <c r="E3989" s="19" t="n"/>
      <c r="G3989" s="16" t="n"/>
      <c r="H3989" s="19" t="n"/>
      <c r="J3989" s="16" t="n"/>
      <c r="K3989" s="19" t="n"/>
      <c r="M3989" s="16" t="n"/>
      <c r="N3989" s="19" t="n"/>
    </row>
    <row r="3990">
      <c r="A3990" s="16" t="n"/>
      <c r="B3990" s="19" t="n"/>
      <c r="D3990" s="16" t="n"/>
      <c r="E3990" s="19" t="n"/>
      <c r="G3990" s="16" t="n"/>
      <c r="H3990" s="19" t="n"/>
      <c r="J3990" s="16" t="n"/>
      <c r="K3990" s="19" t="n"/>
      <c r="M3990" s="16" t="n"/>
      <c r="N3990" s="19" t="n"/>
    </row>
    <row r="3991">
      <c r="A3991" s="16" t="n"/>
      <c r="B3991" s="19" t="n"/>
      <c r="D3991" s="16" t="n"/>
      <c r="E3991" s="19" t="n"/>
      <c r="G3991" s="16" t="n"/>
      <c r="H3991" s="19" t="n"/>
      <c r="J3991" s="16" t="n"/>
      <c r="K3991" s="19" t="n"/>
      <c r="M3991" s="16" t="n"/>
      <c r="N3991" s="19" t="n"/>
    </row>
    <row r="3992">
      <c r="A3992" s="16" t="n"/>
      <c r="B3992" s="19" t="n"/>
      <c r="D3992" s="16" t="n"/>
      <c r="E3992" s="19" t="n"/>
      <c r="G3992" s="16" t="n"/>
      <c r="H3992" s="19" t="n"/>
      <c r="J3992" s="16" t="n"/>
      <c r="K3992" s="19" t="n"/>
      <c r="M3992" s="16" t="n"/>
      <c r="N3992" s="19" t="n"/>
    </row>
    <row r="3993">
      <c r="A3993" s="16" t="n"/>
      <c r="B3993" s="19" t="n"/>
      <c r="D3993" s="16" t="n"/>
      <c r="E3993" s="19" t="n"/>
      <c r="G3993" s="16" t="n"/>
      <c r="H3993" s="19" t="n"/>
      <c r="J3993" s="16" t="n"/>
      <c r="K3993" s="19" t="n"/>
      <c r="M3993" s="16" t="n"/>
      <c r="N3993" s="19" t="n"/>
    </row>
    <row r="3994">
      <c r="A3994" s="16" t="n"/>
      <c r="B3994" s="19" t="n"/>
      <c r="D3994" s="16" t="n"/>
      <c r="E3994" s="19" t="n"/>
      <c r="G3994" s="16" t="n"/>
      <c r="H3994" s="19" t="n"/>
      <c r="J3994" s="16" t="n"/>
      <c r="K3994" s="19" t="n"/>
      <c r="M3994" s="16" t="n"/>
      <c r="N3994" s="19" t="n"/>
    </row>
    <row r="3995">
      <c r="A3995" s="16" t="n"/>
      <c r="B3995" s="19" t="n"/>
      <c r="D3995" s="16" t="n"/>
      <c r="E3995" s="19" t="n"/>
      <c r="G3995" s="16" t="n"/>
      <c r="H3995" s="19" t="n"/>
      <c r="J3995" s="16" t="n"/>
      <c r="K3995" s="19" t="n"/>
      <c r="M3995" s="16" t="n"/>
      <c r="N3995" s="19" t="n"/>
    </row>
    <row r="3996">
      <c r="A3996" s="16" t="n"/>
      <c r="B3996" s="19" t="n"/>
      <c r="D3996" s="16" t="n"/>
      <c r="E3996" s="19" t="n"/>
      <c r="G3996" s="16" t="n"/>
      <c r="H3996" s="19" t="n"/>
      <c r="J3996" s="16" t="n"/>
      <c r="K3996" s="19" t="n"/>
      <c r="M3996" s="16" t="n"/>
      <c r="N3996" s="19" t="n"/>
    </row>
    <row r="3997">
      <c r="A3997" s="16" t="n"/>
      <c r="B3997" s="19" t="n"/>
      <c r="D3997" s="16" t="n"/>
      <c r="E3997" s="19" t="n"/>
      <c r="G3997" s="16" t="n"/>
      <c r="H3997" s="19" t="n"/>
      <c r="J3997" s="16" t="n"/>
      <c r="K3997" s="19" t="n"/>
      <c r="M3997" s="16" t="n"/>
      <c r="N3997" s="19" t="n"/>
    </row>
    <row r="3998">
      <c r="A3998" s="16" t="n"/>
      <c r="B3998" s="19" t="n"/>
      <c r="D3998" s="16" t="n"/>
      <c r="E3998" s="19" t="n"/>
      <c r="G3998" s="16" t="n"/>
      <c r="H3998" s="19" t="n"/>
      <c r="J3998" s="16" t="n"/>
      <c r="K3998" s="19" t="n"/>
      <c r="M3998" s="16" t="n"/>
      <c r="N3998" s="19" t="n"/>
    </row>
    <row r="3999">
      <c r="A3999" s="16" t="n"/>
      <c r="B3999" s="19" t="n"/>
      <c r="D3999" s="16" t="n"/>
      <c r="E3999" s="19" t="n"/>
      <c r="G3999" s="16" t="n"/>
      <c r="H3999" s="19" t="n"/>
      <c r="J3999" s="16" t="n"/>
      <c r="K3999" s="19" t="n"/>
      <c r="M3999" s="16" t="n"/>
      <c r="N3999" s="19" t="n"/>
    </row>
    <row r="4000">
      <c r="A4000" s="16" t="n"/>
      <c r="B4000" s="19" t="n"/>
      <c r="D4000" s="16" t="n"/>
      <c r="E4000" s="19" t="n"/>
      <c r="G4000" s="16" t="n"/>
      <c r="H4000" s="19" t="n"/>
      <c r="J4000" s="16" t="n"/>
      <c r="K4000" s="19" t="n"/>
      <c r="M4000" s="16" t="n"/>
      <c r="N4000" s="19" t="n"/>
    </row>
    <row r="4001">
      <c r="A4001" s="16" t="n"/>
      <c r="B4001" s="19" t="n"/>
      <c r="D4001" s="16" t="n"/>
      <c r="E4001" s="19" t="n"/>
      <c r="G4001" s="16" t="n"/>
      <c r="H4001" s="19" t="n"/>
      <c r="J4001" s="16" t="n"/>
      <c r="K4001" s="19" t="n"/>
      <c r="M4001" s="16" t="n"/>
      <c r="N4001" s="19" t="n"/>
    </row>
    <row r="4002">
      <c r="A4002" s="16" t="n"/>
      <c r="B4002" s="19" t="n"/>
      <c r="D4002" s="16" t="n"/>
      <c r="E4002" s="19" t="n"/>
      <c r="G4002" s="16" t="n"/>
      <c r="H4002" s="19" t="n"/>
      <c r="J4002" s="16" t="n"/>
      <c r="K4002" s="19" t="n"/>
      <c r="M4002" s="16" t="n"/>
      <c r="N4002" s="1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A1:P4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12" customWidth="1" min="10" max="10"/>
    <col width="12" customWidth="1" min="11" max="11"/>
    <col width="12" customWidth="1" min="13" max="13"/>
    <col width="12" customWidth="1" min="14" max="14"/>
    <col width="90" customWidth="1" min="16" max="16"/>
  </cols>
  <sheetData>
    <row r="1">
      <c r="A1" s="7" t="inlineStr">
        <is>
          <t>실시간 Sahm 지표 — FRED SAHMREALTIME</t>
        </is>
      </c>
      <c r="D1" s="7" t="inlineStr">
        <is>
          <t>미 10년물 금리 3개월 변화 — FRED DGS10</t>
        </is>
      </c>
      <c r="G1" s="7" t="inlineStr">
        <is>
          <t>10년물 − 3개월물 금리차 — FRED T10Y3M</t>
        </is>
      </c>
      <c r="J1" s="7" t="inlineStr">
        <is>
          <t>엔/달러 3개월 변화율 — FRED DEXJPUS</t>
        </is>
      </c>
      <c r="M1" s="7" t="inlineStr">
        <is>
          <t>한국 수출 3개월 전년비 — FRED XTEXVA01KRM667N</t>
        </is>
      </c>
      <c r="P1" s="2" t="inlineStr">
        <is>
          <t>원자료 — 거시 참고 패널</t>
        </is>
      </c>
    </row>
    <row r="2">
      <c r="A2" s="6" t="inlineStr">
        <is>
          <t>observation_date</t>
        </is>
      </c>
      <c r="B2" s="6" t="inlineStr">
        <is>
          <t>SAHMREALTIME</t>
        </is>
      </c>
      <c r="D2" s="6" t="inlineStr">
        <is>
          <t>observation_date</t>
        </is>
      </c>
      <c r="E2" s="6" t="inlineStr">
        <is>
          <t>DGS10</t>
        </is>
      </c>
      <c r="G2" s="6" t="inlineStr">
        <is>
          <t>observation_date</t>
        </is>
      </c>
      <c r="H2" s="6" t="inlineStr">
        <is>
          <t>T10Y3M</t>
        </is>
      </c>
      <c r="J2" s="6" t="inlineStr">
        <is>
          <t>observation_date</t>
        </is>
      </c>
      <c r="K2" s="6" t="inlineStr">
        <is>
          <t>DEXJPUS</t>
        </is>
      </c>
      <c r="M2" s="6" t="inlineStr">
        <is>
          <t>observation_date</t>
        </is>
      </c>
      <c r="N2" s="6" t="inlineStr">
        <is>
          <t>XTEXVA01KRM667N</t>
        </is>
      </c>
      <c r="P2" s="5" t="inlineStr">
        <is>
          <t>붙여넣는 법: 각 블록의 2행(머리글 줄)부터 FRED에서 받은 '날짜, 값' 두 열을 붙여 넣는다.</t>
        </is>
      </c>
    </row>
    <row r="3">
      <c r="A3" s="16" t="n">
        <v>41640</v>
      </c>
      <c r="B3" s="19" t="n">
        <v>0</v>
      </c>
      <c r="D3" s="16" t="n">
        <v>41792</v>
      </c>
      <c r="E3" s="19" t="n">
        <v>2.6</v>
      </c>
      <c r="G3" s="16" t="n">
        <v>41792</v>
      </c>
      <c r="H3" s="19" t="n">
        <v>1.52</v>
      </c>
      <c r="J3" s="16" t="n">
        <v>41792</v>
      </c>
      <c r="K3" s="19" t="n">
        <v>101.78</v>
      </c>
      <c r="M3" s="16" t="n">
        <v>41640</v>
      </c>
      <c r="N3" s="19" t="n">
        <v>48248.3</v>
      </c>
      <c r="P3" s="5" t="inlineStr">
        <is>
          <t>날짜는 오름차순(FRED 기본)이어야 한다. 빈 값('.' 또는 빈칸)은 그대로 둔다.</t>
        </is>
      </c>
    </row>
    <row r="4">
      <c r="A4" s="16" t="n">
        <v>41671</v>
      </c>
      <c r="B4" s="19" t="n">
        <v>0</v>
      </c>
      <c r="D4" s="16" t="n">
        <v>41793</v>
      </c>
      <c r="E4" s="19" t="n">
        <v>2.62</v>
      </c>
      <c r="G4" s="16" t="n">
        <v>41793</v>
      </c>
      <c r="H4" s="19" t="n">
        <v>1.56</v>
      </c>
      <c r="J4" s="16" t="n">
        <v>41793</v>
      </c>
      <c r="K4" s="19" t="n">
        <v>102</v>
      </c>
      <c r="M4" s="16" t="n">
        <v>41671</v>
      </c>
      <c r="N4" s="19" t="n">
        <v>50665</v>
      </c>
      <c r="P4" s="5" t="inlineStr">
        <is>
          <t>기간: 최근 11년 이상(10년 + 변화 계산용 여유). 일별 4,000행, 월별 600행까지.</t>
        </is>
      </c>
    </row>
    <row r="5">
      <c r="A5" s="16" t="n">
        <v>41699</v>
      </c>
      <c r="B5" s="19" t="n">
        <v>0.08</v>
      </c>
      <c r="D5" s="16" t="n">
        <v>41794</v>
      </c>
      <c r="E5" s="19" t="n">
        <v>2.69</v>
      </c>
      <c r="G5" s="16" t="n">
        <v>41794</v>
      </c>
      <c r="H5" s="19" t="n">
        <v>1.52</v>
      </c>
      <c r="J5" s="16" t="n">
        <v>41794</v>
      </c>
      <c r="K5" s="19" t="n">
        <v>102.05</v>
      </c>
      <c r="M5" s="16" t="n">
        <v>41699</v>
      </c>
      <c r="N5" s="19" t="n">
        <v>49129.5</v>
      </c>
      <c r="P5" s="5" t="inlineStr">
        <is>
          <t>구글 시트 자동 입력(선택): 각 블록 2행 첫 칸(A2, D2, G2, J2, M2)에 아래 수식을 넣는다. id만 바꾼다.</t>
        </is>
      </c>
    </row>
    <row r="6">
      <c r="A6" s="16" t="n">
        <v>41730</v>
      </c>
      <c r="B6" s="19" t="n">
        <v>0</v>
      </c>
      <c r="D6" s="16" t="n">
        <v>41795</v>
      </c>
      <c r="E6" s="19" t="n">
        <v>2.66</v>
      </c>
      <c r="G6" s="16" t="n">
        <v>41795</v>
      </c>
      <c r="H6" s="19" t="n">
        <v>1.49</v>
      </c>
      <c r="J6" s="16" t="n">
        <v>41795</v>
      </c>
      <c r="K6" s="19" t="n">
        <v>101.96</v>
      </c>
      <c r="M6" s="16" t="n">
        <v>41730</v>
      </c>
      <c r="N6" s="19" t="n">
        <v>46303.1</v>
      </c>
      <c r="P6" s="34" t="inlineStr">
        <is>
          <t>=IMPORTDATA("https://fred.stlouisfed.org/graph/fredgraph.csv?id=SAHMREALTIME&amp;cosd="&amp;TEXT(EDATE(TODAY(),-138),"yyyy-mm-dd"))</t>
        </is>
      </c>
    </row>
    <row r="7">
      <c r="A7" s="16" t="n">
        <v>41760</v>
      </c>
      <c r="B7" s="19" t="n">
        <v>0.12</v>
      </c>
      <c r="D7" s="16" t="n">
        <v>41796</v>
      </c>
      <c r="E7" s="19" t="n">
        <v>2.67</v>
      </c>
      <c r="G7" s="16" t="n">
        <v>41796</v>
      </c>
      <c r="H7" s="19" t="n">
        <v>1.51</v>
      </c>
      <c r="J7" s="16" t="n">
        <v>41796</v>
      </c>
      <c r="K7" s="19" t="n">
        <v>102.24</v>
      </c>
      <c r="M7" s="16" t="n">
        <v>41760</v>
      </c>
      <c r="N7" s="19" t="n">
        <v>45648.3</v>
      </c>
      <c r="P7" s="5" t="inlineStr">
        <is>
          <t xml:space="preserve">  id: SAHMREALTIME, DGS10, T10Y3M, DEXJPUS, XTEXVA01KRM667N (엑셀에서는 동작하지 않는다)</t>
        </is>
      </c>
    </row>
    <row r="8">
      <c r="A8" s="16" t="n">
        <v>41791</v>
      </c>
      <c r="B8" s="19" t="n">
        <v>0</v>
      </c>
      <c r="D8" s="16" t="n">
        <v>41799</v>
      </c>
      <c r="E8" s="19" t="n">
        <v>2.77</v>
      </c>
      <c r="G8" s="16" t="n">
        <v>41799</v>
      </c>
      <c r="H8" s="19" t="n">
        <v>1.54</v>
      </c>
      <c r="J8" s="16" t="n">
        <v>41799</v>
      </c>
      <c r="K8" s="19" t="n">
        <v>101.44</v>
      </c>
      <c r="M8" s="16" t="n">
        <v>41791</v>
      </c>
      <c r="N8" s="19" t="n">
        <v>45687.5</v>
      </c>
    </row>
    <row r="9">
      <c r="A9" s="16" t="n">
        <v>41821</v>
      </c>
      <c r="B9" s="19" t="n">
        <v>0</v>
      </c>
      <c r="D9" s="16" t="n">
        <v>41800</v>
      </c>
      <c r="E9" s="19" t="n">
        <v>2.77</v>
      </c>
      <c r="G9" s="16" t="n">
        <v>41800</v>
      </c>
      <c r="H9" s="19" t="n">
        <v>1.52</v>
      </c>
      <c r="J9" s="16" t="n">
        <v>41800</v>
      </c>
      <c r="K9" s="19" t="n">
        <v>101.19</v>
      </c>
      <c r="M9" s="16" t="n">
        <v>41821</v>
      </c>
      <c r="N9" s="19" t="n">
        <v>46877.5</v>
      </c>
    </row>
    <row r="10">
      <c r="A10" s="16" t="n">
        <v>41852</v>
      </c>
      <c r="B10" s="19" t="n">
        <v>0.09</v>
      </c>
      <c r="D10" s="16" t="n">
        <v>41801</v>
      </c>
      <c r="E10" s="19" t="n">
        <v>2.83</v>
      </c>
      <c r="G10" s="16" t="n">
        <v>41801</v>
      </c>
      <c r="H10" s="19" t="n">
        <v>1.51</v>
      </c>
      <c r="J10" s="16" t="n">
        <v>41801</v>
      </c>
      <c r="K10" s="19" t="n">
        <v>100.22</v>
      </c>
      <c r="M10" s="16" t="n">
        <v>41852</v>
      </c>
      <c r="N10" s="19" t="n">
        <v>44964</v>
      </c>
    </row>
    <row r="11">
      <c r="A11" s="16" t="n">
        <v>41883</v>
      </c>
      <c r="B11" s="19" t="n">
        <v>0</v>
      </c>
      <c r="D11" s="16" t="n">
        <v>41802</v>
      </c>
      <c r="E11" s="19" t="n">
        <v>2.85</v>
      </c>
      <c r="G11" s="16" t="n">
        <v>41802</v>
      </c>
      <c r="H11" s="19" t="n">
        <v>1.5</v>
      </c>
      <c r="J11" s="16" t="n">
        <v>41802</v>
      </c>
      <c r="K11" s="19" t="n">
        <v>99.64</v>
      </c>
      <c r="M11" s="16" t="n">
        <v>41883</v>
      </c>
      <c r="N11" s="19" t="n">
        <v>44902.7</v>
      </c>
    </row>
    <row r="12">
      <c r="A12" s="16" t="n">
        <v>41913</v>
      </c>
      <c r="B12" s="19" t="n">
        <v>0</v>
      </c>
      <c r="D12" s="16" t="n">
        <v>41803</v>
      </c>
      <c r="E12" s="19" t="n">
        <v>2.81</v>
      </c>
      <c r="G12" s="16" t="n">
        <v>41803</v>
      </c>
      <c r="H12" s="19" t="n">
        <v>1.47</v>
      </c>
      <c r="J12" s="16" t="n">
        <v>41803</v>
      </c>
      <c r="K12" s="19" t="n">
        <v>99.64</v>
      </c>
      <c r="M12" s="16" t="n">
        <v>41913</v>
      </c>
      <c r="N12" s="19" t="n">
        <v>45145</v>
      </c>
    </row>
    <row r="13">
      <c r="A13" s="16" t="n">
        <v>41944</v>
      </c>
      <c r="B13" s="19" t="n">
        <v>0</v>
      </c>
      <c r="D13" s="16" t="n">
        <v>41806</v>
      </c>
      <c r="E13" s="19" t="n">
        <v>2.79</v>
      </c>
      <c r="G13" s="16" t="n">
        <v>41806</v>
      </c>
      <c r="H13" s="19" t="n">
        <v>1.48</v>
      </c>
      <c r="J13" s="16" t="n">
        <v>41806</v>
      </c>
      <c r="K13" s="19" t="n">
        <v>100.57</v>
      </c>
      <c r="M13" s="16" t="n">
        <v>41944</v>
      </c>
      <c r="N13" s="19" t="n">
        <v>45247.7</v>
      </c>
    </row>
    <row r="14">
      <c r="A14" s="16" t="n">
        <v>41974</v>
      </c>
      <c r="B14" s="19" t="n">
        <v>0</v>
      </c>
      <c r="D14" s="16" t="n">
        <v>41807</v>
      </c>
      <c r="E14" s="19" t="n">
        <v>2.75</v>
      </c>
      <c r="G14" s="16" t="n">
        <v>41807</v>
      </c>
      <c r="H14" s="19" t="n">
        <v>1.44</v>
      </c>
      <c r="J14" s="16" t="n">
        <v>41807</v>
      </c>
      <c r="K14" s="19" t="n">
        <v>100.46</v>
      </c>
      <c r="M14" s="16" t="n">
        <v>41974</v>
      </c>
      <c r="N14" s="19" t="n">
        <v>46651.9</v>
      </c>
    </row>
    <row r="15">
      <c r="A15" s="16" t="n">
        <v>42005</v>
      </c>
      <c r="B15" s="19" t="n">
        <v>0</v>
      </c>
      <c r="D15" s="16" t="n">
        <v>41808</v>
      </c>
      <c r="E15" s="19" t="n">
        <v>2.8</v>
      </c>
      <c r="G15" s="16" t="n">
        <v>41808</v>
      </c>
      <c r="H15" s="19" t="n">
        <v>1.42</v>
      </c>
      <c r="J15" s="16" t="n">
        <v>41808</v>
      </c>
      <c r="K15" s="19" t="n">
        <v>101.2</v>
      </c>
      <c r="M15" s="16" t="n">
        <v>42005</v>
      </c>
      <c r="N15" s="19" t="n">
        <v>50111.7</v>
      </c>
    </row>
    <row r="16">
      <c r="A16" s="16" t="n">
        <v>42036</v>
      </c>
      <c r="B16" s="19" t="n">
        <v>0</v>
      </c>
      <c r="D16" s="16" t="n">
        <v>41809</v>
      </c>
      <c r="E16" s="19" t="n">
        <v>2.74</v>
      </c>
      <c r="G16" s="16" t="n">
        <v>41809</v>
      </c>
      <c r="H16" s="19" t="n">
        <v>1.37</v>
      </c>
      <c r="J16" s="16" t="n">
        <v>41809</v>
      </c>
      <c r="K16" s="19" t="n">
        <v>101.18</v>
      </c>
      <c r="M16" s="16" t="n">
        <v>42036</v>
      </c>
      <c r="N16" s="19" t="n">
        <v>51829</v>
      </c>
    </row>
    <row r="17">
      <c r="A17" s="16" t="n">
        <v>42064</v>
      </c>
      <c r="B17" s="19" t="n">
        <v>0</v>
      </c>
      <c r="D17" s="16" t="n">
        <v>41810</v>
      </c>
      <c r="E17" s="19" t="n">
        <v>2.7</v>
      </c>
      <c r="G17" s="16" t="n">
        <v>41810</v>
      </c>
      <c r="H17" s="19" t="n">
        <v>1.35</v>
      </c>
      <c r="J17" s="16" t="n">
        <v>41810</v>
      </c>
      <c r="K17" s="19" t="n">
        <v>101.42</v>
      </c>
      <c r="M17" s="16" t="n">
        <v>42064</v>
      </c>
      <c r="N17" s="19" t="n">
        <v>50358.9</v>
      </c>
    </row>
    <row r="18">
      <c r="A18" s="16" t="n">
        <v>42095</v>
      </c>
      <c r="B18" s="19" t="n">
        <v>0</v>
      </c>
      <c r="D18" s="16" t="n">
        <v>41813</v>
      </c>
      <c r="E18" s="19" t="n">
        <v>2.73</v>
      </c>
      <c r="G18" s="16" t="n">
        <v>41813</v>
      </c>
      <c r="H18" s="19" t="n">
        <v>1.36</v>
      </c>
      <c r="J18" s="16" t="n">
        <v>41813</v>
      </c>
      <c r="K18" s="19" t="n">
        <v>101.29</v>
      </c>
      <c r="M18" s="16" t="n">
        <v>42095</v>
      </c>
      <c r="N18" s="19" t="n">
        <v>48771</v>
      </c>
    </row>
    <row r="19">
      <c r="A19" s="16" t="n">
        <v>42125</v>
      </c>
      <c r="B19" s="19" t="n">
        <v>0</v>
      </c>
      <c r="D19" s="16" t="n">
        <v>41814</v>
      </c>
      <c r="E19" s="19" t="n">
        <v>2.79</v>
      </c>
      <c r="G19" s="16" t="n">
        <v>41814</v>
      </c>
      <c r="H19" s="19" t="n">
        <v>1.37</v>
      </c>
      <c r="J19" s="16" t="n">
        <v>41814</v>
      </c>
      <c r="K19" s="19" t="n">
        <v>101.19</v>
      </c>
      <c r="M19" s="16" t="n">
        <v>42125</v>
      </c>
      <c r="N19" s="19" t="n">
        <v>48156.6</v>
      </c>
    </row>
    <row r="20">
      <c r="A20" s="16" t="n">
        <v>42156</v>
      </c>
      <c r="B20" s="19" t="n">
        <v>0</v>
      </c>
      <c r="D20" s="16" t="n">
        <v>41815</v>
      </c>
      <c r="E20" s="19" t="n">
        <v>2.85</v>
      </c>
      <c r="G20" s="16" t="n">
        <v>41815</v>
      </c>
      <c r="H20" s="19" t="n">
        <v>1.34</v>
      </c>
      <c r="J20" s="16" t="n">
        <v>41815</v>
      </c>
      <c r="K20" s="19" t="n">
        <v>101.28</v>
      </c>
      <c r="M20" s="16" t="n">
        <v>42156</v>
      </c>
      <c r="N20" s="19" t="n">
        <v>49254.4</v>
      </c>
    </row>
    <row r="21">
      <c r="A21" s="16" t="n">
        <v>42186</v>
      </c>
      <c r="B21" s="19" t="n">
        <v>0</v>
      </c>
      <c r="D21" s="16" t="n">
        <v>41816</v>
      </c>
      <c r="E21" s="19" t="n">
        <v>2.88</v>
      </c>
      <c r="G21" s="16" t="n">
        <v>41816</v>
      </c>
      <c r="H21" s="19" t="n">
        <v>1.34</v>
      </c>
      <c r="J21" s="16" t="n">
        <v>41816</v>
      </c>
      <c r="K21" s="19" t="n">
        <v>101</v>
      </c>
      <c r="M21" s="16" t="n">
        <v>42186</v>
      </c>
      <c r="N21" s="19" t="n">
        <v>47918.7</v>
      </c>
    </row>
    <row r="22">
      <c r="A22" s="16" t="n">
        <v>42217</v>
      </c>
      <c r="B22" s="19" t="n">
        <v>0</v>
      </c>
      <c r="D22" s="16" t="n">
        <v>41817</v>
      </c>
      <c r="E22" s="19" t="n">
        <v>2.89</v>
      </c>
      <c r="G22" s="16" t="n">
        <v>41817</v>
      </c>
      <c r="H22" s="19" t="n">
        <v>1.31</v>
      </c>
      <c r="J22" s="16" t="n">
        <v>41817</v>
      </c>
      <c r="K22" s="19" t="n">
        <v>100.72</v>
      </c>
      <c r="M22" s="16" t="n">
        <v>42217</v>
      </c>
      <c r="N22" s="19" t="n">
        <v>45840</v>
      </c>
    </row>
    <row r="23">
      <c r="A23" s="16" t="n">
        <v>42248</v>
      </c>
      <c r="B23" s="19" t="n">
        <v>0</v>
      </c>
      <c r="D23" s="16" t="n">
        <v>41820</v>
      </c>
      <c r="E23" s="19" t="n">
        <v>2.85</v>
      </c>
      <c r="G23" s="16" t="n">
        <v>41820</v>
      </c>
      <c r="H23" s="19" t="n">
        <v>1.37</v>
      </c>
      <c r="J23" s="16" t="n">
        <v>41820</v>
      </c>
      <c r="K23" s="19" t="n">
        <v>100.45</v>
      </c>
      <c r="M23" s="16" t="n">
        <v>42248</v>
      </c>
      <c r="N23" s="19" t="n">
        <v>43919.6</v>
      </c>
    </row>
    <row r="24">
      <c r="A24" s="16" t="n">
        <v>42278</v>
      </c>
      <c r="B24" s="19" t="n">
        <v>0</v>
      </c>
      <c r="D24" s="16" t="n">
        <v>41821</v>
      </c>
      <c r="E24" s="19" t="n">
        <v>2.9</v>
      </c>
      <c r="G24" s="16" t="n">
        <v>41821</v>
      </c>
      <c r="H24" s="19" t="n">
        <v>1.38</v>
      </c>
      <c r="J24" s="16" t="n">
        <v>41821</v>
      </c>
      <c r="K24" s="19" t="n">
        <v>100.33</v>
      </c>
      <c r="M24" s="16" t="n">
        <v>42278</v>
      </c>
      <c r="N24" s="19" t="n">
        <v>44328.5</v>
      </c>
    </row>
    <row r="25">
      <c r="A25" s="16" t="n">
        <v>42309</v>
      </c>
      <c r="B25" s="19" t="n">
        <v>0</v>
      </c>
      <c r="D25" s="16" t="n">
        <v>41822</v>
      </c>
      <c r="E25" s="19" t="n">
        <v>2.93</v>
      </c>
      <c r="G25" s="16" t="n">
        <v>41822</v>
      </c>
      <c r="H25" s="19" t="n">
        <v>1.39</v>
      </c>
      <c r="J25" s="16" t="n">
        <v>41822</v>
      </c>
      <c r="K25" s="19" t="n">
        <v>100.41</v>
      </c>
      <c r="M25" s="16" t="n">
        <v>42309</v>
      </c>
      <c r="N25" s="19" t="n">
        <v>45392</v>
      </c>
    </row>
    <row r="26">
      <c r="A26" s="16" t="n">
        <v>42339</v>
      </c>
      <c r="B26" s="19" t="n">
        <v>0.01</v>
      </c>
      <c r="D26" s="16" t="n">
        <v>41823</v>
      </c>
      <c r="E26" s="19" t="n">
        <v>2.87</v>
      </c>
      <c r="G26" s="16" t="n">
        <v>41823</v>
      </c>
      <c r="H26" s="19" t="n">
        <v>1.4</v>
      </c>
      <c r="J26" s="16" t="n">
        <v>41823</v>
      </c>
      <c r="K26" s="19" t="n">
        <v>100.87</v>
      </c>
      <c r="M26" s="16" t="n">
        <v>42339</v>
      </c>
      <c r="N26" s="19" t="n">
        <v>46962.4</v>
      </c>
    </row>
    <row r="27">
      <c r="A27" s="16" t="n">
        <v>42370</v>
      </c>
      <c r="B27" s="19" t="n">
        <v>0</v>
      </c>
      <c r="D27" s="16" t="n">
        <v>41824</v>
      </c>
      <c r="E27" s="19" t="inlineStr">
        <is>
          <t>.</t>
        </is>
      </c>
      <c r="G27" s="16" t="n">
        <v>41824</v>
      </c>
      <c r="H27" s="19" t="inlineStr">
        <is>
          <t>.</t>
        </is>
      </c>
      <c r="J27" s="16" t="n">
        <v>41824</v>
      </c>
      <c r="K27" s="19" t="inlineStr">
        <is>
          <t>.</t>
        </is>
      </c>
      <c r="M27" s="16" t="n">
        <v>42370</v>
      </c>
      <c r="N27" s="19" t="n">
        <v>50505.9</v>
      </c>
    </row>
    <row r="28">
      <c r="A28" s="16" t="n">
        <v>42401</v>
      </c>
      <c r="B28" s="19" t="n">
        <v>0.07000000000000001</v>
      </c>
      <c r="D28" s="16" t="n">
        <v>41827</v>
      </c>
      <c r="E28" s="19" t="n">
        <v>2.91</v>
      </c>
      <c r="G28" s="16" t="n">
        <v>41827</v>
      </c>
      <c r="H28" s="19" t="n">
        <v>1.52</v>
      </c>
      <c r="J28" s="16" t="n">
        <v>41827</v>
      </c>
      <c r="K28" s="19" t="n">
        <v>100.89</v>
      </c>
      <c r="M28" s="16" t="n">
        <v>42401</v>
      </c>
      <c r="N28" s="19" t="n">
        <v>53700</v>
      </c>
    </row>
    <row r="29">
      <c r="A29" s="16" t="n">
        <v>42430</v>
      </c>
      <c r="B29" s="19" t="n">
        <v>0</v>
      </c>
      <c r="D29" s="16" t="n">
        <v>41828</v>
      </c>
      <c r="E29" s="19" t="n">
        <v>2.9</v>
      </c>
      <c r="G29" s="16" t="n">
        <v>41828</v>
      </c>
      <c r="H29" s="19" t="n">
        <v>1.42</v>
      </c>
      <c r="J29" s="16" t="n">
        <v>41828</v>
      </c>
      <c r="K29" s="19" t="n">
        <v>101.31</v>
      </c>
      <c r="M29" s="16" t="n">
        <v>42430</v>
      </c>
      <c r="N29" s="19" t="n">
        <v>53624.6</v>
      </c>
    </row>
    <row r="30">
      <c r="A30" s="16" t="n">
        <v>42461</v>
      </c>
      <c r="B30" s="19" t="n">
        <v>0</v>
      </c>
      <c r="D30" s="16" t="n">
        <v>41829</v>
      </c>
      <c r="E30" s="19" t="n">
        <v>2.9</v>
      </c>
      <c r="G30" s="16" t="n">
        <v>41829</v>
      </c>
      <c r="H30" s="19" t="n">
        <v>1.48</v>
      </c>
      <c r="J30" s="16" t="n">
        <v>41829</v>
      </c>
      <c r="K30" s="19" t="n">
        <v>101.14</v>
      </c>
      <c r="M30" s="16" t="n">
        <v>42461</v>
      </c>
      <c r="N30" s="19" t="n">
        <v>54962.9</v>
      </c>
    </row>
    <row r="31">
      <c r="A31" s="16" t="n">
        <v>42491</v>
      </c>
      <c r="B31" s="19" t="n">
        <v>0</v>
      </c>
      <c r="D31" s="16" t="n">
        <v>41830</v>
      </c>
      <c r="E31" s="19" t="n">
        <v>2.81</v>
      </c>
      <c r="G31" s="16" t="n">
        <v>41830</v>
      </c>
      <c r="H31" s="19" t="n">
        <v>1.53</v>
      </c>
      <c r="J31" s="16" t="n">
        <v>41830</v>
      </c>
      <c r="K31" s="19" t="n">
        <v>100.47</v>
      </c>
      <c r="M31" s="16" t="n">
        <v>42491</v>
      </c>
      <c r="N31" s="19" t="n">
        <v>55418.9</v>
      </c>
    </row>
    <row r="32">
      <c r="A32" s="16" t="n">
        <v>42522</v>
      </c>
      <c r="B32" s="19" t="n">
        <v>0.08</v>
      </c>
      <c r="D32" s="16" t="n">
        <v>41831</v>
      </c>
      <c r="E32" s="19" t="n">
        <v>2.75</v>
      </c>
      <c r="G32" s="16" t="n">
        <v>41831</v>
      </c>
      <c r="H32" s="19" t="n">
        <v>1.53</v>
      </c>
      <c r="J32" s="16" t="n">
        <v>41831</v>
      </c>
      <c r="K32" s="19" t="n">
        <v>100.8</v>
      </c>
      <c r="M32" s="16" t="n">
        <v>42522</v>
      </c>
      <c r="N32" s="19" t="n">
        <v>56908.1</v>
      </c>
    </row>
    <row r="33">
      <c r="A33" s="16" t="n">
        <v>42552</v>
      </c>
      <c r="B33" s="19" t="n">
        <v>0</v>
      </c>
      <c r="D33" s="16" t="n">
        <v>41834</v>
      </c>
      <c r="E33" s="19" t="n">
        <v>2.73</v>
      </c>
      <c r="G33" s="16" t="n">
        <v>41834</v>
      </c>
      <c r="H33" s="19" t="n">
        <v>1.54</v>
      </c>
      <c r="J33" s="16" t="n">
        <v>41834</v>
      </c>
      <c r="K33" s="19" t="n">
        <v>99.87</v>
      </c>
      <c r="M33" s="16" t="n">
        <v>42552</v>
      </c>
      <c r="N33" s="19" t="n">
        <v>55402.2</v>
      </c>
    </row>
    <row r="34">
      <c r="A34" s="16" t="n">
        <v>42583</v>
      </c>
      <c r="B34" s="19" t="n">
        <v>0.1</v>
      </c>
      <c r="D34" s="16" t="n">
        <v>41835</v>
      </c>
      <c r="E34" s="19" t="n">
        <v>2.81</v>
      </c>
      <c r="G34" s="16" t="n">
        <v>41835</v>
      </c>
      <c r="H34" s="19" t="n">
        <v>1.53</v>
      </c>
      <c r="J34" s="16" t="n">
        <v>41835</v>
      </c>
      <c r="K34" s="19" t="n">
        <v>99.94</v>
      </c>
      <c r="M34" s="16" t="n">
        <v>42583</v>
      </c>
      <c r="N34" s="19" t="n">
        <v>56317</v>
      </c>
    </row>
    <row r="35">
      <c r="A35" s="16" t="n">
        <v>42614</v>
      </c>
      <c r="B35" s="19" t="n">
        <v>0.12</v>
      </c>
      <c r="D35" s="16" t="n">
        <v>41836</v>
      </c>
      <c r="E35" s="19" t="n">
        <v>2.83</v>
      </c>
      <c r="G35" s="16" t="n">
        <v>41836</v>
      </c>
      <c r="H35" s="19" t="n">
        <v>1.54</v>
      </c>
      <c r="J35" s="16" t="n">
        <v>41836</v>
      </c>
      <c r="K35" s="19" t="n">
        <v>100.06</v>
      </c>
      <c r="M35" s="16" t="n">
        <v>42614</v>
      </c>
      <c r="N35" s="19" t="n">
        <v>55455.9</v>
      </c>
    </row>
    <row r="36">
      <c r="A36" s="16" t="n">
        <v>42644</v>
      </c>
      <c r="B36" s="19" t="n">
        <v>0.13</v>
      </c>
      <c r="D36" s="16" t="n">
        <v>41837</v>
      </c>
      <c r="E36" s="19" t="n">
        <v>2.79</v>
      </c>
      <c r="G36" s="16" t="n">
        <v>41837</v>
      </c>
      <c r="H36" s="19" t="n">
        <v>1.54</v>
      </c>
      <c r="J36" s="16" t="n">
        <v>41837</v>
      </c>
      <c r="K36" s="19" t="n">
        <v>100.29</v>
      </c>
      <c r="M36" s="16" t="n">
        <v>42644</v>
      </c>
      <c r="N36" s="19" t="n">
        <v>53514</v>
      </c>
    </row>
    <row r="37">
      <c r="A37" s="16" t="n">
        <v>42675</v>
      </c>
      <c r="B37" s="19" t="n">
        <v>0.11</v>
      </c>
      <c r="D37" s="16" t="n">
        <v>41838</v>
      </c>
      <c r="E37" s="19" t="n">
        <v>2.84</v>
      </c>
      <c r="G37" s="16" t="n">
        <v>41838</v>
      </c>
      <c r="H37" s="19" t="n">
        <v>1.53</v>
      </c>
      <c r="J37" s="16" t="n">
        <v>41838</v>
      </c>
      <c r="K37" s="19" t="n">
        <v>100.34</v>
      </c>
      <c r="M37" s="16" t="n">
        <v>42675</v>
      </c>
      <c r="N37" s="19" t="n">
        <v>56429.4</v>
      </c>
    </row>
    <row r="38">
      <c r="A38" s="16" t="n">
        <v>42705</v>
      </c>
      <c r="B38" s="19" t="n">
        <v>0.06</v>
      </c>
      <c r="D38" s="16" t="n">
        <v>41841</v>
      </c>
      <c r="E38" s="19" t="n">
        <v>2.85</v>
      </c>
      <c r="G38" s="16" t="n">
        <v>41841</v>
      </c>
      <c r="H38" s="19" t="n">
        <v>1.55</v>
      </c>
      <c r="J38" s="16" t="n">
        <v>41841</v>
      </c>
      <c r="K38" s="19" t="n">
        <v>100.46</v>
      </c>
      <c r="M38" s="16" t="n">
        <v>42705</v>
      </c>
      <c r="N38" s="19" t="n">
        <v>58923.3</v>
      </c>
    </row>
    <row r="39">
      <c r="A39" s="16" t="n">
        <v>42736</v>
      </c>
      <c r="B39" s="19" t="n">
        <v>0.13</v>
      </c>
      <c r="D39" s="16" t="n">
        <v>41842</v>
      </c>
      <c r="E39" s="19" t="n">
        <v>2.84</v>
      </c>
      <c r="G39" s="16" t="n">
        <v>41842</v>
      </c>
      <c r="H39" s="19" t="n">
        <v>1.53</v>
      </c>
      <c r="J39" s="16" t="n">
        <v>41842</v>
      </c>
      <c r="K39" s="19" t="n">
        <v>101.04</v>
      </c>
      <c r="M39" s="16" t="n">
        <v>42736</v>
      </c>
      <c r="N39" s="19" t="n">
        <v>57949.7</v>
      </c>
    </row>
    <row r="40">
      <c r="A40" s="16" t="n">
        <v>42767</v>
      </c>
      <c r="B40" s="19" t="n">
        <v>0.28</v>
      </c>
      <c r="D40" s="16" t="n">
        <v>41843</v>
      </c>
      <c r="E40" s="19" t="n">
        <v>2.85</v>
      </c>
      <c r="G40" s="16" t="n">
        <v>41843</v>
      </c>
      <c r="H40" s="19" t="n">
        <v>1.54</v>
      </c>
      <c r="J40" s="16" t="n">
        <v>41843</v>
      </c>
      <c r="K40" s="19" t="n">
        <v>102.82</v>
      </c>
      <c r="M40" s="16" t="n">
        <v>42767</v>
      </c>
      <c r="N40" s="19" t="n">
        <v>57913.7</v>
      </c>
    </row>
    <row r="41">
      <c r="A41" s="16" t="n">
        <v>42795</v>
      </c>
      <c r="B41" s="19" t="n">
        <v>0.23</v>
      </c>
      <c r="D41" s="16" t="n">
        <v>41844</v>
      </c>
      <c r="E41" s="19" t="n">
        <v>2.89</v>
      </c>
      <c r="G41" s="16" t="n">
        <v>41844</v>
      </c>
      <c r="H41" s="19" t="n">
        <v>1.57</v>
      </c>
      <c r="J41" s="16" t="n">
        <v>41844</v>
      </c>
      <c r="K41" s="19" t="n">
        <v>102.91</v>
      </c>
      <c r="M41" s="16" t="n">
        <v>42795</v>
      </c>
      <c r="N41" s="19" t="n">
        <v>57247.3</v>
      </c>
    </row>
    <row r="42">
      <c r="A42" s="16" t="n">
        <v>42826</v>
      </c>
      <c r="B42" s="19" t="n">
        <v>0.15</v>
      </c>
      <c r="D42" s="16" t="n">
        <v>41845</v>
      </c>
      <c r="E42" s="19" t="n">
        <v>2.85</v>
      </c>
      <c r="G42" s="16" t="n">
        <v>41845</v>
      </c>
      <c r="H42" s="19" t="n">
        <v>1.62</v>
      </c>
      <c r="J42" s="16" t="n">
        <v>41845</v>
      </c>
      <c r="K42" s="19" t="n">
        <v>102.88</v>
      </c>
      <c r="M42" s="16" t="n">
        <v>42826</v>
      </c>
      <c r="N42" s="19" t="n">
        <v>54048</v>
      </c>
    </row>
    <row r="43">
      <c r="A43" s="16" t="n">
        <v>42856</v>
      </c>
      <c r="B43" s="19" t="n">
        <v>0.15</v>
      </c>
      <c r="D43" s="16" t="n">
        <v>41848</v>
      </c>
      <c r="E43" s="19" t="n">
        <v>2.85</v>
      </c>
      <c r="G43" s="16" t="n">
        <v>41848</v>
      </c>
      <c r="H43" s="19" t="n">
        <v>1.66</v>
      </c>
      <c r="J43" s="16" t="n">
        <v>41848</v>
      </c>
      <c r="K43" s="19" t="n">
        <v>103.42</v>
      </c>
      <c r="M43" s="16" t="n">
        <v>42856</v>
      </c>
      <c r="N43" s="19" t="n">
        <v>53103.7</v>
      </c>
    </row>
    <row r="44">
      <c r="A44" s="16" t="n">
        <v>42887</v>
      </c>
      <c r="B44" s="19" t="n">
        <v>0.13</v>
      </c>
      <c r="D44" s="16" t="n">
        <v>41849</v>
      </c>
      <c r="E44" s="19" t="n">
        <v>2.86</v>
      </c>
      <c r="G44" s="16" t="n">
        <v>41849</v>
      </c>
      <c r="H44" s="19" t="n">
        <v>1.66</v>
      </c>
      <c r="J44" s="16" t="n">
        <v>41849</v>
      </c>
      <c r="K44" s="19" t="n">
        <v>104.52</v>
      </c>
      <c r="M44" s="16" t="n">
        <v>42887</v>
      </c>
      <c r="N44" s="19" t="n">
        <v>53915.5</v>
      </c>
    </row>
    <row r="45">
      <c r="A45" s="16" t="n">
        <v>42917</v>
      </c>
      <c r="B45" s="19" t="n">
        <v>0.21</v>
      </c>
      <c r="D45" s="16" t="n">
        <v>41850</v>
      </c>
      <c r="E45" s="19" t="n">
        <v>2.88</v>
      </c>
      <c r="G45" s="16" t="n">
        <v>41850</v>
      </c>
      <c r="H45" s="19" t="n">
        <v>1.62</v>
      </c>
      <c r="J45" s="16" t="n">
        <v>41850</v>
      </c>
      <c r="K45" s="19" t="n">
        <v>104.93</v>
      </c>
      <c r="M45" s="16" t="n">
        <v>42917</v>
      </c>
      <c r="N45" s="19" t="n">
        <v>52316.1</v>
      </c>
    </row>
    <row r="46">
      <c r="A46" s="16" t="n">
        <v>42948</v>
      </c>
      <c r="B46" s="19" t="n">
        <v>0.16</v>
      </c>
      <c r="D46" s="16" t="n">
        <v>41851</v>
      </c>
      <c r="E46" s="19" t="n">
        <v>2.89</v>
      </c>
      <c r="G46" s="16" t="n">
        <v>41851</v>
      </c>
      <c r="H46" s="19" t="n">
        <v>1.62</v>
      </c>
      <c r="J46" s="16" t="n">
        <v>41851</v>
      </c>
      <c r="K46" s="19" t="n">
        <v>105.3</v>
      </c>
      <c r="M46" s="16" t="n">
        <v>42948</v>
      </c>
      <c r="N46" s="19" t="n">
        <v>48163.5</v>
      </c>
    </row>
    <row r="47">
      <c r="A47" s="16" t="n">
        <v>42979</v>
      </c>
      <c r="B47" s="19" t="n">
        <v>0.17</v>
      </c>
      <c r="D47" s="16" t="n">
        <v>41852</v>
      </c>
      <c r="E47" s="19" t="n">
        <v>2.9</v>
      </c>
      <c r="G47" s="16" t="n">
        <v>41852</v>
      </c>
      <c r="H47" s="19" t="n">
        <v>1.7</v>
      </c>
      <c r="J47" s="16" t="n">
        <v>41852</v>
      </c>
      <c r="K47" s="19" t="n">
        <v>105.42</v>
      </c>
      <c r="M47" s="16" t="n">
        <v>42979</v>
      </c>
      <c r="N47" s="19" t="n">
        <v>45122.3</v>
      </c>
    </row>
    <row r="48">
      <c r="A48" s="16" t="n">
        <v>43009</v>
      </c>
      <c r="B48" s="19" t="n">
        <v>0.28</v>
      </c>
      <c r="D48" s="16" t="n">
        <v>41855</v>
      </c>
      <c r="E48" s="19" t="n">
        <v>2.91</v>
      </c>
      <c r="G48" s="16" t="n">
        <v>41855</v>
      </c>
      <c r="H48" s="19" t="n">
        <v>1.75</v>
      </c>
      <c r="J48" s="16" t="n">
        <v>41855</v>
      </c>
      <c r="K48" s="19" t="n">
        <v>105.13</v>
      </c>
      <c r="M48" s="16" t="n">
        <v>43009</v>
      </c>
      <c r="N48" s="19" t="n">
        <v>45792.9</v>
      </c>
    </row>
    <row r="49">
      <c r="A49" s="16" t="n">
        <v>43040</v>
      </c>
      <c r="B49" s="19" t="n">
        <v>0.22</v>
      </c>
      <c r="D49" s="16" t="n">
        <v>41856</v>
      </c>
      <c r="E49" s="19" t="n">
        <v>2.96</v>
      </c>
      <c r="G49" s="16" t="n">
        <v>41856</v>
      </c>
      <c r="H49" s="19" t="n">
        <v>1.74</v>
      </c>
      <c r="J49" s="16" t="n">
        <v>41856</v>
      </c>
      <c r="K49" s="19" t="n">
        <v>105.77</v>
      </c>
      <c r="M49" s="16" t="n">
        <v>43040</v>
      </c>
      <c r="N49" s="19" t="n">
        <v>47620.7</v>
      </c>
    </row>
    <row r="50">
      <c r="A50" s="16" t="n">
        <v>43070</v>
      </c>
      <c r="B50" s="19" t="n">
        <v>0.22</v>
      </c>
      <c r="D50" s="16" t="n">
        <v>41857</v>
      </c>
      <c r="E50" s="19" t="n">
        <v>2.92</v>
      </c>
      <c r="G50" s="16" t="n">
        <v>41857</v>
      </c>
      <c r="H50" s="19" t="n">
        <v>1.76</v>
      </c>
      <c r="J50" s="16" t="n">
        <v>41857</v>
      </c>
      <c r="K50" s="19" t="n">
        <v>104.94</v>
      </c>
      <c r="M50" s="16" t="n">
        <v>43070</v>
      </c>
      <c r="N50" s="19" t="n">
        <v>51374.7</v>
      </c>
    </row>
    <row r="51">
      <c r="A51" s="16" t="n">
        <v>43101</v>
      </c>
      <c r="B51" s="19" t="n">
        <v>0.18</v>
      </c>
      <c r="D51" s="16" t="n">
        <v>41858</v>
      </c>
      <c r="E51" s="19" t="n">
        <v>2.9</v>
      </c>
      <c r="G51" s="16" t="n">
        <v>41858</v>
      </c>
      <c r="H51" s="19" t="n">
        <v>1.76</v>
      </c>
      <c r="J51" s="16" t="n">
        <v>41858</v>
      </c>
      <c r="K51" s="19" t="n">
        <v>105.21</v>
      </c>
      <c r="M51" s="16" t="n">
        <v>43101</v>
      </c>
      <c r="N51" s="19" t="n">
        <v>54096.4</v>
      </c>
    </row>
    <row r="52">
      <c r="A52" s="16" t="n">
        <v>43132</v>
      </c>
      <c r="B52" s="19" t="n">
        <v>0.26</v>
      </c>
      <c r="D52" s="16" t="n">
        <v>41859</v>
      </c>
      <c r="E52" s="19" t="n">
        <v>2.99</v>
      </c>
      <c r="G52" s="16" t="n">
        <v>41859</v>
      </c>
      <c r="H52" s="19" t="n">
        <v>1.84</v>
      </c>
      <c r="J52" s="16" t="n">
        <v>41859</v>
      </c>
      <c r="K52" s="19" t="n">
        <v>104.52</v>
      </c>
      <c r="M52" s="16" t="n">
        <v>43132</v>
      </c>
      <c r="N52" s="19" t="n">
        <v>56305</v>
      </c>
    </row>
    <row r="53">
      <c r="A53" s="16" t="n">
        <v>43160</v>
      </c>
      <c r="B53" s="19" t="n">
        <v>0.25</v>
      </c>
      <c r="D53" s="16" t="n">
        <v>41862</v>
      </c>
      <c r="E53" s="19" t="n">
        <v>2.95</v>
      </c>
      <c r="G53" s="16" t="n">
        <v>41862</v>
      </c>
      <c r="H53" s="19" t="n">
        <v>1.89</v>
      </c>
      <c r="J53" s="16" t="n">
        <v>41862</v>
      </c>
      <c r="K53" s="19" t="n">
        <v>104.77</v>
      </c>
      <c r="M53" s="16" t="n">
        <v>43160</v>
      </c>
      <c r="N53" s="19" t="n">
        <v>53968.1</v>
      </c>
    </row>
    <row r="54">
      <c r="A54" s="16" t="n">
        <v>43191</v>
      </c>
      <c r="B54" s="19" t="n">
        <v>0.3</v>
      </c>
      <c r="D54" s="16" t="n">
        <v>41863</v>
      </c>
      <c r="E54" s="19" t="n">
        <v>2.89</v>
      </c>
      <c r="G54" s="16" t="n">
        <v>41863</v>
      </c>
      <c r="H54" s="19" t="n">
        <v>1.91</v>
      </c>
      <c r="J54" s="16" t="n">
        <v>41863</v>
      </c>
      <c r="K54" s="19" t="n">
        <v>104.19</v>
      </c>
      <c r="M54" s="16" t="n">
        <v>43191</v>
      </c>
      <c r="N54" s="19" t="n">
        <v>55126.4</v>
      </c>
    </row>
    <row r="55">
      <c r="A55" s="16" t="n">
        <v>43221</v>
      </c>
      <c r="B55" s="19" t="n">
        <v>0.26</v>
      </c>
      <c r="D55" s="16" t="n">
        <v>41864</v>
      </c>
      <c r="E55" s="19" t="n">
        <v>2.85</v>
      </c>
      <c r="G55" s="16" t="n">
        <v>41864</v>
      </c>
      <c r="H55" s="19" t="n">
        <v>1.86</v>
      </c>
      <c r="J55" s="16" t="n">
        <v>41864</v>
      </c>
      <c r="K55" s="19" t="n">
        <v>104.07</v>
      </c>
      <c r="M55" s="16" t="n">
        <v>43221</v>
      </c>
      <c r="N55" s="19" t="n">
        <v>53467.8</v>
      </c>
    </row>
    <row r="56">
      <c r="A56" s="16" t="n">
        <v>43252</v>
      </c>
      <c r="B56" s="19" t="n">
        <v>0.26</v>
      </c>
      <c r="D56" s="16" t="n">
        <v>41865</v>
      </c>
      <c r="E56" s="19" t="n">
        <v>2.95</v>
      </c>
      <c r="G56" s="16" t="n">
        <v>41865</v>
      </c>
      <c r="H56" s="19" t="n">
        <v>1.87</v>
      </c>
      <c r="J56" s="16" t="n">
        <v>41865</v>
      </c>
      <c r="K56" s="19" t="n">
        <v>104.03</v>
      </c>
      <c r="M56" s="16" t="n">
        <v>43252</v>
      </c>
      <c r="N56" s="19" t="n">
        <v>54607.9</v>
      </c>
    </row>
    <row r="57">
      <c r="A57" s="16" t="n">
        <v>43282</v>
      </c>
      <c r="B57" s="19" t="n">
        <v>0.25</v>
      </c>
      <c r="D57" s="16" t="n">
        <v>41866</v>
      </c>
      <c r="E57" s="19" t="n">
        <v>3.07</v>
      </c>
      <c r="G57" s="16" t="n">
        <v>41866</v>
      </c>
      <c r="H57" s="19" t="n">
        <v>1.85</v>
      </c>
      <c r="J57" s="16" t="n">
        <v>41866</v>
      </c>
      <c r="K57" s="19" t="n">
        <v>103.96</v>
      </c>
      <c r="M57" s="16" t="n">
        <v>43282</v>
      </c>
      <c r="N57" s="19" t="n">
        <v>54053.7</v>
      </c>
    </row>
    <row r="58">
      <c r="A58" s="16" t="n">
        <v>43313</v>
      </c>
      <c r="B58" s="19" t="n">
        <v>0.25</v>
      </c>
      <c r="D58" s="16" t="n">
        <v>41869</v>
      </c>
      <c r="E58" s="19" t="n">
        <v>3.06</v>
      </c>
      <c r="G58" s="16" t="n">
        <v>41869</v>
      </c>
      <c r="H58" s="19" t="n">
        <v>1.87</v>
      </c>
      <c r="J58" s="16" t="n">
        <v>41869</v>
      </c>
      <c r="K58" s="19" t="n">
        <v>103.81</v>
      </c>
      <c r="M58" s="16" t="n">
        <v>43313</v>
      </c>
      <c r="N58" s="19" t="n">
        <v>54425.7</v>
      </c>
    </row>
    <row r="59">
      <c r="A59" s="16" t="n">
        <v>43344</v>
      </c>
      <c r="B59" s="19" t="n">
        <v>0.3</v>
      </c>
      <c r="D59" s="16" t="n">
        <v>41870</v>
      </c>
      <c r="E59" s="19" t="n">
        <v>3.12</v>
      </c>
      <c r="G59" s="16" t="n">
        <v>41870</v>
      </c>
      <c r="H59" s="19" t="n">
        <v>1.86</v>
      </c>
      <c r="J59" s="16" t="n">
        <v>41870</v>
      </c>
      <c r="K59" s="19" t="n">
        <v>104.12</v>
      </c>
      <c r="M59" s="16" t="n">
        <v>43344</v>
      </c>
      <c r="N59" s="19" t="n">
        <v>52612.1</v>
      </c>
    </row>
    <row r="60">
      <c r="A60" s="16" t="n">
        <v>43374</v>
      </c>
      <c r="B60" s="19" t="n">
        <v>0.16</v>
      </c>
      <c r="D60" s="16" t="n">
        <v>41871</v>
      </c>
      <c r="E60" s="19" t="n">
        <v>3.13</v>
      </c>
      <c r="G60" s="16" t="n">
        <v>41871</v>
      </c>
      <c r="H60" s="19" t="n">
        <v>1.83</v>
      </c>
      <c r="J60" s="16" t="n">
        <v>41871</v>
      </c>
      <c r="K60" s="19" t="n">
        <v>103.62</v>
      </c>
      <c r="M60" s="16" t="n">
        <v>43374</v>
      </c>
      <c r="N60" s="19" t="n">
        <v>53736.7</v>
      </c>
    </row>
    <row r="61">
      <c r="A61" s="16" t="n">
        <v>43405</v>
      </c>
      <c r="B61" s="19" t="n">
        <v>0.25</v>
      </c>
      <c r="D61" s="16" t="n">
        <v>41872</v>
      </c>
      <c r="E61" s="19" t="n">
        <v>3.13</v>
      </c>
      <c r="G61" s="16" t="n">
        <v>41872</v>
      </c>
      <c r="H61" s="19" t="n">
        <v>1.73</v>
      </c>
      <c r="J61" s="16" t="n">
        <v>41872</v>
      </c>
      <c r="K61" s="19" t="n">
        <v>103.64</v>
      </c>
      <c r="M61" s="16" t="n">
        <v>43405</v>
      </c>
      <c r="N61" s="19" t="n">
        <v>55011</v>
      </c>
    </row>
    <row r="62">
      <c r="A62" s="16" t="n">
        <v>43435</v>
      </c>
      <c r="B62" s="19" t="n">
        <v>0.18</v>
      </c>
      <c r="D62" s="16" t="n">
        <v>41873</v>
      </c>
      <c r="E62" s="19" t="n">
        <v>3.13</v>
      </c>
      <c r="G62" s="16" t="n">
        <v>41873</v>
      </c>
      <c r="H62" s="19" t="n">
        <v>1.74</v>
      </c>
      <c r="J62" s="16" t="n">
        <v>41873</v>
      </c>
      <c r="K62" s="19" t="n">
        <v>103.62</v>
      </c>
      <c r="M62" s="16" t="n">
        <v>43435</v>
      </c>
      <c r="N62" s="19" t="n">
        <v>56232</v>
      </c>
    </row>
    <row r="63">
      <c r="A63" s="16" t="n">
        <v>43466</v>
      </c>
      <c r="B63" s="19" t="n">
        <v>0.26</v>
      </c>
      <c r="D63" s="16" t="n">
        <v>41876</v>
      </c>
      <c r="E63" s="19" t="n">
        <v>3.15</v>
      </c>
      <c r="G63" s="16" t="n">
        <v>41876</v>
      </c>
      <c r="H63" s="19" t="n">
        <v>1.73</v>
      </c>
      <c r="J63" s="16" t="n">
        <v>41876</v>
      </c>
      <c r="K63" s="19" t="n">
        <v>103.96</v>
      </c>
      <c r="M63" s="16" t="n">
        <v>43466</v>
      </c>
      <c r="N63" s="19" t="n">
        <v>59784.4</v>
      </c>
    </row>
    <row r="64">
      <c r="A64" s="16" t="n">
        <v>43497</v>
      </c>
      <c r="B64" s="19" t="n">
        <v>0.21</v>
      </c>
      <c r="D64" s="16" t="n">
        <v>41877</v>
      </c>
      <c r="E64" s="19" t="n">
        <v>3.07</v>
      </c>
      <c r="G64" s="16" t="n">
        <v>41877</v>
      </c>
      <c r="H64" s="19" t="n">
        <v>1.76</v>
      </c>
      <c r="J64" s="16" t="n">
        <v>41877</v>
      </c>
      <c r="K64" s="19" t="n">
        <v>103.52</v>
      </c>
      <c r="M64" s="16" t="n">
        <v>43497</v>
      </c>
      <c r="N64" s="19" t="n">
        <v>61478.1</v>
      </c>
    </row>
    <row r="65">
      <c r="A65" s="16" t="n">
        <v>43525</v>
      </c>
      <c r="B65" s="19" t="n">
        <v>0.19</v>
      </c>
      <c r="D65" s="16" t="n">
        <v>41878</v>
      </c>
      <c r="E65" s="19" t="n">
        <v>3.1</v>
      </c>
      <c r="G65" s="16" t="n">
        <v>41878</v>
      </c>
      <c r="H65" s="19" t="n">
        <v>1.75</v>
      </c>
      <c r="J65" s="16" t="n">
        <v>41878</v>
      </c>
      <c r="K65" s="19" t="n">
        <v>103.31</v>
      </c>
      <c r="M65" s="16" t="n">
        <v>43525</v>
      </c>
      <c r="N65" s="19" t="n">
        <v>61102.1</v>
      </c>
    </row>
    <row r="66">
      <c r="A66" s="16" t="n">
        <v>43556</v>
      </c>
      <c r="B66" s="19" t="n">
        <v>0.2</v>
      </c>
      <c r="D66" s="16" t="n">
        <v>41879</v>
      </c>
      <c r="E66" s="19" t="n">
        <v>3.06</v>
      </c>
      <c r="G66" s="16" t="n">
        <v>41879</v>
      </c>
      <c r="H66" s="19" t="n">
        <v>1.8</v>
      </c>
      <c r="J66" s="16" t="n">
        <v>41879</v>
      </c>
      <c r="K66" s="19" t="n">
        <v>102.77</v>
      </c>
      <c r="M66" s="16" t="n">
        <v>43556</v>
      </c>
      <c r="N66" s="19" t="n">
        <v>60975.5</v>
      </c>
    </row>
    <row r="67">
      <c r="A67" s="16" t="n">
        <v>43586</v>
      </c>
      <c r="B67" s="19" t="n">
        <v>0.22</v>
      </c>
      <c r="D67" s="16" t="n">
        <v>41880</v>
      </c>
      <c r="E67" s="19" t="n">
        <v>3.01</v>
      </c>
      <c r="G67" s="16" t="n">
        <v>41880</v>
      </c>
      <c r="H67" s="19" t="n">
        <v>1.81</v>
      </c>
      <c r="J67" s="16" t="n">
        <v>41880</v>
      </c>
      <c r="K67" s="19" t="n">
        <v>102.91</v>
      </c>
      <c r="M67" s="16" t="n">
        <v>43586</v>
      </c>
      <c r="N67" s="19" t="n">
        <v>58985.5</v>
      </c>
    </row>
    <row r="68">
      <c r="A68" s="16" t="n">
        <v>43617</v>
      </c>
      <c r="B68" s="19" t="n">
        <v>0.25</v>
      </c>
      <c r="D68" s="16" t="n">
        <v>41883</v>
      </c>
      <c r="E68" s="19" t="n">
        <v>3.01</v>
      </c>
      <c r="G68" s="16" t="n">
        <v>41883</v>
      </c>
      <c r="H68" s="19" t="n">
        <v>1.77</v>
      </c>
      <c r="J68" s="16" t="n">
        <v>41883</v>
      </c>
      <c r="K68" s="19" t="n">
        <v>102.59</v>
      </c>
      <c r="M68" s="16" t="n">
        <v>43617</v>
      </c>
      <c r="N68" s="19" t="n">
        <v>57835.1</v>
      </c>
    </row>
    <row r="69">
      <c r="A69" s="16" t="n">
        <v>43647</v>
      </c>
      <c r="B69" s="19" t="n">
        <v>0.26</v>
      </c>
      <c r="D69" s="16" t="n">
        <v>41884</v>
      </c>
      <c r="E69" s="19" t="n">
        <v>3.05</v>
      </c>
      <c r="G69" s="16" t="n">
        <v>41884</v>
      </c>
      <c r="H69" s="19" t="n">
        <v>1.73</v>
      </c>
      <c r="J69" s="16" t="n">
        <v>41884</v>
      </c>
      <c r="K69" s="19" t="n">
        <v>102.92</v>
      </c>
      <c r="M69" s="16" t="n">
        <v>43647</v>
      </c>
      <c r="N69" s="19" t="n">
        <v>57597.1</v>
      </c>
    </row>
    <row r="70">
      <c r="A70" s="16" t="n">
        <v>43678</v>
      </c>
      <c r="B70" s="19" t="n">
        <v>0.16</v>
      </c>
      <c r="D70" s="16" t="n">
        <v>41885</v>
      </c>
      <c r="E70" s="19" t="n">
        <v>3.08</v>
      </c>
      <c r="G70" s="16" t="n">
        <v>41885</v>
      </c>
      <c r="H70" s="19" t="n">
        <v>1.73</v>
      </c>
      <c r="J70" s="16" t="n">
        <v>41885</v>
      </c>
      <c r="K70" s="19" t="n">
        <v>102.31</v>
      </c>
      <c r="M70" s="16" t="n">
        <v>43678</v>
      </c>
      <c r="N70" s="19" t="n">
        <v>55734.4</v>
      </c>
    </row>
    <row r="71">
      <c r="A71" s="16" t="n">
        <v>43709</v>
      </c>
      <c r="B71" s="19" t="n">
        <v>0.16</v>
      </c>
      <c r="D71" s="16" t="n">
        <v>41886</v>
      </c>
      <c r="E71" s="19" t="n">
        <v>3.17</v>
      </c>
      <c r="G71" s="16" t="n">
        <v>41886</v>
      </c>
      <c r="H71" s="19" t="n">
        <v>1.74</v>
      </c>
      <c r="J71" s="16" t="n">
        <v>41886</v>
      </c>
      <c r="K71" s="19" t="n">
        <v>102.42</v>
      </c>
      <c r="M71" s="16" t="n">
        <v>43709</v>
      </c>
      <c r="N71" s="19" t="n">
        <v>55584.4</v>
      </c>
    </row>
    <row r="72">
      <c r="A72" s="16" t="n">
        <v>43739</v>
      </c>
      <c r="B72" s="19" t="n">
        <v>0.1</v>
      </c>
      <c r="D72" s="16" t="n">
        <v>41887</v>
      </c>
      <c r="E72" s="19" t="n">
        <v>3.15</v>
      </c>
      <c r="G72" s="16" t="n">
        <v>41887</v>
      </c>
      <c r="H72" s="19" t="n">
        <v>1.7</v>
      </c>
      <c r="J72" s="16" t="n">
        <v>41887</v>
      </c>
      <c r="K72" s="19" t="n">
        <v>102.3</v>
      </c>
      <c r="M72" s="16" t="n">
        <v>43739</v>
      </c>
      <c r="N72" s="19" t="n">
        <v>57198.9</v>
      </c>
    </row>
    <row r="73">
      <c r="A73" s="16" t="n">
        <v>43770</v>
      </c>
      <c r="B73" s="19" t="n">
        <v>0.11</v>
      </c>
      <c r="D73" s="16" t="n">
        <v>41890</v>
      </c>
      <c r="E73" s="19" t="n">
        <v>3.16</v>
      </c>
      <c r="G73" s="16" t="n">
        <v>41890</v>
      </c>
      <c r="H73" s="19" t="n">
        <v>1.67</v>
      </c>
      <c r="J73" s="16" t="n">
        <v>41890</v>
      </c>
      <c r="K73" s="19" t="n">
        <v>102.37</v>
      </c>
      <c r="M73" s="16" t="n">
        <v>43770</v>
      </c>
      <c r="N73" s="19" t="n">
        <v>59395.1</v>
      </c>
    </row>
    <row r="74">
      <c r="A74" s="16" t="n">
        <v>43800</v>
      </c>
      <c r="B74" s="19" t="n">
        <v>0.1</v>
      </c>
      <c r="D74" s="16" t="n">
        <v>41891</v>
      </c>
      <c r="E74" s="19" t="n">
        <v>3.21</v>
      </c>
      <c r="G74" s="16" t="n">
        <v>41891</v>
      </c>
      <c r="H74" s="19" t="n">
        <v>1.69</v>
      </c>
      <c r="J74" s="16" t="n">
        <v>41891</v>
      </c>
      <c r="K74" s="19" t="n">
        <v>102.34</v>
      </c>
      <c r="M74" s="16" t="n">
        <v>43800</v>
      </c>
      <c r="N74" s="19" t="n">
        <v>62020.9</v>
      </c>
    </row>
    <row r="75">
      <c r="A75" s="16" t="n">
        <v>43831</v>
      </c>
      <c r="B75" s="19" t="n">
        <v>0.11</v>
      </c>
      <c r="D75" s="16" t="n">
        <v>41892</v>
      </c>
      <c r="E75" s="19" t="n">
        <v>3.26</v>
      </c>
      <c r="G75" s="16" t="n">
        <v>41892</v>
      </c>
      <c r="H75" s="19" t="n">
        <v>1.72</v>
      </c>
      <c r="J75" s="16" t="n">
        <v>41892</v>
      </c>
      <c r="K75" s="19" t="n">
        <v>102.81</v>
      </c>
      <c r="M75" s="16" t="n">
        <v>43831</v>
      </c>
      <c r="N75" s="19" t="n">
        <v>64096</v>
      </c>
    </row>
    <row r="76">
      <c r="A76" s="16" t="n">
        <v>43862</v>
      </c>
      <c r="B76" s="19" t="n">
        <v>0.06</v>
      </c>
      <c r="D76" s="16" t="n">
        <v>41893</v>
      </c>
      <c r="E76" s="19" t="n">
        <v>3.22</v>
      </c>
      <c r="G76" s="16" t="n">
        <v>41893</v>
      </c>
      <c r="H76" s="19" t="n">
        <v>1.65</v>
      </c>
      <c r="J76" s="16" t="n">
        <v>41893</v>
      </c>
      <c r="K76" s="19" t="n">
        <v>103.23</v>
      </c>
      <c r="M76" s="16" t="n">
        <v>43862</v>
      </c>
      <c r="N76" s="19" t="n">
        <v>67365.60000000001</v>
      </c>
    </row>
    <row r="77">
      <c r="A77" s="16" t="n">
        <v>43891</v>
      </c>
      <c r="B77" s="19" t="n">
        <v>0.09</v>
      </c>
      <c r="D77" s="16" t="n">
        <v>41894</v>
      </c>
      <c r="E77" s="19" t="n">
        <v>3.22</v>
      </c>
      <c r="G77" s="16" t="n">
        <v>41894</v>
      </c>
      <c r="H77" s="19" t="n">
        <v>1.64</v>
      </c>
      <c r="J77" s="16" t="n">
        <v>41894</v>
      </c>
      <c r="K77" s="19" t="n">
        <v>103.5</v>
      </c>
      <c r="M77" s="16" t="n">
        <v>43891</v>
      </c>
      <c r="N77" s="19" t="n">
        <v>66853.89999999999</v>
      </c>
    </row>
    <row r="78">
      <c r="A78" s="16" t="n">
        <v>43922</v>
      </c>
      <c r="B78" s="19" t="n">
        <v>8.49</v>
      </c>
      <c r="D78" s="16" t="n">
        <v>41897</v>
      </c>
      <c r="E78" s="19" t="n">
        <v>3.2</v>
      </c>
      <c r="G78" s="16" t="n">
        <v>41897</v>
      </c>
      <c r="H78" s="19" t="n">
        <v>1.61</v>
      </c>
      <c r="J78" s="16" t="n">
        <v>41897</v>
      </c>
      <c r="K78" s="19" t="n">
        <v>104.45</v>
      </c>
      <c r="M78" s="16" t="n">
        <v>43922</v>
      </c>
      <c r="N78" s="19" t="n">
        <v>70600.8</v>
      </c>
    </row>
    <row r="79">
      <c r="A79" s="16" t="n">
        <v>43952</v>
      </c>
      <c r="B79" s="19" t="n">
        <v>8.529999999999999</v>
      </c>
      <c r="D79" s="16" t="n">
        <v>41898</v>
      </c>
      <c r="E79" s="19" t="n">
        <v>3.13</v>
      </c>
      <c r="G79" s="16" t="n">
        <v>41898</v>
      </c>
      <c r="H79" s="19" t="n">
        <v>1.65</v>
      </c>
      <c r="J79" s="16" t="n">
        <v>41898</v>
      </c>
      <c r="K79" s="19" t="n">
        <v>104.99</v>
      </c>
      <c r="M79" s="16" t="n">
        <v>43952</v>
      </c>
      <c r="N79" s="19" t="n">
        <v>71864.8</v>
      </c>
    </row>
    <row r="80">
      <c r="A80" s="16" t="n">
        <v>43983</v>
      </c>
      <c r="B80" s="19" t="n">
        <v>8.609999999999999</v>
      </c>
      <c r="D80" s="16" t="n">
        <v>41899</v>
      </c>
      <c r="E80" s="19" t="n">
        <v>3.21</v>
      </c>
      <c r="G80" s="16" t="n">
        <v>41899</v>
      </c>
      <c r="H80" s="19" t="n">
        <v>1.66</v>
      </c>
      <c r="J80" s="16" t="n">
        <v>41899</v>
      </c>
      <c r="K80" s="19" t="n">
        <v>105.27</v>
      </c>
      <c r="M80" s="16" t="n">
        <v>43983</v>
      </c>
      <c r="N80" s="19" t="n">
        <v>68677.5</v>
      </c>
    </row>
    <row r="81">
      <c r="A81" s="16" t="n">
        <v>44013</v>
      </c>
      <c r="B81" s="19" t="n">
        <v>8.550000000000001</v>
      </c>
      <c r="D81" s="16" t="n">
        <v>41900</v>
      </c>
      <c r="E81" s="19" t="n">
        <v>3.17</v>
      </c>
      <c r="G81" s="16" t="n">
        <v>41900</v>
      </c>
      <c r="H81" s="19" t="n">
        <v>1.66</v>
      </c>
      <c r="J81" s="16" t="n">
        <v>41900</v>
      </c>
      <c r="K81" s="19" t="n">
        <v>104.19</v>
      </c>
      <c r="M81" s="16" t="n">
        <v>44013</v>
      </c>
      <c r="N81" s="19" t="n">
        <v>66644.3</v>
      </c>
    </row>
    <row r="82">
      <c r="A82" s="16" t="n">
        <v>44044</v>
      </c>
      <c r="B82" s="19" t="n">
        <v>8.59</v>
      </c>
      <c r="D82" s="16" t="n">
        <v>41901</v>
      </c>
      <c r="E82" s="19" t="n">
        <v>3.14</v>
      </c>
      <c r="G82" s="16" t="n">
        <v>41901</v>
      </c>
      <c r="H82" s="19" t="n">
        <v>1.66</v>
      </c>
      <c r="J82" s="16" t="n">
        <v>41901</v>
      </c>
      <c r="K82" s="19" t="n">
        <v>104.15</v>
      </c>
      <c r="M82" s="16" t="n">
        <v>44044</v>
      </c>
      <c r="N82" s="19" t="n">
        <v>66359.5</v>
      </c>
    </row>
    <row r="83">
      <c r="A83" s="16" t="n">
        <v>44075</v>
      </c>
      <c r="B83" s="19" t="n">
        <v>8.49</v>
      </c>
      <c r="D83" s="16" t="n">
        <v>41904</v>
      </c>
      <c r="E83" s="19" t="n">
        <v>3.12</v>
      </c>
      <c r="G83" s="16" t="n">
        <v>41904</v>
      </c>
      <c r="H83" s="19" t="n">
        <v>1.71</v>
      </c>
      <c r="J83" s="16" t="n">
        <v>41904</v>
      </c>
      <c r="K83" s="19" t="n">
        <v>103.34</v>
      </c>
      <c r="M83" s="16" t="n">
        <v>44075</v>
      </c>
      <c r="N83" s="19" t="n">
        <v>63819.7</v>
      </c>
    </row>
    <row r="84">
      <c r="A84" s="16" t="n">
        <v>44105</v>
      </c>
      <c r="B84" s="19" t="n">
        <v>2.02</v>
      </c>
      <c r="D84" s="16" t="n">
        <v>41905</v>
      </c>
      <c r="E84" s="19" t="n">
        <v>3.13</v>
      </c>
      <c r="G84" s="16" t="n">
        <v>41905</v>
      </c>
      <c r="H84" s="19" t="n">
        <v>1.69</v>
      </c>
      <c r="J84" s="16" t="n">
        <v>41905</v>
      </c>
      <c r="K84" s="19" t="n">
        <v>103.37</v>
      </c>
      <c r="M84" s="16" t="n">
        <v>44105</v>
      </c>
      <c r="N84" s="19" t="n">
        <v>65892.8</v>
      </c>
    </row>
    <row r="85">
      <c r="A85" s="16" t="n">
        <v>44136</v>
      </c>
      <c r="B85" s="19" t="n">
        <v>0</v>
      </c>
      <c r="D85" s="16" t="n">
        <v>41906</v>
      </c>
      <c r="E85" s="19" t="n">
        <v>3.13</v>
      </c>
      <c r="G85" s="16" t="n">
        <v>41906</v>
      </c>
      <c r="H85" s="19" t="n">
        <v>1.77</v>
      </c>
      <c r="J85" s="16" t="n">
        <v>41906</v>
      </c>
      <c r="K85" s="19" t="n">
        <v>102.84</v>
      </c>
      <c r="M85" s="16" t="n">
        <v>44136</v>
      </c>
      <c r="N85" s="19" t="n">
        <v>69552.3</v>
      </c>
    </row>
    <row r="86">
      <c r="A86" s="16" t="n">
        <v>44166</v>
      </c>
      <c r="B86" s="19" t="n">
        <v>0</v>
      </c>
      <c r="D86" s="16" t="n">
        <v>41907</v>
      </c>
      <c r="E86" s="19" t="n">
        <v>3.19</v>
      </c>
      <c r="G86" s="16" t="n">
        <v>41907</v>
      </c>
      <c r="H86" s="19" t="n">
        <v>1.82</v>
      </c>
      <c r="J86" s="16" t="n">
        <v>41907</v>
      </c>
      <c r="K86" s="19" t="n">
        <v>102.78</v>
      </c>
      <c r="M86" s="16" t="n">
        <v>44166</v>
      </c>
      <c r="N86" s="19" t="n">
        <v>70843.3</v>
      </c>
    </row>
    <row r="87">
      <c r="A87" s="16" t="n">
        <v>44197</v>
      </c>
      <c r="B87" s="19" t="n">
        <v>0</v>
      </c>
      <c r="D87" s="16" t="n">
        <v>41908</v>
      </c>
      <c r="E87" s="19" t="n">
        <v>3.16</v>
      </c>
      <c r="G87" s="16" t="n">
        <v>41908</v>
      </c>
      <c r="H87" s="19" t="n">
        <v>1.78</v>
      </c>
      <c r="J87" s="16" t="n">
        <v>41908</v>
      </c>
      <c r="K87" s="19" t="n">
        <v>102.36</v>
      </c>
      <c r="M87" s="16" t="n">
        <v>44197</v>
      </c>
      <c r="N87" s="19" t="n">
        <v>70300.39999999999</v>
      </c>
    </row>
    <row r="88">
      <c r="A88" s="16" t="n">
        <v>44228</v>
      </c>
      <c r="B88" s="19" t="n">
        <v>0</v>
      </c>
      <c r="D88" s="16" t="n">
        <v>41911</v>
      </c>
      <c r="E88" s="19" t="n">
        <v>3.25</v>
      </c>
      <c r="G88" s="16" t="n">
        <v>41911</v>
      </c>
      <c r="H88" s="19" t="n">
        <v>1.69</v>
      </c>
      <c r="J88" s="16" t="n">
        <v>41911</v>
      </c>
      <c r="K88" s="19" t="n">
        <v>102.6</v>
      </c>
      <c r="M88" s="16" t="n">
        <v>44228</v>
      </c>
      <c r="N88" s="19" t="n">
        <v>74942.60000000001</v>
      </c>
    </row>
    <row r="89">
      <c r="A89" s="16" t="n">
        <v>44256</v>
      </c>
      <c r="B89" s="19" t="n">
        <v>0</v>
      </c>
      <c r="D89" s="16" t="n">
        <v>41912</v>
      </c>
      <c r="E89" s="19" t="n">
        <v>3.22</v>
      </c>
      <c r="G89" s="16" t="n">
        <v>41912</v>
      </c>
      <c r="H89" s="19" t="n">
        <v>1.77</v>
      </c>
      <c r="J89" s="16" t="n">
        <v>41912</v>
      </c>
      <c r="K89" s="19" t="n">
        <v>102.78</v>
      </c>
      <c r="M89" s="16" t="n">
        <v>44256</v>
      </c>
      <c r="N89" s="19" t="n">
        <v>74219.3</v>
      </c>
    </row>
    <row r="90">
      <c r="A90" s="16" t="n">
        <v>44287</v>
      </c>
      <c r="B90" s="19" t="n">
        <v>0</v>
      </c>
      <c r="D90" s="16" t="n">
        <v>41913</v>
      </c>
      <c r="E90" s="19" t="n">
        <v>3.16</v>
      </c>
      <c r="G90" s="16" t="n">
        <v>41913</v>
      </c>
      <c r="H90" s="19" t="n">
        <v>1.74</v>
      </c>
      <c r="J90" s="16" t="n">
        <v>41913</v>
      </c>
      <c r="K90" s="19" t="n">
        <v>102.89</v>
      </c>
      <c r="M90" s="16" t="n">
        <v>44287</v>
      </c>
      <c r="N90" s="19" t="n">
        <v>70948.60000000001</v>
      </c>
    </row>
    <row r="91">
      <c r="A91" s="16" t="n">
        <v>44317</v>
      </c>
      <c r="B91" s="19" t="n">
        <v>0</v>
      </c>
      <c r="D91" s="16" t="n">
        <v>41914</v>
      </c>
      <c r="E91" s="19" t="n">
        <v>3.17</v>
      </c>
      <c r="G91" s="16" t="n">
        <v>41914</v>
      </c>
      <c r="H91" s="19" t="n">
        <v>1.71</v>
      </c>
      <c r="J91" s="16" t="n">
        <v>41914</v>
      </c>
      <c r="K91" s="19" t="n">
        <v>102.76</v>
      </c>
      <c r="M91" s="16" t="n">
        <v>44317</v>
      </c>
      <c r="N91" s="19" t="n">
        <v>70381.60000000001</v>
      </c>
    </row>
    <row r="92">
      <c r="A92" s="16" t="n">
        <v>44348</v>
      </c>
      <c r="B92" s="19" t="n">
        <v>0</v>
      </c>
      <c r="D92" s="16" t="n">
        <v>41915</v>
      </c>
      <c r="E92" s="19" t="n">
        <v>3.15</v>
      </c>
      <c r="G92" s="16" t="n">
        <v>41915</v>
      </c>
      <c r="H92" s="19" t="n">
        <v>1.73</v>
      </c>
      <c r="J92" s="16" t="n">
        <v>41915</v>
      </c>
      <c r="K92" s="19" t="n">
        <v>102.91</v>
      </c>
      <c r="M92" s="16" t="n">
        <v>44348</v>
      </c>
      <c r="N92" s="19" t="n">
        <v>68146.8</v>
      </c>
    </row>
    <row r="93">
      <c r="A93" s="16" t="n">
        <v>44378</v>
      </c>
      <c r="B93" s="19" t="n">
        <v>0.05</v>
      </c>
      <c r="D93" s="16" t="n">
        <v>41918</v>
      </c>
      <c r="E93" s="19" t="n">
        <v>3.16</v>
      </c>
      <c r="G93" s="16" t="n">
        <v>41918</v>
      </c>
      <c r="H93" s="19" t="n">
        <v>1.7</v>
      </c>
      <c r="J93" s="16" t="n">
        <v>41918</v>
      </c>
      <c r="K93" s="19" t="n">
        <v>103.33</v>
      </c>
      <c r="M93" s="16" t="n">
        <v>44378</v>
      </c>
      <c r="N93" s="19" t="n">
        <v>65246.7</v>
      </c>
    </row>
    <row r="94">
      <c r="A94" s="16" t="n">
        <v>44409</v>
      </c>
      <c r="B94" s="19" t="n">
        <v>0.06</v>
      </c>
      <c r="D94" s="16" t="n">
        <v>41919</v>
      </c>
      <c r="E94" s="19" t="n">
        <v>3.13</v>
      </c>
      <c r="G94" s="16" t="n">
        <v>41919</v>
      </c>
      <c r="H94" s="19" t="n">
        <v>1.67</v>
      </c>
      <c r="J94" s="16" t="n">
        <v>41919</v>
      </c>
      <c r="K94" s="19" t="n">
        <v>103.12</v>
      </c>
      <c r="M94" s="16" t="n">
        <v>44409</v>
      </c>
      <c r="N94" s="19" t="n">
        <v>65973.60000000001</v>
      </c>
    </row>
    <row r="95">
      <c r="A95" s="16" t="n">
        <v>44440</v>
      </c>
      <c r="B95" s="19" t="n">
        <v>0</v>
      </c>
      <c r="D95" s="16" t="n">
        <v>41920</v>
      </c>
      <c r="E95" s="19" t="n">
        <v>3.12</v>
      </c>
      <c r="G95" s="16" t="n">
        <v>41920</v>
      </c>
      <c r="H95" s="19" t="n">
        <v>1.66</v>
      </c>
      <c r="J95" s="16" t="n">
        <v>41920</v>
      </c>
      <c r="K95" s="19" t="n">
        <v>102.15</v>
      </c>
      <c r="M95" s="16" t="n">
        <v>44440</v>
      </c>
      <c r="N95" s="19" t="n">
        <v>65445.5</v>
      </c>
    </row>
    <row r="96">
      <c r="A96" s="16" t="n">
        <v>44470</v>
      </c>
      <c r="B96" s="19" t="n">
        <v>0</v>
      </c>
      <c r="D96" s="16" t="n">
        <v>41921</v>
      </c>
      <c r="E96" s="19" t="n">
        <v>3.18</v>
      </c>
      <c r="G96" s="16" t="n">
        <v>41921</v>
      </c>
      <c r="H96" s="19" t="n">
        <v>1.68</v>
      </c>
      <c r="J96" s="16" t="n">
        <v>41921</v>
      </c>
      <c r="K96" s="19" t="n">
        <v>102.84</v>
      </c>
      <c r="M96" s="16" t="n">
        <v>44470</v>
      </c>
      <c r="N96" s="19" t="n">
        <v>62669</v>
      </c>
    </row>
    <row r="97">
      <c r="A97" s="16" t="n">
        <v>44501</v>
      </c>
      <c r="B97" s="19" t="n">
        <v>0</v>
      </c>
      <c r="D97" s="16" t="n">
        <v>41922</v>
      </c>
      <c r="E97" s="19" t="n">
        <v>3.16</v>
      </c>
      <c r="G97" s="16" t="n">
        <v>41922</v>
      </c>
      <c r="H97" s="19" t="n">
        <v>1.72</v>
      </c>
      <c r="J97" s="16" t="n">
        <v>41922</v>
      </c>
      <c r="K97" s="19" t="n">
        <v>102.95</v>
      </c>
      <c r="M97" s="16" t="n">
        <v>44501</v>
      </c>
      <c r="N97" s="19" t="n">
        <v>63263.7</v>
      </c>
    </row>
    <row r="98">
      <c r="A98" s="16" t="n">
        <v>44531</v>
      </c>
      <c r="B98" s="19" t="n">
        <v>0</v>
      </c>
      <c r="D98" s="16" t="n">
        <v>41925</v>
      </c>
      <c r="E98" s="19" t="n">
        <v>3.16</v>
      </c>
      <c r="G98" s="16" t="n">
        <v>41925</v>
      </c>
      <c r="H98" s="19" t="n">
        <v>1.79</v>
      </c>
      <c r="J98" s="16" t="n">
        <v>41925</v>
      </c>
      <c r="K98" s="19" t="n">
        <v>102.66</v>
      </c>
      <c r="M98" s="16" t="n">
        <v>44531</v>
      </c>
      <c r="N98" s="19" t="n">
        <v>65751.60000000001</v>
      </c>
    </row>
    <row r="99">
      <c r="A99" s="16" t="n">
        <v>44562</v>
      </c>
      <c r="B99" s="19" t="n">
        <v>0</v>
      </c>
      <c r="D99" s="16" t="n">
        <v>41926</v>
      </c>
      <c r="E99" s="19" t="n">
        <v>3.19</v>
      </c>
      <c r="G99" s="16" t="n">
        <v>41926</v>
      </c>
      <c r="H99" s="19" t="n">
        <v>1.72</v>
      </c>
      <c r="J99" s="16" t="n">
        <v>41926</v>
      </c>
      <c r="K99" s="19" t="n">
        <v>102.96</v>
      </c>
      <c r="M99" s="16" t="n">
        <v>44562</v>
      </c>
      <c r="N99" s="19" t="n">
        <v>68919.2</v>
      </c>
    </row>
    <row r="100">
      <c r="A100" s="16" t="n">
        <v>44593</v>
      </c>
      <c r="B100" s="19" t="n">
        <v>0</v>
      </c>
      <c r="D100" s="16" t="n">
        <v>41927</v>
      </c>
      <c r="E100" s="19" t="n">
        <v>3.18</v>
      </c>
      <c r="G100" s="16" t="n">
        <v>41927</v>
      </c>
      <c r="H100" s="19" t="n">
        <v>1.68</v>
      </c>
      <c r="J100" s="16" t="n">
        <v>41927</v>
      </c>
      <c r="K100" s="19" t="n">
        <v>102.67</v>
      </c>
      <c r="M100" s="16" t="n">
        <v>44593</v>
      </c>
      <c r="N100" s="19" t="n">
        <v>70963.5</v>
      </c>
    </row>
    <row r="101">
      <c r="A101" s="16" t="n">
        <v>44621</v>
      </c>
      <c r="B101" s="19" t="n">
        <v>0</v>
      </c>
      <c r="D101" s="16" t="n">
        <v>41928</v>
      </c>
      <c r="E101" s="19" t="n">
        <v>3.08</v>
      </c>
      <c r="G101" s="16" t="n">
        <v>41928</v>
      </c>
      <c r="H101" s="19" t="n">
        <v>1.64</v>
      </c>
      <c r="J101" s="16" t="n">
        <v>41928</v>
      </c>
      <c r="K101" s="19" t="n">
        <v>102.77</v>
      </c>
      <c r="M101" s="16" t="n">
        <v>44621</v>
      </c>
      <c r="N101" s="19" t="n">
        <v>69548.10000000001</v>
      </c>
    </row>
    <row r="102">
      <c r="A102" s="16" t="n">
        <v>44652</v>
      </c>
      <c r="B102" s="19" t="n">
        <v>0</v>
      </c>
      <c r="D102" s="16" t="n">
        <v>41929</v>
      </c>
      <c r="E102" s="19" t="n">
        <v>2.97</v>
      </c>
      <c r="G102" s="16" t="n">
        <v>41929</v>
      </c>
      <c r="H102" s="19" t="n">
        <v>1.68</v>
      </c>
      <c r="J102" s="16" t="n">
        <v>41929</v>
      </c>
      <c r="K102" s="19" t="n">
        <v>103.29</v>
      </c>
      <c r="M102" s="16" t="n">
        <v>44652</v>
      </c>
      <c r="N102" s="19" t="n">
        <v>68972</v>
      </c>
    </row>
    <row r="103">
      <c r="A103" s="16" t="n">
        <v>44682</v>
      </c>
      <c r="B103" s="19" t="n">
        <v>0</v>
      </c>
      <c r="D103" s="16" t="n">
        <v>41932</v>
      </c>
      <c r="E103" s="19" t="n">
        <v>2.93</v>
      </c>
      <c r="G103" s="16" t="n">
        <v>41932</v>
      </c>
      <c r="H103" s="19" t="n">
        <v>1.62</v>
      </c>
      <c r="J103" s="16" t="n">
        <v>41932</v>
      </c>
      <c r="K103" s="19" t="n">
        <v>102.58</v>
      </c>
      <c r="M103" s="16" t="n">
        <v>44682</v>
      </c>
      <c r="N103" s="19" t="n">
        <v>67755.3</v>
      </c>
    </row>
    <row r="104">
      <c r="A104" s="16" t="n">
        <v>44713</v>
      </c>
      <c r="B104" s="19" t="n">
        <v>0</v>
      </c>
      <c r="D104" s="16" t="n">
        <v>41933</v>
      </c>
      <c r="E104" s="19" t="n">
        <v>2.87</v>
      </c>
      <c r="G104" s="16" t="n">
        <v>41933</v>
      </c>
      <c r="H104" s="19" t="n">
        <v>1.59</v>
      </c>
      <c r="J104" s="16" t="n">
        <v>41933</v>
      </c>
      <c r="K104" s="19" t="n">
        <v>103.71</v>
      </c>
      <c r="M104" s="16" t="n">
        <v>44713</v>
      </c>
      <c r="N104" s="19" t="n">
        <v>65390</v>
      </c>
    </row>
    <row r="105">
      <c r="A105" s="16" t="n">
        <v>44743</v>
      </c>
      <c r="B105" s="19" t="n">
        <v>0.06</v>
      </c>
      <c r="D105" s="16" t="n">
        <v>41934</v>
      </c>
      <c r="E105" s="19" t="n">
        <v>2.82</v>
      </c>
      <c r="G105" s="16" t="n">
        <v>41934</v>
      </c>
      <c r="H105" s="19" t="n">
        <v>1.62</v>
      </c>
      <c r="J105" s="16" t="n">
        <v>41934</v>
      </c>
      <c r="K105" s="19" t="n">
        <v>104.37</v>
      </c>
      <c r="M105" s="16" t="n">
        <v>44743</v>
      </c>
      <c r="N105" s="19" t="n">
        <v>62421.8</v>
      </c>
    </row>
    <row r="106">
      <c r="A106" s="16" t="n">
        <v>44774</v>
      </c>
      <c r="B106" s="19" t="n">
        <v>0</v>
      </c>
      <c r="D106" s="16" t="n">
        <v>41935</v>
      </c>
      <c r="E106" s="19" t="n">
        <v>2.78</v>
      </c>
      <c r="G106" s="16" t="n">
        <v>41935</v>
      </c>
      <c r="H106" s="19" t="n">
        <v>1.61</v>
      </c>
      <c r="J106" s="16" t="n">
        <v>41935</v>
      </c>
      <c r="K106" s="19" t="n">
        <v>104.74</v>
      </c>
      <c r="M106" s="16" t="n">
        <v>44774</v>
      </c>
      <c r="N106" s="19" t="n">
        <v>60277</v>
      </c>
    </row>
    <row r="107">
      <c r="A107" s="16" t="n">
        <v>44805</v>
      </c>
      <c r="B107" s="19" t="n">
        <v>0</v>
      </c>
      <c r="D107" s="16" t="n">
        <v>41936</v>
      </c>
      <c r="E107" s="19" t="n">
        <v>2.75</v>
      </c>
      <c r="G107" s="16" t="n">
        <v>41936</v>
      </c>
      <c r="H107" s="19" t="n">
        <v>1.66</v>
      </c>
      <c r="J107" s="16" t="n">
        <v>41936</v>
      </c>
      <c r="K107" s="19" t="n">
        <v>105.88</v>
      </c>
      <c r="M107" s="16" t="n">
        <v>44805</v>
      </c>
      <c r="N107" s="19" t="n">
        <v>61383</v>
      </c>
    </row>
    <row r="108">
      <c r="A108" s="16" t="n">
        <v>44835</v>
      </c>
      <c r="B108" s="19" t="n">
        <v>0</v>
      </c>
      <c r="D108" s="16" t="n">
        <v>41939</v>
      </c>
      <c r="E108" s="19" t="n">
        <v>2.75</v>
      </c>
      <c r="G108" s="16" t="n">
        <v>41939</v>
      </c>
      <c r="H108" s="19" t="n">
        <v>1.63</v>
      </c>
      <c r="J108" s="16" t="n">
        <v>41939</v>
      </c>
      <c r="K108" s="19" t="n">
        <v>106.2</v>
      </c>
      <c r="M108" s="16" t="n">
        <v>44835</v>
      </c>
      <c r="N108" s="19" t="n">
        <v>63565.2</v>
      </c>
    </row>
    <row r="109">
      <c r="A109" s="16" t="n">
        <v>44866</v>
      </c>
      <c r="B109" s="19" t="n">
        <v>0.04</v>
      </c>
      <c r="D109" s="16" t="n">
        <v>41940</v>
      </c>
      <c r="E109" s="19" t="n">
        <v>2.76</v>
      </c>
      <c r="G109" s="16" t="n">
        <v>41940</v>
      </c>
      <c r="H109" s="19" t="n">
        <v>1.6</v>
      </c>
      <c r="J109" s="16" t="n">
        <v>41940</v>
      </c>
      <c r="K109" s="19" t="n">
        <v>106.14</v>
      </c>
      <c r="M109" s="16" t="n">
        <v>44866</v>
      </c>
      <c r="N109" s="19" t="n">
        <v>63479.1</v>
      </c>
    </row>
    <row r="110">
      <c r="A110" s="16" t="n">
        <v>44896</v>
      </c>
      <c r="B110" s="19" t="n">
        <v>0.05</v>
      </c>
      <c r="D110" s="16" t="n">
        <v>41941</v>
      </c>
      <c r="E110" s="19" t="n">
        <v>2.77</v>
      </c>
      <c r="G110" s="16" t="n">
        <v>41941</v>
      </c>
      <c r="H110" s="19" t="n">
        <v>1.62</v>
      </c>
      <c r="J110" s="16" t="n">
        <v>41941</v>
      </c>
      <c r="K110" s="19" t="n">
        <v>106.76</v>
      </c>
      <c r="M110" s="16" t="n">
        <v>44896</v>
      </c>
      <c r="N110" s="19" t="n">
        <v>63875.3</v>
      </c>
    </row>
    <row r="111">
      <c r="A111" s="16" t="n">
        <v>44927</v>
      </c>
      <c r="B111" s="19" t="n">
        <v>0.07000000000000001</v>
      </c>
      <c r="D111" s="16" t="n">
        <v>41942</v>
      </c>
      <c r="E111" s="19" t="n">
        <v>2.75</v>
      </c>
      <c r="G111" s="16" t="n">
        <v>41942</v>
      </c>
      <c r="H111" s="19" t="n">
        <v>1.57</v>
      </c>
      <c r="J111" s="16" t="n">
        <v>41942</v>
      </c>
      <c r="K111" s="19" t="n">
        <v>105.92</v>
      </c>
      <c r="M111" s="16" t="n">
        <v>44927</v>
      </c>
      <c r="N111" s="19" t="n">
        <v>61957.1</v>
      </c>
    </row>
    <row r="112">
      <c r="A112" s="16" t="n">
        <v>44958</v>
      </c>
      <c r="B112" s="19" t="n">
        <v>0.08</v>
      </c>
      <c r="D112" s="16" t="n">
        <v>41943</v>
      </c>
      <c r="E112" s="19" t="n">
        <v>2.83</v>
      </c>
      <c r="G112" s="16" t="n">
        <v>41943</v>
      </c>
      <c r="H112" s="19" t="n">
        <v>1.55</v>
      </c>
      <c r="J112" s="16" t="n">
        <v>41943</v>
      </c>
      <c r="K112" s="19" t="n">
        <v>105.71</v>
      </c>
      <c r="M112" s="16" t="n">
        <v>44958</v>
      </c>
      <c r="N112" s="19" t="n">
        <v>64993.5</v>
      </c>
    </row>
    <row r="113">
      <c r="A113" s="16" t="n">
        <v>44986</v>
      </c>
      <c r="B113" s="19" t="n">
        <v>0.06</v>
      </c>
      <c r="D113" s="16" t="n">
        <v>41946</v>
      </c>
      <c r="E113" s="19" t="n">
        <v>2.94</v>
      </c>
      <c r="G113" s="16" t="n">
        <v>41946</v>
      </c>
      <c r="H113" s="19" t="n">
        <v>1.6</v>
      </c>
      <c r="J113" s="16" t="n">
        <v>41946</v>
      </c>
      <c r="K113" s="19" t="n">
        <v>106.92</v>
      </c>
      <c r="M113" s="16" t="n">
        <v>44986</v>
      </c>
      <c r="N113" s="19" t="n">
        <v>67033.3</v>
      </c>
    </row>
    <row r="114">
      <c r="A114" s="16" t="n">
        <v>45017</v>
      </c>
      <c r="B114" s="19" t="n">
        <v>0.13</v>
      </c>
      <c r="D114" s="16" t="n">
        <v>41947</v>
      </c>
      <c r="E114" s="19" t="n">
        <v>2.93</v>
      </c>
      <c r="G114" s="16" t="n">
        <v>41947</v>
      </c>
      <c r="H114" s="19" t="n">
        <v>1.57</v>
      </c>
      <c r="J114" s="16" t="n">
        <v>41947</v>
      </c>
      <c r="K114" s="19" t="n">
        <v>106.65</v>
      </c>
      <c r="M114" s="16" t="n">
        <v>45017</v>
      </c>
      <c r="N114" s="19" t="n">
        <v>64399</v>
      </c>
    </row>
    <row r="115">
      <c r="A115" s="16" t="n">
        <v>45047</v>
      </c>
      <c r="B115" s="19" t="n">
        <v>0.12</v>
      </c>
      <c r="D115" s="16" t="n">
        <v>41948</v>
      </c>
      <c r="E115" s="19" t="n">
        <v>2.96</v>
      </c>
      <c r="G115" s="16" t="n">
        <v>41948</v>
      </c>
      <c r="H115" s="19" t="n">
        <v>1.59</v>
      </c>
      <c r="J115" s="16" t="n">
        <v>41948</v>
      </c>
      <c r="K115" s="19" t="n">
        <v>106.87</v>
      </c>
      <c r="M115" s="16" t="n">
        <v>45047</v>
      </c>
      <c r="N115" s="19" t="n">
        <v>65750.39999999999</v>
      </c>
    </row>
    <row r="116">
      <c r="A116" s="16" t="n">
        <v>45078</v>
      </c>
      <c r="B116" s="19" t="n">
        <v>0.11</v>
      </c>
      <c r="D116" s="16" t="n">
        <v>41949</v>
      </c>
      <c r="E116" s="19" t="n">
        <v>3.06</v>
      </c>
      <c r="G116" s="16" t="n">
        <v>41949</v>
      </c>
      <c r="H116" s="19" t="n">
        <v>1.64</v>
      </c>
      <c r="J116" s="16" t="n">
        <v>41949</v>
      </c>
      <c r="K116" s="19" t="n">
        <v>106.31</v>
      </c>
      <c r="M116" s="16" t="n">
        <v>45078</v>
      </c>
      <c r="N116" s="19" t="n">
        <v>64004.7</v>
      </c>
    </row>
    <row r="117">
      <c r="A117" s="16" t="n">
        <v>45108</v>
      </c>
      <c r="B117" s="19" t="n">
        <v>0.12</v>
      </c>
      <c r="D117" s="16" t="n">
        <v>41950</v>
      </c>
      <c r="E117" s="19" t="n">
        <v>3.08</v>
      </c>
      <c r="G117" s="16" t="n">
        <v>41950</v>
      </c>
      <c r="H117" s="19" t="n">
        <v>1.67</v>
      </c>
      <c r="J117" s="16" t="n">
        <v>41950</v>
      </c>
      <c r="K117" s="19" t="n">
        <v>105.93</v>
      </c>
      <c r="M117" s="16" t="n">
        <v>45108</v>
      </c>
      <c r="N117" s="19" t="n">
        <v>60966.9</v>
      </c>
    </row>
    <row r="118">
      <c r="A118" s="16" t="n">
        <v>45139</v>
      </c>
      <c r="B118" s="19" t="n">
        <v>0.15</v>
      </c>
      <c r="D118" s="16" t="n">
        <v>41953</v>
      </c>
      <c r="E118" s="19" t="n">
        <v>3.18</v>
      </c>
      <c r="G118" s="16" t="n">
        <v>41953</v>
      </c>
      <c r="H118" s="19" t="n">
        <v>1.7</v>
      </c>
      <c r="J118" s="16" t="n">
        <v>41953</v>
      </c>
      <c r="K118" s="19" t="n">
        <v>106.75</v>
      </c>
      <c r="M118" s="16" t="n">
        <v>45139</v>
      </c>
      <c r="N118" s="19" t="n">
        <v>56954.7</v>
      </c>
    </row>
    <row r="119">
      <c r="A119" s="16" t="n">
        <v>45170</v>
      </c>
      <c r="B119" s="19" t="n">
        <v>0.19</v>
      </c>
      <c r="D119" s="16" t="n">
        <v>41954</v>
      </c>
      <c r="E119" s="19" t="n">
        <v>3.16</v>
      </c>
      <c r="G119" s="16" t="n">
        <v>41954</v>
      </c>
      <c r="H119" s="19" t="n">
        <v>1.66</v>
      </c>
      <c r="J119" s="16" t="n">
        <v>41954</v>
      </c>
      <c r="K119" s="19" t="n">
        <v>107.16</v>
      </c>
      <c r="M119" s="16" t="n">
        <v>45170</v>
      </c>
      <c r="N119" s="19" t="n">
        <v>55063.1</v>
      </c>
    </row>
    <row r="120">
      <c r="A120" s="16" t="n">
        <v>45200</v>
      </c>
      <c r="B120" s="19" t="n">
        <v>0.18</v>
      </c>
      <c r="D120" s="16" t="n">
        <v>41955</v>
      </c>
      <c r="E120" s="19" t="n">
        <v>3.15</v>
      </c>
      <c r="G120" s="16" t="n">
        <v>41955</v>
      </c>
      <c r="H120" s="19" t="n">
        <v>1.63</v>
      </c>
      <c r="J120" s="16" t="n">
        <v>41955</v>
      </c>
      <c r="K120" s="19" t="n">
        <v>107.13</v>
      </c>
      <c r="M120" s="16" t="n">
        <v>45200</v>
      </c>
      <c r="N120" s="19" t="n">
        <v>53023.6</v>
      </c>
    </row>
    <row r="121">
      <c r="A121" s="16" t="n">
        <v>45231</v>
      </c>
      <c r="B121" s="19" t="n">
        <v>0.14</v>
      </c>
      <c r="D121" s="16" t="n">
        <v>41956</v>
      </c>
      <c r="E121" s="19" t="n">
        <v>3.16</v>
      </c>
      <c r="G121" s="16" t="n">
        <v>41956</v>
      </c>
      <c r="H121" s="19" t="n">
        <v>1.64</v>
      </c>
      <c r="J121" s="16" t="n">
        <v>41956</v>
      </c>
      <c r="K121" s="19" t="n">
        <v>107.03</v>
      </c>
      <c r="M121" s="16" t="n">
        <v>45231</v>
      </c>
      <c r="N121" s="19" t="n">
        <v>54838.9</v>
      </c>
    </row>
    <row r="122">
      <c r="A122" s="16" t="n">
        <v>45261</v>
      </c>
      <c r="B122" s="19" t="n">
        <v>0.18</v>
      </c>
      <c r="D122" s="16" t="n">
        <v>41957</v>
      </c>
      <c r="E122" s="19" t="n">
        <v>3.18</v>
      </c>
      <c r="G122" s="16" t="n">
        <v>41957</v>
      </c>
      <c r="H122" s="19" t="n">
        <v>1.76</v>
      </c>
      <c r="J122" s="16" t="n">
        <v>41957</v>
      </c>
      <c r="K122" s="19" t="n">
        <v>107.67</v>
      </c>
      <c r="M122" s="16" t="n">
        <v>45261</v>
      </c>
      <c r="N122" s="19" t="n">
        <v>57236.7</v>
      </c>
    </row>
    <row r="123">
      <c r="A123" s="16" t="n">
        <v>45292</v>
      </c>
      <c r="B123" s="19" t="n">
        <v>0.16</v>
      </c>
      <c r="D123" s="16" t="n">
        <v>41960</v>
      </c>
      <c r="E123" s="19" t="n">
        <v>3.16</v>
      </c>
      <c r="G123" s="16" t="n">
        <v>41960</v>
      </c>
      <c r="H123" s="19" t="n">
        <v>1.84</v>
      </c>
      <c r="J123" s="16" t="n">
        <v>41960</v>
      </c>
      <c r="K123" s="19" t="n">
        <v>107.43</v>
      </c>
      <c r="M123" s="16" t="n">
        <v>45292</v>
      </c>
      <c r="N123" s="19" t="n">
        <v>61408.3</v>
      </c>
    </row>
    <row r="124">
      <c r="A124" s="16" t="n">
        <v>45323</v>
      </c>
      <c r="B124" s="19" t="n">
        <v>0.21</v>
      </c>
      <c r="D124" s="16" t="n">
        <v>41961</v>
      </c>
      <c r="E124" s="19" t="n">
        <v>3.09</v>
      </c>
      <c r="G124" s="16" t="n">
        <v>41961</v>
      </c>
      <c r="H124" s="19" t="n">
        <v>1.78</v>
      </c>
      <c r="J124" s="16" t="n">
        <v>41961</v>
      </c>
      <c r="K124" s="19" t="n">
        <v>106.35</v>
      </c>
      <c r="M124" s="16" t="n">
        <v>45323</v>
      </c>
      <c r="N124" s="19" t="n">
        <v>64138</v>
      </c>
    </row>
    <row r="125">
      <c r="A125" s="16" t="n">
        <v>45352</v>
      </c>
      <c r="B125" s="19" t="n">
        <v>0.1</v>
      </c>
      <c r="D125" s="16" t="n">
        <v>41962</v>
      </c>
      <c r="E125" s="19" t="n">
        <v>3.14</v>
      </c>
      <c r="G125" s="16" t="n">
        <v>41962</v>
      </c>
      <c r="H125" s="19" t="n">
        <v>1.74</v>
      </c>
      <c r="J125" s="16" t="n">
        <v>41962</v>
      </c>
      <c r="K125" s="19" t="n">
        <v>105.6</v>
      </c>
      <c r="M125" s="16" t="n">
        <v>45352</v>
      </c>
      <c r="N125" s="19" t="n">
        <v>62071.5</v>
      </c>
    </row>
    <row r="126">
      <c r="A126" s="16" t="n">
        <v>45383</v>
      </c>
      <c r="B126" s="19" t="n">
        <v>0.26</v>
      </c>
      <c r="D126" s="16" t="n">
        <v>41963</v>
      </c>
      <c r="E126" s="19" t="n">
        <v>3.11</v>
      </c>
      <c r="G126" s="16" t="n">
        <v>41963</v>
      </c>
      <c r="H126" s="19" t="n">
        <v>1.73</v>
      </c>
      <c r="J126" s="16" t="n">
        <v>41963</v>
      </c>
      <c r="K126" s="19" t="n">
        <v>104.96</v>
      </c>
      <c r="M126" s="16" t="n">
        <v>45383</v>
      </c>
      <c r="N126" s="19" t="n">
        <v>59586</v>
      </c>
    </row>
    <row r="127">
      <c r="A127" s="16" t="n">
        <v>45413</v>
      </c>
      <c r="B127" s="19" t="n">
        <v>0.35</v>
      </c>
      <c r="D127" s="16" t="n">
        <v>41964</v>
      </c>
      <c r="E127" s="19" t="n">
        <v>3.09</v>
      </c>
      <c r="G127" s="16" t="n">
        <v>41964</v>
      </c>
      <c r="H127" s="19" t="n">
        <v>1.73</v>
      </c>
      <c r="J127" s="16" t="n">
        <v>41964</v>
      </c>
      <c r="K127" s="19" t="n">
        <v>105.31</v>
      </c>
      <c r="M127" s="16" t="n">
        <v>45413</v>
      </c>
      <c r="N127" s="19" t="n">
        <v>58104.7</v>
      </c>
    </row>
    <row r="128">
      <c r="A128" s="16" t="n">
        <v>45444</v>
      </c>
      <c r="B128" s="19" t="n">
        <v>0.21</v>
      </c>
      <c r="D128" s="16" t="n">
        <v>41967</v>
      </c>
      <c r="E128" s="19" t="n">
        <v>3.05</v>
      </c>
      <c r="G128" s="16" t="n">
        <v>41967</v>
      </c>
      <c r="H128" s="19" t="n">
        <v>1.75</v>
      </c>
      <c r="J128" s="16" t="n">
        <v>41967</v>
      </c>
      <c r="K128" s="19" t="n">
        <v>105.45</v>
      </c>
      <c r="M128" s="16" t="n">
        <v>45444</v>
      </c>
      <c r="N128" s="19" t="n">
        <v>55209.8</v>
      </c>
    </row>
    <row r="129">
      <c r="A129" s="16" t="n">
        <v>45474</v>
      </c>
      <c r="B129" s="19" t="n">
        <v>0.29</v>
      </c>
      <c r="D129" s="16" t="n">
        <v>41968</v>
      </c>
      <c r="E129" s="19" t="n">
        <v>3.07</v>
      </c>
      <c r="G129" s="16" t="n">
        <v>41968</v>
      </c>
      <c r="H129" s="19" t="n">
        <v>1.73</v>
      </c>
      <c r="J129" s="16" t="n">
        <v>41968</v>
      </c>
      <c r="K129" s="19" t="n">
        <v>104.85</v>
      </c>
      <c r="M129" s="16" t="n">
        <v>45474</v>
      </c>
      <c r="N129" s="19" t="n">
        <v>50526.3</v>
      </c>
    </row>
    <row r="130">
      <c r="A130" s="16" t="n">
        <v>45505</v>
      </c>
      <c r="B130" s="19" t="n">
        <v>0.18</v>
      </c>
      <c r="D130" s="16" t="n">
        <v>41969</v>
      </c>
      <c r="E130" s="19" t="n">
        <v>3.11</v>
      </c>
      <c r="G130" s="16" t="n">
        <v>41969</v>
      </c>
      <c r="H130" s="19" t="n">
        <v>1.76</v>
      </c>
      <c r="J130" s="16" t="n">
        <v>41969</v>
      </c>
      <c r="K130" s="19" t="n">
        <v>104.5</v>
      </c>
      <c r="M130" s="16" t="n">
        <v>45505</v>
      </c>
      <c r="N130" s="19" t="n">
        <v>48701.4</v>
      </c>
    </row>
    <row r="131">
      <c r="A131" s="16" t="n">
        <v>45536</v>
      </c>
      <c r="B131" s="19" t="n">
        <v>0.23</v>
      </c>
      <c r="D131" s="16" t="n">
        <v>41970</v>
      </c>
      <c r="E131" s="19" t="inlineStr">
        <is>
          <t>.</t>
        </is>
      </c>
      <c r="G131" s="16" t="n">
        <v>41970</v>
      </c>
      <c r="H131" s="19" t="inlineStr">
        <is>
          <t>.</t>
        </is>
      </c>
      <c r="J131" s="16" t="n">
        <v>41970</v>
      </c>
      <c r="K131" s="19" t="inlineStr">
        <is>
          <t>.</t>
        </is>
      </c>
      <c r="M131" s="16" t="n">
        <v>45536</v>
      </c>
      <c r="N131" s="19" t="n">
        <v>50021.7</v>
      </c>
    </row>
    <row r="132">
      <c r="A132" s="16" t="n">
        <v>45566</v>
      </c>
      <c r="B132" s="19" t="n">
        <v>0.23</v>
      </c>
      <c r="D132" s="16" t="n">
        <v>41971</v>
      </c>
      <c r="E132" s="19" t="n">
        <v>3.09</v>
      </c>
      <c r="G132" s="16" t="n">
        <v>41971</v>
      </c>
      <c r="H132" s="19" t="n">
        <v>1.88</v>
      </c>
      <c r="J132" s="16" t="n">
        <v>41971</v>
      </c>
      <c r="K132" s="19" t="n">
        <v>105.75</v>
      </c>
      <c r="M132" s="16" t="n">
        <v>45566</v>
      </c>
      <c r="N132" s="19" t="n">
        <v>52594.8</v>
      </c>
    </row>
    <row r="133">
      <c r="A133" s="16" t="n">
        <v>45597</v>
      </c>
      <c r="B133" s="19" t="n">
        <v>0.16</v>
      </c>
      <c r="D133" s="16" t="n">
        <v>41974</v>
      </c>
      <c r="E133" s="19" t="n">
        <v>3.11</v>
      </c>
      <c r="G133" s="16" t="n">
        <v>41974</v>
      </c>
      <c r="H133" s="19" t="n">
        <v>1.9</v>
      </c>
      <c r="J133" s="16" t="n">
        <v>41974</v>
      </c>
      <c r="K133" s="19" t="n">
        <v>106.33</v>
      </c>
      <c r="M133" s="16" t="n">
        <v>45597</v>
      </c>
      <c r="N133" s="19" t="n">
        <v>56662.2</v>
      </c>
    </row>
    <row r="134">
      <c r="A134" s="16" t="n">
        <v>45627</v>
      </c>
      <c r="B134" s="19" t="n">
        <v>0.33</v>
      </c>
      <c r="D134" s="16" t="n">
        <v>41975</v>
      </c>
      <c r="E134" s="19" t="n">
        <v>3.04</v>
      </c>
      <c r="G134" s="16" t="n">
        <v>41975</v>
      </c>
      <c r="H134" s="19" t="n">
        <v>1.91</v>
      </c>
      <c r="J134" s="16" t="n">
        <v>41975</v>
      </c>
      <c r="K134" s="19" t="n">
        <v>107.02</v>
      </c>
      <c r="M134" s="16" t="n">
        <v>45627</v>
      </c>
      <c r="N134" s="19" t="n">
        <v>58140.3</v>
      </c>
    </row>
    <row r="135">
      <c r="A135" s="16" t="n">
        <v>45658</v>
      </c>
      <c r="B135" s="19" t="n">
        <v>0.26</v>
      </c>
      <c r="D135" s="16" t="n">
        <v>41976</v>
      </c>
      <c r="E135" s="19" t="n">
        <v>2.97</v>
      </c>
      <c r="G135" s="16" t="n">
        <v>41976</v>
      </c>
      <c r="H135" s="19" t="n">
        <v>1.92</v>
      </c>
      <c r="J135" s="16" t="n">
        <v>41976</v>
      </c>
      <c r="K135" s="19" t="n">
        <v>107.43</v>
      </c>
      <c r="M135" s="16" t="n">
        <v>45658</v>
      </c>
      <c r="N135" s="19" t="n">
        <v>59138.5</v>
      </c>
    </row>
    <row r="136">
      <c r="A136" s="16" t="n">
        <v>45689</v>
      </c>
      <c r="B136" s="19" t="n">
        <v>0.21</v>
      </c>
      <c r="D136" s="16" t="n">
        <v>41977</v>
      </c>
      <c r="E136" s="19" t="n">
        <v>3.04</v>
      </c>
      <c r="G136" s="16" t="n">
        <v>41977</v>
      </c>
      <c r="H136" s="19" t="n">
        <v>1.98</v>
      </c>
      <c r="J136" s="16" t="n">
        <v>41977</v>
      </c>
      <c r="K136" s="19" t="n">
        <v>107.42</v>
      </c>
      <c r="M136" s="16" t="n">
        <v>45689</v>
      </c>
      <c r="N136" s="19" t="n">
        <v>61353.5</v>
      </c>
    </row>
    <row r="137">
      <c r="A137" s="16" t="n">
        <v>45717</v>
      </c>
      <c r="B137" s="19" t="n">
        <v>0.15</v>
      </c>
      <c r="D137" s="16" t="n">
        <v>41978</v>
      </c>
      <c r="E137" s="19" t="n">
        <v>3.14</v>
      </c>
      <c r="G137" s="16" t="n">
        <v>41978</v>
      </c>
      <c r="H137" s="19" t="n">
        <v>1.94</v>
      </c>
      <c r="J137" s="16" t="n">
        <v>41978</v>
      </c>
      <c r="K137" s="19" t="n">
        <v>106.68</v>
      </c>
      <c r="M137" s="16" t="n">
        <v>45717</v>
      </c>
      <c r="N137" s="19" t="n">
        <v>62712.1</v>
      </c>
    </row>
    <row r="138">
      <c r="A138" s="16" t="n">
        <v>45748</v>
      </c>
      <c r="B138" s="19" t="n">
        <v>0.22</v>
      </c>
      <c r="D138" s="16" t="n">
        <v>41981</v>
      </c>
      <c r="E138" s="19" t="n">
        <v>3.2</v>
      </c>
      <c r="G138" s="16" t="n">
        <v>41981</v>
      </c>
      <c r="H138" s="19" t="n">
        <v>1.97</v>
      </c>
      <c r="J138" s="16" t="n">
        <v>41981</v>
      </c>
      <c r="K138" s="19" t="n">
        <v>106.08</v>
      </c>
      <c r="M138" s="16" t="n">
        <v>45748</v>
      </c>
      <c r="N138" s="19" t="n">
        <v>61556.5</v>
      </c>
    </row>
    <row r="139">
      <c r="A139" s="16" t="n">
        <v>45778</v>
      </c>
      <c r="B139" s="19" t="n">
        <v>0.13</v>
      </c>
      <c r="D139" s="16" t="n">
        <v>41982</v>
      </c>
      <c r="E139" s="19" t="n">
        <v>3.25</v>
      </c>
      <c r="G139" s="16" t="n">
        <v>41982</v>
      </c>
      <c r="H139" s="19" t="n">
        <v>2</v>
      </c>
      <c r="J139" s="16" t="n">
        <v>41982</v>
      </c>
      <c r="K139" s="19" t="n">
        <v>106.48</v>
      </c>
      <c r="M139" s="16" t="n">
        <v>45778</v>
      </c>
      <c r="N139" s="19" t="n">
        <v>59867.7</v>
      </c>
    </row>
    <row r="140">
      <c r="A140" s="16" t="n">
        <v>45809</v>
      </c>
      <c r="B140" s="19" t="n">
        <v>0.26</v>
      </c>
      <c r="D140" s="16" t="n">
        <v>41983</v>
      </c>
      <c r="E140" s="19" t="n">
        <v>3.23</v>
      </c>
      <c r="G140" s="16" t="n">
        <v>41983</v>
      </c>
      <c r="H140" s="19" t="n">
        <v>1.95</v>
      </c>
      <c r="J140" s="16" t="n">
        <v>41983</v>
      </c>
      <c r="K140" s="19" t="n">
        <v>105.59</v>
      </c>
      <c r="M140" s="16" t="n">
        <v>45809</v>
      </c>
      <c r="N140" s="19" t="n">
        <v>57815.1</v>
      </c>
    </row>
    <row r="141">
      <c r="A141" s="16" t="n">
        <v>45839</v>
      </c>
      <c r="B141" s="19" t="n">
        <v>0.18</v>
      </c>
      <c r="D141" s="16" t="n">
        <v>41984</v>
      </c>
      <c r="E141" s="19" t="n">
        <v>3.22</v>
      </c>
      <c r="G141" s="16" t="n">
        <v>41984</v>
      </c>
      <c r="H141" s="19" t="n">
        <v>1.94</v>
      </c>
      <c r="J141" s="16" t="n">
        <v>41984</v>
      </c>
      <c r="K141" s="19" t="n">
        <v>105.33</v>
      </c>
      <c r="M141" s="16" t="n">
        <v>45839</v>
      </c>
      <c r="N141" s="19" t="n">
        <v>56667</v>
      </c>
    </row>
    <row r="142">
      <c r="A142" s="16" t="n">
        <v>45870</v>
      </c>
      <c r="B142" s="19" t="n">
        <v>0.12</v>
      </c>
      <c r="D142" s="16" t="n">
        <v>41985</v>
      </c>
      <c r="E142" s="19" t="n">
        <v>3.19</v>
      </c>
      <c r="G142" s="16" t="n">
        <v>41985</v>
      </c>
      <c r="H142" s="19" t="n">
        <v>1.98</v>
      </c>
      <c r="J142" s="16" t="n">
        <v>41985</v>
      </c>
      <c r="K142" s="19" t="n">
        <v>104.74</v>
      </c>
      <c r="M142" s="16" t="n">
        <v>45870</v>
      </c>
      <c r="N142" s="19" t="n">
        <v>57625.5</v>
      </c>
    </row>
    <row r="143">
      <c r="A143" s="16" t="n">
        <v>45901</v>
      </c>
      <c r="B143" s="19" t="n">
        <v>0.23</v>
      </c>
      <c r="D143" s="16" t="n">
        <v>41988</v>
      </c>
      <c r="E143" s="19" t="n">
        <v>3.16</v>
      </c>
      <c r="G143" s="16" t="n">
        <v>41988</v>
      </c>
      <c r="H143" s="19" t="n">
        <v>2.06</v>
      </c>
      <c r="J143" s="16" t="n">
        <v>41988</v>
      </c>
      <c r="K143" s="19" t="n">
        <v>104.42</v>
      </c>
      <c r="M143" s="16" t="n">
        <v>45901</v>
      </c>
      <c r="N143" s="19" t="n">
        <v>54792.1</v>
      </c>
    </row>
    <row r="144">
      <c r="A144" s="16" t="n">
        <v>45931</v>
      </c>
      <c r="B144" s="19" t="n">
        <v>0.16</v>
      </c>
      <c r="D144" s="16" t="n">
        <v>41989</v>
      </c>
      <c r="E144" s="19" t="n">
        <v>3.13</v>
      </c>
      <c r="G144" s="16" t="n">
        <v>41989</v>
      </c>
      <c r="H144" s="19" t="n">
        <v>2.1</v>
      </c>
      <c r="J144" s="16" t="n">
        <v>41989</v>
      </c>
      <c r="K144" s="19" t="n">
        <v>103.48</v>
      </c>
      <c r="M144" s="16" t="n">
        <v>45931</v>
      </c>
      <c r="N144" s="19" t="n">
        <v>54754.7</v>
      </c>
    </row>
    <row r="145">
      <c r="A145" s="16" t="n">
        <v>45962</v>
      </c>
      <c r="B145" s="19" t="n">
        <v>0.24</v>
      </c>
      <c r="D145" s="16" t="n">
        <v>41990</v>
      </c>
      <c r="E145" s="19" t="n">
        <v>3.2</v>
      </c>
      <c r="G145" s="16" t="n">
        <v>41990</v>
      </c>
      <c r="H145" s="19" t="n">
        <v>2.05</v>
      </c>
      <c r="J145" s="16" t="n">
        <v>41990</v>
      </c>
      <c r="K145" s="19" t="n">
        <v>103.06</v>
      </c>
      <c r="M145" s="16" t="n">
        <v>45962</v>
      </c>
      <c r="N145" s="19" t="n">
        <v>55549.1</v>
      </c>
    </row>
    <row r="146">
      <c r="A146" s="16" t="n">
        <v>45992</v>
      </c>
      <c r="B146" s="19" t="n">
        <v>0.08</v>
      </c>
      <c r="D146" s="16" t="n">
        <v>41991</v>
      </c>
      <c r="E146" s="19" t="n">
        <v>3.14</v>
      </c>
      <c r="G146" s="16" t="n">
        <v>41991</v>
      </c>
      <c r="H146" s="19" t="n">
        <v>2.01</v>
      </c>
      <c r="J146" s="16" t="n">
        <v>41991</v>
      </c>
      <c r="K146" s="19" t="n">
        <v>102.69</v>
      </c>
      <c r="M146" s="16" t="n">
        <v>45992</v>
      </c>
      <c r="N146" s="19" t="n">
        <v>58924.9</v>
      </c>
    </row>
    <row r="147">
      <c r="A147" s="16" t="n">
        <v>46023</v>
      </c>
      <c r="B147" s="19" t="n">
        <v>0.27</v>
      </c>
      <c r="D147" s="16" t="n">
        <v>41992</v>
      </c>
      <c r="E147" s="19" t="n">
        <v>3.18</v>
      </c>
      <c r="G147" s="16" t="n">
        <v>41992</v>
      </c>
      <c r="H147" s="19" t="n">
        <v>2.01</v>
      </c>
      <c r="J147" s="16" t="n">
        <v>41992</v>
      </c>
      <c r="K147" s="19" t="n">
        <v>103.41</v>
      </c>
      <c r="M147" s="16" t="n">
        <v>46023</v>
      </c>
      <c r="N147" s="19" t="n">
        <v>61108.3</v>
      </c>
    </row>
    <row r="148">
      <c r="A148" s="16" t="n">
        <v>46054</v>
      </c>
      <c r="B148" s="19" t="n">
        <v>0.04</v>
      </c>
      <c r="D148" s="16" t="n">
        <v>41995</v>
      </c>
      <c r="E148" s="19" t="n">
        <v>3.22</v>
      </c>
      <c r="G148" s="16" t="n">
        <v>41995</v>
      </c>
      <c r="H148" s="19" t="n">
        <v>1.96</v>
      </c>
      <c r="J148" s="16" t="n">
        <v>41995</v>
      </c>
      <c r="K148" s="19" t="n">
        <v>103.43</v>
      </c>
      <c r="M148" s="16" t="n">
        <v>46054</v>
      </c>
      <c r="N148" s="19" t="n">
        <v>65375.9</v>
      </c>
    </row>
    <row r="149">
      <c r="A149" s="16" t="n">
        <v>46082</v>
      </c>
      <c r="B149" s="19" t="n">
        <v>0.07000000000000001</v>
      </c>
      <c r="D149" s="16" t="n">
        <v>41996</v>
      </c>
      <c r="E149" s="19" t="n">
        <v>3.19</v>
      </c>
      <c r="G149" s="16" t="n">
        <v>41996</v>
      </c>
      <c r="H149" s="19" t="n">
        <v>1.94</v>
      </c>
      <c r="J149" s="16" t="n">
        <v>41996</v>
      </c>
      <c r="K149" s="19" t="n">
        <v>103.5</v>
      </c>
      <c r="M149" s="16" t="n">
        <v>46082</v>
      </c>
      <c r="N149" s="19" t="n">
        <v>64170</v>
      </c>
    </row>
    <row r="150">
      <c r="A150" s="16" t="n">
        <v>46113</v>
      </c>
      <c r="B150" s="19" t="n">
        <v>0.12</v>
      </c>
      <c r="D150" s="16" t="n">
        <v>41997</v>
      </c>
      <c r="E150" s="19" t="n">
        <v>3.21</v>
      </c>
      <c r="G150" s="16" t="n">
        <v>41997</v>
      </c>
      <c r="H150" s="19" t="n">
        <v>1.96</v>
      </c>
      <c r="J150" s="16" t="n">
        <v>41997</v>
      </c>
      <c r="K150" s="19" t="n">
        <v>102.41</v>
      </c>
      <c r="M150" s="16" t="n">
        <v>46113</v>
      </c>
      <c r="N150" s="19" t="n">
        <v>62971.1</v>
      </c>
    </row>
    <row r="151">
      <c r="A151" s="16" t="n">
        <v>46143</v>
      </c>
      <c r="B151" s="19" t="n">
        <v>0.07000000000000001</v>
      </c>
      <c r="D151" s="16" t="n">
        <v>41998</v>
      </c>
      <c r="E151" s="19" t="inlineStr">
        <is>
          <t>.</t>
        </is>
      </c>
      <c r="G151" s="16" t="n">
        <v>41998</v>
      </c>
      <c r="H151" s="19" t="inlineStr">
        <is>
          <t>.</t>
        </is>
      </c>
      <c r="J151" s="16" t="n">
        <v>41998</v>
      </c>
      <c r="K151" s="19" t="inlineStr">
        <is>
          <t>.</t>
        </is>
      </c>
      <c r="M151" s="16" t="n">
        <v>46143</v>
      </c>
      <c r="N151" s="19" t="n">
        <v>61744.5</v>
      </c>
    </row>
    <row r="152">
      <c r="A152" s="16" t="n">
        <v>46174</v>
      </c>
      <c r="B152" s="19" t="n">
        <v>0.08</v>
      </c>
      <c r="D152" s="16" t="n">
        <v>41999</v>
      </c>
      <c r="E152" s="19" t="n">
        <v>3.19</v>
      </c>
      <c r="G152" s="16" t="n">
        <v>41999</v>
      </c>
      <c r="H152" s="19" t="n">
        <v>1.94</v>
      </c>
      <c r="J152" s="16" t="n">
        <v>41999</v>
      </c>
      <c r="K152" s="19" t="n">
        <v>103.39</v>
      </c>
      <c r="M152" s="16" t="n">
        <v>46174</v>
      </c>
      <c r="N152" s="19" t="n">
        <v>58515.3</v>
      </c>
    </row>
    <row r="153">
      <c r="A153" s="16" t="n">
        <v>46204</v>
      </c>
      <c r="B153" s="19" t="n">
        <v>0.04</v>
      </c>
      <c r="D153" s="16" t="n">
        <v>42002</v>
      </c>
      <c r="E153" s="19" t="n">
        <v>3.22</v>
      </c>
      <c r="G153" s="16" t="n">
        <v>42002</v>
      </c>
      <c r="H153" s="19" t="n">
        <v>1.89</v>
      </c>
      <c r="J153" s="16" t="n">
        <v>42002</v>
      </c>
      <c r="K153" s="19" t="n">
        <v>103.33</v>
      </c>
      <c r="M153" s="16" t="n">
        <v>46204</v>
      </c>
      <c r="N153" s="19" t="n">
        <v>56445.4</v>
      </c>
    </row>
    <row r="154">
      <c r="A154" s="16" t="n">
        <v>46235</v>
      </c>
      <c r="B154" s="19" t="n">
        <v>0.1</v>
      </c>
      <c r="D154" s="16" t="n">
        <v>42003</v>
      </c>
      <c r="E154" s="19" t="n">
        <v>3.21</v>
      </c>
      <c r="G154" s="16" t="n">
        <v>42003</v>
      </c>
      <c r="H154" s="19" t="n">
        <v>1.89</v>
      </c>
      <c r="J154" s="16" t="n">
        <v>42003</v>
      </c>
      <c r="K154" s="19" t="n">
        <v>103.21</v>
      </c>
      <c r="M154" s="16" t="n"/>
      <c r="N154" s="19" t="n"/>
    </row>
    <row r="155">
      <c r="A155" s="16" t="n"/>
      <c r="B155" s="19" t="n"/>
      <c r="D155" s="16" t="n">
        <v>42004</v>
      </c>
      <c r="E155" s="19" t="n">
        <v>3.19</v>
      </c>
      <c r="G155" s="16" t="n">
        <v>42004</v>
      </c>
      <c r="H155" s="19" t="n">
        <v>1.9</v>
      </c>
      <c r="J155" s="16" t="n">
        <v>42004</v>
      </c>
      <c r="K155" s="19" t="n">
        <v>102.53</v>
      </c>
      <c r="M155" s="16" t="n"/>
      <c r="N155" s="19" t="n"/>
    </row>
    <row r="156">
      <c r="A156" s="16" t="n"/>
      <c r="B156" s="19" t="n"/>
      <c r="D156" s="16" t="n">
        <v>42005</v>
      </c>
      <c r="E156" s="19" t="inlineStr">
        <is>
          <t>.</t>
        </is>
      </c>
      <c r="G156" s="16" t="n">
        <v>42005</v>
      </c>
      <c r="H156" s="19" t="inlineStr">
        <is>
          <t>.</t>
        </is>
      </c>
      <c r="J156" s="16" t="n">
        <v>42005</v>
      </c>
      <c r="K156" s="19" t="inlineStr">
        <is>
          <t>.</t>
        </is>
      </c>
      <c r="M156" s="16" t="n"/>
      <c r="N156" s="19" t="n"/>
    </row>
    <row r="157">
      <c r="A157" s="16" t="n"/>
      <c r="B157" s="19" t="n"/>
      <c r="D157" s="16" t="n">
        <v>42006</v>
      </c>
      <c r="E157" s="19" t="n">
        <v>3.25</v>
      </c>
      <c r="G157" s="16" t="n">
        <v>42006</v>
      </c>
      <c r="H157" s="19" t="n">
        <v>1.93</v>
      </c>
      <c r="J157" s="16" t="n">
        <v>42006</v>
      </c>
      <c r="K157" s="19" t="n">
        <v>101.51</v>
      </c>
      <c r="M157" s="16" t="n"/>
      <c r="N157" s="19" t="n"/>
    </row>
    <row r="158">
      <c r="A158" s="16" t="n"/>
      <c r="B158" s="19" t="n"/>
      <c r="D158" s="16" t="n">
        <v>42009</v>
      </c>
      <c r="E158" s="19" t="n">
        <v>3.24</v>
      </c>
      <c r="G158" s="16" t="n">
        <v>42009</v>
      </c>
      <c r="H158" s="19" t="n">
        <v>1.84</v>
      </c>
      <c r="J158" s="16" t="n">
        <v>42009</v>
      </c>
      <c r="K158" s="19" t="n">
        <v>102.25</v>
      </c>
      <c r="M158" s="16" t="n"/>
      <c r="N158" s="19" t="n"/>
    </row>
    <row r="159">
      <c r="A159" s="16" t="n"/>
      <c r="B159" s="19" t="n"/>
      <c r="D159" s="16" t="n">
        <v>42010</v>
      </c>
      <c r="E159" s="19" t="n">
        <v>3.24</v>
      </c>
      <c r="G159" s="16" t="n">
        <v>42010</v>
      </c>
      <c r="H159" s="19" t="n">
        <v>1.76</v>
      </c>
      <c r="J159" s="16" t="n">
        <v>42010</v>
      </c>
      <c r="K159" s="19" t="n">
        <v>102.02</v>
      </c>
      <c r="M159" s="16" t="n"/>
      <c r="N159" s="19" t="n"/>
    </row>
    <row r="160">
      <c r="A160" s="16" t="n"/>
      <c r="B160" s="19" t="n"/>
      <c r="D160" s="16" t="n">
        <v>42011</v>
      </c>
      <c r="E160" s="19" t="n">
        <v>3.31</v>
      </c>
      <c r="G160" s="16" t="n">
        <v>42011</v>
      </c>
      <c r="H160" s="19" t="n">
        <v>1.78</v>
      </c>
      <c r="J160" s="16" t="n">
        <v>42011</v>
      </c>
      <c r="K160" s="19" t="n">
        <v>101.27</v>
      </c>
      <c r="M160" s="16" t="n"/>
      <c r="N160" s="19" t="n"/>
    </row>
    <row r="161">
      <c r="A161" s="16" t="n"/>
      <c r="B161" s="19" t="n"/>
      <c r="D161" s="16" t="n">
        <v>42012</v>
      </c>
      <c r="E161" s="19" t="n">
        <v>3.28</v>
      </c>
      <c r="G161" s="16" t="n">
        <v>42012</v>
      </c>
      <c r="H161" s="19" t="n">
        <v>1.79</v>
      </c>
      <c r="J161" s="16" t="n">
        <v>42012</v>
      </c>
      <c r="K161" s="19" t="n">
        <v>102.33</v>
      </c>
      <c r="M161" s="16" t="n"/>
      <c r="N161" s="19" t="n"/>
    </row>
    <row r="162">
      <c r="A162" s="16" t="n"/>
      <c r="B162" s="19" t="n"/>
      <c r="D162" s="16" t="n">
        <v>42013</v>
      </c>
      <c r="E162" s="19" t="n">
        <v>3.29</v>
      </c>
      <c r="G162" s="16" t="n">
        <v>42013</v>
      </c>
      <c r="H162" s="19" t="n">
        <v>1.82</v>
      </c>
      <c r="J162" s="16" t="n">
        <v>42013</v>
      </c>
      <c r="K162" s="19" t="n">
        <v>102.18</v>
      </c>
      <c r="M162" s="16" t="n"/>
      <c r="N162" s="19" t="n"/>
    </row>
    <row r="163">
      <c r="A163" s="16" t="n"/>
      <c r="B163" s="19" t="n"/>
      <c r="D163" s="16" t="n">
        <v>42016</v>
      </c>
      <c r="E163" s="19" t="n">
        <v>3.29</v>
      </c>
      <c r="G163" s="16" t="n">
        <v>42016</v>
      </c>
      <c r="H163" s="19" t="n">
        <v>1.78</v>
      </c>
      <c r="J163" s="16" t="n">
        <v>42016</v>
      </c>
      <c r="K163" s="19" t="n">
        <v>101.51</v>
      </c>
      <c r="M163" s="16" t="n"/>
      <c r="N163" s="19" t="n"/>
    </row>
    <row r="164">
      <c r="A164" s="16" t="n"/>
      <c r="B164" s="19" t="n"/>
      <c r="D164" s="16" t="n">
        <v>42017</v>
      </c>
      <c r="E164" s="19" t="n">
        <v>3.23</v>
      </c>
      <c r="G164" s="16" t="n">
        <v>42017</v>
      </c>
      <c r="H164" s="19" t="n">
        <v>1.75</v>
      </c>
      <c r="J164" s="16" t="n">
        <v>42017</v>
      </c>
      <c r="K164" s="19" t="n">
        <v>102.16</v>
      </c>
      <c r="M164" s="16" t="n"/>
      <c r="N164" s="19" t="n"/>
    </row>
    <row r="165">
      <c r="A165" s="16" t="n"/>
      <c r="B165" s="19" t="n"/>
      <c r="D165" s="16" t="n">
        <v>42018</v>
      </c>
      <c r="E165" s="19" t="n">
        <v>3.23</v>
      </c>
      <c r="G165" s="16" t="n">
        <v>42018</v>
      </c>
      <c r="H165" s="19" t="n">
        <v>1.8</v>
      </c>
      <c r="J165" s="16" t="n">
        <v>42018</v>
      </c>
      <c r="K165" s="19" t="n">
        <v>102.56</v>
      </c>
      <c r="M165" s="16" t="n"/>
      <c r="N165" s="19" t="n"/>
    </row>
    <row r="166">
      <c r="A166" s="16" t="n"/>
      <c r="B166" s="19" t="n"/>
      <c r="D166" s="16" t="n">
        <v>42019</v>
      </c>
      <c r="E166" s="19" t="n">
        <v>3.24</v>
      </c>
      <c r="G166" s="16" t="n">
        <v>42019</v>
      </c>
      <c r="H166" s="19" t="n">
        <v>1.78</v>
      </c>
      <c r="J166" s="16" t="n">
        <v>42019</v>
      </c>
      <c r="K166" s="19" t="n">
        <v>103.69</v>
      </c>
      <c r="M166" s="16" t="n"/>
      <c r="N166" s="19" t="n"/>
    </row>
    <row r="167">
      <c r="A167" s="16" t="n"/>
      <c r="B167" s="19" t="n"/>
      <c r="D167" s="16" t="n">
        <v>42020</v>
      </c>
      <c r="E167" s="19" t="n">
        <v>3.29</v>
      </c>
      <c r="G167" s="16" t="n">
        <v>42020</v>
      </c>
      <c r="H167" s="19" t="n">
        <v>1.83</v>
      </c>
      <c r="J167" s="16" t="n">
        <v>42020</v>
      </c>
      <c r="K167" s="19" t="n">
        <v>105.01</v>
      </c>
      <c r="M167" s="16" t="n"/>
      <c r="N167" s="19" t="n"/>
    </row>
    <row r="168">
      <c r="A168" s="16" t="n"/>
      <c r="B168" s="19" t="n"/>
      <c r="D168" s="16" t="n">
        <v>42023</v>
      </c>
      <c r="E168" s="19" t="n">
        <v>3.36</v>
      </c>
      <c r="G168" s="16" t="n">
        <v>42023</v>
      </c>
      <c r="H168" s="19" t="n">
        <v>1.84</v>
      </c>
      <c r="J168" s="16" t="n">
        <v>42023</v>
      </c>
      <c r="K168" s="19" t="n">
        <v>105.22</v>
      </c>
      <c r="M168" s="16" t="n"/>
      <c r="N168" s="19" t="n"/>
    </row>
    <row r="169">
      <c r="A169" s="16" t="n"/>
      <c r="B169" s="19" t="n"/>
      <c r="D169" s="16" t="n">
        <v>42024</v>
      </c>
      <c r="E169" s="19" t="n">
        <v>3.38</v>
      </c>
      <c r="G169" s="16" t="n">
        <v>42024</v>
      </c>
      <c r="H169" s="19" t="n">
        <v>1.93</v>
      </c>
      <c r="J169" s="16" t="n">
        <v>42024</v>
      </c>
      <c r="K169" s="19" t="n">
        <v>104.69</v>
      </c>
      <c r="M169" s="16" t="n"/>
      <c r="N169" s="19" t="n"/>
    </row>
    <row r="170">
      <c r="A170" s="16" t="n"/>
      <c r="B170" s="19" t="n"/>
      <c r="D170" s="16" t="n">
        <v>42025</v>
      </c>
      <c r="E170" s="19" t="n">
        <v>3.3</v>
      </c>
      <c r="G170" s="16" t="n">
        <v>42025</v>
      </c>
      <c r="H170" s="19" t="n">
        <v>1.91</v>
      </c>
      <c r="J170" s="16" t="n">
        <v>42025</v>
      </c>
      <c r="K170" s="19" t="n">
        <v>104.71</v>
      </c>
      <c r="M170" s="16" t="n"/>
      <c r="N170" s="19" t="n"/>
    </row>
    <row r="171">
      <c r="A171" s="16" t="n"/>
      <c r="B171" s="19" t="n"/>
      <c r="D171" s="16" t="n">
        <v>42026</v>
      </c>
      <c r="E171" s="19" t="n">
        <v>3.27</v>
      </c>
      <c r="G171" s="16" t="n">
        <v>42026</v>
      </c>
      <c r="H171" s="19" t="n">
        <v>1.95</v>
      </c>
      <c r="J171" s="16" t="n">
        <v>42026</v>
      </c>
      <c r="K171" s="19" t="n">
        <v>105.04</v>
      </c>
      <c r="M171" s="16" t="n"/>
      <c r="N171" s="19" t="n"/>
    </row>
    <row r="172">
      <c r="A172" s="16" t="n"/>
      <c r="B172" s="19" t="n"/>
      <c r="D172" s="16" t="n">
        <v>42027</v>
      </c>
      <c r="E172" s="19" t="n">
        <v>3.27</v>
      </c>
      <c r="G172" s="16" t="n">
        <v>42027</v>
      </c>
      <c r="H172" s="19" t="n">
        <v>1.95</v>
      </c>
      <c r="J172" s="16" t="n">
        <v>42027</v>
      </c>
      <c r="K172" s="19" t="n">
        <v>106.06</v>
      </c>
      <c r="M172" s="16" t="n"/>
      <c r="N172" s="19" t="n"/>
    </row>
    <row r="173">
      <c r="A173" s="16" t="n"/>
      <c r="B173" s="19" t="n"/>
      <c r="D173" s="16" t="n">
        <v>42030</v>
      </c>
      <c r="E173" s="19" t="n">
        <v>3.36</v>
      </c>
      <c r="G173" s="16" t="n">
        <v>42030</v>
      </c>
      <c r="H173" s="19" t="n">
        <v>2.02</v>
      </c>
      <c r="J173" s="16" t="n">
        <v>42030</v>
      </c>
      <c r="K173" s="19" t="n">
        <v>105.88</v>
      </c>
      <c r="M173" s="16" t="n"/>
      <c r="N173" s="19" t="n"/>
    </row>
    <row r="174">
      <c r="A174" s="16" t="n"/>
      <c r="B174" s="19" t="n"/>
      <c r="D174" s="16" t="n">
        <v>42031</v>
      </c>
      <c r="E174" s="19" t="n">
        <v>3.41</v>
      </c>
      <c r="G174" s="16" t="n">
        <v>42031</v>
      </c>
      <c r="H174" s="19" t="n">
        <v>1.98</v>
      </c>
      <c r="J174" s="16" t="n">
        <v>42031</v>
      </c>
      <c r="K174" s="19" t="n">
        <v>104.92</v>
      </c>
      <c r="M174" s="16" t="n"/>
      <c r="N174" s="19" t="n"/>
    </row>
    <row r="175">
      <c r="A175" s="16" t="n"/>
      <c r="B175" s="19" t="n"/>
      <c r="D175" s="16" t="n">
        <v>42032</v>
      </c>
      <c r="E175" s="19" t="n">
        <v>3.49</v>
      </c>
      <c r="G175" s="16" t="n">
        <v>42032</v>
      </c>
      <c r="H175" s="19" t="n">
        <v>2.01</v>
      </c>
      <c r="J175" s="16" t="n">
        <v>42032</v>
      </c>
      <c r="K175" s="19" t="n">
        <v>105.29</v>
      </c>
      <c r="M175" s="16" t="n"/>
      <c r="N175" s="19" t="n"/>
    </row>
    <row r="176">
      <c r="A176" s="16" t="n"/>
      <c r="B176" s="19" t="n"/>
      <c r="D176" s="16" t="n">
        <v>42033</v>
      </c>
      <c r="E176" s="19" t="n">
        <v>3.56</v>
      </c>
      <c r="G176" s="16" t="n">
        <v>42033</v>
      </c>
      <c r="H176" s="19" t="n">
        <v>2.08</v>
      </c>
      <c r="J176" s="16" t="n">
        <v>42033</v>
      </c>
      <c r="K176" s="19" t="n">
        <v>105.46</v>
      </c>
      <c r="M176" s="16" t="n"/>
      <c r="N176" s="19" t="n"/>
    </row>
    <row r="177">
      <c r="A177" s="16" t="n"/>
      <c r="B177" s="19" t="n"/>
      <c r="D177" s="16" t="n">
        <v>42034</v>
      </c>
      <c r="E177" s="19" t="n">
        <v>3.57</v>
      </c>
      <c r="G177" s="16" t="n">
        <v>42034</v>
      </c>
      <c r="H177" s="19" t="n">
        <v>2.11</v>
      </c>
      <c r="J177" s="16" t="n">
        <v>42034</v>
      </c>
      <c r="K177" s="19" t="n">
        <v>105.93</v>
      </c>
      <c r="M177" s="16" t="n"/>
      <c r="N177" s="19" t="n"/>
    </row>
    <row r="178">
      <c r="A178" s="16" t="n"/>
      <c r="B178" s="19" t="n"/>
      <c r="D178" s="16" t="n">
        <v>42037</v>
      </c>
      <c r="E178" s="19" t="n">
        <v>3.58</v>
      </c>
      <c r="G178" s="16" t="n">
        <v>42037</v>
      </c>
      <c r="H178" s="19" t="n">
        <v>2.05</v>
      </c>
      <c r="J178" s="16" t="n">
        <v>42037</v>
      </c>
      <c r="K178" s="19" t="n">
        <v>107.28</v>
      </c>
      <c r="M178" s="16" t="n"/>
      <c r="N178" s="19" t="n"/>
    </row>
    <row r="179">
      <c r="A179" s="16" t="n"/>
      <c r="B179" s="19" t="n"/>
      <c r="D179" s="16" t="n">
        <v>42038</v>
      </c>
      <c r="E179" s="19" t="n">
        <v>3.54</v>
      </c>
      <c r="G179" s="16" t="n">
        <v>42038</v>
      </c>
      <c r="H179" s="19" t="n">
        <v>2.03</v>
      </c>
      <c r="J179" s="16" t="n">
        <v>42038</v>
      </c>
      <c r="K179" s="19" t="n">
        <v>107.62</v>
      </c>
      <c r="M179" s="16" t="n"/>
      <c r="N179" s="19" t="n"/>
    </row>
    <row r="180">
      <c r="A180" s="16" t="n"/>
      <c r="B180" s="19" t="n"/>
      <c r="D180" s="16" t="n">
        <v>42039</v>
      </c>
      <c r="E180" s="19" t="n">
        <v>3.54</v>
      </c>
      <c r="G180" s="16" t="n">
        <v>42039</v>
      </c>
      <c r="H180" s="19" t="n">
        <v>2.05</v>
      </c>
      <c r="J180" s="16" t="n">
        <v>42039</v>
      </c>
      <c r="K180" s="19" t="n">
        <v>108.96</v>
      </c>
      <c r="M180" s="16" t="n"/>
      <c r="N180" s="19" t="n"/>
    </row>
    <row r="181">
      <c r="A181" s="16" t="n"/>
      <c r="B181" s="19" t="n"/>
      <c r="D181" s="16" t="n">
        <v>42040</v>
      </c>
      <c r="E181" s="19" t="n">
        <v>3.61</v>
      </c>
      <c r="G181" s="16" t="n">
        <v>42040</v>
      </c>
      <c r="H181" s="19" t="n">
        <v>2.03</v>
      </c>
      <c r="J181" s="16" t="n">
        <v>42040</v>
      </c>
      <c r="K181" s="19" t="n">
        <v>109.16</v>
      </c>
      <c r="M181" s="16" t="n"/>
      <c r="N181" s="19" t="n"/>
    </row>
    <row r="182">
      <c r="A182" s="16" t="n"/>
      <c r="B182" s="19" t="n"/>
      <c r="D182" s="16" t="n">
        <v>42041</v>
      </c>
      <c r="E182" s="19" t="n">
        <v>3.6</v>
      </c>
      <c r="G182" s="16" t="n">
        <v>42041</v>
      </c>
      <c r="H182" s="19" t="n">
        <v>2.08</v>
      </c>
      <c r="J182" s="16" t="n">
        <v>42041</v>
      </c>
      <c r="K182" s="19" t="n">
        <v>108.68</v>
      </c>
      <c r="M182" s="16" t="n"/>
      <c r="N182" s="19" t="n"/>
    </row>
    <row r="183">
      <c r="A183" s="16" t="n"/>
      <c r="B183" s="19" t="n"/>
      <c r="D183" s="16" t="n">
        <v>42044</v>
      </c>
      <c r="E183" s="19" t="n">
        <v>3.56</v>
      </c>
      <c r="G183" s="16" t="n">
        <v>42044</v>
      </c>
      <c r="H183" s="19" t="n">
        <v>2.02</v>
      </c>
      <c r="J183" s="16" t="n">
        <v>42044</v>
      </c>
      <c r="K183" s="19" t="n">
        <v>108.99</v>
      </c>
      <c r="M183" s="16" t="n"/>
      <c r="N183" s="19" t="n"/>
    </row>
    <row r="184">
      <c r="A184" s="16" t="n"/>
      <c r="B184" s="19" t="n"/>
      <c r="D184" s="16" t="n">
        <v>42045</v>
      </c>
      <c r="E184" s="19" t="n">
        <v>3.58</v>
      </c>
      <c r="G184" s="16" t="n">
        <v>42045</v>
      </c>
      <c r="H184" s="19" t="n">
        <v>2.05</v>
      </c>
      <c r="J184" s="16" t="n">
        <v>42045</v>
      </c>
      <c r="K184" s="19" t="n">
        <v>109.47</v>
      </c>
      <c r="M184" s="16" t="n"/>
      <c r="N184" s="19" t="n"/>
    </row>
    <row r="185">
      <c r="A185" s="16" t="n"/>
      <c r="B185" s="19" t="n"/>
      <c r="D185" s="16" t="n">
        <v>42046</v>
      </c>
      <c r="E185" s="19" t="n">
        <v>3.53</v>
      </c>
      <c r="G185" s="16" t="n">
        <v>42046</v>
      </c>
      <c r="H185" s="19" t="n">
        <v>2.03</v>
      </c>
      <c r="J185" s="16" t="n">
        <v>42046</v>
      </c>
      <c r="K185" s="19" t="n">
        <v>108.9</v>
      </c>
      <c r="M185" s="16" t="n"/>
      <c r="N185" s="19" t="n"/>
    </row>
    <row r="186">
      <c r="A186" s="16" t="n"/>
      <c r="B186" s="19" t="n"/>
      <c r="D186" s="16" t="n">
        <v>42047</v>
      </c>
      <c r="E186" s="19" t="n">
        <v>3.58</v>
      </c>
      <c r="G186" s="16" t="n">
        <v>42047</v>
      </c>
      <c r="H186" s="19" t="n">
        <v>2.07</v>
      </c>
      <c r="J186" s="16" t="n">
        <v>42047</v>
      </c>
      <c r="K186" s="19" t="n">
        <v>108.14</v>
      </c>
      <c r="M186" s="16" t="n"/>
      <c r="N186" s="19" t="n"/>
    </row>
    <row r="187">
      <c r="A187" s="16" t="n"/>
      <c r="B187" s="19" t="n"/>
      <c r="D187" s="16" t="n">
        <v>42048</v>
      </c>
      <c r="E187" s="19" t="n">
        <v>3.61</v>
      </c>
      <c r="G187" s="16" t="n">
        <v>42048</v>
      </c>
      <c r="H187" s="19" t="n">
        <v>2.07</v>
      </c>
      <c r="J187" s="16" t="n">
        <v>42048</v>
      </c>
      <c r="K187" s="19" t="n">
        <v>108.23</v>
      </c>
      <c r="M187" s="16" t="n"/>
      <c r="N187" s="19" t="n"/>
    </row>
    <row r="188">
      <c r="A188" s="16" t="n"/>
      <c r="B188" s="19" t="n"/>
      <c r="D188" s="16" t="n">
        <v>42051</v>
      </c>
      <c r="E188" s="19" t="n">
        <v>3.64</v>
      </c>
      <c r="G188" s="16" t="n">
        <v>42051</v>
      </c>
      <c r="H188" s="19" t="n">
        <v>2.05</v>
      </c>
      <c r="J188" s="16" t="n">
        <v>42051</v>
      </c>
      <c r="K188" s="19" t="n">
        <v>108.08</v>
      </c>
      <c r="M188" s="16" t="n"/>
      <c r="N188" s="19" t="n"/>
    </row>
    <row r="189">
      <c r="A189" s="16" t="n"/>
      <c r="B189" s="19" t="n"/>
      <c r="D189" s="16" t="n">
        <v>42052</v>
      </c>
      <c r="E189" s="19" t="n">
        <v>3.61</v>
      </c>
      <c r="G189" s="16" t="n">
        <v>42052</v>
      </c>
      <c r="H189" s="19" t="n">
        <v>2.03</v>
      </c>
      <c r="J189" s="16" t="n">
        <v>42052</v>
      </c>
      <c r="K189" s="19" t="n">
        <v>107.54</v>
      </c>
      <c r="M189" s="16" t="n"/>
      <c r="N189" s="19" t="n"/>
    </row>
    <row r="190">
      <c r="A190" s="16" t="n"/>
      <c r="B190" s="19" t="n"/>
      <c r="D190" s="16" t="n">
        <v>42053</v>
      </c>
      <c r="E190" s="19" t="n">
        <v>3.66</v>
      </c>
      <c r="G190" s="16" t="n">
        <v>42053</v>
      </c>
      <c r="H190" s="19" t="n">
        <v>2.05</v>
      </c>
      <c r="J190" s="16" t="n">
        <v>42053</v>
      </c>
      <c r="K190" s="19" t="n">
        <v>107.43</v>
      </c>
      <c r="M190" s="16" t="n"/>
      <c r="N190" s="19" t="n"/>
    </row>
    <row r="191">
      <c r="A191" s="16" t="n"/>
      <c r="B191" s="19" t="n"/>
      <c r="D191" s="16" t="n">
        <v>42054</v>
      </c>
      <c r="E191" s="19" t="n">
        <v>3.59</v>
      </c>
      <c r="G191" s="16" t="n">
        <v>42054</v>
      </c>
      <c r="H191" s="19" t="n">
        <v>2.14</v>
      </c>
      <c r="J191" s="16" t="n">
        <v>42054</v>
      </c>
      <c r="K191" s="19" t="n">
        <v>107.48</v>
      </c>
      <c r="M191" s="16" t="n"/>
      <c r="N191" s="19" t="n"/>
    </row>
    <row r="192">
      <c r="A192" s="16" t="n"/>
      <c r="B192" s="19" t="n"/>
      <c r="D192" s="16" t="n">
        <v>42055</v>
      </c>
      <c r="E192" s="19" t="n">
        <v>3.6</v>
      </c>
      <c r="G192" s="16" t="n">
        <v>42055</v>
      </c>
      <c r="H192" s="19" t="n">
        <v>2.17</v>
      </c>
      <c r="J192" s="16" t="n">
        <v>42055</v>
      </c>
      <c r="K192" s="19" t="n">
        <v>108.43</v>
      </c>
      <c r="M192" s="16" t="n"/>
      <c r="N192" s="19" t="n"/>
    </row>
    <row r="193">
      <c r="A193" s="16" t="n"/>
      <c r="B193" s="19" t="n"/>
      <c r="D193" s="16" t="n">
        <v>42058</v>
      </c>
      <c r="E193" s="19" t="n">
        <v>3.59</v>
      </c>
      <c r="G193" s="16" t="n">
        <v>42058</v>
      </c>
      <c r="H193" s="19" t="n">
        <v>2.08</v>
      </c>
      <c r="J193" s="16" t="n">
        <v>42058</v>
      </c>
      <c r="K193" s="19" t="n">
        <v>108.29</v>
      </c>
      <c r="M193" s="16" t="n"/>
      <c r="N193" s="19" t="n"/>
    </row>
    <row r="194">
      <c r="A194" s="16" t="n"/>
      <c r="B194" s="19" t="n"/>
      <c r="D194" s="16" t="n">
        <v>42059</v>
      </c>
      <c r="E194" s="19" t="n">
        <v>3.59</v>
      </c>
      <c r="G194" s="16" t="n">
        <v>42059</v>
      </c>
      <c r="H194" s="19" t="n">
        <v>2.06</v>
      </c>
      <c r="J194" s="16" t="n">
        <v>42059</v>
      </c>
      <c r="K194" s="19" t="n">
        <v>109.11</v>
      </c>
      <c r="M194" s="16" t="n"/>
      <c r="N194" s="19" t="n"/>
    </row>
    <row r="195">
      <c r="A195" s="16" t="n"/>
      <c r="B195" s="19" t="n"/>
      <c r="D195" s="16" t="n">
        <v>42060</v>
      </c>
      <c r="E195" s="19" t="n">
        <v>3.57</v>
      </c>
      <c r="G195" s="16" t="n">
        <v>42060</v>
      </c>
      <c r="H195" s="19" t="n">
        <v>2.07</v>
      </c>
      <c r="J195" s="16" t="n">
        <v>42060</v>
      </c>
      <c r="K195" s="19" t="n">
        <v>108.69</v>
      </c>
      <c r="M195" s="16" t="n"/>
      <c r="N195" s="19" t="n"/>
    </row>
    <row r="196">
      <c r="A196" s="16" t="n"/>
      <c r="B196" s="19" t="n"/>
      <c r="D196" s="16" t="n">
        <v>42061</v>
      </c>
      <c r="E196" s="19" t="n">
        <v>3.6</v>
      </c>
      <c r="G196" s="16" t="n">
        <v>42061</v>
      </c>
      <c r="H196" s="19" t="n">
        <v>2.04</v>
      </c>
      <c r="J196" s="16" t="n">
        <v>42061</v>
      </c>
      <c r="K196" s="19" t="n">
        <v>109.17</v>
      </c>
      <c r="M196" s="16" t="n"/>
      <c r="N196" s="19" t="n"/>
    </row>
    <row r="197">
      <c r="A197" s="16" t="n"/>
      <c r="B197" s="19" t="n"/>
      <c r="D197" s="16" t="n">
        <v>42062</v>
      </c>
      <c r="E197" s="19" t="n">
        <v>3.61</v>
      </c>
      <c r="G197" s="16" t="n">
        <v>42062</v>
      </c>
      <c r="H197" s="19" t="n">
        <v>2.05</v>
      </c>
      <c r="J197" s="16" t="n">
        <v>42062</v>
      </c>
      <c r="K197" s="19" t="n">
        <v>109.37</v>
      </c>
      <c r="M197" s="16" t="n"/>
      <c r="N197" s="19" t="n"/>
    </row>
    <row r="198">
      <c r="A198" s="16" t="n"/>
      <c r="B198" s="19" t="n"/>
      <c r="D198" s="16" t="n">
        <v>42065</v>
      </c>
      <c r="E198" s="19" t="n">
        <v>3.54</v>
      </c>
      <c r="G198" s="16" t="n">
        <v>42065</v>
      </c>
      <c r="H198" s="19" t="n">
        <v>2.03</v>
      </c>
      <c r="J198" s="16" t="n">
        <v>42065</v>
      </c>
      <c r="K198" s="19" t="n">
        <v>109.52</v>
      </c>
      <c r="M198" s="16" t="n"/>
      <c r="N198" s="19" t="n"/>
    </row>
    <row r="199">
      <c r="A199" s="16" t="n"/>
      <c r="B199" s="19" t="n"/>
      <c r="D199" s="16" t="n">
        <v>42066</v>
      </c>
      <c r="E199" s="19" t="n">
        <v>3.52</v>
      </c>
      <c r="G199" s="16" t="n">
        <v>42066</v>
      </c>
      <c r="H199" s="19" t="n">
        <v>2.08</v>
      </c>
      <c r="J199" s="16" t="n">
        <v>42066</v>
      </c>
      <c r="K199" s="19" t="n">
        <v>110.03</v>
      </c>
      <c r="M199" s="16" t="n"/>
      <c r="N199" s="19" t="n"/>
    </row>
    <row r="200">
      <c r="A200" s="16" t="n"/>
      <c r="B200" s="19" t="n"/>
      <c r="D200" s="16" t="n">
        <v>42067</v>
      </c>
      <c r="E200" s="19" t="n">
        <v>3.49</v>
      </c>
      <c r="G200" s="16" t="n">
        <v>42067</v>
      </c>
      <c r="H200" s="19" t="n">
        <v>2.13</v>
      </c>
      <c r="J200" s="16" t="n">
        <v>42067</v>
      </c>
      <c r="K200" s="19" t="n">
        <v>109.93</v>
      </c>
      <c r="M200" s="16" t="n"/>
      <c r="N200" s="19" t="n"/>
    </row>
    <row r="201">
      <c r="A201" s="16" t="n"/>
      <c r="B201" s="19" t="n"/>
      <c r="D201" s="16" t="n">
        <v>42068</v>
      </c>
      <c r="E201" s="19" t="n">
        <v>3.52</v>
      </c>
      <c r="G201" s="16" t="n">
        <v>42068</v>
      </c>
      <c r="H201" s="19" t="n">
        <v>2.18</v>
      </c>
      <c r="J201" s="16" t="n">
        <v>42068</v>
      </c>
      <c r="K201" s="19" t="n">
        <v>109.34</v>
      </c>
      <c r="M201" s="16" t="n"/>
      <c r="N201" s="19" t="n"/>
    </row>
    <row r="202">
      <c r="A202" s="16" t="n"/>
      <c r="B202" s="19" t="n"/>
      <c r="D202" s="16" t="n">
        <v>42069</v>
      </c>
      <c r="E202" s="19" t="n">
        <v>3.48</v>
      </c>
      <c r="G202" s="16" t="n">
        <v>42069</v>
      </c>
      <c r="H202" s="19" t="n">
        <v>2.18</v>
      </c>
      <c r="J202" s="16" t="n">
        <v>42069</v>
      </c>
      <c r="K202" s="19" t="n">
        <v>109.24</v>
      </c>
      <c r="M202" s="16" t="n"/>
      <c r="N202" s="19" t="n"/>
    </row>
    <row r="203">
      <c r="A203" s="16" t="n"/>
      <c r="B203" s="19" t="n"/>
      <c r="D203" s="16" t="n">
        <v>42072</v>
      </c>
      <c r="E203" s="19" t="n">
        <v>3.41</v>
      </c>
      <c r="G203" s="16" t="n">
        <v>42072</v>
      </c>
      <c r="H203" s="19" t="n">
        <v>2.21</v>
      </c>
      <c r="J203" s="16" t="n">
        <v>42072</v>
      </c>
      <c r="K203" s="19" t="n">
        <v>109.36</v>
      </c>
      <c r="M203" s="16" t="n"/>
      <c r="N203" s="19" t="n"/>
    </row>
    <row r="204">
      <c r="A204" s="16" t="n"/>
      <c r="B204" s="19" t="n"/>
      <c r="D204" s="16" t="n">
        <v>42073</v>
      </c>
      <c r="E204" s="19" t="n">
        <v>3.41</v>
      </c>
      <c r="G204" s="16" t="n">
        <v>42073</v>
      </c>
      <c r="H204" s="19" t="n">
        <v>2.22</v>
      </c>
      <c r="J204" s="16" t="n">
        <v>42073</v>
      </c>
      <c r="K204" s="19" t="n">
        <v>109.78</v>
      </c>
      <c r="M204" s="16" t="n"/>
      <c r="N204" s="19" t="n"/>
    </row>
    <row r="205">
      <c r="A205" s="16" t="n"/>
      <c r="B205" s="19" t="n"/>
      <c r="D205" s="16" t="n">
        <v>42074</v>
      </c>
      <c r="E205" s="19" t="n">
        <v>3.38</v>
      </c>
      <c r="G205" s="16" t="n">
        <v>42074</v>
      </c>
      <c r="H205" s="19" t="n">
        <v>2.24</v>
      </c>
      <c r="J205" s="16" t="n">
        <v>42074</v>
      </c>
      <c r="K205" s="19" t="n">
        <v>109.57</v>
      </c>
      <c r="M205" s="16" t="n"/>
      <c r="N205" s="19" t="n"/>
    </row>
    <row r="206">
      <c r="A206" s="16" t="n"/>
      <c r="B206" s="19" t="n"/>
      <c r="D206" s="16" t="n">
        <v>42075</v>
      </c>
      <c r="E206" s="19" t="n">
        <v>3.36</v>
      </c>
      <c r="G206" s="16" t="n">
        <v>42075</v>
      </c>
      <c r="H206" s="19" t="n">
        <v>2.2</v>
      </c>
      <c r="J206" s="16" t="n">
        <v>42075</v>
      </c>
      <c r="K206" s="19" t="n">
        <v>110.26</v>
      </c>
      <c r="M206" s="16" t="n"/>
      <c r="N206" s="19" t="n"/>
    </row>
    <row r="207">
      <c r="A207" s="16" t="n"/>
      <c r="B207" s="19" t="n"/>
      <c r="D207" s="16" t="n">
        <v>42076</v>
      </c>
      <c r="E207" s="19" t="n">
        <v>3.25</v>
      </c>
      <c r="G207" s="16" t="n">
        <v>42076</v>
      </c>
      <c r="H207" s="19" t="n">
        <v>2.18</v>
      </c>
      <c r="J207" s="16" t="n">
        <v>42076</v>
      </c>
      <c r="K207" s="19" t="n">
        <v>110.67</v>
      </c>
      <c r="M207" s="16" t="n"/>
      <c r="N207" s="19" t="n"/>
    </row>
    <row r="208">
      <c r="A208" s="16" t="n"/>
      <c r="B208" s="19" t="n"/>
      <c r="D208" s="16" t="n">
        <v>42079</v>
      </c>
      <c r="E208" s="19" t="n">
        <v>3.23</v>
      </c>
      <c r="G208" s="16" t="n">
        <v>42079</v>
      </c>
      <c r="H208" s="19" t="n">
        <v>2.15</v>
      </c>
      <c r="J208" s="16" t="n">
        <v>42079</v>
      </c>
      <c r="K208" s="19" t="n">
        <v>111.28</v>
      </c>
      <c r="M208" s="16" t="n"/>
      <c r="N208" s="19" t="n"/>
    </row>
    <row r="209">
      <c r="A209" s="16" t="n"/>
      <c r="B209" s="19" t="n"/>
      <c r="D209" s="16" t="n">
        <v>42080</v>
      </c>
      <c r="E209" s="19" t="n">
        <v>3.19</v>
      </c>
      <c r="G209" s="16" t="n">
        <v>42080</v>
      </c>
      <c r="H209" s="19" t="n">
        <v>2.14</v>
      </c>
      <c r="J209" s="16" t="n">
        <v>42080</v>
      </c>
      <c r="K209" s="19" t="n">
        <v>111.53</v>
      </c>
      <c r="M209" s="16" t="n"/>
      <c r="N209" s="19" t="n"/>
    </row>
    <row r="210">
      <c r="A210" s="16" t="n"/>
      <c r="B210" s="19" t="n"/>
      <c r="D210" s="16" t="n">
        <v>42081</v>
      </c>
      <c r="E210" s="19" t="n">
        <v>3.17</v>
      </c>
      <c r="G210" s="16" t="n">
        <v>42081</v>
      </c>
      <c r="H210" s="19" t="n">
        <v>2.12</v>
      </c>
      <c r="J210" s="16" t="n">
        <v>42081</v>
      </c>
      <c r="K210" s="19" t="n">
        <v>111.59</v>
      </c>
      <c r="M210" s="16" t="n"/>
      <c r="N210" s="19" t="n"/>
    </row>
    <row r="211">
      <c r="A211" s="16" t="n"/>
      <c r="B211" s="19" t="n"/>
      <c r="D211" s="16" t="n">
        <v>42082</v>
      </c>
      <c r="E211" s="19" t="n">
        <v>3.22</v>
      </c>
      <c r="G211" s="16" t="n">
        <v>42082</v>
      </c>
      <c r="H211" s="19" t="n">
        <v>2.09</v>
      </c>
      <c r="J211" s="16" t="n">
        <v>42082</v>
      </c>
      <c r="K211" s="19" t="n">
        <v>111.92</v>
      </c>
      <c r="M211" s="16" t="n"/>
      <c r="N211" s="19" t="n"/>
    </row>
    <row r="212">
      <c r="A212" s="16" t="n"/>
      <c r="B212" s="19" t="n"/>
      <c r="D212" s="16" t="n">
        <v>42083</v>
      </c>
      <c r="E212" s="19" t="n">
        <v>3.21</v>
      </c>
      <c r="G212" s="16" t="n">
        <v>42083</v>
      </c>
      <c r="H212" s="19" t="n">
        <v>2.07</v>
      </c>
      <c r="J212" s="16" t="n">
        <v>42083</v>
      </c>
      <c r="K212" s="19" t="n">
        <v>111.2</v>
      </c>
      <c r="M212" s="16" t="n"/>
      <c r="N212" s="19" t="n"/>
    </row>
    <row r="213">
      <c r="A213" s="16" t="n"/>
      <c r="B213" s="19" t="n"/>
      <c r="D213" s="16" t="n">
        <v>42086</v>
      </c>
      <c r="E213" s="19" t="n">
        <v>3.29</v>
      </c>
      <c r="G213" s="16" t="n">
        <v>42086</v>
      </c>
      <c r="H213" s="19" t="n">
        <v>2.1</v>
      </c>
      <c r="J213" s="16" t="n">
        <v>42086</v>
      </c>
      <c r="K213" s="19" t="n">
        <v>111.38</v>
      </c>
      <c r="M213" s="16" t="n"/>
      <c r="N213" s="19" t="n"/>
    </row>
    <row r="214">
      <c r="A214" s="16" t="n"/>
      <c r="B214" s="19" t="n"/>
      <c r="D214" s="16" t="n">
        <v>42087</v>
      </c>
      <c r="E214" s="19" t="n">
        <v>3.28</v>
      </c>
      <c r="G214" s="16" t="n">
        <v>42087</v>
      </c>
      <c r="H214" s="19" t="n">
        <v>2.16</v>
      </c>
      <c r="J214" s="16" t="n">
        <v>42087</v>
      </c>
      <c r="K214" s="19" t="n">
        <v>111.04</v>
      </c>
      <c r="M214" s="16" t="n"/>
      <c r="N214" s="19" t="n"/>
    </row>
    <row r="215">
      <c r="A215" s="16" t="n"/>
      <c r="B215" s="19" t="n"/>
      <c r="D215" s="16" t="n">
        <v>42088</v>
      </c>
      <c r="E215" s="19" t="n">
        <v>3.23</v>
      </c>
      <c r="G215" s="16" t="n">
        <v>42088</v>
      </c>
      <c r="H215" s="19" t="n">
        <v>2.13</v>
      </c>
      <c r="J215" s="16" t="n">
        <v>42088</v>
      </c>
      <c r="K215" s="19" t="n">
        <v>111.04</v>
      </c>
      <c r="M215" s="16" t="n"/>
      <c r="N215" s="19" t="n"/>
    </row>
    <row r="216">
      <c r="A216" s="16" t="n"/>
      <c r="B216" s="19" t="n"/>
      <c r="D216" s="16" t="n">
        <v>42089</v>
      </c>
      <c r="E216" s="19" t="n">
        <v>3.25</v>
      </c>
      <c r="G216" s="16" t="n">
        <v>42089</v>
      </c>
      <c r="H216" s="19" t="n">
        <v>2.05</v>
      </c>
      <c r="J216" s="16" t="n">
        <v>42089</v>
      </c>
      <c r="K216" s="19" t="n">
        <v>111.22</v>
      </c>
      <c r="M216" s="16" t="n"/>
      <c r="N216" s="19" t="n"/>
    </row>
    <row r="217">
      <c r="A217" s="16" t="n"/>
      <c r="B217" s="19" t="n"/>
      <c r="D217" s="16" t="n">
        <v>42090</v>
      </c>
      <c r="E217" s="19" t="n">
        <v>3.26</v>
      </c>
      <c r="G217" s="16" t="n">
        <v>42090</v>
      </c>
      <c r="H217" s="19" t="n">
        <v>2.1</v>
      </c>
      <c r="J217" s="16" t="n">
        <v>42090</v>
      </c>
      <c r="K217" s="19" t="n">
        <v>111.06</v>
      </c>
      <c r="M217" s="16" t="n"/>
      <c r="N217" s="19" t="n"/>
    </row>
    <row r="218">
      <c r="A218" s="16" t="n"/>
      <c r="B218" s="19" t="n"/>
      <c r="D218" s="16" t="n">
        <v>42093</v>
      </c>
      <c r="E218" s="19" t="n">
        <v>3.33</v>
      </c>
      <c r="G218" s="16" t="n">
        <v>42093</v>
      </c>
      <c r="H218" s="19" t="n">
        <v>2.18</v>
      </c>
      <c r="J218" s="16" t="n">
        <v>42093</v>
      </c>
      <c r="K218" s="19" t="n">
        <v>110.78</v>
      </c>
      <c r="M218" s="16" t="n"/>
      <c r="N218" s="19" t="n"/>
    </row>
    <row r="219">
      <c r="A219" s="16" t="n"/>
      <c r="B219" s="19" t="n"/>
      <c r="D219" s="16" t="n">
        <v>42094</v>
      </c>
      <c r="E219" s="19" t="n">
        <v>3.32</v>
      </c>
      <c r="G219" s="16" t="n">
        <v>42094</v>
      </c>
      <c r="H219" s="19" t="n">
        <v>2.22</v>
      </c>
      <c r="J219" s="16" t="n">
        <v>42094</v>
      </c>
      <c r="K219" s="19" t="n">
        <v>111.48</v>
      </c>
      <c r="M219" s="16" t="n"/>
      <c r="N219" s="19" t="n"/>
    </row>
    <row r="220">
      <c r="A220" s="16" t="n"/>
      <c r="B220" s="19" t="n"/>
      <c r="D220" s="16" t="n">
        <v>42095</v>
      </c>
      <c r="E220" s="19" t="n">
        <v>3.32</v>
      </c>
      <c r="G220" s="16" t="n">
        <v>42095</v>
      </c>
      <c r="H220" s="19" t="n">
        <v>2.27</v>
      </c>
      <c r="J220" s="16" t="n">
        <v>42095</v>
      </c>
      <c r="K220" s="19" t="n">
        <v>110.64</v>
      </c>
      <c r="M220" s="16" t="n"/>
      <c r="N220" s="19" t="n"/>
    </row>
    <row r="221">
      <c r="A221" s="16" t="n"/>
      <c r="B221" s="19" t="n"/>
      <c r="D221" s="16" t="n">
        <v>42096</v>
      </c>
      <c r="E221" s="19" t="n">
        <v>3.36</v>
      </c>
      <c r="G221" s="16" t="n">
        <v>42096</v>
      </c>
      <c r="H221" s="19" t="n">
        <v>2.28</v>
      </c>
      <c r="J221" s="16" t="n">
        <v>42096</v>
      </c>
      <c r="K221" s="19" t="n">
        <v>111.16</v>
      </c>
      <c r="M221" s="16" t="n"/>
      <c r="N221" s="19" t="n"/>
    </row>
    <row r="222">
      <c r="A222" s="16" t="n"/>
      <c r="B222" s="19" t="n"/>
      <c r="D222" s="16" t="n">
        <v>42097</v>
      </c>
      <c r="E222" s="19" t="n">
        <v>3.38</v>
      </c>
      <c r="G222" s="16" t="n">
        <v>42097</v>
      </c>
      <c r="H222" s="19" t="n">
        <v>2.31</v>
      </c>
      <c r="J222" s="16" t="n">
        <v>42097</v>
      </c>
      <c r="K222" s="19" t="n">
        <v>110.94</v>
      </c>
      <c r="M222" s="16" t="n"/>
      <c r="N222" s="19" t="n"/>
    </row>
    <row r="223">
      <c r="A223" s="16" t="n"/>
      <c r="B223" s="19" t="n"/>
      <c r="D223" s="16" t="n">
        <v>42100</v>
      </c>
      <c r="E223" s="19" t="n">
        <v>3.45</v>
      </c>
      <c r="G223" s="16" t="n">
        <v>42100</v>
      </c>
      <c r="H223" s="19" t="n">
        <v>2.23</v>
      </c>
      <c r="J223" s="16" t="n">
        <v>42100</v>
      </c>
      <c r="K223" s="19" t="n">
        <v>111.11</v>
      </c>
      <c r="M223" s="16" t="n"/>
      <c r="N223" s="19" t="n"/>
    </row>
    <row r="224">
      <c r="A224" s="16" t="n"/>
      <c r="B224" s="19" t="n"/>
      <c r="D224" s="16" t="n">
        <v>42101</v>
      </c>
      <c r="E224" s="19" t="n">
        <v>3.42</v>
      </c>
      <c r="G224" s="16" t="n">
        <v>42101</v>
      </c>
      <c r="H224" s="19" t="n">
        <v>2.31</v>
      </c>
      <c r="J224" s="16" t="n">
        <v>42101</v>
      </c>
      <c r="K224" s="19" t="n">
        <v>110.51</v>
      </c>
      <c r="M224" s="16" t="n"/>
      <c r="N224" s="19" t="n"/>
    </row>
    <row r="225">
      <c r="A225" s="16" t="n"/>
      <c r="B225" s="19" t="n"/>
      <c r="D225" s="16" t="n">
        <v>42102</v>
      </c>
      <c r="E225" s="19" t="n">
        <v>3.43</v>
      </c>
      <c r="G225" s="16" t="n">
        <v>42102</v>
      </c>
      <c r="H225" s="19" t="n">
        <v>2.31</v>
      </c>
      <c r="J225" s="16" t="n">
        <v>42102</v>
      </c>
      <c r="K225" s="19" t="n">
        <v>110.98</v>
      </c>
      <c r="M225" s="16" t="n"/>
      <c r="N225" s="19" t="n"/>
    </row>
    <row r="226">
      <c r="A226" s="16" t="n"/>
      <c r="B226" s="19" t="n"/>
      <c r="D226" s="16" t="n">
        <v>42103</v>
      </c>
      <c r="E226" s="19" t="n">
        <v>3.43</v>
      </c>
      <c r="G226" s="16" t="n">
        <v>42103</v>
      </c>
      <c r="H226" s="19" t="n">
        <v>2.27</v>
      </c>
      <c r="J226" s="16" t="n">
        <v>42103</v>
      </c>
      <c r="K226" s="19" t="n">
        <v>110.93</v>
      </c>
      <c r="M226" s="16" t="n"/>
      <c r="N226" s="19" t="n"/>
    </row>
    <row r="227">
      <c r="A227" s="16" t="n"/>
      <c r="B227" s="19" t="n"/>
      <c r="D227" s="16" t="n">
        <v>42104</v>
      </c>
      <c r="E227" s="19" t="n">
        <v>3.48</v>
      </c>
      <c r="G227" s="16" t="n">
        <v>42104</v>
      </c>
      <c r="H227" s="19" t="n">
        <v>2.3</v>
      </c>
      <c r="J227" s="16" t="n">
        <v>42104</v>
      </c>
      <c r="K227" s="19" t="n">
        <v>110.56</v>
      </c>
      <c r="M227" s="16" t="n"/>
      <c r="N227" s="19" t="n"/>
    </row>
    <row r="228">
      <c r="A228" s="16" t="n"/>
      <c r="B228" s="19" t="n"/>
      <c r="D228" s="16" t="n">
        <v>42107</v>
      </c>
      <c r="E228" s="19" t="n">
        <v>3.42</v>
      </c>
      <c r="G228" s="16" t="n">
        <v>42107</v>
      </c>
      <c r="H228" s="19" t="n">
        <v>2.25</v>
      </c>
      <c r="J228" s="16" t="n">
        <v>42107</v>
      </c>
      <c r="K228" s="19" t="n">
        <v>110.52</v>
      </c>
      <c r="M228" s="16" t="n"/>
      <c r="N228" s="19" t="n"/>
    </row>
    <row r="229">
      <c r="A229" s="16" t="n"/>
      <c r="B229" s="19" t="n"/>
      <c r="D229" s="16" t="n">
        <v>42108</v>
      </c>
      <c r="E229" s="19" t="n">
        <v>3.42</v>
      </c>
      <c r="G229" s="16" t="n">
        <v>42108</v>
      </c>
      <c r="H229" s="19" t="n">
        <v>2.24</v>
      </c>
      <c r="J229" s="16" t="n">
        <v>42108</v>
      </c>
      <c r="K229" s="19" t="n">
        <v>110.26</v>
      </c>
      <c r="M229" s="16" t="n"/>
      <c r="N229" s="19" t="n"/>
    </row>
    <row r="230">
      <c r="A230" s="16" t="n"/>
      <c r="B230" s="19" t="n"/>
      <c r="D230" s="16" t="n">
        <v>42109</v>
      </c>
      <c r="E230" s="19" t="n">
        <v>3.43</v>
      </c>
      <c r="G230" s="16" t="n">
        <v>42109</v>
      </c>
      <c r="H230" s="19" t="n">
        <v>2.29</v>
      </c>
      <c r="J230" s="16" t="n">
        <v>42109</v>
      </c>
      <c r="K230" s="19" t="n">
        <v>110.84</v>
      </c>
      <c r="M230" s="16" t="n"/>
      <c r="N230" s="19" t="n"/>
    </row>
    <row r="231">
      <c r="A231" s="16" t="n"/>
      <c r="B231" s="19" t="n"/>
      <c r="D231" s="16" t="n">
        <v>42110</v>
      </c>
      <c r="E231" s="19" t="n">
        <v>3.41</v>
      </c>
      <c r="G231" s="16" t="n">
        <v>42110</v>
      </c>
      <c r="H231" s="19" t="n">
        <v>2.32</v>
      </c>
      <c r="J231" s="16" t="n">
        <v>42110</v>
      </c>
      <c r="K231" s="19" t="n">
        <v>110.73</v>
      </c>
      <c r="M231" s="16" t="n"/>
      <c r="N231" s="19" t="n"/>
    </row>
    <row r="232">
      <c r="A232" s="16" t="n"/>
      <c r="B232" s="19" t="n"/>
      <c r="D232" s="16" t="n">
        <v>42111</v>
      </c>
      <c r="E232" s="19" t="n">
        <v>3.47</v>
      </c>
      <c r="G232" s="16" t="n">
        <v>42111</v>
      </c>
      <c r="H232" s="19" t="n">
        <v>2.37</v>
      </c>
      <c r="J232" s="16" t="n">
        <v>42111</v>
      </c>
      <c r="K232" s="19" t="n">
        <v>111.28</v>
      </c>
      <c r="M232" s="16" t="n"/>
      <c r="N232" s="19" t="n"/>
    </row>
    <row r="233">
      <c r="A233" s="16" t="n"/>
      <c r="B233" s="19" t="n"/>
      <c r="D233" s="16" t="n">
        <v>42114</v>
      </c>
      <c r="E233" s="19" t="n">
        <v>3.57</v>
      </c>
      <c r="G233" s="16" t="n">
        <v>42114</v>
      </c>
      <c r="H233" s="19" t="n">
        <v>2.41</v>
      </c>
      <c r="J233" s="16" t="n">
        <v>42114</v>
      </c>
      <c r="K233" s="19" t="n">
        <v>111.82</v>
      </c>
      <c r="M233" s="16" t="n"/>
      <c r="N233" s="19" t="n"/>
    </row>
    <row r="234">
      <c r="A234" s="16" t="n"/>
      <c r="B234" s="19" t="n"/>
      <c r="D234" s="16" t="n">
        <v>42115</v>
      </c>
      <c r="E234" s="19" t="n">
        <v>3.63</v>
      </c>
      <c r="G234" s="16" t="n">
        <v>42115</v>
      </c>
      <c r="H234" s="19" t="n">
        <v>2.37</v>
      </c>
      <c r="J234" s="16" t="n">
        <v>42115</v>
      </c>
      <c r="K234" s="19" t="n">
        <v>111.67</v>
      </c>
      <c r="M234" s="16" t="n"/>
      <c r="N234" s="19" t="n"/>
    </row>
    <row r="235">
      <c r="A235" s="16" t="n"/>
      <c r="B235" s="19" t="n"/>
      <c r="D235" s="16" t="n">
        <v>42116</v>
      </c>
      <c r="E235" s="19" t="n">
        <v>3.62</v>
      </c>
      <c r="G235" s="16" t="n">
        <v>42116</v>
      </c>
      <c r="H235" s="19" t="n">
        <v>2.41</v>
      </c>
      <c r="J235" s="16" t="n">
        <v>42116</v>
      </c>
      <c r="K235" s="19" t="n">
        <v>111.72</v>
      </c>
      <c r="M235" s="16" t="n"/>
      <c r="N235" s="19" t="n"/>
    </row>
    <row r="236">
      <c r="A236" s="16" t="n"/>
      <c r="B236" s="19" t="n"/>
      <c r="D236" s="16" t="n">
        <v>42117</v>
      </c>
      <c r="E236" s="19" t="n">
        <v>3.56</v>
      </c>
      <c r="G236" s="16" t="n">
        <v>42117</v>
      </c>
      <c r="H236" s="19" t="n">
        <v>2.38</v>
      </c>
      <c r="J236" s="16" t="n">
        <v>42117</v>
      </c>
      <c r="K236" s="19" t="n">
        <v>111.64</v>
      </c>
      <c r="M236" s="16" t="n"/>
      <c r="N236" s="19" t="n"/>
    </row>
    <row r="237">
      <c r="A237" s="16" t="n"/>
      <c r="B237" s="19" t="n"/>
      <c r="D237" s="16" t="n">
        <v>42118</v>
      </c>
      <c r="E237" s="19" t="n">
        <v>3.54</v>
      </c>
      <c r="G237" s="16" t="n">
        <v>42118</v>
      </c>
      <c r="H237" s="19" t="n">
        <v>2.36</v>
      </c>
      <c r="J237" s="16" t="n">
        <v>42118</v>
      </c>
      <c r="K237" s="19" t="n">
        <v>110.85</v>
      </c>
      <c r="M237" s="16" t="n"/>
      <c r="N237" s="19" t="n"/>
    </row>
    <row r="238">
      <c r="A238" s="16" t="n"/>
      <c r="B238" s="19" t="n"/>
      <c r="D238" s="16" t="n">
        <v>42121</v>
      </c>
      <c r="E238" s="19" t="n">
        <v>3.55</v>
      </c>
      <c r="G238" s="16" t="n">
        <v>42121</v>
      </c>
      <c r="H238" s="19" t="n">
        <v>2.31</v>
      </c>
      <c r="J238" s="16" t="n">
        <v>42121</v>
      </c>
      <c r="K238" s="19" t="n">
        <v>110.66</v>
      </c>
      <c r="M238" s="16" t="n"/>
      <c r="N238" s="19" t="n"/>
    </row>
    <row r="239">
      <c r="A239" s="16" t="n"/>
      <c r="B239" s="19" t="n"/>
      <c r="D239" s="16" t="n">
        <v>42122</v>
      </c>
      <c r="E239" s="19" t="n">
        <v>3.52</v>
      </c>
      <c r="G239" s="16" t="n">
        <v>42122</v>
      </c>
      <c r="H239" s="19" t="n">
        <v>2.3</v>
      </c>
      <c r="J239" s="16" t="n">
        <v>42122</v>
      </c>
      <c r="K239" s="19" t="n">
        <v>111.49</v>
      </c>
      <c r="M239" s="16" t="n"/>
      <c r="N239" s="19" t="n"/>
    </row>
    <row r="240">
      <c r="A240" s="16" t="n"/>
      <c r="B240" s="19" t="n"/>
      <c r="D240" s="16" t="n">
        <v>42123</v>
      </c>
      <c r="E240" s="19" t="n">
        <v>3.51</v>
      </c>
      <c r="G240" s="16" t="n">
        <v>42123</v>
      </c>
      <c r="H240" s="19" t="n">
        <v>2.28</v>
      </c>
      <c r="J240" s="16" t="n">
        <v>42123</v>
      </c>
      <c r="K240" s="19" t="n">
        <v>110.14</v>
      </c>
      <c r="M240" s="16" t="n"/>
      <c r="N240" s="19" t="n"/>
    </row>
    <row r="241">
      <c r="A241" s="16" t="n"/>
      <c r="B241" s="19" t="n"/>
      <c r="D241" s="16" t="n">
        <v>42124</v>
      </c>
      <c r="E241" s="19" t="n">
        <v>3.47</v>
      </c>
      <c r="G241" s="16" t="n">
        <v>42124</v>
      </c>
      <c r="H241" s="19" t="n">
        <v>2.29</v>
      </c>
      <c r="J241" s="16" t="n">
        <v>42124</v>
      </c>
      <c r="K241" s="19" t="n">
        <v>109.99</v>
      </c>
      <c r="M241" s="16" t="n"/>
      <c r="N241" s="19" t="n"/>
    </row>
    <row r="242">
      <c r="A242" s="16" t="n"/>
      <c r="B242" s="19" t="n"/>
      <c r="D242" s="16" t="n">
        <v>42125</v>
      </c>
      <c r="E242" s="19" t="n">
        <v>3.5</v>
      </c>
      <c r="G242" s="16" t="n">
        <v>42125</v>
      </c>
      <c r="H242" s="19" t="n">
        <v>2.28</v>
      </c>
      <c r="J242" s="16" t="n">
        <v>42125</v>
      </c>
      <c r="K242" s="19" t="n">
        <v>110.46</v>
      </c>
      <c r="M242" s="16" t="n"/>
      <c r="N242" s="19" t="n"/>
    </row>
    <row r="243">
      <c r="A243" s="16" t="n"/>
      <c r="B243" s="19" t="n"/>
      <c r="D243" s="16" t="n">
        <v>42128</v>
      </c>
      <c r="E243" s="19" t="n">
        <v>3.52</v>
      </c>
      <c r="G243" s="16" t="n">
        <v>42128</v>
      </c>
      <c r="H243" s="19" t="n">
        <v>2.33</v>
      </c>
      <c r="J243" s="16" t="n">
        <v>42128</v>
      </c>
      <c r="K243" s="19" t="n">
        <v>110.34</v>
      </c>
      <c r="M243" s="16" t="n"/>
      <c r="N243" s="19" t="n"/>
    </row>
    <row r="244">
      <c r="A244" s="16" t="n"/>
      <c r="B244" s="19" t="n"/>
      <c r="D244" s="16" t="n">
        <v>42129</v>
      </c>
      <c r="E244" s="19" t="n">
        <v>3.56</v>
      </c>
      <c r="G244" s="16" t="n">
        <v>42129</v>
      </c>
      <c r="H244" s="19" t="n">
        <v>2.31</v>
      </c>
      <c r="J244" s="16" t="n">
        <v>42129</v>
      </c>
      <c r="K244" s="19" t="n">
        <v>109.94</v>
      </c>
      <c r="M244" s="16" t="n"/>
      <c r="N244" s="19" t="n"/>
    </row>
    <row r="245">
      <c r="A245" s="16" t="n"/>
      <c r="B245" s="19" t="n"/>
      <c r="D245" s="16" t="n">
        <v>42130</v>
      </c>
      <c r="E245" s="19" t="n">
        <v>3.61</v>
      </c>
      <c r="G245" s="16" t="n">
        <v>42130</v>
      </c>
      <c r="H245" s="19" t="n">
        <v>2.26</v>
      </c>
      <c r="J245" s="16" t="n">
        <v>42130</v>
      </c>
      <c r="K245" s="19" t="n">
        <v>109.46</v>
      </c>
      <c r="M245" s="16" t="n"/>
      <c r="N245" s="19" t="n"/>
    </row>
    <row r="246">
      <c r="A246" s="16" t="n"/>
      <c r="B246" s="19" t="n"/>
      <c r="D246" s="16" t="n">
        <v>42131</v>
      </c>
      <c r="E246" s="19" t="n">
        <v>3.69</v>
      </c>
      <c r="G246" s="16" t="n">
        <v>42131</v>
      </c>
      <c r="H246" s="19" t="n">
        <v>2.27</v>
      </c>
      <c r="J246" s="16" t="n">
        <v>42131</v>
      </c>
      <c r="K246" s="19" t="n">
        <v>109.7</v>
      </c>
      <c r="M246" s="16" t="n"/>
      <c r="N246" s="19" t="n"/>
    </row>
    <row r="247">
      <c r="A247" s="16" t="n"/>
      <c r="B247" s="19" t="n"/>
      <c r="D247" s="16" t="n">
        <v>42132</v>
      </c>
      <c r="E247" s="19" t="n">
        <v>3.7</v>
      </c>
      <c r="G247" s="16" t="n">
        <v>42132</v>
      </c>
      <c r="H247" s="19" t="n">
        <v>2.27</v>
      </c>
      <c r="J247" s="16" t="n">
        <v>42132</v>
      </c>
      <c r="K247" s="19" t="n">
        <v>110.82</v>
      </c>
      <c r="M247" s="16" t="n"/>
      <c r="N247" s="19" t="n"/>
    </row>
    <row r="248">
      <c r="A248" s="16" t="n"/>
      <c r="B248" s="19" t="n"/>
      <c r="D248" s="16" t="n">
        <v>42135</v>
      </c>
      <c r="E248" s="19" t="n">
        <v>3.7</v>
      </c>
      <c r="G248" s="16" t="n">
        <v>42135</v>
      </c>
      <c r="H248" s="19" t="n">
        <v>2.32</v>
      </c>
      <c r="J248" s="16" t="n">
        <v>42135</v>
      </c>
      <c r="K248" s="19" t="n">
        <v>110.84</v>
      </c>
      <c r="M248" s="16" t="n"/>
      <c r="N248" s="19" t="n"/>
    </row>
    <row r="249">
      <c r="A249" s="16" t="n"/>
      <c r="B249" s="19" t="n"/>
      <c r="D249" s="16" t="n">
        <v>42136</v>
      </c>
      <c r="E249" s="19" t="n">
        <v>3.67</v>
      </c>
      <c r="G249" s="16" t="n">
        <v>42136</v>
      </c>
      <c r="H249" s="19" t="n">
        <v>2.31</v>
      </c>
      <c r="J249" s="16" t="n">
        <v>42136</v>
      </c>
      <c r="K249" s="19" t="n">
        <v>110.9</v>
      </c>
      <c r="M249" s="16" t="n"/>
      <c r="N249" s="19" t="n"/>
    </row>
    <row r="250">
      <c r="A250" s="16" t="n"/>
      <c r="B250" s="19" t="n"/>
      <c r="D250" s="16" t="n">
        <v>42137</v>
      </c>
      <c r="E250" s="19" t="n">
        <v>3.79</v>
      </c>
      <c r="G250" s="16" t="n">
        <v>42137</v>
      </c>
      <c r="H250" s="19" t="n">
        <v>2.29</v>
      </c>
      <c r="J250" s="16" t="n">
        <v>42137</v>
      </c>
      <c r="K250" s="19" t="n">
        <v>111.17</v>
      </c>
      <c r="M250" s="16" t="n"/>
      <c r="N250" s="19" t="n"/>
    </row>
    <row r="251">
      <c r="A251" s="16" t="n"/>
      <c r="B251" s="19" t="n"/>
      <c r="D251" s="16" t="n">
        <v>42138</v>
      </c>
      <c r="E251" s="19" t="n">
        <v>3.72</v>
      </c>
      <c r="G251" s="16" t="n">
        <v>42138</v>
      </c>
      <c r="H251" s="19" t="n">
        <v>2.32</v>
      </c>
      <c r="J251" s="16" t="n">
        <v>42138</v>
      </c>
      <c r="K251" s="19" t="n">
        <v>111.12</v>
      </c>
      <c r="M251" s="16" t="n"/>
      <c r="N251" s="19" t="n"/>
    </row>
    <row r="252">
      <c r="A252" s="16" t="n"/>
      <c r="B252" s="19" t="n"/>
      <c r="D252" s="16" t="n">
        <v>42139</v>
      </c>
      <c r="E252" s="19" t="n">
        <v>3.74</v>
      </c>
      <c r="G252" s="16" t="n">
        <v>42139</v>
      </c>
      <c r="H252" s="19" t="n">
        <v>2.32</v>
      </c>
      <c r="J252" s="16" t="n">
        <v>42139</v>
      </c>
      <c r="K252" s="19" t="n">
        <v>110.89</v>
      </c>
      <c r="M252" s="16" t="n"/>
      <c r="N252" s="19" t="n"/>
    </row>
    <row r="253">
      <c r="A253" s="16" t="n"/>
      <c r="B253" s="19" t="n"/>
      <c r="D253" s="16" t="n">
        <v>42142</v>
      </c>
      <c r="E253" s="19" t="n">
        <v>3.74</v>
      </c>
      <c r="G253" s="16" t="n">
        <v>42142</v>
      </c>
      <c r="H253" s="19" t="n">
        <v>2.32</v>
      </c>
      <c r="J253" s="16" t="n">
        <v>42142</v>
      </c>
      <c r="K253" s="19" t="n">
        <v>111.5</v>
      </c>
      <c r="M253" s="16" t="n"/>
      <c r="N253" s="19" t="n"/>
    </row>
    <row r="254">
      <c r="A254" s="16" t="n"/>
      <c r="B254" s="19" t="n"/>
      <c r="D254" s="16" t="n">
        <v>42143</v>
      </c>
      <c r="E254" s="19" t="n">
        <v>3.74</v>
      </c>
      <c r="G254" s="16" t="n">
        <v>42143</v>
      </c>
      <c r="H254" s="19" t="n">
        <v>2.32</v>
      </c>
      <c r="J254" s="16" t="n">
        <v>42143</v>
      </c>
      <c r="K254" s="19" t="n">
        <v>110.8</v>
      </c>
      <c r="M254" s="16" t="n"/>
      <c r="N254" s="19" t="n"/>
    </row>
    <row r="255">
      <c r="A255" s="16" t="n"/>
      <c r="B255" s="19" t="n"/>
      <c r="D255" s="16" t="n">
        <v>42144</v>
      </c>
      <c r="E255" s="19" t="n">
        <v>3.78</v>
      </c>
      <c r="G255" s="16" t="n">
        <v>42144</v>
      </c>
      <c r="H255" s="19" t="n">
        <v>2.31</v>
      </c>
      <c r="J255" s="16" t="n">
        <v>42144</v>
      </c>
      <c r="K255" s="19" t="n">
        <v>110.33</v>
      </c>
      <c r="M255" s="16" t="n"/>
      <c r="N255" s="19" t="n"/>
    </row>
    <row r="256">
      <c r="A256" s="16" t="n"/>
      <c r="B256" s="19" t="n"/>
      <c r="D256" s="16" t="n">
        <v>42145</v>
      </c>
      <c r="E256" s="19" t="n">
        <v>3.84</v>
      </c>
      <c r="G256" s="16" t="n">
        <v>42145</v>
      </c>
      <c r="H256" s="19" t="n">
        <v>2.35</v>
      </c>
      <c r="J256" s="16" t="n">
        <v>42145</v>
      </c>
      <c r="K256" s="19" t="n">
        <v>110.34</v>
      </c>
      <c r="M256" s="16" t="n"/>
      <c r="N256" s="19" t="n"/>
    </row>
    <row r="257">
      <c r="A257" s="16" t="n"/>
      <c r="B257" s="19" t="n"/>
      <c r="D257" s="16" t="n">
        <v>42146</v>
      </c>
      <c r="E257" s="19" t="n">
        <v>3.84</v>
      </c>
      <c r="G257" s="16" t="n">
        <v>42146</v>
      </c>
      <c r="H257" s="19" t="n">
        <v>2.3</v>
      </c>
      <c r="J257" s="16" t="n">
        <v>42146</v>
      </c>
      <c r="K257" s="19" t="n">
        <v>109.07</v>
      </c>
      <c r="M257" s="16" t="n"/>
      <c r="N257" s="19" t="n"/>
    </row>
    <row r="258">
      <c r="A258" s="16" t="n"/>
      <c r="B258" s="19" t="n"/>
      <c r="D258" s="16" t="n">
        <v>42149</v>
      </c>
      <c r="E258" s="19" t="n">
        <v>3.84</v>
      </c>
      <c r="G258" s="16" t="n">
        <v>42149</v>
      </c>
      <c r="H258" s="19" t="n">
        <v>2.24</v>
      </c>
      <c r="J258" s="16" t="n">
        <v>42149</v>
      </c>
      <c r="K258" s="19" t="n">
        <v>109.44</v>
      </c>
      <c r="M258" s="16" t="n"/>
      <c r="N258" s="19" t="n"/>
    </row>
    <row r="259">
      <c r="A259" s="16" t="n"/>
      <c r="B259" s="19" t="n"/>
      <c r="D259" s="16" t="n">
        <v>42150</v>
      </c>
      <c r="E259" s="19" t="n">
        <v>3.83</v>
      </c>
      <c r="G259" s="16" t="n">
        <v>42150</v>
      </c>
      <c r="H259" s="19" t="n">
        <v>2.25</v>
      </c>
      <c r="J259" s="16" t="n">
        <v>42150</v>
      </c>
      <c r="K259" s="19" t="n">
        <v>109.17</v>
      </c>
      <c r="M259" s="16" t="n"/>
      <c r="N259" s="19" t="n"/>
    </row>
    <row r="260">
      <c r="A260" s="16" t="n"/>
      <c r="B260" s="19" t="n"/>
      <c r="D260" s="16" t="n">
        <v>42151</v>
      </c>
      <c r="E260" s="19" t="n">
        <v>3.85</v>
      </c>
      <c r="G260" s="16" t="n">
        <v>42151</v>
      </c>
      <c r="H260" s="19" t="n">
        <v>2.28</v>
      </c>
      <c r="J260" s="16" t="n">
        <v>42151</v>
      </c>
      <c r="K260" s="19" t="n">
        <v>109.26</v>
      </c>
      <c r="M260" s="16" t="n"/>
      <c r="N260" s="19" t="n"/>
    </row>
    <row r="261">
      <c r="A261" s="16" t="n"/>
      <c r="B261" s="19" t="n"/>
      <c r="D261" s="16" t="n">
        <v>42152</v>
      </c>
      <c r="E261" s="19" t="n">
        <v>3.88</v>
      </c>
      <c r="G261" s="16" t="n">
        <v>42152</v>
      </c>
      <c r="H261" s="19" t="n">
        <v>2.32</v>
      </c>
      <c r="J261" s="16" t="n">
        <v>42152</v>
      </c>
      <c r="K261" s="19" t="n">
        <v>109.2</v>
      </c>
      <c r="M261" s="16" t="n"/>
      <c r="N261" s="19" t="n"/>
    </row>
    <row r="262">
      <c r="A262" s="16" t="n"/>
      <c r="B262" s="19" t="n"/>
      <c r="D262" s="16" t="n">
        <v>42153</v>
      </c>
      <c r="E262" s="19" t="n">
        <v>3.81</v>
      </c>
      <c r="G262" s="16" t="n">
        <v>42153</v>
      </c>
      <c r="H262" s="19" t="n">
        <v>2.34</v>
      </c>
      <c r="J262" s="16" t="n">
        <v>42153</v>
      </c>
      <c r="K262" s="19" t="n">
        <v>108.9</v>
      </c>
      <c r="M262" s="16" t="n"/>
      <c r="N262" s="19" t="n"/>
    </row>
    <row r="263">
      <c r="A263" s="16" t="n"/>
      <c r="B263" s="19" t="n"/>
      <c r="D263" s="16" t="n">
        <v>42156</v>
      </c>
      <c r="E263" s="19" t="n">
        <v>3.76</v>
      </c>
      <c r="G263" s="16" t="n">
        <v>42156</v>
      </c>
      <c r="H263" s="19" t="n">
        <v>2.27</v>
      </c>
      <c r="J263" s="16" t="n">
        <v>42156</v>
      </c>
      <c r="K263" s="19" t="n">
        <v>107.96</v>
      </c>
      <c r="M263" s="16" t="n"/>
      <c r="N263" s="19" t="n"/>
    </row>
    <row r="264">
      <c r="A264" s="16" t="n"/>
      <c r="B264" s="19" t="n"/>
      <c r="D264" s="16" t="n">
        <v>42157</v>
      </c>
      <c r="E264" s="19" t="n">
        <v>3.82</v>
      </c>
      <c r="G264" s="16" t="n">
        <v>42157</v>
      </c>
      <c r="H264" s="19" t="n">
        <v>2.34</v>
      </c>
      <c r="J264" s="16" t="n">
        <v>42157</v>
      </c>
      <c r="K264" s="19" t="n">
        <v>108.71</v>
      </c>
      <c r="M264" s="16" t="n"/>
      <c r="N264" s="19" t="n"/>
    </row>
    <row r="265">
      <c r="A265" s="16" t="n"/>
      <c r="B265" s="19" t="n"/>
      <c r="D265" s="16" t="n">
        <v>42158</v>
      </c>
      <c r="E265" s="19" t="n">
        <v>3.92</v>
      </c>
      <c r="G265" s="16" t="n">
        <v>42158</v>
      </c>
      <c r="H265" s="19" t="n">
        <v>2.27</v>
      </c>
      <c r="J265" s="16" t="n">
        <v>42158</v>
      </c>
      <c r="K265" s="19" t="n">
        <v>109.14</v>
      </c>
      <c r="M265" s="16" t="n"/>
      <c r="N265" s="19" t="n"/>
    </row>
    <row r="266">
      <c r="A266" s="16" t="n"/>
      <c r="B266" s="19" t="n"/>
      <c r="D266" s="16" t="n">
        <v>42159</v>
      </c>
      <c r="E266" s="19" t="n">
        <v>3.85</v>
      </c>
      <c r="G266" s="16" t="n">
        <v>42159</v>
      </c>
      <c r="H266" s="19" t="n">
        <v>2.21</v>
      </c>
      <c r="J266" s="16" t="n">
        <v>42159</v>
      </c>
      <c r="K266" s="19" t="n">
        <v>109.49</v>
      </c>
      <c r="M266" s="16" t="n"/>
      <c r="N266" s="19" t="n"/>
    </row>
    <row r="267">
      <c r="A267" s="16" t="n"/>
      <c r="B267" s="19" t="n"/>
      <c r="D267" s="16" t="n">
        <v>42160</v>
      </c>
      <c r="E267" s="19" t="n">
        <v>3.9</v>
      </c>
      <c r="G267" s="16" t="n">
        <v>42160</v>
      </c>
      <c r="H267" s="19" t="n">
        <v>2.17</v>
      </c>
      <c r="J267" s="16" t="n">
        <v>42160</v>
      </c>
      <c r="K267" s="19" t="n">
        <v>108.61</v>
      </c>
      <c r="M267" s="16" t="n"/>
      <c r="N267" s="19" t="n"/>
    </row>
    <row r="268">
      <c r="A268" s="16" t="n"/>
      <c r="B268" s="19" t="n"/>
      <c r="D268" s="16" t="n">
        <v>42163</v>
      </c>
      <c r="E268" s="19" t="n">
        <v>3.82</v>
      </c>
      <c r="G268" s="16" t="n">
        <v>42163</v>
      </c>
      <c r="H268" s="19" t="n">
        <v>2.16</v>
      </c>
      <c r="J268" s="16" t="n">
        <v>42163</v>
      </c>
      <c r="K268" s="19" t="n">
        <v>109.11</v>
      </c>
      <c r="M268" s="16" t="n"/>
      <c r="N268" s="19" t="n"/>
    </row>
    <row r="269">
      <c r="A269" s="16" t="n"/>
      <c r="B269" s="19" t="n"/>
      <c r="D269" s="16" t="n">
        <v>42164</v>
      </c>
      <c r="E269" s="19" t="n">
        <v>3.91</v>
      </c>
      <c r="G269" s="16" t="n">
        <v>42164</v>
      </c>
      <c r="H269" s="19" t="n">
        <v>2.18</v>
      </c>
      <c r="J269" s="16" t="n">
        <v>42164</v>
      </c>
      <c r="K269" s="19" t="n">
        <v>108.56</v>
      </c>
      <c r="M269" s="16" t="n"/>
      <c r="N269" s="19" t="n"/>
    </row>
    <row r="270">
      <c r="A270" s="16" t="n"/>
      <c r="B270" s="19" t="n"/>
      <c r="D270" s="16" t="n">
        <v>42165</v>
      </c>
      <c r="E270" s="19" t="n">
        <v>3.86</v>
      </c>
      <c r="G270" s="16" t="n">
        <v>42165</v>
      </c>
      <c r="H270" s="19" t="n">
        <v>2.18</v>
      </c>
      <c r="J270" s="16" t="n">
        <v>42165</v>
      </c>
      <c r="K270" s="19" t="n">
        <v>108.92</v>
      </c>
      <c r="M270" s="16" t="n"/>
      <c r="N270" s="19" t="n"/>
    </row>
    <row r="271">
      <c r="A271" s="16" t="n"/>
      <c r="B271" s="19" t="n"/>
      <c r="D271" s="16" t="n">
        <v>42166</v>
      </c>
      <c r="E271" s="19" t="n">
        <v>3.77</v>
      </c>
      <c r="G271" s="16" t="n">
        <v>42166</v>
      </c>
      <c r="H271" s="19" t="n">
        <v>2.2</v>
      </c>
      <c r="J271" s="16" t="n">
        <v>42166</v>
      </c>
      <c r="K271" s="19" t="n">
        <v>108.58</v>
      </c>
      <c r="M271" s="16" t="n"/>
      <c r="N271" s="19" t="n"/>
    </row>
    <row r="272">
      <c r="A272" s="16" t="n"/>
      <c r="B272" s="19" t="n"/>
      <c r="D272" s="16" t="n">
        <v>42167</v>
      </c>
      <c r="E272" s="19" t="n">
        <v>3.81</v>
      </c>
      <c r="G272" s="16" t="n">
        <v>42167</v>
      </c>
      <c r="H272" s="19" t="n">
        <v>2.13</v>
      </c>
      <c r="J272" s="16" t="n">
        <v>42167</v>
      </c>
      <c r="K272" s="19" t="n">
        <v>109.12</v>
      </c>
      <c r="M272" s="16" t="n"/>
      <c r="N272" s="19" t="n"/>
    </row>
    <row r="273">
      <c r="A273" s="16" t="n"/>
      <c r="B273" s="19" t="n"/>
      <c r="D273" s="16" t="n">
        <v>42170</v>
      </c>
      <c r="E273" s="19" t="n">
        <v>3.87</v>
      </c>
      <c r="G273" s="16" t="n">
        <v>42170</v>
      </c>
      <c r="H273" s="19" t="n">
        <v>2.19</v>
      </c>
      <c r="J273" s="16" t="n">
        <v>42170</v>
      </c>
      <c r="K273" s="19" t="n">
        <v>109.98</v>
      </c>
      <c r="M273" s="16" t="n"/>
      <c r="N273" s="19" t="n"/>
    </row>
    <row r="274">
      <c r="A274" s="16" t="n"/>
      <c r="B274" s="19" t="n"/>
      <c r="D274" s="16" t="n">
        <v>42171</v>
      </c>
      <c r="E274" s="19" t="n">
        <v>3.88</v>
      </c>
      <c r="G274" s="16" t="n">
        <v>42171</v>
      </c>
      <c r="H274" s="19" t="n">
        <v>2.19</v>
      </c>
      <c r="J274" s="16" t="n">
        <v>42171</v>
      </c>
      <c r="K274" s="19" t="n">
        <v>109.37</v>
      </c>
      <c r="M274" s="16" t="n"/>
      <c r="N274" s="19" t="n"/>
    </row>
    <row r="275">
      <c r="A275" s="16" t="n"/>
      <c r="B275" s="19" t="n"/>
      <c r="D275" s="16" t="n">
        <v>42172</v>
      </c>
      <c r="E275" s="19" t="n">
        <v>3.88</v>
      </c>
      <c r="G275" s="16" t="n">
        <v>42172</v>
      </c>
      <c r="H275" s="19" t="n">
        <v>2.16</v>
      </c>
      <c r="J275" s="16" t="n">
        <v>42172</v>
      </c>
      <c r="K275" s="19" t="n">
        <v>109.71</v>
      </c>
      <c r="M275" s="16" t="n"/>
      <c r="N275" s="19" t="n"/>
    </row>
    <row r="276">
      <c r="A276" s="16" t="n"/>
      <c r="B276" s="19" t="n"/>
      <c r="D276" s="16" t="n">
        <v>42173</v>
      </c>
      <c r="E276" s="19" t="n">
        <v>3.91</v>
      </c>
      <c r="G276" s="16" t="n">
        <v>42173</v>
      </c>
      <c r="H276" s="19" t="n">
        <v>2.15</v>
      </c>
      <c r="J276" s="16" t="n">
        <v>42173</v>
      </c>
      <c r="K276" s="19" t="n">
        <v>110.6</v>
      </c>
      <c r="M276" s="16" t="n"/>
      <c r="N276" s="19" t="n"/>
    </row>
    <row r="277">
      <c r="A277" s="16" t="n"/>
      <c r="B277" s="19" t="n"/>
      <c r="D277" s="16" t="n">
        <v>42174</v>
      </c>
      <c r="E277" s="19" t="n">
        <v>3.85</v>
      </c>
      <c r="G277" s="16" t="n">
        <v>42174</v>
      </c>
      <c r="H277" s="19" t="n">
        <v>2.13</v>
      </c>
      <c r="J277" s="16" t="n">
        <v>42174</v>
      </c>
      <c r="K277" s="19" t="n">
        <v>111.56</v>
      </c>
      <c r="M277" s="16" t="n"/>
      <c r="N277" s="19" t="n"/>
    </row>
    <row r="278">
      <c r="A278" s="16" t="n"/>
      <c r="B278" s="19" t="n"/>
      <c r="D278" s="16" t="n">
        <v>42177</v>
      </c>
      <c r="E278" s="19" t="n">
        <v>3.84</v>
      </c>
      <c r="G278" s="16" t="n">
        <v>42177</v>
      </c>
      <c r="H278" s="19" t="n">
        <v>2.16</v>
      </c>
      <c r="J278" s="16" t="n">
        <v>42177</v>
      </c>
      <c r="K278" s="19" t="n">
        <v>110.15</v>
      </c>
      <c r="M278" s="16" t="n"/>
      <c r="N278" s="19" t="n"/>
    </row>
    <row r="279">
      <c r="A279" s="16" t="n"/>
      <c r="B279" s="19" t="n"/>
      <c r="D279" s="16" t="n">
        <v>42178</v>
      </c>
      <c r="E279" s="19" t="n">
        <v>3.9</v>
      </c>
      <c r="G279" s="16" t="n">
        <v>42178</v>
      </c>
      <c r="H279" s="19" t="n">
        <v>2.13</v>
      </c>
      <c r="J279" s="16" t="n">
        <v>42178</v>
      </c>
      <c r="K279" s="19" t="n">
        <v>109.79</v>
      </c>
      <c r="M279" s="16" t="n"/>
      <c r="N279" s="19" t="n"/>
    </row>
    <row r="280">
      <c r="A280" s="16" t="n"/>
      <c r="B280" s="19" t="n"/>
      <c r="D280" s="16" t="n">
        <v>42179</v>
      </c>
      <c r="E280" s="19" t="n">
        <v>3.95</v>
      </c>
      <c r="G280" s="16" t="n">
        <v>42179</v>
      </c>
      <c r="H280" s="19" t="n">
        <v>2.13</v>
      </c>
      <c r="J280" s="16" t="n">
        <v>42179</v>
      </c>
      <c r="K280" s="19" t="n">
        <v>108.84</v>
      </c>
      <c r="M280" s="16" t="n"/>
      <c r="N280" s="19" t="n"/>
    </row>
    <row r="281">
      <c r="A281" s="16" t="n"/>
      <c r="B281" s="19" t="n"/>
      <c r="D281" s="16" t="n">
        <v>42180</v>
      </c>
      <c r="E281" s="19" t="n">
        <v>4.01</v>
      </c>
      <c r="G281" s="16" t="n">
        <v>42180</v>
      </c>
      <c r="H281" s="19" t="n">
        <v>2.09</v>
      </c>
      <c r="J281" s="16" t="n">
        <v>42180</v>
      </c>
      <c r="K281" s="19" t="n">
        <v>108.65</v>
      </c>
      <c r="M281" s="16" t="n"/>
      <c r="N281" s="19" t="n"/>
    </row>
    <row r="282">
      <c r="A282" s="16" t="n"/>
      <c r="B282" s="19" t="n"/>
      <c r="D282" s="16" t="n">
        <v>42181</v>
      </c>
      <c r="E282" s="19" t="n">
        <v>3.98</v>
      </c>
      <c r="G282" s="16" t="n">
        <v>42181</v>
      </c>
      <c r="H282" s="19" t="n">
        <v>2.07</v>
      </c>
      <c r="J282" s="16" t="n">
        <v>42181</v>
      </c>
      <c r="K282" s="19" t="n">
        <v>108.42</v>
      </c>
      <c r="M282" s="16" t="n"/>
      <c r="N282" s="19" t="n"/>
    </row>
    <row r="283">
      <c r="A283" s="16" t="n"/>
      <c r="B283" s="19" t="n"/>
      <c r="D283" s="16" t="n">
        <v>42184</v>
      </c>
      <c r="E283" s="19" t="n">
        <v>3.96</v>
      </c>
      <c r="G283" s="16" t="n">
        <v>42184</v>
      </c>
      <c r="H283" s="19" t="n">
        <v>2.05</v>
      </c>
      <c r="J283" s="16" t="n">
        <v>42184</v>
      </c>
      <c r="K283" s="19" t="n">
        <v>109.79</v>
      </c>
      <c r="M283" s="16" t="n"/>
      <c r="N283" s="19" t="n"/>
    </row>
    <row r="284">
      <c r="A284" s="16" t="n"/>
      <c r="B284" s="19" t="n"/>
      <c r="D284" s="16" t="n">
        <v>42185</v>
      </c>
      <c r="E284" s="19" t="n">
        <v>3.97</v>
      </c>
      <c r="G284" s="16" t="n">
        <v>42185</v>
      </c>
      <c r="H284" s="19" t="n">
        <v>2.08</v>
      </c>
      <c r="J284" s="16" t="n">
        <v>42185</v>
      </c>
      <c r="K284" s="19" t="n">
        <v>109.46</v>
      </c>
      <c r="M284" s="16" t="n"/>
      <c r="N284" s="19" t="n"/>
    </row>
    <row r="285">
      <c r="A285" s="16" t="n"/>
      <c r="B285" s="19" t="n"/>
      <c r="D285" s="16" t="n">
        <v>42186</v>
      </c>
      <c r="E285" s="19" t="n">
        <v>4.05</v>
      </c>
      <c r="G285" s="16" t="n">
        <v>42186</v>
      </c>
      <c r="H285" s="19" t="n">
        <v>2.1</v>
      </c>
      <c r="J285" s="16" t="n">
        <v>42186</v>
      </c>
      <c r="K285" s="19" t="n">
        <v>109.51</v>
      </c>
      <c r="M285" s="16" t="n"/>
      <c r="N285" s="19" t="n"/>
    </row>
    <row r="286">
      <c r="A286" s="16" t="n"/>
      <c r="B286" s="19" t="n"/>
      <c r="D286" s="16" t="n">
        <v>42187</v>
      </c>
      <c r="E286" s="19" t="n">
        <v>4.03</v>
      </c>
      <c r="G286" s="16" t="n">
        <v>42187</v>
      </c>
      <c r="H286" s="19" t="n">
        <v>2.13</v>
      </c>
      <c r="J286" s="16" t="n">
        <v>42187</v>
      </c>
      <c r="K286" s="19" t="n">
        <v>108.58</v>
      </c>
      <c r="M286" s="16" t="n"/>
      <c r="N286" s="19" t="n"/>
    </row>
    <row r="287">
      <c r="A287" s="16" t="n"/>
      <c r="B287" s="19" t="n"/>
      <c r="D287" s="16" t="n">
        <v>42188</v>
      </c>
      <c r="E287" s="19" t="n">
        <v>3.99</v>
      </c>
      <c r="G287" s="16" t="n">
        <v>42188</v>
      </c>
      <c r="H287" s="19" t="n">
        <v>2.12</v>
      </c>
      <c r="J287" s="16" t="n">
        <v>42188</v>
      </c>
      <c r="K287" s="19" t="n">
        <v>108.78</v>
      </c>
      <c r="M287" s="16" t="n"/>
      <c r="N287" s="19" t="n"/>
    </row>
    <row r="288">
      <c r="A288" s="16" t="n"/>
      <c r="B288" s="19" t="n"/>
      <c r="D288" s="16" t="n">
        <v>42191</v>
      </c>
      <c r="E288" s="19" t="n">
        <v>4</v>
      </c>
      <c r="G288" s="16" t="n">
        <v>42191</v>
      </c>
      <c r="H288" s="19" t="n">
        <v>2.06</v>
      </c>
      <c r="J288" s="16" t="n">
        <v>42191</v>
      </c>
      <c r="K288" s="19" t="n">
        <v>109.1</v>
      </c>
      <c r="M288" s="16" t="n"/>
      <c r="N288" s="19" t="n"/>
    </row>
    <row r="289">
      <c r="A289" s="16" t="n"/>
      <c r="B289" s="19" t="n"/>
      <c r="D289" s="16" t="n">
        <v>42192</v>
      </c>
      <c r="E289" s="19" t="n">
        <v>3.98</v>
      </c>
      <c r="G289" s="16" t="n">
        <v>42192</v>
      </c>
      <c r="H289" s="19" t="n">
        <v>2.04</v>
      </c>
      <c r="J289" s="16" t="n">
        <v>42192</v>
      </c>
      <c r="K289" s="19" t="n">
        <v>109.18</v>
      </c>
      <c r="M289" s="16" t="n"/>
      <c r="N289" s="19" t="n"/>
    </row>
    <row r="290">
      <c r="A290" s="16" t="n"/>
      <c r="B290" s="19" t="n"/>
      <c r="D290" s="16" t="n">
        <v>42193</v>
      </c>
      <c r="E290" s="19" t="n">
        <v>3.96</v>
      </c>
      <c r="G290" s="16" t="n">
        <v>42193</v>
      </c>
      <c r="H290" s="19" t="n">
        <v>2.02</v>
      </c>
      <c r="J290" s="16" t="n">
        <v>42193</v>
      </c>
      <c r="K290" s="19" t="n">
        <v>108.97</v>
      </c>
      <c r="M290" s="16" t="n"/>
      <c r="N290" s="19" t="n"/>
    </row>
    <row r="291">
      <c r="A291" s="16" t="n"/>
      <c r="B291" s="19" t="n"/>
      <c r="D291" s="16" t="n">
        <v>42194</v>
      </c>
      <c r="E291" s="19" t="n">
        <v>3.99</v>
      </c>
      <c r="G291" s="16" t="n">
        <v>42194</v>
      </c>
      <c r="H291" s="19" t="n">
        <v>2.02</v>
      </c>
      <c r="J291" s="16" t="n">
        <v>42194</v>
      </c>
      <c r="K291" s="19" t="n">
        <v>109.09</v>
      </c>
      <c r="M291" s="16" t="n"/>
      <c r="N291" s="19" t="n"/>
    </row>
    <row r="292">
      <c r="A292" s="16" t="n"/>
      <c r="B292" s="19" t="n"/>
      <c r="D292" s="16" t="n">
        <v>42195</v>
      </c>
      <c r="E292" s="19" t="n">
        <v>3.96</v>
      </c>
      <c r="G292" s="16" t="n">
        <v>42195</v>
      </c>
      <c r="H292" s="19" t="n">
        <v>2.06</v>
      </c>
      <c r="J292" s="16" t="n">
        <v>42195</v>
      </c>
      <c r="K292" s="19" t="n">
        <v>109.16</v>
      </c>
      <c r="M292" s="16" t="n"/>
      <c r="N292" s="19" t="n"/>
    </row>
    <row r="293">
      <c r="A293" s="16" t="n"/>
      <c r="B293" s="19" t="n"/>
      <c r="D293" s="16" t="n">
        <v>42198</v>
      </c>
      <c r="E293" s="19" t="n">
        <v>3.93</v>
      </c>
      <c r="G293" s="16" t="n">
        <v>42198</v>
      </c>
      <c r="H293" s="19" t="n">
        <v>2.11</v>
      </c>
      <c r="J293" s="16" t="n">
        <v>42198</v>
      </c>
      <c r="K293" s="19" t="n">
        <v>108.42</v>
      </c>
      <c r="M293" s="16" t="n"/>
      <c r="N293" s="19" t="n"/>
    </row>
    <row r="294">
      <c r="A294" s="16" t="n"/>
      <c r="B294" s="19" t="n"/>
      <c r="D294" s="16" t="n">
        <v>42199</v>
      </c>
      <c r="E294" s="19" t="n">
        <v>3.89</v>
      </c>
      <c r="G294" s="16" t="n">
        <v>42199</v>
      </c>
      <c r="H294" s="19" t="n">
        <v>2.14</v>
      </c>
      <c r="J294" s="16" t="n">
        <v>42199</v>
      </c>
      <c r="K294" s="19" t="n">
        <v>108.18</v>
      </c>
      <c r="M294" s="16" t="n"/>
      <c r="N294" s="19" t="n"/>
    </row>
    <row r="295">
      <c r="A295" s="16" t="n"/>
      <c r="B295" s="19" t="n"/>
      <c r="D295" s="16" t="n">
        <v>42200</v>
      </c>
      <c r="E295" s="19" t="n">
        <v>3.88</v>
      </c>
      <c r="G295" s="16" t="n">
        <v>42200</v>
      </c>
      <c r="H295" s="19" t="n">
        <v>2.12</v>
      </c>
      <c r="J295" s="16" t="n">
        <v>42200</v>
      </c>
      <c r="K295" s="19" t="n">
        <v>108.19</v>
      </c>
      <c r="M295" s="16" t="n"/>
      <c r="N295" s="19" t="n"/>
    </row>
    <row r="296">
      <c r="A296" s="16" t="n"/>
      <c r="B296" s="19" t="n"/>
      <c r="D296" s="16" t="n">
        <v>42201</v>
      </c>
      <c r="E296" s="19" t="n">
        <v>3.9</v>
      </c>
      <c r="G296" s="16" t="n">
        <v>42201</v>
      </c>
      <c r="H296" s="19" t="n">
        <v>2.15</v>
      </c>
      <c r="J296" s="16" t="n">
        <v>42201</v>
      </c>
      <c r="K296" s="19" t="n">
        <v>107.83</v>
      </c>
      <c r="M296" s="16" t="n"/>
      <c r="N296" s="19" t="n"/>
    </row>
    <row r="297">
      <c r="A297" s="16" t="n"/>
      <c r="B297" s="19" t="n"/>
      <c r="D297" s="16" t="n">
        <v>42202</v>
      </c>
      <c r="E297" s="19" t="n">
        <v>3.88</v>
      </c>
      <c r="G297" s="16" t="n">
        <v>42202</v>
      </c>
      <c r="H297" s="19" t="n">
        <v>2.07</v>
      </c>
      <c r="J297" s="16" t="n">
        <v>42202</v>
      </c>
      <c r="K297" s="19" t="n">
        <v>107.57</v>
      </c>
      <c r="M297" s="16" t="n"/>
      <c r="N297" s="19" t="n"/>
    </row>
    <row r="298">
      <c r="A298" s="16" t="n"/>
      <c r="B298" s="19" t="n"/>
      <c r="D298" s="16" t="n">
        <v>42205</v>
      </c>
      <c r="E298" s="19" t="n">
        <v>3.9</v>
      </c>
      <c r="G298" s="16" t="n">
        <v>42205</v>
      </c>
      <c r="H298" s="19" t="n">
        <v>2.07</v>
      </c>
      <c r="J298" s="16" t="n">
        <v>42205</v>
      </c>
      <c r="K298" s="19" t="n">
        <v>108.21</v>
      </c>
      <c r="M298" s="16" t="n"/>
      <c r="N298" s="19" t="n"/>
    </row>
    <row r="299">
      <c r="A299" s="16" t="n"/>
      <c r="B299" s="19" t="n"/>
      <c r="D299" s="16" t="n">
        <v>42206</v>
      </c>
      <c r="E299" s="19" t="n">
        <v>3.88</v>
      </c>
      <c r="G299" s="16" t="n">
        <v>42206</v>
      </c>
      <c r="H299" s="19" t="n">
        <v>2.08</v>
      </c>
      <c r="J299" s="16" t="n">
        <v>42206</v>
      </c>
      <c r="K299" s="19" t="n">
        <v>108.68</v>
      </c>
      <c r="M299" s="16" t="n"/>
      <c r="N299" s="19" t="n"/>
    </row>
    <row r="300">
      <c r="A300" s="16" t="n"/>
      <c r="B300" s="19" t="n"/>
      <c r="D300" s="16" t="n">
        <v>42207</v>
      </c>
      <c r="E300" s="19" t="n">
        <v>3.83</v>
      </c>
      <c r="G300" s="16" t="n">
        <v>42207</v>
      </c>
      <c r="H300" s="19" t="n">
        <v>2.13</v>
      </c>
      <c r="J300" s="16" t="n">
        <v>42207</v>
      </c>
      <c r="K300" s="19" t="n">
        <v>107.94</v>
      </c>
      <c r="M300" s="16" t="n"/>
      <c r="N300" s="19" t="n"/>
    </row>
    <row r="301">
      <c r="A301" s="16" t="n"/>
      <c r="B301" s="19" t="n"/>
      <c r="D301" s="16" t="n">
        <v>42208</v>
      </c>
      <c r="E301" s="19" t="n">
        <v>3.82</v>
      </c>
      <c r="G301" s="16" t="n">
        <v>42208</v>
      </c>
      <c r="H301" s="19" t="n">
        <v>2.06</v>
      </c>
      <c r="J301" s="16" t="n">
        <v>42208</v>
      </c>
      <c r="K301" s="19" t="n">
        <v>107.79</v>
      </c>
      <c r="M301" s="16" t="n"/>
      <c r="N301" s="19" t="n"/>
    </row>
    <row r="302">
      <c r="A302" s="16" t="n"/>
      <c r="B302" s="19" t="n"/>
      <c r="D302" s="16" t="n">
        <v>42209</v>
      </c>
      <c r="E302" s="19" t="n">
        <v>3.77</v>
      </c>
      <c r="G302" s="16" t="n">
        <v>42209</v>
      </c>
      <c r="H302" s="19" t="n">
        <v>2.1</v>
      </c>
      <c r="J302" s="16" t="n">
        <v>42209</v>
      </c>
      <c r="K302" s="19" t="n">
        <v>106.71</v>
      </c>
      <c r="M302" s="16" t="n"/>
      <c r="N302" s="19" t="n"/>
    </row>
    <row r="303">
      <c r="A303" s="16" t="n"/>
      <c r="B303" s="19" t="n"/>
      <c r="D303" s="16" t="n">
        <v>42212</v>
      </c>
      <c r="E303" s="19" t="n">
        <v>3.79</v>
      </c>
      <c r="G303" s="16" t="n">
        <v>42212</v>
      </c>
      <c r="H303" s="19" t="n">
        <v>2.11</v>
      </c>
      <c r="J303" s="16" t="n">
        <v>42212</v>
      </c>
      <c r="K303" s="19" t="n">
        <v>107.01</v>
      </c>
      <c r="M303" s="16" t="n"/>
      <c r="N303" s="19" t="n"/>
    </row>
    <row r="304">
      <c r="A304" s="16" t="n"/>
      <c r="B304" s="19" t="n"/>
      <c r="D304" s="16" t="n">
        <v>42213</v>
      </c>
      <c r="E304" s="19" t="n">
        <v>3.83</v>
      </c>
      <c r="G304" s="16" t="n">
        <v>42213</v>
      </c>
      <c r="H304" s="19" t="n">
        <v>2.15</v>
      </c>
      <c r="J304" s="16" t="n">
        <v>42213</v>
      </c>
      <c r="K304" s="19" t="n">
        <v>106.53</v>
      </c>
      <c r="M304" s="16" t="n"/>
      <c r="N304" s="19" t="n"/>
    </row>
    <row r="305">
      <c r="A305" s="16" t="n"/>
      <c r="B305" s="19" t="n"/>
      <c r="D305" s="16" t="n">
        <v>42214</v>
      </c>
      <c r="E305" s="19" t="n">
        <v>3.86</v>
      </c>
      <c r="G305" s="16" t="n">
        <v>42214</v>
      </c>
      <c r="H305" s="19" t="n">
        <v>2.12</v>
      </c>
      <c r="J305" s="16" t="n">
        <v>42214</v>
      </c>
      <c r="K305" s="19" t="n">
        <v>106.17</v>
      </c>
      <c r="M305" s="16" t="n"/>
      <c r="N305" s="19" t="n"/>
    </row>
    <row r="306">
      <c r="A306" s="16" t="n"/>
      <c r="B306" s="19" t="n"/>
      <c r="D306" s="16" t="n">
        <v>42215</v>
      </c>
      <c r="E306" s="19" t="n">
        <v>3.85</v>
      </c>
      <c r="G306" s="16" t="n">
        <v>42215</v>
      </c>
      <c r="H306" s="19" t="n">
        <v>2.1</v>
      </c>
      <c r="J306" s="16" t="n">
        <v>42215</v>
      </c>
      <c r="K306" s="19" t="n">
        <v>105.86</v>
      </c>
      <c r="M306" s="16" t="n"/>
      <c r="N306" s="19" t="n"/>
    </row>
    <row r="307">
      <c r="A307" s="16" t="n"/>
      <c r="B307" s="19" t="n"/>
      <c r="D307" s="16" t="n">
        <v>42216</v>
      </c>
      <c r="E307" s="19" t="n">
        <v>3.89</v>
      </c>
      <c r="G307" s="16" t="n">
        <v>42216</v>
      </c>
      <c r="H307" s="19" t="n">
        <v>2.1</v>
      </c>
      <c r="J307" s="16" t="n">
        <v>42216</v>
      </c>
      <c r="K307" s="19" t="n">
        <v>104.87</v>
      </c>
      <c r="M307" s="16" t="n"/>
      <c r="N307" s="19" t="n"/>
    </row>
    <row r="308">
      <c r="A308" s="16" t="n"/>
      <c r="B308" s="19" t="n"/>
      <c r="D308" s="16" t="n">
        <v>42219</v>
      </c>
      <c r="E308" s="19" t="n">
        <v>3.85</v>
      </c>
      <c r="G308" s="16" t="n">
        <v>42219</v>
      </c>
      <c r="H308" s="19" t="n">
        <v>2.08</v>
      </c>
      <c r="J308" s="16" t="n">
        <v>42219</v>
      </c>
      <c r="K308" s="19" t="n">
        <v>106.06</v>
      </c>
      <c r="M308" s="16" t="n"/>
      <c r="N308" s="19" t="n"/>
    </row>
    <row r="309">
      <c r="A309" s="16" t="n"/>
      <c r="B309" s="19" t="n"/>
      <c r="D309" s="16" t="n">
        <v>42220</v>
      </c>
      <c r="E309" s="19" t="n">
        <v>3.86</v>
      </c>
      <c r="G309" s="16" t="n">
        <v>42220</v>
      </c>
      <c r="H309" s="19" t="n">
        <v>2.06</v>
      </c>
      <c r="J309" s="16" t="n">
        <v>42220</v>
      </c>
      <c r="K309" s="19" t="n">
        <v>106.3</v>
      </c>
      <c r="M309" s="16" t="n"/>
      <c r="N309" s="19" t="n"/>
    </row>
    <row r="310">
      <c r="A310" s="16" t="n"/>
      <c r="B310" s="19" t="n"/>
      <c r="D310" s="16" t="n">
        <v>42221</v>
      </c>
      <c r="E310" s="19" t="n">
        <v>3.76</v>
      </c>
      <c r="G310" s="16" t="n">
        <v>42221</v>
      </c>
      <c r="H310" s="19" t="n">
        <v>2.12</v>
      </c>
      <c r="J310" s="16" t="n">
        <v>42221</v>
      </c>
      <c r="K310" s="19" t="n">
        <v>106.12</v>
      </c>
      <c r="M310" s="16" t="n"/>
      <c r="N310" s="19" t="n"/>
    </row>
    <row r="311">
      <c r="A311" s="16" t="n"/>
      <c r="B311" s="19" t="n"/>
      <c r="D311" s="16" t="n">
        <v>42222</v>
      </c>
      <c r="E311" s="19" t="n">
        <v>3.72</v>
      </c>
      <c r="G311" s="16" t="n">
        <v>42222</v>
      </c>
      <c r="H311" s="19" t="n">
        <v>2.15</v>
      </c>
      <c r="J311" s="16" t="n">
        <v>42222</v>
      </c>
      <c r="K311" s="19" t="n">
        <v>105.7</v>
      </c>
      <c r="M311" s="16" t="n"/>
      <c r="N311" s="19" t="n"/>
    </row>
    <row r="312">
      <c r="A312" s="16" t="n"/>
      <c r="B312" s="19" t="n"/>
      <c r="D312" s="16" t="n">
        <v>42223</v>
      </c>
      <c r="E312" s="19" t="n">
        <v>3.67</v>
      </c>
      <c r="G312" s="16" t="n">
        <v>42223</v>
      </c>
      <c r="H312" s="19" t="n">
        <v>2.18</v>
      </c>
      <c r="J312" s="16" t="n">
        <v>42223</v>
      </c>
      <c r="K312" s="19" t="n">
        <v>106.74</v>
      </c>
      <c r="M312" s="16" t="n"/>
      <c r="N312" s="19" t="n"/>
    </row>
    <row r="313">
      <c r="A313" s="16" t="n"/>
      <c r="B313" s="19" t="n"/>
      <c r="D313" s="16" t="n">
        <v>42226</v>
      </c>
      <c r="E313" s="19" t="n">
        <v>3.65</v>
      </c>
      <c r="G313" s="16" t="n">
        <v>42226</v>
      </c>
      <c r="H313" s="19" t="n">
        <v>2.18</v>
      </c>
      <c r="J313" s="16" t="n">
        <v>42226</v>
      </c>
      <c r="K313" s="19" t="n">
        <v>106.68</v>
      </c>
      <c r="M313" s="16" t="n"/>
      <c r="N313" s="19" t="n"/>
    </row>
    <row r="314">
      <c r="A314" s="16" t="n"/>
      <c r="B314" s="19" t="n"/>
      <c r="D314" s="16" t="n">
        <v>42227</v>
      </c>
      <c r="E314" s="19" t="n">
        <v>3.67</v>
      </c>
      <c r="G314" s="16" t="n">
        <v>42227</v>
      </c>
      <c r="H314" s="19" t="n">
        <v>2.16</v>
      </c>
      <c r="J314" s="16" t="n">
        <v>42227</v>
      </c>
      <c r="K314" s="19" t="n">
        <v>106.75</v>
      </c>
      <c r="M314" s="16" t="n"/>
      <c r="N314" s="19" t="n"/>
    </row>
    <row r="315">
      <c r="A315" s="16" t="n"/>
      <c r="B315" s="19" t="n"/>
      <c r="D315" s="16" t="n">
        <v>42228</v>
      </c>
      <c r="E315" s="19" t="n">
        <v>3.63</v>
      </c>
      <c r="G315" s="16" t="n">
        <v>42228</v>
      </c>
      <c r="H315" s="19" t="n">
        <v>2.15</v>
      </c>
      <c r="J315" s="16" t="n">
        <v>42228</v>
      </c>
      <c r="K315" s="19" t="n">
        <v>107.19</v>
      </c>
      <c r="M315" s="16" t="n"/>
      <c r="N315" s="19" t="n"/>
    </row>
    <row r="316">
      <c r="A316" s="16" t="n"/>
      <c r="B316" s="19" t="n"/>
      <c r="D316" s="16" t="n">
        <v>42229</v>
      </c>
      <c r="E316" s="19" t="n">
        <v>3.56</v>
      </c>
      <c r="G316" s="16" t="n">
        <v>42229</v>
      </c>
      <c r="H316" s="19" t="n">
        <v>2.18</v>
      </c>
      <c r="J316" s="16" t="n">
        <v>42229</v>
      </c>
      <c r="K316" s="19" t="n">
        <v>108.11</v>
      </c>
      <c r="M316" s="16" t="n"/>
      <c r="N316" s="19" t="n"/>
    </row>
    <row r="317">
      <c r="A317" s="16" t="n"/>
      <c r="B317" s="19" t="n"/>
      <c r="D317" s="16" t="n">
        <v>42230</v>
      </c>
      <c r="E317" s="19" t="n">
        <v>3.53</v>
      </c>
      <c r="G317" s="16" t="n">
        <v>42230</v>
      </c>
      <c r="H317" s="19" t="n">
        <v>2.17</v>
      </c>
      <c r="J317" s="16" t="n">
        <v>42230</v>
      </c>
      <c r="K317" s="19" t="n">
        <v>108.17</v>
      </c>
      <c r="M317" s="16" t="n"/>
      <c r="N317" s="19" t="n"/>
    </row>
    <row r="318">
      <c r="A318" s="16" t="n"/>
      <c r="B318" s="19" t="n"/>
      <c r="D318" s="16" t="n">
        <v>42233</v>
      </c>
      <c r="E318" s="19" t="n">
        <v>3.53</v>
      </c>
      <c r="G318" s="16" t="n">
        <v>42233</v>
      </c>
      <c r="H318" s="19" t="n">
        <v>2.12</v>
      </c>
      <c r="J318" s="16" t="n">
        <v>42233</v>
      </c>
      <c r="K318" s="19" t="n">
        <v>108.62</v>
      </c>
      <c r="M318" s="16" t="n"/>
      <c r="N318" s="19" t="n"/>
    </row>
    <row r="319">
      <c r="A319" s="16" t="n"/>
      <c r="B319" s="19" t="n"/>
      <c r="D319" s="16" t="n">
        <v>42234</v>
      </c>
      <c r="E319" s="19" t="n">
        <v>3.56</v>
      </c>
      <c r="G319" s="16" t="n">
        <v>42234</v>
      </c>
      <c r="H319" s="19" t="n">
        <v>2.16</v>
      </c>
      <c r="J319" s="16" t="n">
        <v>42234</v>
      </c>
      <c r="K319" s="19" t="n">
        <v>109.01</v>
      </c>
      <c r="M319" s="16" t="n"/>
      <c r="N319" s="19" t="n"/>
    </row>
    <row r="320">
      <c r="A320" s="16" t="n"/>
      <c r="B320" s="19" t="n"/>
      <c r="D320" s="16" t="n">
        <v>42235</v>
      </c>
      <c r="E320" s="19" t="n">
        <v>3.53</v>
      </c>
      <c r="G320" s="16" t="n">
        <v>42235</v>
      </c>
      <c r="H320" s="19" t="n">
        <v>2.16</v>
      </c>
      <c r="J320" s="16" t="n">
        <v>42235</v>
      </c>
      <c r="K320" s="19" t="n">
        <v>108.68</v>
      </c>
      <c r="M320" s="16" t="n"/>
      <c r="N320" s="19" t="n"/>
    </row>
    <row r="321">
      <c r="A321" s="16" t="n"/>
      <c r="B321" s="19" t="n"/>
      <c r="D321" s="16" t="n">
        <v>42236</v>
      </c>
      <c r="E321" s="19" t="n">
        <v>3.64</v>
      </c>
      <c r="G321" s="16" t="n">
        <v>42236</v>
      </c>
      <c r="H321" s="19" t="n">
        <v>2.14</v>
      </c>
      <c r="J321" s="16" t="n">
        <v>42236</v>
      </c>
      <c r="K321" s="19" t="n">
        <v>109.16</v>
      </c>
      <c r="M321" s="16" t="n"/>
      <c r="N321" s="19" t="n"/>
    </row>
    <row r="322">
      <c r="A322" s="16" t="n"/>
      <c r="B322" s="19" t="n"/>
      <c r="D322" s="16" t="n">
        <v>42237</v>
      </c>
      <c r="E322" s="19" t="n">
        <v>3.71</v>
      </c>
      <c r="G322" s="16" t="n">
        <v>42237</v>
      </c>
      <c r="H322" s="19" t="n">
        <v>2.14</v>
      </c>
      <c r="J322" s="16" t="n">
        <v>42237</v>
      </c>
      <c r="K322" s="19" t="n">
        <v>109.3</v>
      </c>
      <c r="M322" s="16" t="n"/>
      <c r="N322" s="19" t="n"/>
    </row>
    <row r="323">
      <c r="A323" s="16" t="n"/>
      <c r="B323" s="19" t="n"/>
      <c r="D323" s="16" t="n">
        <v>42240</v>
      </c>
      <c r="E323" s="19" t="n">
        <v>3.73</v>
      </c>
      <c r="G323" s="16" t="n">
        <v>42240</v>
      </c>
      <c r="H323" s="19" t="n">
        <v>2.2</v>
      </c>
      <c r="J323" s="16" t="n">
        <v>42240</v>
      </c>
      <c r="K323" s="19" t="n">
        <v>108.66</v>
      </c>
      <c r="M323" s="16" t="n"/>
      <c r="N323" s="19" t="n"/>
    </row>
    <row r="324">
      <c r="A324" s="16" t="n"/>
      <c r="B324" s="19" t="n"/>
      <c r="D324" s="16" t="n">
        <v>42241</v>
      </c>
      <c r="E324" s="19" t="n">
        <v>3.74</v>
      </c>
      <c r="G324" s="16" t="n">
        <v>42241</v>
      </c>
      <c r="H324" s="19" t="n">
        <v>2.22</v>
      </c>
      <c r="J324" s="16" t="n">
        <v>42241</v>
      </c>
      <c r="K324" s="19" t="n">
        <v>108.91</v>
      </c>
      <c r="M324" s="16" t="n"/>
      <c r="N324" s="19" t="n"/>
    </row>
    <row r="325">
      <c r="A325" s="16" t="n"/>
      <c r="B325" s="19" t="n"/>
      <c r="D325" s="16" t="n">
        <v>42242</v>
      </c>
      <c r="E325" s="19" t="n">
        <v>3.7</v>
      </c>
      <c r="G325" s="16" t="n">
        <v>42242</v>
      </c>
      <c r="H325" s="19" t="n">
        <v>2.25</v>
      </c>
      <c r="J325" s="16" t="n">
        <v>42242</v>
      </c>
      <c r="K325" s="19" t="n">
        <v>109.18</v>
      </c>
      <c r="M325" s="16" t="n"/>
      <c r="N325" s="19" t="n"/>
    </row>
    <row r="326">
      <c r="A326" s="16" t="n"/>
      <c r="B326" s="19" t="n"/>
      <c r="D326" s="16" t="n">
        <v>42243</v>
      </c>
      <c r="E326" s="19" t="n">
        <v>3.66</v>
      </c>
      <c r="G326" s="16" t="n">
        <v>42243</v>
      </c>
      <c r="H326" s="19" t="n">
        <v>2.21</v>
      </c>
      <c r="J326" s="16" t="n">
        <v>42243</v>
      </c>
      <c r="K326" s="19" t="n">
        <v>110.26</v>
      </c>
      <c r="M326" s="16" t="n"/>
      <c r="N326" s="19" t="n"/>
    </row>
    <row r="327">
      <c r="A327" s="16" t="n"/>
      <c r="B327" s="19" t="n"/>
      <c r="D327" s="16" t="n">
        <v>42244</v>
      </c>
      <c r="E327" s="19" t="n">
        <v>3.63</v>
      </c>
      <c r="G327" s="16" t="n">
        <v>42244</v>
      </c>
      <c r="H327" s="19" t="n">
        <v>2.15</v>
      </c>
      <c r="J327" s="16" t="n">
        <v>42244</v>
      </c>
      <c r="K327" s="19" t="n">
        <v>110.49</v>
      </c>
      <c r="M327" s="16" t="n"/>
      <c r="N327" s="19" t="n"/>
    </row>
    <row r="328">
      <c r="A328" s="16" t="n"/>
      <c r="B328" s="19" t="n"/>
      <c r="D328" s="16" t="n">
        <v>42247</v>
      </c>
      <c r="E328" s="19" t="n">
        <v>3.58</v>
      </c>
      <c r="G328" s="16" t="n">
        <v>42247</v>
      </c>
      <c r="H328" s="19" t="n">
        <v>2.15</v>
      </c>
      <c r="J328" s="16" t="n">
        <v>42247</v>
      </c>
      <c r="K328" s="19" t="n">
        <v>110.78</v>
      </c>
      <c r="M328" s="16" t="n"/>
      <c r="N328" s="19" t="n"/>
    </row>
    <row r="329">
      <c r="A329" s="16" t="n"/>
      <c r="B329" s="19" t="n"/>
      <c r="D329" s="16" t="n">
        <v>42248</v>
      </c>
      <c r="E329" s="19" t="n">
        <v>3.54</v>
      </c>
      <c r="G329" s="16" t="n">
        <v>42248</v>
      </c>
      <c r="H329" s="19" t="n">
        <v>2.09</v>
      </c>
      <c r="J329" s="16" t="n">
        <v>42248</v>
      </c>
      <c r="K329" s="19" t="n">
        <v>111.81</v>
      </c>
      <c r="M329" s="16" t="n"/>
      <c r="N329" s="19" t="n"/>
    </row>
    <row r="330">
      <c r="A330" s="16" t="n"/>
      <c r="B330" s="19" t="n"/>
      <c r="D330" s="16" t="n">
        <v>42249</v>
      </c>
      <c r="E330" s="19" t="n">
        <v>3.48</v>
      </c>
      <c r="G330" s="16" t="n">
        <v>42249</v>
      </c>
      <c r="H330" s="19" t="n">
        <v>2.05</v>
      </c>
      <c r="J330" s="16" t="n">
        <v>42249</v>
      </c>
      <c r="K330" s="19" t="n">
        <v>111.81</v>
      </c>
      <c r="M330" s="16" t="n"/>
      <c r="N330" s="19" t="n"/>
    </row>
    <row r="331">
      <c r="A331" s="16" t="n"/>
      <c r="B331" s="19" t="n"/>
      <c r="D331" s="16" t="n">
        <v>42250</v>
      </c>
      <c r="E331" s="19" t="n">
        <v>3.5</v>
      </c>
      <c r="G331" s="16" t="n">
        <v>42250</v>
      </c>
      <c r="H331" s="19" t="n">
        <v>2.04</v>
      </c>
      <c r="J331" s="16" t="n">
        <v>42250</v>
      </c>
      <c r="K331" s="19" t="n">
        <v>111.33</v>
      </c>
      <c r="M331" s="16" t="n"/>
      <c r="N331" s="19" t="n"/>
    </row>
    <row r="332">
      <c r="A332" s="16" t="n"/>
      <c r="B332" s="19" t="n"/>
      <c r="D332" s="16" t="n">
        <v>42251</v>
      </c>
      <c r="E332" s="19" t="n">
        <v>3.54</v>
      </c>
      <c r="G332" s="16" t="n">
        <v>42251</v>
      </c>
      <c r="H332" s="19" t="n">
        <v>2</v>
      </c>
      <c r="J332" s="16" t="n">
        <v>42251</v>
      </c>
      <c r="K332" s="19" t="n">
        <v>110.88</v>
      </c>
      <c r="M332" s="16" t="n"/>
      <c r="N332" s="19" t="n"/>
    </row>
    <row r="333">
      <c r="A333" s="16" t="n"/>
      <c r="B333" s="19" t="n"/>
      <c r="D333" s="16" t="n">
        <v>42254</v>
      </c>
      <c r="E333" s="19" t="n">
        <v>3.57</v>
      </c>
      <c r="G333" s="16" t="n">
        <v>42254</v>
      </c>
      <c r="H333" s="19" t="n">
        <v>2.04</v>
      </c>
      <c r="J333" s="16" t="n">
        <v>42254</v>
      </c>
      <c r="K333" s="19" t="n">
        <v>111.14</v>
      </c>
      <c r="M333" s="16" t="n"/>
      <c r="N333" s="19" t="n"/>
    </row>
    <row r="334">
      <c r="A334" s="16" t="n"/>
      <c r="B334" s="19" t="n"/>
      <c r="D334" s="16" t="n">
        <v>42255</v>
      </c>
      <c r="E334" s="19" t="n">
        <v>3.61</v>
      </c>
      <c r="G334" s="16" t="n">
        <v>42255</v>
      </c>
      <c r="H334" s="19" t="n">
        <v>2.06</v>
      </c>
      <c r="J334" s="16" t="n">
        <v>42255</v>
      </c>
      <c r="K334" s="19" t="n">
        <v>111.6</v>
      </c>
      <c r="M334" s="16" t="n"/>
      <c r="N334" s="19" t="n"/>
    </row>
    <row r="335">
      <c r="A335" s="16" t="n"/>
      <c r="B335" s="19" t="n"/>
      <c r="D335" s="16" t="n">
        <v>42256</v>
      </c>
      <c r="E335" s="19" t="n">
        <v>3.57</v>
      </c>
      <c r="G335" s="16" t="n">
        <v>42256</v>
      </c>
      <c r="H335" s="19" t="n">
        <v>2.03</v>
      </c>
      <c r="J335" s="16" t="n">
        <v>42256</v>
      </c>
      <c r="K335" s="19" t="n">
        <v>111.92</v>
      </c>
      <c r="M335" s="16" t="n"/>
      <c r="N335" s="19" t="n"/>
    </row>
    <row r="336">
      <c r="A336" s="16" t="n"/>
      <c r="B336" s="19" t="n"/>
      <c r="D336" s="16" t="n">
        <v>42257</v>
      </c>
      <c r="E336" s="19" t="n">
        <v>3.62</v>
      </c>
      <c r="G336" s="16" t="n">
        <v>42257</v>
      </c>
      <c r="H336" s="19" t="n">
        <v>2.01</v>
      </c>
      <c r="J336" s="16" t="n">
        <v>42257</v>
      </c>
      <c r="K336" s="19" t="n">
        <v>111.52</v>
      </c>
      <c r="M336" s="16" t="n"/>
      <c r="N336" s="19" t="n"/>
    </row>
    <row r="337">
      <c r="A337" s="16" t="n"/>
      <c r="B337" s="19" t="n"/>
      <c r="D337" s="16" t="n">
        <v>42258</v>
      </c>
      <c r="E337" s="19" t="n">
        <v>3.61</v>
      </c>
      <c r="G337" s="16" t="n">
        <v>42258</v>
      </c>
      <c r="H337" s="19" t="n">
        <v>2.05</v>
      </c>
      <c r="J337" s="16" t="n">
        <v>42258</v>
      </c>
      <c r="K337" s="19" t="n">
        <v>111.48</v>
      </c>
      <c r="M337" s="16" t="n"/>
      <c r="N337" s="19" t="n"/>
    </row>
    <row r="338">
      <c r="A338" s="16" t="n"/>
      <c r="B338" s="19" t="n"/>
      <c r="D338" s="16" t="n">
        <v>42261</v>
      </c>
      <c r="E338" s="19" t="n">
        <v>3.6</v>
      </c>
      <c r="G338" s="16" t="n">
        <v>42261</v>
      </c>
      <c r="H338" s="19" t="n">
        <v>2.05</v>
      </c>
      <c r="J338" s="16" t="n">
        <v>42261</v>
      </c>
      <c r="K338" s="19" t="n">
        <v>111.33</v>
      </c>
      <c r="M338" s="16" t="n"/>
      <c r="N338" s="19" t="n"/>
    </row>
    <row r="339">
      <c r="A339" s="16" t="n"/>
      <c r="B339" s="19" t="n"/>
      <c r="D339" s="16" t="n">
        <v>42262</v>
      </c>
      <c r="E339" s="19" t="n">
        <v>3.62</v>
      </c>
      <c r="G339" s="16" t="n">
        <v>42262</v>
      </c>
      <c r="H339" s="19" t="n">
        <v>2.03</v>
      </c>
      <c r="J339" s="16" t="n">
        <v>42262</v>
      </c>
      <c r="K339" s="19" t="n">
        <v>111.41</v>
      </c>
      <c r="M339" s="16" t="n"/>
      <c r="N339" s="19" t="n"/>
    </row>
    <row r="340">
      <c r="A340" s="16" t="n"/>
      <c r="B340" s="19" t="n"/>
      <c r="D340" s="16" t="n">
        <v>42263</v>
      </c>
      <c r="E340" s="19" t="n">
        <v>3.61</v>
      </c>
      <c r="G340" s="16" t="n">
        <v>42263</v>
      </c>
      <c r="H340" s="19" t="n">
        <v>2</v>
      </c>
      <c r="J340" s="16" t="n">
        <v>42263</v>
      </c>
      <c r="K340" s="19" t="n">
        <v>111.44</v>
      </c>
      <c r="M340" s="16" t="n"/>
      <c r="N340" s="19" t="n"/>
    </row>
    <row r="341">
      <c r="A341" s="16" t="n"/>
      <c r="B341" s="19" t="n"/>
      <c r="D341" s="16" t="n">
        <v>42264</v>
      </c>
      <c r="E341" s="19" t="n">
        <v>3.62</v>
      </c>
      <c r="G341" s="16" t="n">
        <v>42264</v>
      </c>
      <c r="H341" s="19" t="n">
        <v>1.93</v>
      </c>
      <c r="J341" s="16" t="n">
        <v>42264</v>
      </c>
      <c r="K341" s="19" t="n">
        <v>111.58</v>
      </c>
      <c r="M341" s="16" t="n"/>
      <c r="N341" s="19" t="n"/>
    </row>
    <row r="342">
      <c r="A342" s="16" t="n"/>
      <c r="B342" s="19" t="n"/>
      <c r="D342" s="16" t="n">
        <v>42265</v>
      </c>
      <c r="E342" s="19" t="n">
        <v>3.63</v>
      </c>
      <c r="G342" s="16" t="n">
        <v>42265</v>
      </c>
      <c r="H342" s="19" t="n">
        <v>1.93</v>
      </c>
      <c r="J342" s="16" t="n">
        <v>42265</v>
      </c>
      <c r="K342" s="19" t="n">
        <v>111.02</v>
      </c>
      <c r="M342" s="16" t="n"/>
      <c r="N342" s="19" t="n"/>
    </row>
    <row r="343">
      <c r="A343" s="16" t="n"/>
      <c r="B343" s="19" t="n"/>
      <c r="D343" s="16" t="n">
        <v>42268</v>
      </c>
      <c r="E343" s="19" t="n">
        <v>3.61</v>
      </c>
      <c r="G343" s="16" t="n">
        <v>42268</v>
      </c>
      <c r="H343" s="19" t="n">
        <v>1.96</v>
      </c>
      <c r="J343" s="16" t="n">
        <v>42268</v>
      </c>
      <c r="K343" s="19" t="n">
        <v>110.55</v>
      </c>
      <c r="M343" s="16" t="n"/>
      <c r="N343" s="19" t="n"/>
    </row>
    <row r="344">
      <c r="A344" s="16" t="n"/>
      <c r="B344" s="19" t="n"/>
      <c r="D344" s="16" t="n">
        <v>42269</v>
      </c>
      <c r="E344" s="19" t="n">
        <v>3.65</v>
      </c>
      <c r="G344" s="16" t="n">
        <v>42269</v>
      </c>
      <c r="H344" s="19" t="n">
        <v>1.94</v>
      </c>
      <c r="J344" s="16" t="n">
        <v>42269</v>
      </c>
      <c r="K344" s="19" t="n">
        <v>110.75</v>
      </c>
      <c r="M344" s="16" t="n"/>
      <c r="N344" s="19" t="n"/>
    </row>
    <row r="345">
      <c r="A345" s="16" t="n"/>
      <c r="B345" s="19" t="n"/>
      <c r="D345" s="16" t="n">
        <v>42270</v>
      </c>
      <c r="E345" s="19" t="n">
        <v>3.52</v>
      </c>
      <c r="G345" s="16" t="n">
        <v>42270</v>
      </c>
      <c r="H345" s="19" t="n">
        <v>1.96</v>
      </c>
      <c r="J345" s="16" t="n">
        <v>42270</v>
      </c>
      <c r="K345" s="19" t="n">
        <v>110.85</v>
      </c>
      <c r="M345" s="16" t="n"/>
      <c r="N345" s="19" t="n"/>
    </row>
    <row r="346">
      <c r="A346" s="16" t="n"/>
      <c r="B346" s="19" t="n"/>
      <c r="D346" s="16" t="n">
        <v>42271</v>
      </c>
      <c r="E346" s="19" t="n">
        <v>3.44</v>
      </c>
      <c r="G346" s="16" t="n">
        <v>42271</v>
      </c>
      <c r="H346" s="19" t="n">
        <v>2</v>
      </c>
      <c r="J346" s="16" t="n">
        <v>42271</v>
      </c>
      <c r="K346" s="19" t="n">
        <v>110.6</v>
      </c>
      <c r="M346" s="16" t="n"/>
      <c r="N346" s="19" t="n"/>
    </row>
    <row r="347">
      <c r="A347" s="16" t="n"/>
      <c r="B347" s="19" t="n"/>
      <c r="D347" s="16" t="n">
        <v>42272</v>
      </c>
      <c r="E347" s="19" t="n">
        <v>3.39</v>
      </c>
      <c r="G347" s="16" t="n">
        <v>42272</v>
      </c>
      <c r="H347" s="19" t="n">
        <v>2.05</v>
      </c>
      <c r="J347" s="16" t="n">
        <v>42272</v>
      </c>
      <c r="K347" s="19" t="n">
        <v>111.37</v>
      </c>
      <c r="M347" s="16" t="n"/>
      <c r="N347" s="19" t="n"/>
    </row>
    <row r="348">
      <c r="A348" s="16" t="n"/>
      <c r="B348" s="19" t="n"/>
      <c r="D348" s="16" t="n">
        <v>42275</v>
      </c>
      <c r="E348" s="19" t="n">
        <v>3.44</v>
      </c>
      <c r="G348" s="16" t="n">
        <v>42275</v>
      </c>
      <c r="H348" s="19" t="n">
        <v>2.09</v>
      </c>
      <c r="J348" s="16" t="n">
        <v>42275</v>
      </c>
      <c r="K348" s="19" t="n">
        <v>112.01</v>
      </c>
      <c r="M348" s="16" t="n"/>
      <c r="N348" s="19" t="n"/>
    </row>
    <row r="349">
      <c r="A349" s="16" t="n"/>
      <c r="B349" s="19" t="n"/>
      <c r="D349" s="16" t="n">
        <v>42276</v>
      </c>
      <c r="E349" s="19" t="n">
        <v>3.36</v>
      </c>
      <c r="G349" s="16" t="n">
        <v>42276</v>
      </c>
      <c r="H349" s="19" t="n">
        <v>2.08</v>
      </c>
      <c r="J349" s="16" t="n">
        <v>42276</v>
      </c>
      <c r="K349" s="19" t="n">
        <v>112.8</v>
      </c>
      <c r="M349" s="16" t="n"/>
      <c r="N349" s="19" t="n"/>
    </row>
    <row r="350">
      <c r="A350" s="16" t="n"/>
      <c r="B350" s="19" t="n"/>
      <c r="D350" s="16" t="n">
        <v>42277</v>
      </c>
      <c r="E350" s="19" t="n">
        <v>3.39</v>
      </c>
      <c r="G350" s="16" t="n">
        <v>42277</v>
      </c>
      <c r="H350" s="19" t="n">
        <v>2.09</v>
      </c>
      <c r="J350" s="16" t="n">
        <v>42277</v>
      </c>
      <c r="K350" s="19" t="n">
        <v>112.67</v>
      </c>
      <c r="M350" s="16" t="n"/>
      <c r="N350" s="19" t="n"/>
    </row>
    <row r="351">
      <c r="A351" s="16" t="n"/>
      <c r="B351" s="19" t="n"/>
      <c r="D351" s="16" t="n">
        <v>42278</v>
      </c>
      <c r="E351" s="19" t="n">
        <v>3.37</v>
      </c>
      <c r="G351" s="16" t="n">
        <v>42278</v>
      </c>
      <c r="H351" s="19" t="n">
        <v>2.06</v>
      </c>
      <c r="J351" s="16" t="n">
        <v>42278</v>
      </c>
      <c r="K351" s="19" t="n">
        <v>112.63</v>
      </c>
      <c r="M351" s="16" t="n"/>
      <c r="N351" s="19" t="n"/>
    </row>
    <row r="352">
      <c r="A352" s="16" t="n"/>
      <c r="B352" s="19" t="n"/>
      <c r="D352" s="16" t="n">
        <v>42279</v>
      </c>
      <c r="E352" s="19" t="n">
        <v>3.25</v>
      </c>
      <c r="G352" s="16" t="n">
        <v>42279</v>
      </c>
      <c r="H352" s="19" t="n">
        <v>2.1</v>
      </c>
      <c r="J352" s="16" t="n">
        <v>42279</v>
      </c>
      <c r="K352" s="19" t="n">
        <v>112.65</v>
      </c>
      <c r="M352" s="16" t="n"/>
      <c r="N352" s="19" t="n"/>
    </row>
    <row r="353">
      <c r="A353" s="16" t="n"/>
      <c r="B353" s="19" t="n"/>
      <c r="D353" s="16" t="n">
        <v>42282</v>
      </c>
      <c r="E353" s="19" t="n">
        <v>3.12</v>
      </c>
      <c r="G353" s="16" t="n">
        <v>42282</v>
      </c>
      <c r="H353" s="19" t="n">
        <v>2.1</v>
      </c>
      <c r="J353" s="16" t="n">
        <v>42282</v>
      </c>
      <c r="K353" s="19" t="n">
        <v>112.79</v>
      </c>
      <c r="M353" s="16" t="n"/>
      <c r="N353" s="19" t="n"/>
    </row>
    <row r="354">
      <c r="A354" s="16" t="n"/>
      <c r="B354" s="19" t="n"/>
      <c r="D354" s="16" t="n">
        <v>42283</v>
      </c>
      <c r="E354" s="19" t="n">
        <v>3.11</v>
      </c>
      <c r="G354" s="16" t="n">
        <v>42283</v>
      </c>
      <c r="H354" s="19" t="n">
        <v>2.13</v>
      </c>
      <c r="J354" s="16" t="n">
        <v>42283</v>
      </c>
      <c r="K354" s="19" t="n">
        <v>113.24</v>
      </c>
      <c r="M354" s="16" t="n"/>
      <c r="N354" s="19" t="n"/>
    </row>
    <row r="355">
      <c r="A355" s="16" t="n"/>
      <c r="B355" s="19" t="n"/>
      <c r="D355" s="16" t="n">
        <v>42284</v>
      </c>
      <c r="E355" s="19" t="n">
        <v>3.14</v>
      </c>
      <c r="G355" s="16" t="n">
        <v>42284</v>
      </c>
      <c r="H355" s="19" t="n">
        <v>2.06</v>
      </c>
      <c r="J355" s="16" t="n">
        <v>42284</v>
      </c>
      <c r="K355" s="19" t="n">
        <v>112.06</v>
      </c>
      <c r="M355" s="16" t="n"/>
      <c r="N355" s="19" t="n"/>
    </row>
    <row r="356">
      <c r="A356" s="16" t="n"/>
      <c r="B356" s="19" t="n"/>
      <c r="D356" s="16" t="n">
        <v>42285</v>
      </c>
      <c r="E356" s="19" t="n">
        <v>3.11</v>
      </c>
      <c r="G356" s="16" t="n">
        <v>42285</v>
      </c>
      <c r="H356" s="19" t="n">
        <v>2.1</v>
      </c>
      <c r="J356" s="16" t="n">
        <v>42285</v>
      </c>
      <c r="K356" s="19" t="n">
        <v>111.04</v>
      </c>
      <c r="M356" s="16" t="n"/>
      <c r="N356" s="19" t="n"/>
    </row>
    <row r="357">
      <c r="A357" s="16" t="n"/>
      <c r="B357" s="19" t="n"/>
      <c r="D357" s="16" t="n">
        <v>42286</v>
      </c>
      <c r="E357" s="19" t="n">
        <v>3.08</v>
      </c>
      <c r="G357" s="16" t="n">
        <v>42286</v>
      </c>
      <c r="H357" s="19" t="n">
        <v>2.07</v>
      </c>
      <c r="J357" s="16" t="n">
        <v>42286</v>
      </c>
      <c r="K357" s="19" t="n">
        <v>110.96</v>
      </c>
      <c r="M357" s="16" t="n"/>
      <c r="N357" s="19" t="n"/>
    </row>
    <row r="358">
      <c r="A358" s="16" t="n"/>
      <c r="B358" s="19" t="n"/>
      <c r="D358" s="16" t="n">
        <v>42289</v>
      </c>
      <c r="E358" s="19" t="n">
        <v>3.01</v>
      </c>
      <c r="G358" s="16" t="n">
        <v>42289</v>
      </c>
      <c r="H358" s="19" t="n">
        <v>2.1</v>
      </c>
      <c r="J358" s="16" t="n">
        <v>42289</v>
      </c>
      <c r="K358" s="19" t="n">
        <v>110.83</v>
      </c>
      <c r="M358" s="16" t="n"/>
      <c r="N358" s="19" t="n"/>
    </row>
    <row r="359">
      <c r="A359" s="16" t="n"/>
      <c r="B359" s="19" t="n"/>
      <c r="D359" s="16" t="n">
        <v>42290</v>
      </c>
      <c r="E359" s="19" t="n">
        <v>3.05</v>
      </c>
      <c r="G359" s="16" t="n">
        <v>42290</v>
      </c>
      <c r="H359" s="19" t="n">
        <v>2.1</v>
      </c>
      <c r="J359" s="16" t="n">
        <v>42290</v>
      </c>
      <c r="K359" s="19" t="n">
        <v>110.82</v>
      </c>
      <c r="M359" s="16" t="n"/>
      <c r="N359" s="19" t="n"/>
    </row>
    <row r="360">
      <c r="A360" s="16" t="n"/>
      <c r="B360" s="19" t="n"/>
      <c r="D360" s="16" t="n">
        <v>42291</v>
      </c>
      <c r="E360" s="19" t="n">
        <v>3.1</v>
      </c>
      <c r="G360" s="16" t="n">
        <v>42291</v>
      </c>
      <c r="H360" s="19" t="n">
        <v>2.15</v>
      </c>
      <c r="J360" s="16" t="n">
        <v>42291</v>
      </c>
      <c r="K360" s="19" t="n">
        <v>111.11</v>
      </c>
      <c r="M360" s="16" t="n"/>
      <c r="N360" s="19" t="n"/>
    </row>
    <row r="361">
      <c r="A361" s="16" t="n"/>
      <c r="B361" s="19" t="n"/>
      <c r="D361" s="16" t="n">
        <v>42292</v>
      </c>
      <c r="E361" s="19" t="n">
        <v>3.06</v>
      </c>
      <c r="G361" s="16" t="n">
        <v>42292</v>
      </c>
      <c r="H361" s="19" t="n">
        <v>2.17</v>
      </c>
      <c r="J361" s="16" t="n">
        <v>42292</v>
      </c>
      <c r="K361" s="19" t="n">
        <v>111.71</v>
      </c>
      <c r="M361" s="16" t="n"/>
      <c r="N361" s="19" t="n"/>
    </row>
    <row r="362">
      <c r="A362" s="16" t="n"/>
      <c r="B362" s="19" t="n"/>
      <c r="D362" s="16" t="n">
        <v>42293</v>
      </c>
      <c r="E362" s="19" t="n">
        <v>3.1</v>
      </c>
      <c r="G362" s="16" t="n">
        <v>42293</v>
      </c>
      <c r="H362" s="19" t="n">
        <v>2.23</v>
      </c>
      <c r="J362" s="16" t="n">
        <v>42293</v>
      </c>
      <c r="K362" s="19" t="n">
        <v>112.38</v>
      </c>
      <c r="M362" s="16" t="n"/>
      <c r="N362" s="19" t="n"/>
    </row>
    <row r="363">
      <c r="A363" s="16" t="n"/>
      <c r="B363" s="19" t="n"/>
      <c r="D363" s="16" t="n">
        <v>42296</v>
      </c>
      <c r="E363" s="19" t="n">
        <v>3.08</v>
      </c>
      <c r="G363" s="16" t="n">
        <v>42296</v>
      </c>
      <c r="H363" s="19" t="n">
        <v>2.32</v>
      </c>
      <c r="J363" s="16" t="n">
        <v>42296</v>
      </c>
      <c r="K363" s="19" t="n">
        <v>112.79</v>
      </c>
      <c r="M363" s="16" t="n"/>
      <c r="N363" s="19" t="n"/>
    </row>
    <row r="364">
      <c r="A364" s="16" t="n"/>
      <c r="B364" s="19" t="n"/>
      <c r="D364" s="16" t="n">
        <v>42297</v>
      </c>
      <c r="E364" s="19" t="n">
        <v>3.11</v>
      </c>
      <c r="G364" s="16" t="n">
        <v>42297</v>
      </c>
      <c r="H364" s="19" t="n">
        <v>2.33</v>
      </c>
      <c r="J364" s="16" t="n">
        <v>42297</v>
      </c>
      <c r="K364" s="19" t="n">
        <v>112.13</v>
      </c>
      <c r="M364" s="16" t="n"/>
      <c r="N364" s="19" t="n"/>
    </row>
    <row r="365">
      <c r="A365" s="16" t="n"/>
      <c r="B365" s="19" t="n"/>
      <c r="D365" s="16" t="n">
        <v>42298</v>
      </c>
      <c r="E365" s="19" t="n">
        <v>3.03</v>
      </c>
      <c r="G365" s="16" t="n">
        <v>42298</v>
      </c>
      <c r="H365" s="19" t="n">
        <v>2.35</v>
      </c>
      <c r="J365" s="16" t="n">
        <v>42298</v>
      </c>
      <c r="K365" s="19" t="n">
        <v>112.71</v>
      </c>
      <c r="M365" s="16" t="n"/>
      <c r="N365" s="19" t="n"/>
    </row>
    <row r="366">
      <c r="A366" s="16" t="n"/>
      <c r="B366" s="19" t="n"/>
      <c r="D366" s="16" t="n">
        <v>42299</v>
      </c>
      <c r="E366" s="19" t="n">
        <v>3.1</v>
      </c>
      <c r="G366" s="16" t="n">
        <v>42299</v>
      </c>
      <c r="H366" s="19" t="n">
        <v>2.32</v>
      </c>
      <c r="J366" s="16" t="n">
        <v>42299</v>
      </c>
      <c r="K366" s="19" t="n">
        <v>112.68</v>
      </c>
      <c r="M366" s="16" t="n"/>
      <c r="N366" s="19" t="n"/>
    </row>
    <row r="367">
      <c r="A367" s="16" t="n"/>
      <c r="B367" s="19" t="n"/>
      <c r="D367" s="16" t="n">
        <v>42300</v>
      </c>
      <c r="E367" s="19" t="n">
        <v>3.08</v>
      </c>
      <c r="G367" s="16" t="n">
        <v>42300</v>
      </c>
      <c r="H367" s="19" t="n">
        <v>2.35</v>
      </c>
      <c r="J367" s="16" t="n">
        <v>42300</v>
      </c>
      <c r="K367" s="19" t="n">
        <v>112.28</v>
      </c>
      <c r="M367" s="16" t="n"/>
      <c r="N367" s="19" t="n"/>
    </row>
    <row r="368">
      <c r="A368" s="16" t="n"/>
      <c r="B368" s="19" t="n"/>
      <c r="D368" s="16" t="n">
        <v>42303</v>
      </c>
      <c r="E368" s="19" t="n">
        <v>3.04</v>
      </c>
      <c r="G368" s="16" t="n">
        <v>42303</v>
      </c>
      <c r="H368" s="19" t="n">
        <v>2.29</v>
      </c>
      <c r="J368" s="16" t="n">
        <v>42303</v>
      </c>
      <c r="K368" s="19" t="n">
        <v>112.2</v>
      </c>
      <c r="M368" s="16" t="n"/>
      <c r="N368" s="19" t="n"/>
    </row>
    <row r="369">
      <c r="A369" s="16" t="n"/>
      <c r="B369" s="19" t="n"/>
      <c r="D369" s="16" t="n">
        <v>42304</v>
      </c>
      <c r="E369" s="19" t="n">
        <v>3.09</v>
      </c>
      <c r="G369" s="16" t="n">
        <v>42304</v>
      </c>
      <c r="H369" s="19" t="n">
        <v>2.24</v>
      </c>
      <c r="J369" s="16" t="n">
        <v>42304</v>
      </c>
      <c r="K369" s="19" t="n">
        <v>111.98</v>
      </c>
      <c r="M369" s="16" t="n"/>
      <c r="N369" s="19" t="n"/>
    </row>
    <row r="370">
      <c r="A370" s="16" t="n"/>
      <c r="B370" s="19" t="n"/>
      <c r="D370" s="16" t="n">
        <v>42305</v>
      </c>
      <c r="E370" s="19" t="n">
        <v>3.15</v>
      </c>
      <c r="G370" s="16" t="n">
        <v>42305</v>
      </c>
      <c r="H370" s="19" t="n">
        <v>2.21</v>
      </c>
      <c r="J370" s="16" t="n">
        <v>42305</v>
      </c>
      <c r="K370" s="19" t="n">
        <v>110.86</v>
      </c>
      <c r="M370" s="16" t="n"/>
      <c r="N370" s="19" t="n"/>
    </row>
    <row r="371">
      <c r="A371" s="16" t="n"/>
      <c r="B371" s="19" t="n"/>
      <c r="D371" s="16" t="n">
        <v>42306</v>
      </c>
      <c r="E371" s="19" t="n">
        <v>3.11</v>
      </c>
      <c r="G371" s="16" t="n">
        <v>42306</v>
      </c>
      <c r="H371" s="19" t="n">
        <v>2.24</v>
      </c>
      <c r="J371" s="16" t="n">
        <v>42306</v>
      </c>
      <c r="K371" s="19" t="n">
        <v>110.89</v>
      </c>
      <c r="M371" s="16" t="n"/>
      <c r="N371" s="19" t="n"/>
    </row>
    <row r="372">
      <c r="A372" s="16" t="n"/>
      <c r="B372" s="19" t="n"/>
      <c r="D372" s="16" t="n">
        <v>42307</v>
      </c>
      <c r="E372" s="19" t="n">
        <v>3.07</v>
      </c>
      <c r="G372" s="16" t="n">
        <v>42307</v>
      </c>
      <c r="H372" s="19" t="n">
        <v>2.22</v>
      </c>
      <c r="J372" s="16" t="n">
        <v>42307</v>
      </c>
      <c r="K372" s="19" t="n">
        <v>111.59</v>
      </c>
      <c r="M372" s="16" t="n"/>
      <c r="N372" s="19" t="n"/>
    </row>
    <row r="373">
      <c r="A373" s="16" t="n"/>
      <c r="B373" s="19" t="n"/>
      <c r="D373" s="16" t="n">
        <v>42310</v>
      </c>
      <c r="E373" s="19" t="n">
        <v>3.01</v>
      </c>
      <c r="G373" s="16" t="n">
        <v>42310</v>
      </c>
      <c r="H373" s="19" t="n">
        <v>2.27</v>
      </c>
      <c r="J373" s="16" t="n">
        <v>42310</v>
      </c>
      <c r="K373" s="19" t="n">
        <v>111.38</v>
      </c>
      <c r="M373" s="16" t="n"/>
      <c r="N373" s="19" t="n"/>
    </row>
    <row r="374">
      <c r="A374" s="16" t="n"/>
      <c r="B374" s="19" t="n"/>
      <c r="D374" s="16" t="n">
        <v>42311</v>
      </c>
      <c r="E374" s="19" t="n">
        <v>3.03</v>
      </c>
      <c r="G374" s="16" t="n">
        <v>42311</v>
      </c>
      <c r="H374" s="19" t="n">
        <v>2.23</v>
      </c>
      <c r="J374" s="16" t="n">
        <v>42311</v>
      </c>
      <c r="K374" s="19" t="n">
        <v>110.92</v>
      </c>
      <c r="M374" s="16" t="n"/>
      <c r="N374" s="19" t="n"/>
    </row>
    <row r="375">
      <c r="A375" s="16" t="n"/>
      <c r="B375" s="19" t="n"/>
      <c r="D375" s="16" t="n">
        <v>42312</v>
      </c>
      <c r="E375" s="19" t="n">
        <v>3.14</v>
      </c>
      <c r="G375" s="16" t="n">
        <v>42312</v>
      </c>
      <c r="H375" s="19" t="n">
        <v>2.23</v>
      </c>
      <c r="J375" s="16" t="n">
        <v>42312</v>
      </c>
      <c r="K375" s="19" t="n">
        <v>110.4</v>
      </c>
      <c r="M375" s="16" t="n"/>
      <c r="N375" s="19" t="n"/>
    </row>
    <row r="376">
      <c r="A376" s="16" t="n"/>
      <c r="B376" s="19" t="n"/>
      <c r="D376" s="16" t="n">
        <v>42313</v>
      </c>
      <c r="E376" s="19" t="n">
        <v>3.16</v>
      </c>
      <c r="G376" s="16" t="n">
        <v>42313</v>
      </c>
      <c r="H376" s="19" t="n">
        <v>2.2</v>
      </c>
      <c r="J376" s="16" t="n">
        <v>42313</v>
      </c>
      <c r="K376" s="19" t="n">
        <v>109.88</v>
      </c>
      <c r="M376" s="16" t="n"/>
      <c r="N376" s="19" t="n"/>
    </row>
    <row r="377">
      <c r="A377" s="16" t="n"/>
      <c r="B377" s="19" t="n"/>
      <c r="D377" s="16" t="n">
        <v>42314</v>
      </c>
      <c r="E377" s="19" t="n">
        <v>3.12</v>
      </c>
      <c r="G377" s="16" t="n">
        <v>42314</v>
      </c>
      <c r="H377" s="19" t="n">
        <v>2.18</v>
      </c>
      <c r="J377" s="16" t="n">
        <v>42314</v>
      </c>
      <c r="K377" s="19" t="n">
        <v>110.63</v>
      </c>
      <c r="M377" s="16" t="n"/>
      <c r="N377" s="19" t="n"/>
    </row>
    <row r="378">
      <c r="A378" s="16" t="n"/>
      <c r="B378" s="19" t="n"/>
      <c r="D378" s="16" t="n">
        <v>42317</v>
      </c>
      <c r="E378" s="19" t="n">
        <v>3.05</v>
      </c>
      <c r="G378" s="16" t="n">
        <v>42317</v>
      </c>
      <c r="H378" s="19" t="n">
        <v>2.2</v>
      </c>
      <c r="J378" s="16" t="n">
        <v>42317</v>
      </c>
      <c r="K378" s="19" t="n">
        <v>109.76</v>
      </c>
      <c r="M378" s="16" t="n"/>
      <c r="N378" s="19" t="n"/>
    </row>
    <row r="379">
      <c r="A379" s="16" t="n"/>
      <c r="B379" s="19" t="n"/>
      <c r="D379" s="16" t="n">
        <v>42318</v>
      </c>
      <c r="E379" s="19" t="n">
        <v>3.08</v>
      </c>
      <c r="G379" s="16" t="n">
        <v>42318</v>
      </c>
      <c r="H379" s="19" t="n">
        <v>2.18</v>
      </c>
      <c r="J379" s="16" t="n">
        <v>42318</v>
      </c>
      <c r="K379" s="19" t="n">
        <v>110.12</v>
      </c>
      <c r="M379" s="16" t="n"/>
      <c r="N379" s="19" t="n"/>
    </row>
    <row r="380">
      <c r="A380" s="16" t="n"/>
      <c r="B380" s="19" t="n"/>
      <c r="D380" s="16" t="n">
        <v>42319</v>
      </c>
      <c r="E380" s="19" t="n">
        <v>3.07</v>
      </c>
      <c r="G380" s="16" t="n">
        <v>42319</v>
      </c>
      <c r="H380" s="19" t="n">
        <v>2.21</v>
      </c>
      <c r="J380" s="16" t="n">
        <v>42319</v>
      </c>
      <c r="K380" s="19" t="n">
        <v>110.51</v>
      </c>
      <c r="M380" s="16" t="n"/>
      <c r="N380" s="19" t="n"/>
    </row>
    <row r="381">
      <c r="A381" s="16" t="n"/>
      <c r="B381" s="19" t="n"/>
      <c r="D381" s="16" t="n">
        <v>42320</v>
      </c>
      <c r="E381" s="19" t="n">
        <v>3.08</v>
      </c>
      <c r="G381" s="16" t="n">
        <v>42320</v>
      </c>
      <c r="H381" s="19" t="n">
        <v>2.24</v>
      </c>
      <c r="J381" s="16" t="n">
        <v>42320</v>
      </c>
      <c r="K381" s="19" t="n">
        <v>110.28</v>
      </c>
      <c r="M381" s="16" t="n"/>
      <c r="N381" s="19" t="n"/>
    </row>
    <row r="382">
      <c r="A382" s="16" t="n"/>
      <c r="B382" s="19" t="n"/>
      <c r="D382" s="16" t="n">
        <v>42321</v>
      </c>
      <c r="E382" s="19" t="n">
        <v>3.07</v>
      </c>
      <c r="G382" s="16" t="n">
        <v>42321</v>
      </c>
      <c r="H382" s="19" t="n">
        <v>2.21</v>
      </c>
      <c r="J382" s="16" t="n">
        <v>42321</v>
      </c>
      <c r="K382" s="19" t="n">
        <v>110.61</v>
      </c>
      <c r="M382" s="16" t="n"/>
      <c r="N382" s="19" t="n"/>
    </row>
    <row r="383">
      <c r="A383" s="16" t="n"/>
      <c r="B383" s="19" t="n"/>
      <c r="D383" s="16" t="n">
        <v>42324</v>
      </c>
      <c r="E383" s="19" t="n">
        <v>3.09</v>
      </c>
      <c r="G383" s="16" t="n">
        <v>42324</v>
      </c>
      <c r="H383" s="19" t="n">
        <v>2.2</v>
      </c>
      <c r="J383" s="16" t="n">
        <v>42324</v>
      </c>
      <c r="K383" s="19" t="n">
        <v>110</v>
      </c>
      <c r="M383" s="16" t="n"/>
      <c r="N383" s="19" t="n"/>
    </row>
    <row r="384">
      <c r="A384" s="16" t="n"/>
      <c r="B384" s="19" t="n"/>
      <c r="D384" s="16" t="n">
        <v>42325</v>
      </c>
      <c r="E384" s="19" t="n">
        <v>3.08</v>
      </c>
      <c r="G384" s="16" t="n">
        <v>42325</v>
      </c>
      <c r="H384" s="19" t="n">
        <v>2.22</v>
      </c>
      <c r="J384" s="16" t="n">
        <v>42325</v>
      </c>
      <c r="K384" s="19" t="n">
        <v>110.45</v>
      </c>
      <c r="M384" s="16" t="n"/>
      <c r="N384" s="19" t="n"/>
    </row>
    <row r="385">
      <c r="A385" s="16" t="n"/>
      <c r="B385" s="19" t="n"/>
      <c r="D385" s="16" t="n">
        <v>42326</v>
      </c>
      <c r="E385" s="19" t="n">
        <v>3.05</v>
      </c>
      <c r="G385" s="16" t="n">
        <v>42326</v>
      </c>
      <c r="H385" s="19" t="n">
        <v>2.25</v>
      </c>
      <c r="J385" s="16" t="n">
        <v>42326</v>
      </c>
      <c r="K385" s="19" t="n">
        <v>109.81</v>
      </c>
      <c r="M385" s="16" t="n"/>
      <c r="N385" s="19" t="n"/>
    </row>
    <row r="386">
      <c r="A386" s="16" t="n"/>
      <c r="B386" s="19" t="n"/>
      <c r="D386" s="16" t="n">
        <v>42327</v>
      </c>
      <c r="E386" s="19" t="n">
        <v>3.03</v>
      </c>
      <c r="G386" s="16" t="n">
        <v>42327</v>
      </c>
      <c r="H386" s="19" t="n">
        <v>2.21</v>
      </c>
      <c r="J386" s="16" t="n">
        <v>42327</v>
      </c>
      <c r="K386" s="19" t="n">
        <v>109.94</v>
      </c>
      <c r="M386" s="16" t="n"/>
      <c r="N386" s="19" t="n"/>
    </row>
    <row r="387">
      <c r="A387" s="16" t="n"/>
      <c r="B387" s="19" t="n"/>
      <c r="D387" s="16" t="n">
        <v>42328</v>
      </c>
      <c r="E387" s="19" t="n">
        <v>2.99</v>
      </c>
      <c r="G387" s="16" t="n">
        <v>42328</v>
      </c>
      <c r="H387" s="19" t="n">
        <v>2.18</v>
      </c>
      <c r="J387" s="16" t="n">
        <v>42328</v>
      </c>
      <c r="K387" s="19" t="n">
        <v>110.53</v>
      </c>
      <c r="M387" s="16" t="n"/>
      <c r="N387" s="19" t="n"/>
    </row>
    <row r="388">
      <c r="A388" s="16" t="n"/>
      <c r="B388" s="19" t="n"/>
      <c r="D388" s="16" t="n">
        <v>42331</v>
      </c>
      <c r="E388" s="19" t="n">
        <v>3.04</v>
      </c>
      <c r="G388" s="16" t="n">
        <v>42331</v>
      </c>
      <c r="H388" s="19" t="n">
        <v>2.12</v>
      </c>
      <c r="J388" s="16" t="n">
        <v>42331</v>
      </c>
      <c r="K388" s="19" t="n">
        <v>111.13</v>
      </c>
      <c r="M388" s="16" t="n"/>
      <c r="N388" s="19" t="n"/>
    </row>
    <row r="389">
      <c r="A389" s="16" t="n"/>
      <c r="B389" s="19" t="n"/>
      <c r="D389" s="16" t="n">
        <v>42332</v>
      </c>
      <c r="E389" s="19" t="n">
        <v>3.08</v>
      </c>
      <c r="G389" s="16" t="n">
        <v>42332</v>
      </c>
      <c r="H389" s="19" t="n">
        <v>2.15</v>
      </c>
      <c r="J389" s="16" t="n">
        <v>42332</v>
      </c>
      <c r="K389" s="19" t="n">
        <v>110.9</v>
      </c>
      <c r="M389" s="16" t="n"/>
      <c r="N389" s="19" t="n"/>
    </row>
    <row r="390">
      <c r="A390" s="16" t="n"/>
      <c r="B390" s="19" t="n"/>
      <c r="D390" s="16" t="n">
        <v>42333</v>
      </c>
      <c r="E390" s="19" t="n">
        <v>3.14</v>
      </c>
      <c r="G390" s="16" t="n">
        <v>42333</v>
      </c>
      <c r="H390" s="19" t="n">
        <v>2.18</v>
      </c>
      <c r="J390" s="16" t="n">
        <v>42333</v>
      </c>
      <c r="K390" s="19" t="n">
        <v>110.18</v>
      </c>
      <c r="M390" s="16" t="n"/>
      <c r="N390" s="19" t="n"/>
    </row>
    <row r="391">
      <c r="A391" s="16" t="n"/>
      <c r="B391" s="19" t="n"/>
      <c r="D391" s="16" t="n">
        <v>42334</v>
      </c>
      <c r="E391" s="19" t="inlineStr">
        <is>
          <t>.</t>
        </is>
      </c>
      <c r="G391" s="16" t="n">
        <v>42334</v>
      </c>
      <c r="H391" s="19" t="inlineStr">
        <is>
          <t>.</t>
        </is>
      </c>
      <c r="J391" s="16" t="n">
        <v>42334</v>
      </c>
      <c r="K391" s="19" t="inlineStr">
        <is>
          <t>.</t>
        </is>
      </c>
      <c r="M391" s="16" t="n"/>
      <c r="N391" s="19" t="n"/>
    </row>
    <row r="392">
      <c r="A392" s="16" t="n"/>
      <c r="B392" s="19" t="n"/>
      <c r="D392" s="16" t="n">
        <v>42335</v>
      </c>
      <c r="E392" s="19" t="n">
        <v>3.19</v>
      </c>
      <c r="G392" s="16" t="n">
        <v>42335</v>
      </c>
      <c r="H392" s="19" t="n">
        <v>2.09</v>
      </c>
      <c r="J392" s="16" t="n">
        <v>42335</v>
      </c>
      <c r="K392" s="19" t="n">
        <v>110.77</v>
      </c>
      <c r="M392" s="16" t="n"/>
      <c r="N392" s="19" t="n"/>
    </row>
    <row r="393">
      <c r="A393" s="16" t="n"/>
      <c r="B393" s="19" t="n"/>
      <c r="D393" s="16" t="n">
        <v>42338</v>
      </c>
      <c r="E393" s="19" t="n">
        <v>3.2</v>
      </c>
      <c r="G393" s="16" t="n">
        <v>42338</v>
      </c>
      <c r="H393" s="19" t="n">
        <v>2.09</v>
      </c>
      <c r="J393" s="16" t="n">
        <v>42338</v>
      </c>
      <c r="K393" s="19" t="n">
        <v>111.16</v>
      </c>
      <c r="M393" s="16" t="n"/>
      <c r="N393" s="19" t="n"/>
    </row>
    <row r="394">
      <c r="A394" s="16" t="n"/>
      <c r="B394" s="19" t="n"/>
      <c r="D394" s="16" t="n">
        <v>42339</v>
      </c>
      <c r="E394" s="19" t="n">
        <v>3.25</v>
      </c>
      <c r="G394" s="16" t="n">
        <v>42339</v>
      </c>
      <c r="H394" s="19" t="n">
        <v>2.1</v>
      </c>
      <c r="J394" s="16" t="n">
        <v>42339</v>
      </c>
      <c r="K394" s="19" t="n">
        <v>112.17</v>
      </c>
      <c r="M394" s="16" t="n"/>
      <c r="N394" s="19" t="n"/>
    </row>
    <row r="395">
      <c r="A395" s="16" t="n"/>
      <c r="B395" s="19" t="n"/>
      <c r="D395" s="16" t="n">
        <v>42340</v>
      </c>
      <c r="E395" s="19" t="n">
        <v>3.28</v>
      </c>
      <c r="G395" s="16" t="n">
        <v>42340</v>
      </c>
      <c r="H395" s="19" t="n">
        <v>2.15</v>
      </c>
      <c r="J395" s="16" t="n">
        <v>42340</v>
      </c>
      <c r="K395" s="19" t="n">
        <v>112.88</v>
      </c>
      <c r="M395" s="16" t="n"/>
      <c r="N395" s="19" t="n"/>
    </row>
    <row r="396">
      <c r="A396" s="16" t="n"/>
      <c r="B396" s="19" t="n"/>
      <c r="D396" s="16" t="n">
        <v>42341</v>
      </c>
      <c r="E396" s="19" t="n">
        <v>3.24</v>
      </c>
      <c r="G396" s="16" t="n">
        <v>42341</v>
      </c>
      <c r="H396" s="19" t="n">
        <v>2.21</v>
      </c>
      <c r="J396" s="16" t="n">
        <v>42341</v>
      </c>
      <c r="K396" s="19" t="n">
        <v>112.41</v>
      </c>
      <c r="M396" s="16" t="n"/>
      <c r="N396" s="19" t="n"/>
    </row>
    <row r="397">
      <c r="A397" s="16" t="n"/>
      <c r="B397" s="19" t="n"/>
      <c r="D397" s="16" t="n">
        <v>42342</v>
      </c>
      <c r="E397" s="19" t="n">
        <v>3.25</v>
      </c>
      <c r="G397" s="16" t="n">
        <v>42342</v>
      </c>
      <c r="H397" s="19" t="n">
        <v>2.21</v>
      </c>
      <c r="J397" s="16" t="n">
        <v>42342</v>
      </c>
      <c r="K397" s="19" t="n">
        <v>111.95</v>
      </c>
      <c r="M397" s="16" t="n"/>
      <c r="N397" s="19" t="n"/>
    </row>
    <row r="398">
      <c r="A398" s="16" t="n"/>
      <c r="B398" s="19" t="n"/>
      <c r="D398" s="16" t="n">
        <v>42345</v>
      </c>
      <c r="E398" s="19" t="n">
        <v>3.25</v>
      </c>
      <c r="G398" s="16" t="n">
        <v>42345</v>
      </c>
      <c r="H398" s="19" t="n">
        <v>2.15</v>
      </c>
      <c r="J398" s="16" t="n">
        <v>42345</v>
      </c>
      <c r="K398" s="19" t="n">
        <v>112.3</v>
      </c>
      <c r="M398" s="16" t="n"/>
      <c r="N398" s="19" t="n"/>
    </row>
    <row r="399">
      <c r="A399" s="16" t="n"/>
      <c r="B399" s="19" t="n"/>
      <c r="D399" s="16" t="n">
        <v>42346</v>
      </c>
      <c r="E399" s="19" t="n">
        <v>3.24</v>
      </c>
      <c r="G399" s="16" t="n">
        <v>42346</v>
      </c>
      <c r="H399" s="19" t="n">
        <v>2.12</v>
      </c>
      <c r="J399" s="16" t="n">
        <v>42346</v>
      </c>
      <c r="K399" s="19" t="n">
        <v>112.42</v>
      </c>
      <c r="M399" s="16" t="n"/>
      <c r="N399" s="19" t="n"/>
    </row>
    <row r="400">
      <c r="A400" s="16" t="n"/>
      <c r="B400" s="19" t="n"/>
      <c r="D400" s="16" t="n">
        <v>42347</v>
      </c>
      <c r="E400" s="19" t="n">
        <v>3.26</v>
      </c>
      <c r="G400" s="16" t="n">
        <v>42347</v>
      </c>
      <c r="H400" s="19" t="n">
        <v>2.11</v>
      </c>
      <c r="J400" s="16" t="n">
        <v>42347</v>
      </c>
      <c r="K400" s="19" t="n">
        <v>111.39</v>
      </c>
      <c r="M400" s="16" t="n"/>
      <c r="N400" s="19" t="n"/>
    </row>
    <row r="401">
      <c r="A401" s="16" t="n"/>
      <c r="B401" s="19" t="n"/>
      <c r="D401" s="16" t="n">
        <v>42348</v>
      </c>
      <c r="E401" s="19" t="n">
        <v>3.28</v>
      </c>
      <c r="G401" s="16" t="n">
        <v>42348</v>
      </c>
      <c r="H401" s="19" t="n">
        <v>2.13</v>
      </c>
      <c r="J401" s="16" t="n">
        <v>42348</v>
      </c>
      <c r="K401" s="19" t="n">
        <v>112.51</v>
      </c>
      <c r="M401" s="16" t="n"/>
      <c r="N401" s="19" t="n"/>
    </row>
    <row r="402">
      <c r="A402" s="16" t="n"/>
      <c r="B402" s="19" t="n"/>
      <c r="D402" s="16" t="n">
        <v>42349</v>
      </c>
      <c r="E402" s="19" t="n">
        <v>3.38</v>
      </c>
      <c r="G402" s="16" t="n">
        <v>42349</v>
      </c>
      <c r="H402" s="19" t="n">
        <v>2.17</v>
      </c>
      <c r="J402" s="16" t="n">
        <v>42349</v>
      </c>
      <c r="K402" s="19" t="n">
        <v>112.84</v>
      </c>
      <c r="M402" s="16" t="n"/>
      <c r="N402" s="19" t="n"/>
    </row>
    <row r="403">
      <c r="A403" s="16" t="n"/>
      <c r="B403" s="19" t="n"/>
      <c r="D403" s="16" t="n">
        <v>42352</v>
      </c>
      <c r="E403" s="19" t="n">
        <v>3.4</v>
      </c>
      <c r="G403" s="16" t="n">
        <v>42352</v>
      </c>
      <c r="H403" s="19" t="n">
        <v>2.16</v>
      </c>
      <c r="J403" s="16" t="n">
        <v>42352</v>
      </c>
      <c r="K403" s="19" t="n">
        <v>112.65</v>
      </c>
      <c r="M403" s="16" t="n"/>
      <c r="N403" s="19" t="n"/>
    </row>
    <row r="404">
      <c r="A404" s="16" t="n"/>
      <c r="B404" s="19" t="n"/>
      <c r="D404" s="16" t="n">
        <v>42353</v>
      </c>
      <c r="E404" s="19" t="n">
        <v>3.36</v>
      </c>
      <c r="G404" s="16" t="n">
        <v>42353</v>
      </c>
      <c r="H404" s="19" t="n">
        <v>2.13</v>
      </c>
      <c r="J404" s="16" t="n">
        <v>42353</v>
      </c>
      <c r="K404" s="19" t="n">
        <v>112.17</v>
      </c>
      <c r="M404" s="16" t="n"/>
      <c r="N404" s="19" t="n"/>
    </row>
    <row r="405">
      <c r="A405" s="16" t="n"/>
      <c r="B405" s="19" t="n"/>
      <c r="D405" s="16" t="n">
        <v>42354</v>
      </c>
      <c r="E405" s="19" t="n">
        <v>3.42</v>
      </c>
      <c r="G405" s="16" t="n">
        <v>42354</v>
      </c>
      <c r="H405" s="19" t="n">
        <v>2.2</v>
      </c>
      <c r="J405" s="16" t="n">
        <v>42354</v>
      </c>
      <c r="K405" s="19" t="n">
        <v>110.6</v>
      </c>
      <c r="M405" s="16" t="n"/>
      <c r="N405" s="19" t="n"/>
    </row>
    <row r="406">
      <c r="A406" s="16" t="n"/>
      <c r="B406" s="19" t="n"/>
      <c r="D406" s="16" t="n">
        <v>42355</v>
      </c>
      <c r="E406" s="19" t="n">
        <v>3.42</v>
      </c>
      <c r="G406" s="16" t="n">
        <v>42355</v>
      </c>
      <c r="H406" s="19" t="n">
        <v>2.12</v>
      </c>
      <c r="J406" s="16" t="n">
        <v>42355</v>
      </c>
      <c r="K406" s="19" t="n">
        <v>109.83</v>
      </c>
      <c r="M406" s="16" t="n"/>
      <c r="N406" s="19" t="n"/>
    </row>
    <row r="407">
      <c r="A407" s="16" t="n"/>
      <c r="B407" s="19" t="n"/>
      <c r="D407" s="16" t="n">
        <v>42356</v>
      </c>
      <c r="E407" s="19" t="n">
        <v>3.41</v>
      </c>
      <c r="G407" s="16" t="n">
        <v>42356</v>
      </c>
      <c r="H407" s="19" t="n">
        <v>2.1</v>
      </c>
      <c r="J407" s="16" t="n">
        <v>42356</v>
      </c>
      <c r="K407" s="19" t="n">
        <v>111.57</v>
      </c>
      <c r="M407" s="16" t="n"/>
      <c r="N407" s="19" t="n"/>
    </row>
    <row r="408">
      <c r="A408" s="16" t="n"/>
      <c r="B408" s="19" t="n"/>
      <c r="D408" s="16" t="n">
        <v>42359</v>
      </c>
      <c r="E408" s="19" t="n">
        <v>3.42</v>
      </c>
      <c r="G408" s="16" t="n">
        <v>42359</v>
      </c>
      <c r="H408" s="19" t="n">
        <v>2.07</v>
      </c>
      <c r="J408" s="16" t="n">
        <v>42359</v>
      </c>
      <c r="K408" s="19" t="n">
        <v>110.73</v>
      </c>
      <c r="M408" s="16" t="n"/>
      <c r="N408" s="19" t="n"/>
    </row>
    <row r="409">
      <c r="A409" s="16" t="n"/>
      <c r="B409" s="19" t="n"/>
      <c r="D409" s="16" t="n">
        <v>42360</v>
      </c>
      <c r="E409" s="19" t="n">
        <v>3.44</v>
      </c>
      <c r="G409" s="16" t="n">
        <v>42360</v>
      </c>
      <c r="H409" s="19" t="n">
        <v>2.04</v>
      </c>
      <c r="J409" s="16" t="n">
        <v>42360</v>
      </c>
      <c r="K409" s="19" t="n">
        <v>110.52</v>
      </c>
      <c r="M409" s="16" t="n"/>
      <c r="N409" s="19" t="n"/>
    </row>
    <row r="410">
      <c r="A410" s="16" t="n"/>
      <c r="B410" s="19" t="n"/>
      <c r="D410" s="16" t="n">
        <v>42361</v>
      </c>
      <c r="E410" s="19" t="n">
        <v>3.37</v>
      </c>
      <c r="G410" s="16" t="n">
        <v>42361</v>
      </c>
      <c r="H410" s="19" t="n">
        <v>2.08</v>
      </c>
      <c r="J410" s="16" t="n">
        <v>42361</v>
      </c>
      <c r="K410" s="19" t="n">
        <v>110.79</v>
      </c>
      <c r="M410" s="16" t="n"/>
      <c r="N410" s="19" t="n"/>
    </row>
    <row r="411">
      <c r="A411" s="16" t="n"/>
      <c r="B411" s="19" t="n"/>
      <c r="D411" s="16" t="n">
        <v>42362</v>
      </c>
      <c r="E411" s="19" t="n">
        <v>3.43</v>
      </c>
      <c r="G411" s="16" t="n">
        <v>42362</v>
      </c>
      <c r="H411" s="19" t="n">
        <v>2.06</v>
      </c>
      <c r="J411" s="16" t="n">
        <v>42362</v>
      </c>
      <c r="K411" s="19" t="n">
        <v>110.85</v>
      </c>
      <c r="M411" s="16" t="n"/>
      <c r="N411" s="19" t="n"/>
    </row>
    <row r="412">
      <c r="A412" s="16" t="n"/>
      <c r="B412" s="19" t="n"/>
      <c r="D412" s="16" t="n">
        <v>42363</v>
      </c>
      <c r="E412" s="19" t="inlineStr">
        <is>
          <t>.</t>
        </is>
      </c>
      <c r="G412" s="16" t="n">
        <v>42363</v>
      </c>
      <c r="H412" s="19" t="inlineStr">
        <is>
          <t>.</t>
        </is>
      </c>
      <c r="J412" s="16" t="n">
        <v>42363</v>
      </c>
      <c r="K412" s="19" t="inlineStr">
        <is>
          <t>.</t>
        </is>
      </c>
      <c r="M412" s="16" t="n"/>
      <c r="N412" s="19" t="n"/>
    </row>
    <row r="413">
      <c r="A413" s="16" t="n"/>
      <c r="B413" s="19" t="n"/>
      <c r="D413" s="16" t="n">
        <v>42366</v>
      </c>
      <c r="E413" s="19" t="n">
        <v>3.33</v>
      </c>
      <c r="G413" s="16" t="n">
        <v>42366</v>
      </c>
      <c r="H413" s="19" t="n">
        <v>2</v>
      </c>
      <c r="J413" s="16" t="n">
        <v>42366</v>
      </c>
      <c r="K413" s="19" t="n">
        <v>110.49</v>
      </c>
      <c r="M413" s="16" t="n"/>
      <c r="N413" s="19" t="n"/>
    </row>
    <row r="414">
      <c r="A414" s="16" t="n"/>
      <c r="B414" s="19" t="n"/>
      <c r="D414" s="16" t="n">
        <v>42367</v>
      </c>
      <c r="E414" s="19" t="n">
        <v>3.33</v>
      </c>
      <c r="G414" s="16" t="n">
        <v>42367</v>
      </c>
      <c r="H414" s="19" t="n">
        <v>1.94</v>
      </c>
      <c r="J414" s="16" t="n">
        <v>42367</v>
      </c>
      <c r="K414" s="19" t="n">
        <v>110.41</v>
      </c>
      <c r="M414" s="16" t="n"/>
      <c r="N414" s="19" t="n"/>
    </row>
    <row r="415">
      <c r="A415" s="16" t="n"/>
      <c r="B415" s="19" t="n"/>
      <c r="D415" s="16" t="n">
        <v>42368</v>
      </c>
      <c r="E415" s="19" t="n">
        <v>3.29</v>
      </c>
      <c r="G415" s="16" t="n">
        <v>42368</v>
      </c>
      <c r="H415" s="19" t="n">
        <v>1.92</v>
      </c>
      <c r="J415" s="16" t="n">
        <v>42368</v>
      </c>
      <c r="K415" s="19" t="n">
        <v>110.18</v>
      </c>
      <c r="M415" s="16" t="n"/>
      <c r="N415" s="19" t="n"/>
    </row>
    <row r="416">
      <c r="A416" s="16" t="n"/>
      <c r="B416" s="19" t="n"/>
      <c r="D416" s="16" t="n">
        <v>42369</v>
      </c>
      <c r="E416" s="19" t="n">
        <v>3.38</v>
      </c>
      <c r="G416" s="16" t="n">
        <v>42369</v>
      </c>
      <c r="H416" s="19" t="n">
        <v>1.88</v>
      </c>
      <c r="J416" s="16" t="n">
        <v>42369</v>
      </c>
      <c r="K416" s="19" t="n">
        <v>110.89</v>
      </c>
      <c r="M416" s="16" t="n"/>
      <c r="N416" s="19" t="n"/>
    </row>
    <row r="417">
      <c r="A417" s="16" t="n"/>
      <c r="B417" s="19" t="n"/>
      <c r="D417" s="16" t="n">
        <v>42370</v>
      </c>
      <c r="E417" s="19" t="inlineStr">
        <is>
          <t>.</t>
        </is>
      </c>
      <c r="G417" s="16" t="n">
        <v>42370</v>
      </c>
      <c r="H417" s="19" t="inlineStr">
        <is>
          <t>.</t>
        </is>
      </c>
      <c r="J417" s="16" t="n">
        <v>42370</v>
      </c>
      <c r="K417" s="19" t="inlineStr">
        <is>
          <t>.</t>
        </is>
      </c>
      <c r="M417" s="16" t="n"/>
      <c r="N417" s="19" t="n"/>
    </row>
    <row r="418">
      <c r="A418" s="16" t="n"/>
      <c r="B418" s="19" t="n"/>
      <c r="D418" s="16" t="n">
        <v>42373</v>
      </c>
      <c r="E418" s="19" t="n">
        <v>3.41</v>
      </c>
      <c r="G418" s="16" t="n">
        <v>42373</v>
      </c>
      <c r="H418" s="19" t="n">
        <v>1.94</v>
      </c>
      <c r="J418" s="16" t="n">
        <v>42373</v>
      </c>
      <c r="K418" s="19" t="n">
        <v>111.87</v>
      </c>
      <c r="M418" s="16" t="n"/>
      <c r="N418" s="19" t="n"/>
    </row>
    <row r="419">
      <c r="A419" s="16" t="n"/>
      <c r="B419" s="19" t="n"/>
      <c r="D419" s="16" t="n">
        <v>42374</v>
      </c>
      <c r="E419" s="19" t="n">
        <v>3.4</v>
      </c>
      <c r="G419" s="16" t="n">
        <v>42374</v>
      </c>
      <c r="H419" s="19" t="n">
        <v>1.91</v>
      </c>
      <c r="J419" s="16" t="n">
        <v>42374</v>
      </c>
      <c r="K419" s="19" t="n">
        <v>111.93</v>
      </c>
      <c r="M419" s="16" t="n"/>
      <c r="N419" s="19" t="n"/>
    </row>
    <row r="420">
      <c r="A420" s="16" t="n"/>
      <c r="B420" s="19" t="n"/>
      <c r="D420" s="16" t="n">
        <v>42375</v>
      </c>
      <c r="E420" s="19" t="n">
        <v>3.48</v>
      </c>
      <c r="G420" s="16" t="n">
        <v>42375</v>
      </c>
      <c r="H420" s="19" t="n">
        <v>1.89</v>
      </c>
      <c r="J420" s="16" t="n">
        <v>42375</v>
      </c>
      <c r="K420" s="19" t="n">
        <v>112.05</v>
      </c>
      <c r="M420" s="16" t="n"/>
      <c r="N420" s="19" t="n"/>
    </row>
    <row r="421">
      <c r="A421" s="16" t="n"/>
      <c r="B421" s="19" t="n"/>
      <c r="D421" s="16" t="n">
        <v>42376</v>
      </c>
      <c r="E421" s="19" t="n">
        <v>3.53</v>
      </c>
      <c r="G421" s="16" t="n">
        <v>42376</v>
      </c>
      <c r="H421" s="19" t="n">
        <v>1.93</v>
      </c>
      <c r="J421" s="16" t="n">
        <v>42376</v>
      </c>
      <c r="K421" s="19" t="n">
        <v>111.53</v>
      </c>
      <c r="M421" s="16" t="n"/>
      <c r="N421" s="19" t="n"/>
    </row>
    <row r="422">
      <c r="A422" s="16" t="n"/>
      <c r="B422" s="19" t="n"/>
      <c r="D422" s="16" t="n">
        <v>42377</v>
      </c>
      <c r="E422" s="19" t="n">
        <v>3.46</v>
      </c>
      <c r="G422" s="16" t="n">
        <v>42377</v>
      </c>
      <c r="H422" s="19" t="n">
        <v>1.97</v>
      </c>
      <c r="J422" s="16" t="n">
        <v>42377</v>
      </c>
      <c r="K422" s="19" t="n">
        <v>111.84</v>
      </c>
      <c r="M422" s="16" t="n"/>
      <c r="N422" s="19" t="n"/>
    </row>
    <row r="423">
      <c r="A423" s="16" t="n"/>
      <c r="B423" s="19" t="n"/>
      <c r="D423" s="16" t="n">
        <v>42380</v>
      </c>
      <c r="E423" s="19" t="n">
        <v>3.5</v>
      </c>
      <c r="G423" s="16" t="n">
        <v>42380</v>
      </c>
      <c r="H423" s="19" t="n">
        <v>2.01</v>
      </c>
      <c r="J423" s="16" t="n">
        <v>42380</v>
      </c>
      <c r="K423" s="19" t="n">
        <v>111.91</v>
      </c>
      <c r="M423" s="16" t="n"/>
      <c r="N423" s="19" t="n"/>
    </row>
    <row r="424">
      <c r="A424" s="16" t="n"/>
      <c r="B424" s="19" t="n"/>
      <c r="D424" s="16" t="n">
        <v>42381</v>
      </c>
      <c r="E424" s="19" t="n">
        <v>3.53</v>
      </c>
      <c r="G424" s="16" t="n">
        <v>42381</v>
      </c>
      <c r="H424" s="19" t="n">
        <v>1.99</v>
      </c>
      <c r="J424" s="16" t="n">
        <v>42381</v>
      </c>
      <c r="K424" s="19" t="n">
        <v>111.8</v>
      </c>
      <c r="M424" s="16" t="n"/>
      <c r="N424" s="19" t="n"/>
    </row>
    <row r="425">
      <c r="A425" s="16" t="n"/>
      <c r="B425" s="19" t="n"/>
      <c r="D425" s="16" t="n">
        <v>42382</v>
      </c>
      <c r="E425" s="19" t="n">
        <v>3.53</v>
      </c>
      <c r="G425" s="16" t="n">
        <v>42382</v>
      </c>
      <c r="H425" s="19" t="n">
        <v>1.97</v>
      </c>
      <c r="J425" s="16" t="n">
        <v>42382</v>
      </c>
      <c r="K425" s="19" t="n">
        <v>111.71</v>
      </c>
      <c r="M425" s="16" t="n"/>
      <c r="N425" s="19" t="n"/>
    </row>
    <row r="426">
      <c r="A426" s="16" t="n"/>
      <c r="B426" s="19" t="n"/>
      <c r="D426" s="16" t="n">
        <v>42383</v>
      </c>
      <c r="E426" s="19" t="n">
        <v>3.61</v>
      </c>
      <c r="G426" s="16" t="n">
        <v>42383</v>
      </c>
      <c r="H426" s="19" t="n">
        <v>1.96</v>
      </c>
      <c r="J426" s="16" t="n">
        <v>42383</v>
      </c>
      <c r="K426" s="19" t="n">
        <v>112.19</v>
      </c>
      <c r="M426" s="16" t="n"/>
      <c r="N426" s="19" t="n"/>
    </row>
    <row r="427">
      <c r="A427" s="16" t="n"/>
      <c r="B427" s="19" t="n"/>
      <c r="D427" s="16" t="n">
        <v>42384</v>
      </c>
      <c r="E427" s="19" t="n">
        <v>3.62</v>
      </c>
      <c r="G427" s="16" t="n">
        <v>42384</v>
      </c>
      <c r="H427" s="19" t="n">
        <v>1.91</v>
      </c>
      <c r="J427" s="16" t="n">
        <v>42384</v>
      </c>
      <c r="K427" s="19" t="n">
        <v>112.63</v>
      </c>
      <c r="M427" s="16" t="n"/>
      <c r="N427" s="19" t="n"/>
    </row>
    <row r="428">
      <c r="A428" s="16" t="n"/>
      <c r="B428" s="19" t="n"/>
      <c r="D428" s="16" t="n">
        <v>42387</v>
      </c>
      <c r="E428" s="19" t="n">
        <v>3.54</v>
      </c>
      <c r="G428" s="16" t="n">
        <v>42387</v>
      </c>
      <c r="H428" s="19" t="n">
        <v>1.93</v>
      </c>
      <c r="J428" s="16" t="n">
        <v>42387</v>
      </c>
      <c r="K428" s="19" t="n">
        <v>112.58</v>
      </c>
      <c r="M428" s="16" t="n"/>
      <c r="N428" s="19" t="n"/>
    </row>
    <row r="429">
      <c r="A429" s="16" t="n"/>
      <c r="B429" s="19" t="n"/>
      <c r="D429" s="16" t="n">
        <v>42388</v>
      </c>
      <c r="E429" s="19" t="n">
        <v>3.5</v>
      </c>
      <c r="G429" s="16" t="n">
        <v>42388</v>
      </c>
      <c r="H429" s="19" t="n">
        <v>1.96</v>
      </c>
      <c r="J429" s="16" t="n">
        <v>42388</v>
      </c>
      <c r="K429" s="19" t="n">
        <v>112.34</v>
      </c>
      <c r="M429" s="16" t="n"/>
      <c r="N429" s="19" t="n"/>
    </row>
    <row r="430">
      <c r="A430" s="16" t="n"/>
      <c r="B430" s="19" t="n"/>
      <c r="D430" s="16" t="n">
        <v>42389</v>
      </c>
      <c r="E430" s="19" t="n">
        <v>3.59</v>
      </c>
      <c r="G430" s="16" t="n">
        <v>42389</v>
      </c>
      <c r="H430" s="19" t="n">
        <v>1.89</v>
      </c>
      <c r="J430" s="16" t="n">
        <v>42389</v>
      </c>
      <c r="K430" s="19" t="n">
        <v>113.15</v>
      </c>
      <c r="M430" s="16" t="n"/>
      <c r="N430" s="19" t="n"/>
    </row>
    <row r="431">
      <c r="A431" s="16" t="n"/>
      <c r="B431" s="19" t="n"/>
      <c r="D431" s="16" t="n">
        <v>42390</v>
      </c>
      <c r="E431" s="19" t="n">
        <v>3.63</v>
      </c>
      <c r="G431" s="16" t="n">
        <v>42390</v>
      </c>
      <c r="H431" s="19" t="n">
        <v>1.91</v>
      </c>
      <c r="J431" s="16" t="n">
        <v>42390</v>
      </c>
      <c r="K431" s="19" t="n">
        <v>112.48</v>
      </c>
      <c r="M431" s="16" t="n"/>
      <c r="N431" s="19" t="n"/>
    </row>
    <row r="432">
      <c r="A432" s="16" t="n"/>
      <c r="B432" s="19" t="n"/>
      <c r="D432" s="16" t="n">
        <v>42391</v>
      </c>
      <c r="E432" s="19" t="n">
        <v>3.57</v>
      </c>
      <c r="G432" s="16" t="n">
        <v>42391</v>
      </c>
      <c r="H432" s="19" t="n">
        <v>1.82</v>
      </c>
      <c r="J432" s="16" t="n">
        <v>42391</v>
      </c>
      <c r="K432" s="19" t="n">
        <v>112.62</v>
      </c>
      <c r="M432" s="16" t="n"/>
      <c r="N432" s="19" t="n"/>
    </row>
    <row r="433">
      <c r="A433" s="16" t="n"/>
      <c r="B433" s="19" t="n"/>
      <c r="D433" s="16" t="n">
        <v>42394</v>
      </c>
      <c r="E433" s="19" t="n">
        <v>3.56</v>
      </c>
      <c r="G433" s="16" t="n">
        <v>42394</v>
      </c>
      <c r="H433" s="19" t="n">
        <v>1.86</v>
      </c>
      <c r="J433" s="16" t="n">
        <v>42394</v>
      </c>
      <c r="K433" s="19" t="n">
        <v>112.76</v>
      </c>
      <c r="M433" s="16" t="n"/>
      <c r="N433" s="19" t="n"/>
    </row>
    <row r="434">
      <c r="A434" s="16" t="n"/>
      <c r="B434" s="19" t="n"/>
      <c r="D434" s="16" t="n">
        <v>42395</v>
      </c>
      <c r="E434" s="19" t="n">
        <v>3.59</v>
      </c>
      <c r="G434" s="16" t="n">
        <v>42395</v>
      </c>
      <c r="H434" s="19" t="n">
        <v>1.79</v>
      </c>
      <c r="J434" s="16" t="n">
        <v>42395</v>
      </c>
      <c r="K434" s="19" t="n">
        <v>112.86</v>
      </c>
      <c r="M434" s="16" t="n"/>
      <c r="N434" s="19" t="n"/>
    </row>
    <row r="435">
      <c r="A435" s="16" t="n"/>
      <c r="B435" s="19" t="n"/>
      <c r="D435" s="16" t="n">
        <v>42396</v>
      </c>
      <c r="E435" s="19" t="n">
        <v>3.61</v>
      </c>
      <c r="G435" s="16" t="n">
        <v>42396</v>
      </c>
      <c r="H435" s="19" t="n">
        <v>1.84</v>
      </c>
      <c r="J435" s="16" t="n">
        <v>42396</v>
      </c>
      <c r="K435" s="19" t="n">
        <v>111.41</v>
      </c>
      <c r="M435" s="16" t="n"/>
      <c r="N435" s="19" t="n"/>
    </row>
    <row r="436">
      <c r="A436" s="16" t="n"/>
      <c r="B436" s="19" t="n"/>
      <c r="D436" s="16" t="n">
        <v>42397</v>
      </c>
      <c r="E436" s="19" t="n">
        <v>3.66</v>
      </c>
      <c r="G436" s="16" t="n">
        <v>42397</v>
      </c>
      <c r="H436" s="19" t="n">
        <v>1.76</v>
      </c>
      <c r="J436" s="16" t="n">
        <v>42397</v>
      </c>
      <c r="K436" s="19" t="n">
        <v>111.47</v>
      </c>
      <c r="M436" s="16" t="n"/>
      <c r="N436" s="19" t="n"/>
    </row>
    <row r="437">
      <c r="A437" s="16" t="n"/>
      <c r="B437" s="19" t="n"/>
      <c r="D437" s="16" t="n">
        <v>42398</v>
      </c>
      <c r="E437" s="19" t="n">
        <v>3.67</v>
      </c>
      <c r="G437" s="16" t="n">
        <v>42398</v>
      </c>
      <c r="H437" s="19" t="n">
        <v>1.85</v>
      </c>
      <c r="J437" s="16" t="n">
        <v>42398</v>
      </c>
      <c r="K437" s="19" t="n">
        <v>111.8</v>
      </c>
      <c r="M437" s="16" t="n"/>
      <c r="N437" s="19" t="n"/>
    </row>
    <row r="438">
      <c r="A438" s="16" t="n"/>
      <c r="B438" s="19" t="n"/>
      <c r="D438" s="16" t="n">
        <v>42401</v>
      </c>
      <c r="E438" s="19" t="n">
        <v>3.67</v>
      </c>
      <c r="G438" s="16" t="n">
        <v>42401</v>
      </c>
      <c r="H438" s="19" t="n">
        <v>1.82</v>
      </c>
      <c r="J438" s="16" t="n">
        <v>42401</v>
      </c>
      <c r="K438" s="19" t="n">
        <v>111.3</v>
      </c>
      <c r="M438" s="16" t="n"/>
      <c r="N438" s="19" t="n"/>
    </row>
    <row r="439">
      <c r="A439" s="16" t="n"/>
      <c r="B439" s="19" t="n"/>
      <c r="D439" s="16" t="n">
        <v>42402</v>
      </c>
      <c r="E439" s="19" t="n">
        <v>3.61</v>
      </c>
      <c r="G439" s="16" t="n">
        <v>42402</v>
      </c>
      <c r="H439" s="19" t="n">
        <v>1.81</v>
      </c>
      <c r="J439" s="16" t="n">
        <v>42402</v>
      </c>
      <c r="K439" s="19" t="n">
        <v>110.84</v>
      </c>
      <c r="M439" s="16" t="n"/>
      <c r="N439" s="19" t="n"/>
    </row>
    <row r="440">
      <c r="A440" s="16" t="n"/>
      <c r="B440" s="19" t="n"/>
      <c r="D440" s="16" t="n">
        <v>42403</v>
      </c>
      <c r="E440" s="19" t="n">
        <v>3.66</v>
      </c>
      <c r="G440" s="16" t="n">
        <v>42403</v>
      </c>
      <c r="H440" s="19" t="n">
        <v>1.77</v>
      </c>
      <c r="J440" s="16" t="n">
        <v>42403</v>
      </c>
      <c r="K440" s="19" t="n">
        <v>111.3</v>
      </c>
      <c r="M440" s="16" t="n"/>
      <c r="N440" s="19" t="n"/>
    </row>
    <row r="441">
      <c r="A441" s="16" t="n"/>
      <c r="B441" s="19" t="n"/>
      <c r="D441" s="16" t="n">
        <v>42404</v>
      </c>
      <c r="E441" s="19" t="n">
        <v>3.65</v>
      </c>
      <c r="G441" s="16" t="n">
        <v>42404</v>
      </c>
      <c r="H441" s="19" t="n">
        <v>1.73</v>
      </c>
      <c r="J441" s="16" t="n">
        <v>42404</v>
      </c>
      <c r="K441" s="19" t="n">
        <v>111.39</v>
      </c>
      <c r="M441" s="16" t="n"/>
      <c r="N441" s="19" t="n"/>
    </row>
    <row r="442">
      <c r="A442" s="16" t="n"/>
      <c r="B442" s="19" t="n"/>
      <c r="D442" s="16" t="n">
        <v>42405</v>
      </c>
      <c r="E442" s="19" t="n">
        <v>3.57</v>
      </c>
      <c r="G442" s="16" t="n">
        <v>42405</v>
      </c>
      <c r="H442" s="19" t="n">
        <v>1.75</v>
      </c>
      <c r="J442" s="16" t="n">
        <v>42405</v>
      </c>
      <c r="K442" s="19" t="n">
        <v>111.39</v>
      </c>
      <c r="M442" s="16" t="n"/>
      <c r="N442" s="19" t="n"/>
    </row>
    <row r="443">
      <c r="A443" s="16" t="n"/>
      <c r="B443" s="19" t="n"/>
      <c r="D443" s="16" t="n">
        <v>42408</v>
      </c>
      <c r="E443" s="19" t="n">
        <v>3.55</v>
      </c>
      <c r="G443" s="16" t="n">
        <v>42408</v>
      </c>
      <c r="H443" s="19" t="n">
        <v>1.76</v>
      </c>
      <c r="J443" s="16" t="n">
        <v>42408</v>
      </c>
      <c r="K443" s="19" t="n">
        <v>111.71</v>
      </c>
      <c r="M443" s="16" t="n"/>
      <c r="N443" s="19" t="n"/>
    </row>
    <row r="444">
      <c r="A444" s="16" t="n"/>
      <c r="B444" s="19" t="n"/>
      <c r="D444" s="16" t="n">
        <v>42409</v>
      </c>
      <c r="E444" s="19" t="n">
        <v>3.59</v>
      </c>
      <c r="G444" s="16" t="n">
        <v>42409</v>
      </c>
      <c r="H444" s="19" t="n">
        <v>1.76</v>
      </c>
      <c r="J444" s="16" t="n">
        <v>42409</v>
      </c>
      <c r="K444" s="19" t="n">
        <v>111.44</v>
      </c>
      <c r="M444" s="16" t="n"/>
      <c r="N444" s="19" t="n"/>
    </row>
    <row r="445">
      <c r="A445" s="16" t="n"/>
      <c r="B445" s="19" t="n"/>
      <c r="D445" s="16" t="n">
        <v>42410</v>
      </c>
      <c r="E445" s="19" t="n">
        <v>3.61</v>
      </c>
      <c r="G445" s="16" t="n">
        <v>42410</v>
      </c>
      <c r="H445" s="19" t="n">
        <v>1.69</v>
      </c>
      <c r="J445" s="16" t="n">
        <v>42410</v>
      </c>
      <c r="K445" s="19" t="n">
        <v>112.38</v>
      </c>
      <c r="M445" s="16" t="n"/>
      <c r="N445" s="19" t="n"/>
    </row>
    <row r="446">
      <c r="A446" s="16" t="n"/>
      <c r="B446" s="19" t="n"/>
      <c r="D446" s="16" t="n">
        <v>42411</v>
      </c>
      <c r="E446" s="19" t="n">
        <v>3.6</v>
      </c>
      <c r="G446" s="16" t="n">
        <v>42411</v>
      </c>
      <c r="H446" s="19" t="n">
        <v>1.7</v>
      </c>
      <c r="J446" s="16" t="n">
        <v>42411</v>
      </c>
      <c r="K446" s="19" t="n">
        <v>113.26</v>
      </c>
      <c r="M446" s="16" t="n"/>
      <c r="N446" s="19" t="n"/>
    </row>
    <row r="447">
      <c r="A447" s="16" t="n"/>
      <c r="B447" s="19" t="n"/>
      <c r="D447" s="16" t="n">
        <v>42412</v>
      </c>
      <c r="E447" s="19" t="n">
        <v>3.57</v>
      </c>
      <c r="G447" s="16" t="n">
        <v>42412</v>
      </c>
      <c r="H447" s="19" t="n">
        <v>1.69</v>
      </c>
      <c r="J447" s="16" t="n">
        <v>42412</v>
      </c>
      <c r="K447" s="19" t="n">
        <v>113.4</v>
      </c>
      <c r="M447" s="16" t="n"/>
      <c r="N447" s="19" t="n"/>
    </row>
    <row r="448">
      <c r="A448" s="16" t="n"/>
      <c r="B448" s="19" t="n"/>
      <c r="D448" s="16" t="n">
        <v>42415</v>
      </c>
      <c r="E448" s="19" t="n">
        <v>3.53</v>
      </c>
      <c r="G448" s="16" t="n">
        <v>42415</v>
      </c>
      <c r="H448" s="19" t="n">
        <v>1.74</v>
      </c>
      <c r="J448" s="16" t="n">
        <v>42415</v>
      </c>
      <c r="K448" s="19" t="n">
        <v>112.43</v>
      </c>
      <c r="M448" s="16" t="n"/>
      <c r="N448" s="19" t="n"/>
    </row>
    <row r="449">
      <c r="A449" s="16" t="n"/>
      <c r="B449" s="19" t="n"/>
      <c r="D449" s="16" t="n">
        <v>42416</v>
      </c>
      <c r="E449" s="19" t="n">
        <v>3.51</v>
      </c>
      <c r="G449" s="16" t="n">
        <v>42416</v>
      </c>
      <c r="H449" s="19" t="n">
        <v>1.75</v>
      </c>
      <c r="J449" s="16" t="n">
        <v>42416</v>
      </c>
      <c r="K449" s="19" t="n">
        <v>112.58</v>
      </c>
      <c r="M449" s="16" t="n"/>
      <c r="N449" s="19" t="n"/>
    </row>
    <row r="450">
      <c r="A450" s="16" t="n"/>
      <c r="B450" s="19" t="n"/>
      <c r="D450" s="16" t="n">
        <v>42417</v>
      </c>
      <c r="E450" s="19" t="n">
        <v>3.48</v>
      </c>
      <c r="G450" s="16" t="n">
        <v>42417</v>
      </c>
      <c r="H450" s="19" t="n">
        <v>1.81</v>
      </c>
      <c r="J450" s="16" t="n">
        <v>42417</v>
      </c>
      <c r="K450" s="19" t="n">
        <v>113.39</v>
      </c>
      <c r="M450" s="16" t="n"/>
      <c r="N450" s="19" t="n"/>
    </row>
    <row r="451">
      <c r="A451" s="16" t="n"/>
      <c r="B451" s="19" t="n"/>
      <c r="D451" s="16" t="n">
        <v>42418</v>
      </c>
      <c r="E451" s="19" t="n">
        <v>3.49</v>
      </c>
      <c r="G451" s="16" t="n">
        <v>42418</v>
      </c>
      <c r="H451" s="19" t="n">
        <v>1.84</v>
      </c>
      <c r="J451" s="16" t="n">
        <v>42418</v>
      </c>
      <c r="K451" s="19" t="n">
        <v>112.69</v>
      </c>
      <c r="M451" s="16" t="n"/>
      <c r="N451" s="19" t="n"/>
    </row>
    <row r="452">
      <c r="A452" s="16" t="n"/>
      <c r="B452" s="19" t="n"/>
      <c r="D452" s="16" t="n">
        <v>42419</v>
      </c>
      <c r="E452" s="19" t="n">
        <v>3.53</v>
      </c>
      <c r="G452" s="16" t="n">
        <v>42419</v>
      </c>
      <c r="H452" s="19" t="n">
        <v>1.85</v>
      </c>
      <c r="J452" s="16" t="n">
        <v>42419</v>
      </c>
      <c r="K452" s="19" t="n">
        <v>113.17</v>
      </c>
      <c r="M452" s="16" t="n"/>
      <c r="N452" s="19" t="n"/>
    </row>
    <row r="453">
      <c r="A453" s="16" t="n"/>
      <c r="B453" s="19" t="n"/>
      <c r="D453" s="16" t="n">
        <v>42422</v>
      </c>
      <c r="E453" s="19" t="n">
        <v>3.56</v>
      </c>
      <c r="G453" s="16" t="n">
        <v>42422</v>
      </c>
      <c r="H453" s="19" t="n">
        <v>1.86</v>
      </c>
      <c r="J453" s="16" t="n">
        <v>42422</v>
      </c>
      <c r="K453" s="19" t="n">
        <v>113.17</v>
      </c>
      <c r="M453" s="16" t="n"/>
      <c r="N453" s="19" t="n"/>
    </row>
    <row r="454">
      <c r="A454" s="16" t="n"/>
      <c r="B454" s="19" t="n"/>
      <c r="D454" s="16" t="n">
        <v>42423</v>
      </c>
      <c r="E454" s="19" t="n">
        <v>3.5</v>
      </c>
      <c r="G454" s="16" t="n">
        <v>42423</v>
      </c>
      <c r="H454" s="19" t="n">
        <v>1.8</v>
      </c>
      <c r="J454" s="16" t="n">
        <v>42423</v>
      </c>
      <c r="K454" s="19" t="n">
        <v>112.47</v>
      </c>
      <c r="M454" s="16" t="n"/>
      <c r="N454" s="19" t="n"/>
    </row>
    <row r="455">
      <c r="A455" s="16" t="n"/>
      <c r="B455" s="19" t="n"/>
      <c r="D455" s="16" t="n">
        <v>42424</v>
      </c>
      <c r="E455" s="19" t="n">
        <v>3.53</v>
      </c>
      <c r="G455" s="16" t="n">
        <v>42424</v>
      </c>
      <c r="H455" s="19" t="n">
        <v>1.8</v>
      </c>
      <c r="J455" s="16" t="n">
        <v>42424</v>
      </c>
      <c r="K455" s="19" t="n">
        <v>112.14</v>
      </c>
      <c r="M455" s="16" t="n"/>
      <c r="N455" s="19" t="n"/>
    </row>
    <row r="456">
      <c r="A456" s="16" t="n"/>
      <c r="B456" s="19" t="n"/>
      <c r="D456" s="16" t="n">
        <v>42425</v>
      </c>
      <c r="E456" s="19" t="n">
        <v>3.5</v>
      </c>
      <c r="G456" s="16" t="n">
        <v>42425</v>
      </c>
      <c r="H456" s="19" t="n">
        <v>1.83</v>
      </c>
      <c r="J456" s="16" t="n">
        <v>42425</v>
      </c>
      <c r="K456" s="19" t="n">
        <v>112.09</v>
      </c>
      <c r="M456" s="16" t="n"/>
      <c r="N456" s="19" t="n"/>
    </row>
    <row r="457">
      <c r="A457" s="16" t="n"/>
      <c r="B457" s="19" t="n"/>
      <c r="D457" s="16" t="n">
        <v>42426</v>
      </c>
      <c r="E457" s="19" t="n">
        <v>3.57</v>
      </c>
      <c r="G457" s="16" t="n">
        <v>42426</v>
      </c>
      <c r="H457" s="19" t="n">
        <v>1.81</v>
      </c>
      <c r="J457" s="16" t="n">
        <v>42426</v>
      </c>
      <c r="K457" s="19" t="n">
        <v>111.51</v>
      </c>
      <c r="M457" s="16" t="n"/>
      <c r="N457" s="19" t="n"/>
    </row>
    <row r="458">
      <c r="A458" s="16" t="n"/>
      <c r="B458" s="19" t="n"/>
      <c r="D458" s="16" t="n">
        <v>42429</v>
      </c>
      <c r="E458" s="19" t="n">
        <v>3.48</v>
      </c>
      <c r="G458" s="16" t="n">
        <v>42429</v>
      </c>
      <c r="H458" s="19" t="n">
        <v>1.78</v>
      </c>
      <c r="J458" s="16" t="n">
        <v>42429</v>
      </c>
      <c r="K458" s="19" t="n">
        <v>111.73</v>
      </c>
      <c r="M458" s="16" t="n"/>
      <c r="N458" s="19" t="n"/>
    </row>
    <row r="459">
      <c r="A459" s="16" t="n"/>
      <c r="B459" s="19" t="n"/>
      <c r="D459" s="16" t="n">
        <v>42430</v>
      </c>
      <c r="E459" s="19" t="n">
        <v>3.41</v>
      </c>
      <c r="G459" s="16" t="n">
        <v>42430</v>
      </c>
      <c r="H459" s="19" t="n">
        <v>1.81</v>
      </c>
      <c r="J459" s="16" t="n">
        <v>42430</v>
      </c>
      <c r="K459" s="19" t="n">
        <v>112.09</v>
      </c>
      <c r="M459" s="16" t="n"/>
      <c r="N459" s="19" t="n"/>
    </row>
    <row r="460">
      <c r="A460" s="16" t="n"/>
      <c r="B460" s="19" t="n"/>
      <c r="D460" s="16" t="n">
        <v>42431</v>
      </c>
      <c r="E460" s="19" t="n">
        <v>3.35</v>
      </c>
      <c r="G460" s="16" t="n">
        <v>42431</v>
      </c>
      <c r="H460" s="19" t="n">
        <v>1.82</v>
      </c>
      <c r="J460" s="16" t="n">
        <v>42431</v>
      </c>
      <c r="K460" s="19" t="n">
        <v>111.3</v>
      </c>
      <c r="M460" s="16" t="n"/>
      <c r="N460" s="19" t="n"/>
    </row>
    <row r="461">
      <c r="A461" s="16" t="n"/>
      <c r="B461" s="19" t="n"/>
      <c r="D461" s="16" t="n">
        <v>42432</v>
      </c>
      <c r="E461" s="19" t="n">
        <v>3.35</v>
      </c>
      <c r="G461" s="16" t="n">
        <v>42432</v>
      </c>
      <c r="H461" s="19" t="n">
        <v>1.8</v>
      </c>
      <c r="J461" s="16" t="n">
        <v>42432</v>
      </c>
      <c r="K461" s="19" t="n">
        <v>111.65</v>
      </c>
      <c r="M461" s="16" t="n"/>
      <c r="N461" s="19" t="n"/>
    </row>
    <row r="462">
      <c r="A462" s="16" t="n"/>
      <c r="B462" s="19" t="n"/>
      <c r="D462" s="16" t="n">
        <v>42433</v>
      </c>
      <c r="E462" s="19" t="n">
        <v>3.3</v>
      </c>
      <c r="G462" s="16" t="n">
        <v>42433</v>
      </c>
      <c r="H462" s="19" t="n">
        <v>1.79</v>
      </c>
      <c r="J462" s="16" t="n">
        <v>42433</v>
      </c>
      <c r="K462" s="19" t="n">
        <v>111.92</v>
      </c>
      <c r="M462" s="16" t="n"/>
      <c r="N462" s="19" t="n"/>
    </row>
    <row r="463">
      <c r="A463" s="16" t="n"/>
      <c r="B463" s="19" t="n"/>
      <c r="D463" s="16" t="n">
        <v>42436</v>
      </c>
      <c r="E463" s="19" t="n">
        <v>3.28</v>
      </c>
      <c r="G463" s="16" t="n">
        <v>42436</v>
      </c>
      <c r="H463" s="19" t="n">
        <v>1.78</v>
      </c>
      <c r="J463" s="16" t="n">
        <v>42436</v>
      </c>
      <c r="K463" s="19" t="n">
        <v>111.48</v>
      </c>
      <c r="M463" s="16" t="n"/>
      <c r="N463" s="19" t="n"/>
    </row>
    <row r="464">
      <c r="A464" s="16" t="n"/>
      <c r="B464" s="19" t="n"/>
      <c r="D464" s="16" t="n">
        <v>42437</v>
      </c>
      <c r="E464" s="19" t="n">
        <v>3.32</v>
      </c>
      <c r="G464" s="16" t="n">
        <v>42437</v>
      </c>
      <c r="H464" s="19" t="n">
        <v>1.78</v>
      </c>
      <c r="J464" s="16" t="n">
        <v>42437</v>
      </c>
      <c r="K464" s="19" t="n">
        <v>111.89</v>
      </c>
      <c r="M464" s="16" t="n"/>
      <c r="N464" s="19" t="n"/>
    </row>
    <row r="465">
      <c r="A465" s="16" t="n"/>
      <c r="B465" s="19" t="n"/>
      <c r="D465" s="16" t="n">
        <v>42438</v>
      </c>
      <c r="E465" s="19" t="n">
        <v>3.36</v>
      </c>
      <c r="G465" s="16" t="n">
        <v>42438</v>
      </c>
      <c r="H465" s="19" t="n">
        <v>1.8</v>
      </c>
      <c r="J465" s="16" t="n">
        <v>42438</v>
      </c>
      <c r="K465" s="19" t="n">
        <v>112.1</v>
      </c>
      <c r="M465" s="16" t="n"/>
      <c r="N465" s="19" t="n"/>
    </row>
    <row r="466">
      <c r="A466" s="16" t="n"/>
      <c r="B466" s="19" t="n"/>
      <c r="D466" s="16" t="n">
        <v>42439</v>
      </c>
      <c r="E466" s="19" t="n">
        <v>3.33</v>
      </c>
      <c r="G466" s="16" t="n">
        <v>42439</v>
      </c>
      <c r="H466" s="19" t="n">
        <v>1.8</v>
      </c>
      <c r="J466" s="16" t="n">
        <v>42439</v>
      </c>
      <c r="K466" s="19" t="n">
        <v>112.41</v>
      </c>
      <c r="M466" s="16" t="n"/>
      <c r="N466" s="19" t="n"/>
    </row>
    <row r="467">
      <c r="A467" s="16" t="n"/>
      <c r="B467" s="19" t="n"/>
      <c r="D467" s="16" t="n">
        <v>42440</v>
      </c>
      <c r="E467" s="19" t="n">
        <v>3.27</v>
      </c>
      <c r="G467" s="16" t="n">
        <v>42440</v>
      </c>
      <c r="H467" s="19" t="n">
        <v>1.76</v>
      </c>
      <c r="J467" s="16" t="n">
        <v>42440</v>
      </c>
      <c r="K467" s="19" t="n">
        <v>112.82</v>
      </c>
      <c r="M467" s="16" t="n"/>
      <c r="N467" s="19" t="n"/>
    </row>
    <row r="468">
      <c r="A468" s="16" t="n"/>
      <c r="B468" s="19" t="n"/>
      <c r="D468" s="16" t="n">
        <v>42443</v>
      </c>
      <c r="E468" s="19" t="n">
        <v>3.35</v>
      </c>
      <c r="G468" s="16" t="n">
        <v>42443</v>
      </c>
      <c r="H468" s="19" t="n">
        <v>1.78</v>
      </c>
      <c r="J468" s="16" t="n">
        <v>42443</v>
      </c>
      <c r="K468" s="19" t="n">
        <v>112.86</v>
      </c>
      <c r="M468" s="16" t="n"/>
      <c r="N468" s="19" t="n"/>
    </row>
    <row r="469">
      <c r="A469" s="16" t="n"/>
      <c r="B469" s="19" t="n"/>
      <c r="D469" s="16" t="n">
        <v>42444</v>
      </c>
      <c r="E469" s="19" t="n">
        <v>3.41</v>
      </c>
      <c r="G469" s="16" t="n">
        <v>42444</v>
      </c>
      <c r="H469" s="19" t="n">
        <v>1.82</v>
      </c>
      <c r="J469" s="16" t="n">
        <v>42444</v>
      </c>
      <c r="K469" s="19" t="n">
        <v>113.67</v>
      </c>
      <c r="M469" s="16" t="n"/>
      <c r="N469" s="19" t="n"/>
    </row>
    <row r="470">
      <c r="A470" s="16" t="n"/>
      <c r="B470" s="19" t="n"/>
      <c r="D470" s="16" t="n">
        <v>42445</v>
      </c>
      <c r="E470" s="19" t="n">
        <v>3.45</v>
      </c>
      <c r="G470" s="16" t="n">
        <v>42445</v>
      </c>
      <c r="H470" s="19" t="n">
        <v>1.83</v>
      </c>
      <c r="J470" s="16" t="n">
        <v>42445</v>
      </c>
      <c r="K470" s="19" t="n">
        <v>114.14</v>
      </c>
      <c r="M470" s="16" t="n"/>
      <c r="N470" s="19" t="n"/>
    </row>
    <row r="471">
      <c r="A471" s="16" t="n"/>
      <c r="B471" s="19" t="n"/>
      <c r="D471" s="16" t="n">
        <v>42446</v>
      </c>
      <c r="E471" s="19" t="n">
        <v>3.52</v>
      </c>
      <c r="G471" s="16" t="n">
        <v>42446</v>
      </c>
      <c r="H471" s="19" t="n">
        <v>1.87</v>
      </c>
      <c r="J471" s="16" t="n">
        <v>42446</v>
      </c>
      <c r="K471" s="19" t="n">
        <v>113.25</v>
      </c>
      <c r="M471" s="16" t="n"/>
      <c r="N471" s="19" t="n"/>
    </row>
    <row r="472">
      <c r="A472" s="16" t="n"/>
      <c r="B472" s="19" t="n"/>
      <c r="D472" s="16" t="n">
        <v>42447</v>
      </c>
      <c r="E472" s="19" t="n">
        <v>3.59</v>
      </c>
      <c r="G472" s="16" t="n">
        <v>42447</v>
      </c>
      <c r="H472" s="19" t="n">
        <v>1.85</v>
      </c>
      <c r="J472" s="16" t="n">
        <v>42447</v>
      </c>
      <c r="K472" s="19" t="n">
        <v>112.59</v>
      </c>
      <c r="M472" s="16" t="n"/>
      <c r="N472" s="19" t="n"/>
    </row>
    <row r="473">
      <c r="A473" s="16" t="n"/>
      <c r="B473" s="19" t="n"/>
      <c r="D473" s="16" t="n">
        <v>42450</v>
      </c>
      <c r="E473" s="19" t="n">
        <v>3.53</v>
      </c>
      <c r="G473" s="16" t="n">
        <v>42450</v>
      </c>
      <c r="H473" s="19" t="n">
        <v>1.87</v>
      </c>
      <c r="J473" s="16" t="n">
        <v>42450</v>
      </c>
      <c r="K473" s="19" t="n">
        <v>111.3</v>
      </c>
      <c r="M473" s="16" t="n"/>
      <c r="N473" s="19" t="n"/>
    </row>
    <row r="474">
      <c r="A474" s="16" t="n"/>
      <c r="B474" s="19" t="n"/>
      <c r="D474" s="16" t="n">
        <v>42451</v>
      </c>
      <c r="E474" s="19" t="n">
        <v>3.48</v>
      </c>
      <c r="G474" s="16" t="n">
        <v>42451</v>
      </c>
      <c r="H474" s="19" t="n">
        <v>1.87</v>
      </c>
      <c r="J474" s="16" t="n">
        <v>42451</v>
      </c>
      <c r="K474" s="19" t="n">
        <v>111.66</v>
      </c>
      <c r="M474" s="16" t="n"/>
      <c r="N474" s="19" t="n"/>
    </row>
    <row r="475">
      <c r="A475" s="16" t="n"/>
      <c r="B475" s="19" t="n"/>
      <c r="D475" s="16" t="n">
        <v>42452</v>
      </c>
      <c r="E475" s="19" t="n">
        <v>3.55</v>
      </c>
      <c r="G475" s="16" t="n">
        <v>42452</v>
      </c>
      <c r="H475" s="19" t="n">
        <v>1.87</v>
      </c>
      <c r="J475" s="16" t="n">
        <v>42452</v>
      </c>
      <c r="K475" s="19" t="n">
        <v>111.25</v>
      </c>
      <c r="M475" s="16" t="n"/>
      <c r="N475" s="19" t="n"/>
    </row>
    <row r="476">
      <c r="A476" s="16" t="n"/>
      <c r="B476" s="19" t="n"/>
      <c r="D476" s="16" t="n">
        <v>42453</v>
      </c>
      <c r="E476" s="19" t="n">
        <v>3.51</v>
      </c>
      <c r="G476" s="16" t="n">
        <v>42453</v>
      </c>
      <c r="H476" s="19" t="n">
        <v>1.9</v>
      </c>
      <c r="J476" s="16" t="n">
        <v>42453</v>
      </c>
      <c r="K476" s="19" t="n">
        <v>111.3</v>
      </c>
      <c r="M476" s="16" t="n"/>
      <c r="N476" s="19" t="n"/>
    </row>
    <row r="477">
      <c r="A477" s="16" t="n"/>
      <c r="B477" s="19" t="n"/>
      <c r="D477" s="16" t="n">
        <v>42454</v>
      </c>
      <c r="E477" s="19" t="n">
        <v>3.52</v>
      </c>
      <c r="G477" s="16" t="n">
        <v>42454</v>
      </c>
      <c r="H477" s="19" t="n">
        <v>1.87</v>
      </c>
      <c r="J477" s="16" t="n">
        <v>42454</v>
      </c>
      <c r="K477" s="19" t="n">
        <v>110.8</v>
      </c>
      <c r="M477" s="16" t="n"/>
      <c r="N477" s="19" t="n"/>
    </row>
    <row r="478">
      <c r="A478" s="16" t="n"/>
      <c r="B478" s="19" t="n"/>
      <c r="D478" s="16" t="n">
        <v>42457</v>
      </c>
      <c r="E478" s="19" t="n">
        <v>3.49</v>
      </c>
      <c r="G478" s="16" t="n">
        <v>42457</v>
      </c>
      <c r="H478" s="19" t="n">
        <v>1.88</v>
      </c>
      <c r="J478" s="16" t="n">
        <v>42457</v>
      </c>
      <c r="K478" s="19" t="n">
        <v>110.98</v>
      </c>
      <c r="M478" s="16" t="n"/>
      <c r="N478" s="19" t="n"/>
    </row>
    <row r="479">
      <c r="A479" s="16" t="n"/>
      <c r="B479" s="19" t="n"/>
      <c r="D479" s="16" t="n">
        <v>42458</v>
      </c>
      <c r="E479" s="19" t="n">
        <v>3.55</v>
      </c>
      <c r="G479" s="16" t="n">
        <v>42458</v>
      </c>
      <c r="H479" s="19" t="n">
        <v>1.9</v>
      </c>
      <c r="J479" s="16" t="n">
        <v>42458</v>
      </c>
      <c r="K479" s="19" t="n">
        <v>111.04</v>
      </c>
      <c r="M479" s="16" t="n"/>
      <c r="N479" s="19" t="n"/>
    </row>
    <row r="480">
      <c r="A480" s="16" t="n"/>
      <c r="B480" s="19" t="n"/>
      <c r="D480" s="16" t="n">
        <v>42459</v>
      </c>
      <c r="E480" s="19" t="n">
        <v>3.61</v>
      </c>
      <c r="G480" s="16" t="n">
        <v>42459</v>
      </c>
      <c r="H480" s="19" t="n">
        <v>1.84</v>
      </c>
      <c r="J480" s="16" t="n">
        <v>42459</v>
      </c>
      <c r="K480" s="19" t="n">
        <v>110.62</v>
      </c>
      <c r="M480" s="16" t="n"/>
      <c r="N480" s="19" t="n"/>
    </row>
    <row r="481">
      <c r="A481" s="16" t="n"/>
      <c r="B481" s="19" t="n"/>
      <c r="D481" s="16" t="n">
        <v>42460</v>
      </c>
      <c r="E481" s="19" t="n">
        <v>3.63</v>
      </c>
      <c r="G481" s="16" t="n">
        <v>42460</v>
      </c>
      <c r="H481" s="19" t="n">
        <v>1.88</v>
      </c>
      <c r="J481" s="16" t="n">
        <v>42460</v>
      </c>
      <c r="K481" s="19" t="n">
        <v>110.66</v>
      </c>
      <c r="M481" s="16" t="n"/>
      <c r="N481" s="19" t="n"/>
    </row>
    <row r="482">
      <c r="A482" s="16" t="n"/>
      <c r="B482" s="19" t="n"/>
      <c r="D482" s="16" t="n">
        <v>42461</v>
      </c>
      <c r="E482" s="19" t="n">
        <v>3.56</v>
      </c>
      <c r="G482" s="16" t="n">
        <v>42461</v>
      </c>
      <c r="H482" s="19" t="n">
        <v>1.82</v>
      </c>
      <c r="J482" s="16" t="n">
        <v>42461</v>
      </c>
      <c r="K482" s="19" t="n">
        <v>110.8</v>
      </c>
      <c r="M482" s="16" t="n"/>
      <c r="N482" s="19" t="n"/>
    </row>
    <row r="483">
      <c r="A483" s="16" t="n"/>
      <c r="B483" s="19" t="n"/>
      <c r="D483" s="16" t="n">
        <v>42464</v>
      </c>
      <c r="E483" s="19" t="n">
        <v>3.59</v>
      </c>
      <c r="G483" s="16" t="n">
        <v>42464</v>
      </c>
      <c r="H483" s="19" t="n">
        <v>1.74</v>
      </c>
      <c r="J483" s="16" t="n">
        <v>42464</v>
      </c>
      <c r="K483" s="19" t="n">
        <v>110.56</v>
      </c>
      <c r="M483" s="16" t="n"/>
      <c r="N483" s="19" t="n"/>
    </row>
    <row r="484">
      <c r="A484" s="16" t="n"/>
      <c r="B484" s="19" t="n"/>
      <c r="D484" s="16" t="n">
        <v>42465</v>
      </c>
      <c r="E484" s="19" t="n">
        <v>3.58</v>
      </c>
      <c r="G484" s="16" t="n">
        <v>42465</v>
      </c>
      <c r="H484" s="19" t="n">
        <v>1.78</v>
      </c>
      <c r="J484" s="16" t="n">
        <v>42465</v>
      </c>
      <c r="K484" s="19" t="n">
        <v>111.17</v>
      </c>
      <c r="M484" s="16" t="n"/>
      <c r="N484" s="19" t="n"/>
    </row>
    <row r="485">
      <c r="A485" s="16" t="n"/>
      <c r="B485" s="19" t="n"/>
      <c r="D485" s="16" t="n">
        <v>42466</v>
      </c>
      <c r="E485" s="19" t="n">
        <v>3.56</v>
      </c>
      <c r="G485" s="16" t="n">
        <v>42466</v>
      </c>
      <c r="H485" s="19" t="n">
        <v>1.74</v>
      </c>
      <c r="J485" s="16" t="n">
        <v>42466</v>
      </c>
      <c r="K485" s="19" t="n">
        <v>111.06</v>
      </c>
      <c r="M485" s="16" t="n"/>
      <c r="N485" s="19" t="n"/>
    </row>
    <row r="486">
      <c r="A486" s="16" t="n"/>
      <c r="B486" s="19" t="n"/>
      <c r="D486" s="16" t="n">
        <v>42467</v>
      </c>
      <c r="E486" s="19" t="n">
        <v>3.53</v>
      </c>
      <c r="G486" s="16" t="n">
        <v>42467</v>
      </c>
      <c r="H486" s="19" t="n">
        <v>1.71</v>
      </c>
      <c r="J486" s="16" t="n">
        <v>42467</v>
      </c>
      <c r="K486" s="19" t="n">
        <v>111.41</v>
      </c>
      <c r="M486" s="16" t="n"/>
      <c r="N486" s="19" t="n"/>
    </row>
    <row r="487">
      <c r="A487" s="16" t="n"/>
      <c r="B487" s="19" t="n"/>
      <c r="D487" s="16" t="n">
        <v>42468</v>
      </c>
      <c r="E487" s="19" t="n">
        <v>3.53</v>
      </c>
      <c r="G487" s="16" t="n">
        <v>42468</v>
      </c>
      <c r="H487" s="19" t="n">
        <v>1.61</v>
      </c>
      <c r="J487" s="16" t="n">
        <v>42468</v>
      </c>
      <c r="K487" s="19" t="n">
        <v>111.38</v>
      </c>
      <c r="M487" s="16" t="n"/>
      <c r="N487" s="19" t="n"/>
    </row>
    <row r="488">
      <c r="A488" s="16" t="n"/>
      <c r="B488" s="19" t="n"/>
      <c r="D488" s="16" t="n">
        <v>42471</v>
      </c>
      <c r="E488" s="19" t="n">
        <v>3.55</v>
      </c>
      <c r="G488" s="16" t="n">
        <v>42471</v>
      </c>
      <c r="H488" s="19" t="n">
        <v>1.56</v>
      </c>
      <c r="J488" s="16" t="n">
        <v>42471</v>
      </c>
      <c r="K488" s="19" t="n">
        <v>112.22</v>
      </c>
      <c r="M488" s="16" t="n"/>
      <c r="N488" s="19" t="n"/>
    </row>
    <row r="489">
      <c r="A489" s="16" t="n"/>
      <c r="B489" s="19" t="n"/>
      <c r="D489" s="16" t="n">
        <v>42472</v>
      </c>
      <c r="E489" s="19" t="n">
        <v>3.57</v>
      </c>
      <c r="G489" s="16" t="n">
        <v>42472</v>
      </c>
      <c r="H489" s="19" t="n">
        <v>1.56</v>
      </c>
      <c r="J489" s="16" t="n">
        <v>42472</v>
      </c>
      <c r="K489" s="19" t="n">
        <v>111.9</v>
      </c>
      <c r="M489" s="16" t="n"/>
      <c r="N489" s="19" t="n"/>
    </row>
    <row r="490">
      <c r="A490" s="16" t="n"/>
      <c r="B490" s="19" t="n"/>
      <c r="D490" s="16" t="n">
        <v>42473</v>
      </c>
      <c r="E490" s="19" t="n">
        <v>3.61</v>
      </c>
      <c r="G490" s="16" t="n">
        <v>42473</v>
      </c>
      <c r="H490" s="19" t="n">
        <v>1.6</v>
      </c>
      <c r="J490" s="16" t="n">
        <v>42473</v>
      </c>
      <c r="K490" s="19" t="n">
        <v>111.47</v>
      </c>
      <c r="M490" s="16" t="n"/>
      <c r="N490" s="19" t="n"/>
    </row>
    <row r="491">
      <c r="A491" s="16" t="n"/>
      <c r="B491" s="19" t="n"/>
      <c r="D491" s="16" t="n">
        <v>42474</v>
      </c>
      <c r="E491" s="19" t="n">
        <v>3.5</v>
      </c>
      <c r="G491" s="16" t="n">
        <v>42474</v>
      </c>
      <c r="H491" s="19" t="n">
        <v>1.64</v>
      </c>
      <c r="J491" s="16" t="n">
        <v>42474</v>
      </c>
      <c r="K491" s="19" t="n">
        <v>111.36</v>
      </c>
      <c r="M491" s="16" t="n"/>
      <c r="N491" s="19" t="n"/>
    </row>
    <row r="492">
      <c r="A492" s="16" t="n"/>
      <c r="B492" s="19" t="n"/>
      <c r="D492" s="16" t="n">
        <v>42475</v>
      </c>
      <c r="E492" s="19" t="n">
        <v>3.4</v>
      </c>
      <c r="G492" s="16" t="n">
        <v>42475</v>
      </c>
      <c r="H492" s="19" t="n">
        <v>1.69</v>
      </c>
      <c r="J492" s="16" t="n">
        <v>42475</v>
      </c>
      <c r="K492" s="19" t="n">
        <v>109.91</v>
      </c>
      <c r="M492" s="16" t="n"/>
      <c r="N492" s="19" t="n"/>
    </row>
    <row r="493">
      <c r="A493" s="16" t="n"/>
      <c r="B493" s="19" t="n"/>
      <c r="D493" s="16" t="n">
        <v>42478</v>
      </c>
      <c r="E493" s="19" t="n">
        <v>3.37</v>
      </c>
      <c r="G493" s="16" t="n">
        <v>42478</v>
      </c>
      <c r="H493" s="19" t="n">
        <v>1.62</v>
      </c>
      <c r="J493" s="16" t="n">
        <v>42478</v>
      </c>
      <c r="K493" s="19" t="n">
        <v>109.09</v>
      </c>
      <c r="M493" s="16" t="n"/>
      <c r="N493" s="19" t="n"/>
    </row>
    <row r="494">
      <c r="A494" s="16" t="n"/>
      <c r="B494" s="19" t="n"/>
      <c r="D494" s="16" t="n">
        <v>42479</v>
      </c>
      <c r="E494" s="19" t="n">
        <v>3.37</v>
      </c>
      <c r="G494" s="16" t="n">
        <v>42479</v>
      </c>
      <c r="H494" s="19" t="n">
        <v>1.71</v>
      </c>
      <c r="J494" s="16" t="n">
        <v>42479</v>
      </c>
      <c r="K494" s="19" t="n">
        <v>108.6</v>
      </c>
      <c r="M494" s="16" t="n"/>
      <c r="N494" s="19" t="n"/>
    </row>
    <row r="495">
      <c r="A495" s="16" t="n"/>
      <c r="B495" s="19" t="n"/>
      <c r="D495" s="16" t="n">
        <v>42480</v>
      </c>
      <c r="E495" s="19" t="n">
        <v>3.42</v>
      </c>
      <c r="G495" s="16" t="n">
        <v>42480</v>
      </c>
      <c r="H495" s="19" t="n">
        <v>1.68</v>
      </c>
      <c r="J495" s="16" t="n">
        <v>42480</v>
      </c>
      <c r="K495" s="19" t="n">
        <v>108.05</v>
      </c>
      <c r="M495" s="16" t="n"/>
      <c r="N495" s="19" t="n"/>
    </row>
    <row r="496">
      <c r="A496" s="16" t="n"/>
      <c r="B496" s="19" t="n"/>
      <c r="D496" s="16" t="n">
        <v>42481</v>
      </c>
      <c r="E496" s="19" t="n">
        <v>3.43</v>
      </c>
      <c r="G496" s="16" t="n">
        <v>42481</v>
      </c>
      <c r="H496" s="19" t="n">
        <v>1.6</v>
      </c>
      <c r="J496" s="16" t="n">
        <v>42481</v>
      </c>
      <c r="K496" s="19" t="n">
        <v>108.91</v>
      </c>
      <c r="M496" s="16" t="n"/>
      <c r="N496" s="19" t="n"/>
    </row>
    <row r="497">
      <c r="A497" s="16" t="n"/>
      <c r="B497" s="19" t="n"/>
      <c r="D497" s="16" t="n">
        <v>42482</v>
      </c>
      <c r="E497" s="19" t="n">
        <v>3.39</v>
      </c>
      <c r="G497" s="16" t="n">
        <v>42482</v>
      </c>
      <c r="H497" s="19" t="n">
        <v>1.54</v>
      </c>
      <c r="J497" s="16" t="n">
        <v>42482</v>
      </c>
      <c r="K497" s="19" t="n">
        <v>108.8</v>
      </c>
      <c r="M497" s="16" t="n"/>
      <c r="N497" s="19" t="n"/>
    </row>
    <row r="498">
      <c r="A498" s="16" t="n"/>
      <c r="B498" s="19" t="n"/>
      <c r="D498" s="16" t="n">
        <v>42485</v>
      </c>
      <c r="E498" s="19" t="n">
        <v>3.37</v>
      </c>
      <c r="G498" s="16" t="n">
        <v>42485</v>
      </c>
      <c r="H498" s="19" t="n">
        <v>1.51</v>
      </c>
      <c r="J498" s="16" t="n">
        <v>42485</v>
      </c>
      <c r="K498" s="19" t="n">
        <v>108.97</v>
      </c>
      <c r="M498" s="16" t="n"/>
      <c r="N498" s="19" t="n"/>
    </row>
    <row r="499">
      <c r="A499" s="16" t="n"/>
      <c r="B499" s="19" t="n"/>
      <c r="D499" s="16" t="n">
        <v>42486</v>
      </c>
      <c r="E499" s="19" t="n">
        <v>3.43</v>
      </c>
      <c r="G499" s="16" t="n">
        <v>42486</v>
      </c>
      <c r="H499" s="19" t="n">
        <v>1.49</v>
      </c>
      <c r="J499" s="16" t="n">
        <v>42486</v>
      </c>
      <c r="K499" s="19" t="n">
        <v>108.55</v>
      </c>
      <c r="M499" s="16" t="n"/>
      <c r="N499" s="19" t="n"/>
    </row>
    <row r="500">
      <c r="A500" s="16" t="n"/>
      <c r="B500" s="19" t="n"/>
      <c r="D500" s="16" t="n">
        <v>42487</v>
      </c>
      <c r="E500" s="19" t="n">
        <v>3.47</v>
      </c>
      <c r="G500" s="16" t="n">
        <v>42487</v>
      </c>
      <c r="H500" s="19" t="n">
        <v>1.53</v>
      </c>
      <c r="J500" s="16" t="n">
        <v>42487</v>
      </c>
      <c r="K500" s="19" t="n">
        <v>108.15</v>
      </c>
      <c r="M500" s="16" t="n"/>
      <c r="N500" s="19" t="n"/>
    </row>
    <row r="501">
      <c r="A501" s="16" t="n"/>
      <c r="B501" s="19" t="n"/>
      <c r="D501" s="16" t="n">
        <v>42488</v>
      </c>
      <c r="E501" s="19" t="n">
        <v>3.46</v>
      </c>
      <c r="G501" s="16" t="n">
        <v>42488</v>
      </c>
      <c r="H501" s="19" t="n">
        <v>1.5</v>
      </c>
      <c r="J501" s="16" t="n">
        <v>42488</v>
      </c>
      <c r="K501" s="19" t="n">
        <v>107.34</v>
      </c>
      <c r="M501" s="16" t="n"/>
      <c r="N501" s="19" t="n"/>
    </row>
    <row r="502">
      <c r="A502" s="16" t="n"/>
      <c r="B502" s="19" t="n"/>
      <c r="D502" s="16" t="n">
        <v>42489</v>
      </c>
      <c r="E502" s="19" t="n">
        <v>3.5</v>
      </c>
      <c r="G502" s="16" t="n">
        <v>42489</v>
      </c>
      <c r="H502" s="19" t="n">
        <v>1.52</v>
      </c>
      <c r="J502" s="16" t="n">
        <v>42489</v>
      </c>
      <c r="K502" s="19" t="n">
        <v>108.12</v>
      </c>
      <c r="M502" s="16" t="n"/>
      <c r="N502" s="19" t="n"/>
    </row>
    <row r="503">
      <c r="A503" s="16" t="n"/>
      <c r="B503" s="19" t="n"/>
      <c r="D503" s="16" t="n">
        <v>42492</v>
      </c>
      <c r="E503" s="19" t="n">
        <v>3.58</v>
      </c>
      <c r="G503" s="16" t="n">
        <v>42492</v>
      </c>
      <c r="H503" s="19" t="n">
        <v>1.41</v>
      </c>
      <c r="J503" s="16" t="n">
        <v>42492</v>
      </c>
      <c r="K503" s="19" t="n">
        <v>107.4</v>
      </c>
      <c r="M503" s="16" t="n"/>
      <c r="N503" s="19" t="n"/>
    </row>
    <row r="504">
      <c r="A504" s="16" t="n"/>
      <c r="B504" s="19" t="n"/>
      <c r="D504" s="16" t="n">
        <v>42493</v>
      </c>
      <c r="E504" s="19" t="n">
        <v>3.57</v>
      </c>
      <c r="G504" s="16" t="n">
        <v>42493</v>
      </c>
      <c r="H504" s="19" t="n">
        <v>1.48</v>
      </c>
      <c r="J504" s="16" t="n">
        <v>42493</v>
      </c>
      <c r="K504" s="19" t="n">
        <v>107.38</v>
      </c>
      <c r="M504" s="16" t="n"/>
      <c r="N504" s="19" t="n"/>
    </row>
    <row r="505">
      <c r="A505" s="16" t="n"/>
      <c r="B505" s="19" t="n"/>
      <c r="D505" s="16" t="n">
        <v>42494</v>
      </c>
      <c r="E505" s="19" t="n">
        <v>3.6</v>
      </c>
      <c r="G505" s="16" t="n">
        <v>42494</v>
      </c>
      <c r="H505" s="19" t="n">
        <v>1.44</v>
      </c>
      <c r="J505" s="16" t="n">
        <v>42494</v>
      </c>
      <c r="K505" s="19" t="n">
        <v>108.07</v>
      </c>
      <c r="M505" s="16" t="n"/>
      <c r="N505" s="19" t="n"/>
    </row>
    <row r="506">
      <c r="A506" s="16" t="n"/>
      <c r="B506" s="19" t="n"/>
      <c r="D506" s="16" t="n">
        <v>42495</v>
      </c>
      <c r="E506" s="19" t="n">
        <v>3.66</v>
      </c>
      <c r="G506" s="16" t="n">
        <v>42495</v>
      </c>
      <c r="H506" s="19" t="n">
        <v>1.49</v>
      </c>
      <c r="J506" s="16" t="n">
        <v>42495</v>
      </c>
      <c r="K506" s="19" t="n">
        <v>108.56</v>
      </c>
      <c r="M506" s="16" t="n"/>
      <c r="N506" s="19" t="n"/>
    </row>
    <row r="507">
      <c r="A507" s="16" t="n"/>
      <c r="B507" s="19" t="n"/>
      <c r="D507" s="16" t="n">
        <v>42496</v>
      </c>
      <c r="E507" s="19" t="n">
        <v>3.64</v>
      </c>
      <c r="G507" s="16" t="n">
        <v>42496</v>
      </c>
      <c r="H507" s="19" t="n">
        <v>1.56</v>
      </c>
      <c r="J507" s="16" t="n">
        <v>42496</v>
      </c>
      <c r="K507" s="19" t="n">
        <v>108.17</v>
      </c>
      <c r="M507" s="16" t="n"/>
      <c r="N507" s="19" t="n"/>
    </row>
    <row r="508">
      <c r="A508" s="16" t="n"/>
      <c r="B508" s="19" t="n"/>
      <c r="D508" s="16" t="n">
        <v>42499</v>
      </c>
      <c r="E508" s="19" t="n">
        <v>3.6</v>
      </c>
      <c r="G508" s="16" t="n">
        <v>42499</v>
      </c>
      <c r="H508" s="19" t="n">
        <v>1.53</v>
      </c>
      <c r="J508" s="16" t="n">
        <v>42499</v>
      </c>
      <c r="K508" s="19" t="n">
        <v>108.24</v>
      </c>
      <c r="M508" s="16" t="n"/>
      <c r="N508" s="19" t="n"/>
    </row>
    <row r="509">
      <c r="A509" s="16" t="n"/>
      <c r="B509" s="19" t="n"/>
      <c r="D509" s="16" t="n">
        <v>42500</v>
      </c>
      <c r="E509" s="19" t="n">
        <v>3.66</v>
      </c>
      <c r="G509" s="16" t="n">
        <v>42500</v>
      </c>
      <c r="H509" s="19" t="n">
        <v>1.53</v>
      </c>
      <c r="J509" s="16" t="n">
        <v>42500</v>
      </c>
      <c r="K509" s="19" t="n">
        <v>108.52</v>
      </c>
      <c r="M509" s="16" t="n"/>
      <c r="N509" s="19" t="n"/>
    </row>
    <row r="510">
      <c r="A510" s="16" t="n"/>
      <c r="B510" s="19" t="n"/>
      <c r="D510" s="16" t="n">
        <v>42501</v>
      </c>
      <c r="E510" s="19" t="n">
        <v>3.65</v>
      </c>
      <c r="G510" s="16" t="n">
        <v>42501</v>
      </c>
      <c r="H510" s="19" t="n">
        <v>1.56</v>
      </c>
      <c r="J510" s="16" t="n">
        <v>42501</v>
      </c>
      <c r="K510" s="19" t="n">
        <v>108.58</v>
      </c>
      <c r="M510" s="16" t="n"/>
      <c r="N510" s="19" t="n"/>
    </row>
    <row r="511">
      <c r="A511" s="16" t="n"/>
      <c r="B511" s="19" t="n"/>
      <c r="D511" s="16" t="n">
        <v>42502</v>
      </c>
      <c r="E511" s="19" t="n">
        <v>3.6</v>
      </c>
      <c r="G511" s="16" t="n">
        <v>42502</v>
      </c>
      <c r="H511" s="19" t="n">
        <v>1.66</v>
      </c>
      <c r="J511" s="16" t="n">
        <v>42502</v>
      </c>
      <c r="K511" s="19" t="n">
        <v>109.05</v>
      </c>
      <c r="M511" s="16" t="n"/>
      <c r="N511" s="19" t="n"/>
    </row>
    <row r="512">
      <c r="A512" s="16" t="n"/>
      <c r="B512" s="19" t="n"/>
      <c r="D512" s="16" t="n">
        <v>42503</v>
      </c>
      <c r="E512" s="19" t="n">
        <v>3.64</v>
      </c>
      <c r="G512" s="16" t="n">
        <v>42503</v>
      </c>
      <c r="H512" s="19" t="n">
        <v>1.68</v>
      </c>
      <c r="J512" s="16" t="n">
        <v>42503</v>
      </c>
      <c r="K512" s="19" t="n">
        <v>108.7</v>
      </c>
      <c r="M512" s="16" t="n"/>
      <c r="N512" s="19" t="n"/>
    </row>
    <row r="513">
      <c r="A513" s="16" t="n"/>
      <c r="B513" s="19" t="n"/>
      <c r="D513" s="16" t="n">
        <v>42506</v>
      </c>
      <c r="E513" s="19" t="n">
        <v>3.63</v>
      </c>
      <c r="G513" s="16" t="n">
        <v>42506</v>
      </c>
      <c r="H513" s="19" t="n">
        <v>1.71</v>
      </c>
      <c r="J513" s="16" t="n">
        <v>42506</v>
      </c>
      <c r="K513" s="19" t="n">
        <v>109.39</v>
      </c>
      <c r="M513" s="16" t="n"/>
      <c r="N513" s="19" t="n"/>
    </row>
    <row r="514">
      <c r="A514" s="16" t="n"/>
      <c r="B514" s="19" t="n"/>
      <c r="D514" s="16" t="n">
        <v>42507</v>
      </c>
      <c r="E514" s="19" t="n">
        <v>3.65</v>
      </c>
      <c r="G514" s="16" t="n">
        <v>42507</v>
      </c>
      <c r="H514" s="19" t="n">
        <v>1.69</v>
      </c>
      <c r="J514" s="16" t="n">
        <v>42507</v>
      </c>
      <c r="K514" s="19" t="n">
        <v>109.26</v>
      </c>
      <c r="M514" s="16" t="n"/>
      <c r="N514" s="19" t="n"/>
    </row>
    <row r="515">
      <c r="A515" s="16" t="n"/>
      <c r="B515" s="19" t="n"/>
      <c r="D515" s="16" t="n">
        <v>42508</v>
      </c>
      <c r="E515" s="19" t="n">
        <v>3.6</v>
      </c>
      <c r="G515" s="16" t="n">
        <v>42508</v>
      </c>
      <c r="H515" s="19" t="n">
        <v>1.67</v>
      </c>
      <c r="J515" s="16" t="n">
        <v>42508</v>
      </c>
      <c r="K515" s="19" t="n">
        <v>109.14</v>
      </c>
      <c r="M515" s="16" t="n"/>
      <c r="N515" s="19" t="n"/>
    </row>
    <row r="516">
      <c r="A516" s="16" t="n"/>
      <c r="B516" s="19" t="n"/>
      <c r="D516" s="16" t="n">
        <v>42509</v>
      </c>
      <c r="E516" s="19" t="n">
        <v>3.57</v>
      </c>
      <c r="G516" s="16" t="n">
        <v>42509</v>
      </c>
      <c r="H516" s="19" t="n">
        <v>1.68</v>
      </c>
      <c r="J516" s="16" t="n">
        <v>42509</v>
      </c>
      <c r="K516" s="19" t="n">
        <v>110.26</v>
      </c>
      <c r="M516" s="16" t="n"/>
      <c r="N516" s="19" t="n"/>
    </row>
    <row r="517">
      <c r="A517" s="16" t="n"/>
      <c r="B517" s="19" t="n"/>
      <c r="D517" s="16" t="n">
        <v>42510</v>
      </c>
      <c r="E517" s="19" t="n">
        <v>3.54</v>
      </c>
      <c r="G517" s="16" t="n">
        <v>42510</v>
      </c>
      <c r="H517" s="19" t="n">
        <v>1.62</v>
      </c>
      <c r="J517" s="16" t="n">
        <v>42510</v>
      </c>
      <c r="K517" s="19" t="n">
        <v>109.87</v>
      </c>
      <c r="M517" s="16" t="n"/>
      <c r="N517" s="19" t="n"/>
    </row>
    <row r="518">
      <c r="A518" s="16" t="n"/>
      <c r="B518" s="19" t="n"/>
      <c r="D518" s="16" t="n">
        <v>42513</v>
      </c>
      <c r="E518" s="19" t="n">
        <v>3.59</v>
      </c>
      <c r="G518" s="16" t="n">
        <v>42513</v>
      </c>
      <c r="H518" s="19" t="n">
        <v>1.57</v>
      </c>
      <c r="J518" s="16" t="n">
        <v>42513</v>
      </c>
      <c r="K518" s="19" t="n">
        <v>110.45</v>
      </c>
      <c r="M518" s="16" t="n"/>
      <c r="N518" s="19" t="n"/>
    </row>
    <row r="519">
      <c r="A519" s="16" t="n"/>
      <c r="B519" s="19" t="n"/>
      <c r="D519" s="16" t="n">
        <v>42514</v>
      </c>
      <c r="E519" s="19" t="n">
        <v>3.64</v>
      </c>
      <c r="G519" s="16" t="n">
        <v>42514</v>
      </c>
      <c r="H519" s="19" t="n">
        <v>1.56</v>
      </c>
      <c r="J519" s="16" t="n">
        <v>42514</v>
      </c>
      <c r="K519" s="19" t="n">
        <v>109.64</v>
      </c>
      <c r="M519" s="16" t="n"/>
      <c r="N519" s="19" t="n"/>
    </row>
    <row r="520">
      <c r="A520" s="16" t="n"/>
      <c r="B520" s="19" t="n"/>
      <c r="D520" s="16" t="n">
        <v>42515</v>
      </c>
      <c r="E520" s="19" t="n">
        <v>3.66</v>
      </c>
      <c r="G520" s="16" t="n">
        <v>42515</v>
      </c>
      <c r="H520" s="19" t="n">
        <v>1.52</v>
      </c>
      <c r="J520" s="16" t="n">
        <v>42515</v>
      </c>
      <c r="K520" s="19" t="n">
        <v>109.67</v>
      </c>
      <c r="M520" s="16" t="n"/>
      <c r="N520" s="19" t="n"/>
    </row>
    <row r="521">
      <c r="A521" s="16" t="n"/>
      <c r="B521" s="19" t="n"/>
      <c r="D521" s="16" t="n">
        <v>42516</v>
      </c>
      <c r="E521" s="19" t="n">
        <v>3.74</v>
      </c>
      <c r="G521" s="16" t="n">
        <v>42516</v>
      </c>
      <c r="H521" s="19" t="n">
        <v>1.53</v>
      </c>
      <c r="J521" s="16" t="n">
        <v>42516</v>
      </c>
      <c r="K521" s="19" t="n">
        <v>108.63</v>
      </c>
      <c r="M521" s="16" t="n"/>
      <c r="N521" s="19" t="n"/>
    </row>
    <row r="522">
      <c r="A522" s="16" t="n"/>
      <c r="B522" s="19" t="n"/>
      <c r="D522" s="16" t="n">
        <v>42517</v>
      </c>
      <c r="E522" s="19" t="n">
        <v>3.73</v>
      </c>
      <c r="G522" s="16" t="n">
        <v>42517</v>
      </c>
      <c r="H522" s="19" t="n">
        <v>1.49</v>
      </c>
      <c r="J522" s="16" t="n">
        <v>42517</v>
      </c>
      <c r="K522" s="19" t="n">
        <v>109.58</v>
      </c>
      <c r="M522" s="16" t="n"/>
      <c r="N522" s="19" t="n"/>
    </row>
    <row r="523">
      <c r="A523" s="16" t="n"/>
      <c r="B523" s="19" t="n"/>
      <c r="D523" s="16" t="n">
        <v>42520</v>
      </c>
      <c r="E523" s="19" t="n">
        <v>3.74</v>
      </c>
      <c r="G523" s="16" t="n">
        <v>42520</v>
      </c>
      <c r="H523" s="19" t="n">
        <v>1.46</v>
      </c>
      <c r="J523" s="16" t="n">
        <v>42520</v>
      </c>
      <c r="K523" s="19" t="n">
        <v>109.62</v>
      </c>
      <c r="M523" s="16" t="n"/>
      <c r="N523" s="19" t="n"/>
    </row>
    <row r="524">
      <c r="A524" s="16" t="n"/>
      <c r="B524" s="19" t="n"/>
      <c r="D524" s="16" t="n">
        <v>42521</v>
      </c>
      <c r="E524" s="19" t="n">
        <v>3.73</v>
      </c>
      <c r="G524" s="16" t="n">
        <v>42521</v>
      </c>
      <c r="H524" s="19" t="n">
        <v>1.42</v>
      </c>
      <c r="J524" s="16" t="n">
        <v>42521</v>
      </c>
      <c r="K524" s="19" t="n">
        <v>108.89</v>
      </c>
      <c r="M524" s="16" t="n"/>
      <c r="N524" s="19" t="n"/>
    </row>
    <row r="525">
      <c r="A525" s="16" t="n"/>
      <c r="B525" s="19" t="n"/>
      <c r="D525" s="16" t="n">
        <v>42522</v>
      </c>
      <c r="E525" s="19" t="n">
        <v>3.72</v>
      </c>
      <c r="G525" s="16" t="n">
        <v>42522</v>
      </c>
      <c r="H525" s="19" t="n">
        <v>1.39</v>
      </c>
      <c r="J525" s="16" t="n">
        <v>42522</v>
      </c>
      <c r="K525" s="19" t="n">
        <v>108.69</v>
      </c>
      <c r="M525" s="16" t="n"/>
      <c r="N525" s="19" t="n"/>
    </row>
    <row r="526">
      <c r="A526" s="16" t="n"/>
      <c r="B526" s="19" t="n"/>
      <c r="D526" s="16" t="n">
        <v>42523</v>
      </c>
      <c r="E526" s="19" t="n">
        <v>3.75</v>
      </c>
      <c r="G526" s="16" t="n">
        <v>42523</v>
      </c>
      <c r="H526" s="19" t="n">
        <v>1.43</v>
      </c>
      <c r="J526" s="16" t="n">
        <v>42523</v>
      </c>
      <c r="K526" s="19" t="n">
        <v>108.27</v>
      </c>
      <c r="M526" s="16" t="n"/>
      <c r="N526" s="19" t="n"/>
    </row>
    <row r="527">
      <c r="A527" s="16" t="n"/>
      <c r="B527" s="19" t="n"/>
      <c r="D527" s="16" t="n">
        <v>42524</v>
      </c>
      <c r="E527" s="19" t="n">
        <v>3.76</v>
      </c>
      <c r="G527" s="16" t="n">
        <v>42524</v>
      </c>
      <c r="H527" s="19" t="n">
        <v>1.38</v>
      </c>
      <c r="J527" s="16" t="n">
        <v>42524</v>
      </c>
      <c r="K527" s="19" t="n">
        <v>107.11</v>
      </c>
      <c r="M527" s="16" t="n"/>
      <c r="N527" s="19" t="n"/>
    </row>
    <row r="528">
      <c r="A528" s="16" t="n"/>
      <c r="B528" s="19" t="n"/>
      <c r="D528" s="16" t="n">
        <v>42527</v>
      </c>
      <c r="E528" s="19" t="n">
        <v>3.8</v>
      </c>
      <c r="G528" s="16" t="n">
        <v>42527</v>
      </c>
      <c r="H528" s="19" t="n">
        <v>1.45</v>
      </c>
      <c r="J528" s="16" t="n">
        <v>42527</v>
      </c>
      <c r="K528" s="19" t="n">
        <v>106.78</v>
      </c>
      <c r="M528" s="16" t="n"/>
      <c r="N528" s="19" t="n"/>
    </row>
    <row r="529">
      <c r="A529" s="16" t="n"/>
      <c r="B529" s="19" t="n"/>
      <c r="D529" s="16" t="n">
        <v>42528</v>
      </c>
      <c r="E529" s="19" t="n">
        <v>3.74</v>
      </c>
      <c r="G529" s="16" t="n">
        <v>42528</v>
      </c>
      <c r="H529" s="19" t="n">
        <v>1.38</v>
      </c>
      <c r="J529" s="16" t="n">
        <v>42528</v>
      </c>
      <c r="K529" s="19" t="n">
        <v>106.58</v>
      </c>
      <c r="M529" s="16" t="n"/>
      <c r="N529" s="19" t="n"/>
    </row>
    <row r="530">
      <c r="A530" s="16" t="n"/>
      <c r="B530" s="19" t="n"/>
      <c r="D530" s="16" t="n">
        <v>42529</v>
      </c>
      <c r="E530" s="19" t="n">
        <v>3.78</v>
      </c>
      <c r="G530" s="16" t="n">
        <v>42529</v>
      </c>
      <c r="H530" s="19" t="n">
        <v>1.39</v>
      </c>
      <c r="J530" s="16" t="n">
        <v>42529</v>
      </c>
      <c r="K530" s="19" t="n">
        <v>105.82</v>
      </c>
      <c r="M530" s="16" t="n"/>
      <c r="N530" s="19" t="n"/>
    </row>
    <row r="531">
      <c r="A531" s="16" t="n"/>
      <c r="B531" s="19" t="n"/>
      <c r="D531" s="16" t="n">
        <v>42530</v>
      </c>
      <c r="E531" s="19" t="n">
        <v>3.79</v>
      </c>
      <c r="G531" s="16" t="n">
        <v>42530</v>
      </c>
      <c r="H531" s="19" t="n">
        <v>1.33</v>
      </c>
      <c r="J531" s="16" t="n">
        <v>42530</v>
      </c>
      <c r="K531" s="19" t="n">
        <v>105.62</v>
      </c>
      <c r="M531" s="16" t="n"/>
      <c r="N531" s="19" t="n"/>
    </row>
    <row r="532">
      <c r="A532" s="16" t="n"/>
      <c r="B532" s="19" t="n"/>
      <c r="D532" s="16" t="n">
        <v>42531</v>
      </c>
      <c r="E532" s="19" t="n">
        <v>3.8</v>
      </c>
      <c r="G532" s="16" t="n">
        <v>42531</v>
      </c>
      <c r="H532" s="19" t="n">
        <v>1.34</v>
      </c>
      <c r="J532" s="16" t="n">
        <v>42531</v>
      </c>
      <c r="K532" s="19" t="n">
        <v>104.58</v>
      </c>
      <c r="M532" s="16" t="n"/>
      <c r="N532" s="19" t="n"/>
    </row>
    <row r="533">
      <c r="A533" s="16" t="n"/>
      <c r="B533" s="19" t="n"/>
      <c r="D533" s="16" t="n">
        <v>42534</v>
      </c>
      <c r="E533" s="19" t="n">
        <v>3.76</v>
      </c>
      <c r="G533" s="16" t="n">
        <v>42534</v>
      </c>
      <c r="H533" s="19" t="n">
        <v>1.34</v>
      </c>
      <c r="J533" s="16" t="n">
        <v>42534</v>
      </c>
      <c r="K533" s="19" t="n">
        <v>104.79</v>
      </c>
      <c r="M533" s="16" t="n"/>
      <c r="N533" s="19" t="n"/>
    </row>
    <row r="534">
      <c r="A534" s="16" t="n"/>
      <c r="B534" s="19" t="n"/>
      <c r="D534" s="16" t="n">
        <v>42535</v>
      </c>
      <c r="E534" s="19" t="n">
        <v>3.74</v>
      </c>
      <c r="G534" s="16" t="n">
        <v>42535</v>
      </c>
      <c r="H534" s="19" t="n">
        <v>1.35</v>
      </c>
      <c r="J534" s="16" t="n">
        <v>42535</v>
      </c>
      <c r="K534" s="19" t="n">
        <v>105.45</v>
      </c>
      <c r="M534" s="16" t="n"/>
      <c r="N534" s="19" t="n"/>
    </row>
    <row r="535">
      <c r="A535" s="16" t="n"/>
      <c r="B535" s="19" t="n"/>
      <c r="D535" s="16" t="n">
        <v>42536</v>
      </c>
      <c r="E535" s="19" t="n">
        <v>3.66</v>
      </c>
      <c r="G535" s="16" t="n">
        <v>42536</v>
      </c>
      <c r="H535" s="19" t="n">
        <v>1.36</v>
      </c>
      <c r="J535" s="16" t="n">
        <v>42536</v>
      </c>
      <c r="K535" s="19" t="n">
        <v>106.68</v>
      </c>
      <c r="M535" s="16" t="n"/>
      <c r="N535" s="19" t="n"/>
    </row>
    <row r="536">
      <c r="A536" s="16" t="n"/>
      <c r="B536" s="19" t="n"/>
      <c r="D536" s="16" t="n">
        <v>42537</v>
      </c>
      <c r="E536" s="19" t="n">
        <v>3.67</v>
      </c>
      <c r="G536" s="16" t="n">
        <v>42537</v>
      </c>
      <c r="H536" s="19" t="n">
        <v>1.35</v>
      </c>
      <c r="J536" s="16" t="n">
        <v>42537</v>
      </c>
      <c r="K536" s="19" t="n">
        <v>107.31</v>
      </c>
      <c r="M536" s="16" t="n"/>
      <c r="N536" s="19" t="n"/>
    </row>
    <row r="537">
      <c r="A537" s="16" t="n"/>
      <c r="B537" s="19" t="n"/>
      <c r="D537" s="16" t="n">
        <v>42538</v>
      </c>
      <c r="E537" s="19" t="n">
        <v>3.71</v>
      </c>
      <c r="G537" s="16" t="n">
        <v>42538</v>
      </c>
      <c r="H537" s="19" t="n">
        <v>1.36</v>
      </c>
      <c r="J537" s="16" t="n">
        <v>42538</v>
      </c>
      <c r="K537" s="19" t="n">
        <v>106.04</v>
      </c>
      <c r="M537" s="16" t="n"/>
      <c r="N537" s="19" t="n"/>
    </row>
    <row r="538">
      <c r="A538" s="16" t="n"/>
      <c r="B538" s="19" t="n"/>
      <c r="D538" s="16" t="n">
        <v>42541</v>
      </c>
      <c r="E538" s="19" t="n">
        <v>3.71</v>
      </c>
      <c r="G538" s="16" t="n">
        <v>42541</v>
      </c>
      <c r="H538" s="19" t="n">
        <v>1.37</v>
      </c>
      <c r="J538" s="16" t="n">
        <v>42541</v>
      </c>
      <c r="K538" s="19" t="n">
        <v>106.31</v>
      </c>
      <c r="M538" s="16" t="n"/>
      <c r="N538" s="19" t="n"/>
    </row>
    <row r="539">
      <c r="A539" s="16" t="n"/>
      <c r="B539" s="19" t="n"/>
      <c r="D539" s="16" t="n">
        <v>42542</v>
      </c>
      <c r="E539" s="19" t="n">
        <v>3.78</v>
      </c>
      <c r="G539" s="16" t="n">
        <v>42542</v>
      </c>
      <c r="H539" s="19" t="n">
        <v>1.3</v>
      </c>
      <c r="J539" s="16" t="n">
        <v>42542</v>
      </c>
      <c r="K539" s="19" t="n">
        <v>105.68</v>
      </c>
      <c r="M539" s="16" t="n"/>
      <c r="N539" s="19" t="n"/>
    </row>
    <row r="540">
      <c r="A540" s="16" t="n"/>
      <c r="B540" s="19" t="n"/>
      <c r="D540" s="16" t="n">
        <v>42543</v>
      </c>
      <c r="E540" s="19" t="n">
        <v>3.78</v>
      </c>
      <c r="G540" s="16" t="n">
        <v>42543</v>
      </c>
      <c r="H540" s="19" t="n">
        <v>1.33</v>
      </c>
      <c r="J540" s="16" t="n">
        <v>42543</v>
      </c>
      <c r="K540" s="19" t="n">
        <v>105.29</v>
      </c>
      <c r="M540" s="16" t="n"/>
      <c r="N540" s="19" t="n"/>
    </row>
    <row r="541">
      <c r="A541" s="16" t="n"/>
      <c r="B541" s="19" t="n"/>
      <c r="D541" s="16" t="n">
        <v>42544</v>
      </c>
      <c r="E541" s="19" t="n">
        <v>3.73</v>
      </c>
      <c r="G541" s="16" t="n">
        <v>42544</v>
      </c>
      <c r="H541" s="19" t="n">
        <v>1.35</v>
      </c>
      <c r="J541" s="16" t="n">
        <v>42544</v>
      </c>
      <c r="K541" s="19" t="n">
        <v>105.33</v>
      </c>
      <c r="M541" s="16" t="n"/>
      <c r="N541" s="19" t="n"/>
    </row>
    <row r="542">
      <c r="A542" s="16" t="n"/>
      <c r="B542" s="19" t="n"/>
      <c r="D542" s="16" t="n">
        <v>42545</v>
      </c>
      <c r="E542" s="19" t="n">
        <v>3.77</v>
      </c>
      <c r="G542" s="16" t="n">
        <v>42545</v>
      </c>
      <c r="H542" s="19" t="n">
        <v>1.34</v>
      </c>
      <c r="J542" s="16" t="n">
        <v>42545</v>
      </c>
      <c r="K542" s="19" t="n">
        <v>105.48</v>
      </c>
      <c r="M542" s="16" t="n"/>
      <c r="N542" s="19" t="n"/>
    </row>
    <row r="543">
      <c r="A543" s="16" t="n"/>
      <c r="B543" s="19" t="n"/>
      <c r="D543" s="16" t="n">
        <v>42548</v>
      </c>
      <c r="E543" s="19" t="n">
        <v>3.69</v>
      </c>
      <c r="G543" s="16" t="n">
        <v>42548</v>
      </c>
      <c r="H543" s="19" t="n">
        <v>1.35</v>
      </c>
      <c r="J543" s="16" t="n">
        <v>42548</v>
      </c>
      <c r="K543" s="19" t="n">
        <v>105.69</v>
      </c>
      <c r="M543" s="16" t="n"/>
      <c r="N543" s="19" t="n"/>
    </row>
    <row r="544">
      <c r="A544" s="16" t="n"/>
      <c r="B544" s="19" t="n"/>
      <c r="D544" s="16" t="n">
        <v>42549</v>
      </c>
      <c r="E544" s="19" t="n">
        <v>3.67</v>
      </c>
      <c r="G544" s="16" t="n">
        <v>42549</v>
      </c>
      <c r="H544" s="19" t="n">
        <v>1.3</v>
      </c>
      <c r="J544" s="16" t="n">
        <v>42549</v>
      </c>
      <c r="K544" s="19" t="n">
        <v>106.51</v>
      </c>
      <c r="M544" s="16" t="n"/>
      <c r="N544" s="19" t="n"/>
    </row>
    <row r="545">
      <c r="A545" s="16" t="n"/>
      <c r="B545" s="19" t="n"/>
      <c r="D545" s="16" t="n">
        <v>42550</v>
      </c>
      <c r="E545" s="19" t="n">
        <v>3.71</v>
      </c>
      <c r="G545" s="16" t="n">
        <v>42550</v>
      </c>
      <c r="H545" s="19" t="n">
        <v>1.29</v>
      </c>
      <c r="J545" s="16" t="n">
        <v>42550</v>
      </c>
      <c r="K545" s="19" t="n">
        <v>106.96</v>
      </c>
      <c r="M545" s="16" t="n"/>
      <c r="N545" s="19" t="n"/>
    </row>
    <row r="546">
      <c r="A546" s="16" t="n"/>
      <c r="B546" s="19" t="n"/>
      <c r="D546" s="16" t="n">
        <v>42551</v>
      </c>
      <c r="E546" s="19" t="n">
        <v>3.79</v>
      </c>
      <c r="G546" s="16" t="n">
        <v>42551</v>
      </c>
      <c r="H546" s="19" t="n">
        <v>1.28</v>
      </c>
      <c r="J546" s="16" t="n">
        <v>42551</v>
      </c>
      <c r="K546" s="19" t="n">
        <v>107.73</v>
      </c>
      <c r="M546" s="16" t="n"/>
      <c r="N546" s="19" t="n"/>
    </row>
    <row r="547">
      <c r="A547" s="16" t="n"/>
      <c r="B547" s="19" t="n"/>
      <c r="D547" s="16" t="n">
        <v>42552</v>
      </c>
      <c r="E547" s="19" t="n">
        <v>3.82</v>
      </c>
      <c r="G547" s="16" t="n">
        <v>42552</v>
      </c>
      <c r="H547" s="19" t="n">
        <v>1.26</v>
      </c>
      <c r="J547" s="16" t="n">
        <v>42552</v>
      </c>
      <c r="K547" s="19" t="n">
        <v>107.55</v>
      </c>
      <c r="M547" s="16" t="n"/>
      <c r="N547" s="19" t="n"/>
    </row>
    <row r="548">
      <c r="A548" s="16" t="n"/>
      <c r="B548" s="19" t="n"/>
      <c r="D548" s="16" t="n">
        <v>42555</v>
      </c>
      <c r="E548" s="19" t="inlineStr">
        <is>
          <t>.</t>
        </is>
      </c>
      <c r="G548" s="16" t="n">
        <v>42555</v>
      </c>
      <c r="H548" s="19" t="inlineStr">
        <is>
          <t>.</t>
        </is>
      </c>
      <c r="J548" s="16" t="n">
        <v>42555</v>
      </c>
      <c r="K548" s="19" t="inlineStr">
        <is>
          <t>.</t>
        </is>
      </c>
      <c r="M548" s="16" t="n"/>
      <c r="N548" s="19" t="n"/>
    </row>
    <row r="549">
      <c r="A549" s="16" t="n"/>
      <c r="B549" s="19" t="n"/>
      <c r="D549" s="16" t="n">
        <v>42556</v>
      </c>
      <c r="E549" s="19" t="n">
        <v>3.83</v>
      </c>
      <c r="G549" s="16" t="n">
        <v>42556</v>
      </c>
      <c r="H549" s="19" t="n">
        <v>1.28</v>
      </c>
      <c r="J549" s="16" t="n">
        <v>42556</v>
      </c>
      <c r="K549" s="19" t="n">
        <v>107.85</v>
      </c>
      <c r="M549" s="16" t="n"/>
      <c r="N549" s="19" t="n"/>
    </row>
    <row r="550">
      <c r="A550" s="16" t="n"/>
      <c r="B550" s="19" t="n"/>
      <c r="D550" s="16" t="n">
        <v>42557</v>
      </c>
      <c r="E550" s="19" t="n">
        <v>3.76</v>
      </c>
      <c r="G550" s="16" t="n">
        <v>42557</v>
      </c>
      <c r="H550" s="19" t="n">
        <v>1.22</v>
      </c>
      <c r="J550" s="16" t="n">
        <v>42557</v>
      </c>
      <c r="K550" s="19" t="n">
        <v>107.38</v>
      </c>
      <c r="M550" s="16" t="n"/>
      <c r="N550" s="19" t="n"/>
    </row>
    <row r="551">
      <c r="A551" s="16" t="n"/>
      <c r="B551" s="19" t="n"/>
      <c r="D551" s="16" t="n">
        <v>42558</v>
      </c>
      <c r="E551" s="19" t="n">
        <v>3.78</v>
      </c>
      <c r="G551" s="16" t="n">
        <v>42558</v>
      </c>
      <c r="H551" s="19" t="n">
        <v>1.24</v>
      </c>
      <c r="J551" s="16" t="n">
        <v>42558</v>
      </c>
      <c r="K551" s="19" t="n">
        <v>107.32</v>
      </c>
      <c r="M551" s="16" t="n"/>
      <c r="N551" s="19" t="n"/>
    </row>
    <row r="552">
      <c r="A552" s="16" t="n"/>
      <c r="B552" s="19" t="n"/>
      <c r="D552" s="16" t="n">
        <v>42559</v>
      </c>
      <c r="E552" s="19" t="n">
        <v>3.81</v>
      </c>
      <c r="G552" s="16" t="n">
        <v>42559</v>
      </c>
      <c r="H552" s="19" t="n">
        <v>1.3</v>
      </c>
      <c r="J552" s="16" t="n">
        <v>42559</v>
      </c>
      <c r="K552" s="19" t="n">
        <v>106.71</v>
      </c>
      <c r="M552" s="16" t="n"/>
      <c r="N552" s="19" t="n"/>
    </row>
    <row r="553">
      <c r="A553" s="16" t="n"/>
      <c r="B553" s="19" t="n"/>
      <c r="D553" s="16" t="n">
        <v>42562</v>
      </c>
      <c r="E553" s="19" t="n">
        <v>3.84</v>
      </c>
      <c r="G553" s="16" t="n">
        <v>42562</v>
      </c>
      <c r="H553" s="19" t="n">
        <v>1.28</v>
      </c>
      <c r="J553" s="16" t="n">
        <v>42562</v>
      </c>
      <c r="K553" s="19" t="n">
        <v>107.47</v>
      </c>
      <c r="M553" s="16" t="n"/>
      <c r="N553" s="19" t="n"/>
    </row>
    <row r="554">
      <c r="A554" s="16" t="n"/>
      <c r="B554" s="19" t="n"/>
      <c r="D554" s="16" t="n">
        <v>42563</v>
      </c>
      <c r="E554" s="19" t="n">
        <v>3.76</v>
      </c>
      <c r="G554" s="16" t="n">
        <v>42563</v>
      </c>
      <c r="H554" s="19" t="n">
        <v>1.29</v>
      </c>
      <c r="J554" s="16" t="n">
        <v>42563</v>
      </c>
      <c r="K554" s="19" t="n">
        <v>106.45</v>
      </c>
      <c r="M554" s="16" t="n"/>
      <c r="N554" s="19" t="n"/>
    </row>
    <row r="555">
      <c r="A555" s="16" t="n"/>
      <c r="B555" s="19" t="n"/>
      <c r="D555" s="16" t="n">
        <v>42564</v>
      </c>
      <c r="E555" s="19" t="n">
        <v>3.76</v>
      </c>
      <c r="G555" s="16" t="n">
        <v>42564</v>
      </c>
      <c r="H555" s="19" t="n">
        <v>1.28</v>
      </c>
      <c r="J555" s="16" t="n">
        <v>42564</v>
      </c>
      <c r="K555" s="19" t="n">
        <v>106.27</v>
      </c>
      <c r="M555" s="16" t="n"/>
      <c r="N555" s="19" t="n"/>
    </row>
    <row r="556">
      <c r="A556" s="16" t="n"/>
      <c r="B556" s="19" t="n"/>
      <c r="D556" s="16" t="n">
        <v>42565</v>
      </c>
      <c r="E556" s="19" t="n">
        <v>3.79</v>
      </c>
      <c r="G556" s="16" t="n">
        <v>42565</v>
      </c>
      <c r="H556" s="19" t="n">
        <v>1.23</v>
      </c>
      <c r="J556" s="16" t="n">
        <v>42565</v>
      </c>
      <c r="K556" s="19" t="n">
        <v>106.16</v>
      </c>
      <c r="M556" s="16" t="n"/>
      <c r="N556" s="19" t="n"/>
    </row>
    <row r="557">
      <c r="A557" s="16" t="n"/>
      <c r="B557" s="19" t="n"/>
      <c r="D557" s="16" t="n">
        <v>42566</v>
      </c>
      <c r="E557" s="19" t="n">
        <v>3.82</v>
      </c>
      <c r="G557" s="16" t="n">
        <v>42566</v>
      </c>
      <c r="H557" s="19" t="n">
        <v>1.22</v>
      </c>
      <c r="J557" s="16" t="n">
        <v>42566</v>
      </c>
      <c r="K557" s="19" t="n">
        <v>106.47</v>
      </c>
      <c r="M557" s="16" t="n"/>
      <c r="N557" s="19" t="n"/>
    </row>
    <row r="558">
      <c r="A558" s="16" t="n"/>
      <c r="B558" s="19" t="n"/>
      <c r="D558" s="16" t="n">
        <v>42569</v>
      </c>
      <c r="E558" s="19" t="n">
        <v>3.81</v>
      </c>
      <c r="G558" s="16" t="n">
        <v>42569</v>
      </c>
      <c r="H558" s="19" t="n">
        <v>1.23</v>
      </c>
      <c r="J558" s="16" t="n">
        <v>42569</v>
      </c>
      <c r="K558" s="19" t="n">
        <v>106.03</v>
      </c>
      <c r="M558" s="16" t="n"/>
      <c r="N558" s="19" t="n"/>
    </row>
    <row r="559">
      <c r="A559" s="16" t="n"/>
      <c r="B559" s="19" t="n"/>
      <c r="D559" s="16" t="n">
        <v>42570</v>
      </c>
      <c r="E559" s="19" t="n">
        <v>3.75</v>
      </c>
      <c r="G559" s="16" t="n">
        <v>42570</v>
      </c>
      <c r="H559" s="19" t="n">
        <v>1.2</v>
      </c>
      <c r="J559" s="16" t="n">
        <v>42570</v>
      </c>
      <c r="K559" s="19" t="n">
        <v>106.71</v>
      </c>
      <c r="M559" s="16" t="n"/>
      <c r="N559" s="19" t="n"/>
    </row>
    <row r="560">
      <c r="A560" s="16" t="n"/>
      <c r="B560" s="19" t="n"/>
      <c r="D560" s="16" t="n">
        <v>42571</v>
      </c>
      <c r="E560" s="19" t="n">
        <v>3.77</v>
      </c>
      <c r="G560" s="16" t="n">
        <v>42571</v>
      </c>
      <c r="H560" s="19" t="n">
        <v>1.19</v>
      </c>
      <c r="J560" s="16" t="n">
        <v>42571</v>
      </c>
      <c r="K560" s="19" t="n">
        <v>106.38</v>
      </c>
      <c r="M560" s="16" t="n"/>
      <c r="N560" s="19" t="n"/>
    </row>
    <row r="561">
      <c r="A561" s="16" t="n"/>
      <c r="B561" s="19" t="n"/>
      <c r="D561" s="16" t="n">
        <v>42572</v>
      </c>
      <c r="E561" s="19" t="n">
        <v>3.82</v>
      </c>
      <c r="G561" s="16" t="n">
        <v>42572</v>
      </c>
      <c r="H561" s="19" t="n">
        <v>1.22</v>
      </c>
      <c r="J561" s="16" t="n">
        <v>42572</v>
      </c>
      <c r="K561" s="19" t="n">
        <v>106.37</v>
      </c>
      <c r="M561" s="16" t="n"/>
      <c r="N561" s="19" t="n"/>
    </row>
    <row r="562">
      <c r="A562" s="16" t="n"/>
      <c r="B562" s="19" t="n"/>
      <c r="D562" s="16" t="n">
        <v>42573</v>
      </c>
      <c r="E562" s="19" t="n">
        <v>3.85</v>
      </c>
      <c r="G562" s="16" t="n">
        <v>42573</v>
      </c>
      <c r="H562" s="19" t="n">
        <v>1.22</v>
      </c>
      <c r="J562" s="16" t="n">
        <v>42573</v>
      </c>
      <c r="K562" s="19" t="n">
        <v>107.07</v>
      </c>
      <c r="M562" s="16" t="n"/>
      <c r="N562" s="19" t="n"/>
    </row>
    <row r="563">
      <c r="A563" s="16" t="n"/>
      <c r="B563" s="19" t="n"/>
      <c r="D563" s="16" t="n">
        <v>42576</v>
      </c>
      <c r="E563" s="19" t="n">
        <v>3.81</v>
      </c>
      <c r="G563" s="16" t="n">
        <v>42576</v>
      </c>
      <c r="H563" s="19" t="n">
        <v>1.23</v>
      </c>
      <c r="J563" s="16" t="n">
        <v>42576</v>
      </c>
      <c r="K563" s="19" t="n">
        <v>107.36</v>
      </c>
      <c r="M563" s="16" t="n"/>
      <c r="N563" s="19" t="n"/>
    </row>
    <row r="564">
      <c r="A564" s="16" t="n"/>
      <c r="B564" s="19" t="n"/>
      <c r="D564" s="16" t="n">
        <v>42577</v>
      </c>
      <c r="E564" s="19" t="n">
        <v>3.83</v>
      </c>
      <c r="G564" s="16" t="n">
        <v>42577</v>
      </c>
      <c r="H564" s="19" t="n">
        <v>1.2</v>
      </c>
      <c r="J564" s="16" t="n">
        <v>42577</v>
      </c>
      <c r="K564" s="19" t="n">
        <v>107.02</v>
      </c>
      <c r="M564" s="16" t="n"/>
      <c r="N564" s="19" t="n"/>
    </row>
    <row r="565">
      <c r="A565" s="16" t="n"/>
      <c r="B565" s="19" t="n"/>
      <c r="D565" s="16" t="n">
        <v>42578</v>
      </c>
      <c r="E565" s="19" t="n">
        <v>3.86</v>
      </c>
      <c r="G565" s="16" t="n">
        <v>42578</v>
      </c>
      <c r="H565" s="19" t="n">
        <v>1.27</v>
      </c>
      <c r="J565" s="16" t="n">
        <v>42578</v>
      </c>
      <c r="K565" s="19" t="n">
        <v>106.57</v>
      </c>
      <c r="M565" s="16" t="n"/>
      <c r="N565" s="19" t="n"/>
    </row>
    <row r="566">
      <c r="A566" s="16" t="n"/>
      <c r="B566" s="19" t="n"/>
      <c r="D566" s="16" t="n">
        <v>42579</v>
      </c>
      <c r="E566" s="19" t="n">
        <v>3.85</v>
      </c>
      <c r="G566" s="16" t="n">
        <v>42579</v>
      </c>
      <c r="H566" s="19" t="n">
        <v>1.32</v>
      </c>
      <c r="J566" s="16" t="n">
        <v>42579</v>
      </c>
      <c r="K566" s="19" t="n">
        <v>106.46</v>
      </c>
      <c r="M566" s="16" t="n"/>
      <c r="N566" s="19" t="n"/>
    </row>
    <row r="567">
      <c r="A567" s="16" t="n"/>
      <c r="B567" s="19" t="n"/>
      <c r="D567" s="16" t="n">
        <v>42580</v>
      </c>
      <c r="E567" s="19" t="n">
        <v>3.88</v>
      </c>
      <c r="G567" s="16" t="n">
        <v>42580</v>
      </c>
      <c r="H567" s="19" t="n">
        <v>1.35</v>
      </c>
      <c r="J567" s="16" t="n">
        <v>42580</v>
      </c>
      <c r="K567" s="19" t="n">
        <v>106.38</v>
      </c>
      <c r="M567" s="16" t="n"/>
      <c r="N567" s="19" t="n"/>
    </row>
    <row r="568">
      <c r="A568" s="16" t="n"/>
      <c r="B568" s="19" t="n"/>
      <c r="D568" s="16" t="n">
        <v>42583</v>
      </c>
      <c r="E568" s="19" t="n">
        <v>3.97</v>
      </c>
      <c r="G568" s="16" t="n">
        <v>42583</v>
      </c>
      <c r="H568" s="19" t="n">
        <v>1.36</v>
      </c>
      <c r="J568" s="16" t="n">
        <v>42583</v>
      </c>
      <c r="K568" s="19" t="n">
        <v>106.18</v>
      </c>
      <c r="M568" s="16" t="n"/>
      <c r="N568" s="19" t="n"/>
    </row>
    <row r="569">
      <c r="A569" s="16" t="n"/>
      <c r="B569" s="19" t="n"/>
      <c r="D569" s="16" t="n">
        <v>42584</v>
      </c>
      <c r="E569" s="19" t="n">
        <v>4.01</v>
      </c>
      <c r="G569" s="16" t="n">
        <v>42584</v>
      </c>
      <c r="H569" s="19" t="n">
        <v>1.4</v>
      </c>
      <c r="J569" s="16" t="n">
        <v>42584</v>
      </c>
      <c r="K569" s="19" t="n">
        <v>105.74</v>
      </c>
      <c r="M569" s="16" t="n"/>
      <c r="N569" s="19" t="n"/>
    </row>
    <row r="570">
      <c r="A570" s="16" t="n"/>
      <c r="B570" s="19" t="n"/>
      <c r="D570" s="16" t="n">
        <v>42585</v>
      </c>
      <c r="E570" s="19" t="n">
        <v>4.01</v>
      </c>
      <c r="G570" s="16" t="n">
        <v>42585</v>
      </c>
      <c r="H570" s="19" t="n">
        <v>1.38</v>
      </c>
      <c r="J570" s="16" t="n">
        <v>42585</v>
      </c>
      <c r="K570" s="19" t="n">
        <v>105.77</v>
      </c>
      <c r="M570" s="16" t="n"/>
      <c r="N570" s="19" t="n"/>
    </row>
    <row r="571">
      <c r="A571" s="16" t="n"/>
      <c r="B571" s="19" t="n"/>
      <c r="D571" s="16" t="n">
        <v>42586</v>
      </c>
      <c r="E571" s="19" t="n">
        <v>3.95</v>
      </c>
      <c r="G571" s="16" t="n">
        <v>42586</v>
      </c>
      <c r="H571" s="19" t="n">
        <v>1.39</v>
      </c>
      <c r="J571" s="16" t="n">
        <v>42586</v>
      </c>
      <c r="K571" s="19" t="n">
        <v>106.45</v>
      </c>
      <c r="M571" s="16" t="n"/>
      <c r="N571" s="19" t="n"/>
    </row>
    <row r="572">
      <c r="A572" s="16" t="n"/>
      <c r="B572" s="19" t="n"/>
      <c r="D572" s="16" t="n">
        <v>42587</v>
      </c>
      <c r="E572" s="19" t="n">
        <v>3.93</v>
      </c>
      <c r="G572" s="16" t="n">
        <v>42587</v>
      </c>
      <c r="H572" s="19" t="n">
        <v>1.38</v>
      </c>
      <c r="J572" s="16" t="n">
        <v>42587</v>
      </c>
      <c r="K572" s="19" t="n">
        <v>106.4</v>
      </c>
      <c r="M572" s="16" t="n"/>
      <c r="N572" s="19" t="n"/>
    </row>
    <row r="573">
      <c r="A573" s="16" t="n"/>
      <c r="B573" s="19" t="n"/>
      <c r="D573" s="16" t="n">
        <v>42590</v>
      </c>
      <c r="E573" s="19" t="n">
        <v>3.87</v>
      </c>
      <c r="G573" s="16" t="n">
        <v>42590</v>
      </c>
      <c r="H573" s="19" t="n">
        <v>1.38</v>
      </c>
      <c r="J573" s="16" t="n">
        <v>42590</v>
      </c>
      <c r="K573" s="19" t="n">
        <v>106.17</v>
      </c>
      <c r="M573" s="16" t="n"/>
      <c r="N573" s="19" t="n"/>
    </row>
    <row r="574">
      <c r="A574" s="16" t="n"/>
      <c r="B574" s="19" t="n"/>
      <c r="D574" s="16" t="n">
        <v>42591</v>
      </c>
      <c r="E574" s="19" t="n">
        <v>3.83</v>
      </c>
      <c r="G574" s="16" t="n">
        <v>42591</v>
      </c>
      <c r="H574" s="19" t="n">
        <v>1.44</v>
      </c>
      <c r="J574" s="16" t="n">
        <v>42591</v>
      </c>
      <c r="K574" s="19" t="n">
        <v>105.89</v>
      </c>
      <c r="M574" s="16" t="n"/>
      <c r="N574" s="19" t="n"/>
    </row>
    <row r="575">
      <c r="A575" s="16" t="n"/>
      <c r="B575" s="19" t="n"/>
      <c r="D575" s="16" t="n">
        <v>42592</v>
      </c>
      <c r="E575" s="19" t="n">
        <v>3.81</v>
      </c>
      <c r="G575" s="16" t="n">
        <v>42592</v>
      </c>
      <c r="H575" s="19" t="n">
        <v>1.33</v>
      </c>
      <c r="J575" s="16" t="n">
        <v>42592</v>
      </c>
      <c r="K575" s="19" t="n">
        <v>106.18</v>
      </c>
      <c r="M575" s="16" t="n"/>
      <c r="N575" s="19" t="n"/>
    </row>
    <row r="576">
      <c r="A576" s="16" t="n"/>
      <c r="B576" s="19" t="n"/>
      <c r="D576" s="16" t="n">
        <v>42593</v>
      </c>
      <c r="E576" s="19" t="n">
        <v>3.81</v>
      </c>
      <c r="G576" s="16" t="n">
        <v>42593</v>
      </c>
      <c r="H576" s="19" t="n">
        <v>1.37</v>
      </c>
      <c r="J576" s="16" t="n">
        <v>42593</v>
      </c>
      <c r="K576" s="19" t="n">
        <v>105.8</v>
      </c>
      <c r="M576" s="16" t="n"/>
      <c r="N576" s="19" t="n"/>
    </row>
    <row r="577">
      <c r="A577" s="16" t="n"/>
      <c r="B577" s="19" t="n"/>
      <c r="D577" s="16" t="n">
        <v>42594</v>
      </c>
      <c r="E577" s="19" t="n">
        <v>3.8</v>
      </c>
      <c r="G577" s="16" t="n">
        <v>42594</v>
      </c>
      <c r="H577" s="19" t="n">
        <v>1.37</v>
      </c>
      <c r="J577" s="16" t="n">
        <v>42594</v>
      </c>
      <c r="K577" s="19" t="n">
        <v>106.68</v>
      </c>
      <c r="M577" s="16" t="n"/>
      <c r="N577" s="19" t="n"/>
    </row>
    <row r="578">
      <c r="A578" s="16" t="n"/>
      <c r="B578" s="19" t="n"/>
      <c r="D578" s="16" t="n">
        <v>42597</v>
      </c>
      <c r="E578" s="19" t="n">
        <v>3.83</v>
      </c>
      <c r="G578" s="16" t="n">
        <v>42597</v>
      </c>
      <c r="H578" s="19" t="n">
        <v>1.29</v>
      </c>
      <c r="J578" s="16" t="n">
        <v>42597</v>
      </c>
      <c r="K578" s="19" t="n">
        <v>107.83</v>
      </c>
      <c r="M578" s="16" t="n"/>
      <c r="N578" s="19" t="n"/>
    </row>
    <row r="579">
      <c r="A579" s="16" t="n"/>
      <c r="B579" s="19" t="n"/>
      <c r="D579" s="16" t="n">
        <v>42598</v>
      </c>
      <c r="E579" s="19" t="n">
        <v>3.88</v>
      </c>
      <c r="G579" s="16" t="n">
        <v>42598</v>
      </c>
      <c r="H579" s="19" t="n">
        <v>1.27</v>
      </c>
      <c r="J579" s="16" t="n">
        <v>42598</v>
      </c>
      <c r="K579" s="19" t="n">
        <v>107.23</v>
      </c>
      <c r="M579" s="16" t="n"/>
      <c r="N579" s="19" t="n"/>
    </row>
    <row r="580">
      <c r="A580" s="16" t="n"/>
      <c r="B580" s="19" t="n"/>
      <c r="D580" s="16" t="n">
        <v>42599</v>
      </c>
      <c r="E580" s="19" t="n">
        <v>3.85</v>
      </c>
      <c r="G580" s="16" t="n">
        <v>42599</v>
      </c>
      <c r="H580" s="19" t="n">
        <v>1.2</v>
      </c>
      <c r="J580" s="16" t="n">
        <v>42599</v>
      </c>
      <c r="K580" s="19" t="n">
        <v>107.01</v>
      </c>
      <c r="M580" s="16" t="n"/>
      <c r="N580" s="19" t="n"/>
    </row>
    <row r="581">
      <c r="A581" s="16" t="n"/>
      <c r="B581" s="19" t="n"/>
      <c r="D581" s="16" t="n">
        <v>42600</v>
      </c>
      <c r="E581" s="19" t="n">
        <v>3.89</v>
      </c>
      <c r="G581" s="16" t="n">
        <v>42600</v>
      </c>
      <c r="H581" s="19" t="n">
        <v>1.2</v>
      </c>
      <c r="J581" s="16" t="n">
        <v>42600</v>
      </c>
      <c r="K581" s="19" t="n">
        <v>106.56</v>
      </c>
      <c r="M581" s="16" t="n"/>
      <c r="N581" s="19" t="n"/>
    </row>
    <row r="582">
      <c r="A582" s="16" t="n"/>
      <c r="B582" s="19" t="n"/>
      <c r="D582" s="16" t="n">
        <v>42601</v>
      </c>
      <c r="E582" s="19" t="n">
        <v>3.91</v>
      </c>
      <c r="G582" s="16" t="n">
        <v>42601</v>
      </c>
      <c r="H582" s="19" t="n">
        <v>1.22</v>
      </c>
      <c r="J582" s="16" t="n">
        <v>42601</v>
      </c>
      <c r="K582" s="19" t="n">
        <v>106.72</v>
      </c>
      <c r="M582" s="16" t="n"/>
      <c r="N582" s="19" t="n"/>
    </row>
    <row r="583">
      <c r="A583" s="16" t="n"/>
      <c r="B583" s="19" t="n"/>
      <c r="D583" s="16" t="n">
        <v>42604</v>
      </c>
      <c r="E583" s="19" t="n">
        <v>3.94</v>
      </c>
      <c r="G583" s="16" t="n">
        <v>42604</v>
      </c>
      <c r="H583" s="19" t="n">
        <v>1.28</v>
      </c>
      <c r="J583" s="16" t="n">
        <v>42604</v>
      </c>
      <c r="K583" s="19" t="n">
        <v>107.04</v>
      </c>
      <c r="M583" s="16" t="n"/>
      <c r="N583" s="19" t="n"/>
    </row>
    <row r="584">
      <c r="A584" s="16" t="n"/>
      <c r="B584" s="19" t="n"/>
      <c r="D584" s="16" t="n">
        <v>42605</v>
      </c>
      <c r="E584" s="19" t="n">
        <v>4</v>
      </c>
      <c r="G584" s="16" t="n">
        <v>42605</v>
      </c>
      <c r="H584" s="19" t="n">
        <v>1.32</v>
      </c>
      <c r="J584" s="16" t="n">
        <v>42605</v>
      </c>
      <c r="K584" s="19" t="n">
        <v>106.97</v>
      </c>
      <c r="M584" s="16" t="n"/>
      <c r="N584" s="19" t="n"/>
    </row>
    <row r="585">
      <c r="A585" s="16" t="n"/>
      <c r="B585" s="19" t="n"/>
      <c r="D585" s="16" t="n">
        <v>42606</v>
      </c>
      <c r="E585" s="19" t="n">
        <v>4.03</v>
      </c>
      <c r="G585" s="16" t="n">
        <v>42606</v>
      </c>
      <c r="H585" s="19" t="n">
        <v>1.32</v>
      </c>
      <c r="J585" s="16" t="n">
        <v>42606</v>
      </c>
      <c r="K585" s="19" t="n">
        <v>106.8</v>
      </c>
      <c r="M585" s="16" t="n"/>
      <c r="N585" s="19" t="n"/>
    </row>
    <row r="586">
      <c r="A586" s="16" t="n"/>
      <c r="B586" s="19" t="n"/>
      <c r="D586" s="16" t="n">
        <v>42607</v>
      </c>
      <c r="E586" s="19" t="n">
        <v>4.05</v>
      </c>
      <c r="G586" s="16" t="n">
        <v>42607</v>
      </c>
      <c r="H586" s="19" t="n">
        <v>1.35</v>
      </c>
      <c r="J586" s="16" t="n">
        <v>42607</v>
      </c>
      <c r="K586" s="19" t="n">
        <v>107.27</v>
      </c>
      <c r="M586" s="16" t="n"/>
      <c r="N586" s="19" t="n"/>
    </row>
    <row r="587">
      <c r="A587" s="16" t="n"/>
      <c r="B587" s="19" t="n"/>
      <c r="D587" s="16" t="n">
        <v>42608</v>
      </c>
      <c r="E587" s="19" t="n">
        <v>4.06</v>
      </c>
      <c r="G587" s="16" t="n">
        <v>42608</v>
      </c>
      <c r="H587" s="19" t="n">
        <v>1.29</v>
      </c>
      <c r="J587" s="16" t="n">
        <v>42608</v>
      </c>
      <c r="K587" s="19" t="n">
        <v>107.31</v>
      </c>
      <c r="M587" s="16" t="n"/>
      <c r="N587" s="19" t="n"/>
    </row>
    <row r="588">
      <c r="A588" s="16" t="n"/>
      <c r="B588" s="19" t="n"/>
      <c r="D588" s="16" t="n">
        <v>42611</v>
      </c>
      <c r="E588" s="19" t="n">
        <v>4.08</v>
      </c>
      <c r="G588" s="16" t="n">
        <v>42611</v>
      </c>
      <c r="H588" s="19" t="n">
        <v>1.32</v>
      </c>
      <c r="J588" s="16" t="n">
        <v>42611</v>
      </c>
      <c r="K588" s="19" t="n">
        <v>107.54</v>
      </c>
      <c r="M588" s="16" t="n"/>
      <c r="N588" s="19" t="n"/>
    </row>
    <row r="589">
      <c r="A589" s="16" t="n"/>
      <c r="B589" s="19" t="n"/>
      <c r="D589" s="16" t="n">
        <v>42612</v>
      </c>
      <c r="E589" s="19" t="n">
        <v>4.08</v>
      </c>
      <c r="G589" s="16" t="n">
        <v>42612</v>
      </c>
      <c r="H589" s="19" t="n">
        <v>1.32</v>
      </c>
      <c r="J589" s="16" t="n">
        <v>42612</v>
      </c>
      <c r="K589" s="19" t="n">
        <v>108.19</v>
      </c>
      <c r="M589" s="16" t="n"/>
      <c r="N589" s="19" t="n"/>
    </row>
    <row r="590">
      <c r="A590" s="16" t="n"/>
      <c r="B590" s="19" t="n"/>
      <c r="D590" s="16" t="n">
        <v>42613</v>
      </c>
      <c r="E590" s="19" t="n">
        <v>4.12</v>
      </c>
      <c r="G590" s="16" t="n">
        <v>42613</v>
      </c>
      <c r="H590" s="19" t="n">
        <v>1.32</v>
      </c>
      <c r="J590" s="16" t="n">
        <v>42613</v>
      </c>
      <c r="K590" s="19" t="n">
        <v>108.36</v>
      </c>
      <c r="M590" s="16" t="n"/>
      <c r="N590" s="19" t="n"/>
    </row>
    <row r="591">
      <c r="A591" s="16" t="n"/>
      <c r="B591" s="19" t="n"/>
      <c r="D591" s="16" t="n">
        <v>42614</v>
      </c>
      <c r="E591" s="19" t="n">
        <v>4.12</v>
      </c>
      <c r="G591" s="16" t="n">
        <v>42614</v>
      </c>
      <c r="H591" s="19" t="n">
        <v>1.31</v>
      </c>
      <c r="J591" s="16" t="n">
        <v>42614</v>
      </c>
      <c r="K591" s="19" t="n">
        <v>108.37</v>
      </c>
      <c r="M591" s="16" t="n"/>
      <c r="N591" s="19" t="n"/>
    </row>
    <row r="592">
      <c r="A592" s="16" t="n"/>
      <c r="B592" s="19" t="n"/>
      <c r="D592" s="16" t="n">
        <v>42615</v>
      </c>
      <c r="E592" s="19" t="n">
        <v>4.11</v>
      </c>
      <c r="G592" s="16" t="n">
        <v>42615</v>
      </c>
      <c r="H592" s="19" t="n">
        <v>1.34</v>
      </c>
      <c r="J592" s="16" t="n">
        <v>42615</v>
      </c>
      <c r="K592" s="19" t="n">
        <v>107.91</v>
      </c>
      <c r="M592" s="16" t="n"/>
      <c r="N592" s="19" t="n"/>
    </row>
    <row r="593">
      <c r="A593" s="16" t="n"/>
      <c r="B593" s="19" t="n"/>
      <c r="D593" s="16" t="n">
        <v>42618</v>
      </c>
      <c r="E593" s="19" t="n">
        <v>4.09</v>
      </c>
      <c r="G593" s="16" t="n">
        <v>42618</v>
      </c>
      <c r="H593" s="19" t="n">
        <v>1.36</v>
      </c>
      <c r="J593" s="16" t="n">
        <v>42618</v>
      </c>
      <c r="K593" s="19" t="n">
        <v>108.17</v>
      </c>
      <c r="M593" s="16" t="n"/>
      <c r="N593" s="19" t="n"/>
    </row>
    <row r="594">
      <c r="A594" s="16" t="n"/>
      <c r="B594" s="19" t="n"/>
      <c r="D594" s="16" t="n">
        <v>42619</v>
      </c>
      <c r="E594" s="19" t="n">
        <v>4.05</v>
      </c>
      <c r="G594" s="16" t="n">
        <v>42619</v>
      </c>
      <c r="H594" s="19" t="n">
        <v>1.33</v>
      </c>
      <c r="J594" s="16" t="n">
        <v>42619</v>
      </c>
      <c r="K594" s="19" t="n">
        <v>108.01</v>
      </c>
      <c r="M594" s="16" t="n"/>
      <c r="N594" s="19" t="n"/>
    </row>
    <row r="595">
      <c r="A595" s="16" t="n"/>
      <c r="B595" s="19" t="n"/>
      <c r="D595" s="16" t="n">
        <v>42620</v>
      </c>
      <c r="E595" s="19" t="n">
        <v>4.07</v>
      </c>
      <c r="G595" s="16" t="n">
        <v>42620</v>
      </c>
      <c r="H595" s="19" t="n">
        <v>1.36</v>
      </c>
      <c r="J595" s="16" t="n">
        <v>42620</v>
      </c>
      <c r="K595" s="19" t="n">
        <v>107.99</v>
      </c>
      <c r="M595" s="16" t="n"/>
      <c r="N595" s="19" t="n"/>
    </row>
    <row r="596">
      <c r="A596" s="16" t="n"/>
      <c r="B596" s="19" t="n"/>
      <c r="D596" s="16" t="n">
        <v>42621</v>
      </c>
      <c r="E596" s="19" t="n">
        <v>4.14</v>
      </c>
      <c r="G596" s="16" t="n">
        <v>42621</v>
      </c>
      <c r="H596" s="19" t="n">
        <v>1.39</v>
      </c>
      <c r="J596" s="16" t="n">
        <v>42621</v>
      </c>
      <c r="K596" s="19" t="n">
        <v>107.17</v>
      </c>
      <c r="M596" s="16" t="n"/>
      <c r="N596" s="19" t="n"/>
    </row>
    <row r="597">
      <c r="A597" s="16" t="n"/>
      <c r="B597" s="19" t="n"/>
      <c r="D597" s="16" t="n">
        <v>42622</v>
      </c>
      <c r="E597" s="19" t="n">
        <v>4.13</v>
      </c>
      <c r="G597" s="16" t="n">
        <v>42622</v>
      </c>
      <c r="H597" s="19" t="n">
        <v>1.43</v>
      </c>
      <c r="J597" s="16" t="n">
        <v>42622</v>
      </c>
      <c r="K597" s="19" t="n">
        <v>107.74</v>
      </c>
      <c r="M597" s="16" t="n"/>
      <c r="N597" s="19" t="n"/>
    </row>
    <row r="598">
      <c r="A598" s="16" t="n"/>
      <c r="B598" s="19" t="n"/>
      <c r="D598" s="16" t="n">
        <v>42625</v>
      </c>
      <c r="E598" s="19" t="n">
        <v>4.11</v>
      </c>
      <c r="G598" s="16" t="n">
        <v>42625</v>
      </c>
      <c r="H598" s="19" t="n">
        <v>1.42</v>
      </c>
      <c r="J598" s="16" t="n">
        <v>42625</v>
      </c>
      <c r="K598" s="19" t="n">
        <v>107.67</v>
      </c>
      <c r="M598" s="16" t="n"/>
      <c r="N598" s="19" t="n"/>
    </row>
    <row r="599">
      <c r="A599" s="16" t="n"/>
      <c r="B599" s="19" t="n"/>
      <c r="D599" s="16" t="n">
        <v>42626</v>
      </c>
      <c r="E599" s="19" t="n">
        <v>4.12</v>
      </c>
      <c r="G599" s="16" t="n">
        <v>42626</v>
      </c>
      <c r="H599" s="19" t="n">
        <v>1.37</v>
      </c>
      <c r="J599" s="16" t="n">
        <v>42626</v>
      </c>
      <c r="K599" s="19" t="n">
        <v>107.81</v>
      </c>
      <c r="M599" s="16" t="n"/>
      <c r="N599" s="19" t="n"/>
    </row>
    <row r="600">
      <c r="A600" s="16" t="n"/>
      <c r="B600" s="19" t="n"/>
      <c r="D600" s="16" t="n">
        <v>42627</v>
      </c>
      <c r="E600" s="19" t="n">
        <v>4.17</v>
      </c>
      <c r="G600" s="16" t="n">
        <v>42627</v>
      </c>
      <c r="H600" s="19" t="n">
        <v>1.38</v>
      </c>
      <c r="J600" s="16" t="n">
        <v>42627</v>
      </c>
      <c r="K600" s="19" t="n">
        <v>108.3</v>
      </c>
      <c r="M600" s="16" t="n"/>
      <c r="N600" s="19" t="n"/>
    </row>
    <row r="601">
      <c r="A601" s="16" t="n"/>
      <c r="B601" s="19" t="n"/>
      <c r="D601" s="16" t="n">
        <v>42628</v>
      </c>
      <c r="E601" s="19" t="n">
        <v>4.14</v>
      </c>
      <c r="G601" s="16" t="n">
        <v>42628</v>
      </c>
      <c r="H601" s="19" t="n">
        <v>1.42</v>
      </c>
      <c r="J601" s="16" t="n">
        <v>42628</v>
      </c>
      <c r="K601" s="19" t="n">
        <v>108.14</v>
      </c>
      <c r="M601" s="16" t="n"/>
      <c r="N601" s="19" t="n"/>
    </row>
    <row r="602">
      <c r="A602" s="16" t="n"/>
      <c r="B602" s="19" t="n"/>
      <c r="D602" s="16" t="n">
        <v>42629</v>
      </c>
      <c r="E602" s="19" t="n">
        <v>4.16</v>
      </c>
      <c r="G602" s="16" t="n">
        <v>42629</v>
      </c>
      <c r="H602" s="19" t="n">
        <v>1.44</v>
      </c>
      <c r="J602" s="16" t="n">
        <v>42629</v>
      </c>
      <c r="K602" s="19" t="n">
        <v>107.58</v>
      </c>
      <c r="M602" s="16" t="n"/>
      <c r="N602" s="19" t="n"/>
    </row>
    <row r="603">
      <c r="D603" s="16" t="n">
        <v>42632</v>
      </c>
      <c r="E603" s="19" t="n">
        <v>4.11</v>
      </c>
      <c r="G603" s="16" t="n">
        <v>42632</v>
      </c>
      <c r="H603" s="19" t="n">
        <v>1.48</v>
      </c>
      <c r="J603" s="16" t="n">
        <v>42632</v>
      </c>
      <c r="K603" s="19" t="n">
        <v>107.96</v>
      </c>
    </row>
    <row r="604">
      <c r="D604" s="16" t="n">
        <v>42633</v>
      </c>
      <c r="E604" s="19" t="n">
        <v>4.14</v>
      </c>
      <c r="G604" s="16" t="n">
        <v>42633</v>
      </c>
      <c r="H604" s="19" t="n">
        <v>1.45</v>
      </c>
      <c r="J604" s="16" t="n">
        <v>42633</v>
      </c>
      <c r="K604" s="19" t="n">
        <v>108.46</v>
      </c>
    </row>
    <row r="605">
      <c r="D605" s="16" t="n">
        <v>42634</v>
      </c>
      <c r="E605" s="19" t="n">
        <v>4.17</v>
      </c>
      <c r="G605" s="16" t="n">
        <v>42634</v>
      </c>
      <c r="H605" s="19" t="n">
        <v>1.42</v>
      </c>
      <c r="J605" s="16" t="n">
        <v>42634</v>
      </c>
      <c r="K605" s="19" t="n">
        <v>107.85</v>
      </c>
    </row>
    <row r="606">
      <c r="D606" s="16" t="n">
        <v>42635</v>
      </c>
      <c r="E606" s="19" t="n">
        <v>4.2</v>
      </c>
      <c r="G606" s="16" t="n">
        <v>42635</v>
      </c>
      <c r="H606" s="19" t="n">
        <v>1.43</v>
      </c>
      <c r="J606" s="16" t="n">
        <v>42635</v>
      </c>
      <c r="K606" s="19" t="n">
        <v>107.4</v>
      </c>
    </row>
    <row r="607">
      <c r="D607" s="16" t="n">
        <v>42636</v>
      </c>
      <c r="E607" s="19" t="n">
        <v>4.18</v>
      </c>
      <c r="G607" s="16" t="n">
        <v>42636</v>
      </c>
      <c r="H607" s="19" t="n">
        <v>1.39</v>
      </c>
      <c r="J607" s="16" t="n">
        <v>42636</v>
      </c>
      <c r="K607" s="19" t="n">
        <v>107.62</v>
      </c>
    </row>
    <row r="608">
      <c r="D608" s="16" t="n">
        <v>42639</v>
      </c>
      <c r="E608" s="19" t="n">
        <v>4.18</v>
      </c>
      <c r="G608" s="16" t="n">
        <v>42639</v>
      </c>
      <c r="H608" s="19" t="n">
        <v>1.43</v>
      </c>
      <c r="J608" s="16" t="n">
        <v>42639</v>
      </c>
      <c r="K608" s="19" t="n">
        <v>107.8</v>
      </c>
    </row>
    <row r="609">
      <c r="D609" s="16" t="n">
        <v>42640</v>
      </c>
      <c r="E609" s="19" t="n">
        <v>4.19</v>
      </c>
      <c r="G609" s="16" t="n">
        <v>42640</v>
      </c>
      <c r="H609" s="19" t="n">
        <v>1.48</v>
      </c>
      <c r="J609" s="16" t="n">
        <v>42640</v>
      </c>
      <c r="K609" s="19" t="n">
        <v>107.76</v>
      </c>
    </row>
    <row r="610">
      <c r="D610" s="16" t="n">
        <v>42641</v>
      </c>
      <c r="E610" s="19" t="n">
        <v>4.15</v>
      </c>
      <c r="G610" s="16" t="n">
        <v>42641</v>
      </c>
      <c r="H610" s="19" t="n">
        <v>1.48</v>
      </c>
      <c r="J610" s="16" t="n">
        <v>42641</v>
      </c>
      <c r="K610" s="19" t="n">
        <v>107.32</v>
      </c>
    </row>
    <row r="611">
      <c r="D611" s="16" t="n">
        <v>42642</v>
      </c>
      <c r="E611" s="19" t="n">
        <v>4.18</v>
      </c>
      <c r="G611" s="16" t="n">
        <v>42642</v>
      </c>
      <c r="H611" s="19" t="n">
        <v>1.55</v>
      </c>
      <c r="J611" s="16" t="n">
        <v>42642</v>
      </c>
      <c r="K611" s="19" t="n">
        <v>106.98</v>
      </c>
    </row>
    <row r="612">
      <c r="D612" s="16" t="n">
        <v>42643</v>
      </c>
      <c r="E612" s="19" t="n">
        <v>4.17</v>
      </c>
      <c r="G612" s="16" t="n">
        <v>42643</v>
      </c>
      <c r="H612" s="19" t="n">
        <v>1.5</v>
      </c>
      <c r="J612" s="16" t="n">
        <v>42643</v>
      </c>
      <c r="K612" s="19" t="n">
        <v>107.86</v>
      </c>
    </row>
    <row r="613">
      <c r="D613" s="16" t="n">
        <v>42646</v>
      </c>
      <c r="E613" s="19" t="n">
        <v>4.25</v>
      </c>
      <c r="G613" s="16" t="n">
        <v>42646</v>
      </c>
      <c r="H613" s="19" t="n">
        <v>1.53</v>
      </c>
      <c r="J613" s="16" t="n">
        <v>42646</v>
      </c>
      <c r="K613" s="19" t="n">
        <v>108.71</v>
      </c>
    </row>
    <row r="614">
      <c r="D614" s="16" t="n">
        <v>42647</v>
      </c>
      <c r="E614" s="19" t="n">
        <v>4.31</v>
      </c>
      <c r="G614" s="16" t="n">
        <v>42647</v>
      </c>
      <c r="H614" s="19" t="n">
        <v>1.51</v>
      </c>
      <c r="J614" s="16" t="n">
        <v>42647</v>
      </c>
      <c r="K614" s="19" t="n">
        <v>108.66</v>
      </c>
    </row>
    <row r="615">
      <c r="D615" s="16" t="n">
        <v>42648</v>
      </c>
      <c r="E615" s="19" t="n">
        <v>4.3</v>
      </c>
      <c r="G615" s="16" t="n">
        <v>42648</v>
      </c>
      <c r="H615" s="19" t="n">
        <v>1.55</v>
      </c>
      <c r="J615" s="16" t="n">
        <v>42648</v>
      </c>
      <c r="K615" s="19" t="n">
        <v>107.91</v>
      </c>
    </row>
    <row r="616">
      <c r="D616" s="16" t="n">
        <v>42649</v>
      </c>
      <c r="E616" s="19" t="n">
        <v>4.25</v>
      </c>
      <c r="G616" s="16" t="n">
        <v>42649</v>
      </c>
      <c r="H616" s="19" t="n">
        <v>1.56</v>
      </c>
      <c r="J616" s="16" t="n">
        <v>42649</v>
      </c>
      <c r="K616" s="19" t="n">
        <v>107.61</v>
      </c>
    </row>
    <row r="617">
      <c r="D617" s="16" t="n">
        <v>42650</v>
      </c>
      <c r="E617" s="19" t="n">
        <v>4.18</v>
      </c>
      <c r="G617" s="16" t="n">
        <v>42650</v>
      </c>
      <c r="H617" s="19" t="n">
        <v>1.53</v>
      </c>
      <c r="J617" s="16" t="n">
        <v>42650</v>
      </c>
      <c r="K617" s="19" t="n">
        <v>107.98</v>
      </c>
    </row>
    <row r="618">
      <c r="D618" s="16" t="n">
        <v>42653</v>
      </c>
      <c r="E618" s="19" t="n">
        <v>4.26</v>
      </c>
      <c r="G618" s="16" t="n">
        <v>42653</v>
      </c>
      <c r="H618" s="19" t="n">
        <v>1.53</v>
      </c>
      <c r="J618" s="16" t="n">
        <v>42653</v>
      </c>
      <c r="K618" s="19" t="n">
        <v>108.72</v>
      </c>
    </row>
    <row r="619">
      <c r="D619" s="16" t="n">
        <v>42654</v>
      </c>
      <c r="E619" s="19" t="n">
        <v>4.2</v>
      </c>
      <c r="G619" s="16" t="n">
        <v>42654</v>
      </c>
      <c r="H619" s="19" t="n">
        <v>1.53</v>
      </c>
      <c r="J619" s="16" t="n">
        <v>42654</v>
      </c>
      <c r="K619" s="19" t="n">
        <v>108.91</v>
      </c>
    </row>
    <row r="620">
      <c r="D620" s="16" t="n">
        <v>42655</v>
      </c>
      <c r="E620" s="19" t="n">
        <v>4.18</v>
      </c>
      <c r="G620" s="16" t="n">
        <v>42655</v>
      </c>
      <c r="H620" s="19" t="n">
        <v>1.53</v>
      </c>
      <c r="J620" s="16" t="n">
        <v>42655</v>
      </c>
      <c r="K620" s="19" t="n">
        <v>110.34</v>
      </c>
    </row>
    <row r="621">
      <c r="D621" s="16" t="n">
        <v>42656</v>
      </c>
      <c r="E621" s="19" t="n">
        <v>4.12</v>
      </c>
      <c r="G621" s="16" t="n">
        <v>42656</v>
      </c>
      <c r="H621" s="19" t="n">
        <v>1.46</v>
      </c>
      <c r="J621" s="16" t="n">
        <v>42656</v>
      </c>
      <c r="K621" s="19" t="n">
        <v>110.41</v>
      </c>
    </row>
    <row r="622">
      <c r="D622" s="16" t="n">
        <v>42657</v>
      </c>
      <c r="E622" s="19" t="n">
        <v>4.16</v>
      </c>
      <c r="G622" s="16" t="n">
        <v>42657</v>
      </c>
      <c r="H622" s="19" t="n">
        <v>1.4</v>
      </c>
      <c r="J622" s="16" t="n">
        <v>42657</v>
      </c>
      <c r="K622" s="19" t="n">
        <v>109.95</v>
      </c>
    </row>
    <row r="623">
      <c r="D623" s="16" t="n">
        <v>42660</v>
      </c>
      <c r="E623" s="19" t="n">
        <v>4.14</v>
      </c>
      <c r="G623" s="16" t="n">
        <v>42660</v>
      </c>
      <c r="H623" s="19" t="n">
        <v>1.4</v>
      </c>
      <c r="J623" s="16" t="n">
        <v>42660</v>
      </c>
      <c r="K623" s="19" t="n">
        <v>109.08</v>
      </c>
    </row>
    <row r="624">
      <c r="D624" s="16" t="n">
        <v>42661</v>
      </c>
      <c r="E624" s="19" t="n">
        <v>4.16</v>
      </c>
      <c r="G624" s="16" t="n">
        <v>42661</v>
      </c>
      <c r="H624" s="19" t="n">
        <v>1.42</v>
      </c>
      <c r="J624" s="16" t="n">
        <v>42661</v>
      </c>
      <c r="K624" s="19" t="n">
        <v>108.94</v>
      </c>
    </row>
    <row r="625">
      <c r="D625" s="16" t="n">
        <v>42662</v>
      </c>
      <c r="E625" s="19" t="n">
        <v>4.09</v>
      </c>
      <c r="G625" s="16" t="n">
        <v>42662</v>
      </c>
      <c r="H625" s="19" t="n">
        <v>1.47</v>
      </c>
      <c r="J625" s="16" t="n">
        <v>42662</v>
      </c>
      <c r="K625" s="19" t="n">
        <v>108.87</v>
      </c>
    </row>
    <row r="626">
      <c r="D626" s="16" t="n">
        <v>42663</v>
      </c>
      <c r="E626" s="19" t="n">
        <v>4.03</v>
      </c>
      <c r="G626" s="16" t="n">
        <v>42663</v>
      </c>
      <c r="H626" s="19" t="n">
        <v>1.49</v>
      </c>
      <c r="J626" s="16" t="n">
        <v>42663</v>
      </c>
      <c r="K626" s="19" t="n">
        <v>109.44</v>
      </c>
    </row>
    <row r="627">
      <c r="D627" s="16" t="n">
        <v>42664</v>
      </c>
      <c r="E627" s="19" t="n">
        <v>3.98</v>
      </c>
      <c r="G627" s="16" t="n">
        <v>42664</v>
      </c>
      <c r="H627" s="19" t="n">
        <v>1.52</v>
      </c>
      <c r="J627" s="16" t="n">
        <v>42664</v>
      </c>
      <c r="K627" s="19" t="n">
        <v>109.21</v>
      </c>
    </row>
    <row r="628">
      <c r="D628" s="16" t="n">
        <v>42667</v>
      </c>
      <c r="E628" s="19" t="n">
        <v>3.98</v>
      </c>
      <c r="G628" s="16" t="n">
        <v>42667</v>
      </c>
      <c r="H628" s="19" t="n">
        <v>1.53</v>
      </c>
      <c r="J628" s="16" t="n">
        <v>42667</v>
      </c>
      <c r="K628" s="19" t="n">
        <v>108.68</v>
      </c>
    </row>
    <row r="629">
      <c r="D629" s="16" t="n">
        <v>42668</v>
      </c>
      <c r="E629" s="19" t="n">
        <v>4</v>
      </c>
      <c r="G629" s="16" t="n">
        <v>42668</v>
      </c>
      <c r="H629" s="19" t="n">
        <v>1.59</v>
      </c>
      <c r="J629" s="16" t="n">
        <v>42668</v>
      </c>
      <c r="K629" s="19" t="n">
        <v>108.57</v>
      </c>
    </row>
    <row r="630">
      <c r="D630" s="16" t="n">
        <v>42669</v>
      </c>
      <c r="E630" s="19" t="n">
        <v>4.02</v>
      </c>
      <c r="G630" s="16" t="n">
        <v>42669</v>
      </c>
      <c r="H630" s="19" t="n">
        <v>1.58</v>
      </c>
      <c r="J630" s="16" t="n">
        <v>42669</v>
      </c>
      <c r="K630" s="19" t="n">
        <v>108.53</v>
      </c>
    </row>
    <row r="631">
      <c r="D631" s="16" t="n">
        <v>42670</v>
      </c>
      <c r="E631" s="19" t="n">
        <v>4.07</v>
      </c>
      <c r="G631" s="16" t="n">
        <v>42670</v>
      </c>
      <c r="H631" s="19" t="n">
        <v>1.55</v>
      </c>
      <c r="J631" s="16" t="n">
        <v>42670</v>
      </c>
      <c r="K631" s="19" t="n">
        <v>108.42</v>
      </c>
    </row>
    <row r="632">
      <c r="D632" s="16" t="n">
        <v>42671</v>
      </c>
      <c r="E632" s="19" t="n">
        <v>4.18</v>
      </c>
      <c r="G632" s="16" t="n">
        <v>42671</v>
      </c>
      <c r="H632" s="19" t="n">
        <v>1.55</v>
      </c>
      <c r="J632" s="16" t="n">
        <v>42671</v>
      </c>
      <c r="K632" s="19" t="n">
        <v>108.39</v>
      </c>
    </row>
    <row r="633">
      <c r="D633" s="16" t="n">
        <v>42674</v>
      </c>
      <c r="E633" s="19" t="n">
        <v>4.18</v>
      </c>
      <c r="G633" s="16" t="n">
        <v>42674</v>
      </c>
      <c r="H633" s="19" t="n">
        <v>1.54</v>
      </c>
      <c r="J633" s="16" t="n">
        <v>42674</v>
      </c>
      <c r="K633" s="19" t="n">
        <v>108.28</v>
      </c>
    </row>
    <row r="634">
      <c r="D634" s="16" t="n">
        <v>42675</v>
      </c>
      <c r="E634" s="19" t="n">
        <v>4.23</v>
      </c>
      <c r="G634" s="16" t="n">
        <v>42675</v>
      </c>
      <c r="H634" s="19" t="n">
        <v>1.48</v>
      </c>
      <c r="J634" s="16" t="n">
        <v>42675</v>
      </c>
      <c r="K634" s="19" t="n">
        <v>107.17</v>
      </c>
    </row>
    <row r="635">
      <c r="D635" s="16" t="n">
        <v>42676</v>
      </c>
      <c r="E635" s="19" t="n">
        <v>4.24</v>
      </c>
      <c r="G635" s="16" t="n">
        <v>42676</v>
      </c>
      <c r="H635" s="19" t="n">
        <v>1.46</v>
      </c>
      <c r="J635" s="16" t="n">
        <v>42676</v>
      </c>
      <c r="K635" s="19" t="n">
        <v>106.94</v>
      </c>
    </row>
    <row r="636">
      <c r="D636" s="16" t="n">
        <v>42677</v>
      </c>
      <c r="E636" s="19" t="n">
        <v>4.24</v>
      </c>
      <c r="G636" s="16" t="n">
        <v>42677</v>
      </c>
      <c r="H636" s="19" t="n">
        <v>1.45</v>
      </c>
      <c r="J636" s="16" t="n">
        <v>42677</v>
      </c>
      <c r="K636" s="19" t="n">
        <v>106.42</v>
      </c>
    </row>
    <row r="637">
      <c r="D637" s="16" t="n">
        <v>42678</v>
      </c>
      <c r="E637" s="19" t="n">
        <v>4.23</v>
      </c>
      <c r="G637" s="16" t="n">
        <v>42678</v>
      </c>
      <c r="H637" s="19" t="n">
        <v>1.44</v>
      </c>
      <c r="J637" s="16" t="n">
        <v>42678</v>
      </c>
      <c r="K637" s="19" t="n">
        <v>105.86</v>
      </c>
    </row>
    <row r="638">
      <c r="D638" s="16" t="n">
        <v>42681</v>
      </c>
      <c r="E638" s="19" t="n">
        <v>4.23</v>
      </c>
      <c r="G638" s="16" t="n">
        <v>42681</v>
      </c>
      <c r="H638" s="19" t="n">
        <v>1.49</v>
      </c>
      <c r="J638" s="16" t="n">
        <v>42681</v>
      </c>
      <c r="K638" s="19" t="n">
        <v>106.08</v>
      </c>
    </row>
    <row r="639">
      <c r="D639" s="16" t="n">
        <v>42682</v>
      </c>
      <c r="E639" s="19" t="n">
        <v>4.3</v>
      </c>
      <c r="G639" s="16" t="n">
        <v>42682</v>
      </c>
      <c r="H639" s="19" t="n">
        <v>1.49</v>
      </c>
      <c r="J639" s="16" t="n">
        <v>42682</v>
      </c>
      <c r="K639" s="19" t="n">
        <v>106.33</v>
      </c>
    </row>
    <row r="640">
      <c r="D640" s="16" t="n">
        <v>42683</v>
      </c>
      <c r="E640" s="19" t="n">
        <v>4.3</v>
      </c>
      <c r="G640" s="16" t="n">
        <v>42683</v>
      </c>
      <c r="H640" s="19" t="n">
        <v>1.45</v>
      </c>
      <c r="J640" s="16" t="n">
        <v>42683</v>
      </c>
      <c r="K640" s="19" t="n">
        <v>105.8</v>
      </c>
    </row>
    <row r="641">
      <c r="D641" s="16" t="n">
        <v>42684</v>
      </c>
      <c r="E641" s="19" t="n">
        <v>4.22</v>
      </c>
      <c r="G641" s="16" t="n">
        <v>42684</v>
      </c>
      <c r="H641" s="19" t="n">
        <v>1.47</v>
      </c>
      <c r="J641" s="16" t="n">
        <v>42684</v>
      </c>
      <c r="K641" s="19" t="n">
        <v>105.62</v>
      </c>
    </row>
    <row r="642">
      <c r="D642" s="16" t="n">
        <v>42685</v>
      </c>
      <c r="E642" s="19" t="n">
        <v>4.23</v>
      </c>
      <c r="G642" s="16" t="n">
        <v>42685</v>
      </c>
      <c r="H642" s="19" t="n">
        <v>1.42</v>
      </c>
      <c r="J642" s="16" t="n">
        <v>42685</v>
      </c>
      <c r="K642" s="19" t="n">
        <v>104.87</v>
      </c>
    </row>
    <row r="643">
      <c r="D643" s="16" t="n">
        <v>42688</v>
      </c>
      <c r="E643" s="19" t="n">
        <v>4.19</v>
      </c>
      <c r="G643" s="16" t="n">
        <v>42688</v>
      </c>
      <c r="H643" s="19" t="n">
        <v>1.46</v>
      </c>
      <c r="J643" s="16" t="n">
        <v>42688</v>
      </c>
      <c r="K643" s="19" t="n">
        <v>105.75</v>
      </c>
    </row>
    <row r="644">
      <c r="D644" s="16" t="n">
        <v>42689</v>
      </c>
      <c r="E644" s="19" t="n">
        <v>4.29</v>
      </c>
      <c r="G644" s="16" t="n">
        <v>42689</v>
      </c>
      <c r="H644" s="19" t="n">
        <v>1.47</v>
      </c>
      <c r="J644" s="16" t="n">
        <v>42689</v>
      </c>
      <c r="K644" s="19" t="n">
        <v>105.75</v>
      </c>
    </row>
    <row r="645">
      <c r="D645" s="16" t="n">
        <v>42690</v>
      </c>
      <c r="E645" s="19" t="n">
        <v>4.22</v>
      </c>
      <c r="G645" s="16" t="n">
        <v>42690</v>
      </c>
      <c r="H645" s="19" t="n">
        <v>1.4</v>
      </c>
      <c r="J645" s="16" t="n">
        <v>42690</v>
      </c>
      <c r="K645" s="19" t="n">
        <v>105.54</v>
      </c>
    </row>
    <row r="646">
      <c r="D646" s="16" t="n">
        <v>42691</v>
      </c>
      <c r="E646" s="19" t="n">
        <v>4.22</v>
      </c>
      <c r="G646" s="16" t="n">
        <v>42691</v>
      </c>
      <c r="H646" s="19" t="n">
        <v>1.39</v>
      </c>
      <c r="J646" s="16" t="n">
        <v>42691</v>
      </c>
      <c r="K646" s="19" t="n">
        <v>104.94</v>
      </c>
    </row>
    <row r="647">
      <c r="D647" s="16" t="n">
        <v>42692</v>
      </c>
      <c r="E647" s="19" t="n">
        <v>4.21</v>
      </c>
      <c r="G647" s="16" t="n">
        <v>42692</v>
      </c>
      <c r="H647" s="19" t="n">
        <v>1.41</v>
      </c>
      <c r="J647" s="16" t="n">
        <v>42692</v>
      </c>
      <c r="K647" s="19" t="n">
        <v>105.12</v>
      </c>
    </row>
    <row r="648">
      <c r="D648" s="16" t="n">
        <v>42695</v>
      </c>
      <c r="E648" s="19" t="n">
        <v>4.29</v>
      </c>
      <c r="G648" s="16" t="n">
        <v>42695</v>
      </c>
      <c r="H648" s="19" t="n">
        <v>1.36</v>
      </c>
      <c r="J648" s="16" t="n">
        <v>42695</v>
      </c>
      <c r="K648" s="19" t="n">
        <v>105.25</v>
      </c>
    </row>
    <row r="649">
      <c r="D649" s="16" t="n">
        <v>42696</v>
      </c>
      <c r="E649" s="19" t="n">
        <v>4.27</v>
      </c>
      <c r="G649" s="16" t="n">
        <v>42696</v>
      </c>
      <c r="H649" s="19" t="n">
        <v>1.33</v>
      </c>
      <c r="J649" s="16" t="n">
        <v>42696</v>
      </c>
      <c r="K649" s="19" t="n">
        <v>105.32</v>
      </c>
    </row>
    <row r="650">
      <c r="D650" s="16" t="n">
        <v>42697</v>
      </c>
      <c r="E650" s="19" t="n">
        <v>4.19</v>
      </c>
      <c r="G650" s="16" t="n">
        <v>42697</v>
      </c>
      <c r="H650" s="19" t="n">
        <v>1.38</v>
      </c>
      <c r="J650" s="16" t="n">
        <v>42697</v>
      </c>
      <c r="K650" s="19" t="n">
        <v>105.43</v>
      </c>
    </row>
    <row r="651">
      <c r="D651" s="16" t="n">
        <v>42698</v>
      </c>
      <c r="E651" s="19" t="inlineStr">
        <is>
          <t>.</t>
        </is>
      </c>
      <c r="G651" s="16" t="n">
        <v>42698</v>
      </c>
      <c r="H651" s="19" t="inlineStr">
        <is>
          <t>.</t>
        </is>
      </c>
      <c r="J651" s="16" t="n">
        <v>42698</v>
      </c>
      <c r="K651" s="19" t="inlineStr">
        <is>
          <t>.</t>
        </is>
      </c>
    </row>
    <row r="652">
      <c r="D652" s="16" t="n">
        <v>42699</v>
      </c>
      <c r="E652" s="19" t="n">
        <v>4.21</v>
      </c>
      <c r="G652" s="16" t="n">
        <v>42699</v>
      </c>
      <c r="H652" s="19" t="n">
        <v>1.36</v>
      </c>
      <c r="J652" s="16" t="n">
        <v>42699</v>
      </c>
      <c r="K652" s="19" t="n">
        <v>107.51</v>
      </c>
    </row>
    <row r="653">
      <c r="D653" s="16" t="n">
        <v>42702</v>
      </c>
      <c r="E653" s="19" t="n">
        <v>4.24</v>
      </c>
      <c r="G653" s="16" t="n">
        <v>42702</v>
      </c>
      <c r="H653" s="19" t="n">
        <v>1.42</v>
      </c>
      <c r="J653" s="16" t="n">
        <v>42702</v>
      </c>
      <c r="K653" s="19" t="n">
        <v>107.54</v>
      </c>
    </row>
    <row r="654">
      <c r="D654" s="16" t="n">
        <v>42703</v>
      </c>
      <c r="E654" s="19" t="n">
        <v>4.23</v>
      </c>
      <c r="G654" s="16" t="n">
        <v>42703</v>
      </c>
      <c r="H654" s="19" t="n">
        <v>1.41</v>
      </c>
      <c r="J654" s="16" t="n">
        <v>42703</v>
      </c>
      <c r="K654" s="19" t="n">
        <v>108.22</v>
      </c>
    </row>
    <row r="655">
      <c r="D655" s="16" t="n">
        <v>42704</v>
      </c>
      <c r="E655" s="19" t="n">
        <v>4.25</v>
      </c>
      <c r="G655" s="16" t="n">
        <v>42704</v>
      </c>
      <c r="H655" s="19" t="n">
        <v>1.41</v>
      </c>
      <c r="J655" s="16" t="n">
        <v>42704</v>
      </c>
      <c r="K655" s="19" t="n">
        <v>107.12</v>
      </c>
    </row>
    <row r="656">
      <c r="D656" s="16" t="n">
        <v>42705</v>
      </c>
      <c r="E656" s="19" t="n">
        <v>4.28</v>
      </c>
      <c r="G656" s="16" t="n">
        <v>42705</v>
      </c>
      <c r="H656" s="19" t="n">
        <v>1.45</v>
      </c>
      <c r="J656" s="16" t="n">
        <v>42705</v>
      </c>
      <c r="K656" s="19" t="n">
        <v>108.03</v>
      </c>
    </row>
    <row r="657">
      <c r="D657" s="16" t="n">
        <v>42706</v>
      </c>
      <c r="E657" s="19" t="n">
        <v>4.27</v>
      </c>
      <c r="G657" s="16" t="n">
        <v>42706</v>
      </c>
      <c r="H657" s="19" t="n">
        <v>1.38</v>
      </c>
      <c r="J657" s="16" t="n">
        <v>42706</v>
      </c>
      <c r="K657" s="19" t="n">
        <v>107.64</v>
      </c>
    </row>
    <row r="658">
      <c r="D658" s="16" t="n">
        <v>42709</v>
      </c>
      <c r="E658" s="19" t="n">
        <v>4.32</v>
      </c>
      <c r="G658" s="16" t="n">
        <v>42709</v>
      </c>
      <c r="H658" s="19" t="n">
        <v>1.4</v>
      </c>
      <c r="J658" s="16" t="n">
        <v>42709</v>
      </c>
      <c r="K658" s="19" t="n">
        <v>108.01</v>
      </c>
    </row>
    <row r="659">
      <c r="D659" s="16" t="n">
        <v>42710</v>
      </c>
      <c r="E659" s="19" t="n">
        <v>4.33</v>
      </c>
      <c r="G659" s="16" t="n">
        <v>42710</v>
      </c>
      <c r="H659" s="19" t="n">
        <v>1.38</v>
      </c>
      <c r="J659" s="16" t="n">
        <v>42710</v>
      </c>
      <c r="K659" s="19" t="n">
        <v>107.8</v>
      </c>
    </row>
    <row r="660">
      <c r="D660" s="16" t="n">
        <v>42711</v>
      </c>
      <c r="E660" s="19" t="n">
        <v>4.33</v>
      </c>
      <c r="G660" s="16" t="n">
        <v>42711</v>
      </c>
      <c r="H660" s="19" t="n">
        <v>1.4</v>
      </c>
      <c r="J660" s="16" t="n">
        <v>42711</v>
      </c>
      <c r="K660" s="19" t="n">
        <v>107.09</v>
      </c>
    </row>
    <row r="661">
      <c r="D661" s="16" t="n">
        <v>42712</v>
      </c>
      <c r="E661" s="19" t="n">
        <v>4.39</v>
      </c>
      <c r="G661" s="16" t="n">
        <v>42712</v>
      </c>
      <c r="H661" s="19" t="n">
        <v>1.46</v>
      </c>
      <c r="J661" s="16" t="n">
        <v>42712</v>
      </c>
      <c r="K661" s="19" t="n">
        <v>106.66</v>
      </c>
    </row>
    <row r="662">
      <c r="D662" s="16" t="n">
        <v>42713</v>
      </c>
      <c r="E662" s="19" t="n">
        <v>4.34</v>
      </c>
      <c r="G662" s="16" t="n">
        <v>42713</v>
      </c>
      <c r="H662" s="19" t="n">
        <v>1.53</v>
      </c>
      <c r="J662" s="16" t="n">
        <v>42713</v>
      </c>
      <c r="K662" s="19" t="n">
        <v>107.14</v>
      </c>
    </row>
    <row r="663">
      <c r="D663" s="16" t="n">
        <v>42716</v>
      </c>
      <c r="E663" s="19" t="n">
        <v>4.33</v>
      </c>
      <c r="G663" s="16" t="n">
        <v>42716</v>
      </c>
      <c r="H663" s="19" t="n">
        <v>1.49</v>
      </c>
      <c r="J663" s="16" t="n">
        <v>42716</v>
      </c>
      <c r="K663" s="19" t="n">
        <v>107.97</v>
      </c>
    </row>
    <row r="664">
      <c r="D664" s="16" t="n">
        <v>42717</v>
      </c>
      <c r="E664" s="19" t="n">
        <v>4.36</v>
      </c>
      <c r="G664" s="16" t="n">
        <v>42717</v>
      </c>
      <c r="H664" s="19" t="n">
        <v>1.5</v>
      </c>
      <c r="J664" s="16" t="n">
        <v>42717</v>
      </c>
      <c r="K664" s="19" t="n">
        <v>108.93</v>
      </c>
    </row>
    <row r="665">
      <c r="D665" s="16" t="n">
        <v>42718</v>
      </c>
      <c r="E665" s="19" t="n">
        <v>4.32</v>
      </c>
      <c r="G665" s="16" t="n">
        <v>42718</v>
      </c>
      <c r="H665" s="19" t="n">
        <v>1.48</v>
      </c>
      <c r="J665" s="16" t="n">
        <v>42718</v>
      </c>
      <c r="K665" s="19" t="n">
        <v>108.52</v>
      </c>
    </row>
    <row r="666">
      <c r="D666" s="16" t="n">
        <v>42719</v>
      </c>
      <c r="E666" s="19" t="n">
        <v>4.34</v>
      </c>
      <c r="G666" s="16" t="n">
        <v>42719</v>
      </c>
      <c r="H666" s="19" t="n">
        <v>1.4</v>
      </c>
      <c r="J666" s="16" t="n">
        <v>42719</v>
      </c>
      <c r="K666" s="19" t="n">
        <v>108.47</v>
      </c>
    </row>
    <row r="667">
      <c r="D667" s="16" t="n">
        <v>42720</v>
      </c>
      <c r="E667" s="19" t="n">
        <v>4.29</v>
      </c>
      <c r="G667" s="16" t="n">
        <v>42720</v>
      </c>
      <c r="H667" s="19" t="n">
        <v>1.39</v>
      </c>
      <c r="J667" s="16" t="n">
        <v>42720</v>
      </c>
      <c r="K667" s="19" t="n">
        <v>107.96</v>
      </c>
    </row>
    <row r="668">
      <c r="D668" s="16" t="n">
        <v>42723</v>
      </c>
      <c r="E668" s="19" t="n">
        <v>4.18</v>
      </c>
      <c r="G668" s="16" t="n">
        <v>42723</v>
      </c>
      <c r="H668" s="19" t="n">
        <v>1.41</v>
      </c>
      <c r="J668" s="16" t="n">
        <v>42723</v>
      </c>
      <c r="K668" s="19" t="n">
        <v>108.61</v>
      </c>
    </row>
    <row r="669">
      <c r="D669" s="16" t="n">
        <v>42724</v>
      </c>
      <c r="E669" s="19" t="n">
        <v>4.22</v>
      </c>
      <c r="G669" s="16" t="n">
        <v>42724</v>
      </c>
      <c r="H669" s="19" t="n">
        <v>1.37</v>
      </c>
      <c r="J669" s="16" t="n">
        <v>42724</v>
      </c>
      <c r="K669" s="19" t="n">
        <v>108.65</v>
      </c>
    </row>
    <row r="670">
      <c r="D670" s="16" t="n">
        <v>42725</v>
      </c>
      <c r="E670" s="19" t="n">
        <v>4.25</v>
      </c>
      <c r="G670" s="16" t="n">
        <v>42725</v>
      </c>
      <c r="H670" s="19" t="n">
        <v>1.36</v>
      </c>
      <c r="J670" s="16" t="n">
        <v>42725</v>
      </c>
      <c r="K670" s="19" t="n">
        <v>107.99</v>
      </c>
    </row>
    <row r="671">
      <c r="D671" s="16" t="n">
        <v>42726</v>
      </c>
      <c r="E671" s="19" t="n">
        <v>4.27</v>
      </c>
      <c r="G671" s="16" t="n">
        <v>42726</v>
      </c>
      <c r="H671" s="19" t="n">
        <v>1.37</v>
      </c>
      <c r="J671" s="16" t="n">
        <v>42726</v>
      </c>
      <c r="K671" s="19" t="n">
        <v>107.76</v>
      </c>
    </row>
    <row r="672">
      <c r="D672" s="16" t="n">
        <v>42727</v>
      </c>
      <c r="E672" s="19" t="n">
        <v>4.32</v>
      </c>
      <c r="G672" s="16" t="n">
        <v>42727</v>
      </c>
      <c r="H672" s="19" t="n">
        <v>1.34</v>
      </c>
      <c r="J672" s="16" t="n">
        <v>42727</v>
      </c>
      <c r="K672" s="19" t="n">
        <v>107.94</v>
      </c>
    </row>
    <row r="673">
      <c r="D673" s="16" t="n">
        <v>42730</v>
      </c>
      <c r="E673" s="19" t="n">
        <v>4.33</v>
      </c>
      <c r="G673" s="16" t="n">
        <v>42730</v>
      </c>
      <c r="H673" s="19" t="n">
        <v>1.39</v>
      </c>
      <c r="J673" s="16" t="n">
        <v>42730</v>
      </c>
      <c r="K673" s="19" t="n">
        <v>108.07</v>
      </c>
    </row>
    <row r="674">
      <c r="D674" s="16" t="n">
        <v>42731</v>
      </c>
      <c r="E674" s="19" t="n">
        <v>4.28</v>
      </c>
      <c r="G674" s="16" t="n">
        <v>42731</v>
      </c>
      <c r="H674" s="19" t="n">
        <v>1.33</v>
      </c>
      <c r="J674" s="16" t="n">
        <v>42731</v>
      </c>
      <c r="K674" s="19" t="n">
        <v>108.3</v>
      </c>
    </row>
    <row r="675">
      <c r="D675" s="16" t="n">
        <v>42732</v>
      </c>
      <c r="E675" s="19" t="n">
        <v>4.23</v>
      </c>
      <c r="G675" s="16" t="n">
        <v>42732</v>
      </c>
      <c r="H675" s="19" t="n">
        <v>1.38</v>
      </c>
      <c r="J675" s="16" t="n">
        <v>42732</v>
      </c>
      <c r="K675" s="19" t="n">
        <v>108.74</v>
      </c>
    </row>
    <row r="676">
      <c r="D676" s="16" t="n">
        <v>42733</v>
      </c>
      <c r="E676" s="19" t="n">
        <v>4.23</v>
      </c>
      <c r="G676" s="16" t="n">
        <v>42733</v>
      </c>
      <c r="H676" s="19" t="n">
        <v>1.37</v>
      </c>
      <c r="J676" s="16" t="n">
        <v>42733</v>
      </c>
      <c r="K676" s="19" t="n">
        <v>108.62</v>
      </c>
    </row>
    <row r="677">
      <c r="D677" s="16" t="n">
        <v>42734</v>
      </c>
      <c r="E677" s="19" t="n">
        <v>4.29</v>
      </c>
      <c r="G677" s="16" t="n">
        <v>42734</v>
      </c>
      <c r="H677" s="19" t="n">
        <v>1.38</v>
      </c>
      <c r="J677" s="16" t="n">
        <v>42734</v>
      </c>
      <c r="K677" s="19" t="n">
        <v>107.91</v>
      </c>
    </row>
    <row r="678">
      <c r="D678" s="16" t="n">
        <v>42737</v>
      </c>
      <c r="E678" s="19" t="n">
        <v>4.27</v>
      </c>
      <c r="G678" s="16" t="n">
        <v>42737</v>
      </c>
      <c r="H678" s="19" t="n">
        <v>1.4</v>
      </c>
      <c r="J678" s="16" t="n">
        <v>42737</v>
      </c>
      <c r="K678" s="19" t="n">
        <v>107.54</v>
      </c>
    </row>
    <row r="679">
      <c r="D679" s="16" t="n">
        <v>42738</v>
      </c>
      <c r="E679" s="19" t="n">
        <v>4.34</v>
      </c>
      <c r="G679" s="16" t="n">
        <v>42738</v>
      </c>
      <c r="H679" s="19" t="n">
        <v>1.36</v>
      </c>
      <c r="J679" s="16" t="n">
        <v>42738</v>
      </c>
      <c r="K679" s="19" t="n">
        <v>107.99</v>
      </c>
    </row>
    <row r="680">
      <c r="D680" s="16" t="n">
        <v>42739</v>
      </c>
      <c r="E680" s="19" t="n">
        <v>4.33</v>
      </c>
      <c r="G680" s="16" t="n">
        <v>42739</v>
      </c>
      <c r="H680" s="19" t="n">
        <v>1.42</v>
      </c>
      <c r="J680" s="16" t="n">
        <v>42739</v>
      </c>
      <c r="K680" s="19" t="n">
        <v>108.37</v>
      </c>
    </row>
    <row r="681">
      <c r="D681" s="16" t="n">
        <v>42740</v>
      </c>
      <c r="E681" s="19" t="n">
        <v>4.34</v>
      </c>
      <c r="G681" s="16" t="n">
        <v>42740</v>
      </c>
      <c r="H681" s="19" t="n">
        <v>1.44</v>
      </c>
      <c r="J681" s="16" t="n">
        <v>42740</v>
      </c>
      <c r="K681" s="19" t="n">
        <v>108.24</v>
      </c>
    </row>
    <row r="682">
      <c r="D682" s="16" t="n">
        <v>42741</v>
      </c>
      <c r="E682" s="19" t="n">
        <v>4.27</v>
      </c>
      <c r="G682" s="16" t="n">
        <v>42741</v>
      </c>
      <c r="H682" s="19" t="n">
        <v>1.43</v>
      </c>
      <c r="J682" s="16" t="n">
        <v>42741</v>
      </c>
      <c r="K682" s="19" t="n">
        <v>108.03</v>
      </c>
    </row>
    <row r="683">
      <c r="D683" s="16" t="n">
        <v>42744</v>
      </c>
      <c r="E683" s="19" t="n">
        <v>4.26</v>
      </c>
      <c r="G683" s="16" t="n">
        <v>42744</v>
      </c>
      <c r="H683" s="19" t="n">
        <v>1.4</v>
      </c>
      <c r="J683" s="16" t="n">
        <v>42744</v>
      </c>
      <c r="K683" s="19" t="n">
        <v>107.23</v>
      </c>
    </row>
    <row r="684">
      <c r="D684" s="16" t="n">
        <v>42745</v>
      </c>
      <c r="E684" s="19" t="n">
        <v>4.26</v>
      </c>
      <c r="G684" s="16" t="n">
        <v>42745</v>
      </c>
      <c r="H684" s="19" t="n">
        <v>1.38</v>
      </c>
      <c r="J684" s="16" t="n">
        <v>42745</v>
      </c>
      <c r="K684" s="19" t="n">
        <v>107.65</v>
      </c>
    </row>
    <row r="685">
      <c r="D685" s="16" t="n">
        <v>42746</v>
      </c>
      <c r="E685" s="19" t="n">
        <v>4.29</v>
      </c>
      <c r="G685" s="16" t="n">
        <v>42746</v>
      </c>
      <c r="H685" s="19" t="n">
        <v>1.33</v>
      </c>
      <c r="J685" s="16" t="n">
        <v>42746</v>
      </c>
      <c r="K685" s="19" t="n">
        <v>107.75</v>
      </c>
    </row>
    <row r="686">
      <c r="D686" s="16" t="n">
        <v>42747</v>
      </c>
      <c r="E686" s="19" t="n">
        <v>4.28</v>
      </c>
      <c r="G686" s="16" t="n">
        <v>42747</v>
      </c>
      <c r="H686" s="19" t="n">
        <v>1.33</v>
      </c>
      <c r="J686" s="16" t="n">
        <v>42747</v>
      </c>
      <c r="K686" s="19" t="n">
        <v>107.42</v>
      </c>
    </row>
    <row r="687">
      <c r="D687" s="16" t="n">
        <v>42748</v>
      </c>
      <c r="E687" s="19" t="n">
        <v>4.25</v>
      </c>
      <c r="G687" s="16" t="n">
        <v>42748</v>
      </c>
      <c r="H687" s="19" t="n">
        <v>1.38</v>
      </c>
      <c r="J687" s="16" t="n">
        <v>42748</v>
      </c>
      <c r="K687" s="19" t="n">
        <v>107.62</v>
      </c>
    </row>
    <row r="688">
      <c r="D688" s="16" t="n">
        <v>42751</v>
      </c>
      <c r="E688" s="19" t="n">
        <v>4.19</v>
      </c>
      <c r="G688" s="16" t="n">
        <v>42751</v>
      </c>
      <c r="H688" s="19" t="n">
        <v>1.33</v>
      </c>
      <c r="J688" s="16" t="n">
        <v>42751</v>
      </c>
      <c r="K688" s="19" t="n">
        <v>107.6</v>
      </c>
    </row>
    <row r="689">
      <c r="D689" s="16" t="n">
        <v>42752</v>
      </c>
      <c r="E689" s="19" t="n">
        <v>4.16</v>
      </c>
      <c r="G689" s="16" t="n">
        <v>42752</v>
      </c>
      <c r="H689" s="19" t="n">
        <v>1.32</v>
      </c>
      <c r="J689" s="16" t="n">
        <v>42752</v>
      </c>
      <c r="K689" s="19" t="n">
        <v>107.22</v>
      </c>
    </row>
    <row r="690">
      <c r="D690" s="16" t="n">
        <v>42753</v>
      </c>
      <c r="E690" s="19" t="n">
        <v>4.2</v>
      </c>
      <c r="G690" s="16" t="n">
        <v>42753</v>
      </c>
      <c r="H690" s="19" t="n">
        <v>1.35</v>
      </c>
      <c r="J690" s="16" t="n">
        <v>42753</v>
      </c>
      <c r="K690" s="19" t="n">
        <v>107.59</v>
      </c>
    </row>
    <row r="691">
      <c r="D691" s="16" t="n">
        <v>42754</v>
      </c>
      <c r="E691" s="19" t="n">
        <v>4.19</v>
      </c>
      <c r="G691" s="16" t="n">
        <v>42754</v>
      </c>
      <c r="H691" s="19" t="n">
        <v>1.35</v>
      </c>
      <c r="J691" s="16" t="n">
        <v>42754</v>
      </c>
      <c r="K691" s="19" t="n">
        <v>106.94</v>
      </c>
    </row>
    <row r="692">
      <c r="D692" s="16" t="n">
        <v>42755</v>
      </c>
      <c r="E692" s="19" t="n">
        <v>4.28</v>
      </c>
      <c r="G692" s="16" t="n">
        <v>42755</v>
      </c>
      <c r="H692" s="19" t="n">
        <v>1.36</v>
      </c>
      <c r="J692" s="16" t="n">
        <v>42755</v>
      </c>
      <c r="K692" s="19" t="n">
        <v>106.8</v>
      </c>
    </row>
    <row r="693">
      <c r="D693" s="16" t="n">
        <v>42758</v>
      </c>
      <c r="E693" s="19" t="n">
        <v>4.37</v>
      </c>
      <c r="G693" s="16" t="n">
        <v>42758</v>
      </c>
      <c r="H693" s="19" t="n">
        <v>1.32</v>
      </c>
      <c r="J693" s="16" t="n">
        <v>42758</v>
      </c>
      <c r="K693" s="19" t="n">
        <v>106.56</v>
      </c>
    </row>
    <row r="694">
      <c r="D694" s="16" t="n">
        <v>42759</v>
      </c>
      <c r="E694" s="19" t="n">
        <v>4.34</v>
      </c>
      <c r="G694" s="16" t="n">
        <v>42759</v>
      </c>
      <c r="H694" s="19" t="n">
        <v>1.29</v>
      </c>
      <c r="J694" s="16" t="n">
        <v>42759</v>
      </c>
      <c r="K694" s="19" t="n">
        <v>106.63</v>
      </c>
    </row>
    <row r="695">
      <c r="D695" s="16" t="n">
        <v>42760</v>
      </c>
      <c r="E695" s="19" t="n">
        <v>4.32</v>
      </c>
      <c r="G695" s="16" t="n">
        <v>42760</v>
      </c>
      <c r="H695" s="19" t="n">
        <v>1.29</v>
      </c>
      <c r="J695" s="16" t="n">
        <v>42760</v>
      </c>
      <c r="K695" s="19" t="n">
        <v>106.42</v>
      </c>
    </row>
    <row r="696">
      <c r="D696" s="16" t="n">
        <v>42761</v>
      </c>
      <c r="E696" s="19" t="n">
        <v>4.34</v>
      </c>
      <c r="G696" s="16" t="n">
        <v>42761</v>
      </c>
      <c r="H696" s="19" t="n">
        <v>1.27</v>
      </c>
      <c r="J696" s="16" t="n">
        <v>42761</v>
      </c>
      <c r="K696" s="19" t="n">
        <v>105.99</v>
      </c>
    </row>
    <row r="697">
      <c r="D697" s="16" t="n">
        <v>42762</v>
      </c>
      <c r="E697" s="19" t="n">
        <v>4.39</v>
      </c>
      <c r="G697" s="16" t="n">
        <v>42762</v>
      </c>
      <c r="H697" s="19" t="n">
        <v>1.21</v>
      </c>
      <c r="J697" s="16" t="n">
        <v>42762</v>
      </c>
      <c r="K697" s="19" t="n">
        <v>106.48</v>
      </c>
    </row>
    <row r="698">
      <c r="D698" s="16" t="n">
        <v>42765</v>
      </c>
      <c r="E698" s="19" t="n">
        <v>4.45</v>
      </c>
      <c r="G698" s="16" t="n">
        <v>42765</v>
      </c>
      <c r="H698" s="19" t="n">
        <v>1.21</v>
      </c>
      <c r="J698" s="16" t="n">
        <v>42765</v>
      </c>
      <c r="K698" s="19" t="n">
        <v>106.07</v>
      </c>
    </row>
    <row r="699">
      <c r="D699" s="16" t="n">
        <v>42766</v>
      </c>
      <c r="E699" s="19" t="n">
        <v>4.46</v>
      </c>
      <c r="G699" s="16" t="n">
        <v>42766</v>
      </c>
      <c r="H699" s="19" t="n">
        <v>1.2</v>
      </c>
      <c r="J699" s="16" t="n">
        <v>42766</v>
      </c>
      <c r="K699" s="19" t="n">
        <v>105.74</v>
      </c>
    </row>
    <row r="700">
      <c r="D700" s="16" t="n">
        <v>42767</v>
      </c>
      <c r="E700" s="19" t="n">
        <v>4.52</v>
      </c>
      <c r="G700" s="16" t="n">
        <v>42767</v>
      </c>
      <c r="H700" s="19" t="n">
        <v>1.23</v>
      </c>
      <c r="J700" s="16" t="n">
        <v>42767</v>
      </c>
      <c r="K700" s="19" t="n">
        <v>104.56</v>
      </c>
    </row>
    <row r="701">
      <c r="D701" s="16" t="n">
        <v>42768</v>
      </c>
      <c r="E701" s="19" t="n">
        <v>4.45</v>
      </c>
      <c r="G701" s="16" t="n">
        <v>42768</v>
      </c>
      <c r="H701" s="19" t="n">
        <v>1.21</v>
      </c>
      <c r="J701" s="16" t="n">
        <v>42768</v>
      </c>
      <c r="K701" s="19" t="n">
        <v>105.74</v>
      </c>
    </row>
    <row r="702">
      <c r="D702" s="16" t="n">
        <v>42769</v>
      </c>
      <c r="E702" s="19" t="n">
        <v>4.42</v>
      </c>
      <c r="G702" s="16" t="n">
        <v>42769</v>
      </c>
      <c r="H702" s="19" t="n">
        <v>1.19</v>
      </c>
      <c r="J702" s="16" t="n">
        <v>42769</v>
      </c>
      <c r="K702" s="19" t="n">
        <v>106.26</v>
      </c>
    </row>
    <row r="703">
      <c r="D703" s="16" t="n">
        <v>42772</v>
      </c>
      <c r="E703" s="19" t="n">
        <v>4.42</v>
      </c>
      <c r="G703" s="16" t="n">
        <v>42772</v>
      </c>
      <c r="H703" s="19" t="n">
        <v>1.14</v>
      </c>
      <c r="J703" s="16" t="n">
        <v>42772</v>
      </c>
      <c r="K703" s="19" t="n">
        <v>107.3</v>
      </c>
    </row>
    <row r="704">
      <c r="D704" s="16" t="n">
        <v>42773</v>
      </c>
      <c r="E704" s="19" t="n">
        <v>4.47</v>
      </c>
      <c r="G704" s="16" t="n">
        <v>42773</v>
      </c>
      <c r="H704" s="19" t="n">
        <v>1.12</v>
      </c>
      <c r="J704" s="16" t="n">
        <v>42773</v>
      </c>
      <c r="K704" s="19" t="n">
        <v>107.51</v>
      </c>
    </row>
    <row r="705">
      <c r="D705" s="16" t="n">
        <v>42774</v>
      </c>
      <c r="E705" s="19" t="n">
        <v>4.47</v>
      </c>
      <c r="G705" s="16" t="n">
        <v>42774</v>
      </c>
      <c r="H705" s="19" t="n">
        <v>1.13</v>
      </c>
      <c r="J705" s="16" t="n">
        <v>42774</v>
      </c>
      <c r="K705" s="19" t="n">
        <v>107.78</v>
      </c>
    </row>
    <row r="706">
      <c r="D706" s="16" t="n">
        <v>42775</v>
      </c>
      <c r="E706" s="19" t="n">
        <v>4.45</v>
      </c>
      <c r="G706" s="16" t="n">
        <v>42775</v>
      </c>
      <c r="H706" s="19" t="n">
        <v>1.23</v>
      </c>
      <c r="J706" s="16" t="n">
        <v>42775</v>
      </c>
      <c r="K706" s="19" t="n">
        <v>107.79</v>
      </c>
    </row>
    <row r="707">
      <c r="D707" s="16" t="n">
        <v>42776</v>
      </c>
      <c r="E707" s="19" t="n">
        <v>4.43</v>
      </c>
      <c r="G707" s="16" t="n">
        <v>42776</v>
      </c>
      <c r="H707" s="19" t="n">
        <v>1.28</v>
      </c>
      <c r="J707" s="16" t="n">
        <v>42776</v>
      </c>
      <c r="K707" s="19" t="n">
        <v>107.48</v>
      </c>
    </row>
    <row r="708">
      <c r="D708" s="16" t="n">
        <v>42779</v>
      </c>
      <c r="E708" s="19" t="n">
        <v>4.46</v>
      </c>
      <c r="G708" s="16" t="n">
        <v>42779</v>
      </c>
      <c r="H708" s="19" t="n">
        <v>1.34</v>
      </c>
      <c r="J708" s="16" t="n">
        <v>42779</v>
      </c>
      <c r="K708" s="19" t="n">
        <v>107.09</v>
      </c>
    </row>
    <row r="709">
      <c r="D709" s="16" t="n">
        <v>42780</v>
      </c>
      <c r="E709" s="19" t="n">
        <v>4.42</v>
      </c>
      <c r="G709" s="16" t="n">
        <v>42780</v>
      </c>
      <c r="H709" s="19" t="n">
        <v>1.41</v>
      </c>
      <c r="J709" s="16" t="n">
        <v>42780</v>
      </c>
      <c r="K709" s="19" t="n">
        <v>107.25</v>
      </c>
    </row>
    <row r="710">
      <c r="D710" s="16" t="n">
        <v>42781</v>
      </c>
      <c r="E710" s="19" t="n">
        <v>4.33</v>
      </c>
      <c r="G710" s="16" t="n">
        <v>42781</v>
      </c>
      <c r="H710" s="19" t="n">
        <v>1.37</v>
      </c>
      <c r="J710" s="16" t="n">
        <v>42781</v>
      </c>
      <c r="K710" s="19" t="n">
        <v>107.53</v>
      </c>
    </row>
    <row r="711">
      <c r="D711" s="16" t="n">
        <v>42782</v>
      </c>
      <c r="E711" s="19" t="n">
        <v>4.37</v>
      </c>
      <c r="G711" s="16" t="n">
        <v>42782</v>
      </c>
      <c r="H711" s="19" t="n">
        <v>1.34</v>
      </c>
      <c r="J711" s="16" t="n">
        <v>42782</v>
      </c>
      <c r="K711" s="19" t="n">
        <v>107.05</v>
      </c>
    </row>
    <row r="712">
      <c r="D712" s="16" t="n">
        <v>42783</v>
      </c>
      <c r="E712" s="19" t="n">
        <v>4.42</v>
      </c>
      <c r="G712" s="16" t="n">
        <v>42783</v>
      </c>
      <c r="H712" s="19" t="n">
        <v>1.33</v>
      </c>
      <c r="J712" s="16" t="n">
        <v>42783</v>
      </c>
      <c r="K712" s="19" t="n">
        <v>106.45</v>
      </c>
    </row>
    <row r="713">
      <c r="D713" s="16" t="n">
        <v>42786</v>
      </c>
      <c r="E713" s="19" t="n">
        <v>4.54</v>
      </c>
      <c r="G713" s="16" t="n">
        <v>42786</v>
      </c>
      <c r="H713" s="19" t="n">
        <v>1.39</v>
      </c>
      <c r="J713" s="16" t="n">
        <v>42786</v>
      </c>
      <c r="K713" s="19" t="n">
        <v>106.76</v>
      </c>
    </row>
    <row r="714">
      <c r="D714" s="16" t="n">
        <v>42787</v>
      </c>
      <c r="E714" s="19" t="n">
        <v>4.59</v>
      </c>
      <c r="G714" s="16" t="n">
        <v>42787</v>
      </c>
      <c r="H714" s="19" t="n">
        <v>1.38</v>
      </c>
      <c r="J714" s="16" t="n">
        <v>42787</v>
      </c>
      <c r="K714" s="19" t="n">
        <v>106.93</v>
      </c>
    </row>
    <row r="715">
      <c r="D715" s="16" t="n">
        <v>42788</v>
      </c>
      <c r="E715" s="19" t="n">
        <v>4.6</v>
      </c>
      <c r="G715" s="16" t="n">
        <v>42788</v>
      </c>
      <c r="H715" s="19" t="n">
        <v>1.42</v>
      </c>
      <c r="J715" s="16" t="n">
        <v>42788</v>
      </c>
      <c r="K715" s="19" t="n">
        <v>107.17</v>
      </c>
    </row>
    <row r="716">
      <c r="D716" s="16" t="n">
        <v>42789</v>
      </c>
      <c r="E716" s="19" t="n">
        <v>4.6</v>
      </c>
      <c r="G716" s="16" t="n">
        <v>42789</v>
      </c>
      <c r="H716" s="19" t="n">
        <v>1.38</v>
      </c>
      <c r="J716" s="16" t="n">
        <v>42789</v>
      </c>
      <c r="K716" s="19" t="n">
        <v>107.12</v>
      </c>
    </row>
    <row r="717">
      <c r="D717" s="16" t="n">
        <v>42790</v>
      </c>
      <c r="E717" s="19" t="n">
        <v>4.64</v>
      </c>
      <c r="G717" s="16" t="n">
        <v>42790</v>
      </c>
      <c r="H717" s="19" t="n">
        <v>1.39</v>
      </c>
      <c r="J717" s="16" t="n">
        <v>42790</v>
      </c>
      <c r="K717" s="19" t="n">
        <v>107.3</v>
      </c>
    </row>
    <row r="718">
      <c r="D718" s="16" t="n">
        <v>42793</v>
      </c>
      <c r="E718" s="19" t="n">
        <v>4.73</v>
      </c>
      <c r="G718" s="16" t="n">
        <v>42793</v>
      </c>
      <c r="H718" s="19" t="n">
        <v>1.47</v>
      </c>
      <c r="J718" s="16" t="n">
        <v>42793</v>
      </c>
      <c r="K718" s="19" t="n">
        <v>106.82</v>
      </c>
    </row>
    <row r="719">
      <c r="D719" s="16" t="n">
        <v>42794</v>
      </c>
      <c r="E719" s="19" t="n">
        <v>4.77</v>
      </c>
      <c r="G719" s="16" t="n">
        <v>42794</v>
      </c>
      <c r="H719" s="19" t="n">
        <v>1.44</v>
      </c>
      <c r="J719" s="16" t="n">
        <v>42794</v>
      </c>
      <c r="K719" s="19" t="n">
        <v>106.96</v>
      </c>
    </row>
    <row r="720">
      <c r="D720" s="16" t="n">
        <v>42795</v>
      </c>
      <c r="E720" s="19" t="n">
        <v>4.83</v>
      </c>
      <c r="G720" s="16" t="n">
        <v>42795</v>
      </c>
      <c r="H720" s="19" t="n">
        <v>1.45</v>
      </c>
      <c r="J720" s="16" t="n">
        <v>42795</v>
      </c>
      <c r="K720" s="19" t="n">
        <v>108.17</v>
      </c>
    </row>
    <row r="721">
      <c r="D721" s="16" t="n">
        <v>42796</v>
      </c>
      <c r="E721" s="19" t="n">
        <v>4.84</v>
      </c>
      <c r="G721" s="16" t="n">
        <v>42796</v>
      </c>
      <c r="H721" s="19" t="n">
        <v>1.51</v>
      </c>
      <c r="J721" s="16" t="n">
        <v>42796</v>
      </c>
      <c r="K721" s="19" t="n">
        <v>108</v>
      </c>
    </row>
    <row r="722">
      <c r="D722" s="16" t="n">
        <v>42797</v>
      </c>
      <c r="E722" s="19" t="n">
        <v>4.83</v>
      </c>
      <c r="G722" s="16" t="n">
        <v>42797</v>
      </c>
      <c r="H722" s="19" t="n">
        <v>1.5</v>
      </c>
      <c r="J722" s="16" t="n">
        <v>42797</v>
      </c>
      <c r="K722" s="19" t="n">
        <v>107.4</v>
      </c>
    </row>
    <row r="723">
      <c r="D723" s="16" t="n">
        <v>42800</v>
      </c>
      <c r="E723" s="19" t="n">
        <v>4.81</v>
      </c>
      <c r="G723" s="16" t="n">
        <v>42800</v>
      </c>
      <c r="H723" s="19" t="n">
        <v>1.45</v>
      </c>
      <c r="J723" s="16" t="n">
        <v>42800</v>
      </c>
      <c r="K723" s="19" t="n">
        <v>107.46</v>
      </c>
    </row>
    <row r="724">
      <c r="D724" s="16" t="n">
        <v>42801</v>
      </c>
      <c r="E724" s="19" t="n">
        <v>4.79</v>
      </c>
      <c r="G724" s="16" t="n">
        <v>42801</v>
      </c>
      <c r="H724" s="19" t="n">
        <v>1.47</v>
      </c>
      <c r="J724" s="16" t="n">
        <v>42801</v>
      </c>
      <c r="K724" s="19" t="n">
        <v>108.28</v>
      </c>
    </row>
    <row r="725">
      <c r="D725" s="16" t="n">
        <v>42802</v>
      </c>
      <c r="E725" s="19" t="n">
        <v>4.82</v>
      </c>
      <c r="G725" s="16" t="n">
        <v>42802</v>
      </c>
      <c r="H725" s="19" t="n">
        <v>1.49</v>
      </c>
      <c r="J725" s="16" t="n">
        <v>42802</v>
      </c>
      <c r="K725" s="19" t="n">
        <v>108.22</v>
      </c>
    </row>
    <row r="726">
      <c r="D726" s="16" t="n">
        <v>42803</v>
      </c>
      <c r="E726" s="19" t="n">
        <v>4.8</v>
      </c>
      <c r="G726" s="16" t="n">
        <v>42803</v>
      </c>
      <c r="H726" s="19" t="n">
        <v>1.44</v>
      </c>
      <c r="J726" s="16" t="n">
        <v>42803</v>
      </c>
      <c r="K726" s="19" t="n">
        <v>108.71</v>
      </c>
    </row>
    <row r="727">
      <c r="D727" s="16" t="n">
        <v>42804</v>
      </c>
      <c r="E727" s="19" t="n">
        <v>4.81</v>
      </c>
      <c r="G727" s="16" t="n">
        <v>42804</v>
      </c>
      <c r="H727" s="19" t="n">
        <v>1.47</v>
      </c>
      <c r="J727" s="16" t="n">
        <v>42804</v>
      </c>
      <c r="K727" s="19" t="n">
        <v>107.67</v>
      </c>
    </row>
    <row r="728">
      <c r="D728" s="16" t="n">
        <v>42807</v>
      </c>
      <c r="E728" s="19" t="n">
        <v>4.8</v>
      </c>
      <c r="G728" s="16" t="n">
        <v>42807</v>
      </c>
      <c r="H728" s="19" t="n">
        <v>1.39</v>
      </c>
      <c r="J728" s="16" t="n">
        <v>42807</v>
      </c>
      <c r="K728" s="19" t="n">
        <v>107.55</v>
      </c>
    </row>
    <row r="729">
      <c r="D729" s="16" t="n">
        <v>42808</v>
      </c>
      <c r="E729" s="19" t="n">
        <v>4.78</v>
      </c>
      <c r="G729" s="16" t="n">
        <v>42808</v>
      </c>
      <c r="H729" s="19" t="n">
        <v>1.4</v>
      </c>
      <c r="J729" s="16" t="n">
        <v>42808</v>
      </c>
      <c r="K729" s="19" t="n">
        <v>108.02</v>
      </c>
    </row>
    <row r="730">
      <c r="D730" s="16" t="n">
        <v>42809</v>
      </c>
      <c r="E730" s="19" t="n">
        <v>4.75</v>
      </c>
      <c r="G730" s="16" t="n">
        <v>42809</v>
      </c>
      <c r="H730" s="19" t="n">
        <v>1.43</v>
      </c>
      <c r="J730" s="16" t="n">
        <v>42809</v>
      </c>
      <c r="K730" s="19" t="n">
        <v>108.55</v>
      </c>
    </row>
    <row r="731">
      <c r="D731" s="16" t="n">
        <v>42810</v>
      </c>
      <c r="E731" s="19" t="n">
        <v>4.75</v>
      </c>
      <c r="G731" s="16" t="n">
        <v>42810</v>
      </c>
      <c r="H731" s="19" t="n">
        <v>1.43</v>
      </c>
      <c r="J731" s="16" t="n">
        <v>42810</v>
      </c>
      <c r="K731" s="19" t="n">
        <v>108.47</v>
      </c>
    </row>
    <row r="732">
      <c r="D732" s="16" t="n">
        <v>42811</v>
      </c>
      <c r="E732" s="19" t="n">
        <v>4.77</v>
      </c>
      <c r="G732" s="16" t="n">
        <v>42811</v>
      </c>
      <c r="H732" s="19" t="n">
        <v>1.41</v>
      </c>
      <c r="J732" s="16" t="n">
        <v>42811</v>
      </c>
      <c r="K732" s="19" t="n">
        <v>108.77</v>
      </c>
    </row>
    <row r="733">
      <c r="D733" s="16" t="n">
        <v>42814</v>
      </c>
      <c r="E733" s="19" t="n">
        <v>4.78</v>
      </c>
      <c r="G733" s="16" t="n">
        <v>42814</v>
      </c>
      <c r="H733" s="19" t="n">
        <v>1.4</v>
      </c>
      <c r="J733" s="16" t="n">
        <v>42814</v>
      </c>
      <c r="K733" s="19" t="n">
        <v>108.75</v>
      </c>
    </row>
    <row r="734">
      <c r="D734" s="16" t="n">
        <v>42815</v>
      </c>
      <c r="E734" s="19" t="n">
        <v>4.79</v>
      </c>
      <c r="G734" s="16" t="n">
        <v>42815</v>
      </c>
      <c r="H734" s="19" t="n">
        <v>1.37</v>
      </c>
      <c r="J734" s="16" t="n">
        <v>42815</v>
      </c>
      <c r="K734" s="19" t="n">
        <v>109.11</v>
      </c>
    </row>
    <row r="735">
      <c r="D735" s="16" t="n">
        <v>42816</v>
      </c>
      <c r="E735" s="19" t="n">
        <v>4.78</v>
      </c>
      <c r="G735" s="16" t="n">
        <v>42816</v>
      </c>
      <c r="H735" s="19" t="n">
        <v>1.4</v>
      </c>
      <c r="J735" s="16" t="n">
        <v>42816</v>
      </c>
      <c r="K735" s="19" t="n">
        <v>108.72</v>
      </c>
    </row>
    <row r="736">
      <c r="D736" s="16" t="n">
        <v>42817</v>
      </c>
      <c r="E736" s="19" t="n">
        <v>4.86</v>
      </c>
      <c r="G736" s="16" t="n">
        <v>42817</v>
      </c>
      <c r="H736" s="19" t="n">
        <v>1.44</v>
      </c>
      <c r="J736" s="16" t="n">
        <v>42817</v>
      </c>
      <c r="K736" s="19" t="n">
        <v>108.35</v>
      </c>
    </row>
    <row r="737">
      <c r="D737" s="16" t="n">
        <v>42818</v>
      </c>
      <c r="E737" s="19" t="n">
        <v>4.83</v>
      </c>
      <c r="G737" s="16" t="n">
        <v>42818</v>
      </c>
      <c r="H737" s="19" t="n">
        <v>1.43</v>
      </c>
      <c r="J737" s="16" t="n">
        <v>42818</v>
      </c>
      <c r="K737" s="19" t="n">
        <v>108.48</v>
      </c>
    </row>
    <row r="738">
      <c r="D738" s="16" t="n">
        <v>42821</v>
      </c>
      <c r="E738" s="19" t="n">
        <v>4.82</v>
      </c>
      <c r="G738" s="16" t="n">
        <v>42821</v>
      </c>
      <c r="H738" s="19" t="n">
        <v>1.38</v>
      </c>
      <c r="J738" s="16" t="n">
        <v>42821</v>
      </c>
      <c r="K738" s="19" t="n">
        <v>108.47</v>
      </c>
    </row>
    <row r="739">
      <c r="D739" s="16" t="n">
        <v>42822</v>
      </c>
      <c r="E739" s="19" t="n">
        <v>4.72</v>
      </c>
      <c r="G739" s="16" t="n">
        <v>42822</v>
      </c>
      <c r="H739" s="19" t="n">
        <v>1.37</v>
      </c>
      <c r="J739" s="16" t="n">
        <v>42822</v>
      </c>
      <c r="K739" s="19" t="n">
        <v>108.26</v>
      </c>
    </row>
    <row r="740">
      <c r="D740" s="16" t="n">
        <v>42823</v>
      </c>
      <c r="E740" s="19" t="n">
        <v>4.71</v>
      </c>
      <c r="G740" s="16" t="n">
        <v>42823</v>
      </c>
      <c r="H740" s="19" t="n">
        <v>1.41</v>
      </c>
      <c r="J740" s="16" t="n">
        <v>42823</v>
      </c>
      <c r="K740" s="19" t="n">
        <v>108.72</v>
      </c>
    </row>
    <row r="741">
      <c r="D741" s="16" t="n">
        <v>42824</v>
      </c>
      <c r="E741" s="19" t="n">
        <v>4.75</v>
      </c>
      <c r="G741" s="16" t="n">
        <v>42824</v>
      </c>
      <c r="H741" s="19" t="n">
        <v>1.42</v>
      </c>
      <c r="J741" s="16" t="n">
        <v>42824</v>
      </c>
      <c r="K741" s="19" t="n">
        <v>108.85</v>
      </c>
    </row>
    <row r="742">
      <c r="D742" s="16" t="n">
        <v>42825</v>
      </c>
      <c r="E742" s="19" t="n">
        <v>4.7</v>
      </c>
      <c r="G742" s="16" t="n">
        <v>42825</v>
      </c>
      <c r="H742" s="19" t="n">
        <v>1.46</v>
      </c>
      <c r="J742" s="16" t="n">
        <v>42825</v>
      </c>
      <c r="K742" s="19" t="n">
        <v>108.84</v>
      </c>
    </row>
    <row r="743">
      <c r="D743" s="16" t="n">
        <v>42828</v>
      </c>
      <c r="E743" s="19" t="n">
        <v>4.69</v>
      </c>
      <c r="G743" s="16" t="n">
        <v>42828</v>
      </c>
      <c r="H743" s="19" t="n">
        <v>1.48</v>
      </c>
      <c r="J743" s="16" t="n">
        <v>42828</v>
      </c>
      <c r="K743" s="19" t="n">
        <v>108.31</v>
      </c>
    </row>
    <row r="744">
      <c r="D744" s="16" t="n">
        <v>42829</v>
      </c>
      <c r="E744" s="19" t="n">
        <v>4.7</v>
      </c>
      <c r="G744" s="16" t="n">
        <v>42829</v>
      </c>
      <c r="H744" s="19" t="n">
        <v>1.47</v>
      </c>
      <c r="J744" s="16" t="n">
        <v>42829</v>
      </c>
      <c r="K744" s="19" t="n">
        <v>107.63</v>
      </c>
    </row>
    <row r="745">
      <c r="D745" s="16" t="n">
        <v>42830</v>
      </c>
      <c r="E745" s="19" t="n">
        <v>4.74</v>
      </c>
      <c r="G745" s="16" t="n">
        <v>42830</v>
      </c>
      <c r="H745" s="19" t="n">
        <v>1.43</v>
      </c>
      <c r="J745" s="16" t="n">
        <v>42830</v>
      </c>
      <c r="K745" s="19" t="n">
        <v>107.42</v>
      </c>
    </row>
    <row r="746">
      <c r="D746" s="16" t="n">
        <v>42831</v>
      </c>
      <c r="E746" s="19" t="n">
        <v>4.75</v>
      </c>
      <c r="G746" s="16" t="n">
        <v>42831</v>
      </c>
      <c r="H746" s="19" t="n">
        <v>1.43</v>
      </c>
      <c r="J746" s="16" t="n">
        <v>42831</v>
      </c>
      <c r="K746" s="19" t="n">
        <v>106.96</v>
      </c>
    </row>
    <row r="747">
      <c r="D747" s="16" t="n">
        <v>42832</v>
      </c>
      <c r="E747" s="19" t="n">
        <v>4.68</v>
      </c>
      <c r="G747" s="16" t="n">
        <v>42832</v>
      </c>
      <c r="H747" s="19" t="n">
        <v>1.45</v>
      </c>
      <c r="J747" s="16" t="n">
        <v>42832</v>
      </c>
      <c r="K747" s="19" t="n">
        <v>106.64</v>
      </c>
    </row>
    <row r="748">
      <c r="D748" s="16" t="n">
        <v>42835</v>
      </c>
      <c r="E748" s="19" t="n">
        <v>4.68</v>
      </c>
      <c r="G748" s="16" t="n">
        <v>42835</v>
      </c>
      <c r="H748" s="19" t="n">
        <v>1.44</v>
      </c>
      <c r="J748" s="16" t="n">
        <v>42835</v>
      </c>
      <c r="K748" s="19" t="n">
        <v>106.39</v>
      </c>
    </row>
    <row r="749">
      <c r="D749" s="16" t="n">
        <v>42836</v>
      </c>
      <c r="E749" s="19" t="n">
        <v>4.8</v>
      </c>
      <c r="G749" s="16" t="n">
        <v>42836</v>
      </c>
      <c r="H749" s="19" t="n">
        <v>1.36</v>
      </c>
      <c r="J749" s="16" t="n">
        <v>42836</v>
      </c>
      <c r="K749" s="19" t="n">
        <v>107.01</v>
      </c>
    </row>
    <row r="750">
      <c r="D750" s="16" t="n">
        <v>42837</v>
      </c>
      <c r="E750" s="19" t="n">
        <v>4.8</v>
      </c>
      <c r="G750" s="16" t="n">
        <v>42837</v>
      </c>
      <c r="H750" s="19" t="n">
        <v>1.33</v>
      </c>
      <c r="J750" s="16" t="n">
        <v>42837</v>
      </c>
      <c r="K750" s="19" t="n">
        <v>107.57</v>
      </c>
    </row>
    <row r="751">
      <c r="D751" s="16" t="n">
        <v>42838</v>
      </c>
      <c r="E751" s="19" t="n">
        <v>4.8</v>
      </c>
      <c r="G751" s="16" t="n">
        <v>42838</v>
      </c>
      <c r="H751" s="19" t="n">
        <v>1.31</v>
      </c>
      <c r="J751" s="16" t="n">
        <v>42838</v>
      </c>
      <c r="K751" s="19" t="n">
        <v>107.27</v>
      </c>
    </row>
    <row r="752">
      <c r="D752" s="16" t="n">
        <v>42839</v>
      </c>
      <c r="E752" s="19" t="n">
        <v>4.77</v>
      </c>
      <c r="G752" s="16" t="n">
        <v>42839</v>
      </c>
      <c r="H752" s="19" t="n">
        <v>1.29</v>
      </c>
      <c r="J752" s="16" t="n">
        <v>42839</v>
      </c>
      <c r="K752" s="19" t="n">
        <v>107.42</v>
      </c>
    </row>
    <row r="753">
      <c r="D753" s="16" t="n">
        <v>42842</v>
      </c>
      <c r="E753" s="19" t="n">
        <v>4.76</v>
      </c>
      <c r="G753" s="16" t="n">
        <v>42842</v>
      </c>
      <c r="H753" s="19" t="n">
        <v>1.26</v>
      </c>
      <c r="J753" s="16" t="n">
        <v>42842</v>
      </c>
      <c r="K753" s="19" t="n">
        <v>106.82</v>
      </c>
    </row>
    <row r="754">
      <c r="D754" s="16" t="n">
        <v>42843</v>
      </c>
      <c r="E754" s="19" t="n">
        <v>4.74</v>
      </c>
      <c r="G754" s="16" t="n">
        <v>42843</v>
      </c>
      <c r="H754" s="19" t="n">
        <v>1.3</v>
      </c>
      <c r="J754" s="16" t="n">
        <v>42843</v>
      </c>
      <c r="K754" s="19" t="n">
        <v>106.19</v>
      </c>
    </row>
    <row r="755">
      <c r="D755" s="16" t="n">
        <v>42844</v>
      </c>
      <c r="E755" s="19" t="n">
        <v>4.74</v>
      </c>
      <c r="G755" s="16" t="n">
        <v>42844</v>
      </c>
      <c r="H755" s="19" t="n">
        <v>1.21</v>
      </c>
      <c r="J755" s="16" t="n">
        <v>42844</v>
      </c>
      <c r="K755" s="19" t="n">
        <v>106.37</v>
      </c>
    </row>
    <row r="756">
      <c r="D756" s="16" t="n">
        <v>42845</v>
      </c>
      <c r="E756" s="19" t="n">
        <v>4.71</v>
      </c>
      <c r="G756" s="16" t="n">
        <v>42845</v>
      </c>
      <c r="H756" s="19" t="n">
        <v>1.27</v>
      </c>
      <c r="J756" s="16" t="n">
        <v>42845</v>
      </c>
      <c r="K756" s="19" t="n">
        <v>105.58</v>
      </c>
    </row>
    <row r="757">
      <c r="D757" s="16" t="n">
        <v>42846</v>
      </c>
      <c r="E757" s="19" t="n">
        <v>4.73</v>
      </c>
      <c r="G757" s="16" t="n">
        <v>42846</v>
      </c>
      <c r="H757" s="19" t="n">
        <v>1.3</v>
      </c>
      <c r="J757" s="16" t="n">
        <v>42846</v>
      </c>
      <c r="K757" s="19" t="n">
        <v>105.69</v>
      </c>
    </row>
    <row r="758">
      <c r="D758" s="16" t="n">
        <v>42849</v>
      </c>
      <c r="E758" s="19" t="n">
        <v>4.63</v>
      </c>
      <c r="G758" s="16" t="n">
        <v>42849</v>
      </c>
      <c r="H758" s="19" t="n">
        <v>1.36</v>
      </c>
      <c r="J758" s="16" t="n">
        <v>42849</v>
      </c>
      <c r="K758" s="19" t="n">
        <v>106.06</v>
      </c>
    </row>
    <row r="759">
      <c r="D759" s="16" t="n">
        <v>42850</v>
      </c>
      <c r="E759" s="19" t="n">
        <v>4.67</v>
      </c>
      <c r="G759" s="16" t="n">
        <v>42850</v>
      </c>
      <c r="H759" s="19" t="n">
        <v>1.33</v>
      </c>
      <c r="J759" s="16" t="n">
        <v>42850</v>
      </c>
      <c r="K759" s="19" t="n">
        <v>106.13</v>
      </c>
    </row>
    <row r="760">
      <c r="D760" s="16" t="n">
        <v>42851</v>
      </c>
      <c r="E760" s="19" t="n">
        <v>4.7</v>
      </c>
      <c r="G760" s="16" t="n">
        <v>42851</v>
      </c>
      <c r="H760" s="19" t="n">
        <v>1.33</v>
      </c>
      <c r="J760" s="16" t="n">
        <v>42851</v>
      </c>
      <c r="K760" s="19" t="n">
        <v>107.18</v>
      </c>
    </row>
    <row r="761">
      <c r="D761" s="16" t="n">
        <v>42852</v>
      </c>
      <c r="E761" s="19" t="n">
        <v>4.7</v>
      </c>
      <c r="G761" s="16" t="n">
        <v>42852</v>
      </c>
      <c r="H761" s="19" t="n">
        <v>1.3</v>
      </c>
      <c r="J761" s="16" t="n">
        <v>42852</v>
      </c>
      <c r="K761" s="19" t="n">
        <v>107.16</v>
      </c>
    </row>
    <row r="762">
      <c r="D762" s="16" t="n">
        <v>42853</v>
      </c>
      <c r="E762" s="19" t="n">
        <v>4.62</v>
      </c>
      <c r="G762" s="16" t="n">
        <v>42853</v>
      </c>
      <c r="H762" s="19" t="n">
        <v>1.3</v>
      </c>
      <c r="J762" s="16" t="n">
        <v>42853</v>
      </c>
      <c r="K762" s="19" t="n">
        <v>108.32</v>
      </c>
    </row>
    <row r="763">
      <c r="D763" s="16" t="n">
        <v>42856</v>
      </c>
      <c r="E763" s="19" t="n">
        <v>4.61</v>
      </c>
      <c r="G763" s="16" t="n">
        <v>42856</v>
      </c>
      <c r="H763" s="19" t="n">
        <v>1.29</v>
      </c>
      <c r="J763" s="16" t="n">
        <v>42856</v>
      </c>
      <c r="K763" s="19" t="n">
        <v>107.93</v>
      </c>
    </row>
    <row r="764">
      <c r="D764" s="16" t="n">
        <v>42857</v>
      </c>
      <c r="E764" s="19" t="n">
        <v>4.63</v>
      </c>
      <c r="G764" s="16" t="n">
        <v>42857</v>
      </c>
      <c r="H764" s="19" t="n">
        <v>1.31</v>
      </c>
      <c r="J764" s="16" t="n">
        <v>42857</v>
      </c>
      <c r="K764" s="19" t="n">
        <v>108.66</v>
      </c>
    </row>
    <row r="765">
      <c r="D765" s="16" t="n">
        <v>42858</v>
      </c>
      <c r="E765" s="19" t="n">
        <v>4.53</v>
      </c>
      <c r="G765" s="16" t="n">
        <v>42858</v>
      </c>
      <c r="H765" s="19" t="n">
        <v>1.35</v>
      </c>
      <c r="J765" s="16" t="n">
        <v>42858</v>
      </c>
      <c r="K765" s="19" t="n">
        <v>108.01</v>
      </c>
    </row>
    <row r="766">
      <c r="D766" s="16" t="n">
        <v>42859</v>
      </c>
      <c r="E766" s="19" t="n">
        <v>4.55</v>
      </c>
      <c r="G766" s="16" t="n">
        <v>42859</v>
      </c>
      <c r="H766" s="19" t="n">
        <v>1.35</v>
      </c>
      <c r="J766" s="16" t="n">
        <v>42859</v>
      </c>
      <c r="K766" s="19" t="n">
        <v>107.99</v>
      </c>
    </row>
    <row r="767">
      <c r="D767" s="16" t="n">
        <v>42860</v>
      </c>
      <c r="E767" s="19" t="n">
        <v>4.51</v>
      </c>
      <c r="G767" s="16" t="n">
        <v>42860</v>
      </c>
      <c r="H767" s="19" t="n">
        <v>1.44</v>
      </c>
      <c r="J767" s="16" t="n">
        <v>42860</v>
      </c>
      <c r="K767" s="19" t="n">
        <v>107.42</v>
      </c>
    </row>
    <row r="768">
      <c r="D768" s="16" t="n">
        <v>42863</v>
      </c>
      <c r="E768" s="19" t="n">
        <v>4.44</v>
      </c>
      <c r="G768" s="16" t="n">
        <v>42863</v>
      </c>
      <c r="H768" s="19" t="n">
        <v>1.5</v>
      </c>
      <c r="J768" s="16" t="n">
        <v>42863</v>
      </c>
      <c r="K768" s="19" t="n">
        <v>107.82</v>
      </c>
    </row>
    <row r="769">
      <c r="D769" s="16" t="n">
        <v>42864</v>
      </c>
      <c r="E769" s="19" t="n">
        <v>4.44</v>
      </c>
      <c r="G769" s="16" t="n">
        <v>42864</v>
      </c>
      <c r="H769" s="19" t="n">
        <v>1.54</v>
      </c>
      <c r="J769" s="16" t="n">
        <v>42864</v>
      </c>
      <c r="K769" s="19" t="n">
        <v>107.43</v>
      </c>
    </row>
    <row r="770">
      <c r="D770" s="16" t="n">
        <v>42865</v>
      </c>
      <c r="E770" s="19" t="n">
        <v>4.48</v>
      </c>
      <c r="G770" s="16" t="n">
        <v>42865</v>
      </c>
      <c r="H770" s="19" t="n">
        <v>1.57</v>
      </c>
      <c r="J770" s="16" t="n">
        <v>42865</v>
      </c>
      <c r="K770" s="19" t="n">
        <v>106.79</v>
      </c>
    </row>
    <row r="771">
      <c r="D771" s="16" t="n">
        <v>42866</v>
      </c>
      <c r="E771" s="19" t="n">
        <v>4.47</v>
      </c>
      <c r="G771" s="16" t="n">
        <v>42866</v>
      </c>
      <c r="H771" s="19" t="n">
        <v>1.54</v>
      </c>
      <c r="J771" s="16" t="n">
        <v>42866</v>
      </c>
      <c r="K771" s="19" t="n">
        <v>106.64</v>
      </c>
    </row>
    <row r="772">
      <c r="D772" s="16" t="n">
        <v>42867</v>
      </c>
      <c r="E772" s="19" t="n">
        <v>4.43</v>
      </c>
      <c r="G772" s="16" t="n">
        <v>42867</v>
      </c>
      <c r="H772" s="19" t="n">
        <v>1.57</v>
      </c>
      <c r="J772" s="16" t="n">
        <v>42867</v>
      </c>
      <c r="K772" s="19" t="n">
        <v>106.02</v>
      </c>
    </row>
    <row r="773">
      <c r="D773" s="16" t="n">
        <v>42870</v>
      </c>
      <c r="E773" s="19" t="n">
        <v>4.45</v>
      </c>
      <c r="G773" s="16" t="n">
        <v>42870</v>
      </c>
      <c r="H773" s="19" t="n">
        <v>1.61</v>
      </c>
      <c r="J773" s="16" t="n">
        <v>42870</v>
      </c>
      <c r="K773" s="19" t="n">
        <v>105.64</v>
      </c>
    </row>
    <row r="774">
      <c r="D774" s="16" t="n">
        <v>42871</v>
      </c>
      <c r="E774" s="19" t="n">
        <v>4.39</v>
      </c>
      <c r="G774" s="16" t="n">
        <v>42871</v>
      </c>
      <c r="H774" s="19" t="n">
        <v>1.61</v>
      </c>
      <c r="J774" s="16" t="n">
        <v>42871</v>
      </c>
      <c r="K774" s="19" t="n">
        <v>106.01</v>
      </c>
    </row>
    <row r="775">
      <c r="D775" s="16" t="n">
        <v>42872</v>
      </c>
      <c r="E775" s="19" t="n">
        <v>4.39</v>
      </c>
      <c r="G775" s="16" t="n">
        <v>42872</v>
      </c>
      <c r="H775" s="19" t="n">
        <v>1.59</v>
      </c>
      <c r="J775" s="16" t="n">
        <v>42872</v>
      </c>
      <c r="K775" s="19" t="n">
        <v>105.12</v>
      </c>
    </row>
    <row r="776">
      <c r="D776" s="16" t="n">
        <v>42873</v>
      </c>
      <c r="E776" s="19" t="n">
        <v>4.38</v>
      </c>
      <c r="G776" s="16" t="n">
        <v>42873</v>
      </c>
      <c r="H776" s="19" t="n">
        <v>1.6</v>
      </c>
      <c r="J776" s="16" t="n">
        <v>42873</v>
      </c>
      <c r="K776" s="19" t="n">
        <v>105.24</v>
      </c>
    </row>
    <row r="777">
      <c r="D777" s="16" t="n">
        <v>42874</v>
      </c>
      <c r="E777" s="19" t="n">
        <v>4.46</v>
      </c>
      <c r="G777" s="16" t="n">
        <v>42874</v>
      </c>
      <c r="H777" s="19" t="n">
        <v>1.58</v>
      </c>
      <c r="J777" s="16" t="n">
        <v>42874</v>
      </c>
      <c r="K777" s="19" t="n">
        <v>105.06</v>
      </c>
    </row>
    <row r="778">
      <c r="D778" s="16" t="n">
        <v>42877</v>
      </c>
      <c r="E778" s="19" t="n">
        <v>4.39</v>
      </c>
      <c r="G778" s="16" t="n">
        <v>42877</v>
      </c>
      <c r="H778" s="19" t="n">
        <v>1.6</v>
      </c>
      <c r="J778" s="16" t="n">
        <v>42877</v>
      </c>
      <c r="K778" s="19" t="n">
        <v>104.51</v>
      </c>
    </row>
    <row r="779">
      <c r="D779" s="16" t="n">
        <v>42878</v>
      </c>
      <c r="E779" s="19" t="n">
        <v>4.49</v>
      </c>
      <c r="G779" s="16" t="n">
        <v>42878</v>
      </c>
      <c r="H779" s="19" t="n">
        <v>1.54</v>
      </c>
      <c r="J779" s="16" t="n">
        <v>42878</v>
      </c>
      <c r="K779" s="19" t="n">
        <v>104.29</v>
      </c>
    </row>
    <row r="780">
      <c r="D780" s="16" t="n">
        <v>42879</v>
      </c>
      <c r="E780" s="19" t="n">
        <v>4.42</v>
      </c>
      <c r="G780" s="16" t="n">
        <v>42879</v>
      </c>
      <c r="H780" s="19" t="n">
        <v>1.57</v>
      </c>
      <c r="J780" s="16" t="n">
        <v>42879</v>
      </c>
      <c r="K780" s="19" t="n">
        <v>104.41</v>
      </c>
    </row>
    <row r="781">
      <c r="D781" s="16" t="n">
        <v>42880</v>
      </c>
      <c r="E781" s="19" t="n">
        <v>4.34</v>
      </c>
      <c r="G781" s="16" t="n">
        <v>42880</v>
      </c>
      <c r="H781" s="19" t="n">
        <v>1.55</v>
      </c>
      <c r="J781" s="16" t="n">
        <v>42880</v>
      </c>
      <c r="K781" s="19" t="n">
        <v>105.51</v>
      </c>
    </row>
    <row r="782">
      <c r="D782" s="16" t="n">
        <v>42881</v>
      </c>
      <c r="E782" s="19" t="n">
        <v>4.36</v>
      </c>
      <c r="G782" s="16" t="n">
        <v>42881</v>
      </c>
      <c r="H782" s="19" t="n">
        <v>1.56</v>
      </c>
      <c r="J782" s="16" t="n">
        <v>42881</v>
      </c>
      <c r="K782" s="19" t="n">
        <v>105.43</v>
      </c>
    </row>
    <row r="783">
      <c r="D783" s="16" t="n">
        <v>42884</v>
      </c>
      <c r="E783" s="19" t="n">
        <v>4.35</v>
      </c>
      <c r="G783" s="16" t="n">
        <v>42884</v>
      </c>
      <c r="H783" s="19" t="n">
        <v>1.5</v>
      </c>
      <c r="J783" s="16" t="n">
        <v>42884</v>
      </c>
      <c r="K783" s="19" t="n">
        <v>105.25</v>
      </c>
    </row>
    <row r="784">
      <c r="D784" s="16" t="n">
        <v>42885</v>
      </c>
      <c r="E784" s="19" t="n">
        <v>4.4</v>
      </c>
      <c r="G784" s="16" t="n">
        <v>42885</v>
      </c>
      <c r="H784" s="19" t="n">
        <v>1.51</v>
      </c>
      <c r="J784" s="16" t="n">
        <v>42885</v>
      </c>
      <c r="K784" s="19" t="n">
        <v>105.76</v>
      </c>
    </row>
    <row r="785">
      <c r="D785" s="16" t="n">
        <v>42886</v>
      </c>
      <c r="E785" s="19" t="n">
        <v>4.44</v>
      </c>
      <c r="G785" s="16" t="n">
        <v>42886</v>
      </c>
      <c r="H785" s="19" t="n">
        <v>1.49</v>
      </c>
      <c r="J785" s="16" t="n">
        <v>42886</v>
      </c>
      <c r="K785" s="19" t="n">
        <v>105.31</v>
      </c>
    </row>
    <row r="786">
      <c r="D786" s="16" t="n">
        <v>42887</v>
      </c>
      <c r="E786" s="19" t="n">
        <v>4.44</v>
      </c>
      <c r="G786" s="16" t="n">
        <v>42887</v>
      </c>
      <c r="H786" s="19" t="n">
        <v>1.47</v>
      </c>
      <c r="J786" s="16" t="n">
        <v>42887</v>
      </c>
      <c r="K786" s="19" t="n">
        <v>104.75</v>
      </c>
    </row>
    <row r="787">
      <c r="D787" s="16" t="n">
        <v>42888</v>
      </c>
      <c r="E787" s="19" t="n">
        <v>4.4</v>
      </c>
      <c r="G787" s="16" t="n">
        <v>42888</v>
      </c>
      <c r="H787" s="19" t="n">
        <v>1.5</v>
      </c>
      <c r="J787" s="16" t="n">
        <v>42888</v>
      </c>
      <c r="K787" s="19" t="n">
        <v>103.91</v>
      </c>
    </row>
    <row r="788">
      <c r="D788" s="16" t="n">
        <v>42891</v>
      </c>
      <c r="E788" s="19" t="n">
        <v>4.33</v>
      </c>
      <c r="G788" s="16" t="n">
        <v>42891</v>
      </c>
      <c r="H788" s="19" t="n">
        <v>1.5</v>
      </c>
      <c r="J788" s="16" t="n">
        <v>42891</v>
      </c>
      <c r="K788" s="19" t="n">
        <v>104.24</v>
      </c>
    </row>
    <row r="789">
      <c r="D789" s="16" t="n">
        <v>42892</v>
      </c>
      <c r="E789" s="19" t="n">
        <v>4.33</v>
      </c>
      <c r="G789" s="16" t="n">
        <v>42892</v>
      </c>
      <c r="H789" s="19" t="n">
        <v>1.53</v>
      </c>
      <c r="J789" s="16" t="n">
        <v>42892</v>
      </c>
      <c r="K789" s="19" t="n">
        <v>104</v>
      </c>
    </row>
    <row r="790">
      <c r="D790" s="16" t="n">
        <v>42893</v>
      </c>
      <c r="E790" s="19" t="n">
        <v>4.33</v>
      </c>
      <c r="G790" s="16" t="n">
        <v>42893</v>
      </c>
      <c r="H790" s="19" t="n">
        <v>1.54</v>
      </c>
      <c r="J790" s="16" t="n">
        <v>42893</v>
      </c>
      <c r="K790" s="19" t="n">
        <v>104.53</v>
      </c>
    </row>
    <row r="791">
      <c r="D791" s="16" t="n">
        <v>42894</v>
      </c>
      <c r="E791" s="19" t="n">
        <v>4.37</v>
      </c>
      <c r="G791" s="16" t="n">
        <v>42894</v>
      </c>
      <c r="H791" s="19" t="n">
        <v>1.55</v>
      </c>
      <c r="J791" s="16" t="n">
        <v>42894</v>
      </c>
      <c r="K791" s="19" t="n">
        <v>104.87</v>
      </c>
    </row>
    <row r="792">
      <c r="D792" s="16" t="n">
        <v>42895</v>
      </c>
      <c r="E792" s="19" t="n">
        <v>4.35</v>
      </c>
      <c r="G792" s="16" t="n">
        <v>42895</v>
      </c>
      <c r="H792" s="19" t="n">
        <v>1.5</v>
      </c>
      <c r="J792" s="16" t="n">
        <v>42895</v>
      </c>
      <c r="K792" s="19" t="n">
        <v>104.48</v>
      </c>
    </row>
    <row r="793">
      <c r="D793" s="16" t="n">
        <v>42898</v>
      </c>
      <c r="E793" s="19" t="n">
        <v>4.31</v>
      </c>
      <c r="G793" s="16" t="n">
        <v>42898</v>
      </c>
      <c r="H793" s="19" t="n">
        <v>1.4</v>
      </c>
      <c r="J793" s="16" t="n">
        <v>42898</v>
      </c>
      <c r="K793" s="19" t="n">
        <v>104.15</v>
      </c>
    </row>
    <row r="794">
      <c r="D794" s="16" t="n">
        <v>42899</v>
      </c>
      <c r="E794" s="19" t="n">
        <v>4.31</v>
      </c>
      <c r="G794" s="16" t="n">
        <v>42899</v>
      </c>
      <c r="H794" s="19" t="n">
        <v>1.4</v>
      </c>
      <c r="J794" s="16" t="n">
        <v>42899</v>
      </c>
      <c r="K794" s="19" t="n">
        <v>103.87</v>
      </c>
    </row>
    <row r="795">
      <c r="D795" s="16" t="n">
        <v>42900</v>
      </c>
      <c r="E795" s="19" t="n">
        <v>4.29</v>
      </c>
      <c r="G795" s="16" t="n">
        <v>42900</v>
      </c>
      <c r="H795" s="19" t="n">
        <v>1.4</v>
      </c>
      <c r="J795" s="16" t="n">
        <v>42900</v>
      </c>
      <c r="K795" s="19" t="n">
        <v>103.99</v>
      </c>
    </row>
    <row r="796">
      <c r="D796" s="16" t="n">
        <v>42901</v>
      </c>
      <c r="E796" s="19" t="n">
        <v>4.33</v>
      </c>
      <c r="G796" s="16" t="n">
        <v>42901</v>
      </c>
      <c r="H796" s="19" t="n">
        <v>1.34</v>
      </c>
      <c r="J796" s="16" t="n">
        <v>42901</v>
      </c>
      <c r="K796" s="19" t="n">
        <v>103.34</v>
      </c>
    </row>
    <row r="797">
      <c r="D797" s="16" t="n">
        <v>42902</v>
      </c>
      <c r="E797" s="19" t="n">
        <v>4.43</v>
      </c>
      <c r="G797" s="16" t="n">
        <v>42902</v>
      </c>
      <c r="H797" s="19" t="n">
        <v>1.38</v>
      </c>
      <c r="J797" s="16" t="n">
        <v>42902</v>
      </c>
      <c r="K797" s="19" t="n">
        <v>103.18</v>
      </c>
    </row>
    <row r="798">
      <c r="D798" s="16" t="n">
        <v>42905</v>
      </c>
      <c r="E798" s="19" t="n">
        <v>4.46</v>
      </c>
      <c r="G798" s="16" t="n">
        <v>42905</v>
      </c>
      <c r="H798" s="19" t="n">
        <v>1.42</v>
      </c>
      <c r="J798" s="16" t="n">
        <v>42905</v>
      </c>
      <c r="K798" s="19" t="n">
        <v>103.27</v>
      </c>
    </row>
    <row r="799">
      <c r="D799" s="16" t="n">
        <v>42906</v>
      </c>
      <c r="E799" s="19" t="n">
        <v>4.5</v>
      </c>
      <c r="G799" s="16" t="n">
        <v>42906</v>
      </c>
      <c r="H799" s="19" t="n">
        <v>1.42</v>
      </c>
      <c r="J799" s="16" t="n">
        <v>42906</v>
      </c>
      <c r="K799" s="19" t="n">
        <v>103.16</v>
      </c>
    </row>
    <row r="800">
      <c r="D800" s="16" t="n">
        <v>42907</v>
      </c>
      <c r="E800" s="19" t="n">
        <v>4.45</v>
      </c>
      <c r="G800" s="16" t="n">
        <v>42907</v>
      </c>
      <c r="H800" s="19" t="n">
        <v>1.42</v>
      </c>
      <c r="J800" s="16" t="n">
        <v>42907</v>
      </c>
      <c r="K800" s="19" t="n">
        <v>104.5</v>
      </c>
    </row>
    <row r="801">
      <c r="D801" s="16" t="n">
        <v>42908</v>
      </c>
      <c r="E801" s="19" t="n">
        <v>4.5</v>
      </c>
      <c r="G801" s="16" t="n">
        <v>42908</v>
      </c>
      <c r="H801" s="19" t="n">
        <v>1.39</v>
      </c>
      <c r="J801" s="16" t="n">
        <v>42908</v>
      </c>
      <c r="K801" s="19" t="n">
        <v>104.45</v>
      </c>
    </row>
    <row r="802">
      <c r="D802" s="16" t="n">
        <v>42909</v>
      </c>
      <c r="E802" s="19" t="n">
        <v>4.54</v>
      </c>
      <c r="G802" s="16" t="n">
        <v>42909</v>
      </c>
      <c r="H802" s="19" t="n">
        <v>1.45</v>
      </c>
      <c r="J802" s="16" t="n">
        <v>42909</v>
      </c>
      <c r="K802" s="19" t="n">
        <v>104.85</v>
      </c>
    </row>
    <row r="803">
      <c r="D803" s="16" t="n">
        <v>42912</v>
      </c>
      <c r="E803" s="19" t="n">
        <v>4.49</v>
      </c>
      <c r="G803" s="16" t="n">
        <v>42912</v>
      </c>
      <c r="H803" s="19" t="n">
        <v>1.4</v>
      </c>
      <c r="J803" s="16" t="n">
        <v>42912</v>
      </c>
      <c r="K803" s="19" t="n">
        <v>104.55</v>
      </c>
    </row>
    <row r="804">
      <c r="D804" s="16" t="n">
        <v>42913</v>
      </c>
      <c r="E804" s="19" t="n">
        <v>4.45</v>
      </c>
      <c r="G804" s="16" t="n">
        <v>42913</v>
      </c>
      <c r="H804" s="19" t="n">
        <v>1.36</v>
      </c>
      <c r="J804" s="16" t="n">
        <v>42913</v>
      </c>
      <c r="K804" s="19" t="n">
        <v>104.57</v>
      </c>
    </row>
    <row r="805">
      <c r="D805" s="16" t="n">
        <v>42914</v>
      </c>
      <c r="E805" s="19" t="n">
        <v>4.45</v>
      </c>
      <c r="G805" s="16" t="n">
        <v>42914</v>
      </c>
      <c r="H805" s="19" t="n">
        <v>1.38</v>
      </c>
      <c r="J805" s="16" t="n">
        <v>42914</v>
      </c>
      <c r="K805" s="19" t="n">
        <v>104.02</v>
      </c>
    </row>
    <row r="806">
      <c r="D806" s="16" t="n">
        <v>42915</v>
      </c>
      <c r="E806" s="19" t="n">
        <v>4.41</v>
      </c>
      <c r="G806" s="16" t="n">
        <v>42915</v>
      </c>
      <c r="H806" s="19" t="n">
        <v>1.42</v>
      </c>
      <c r="J806" s="16" t="n">
        <v>42915</v>
      </c>
      <c r="K806" s="19" t="n">
        <v>103.75</v>
      </c>
    </row>
    <row r="807">
      <c r="D807" s="16" t="n">
        <v>42916</v>
      </c>
      <c r="E807" s="19" t="n">
        <v>4.43</v>
      </c>
      <c r="G807" s="16" t="n">
        <v>42916</v>
      </c>
      <c r="H807" s="19" t="n">
        <v>1.42</v>
      </c>
      <c r="J807" s="16" t="n">
        <v>42916</v>
      </c>
      <c r="K807" s="19" t="n">
        <v>103.16</v>
      </c>
    </row>
    <row r="808">
      <c r="D808" s="16" t="n">
        <v>42919</v>
      </c>
      <c r="E808" s="19" t="n">
        <v>4.44</v>
      </c>
      <c r="G808" s="16" t="n">
        <v>42919</v>
      </c>
      <c r="H808" s="19" t="n">
        <v>1.35</v>
      </c>
      <c r="J808" s="16" t="n">
        <v>42919</v>
      </c>
      <c r="K808" s="19" t="n">
        <v>102.62</v>
      </c>
    </row>
    <row r="809">
      <c r="D809" s="16" t="n">
        <v>42920</v>
      </c>
      <c r="E809" s="19" t="inlineStr">
        <is>
          <t>.</t>
        </is>
      </c>
      <c r="G809" s="16" t="n">
        <v>42920</v>
      </c>
      <c r="H809" s="19" t="inlineStr">
        <is>
          <t>.</t>
        </is>
      </c>
      <c r="J809" s="16" t="n">
        <v>42920</v>
      </c>
      <c r="K809" s="19" t="inlineStr">
        <is>
          <t>.</t>
        </is>
      </c>
    </row>
    <row r="810">
      <c r="D810" s="16" t="n">
        <v>42921</v>
      </c>
      <c r="E810" s="19" t="n">
        <v>4.27</v>
      </c>
      <c r="G810" s="16" t="n">
        <v>42921</v>
      </c>
      <c r="H810" s="19" t="n">
        <v>1.38</v>
      </c>
      <c r="J810" s="16" t="n">
        <v>42921</v>
      </c>
      <c r="K810" s="19" t="n">
        <v>104.14</v>
      </c>
    </row>
    <row r="811">
      <c r="D811" s="16" t="n">
        <v>42922</v>
      </c>
      <c r="E811" s="19" t="n">
        <v>4.22</v>
      </c>
      <c r="G811" s="16" t="n">
        <v>42922</v>
      </c>
      <c r="H811" s="19" t="n">
        <v>1.42</v>
      </c>
      <c r="J811" s="16" t="n">
        <v>42922</v>
      </c>
      <c r="K811" s="19" t="n">
        <v>104.23</v>
      </c>
    </row>
    <row r="812">
      <c r="D812" s="16" t="n">
        <v>42923</v>
      </c>
      <c r="E812" s="19" t="n">
        <v>4.2</v>
      </c>
      <c r="G812" s="16" t="n">
        <v>42923</v>
      </c>
      <c r="H812" s="19" t="n">
        <v>1.5</v>
      </c>
      <c r="J812" s="16" t="n">
        <v>42923</v>
      </c>
      <c r="K812" s="19" t="n">
        <v>104.6</v>
      </c>
    </row>
    <row r="813">
      <c r="D813" s="16" t="n">
        <v>42926</v>
      </c>
      <c r="E813" s="19" t="n">
        <v>4.12</v>
      </c>
      <c r="G813" s="16" t="n">
        <v>42926</v>
      </c>
      <c r="H813" s="19" t="n">
        <v>1.48</v>
      </c>
      <c r="J813" s="16" t="n">
        <v>42926</v>
      </c>
      <c r="K813" s="19" t="n">
        <v>105.06</v>
      </c>
    </row>
    <row r="814">
      <c r="D814" s="16" t="n">
        <v>42927</v>
      </c>
      <c r="E814" s="19" t="n">
        <v>4.16</v>
      </c>
      <c r="G814" s="16" t="n">
        <v>42927</v>
      </c>
      <c r="H814" s="19" t="n">
        <v>1.47</v>
      </c>
      <c r="J814" s="16" t="n">
        <v>42927</v>
      </c>
      <c r="K814" s="19" t="n">
        <v>104.98</v>
      </c>
    </row>
    <row r="815">
      <c r="D815" s="16" t="n">
        <v>42928</v>
      </c>
      <c r="E815" s="19" t="n">
        <v>4.13</v>
      </c>
      <c r="G815" s="16" t="n">
        <v>42928</v>
      </c>
      <c r="H815" s="19" t="n">
        <v>1.44</v>
      </c>
      <c r="J815" s="16" t="n">
        <v>42928</v>
      </c>
      <c r="K815" s="19" t="n">
        <v>104.77</v>
      </c>
    </row>
    <row r="816">
      <c r="D816" s="16" t="n">
        <v>42929</v>
      </c>
      <c r="E816" s="19" t="n">
        <v>4.12</v>
      </c>
      <c r="G816" s="16" t="n">
        <v>42929</v>
      </c>
      <c r="H816" s="19" t="n">
        <v>1.43</v>
      </c>
      <c r="J816" s="16" t="n">
        <v>42929</v>
      </c>
      <c r="K816" s="19" t="n">
        <v>104.15</v>
      </c>
    </row>
    <row r="817">
      <c r="D817" s="16" t="n">
        <v>42930</v>
      </c>
      <c r="E817" s="19" t="n">
        <v>4.11</v>
      </c>
      <c r="G817" s="16" t="n">
        <v>42930</v>
      </c>
      <c r="H817" s="19" t="n">
        <v>1.37</v>
      </c>
      <c r="J817" s="16" t="n">
        <v>42930</v>
      </c>
      <c r="K817" s="19" t="n">
        <v>104.17</v>
      </c>
    </row>
    <row r="818">
      <c r="D818" s="16" t="n">
        <v>42933</v>
      </c>
      <c r="E818" s="19" t="n">
        <v>4.11</v>
      </c>
      <c r="G818" s="16" t="n">
        <v>42933</v>
      </c>
      <c r="H818" s="19" t="n">
        <v>1.4</v>
      </c>
      <c r="J818" s="16" t="n">
        <v>42933</v>
      </c>
      <c r="K818" s="19" t="n">
        <v>104.48</v>
      </c>
    </row>
    <row r="819">
      <c r="D819" s="16" t="n">
        <v>42934</v>
      </c>
      <c r="E819" s="19" t="n">
        <v>4.06</v>
      </c>
      <c r="G819" s="16" t="n">
        <v>42934</v>
      </c>
      <c r="H819" s="19" t="n">
        <v>1.43</v>
      </c>
      <c r="J819" s="16" t="n">
        <v>42934</v>
      </c>
      <c r="K819" s="19" t="n">
        <v>104.13</v>
      </c>
    </row>
    <row r="820">
      <c r="D820" s="16" t="n">
        <v>42935</v>
      </c>
      <c r="E820" s="19" t="n">
        <v>4.04</v>
      </c>
      <c r="G820" s="16" t="n">
        <v>42935</v>
      </c>
      <c r="H820" s="19" t="n">
        <v>1.42</v>
      </c>
      <c r="J820" s="16" t="n">
        <v>42935</v>
      </c>
      <c r="K820" s="19" t="n">
        <v>104.55</v>
      </c>
    </row>
    <row r="821">
      <c r="D821" s="16" t="n">
        <v>42936</v>
      </c>
      <c r="E821" s="19" t="n">
        <v>4.01</v>
      </c>
      <c r="G821" s="16" t="n">
        <v>42936</v>
      </c>
      <c r="H821" s="19" t="n">
        <v>1.46</v>
      </c>
      <c r="J821" s="16" t="n">
        <v>42936</v>
      </c>
      <c r="K821" s="19" t="n">
        <v>104.87</v>
      </c>
    </row>
    <row r="822">
      <c r="D822" s="16" t="n">
        <v>42937</v>
      </c>
      <c r="E822" s="19" t="n">
        <v>4</v>
      </c>
      <c r="G822" s="16" t="n">
        <v>42937</v>
      </c>
      <c r="H822" s="19" t="n">
        <v>1.48</v>
      </c>
      <c r="J822" s="16" t="n">
        <v>42937</v>
      </c>
      <c r="K822" s="19" t="n">
        <v>104.11</v>
      </c>
    </row>
    <row r="823">
      <c r="D823" s="16" t="n">
        <v>42940</v>
      </c>
      <c r="E823" s="19" t="n">
        <v>3.94</v>
      </c>
      <c r="G823" s="16" t="n">
        <v>42940</v>
      </c>
      <c r="H823" s="19" t="n">
        <v>1.5</v>
      </c>
      <c r="J823" s="16" t="n">
        <v>42940</v>
      </c>
      <c r="K823" s="19" t="n">
        <v>103.59</v>
      </c>
    </row>
    <row r="824">
      <c r="D824" s="16" t="n">
        <v>42941</v>
      </c>
      <c r="E824" s="19" t="n">
        <v>3.87</v>
      </c>
      <c r="G824" s="16" t="n">
        <v>42941</v>
      </c>
      <c r="H824" s="19" t="n">
        <v>1.55</v>
      </c>
      <c r="J824" s="16" t="n">
        <v>42941</v>
      </c>
      <c r="K824" s="19" t="n">
        <v>103.84</v>
      </c>
    </row>
    <row r="825">
      <c r="D825" s="16" t="n">
        <v>42942</v>
      </c>
      <c r="E825" s="19" t="n">
        <v>3.83</v>
      </c>
      <c r="G825" s="16" t="n">
        <v>42942</v>
      </c>
      <c r="H825" s="19" t="n">
        <v>1.57</v>
      </c>
      <c r="J825" s="16" t="n">
        <v>42942</v>
      </c>
      <c r="K825" s="19" t="n">
        <v>104.15</v>
      </c>
    </row>
    <row r="826">
      <c r="D826" s="16" t="n">
        <v>42943</v>
      </c>
      <c r="E826" s="19" t="n">
        <v>3.81</v>
      </c>
      <c r="G826" s="16" t="n">
        <v>42943</v>
      </c>
      <c r="H826" s="19" t="n">
        <v>1.53</v>
      </c>
      <c r="J826" s="16" t="n">
        <v>42943</v>
      </c>
      <c r="K826" s="19" t="n">
        <v>103.41</v>
      </c>
    </row>
    <row r="827">
      <c r="D827" s="16" t="n">
        <v>42944</v>
      </c>
      <c r="E827" s="19" t="n">
        <v>3.82</v>
      </c>
      <c r="G827" s="16" t="n">
        <v>42944</v>
      </c>
      <c r="H827" s="19" t="n">
        <v>1.51</v>
      </c>
      <c r="J827" s="16" t="n">
        <v>42944</v>
      </c>
      <c r="K827" s="19" t="n">
        <v>103.14</v>
      </c>
    </row>
    <row r="828">
      <c r="D828" s="16" t="n">
        <v>42947</v>
      </c>
      <c r="E828" s="19" t="n">
        <v>3.8</v>
      </c>
      <c r="G828" s="16" t="n">
        <v>42947</v>
      </c>
      <c r="H828" s="19" t="n">
        <v>1.51</v>
      </c>
      <c r="J828" s="16" t="n">
        <v>42947</v>
      </c>
      <c r="K828" s="19" t="n">
        <v>103.07</v>
      </c>
    </row>
    <row r="829">
      <c r="D829" s="16" t="n">
        <v>42948</v>
      </c>
      <c r="E829" s="19" t="n">
        <v>3.72</v>
      </c>
      <c r="G829" s="16" t="n">
        <v>42948</v>
      </c>
      <c r="H829" s="19" t="n">
        <v>1.56</v>
      </c>
      <c r="J829" s="16" t="n">
        <v>42948</v>
      </c>
      <c r="K829" s="19" t="n">
        <v>103.49</v>
      </c>
    </row>
    <row r="830">
      <c r="D830" s="16" t="n">
        <v>42949</v>
      </c>
      <c r="E830" s="19" t="n">
        <v>3.73</v>
      </c>
      <c r="G830" s="16" t="n">
        <v>42949</v>
      </c>
      <c r="H830" s="19" t="n">
        <v>1.54</v>
      </c>
      <c r="J830" s="16" t="n">
        <v>42949</v>
      </c>
      <c r="K830" s="19" t="n">
        <v>103.19</v>
      </c>
    </row>
    <row r="831">
      <c r="D831" s="16" t="n">
        <v>42950</v>
      </c>
      <c r="E831" s="19" t="n">
        <v>3.77</v>
      </c>
      <c r="G831" s="16" t="n">
        <v>42950</v>
      </c>
      <c r="H831" s="19" t="n">
        <v>1.54</v>
      </c>
      <c r="J831" s="16" t="n">
        <v>42950</v>
      </c>
      <c r="K831" s="19" t="n">
        <v>102.68</v>
      </c>
    </row>
    <row r="832">
      <c r="D832" s="16" t="n">
        <v>42951</v>
      </c>
      <c r="E832" s="19" t="n">
        <v>3.77</v>
      </c>
      <c r="G832" s="16" t="n">
        <v>42951</v>
      </c>
      <c r="H832" s="19" t="n">
        <v>1.52</v>
      </c>
      <c r="J832" s="16" t="n">
        <v>42951</v>
      </c>
      <c r="K832" s="19" t="n">
        <v>102.56</v>
      </c>
    </row>
    <row r="833">
      <c r="D833" s="16" t="n">
        <v>42954</v>
      </c>
      <c r="E833" s="19" t="n">
        <v>3.72</v>
      </c>
      <c r="G833" s="16" t="n">
        <v>42954</v>
      </c>
      <c r="H833" s="19" t="n">
        <v>1.5</v>
      </c>
      <c r="J833" s="16" t="n">
        <v>42954</v>
      </c>
      <c r="K833" s="19" t="n">
        <v>102.83</v>
      </c>
    </row>
    <row r="834">
      <c r="D834" s="16" t="n">
        <v>42955</v>
      </c>
      <c r="E834" s="19" t="n">
        <v>3.74</v>
      </c>
      <c r="G834" s="16" t="n">
        <v>42955</v>
      </c>
      <c r="H834" s="19" t="n">
        <v>1.55</v>
      </c>
      <c r="J834" s="16" t="n">
        <v>42955</v>
      </c>
      <c r="K834" s="19" t="n">
        <v>103.01</v>
      </c>
    </row>
    <row r="835">
      <c r="D835" s="16" t="n">
        <v>42956</v>
      </c>
      <c r="E835" s="19" t="n">
        <v>3.74</v>
      </c>
      <c r="G835" s="16" t="n">
        <v>42956</v>
      </c>
      <c r="H835" s="19" t="n">
        <v>1.6</v>
      </c>
      <c r="J835" s="16" t="n">
        <v>42956</v>
      </c>
      <c r="K835" s="19" t="n">
        <v>102.49</v>
      </c>
    </row>
    <row r="836">
      <c r="D836" s="16" t="n">
        <v>42957</v>
      </c>
      <c r="E836" s="19" t="n">
        <v>3.71</v>
      </c>
      <c r="G836" s="16" t="n">
        <v>42957</v>
      </c>
      <c r="H836" s="19" t="n">
        <v>1.6</v>
      </c>
      <c r="J836" s="16" t="n">
        <v>42957</v>
      </c>
      <c r="K836" s="19" t="n">
        <v>103.17</v>
      </c>
    </row>
    <row r="837">
      <c r="D837" s="16" t="n">
        <v>42958</v>
      </c>
      <c r="E837" s="19" t="n">
        <v>3.67</v>
      </c>
      <c r="G837" s="16" t="n">
        <v>42958</v>
      </c>
      <c r="H837" s="19" t="n">
        <v>1.56</v>
      </c>
      <c r="J837" s="16" t="n">
        <v>42958</v>
      </c>
      <c r="K837" s="19" t="n">
        <v>103.23</v>
      </c>
    </row>
    <row r="838">
      <c r="D838" s="16" t="n">
        <v>42961</v>
      </c>
      <c r="E838" s="19" t="n">
        <v>3.67</v>
      </c>
      <c r="G838" s="16" t="n">
        <v>42961</v>
      </c>
      <c r="H838" s="19" t="n">
        <v>1.55</v>
      </c>
      <c r="J838" s="16" t="n">
        <v>42961</v>
      </c>
      <c r="K838" s="19" t="n">
        <v>103.93</v>
      </c>
    </row>
    <row r="839">
      <c r="D839" s="16" t="n">
        <v>42962</v>
      </c>
      <c r="E839" s="19" t="n">
        <v>3.66</v>
      </c>
      <c r="G839" s="16" t="n">
        <v>42962</v>
      </c>
      <c r="H839" s="19" t="n">
        <v>1.61</v>
      </c>
      <c r="J839" s="16" t="n">
        <v>42962</v>
      </c>
      <c r="K839" s="19" t="n">
        <v>104.57</v>
      </c>
    </row>
    <row r="840">
      <c r="D840" s="16" t="n">
        <v>42963</v>
      </c>
      <c r="E840" s="19" t="n">
        <v>3.62</v>
      </c>
      <c r="G840" s="16" t="n">
        <v>42963</v>
      </c>
      <c r="H840" s="19" t="n">
        <v>1.66</v>
      </c>
      <c r="J840" s="16" t="n">
        <v>42963</v>
      </c>
      <c r="K840" s="19" t="n">
        <v>104.94</v>
      </c>
    </row>
    <row r="841">
      <c r="D841" s="16" t="n">
        <v>42964</v>
      </c>
      <c r="E841" s="19" t="n">
        <v>3.66</v>
      </c>
      <c r="G841" s="16" t="n">
        <v>42964</v>
      </c>
      <c r="H841" s="19" t="n">
        <v>1.59</v>
      </c>
      <c r="J841" s="16" t="n">
        <v>42964</v>
      </c>
      <c r="K841" s="19" t="n">
        <v>105.58</v>
      </c>
    </row>
    <row r="842">
      <c r="D842" s="16" t="n">
        <v>42965</v>
      </c>
      <c r="E842" s="19" t="n">
        <v>3.69</v>
      </c>
      <c r="G842" s="16" t="n">
        <v>42965</v>
      </c>
      <c r="H842" s="19" t="n">
        <v>1.59</v>
      </c>
      <c r="J842" s="16" t="n">
        <v>42965</v>
      </c>
      <c r="K842" s="19" t="n">
        <v>106.23</v>
      </c>
    </row>
    <row r="843">
      <c r="D843" s="16" t="n">
        <v>42968</v>
      </c>
      <c r="E843" s="19" t="n">
        <v>3.61</v>
      </c>
      <c r="G843" s="16" t="n">
        <v>42968</v>
      </c>
      <c r="H843" s="19" t="n">
        <v>1.64</v>
      </c>
      <c r="J843" s="16" t="n">
        <v>42968</v>
      </c>
      <c r="K843" s="19" t="n">
        <v>106.51</v>
      </c>
    </row>
    <row r="844">
      <c r="D844" s="16" t="n">
        <v>42969</v>
      </c>
      <c r="E844" s="19" t="n">
        <v>3.63</v>
      </c>
      <c r="G844" s="16" t="n">
        <v>42969</v>
      </c>
      <c r="H844" s="19" t="n">
        <v>1.62</v>
      </c>
      <c r="J844" s="16" t="n">
        <v>42969</v>
      </c>
      <c r="K844" s="19" t="n">
        <v>105.58</v>
      </c>
    </row>
    <row r="845">
      <c r="D845" s="16" t="n">
        <v>42970</v>
      </c>
      <c r="E845" s="19" t="n">
        <v>3.6</v>
      </c>
      <c r="G845" s="16" t="n">
        <v>42970</v>
      </c>
      <c r="H845" s="19" t="n">
        <v>1.74</v>
      </c>
      <c r="J845" s="16" t="n">
        <v>42970</v>
      </c>
      <c r="K845" s="19" t="n">
        <v>105.02</v>
      </c>
    </row>
    <row r="846">
      <c r="D846" s="16" t="n">
        <v>42971</v>
      </c>
      <c r="E846" s="19" t="n">
        <v>3.54</v>
      </c>
      <c r="G846" s="16" t="n">
        <v>42971</v>
      </c>
      <c r="H846" s="19" t="n">
        <v>1.8</v>
      </c>
      <c r="J846" s="16" t="n">
        <v>42971</v>
      </c>
      <c r="K846" s="19" t="n">
        <v>105.25</v>
      </c>
    </row>
    <row r="847">
      <c r="D847" s="16" t="n">
        <v>42972</v>
      </c>
      <c r="E847" s="19" t="n">
        <v>3.53</v>
      </c>
      <c r="G847" s="16" t="n">
        <v>42972</v>
      </c>
      <c r="H847" s="19" t="n">
        <v>1.8</v>
      </c>
      <c r="J847" s="16" t="n">
        <v>42972</v>
      </c>
      <c r="K847" s="19" t="n">
        <v>105.48</v>
      </c>
    </row>
    <row r="848">
      <c r="D848" s="16" t="n">
        <v>42975</v>
      </c>
      <c r="E848" s="19" t="n">
        <v>3.56</v>
      </c>
      <c r="G848" s="16" t="n">
        <v>42975</v>
      </c>
      <c r="H848" s="19" t="n">
        <v>1.83</v>
      </c>
      <c r="J848" s="16" t="n">
        <v>42975</v>
      </c>
      <c r="K848" s="19" t="n">
        <v>105.47</v>
      </c>
    </row>
    <row r="849">
      <c r="D849" s="16" t="n">
        <v>42976</v>
      </c>
      <c r="E849" s="19" t="n">
        <v>3.53</v>
      </c>
      <c r="G849" s="16" t="n">
        <v>42976</v>
      </c>
      <c r="H849" s="19" t="n">
        <v>1.82</v>
      </c>
      <c r="J849" s="16" t="n">
        <v>42976</v>
      </c>
      <c r="K849" s="19" t="n">
        <v>104.96</v>
      </c>
    </row>
    <row r="850">
      <c r="D850" s="16" t="n">
        <v>42977</v>
      </c>
      <c r="E850" s="19" t="n">
        <v>3.55</v>
      </c>
      <c r="G850" s="16" t="n">
        <v>42977</v>
      </c>
      <c r="H850" s="19" t="n">
        <v>1.83</v>
      </c>
      <c r="J850" s="16" t="n">
        <v>42977</v>
      </c>
      <c r="K850" s="19" t="n">
        <v>104.99</v>
      </c>
    </row>
    <row r="851">
      <c r="D851" s="16" t="n">
        <v>42978</v>
      </c>
      <c r="E851" s="19" t="n">
        <v>3.52</v>
      </c>
      <c r="G851" s="16" t="n">
        <v>42978</v>
      </c>
      <c r="H851" s="19" t="n">
        <v>1.82</v>
      </c>
      <c r="J851" s="16" t="n">
        <v>42978</v>
      </c>
      <c r="K851" s="19" t="n">
        <v>104.91</v>
      </c>
    </row>
    <row r="852">
      <c r="D852" s="16" t="n">
        <v>42979</v>
      </c>
      <c r="E852" s="19" t="n">
        <v>3.53</v>
      </c>
      <c r="G852" s="16" t="n">
        <v>42979</v>
      </c>
      <c r="H852" s="19" t="n">
        <v>1.79</v>
      </c>
      <c r="J852" s="16" t="n">
        <v>42979</v>
      </c>
      <c r="K852" s="19" t="n">
        <v>104.85</v>
      </c>
    </row>
    <row r="853">
      <c r="D853" s="16" t="n">
        <v>42982</v>
      </c>
      <c r="E853" s="19" t="n">
        <v>3.48</v>
      </c>
      <c r="G853" s="16" t="n">
        <v>42982</v>
      </c>
      <c r="H853" s="19" t="n">
        <v>1.74</v>
      </c>
      <c r="J853" s="16" t="n">
        <v>42982</v>
      </c>
      <c r="K853" s="19" t="n">
        <v>105.91</v>
      </c>
    </row>
    <row r="854">
      <c r="D854" s="16" t="n">
        <v>42983</v>
      </c>
      <c r="E854" s="19" t="n">
        <v>3.46</v>
      </c>
      <c r="G854" s="16" t="n">
        <v>42983</v>
      </c>
      <c r="H854" s="19" t="n">
        <v>1.7</v>
      </c>
      <c r="J854" s="16" t="n">
        <v>42983</v>
      </c>
      <c r="K854" s="19" t="n">
        <v>105.43</v>
      </c>
    </row>
    <row r="855">
      <c r="D855" s="16" t="n">
        <v>42984</v>
      </c>
      <c r="E855" s="19" t="n">
        <v>3.51</v>
      </c>
      <c r="G855" s="16" t="n">
        <v>42984</v>
      </c>
      <c r="H855" s="19" t="n">
        <v>1.69</v>
      </c>
      <c r="J855" s="16" t="n">
        <v>42984</v>
      </c>
      <c r="K855" s="19" t="n">
        <v>104.95</v>
      </c>
    </row>
    <row r="856">
      <c r="D856" s="16" t="n">
        <v>42985</v>
      </c>
      <c r="E856" s="19" t="n">
        <v>3.51</v>
      </c>
      <c r="G856" s="16" t="n">
        <v>42985</v>
      </c>
      <c r="H856" s="19" t="n">
        <v>1.68</v>
      </c>
      <c r="J856" s="16" t="n">
        <v>42985</v>
      </c>
      <c r="K856" s="19" t="n">
        <v>105.15</v>
      </c>
    </row>
    <row r="857">
      <c r="D857" s="16" t="n">
        <v>42986</v>
      </c>
      <c r="E857" s="19" t="n">
        <v>3.52</v>
      </c>
      <c r="G857" s="16" t="n">
        <v>42986</v>
      </c>
      <c r="H857" s="19" t="n">
        <v>1.63</v>
      </c>
      <c r="J857" s="16" t="n">
        <v>42986</v>
      </c>
      <c r="K857" s="19" t="n">
        <v>105.54</v>
      </c>
    </row>
    <row r="858">
      <c r="D858" s="16" t="n">
        <v>42989</v>
      </c>
      <c r="E858" s="19" t="n">
        <v>3.51</v>
      </c>
      <c r="G858" s="16" t="n">
        <v>42989</v>
      </c>
      <c r="H858" s="19" t="n">
        <v>1.63</v>
      </c>
      <c r="J858" s="16" t="n">
        <v>42989</v>
      </c>
      <c r="K858" s="19" t="n">
        <v>105.99</v>
      </c>
    </row>
    <row r="859">
      <c r="D859" s="16" t="n">
        <v>42990</v>
      </c>
      <c r="E859" s="19" t="n">
        <v>3.5</v>
      </c>
      <c r="G859" s="16" t="n">
        <v>42990</v>
      </c>
      <c r="H859" s="19" t="n">
        <v>1.65</v>
      </c>
      <c r="J859" s="16" t="n">
        <v>42990</v>
      </c>
      <c r="K859" s="19" t="n">
        <v>105.7</v>
      </c>
    </row>
    <row r="860">
      <c r="D860" s="16" t="n">
        <v>42991</v>
      </c>
      <c r="E860" s="19" t="n">
        <v>3.47</v>
      </c>
      <c r="G860" s="16" t="n">
        <v>42991</v>
      </c>
      <c r="H860" s="19" t="n">
        <v>1.69</v>
      </c>
      <c r="J860" s="16" t="n">
        <v>42991</v>
      </c>
      <c r="K860" s="19" t="n">
        <v>105.9</v>
      </c>
    </row>
    <row r="861">
      <c r="D861" s="16" t="n">
        <v>42992</v>
      </c>
      <c r="E861" s="19" t="n">
        <v>3.45</v>
      </c>
      <c r="G861" s="16" t="n">
        <v>42992</v>
      </c>
      <c r="H861" s="19" t="n">
        <v>1.68</v>
      </c>
      <c r="J861" s="16" t="n">
        <v>42992</v>
      </c>
      <c r="K861" s="19" t="n">
        <v>105.12</v>
      </c>
    </row>
    <row r="862">
      <c r="D862" s="16" t="n">
        <v>42993</v>
      </c>
      <c r="E862" s="19" t="n">
        <v>3.38</v>
      </c>
      <c r="G862" s="16" t="n">
        <v>42993</v>
      </c>
      <c r="H862" s="19" t="n">
        <v>1.63</v>
      </c>
      <c r="J862" s="16" t="n">
        <v>42993</v>
      </c>
      <c r="K862" s="19" t="n">
        <v>104.68</v>
      </c>
    </row>
    <row r="863">
      <c r="D863" s="16" t="n">
        <v>42996</v>
      </c>
      <c r="E863" s="19" t="n">
        <v>3.4</v>
      </c>
      <c r="G863" s="16" t="n">
        <v>42996</v>
      </c>
      <c r="H863" s="19" t="n">
        <v>1.63</v>
      </c>
      <c r="J863" s="16" t="n">
        <v>42996</v>
      </c>
      <c r="K863" s="19" t="n">
        <v>104.75</v>
      </c>
    </row>
    <row r="864">
      <c r="D864" s="16" t="n">
        <v>42997</v>
      </c>
      <c r="E864" s="19" t="n">
        <v>3.32</v>
      </c>
      <c r="G864" s="16" t="n">
        <v>42997</v>
      </c>
      <c r="H864" s="19" t="n">
        <v>1.65</v>
      </c>
      <c r="J864" s="16" t="n">
        <v>42997</v>
      </c>
      <c r="K864" s="19" t="n">
        <v>105.1</v>
      </c>
    </row>
    <row r="865">
      <c r="D865" s="16" t="n">
        <v>42998</v>
      </c>
      <c r="E865" s="19" t="n">
        <v>3.32</v>
      </c>
      <c r="G865" s="16" t="n">
        <v>42998</v>
      </c>
      <c r="H865" s="19" t="n">
        <v>1.7</v>
      </c>
      <c r="J865" s="16" t="n">
        <v>42998</v>
      </c>
      <c r="K865" s="19" t="n">
        <v>105.15</v>
      </c>
    </row>
    <row r="866">
      <c r="D866" s="16" t="n">
        <v>42999</v>
      </c>
      <c r="E866" s="19" t="n">
        <v>3.41</v>
      </c>
      <c r="G866" s="16" t="n">
        <v>42999</v>
      </c>
      <c r="H866" s="19" t="n">
        <v>1.71</v>
      </c>
      <c r="J866" s="16" t="n">
        <v>42999</v>
      </c>
      <c r="K866" s="19" t="n">
        <v>104.71</v>
      </c>
    </row>
    <row r="867">
      <c r="D867" s="16" t="n">
        <v>43000</v>
      </c>
      <c r="E867" s="19" t="n">
        <v>3.33</v>
      </c>
      <c r="G867" s="16" t="n">
        <v>43000</v>
      </c>
      <c r="H867" s="19" t="n">
        <v>1.68</v>
      </c>
      <c r="J867" s="16" t="n">
        <v>43000</v>
      </c>
      <c r="K867" s="19" t="n">
        <v>104.72</v>
      </c>
    </row>
    <row r="868">
      <c r="D868" s="16" t="n">
        <v>43003</v>
      </c>
      <c r="E868" s="19" t="n">
        <v>3.36</v>
      </c>
      <c r="G868" s="16" t="n">
        <v>43003</v>
      </c>
      <c r="H868" s="19" t="n">
        <v>1.57</v>
      </c>
      <c r="J868" s="16" t="n">
        <v>43003</v>
      </c>
      <c r="K868" s="19" t="n">
        <v>103.74</v>
      </c>
    </row>
    <row r="869">
      <c r="D869" s="16" t="n">
        <v>43004</v>
      </c>
      <c r="E869" s="19" t="n">
        <v>3.38</v>
      </c>
      <c r="G869" s="16" t="n">
        <v>43004</v>
      </c>
      <c r="H869" s="19" t="n">
        <v>1.61</v>
      </c>
      <c r="J869" s="16" t="n">
        <v>43004</v>
      </c>
      <c r="K869" s="19" t="n">
        <v>104.09</v>
      </c>
    </row>
    <row r="870">
      <c r="D870" s="16" t="n">
        <v>43005</v>
      </c>
      <c r="E870" s="19" t="n">
        <v>3.39</v>
      </c>
      <c r="G870" s="16" t="n">
        <v>43005</v>
      </c>
      <c r="H870" s="19" t="n">
        <v>1.65</v>
      </c>
      <c r="J870" s="16" t="n">
        <v>43005</v>
      </c>
      <c r="K870" s="19" t="n">
        <v>102.97</v>
      </c>
    </row>
    <row r="871">
      <c r="D871" s="16" t="n">
        <v>43006</v>
      </c>
      <c r="E871" s="19" t="n">
        <v>3.38</v>
      </c>
      <c r="G871" s="16" t="n">
        <v>43006</v>
      </c>
      <c r="H871" s="19" t="n">
        <v>1.68</v>
      </c>
      <c r="J871" s="16" t="n">
        <v>43006</v>
      </c>
      <c r="K871" s="19" t="n">
        <v>103.58</v>
      </c>
    </row>
    <row r="872">
      <c r="D872" s="16" t="n">
        <v>43007</v>
      </c>
      <c r="E872" s="19" t="n">
        <v>3.42</v>
      </c>
      <c r="G872" s="16" t="n">
        <v>43007</v>
      </c>
      <c r="H872" s="19" t="n">
        <v>1.62</v>
      </c>
      <c r="J872" s="16" t="n">
        <v>43007</v>
      </c>
      <c r="K872" s="19" t="n">
        <v>104.08</v>
      </c>
    </row>
    <row r="873">
      <c r="D873" s="16" t="n">
        <v>43010</v>
      </c>
      <c r="E873" s="19" t="n">
        <v>3.4</v>
      </c>
      <c r="G873" s="16" t="n">
        <v>43010</v>
      </c>
      <c r="H873" s="19" t="n">
        <v>1.66</v>
      </c>
      <c r="J873" s="16" t="n">
        <v>43010</v>
      </c>
      <c r="K873" s="19" t="n">
        <v>104.15</v>
      </c>
    </row>
    <row r="874">
      <c r="D874" s="16" t="n">
        <v>43011</v>
      </c>
      <c r="E874" s="19" t="n">
        <v>3.38</v>
      </c>
      <c r="G874" s="16" t="n">
        <v>43011</v>
      </c>
      <c r="H874" s="19" t="n">
        <v>1.67</v>
      </c>
      <c r="J874" s="16" t="n">
        <v>43011</v>
      </c>
      <c r="K874" s="19" t="n">
        <v>105.15</v>
      </c>
    </row>
    <row r="875">
      <c r="D875" s="16" t="n">
        <v>43012</v>
      </c>
      <c r="E875" s="19" t="n">
        <v>3.47</v>
      </c>
      <c r="G875" s="16" t="n">
        <v>43012</v>
      </c>
      <c r="H875" s="19" t="n">
        <v>1.62</v>
      </c>
      <c r="J875" s="16" t="n">
        <v>43012</v>
      </c>
      <c r="K875" s="19" t="n">
        <v>105.42</v>
      </c>
    </row>
    <row r="876">
      <c r="D876" s="16" t="n">
        <v>43013</v>
      </c>
      <c r="E876" s="19" t="n">
        <v>3.45</v>
      </c>
      <c r="G876" s="16" t="n">
        <v>43013</v>
      </c>
      <c r="H876" s="19" t="n">
        <v>1.61</v>
      </c>
      <c r="J876" s="16" t="n">
        <v>43013</v>
      </c>
      <c r="K876" s="19" t="n">
        <v>105.89</v>
      </c>
    </row>
    <row r="877">
      <c r="D877" s="16" t="n">
        <v>43014</v>
      </c>
      <c r="E877" s="19" t="n">
        <v>3.5</v>
      </c>
      <c r="G877" s="16" t="n">
        <v>43014</v>
      </c>
      <c r="H877" s="19" t="n">
        <v>1.65</v>
      </c>
      <c r="J877" s="16" t="n">
        <v>43014</v>
      </c>
      <c r="K877" s="19" t="n">
        <v>105.75</v>
      </c>
    </row>
    <row r="878">
      <c r="D878" s="16" t="n">
        <v>43017</v>
      </c>
      <c r="E878" s="19" t="n">
        <v>3.52</v>
      </c>
      <c r="G878" s="16" t="n">
        <v>43017</v>
      </c>
      <c r="H878" s="19" t="n">
        <v>1.65</v>
      </c>
      <c r="J878" s="16" t="n">
        <v>43017</v>
      </c>
      <c r="K878" s="19" t="n">
        <v>105.36</v>
      </c>
    </row>
    <row r="879">
      <c r="D879" s="16" t="n">
        <v>43018</v>
      </c>
      <c r="E879" s="19" t="n">
        <v>3.48</v>
      </c>
      <c r="G879" s="16" t="n">
        <v>43018</v>
      </c>
      <c r="H879" s="19" t="n">
        <v>1.68</v>
      </c>
      <c r="J879" s="16" t="n">
        <v>43018</v>
      </c>
      <c r="K879" s="19" t="n">
        <v>104.84</v>
      </c>
    </row>
    <row r="880">
      <c r="D880" s="16" t="n">
        <v>43019</v>
      </c>
      <c r="E880" s="19" t="n">
        <v>3.4</v>
      </c>
      <c r="G880" s="16" t="n">
        <v>43019</v>
      </c>
      <c r="H880" s="19" t="n">
        <v>1.71</v>
      </c>
      <c r="J880" s="16" t="n">
        <v>43019</v>
      </c>
      <c r="K880" s="19" t="n">
        <v>104.67</v>
      </c>
    </row>
    <row r="881">
      <c r="D881" s="16" t="n">
        <v>43020</v>
      </c>
      <c r="E881" s="19" t="n">
        <v>3.44</v>
      </c>
      <c r="G881" s="16" t="n">
        <v>43020</v>
      </c>
      <c r="H881" s="19" t="n">
        <v>1.66</v>
      </c>
      <c r="J881" s="16" t="n">
        <v>43020</v>
      </c>
      <c r="K881" s="19" t="n">
        <v>104.24</v>
      </c>
    </row>
    <row r="882">
      <c r="D882" s="16" t="n">
        <v>43021</v>
      </c>
      <c r="E882" s="19" t="n">
        <v>3.42</v>
      </c>
      <c r="G882" s="16" t="n">
        <v>43021</v>
      </c>
      <c r="H882" s="19" t="n">
        <v>1.7</v>
      </c>
      <c r="J882" s="16" t="n">
        <v>43021</v>
      </c>
      <c r="K882" s="19" t="n">
        <v>104.34</v>
      </c>
    </row>
    <row r="883">
      <c r="D883" s="16" t="n">
        <v>43024</v>
      </c>
      <c r="E883" s="19" t="n">
        <v>3.45</v>
      </c>
      <c r="G883" s="16" t="n">
        <v>43024</v>
      </c>
      <c r="H883" s="19" t="n">
        <v>1.69</v>
      </c>
      <c r="J883" s="16" t="n">
        <v>43024</v>
      </c>
      <c r="K883" s="19" t="n">
        <v>105.31</v>
      </c>
    </row>
    <row r="884">
      <c r="D884" s="16" t="n">
        <v>43025</v>
      </c>
      <c r="E884" s="19" t="n">
        <v>3.44</v>
      </c>
      <c r="G884" s="16" t="n">
        <v>43025</v>
      </c>
      <c r="H884" s="19" t="n">
        <v>1.71</v>
      </c>
      <c r="J884" s="16" t="n">
        <v>43025</v>
      </c>
      <c r="K884" s="19" t="n">
        <v>104.19</v>
      </c>
    </row>
    <row r="885">
      <c r="D885" s="16" t="n">
        <v>43026</v>
      </c>
      <c r="E885" s="19" t="n">
        <v>3.35</v>
      </c>
      <c r="G885" s="16" t="n">
        <v>43026</v>
      </c>
      <c r="H885" s="19" t="n">
        <v>1.71</v>
      </c>
      <c r="J885" s="16" t="n">
        <v>43026</v>
      </c>
      <c r="K885" s="19" t="n">
        <v>103.44</v>
      </c>
    </row>
    <row r="886">
      <c r="D886" s="16" t="n">
        <v>43027</v>
      </c>
      <c r="E886" s="19" t="n">
        <v>3.31</v>
      </c>
      <c r="G886" s="16" t="n">
        <v>43027</v>
      </c>
      <c r="H886" s="19" t="n">
        <v>1.72</v>
      </c>
      <c r="J886" s="16" t="n">
        <v>43027</v>
      </c>
      <c r="K886" s="19" t="n">
        <v>103.54</v>
      </c>
    </row>
    <row r="887">
      <c r="D887" s="16" t="n">
        <v>43028</v>
      </c>
      <c r="E887" s="19" t="n">
        <v>3.31</v>
      </c>
      <c r="G887" s="16" t="n">
        <v>43028</v>
      </c>
      <c r="H887" s="19" t="n">
        <v>1.7</v>
      </c>
      <c r="J887" s="16" t="n">
        <v>43028</v>
      </c>
      <c r="K887" s="19" t="n">
        <v>103.45</v>
      </c>
    </row>
    <row r="888">
      <c r="D888" s="16" t="n">
        <v>43031</v>
      </c>
      <c r="E888" s="19" t="n">
        <v>3.32</v>
      </c>
      <c r="G888" s="16" t="n">
        <v>43031</v>
      </c>
      <c r="H888" s="19" t="n">
        <v>1.77</v>
      </c>
      <c r="J888" s="16" t="n">
        <v>43031</v>
      </c>
      <c r="K888" s="19" t="n">
        <v>102.98</v>
      </c>
    </row>
    <row r="889">
      <c r="D889" s="16" t="n">
        <v>43032</v>
      </c>
      <c r="E889" s="19" t="n">
        <v>3.43</v>
      </c>
      <c r="G889" s="16" t="n">
        <v>43032</v>
      </c>
      <c r="H889" s="19" t="n">
        <v>1.75</v>
      </c>
      <c r="J889" s="16" t="n">
        <v>43032</v>
      </c>
      <c r="K889" s="19" t="n">
        <v>102.5</v>
      </c>
    </row>
    <row r="890">
      <c r="D890" s="16" t="n">
        <v>43033</v>
      </c>
      <c r="E890" s="19" t="n">
        <v>3.43</v>
      </c>
      <c r="G890" s="16" t="n">
        <v>43033</v>
      </c>
      <c r="H890" s="19" t="n">
        <v>1.74</v>
      </c>
      <c r="J890" s="16" t="n">
        <v>43033</v>
      </c>
      <c r="K890" s="19" t="n">
        <v>103.08</v>
      </c>
    </row>
    <row r="891">
      <c r="D891" s="16" t="n">
        <v>43034</v>
      </c>
      <c r="E891" s="19" t="n">
        <v>3.39</v>
      </c>
      <c r="G891" s="16" t="n">
        <v>43034</v>
      </c>
      <c r="H891" s="19" t="n">
        <v>1.79</v>
      </c>
      <c r="J891" s="16" t="n">
        <v>43034</v>
      </c>
      <c r="K891" s="19" t="n">
        <v>103.1</v>
      </c>
    </row>
    <row r="892">
      <c r="D892" s="16" t="n">
        <v>43035</v>
      </c>
      <c r="E892" s="19" t="n">
        <v>3.5</v>
      </c>
      <c r="G892" s="16" t="n">
        <v>43035</v>
      </c>
      <c r="H892" s="19" t="n">
        <v>1.78</v>
      </c>
      <c r="J892" s="16" t="n">
        <v>43035</v>
      </c>
      <c r="K892" s="19" t="n">
        <v>103.07</v>
      </c>
    </row>
    <row r="893">
      <c r="D893" s="16" t="n">
        <v>43038</v>
      </c>
      <c r="E893" s="19" t="n">
        <v>3.49</v>
      </c>
      <c r="G893" s="16" t="n">
        <v>43038</v>
      </c>
      <c r="H893" s="19" t="n">
        <v>1.8</v>
      </c>
      <c r="J893" s="16" t="n">
        <v>43038</v>
      </c>
      <c r="K893" s="19" t="n">
        <v>102.41</v>
      </c>
    </row>
    <row r="894">
      <c r="D894" s="16" t="n">
        <v>43039</v>
      </c>
      <c r="E894" s="19" t="n">
        <v>3.45</v>
      </c>
      <c r="G894" s="16" t="n">
        <v>43039</v>
      </c>
      <c r="H894" s="19" t="n">
        <v>1.76</v>
      </c>
      <c r="J894" s="16" t="n">
        <v>43039</v>
      </c>
      <c r="K894" s="19" t="n">
        <v>103.22</v>
      </c>
    </row>
    <row r="895">
      <c r="D895" s="16" t="n">
        <v>43040</v>
      </c>
      <c r="E895" s="19" t="n">
        <v>3.49</v>
      </c>
      <c r="G895" s="16" t="n">
        <v>43040</v>
      </c>
      <c r="H895" s="19" t="n">
        <v>1.8</v>
      </c>
      <c r="J895" s="16" t="n">
        <v>43040</v>
      </c>
      <c r="K895" s="19" t="n">
        <v>103.65</v>
      </c>
    </row>
    <row r="896">
      <c r="D896" s="16" t="n">
        <v>43041</v>
      </c>
      <c r="E896" s="19" t="n">
        <v>3.5</v>
      </c>
      <c r="G896" s="16" t="n">
        <v>43041</v>
      </c>
      <c r="H896" s="19" t="n">
        <v>1.76</v>
      </c>
      <c r="J896" s="16" t="n">
        <v>43041</v>
      </c>
      <c r="K896" s="19" t="n">
        <v>103.11</v>
      </c>
    </row>
    <row r="897">
      <c r="D897" s="16" t="n">
        <v>43042</v>
      </c>
      <c r="E897" s="19" t="n">
        <v>3.42</v>
      </c>
      <c r="G897" s="16" t="n">
        <v>43042</v>
      </c>
      <c r="H897" s="19" t="n">
        <v>1.78</v>
      </c>
      <c r="J897" s="16" t="n">
        <v>43042</v>
      </c>
      <c r="K897" s="19" t="n">
        <v>102.55</v>
      </c>
    </row>
    <row r="898">
      <c r="D898" s="16" t="n">
        <v>43045</v>
      </c>
      <c r="E898" s="19" t="n">
        <v>3.45</v>
      </c>
      <c r="G898" s="16" t="n">
        <v>43045</v>
      </c>
      <c r="H898" s="19" t="n">
        <v>1.83</v>
      </c>
      <c r="J898" s="16" t="n">
        <v>43045</v>
      </c>
      <c r="K898" s="19" t="n">
        <v>103.1</v>
      </c>
    </row>
    <row r="899">
      <c r="D899" s="16" t="n">
        <v>43046</v>
      </c>
      <c r="E899" s="19" t="n">
        <v>3.41</v>
      </c>
      <c r="G899" s="16" t="n">
        <v>43046</v>
      </c>
      <c r="H899" s="19" t="n">
        <v>1.86</v>
      </c>
      <c r="J899" s="16" t="n">
        <v>43046</v>
      </c>
      <c r="K899" s="19" t="n">
        <v>102.75</v>
      </c>
    </row>
    <row r="900">
      <c r="D900" s="16" t="n">
        <v>43047</v>
      </c>
      <c r="E900" s="19" t="n">
        <v>3.41</v>
      </c>
      <c r="G900" s="16" t="n">
        <v>43047</v>
      </c>
      <c r="H900" s="19" t="n">
        <v>1.89</v>
      </c>
      <c r="J900" s="16" t="n">
        <v>43047</v>
      </c>
      <c r="K900" s="19" t="n">
        <v>102.13</v>
      </c>
    </row>
    <row r="901">
      <c r="D901" s="16" t="n">
        <v>43048</v>
      </c>
      <c r="E901" s="19" t="n">
        <v>3.4</v>
      </c>
      <c r="G901" s="16" t="n">
        <v>43048</v>
      </c>
      <c r="H901" s="19" t="n">
        <v>1.89</v>
      </c>
      <c r="J901" s="16" t="n">
        <v>43048</v>
      </c>
      <c r="K901" s="19" t="n">
        <v>102.94</v>
      </c>
    </row>
    <row r="902">
      <c r="D902" s="16" t="n">
        <v>43049</v>
      </c>
      <c r="E902" s="19" t="n">
        <v>3.44</v>
      </c>
      <c r="G902" s="16" t="n">
        <v>43049</v>
      </c>
      <c r="H902" s="19" t="n">
        <v>1.86</v>
      </c>
      <c r="J902" s="16" t="n">
        <v>43049</v>
      </c>
      <c r="K902" s="19" t="n">
        <v>103.08</v>
      </c>
    </row>
    <row r="903">
      <c r="D903" s="16" t="n">
        <v>43052</v>
      </c>
      <c r="E903" s="19" t="n">
        <v>3.45</v>
      </c>
      <c r="G903" s="16" t="n">
        <v>43052</v>
      </c>
      <c r="H903" s="19" t="n">
        <v>1.85</v>
      </c>
      <c r="J903" s="16" t="n">
        <v>43052</v>
      </c>
      <c r="K903" s="19" t="n">
        <v>102.84</v>
      </c>
    </row>
    <row r="904">
      <c r="D904" s="16" t="n">
        <v>43053</v>
      </c>
      <c r="E904" s="19" t="n">
        <v>3.47</v>
      </c>
      <c r="G904" s="16" t="n">
        <v>43053</v>
      </c>
      <c r="H904" s="19" t="n">
        <v>1.89</v>
      </c>
      <c r="J904" s="16" t="n">
        <v>43053</v>
      </c>
      <c r="K904" s="19" t="n">
        <v>102.72</v>
      </c>
    </row>
    <row r="905">
      <c r="D905" s="16" t="n">
        <v>43054</v>
      </c>
      <c r="E905" s="19" t="n">
        <v>3.46</v>
      </c>
      <c r="G905" s="16" t="n">
        <v>43054</v>
      </c>
      <c r="H905" s="19" t="n">
        <v>1.87</v>
      </c>
      <c r="J905" s="16" t="n">
        <v>43054</v>
      </c>
      <c r="K905" s="19" t="n">
        <v>102.53</v>
      </c>
    </row>
    <row r="906">
      <c r="D906" s="16" t="n">
        <v>43055</v>
      </c>
      <c r="E906" s="19" t="n">
        <v>3.47</v>
      </c>
      <c r="G906" s="16" t="n">
        <v>43055</v>
      </c>
      <c r="H906" s="19" t="n">
        <v>1.81</v>
      </c>
      <c r="J906" s="16" t="n">
        <v>43055</v>
      </c>
      <c r="K906" s="19" t="n">
        <v>102.13</v>
      </c>
    </row>
    <row r="907">
      <c r="D907" s="16" t="n">
        <v>43056</v>
      </c>
      <c r="E907" s="19" t="n">
        <v>3.43</v>
      </c>
      <c r="G907" s="16" t="n">
        <v>43056</v>
      </c>
      <c r="H907" s="19" t="n">
        <v>1.77</v>
      </c>
      <c r="J907" s="16" t="n">
        <v>43056</v>
      </c>
      <c r="K907" s="19" t="n">
        <v>102.21</v>
      </c>
    </row>
    <row r="908">
      <c r="D908" s="16" t="n">
        <v>43059</v>
      </c>
      <c r="E908" s="19" t="n">
        <v>3.37</v>
      </c>
      <c r="G908" s="16" t="n">
        <v>43059</v>
      </c>
      <c r="H908" s="19" t="n">
        <v>1.82</v>
      </c>
      <c r="J908" s="16" t="n">
        <v>43059</v>
      </c>
      <c r="K908" s="19" t="n">
        <v>102.47</v>
      </c>
    </row>
    <row r="909">
      <c r="D909" s="16" t="n">
        <v>43060</v>
      </c>
      <c r="E909" s="19" t="n">
        <v>3.37</v>
      </c>
      <c r="G909" s="16" t="n">
        <v>43060</v>
      </c>
      <c r="H909" s="19" t="n">
        <v>1.77</v>
      </c>
      <c r="J909" s="16" t="n">
        <v>43060</v>
      </c>
      <c r="K909" s="19" t="n">
        <v>101.13</v>
      </c>
    </row>
    <row r="910">
      <c r="D910" s="16" t="n">
        <v>43061</v>
      </c>
      <c r="E910" s="19" t="n">
        <v>3.33</v>
      </c>
      <c r="G910" s="16" t="n">
        <v>43061</v>
      </c>
      <c r="H910" s="19" t="n">
        <v>1.74</v>
      </c>
      <c r="J910" s="16" t="n">
        <v>43061</v>
      </c>
      <c r="K910" s="19" t="n">
        <v>101.96</v>
      </c>
    </row>
    <row r="911">
      <c r="D911" s="16" t="n">
        <v>43062</v>
      </c>
      <c r="E911" s="19" t="inlineStr">
        <is>
          <t>.</t>
        </is>
      </c>
      <c r="G911" s="16" t="n">
        <v>43062</v>
      </c>
      <c r="H911" s="19" t="inlineStr">
        <is>
          <t>.</t>
        </is>
      </c>
      <c r="J911" s="16" t="n">
        <v>43062</v>
      </c>
      <c r="K911" s="19" t="inlineStr">
        <is>
          <t>.</t>
        </is>
      </c>
    </row>
    <row r="912">
      <c r="D912" s="16" t="n">
        <v>43063</v>
      </c>
      <c r="E912" s="19" t="n">
        <v>3.3</v>
      </c>
      <c r="G912" s="16" t="n">
        <v>43063</v>
      </c>
      <c r="H912" s="19" t="n">
        <v>1.71</v>
      </c>
      <c r="J912" s="16" t="n">
        <v>43063</v>
      </c>
      <c r="K912" s="19" t="n">
        <v>101.22</v>
      </c>
    </row>
    <row r="913">
      <c r="D913" s="16" t="n">
        <v>43066</v>
      </c>
      <c r="E913" s="19" t="n">
        <v>3.31</v>
      </c>
      <c r="G913" s="16" t="n">
        <v>43066</v>
      </c>
      <c r="H913" s="19" t="n">
        <v>1.62</v>
      </c>
      <c r="J913" s="16" t="n">
        <v>43066</v>
      </c>
      <c r="K913" s="19" t="n">
        <v>101.79</v>
      </c>
    </row>
    <row r="914">
      <c r="D914" s="16" t="n">
        <v>43067</v>
      </c>
      <c r="E914" s="19" t="n">
        <v>3.31</v>
      </c>
      <c r="G914" s="16" t="n">
        <v>43067</v>
      </c>
      <c r="H914" s="19" t="n">
        <v>1.61</v>
      </c>
      <c r="J914" s="16" t="n">
        <v>43067</v>
      </c>
      <c r="K914" s="19" t="n">
        <v>102.01</v>
      </c>
    </row>
    <row r="915">
      <c r="D915" s="16" t="n">
        <v>43068</v>
      </c>
      <c r="E915" s="19" t="n">
        <v>3.3</v>
      </c>
      <c r="G915" s="16" t="n">
        <v>43068</v>
      </c>
      <c r="H915" s="19" t="n">
        <v>1.56</v>
      </c>
      <c r="J915" s="16" t="n">
        <v>43068</v>
      </c>
      <c r="K915" s="19" t="n">
        <v>102.06</v>
      </c>
    </row>
    <row r="916">
      <c r="D916" s="16" t="n">
        <v>43069</v>
      </c>
      <c r="E916" s="19" t="n">
        <v>3.19</v>
      </c>
      <c r="G916" s="16" t="n">
        <v>43069</v>
      </c>
      <c r="H916" s="19" t="n">
        <v>1.56</v>
      </c>
      <c r="J916" s="16" t="n">
        <v>43069</v>
      </c>
      <c r="K916" s="19" t="n">
        <v>102.37</v>
      </c>
    </row>
    <row r="917">
      <c r="D917" s="16" t="n">
        <v>43070</v>
      </c>
      <c r="E917" s="19" t="n">
        <v>3.21</v>
      </c>
      <c r="G917" s="16" t="n">
        <v>43070</v>
      </c>
      <c r="H917" s="19" t="n">
        <v>1.57</v>
      </c>
      <c r="J917" s="16" t="n">
        <v>43070</v>
      </c>
      <c r="K917" s="19" t="n">
        <v>102.65</v>
      </c>
    </row>
    <row r="918">
      <c r="D918" s="16" t="n">
        <v>43073</v>
      </c>
      <c r="E918" s="19" t="n">
        <v>3.19</v>
      </c>
      <c r="G918" s="16" t="n">
        <v>43073</v>
      </c>
      <c r="H918" s="19" t="n">
        <v>1.55</v>
      </c>
      <c r="J918" s="16" t="n">
        <v>43073</v>
      </c>
      <c r="K918" s="19" t="n">
        <v>103.26</v>
      </c>
    </row>
    <row r="919">
      <c r="D919" s="16" t="n">
        <v>43074</v>
      </c>
      <c r="E919" s="19" t="n">
        <v>3.25</v>
      </c>
      <c r="G919" s="16" t="n">
        <v>43074</v>
      </c>
      <c r="H919" s="19" t="n">
        <v>1.56</v>
      </c>
      <c r="J919" s="16" t="n">
        <v>43074</v>
      </c>
      <c r="K919" s="19" t="n">
        <v>103.23</v>
      </c>
    </row>
    <row r="920">
      <c r="D920" s="16" t="n">
        <v>43075</v>
      </c>
      <c r="E920" s="19" t="n">
        <v>3.25</v>
      </c>
      <c r="G920" s="16" t="n">
        <v>43075</v>
      </c>
      <c r="H920" s="19" t="n">
        <v>1.6</v>
      </c>
      <c r="J920" s="16" t="n">
        <v>43075</v>
      </c>
      <c r="K920" s="19" t="n">
        <v>103.64</v>
      </c>
    </row>
    <row r="921">
      <c r="D921" s="16" t="n">
        <v>43076</v>
      </c>
      <c r="E921" s="19" t="n">
        <v>3.29</v>
      </c>
      <c r="G921" s="16" t="n">
        <v>43076</v>
      </c>
      <c r="H921" s="19" t="n">
        <v>1.58</v>
      </c>
      <c r="J921" s="16" t="n">
        <v>43076</v>
      </c>
      <c r="K921" s="19" t="n">
        <v>103.79</v>
      </c>
    </row>
    <row r="922">
      <c r="D922" s="16" t="n">
        <v>43077</v>
      </c>
      <c r="E922" s="19" t="n">
        <v>3.31</v>
      </c>
      <c r="G922" s="16" t="n">
        <v>43077</v>
      </c>
      <c r="H922" s="19" t="n">
        <v>1.59</v>
      </c>
      <c r="J922" s="16" t="n">
        <v>43077</v>
      </c>
      <c r="K922" s="19" t="n">
        <v>104.08</v>
      </c>
    </row>
    <row r="923">
      <c r="D923" s="16" t="n">
        <v>43080</v>
      </c>
      <c r="E923" s="19" t="n">
        <v>3.38</v>
      </c>
      <c r="G923" s="16" t="n">
        <v>43080</v>
      </c>
      <c r="H923" s="19" t="n">
        <v>1.61</v>
      </c>
      <c r="J923" s="16" t="n">
        <v>43080</v>
      </c>
      <c r="K923" s="19" t="n">
        <v>104.04</v>
      </c>
    </row>
    <row r="924">
      <c r="D924" s="16" t="n">
        <v>43081</v>
      </c>
      <c r="E924" s="19" t="n">
        <v>3.32</v>
      </c>
      <c r="G924" s="16" t="n">
        <v>43081</v>
      </c>
      <c r="H924" s="19" t="n">
        <v>1.66</v>
      </c>
      <c r="J924" s="16" t="n">
        <v>43081</v>
      </c>
      <c r="K924" s="19" t="n">
        <v>104.47</v>
      </c>
    </row>
    <row r="925">
      <c r="D925" s="16" t="n">
        <v>43082</v>
      </c>
      <c r="E925" s="19" t="n">
        <v>3.29</v>
      </c>
      <c r="G925" s="16" t="n">
        <v>43082</v>
      </c>
      <c r="H925" s="19" t="n">
        <v>1.68</v>
      </c>
      <c r="J925" s="16" t="n">
        <v>43082</v>
      </c>
      <c r="K925" s="19" t="n">
        <v>104.21</v>
      </c>
    </row>
    <row r="926">
      <c r="D926" s="16" t="n">
        <v>43083</v>
      </c>
      <c r="E926" s="19" t="n">
        <v>3.25</v>
      </c>
      <c r="G926" s="16" t="n">
        <v>43083</v>
      </c>
      <c r="H926" s="19" t="n">
        <v>1.7</v>
      </c>
      <c r="J926" s="16" t="n">
        <v>43083</v>
      </c>
      <c r="K926" s="19" t="n">
        <v>104.25</v>
      </c>
    </row>
    <row r="927">
      <c r="D927" s="16" t="n">
        <v>43084</v>
      </c>
      <c r="E927" s="19" t="n">
        <v>3.34</v>
      </c>
      <c r="G927" s="16" t="n">
        <v>43084</v>
      </c>
      <c r="H927" s="19" t="n">
        <v>1.68</v>
      </c>
      <c r="J927" s="16" t="n">
        <v>43084</v>
      </c>
      <c r="K927" s="19" t="n">
        <v>103.96</v>
      </c>
    </row>
    <row r="928">
      <c r="D928" s="16" t="n">
        <v>43087</v>
      </c>
      <c r="E928" s="19" t="n">
        <v>3.26</v>
      </c>
      <c r="G928" s="16" t="n">
        <v>43087</v>
      </c>
      <c r="H928" s="19" t="n">
        <v>1.66</v>
      </c>
      <c r="J928" s="16" t="n">
        <v>43087</v>
      </c>
      <c r="K928" s="19" t="n">
        <v>103.6</v>
      </c>
    </row>
    <row r="929">
      <c r="D929" s="16" t="n">
        <v>43088</v>
      </c>
      <c r="E929" s="19" t="n">
        <v>3.22</v>
      </c>
      <c r="G929" s="16" t="n">
        <v>43088</v>
      </c>
      <c r="H929" s="19" t="n">
        <v>1.65</v>
      </c>
      <c r="J929" s="16" t="n">
        <v>43088</v>
      </c>
      <c r="K929" s="19" t="n">
        <v>103.79</v>
      </c>
    </row>
    <row r="930">
      <c r="D930" s="16" t="n">
        <v>43089</v>
      </c>
      <c r="E930" s="19" t="n">
        <v>3.24</v>
      </c>
      <c r="G930" s="16" t="n">
        <v>43089</v>
      </c>
      <c r="H930" s="19" t="n">
        <v>1.68</v>
      </c>
      <c r="J930" s="16" t="n">
        <v>43089</v>
      </c>
      <c r="K930" s="19" t="n">
        <v>103.38</v>
      </c>
    </row>
    <row r="931">
      <c r="D931" s="16" t="n">
        <v>43090</v>
      </c>
      <c r="E931" s="19" t="n">
        <v>3.22</v>
      </c>
      <c r="G931" s="16" t="n">
        <v>43090</v>
      </c>
      <c r="H931" s="19" t="n">
        <v>1.65</v>
      </c>
      <c r="J931" s="16" t="n">
        <v>43090</v>
      </c>
      <c r="K931" s="19" t="n">
        <v>103.38</v>
      </c>
    </row>
    <row r="932">
      <c r="D932" s="16" t="n">
        <v>43091</v>
      </c>
      <c r="E932" s="19" t="n">
        <v>3.24</v>
      </c>
      <c r="G932" s="16" t="n">
        <v>43091</v>
      </c>
      <c r="H932" s="19" t="n">
        <v>1.57</v>
      </c>
      <c r="J932" s="16" t="n">
        <v>43091</v>
      </c>
      <c r="K932" s="19" t="n">
        <v>103.65</v>
      </c>
    </row>
    <row r="933">
      <c r="D933" s="16" t="n">
        <v>43094</v>
      </c>
      <c r="E933" s="19" t="inlineStr">
        <is>
          <t>.</t>
        </is>
      </c>
      <c r="G933" s="16" t="n">
        <v>43094</v>
      </c>
      <c r="H933" s="19" t="inlineStr">
        <is>
          <t>.</t>
        </is>
      </c>
      <c r="J933" s="16" t="n">
        <v>43094</v>
      </c>
      <c r="K933" s="19" t="inlineStr">
        <is>
          <t>.</t>
        </is>
      </c>
    </row>
    <row r="934">
      <c r="D934" s="16" t="n">
        <v>43095</v>
      </c>
      <c r="E934" s="19" t="n">
        <v>3.25</v>
      </c>
      <c r="G934" s="16" t="n">
        <v>43095</v>
      </c>
      <c r="H934" s="19" t="n">
        <v>1.52</v>
      </c>
      <c r="J934" s="16" t="n">
        <v>43095</v>
      </c>
      <c r="K934" s="19" t="n">
        <v>103.29</v>
      </c>
    </row>
    <row r="935">
      <c r="D935" s="16" t="n">
        <v>43096</v>
      </c>
      <c r="E935" s="19" t="n">
        <v>3.22</v>
      </c>
      <c r="G935" s="16" t="n">
        <v>43096</v>
      </c>
      <c r="H935" s="19" t="n">
        <v>1.52</v>
      </c>
      <c r="J935" s="16" t="n">
        <v>43096</v>
      </c>
      <c r="K935" s="19" t="n">
        <v>102.88</v>
      </c>
    </row>
    <row r="936">
      <c r="D936" s="16" t="n">
        <v>43097</v>
      </c>
      <c r="E936" s="19" t="n">
        <v>3.21</v>
      </c>
      <c r="G936" s="16" t="n">
        <v>43097</v>
      </c>
      <c r="H936" s="19" t="n">
        <v>1.55</v>
      </c>
      <c r="J936" s="16" t="n">
        <v>43097</v>
      </c>
      <c r="K936" s="19" t="n">
        <v>102.05</v>
      </c>
    </row>
    <row r="937">
      <c r="D937" s="16" t="n">
        <v>43098</v>
      </c>
      <c r="E937" s="19" t="n">
        <v>3.2</v>
      </c>
      <c r="G937" s="16" t="n">
        <v>43098</v>
      </c>
      <c r="H937" s="19" t="n">
        <v>1.51</v>
      </c>
      <c r="J937" s="16" t="n">
        <v>43098</v>
      </c>
      <c r="K937" s="19" t="n">
        <v>102.09</v>
      </c>
    </row>
    <row r="938">
      <c r="D938" s="16" t="n">
        <v>43101</v>
      </c>
      <c r="E938" s="19" t="inlineStr">
        <is>
          <t>.</t>
        </is>
      </c>
      <c r="G938" s="16" t="n">
        <v>43101</v>
      </c>
      <c r="H938" s="19" t="inlineStr">
        <is>
          <t>.</t>
        </is>
      </c>
      <c r="J938" s="16" t="n">
        <v>43101</v>
      </c>
      <c r="K938" s="19" t="inlineStr">
        <is>
          <t>.</t>
        </is>
      </c>
    </row>
    <row r="939">
      <c r="D939" s="16" t="n">
        <v>43102</v>
      </c>
      <c r="E939" s="19" t="n">
        <v>3.21</v>
      </c>
      <c r="G939" s="16" t="n">
        <v>43102</v>
      </c>
      <c r="H939" s="19" t="n">
        <v>1.53</v>
      </c>
      <c r="J939" s="16" t="n">
        <v>43102</v>
      </c>
      <c r="K939" s="19" t="n">
        <v>102.56</v>
      </c>
    </row>
    <row r="940">
      <c r="D940" s="16" t="n">
        <v>43103</v>
      </c>
      <c r="E940" s="19" t="n">
        <v>3.21</v>
      </c>
      <c r="G940" s="16" t="n">
        <v>43103</v>
      </c>
      <c r="H940" s="19" t="n">
        <v>1.47</v>
      </c>
      <c r="J940" s="16" t="n">
        <v>43103</v>
      </c>
      <c r="K940" s="19" t="n">
        <v>102.66</v>
      </c>
    </row>
    <row r="941">
      <c r="D941" s="16" t="n">
        <v>43104</v>
      </c>
      <c r="E941" s="19" t="n">
        <v>3.23</v>
      </c>
      <c r="G941" s="16" t="n">
        <v>43104</v>
      </c>
      <c r="H941" s="19" t="n">
        <v>1.39</v>
      </c>
      <c r="J941" s="16" t="n">
        <v>43104</v>
      </c>
      <c r="K941" s="19" t="n">
        <v>103.27</v>
      </c>
    </row>
    <row r="942">
      <c r="D942" s="16" t="n">
        <v>43105</v>
      </c>
      <c r="E942" s="19" t="n">
        <v>3.24</v>
      </c>
      <c r="G942" s="16" t="n">
        <v>43105</v>
      </c>
      <c r="H942" s="19" t="n">
        <v>1.35</v>
      </c>
      <c r="J942" s="16" t="n">
        <v>43105</v>
      </c>
      <c r="K942" s="19" t="n">
        <v>103.26</v>
      </c>
    </row>
    <row r="943">
      <c r="D943" s="16" t="n">
        <v>43108</v>
      </c>
      <c r="E943" s="19" t="n">
        <v>3.26</v>
      </c>
      <c r="G943" s="16" t="n">
        <v>43108</v>
      </c>
      <c r="H943" s="19" t="n">
        <v>1.36</v>
      </c>
      <c r="J943" s="16" t="n">
        <v>43108</v>
      </c>
      <c r="K943" s="19" t="n">
        <v>103.47</v>
      </c>
    </row>
    <row r="944">
      <c r="D944" s="16" t="n">
        <v>43109</v>
      </c>
      <c r="E944" s="19" t="n">
        <v>3.2</v>
      </c>
      <c r="G944" s="16" t="n">
        <v>43109</v>
      </c>
      <c r="H944" s="19" t="n">
        <v>1.36</v>
      </c>
      <c r="J944" s="16" t="n">
        <v>43109</v>
      </c>
      <c r="K944" s="19" t="n">
        <v>104.1</v>
      </c>
    </row>
    <row r="945">
      <c r="D945" s="16" t="n">
        <v>43110</v>
      </c>
      <c r="E945" s="19" t="n">
        <v>3.23</v>
      </c>
      <c r="G945" s="16" t="n">
        <v>43110</v>
      </c>
      <c r="H945" s="19" t="n">
        <v>1.31</v>
      </c>
      <c r="J945" s="16" t="n">
        <v>43110</v>
      </c>
      <c r="K945" s="19" t="n">
        <v>104.3</v>
      </c>
    </row>
    <row r="946">
      <c r="D946" s="16" t="n">
        <v>43111</v>
      </c>
      <c r="E946" s="19" t="n">
        <v>3.27</v>
      </c>
      <c r="G946" s="16" t="n">
        <v>43111</v>
      </c>
      <c r="H946" s="19" t="n">
        <v>1.38</v>
      </c>
      <c r="J946" s="16" t="n">
        <v>43111</v>
      </c>
      <c r="K946" s="19" t="n">
        <v>103.77</v>
      </c>
    </row>
    <row r="947">
      <c r="D947" s="16" t="n">
        <v>43112</v>
      </c>
      <c r="E947" s="19" t="n">
        <v>3.22</v>
      </c>
      <c r="G947" s="16" t="n">
        <v>43112</v>
      </c>
      <c r="H947" s="19" t="n">
        <v>1.35</v>
      </c>
      <c r="J947" s="16" t="n">
        <v>43112</v>
      </c>
      <c r="K947" s="19" t="n">
        <v>104.44</v>
      </c>
    </row>
    <row r="948">
      <c r="D948" s="16" t="n">
        <v>43115</v>
      </c>
      <c r="E948" s="19" t="n">
        <v>3.28</v>
      </c>
      <c r="G948" s="16" t="n">
        <v>43115</v>
      </c>
      <c r="H948" s="19" t="n">
        <v>1.36</v>
      </c>
      <c r="J948" s="16" t="n">
        <v>43115</v>
      </c>
      <c r="K948" s="19" t="n">
        <v>105.35</v>
      </c>
    </row>
    <row r="949">
      <c r="D949" s="16" t="n">
        <v>43116</v>
      </c>
      <c r="E949" s="19" t="n">
        <v>3.2</v>
      </c>
      <c r="G949" s="16" t="n">
        <v>43116</v>
      </c>
      <c r="H949" s="19" t="n">
        <v>1.35</v>
      </c>
      <c r="J949" s="16" t="n">
        <v>43116</v>
      </c>
      <c r="K949" s="19" t="n">
        <v>104.99</v>
      </c>
    </row>
    <row r="950">
      <c r="D950" s="16" t="n">
        <v>43117</v>
      </c>
      <c r="E950" s="19" t="n">
        <v>3.23</v>
      </c>
      <c r="G950" s="16" t="n">
        <v>43117</v>
      </c>
      <c r="H950" s="19" t="n">
        <v>1.35</v>
      </c>
      <c r="J950" s="16" t="n">
        <v>43117</v>
      </c>
      <c r="K950" s="19" t="n">
        <v>105.74</v>
      </c>
    </row>
    <row r="951">
      <c r="D951" s="16" t="n">
        <v>43118</v>
      </c>
      <c r="E951" s="19" t="n">
        <v>3.18</v>
      </c>
      <c r="G951" s="16" t="n">
        <v>43118</v>
      </c>
      <c r="H951" s="19" t="n">
        <v>1.33</v>
      </c>
      <c r="J951" s="16" t="n">
        <v>43118</v>
      </c>
      <c r="K951" s="19" t="n">
        <v>106.15</v>
      </c>
    </row>
    <row r="952">
      <c r="D952" s="16" t="n">
        <v>43119</v>
      </c>
      <c r="E952" s="19" t="n">
        <v>3.28</v>
      </c>
      <c r="G952" s="16" t="n">
        <v>43119</v>
      </c>
      <c r="H952" s="19" t="n">
        <v>1.34</v>
      </c>
      <c r="J952" s="16" t="n">
        <v>43119</v>
      </c>
      <c r="K952" s="19" t="n">
        <v>106.6</v>
      </c>
    </row>
    <row r="953">
      <c r="D953" s="16" t="n">
        <v>43122</v>
      </c>
      <c r="E953" s="19" t="n">
        <v>3.32</v>
      </c>
      <c r="G953" s="16" t="n">
        <v>43122</v>
      </c>
      <c r="H953" s="19" t="n">
        <v>1.36</v>
      </c>
      <c r="J953" s="16" t="n">
        <v>43122</v>
      </c>
      <c r="K953" s="19" t="n">
        <v>107.45</v>
      </c>
    </row>
    <row r="954">
      <c r="D954" s="16" t="n">
        <v>43123</v>
      </c>
      <c r="E954" s="19" t="n">
        <v>3.36</v>
      </c>
      <c r="G954" s="16" t="n">
        <v>43123</v>
      </c>
      <c r="H954" s="19" t="n">
        <v>1.42</v>
      </c>
      <c r="J954" s="16" t="n">
        <v>43123</v>
      </c>
      <c r="K954" s="19" t="n">
        <v>108.24</v>
      </c>
    </row>
    <row r="955">
      <c r="D955" s="16" t="n">
        <v>43124</v>
      </c>
      <c r="E955" s="19" t="n">
        <v>3.31</v>
      </c>
      <c r="G955" s="16" t="n">
        <v>43124</v>
      </c>
      <c r="H955" s="19" t="n">
        <v>1.4</v>
      </c>
      <c r="J955" s="16" t="n">
        <v>43124</v>
      </c>
      <c r="K955" s="19" t="n">
        <v>108.9</v>
      </c>
    </row>
    <row r="956">
      <c r="D956" s="16" t="n">
        <v>43125</v>
      </c>
      <c r="E956" s="19" t="n">
        <v>3.24</v>
      </c>
      <c r="G956" s="16" t="n">
        <v>43125</v>
      </c>
      <c r="H956" s="19" t="n">
        <v>1.41</v>
      </c>
      <c r="J956" s="16" t="n">
        <v>43125</v>
      </c>
      <c r="K956" s="19" t="n">
        <v>109.45</v>
      </c>
    </row>
    <row r="957">
      <c r="D957" s="16" t="n">
        <v>43126</v>
      </c>
      <c r="E957" s="19" t="n">
        <v>3.26</v>
      </c>
      <c r="G957" s="16" t="n">
        <v>43126</v>
      </c>
      <c r="H957" s="19" t="n">
        <v>1.42</v>
      </c>
      <c r="J957" s="16" t="n">
        <v>43126</v>
      </c>
      <c r="K957" s="19" t="n">
        <v>110.23</v>
      </c>
    </row>
    <row r="958">
      <c r="D958" s="16" t="n">
        <v>43129</v>
      </c>
      <c r="E958" s="19" t="n">
        <v>3.2</v>
      </c>
      <c r="G958" s="16" t="n">
        <v>43129</v>
      </c>
      <c r="H958" s="19" t="n">
        <v>1.39</v>
      </c>
      <c r="J958" s="16" t="n">
        <v>43129</v>
      </c>
      <c r="K958" s="19" t="n">
        <v>111.34</v>
      </c>
    </row>
    <row r="959">
      <c r="D959" s="16" t="n">
        <v>43130</v>
      </c>
      <c r="E959" s="19" t="n">
        <v>3.15</v>
      </c>
      <c r="G959" s="16" t="n">
        <v>43130</v>
      </c>
      <c r="H959" s="19" t="n">
        <v>1.37</v>
      </c>
      <c r="J959" s="16" t="n">
        <v>43130</v>
      </c>
      <c r="K959" s="19" t="n">
        <v>112.23</v>
      </c>
    </row>
    <row r="960">
      <c r="D960" s="16" t="n">
        <v>43131</v>
      </c>
      <c r="E960" s="19" t="n">
        <v>3.09</v>
      </c>
      <c r="G960" s="16" t="n">
        <v>43131</v>
      </c>
      <c r="H960" s="19" t="n">
        <v>1.44</v>
      </c>
      <c r="J960" s="16" t="n">
        <v>43131</v>
      </c>
      <c r="K960" s="19" t="n">
        <v>112.28</v>
      </c>
    </row>
    <row r="961">
      <c r="D961" s="16" t="n">
        <v>43132</v>
      </c>
      <c r="E961" s="19" t="n">
        <v>3.13</v>
      </c>
      <c r="G961" s="16" t="n">
        <v>43132</v>
      </c>
      <c r="H961" s="19" t="n">
        <v>1.44</v>
      </c>
      <c r="J961" s="16" t="n">
        <v>43132</v>
      </c>
      <c r="K961" s="19" t="n">
        <v>112.93</v>
      </c>
    </row>
    <row r="962">
      <c r="D962" s="16" t="n">
        <v>43133</v>
      </c>
      <c r="E962" s="19" t="n">
        <v>3.19</v>
      </c>
      <c r="G962" s="16" t="n">
        <v>43133</v>
      </c>
      <c r="H962" s="19" t="n">
        <v>1.51</v>
      </c>
      <c r="J962" s="16" t="n">
        <v>43133</v>
      </c>
      <c r="K962" s="19" t="n">
        <v>113.83</v>
      </c>
    </row>
    <row r="963">
      <c r="D963" s="16" t="n">
        <v>43136</v>
      </c>
      <c r="E963" s="19" t="n">
        <v>3.21</v>
      </c>
      <c r="G963" s="16" t="n">
        <v>43136</v>
      </c>
      <c r="H963" s="19" t="n">
        <v>1.52</v>
      </c>
      <c r="J963" s="16" t="n">
        <v>43136</v>
      </c>
      <c r="K963" s="19" t="n">
        <v>113.94</v>
      </c>
    </row>
    <row r="964">
      <c r="D964" s="16" t="n">
        <v>43137</v>
      </c>
      <c r="E964" s="19" t="n">
        <v>3.17</v>
      </c>
      <c r="G964" s="16" t="n">
        <v>43137</v>
      </c>
      <c r="H964" s="19" t="n">
        <v>1.48</v>
      </c>
      <c r="J964" s="16" t="n">
        <v>43137</v>
      </c>
      <c r="K964" s="19" t="n">
        <v>114.37</v>
      </c>
    </row>
    <row r="965">
      <c r="D965" s="16" t="n">
        <v>43138</v>
      </c>
      <c r="E965" s="19" t="n">
        <v>3.2</v>
      </c>
      <c r="G965" s="16" t="n">
        <v>43138</v>
      </c>
      <c r="H965" s="19" t="n">
        <v>1.46</v>
      </c>
      <c r="J965" s="16" t="n">
        <v>43138</v>
      </c>
      <c r="K965" s="19" t="n">
        <v>114.62</v>
      </c>
    </row>
    <row r="966">
      <c r="D966" s="16" t="n">
        <v>43139</v>
      </c>
      <c r="E966" s="19" t="n">
        <v>3.14</v>
      </c>
      <c r="G966" s="16" t="n">
        <v>43139</v>
      </c>
      <c r="H966" s="19" t="n">
        <v>1.38</v>
      </c>
      <c r="J966" s="16" t="n">
        <v>43139</v>
      </c>
      <c r="K966" s="19" t="n">
        <v>114.84</v>
      </c>
    </row>
    <row r="967">
      <c r="D967" s="16" t="n">
        <v>43140</v>
      </c>
      <c r="E967" s="19" t="n">
        <v>3.18</v>
      </c>
      <c r="G967" s="16" t="n">
        <v>43140</v>
      </c>
      <c r="H967" s="19" t="n">
        <v>1.34</v>
      </c>
      <c r="J967" s="16" t="n">
        <v>43140</v>
      </c>
      <c r="K967" s="19" t="n">
        <v>115.61</v>
      </c>
    </row>
    <row r="968">
      <c r="D968" s="16" t="n">
        <v>43143</v>
      </c>
      <c r="E968" s="19" t="n">
        <v>3.26</v>
      </c>
      <c r="G968" s="16" t="n">
        <v>43143</v>
      </c>
      <c r="H968" s="19" t="n">
        <v>1.36</v>
      </c>
      <c r="J968" s="16" t="n">
        <v>43143</v>
      </c>
      <c r="K968" s="19" t="n">
        <v>117.06</v>
      </c>
    </row>
    <row r="969">
      <c r="D969" s="16" t="n">
        <v>43144</v>
      </c>
      <c r="E969" s="19" t="n">
        <v>3.17</v>
      </c>
      <c r="G969" s="16" t="n">
        <v>43144</v>
      </c>
      <c r="H969" s="19" t="n">
        <v>1.33</v>
      </c>
      <c r="J969" s="16" t="n">
        <v>43144</v>
      </c>
      <c r="K969" s="19" t="n">
        <v>116.55</v>
      </c>
    </row>
    <row r="970">
      <c r="D970" s="16" t="n">
        <v>43145</v>
      </c>
      <c r="E970" s="19" t="n">
        <v>3.12</v>
      </c>
      <c r="G970" s="16" t="n">
        <v>43145</v>
      </c>
      <c r="H970" s="19" t="n">
        <v>1.35</v>
      </c>
      <c r="J970" s="16" t="n">
        <v>43145</v>
      </c>
      <c r="K970" s="19" t="n">
        <v>115.91</v>
      </c>
    </row>
    <row r="971">
      <c r="D971" s="16" t="n">
        <v>43146</v>
      </c>
      <c r="E971" s="19" t="n">
        <v>3.04</v>
      </c>
      <c r="G971" s="16" t="n">
        <v>43146</v>
      </c>
      <c r="H971" s="19" t="n">
        <v>1.38</v>
      </c>
      <c r="J971" s="16" t="n">
        <v>43146</v>
      </c>
      <c r="K971" s="19" t="n">
        <v>117.52</v>
      </c>
    </row>
    <row r="972">
      <c r="D972" s="16" t="n">
        <v>43147</v>
      </c>
      <c r="E972" s="19" t="n">
        <v>3.07</v>
      </c>
      <c r="G972" s="16" t="n">
        <v>43147</v>
      </c>
      <c r="H972" s="19" t="n">
        <v>1.36</v>
      </c>
      <c r="J972" s="16" t="n">
        <v>43147</v>
      </c>
      <c r="K972" s="19" t="n">
        <v>118.24</v>
      </c>
    </row>
    <row r="973">
      <c r="D973" s="16" t="n">
        <v>43150</v>
      </c>
      <c r="E973" s="19" t="n">
        <v>3.08</v>
      </c>
      <c r="G973" s="16" t="n">
        <v>43150</v>
      </c>
      <c r="H973" s="19" t="n">
        <v>1.36</v>
      </c>
      <c r="J973" s="16" t="n">
        <v>43150</v>
      </c>
      <c r="K973" s="19" t="n">
        <v>118.31</v>
      </c>
    </row>
    <row r="974">
      <c r="D974" s="16" t="n">
        <v>43151</v>
      </c>
      <c r="E974" s="19" t="n">
        <v>3.09</v>
      </c>
      <c r="G974" s="16" t="n">
        <v>43151</v>
      </c>
      <c r="H974" s="19" t="n">
        <v>1.36</v>
      </c>
      <c r="J974" s="16" t="n">
        <v>43151</v>
      </c>
      <c r="K974" s="19" t="n">
        <v>118.22</v>
      </c>
    </row>
    <row r="975">
      <c r="D975" s="16" t="n">
        <v>43152</v>
      </c>
      <c r="E975" s="19" t="n">
        <v>3.06</v>
      </c>
      <c r="G975" s="16" t="n">
        <v>43152</v>
      </c>
      <c r="H975" s="19" t="n">
        <v>1.31</v>
      </c>
      <c r="J975" s="16" t="n">
        <v>43152</v>
      </c>
      <c r="K975" s="19" t="n">
        <v>117.92</v>
      </c>
    </row>
    <row r="976">
      <c r="D976" s="16" t="n">
        <v>43153</v>
      </c>
      <c r="E976" s="19" t="n">
        <v>3.06</v>
      </c>
      <c r="G976" s="16" t="n">
        <v>43153</v>
      </c>
      <c r="H976" s="19" t="n">
        <v>1.35</v>
      </c>
      <c r="J976" s="16" t="n">
        <v>43153</v>
      </c>
      <c r="K976" s="19" t="n">
        <v>118.2</v>
      </c>
    </row>
    <row r="977">
      <c r="D977" s="16" t="n">
        <v>43154</v>
      </c>
      <c r="E977" s="19" t="n">
        <v>3.11</v>
      </c>
      <c r="G977" s="16" t="n">
        <v>43154</v>
      </c>
      <c r="H977" s="19" t="n">
        <v>1.37</v>
      </c>
      <c r="J977" s="16" t="n">
        <v>43154</v>
      </c>
      <c r="K977" s="19" t="n">
        <v>118.55</v>
      </c>
    </row>
    <row r="978">
      <c r="D978" s="16" t="n">
        <v>43157</v>
      </c>
      <c r="E978" s="19" t="n">
        <v>3.05</v>
      </c>
      <c r="G978" s="16" t="n">
        <v>43157</v>
      </c>
      <c r="H978" s="19" t="n">
        <v>1.45</v>
      </c>
      <c r="J978" s="16" t="n">
        <v>43157</v>
      </c>
      <c r="K978" s="19" t="n">
        <v>119.29</v>
      </c>
    </row>
    <row r="979">
      <c r="D979" s="16" t="n">
        <v>43158</v>
      </c>
      <c r="E979" s="19" t="n">
        <v>3.02</v>
      </c>
      <c r="G979" s="16" t="n">
        <v>43158</v>
      </c>
      <c r="H979" s="19" t="n">
        <v>1.45</v>
      </c>
      <c r="J979" s="16" t="n">
        <v>43158</v>
      </c>
      <c r="K979" s="19" t="n">
        <v>120.41</v>
      </c>
    </row>
    <row r="980">
      <c r="D980" s="16" t="n">
        <v>43159</v>
      </c>
      <c r="E980" s="19" t="n">
        <v>3.02</v>
      </c>
      <c r="G980" s="16" t="n">
        <v>43159</v>
      </c>
      <c r="H980" s="19" t="n">
        <v>1.47</v>
      </c>
      <c r="J980" s="16" t="n">
        <v>43159</v>
      </c>
      <c r="K980" s="19" t="n">
        <v>119.91</v>
      </c>
    </row>
    <row r="981">
      <c r="D981" s="16" t="n">
        <v>43160</v>
      </c>
      <c r="E981" s="19" t="n">
        <v>3.03</v>
      </c>
      <c r="G981" s="16" t="n">
        <v>43160</v>
      </c>
      <c r="H981" s="19" t="n">
        <v>1.47</v>
      </c>
      <c r="J981" s="16" t="n">
        <v>43160</v>
      </c>
      <c r="K981" s="19" t="n">
        <v>119.95</v>
      </c>
    </row>
    <row r="982">
      <c r="D982" s="16" t="n">
        <v>43161</v>
      </c>
      <c r="E982" s="19" t="n">
        <v>2.98</v>
      </c>
      <c r="G982" s="16" t="n">
        <v>43161</v>
      </c>
      <c r="H982" s="19" t="n">
        <v>1.5</v>
      </c>
      <c r="J982" s="16" t="n">
        <v>43161</v>
      </c>
      <c r="K982" s="19" t="n">
        <v>119.18</v>
      </c>
    </row>
    <row r="983">
      <c r="D983" s="16" t="n">
        <v>43164</v>
      </c>
      <c r="E983" s="19" t="n">
        <v>3.01</v>
      </c>
      <c r="G983" s="16" t="n">
        <v>43164</v>
      </c>
      <c r="H983" s="19" t="n">
        <v>1.45</v>
      </c>
      <c r="J983" s="16" t="n">
        <v>43164</v>
      </c>
      <c r="K983" s="19" t="n">
        <v>119.78</v>
      </c>
    </row>
    <row r="984">
      <c r="D984" s="16" t="n">
        <v>43165</v>
      </c>
      <c r="E984" s="19" t="n">
        <v>3.13</v>
      </c>
      <c r="G984" s="16" t="n">
        <v>43165</v>
      </c>
      <c r="H984" s="19" t="n">
        <v>1.47</v>
      </c>
      <c r="J984" s="16" t="n">
        <v>43165</v>
      </c>
      <c r="K984" s="19" t="n">
        <v>120.83</v>
      </c>
    </row>
    <row r="985">
      <c r="D985" s="16" t="n">
        <v>43166</v>
      </c>
      <c r="E985" s="19" t="n">
        <v>3.03</v>
      </c>
      <c r="G985" s="16" t="n">
        <v>43166</v>
      </c>
      <c r="H985" s="19" t="n">
        <v>1.5</v>
      </c>
      <c r="J985" s="16" t="n">
        <v>43166</v>
      </c>
      <c r="K985" s="19" t="n">
        <v>120.1</v>
      </c>
    </row>
    <row r="986">
      <c r="D986" s="16" t="n">
        <v>43167</v>
      </c>
      <c r="E986" s="19" t="n">
        <v>3.04</v>
      </c>
      <c r="G986" s="16" t="n">
        <v>43167</v>
      </c>
      <c r="H986" s="19" t="n">
        <v>1.54</v>
      </c>
      <c r="J986" s="16" t="n">
        <v>43167</v>
      </c>
      <c r="K986" s="19" t="n">
        <v>119.28</v>
      </c>
    </row>
    <row r="987">
      <c r="D987" s="16" t="n">
        <v>43168</v>
      </c>
      <c r="E987" s="19" t="n">
        <v>3.05</v>
      </c>
      <c r="G987" s="16" t="n">
        <v>43168</v>
      </c>
      <c r="H987" s="19" t="n">
        <v>1.49</v>
      </c>
      <c r="J987" s="16" t="n">
        <v>43168</v>
      </c>
      <c r="K987" s="19" t="n">
        <v>119.07</v>
      </c>
    </row>
    <row r="988">
      <c r="D988" s="16" t="n">
        <v>43171</v>
      </c>
      <c r="E988" s="19" t="n">
        <v>3.01</v>
      </c>
      <c r="G988" s="16" t="n">
        <v>43171</v>
      </c>
      <c r="H988" s="19" t="n">
        <v>1.52</v>
      </c>
      <c r="J988" s="16" t="n">
        <v>43171</v>
      </c>
      <c r="K988" s="19" t="n">
        <v>118.93</v>
      </c>
    </row>
    <row r="989">
      <c r="D989" s="16" t="n">
        <v>43172</v>
      </c>
      <c r="E989" s="19" t="n">
        <v>2.98</v>
      </c>
      <c r="G989" s="16" t="n">
        <v>43172</v>
      </c>
      <c r="H989" s="19" t="n">
        <v>1.53</v>
      </c>
      <c r="J989" s="16" t="n">
        <v>43172</v>
      </c>
      <c r="K989" s="19" t="n">
        <v>119.02</v>
      </c>
    </row>
    <row r="990">
      <c r="D990" s="16" t="n">
        <v>43173</v>
      </c>
      <c r="E990" s="19" t="n">
        <v>3</v>
      </c>
      <c r="G990" s="16" t="n">
        <v>43173</v>
      </c>
      <c r="H990" s="19" t="n">
        <v>1.51</v>
      </c>
      <c r="J990" s="16" t="n">
        <v>43173</v>
      </c>
      <c r="K990" s="19" t="n">
        <v>119.2</v>
      </c>
    </row>
    <row r="991">
      <c r="D991" s="16" t="n">
        <v>43174</v>
      </c>
      <c r="E991" s="19" t="n">
        <v>2.98</v>
      </c>
      <c r="G991" s="16" t="n">
        <v>43174</v>
      </c>
      <c r="H991" s="19" t="n">
        <v>1.52</v>
      </c>
      <c r="J991" s="16" t="n">
        <v>43174</v>
      </c>
      <c r="K991" s="19" t="n">
        <v>119.33</v>
      </c>
    </row>
    <row r="992">
      <c r="D992" s="16" t="n">
        <v>43175</v>
      </c>
      <c r="E992" s="19" t="n">
        <v>2.98</v>
      </c>
      <c r="G992" s="16" t="n">
        <v>43175</v>
      </c>
      <c r="H992" s="19" t="n">
        <v>1.52</v>
      </c>
      <c r="J992" s="16" t="n">
        <v>43175</v>
      </c>
      <c r="K992" s="19" t="n">
        <v>119.56</v>
      </c>
    </row>
    <row r="993">
      <c r="D993" s="16" t="n">
        <v>43178</v>
      </c>
      <c r="E993" s="19" t="n">
        <v>2.94</v>
      </c>
      <c r="G993" s="16" t="n">
        <v>43178</v>
      </c>
      <c r="H993" s="19" t="n">
        <v>1.49</v>
      </c>
      <c r="J993" s="16" t="n">
        <v>43178</v>
      </c>
      <c r="K993" s="19" t="n">
        <v>119.66</v>
      </c>
    </row>
    <row r="994">
      <c r="D994" s="16" t="n">
        <v>43179</v>
      </c>
      <c r="E994" s="19" t="n">
        <v>2.93</v>
      </c>
      <c r="G994" s="16" t="n">
        <v>43179</v>
      </c>
      <c r="H994" s="19" t="n">
        <v>1.46</v>
      </c>
      <c r="J994" s="16" t="n">
        <v>43179</v>
      </c>
      <c r="K994" s="19" t="n">
        <v>120.14</v>
      </c>
    </row>
    <row r="995">
      <c r="D995" s="16" t="n">
        <v>43180</v>
      </c>
      <c r="E995" s="19" t="n">
        <v>2.88</v>
      </c>
      <c r="G995" s="16" t="n">
        <v>43180</v>
      </c>
      <c r="H995" s="19" t="n">
        <v>1.45</v>
      </c>
      <c r="J995" s="16" t="n">
        <v>43180</v>
      </c>
      <c r="K995" s="19" t="n">
        <v>121.15</v>
      </c>
    </row>
    <row r="996">
      <c r="D996" s="16" t="n">
        <v>43181</v>
      </c>
      <c r="E996" s="19" t="n">
        <v>2.85</v>
      </c>
      <c r="G996" s="16" t="n">
        <v>43181</v>
      </c>
      <c r="H996" s="19" t="n">
        <v>1.46</v>
      </c>
      <c r="J996" s="16" t="n">
        <v>43181</v>
      </c>
      <c r="K996" s="19" t="n">
        <v>120.97</v>
      </c>
    </row>
    <row r="997">
      <c r="D997" s="16" t="n">
        <v>43182</v>
      </c>
      <c r="E997" s="19" t="n">
        <v>2.88</v>
      </c>
      <c r="G997" s="16" t="n">
        <v>43182</v>
      </c>
      <c r="H997" s="19" t="n">
        <v>1.52</v>
      </c>
      <c r="J997" s="16" t="n">
        <v>43182</v>
      </c>
      <c r="K997" s="19" t="n">
        <v>121.75</v>
      </c>
    </row>
    <row r="998">
      <c r="D998" s="16" t="n">
        <v>43185</v>
      </c>
      <c r="E998" s="19" t="n">
        <v>2.92</v>
      </c>
      <c r="G998" s="16" t="n">
        <v>43185</v>
      </c>
      <c r="H998" s="19" t="n">
        <v>1.5</v>
      </c>
      <c r="J998" s="16" t="n">
        <v>43185</v>
      </c>
      <c r="K998" s="19" t="n">
        <v>122.75</v>
      </c>
    </row>
    <row r="999">
      <c r="D999" s="16" t="n">
        <v>43186</v>
      </c>
      <c r="E999" s="19" t="n">
        <v>2.9</v>
      </c>
      <c r="G999" s="16" t="n">
        <v>43186</v>
      </c>
      <c r="H999" s="19" t="n">
        <v>1.55</v>
      </c>
      <c r="J999" s="16" t="n">
        <v>43186</v>
      </c>
      <c r="K999" s="19" t="n">
        <v>122.59</v>
      </c>
    </row>
    <row r="1000">
      <c r="D1000" s="16" t="n">
        <v>43187</v>
      </c>
      <c r="E1000" s="19" t="n">
        <v>2.9</v>
      </c>
      <c r="G1000" s="16" t="n">
        <v>43187</v>
      </c>
      <c r="H1000" s="19" t="n">
        <v>1.5</v>
      </c>
      <c r="J1000" s="16" t="n">
        <v>43187</v>
      </c>
      <c r="K1000" s="19" t="n">
        <v>123.05</v>
      </c>
    </row>
    <row r="1001">
      <c r="D1001" s="16" t="n">
        <v>43188</v>
      </c>
      <c r="E1001" s="19" t="n">
        <v>3</v>
      </c>
      <c r="G1001" s="16" t="n">
        <v>43188</v>
      </c>
      <c r="H1001" s="19" t="n">
        <v>1.58</v>
      </c>
      <c r="J1001" s="16" t="n">
        <v>43188</v>
      </c>
      <c r="K1001" s="19" t="n">
        <v>123.68</v>
      </c>
    </row>
    <row r="1002">
      <c r="D1002" s="16" t="n">
        <v>43189</v>
      </c>
      <c r="E1002" s="19" t="n">
        <v>3.06</v>
      </c>
      <c r="G1002" s="16" t="n">
        <v>43189</v>
      </c>
      <c r="H1002" s="19" t="n">
        <v>1.56</v>
      </c>
      <c r="J1002" s="16" t="n">
        <v>43189</v>
      </c>
      <c r="K1002" s="19" t="n">
        <v>123.11</v>
      </c>
    </row>
    <row r="1003">
      <c r="D1003" s="16" t="n">
        <v>43192</v>
      </c>
      <c r="E1003" s="19" t="n">
        <v>3.04</v>
      </c>
      <c r="G1003" s="16" t="n">
        <v>43192</v>
      </c>
      <c r="H1003" s="19" t="n">
        <v>1.58</v>
      </c>
      <c r="J1003" s="16" t="n">
        <v>43192</v>
      </c>
      <c r="K1003" s="19" t="n">
        <v>123.47</v>
      </c>
    </row>
    <row r="1004">
      <c r="D1004" s="16" t="n">
        <v>43193</v>
      </c>
      <c r="E1004" s="19" t="n">
        <v>3.1</v>
      </c>
      <c r="G1004" s="16" t="n">
        <v>43193</v>
      </c>
      <c r="H1004" s="19" t="n">
        <v>1.55</v>
      </c>
      <c r="J1004" s="16" t="n">
        <v>43193</v>
      </c>
      <c r="K1004" s="19" t="n">
        <v>123.7</v>
      </c>
    </row>
    <row r="1005">
      <c r="D1005" s="16" t="n">
        <v>43194</v>
      </c>
      <c r="E1005" s="19" t="n">
        <v>3.1</v>
      </c>
      <c r="G1005" s="16" t="n">
        <v>43194</v>
      </c>
      <c r="H1005" s="19" t="n">
        <v>1.55</v>
      </c>
      <c r="J1005" s="16" t="n">
        <v>43194</v>
      </c>
      <c r="K1005" s="19" t="n">
        <v>123.56</v>
      </c>
    </row>
    <row r="1006">
      <c r="D1006" s="16" t="n">
        <v>43195</v>
      </c>
      <c r="E1006" s="19" t="n">
        <v>3.11</v>
      </c>
      <c r="G1006" s="16" t="n">
        <v>43195</v>
      </c>
      <c r="H1006" s="19" t="n">
        <v>1.55</v>
      </c>
      <c r="J1006" s="16" t="n">
        <v>43195</v>
      </c>
      <c r="K1006" s="19" t="n">
        <v>123.7</v>
      </c>
    </row>
    <row r="1007">
      <c r="D1007" s="16" t="n">
        <v>43196</v>
      </c>
      <c r="E1007" s="19" t="n">
        <v>3.04</v>
      </c>
      <c r="G1007" s="16" t="n">
        <v>43196</v>
      </c>
      <c r="H1007" s="19" t="n">
        <v>1.54</v>
      </c>
      <c r="J1007" s="16" t="n">
        <v>43196</v>
      </c>
      <c r="K1007" s="19" t="n">
        <v>123.06</v>
      </c>
    </row>
    <row r="1008">
      <c r="D1008" s="16" t="n">
        <v>43199</v>
      </c>
      <c r="E1008" s="19" t="n">
        <v>3.1</v>
      </c>
      <c r="G1008" s="16" t="n">
        <v>43199</v>
      </c>
      <c r="H1008" s="19" t="n">
        <v>1.57</v>
      </c>
      <c r="J1008" s="16" t="n">
        <v>43199</v>
      </c>
      <c r="K1008" s="19" t="n">
        <v>122.47</v>
      </c>
    </row>
    <row r="1009">
      <c r="D1009" s="16" t="n">
        <v>43200</v>
      </c>
      <c r="E1009" s="19" t="n">
        <v>3.06</v>
      </c>
      <c r="G1009" s="16" t="n">
        <v>43200</v>
      </c>
      <c r="H1009" s="19" t="n">
        <v>1.63</v>
      </c>
      <c r="J1009" s="16" t="n">
        <v>43200</v>
      </c>
      <c r="K1009" s="19" t="n">
        <v>123.78</v>
      </c>
    </row>
    <row r="1010">
      <c r="D1010" s="16" t="n">
        <v>43201</v>
      </c>
      <c r="E1010" s="19" t="n">
        <v>3.13</v>
      </c>
      <c r="G1010" s="16" t="n">
        <v>43201</v>
      </c>
      <c r="H1010" s="19" t="n">
        <v>1.64</v>
      </c>
      <c r="J1010" s="16" t="n">
        <v>43201</v>
      </c>
      <c r="K1010" s="19" t="n">
        <v>122.99</v>
      </c>
    </row>
    <row r="1011">
      <c r="D1011" s="16" t="n">
        <v>43202</v>
      </c>
      <c r="E1011" s="19" t="n">
        <v>3.12</v>
      </c>
      <c r="G1011" s="16" t="n">
        <v>43202</v>
      </c>
      <c r="H1011" s="19" t="n">
        <v>1.66</v>
      </c>
      <c r="J1011" s="16" t="n">
        <v>43202</v>
      </c>
      <c r="K1011" s="19" t="n">
        <v>123.5</v>
      </c>
    </row>
    <row r="1012">
      <c r="D1012" s="16" t="n">
        <v>43203</v>
      </c>
      <c r="E1012" s="19" t="n">
        <v>3.07</v>
      </c>
      <c r="G1012" s="16" t="n">
        <v>43203</v>
      </c>
      <c r="H1012" s="19" t="n">
        <v>1.63</v>
      </c>
      <c r="J1012" s="16" t="n">
        <v>43203</v>
      </c>
      <c r="K1012" s="19" t="n">
        <v>123.04</v>
      </c>
    </row>
    <row r="1013">
      <c r="D1013" s="16" t="n">
        <v>43206</v>
      </c>
      <c r="E1013" s="19" t="n">
        <v>3.07</v>
      </c>
      <c r="G1013" s="16" t="n">
        <v>43206</v>
      </c>
      <c r="H1013" s="19" t="n">
        <v>1.57</v>
      </c>
      <c r="J1013" s="16" t="n">
        <v>43206</v>
      </c>
      <c r="K1013" s="19" t="n">
        <v>122.41</v>
      </c>
    </row>
    <row r="1014">
      <c r="D1014" s="16" t="n">
        <v>43207</v>
      </c>
      <c r="E1014" s="19" t="n">
        <v>3.04</v>
      </c>
      <c r="G1014" s="16" t="n">
        <v>43207</v>
      </c>
      <c r="H1014" s="19" t="n">
        <v>1.57</v>
      </c>
      <c r="J1014" s="16" t="n">
        <v>43207</v>
      </c>
      <c r="K1014" s="19" t="n">
        <v>121.88</v>
      </c>
    </row>
    <row r="1015">
      <c r="D1015" s="16" t="n">
        <v>43208</v>
      </c>
      <c r="E1015" s="19" t="n">
        <v>3.12</v>
      </c>
      <c r="G1015" s="16" t="n">
        <v>43208</v>
      </c>
      <c r="H1015" s="19" t="n">
        <v>1.58</v>
      </c>
      <c r="J1015" s="16" t="n">
        <v>43208</v>
      </c>
      <c r="K1015" s="19" t="n">
        <v>122.34</v>
      </c>
    </row>
    <row r="1016">
      <c r="D1016" s="16" t="n">
        <v>43209</v>
      </c>
      <c r="E1016" s="19" t="n">
        <v>3.13</v>
      </c>
      <c r="G1016" s="16" t="n">
        <v>43209</v>
      </c>
      <c r="H1016" s="19" t="n">
        <v>1.66</v>
      </c>
      <c r="J1016" s="16" t="n">
        <v>43209</v>
      </c>
      <c r="K1016" s="19" t="n">
        <v>121.72</v>
      </c>
    </row>
    <row r="1017">
      <c r="D1017" s="16" t="n">
        <v>43210</v>
      </c>
      <c r="E1017" s="19" t="n">
        <v>3.09</v>
      </c>
      <c r="G1017" s="16" t="n">
        <v>43210</v>
      </c>
      <c r="H1017" s="19" t="n">
        <v>1.69</v>
      </c>
      <c r="J1017" s="16" t="n">
        <v>43210</v>
      </c>
      <c r="K1017" s="19" t="n">
        <v>121.9</v>
      </c>
    </row>
    <row r="1018">
      <c r="D1018" s="16" t="n">
        <v>43213</v>
      </c>
      <c r="E1018" s="19" t="n">
        <v>3.11</v>
      </c>
      <c r="G1018" s="16" t="n">
        <v>43213</v>
      </c>
      <c r="H1018" s="19" t="n">
        <v>1.71</v>
      </c>
      <c r="J1018" s="16" t="n">
        <v>43213</v>
      </c>
      <c r="K1018" s="19" t="n">
        <v>120.94</v>
      </c>
    </row>
    <row r="1019">
      <c r="D1019" s="16" t="n">
        <v>43214</v>
      </c>
      <c r="E1019" s="19" t="n">
        <v>3.16</v>
      </c>
      <c r="G1019" s="16" t="n">
        <v>43214</v>
      </c>
      <c r="H1019" s="19" t="n">
        <v>1.66</v>
      </c>
      <c r="J1019" s="16" t="n">
        <v>43214</v>
      </c>
      <c r="K1019" s="19" t="n">
        <v>120.87</v>
      </c>
    </row>
    <row r="1020">
      <c r="D1020" s="16" t="n">
        <v>43215</v>
      </c>
      <c r="E1020" s="19" t="n">
        <v>3.18</v>
      </c>
      <c r="G1020" s="16" t="n">
        <v>43215</v>
      </c>
      <c r="H1020" s="19" t="n">
        <v>1.59</v>
      </c>
      <c r="J1020" s="16" t="n">
        <v>43215</v>
      </c>
      <c r="K1020" s="19" t="n">
        <v>121.08</v>
      </c>
    </row>
    <row r="1021">
      <c r="D1021" s="16" t="n">
        <v>43216</v>
      </c>
      <c r="E1021" s="19" t="n">
        <v>3.16</v>
      </c>
      <c r="G1021" s="16" t="n">
        <v>43216</v>
      </c>
      <c r="H1021" s="19" t="n">
        <v>1.6</v>
      </c>
      <c r="J1021" s="16" t="n">
        <v>43216</v>
      </c>
      <c r="K1021" s="19" t="n">
        <v>122.25</v>
      </c>
    </row>
    <row r="1022">
      <c r="D1022" s="16" t="n">
        <v>43217</v>
      </c>
      <c r="E1022" s="19" t="n">
        <v>3.13</v>
      </c>
      <c r="G1022" s="16" t="n">
        <v>43217</v>
      </c>
      <c r="H1022" s="19" t="n">
        <v>1.55</v>
      </c>
      <c r="J1022" s="16" t="n">
        <v>43217</v>
      </c>
      <c r="K1022" s="19" t="n">
        <v>121.36</v>
      </c>
    </row>
    <row r="1023">
      <c r="D1023" s="16" t="n">
        <v>43220</v>
      </c>
      <c r="E1023" s="19" t="n">
        <v>3.14</v>
      </c>
      <c r="G1023" s="16" t="n">
        <v>43220</v>
      </c>
      <c r="H1023" s="19" t="n">
        <v>1.57</v>
      </c>
      <c r="J1023" s="16" t="n">
        <v>43220</v>
      </c>
      <c r="K1023" s="19" t="n">
        <v>120.43</v>
      </c>
    </row>
    <row r="1024">
      <c r="D1024" s="16" t="n">
        <v>43221</v>
      </c>
      <c r="E1024" s="19" t="n">
        <v>3.16</v>
      </c>
      <c r="G1024" s="16" t="n">
        <v>43221</v>
      </c>
      <c r="H1024" s="19" t="n">
        <v>1.58</v>
      </c>
      <c r="J1024" s="16" t="n">
        <v>43221</v>
      </c>
      <c r="K1024" s="19" t="n">
        <v>121.12</v>
      </c>
    </row>
    <row r="1025">
      <c r="D1025" s="16" t="n">
        <v>43222</v>
      </c>
      <c r="E1025" s="19" t="n">
        <v>3.07</v>
      </c>
      <c r="G1025" s="16" t="n">
        <v>43222</v>
      </c>
      <c r="H1025" s="19" t="n">
        <v>1.55</v>
      </c>
      <c r="J1025" s="16" t="n">
        <v>43222</v>
      </c>
      <c r="K1025" s="19" t="n">
        <v>121.42</v>
      </c>
    </row>
    <row r="1026">
      <c r="D1026" s="16" t="n">
        <v>43223</v>
      </c>
      <c r="E1026" s="19" t="n">
        <v>3.1</v>
      </c>
      <c r="G1026" s="16" t="n">
        <v>43223</v>
      </c>
      <c r="H1026" s="19" t="n">
        <v>1.54</v>
      </c>
      <c r="J1026" s="16" t="n">
        <v>43223</v>
      </c>
      <c r="K1026" s="19" t="n">
        <v>121.6</v>
      </c>
    </row>
    <row r="1027">
      <c r="D1027" s="16" t="n">
        <v>43224</v>
      </c>
      <c r="E1027" s="19" t="n">
        <v>3.11</v>
      </c>
      <c r="G1027" s="16" t="n">
        <v>43224</v>
      </c>
      <c r="H1027" s="19" t="n">
        <v>1.51</v>
      </c>
      <c r="J1027" s="16" t="n">
        <v>43224</v>
      </c>
      <c r="K1027" s="19" t="n">
        <v>121.12</v>
      </c>
    </row>
    <row r="1028">
      <c r="D1028" s="16" t="n">
        <v>43227</v>
      </c>
      <c r="E1028" s="19" t="n">
        <v>3.07</v>
      </c>
      <c r="G1028" s="16" t="n">
        <v>43227</v>
      </c>
      <c r="H1028" s="19" t="n">
        <v>1.51</v>
      </c>
      <c r="J1028" s="16" t="n">
        <v>43227</v>
      </c>
      <c r="K1028" s="19" t="n">
        <v>121.54</v>
      </c>
    </row>
    <row r="1029">
      <c r="D1029" s="16" t="n">
        <v>43228</v>
      </c>
      <c r="E1029" s="19" t="n">
        <v>3.17</v>
      </c>
      <c r="G1029" s="16" t="n">
        <v>43228</v>
      </c>
      <c r="H1029" s="19" t="n">
        <v>1.56</v>
      </c>
      <c r="J1029" s="16" t="n">
        <v>43228</v>
      </c>
      <c r="K1029" s="19" t="n">
        <v>121.59</v>
      </c>
    </row>
    <row r="1030">
      <c r="D1030" s="16" t="n">
        <v>43229</v>
      </c>
      <c r="E1030" s="19" t="n">
        <v>3.13</v>
      </c>
      <c r="G1030" s="16" t="n">
        <v>43229</v>
      </c>
      <c r="H1030" s="19" t="n">
        <v>1.59</v>
      </c>
      <c r="J1030" s="16" t="n">
        <v>43229</v>
      </c>
      <c r="K1030" s="19" t="n">
        <v>121.33</v>
      </c>
    </row>
    <row r="1031">
      <c r="D1031" s="16" t="n">
        <v>43230</v>
      </c>
      <c r="E1031" s="19" t="n">
        <v>3.11</v>
      </c>
      <c r="G1031" s="16" t="n">
        <v>43230</v>
      </c>
      <c r="H1031" s="19" t="n">
        <v>1.64</v>
      </c>
      <c r="J1031" s="16" t="n">
        <v>43230</v>
      </c>
      <c r="K1031" s="19" t="n">
        <v>122.2</v>
      </c>
    </row>
    <row r="1032">
      <c r="D1032" s="16" t="n">
        <v>43231</v>
      </c>
      <c r="E1032" s="19" t="n">
        <v>3.12</v>
      </c>
      <c r="G1032" s="16" t="n">
        <v>43231</v>
      </c>
      <c r="H1032" s="19" t="n">
        <v>1.58</v>
      </c>
      <c r="J1032" s="16" t="n">
        <v>43231</v>
      </c>
      <c r="K1032" s="19" t="n">
        <v>123.13</v>
      </c>
    </row>
    <row r="1033">
      <c r="D1033" s="16" t="n">
        <v>43234</v>
      </c>
      <c r="E1033" s="19" t="n">
        <v>3.2</v>
      </c>
      <c r="G1033" s="16" t="n">
        <v>43234</v>
      </c>
      <c r="H1033" s="19" t="n">
        <v>1.6</v>
      </c>
      <c r="J1033" s="16" t="n">
        <v>43234</v>
      </c>
      <c r="K1033" s="19" t="n">
        <v>122.83</v>
      </c>
    </row>
    <row r="1034">
      <c r="D1034" s="16" t="n">
        <v>43235</v>
      </c>
      <c r="E1034" s="19" t="n">
        <v>3.25</v>
      </c>
      <c r="G1034" s="16" t="n">
        <v>43235</v>
      </c>
      <c r="H1034" s="19" t="n">
        <v>1.61</v>
      </c>
      <c r="J1034" s="16" t="n">
        <v>43235</v>
      </c>
      <c r="K1034" s="19" t="n">
        <v>122.94</v>
      </c>
    </row>
    <row r="1035">
      <c r="D1035" s="16" t="n">
        <v>43236</v>
      </c>
      <c r="E1035" s="19" t="n">
        <v>3.34</v>
      </c>
      <c r="G1035" s="16" t="n">
        <v>43236</v>
      </c>
      <c r="H1035" s="19" t="n">
        <v>1.59</v>
      </c>
      <c r="J1035" s="16" t="n">
        <v>43236</v>
      </c>
      <c r="K1035" s="19" t="n">
        <v>122.92</v>
      </c>
    </row>
    <row r="1036">
      <c r="D1036" s="16" t="n">
        <v>43237</v>
      </c>
      <c r="E1036" s="19" t="n">
        <v>3.34</v>
      </c>
      <c r="G1036" s="16" t="n">
        <v>43237</v>
      </c>
      <c r="H1036" s="19" t="n">
        <v>1.57</v>
      </c>
      <c r="J1036" s="16" t="n">
        <v>43237</v>
      </c>
      <c r="K1036" s="19" t="n">
        <v>123.21</v>
      </c>
    </row>
    <row r="1037">
      <c r="D1037" s="16" t="n">
        <v>43238</v>
      </c>
      <c r="E1037" s="19" t="n">
        <v>3.44</v>
      </c>
      <c r="G1037" s="16" t="n">
        <v>43238</v>
      </c>
      <c r="H1037" s="19" t="n">
        <v>1.55</v>
      </c>
      <c r="J1037" s="16" t="n">
        <v>43238</v>
      </c>
      <c r="K1037" s="19" t="n">
        <v>123.22</v>
      </c>
    </row>
    <row r="1038">
      <c r="D1038" s="16" t="n">
        <v>43241</v>
      </c>
      <c r="E1038" s="19" t="n">
        <v>3.53</v>
      </c>
      <c r="G1038" s="16" t="n">
        <v>43241</v>
      </c>
      <c r="H1038" s="19" t="n">
        <v>1.54</v>
      </c>
      <c r="J1038" s="16" t="n">
        <v>43241</v>
      </c>
      <c r="K1038" s="19" t="n">
        <v>122.85</v>
      </c>
    </row>
    <row r="1039">
      <c r="D1039" s="16" t="n">
        <v>43242</v>
      </c>
      <c r="E1039" s="19" t="n">
        <v>3.44</v>
      </c>
      <c r="G1039" s="16" t="n">
        <v>43242</v>
      </c>
      <c r="H1039" s="19" t="n">
        <v>1.56</v>
      </c>
      <c r="J1039" s="16" t="n">
        <v>43242</v>
      </c>
      <c r="K1039" s="19" t="n">
        <v>123.43</v>
      </c>
    </row>
    <row r="1040">
      <c r="D1040" s="16" t="n">
        <v>43243</v>
      </c>
      <c r="E1040" s="19" t="n">
        <v>3.46</v>
      </c>
      <c r="G1040" s="16" t="n">
        <v>43243</v>
      </c>
      <c r="H1040" s="19" t="n">
        <v>1.57</v>
      </c>
      <c r="J1040" s="16" t="n">
        <v>43243</v>
      </c>
      <c r="K1040" s="19" t="n">
        <v>122.8</v>
      </c>
    </row>
    <row r="1041">
      <c r="D1041" s="16" t="n">
        <v>43244</v>
      </c>
      <c r="E1041" s="19" t="n">
        <v>3.44</v>
      </c>
      <c r="G1041" s="16" t="n">
        <v>43244</v>
      </c>
      <c r="H1041" s="19" t="n">
        <v>1.6</v>
      </c>
      <c r="J1041" s="16" t="n">
        <v>43244</v>
      </c>
      <c r="K1041" s="19" t="n">
        <v>123.17</v>
      </c>
    </row>
    <row r="1042">
      <c r="D1042" s="16" t="n">
        <v>43245</v>
      </c>
      <c r="E1042" s="19" t="n">
        <v>3.44</v>
      </c>
      <c r="G1042" s="16" t="n">
        <v>43245</v>
      </c>
      <c r="H1042" s="19" t="n">
        <v>1.56</v>
      </c>
      <c r="J1042" s="16" t="n">
        <v>43245</v>
      </c>
      <c r="K1042" s="19" t="n">
        <v>122.32</v>
      </c>
    </row>
    <row r="1043">
      <c r="D1043" s="16" t="n">
        <v>43248</v>
      </c>
      <c r="E1043" s="19" t="n">
        <v>3.42</v>
      </c>
      <c r="G1043" s="16" t="n">
        <v>43248</v>
      </c>
      <c r="H1043" s="19" t="n">
        <v>1.56</v>
      </c>
      <c r="J1043" s="16" t="n">
        <v>43248</v>
      </c>
      <c r="K1043" s="19" t="n">
        <v>122.15</v>
      </c>
    </row>
    <row r="1044">
      <c r="D1044" s="16" t="n">
        <v>43249</v>
      </c>
      <c r="E1044" s="19" t="n">
        <v>3.43</v>
      </c>
      <c r="G1044" s="16" t="n">
        <v>43249</v>
      </c>
      <c r="H1044" s="19" t="n">
        <v>1.61</v>
      </c>
      <c r="J1044" s="16" t="n">
        <v>43249</v>
      </c>
      <c r="K1044" s="19" t="n">
        <v>122.25</v>
      </c>
    </row>
    <row r="1045">
      <c r="D1045" s="16" t="n">
        <v>43250</v>
      </c>
      <c r="E1045" s="19" t="n">
        <v>3.45</v>
      </c>
      <c r="G1045" s="16" t="n">
        <v>43250</v>
      </c>
      <c r="H1045" s="19" t="n">
        <v>1.59</v>
      </c>
      <c r="J1045" s="16" t="n">
        <v>43250</v>
      </c>
      <c r="K1045" s="19" t="n">
        <v>122.66</v>
      </c>
    </row>
    <row r="1046">
      <c r="D1046" s="16" t="n">
        <v>43251</v>
      </c>
      <c r="E1046" s="19" t="n">
        <v>3.33</v>
      </c>
      <c r="G1046" s="16" t="n">
        <v>43251</v>
      </c>
      <c r="H1046" s="19" t="n">
        <v>1.52</v>
      </c>
      <c r="J1046" s="16" t="n">
        <v>43251</v>
      </c>
      <c r="K1046" s="19" t="n">
        <v>122.66</v>
      </c>
    </row>
    <row r="1047">
      <c r="D1047" s="16" t="n">
        <v>43252</v>
      </c>
      <c r="E1047" s="19" t="n">
        <v>3.31</v>
      </c>
      <c r="G1047" s="16" t="n">
        <v>43252</v>
      </c>
      <c r="H1047" s="19" t="n">
        <v>1.51</v>
      </c>
      <c r="J1047" s="16" t="n">
        <v>43252</v>
      </c>
      <c r="K1047" s="19" t="n">
        <v>121.45</v>
      </c>
    </row>
    <row r="1048">
      <c r="D1048" s="16" t="n">
        <v>43255</v>
      </c>
      <c r="E1048" s="19" t="n">
        <v>3.32</v>
      </c>
      <c r="G1048" s="16" t="n">
        <v>43255</v>
      </c>
      <c r="H1048" s="19" t="n">
        <v>1.47</v>
      </c>
      <c r="J1048" s="16" t="n">
        <v>43255</v>
      </c>
      <c r="K1048" s="19" t="n">
        <v>121.49</v>
      </c>
    </row>
    <row r="1049">
      <c r="D1049" s="16" t="n">
        <v>43256</v>
      </c>
      <c r="E1049" s="19" t="n">
        <v>3.35</v>
      </c>
      <c r="G1049" s="16" t="n">
        <v>43256</v>
      </c>
      <c r="H1049" s="19" t="n">
        <v>1.52</v>
      </c>
      <c r="J1049" s="16" t="n">
        <v>43256</v>
      </c>
      <c r="K1049" s="19" t="n">
        <v>122.64</v>
      </c>
    </row>
    <row r="1050">
      <c r="D1050" s="16" t="n">
        <v>43257</v>
      </c>
      <c r="E1050" s="19" t="n">
        <v>3.3</v>
      </c>
      <c r="G1050" s="16" t="n">
        <v>43257</v>
      </c>
      <c r="H1050" s="19" t="n">
        <v>1.51</v>
      </c>
      <c r="J1050" s="16" t="n">
        <v>43257</v>
      </c>
      <c r="K1050" s="19" t="n">
        <v>122.68</v>
      </c>
    </row>
    <row r="1051">
      <c r="D1051" s="16" t="n">
        <v>43258</v>
      </c>
      <c r="E1051" s="19" t="n">
        <v>3.25</v>
      </c>
      <c r="G1051" s="16" t="n">
        <v>43258</v>
      </c>
      <c r="H1051" s="19" t="n">
        <v>1.56</v>
      </c>
      <c r="J1051" s="16" t="n">
        <v>43258</v>
      </c>
      <c r="K1051" s="19" t="n">
        <v>122.54</v>
      </c>
    </row>
    <row r="1052">
      <c r="D1052" s="16" t="n">
        <v>43259</v>
      </c>
      <c r="E1052" s="19" t="n">
        <v>3.23</v>
      </c>
      <c r="G1052" s="16" t="n">
        <v>43259</v>
      </c>
      <c r="H1052" s="19" t="n">
        <v>1.48</v>
      </c>
      <c r="J1052" s="16" t="n">
        <v>43259</v>
      </c>
      <c r="K1052" s="19" t="n">
        <v>122.82</v>
      </c>
    </row>
    <row r="1053">
      <c r="D1053" s="16" t="n">
        <v>43262</v>
      </c>
      <c r="E1053" s="19" t="n">
        <v>3.26</v>
      </c>
      <c r="G1053" s="16" t="n">
        <v>43262</v>
      </c>
      <c r="H1053" s="19" t="n">
        <v>1.56</v>
      </c>
      <c r="J1053" s="16" t="n">
        <v>43262</v>
      </c>
      <c r="K1053" s="19" t="n">
        <v>123.12</v>
      </c>
    </row>
    <row r="1054">
      <c r="D1054" s="16" t="n">
        <v>43263</v>
      </c>
      <c r="E1054" s="19" t="n">
        <v>3.19</v>
      </c>
      <c r="G1054" s="16" t="n">
        <v>43263</v>
      </c>
      <c r="H1054" s="19" t="n">
        <v>1.6</v>
      </c>
      <c r="J1054" s="16" t="n">
        <v>43263</v>
      </c>
      <c r="K1054" s="19" t="n">
        <v>122.76</v>
      </c>
    </row>
    <row r="1055">
      <c r="D1055" s="16" t="n">
        <v>43264</v>
      </c>
      <c r="E1055" s="19" t="n">
        <v>3.23</v>
      </c>
      <c r="G1055" s="16" t="n">
        <v>43264</v>
      </c>
      <c r="H1055" s="19" t="n">
        <v>1.67</v>
      </c>
      <c r="J1055" s="16" t="n">
        <v>43264</v>
      </c>
      <c r="K1055" s="19" t="n">
        <v>122.59</v>
      </c>
    </row>
    <row r="1056">
      <c r="D1056" s="16" t="n">
        <v>43265</v>
      </c>
      <c r="E1056" s="19" t="n">
        <v>3.24</v>
      </c>
      <c r="G1056" s="16" t="n">
        <v>43265</v>
      </c>
      <c r="H1056" s="19" t="n">
        <v>1.67</v>
      </c>
      <c r="J1056" s="16" t="n">
        <v>43265</v>
      </c>
      <c r="K1056" s="19" t="n">
        <v>122.33</v>
      </c>
    </row>
    <row r="1057">
      <c r="D1057" s="16" t="n">
        <v>43266</v>
      </c>
      <c r="E1057" s="19" t="n">
        <v>3.36</v>
      </c>
      <c r="G1057" s="16" t="n">
        <v>43266</v>
      </c>
      <c r="H1057" s="19" t="n">
        <v>1.64</v>
      </c>
      <c r="J1057" s="16" t="n">
        <v>43266</v>
      </c>
      <c r="K1057" s="19" t="n">
        <v>122.28</v>
      </c>
    </row>
    <row r="1058">
      <c r="D1058" s="16" t="n">
        <v>43269</v>
      </c>
      <c r="E1058" s="19" t="n">
        <v>3.4</v>
      </c>
      <c r="G1058" s="16" t="n">
        <v>43269</v>
      </c>
      <c r="H1058" s="19" t="n">
        <v>1.68</v>
      </c>
      <c r="J1058" s="16" t="n">
        <v>43269</v>
      </c>
      <c r="K1058" s="19" t="n">
        <v>122.05</v>
      </c>
    </row>
    <row r="1059">
      <c r="D1059" s="16" t="n">
        <v>43270</v>
      </c>
      <c r="E1059" s="19" t="n">
        <v>3.4</v>
      </c>
      <c r="G1059" s="16" t="n">
        <v>43270</v>
      </c>
      <c r="H1059" s="19" t="n">
        <v>1.66</v>
      </c>
      <c r="J1059" s="16" t="n">
        <v>43270</v>
      </c>
      <c r="K1059" s="19" t="n">
        <v>121.71</v>
      </c>
    </row>
    <row r="1060">
      <c r="D1060" s="16" t="n">
        <v>43271</v>
      </c>
      <c r="E1060" s="19" t="n">
        <v>3.37</v>
      </c>
      <c r="G1060" s="16" t="n">
        <v>43271</v>
      </c>
      <c r="H1060" s="19" t="n">
        <v>1.63</v>
      </c>
      <c r="J1060" s="16" t="n">
        <v>43271</v>
      </c>
      <c r="K1060" s="19" t="n">
        <v>121.34</v>
      </c>
    </row>
    <row r="1061">
      <c r="D1061" s="16" t="n">
        <v>43272</v>
      </c>
      <c r="E1061" s="19" t="n">
        <v>3.36</v>
      </c>
      <c r="G1061" s="16" t="n">
        <v>43272</v>
      </c>
      <c r="H1061" s="19" t="n">
        <v>1.68</v>
      </c>
      <c r="J1061" s="16" t="n">
        <v>43272</v>
      </c>
      <c r="K1061" s="19" t="n">
        <v>120.75</v>
      </c>
    </row>
    <row r="1062">
      <c r="D1062" s="16" t="n">
        <v>43273</v>
      </c>
      <c r="E1062" s="19" t="n">
        <v>3.38</v>
      </c>
      <c r="G1062" s="16" t="n">
        <v>43273</v>
      </c>
      <c r="H1062" s="19" t="n">
        <v>1.6</v>
      </c>
      <c r="J1062" s="16" t="n">
        <v>43273</v>
      </c>
      <c r="K1062" s="19" t="n">
        <v>121.06</v>
      </c>
    </row>
    <row r="1063">
      <c r="D1063" s="16" t="n">
        <v>43276</v>
      </c>
      <c r="E1063" s="19" t="n">
        <v>3.45</v>
      </c>
      <c r="G1063" s="16" t="n">
        <v>43276</v>
      </c>
      <c r="H1063" s="19" t="n">
        <v>1.62</v>
      </c>
      <c r="J1063" s="16" t="n">
        <v>43276</v>
      </c>
      <c r="K1063" s="19" t="n">
        <v>120.87</v>
      </c>
    </row>
    <row r="1064">
      <c r="D1064" s="16" t="n">
        <v>43277</v>
      </c>
      <c r="E1064" s="19" t="n">
        <v>3.47</v>
      </c>
      <c r="G1064" s="16" t="n">
        <v>43277</v>
      </c>
      <c r="H1064" s="19" t="n">
        <v>1.64</v>
      </c>
      <c r="J1064" s="16" t="n">
        <v>43277</v>
      </c>
      <c r="K1064" s="19" t="n">
        <v>121.16</v>
      </c>
    </row>
    <row r="1065">
      <c r="D1065" s="16" t="n">
        <v>43278</v>
      </c>
      <c r="E1065" s="19" t="n">
        <v>3.51</v>
      </c>
      <c r="G1065" s="16" t="n">
        <v>43278</v>
      </c>
      <c r="H1065" s="19" t="n">
        <v>1.56</v>
      </c>
      <c r="J1065" s="16" t="n">
        <v>43278</v>
      </c>
      <c r="K1065" s="19" t="n">
        <v>120.65</v>
      </c>
    </row>
    <row r="1066">
      <c r="D1066" s="16" t="n">
        <v>43279</v>
      </c>
      <c r="E1066" s="19" t="n">
        <v>3.41</v>
      </c>
      <c r="G1066" s="16" t="n">
        <v>43279</v>
      </c>
      <c r="H1066" s="19" t="n">
        <v>1.55</v>
      </c>
      <c r="J1066" s="16" t="n">
        <v>43279</v>
      </c>
      <c r="K1066" s="19" t="n">
        <v>119.99</v>
      </c>
    </row>
    <row r="1067">
      <c r="D1067" s="16" t="n">
        <v>43280</v>
      </c>
      <c r="E1067" s="19" t="n">
        <v>3.46</v>
      </c>
      <c r="G1067" s="16" t="n">
        <v>43280</v>
      </c>
      <c r="H1067" s="19" t="n">
        <v>1.49</v>
      </c>
      <c r="J1067" s="16" t="n">
        <v>43280</v>
      </c>
      <c r="K1067" s="19" t="n">
        <v>121.25</v>
      </c>
    </row>
    <row r="1068">
      <c r="D1068" s="16" t="n">
        <v>43283</v>
      </c>
      <c r="E1068" s="19" t="n">
        <v>3.47</v>
      </c>
      <c r="G1068" s="16" t="n">
        <v>43283</v>
      </c>
      <c r="H1068" s="19" t="n">
        <v>1.45</v>
      </c>
      <c r="J1068" s="16" t="n">
        <v>43283</v>
      </c>
      <c r="K1068" s="19" t="n">
        <v>121.77</v>
      </c>
    </row>
    <row r="1069">
      <c r="D1069" s="16" t="n">
        <v>43284</v>
      </c>
      <c r="E1069" s="19" t="n">
        <v>3.43</v>
      </c>
      <c r="G1069" s="16" t="n">
        <v>43284</v>
      </c>
      <c r="H1069" s="19" t="n">
        <v>1.39</v>
      </c>
      <c r="J1069" s="16" t="n">
        <v>43284</v>
      </c>
      <c r="K1069" s="19" t="n">
        <v>121.31</v>
      </c>
    </row>
    <row r="1070">
      <c r="D1070" s="16" t="n">
        <v>43285</v>
      </c>
      <c r="E1070" s="19" t="inlineStr">
        <is>
          <t>.</t>
        </is>
      </c>
      <c r="G1070" s="16" t="n">
        <v>43285</v>
      </c>
      <c r="H1070" s="19" t="inlineStr">
        <is>
          <t>.</t>
        </is>
      </c>
      <c r="J1070" s="16" t="n">
        <v>43285</v>
      </c>
      <c r="K1070" s="19" t="inlineStr">
        <is>
          <t>.</t>
        </is>
      </c>
    </row>
    <row r="1071">
      <c r="D1071" s="16" t="n">
        <v>43286</v>
      </c>
      <c r="E1071" s="19" t="n">
        <v>3.38</v>
      </c>
      <c r="G1071" s="16" t="n">
        <v>43286</v>
      </c>
      <c r="H1071" s="19" t="n">
        <v>1.46</v>
      </c>
      <c r="J1071" s="16" t="n">
        <v>43286</v>
      </c>
      <c r="K1071" s="19" t="n">
        <v>120.87</v>
      </c>
    </row>
    <row r="1072">
      <c r="D1072" s="16" t="n">
        <v>43287</v>
      </c>
      <c r="E1072" s="19" t="n">
        <v>3.41</v>
      </c>
      <c r="G1072" s="16" t="n">
        <v>43287</v>
      </c>
      <c r="H1072" s="19" t="n">
        <v>1.47</v>
      </c>
      <c r="J1072" s="16" t="n">
        <v>43287</v>
      </c>
      <c r="K1072" s="19" t="n">
        <v>120.42</v>
      </c>
    </row>
    <row r="1073">
      <c r="D1073" s="16" t="n">
        <v>43290</v>
      </c>
      <c r="E1073" s="19" t="n">
        <v>3.41</v>
      </c>
      <c r="G1073" s="16" t="n">
        <v>43290</v>
      </c>
      <c r="H1073" s="19" t="n">
        <v>1.5</v>
      </c>
      <c r="J1073" s="16" t="n">
        <v>43290</v>
      </c>
      <c r="K1073" s="19" t="n">
        <v>119.61</v>
      </c>
    </row>
    <row r="1074">
      <c r="D1074" s="16" t="n">
        <v>43291</v>
      </c>
      <c r="E1074" s="19" t="n">
        <v>3.43</v>
      </c>
      <c r="G1074" s="16" t="n">
        <v>43291</v>
      </c>
      <c r="H1074" s="19" t="n">
        <v>1.51</v>
      </c>
      <c r="J1074" s="16" t="n">
        <v>43291</v>
      </c>
      <c r="K1074" s="19" t="n">
        <v>119.5</v>
      </c>
    </row>
    <row r="1075">
      <c r="D1075" s="16" t="n">
        <v>43292</v>
      </c>
      <c r="E1075" s="19" t="n">
        <v>3.42</v>
      </c>
      <c r="G1075" s="16" t="n">
        <v>43292</v>
      </c>
      <c r="H1075" s="19" t="n">
        <v>1.45</v>
      </c>
      <c r="J1075" s="16" t="n">
        <v>43292</v>
      </c>
      <c r="K1075" s="19" t="n">
        <v>120.89</v>
      </c>
    </row>
    <row r="1076">
      <c r="D1076" s="16" t="n">
        <v>43293</v>
      </c>
      <c r="E1076" s="19" t="n">
        <v>3.33</v>
      </c>
      <c r="G1076" s="16" t="n">
        <v>43293</v>
      </c>
      <c r="H1076" s="19" t="n">
        <v>1.54</v>
      </c>
      <c r="J1076" s="16" t="n">
        <v>43293</v>
      </c>
      <c r="K1076" s="19" t="n">
        <v>122.49</v>
      </c>
    </row>
    <row r="1077">
      <c r="D1077" s="16" t="n">
        <v>43294</v>
      </c>
      <c r="E1077" s="19" t="n">
        <v>3.3</v>
      </c>
      <c r="G1077" s="16" t="n">
        <v>43294</v>
      </c>
      <c r="H1077" s="19" t="n">
        <v>1.55</v>
      </c>
      <c r="J1077" s="16" t="n">
        <v>43294</v>
      </c>
      <c r="K1077" s="19" t="n">
        <v>122.16</v>
      </c>
    </row>
    <row r="1078">
      <c r="D1078" s="16" t="n">
        <v>43297</v>
      </c>
      <c r="E1078" s="19" t="n">
        <v>3.32</v>
      </c>
      <c r="G1078" s="16" t="n">
        <v>43297</v>
      </c>
      <c r="H1078" s="19" t="n">
        <v>1.55</v>
      </c>
      <c r="J1078" s="16" t="n">
        <v>43297</v>
      </c>
      <c r="K1078" s="19" t="n">
        <v>121.74</v>
      </c>
    </row>
    <row r="1079">
      <c r="D1079" s="16" t="n">
        <v>43298</v>
      </c>
      <c r="E1079" s="19" t="n">
        <v>3.33</v>
      </c>
      <c r="G1079" s="16" t="n">
        <v>43298</v>
      </c>
      <c r="H1079" s="19" t="n">
        <v>1.56</v>
      </c>
      <c r="J1079" s="16" t="n">
        <v>43298</v>
      </c>
      <c r="K1079" s="19" t="n">
        <v>122.63</v>
      </c>
    </row>
    <row r="1080">
      <c r="D1080" s="16" t="n">
        <v>43299</v>
      </c>
      <c r="E1080" s="19" t="n">
        <v>3.26</v>
      </c>
      <c r="G1080" s="16" t="n">
        <v>43299</v>
      </c>
      <c r="H1080" s="19" t="n">
        <v>1.55</v>
      </c>
      <c r="J1080" s="16" t="n">
        <v>43299</v>
      </c>
      <c r="K1080" s="19" t="n">
        <v>122.59</v>
      </c>
    </row>
    <row r="1081">
      <c r="D1081" s="16" t="n">
        <v>43300</v>
      </c>
      <c r="E1081" s="19" t="n">
        <v>3.24</v>
      </c>
      <c r="G1081" s="16" t="n">
        <v>43300</v>
      </c>
      <c r="H1081" s="19" t="n">
        <v>1.56</v>
      </c>
      <c r="J1081" s="16" t="n">
        <v>43300</v>
      </c>
      <c r="K1081" s="19" t="n">
        <v>122.68</v>
      </c>
    </row>
    <row r="1082">
      <c r="D1082" s="16" t="n">
        <v>43301</v>
      </c>
      <c r="E1082" s="19" t="n">
        <v>3.22</v>
      </c>
      <c r="G1082" s="16" t="n">
        <v>43301</v>
      </c>
      <c r="H1082" s="19" t="n">
        <v>1.54</v>
      </c>
      <c r="J1082" s="16" t="n">
        <v>43301</v>
      </c>
      <c r="K1082" s="19" t="n">
        <v>123.72</v>
      </c>
    </row>
    <row r="1083">
      <c r="D1083" s="16" t="n">
        <v>43304</v>
      </c>
      <c r="E1083" s="19" t="n">
        <v>3.19</v>
      </c>
      <c r="G1083" s="16" t="n">
        <v>43304</v>
      </c>
      <c r="H1083" s="19" t="n">
        <v>1.56</v>
      </c>
      <c r="J1083" s="16" t="n">
        <v>43304</v>
      </c>
      <c r="K1083" s="19" t="n">
        <v>124.55</v>
      </c>
    </row>
    <row r="1084">
      <c r="D1084" s="16" t="n">
        <v>43305</v>
      </c>
      <c r="E1084" s="19" t="n">
        <v>3.1</v>
      </c>
      <c r="G1084" s="16" t="n">
        <v>43305</v>
      </c>
      <c r="H1084" s="19" t="n">
        <v>1.51</v>
      </c>
      <c r="J1084" s="16" t="n">
        <v>43305</v>
      </c>
      <c r="K1084" s="19" t="n">
        <v>125.03</v>
      </c>
    </row>
    <row r="1085">
      <c r="D1085" s="16" t="n">
        <v>43306</v>
      </c>
      <c r="E1085" s="19" t="n">
        <v>3.14</v>
      </c>
      <c r="G1085" s="16" t="n">
        <v>43306</v>
      </c>
      <c r="H1085" s="19" t="n">
        <v>1.54</v>
      </c>
      <c r="J1085" s="16" t="n">
        <v>43306</v>
      </c>
      <c r="K1085" s="19" t="n">
        <v>125.88</v>
      </c>
    </row>
    <row r="1086">
      <c r="D1086" s="16" t="n">
        <v>43307</v>
      </c>
      <c r="E1086" s="19" t="n">
        <v>3.17</v>
      </c>
      <c r="G1086" s="16" t="n">
        <v>43307</v>
      </c>
      <c r="H1086" s="19" t="n">
        <v>1.59</v>
      </c>
      <c r="J1086" s="16" t="n">
        <v>43307</v>
      </c>
      <c r="K1086" s="19" t="n">
        <v>125.38</v>
      </c>
    </row>
    <row r="1087">
      <c r="D1087" s="16" t="n">
        <v>43308</v>
      </c>
      <c r="E1087" s="19" t="n">
        <v>3.16</v>
      </c>
      <c r="G1087" s="16" t="n">
        <v>43308</v>
      </c>
      <c r="H1087" s="19" t="n">
        <v>1.58</v>
      </c>
      <c r="J1087" s="16" t="n">
        <v>43308</v>
      </c>
      <c r="K1087" s="19" t="n">
        <v>125.11</v>
      </c>
    </row>
    <row r="1088">
      <c r="D1088" s="16" t="n">
        <v>43311</v>
      </c>
      <c r="E1088" s="19" t="n">
        <v>3.12</v>
      </c>
      <c r="G1088" s="16" t="n">
        <v>43311</v>
      </c>
      <c r="H1088" s="19" t="n">
        <v>1.53</v>
      </c>
      <c r="J1088" s="16" t="n">
        <v>43311</v>
      </c>
      <c r="K1088" s="19" t="n">
        <v>125.8</v>
      </c>
    </row>
    <row r="1089">
      <c r="D1089" s="16" t="n">
        <v>43312</v>
      </c>
      <c r="E1089" s="19" t="n">
        <v>3.14</v>
      </c>
      <c r="G1089" s="16" t="n">
        <v>43312</v>
      </c>
      <c r="H1089" s="19" t="n">
        <v>1.61</v>
      </c>
      <c r="J1089" s="16" t="n">
        <v>43312</v>
      </c>
      <c r="K1089" s="19" t="n">
        <v>126.24</v>
      </c>
    </row>
    <row r="1090">
      <c r="D1090" s="16" t="n">
        <v>43313</v>
      </c>
      <c r="E1090" s="19" t="n">
        <v>3.2</v>
      </c>
      <c r="G1090" s="16" t="n">
        <v>43313</v>
      </c>
      <c r="H1090" s="19" t="n">
        <v>1.58</v>
      </c>
      <c r="J1090" s="16" t="n">
        <v>43313</v>
      </c>
      <c r="K1090" s="19" t="n">
        <v>125.78</v>
      </c>
    </row>
    <row r="1091">
      <c r="D1091" s="16" t="n">
        <v>43314</v>
      </c>
      <c r="E1091" s="19" t="n">
        <v>3.19</v>
      </c>
      <c r="G1091" s="16" t="n">
        <v>43314</v>
      </c>
      <c r="H1091" s="19" t="n">
        <v>1.59</v>
      </c>
      <c r="J1091" s="16" t="n">
        <v>43314</v>
      </c>
      <c r="K1091" s="19" t="n">
        <v>125.17</v>
      </c>
    </row>
    <row r="1092">
      <c r="D1092" s="16" t="n">
        <v>43315</v>
      </c>
      <c r="E1092" s="19" t="n">
        <v>3.19</v>
      </c>
      <c r="G1092" s="16" t="n">
        <v>43315</v>
      </c>
      <c r="H1092" s="19" t="n">
        <v>1.59</v>
      </c>
      <c r="J1092" s="16" t="n">
        <v>43315</v>
      </c>
      <c r="K1092" s="19" t="n">
        <v>125.3</v>
      </c>
    </row>
    <row r="1093">
      <c r="D1093" s="16" t="n">
        <v>43318</v>
      </c>
      <c r="E1093" s="19" t="n">
        <v>3.14</v>
      </c>
      <c r="G1093" s="16" t="n">
        <v>43318</v>
      </c>
      <c r="H1093" s="19" t="n">
        <v>1.63</v>
      </c>
      <c r="J1093" s="16" t="n">
        <v>43318</v>
      </c>
      <c r="K1093" s="19" t="n">
        <v>124.64</v>
      </c>
    </row>
    <row r="1094">
      <c r="D1094" s="16" t="n">
        <v>43319</v>
      </c>
      <c r="E1094" s="19" t="n">
        <v>3.22</v>
      </c>
      <c r="G1094" s="16" t="n">
        <v>43319</v>
      </c>
      <c r="H1094" s="19" t="n">
        <v>1.56</v>
      </c>
      <c r="J1094" s="16" t="n">
        <v>43319</v>
      </c>
      <c r="K1094" s="19" t="n">
        <v>124.31</v>
      </c>
    </row>
    <row r="1095">
      <c r="D1095" s="16" t="n">
        <v>43320</v>
      </c>
      <c r="E1095" s="19" t="n">
        <v>3.19</v>
      </c>
      <c r="G1095" s="16" t="n">
        <v>43320</v>
      </c>
      <c r="H1095" s="19" t="n">
        <v>1.53</v>
      </c>
      <c r="J1095" s="16" t="n">
        <v>43320</v>
      </c>
      <c r="K1095" s="19" t="n">
        <v>124.3</v>
      </c>
    </row>
    <row r="1096">
      <c r="D1096" s="16" t="n">
        <v>43321</v>
      </c>
      <c r="E1096" s="19" t="n">
        <v>3.15</v>
      </c>
      <c r="G1096" s="16" t="n">
        <v>43321</v>
      </c>
      <c r="H1096" s="19" t="n">
        <v>1.54</v>
      </c>
      <c r="J1096" s="16" t="n">
        <v>43321</v>
      </c>
      <c r="K1096" s="19" t="n">
        <v>124.85</v>
      </c>
    </row>
    <row r="1097">
      <c r="D1097" s="16" t="n">
        <v>43322</v>
      </c>
      <c r="E1097" s="19" t="n">
        <v>3.14</v>
      </c>
      <c r="G1097" s="16" t="n">
        <v>43322</v>
      </c>
      <c r="H1097" s="19" t="n">
        <v>1.52</v>
      </c>
      <c r="J1097" s="16" t="n">
        <v>43322</v>
      </c>
      <c r="K1097" s="19" t="n">
        <v>125.59</v>
      </c>
    </row>
    <row r="1098">
      <c r="D1098" s="16" t="n">
        <v>43325</v>
      </c>
      <c r="E1098" s="19" t="n">
        <v>3.19</v>
      </c>
      <c r="G1098" s="16" t="n">
        <v>43325</v>
      </c>
      <c r="H1098" s="19" t="n">
        <v>1.49</v>
      </c>
      <c r="J1098" s="16" t="n">
        <v>43325</v>
      </c>
      <c r="K1098" s="19" t="n">
        <v>125.68</v>
      </c>
    </row>
    <row r="1099">
      <c r="D1099" s="16" t="n">
        <v>43326</v>
      </c>
      <c r="E1099" s="19" t="n">
        <v>3.26</v>
      </c>
      <c r="G1099" s="16" t="n">
        <v>43326</v>
      </c>
      <c r="H1099" s="19" t="n">
        <v>1.43</v>
      </c>
      <c r="J1099" s="16" t="n">
        <v>43326</v>
      </c>
      <c r="K1099" s="19" t="n">
        <v>126.17</v>
      </c>
    </row>
    <row r="1100">
      <c r="D1100" s="16" t="n">
        <v>43327</v>
      </c>
      <c r="E1100" s="19" t="n">
        <v>3.29</v>
      </c>
      <c r="G1100" s="16" t="n">
        <v>43327</v>
      </c>
      <c r="H1100" s="19" t="n">
        <v>1.44</v>
      </c>
      <c r="J1100" s="16" t="n">
        <v>43327</v>
      </c>
      <c r="K1100" s="19" t="n">
        <v>125.07</v>
      </c>
    </row>
    <row r="1101">
      <c r="D1101" s="16" t="n">
        <v>43328</v>
      </c>
      <c r="E1101" s="19" t="n">
        <v>3.32</v>
      </c>
      <c r="G1101" s="16" t="n">
        <v>43328</v>
      </c>
      <c r="H1101" s="19" t="n">
        <v>1.47</v>
      </c>
      <c r="J1101" s="16" t="n">
        <v>43328</v>
      </c>
      <c r="K1101" s="19" t="n">
        <v>124.91</v>
      </c>
    </row>
    <row r="1102">
      <c r="D1102" s="16" t="n">
        <v>43329</v>
      </c>
      <c r="E1102" s="19" t="n">
        <v>3.32</v>
      </c>
      <c r="G1102" s="16" t="n">
        <v>43329</v>
      </c>
      <c r="H1102" s="19" t="n">
        <v>1.49</v>
      </c>
      <c r="J1102" s="16" t="n">
        <v>43329</v>
      </c>
      <c r="K1102" s="19" t="n">
        <v>124.63</v>
      </c>
    </row>
    <row r="1103">
      <c r="D1103" s="16" t="n">
        <v>43332</v>
      </c>
      <c r="E1103" s="19" t="n">
        <v>3.3</v>
      </c>
      <c r="G1103" s="16" t="n">
        <v>43332</v>
      </c>
      <c r="H1103" s="19" t="n">
        <v>1.52</v>
      </c>
      <c r="J1103" s="16" t="n">
        <v>43332</v>
      </c>
      <c r="K1103" s="19" t="n">
        <v>124.2</v>
      </c>
    </row>
    <row r="1104">
      <c r="D1104" s="16" t="n">
        <v>43333</v>
      </c>
      <c r="E1104" s="19" t="n">
        <v>3.36</v>
      </c>
      <c r="G1104" s="16" t="n">
        <v>43333</v>
      </c>
      <c r="H1104" s="19" t="n">
        <v>1.53</v>
      </c>
      <c r="J1104" s="16" t="n">
        <v>43333</v>
      </c>
      <c r="K1104" s="19" t="n">
        <v>123.49</v>
      </c>
    </row>
    <row r="1105">
      <c r="D1105" s="16" t="n">
        <v>43334</v>
      </c>
      <c r="E1105" s="19" t="n">
        <v>3.38</v>
      </c>
      <c r="G1105" s="16" t="n">
        <v>43334</v>
      </c>
      <c r="H1105" s="19" t="n">
        <v>1.64</v>
      </c>
      <c r="J1105" s="16" t="n">
        <v>43334</v>
      </c>
      <c r="K1105" s="19" t="n">
        <v>123.59</v>
      </c>
    </row>
    <row r="1106">
      <c r="D1106" s="16" t="n">
        <v>43335</v>
      </c>
      <c r="E1106" s="19" t="n">
        <v>3.43</v>
      </c>
      <c r="G1106" s="16" t="n">
        <v>43335</v>
      </c>
      <c r="H1106" s="19" t="n">
        <v>1.68</v>
      </c>
      <c r="J1106" s="16" t="n">
        <v>43335</v>
      </c>
      <c r="K1106" s="19" t="n">
        <v>123.04</v>
      </c>
    </row>
    <row r="1107">
      <c r="D1107" s="16" t="n">
        <v>43336</v>
      </c>
      <c r="E1107" s="19" t="n">
        <v>3.37</v>
      </c>
      <c r="G1107" s="16" t="n">
        <v>43336</v>
      </c>
      <c r="H1107" s="19" t="n">
        <v>1.71</v>
      </c>
      <c r="J1107" s="16" t="n">
        <v>43336</v>
      </c>
      <c r="K1107" s="19" t="n">
        <v>123.16</v>
      </c>
    </row>
    <row r="1108">
      <c r="D1108" s="16" t="n">
        <v>43339</v>
      </c>
      <c r="E1108" s="19" t="n">
        <v>3.35</v>
      </c>
      <c r="G1108" s="16" t="n">
        <v>43339</v>
      </c>
      <c r="H1108" s="19" t="n">
        <v>1.72</v>
      </c>
      <c r="J1108" s="16" t="n">
        <v>43339</v>
      </c>
      <c r="K1108" s="19" t="n">
        <v>123.76</v>
      </c>
    </row>
    <row r="1109">
      <c r="D1109" s="16" t="n">
        <v>43340</v>
      </c>
      <c r="E1109" s="19" t="n">
        <v>3.38</v>
      </c>
      <c r="G1109" s="16" t="n">
        <v>43340</v>
      </c>
      <c r="H1109" s="19" t="n">
        <v>1.71</v>
      </c>
      <c r="J1109" s="16" t="n">
        <v>43340</v>
      </c>
      <c r="K1109" s="19" t="n">
        <v>123</v>
      </c>
    </row>
    <row r="1110">
      <c r="D1110" s="16" t="n">
        <v>43341</v>
      </c>
      <c r="E1110" s="19" t="n">
        <v>3.44</v>
      </c>
      <c r="G1110" s="16" t="n">
        <v>43341</v>
      </c>
      <c r="H1110" s="19" t="n">
        <v>1.7</v>
      </c>
      <c r="J1110" s="16" t="n">
        <v>43341</v>
      </c>
      <c r="K1110" s="19" t="n">
        <v>122.86</v>
      </c>
    </row>
    <row r="1111">
      <c r="D1111" s="16" t="n">
        <v>43342</v>
      </c>
      <c r="E1111" s="19" t="n">
        <v>3.51</v>
      </c>
      <c r="G1111" s="16" t="n">
        <v>43342</v>
      </c>
      <c r="H1111" s="19" t="n">
        <v>1.74</v>
      </c>
      <c r="J1111" s="16" t="n">
        <v>43342</v>
      </c>
      <c r="K1111" s="19" t="n">
        <v>123.01</v>
      </c>
    </row>
    <row r="1112">
      <c r="D1112" s="16" t="n">
        <v>43343</v>
      </c>
      <c r="E1112" s="19" t="n">
        <v>3.53</v>
      </c>
      <c r="G1112" s="16" t="n">
        <v>43343</v>
      </c>
      <c r="H1112" s="19" t="n">
        <v>1.75</v>
      </c>
      <c r="J1112" s="16" t="n">
        <v>43343</v>
      </c>
      <c r="K1112" s="19" t="n">
        <v>123.24</v>
      </c>
    </row>
    <row r="1113">
      <c r="D1113" s="16" t="n">
        <v>43346</v>
      </c>
      <c r="E1113" s="19" t="n">
        <v>3.53</v>
      </c>
      <c r="G1113" s="16" t="n">
        <v>43346</v>
      </c>
      <c r="H1113" s="19" t="n">
        <v>1.73</v>
      </c>
      <c r="J1113" s="16" t="n">
        <v>43346</v>
      </c>
      <c r="K1113" s="19" t="n">
        <v>124.01</v>
      </c>
    </row>
    <row r="1114">
      <c r="D1114" s="16" t="n">
        <v>43347</v>
      </c>
      <c r="E1114" s="19" t="n">
        <v>3.5</v>
      </c>
      <c r="G1114" s="16" t="n">
        <v>43347</v>
      </c>
      <c r="H1114" s="19" t="n">
        <v>1.75</v>
      </c>
      <c r="J1114" s="16" t="n">
        <v>43347</v>
      </c>
      <c r="K1114" s="19" t="n">
        <v>123.57</v>
      </c>
    </row>
    <row r="1115">
      <c r="D1115" s="16" t="n">
        <v>43348</v>
      </c>
      <c r="E1115" s="19" t="n">
        <v>3.51</v>
      </c>
      <c r="G1115" s="16" t="n">
        <v>43348</v>
      </c>
      <c r="H1115" s="19" t="n">
        <v>1.74</v>
      </c>
      <c r="J1115" s="16" t="n">
        <v>43348</v>
      </c>
      <c r="K1115" s="19" t="n">
        <v>123.42</v>
      </c>
    </row>
    <row r="1116">
      <c r="D1116" s="16" t="n">
        <v>43349</v>
      </c>
      <c r="E1116" s="19" t="n">
        <v>3.5</v>
      </c>
      <c r="G1116" s="16" t="n">
        <v>43349</v>
      </c>
      <c r="H1116" s="19" t="n">
        <v>1.81</v>
      </c>
      <c r="J1116" s="16" t="n">
        <v>43349</v>
      </c>
      <c r="K1116" s="19" t="n">
        <v>123.31</v>
      </c>
    </row>
    <row r="1117">
      <c r="D1117" s="16" t="n">
        <v>43350</v>
      </c>
      <c r="E1117" s="19" t="n">
        <v>3.43</v>
      </c>
      <c r="G1117" s="16" t="n">
        <v>43350</v>
      </c>
      <c r="H1117" s="19" t="n">
        <v>1.77</v>
      </c>
      <c r="J1117" s="16" t="n">
        <v>43350</v>
      </c>
      <c r="K1117" s="19" t="n">
        <v>122.74</v>
      </c>
    </row>
    <row r="1118">
      <c r="D1118" s="16" t="n">
        <v>43353</v>
      </c>
      <c r="E1118" s="19" t="n">
        <v>3.38</v>
      </c>
      <c r="G1118" s="16" t="n">
        <v>43353</v>
      </c>
      <c r="H1118" s="19" t="n">
        <v>1.76</v>
      </c>
      <c r="J1118" s="16" t="n">
        <v>43353</v>
      </c>
      <c r="K1118" s="19" t="n">
        <v>123.09</v>
      </c>
    </row>
    <row r="1119">
      <c r="D1119" s="16" t="n">
        <v>43354</v>
      </c>
      <c r="E1119" s="19" t="n">
        <v>3.35</v>
      </c>
      <c r="G1119" s="16" t="n">
        <v>43354</v>
      </c>
      <c r="H1119" s="19" t="n">
        <v>1.74</v>
      </c>
      <c r="J1119" s="16" t="n">
        <v>43354</v>
      </c>
      <c r="K1119" s="19" t="n">
        <v>123.4</v>
      </c>
    </row>
    <row r="1120">
      <c r="D1120" s="16" t="n">
        <v>43355</v>
      </c>
      <c r="E1120" s="19" t="n">
        <v>3.38</v>
      </c>
      <c r="G1120" s="16" t="n">
        <v>43355</v>
      </c>
      <c r="H1120" s="19" t="n">
        <v>1.77</v>
      </c>
      <c r="J1120" s="16" t="n">
        <v>43355</v>
      </c>
      <c r="K1120" s="19" t="n">
        <v>124.36</v>
      </c>
    </row>
    <row r="1121">
      <c r="D1121" s="16" t="n">
        <v>43356</v>
      </c>
      <c r="E1121" s="19" t="n">
        <v>3.4</v>
      </c>
      <c r="G1121" s="16" t="n">
        <v>43356</v>
      </c>
      <c r="H1121" s="19" t="n">
        <v>1.74</v>
      </c>
      <c r="J1121" s="16" t="n">
        <v>43356</v>
      </c>
      <c r="K1121" s="19" t="n">
        <v>124.9</v>
      </c>
    </row>
    <row r="1122">
      <c r="D1122" s="16" t="n">
        <v>43357</v>
      </c>
      <c r="E1122" s="19" t="n">
        <v>3.43</v>
      </c>
      <c r="G1122" s="16" t="n">
        <v>43357</v>
      </c>
      <c r="H1122" s="19" t="n">
        <v>1.8</v>
      </c>
      <c r="J1122" s="16" t="n">
        <v>43357</v>
      </c>
      <c r="K1122" s="19" t="n">
        <v>125</v>
      </c>
    </row>
    <row r="1123">
      <c r="D1123" s="16" t="n">
        <v>43360</v>
      </c>
      <c r="E1123" s="19" t="n">
        <v>3.41</v>
      </c>
      <c r="G1123" s="16" t="n">
        <v>43360</v>
      </c>
      <c r="H1123" s="19" t="n">
        <v>1.9</v>
      </c>
      <c r="J1123" s="16" t="n">
        <v>43360</v>
      </c>
      <c r="K1123" s="19" t="n">
        <v>124.4</v>
      </c>
    </row>
    <row r="1124">
      <c r="D1124" s="16" t="n">
        <v>43361</v>
      </c>
      <c r="E1124" s="19" t="n">
        <v>3.52</v>
      </c>
      <c r="G1124" s="16" t="n">
        <v>43361</v>
      </c>
      <c r="H1124" s="19" t="n">
        <v>1.88</v>
      </c>
      <c r="J1124" s="16" t="n">
        <v>43361</v>
      </c>
      <c r="K1124" s="19" t="n">
        <v>124.77</v>
      </c>
    </row>
    <row r="1125">
      <c r="D1125" s="16" t="n">
        <v>43362</v>
      </c>
      <c r="E1125" s="19" t="n">
        <v>3.48</v>
      </c>
      <c r="G1125" s="16" t="n">
        <v>43362</v>
      </c>
      <c r="H1125" s="19" t="n">
        <v>1.92</v>
      </c>
      <c r="J1125" s="16" t="n">
        <v>43362</v>
      </c>
      <c r="K1125" s="19" t="n">
        <v>124.67</v>
      </c>
    </row>
    <row r="1126">
      <c r="D1126" s="16" t="n">
        <v>43363</v>
      </c>
      <c r="E1126" s="19" t="n">
        <v>3.48</v>
      </c>
      <c r="G1126" s="16" t="n">
        <v>43363</v>
      </c>
      <c r="H1126" s="19" t="n">
        <v>1.94</v>
      </c>
      <c r="J1126" s="16" t="n">
        <v>43363</v>
      </c>
      <c r="K1126" s="19" t="n">
        <v>125.05</v>
      </c>
    </row>
    <row r="1127">
      <c r="D1127" s="16" t="n">
        <v>43364</v>
      </c>
      <c r="E1127" s="19" t="n">
        <v>3.45</v>
      </c>
      <c r="G1127" s="16" t="n">
        <v>43364</v>
      </c>
      <c r="H1127" s="19" t="n">
        <v>2.02</v>
      </c>
      <c r="J1127" s="16" t="n">
        <v>43364</v>
      </c>
      <c r="K1127" s="19" t="n">
        <v>124.58</v>
      </c>
    </row>
    <row r="1128">
      <c r="D1128" s="16" t="n">
        <v>43367</v>
      </c>
      <c r="E1128" s="19" t="n">
        <v>3.39</v>
      </c>
      <c r="G1128" s="16" t="n">
        <v>43367</v>
      </c>
      <c r="H1128" s="19" t="n">
        <v>2.01</v>
      </c>
      <c r="J1128" s="16" t="n">
        <v>43367</v>
      </c>
      <c r="K1128" s="19" t="n">
        <v>124.69</v>
      </c>
    </row>
    <row r="1129">
      <c r="D1129" s="16" t="n">
        <v>43368</v>
      </c>
      <c r="E1129" s="19" t="n">
        <v>3.33</v>
      </c>
      <c r="G1129" s="16" t="n">
        <v>43368</v>
      </c>
      <c r="H1129" s="19" t="n">
        <v>2</v>
      </c>
      <c r="J1129" s="16" t="n">
        <v>43368</v>
      </c>
      <c r="K1129" s="19" t="n">
        <v>124.87</v>
      </c>
    </row>
    <row r="1130">
      <c r="D1130" s="16" t="n">
        <v>43369</v>
      </c>
      <c r="E1130" s="19" t="n">
        <v>3.32</v>
      </c>
      <c r="G1130" s="16" t="n">
        <v>43369</v>
      </c>
      <c r="H1130" s="19" t="n">
        <v>2</v>
      </c>
      <c r="J1130" s="16" t="n">
        <v>43369</v>
      </c>
      <c r="K1130" s="19" t="n">
        <v>124.02</v>
      </c>
    </row>
    <row r="1131">
      <c r="D1131" s="16" t="n">
        <v>43370</v>
      </c>
      <c r="E1131" s="19" t="n">
        <v>3.28</v>
      </c>
      <c r="G1131" s="16" t="n">
        <v>43370</v>
      </c>
      <c r="H1131" s="19" t="n">
        <v>2.05</v>
      </c>
      <c r="J1131" s="16" t="n">
        <v>43370</v>
      </c>
      <c r="K1131" s="19" t="n">
        <v>123.96</v>
      </c>
    </row>
    <row r="1132">
      <c r="D1132" s="16" t="n">
        <v>43371</v>
      </c>
      <c r="E1132" s="19" t="n">
        <v>3.2</v>
      </c>
      <c r="G1132" s="16" t="n">
        <v>43371</v>
      </c>
      <c r="H1132" s="19" t="n">
        <v>2.12</v>
      </c>
      <c r="J1132" s="16" t="n">
        <v>43371</v>
      </c>
      <c r="K1132" s="19" t="n">
        <v>123.44</v>
      </c>
    </row>
    <row r="1133">
      <c r="D1133" s="16" t="n">
        <v>43374</v>
      </c>
      <c r="E1133" s="19" t="n">
        <v>3.17</v>
      </c>
      <c r="G1133" s="16" t="n">
        <v>43374</v>
      </c>
      <c r="H1133" s="19" t="n">
        <v>2.11</v>
      </c>
      <c r="J1133" s="16" t="n">
        <v>43374</v>
      </c>
      <c r="K1133" s="19" t="n">
        <v>123.39</v>
      </c>
    </row>
    <row r="1134">
      <c r="D1134" s="16" t="n">
        <v>43375</v>
      </c>
      <c r="E1134" s="19" t="n">
        <v>3.22</v>
      </c>
      <c r="G1134" s="16" t="n">
        <v>43375</v>
      </c>
      <c r="H1134" s="19" t="n">
        <v>2.11</v>
      </c>
      <c r="J1134" s="16" t="n">
        <v>43375</v>
      </c>
      <c r="K1134" s="19" t="n">
        <v>122.92</v>
      </c>
    </row>
    <row r="1135">
      <c r="D1135" s="16" t="n">
        <v>43376</v>
      </c>
      <c r="E1135" s="19" t="n">
        <v>3.28</v>
      </c>
      <c r="G1135" s="16" t="n">
        <v>43376</v>
      </c>
      <c r="H1135" s="19" t="n">
        <v>2.13</v>
      </c>
      <c r="J1135" s="16" t="n">
        <v>43376</v>
      </c>
      <c r="K1135" s="19" t="n">
        <v>122.97</v>
      </c>
    </row>
    <row r="1136">
      <c r="D1136" s="16" t="n">
        <v>43377</v>
      </c>
      <c r="E1136" s="19" t="n">
        <v>3.25</v>
      </c>
      <c r="G1136" s="16" t="n">
        <v>43377</v>
      </c>
      <c r="H1136" s="19" t="n">
        <v>2.13</v>
      </c>
      <c r="J1136" s="16" t="n">
        <v>43377</v>
      </c>
      <c r="K1136" s="19" t="n">
        <v>122.48</v>
      </c>
    </row>
    <row r="1137">
      <c r="D1137" s="16" t="n">
        <v>43378</v>
      </c>
      <c r="E1137" s="19" t="n">
        <v>3.27</v>
      </c>
      <c r="G1137" s="16" t="n">
        <v>43378</v>
      </c>
      <c r="H1137" s="19" t="n">
        <v>2.17</v>
      </c>
      <c r="J1137" s="16" t="n">
        <v>43378</v>
      </c>
      <c r="K1137" s="19" t="n">
        <v>122.47</v>
      </c>
    </row>
    <row r="1138">
      <c r="D1138" s="16" t="n">
        <v>43381</v>
      </c>
      <c r="E1138" s="19" t="n">
        <v>3.24</v>
      </c>
      <c r="G1138" s="16" t="n">
        <v>43381</v>
      </c>
      <c r="H1138" s="19" t="n">
        <v>2.15</v>
      </c>
      <c r="J1138" s="16" t="n">
        <v>43381</v>
      </c>
      <c r="K1138" s="19" t="n">
        <v>123.59</v>
      </c>
    </row>
    <row r="1139">
      <c r="D1139" s="16" t="n">
        <v>43382</v>
      </c>
      <c r="E1139" s="19" t="n">
        <v>3.2</v>
      </c>
      <c r="G1139" s="16" t="n">
        <v>43382</v>
      </c>
      <c r="H1139" s="19" t="n">
        <v>2.13</v>
      </c>
      <c r="J1139" s="16" t="n">
        <v>43382</v>
      </c>
      <c r="K1139" s="19" t="n">
        <v>124.16</v>
      </c>
    </row>
    <row r="1140">
      <c r="D1140" s="16" t="n">
        <v>43383</v>
      </c>
      <c r="E1140" s="19" t="n">
        <v>3.17</v>
      </c>
      <c r="G1140" s="16" t="n">
        <v>43383</v>
      </c>
      <c r="H1140" s="19" t="n">
        <v>2.21</v>
      </c>
      <c r="J1140" s="16" t="n">
        <v>43383</v>
      </c>
      <c r="K1140" s="19" t="n">
        <v>124.99</v>
      </c>
    </row>
    <row r="1141">
      <c r="D1141" s="16" t="n">
        <v>43384</v>
      </c>
      <c r="E1141" s="19" t="n">
        <v>3.16</v>
      </c>
      <c r="G1141" s="16" t="n">
        <v>43384</v>
      </c>
      <c r="H1141" s="19" t="n">
        <v>2.18</v>
      </c>
      <c r="J1141" s="16" t="n">
        <v>43384</v>
      </c>
      <c r="K1141" s="19" t="n">
        <v>124.92</v>
      </c>
    </row>
    <row r="1142">
      <c r="D1142" s="16" t="n">
        <v>43385</v>
      </c>
      <c r="E1142" s="19" t="n">
        <v>3.21</v>
      </c>
      <c r="G1142" s="16" t="n">
        <v>43385</v>
      </c>
      <c r="H1142" s="19" t="n">
        <v>2.25</v>
      </c>
      <c r="J1142" s="16" t="n">
        <v>43385</v>
      </c>
      <c r="K1142" s="19" t="n">
        <v>124.53</v>
      </c>
    </row>
    <row r="1143">
      <c r="D1143" s="16" t="n">
        <v>43388</v>
      </c>
      <c r="E1143" s="19" t="n">
        <v>3.24</v>
      </c>
      <c r="G1143" s="16" t="n">
        <v>43388</v>
      </c>
      <c r="H1143" s="19" t="n">
        <v>2.32</v>
      </c>
      <c r="J1143" s="16" t="n">
        <v>43388</v>
      </c>
      <c r="K1143" s="19" t="n">
        <v>124.81</v>
      </c>
    </row>
    <row r="1144">
      <c r="D1144" s="16" t="n">
        <v>43389</v>
      </c>
      <c r="E1144" s="19" t="n">
        <v>3.22</v>
      </c>
      <c r="G1144" s="16" t="n">
        <v>43389</v>
      </c>
      <c r="H1144" s="19" t="n">
        <v>2.31</v>
      </c>
      <c r="J1144" s="16" t="n">
        <v>43389</v>
      </c>
      <c r="K1144" s="19" t="n">
        <v>125.18</v>
      </c>
    </row>
    <row r="1145">
      <c r="D1145" s="16" t="n">
        <v>43390</v>
      </c>
      <c r="E1145" s="19" t="n">
        <v>3.21</v>
      </c>
      <c r="G1145" s="16" t="n">
        <v>43390</v>
      </c>
      <c r="H1145" s="19" t="n">
        <v>2.29</v>
      </c>
      <c r="J1145" s="16" t="n">
        <v>43390</v>
      </c>
      <c r="K1145" s="19" t="n">
        <v>125.6</v>
      </c>
    </row>
    <row r="1146">
      <c r="D1146" s="16" t="n">
        <v>43391</v>
      </c>
      <c r="E1146" s="19" t="n">
        <v>3.18</v>
      </c>
      <c r="G1146" s="16" t="n">
        <v>43391</v>
      </c>
      <c r="H1146" s="19" t="n">
        <v>2.25</v>
      </c>
      <c r="J1146" s="16" t="n">
        <v>43391</v>
      </c>
      <c r="K1146" s="19" t="n">
        <v>125.69</v>
      </c>
    </row>
    <row r="1147">
      <c r="D1147" s="16" t="n">
        <v>43392</v>
      </c>
      <c r="E1147" s="19" t="n">
        <v>3.19</v>
      </c>
      <c r="G1147" s="16" t="n">
        <v>43392</v>
      </c>
      <c r="H1147" s="19" t="n">
        <v>2.15</v>
      </c>
      <c r="J1147" s="16" t="n">
        <v>43392</v>
      </c>
      <c r="K1147" s="19" t="n">
        <v>124.99</v>
      </c>
    </row>
    <row r="1148">
      <c r="D1148" s="16" t="n">
        <v>43395</v>
      </c>
      <c r="E1148" s="19" t="n">
        <v>3.25</v>
      </c>
      <c r="G1148" s="16" t="n">
        <v>43395</v>
      </c>
      <c r="H1148" s="19" t="n">
        <v>2.24</v>
      </c>
      <c r="J1148" s="16" t="n">
        <v>43395</v>
      </c>
      <c r="K1148" s="19" t="n">
        <v>124.62</v>
      </c>
    </row>
    <row r="1149">
      <c r="D1149" s="16" t="n">
        <v>43396</v>
      </c>
      <c r="E1149" s="19" t="n">
        <v>3.3</v>
      </c>
      <c r="G1149" s="16" t="n">
        <v>43396</v>
      </c>
      <c r="H1149" s="19" t="n">
        <v>2.32</v>
      </c>
      <c r="J1149" s="16" t="n">
        <v>43396</v>
      </c>
      <c r="K1149" s="19" t="n">
        <v>124.46</v>
      </c>
    </row>
    <row r="1150">
      <c r="D1150" s="16" t="n">
        <v>43397</v>
      </c>
      <c r="E1150" s="19" t="n">
        <v>3.29</v>
      </c>
      <c r="G1150" s="16" t="n">
        <v>43397</v>
      </c>
      <c r="H1150" s="19" t="n">
        <v>2.33</v>
      </c>
      <c r="J1150" s="16" t="n">
        <v>43397</v>
      </c>
      <c r="K1150" s="19" t="n">
        <v>125.1</v>
      </c>
    </row>
    <row r="1151">
      <c r="D1151" s="16" t="n">
        <v>43398</v>
      </c>
      <c r="E1151" s="19" t="n">
        <v>3.35</v>
      </c>
      <c r="G1151" s="16" t="n">
        <v>43398</v>
      </c>
      <c r="H1151" s="19" t="n">
        <v>2.33</v>
      </c>
      <c r="J1151" s="16" t="n">
        <v>43398</v>
      </c>
      <c r="K1151" s="19" t="n">
        <v>125.28</v>
      </c>
    </row>
    <row r="1152">
      <c r="D1152" s="16" t="n">
        <v>43399</v>
      </c>
      <c r="E1152" s="19" t="n">
        <v>3.39</v>
      </c>
      <c r="G1152" s="16" t="n">
        <v>43399</v>
      </c>
      <c r="H1152" s="19" t="n">
        <v>2.36</v>
      </c>
      <c r="J1152" s="16" t="n">
        <v>43399</v>
      </c>
      <c r="K1152" s="19" t="n">
        <v>126.04</v>
      </c>
    </row>
    <row r="1153">
      <c r="D1153" s="16" t="n">
        <v>43402</v>
      </c>
      <c r="E1153" s="19" t="n">
        <v>3.33</v>
      </c>
      <c r="G1153" s="16" t="n">
        <v>43402</v>
      </c>
      <c r="H1153" s="19" t="n">
        <v>2.38</v>
      </c>
      <c r="J1153" s="16" t="n">
        <v>43402</v>
      </c>
      <c r="K1153" s="19" t="n">
        <v>125.83</v>
      </c>
    </row>
    <row r="1154">
      <c r="D1154" s="16" t="n">
        <v>43403</v>
      </c>
      <c r="E1154" s="19" t="n">
        <v>3.37</v>
      </c>
      <c r="G1154" s="16" t="n">
        <v>43403</v>
      </c>
      <c r="H1154" s="19" t="n">
        <v>2.38</v>
      </c>
      <c r="J1154" s="16" t="n">
        <v>43403</v>
      </c>
      <c r="K1154" s="19" t="n">
        <v>125.19</v>
      </c>
    </row>
    <row r="1155">
      <c r="D1155" s="16" t="n">
        <v>43404</v>
      </c>
      <c r="E1155" s="19" t="n">
        <v>3.32</v>
      </c>
      <c r="G1155" s="16" t="n">
        <v>43404</v>
      </c>
      <c r="H1155" s="19" t="n">
        <v>2.37</v>
      </c>
      <c r="J1155" s="16" t="n">
        <v>43404</v>
      </c>
      <c r="K1155" s="19" t="n">
        <v>125.64</v>
      </c>
    </row>
    <row r="1156">
      <c r="D1156" s="16" t="n">
        <v>43405</v>
      </c>
      <c r="E1156" s="19" t="n">
        <v>3.36</v>
      </c>
      <c r="G1156" s="16" t="n">
        <v>43405</v>
      </c>
      <c r="H1156" s="19" t="n">
        <v>2.32</v>
      </c>
      <c r="J1156" s="16" t="n">
        <v>43405</v>
      </c>
      <c r="K1156" s="19" t="n">
        <v>125.72</v>
      </c>
    </row>
    <row r="1157">
      <c r="D1157" s="16" t="n">
        <v>43406</v>
      </c>
      <c r="E1157" s="19" t="n">
        <v>3.32</v>
      </c>
      <c r="G1157" s="16" t="n">
        <v>43406</v>
      </c>
      <c r="H1157" s="19" t="n">
        <v>2.33</v>
      </c>
      <c r="J1157" s="16" t="n">
        <v>43406</v>
      </c>
      <c r="K1157" s="19" t="n">
        <v>125.51</v>
      </c>
    </row>
    <row r="1158">
      <c r="D1158" s="16" t="n">
        <v>43409</v>
      </c>
      <c r="E1158" s="19" t="n">
        <v>3.21</v>
      </c>
      <c r="G1158" s="16" t="n">
        <v>43409</v>
      </c>
      <c r="H1158" s="19" t="n">
        <v>2.33</v>
      </c>
      <c r="J1158" s="16" t="n">
        <v>43409</v>
      </c>
      <c r="K1158" s="19" t="n">
        <v>125.73</v>
      </c>
    </row>
    <row r="1159">
      <c r="D1159" s="16" t="n">
        <v>43410</v>
      </c>
      <c r="E1159" s="19" t="n">
        <v>3.16</v>
      </c>
      <c r="G1159" s="16" t="n">
        <v>43410</v>
      </c>
      <c r="H1159" s="19" t="n">
        <v>2.32</v>
      </c>
      <c r="J1159" s="16" t="n">
        <v>43410</v>
      </c>
      <c r="K1159" s="19" t="n">
        <v>126.61</v>
      </c>
    </row>
    <row r="1160">
      <c r="D1160" s="16" t="n">
        <v>43411</v>
      </c>
      <c r="E1160" s="19" t="n">
        <v>3.12</v>
      </c>
      <c r="G1160" s="16" t="n">
        <v>43411</v>
      </c>
      <c r="H1160" s="19" t="n">
        <v>2.33</v>
      </c>
      <c r="J1160" s="16" t="n">
        <v>43411</v>
      </c>
      <c r="K1160" s="19" t="n">
        <v>126.32</v>
      </c>
    </row>
    <row r="1161">
      <c r="D1161" s="16" t="n">
        <v>43412</v>
      </c>
      <c r="E1161" s="19" t="n">
        <v>3.12</v>
      </c>
      <c r="G1161" s="16" t="n">
        <v>43412</v>
      </c>
      <c r="H1161" s="19" t="n">
        <v>2.33</v>
      </c>
      <c r="J1161" s="16" t="n">
        <v>43412</v>
      </c>
      <c r="K1161" s="19" t="n">
        <v>126.18</v>
      </c>
    </row>
    <row r="1162">
      <c r="D1162" s="16" t="n">
        <v>43413</v>
      </c>
      <c r="E1162" s="19" t="n">
        <v>3.12</v>
      </c>
      <c r="G1162" s="16" t="n">
        <v>43413</v>
      </c>
      <c r="H1162" s="19" t="n">
        <v>2.33</v>
      </c>
      <c r="J1162" s="16" t="n">
        <v>43413</v>
      </c>
      <c r="K1162" s="19" t="n">
        <v>126.35</v>
      </c>
    </row>
    <row r="1163">
      <c r="D1163" s="16" t="n">
        <v>43416</v>
      </c>
      <c r="E1163" s="19" t="n">
        <v>3.09</v>
      </c>
      <c r="G1163" s="16" t="n">
        <v>43416</v>
      </c>
      <c r="H1163" s="19" t="n">
        <v>2.24</v>
      </c>
      <c r="J1163" s="16" t="n">
        <v>43416</v>
      </c>
      <c r="K1163" s="19" t="n">
        <v>126.14</v>
      </c>
    </row>
    <row r="1164">
      <c r="D1164" s="16" t="n">
        <v>43417</v>
      </c>
      <c r="E1164" s="19" t="n">
        <v>3.15</v>
      </c>
      <c r="G1164" s="16" t="n">
        <v>43417</v>
      </c>
      <c r="H1164" s="19" t="n">
        <v>2.28</v>
      </c>
      <c r="J1164" s="16" t="n">
        <v>43417</v>
      </c>
      <c r="K1164" s="19" t="n">
        <v>126.3</v>
      </c>
    </row>
    <row r="1165">
      <c r="D1165" s="16" t="n">
        <v>43418</v>
      </c>
      <c r="E1165" s="19" t="n">
        <v>3.15</v>
      </c>
      <c r="G1165" s="16" t="n">
        <v>43418</v>
      </c>
      <c r="H1165" s="19" t="n">
        <v>2.25</v>
      </c>
      <c r="J1165" s="16" t="n">
        <v>43418</v>
      </c>
      <c r="K1165" s="19" t="n">
        <v>126.59</v>
      </c>
    </row>
    <row r="1166">
      <c r="D1166" s="16" t="n">
        <v>43419</v>
      </c>
      <c r="E1166" s="19" t="n">
        <v>3.16</v>
      </c>
      <c r="G1166" s="16" t="n">
        <v>43419</v>
      </c>
      <c r="H1166" s="19" t="n">
        <v>2.28</v>
      </c>
      <c r="J1166" s="16" t="n">
        <v>43419</v>
      </c>
      <c r="K1166" s="19" t="n">
        <v>126.38</v>
      </c>
    </row>
    <row r="1167">
      <c r="D1167" s="16" t="n">
        <v>43420</v>
      </c>
      <c r="E1167" s="19" t="n">
        <v>3.16</v>
      </c>
      <c r="G1167" s="16" t="n">
        <v>43420</v>
      </c>
      <c r="H1167" s="19" t="n">
        <v>2.31</v>
      </c>
      <c r="J1167" s="16" t="n">
        <v>43420</v>
      </c>
      <c r="K1167" s="19" t="n">
        <v>125.85</v>
      </c>
    </row>
    <row r="1168">
      <c r="D1168" s="16" t="n">
        <v>43423</v>
      </c>
      <c r="E1168" s="19" t="n">
        <v>3.21</v>
      </c>
      <c r="G1168" s="16" t="n">
        <v>43423</v>
      </c>
      <c r="H1168" s="19" t="n">
        <v>2.33</v>
      </c>
      <c r="J1168" s="16" t="n">
        <v>43423</v>
      </c>
      <c r="K1168" s="19" t="n">
        <v>125.91</v>
      </c>
    </row>
    <row r="1169">
      <c r="D1169" s="16" t="n">
        <v>43424</v>
      </c>
      <c r="E1169" s="19" t="n">
        <v>3.19</v>
      </c>
      <c r="G1169" s="16" t="n">
        <v>43424</v>
      </c>
      <c r="H1169" s="19" t="n">
        <v>2.29</v>
      </c>
      <c r="J1169" s="16" t="n">
        <v>43424</v>
      </c>
      <c r="K1169" s="19" t="n">
        <v>125.93</v>
      </c>
    </row>
    <row r="1170">
      <c r="D1170" s="16" t="n">
        <v>43425</v>
      </c>
      <c r="E1170" s="19" t="n">
        <v>3.13</v>
      </c>
      <c r="G1170" s="16" t="n">
        <v>43425</v>
      </c>
      <c r="H1170" s="19" t="n">
        <v>2.24</v>
      </c>
      <c r="J1170" s="16" t="n">
        <v>43425</v>
      </c>
      <c r="K1170" s="19" t="n">
        <v>126.21</v>
      </c>
    </row>
    <row r="1171">
      <c r="D1171" s="16" t="n">
        <v>43426</v>
      </c>
      <c r="E1171" s="19" t="inlineStr">
        <is>
          <t>.</t>
        </is>
      </c>
      <c r="G1171" s="16" t="n">
        <v>43426</v>
      </c>
      <c r="H1171" s="19" t="inlineStr">
        <is>
          <t>.</t>
        </is>
      </c>
      <c r="J1171" s="16" t="n">
        <v>43426</v>
      </c>
      <c r="K1171" s="19" t="inlineStr">
        <is>
          <t>.</t>
        </is>
      </c>
    </row>
    <row r="1172">
      <c r="D1172" s="16" t="n">
        <v>43427</v>
      </c>
      <c r="E1172" s="19" t="n">
        <v>3.05</v>
      </c>
      <c r="G1172" s="16" t="n">
        <v>43427</v>
      </c>
      <c r="H1172" s="19" t="n">
        <v>2.21</v>
      </c>
      <c r="J1172" s="16" t="n">
        <v>43427</v>
      </c>
      <c r="K1172" s="19" t="n">
        <v>126.1</v>
      </c>
    </row>
    <row r="1173">
      <c r="D1173" s="16" t="n">
        <v>43430</v>
      </c>
      <c r="E1173" s="19" t="n">
        <v>3.03</v>
      </c>
      <c r="G1173" s="16" t="n">
        <v>43430</v>
      </c>
      <c r="H1173" s="19" t="n">
        <v>2.17</v>
      </c>
      <c r="J1173" s="16" t="n">
        <v>43430</v>
      </c>
      <c r="K1173" s="19" t="n">
        <v>126.33</v>
      </c>
    </row>
    <row r="1174">
      <c r="D1174" s="16" t="n">
        <v>43431</v>
      </c>
      <c r="E1174" s="19" t="n">
        <v>3.07</v>
      </c>
      <c r="G1174" s="16" t="n">
        <v>43431</v>
      </c>
      <c r="H1174" s="19" t="n">
        <v>2.17</v>
      </c>
      <c r="J1174" s="16" t="n">
        <v>43431</v>
      </c>
      <c r="K1174" s="19" t="n">
        <v>126.49</v>
      </c>
    </row>
    <row r="1175">
      <c r="D1175" s="16" t="n">
        <v>43432</v>
      </c>
      <c r="E1175" s="19" t="n">
        <v>3.11</v>
      </c>
      <c r="G1175" s="16" t="n">
        <v>43432</v>
      </c>
      <c r="H1175" s="19" t="n">
        <v>2.19</v>
      </c>
      <c r="J1175" s="16" t="n">
        <v>43432</v>
      </c>
      <c r="K1175" s="19" t="n">
        <v>125.83</v>
      </c>
    </row>
    <row r="1176">
      <c r="D1176" s="16" t="n">
        <v>43433</v>
      </c>
      <c r="E1176" s="19" t="n">
        <v>3.13</v>
      </c>
      <c r="G1176" s="16" t="n">
        <v>43433</v>
      </c>
      <c r="H1176" s="19" t="n">
        <v>2.22</v>
      </c>
      <c r="J1176" s="16" t="n">
        <v>43433</v>
      </c>
      <c r="K1176" s="19" t="n">
        <v>126.47</v>
      </c>
    </row>
    <row r="1177">
      <c r="D1177" s="16" t="n">
        <v>43434</v>
      </c>
      <c r="E1177" s="19" t="n">
        <v>3.16</v>
      </c>
      <c r="G1177" s="16" t="n">
        <v>43434</v>
      </c>
      <c r="H1177" s="19" t="n">
        <v>2.21</v>
      </c>
      <c r="J1177" s="16" t="n">
        <v>43434</v>
      </c>
      <c r="K1177" s="19" t="n">
        <v>125.05</v>
      </c>
    </row>
    <row r="1178">
      <c r="D1178" s="16" t="n">
        <v>43437</v>
      </c>
      <c r="E1178" s="19" t="n">
        <v>3.13</v>
      </c>
      <c r="G1178" s="16" t="n">
        <v>43437</v>
      </c>
      <c r="H1178" s="19" t="n">
        <v>2.22</v>
      </c>
      <c r="J1178" s="16" t="n">
        <v>43437</v>
      </c>
      <c r="K1178" s="19" t="n">
        <v>125.74</v>
      </c>
    </row>
    <row r="1179">
      <c r="D1179" s="16" t="n">
        <v>43438</v>
      </c>
      <c r="E1179" s="19" t="n">
        <v>3.18</v>
      </c>
      <c r="G1179" s="16" t="n">
        <v>43438</v>
      </c>
      <c r="H1179" s="19" t="n">
        <v>2.22</v>
      </c>
      <c r="J1179" s="16" t="n">
        <v>43438</v>
      </c>
      <c r="K1179" s="19" t="n">
        <v>126.83</v>
      </c>
    </row>
    <row r="1180">
      <c r="D1180" s="16" t="n">
        <v>43439</v>
      </c>
      <c r="E1180" s="19" t="n">
        <v>3.13</v>
      </c>
      <c r="G1180" s="16" t="n">
        <v>43439</v>
      </c>
      <c r="H1180" s="19" t="n">
        <v>2.18</v>
      </c>
      <c r="J1180" s="16" t="n">
        <v>43439</v>
      </c>
      <c r="K1180" s="19" t="n">
        <v>127.81</v>
      </c>
    </row>
    <row r="1181">
      <c r="D1181" s="16" t="n">
        <v>43440</v>
      </c>
      <c r="E1181" s="19" t="n">
        <v>3.2</v>
      </c>
      <c r="G1181" s="16" t="n">
        <v>43440</v>
      </c>
      <c r="H1181" s="19" t="n">
        <v>2.17</v>
      </c>
      <c r="J1181" s="16" t="n">
        <v>43440</v>
      </c>
      <c r="K1181" s="19" t="n">
        <v>127.93</v>
      </c>
    </row>
    <row r="1182">
      <c r="D1182" s="16" t="n">
        <v>43441</v>
      </c>
      <c r="E1182" s="19" t="n">
        <v>3.26</v>
      </c>
      <c r="G1182" s="16" t="n">
        <v>43441</v>
      </c>
      <c r="H1182" s="19" t="n">
        <v>2.16</v>
      </c>
      <c r="J1182" s="16" t="n">
        <v>43441</v>
      </c>
      <c r="K1182" s="19" t="n">
        <v>128.11</v>
      </c>
    </row>
    <row r="1183">
      <c r="D1183" s="16" t="n">
        <v>43444</v>
      </c>
      <c r="E1183" s="19" t="n">
        <v>3.34</v>
      </c>
      <c r="G1183" s="16" t="n">
        <v>43444</v>
      </c>
      <c r="H1183" s="19" t="n">
        <v>2.12</v>
      </c>
      <c r="J1183" s="16" t="n">
        <v>43444</v>
      </c>
      <c r="K1183" s="19" t="n">
        <v>126.14</v>
      </c>
    </row>
    <row r="1184">
      <c r="D1184" s="16" t="n">
        <v>43445</v>
      </c>
      <c r="E1184" s="19" t="n">
        <v>3.35</v>
      </c>
      <c r="G1184" s="16" t="n">
        <v>43445</v>
      </c>
      <c r="H1184" s="19" t="n">
        <v>2.16</v>
      </c>
      <c r="J1184" s="16" t="n">
        <v>43445</v>
      </c>
      <c r="K1184" s="19" t="n">
        <v>126.59</v>
      </c>
    </row>
    <row r="1185">
      <c r="D1185" s="16" t="n">
        <v>43446</v>
      </c>
      <c r="E1185" s="19" t="n">
        <v>3.4</v>
      </c>
      <c r="G1185" s="16" t="n">
        <v>43446</v>
      </c>
      <c r="H1185" s="19" t="n">
        <v>2.23</v>
      </c>
      <c r="J1185" s="16" t="n">
        <v>43446</v>
      </c>
      <c r="K1185" s="19" t="n">
        <v>126.98</v>
      </c>
    </row>
    <row r="1186">
      <c r="D1186" s="16" t="n">
        <v>43447</v>
      </c>
      <c r="E1186" s="19" t="n">
        <v>3.44</v>
      </c>
      <c r="G1186" s="16" t="n">
        <v>43447</v>
      </c>
      <c r="H1186" s="19" t="n">
        <v>2.22</v>
      </c>
      <c r="J1186" s="16" t="n">
        <v>43447</v>
      </c>
      <c r="K1186" s="19" t="n">
        <v>126.04</v>
      </c>
    </row>
    <row r="1187">
      <c r="D1187" s="16" t="n">
        <v>43448</v>
      </c>
      <c r="E1187" s="19" t="n">
        <v>3.53</v>
      </c>
      <c r="G1187" s="16" t="n">
        <v>43448</v>
      </c>
      <c r="H1187" s="19" t="n">
        <v>2.2</v>
      </c>
      <c r="J1187" s="16" t="n">
        <v>43448</v>
      </c>
      <c r="K1187" s="19" t="n">
        <v>124.89</v>
      </c>
    </row>
    <row r="1188">
      <c r="D1188" s="16" t="n">
        <v>43451</v>
      </c>
      <c r="E1188" s="19" t="n">
        <v>3.59</v>
      </c>
      <c r="G1188" s="16" t="n">
        <v>43451</v>
      </c>
      <c r="H1188" s="19" t="n">
        <v>2.2</v>
      </c>
      <c r="J1188" s="16" t="n">
        <v>43451</v>
      </c>
      <c r="K1188" s="19" t="n">
        <v>124.57</v>
      </c>
    </row>
    <row r="1189">
      <c r="D1189" s="16" t="n">
        <v>43452</v>
      </c>
      <c r="E1189" s="19" t="n">
        <v>3.59</v>
      </c>
      <c r="G1189" s="16" t="n">
        <v>43452</v>
      </c>
      <c r="H1189" s="19" t="n">
        <v>2.24</v>
      </c>
      <c r="J1189" s="16" t="n">
        <v>43452</v>
      </c>
      <c r="K1189" s="19" t="n">
        <v>124.83</v>
      </c>
    </row>
    <row r="1190">
      <c r="D1190" s="16" t="n">
        <v>43453</v>
      </c>
      <c r="E1190" s="19" t="n">
        <v>3.57</v>
      </c>
      <c r="G1190" s="16" t="n">
        <v>43453</v>
      </c>
      <c r="H1190" s="19" t="n">
        <v>2.24</v>
      </c>
      <c r="J1190" s="16" t="n">
        <v>43453</v>
      </c>
      <c r="K1190" s="19" t="n">
        <v>124.48</v>
      </c>
    </row>
    <row r="1191">
      <c r="D1191" s="16" t="n">
        <v>43454</v>
      </c>
      <c r="E1191" s="19" t="n">
        <v>3.71</v>
      </c>
      <c r="G1191" s="16" t="n">
        <v>43454</v>
      </c>
      <c r="H1191" s="19" t="n">
        <v>2.21</v>
      </c>
      <c r="J1191" s="16" t="n">
        <v>43454</v>
      </c>
      <c r="K1191" s="19" t="n">
        <v>124.99</v>
      </c>
    </row>
    <row r="1192">
      <c r="D1192" s="16" t="n">
        <v>43455</v>
      </c>
      <c r="E1192" s="19" t="n">
        <v>3.68</v>
      </c>
      <c r="G1192" s="16" t="n">
        <v>43455</v>
      </c>
      <c r="H1192" s="19" t="n">
        <v>2.17</v>
      </c>
      <c r="J1192" s="16" t="n">
        <v>43455</v>
      </c>
      <c r="K1192" s="19" t="n">
        <v>124.72</v>
      </c>
    </row>
    <row r="1193">
      <c r="D1193" s="16" t="n">
        <v>43458</v>
      </c>
      <c r="E1193" s="19" t="n">
        <v>3.68</v>
      </c>
      <c r="G1193" s="16" t="n">
        <v>43458</v>
      </c>
      <c r="H1193" s="19" t="n">
        <v>2.2</v>
      </c>
      <c r="J1193" s="16" t="n">
        <v>43458</v>
      </c>
      <c r="K1193" s="19" t="n">
        <v>125.17</v>
      </c>
    </row>
    <row r="1194">
      <c r="D1194" s="16" t="n">
        <v>43459</v>
      </c>
      <c r="E1194" s="19" t="inlineStr">
        <is>
          <t>.</t>
        </is>
      </c>
      <c r="G1194" s="16" t="n">
        <v>43459</v>
      </c>
      <c r="H1194" s="19" t="inlineStr">
        <is>
          <t>.</t>
        </is>
      </c>
      <c r="J1194" s="16" t="n">
        <v>43459</v>
      </c>
      <c r="K1194" s="19" t="inlineStr">
        <is>
          <t>.</t>
        </is>
      </c>
    </row>
    <row r="1195">
      <c r="D1195" s="16" t="n">
        <v>43460</v>
      </c>
      <c r="E1195" s="19" t="n">
        <v>3.79</v>
      </c>
      <c r="G1195" s="16" t="n">
        <v>43460</v>
      </c>
      <c r="H1195" s="19" t="n">
        <v>2.24</v>
      </c>
      <c r="J1195" s="16" t="n">
        <v>43460</v>
      </c>
      <c r="K1195" s="19" t="n">
        <v>126.21</v>
      </c>
    </row>
    <row r="1196">
      <c r="D1196" s="16" t="n">
        <v>43461</v>
      </c>
      <c r="E1196" s="19" t="n">
        <v>3.74</v>
      </c>
      <c r="G1196" s="16" t="n">
        <v>43461</v>
      </c>
      <c r="H1196" s="19" t="n">
        <v>2.2</v>
      </c>
      <c r="J1196" s="16" t="n">
        <v>43461</v>
      </c>
      <c r="K1196" s="19" t="n">
        <v>126.08</v>
      </c>
    </row>
    <row r="1197">
      <c r="D1197" s="16" t="n">
        <v>43462</v>
      </c>
      <c r="E1197" s="19" t="n">
        <v>3.74</v>
      </c>
      <c r="G1197" s="16" t="n">
        <v>43462</v>
      </c>
      <c r="H1197" s="19" t="n">
        <v>2.22</v>
      </c>
      <c r="J1197" s="16" t="n">
        <v>43462</v>
      </c>
      <c r="K1197" s="19" t="n">
        <v>125.45</v>
      </c>
    </row>
    <row r="1198">
      <c r="D1198" s="16" t="n">
        <v>43465</v>
      </c>
      <c r="E1198" s="19" t="n">
        <v>3.7</v>
      </c>
      <c r="G1198" s="16" t="n">
        <v>43465</v>
      </c>
      <c r="H1198" s="19" t="n">
        <v>2.18</v>
      </c>
      <c r="J1198" s="16" t="n">
        <v>43465</v>
      </c>
      <c r="K1198" s="19" t="n">
        <v>126.34</v>
      </c>
    </row>
    <row r="1199">
      <c r="D1199" s="16" t="n">
        <v>43466</v>
      </c>
      <c r="E1199" s="19" t="inlineStr">
        <is>
          <t>.</t>
        </is>
      </c>
      <c r="G1199" s="16" t="n">
        <v>43466</v>
      </c>
      <c r="H1199" s="19" t="inlineStr">
        <is>
          <t>.</t>
        </is>
      </c>
      <c r="J1199" s="16" t="n">
        <v>43466</v>
      </c>
      <c r="K1199" s="19" t="inlineStr">
        <is>
          <t>.</t>
        </is>
      </c>
    </row>
    <row r="1200">
      <c r="D1200" s="16" t="n">
        <v>43467</v>
      </c>
      <c r="E1200" s="19" t="n">
        <v>3.73</v>
      </c>
      <c r="G1200" s="16" t="n">
        <v>43467</v>
      </c>
      <c r="H1200" s="19" t="n">
        <v>2.15</v>
      </c>
      <c r="J1200" s="16" t="n">
        <v>43467</v>
      </c>
      <c r="K1200" s="19" t="n">
        <v>126.17</v>
      </c>
    </row>
    <row r="1201">
      <c r="D1201" s="16" t="n">
        <v>43468</v>
      </c>
      <c r="E1201" s="19" t="n">
        <v>3.67</v>
      </c>
      <c r="G1201" s="16" t="n">
        <v>43468</v>
      </c>
      <c r="H1201" s="19" t="n">
        <v>2.13</v>
      </c>
      <c r="J1201" s="16" t="n">
        <v>43468</v>
      </c>
      <c r="K1201" s="19" t="n">
        <v>125.6</v>
      </c>
    </row>
    <row r="1202">
      <c r="D1202" s="16" t="n">
        <v>43469</v>
      </c>
      <c r="E1202" s="19" t="n">
        <v>3.59</v>
      </c>
      <c r="G1202" s="16" t="n">
        <v>43469</v>
      </c>
      <c r="H1202" s="19" t="n">
        <v>2.15</v>
      </c>
      <c r="J1202" s="16" t="n">
        <v>43469</v>
      </c>
      <c r="K1202" s="19" t="n">
        <v>125.43</v>
      </c>
    </row>
    <row r="1203">
      <c r="D1203" s="16" t="n">
        <v>43472</v>
      </c>
      <c r="E1203" s="19" t="n">
        <v>3.54</v>
      </c>
      <c r="G1203" s="16" t="n">
        <v>43472</v>
      </c>
      <c r="H1203" s="19" t="n">
        <v>2.19</v>
      </c>
      <c r="J1203" s="16" t="n">
        <v>43472</v>
      </c>
      <c r="K1203" s="19" t="n">
        <v>125.55</v>
      </c>
    </row>
    <row r="1204">
      <c r="D1204" s="16" t="n">
        <v>43473</v>
      </c>
      <c r="E1204" s="19" t="n">
        <v>3.57</v>
      </c>
      <c r="G1204" s="16" t="n">
        <v>43473</v>
      </c>
      <c r="H1204" s="19" t="n">
        <v>2.22</v>
      </c>
      <c r="J1204" s="16" t="n">
        <v>43473</v>
      </c>
      <c r="K1204" s="19" t="n">
        <v>125.5</v>
      </c>
    </row>
    <row r="1205">
      <c r="D1205" s="16" t="n">
        <v>43474</v>
      </c>
      <c r="E1205" s="19" t="n">
        <v>3.57</v>
      </c>
      <c r="G1205" s="16" t="n">
        <v>43474</v>
      </c>
      <c r="H1205" s="19" t="n">
        <v>2.23</v>
      </c>
      <c r="J1205" s="16" t="n">
        <v>43474</v>
      </c>
      <c r="K1205" s="19" t="n">
        <v>125.46</v>
      </c>
    </row>
    <row r="1206">
      <c r="D1206" s="16" t="n">
        <v>43475</v>
      </c>
      <c r="E1206" s="19" t="n">
        <v>3.57</v>
      </c>
      <c r="G1206" s="16" t="n">
        <v>43475</v>
      </c>
      <c r="H1206" s="19" t="n">
        <v>2.18</v>
      </c>
      <c r="J1206" s="16" t="n">
        <v>43475</v>
      </c>
      <c r="K1206" s="19" t="n">
        <v>125.33</v>
      </c>
    </row>
    <row r="1207">
      <c r="D1207" s="16" t="n">
        <v>43476</v>
      </c>
      <c r="E1207" s="19" t="n">
        <v>3.53</v>
      </c>
      <c r="G1207" s="16" t="n">
        <v>43476</v>
      </c>
      <c r="H1207" s="19" t="n">
        <v>2.14</v>
      </c>
      <c r="J1207" s="16" t="n">
        <v>43476</v>
      </c>
      <c r="K1207" s="19" t="n">
        <v>125.19</v>
      </c>
    </row>
    <row r="1208">
      <c r="D1208" s="16" t="n">
        <v>43479</v>
      </c>
      <c r="E1208" s="19" t="n">
        <v>3.54</v>
      </c>
      <c r="G1208" s="16" t="n">
        <v>43479</v>
      </c>
      <c r="H1208" s="19" t="n">
        <v>2.1</v>
      </c>
      <c r="J1208" s="16" t="n">
        <v>43479</v>
      </c>
      <c r="K1208" s="19" t="n">
        <v>125.31</v>
      </c>
    </row>
    <row r="1209">
      <c r="D1209" s="16" t="n">
        <v>43480</v>
      </c>
      <c r="E1209" s="19" t="n">
        <v>3.56</v>
      </c>
      <c r="G1209" s="16" t="n">
        <v>43480</v>
      </c>
      <c r="H1209" s="19" t="n">
        <v>2.04</v>
      </c>
      <c r="J1209" s="16" t="n">
        <v>43480</v>
      </c>
      <c r="K1209" s="19" t="n">
        <v>125.27</v>
      </c>
    </row>
    <row r="1210">
      <c r="D1210" s="16" t="n">
        <v>43481</v>
      </c>
      <c r="E1210" s="19" t="n">
        <v>3.58</v>
      </c>
      <c r="G1210" s="16" t="n">
        <v>43481</v>
      </c>
      <c r="H1210" s="19" t="n">
        <v>2.14</v>
      </c>
      <c r="J1210" s="16" t="n">
        <v>43481</v>
      </c>
      <c r="K1210" s="19" t="n">
        <v>124.86</v>
      </c>
    </row>
    <row r="1211">
      <c r="D1211" s="16" t="n">
        <v>43482</v>
      </c>
      <c r="E1211" s="19" t="n">
        <v>3.6</v>
      </c>
      <c r="G1211" s="16" t="n">
        <v>43482</v>
      </c>
      <c r="H1211" s="19" t="n">
        <v>2.14</v>
      </c>
      <c r="J1211" s="16" t="n">
        <v>43482</v>
      </c>
      <c r="K1211" s="19" t="n">
        <v>124.64</v>
      </c>
    </row>
    <row r="1212">
      <c r="D1212" s="16" t="n">
        <v>43483</v>
      </c>
      <c r="E1212" s="19" t="n">
        <v>3.62</v>
      </c>
      <c r="G1212" s="16" t="n">
        <v>43483</v>
      </c>
      <c r="H1212" s="19" t="n">
        <v>2.13</v>
      </c>
      <c r="J1212" s="16" t="n">
        <v>43483</v>
      </c>
      <c r="K1212" s="19" t="n">
        <v>124.89</v>
      </c>
    </row>
    <row r="1213">
      <c r="D1213" s="16" t="n">
        <v>43486</v>
      </c>
      <c r="E1213" s="19" t="n">
        <v>3.63</v>
      </c>
      <c r="G1213" s="16" t="n">
        <v>43486</v>
      </c>
      <c r="H1213" s="19" t="n">
        <v>2.14</v>
      </c>
      <c r="J1213" s="16" t="n">
        <v>43486</v>
      </c>
      <c r="K1213" s="19" t="n">
        <v>123.92</v>
      </c>
    </row>
    <row r="1214">
      <c r="D1214" s="16" t="n">
        <v>43487</v>
      </c>
      <c r="E1214" s="19" t="n">
        <v>3.6</v>
      </c>
      <c r="G1214" s="16" t="n">
        <v>43487</v>
      </c>
      <c r="H1214" s="19" t="n">
        <v>2.2</v>
      </c>
      <c r="J1214" s="16" t="n">
        <v>43487</v>
      </c>
      <c r="K1214" s="19" t="n">
        <v>123.89</v>
      </c>
    </row>
    <row r="1215">
      <c r="D1215" s="16" t="n">
        <v>43488</v>
      </c>
      <c r="E1215" s="19" t="n">
        <v>3.56</v>
      </c>
      <c r="G1215" s="16" t="n">
        <v>43488</v>
      </c>
      <c r="H1215" s="19" t="n">
        <v>2.17</v>
      </c>
      <c r="J1215" s="16" t="n">
        <v>43488</v>
      </c>
      <c r="K1215" s="19" t="n">
        <v>124.9</v>
      </c>
    </row>
    <row r="1216">
      <c r="D1216" s="16" t="n">
        <v>43489</v>
      </c>
      <c r="E1216" s="19" t="n">
        <v>3.52</v>
      </c>
      <c r="G1216" s="16" t="n">
        <v>43489</v>
      </c>
      <c r="H1216" s="19" t="n">
        <v>2.17</v>
      </c>
      <c r="J1216" s="16" t="n">
        <v>43489</v>
      </c>
      <c r="K1216" s="19" t="n">
        <v>124.12</v>
      </c>
    </row>
    <row r="1217">
      <c r="D1217" s="16" t="n">
        <v>43490</v>
      </c>
      <c r="E1217" s="19" t="n">
        <v>3.49</v>
      </c>
      <c r="G1217" s="16" t="n">
        <v>43490</v>
      </c>
      <c r="H1217" s="19" t="n">
        <v>2.18</v>
      </c>
      <c r="J1217" s="16" t="n">
        <v>43490</v>
      </c>
      <c r="K1217" s="19" t="n">
        <v>123.84</v>
      </c>
    </row>
    <row r="1218">
      <c r="D1218" s="16" t="n">
        <v>43493</v>
      </c>
      <c r="E1218" s="19" t="n">
        <v>3.53</v>
      </c>
      <c r="G1218" s="16" t="n">
        <v>43493</v>
      </c>
      <c r="H1218" s="19" t="n">
        <v>2.22</v>
      </c>
      <c r="J1218" s="16" t="n">
        <v>43493</v>
      </c>
      <c r="K1218" s="19" t="n">
        <v>123.85</v>
      </c>
    </row>
    <row r="1219">
      <c r="D1219" s="16" t="n">
        <v>43494</v>
      </c>
      <c r="E1219" s="19" t="n">
        <v>3.57</v>
      </c>
      <c r="G1219" s="16" t="n">
        <v>43494</v>
      </c>
      <c r="H1219" s="19" t="n">
        <v>2.16</v>
      </c>
      <c r="J1219" s="16" t="n">
        <v>43494</v>
      </c>
      <c r="K1219" s="19" t="n">
        <v>123.6</v>
      </c>
    </row>
    <row r="1220">
      <c r="D1220" s="16" t="n">
        <v>43495</v>
      </c>
      <c r="E1220" s="19" t="n">
        <v>3.52</v>
      </c>
      <c r="G1220" s="16" t="n">
        <v>43495</v>
      </c>
      <c r="H1220" s="19" t="n">
        <v>2.15</v>
      </c>
      <c r="J1220" s="16" t="n">
        <v>43495</v>
      </c>
      <c r="K1220" s="19" t="n">
        <v>123.86</v>
      </c>
    </row>
    <row r="1221">
      <c r="D1221" s="16" t="n">
        <v>43496</v>
      </c>
      <c r="E1221" s="19" t="n">
        <v>3.54</v>
      </c>
      <c r="G1221" s="16" t="n">
        <v>43496</v>
      </c>
      <c r="H1221" s="19" t="n">
        <v>2.17</v>
      </c>
      <c r="J1221" s="16" t="n">
        <v>43496</v>
      </c>
      <c r="K1221" s="19" t="n">
        <v>123.69</v>
      </c>
    </row>
    <row r="1222">
      <c r="D1222" s="16" t="n">
        <v>43497</v>
      </c>
      <c r="E1222" s="19" t="n">
        <v>3.57</v>
      </c>
      <c r="G1222" s="16" t="n">
        <v>43497</v>
      </c>
      <c r="H1222" s="19" t="n">
        <v>2.24</v>
      </c>
      <c r="J1222" s="16" t="n">
        <v>43497</v>
      </c>
      <c r="K1222" s="19" t="n">
        <v>124.12</v>
      </c>
    </row>
    <row r="1223">
      <c r="D1223" s="16" t="n">
        <v>43500</v>
      </c>
      <c r="E1223" s="19" t="n">
        <v>3.53</v>
      </c>
      <c r="G1223" s="16" t="n">
        <v>43500</v>
      </c>
      <c r="H1223" s="19" t="n">
        <v>2.23</v>
      </c>
      <c r="J1223" s="16" t="n">
        <v>43500</v>
      </c>
      <c r="K1223" s="19" t="n">
        <v>124.51</v>
      </c>
    </row>
    <row r="1224">
      <c r="D1224" s="16" t="n">
        <v>43501</v>
      </c>
      <c r="E1224" s="19" t="n">
        <v>3.6</v>
      </c>
      <c r="G1224" s="16" t="n">
        <v>43501</v>
      </c>
      <c r="H1224" s="19" t="n">
        <v>2.22</v>
      </c>
      <c r="J1224" s="16" t="n">
        <v>43501</v>
      </c>
      <c r="K1224" s="19" t="n">
        <v>123.71</v>
      </c>
    </row>
    <row r="1225">
      <c r="D1225" s="16" t="n">
        <v>43502</v>
      </c>
      <c r="E1225" s="19" t="n">
        <v>3.67</v>
      </c>
      <c r="G1225" s="16" t="n">
        <v>43502</v>
      </c>
      <c r="H1225" s="19" t="n">
        <v>2.29</v>
      </c>
      <c r="J1225" s="16" t="n">
        <v>43502</v>
      </c>
      <c r="K1225" s="19" t="n">
        <v>123.98</v>
      </c>
    </row>
    <row r="1226">
      <c r="D1226" s="16" t="n">
        <v>43503</v>
      </c>
      <c r="E1226" s="19" t="n">
        <v>3.64</v>
      </c>
      <c r="G1226" s="16" t="n">
        <v>43503</v>
      </c>
      <c r="H1226" s="19" t="n">
        <v>2.31</v>
      </c>
      <c r="J1226" s="16" t="n">
        <v>43503</v>
      </c>
      <c r="K1226" s="19" t="n">
        <v>123.03</v>
      </c>
    </row>
    <row r="1227">
      <c r="D1227" s="16" t="n">
        <v>43504</v>
      </c>
      <c r="E1227" s="19" t="n">
        <v>3.64</v>
      </c>
      <c r="G1227" s="16" t="n">
        <v>43504</v>
      </c>
      <c r="H1227" s="19" t="n">
        <v>2.37</v>
      </c>
      <c r="J1227" s="16" t="n">
        <v>43504</v>
      </c>
      <c r="K1227" s="19" t="n">
        <v>122.71</v>
      </c>
    </row>
    <row r="1228">
      <c r="D1228" s="16" t="n">
        <v>43507</v>
      </c>
      <c r="E1228" s="19" t="n">
        <v>3.59</v>
      </c>
      <c r="G1228" s="16" t="n">
        <v>43507</v>
      </c>
      <c r="H1228" s="19" t="n">
        <v>2.37</v>
      </c>
      <c r="J1228" s="16" t="n">
        <v>43507</v>
      </c>
      <c r="K1228" s="19" t="n">
        <v>123.44</v>
      </c>
    </row>
    <row r="1229">
      <c r="D1229" s="16" t="n">
        <v>43508</v>
      </c>
      <c r="E1229" s="19" t="n">
        <v>3.55</v>
      </c>
      <c r="G1229" s="16" t="n">
        <v>43508</v>
      </c>
      <c r="H1229" s="19" t="n">
        <v>2.33</v>
      </c>
      <c r="J1229" s="16" t="n">
        <v>43508</v>
      </c>
      <c r="K1229" s="19" t="n">
        <v>123.66</v>
      </c>
    </row>
    <row r="1230">
      <c r="D1230" s="16" t="n">
        <v>43509</v>
      </c>
      <c r="E1230" s="19" t="n">
        <v>3.62</v>
      </c>
      <c r="G1230" s="16" t="n">
        <v>43509</v>
      </c>
      <c r="H1230" s="19" t="n">
        <v>2.31</v>
      </c>
      <c r="J1230" s="16" t="n">
        <v>43509</v>
      </c>
      <c r="K1230" s="19" t="n">
        <v>124.3</v>
      </c>
    </row>
    <row r="1231">
      <c r="D1231" s="16" t="n">
        <v>43510</v>
      </c>
      <c r="E1231" s="19" t="n">
        <v>3.6</v>
      </c>
      <c r="G1231" s="16" t="n">
        <v>43510</v>
      </c>
      <c r="H1231" s="19" t="n">
        <v>2.26</v>
      </c>
      <c r="J1231" s="16" t="n">
        <v>43510</v>
      </c>
      <c r="K1231" s="19" t="n">
        <v>124</v>
      </c>
    </row>
    <row r="1232">
      <c r="D1232" s="16" t="n">
        <v>43511</v>
      </c>
      <c r="E1232" s="19" t="n">
        <v>3.53</v>
      </c>
      <c r="G1232" s="16" t="n">
        <v>43511</v>
      </c>
      <c r="H1232" s="19" t="n">
        <v>2.19</v>
      </c>
      <c r="J1232" s="16" t="n">
        <v>43511</v>
      </c>
      <c r="K1232" s="19" t="n">
        <v>124.92</v>
      </c>
    </row>
    <row r="1233">
      <c r="D1233" s="16" t="n">
        <v>43514</v>
      </c>
      <c r="E1233" s="19" t="n">
        <v>3.55</v>
      </c>
      <c r="G1233" s="16" t="n">
        <v>43514</v>
      </c>
      <c r="H1233" s="19" t="n">
        <v>2.19</v>
      </c>
      <c r="J1233" s="16" t="n">
        <v>43514</v>
      </c>
      <c r="K1233" s="19" t="n">
        <v>124.48</v>
      </c>
    </row>
    <row r="1234">
      <c r="D1234" s="16" t="n">
        <v>43515</v>
      </c>
      <c r="E1234" s="19" t="n">
        <v>3.59</v>
      </c>
      <c r="G1234" s="16" t="n">
        <v>43515</v>
      </c>
      <c r="H1234" s="19" t="n">
        <v>2.12</v>
      </c>
      <c r="J1234" s="16" t="n">
        <v>43515</v>
      </c>
      <c r="K1234" s="19" t="n">
        <v>123.66</v>
      </c>
    </row>
    <row r="1235">
      <c r="D1235" s="16" t="n">
        <v>43516</v>
      </c>
      <c r="E1235" s="19" t="n">
        <v>3.55</v>
      </c>
      <c r="G1235" s="16" t="n">
        <v>43516</v>
      </c>
      <c r="H1235" s="19" t="n">
        <v>2.14</v>
      </c>
      <c r="J1235" s="16" t="n">
        <v>43516</v>
      </c>
      <c r="K1235" s="19" t="n">
        <v>124.26</v>
      </c>
    </row>
    <row r="1236">
      <c r="D1236" s="16" t="n">
        <v>43517</v>
      </c>
      <c r="E1236" s="19" t="n">
        <v>3.55</v>
      </c>
      <c r="G1236" s="16" t="n">
        <v>43517</v>
      </c>
      <c r="H1236" s="19" t="n">
        <v>2.18</v>
      </c>
      <c r="J1236" s="16" t="n">
        <v>43517</v>
      </c>
      <c r="K1236" s="19" t="n">
        <v>125.11</v>
      </c>
    </row>
    <row r="1237">
      <c r="D1237" s="16" t="n">
        <v>43518</v>
      </c>
      <c r="E1237" s="19" t="n">
        <v>3.59</v>
      </c>
      <c r="G1237" s="16" t="n">
        <v>43518</v>
      </c>
      <c r="H1237" s="19" t="n">
        <v>2.2</v>
      </c>
      <c r="J1237" s="16" t="n">
        <v>43518</v>
      </c>
      <c r="K1237" s="19" t="n">
        <v>124.92</v>
      </c>
    </row>
    <row r="1238">
      <c r="D1238" s="16" t="n">
        <v>43521</v>
      </c>
      <c r="E1238" s="19" t="n">
        <v>3.62</v>
      </c>
      <c r="G1238" s="16" t="n">
        <v>43521</v>
      </c>
      <c r="H1238" s="19" t="n">
        <v>2.2</v>
      </c>
      <c r="J1238" s="16" t="n">
        <v>43521</v>
      </c>
      <c r="K1238" s="19" t="n">
        <v>126.52</v>
      </c>
    </row>
    <row r="1239">
      <c r="D1239" s="16" t="n">
        <v>43522</v>
      </c>
      <c r="E1239" s="19" t="n">
        <v>3.6</v>
      </c>
      <c r="G1239" s="16" t="n">
        <v>43522</v>
      </c>
      <c r="H1239" s="19" t="n">
        <v>2.22</v>
      </c>
      <c r="J1239" s="16" t="n">
        <v>43522</v>
      </c>
      <c r="K1239" s="19" t="n">
        <v>127.56</v>
      </c>
    </row>
    <row r="1240">
      <c r="D1240" s="16" t="n">
        <v>43523</v>
      </c>
      <c r="E1240" s="19" t="n">
        <v>3.55</v>
      </c>
      <c r="G1240" s="16" t="n">
        <v>43523</v>
      </c>
      <c r="H1240" s="19" t="n">
        <v>2.23</v>
      </c>
      <c r="J1240" s="16" t="n">
        <v>43523</v>
      </c>
      <c r="K1240" s="19" t="n">
        <v>127.95</v>
      </c>
    </row>
    <row r="1241">
      <c r="D1241" s="16" t="n">
        <v>43524</v>
      </c>
      <c r="E1241" s="19" t="n">
        <v>3.49</v>
      </c>
      <c r="G1241" s="16" t="n">
        <v>43524</v>
      </c>
      <c r="H1241" s="19" t="n">
        <v>2.2</v>
      </c>
      <c r="J1241" s="16" t="n">
        <v>43524</v>
      </c>
      <c r="K1241" s="19" t="n">
        <v>126.9</v>
      </c>
    </row>
    <row r="1242">
      <c r="D1242" s="16" t="n">
        <v>43525</v>
      </c>
      <c r="E1242" s="19" t="n">
        <v>3.49</v>
      </c>
      <c r="G1242" s="16" t="n">
        <v>43525</v>
      </c>
      <c r="H1242" s="19" t="n">
        <v>2.18</v>
      </c>
      <c r="J1242" s="16" t="n">
        <v>43525</v>
      </c>
      <c r="K1242" s="19" t="n">
        <v>127.34</v>
      </c>
    </row>
    <row r="1243">
      <c r="D1243" s="16" t="n">
        <v>43528</v>
      </c>
      <c r="E1243" s="19" t="n">
        <v>3.46</v>
      </c>
      <c r="G1243" s="16" t="n">
        <v>43528</v>
      </c>
      <c r="H1243" s="19" t="n">
        <v>2.19</v>
      </c>
      <c r="J1243" s="16" t="n">
        <v>43528</v>
      </c>
      <c r="K1243" s="19" t="n">
        <v>126.64</v>
      </c>
    </row>
    <row r="1244">
      <c r="D1244" s="16" t="n">
        <v>43529</v>
      </c>
      <c r="E1244" s="19" t="n">
        <v>3.46</v>
      </c>
      <c r="G1244" s="16" t="n">
        <v>43529</v>
      </c>
      <c r="H1244" s="19" t="n">
        <v>2.12</v>
      </c>
      <c r="J1244" s="16" t="n">
        <v>43529</v>
      </c>
      <c r="K1244" s="19" t="n">
        <v>126.76</v>
      </c>
    </row>
    <row r="1245">
      <c r="D1245" s="16" t="n">
        <v>43530</v>
      </c>
      <c r="E1245" s="19" t="n">
        <v>3.45</v>
      </c>
      <c r="G1245" s="16" t="n">
        <v>43530</v>
      </c>
      <c r="H1245" s="19" t="n">
        <v>2.09</v>
      </c>
      <c r="J1245" s="16" t="n">
        <v>43530</v>
      </c>
      <c r="K1245" s="19" t="n">
        <v>126.66</v>
      </c>
    </row>
    <row r="1246">
      <c r="D1246" s="16" t="n">
        <v>43531</v>
      </c>
      <c r="E1246" s="19" t="n">
        <v>3.38</v>
      </c>
      <c r="G1246" s="16" t="n">
        <v>43531</v>
      </c>
      <c r="H1246" s="19" t="n">
        <v>2.07</v>
      </c>
      <c r="J1246" s="16" t="n">
        <v>43531</v>
      </c>
      <c r="K1246" s="19" t="n">
        <v>126</v>
      </c>
    </row>
    <row r="1247">
      <c r="D1247" s="16" t="n">
        <v>43532</v>
      </c>
      <c r="E1247" s="19" t="n">
        <v>3.36</v>
      </c>
      <c r="G1247" s="16" t="n">
        <v>43532</v>
      </c>
      <c r="H1247" s="19" t="n">
        <v>2.05</v>
      </c>
      <c r="J1247" s="16" t="n">
        <v>43532</v>
      </c>
      <c r="K1247" s="19" t="n">
        <v>125.75</v>
      </c>
    </row>
    <row r="1248">
      <c r="D1248" s="16" t="n">
        <v>43535</v>
      </c>
      <c r="E1248" s="19" t="n">
        <v>3.35</v>
      </c>
      <c r="G1248" s="16" t="n">
        <v>43535</v>
      </c>
      <c r="H1248" s="19" t="n">
        <v>1.99</v>
      </c>
      <c r="J1248" s="16" t="n">
        <v>43535</v>
      </c>
      <c r="K1248" s="19" t="n">
        <v>126.16</v>
      </c>
    </row>
    <row r="1249">
      <c r="D1249" s="16" t="n">
        <v>43536</v>
      </c>
      <c r="E1249" s="19" t="n">
        <v>3.42</v>
      </c>
      <c r="G1249" s="16" t="n">
        <v>43536</v>
      </c>
      <c r="H1249" s="19" t="n">
        <v>2.03</v>
      </c>
      <c r="J1249" s="16" t="n">
        <v>43536</v>
      </c>
      <c r="K1249" s="19" t="n">
        <v>125.76</v>
      </c>
    </row>
    <row r="1250">
      <c r="D1250" s="16" t="n">
        <v>43537</v>
      </c>
      <c r="E1250" s="19" t="n">
        <v>3.46</v>
      </c>
      <c r="G1250" s="16" t="n">
        <v>43537</v>
      </c>
      <c r="H1250" s="19" t="n">
        <v>2.1</v>
      </c>
      <c r="J1250" s="16" t="n">
        <v>43537</v>
      </c>
      <c r="K1250" s="19" t="n">
        <v>125.73</v>
      </c>
    </row>
    <row r="1251">
      <c r="D1251" s="16" t="n">
        <v>43538</v>
      </c>
      <c r="E1251" s="19" t="n">
        <v>3.45</v>
      </c>
      <c r="G1251" s="16" t="n">
        <v>43538</v>
      </c>
      <c r="H1251" s="19" t="n">
        <v>2.13</v>
      </c>
      <c r="J1251" s="16" t="n">
        <v>43538</v>
      </c>
      <c r="K1251" s="19" t="n">
        <v>126.39</v>
      </c>
    </row>
    <row r="1252">
      <c r="D1252" s="16" t="n">
        <v>43539</v>
      </c>
      <c r="E1252" s="19" t="n">
        <v>3.37</v>
      </c>
      <c r="G1252" s="16" t="n">
        <v>43539</v>
      </c>
      <c r="H1252" s="19" t="n">
        <v>2.17</v>
      </c>
      <c r="J1252" s="16" t="n">
        <v>43539</v>
      </c>
      <c r="K1252" s="19" t="n">
        <v>126.34</v>
      </c>
    </row>
    <row r="1253">
      <c r="D1253" s="16" t="n">
        <v>43542</v>
      </c>
      <c r="E1253" s="19" t="n">
        <v>3.37</v>
      </c>
      <c r="G1253" s="16" t="n">
        <v>43542</v>
      </c>
      <c r="H1253" s="19" t="n">
        <v>2.17</v>
      </c>
      <c r="J1253" s="16" t="n">
        <v>43542</v>
      </c>
      <c r="K1253" s="19" t="n">
        <v>125.39</v>
      </c>
    </row>
    <row r="1254">
      <c r="D1254" s="16" t="n">
        <v>43543</v>
      </c>
      <c r="E1254" s="19" t="n">
        <v>3.33</v>
      </c>
      <c r="G1254" s="16" t="n">
        <v>43543</v>
      </c>
      <c r="H1254" s="19" t="n">
        <v>2.14</v>
      </c>
      <c r="J1254" s="16" t="n">
        <v>43543</v>
      </c>
      <c r="K1254" s="19" t="n">
        <v>124.6</v>
      </c>
    </row>
    <row r="1255">
      <c r="D1255" s="16" t="n">
        <v>43544</v>
      </c>
      <c r="E1255" s="19" t="n">
        <v>3.26</v>
      </c>
      <c r="G1255" s="16" t="n">
        <v>43544</v>
      </c>
      <c r="H1255" s="19" t="n">
        <v>2.15</v>
      </c>
      <c r="J1255" s="16" t="n">
        <v>43544</v>
      </c>
      <c r="K1255" s="19" t="n">
        <v>125.83</v>
      </c>
    </row>
    <row r="1256">
      <c r="D1256" s="16" t="n">
        <v>43545</v>
      </c>
      <c r="E1256" s="19" t="n">
        <v>3.22</v>
      </c>
      <c r="G1256" s="16" t="n">
        <v>43545</v>
      </c>
      <c r="H1256" s="19" t="n">
        <v>2.11</v>
      </c>
      <c r="J1256" s="16" t="n">
        <v>43545</v>
      </c>
      <c r="K1256" s="19" t="n">
        <v>125.61</v>
      </c>
    </row>
    <row r="1257">
      <c r="D1257" s="16" t="n">
        <v>43546</v>
      </c>
      <c r="E1257" s="19" t="n">
        <v>3.34</v>
      </c>
      <c r="G1257" s="16" t="n">
        <v>43546</v>
      </c>
      <c r="H1257" s="19" t="n">
        <v>2.1</v>
      </c>
      <c r="J1257" s="16" t="n">
        <v>43546</v>
      </c>
      <c r="K1257" s="19" t="n">
        <v>125.65</v>
      </c>
    </row>
    <row r="1258">
      <c r="D1258" s="16" t="n">
        <v>43549</v>
      </c>
      <c r="E1258" s="19" t="n">
        <v>3.3</v>
      </c>
      <c r="G1258" s="16" t="n">
        <v>43549</v>
      </c>
      <c r="H1258" s="19" t="n">
        <v>2.15</v>
      </c>
      <c r="J1258" s="16" t="n">
        <v>43549</v>
      </c>
      <c r="K1258" s="19" t="n">
        <v>125.11</v>
      </c>
    </row>
    <row r="1259">
      <c r="D1259" s="16" t="n">
        <v>43550</v>
      </c>
      <c r="E1259" s="19" t="n">
        <v>3.26</v>
      </c>
      <c r="G1259" s="16" t="n">
        <v>43550</v>
      </c>
      <c r="H1259" s="19" t="n">
        <v>2.13</v>
      </c>
      <c r="J1259" s="16" t="n">
        <v>43550</v>
      </c>
      <c r="K1259" s="19" t="n">
        <v>124.44</v>
      </c>
    </row>
    <row r="1260">
      <c r="D1260" s="16" t="n">
        <v>43551</v>
      </c>
      <c r="E1260" s="19" t="n">
        <v>3.21</v>
      </c>
      <c r="G1260" s="16" t="n">
        <v>43551</v>
      </c>
      <c r="H1260" s="19" t="n">
        <v>2.11</v>
      </c>
      <c r="J1260" s="16" t="n">
        <v>43551</v>
      </c>
      <c r="K1260" s="19" t="n">
        <v>125.19</v>
      </c>
    </row>
    <row r="1261">
      <c r="D1261" s="16" t="n">
        <v>43552</v>
      </c>
      <c r="E1261" s="19" t="n">
        <v>3.31</v>
      </c>
      <c r="G1261" s="16" t="n">
        <v>43552</v>
      </c>
      <c r="H1261" s="19" t="n">
        <v>2.09</v>
      </c>
      <c r="J1261" s="16" t="n">
        <v>43552</v>
      </c>
      <c r="K1261" s="19" t="n">
        <v>125.54</v>
      </c>
    </row>
    <row r="1262">
      <c r="D1262" s="16" t="n">
        <v>43553</v>
      </c>
      <c r="E1262" s="19" t="n">
        <v>3.33</v>
      </c>
      <c r="G1262" s="16" t="n">
        <v>43553</v>
      </c>
      <c r="H1262" s="19" t="n">
        <v>2.06</v>
      </c>
      <c r="J1262" s="16" t="n">
        <v>43553</v>
      </c>
      <c r="K1262" s="19" t="n">
        <v>125.01</v>
      </c>
    </row>
    <row r="1263">
      <c r="D1263" s="16" t="n">
        <v>43556</v>
      </c>
      <c r="E1263" s="19" t="n">
        <v>3.35</v>
      </c>
      <c r="G1263" s="16" t="n">
        <v>43556</v>
      </c>
      <c r="H1263" s="19" t="n">
        <v>2.03</v>
      </c>
      <c r="J1263" s="16" t="n">
        <v>43556</v>
      </c>
      <c r="K1263" s="19" t="n">
        <v>124.45</v>
      </c>
    </row>
    <row r="1264">
      <c r="D1264" s="16" t="n">
        <v>43557</v>
      </c>
      <c r="E1264" s="19" t="n">
        <v>3.36</v>
      </c>
      <c r="G1264" s="16" t="n">
        <v>43557</v>
      </c>
      <c r="H1264" s="19" t="n">
        <v>1.99</v>
      </c>
      <c r="J1264" s="16" t="n">
        <v>43557</v>
      </c>
      <c r="K1264" s="19" t="n">
        <v>124.83</v>
      </c>
    </row>
    <row r="1265">
      <c r="D1265" s="16" t="n">
        <v>43558</v>
      </c>
      <c r="E1265" s="19" t="n">
        <v>3.31</v>
      </c>
      <c r="G1265" s="16" t="n">
        <v>43558</v>
      </c>
      <c r="H1265" s="19" t="n">
        <v>2.05</v>
      </c>
      <c r="J1265" s="16" t="n">
        <v>43558</v>
      </c>
      <c r="K1265" s="19" t="n">
        <v>124.57</v>
      </c>
    </row>
    <row r="1266">
      <c r="D1266" s="16" t="n">
        <v>43559</v>
      </c>
      <c r="E1266" s="19" t="n">
        <v>3.25</v>
      </c>
      <c r="G1266" s="16" t="n">
        <v>43559</v>
      </c>
      <c r="H1266" s="19" t="n">
        <v>2.03</v>
      </c>
      <c r="J1266" s="16" t="n">
        <v>43559</v>
      </c>
      <c r="K1266" s="19" t="n">
        <v>124.86</v>
      </c>
    </row>
    <row r="1267">
      <c r="D1267" s="16" t="n">
        <v>43560</v>
      </c>
      <c r="E1267" s="19" t="n">
        <v>3.23</v>
      </c>
      <c r="G1267" s="16" t="n">
        <v>43560</v>
      </c>
      <c r="H1267" s="19" t="n">
        <v>1.99</v>
      </c>
      <c r="J1267" s="16" t="n">
        <v>43560</v>
      </c>
      <c r="K1267" s="19" t="n">
        <v>124.72</v>
      </c>
    </row>
    <row r="1268">
      <c r="D1268" s="16" t="n">
        <v>43563</v>
      </c>
      <c r="E1268" s="19" t="n">
        <v>3.24</v>
      </c>
      <c r="G1268" s="16" t="n">
        <v>43563</v>
      </c>
      <c r="H1268" s="19" t="n">
        <v>2</v>
      </c>
      <c r="J1268" s="16" t="n">
        <v>43563</v>
      </c>
      <c r="K1268" s="19" t="n">
        <v>125.54</v>
      </c>
    </row>
    <row r="1269">
      <c r="D1269" s="16" t="n">
        <v>43564</v>
      </c>
      <c r="E1269" s="19" t="n">
        <v>3.18</v>
      </c>
      <c r="G1269" s="16" t="n">
        <v>43564</v>
      </c>
      <c r="H1269" s="19" t="n">
        <v>1.99</v>
      </c>
      <c r="J1269" s="16" t="n">
        <v>43564</v>
      </c>
      <c r="K1269" s="19" t="n">
        <v>126.09</v>
      </c>
    </row>
    <row r="1270">
      <c r="D1270" s="16" t="n">
        <v>43565</v>
      </c>
      <c r="E1270" s="19" t="n">
        <v>3.17</v>
      </c>
      <c r="G1270" s="16" t="n">
        <v>43565</v>
      </c>
      <c r="H1270" s="19" t="n">
        <v>2.1</v>
      </c>
      <c r="J1270" s="16" t="n">
        <v>43565</v>
      </c>
      <c r="K1270" s="19" t="n">
        <v>124.7</v>
      </c>
    </row>
    <row r="1271">
      <c r="D1271" s="16" t="n">
        <v>43566</v>
      </c>
      <c r="E1271" s="19" t="n">
        <v>3.17</v>
      </c>
      <c r="G1271" s="16" t="n">
        <v>43566</v>
      </c>
      <c r="H1271" s="19" t="n">
        <v>2.09</v>
      </c>
      <c r="J1271" s="16" t="n">
        <v>43566</v>
      </c>
      <c r="K1271" s="19" t="n">
        <v>125.86</v>
      </c>
    </row>
    <row r="1272">
      <c r="D1272" s="16" t="n">
        <v>43567</v>
      </c>
      <c r="E1272" s="19" t="n">
        <v>3.14</v>
      </c>
      <c r="G1272" s="16" t="n">
        <v>43567</v>
      </c>
      <c r="H1272" s="19" t="n">
        <v>2.12</v>
      </c>
      <c r="J1272" s="16" t="n">
        <v>43567</v>
      </c>
      <c r="K1272" s="19" t="n">
        <v>125.67</v>
      </c>
    </row>
    <row r="1273">
      <c r="D1273" s="16" t="n">
        <v>43570</v>
      </c>
      <c r="E1273" s="19" t="n">
        <v>3.18</v>
      </c>
      <c r="G1273" s="16" t="n">
        <v>43570</v>
      </c>
      <c r="H1273" s="19" t="n">
        <v>2.08</v>
      </c>
      <c r="J1273" s="16" t="n">
        <v>43570</v>
      </c>
      <c r="K1273" s="19" t="n">
        <v>125.05</v>
      </c>
    </row>
    <row r="1274">
      <c r="D1274" s="16" t="n">
        <v>43571</v>
      </c>
      <c r="E1274" s="19" t="n">
        <v>3.14</v>
      </c>
      <c r="G1274" s="16" t="n">
        <v>43571</v>
      </c>
      <c r="H1274" s="19" t="n">
        <v>2.03</v>
      </c>
      <c r="J1274" s="16" t="n">
        <v>43571</v>
      </c>
      <c r="K1274" s="19" t="n">
        <v>124.93</v>
      </c>
    </row>
    <row r="1275">
      <c r="D1275" s="16" t="n">
        <v>43572</v>
      </c>
      <c r="E1275" s="19" t="n">
        <v>3.09</v>
      </c>
      <c r="G1275" s="16" t="n">
        <v>43572</v>
      </c>
      <c r="H1275" s="19" t="n">
        <v>2</v>
      </c>
      <c r="J1275" s="16" t="n">
        <v>43572</v>
      </c>
      <c r="K1275" s="19" t="n">
        <v>125.55</v>
      </c>
    </row>
    <row r="1276">
      <c r="D1276" s="16" t="n">
        <v>43573</v>
      </c>
      <c r="E1276" s="19" t="n">
        <v>3.03</v>
      </c>
      <c r="G1276" s="16" t="n">
        <v>43573</v>
      </c>
      <c r="H1276" s="19" t="n">
        <v>1.99</v>
      </c>
      <c r="J1276" s="16" t="n">
        <v>43573</v>
      </c>
      <c r="K1276" s="19" t="n">
        <v>125.98</v>
      </c>
    </row>
    <row r="1277">
      <c r="D1277" s="16" t="n">
        <v>43574</v>
      </c>
      <c r="E1277" s="19" t="n">
        <v>3.02</v>
      </c>
      <c r="G1277" s="16" t="n">
        <v>43574</v>
      </c>
      <c r="H1277" s="19" t="n">
        <v>1.98</v>
      </c>
      <c r="J1277" s="16" t="n">
        <v>43574</v>
      </c>
      <c r="K1277" s="19" t="n">
        <v>125.66</v>
      </c>
    </row>
    <row r="1278">
      <c r="D1278" s="16" t="n">
        <v>43577</v>
      </c>
      <c r="E1278" s="19" t="n">
        <v>3.03</v>
      </c>
      <c r="G1278" s="16" t="n">
        <v>43577</v>
      </c>
      <c r="H1278" s="19" t="n">
        <v>2.03</v>
      </c>
      <c r="J1278" s="16" t="n">
        <v>43577</v>
      </c>
      <c r="K1278" s="19" t="n">
        <v>125.87</v>
      </c>
    </row>
    <row r="1279">
      <c r="D1279" s="16" t="n">
        <v>43578</v>
      </c>
      <c r="E1279" s="19" t="n">
        <v>3.09</v>
      </c>
      <c r="G1279" s="16" t="n">
        <v>43578</v>
      </c>
      <c r="H1279" s="19" t="n">
        <v>2.09</v>
      </c>
      <c r="J1279" s="16" t="n">
        <v>43578</v>
      </c>
      <c r="K1279" s="19" t="n">
        <v>125.34</v>
      </c>
    </row>
    <row r="1280">
      <c r="D1280" s="16" t="n">
        <v>43579</v>
      </c>
      <c r="E1280" s="19" t="n">
        <v>3.09</v>
      </c>
      <c r="G1280" s="16" t="n">
        <v>43579</v>
      </c>
      <c r="H1280" s="19" t="n">
        <v>2.08</v>
      </c>
      <c r="J1280" s="16" t="n">
        <v>43579</v>
      </c>
      <c r="K1280" s="19" t="n">
        <v>125.02</v>
      </c>
    </row>
    <row r="1281">
      <c r="D1281" s="16" t="n">
        <v>43580</v>
      </c>
      <c r="E1281" s="19" t="n">
        <v>3.15</v>
      </c>
      <c r="G1281" s="16" t="n">
        <v>43580</v>
      </c>
      <c r="H1281" s="19" t="n">
        <v>2.01</v>
      </c>
      <c r="J1281" s="16" t="n">
        <v>43580</v>
      </c>
      <c r="K1281" s="19" t="n">
        <v>125.55</v>
      </c>
    </row>
    <row r="1282">
      <c r="D1282" s="16" t="n">
        <v>43581</v>
      </c>
      <c r="E1282" s="19" t="n">
        <v>3.04</v>
      </c>
      <c r="G1282" s="16" t="n">
        <v>43581</v>
      </c>
      <c r="H1282" s="19" t="n">
        <v>2</v>
      </c>
      <c r="J1282" s="16" t="n">
        <v>43581</v>
      </c>
      <c r="K1282" s="19" t="n">
        <v>125.76</v>
      </c>
    </row>
    <row r="1283">
      <c r="D1283" s="16" t="n">
        <v>43584</v>
      </c>
      <c r="E1283" s="19" t="n">
        <v>3.04</v>
      </c>
      <c r="G1283" s="16" t="n">
        <v>43584</v>
      </c>
      <c r="H1283" s="19" t="n">
        <v>2.02</v>
      </c>
      <c r="J1283" s="16" t="n">
        <v>43584</v>
      </c>
      <c r="K1283" s="19" t="n">
        <v>126.95</v>
      </c>
    </row>
    <row r="1284">
      <c r="D1284" s="16" t="n">
        <v>43585</v>
      </c>
      <c r="E1284" s="19" t="n">
        <v>2.96</v>
      </c>
      <c r="G1284" s="16" t="n">
        <v>43585</v>
      </c>
      <c r="H1284" s="19" t="n">
        <v>1.98</v>
      </c>
      <c r="J1284" s="16" t="n">
        <v>43585</v>
      </c>
      <c r="K1284" s="19" t="n">
        <v>127.44</v>
      </c>
    </row>
    <row r="1285">
      <c r="D1285" s="16" t="n">
        <v>43586</v>
      </c>
      <c r="E1285" s="19" t="n">
        <v>2.95</v>
      </c>
      <c r="G1285" s="16" t="n">
        <v>43586</v>
      </c>
      <c r="H1285" s="19" t="n">
        <v>2.03</v>
      </c>
      <c r="J1285" s="16" t="n">
        <v>43586</v>
      </c>
      <c r="K1285" s="19" t="n">
        <v>127.39</v>
      </c>
    </row>
    <row r="1286">
      <c r="D1286" s="16" t="n">
        <v>43587</v>
      </c>
      <c r="E1286" s="19" t="n">
        <v>2.94</v>
      </c>
      <c r="G1286" s="16" t="n">
        <v>43587</v>
      </c>
      <c r="H1286" s="19" t="n">
        <v>1.99</v>
      </c>
      <c r="J1286" s="16" t="n">
        <v>43587</v>
      </c>
      <c r="K1286" s="19" t="n">
        <v>127.44</v>
      </c>
    </row>
    <row r="1287">
      <c r="D1287" s="16" t="n">
        <v>43588</v>
      </c>
      <c r="E1287" s="19" t="n">
        <v>2.96</v>
      </c>
      <c r="G1287" s="16" t="n">
        <v>43588</v>
      </c>
      <c r="H1287" s="19" t="n">
        <v>1.93</v>
      </c>
      <c r="J1287" s="16" t="n">
        <v>43588</v>
      </c>
      <c r="K1287" s="19" t="n">
        <v>126.81</v>
      </c>
    </row>
    <row r="1288">
      <c r="D1288" s="16" t="n">
        <v>43591</v>
      </c>
      <c r="E1288" s="19" t="n">
        <v>2.98</v>
      </c>
      <c r="G1288" s="16" t="n">
        <v>43591</v>
      </c>
      <c r="H1288" s="19" t="n">
        <v>1.87</v>
      </c>
      <c r="J1288" s="16" t="n">
        <v>43591</v>
      </c>
      <c r="K1288" s="19" t="n">
        <v>126.74</v>
      </c>
    </row>
    <row r="1289">
      <c r="D1289" s="16" t="n">
        <v>43592</v>
      </c>
      <c r="E1289" s="19" t="n">
        <v>2.98</v>
      </c>
      <c r="G1289" s="16" t="n">
        <v>43592</v>
      </c>
      <c r="H1289" s="19" t="n">
        <v>1.86</v>
      </c>
      <c r="J1289" s="16" t="n">
        <v>43592</v>
      </c>
      <c r="K1289" s="19" t="n">
        <v>126.85</v>
      </c>
    </row>
    <row r="1290">
      <c r="D1290" s="16" t="n">
        <v>43593</v>
      </c>
      <c r="E1290" s="19" t="n">
        <v>2.98</v>
      </c>
      <c r="G1290" s="16" t="n">
        <v>43593</v>
      </c>
      <c r="H1290" s="19" t="n">
        <v>1.84</v>
      </c>
      <c r="J1290" s="16" t="n">
        <v>43593</v>
      </c>
      <c r="K1290" s="19" t="n">
        <v>128.19</v>
      </c>
    </row>
    <row r="1291">
      <c r="D1291" s="16" t="n">
        <v>43594</v>
      </c>
      <c r="E1291" s="19" t="n">
        <v>3.09</v>
      </c>
      <c r="G1291" s="16" t="n">
        <v>43594</v>
      </c>
      <c r="H1291" s="19" t="n">
        <v>1.86</v>
      </c>
      <c r="J1291" s="16" t="n">
        <v>43594</v>
      </c>
      <c r="K1291" s="19" t="n">
        <v>128.81</v>
      </c>
    </row>
    <row r="1292">
      <c r="D1292" s="16" t="n">
        <v>43595</v>
      </c>
      <c r="E1292" s="19" t="n">
        <v>3.11</v>
      </c>
      <c r="G1292" s="16" t="n">
        <v>43595</v>
      </c>
      <c r="H1292" s="19" t="n">
        <v>1.82</v>
      </c>
      <c r="J1292" s="16" t="n">
        <v>43595</v>
      </c>
      <c r="K1292" s="19" t="n">
        <v>130.67</v>
      </c>
    </row>
    <row r="1293">
      <c r="D1293" s="16" t="n">
        <v>43598</v>
      </c>
      <c r="E1293" s="19" t="n">
        <v>3.12</v>
      </c>
      <c r="G1293" s="16" t="n">
        <v>43598</v>
      </c>
      <c r="H1293" s="19" t="n">
        <v>1.8</v>
      </c>
      <c r="J1293" s="16" t="n">
        <v>43598</v>
      </c>
      <c r="K1293" s="19" t="n">
        <v>130.49</v>
      </c>
    </row>
    <row r="1294">
      <c r="D1294" s="16" t="n">
        <v>43599</v>
      </c>
      <c r="E1294" s="19" t="n">
        <v>3.17</v>
      </c>
      <c r="G1294" s="16" t="n">
        <v>43599</v>
      </c>
      <c r="H1294" s="19" t="n">
        <v>1.85</v>
      </c>
      <c r="J1294" s="16" t="n">
        <v>43599</v>
      </c>
      <c r="K1294" s="19" t="n">
        <v>131.77</v>
      </c>
    </row>
    <row r="1295">
      <c r="D1295" s="16" t="n">
        <v>43600</v>
      </c>
      <c r="E1295" s="19" t="n">
        <v>3.15</v>
      </c>
      <c r="G1295" s="16" t="n">
        <v>43600</v>
      </c>
      <c r="H1295" s="19" t="n">
        <v>1.86</v>
      </c>
      <c r="J1295" s="16" t="n">
        <v>43600</v>
      </c>
      <c r="K1295" s="19" t="n">
        <v>130.85</v>
      </c>
    </row>
    <row r="1296">
      <c r="D1296" s="16" t="n">
        <v>43601</v>
      </c>
      <c r="E1296" s="19" t="n">
        <v>3.16</v>
      </c>
      <c r="G1296" s="16" t="n">
        <v>43601</v>
      </c>
      <c r="H1296" s="19" t="n">
        <v>1.87</v>
      </c>
      <c r="J1296" s="16" t="n">
        <v>43601</v>
      </c>
      <c r="K1296" s="19" t="n">
        <v>131.47</v>
      </c>
    </row>
    <row r="1297">
      <c r="D1297" s="16" t="n">
        <v>43602</v>
      </c>
      <c r="E1297" s="19" t="n">
        <v>3.13</v>
      </c>
      <c r="G1297" s="16" t="n">
        <v>43602</v>
      </c>
      <c r="H1297" s="19" t="n">
        <v>1.88</v>
      </c>
      <c r="J1297" s="16" t="n">
        <v>43602</v>
      </c>
      <c r="K1297" s="19" t="n">
        <v>131.42</v>
      </c>
    </row>
    <row r="1298">
      <c r="D1298" s="16" t="n">
        <v>43605</v>
      </c>
      <c r="E1298" s="19" t="n">
        <v>3.18</v>
      </c>
      <c r="G1298" s="16" t="n">
        <v>43605</v>
      </c>
      <c r="H1298" s="19" t="n">
        <v>1.79</v>
      </c>
      <c r="J1298" s="16" t="n">
        <v>43605</v>
      </c>
      <c r="K1298" s="19" t="n">
        <v>130.98</v>
      </c>
    </row>
    <row r="1299">
      <c r="D1299" s="16" t="n">
        <v>43606</v>
      </c>
      <c r="E1299" s="19" t="n">
        <v>3.17</v>
      </c>
      <c r="G1299" s="16" t="n">
        <v>43606</v>
      </c>
      <c r="H1299" s="19" t="n">
        <v>1.76</v>
      </c>
      <c r="J1299" s="16" t="n">
        <v>43606</v>
      </c>
      <c r="K1299" s="19" t="n">
        <v>131.55</v>
      </c>
    </row>
    <row r="1300">
      <c r="D1300" s="16" t="n">
        <v>43607</v>
      </c>
      <c r="E1300" s="19" t="n">
        <v>3.26</v>
      </c>
      <c r="G1300" s="16" t="n">
        <v>43607</v>
      </c>
      <c r="H1300" s="19" t="n">
        <v>1.73</v>
      </c>
      <c r="J1300" s="16" t="n">
        <v>43607</v>
      </c>
      <c r="K1300" s="19" t="n">
        <v>132.01</v>
      </c>
    </row>
    <row r="1301">
      <c r="D1301" s="16" t="n">
        <v>43608</v>
      </c>
      <c r="E1301" s="19" t="n">
        <v>3.29</v>
      </c>
      <c r="G1301" s="16" t="n">
        <v>43608</v>
      </c>
      <c r="H1301" s="19" t="n">
        <v>1.71</v>
      </c>
      <c r="J1301" s="16" t="n">
        <v>43608</v>
      </c>
      <c r="K1301" s="19" t="n">
        <v>130.91</v>
      </c>
    </row>
    <row r="1302">
      <c r="D1302" s="16" t="n">
        <v>43609</v>
      </c>
      <c r="E1302" s="19" t="n">
        <v>3.29</v>
      </c>
      <c r="G1302" s="16" t="n">
        <v>43609</v>
      </c>
      <c r="H1302" s="19" t="n">
        <v>1.7</v>
      </c>
      <c r="J1302" s="16" t="n">
        <v>43609</v>
      </c>
      <c r="K1302" s="19" t="n">
        <v>131.09</v>
      </c>
    </row>
    <row r="1303">
      <c r="D1303" s="16" t="n">
        <v>43612</v>
      </c>
      <c r="E1303" s="19" t="n">
        <v>3.33</v>
      </c>
      <c r="G1303" s="16" t="n">
        <v>43612</v>
      </c>
      <c r="H1303" s="19" t="n">
        <v>1.71</v>
      </c>
      <c r="J1303" s="16" t="n">
        <v>43612</v>
      </c>
      <c r="K1303" s="19" t="n">
        <v>131.07</v>
      </c>
    </row>
    <row r="1304">
      <c r="D1304" s="16" t="n">
        <v>43613</v>
      </c>
      <c r="E1304" s="19" t="n">
        <v>3.29</v>
      </c>
      <c r="G1304" s="16" t="n">
        <v>43613</v>
      </c>
      <c r="H1304" s="19" t="n">
        <v>1.76</v>
      </c>
      <c r="J1304" s="16" t="n">
        <v>43613</v>
      </c>
      <c r="K1304" s="19" t="n">
        <v>130.65</v>
      </c>
    </row>
    <row r="1305">
      <c r="D1305" s="16" t="n">
        <v>43614</v>
      </c>
      <c r="E1305" s="19" t="n">
        <v>3.3</v>
      </c>
      <c r="G1305" s="16" t="n">
        <v>43614</v>
      </c>
      <c r="H1305" s="19" t="n">
        <v>1.75</v>
      </c>
      <c r="J1305" s="16" t="n">
        <v>43614</v>
      </c>
      <c r="K1305" s="19" t="n">
        <v>129.66</v>
      </c>
    </row>
    <row r="1306">
      <c r="D1306" s="16" t="n">
        <v>43615</v>
      </c>
      <c r="E1306" s="19" t="n">
        <v>3.24</v>
      </c>
      <c r="G1306" s="16" t="n">
        <v>43615</v>
      </c>
      <c r="H1306" s="19" t="n">
        <v>1.76</v>
      </c>
      <c r="J1306" s="16" t="n">
        <v>43615</v>
      </c>
      <c r="K1306" s="19" t="n">
        <v>129.92</v>
      </c>
    </row>
    <row r="1307">
      <c r="D1307" s="16" t="n">
        <v>43616</v>
      </c>
      <c r="E1307" s="19" t="n">
        <v>3.34</v>
      </c>
      <c r="G1307" s="16" t="n">
        <v>43616</v>
      </c>
      <c r="H1307" s="19" t="n">
        <v>1.75</v>
      </c>
      <c r="J1307" s="16" t="n">
        <v>43616</v>
      </c>
      <c r="K1307" s="19" t="n">
        <v>129.54</v>
      </c>
    </row>
    <row r="1308">
      <c r="D1308" s="16" t="n">
        <v>43619</v>
      </c>
      <c r="E1308" s="19" t="n">
        <v>3.47</v>
      </c>
      <c r="G1308" s="16" t="n">
        <v>43619</v>
      </c>
      <c r="H1308" s="19" t="n">
        <v>1.75</v>
      </c>
      <c r="J1308" s="16" t="n">
        <v>43619</v>
      </c>
      <c r="K1308" s="19" t="n">
        <v>129.62</v>
      </c>
    </row>
    <row r="1309">
      <c r="D1309" s="16" t="n">
        <v>43620</v>
      </c>
      <c r="E1309" s="19" t="n">
        <v>3.4</v>
      </c>
      <c r="G1309" s="16" t="n">
        <v>43620</v>
      </c>
      <c r="H1309" s="19" t="n">
        <v>1.81</v>
      </c>
      <c r="J1309" s="16" t="n">
        <v>43620</v>
      </c>
      <c r="K1309" s="19" t="n">
        <v>130.35</v>
      </c>
    </row>
    <row r="1310">
      <c r="D1310" s="16" t="n">
        <v>43621</v>
      </c>
      <c r="E1310" s="19" t="n">
        <v>3.36</v>
      </c>
      <c r="G1310" s="16" t="n">
        <v>43621</v>
      </c>
      <c r="H1310" s="19" t="n">
        <v>1.82</v>
      </c>
      <c r="J1310" s="16" t="n">
        <v>43621</v>
      </c>
      <c r="K1310" s="19" t="n">
        <v>130.1</v>
      </c>
    </row>
    <row r="1311">
      <c r="D1311" s="16" t="n">
        <v>43622</v>
      </c>
      <c r="E1311" s="19" t="n">
        <v>3.38</v>
      </c>
      <c r="G1311" s="16" t="n">
        <v>43622</v>
      </c>
      <c r="H1311" s="19" t="n">
        <v>1.73</v>
      </c>
      <c r="J1311" s="16" t="n">
        <v>43622</v>
      </c>
      <c r="K1311" s="19" t="n">
        <v>130.76</v>
      </c>
    </row>
    <row r="1312">
      <c r="D1312" s="16" t="n">
        <v>43623</v>
      </c>
      <c r="E1312" s="19" t="n">
        <v>3.38</v>
      </c>
      <c r="G1312" s="16" t="n">
        <v>43623</v>
      </c>
      <c r="H1312" s="19" t="n">
        <v>1.72</v>
      </c>
      <c r="J1312" s="16" t="n">
        <v>43623</v>
      </c>
      <c r="K1312" s="19" t="n">
        <v>130.74</v>
      </c>
    </row>
    <row r="1313">
      <c r="D1313" s="16" t="n">
        <v>43626</v>
      </c>
      <c r="E1313" s="19" t="n">
        <v>3.35</v>
      </c>
      <c r="G1313" s="16" t="n">
        <v>43626</v>
      </c>
      <c r="H1313" s="19" t="n">
        <v>1.67</v>
      </c>
      <c r="J1313" s="16" t="n">
        <v>43626</v>
      </c>
      <c r="K1313" s="19" t="n">
        <v>131.14</v>
      </c>
    </row>
    <row r="1314">
      <c r="D1314" s="16" t="n">
        <v>43627</v>
      </c>
      <c r="E1314" s="19" t="n">
        <v>3.29</v>
      </c>
      <c r="G1314" s="16" t="n">
        <v>43627</v>
      </c>
      <c r="H1314" s="19" t="n">
        <v>1.62</v>
      </c>
      <c r="J1314" s="16" t="n">
        <v>43627</v>
      </c>
      <c r="K1314" s="19" t="n">
        <v>131.26</v>
      </c>
    </row>
    <row r="1315">
      <c r="D1315" s="16" t="n">
        <v>43628</v>
      </c>
      <c r="E1315" s="19" t="n">
        <v>3.32</v>
      </c>
      <c r="G1315" s="16" t="n">
        <v>43628</v>
      </c>
      <c r="H1315" s="19" t="n">
        <v>1.67</v>
      </c>
      <c r="J1315" s="16" t="n">
        <v>43628</v>
      </c>
      <c r="K1315" s="19" t="n">
        <v>132.23</v>
      </c>
    </row>
    <row r="1316">
      <c r="D1316" s="16" t="n">
        <v>43629</v>
      </c>
      <c r="E1316" s="19" t="n">
        <v>3.39</v>
      </c>
      <c r="G1316" s="16" t="n">
        <v>43629</v>
      </c>
      <c r="H1316" s="19" t="n">
        <v>1.68</v>
      </c>
      <c r="J1316" s="16" t="n">
        <v>43629</v>
      </c>
      <c r="K1316" s="19" t="n">
        <v>132.3</v>
      </c>
    </row>
    <row r="1317">
      <c r="D1317" s="16" t="n">
        <v>43630</v>
      </c>
      <c r="E1317" s="19" t="n">
        <v>3.37</v>
      </c>
      <c r="G1317" s="16" t="n">
        <v>43630</v>
      </c>
      <c r="H1317" s="19" t="n">
        <v>1.66</v>
      </c>
      <c r="J1317" s="16" t="n">
        <v>43630</v>
      </c>
      <c r="K1317" s="19" t="n">
        <v>133.26</v>
      </c>
    </row>
    <row r="1318">
      <c r="D1318" s="16" t="n">
        <v>43633</v>
      </c>
      <c r="E1318" s="19" t="n">
        <v>3.33</v>
      </c>
      <c r="G1318" s="16" t="n">
        <v>43633</v>
      </c>
      <c r="H1318" s="19" t="n">
        <v>1.63</v>
      </c>
      <c r="J1318" s="16" t="n">
        <v>43633</v>
      </c>
      <c r="K1318" s="19" t="n">
        <v>133.96</v>
      </c>
    </row>
    <row r="1319">
      <c r="D1319" s="16" t="n">
        <v>43634</v>
      </c>
      <c r="E1319" s="19" t="n">
        <v>3.32</v>
      </c>
      <c r="G1319" s="16" t="n">
        <v>43634</v>
      </c>
      <c r="H1319" s="19" t="n">
        <v>1.66</v>
      </c>
      <c r="J1319" s="16" t="n">
        <v>43634</v>
      </c>
      <c r="K1319" s="19" t="n">
        <v>133.78</v>
      </c>
    </row>
    <row r="1320">
      <c r="D1320" s="16" t="n">
        <v>43635</v>
      </c>
      <c r="E1320" s="19" t="n">
        <v>3.35</v>
      </c>
      <c r="G1320" s="16" t="n">
        <v>43635</v>
      </c>
      <c r="H1320" s="19" t="n">
        <v>1.67</v>
      </c>
      <c r="J1320" s="16" t="n">
        <v>43635</v>
      </c>
      <c r="K1320" s="19" t="n">
        <v>134.05</v>
      </c>
    </row>
    <row r="1321">
      <c r="D1321" s="16" t="n">
        <v>43636</v>
      </c>
      <c r="E1321" s="19" t="n">
        <v>3.37</v>
      </c>
      <c r="G1321" s="16" t="n">
        <v>43636</v>
      </c>
      <c r="H1321" s="19" t="n">
        <v>1.62</v>
      </c>
      <c r="J1321" s="16" t="n">
        <v>43636</v>
      </c>
      <c r="K1321" s="19" t="n">
        <v>134.07</v>
      </c>
    </row>
    <row r="1322">
      <c r="D1322" s="16" t="n">
        <v>43637</v>
      </c>
      <c r="E1322" s="19" t="n">
        <v>3.39</v>
      </c>
      <c r="G1322" s="16" t="n">
        <v>43637</v>
      </c>
      <c r="H1322" s="19" t="n">
        <v>1.54</v>
      </c>
      <c r="J1322" s="16" t="n">
        <v>43637</v>
      </c>
      <c r="K1322" s="19" t="n">
        <v>134.68</v>
      </c>
    </row>
    <row r="1323">
      <c r="D1323" s="16" t="n">
        <v>43640</v>
      </c>
      <c r="E1323" s="19" t="n">
        <v>3.35</v>
      </c>
      <c r="G1323" s="16" t="n">
        <v>43640</v>
      </c>
      <c r="H1323" s="19" t="n">
        <v>1.57</v>
      </c>
      <c r="J1323" s="16" t="n">
        <v>43640</v>
      </c>
      <c r="K1323" s="19" t="n">
        <v>135.22</v>
      </c>
    </row>
    <row r="1324">
      <c r="D1324" s="16" t="n">
        <v>43641</v>
      </c>
      <c r="E1324" s="19" t="n">
        <v>3.37</v>
      </c>
      <c r="G1324" s="16" t="n">
        <v>43641</v>
      </c>
      <c r="H1324" s="19" t="n">
        <v>1.65</v>
      </c>
      <c r="J1324" s="16" t="n">
        <v>43641</v>
      </c>
      <c r="K1324" s="19" t="n">
        <v>134.75</v>
      </c>
    </row>
    <row r="1325">
      <c r="D1325" s="16" t="n">
        <v>43642</v>
      </c>
      <c r="E1325" s="19" t="n">
        <v>3.39</v>
      </c>
      <c r="G1325" s="16" t="n">
        <v>43642</v>
      </c>
      <c r="H1325" s="19" t="n">
        <v>1.67</v>
      </c>
      <c r="J1325" s="16" t="n">
        <v>43642</v>
      </c>
      <c r="K1325" s="19" t="n">
        <v>135.08</v>
      </c>
    </row>
    <row r="1326">
      <c r="D1326" s="16" t="n">
        <v>43643</v>
      </c>
      <c r="E1326" s="19" t="n">
        <v>3.37</v>
      </c>
      <c r="G1326" s="16" t="n">
        <v>43643</v>
      </c>
      <c r="H1326" s="19" t="n">
        <v>1.65</v>
      </c>
      <c r="J1326" s="16" t="n">
        <v>43643</v>
      </c>
      <c r="K1326" s="19" t="n">
        <v>135.62</v>
      </c>
    </row>
    <row r="1327">
      <c r="D1327" s="16" t="n">
        <v>43644</v>
      </c>
      <c r="E1327" s="19" t="n">
        <v>3.39</v>
      </c>
      <c r="G1327" s="16" t="n">
        <v>43644</v>
      </c>
      <c r="H1327" s="19" t="n">
        <v>1.64</v>
      </c>
      <c r="J1327" s="16" t="n">
        <v>43644</v>
      </c>
      <c r="K1327" s="19" t="n">
        <v>136.28</v>
      </c>
    </row>
    <row r="1328">
      <c r="D1328" s="16" t="n">
        <v>43647</v>
      </c>
      <c r="E1328" s="19" t="n">
        <v>3.33</v>
      </c>
      <c r="G1328" s="16" t="n">
        <v>43647</v>
      </c>
      <c r="H1328" s="19" t="n">
        <v>1.61</v>
      </c>
      <c r="J1328" s="16" t="n">
        <v>43647</v>
      </c>
      <c r="K1328" s="19" t="n">
        <v>136.4</v>
      </c>
    </row>
    <row r="1329">
      <c r="D1329" s="16" t="n">
        <v>43648</v>
      </c>
      <c r="E1329" s="19" t="n">
        <v>3.27</v>
      </c>
      <c r="G1329" s="16" t="n">
        <v>43648</v>
      </c>
      <c r="H1329" s="19" t="n">
        <v>1.56</v>
      </c>
      <c r="J1329" s="16" t="n">
        <v>43648</v>
      </c>
      <c r="K1329" s="19" t="n">
        <v>136.57</v>
      </c>
    </row>
    <row r="1330">
      <c r="D1330" s="16" t="n">
        <v>43649</v>
      </c>
      <c r="E1330" s="19" t="n">
        <v>3.31</v>
      </c>
      <c r="G1330" s="16" t="n">
        <v>43649</v>
      </c>
      <c r="H1330" s="19" t="n">
        <v>1.59</v>
      </c>
      <c r="J1330" s="16" t="n">
        <v>43649</v>
      </c>
      <c r="K1330" s="19" t="n">
        <v>136.93</v>
      </c>
    </row>
    <row r="1331">
      <c r="D1331" s="16" t="n">
        <v>43650</v>
      </c>
      <c r="E1331" s="19" t="inlineStr">
        <is>
          <t>.</t>
        </is>
      </c>
      <c r="G1331" s="16" t="n">
        <v>43650</v>
      </c>
      <c r="H1331" s="19" t="inlineStr">
        <is>
          <t>.</t>
        </is>
      </c>
      <c r="J1331" s="16" t="n">
        <v>43650</v>
      </c>
      <c r="K1331" s="19" t="inlineStr">
        <is>
          <t>.</t>
        </is>
      </c>
    </row>
    <row r="1332">
      <c r="D1332" s="16" t="n">
        <v>43651</v>
      </c>
      <c r="E1332" s="19" t="n">
        <v>3.4</v>
      </c>
      <c r="G1332" s="16" t="n">
        <v>43651</v>
      </c>
      <c r="H1332" s="19" t="n">
        <v>1.66</v>
      </c>
      <c r="J1332" s="16" t="n">
        <v>43651</v>
      </c>
      <c r="K1332" s="19" t="n">
        <v>135.91</v>
      </c>
    </row>
    <row r="1333">
      <c r="D1333" s="16" t="n">
        <v>43654</v>
      </c>
      <c r="E1333" s="19" t="n">
        <v>3.4</v>
      </c>
      <c r="G1333" s="16" t="n">
        <v>43654</v>
      </c>
      <c r="H1333" s="19" t="n">
        <v>1.64</v>
      </c>
      <c r="J1333" s="16" t="n">
        <v>43654</v>
      </c>
      <c r="K1333" s="19" t="n">
        <v>136.05</v>
      </c>
    </row>
    <row r="1334">
      <c r="D1334" s="16" t="n">
        <v>43655</v>
      </c>
      <c r="E1334" s="19" t="n">
        <v>3.42</v>
      </c>
      <c r="G1334" s="16" t="n">
        <v>43655</v>
      </c>
      <c r="H1334" s="19" t="n">
        <v>1.68</v>
      </c>
      <c r="J1334" s="16" t="n">
        <v>43655</v>
      </c>
      <c r="K1334" s="19" t="n">
        <v>137.02</v>
      </c>
    </row>
    <row r="1335">
      <c r="D1335" s="16" t="n">
        <v>43656</v>
      </c>
      <c r="E1335" s="19" t="n">
        <v>3.49</v>
      </c>
      <c r="G1335" s="16" t="n">
        <v>43656</v>
      </c>
      <c r="H1335" s="19" t="n">
        <v>1.66</v>
      </c>
      <c r="J1335" s="16" t="n">
        <v>43656</v>
      </c>
      <c r="K1335" s="19" t="n">
        <v>136.04</v>
      </c>
    </row>
    <row r="1336">
      <c r="D1336" s="16" t="n">
        <v>43657</v>
      </c>
      <c r="E1336" s="19" t="n">
        <v>3.46</v>
      </c>
      <c r="G1336" s="16" t="n">
        <v>43657</v>
      </c>
      <c r="H1336" s="19" t="n">
        <v>1.66</v>
      </c>
      <c r="J1336" s="16" t="n">
        <v>43657</v>
      </c>
      <c r="K1336" s="19" t="n">
        <v>134.78</v>
      </c>
    </row>
    <row r="1337">
      <c r="D1337" s="16" t="n">
        <v>43658</v>
      </c>
      <c r="E1337" s="19" t="n">
        <v>3.46</v>
      </c>
      <c r="G1337" s="16" t="n">
        <v>43658</v>
      </c>
      <c r="H1337" s="19" t="n">
        <v>1.7</v>
      </c>
      <c r="J1337" s="16" t="n">
        <v>43658</v>
      </c>
      <c r="K1337" s="19" t="n">
        <v>134.57</v>
      </c>
    </row>
    <row r="1338">
      <c r="D1338" s="16" t="n">
        <v>43661</v>
      </c>
      <c r="E1338" s="19" t="n">
        <v>3.46</v>
      </c>
      <c r="G1338" s="16" t="n">
        <v>43661</v>
      </c>
      <c r="H1338" s="19" t="n">
        <v>1.73</v>
      </c>
      <c r="J1338" s="16" t="n">
        <v>43661</v>
      </c>
      <c r="K1338" s="19" t="n">
        <v>135.16</v>
      </c>
    </row>
    <row r="1339">
      <c r="D1339" s="16" t="n">
        <v>43662</v>
      </c>
      <c r="E1339" s="19" t="n">
        <v>3.44</v>
      </c>
      <c r="G1339" s="16" t="n">
        <v>43662</v>
      </c>
      <c r="H1339" s="19" t="n">
        <v>1.74</v>
      </c>
      <c r="J1339" s="16" t="n">
        <v>43662</v>
      </c>
      <c r="K1339" s="19" t="n">
        <v>134.67</v>
      </c>
    </row>
    <row r="1340">
      <c r="D1340" s="16" t="n">
        <v>43663</v>
      </c>
      <c r="E1340" s="19" t="n">
        <v>3.4</v>
      </c>
      <c r="G1340" s="16" t="n">
        <v>43663</v>
      </c>
      <c r="H1340" s="19" t="n">
        <v>1.68</v>
      </c>
      <c r="J1340" s="16" t="n">
        <v>43663</v>
      </c>
      <c r="K1340" s="19" t="n">
        <v>134.22</v>
      </c>
    </row>
    <row r="1341">
      <c r="D1341" s="16" t="n">
        <v>43664</v>
      </c>
      <c r="E1341" s="19" t="n">
        <v>3.41</v>
      </c>
      <c r="G1341" s="16" t="n">
        <v>43664</v>
      </c>
      <c r="H1341" s="19" t="n">
        <v>1.77</v>
      </c>
      <c r="J1341" s="16" t="n">
        <v>43664</v>
      </c>
      <c r="K1341" s="19" t="n">
        <v>134.95</v>
      </c>
    </row>
    <row r="1342">
      <c r="D1342" s="16" t="n">
        <v>43665</v>
      </c>
      <c r="E1342" s="19" t="n">
        <v>3.39</v>
      </c>
      <c r="G1342" s="16" t="n">
        <v>43665</v>
      </c>
      <c r="H1342" s="19" t="n">
        <v>1.74</v>
      </c>
      <c r="J1342" s="16" t="n">
        <v>43665</v>
      </c>
      <c r="K1342" s="19" t="n">
        <v>135.07</v>
      </c>
    </row>
    <row r="1343">
      <c r="D1343" s="16" t="n">
        <v>43668</v>
      </c>
      <c r="E1343" s="19" t="n">
        <v>3.41</v>
      </c>
      <c r="G1343" s="16" t="n">
        <v>43668</v>
      </c>
      <c r="H1343" s="19" t="n">
        <v>1.71</v>
      </c>
      <c r="J1343" s="16" t="n">
        <v>43668</v>
      </c>
      <c r="K1343" s="19" t="n">
        <v>134.89</v>
      </c>
    </row>
    <row r="1344">
      <c r="D1344" s="16" t="n">
        <v>43669</v>
      </c>
      <c r="E1344" s="19" t="n">
        <v>3.43</v>
      </c>
      <c r="G1344" s="16" t="n">
        <v>43669</v>
      </c>
      <c r="H1344" s="19" t="n">
        <v>1.64</v>
      </c>
      <c r="J1344" s="16" t="n">
        <v>43669</v>
      </c>
      <c r="K1344" s="19" t="n">
        <v>134.49</v>
      </c>
    </row>
    <row r="1345">
      <c r="D1345" s="16" t="n">
        <v>43670</v>
      </c>
      <c r="E1345" s="19" t="n">
        <v>3.47</v>
      </c>
      <c r="G1345" s="16" t="n">
        <v>43670</v>
      </c>
      <c r="H1345" s="19" t="n">
        <v>1.66</v>
      </c>
      <c r="J1345" s="16" t="n">
        <v>43670</v>
      </c>
      <c r="K1345" s="19" t="n">
        <v>134.35</v>
      </c>
    </row>
    <row r="1346">
      <c r="D1346" s="16" t="n">
        <v>43671</v>
      </c>
      <c r="E1346" s="19" t="n">
        <v>3.54</v>
      </c>
      <c r="G1346" s="16" t="n">
        <v>43671</v>
      </c>
      <c r="H1346" s="19" t="n">
        <v>1.58</v>
      </c>
      <c r="J1346" s="16" t="n">
        <v>43671</v>
      </c>
      <c r="K1346" s="19" t="n">
        <v>135.32</v>
      </c>
    </row>
    <row r="1347">
      <c r="D1347" s="16" t="n">
        <v>43672</v>
      </c>
      <c r="E1347" s="19" t="n">
        <v>3.54</v>
      </c>
      <c r="G1347" s="16" t="n">
        <v>43672</v>
      </c>
      <c r="H1347" s="19" t="n">
        <v>1.55</v>
      </c>
      <c r="J1347" s="16" t="n">
        <v>43672</v>
      </c>
      <c r="K1347" s="19" t="n">
        <v>135.98</v>
      </c>
    </row>
    <row r="1348">
      <c r="D1348" s="16" t="n">
        <v>43675</v>
      </c>
      <c r="E1348" s="19" t="n">
        <v>3.6</v>
      </c>
      <c r="G1348" s="16" t="n">
        <v>43675</v>
      </c>
      <c r="H1348" s="19" t="n">
        <v>1.54</v>
      </c>
      <c r="J1348" s="16" t="n">
        <v>43675</v>
      </c>
      <c r="K1348" s="19" t="n">
        <v>136.26</v>
      </c>
    </row>
    <row r="1349">
      <c r="D1349" s="16" t="n">
        <v>43676</v>
      </c>
      <c r="E1349" s="19" t="n">
        <v>3.53</v>
      </c>
      <c r="G1349" s="16" t="n">
        <v>43676</v>
      </c>
      <c r="H1349" s="19" t="n">
        <v>1.48</v>
      </c>
      <c r="J1349" s="16" t="n">
        <v>43676</v>
      </c>
      <c r="K1349" s="19" t="n">
        <v>134.9</v>
      </c>
    </row>
    <row r="1350">
      <c r="D1350" s="16" t="n">
        <v>43677</v>
      </c>
      <c r="E1350" s="19" t="n">
        <v>3.58</v>
      </c>
      <c r="G1350" s="16" t="n">
        <v>43677</v>
      </c>
      <c r="H1350" s="19" t="n">
        <v>1.44</v>
      </c>
      <c r="J1350" s="16" t="n">
        <v>43677</v>
      </c>
      <c r="K1350" s="19" t="n">
        <v>133.57</v>
      </c>
    </row>
    <row r="1351">
      <c r="D1351" s="16" t="n">
        <v>43678</v>
      </c>
      <c r="E1351" s="19" t="n">
        <v>3.55</v>
      </c>
      <c r="G1351" s="16" t="n">
        <v>43678</v>
      </c>
      <c r="H1351" s="19" t="n">
        <v>1.43</v>
      </c>
      <c r="J1351" s="16" t="n">
        <v>43678</v>
      </c>
      <c r="K1351" s="19" t="n">
        <v>133.14</v>
      </c>
    </row>
    <row r="1352">
      <c r="D1352" s="16" t="n">
        <v>43679</v>
      </c>
      <c r="E1352" s="19" t="n">
        <v>3.59</v>
      </c>
      <c r="G1352" s="16" t="n">
        <v>43679</v>
      </c>
      <c r="H1352" s="19" t="n">
        <v>1.35</v>
      </c>
      <c r="J1352" s="16" t="n">
        <v>43679</v>
      </c>
      <c r="K1352" s="19" t="n">
        <v>134.02</v>
      </c>
    </row>
    <row r="1353">
      <c r="D1353" s="16" t="n">
        <v>43682</v>
      </c>
      <c r="E1353" s="19" t="n">
        <v>3.66</v>
      </c>
      <c r="G1353" s="16" t="n">
        <v>43682</v>
      </c>
      <c r="H1353" s="19" t="n">
        <v>1.38</v>
      </c>
      <c r="J1353" s="16" t="n">
        <v>43682</v>
      </c>
      <c r="K1353" s="19" t="n">
        <v>132.22</v>
      </c>
    </row>
    <row r="1354">
      <c r="D1354" s="16" t="n">
        <v>43683</v>
      </c>
      <c r="E1354" s="19" t="n">
        <v>3.7</v>
      </c>
      <c r="G1354" s="16" t="n">
        <v>43683</v>
      </c>
      <c r="H1354" s="19" t="n">
        <v>1.38</v>
      </c>
      <c r="J1354" s="16" t="n">
        <v>43683</v>
      </c>
      <c r="K1354" s="19" t="n">
        <v>131.84</v>
      </c>
    </row>
    <row r="1355">
      <c r="D1355" s="16" t="n">
        <v>43684</v>
      </c>
      <c r="E1355" s="19" t="n">
        <v>3.73</v>
      </c>
      <c r="G1355" s="16" t="n">
        <v>43684</v>
      </c>
      <c r="H1355" s="19" t="n">
        <v>1.34</v>
      </c>
      <c r="J1355" s="16" t="n">
        <v>43684</v>
      </c>
      <c r="K1355" s="19" t="n">
        <v>131.83</v>
      </c>
    </row>
    <row r="1356">
      <c r="D1356" s="16" t="n">
        <v>43685</v>
      </c>
      <c r="E1356" s="19" t="n">
        <v>3.78</v>
      </c>
      <c r="G1356" s="16" t="n">
        <v>43685</v>
      </c>
      <c r="H1356" s="19" t="n">
        <v>1.34</v>
      </c>
      <c r="J1356" s="16" t="n">
        <v>43685</v>
      </c>
      <c r="K1356" s="19" t="n">
        <v>131.41</v>
      </c>
    </row>
    <row r="1357">
      <c r="D1357" s="16" t="n">
        <v>43686</v>
      </c>
      <c r="E1357" s="19" t="n">
        <v>3.77</v>
      </c>
      <c r="G1357" s="16" t="n">
        <v>43686</v>
      </c>
      <c r="H1357" s="19" t="n">
        <v>1.35</v>
      </c>
      <c r="J1357" s="16" t="n">
        <v>43686</v>
      </c>
      <c r="K1357" s="19" t="n">
        <v>132.42</v>
      </c>
    </row>
    <row r="1358">
      <c r="D1358" s="16" t="n">
        <v>43689</v>
      </c>
      <c r="E1358" s="19" t="n">
        <v>3.78</v>
      </c>
      <c r="G1358" s="16" t="n">
        <v>43689</v>
      </c>
      <c r="H1358" s="19" t="n">
        <v>1.38</v>
      </c>
      <c r="J1358" s="16" t="n">
        <v>43689</v>
      </c>
      <c r="K1358" s="19" t="n">
        <v>130.9</v>
      </c>
    </row>
    <row r="1359">
      <c r="D1359" s="16" t="n">
        <v>43690</v>
      </c>
      <c r="E1359" s="19" t="n">
        <v>3.71</v>
      </c>
      <c r="G1359" s="16" t="n">
        <v>43690</v>
      </c>
      <c r="H1359" s="19" t="n">
        <v>1.43</v>
      </c>
      <c r="J1359" s="16" t="n">
        <v>43690</v>
      </c>
      <c r="K1359" s="19" t="n">
        <v>130.99</v>
      </c>
    </row>
    <row r="1360">
      <c r="D1360" s="16" t="n">
        <v>43691</v>
      </c>
      <c r="E1360" s="19" t="n">
        <v>3.7</v>
      </c>
      <c r="G1360" s="16" t="n">
        <v>43691</v>
      </c>
      <c r="H1360" s="19" t="n">
        <v>1.43</v>
      </c>
      <c r="J1360" s="16" t="n">
        <v>43691</v>
      </c>
      <c r="K1360" s="19" t="n">
        <v>130.28</v>
      </c>
    </row>
    <row r="1361">
      <c r="D1361" s="16" t="n">
        <v>43692</v>
      </c>
      <c r="E1361" s="19" t="n">
        <v>3.8</v>
      </c>
      <c r="G1361" s="16" t="n">
        <v>43692</v>
      </c>
      <c r="H1361" s="19" t="n">
        <v>1.51</v>
      </c>
      <c r="J1361" s="16" t="n">
        <v>43692</v>
      </c>
      <c r="K1361" s="19" t="n">
        <v>131.3</v>
      </c>
    </row>
    <row r="1362">
      <c r="D1362" s="16" t="n">
        <v>43693</v>
      </c>
      <c r="E1362" s="19" t="n">
        <v>3.85</v>
      </c>
      <c r="G1362" s="16" t="n">
        <v>43693</v>
      </c>
      <c r="H1362" s="19" t="n">
        <v>1.55</v>
      </c>
      <c r="J1362" s="16" t="n">
        <v>43693</v>
      </c>
      <c r="K1362" s="19" t="n">
        <v>132.04</v>
      </c>
    </row>
    <row r="1363">
      <c r="D1363" s="16" t="n">
        <v>43696</v>
      </c>
      <c r="E1363" s="19" t="n">
        <v>3.89</v>
      </c>
      <c r="G1363" s="16" t="n">
        <v>43696</v>
      </c>
      <c r="H1363" s="19" t="n">
        <v>1.53</v>
      </c>
      <c r="J1363" s="16" t="n">
        <v>43696</v>
      </c>
      <c r="K1363" s="19" t="n">
        <v>131.97</v>
      </c>
    </row>
    <row r="1364">
      <c r="D1364" s="16" t="n">
        <v>43697</v>
      </c>
      <c r="E1364" s="19" t="n">
        <v>3.94</v>
      </c>
      <c r="G1364" s="16" t="n">
        <v>43697</v>
      </c>
      <c r="H1364" s="19" t="n">
        <v>1.5</v>
      </c>
      <c r="J1364" s="16" t="n">
        <v>43697</v>
      </c>
      <c r="K1364" s="19" t="n">
        <v>132.39</v>
      </c>
    </row>
    <row r="1365">
      <c r="D1365" s="16" t="n">
        <v>43698</v>
      </c>
      <c r="E1365" s="19" t="n">
        <v>3.96</v>
      </c>
      <c r="G1365" s="16" t="n">
        <v>43698</v>
      </c>
      <c r="H1365" s="19" t="n">
        <v>1.54</v>
      </c>
      <c r="J1365" s="16" t="n">
        <v>43698</v>
      </c>
      <c r="K1365" s="19" t="n">
        <v>132.24</v>
      </c>
    </row>
    <row r="1366">
      <c r="D1366" s="16" t="n">
        <v>43699</v>
      </c>
      <c r="E1366" s="19" t="n">
        <v>4.03</v>
      </c>
      <c r="G1366" s="16" t="n">
        <v>43699</v>
      </c>
      <c r="H1366" s="19" t="n">
        <v>1.48</v>
      </c>
      <c r="J1366" s="16" t="n">
        <v>43699</v>
      </c>
      <c r="K1366" s="19" t="n">
        <v>133.1</v>
      </c>
    </row>
    <row r="1367">
      <c r="D1367" s="16" t="n">
        <v>43700</v>
      </c>
      <c r="E1367" s="19" t="n">
        <v>4.05</v>
      </c>
      <c r="G1367" s="16" t="n">
        <v>43700</v>
      </c>
      <c r="H1367" s="19" t="n">
        <v>1.47</v>
      </c>
      <c r="J1367" s="16" t="n">
        <v>43700</v>
      </c>
      <c r="K1367" s="19" t="n">
        <v>133.29</v>
      </c>
    </row>
    <row r="1368">
      <c r="D1368" s="16" t="n">
        <v>43703</v>
      </c>
      <c r="E1368" s="19" t="n">
        <v>4.1</v>
      </c>
      <c r="G1368" s="16" t="n">
        <v>43703</v>
      </c>
      <c r="H1368" s="19" t="n">
        <v>1.49</v>
      </c>
      <c r="J1368" s="16" t="n">
        <v>43703</v>
      </c>
      <c r="K1368" s="19" t="n">
        <v>132.99</v>
      </c>
    </row>
    <row r="1369">
      <c r="D1369" s="16" t="n">
        <v>43704</v>
      </c>
      <c r="E1369" s="19" t="n">
        <v>4.06</v>
      </c>
      <c r="G1369" s="16" t="n">
        <v>43704</v>
      </c>
      <c r="H1369" s="19" t="n">
        <v>1.52</v>
      </c>
      <c r="J1369" s="16" t="n">
        <v>43704</v>
      </c>
      <c r="K1369" s="19" t="n">
        <v>133.17</v>
      </c>
    </row>
    <row r="1370">
      <c r="D1370" s="16" t="n">
        <v>43705</v>
      </c>
      <c r="E1370" s="19" t="n">
        <v>4.06</v>
      </c>
      <c r="G1370" s="16" t="n">
        <v>43705</v>
      </c>
      <c r="H1370" s="19" t="n">
        <v>1.5</v>
      </c>
      <c r="J1370" s="16" t="n">
        <v>43705</v>
      </c>
      <c r="K1370" s="19" t="n">
        <v>133.26</v>
      </c>
    </row>
    <row r="1371">
      <c r="D1371" s="16" t="n">
        <v>43706</v>
      </c>
      <c r="E1371" s="19" t="n">
        <v>4.04</v>
      </c>
      <c r="G1371" s="16" t="n">
        <v>43706</v>
      </c>
      <c r="H1371" s="19" t="n">
        <v>1.42</v>
      </c>
      <c r="J1371" s="16" t="n">
        <v>43706</v>
      </c>
      <c r="K1371" s="19" t="n">
        <v>133.78</v>
      </c>
    </row>
    <row r="1372">
      <c r="D1372" s="16" t="n">
        <v>43707</v>
      </c>
      <c r="E1372" s="19" t="n">
        <v>4.06</v>
      </c>
      <c r="G1372" s="16" t="n">
        <v>43707</v>
      </c>
      <c r="H1372" s="19" t="n">
        <v>1.41</v>
      </c>
      <c r="J1372" s="16" t="n">
        <v>43707</v>
      </c>
      <c r="K1372" s="19" t="n">
        <v>133.59</v>
      </c>
    </row>
    <row r="1373">
      <c r="D1373" s="16" t="n">
        <v>43710</v>
      </c>
      <c r="E1373" s="19" t="n">
        <v>4.03</v>
      </c>
      <c r="G1373" s="16" t="n">
        <v>43710</v>
      </c>
      <c r="H1373" s="19" t="n">
        <v>1.38</v>
      </c>
      <c r="J1373" s="16" t="n">
        <v>43710</v>
      </c>
      <c r="K1373" s="19" t="n">
        <v>133.45</v>
      </c>
    </row>
    <row r="1374">
      <c r="D1374" s="16" t="n">
        <v>43711</v>
      </c>
      <c r="E1374" s="19" t="n">
        <v>4.09</v>
      </c>
      <c r="G1374" s="16" t="n">
        <v>43711</v>
      </c>
      <c r="H1374" s="19" t="n">
        <v>1.36</v>
      </c>
      <c r="J1374" s="16" t="n">
        <v>43711</v>
      </c>
      <c r="K1374" s="19" t="n">
        <v>134.95</v>
      </c>
    </row>
    <row r="1375">
      <c r="D1375" s="16" t="n">
        <v>43712</v>
      </c>
      <c r="E1375" s="19" t="n">
        <v>4.16</v>
      </c>
      <c r="G1375" s="16" t="n">
        <v>43712</v>
      </c>
      <c r="H1375" s="19" t="n">
        <v>1.4</v>
      </c>
      <c r="J1375" s="16" t="n">
        <v>43712</v>
      </c>
      <c r="K1375" s="19" t="n">
        <v>135.28</v>
      </c>
    </row>
    <row r="1376">
      <c r="D1376" s="16" t="n">
        <v>43713</v>
      </c>
      <c r="E1376" s="19" t="n">
        <v>4.22</v>
      </c>
      <c r="G1376" s="16" t="n">
        <v>43713</v>
      </c>
      <c r="H1376" s="19" t="n">
        <v>1.41</v>
      </c>
      <c r="J1376" s="16" t="n">
        <v>43713</v>
      </c>
      <c r="K1376" s="19" t="n">
        <v>135.46</v>
      </c>
    </row>
    <row r="1377">
      <c r="D1377" s="16" t="n">
        <v>43714</v>
      </c>
      <c r="E1377" s="19" t="n">
        <v>4.27</v>
      </c>
      <c r="G1377" s="16" t="n">
        <v>43714</v>
      </c>
      <c r="H1377" s="19" t="n">
        <v>1.46</v>
      </c>
      <c r="J1377" s="16" t="n">
        <v>43714</v>
      </c>
      <c r="K1377" s="19" t="n">
        <v>134.21</v>
      </c>
    </row>
    <row r="1378">
      <c r="D1378" s="16" t="n">
        <v>43717</v>
      </c>
      <c r="E1378" s="19" t="n">
        <v>4.31</v>
      </c>
      <c r="G1378" s="16" t="n">
        <v>43717</v>
      </c>
      <c r="H1378" s="19" t="n">
        <v>1.43</v>
      </c>
      <c r="J1378" s="16" t="n">
        <v>43717</v>
      </c>
      <c r="K1378" s="19" t="n">
        <v>133.98</v>
      </c>
    </row>
    <row r="1379">
      <c r="D1379" s="16" t="n">
        <v>43718</v>
      </c>
      <c r="E1379" s="19" t="n">
        <v>4.28</v>
      </c>
      <c r="G1379" s="16" t="n">
        <v>43718</v>
      </c>
      <c r="H1379" s="19" t="n">
        <v>1.5</v>
      </c>
      <c r="J1379" s="16" t="n">
        <v>43718</v>
      </c>
      <c r="K1379" s="19" t="n">
        <v>133.86</v>
      </c>
    </row>
    <row r="1380">
      <c r="D1380" s="16" t="n">
        <v>43719</v>
      </c>
      <c r="E1380" s="19" t="n">
        <v>4.26</v>
      </c>
      <c r="G1380" s="16" t="n">
        <v>43719</v>
      </c>
      <c r="H1380" s="19" t="n">
        <v>1.52</v>
      </c>
      <c r="J1380" s="16" t="n">
        <v>43719</v>
      </c>
      <c r="K1380" s="19" t="n">
        <v>134.48</v>
      </c>
    </row>
    <row r="1381">
      <c r="D1381" s="16" t="n">
        <v>43720</v>
      </c>
      <c r="E1381" s="19" t="n">
        <v>4.37</v>
      </c>
      <c r="G1381" s="16" t="n">
        <v>43720</v>
      </c>
      <c r="H1381" s="19" t="n">
        <v>1.47</v>
      </c>
      <c r="J1381" s="16" t="n">
        <v>43720</v>
      </c>
      <c r="K1381" s="19" t="n">
        <v>134.56</v>
      </c>
    </row>
    <row r="1382">
      <c r="D1382" s="16" t="n">
        <v>43721</v>
      </c>
      <c r="E1382" s="19" t="n">
        <v>4.31</v>
      </c>
      <c r="G1382" s="16" t="n">
        <v>43721</v>
      </c>
      <c r="H1382" s="19" t="n">
        <v>1.49</v>
      </c>
      <c r="J1382" s="16" t="n">
        <v>43721</v>
      </c>
      <c r="K1382" s="19" t="n">
        <v>135.54</v>
      </c>
    </row>
    <row r="1383">
      <c r="D1383" s="16" t="n">
        <v>43724</v>
      </c>
      <c r="E1383" s="19" t="n">
        <v>4.26</v>
      </c>
      <c r="G1383" s="16" t="n">
        <v>43724</v>
      </c>
      <c r="H1383" s="19" t="n">
        <v>1.56</v>
      </c>
      <c r="J1383" s="16" t="n">
        <v>43724</v>
      </c>
      <c r="K1383" s="19" t="n">
        <v>134.14</v>
      </c>
    </row>
    <row r="1384">
      <c r="D1384" s="16" t="n">
        <v>43725</v>
      </c>
      <c r="E1384" s="19" t="n">
        <v>4.23</v>
      </c>
      <c r="G1384" s="16" t="n">
        <v>43725</v>
      </c>
      <c r="H1384" s="19" t="n">
        <v>1.56</v>
      </c>
      <c r="J1384" s="16" t="n">
        <v>43725</v>
      </c>
      <c r="K1384" s="19" t="n">
        <v>133.13</v>
      </c>
    </row>
    <row r="1385">
      <c r="D1385" s="16" t="n">
        <v>43726</v>
      </c>
      <c r="E1385" s="19" t="n">
        <v>4.23</v>
      </c>
      <c r="G1385" s="16" t="n">
        <v>43726</v>
      </c>
      <c r="H1385" s="19" t="n">
        <v>1.57</v>
      </c>
      <c r="J1385" s="16" t="n">
        <v>43726</v>
      </c>
      <c r="K1385" s="19" t="n">
        <v>133.68</v>
      </c>
    </row>
    <row r="1386">
      <c r="D1386" s="16" t="n">
        <v>43727</v>
      </c>
      <c r="E1386" s="19" t="n">
        <v>4.19</v>
      </c>
      <c r="G1386" s="16" t="n">
        <v>43727</v>
      </c>
      <c r="H1386" s="19" t="n">
        <v>1.52</v>
      </c>
      <c r="J1386" s="16" t="n">
        <v>43727</v>
      </c>
      <c r="K1386" s="19" t="n">
        <v>133.61</v>
      </c>
    </row>
    <row r="1387">
      <c r="D1387" s="16" t="n">
        <v>43728</v>
      </c>
      <c r="E1387" s="19" t="n">
        <v>4.24</v>
      </c>
      <c r="G1387" s="16" t="n">
        <v>43728</v>
      </c>
      <c r="H1387" s="19" t="n">
        <v>1.57</v>
      </c>
      <c r="J1387" s="16" t="n">
        <v>43728</v>
      </c>
      <c r="K1387" s="19" t="n">
        <v>132.67</v>
      </c>
    </row>
    <row r="1388">
      <c r="D1388" s="16" t="n">
        <v>43731</v>
      </c>
      <c r="E1388" s="19" t="n">
        <v>4.27</v>
      </c>
      <c r="G1388" s="16" t="n">
        <v>43731</v>
      </c>
      <c r="H1388" s="19" t="n">
        <v>1.52</v>
      </c>
      <c r="J1388" s="16" t="n">
        <v>43731</v>
      </c>
      <c r="K1388" s="19" t="n">
        <v>132.48</v>
      </c>
    </row>
    <row r="1389">
      <c r="D1389" s="16" t="n">
        <v>43732</v>
      </c>
      <c r="E1389" s="19" t="n">
        <v>4.29</v>
      </c>
      <c r="G1389" s="16" t="n">
        <v>43732</v>
      </c>
      <c r="H1389" s="19" t="n">
        <v>1.52</v>
      </c>
      <c r="J1389" s="16" t="n">
        <v>43732</v>
      </c>
      <c r="K1389" s="19" t="n">
        <v>133.01</v>
      </c>
    </row>
    <row r="1390">
      <c r="D1390" s="16" t="n">
        <v>43733</v>
      </c>
      <c r="E1390" s="19" t="n">
        <v>4.34</v>
      </c>
      <c r="G1390" s="16" t="n">
        <v>43733</v>
      </c>
      <c r="H1390" s="19" t="n">
        <v>1.61</v>
      </c>
      <c r="J1390" s="16" t="n">
        <v>43733</v>
      </c>
      <c r="K1390" s="19" t="n">
        <v>133.81</v>
      </c>
    </row>
    <row r="1391">
      <c r="D1391" s="16" t="n">
        <v>43734</v>
      </c>
      <c r="E1391" s="19" t="n">
        <v>4.34</v>
      </c>
      <c r="G1391" s="16" t="n">
        <v>43734</v>
      </c>
      <c r="H1391" s="19" t="n">
        <v>1.57</v>
      </c>
      <c r="J1391" s="16" t="n">
        <v>43734</v>
      </c>
      <c r="K1391" s="19" t="n">
        <v>134.32</v>
      </c>
    </row>
    <row r="1392">
      <c r="D1392" s="16" t="n">
        <v>43735</v>
      </c>
      <c r="E1392" s="19" t="n">
        <v>4.3</v>
      </c>
      <c r="G1392" s="16" t="n">
        <v>43735</v>
      </c>
      <c r="H1392" s="19" t="n">
        <v>1.55</v>
      </c>
      <c r="J1392" s="16" t="n">
        <v>43735</v>
      </c>
      <c r="K1392" s="19" t="n">
        <v>133.6</v>
      </c>
    </row>
    <row r="1393">
      <c r="D1393" s="16" t="n">
        <v>43738</v>
      </c>
      <c r="E1393" s="19" t="n">
        <v>4.25</v>
      </c>
      <c r="G1393" s="16" t="n">
        <v>43738</v>
      </c>
      <c r="H1393" s="19" t="n">
        <v>1.53</v>
      </c>
      <c r="J1393" s="16" t="n">
        <v>43738</v>
      </c>
      <c r="K1393" s="19" t="n">
        <v>133.26</v>
      </c>
    </row>
    <row r="1394">
      <c r="D1394" s="16" t="n">
        <v>43739</v>
      </c>
      <c r="E1394" s="19" t="n">
        <v>4.19</v>
      </c>
      <c r="G1394" s="16" t="n">
        <v>43739</v>
      </c>
      <c r="H1394" s="19" t="n">
        <v>1.52</v>
      </c>
      <c r="J1394" s="16" t="n">
        <v>43739</v>
      </c>
      <c r="K1394" s="19" t="n">
        <v>133.37</v>
      </c>
    </row>
    <row r="1395">
      <c r="D1395" s="16" t="n">
        <v>43740</v>
      </c>
      <c r="E1395" s="19" t="n">
        <v>4.15</v>
      </c>
      <c r="G1395" s="16" t="n">
        <v>43740</v>
      </c>
      <c r="H1395" s="19" t="n">
        <v>1.53</v>
      </c>
      <c r="J1395" s="16" t="n">
        <v>43740</v>
      </c>
      <c r="K1395" s="19" t="n">
        <v>132.84</v>
      </c>
    </row>
    <row r="1396">
      <c r="D1396" s="16" t="n">
        <v>43741</v>
      </c>
      <c r="E1396" s="19" t="n">
        <v>4.13</v>
      </c>
      <c r="G1396" s="16" t="n">
        <v>43741</v>
      </c>
      <c r="H1396" s="19" t="n">
        <v>1.53</v>
      </c>
      <c r="J1396" s="16" t="n">
        <v>43741</v>
      </c>
      <c r="K1396" s="19" t="n">
        <v>131.92</v>
      </c>
    </row>
    <row r="1397">
      <c r="D1397" s="16" t="n">
        <v>43742</v>
      </c>
      <c r="E1397" s="19" t="n">
        <v>4.07</v>
      </c>
      <c r="G1397" s="16" t="n">
        <v>43742</v>
      </c>
      <c r="H1397" s="19" t="n">
        <v>1.53</v>
      </c>
      <c r="J1397" s="16" t="n">
        <v>43742</v>
      </c>
      <c r="K1397" s="19" t="n">
        <v>132.01</v>
      </c>
    </row>
    <row r="1398">
      <c r="D1398" s="16" t="n">
        <v>43745</v>
      </c>
      <c r="E1398" s="19" t="n">
        <v>4.09</v>
      </c>
      <c r="G1398" s="16" t="n">
        <v>43745</v>
      </c>
      <c r="H1398" s="19" t="n">
        <v>1.58</v>
      </c>
      <c r="J1398" s="16" t="n">
        <v>43745</v>
      </c>
      <c r="K1398" s="19" t="n">
        <v>130.79</v>
      </c>
    </row>
    <row r="1399">
      <c r="D1399" s="16" t="n">
        <v>43746</v>
      </c>
      <c r="E1399" s="19" t="n">
        <v>4.12</v>
      </c>
      <c r="G1399" s="16" t="n">
        <v>43746</v>
      </c>
      <c r="H1399" s="19" t="n">
        <v>1.54</v>
      </c>
      <c r="J1399" s="16" t="n">
        <v>43746</v>
      </c>
      <c r="K1399" s="19" t="n">
        <v>130.55</v>
      </c>
    </row>
    <row r="1400">
      <c r="D1400" s="16" t="n">
        <v>43747</v>
      </c>
      <c r="E1400" s="19" t="n">
        <v>4.08</v>
      </c>
      <c r="G1400" s="16" t="n">
        <v>43747</v>
      </c>
      <c r="H1400" s="19" t="n">
        <v>1.53</v>
      </c>
      <c r="J1400" s="16" t="n">
        <v>43747</v>
      </c>
      <c r="K1400" s="19" t="n">
        <v>130.5</v>
      </c>
    </row>
    <row r="1401">
      <c r="D1401" s="16" t="n">
        <v>43748</v>
      </c>
      <c r="E1401" s="19" t="n">
        <v>4.1</v>
      </c>
      <c r="G1401" s="16" t="n">
        <v>43748</v>
      </c>
      <c r="H1401" s="19" t="n">
        <v>1.51</v>
      </c>
      <c r="J1401" s="16" t="n">
        <v>43748</v>
      </c>
      <c r="K1401" s="19" t="n">
        <v>130.6</v>
      </c>
    </row>
    <row r="1402">
      <c r="D1402" s="16" t="n">
        <v>43749</v>
      </c>
      <c r="E1402" s="19" t="n">
        <v>4.13</v>
      </c>
      <c r="G1402" s="16" t="n">
        <v>43749</v>
      </c>
      <c r="H1402" s="19" t="n">
        <v>1.47</v>
      </c>
      <c r="J1402" s="16" t="n">
        <v>43749</v>
      </c>
      <c r="K1402" s="19" t="n">
        <v>130.91</v>
      </c>
    </row>
    <row r="1403">
      <c r="D1403" s="16" t="n">
        <v>43752</v>
      </c>
      <c r="E1403" s="19" t="n">
        <v>4.16</v>
      </c>
      <c r="G1403" s="16" t="n">
        <v>43752</v>
      </c>
      <c r="H1403" s="19" t="n">
        <v>1.43</v>
      </c>
      <c r="J1403" s="16" t="n">
        <v>43752</v>
      </c>
      <c r="K1403" s="19" t="n">
        <v>130.07</v>
      </c>
    </row>
    <row r="1404">
      <c r="D1404" s="16" t="n">
        <v>43753</v>
      </c>
      <c r="E1404" s="19" t="n">
        <v>4.23</v>
      </c>
      <c r="G1404" s="16" t="n">
        <v>43753</v>
      </c>
      <c r="H1404" s="19" t="n">
        <v>1.38</v>
      </c>
      <c r="J1404" s="16" t="n">
        <v>43753</v>
      </c>
      <c r="K1404" s="19" t="n">
        <v>130.59</v>
      </c>
    </row>
    <row r="1405">
      <c r="D1405" s="16" t="n">
        <v>43754</v>
      </c>
      <c r="E1405" s="19" t="n">
        <v>4.22</v>
      </c>
      <c r="G1405" s="16" t="n">
        <v>43754</v>
      </c>
      <c r="H1405" s="19" t="n">
        <v>1.43</v>
      </c>
      <c r="J1405" s="16" t="n">
        <v>43754</v>
      </c>
      <c r="K1405" s="19" t="n">
        <v>131.41</v>
      </c>
    </row>
    <row r="1406">
      <c r="D1406" s="16" t="n">
        <v>43755</v>
      </c>
      <c r="E1406" s="19" t="n">
        <v>4.15</v>
      </c>
      <c r="G1406" s="16" t="n">
        <v>43755</v>
      </c>
      <c r="H1406" s="19" t="n">
        <v>1.45</v>
      </c>
      <c r="J1406" s="16" t="n">
        <v>43755</v>
      </c>
      <c r="K1406" s="19" t="n">
        <v>131.05</v>
      </c>
    </row>
    <row r="1407">
      <c r="D1407" s="16" t="n">
        <v>43756</v>
      </c>
      <c r="E1407" s="19" t="n">
        <v>4.11</v>
      </c>
      <c r="G1407" s="16" t="n">
        <v>43756</v>
      </c>
      <c r="H1407" s="19" t="n">
        <v>1.42</v>
      </c>
      <c r="J1407" s="16" t="n">
        <v>43756</v>
      </c>
      <c r="K1407" s="19" t="n">
        <v>131.29</v>
      </c>
    </row>
    <row r="1408">
      <c r="D1408" s="16" t="n">
        <v>43759</v>
      </c>
      <c r="E1408" s="19" t="n">
        <v>4.2</v>
      </c>
      <c r="G1408" s="16" t="n">
        <v>43759</v>
      </c>
      <c r="H1408" s="19" t="n">
        <v>1.41</v>
      </c>
      <c r="J1408" s="16" t="n">
        <v>43759</v>
      </c>
      <c r="K1408" s="19" t="n">
        <v>130.71</v>
      </c>
    </row>
    <row r="1409">
      <c r="D1409" s="16" t="n">
        <v>43760</v>
      </c>
      <c r="E1409" s="19" t="n">
        <v>4.31</v>
      </c>
      <c r="G1409" s="16" t="n">
        <v>43760</v>
      </c>
      <c r="H1409" s="19" t="n">
        <v>1.27</v>
      </c>
      <c r="J1409" s="16" t="n">
        <v>43760</v>
      </c>
      <c r="K1409" s="19" t="n">
        <v>130.61</v>
      </c>
    </row>
    <row r="1410">
      <c r="D1410" s="16" t="n">
        <v>43761</v>
      </c>
      <c r="E1410" s="19" t="n">
        <v>4.33</v>
      </c>
      <c r="G1410" s="16" t="n">
        <v>43761</v>
      </c>
      <c r="H1410" s="19" t="n">
        <v>1.21</v>
      </c>
      <c r="J1410" s="16" t="n">
        <v>43761</v>
      </c>
      <c r="K1410" s="19" t="n">
        <v>131.67</v>
      </c>
    </row>
    <row r="1411">
      <c r="D1411" s="16" t="n">
        <v>43762</v>
      </c>
      <c r="E1411" s="19" t="n">
        <v>4.36</v>
      </c>
      <c r="G1411" s="16" t="n">
        <v>43762</v>
      </c>
      <c r="H1411" s="19" t="n">
        <v>1.22</v>
      </c>
      <c r="J1411" s="16" t="n">
        <v>43762</v>
      </c>
      <c r="K1411" s="19" t="n">
        <v>132.26</v>
      </c>
    </row>
    <row r="1412">
      <c r="D1412" s="16" t="n">
        <v>43763</v>
      </c>
      <c r="E1412" s="19" t="n">
        <v>4.41</v>
      </c>
      <c r="G1412" s="16" t="n">
        <v>43763</v>
      </c>
      <c r="H1412" s="19" t="n">
        <v>1.26</v>
      </c>
      <c r="J1412" s="16" t="n">
        <v>43763</v>
      </c>
      <c r="K1412" s="19" t="n">
        <v>133.51</v>
      </c>
    </row>
    <row r="1413">
      <c r="D1413" s="16" t="n">
        <v>43766</v>
      </c>
      <c r="E1413" s="19" t="n">
        <v>4.46</v>
      </c>
      <c r="G1413" s="16" t="n">
        <v>43766</v>
      </c>
      <c r="H1413" s="19" t="n">
        <v>1.21</v>
      </c>
      <c r="J1413" s="16" t="n">
        <v>43766</v>
      </c>
      <c r="K1413" s="19" t="n">
        <v>131.78</v>
      </c>
    </row>
    <row r="1414">
      <c r="D1414" s="16" t="n">
        <v>43767</v>
      </c>
      <c r="E1414" s="19" t="n">
        <v>4.46</v>
      </c>
      <c r="G1414" s="16" t="n">
        <v>43767</v>
      </c>
      <c r="H1414" s="19" t="n">
        <v>1.19</v>
      </c>
      <c r="J1414" s="16" t="n">
        <v>43767</v>
      </c>
      <c r="K1414" s="19" t="n">
        <v>130.9</v>
      </c>
    </row>
    <row r="1415">
      <c r="D1415" s="16" t="n">
        <v>43768</v>
      </c>
      <c r="E1415" s="19" t="n">
        <v>4.49</v>
      </c>
      <c r="G1415" s="16" t="n">
        <v>43768</v>
      </c>
      <c r="H1415" s="19" t="n">
        <v>1.22</v>
      </c>
      <c r="J1415" s="16" t="n">
        <v>43768</v>
      </c>
      <c r="K1415" s="19" t="n">
        <v>131.11</v>
      </c>
    </row>
    <row r="1416">
      <c r="D1416" s="16" t="n">
        <v>43769</v>
      </c>
      <c r="E1416" s="19" t="n">
        <v>4.45</v>
      </c>
      <c r="G1416" s="16" t="n">
        <v>43769</v>
      </c>
      <c r="H1416" s="19" t="n">
        <v>1.23</v>
      </c>
      <c r="J1416" s="16" t="n">
        <v>43769</v>
      </c>
      <c r="K1416" s="19" t="n">
        <v>131.91</v>
      </c>
    </row>
    <row r="1417">
      <c r="D1417" s="16" t="n">
        <v>43770</v>
      </c>
      <c r="E1417" s="19" t="n">
        <v>4.51</v>
      </c>
      <c r="G1417" s="16" t="n">
        <v>43770</v>
      </c>
      <c r="H1417" s="19" t="n">
        <v>1.19</v>
      </c>
      <c r="J1417" s="16" t="n">
        <v>43770</v>
      </c>
      <c r="K1417" s="19" t="n">
        <v>131.56</v>
      </c>
    </row>
    <row r="1418">
      <c r="D1418" s="16" t="n">
        <v>43773</v>
      </c>
      <c r="E1418" s="19" t="n">
        <v>4.49</v>
      </c>
      <c r="G1418" s="16" t="n">
        <v>43773</v>
      </c>
      <c r="H1418" s="19" t="n">
        <v>1.19</v>
      </c>
      <c r="J1418" s="16" t="n">
        <v>43773</v>
      </c>
      <c r="K1418" s="19" t="n">
        <v>130.45</v>
      </c>
    </row>
    <row r="1419">
      <c r="D1419" s="16" t="n">
        <v>43774</v>
      </c>
      <c r="E1419" s="19" t="n">
        <v>4.55</v>
      </c>
      <c r="G1419" s="16" t="n">
        <v>43774</v>
      </c>
      <c r="H1419" s="19" t="n">
        <v>1.21</v>
      </c>
      <c r="J1419" s="16" t="n">
        <v>43774</v>
      </c>
      <c r="K1419" s="19" t="n">
        <v>131.21</v>
      </c>
    </row>
    <row r="1420">
      <c r="D1420" s="16" t="n">
        <v>43775</v>
      </c>
      <c r="E1420" s="19" t="n">
        <v>4.53</v>
      </c>
      <c r="G1420" s="16" t="n">
        <v>43775</v>
      </c>
      <c r="H1420" s="19" t="n">
        <v>1.17</v>
      </c>
      <c r="J1420" s="16" t="n">
        <v>43775</v>
      </c>
      <c r="K1420" s="19" t="n">
        <v>131.76</v>
      </c>
    </row>
    <row r="1421">
      <c r="D1421" s="16" t="n">
        <v>43776</v>
      </c>
      <c r="E1421" s="19" t="n">
        <v>4.54</v>
      </c>
      <c r="G1421" s="16" t="n">
        <v>43776</v>
      </c>
      <c r="H1421" s="19" t="n">
        <v>1.2</v>
      </c>
      <c r="J1421" s="16" t="n">
        <v>43776</v>
      </c>
      <c r="K1421" s="19" t="n">
        <v>132.07</v>
      </c>
    </row>
    <row r="1422">
      <c r="D1422" s="16" t="n">
        <v>43777</v>
      </c>
      <c r="E1422" s="19" t="n">
        <v>4.48</v>
      </c>
      <c r="G1422" s="16" t="n">
        <v>43777</v>
      </c>
      <c r="H1422" s="19" t="n">
        <v>1.25</v>
      </c>
      <c r="J1422" s="16" t="n">
        <v>43777</v>
      </c>
      <c r="K1422" s="19" t="n">
        <v>132.52</v>
      </c>
    </row>
    <row r="1423">
      <c r="D1423" s="16" t="n">
        <v>43780</v>
      </c>
      <c r="E1423" s="19" t="n">
        <v>4.52</v>
      </c>
      <c r="G1423" s="16" t="n">
        <v>43780</v>
      </c>
      <c r="H1423" s="19" t="n">
        <v>1.28</v>
      </c>
      <c r="J1423" s="16" t="n">
        <v>43780</v>
      </c>
      <c r="K1423" s="19" t="n">
        <v>132.58</v>
      </c>
    </row>
    <row r="1424">
      <c r="D1424" s="16" t="n">
        <v>43781</v>
      </c>
      <c r="E1424" s="19" t="n">
        <v>4.6</v>
      </c>
      <c r="G1424" s="16" t="n">
        <v>43781</v>
      </c>
      <c r="H1424" s="19" t="n">
        <v>1.32</v>
      </c>
      <c r="J1424" s="16" t="n">
        <v>43781</v>
      </c>
      <c r="K1424" s="19" t="n">
        <v>132.91</v>
      </c>
    </row>
    <row r="1425">
      <c r="D1425" s="16" t="n">
        <v>43782</v>
      </c>
      <c r="E1425" s="19" t="n">
        <v>4.6</v>
      </c>
      <c r="G1425" s="16" t="n">
        <v>43782</v>
      </c>
      <c r="H1425" s="19" t="n">
        <v>1.32</v>
      </c>
      <c r="J1425" s="16" t="n">
        <v>43782</v>
      </c>
      <c r="K1425" s="19" t="n">
        <v>133.56</v>
      </c>
    </row>
    <row r="1426">
      <c r="D1426" s="16" t="n">
        <v>43783</v>
      </c>
      <c r="E1426" s="19" t="n">
        <v>4.57</v>
      </c>
      <c r="G1426" s="16" t="n">
        <v>43783</v>
      </c>
      <c r="H1426" s="19" t="n">
        <v>1.39</v>
      </c>
      <c r="J1426" s="16" t="n">
        <v>43783</v>
      </c>
      <c r="K1426" s="19" t="n">
        <v>133.48</v>
      </c>
    </row>
    <row r="1427">
      <c r="D1427" s="16" t="n">
        <v>43784</v>
      </c>
      <c r="E1427" s="19" t="n">
        <v>4.54</v>
      </c>
      <c r="G1427" s="16" t="n">
        <v>43784</v>
      </c>
      <c r="H1427" s="19" t="n">
        <v>1.37</v>
      </c>
      <c r="J1427" s="16" t="n">
        <v>43784</v>
      </c>
      <c r="K1427" s="19" t="n">
        <v>134.6</v>
      </c>
    </row>
    <row r="1428">
      <c r="D1428" s="16" t="n">
        <v>43787</v>
      </c>
      <c r="E1428" s="19" t="n">
        <v>4.52</v>
      </c>
      <c r="G1428" s="16" t="n">
        <v>43787</v>
      </c>
      <c r="H1428" s="19" t="n">
        <v>1.41</v>
      </c>
      <c r="J1428" s="16" t="n">
        <v>43787</v>
      </c>
      <c r="K1428" s="19" t="n">
        <v>134.7</v>
      </c>
    </row>
    <row r="1429">
      <c r="D1429" s="16" t="n">
        <v>43788</v>
      </c>
      <c r="E1429" s="19" t="n">
        <v>4.53</v>
      </c>
      <c r="G1429" s="16" t="n">
        <v>43788</v>
      </c>
      <c r="H1429" s="19" t="n">
        <v>1.39</v>
      </c>
      <c r="J1429" s="16" t="n">
        <v>43788</v>
      </c>
      <c r="K1429" s="19" t="n">
        <v>134.89</v>
      </c>
    </row>
    <row r="1430">
      <c r="D1430" s="16" t="n">
        <v>43789</v>
      </c>
      <c r="E1430" s="19" t="n">
        <v>4.61</v>
      </c>
      <c r="G1430" s="16" t="n">
        <v>43789</v>
      </c>
      <c r="H1430" s="19" t="n">
        <v>1.38</v>
      </c>
      <c r="J1430" s="16" t="n">
        <v>43789</v>
      </c>
      <c r="K1430" s="19" t="n">
        <v>134.54</v>
      </c>
    </row>
    <row r="1431">
      <c r="D1431" s="16" t="n">
        <v>43790</v>
      </c>
      <c r="E1431" s="19" t="n">
        <v>4.58</v>
      </c>
      <c r="G1431" s="16" t="n">
        <v>43790</v>
      </c>
      <c r="H1431" s="19" t="n">
        <v>1.49</v>
      </c>
      <c r="J1431" s="16" t="n">
        <v>43790</v>
      </c>
      <c r="K1431" s="19" t="n">
        <v>135.03</v>
      </c>
    </row>
    <row r="1432">
      <c r="D1432" s="16" t="n">
        <v>43791</v>
      </c>
      <c r="E1432" s="19" t="n">
        <v>4.56</v>
      </c>
      <c r="G1432" s="16" t="n">
        <v>43791</v>
      </c>
      <c r="H1432" s="19" t="n">
        <v>1.49</v>
      </c>
      <c r="J1432" s="16" t="n">
        <v>43791</v>
      </c>
      <c r="K1432" s="19" t="n">
        <v>134.3</v>
      </c>
    </row>
    <row r="1433">
      <c r="D1433" s="16" t="n">
        <v>43794</v>
      </c>
      <c r="E1433" s="19" t="n">
        <v>4.53</v>
      </c>
      <c r="G1433" s="16" t="n">
        <v>43794</v>
      </c>
      <c r="H1433" s="19" t="n">
        <v>1.38</v>
      </c>
      <c r="J1433" s="16" t="n">
        <v>43794</v>
      </c>
      <c r="K1433" s="19" t="n">
        <v>135.63</v>
      </c>
    </row>
    <row r="1434">
      <c r="D1434" s="16" t="n">
        <v>43795</v>
      </c>
      <c r="E1434" s="19" t="n">
        <v>4.51</v>
      </c>
      <c r="G1434" s="16" t="n">
        <v>43795</v>
      </c>
      <c r="H1434" s="19" t="n">
        <v>1.33</v>
      </c>
      <c r="J1434" s="16" t="n">
        <v>43795</v>
      </c>
      <c r="K1434" s="19" t="n">
        <v>136.36</v>
      </c>
    </row>
    <row r="1435">
      <c r="D1435" s="16" t="n">
        <v>43796</v>
      </c>
      <c r="E1435" s="19" t="n">
        <v>4.52</v>
      </c>
      <c r="G1435" s="16" t="n">
        <v>43796</v>
      </c>
      <c r="H1435" s="19" t="n">
        <v>1.31</v>
      </c>
      <c r="J1435" s="16" t="n">
        <v>43796</v>
      </c>
      <c r="K1435" s="19" t="n">
        <v>136.37</v>
      </c>
    </row>
    <row r="1436">
      <c r="D1436" s="16" t="n">
        <v>43797</v>
      </c>
      <c r="E1436" s="19" t="inlineStr">
        <is>
          <t>.</t>
        </is>
      </c>
      <c r="G1436" s="16" t="n">
        <v>43797</v>
      </c>
      <c r="H1436" s="19" t="inlineStr">
        <is>
          <t>.</t>
        </is>
      </c>
      <c r="J1436" s="16" t="n">
        <v>43797</v>
      </c>
      <c r="K1436" s="19" t="inlineStr">
        <is>
          <t>.</t>
        </is>
      </c>
    </row>
    <row r="1437">
      <c r="D1437" s="16" t="n">
        <v>43798</v>
      </c>
      <c r="E1437" s="19" t="n">
        <v>4.63</v>
      </c>
      <c r="G1437" s="16" t="n">
        <v>43798</v>
      </c>
      <c r="H1437" s="19" t="n">
        <v>1.28</v>
      </c>
      <c r="J1437" s="16" t="n">
        <v>43798</v>
      </c>
      <c r="K1437" s="19" t="n">
        <v>135.89</v>
      </c>
    </row>
    <row r="1438">
      <c r="D1438" s="16" t="n">
        <v>43801</v>
      </c>
      <c r="E1438" s="19" t="n">
        <v>4.62</v>
      </c>
      <c r="G1438" s="16" t="n">
        <v>43801</v>
      </c>
      <c r="H1438" s="19" t="n">
        <v>1.24</v>
      </c>
      <c r="J1438" s="16" t="n">
        <v>43801</v>
      </c>
      <c r="K1438" s="19" t="n">
        <v>136.08</v>
      </c>
    </row>
    <row r="1439">
      <c r="D1439" s="16" t="n">
        <v>43802</v>
      </c>
      <c r="E1439" s="19" t="n">
        <v>4.69</v>
      </c>
      <c r="G1439" s="16" t="n">
        <v>43802</v>
      </c>
      <c r="H1439" s="19" t="n">
        <v>1.28</v>
      </c>
      <c r="J1439" s="16" t="n">
        <v>43802</v>
      </c>
      <c r="K1439" s="19" t="n">
        <v>135.91</v>
      </c>
    </row>
    <row r="1440">
      <c r="D1440" s="16" t="n">
        <v>43803</v>
      </c>
      <c r="E1440" s="19" t="n">
        <v>4.72</v>
      </c>
      <c r="G1440" s="16" t="n">
        <v>43803</v>
      </c>
      <c r="H1440" s="19" t="n">
        <v>1.31</v>
      </c>
      <c r="J1440" s="16" t="n">
        <v>43803</v>
      </c>
      <c r="K1440" s="19" t="n">
        <v>135.59</v>
      </c>
    </row>
    <row r="1441">
      <c r="D1441" s="16" t="n">
        <v>43804</v>
      </c>
      <c r="E1441" s="19" t="n">
        <v>4.75</v>
      </c>
      <c r="G1441" s="16" t="n">
        <v>43804</v>
      </c>
      <c r="H1441" s="19" t="n">
        <v>1.31</v>
      </c>
      <c r="J1441" s="16" t="n">
        <v>43804</v>
      </c>
      <c r="K1441" s="19" t="n">
        <v>135.18</v>
      </c>
    </row>
    <row r="1442">
      <c r="D1442" s="16" t="n">
        <v>43805</v>
      </c>
      <c r="E1442" s="19" t="n">
        <v>4.77</v>
      </c>
      <c r="G1442" s="16" t="n">
        <v>43805</v>
      </c>
      <c r="H1442" s="19" t="n">
        <v>1.26</v>
      </c>
      <c r="J1442" s="16" t="n">
        <v>43805</v>
      </c>
      <c r="K1442" s="19" t="n">
        <v>134.21</v>
      </c>
    </row>
    <row r="1443">
      <c r="D1443" s="16" t="n">
        <v>43808</v>
      </c>
      <c r="E1443" s="19" t="n">
        <v>4.83</v>
      </c>
      <c r="G1443" s="16" t="n">
        <v>43808</v>
      </c>
      <c r="H1443" s="19" t="n">
        <v>1.29</v>
      </c>
      <c r="J1443" s="16" t="n">
        <v>43808</v>
      </c>
      <c r="K1443" s="19" t="n">
        <v>134.05</v>
      </c>
    </row>
    <row r="1444">
      <c r="D1444" s="16" t="n">
        <v>43809</v>
      </c>
      <c r="E1444" s="19" t="n">
        <v>4.87</v>
      </c>
      <c r="G1444" s="16" t="n">
        <v>43809</v>
      </c>
      <c r="H1444" s="19" t="n">
        <v>1.34</v>
      </c>
      <c r="J1444" s="16" t="n">
        <v>43809</v>
      </c>
      <c r="K1444" s="19" t="n">
        <v>134.75</v>
      </c>
    </row>
    <row r="1445">
      <c r="D1445" s="16" t="n">
        <v>43810</v>
      </c>
      <c r="E1445" s="19" t="n">
        <v>4.82</v>
      </c>
      <c r="G1445" s="16" t="n">
        <v>43810</v>
      </c>
      <c r="H1445" s="19" t="n">
        <v>1.33</v>
      </c>
      <c r="J1445" s="16" t="n">
        <v>43810</v>
      </c>
      <c r="K1445" s="19" t="n">
        <v>135.32</v>
      </c>
    </row>
    <row r="1446">
      <c r="D1446" s="16" t="n">
        <v>43811</v>
      </c>
      <c r="E1446" s="19" t="n">
        <v>4.84</v>
      </c>
      <c r="G1446" s="16" t="n">
        <v>43811</v>
      </c>
      <c r="H1446" s="19" t="n">
        <v>1.34</v>
      </c>
      <c r="J1446" s="16" t="n">
        <v>43811</v>
      </c>
      <c r="K1446" s="19" t="n">
        <v>135.6</v>
      </c>
    </row>
    <row r="1447">
      <c r="D1447" s="16" t="n">
        <v>43812</v>
      </c>
      <c r="E1447" s="19" t="n">
        <v>4.84</v>
      </c>
      <c r="G1447" s="16" t="n">
        <v>43812</v>
      </c>
      <c r="H1447" s="19" t="n">
        <v>1.34</v>
      </c>
      <c r="J1447" s="16" t="n">
        <v>43812</v>
      </c>
      <c r="K1447" s="19" t="n">
        <v>135.09</v>
      </c>
    </row>
    <row r="1448">
      <c r="D1448" s="16" t="n">
        <v>43815</v>
      </c>
      <c r="E1448" s="19" t="n">
        <v>4.79</v>
      </c>
      <c r="G1448" s="16" t="n">
        <v>43815</v>
      </c>
      <c r="H1448" s="19" t="n">
        <v>1.34</v>
      </c>
      <c r="J1448" s="16" t="n">
        <v>43815</v>
      </c>
      <c r="K1448" s="19" t="n">
        <v>135.24</v>
      </c>
    </row>
    <row r="1449">
      <c r="D1449" s="16" t="n">
        <v>43816</v>
      </c>
      <c r="E1449" s="19" t="n">
        <v>4.84</v>
      </c>
      <c r="G1449" s="16" t="n">
        <v>43816</v>
      </c>
      <c r="H1449" s="19" t="n">
        <v>1.33</v>
      </c>
      <c r="J1449" s="16" t="n">
        <v>43816</v>
      </c>
      <c r="K1449" s="19" t="n">
        <v>135.17</v>
      </c>
    </row>
    <row r="1450">
      <c r="D1450" s="16" t="n">
        <v>43817</v>
      </c>
      <c r="E1450" s="19" t="n">
        <v>4.83</v>
      </c>
      <c r="G1450" s="16" t="n">
        <v>43817</v>
      </c>
      <c r="H1450" s="19" t="n">
        <v>1.28</v>
      </c>
      <c r="J1450" s="16" t="n">
        <v>43817</v>
      </c>
      <c r="K1450" s="19" t="n">
        <v>135.43</v>
      </c>
    </row>
    <row r="1451">
      <c r="D1451" s="16" t="n">
        <v>43818</v>
      </c>
      <c r="E1451" s="19" t="n">
        <v>4.85</v>
      </c>
      <c r="G1451" s="16" t="n">
        <v>43818</v>
      </c>
      <c r="H1451" s="19" t="n">
        <v>1.31</v>
      </c>
      <c r="J1451" s="16" t="n">
        <v>43818</v>
      </c>
      <c r="K1451" s="19" t="n">
        <v>136.29</v>
      </c>
    </row>
    <row r="1452">
      <c r="D1452" s="16" t="n">
        <v>43819</v>
      </c>
      <c r="E1452" s="19" t="n">
        <v>4.8</v>
      </c>
      <c r="G1452" s="16" t="n">
        <v>43819</v>
      </c>
      <c r="H1452" s="19" t="n">
        <v>1.32</v>
      </c>
      <c r="J1452" s="16" t="n">
        <v>43819</v>
      </c>
      <c r="K1452" s="19" t="n">
        <v>135.6</v>
      </c>
    </row>
    <row r="1453">
      <c r="D1453" s="16" t="n">
        <v>43822</v>
      </c>
      <c r="E1453" s="19" t="n">
        <v>4.83</v>
      </c>
      <c r="G1453" s="16" t="n">
        <v>43822</v>
      </c>
      <c r="H1453" s="19" t="n">
        <v>1.31</v>
      </c>
      <c r="J1453" s="16" t="n">
        <v>43822</v>
      </c>
      <c r="K1453" s="19" t="n">
        <v>135.41</v>
      </c>
    </row>
    <row r="1454">
      <c r="D1454" s="16" t="n">
        <v>43823</v>
      </c>
      <c r="E1454" s="19" t="n">
        <v>4.83</v>
      </c>
      <c r="G1454" s="16" t="n">
        <v>43823</v>
      </c>
      <c r="H1454" s="19" t="n">
        <v>1.27</v>
      </c>
      <c r="J1454" s="16" t="n">
        <v>43823</v>
      </c>
      <c r="K1454" s="19" t="n">
        <v>135.47</v>
      </c>
    </row>
    <row r="1455">
      <c r="D1455" s="16" t="n">
        <v>43824</v>
      </c>
      <c r="E1455" s="19" t="inlineStr">
        <is>
          <t>.</t>
        </is>
      </c>
      <c r="G1455" s="16" t="n">
        <v>43824</v>
      </c>
      <c r="H1455" s="19" t="inlineStr">
        <is>
          <t>.</t>
        </is>
      </c>
      <c r="J1455" s="16" t="n">
        <v>43824</v>
      </c>
      <c r="K1455" s="19" t="inlineStr">
        <is>
          <t>.</t>
        </is>
      </c>
    </row>
    <row r="1456">
      <c r="D1456" s="16" t="n">
        <v>43825</v>
      </c>
      <c r="E1456" s="19" t="n">
        <v>4.97</v>
      </c>
      <c r="G1456" s="16" t="n">
        <v>43825</v>
      </c>
      <c r="H1456" s="19" t="n">
        <v>1.37</v>
      </c>
      <c r="J1456" s="16" t="n">
        <v>43825</v>
      </c>
      <c r="K1456" s="19" t="n">
        <v>135.6</v>
      </c>
    </row>
    <row r="1457">
      <c r="D1457" s="16" t="n">
        <v>43826</v>
      </c>
      <c r="E1457" s="19" t="n">
        <v>4.97</v>
      </c>
      <c r="G1457" s="16" t="n">
        <v>43826</v>
      </c>
      <c r="H1457" s="19" t="n">
        <v>1.37</v>
      </c>
      <c r="J1457" s="16" t="n">
        <v>43826</v>
      </c>
      <c r="K1457" s="19" t="n">
        <v>135.85</v>
      </c>
    </row>
    <row r="1458">
      <c r="D1458" s="16" t="n">
        <v>43829</v>
      </c>
      <c r="E1458" s="19" t="n">
        <v>5.01</v>
      </c>
      <c r="G1458" s="16" t="n">
        <v>43829</v>
      </c>
      <c r="H1458" s="19" t="n">
        <v>1.43</v>
      </c>
      <c r="J1458" s="16" t="n">
        <v>43829</v>
      </c>
      <c r="K1458" s="19" t="n">
        <v>137.15</v>
      </c>
    </row>
    <row r="1459">
      <c r="D1459" s="16" t="n">
        <v>43830</v>
      </c>
      <c r="E1459" s="19" t="n">
        <v>5.04</v>
      </c>
      <c r="G1459" s="16" t="n">
        <v>43830</v>
      </c>
      <c r="H1459" s="19" t="n">
        <v>1.46</v>
      </c>
      <c r="J1459" s="16" t="n">
        <v>43830</v>
      </c>
      <c r="K1459" s="19" t="n">
        <v>137.73</v>
      </c>
    </row>
    <row r="1460">
      <c r="D1460" s="16" t="n">
        <v>43831</v>
      </c>
      <c r="E1460" s="19" t="inlineStr">
        <is>
          <t>.</t>
        </is>
      </c>
      <c r="G1460" s="16" t="n">
        <v>43831</v>
      </c>
      <c r="H1460" s="19" t="inlineStr">
        <is>
          <t>.</t>
        </is>
      </c>
      <c r="J1460" s="16" t="n">
        <v>43831</v>
      </c>
      <c r="K1460" s="19" t="inlineStr">
        <is>
          <t>.</t>
        </is>
      </c>
    </row>
    <row r="1461">
      <c r="D1461" s="16" t="n">
        <v>43832</v>
      </c>
      <c r="E1461" s="19" t="n">
        <v>5.1</v>
      </c>
      <c r="G1461" s="16" t="n">
        <v>43832</v>
      </c>
      <c r="H1461" s="19" t="n">
        <v>1.49</v>
      </c>
      <c r="J1461" s="16" t="n">
        <v>43832</v>
      </c>
      <c r="K1461" s="19" t="n">
        <v>138.32</v>
      </c>
    </row>
    <row r="1462">
      <c r="D1462" s="16" t="n">
        <v>43833</v>
      </c>
      <c r="E1462" s="19" t="n">
        <v>5.09</v>
      </c>
      <c r="G1462" s="16" t="n">
        <v>43833</v>
      </c>
      <c r="H1462" s="19" t="n">
        <v>1.48</v>
      </c>
      <c r="J1462" s="16" t="n">
        <v>43833</v>
      </c>
      <c r="K1462" s="19" t="n">
        <v>138.28</v>
      </c>
    </row>
    <row r="1463">
      <c r="D1463" s="16" t="n">
        <v>43836</v>
      </c>
      <c r="E1463" s="19" t="n">
        <v>5.06</v>
      </c>
      <c r="G1463" s="16" t="n">
        <v>43836</v>
      </c>
      <c r="H1463" s="19" t="n">
        <v>1.53</v>
      </c>
      <c r="J1463" s="16" t="n">
        <v>43836</v>
      </c>
      <c r="K1463" s="19" t="n">
        <v>137.57</v>
      </c>
    </row>
    <row r="1464">
      <c r="D1464" s="16" t="n">
        <v>43837</v>
      </c>
      <c r="E1464" s="19" t="n">
        <v>5.07</v>
      </c>
      <c r="G1464" s="16" t="n">
        <v>43837</v>
      </c>
      <c r="H1464" s="19" t="n">
        <v>1.57</v>
      </c>
      <c r="J1464" s="16" t="n">
        <v>43837</v>
      </c>
      <c r="K1464" s="19" t="n">
        <v>135.38</v>
      </c>
    </row>
    <row r="1465">
      <c r="D1465" s="16" t="n">
        <v>43838</v>
      </c>
      <c r="E1465" s="19" t="n">
        <v>5.06</v>
      </c>
      <c r="G1465" s="16" t="n">
        <v>43838</v>
      </c>
      <c r="H1465" s="19" t="n">
        <v>1.54</v>
      </c>
      <c r="J1465" s="16" t="n">
        <v>43838</v>
      </c>
      <c r="K1465" s="19" t="n">
        <v>136.09</v>
      </c>
    </row>
    <row r="1466">
      <c r="D1466" s="16" t="n">
        <v>43839</v>
      </c>
      <c r="E1466" s="19" t="n">
        <v>5.12</v>
      </c>
      <c r="G1466" s="16" t="n">
        <v>43839</v>
      </c>
      <c r="H1466" s="19" t="n">
        <v>1.54</v>
      </c>
      <c r="J1466" s="16" t="n">
        <v>43839</v>
      </c>
      <c r="K1466" s="19" t="n">
        <v>134.98</v>
      </c>
    </row>
    <row r="1467">
      <c r="D1467" s="16" t="n">
        <v>43840</v>
      </c>
      <c r="E1467" s="19" t="n">
        <v>5.14</v>
      </c>
      <c r="G1467" s="16" t="n">
        <v>43840</v>
      </c>
      <c r="H1467" s="19" t="n">
        <v>1.57</v>
      </c>
      <c r="J1467" s="16" t="n">
        <v>43840</v>
      </c>
      <c r="K1467" s="19" t="n">
        <v>134.94</v>
      </c>
    </row>
    <row r="1468">
      <c r="D1468" s="16" t="n">
        <v>43843</v>
      </c>
      <c r="E1468" s="19" t="n">
        <v>5.08</v>
      </c>
      <c r="G1468" s="16" t="n">
        <v>43843</v>
      </c>
      <c r="H1468" s="19" t="n">
        <v>1.54</v>
      </c>
      <c r="J1468" s="16" t="n">
        <v>43843</v>
      </c>
      <c r="K1468" s="19" t="n">
        <v>135.07</v>
      </c>
    </row>
    <row r="1469">
      <c r="D1469" s="16" t="n">
        <v>43844</v>
      </c>
      <c r="E1469" s="19" t="n">
        <v>5.11</v>
      </c>
      <c r="G1469" s="16" t="n">
        <v>43844</v>
      </c>
      <c r="H1469" s="19" t="n">
        <v>1.56</v>
      </c>
      <c r="J1469" s="16" t="n">
        <v>43844</v>
      </c>
      <c r="K1469" s="19" t="n">
        <v>134.75</v>
      </c>
    </row>
    <row r="1470">
      <c r="D1470" s="16" t="n">
        <v>43845</v>
      </c>
      <c r="E1470" s="19" t="n">
        <v>5.15</v>
      </c>
      <c r="G1470" s="16" t="n">
        <v>43845</v>
      </c>
      <c r="H1470" s="19" t="n">
        <v>1.6</v>
      </c>
      <c r="J1470" s="16" t="n">
        <v>43845</v>
      </c>
      <c r="K1470" s="19" t="n">
        <v>134.02</v>
      </c>
    </row>
    <row r="1471">
      <c r="D1471" s="16" t="n">
        <v>43846</v>
      </c>
      <c r="E1471" s="19" t="n">
        <v>5.13</v>
      </c>
      <c r="G1471" s="16" t="n">
        <v>43846</v>
      </c>
      <c r="H1471" s="19" t="n">
        <v>1.55</v>
      </c>
      <c r="J1471" s="16" t="n">
        <v>43846</v>
      </c>
      <c r="K1471" s="19" t="n">
        <v>133.55</v>
      </c>
    </row>
    <row r="1472">
      <c r="D1472" s="16" t="n">
        <v>43847</v>
      </c>
      <c r="E1472" s="19" t="n">
        <v>5.08</v>
      </c>
      <c r="G1472" s="16" t="n">
        <v>43847</v>
      </c>
      <c r="H1472" s="19" t="n">
        <v>1.59</v>
      </c>
      <c r="J1472" s="16" t="n">
        <v>43847</v>
      </c>
      <c r="K1472" s="19" t="n">
        <v>134.01</v>
      </c>
    </row>
    <row r="1473">
      <c r="D1473" s="16" t="n">
        <v>43850</v>
      </c>
      <c r="E1473" s="19" t="n">
        <v>5.08</v>
      </c>
      <c r="G1473" s="16" t="n">
        <v>43850</v>
      </c>
      <c r="H1473" s="19" t="n">
        <v>1.63</v>
      </c>
      <c r="J1473" s="16" t="n">
        <v>43850</v>
      </c>
      <c r="K1473" s="19" t="n">
        <v>133.93</v>
      </c>
    </row>
    <row r="1474">
      <c r="D1474" s="16" t="n">
        <v>43851</v>
      </c>
      <c r="E1474" s="19" t="n">
        <v>5.04</v>
      </c>
      <c r="G1474" s="16" t="n">
        <v>43851</v>
      </c>
      <c r="H1474" s="19" t="n">
        <v>1.58</v>
      </c>
      <c r="J1474" s="16" t="n">
        <v>43851</v>
      </c>
      <c r="K1474" s="19" t="n">
        <v>133.71</v>
      </c>
    </row>
    <row r="1475">
      <c r="D1475" s="16" t="n">
        <v>43852</v>
      </c>
      <c r="E1475" s="19" t="n">
        <v>4.96</v>
      </c>
      <c r="G1475" s="16" t="n">
        <v>43852</v>
      </c>
      <c r="H1475" s="19" t="n">
        <v>1.58</v>
      </c>
      <c r="J1475" s="16" t="n">
        <v>43852</v>
      </c>
      <c r="K1475" s="19" t="n">
        <v>133.12</v>
      </c>
    </row>
    <row r="1476">
      <c r="D1476" s="16" t="n">
        <v>43853</v>
      </c>
      <c r="E1476" s="19" t="n">
        <v>5.01</v>
      </c>
      <c r="G1476" s="16" t="n">
        <v>43853</v>
      </c>
      <c r="H1476" s="19" t="n">
        <v>1.59</v>
      </c>
      <c r="J1476" s="16" t="n">
        <v>43853</v>
      </c>
      <c r="K1476" s="19" t="n">
        <v>132.46</v>
      </c>
    </row>
    <row r="1477">
      <c r="D1477" s="16" t="n">
        <v>43854</v>
      </c>
      <c r="E1477" s="19" t="n">
        <v>5.03</v>
      </c>
      <c r="G1477" s="16" t="n">
        <v>43854</v>
      </c>
      <c r="H1477" s="19" t="n">
        <v>1.53</v>
      </c>
      <c r="J1477" s="16" t="n">
        <v>43854</v>
      </c>
      <c r="K1477" s="19" t="n">
        <v>132.65</v>
      </c>
    </row>
    <row r="1478">
      <c r="D1478" s="16" t="n">
        <v>43857</v>
      </c>
      <c r="E1478" s="19" t="n">
        <v>5</v>
      </c>
      <c r="G1478" s="16" t="n">
        <v>43857</v>
      </c>
      <c r="H1478" s="19" t="n">
        <v>1.53</v>
      </c>
      <c r="J1478" s="16" t="n">
        <v>43857</v>
      </c>
      <c r="K1478" s="19" t="n">
        <v>133.59</v>
      </c>
    </row>
    <row r="1479">
      <c r="D1479" s="16" t="n">
        <v>43858</v>
      </c>
      <c r="E1479" s="19" t="n">
        <v>5.02</v>
      </c>
      <c r="G1479" s="16" t="n">
        <v>43858</v>
      </c>
      <c r="H1479" s="19" t="n">
        <v>1.5</v>
      </c>
      <c r="J1479" s="16" t="n">
        <v>43858</v>
      </c>
      <c r="K1479" s="19" t="n">
        <v>134.65</v>
      </c>
    </row>
    <row r="1480">
      <c r="D1480" s="16" t="n">
        <v>43859</v>
      </c>
      <c r="E1480" s="19" t="n">
        <v>5.1</v>
      </c>
      <c r="G1480" s="16" t="n">
        <v>43859</v>
      </c>
      <c r="H1480" s="19" t="n">
        <v>1.55</v>
      </c>
      <c r="J1480" s="16" t="n">
        <v>43859</v>
      </c>
      <c r="K1480" s="19" t="n">
        <v>135.19</v>
      </c>
    </row>
    <row r="1481">
      <c r="D1481" s="16" t="n">
        <v>43860</v>
      </c>
      <c r="E1481" s="19" t="n">
        <v>5.14</v>
      </c>
      <c r="G1481" s="16" t="n">
        <v>43860</v>
      </c>
      <c r="H1481" s="19" t="n">
        <v>1.62</v>
      </c>
      <c r="J1481" s="16" t="n">
        <v>43860</v>
      </c>
      <c r="K1481" s="19" t="n">
        <v>134.83</v>
      </c>
    </row>
    <row r="1482">
      <c r="D1482" s="16" t="n">
        <v>43861</v>
      </c>
      <c r="E1482" s="19" t="n">
        <v>5.16</v>
      </c>
      <c r="G1482" s="16" t="n">
        <v>43861</v>
      </c>
      <c r="H1482" s="19" t="n">
        <v>1.57</v>
      </c>
      <c r="J1482" s="16" t="n">
        <v>43861</v>
      </c>
      <c r="K1482" s="19" t="n">
        <v>135.02</v>
      </c>
    </row>
    <row r="1483">
      <c r="D1483" s="16" t="n">
        <v>43864</v>
      </c>
      <c r="E1483" s="19" t="n">
        <v>5.2</v>
      </c>
      <c r="G1483" s="16" t="n">
        <v>43864</v>
      </c>
      <c r="H1483" s="19" t="n">
        <v>1.6</v>
      </c>
      <c r="J1483" s="16" t="n">
        <v>43864</v>
      </c>
      <c r="K1483" s="19" t="n">
        <v>135.08</v>
      </c>
    </row>
    <row r="1484">
      <c r="D1484" s="16" t="n">
        <v>43865</v>
      </c>
      <c r="E1484" s="19" t="n">
        <v>5.2</v>
      </c>
      <c r="G1484" s="16" t="n">
        <v>43865</v>
      </c>
      <c r="H1484" s="19" t="n">
        <v>1.55</v>
      </c>
      <c r="J1484" s="16" t="n">
        <v>43865</v>
      </c>
      <c r="K1484" s="19" t="n">
        <v>135.3</v>
      </c>
    </row>
    <row r="1485">
      <c r="D1485" s="16" t="n">
        <v>43866</v>
      </c>
      <c r="E1485" s="19" t="n">
        <v>5.2</v>
      </c>
      <c r="G1485" s="16" t="n">
        <v>43866</v>
      </c>
      <c r="H1485" s="19" t="n">
        <v>1.6</v>
      </c>
      <c r="J1485" s="16" t="n">
        <v>43866</v>
      </c>
      <c r="K1485" s="19" t="n">
        <v>134.92</v>
      </c>
    </row>
    <row r="1486">
      <c r="D1486" s="16" t="n">
        <v>43867</v>
      </c>
      <c r="E1486" s="19" t="n">
        <v>5.17</v>
      </c>
      <c r="G1486" s="16" t="n">
        <v>43867</v>
      </c>
      <c r="H1486" s="19" t="n">
        <v>1.59</v>
      </c>
      <c r="J1486" s="16" t="n">
        <v>43867</v>
      </c>
      <c r="K1486" s="19" t="n">
        <v>135</v>
      </c>
    </row>
    <row r="1487">
      <c r="D1487" s="16" t="n">
        <v>43868</v>
      </c>
      <c r="E1487" s="19" t="n">
        <v>5.18</v>
      </c>
      <c r="G1487" s="16" t="n">
        <v>43868</v>
      </c>
      <c r="H1487" s="19" t="n">
        <v>1.56</v>
      </c>
      <c r="J1487" s="16" t="n">
        <v>43868</v>
      </c>
      <c r="K1487" s="19" t="n">
        <v>135.48</v>
      </c>
    </row>
    <row r="1488">
      <c r="D1488" s="16" t="n">
        <v>43871</v>
      </c>
      <c r="E1488" s="19" t="n">
        <v>5.19</v>
      </c>
      <c r="G1488" s="16" t="n">
        <v>43871</v>
      </c>
      <c r="H1488" s="19" t="n">
        <v>1.54</v>
      </c>
      <c r="J1488" s="16" t="n">
        <v>43871</v>
      </c>
      <c r="K1488" s="19" t="n">
        <v>136.28</v>
      </c>
    </row>
    <row r="1489">
      <c r="D1489" s="16" t="n">
        <v>43872</v>
      </c>
      <c r="E1489" s="19" t="n">
        <v>5.16</v>
      </c>
      <c r="G1489" s="16" t="n">
        <v>43872</v>
      </c>
      <c r="H1489" s="19" t="n">
        <v>1.57</v>
      </c>
      <c r="J1489" s="16" t="n">
        <v>43872</v>
      </c>
      <c r="K1489" s="19" t="n">
        <v>134.94</v>
      </c>
    </row>
    <row r="1490">
      <c r="D1490" s="16" t="n">
        <v>43873</v>
      </c>
      <c r="E1490" s="19" t="n">
        <v>5.2</v>
      </c>
      <c r="G1490" s="16" t="n">
        <v>43873</v>
      </c>
      <c r="H1490" s="19" t="n">
        <v>1.59</v>
      </c>
      <c r="J1490" s="16" t="n">
        <v>43873</v>
      </c>
      <c r="K1490" s="19" t="n">
        <v>134.84</v>
      </c>
    </row>
    <row r="1491">
      <c r="D1491" s="16" t="n">
        <v>43874</v>
      </c>
      <c r="E1491" s="19" t="n">
        <v>5.18</v>
      </c>
      <c r="G1491" s="16" t="n">
        <v>43874</v>
      </c>
      <c r="H1491" s="19" t="n">
        <v>1.53</v>
      </c>
      <c r="J1491" s="16" t="n">
        <v>43874</v>
      </c>
      <c r="K1491" s="19" t="n">
        <v>135.7</v>
      </c>
    </row>
    <row r="1492">
      <c r="D1492" s="16" t="n">
        <v>43875</v>
      </c>
      <c r="E1492" s="19" t="n">
        <v>5.14</v>
      </c>
      <c r="G1492" s="16" t="n">
        <v>43875</v>
      </c>
      <c r="H1492" s="19" t="n">
        <v>1.47</v>
      </c>
      <c r="J1492" s="16" t="n">
        <v>43875</v>
      </c>
      <c r="K1492" s="19" t="n">
        <v>136.13</v>
      </c>
    </row>
    <row r="1493">
      <c r="D1493" s="16" t="n">
        <v>43878</v>
      </c>
      <c r="E1493" s="19" t="n">
        <v>5.07</v>
      </c>
      <c r="G1493" s="16" t="n">
        <v>43878</v>
      </c>
      <c r="H1493" s="19" t="n">
        <v>1.54</v>
      </c>
      <c r="J1493" s="16" t="n">
        <v>43878</v>
      </c>
      <c r="K1493" s="19" t="n">
        <v>136.97</v>
      </c>
    </row>
    <row r="1494">
      <c r="D1494" s="16" t="n">
        <v>43879</v>
      </c>
      <c r="E1494" s="19" t="n">
        <v>5.03</v>
      </c>
      <c r="G1494" s="16" t="n">
        <v>43879</v>
      </c>
      <c r="H1494" s="19" t="n">
        <v>1.55</v>
      </c>
      <c r="J1494" s="16" t="n">
        <v>43879</v>
      </c>
      <c r="K1494" s="19" t="n">
        <v>138.03</v>
      </c>
    </row>
    <row r="1495">
      <c r="D1495" s="16" t="n">
        <v>43880</v>
      </c>
      <c r="E1495" s="19" t="n">
        <v>4.97</v>
      </c>
      <c r="G1495" s="16" t="n">
        <v>43880</v>
      </c>
      <c r="H1495" s="19" t="n">
        <v>1.56</v>
      </c>
      <c r="J1495" s="16" t="n">
        <v>43880</v>
      </c>
      <c r="K1495" s="19" t="n">
        <v>138.85</v>
      </c>
    </row>
    <row r="1496">
      <c r="D1496" s="16" t="n">
        <v>43881</v>
      </c>
      <c r="E1496" s="19" t="n">
        <v>4.93</v>
      </c>
      <c r="G1496" s="16" t="n">
        <v>43881</v>
      </c>
      <c r="H1496" s="19" t="n">
        <v>1.48</v>
      </c>
      <c r="J1496" s="16" t="n">
        <v>43881</v>
      </c>
      <c r="K1496" s="19" t="n">
        <v>138.86</v>
      </c>
    </row>
    <row r="1497">
      <c r="D1497" s="16" t="n">
        <v>43882</v>
      </c>
      <c r="E1497" s="19" t="n">
        <v>4.84</v>
      </c>
      <c r="G1497" s="16" t="n">
        <v>43882</v>
      </c>
      <c r="H1497" s="19" t="n">
        <v>1.47</v>
      </c>
      <c r="J1497" s="16" t="n">
        <v>43882</v>
      </c>
      <c r="K1497" s="19" t="n">
        <v>139.54</v>
      </c>
    </row>
    <row r="1498">
      <c r="D1498" s="16" t="n">
        <v>43885</v>
      </c>
      <c r="E1498" s="19" t="n">
        <v>4.84</v>
      </c>
      <c r="G1498" s="16" t="n">
        <v>43885</v>
      </c>
      <c r="H1498" s="19" t="n">
        <v>1.45</v>
      </c>
      <c r="J1498" s="16" t="n">
        <v>43885</v>
      </c>
      <c r="K1498" s="19" t="n">
        <v>139.95</v>
      </c>
    </row>
    <row r="1499">
      <c r="D1499" s="16" t="n">
        <v>43886</v>
      </c>
      <c r="E1499" s="19" t="n">
        <v>4.87</v>
      </c>
      <c r="G1499" s="16" t="n">
        <v>43886</v>
      </c>
      <c r="H1499" s="19" t="n">
        <v>1.47</v>
      </c>
      <c r="J1499" s="16" t="n">
        <v>43886</v>
      </c>
      <c r="K1499" s="19" t="n">
        <v>139.52</v>
      </c>
    </row>
    <row r="1500">
      <c r="D1500" s="16" t="n">
        <v>43887</v>
      </c>
      <c r="E1500" s="19" t="n">
        <v>4.88</v>
      </c>
      <c r="G1500" s="16" t="n">
        <v>43887</v>
      </c>
      <c r="H1500" s="19" t="n">
        <v>1.48</v>
      </c>
      <c r="J1500" s="16" t="n">
        <v>43887</v>
      </c>
      <c r="K1500" s="19" t="n">
        <v>139.99</v>
      </c>
    </row>
    <row r="1501">
      <c r="D1501" s="16" t="n">
        <v>43888</v>
      </c>
      <c r="E1501" s="19" t="n">
        <v>4.93</v>
      </c>
      <c r="G1501" s="16" t="n">
        <v>43888</v>
      </c>
      <c r="H1501" s="19" t="n">
        <v>1.42</v>
      </c>
      <c r="J1501" s="16" t="n">
        <v>43888</v>
      </c>
      <c r="K1501" s="19" t="n">
        <v>139.92</v>
      </c>
    </row>
    <row r="1502">
      <c r="D1502" s="16" t="n">
        <v>43889</v>
      </c>
      <c r="E1502" s="19" t="n">
        <v>4.89</v>
      </c>
      <c r="G1502" s="16" t="n">
        <v>43889</v>
      </c>
      <c r="H1502" s="19" t="n">
        <v>1.4</v>
      </c>
      <c r="J1502" s="16" t="n">
        <v>43889</v>
      </c>
      <c r="K1502" s="19" t="n">
        <v>139.94</v>
      </c>
    </row>
    <row r="1503">
      <c r="D1503" s="16" t="n">
        <v>43892</v>
      </c>
      <c r="E1503" s="19" t="n">
        <v>4.94</v>
      </c>
      <c r="G1503" s="16" t="n">
        <v>43892</v>
      </c>
      <c r="H1503" s="19" t="n">
        <v>1.39</v>
      </c>
      <c r="J1503" s="16" t="n">
        <v>43892</v>
      </c>
      <c r="K1503" s="19" t="n">
        <v>139.23</v>
      </c>
    </row>
    <row r="1504">
      <c r="D1504" s="16" t="n">
        <v>43893</v>
      </c>
      <c r="E1504" s="19" t="n">
        <v>4.93</v>
      </c>
      <c r="G1504" s="16" t="n">
        <v>43893</v>
      </c>
      <c r="H1504" s="19" t="n">
        <v>1.43</v>
      </c>
      <c r="J1504" s="16" t="n">
        <v>43893</v>
      </c>
      <c r="K1504" s="19" t="n">
        <v>139.34</v>
      </c>
    </row>
    <row r="1505">
      <c r="D1505" s="16" t="n">
        <v>43894</v>
      </c>
      <c r="E1505" s="19" t="n">
        <v>4.85</v>
      </c>
      <c r="G1505" s="16" t="n">
        <v>43894</v>
      </c>
      <c r="H1505" s="19" t="n">
        <v>1.37</v>
      </c>
      <c r="J1505" s="16" t="n">
        <v>43894</v>
      </c>
      <c r="K1505" s="19" t="n">
        <v>138.57</v>
      </c>
    </row>
    <row r="1506">
      <c r="D1506" s="16" t="n">
        <v>43895</v>
      </c>
      <c r="E1506" s="19" t="n">
        <v>4.81</v>
      </c>
      <c r="G1506" s="16" t="n">
        <v>43895</v>
      </c>
      <c r="H1506" s="19" t="n">
        <v>1.34</v>
      </c>
      <c r="J1506" s="16" t="n">
        <v>43895</v>
      </c>
      <c r="K1506" s="19" t="n">
        <v>139.59</v>
      </c>
    </row>
    <row r="1507">
      <c r="D1507" s="16" t="n">
        <v>43896</v>
      </c>
      <c r="E1507" s="19" t="n">
        <v>4.86</v>
      </c>
      <c r="G1507" s="16" t="n">
        <v>43896</v>
      </c>
      <c r="H1507" s="19" t="n">
        <v>1.34</v>
      </c>
      <c r="J1507" s="16" t="n">
        <v>43896</v>
      </c>
      <c r="K1507" s="19" t="n">
        <v>140.19</v>
      </c>
    </row>
    <row r="1508">
      <c r="D1508" s="16" t="n">
        <v>43899</v>
      </c>
      <c r="E1508" s="19" t="n">
        <v>4.87</v>
      </c>
      <c r="G1508" s="16" t="n">
        <v>43899</v>
      </c>
      <c r="H1508" s="19" t="n">
        <v>1.39</v>
      </c>
      <c r="J1508" s="16" t="n">
        <v>43899</v>
      </c>
      <c r="K1508" s="19" t="n">
        <v>140.29</v>
      </c>
    </row>
    <row r="1509">
      <c r="D1509" s="16" t="n">
        <v>43900</v>
      </c>
      <c r="E1509" s="19" t="n">
        <v>4.88</v>
      </c>
      <c r="G1509" s="16" t="n">
        <v>43900</v>
      </c>
      <c r="H1509" s="19" t="n">
        <v>1.39</v>
      </c>
      <c r="J1509" s="16" t="n">
        <v>43900</v>
      </c>
      <c r="K1509" s="19" t="n">
        <v>140.54</v>
      </c>
    </row>
    <row r="1510">
      <c r="D1510" s="16" t="n">
        <v>43901</v>
      </c>
      <c r="E1510" s="19" t="n">
        <v>4.83</v>
      </c>
      <c r="G1510" s="16" t="n">
        <v>43901</v>
      </c>
      <c r="H1510" s="19" t="n">
        <v>1.4</v>
      </c>
      <c r="J1510" s="16" t="n">
        <v>43901</v>
      </c>
      <c r="K1510" s="19" t="n">
        <v>140.85</v>
      </c>
    </row>
    <row r="1511">
      <c r="D1511" s="16" t="n">
        <v>43902</v>
      </c>
      <c r="E1511" s="19" t="n">
        <v>4.74</v>
      </c>
      <c r="G1511" s="16" t="n">
        <v>43902</v>
      </c>
      <c r="H1511" s="19" t="n">
        <v>1.47</v>
      </c>
      <c r="J1511" s="16" t="n">
        <v>43902</v>
      </c>
      <c r="K1511" s="19" t="n">
        <v>141.03</v>
      </c>
    </row>
    <row r="1512">
      <c r="D1512" s="16" t="n">
        <v>43903</v>
      </c>
      <c r="E1512" s="19" t="n">
        <v>4.79</v>
      </c>
      <c r="G1512" s="16" t="n">
        <v>43903</v>
      </c>
      <c r="H1512" s="19" t="n">
        <v>1.53</v>
      </c>
      <c r="J1512" s="16" t="n">
        <v>43903</v>
      </c>
      <c r="K1512" s="19" t="n">
        <v>140.1</v>
      </c>
    </row>
    <row r="1513">
      <c r="D1513" s="16" t="n">
        <v>43906</v>
      </c>
      <c r="E1513" s="19" t="n">
        <v>4.75</v>
      </c>
      <c r="G1513" s="16" t="n">
        <v>43906</v>
      </c>
      <c r="H1513" s="19" t="n">
        <v>1.64</v>
      </c>
      <c r="J1513" s="16" t="n">
        <v>43906</v>
      </c>
      <c r="K1513" s="19" t="n">
        <v>139.99</v>
      </c>
    </row>
    <row r="1514">
      <c r="D1514" s="16" t="n">
        <v>43907</v>
      </c>
      <c r="E1514" s="19" t="n">
        <v>4.81</v>
      </c>
      <c r="G1514" s="16" t="n">
        <v>43907</v>
      </c>
      <c r="H1514" s="19" t="n">
        <v>1.69</v>
      </c>
      <c r="J1514" s="16" t="n">
        <v>43907</v>
      </c>
      <c r="K1514" s="19" t="n">
        <v>140.82</v>
      </c>
    </row>
    <row r="1515">
      <c r="D1515" s="16" t="n">
        <v>43908</v>
      </c>
      <c r="E1515" s="19" t="n">
        <v>4.77</v>
      </c>
      <c r="G1515" s="16" t="n">
        <v>43908</v>
      </c>
      <c r="H1515" s="19" t="n">
        <v>1.72</v>
      </c>
      <c r="J1515" s="16" t="n">
        <v>43908</v>
      </c>
      <c r="K1515" s="19" t="n">
        <v>140.06</v>
      </c>
    </row>
    <row r="1516">
      <c r="D1516" s="16" t="n">
        <v>43909</v>
      </c>
      <c r="E1516" s="19" t="n">
        <v>4.81</v>
      </c>
      <c r="G1516" s="16" t="n">
        <v>43909</v>
      </c>
      <c r="H1516" s="19" t="n">
        <v>1.76</v>
      </c>
      <c r="J1516" s="16" t="n">
        <v>43909</v>
      </c>
      <c r="K1516" s="19" t="n">
        <v>139.43</v>
      </c>
    </row>
    <row r="1517">
      <c r="D1517" s="16" t="n">
        <v>43910</v>
      </c>
      <c r="E1517" s="19" t="n">
        <v>4.88</v>
      </c>
      <c r="G1517" s="16" t="n">
        <v>43910</v>
      </c>
      <c r="H1517" s="19" t="n">
        <v>1.77</v>
      </c>
      <c r="J1517" s="16" t="n">
        <v>43910</v>
      </c>
      <c r="K1517" s="19" t="n">
        <v>139.95</v>
      </c>
    </row>
    <row r="1518">
      <c r="D1518" s="16" t="n">
        <v>43913</v>
      </c>
      <c r="E1518" s="19" t="n">
        <v>4.91</v>
      </c>
      <c r="G1518" s="16" t="n">
        <v>43913</v>
      </c>
      <c r="H1518" s="19" t="n">
        <v>1.83</v>
      </c>
      <c r="J1518" s="16" t="n">
        <v>43913</v>
      </c>
      <c r="K1518" s="19" t="n">
        <v>140.91</v>
      </c>
    </row>
    <row r="1519">
      <c r="D1519" s="16" t="n">
        <v>43914</v>
      </c>
      <c r="E1519" s="19" t="n">
        <v>4.87</v>
      </c>
      <c r="G1519" s="16" t="n">
        <v>43914</v>
      </c>
      <c r="H1519" s="19" t="n">
        <v>1.85</v>
      </c>
      <c r="J1519" s="16" t="n">
        <v>43914</v>
      </c>
      <c r="K1519" s="19" t="n">
        <v>140.45</v>
      </c>
    </row>
    <row r="1520">
      <c r="D1520" s="16" t="n">
        <v>43915</v>
      </c>
      <c r="E1520" s="19" t="n">
        <v>4.88</v>
      </c>
      <c r="G1520" s="16" t="n">
        <v>43915</v>
      </c>
      <c r="H1520" s="19" t="n">
        <v>1.87</v>
      </c>
      <c r="J1520" s="16" t="n">
        <v>43915</v>
      </c>
      <c r="K1520" s="19" t="n">
        <v>139.61</v>
      </c>
    </row>
    <row r="1521">
      <c r="D1521" s="16" t="n">
        <v>43916</v>
      </c>
      <c r="E1521" s="19" t="n">
        <v>4.85</v>
      </c>
      <c r="G1521" s="16" t="n">
        <v>43916</v>
      </c>
      <c r="H1521" s="19" t="n">
        <v>1.86</v>
      </c>
      <c r="J1521" s="16" t="n">
        <v>43916</v>
      </c>
      <c r="K1521" s="19" t="n">
        <v>139.67</v>
      </c>
    </row>
    <row r="1522">
      <c r="D1522" s="16" t="n">
        <v>43917</v>
      </c>
      <c r="E1522" s="19" t="n">
        <v>4.83</v>
      </c>
      <c r="G1522" s="16" t="n">
        <v>43917</v>
      </c>
      <c r="H1522" s="19" t="n">
        <v>1.83</v>
      </c>
      <c r="J1522" s="16" t="n">
        <v>43917</v>
      </c>
      <c r="K1522" s="19" t="n">
        <v>138.45</v>
      </c>
    </row>
    <row r="1523">
      <c r="D1523" s="16" t="n">
        <v>43920</v>
      </c>
      <c r="E1523" s="19" t="n">
        <v>4.83</v>
      </c>
      <c r="G1523" s="16" t="n">
        <v>43920</v>
      </c>
      <c r="H1523" s="19" t="n">
        <v>1.86</v>
      </c>
      <c r="J1523" s="16" t="n">
        <v>43920</v>
      </c>
      <c r="K1523" s="19" t="n">
        <v>138.61</v>
      </c>
    </row>
    <row r="1524">
      <c r="D1524" s="16" t="n">
        <v>43921</v>
      </c>
      <c r="E1524" s="19" t="n">
        <v>4.76</v>
      </c>
      <c r="G1524" s="16" t="n">
        <v>43921</v>
      </c>
      <c r="H1524" s="19" t="n">
        <v>1.87</v>
      </c>
      <c r="J1524" s="16" t="n">
        <v>43921</v>
      </c>
      <c r="K1524" s="19" t="n">
        <v>138.17</v>
      </c>
    </row>
    <row r="1525">
      <c r="D1525" s="16" t="n">
        <v>43922</v>
      </c>
      <c r="E1525" s="19" t="n">
        <v>4.67</v>
      </c>
      <c r="G1525" s="16" t="n">
        <v>43922</v>
      </c>
      <c r="H1525" s="19" t="n">
        <v>1.94</v>
      </c>
      <c r="J1525" s="16" t="n">
        <v>43922</v>
      </c>
      <c r="K1525" s="19" t="n">
        <v>137.9</v>
      </c>
    </row>
    <row r="1526">
      <c r="D1526" s="16" t="n">
        <v>43923</v>
      </c>
      <c r="E1526" s="19" t="n">
        <v>4.7</v>
      </c>
      <c r="G1526" s="16" t="n">
        <v>43923</v>
      </c>
      <c r="H1526" s="19" t="n">
        <v>1.96</v>
      </c>
      <c r="J1526" s="16" t="n">
        <v>43923</v>
      </c>
      <c r="K1526" s="19" t="n">
        <v>137.7</v>
      </c>
    </row>
    <row r="1527">
      <c r="D1527" s="16" t="n">
        <v>43924</v>
      </c>
      <c r="E1527" s="19" t="n">
        <v>4.63</v>
      </c>
      <c r="G1527" s="16" t="n">
        <v>43924</v>
      </c>
      <c r="H1527" s="19" t="n">
        <v>1.95</v>
      </c>
      <c r="J1527" s="16" t="n">
        <v>43924</v>
      </c>
      <c r="K1527" s="19" t="n">
        <v>138.9</v>
      </c>
    </row>
    <row r="1528">
      <c r="D1528" s="16" t="n">
        <v>43927</v>
      </c>
      <c r="E1528" s="19" t="n">
        <v>4.59</v>
      </c>
      <c r="G1528" s="16" t="n">
        <v>43927</v>
      </c>
      <c r="H1528" s="19" t="n">
        <v>1.97</v>
      </c>
      <c r="J1528" s="16" t="n">
        <v>43927</v>
      </c>
      <c r="K1528" s="19" t="n">
        <v>138.55</v>
      </c>
    </row>
    <row r="1529">
      <c r="D1529" s="16" t="n">
        <v>43928</v>
      </c>
      <c r="E1529" s="19" t="n">
        <v>4.63</v>
      </c>
      <c r="G1529" s="16" t="n">
        <v>43928</v>
      </c>
      <c r="H1529" s="19" t="n">
        <v>1.89</v>
      </c>
      <c r="J1529" s="16" t="n">
        <v>43928</v>
      </c>
      <c r="K1529" s="19" t="n">
        <v>138</v>
      </c>
    </row>
    <row r="1530">
      <c r="D1530" s="16" t="n">
        <v>43929</v>
      </c>
      <c r="E1530" s="19" t="n">
        <v>4.7</v>
      </c>
      <c r="G1530" s="16" t="n">
        <v>43929</v>
      </c>
      <c r="H1530" s="19" t="n">
        <v>1.89</v>
      </c>
      <c r="J1530" s="16" t="n">
        <v>43929</v>
      </c>
      <c r="K1530" s="19" t="n">
        <v>138.54</v>
      </c>
    </row>
    <row r="1531">
      <c r="D1531" s="16" t="n">
        <v>43930</v>
      </c>
      <c r="E1531" s="19" t="n">
        <v>4.65</v>
      </c>
      <c r="G1531" s="16" t="n">
        <v>43930</v>
      </c>
      <c r="H1531" s="19" t="n">
        <v>1.87</v>
      </c>
      <c r="J1531" s="16" t="n">
        <v>43930</v>
      </c>
      <c r="K1531" s="19" t="n">
        <v>138.39</v>
      </c>
    </row>
    <row r="1532">
      <c r="D1532" s="16" t="n">
        <v>43931</v>
      </c>
      <c r="E1532" s="19" t="n">
        <v>4.63</v>
      </c>
      <c r="G1532" s="16" t="n">
        <v>43931</v>
      </c>
      <c r="H1532" s="19" t="n">
        <v>1.83</v>
      </c>
      <c r="J1532" s="16" t="n">
        <v>43931</v>
      </c>
      <c r="K1532" s="19" t="n">
        <v>139.91</v>
      </c>
    </row>
    <row r="1533">
      <c r="D1533" s="16" t="n">
        <v>43934</v>
      </c>
      <c r="E1533" s="19" t="n">
        <v>4.62</v>
      </c>
      <c r="G1533" s="16" t="n">
        <v>43934</v>
      </c>
      <c r="H1533" s="19" t="n">
        <v>1.86</v>
      </c>
      <c r="J1533" s="16" t="n">
        <v>43934</v>
      </c>
      <c r="K1533" s="19" t="n">
        <v>140.49</v>
      </c>
    </row>
    <row r="1534">
      <c r="D1534" s="16" t="n">
        <v>43935</v>
      </c>
      <c r="E1534" s="19" t="n">
        <v>4.7</v>
      </c>
      <c r="G1534" s="16" t="n">
        <v>43935</v>
      </c>
      <c r="H1534" s="19" t="n">
        <v>1.82</v>
      </c>
      <c r="J1534" s="16" t="n">
        <v>43935</v>
      </c>
      <c r="K1534" s="19" t="n">
        <v>139.28</v>
      </c>
    </row>
    <row r="1535">
      <c r="D1535" s="16" t="n">
        <v>43936</v>
      </c>
      <c r="E1535" s="19" t="n">
        <v>4.67</v>
      </c>
      <c r="G1535" s="16" t="n">
        <v>43936</v>
      </c>
      <c r="H1535" s="19" t="n">
        <v>1.73</v>
      </c>
      <c r="J1535" s="16" t="n">
        <v>43936</v>
      </c>
      <c r="K1535" s="19" t="n">
        <v>138.88</v>
      </c>
    </row>
    <row r="1536">
      <c r="D1536" s="16" t="n">
        <v>43937</v>
      </c>
      <c r="E1536" s="19" t="n">
        <v>4.74</v>
      </c>
      <c r="G1536" s="16" t="n">
        <v>43937</v>
      </c>
      <c r="H1536" s="19" t="n">
        <v>1.76</v>
      </c>
      <c r="J1536" s="16" t="n">
        <v>43937</v>
      </c>
      <c r="K1536" s="19" t="n">
        <v>139.08</v>
      </c>
    </row>
    <row r="1537">
      <c r="D1537" s="16" t="n">
        <v>43938</v>
      </c>
      <c r="E1537" s="19" t="n">
        <v>4.74</v>
      </c>
      <c r="G1537" s="16" t="n">
        <v>43938</v>
      </c>
      <c r="H1537" s="19" t="n">
        <v>1.71</v>
      </c>
      <c r="J1537" s="16" t="n">
        <v>43938</v>
      </c>
      <c r="K1537" s="19" t="n">
        <v>137.91</v>
      </c>
    </row>
    <row r="1538">
      <c r="D1538" s="16" t="n">
        <v>43941</v>
      </c>
      <c r="E1538" s="19" t="n">
        <v>4.71</v>
      </c>
      <c r="G1538" s="16" t="n">
        <v>43941</v>
      </c>
      <c r="H1538" s="19" t="n">
        <v>1.73</v>
      </c>
      <c r="J1538" s="16" t="n">
        <v>43941</v>
      </c>
      <c r="K1538" s="19" t="n">
        <v>137.22</v>
      </c>
    </row>
    <row r="1539">
      <c r="D1539" s="16" t="n">
        <v>43942</v>
      </c>
      <c r="E1539" s="19" t="n">
        <v>4.66</v>
      </c>
      <c r="G1539" s="16" t="n">
        <v>43942</v>
      </c>
      <c r="H1539" s="19" t="n">
        <v>1.74</v>
      </c>
      <c r="J1539" s="16" t="n">
        <v>43942</v>
      </c>
      <c r="K1539" s="19" t="n">
        <v>137.33</v>
      </c>
    </row>
    <row r="1540">
      <c r="D1540" s="16" t="n">
        <v>43943</v>
      </c>
      <c r="E1540" s="19" t="n">
        <v>4.64</v>
      </c>
      <c r="G1540" s="16" t="n">
        <v>43943</v>
      </c>
      <c r="H1540" s="19" t="n">
        <v>1.74</v>
      </c>
      <c r="J1540" s="16" t="n">
        <v>43943</v>
      </c>
      <c r="K1540" s="19" t="n">
        <v>137.65</v>
      </c>
    </row>
    <row r="1541">
      <c r="D1541" s="16" t="n">
        <v>43944</v>
      </c>
      <c r="E1541" s="19" t="n">
        <v>4.58</v>
      </c>
      <c r="G1541" s="16" t="n">
        <v>43944</v>
      </c>
      <c r="H1541" s="19" t="n">
        <v>1.68</v>
      </c>
      <c r="J1541" s="16" t="n">
        <v>43944</v>
      </c>
      <c r="K1541" s="19" t="n">
        <v>137.25</v>
      </c>
    </row>
    <row r="1542">
      <c r="D1542" s="16" t="n">
        <v>43945</v>
      </c>
      <c r="E1542" s="19" t="n">
        <v>4.62</v>
      </c>
      <c r="G1542" s="16" t="n">
        <v>43945</v>
      </c>
      <c r="H1542" s="19" t="n">
        <v>1.62</v>
      </c>
      <c r="J1542" s="16" t="n">
        <v>43945</v>
      </c>
      <c r="K1542" s="19" t="n">
        <v>137.86</v>
      </c>
    </row>
    <row r="1543">
      <c r="D1543" s="16" t="n">
        <v>43948</v>
      </c>
      <c r="E1543" s="19" t="n">
        <v>4.63</v>
      </c>
      <c r="G1543" s="16" t="n">
        <v>43948</v>
      </c>
      <c r="H1543" s="19" t="n">
        <v>1.69</v>
      </c>
      <c r="J1543" s="16" t="n">
        <v>43948</v>
      </c>
      <c r="K1543" s="19" t="n">
        <v>137.66</v>
      </c>
    </row>
    <row r="1544">
      <c r="D1544" s="16" t="n">
        <v>43949</v>
      </c>
      <c r="E1544" s="19" t="n">
        <v>4.68</v>
      </c>
      <c r="G1544" s="16" t="n">
        <v>43949</v>
      </c>
      <c r="H1544" s="19" t="n">
        <v>1.7</v>
      </c>
      <c r="J1544" s="16" t="n">
        <v>43949</v>
      </c>
      <c r="K1544" s="19" t="n">
        <v>137.47</v>
      </c>
    </row>
    <row r="1545">
      <c r="D1545" s="16" t="n">
        <v>43950</v>
      </c>
      <c r="E1545" s="19" t="n">
        <v>4.6</v>
      </c>
      <c r="G1545" s="16" t="n">
        <v>43950</v>
      </c>
      <c r="H1545" s="19" t="n">
        <v>1.75</v>
      </c>
      <c r="J1545" s="16" t="n">
        <v>43950</v>
      </c>
      <c r="K1545" s="19" t="n">
        <v>135.91</v>
      </c>
    </row>
    <row r="1546">
      <c r="D1546" s="16" t="n">
        <v>43951</v>
      </c>
      <c r="E1546" s="19" t="n">
        <v>4.51</v>
      </c>
      <c r="G1546" s="16" t="n">
        <v>43951</v>
      </c>
      <c r="H1546" s="19" t="n">
        <v>1.72</v>
      </c>
      <c r="J1546" s="16" t="n">
        <v>43951</v>
      </c>
      <c r="K1546" s="19" t="n">
        <v>136.69</v>
      </c>
    </row>
    <row r="1547">
      <c r="D1547" s="16" t="n">
        <v>43952</v>
      </c>
      <c r="E1547" s="19" t="n">
        <v>4.59</v>
      </c>
      <c r="G1547" s="16" t="n">
        <v>43952</v>
      </c>
      <c r="H1547" s="19" t="n">
        <v>1.66</v>
      </c>
      <c r="J1547" s="16" t="n">
        <v>43952</v>
      </c>
      <c r="K1547" s="19" t="n">
        <v>136.64</v>
      </c>
    </row>
    <row r="1548">
      <c r="D1548" s="16" t="n">
        <v>43955</v>
      </c>
      <c r="E1548" s="19" t="n">
        <v>4.61</v>
      </c>
      <c r="G1548" s="16" t="n">
        <v>43955</v>
      </c>
      <c r="H1548" s="19" t="n">
        <v>1.66</v>
      </c>
      <c r="J1548" s="16" t="n">
        <v>43955</v>
      </c>
      <c r="K1548" s="19" t="n">
        <v>136.73</v>
      </c>
    </row>
    <row r="1549">
      <c r="D1549" s="16" t="n">
        <v>43956</v>
      </c>
      <c r="E1549" s="19" t="n">
        <v>4.65</v>
      </c>
      <c r="G1549" s="16" t="n">
        <v>43956</v>
      </c>
      <c r="H1549" s="19" t="n">
        <v>1.68</v>
      </c>
      <c r="J1549" s="16" t="n">
        <v>43956</v>
      </c>
      <c r="K1549" s="19" t="n">
        <v>135.73</v>
      </c>
    </row>
    <row r="1550">
      <c r="D1550" s="16" t="n">
        <v>43957</v>
      </c>
      <c r="E1550" s="19" t="n">
        <v>4.64</v>
      </c>
      <c r="G1550" s="16" t="n">
        <v>43957</v>
      </c>
      <c r="H1550" s="19" t="n">
        <v>1.71</v>
      </c>
      <c r="J1550" s="16" t="n">
        <v>43957</v>
      </c>
      <c r="K1550" s="19" t="n">
        <v>137</v>
      </c>
    </row>
    <row r="1551">
      <c r="D1551" s="16" t="n">
        <v>43958</v>
      </c>
      <c r="E1551" s="19" t="n">
        <v>4.68</v>
      </c>
      <c r="G1551" s="16" t="n">
        <v>43958</v>
      </c>
      <c r="H1551" s="19" t="n">
        <v>1.66</v>
      </c>
      <c r="J1551" s="16" t="n">
        <v>43958</v>
      </c>
      <c r="K1551" s="19" t="n">
        <v>136.89</v>
      </c>
    </row>
    <row r="1552">
      <c r="D1552" s="16" t="n">
        <v>43959</v>
      </c>
      <c r="E1552" s="19" t="n">
        <v>4.65</v>
      </c>
      <c r="G1552" s="16" t="n">
        <v>43959</v>
      </c>
      <c r="H1552" s="19" t="n">
        <v>1.62</v>
      </c>
      <c r="J1552" s="16" t="n">
        <v>43959</v>
      </c>
      <c r="K1552" s="19" t="n">
        <v>136.2</v>
      </c>
    </row>
    <row r="1553">
      <c r="D1553" s="16" t="n">
        <v>43962</v>
      </c>
      <c r="E1553" s="19" t="n">
        <v>4.61</v>
      </c>
      <c r="G1553" s="16" t="n">
        <v>43962</v>
      </c>
      <c r="H1553" s="19" t="n">
        <v>1.69</v>
      </c>
      <c r="J1553" s="16" t="n">
        <v>43962</v>
      </c>
      <c r="K1553" s="19" t="n">
        <v>137.75</v>
      </c>
    </row>
    <row r="1554">
      <c r="D1554" s="16" t="n">
        <v>43963</v>
      </c>
      <c r="E1554" s="19" t="n">
        <v>4.65</v>
      </c>
      <c r="G1554" s="16" t="n">
        <v>43963</v>
      </c>
      <c r="H1554" s="19" t="n">
        <v>1.67</v>
      </c>
      <c r="J1554" s="16" t="n">
        <v>43963</v>
      </c>
      <c r="K1554" s="19" t="n">
        <v>137.67</v>
      </c>
    </row>
    <row r="1555">
      <c r="D1555" s="16" t="n">
        <v>43964</v>
      </c>
      <c r="E1555" s="19" t="n">
        <v>4.61</v>
      </c>
      <c r="G1555" s="16" t="n">
        <v>43964</v>
      </c>
      <c r="H1555" s="19" t="n">
        <v>1.71</v>
      </c>
      <c r="J1555" s="16" t="n">
        <v>43964</v>
      </c>
      <c r="K1555" s="19" t="n">
        <v>137.81</v>
      </c>
    </row>
    <row r="1556">
      <c r="D1556" s="16" t="n">
        <v>43965</v>
      </c>
      <c r="E1556" s="19" t="n">
        <v>4.63</v>
      </c>
      <c r="G1556" s="16" t="n">
        <v>43965</v>
      </c>
      <c r="H1556" s="19" t="n">
        <v>1.72</v>
      </c>
      <c r="J1556" s="16" t="n">
        <v>43965</v>
      </c>
      <c r="K1556" s="19" t="n">
        <v>137.49</v>
      </c>
    </row>
    <row r="1557">
      <c r="D1557" s="16" t="n">
        <v>43966</v>
      </c>
      <c r="E1557" s="19" t="n">
        <v>4.64</v>
      </c>
      <c r="G1557" s="16" t="n">
        <v>43966</v>
      </c>
      <c r="H1557" s="19" t="n">
        <v>1.68</v>
      </c>
      <c r="J1557" s="16" t="n">
        <v>43966</v>
      </c>
      <c r="K1557" s="19" t="n">
        <v>138.98</v>
      </c>
    </row>
    <row r="1558">
      <c r="D1558" s="16" t="n">
        <v>43969</v>
      </c>
      <c r="E1558" s="19" t="n">
        <v>4.57</v>
      </c>
      <c r="G1558" s="16" t="n">
        <v>43969</v>
      </c>
      <c r="H1558" s="19" t="n">
        <v>1.74</v>
      </c>
      <c r="J1558" s="16" t="n">
        <v>43969</v>
      </c>
      <c r="K1558" s="19" t="n">
        <v>138.9</v>
      </c>
    </row>
    <row r="1559">
      <c r="D1559" s="16" t="n">
        <v>43970</v>
      </c>
      <c r="E1559" s="19" t="n">
        <v>4.51</v>
      </c>
      <c r="G1559" s="16" t="n">
        <v>43970</v>
      </c>
      <c r="H1559" s="19" t="n">
        <v>1.81</v>
      </c>
      <c r="J1559" s="16" t="n">
        <v>43970</v>
      </c>
      <c r="K1559" s="19" t="n">
        <v>138.83</v>
      </c>
    </row>
    <row r="1560">
      <c r="D1560" s="16" t="n">
        <v>43971</v>
      </c>
      <c r="E1560" s="19" t="n">
        <v>4.53</v>
      </c>
      <c r="G1560" s="16" t="n">
        <v>43971</v>
      </c>
      <c r="H1560" s="19" t="n">
        <v>1.83</v>
      </c>
      <c r="J1560" s="16" t="n">
        <v>43971</v>
      </c>
      <c r="K1560" s="19" t="n">
        <v>138.8</v>
      </c>
    </row>
    <row r="1561">
      <c r="D1561" s="16" t="n">
        <v>43972</v>
      </c>
      <c r="E1561" s="19" t="n">
        <v>4.58</v>
      </c>
      <c r="G1561" s="16" t="n">
        <v>43972</v>
      </c>
      <c r="H1561" s="19" t="n">
        <v>1.76</v>
      </c>
      <c r="J1561" s="16" t="n">
        <v>43972</v>
      </c>
      <c r="K1561" s="19" t="n">
        <v>139.43</v>
      </c>
    </row>
    <row r="1562">
      <c r="D1562" s="16" t="n">
        <v>43973</v>
      </c>
      <c r="E1562" s="19" t="n">
        <v>4.49</v>
      </c>
      <c r="G1562" s="16" t="n">
        <v>43973</v>
      </c>
      <c r="H1562" s="19" t="n">
        <v>1.74</v>
      </c>
      <c r="J1562" s="16" t="n">
        <v>43973</v>
      </c>
      <c r="K1562" s="19" t="n">
        <v>140.19</v>
      </c>
    </row>
    <row r="1563">
      <c r="D1563" s="16" t="n">
        <v>43976</v>
      </c>
      <c r="E1563" s="19" t="n">
        <v>4.43</v>
      </c>
      <c r="G1563" s="16" t="n">
        <v>43976</v>
      </c>
      <c r="H1563" s="19" t="n">
        <v>1.75</v>
      </c>
      <c r="J1563" s="16" t="n">
        <v>43976</v>
      </c>
      <c r="K1563" s="19" t="n">
        <v>140.91</v>
      </c>
    </row>
    <row r="1564">
      <c r="D1564" s="16" t="n">
        <v>43977</v>
      </c>
      <c r="E1564" s="19" t="n">
        <v>4.47</v>
      </c>
      <c r="G1564" s="16" t="n">
        <v>43977</v>
      </c>
      <c r="H1564" s="19" t="n">
        <v>1.75</v>
      </c>
      <c r="J1564" s="16" t="n">
        <v>43977</v>
      </c>
      <c r="K1564" s="19" t="n">
        <v>140.78</v>
      </c>
    </row>
    <row r="1565">
      <c r="D1565" s="16" t="n">
        <v>43978</v>
      </c>
      <c r="E1565" s="19" t="n">
        <v>4.44</v>
      </c>
      <c r="G1565" s="16" t="n">
        <v>43978</v>
      </c>
      <c r="H1565" s="19" t="n">
        <v>1.75</v>
      </c>
      <c r="J1565" s="16" t="n">
        <v>43978</v>
      </c>
      <c r="K1565" s="19" t="n">
        <v>140.65</v>
      </c>
    </row>
    <row r="1566">
      <c r="D1566" s="16" t="n">
        <v>43979</v>
      </c>
      <c r="E1566" s="19" t="n">
        <v>4.41</v>
      </c>
      <c r="G1566" s="16" t="n">
        <v>43979</v>
      </c>
      <c r="H1566" s="19" t="n">
        <v>1.75</v>
      </c>
      <c r="J1566" s="16" t="n">
        <v>43979</v>
      </c>
      <c r="K1566" s="19" t="n">
        <v>139.85</v>
      </c>
    </row>
    <row r="1567">
      <c r="D1567" s="16" t="n">
        <v>43980</v>
      </c>
      <c r="E1567" s="19" t="n">
        <v>4.46</v>
      </c>
      <c r="G1567" s="16" t="n">
        <v>43980</v>
      </c>
      <c r="H1567" s="19" t="n">
        <v>1.75</v>
      </c>
      <c r="J1567" s="16" t="n">
        <v>43980</v>
      </c>
      <c r="K1567" s="19" t="n">
        <v>140.39</v>
      </c>
    </row>
    <row r="1568">
      <c r="D1568" s="16" t="n">
        <v>43983</v>
      </c>
      <c r="E1568" s="19" t="n">
        <v>4.52</v>
      </c>
      <c r="G1568" s="16" t="n">
        <v>43983</v>
      </c>
      <c r="H1568" s="19" t="n">
        <v>1.82</v>
      </c>
      <c r="J1568" s="16" t="n">
        <v>43983</v>
      </c>
      <c r="K1568" s="19" t="n">
        <v>139.98</v>
      </c>
    </row>
    <row r="1569">
      <c r="D1569" s="16" t="n">
        <v>43984</v>
      </c>
      <c r="E1569" s="19" t="n">
        <v>4.51</v>
      </c>
      <c r="G1569" s="16" t="n">
        <v>43984</v>
      </c>
      <c r="H1569" s="19" t="n">
        <v>1.87</v>
      </c>
      <c r="J1569" s="16" t="n">
        <v>43984</v>
      </c>
      <c r="K1569" s="19" t="n">
        <v>139.83</v>
      </c>
    </row>
    <row r="1570">
      <c r="D1570" s="16" t="n">
        <v>43985</v>
      </c>
      <c r="E1570" s="19" t="n">
        <v>4.52</v>
      </c>
      <c r="G1570" s="16" t="n">
        <v>43985</v>
      </c>
      <c r="H1570" s="19" t="n">
        <v>1.82</v>
      </c>
      <c r="J1570" s="16" t="n">
        <v>43985</v>
      </c>
      <c r="K1570" s="19" t="n">
        <v>140.99</v>
      </c>
    </row>
    <row r="1571">
      <c r="D1571" s="16" t="n">
        <v>43986</v>
      </c>
      <c r="E1571" s="19" t="n">
        <v>4.46</v>
      </c>
      <c r="G1571" s="16" t="n">
        <v>43986</v>
      </c>
      <c r="H1571" s="19" t="n">
        <v>1.76</v>
      </c>
      <c r="J1571" s="16" t="n">
        <v>43986</v>
      </c>
      <c r="K1571" s="19" t="n">
        <v>141.82</v>
      </c>
    </row>
    <row r="1572">
      <c r="D1572" s="16" t="n">
        <v>43987</v>
      </c>
      <c r="E1572" s="19" t="n">
        <v>4.46</v>
      </c>
      <c r="G1572" s="16" t="n">
        <v>43987</v>
      </c>
      <c r="H1572" s="19" t="n">
        <v>1.77</v>
      </c>
      <c r="J1572" s="16" t="n">
        <v>43987</v>
      </c>
      <c r="K1572" s="19" t="n">
        <v>141.5</v>
      </c>
    </row>
    <row r="1573">
      <c r="D1573" s="16" t="n">
        <v>43990</v>
      </c>
      <c r="E1573" s="19" t="n">
        <v>4.51</v>
      </c>
      <c r="G1573" s="16" t="n">
        <v>43990</v>
      </c>
      <c r="H1573" s="19" t="n">
        <v>1.69</v>
      </c>
      <c r="J1573" s="16" t="n">
        <v>43990</v>
      </c>
      <c r="K1573" s="19" t="n">
        <v>140.89</v>
      </c>
    </row>
    <row r="1574">
      <c r="D1574" s="16" t="n">
        <v>43991</v>
      </c>
      <c r="E1574" s="19" t="n">
        <v>4.52</v>
      </c>
      <c r="G1574" s="16" t="n">
        <v>43991</v>
      </c>
      <c r="H1574" s="19" t="n">
        <v>1.67</v>
      </c>
      <c r="J1574" s="16" t="n">
        <v>43991</v>
      </c>
      <c r="K1574" s="19" t="n">
        <v>141.92</v>
      </c>
    </row>
    <row r="1575">
      <c r="D1575" s="16" t="n">
        <v>43992</v>
      </c>
      <c r="E1575" s="19" t="n">
        <v>4.47</v>
      </c>
      <c r="G1575" s="16" t="n">
        <v>43992</v>
      </c>
      <c r="H1575" s="19" t="n">
        <v>1.7</v>
      </c>
      <c r="J1575" s="16" t="n">
        <v>43992</v>
      </c>
      <c r="K1575" s="19" t="n">
        <v>142.19</v>
      </c>
    </row>
    <row r="1576">
      <c r="D1576" s="16" t="n">
        <v>43993</v>
      </c>
      <c r="E1576" s="19" t="n">
        <v>4.46</v>
      </c>
      <c r="G1576" s="16" t="n">
        <v>43993</v>
      </c>
      <c r="H1576" s="19" t="n">
        <v>1.65</v>
      </c>
      <c r="J1576" s="16" t="n">
        <v>43993</v>
      </c>
      <c r="K1576" s="19" t="n">
        <v>142.33</v>
      </c>
    </row>
    <row r="1577">
      <c r="D1577" s="16" t="n">
        <v>43994</v>
      </c>
      <c r="E1577" s="19" t="n">
        <v>4.41</v>
      </c>
      <c r="G1577" s="16" t="n">
        <v>43994</v>
      </c>
      <c r="H1577" s="19" t="n">
        <v>1.65</v>
      </c>
      <c r="J1577" s="16" t="n">
        <v>43994</v>
      </c>
      <c r="K1577" s="19" t="n">
        <v>142.23</v>
      </c>
    </row>
    <row r="1578">
      <c r="D1578" s="16" t="n">
        <v>43997</v>
      </c>
      <c r="E1578" s="19" t="n">
        <v>4.44</v>
      </c>
      <c r="G1578" s="16" t="n">
        <v>43997</v>
      </c>
      <c r="H1578" s="19" t="n">
        <v>1.69</v>
      </c>
      <c r="J1578" s="16" t="n">
        <v>43997</v>
      </c>
      <c r="K1578" s="19" t="n">
        <v>141.49</v>
      </c>
    </row>
    <row r="1579">
      <c r="D1579" s="16" t="n">
        <v>43998</v>
      </c>
      <c r="E1579" s="19" t="n">
        <v>4.5</v>
      </c>
      <c r="G1579" s="16" t="n">
        <v>43998</v>
      </c>
      <c r="H1579" s="19" t="n">
        <v>1.64</v>
      </c>
      <c r="J1579" s="16" t="n">
        <v>43998</v>
      </c>
      <c r="K1579" s="19" t="n">
        <v>140.22</v>
      </c>
    </row>
    <row r="1580">
      <c r="D1580" s="16" t="n">
        <v>43999</v>
      </c>
      <c r="E1580" s="19" t="n">
        <v>4.51</v>
      </c>
      <c r="G1580" s="16" t="n">
        <v>43999</v>
      </c>
      <c r="H1580" s="19" t="n">
        <v>1.75</v>
      </c>
      <c r="J1580" s="16" t="n">
        <v>43999</v>
      </c>
      <c r="K1580" s="19" t="n">
        <v>140.1</v>
      </c>
    </row>
    <row r="1581">
      <c r="D1581" s="16" t="n">
        <v>44000</v>
      </c>
      <c r="E1581" s="19" t="n">
        <v>4.58</v>
      </c>
      <c r="G1581" s="16" t="n">
        <v>44000</v>
      </c>
      <c r="H1581" s="19" t="n">
        <v>1.76</v>
      </c>
      <c r="J1581" s="16" t="n">
        <v>44000</v>
      </c>
      <c r="K1581" s="19" t="n">
        <v>139.59</v>
      </c>
    </row>
    <row r="1582">
      <c r="D1582" s="16" t="n">
        <v>44001</v>
      </c>
      <c r="E1582" s="19" t="n">
        <v>4.6</v>
      </c>
      <c r="G1582" s="16" t="n">
        <v>44001</v>
      </c>
      <c r="H1582" s="19" t="n">
        <v>1.73</v>
      </c>
      <c r="J1582" s="16" t="n">
        <v>44001</v>
      </c>
      <c r="K1582" s="19" t="n">
        <v>139.16</v>
      </c>
    </row>
    <row r="1583">
      <c r="D1583" s="16" t="n">
        <v>44004</v>
      </c>
      <c r="E1583" s="19" t="n">
        <v>4.59</v>
      </c>
      <c r="G1583" s="16" t="n">
        <v>44004</v>
      </c>
      <c r="H1583" s="19" t="n">
        <v>1.68</v>
      </c>
      <c r="J1583" s="16" t="n">
        <v>44004</v>
      </c>
      <c r="K1583" s="19" t="n">
        <v>138.93</v>
      </c>
    </row>
    <row r="1584">
      <c r="D1584" s="16" t="n">
        <v>44005</v>
      </c>
      <c r="E1584" s="19" t="n">
        <v>4.54</v>
      </c>
      <c r="G1584" s="16" t="n">
        <v>44005</v>
      </c>
      <c r="H1584" s="19" t="n">
        <v>1.66</v>
      </c>
      <c r="J1584" s="16" t="n">
        <v>44005</v>
      </c>
      <c r="K1584" s="19" t="n">
        <v>138.26</v>
      </c>
    </row>
    <row r="1585">
      <c r="D1585" s="16" t="n">
        <v>44006</v>
      </c>
      <c r="E1585" s="19" t="n">
        <v>4.6</v>
      </c>
      <c r="G1585" s="16" t="n">
        <v>44006</v>
      </c>
      <c r="H1585" s="19" t="n">
        <v>1.73</v>
      </c>
      <c r="J1585" s="16" t="n">
        <v>44006</v>
      </c>
      <c r="K1585" s="19" t="n">
        <v>139.01</v>
      </c>
    </row>
    <row r="1586">
      <c r="D1586" s="16" t="n">
        <v>44007</v>
      </c>
      <c r="E1586" s="19" t="n">
        <v>4.59</v>
      </c>
      <c r="G1586" s="16" t="n">
        <v>44007</v>
      </c>
      <c r="H1586" s="19" t="n">
        <v>1.67</v>
      </c>
      <c r="J1586" s="16" t="n">
        <v>44007</v>
      </c>
      <c r="K1586" s="19" t="n">
        <v>139.32</v>
      </c>
    </row>
    <row r="1587">
      <c r="D1587" s="16" t="n">
        <v>44008</v>
      </c>
      <c r="E1587" s="19" t="n">
        <v>4.64</v>
      </c>
      <c r="G1587" s="16" t="n">
        <v>44008</v>
      </c>
      <c r="H1587" s="19" t="n">
        <v>1.6</v>
      </c>
      <c r="J1587" s="16" t="n">
        <v>44008</v>
      </c>
      <c r="K1587" s="19" t="n">
        <v>140.23</v>
      </c>
    </row>
    <row r="1588">
      <c r="D1588" s="16" t="n">
        <v>44011</v>
      </c>
      <c r="E1588" s="19" t="n">
        <v>4.64</v>
      </c>
      <c r="G1588" s="16" t="n">
        <v>44011</v>
      </c>
      <c r="H1588" s="19" t="n">
        <v>1.56</v>
      </c>
      <c r="J1588" s="16" t="n">
        <v>44011</v>
      </c>
      <c r="K1588" s="19" t="n">
        <v>138.86</v>
      </c>
    </row>
    <row r="1589">
      <c r="D1589" s="16" t="n">
        <v>44012</v>
      </c>
      <c r="E1589" s="19" t="n">
        <v>4.66</v>
      </c>
      <c r="G1589" s="16" t="n">
        <v>44012</v>
      </c>
      <c r="H1589" s="19" t="n">
        <v>1.57</v>
      </c>
      <c r="J1589" s="16" t="n">
        <v>44012</v>
      </c>
      <c r="K1589" s="19" t="n">
        <v>139.02</v>
      </c>
    </row>
    <row r="1590">
      <c r="D1590" s="16" t="n">
        <v>44013</v>
      </c>
      <c r="E1590" s="19" t="n">
        <v>4.66</v>
      </c>
      <c r="G1590" s="16" t="n">
        <v>44013</v>
      </c>
      <c r="H1590" s="19" t="n">
        <v>1.61</v>
      </c>
      <c r="J1590" s="16" t="n">
        <v>44013</v>
      </c>
      <c r="K1590" s="19" t="n">
        <v>138.66</v>
      </c>
    </row>
    <row r="1591">
      <c r="D1591" s="16" t="n">
        <v>44014</v>
      </c>
      <c r="E1591" s="19" t="n">
        <v>4.62</v>
      </c>
      <c r="G1591" s="16" t="n">
        <v>44014</v>
      </c>
      <c r="H1591" s="19" t="n">
        <v>1.62</v>
      </c>
      <c r="J1591" s="16" t="n">
        <v>44014</v>
      </c>
      <c r="K1591" s="19" t="n">
        <v>138.62</v>
      </c>
    </row>
    <row r="1592">
      <c r="D1592" s="16" t="n">
        <v>44015</v>
      </c>
      <c r="E1592" s="19" t="n">
        <v>4.68</v>
      </c>
      <c r="G1592" s="16" t="n">
        <v>44015</v>
      </c>
      <c r="H1592" s="19" t="n">
        <v>1.56</v>
      </c>
      <c r="J1592" s="16" t="n">
        <v>44015</v>
      </c>
      <c r="K1592" s="19" t="n">
        <v>138.09</v>
      </c>
    </row>
    <row r="1593">
      <c r="D1593" s="16" t="n">
        <v>44018</v>
      </c>
      <c r="E1593" s="19" t="n">
        <v>4.65</v>
      </c>
      <c r="G1593" s="16" t="n">
        <v>44018</v>
      </c>
      <c r="H1593" s="19" t="n">
        <v>1.55</v>
      </c>
      <c r="J1593" s="16" t="n">
        <v>44018</v>
      </c>
      <c r="K1593" s="19" t="n">
        <v>138.37</v>
      </c>
    </row>
    <row r="1594">
      <c r="D1594" s="16" t="n">
        <v>44019</v>
      </c>
      <c r="E1594" s="19" t="n">
        <v>4.66</v>
      </c>
      <c r="G1594" s="16" t="n">
        <v>44019</v>
      </c>
      <c r="H1594" s="19" t="n">
        <v>1.58</v>
      </c>
      <c r="J1594" s="16" t="n">
        <v>44019</v>
      </c>
      <c r="K1594" s="19" t="n">
        <v>138.35</v>
      </c>
    </row>
    <row r="1595">
      <c r="D1595" s="16" t="n">
        <v>44020</v>
      </c>
      <c r="E1595" s="19" t="n">
        <v>4.66</v>
      </c>
      <c r="G1595" s="16" t="n">
        <v>44020</v>
      </c>
      <c r="H1595" s="19" t="n">
        <v>1.57</v>
      </c>
      <c r="J1595" s="16" t="n">
        <v>44020</v>
      </c>
      <c r="K1595" s="19" t="n">
        <v>138.96</v>
      </c>
    </row>
    <row r="1596">
      <c r="D1596" s="16" t="n">
        <v>44021</v>
      </c>
      <c r="E1596" s="19" t="n">
        <v>4.65</v>
      </c>
      <c r="G1596" s="16" t="n">
        <v>44021</v>
      </c>
      <c r="H1596" s="19" t="n">
        <v>1.55</v>
      </c>
      <c r="J1596" s="16" t="n">
        <v>44021</v>
      </c>
      <c r="K1596" s="19" t="n">
        <v>140.27</v>
      </c>
    </row>
    <row r="1597">
      <c r="D1597" s="16" t="n">
        <v>44022</v>
      </c>
      <c r="E1597" s="19" t="n">
        <v>4.68</v>
      </c>
      <c r="G1597" s="16" t="n">
        <v>44022</v>
      </c>
      <c r="H1597" s="19" t="n">
        <v>1.48</v>
      </c>
      <c r="J1597" s="16" t="n">
        <v>44022</v>
      </c>
      <c r="K1597" s="19" t="n">
        <v>140.47</v>
      </c>
    </row>
    <row r="1598">
      <c r="D1598" s="16" t="n">
        <v>44025</v>
      </c>
      <c r="E1598" s="19" t="n">
        <v>4.61</v>
      </c>
      <c r="G1598" s="16" t="n">
        <v>44025</v>
      </c>
      <c r="H1598" s="19" t="n">
        <v>1.51</v>
      </c>
      <c r="J1598" s="16" t="n">
        <v>44025</v>
      </c>
      <c r="K1598" s="19" t="n">
        <v>139.75</v>
      </c>
    </row>
    <row r="1599">
      <c r="D1599" s="16" t="n">
        <v>44026</v>
      </c>
      <c r="E1599" s="19" t="n">
        <v>4.64</v>
      </c>
      <c r="G1599" s="16" t="n">
        <v>44026</v>
      </c>
      <c r="H1599" s="19" t="n">
        <v>1.56</v>
      </c>
      <c r="J1599" s="16" t="n">
        <v>44026</v>
      </c>
      <c r="K1599" s="19" t="n">
        <v>139.65</v>
      </c>
    </row>
    <row r="1600">
      <c r="D1600" s="16" t="n">
        <v>44027</v>
      </c>
      <c r="E1600" s="19" t="n">
        <v>4.73</v>
      </c>
      <c r="G1600" s="16" t="n">
        <v>44027</v>
      </c>
      <c r="H1600" s="19" t="n">
        <v>1.55</v>
      </c>
      <c r="J1600" s="16" t="n">
        <v>44027</v>
      </c>
      <c r="K1600" s="19" t="n">
        <v>139.69</v>
      </c>
    </row>
    <row r="1601">
      <c r="D1601" s="16" t="n">
        <v>44028</v>
      </c>
      <c r="E1601" s="19" t="n">
        <v>4.75</v>
      </c>
      <c r="G1601" s="16" t="n">
        <v>44028</v>
      </c>
      <c r="H1601" s="19" t="n">
        <v>1.59</v>
      </c>
      <c r="J1601" s="16" t="n">
        <v>44028</v>
      </c>
      <c r="K1601" s="19" t="n">
        <v>140.49</v>
      </c>
    </row>
    <row r="1602">
      <c r="D1602" s="16" t="n">
        <v>44029</v>
      </c>
      <c r="E1602" s="19" t="n">
        <v>4.76</v>
      </c>
      <c r="G1602" s="16" t="n">
        <v>44029</v>
      </c>
      <c r="H1602" s="19" t="n">
        <v>1.55</v>
      </c>
      <c r="J1602" s="16" t="n">
        <v>44029</v>
      </c>
      <c r="K1602" s="19" t="n">
        <v>140.86</v>
      </c>
    </row>
    <row r="1603">
      <c r="D1603" s="16" t="n">
        <v>44032</v>
      </c>
      <c r="E1603" s="19" t="n">
        <v>4.83</v>
      </c>
      <c r="G1603" s="16" t="n">
        <v>44032</v>
      </c>
      <c r="H1603" s="19" t="n">
        <v>1.58</v>
      </c>
      <c r="J1603" s="16" t="n">
        <v>44032</v>
      </c>
      <c r="K1603" s="19" t="n">
        <v>140.45</v>
      </c>
    </row>
    <row r="1604">
      <c r="D1604" s="16" t="n">
        <v>44033</v>
      </c>
      <c r="E1604" s="19" t="n">
        <v>4.79</v>
      </c>
      <c r="G1604" s="16" t="n">
        <v>44033</v>
      </c>
      <c r="H1604" s="19" t="n">
        <v>1.66</v>
      </c>
      <c r="J1604" s="16" t="n">
        <v>44033</v>
      </c>
      <c r="K1604" s="19" t="n">
        <v>140.06</v>
      </c>
    </row>
    <row r="1605">
      <c r="D1605" s="16" t="n">
        <v>44034</v>
      </c>
      <c r="E1605" s="19" t="n">
        <v>4.79</v>
      </c>
      <c r="G1605" s="16" t="n">
        <v>44034</v>
      </c>
      <c r="H1605" s="19" t="n">
        <v>1.65</v>
      </c>
      <c r="J1605" s="16" t="n">
        <v>44034</v>
      </c>
      <c r="K1605" s="19" t="n">
        <v>139.5</v>
      </c>
    </row>
    <row r="1606">
      <c r="D1606" s="16" t="n">
        <v>44035</v>
      </c>
      <c r="E1606" s="19" t="n">
        <v>4.84</v>
      </c>
      <c r="G1606" s="16" t="n">
        <v>44035</v>
      </c>
      <c r="H1606" s="19" t="n">
        <v>1.61</v>
      </c>
      <c r="J1606" s="16" t="n">
        <v>44035</v>
      </c>
      <c r="K1606" s="19" t="n">
        <v>140.09</v>
      </c>
    </row>
    <row r="1607">
      <c r="D1607" s="16" t="n">
        <v>44036</v>
      </c>
      <c r="E1607" s="19" t="n">
        <v>4.85</v>
      </c>
      <c r="G1607" s="16" t="n">
        <v>44036</v>
      </c>
      <c r="H1607" s="19" t="n">
        <v>1.69</v>
      </c>
      <c r="J1607" s="16" t="n">
        <v>44036</v>
      </c>
      <c r="K1607" s="19" t="n">
        <v>140.38</v>
      </c>
    </row>
    <row r="1608">
      <c r="D1608" s="16" t="n">
        <v>44039</v>
      </c>
      <c r="E1608" s="19" t="n">
        <v>4.83</v>
      </c>
      <c r="G1608" s="16" t="n">
        <v>44039</v>
      </c>
      <c r="H1608" s="19" t="n">
        <v>1.67</v>
      </c>
      <c r="J1608" s="16" t="n">
        <v>44039</v>
      </c>
      <c r="K1608" s="19" t="n">
        <v>140.56</v>
      </c>
    </row>
    <row r="1609">
      <c r="D1609" s="16" t="n">
        <v>44040</v>
      </c>
      <c r="E1609" s="19" t="n">
        <v>4.82</v>
      </c>
      <c r="G1609" s="16" t="n">
        <v>44040</v>
      </c>
      <c r="H1609" s="19" t="n">
        <v>1.55</v>
      </c>
      <c r="J1609" s="16" t="n">
        <v>44040</v>
      </c>
      <c r="K1609" s="19" t="n">
        <v>139.91</v>
      </c>
    </row>
    <row r="1610">
      <c r="D1610" s="16" t="n">
        <v>44041</v>
      </c>
      <c r="E1610" s="19" t="n">
        <v>4.8</v>
      </c>
      <c r="G1610" s="16" t="n">
        <v>44041</v>
      </c>
      <c r="H1610" s="19" t="n">
        <v>1.56</v>
      </c>
      <c r="J1610" s="16" t="n">
        <v>44041</v>
      </c>
      <c r="K1610" s="19" t="n">
        <v>139.25</v>
      </c>
    </row>
    <row r="1611">
      <c r="D1611" s="16" t="n">
        <v>44042</v>
      </c>
      <c r="E1611" s="19" t="n">
        <v>4.88</v>
      </c>
      <c r="G1611" s="16" t="n">
        <v>44042</v>
      </c>
      <c r="H1611" s="19" t="n">
        <v>1.56</v>
      </c>
      <c r="J1611" s="16" t="n">
        <v>44042</v>
      </c>
      <c r="K1611" s="19" t="n">
        <v>138.82</v>
      </c>
    </row>
    <row r="1612">
      <c r="D1612" s="16" t="n">
        <v>44043</v>
      </c>
      <c r="E1612" s="19" t="n">
        <v>4.92</v>
      </c>
      <c r="G1612" s="16" t="n">
        <v>44043</v>
      </c>
      <c r="H1612" s="19" t="n">
        <v>1.57</v>
      </c>
      <c r="J1612" s="16" t="n">
        <v>44043</v>
      </c>
      <c r="K1612" s="19" t="n">
        <v>138.11</v>
      </c>
    </row>
    <row r="1613">
      <c r="D1613" s="16" t="n">
        <v>44046</v>
      </c>
      <c r="E1613" s="19" t="n">
        <v>4.98</v>
      </c>
      <c r="G1613" s="16" t="n">
        <v>44046</v>
      </c>
      <c r="H1613" s="19" t="n">
        <v>1.58</v>
      </c>
      <c r="J1613" s="16" t="n">
        <v>44046</v>
      </c>
      <c r="K1613" s="19" t="n">
        <v>138.42</v>
      </c>
    </row>
    <row r="1614">
      <c r="D1614" s="16" t="n">
        <v>44047</v>
      </c>
      <c r="E1614" s="19" t="n">
        <v>4.98</v>
      </c>
      <c r="G1614" s="16" t="n">
        <v>44047</v>
      </c>
      <c r="H1614" s="19" t="n">
        <v>1.61</v>
      </c>
      <c r="J1614" s="16" t="n">
        <v>44047</v>
      </c>
      <c r="K1614" s="19" t="n">
        <v>138.32</v>
      </c>
    </row>
    <row r="1615">
      <c r="D1615" s="16" t="n">
        <v>44048</v>
      </c>
      <c r="E1615" s="19" t="n">
        <v>4.92</v>
      </c>
      <c r="G1615" s="16" t="n">
        <v>44048</v>
      </c>
      <c r="H1615" s="19" t="n">
        <v>1.68</v>
      </c>
      <c r="J1615" s="16" t="n">
        <v>44048</v>
      </c>
      <c r="K1615" s="19" t="n">
        <v>138.85</v>
      </c>
    </row>
    <row r="1616">
      <c r="D1616" s="16" t="n">
        <v>44049</v>
      </c>
      <c r="E1616" s="19" t="n">
        <v>4.88</v>
      </c>
      <c r="G1616" s="16" t="n">
        <v>44049</v>
      </c>
      <c r="H1616" s="19" t="n">
        <v>1.7</v>
      </c>
      <c r="J1616" s="16" t="n">
        <v>44049</v>
      </c>
      <c r="K1616" s="19" t="n">
        <v>138.56</v>
      </c>
    </row>
    <row r="1617">
      <c r="D1617" s="16" t="n">
        <v>44050</v>
      </c>
      <c r="E1617" s="19" t="n">
        <v>4.95</v>
      </c>
      <c r="G1617" s="16" t="n">
        <v>44050</v>
      </c>
      <c r="H1617" s="19" t="n">
        <v>1.71</v>
      </c>
      <c r="J1617" s="16" t="n">
        <v>44050</v>
      </c>
      <c r="K1617" s="19" t="n">
        <v>137.56</v>
      </c>
    </row>
    <row r="1618">
      <c r="D1618" s="16" t="n">
        <v>44053</v>
      </c>
      <c r="E1618" s="19" t="n">
        <v>4.97</v>
      </c>
      <c r="G1618" s="16" t="n">
        <v>44053</v>
      </c>
      <c r="H1618" s="19" t="n">
        <v>1.69</v>
      </c>
      <c r="J1618" s="16" t="n">
        <v>44053</v>
      </c>
      <c r="K1618" s="19" t="n">
        <v>137.95</v>
      </c>
    </row>
    <row r="1619">
      <c r="D1619" s="16" t="n">
        <v>44054</v>
      </c>
      <c r="E1619" s="19" t="n">
        <v>4.86</v>
      </c>
      <c r="G1619" s="16" t="n">
        <v>44054</v>
      </c>
      <c r="H1619" s="19" t="n">
        <v>1.73</v>
      </c>
      <c r="J1619" s="16" t="n">
        <v>44054</v>
      </c>
      <c r="K1619" s="19" t="n">
        <v>139.11</v>
      </c>
    </row>
    <row r="1620">
      <c r="D1620" s="16" t="n">
        <v>44055</v>
      </c>
      <c r="E1620" s="19" t="n">
        <v>4.88</v>
      </c>
      <c r="G1620" s="16" t="n">
        <v>44055</v>
      </c>
      <c r="H1620" s="19" t="n">
        <v>1.7</v>
      </c>
      <c r="J1620" s="16" t="n">
        <v>44055</v>
      </c>
      <c r="K1620" s="19" t="n">
        <v>139.72</v>
      </c>
    </row>
    <row r="1621">
      <c r="D1621" s="16" t="n">
        <v>44056</v>
      </c>
      <c r="E1621" s="19" t="n">
        <v>4.77</v>
      </c>
      <c r="G1621" s="16" t="n">
        <v>44056</v>
      </c>
      <c r="H1621" s="19" t="n">
        <v>1.73</v>
      </c>
      <c r="J1621" s="16" t="n">
        <v>44056</v>
      </c>
      <c r="K1621" s="19" t="n">
        <v>139.63</v>
      </c>
    </row>
    <row r="1622">
      <c r="D1622" s="16" t="n">
        <v>44057</v>
      </c>
      <c r="E1622" s="19" t="n">
        <v>4.73</v>
      </c>
      <c r="G1622" s="16" t="n">
        <v>44057</v>
      </c>
      <c r="H1622" s="19" t="n">
        <v>1.75</v>
      </c>
      <c r="J1622" s="16" t="n">
        <v>44057</v>
      </c>
      <c r="K1622" s="19" t="n">
        <v>139.77</v>
      </c>
    </row>
    <row r="1623">
      <c r="D1623" s="16" t="n">
        <v>44060</v>
      </c>
      <c r="E1623" s="19" t="n">
        <v>4.78</v>
      </c>
      <c r="G1623" s="16" t="n">
        <v>44060</v>
      </c>
      <c r="H1623" s="19" t="n">
        <v>1.71</v>
      </c>
      <c r="J1623" s="16" t="n">
        <v>44060</v>
      </c>
      <c r="K1623" s="19" t="n">
        <v>138.96</v>
      </c>
    </row>
    <row r="1624">
      <c r="D1624" s="16" t="n">
        <v>44061</v>
      </c>
      <c r="E1624" s="19" t="n">
        <v>4.69</v>
      </c>
      <c r="G1624" s="16" t="n">
        <v>44061</v>
      </c>
      <c r="H1624" s="19" t="n">
        <v>1.72</v>
      </c>
      <c r="J1624" s="16" t="n">
        <v>44061</v>
      </c>
      <c r="K1624" s="19" t="n">
        <v>138.77</v>
      </c>
    </row>
    <row r="1625">
      <c r="D1625" s="16" t="n">
        <v>44062</v>
      </c>
      <c r="E1625" s="19" t="n">
        <v>4.69</v>
      </c>
      <c r="G1625" s="16" t="n">
        <v>44062</v>
      </c>
      <c r="H1625" s="19" t="n">
        <v>1.7</v>
      </c>
      <c r="J1625" s="16" t="n">
        <v>44062</v>
      </c>
      <c r="K1625" s="19" t="n">
        <v>139.03</v>
      </c>
    </row>
    <row r="1626">
      <c r="D1626" s="16" t="n">
        <v>44063</v>
      </c>
      <c r="E1626" s="19" t="n">
        <v>4.69</v>
      </c>
      <c r="G1626" s="16" t="n">
        <v>44063</v>
      </c>
      <c r="H1626" s="19" t="n">
        <v>1.76</v>
      </c>
      <c r="J1626" s="16" t="n">
        <v>44063</v>
      </c>
      <c r="K1626" s="19" t="n">
        <v>139.68</v>
      </c>
    </row>
    <row r="1627">
      <c r="D1627" s="16" t="n">
        <v>44064</v>
      </c>
      <c r="E1627" s="19" t="n">
        <v>4.74</v>
      </c>
      <c r="G1627" s="16" t="n">
        <v>44064</v>
      </c>
      <c r="H1627" s="19" t="n">
        <v>1.76</v>
      </c>
      <c r="J1627" s="16" t="n">
        <v>44064</v>
      </c>
      <c r="K1627" s="19" t="n">
        <v>139.95</v>
      </c>
    </row>
    <row r="1628">
      <c r="D1628" s="16" t="n">
        <v>44067</v>
      </c>
      <c r="E1628" s="19" t="n">
        <v>4.71</v>
      </c>
      <c r="G1628" s="16" t="n">
        <v>44067</v>
      </c>
      <c r="H1628" s="19" t="n">
        <v>1.79</v>
      </c>
      <c r="J1628" s="16" t="n">
        <v>44067</v>
      </c>
      <c r="K1628" s="19" t="n">
        <v>139.22</v>
      </c>
    </row>
    <row r="1629">
      <c r="D1629" s="16" t="n">
        <v>44068</v>
      </c>
      <c r="E1629" s="19" t="n">
        <v>4.68</v>
      </c>
      <c r="G1629" s="16" t="n">
        <v>44068</v>
      </c>
      <c r="H1629" s="19" t="n">
        <v>1.79</v>
      </c>
      <c r="J1629" s="16" t="n">
        <v>44068</v>
      </c>
      <c r="K1629" s="19" t="n">
        <v>140.47</v>
      </c>
    </row>
    <row r="1630">
      <c r="D1630" s="16" t="n">
        <v>44069</v>
      </c>
      <c r="E1630" s="19" t="n">
        <v>4.69</v>
      </c>
      <c r="G1630" s="16" t="n">
        <v>44069</v>
      </c>
      <c r="H1630" s="19" t="n">
        <v>1.82</v>
      </c>
      <c r="J1630" s="16" t="n">
        <v>44069</v>
      </c>
      <c r="K1630" s="19" t="n">
        <v>140.25</v>
      </c>
    </row>
    <row r="1631">
      <c r="D1631" s="16" t="n">
        <v>44070</v>
      </c>
      <c r="E1631" s="19" t="n">
        <v>4.67</v>
      </c>
      <c r="G1631" s="16" t="n">
        <v>44070</v>
      </c>
      <c r="H1631" s="19" t="n">
        <v>1.78</v>
      </c>
      <c r="J1631" s="16" t="n">
        <v>44070</v>
      </c>
      <c r="K1631" s="19" t="n">
        <v>141.8</v>
      </c>
    </row>
    <row r="1632">
      <c r="D1632" s="16" t="n">
        <v>44071</v>
      </c>
      <c r="E1632" s="19" t="n">
        <v>4.73</v>
      </c>
      <c r="G1632" s="16" t="n">
        <v>44071</v>
      </c>
      <c r="H1632" s="19" t="n">
        <v>1.74</v>
      </c>
      <c r="J1632" s="16" t="n">
        <v>44071</v>
      </c>
      <c r="K1632" s="19" t="n">
        <v>141.05</v>
      </c>
    </row>
    <row r="1633">
      <c r="D1633" s="16" t="n">
        <v>44074</v>
      </c>
      <c r="E1633" s="19" t="n">
        <v>4.69</v>
      </c>
      <c r="G1633" s="16" t="n">
        <v>44074</v>
      </c>
      <c r="H1633" s="19" t="n">
        <v>1.79</v>
      </c>
      <c r="J1633" s="16" t="n">
        <v>44074</v>
      </c>
      <c r="K1633" s="19" t="n">
        <v>140.68</v>
      </c>
    </row>
    <row r="1634">
      <c r="D1634" s="16" t="n">
        <v>44075</v>
      </c>
      <c r="E1634" s="19" t="n">
        <v>4.76</v>
      </c>
      <c r="G1634" s="16" t="n">
        <v>44075</v>
      </c>
      <c r="H1634" s="19" t="n">
        <v>1.76</v>
      </c>
      <c r="J1634" s="16" t="n">
        <v>44075</v>
      </c>
      <c r="K1634" s="19" t="n">
        <v>141.27</v>
      </c>
    </row>
    <row r="1635">
      <c r="D1635" s="16" t="n">
        <v>44076</v>
      </c>
      <c r="E1635" s="19" t="n">
        <v>4.77</v>
      </c>
      <c r="G1635" s="16" t="n">
        <v>44076</v>
      </c>
      <c r="H1635" s="19" t="n">
        <v>1.75</v>
      </c>
      <c r="J1635" s="16" t="n">
        <v>44076</v>
      </c>
      <c r="K1635" s="19" t="n">
        <v>141.81</v>
      </c>
    </row>
    <row r="1636">
      <c r="D1636" s="16" t="n">
        <v>44077</v>
      </c>
      <c r="E1636" s="19" t="n">
        <v>4.84</v>
      </c>
      <c r="G1636" s="16" t="n">
        <v>44077</v>
      </c>
      <c r="H1636" s="19" t="n">
        <v>1.79</v>
      </c>
      <c r="J1636" s="16" t="n">
        <v>44077</v>
      </c>
      <c r="K1636" s="19" t="n">
        <v>141.79</v>
      </c>
    </row>
    <row r="1637">
      <c r="D1637" s="16" t="n">
        <v>44078</v>
      </c>
      <c r="E1637" s="19" t="n">
        <v>4.82</v>
      </c>
      <c r="G1637" s="16" t="n">
        <v>44078</v>
      </c>
      <c r="H1637" s="19" t="n">
        <v>1.77</v>
      </c>
      <c r="J1637" s="16" t="n">
        <v>44078</v>
      </c>
      <c r="K1637" s="19" t="n">
        <v>141.78</v>
      </c>
    </row>
    <row r="1638">
      <c r="D1638" s="16" t="n">
        <v>44081</v>
      </c>
      <c r="E1638" s="19" t="n">
        <v>4.82</v>
      </c>
      <c r="G1638" s="16" t="n">
        <v>44081</v>
      </c>
      <c r="H1638" s="19" t="n">
        <v>1.79</v>
      </c>
      <c r="J1638" s="16" t="n">
        <v>44081</v>
      </c>
      <c r="K1638" s="19" t="n">
        <v>141.09</v>
      </c>
    </row>
    <row r="1639">
      <c r="D1639" s="16" t="n">
        <v>44082</v>
      </c>
      <c r="E1639" s="19" t="n">
        <v>4.83</v>
      </c>
      <c r="G1639" s="16" t="n">
        <v>44082</v>
      </c>
      <c r="H1639" s="19" t="n">
        <v>1.82</v>
      </c>
      <c r="J1639" s="16" t="n">
        <v>44082</v>
      </c>
      <c r="K1639" s="19" t="n">
        <v>140.27</v>
      </c>
    </row>
    <row r="1640">
      <c r="D1640" s="16" t="n">
        <v>44083</v>
      </c>
      <c r="E1640" s="19" t="n">
        <v>4.78</v>
      </c>
      <c r="G1640" s="16" t="n">
        <v>44083</v>
      </c>
      <c r="H1640" s="19" t="n">
        <v>1.79</v>
      </c>
      <c r="J1640" s="16" t="n">
        <v>44083</v>
      </c>
      <c r="K1640" s="19" t="n">
        <v>140.16</v>
      </c>
    </row>
    <row r="1641">
      <c r="D1641" s="16" t="n">
        <v>44084</v>
      </c>
      <c r="E1641" s="19" t="n">
        <v>4.83</v>
      </c>
      <c r="G1641" s="16" t="n">
        <v>44084</v>
      </c>
      <c r="H1641" s="19" t="n">
        <v>1.78</v>
      </c>
      <c r="J1641" s="16" t="n">
        <v>44084</v>
      </c>
      <c r="K1641" s="19" t="n">
        <v>140.48</v>
      </c>
    </row>
    <row r="1642">
      <c r="D1642" s="16" t="n">
        <v>44085</v>
      </c>
      <c r="E1642" s="19" t="n">
        <v>4.81</v>
      </c>
      <c r="G1642" s="16" t="n">
        <v>44085</v>
      </c>
      <c r="H1642" s="19" t="n">
        <v>1.84</v>
      </c>
      <c r="J1642" s="16" t="n">
        <v>44085</v>
      </c>
      <c r="K1642" s="19" t="n">
        <v>141.42</v>
      </c>
    </row>
    <row r="1643">
      <c r="D1643" s="16" t="n">
        <v>44088</v>
      </c>
      <c r="E1643" s="19" t="n">
        <v>4.88</v>
      </c>
      <c r="G1643" s="16" t="n">
        <v>44088</v>
      </c>
      <c r="H1643" s="19" t="n">
        <v>1.84</v>
      </c>
      <c r="J1643" s="16" t="n">
        <v>44088</v>
      </c>
      <c r="K1643" s="19" t="n">
        <v>141.76</v>
      </c>
    </row>
    <row r="1644">
      <c r="D1644" s="16" t="n">
        <v>44089</v>
      </c>
      <c r="E1644" s="19" t="n">
        <v>4.94</v>
      </c>
      <c r="G1644" s="16" t="n">
        <v>44089</v>
      </c>
      <c r="H1644" s="19" t="n">
        <v>1.8</v>
      </c>
      <c r="J1644" s="16" t="n">
        <v>44089</v>
      </c>
      <c r="K1644" s="19" t="n">
        <v>142.81</v>
      </c>
    </row>
    <row r="1645">
      <c r="D1645" s="16" t="n">
        <v>44090</v>
      </c>
      <c r="E1645" s="19" t="n">
        <v>4.96</v>
      </c>
      <c r="G1645" s="16" t="n">
        <v>44090</v>
      </c>
      <c r="H1645" s="19" t="n">
        <v>1.75</v>
      </c>
      <c r="J1645" s="16" t="n">
        <v>44090</v>
      </c>
      <c r="K1645" s="19" t="n">
        <v>141.58</v>
      </c>
    </row>
    <row r="1646">
      <c r="D1646" s="16" t="n">
        <v>44091</v>
      </c>
      <c r="E1646" s="19" t="n">
        <v>4.95</v>
      </c>
      <c r="G1646" s="16" t="n">
        <v>44091</v>
      </c>
      <c r="H1646" s="19" t="n">
        <v>1.72</v>
      </c>
      <c r="J1646" s="16" t="n">
        <v>44091</v>
      </c>
      <c r="K1646" s="19" t="n">
        <v>141.62</v>
      </c>
    </row>
    <row r="1647">
      <c r="D1647" s="16" t="n">
        <v>44092</v>
      </c>
      <c r="E1647" s="19" t="n">
        <v>4.93</v>
      </c>
      <c r="G1647" s="16" t="n">
        <v>44092</v>
      </c>
      <c r="H1647" s="19" t="n">
        <v>1.71</v>
      </c>
      <c r="J1647" s="16" t="n">
        <v>44092</v>
      </c>
      <c r="K1647" s="19" t="n">
        <v>140.66</v>
      </c>
    </row>
    <row r="1648">
      <c r="D1648" s="16" t="n">
        <v>44095</v>
      </c>
      <c r="E1648" s="19" t="n">
        <v>4.96</v>
      </c>
      <c r="G1648" s="16" t="n">
        <v>44095</v>
      </c>
      <c r="H1648" s="19" t="n">
        <v>1.75</v>
      </c>
      <c r="J1648" s="16" t="n">
        <v>44095</v>
      </c>
      <c r="K1648" s="19" t="n">
        <v>140.33</v>
      </c>
    </row>
    <row r="1649">
      <c r="D1649" s="16" t="n">
        <v>44096</v>
      </c>
      <c r="E1649" s="19" t="n">
        <v>5</v>
      </c>
      <c r="G1649" s="16" t="n">
        <v>44096</v>
      </c>
      <c r="H1649" s="19" t="n">
        <v>1.71</v>
      </c>
      <c r="J1649" s="16" t="n">
        <v>44096</v>
      </c>
      <c r="K1649" s="19" t="n">
        <v>140.02</v>
      </c>
    </row>
    <row r="1650">
      <c r="D1650" s="16" t="n">
        <v>44097</v>
      </c>
      <c r="E1650" s="19" t="n">
        <v>5.03</v>
      </c>
      <c r="G1650" s="16" t="n">
        <v>44097</v>
      </c>
      <c r="H1650" s="19" t="n">
        <v>1.68</v>
      </c>
      <c r="J1650" s="16" t="n">
        <v>44097</v>
      </c>
      <c r="K1650" s="19" t="n">
        <v>139.76</v>
      </c>
    </row>
    <row r="1651">
      <c r="D1651" s="16" t="n">
        <v>44098</v>
      </c>
      <c r="E1651" s="19" t="n">
        <v>4.95</v>
      </c>
      <c r="G1651" s="16" t="n">
        <v>44098</v>
      </c>
      <c r="H1651" s="19" t="n">
        <v>1.66</v>
      </c>
      <c r="J1651" s="16" t="n">
        <v>44098</v>
      </c>
      <c r="K1651" s="19" t="n">
        <v>141.16</v>
      </c>
    </row>
    <row r="1652">
      <c r="D1652" s="16" t="n">
        <v>44099</v>
      </c>
      <c r="E1652" s="19" t="n">
        <v>4.93</v>
      </c>
      <c r="G1652" s="16" t="n">
        <v>44099</v>
      </c>
      <c r="H1652" s="19" t="n">
        <v>1.7</v>
      </c>
      <c r="J1652" s="16" t="n">
        <v>44099</v>
      </c>
      <c r="K1652" s="19" t="n">
        <v>142.52</v>
      </c>
    </row>
    <row r="1653">
      <c r="D1653" s="16" t="n">
        <v>44102</v>
      </c>
      <c r="E1653" s="19" t="n">
        <v>4.9</v>
      </c>
      <c r="G1653" s="16" t="n">
        <v>44102</v>
      </c>
      <c r="H1653" s="19" t="n">
        <v>1.72</v>
      </c>
      <c r="J1653" s="16" t="n">
        <v>44102</v>
      </c>
      <c r="K1653" s="19" t="n">
        <v>142.24</v>
      </c>
    </row>
    <row r="1654">
      <c r="D1654" s="16" t="n">
        <v>44103</v>
      </c>
      <c r="E1654" s="19" t="n">
        <v>4.91</v>
      </c>
      <c r="G1654" s="16" t="n">
        <v>44103</v>
      </c>
      <c r="H1654" s="19" t="n">
        <v>1.75</v>
      </c>
      <c r="J1654" s="16" t="n">
        <v>44103</v>
      </c>
      <c r="K1654" s="19" t="n">
        <v>141.26</v>
      </c>
    </row>
    <row r="1655">
      <c r="D1655" s="16" t="n">
        <v>44104</v>
      </c>
      <c r="E1655" s="19" t="n">
        <v>4.95</v>
      </c>
      <c r="G1655" s="16" t="n">
        <v>44104</v>
      </c>
      <c r="H1655" s="19" t="n">
        <v>1.72</v>
      </c>
      <c r="J1655" s="16" t="n">
        <v>44104</v>
      </c>
      <c r="K1655" s="19" t="n">
        <v>140.78</v>
      </c>
    </row>
    <row r="1656">
      <c r="D1656" s="16" t="n">
        <v>44105</v>
      </c>
      <c r="E1656" s="19" t="n">
        <v>4.91</v>
      </c>
      <c r="G1656" s="16" t="n">
        <v>44105</v>
      </c>
      <c r="H1656" s="19" t="n">
        <v>1.75</v>
      </c>
      <c r="J1656" s="16" t="n">
        <v>44105</v>
      </c>
      <c r="K1656" s="19" t="n">
        <v>140.15</v>
      </c>
    </row>
    <row r="1657">
      <c r="D1657" s="16" t="n">
        <v>44106</v>
      </c>
      <c r="E1657" s="19" t="n">
        <v>4.91</v>
      </c>
      <c r="G1657" s="16" t="n">
        <v>44106</v>
      </c>
      <c r="H1657" s="19" t="n">
        <v>1.67</v>
      </c>
      <c r="J1657" s="16" t="n">
        <v>44106</v>
      </c>
      <c r="K1657" s="19" t="n">
        <v>141.34</v>
      </c>
    </row>
    <row r="1658">
      <c r="D1658" s="16" t="n">
        <v>44109</v>
      </c>
      <c r="E1658" s="19" t="n">
        <v>4.86</v>
      </c>
      <c r="G1658" s="16" t="n">
        <v>44109</v>
      </c>
      <c r="H1658" s="19" t="n">
        <v>1.67</v>
      </c>
      <c r="J1658" s="16" t="n">
        <v>44109</v>
      </c>
      <c r="K1658" s="19" t="n">
        <v>141.69</v>
      </c>
    </row>
    <row r="1659">
      <c r="D1659" s="16" t="n">
        <v>44110</v>
      </c>
      <c r="E1659" s="19" t="n">
        <v>4.82</v>
      </c>
      <c r="G1659" s="16" t="n">
        <v>44110</v>
      </c>
      <c r="H1659" s="19" t="n">
        <v>1.74</v>
      </c>
      <c r="J1659" s="16" t="n">
        <v>44110</v>
      </c>
      <c r="K1659" s="19" t="n">
        <v>140.92</v>
      </c>
    </row>
    <row r="1660">
      <c r="D1660" s="16" t="n">
        <v>44111</v>
      </c>
      <c r="E1660" s="19" t="n">
        <v>4.85</v>
      </c>
      <c r="G1660" s="16" t="n">
        <v>44111</v>
      </c>
      <c r="H1660" s="19" t="n">
        <v>1.77</v>
      </c>
      <c r="J1660" s="16" t="n">
        <v>44111</v>
      </c>
      <c r="K1660" s="19" t="n">
        <v>141.8</v>
      </c>
    </row>
    <row r="1661">
      <c r="D1661" s="16" t="n">
        <v>44112</v>
      </c>
      <c r="E1661" s="19" t="n">
        <v>4.86</v>
      </c>
      <c r="G1661" s="16" t="n">
        <v>44112</v>
      </c>
      <c r="H1661" s="19" t="n">
        <v>1.85</v>
      </c>
      <c r="J1661" s="16" t="n">
        <v>44112</v>
      </c>
      <c r="K1661" s="19" t="n">
        <v>141.72</v>
      </c>
    </row>
    <row r="1662">
      <c r="D1662" s="16" t="n">
        <v>44113</v>
      </c>
      <c r="E1662" s="19" t="n">
        <v>4.83</v>
      </c>
      <c r="G1662" s="16" t="n">
        <v>44113</v>
      </c>
      <c r="H1662" s="19" t="n">
        <v>1.94</v>
      </c>
      <c r="J1662" s="16" t="n">
        <v>44113</v>
      </c>
      <c r="K1662" s="19" t="n">
        <v>142.1</v>
      </c>
    </row>
    <row r="1663">
      <c r="D1663" s="16" t="n">
        <v>44116</v>
      </c>
      <c r="E1663" s="19" t="n">
        <v>4.87</v>
      </c>
      <c r="G1663" s="16" t="n">
        <v>44116</v>
      </c>
      <c r="H1663" s="19" t="n">
        <v>1.92</v>
      </c>
      <c r="J1663" s="16" t="n">
        <v>44116</v>
      </c>
      <c r="K1663" s="19" t="n">
        <v>141.86</v>
      </c>
    </row>
    <row r="1664">
      <c r="D1664" s="16" t="n">
        <v>44117</v>
      </c>
      <c r="E1664" s="19" t="n">
        <v>4.86</v>
      </c>
      <c r="G1664" s="16" t="n">
        <v>44117</v>
      </c>
      <c r="H1664" s="19" t="n">
        <v>1.9</v>
      </c>
      <c r="J1664" s="16" t="n">
        <v>44117</v>
      </c>
      <c r="K1664" s="19" t="n">
        <v>141.86</v>
      </c>
    </row>
    <row r="1665">
      <c r="D1665" s="16" t="n">
        <v>44118</v>
      </c>
      <c r="E1665" s="19" t="n">
        <v>4.9</v>
      </c>
      <c r="G1665" s="16" t="n">
        <v>44118</v>
      </c>
      <c r="H1665" s="19" t="n">
        <v>1.85</v>
      </c>
      <c r="J1665" s="16" t="n">
        <v>44118</v>
      </c>
      <c r="K1665" s="19" t="n">
        <v>141.77</v>
      </c>
    </row>
    <row r="1666">
      <c r="D1666" s="16" t="n">
        <v>44119</v>
      </c>
      <c r="E1666" s="19" t="n">
        <v>4.93</v>
      </c>
      <c r="G1666" s="16" t="n">
        <v>44119</v>
      </c>
      <c r="H1666" s="19" t="n">
        <v>1.87</v>
      </c>
      <c r="J1666" s="16" t="n">
        <v>44119</v>
      </c>
      <c r="K1666" s="19" t="n">
        <v>142.23</v>
      </c>
    </row>
    <row r="1667">
      <c r="D1667" s="16" t="n">
        <v>44120</v>
      </c>
      <c r="E1667" s="19" t="n">
        <v>4.86</v>
      </c>
      <c r="G1667" s="16" t="n">
        <v>44120</v>
      </c>
      <c r="H1667" s="19" t="n">
        <v>1.91</v>
      </c>
      <c r="J1667" s="16" t="n">
        <v>44120</v>
      </c>
      <c r="K1667" s="19" t="n">
        <v>142.23</v>
      </c>
    </row>
    <row r="1668">
      <c r="D1668" s="16" t="n">
        <v>44123</v>
      </c>
      <c r="E1668" s="19" t="n">
        <v>4.82</v>
      </c>
      <c r="G1668" s="16" t="n">
        <v>44123</v>
      </c>
      <c r="H1668" s="19" t="n">
        <v>1.86</v>
      </c>
      <c r="J1668" s="16" t="n">
        <v>44123</v>
      </c>
      <c r="K1668" s="19" t="n">
        <v>141.31</v>
      </c>
    </row>
    <row r="1669">
      <c r="D1669" s="16" t="n">
        <v>44124</v>
      </c>
      <c r="E1669" s="19" t="n">
        <v>4.83</v>
      </c>
      <c r="G1669" s="16" t="n">
        <v>44124</v>
      </c>
      <c r="H1669" s="19" t="n">
        <v>1.75</v>
      </c>
      <c r="J1669" s="16" t="n">
        <v>44124</v>
      </c>
      <c r="K1669" s="19" t="n">
        <v>141.36</v>
      </c>
    </row>
    <row r="1670">
      <c r="D1670" s="16" t="n">
        <v>44125</v>
      </c>
      <c r="E1670" s="19" t="n">
        <v>4.74</v>
      </c>
      <c r="G1670" s="16" t="n">
        <v>44125</v>
      </c>
      <c r="H1670" s="19" t="n">
        <v>1.81</v>
      </c>
      <c r="J1670" s="16" t="n">
        <v>44125</v>
      </c>
      <c r="K1670" s="19" t="n">
        <v>141.1</v>
      </c>
    </row>
    <row r="1671">
      <c r="D1671" s="16" t="n">
        <v>44126</v>
      </c>
      <c r="E1671" s="19" t="n">
        <v>4.76</v>
      </c>
      <c r="G1671" s="16" t="n">
        <v>44126</v>
      </c>
      <c r="H1671" s="19" t="n">
        <v>1.81</v>
      </c>
      <c r="J1671" s="16" t="n">
        <v>44126</v>
      </c>
      <c r="K1671" s="19" t="n">
        <v>141.32</v>
      </c>
    </row>
    <row r="1672">
      <c r="D1672" s="16" t="n">
        <v>44127</v>
      </c>
      <c r="E1672" s="19" t="n">
        <v>4.77</v>
      </c>
      <c r="G1672" s="16" t="n">
        <v>44127</v>
      </c>
      <c r="H1672" s="19" t="n">
        <v>1.85</v>
      </c>
      <c r="J1672" s="16" t="n">
        <v>44127</v>
      </c>
      <c r="K1672" s="19" t="n">
        <v>141.15</v>
      </c>
    </row>
    <row r="1673">
      <c r="D1673" s="16" t="n">
        <v>44130</v>
      </c>
      <c r="E1673" s="19" t="n">
        <v>4.73</v>
      </c>
      <c r="G1673" s="16" t="n">
        <v>44130</v>
      </c>
      <c r="H1673" s="19" t="n">
        <v>1.88</v>
      </c>
      <c r="J1673" s="16" t="n">
        <v>44130</v>
      </c>
      <c r="K1673" s="19" t="n">
        <v>141.21</v>
      </c>
    </row>
    <row r="1674">
      <c r="D1674" s="16" t="n">
        <v>44131</v>
      </c>
      <c r="E1674" s="19" t="n">
        <v>4.74</v>
      </c>
      <c r="G1674" s="16" t="n">
        <v>44131</v>
      </c>
      <c r="H1674" s="19" t="n">
        <v>1.84</v>
      </c>
      <c r="J1674" s="16" t="n">
        <v>44131</v>
      </c>
      <c r="K1674" s="19" t="n">
        <v>141.05</v>
      </c>
    </row>
    <row r="1675">
      <c r="D1675" s="16" t="n">
        <v>44132</v>
      </c>
      <c r="E1675" s="19" t="n">
        <v>4.69</v>
      </c>
      <c r="G1675" s="16" t="n">
        <v>44132</v>
      </c>
      <c r="H1675" s="19" t="n">
        <v>1.8</v>
      </c>
      <c r="J1675" s="16" t="n">
        <v>44132</v>
      </c>
      <c r="K1675" s="19" t="n">
        <v>141.28</v>
      </c>
    </row>
    <row r="1676">
      <c r="D1676" s="16" t="n">
        <v>44133</v>
      </c>
      <c r="E1676" s="19" t="n">
        <v>4.7</v>
      </c>
      <c r="G1676" s="16" t="n">
        <v>44133</v>
      </c>
      <c r="H1676" s="19" t="n">
        <v>1.85</v>
      </c>
      <c r="J1676" s="16" t="n">
        <v>44133</v>
      </c>
      <c r="K1676" s="19" t="n">
        <v>140.36</v>
      </c>
    </row>
    <row r="1677">
      <c r="D1677" s="16" t="n">
        <v>44134</v>
      </c>
      <c r="E1677" s="19" t="n">
        <v>4.63</v>
      </c>
      <c r="G1677" s="16" t="n">
        <v>44134</v>
      </c>
      <c r="H1677" s="19" t="n">
        <v>1.87</v>
      </c>
      <c r="J1677" s="16" t="n">
        <v>44134</v>
      </c>
      <c r="K1677" s="19" t="n">
        <v>140.22</v>
      </c>
    </row>
    <row r="1678">
      <c r="D1678" s="16" t="n">
        <v>44137</v>
      </c>
      <c r="E1678" s="19" t="n">
        <v>4.63</v>
      </c>
      <c r="G1678" s="16" t="n">
        <v>44137</v>
      </c>
      <c r="H1678" s="19" t="n">
        <v>1.77</v>
      </c>
      <c r="J1678" s="16" t="n">
        <v>44137</v>
      </c>
      <c r="K1678" s="19" t="n">
        <v>139.06</v>
      </c>
    </row>
    <row r="1679">
      <c r="D1679" s="16" t="n">
        <v>44138</v>
      </c>
      <c r="E1679" s="19" t="n">
        <v>4.63</v>
      </c>
      <c r="G1679" s="16" t="n">
        <v>44138</v>
      </c>
      <c r="H1679" s="19" t="n">
        <v>1.73</v>
      </c>
      <c r="J1679" s="16" t="n">
        <v>44138</v>
      </c>
      <c r="K1679" s="19" t="n">
        <v>141.08</v>
      </c>
    </row>
    <row r="1680">
      <c r="D1680" s="16" t="n">
        <v>44139</v>
      </c>
      <c r="E1680" s="19" t="n">
        <v>4.66</v>
      </c>
      <c r="G1680" s="16" t="n">
        <v>44139</v>
      </c>
      <c r="H1680" s="19" t="n">
        <v>1.73</v>
      </c>
      <c r="J1680" s="16" t="n">
        <v>44139</v>
      </c>
      <c r="K1680" s="19" t="n">
        <v>141.51</v>
      </c>
    </row>
    <row r="1681">
      <c r="D1681" s="16" t="n">
        <v>44140</v>
      </c>
      <c r="E1681" s="19" t="n">
        <v>4.6</v>
      </c>
      <c r="G1681" s="16" t="n">
        <v>44140</v>
      </c>
      <c r="H1681" s="19" t="n">
        <v>1.7</v>
      </c>
      <c r="J1681" s="16" t="n">
        <v>44140</v>
      </c>
      <c r="K1681" s="19" t="n">
        <v>141.74</v>
      </c>
    </row>
    <row r="1682">
      <c r="D1682" s="16" t="n">
        <v>44141</v>
      </c>
      <c r="E1682" s="19" t="n">
        <v>4.53</v>
      </c>
      <c r="G1682" s="16" t="n">
        <v>44141</v>
      </c>
      <c r="H1682" s="19" t="n">
        <v>1.76</v>
      </c>
      <c r="J1682" s="16" t="n">
        <v>44141</v>
      </c>
      <c r="K1682" s="19" t="n">
        <v>141.05</v>
      </c>
    </row>
    <row r="1683">
      <c r="D1683" s="16" t="n">
        <v>44144</v>
      </c>
      <c r="E1683" s="19" t="n">
        <v>4.54</v>
      </c>
      <c r="G1683" s="16" t="n">
        <v>44144</v>
      </c>
      <c r="H1683" s="19" t="n">
        <v>1.69</v>
      </c>
      <c r="J1683" s="16" t="n">
        <v>44144</v>
      </c>
      <c r="K1683" s="19" t="n">
        <v>140.07</v>
      </c>
    </row>
    <row r="1684">
      <c r="D1684" s="16" t="n">
        <v>44145</v>
      </c>
      <c r="E1684" s="19" t="n">
        <v>4.47</v>
      </c>
      <c r="G1684" s="16" t="n">
        <v>44145</v>
      </c>
      <c r="H1684" s="19" t="n">
        <v>1.7</v>
      </c>
      <c r="J1684" s="16" t="n">
        <v>44145</v>
      </c>
      <c r="K1684" s="19" t="n">
        <v>140.17</v>
      </c>
    </row>
    <row r="1685">
      <c r="D1685" s="16" t="n">
        <v>44146</v>
      </c>
      <c r="E1685" s="19" t="n">
        <v>4.48</v>
      </c>
      <c r="G1685" s="16" t="n">
        <v>44146</v>
      </c>
      <c r="H1685" s="19" t="n">
        <v>1.71</v>
      </c>
      <c r="J1685" s="16" t="n">
        <v>44146</v>
      </c>
      <c r="K1685" s="19" t="n">
        <v>139.48</v>
      </c>
    </row>
    <row r="1686">
      <c r="D1686" s="16" t="n">
        <v>44147</v>
      </c>
      <c r="E1686" s="19" t="n">
        <v>4.49</v>
      </c>
      <c r="G1686" s="16" t="n">
        <v>44147</v>
      </c>
      <c r="H1686" s="19" t="n">
        <v>1.76</v>
      </c>
      <c r="J1686" s="16" t="n">
        <v>44147</v>
      </c>
      <c r="K1686" s="19" t="n">
        <v>140.01</v>
      </c>
    </row>
    <row r="1687">
      <c r="D1687" s="16" t="n">
        <v>44148</v>
      </c>
      <c r="E1687" s="19" t="n">
        <v>4.43</v>
      </c>
      <c r="G1687" s="16" t="n">
        <v>44148</v>
      </c>
      <c r="H1687" s="19" t="n">
        <v>1.73</v>
      </c>
      <c r="J1687" s="16" t="n">
        <v>44148</v>
      </c>
      <c r="K1687" s="19" t="n">
        <v>139.92</v>
      </c>
    </row>
    <row r="1688">
      <c r="D1688" s="16" t="n">
        <v>44151</v>
      </c>
      <c r="E1688" s="19" t="n">
        <v>4.37</v>
      </c>
      <c r="G1688" s="16" t="n">
        <v>44151</v>
      </c>
      <c r="H1688" s="19" t="n">
        <v>1.82</v>
      </c>
      <c r="J1688" s="16" t="n">
        <v>44151</v>
      </c>
      <c r="K1688" s="19" t="n">
        <v>139.81</v>
      </c>
    </row>
    <row r="1689">
      <c r="D1689" s="16" t="n">
        <v>44152</v>
      </c>
      <c r="E1689" s="19" t="n">
        <v>4.29</v>
      </c>
      <c r="G1689" s="16" t="n">
        <v>44152</v>
      </c>
      <c r="H1689" s="19" t="n">
        <v>1.78</v>
      </c>
      <c r="J1689" s="16" t="n">
        <v>44152</v>
      </c>
      <c r="K1689" s="19" t="n">
        <v>139.54</v>
      </c>
    </row>
    <row r="1690">
      <c r="D1690" s="16" t="n">
        <v>44153</v>
      </c>
      <c r="E1690" s="19" t="n">
        <v>4.3</v>
      </c>
      <c r="G1690" s="16" t="n">
        <v>44153</v>
      </c>
      <c r="H1690" s="19" t="n">
        <v>1.8</v>
      </c>
      <c r="J1690" s="16" t="n">
        <v>44153</v>
      </c>
      <c r="K1690" s="19" t="n">
        <v>139.86</v>
      </c>
    </row>
    <row r="1691">
      <c r="D1691" s="16" t="n">
        <v>44154</v>
      </c>
      <c r="E1691" s="19" t="n">
        <v>4.26</v>
      </c>
      <c r="G1691" s="16" t="n">
        <v>44154</v>
      </c>
      <c r="H1691" s="19" t="n">
        <v>1.81</v>
      </c>
      <c r="J1691" s="16" t="n">
        <v>44154</v>
      </c>
      <c r="K1691" s="19" t="n">
        <v>141.56</v>
      </c>
    </row>
    <row r="1692">
      <c r="D1692" s="16" t="n">
        <v>44155</v>
      </c>
      <c r="E1692" s="19" t="n">
        <v>4.21</v>
      </c>
      <c r="G1692" s="16" t="n">
        <v>44155</v>
      </c>
      <c r="H1692" s="19" t="n">
        <v>1.82</v>
      </c>
      <c r="J1692" s="16" t="n">
        <v>44155</v>
      </c>
      <c r="K1692" s="19" t="n">
        <v>142.15</v>
      </c>
    </row>
    <row r="1693">
      <c r="D1693" s="16" t="n">
        <v>44158</v>
      </c>
      <c r="E1693" s="19" t="n">
        <v>4.11</v>
      </c>
      <c r="G1693" s="16" t="n">
        <v>44158</v>
      </c>
      <c r="H1693" s="19" t="n">
        <v>1.84</v>
      </c>
      <c r="J1693" s="16" t="n">
        <v>44158</v>
      </c>
      <c r="K1693" s="19" t="n">
        <v>142.5</v>
      </c>
    </row>
    <row r="1694">
      <c r="D1694" s="16" t="n">
        <v>44159</v>
      </c>
      <c r="E1694" s="19" t="n">
        <v>4.1</v>
      </c>
      <c r="G1694" s="16" t="n">
        <v>44159</v>
      </c>
      <c r="H1694" s="19" t="n">
        <v>1.79</v>
      </c>
      <c r="J1694" s="16" t="n">
        <v>44159</v>
      </c>
      <c r="K1694" s="19" t="n">
        <v>142.64</v>
      </c>
    </row>
    <row r="1695">
      <c r="D1695" s="16" t="n">
        <v>44160</v>
      </c>
      <c r="E1695" s="19" t="n">
        <v>4.11</v>
      </c>
      <c r="G1695" s="16" t="n">
        <v>44160</v>
      </c>
      <c r="H1695" s="19" t="n">
        <v>1.75</v>
      </c>
      <c r="J1695" s="16" t="n">
        <v>44160</v>
      </c>
      <c r="K1695" s="19" t="n">
        <v>143.18</v>
      </c>
    </row>
    <row r="1696">
      <c r="D1696" s="16" t="n">
        <v>44161</v>
      </c>
      <c r="E1696" s="19" t="inlineStr">
        <is>
          <t>.</t>
        </is>
      </c>
      <c r="G1696" s="16" t="n">
        <v>44161</v>
      </c>
      <c r="H1696" s="19" t="inlineStr">
        <is>
          <t>.</t>
        </is>
      </c>
      <c r="J1696" s="16" t="n">
        <v>44161</v>
      </c>
      <c r="K1696" s="19" t="inlineStr">
        <is>
          <t>.</t>
        </is>
      </c>
    </row>
    <row r="1697">
      <c r="D1697" s="16" t="n">
        <v>44162</v>
      </c>
      <c r="E1697" s="19" t="n">
        <v>4.19</v>
      </c>
      <c r="G1697" s="16" t="n">
        <v>44162</v>
      </c>
      <c r="H1697" s="19" t="n">
        <v>1.78</v>
      </c>
      <c r="J1697" s="16" t="n">
        <v>44162</v>
      </c>
      <c r="K1697" s="19" t="n">
        <v>142.24</v>
      </c>
    </row>
    <row r="1698">
      <c r="D1698" s="16" t="n">
        <v>44165</v>
      </c>
      <c r="E1698" s="19" t="n">
        <v>4.16</v>
      </c>
      <c r="G1698" s="16" t="n">
        <v>44165</v>
      </c>
      <c r="H1698" s="19" t="n">
        <v>1.78</v>
      </c>
      <c r="J1698" s="16" t="n">
        <v>44165</v>
      </c>
      <c r="K1698" s="19" t="n">
        <v>141.8</v>
      </c>
    </row>
    <row r="1699">
      <c r="D1699" s="16" t="n">
        <v>44166</v>
      </c>
      <c r="E1699" s="19" t="n">
        <v>4.2</v>
      </c>
      <c r="G1699" s="16" t="n">
        <v>44166</v>
      </c>
      <c r="H1699" s="19" t="n">
        <v>1.8</v>
      </c>
      <c r="J1699" s="16" t="n">
        <v>44166</v>
      </c>
      <c r="K1699" s="19" t="n">
        <v>142.79</v>
      </c>
    </row>
    <row r="1700">
      <c r="D1700" s="16" t="n">
        <v>44167</v>
      </c>
      <c r="E1700" s="19" t="n">
        <v>4.21</v>
      </c>
      <c r="G1700" s="16" t="n">
        <v>44167</v>
      </c>
      <c r="H1700" s="19" t="n">
        <v>1.76</v>
      </c>
      <c r="J1700" s="16" t="n">
        <v>44167</v>
      </c>
      <c r="K1700" s="19" t="n">
        <v>143.18</v>
      </c>
    </row>
    <row r="1701">
      <c r="D1701" s="16" t="n">
        <v>44168</v>
      </c>
      <c r="E1701" s="19" t="n">
        <v>4.24</v>
      </c>
      <c r="G1701" s="16" t="n">
        <v>44168</v>
      </c>
      <c r="H1701" s="19" t="n">
        <v>1.76</v>
      </c>
      <c r="J1701" s="16" t="n">
        <v>44168</v>
      </c>
      <c r="K1701" s="19" t="n">
        <v>142.69</v>
      </c>
    </row>
    <row r="1702">
      <c r="D1702" s="16" t="n">
        <v>44169</v>
      </c>
      <c r="E1702" s="19" t="n">
        <v>4.25</v>
      </c>
      <c r="G1702" s="16" t="n">
        <v>44169</v>
      </c>
      <c r="H1702" s="19" t="n">
        <v>1.83</v>
      </c>
      <c r="J1702" s="16" t="n">
        <v>44169</v>
      </c>
      <c r="K1702" s="19" t="n">
        <v>143.45</v>
      </c>
    </row>
    <row r="1703">
      <c r="D1703" s="16" t="n">
        <v>44172</v>
      </c>
      <c r="E1703" s="19" t="n">
        <v>4.2</v>
      </c>
      <c r="G1703" s="16" t="n">
        <v>44172</v>
      </c>
      <c r="H1703" s="19" t="n">
        <v>1.79</v>
      </c>
      <c r="J1703" s="16" t="n">
        <v>44172</v>
      </c>
      <c r="K1703" s="19" t="n">
        <v>144.24</v>
      </c>
    </row>
    <row r="1704">
      <c r="D1704" s="16" t="n">
        <v>44173</v>
      </c>
      <c r="E1704" s="19" t="n">
        <v>4.11</v>
      </c>
      <c r="G1704" s="16" t="n">
        <v>44173</v>
      </c>
      <c r="H1704" s="19" t="n">
        <v>1.85</v>
      </c>
      <c r="J1704" s="16" t="n">
        <v>44173</v>
      </c>
      <c r="K1704" s="19" t="n">
        <v>144.52</v>
      </c>
    </row>
    <row r="1705">
      <c r="D1705" s="16" t="n">
        <v>44174</v>
      </c>
      <c r="E1705" s="19" t="n">
        <v>4.14</v>
      </c>
      <c r="G1705" s="16" t="n">
        <v>44174</v>
      </c>
      <c r="H1705" s="19" t="n">
        <v>1.84</v>
      </c>
      <c r="J1705" s="16" t="n">
        <v>44174</v>
      </c>
      <c r="K1705" s="19" t="n">
        <v>144.99</v>
      </c>
    </row>
    <row r="1706">
      <c r="D1706" s="16" t="n">
        <v>44175</v>
      </c>
      <c r="E1706" s="19" t="n">
        <v>4.21</v>
      </c>
      <c r="G1706" s="16" t="n">
        <v>44175</v>
      </c>
      <c r="H1706" s="19" t="n">
        <v>1.82</v>
      </c>
      <c r="J1706" s="16" t="n">
        <v>44175</v>
      </c>
      <c r="K1706" s="19" t="n">
        <v>145.78</v>
      </c>
    </row>
    <row r="1707">
      <c r="D1707" s="16" t="n">
        <v>44176</v>
      </c>
      <c r="E1707" s="19" t="n">
        <v>4.19</v>
      </c>
      <c r="G1707" s="16" t="n">
        <v>44176</v>
      </c>
      <c r="H1707" s="19" t="n">
        <v>1.85</v>
      </c>
      <c r="J1707" s="16" t="n">
        <v>44176</v>
      </c>
      <c r="K1707" s="19" t="n">
        <v>145.29</v>
      </c>
    </row>
    <row r="1708">
      <c r="D1708" s="16" t="n">
        <v>44179</v>
      </c>
      <c r="E1708" s="19" t="n">
        <v>4.23</v>
      </c>
      <c r="G1708" s="16" t="n">
        <v>44179</v>
      </c>
      <c r="H1708" s="19" t="n">
        <v>1.84</v>
      </c>
      <c r="J1708" s="16" t="n">
        <v>44179</v>
      </c>
      <c r="K1708" s="19" t="n">
        <v>144.75</v>
      </c>
    </row>
    <row r="1709">
      <c r="D1709" s="16" t="n">
        <v>44180</v>
      </c>
      <c r="E1709" s="19" t="n">
        <v>4.27</v>
      </c>
      <c r="G1709" s="16" t="n">
        <v>44180</v>
      </c>
      <c r="H1709" s="19" t="n">
        <v>1.86</v>
      </c>
      <c r="J1709" s="16" t="n">
        <v>44180</v>
      </c>
      <c r="K1709" s="19" t="n">
        <v>145.78</v>
      </c>
    </row>
    <row r="1710">
      <c r="D1710" s="16" t="n">
        <v>44181</v>
      </c>
      <c r="E1710" s="19" t="n">
        <v>4.26</v>
      </c>
      <c r="G1710" s="16" t="n">
        <v>44181</v>
      </c>
      <c r="H1710" s="19" t="n">
        <v>1.85</v>
      </c>
      <c r="J1710" s="16" t="n">
        <v>44181</v>
      </c>
      <c r="K1710" s="19" t="n">
        <v>146.35</v>
      </c>
    </row>
    <row r="1711">
      <c r="D1711" s="16" t="n">
        <v>44182</v>
      </c>
      <c r="E1711" s="19" t="n">
        <v>4.2</v>
      </c>
      <c r="G1711" s="16" t="n">
        <v>44182</v>
      </c>
      <c r="H1711" s="19" t="n">
        <v>1.84</v>
      </c>
      <c r="J1711" s="16" t="n">
        <v>44182</v>
      </c>
      <c r="K1711" s="19" t="n">
        <v>146.84</v>
      </c>
    </row>
    <row r="1712">
      <c r="D1712" s="16" t="n">
        <v>44183</v>
      </c>
      <c r="E1712" s="19" t="n">
        <v>4.17</v>
      </c>
      <c r="G1712" s="16" t="n">
        <v>44183</v>
      </c>
      <c r="H1712" s="19" t="n">
        <v>1.79</v>
      </c>
      <c r="J1712" s="16" t="n">
        <v>44183</v>
      </c>
      <c r="K1712" s="19" t="n">
        <v>146.26</v>
      </c>
    </row>
    <row r="1713">
      <c r="D1713" s="16" t="n">
        <v>44186</v>
      </c>
      <c r="E1713" s="19" t="n">
        <v>4.21</v>
      </c>
      <c r="G1713" s="16" t="n">
        <v>44186</v>
      </c>
      <c r="H1713" s="19" t="n">
        <v>1.83</v>
      </c>
      <c r="J1713" s="16" t="n">
        <v>44186</v>
      </c>
      <c r="K1713" s="19" t="n">
        <v>145.91</v>
      </c>
    </row>
    <row r="1714">
      <c r="D1714" s="16" t="n">
        <v>44187</v>
      </c>
      <c r="E1714" s="19" t="n">
        <v>4.23</v>
      </c>
      <c r="G1714" s="16" t="n">
        <v>44187</v>
      </c>
      <c r="H1714" s="19" t="n">
        <v>1.79</v>
      </c>
      <c r="J1714" s="16" t="n">
        <v>44187</v>
      </c>
      <c r="K1714" s="19" t="n">
        <v>146.63</v>
      </c>
    </row>
    <row r="1715">
      <c r="D1715" s="16" t="n">
        <v>44188</v>
      </c>
      <c r="E1715" s="19" t="n">
        <v>4.14</v>
      </c>
      <c r="G1715" s="16" t="n">
        <v>44188</v>
      </c>
      <c r="H1715" s="19" t="n">
        <v>1.75</v>
      </c>
      <c r="J1715" s="16" t="n">
        <v>44188</v>
      </c>
      <c r="K1715" s="19" t="n">
        <v>148.1</v>
      </c>
    </row>
    <row r="1716">
      <c r="D1716" s="16" t="n">
        <v>44189</v>
      </c>
      <c r="E1716" s="19" t="n">
        <v>4.2</v>
      </c>
      <c r="G1716" s="16" t="n">
        <v>44189</v>
      </c>
      <c r="H1716" s="19" t="n">
        <v>1.73</v>
      </c>
      <c r="J1716" s="16" t="n">
        <v>44189</v>
      </c>
      <c r="K1716" s="19" t="n">
        <v>148.18</v>
      </c>
    </row>
    <row r="1717">
      <c r="D1717" s="16" t="n">
        <v>44190</v>
      </c>
      <c r="E1717" s="19" t="inlineStr">
        <is>
          <t>.</t>
        </is>
      </c>
      <c r="G1717" s="16" t="n">
        <v>44190</v>
      </c>
      <c r="H1717" s="19" t="inlineStr">
        <is>
          <t>.</t>
        </is>
      </c>
      <c r="J1717" s="16" t="n">
        <v>44190</v>
      </c>
      <c r="K1717" s="19" t="inlineStr">
        <is>
          <t>.</t>
        </is>
      </c>
    </row>
    <row r="1718">
      <c r="D1718" s="16" t="n">
        <v>44193</v>
      </c>
      <c r="E1718" s="19" t="n">
        <v>4.28</v>
      </c>
      <c r="G1718" s="16" t="n">
        <v>44193</v>
      </c>
      <c r="H1718" s="19" t="n">
        <v>1.76</v>
      </c>
      <c r="J1718" s="16" t="n">
        <v>44193</v>
      </c>
      <c r="K1718" s="19" t="n">
        <v>147.01</v>
      </c>
    </row>
    <row r="1719">
      <c r="D1719" s="16" t="n">
        <v>44194</v>
      </c>
      <c r="E1719" s="19" t="n">
        <v>4.31</v>
      </c>
      <c r="G1719" s="16" t="n">
        <v>44194</v>
      </c>
      <c r="H1719" s="19" t="n">
        <v>1.78</v>
      </c>
      <c r="J1719" s="16" t="n">
        <v>44194</v>
      </c>
      <c r="K1719" s="19" t="n">
        <v>145.74</v>
      </c>
    </row>
    <row r="1720">
      <c r="D1720" s="16" t="n">
        <v>44195</v>
      </c>
      <c r="E1720" s="19" t="n">
        <v>4.27</v>
      </c>
      <c r="G1720" s="16" t="n">
        <v>44195</v>
      </c>
      <c r="H1720" s="19" t="n">
        <v>1.81</v>
      </c>
      <c r="J1720" s="16" t="n">
        <v>44195</v>
      </c>
      <c r="K1720" s="19" t="n">
        <v>147.61</v>
      </c>
    </row>
    <row r="1721">
      <c r="D1721" s="16" t="n">
        <v>44196</v>
      </c>
      <c r="E1721" s="19" t="n">
        <v>4.33</v>
      </c>
      <c r="G1721" s="16" t="n">
        <v>44196</v>
      </c>
      <c r="H1721" s="19" t="n">
        <v>1.85</v>
      </c>
      <c r="J1721" s="16" t="n">
        <v>44196</v>
      </c>
      <c r="K1721" s="19" t="n">
        <v>147.92</v>
      </c>
    </row>
    <row r="1722">
      <c r="D1722" s="16" t="n">
        <v>44197</v>
      </c>
      <c r="E1722" s="19" t="inlineStr">
        <is>
          <t>.</t>
        </is>
      </c>
      <c r="G1722" s="16" t="n">
        <v>44197</v>
      </c>
      <c r="H1722" s="19" t="inlineStr">
        <is>
          <t>.</t>
        </is>
      </c>
      <c r="J1722" s="16" t="n">
        <v>44197</v>
      </c>
      <c r="K1722" s="19" t="inlineStr">
        <is>
          <t>.</t>
        </is>
      </c>
    </row>
    <row r="1723">
      <c r="D1723" s="16" t="n">
        <v>44200</v>
      </c>
      <c r="E1723" s="19" t="n">
        <v>4.43</v>
      </c>
      <c r="G1723" s="16" t="n">
        <v>44200</v>
      </c>
      <c r="H1723" s="19" t="n">
        <v>1.9</v>
      </c>
      <c r="J1723" s="16" t="n">
        <v>44200</v>
      </c>
      <c r="K1723" s="19" t="n">
        <v>145.87</v>
      </c>
    </row>
    <row r="1724">
      <c r="D1724" s="16" t="n">
        <v>44201</v>
      </c>
      <c r="E1724" s="19" t="n">
        <v>4.35</v>
      </c>
      <c r="G1724" s="16" t="n">
        <v>44201</v>
      </c>
      <c r="H1724" s="19" t="n">
        <v>1.92</v>
      </c>
      <c r="J1724" s="16" t="n">
        <v>44201</v>
      </c>
      <c r="K1724" s="19" t="n">
        <v>145.32</v>
      </c>
    </row>
    <row r="1725">
      <c r="D1725" s="16" t="n">
        <v>44202</v>
      </c>
      <c r="E1725" s="19" t="n">
        <v>4.18</v>
      </c>
      <c r="G1725" s="16" t="n">
        <v>44202</v>
      </c>
      <c r="H1725" s="19" t="n">
        <v>1.98</v>
      </c>
      <c r="J1725" s="16" t="n">
        <v>44202</v>
      </c>
      <c r="K1725" s="19" t="n">
        <v>145.61</v>
      </c>
    </row>
    <row r="1726">
      <c r="D1726" s="16" t="n">
        <v>44203</v>
      </c>
      <c r="E1726" s="19" t="n">
        <v>4.17</v>
      </c>
      <c r="G1726" s="16" t="n">
        <v>44203</v>
      </c>
      <c r="H1726" s="19" t="n">
        <v>2.01</v>
      </c>
      <c r="J1726" s="16" t="n">
        <v>44203</v>
      </c>
      <c r="K1726" s="19" t="n">
        <v>145.37</v>
      </c>
    </row>
    <row r="1727">
      <c r="D1727" s="16" t="n">
        <v>44204</v>
      </c>
      <c r="E1727" s="19" t="n">
        <v>4.19</v>
      </c>
      <c r="G1727" s="16" t="n">
        <v>44204</v>
      </c>
      <c r="H1727" s="19" t="n">
        <v>2.01</v>
      </c>
      <c r="J1727" s="16" t="n">
        <v>44204</v>
      </c>
      <c r="K1727" s="19" t="n">
        <v>144.06</v>
      </c>
    </row>
    <row r="1728">
      <c r="D1728" s="16" t="n">
        <v>44207</v>
      </c>
      <c r="E1728" s="19" t="n">
        <v>4.22</v>
      </c>
      <c r="G1728" s="16" t="n">
        <v>44207</v>
      </c>
      <c r="H1728" s="19" t="n">
        <v>1.95</v>
      </c>
      <c r="J1728" s="16" t="n">
        <v>44207</v>
      </c>
      <c r="K1728" s="19" t="n">
        <v>144.82</v>
      </c>
    </row>
    <row r="1729">
      <c r="D1729" s="16" t="n">
        <v>44208</v>
      </c>
      <c r="E1729" s="19" t="n">
        <v>4.14</v>
      </c>
      <c r="G1729" s="16" t="n">
        <v>44208</v>
      </c>
      <c r="H1729" s="19" t="n">
        <v>1.96</v>
      </c>
      <c r="J1729" s="16" t="n">
        <v>44208</v>
      </c>
      <c r="K1729" s="19" t="n">
        <v>143.76</v>
      </c>
    </row>
    <row r="1730">
      <c r="D1730" s="16" t="n">
        <v>44209</v>
      </c>
      <c r="E1730" s="19" t="n">
        <v>4.19</v>
      </c>
      <c r="G1730" s="16" t="n">
        <v>44209</v>
      </c>
      <c r="H1730" s="19" t="n">
        <v>2.04</v>
      </c>
      <c r="J1730" s="16" t="n">
        <v>44209</v>
      </c>
      <c r="K1730" s="19" t="n">
        <v>144.02</v>
      </c>
    </row>
    <row r="1731">
      <c r="D1731" s="16" t="n">
        <v>44210</v>
      </c>
      <c r="E1731" s="19" t="n">
        <v>4.27</v>
      </c>
      <c r="G1731" s="16" t="n">
        <v>44210</v>
      </c>
      <c r="H1731" s="19" t="n">
        <v>2.02</v>
      </c>
      <c r="J1731" s="16" t="n">
        <v>44210</v>
      </c>
      <c r="K1731" s="19" t="n">
        <v>143.33</v>
      </c>
    </row>
    <row r="1732">
      <c r="D1732" s="16" t="n">
        <v>44211</v>
      </c>
      <c r="E1732" s="19" t="n">
        <v>4.3</v>
      </c>
      <c r="G1732" s="16" t="n">
        <v>44211</v>
      </c>
      <c r="H1732" s="19" t="n">
        <v>2.04</v>
      </c>
      <c r="J1732" s="16" t="n">
        <v>44211</v>
      </c>
      <c r="K1732" s="19" t="n">
        <v>142.92</v>
      </c>
    </row>
    <row r="1733">
      <c r="D1733" s="16" t="n">
        <v>44214</v>
      </c>
      <c r="E1733" s="19" t="n">
        <v>4.3</v>
      </c>
      <c r="G1733" s="16" t="n">
        <v>44214</v>
      </c>
      <c r="H1733" s="19" t="n">
        <v>2.06</v>
      </c>
      <c r="J1733" s="16" t="n">
        <v>44214</v>
      </c>
      <c r="K1733" s="19" t="n">
        <v>141.74</v>
      </c>
    </row>
    <row r="1734">
      <c r="D1734" s="16" t="n">
        <v>44215</v>
      </c>
      <c r="E1734" s="19" t="n">
        <v>4.37</v>
      </c>
      <c r="G1734" s="16" t="n">
        <v>44215</v>
      </c>
      <c r="H1734" s="19" t="n">
        <v>2.02</v>
      </c>
      <c r="J1734" s="16" t="n">
        <v>44215</v>
      </c>
      <c r="K1734" s="19" t="n">
        <v>141.35</v>
      </c>
    </row>
    <row r="1735">
      <c r="D1735" s="16" t="n">
        <v>44216</v>
      </c>
      <c r="E1735" s="19" t="n">
        <v>4.41</v>
      </c>
      <c r="G1735" s="16" t="n">
        <v>44216</v>
      </c>
      <c r="H1735" s="19" t="n">
        <v>2.02</v>
      </c>
      <c r="J1735" s="16" t="n">
        <v>44216</v>
      </c>
      <c r="K1735" s="19" t="n">
        <v>141.87</v>
      </c>
    </row>
    <row r="1736">
      <c r="D1736" s="16" t="n">
        <v>44217</v>
      </c>
      <c r="E1736" s="19" t="n">
        <v>4.44</v>
      </c>
      <c r="G1736" s="16" t="n">
        <v>44217</v>
      </c>
      <c r="H1736" s="19" t="n">
        <v>2.06</v>
      </c>
      <c r="J1736" s="16" t="n">
        <v>44217</v>
      </c>
      <c r="K1736" s="19" t="n">
        <v>142.52</v>
      </c>
    </row>
    <row r="1737">
      <c r="D1737" s="16" t="n">
        <v>44218</v>
      </c>
      <c r="E1737" s="19" t="n">
        <v>4.41</v>
      </c>
      <c r="G1737" s="16" t="n">
        <v>44218</v>
      </c>
      <c r="H1737" s="19" t="n">
        <v>2.12</v>
      </c>
      <c r="J1737" s="16" t="n">
        <v>44218</v>
      </c>
      <c r="K1737" s="19" t="n">
        <v>142.85</v>
      </c>
    </row>
    <row r="1738">
      <c r="D1738" s="16" t="n">
        <v>44221</v>
      </c>
      <c r="E1738" s="19" t="n">
        <v>4.37</v>
      </c>
      <c r="G1738" s="16" t="n">
        <v>44221</v>
      </c>
      <c r="H1738" s="19" t="n">
        <v>2.15</v>
      </c>
      <c r="J1738" s="16" t="n">
        <v>44221</v>
      </c>
      <c r="K1738" s="19" t="n">
        <v>142.25</v>
      </c>
    </row>
    <row r="1739">
      <c r="D1739" s="16" t="n">
        <v>44222</v>
      </c>
      <c r="E1739" s="19" t="n">
        <v>4.35</v>
      </c>
      <c r="G1739" s="16" t="n">
        <v>44222</v>
      </c>
      <c r="H1739" s="19" t="n">
        <v>2.11</v>
      </c>
      <c r="J1739" s="16" t="n">
        <v>44222</v>
      </c>
      <c r="K1739" s="19" t="n">
        <v>141.4</v>
      </c>
    </row>
    <row r="1740">
      <c r="D1740" s="16" t="n">
        <v>44223</v>
      </c>
      <c r="E1740" s="19" t="n">
        <v>4.4</v>
      </c>
      <c r="G1740" s="16" t="n">
        <v>44223</v>
      </c>
      <c r="H1740" s="19" t="n">
        <v>2.12</v>
      </c>
      <c r="J1740" s="16" t="n">
        <v>44223</v>
      </c>
      <c r="K1740" s="19" t="n">
        <v>141.56</v>
      </c>
    </row>
    <row r="1741">
      <c r="D1741" s="16" t="n">
        <v>44224</v>
      </c>
      <c r="E1741" s="19" t="n">
        <v>4.42</v>
      </c>
      <c r="G1741" s="16" t="n">
        <v>44224</v>
      </c>
      <c r="H1741" s="19" t="n">
        <v>2.09</v>
      </c>
      <c r="J1741" s="16" t="n">
        <v>44224</v>
      </c>
      <c r="K1741" s="19" t="n">
        <v>141.57</v>
      </c>
    </row>
    <row r="1742">
      <c r="D1742" s="16" t="n">
        <v>44225</v>
      </c>
      <c r="E1742" s="19" t="n">
        <v>4.42</v>
      </c>
      <c r="G1742" s="16" t="n">
        <v>44225</v>
      </c>
      <c r="H1742" s="19" t="n">
        <v>2.16</v>
      </c>
      <c r="J1742" s="16" t="n">
        <v>44225</v>
      </c>
      <c r="K1742" s="19" t="n">
        <v>141.52</v>
      </c>
    </row>
    <row r="1743">
      <c r="D1743" s="16" t="n">
        <v>44228</v>
      </c>
      <c r="E1743" s="19" t="n">
        <v>4.42</v>
      </c>
      <c r="G1743" s="16" t="n">
        <v>44228</v>
      </c>
      <c r="H1743" s="19" t="n">
        <v>2.13</v>
      </c>
      <c r="J1743" s="16" t="n">
        <v>44228</v>
      </c>
      <c r="K1743" s="19" t="n">
        <v>141.94</v>
      </c>
    </row>
    <row r="1744">
      <c r="D1744" s="16" t="n">
        <v>44229</v>
      </c>
      <c r="E1744" s="19" t="n">
        <v>4.43</v>
      </c>
      <c r="G1744" s="16" t="n">
        <v>44229</v>
      </c>
      <c r="H1744" s="19" t="n">
        <v>2.08</v>
      </c>
      <c r="J1744" s="16" t="n">
        <v>44229</v>
      </c>
      <c r="K1744" s="19" t="n">
        <v>141.74</v>
      </c>
    </row>
    <row r="1745">
      <c r="D1745" s="16" t="n">
        <v>44230</v>
      </c>
      <c r="E1745" s="19" t="n">
        <v>4.34</v>
      </c>
      <c r="G1745" s="16" t="n">
        <v>44230</v>
      </c>
      <c r="H1745" s="19" t="n">
        <v>2.15</v>
      </c>
      <c r="J1745" s="16" t="n">
        <v>44230</v>
      </c>
      <c r="K1745" s="19" t="n">
        <v>141.45</v>
      </c>
    </row>
    <row r="1746">
      <c r="D1746" s="16" t="n">
        <v>44231</v>
      </c>
      <c r="E1746" s="19" t="n">
        <v>4.32</v>
      </c>
      <c r="G1746" s="16" t="n">
        <v>44231</v>
      </c>
      <c r="H1746" s="19" t="n">
        <v>2.23</v>
      </c>
      <c r="J1746" s="16" t="n">
        <v>44231</v>
      </c>
      <c r="K1746" s="19" t="n">
        <v>140.28</v>
      </c>
    </row>
    <row r="1747">
      <c r="D1747" s="16" t="n">
        <v>44232</v>
      </c>
      <c r="E1747" s="19" t="n">
        <v>4.27</v>
      </c>
      <c r="G1747" s="16" t="n">
        <v>44232</v>
      </c>
      <c r="H1747" s="19" t="n">
        <v>2.27</v>
      </c>
      <c r="J1747" s="16" t="n">
        <v>44232</v>
      </c>
      <c r="K1747" s="19" t="n">
        <v>140.21</v>
      </c>
    </row>
    <row r="1748">
      <c r="D1748" s="16" t="n">
        <v>44235</v>
      </c>
      <c r="E1748" s="19" t="n">
        <v>4.29</v>
      </c>
      <c r="G1748" s="16" t="n">
        <v>44235</v>
      </c>
      <c r="H1748" s="19" t="n">
        <v>2.23</v>
      </c>
      <c r="J1748" s="16" t="n">
        <v>44235</v>
      </c>
      <c r="K1748" s="19" t="n">
        <v>139.05</v>
      </c>
    </row>
    <row r="1749">
      <c r="D1749" s="16" t="n">
        <v>44236</v>
      </c>
      <c r="E1749" s="19" t="n">
        <v>4.26</v>
      </c>
      <c r="G1749" s="16" t="n">
        <v>44236</v>
      </c>
      <c r="H1749" s="19" t="n">
        <v>2.26</v>
      </c>
      <c r="J1749" s="16" t="n">
        <v>44236</v>
      </c>
      <c r="K1749" s="19" t="n">
        <v>138.53</v>
      </c>
    </row>
    <row r="1750">
      <c r="D1750" s="16" t="n">
        <v>44237</v>
      </c>
      <c r="E1750" s="19" t="n">
        <v>4.18</v>
      </c>
      <c r="G1750" s="16" t="n">
        <v>44237</v>
      </c>
      <c r="H1750" s="19" t="n">
        <v>2.19</v>
      </c>
      <c r="J1750" s="16" t="n">
        <v>44237</v>
      </c>
      <c r="K1750" s="19" t="n">
        <v>138.71</v>
      </c>
    </row>
    <row r="1751">
      <c r="D1751" s="16" t="n">
        <v>44238</v>
      </c>
      <c r="E1751" s="19" t="n">
        <v>4.19</v>
      </c>
      <c r="G1751" s="16" t="n">
        <v>44238</v>
      </c>
      <c r="H1751" s="19" t="n">
        <v>2.21</v>
      </c>
      <c r="J1751" s="16" t="n">
        <v>44238</v>
      </c>
      <c r="K1751" s="19" t="n">
        <v>138.33</v>
      </c>
    </row>
    <row r="1752">
      <c r="D1752" s="16" t="n">
        <v>44239</v>
      </c>
      <c r="E1752" s="19" t="n">
        <v>4.16</v>
      </c>
      <c r="G1752" s="16" t="n">
        <v>44239</v>
      </c>
      <c r="H1752" s="19" t="n">
        <v>2.21</v>
      </c>
      <c r="J1752" s="16" t="n">
        <v>44239</v>
      </c>
      <c r="K1752" s="19" t="n">
        <v>138.61</v>
      </c>
    </row>
    <row r="1753">
      <c r="D1753" s="16" t="n">
        <v>44242</v>
      </c>
      <c r="E1753" s="19" t="n">
        <v>4.11</v>
      </c>
      <c r="G1753" s="16" t="n">
        <v>44242</v>
      </c>
      <c r="H1753" s="19" t="n">
        <v>2.21</v>
      </c>
      <c r="J1753" s="16" t="n">
        <v>44242</v>
      </c>
      <c r="K1753" s="19" t="n">
        <v>138.46</v>
      </c>
    </row>
    <row r="1754">
      <c r="D1754" s="16" t="n">
        <v>44243</v>
      </c>
      <c r="E1754" s="19" t="n">
        <v>4.11</v>
      </c>
      <c r="G1754" s="16" t="n">
        <v>44243</v>
      </c>
      <c r="H1754" s="19" t="n">
        <v>2.17</v>
      </c>
      <c r="J1754" s="16" t="n">
        <v>44243</v>
      </c>
      <c r="K1754" s="19" t="n">
        <v>138.34</v>
      </c>
    </row>
    <row r="1755">
      <c r="D1755" s="16" t="n">
        <v>44244</v>
      </c>
      <c r="E1755" s="19" t="n">
        <v>4.08</v>
      </c>
      <c r="G1755" s="16" t="n">
        <v>44244</v>
      </c>
      <c r="H1755" s="19" t="n">
        <v>2.16</v>
      </c>
      <c r="J1755" s="16" t="n">
        <v>44244</v>
      </c>
      <c r="K1755" s="19" t="n">
        <v>138.15</v>
      </c>
    </row>
    <row r="1756">
      <c r="D1756" s="16" t="n">
        <v>44245</v>
      </c>
      <c r="E1756" s="19" t="n">
        <v>4.1</v>
      </c>
      <c r="G1756" s="16" t="n">
        <v>44245</v>
      </c>
      <c r="H1756" s="19" t="n">
        <v>2.16</v>
      </c>
      <c r="J1756" s="16" t="n">
        <v>44245</v>
      </c>
      <c r="K1756" s="19" t="n">
        <v>139.43</v>
      </c>
    </row>
    <row r="1757">
      <c r="D1757" s="16" t="n">
        <v>44246</v>
      </c>
      <c r="E1757" s="19" t="n">
        <v>4.14</v>
      </c>
      <c r="G1757" s="16" t="n">
        <v>44246</v>
      </c>
      <c r="H1757" s="19" t="n">
        <v>2.17</v>
      </c>
      <c r="J1757" s="16" t="n">
        <v>44246</v>
      </c>
      <c r="K1757" s="19" t="n">
        <v>140.02</v>
      </c>
    </row>
    <row r="1758">
      <c r="D1758" s="16" t="n">
        <v>44249</v>
      </c>
      <c r="E1758" s="19" t="n">
        <v>4.21</v>
      </c>
      <c r="G1758" s="16" t="n">
        <v>44249</v>
      </c>
      <c r="H1758" s="19" t="n">
        <v>2.2</v>
      </c>
      <c r="J1758" s="16" t="n">
        <v>44249</v>
      </c>
      <c r="K1758" s="19" t="n">
        <v>139.96</v>
      </c>
    </row>
    <row r="1759">
      <c r="D1759" s="16" t="n">
        <v>44250</v>
      </c>
      <c r="E1759" s="19" t="n">
        <v>4.21</v>
      </c>
      <c r="G1759" s="16" t="n">
        <v>44250</v>
      </c>
      <c r="H1759" s="19" t="n">
        <v>2.15</v>
      </c>
      <c r="J1759" s="16" t="n">
        <v>44250</v>
      </c>
      <c r="K1759" s="19" t="n">
        <v>139.77</v>
      </c>
    </row>
    <row r="1760">
      <c r="D1760" s="16" t="n">
        <v>44251</v>
      </c>
      <c r="E1760" s="19" t="n">
        <v>4.22</v>
      </c>
      <c r="G1760" s="16" t="n">
        <v>44251</v>
      </c>
      <c r="H1760" s="19" t="n">
        <v>2.21</v>
      </c>
      <c r="J1760" s="16" t="n">
        <v>44251</v>
      </c>
      <c r="K1760" s="19" t="n">
        <v>139.67</v>
      </c>
    </row>
    <row r="1761">
      <c r="D1761" s="16" t="n">
        <v>44252</v>
      </c>
      <c r="E1761" s="19" t="n">
        <v>4.25</v>
      </c>
      <c r="G1761" s="16" t="n">
        <v>44252</v>
      </c>
      <c r="H1761" s="19" t="n">
        <v>2.2</v>
      </c>
      <c r="J1761" s="16" t="n">
        <v>44252</v>
      </c>
      <c r="K1761" s="19" t="n">
        <v>140.4</v>
      </c>
    </row>
    <row r="1762">
      <c r="D1762" s="16" t="n">
        <v>44253</v>
      </c>
      <c r="E1762" s="19" t="n">
        <v>4.34</v>
      </c>
      <c r="G1762" s="16" t="n">
        <v>44253</v>
      </c>
      <c r="H1762" s="19" t="n">
        <v>2.22</v>
      </c>
      <c r="J1762" s="16" t="n">
        <v>44253</v>
      </c>
      <c r="K1762" s="19" t="n">
        <v>140.15</v>
      </c>
    </row>
    <row r="1763">
      <c r="D1763" s="16" t="n">
        <v>44256</v>
      </c>
      <c r="E1763" s="19" t="n">
        <v>4.28</v>
      </c>
      <c r="G1763" s="16" t="n">
        <v>44256</v>
      </c>
      <c r="H1763" s="19" t="n">
        <v>2.16</v>
      </c>
      <c r="J1763" s="16" t="n">
        <v>44256</v>
      </c>
      <c r="K1763" s="19" t="n">
        <v>140.46</v>
      </c>
    </row>
    <row r="1764">
      <c r="D1764" s="16" t="n">
        <v>44257</v>
      </c>
      <c r="E1764" s="19" t="n">
        <v>4.3</v>
      </c>
      <c r="G1764" s="16" t="n">
        <v>44257</v>
      </c>
      <c r="H1764" s="19" t="n">
        <v>2.15</v>
      </c>
      <c r="J1764" s="16" t="n">
        <v>44257</v>
      </c>
      <c r="K1764" s="19" t="n">
        <v>140.16</v>
      </c>
    </row>
    <row r="1765">
      <c r="D1765" s="16" t="n">
        <v>44258</v>
      </c>
      <c r="E1765" s="19" t="n">
        <v>4.27</v>
      </c>
      <c r="G1765" s="16" t="n">
        <v>44258</v>
      </c>
      <c r="H1765" s="19" t="n">
        <v>2.19</v>
      </c>
      <c r="J1765" s="16" t="n">
        <v>44258</v>
      </c>
      <c r="K1765" s="19" t="n">
        <v>140.05</v>
      </c>
    </row>
    <row r="1766">
      <c r="D1766" s="16" t="n">
        <v>44259</v>
      </c>
      <c r="E1766" s="19" t="n">
        <v>4.24</v>
      </c>
      <c r="G1766" s="16" t="n">
        <v>44259</v>
      </c>
      <c r="H1766" s="19" t="n">
        <v>2.21</v>
      </c>
      <c r="J1766" s="16" t="n">
        <v>44259</v>
      </c>
      <c r="K1766" s="19" t="n">
        <v>140.13</v>
      </c>
    </row>
    <row r="1767">
      <c r="D1767" s="16" t="n">
        <v>44260</v>
      </c>
      <c r="E1767" s="19" t="n">
        <v>4.25</v>
      </c>
      <c r="G1767" s="16" t="n">
        <v>44260</v>
      </c>
      <c r="H1767" s="19" t="n">
        <v>2.33</v>
      </c>
      <c r="J1767" s="16" t="n">
        <v>44260</v>
      </c>
      <c r="K1767" s="19" t="n">
        <v>140.14</v>
      </c>
    </row>
    <row r="1768">
      <c r="D1768" s="16" t="n">
        <v>44263</v>
      </c>
      <c r="E1768" s="19" t="n">
        <v>4.25</v>
      </c>
      <c r="G1768" s="16" t="n">
        <v>44263</v>
      </c>
      <c r="H1768" s="19" t="n">
        <v>2.28</v>
      </c>
      <c r="J1768" s="16" t="n">
        <v>44263</v>
      </c>
      <c r="K1768" s="19" t="n">
        <v>140.62</v>
      </c>
    </row>
    <row r="1769">
      <c r="D1769" s="16" t="n">
        <v>44264</v>
      </c>
      <c r="E1769" s="19" t="n">
        <v>4.32</v>
      </c>
      <c r="G1769" s="16" t="n">
        <v>44264</v>
      </c>
      <c r="H1769" s="19" t="n">
        <v>2.27</v>
      </c>
      <c r="J1769" s="16" t="n">
        <v>44264</v>
      </c>
      <c r="K1769" s="19" t="n">
        <v>139.61</v>
      </c>
    </row>
    <row r="1770">
      <c r="D1770" s="16" t="n">
        <v>44265</v>
      </c>
      <c r="E1770" s="19" t="n">
        <v>4.27</v>
      </c>
      <c r="G1770" s="16" t="n">
        <v>44265</v>
      </c>
      <c r="H1770" s="19" t="n">
        <v>2.28</v>
      </c>
      <c r="J1770" s="16" t="n">
        <v>44265</v>
      </c>
      <c r="K1770" s="19" t="n">
        <v>139.98</v>
      </c>
    </row>
    <row r="1771">
      <c r="D1771" s="16" t="n">
        <v>44266</v>
      </c>
      <c r="E1771" s="19" t="n">
        <v>4.23</v>
      </c>
      <c r="G1771" s="16" t="n">
        <v>44266</v>
      </c>
      <c r="H1771" s="19" t="n">
        <v>2.3</v>
      </c>
      <c r="J1771" s="16" t="n">
        <v>44266</v>
      </c>
      <c r="K1771" s="19" t="n">
        <v>139.78</v>
      </c>
    </row>
    <row r="1772">
      <c r="D1772" s="16" t="n">
        <v>44267</v>
      </c>
      <c r="E1772" s="19" t="n">
        <v>4.23</v>
      </c>
      <c r="G1772" s="16" t="n">
        <v>44267</v>
      </c>
      <c r="H1772" s="19" t="n">
        <v>2.34</v>
      </c>
      <c r="J1772" s="16" t="n">
        <v>44267</v>
      </c>
      <c r="K1772" s="19" t="n">
        <v>139.28</v>
      </c>
    </row>
    <row r="1773">
      <c r="D1773" s="16" t="n">
        <v>44270</v>
      </c>
      <c r="E1773" s="19" t="n">
        <v>4.25</v>
      </c>
      <c r="G1773" s="16" t="n">
        <v>44270</v>
      </c>
      <c r="H1773" s="19" t="n">
        <v>2.4</v>
      </c>
      <c r="J1773" s="16" t="n">
        <v>44270</v>
      </c>
      <c r="K1773" s="19" t="n">
        <v>140.27</v>
      </c>
    </row>
    <row r="1774">
      <c r="D1774" s="16" t="n">
        <v>44271</v>
      </c>
      <c r="E1774" s="19" t="n">
        <v>4.23</v>
      </c>
      <c r="G1774" s="16" t="n">
        <v>44271</v>
      </c>
      <c r="H1774" s="19" t="n">
        <v>2.4</v>
      </c>
      <c r="J1774" s="16" t="n">
        <v>44271</v>
      </c>
      <c r="K1774" s="19" t="n">
        <v>139.89</v>
      </c>
    </row>
    <row r="1775">
      <c r="D1775" s="16" t="n">
        <v>44272</v>
      </c>
      <c r="E1775" s="19" t="n">
        <v>4.22</v>
      </c>
      <c r="G1775" s="16" t="n">
        <v>44272</v>
      </c>
      <c r="H1775" s="19" t="n">
        <v>2.48</v>
      </c>
      <c r="J1775" s="16" t="n">
        <v>44272</v>
      </c>
      <c r="K1775" s="19" t="n">
        <v>141.55</v>
      </c>
    </row>
    <row r="1776">
      <c r="D1776" s="16" t="n">
        <v>44273</v>
      </c>
      <c r="E1776" s="19" t="n">
        <v>4.26</v>
      </c>
      <c r="G1776" s="16" t="n">
        <v>44273</v>
      </c>
      <c r="H1776" s="19" t="n">
        <v>2.42</v>
      </c>
      <c r="J1776" s="16" t="n">
        <v>44273</v>
      </c>
      <c r="K1776" s="19" t="n">
        <v>141.98</v>
      </c>
    </row>
    <row r="1777">
      <c r="D1777" s="16" t="n">
        <v>44274</v>
      </c>
      <c r="E1777" s="19" t="n">
        <v>4.36</v>
      </c>
      <c r="G1777" s="16" t="n">
        <v>44274</v>
      </c>
      <c r="H1777" s="19" t="n">
        <v>2.41</v>
      </c>
      <c r="J1777" s="16" t="n">
        <v>44274</v>
      </c>
      <c r="K1777" s="19" t="n">
        <v>143.36</v>
      </c>
    </row>
    <row r="1778">
      <c r="D1778" s="16" t="n">
        <v>44277</v>
      </c>
      <c r="E1778" s="19" t="n">
        <v>4.35</v>
      </c>
      <c r="G1778" s="16" t="n">
        <v>44277</v>
      </c>
      <c r="H1778" s="19" t="n">
        <v>2.39</v>
      </c>
      <c r="J1778" s="16" t="n">
        <v>44277</v>
      </c>
      <c r="K1778" s="19" t="n">
        <v>142.97</v>
      </c>
    </row>
    <row r="1779">
      <c r="D1779" s="16" t="n">
        <v>44278</v>
      </c>
      <c r="E1779" s="19" t="n">
        <v>4.36</v>
      </c>
      <c r="G1779" s="16" t="n">
        <v>44278</v>
      </c>
      <c r="H1779" s="19" t="n">
        <v>2.37</v>
      </c>
      <c r="J1779" s="16" t="n">
        <v>44278</v>
      </c>
      <c r="K1779" s="19" t="n">
        <v>142.81</v>
      </c>
    </row>
    <row r="1780">
      <c r="D1780" s="16" t="n">
        <v>44279</v>
      </c>
      <c r="E1780" s="19" t="n">
        <v>4.27</v>
      </c>
      <c r="G1780" s="16" t="n">
        <v>44279</v>
      </c>
      <c r="H1780" s="19" t="n">
        <v>2.38</v>
      </c>
      <c r="J1780" s="16" t="n">
        <v>44279</v>
      </c>
      <c r="K1780" s="19" t="n">
        <v>142.56</v>
      </c>
    </row>
    <row r="1781">
      <c r="D1781" s="16" t="n">
        <v>44280</v>
      </c>
      <c r="E1781" s="19" t="n">
        <v>4.26</v>
      </c>
      <c r="G1781" s="16" t="n">
        <v>44280</v>
      </c>
      <c r="H1781" s="19" t="n">
        <v>2.44</v>
      </c>
      <c r="J1781" s="16" t="n">
        <v>44280</v>
      </c>
      <c r="K1781" s="19" t="n">
        <v>140.84</v>
      </c>
    </row>
    <row r="1782">
      <c r="D1782" s="16" t="n">
        <v>44281</v>
      </c>
      <c r="E1782" s="19" t="n">
        <v>4.27</v>
      </c>
      <c r="G1782" s="16" t="n">
        <v>44281</v>
      </c>
      <c r="H1782" s="19" t="n">
        <v>2.43</v>
      </c>
      <c r="J1782" s="16" t="n">
        <v>44281</v>
      </c>
      <c r="K1782" s="19" t="n">
        <v>139.76</v>
      </c>
    </row>
    <row r="1783">
      <c r="D1783" s="16" t="n">
        <v>44284</v>
      </c>
      <c r="E1783" s="19" t="n">
        <v>4.25</v>
      </c>
      <c r="G1783" s="16" t="n">
        <v>44284</v>
      </c>
      <c r="H1783" s="19" t="n">
        <v>2.42</v>
      </c>
      <c r="J1783" s="16" t="n">
        <v>44284</v>
      </c>
      <c r="K1783" s="19" t="n">
        <v>139.74</v>
      </c>
    </row>
    <row r="1784">
      <c r="D1784" s="16" t="n">
        <v>44285</v>
      </c>
      <c r="E1784" s="19" t="n">
        <v>4.35</v>
      </c>
      <c r="G1784" s="16" t="n">
        <v>44285</v>
      </c>
      <c r="H1784" s="19" t="n">
        <v>2.35</v>
      </c>
      <c r="J1784" s="16" t="n">
        <v>44285</v>
      </c>
      <c r="K1784" s="19" t="n">
        <v>139.05</v>
      </c>
    </row>
    <row r="1785">
      <c r="D1785" s="16" t="n">
        <v>44286</v>
      </c>
      <c r="E1785" s="19" t="n">
        <v>4.47</v>
      </c>
      <c r="G1785" s="16" t="n">
        <v>44286</v>
      </c>
      <c r="H1785" s="19" t="n">
        <v>2.34</v>
      </c>
      <c r="J1785" s="16" t="n">
        <v>44286</v>
      </c>
      <c r="K1785" s="19" t="n">
        <v>139.3</v>
      </c>
    </row>
    <row r="1786">
      <c r="D1786" s="16" t="n">
        <v>44287</v>
      </c>
      <c r="E1786" s="19" t="n">
        <v>4.41</v>
      </c>
      <c r="G1786" s="16" t="n">
        <v>44287</v>
      </c>
      <c r="H1786" s="19" t="n">
        <v>2.32</v>
      </c>
      <c r="J1786" s="16" t="n">
        <v>44287</v>
      </c>
      <c r="K1786" s="19" t="n">
        <v>139.64</v>
      </c>
    </row>
    <row r="1787">
      <c r="D1787" s="16" t="n">
        <v>44288</v>
      </c>
      <c r="E1787" s="19" t="n">
        <v>4.39</v>
      </c>
      <c r="G1787" s="16" t="n">
        <v>44288</v>
      </c>
      <c r="H1787" s="19" t="n">
        <v>2.4</v>
      </c>
      <c r="J1787" s="16" t="n">
        <v>44288</v>
      </c>
      <c r="K1787" s="19" t="n">
        <v>139.53</v>
      </c>
    </row>
    <row r="1788">
      <c r="D1788" s="16" t="n">
        <v>44291</v>
      </c>
      <c r="E1788" s="19" t="n">
        <v>4.4</v>
      </c>
      <c r="G1788" s="16" t="n">
        <v>44291</v>
      </c>
      <c r="H1788" s="19" t="n">
        <v>2.42</v>
      </c>
      <c r="J1788" s="16" t="n">
        <v>44291</v>
      </c>
      <c r="K1788" s="19" t="n">
        <v>139.75</v>
      </c>
    </row>
    <row r="1789">
      <c r="D1789" s="16" t="n">
        <v>44292</v>
      </c>
      <c r="E1789" s="19" t="n">
        <v>4.4</v>
      </c>
      <c r="G1789" s="16" t="n">
        <v>44292</v>
      </c>
      <c r="H1789" s="19" t="n">
        <v>2.42</v>
      </c>
      <c r="J1789" s="16" t="n">
        <v>44292</v>
      </c>
      <c r="K1789" s="19" t="n">
        <v>139.64</v>
      </c>
    </row>
    <row r="1790">
      <c r="D1790" s="16" t="n">
        <v>44293</v>
      </c>
      <c r="E1790" s="19" t="n">
        <v>4.4</v>
      </c>
      <c r="G1790" s="16" t="n">
        <v>44293</v>
      </c>
      <c r="H1790" s="19" t="n">
        <v>2.39</v>
      </c>
      <c r="J1790" s="16" t="n">
        <v>44293</v>
      </c>
      <c r="K1790" s="19" t="n">
        <v>138.91</v>
      </c>
    </row>
    <row r="1791">
      <c r="D1791" s="16" t="n">
        <v>44294</v>
      </c>
      <c r="E1791" s="19" t="n">
        <v>4.44</v>
      </c>
      <c r="G1791" s="16" t="n">
        <v>44294</v>
      </c>
      <c r="H1791" s="19" t="n">
        <v>2.4</v>
      </c>
      <c r="J1791" s="16" t="n">
        <v>44294</v>
      </c>
      <c r="K1791" s="19" t="n">
        <v>139.74</v>
      </c>
    </row>
    <row r="1792">
      <c r="D1792" s="16" t="n">
        <v>44295</v>
      </c>
      <c r="E1792" s="19" t="n">
        <v>4.4</v>
      </c>
      <c r="G1792" s="16" t="n">
        <v>44295</v>
      </c>
      <c r="H1792" s="19" t="n">
        <v>2.4</v>
      </c>
      <c r="J1792" s="16" t="n">
        <v>44295</v>
      </c>
      <c r="K1792" s="19" t="n">
        <v>139.97</v>
      </c>
    </row>
    <row r="1793">
      <c r="D1793" s="16" t="n">
        <v>44298</v>
      </c>
      <c r="E1793" s="19" t="n">
        <v>4.32</v>
      </c>
      <c r="G1793" s="16" t="n">
        <v>44298</v>
      </c>
      <c r="H1793" s="19" t="n">
        <v>2.45</v>
      </c>
      <c r="J1793" s="16" t="n">
        <v>44298</v>
      </c>
      <c r="K1793" s="19" t="n">
        <v>139.08</v>
      </c>
    </row>
    <row r="1794">
      <c r="D1794" s="16" t="n">
        <v>44299</v>
      </c>
      <c r="E1794" s="19" t="n">
        <v>4.27</v>
      </c>
      <c r="G1794" s="16" t="n">
        <v>44299</v>
      </c>
      <c r="H1794" s="19" t="n">
        <v>2.44</v>
      </c>
      <c r="J1794" s="16" t="n">
        <v>44299</v>
      </c>
      <c r="K1794" s="19" t="n">
        <v>139.34</v>
      </c>
    </row>
    <row r="1795">
      <c r="D1795" s="16" t="n">
        <v>44300</v>
      </c>
      <c r="E1795" s="19" t="n">
        <v>4.27</v>
      </c>
      <c r="G1795" s="16" t="n">
        <v>44300</v>
      </c>
      <c r="H1795" s="19" t="n">
        <v>2.43</v>
      </c>
      <c r="J1795" s="16" t="n">
        <v>44300</v>
      </c>
      <c r="K1795" s="19" t="n">
        <v>138.63</v>
      </c>
    </row>
    <row r="1796">
      <c r="D1796" s="16" t="n">
        <v>44301</v>
      </c>
      <c r="E1796" s="19" t="n">
        <v>4.27</v>
      </c>
      <c r="G1796" s="16" t="n">
        <v>44301</v>
      </c>
      <c r="H1796" s="19" t="n">
        <v>2.33</v>
      </c>
      <c r="J1796" s="16" t="n">
        <v>44301</v>
      </c>
      <c r="K1796" s="19" t="n">
        <v>139.01</v>
      </c>
    </row>
    <row r="1797">
      <c r="D1797" s="16" t="n">
        <v>44302</v>
      </c>
      <c r="E1797" s="19" t="n">
        <v>4.34</v>
      </c>
      <c r="G1797" s="16" t="n">
        <v>44302</v>
      </c>
      <c r="H1797" s="19" t="n">
        <v>2.36</v>
      </c>
      <c r="J1797" s="16" t="n">
        <v>44302</v>
      </c>
      <c r="K1797" s="19" t="n">
        <v>138.89</v>
      </c>
    </row>
    <row r="1798">
      <c r="D1798" s="16" t="n">
        <v>44305</v>
      </c>
      <c r="E1798" s="19" t="n">
        <v>4.4</v>
      </c>
      <c r="G1798" s="16" t="n">
        <v>44305</v>
      </c>
      <c r="H1798" s="19" t="n">
        <v>2.34</v>
      </c>
      <c r="J1798" s="16" t="n">
        <v>44305</v>
      </c>
      <c r="K1798" s="19" t="n">
        <v>138.68</v>
      </c>
    </row>
    <row r="1799">
      <c r="D1799" s="16" t="n">
        <v>44306</v>
      </c>
      <c r="E1799" s="19" t="n">
        <v>4.43</v>
      </c>
      <c r="G1799" s="16" t="n">
        <v>44306</v>
      </c>
      <c r="H1799" s="19" t="n">
        <v>2.27</v>
      </c>
      <c r="J1799" s="16" t="n">
        <v>44306</v>
      </c>
      <c r="K1799" s="19" t="n">
        <v>139.19</v>
      </c>
    </row>
    <row r="1800">
      <c r="D1800" s="16" t="n">
        <v>44307</v>
      </c>
      <c r="E1800" s="19" t="n">
        <v>4.4</v>
      </c>
      <c r="G1800" s="16" t="n">
        <v>44307</v>
      </c>
      <c r="H1800" s="19" t="n">
        <v>2.31</v>
      </c>
      <c r="J1800" s="16" t="n">
        <v>44307</v>
      </c>
      <c r="K1800" s="19" t="n">
        <v>137.37</v>
      </c>
    </row>
    <row r="1801">
      <c r="D1801" s="16" t="n">
        <v>44308</v>
      </c>
      <c r="E1801" s="19" t="n">
        <v>4.45</v>
      </c>
      <c r="G1801" s="16" t="n">
        <v>44308</v>
      </c>
      <c r="H1801" s="19" t="n">
        <v>2.38</v>
      </c>
      <c r="J1801" s="16" t="n">
        <v>44308</v>
      </c>
      <c r="K1801" s="19" t="n">
        <v>137.66</v>
      </c>
    </row>
    <row r="1802">
      <c r="D1802" s="16" t="n">
        <v>44309</v>
      </c>
      <c r="E1802" s="19" t="n">
        <v>4.43</v>
      </c>
      <c r="G1802" s="16" t="n">
        <v>44309</v>
      </c>
      <c r="H1802" s="19" t="n">
        <v>2.34</v>
      </c>
      <c r="J1802" s="16" t="n">
        <v>44309</v>
      </c>
      <c r="K1802" s="19" t="n">
        <v>137</v>
      </c>
    </row>
    <row r="1803">
      <c r="D1803" s="16" t="n">
        <v>44312</v>
      </c>
      <c r="E1803" s="19" t="n">
        <v>4.46</v>
      </c>
      <c r="G1803" s="16" t="n">
        <v>44312</v>
      </c>
      <c r="H1803" s="19" t="n">
        <v>2.3</v>
      </c>
      <c r="J1803" s="16" t="n">
        <v>44312</v>
      </c>
      <c r="K1803" s="19" t="n">
        <v>136.59</v>
      </c>
    </row>
    <row r="1804">
      <c r="D1804" s="16" t="n">
        <v>44313</v>
      </c>
      <c r="E1804" s="19" t="n">
        <v>4.48</v>
      </c>
      <c r="G1804" s="16" t="n">
        <v>44313</v>
      </c>
      <c r="H1804" s="19" t="n">
        <v>2.28</v>
      </c>
      <c r="J1804" s="16" t="n">
        <v>44313</v>
      </c>
      <c r="K1804" s="19" t="n">
        <v>135.5</v>
      </c>
    </row>
    <row r="1805">
      <c r="D1805" s="16" t="n">
        <v>44314</v>
      </c>
      <c r="E1805" s="19" t="n">
        <v>4.45</v>
      </c>
      <c r="G1805" s="16" t="n">
        <v>44314</v>
      </c>
      <c r="H1805" s="19" t="n">
        <v>2.27</v>
      </c>
      <c r="J1805" s="16" t="n">
        <v>44314</v>
      </c>
      <c r="K1805" s="19" t="n">
        <v>135.72</v>
      </c>
    </row>
    <row r="1806">
      <c r="D1806" s="16" t="n">
        <v>44315</v>
      </c>
      <c r="E1806" s="19" t="n">
        <v>4.48</v>
      </c>
      <c r="G1806" s="16" t="n">
        <v>44315</v>
      </c>
      <c r="H1806" s="19" t="n">
        <v>2.24</v>
      </c>
      <c r="J1806" s="16" t="n">
        <v>44315</v>
      </c>
      <c r="K1806" s="19" t="n">
        <v>135.62</v>
      </c>
    </row>
    <row r="1807">
      <c r="D1807" s="16" t="n">
        <v>44316</v>
      </c>
      <c r="E1807" s="19" t="n">
        <v>4.56</v>
      </c>
      <c r="G1807" s="16" t="n">
        <v>44316</v>
      </c>
      <c r="H1807" s="19" t="n">
        <v>2.27</v>
      </c>
      <c r="J1807" s="16" t="n">
        <v>44316</v>
      </c>
      <c r="K1807" s="19" t="n">
        <v>137.05</v>
      </c>
    </row>
    <row r="1808">
      <c r="D1808" s="16" t="n">
        <v>44319</v>
      </c>
      <c r="E1808" s="19" t="n">
        <v>4.54</v>
      </c>
      <c r="G1808" s="16" t="n">
        <v>44319</v>
      </c>
      <c r="H1808" s="19" t="n">
        <v>2.25</v>
      </c>
      <c r="J1808" s="16" t="n">
        <v>44319</v>
      </c>
      <c r="K1808" s="19" t="n">
        <v>138.15</v>
      </c>
    </row>
    <row r="1809">
      <c r="D1809" s="16" t="n">
        <v>44320</v>
      </c>
      <c r="E1809" s="19" t="n">
        <v>4.47</v>
      </c>
      <c r="G1809" s="16" t="n">
        <v>44320</v>
      </c>
      <c r="H1809" s="19" t="n">
        <v>2.24</v>
      </c>
      <c r="J1809" s="16" t="n">
        <v>44320</v>
      </c>
      <c r="K1809" s="19" t="n">
        <v>137.19</v>
      </c>
    </row>
    <row r="1810">
      <c r="D1810" s="16" t="n">
        <v>44321</v>
      </c>
      <c r="E1810" s="19" t="n">
        <v>4.56</v>
      </c>
      <c r="G1810" s="16" t="n">
        <v>44321</v>
      </c>
      <c r="H1810" s="19" t="n">
        <v>2.18</v>
      </c>
      <c r="J1810" s="16" t="n">
        <v>44321</v>
      </c>
      <c r="K1810" s="19" t="n">
        <v>135.64</v>
      </c>
    </row>
    <row r="1811">
      <c r="D1811" s="16" t="n">
        <v>44322</v>
      </c>
      <c r="E1811" s="19" t="n">
        <v>4.65</v>
      </c>
      <c r="G1811" s="16" t="n">
        <v>44322</v>
      </c>
      <c r="H1811" s="19" t="n">
        <v>2.2</v>
      </c>
      <c r="J1811" s="16" t="n">
        <v>44322</v>
      </c>
      <c r="K1811" s="19" t="n">
        <v>135.77</v>
      </c>
    </row>
    <row r="1812">
      <c r="D1812" s="16" t="n">
        <v>44323</v>
      </c>
      <c r="E1812" s="19" t="n">
        <v>4.65</v>
      </c>
      <c r="G1812" s="16" t="n">
        <v>44323</v>
      </c>
      <c r="H1812" s="19" t="n">
        <v>2.25</v>
      </c>
      <c r="J1812" s="16" t="n">
        <v>44323</v>
      </c>
      <c r="K1812" s="19" t="n">
        <v>136.48</v>
      </c>
    </row>
    <row r="1813">
      <c r="D1813" s="16" t="n">
        <v>44326</v>
      </c>
      <c r="E1813" s="19" t="n">
        <v>4.64</v>
      </c>
      <c r="G1813" s="16" t="n">
        <v>44326</v>
      </c>
      <c r="H1813" s="19" t="n">
        <v>2.17</v>
      </c>
      <c r="J1813" s="16" t="n">
        <v>44326</v>
      </c>
      <c r="K1813" s="19" t="n">
        <v>136.33</v>
      </c>
    </row>
    <row r="1814">
      <c r="D1814" s="16" t="n">
        <v>44327</v>
      </c>
      <c r="E1814" s="19" t="n">
        <v>4.6</v>
      </c>
      <c r="G1814" s="16" t="n">
        <v>44327</v>
      </c>
      <c r="H1814" s="19" t="n">
        <v>2.13</v>
      </c>
      <c r="J1814" s="16" t="n">
        <v>44327</v>
      </c>
      <c r="K1814" s="19" t="n">
        <v>136.79</v>
      </c>
    </row>
    <row r="1815">
      <c r="D1815" s="16" t="n">
        <v>44328</v>
      </c>
      <c r="E1815" s="19" t="n">
        <v>4.65</v>
      </c>
      <c r="G1815" s="16" t="n">
        <v>44328</v>
      </c>
      <c r="H1815" s="19" t="n">
        <v>2.11</v>
      </c>
      <c r="J1815" s="16" t="n">
        <v>44328</v>
      </c>
      <c r="K1815" s="19" t="n">
        <v>138.31</v>
      </c>
    </row>
    <row r="1816">
      <c r="D1816" s="16" t="n">
        <v>44329</v>
      </c>
      <c r="E1816" s="19" t="n">
        <v>4.65</v>
      </c>
      <c r="G1816" s="16" t="n">
        <v>44329</v>
      </c>
      <c r="H1816" s="19" t="n">
        <v>2.1</v>
      </c>
      <c r="J1816" s="16" t="n">
        <v>44329</v>
      </c>
      <c r="K1816" s="19" t="n">
        <v>138.47</v>
      </c>
    </row>
    <row r="1817">
      <c r="D1817" s="16" t="n">
        <v>44330</v>
      </c>
      <c r="E1817" s="19" t="n">
        <v>4.73</v>
      </c>
      <c r="G1817" s="16" t="n">
        <v>44330</v>
      </c>
      <c r="H1817" s="19" t="n">
        <v>2.12</v>
      </c>
      <c r="J1817" s="16" t="n">
        <v>44330</v>
      </c>
      <c r="K1817" s="19" t="n">
        <v>138.73</v>
      </c>
    </row>
    <row r="1818">
      <c r="D1818" s="16" t="n">
        <v>44333</v>
      </c>
      <c r="E1818" s="19" t="n">
        <v>4.74</v>
      </c>
      <c r="G1818" s="16" t="n">
        <v>44333</v>
      </c>
      <c r="H1818" s="19" t="n">
        <v>2.07</v>
      </c>
      <c r="J1818" s="16" t="n">
        <v>44333</v>
      </c>
      <c r="K1818" s="19" t="n">
        <v>139.42</v>
      </c>
    </row>
    <row r="1819">
      <c r="D1819" s="16" t="n">
        <v>44334</v>
      </c>
      <c r="E1819" s="19" t="n">
        <v>4.76</v>
      </c>
      <c r="G1819" s="16" t="n">
        <v>44334</v>
      </c>
      <c r="H1819" s="19" t="n">
        <v>2.1</v>
      </c>
      <c r="J1819" s="16" t="n">
        <v>44334</v>
      </c>
      <c r="K1819" s="19" t="n">
        <v>140.47</v>
      </c>
    </row>
    <row r="1820">
      <c r="D1820" s="16" t="n">
        <v>44335</v>
      </c>
      <c r="E1820" s="19" t="n">
        <v>4.74</v>
      </c>
      <c r="G1820" s="16" t="n">
        <v>44335</v>
      </c>
      <c r="H1820" s="19" t="n">
        <v>2.09</v>
      </c>
      <c r="J1820" s="16" t="n">
        <v>44335</v>
      </c>
      <c r="K1820" s="19" t="n">
        <v>141.42</v>
      </c>
    </row>
    <row r="1821">
      <c r="D1821" s="16" t="n">
        <v>44336</v>
      </c>
      <c r="E1821" s="19" t="n">
        <v>4.8</v>
      </c>
      <c r="G1821" s="16" t="n">
        <v>44336</v>
      </c>
      <c r="H1821" s="19" t="n">
        <v>2.07</v>
      </c>
      <c r="J1821" s="16" t="n">
        <v>44336</v>
      </c>
      <c r="K1821" s="19" t="n">
        <v>142</v>
      </c>
    </row>
    <row r="1822">
      <c r="D1822" s="16" t="n">
        <v>44337</v>
      </c>
      <c r="E1822" s="19" t="n">
        <v>4.75</v>
      </c>
      <c r="G1822" s="16" t="n">
        <v>44337</v>
      </c>
      <c r="H1822" s="19" t="n">
        <v>2.12</v>
      </c>
      <c r="J1822" s="16" t="n">
        <v>44337</v>
      </c>
      <c r="K1822" s="19" t="n">
        <v>143.3</v>
      </c>
    </row>
    <row r="1823">
      <c r="D1823" s="16" t="n">
        <v>44340</v>
      </c>
      <c r="E1823" s="19" t="n">
        <v>4.78</v>
      </c>
      <c r="G1823" s="16" t="n">
        <v>44340</v>
      </c>
      <c r="H1823" s="19" t="n">
        <v>2.12</v>
      </c>
      <c r="J1823" s="16" t="n">
        <v>44340</v>
      </c>
      <c r="K1823" s="19" t="n">
        <v>142.36</v>
      </c>
    </row>
    <row r="1824">
      <c r="D1824" s="16" t="n">
        <v>44341</v>
      </c>
      <c r="E1824" s="19" t="n">
        <v>4.84</v>
      </c>
      <c r="G1824" s="16" t="n">
        <v>44341</v>
      </c>
      <c r="H1824" s="19" t="n">
        <v>2.14</v>
      </c>
      <c r="J1824" s="16" t="n">
        <v>44341</v>
      </c>
      <c r="K1824" s="19" t="n">
        <v>142.82</v>
      </c>
    </row>
    <row r="1825">
      <c r="D1825" s="16" t="n">
        <v>44342</v>
      </c>
      <c r="E1825" s="19" t="n">
        <v>4.85</v>
      </c>
      <c r="G1825" s="16" t="n">
        <v>44342</v>
      </c>
      <c r="H1825" s="19" t="n">
        <v>2.13</v>
      </c>
      <c r="J1825" s="16" t="n">
        <v>44342</v>
      </c>
      <c r="K1825" s="19" t="n">
        <v>143.5</v>
      </c>
    </row>
    <row r="1826">
      <c r="D1826" s="16" t="n">
        <v>44343</v>
      </c>
      <c r="E1826" s="19" t="n">
        <v>4.9</v>
      </c>
      <c r="G1826" s="16" t="n">
        <v>44343</v>
      </c>
      <c r="H1826" s="19" t="n">
        <v>2.19</v>
      </c>
      <c r="J1826" s="16" t="n">
        <v>44343</v>
      </c>
      <c r="K1826" s="19" t="n">
        <v>143.21</v>
      </c>
    </row>
    <row r="1827">
      <c r="D1827" s="16" t="n">
        <v>44344</v>
      </c>
      <c r="E1827" s="19" t="n">
        <v>4.89</v>
      </c>
      <c r="G1827" s="16" t="n">
        <v>44344</v>
      </c>
      <c r="H1827" s="19" t="n">
        <v>2.23</v>
      </c>
      <c r="J1827" s="16" t="n">
        <v>44344</v>
      </c>
      <c r="K1827" s="19" t="n">
        <v>142.5</v>
      </c>
    </row>
    <row r="1828">
      <c r="D1828" s="16" t="n">
        <v>44347</v>
      </c>
      <c r="E1828" s="19" t="n">
        <v>4.9</v>
      </c>
      <c r="G1828" s="16" t="n">
        <v>44347</v>
      </c>
      <c r="H1828" s="19" t="n">
        <v>2.23</v>
      </c>
      <c r="J1828" s="16" t="n">
        <v>44347</v>
      </c>
      <c r="K1828" s="19" t="n">
        <v>142.25</v>
      </c>
    </row>
    <row r="1829">
      <c r="D1829" s="16" t="n">
        <v>44348</v>
      </c>
      <c r="E1829" s="19" t="n">
        <v>4.87</v>
      </c>
      <c r="G1829" s="16" t="n">
        <v>44348</v>
      </c>
      <c r="H1829" s="19" t="n">
        <v>2.18</v>
      </c>
      <c r="J1829" s="16" t="n">
        <v>44348</v>
      </c>
      <c r="K1829" s="19" t="n">
        <v>142.7</v>
      </c>
    </row>
    <row r="1830">
      <c r="D1830" s="16" t="n">
        <v>44349</v>
      </c>
      <c r="E1830" s="19" t="n">
        <v>4.93</v>
      </c>
      <c r="G1830" s="16" t="n">
        <v>44349</v>
      </c>
      <c r="H1830" s="19" t="n">
        <v>2.22</v>
      </c>
      <c r="J1830" s="16" t="n">
        <v>44349</v>
      </c>
      <c r="K1830" s="19" t="n">
        <v>142.84</v>
      </c>
    </row>
    <row r="1831">
      <c r="D1831" s="16" t="n">
        <v>44350</v>
      </c>
      <c r="E1831" s="19" t="n">
        <v>4.96</v>
      </c>
      <c r="G1831" s="16" t="n">
        <v>44350</v>
      </c>
      <c r="H1831" s="19" t="n">
        <v>2.22</v>
      </c>
      <c r="J1831" s="16" t="n">
        <v>44350</v>
      </c>
      <c r="K1831" s="19" t="n">
        <v>143.15</v>
      </c>
    </row>
    <row r="1832">
      <c r="D1832" s="16" t="n">
        <v>44351</v>
      </c>
      <c r="E1832" s="19" t="n">
        <v>5.01</v>
      </c>
      <c r="G1832" s="16" t="n">
        <v>44351</v>
      </c>
      <c r="H1832" s="19" t="n">
        <v>2.22</v>
      </c>
      <c r="J1832" s="16" t="n">
        <v>44351</v>
      </c>
      <c r="K1832" s="19" t="n">
        <v>143.41</v>
      </c>
    </row>
    <row r="1833">
      <c r="D1833" s="16" t="n">
        <v>44354</v>
      </c>
      <c r="E1833" s="19" t="n">
        <v>4.97</v>
      </c>
      <c r="G1833" s="16" t="n">
        <v>44354</v>
      </c>
      <c r="H1833" s="19" t="n">
        <v>2.25</v>
      </c>
      <c r="J1833" s="16" t="n">
        <v>44354</v>
      </c>
      <c r="K1833" s="19" t="n">
        <v>143.37</v>
      </c>
    </row>
    <row r="1834">
      <c r="D1834" s="16" t="n">
        <v>44355</v>
      </c>
      <c r="E1834" s="19" t="n">
        <v>5.03</v>
      </c>
      <c r="G1834" s="16" t="n">
        <v>44355</v>
      </c>
      <c r="H1834" s="19" t="n">
        <v>2.18</v>
      </c>
      <c r="J1834" s="16" t="n">
        <v>44355</v>
      </c>
      <c r="K1834" s="19" t="n">
        <v>142.92</v>
      </c>
    </row>
    <row r="1835">
      <c r="D1835" s="16" t="n">
        <v>44356</v>
      </c>
      <c r="E1835" s="19" t="n">
        <v>5</v>
      </c>
      <c r="G1835" s="16" t="n">
        <v>44356</v>
      </c>
      <c r="H1835" s="19" t="n">
        <v>2.15</v>
      </c>
      <c r="J1835" s="16" t="n">
        <v>44356</v>
      </c>
      <c r="K1835" s="19" t="n">
        <v>143.07</v>
      </c>
    </row>
    <row r="1836">
      <c r="D1836" s="16" t="n">
        <v>44357</v>
      </c>
      <c r="E1836" s="19" t="n">
        <v>5.04</v>
      </c>
      <c r="G1836" s="16" t="n">
        <v>44357</v>
      </c>
      <c r="H1836" s="19" t="n">
        <v>2.07</v>
      </c>
      <c r="J1836" s="16" t="n">
        <v>44357</v>
      </c>
      <c r="K1836" s="19" t="n">
        <v>142.9</v>
      </c>
    </row>
    <row r="1837">
      <c r="D1837" s="16" t="n">
        <v>44358</v>
      </c>
      <c r="E1837" s="19" t="n">
        <v>4.99</v>
      </c>
      <c r="G1837" s="16" t="n">
        <v>44358</v>
      </c>
      <c r="H1837" s="19" t="n">
        <v>2.1</v>
      </c>
      <c r="J1837" s="16" t="n">
        <v>44358</v>
      </c>
      <c r="K1837" s="19" t="n">
        <v>142.71</v>
      </c>
    </row>
    <row r="1838">
      <c r="D1838" s="16" t="n">
        <v>44361</v>
      </c>
      <c r="E1838" s="19" t="n">
        <v>5</v>
      </c>
      <c r="G1838" s="16" t="n">
        <v>44361</v>
      </c>
      <c r="H1838" s="19" t="n">
        <v>2.08</v>
      </c>
      <c r="J1838" s="16" t="n">
        <v>44361</v>
      </c>
      <c r="K1838" s="19" t="n">
        <v>142.15</v>
      </c>
    </row>
    <row r="1839">
      <c r="D1839" s="16" t="n">
        <v>44362</v>
      </c>
      <c r="E1839" s="19" t="n">
        <v>4.92</v>
      </c>
      <c r="G1839" s="16" t="n">
        <v>44362</v>
      </c>
      <c r="H1839" s="19" t="n">
        <v>2.21</v>
      </c>
      <c r="J1839" s="16" t="n">
        <v>44362</v>
      </c>
      <c r="K1839" s="19" t="n">
        <v>142.37</v>
      </c>
    </row>
    <row r="1840">
      <c r="D1840" s="16" t="n">
        <v>44363</v>
      </c>
      <c r="E1840" s="19" t="n">
        <v>4.9</v>
      </c>
      <c r="G1840" s="16" t="n">
        <v>44363</v>
      </c>
      <c r="H1840" s="19" t="n">
        <v>2.26</v>
      </c>
      <c r="J1840" s="16" t="n">
        <v>44363</v>
      </c>
      <c r="K1840" s="19" t="n">
        <v>141.94</v>
      </c>
    </row>
    <row r="1841">
      <c r="D1841" s="16" t="n">
        <v>44364</v>
      </c>
      <c r="E1841" s="19" t="n">
        <v>4.97</v>
      </c>
      <c r="G1841" s="16" t="n">
        <v>44364</v>
      </c>
      <c r="H1841" s="19" t="n">
        <v>2.2</v>
      </c>
      <c r="J1841" s="16" t="n">
        <v>44364</v>
      </c>
      <c r="K1841" s="19" t="n">
        <v>140</v>
      </c>
    </row>
    <row r="1842">
      <c r="D1842" s="16" t="n">
        <v>44365</v>
      </c>
      <c r="E1842" s="19" t="n">
        <v>4.85</v>
      </c>
      <c r="G1842" s="16" t="n">
        <v>44365</v>
      </c>
      <c r="H1842" s="19" t="n">
        <v>2.23</v>
      </c>
      <c r="J1842" s="16" t="n">
        <v>44365</v>
      </c>
      <c r="K1842" s="19" t="n">
        <v>140.04</v>
      </c>
    </row>
    <row r="1843">
      <c r="D1843" s="16" t="n">
        <v>44368</v>
      </c>
      <c r="E1843" s="19" t="n">
        <v>4.85</v>
      </c>
      <c r="G1843" s="16" t="n">
        <v>44368</v>
      </c>
      <c r="H1843" s="19" t="n">
        <v>2.22</v>
      </c>
      <c r="J1843" s="16" t="n">
        <v>44368</v>
      </c>
      <c r="K1843" s="19" t="n">
        <v>140.24</v>
      </c>
    </row>
    <row r="1844">
      <c r="D1844" s="16" t="n">
        <v>44369</v>
      </c>
      <c r="E1844" s="19" t="n">
        <v>4.83</v>
      </c>
      <c r="G1844" s="16" t="n">
        <v>44369</v>
      </c>
      <c r="H1844" s="19" t="n">
        <v>2.16</v>
      </c>
      <c r="J1844" s="16" t="n">
        <v>44369</v>
      </c>
      <c r="K1844" s="19" t="n">
        <v>139.92</v>
      </c>
    </row>
    <row r="1845">
      <c r="D1845" s="16" t="n">
        <v>44370</v>
      </c>
      <c r="E1845" s="19" t="n">
        <v>4.85</v>
      </c>
      <c r="G1845" s="16" t="n">
        <v>44370</v>
      </c>
      <c r="H1845" s="19" t="n">
        <v>2.22</v>
      </c>
      <c r="J1845" s="16" t="n">
        <v>44370</v>
      </c>
      <c r="K1845" s="19" t="n">
        <v>141.15</v>
      </c>
    </row>
    <row r="1846">
      <c r="D1846" s="16" t="n">
        <v>44371</v>
      </c>
      <c r="E1846" s="19" t="n">
        <v>4.82</v>
      </c>
      <c r="G1846" s="16" t="n">
        <v>44371</v>
      </c>
      <c r="H1846" s="19" t="n">
        <v>2.26</v>
      </c>
      <c r="J1846" s="16" t="n">
        <v>44371</v>
      </c>
      <c r="K1846" s="19" t="n">
        <v>139.77</v>
      </c>
    </row>
    <row r="1847">
      <c r="D1847" s="16" t="n">
        <v>44372</v>
      </c>
      <c r="E1847" s="19" t="n">
        <v>4.77</v>
      </c>
      <c r="G1847" s="16" t="n">
        <v>44372</v>
      </c>
      <c r="H1847" s="19" t="n">
        <v>2.3</v>
      </c>
      <c r="J1847" s="16" t="n">
        <v>44372</v>
      </c>
      <c r="K1847" s="19" t="n">
        <v>139.93</v>
      </c>
    </row>
    <row r="1848">
      <c r="D1848" s="16" t="n">
        <v>44375</v>
      </c>
      <c r="E1848" s="19" t="n">
        <v>4.76</v>
      </c>
      <c r="G1848" s="16" t="n">
        <v>44375</v>
      </c>
      <c r="H1848" s="19" t="n">
        <v>2.3</v>
      </c>
      <c r="J1848" s="16" t="n">
        <v>44375</v>
      </c>
      <c r="K1848" s="19" t="n">
        <v>138.96</v>
      </c>
    </row>
    <row r="1849">
      <c r="D1849" s="16" t="n">
        <v>44376</v>
      </c>
      <c r="E1849" s="19" t="n">
        <v>4.77</v>
      </c>
      <c r="G1849" s="16" t="n">
        <v>44376</v>
      </c>
      <c r="H1849" s="19" t="n">
        <v>2.29</v>
      </c>
      <c r="J1849" s="16" t="n">
        <v>44376</v>
      </c>
      <c r="K1849" s="19" t="n">
        <v>138.84</v>
      </c>
    </row>
    <row r="1850">
      <c r="D1850" s="16" t="n">
        <v>44377</v>
      </c>
      <c r="E1850" s="19" t="n">
        <v>4.72</v>
      </c>
      <c r="G1850" s="16" t="n">
        <v>44377</v>
      </c>
      <c r="H1850" s="19" t="n">
        <v>2.3</v>
      </c>
      <c r="J1850" s="16" t="n">
        <v>44377</v>
      </c>
      <c r="K1850" s="19" t="n">
        <v>137.94</v>
      </c>
    </row>
    <row r="1851">
      <c r="D1851" s="16" t="n">
        <v>44378</v>
      </c>
      <c r="E1851" s="19" t="n">
        <v>4.76</v>
      </c>
      <c r="G1851" s="16" t="n">
        <v>44378</v>
      </c>
      <c r="H1851" s="19" t="n">
        <v>2.33</v>
      </c>
      <c r="J1851" s="16" t="n">
        <v>44378</v>
      </c>
      <c r="K1851" s="19" t="n">
        <v>138.31</v>
      </c>
    </row>
    <row r="1852">
      <c r="D1852" s="16" t="n">
        <v>44379</v>
      </c>
      <c r="E1852" s="19" t="n">
        <v>4.78</v>
      </c>
      <c r="G1852" s="16" t="n">
        <v>44379</v>
      </c>
      <c r="H1852" s="19" t="n">
        <v>2.35</v>
      </c>
      <c r="J1852" s="16" t="n">
        <v>44379</v>
      </c>
      <c r="K1852" s="19" t="n">
        <v>138.2</v>
      </c>
    </row>
    <row r="1853">
      <c r="D1853" s="16" t="n">
        <v>44382</v>
      </c>
      <c r="E1853" s="19" t="n">
        <v>4.75</v>
      </c>
      <c r="G1853" s="16" t="n">
        <v>44382</v>
      </c>
      <c r="H1853" s="19" t="n">
        <v>2.32</v>
      </c>
      <c r="J1853" s="16" t="n">
        <v>44382</v>
      </c>
      <c r="K1853" s="19" t="n">
        <v>137.24</v>
      </c>
    </row>
    <row r="1854">
      <c r="D1854" s="16" t="n">
        <v>44383</v>
      </c>
      <c r="E1854" s="19" t="n">
        <v>4.71</v>
      </c>
      <c r="G1854" s="16" t="n">
        <v>44383</v>
      </c>
      <c r="H1854" s="19" t="n">
        <v>2.39</v>
      </c>
      <c r="J1854" s="16" t="n">
        <v>44383</v>
      </c>
      <c r="K1854" s="19" t="n">
        <v>137.16</v>
      </c>
    </row>
    <row r="1855">
      <c r="D1855" s="16" t="n">
        <v>44384</v>
      </c>
      <c r="E1855" s="19" t="n">
        <v>4.69</v>
      </c>
      <c r="G1855" s="16" t="n">
        <v>44384</v>
      </c>
      <c r="H1855" s="19" t="n">
        <v>2.32</v>
      </c>
      <c r="J1855" s="16" t="n">
        <v>44384</v>
      </c>
      <c r="K1855" s="19" t="n">
        <v>137.56</v>
      </c>
    </row>
    <row r="1856">
      <c r="D1856" s="16" t="n">
        <v>44385</v>
      </c>
      <c r="E1856" s="19" t="n">
        <v>4.65</v>
      </c>
      <c r="G1856" s="16" t="n">
        <v>44385</v>
      </c>
      <c r="H1856" s="19" t="n">
        <v>2.39</v>
      </c>
      <c r="J1856" s="16" t="n">
        <v>44385</v>
      </c>
      <c r="K1856" s="19" t="n">
        <v>138.11</v>
      </c>
    </row>
    <row r="1857">
      <c r="D1857" s="16" t="n">
        <v>44386</v>
      </c>
      <c r="E1857" s="19" t="n">
        <v>4.66</v>
      </c>
      <c r="G1857" s="16" t="n">
        <v>44386</v>
      </c>
      <c r="H1857" s="19" t="n">
        <v>2.41</v>
      </c>
      <c r="J1857" s="16" t="n">
        <v>44386</v>
      </c>
      <c r="K1857" s="19" t="n">
        <v>137.57</v>
      </c>
    </row>
    <row r="1858">
      <c r="D1858" s="16" t="n">
        <v>44389</v>
      </c>
      <c r="E1858" s="19" t="n">
        <v>4.68</v>
      </c>
      <c r="G1858" s="16" t="n">
        <v>44389</v>
      </c>
      <c r="H1858" s="19" t="n">
        <v>2.36</v>
      </c>
      <c r="J1858" s="16" t="n">
        <v>44389</v>
      </c>
      <c r="K1858" s="19" t="n">
        <v>137.44</v>
      </c>
    </row>
    <row r="1859">
      <c r="D1859" s="16" t="n">
        <v>44390</v>
      </c>
      <c r="E1859" s="19" t="n">
        <v>4.65</v>
      </c>
      <c r="G1859" s="16" t="n">
        <v>44390</v>
      </c>
      <c r="H1859" s="19" t="n">
        <v>2.4</v>
      </c>
      <c r="J1859" s="16" t="n">
        <v>44390</v>
      </c>
      <c r="K1859" s="19" t="n">
        <v>138.35</v>
      </c>
    </row>
    <row r="1860">
      <c r="D1860" s="16" t="n">
        <v>44391</v>
      </c>
      <c r="E1860" s="19" t="n">
        <v>4.73</v>
      </c>
      <c r="G1860" s="16" t="n">
        <v>44391</v>
      </c>
      <c r="H1860" s="19" t="n">
        <v>2.41</v>
      </c>
      <c r="J1860" s="16" t="n">
        <v>44391</v>
      </c>
      <c r="K1860" s="19" t="n">
        <v>137.97</v>
      </c>
    </row>
    <row r="1861">
      <c r="D1861" s="16" t="n">
        <v>44392</v>
      </c>
      <c r="E1861" s="19" t="n">
        <v>4.73</v>
      </c>
      <c r="G1861" s="16" t="n">
        <v>44392</v>
      </c>
      <c r="H1861" s="19" t="n">
        <v>2.32</v>
      </c>
      <c r="J1861" s="16" t="n">
        <v>44392</v>
      </c>
      <c r="K1861" s="19" t="n">
        <v>138.02</v>
      </c>
    </row>
    <row r="1862">
      <c r="D1862" s="16" t="n">
        <v>44393</v>
      </c>
      <c r="E1862" s="19" t="n">
        <v>4.7</v>
      </c>
      <c r="G1862" s="16" t="n">
        <v>44393</v>
      </c>
      <c r="H1862" s="19" t="n">
        <v>2.35</v>
      </c>
      <c r="J1862" s="16" t="n">
        <v>44393</v>
      </c>
      <c r="K1862" s="19" t="n">
        <v>136.48</v>
      </c>
    </row>
    <row r="1863">
      <c r="D1863" s="16" t="n">
        <v>44396</v>
      </c>
      <c r="E1863" s="19" t="n">
        <v>4.68</v>
      </c>
      <c r="G1863" s="16" t="n">
        <v>44396</v>
      </c>
      <c r="H1863" s="19" t="n">
        <v>2.35</v>
      </c>
      <c r="J1863" s="16" t="n">
        <v>44396</v>
      </c>
      <c r="K1863" s="19" t="n">
        <v>136.97</v>
      </c>
    </row>
    <row r="1864">
      <c r="D1864" s="16" t="n">
        <v>44397</v>
      </c>
      <c r="E1864" s="19" t="n">
        <v>4.65</v>
      </c>
      <c r="G1864" s="16" t="n">
        <v>44397</v>
      </c>
      <c r="H1864" s="19" t="n">
        <v>2.31</v>
      </c>
      <c r="J1864" s="16" t="n">
        <v>44397</v>
      </c>
      <c r="K1864" s="19" t="n">
        <v>136.59</v>
      </c>
    </row>
    <row r="1865">
      <c r="D1865" s="16" t="n">
        <v>44398</v>
      </c>
      <c r="E1865" s="19" t="n">
        <v>4.68</v>
      </c>
      <c r="G1865" s="16" t="n">
        <v>44398</v>
      </c>
      <c r="H1865" s="19" t="n">
        <v>2.28</v>
      </c>
      <c r="J1865" s="16" t="n">
        <v>44398</v>
      </c>
      <c r="K1865" s="19" t="n">
        <v>135.63</v>
      </c>
    </row>
    <row r="1866">
      <c r="D1866" s="16" t="n">
        <v>44399</v>
      </c>
      <c r="E1866" s="19" t="n">
        <v>4.78</v>
      </c>
      <c r="G1866" s="16" t="n">
        <v>44399</v>
      </c>
      <c r="H1866" s="19" t="n">
        <v>2.28</v>
      </c>
      <c r="J1866" s="16" t="n">
        <v>44399</v>
      </c>
      <c r="K1866" s="19" t="n">
        <v>134.85</v>
      </c>
    </row>
    <row r="1867">
      <c r="D1867" s="16" t="n">
        <v>44400</v>
      </c>
      <c r="E1867" s="19" t="n">
        <v>4.75</v>
      </c>
      <c r="G1867" s="16" t="n">
        <v>44400</v>
      </c>
      <c r="H1867" s="19" t="n">
        <v>2.27</v>
      </c>
      <c r="J1867" s="16" t="n">
        <v>44400</v>
      </c>
      <c r="K1867" s="19" t="n">
        <v>135.47</v>
      </c>
    </row>
    <row r="1868">
      <c r="D1868" s="16" t="n">
        <v>44403</v>
      </c>
      <c r="E1868" s="19" t="n">
        <v>4.8</v>
      </c>
      <c r="G1868" s="16" t="n">
        <v>44403</v>
      </c>
      <c r="H1868" s="19" t="n">
        <v>2.29</v>
      </c>
      <c r="J1868" s="16" t="n">
        <v>44403</v>
      </c>
      <c r="K1868" s="19" t="n">
        <v>134.8</v>
      </c>
    </row>
    <row r="1869">
      <c r="D1869" s="16" t="n">
        <v>44404</v>
      </c>
      <c r="E1869" s="19" t="n">
        <v>4.76</v>
      </c>
      <c r="G1869" s="16" t="n">
        <v>44404</v>
      </c>
      <c r="H1869" s="19" t="n">
        <v>2.31</v>
      </c>
      <c r="J1869" s="16" t="n">
        <v>44404</v>
      </c>
      <c r="K1869" s="19" t="n">
        <v>135.45</v>
      </c>
    </row>
    <row r="1870">
      <c r="D1870" s="16" t="n">
        <v>44405</v>
      </c>
      <c r="E1870" s="19" t="n">
        <v>4.77</v>
      </c>
      <c r="G1870" s="16" t="n">
        <v>44405</v>
      </c>
      <c r="H1870" s="19" t="n">
        <v>2.34</v>
      </c>
      <c r="J1870" s="16" t="n">
        <v>44405</v>
      </c>
      <c r="K1870" s="19" t="n">
        <v>134.58</v>
      </c>
    </row>
    <row r="1871">
      <c r="D1871" s="16" t="n">
        <v>44406</v>
      </c>
      <c r="E1871" s="19" t="n">
        <v>4.76</v>
      </c>
      <c r="G1871" s="16" t="n">
        <v>44406</v>
      </c>
      <c r="H1871" s="19" t="n">
        <v>2.33</v>
      </c>
      <c r="J1871" s="16" t="n">
        <v>44406</v>
      </c>
      <c r="K1871" s="19" t="n">
        <v>133.9</v>
      </c>
    </row>
    <row r="1872">
      <c r="D1872" s="16" t="n">
        <v>44407</v>
      </c>
      <c r="E1872" s="19" t="n">
        <v>4.75</v>
      </c>
      <c r="G1872" s="16" t="n">
        <v>44407</v>
      </c>
      <c r="H1872" s="19" t="n">
        <v>2.37</v>
      </c>
      <c r="J1872" s="16" t="n">
        <v>44407</v>
      </c>
      <c r="K1872" s="19" t="n">
        <v>133.53</v>
      </c>
    </row>
    <row r="1873">
      <c r="D1873" s="16" t="n">
        <v>44410</v>
      </c>
      <c r="E1873" s="19" t="n">
        <v>4.66</v>
      </c>
      <c r="G1873" s="16" t="n">
        <v>44410</v>
      </c>
      <c r="H1873" s="19" t="n">
        <v>2.25</v>
      </c>
      <c r="J1873" s="16" t="n">
        <v>44410</v>
      </c>
      <c r="K1873" s="19" t="n">
        <v>133.36</v>
      </c>
    </row>
    <row r="1874">
      <c r="D1874" s="16" t="n">
        <v>44411</v>
      </c>
      <c r="E1874" s="19" t="n">
        <v>4.68</v>
      </c>
      <c r="G1874" s="16" t="n">
        <v>44411</v>
      </c>
      <c r="H1874" s="19" t="n">
        <v>2.25</v>
      </c>
      <c r="J1874" s="16" t="n">
        <v>44411</v>
      </c>
      <c r="K1874" s="19" t="n">
        <v>133.74</v>
      </c>
    </row>
    <row r="1875">
      <c r="D1875" s="16" t="n">
        <v>44412</v>
      </c>
      <c r="E1875" s="19" t="n">
        <v>4.63</v>
      </c>
      <c r="G1875" s="16" t="n">
        <v>44412</v>
      </c>
      <c r="H1875" s="19" t="n">
        <v>2.25</v>
      </c>
      <c r="J1875" s="16" t="n">
        <v>44412</v>
      </c>
      <c r="K1875" s="19" t="n">
        <v>133.58</v>
      </c>
    </row>
    <row r="1876">
      <c r="D1876" s="16" t="n">
        <v>44413</v>
      </c>
      <c r="E1876" s="19" t="n">
        <v>4.6</v>
      </c>
      <c r="G1876" s="16" t="n">
        <v>44413</v>
      </c>
      <c r="H1876" s="19" t="n">
        <v>2.32</v>
      </c>
      <c r="J1876" s="16" t="n">
        <v>44413</v>
      </c>
      <c r="K1876" s="19" t="n">
        <v>134.55</v>
      </c>
    </row>
    <row r="1877">
      <c r="D1877" s="16" t="n">
        <v>44414</v>
      </c>
      <c r="E1877" s="19" t="n">
        <v>4.57</v>
      </c>
      <c r="G1877" s="16" t="n">
        <v>44414</v>
      </c>
      <c r="H1877" s="19" t="n">
        <v>2.17</v>
      </c>
      <c r="J1877" s="16" t="n">
        <v>44414</v>
      </c>
      <c r="K1877" s="19" t="n">
        <v>135.07</v>
      </c>
    </row>
    <row r="1878">
      <c r="D1878" s="16" t="n">
        <v>44417</v>
      </c>
      <c r="E1878" s="19" t="n">
        <v>4.54</v>
      </c>
      <c r="G1878" s="16" t="n">
        <v>44417</v>
      </c>
      <c r="H1878" s="19" t="n">
        <v>2.15</v>
      </c>
      <c r="J1878" s="16" t="n">
        <v>44417</v>
      </c>
      <c r="K1878" s="19" t="n">
        <v>134.81</v>
      </c>
    </row>
    <row r="1879">
      <c r="D1879" s="16" t="n">
        <v>44418</v>
      </c>
      <c r="E1879" s="19" t="n">
        <v>4.51</v>
      </c>
      <c r="G1879" s="16" t="n">
        <v>44418</v>
      </c>
      <c r="H1879" s="19" t="n">
        <v>2.18</v>
      </c>
      <c r="J1879" s="16" t="n">
        <v>44418</v>
      </c>
      <c r="K1879" s="19" t="n">
        <v>134.58</v>
      </c>
    </row>
    <row r="1880">
      <c r="D1880" s="16" t="n">
        <v>44419</v>
      </c>
      <c r="E1880" s="19" t="n">
        <v>4.47</v>
      </c>
      <c r="G1880" s="16" t="n">
        <v>44419</v>
      </c>
      <c r="H1880" s="19" t="n">
        <v>2.14</v>
      </c>
      <c r="J1880" s="16" t="n">
        <v>44419</v>
      </c>
      <c r="K1880" s="19" t="n">
        <v>135.5</v>
      </c>
    </row>
    <row r="1881">
      <c r="D1881" s="16" t="n">
        <v>44420</v>
      </c>
      <c r="E1881" s="19" t="n">
        <v>4.42</v>
      </c>
      <c r="G1881" s="16" t="n">
        <v>44420</v>
      </c>
      <c r="H1881" s="19" t="n">
        <v>2.02</v>
      </c>
      <c r="J1881" s="16" t="n">
        <v>44420</v>
      </c>
      <c r="K1881" s="19" t="n">
        <v>135.23</v>
      </c>
    </row>
    <row r="1882">
      <c r="D1882" s="16" t="n">
        <v>44421</v>
      </c>
      <c r="E1882" s="19" t="n">
        <v>4.41</v>
      </c>
      <c r="G1882" s="16" t="n">
        <v>44421</v>
      </c>
      <c r="H1882" s="19" t="n">
        <v>2.09</v>
      </c>
      <c r="J1882" s="16" t="n">
        <v>44421</v>
      </c>
      <c r="K1882" s="19" t="n">
        <v>133.78</v>
      </c>
    </row>
    <row r="1883">
      <c r="D1883" s="16" t="n">
        <v>44424</v>
      </c>
      <c r="E1883" s="19" t="n">
        <v>4.41</v>
      </c>
      <c r="G1883" s="16" t="n">
        <v>44424</v>
      </c>
      <c r="H1883" s="19" t="n">
        <v>2.18</v>
      </c>
      <c r="J1883" s="16" t="n">
        <v>44424</v>
      </c>
      <c r="K1883" s="19" t="n">
        <v>134.77</v>
      </c>
    </row>
    <row r="1884">
      <c r="D1884" s="16" t="n">
        <v>44425</v>
      </c>
      <c r="E1884" s="19" t="n">
        <v>4.32</v>
      </c>
      <c r="G1884" s="16" t="n">
        <v>44425</v>
      </c>
      <c r="H1884" s="19" t="n">
        <v>2.18</v>
      </c>
      <c r="J1884" s="16" t="n">
        <v>44425</v>
      </c>
      <c r="K1884" s="19" t="n">
        <v>134.66</v>
      </c>
    </row>
    <row r="1885">
      <c r="D1885" s="16" t="n">
        <v>44426</v>
      </c>
      <c r="E1885" s="19" t="n">
        <v>4.38</v>
      </c>
      <c r="G1885" s="16" t="n">
        <v>44426</v>
      </c>
      <c r="H1885" s="19" t="n">
        <v>2.22</v>
      </c>
      <c r="J1885" s="16" t="n">
        <v>44426</v>
      </c>
      <c r="K1885" s="19" t="n">
        <v>134.51</v>
      </c>
    </row>
    <row r="1886">
      <c r="D1886" s="16" t="n">
        <v>44427</v>
      </c>
      <c r="E1886" s="19" t="n">
        <v>4.37</v>
      </c>
      <c r="G1886" s="16" t="n">
        <v>44427</v>
      </c>
      <c r="H1886" s="19" t="n">
        <v>2.19</v>
      </c>
      <c r="J1886" s="16" t="n">
        <v>44427</v>
      </c>
      <c r="K1886" s="19" t="n">
        <v>133.65</v>
      </c>
    </row>
    <row r="1887">
      <c r="D1887" s="16" t="n">
        <v>44428</v>
      </c>
      <c r="E1887" s="19" t="n">
        <v>4.42</v>
      </c>
      <c r="G1887" s="16" t="n">
        <v>44428</v>
      </c>
      <c r="H1887" s="19" t="n">
        <v>2.24</v>
      </c>
      <c r="J1887" s="16" t="n">
        <v>44428</v>
      </c>
      <c r="K1887" s="19" t="n">
        <v>134.52</v>
      </c>
    </row>
    <row r="1888">
      <c r="D1888" s="16" t="n">
        <v>44431</v>
      </c>
      <c r="E1888" s="19" t="n">
        <v>4.46</v>
      </c>
      <c r="G1888" s="16" t="n">
        <v>44431</v>
      </c>
      <c r="H1888" s="19" t="n">
        <v>2.22</v>
      </c>
      <c r="J1888" s="16" t="n">
        <v>44431</v>
      </c>
      <c r="K1888" s="19" t="n">
        <v>135.13</v>
      </c>
    </row>
    <row r="1889">
      <c r="D1889" s="16" t="n">
        <v>44432</v>
      </c>
      <c r="E1889" s="19" t="n">
        <v>4.45</v>
      </c>
      <c r="G1889" s="16" t="n">
        <v>44432</v>
      </c>
      <c r="H1889" s="19" t="n">
        <v>2.22</v>
      </c>
      <c r="J1889" s="16" t="n">
        <v>44432</v>
      </c>
      <c r="K1889" s="19" t="n">
        <v>134.71</v>
      </c>
    </row>
    <row r="1890">
      <c r="D1890" s="16" t="n">
        <v>44433</v>
      </c>
      <c r="E1890" s="19" t="n">
        <v>4.49</v>
      </c>
      <c r="G1890" s="16" t="n">
        <v>44433</v>
      </c>
      <c r="H1890" s="19" t="n">
        <v>2.19</v>
      </c>
      <c r="J1890" s="16" t="n">
        <v>44433</v>
      </c>
      <c r="K1890" s="19" t="n">
        <v>135.66</v>
      </c>
    </row>
    <row r="1891">
      <c r="D1891" s="16" t="n">
        <v>44434</v>
      </c>
      <c r="E1891" s="19" t="n">
        <v>4.53</v>
      </c>
      <c r="G1891" s="16" t="n">
        <v>44434</v>
      </c>
      <c r="H1891" s="19" t="n">
        <v>2.26</v>
      </c>
      <c r="J1891" s="16" t="n">
        <v>44434</v>
      </c>
      <c r="K1891" s="19" t="n">
        <v>135.81</v>
      </c>
    </row>
    <row r="1892">
      <c r="D1892" s="16" t="n">
        <v>44435</v>
      </c>
      <c r="E1892" s="19" t="n">
        <v>4.5</v>
      </c>
      <c r="G1892" s="16" t="n">
        <v>44435</v>
      </c>
      <c r="H1892" s="19" t="n">
        <v>2.2</v>
      </c>
      <c r="J1892" s="16" t="n">
        <v>44435</v>
      </c>
      <c r="K1892" s="19" t="n">
        <v>135.02</v>
      </c>
    </row>
    <row r="1893">
      <c r="D1893" s="16" t="n">
        <v>44438</v>
      </c>
      <c r="E1893" s="19" t="n">
        <v>4.5</v>
      </c>
      <c r="G1893" s="16" t="n">
        <v>44438</v>
      </c>
      <c r="H1893" s="19" t="n">
        <v>2.23</v>
      </c>
      <c r="J1893" s="16" t="n">
        <v>44438</v>
      </c>
      <c r="K1893" s="19" t="n">
        <v>135.13</v>
      </c>
    </row>
    <row r="1894">
      <c r="D1894" s="16" t="n">
        <v>44439</v>
      </c>
      <c r="E1894" s="19" t="n">
        <v>4.48</v>
      </c>
      <c r="G1894" s="16" t="n">
        <v>44439</v>
      </c>
      <c r="H1894" s="19" t="n">
        <v>2.23</v>
      </c>
      <c r="J1894" s="16" t="n">
        <v>44439</v>
      </c>
      <c r="K1894" s="19" t="n">
        <v>135.36</v>
      </c>
    </row>
    <row r="1895">
      <c r="D1895" s="16" t="n">
        <v>44440</v>
      </c>
      <c r="E1895" s="19" t="n">
        <v>4.51</v>
      </c>
      <c r="G1895" s="16" t="n">
        <v>44440</v>
      </c>
      <c r="H1895" s="19" t="n">
        <v>2.24</v>
      </c>
      <c r="J1895" s="16" t="n">
        <v>44440</v>
      </c>
      <c r="K1895" s="19" t="n">
        <v>135.95</v>
      </c>
    </row>
    <row r="1896">
      <c r="D1896" s="16" t="n">
        <v>44441</v>
      </c>
      <c r="E1896" s="19" t="n">
        <v>4.55</v>
      </c>
      <c r="G1896" s="16" t="n">
        <v>44441</v>
      </c>
      <c r="H1896" s="19" t="n">
        <v>2.23</v>
      </c>
      <c r="J1896" s="16" t="n">
        <v>44441</v>
      </c>
      <c r="K1896" s="19" t="n">
        <v>135.77</v>
      </c>
    </row>
    <row r="1897">
      <c r="D1897" s="16" t="n">
        <v>44442</v>
      </c>
      <c r="E1897" s="19" t="n">
        <v>4.53</v>
      </c>
      <c r="G1897" s="16" t="n">
        <v>44442</v>
      </c>
      <c r="H1897" s="19" t="n">
        <v>2.21</v>
      </c>
      <c r="J1897" s="16" t="n">
        <v>44442</v>
      </c>
      <c r="K1897" s="19" t="n">
        <v>136.35</v>
      </c>
    </row>
    <row r="1898">
      <c r="D1898" s="16" t="n">
        <v>44445</v>
      </c>
      <c r="E1898" s="19" t="n">
        <v>4.51</v>
      </c>
      <c r="G1898" s="16" t="n">
        <v>44445</v>
      </c>
      <c r="H1898" s="19" t="n">
        <v>2.25</v>
      </c>
      <c r="J1898" s="16" t="n">
        <v>44445</v>
      </c>
      <c r="K1898" s="19" t="n">
        <v>136.36</v>
      </c>
    </row>
    <row r="1899">
      <c r="D1899" s="16" t="n">
        <v>44446</v>
      </c>
      <c r="E1899" s="19" t="n">
        <v>4.45</v>
      </c>
      <c r="G1899" s="16" t="n">
        <v>44446</v>
      </c>
      <c r="H1899" s="19" t="n">
        <v>2.35</v>
      </c>
      <c r="J1899" s="16" t="n">
        <v>44446</v>
      </c>
      <c r="K1899" s="19" t="n">
        <v>135.32</v>
      </c>
    </row>
    <row r="1900">
      <c r="D1900" s="16" t="n">
        <v>44447</v>
      </c>
      <c r="E1900" s="19" t="n">
        <v>4.46</v>
      </c>
      <c r="G1900" s="16" t="n">
        <v>44447</v>
      </c>
      <c r="H1900" s="19" t="n">
        <v>2.37</v>
      </c>
      <c r="J1900" s="16" t="n">
        <v>44447</v>
      </c>
      <c r="K1900" s="19" t="n">
        <v>134.54</v>
      </c>
    </row>
    <row r="1901">
      <c r="D1901" s="16" t="n">
        <v>44448</v>
      </c>
      <c r="E1901" s="19" t="n">
        <v>4.53</v>
      </c>
      <c r="G1901" s="16" t="n">
        <v>44448</v>
      </c>
      <c r="H1901" s="19" t="n">
        <v>2.44</v>
      </c>
      <c r="J1901" s="16" t="n">
        <v>44448</v>
      </c>
      <c r="K1901" s="19" t="n">
        <v>133.92</v>
      </c>
    </row>
    <row r="1902">
      <c r="D1902" s="16" t="n">
        <v>44449</v>
      </c>
      <c r="E1902" s="19" t="n">
        <v>4.53</v>
      </c>
      <c r="G1902" s="16" t="n">
        <v>44449</v>
      </c>
      <c r="H1902" s="19" t="n">
        <v>2.44</v>
      </c>
      <c r="J1902" s="16" t="n">
        <v>44449</v>
      </c>
      <c r="K1902" s="19" t="n">
        <v>134.65</v>
      </c>
    </row>
    <row r="1903">
      <c r="D1903" s="16" t="n">
        <v>44452</v>
      </c>
      <c r="E1903" s="19" t="n">
        <v>4.49</v>
      </c>
      <c r="G1903" s="16" t="n">
        <v>44452</v>
      </c>
      <c r="H1903" s="19" t="n">
        <v>2.46</v>
      </c>
      <c r="J1903" s="16" t="n">
        <v>44452</v>
      </c>
      <c r="K1903" s="19" t="n">
        <v>134.39</v>
      </c>
    </row>
    <row r="1904">
      <c r="D1904" s="16" t="n">
        <v>44453</v>
      </c>
      <c r="E1904" s="19" t="n">
        <v>4.49</v>
      </c>
      <c r="G1904" s="16" t="n">
        <v>44453</v>
      </c>
      <c r="H1904" s="19" t="n">
        <v>2.52</v>
      </c>
      <c r="J1904" s="16" t="n">
        <v>44453</v>
      </c>
      <c r="K1904" s="19" t="n">
        <v>134.08</v>
      </c>
    </row>
    <row r="1905">
      <c r="D1905" s="16" t="n">
        <v>44454</v>
      </c>
      <c r="E1905" s="19" t="n">
        <v>4.53</v>
      </c>
      <c r="G1905" s="16" t="n">
        <v>44454</v>
      </c>
      <c r="H1905" s="19" t="n">
        <v>2.59</v>
      </c>
      <c r="J1905" s="16" t="n">
        <v>44454</v>
      </c>
      <c r="K1905" s="19" t="n">
        <v>132.64</v>
      </c>
    </row>
    <row r="1906">
      <c r="D1906" s="16" t="n">
        <v>44455</v>
      </c>
      <c r="E1906" s="19" t="n">
        <v>4.51</v>
      </c>
      <c r="G1906" s="16" t="n">
        <v>44455</v>
      </c>
      <c r="H1906" s="19" t="n">
        <v>2.68</v>
      </c>
      <c r="J1906" s="16" t="n">
        <v>44455</v>
      </c>
      <c r="K1906" s="19" t="n">
        <v>132.12</v>
      </c>
    </row>
    <row r="1907">
      <c r="D1907" s="16" t="n">
        <v>44456</v>
      </c>
      <c r="E1907" s="19" t="n">
        <v>4.48</v>
      </c>
      <c r="G1907" s="16" t="n">
        <v>44456</v>
      </c>
      <c r="H1907" s="19" t="n">
        <v>2.65</v>
      </c>
      <c r="J1907" s="16" t="n">
        <v>44456</v>
      </c>
      <c r="K1907" s="19" t="n">
        <v>132.03</v>
      </c>
    </row>
    <row r="1908">
      <c r="D1908" s="16" t="n">
        <v>44459</v>
      </c>
      <c r="E1908" s="19" t="n">
        <v>4.55</v>
      </c>
      <c r="G1908" s="16" t="n">
        <v>44459</v>
      </c>
      <c r="H1908" s="19" t="n">
        <v>2.65</v>
      </c>
      <c r="J1908" s="16" t="n">
        <v>44459</v>
      </c>
      <c r="K1908" s="19" t="n">
        <v>131.65</v>
      </c>
    </row>
    <row r="1909">
      <c r="D1909" s="16" t="n">
        <v>44460</v>
      </c>
      <c r="E1909" s="19" t="n">
        <v>4.58</v>
      </c>
      <c r="G1909" s="16" t="n">
        <v>44460</v>
      </c>
      <c r="H1909" s="19" t="n">
        <v>2.62</v>
      </c>
      <c r="J1909" s="16" t="n">
        <v>44460</v>
      </c>
      <c r="K1909" s="19" t="n">
        <v>131.17</v>
      </c>
    </row>
    <row r="1910">
      <c r="D1910" s="16" t="n">
        <v>44461</v>
      </c>
      <c r="E1910" s="19" t="n">
        <v>4.63</v>
      </c>
      <c r="G1910" s="16" t="n">
        <v>44461</v>
      </c>
      <c r="H1910" s="19" t="n">
        <v>2.6</v>
      </c>
      <c r="J1910" s="16" t="n">
        <v>44461</v>
      </c>
      <c r="K1910" s="19" t="n">
        <v>131.28</v>
      </c>
    </row>
    <row r="1911">
      <c r="D1911" s="16" t="n">
        <v>44462</v>
      </c>
      <c r="E1911" s="19" t="n">
        <v>4.62</v>
      </c>
      <c r="G1911" s="16" t="n">
        <v>44462</v>
      </c>
      <c r="H1911" s="19" t="n">
        <v>2.52</v>
      </c>
      <c r="J1911" s="16" t="n">
        <v>44462</v>
      </c>
      <c r="K1911" s="19" t="n">
        <v>129.6</v>
      </c>
    </row>
    <row r="1912">
      <c r="D1912" s="16" t="n">
        <v>44463</v>
      </c>
      <c r="E1912" s="19" t="n">
        <v>4.66</v>
      </c>
      <c r="G1912" s="16" t="n">
        <v>44463</v>
      </c>
      <c r="H1912" s="19" t="n">
        <v>2.47</v>
      </c>
      <c r="J1912" s="16" t="n">
        <v>44463</v>
      </c>
      <c r="K1912" s="19" t="n">
        <v>128.56</v>
      </c>
    </row>
    <row r="1913">
      <c r="D1913" s="16" t="n">
        <v>44466</v>
      </c>
      <c r="E1913" s="19" t="n">
        <v>4.7</v>
      </c>
      <c r="G1913" s="16" t="n">
        <v>44466</v>
      </c>
      <c r="H1913" s="19" t="n">
        <v>2.47</v>
      </c>
      <c r="J1913" s="16" t="n">
        <v>44466</v>
      </c>
      <c r="K1913" s="19" t="n">
        <v>129.05</v>
      </c>
    </row>
    <row r="1914">
      <c r="D1914" s="16" t="n">
        <v>44467</v>
      </c>
      <c r="E1914" s="19" t="n">
        <v>4.63</v>
      </c>
      <c r="G1914" s="16" t="n">
        <v>44467</v>
      </c>
      <c r="H1914" s="19" t="n">
        <v>2.38</v>
      </c>
      <c r="J1914" s="16" t="n">
        <v>44467</v>
      </c>
      <c r="K1914" s="19" t="n">
        <v>129.76</v>
      </c>
    </row>
    <row r="1915">
      <c r="D1915" s="16" t="n">
        <v>44468</v>
      </c>
      <c r="E1915" s="19" t="n">
        <v>4.62</v>
      </c>
      <c r="G1915" s="16" t="n">
        <v>44468</v>
      </c>
      <c r="H1915" s="19" t="n">
        <v>2.42</v>
      </c>
      <c r="J1915" s="16" t="n">
        <v>44468</v>
      </c>
      <c r="K1915" s="19" t="n">
        <v>130.37</v>
      </c>
    </row>
    <row r="1916">
      <c r="D1916" s="16" t="n">
        <v>44469</v>
      </c>
      <c r="E1916" s="19" t="n">
        <v>4.57</v>
      </c>
      <c r="G1916" s="16" t="n">
        <v>44469</v>
      </c>
      <c r="H1916" s="19" t="n">
        <v>2.35</v>
      </c>
      <c r="J1916" s="16" t="n">
        <v>44469</v>
      </c>
      <c r="K1916" s="19" t="n">
        <v>129.45</v>
      </c>
    </row>
    <row r="1917">
      <c r="D1917" s="16" t="n">
        <v>44470</v>
      </c>
      <c r="E1917" s="19" t="n">
        <v>4.57</v>
      </c>
      <c r="G1917" s="16" t="n">
        <v>44470</v>
      </c>
      <c r="H1917" s="19" t="n">
        <v>2.33</v>
      </c>
      <c r="J1917" s="16" t="n">
        <v>44470</v>
      </c>
      <c r="K1917" s="19" t="n">
        <v>129.39</v>
      </c>
    </row>
    <row r="1918">
      <c r="D1918" s="16" t="n">
        <v>44473</v>
      </c>
      <c r="E1918" s="19" t="n">
        <v>4.58</v>
      </c>
      <c r="G1918" s="16" t="n">
        <v>44473</v>
      </c>
      <c r="H1918" s="19" t="n">
        <v>2.33</v>
      </c>
      <c r="J1918" s="16" t="n">
        <v>44473</v>
      </c>
      <c r="K1918" s="19" t="n">
        <v>129.13</v>
      </c>
    </row>
    <row r="1919">
      <c r="D1919" s="16" t="n">
        <v>44474</v>
      </c>
      <c r="E1919" s="19" t="n">
        <v>4.57</v>
      </c>
      <c r="G1919" s="16" t="n">
        <v>44474</v>
      </c>
      <c r="H1919" s="19" t="n">
        <v>2.35</v>
      </c>
      <c r="J1919" s="16" t="n">
        <v>44474</v>
      </c>
      <c r="K1919" s="19" t="n">
        <v>128.73</v>
      </c>
    </row>
    <row r="1920">
      <c r="D1920" s="16" t="n">
        <v>44475</v>
      </c>
      <c r="E1920" s="19" t="n">
        <v>4.68</v>
      </c>
      <c r="G1920" s="16" t="n">
        <v>44475</v>
      </c>
      <c r="H1920" s="19" t="n">
        <v>2.4</v>
      </c>
      <c r="J1920" s="16" t="n">
        <v>44475</v>
      </c>
      <c r="K1920" s="19" t="n">
        <v>129.54</v>
      </c>
    </row>
    <row r="1921">
      <c r="D1921" s="16" t="n">
        <v>44476</v>
      </c>
      <c r="E1921" s="19" t="n">
        <v>4.72</v>
      </c>
      <c r="G1921" s="16" t="n">
        <v>44476</v>
      </c>
      <c r="H1921" s="19" t="n">
        <v>2.37</v>
      </c>
      <c r="J1921" s="16" t="n">
        <v>44476</v>
      </c>
      <c r="K1921" s="19" t="n">
        <v>129.57</v>
      </c>
    </row>
    <row r="1922">
      <c r="D1922" s="16" t="n">
        <v>44477</v>
      </c>
      <c r="E1922" s="19" t="n">
        <v>4.72</v>
      </c>
      <c r="G1922" s="16" t="n">
        <v>44477</v>
      </c>
      <c r="H1922" s="19" t="n">
        <v>2.37</v>
      </c>
      <c r="J1922" s="16" t="n">
        <v>44477</v>
      </c>
      <c r="K1922" s="19" t="n">
        <v>129.33</v>
      </c>
    </row>
    <row r="1923">
      <c r="D1923" s="16" t="n">
        <v>44480</v>
      </c>
      <c r="E1923" s="19" t="n">
        <v>4.71</v>
      </c>
      <c r="G1923" s="16" t="n">
        <v>44480</v>
      </c>
      <c r="H1923" s="19" t="n">
        <v>2.39</v>
      </c>
      <c r="J1923" s="16" t="n">
        <v>44480</v>
      </c>
      <c r="K1923" s="19" t="n">
        <v>129.22</v>
      </c>
    </row>
    <row r="1924">
      <c r="D1924" s="16" t="n">
        <v>44481</v>
      </c>
      <c r="E1924" s="19" t="n">
        <v>4.66</v>
      </c>
      <c r="G1924" s="16" t="n">
        <v>44481</v>
      </c>
      <c r="H1924" s="19" t="n">
        <v>2.31</v>
      </c>
      <c r="J1924" s="16" t="n">
        <v>44481</v>
      </c>
      <c r="K1924" s="19" t="n">
        <v>128.59</v>
      </c>
    </row>
    <row r="1925">
      <c r="D1925" s="16" t="n">
        <v>44482</v>
      </c>
      <c r="E1925" s="19" t="n">
        <v>4.67</v>
      </c>
      <c r="G1925" s="16" t="n">
        <v>44482</v>
      </c>
      <c r="H1925" s="19" t="n">
        <v>2.33</v>
      </c>
      <c r="J1925" s="16" t="n">
        <v>44482</v>
      </c>
      <c r="K1925" s="19" t="n">
        <v>127.98</v>
      </c>
    </row>
    <row r="1926">
      <c r="D1926" s="16" t="n">
        <v>44483</v>
      </c>
      <c r="E1926" s="19" t="n">
        <v>4.63</v>
      </c>
      <c r="G1926" s="16" t="n">
        <v>44483</v>
      </c>
      <c r="H1926" s="19" t="n">
        <v>2.32</v>
      </c>
      <c r="J1926" s="16" t="n">
        <v>44483</v>
      </c>
      <c r="K1926" s="19" t="n">
        <v>127.8</v>
      </c>
    </row>
    <row r="1927">
      <c r="D1927" s="16" t="n">
        <v>44484</v>
      </c>
      <c r="E1927" s="19" t="n">
        <v>4.68</v>
      </c>
      <c r="G1927" s="16" t="n">
        <v>44484</v>
      </c>
      <c r="H1927" s="19" t="n">
        <v>2.28</v>
      </c>
      <c r="J1927" s="16" t="n">
        <v>44484</v>
      </c>
      <c r="K1927" s="19" t="n">
        <v>128.95</v>
      </c>
    </row>
    <row r="1928">
      <c r="D1928" s="16" t="n">
        <v>44487</v>
      </c>
      <c r="E1928" s="19" t="n">
        <v>4.74</v>
      </c>
      <c r="G1928" s="16" t="n">
        <v>44487</v>
      </c>
      <c r="H1928" s="19" t="n">
        <v>2.3</v>
      </c>
      <c r="J1928" s="16" t="n">
        <v>44487</v>
      </c>
      <c r="K1928" s="19" t="n">
        <v>128.46</v>
      </c>
    </row>
    <row r="1929">
      <c r="D1929" s="16" t="n">
        <v>44488</v>
      </c>
      <c r="E1929" s="19" t="n">
        <v>4.78</v>
      </c>
      <c r="G1929" s="16" t="n">
        <v>44488</v>
      </c>
      <c r="H1929" s="19" t="n">
        <v>2.32</v>
      </c>
      <c r="J1929" s="16" t="n">
        <v>44488</v>
      </c>
      <c r="K1929" s="19" t="n">
        <v>128.48</v>
      </c>
    </row>
    <row r="1930">
      <c r="D1930" s="16" t="n">
        <v>44489</v>
      </c>
      <c r="E1930" s="19" t="n">
        <v>4.82</v>
      </c>
      <c r="G1930" s="16" t="n">
        <v>44489</v>
      </c>
      <c r="H1930" s="19" t="n">
        <v>2.34</v>
      </c>
      <c r="J1930" s="16" t="n">
        <v>44489</v>
      </c>
      <c r="K1930" s="19" t="n">
        <v>128.74</v>
      </c>
    </row>
    <row r="1931">
      <c r="D1931" s="16" t="n">
        <v>44490</v>
      </c>
      <c r="E1931" s="19" t="n">
        <v>4.85</v>
      </c>
      <c r="G1931" s="16" t="n">
        <v>44490</v>
      </c>
      <c r="H1931" s="19" t="n">
        <v>2.32</v>
      </c>
      <c r="J1931" s="16" t="n">
        <v>44490</v>
      </c>
      <c r="K1931" s="19" t="n">
        <v>129.74</v>
      </c>
    </row>
    <row r="1932">
      <c r="D1932" s="16" t="n">
        <v>44491</v>
      </c>
      <c r="E1932" s="19" t="n">
        <v>4.8</v>
      </c>
      <c r="G1932" s="16" t="n">
        <v>44491</v>
      </c>
      <c r="H1932" s="19" t="n">
        <v>2.35</v>
      </c>
      <c r="J1932" s="16" t="n">
        <v>44491</v>
      </c>
      <c r="K1932" s="19" t="n">
        <v>128.56</v>
      </c>
    </row>
    <row r="1933">
      <c r="D1933" s="16" t="n">
        <v>44494</v>
      </c>
      <c r="E1933" s="19" t="n">
        <v>4.79</v>
      </c>
      <c r="G1933" s="16" t="n">
        <v>44494</v>
      </c>
      <c r="H1933" s="19" t="n">
        <v>2.35</v>
      </c>
      <c r="J1933" s="16" t="n">
        <v>44494</v>
      </c>
      <c r="K1933" s="19" t="n">
        <v>128.91</v>
      </c>
    </row>
    <row r="1934">
      <c r="D1934" s="16" t="n">
        <v>44495</v>
      </c>
      <c r="E1934" s="19" t="n">
        <v>4.79</v>
      </c>
      <c r="G1934" s="16" t="n">
        <v>44495</v>
      </c>
      <c r="H1934" s="19" t="n">
        <v>2.31</v>
      </c>
      <c r="J1934" s="16" t="n">
        <v>44495</v>
      </c>
      <c r="K1934" s="19" t="n">
        <v>128.48</v>
      </c>
    </row>
    <row r="1935">
      <c r="D1935" s="16" t="n">
        <v>44496</v>
      </c>
      <c r="E1935" s="19" t="n">
        <v>4.73</v>
      </c>
      <c r="G1935" s="16" t="n">
        <v>44496</v>
      </c>
      <c r="H1935" s="19" t="n">
        <v>2.33</v>
      </c>
      <c r="J1935" s="16" t="n">
        <v>44496</v>
      </c>
      <c r="K1935" s="19" t="n">
        <v>127.77</v>
      </c>
    </row>
    <row r="1936">
      <c r="D1936" s="16" t="n">
        <v>44497</v>
      </c>
      <c r="E1936" s="19" t="n">
        <v>4.74</v>
      </c>
      <c r="G1936" s="16" t="n">
        <v>44497</v>
      </c>
      <c r="H1936" s="19" t="n">
        <v>2.29</v>
      </c>
      <c r="J1936" s="16" t="n">
        <v>44497</v>
      </c>
      <c r="K1936" s="19" t="n">
        <v>127.54</v>
      </c>
    </row>
    <row r="1937">
      <c r="D1937" s="16" t="n">
        <v>44498</v>
      </c>
      <c r="E1937" s="19" t="n">
        <v>4.66</v>
      </c>
      <c r="G1937" s="16" t="n">
        <v>44498</v>
      </c>
      <c r="H1937" s="19" t="n">
        <v>2.29</v>
      </c>
      <c r="J1937" s="16" t="n">
        <v>44498</v>
      </c>
      <c r="K1937" s="19" t="n">
        <v>127.08</v>
      </c>
    </row>
    <row r="1938">
      <c r="D1938" s="16" t="n">
        <v>44501</v>
      </c>
      <c r="E1938" s="19" t="n">
        <v>4.61</v>
      </c>
      <c r="G1938" s="16" t="n">
        <v>44501</v>
      </c>
      <c r="H1938" s="19" t="n">
        <v>2.25</v>
      </c>
      <c r="J1938" s="16" t="n">
        <v>44501</v>
      </c>
      <c r="K1938" s="19" t="n">
        <v>127.26</v>
      </c>
    </row>
    <row r="1939">
      <c r="D1939" s="16" t="n">
        <v>44502</v>
      </c>
      <c r="E1939" s="19" t="n">
        <v>4.58</v>
      </c>
      <c r="G1939" s="16" t="n">
        <v>44502</v>
      </c>
      <c r="H1939" s="19" t="n">
        <v>2.21</v>
      </c>
      <c r="J1939" s="16" t="n">
        <v>44502</v>
      </c>
      <c r="K1939" s="19" t="n">
        <v>127.88</v>
      </c>
    </row>
    <row r="1940">
      <c r="D1940" s="16" t="n">
        <v>44503</v>
      </c>
      <c r="E1940" s="19" t="n">
        <v>4.59</v>
      </c>
      <c r="G1940" s="16" t="n">
        <v>44503</v>
      </c>
      <c r="H1940" s="19" t="n">
        <v>2.3</v>
      </c>
      <c r="J1940" s="16" t="n">
        <v>44503</v>
      </c>
      <c r="K1940" s="19" t="n">
        <v>128.26</v>
      </c>
    </row>
    <row r="1941">
      <c r="D1941" s="16" t="n">
        <v>44504</v>
      </c>
      <c r="E1941" s="19" t="n">
        <v>4.6</v>
      </c>
      <c r="G1941" s="16" t="n">
        <v>44504</v>
      </c>
      <c r="H1941" s="19" t="n">
        <v>2.33</v>
      </c>
      <c r="J1941" s="16" t="n">
        <v>44504</v>
      </c>
      <c r="K1941" s="19" t="n">
        <v>129.34</v>
      </c>
    </row>
    <row r="1942">
      <c r="D1942" s="16" t="n">
        <v>44505</v>
      </c>
      <c r="E1942" s="19" t="n">
        <v>4.64</v>
      </c>
      <c r="G1942" s="16" t="n">
        <v>44505</v>
      </c>
      <c r="H1942" s="19" t="n">
        <v>2.35</v>
      </c>
      <c r="J1942" s="16" t="n">
        <v>44505</v>
      </c>
      <c r="K1942" s="19" t="n">
        <v>129.85</v>
      </c>
    </row>
    <row r="1943">
      <c r="D1943" s="16" t="n">
        <v>44508</v>
      </c>
      <c r="E1943" s="19" t="n">
        <v>4.6</v>
      </c>
      <c r="G1943" s="16" t="n">
        <v>44508</v>
      </c>
      <c r="H1943" s="19" t="n">
        <v>2.34</v>
      </c>
      <c r="J1943" s="16" t="n">
        <v>44508</v>
      </c>
      <c r="K1943" s="19" t="n">
        <v>129.25</v>
      </c>
    </row>
    <row r="1944">
      <c r="D1944" s="16" t="n">
        <v>44509</v>
      </c>
      <c r="E1944" s="19" t="n">
        <v>4.57</v>
      </c>
      <c r="G1944" s="16" t="n">
        <v>44509</v>
      </c>
      <c r="H1944" s="19" t="n">
        <v>2.3</v>
      </c>
      <c r="J1944" s="16" t="n">
        <v>44509</v>
      </c>
      <c r="K1944" s="19" t="n">
        <v>129.3</v>
      </c>
    </row>
    <row r="1945">
      <c r="D1945" s="16" t="n">
        <v>44510</v>
      </c>
      <c r="E1945" s="19" t="n">
        <v>4.58</v>
      </c>
      <c r="G1945" s="16" t="n">
        <v>44510</v>
      </c>
      <c r="H1945" s="19" t="n">
        <v>2.32</v>
      </c>
      <c r="J1945" s="16" t="n">
        <v>44510</v>
      </c>
      <c r="K1945" s="19" t="n">
        <v>129.06</v>
      </c>
    </row>
    <row r="1946">
      <c r="D1946" s="16" t="n">
        <v>44511</v>
      </c>
      <c r="E1946" s="19" t="n">
        <v>4.6</v>
      </c>
      <c r="G1946" s="16" t="n">
        <v>44511</v>
      </c>
      <c r="H1946" s="19" t="n">
        <v>2.34</v>
      </c>
      <c r="J1946" s="16" t="n">
        <v>44511</v>
      </c>
      <c r="K1946" s="19" t="n">
        <v>128.66</v>
      </c>
    </row>
    <row r="1947">
      <c r="D1947" s="16" t="n">
        <v>44512</v>
      </c>
      <c r="E1947" s="19" t="n">
        <v>4.59</v>
      </c>
      <c r="G1947" s="16" t="n">
        <v>44512</v>
      </c>
      <c r="H1947" s="19" t="n">
        <v>2.36</v>
      </c>
      <c r="J1947" s="16" t="n">
        <v>44512</v>
      </c>
      <c r="K1947" s="19" t="n">
        <v>127.84</v>
      </c>
    </row>
    <row r="1948">
      <c r="D1948" s="16" t="n">
        <v>44515</v>
      </c>
      <c r="E1948" s="19" t="n">
        <v>4.53</v>
      </c>
      <c r="G1948" s="16" t="n">
        <v>44515</v>
      </c>
      <c r="H1948" s="19" t="n">
        <v>2.43</v>
      </c>
      <c r="J1948" s="16" t="n">
        <v>44515</v>
      </c>
      <c r="K1948" s="19" t="n">
        <v>128.35</v>
      </c>
    </row>
    <row r="1949">
      <c r="D1949" s="16" t="n">
        <v>44516</v>
      </c>
      <c r="E1949" s="19" t="n">
        <v>4.54</v>
      </c>
      <c r="G1949" s="16" t="n">
        <v>44516</v>
      </c>
      <c r="H1949" s="19" t="n">
        <v>2.45</v>
      </c>
      <c r="J1949" s="16" t="n">
        <v>44516</v>
      </c>
      <c r="K1949" s="19" t="n">
        <v>128.79</v>
      </c>
    </row>
    <row r="1950">
      <c r="D1950" s="16" t="n">
        <v>44517</v>
      </c>
      <c r="E1950" s="19" t="n">
        <v>4.5</v>
      </c>
      <c r="G1950" s="16" t="n">
        <v>44517</v>
      </c>
      <c r="H1950" s="19" t="n">
        <v>2.51</v>
      </c>
      <c r="J1950" s="16" t="n">
        <v>44517</v>
      </c>
      <c r="K1950" s="19" t="n">
        <v>127.84</v>
      </c>
    </row>
    <row r="1951">
      <c r="D1951" s="16" t="n">
        <v>44518</v>
      </c>
      <c r="E1951" s="19" t="n">
        <v>4.56</v>
      </c>
      <c r="G1951" s="16" t="n">
        <v>44518</v>
      </c>
      <c r="H1951" s="19" t="n">
        <v>2.57</v>
      </c>
      <c r="J1951" s="16" t="n">
        <v>44518</v>
      </c>
      <c r="K1951" s="19" t="n">
        <v>128.89</v>
      </c>
    </row>
    <row r="1952">
      <c r="D1952" s="16" t="n">
        <v>44519</v>
      </c>
      <c r="E1952" s="19" t="n">
        <v>4.51</v>
      </c>
      <c r="G1952" s="16" t="n">
        <v>44519</v>
      </c>
      <c r="H1952" s="19" t="n">
        <v>2.54</v>
      </c>
      <c r="J1952" s="16" t="n">
        <v>44519</v>
      </c>
      <c r="K1952" s="19" t="n">
        <v>128.87</v>
      </c>
    </row>
    <row r="1953">
      <c r="D1953" s="16" t="n">
        <v>44522</v>
      </c>
      <c r="E1953" s="19" t="n">
        <v>4.53</v>
      </c>
      <c r="G1953" s="16" t="n">
        <v>44522</v>
      </c>
      <c r="H1953" s="19" t="n">
        <v>2.58</v>
      </c>
      <c r="J1953" s="16" t="n">
        <v>44522</v>
      </c>
      <c r="K1953" s="19" t="n">
        <v>127.86</v>
      </c>
    </row>
    <row r="1954">
      <c r="D1954" s="16" t="n">
        <v>44523</v>
      </c>
      <c r="E1954" s="19" t="n">
        <v>4.51</v>
      </c>
      <c r="G1954" s="16" t="n">
        <v>44523</v>
      </c>
      <c r="H1954" s="19" t="n">
        <v>2.56</v>
      </c>
      <c r="J1954" s="16" t="n">
        <v>44523</v>
      </c>
      <c r="K1954" s="19" t="n">
        <v>126.71</v>
      </c>
    </row>
    <row r="1955">
      <c r="D1955" s="16" t="n">
        <v>44524</v>
      </c>
      <c r="E1955" s="19" t="n">
        <v>4.51</v>
      </c>
      <c r="G1955" s="16" t="n">
        <v>44524</v>
      </c>
      <c r="H1955" s="19" t="n">
        <v>2.61</v>
      </c>
      <c r="J1955" s="16" t="n">
        <v>44524</v>
      </c>
      <c r="K1955" s="19" t="n">
        <v>126.11</v>
      </c>
    </row>
    <row r="1956">
      <c r="D1956" s="16" t="n">
        <v>44525</v>
      </c>
      <c r="E1956" s="19" t="inlineStr">
        <is>
          <t>.</t>
        </is>
      </c>
      <c r="G1956" s="16" t="n">
        <v>44525</v>
      </c>
      <c r="H1956" s="19" t="inlineStr">
        <is>
          <t>.</t>
        </is>
      </c>
      <c r="J1956" s="16" t="n">
        <v>44525</v>
      </c>
      <c r="K1956" s="19" t="inlineStr">
        <is>
          <t>.</t>
        </is>
      </c>
    </row>
    <row r="1957">
      <c r="D1957" s="16" t="n">
        <v>44526</v>
      </c>
      <c r="E1957" s="19" t="n">
        <v>4.59</v>
      </c>
      <c r="G1957" s="16" t="n">
        <v>44526</v>
      </c>
      <c r="H1957" s="19" t="n">
        <v>2.56</v>
      </c>
      <c r="J1957" s="16" t="n">
        <v>44526</v>
      </c>
      <c r="K1957" s="19" t="n">
        <v>127.78</v>
      </c>
    </row>
    <row r="1958">
      <c r="D1958" s="16" t="n">
        <v>44529</v>
      </c>
      <c r="E1958" s="19" t="n">
        <v>4.63</v>
      </c>
      <c r="G1958" s="16" t="n">
        <v>44529</v>
      </c>
      <c r="H1958" s="19" t="n">
        <v>2.51</v>
      </c>
      <c r="J1958" s="16" t="n">
        <v>44529</v>
      </c>
      <c r="K1958" s="19" t="n">
        <v>127.88</v>
      </c>
    </row>
    <row r="1959">
      <c r="D1959" s="16" t="n">
        <v>44530</v>
      </c>
      <c r="E1959" s="19" t="n">
        <v>4.74</v>
      </c>
      <c r="G1959" s="16" t="n">
        <v>44530</v>
      </c>
      <c r="H1959" s="19" t="n">
        <v>2.5</v>
      </c>
      <c r="J1959" s="16" t="n">
        <v>44530</v>
      </c>
      <c r="K1959" s="19" t="n">
        <v>128.1</v>
      </c>
    </row>
    <row r="1960">
      <c r="D1960" s="16" t="n">
        <v>44531</v>
      </c>
      <c r="E1960" s="19" t="n">
        <v>4.79</v>
      </c>
      <c r="G1960" s="16" t="n">
        <v>44531</v>
      </c>
      <c r="H1960" s="19" t="n">
        <v>2.47</v>
      </c>
      <c r="J1960" s="16" t="n">
        <v>44531</v>
      </c>
      <c r="K1960" s="19" t="n">
        <v>128.25</v>
      </c>
    </row>
    <row r="1961">
      <c r="D1961" s="16" t="n">
        <v>44532</v>
      </c>
      <c r="E1961" s="19" t="n">
        <v>4.75</v>
      </c>
      <c r="G1961" s="16" t="n">
        <v>44532</v>
      </c>
      <c r="H1961" s="19" t="n">
        <v>2.53</v>
      </c>
      <c r="J1961" s="16" t="n">
        <v>44532</v>
      </c>
      <c r="K1961" s="19" t="n">
        <v>128.29</v>
      </c>
    </row>
    <row r="1962">
      <c r="D1962" s="16" t="n">
        <v>44533</v>
      </c>
      <c r="E1962" s="19" t="n">
        <v>4.71</v>
      </c>
      <c r="G1962" s="16" t="n">
        <v>44533</v>
      </c>
      <c r="H1962" s="19" t="n">
        <v>2.52</v>
      </c>
      <c r="J1962" s="16" t="n">
        <v>44533</v>
      </c>
      <c r="K1962" s="19" t="n">
        <v>128.83</v>
      </c>
    </row>
    <row r="1963">
      <c r="D1963" s="16" t="n">
        <v>44536</v>
      </c>
      <c r="E1963" s="19" t="n">
        <v>4.71</v>
      </c>
      <c r="G1963" s="16" t="n">
        <v>44536</v>
      </c>
      <c r="H1963" s="19" t="n">
        <v>2.56</v>
      </c>
      <c r="J1963" s="16" t="n">
        <v>44536</v>
      </c>
      <c r="K1963" s="19" t="n">
        <v>129.58</v>
      </c>
    </row>
    <row r="1964">
      <c r="D1964" s="16" t="n">
        <v>44537</v>
      </c>
      <c r="E1964" s="19" t="n">
        <v>4.65</v>
      </c>
      <c r="G1964" s="16" t="n">
        <v>44537</v>
      </c>
      <c r="H1964" s="19" t="n">
        <v>2.54</v>
      </c>
      <c r="J1964" s="16" t="n">
        <v>44537</v>
      </c>
      <c r="K1964" s="19" t="n">
        <v>129.66</v>
      </c>
    </row>
    <row r="1965">
      <c r="D1965" s="16" t="n">
        <v>44538</v>
      </c>
      <c r="E1965" s="19" t="n">
        <v>4.7</v>
      </c>
      <c r="G1965" s="16" t="n">
        <v>44538</v>
      </c>
      <c r="H1965" s="19" t="n">
        <v>2.52</v>
      </c>
      <c r="J1965" s="16" t="n">
        <v>44538</v>
      </c>
      <c r="K1965" s="19" t="n">
        <v>129.91</v>
      </c>
    </row>
    <row r="1966">
      <c r="D1966" s="16" t="n">
        <v>44539</v>
      </c>
      <c r="E1966" s="19" t="n">
        <v>4.75</v>
      </c>
      <c r="G1966" s="16" t="n">
        <v>44539</v>
      </c>
      <c r="H1966" s="19" t="n">
        <v>2.51</v>
      </c>
      <c r="J1966" s="16" t="n">
        <v>44539</v>
      </c>
      <c r="K1966" s="19" t="n">
        <v>129.29</v>
      </c>
    </row>
    <row r="1967">
      <c r="D1967" s="16" t="n">
        <v>44540</v>
      </c>
      <c r="E1967" s="19" t="n">
        <v>4.78</v>
      </c>
      <c r="G1967" s="16" t="n">
        <v>44540</v>
      </c>
      <c r="H1967" s="19" t="n">
        <v>2.51</v>
      </c>
      <c r="J1967" s="16" t="n">
        <v>44540</v>
      </c>
      <c r="K1967" s="19" t="n">
        <v>130.14</v>
      </c>
    </row>
    <row r="1968">
      <c r="D1968" s="16" t="n">
        <v>44543</v>
      </c>
      <c r="E1968" s="19" t="n">
        <v>4.8</v>
      </c>
      <c r="G1968" s="16" t="n">
        <v>44543</v>
      </c>
      <c r="H1968" s="19" t="n">
        <v>2.49</v>
      </c>
      <c r="J1968" s="16" t="n">
        <v>44543</v>
      </c>
      <c r="K1968" s="19" t="n">
        <v>129.38</v>
      </c>
    </row>
    <row r="1969">
      <c r="D1969" s="16" t="n">
        <v>44544</v>
      </c>
      <c r="E1969" s="19" t="n">
        <v>4.81</v>
      </c>
      <c r="G1969" s="16" t="n">
        <v>44544</v>
      </c>
      <c r="H1969" s="19" t="n">
        <v>2.52</v>
      </c>
      <c r="J1969" s="16" t="n">
        <v>44544</v>
      </c>
      <c r="K1969" s="19" t="n">
        <v>130.1</v>
      </c>
    </row>
    <row r="1970">
      <c r="D1970" s="16" t="n">
        <v>44545</v>
      </c>
      <c r="E1970" s="19" t="n">
        <v>4.8</v>
      </c>
      <c r="G1970" s="16" t="n">
        <v>44545</v>
      </c>
      <c r="H1970" s="19" t="n">
        <v>2.51</v>
      </c>
      <c r="J1970" s="16" t="n">
        <v>44545</v>
      </c>
      <c r="K1970" s="19" t="n">
        <v>130.2</v>
      </c>
    </row>
    <row r="1971">
      <c r="D1971" s="16" t="n">
        <v>44546</v>
      </c>
      <c r="E1971" s="19" t="n">
        <v>4.81</v>
      </c>
      <c r="G1971" s="16" t="n">
        <v>44546</v>
      </c>
      <c r="H1971" s="19" t="n">
        <v>2.47</v>
      </c>
      <c r="J1971" s="16" t="n">
        <v>44546</v>
      </c>
      <c r="K1971" s="19" t="n">
        <v>131.41</v>
      </c>
    </row>
    <row r="1972">
      <c r="D1972" s="16" t="n">
        <v>44547</v>
      </c>
      <c r="E1972" s="19" t="n">
        <v>4.81</v>
      </c>
      <c r="G1972" s="16" t="n">
        <v>44547</v>
      </c>
      <c r="H1972" s="19" t="n">
        <v>2.49</v>
      </c>
      <c r="J1972" s="16" t="n">
        <v>44547</v>
      </c>
      <c r="K1972" s="19" t="n">
        <v>131.03</v>
      </c>
    </row>
    <row r="1973">
      <c r="D1973" s="16" t="n">
        <v>44550</v>
      </c>
      <c r="E1973" s="19" t="n">
        <v>4.72</v>
      </c>
      <c r="G1973" s="16" t="n">
        <v>44550</v>
      </c>
      <c r="H1973" s="19" t="n">
        <v>2.53</v>
      </c>
      <c r="J1973" s="16" t="n">
        <v>44550</v>
      </c>
      <c r="K1973" s="19" t="n">
        <v>130.12</v>
      </c>
    </row>
    <row r="1974">
      <c r="D1974" s="16" t="n">
        <v>44551</v>
      </c>
      <c r="E1974" s="19" t="n">
        <v>4.67</v>
      </c>
      <c r="G1974" s="16" t="n">
        <v>44551</v>
      </c>
      <c r="H1974" s="19" t="n">
        <v>2.52</v>
      </c>
      <c r="J1974" s="16" t="n">
        <v>44551</v>
      </c>
      <c r="K1974" s="19" t="n">
        <v>129.65</v>
      </c>
    </row>
    <row r="1975">
      <c r="D1975" s="16" t="n">
        <v>44552</v>
      </c>
      <c r="E1975" s="19" t="n">
        <v>4.61</v>
      </c>
      <c r="G1975" s="16" t="n">
        <v>44552</v>
      </c>
      <c r="H1975" s="19" t="n">
        <v>2.57</v>
      </c>
      <c r="J1975" s="16" t="n">
        <v>44552</v>
      </c>
      <c r="K1975" s="19" t="n">
        <v>129.54</v>
      </c>
    </row>
    <row r="1976">
      <c r="D1976" s="16" t="n">
        <v>44553</v>
      </c>
      <c r="E1976" s="19" t="n">
        <v>4.57</v>
      </c>
      <c r="G1976" s="16" t="n">
        <v>44553</v>
      </c>
      <c r="H1976" s="19" t="n">
        <v>2.5</v>
      </c>
      <c r="J1976" s="16" t="n">
        <v>44553</v>
      </c>
      <c r="K1976" s="19" t="n">
        <v>128.37</v>
      </c>
    </row>
    <row r="1977">
      <c r="D1977" s="16" t="n">
        <v>44554</v>
      </c>
      <c r="E1977" s="19" t="n">
        <v>4.68</v>
      </c>
      <c r="G1977" s="16" t="n">
        <v>44554</v>
      </c>
      <c r="H1977" s="19" t="n">
        <v>2.54</v>
      </c>
      <c r="J1977" s="16" t="n">
        <v>44554</v>
      </c>
      <c r="K1977" s="19" t="n">
        <v>129</v>
      </c>
    </row>
    <row r="1978">
      <c r="D1978" s="16" t="n">
        <v>44557</v>
      </c>
      <c r="E1978" s="19" t="n">
        <v>4.7</v>
      </c>
      <c r="G1978" s="16" t="n">
        <v>44557</v>
      </c>
      <c r="H1978" s="19" t="n">
        <v>2.57</v>
      </c>
      <c r="J1978" s="16" t="n">
        <v>44557</v>
      </c>
      <c r="K1978" s="19" t="n">
        <v>130.15</v>
      </c>
    </row>
    <row r="1979">
      <c r="D1979" s="16" t="n">
        <v>44558</v>
      </c>
      <c r="E1979" s="19" t="n">
        <v>4.72</v>
      </c>
      <c r="G1979" s="16" t="n">
        <v>44558</v>
      </c>
      <c r="H1979" s="19" t="n">
        <v>2.57</v>
      </c>
      <c r="J1979" s="16" t="n">
        <v>44558</v>
      </c>
      <c r="K1979" s="19" t="n">
        <v>130.4</v>
      </c>
    </row>
    <row r="1980">
      <c r="D1980" s="16" t="n">
        <v>44559</v>
      </c>
      <c r="E1980" s="19" t="n">
        <v>4.74</v>
      </c>
      <c r="G1980" s="16" t="n">
        <v>44559</v>
      </c>
      <c r="H1980" s="19" t="n">
        <v>2.62</v>
      </c>
      <c r="J1980" s="16" t="n">
        <v>44559</v>
      </c>
      <c r="K1980" s="19" t="n">
        <v>129.56</v>
      </c>
    </row>
    <row r="1981">
      <c r="D1981" s="16" t="n">
        <v>44560</v>
      </c>
      <c r="E1981" s="19" t="n">
        <v>4.76</v>
      </c>
      <c r="G1981" s="16" t="n">
        <v>44560</v>
      </c>
      <c r="H1981" s="19" t="n">
        <v>2.64</v>
      </c>
      <c r="J1981" s="16" t="n">
        <v>44560</v>
      </c>
      <c r="K1981" s="19" t="n">
        <v>130.07</v>
      </c>
    </row>
    <row r="1982">
      <c r="D1982" s="16" t="n">
        <v>44561</v>
      </c>
      <c r="E1982" s="19" t="n">
        <v>4.74</v>
      </c>
      <c r="G1982" s="16" t="n">
        <v>44561</v>
      </c>
      <c r="H1982" s="19" t="n">
        <v>2.68</v>
      </c>
      <c r="J1982" s="16" t="n">
        <v>44561</v>
      </c>
      <c r="K1982" s="19" t="n">
        <v>129.44</v>
      </c>
    </row>
    <row r="1983">
      <c r="D1983" s="16" t="n">
        <v>44564</v>
      </c>
      <c r="E1983" s="19" t="n">
        <v>4.79</v>
      </c>
      <c r="G1983" s="16" t="n">
        <v>44564</v>
      </c>
      <c r="H1983" s="19" t="n">
        <v>2.65</v>
      </c>
      <c r="J1983" s="16" t="n">
        <v>44564</v>
      </c>
      <c r="K1983" s="19" t="n">
        <v>129.89</v>
      </c>
    </row>
    <row r="1984">
      <c r="D1984" s="16" t="n">
        <v>44565</v>
      </c>
      <c r="E1984" s="19" t="n">
        <v>4.78</v>
      </c>
      <c r="G1984" s="16" t="n">
        <v>44565</v>
      </c>
      <c r="H1984" s="19" t="n">
        <v>2.68</v>
      </c>
      <c r="J1984" s="16" t="n">
        <v>44565</v>
      </c>
      <c r="K1984" s="19" t="n">
        <v>129.5</v>
      </c>
    </row>
    <row r="1985">
      <c r="D1985" s="16" t="n">
        <v>44566</v>
      </c>
      <c r="E1985" s="19" t="n">
        <v>4.75</v>
      </c>
      <c r="G1985" s="16" t="n">
        <v>44566</v>
      </c>
      <c r="H1985" s="19" t="n">
        <v>2.73</v>
      </c>
      <c r="J1985" s="16" t="n">
        <v>44566</v>
      </c>
      <c r="K1985" s="19" t="n">
        <v>130.22</v>
      </c>
    </row>
    <row r="1986">
      <c r="D1986" s="16" t="n">
        <v>44567</v>
      </c>
      <c r="E1986" s="19" t="n">
        <v>4.7</v>
      </c>
      <c r="G1986" s="16" t="n">
        <v>44567</v>
      </c>
      <c r="H1986" s="19" t="n">
        <v>2.68</v>
      </c>
      <c r="J1986" s="16" t="n">
        <v>44567</v>
      </c>
      <c r="K1986" s="19" t="n">
        <v>129.38</v>
      </c>
    </row>
    <row r="1987">
      <c r="D1987" s="16" t="n">
        <v>44568</v>
      </c>
      <c r="E1987" s="19" t="n">
        <v>4.69</v>
      </c>
      <c r="G1987" s="16" t="n">
        <v>44568</v>
      </c>
      <c r="H1987" s="19" t="n">
        <v>2.64</v>
      </c>
      <c r="J1987" s="16" t="n">
        <v>44568</v>
      </c>
      <c r="K1987" s="19" t="n">
        <v>129.68</v>
      </c>
    </row>
    <row r="1988">
      <c r="D1988" s="16" t="n">
        <v>44571</v>
      </c>
      <c r="E1988" s="19" t="n">
        <v>4.62</v>
      </c>
      <c r="G1988" s="16" t="n">
        <v>44571</v>
      </c>
      <c r="H1988" s="19" t="n">
        <v>2.63</v>
      </c>
      <c r="J1988" s="16" t="n">
        <v>44571</v>
      </c>
      <c r="K1988" s="19" t="n">
        <v>128.51</v>
      </c>
    </row>
    <row r="1989">
      <c r="D1989" s="16" t="n">
        <v>44572</v>
      </c>
      <c r="E1989" s="19" t="n">
        <v>4.65</v>
      </c>
      <c r="G1989" s="16" t="n">
        <v>44572</v>
      </c>
      <c r="H1989" s="19" t="n">
        <v>2.67</v>
      </c>
      <c r="J1989" s="16" t="n">
        <v>44572</v>
      </c>
      <c r="K1989" s="19" t="n">
        <v>127.7</v>
      </c>
    </row>
    <row r="1990">
      <c r="D1990" s="16" t="n">
        <v>44573</v>
      </c>
      <c r="E1990" s="19" t="n">
        <v>4.68</v>
      </c>
      <c r="G1990" s="16" t="n">
        <v>44573</v>
      </c>
      <c r="H1990" s="19" t="n">
        <v>2.73</v>
      </c>
      <c r="J1990" s="16" t="n">
        <v>44573</v>
      </c>
      <c r="K1990" s="19" t="n">
        <v>128.05</v>
      </c>
    </row>
    <row r="1991">
      <c r="D1991" s="16" t="n">
        <v>44574</v>
      </c>
      <c r="E1991" s="19" t="n">
        <v>4.74</v>
      </c>
      <c r="G1991" s="16" t="n">
        <v>44574</v>
      </c>
      <c r="H1991" s="19" t="n">
        <v>2.73</v>
      </c>
      <c r="J1991" s="16" t="n">
        <v>44574</v>
      </c>
      <c r="K1991" s="19" t="n">
        <v>128.28</v>
      </c>
    </row>
    <row r="1992">
      <c r="D1992" s="16" t="n">
        <v>44575</v>
      </c>
      <c r="E1992" s="19" t="n">
        <v>4.77</v>
      </c>
      <c r="G1992" s="16" t="n">
        <v>44575</v>
      </c>
      <c r="H1992" s="19" t="n">
        <v>2.73</v>
      </c>
      <c r="J1992" s="16" t="n">
        <v>44575</v>
      </c>
      <c r="K1992" s="19" t="n">
        <v>128.59</v>
      </c>
    </row>
    <row r="1993">
      <c r="D1993" s="16" t="n">
        <v>44578</v>
      </c>
      <c r="E1993" s="19" t="n">
        <v>4.77</v>
      </c>
      <c r="G1993" s="16" t="n">
        <v>44578</v>
      </c>
      <c r="H1993" s="19" t="n">
        <v>2.69</v>
      </c>
      <c r="J1993" s="16" t="n">
        <v>44578</v>
      </c>
      <c r="K1993" s="19" t="n">
        <v>128.01</v>
      </c>
    </row>
    <row r="1994">
      <c r="D1994" s="16" t="n">
        <v>44579</v>
      </c>
      <c r="E1994" s="19" t="n">
        <v>4.76</v>
      </c>
      <c r="G1994" s="16" t="n">
        <v>44579</v>
      </c>
      <c r="H1994" s="19" t="n">
        <v>2.68</v>
      </c>
      <c r="J1994" s="16" t="n">
        <v>44579</v>
      </c>
      <c r="K1994" s="19" t="n">
        <v>128.2</v>
      </c>
    </row>
    <row r="1995">
      <c r="D1995" s="16" t="n">
        <v>44580</v>
      </c>
      <c r="E1995" s="19" t="n">
        <v>4.82</v>
      </c>
      <c r="G1995" s="16" t="n">
        <v>44580</v>
      </c>
      <c r="H1995" s="19" t="n">
        <v>2.68</v>
      </c>
      <c r="J1995" s="16" t="n">
        <v>44580</v>
      </c>
      <c r="K1995" s="19" t="n">
        <v>125.45</v>
      </c>
    </row>
    <row r="1996">
      <c r="D1996" s="16" t="n">
        <v>44581</v>
      </c>
      <c r="E1996" s="19" t="n">
        <v>4.77</v>
      </c>
      <c r="G1996" s="16" t="n">
        <v>44581</v>
      </c>
      <c r="H1996" s="19" t="n">
        <v>2.67</v>
      </c>
      <c r="J1996" s="16" t="n">
        <v>44581</v>
      </c>
      <c r="K1996" s="19" t="n">
        <v>126.28</v>
      </c>
    </row>
    <row r="1997">
      <c r="D1997" s="16" t="n">
        <v>44582</v>
      </c>
      <c r="E1997" s="19" t="n">
        <v>4.81</v>
      </c>
      <c r="G1997" s="16" t="n">
        <v>44582</v>
      </c>
      <c r="H1997" s="19" t="n">
        <v>2.67</v>
      </c>
      <c r="J1997" s="16" t="n">
        <v>44582</v>
      </c>
      <c r="K1997" s="19" t="n">
        <v>126.01</v>
      </c>
    </row>
    <row r="1998">
      <c r="D1998" s="16" t="n">
        <v>44585</v>
      </c>
      <c r="E1998" s="19" t="n">
        <v>4.74</v>
      </c>
      <c r="G1998" s="16" t="n">
        <v>44585</v>
      </c>
      <c r="H1998" s="19" t="n">
        <v>2.66</v>
      </c>
      <c r="J1998" s="16" t="n">
        <v>44585</v>
      </c>
      <c r="K1998" s="19" t="n">
        <v>126.01</v>
      </c>
    </row>
    <row r="1999">
      <c r="D1999" s="16" t="n">
        <v>44586</v>
      </c>
      <c r="E1999" s="19" t="n">
        <v>4.68</v>
      </c>
      <c r="G1999" s="16" t="n">
        <v>44586</v>
      </c>
      <c r="H1999" s="19" t="n">
        <v>2.61</v>
      </c>
      <c r="J1999" s="16" t="n">
        <v>44586</v>
      </c>
      <c r="K1999" s="19" t="n">
        <v>125.39</v>
      </c>
    </row>
    <row r="2000">
      <c r="D2000" s="16" t="n">
        <v>44587</v>
      </c>
      <c r="E2000" s="19" t="n">
        <v>4.67</v>
      </c>
      <c r="G2000" s="16" t="n">
        <v>44587</v>
      </c>
      <c r="H2000" s="19" t="n">
        <v>2.67</v>
      </c>
      <c r="J2000" s="16" t="n">
        <v>44587</v>
      </c>
      <c r="K2000" s="19" t="n">
        <v>123.62</v>
      </c>
    </row>
    <row r="2001">
      <c r="D2001" s="16" t="n">
        <v>44588</v>
      </c>
      <c r="E2001" s="19" t="n">
        <v>4.62</v>
      </c>
      <c r="G2001" s="16" t="n">
        <v>44588</v>
      </c>
      <c r="H2001" s="19" t="n">
        <v>2.72</v>
      </c>
      <c r="J2001" s="16" t="n">
        <v>44588</v>
      </c>
      <c r="K2001" s="19" t="n">
        <v>123.18</v>
      </c>
    </row>
    <row r="2002">
      <c r="D2002" s="16" t="n">
        <v>44589</v>
      </c>
      <c r="E2002" s="19" t="n">
        <v>4.64</v>
      </c>
      <c r="G2002" s="16" t="n">
        <v>44589</v>
      </c>
      <c r="H2002" s="19" t="n">
        <v>2.72</v>
      </c>
      <c r="J2002" s="16" t="n">
        <v>44589</v>
      </c>
      <c r="K2002" s="19" t="n">
        <v>124.07</v>
      </c>
    </row>
    <row r="2003">
      <c r="D2003" s="16" t="n">
        <v>44592</v>
      </c>
      <c r="E2003" s="19" t="n">
        <v>4.59</v>
      </c>
      <c r="G2003" s="16" t="n">
        <v>44592</v>
      </c>
      <c r="H2003" s="19" t="n">
        <v>2.67</v>
      </c>
      <c r="J2003" s="16" t="n">
        <v>44592</v>
      </c>
      <c r="K2003" s="19" t="n">
        <v>123.3</v>
      </c>
    </row>
    <row r="2004">
      <c r="D2004" s="16" t="n">
        <v>44593</v>
      </c>
      <c r="E2004" s="19" t="n">
        <v>4.58</v>
      </c>
      <c r="G2004" s="16" t="n">
        <v>44593</v>
      </c>
      <c r="H2004" s="19" t="n">
        <v>2.68</v>
      </c>
      <c r="J2004" s="16" t="n">
        <v>44593</v>
      </c>
      <c r="K2004" s="19" t="n">
        <v>122.53</v>
      </c>
    </row>
    <row r="2005">
      <c r="D2005" s="16" t="n">
        <v>44594</v>
      </c>
      <c r="E2005" s="19" t="n">
        <v>4.6</v>
      </c>
      <c r="G2005" s="16" t="n">
        <v>44594</v>
      </c>
      <c r="H2005" s="19" t="n">
        <v>2.63</v>
      </c>
      <c r="J2005" s="16" t="n">
        <v>44594</v>
      </c>
      <c r="K2005" s="19" t="n">
        <v>121.84</v>
      </c>
    </row>
    <row r="2006">
      <c r="D2006" s="16" t="n">
        <v>44595</v>
      </c>
      <c r="E2006" s="19" t="n">
        <v>4.58</v>
      </c>
      <c r="G2006" s="16" t="n">
        <v>44595</v>
      </c>
      <c r="H2006" s="19" t="n">
        <v>2.61</v>
      </c>
      <c r="J2006" s="16" t="n">
        <v>44595</v>
      </c>
      <c r="K2006" s="19" t="n">
        <v>121.98</v>
      </c>
    </row>
    <row r="2007">
      <c r="D2007" s="16" t="n">
        <v>44596</v>
      </c>
      <c r="E2007" s="19" t="n">
        <v>4.52</v>
      </c>
      <c r="G2007" s="16" t="n">
        <v>44596</v>
      </c>
      <c r="H2007" s="19" t="n">
        <v>2.68</v>
      </c>
      <c r="J2007" s="16" t="n">
        <v>44596</v>
      </c>
      <c r="K2007" s="19" t="n">
        <v>122.55</v>
      </c>
    </row>
    <row r="2008">
      <c r="D2008" s="16" t="n">
        <v>44599</v>
      </c>
      <c r="E2008" s="19" t="n">
        <v>4.53</v>
      </c>
      <c r="G2008" s="16" t="n">
        <v>44599</v>
      </c>
      <c r="H2008" s="19" t="n">
        <v>2.67</v>
      </c>
      <c r="J2008" s="16" t="n">
        <v>44599</v>
      </c>
      <c r="K2008" s="19" t="n">
        <v>122.33</v>
      </c>
    </row>
    <row r="2009">
      <c r="D2009" s="16" t="n">
        <v>44600</v>
      </c>
      <c r="E2009" s="19" t="n">
        <v>4.54</v>
      </c>
      <c r="G2009" s="16" t="n">
        <v>44600</v>
      </c>
      <c r="H2009" s="19" t="n">
        <v>2.71</v>
      </c>
      <c r="J2009" s="16" t="n">
        <v>44600</v>
      </c>
      <c r="K2009" s="19" t="n">
        <v>122.63</v>
      </c>
    </row>
    <row r="2010">
      <c r="D2010" s="16" t="n">
        <v>44601</v>
      </c>
      <c r="E2010" s="19" t="n">
        <v>4.53</v>
      </c>
      <c r="G2010" s="16" t="n">
        <v>44601</v>
      </c>
      <c r="H2010" s="19" t="n">
        <v>2.71</v>
      </c>
      <c r="J2010" s="16" t="n">
        <v>44601</v>
      </c>
      <c r="K2010" s="19" t="n">
        <v>123.87</v>
      </c>
    </row>
    <row r="2011">
      <c r="D2011" s="16" t="n">
        <v>44602</v>
      </c>
      <c r="E2011" s="19" t="n">
        <v>4.56</v>
      </c>
      <c r="G2011" s="16" t="n">
        <v>44602</v>
      </c>
      <c r="H2011" s="19" t="n">
        <v>2.76</v>
      </c>
      <c r="J2011" s="16" t="n">
        <v>44602</v>
      </c>
      <c r="K2011" s="19" t="n">
        <v>125.01</v>
      </c>
    </row>
    <row r="2012">
      <c r="D2012" s="16" t="n">
        <v>44603</v>
      </c>
      <c r="E2012" s="19" t="n">
        <v>4.51</v>
      </c>
      <c r="G2012" s="16" t="n">
        <v>44603</v>
      </c>
      <c r="H2012" s="19" t="n">
        <v>2.77</v>
      </c>
      <c r="J2012" s="16" t="n">
        <v>44603</v>
      </c>
      <c r="K2012" s="19" t="n">
        <v>126.1</v>
      </c>
    </row>
    <row r="2013">
      <c r="D2013" s="16" t="n">
        <v>44606</v>
      </c>
      <c r="E2013" s="19" t="n">
        <v>4.51</v>
      </c>
      <c r="G2013" s="16" t="n">
        <v>44606</v>
      </c>
      <c r="H2013" s="19" t="n">
        <v>2.75</v>
      </c>
      <c r="J2013" s="16" t="n">
        <v>44606</v>
      </c>
      <c r="K2013" s="19" t="n">
        <v>125.07</v>
      </c>
    </row>
    <row r="2014">
      <c r="D2014" s="16" t="n">
        <v>44607</v>
      </c>
      <c r="E2014" s="19" t="n">
        <v>4.57</v>
      </c>
      <c r="G2014" s="16" t="n">
        <v>44607</v>
      </c>
      <c r="H2014" s="19" t="n">
        <v>2.82</v>
      </c>
      <c r="J2014" s="16" t="n">
        <v>44607</v>
      </c>
      <c r="K2014" s="19" t="n">
        <v>124.08</v>
      </c>
    </row>
    <row r="2015">
      <c r="D2015" s="16" t="n">
        <v>44608</v>
      </c>
      <c r="E2015" s="19" t="n">
        <v>4.56</v>
      </c>
      <c r="G2015" s="16" t="n">
        <v>44608</v>
      </c>
      <c r="H2015" s="19" t="n">
        <v>2.83</v>
      </c>
      <c r="J2015" s="16" t="n">
        <v>44608</v>
      </c>
      <c r="K2015" s="19" t="n">
        <v>124.53</v>
      </c>
    </row>
    <row r="2016">
      <c r="D2016" s="16" t="n">
        <v>44609</v>
      </c>
      <c r="E2016" s="19" t="n">
        <v>4.59</v>
      </c>
      <c r="G2016" s="16" t="n">
        <v>44609</v>
      </c>
      <c r="H2016" s="19" t="n">
        <v>2.8</v>
      </c>
      <c r="J2016" s="16" t="n">
        <v>44609</v>
      </c>
      <c r="K2016" s="19" t="n">
        <v>125.17</v>
      </c>
    </row>
    <row r="2017">
      <c r="D2017" s="16" t="n">
        <v>44610</v>
      </c>
      <c r="E2017" s="19" t="n">
        <v>4.59</v>
      </c>
      <c r="G2017" s="16" t="n">
        <v>44610</v>
      </c>
      <c r="H2017" s="19" t="n">
        <v>2.81</v>
      </c>
      <c r="J2017" s="16" t="n">
        <v>44610</v>
      </c>
      <c r="K2017" s="19" t="n">
        <v>123.52</v>
      </c>
    </row>
    <row r="2018">
      <c r="D2018" s="16" t="n">
        <v>44613</v>
      </c>
      <c r="E2018" s="19" t="n">
        <v>4.64</v>
      </c>
      <c r="G2018" s="16" t="n">
        <v>44613</v>
      </c>
      <c r="H2018" s="19" t="n">
        <v>2.88</v>
      </c>
      <c r="J2018" s="16" t="n">
        <v>44613</v>
      </c>
      <c r="K2018" s="19" t="n">
        <v>122.85</v>
      </c>
    </row>
    <row r="2019">
      <c r="D2019" s="16" t="n">
        <v>44614</v>
      </c>
      <c r="E2019" s="19" t="n">
        <v>4.61</v>
      </c>
      <c r="G2019" s="16" t="n">
        <v>44614</v>
      </c>
      <c r="H2019" s="19" t="n">
        <v>2.87</v>
      </c>
      <c r="J2019" s="16" t="n">
        <v>44614</v>
      </c>
      <c r="K2019" s="19" t="n">
        <v>123.35</v>
      </c>
    </row>
    <row r="2020">
      <c r="D2020" s="16" t="n">
        <v>44615</v>
      </c>
      <c r="E2020" s="19" t="n">
        <v>4.55</v>
      </c>
      <c r="G2020" s="16" t="n">
        <v>44615</v>
      </c>
      <c r="H2020" s="19" t="n">
        <v>2.85</v>
      </c>
      <c r="J2020" s="16" t="n">
        <v>44615</v>
      </c>
      <c r="K2020" s="19" t="n">
        <v>124.23</v>
      </c>
    </row>
    <row r="2021">
      <c r="D2021" s="16" t="n">
        <v>44616</v>
      </c>
      <c r="E2021" s="19" t="n">
        <v>4.53</v>
      </c>
      <c r="G2021" s="16" t="n">
        <v>44616</v>
      </c>
      <c r="H2021" s="19" t="n">
        <v>2.8</v>
      </c>
      <c r="J2021" s="16" t="n">
        <v>44616</v>
      </c>
      <c r="K2021" s="19" t="n">
        <v>124.61</v>
      </c>
    </row>
    <row r="2022">
      <c r="D2022" s="16" t="n">
        <v>44617</v>
      </c>
      <c r="E2022" s="19" t="n">
        <v>4.47</v>
      </c>
      <c r="G2022" s="16" t="n">
        <v>44617</v>
      </c>
      <c r="H2022" s="19" t="n">
        <v>2.73</v>
      </c>
      <c r="J2022" s="16" t="n">
        <v>44617</v>
      </c>
      <c r="K2022" s="19" t="n">
        <v>124.27</v>
      </c>
    </row>
    <row r="2023">
      <c r="D2023" s="16" t="n">
        <v>44620</v>
      </c>
      <c r="E2023" s="19" t="n">
        <v>4.5</v>
      </c>
      <c r="G2023" s="16" t="n">
        <v>44620</v>
      </c>
      <c r="H2023" s="19" t="n">
        <v>2.74</v>
      </c>
      <c r="J2023" s="16" t="n">
        <v>44620</v>
      </c>
      <c r="K2023" s="19" t="n">
        <v>124.38</v>
      </c>
    </row>
    <row r="2024">
      <c r="D2024" s="16" t="n">
        <v>44621</v>
      </c>
      <c r="E2024" s="19" t="n">
        <v>4.52</v>
      </c>
      <c r="G2024" s="16" t="n">
        <v>44621</v>
      </c>
      <c r="H2024" s="19" t="n">
        <v>2.68</v>
      </c>
      <c r="J2024" s="16" t="n">
        <v>44621</v>
      </c>
      <c r="K2024" s="19" t="n">
        <v>124.63</v>
      </c>
    </row>
    <row r="2025">
      <c r="D2025" s="16" t="n">
        <v>44622</v>
      </c>
      <c r="E2025" s="19" t="n">
        <v>4.48</v>
      </c>
      <c r="G2025" s="16" t="n">
        <v>44622</v>
      </c>
      <c r="H2025" s="19" t="n">
        <v>2.68</v>
      </c>
      <c r="J2025" s="16" t="n">
        <v>44622</v>
      </c>
      <c r="K2025" s="19" t="n">
        <v>124.77</v>
      </c>
    </row>
    <row r="2026">
      <c r="D2026" s="16" t="n">
        <v>44623</v>
      </c>
      <c r="E2026" s="19" t="n">
        <v>4.46</v>
      </c>
      <c r="G2026" s="16" t="n">
        <v>44623</v>
      </c>
      <c r="H2026" s="19" t="n">
        <v>2.72</v>
      </c>
      <c r="J2026" s="16" t="n">
        <v>44623</v>
      </c>
      <c r="K2026" s="19" t="n">
        <v>126.26</v>
      </c>
    </row>
    <row r="2027">
      <c r="D2027" s="16" t="n">
        <v>44624</v>
      </c>
      <c r="E2027" s="19" t="n">
        <v>4.5</v>
      </c>
      <c r="G2027" s="16" t="n">
        <v>44624</v>
      </c>
      <c r="H2027" s="19" t="n">
        <v>2.73</v>
      </c>
      <c r="J2027" s="16" t="n">
        <v>44624</v>
      </c>
      <c r="K2027" s="19" t="n">
        <v>125.6</v>
      </c>
    </row>
    <row r="2028">
      <c r="D2028" s="16" t="n">
        <v>44627</v>
      </c>
      <c r="E2028" s="19" t="n">
        <v>4.55</v>
      </c>
      <c r="G2028" s="16" t="n">
        <v>44627</v>
      </c>
      <c r="H2028" s="19" t="n">
        <v>2.78</v>
      </c>
      <c r="J2028" s="16" t="n">
        <v>44627</v>
      </c>
      <c r="K2028" s="19" t="n">
        <v>124.65</v>
      </c>
    </row>
    <row r="2029">
      <c r="D2029" s="16" t="n">
        <v>44628</v>
      </c>
      <c r="E2029" s="19" t="n">
        <v>4.52</v>
      </c>
      <c r="G2029" s="16" t="n">
        <v>44628</v>
      </c>
      <c r="H2029" s="19" t="n">
        <v>2.78</v>
      </c>
      <c r="J2029" s="16" t="n">
        <v>44628</v>
      </c>
      <c r="K2029" s="19" t="n">
        <v>124.44</v>
      </c>
    </row>
    <row r="2030">
      <c r="D2030" s="16" t="n">
        <v>44629</v>
      </c>
      <c r="E2030" s="19" t="n">
        <v>4.49</v>
      </c>
      <c r="G2030" s="16" t="n">
        <v>44629</v>
      </c>
      <c r="H2030" s="19" t="n">
        <v>2.73</v>
      </c>
      <c r="J2030" s="16" t="n">
        <v>44629</v>
      </c>
      <c r="K2030" s="19" t="n">
        <v>124.13</v>
      </c>
    </row>
    <row r="2031">
      <c r="D2031" s="16" t="n">
        <v>44630</v>
      </c>
      <c r="E2031" s="19" t="n">
        <v>4.52</v>
      </c>
      <c r="G2031" s="16" t="n">
        <v>44630</v>
      </c>
      <c r="H2031" s="19" t="n">
        <v>2.74</v>
      </c>
      <c r="J2031" s="16" t="n">
        <v>44630</v>
      </c>
      <c r="K2031" s="19" t="n">
        <v>124.68</v>
      </c>
    </row>
    <row r="2032">
      <c r="D2032" s="16" t="n">
        <v>44631</v>
      </c>
      <c r="E2032" s="19" t="n">
        <v>4.51</v>
      </c>
      <c r="G2032" s="16" t="n">
        <v>44631</v>
      </c>
      <c r="H2032" s="19" t="n">
        <v>2.72</v>
      </c>
      <c r="J2032" s="16" t="n">
        <v>44631</v>
      </c>
      <c r="K2032" s="19" t="n">
        <v>125.67</v>
      </c>
    </row>
    <row r="2033">
      <c r="D2033" s="16" t="n">
        <v>44634</v>
      </c>
      <c r="E2033" s="19" t="n">
        <v>4.47</v>
      </c>
      <c r="G2033" s="16" t="n">
        <v>44634</v>
      </c>
      <c r="H2033" s="19" t="n">
        <v>2.72</v>
      </c>
      <c r="J2033" s="16" t="n">
        <v>44634</v>
      </c>
      <c r="K2033" s="19" t="n">
        <v>125.5</v>
      </c>
    </row>
    <row r="2034">
      <c r="D2034" s="16" t="n">
        <v>44635</v>
      </c>
      <c r="E2034" s="19" t="n">
        <v>4.44</v>
      </c>
      <c r="G2034" s="16" t="n">
        <v>44635</v>
      </c>
      <c r="H2034" s="19" t="n">
        <v>2.68</v>
      </c>
      <c r="J2034" s="16" t="n">
        <v>44635</v>
      </c>
      <c r="K2034" s="19" t="n">
        <v>124.8</v>
      </c>
    </row>
    <row r="2035">
      <c r="D2035" s="16" t="n">
        <v>44636</v>
      </c>
      <c r="E2035" s="19" t="n">
        <v>4.51</v>
      </c>
      <c r="G2035" s="16" t="n">
        <v>44636</v>
      </c>
      <c r="H2035" s="19" t="n">
        <v>2.76</v>
      </c>
      <c r="J2035" s="16" t="n">
        <v>44636</v>
      </c>
      <c r="K2035" s="19" t="n">
        <v>124.85</v>
      </c>
    </row>
    <row r="2036">
      <c r="D2036" s="16" t="n">
        <v>44637</v>
      </c>
      <c r="E2036" s="19" t="n">
        <v>4.49</v>
      </c>
      <c r="G2036" s="16" t="n">
        <v>44637</v>
      </c>
      <c r="H2036" s="19" t="n">
        <v>2.75</v>
      </c>
      <c r="J2036" s="16" t="n">
        <v>44637</v>
      </c>
      <c r="K2036" s="19" t="n">
        <v>126.12</v>
      </c>
    </row>
    <row r="2037">
      <c r="D2037" s="16" t="n">
        <v>44638</v>
      </c>
      <c r="E2037" s="19" t="n">
        <v>4.61</v>
      </c>
      <c r="G2037" s="16" t="n">
        <v>44638</v>
      </c>
      <c r="H2037" s="19" t="n">
        <v>2.76</v>
      </c>
      <c r="J2037" s="16" t="n">
        <v>44638</v>
      </c>
      <c r="K2037" s="19" t="n">
        <v>126.2</v>
      </c>
    </row>
    <row r="2038">
      <c r="D2038" s="16" t="n">
        <v>44641</v>
      </c>
      <c r="E2038" s="19" t="n">
        <v>4.68</v>
      </c>
      <c r="G2038" s="16" t="n">
        <v>44641</v>
      </c>
      <c r="H2038" s="19" t="n">
        <v>2.83</v>
      </c>
      <c r="J2038" s="16" t="n">
        <v>44641</v>
      </c>
      <c r="K2038" s="19" t="n">
        <v>125.79</v>
      </c>
    </row>
    <row r="2039">
      <c r="D2039" s="16" t="n">
        <v>44642</v>
      </c>
      <c r="E2039" s="19" t="n">
        <v>4.7</v>
      </c>
      <c r="G2039" s="16" t="n">
        <v>44642</v>
      </c>
      <c r="H2039" s="19" t="n">
        <v>2.82</v>
      </c>
      <c r="J2039" s="16" t="n">
        <v>44642</v>
      </c>
      <c r="K2039" s="19" t="n">
        <v>125.88</v>
      </c>
    </row>
    <row r="2040">
      <c r="D2040" s="16" t="n">
        <v>44643</v>
      </c>
      <c r="E2040" s="19" t="n">
        <v>4.72</v>
      </c>
      <c r="G2040" s="16" t="n">
        <v>44643</v>
      </c>
      <c r="H2040" s="19" t="n">
        <v>2.87</v>
      </c>
      <c r="J2040" s="16" t="n">
        <v>44643</v>
      </c>
      <c r="K2040" s="19" t="n">
        <v>125.61</v>
      </c>
    </row>
    <row r="2041">
      <c r="D2041" s="16" t="n">
        <v>44644</v>
      </c>
      <c r="E2041" s="19" t="n">
        <v>4.81</v>
      </c>
      <c r="G2041" s="16" t="n">
        <v>44644</v>
      </c>
      <c r="H2041" s="19" t="n">
        <v>2.8</v>
      </c>
      <c r="J2041" s="16" t="n">
        <v>44644</v>
      </c>
      <c r="K2041" s="19" t="n">
        <v>125.86</v>
      </c>
    </row>
    <row r="2042">
      <c r="D2042" s="16" t="n">
        <v>44645</v>
      </c>
      <c r="E2042" s="19" t="n">
        <v>4.84</v>
      </c>
      <c r="G2042" s="16" t="n">
        <v>44645</v>
      </c>
      <c r="H2042" s="19" t="n">
        <v>2.79</v>
      </c>
      <c r="J2042" s="16" t="n">
        <v>44645</v>
      </c>
      <c r="K2042" s="19" t="n">
        <v>126.35</v>
      </c>
    </row>
    <row r="2043">
      <c r="D2043" s="16" t="n">
        <v>44648</v>
      </c>
      <c r="E2043" s="19" t="n">
        <v>4.83</v>
      </c>
      <c r="G2043" s="16" t="n">
        <v>44648</v>
      </c>
      <c r="H2043" s="19" t="n">
        <v>2.85</v>
      </c>
      <c r="J2043" s="16" t="n">
        <v>44648</v>
      </c>
      <c r="K2043" s="19" t="n">
        <v>127.12</v>
      </c>
    </row>
    <row r="2044">
      <c r="D2044" s="16" t="n">
        <v>44649</v>
      </c>
      <c r="E2044" s="19" t="n">
        <v>4.84</v>
      </c>
      <c r="G2044" s="16" t="n">
        <v>44649</v>
      </c>
      <c r="H2044" s="19" t="n">
        <v>2.83</v>
      </c>
      <c r="J2044" s="16" t="n">
        <v>44649</v>
      </c>
      <c r="K2044" s="19" t="n">
        <v>127.16</v>
      </c>
    </row>
    <row r="2045">
      <c r="D2045" s="16" t="n">
        <v>44650</v>
      </c>
      <c r="E2045" s="19" t="n">
        <v>4.81</v>
      </c>
      <c r="G2045" s="16" t="n">
        <v>44650</v>
      </c>
      <c r="H2045" s="19" t="n">
        <v>2.81</v>
      </c>
      <c r="J2045" s="16" t="n">
        <v>44650</v>
      </c>
      <c r="K2045" s="19" t="n">
        <v>127.09</v>
      </c>
    </row>
    <row r="2046">
      <c r="D2046" s="16" t="n">
        <v>44651</v>
      </c>
      <c r="E2046" s="19" t="n">
        <v>4.8</v>
      </c>
      <c r="G2046" s="16" t="n">
        <v>44651</v>
      </c>
      <c r="H2046" s="19" t="n">
        <v>2.86</v>
      </c>
      <c r="J2046" s="16" t="n">
        <v>44651</v>
      </c>
      <c r="K2046" s="19" t="n">
        <v>126.51</v>
      </c>
    </row>
    <row r="2047">
      <c r="D2047" s="16" t="n">
        <v>44652</v>
      </c>
      <c r="E2047" s="19" t="n">
        <v>4.7</v>
      </c>
      <c r="G2047" s="16" t="n">
        <v>44652</v>
      </c>
      <c r="H2047" s="19" t="n">
        <v>2.81</v>
      </c>
      <c r="J2047" s="16" t="n">
        <v>44652</v>
      </c>
      <c r="K2047" s="19" t="n">
        <v>126.1</v>
      </c>
    </row>
    <row r="2048">
      <c r="D2048" s="16" t="n">
        <v>44655</v>
      </c>
      <c r="E2048" s="19" t="n">
        <v>4.74</v>
      </c>
      <c r="G2048" s="16" t="n">
        <v>44655</v>
      </c>
      <c r="H2048" s="19" t="n">
        <v>2.78</v>
      </c>
      <c r="J2048" s="16" t="n">
        <v>44655</v>
      </c>
      <c r="K2048" s="19" t="n">
        <v>124.98</v>
      </c>
    </row>
    <row r="2049">
      <c r="D2049" s="16" t="n">
        <v>44656</v>
      </c>
      <c r="E2049" s="19" t="n">
        <v>4.7</v>
      </c>
      <c r="G2049" s="16" t="n">
        <v>44656</v>
      </c>
      <c r="H2049" s="19" t="n">
        <v>2.8</v>
      </c>
      <c r="J2049" s="16" t="n">
        <v>44656</v>
      </c>
      <c r="K2049" s="19" t="n">
        <v>124.88</v>
      </c>
    </row>
    <row r="2050">
      <c r="D2050" s="16" t="n">
        <v>44657</v>
      </c>
      <c r="E2050" s="19" t="n">
        <v>4.71</v>
      </c>
      <c r="G2050" s="16" t="n">
        <v>44657</v>
      </c>
      <c r="H2050" s="19" t="n">
        <v>2.8</v>
      </c>
      <c r="J2050" s="16" t="n">
        <v>44657</v>
      </c>
      <c r="K2050" s="19" t="n">
        <v>124.97</v>
      </c>
    </row>
    <row r="2051">
      <c r="D2051" s="16" t="n">
        <v>44658</v>
      </c>
      <c r="E2051" s="19" t="n">
        <v>4.65</v>
      </c>
      <c r="G2051" s="16" t="n">
        <v>44658</v>
      </c>
      <c r="H2051" s="19" t="n">
        <v>2.78</v>
      </c>
      <c r="J2051" s="16" t="n">
        <v>44658</v>
      </c>
      <c r="K2051" s="19" t="n">
        <v>124.04</v>
      </c>
    </row>
    <row r="2052">
      <c r="D2052" s="16" t="n">
        <v>44659</v>
      </c>
      <c r="E2052" s="19" t="n">
        <v>4.64</v>
      </c>
      <c r="G2052" s="16" t="n">
        <v>44659</v>
      </c>
      <c r="H2052" s="19" t="n">
        <v>2.76</v>
      </c>
      <c r="J2052" s="16" t="n">
        <v>44659</v>
      </c>
      <c r="K2052" s="19" t="n">
        <v>124</v>
      </c>
    </row>
    <row r="2053">
      <c r="D2053" s="16" t="n">
        <v>44662</v>
      </c>
      <c r="E2053" s="19" t="n">
        <v>4.57</v>
      </c>
      <c r="G2053" s="16" t="n">
        <v>44662</v>
      </c>
      <c r="H2053" s="19" t="n">
        <v>2.81</v>
      </c>
      <c r="J2053" s="16" t="n">
        <v>44662</v>
      </c>
      <c r="K2053" s="19" t="n">
        <v>124.94</v>
      </c>
    </row>
    <row r="2054">
      <c r="D2054" s="16" t="n">
        <v>44663</v>
      </c>
      <c r="E2054" s="19" t="n">
        <v>4.58</v>
      </c>
      <c r="G2054" s="16" t="n">
        <v>44663</v>
      </c>
      <c r="H2054" s="19" t="n">
        <v>2.8</v>
      </c>
      <c r="J2054" s="16" t="n">
        <v>44663</v>
      </c>
      <c r="K2054" s="19" t="n">
        <v>125.03</v>
      </c>
    </row>
    <row r="2055">
      <c r="D2055" s="16" t="n">
        <v>44664</v>
      </c>
      <c r="E2055" s="19" t="n">
        <v>4.52</v>
      </c>
      <c r="G2055" s="16" t="n">
        <v>44664</v>
      </c>
      <c r="H2055" s="19" t="n">
        <v>2.76</v>
      </c>
      <c r="J2055" s="16" t="n">
        <v>44664</v>
      </c>
      <c r="K2055" s="19" t="n">
        <v>124.07</v>
      </c>
    </row>
    <row r="2056">
      <c r="D2056" s="16" t="n">
        <v>44665</v>
      </c>
      <c r="E2056" s="19" t="n">
        <v>4.56</v>
      </c>
      <c r="G2056" s="16" t="n">
        <v>44665</v>
      </c>
      <c r="H2056" s="19" t="n">
        <v>2.73</v>
      </c>
      <c r="J2056" s="16" t="n">
        <v>44665</v>
      </c>
      <c r="K2056" s="19" t="n">
        <v>123.35</v>
      </c>
    </row>
    <row r="2057">
      <c r="D2057" s="16" t="n">
        <v>44666</v>
      </c>
      <c r="E2057" s="19" t="n">
        <v>4.61</v>
      </c>
      <c r="G2057" s="16" t="n">
        <v>44666</v>
      </c>
      <c r="H2057" s="19" t="n">
        <v>2.71</v>
      </c>
      <c r="J2057" s="16" t="n">
        <v>44666</v>
      </c>
      <c r="K2057" s="19" t="n">
        <v>123.37</v>
      </c>
    </row>
    <row r="2058">
      <c r="D2058" s="16" t="n">
        <v>44669</v>
      </c>
      <c r="E2058" s="19" t="n">
        <v>4.66</v>
      </c>
      <c r="G2058" s="16" t="n">
        <v>44669</v>
      </c>
      <c r="H2058" s="19" t="n">
        <v>2.69</v>
      </c>
      <c r="J2058" s="16" t="n">
        <v>44669</v>
      </c>
      <c r="K2058" s="19" t="n">
        <v>122.88</v>
      </c>
    </row>
    <row r="2059">
      <c r="D2059" s="16" t="n">
        <v>44670</v>
      </c>
      <c r="E2059" s="19" t="n">
        <v>4.68</v>
      </c>
      <c r="G2059" s="16" t="n">
        <v>44670</v>
      </c>
      <c r="H2059" s="19" t="n">
        <v>2.7</v>
      </c>
      <c r="J2059" s="16" t="n">
        <v>44670</v>
      </c>
      <c r="K2059" s="19" t="n">
        <v>122.54</v>
      </c>
    </row>
    <row r="2060">
      <c r="D2060" s="16" t="n">
        <v>44671</v>
      </c>
      <c r="E2060" s="19" t="n">
        <v>4.67</v>
      </c>
      <c r="G2060" s="16" t="n">
        <v>44671</v>
      </c>
      <c r="H2060" s="19" t="n">
        <v>2.64</v>
      </c>
      <c r="J2060" s="16" t="n">
        <v>44671</v>
      </c>
      <c r="K2060" s="19" t="n">
        <v>122.49</v>
      </c>
    </row>
    <row r="2061">
      <c r="D2061" s="16" t="n">
        <v>44672</v>
      </c>
      <c r="E2061" s="19" t="n">
        <v>4.6</v>
      </c>
      <c r="G2061" s="16" t="n">
        <v>44672</v>
      </c>
      <c r="H2061" s="19" t="n">
        <v>2.6</v>
      </c>
      <c r="J2061" s="16" t="n">
        <v>44672</v>
      </c>
      <c r="K2061" s="19" t="n">
        <v>122.76</v>
      </c>
    </row>
    <row r="2062">
      <c r="D2062" s="16" t="n">
        <v>44673</v>
      </c>
      <c r="E2062" s="19" t="n">
        <v>4.56</v>
      </c>
      <c r="G2062" s="16" t="n">
        <v>44673</v>
      </c>
      <c r="H2062" s="19" t="n">
        <v>2.62</v>
      </c>
      <c r="J2062" s="16" t="n">
        <v>44673</v>
      </c>
      <c r="K2062" s="19" t="n">
        <v>122.41</v>
      </c>
    </row>
    <row r="2063">
      <c r="D2063" s="16" t="n">
        <v>44676</v>
      </c>
      <c r="E2063" s="19" t="n">
        <v>4.62</v>
      </c>
      <c r="G2063" s="16" t="n">
        <v>44676</v>
      </c>
      <c r="H2063" s="19" t="n">
        <v>2.59</v>
      </c>
      <c r="J2063" s="16" t="n">
        <v>44676</v>
      </c>
      <c r="K2063" s="19" t="n">
        <v>122.19</v>
      </c>
    </row>
    <row r="2064">
      <c r="D2064" s="16" t="n">
        <v>44677</v>
      </c>
      <c r="E2064" s="19" t="n">
        <v>4.61</v>
      </c>
      <c r="G2064" s="16" t="n">
        <v>44677</v>
      </c>
      <c r="H2064" s="19" t="n">
        <v>2.57</v>
      </c>
      <c r="J2064" s="16" t="n">
        <v>44677</v>
      </c>
      <c r="K2064" s="19" t="n">
        <v>122.3</v>
      </c>
    </row>
    <row r="2065">
      <c r="D2065" s="16" t="n">
        <v>44678</v>
      </c>
      <c r="E2065" s="19" t="n">
        <v>4.63</v>
      </c>
      <c r="G2065" s="16" t="n">
        <v>44678</v>
      </c>
      <c r="H2065" s="19" t="n">
        <v>2.55</v>
      </c>
      <c r="J2065" s="16" t="n">
        <v>44678</v>
      </c>
      <c r="K2065" s="19" t="n">
        <v>120.67</v>
      </c>
    </row>
    <row r="2066">
      <c r="D2066" s="16" t="n">
        <v>44679</v>
      </c>
      <c r="E2066" s="19" t="n">
        <v>4.61</v>
      </c>
      <c r="G2066" s="16" t="n">
        <v>44679</v>
      </c>
      <c r="H2066" s="19" t="n">
        <v>2.48</v>
      </c>
      <c r="J2066" s="16" t="n">
        <v>44679</v>
      </c>
      <c r="K2066" s="19" t="n">
        <v>119.38</v>
      </c>
    </row>
    <row r="2067">
      <c r="D2067" s="16" t="n">
        <v>44680</v>
      </c>
      <c r="E2067" s="19" t="n">
        <v>4.6</v>
      </c>
      <c r="G2067" s="16" t="n">
        <v>44680</v>
      </c>
      <c r="H2067" s="19" t="n">
        <v>2.47</v>
      </c>
      <c r="J2067" s="16" t="n">
        <v>44680</v>
      </c>
      <c r="K2067" s="19" t="n">
        <v>120.37</v>
      </c>
    </row>
    <row r="2068">
      <c r="D2068" s="16" t="n">
        <v>44683</v>
      </c>
      <c r="E2068" s="19" t="n">
        <v>4.59</v>
      </c>
      <c r="G2068" s="16" t="n">
        <v>44683</v>
      </c>
      <c r="H2068" s="19" t="n">
        <v>2.45</v>
      </c>
      <c r="J2068" s="16" t="n">
        <v>44683</v>
      </c>
      <c r="K2068" s="19" t="n">
        <v>119.22</v>
      </c>
    </row>
    <row r="2069">
      <c r="D2069" s="16" t="n">
        <v>44684</v>
      </c>
      <c r="E2069" s="19" t="n">
        <v>4.63</v>
      </c>
      <c r="G2069" s="16" t="n">
        <v>44684</v>
      </c>
      <c r="H2069" s="19" t="n">
        <v>2.41</v>
      </c>
      <c r="J2069" s="16" t="n">
        <v>44684</v>
      </c>
      <c r="K2069" s="19" t="n">
        <v>120.04</v>
      </c>
    </row>
    <row r="2070">
      <c r="D2070" s="16" t="n">
        <v>44685</v>
      </c>
      <c r="E2070" s="19" t="n">
        <v>4.64</v>
      </c>
      <c r="G2070" s="16" t="n">
        <v>44685</v>
      </c>
      <c r="H2070" s="19" t="n">
        <v>2.46</v>
      </c>
      <c r="J2070" s="16" t="n">
        <v>44685</v>
      </c>
      <c r="K2070" s="19" t="n">
        <v>119.92</v>
      </c>
    </row>
    <row r="2071">
      <c r="D2071" s="16" t="n">
        <v>44686</v>
      </c>
      <c r="E2071" s="19" t="n">
        <v>4.69</v>
      </c>
      <c r="G2071" s="16" t="n">
        <v>44686</v>
      </c>
      <c r="H2071" s="19" t="n">
        <v>2.52</v>
      </c>
      <c r="J2071" s="16" t="n">
        <v>44686</v>
      </c>
      <c r="K2071" s="19" t="n">
        <v>120.35</v>
      </c>
    </row>
    <row r="2072">
      <c r="D2072" s="16" t="n">
        <v>44687</v>
      </c>
      <c r="E2072" s="19" t="n">
        <v>4.69</v>
      </c>
      <c r="G2072" s="16" t="n">
        <v>44687</v>
      </c>
      <c r="H2072" s="19" t="n">
        <v>2.48</v>
      </c>
      <c r="J2072" s="16" t="n">
        <v>44687</v>
      </c>
      <c r="K2072" s="19" t="n">
        <v>121.63</v>
      </c>
    </row>
    <row r="2073">
      <c r="D2073" s="16" t="n">
        <v>44690</v>
      </c>
      <c r="E2073" s="19" t="n">
        <v>4.64</v>
      </c>
      <c r="G2073" s="16" t="n">
        <v>44690</v>
      </c>
      <c r="H2073" s="19" t="n">
        <v>2.47</v>
      </c>
      <c r="J2073" s="16" t="n">
        <v>44690</v>
      </c>
      <c r="K2073" s="19" t="n">
        <v>122.11</v>
      </c>
    </row>
    <row r="2074">
      <c r="D2074" s="16" t="n">
        <v>44691</v>
      </c>
      <c r="E2074" s="19" t="n">
        <v>4.59</v>
      </c>
      <c r="G2074" s="16" t="n">
        <v>44691</v>
      </c>
      <c r="H2074" s="19" t="n">
        <v>2.4</v>
      </c>
      <c r="J2074" s="16" t="n">
        <v>44691</v>
      </c>
      <c r="K2074" s="19" t="n">
        <v>120.89</v>
      </c>
    </row>
    <row r="2075">
      <c r="D2075" s="16" t="n">
        <v>44692</v>
      </c>
      <c r="E2075" s="19" t="n">
        <v>4.57</v>
      </c>
      <c r="G2075" s="16" t="n">
        <v>44692</v>
      </c>
      <c r="H2075" s="19" t="n">
        <v>2.4</v>
      </c>
      <c r="J2075" s="16" t="n">
        <v>44692</v>
      </c>
      <c r="K2075" s="19" t="n">
        <v>120.23</v>
      </c>
    </row>
    <row r="2076">
      <c r="D2076" s="16" t="n">
        <v>44693</v>
      </c>
      <c r="E2076" s="19" t="n">
        <v>4.56</v>
      </c>
      <c r="G2076" s="16" t="n">
        <v>44693</v>
      </c>
      <c r="H2076" s="19" t="n">
        <v>2.38</v>
      </c>
      <c r="J2076" s="16" t="n">
        <v>44693</v>
      </c>
      <c r="K2076" s="19" t="n">
        <v>120.88</v>
      </c>
    </row>
    <row r="2077">
      <c r="D2077" s="16" t="n">
        <v>44694</v>
      </c>
      <c r="E2077" s="19" t="n">
        <v>4.59</v>
      </c>
      <c r="G2077" s="16" t="n">
        <v>44694</v>
      </c>
      <c r="H2077" s="19" t="n">
        <v>2.41</v>
      </c>
      <c r="J2077" s="16" t="n">
        <v>44694</v>
      </c>
      <c r="K2077" s="19" t="n">
        <v>120.1</v>
      </c>
    </row>
    <row r="2078">
      <c r="D2078" s="16" t="n">
        <v>44697</v>
      </c>
      <c r="E2078" s="19" t="n">
        <v>4.6</v>
      </c>
      <c r="G2078" s="16" t="n">
        <v>44697</v>
      </c>
      <c r="H2078" s="19" t="n">
        <v>2.4</v>
      </c>
      <c r="J2078" s="16" t="n">
        <v>44697</v>
      </c>
      <c r="K2078" s="19" t="n">
        <v>118.96</v>
      </c>
    </row>
    <row r="2079">
      <c r="D2079" s="16" t="n">
        <v>44698</v>
      </c>
      <c r="E2079" s="19" t="n">
        <v>4.44</v>
      </c>
      <c r="G2079" s="16" t="n">
        <v>44698</v>
      </c>
      <c r="H2079" s="19" t="n">
        <v>2.39</v>
      </c>
      <c r="J2079" s="16" t="n">
        <v>44698</v>
      </c>
      <c r="K2079" s="19" t="n">
        <v>118.66</v>
      </c>
    </row>
    <row r="2080">
      <c r="D2080" s="16" t="n">
        <v>44699</v>
      </c>
      <c r="E2080" s="19" t="n">
        <v>4.47</v>
      </c>
      <c r="G2080" s="16" t="n">
        <v>44699</v>
      </c>
      <c r="H2080" s="19" t="n">
        <v>2.41</v>
      </c>
      <c r="J2080" s="16" t="n">
        <v>44699</v>
      </c>
      <c r="K2080" s="19" t="n">
        <v>118.71</v>
      </c>
    </row>
    <row r="2081">
      <c r="D2081" s="16" t="n">
        <v>44700</v>
      </c>
      <c r="E2081" s="19" t="n">
        <v>4.36</v>
      </c>
      <c r="G2081" s="16" t="n">
        <v>44700</v>
      </c>
      <c r="H2081" s="19" t="n">
        <v>2.43</v>
      </c>
      <c r="J2081" s="16" t="n">
        <v>44700</v>
      </c>
      <c r="K2081" s="19" t="n">
        <v>118.19</v>
      </c>
    </row>
    <row r="2082">
      <c r="D2082" s="16" t="n">
        <v>44701</v>
      </c>
      <c r="E2082" s="19" t="n">
        <v>4.3</v>
      </c>
      <c r="G2082" s="16" t="n">
        <v>44701</v>
      </c>
      <c r="H2082" s="19" t="n">
        <v>2.47</v>
      </c>
      <c r="J2082" s="16" t="n">
        <v>44701</v>
      </c>
      <c r="K2082" s="19" t="n">
        <v>118.25</v>
      </c>
    </row>
    <row r="2083">
      <c r="D2083" s="16" t="n">
        <v>44704</v>
      </c>
      <c r="E2083" s="19" t="n">
        <v>4.31</v>
      </c>
      <c r="G2083" s="16" t="n">
        <v>44704</v>
      </c>
      <c r="H2083" s="19" t="n">
        <v>2.43</v>
      </c>
      <c r="J2083" s="16" t="n">
        <v>44704</v>
      </c>
      <c r="K2083" s="19" t="n">
        <v>116.27</v>
      </c>
    </row>
    <row r="2084">
      <c r="D2084" s="16" t="n">
        <v>44705</v>
      </c>
      <c r="E2084" s="19" t="n">
        <v>4.34</v>
      </c>
      <c r="G2084" s="16" t="n">
        <v>44705</v>
      </c>
      <c r="H2084" s="19" t="n">
        <v>2.39</v>
      </c>
      <c r="J2084" s="16" t="n">
        <v>44705</v>
      </c>
      <c r="K2084" s="19" t="n">
        <v>116.12</v>
      </c>
    </row>
    <row r="2085">
      <c r="D2085" s="16" t="n">
        <v>44706</v>
      </c>
      <c r="E2085" s="19" t="n">
        <v>4.33</v>
      </c>
      <c r="G2085" s="16" t="n">
        <v>44706</v>
      </c>
      <c r="H2085" s="19" t="n">
        <v>2.38</v>
      </c>
      <c r="J2085" s="16" t="n">
        <v>44706</v>
      </c>
      <c r="K2085" s="19" t="n">
        <v>116.46</v>
      </c>
    </row>
    <row r="2086">
      <c r="D2086" s="16" t="n">
        <v>44707</v>
      </c>
      <c r="E2086" s="19" t="n">
        <v>4.37</v>
      </c>
      <c r="G2086" s="16" t="n">
        <v>44707</v>
      </c>
      <c r="H2086" s="19" t="n">
        <v>2.37</v>
      </c>
      <c r="J2086" s="16" t="n">
        <v>44707</v>
      </c>
      <c r="K2086" s="19" t="n">
        <v>115.49</v>
      </c>
    </row>
    <row r="2087">
      <c r="D2087" s="16" t="n">
        <v>44708</v>
      </c>
      <c r="E2087" s="19" t="n">
        <v>4.35</v>
      </c>
      <c r="G2087" s="16" t="n">
        <v>44708</v>
      </c>
      <c r="H2087" s="19" t="n">
        <v>2.32</v>
      </c>
      <c r="J2087" s="16" t="n">
        <v>44708</v>
      </c>
      <c r="K2087" s="19" t="n">
        <v>116.28</v>
      </c>
    </row>
    <row r="2088">
      <c r="D2088" s="16" t="n">
        <v>44711</v>
      </c>
      <c r="E2088" s="19" t="n">
        <v>4.31</v>
      </c>
      <c r="G2088" s="16" t="n">
        <v>44711</v>
      </c>
      <c r="H2088" s="19" t="n">
        <v>2.36</v>
      </c>
      <c r="J2088" s="16" t="n">
        <v>44711</v>
      </c>
      <c r="K2088" s="19" t="n">
        <v>117.2</v>
      </c>
    </row>
    <row r="2089">
      <c r="D2089" s="16" t="n">
        <v>44712</v>
      </c>
      <c r="E2089" s="19" t="n">
        <v>4.25</v>
      </c>
      <c r="G2089" s="16" t="n">
        <v>44712</v>
      </c>
      <c r="H2089" s="19" t="n">
        <v>2.35</v>
      </c>
      <c r="J2089" s="16" t="n">
        <v>44712</v>
      </c>
      <c r="K2089" s="19" t="n">
        <v>117.05</v>
      </c>
    </row>
    <row r="2090">
      <c r="D2090" s="16" t="n">
        <v>44713</v>
      </c>
      <c r="E2090" s="19" t="n">
        <v>4.23</v>
      </c>
      <c r="G2090" s="16" t="n">
        <v>44713</v>
      </c>
      <c r="H2090" s="19" t="n">
        <v>2.35</v>
      </c>
      <c r="J2090" s="16" t="n">
        <v>44713</v>
      </c>
      <c r="K2090" s="19" t="n">
        <v>117.41</v>
      </c>
    </row>
    <row r="2091">
      <c r="D2091" s="16" t="n">
        <v>44714</v>
      </c>
      <c r="E2091" s="19" t="n">
        <v>4.2</v>
      </c>
      <c r="G2091" s="16" t="n">
        <v>44714</v>
      </c>
      <c r="H2091" s="19" t="n">
        <v>2.38</v>
      </c>
      <c r="J2091" s="16" t="n">
        <v>44714</v>
      </c>
      <c r="K2091" s="19" t="n">
        <v>116.93</v>
      </c>
    </row>
    <row r="2092">
      <c r="D2092" s="16" t="n">
        <v>44715</v>
      </c>
      <c r="E2092" s="19" t="n">
        <v>4.24</v>
      </c>
      <c r="G2092" s="16" t="n">
        <v>44715</v>
      </c>
      <c r="H2092" s="19" t="n">
        <v>2.37</v>
      </c>
      <c r="J2092" s="16" t="n">
        <v>44715</v>
      </c>
      <c r="K2092" s="19" t="n">
        <v>116.94</v>
      </c>
    </row>
    <row r="2093">
      <c r="D2093" s="16" t="n">
        <v>44718</v>
      </c>
      <c r="E2093" s="19" t="n">
        <v>4.25</v>
      </c>
      <c r="G2093" s="16" t="n">
        <v>44718</v>
      </c>
      <c r="H2093" s="19" t="n">
        <v>2.44</v>
      </c>
      <c r="J2093" s="16" t="n">
        <v>44718</v>
      </c>
      <c r="K2093" s="19" t="n">
        <v>118.15</v>
      </c>
    </row>
    <row r="2094">
      <c r="D2094" s="16" t="n">
        <v>44719</v>
      </c>
      <c r="E2094" s="19" t="n">
        <v>4.2</v>
      </c>
      <c r="G2094" s="16" t="n">
        <v>44719</v>
      </c>
      <c r="H2094" s="19" t="n">
        <v>2.43</v>
      </c>
      <c r="J2094" s="16" t="n">
        <v>44719</v>
      </c>
      <c r="K2094" s="19" t="n">
        <v>118.05</v>
      </c>
    </row>
    <row r="2095">
      <c r="D2095" s="16" t="n">
        <v>44720</v>
      </c>
      <c r="E2095" s="19" t="n">
        <v>4.26</v>
      </c>
      <c r="G2095" s="16" t="n">
        <v>44720</v>
      </c>
      <c r="H2095" s="19" t="n">
        <v>2.52</v>
      </c>
      <c r="J2095" s="16" t="n">
        <v>44720</v>
      </c>
      <c r="K2095" s="19" t="n">
        <v>117.36</v>
      </c>
    </row>
    <row r="2096">
      <c r="D2096" s="16" t="n">
        <v>44721</v>
      </c>
      <c r="E2096" s="19" t="n">
        <v>4.3</v>
      </c>
      <c r="G2096" s="16" t="n">
        <v>44721</v>
      </c>
      <c r="H2096" s="19" t="n">
        <v>2.58</v>
      </c>
      <c r="J2096" s="16" t="n">
        <v>44721</v>
      </c>
      <c r="K2096" s="19" t="n">
        <v>117.9</v>
      </c>
    </row>
    <row r="2097">
      <c r="D2097" s="16" t="n">
        <v>44722</v>
      </c>
      <c r="E2097" s="19" t="n">
        <v>4.35</v>
      </c>
      <c r="G2097" s="16" t="n">
        <v>44722</v>
      </c>
      <c r="H2097" s="19" t="n">
        <v>2.6</v>
      </c>
      <c r="J2097" s="16" t="n">
        <v>44722</v>
      </c>
      <c r="K2097" s="19" t="n">
        <v>117.92</v>
      </c>
    </row>
    <row r="2098">
      <c r="D2098" s="16" t="n">
        <v>44725</v>
      </c>
      <c r="E2098" s="19" t="n">
        <v>4.33</v>
      </c>
      <c r="G2098" s="16" t="n">
        <v>44725</v>
      </c>
      <c r="H2098" s="19" t="n">
        <v>2.57</v>
      </c>
      <c r="J2098" s="16" t="n">
        <v>44725</v>
      </c>
      <c r="K2098" s="19" t="n">
        <v>117.78</v>
      </c>
    </row>
    <row r="2099">
      <c r="D2099" s="16" t="n">
        <v>44726</v>
      </c>
      <c r="E2099" s="19" t="n">
        <v>4.42</v>
      </c>
      <c r="G2099" s="16" t="n">
        <v>44726</v>
      </c>
      <c r="H2099" s="19" t="n">
        <v>2.61</v>
      </c>
      <c r="J2099" s="16" t="n">
        <v>44726</v>
      </c>
      <c r="K2099" s="19" t="n">
        <v>117.78</v>
      </c>
    </row>
    <row r="2100">
      <c r="D2100" s="16" t="n">
        <v>44727</v>
      </c>
      <c r="E2100" s="19" t="n">
        <v>4.45</v>
      </c>
      <c r="G2100" s="16" t="n">
        <v>44727</v>
      </c>
      <c r="H2100" s="19" t="n">
        <v>2.59</v>
      </c>
      <c r="J2100" s="16" t="n">
        <v>44727</v>
      </c>
      <c r="K2100" s="19" t="n">
        <v>118.67</v>
      </c>
    </row>
    <row r="2101">
      <c r="D2101" s="16" t="n">
        <v>44728</v>
      </c>
      <c r="E2101" s="19" t="n">
        <v>4.44</v>
      </c>
      <c r="G2101" s="16" t="n">
        <v>44728</v>
      </c>
      <c r="H2101" s="19" t="n">
        <v>2.56</v>
      </c>
      <c r="J2101" s="16" t="n">
        <v>44728</v>
      </c>
      <c r="K2101" s="19" t="n">
        <v>117.82</v>
      </c>
    </row>
    <row r="2102">
      <c r="D2102" s="16" t="n">
        <v>44729</v>
      </c>
      <c r="E2102" s="19" t="n">
        <v>4.46</v>
      </c>
      <c r="G2102" s="16" t="n">
        <v>44729</v>
      </c>
      <c r="H2102" s="19" t="n">
        <v>2.57</v>
      </c>
      <c r="J2102" s="16" t="n">
        <v>44729</v>
      </c>
      <c r="K2102" s="19" t="n">
        <v>116.83</v>
      </c>
    </row>
    <row r="2103">
      <c r="D2103" s="16" t="n">
        <v>44732</v>
      </c>
      <c r="E2103" s="19" t="n">
        <v>4.46</v>
      </c>
      <c r="G2103" s="16" t="n">
        <v>44732</v>
      </c>
      <c r="H2103" s="19" t="n">
        <v>2.54</v>
      </c>
      <c r="J2103" s="16" t="n">
        <v>44732</v>
      </c>
      <c r="K2103" s="19" t="n">
        <v>117.35</v>
      </c>
    </row>
    <row r="2104">
      <c r="D2104" s="16" t="n">
        <v>44733</v>
      </c>
      <c r="E2104" s="19" t="n">
        <v>4.45</v>
      </c>
      <c r="G2104" s="16" t="n">
        <v>44733</v>
      </c>
      <c r="H2104" s="19" t="n">
        <v>2.51</v>
      </c>
      <c r="J2104" s="16" t="n">
        <v>44733</v>
      </c>
      <c r="K2104" s="19" t="n">
        <v>116.29</v>
      </c>
    </row>
    <row r="2105">
      <c r="D2105" s="16" t="n">
        <v>44734</v>
      </c>
      <c r="E2105" s="19" t="n">
        <v>4.5</v>
      </c>
      <c r="G2105" s="16" t="n">
        <v>44734</v>
      </c>
      <c r="H2105" s="19" t="n">
        <v>2.58</v>
      </c>
      <c r="J2105" s="16" t="n">
        <v>44734</v>
      </c>
      <c r="K2105" s="19" t="n">
        <v>115.81</v>
      </c>
    </row>
    <row r="2106">
      <c r="D2106" s="16" t="n">
        <v>44735</v>
      </c>
      <c r="E2106" s="19" t="n">
        <v>4.58</v>
      </c>
      <c r="G2106" s="16" t="n">
        <v>44735</v>
      </c>
      <c r="H2106" s="19" t="n">
        <v>2.62</v>
      </c>
      <c r="J2106" s="16" t="n">
        <v>44735</v>
      </c>
      <c r="K2106" s="19" t="n">
        <v>115.92</v>
      </c>
    </row>
    <row r="2107">
      <c r="D2107" s="16" t="n">
        <v>44736</v>
      </c>
      <c r="E2107" s="19" t="n">
        <v>4.58</v>
      </c>
      <c r="G2107" s="16" t="n">
        <v>44736</v>
      </c>
      <c r="H2107" s="19" t="n">
        <v>2.62</v>
      </c>
      <c r="J2107" s="16" t="n">
        <v>44736</v>
      </c>
      <c r="K2107" s="19" t="n">
        <v>116.51</v>
      </c>
    </row>
    <row r="2108">
      <c r="D2108" s="16" t="n">
        <v>44739</v>
      </c>
      <c r="E2108" s="19" t="n">
        <v>4.66</v>
      </c>
      <c r="G2108" s="16" t="n">
        <v>44739</v>
      </c>
      <c r="H2108" s="19" t="n">
        <v>2.61</v>
      </c>
      <c r="J2108" s="16" t="n">
        <v>44739</v>
      </c>
      <c r="K2108" s="19" t="n">
        <v>115.6</v>
      </c>
    </row>
    <row r="2109">
      <c r="D2109" s="16" t="n">
        <v>44740</v>
      </c>
      <c r="E2109" s="19" t="n">
        <v>4.64</v>
      </c>
      <c r="G2109" s="16" t="n">
        <v>44740</v>
      </c>
      <c r="H2109" s="19" t="n">
        <v>2.65</v>
      </c>
      <c r="J2109" s="16" t="n">
        <v>44740</v>
      </c>
      <c r="K2109" s="19" t="n">
        <v>115.94</v>
      </c>
    </row>
    <row r="2110">
      <c r="D2110" s="16" t="n">
        <v>44741</v>
      </c>
      <c r="E2110" s="19" t="n">
        <v>4.6</v>
      </c>
      <c r="G2110" s="16" t="n">
        <v>44741</v>
      </c>
      <c r="H2110" s="19" t="n">
        <v>2.68</v>
      </c>
      <c r="J2110" s="16" t="n">
        <v>44741</v>
      </c>
      <c r="K2110" s="19" t="n">
        <v>116.5</v>
      </c>
    </row>
    <row r="2111">
      <c r="D2111" s="16" t="n">
        <v>44742</v>
      </c>
      <c r="E2111" s="19" t="n">
        <v>4.68</v>
      </c>
      <c r="G2111" s="16" t="n">
        <v>44742</v>
      </c>
      <c r="H2111" s="19" t="n">
        <v>2.69</v>
      </c>
      <c r="J2111" s="16" t="n">
        <v>44742</v>
      </c>
      <c r="K2111" s="19" t="n">
        <v>115.9</v>
      </c>
    </row>
    <row r="2112">
      <c r="D2112" s="16" t="n">
        <v>44743</v>
      </c>
      <c r="E2112" s="19" t="n">
        <v>4.73</v>
      </c>
      <c r="G2112" s="16" t="n">
        <v>44743</v>
      </c>
      <c r="H2112" s="19" t="n">
        <v>2.68</v>
      </c>
      <c r="J2112" s="16" t="n">
        <v>44743</v>
      </c>
      <c r="K2112" s="19" t="n">
        <v>116.69</v>
      </c>
    </row>
    <row r="2113">
      <c r="D2113" s="16" t="n">
        <v>44746</v>
      </c>
      <c r="E2113" s="19" t="inlineStr">
        <is>
          <t>.</t>
        </is>
      </c>
      <c r="G2113" s="16" t="n">
        <v>44746</v>
      </c>
      <c r="H2113" s="19" t="inlineStr">
        <is>
          <t>.</t>
        </is>
      </c>
      <c r="J2113" s="16" t="n">
        <v>44746</v>
      </c>
      <c r="K2113" s="19" t="inlineStr">
        <is>
          <t>.</t>
        </is>
      </c>
    </row>
    <row r="2114">
      <c r="D2114" s="16" t="n">
        <v>44747</v>
      </c>
      <c r="E2114" s="19" t="n">
        <v>4.68</v>
      </c>
      <c r="G2114" s="16" t="n">
        <v>44747</v>
      </c>
      <c r="H2114" s="19" t="n">
        <v>2.64</v>
      </c>
      <c r="J2114" s="16" t="n">
        <v>44747</v>
      </c>
      <c r="K2114" s="19" t="n">
        <v>116.1</v>
      </c>
    </row>
    <row r="2115">
      <c r="D2115" s="16" t="n">
        <v>44748</v>
      </c>
      <c r="E2115" s="19" t="n">
        <v>4.68</v>
      </c>
      <c r="G2115" s="16" t="n">
        <v>44748</v>
      </c>
      <c r="H2115" s="19" t="n">
        <v>2.67</v>
      </c>
      <c r="J2115" s="16" t="n">
        <v>44748</v>
      </c>
      <c r="K2115" s="19" t="n">
        <v>116.27</v>
      </c>
    </row>
    <row r="2116">
      <c r="D2116" s="16" t="n">
        <v>44749</v>
      </c>
      <c r="E2116" s="19" t="n">
        <v>4.7</v>
      </c>
      <c r="G2116" s="16" t="n">
        <v>44749</v>
      </c>
      <c r="H2116" s="19" t="n">
        <v>2.71</v>
      </c>
      <c r="J2116" s="16" t="n">
        <v>44749</v>
      </c>
      <c r="K2116" s="19" t="n">
        <v>115.98</v>
      </c>
    </row>
    <row r="2117">
      <c r="D2117" s="16" t="n">
        <v>44750</v>
      </c>
      <c r="E2117" s="19" t="n">
        <v>4.74</v>
      </c>
      <c r="G2117" s="16" t="n">
        <v>44750</v>
      </c>
      <c r="H2117" s="19" t="n">
        <v>2.71</v>
      </c>
      <c r="J2117" s="16" t="n">
        <v>44750</v>
      </c>
      <c r="K2117" s="19" t="n">
        <v>115.48</v>
      </c>
    </row>
    <row r="2118">
      <c r="D2118" s="16" t="n">
        <v>44753</v>
      </c>
      <c r="E2118" s="19" t="n">
        <v>4.75</v>
      </c>
      <c r="G2118" s="16" t="n">
        <v>44753</v>
      </c>
      <c r="H2118" s="19" t="n">
        <v>2.67</v>
      </c>
      <c r="J2118" s="16" t="n">
        <v>44753</v>
      </c>
      <c r="K2118" s="19" t="n">
        <v>115.53</v>
      </c>
    </row>
    <row r="2119">
      <c r="D2119" s="16" t="n">
        <v>44754</v>
      </c>
      <c r="E2119" s="19" t="n">
        <v>4.8</v>
      </c>
      <c r="G2119" s="16" t="n">
        <v>44754</v>
      </c>
      <c r="H2119" s="19" t="n">
        <v>2.7</v>
      </c>
      <c r="J2119" s="16" t="n">
        <v>44754</v>
      </c>
      <c r="K2119" s="19" t="n">
        <v>115.98</v>
      </c>
    </row>
    <row r="2120">
      <c r="D2120" s="16" t="n">
        <v>44755</v>
      </c>
      <c r="E2120" s="19" t="n">
        <v>4.82</v>
      </c>
      <c r="G2120" s="16" t="n">
        <v>44755</v>
      </c>
      <c r="H2120" s="19" t="n">
        <v>2.7</v>
      </c>
      <c r="J2120" s="16" t="n">
        <v>44755</v>
      </c>
      <c r="K2120" s="19" t="n">
        <v>115.65</v>
      </c>
    </row>
    <row r="2121">
      <c r="D2121" s="16" t="n">
        <v>44756</v>
      </c>
      <c r="E2121" s="19" t="n">
        <v>4.83</v>
      </c>
      <c r="G2121" s="16" t="n">
        <v>44756</v>
      </c>
      <c r="H2121" s="19" t="n">
        <v>2.67</v>
      </c>
      <c r="J2121" s="16" t="n">
        <v>44756</v>
      </c>
      <c r="K2121" s="19" t="n">
        <v>115.7</v>
      </c>
    </row>
    <row r="2122">
      <c r="D2122" s="16" t="n">
        <v>44757</v>
      </c>
      <c r="E2122" s="19" t="n">
        <v>4.81</v>
      </c>
      <c r="G2122" s="16" t="n">
        <v>44757</v>
      </c>
      <c r="H2122" s="19" t="n">
        <v>2.59</v>
      </c>
      <c r="J2122" s="16" t="n">
        <v>44757</v>
      </c>
      <c r="K2122" s="19" t="n">
        <v>115.5</v>
      </c>
    </row>
    <row r="2123">
      <c r="D2123" s="16" t="n">
        <v>44760</v>
      </c>
      <c r="E2123" s="19" t="n">
        <v>4.83</v>
      </c>
      <c r="G2123" s="16" t="n">
        <v>44760</v>
      </c>
      <c r="H2123" s="19" t="n">
        <v>2.58</v>
      </c>
      <c r="J2123" s="16" t="n">
        <v>44760</v>
      </c>
      <c r="K2123" s="19" t="n">
        <v>115.18</v>
      </c>
    </row>
    <row r="2124">
      <c r="D2124" s="16" t="n">
        <v>44761</v>
      </c>
      <c r="E2124" s="19" t="n">
        <v>4.81</v>
      </c>
      <c r="G2124" s="16" t="n">
        <v>44761</v>
      </c>
      <c r="H2124" s="19" t="n">
        <v>2.58</v>
      </c>
      <c r="J2124" s="16" t="n">
        <v>44761</v>
      </c>
      <c r="K2124" s="19" t="n">
        <v>115.71</v>
      </c>
    </row>
    <row r="2125">
      <c r="D2125" s="16" t="n">
        <v>44762</v>
      </c>
      <c r="E2125" s="19" t="n">
        <v>4.86</v>
      </c>
      <c r="G2125" s="16" t="n">
        <v>44762</v>
      </c>
      <c r="H2125" s="19" t="n">
        <v>2.64</v>
      </c>
      <c r="J2125" s="16" t="n">
        <v>44762</v>
      </c>
      <c r="K2125" s="19" t="n">
        <v>117.03</v>
      </c>
    </row>
    <row r="2126">
      <c r="D2126" s="16" t="n">
        <v>44763</v>
      </c>
      <c r="E2126" s="19" t="n">
        <v>4.88</v>
      </c>
      <c r="G2126" s="16" t="n">
        <v>44763</v>
      </c>
      <c r="H2126" s="19" t="n">
        <v>2.65</v>
      </c>
      <c r="J2126" s="16" t="n">
        <v>44763</v>
      </c>
      <c r="K2126" s="19" t="n">
        <v>116.77</v>
      </c>
    </row>
    <row r="2127">
      <c r="D2127" s="16" t="n">
        <v>44764</v>
      </c>
      <c r="E2127" s="19" t="n">
        <v>4.84</v>
      </c>
      <c r="G2127" s="16" t="n">
        <v>44764</v>
      </c>
      <c r="H2127" s="19" t="n">
        <v>2.68</v>
      </c>
      <c r="J2127" s="16" t="n">
        <v>44764</v>
      </c>
      <c r="K2127" s="19" t="n">
        <v>116.21</v>
      </c>
    </row>
    <row r="2128">
      <c r="D2128" s="16" t="n">
        <v>44767</v>
      </c>
      <c r="E2128" s="19" t="n">
        <v>4.82</v>
      </c>
      <c r="G2128" s="16" t="n">
        <v>44767</v>
      </c>
      <c r="H2128" s="19" t="n">
        <v>2.74</v>
      </c>
      <c r="J2128" s="16" t="n">
        <v>44767</v>
      </c>
      <c r="K2128" s="19" t="n">
        <v>116.13</v>
      </c>
    </row>
    <row r="2129">
      <c r="D2129" s="16" t="n">
        <v>44768</v>
      </c>
      <c r="E2129" s="19" t="n">
        <v>4.77</v>
      </c>
      <c r="G2129" s="16" t="n">
        <v>44768</v>
      </c>
      <c r="H2129" s="19" t="n">
        <v>2.75</v>
      </c>
      <c r="J2129" s="16" t="n">
        <v>44768</v>
      </c>
      <c r="K2129" s="19" t="n">
        <v>115.53</v>
      </c>
    </row>
    <row r="2130">
      <c r="D2130" s="16" t="n">
        <v>44769</v>
      </c>
      <c r="E2130" s="19" t="n">
        <v>4.79</v>
      </c>
      <c r="G2130" s="16" t="n">
        <v>44769</v>
      </c>
      <c r="H2130" s="19" t="n">
        <v>2.67</v>
      </c>
      <c r="J2130" s="16" t="n">
        <v>44769</v>
      </c>
      <c r="K2130" s="19" t="n">
        <v>114.89</v>
      </c>
    </row>
    <row r="2131">
      <c r="D2131" s="16" t="n">
        <v>44770</v>
      </c>
      <c r="E2131" s="19" t="n">
        <v>4.72</v>
      </c>
      <c r="G2131" s="16" t="n">
        <v>44770</v>
      </c>
      <c r="H2131" s="19" t="n">
        <v>2.7</v>
      </c>
      <c r="J2131" s="16" t="n">
        <v>44770</v>
      </c>
      <c r="K2131" s="19" t="n">
        <v>114.82</v>
      </c>
    </row>
    <row r="2132">
      <c r="D2132" s="16" t="n">
        <v>44771</v>
      </c>
      <c r="E2132" s="19" t="n">
        <v>4.67</v>
      </c>
      <c r="G2132" s="16" t="n">
        <v>44771</v>
      </c>
      <c r="H2132" s="19" t="n">
        <v>2.73</v>
      </c>
      <c r="J2132" s="16" t="n">
        <v>44771</v>
      </c>
      <c r="K2132" s="19" t="n">
        <v>114.84</v>
      </c>
    </row>
    <row r="2133">
      <c r="D2133" s="16" t="n">
        <v>44774</v>
      </c>
      <c r="E2133" s="19" t="n">
        <v>4.69</v>
      </c>
      <c r="G2133" s="16" t="n">
        <v>44774</v>
      </c>
      <c r="H2133" s="19" t="n">
        <v>2.76</v>
      </c>
      <c r="J2133" s="16" t="n">
        <v>44774</v>
      </c>
      <c r="K2133" s="19" t="n">
        <v>114.37</v>
      </c>
    </row>
    <row r="2134">
      <c r="D2134" s="16" t="n">
        <v>44775</v>
      </c>
      <c r="E2134" s="19" t="n">
        <v>4.72</v>
      </c>
      <c r="G2134" s="16" t="n">
        <v>44775</v>
      </c>
      <c r="H2134" s="19" t="n">
        <v>2.82</v>
      </c>
      <c r="J2134" s="16" t="n">
        <v>44775</v>
      </c>
      <c r="K2134" s="19" t="n">
        <v>113.61</v>
      </c>
    </row>
    <row r="2135">
      <c r="D2135" s="16" t="n">
        <v>44776</v>
      </c>
      <c r="E2135" s="19" t="n">
        <v>4.66</v>
      </c>
      <c r="G2135" s="16" t="n">
        <v>44776</v>
      </c>
      <c r="H2135" s="19" t="n">
        <v>2.85</v>
      </c>
      <c r="J2135" s="16" t="n">
        <v>44776</v>
      </c>
      <c r="K2135" s="19" t="n">
        <v>113.3</v>
      </c>
    </row>
    <row r="2136">
      <c r="D2136" s="16" t="n">
        <v>44777</v>
      </c>
      <c r="E2136" s="19" t="n">
        <v>4.63</v>
      </c>
      <c r="G2136" s="16" t="n">
        <v>44777</v>
      </c>
      <c r="H2136" s="19" t="n">
        <v>2.87</v>
      </c>
      <c r="J2136" s="16" t="n">
        <v>44777</v>
      </c>
      <c r="K2136" s="19" t="n">
        <v>113.02</v>
      </c>
    </row>
    <row r="2137">
      <c r="D2137" s="16" t="n">
        <v>44778</v>
      </c>
      <c r="E2137" s="19" t="n">
        <v>4.57</v>
      </c>
      <c r="G2137" s="16" t="n">
        <v>44778</v>
      </c>
      <c r="H2137" s="19" t="n">
        <v>2.84</v>
      </c>
      <c r="J2137" s="16" t="n">
        <v>44778</v>
      </c>
      <c r="K2137" s="19" t="n">
        <v>113.56</v>
      </c>
    </row>
    <row r="2138">
      <c r="D2138" s="16" t="n">
        <v>44781</v>
      </c>
      <c r="E2138" s="19" t="n">
        <v>4.6</v>
      </c>
      <c r="G2138" s="16" t="n">
        <v>44781</v>
      </c>
      <c r="H2138" s="19" t="n">
        <v>2.86</v>
      </c>
      <c r="J2138" s="16" t="n">
        <v>44781</v>
      </c>
      <c r="K2138" s="19" t="n">
        <v>113.28</v>
      </c>
    </row>
    <row r="2139">
      <c r="D2139" s="16" t="n">
        <v>44782</v>
      </c>
      <c r="E2139" s="19" t="n">
        <v>4.55</v>
      </c>
      <c r="G2139" s="16" t="n">
        <v>44782</v>
      </c>
      <c r="H2139" s="19" t="n">
        <v>2.84</v>
      </c>
      <c r="J2139" s="16" t="n">
        <v>44782</v>
      </c>
      <c r="K2139" s="19" t="n">
        <v>112.41</v>
      </c>
    </row>
    <row r="2140">
      <c r="D2140" s="16" t="n">
        <v>44783</v>
      </c>
      <c r="E2140" s="19" t="n">
        <v>4.53</v>
      </c>
      <c r="G2140" s="16" t="n">
        <v>44783</v>
      </c>
      <c r="H2140" s="19" t="n">
        <v>2.87</v>
      </c>
      <c r="J2140" s="16" t="n">
        <v>44783</v>
      </c>
      <c r="K2140" s="19" t="n">
        <v>113.03</v>
      </c>
    </row>
    <row r="2141">
      <c r="D2141" s="16" t="n">
        <v>44784</v>
      </c>
      <c r="E2141" s="19" t="n">
        <v>4.51</v>
      </c>
      <c r="G2141" s="16" t="n">
        <v>44784</v>
      </c>
      <c r="H2141" s="19" t="n">
        <v>2.9</v>
      </c>
      <c r="J2141" s="16" t="n">
        <v>44784</v>
      </c>
      <c r="K2141" s="19" t="n">
        <v>112.78</v>
      </c>
    </row>
    <row r="2142">
      <c r="D2142" s="16" t="n">
        <v>44785</v>
      </c>
      <c r="E2142" s="19" t="n">
        <v>4.48</v>
      </c>
      <c r="G2142" s="16" t="n">
        <v>44785</v>
      </c>
      <c r="H2142" s="19" t="n">
        <v>2.88</v>
      </c>
      <c r="J2142" s="16" t="n">
        <v>44785</v>
      </c>
      <c r="K2142" s="19" t="n">
        <v>112.71</v>
      </c>
    </row>
    <row r="2143">
      <c r="D2143" s="16" t="n">
        <v>44788</v>
      </c>
      <c r="E2143" s="19" t="n">
        <v>4.45</v>
      </c>
      <c r="G2143" s="16" t="n">
        <v>44788</v>
      </c>
      <c r="H2143" s="19" t="n">
        <v>2.93</v>
      </c>
      <c r="J2143" s="16" t="n">
        <v>44788</v>
      </c>
      <c r="K2143" s="19" t="n">
        <v>112.9</v>
      </c>
    </row>
    <row r="2144">
      <c r="D2144" s="16" t="n">
        <v>44789</v>
      </c>
      <c r="E2144" s="19" t="n">
        <v>4.51</v>
      </c>
      <c r="G2144" s="16" t="n">
        <v>44789</v>
      </c>
      <c r="H2144" s="19" t="n">
        <v>2.99</v>
      </c>
      <c r="J2144" s="16" t="n">
        <v>44789</v>
      </c>
      <c r="K2144" s="19" t="n">
        <v>113.61</v>
      </c>
    </row>
    <row r="2145">
      <c r="D2145" s="16" t="n">
        <v>44790</v>
      </c>
      <c r="E2145" s="19" t="n">
        <v>4.51</v>
      </c>
      <c r="G2145" s="16" t="n">
        <v>44790</v>
      </c>
      <c r="H2145" s="19" t="n">
        <v>2.98</v>
      </c>
      <c r="J2145" s="16" t="n">
        <v>44790</v>
      </c>
      <c r="K2145" s="19" t="n">
        <v>113.76</v>
      </c>
    </row>
    <row r="2146">
      <c r="D2146" s="16" t="n">
        <v>44791</v>
      </c>
      <c r="E2146" s="19" t="n">
        <v>4.52</v>
      </c>
      <c r="G2146" s="16" t="n">
        <v>44791</v>
      </c>
      <c r="H2146" s="19" t="n">
        <v>2.98</v>
      </c>
      <c r="J2146" s="16" t="n">
        <v>44791</v>
      </c>
      <c r="K2146" s="19" t="n">
        <v>113.44</v>
      </c>
    </row>
    <row r="2147">
      <c r="D2147" s="16" t="n">
        <v>44792</v>
      </c>
      <c r="E2147" s="19" t="n">
        <v>4.6</v>
      </c>
      <c r="G2147" s="16" t="n">
        <v>44792</v>
      </c>
      <c r="H2147" s="19" t="n">
        <v>3.07</v>
      </c>
      <c r="J2147" s="16" t="n">
        <v>44792</v>
      </c>
      <c r="K2147" s="19" t="n">
        <v>113.77</v>
      </c>
    </row>
    <row r="2148">
      <c r="D2148" s="16" t="n">
        <v>44795</v>
      </c>
      <c r="E2148" s="19" t="n">
        <v>4.66</v>
      </c>
      <c r="G2148" s="16" t="n">
        <v>44795</v>
      </c>
      <c r="H2148" s="19" t="n">
        <v>3.1</v>
      </c>
      <c r="J2148" s="16" t="n">
        <v>44795</v>
      </c>
      <c r="K2148" s="19" t="n">
        <v>112.49</v>
      </c>
    </row>
    <row r="2149">
      <c r="D2149" s="16" t="n">
        <v>44796</v>
      </c>
      <c r="E2149" s="19" t="n">
        <v>4.62</v>
      </c>
      <c r="G2149" s="16" t="n">
        <v>44796</v>
      </c>
      <c r="H2149" s="19" t="n">
        <v>3.15</v>
      </c>
      <c r="J2149" s="16" t="n">
        <v>44796</v>
      </c>
      <c r="K2149" s="19" t="n">
        <v>113.16</v>
      </c>
    </row>
    <row r="2150">
      <c r="D2150" s="16" t="n">
        <v>44797</v>
      </c>
      <c r="E2150" s="19" t="n">
        <v>4.61</v>
      </c>
      <c r="G2150" s="16" t="n">
        <v>44797</v>
      </c>
      <c r="H2150" s="19" t="n">
        <v>3.18</v>
      </c>
      <c r="J2150" s="16" t="n">
        <v>44797</v>
      </c>
      <c r="K2150" s="19" t="n">
        <v>112.64</v>
      </c>
    </row>
    <row r="2151">
      <c r="D2151" s="16" t="n">
        <v>44798</v>
      </c>
      <c r="E2151" s="19" t="n">
        <v>4.61</v>
      </c>
      <c r="G2151" s="16" t="n">
        <v>44798</v>
      </c>
      <c r="H2151" s="19" t="n">
        <v>3.17</v>
      </c>
      <c r="J2151" s="16" t="n">
        <v>44798</v>
      </c>
      <c r="K2151" s="19" t="n">
        <v>112.75</v>
      </c>
    </row>
    <row r="2152">
      <c r="D2152" s="16" t="n">
        <v>44799</v>
      </c>
      <c r="E2152" s="19" t="n">
        <v>4.6</v>
      </c>
      <c r="G2152" s="16" t="n">
        <v>44799</v>
      </c>
      <c r="H2152" s="19" t="n">
        <v>3.16</v>
      </c>
      <c r="J2152" s="16" t="n">
        <v>44799</v>
      </c>
      <c r="K2152" s="19" t="n">
        <v>112.63</v>
      </c>
    </row>
    <row r="2153">
      <c r="D2153" s="16" t="n">
        <v>44802</v>
      </c>
      <c r="E2153" s="19" t="n">
        <v>4.62</v>
      </c>
      <c r="G2153" s="16" t="n">
        <v>44802</v>
      </c>
      <c r="H2153" s="19" t="n">
        <v>3.15</v>
      </c>
      <c r="J2153" s="16" t="n">
        <v>44802</v>
      </c>
      <c r="K2153" s="19" t="n">
        <v>113.78</v>
      </c>
    </row>
    <row r="2154">
      <c r="D2154" s="16" t="n">
        <v>44803</v>
      </c>
      <c r="E2154" s="19" t="n">
        <v>4.64</v>
      </c>
      <c r="G2154" s="16" t="n">
        <v>44803</v>
      </c>
      <c r="H2154" s="19" t="n">
        <v>3.15</v>
      </c>
      <c r="J2154" s="16" t="n">
        <v>44803</v>
      </c>
      <c r="K2154" s="19" t="n">
        <v>114.2</v>
      </c>
    </row>
    <row r="2155">
      <c r="D2155" s="16" t="n">
        <v>44804</v>
      </c>
      <c r="E2155" s="19" t="n">
        <v>4.65</v>
      </c>
      <c r="G2155" s="16" t="n">
        <v>44804</v>
      </c>
      <c r="H2155" s="19" t="n">
        <v>3.2</v>
      </c>
      <c r="J2155" s="16" t="n">
        <v>44804</v>
      </c>
      <c r="K2155" s="19" t="n">
        <v>114.93</v>
      </c>
    </row>
    <row r="2156">
      <c r="D2156" s="16" t="n">
        <v>44805</v>
      </c>
      <c r="E2156" s="19" t="n">
        <v>4.65</v>
      </c>
      <c r="G2156" s="16" t="n">
        <v>44805</v>
      </c>
      <c r="H2156" s="19" t="n">
        <v>3.19</v>
      </c>
      <c r="J2156" s="16" t="n">
        <v>44805</v>
      </c>
      <c r="K2156" s="19" t="n">
        <v>114.97</v>
      </c>
    </row>
    <row r="2157">
      <c r="D2157" s="16" t="n">
        <v>44806</v>
      </c>
      <c r="E2157" s="19" t="n">
        <v>4.69</v>
      </c>
      <c r="G2157" s="16" t="n">
        <v>44806</v>
      </c>
      <c r="H2157" s="19" t="n">
        <v>3.19</v>
      </c>
      <c r="J2157" s="16" t="n">
        <v>44806</v>
      </c>
      <c r="K2157" s="19" t="n">
        <v>114.41</v>
      </c>
    </row>
    <row r="2158">
      <c r="D2158" s="16" t="n">
        <v>44809</v>
      </c>
      <c r="E2158" s="19" t="n">
        <v>4.7</v>
      </c>
      <c r="G2158" s="16" t="n">
        <v>44809</v>
      </c>
      <c r="H2158" s="19" t="n">
        <v>3.14</v>
      </c>
      <c r="J2158" s="16" t="n">
        <v>44809</v>
      </c>
      <c r="K2158" s="19" t="n">
        <v>115.49</v>
      </c>
    </row>
    <row r="2159">
      <c r="D2159" s="16" t="n">
        <v>44810</v>
      </c>
      <c r="E2159" s="19" t="n">
        <v>4.71</v>
      </c>
      <c r="G2159" s="16" t="n">
        <v>44810</v>
      </c>
      <c r="H2159" s="19" t="n">
        <v>3.2</v>
      </c>
      <c r="J2159" s="16" t="n">
        <v>44810</v>
      </c>
      <c r="K2159" s="19" t="n">
        <v>114.86</v>
      </c>
    </row>
    <row r="2160">
      <c r="D2160" s="16" t="n">
        <v>44811</v>
      </c>
      <c r="E2160" s="19" t="n">
        <v>4.79</v>
      </c>
      <c r="G2160" s="16" t="n">
        <v>44811</v>
      </c>
      <c r="H2160" s="19" t="n">
        <v>3.15</v>
      </c>
      <c r="J2160" s="16" t="n">
        <v>44811</v>
      </c>
      <c r="K2160" s="19" t="n">
        <v>114.54</v>
      </c>
    </row>
    <row r="2161">
      <c r="D2161" s="16" t="n">
        <v>44812</v>
      </c>
      <c r="E2161" s="19" t="n">
        <v>4.66</v>
      </c>
      <c r="G2161" s="16" t="n">
        <v>44812</v>
      </c>
      <c r="H2161" s="19" t="n">
        <v>3.07</v>
      </c>
      <c r="J2161" s="16" t="n">
        <v>44812</v>
      </c>
      <c r="K2161" s="19" t="n">
        <v>115.15</v>
      </c>
    </row>
    <row r="2162">
      <c r="D2162" s="16" t="n">
        <v>44813</v>
      </c>
      <c r="E2162" s="19" t="n">
        <v>4.7</v>
      </c>
      <c r="G2162" s="16" t="n">
        <v>44813</v>
      </c>
      <c r="H2162" s="19" t="n">
        <v>3.07</v>
      </c>
      <c r="J2162" s="16" t="n">
        <v>44813</v>
      </c>
      <c r="K2162" s="19" t="n">
        <v>114.1</v>
      </c>
    </row>
    <row r="2163">
      <c r="D2163" s="16" t="n">
        <v>44816</v>
      </c>
      <c r="E2163" s="19" t="n">
        <v>4.76</v>
      </c>
      <c r="G2163" s="16" t="n">
        <v>44816</v>
      </c>
      <c r="H2163" s="19" t="n">
        <v>3.03</v>
      </c>
      <c r="J2163" s="16" t="n">
        <v>44816</v>
      </c>
      <c r="K2163" s="19" t="n">
        <v>114.27</v>
      </c>
    </row>
    <row r="2164">
      <c r="D2164" s="16" t="n">
        <v>44817</v>
      </c>
      <c r="E2164" s="19" t="n">
        <v>4.76</v>
      </c>
      <c r="G2164" s="16" t="n">
        <v>44817</v>
      </c>
      <c r="H2164" s="19" t="n">
        <v>3.02</v>
      </c>
      <c r="J2164" s="16" t="n">
        <v>44817</v>
      </c>
      <c r="K2164" s="19" t="n">
        <v>114.06</v>
      </c>
    </row>
    <row r="2165">
      <c r="D2165" s="16" t="n">
        <v>44818</v>
      </c>
      <c r="E2165" s="19" t="n">
        <v>4.76</v>
      </c>
      <c r="G2165" s="16" t="n">
        <v>44818</v>
      </c>
      <c r="H2165" s="19" t="n">
        <v>3.04</v>
      </c>
      <c r="J2165" s="16" t="n">
        <v>44818</v>
      </c>
      <c r="K2165" s="19" t="n">
        <v>115.21</v>
      </c>
    </row>
    <row r="2166">
      <c r="D2166" s="16" t="n">
        <v>44819</v>
      </c>
      <c r="E2166" s="19" t="n">
        <v>4.79</v>
      </c>
      <c r="G2166" s="16" t="n">
        <v>44819</v>
      </c>
      <c r="H2166" s="19" t="n">
        <v>3.04</v>
      </c>
      <c r="J2166" s="16" t="n">
        <v>44819</v>
      </c>
      <c r="K2166" s="19" t="n">
        <v>115.17</v>
      </c>
    </row>
    <row r="2167">
      <c r="D2167" s="16" t="n">
        <v>44820</v>
      </c>
      <c r="E2167" s="19" t="n">
        <v>4.82</v>
      </c>
      <c r="G2167" s="16" t="n">
        <v>44820</v>
      </c>
      <c r="H2167" s="19" t="n">
        <v>3.07</v>
      </c>
      <c r="J2167" s="16" t="n">
        <v>44820</v>
      </c>
      <c r="K2167" s="19" t="n">
        <v>115.32</v>
      </c>
    </row>
    <row r="2168">
      <c r="D2168" s="16" t="n">
        <v>44823</v>
      </c>
      <c r="E2168" s="19" t="n">
        <v>4.83</v>
      </c>
      <c r="G2168" s="16" t="n">
        <v>44823</v>
      </c>
      <c r="H2168" s="19" t="n">
        <v>3.08</v>
      </c>
      <c r="J2168" s="16" t="n">
        <v>44823</v>
      </c>
      <c r="K2168" s="19" t="n">
        <v>115.5</v>
      </c>
    </row>
    <row r="2169">
      <c r="D2169" s="16" t="n">
        <v>44824</v>
      </c>
      <c r="E2169" s="19" t="n">
        <v>4.83</v>
      </c>
      <c r="G2169" s="16" t="n">
        <v>44824</v>
      </c>
      <c r="H2169" s="19" t="n">
        <v>3.06</v>
      </c>
      <c r="J2169" s="16" t="n">
        <v>44824</v>
      </c>
      <c r="K2169" s="19" t="n">
        <v>115.07</v>
      </c>
    </row>
    <row r="2170">
      <c r="D2170" s="16" t="n">
        <v>44825</v>
      </c>
      <c r="E2170" s="19" t="n">
        <v>4.87</v>
      </c>
      <c r="G2170" s="16" t="n">
        <v>44825</v>
      </c>
      <c r="H2170" s="19" t="n">
        <v>3.07</v>
      </c>
      <c r="J2170" s="16" t="n">
        <v>44825</v>
      </c>
      <c r="K2170" s="19" t="n">
        <v>114.89</v>
      </c>
    </row>
    <row r="2171">
      <c r="D2171" s="16" t="n">
        <v>44826</v>
      </c>
      <c r="E2171" s="19" t="n">
        <v>4.91</v>
      </c>
      <c r="G2171" s="16" t="n">
        <v>44826</v>
      </c>
      <c r="H2171" s="19" t="n">
        <v>3.04</v>
      </c>
      <c r="J2171" s="16" t="n">
        <v>44826</v>
      </c>
      <c r="K2171" s="19" t="n">
        <v>114.65</v>
      </c>
    </row>
    <row r="2172">
      <c r="D2172" s="16" t="n">
        <v>44827</v>
      </c>
      <c r="E2172" s="19" t="n">
        <v>4.97</v>
      </c>
      <c r="G2172" s="16" t="n">
        <v>44827</v>
      </c>
      <c r="H2172" s="19" t="n">
        <v>3</v>
      </c>
      <c r="J2172" s="16" t="n">
        <v>44827</v>
      </c>
      <c r="K2172" s="19" t="n">
        <v>115.28</v>
      </c>
    </row>
    <row r="2173">
      <c r="D2173" s="16" t="n">
        <v>44830</v>
      </c>
      <c r="E2173" s="19" t="n">
        <v>4.96</v>
      </c>
      <c r="G2173" s="16" t="n">
        <v>44830</v>
      </c>
      <c r="H2173" s="19" t="n">
        <v>3.04</v>
      </c>
      <c r="J2173" s="16" t="n">
        <v>44830</v>
      </c>
      <c r="K2173" s="19" t="n">
        <v>114.87</v>
      </c>
    </row>
    <row r="2174">
      <c r="D2174" s="16" t="n">
        <v>44831</v>
      </c>
      <c r="E2174" s="19" t="n">
        <v>5.02</v>
      </c>
      <c r="G2174" s="16" t="n">
        <v>44831</v>
      </c>
      <c r="H2174" s="19" t="n">
        <v>3.14</v>
      </c>
      <c r="J2174" s="16" t="n">
        <v>44831</v>
      </c>
      <c r="K2174" s="19" t="n">
        <v>114.35</v>
      </c>
    </row>
    <row r="2175">
      <c r="D2175" s="16" t="n">
        <v>44832</v>
      </c>
      <c r="E2175" s="19" t="n">
        <v>5.06</v>
      </c>
      <c r="G2175" s="16" t="n">
        <v>44832</v>
      </c>
      <c r="H2175" s="19" t="n">
        <v>3.09</v>
      </c>
      <c r="J2175" s="16" t="n">
        <v>44832</v>
      </c>
      <c r="K2175" s="19" t="n">
        <v>114.57</v>
      </c>
    </row>
    <row r="2176">
      <c r="D2176" s="16" t="n">
        <v>44833</v>
      </c>
      <c r="E2176" s="19" t="n">
        <v>5.04</v>
      </c>
      <c r="G2176" s="16" t="n">
        <v>44833</v>
      </c>
      <c r="H2176" s="19" t="n">
        <v>3.06</v>
      </c>
      <c r="J2176" s="16" t="n">
        <v>44833</v>
      </c>
      <c r="K2176" s="19" t="n">
        <v>114.44</v>
      </c>
    </row>
    <row r="2177">
      <c r="D2177" s="16" t="n">
        <v>44834</v>
      </c>
      <c r="E2177" s="19" t="n">
        <v>5.01</v>
      </c>
      <c r="G2177" s="16" t="n">
        <v>44834</v>
      </c>
      <c r="H2177" s="19" t="n">
        <v>3.1</v>
      </c>
      <c r="J2177" s="16" t="n">
        <v>44834</v>
      </c>
      <c r="K2177" s="19" t="n">
        <v>114.86</v>
      </c>
    </row>
    <row r="2178">
      <c r="D2178" s="16" t="n">
        <v>44837</v>
      </c>
      <c r="E2178" s="19" t="n">
        <v>5.06</v>
      </c>
      <c r="G2178" s="16" t="n">
        <v>44837</v>
      </c>
      <c r="H2178" s="19" t="n">
        <v>3.1</v>
      </c>
      <c r="J2178" s="16" t="n">
        <v>44837</v>
      </c>
      <c r="K2178" s="19" t="n">
        <v>115.31</v>
      </c>
    </row>
    <row r="2179">
      <c r="D2179" s="16" t="n">
        <v>44838</v>
      </c>
      <c r="E2179" s="19" t="n">
        <v>5.04</v>
      </c>
      <c r="G2179" s="16" t="n">
        <v>44838</v>
      </c>
      <c r="H2179" s="19" t="n">
        <v>3.05</v>
      </c>
      <c r="J2179" s="16" t="n">
        <v>44838</v>
      </c>
      <c r="K2179" s="19" t="n">
        <v>113.55</v>
      </c>
    </row>
    <row r="2180">
      <c r="D2180" s="16" t="n">
        <v>44839</v>
      </c>
      <c r="E2180" s="19" t="n">
        <v>5.05</v>
      </c>
      <c r="G2180" s="16" t="n">
        <v>44839</v>
      </c>
      <c r="H2180" s="19" t="n">
        <v>3.07</v>
      </c>
      <c r="J2180" s="16" t="n">
        <v>44839</v>
      </c>
      <c r="K2180" s="19" t="n">
        <v>113.54</v>
      </c>
    </row>
    <row r="2181">
      <c r="D2181" s="16" t="n">
        <v>44840</v>
      </c>
      <c r="E2181" s="19" t="n">
        <v>5.09</v>
      </c>
      <c r="G2181" s="16" t="n">
        <v>44840</v>
      </c>
      <c r="H2181" s="19" t="n">
        <v>3.07</v>
      </c>
      <c r="J2181" s="16" t="n">
        <v>44840</v>
      </c>
      <c r="K2181" s="19" t="n">
        <v>113.36</v>
      </c>
    </row>
    <row r="2182">
      <c r="D2182" s="16" t="n">
        <v>44841</v>
      </c>
      <c r="E2182" s="19" t="n">
        <v>5.06</v>
      </c>
      <c r="G2182" s="16" t="n">
        <v>44841</v>
      </c>
      <c r="H2182" s="19" t="n">
        <v>3.06</v>
      </c>
      <c r="J2182" s="16" t="n">
        <v>44841</v>
      </c>
      <c r="K2182" s="19" t="n">
        <v>113.11</v>
      </c>
    </row>
    <row r="2183">
      <c r="D2183" s="16" t="n">
        <v>44844</v>
      </c>
      <c r="E2183" s="19" t="n">
        <v>5.1</v>
      </c>
      <c r="G2183" s="16" t="n">
        <v>44844</v>
      </c>
      <c r="H2183" s="19" t="n">
        <v>2.98</v>
      </c>
      <c r="J2183" s="16" t="n">
        <v>44844</v>
      </c>
      <c r="K2183" s="19" t="n">
        <v>112.61</v>
      </c>
    </row>
    <row r="2184">
      <c r="D2184" s="16" t="n">
        <v>44845</v>
      </c>
      <c r="E2184" s="19" t="n">
        <v>5.07</v>
      </c>
      <c r="G2184" s="16" t="n">
        <v>44845</v>
      </c>
      <c r="H2184" s="19" t="n">
        <v>2.99</v>
      </c>
      <c r="J2184" s="16" t="n">
        <v>44845</v>
      </c>
      <c r="K2184" s="19" t="n">
        <v>113.55</v>
      </c>
    </row>
    <row r="2185">
      <c r="D2185" s="16" t="n">
        <v>44846</v>
      </c>
      <c r="E2185" s="19" t="n">
        <v>5.07</v>
      </c>
      <c r="G2185" s="16" t="n">
        <v>44846</v>
      </c>
      <c r="H2185" s="19" t="n">
        <v>3.06</v>
      </c>
      <c r="J2185" s="16" t="n">
        <v>44846</v>
      </c>
      <c r="K2185" s="19" t="n">
        <v>113.67</v>
      </c>
    </row>
    <row r="2186">
      <c r="D2186" s="16" t="n">
        <v>44847</v>
      </c>
      <c r="E2186" s="19" t="n">
        <v>5.1</v>
      </c>
      <c r="G2186" s="16" t="n">
        <v>44847</v>
      </c>
      <c r="H2186" s="19" t="n">
        <v>3.07</v>
      </c>
      <c r="J2186" s="16" t="n">
        <v>44847</v>
      </c>
      <c r="K2186" s="19" t="n">
        <v>114.47</v>
      </c>
    </row>
    <row r="2187">
      <c r="D2187" s="16" t="n">
        <v>44848</v>
      </c>
      <c r="E2187" s="19" t="n">
        <v>5.11</v>
      </c>
      <c r="G2187" s="16" t="n">
        <v>44848</v>
      </c>
      <c r="H2187" s="19" t="n">
        <v>3.09</v>
      </c>
      <c r="J2187" s="16" t="n">
        <v>44848</v>
      </c>
      <c r="K2187" s="19" t="n">
        <v>114.61</v>
      </c>
    </row>
    <row r="2188">
      <c r="D2188" s="16" t="n">
        <v>44851</v>
      </c>
      <c r="E2188" s="19" t="n">
        <v>5.1</v>
      </c>
      <c r="G2188" s="16" t="n">
        <v>44851</v>
      </c>
      <c r="H2188" s="19" t="n">
        <v>3.09</v>
      </c>
      <c r="J2188" s="16" t="n">
        <v>44851</v>
      </c>
      <c r="K2188" s="19" t="n">
        <v>114.5</v>
      </c>
    </row>
    <row r="2189">
      <c r="D2189" s="16" t="n">
        <v>44852</v>
      </c>
      <c r="E2189" s="19" t="n">
        <v>5.15</v>
      </c>
      <c r="G2189" s="16" t="n">
        <v>44852</v>
      </c>
      <c r="H2189" s="19" t="n">
        <v>3.12</v>
      </c>
      <c r="J2189" s="16" t="n">
        <v>44852</v>
      </c>
      <c r="K2189" s="19" t="n">
        <v>114.71</v>
      </c>
    </row>
    <row r="2190">
      <c r="D2190" s="16" t="n">
        <v>44853</v>
      </c>
      <c r="E2190" s="19" t="n">
        <v>5.14</v>
      </c>
      <c r="G2190" s="16" t="n">
        <v>44853</v>
      </c>
      <c r="H2190" s="19" t="n">
        <v>3.1</v>
      </c>
      <c r="J2190" s="16" t="n">
        <v>44853</v>
      </c>
      <c r="K2190" s="19" t="n">
        <v>115.8</v>
      </c>
    </row>
    <row r="2191">
      <c r="D2191" s="16" t="n">
        <v>44854</v>
      </c>
      <c r="E2191" s="19" t="n">
        <v>5.2</v>
      </c>
      <c r="G2191" s="16" t="n">
        <v>44854</v>
      </c>
      <c r="H2191" s="19" t="n">
        <v>3.1</v>
      </c>
      <c r="J2191" s="16" t="n">
        <v>44854</v>
      </c>
      <c r="K2191" s="19" t="n">
        <v>116.17</v>
      </c>
    </row>
    <row r="2192">
      <c r="D2192" s="16" t="n">
        <v>44855</v>
      </c>
      <c r="E2192" s="19" t="n">
        <v>5.2</v>
      </c>
      <c r="G2192" s="16" t="n">
        <v>44855</v>
      </c>
      <c r="H2192" s="19" t="n">
        <v>3.1</v>
      </c>
      <c r="J2192" s="16" t="n">
        <v>44855</v>
      </c>
      <c r="K2192" s="19" t="n">
        <v>116.08</v>
      </c>
    </row>
    <row r="2193">
      <c r="D2193" s="16" t="n">
        <v>44858</v>
      </c>
      <c r="E2193" s="19" t="n">
        <v>5.2</v>
      </c>
      <c r="G2193" s="16" t="n">
        <v>44858</v>
      </c>
      <c r="H2193" s="19" t="n">
        <v>3.05</v>
      </c>
      <c r="J2193" s="16" t="n">
        <v>44858</v>
      </c>
      <c r="K2193" s="19" t="n">
        <v>116.25</v>
      </c>
    </row>
    <row r="2194">
      <c r="D2194" s="16" t="n">
        <v>44859</v>
      </c>
      <c r="E2194" s="19" t="n">
        <v>5.17</v>
      </c>
      <c r="G2194" s="16" t="n">
        <v>44859</v>
      </c>
      <c r="H2194" s="19" t="n">
        <v>3.12</v>
      </c>
      <c r="J2194" s="16" t="n">
        <v>44859</v>
      </c>
      <c r="K2194" s="19" t="n">
        <v>115.89</v>
      </c>
    </row>
    <row r="2195">
      <c r="D2195" s="16" t="n">
        <v>44860</v>
      </c>
      <c r="E2195" s="19" t="n">
        <v>5.12</v>
      </c>
      <c r="G2195" s="16" t="n">
        <v>44860</v>
      </c>
      <c r="H2195" s="19" t="n">
        <v>3.1</v>
      </c>
      <c r="J2195" s="16" t="n">
        <v>44860</v>
      </c>
      <c r="K2195" s="19" t="n">
        <v>116.4</v>
      </c>
    </row>
    <row r="2196">
      <c r="D2196" s="16" t="n">
        <v>44861</v>
      </c>
      <c r="E2196" s="19" t="n">
        <v>5.16</v>
      </c>
      <c r="G2196" s="16" t="n">
        <v>44861</v>
      </c>
      <c r="H2196" s="19" t="n">
        <v>3.13</v>
      </c>
      <c r="J2196" s="16" t="n">
        <v>44861</v>
      </c>
      <c r="K2196" s="19" t="n">
        <v>116.76</v>
      </c>
    </row>
    <row r="2197">
      <c r="D2197" s="16" t="n">
        <v>44862</v>
      </c>
      <c r="E2197" s="19" t="n">
        <v>5.12</v>
      </c>
      <c r="G2197" s="16" t="n">
        <v>44862</v>
      </c>
      <c r="H2197" s="19" t="n">
        <v>3.16</v>
      </c>
      <c r="J2197" s="16" t="n">
        <v>44862</v>
      </c>
      <c r="K2197" s="19" t="n">
        <v>116.86</v>
      </c>
    </row>
    <row r="2198">
      <c r="D2198" s="16" t="n">
        <v>44865</v>
      </c>
      <c r="E2198" s="19" t="n">
        <v>5.17</v>
      </c>
      <c r="G2198" s="16" t="n">
        <v>44865</v>
      </c>
      <c r="H2198" s="19" t="n">
        <v>3.2</v>
      </c>
      <c r="J2198" s="16" t="n">
        <v>44865</v>
      </c>
      <c r="K2198" s="19" t="n">
        <v>116.71</v>
      </c>
    </row>
    <row r="2199">
      <c r="D2199" s="16" t="n">
        <v>44866</v>
      </c>
      <c r="E2199" s="19" t="n">
        <v>5.16</v>
      </c>
      <c r="G2199" s="16" t="n">
        <v>44866</v>
      </c>
      <c r="H2199" s="19" t="n">
        <v>3.2</v>
      </c>
      <c r="J2199" s="16" t="n">
        <v>44866</v>
      </c>
      <c r="K2199" s="19" t="n">
        <v>116.01</v>
      </c>
    </row>
    <row r="2200">
      <c r="D2200" s="16" t="n">
        <v>44867</v>
      </c>
      <c r="E2200" s="19" t="n">
        <v>5.2</v>
      </c>
      <c r="G2200" s="16" t="n">
        <v>44867</v>
      </c>
      <c r="H2200" s="19" t="n">
        <v>3.2</v>
      </c>
      <c r="J2200" s="16" t="n">
        <v>44867</v>
      </c>
      <c r="K2200" s="19" t="n">
        <v>116.98</v>
      </c>
    </row>
    <row r="2201">
      <c r="D2201" s="16" t="n">
        <v>44868</v>
      </c>
      <c r="E2201" s="19" t="n">
        <v>5.2</v>
      </c>
      <c r="G2201" s="16" t="n">
        <v>44868</v>
      </c>
      <c r="H2201" s="19" t="n">
        <v>3.2</v>
      </c>
      <c r="J2201" s="16" t="n">
        <v>44868</v>
      </c>
      <c r="K2201" s="19" t="n">
        <v>117.24</v>
      </c>
    </row>
    <row r="2202">
      <c r="D2202" s="16" t="n">
        <v>44869</v>
      </c>
      <c r="E2202" s="19" t="n">
        <v>5.2</v>
      </c>
      <c r="G2202" s="16" t="n">
        <v>44869</v>
      </c>
      <c r="H2202" s="19" t="n">
        <v>3.2</v>
      </c>
      <c r="J2202" s="16" t="n">
        <v>44869</v>
      </c>
      <c r="K2202" s="19" t="n">
        <v>116.68</v>
      </c>
    </row>
    <row r="2203">
      <c r="D2203" s="16" t="n">
        <v>44872</v>
      </c>
      <c r="E2203" s="19" t="n">
        <v>5.17</v>
      </c>
      <c r="G2203" s="16" t="n">
        <v>44872</v>
      </c>
      <c r="H2203" s="19" t="n">
        <v>3.2</v>
      </c>
      <c r="J2203" s="16" t="n">
        <v>44872</v>
      </c>
      <c r="K2203" s="19" t="n">
        <v>116.43</v>
      </c>
    </row>
    <row r="2204">
      <c r="D2204" s="16" t="n">
        <v>44873</v>
      </c>
      <c r="E2204" s="19" t="n">
        <v>5.09</v>
      </c>
      <c r="G2204" s="16" t="n">
        <v>44873</v>
      </c>
      <c r="H2204" s="19" t="n">
        <v>3.2</v>
      </c>
      <c r="J2204" s="16" t="n">
        <v>44873</v>
      </c>
      <c r="K2204" s="19" t="n">
        <v>115.76</v>
      </c>
    </row>
    <row r="2205">
      <c r="D2205" s="16" t="n">
        <v>44874</v>
      </c>
      <c r="E2205" s="19" t="n">
        <v>5.08</v>
      </c>
      <c r="G2205" s="16" t="n">
        <v>44874</v>
      </c>
      <c r="H2205" s="19" t="n">
        <v>3.17</v>
      </c>
      <c r="J2205" s="16" t="n">
        <v>44874</v>
      </c>
      <c r="K2205" s="19" t="n">
        <v>115.84</v>
      </c>
    </row>
    <row r="2206">
      <c r="D2206" s="16" t="n">
        <v>44875</v>
      </c>
      <c r="E2206" s="19" t="n">
        <v>5.1</v>
      </c>
      <c r="G2206" s="16" t="n">
        <v>44875</v>
      </c>
      <c r="H2206" s="19" t="n">
        <v>3.16</v>
      </c>
      <c r="J2206" s="16" t="n">
        <v>44875</v>
      </c>
      <c r="K2206" s="19" t="n">
        <v>115.43</v>
      </c>
    </row>
    <row r="2207">
      <c r="D2207" s="16" t="n">
        <v>44876</v>
      </c>
      <c r="E2207" s="19" t="n">
        <v>5.14</v>
      </c>
      <c r="G2207" s="16" t="n">
        <v>44876</v>
      </c>
      <c r="H2207" s="19" t="n">
        <v>3.17</v>
      </c>
      <c r="J2207" s="16" t="n">
        <v>44876</v>
      </c>
      <c r="K2207" s="19" t="n">
        <v>115.11</v>
      </c>
    </row>
    <row r="2208">
      <c r="D2208" s="16" t="n">
        <v>44879</v>
      </c>
      <c r="E2208" s="19" t="n">
        <v>5.11</v>
      </c>
      <c r="G2208" s="16" t="n">
        <v>44879</v>
      </c>
      <c r="H2208" s="19" t="n">
        <v>3.18</v>
      </c>
      <c r="J2208" s="16" t="n">
        <v>44879</v>
      </c>
      <c r="K2208" s="19" t="n">
        <v>114.32</v>
      </c>
    </row>
    <row r="2209">
      <c r="D2209" s="16" t="n">
        <v>44880</v>
      </c>
      <c r="E2209" s="19" t="n">
        <v>5.12</v>
      </c>
      <c r="G2209" s="16" t="n">
        <v>44880</v>
      </c>
      <c r="H2209" s="19" t="n">
        <v>3.11</v>
      </c>
      <c r="J2209" s="16" t="n">
        <v>44880</v>
      </c>
      <c r="K2209" s="19" t="n">
        <v>114.43</v>
      </c>
    </row>
    <row r="2210">
      <c r="D2210" s="16" t="n">
        <v>44881</v>
      </c>
      <c r="E2210" s="19" t="n">
        <v>5.08</v>
      </c>
      <c r="G2210" s="16" t="n">
        <v>44881</v>
      </c>
      <c r="H2210" s="19" t="n">
        <v>3.06</v>
      </c>
      <c r="J2210" s="16" t="n">
        <v>44881</v>
      </c>
      <c r="K2210" s="19" t="n">
        <v>113.98</v>
      </c>
    </row>
    <row r="2211">
      <c r="D2211" s="16" t="n">
        <v>44882</v>
      </c>
      <c r="E2211" s="19" t="n">
        <v>5.08</v>
      </c>
      <c r="G2211" s="16" t="n">
        <v>44882</v>
      </c>
      <c r="H2211" s="19" t="n">
        <v>3</v>
      </c>
      <c r="J2211" s="16" t="n">
        <v>44882</v>
      </c>
      <c r="K2211" s="19" t="n">
        <v>113.42</v>
      </c>
    </row>
    <row r="2212">
      <c r="D2212" s="16" t="n">
        <v>44883</v>
      </c>
      <c r="E2212" s="19" t="n">
        <v>5.11</v>
      </c>
      <c r="G2212" s="16" t="n">
        <v>44883</v>
      </c>
      <c r="H2212" s="19" t="n">
        <v>3</v>
      </c>
      <c r="J2212" s="16" t="n">
        <v>44883</v>
      </c>
      <c r="K2212" s="19" t="n">
        <v>113.64</v>
      </c>
    </row>
    <row r="2213">
      <c r="D2213" s="16" t="n">
        <v>44886</v>
      </c>
      <c r="E2213" s="19" t="n">
        <v>5.07</v>
      </c>
      <c r="G2213" s="16" t="n">
        <v>44886</v>
      </c>
      <c r="H2213" s="19" t="n">
        <v>3</v>
      </c>
      <c r="J2213" s="16" t="n">
        <v>44886</v>
      </c>
      <c r="K2213" s="19" t="n">
        <v>113.51</v>
      </c>
    </row>
    <row r="2214">
      <c r="D2214" s="16" t="n">
        <v>44887</v>
      </c>
      <c r="E2214" s="19" t="n">
        <v>5.07</v>
      </c>
      <c r="G2214" s="16" t="n">
        <v>44887</v>
      </c>
      <c r="H2214" s="19" t="n">
        <v>3.03</v>
      </c>
      <c r="J2214" s="16" t="n">
        <v>44887</v>
      </c>
      <c r="K2214" s="19" t="n">
        <v>114.06</v>
      </c>
    </row>
    <row r="2215">
      <c r="D2215" s="16" t="n">
        <v>44888</v>
      </c>
      <c r="E2215" s="19" t="n">
        <v>5.03</v>
      </c>
      <c r="G2215" s="16" t="n">
        <v>44888</v>
      </c>
      <c r="H2215" s="19" t="n">
        <v>3</v>
      </c>
      <c r="J2215" s="16" t="n">
        <v>44888</v>
      </c>
      <c r="K2215" s="19" t="n">
        <v>114.69</v>
      </c>
    </row>
    <row r="2216">
      <c r="D2216" s="16" t="n">
        <v>44889</v>
      </c>
      <c r="E2216" s="19" t="inlineStr">
        <is>
          <t>.</t>
        </is>
      </c>
      <c r="G2216" s="16" t="n">
        <v>44889</v>
      </c>
      <c r="H2216" s="19" t="inlineStr">
        <is>
          <t>.</t>
        </is>
      </c>
      <c r="J2216" s="16" t="n">
        <v>44889</v>
      </c>
      <c r="K2216" s="19" t="inlineStr">
        <is>
          <t>.</t>
        </is>
      </c>
    </row>
    <row r="2217">
      <c r="D2217" s="16" t="n">
        <v>44890</v>
      </c>
      <c r="E2217" s="19" t="n">
        <v>5.07</v>
      </c>
      <c r="G2217" s="16" t="n">
        <v>44890</v>
      </c>
      <c r="H2217" s="19" t="n">
        <v>3.03</v>
      </c>
      <c r="J2217" s="16" t="n">
        <v>44890</v>
      </c>
      <c r="K2217" s="19" t="n">
        <v>115.22</v>
      </c>
    </row>
    <row r="2218">
      <c r="D2218" s="16" t="n">
        <v>44893</v>
      </c>
      <c r="E2218" s="19" t="n">
        <v>4.98</v>
      </c>
      <c r="G2218" s="16" t="n">
        <v>44893</v>
      </c>
      <c r="H2218" s="19" t="n">
        <v>3.02</v>
      </c>
      <c r="J2218" s="16" t="n">
        <v>44893</v>
      </c>
      <c r="K2218" s="19" t="n">
        <v>114.72</v>
      </c>
    </row>
    <row r="2219">
      <c r="D2219" s="16" t="n">
        <v>44894</v>
      </c>
      <c r="E2219" s="19" t="n">
        <v>4.99</v>
      </c>
      <c r="G2219" s="16" t="n">
        <v>44894</v>
      </c>
      <c r="H2219" s="19" t="n">
        <v>3.07</v>
      </c>
      <c r="J2219" s="16" t="n">
        <v>44894</v>
      </c>
      <c r="K2219" s="19" t="n">
        <v>114.88</v>
      </c>
    </row>
    <row r="2220">
      <c r="D2220" s="16" t="n">
        <v>44895</v>
      </c>
      <c r="E2220" s="19" t="n">
        <v>4.96</v>
      </c>
      <c r="G2220" s="16" t="n">
        <v>44895</v>
      </c>
      <c r="H2220" s="19" t="n">
        <v>3.12</v>
      </c>
      <c r="J2220" s="16" t="n">
        <v>44895</v>
      </c>
      <c r="K2220" s="19" t="n">
        <v>114.64</v>
      </c>
    </row>
    <row r="2221">
      <c r="D2221" s="16" t="n">
        <v>44896</v>
      </c>
      <c r="E2221" s="19" t="n">
        <v>4.99</v>
      </c>
      <c r="G2221" s="16" t="n">
        <v>44896</v>
      </c>
      <c r="H2221" s="19" t="n">
        <v>3.2</v>
      </c>
      <c r="J2221" s="16" t="n">
        <v>44896</v>
      </c>
      <c r="K2221" s="19" t="n">
        <v>114.44</v>
      </c>
    </row>
    <row r="2222">
      <c r="D2222" s="16" t="n">
        <v>44897</v>
      </c>
      <c r="E2222" s="19" t="n">
        <v>5.01</v>
      </c>
      <c r="G2222" s="16" t="n">
        <v>44897</v>
      </c>
      <c r="H2222" s="19" t="n">
        <v>3.19</v>
      </c>
      <c r="J2222" s="16" t="n">
        <v>44897</v>
      </c>
      <c r="K2222" s="19" t="n">
        <v>115.1</v>
      </c>
    </row>
    <row r="2223">
      <c r="D2223" s="16" t="n">
        <v>44900</v>
      </c>
      <c r="E2223" s="19" t="n">
        <v>5.02</v>
      </c>
      <c r="G2223" s="16" t="n">
        <v>44900</v>
      </c>
      <c r="H2223" s="19" t="n">
        <v>3.17</v>
      </c>
      <c r="J2223" s="16" t="n">
        <v>44900</v>
      </c>
      <c r="K2223" s="19" t="n">
        <v>113.79</v>
      </c>
    </row>
    <row r="2224">
      <c r="D2224" s="16" t="n">
        <v>44901</v>
      </c>
      <c r="E2224" s="19" t="n">
        <v>5.02</v>
      </c>
      <c r="G2224" s="16" t="n">
        <v>44901</v>
      </c>
      <c r="H2224" s="19" t="n">
        <v>3.1</v>
      </c>
      <c r="J2224" s="16" t="n">
        <v>44901</v>
      </c>
      <c r="K2224" s="19" t="n">
        <v>113.3</v>
      </c>
    </row>
    <row r="2225">
      <c r="D2225" s="16" t="n">
        <v>44902</v>
      </c>
      <c r="E2225" s="19" t="n">
        <v>5.04</v>
      </c>
      <c r="G2225" s="16" t="n">
        <v>44902</v>
      </c>
      <c r="H2225" s="19" t="n">
        <v>3.07</v>
      </c>
      <c r="J2225" s="16" t="n">
        <v>44902</v>
      </c>
      <c r="K2225" s="19" t="n">
        <v>113.2</v>
      </c>
    </row>
    <row r="2226">
      <c r="D2226" s="16" t="n">
        <v>44903</v>
      </c>
      <c r="E2226" s="19" t="n">
        <v>5.05</v>
      </c>
      <c r="G2226" s="16" t="n">
        <v>44903</v>
      </c>
      <c r="H2226" s="19" t="n">
        <v>3.18</v>
      </c>
      <c r="J2226" s="16" t="n">
        <v>44903</v>
      </c>
      <c r="K2226" s="19" t="n">
        <v>112.56</v>
      </c>
    </row>
    <row r="2227">
      <c r="D2227" s="16" t="n">
        <v>44904</v>
      </c>
      <c r="E2227" s="19" t="n">
        <v>5</v>
      </c>
      <c r="G2227" s="16" t="n">
        <v>44904</v>
      </c>
      <c r="H2227" s="19" t="n">
        <v>3.19</v>
      </c>
      <c r="J2227" s="16" t="n">
        <v>44904</v>
      </c>
      <c r="K2227" s="19" t="n">
        <v>113.12</v>
      </c>
    </row>
    <row r="2228">
      <c r="D2228" s="16" t="n">
        <v>44907</v>
      </c>
      <c r="E2228" s="19" t="n">
        <v>4.98</v>
      </c>
      <c r="G2228" s="16" t="n">
        <v>44907</v>
      </c>
      <c r="H2228" s="19" t="n">
        <v>3.2</v>
      </c>
      <c r="J2228" s="16" t="n">
        <v>44907</v>
      </c>
      <c r="K2228" s="19" t="n">
        <v>113.62</v>
      </c>
    </row>
    <row r="2229">
      <c r="D2229" s="16" t="n">
        <v>44908</v>
      </c>
      <c r="E2229" s="19" t="n">
        <v>5.06</v>
      </c>
      <c r="G2229" s="16" t="n">
        <v>44908</v>
      </c>
      <c r="H2229" s="19" t="n">
        <v>3.18</v>
      </c>
      <c r="J2229" s="16" t="n">
        <v>44908</v>
      </c>
      <c r="K2229" s="19" t="n">
        <v>113.42</v>
      </c>
    </row>
    <row r="2230">
      <c r="D2230" s="16" t="n">
        <v>44909</v>
      </c>
      <c r="E2230" s="19" t="n">
        <v>5.09</v>
      </c>
      <c r="G2230" s="16" t="n">
        <v>44909</v>
      </c>
      <c r="H2230" s="19" t="n">
        <v>3.16</v>
      </c>
      <c r="J2230" s="16" t="n">
        <v>44909</v>
      </c>
      <c r="K2230" s="19" t="n">
        <v>113.68</v>
      </c>
    </row>
    <row r="2231">
      <c r="D2231" s="16" t="n">
        <v>44910</v>
      </c>
      <c r="E2231" s="19" t="n">
        <v>5.04</v>
      </c>
      <c r="G2231" s="16" t="n">
        <v>44910</v>
      </c>
      <c r="H2231" s="19" t="n">
        <v>3.12</v>
      </c>
      <c r="J2231" s="16" t="n">
        <v>44910</v>
      </c>
      <c r="K2231" s="19" t="n">
        <v>113.52</v>
      </c>
    </row>
    <row r="2232">
      <c r="D2232" s="16" t="n">
        <v>44911</v>
      </c>
      <c r="E2232" s="19" t="n">
        <v>5.03</v>
      </c>
      <c r="G2232" s="16" t="n">
        <v>44911</v>
      </c>
      <c r="H2232" s="19" t="n">
        <v>3.13</v>
      </c>
      <c r="J2232" s="16" t="n">
        <v>44911</v>
      </c>
      <c r="K2232" s="19" t="n">
        <v>113.91</v>
      </c>
    </row>
    <row r="2233">
      <c r="D2233" s="16" t="n">
        <v>44914</v>
      </c>
      <c r="E2233" s="19" t="n">
        <v>5.07</v>
      </c>
      <c r="G2233" s="16" t="n">
        <v>44914</v>
      </c>
      <c r="H2233" s="19" t="n">
        <v>3.12</v>
      </c>
      <c r="J2233" s="16" t="n">
        <v>44914</v>
      </c>
      <c r="K2233" s="19" t="n">
        <v>112.87</v>
      </c>
    </row>
    <row r="2234">
      <c r="D2234" s="16" t="n">
        <v>44915</v>
      </c>
      <c r="E2234" s="19" t="n">
        <v>5.02</v>
      </c>
      <c r="G2234" s="16" t="n">
        <v>44915</v>
      </c>
      <c r="H2234" s="19" t="n">
        <v>3.17</v>
      </c>
      <c r="J2234" s="16" t="n">
        <v>44915</v>
      </c>
      <c r="K2234" s="19" t="n">
        <v>113.64</v>
      </c>
    </row>
    <row r="2235">
      <c r="D2235" s="16" t="n">
        <v>44916</v>
      </c>
      <c r="E2235" s="19" t="n">
        <v>5.05</v>
      </c>
      <c r="G2235" s="16" t="n">
        <v>44916</v>
      </c>
      <c r="H2235" s="19" t="n">
        <v>3.16</v>
      </c>
      <c r="J2235" s="16" t="n">
        <v>44916</v>
      </c>
      <c r="K2235" s="19" t="n">
        <v>112.95</v>
      </c>
    </row>
    <row r="2236">
      <c r="D2236" s="16" t="n">
        <v>44917</v>
      </c>
      <c r="E2236" s="19" t="n">
        <v>5.04</v>
      </c>
      <c r="G2236" s="16" t="n">
        <v>44917</v>
      </c>
      <c r="H2236" s="19" t="n">
        <v>3.13</v>
      </c>
      <c r="J2236" s="16" t="n">
        <v>44917</v>
      </c>
      <c r="K2236" s="19" t="n">
        <v>112.89</v>
      </c>
    </row>
    <row r="2237">
      <c r="D2237" s="16" t="n">
        <v>44918</v>
      </c>
      <c r="E2237" s="19" t="n">
        <v>5.05</v>
      </c>
      <c r="G2237" s="16" t="n">
        <v>44918</v>
      </c>
      <c r="H2237" s="19" t="n">
        <v>3.2</v>
      </c>
      <c r="J2237" s="16" t="n">
        <v>44918</v>
      </c>
      <c r="K2237" s="19" t="n">
        <v>112.01</v>
      </c>
    </row>
    <row r="2238">
      <c r="D2238" s="16" t="n">
        <v>44921</v>
      </c>
      <c r="E2238" s="19" t="n">
        <v>5.11</v>
      </c>
      <c r="G2238" s="16" t="n">
        <v>44921</v>
      </c>
      <c r="H2238" s="19" t="n">
        <v>3.19</v>
      </c>
      <c r="J2238" s="16" t="n">
        <v>44921</v>
      </c>
      <c r="K2238" s="19" t="n">
        <v>111.14</v>
      </c>
    </row>
    <row r="2239">
      <c r="D2239" s="16" t="n">
        <v>44922</v>
      </c>
      <c r="E2239" s="19" t="n">
        <v>5.16</v>
      </c>
      <c r="G2239" s="16" t="n">
        <v>44922</v>
      </c>
      <c r="H2239" s="19" t="n">
        <v>3.19</v>
      </c>
      <c r="J2239" s="16" t="n">
        <v>44922</v>
      </c>
      <c r="K2239" s="19" t="n">
        <v>111.01</v>
      </c>
    </row>
    <row r="2240">
      <c r="D2240" s="16" t="n">
        <v>44923</v>
      </c>
      <c r="E2240" s="19" t="n">
        <v>5.19</v>
      </c>
      <c r="G2240" s="16" t="n">
        <v>44923</v>
      </c>
      <c r="H2240" s="19" t="n">
        <v>3.2</v>
      </c>
      <c r="J2240" s="16" t="n">
        <v>44923</v>
      </c>
      <c r="K2240" s="19" t="n">
        <v>110.85</v>
      </c>
    </row>
    <row r="2241">
      <c r="D2241" s="16" t="n">
        <v>44924</v>
      </c>
      <c r="E2241" s="19" t="n">
        <v>5.16</v>
      </c>
      <c r="G2241" s="16" t="n">
        <v>44924</v>
      </c>
      <c r="H2241" s="19" t="n">
        <v>3.17</v>
      </c>
      <c r="J2241" s="16" t="n">
        <v>44924</v>
      </c>
      <c r="K2241" s="19" t="n">
        <v>110.76</v>
      </c>
    </row>
    <row r="2242">
      <c r="D2242" s="16" t="n">
        <v>44925</v>
      </c>
      <c r="E2242" s="19" t="n">
        <v>5.07</v>
      </c>
      <c r="G2242" s="16" t="n">
        <v>44925</v>
      </c>
      <c r="H2242" s="19" t="n">
        <v>3.08</v>
      </c>
      <c r="J2242" s="16" t="n">
        <v>44925</v>
      </c>
      <c r="K2242" s="19" t="n">
        <v>111.44</v>
      </c>
    </row>
    <row r="2243">
      <c r="D2243" s="16" t="n">
        <v>44928</v>
      </c>
      <c r="E2243" s="19" t="n">
        <v>5.01</v>
      </c>
      <c r="G2243" s="16" t="n">
        <v>44928</v>
      </c>
      <c r="H2243" s="19" t="n">
        <v>3.02</v>
      </c>
      <c r="J2243" s="16" t="n">
        <v>44928</v>
      </c>
      <c r="K2243" s="19" t="n">
        <v>111.49</v>
      </c>
    </row>
    <row r="2244">
      <c r="D2244" s="16" t="n">
        <v>44929</v>
      </c>
      <c r="E2244" s="19" t="n">
        <v>5.06</v>
      </c>
      <c r="G2244" s="16" t="n">
        <v>44929</v>
      </c>
      <c r="H2244" s="19" t="n">
        <v>3.02</v>
      </c>
      <c r="J2244" s="16" t="n">
        <v>44929</v>
      </c>
      <c r="K2244" s="19" t="n">
        <v>111.51</v>
      </c>
    </row>
    <row r="2245">
      <c r="D2245" s="16" t="n">
        <v>44930</v>
      </c>
      <c r="E2245" s="19" t="n">
        <v>4.94</v>
      </c>
      <c r="G2245" s="16" t="n">
        <v>44930</v>
      </c>
      <c r="H2245" s="19" t="n">
        <v>3.03</v>
      </c>
      <c r="J2245" s="16" t="n">
        <v>44930</v>
      </c>
      <c r="K2245" s="19" t="n">
        <v>111.24</v>
      </c>
    </row>
    <row r="2246">
      <c r="D2246" s="16" t="n">
        <v>44931</v>
      </c>
      <c r="E2246" s="19" t="n">
        <v>4.87</v>
      </c>
      <c r="G2246" s="16" t="n">
        <v>44931</v>
      </c>
      <c r="H2246" s="19" t="n">
        <v>3</v>
      </c>
      <c r="J2246" s="16" t="n">
        <v>44931</v>
      </c>
      <c r="K2246" s="19" t="n">
        <v>110.51</v>
      </c>
    </row>
    <row r="2247">
      <c r="D2247" s="16" t="n">
        <v>44932</v>
      </c>
      <c r="E2247" s="19" t="n">
        <v>4.89</v>
      </c>
      <c r="G2247" s="16" t="n">
        <v>44932</v>
      </c>
      <c r="H2247" s="19" t="n">
        <v>3.05</v>
      </c>
      <c r="J2247" s="16" t="n">
        <v>44932</v>
      </c>
      <c r="K2247" s="19" t="n">
        <v>110.59</v>
      </c>
    </row>
    <row r="2248">
      <c r="D2248" s="16" t="n">
        <v>44935</v>
      </c>
      <c r="E2248" s="19" t="n">
        <v>4.94</v>
      </c>
      <c r="G2248" s="16" t="n">
        <v>44935</v>
      </c>
      <c r="H2248" s="19" t="n">
        <v>3.03</v>
      </c>
      <c r="J2248" s="16" t="n">
        <v>44935</v>
      </c>
      <c r="K2248" s="19" t="n">
        <v>110.69</v>
      </c>
    </row>
    <row r="2249">
      <c r="D2249" s="16" t="n">
        <v>44936</v>
      </c>
      <c r="E2249" s="19" t="n">
        <v>4.95</v>
      </c>
      <c r="G2249" s="16" t="n">
        <v>44936</v>
      </c>
      <c r="H2249" s="19" t="n">
        <v>2.92</v>
      </c>
      <c r="J2249" s="16" t="n">
        <v>44936</v>
      </c>
      <c r="K2249" s="19" t="n">
        <v>110.35</v>
      </c>
    </row>
    <row r="2250">
      <c r="D2250" s="16" t="n">
        <v>44937</v>
      </c>
      <c r="E2250" s="19" t="n">
        <v>4.9</v>
      </c>
      <c r="G2250" s="16" t="n">
        <v>44937</v>
      </c>
      <c r="H2250" s="19" t="n">
        <v>2.95</v>
      </c>
      <c r="J2250" s="16" t="n">
        <v>44937</v>
      </c>
      <c r="K2250" s="19" t="n">
        <v>110.25</v>
      </c>
    </row>
    <row r="2251">
      <c r="D2251" s="16" t="n">
        <v>44938</v>
      </c>
      <c r="E2251" s="19" t="n">
        <v>4.93</v>
      </c>
      <c r="G2251" s="16" t="n">
        <v>44938</v>
      </c>
      <c r="H2251" s="19" t="n">
        <v>3</v>
      </c>
      <c r="J2251" s="16" t="n">
        <v>44938</v>
      </c>
      <c r="K2251" s="19" t="n">
        <v>110.81</v>
      </c>
    </row>
    <row r="2252">
      <c r="D2252" s="16" t="n">
        <v>44939</v>
      </c>
      <c r="E2252" s="19" t="n">
        <v>4.96</v>
      </c>
      <c r="G2252" s="16" t="n">
        <v>44939</v>
      </c>
      <c r="H2252" s="19" t="n">
        <v>3.05</v>
      </c>
      <c r="J2252" s="16" t="n">
        <v>44939</v>
      </c>
      <c r="K2252" s="19" t="n">
        <v>111.16</v>
      </c>
    </row>
    <row r="2253">
      <c r="D2253" s="16" t="n">
        <v>44942</v>
      </c>
      <c r="E2253" s="19" t="n">
        <v>4.97</v>
      </c>
      <c r="G2253" s="16" t="n">
        <v>44942</v>
      </c>
      <c r="H2253" s="19" t="n">
        <v>3.02</v>
      </c>
      <c r="J2253" s="16" t="n">
        <v>44942</v>
      </c>
      <c r="K2253" s="19" t="n">
        <v>111.37</v>
      </c>
    </row>
    <row r="2254">
      <c r="D2254" s="16" t="n">
        <v>44943</v>
      </c>
      <c r="E2254" s="19" t="n">
        <v>4.98</v>
      </c>
      <c r="G2254" s="16" t="n">
        <v>44943</v>
      </c>
      <c r="H2254" s="19" t="n">
        <v>2.97</v>
      </c>
      <c r="J2254" s="16" t="n">
        <v>44943</v>
      </c>
      <c r="K2254" s="19" t="n">
        <v>110.65</v>
      </c>
    </row>
    <row r="2255">
      <c r="D2255" s="16" t="n">
        <v>44944</v>
      </c>
      <c r="E2255" s="19" t="n">
        <v>5.01</v>
      </c>
      <c r="G2255" s="16" t="n">
        <v>44944</v>
      </c>
      <c r="H2255" s="19" t="n">
        <v>2.98</v>
      </c>
      <c r="J2255" s="16" t="n">
        <v>44944</v>
      </c>
      <c r="K2255" s="19" t="n">
        <v>110.93</v>
      </c>
    </row>
    <row r="2256">
      <c r="D2256" s="16" t="n">
        <v>44945</v>
      </c>
      <c r="E2256" s="19" t="n">
        <v>5.07</v>
      </c>
      <c r="G2256" s="16" t="n">
        <v>44945</v>
      </c>
      <c r="H2256" s="19" t="n">
        <v>2.99</v>
      </c>
      <c r="J2256" s="16" t="n">
        <v>44945</v>
      </c>
      <c r="K2256" s="19" t="n">
        <v>111.23</v>
      </c>
    </row>
    <row r="2257">
      <c r="D2257" s="16" t="n">
        <v>44946</v>
      </c>
      <c r="E2257" s="19" t="n">
        <v>5.14</v>
      </c>
      <c r="G2257" s="16" t="n">
        <v>44946</v>
      </c>
      <c r="H2257" s="19" t="n">
        <v>2.98</v>
      </c>
      <c r="J2257" s="16" t="n">
        <v>44946</v>
      </c>
      <c r="K2257" s="19" t="n">
        <v>112.04</v>
      </c>
    </row>
    <row r="2258">
      <c r="D2258" s="16" t="n">
        <v>44949</v>
      </c>
      <c r="E2258" s="19" t="n">
        <v>5.12</v>
      </c>
      <c r="G2258" s="16" t="n">
        <v>44949</v>
      </c>
      <c r="H2258" s="19" t="n">
        <v>3</v>
      </c>
      <c r="J2258" s="16" t="n">
        <v>44949</v>
      </c>
      <c r="K2258" s="19" t="n">
        <v>112</v>
      </c>
    </row>
    <row r="2259">
      <c r="D2259" s="16" t="n">
        <v>44950</v>
      </c>
      <c r="E2259" s="19" t="n">
        <v>5.18</v>
      </c>
      <c r="G2259" s="16" t="n">
        <v>44950</v>
      </c>
      <c r="H2259" s="19" t="n">
        <v>3</v>
      </c>
      <c r="J2259" s="16" t="n">
        <v>44950</v>
      </c>
      <c r="K2259" s="19" t="n">
        <v>111.35</v>
      </c>
    </row>
    <row r="2260">
      <c r="D2260" s="16" t="n">
        <v>44951</v>
      </c>
      <c r="E2260" s="19" t="n">
        <v>5.2</v>
      </c>
      <c r="G2260" s="16" t="n">
        <v>44951</v>
      </c>
      <c r="H2260" s="19" t="n">
        <v>3.02</v>
      </c>
      <c r="J2260" s="16" t="n">
        <v>44951</v>
      </c>
      <c r="K2260" s="19" t="n">
        <v>111.19</v>
      </c>
    </row>
    <row r="2261">
      <c r="D2261" s="16" t="n">
        <v>44952</v>
      </c>
      <c r="E2261" s="19" t="n">
        <v>5.2</v>
      </c>
      <c r="G2261" s="16" t="n">
        <v>44952</v>
      </c>
      <c r="H2261" s="19" t="n">
        <v>3.04</v>
      </c>
      <c r="J2261" s="16" t="n">
        <v>44952</v>
      </c>
      <c r="K2261" s="19" t="n">
        <v>110.98</v>
      </c>
    </row>
    <row r="2262">
      <c r="D2262" s="16" t="n">
        <v>44953</v>
      </c>
      <c r="E2262" s="19" t="n">
        <v>5.2</v>
      </c>
      <c r="G2262" s="16" t="n">
        <v>44953</v>
      </c>
      <c r="H2262" s="19" t="n">
        <v>3.12</v>
      </c>
      <c r="J2262" s="16" t="n">
        <v>44953</v>
      </c>
      <c r="K2262" s="19" t="n">
        <v>111.5</v>
      </c>
    </row>
    <row r="2263">
      <c r="D2263" s="16" t="n">
        <v>44956</v>
      </c>
      <c r="E2263" s="19" t="n">
        <v>5.2</v>
      </c>
      <c r="G2263" s="16" t="n">
        <v>44956</v>
      </c>
      <c r="H2263" s="19" t="n">
        <v>3.11</v>
      </c>
      <c r="J2263" s="16" t="n">
        <v>44956</v>
      </c>
      <c r="K2263" s="19" t="n">
        <v>111.63</v>
      </c>
    </row>
    <row r="2264">
      <c r="D2264" s="16" t="n">
        <v>44957</v>
      </c>
      <c r="E2264" s="19" t="n">
        <v>5.2</v>
      </c>
      <c r="G2264" s="16" t="n">
        <v>44957</v>
      </c>
      <c r="H2264" s="19" t="n">
        <v>3.11</v>
      </c>
      <c r="J2264" s="16" t="n">
        <v>44957</v>
      </c>
      <c r="K2264" s="19" t="n">
        <v>112.55</v>
      </c>
    </row>
    <row r="2265">
      <c r="D2265" s="16" t="n">
        <v>44958</v>
      </c>
      <c r="E2265" s="19" t="n">
        <v>5.17</v>
      </c>
      <c r="G2265" s="16" t="n">
        <v>44958</v>
      </c>
      <c r="H2265" s="19" t="n">
        <v>3.16</v>
      </c>
      <c r="J2265" s="16" t="n">
        <v>44958</v>
      </c>
      <c r="K2265" s="19" t="n">
        <v>112.94</v>
      </c>
    </row>
    <row r="2266">
      <c r="D2266" s="16" t="n">
        <v>44959</v>
      </c>
      <c r="E2266" s="19" t="n">
        <v>5.13</v>
      </c>
      <c r="G2266" s="16" t="n">
        <v>44959</v>
      </c>
      <c r="H2266" s="19" t="n">
        <v>3.2</v>
      </c>
      <c r="J2266" s="16" t="n">
        <v>44959</v>
      </c>
      <c r="K2266" s="19" t="n">
        <v>113.68</v>
      </c>
    </row>
    <row r="2267">
      <c r="D2267" s="16" t="n">
        <v>44960</v>
      </c>
      <c r="E2267" s="19" t="n">
        <v>5.13</v>
      </c>
      <c r="G2267" s="16" t="n">
        <v>44960</v>
      </c>
      <c r="H2267" s="19" t="n">
        <v>3.16</v>
      </c>
      <c r="J2267" s="16" t="n">
        <v>44960</v>
      </c>
      <c r="K2267" s="19" t="n">
        <v>112.98</v>
      </c>
    </row>
    <row r="2268">
      <c r="D2268" s="16" t="n">
        <v>44963</v>
      </c>
      <c r="E2268" s="19" t="n">
        <v>5.17</v>
      </c>
      <c r="G2268" s="16" t="n">
        <v>44963</v>
      </c>
      <c r="H2268" s="19" t="n">
        <v>3.15</v>
      </c>
      <c r="J2268" s="16" t="n">
        <v>44963</v>
      </c>
      <c r="K2268" s="19" t="n">
        <v>112.96</v>
      </c>
    </row>
    <row r="2269">
      <c r="D2269" s="16" t="n">
        <v>44964</v>
      </c>
      <c r="E2269" s="19" t="n">
        <v>5.19</v>
      </c>
      <c r="G2269" s="16" t="n">
        <v>44964</v>
      </c>
      <c r="H2269" s="19" t="n">
        <v>3.12</v>
      </c>
      <c r="J2269" s="16" t="n">
        <v>44964</v>
      </c>
      <c r="K2269" s="19" t="n">
        <v>112.07</v>
      </c>
    </row>
    <row r="2270">
      <c r="D2270" s="16" t="n">
        <v>44965</v>
      </c>
      <c r="E2270" s="19" t="n">
        <v>5.15</v>
      </c>
      <c r="G2270" s="16" t="n">
        <v>44965</v>
      </c>
      <c r="H2270" s="19" t="n">
        <v>3.15</v>
      </c>
      <c r="J2270" s="16" t="n">
        <v>44965</v>
      </c>
      <c r="K2270" s="19" t="n">
        <v>112.36</v>
      </c>
    </row>
    <row r="2271">
      <c r="D2271" s="16" t="n">
        <v>44966</v>
      </c>
      <c r="E2271" s="19" t="n">
        <v>5.18</v>
      </c>
      <c r="G2271" s="16" t="n">
        <v>44966</v>
      </c>
      <c r="H2271" s="19" t="n">
        <v>3.14</v>
      </c>
      <c r="J2271" s="16" t="n">
        <v>44966</v>
      </c>
      <c r="K2271" s="19" t="n">
        <v>113</v>
      </c>
    </row>
    <row r="2272">
      <c r="D2272" s="16" t="n">
        <v>44967</v>
      </c>
      <c r="E2272" s="19" t="n">
        <v>5.2</v>
      </c>
      <c r="G2272" s="16" t="n">
        <v>44967</v>
      </c>
      <c r="H2272" s="19" t="n">
        <v>3.11</v>
      </c>
      <c r="J2272" s="16" t="n">
        <v>44967</v>
      </c>
      <c r="K2272" s="19" t="n">
        <v>112.37</v>
      </c>
    </row>
    <row r="2273">
      <c r="D2273" s="16" t="n">
        <v>44970</v>
      </c>
      <c r="E2273" s="19" t="n">
        <v>5.19</v>
      </c>
      <c r="G2273" s="16" t="n">
        <v>44970</v>
      </c>
      <c r="H2273" s="19" t="n">
        <v>3.07</v>
      </c>
      <c r="J2273" s="16" t="n">
        <v>44970</v>
      </c>
      <c r="K2273" s="19" t="n">
        <v>113.1</v>
      </c>
    </row>
    <row r="2274">
      <c r="D2274" s="16" t="n">
        <v>44971</v>
      </c>
      <c r="E2274" s="19" t="n">
        <v>5.2</v>
      </c>
      <c r="G2274" s="16" t="n">
        <v>44971</v>
      </c>
      <c r="H2274" s="19" t="n">
        <v>3.02</v>
      </c>
      <c r="J2274" s="16" t="n">
        <v>44971</v>
      </c>
      <c r="K2274" s="19" t="n">
        <v>113.33</v>
      </c>
    </row>
    <row r="2275">
      <c r="D2275" s="16" t="n">
        <v>44972</v>
      </c>
      <c r="E2275" s="19" t="n">
        <v>5.2</v>
      </c>
      <c r="G2275" s="16" t="n">
        <v>44972</v>
      </c>
      <c r="H2275" s="19" t="n">
        <v>3.04</v>
      </c>
      <c r="J2275" s="16" t="n">
        <v>44972</v>
      </c>
      <c r="K2275" s="19" t="n">
        <v>114.1</v>
      </c>
    </row>
    <row r="2276">
      <c r="D2276" s="16" t="n">
        <v>44973</v>
      </c>
      <c r="E2276" s="19" t="n">
        <v>5.16</v>
      </c>
      <c r="G2276" s="16" t="n">
        <v>44973</v>
      </c>
      <c r="H2276" s="19" t="n">
        <v>3.06</v>
      </c>
      <c r="J2276" s="16" t="n">
        <v>44973</v>
      </c>
      <c r="K2276" s="19" t="n">
        <v>113.2</v>
      </c>
    </row>
    <row r="2277">
      <c r="D2277" s="16" t="n">
        <v>44974</v>
      </c>
      <c r="E2277" s="19" t="n">
        <v>5.14</v>
      </c>
      <c r="G2277" s="16" t="n">
        <v>44974</v>
      </c>
      <c r="H2277" s="19" t="n">
        <v>2.98</v>
      </c>
      <c r="J2277" s="16" t="n">
        <v>44974</v>
      </c>
      <c r="K2277" s="19" t="n">
        <v>113.65</v>
      </c>
    </row>
    <row r="2278">
      <c r="D2278" s="16" t="n">
        <v>44977</v>
      </c>
      <c r="E2278" s="19" t="n">
        <v>5.15</v>
      </c>
      <c r="G2278" s="16" t="n">
        <v>44977</v>
      </c>
      <c r="H2278" s="19" t="n">
        <v>2.96</v>
      </c>
      <c r="J2278" s="16" t="n">
        <v>44977</v>
      </c>
      <c r="K2278" s="19" t="n">
        <v>114.61</v>
      </c>
    </row>
    <row r="2279">
      <c r="D2279" s="16" t="n">
        <v>44978</v>
      </c>
      <c r="E2279" s="19" t="n">
        <v>5.2</v>
      </c>
      <c r="G2279" s="16" t="n">
        <v>44978</v>
      </c>
      <c r="H2279" s="19" t="n">
        <v>2.95</v>
      </c>
      <c r="J2279" s="16" t="n">
        <v>44978</v>
      </c>
      <c r="K2279" s="19" t="n">
        <v>115.25</v>
      </c>
    </row>
    <row r="2280">
      <c r="D2280" s="16" t="n">
        <v>44979</v>
      </c>
      <c r="E2280" s="19" t="n">
        <v>5.2</v>
      </c>
      <c r="G2280" s="16" t="n">
        <v>44979</v>
      </c>
      <c r="H2280" s="19" t="n">
        <v>2.97</v>
      </c>
      <c r="J2280" s="16" t="n">
        <v>44979</v>
      </c>
      <c r="K2280" s="19" t="n">
        <v>114.5</v>
      </c>
    </row>
    <row r="2281">
      <c r="D2281" s="16" t="n">
        <v>44980</v>
      </c>
      <c r="E2281" s="19" t="n">
        <v>5.16</v>
      </c>
      <c r="G2281" s="16" t="n">
        <v>44980</v>
      </c>
      <c r="H2281" s="19" t="n">
        <v>2.97</v>
      </c>
      <c r="J2281" s="16" t="n">
        <v>44980</v>
      </c>
      <c r="K2281" s="19" t="n">
        <v>114.81</v>
      </c>
    </row>
    <row r="2282">
      <c r="D2282" s="16" t="n">
        <v>44981</v>
      </c>
      <c r="E2282" s="19" t="n">
        <v>5.12</v>
      </c>
      <c r="G2282" s="16" t="n">
        <v>44981</v>
      </c>
      <c r="H2282" s="19" t="n">
        <v>2.96</v>
      </c>
      <c r="J2282" s="16" t="n">
        <v>44981</v>
      </c>
      <c r="K2282" s="19" t="n">
        <v>114.3</v>
      </c>
    </row>
    <row r="2283">
      <c r="D2283" s="16" t="n">
        <v>44984</v>
      </c>
      <c r="E2283" s="19" t="n">
        <v>5.12</v>
      </c>
      <c r="G2283" s="16" t="n">
        <v>44984</v>
      </c>
      <c r="H2283" s="19" t="n">
        <v>2.92</v>
      </c>
      <c r="J2283" s="16" t="n">
        <v>44984</v>
      </c>
      <c r="K2283" s="19" t="n">
        <v>113.84</v>
      </c>
    </row>
    <row r="2284">
      <c r="D2284" s="16" t="n">
        <v>44985</v>
      </c>
      <c r="E2284" s="19" t="n">
        <v>5.17</v>
      </c>
      <c r="G2284" s="16" t="n">
        <v>44985</v>
      </c>
      <c r="H2284" s="19" t="n">
        <v>2.88</v>
      </c>
      <c r="J2284" s="16" t="n">
        <v>44985</v>
      </c>
      <c r="K2284" s="19" t="n">
        <v>113.82</v>
      </c>
    </row>
    <row r="2285">
      <c r="D2285" s="16" t="n">
        <v>44986</v>
      </c>
      <c r="E2285" s="19" t="n">
        <v>5.15</v>
      </c>
      <c r="G2285" s="16" t="n">
        <v>44986</v>
      </c>
      <c r="H2285" s="19" t="n">
        <v>2.92</v>
      </c>
      <c r="J2285" s="16" t="n">
        <v>44986</v>
      </c>
      <c r="K2285" s="19" t="n">
        <v>113.43</v>
      </c>
    </row>
    <row r="2286">
      <c r="D2286" s="16" t="n">
        <v>44987</v>
      </c>
      <c r="E2286" s="19" t="n">
        <v>5.15</v>
      </c>
      <c r="G2286" s="16" t="n">
        <v>44987</v>
      </c>
      <c r="H2286" s="19" t="n">
        <v>2.93</v>
      </c>
      <c r="J2286" s="16" t="n">
        <v>44987</v>
      </c>
      <c r="K2286" s="19" t="n">
        <v>113.06</v>
      </c>
    </row>
    <row r="2287">
      <c r="D2287" s="16" t="n">
        <v>44988</v>
      </c>
      <c r="E2287" s="19" t="n">
        <v>5.12</v>
      </c>
      <c r="G2287" s="16" t="n">
        <v>44988</v>
      </c>
      <c r="H2287" s="19" t="n">
        <v>2.93</v>
      </c>
      <c r="J2287" s="16" t="n">
        <v>44988</v>
      </c>
      <c r="K2287" s="19" t="n">
        <v>112.95</v>
      </c>
    </row>
    <row r="2288">
      <c r="D2288" s="16" t="n">
        <v>44991</v>
      </c>
      <c r="E2288" s="19" t="n">
        <v>5.1</v>
      </c>
      <c r="G2288" s="16" t="n">
        <v>44991</v>
      </c>
      <c r="H2288" s="19" t="n">
        <v>2.91</v>
      </c>
      <c r="J2288" s="16" t="n">
        <v>44991</v>
      </c>
      <c r="K2288" s="19" t="n">
        <v>113.2</v>
      </c>
    </row>
    <row r="2289">
      <c r="D2289" s="16" t="n">
        <v>44992</v>
      </c>
      <c r="E2289" s="19" t="n">
        <v>5.12</v>
      </c>
      <c r="G2289" s="16" t="n">
        <v>44992</v>
      </c>
      <c r="H2289" s="19" t="n">
        <v>2.85</v>
      </c>
      <c r="J2289" s="16" t="n">
        <v>44992</v>
      </c>
      <c r="K2289" s="19" t="n">
        <v>113.96</v>
      </c>
    </row>
    <row r="2290">
      <c r="D2290" s="16" t="n">
        <v>44993</v>
      </c>
      <c r="E2290" s="19" t="n">
        <v>5.14</v>
      </c>
      <c r="G2290" s="16" t="n">
        <v>44993</v>
      </c>
      <c r="H2290" s="19" t="n">
        <v>2.87</v>
      </c>
      <c r="J2290" s="16" t="n">
        <v>44993</v>
      </c>
      <c r="K2290" s="19" t="n">
        <v>114.41</v>
      </c>
    </row>
    <row r="2291">
      <c r="D2291" s="16" t="n">
        <v>44994</v>
      </c>
      <c r="E2291" s="19" t="n">
        <v>5.15</v>
      </c>
      <c r="G2291" s="16" t="n">
        <v>44994</v>
      </c>
      <c r="H2291" s="19" t="n">
        <v>2.89</v>
      </c>
      <c r="J2291" s="16" t="n">
        <v>44994</v>
      </c>
      <c r="K2291" s="19" t="n">
        <v>114.26</v>
      </c>
    </row>
    <row r="2292">
      <c r="D2292" s="16" t="n">
        <v>44995</v>
      </c>
      <c r="E2292" s="19" t="n">
        <v>5.14</v>
      </c>
      <c r="G2292" s="16" t="n">
        <v>44995</v>
      </c>
      <c r="H2292" s="19" t="n">
        <v>2.86</v>
      </c>
      <c r="J2292" s="16" t="n">
        <v>44995</v>
      </c>
      <c r="K2292" s="19" t="n">
        <v>113.24</v>
      </c>
    </row>
    <row r="2293">
      <c r="D2293" s="16" t="n">
        <v>44998</v>
      </c>
      <c r="E2293" s="19" t="n">
        <v>5.13</v>
      </c>
      <c r="G2293" s="16" t="n">
        <v>44998</v>
      </c>
      <c r="H2293" s="19" t="n">
        <v>2.81</v>
      </c>
      <c r="J2293" s="16" t="n">
        <v>44998</v>
      </c>
      <c r="K2293" s="19" t="n">
        <v>112.72</v>
      </c>
    </row>
    <row r="2294">
      <c r="D2294" s="16" t="n">
        <v>44999</v>
      </c>
      <c r="E2294" s="19" t="n">
        <v>5.12</v>
      </c>
      <c r="G2294" s="16" t="n">
        <v>44999</v>
      </c>
      <c r="H2294" s="19" t="n">
        <v>2.8</v>
      </c>
      <c r="J2294" s="16" t="n">
        <v>44999</v>
      </c>
      <c r="K2294" s="19" t="n">
        <v>113.45</v>
      </c>
    </row>
    <row r="2295">
      <c r="D2295" s="16" t="n">
        <v>45000</v>
      </c>
      <c r="E2295" s="19" t="n">
        <v>5.1</v>
      </c>
      <c r="G2295" s="16" t="n">
        <v>45000</v>
      </c>
      <c r="H2295" s="19" t="n">
        <v>2.84</v>
      </c>
      <c r="J2295" s="16" t="n">
        <v>45000</v>
      </c>
      <c r="K2295" s="19" t="n">
        <v>113.61</v>
      </c>
    </row>
    <row r="2296">
      <c r="D2296" s="16" t="n">
        <v>45001</v>
      </c>
      <c r="E2296" s="19" t="n">
        <v>5.17</v>
      </c>
      <c r="G2296" s="16" t="n">
        <v>45001</v>
      </c>
      <c r="H2296" s="19" t="n">
        <v>2.81</v>
      </c>
      <c r="J2296" s="16" t="n">
        <v>45001</v>
      </c>
      <c r="K2296" s="19" t="n">
        <v>114.87</v>
      </c>
    </row>
    <row r="2297">
      <c r="D2297" s="16" t="n">
        <v>45002</v>
      </c>
      <c r="E2297" s="19" t="n">
        <v>5.2</v>
      </c>
      <c r="G2297" s="16" t="n">
        <v>45002</v>
      </c>
      <c r="H2297" s="19" t="n">
        <v>2.82</v>
      </c>
      <c r="J2297" s="16" t="n">
        <v>45002</v>
      </c>
      <c r="K2297" s="19" t="n">
        <v>115.3</v>
      </c>
    </row>
    <row r="2298">
      <c r="D2298" s="16" t="n">
        <v>45005</v>
      </c>
      <c r="E2298" s="19" t="n">
        <v>5.18</v>
      </c>
      <c r="G2298" s="16" t="n">
        <v>45005</v>
      </c>
      <c r="H2298" s="19" t="n">
        <v>2.8</v>
      </c>
      <c r="J2298" s="16" t="n">
        <v>45005</v>
      </c>
      <c r="K2298" s="19" t="n">
        <v>114.55</v>
      </c>
    </row>
    <row r="2299">
      <c r="D2299" s="16" t="n">
        <v>45006</v>
      </c>
      <c r="E2299" s="19" t="n">
        <v>5.1</v>
      </c>
      <c r="G2299" s="16" t="n">
        <v>45006</v>
      </c>
      <c r="H2299" s="19" t="n">
        <v>2.81</v>
      </c>
      <c r="J2299" s="16" t="n">
        <v>45006</v>
      </c>
      <c r="K2299" s="19" t="n">
        <v>114.78</v>
      </c>
    </row>
    <row r="2300">
      <c r="D2300" s="16" t="n">
        <v>45007</v>
      </c>
      <c r="E2300" s="19" t="n">
        <v>5.05</v>
      </c>
      <c r="G2300" s="16" t="n">
        <v>45007</v>
      </c>
      <c r="H2300" s="19" t="n">
        <v>2.79</v>
      </c>
      <c r="J2300" s="16" t="n">
        <v>45007</v>
      </c>
      <c r="K2300" s="19" t="n">
        <v>114.89</v>
      </c>
    </row>
    <row r="2301">
      <c r="D2301" s="16" t="n">
        <v>45008</v>
      </c>
      <c r="E2301" s="19" t="n">
        <v>5.04</v>
      </c>
      <c r="G2301" s="16" t="n">
        <v>45008</v>
      </c>
      <c r="H2301" s="19" t="n">
        <v>2.75</v>
      </c>
      <c r="J2301" s="16" t="n">
        <v>45008</v>
      </c>
      <c r="K2301" s="19" t="n">
        <v>114.18</v>
      </c>
    </row>
    <row r="2302">
      <c r="D2302" s="16" t="n">
        <v>45009</v>
      </c>
      <c r="E2302" s="19" t="n">
        <v>5.03</v>
      </c>
      <c r="G2302" s="16" t="n">
        <v>45009</v>
      </c>
      <c r="H2302" s="19" t="n">
        <v>2.72</v>
      </c>
      <c r="J2302" s="16" t="n">
        <v>45009</v>
      </c>
      <c r="K2302" s="19" t="n">
        <v>114.13</v>
      </c>
    </row>
    <row r="2303">
      <c r="D2303" s="16" t="n">
        <v>45012</v>
      </c>
      <c r="E2303" s="19" t="n">
        <v>4.99</v>
      </c>
      <c r="G2303" s="16" t="n">
        <v>45012</v>
      </c>
      <c r="H2303" s="19" t="n">
        <v>2.7</v>
      </c>
      <c r="J2303" s="16" t="n">
        <v>45012</v>
      </c>
      <c r="K2303" s="19" t="n">
        <v>114</v>
      </c>
    </row>
    <row r="2304">
      <c r="D2304" s="16" t="n">
        <v>45013</v>
      </c>
      <c r="E2304" s="19" t="n">
        <v>5.01</v>
      </c>
      <c r="G2304" s="16" t="n">
        <v>45013</v>
      </c>
      <c r="H2304" s="19" t="n">
        <v>2.67</v>
      </c>
      <c r="J2304" s="16" t="n">
        <v>45013</v>
      </c>
      <c r="K2304" s="19" t="n">
        <v>113.54</v>
      </c>
    </row>
    <row r="2305">
      <c r="D2305" s="16" t="n">
        <v>45014</v>
      </c>
      <c r="E2305" s="19" t="n">
        <v>4.97</v>
      </c>
      <c r="G2305" s="16" t="n">
        <v>45014</v>
      </c>
      <c r="H2305" s="19" t="n">
        <v>2.79</v>
      </c>
      <c r="J2305" s="16" t="n">
        <v>45014</v>
      </c>
      <c r="K2305" s="19" t="n">
        <v>113.54</v>
      </c>
    </row>
    <row r="2306">
      <c r="D2306" s="16" t="n">
        <v>45015</v>
      </c>
      <c r="E2306" s="19" t="n">
        <v>4.93</v>
      </c>
      <c r="G2306" s="16" t="n">
        <v>45015</v>
      </c>
      <c r="H2306" s="19" t="n">
        <v>2.76</v>
      </c>
      <c r="J2306" s="16" t="n">
        <v>45015</v>
      </c>
      <c r="K2306" s="19" t="n">
        <v>113.14</v>
      </c>
    </row>
    <row r="2307">
      <c r="D2307" s="16" t="n">
        <v>45016</v>
      </c>
      <c r="E2307" s="19" t="n">
        <v>4.94</v>
      </c>
      <c r="G2307" s="16" t="n">
        <v>45016</v>
      </c>
      <c r="H2307" s="19" t="n">
        <v>2.73</v>
      </c>
      <c r="J2307" s="16" t="n">
        <v>45016</v>
      </c>
      <c r="K2307" s="19" t="n">
        <v>112.78</v>
      </c>
    </row>
    <row r="2308">
      <c r="D2308" s="16" t="n">
        <v>45019</v>
      </c>
      <c r="E2308" s="19" t="n">
        <v>4.93</v>
      </c>
      <c r="G2308" s="16" t="n">
        <v>45019</v>
      </c>
      <c r="H2308" s="19" t="n">
        <v>2.7</v>
      </c>
      <c r="J2308" s="16" t="n">
        <v>45019</v>
      </c>
      <c r="K2308" s="19" t="n">
        <v>112.57</v>
      </c>
    </row>
    <row r="2309">
      <c r="D2309" s="16" t="n">
        <v>45020</v>
      </c>
      <c r="E2309" s="19" t="n">
        <v>4.99</v>
      </c>
      <c r="G2309" s="16" t="n">
        <v>45020</v>
      </c>
      <c r="H2309" s="19" t="n">
        <v>2.72</v>
      </c>
      <c r="J2309" s="16" t="n">
        <v>45020</v>
      </c>
      <c r="K2309" s="19" t="n">
        <v>112.29</v>
      </c>
    </row>
    <row r="2310">
      <c r="D2310" s="16" t="n">
        <v>45021</v>
      </c>
      <c r="E2310" s="19" t="n">
        <v>5.06</v>
      </c>
      <c r="G2310" s="16" t="n">
        <v>45021</v>
      </c>
      <c r="H2310" s="19" t="n">
        <v>2.74</v>
      </c>
      <c r="J2310" s="16" t="n">
        <v>45021</v>
      </c>
      <c r="K2310" s="19" t="n">
        <v>112.34</v>
      </c>
    </row>
    <row r="2311">
      <c r="D2311" s="16" t="n">
        <v>45022</v>
      </c>
      <c r="E2311" s="19" t="n">
        <v>5.06</v>
      </c>
      <c r="G2311" s="16" t="n">
        <v>45022</v>
      </c>
      <c r="H2311" s="19" t="n">
        <v>2.73</v>
      </c>
      <c r="J2311" s="16" t="n">
        <v>45022</v>
      </c>
      <c r="K2311" s="19" t="n">
        <v>112.01</v>
      </c>
    </row>
    <row r="2312">
      <c r="D2312" s="16" t="n">
        <v>45023</v>
      </c>
      <c r="E2312" s="19" t="n">
        <v>5.03</v>
      </c>
      <c r="G2312" s="16" t="n">
        <v>45023</v>
      </c>
      <c r="H2312" s="19" t="n">
        <v>2.78</v>
      </c>
      <c r="J2312" s="16" t="n">
        <v>45023</v>
      </c>
      <c r="K2312" s="19" t="n">
        <v>112.3</v>
      </c>
    </row>
    <row r="2313">
      <c r="D2313" s="16" t="n">
        <v>45026</v>
      </c>
      <c r="E2313" s="19" t="n">
        <v>5.06</v>
      </c>
      <c r="G2313" s="16" t="n">
        <v>45026</v>
      </c>
      <c r="H2313" s="19" t="n">
        <v>2.77</v>
      </c>
      <c r="J2313" s="16" t="n">
        <v>45026</v>
      </c>
      <c r="K2313" s="19" t="n">
        <v>113.53</v>
      </c>
    </row>
    <row r="2314">
      <c r="D2314" s="16" t="n">
        <v>45027</v>
      </c>
      <c r="E2314" s="19" t="n">
        <v>4.99</v>
      </c>
      <c r="G2314" s="16" t="n">
        <v>45027</v>
      </c>
      <c r="H2314" s="19" t="n">
        <v>2.76</v>
      </c>
      <c r="J2314" s="16" t="n">
        <v>45027</v>
      </c>
      <c r="K2314" s="19" t="n">
        <v>113.69</v>
      </c>
    </row>
    <row r="2315">
      <c r="D2315" s="16" t="n">
        <v>45028</v>
      </c>
      <c r="E2315" s="19" t="n">
        <v>4.9</v>
      </c>
      <c r="G2315" s="16" t="n">
        <v>45028</v>
      </c>
      <c r="H2315" s="19" t="n">
        <v>2.78</v>
      </c>
      <c r="J2315" s="16" t="n">
        <v>45028</v>
      </c>
      <c r="K2315" s="19" t="n">
        <v>112.45</v>
      </c>
    </row>
    <row r="2316">
      <c r="D2316" s="16" t="n">
        <v>45029</v>
      </c>
      <c r="E2316" s="19" t="n">
        <v>5</v>
      </c>
      <c r="G2316" s="16" t="n">
        <v>45029</v>
      </c>
      <c r="H2316" s="19" t="n">
        <v>2.78</v>
      </c>
      <c r="J2316" s="16" t="n">
        <v>45029</v>
      </c>
      <c r="K2316" s="19" t="n">
        <v>112.63</v>
      </c>
    </row>
    <row r="2317">
      <c r="D2317" s="16" t="n">
        <v>45030</v>
      </c>
      <c r="E2317" s="19" t="n">
        <v>5</v>
      </c>
      <c r="G2317" s="16" t="n">
        <v>45030</v>
      </c>
      <c r="H2317" s="19" t="n">
        <v>2.8</v>
      </c>
      <c r="J2317" s="16" t="n">
        <v>45030</v>
      </c>
      <c r="K2317" s="19" t="n">
        <v>112.63</v>
      </c>
    </row>
    <row r="2318">
      <c r="D2318" s="16" t="n">
        <v>45033</v>
      </c>
      <c r="E2318" s="19" t="n">
        <v>5</v>
      </c>
      <c r="G2318" s="16" t="n">
        <v>45033</v>
      </c>
      <c r="H2318" s="19" t="n">
        <v>2.79</v>
      </c>
      <c r="J2318" s="16" t="n">
        <v>45033</v>
      </c>
      <c r="K2318" s="19" t="n">
        <v>111.53</v>
      </c>
    </row>
    <row r="2319">
      <c r="D2319" s="16" t="n">
        <v>45034</v>
      </c>
      <c r="E2319" s="19" t="n">
        <v>5.02</v>
      </c>
      <c r="G2319" s="16" t="n">
        <v>45034</v>
      </c>
      <c r="H2319" s="19" t="n">
        <v>2.78</v>
      </c>
      <c r="J2319" s="16" t="n">
        <v>45034</v>
      </c>
      <c r="K2319" s="19" t="n">
        <v>111.78</v>
      </c>
    </row>
    <row r="2320">
      <c r="D2320" s="16" t="n">
        <v>45035</v>
      </c>
      <c r="E2320" s="19" t="n">
        <v>4.98</v>
      </c>
      <c r="G2320" s="16" t="n">
        <v>45035</v>
      </c>
      <c r="H2320" s="19" t="n">
        <v>2.71</v>
      </c>
      <c r="J2320" s="16" t="n">
        <v>45035</v>
      </c>
      <c r="K2320" s="19" t="n">
        <v>111.32</v>
      </c>
    </row>
    <row r="2321">
      <c r="D2321" s="16" t="n">
        <v>45036</v>
      </c>
      <c r="E2321" s="19" t="n">
        <v>5.01</v>
      </c>
      <c r="G2321" s="16" t="n">
        <v>45036</v>
      </c>
      <c r="H2321" s="19" t="n">
        <v>2.69</v>
      </c>
      <c r="J2321" s="16" t="n">
        <v>45036</v>
      </c>
      <c r="K2321" s="19" t="n">
        <v>111.01</v>
      </c>
    </row>
    <row r="2322">
      <c r="D2322" s="16" t="n">
        <v>45037</v>
      </c>
      <c r="E2322" s="19" t="n">
        <v>4.99</v>
      </c>
      <c r="G2322" s="16" t="n">
        <v>45037</v>
      </c>
      <c r="H2322" s="19" t="n">
        <v>2.71</v>
      </c>
      <c r="J2322" s="16" t="n">
        <v>45037</v>
      </c>
      <c r="K2322" s="19" t="n">
        <v>110.11</v>
      </c>
    </row>
    <row r="2323">
      <c r="D2323" s="16" t="n">
        <v>45040</v>
      </c>
      <c r="E2323" s="19" t="n">
        <v>5.01</v>
      </c>
      <c r="G2323" s="16" t="n">
        <v>45040</v>
      </c>
      <c r="H2323" s="19" t="n">
        <v>2.69</v>
      </c>
      <c r="J2323" s="16" t="n">
        <v>45040</v>
      </c>
      <c r="K2323" s="19" t="n">
        <v>110.91</v>
      </c>
    </row>
    <row r="2324">
      <c r="D2324" s="16" t="n">
        <v>45041</v>
      </c>
      <c r="E2324" s="19" t="n">
        <v>5.06</v>
      </c>
      <c r="G2324" s="16" t="n">
        <v>45041</v>
      </c>
      <c r="H2324" s="19" t="n">
        <v>2.69</v>
      </c>
      <c r="J2324" s="16" t="n">
        <v>45041</v>
      </c>
      <c r="K2324" s="19" t="n">
        <v>110.23</v>
      </c>
    </row>
    <row r="2325">
      <c r="D2325" s="16" t="n">
        <v>45042</v>
      </c>
      <c r="E2325" s="19" t="n">
        <v>5.02</v>
      </c>
      <c r="G2325" s="16" t="n">
        <v>45042</v>
      </c>
      <c r="H2325" s="19" t="n">
        <v>2.68</v>
      </c>
      <c r="J2325" s="16" t="n">
        <v>45042</v>
      </c>
      <c r="K2325" s="19" t="n">
        <v>110.96</v>
      </c>
    </row>
    <row r="2326">
      <c r="D2326" s="16" t="n">
        <v>45043</v>
      </c>
      <c r="E2326" s="19" t="n">
        <v>4.95</v>
      </c>
      <c r="G2326" s="16" t="n">
        <v>45043</v>
      </c>
      <c r="H2326" s="19" t="n">
        <v>2.69</v>
      </c>
      <c r="J2326" s="16" t="n">
        <v>45043</v>
      </c>
      <c r="K2326" s="19" t="n">
        <v>110.22</v>
      </c>
    </row>
    <row r="2327">
      <c r="D2327" s="16" t="n">
        <v>45044</v>
      </c>
      <c r="E2327" s="19" t="n">
        <v>4.97</v>
      </c>
      <c r="G2327" s="16" t="n">
        <v>45044</v>
      </c>
      <c r="H2327" s="19" t="n">
        <v>2.63</v>
      </c>
      <c r="J2327" s="16" t="n">
        <v>45044</v>
      </c>
      <c r="K2327" s="19" t="n">
        <v>109.84</v>
      </c>
    </row>
    <row r="2328">
      <c r="D2328" s="16" t="n">
        <v>45047</v>
      </c>
      <c r="E2328" s="19" t="n">
        <v>4.94</v>
      </c>
      <c r="G2328" s="16" t="n">
        <v>45047</v>
      </c>
      <c r="H2328" s="19" t="n">
        <v>2.68</v>
      </c>
      <c r="J2328" s="16" t="n">
        <v>45047</v>
      </c>
      <c r="K2328" s="19" t="n">
        <v>111.47</v>
      </c>
    </row>
    <row r="2329">
      <c r="D2329" s="16" t="n">
        <v>45048</v>
      </c>
      <c r="E2329" s="19" t="n">
        <v>4.93</v>
      </c>
      <c r="G2329" s="16" t="n">
        <v>45048</v>
      </c>
      <c r="H2329" s="19" t="n">
        <v>2.66</v>
      </c>
      <c r="J2329" s="16" t="n">
        <v>45048</v>
      </c>
      <c r="K2329" s="19" t="n">
        <v>111.68</v>
      </c>
    </row>
    <row r="2330">
      <c r="D2330" s="16" t="n">
        <v>45049</v>
      </c>
      <c r="E2330" s="19" t="n">
        <v>4.91</v>
      </c>
      <c r="G2330" s="16" t="n">
        <v>45049</v>
      </c>
      <c r="H2330" s="19" t="n">
        <v>2.56</v>
      </c>
      <c r="J2330" s="16" t="n">
        <v>45049</v>
      </c>
      <c r="K2330" s="19" t="n">
        <v>112.64</v>
      </c>
    </row>
    <row r="2331">
      <c r="D2331" s="16" t="n">
        <v>45050</v>
      </c>
      <c r="E2331" s="19" t="n">
        <v>4.97</v>
      </c>
      <c r="G2331" s="16" t="n">
        <v>45050</v>
      </c>
      <c r="H2331" s="19" t="n">
        <v>2.57</v>
      </c>
      <c r="J2331" s="16" t="n">
        <v>45050</v>
      </c>
      <c r="K2331" s="19" t="n">
        <v>113.37</v>
      </c>
    </row>
    <row r="2332">
      <c r="D2332" s="16" t="n">
        <v>45051</v>
      </c>
      <c r="E2332" s="19" t="n">
        <v>4.95</v>
      </c>
      <c r="G2332" s="16" t="n">
        <v>45051</v>
      </c>
      <c r="H2332" s="19" t="n">
        <v>2.55</v>
      </c>
      <c r="J2332" s="16" t="n">
        <v>45051</v>
      </c>
      <c r="K2332" s="19" t="n">
        <v>112.51</v>
      </c>
    </row>
    <row r="2333">
      <c r="D2333" s="16" t="n">
        <v>45054</v>
      </c>
      <c r="E2333" s="19" t="n">
        <v>4.93</v>
      </c>
      <c r="G2333" s="16" t="n">
        <v>45054</v>
      </c>
      <c r="H2333" s="19" t="n">
        <v>2.49</v>
      </c>
      <c r="J2333" s="16" t="n">
        <v>45054</v>
      </c>
      <c r="K2333" s="19" t="n">
        <v>111.9</v>
      </c>
    </row>
    <row r="2334">
      <c r="D2334" s="16" t="n">
        <v>45055</v>
      </c>
      <c r="E2334" s="19" t="n">
        <v>4.94</v>
      </c>
      <c r="G2334" s="16" t="n">
        <v>45055</v>
      </c>
      <c r="H2334" s="19" t="n">
        <v>2.5</v>
      </c>
      <c r="J2334" s="16" t="n">
        <v>45055</v>
      </c>
      <c r="K2334" s="19" t="n">
        <v>111.7</v>
      </c>
    </row>
    <row r="2335">
      <c r="D2335" s="16" t="n">
        <v>45056</v>
      </c>
      <c r="E2335" s="19" t="n">
        <v>5.01</v>
      </c>
      <c r="G2335" s="16" t="n">
        <v>45056</v>
      </c>
      <c r="H2335" s="19" t="n">
        <v>2.51</v>
      </c>
      <c r="J2335" s="16" t="n">
        <v>45056</v>
      </c>
      <c r="K2335" s="19" t="n">
        <v>111.9</v>
      </c>
    </row>
    <row r="2336">
      <c r="D2336" s="16" t="n">
        <v>45057</v>
      </c>
      <c r="E2336" s="19" t="n">
        <v>5.09</v>
      </c>
      <c r="G2336" s="16" t="n">
        <v>45057</v>
      </c>
      <c r="H2336" s="19" t="n">
        <v>2.44</v>
      </c>
      <c r="J2336" s="16" t="n">
        <v>45057</v>
      </c>
      <c r="K2336" s="19" t="n">
        <v>111.8</v>
      </c>
    </row>
    <row r="2337">
      <c r="D2337" s="16" t="n">
        <v>45058</v>
      </c>
      <c r="E2337" s="19" t="n">
        <v>5.13</v>
      </c>
      <c r="G2337" s="16" t="n">
        <v>45058</v>
      </c>
      <c r="H2337" s="19" t="n">
        <v>2.52</v>
      </c>
      <c r="J2337" s="16" t="n">
        <v>45058</v>
      </c>
      <c r="K2337" s="19" t="n">
        <v>110.97</v>
      </c>
    </row>
    <row r="2338">
      <c r="D2338" s="16" t="n">
        <v>45061</v>
      </c>
      <c r="E2338" s="19" t="n">
        <v>5.12</v>
      </c>
      <c r="G2338" s="16" t="n">
        <v>45061</v>
      </c>
      <c r="H2338" s="19" t="n">
        <v>2.53</v>
      </c>
      <c r="J2338" s="16" t="n">
        <v>45061</v>
      </c>
      <c r="K2338" s="19" t="n">
        <v>111.21</v>
      </c>
    </row>
    <row r="2339">
      <c r="D2339" s="16" t="n">
        <v>45062</v>
      </c>
      <c r="E2339" s="19" t="n">
        <v>5.11</v>
      </c>
      <c r="G2339" s="16" t="n">
        <v>45062</v>
      </c>
      <c r="H2339" s="19" t="n">
        <v>2.57</v>
      </c>
      <c r="J2339" s="16" t="n">
        <v>45062</v>
      </c>
      <c r="K2339" s="19" t="n">
        <v>112.02</v>
      </c>
    </row>
    <row r="2340">
      <c r="D2340" s="16" t="n">
        <v>45063</v>
      </c>
      <c r="E2340" s="19" t="n">
        <v>5.17</v>
      </c>
      <c r="G2340" s="16" t="n">
        <v>45063</v>
      </c>
      <c r="H2340" s="19" t="n">
        <v>2.51</v>
      </c>
      <c r="J2340" s="16" t="n">
        <v>45063</v>
      </c>
      <c r="K2340" s="19" t="n">
        <v>111.35</v>
      </c>
    </row>
    <row r="2341">
      <c r="D2341" s="16" t="n">
        <v>45064</v>
      </c>
      <c r="E2341" s="19" t="n">
        <v>5.17</v>
      </c>
      <c r="G2341" s="16" t="n">
        <v>45064</v>
      </c>
      <c r="H2341" s="19" t="n">
        <v>2.52</v>
      </c>
      <c r="J2341" s="16" t="n">
        <v>45064</v>
      </c>
      <c r="K2341" s="19" t="n">
        <v>111.63</v>
      </c>
    </row>
    <row r="2342">
      <c r="D2342" s="16" t="n">
        <v>45065</v>
      </c>
      <c r="E2342" s="19" t="n">
        <v>5.15</v>
      </c>
      <c r="G2342" s="16" t="n">
        <v>45065</v>
      </c>
      <c r="H2342" s="19" t="n">
        <v>2.5</v>
      </c>
      <c r="J2342" s="16" t="n">
        <v>45065</v>
      </c>
      <c r="K2342" s="19" t="n">
        <v>112.75</v>
      </c>
    </row>
    <row r="2343">
      <c r="D2343" s="16" t="n">
        <v>45068</v>
      </c>
      <c r="E2343" s="19" t="n">
        <v>5.2</v>
      </c>
      <c r="G2343" s="16" t="n">
        <v>45068</v>
      </c>
      <c r="H2343" s="19" t="n">
        <v>2.56</v>
      </c>
      <c r="J2343" s="16" t="n">
        <v>45068</v>
      </c>
      <c r="K2343" s="19" t="n">
        <v>113.4</v>
      </c>
    </row>
    <row r="2344">
      <c r="D2344" s="16" t="n">
        <v>45069</v>
      </c>
      <c r="E2344" s="19" t="n">
        <v>5.17</v>
      </c>
      <c r="G2344" s="16" t="n">
        <v>45069</v>
      </c>
      <c r="H2344" s="19" t="n">
        <v>2.64</v>
      </c>
      <c r="J2344" s="16" t="n">
        <v>45069</v>
      </c>
      <c r="K2344" s="19" t="n">
        <v>113.47</v>
      </c>
    </row>
    <row r="2345">
      <c r="D2345" s="16" t="n">
        <v>45070</v>
      </c>
      <c r="E2345" s="19" t="n">
        <v>5.17</v>
      </c>
      <c r="G2345" s="16" t="n">
        <v>45070</v>
      </c>
      <c r="H2345" s="19" t="n">
        <v>2.63</v>
      </c>
      <c r="J2345" s="16" t="n">
        <v>45070</v>
      </c>
      <c r="K2345" s="19" t="n">
        <v>113.47</v>
      </c>
    </row>
    <row r="2346">
      <c r="D2346" s="16" t="n">
        <v>45071</v>
      </c>
      <c r="E2346" s="19" t="n">
        <v>5.11</v>
      </c>
      <c r="G2346" s="16" t="n">
        <v>45071</v>
      </c>
      <c r="H2346" s="19" t="n">
        <v>2.63</v>
      </c>
      <c r="J2346" s="16" t="n">
        <v>45071</v>
      </c>
      <c r="K2346" s="19" t="n">
        <v>112.67</v>
      </c>
    </row>
    <row r="2347">
      <c r="D2347" s="16" t="n">
        <v>45072</v>
      </c>
      <c r="E2347" s="19" t="n">
        <v>5.06</v>
      </c>
      <c r="G2347" s="16" t="n">
        <v>45072</v>
      </c>
      <c r="H2347" s="19" t="n">
        <v>2.6</v>
      </c>
      <c r="J2347" s="16" t="n">
        <v>45072</v>
      </c>
      <c r="K2347" s="19" t="n">
        <v>112.47</v>
      </c>
    </row>
    <row r="2348">
      <c r="D2348" s="16" t="n">
        <v>45075</v>
      </c>
      <c r="E2348" s="19" t="n">
        <v>5.13</v>
      </c>
      <c r="G2348" s="16" t="n">
        <v>45075</v>
      </c>
      <c r="H2348" s="19" t="n">
        <v>2.63</v>
      </c>
      <c r="J2348" s="16" t="n">
        <v>45075</v>
      </c>
      <c r="K2348" s="19" t="n">
        <v>111.44</v>
      </c>
    </row>
    <row r="2349">
      <c r="D2349" s="16" t="n">
        <v>45076</v>
      </c>
      <c r="E2349" s="19" t="n">
        <v>5.15</v>
      </c>
      <c r="G2349" s="16" t="n">
        <v>45076</v>
      </c>
      <c r="H2349" s="19" t="n">
        <v>2.62</v>
      </c>
      <c r="J2349" s="16" t="n">
        <v>45076</v>
      </c>
      <c r="K2349" s="19" t="n">
        <v>111.54</v>
      </c>
    </row>
    <row r="2350">
      <c r="D2350" s="16" t="n">
        <v>45077</v>
      </c>
      <c r="E2350" s="19" t="n">
        <v>5.18</v>
      </c>
      <c r="G2350" s="16" t="n">
        <v>45077</v>
      </c>
      <c r="H2350" s="19" t="n">
        <v>2.63</v>
      </c>
      <c r="J2350" s="16" t="n">
        <v>45077</v>
      </c>
      <c r="K2350" s="19" t="n">
        <v>112.19</v>
      </c>
    </row>
    <row r="2351">
      <c r="D2351" s="16" t="n">
        <v>45078</v>
      </c>
      <c r="E2351" s="19" t="n">
        <v>5.2</v>
      </c>
      <c r="G2351" s="16" t="n">
        <v>45078</v>
      </c>
      <c r="H2351" s="19" t="n">
        <v>2.61</v>
      </c>
      <c r="J2351" s="16" t="n">
        <v>45078</v>
      </c>
      <c r="K2351" s="19" t="n">
        <v>112.71</v>
      </c>
    </row>
    <row r="2352">
      <c r="D2352" s="16" t="n">
        <v>45079</v>
      </c>
      <c r="E2352" s="19" t="n">
        <v>5.2</v>
      </c>
      <c r="G2352" s="16" t="n">
        <v>45079</v>
      </c>
      <c r="H2352" s="19" t="n">
        <v>2.66</v>
      </c>
      <c r="J2352" s="16" t="n">
        <v>45079</v>
      </c>
      <c r="K2352" s="19" t="n">
        <v>112.94</v>
      </c>
    </row>
    <row r="2353">
      <c r="D2353" s="16" t="n">
        <v>45082</v>
      </c>
      <c r="E2353" s="19" t="n">
        <v>5.08</v>
      </c>
      <c r="G2353" s="16" t="n">
        <v>45082</v>
      </c>
      <c r="H2353" s="19" t="n">
        <v>2.63</v>
      </c>
      <c r="J2353" s="16" t="n">
        <v>45082</v>
      </c>
      <c r="K2353" s="19" t="n">
        <v>112.79</v>
      </c>
    </row>
    <row r="2354">
      <c r="D2354" s="16" t="n">
        <v>45083</v>
      </c>
      <c r="E2354" s="19" t="n">
        <v>5.09</v>
      </c>
      <c r="G2354" s="16" t="n">
        <v>45083</v>
      </c>
      <c r="H2354" s="19" t="n">
        <v>2.63</v>
      </c>
      <c r="J2354" s="16" t="n">
        <v>45083</v>
      </c>
      <c r="K2354" s="19" t="n">
        <v>112.87</v>
      </c>
    </row>
    <row r="2355">
      <c r="D2355" s="16" t="n">
        <v>45084</v>
      </c>
      <c r="E2355" s="19" t="n">
        <v>5.13</v>
      </c>
      <c r="G2355" s="16" t="n">
        <v>45084</v>
      </c>
      <c r="H2355" s="19" t="n">
        <v>2.65</v>
      </c>
      <c r="J2355" s="16" t="n">
        <v>45084</v>
      </c>
      <c r="K2355" s="19" t="n">
        <v>112.91</v>
      </c>
    </row>
    <row r="2356">
      <c r="D2356" s="16" t="n">
        <v>45085</v>
      </c>
      <c r="E2356" s="19" t="n">
        <v>5.19</v>
      </c>
      <c r="G2356" s="16" t="n">
        <v>45085</v>
      </c>
      <c r="H2356" s="19" t="n">
        <v>2.69</v>
      </c>
      <c r="J2356" s="16" t="n">
        <v>45085</v>
      </c>
      <c r="K2356" s="19" t="n">
        <v>113.17</v>
      </c>
    </row>
    <row r="2357">
      <c r="D2357" s="16" t="n">
        <v>45086</v>
      </c>
      <c r="E2357" s="19" t="n">
        <v>5.15</v>
      </c>
      <c r="G2357" s="16" t="n">
        <v>45086</v>
      </c>
      <c r="H2357" s="19" t="n">
        <v>2.71</v>
      </c>
      <c r="J2357" s="16" t="n">
        <v>45086</v>
      </c>
      <c r="K2357" s="19" t="n">
        <v>113.69</v>
      </c>
    </row>
    <row r="2358">
      <c r="D2358" s="16" t="n">
        <v>45089</v>
      </c>
      <c r="E2358" s="19" t="n">
        <v>5.14</v>
      </c>
      <c r="G2358" s="16" t="n">
        <v>45089</v>
      </c>
      <c r="H2358" s="19" t="n">
        <v>2.67</v>
      </c>
      <c r="J2358" s="16" t="n">
        <v>45089</v>
      </c>
      <c r="K2358" s="19" t="n">
        <v>114.96</v>
      </c>
    </row>
    <row r="2359">
      <c r="D2359" s="16" t="n">
        <v>45090</v>
      </c>
      <c r="E2359" s="19" t="n">
        <v>5.2</v>
      </c>
      <c r="G2359" s="16" t="n">
        <v>45090</v>
      </c>
      <c r="H2359" s="19" t="n">
        <v>2.66</v>
      </c>
      <c r="J2359" s="16" t="n">
        <v>45090</v>
      </c>
      <c r="K2359" s="19" t="n">
        <v>114.36</v>
      </c>
    </row>
    <row r="2360">
      <c r="D2360" s="16" t="n">
        <v>45091</v>
      </c>
      <c r="E2360" s="19" t="n">
        <v>5.19</v>
      </c>
      <c r="G2360" s="16" t="n">
        <v>45091</v>
      </c>
      <c r="H2360" s="19" t="n">
        <v>2.68</v>
      </c>
      <c r="J2360" s="16" t="n">
        <v>45091</v>
      </c>
      <c r="K2360" s="19" t="n">
        <v>113.43</v>
      </c>
    </row>
    <row r="2361">
      <c r="D2361" s="16" t="n">
        <v>45092</v>
      </c>
      <c r="E2361" s="19" t="n">
        <v>5.12</v>
      </c>
      <c r="G2361" s="16" t="n">
        <v>45092</v>
      </c>
      <c r="H2361" s="19" t="n">
        <v>2.63</v>
      </c>
      <c r="J2361" s="16" t="n">
        <v>45092</v>
      </c>
      <c r="K2361" s="19" t="n">
        <v>114.02</v>
      </c>
    </row>
    <row r="2362">
      <c r="D2362" s="16" t="n">
        <v>45093</v>
      </c>
      <c r="E2362" s="19" t="n">
        <v>5.17</v>
      </c>
      <c r="G2362" s="16" t="n">
        <v>45093</v>
      </c>
      <c r="H2362" s="19" t="n">
        <v>2.57</v>
      </c>
      <c r="J2362" s="16" t="n">
        <v>45093</v>
      </c>
      <c r="K2362" s="19" t="n">
        <v>113.85</v>
      </c>
    </row>
    <row r="2363">
      <c r="D2363" s="16" t="n">
        <v>45096</v>
      </c>
      <c r="E2363" s="19" t="n">
        <v>5.2</v>
      </c>
      <c r="G2363" s="16" t="n">
        <v>45096</v>
      </c>
      <c r="H2363" s="19" t="n">
        <v>2.64</v>
      </c>
      <c r="J2363" s="16" t="n">
        <v>45096</v>
      </c>
      <c r="K2363" s="19" t="n">
        <v>113.94</v>
      </c>
    </row>
    <row r="2364">
      <c r="D2364" s="16" t="n">
        <v>45097</v>
      </c>
      <c r="E2364" s="19" t="n">
        <v>5.14</v>
      </c>
      <c r="G2364" s="16" t="n">
        <v>45097</v>
      </c>
      <c r="H2364" s="19" t="n">
        <v>2.67</v>
      </c>
      <c r="J2364" s="16" t="n">
        <v>45097</v>
      </c>
      <c r="K2364" s="19" t="n">
        <v>114.46</v>
      </c>
    </row>
    <row r="2365">
      <c r="D2365" s="16" t="n">
        <v>45098</v>
      </c>
      <c r="E2365" s="19" t="n">
        <v>5.19</v>
      </c>
      <c r="G2365" s="16" t="n">
        <v>45098</v>
      </c>
      <c r="H2365" s="19" t="n">
        <v>2.66</v>
      </c>
      <c r="J2365" s="16" t="n">
        <v>45098</v>
      </c>
      <c r="K2365" s="19" t="n">
        <v>113.72</v>
      </c>
    </row>
    <row r="2366">
      <c r="D2366" s="16" t="n">
        <v>45099</v>
      </c>
      <c r="E2366" s="19" t="n">
        <v>5.2</v>
      </c>
      <c r="G2366" s="16" t="n">
        <v>45099</v>
      </c>
      <c r="H2366" s="19" t="n">
        <v>2.73</v>
      </c>
      <c r="J2366" s="16" t="n">
        <v>45099</v>
      </c>
      <c r="K2366" s="19" t="n">
        <v>113.2</v>
      </c>
    </row>
    <row r="2367">
      <c r="D2367" s="16" t="n">
        <v>45100</v>
      </c>
      <c r="E2367" s="19" t="n">
        <v>5.2</v>
      </c>
      <c r="G2367" s="16" t="n">
        <v>45100</v>
      </c>
      <c r="H2367" s="19" t="n">
        <v>2.7</v>
      </c>
      <c r="J2367" s="16" t="n">
        <v>45100</v>
      </c>
      <c r="K2367" s="19" t="n">
        <v>113.37</v>
      </c>
    </row>
    <row r="2368">
      <c r="D2368" s="16" t="n">
        <v>45103</v>
      </c>
      <c r="E2368" s="19" t="n">
        <v>5.2</v>
      </c>
      <c r="G2368" s="16" t="n">
        <v>45103</v>
      </c>
      <c r="H2368" s="19" t="n">
        <v>2.69</v>
      </c>
      <c r="J2368" s="16" t="n">
        <v>45103</v>
      </c>
      <c r="K2368" s="19" t="n">
        <v>114.41</v>
      </c>
    </row>
    <row r="2369">
      <c r="D2369" s="16" t="n">
        <v>45104</v>
      </c>
      <c r="E2369" s="19" t="n">
        <v>5.14</v>
      </c>
      <c r="G2369" s="16" t="n">
        <v>45104</v>
      </c>
      <c r="H2369" s="19" t="n">
        <v>2.7</v>
      </c>
      <c r="J2369" s="16" t="n">
        <v>45104</v>
      </c>
      <c r="K2369" s="19" t="n">
        <v>115.24</v>
      </c>
    </row>
    <row r="2370">
      <c r="D2370" s="16" t="n">
        <v>45105</v>
      </c>
      <c r="E2370" s="19" t="n">
        <v>5.14</v>
      </c>
      <c r="G2370" s="16" t="n">
        <v>45105</v>
      </c>
      <c r="H2370" s="19" t="n">
        <v>2.69</v>
      </c>
      <c r="J2370" s="16" t="n">
        <v>45105</v>
      </c>
      <c r="K2370" s="19" t="n">
        <v>115.37</v>
      </c>
    </row>
    <row r="2371">
      <c r="D2371" s="16" t="n">
        <v>45106</v>
      </c>
      <c r="E2371" s="19" t="n">
        <v>5.15</v>
      </c>
      <c r="G2371" s="16" t="n">
        <v>45106</v>
      </c>
      <c r="H2371" s="19" t="n">
        <v>2.72</v>
      </c>
      <c r="J2371" s="16" t="n">
        <v>45106</v>
      </c>
      <c r="K2371" s="19" t="n">
        <v>115.6</v>
      </c>
    </row>
    <row r="2372">
      <c r="D2372" s="16" t="n">
        <v>45107</v>
      </c>
      <c r="E2372" s="19" t="n">
        <v>5.2</v>
      </c>
      <c r="G2372" s="16" t="n">
        <v>45107</v>
      </c>
      <c r="H2372" s="19" t="n">
        <v>2.7</v>
      </c>
      <c r="J2372" s="16" t="n">
        <v>45107</v>
      </c>
      <c r="K2372" s="19" t="n">
        <v>115.84</v>
      </c>
    </row>
    <row r="2373">
      <c r="D2373" s="16" t="n">
        <v>45110</v>
      </c>
      <c r="E2373" s="19" t="n">
        <v>5.2</v>
      </c>
      <c r="G2373" s="16" t="n">
        <v>45110</v>
      </c>
      <c r="H2373" s="19" t="n">
        <v>2.66</v>
      </c>
      <c r="J2373" s="16" t="n">
        <v>45110</v>
      </c>
      <c r="K2373" s="19" t="n">
        <v>115.46</v>
      </c>
    </row>
    <row r="2374">
      <c r="D2374" s="16" t="n">
        <v>45111</v>
      </c>
      <c r="E2374" s="19" t="inlineStr">
        <is>
          <t>.</t>
        </is>
      </c>
      <c r="G2374" s="16" t="n">
        <v>45111</v>
      </c>
      <c r="H2374" s="19" t="inlineStr">
        <is>
          <t>.</t>
        </is>
      </c>
      <c r="J2374" s="16" t="n">
        <v>45111</v>
      </c>
      <c r="K2374" s="19" t="inlineStr">
        <is>
          <t>.</t>
        </is>
      </c>
    </row>
    <row r="2375">
      <c r="D2375" s="16" t="n">
        <v>45112</v>
      </c>
      <c r="E2375" s="19" t="n">
        <v>5.19</v>
      </c>
      <c r="G2375" s="16" t="n">
        <v>45112</v>
      </c>
      <c r="H2375" s="19" t="n">
        <v>2.77</v>
      </c>
      <c r="J2375" s="16" t="n">
        <v>45112</v>
      </c>
      <c r="K2375" s="19" t="n">
        <v>114.46</v>
      </c>
    </row>
    <row r="2376">
      <c r="D2376" s="16" t="n">
        <v>45113</v>
      </c>
      <c r="E2376" s="19" t="n">
        <v>5.13</v>
      </c>
      <c r="G2376" s="16" t="n">
        <v>45113</v>
      </c>
      <c r="H2376" s="19" t="n">
        <v>2.71</v>
      </c>
      <c r="J2376" s="16" t="n">
        <v>45113</v>
      </c>
      <c r="K2376" s="19" t="n">
        <v>114.6</v>
      </c>
    </row>
    <row r="2377">
      <c r="D2377" s="16" t="n">
        <v>45114</v>
      </c>
      <c r="E2377" s="19" t="n">
        <v>5.14</v>
      </c>
      <c r="G2377" s="16" t="n">
        <v>45114</v>
      </c>
      <c r="H2377" s="19" t="n">
        <v>2.61</v>
      </c>
      <c r="J2377" s="16" t="n">
        <v>45114</v>
      </c>
      <c r="K2377" s="19" t="n">
        <v>113.91</v>
      </c>
    </row>
    <row r="2378">
      <c r="D2378" s="16" t="n">
        <v>45117</v>
      </c>
      <c r="E2378" s="19" t="n">
        <v>5.11</v>
      </c>
      <c r="G2378" s="16" t="n">
        <v>45117</v>
      </c>
      <c r="H2378" s="19" t="n">
        <v>2.56</v>
      </c>
      <c r="J2378" s="16" t="n">
        <v>45117</v>
      </c>
      <c r="K2378" s="19" t="n">
        <v>113.13</v>
      </c>
    </row>
    <row r="2379">
      <c r="D2379" s="16" t="n">
        <v>45118</v>
      </c>
      <c r="E2379" s="19" t="n">
        <v>5.12</v>
      </c>
      <c r="G2379" s="16" t="n">
        <v>45118</v>
      </c>
      <c r="H2379" s="19" t="n">
        <v>2.58</v>
      </c>
      <c r="J2379" s="16" t="n">
        <v>45118</v>
      </c>
      <c r="K2379" s="19" t="n">
        <v>112.78</v>
      </c>
    </row>
    <row r="2380">
      <c r="D2380" s="16" t="n">
        <v>45119</v>
      </c>
      <c r="E2380" s="19" t="n">
        <v>5.05</v>
      </c>
      <c r="G2380" s="16" t="n">
        <v>45119</v>
      </c>
      <c r="H2380" s="19" t="n">
        <v>2.54</v>
      </c>
      <c r="J2380" s="16" t="n">
        <v>45119</v>
      </c>
      <c r="K2380" s="19" t="n">
        <v>114.21</v>
      </c>
    </row>
    <row r="2381">
      <c r="D2381" s="16" t="n">
        <v>45120</v>
      </c>
      <c r="E2381" s="19" t="n">
        <v>5.03</v>
      </c>
      <c r="G2381" s="16" t="n">
        <v>45120</v>
      </c>
      <c r="H2381" s="19" t="n">
        <v>2.61</v>
      </c>
      <c r="J2381" s="16" t="n">
        <v>45120</v>
      </c>
      <c r="K2381" s="19" t="n">
        <v>114.82</v>
      </c>
    </row>
    <row r="2382">
      <c r="D2382" s="16" t="n">
        <v>45121</v>
      </c>
      <c r="E2382" s="19" t="n">
        <v>4.94</v>
      </c>
      <c r="G2382" s="16" t="n">
        <v>45121</v>
      </c>
      <c r="H2382" s="19" t="n">
        <v>2.68</v>
      </c>
      <c r="J2382" s="16" t="n">
        <v>45121</v>
      </c>
      <c r="K2382" s="19" t="n">
        <v>115</v>
      </c>
    </row>
    <row r="2383">
      <c r="D2383" s="16" t="n">
        <v>45124</v>
      </c>
      <c r="E2383" s="19" t="n">
        <v>4.94</v>
      </c>
      <c r="G2383" s="16" t="n">
        <v>45124</v>
      </c>
      <c r="H2383" s="19" t="n">
        <v>2.64</v>
      </c>
      <c r="J2383" s="16" t="n">
        <v>45124</v>
      </c>
      <c r="K2383" s="19" t="n">
        <v>116.6</v>
      </c>
    </row>
    <row r="2384">
      <c r="D2384" s="16" t="n">
        <v>45125</v>
      </c>
      <c r="E2384" s="19" t="n">
        <v>4.93</v>
      </c>
      <c r="G2384" s="16" t="n">
        <v>45125</v>
      </c>
      <c r="H2384" s="19" t="n">
        <v>2.66</v>
      </c>
      <c r="J2384" s="16" t="n">
        <v>45125</v>
      </c>
      <c r="K2384" s="19" t="n">
        <v>118.26</v>
      </c>
    </row>
    <row r="2385">
      <c r="D2385" s="16" t="n">
        <v>45126</v>
      </c>
      <c r="E2385" s="19" t="n">
        <v>4.92</v>
      </c>
      <c r="G2385" s="16" t="n">
        <v>45126</v>
      </c>
      <c r="H2385" s="19" t="n">
        <v>2.64</v>
      </c>
      <c r="J2385" s="16" t="n">
        <v>45126</v>
      </c>
      <c r="K2385" s="19" t="n">
        <v>118.24</v>
      </c>
    </row>
    <row r="2386">
      <c r="D2386" s="16" t="n">
        <v>45127</v>
      </c>
      <c r="E2386" s="19" t="n">
        <v>4.88</v>
      </c>
      <c r="G2386" s="16" t="n">
        <v>45127</v>
      </c>
      <c r="H2386" s="19" t="n">
        <v>2.6</v>
      </c>
      <c r="J2386" s="16" t="n">
        <v>45127</v>
      </c>
      <c r="K2386" s="19" t="n">
        <v>118.37</v>
      </c>
    </row>
    <row r="2387">
      <c r="D2387" s="16" t="n">
        <v>45128</v>
      </c>
      <c r="E2387" s="19" t="n">
        <v>4.86</v>
      </c>
      <c r="G2387" s="16" t="n">
        <v>45128</v>
      </c>
      <c r="H2387" s="19" t="n">
        <v>2.57</v>
      </c>
      <c r="J2387" s="16" t="n">
        <v>45128</v>
      </c>
      <c r="K2387" s="19" t="n">
        <v>118.59</v>
      </c>
    </row>
    <row r="2388">
      <c r="D2388" s="16" t="n">
        <v>45131</v>
      </c>
      <c r="E2388" s="19" t="n">
        <v>4.84</v>
      </c>
      <c r="G2388" s="16" t="n">
        <v>45131</v>
      </c>
      <c r="H2388" s="19" t="n">
        <v>2.54</v>
      </c>
      <c r="J2388" s="16" t="n">
        <v>45131</v>
      </c>
      <c r="K2388" s="19" t="n">
        <v>119.06</v>
      </c>
    </row>
    <row r="2389">
      <c r="D2389" s="16" t="n">
        <v>45132</v>
      </c>
      <c r="E2389" s="19" t="n">
        <v>4.8</v>
      </c>
      <c r="G2389" s="16" t="n">
        <v>45132</v>
      </c>
      <c r="H2389" s="19" t="n">
        <v>2.54</v>
      </c>
      <c r="J2389" s="16" t="n">
        <v>45132</v>
      </c>
      <c r="K2389" s="19" t="n">
        <v>118.28</v>
      </c>
    </row>
    <row r="2390">
      <c r="D2390" s="16" t="n">
        <v>45133</v>
      </c>
      <c r="E2390" s="19" t="n">
        <v>4.86</v>
      </c>
      <c r="G2390" s="16" t="n">
        <v>45133</v>
      </c>
      <c r="H2390" s="19" t="n">
        <v>2.5</v>
      </c>
      <c r="J2390" s="16" t="n">
        <v>45133</v>
      </c>
      <c r="K2390" s="19" t="n">
        <v>118.8</v>
      </c>
    </row>
    <row r="2391">
      <c r="D2391" s="16" t="n">
        <v>45134</v>
      </c>
      <c r="E2391" s="19" t="n">
        <v>4.88</v>
      </c>
      <c r="G2391" s="16" t="n">
        <v>45134</v>
      </c>
      <c r="H2391" s="19" t="n">
        <v>2.48</v>
      </c>
      <c r="J2391" s="16" t="n">
        <v>45134</v>
      </c>
      <c r="K2391" s="19" t="n">
        <v>117.99</v>
      </c>
    </row>
    <row r="2392">
      <c r="D2392" s="16" t="n">
        <v>45135</v>
      </c>
      <c r="E2392" s="19" t="n">
        <v>4.88</v>
      </c>
      <c r="G2392" s="16" t="n">
        <v>45135</v>
      </c>
      <c r="H2392" s="19" t="n">
        <v>2.43</v>
      </c>
      <c r="J2392" s="16" t="n">
        <v>45135</v>
      </c>
      <c r="K2392" s="19" t="n">
        <v>118.93</v>
      </c>
    </row>
    <row r="2393">
      <c r="D2393" s="16" t="n">
        <v>45138</v>
      </c>
      <c r="E2393" s="19" t="n">
        <v>4.85</v>
      </c>
      <c r="G2393" s="16" t="n">
        <v>45138</v>
      </c>
      <c r="H2393" s="19" t="n">
        <v>2.44</v>
      </c>
      <c r="J2393" s="16" t="n">
        <v>45138</v>
      </c>
      <c r="K2393" s="19" t="n">
        <v>118.98</v>
      </c>
    </row>
    <row r="2394">
      <c r="D2394" s="16" t="n">
        <v>45139</v>
      </c>
      <c r="E2394" s="19" t="n">
        <v>4.87</v>
      </c>
      <c r="G2394" s="16" t="n">
        <v>45139</v>
      </c>
      <c r="H2394" s="19" t="n">
        <v>2.48</v>
      </c>
      <c r="J2394" s="16" t="n">
        <v>45139</v>
      </c>
      <c r="K2394" s="19" t="n">
        <v>119.71</v>
      </c>
    </row>
    <row r="2395">
      <c r="D2395" s="16" t="n">
        <v>45140</v>
      </c>
      <c r="E2395" s="19" t="n">
        <v>4.85</v>
      </c>
      <c r="G2395" s="16" t="n">
        <v>45140</v>
      </c>
      <c r="H2395" s="19" t="n">
        <v>2.52</v>
      </c>
      <c r="J2395" s="16" t="n">
        <v>45140</v>
      </c>
      <c r="K2395" s="19" t="n">
        <v>119.13</v>
      </c>
    </row>
    <row r="2396">
      <c r="D2396" s="16" t="n">
        <v>45141</v>
      </c>
      <c r="E2396" s="19" t="n">
        <v>4.83</v>
      </c>
      <c r="G2396" s="16" t="n">
        <v>45141</v>
      </c>
      <c r="H2396" s="19" t="n">
        <v>2.56</v>
      </c>
      <c r="J2396" s="16" t="n">
        <v>45141</v>
      </c>
      <c r="K2396" s="19" t="n">
        <v>119.57</v>
      </c>
    </row>
    <row r="2397">
      <c r="D2397" s="16" t="n">
        <v>45142</v>
      </c>
      <c r="E2397" s="19" t="n">
        <v>4.76</v>
      </c>
      <c r="G2397" s="16" t="n">
        <v>45142</v>
      </c>
      <c r="H2397" s="19" t="n">
        <v>2.56</v>
      </c>
      <c r="J2397" s="16" t="n">
        <v>45142</v>
      </c>
      <c r="K2397" s="19" t="n">
        <v>120.37</v>
      </c>
    </row>
    <row r="2398">
      <c r="D2398" s="16" t="n">
        <v>45145</v>
      </c>
      <c r="E2398" s="19" t="n">
        <v>4.83</v>
      </c>
      <c r="G2398" s="16" t="n">
        <v>45145</v>
      </c>
      <c r="H2398" s="19" t="n">
        <v>2.55</v>
      </c>
      <c r="J2398" s="16" t="n">
        <v>45145</v>
      </c>
      <c r="K2398" s="19" t="n">
        <v>120.13</v>
      </c>
    </row>
    <row r="2399">
      <c r="D2399" s="16" t="n">
        <v>45146</v>
      </c>
      <c r="E2399" s="19" t="n">
        <v>4.83</v>
      </c>
      <c r="G2399" s="16" t="n">
        <v>45146</v>
      </c>
      <c r="H2399" s="19" t="n">
        <v>2.51</v>
      </c>
      <c r="J2399" s="16" t="n">
        <v>45146</v>
      </c>
      <c r="K2399" s="19" t="n">
        <v>120.01</v>
      </c>
    </row>
    <row r="2400">
      <c r="D2400" s="16" t="n">
        <v>45147</v>
      </c>
      <c r="E2400" s="19" t="n">
        <v>4.86</v>
      </c>
      <c r="G2400" s="16" t="n">
        <v>45147</v>
      </c>
      <c r="H2400" s="19" t="n">
        <v>2.48</v>
      </c>
      <c r="J2400" s="16" t="n">
        <v>45147</v>
      </c>
      <c r="K2400" s="19" t="n">
        <v>121.06</v>
      </c>
    </row>
    <row r="2401">
      <c r="D2401" s="16" t="n">
        <v>45148</v>
      </c>
      <c r="E2401" s="19" t="n">
        <v>4.84</v>
      </c>
      <c r="G2401" s="16" t="n">
        <v>45148</v>
      </c>
      <c r="H2401" s="19" t="n">
        <v>2.49</v>
      </c>
      <c r="J2401" s="16" t="n">
        <v>45148</v>
      </c>
      <c r="K2401" s="19" t="n">
        <v>121.49</v>
      </c>
    </row>
    <row r="2402">
      <c r="D2402" s="16" t="n">
        <v>45149</v>
      </c>
      <c r="E2402" s="19" t="n">
        <v>4.88</v>
      </c>
      <c r="G2402" s="16" t="n">
        <v>45149</v>
      </c>
      <c r="H2402" s="19" t="n">
        <v>2.47</v>
      </c>
      <c r="J2402" s="16" t="n">
        <v>45149</v>
      </c>
      <c r="K2402" s="19" t="n">
        <v>121.98</v>
      </c>
    </row>
    <row r="2403">
      <c r="D2403" s="16" t="n">
        <v>45152</v>
      </c>
      <c r="E2403" s="19" t="n">
        <v>4.93</v>
      </c>
      <c r="G2403" s="16" t="n">
        <v>45152</v>
      </c>
      <c r="H2403" s="19" t="n">
        <v>2.48</v>
      </c>
      <c r="J2403" s="16" t="n">
        <v>45152</v>
      </c>
      <c r="K2403" s="19" t="n">
        <v>122.72</v>
      </c>
    </row>
    <row r="2404">
      <c r="D2404" s="16" t="n">
        <v>45153</v>
      </c>
      <c r="E2404" s="19" t="n">
        <v>4.98</v>
      </c>
      <c r="G2404" s="16" t="n">
        <v>45153</v>
      </c>
      <c r="H2404" s="19" t="n">
        <v>2.44</v>
      </c>
      <c r="J2404" s="16" t="n">
        <v>45153</v>
      </c>
      <c r="K2404" s="19" t="n">
        <v>123.58</v>
      </c>
    </row>
    <row r="2405">
      <c r="D2405" s="16" t="n">
        <v>45154</v>
      </c>
      <c r="E2405" s="19" t="n">
        <v>4.94</v>
      </c>
      <c r="G2405" s="16" t="n">
        <v>45154</v>
      </c>
      <c r="H2405" s="19" t="n">
        <v>2.44</v>
      </c>
      <c r="J2405" s="16" t="n">
        <v>45154</v>
      </c>
      <c r="K2405" s="19" t="n">
        <v>124.37</v>
      </c>
    </row>
    <row r="2406">
      <c r="D2406" s="16" t="n">
        <v>45155</v>
      </c>
      <c r="E2406" s="19" t="n">
        <v>5.01</v>
      </c>
      <c r="G2406" s="16" t="n">
        <v>45155</v>
      </c>
      <c r="H2406" s="19" t="n">
        <v>2.46</v>
      </c>
      <c r="J2406" s="16" t="n">
        <v>45155</v>
      </c>
      <c r="K2406" s="19" t="n">
        <v>124.23</v>
      </c>
    </row>
    <row r="2407">
      <c r="D2407" s="16" t="n">
        <v>45156</v>
      </c>
      <c r="E2407" s="19" t="n">
        <v>5.01</v>
      </c>
      <c r="G2407" s="16" t="n">
        <v>45156</v>
      </c>
      <c r="H2407" s="19" t="n">
        <v>2.47</v>
      </c>
      <c r="J2407" s="16" t="n">
        <v>45156</v>
      </c>
      <c r="K2407" s="19" t="n">
        <v>123.9</v>
      </c>
    </row>
    <row r="2408">
      <c r="D2408" s="16" t="n">
        <v>45159</v>
      </c>
      <c r="E2408" s="19" t="n">
        <v>4.97</v>
      </c>
      <c r="G2408" s="16" t="n">
        <v>45159</v>
      </c>
      <c r="H2408" s="19" t="n">
        <v>2.45</v>
      </c>
      <c r="J2408" s="16" t="n">
        <v>45159</v>
      </c>
      <c r="K2408" s="19" t="n">
        <v>124.09</v>
      </c>
    </row>
    <row r="2409">
      <c r="D2409" s="16" t="n">
        <v>45160</v>
      </c>
      <c r="E2409" s="19" t="n">
        <v>5.01</v>
      </c>
      <c r="G2409" s="16" t="n">
        <v>45160</v>
      </c>
      <c r="H2409" s="19" t="n">
        <v>2.32</v>
      </c>
      <c r="J2409" s="16" t="n">
        <v>45160</v>
      </c>
      <c r="K2409" s="19" t="n">
        <v>124.12</v>
      </c>
    </row>
    <row r="2410">
      <c r="D2410" s="16" t="n">
        <v>45161</v>
      </c>
      <c r="E2410" s="19" t="n">
        <v>5.03</v>
      </c>
      <c r="G2410" s="16" t="n">
        <v>45161</v>
      </c>
      <c r="H2410" s="19" t="n">
        <v>2.32</v>
      </c>
      <c r="J2410" s="16" t="n">
        <v>45161</v>
      </c>
      <c r="K2410" s="19" t="n">
        <v>123.96</v>
      </c>
    </row>
    <row r="2411">
      <c r="D2411" s="16" t="n">
        <v>45162</v>
      </c>
      <c r="E2411" s="19" t="n">
        <v>4.98</v>
      </c>
      <c r="G2411" s="16" t="n">
        <v>45162</v>
      </c>
      <c r="H2411" s="19" t="n">
        <v>2.3</v>
      </c>
      <c r="J2411" s="16" t="n">
        <v>45162</v>
      </c>
      <c r="K2411" s="19" t="n">
        <v>124.16</v>
      </c>
    </row>
    <row r="2412">
      <c r="D2412" s="16" t="n">
        <v>45163</v>
      </c>
      <c r="E2412" s="19" t="n">
        <v>4.99</v>
      </c>
      <c r="G2412" s="16" t="n">
        <v>45163</v>
      </c>
      <c r="H2412" s="19" t="n">
        <v>2.33</v>
      </c>
      <c r="J2412" s="16" t="n">
        <v>45163</v>
      </c>
      <c r="K2412" s="19" t="n">
        <v>123.84</v>
      </c>
    </row>
    <row r="2413">
      <c r="D2413" s="16" t="n">
        <v>45166</v>
      </c>
      <c r="E2413" s="19" t="n">
        <v>5.01</v>
      </c>
      <c r="G2413" s="16" t="n">
        <v>45166</v>
      </c>
      <c r="H2413" s="19" t="n">
        <v>2.29</v>
      </c>
      <c r="J2413" s="16" t="n">
        <v>45166</v>
      </c>
      <c r="K2413" s="19" t="n">
        <v>123.75</v>
      </c>
    </row>
    <row r="2414">
      <c r="D2414" s="16" t="n">
        <v>45167</v>
      </c>
      <c r="E2414" s="19" t="n">
        <v>4.95</v>
      </c>
      <c r="G2414" s="16" t="n">
        <v>45167</v>
      </c>
      <c r="H2414" s="19" t="n">
        <v>2.23</v>
      </c>
      <c r="J2414" s="16" t="n">
        <v>45167</v>
      </c>
      <c r="K2414" s="19" t="n">
        <v>123.3</v>
      </c>
    </row>
    <row r="2415">
      <c r="D2415" s="16" t="n">
        <v>45168</v>
      </c>
      <c r="E2415" s="19" t="n">
        <v>4.92</v>
      </c>
      <c r="G2415" s="16" t="n">
        <v>45168</v>
      </c>
      <c r="H2415" s="19" t="n">
        <v>2.25</v>
      </c>
      <c r="J2415" s="16" t="n">
        <v>45168</v>
      </c>
      <c r="K2415" s="19" t="n">
        <v>122.08</v>
      </c>
    </row>
    <row r="2416">
      <c r="D2416" s="16" t="n">
        <v>45169</v>
      </c>
      <c r="E2416" s="19" t="n">
        <v>4.85</v>
      </c>
      <c r="G2416" s="16" t="n">
        <v>45169</v>
      </c>
      <c r="H2416" s="19" t="n">
        <v>2.22</v>
      </c>
      <c r="J2416" s="16" t="n">
        <v>45169</v>
      </c>
      <c r="K2416" s="19" t="n">
        <v>122.91</v>
      </c>
    </row>
    <row r="2417">
      <c r="D2417" s="16" t="n">
        <v>45170</v>
      </c>
      <c r="E2417" s="19" t="n">
        <v>4.76</v>
      </c>
      <c r="G2417" s="16" t="n">
        <v>45170</v>
      </c>
      <c r="H2417" s="19" t="n">
        <v>2.25</v>
      </c>
      <c r="J2417" s="16" t="n">
        <v>45170</v>
      </c>
      <c r="K2417" s="19" t="n">
        <v>122.53</v>
      </c>
    </row>
    <row r="2418">
      <c r="D2418" s="16" t="n">
        <v>45173</v>
      </c>
      <c r="E2418" s="19" t="n">
        <v>4.77</v>
      </c>
      <c r="G2418" s="16" t="n">
        <v>45173</v>
      </c>
      <c r="H2418" s="19" t="n">
        <v>2.21</v>
      </c>
      <c r="J2418" s="16" t="n">
        <v>45173</v>
      </c>
      <c r="K2418" s="19" t="n">
        <v>123.32</v>
      </c>
    </row>
    <row r="2419">
      <c r="D2419" s="16" t="n">
        <v>45174</v>
      </c>
      <c r="E2419" s="19" t="n">
        <v>4.74</v>
      </c>
      <c r="G2419" s="16" t="n">
        <v>45174</v>
      </c>
      <c r="H2419" s="19" t="n">
        <v>2.22</v>
      </c>
      <c r="J2419" s="16" t="n">
        <v>45174</v>
      </c>
      <c r="K2419" s="19" t="n">
        <v>123.3</v>
      </c>
    </row>
    <row r="2420">
      <c r="D2420" s="16" t="n">
        <v>45175</v>
      </c>
      <c r="E2420" s="19" t="n">
        <v>4.75</v>
      </c>
      <c r="G2420" s="16" t="n">
        <v>45175</v>
      </c>
      <c r="H2420" s="19" t="n">
        <v>2.2</v>
      </c>
      <c r="J2420" s="16" t="n">
        <v>45175</v>
      </c>
      <c r="K2420" s="19" t="n">
        <v>123.58</v>
      </c>
    </row>
    <row r="2421">
      <c r="D2421" s="16" t="n">
        <v>45176</v>
      </c>
      <c r="E2421" s="19" t="n">
        <v>4.72</v>
      </c>
      <c r="G2421" s="16" t="n">
        <v>45176</v>
      </c>
      <c r="H2421" s="19" t="n">
        <v>2.17</v>
      </c>
      <c r="J2421" s="16" t="n">
        <v>45176</v>
      </c>
      <c r="K2421" s="19" t="n">
        <v>123.06</v>
      </c>
    </row>
    <row r="2422">
      <c r="D2422" s="16" t="n">
        <v>45177</v>
      </c>
      <c r="E2422" s="19" t="n">
        <v>4.72</v>
      </c>
      <c r="G2422" s="16" t="n">
        <v>45177</v>
      </c>
      <c r="H2422" s="19" t="n">
        <v>2.23</v>
      </c>
      <c r="J2422" s="16" t="n">
        <v>45177</v>
      </c>
      <c r="K2422" s="19" t="n">
        <v>123.8</v>
      </c>
    </row>
    <row r="2423">
      <c r="D2423" s="16" t="n">
        <v>45180</v>
      </c>
      <c r="E2423" s="19" t="n">
        <v>4.71</v>
      </c>
      <c r="G2423" s="16" t="n">
        <v>45180</v>
      </c>
      <c r="H2423" s="19" t="n">
        <v>2.21</v>
      </c>
      <c r="J2423" s="16" t="n">
        <v>45180</v>
      </c>
      <c r="K2423" s="19" t="n">
        <v>124.09</v>
      </c>
    </row>
    <row r="2424">
      <c r="D2424" s="16" t="n">
        <v>45181</v>
      </c>
      <c r="E2424" s="19" t="n">
        <v>4.67</v>
      </c>
      <c r="G2424" s="16" t="n">
        <v>45181</v>
      </c>
      <c r="H2424" s="19" t="n">
        <v>2.11</v>
      </c>
      <c r="J2424" s="16" t="n">
        <v>45181</v>
      </c>
      <c r="K2424" s="19" t="n">
        <v>124.68</v>
      </c>
    </row>
    <row r="2425">
      <c r="D2425" s="16" t="n">
        <v>45182</v>
      </c>
      <c r="E2425" s="19" t="n">
        <v>4.69</v>
      </c>
      <c r="G2425" s="16" t="n">
        <v>45182</v>
      </c>
      <c r="H2425" s="19" t="n">
        <v>2.14</v>
      </c>
      <c r="J2425" s="16" t="n">
        <v>45182</v>
      </c>
      <c r="K2425" s="19" t="n">
        <v>125.37</v>
      </c>
    </row>
    <row r="2426">
      <c r="D2426" s="16" t="n">
        <v>45183</v>
      </c>
      <c r="E2426" s="19" t="n">
        <v>4.57</v>
      </c>
      <c r="G2426" s="16" t="n">
        <v>45183</v>
      </c>
      <c r="H2426" s="19" t="n">
        <v>2.2</v>
      </c>
      <c r="J2426" s="16" t="n">
        <v>45183</v>
      </c>
      <c r="K2426" s="19" t="n">
        <v>125.97</v>
      </c>
    </row>
    <row r="2427">
      <c r="D2427" s="16" t="n">
        <v>45184</v>
      </c>
      <c r="E2427" s="19" t="n">
        <v>4.53</v>
      </c>
      <c r="G2427" s="16" t="n">
        <v>45184</v>
      </c>
      <c r="H2427" s="19" t="n">
        <v>2.16</v>
      </c>
      <c r="J2427" s="16" t="n">
        <v>45184</v>
      </c>
      <c r="K2427" s="19" t="n">
        <v>125.91</v>
      </c>
    </row>
    <row r="2428">
      <c r="D2428" s="16" t="n">
        <v>45187</v>
      </c>
      <c r="E2428" s="19" t="n">
        <v>4.58</v>
      </c>
      <c r="G2428" s="16" t="n">
        <v>45187</v>
      </c>
      <c r="H2428" s="19" t="n">
        <v>2.19</v>
      </c>
      <c r="J2428" s="16" t="n">
        <v>45187</v>
      </c>
      <c r="K2428" s="19" t="n">
        <v>125.76</v>
      </c>
    </row>
    <row r="2429">
      <c r="D2429" s="16" t="n">
        <v>45188</v>
      </c>
      <c r="E2429" s="19" t="n">
        <v>4.69</v>
      </c>
      <c r="G2429" s="16" t="n">
        <v>45188</v>
      </c>
      <c r="H2429" s="19" t="n">
        <v>2.26</v>
      </c>
      <c r="J2429" s="16" t="n">
        <v>45188</v>
      </c>
      <c r="K2429" s="19" t="n">
        <v>127.42</v>
      </c>
    </row>
    <row r="2430">
      <c r="D2430" s="16" t="n">
        <v>45189</v>
      </c>
      <c r="E2430" s="19" t="n">
        <v>4.69</v>
      </c>
      <c r="G2430" s="16" t="n">
        <v>45189</v>
      </c>
      <c r="H2430" s="19" t="n">
        <v>2.28</v>
      </c>
      <c r="J2430" s="16" t="n">
        <v>45189</v>
      </c>
      <c r="K2430" s="19" t="n">
        <v>126.93</v>
      </c>
    </row>
    <row r="2431">
      <c r="D2431" s="16" t="n">
        <v>45190</v>
      </c>
      <c r="E2431" s="19" t="n">
        <v>4.75</v>
      </c>
      <c r="G2431" s="16" t="n">
        <v>45190</v>
      </c>
      <c r="H2431" s="19" t="n">
        <v>2.3</v>
      </c>
      <c r="J2431" s="16" t="n">
        <v>45190</v>
      </c>
      <c r="K2431" s="19" t="n">
        <v>127.28</v>
      </c>
    </row>
    <row r="2432">
      <c r="D2432" s="16" t="n">
        <v>45191</v>
      </c>
      <c r="E2432" s="19" t="n">
        <v>4.74</v>
      </c>
      <c r="G2432" s="16" t="n">
        <v>45191</v>
      </c>
      <c r="H2432" s="19" t="n">
        <v>2.27</v>
      </c>
      <c r="J2432" s="16" t="n">
        <v>45191</v>
      </c>
      <c r="K2432" s="19" t="n">
        <v>127.69</v>
      </c>
    </row>
    <row r="2433">
      <c r="D2433" s="16" t="n">
        <v>45194</v>
      </c>
      <c r="E2433" s="19" t="n">
        <v>4.68</v>
      </c>
      <c r="G2433" s="16" t="n">
        <v>45194</v>
      </c>
      <c r="H2433" s="19" t="n">
        <v>2.26</v>
      </c>
      <c r="J2433" s="16" t="n">
        <v>45194</v>
      </c>
      <c r="K2433" s="19" t="n">
        <v>127.55</v>
      </c>
    </row>
    <row r="2434">
      <c r="D2434" s="16" t="n">
        <v>45195</v>
      </c>
      <c r="E2434" s="19" t="n">
        <v>4.67</v>
      </c>
      <c r="G2434" s="16" t="n">
        <v>45195</v>
      </c>
      <c r="H2434" s="19" t="n">
        <v>2.21</v>
      </c>
      <c r="J2434" s="16" t="n">
        <v>45195</v>
      </c>
      <c r="K2434" s="19" t="n">
        <v>127.2</v>
      </c>
    </row>
    <row r="2435">
      <c r="D2435" s="16" t="n">
        <v>45196</v>
      </c>
      <c r="E2435" s="19" t="n">
        <v>4.71</v>
      </c>
      <c r="G2435" s="16" t="n">
        <v>45196</v>
      </c>
      <c r="H2435" s="19" t="n">
        <v>2.17</v>
      </c>
      <c r="J2435" s="16" t="n">
        <v>45196</v>
      </c>
      <c r="K2435" s="19" t="n">
        <v>127.35</v>
      </c>
    </row>
    <row r="2436">
      <c r="D2436" s="16" t="n">
        <v>45197</v>
      </c>
      <c r="E2436" s="19" t="n">
        <v>4.75</v>
      </c>
      <c r="G2436" s="16" t="n">
        <v>45197</v>
      </c>
      <c r="H2436" s="19" t="n">
        <v>2.17</v>
      </c>
      <c r="J2436" s="16" t="n">
        <v>45197</v>
      </c>
      <c r="K2436" s="19" t="n">
        <v>126.2</v>
      </c>
    </row>
    <row r="2437">
      <c r="D2437" s="16" t="n">
        <v>45198</v>
      </c>
      <c r="E2437" s="19" t="n">
        <v>4.73</v>
      </c>
      <c r="G2437" s="16" t="n">
        <v>45198</v>
      </c>
      <c r="H2437" s="19" t="n">
        <v>2.17</v>
      </c>
      <c r="J2437" s="16" t="n">
        <v>45198</v>
      </c>
      <c r="K2437" s="19" t="n">
        <v>126.14</v>
      </c>
    </row>
    <row r="2438">
      <c r="D2438" s="16" t="n">
        <v>45201</v>
      </c>
      <c r="E2438" s="19" t="n">
        <v>4.79</v>
      </c>
      <c r="G2438" s="16" t="n">
        <v>45201</v>
      </c>
      <c r="H2438" s="19" t="n">
        <v>2.1</v>
      </c>
      <c r="J2438" s="16" t="n">
        <v>45201</v>
      </c>
      <c r="K2438" s="19" t="n">
        <v>125.71</v>
      </c>
    </row>
    <row r="2439">
      <c r="D2439" s="16" t="n">
        <v>45202</v>
      </c>
      <c r="E2439" s="19" t="n">
        <v>4.83</v>
      </c>
      <c r="G2439" s="16" t="n">
        <v>45202</v>
      </c>
      <c r="H2439" s="19" t="n">
        <v>2.04</v>
      </c>
      <c r="J2439" s="16" t="n">
        <v>45202</v>
      </c>
      <c r="K2439" s="19" t="n">
        <v>126.58</v>
      </c>
    </row>
    <row r="2440">
      <c r="D2440" s="16" t="n">
        <v>45203</v>
      </c>
      <c r="E2440" s="19" t="n">
        <v>4.77</v>
      </c>
      <c r="G2440" s="16" t="n">
        <v>45203</v>
      </c>
      <c r="H2440" s="19" t="n">
        <v>2.01</v>
      </c>
      <c r="J2440" s="16" t="n">
        <v>45203</v>
      </c>
      <c r="K2440" s="19" t="n">
        <v>126.71</v>
      </c>
    </row>
    <row r="2441">
      <c r="D2441" s="16" t="n">
        <v>45204</v>
      </c>
      <c r="E2441" s="19" t="n">
        <v>4.83</v>
      </c>
      <c r="G2441" s="16" t="n">
        <v>45204</v>
      </c>
      <c r="H2441" s="19" t="n">
        <v>2.02</v>
      </c>
      <c r="J2441" s="16" t="n">
        <v>45204</v>
      </c>
      <c r="K2441" s="19" t="n">
        <v>126.04</v>
      </c>
    </row>
    <row r="2442">
      <c r="D2442" s="16" t="n">
        <v>45205</v>
      </c>
      <c r="E2442" s="19" t="n">
        <v>4.86</v>
      </c>
      <c r="G2442" s="16" t="n">
        <v>45205</v>
      </c>
      <c r="H2442" s="19" t="n">
        <v>2.02</v>
      </c>
      <c r="J2442" s="16" t="n">
        <v>45205</v>
      </c>
      <c r="K2442" s="19" t="n">
        <v>126.36</v>
      </c>
    </row>
    <row r="2443">
      <c r="D2443" s="16" t="n">
        <v>45208</v>
      </c>
      <c r="E2443" s="19" t="n">
        <v>4.85</v>
      </c>
      <c r="G2443" s="16" t="n">
        <v>45208</v>
      </c>
      <c r="H2443" s="19" t="n">
        <v>2.03</v>
      </c>
      <c r="J2443" s="16" t="n">
        <v>45208</v>
      </c>
      <c r="K2443" s="19" t="n">
        <v>127.02</v>
      </c>
    </row>
    <row r="2444">
      <c r="D2444" s="16" t="n">
        <v>45209</v>
      </c>
      <c r="E2444" s="19" t="n">
        <v>4.96</v>
      </c>
      <c r="G2444" s="16" t="n">
        <v>45209</v>
      </c>
      <c r="H2444" s="19" t="n">
        <v>2.04</v>
      </c>
      <c r="J2444" s="16" t="n">
        <v>45209</v>
      </c>
      <c r="K2444" s="19" t="n">
        <v>127.33</v>
      </c>
    </row>
    <row r="2445">
      <c r="D2445" s="16" t="n">
        <v>45210</v>
      </c>
      <c r="E2445" s="19" t="n">
        <v>4.96</v>
      </c>
      <c r="G2445" s="16" t="n">
        <v>45210</v>
      </c>
      <c r="H2445" s="19" t="n">
        <v>2.01</v>
      </c>
      <c r="J2445" s="16" t="n">
        <v>45210</v>
      </c>
      <c r="K2445" s="19" t="n">
        <v>126.73</v>
      </c>
    </row>
    <row r="2446">
      <c r="D2446" s="16" t="n">
        <v>45211</v>
      </c>
      <c r="E2446" s="19" t="n">
        <v>5</v>
      </c>
      <c r="G2446" s="16" t="n">
        <v>45211</v>
      </c>
      <c r="H2446" s="19" t="n">
        <v>2.03</v>
      </c>
      <c r="J2446" s="16" t="n">
        <v>45211</v>
      </c>
      <c r="K2446" s="19" t="n">
        <v>126.14</v>
      </c>
    </row>
    <row r="2447">
      <c r="D2447" s="16" t="n">
        <v>45212</v>
      </c>
      <c r="E2447" s="19" t="n">
        <v>5</v>
      </c>
      <c r="G2447" s="16" t="n">
        <v>45212</v>
      </c>
      <c r="H2447" s="19" t="n">
        <v>2.07</v>
      </c>
      <c r="J2447" s="16" t="n">
        <v>45212</v>
      </c>
      <c r="K2447" s="19" t="n">
        <v>125.71</v>
      </c>
    </row>
    <row r="2448">
      <c r="D2448" s="16" t="n">
        <v>45215</v>
      </c>
      <c r="E2448" s="19" t="n">
        <v>5</v>
      </c>
      <c r="G2448" s="16" t="n">
        <v>45215</v>
      </c>
      <c r="H2448" s="19" t="n">
        <v>2.02</v>
      </c>
      <c r="J2448" s="16" t="n">
        <v>45215</v>
      </c>
      <c r="K2448" s="19" t="n">
        <v>126.39</v>
      </c>
    </row>
    <row r="2449">
      <c r="D2449" s="16" t="n">
        <v>45216</v>
      </c>
      <c r="E2449" s="19" t="n">
        <v>5.03</v>
      </c>
      <c r="G2449" s="16" t="n">
        <v>45216</v>
      </c>
      <c r="H2449" s="19" t="n">
        <v>2.07</v>
      </c>
      <c r="J2449" s="16" t="n">
        <v>45216</v>
      </c>
      <c r="K2449" s="19" t="n">
        <v>125.98</v>
      </c>
    </row>
    <row r="2450">
      <c r="D2450" s="16" t="n">
        <v>45217</v>
      </c>
      <c r="E2450" s="19" t="n">
        <v>5.04</v>
      </c>
      <c r="G2450" s="16" t="n">
        <v>45217</v>
      </c>
      <c r="H2450" s="19" t="n">
        <v>2.08</v>
      </c>
      <c r="J2450" s="16" t="n">
        <v>45217</v>
      </c>
      <c r="K2450" s="19" t="n">
        <v>125.36</v>
      </c>
    </row>
    <row r="2451">
      <c r="D2451" s="16" t="n">
        <v>45218</v>
      </c>
      <c r="E2451" s="19" t="n">
        <v>5.03</v>
      </c>
      <c r="G2451" s="16" t="n">
        <v>45218</v>
      </c>
      <c r="H2451" s="19" t="n">
        <v>2.1</v>
      </c>
      <c r="J2451" s="16" t="n">
        <v>45218</v>
      </c>
      <c r="K2451" s="19" t="n">
        <v>125.47</v>
      </c>
    </row>
    <row r="2452">
      <c r="D2452" s="16" t="n">
        <v>45219</v>
      </c>
      <c r="E2452" s="19" t="n">
        <v>5</v>
      </c>
      <c r="G2452" s="16" t="n">
        <v>45219</v>
      </c>
      <c r="H2452" s="19" t="n">
        <v>2.04</v>
      </c>
      <c r="J2452" s="16" t="n">
        <v>45219</v>
      </c>
      <c r="K2452" s="19" t="n">
        <v>126</v>
      </c>
    </row>
    <row r="2453">
      <c r="D2453" s="16" t="n">
        <v>45222</v>
      </c>
      <c r="E2453" s="19" t="n">
        <v>5.02</v>
      </c>
      <c r="G2453" s="16" t="n">
        <v>45222</v>
      </c>
      <c r="H2453" s="19" t="n">
        <v>2.06</v>
      </c>
      <c r="J2453" s="16" t="n">
        <v>45222</v>
      </c>
      <c r="K2453" s="19" t="n">
        <v>126.01</v>
      </c>
    </row>
    <row r="2454">
      <c r="D2454" s="16" t="n">
        <v>45223</v>
      </c>
      <c r="E2454" s="19" t="n">
        <v>4.97</v>
      </c>
      <c r="G2454" s="16" t="n">
        <v>45223</v>
      </c>
      <c r="H2454" s="19" t="n">
        <v>2.11</v>
      </c>
      <c r="J2454" s="16" t="n">
        <v>45223</v>
      </c>
      <c r="K2454" s="19" t="n">
        <v>126.61</v>
      </c>
    </row>
    <row r="2455">
      <c r="D2455" s="16" t="n">
        <v>45224</v>
      </c>
      <c r="E2455" s="19" t="n">
        <v>4.99</v>
      </c>
      <c r="G2455" s="16" t="n">
        <v>45224</v>
      </c>
      <c r="H2455" s="19" t="n">
        <v>2.11</v>
      </c>
      <c r="J2455" s="16" t="n">
        <v>45224</v>
      </c>
      <c r="K2455" s="19" t="n">
        <v>126.1</v>
      </c>
    </row>
    <row r="2456">
      <c r="D2456" s="16" t="n">
        <v>45225</v>
      </c>
      <c r="E2456" s="19" t="n">
        <v>5.03</v>
      </c>
      <c r="G2456" s="16" t="n">
        <v>45225</v>
      </c>
      <c r="H2456" s="19" t="n">
        <v>2.13</v>
      </c>
      <c r="J2456" s="16" t="n">
        <v>45225</v>
      </c>
      <c r="K2456" s="19" t="n">
        <v>127.45</v>
      </c>
    </row>
    <row r="2457">
      <c r="D2457" s="16" t="n">
        <v>45226</v>
      </c>
      <c r="E2457" s="19" t="n">
        <v>5.07</v>
      </c>
      <c r="G2457" s="16" t="n">
        <v>45226</v>
      </c>
      <c r="H2457" s="19" t="n">
        <v>2.11</v>
      </c>
      <c r="J2457" s="16" t="n">
        <v>45226</v>
      </c>
      <c r="K2457" s="19" t="n">
        <v>128.08</v>
      </c>
    </row>
    <row r="2458">
      <c r="D2458" s="16" t="n">
        <v>45229</v>
      </c>
      <c r="E2458" s="19" t="n">
        <v>5.12</v>
      </c>
      <c r="G2458" s="16" t="n">
        <v>45229</v>
      </c>
      <c r="H2458" s="19" t="n">
        <v>2.1</v>
      </c>
      <c r="J2458" s="16" t="n">
        <v>45229</v>
      </c>
      <c r="K2458" s="19" t="n">
        <v>126.36</v>
      </c>
    </row>
    <row r="2459">
      <c r="D2459" s="16" t="n">
        <v>45230</v>
      </c>
      <c r="E2459" s="19" t="n">
        <v>5.09</v>
      </c>
      <c r="G2459" s="16" t="n">
        <v>45230</v>
      </c>
      <c r="H2459" s="19" t="n">
        <v>2.13</v>
      </c>
      <c r="J2459" s="16" t="n">
        <v>45230</v>
      </c>
      <c r="K2459" s="19" t="n">
        <v>126.44</v>
      </c>
    </row>
    <row r="2460">
      <c r="D2460" s="16" t="n">
        <v>45231</v>
      </c>
      <c r="E2460" s="19" t="n">
        <v>5.11</v>
      </c>
      <c r="G2460" s="16" t="n">
        <v>45231</v>
      </c>
      <c r="H2460" s="19" t="n">
        <v>2.19</v>
      </c>
      <c r="J2460" s="16" t="n">
        <v>45231</v>
      </c>
      <c r="K2460" s="19" t="n">
        <v>126.41</v>
      </c>
    </row>
    <row r="2461">
      <c r="D2461" s="16" t="n">
        <v>45232</v>
      </c>
      <c r="E2461" s="19" t="n">
        <v>5.18</v>
      </c>
      <c r="G2461" s="16" t="n">
        <v>45232</v>
      </c>
      <c r="H2461" s="19" t="n">
        <v>2.22</v>
      </c>
      <c r="J2461" s="16" t="n">
        <v>45232</v>
      </c>
      <c r="K2461" s="19" t="n">
        <v>125.09</v>
      </c>
    </row>
    <row r="2462">
      <c r="D2462" s="16" t="n">
        <v>45233</v>
      </c>
      <c r="E2462" s="19" t="n">
        <v>5.17</v>
      </c>
      <c r="G2462" s="16" t="n">
        <v>45233</v>
      </c>
      <c r="H2462" s="19" t="n">
        <v>2.23</v>
      </c>
      <c r="J2462" s="16" t="n">
        <v>45233</v>
      </c>
      <c r="K2462" s="19" t="n">
        <v>124.35</v>
      </c>
    </row>
    <row r="2463">
      <c r="D2463" s="16" t="n">
        <v>45236</v>
      </c>
      <c r="E2463" s="19" t="n">
        <v>5.13</v>
      </c>
      <c r="G2463" s="16" t="n">
        <v>45236</v>
      </c>
      <c r="H2463" s="19" t="n">
        <v>2.22</v>
      </c>
      <c r="J2463" s="16" t="n">
        <v>45236</v>
      </c>
      <c r="K2463" s="19" t="n">
        <v>124.94</v>
      </c>
    </row>
    <row r="2464">
      <c r="D2464" s="16" t="n">
        <v>45237</v>
      </c>
      <c r="E2464" s="19" t="n">
        <v>5.17</v>
      </c>
      <c r="G2464" s="16" t="n">
        <v>45237</v>
      </c>
      <c r="H2464" s="19" t="n">
        <v>2.22</v>
      </c>
      <c r="J2464" s="16" t="n">
        <v>45237</v>
      </c>
      <c r="K2464" s="19" t="n">
        <v>125.48</v>
      </c>
    </row>
    <row r="2465">
      <c r="D2465" s="16" t="n">
        <v>45238</v>
      </c>
      <c r="E2465" s="19" t="n">
        <v>5.04</v>
      </c>
      <c r="G2465" s="16" t="n">
        <v>45238</v>
      </c>
      <c r="H2465" s="19" t="n">
        <v>2.13</v>
      </c>
      <c r="J2465" s="16" t="n">
        <v>45238</v>
      </c>
      <c r="K2465" s="19" t="n">
        <v>125.78</v>
      </c>
    </row>
    <row r="2466">
      <c r="D2466" s="16" t="n">
        <v>45239</v>
      </c>
      <c r="E2466" s="19" t="n">
        <v>5.08</v>
      </c>
      <c r="G2466" s="16" t="n">
        <v>45239</v>
      </c>
      <c r="H2466" s="19" t="n">
        <v>2.09</v>
      </c>
      <c r="J2466" s="16" t="n">
        <v>45239</v>
      </c>
      <c r="K2466" s="19" t="n">
        <v>125.94</v>
      </c>
    </row>
    <row r="2467">
      <c r="D2467" s="16" t="n">
        <v>45240</v>
      </c>
      <c r="E2467" s="19" t="n">
        <v>5.02</v>
      </c>
      <c r="G2467" s="16" t="n">
        <v>45240</v>
      </c>
      <c r="H2467" s="19" t="n">
        <v>2.1</v>
      </c>
      <c r="J2467" s="16" t="n">
        <v>45240</v>
      </c>
      <c r="K2467" s="19" t="n">
        <v>125.45</v>
      </c>
    </row>
    <row r="2468">
      <c r="D2468" s="16" t="n">
        <v>45243</v>
      </c>
      <c r="E2468" s="19" t="n">
        <v>5.08</v>
      </c>
      <c r="G2468" s="16" t="n">
        <v>45243</v>
      </c>
      <c r="H2468" s="19" t="n">
        <v>2.13</v>
      </c>
      <c r="J2468" s="16" t="n">
        <v>45243</v>
      </c>
      <c r="K2468" s="19" t="n">
        <v>125.55</v>
      </c>
    </row>
    <row r="2469">
      <c r="D2469" s="16" t="n">
        <v>45244</v>
      </c>
      <c r="E2469" s="19" t="n">
        <v>5.03</v>
      </c>
      <c r="G2469" s="16" t="n">
        <v>45244</v>
      </c>
      <c r="H2469" s="19" t="n">
        <v>2.15</v>
      </c>
      <c r="J2469" s="16" t="n">
        <v>45244</v>
      </c>
      <c r="K2469" s="19" t="n">
        <v>125.92</v>
      </c>
    </row>
    <row r="2470">
      <c r="D2470" s="16" t="n">
        <v>45245</v>
      </c>
      <c r="E2470" s="19" t="n">
        <v>5.03</v>
      </c>
      <c r="G2470" s="16" t="n">
        <v>45245</v>
      </c>
      <c r="H2470" s="19" t="n">
        <v>2.09</v>
      </c>
      <c r="J2470" s="16" t="n">
        <v>45245</v>
      </c>
      <c r="K2470" s="19" t="n">
        <v>125.81</v>
      </c>
    </row>
    <row r="2471">
      <c r="D2471" s="16" t="n">
        <v>45246</v>
      </c>
      <c r="E2471" s="19" t="n">
        <v>5.03</v>
      </c>
      <c r="G2471" s="16" t="n">
        <v>45246</v>
      </c>
      <c r="H2471" s="19" t="n">
        <v>2.18</v>
      </c>
      <c r="J2471" s="16" t="n">
        <v>45246</v>
      </c>
      <c r="K2471" s="19" t="n">
        <v>126.32</v>
      </c>
    </row>
    <row r="2472">
      <c r="D2472" s="16" t="n">
        <v>45247</v>
      </c>
      <c r="E2472" s="19" t="n">
        <v>5.01</v>
      </c>
      <c r="G2472" s="16" t="n">
        <v>45247</v>
      </c>
      <c r="H2472" s="19" t="n">
        <v>2.27</v>
      </c>
      <c r="J2472" s="16" t="n">
        <v>45247</v>
      </c>
      <c r="K2472" s="19" t="n">
        <v>126.43</v>
      </c>
    </row>
    <row r="2473">
      <c r="D2473" s="16" t="n">
        <v>45250</v>
      </c>
      <c r="E2473" s="19" t="n">
        <v>5.02</v>
      </c>
      <c r="G2473" s="16" t="n">
        <v>45250</v>
      </c>
      <c r="H2473" s="19" t="n">
        <v>2.3</v>
      </c>
      <c r="J2473" s="16" t="n">
        <v>45250</v>
      </c>
      <c r="K2473" s="19" t="n">
        <v>127.01</v>
      </c>
    </row>
    <row r="2474">
      <c r="D2474" s="16" t="n">
        <v>45251</v>
      </c>
      <c r="E2474" s="19" t="n">
        <v>4.99</v>
      </c>
      <c r="G2474" s="16" t="n">
        <v>45251</v>
      </c>
      <c r="H2474" s="19" t="n">
        <v>2.3</v>
      </c>
      <c r="J2474" s="16" t="n">
        <v>45251</v>
      </c>
      <c r="K2474" s="19" t="n">
        <v>126.32</v>
      </c>
    </row>
    <row r="2475">
      <c r="D2475" s="16" t="n">
        <v>45252</v>
      </c>
      <c r="E2475" s="19" t="n">
        <v>5.01</v>
      </c>
      <c r="G2475" s="16" t="n">
        <v>45252</v>
      </c>
      <c r="H2475" s="19" t="n">
        <v>2.27</v>
      </c>
      <c r="J2475" s="16" t="n">
        <v>45252</v>
      </c>
      <c r="K2475" s="19" t="n">
        <v>125.26</v>
      </c>
    </row>
    <row r="2476">
      <c r="D2476" s="16" t="n">
        <v>45253</v>
      </c>
      <c r="E2476" s="19" t="inlineStr">
        <is>
          <t>.</t>
        </is>
      </c>
      <c r="G2476" s="16" t="n">
        <v>45253</v>
      </c>
      <c r="H2476" s="19" t="inlineStr">
        <is>
          <t>.</t>
        </is>
      </c>
      <c r="J2476" s="16" t="n">
        <v>45253</v>
      </c>
      <c r="K2476" s="19" t="inlineStr">
        <is>
          <t>.</t>
        </is>
      </c>
    </row>
    <row r="2477">
      <c r="D2477" s="16" t="n">
        <v>45254</v>
      </c>
      <c r="E2477" s="19" t="n">
        <v>4.97</v>
      </c>
      <c r="G2477" s="16" t="n">
        <v>45254</v>
      </c>
      <c r="H2477" s="19" t="n">
        <v>2.21</v>
      </c>
      <c r="J2477" s="16" t="n">
        <v>45254</v>
      </c>
      <c r="K2477" s="19" t="n">
        <v>124.49</v>
      </c>
    </row>
    <row r="2478">
      <c r="D2478" s="16" t="n">
        <v>45257</v>
      </c>
      <c r="E2478" s="19" t="n">
        <v>5.01</v>
      </c>
      <c r="G2478" s="16" t="n">
        <v>45257</v>
      </c>
      <c r="H2478" s="19" t="n">
        <v>2.2</v>
      </c>
      <c r="J2478" s="16" t="n">
        <v>45257</v>
      </c>
      <c r="K2478" s="19" t="n">
        <v>123.08</v>
      </c>
    </row>
    <row r="2479">
      <c r="D2479" s="16" t="n">
        <v>45258</v>
      </c>
      <c r="E2479" s="19" t="n">
        <v>5</v>
      </c>
      <c r="G2479" s="16" t="n">
        <v>45258</v>
      </c>
      <c r="H2479" s="19" t="n">
        <v>2.28</v>
      </c>
      <c r="J2479" s="16" t="n">
        <v>45258</v>
      </c>
      <c r="K2479" s="19" t="n">
        <v>122.71</v>
      </c>
    </row>
    <row r="2480">
      <c r="D2480" s="16" t="n">
        <v>45259</v>
      </c>
      <c r="E2480" s="19" t="n">
        <v>5.05</v>
      </c>
      <c r="G2480" s="16" t="n">
        <v>45259</v>
      </c>
      <c r="H2480" s="19" t="n">
        <v>2.33</v>
      </c>
      <c r="J2480" s="16" t="n">
        <v>45259</v>
      </c>
      <c r="K2480" s="19" t="n">
        <v>123.11</v>
      </c>
    </row>
    <row r="2481">
      <c r="D2481" s="16" t="n">
        <v>45260</v>
      </c>
      <c r="E2481" s="19" t="n">
        <v>5.03</v>
      </c>
      <c r="G2481" s="16" t="n">
        <v>45260</v>
      </c>
      <c r="H2481" s="19" t="n">
        <v>2.29</v>
      </c>
      <c r="J2481" s="16" t="n">
        <v>45260</v>
      </c>
      <c r="K2481" s="19" t="n">
        <v>122.44</v>
      </c>
    </row>
    <row r="2482">
      <c r="D2482" s="16" t="n">
        <v>45261</v>
      </c>
      <c r="E2482" s="19" t="n">
        <v>5.07</v>
      </c>
      <c r="G2482" s="16" t="n">
        <v>45261</v>
      </c>
      <c r="H2482" s="19" t="n">
        <v>2.31</v>
      </c>
      <c r="J2482" s="16" t="n">
        <v>45261</v>
      </c>
      <c r="K2482" s="19" t="n">
        <v>122.89</v>
      </c>
    </row>
    <row r="2483">
      <c r="D2483" s="16" t="n">
        <v>45264</v>
      </c>
      <c r="E2483" s="19" t="n">
        <v>5.09</v>
      </c>
      <c r="G2483" s="16" t="n">
        <v>45264</v>
      </c>
      <c r="H2483" s="19" t="n">
        <v>2.27</v>
      </c>
      <c r="J2483" s="16" t="n">
        <v>45264</v>
      </c>
      <c r="K2483" s="19" t="n">
        <v>123.04</v>
      </c>
    </row>
    <row r="2484">
      <c r="D2484" s="16" t="n">
        <v>45265</v>
      </c>
      <c r="E2484" s="19" t="n">
        <v>5.09</v>
      </c>
      <c r="G2484" s="16" t="n">
        <v>45265</v>
      </c>
      <c r="H2484" s="19" t="n">
        <v>2.25</v>
      </c>
      <c r="J2484" s="16" t="n">
        <v>45265</v>
      </c>
      <c r="K2484" s="19" t="n">
        <v>123.91</v>
      </c>
    </row>
    <row r="2485">
      <c r="D2485" s="16" t="n">
        <v>45266</v>
      </c>
      <c r="E2485" s="19" t="n">
        <v>5.1</v>
      </c>
      <c r="G2485" s="16" t="n">
        <v>45266</v>
      </c>
      <c r="H2485" s="19" t="n">
        <v>2.21</v>
      </c>
      <c r="J2485" s="16" t="n">
        <v>45266</v>
      </c>
      <c r="K2485" s="19" t="n">
        <v>123.74</v>
      </c>
    </row>
    <row r="2486">
      <c r="D2486" s="16" t="n">
        <v>45267</v>
      </c>
      <c r="E2486" s="19" t="n">
        <v>5.03</v>
      </c>
      <c r="G2486" s="16" t="n">
        <v>45267</v>
      </c>
      <c r="H2486" s="19" t="n">
        <v>2.18</v>
      </c>
      <c r="J2486" s="16" t="n">
        <v>45267</v>
      </c>
      <c r="K2486" s="19" t="n">
        <v>123.17</v>
      </c>
    </row>
    <row r="2487">
      <c r="D2487" s="16" t="n">
        <v>45268</v>
      </c>
      <c r="E2487" s="19" t="n">
        <v>4.96</v>
      </c>
      <c r="G2487" s="16" t="n">
        <v>45268</v>
      </c>
      <c r="H2487" s="19" t="n">
        <v>2.18</v>
      </c>
      <c r="J2487" s="16" t="n">
        <v>45268</v>
      </c>
      <c r="K2487" s="19" t="n">
        <v>121.88</v>
      </c>
    </row>
    <row r="2488">
      <c r="D2488" s="16" t="n">
        <v>45271</v>
      </c>
      <c r="E2488" s="19" t="n">
        <v>4.93</v>
      </c>
      <c r="G2488" s="16" t="n">
        <v>45271</v>
      </c>
      <c r="H2488" s="19" t="n">
        <v>2.17</v>
      </c>
      <c r="J2488" s="16" t="n">
        <v>45271</v>
      </c>
      <c r="K2488" s="19" t="n">
        <v>122.86</v>
      </c>
    </row>
    <row r="2489">
      <c r="D2489" s="16" t="n">
        <v>45272</v>
      </c>
      <c r="E2489" s="19" t="n">
        <v>4.94</v>
      </c>
      <c r="G2489" s="16" t="n">
        <v>45272</v>
      </c>
      <c r="H2489" s="19" t="n">
        <v>2.14</v>
      </c>
      <c r="J2489" s="16" t="n">
        <v>45272</v>
      </c>
      <c r="K2489" s="19" t="n">
        <v>123.27</v>
      </c>
    </row>
    <row r="2490">
      <c r="D2490" s="16" t="n">
        <v>45273</v>
      </c>
      <c r="E2490" s="19" t="n">
        <v>4.95</v>
      </c>
      <c r="G2490" s="16" t="n">
        <v>45273</v>
      </c>
      <c r="H2490" s="19" t="n">
        <v>2.16</v>
      </c>
      <c r="J2490" s="16" t="n">
        <v>45273</v>
      </c>
      <c r="K2490" s="19" t="n">
        <v>123.25</v>
      </c>
    </row>
    <row r="2491">
      <c r="D2491" s="16" t="n">
        <v>45274</v>
      </c>
      <c r="E2491" s="19" t="n">
        <v>4.95</v>
      </c>
      <c r="G2491" s="16" t="n">
        <v>45274</v>
      </c>
      <c r="H2491" s="19" t="n">
        <v>2.16</v>
      </c>
      <c r="J2491" s="16" t="n">
        <v>45274</v>
      </c>
      <c r="K2491" s="19" t="n">
        <v>123.14</v>
      </c>
    </row>
    <row r="2492">
      <c r="D2492" s="16" t="n">
        <v>45275</v>
      </c>
      <c r="E2492" s="19" t="n">
        <v>4.96</v>
      </c>
      <c r="G2492" s="16" t="n">
        <v>45275</v>
      </c>
      <c r="H2492" s="19" t="n">
        <v>2.17</v>
      </c>
      <c r="J2492" s="16" t="n">
        <v>45275</v>
      </c>
      <c r="K2492" s="19" t="n">
        <v>123.64</v>
      </c>
    </row>
    <row r="2493">
      <c r="D2493" s="16" t="n">
        <v>45278</v>
      </c>
      <c r="E2493" s="19" t="n">
        <v>4.94</v>
      </c>
      <c r="G2493" s="16" t="n">
        <v>45278</v>
      </c>
      <c r="H2493" s="19" t="n">
        <v>2.23</v>
      </c>
      <c r="J2493" s="16" t="n">
        <v>45278</v>
      </c>
      <c r="K2493" s="19" t="n">
        <v>122.78</v>
      </c>
    </row>
    <row r="2494">
      <c r="D2494" s="16" t="n">
        <v>45279</v>
      </c>
      <c r="E2494" s="19" t="n">
        <v>4.9</v>
      </c>
      <c r="G2494" s="16" t="n">
        <v>45279</v>
      </c>
      <c r="H2494" s="19" t="n">
        <v>2.2</v>
      </c>
      <c r="J2494" s="16" t="n">
        <v>45279</v>
      </c>
      <c r="K2494" s="19" t="n">
        <v>123.04</v>
      </c>
    </row>
    <row r="2495">
      <c r="D2495" s="16" t="n">
        <v>45280</v>
      </c>
      <c r="E2495" s="19" t="n">
        <v>4.91</v>
      </c>
      <c r="G2495" s="16" t="n">
        <v>45280</v>
      </c>
      <c r="H2495" s="19" t="n">
        <v>2.17</v>
      </c>
      <c r="J2495" s="16" t="n">
        <v>45280</v>
      </c>
      <c r="K2495" s="19" t="n">
        <v>123.17</v>
      </c>
    </row>
    <row r="2496">
      <c r="D2496" s="16" t="n">
        <v>45281</v>
      </c>
      <c r="E2496" s="19" t="n">
        <v>5.01</v>
      </c>
      <c r="G2496" s="16" t="n">
        <v>45281</v>
      </c>
      <c r="H2496" s="19" t="n">
        <v>2.15</v>
      </c>
      <c r="J2496" s="16" t="n">
        <v>45281</v>
      </c>
      <c r="K2496" s="19" t="n">
        <v>123.46</v>
      </c>
    </row>
    <row r="2497">
      <c r="D2497" s="16" t="n">
        <v>45282</v>
      </c>
      <c r="E2497" s="19" t="n">
        <v>5.03</v>
      </c>
      <c r="G2497" s="16" t="n">
        <v>45282</v>
      </c>
      <c r="H2497" s="19" t="n">
        <v>2.15</v>
      </c>
      <c r="J2497" s="16" t="n">
        <v>45282</v>
      </c>
      <c r="K2497" s="19" t="n">
        <v>124.35</v>
      </c>
    </row>
    <row r="2498">
      <c r="D2498" s="16" t="n">
        <v>45285</v>
      </c>
      <c r="E2498" s="19" t="inlineStr">
        <is>
          <t>.</t>
        </is>
      </c>
      <c r="G2498" s="16" t="n">
        <v>45285</v>
      </c>
      <c r="H2498" s="19" t="inlineStr">
        <is>
          <t>.</t>
        </is>
      </c>
      <c r="J2498" s="16" t="n">
        <v>45285</v>
      </c>
      <c r="K2498" s="19" t="inlineStr">
        <is>
          <t>.</t>
        </is>
      </c>
    </row>
    <row r="2499">
      <c r="D2499" s="16" t="n">
        <v>45286</v>
      </c>
      <c r="E2499" s="19" t="n">
        <v>4.93</v>
      </c>
      <c r="G2499" s="16" t="n">
        <v>45286</v>
      </c>
      <c r="H2499" s="19" t="n">
        <v>2.27</v>
      </c>
      <c r="J2499" s="16" t="n">
        <v>45286</v>
      </c>
      <c r="K2499" s="19" t="n">
        <v>124.18</v>
      </c>
    </row>
    <row r="2500">
      <c r="D2500" s="16" t="n">
        <v>45287</v>
      </c>
      <c r="E2500" s="19" t="n">
        <v>4.99</v>
      </c>
      <c r="G2500" s="16" t="n">
        <v>45287</v>
      </c>
      <c r="H2500" s="19" t="n">
        <v>2.33</v>
      </c>
      <c r="J2500" s="16" t="n">
        <v>45287</v>
      </c>
      <c r="K2500" s="19" t="n">
        <v>124.22</v>
      </c>
    </row>
    <row r="2501">
      <c r="D2501" s="16" t="n">
        <v>45288</v>
      </c>
      <c r="E2501" s="19" t="n">
        <v>5.06</v>
      </c>
      <c r="G2501" s="16" t="n">
        <v>45288</v>
      </c>
      <c r="H2501" s="19" t="n">
        <v>2.35</v>
      </c>
      <c r="J2501" s="16" t="n">
        <v>45288</v>
      </c>
      <c r="K2501" s="19" t="n">
        <v>124.43</v>
      </c>
    </row>
    <row r="2502">
      <c r="D2502" s="16" t="n">
        <v>45289</v>
      </c>
      <c r="E2502" s="19" t="n">
        <v>5.01</v>
      </c>
      <c r="G2502" s="16" t="n">
        <v>45289</v>
      </c>
      <c r="H2502" s="19" t="n">
        <v>2.38</v>
      </c>
      <c r="J2502" s="16" t="n">
        <v>45289</v>
      </c>
      <c r="K2502" s="19" t="n">
        <v>124.61</v>
      </c>
    </row>
    <row r="2503">
      <c r="D2503" s="16" t="n">
        <v>45292</v>
      </c>
      <c r="E2503" s="19" t="inlineStr">
        <is>
          <t>.</t>
        </is>
      </c>
      <c r="G2503" s="16" t="n">
        <v>45292</v>
      </c>
      <c r="H2503" s="19" t="inlineStr">
        <is>
          <t>.</t>
        </is>
      </c>
      <c r="J2503" s="16" t="n">
        <v>45292</v>
      </c>
      <c r="K2503" s="19" t="inlineStr">
        <is>
          <t>.</t>
        </is>
      </c>
    </row>
    <row r="2504">
      <c r="D2504" s="16" t="n">
        <v>45293</v>
      </c>
      <c r="E2504" s="19" t="n">
        <v>5.12</v>
      </c>
      <c r="G2504" s="16" t="n">
        <v>45293</v>
      </c>
      <c r="H2504" s="19" t="n">
        <v>2.42</v>
      </c>
      <c r="J2504" s="16" t="n">
        <v>45293</v>
      </c>
      <c r="K2504" s="19" t="n">
        <v>125.54</v>
      </c>
    </row>
    <row r="2505">
      <c r="D2505" s="16" t="n">
        <v>45294</v>
      </c>
      <c r="E2505" s="19" t="n">
        <v>5.17</v>
      </c>
      <c r="G2505" s="16" t="n">
        <v>45294</v>
      </c>
      <c r="H2505" s="19" t="n">
        <v>2.43</v>
      </c>
      <c r="J2505" s="16" t="n">
        <v>45294</v>
      </c>
      <c r="K2505" s="19" t="n">
        <v>125.98</v>
      </c>
    </row>
    <row r="2506">
      <c r="D2506" s="16" t="n">
        <v>45295</v>
      </c>
      <c r="E2506" s="19" t="n">
        <v>5.17</v>
      </c>
      <c r="G2506" s="16" t="n">
        <v>45295</v>
      </c>
      <c r="H2506" s="19" t="n">
        <v>2.4</v>
      </c>
      <c r="J2506" s="16" t="n">
        <v>45295</v>
      </c>
      <c r="K2506" s="19" t="n">
        <v>125.96</v>
      </c>
    </row>
    <row r="2507">
      <c r="D2507" s="16" t="n">
        <v>45296</v>
      </c>
      <c r="E2507" s="19" t="n">
        <v>5.2</v>
      </c>
      <c r="G2507" s="16" t="n">
        <v>45296</v>
      </c>
      <c r="H2507" s="19" t="n">
        <v>2.45</v>
      </c>
      <c r="J2507" s="16" t="n">
        <v>45296</v>
      </c>
      <c r="K2507" s="19" t="n">
        <v>125.45</v>
      </c>
    </row>
    <row r="2508">
      <c r="D2508" s="16" t="n">
        <v>45299</v>
      </c>
      <c r="E2508" s="19" t="n">
        <v>5.2</v>
      </c>
      <c r="G2508" s="16" t="n">
        <v>45299</v>
      </c>
      <c r="H2508" s="19" t="n">
        <v>2.48</v>
      </c>
      <c r="J2508" s="16" t="n">
        <v>45299</v>
      </c>
      <c r="K2508" s="19" t="n">
        <v>125.92</v>
      </c>
    </row>
    <row r="2509">
      <c r="D2509" s="16" t="n">
        <v>45300</v>
      </c>
      <c r="E2509" s="19" t="n">
        <v>5.2</v>
      </c>
      <c r="G2509" s="16" t="n">
        <v>45300</v>
      </c>
      <c r="H2509" s="19" t="n">
        <v>2.53</v>
      </c>
      <c r="J2509" s="16" t="n">
        <v>45300</v>
      </c>
      <c r="K2509" s="19" t="n">
        <v>126.39</v>
      </c>
    </row>
    <row r="2510">
      <c r="D2510" s="16" t="n">
        <v>45301</v>
      </c>
      <c r="E2510" s="19" t="n">
        <v>5.2</v>
      </c>
      <c r="G2510" s="16" t="n">
        <v>45301</v>
      </c>
      <c r="H2510" s="19" t="n">
        <v>2.51</v>
      </c>
      <c r="J2510" s="16" t="n">
        <v>45301</v>
      </c>
      <c r="K2510" s="19" t="n">
        <v>125.67</v>
      </c>
    </row>
    <row r="2511">
      <c r="D2511" s="16" t="n">
        <v>45302</v>
      </c>
      <c r="E2511" s="19" t="n">
        <v>5.2</v>
      </c>
      <c r="G2511" s="16" t="n">
        <v>45302</v>
      </c>
      <c r="H2511" s="19" t="n">
        <v>2.53</v>
      </c>
      <c r="J2511" s="16" t="n">
        <v>45302</v>
      </c>
      <c r="K2511" s="19" t="n">
        <v>126.43</v>
      </c>
    </row>
    <row r="2512">
      <c r="D2512" s="16" t="n">
        <v>45303</v>
      </c>
      <c r="E2512" s="19" t="n">
        <v>5.15</v>
      </c>
      <c r="G2512" s="16" t="n">
        <v>45303</v>
      </c>
      <c r="H2512" s="19" t="n">
        <v>2.51</v>
      </c>
      <c r="J2512" s="16" t="n">
        <v>45303</v>
      </c>
      <c r="K2512" s="19" t="n">
        <v>128.03</v>
      </c>
    </row>
    <row r="2513">
      <c r="D2513" s="16" t="n">
        <v>45306</v>
      </c>
      <c r="E2513" s="19" t="n">
        <v>5.12</v>
      </c>
      <c r="G2513" s="16" t="n">
        <v>45306</v>
      </c>
      <c r="H2513" s="19" t="n">
        <v>2.44</v>
      </c>
      <c r="J2513" s="16" t="n">
        <v>45306</v>
      </c>
      <c r="K2513" s="19" t="n">
        <v>127.7</v>
      </c>
    </row>
    <row r="2514">
      <c r="D2514" s="16" t="n">
        <v>45307</v>
      </c>
      <c r="E2514" s="19" t="n">
        <v>5.16</v>
      </c>
      <c r="G2514" s="16" t="n">
        <v>45307</v>
      </c>
      <c r="H2514" s="19" t="n">
        <v>2.5</v>
      </c>
      <c r="J2514" s="16" t="n">
        <v>45307</v>
      </c>
      <c r="K2514" s="19" t="n">
        <v>129</v>
      </c>
    </row>
    <row r="2515">
      <c r="D2515" s="16" t="n">
        <v>45308</v>
      </c>
      <c r="E2515" s="19" t="n">
        <v>5.07</v>
      </c>
      <c r="G2515" s="16" t="n">
        <v>45308</v>
      </c>
      <c r="H2515" s="19" t="n">
        <v>2.48</v>
      </c>
      <c r="J2515" s="16" t="n">
        <v>45308</v>
      </c>
      <c r="K2515" s="19" t="n">
        <v>129.3</v>
      </c>
    </row>
    <row r="2516">
      <c r="D2516" s="16" t="n">
        <v>45309</v>
      </c>
      <c r="E2516" s="19" t="n">
        <v>5.09</v>
      </c>
      <c r="G2516" s="16" t="n">
        <v>45309</v>
      </c>
      <c r="H2516" s="19" t="n">
        <v>2.45</v>
      </c>
      <c r="J2516" s="16" t="n">
        <v>45309</v>
      </c>
      <c r="K2516" s="19" t="n">
        <v>128.96</v>
      </c>
    </row>
    <row r="2517">
      <c r="D2517" s="16" t="n">
        <v>45310</v>
      </c>
      <c r="E2517" s="19" t="n">
        <v>5.08</v>
      </c>
      <c r="G2517" s="16" t="n">
        <v>45310</v>
      </c>
      <c r="H2517" s="19" t="n">
        <v>2.48</v>
      </c>
      <c r="J2517" s="16" t="n">
        <v>45310</v>
      </c>
      <c r="K2517" s="19" t="n">
        <v>128.8</v>
      </c>
    </row>
    <row r="2518">
      <c r="D2518" s="16" t="n">
        <v>45313</v>
      </c>
      <c r="E2518" s="19" t="n">
        <v>5.09</v>
      </c>
      <c r="G2518" s="16" t="n">
        <v>45313</v>
      </c>
      <c r="H2518" s="19" t="n">
        <v>2.52</v>
      </c>
      <c r="J2518" s="16" t="n">
        <v>45313</v>
      </c>
      <c r="K2518" s="19" t="n">
        <v>129.49</v>
      </c>
    </row>
    <row r="2519">
      <c r="D2519" s="16" t="n">
        <v>45314</v>
      </c>
      <c r="E2519" s="19" t="n">
        <v>5.05</v>
      </c>
      <c r="G2519" s="16" t="n">
        <v>45314</v>
      </c>
      <c r="H2519" s="19" t="n">
        <v>2.47</v>
      </c>
      <c r="J2519" s="16" t="n">
        <v>45314</v>
      </c>
      <c r="K2519" s="19" t="n">
        <v>129.72</v>
      </c>
    </row>
    <row r="2520">
      <c r="D2520" s="16" t="n">
        <v>45315</v>
      </c>
      <c r="E2520" s="19" t="n">
        <v>5.09</v>
      </c>
      <c r="G2520" s="16" t="n">
        <v>45315</v>
      </c>
      <c r="H2520" s="19" t="n">
        <v>2.46</v>
      </c>
      <c r="J2520" s="16" t="n">
        <v>45315</v>
      </c>
      <c r="K2520" s="19" t="n">
        <v>130.36</v>
      </c>
    </row>
    <row r="2521">
      <c r="D2521" s="16" t="n">
        <v>45316</v>
      </c>
      <c r="E2521" s="19" t="n">
        <v>5.14</v>
      </c>
      <c r="G2521" s="16" t="n">
        <v>45316</v>
      </c>
      <c r="H2521" s="19" t="n">
        <v>2.45</v>
      </c>
      <c r="J2521" s="16" t="n">
        <v>45316</v>
      </c>
      <c r="K2521" s="19" t="n">
        <v>130.81</v>
      </c>
    </row>
    <row r="2522">
      <c r="D2522" s="16" t="n">
        <v>45317</v>
      </c>
      <c r="E2522" s="19" t="n">
        <v>5.13</v>
      </c>
      <c r="G2522" s="16" t="n">
        <v>45317</v>
      </c>
      <c r="H2522" s="19" t="n">
        <v>2.4</v>
      </c>
      <c r="J2522" s="16" t="n">
        <v>45317</v>
      </c>
      <c r="K2522" s="19" t="n">
        <v>130.43</v>
      </c>
    </row>
    <row r="2523">
      <c r="D2523" s="16" t="n">
        <v>45320</v>
      </c>
      <c r="E2523" s="19" t="n">
        <v>5.07</v>
      </c>
      <c r="G2523" s="16" t="n">
        <v>45320</v>
      </c>
      <c r="H2523" s="19" t="n">
        <v>2.41</v>
      </c>
      <c r="J2523" s="16" t="n">
        <v>45320</v>
      </c>
      <c r="K2523" s="19" t="n">
        <v>130.87</v>
      </c>
    </row>
    <row r="2524">
      <c r="D2524" s="16" t="n">
        <v>45321</v>
      </c>
      <c r="E2524" s="19" t="n">
        <v>5.05</v>
      </c>
      <c r="G2524" s="16" t="n">
        <v>45321</v>
      </c>
      <c r="H2524" s="19" t="n">
        <v>2.41</v>
      </c>
      <c r="J2524" s="16" t="n">
        <v>45321</v>
      </c>
      <c r="K2524" s="19" t="n">
        <v>130.4</v>
      </c>
    </row>
    <row r="2525">
      <c r="D2525" s="16" t="n">
        <v>45322</v>
      </c>
      <c r="E2525" s="19" t="n">
        <v>5.01</v>
      </c>
      <c r="G2525" s="16" t="n">
        <v>45322</v>
      </c>
      <c r="H2525" s="19" t="n">
        <v>2.41</v>
      </c>
      <c r="J2525" s="16" t="n">
        <v>45322</v>
      </c>
      <c r="K2525" s="19" t="n">
        <v>131.01</v>
      </c>
    </row>
    <row r="2526">
      <c r="D2526" s="16" t="n">
        <v>45323</v>
      </c>
      <c r="E2526" s="19" t="n">
        <v>5.1</v>
      </c>
      <c r="G2526" s="16" t="n">
        <v>45323</v>
      </c>
      <c r="H2526" s="19" t="n">
        <v>2.41</v>
      </c>
      <c r="J2526" s="16" t="n">
        <v>45323</v>
      </c>
      <c r="K2526" s="19" t="n">
        <v>131.71</v>
      </c>
    </row>
    <row r="2527">
      <c r="D2527" s="16" t="n">
        <v>45324</v>
      </c>
      <c r="E2527" s="19" t="n">
        <v>5.05</v>
      </c>
      <c r="G2527" s="16" t="n">
        <v>45324</v>
      </c>
      <c r="H2527" s="19" t="n">
        <v>2.41</v>
      </c>
      <c r="J2527" s="16" t="n">
        <v>45324</v>
      </c>
      <c r="K2527" s="19" t="n">
        <v>131.98</v>
      </c>
    </row>
    <row r="2528">
      <c r="D2528" s="16" t="n">
        <v>45327</v>
      </c>
      <c r="E2528" s="19" t="n">
        <v>5.02</v>
      </c>
      <c r="G2528" s="16" t="n">
        <v>45327</v>
      </c>
      <c r="H2528" s="19" t="n">
        <v>2.43</v>
      </c>
      <c r="J2528" s="16" t="n">
        <v>45327</v>
      </c>
      <c r="K2528" s="19" t="n">
        <v>132.81</v>
      </c>
    </row>
    <row r="2529">
      <c r="D2529" s="16" t="n">
        <v>45328</v>
      </c>
      <c r="E2529" s="19" t="n">
        <v>5.05</v>
      </c>
      <c r="G2529" s="16" t="n">
        <v>45328</v>
      </c>
      <c r="H2529" s="19" t="n">
        <v>2.44</v>
      </c>
      <c r="J2529" s="16" t="n">
        <v>45328</v>
      </c>
      <c r="K2529" s="19" t="n">
        <v>131.4</v>
      </c>
    </row>
    <row r="2530">
      <c r="D2530" s="16" t="n">
        <v>45329</v>
      </c>
      <c r="E2530" s="19" t="n">
        <v>5.06</v>
      </c>
      <c r="G2530" s="16" t="n">
        <v>45329</v>
      </c>
      <c r="H2530" s="19" t="n">
        <v>2.46</v>
      </c>
      <c r="J2530" s="16" t="n">
        <v>45329</v>
      </c>
      <c r="K2530" s="19" t="n">
        <v>130.36</v>
      </c>
    </row>
    <row r="2531">
      <c r="D2531" s="16" t="n">
        <v>45330</v>
      </c>
      <c r="E2531" s="19" t="n">
        <v>5.05</v>
      </c>
      <c r="G2531" s="16" t="n">
        <v>45330</v>
      </c>
      <c r="H2531" s="19" t="n">
        <v>2.41</v>
      </c>
      <c r="J2531" s="16" t="n">
        <v>45330</v>
      </c>
      <c r="K2531" s="19" t="n">
        <v>130.65</v>
      </c>
    </row>
    <row r="2532">
      <c r="D2532" s="16" t="n">
        <v>45331</v>
      </c>
      <c r="E2532" s="19" t="n">
        <v>5</v>
      </c>
      <c r="G2532" s="16" t="n">
        <v>45331</v>
      </c>
      <c r="H2532" s="19" t="n">
        <v>2.44</v>
      </c>
      <c r="J2532" s="16" t="n">
        <v>45331</v>
      </c>
      <c r="K2532" s="19" t="n">
        <v>130.58</v>
      </c>
    </row>
    <row r="2533">
      <c r="D2533" s="16" t="n">
        <v>45334</v>
      </c>
      <c r="E2533" s="19" t="n">
        <v>5</v>
      </c>
      <c r="G2533" s="16" t="n">
        <v>45334</v>
      </c>
      <c r="H2533" s="19" t="n">
        <v>2.41</v>
      </c>
      <c r="J2533" s="16" t="n">
        <v>45334</v>
      </c>
      <c r="K2533" s="19" t="n">
        <v>131.69</v>
      </c>
    </row>
    <row r="2534">
      <c r="D2534" s="16" t="n">
        <v>45335</v>
      </c>
      <c r="E2534" s="19" t="n">
        <v>5.02</v>
      </c>
      <c r="G2534" s="16" t="n">
        <v>45335</v>
      </c>
      <c r="H2534" s="19" t="n">
        <v>2.46</v>
      </c>
      <c r="J2534" s="16" t="n">
        <v>45335</v>
      </c>
      <c r="K2534" s="19" t="n">
        <v>131.58</v>
      </c>
    </row>
    <row r="2535">
      <c r="D2535" s="16" t="n">
        <v>45336</v>
      </c>
      <c r="E2535" s="19" t="n">
        <v>5.06</v>
      </c>
      <c r="G2535" s="16" t="n">
        <v>45336</v>
      </c>
      <c r="H2535" s="19" t="n">
        <v>2.46</v>
      </c>
      <c r="J2535" s="16" t="n">
        <v>45336</v>
      </c>
      <c r="K2535" s="19" t="n">
        <v>131.46</v>
      </c>
    </row>
    <row r="2536">
      <c r="D2536" s="16" t="n">
        <v>45337</v>
      </c>
      <c r="E2536" s="19" t="n">
        <v>5.03</v>
      </c>
      <c r="G2536" s="16" t="n">
        <v>45337</v>
      </c>
      <c r="H2536" s="19" t="n">
        <v>2.44</v>
      </c>
      <c r="J2536" s="16" t="n">
        <v>45337</v>
      </c>
      <c r="K2536" s="19" t="n">
        <v>131.96</v>
      </c>
    </row>
    <row r="2537">
      <c r="D2537" s="16" t="n">
        <v>45338</v>
      </c>
      <c r="E2537" s="19" t="n">
        <v>4.99</v>
      </c>
      <c r="G2537" s="16" t="n">
        <v>45338</v>
      </c>
      <c r="H2537" s="19" t="n">
        <v>2.41</v>
      </c>
      <c r="J2537" s="16" t="n">
        <v>45338</v>
      </c>
      <c r="K2537" s="19" t="n">
        <v>132.12</v>
      </c>
    </row>
    <row r="2538">
      <c r="D2538" s="16" t="n">
        <v>45341</v>
      </c>
      <c r="E2538" s="19" t="n">
        <v>5.02</v>
      </c>
      <c r="G2538" s="16" t="n">
        <v>45341</v>
      </c>
      <c r="H2538" s="19" t="n">
        <v>2.35</v>
      </c>
      <c r="J2538" s="16" t="n">
        <v>45341</v>
      </c>
      <c r="K2538" s="19" t="n">
        <v>132.14</v>
      </c>
    </row>
    <row r="2539">
      <c r="D2539" s="16" t="n">
        <v>45342</v>
      </c>
      <c r="E2539" s="19" t="n">
        <v>5.02</v>
      </c>
      <c r="G2539" s="16" t="n">
        <v>45342</v>
      </c>
      <c r="H2539" s="19" t="n">
        <v>2.31</v>
      </c>
      <c r="J2539" s="16" t="n">
        <v>45342</v>
      </c>
      <c r="K2539" s="19" t="n">
        <v>132.66</v>
      </c>
    </row>
    <row r="2540">
      <c r="D2540" s="16" t="n">
        <v>45343</v>
      </c>
      <c r="E2540" s="19" t="n">
        <v>5.02</v>
      </c>
      <c r="G2540" s="16" t="n">
        <v>45343</v>
      </c>
      <c r="H2540" s="19" t="n">
        <v>2.36</v>
      </c>
      <c r="J2540" s="16" t="n">
        <v>45343</v>
      </c>
      <c r="K2540" s="19" t="n">
        <v>132.72</v>
      </c>
    </row>
    <row r="2541">
      <c r="D2541" s="16" t="n">
        <v>45344</v>
      </c>
      <c r="E2541" s="19" t="n">
        <v>5.01</v>
      </c>
      <c r="G2541" s="16" t="n">
        <v>45344</v>
      </c>
      <c r="H2541" s="19" t="n">
        <v>2.35</v>
      </c>
      <c r="J2541" s="16" t="n">
        <v>45344</v>
      </c>
      <c r="K2541" s="19" t="n">
        <v>132.82</v>
      </c>
    </row>
    <row r="2542">
      <c r="D2542" s="16" t="n">
        <v>45345</v>
      </c>
      <c r="E2542" s="19" t="n">
        <v>5.06</v>
      </c>
      <c r="G2542" s="16" t="n">
        <v>45345</v>
      </c>
      <c r="H2542" s="19" t="n">
        <v>2.31</v>
      </c>
      <c r="J2542" s="16" t="n">
        <v>45345</v>
      </c>
      <c r="K2542" s="19" t="n">
        <v>133.09</v>
      </c>
    </row>
    <row r="2543">
      <c r="D2543" s="16" t="n">
        <v>45348</v>
      </c>
      <c r="E2543" s="19" t="n">
        <v>5.02</v>
      </c>
      <c r="G2543" s="16" t="n">
        <v>45348</v>
      </c>
      <c r="H2543" s="19" t="n">
        <v>2.32</v>
      </c>
      <c r="J2543" s="16" t="n">
        <v>45348</v>
      </c>
      <c r="K2543" s="19" t="n">
        <v>134.66</v>
      </c>
    </row>
    <row r="2544">
      <c r="D2544" s="16" t="n">
        <v>45349</v>
      </c>
      <c r="E2544" s="19" t="n">
        <v>5.06</v>
      </c>
      <c r="G2544" s="16" t="n">
        <v>45349</v>
      </c>
      <c r="H2544" s="19" t="n">
        <v>2.31</v>
      </c>
      <c r="J2544" s="16" t="n">
        <v>45349</v>
      </c>
      <c r="K2544" s="19" t="n">
        <v>135.12</v>
      </c>
    </row>
    <row r="2545">
      <c r="D2545" s="16" t="n">
        <v>45350</v>
      </c>
      <c r="E2545" s="19" t="n">
        <v>5.08</v>
      </c>
      <c r="G2545" s="16" t="n">
        <v>45350</v>
      </c>
      <c r="H2545" s="19" t="n">
        <v>2.33</v>
      </c>
      <c r="J2545" s="16" t="n">
        <v>45350</v>
      </c>
      <c r="K2545" s="19" t="n">
        <v>134.26</v>
      </c>
    </row>
    <row r="2546">
      <c r="D2546" s="16" t="n">
        <v>45351</v>
      </c>
      <c r="E2546" s="19" t="n">
        <v>5.12</v>
      </c>
      <c r="G2546" s="16" t="n">
        <v>45351</v>
      </c>
      <c r="H2546" s="19" t="n">
        <v>2.28</v>
      </c>
      <c r="J2546" s="16" t="n">
        <v>45351</v>
      </c>
      <c r="K2546" s="19" t="n">
        <v>134.05</v>
      </c>
    </row>
    <row r="2547">
      <c r="D2547" s="16" t="n">
        <v>45352</v>
      </c>
      <c r="E2547" s="19" t="n">
        <v>5.17</v>
      </c>
      <c r="G2547" s="16" t="n">
        <v>45352</v>
      </c>
      <c r="H2547" s="19" t="n">
        <v>2.3</v>
      </c>
      <c r="J2547" s="16" t="n">
        <v>45352</v>
      </c>
      <c r="K2547" s="19" t="n">
        <v>134.23</v>
      </c>
    </row>
    <row r="2548">
      <c r="D2548" s="16" t="n">
        <v>45355</v>
      </c>
      <c r="E2548" s="19" t="n">
        <v>5.11</v>
      </c>
      <c r="G2548" s="16" t="n">
        <v>45355</v>
      </c>
      <c r="H2548" s="19" t="n">
        <v>2.25</v>
      </c>
      <c r="J2548" s="16" t="n">
        <v>45355</v>
      </c>
      <c r="K2548" s="19" t="n">
        <v>133.95</v>
      </c>
    </row>
    <row r="2549">
      <c r="D2549" s="16" t="n">
        <v>45356</v>
      </c>
      <c r="E2549" s="19" t="n">
        <v>5.1</v>
      </c>
      <c r="G2549" s="16" t="n">
        <v>45356</v>
      </c>
      <c r="H2549" s="19" t="n">
        <v>2.21</v>
      </c>
      <c r="J2549" s="16" t="n">
        <v>45356</v>
      </c>
      <c r="K2549" s="19" t="n">
        <v>134.16</v>
      </c>
    </row>
    <row r="2550">
      <c r="D2550" s="16" t="n">
        <v>45357</v>
      </c>
      <c r="E2550" s="19" t="n">
        <v>5.17</v>
      </c>
      <c r="G2550" s="16" t="n">
        <v>45357</v>
      </c>
      <c r="H2550" s="19" t="n">
        <v>2.2</v>
      </c>
      <c r="J2550" s="16" t="n">
        <v>45357</v>
      </c>
      <c r="K2550" s="19" t="n">
        <v>134.84</v>
      </c>
    </row>
    <row r="2551">
      <c r="D2551" s="16" t="n">
        <v>45358</v>
      </c>
      <c r="E2551" s="19" t="n">
        <v>5.18</v>
      </c>
      <c r="G2551" s="16" t="n">
        <v>45358</v>
      </c>
      <c r="H2551" s="19" t="n">
        <v>2.18</v>
      </c>
      <c r="J2551" s="16" t="n">
        <v>45358</v>
      </c>
      <c r="K2551" s="19" t="n">
        <v>134.68</v>
      </c>
    </row>
    <row r="2552">
      <c r="D2552" s="16" t="n">
        <v>45359</v>
      </c>
      <c r="E2552" s="19" t="n">
        <v>5.2</v>
      </c>
      <c r="G2552" s="16" t="n">
        <v>45359</v>
      </c>
      <c r="H2552" s="19" t="n">
        <v>2.22</v>
      </c>
      <c r="J2552" s="16" t="n">
        <v>45359</v>
      </c>
      <c r="K2552" s="19" t="n">
        <v>134.7</v>
      </c>
    </row>
    <row r="2553">
      <c r="D2553" s="16" t="n">
        <v>45362</v>
      </c>
      <c r="E2553" s="19" t="n">
        <v>5.2</v>
      </c>
      <c r="G2553" s="16" t="n">
        <v>45362</v>
      </c>
      <c r="H2553" s="19" t="n">
        <v>2.22</v>
      </c>
      <c r="J2553" s="16" t="n">
        <v>45362</v>
      </c>
      <c r="K2553" s="19" t="n">
        <v>135.01</v>
      </c>
    </row>
    <row r="2554">
      <c r="D2554" s="16" t="n">
        <v>45363</v>
      </c>
      <c r="E2554" s="19" t="n">
        <v>5.17</v>
      </c>
      <c r="G2554" s="16" t="n">
        <v>45363</v>
      </c>
      <c r="H2554" s="19" t="n">
        <v>2.21</v>
      </c>
      <c r="J2554" s="16" t="n">
        <v>45363</v>
      </c>
      <c r="K2554" s="19" t="n">
        <v>135.63</v>
      </c>
    </row>
    <row r="2555">
      <c r="D2555" s="16" t="n">
        <v>45364</v>
      </c>
      <c r="E2555" s="19" t="n">
        <v>5.16</v>
      </c>
      <c r="G2555" s="16" t="n">
        <v>45364</v>
      </c>
      <c r="H2555" s="19" t="n">
        <v>2.21</v>
      </c>
      <c r="J2555" s="16" t="n">
        <v>45364</v>
      </c>
      <c r="K2555" s="19" t="n">
        <v>136.63</v>
      </c>
    </row>
    <row r="2556">
      <c r="D2556" s="16" t="n">
        <v>45365</v>
      </c>
      <c r="E2556" s="19" t="n">
        <v>5.2</v>
      </c>
      <c r="G2556" s="16" t="n">
        <v>45365</v>
      </c>
      <c r="H2556" s="19" t="n">
        <v>2.2</v>
      </c>
      <c r="J2556" s="16" t="n">
        <v>45365</v>
      </c>
      <c r="K2556" s="19" t="n">
        <v>135.89</v>
      </c>
    </row>
    <row r="2557">
      <c r="D2557" s="16" t="n">
        <v>45366</v>
      </c>
      <c r="E2557" s="19" t="n">
        <v>5.17</v>
      </c>
      <c r="G2557" s="16" t="n">
        <v>45366</v>
      </c>
      <c r="H2557" s="19" t="n">
        <v>2.11</v>
      </c>
      <c r="J2557" s="16" t="n">
        <v>45366</v>
      </c>
      <c r="K2557" s="19" t="n">
        <v>134.63</v>
      </c>
    </row>
    <row r="2558">
      <c r="D2558" s="16" t="n">
        <v>45369</v>
      </c>
      <c r="E2558" s="19" t="n">
        <v>5.19</v>
      </c>
      <c r="G2558" s="16" t="n">
        <v>45369</v>
      </c>
      <c r="H2558" s="19" t="n">
        <v>2.07</v>
      </c>
      <c r="J2558" s="16" t="n">
        <v>45369</v>
      </c>
      <c r="K2558" s="19" t="n">
        <v>135.14</v>
      </c>
    </row>
    <row r="2559">
      <c r="D2559" s="16" t="n">
        <v>45370</v>
      </c>
      <c r="E2559" s="19" t="n">
        <v>5.2</v>
      </c>
      <c r="G2559" s="16" t="n">
        <v>45370</v>
      </c>
      <c r="H2559" s="19" t="n">
        <v>2.08</v>
      </c>
      <c r="J2559" s="16" t="n">
        <v>45370</v>
      </c>
      <c r="K2559" s="19" t="n">
        <v>135.8</v>
      </c>
    </row>
    <row r="2560">
      <c r="D2560" s="16" t="n">
        <v>45371</v>
      </c>
      <c r="E2560" s="19" t="n">
        <v>5.2</v>
      </c>
      <c r="G2560" s="16" t="n">
        <v>45371</v>
      </c>
      <c r="H2560" s="19" t="n">
        <v>2.16</v>
      </c>
      <c r="J2560" s="16" t="n">
        <v>45371</v>
      </c>
      <c r="K2560" s="19" t="n">
        <v>135.55</v>
      </c>
    </row>
    <row r="2561">
      <c r="D2561" s="16" t="n">
        <v>45372</v>
      </c>
      <c r="E2561" s="19" t="n">
        <v>5.2</v>
      </c>
      <c r="G2561" s="16" t="n">
        <v>45372</v>
      </c>
      <c r="H2561" s="19" t="n">
        <v>2.15</v>
      </c>
      <c r="J2561" s="16" t="n">
        <v>45372</v>
      </c>
      <c r="K2561" s="19" t="n">
        <v>135.29</v>
      </c>
    </row>
    <row r="2562">
      <c r="D2562" s="16" t="n">
        <v>45373</v>
      </c>
      <c r="E2562" s="19" t="n">
        <v>5.2</v>
      </c>
      <c r="G2562" s="16" t="n">
        <v>45373</v>
      </c>
      <c r="H2562" s="19" t="n">
        <v>2.2</v>
      </c>
      <c r="J2562" s="16" t="n">
        <v>45373</v>
      </c>
      <c r="K2562" s="19" t="n">
        <v>135.55</v>
      </c>
    </row>
    <row r="2563">
      <c r="D2563" s="16" t="n">
        <v>45376</v>
      </c>
      <c r="E2563" s="19" t="n">
        <v>5.16</v>
      </c>
      <c r="G2563" s="16" t="n">
        <v>45376</v>
      </c>
      <c r="H2563" s="19" t="n">
        <v>2.19</v>
      </c>
      <c r="J2563" s="16" t="n">
        <v>45376</v>
      </c>
      <c r="K2563" s="19" t="n">
        <v>135.99</v>
      </c>
    </row>
    <row r="2564">
      <c r="D2564" s="16" t="n">
        <v>45377</v>
      </c>
      <c r="E2564" s="19" t="n">
        <v>5.18</v>
      </c>
      <c r="G2564" s="16" t="n">
        <v>45377</v>
      </c>
      <c r="H2564" s="19" t="n">
        <v>2.24</v>
      </c>
      <c r="J2564" s="16" t="n">
        <v>45377</v>
      </c>
      <c r="K2564" s="19" t="n">
        <v>135</v>
      </c>
    </row>
    <row r="2565">
      <c r="D2565" s="16" t="n">
        <v>45378</v>
      </c>
      <c r="E2565" s="19" t="n">
        <v>5.15</v>
      </c>
      <c r="G2565" s="16" t="n">
        <v>45378</v>
      </c>
      <c r="H2565" s="19" t="n">
        <v>2.26</v>
      </c>
      <c r="J2565" s="16" t="n">
        <v>45378</v>
      </c>
      <c r="K2565" s="19" t="n">
        <v>136.69</v>
      </c>
    </row>
    <row r="2566">
      <c r="D2566" s="16" t="n">
        <v>45379</v>
      </c>
      <c r="E2566" s="19" t="n">
        <v>5.18</v>
      </c>
      <c r="G2566" s="16" t="n">
        <v>45379</v>
      </c>
      <c r="H2566" s="19" t="n">
        <v>2.31</v>
      </c>
      <c r="J2566" s="16" t="n">
        <v>45379</v>
      </c>
      <c r="K2566" s="19" t="n">
        <v>136.11</v>
      </c>
    </row>
    <row r="2567">
      <c r="D2567" s="16" t="n">
        <v>45380</v>
      </c>
      <c r="E2567" s="19" t="n">
        <v>5.17</v>
      </c>
      <c r="G2567" s="16" t="n">
        <v>45380</v>
      </c>
      <c r="H2567" s="19" t="n">
        <v>2.27</v>
      </c>
      <c r="J2567" s="16" t="n">
        <v>45380</v>
      </c>
      <c r="K2567" s="19" t="n">
        <v>137.07</v>
      </c>
    </row>
    <row r="2568">
      <c r="D2568" s="16" t="n">
        <v>45383</v>
      </c>
      <c r="E2568" s="19" t="n">
        <v>5.17</v>
      </c>
      <c r="G2568" s="16" t="n">
        <v>45383</v>
      </c>
      <c r="H2568" s="19" t="n">
        <v>2.29</v>
      </c>
      <c r="J2568" s="16" t="n">
        <v>45383</v>
      </c>
      <c r="K2568" s="19" t="n">
        <v>137.22</v>
      </c>
    </row>
    <row r="2569">
      <c r="D2569" s="16" t="n">
        <v>45384</v>
      </c>
      <c r="E2569" s="19" t="n">
        <v>5.17</v>
      </c>
      <c r="G2569" s="16" t="n">
        <v>45384</v>
      </c>
      <c r="H2569" s="19" t="n">
        <v>2.31</v>
      </c>
      <c r="J2569" s="16" t="n">
        <v>45384</v>
      </c>
      <c r="K2569" s="19" t="n">
        <v>137.42</v>
      </c>
    </row>
    <row r="2570">
      <c r="D2570" s="16" t="n">
        <v>45385</v>
      </c>
      <c r="E2570" s="19" t="n">
        <v>5.15</v>
      </c>
      <c r="G2570" s="16" t="n">
        <v>45385</v>
      </c>
      <c r="H2570" s="19" t="n">
        <v>2.29</v>
      </c>
      <c r="J2570" s="16" t="n">
        <v>45385</v>
      </c>
      <c r="K2570" s="19" t="n">
        <v>137.19</v>
      </c>
    </row>
    <row r="2571">
      <c r="D2571" s="16" t="n">
        <v>45386</v>
      </c>
      <c r="E2571" s="19" t="n">
        <v>5.18</v>
      </c>
      <c r="G2571" s="16" t="n">
        <v>45386</v>
      </c>
      <c r="H2571" s="19" t="n">
        <v>2.33</v>
      </c>
      <c r="J2571" s="16" t="n">
        <v>45386</v>
      </c>
      <c r="K2571" s="19" t="n">
        <v>136.64</v>
      </c>
    </row>
    <row r="2572">
      <c r="D2572" s="16" t="n">
        <v>45387</v>
      </c>
      <c r="E2572" s="19" t="n">
        <v>5.2</v>
      </c>
      <c r="G2572" s="16" t="n">
        <v>45387</v>
      </c>
      <c r="H2572" s="19" t="n">
        <v>2.36</v>
      </c>
      <c r="J2572" s="16" t="n">
        <v>45387</v>
      </c>
      <c r="K2572" s="19" t="n">
        <v>136.34</v>
      </c>
    </row>
    <row r="2573">
      <c r="D2573" s="16" t="n">
        <v>45390</v>
      </c>
      <c r="E2573" s="19" t="n">
        <v>5.19</v>
      </c>
      <c r="G2573" s="16" t="n">
        <v>45390</v>
      </c>
      <c r="H2573" s="19" t="n">
        <v>2.38</v>
      </c>
      <c r="J2573" s="16" t="n">
        <v>45390</v>
      </c>
      <c r="K2573" s="19" t="n">
        <v>136.1</v>
      </c>
    </row>
    <row r="2574">
      <c r="D2574" s="16" t="n">
        <v>45391</v>
      </c>
      <c r="E2574" s="19" t="n">
        <v>5.2</v>
      </c>
      <c r="G2574" s="16" t="n">
        <v>45391</v>
      </c>
      <c r="H2574" s="19" t="n">
        <v>2.41</v>
      </c>
      <c r="J2574" s="16" t="n">
        <v>45391</v>
      </c>
      <c r="K2574" s="19" t="n">
        <v>135.36</v>
      </c>
    </row>
    <row r="2575">
      <c r="D2575" s="16" t="n">
        <v>45392</v>
      </c>
      <c r="E2575" s="19" t="n">
        <v>5.2</v>
      </c>
      <c r="G2575" s="16" t="n">
        <v>45392</v>
      </c>
      <c r="H2575" s="19" t="n">
        <v>2.38</v>
      </c>
      <c r="J2575" s="16" t="n">
        <v>45392</v>
      </c>
      <c r="K2575" s="19" t="n">
        <v>135.84</v>
      </c>
    </row>
    <row r="2576">
      <c r="D2576" s="16" t="n">
        <v>45393</v>
      </c>
      <c r="E2576" s="19" t="n">
        <v>5.05</v>
      </c>
      <c r="G2576" s="16" t="n">
        <v>45393</v>
      </c>
      <c r="H2576" s="19" t="n">
        <v>2.48</v>
      </c>
      <c r="J2576" s="16" t="n">
        <v>45393</v>
      </c>
      <c r="K2576" s="19" t="n">
        <v>135.31</v>
      </c>
    </row>
    <row r="2577">
      <c r="D2577" s="16" t="n">
        <v>45394</v>
      </c>
      <c r="E2577" s="19" t="n">
        <v>5.07</v>
      </c>
      <c r="G2577" s="16" t="n">
        <v>45394</v>
      </c>
      <c r="H2577" s="19" t="n">
        <v>2.51</v>
      </c>
      <c r="J2577" s="16" t="n">
        <v>45394</v>
      </c>
      <c r="K2577" s="19" t="n">
        <v>134.83</v>
      </c>
    </row>
    <row r="2578">
      <c r="D2578" s="16" t="n">
        <v>45397</v>
      </c>
      <c r="E2578" s="19" t="n">
        <v>5.12</v>
      </c>
      <c r="G2578" s="16" t="n">
        <v>45397</v>
      </c>
      <c r="H2578" s="19" t="n">
        <v>2.51</v>
      </c>
      <c r="J2578" s="16" t="n">
        <v>45397</v>
      </c>
      <c r="K2578" s="19" t="n">
        <v>135.07</v>
      </c>
    </row>
    <row r="2579">
      <c r="D2579" s="16" t="n">
        <v>45398</v>
      </c>
      <c r="E2579" s="19" t="n">
        <v>5.2</v>
      </c>
      <c r="G2579" s="16" t="n">
        <v>45398</v>
      </c>
      <c r="H2579" s="19" t="n">
        <v>2.51</v>
      </c>
      <c r="J2579" s="16" t="n">
        <v>45398</v>
      </c>
      <c r="K2579" s="19" t="n">
        <v>133.72</v>
      </c>
    </row>
    <row r="2580">
      <c r="D2580" s="16" t="n">
        <v>45399</v>
      </c>
      <c r="E2580" s="19" t="n">
        <v>5.2</v>
      </c>
      <c r="G2580" s="16" t="n">
        <v>45399</v>
      </c>
      <c r="H2580" s="19" t="n">
        <v>2.53</v>
      </c>
      <c r="J2580" s="16" t="n">
        <v>45399</v>
      </c>
      <c r="K2580" s="19" t="n">
        <v>133.51</v>
      </c>
    </row>
    <row r="2581">
      <c r="D2581" s="16" t="n">
        <v>45400</v>
      </c>
      <c r="E2581" s="19" t="n">
        <v>5.2</v>
      </c>
      <c r="G2581" s="16" t="n">
        <v>45400</v>
      </c>
      <c r="H2581" s="19" t="n">
        <v>2.53</v>
      </c>
      <c r="J2581" s="16" t="n">
        <v>45400</v>
      </c>
      <c r="K2581" s="19" t="n">
        <v>133.63</v>
      </c>
    </row>
    <row r="2582">
      <c r="D2582" s="16" t="n">
        <v>45401</v>
      </c>
      <c r="E2582" s="19" t="n">
        <v>5.2</v>
      </c>
      <c r="G2582" s="16" t="n">
        <v>45401</v>
      </c>
      <c r="H2582" s="19" t="n">
        <v>2.48</v>
      </c>
      <c r="J2582" s="16" t="n">
        <v>45401</v>
      </c>
      <c r="K2582" s="19" t="n">
        <v>134.11</v>
      </c>
    </row>
    <row r="2583">
      <c r="D2583" s="16" t="n">
        <v>45404</v>
      </c>
      <c r="E2583" s="19" t="n">
        <v>5.18</v>
      </c>
      <c r="G2583" s="16" t="n">
        <v>45404</v>
      </c>
      <c r="H2583" s="19" t="n">
        <v>2.52</v>
      </c>
      <c r="J2583" s="16" t="n">
        <v>45404</v>
      </c>
      <c r="K2583" s="19" t="n">
        <v>133.75</v>
      </c>
    </row>
    <row r="2584">
      <c r="D2584" s="16" t="n">
        <v>45405</v>
      </c>
      <c r="E2584" s="19" t="n">
        <v>5.2</v>
      </c>
      <c r="G2584" s="16" t="n">
        <v>45405</v>
      </c>
      <c r="H2584" s="19" t="n">
        <v>2.48</v>
      </c>
      <c r="J2584" s="16" t="n">
        <v>45405</v>
      </c>
      <c r="K2584" s="19" t="n">
        <v>132.39</v>
      </c>
    </row>
    <row r="2585">
      <c r="D2585" s="16" t="n">
        <v>45406</v>
      </c>
      <c r="E2585" s="19" t="n">
        <v>5.18</v>
      </c>
      <c r="G2585" s="16" t="n">
        <v>45406</v>
      </c>
      <c r="H2585" s="19" t="n">
        <v>2.45</v>
      </c>
      <c r="J2585" s="16" t="n">
        <v>45406</v>
      </c>
      <c r="K2585" s="19" t="n">
        <v>132.85</v>
      </c>
    </row>
    <row r="2586">
      <c r="D2586" s="16" t="n">
        <v>45407</v>
      </c>
      <c r="E2586" s="19" t="n">
        <v>5.2</v>
      </c>
      <c r="G2586" s="16" t="n">
        <v>45407</v>
      </c>
      <c r="H2586" s="19" t="n">
        <v>2.41</v>
      </c>
      <c r="J2586" s="16" t="n">
        <v>45407</v>
      </c>
      <c r="K2586" s="19" t="n">
        <v>133.27</v>
      </c>
    </row>
    <row r="2587">
      <c r="D2587" s="16" t="n">
        <v>45408</v>
      </c>
      <c r="E2587" s="19" t="n">
        <v>5.2</v>
      </c>
      <c r="G2587" s="16" t="n">
        <v>45408</v>
      </c>
      <c r="H2587" s="19" t="n">
        <v>2.38</v>
      </c>
      <c r="J2587" s="16" t="n">
        <v>45408</v>
      </c>
      <c r="K2587" s="19" t="n">
        <v>134.11</v>
      </c>
    </row>
    <row r="2588">
      <c r="D2588" s="16" t="n">
        <v>45411</v>
      </c>
      <c r="E2588" s="19" t="n">
        <v>5.2</v>
      </c>
      <c r="G2588" s="16" t="n">
        <v>45411</v>
      </c>
      <c r="H2588" s="19" t="n">
        <v>2.44</v>
      </c>
      <c r="J2588" s="16" t="n">
        <v>45411</v>
      </c>
      <c r="K2588" s="19" t="n">
        <v>135.2</v>
      </c>
    </row>
    <row r="2589">
      <c r="D2589" s="16" t="n">
        <v>45412</v>
      </c>
      <c r="E2589" s="19" t="n">
        <v>5.2</v>
      </c>
      <c r="G2589" s="16" t="n">
        <v>45412</v>
      </c>
      <c r="H2589" s="19" t="n">
        <v>2.49</v>
      </c>
      <c r="J2589" s="16" t="n">
        <v>45412</v>
      </c>
      <c r="K2589" s="19" t="n">
        <v>135.32</v>
      </c>
    </row>
    <row r="2590">
      <c r="D2590" s="16" t="n">
        <v>45413</v>
      </c>
      <c r="E2590" s="19" t="n">
        <v>5.11</v>
      </c>
      <c r="G2590" s="16" t="n">
        <v>45413</v>
      </c>
      <c r="H2590" s="19" t="n">
        <v>2.54</v>
      </c>
      <c r="J2590" s="16" t="n">
        <v>45413</v>
      </c>
      <c r="K2590" s="19" t="n">
        <v>135.53</v>
      </c>
    </row>
    <row r="2591">
      <c r="D2591" s="16" t="n">
        <v>45414</v>
      </c>
      <c r="E2591" s="19" t="n">
        <v>5.1</v>
      </c>
      <c r="G2591" s="16" t="n">
        <v>45414</v>
      </c>
      <c r="H2591" s="19" t="n">
        <v>2.51</v>
      </c>
      <c r="J2591" s="16" t="n">
        <v>45414</v>
      </c>
      <c r="K2591" s="19" t="n">
        <v>133.66</v>
      </c>
    </row>
    <row r="2592">
      <c r="D2592" s="16" t="n">
        <v>45415</v>
      </c>
      <c r="E2592" s="19" t="n">
        <v>5.1</v>
      </c>
      <c r="G2592" s="16" t="n">
        <v>45415</v>
      </c>
      <c r="H2592" s="19" t="n">
        <v>2.48</v>
      </c>
      <c r="J2592" s="16" t="n">
        <v>45415</v>
      </c>
      <c r="K2592" s="19" t="n">
        <v>134.14</v>
      </c>
    </row>
    <row r="2593">
      <c r="D2593" s="16" t="n">
        <v>45418</v>
      </c>
      <c r="E2593" s="19" t="n">
        <v>5.06</v>
      </c>
      <c r="G2593" s="16" t="n">
        <v>45418</v>
      </c>
      <c r="H2593" s="19" t="n">
        <v>2.42</v>
      </c>
      <c r="J2593" s="16" t="n">
        <v>45418</v>
      </c>
      <c r="K2593" s="19" t="n">
        <v>133.62</v>
      </c>
    </row>
    <row r="2594">
      <c r="D2594" s="16" t="n">
        <v>45419</v>
      </c>
      <c r="E2594" s="19" t="n">
        <v>5.08</v>
      </c>
      <c r="G2594" s="16" t="n">
        <v>45419</v>
      </c>
      <c r="H2594" s="19" t="n">
        <v>2.44</v>
      </c>
      <c r="J2594" s="16" t="n">
        <v>45419</v>
      </c>
      <c r="K2594" s="19" t="n">
        <v>133.97</v>
      </c>
    </row>
    <row r="2595">
      <c r="D2595" s="16" t="n">
        <v>45420</v>
      </c>
      <c r="E2595" s="19" t="n">
        <v>5</v>
      </c>
      <c r="G2595" s="16" t="n">
        <v>45420</v>
      </c>
      <c r="H2595" s="19" t="n">
        <v>2.45</v>
      </c>
      <c r="J2595" s="16" t="n">
        <v>45420</v>
      </c>
      <c r="K2595" s="19" t="n">
        <v>134.77</v>
      </c>
    </row>
    <row r="2596">
      <c r="D2596" s="16" t="n">
        <v>45421</v>
      </c>
      <c r="E2596" s="19" t="n">
        <v>5</v>
      </c>
      <c r="G2596" s="16" t="n">
        <v>45421</v>
      </c>
      <c r="H2596" s="19" t="n">
        <v>2.43</v>
      </c>
      <c r="J2596" s="16" t="n">
        <v>45421</v>
      </c>
      <c r="K2596" s="19" t="n">
        <v>133.62</v>
      </c>
    </row>
    <row r="2597">
      <c r="D2597" s="16" t="n">
        <v>45422</v>
      </c>
      <c r="E2597" s="19" t="n">
        <v>5.04</v>
      </c>
      <c r="G2597" s="16" t="n">
        <v>45422</v>
      </c>
      <c r="H2597" s="19" t="n">
        <v>2.38</v>
      </c>
      <c r="J2597" s="16" t="n">
        <v>45422</v>
      </c>
      <c r="K2597" s="19" t="n">
        <v>132.99</v>
      </c>
    </row>
    <row r="2598">
      <c r="D2598" s="16" t="n">
        <v>45425</v>
      </c>
      <c r="E2598" s="19" t="n">
        <v>4.91</v>
      </c>
      <c r="G2598" s="16" t="n">
        <v>45425</v>
      </c>
      <c r="H2598" s="19" t="n">
        <v>2.46</v>
      </c>
      <c r="J2598" s="16" t="n">
        <v>45425</v>
      </c>
      <c r="K2598" s="19" t="n">
        <v>131.82</v>
      </c>
    </row>
    <row r="2599">
      <c r="D2599" s="16" t="n">
        <v>45426</v>
      </c>
      <c r="E2599" s="19" t="n">
        <v>4.94</v>
      </c>
      <c r="G2599" s="16" t="n">
        <v>45426</v>
      </c>
      <c r="H2599" s="19" t="n">
        <v>2.42</v>
      </c>
      <c r="J2599" s="16" t="n">
        <v>45426</v>
      </c>
      <c r="K2599" s="19" t="n">
        <v>130.72</v>
      </c>
    </row>
    <row r="2600">
      <c r="D2600" s="16" t="n">
        <v>45427</v>
      </c>
      <c r="E2600" s="19" t="n">
        <v>4.87</v>
      </c>
      <c r="G2600" s="16" t="n">
        <v>45427</v>
      </c>
      <c r="H2600" s="19" t="n">
        <v>2.46</v>
      </c>
      <c r="J2600" s="16" t="n">
        <v>45427</v>
      </c>
      <c r="K2600" s="19" t="n">
        <v>129.8</v>
      </c>
    </row>
    <row r="2601">
      <c r="D2601" s="16" t="n">
        <v>45428</v>
      </c>
      <c r="E2601" s="19" t="n">
        <v>4.93</v>
      </c>
      <c r="G2601" s="16" t="n">
        <v>45428</v>
      </c>
      <c r="H2601" s="19" t="n">
        <v>2.52</v>
      </c>
      <c r="J2601" s="16" t="n">
        <v>45428</v>
      </c>
      <c r="K2601" s="19" t="n">
        <v>129.32</v>
      </c>
    </row>
    <row r="2602">
      <c r="D2602" s="16" t="n">
        <v>45429</v>
      </c>
      <c r="E2602" s="19" t="n">
        <v>4.9</v>
      </c>
      <c r="G2602" s="16" t="n">
        <v>45429</v>
      </c>
      <c r="H2602" s="19" t="n">
        <v>2.47</v>
      </c>
      <c r="J2602" s="16" t="n">
        <v>45429</v>
      </c>
      <c r="K2602" s="19" t="n">
        <v>129.29</v>
      </c>
    </row>
    <row r="2603">
      <c r="D2603" s="16" t="n">
        <v>45432</v>
      </c>
      <c r="E2603" s="19" t="n">
        <v>4.94</v>
      </c>
      <c r="G2603" s="16" t="n">
        <v>45432</v>
      </c>
      <c r="H2603" s="19" t="n">
        <v>2.43</v>
      </c>
      <c r="J2603" s="16" t="n">
        <v>45432</v>
      </c>
      <c r="K2603" s="19" t="n">
        <v>129.11</v>
      </c>
    </row>
    <row r="2604">
      <c r="D2604" s="16" t="n">
        <v>45433</v>
      </c>
      <c r="E2604" s="19" t="n">
        <v>4.93</v>
      </c>
      <c r="G2604" s="16" t="n">
        <v>45433</v>
      </c>
      <c r="H2604" s="19" t="n">
        <v>2.43</v>
      </c>
      <c r="J2604" s="16" t="n">
        <v>45433</v>
      </c>
      <c r="K2604" s="19" t="n">
        <v>129.13</v>
      </c>
    </row>
    <row r="2605">
      <c r="D2605" s="16" t="n">
        <v>45434</v>
      </c>
      <c r="E2605" s="19" t="n">
        <v>4.9</v>
      </c>
      <c r="G2605" s="16" t="n">
        <v>45434</v>
      </c>
      <c r="H2605" s="19" t="n">
        <v>2.4</v>
      </c>
      <c r="J2605" s="16" t="n">
        <v>45434</v>
      </c>
      <c r="K2605" s="19" t="n">
        <v>129.25</v>
      </c>
    </row>
    <row r="2606">
      <c r="D2606" s="16" t="n">
        <v>45435</v>
      </c>
      <c r="E2606" s="19" t="n">
        <v>4.91</v>
      </c>
      <c r="G2606" s="16" t="n">
        <v>45435</v>
      </c>
      <c r="H2606" s="19" t="n">
        <v>2.41</v>
      </c>
      <c r="J2606" s="16" t="n">
        <v>45435</v>
      </c>
      <c r="K2606" s="19" t="n">
        <v>128.99</v>
      </c>
    </row>
    <row r="2607">
      <c r="D2607" s="16" t="n">
        <v>45436</v>
      </c>
      <c r="E2607" s="19" t="n">
        <v>4.95</v>
      </c>
      <c r="G2607" s="16" t="n">
        <v>45436</v>
      </c>
      <c r="H2607" s="19" t="n">
        <v>2.43</v>
      </c>
      <c r="J2607" s="16" t="n">
        <v>45436</v>
      </c>
      <c r="K2607" s="19" t="n">
        <v>128.94</v>
      </c>
    </row>
    <row r="2608">
      <c r="D2608" s="16" t="n">
        <v>45439</v>
      </c>
      <c r="E2608" s="19" t="n">
        <v>4.97</v>
      </c>
      <c r="G2608" s="16" t="n">
        <v>45439</v>
      </c>
      <c r="H2608" s="19" t="n">
        <v>2.42</v>
      </c>
      <c r="J2608" s="16" t="n">
        <v>45439</v>
      </c>
      <c r="K2608" s="19" t="n">
        <v>130.08</v>
      </c>
    </row>
    <row r="2609">
      <c r="D2609" s="16" t="n">
        <v>45440</v>
      </c>
      <c r="E2609" s="19" t="n">
        <v>5</v>
      </c>
      <c r="G2609" s="16" t="n">
        <v>45440</v>
      </c>
      <c r="H2609" s="19" t="n">
        <v>2.41</v>
      </c>
      <c r="J2609" s="16" t="n">
        <v>45440</v>
      </c>
      <c r="K2609" s="19" t="n">
        <v>129.27</v>
      </c>
    </row>
    <row r="2610">
      <c r="D2610" s="16" t="n">
        <v>45441</v>
      </c>
      <c r="E2610" s="19" t="n">
        <v>5.06</v>
      </c>
      <c r="G2610" s="16" t="n">
        <v>45441</v>
      </c>
      <c r="H2610" s="19" t="n">
        <v>2.41</v>
      </c>
      <c r="J2610" s="16" t="n">
        <v>45441</v>
      </c>
      <c r="K2610" s="19" t="n">
        <v>128.77</v>
      </c>
    </row>
    <row r="2611">
      <c r="D2611" s="16" t="n">
        <v>45442</v>
      </c>
      <c r="E2611" s="19" t="n">
        <v>5.05</v>
      </c>
      <c r="G2611" s="16" t="n">
        <v>45442</v>
      </c>
      <c r="H2611" s="19" t="n">
        <v>2.41</v>
      </c>
      <c r="J2611" s="16" t="n">
        <v>45442</v>
      </c>
      <c r="K2611" s="19" t="n">
        <v>128.8</v>
      </c>
    </row>
    <row r="2612">
      <c r="D2612" s="16" t="n">
        <v>45443</v>
      </c>
      <c r="E2612" s="19" t="n">
        <v>5.04</v>
      </c>
      <c r="G2612" s="16" t="n">
        <v>45443</v>
      </c>
      <c r="H2612" s="19" t="n">
        <v>2.42</v>
      </c>
      <c r="J2612" s="16" t="n">
        <v>45443</v>
      </c>
      <c r="K2612" s="19" t="n">
        <v>129.45</v>
      </c>
    </row>
    <row r="2613">
      <c r="D2613" s="16" t="n">
        <v>45446</v>
      </c>
      <c r="E2613" s="19" t="n">
        <v>5.07</v>
      </c>
      <c r="G2613" s="16" t="n">
        <v>45446</v>
      </c>
      <c r="H2613" s="19" t="n">
        <v>2.45</v>
      </c>
      <c r="J2613" s="16" t="n">
        <v>45446</v>
      </c>
      <c r="K2613" s="19" t="n">
        <v>130.42</v>
      </c>
    </row>
    <row r="2614">
      <c r="D2614" s="16" t="n">
        <v>45447</v>
      </c>
      <c r="E2614" s="19" t="n">
        <v>5.12</v>
      </c>
      <c r="G2614" s="16" t="n">
        <v>45447</v>
      </c>
      <c r="H2614" s="19" t="n">
        <v>2.45</v>
      </c>
      <c r="J2614" s="16" t="n">
        <v>45447</v>
      </c>
      <c r="K2614" s="19" t="n">
        <v>130.45</v>
      </c>
    </row>
    <row r="2615">
      <c r="D2615" s="16" t="n">
        <v>45448</v>
      </c>
      <c r="E2615" s="19" t="n">
        <v>5.07</v>
      </c>
      <c r="G2615" s="16" t="n">
        <v>45448</v>
      </c>
      <c r="H2615" s="19" t="n">
        <v>2.5</v>
      </c>
      <c r="J2615" s="16" t="n">
        <v>45448</v>
      </c>
      <c r="K2615" s="19" t="n">
        <v>130.21</v>
      </c>
    </row>
    <row r="2616">
      <c r="D2616" s="16" t="n">
        <v>45449</v>
      </c>
      <c r="E2616" s="19" t="n">
        <v>5.1</v>
      </c>
      <c r="G2616" s="16" t="n">
        <v>45449</v>
      </c>
      <c r="H2616" s="19" t="n">
        <v>2.52</v>
      </c>
      <c r="J2616" s="16" t="n">
        <v>45449</v>
      </c>
      <c r="K2616" s="19" t="n">
        <v>129.44</v>
      </c>
    </row>
    <row r="2617">
      <c r="D2617" s="16" t="n">
        <v>45450</v>
      </c>
      <c r="E2617" s="19" t="n">
        <v>5.05</v>
      </c>
      <c r="G2617" s="16" t="n">
        <v>45450</v>
      </c>
      <c r="H2617" s="19" t="n">
        <v>2.54</v>
      </c>
      <c r="J2617" s="16" t="n">
        <v>45450</v>
      </c>
      <c r="K2617" s="19" t="n">
        <v>128.96</v>
      </c>
    </row>
    <row r="2618">
      <c r="D2618" s="16" t="n">
        <v>45453</v>
      </c>
      <c r="E2618" s="19" t="n">
        <v>4.99</v>
      </c>
      <c r="G2618" s="16" t="n">
        <v>45453</v>
      </c>
      <c r="H2618" s="19" t="n">
        <v>2.55</v>
      </c>
      <c r="J2618" s="16" t="n">
        <v>45453</v>
      </c>
      <c r="K2618" s="19" t="n">
        <v>129.3</v>
      </c>
    </row>
    <row r="2619">
      <c r="D2619" s="16" t="n">
        <v>45454</v>
      </c>
      <c r="E2619" s="19" t="n">
        <v>4.98</v>
      </c>
      <c r="G2619" s="16" t="n">
        <v>45454</v>
      </c>
      <c r="H2619" s="19" t="n">
        <v>2.58</v>
      </c>
      <c r="J2619" s="16" t="n">
        <v>45454</v>
      </c>
      <c r="K2619" s="19" t="n">
        <v>129.56</v>
      </c>
    </row>
    <row r="2620">
      <c r="D2620" s="16" t="n">
        <v>45455</v>
      </c>
      <c r="E2620" s="19" t="n">
        <v>4.96</v>
      </c>
      <c r="G2620" s="16" t="n">
        <v>45455</v>
      </c>
      <c r="H2620" s="19" t="n">
        <v>2.58</v>
      </c>
      <c r="J2620" s="16" t="n">
        <v>45455</v>
      </c>
      <c r="K2620" s="19" t="n">
        <v>129.64</v>
      </c>
    </row>
    <row r="2621">
      <c r="D2621" s="16" t="n">
        <v>45456</v>
      </c>
      <c r="E2621" s="19" t="n">
        <v>4.98</v>
      </c>
      <c r="G2621" s="16" t="n">
        <v>45456</v>
      </c>
      <c r="H2621" s="19" t="n">
        <v>2.65</v>
      </c>
      <c r="J2621" s="16" t="n">
        <v>45456</v>
      </c>
      <c r="K2621" s="19" t="n">
        <v>128.39</v>
      </c>
    </row>
    <row r="2622">
      <c r="D2622" s="16" t="n">
        <v>45457</v>
      </c>
      <c r="E2622" s="19" t="n">
        <v>4.9</v>
      </c>
      <c r="G2622" s="16" t="n">
        <v>45457</v>
      </c>
      <c r="H2622" s="19" t="n">
        <v>2.63</v>
      </c>
      <c r="J2622" s="16" t="n">
        <v>45457</v>
      </c>
      <c r="K2622" s="19" t="n">
        <v>126.7</v>
      </c>
    </row>
    <row r="2623">
      <c r="D2623" s="16" t="n">
        <v>45460</v>
      </c>
      <c r="E2623" s="19" t="n">
        <v>4.88</v>
      </c>
      <c r="G2623" s="16" t="n">
        <v>45460</v>
      </c>
      <c r="H2623" s="19" t="n">
        <v>2.54</v>
      </c>
      <c r="J2623" s="16" t="n">
        <v>45460</v>
      </c>
      <c r="K2623" s="19" t="n">
        <v>126.36</v>
      </c>
    </row>
    <row r="2624">
      <c r="D2624" s="16" t="n">
        <v>45461</v>
      </c>
      <c r="E2624" s="19" t="n">
        <v>4.98</v>
      </c>
      <c r="G2624" s="16" t="n">
        <v>45461</v>
      </c>
      <c r="H2624" s="19" t="n">
        <v>2.54</v>
      </c>
      <c r="J2624" s="16" t="n">
        <v>45461</v>
      </c>
      <c r="K2624" s="19" t="n">
        <v>126.39</v>
      </c>
    </row>
    <row r="2625">
      <c r="D2625" s="16" t="n">
        <v>45462</v>
      </c>
      <c r="E2625" s="19" t="n">
        <v>4.99</v>
      </c>
      <c r="G2625" s="16" t="n">
        <v>45462</v>
      </c>
      <c r="H2625" s="19" t="n">
        <v>2.55</v>
      </c>
      <c r="J2625" s="16" t="n">
        <v>45462</v>
      </c>
      <c r="K2625" s="19" t="n">
        <v>126.47</v>
      </c>
    </row>
    <row r="2626">
      <c r="D2626" s="16" t="n">
        <v>45463</v>
      </c>
      <c r="E2626" s="19" t="n">
        <v>5.04</v>
      </c>
      <c r="G2626" s="16" t="n">
        <v>45463</v>
      </c>
      <c r="H2626" s="19" t="n">
        <v>2.54</v>
      </c>
      <c r="J2626" s="16" t="n">
        <v>45463</v>
      </c>
      <c r="K2626" s="19" t="n">
        <v>126.14</v>
      </c>
    </row>
    <row r="2627">
      <c r="D2627" s="16" t="n">
        <v>45464</v>
      </c>
      <c r="E2627" s="19" t="n">
        <v>5</v>
      </c>
      <c r="G2627" s="16" t="n">
        <v>45464</v>
      </c>
      <c r="H2627" s="19" t="n">
        <v>2.54</v>
      </c>
      <c r="J2627" s="16" t="n">
        <v>45464</v>
      </c>
      <c r="K2627" s="19" t="n">
        <v>125.33</v>
      </c>
    </row>
    <row r="2628">
      <c r="D2628" s="16" t="n">
        <v>45467</v>
      </c>
      <c r="E2628" s="19" t="n">
        <v>5</v>
      </c>
      <c r="G2628" s="16" t="n">
        <v>45467</v>
      </c>
      <c r="H2628" s="19" t="n">
        <v>2.5</v>
      </c>
      <c r="J2628" s="16" t="n">
        <v>45467</v>
      </c>
      <c r="K2628" s="19" t="n">
        <v>125.35</v>
      </c>
    </row>
    <row r="2629">
      <c r="D2629" s="16" t="n">
        <v>45468</v>
      </c>
      <c r="E2629" s="19" t="n">
        <v>4.95</v>
      </c>
      <c r="G2629" s="16" t="n">
        <v>45468</v>
      </c>
      <c r="H2629" s="19" t="n">
        <v>2.46</v>
      </c>
      <c r="J2629" s="16" t="n">
        <v>45468</v>
      </c>
      <c r="K2629" s="19" t="n">
        <v>125.39</v>
      </c>
    </row>
    <row r="2630">
      <c r="D2630" s="16" t="n">
        <v>45469</v>
      </c>
      <c r="E2630" s="19" t="n">
        <v>4.91</v>
      </c>
      <c r="G2630" s="16" t="n">
        <v>45469</v>
      </c>
      <c r="H2630" s="19" t="n">
        <v>2.41</v>
      </c>
      <c r="J2630" s="16" t="n">
        <v>45469</v>
      </c>
      <c r="K2630" s="19" t="n">
        <v>125.99</v>
      </c>
    </row>
    <row r="2631">
      <c r="D2631" s="16" t="n">
        <v>45470</v>
      </c>
      <c r="E2631" s="19" t="n">
        <v>4.88</v>
      </c>
      <c r="G2631" s="16" t="n">
        <v>45470</v>
      </c>
      <c r="H2631" s="19" t="n">
        <v>2.49</v>
      </c>
      <c r="J2631" s="16" t="n">
        <v>45470</v>
      </c>
      <c r="K2631" s="19" t="n">
        <v>127.15</v>
      </c>
    </row>
    <row r="2632">
      <c r="D2632" s="16" t="n">
        <v>45471</v>
      </c>
      <c r="E2632" s="19" t="n">
        <v>4.85</v>
      </c>
      <c r="G2632" s="16" t="n">
        <v>45471</v>
      </c>
      <c r="H2632" s="19" t="n">
        <v>2.53</v>
      </c>
      <c r="J2632" s="16" t="n">
        <v>45471</v>
      </c>
      <c r="K2632" s="19" t="n">
        <v>127.37</v>
      </c>
    </row>
    <row r="2633">
      <c r="D2633" s="16" t="n">
        <v>45474</v>
      </c>
      <c r="E2633" s="19" t="n">
        <v>4.93</v>
      </c>
      <c r="G2633" s="16" t="n">
        <v>45474</v>
      </c>
      <c r="H2633" s="19" t="n">
        <v>2.56</v>
      </c>
      <c r="J2633" s="16" t="n">
        <v>45474</v>
      </c>
      <c r="K2633" s="19" t="n">
        <v>126.79</v>
      </c>
    </row>
    <row r="2634">
      <c r="D2634" s="16" t="n">
        <v>45475</v>
      </c>
      <c r="E2634" s="19" t="n">
        <v>4.82</v>
      </c>
      <c r="G2634" s="16" t="n">
        <v>45475</v>
      </c>
      <c r="H2634" s="19" t="n">
        <v>2.59</v>
      </c>
      <c r="J2634" s="16" t="n">
        <v>45475</v>
      </c>
      <c r="K2634" s="19" t="n">
        <v>125.86</v>
      </c>
    </row>
    <row r="2635">
      <c r="D2635" s="16" t="n">
        <v>45476</v>
      </c>
      <c r="E2635" s="19" t="n">
        <v>4.87</v>
      </c>
      <c r="G2635" s="16" t="n">
        <v>45476</v>
      </c>
      <c r="H2635" s="19" t="n">
        <v>2.56</v>
      </c>
      <c r="J2635" s="16" t="n">
        <v>45476</v>
      </c>
      <c r="K2635" s="19" t="n">
        <v>125.09</v>
      </c>
    </row>
    <row r="2636">
      <c r="D2636" s="16" t="n">
        <v>45477</v>
      </c>
      <c r="E2636" s="19" t="inlineStr">
        <is>
          <t>.</t>
        </is>
      </c>
      <c r="G2636" s="16" t="n">
        <v>45477</v>
      </c>
      <c r="H2636" s="19" t="inlineStr">
        <is>
          <t>.</t>
        </is>
      </c>
      <c r="J2636" s="16" t="n">
        <v>45477</v>
      </c>
      <c r="K2636" s="19" t="inlineStr">
        <is>
          <t>.</t>
        </is>
      </c>
    </row>
    <row r="2637">
      <c r="D2637" s="16" t="n">
        <v>45478</v>
      </c>
      <c r="E2637" s="19" t="n">
        <v>4.81</v>
      </c>
      <c r="G2637" s="16" t="n">
        <v>45478</v>
      </c>
      <c r="H2637" s="19" t="n">
        <v>2.63</v>
      </c>
      <c r="J2637" s="16" t="n">
        <v>45478</v>
      </c>
      <c r="K2637" s="19" t="n">
        <v>125.45</v>
      </c>
    </row>
    <row r="2638">
      <c r="D2638" s="16" t="n">
        <v>45481</v>
      </c>
      <c r="E2638" s="19" t="n">
        <v>4.81</v>
      </c>
      <c r="G2638" s="16" t="n">
        <v>45481</v>
      </c>
      <c r="H2638" s="19" t="n">
        <v>2.59</v>
      </c>
      <c r="J2638" s="16" t="n">
        <v>45481</v>
      </c>
      <c r="K2638" s="19" t="n">
        <v>124.58</v>
      </c>
    </row>
    <row r="2639">
      <c r="D2639" s="16" t="n">
        <v>45482</v>
      </c>
      <c r="E2639" s="19" t="n">
        <v>4.83</v>
      </c>
      <c r="G2639" s="16" t="n">
        <v>45482</v>
      </c>
      <c r="H2639" s="19" t="n">
        <v>2.55</v>
      </c>
      <c r="J2639" s="16" t="n">
        <v>45482</v>
      </c>
      <c r="K2639" s="19" t="n">
        <v>124.91</v>
      </c>
    </row>
    <row r="2640">
      <c r="D2640" s="16" t="n">
        <v>45483</v>
      </c>
      <c r="E2640" s="19" t="n">
        <v>4.87</v>
      </c>
      <c r="G2640" s="16" t="n">
        <v>45483</v>
      </c>
      <c r="H2640" s="19" t="n">
        <v>2.6</v>
      </c>
      <c r="J2640" s="16" t="n">
        <v>45483</v>
      </c>
      <c r="K2640" s="19" t="n">
        <v>124.49</v>
      </c>
    </row>
    <row r="2641">
      <c r="D2641" s="16" t="n">
        <v>45484</v>
      </c>
      <c r="E2641" s="19" t="n">
        <v>4.88</v>
      </c>
      <c r="G2641" s="16" t="n">
        <v>45484</v>
      </c>
      <c r="H2641" s="19" t="n">
        <v>2.62</v>
      </c>
      <c r="J2641" s="16" t="n">
        <v>45484</v>
      </c>
      <c r="K2641" s="19" t="n">
        <v>122.94</v>
      </c>
    </row>
    <row r="2642">
      <c r="D2642" s="16" t="n">
        <v>45485</v>
      </c>
      <c r="E2642" s="19" t="n">
        <v>4.84</v>
      </c>
      <c r="G2642" s="16" t="n">
        <v>45485</v>
      </c>
      <c r="H2642" s="19" t="n">
        <v>2.64</v>
      </c>
      <c r="J2642" s="16" t="n">
        <v>45485</v>
      </c>
      <c r="K2642" s="19" t="n">
        <v>122.63</v>
      </c>
    </row>
    <row r="2643">
      <c r="D2643" s="16" t="n">
        <v>45488</v>
      </c>
      <c r="E2643" s="19" t="n">
        <v>4.84</v>
      </c>
      <c r="G2643" s="16" t="n">
        <v>45488</v>
      </c>
      <c r="H2643" s="19" t="n">
        <v>2.65</v>
      </c>
      <c r="J2643" s="16" t="n">
        <v>45488</v>
      </c>
      <c r="K2643" s="19" t="n">
        <v>122.69</v>
      </c>
    </row>
    <row r="2644">
      <c r="D2644" s="16" t="n">
        <v>45489</v>
      </c>
      <c r="E2644" s="19" t="n">
        <v>4.87</v>
      </c>
      <c r="G2644" s="16" t="n">
        <v>45489</v>
      </c>
      <c r="H2644" s="19" t="n">
        <v>2.61</v>
      </c>
      <c r="J2644" s="16" t="n">
        <v>45489</v>
      </c>
      <c r="K2644" s="19" t="n">
        <v>123.57</v>
      </c>
    </row>
    <row r="2645">
      <c r="D2645" s="16" t="n">
        <v>45490</v>
      </c>
      <c r="E2645" s="19" t="n">
        <v>4.89</v>
      </c>
      <c r="G2645" s="16" t="n">
        <v>45490</v>
      </c>
      <c r="H2645" s="19" t="n">
        <v>2.65</v>
      </c>
      <c r="J2645" s="16" t="n">
        <v>45490</v>
      </c>
      <c r="K2645" s="19" t="n">
        <v>123.22</v>
      </c>
    </row>
    <row r="2646">
      <c r="D2646" s="16" t="n">
        <v>45491</v>
      </c>
      <c r="E2646" s="19" t="n">
        <v>4.88</v>
      </c>
      <c r="G2646" s="16" t="n">
        <v>45491</v>
      </c>
      <c r="H2646" s="19" t="n">
        <v>2.72</v>
      </c>
      <c r="J2646" s="16" t="n">
        <v>45491</v>
      </c>
      <c r="K2646" s="19" t="n">
        <v>122.5</v>
      </c>
    </row>
    <row r="2647">
      <c r="D2647" s="16" t="n">
        <v>45492</v>
      </c>
      <c r="E2647" s="19" t="n">
        <v>4.92</v>
      </c>
      <c r="G2647" s="16" t="n">
        <v>45492</v>
      </c>
      <c r="H2647" s="19" t="n">
        <v>2.75</v>
      </c>
      <c r="J2647" s="16" t="n">
        <v>45492</v>
      </c>
      <c r="K2647" s="19" t="n">
        <v>122.12</v>
      </c>
    </row>
    <row r="2648">
      <c r="D2648" s="16" t="n">
        <v>45495</v>
      </c>
      <c r="E2648" s="19" t="n">
        <v>4.93</v>
      </c>
      <c r="G2648" s="16" t="n">
        <v>45495</v>
      </c>
      <c r="H2648" s="19" t="n">
        <v>2.72</v>
      </c>
      <c r="J2648" s="16" t="n">
        <v>45495</v>
      </c>
      <c r="K2648" s="19" t="n">
        <v>122.55</v>
      </c>
    </row>
    <row r="2649">
      <c r="D2649" s="16" t="n">
        <v>45496</v>
      </c>
      <c r="E2649" s="19" t="n">
        <v>4.93</v>
      </c>
      <c r="G2649" s="16" t="n">
        <v>45496</v>
      </c>
      <c r="H2649" s="19" t="n">
        <v>2.78</v>
      </c>
      <c r="J2649" s="16" t="n">
        <v>45496</v>
      </c>
      <c r="K2649" s="19" t="n">
        <v>122.66</v>
      </c>
    </row>
    <row r="2650">
      <c r="D2650" s="16" t="n">
        <v>45497</v>
      </c>
      <c r="E2650" s="19" t="n">
        <v>4.94</v>
      </c>
      <c r="G2650" s="16" t="n">
        <v>45497</v>
      </c>
      <c r="H2650" s="19" t="n">
        <v>2.73</v>
      </c>
      <c r="J2650" s="16" t="n">
        <v>45497</v>
      </c>
      <c r="K2650" s="19" t="n">
        <v>122.77</v>
      </c>
    </row>
    <row r="2651">
      <c r="D2651" s="16" t="n">
        <v>45498</v>
      </c>
      <c r="E2651" s="19" t="n">
        <v>5.01</v>
      </c>
      <c r="G2651" s="16" t="n">
        <v>45498</v>
      </c>
      <c r="H2651" s="19" t="n">
        <v>2.75</v>
      </c>
      <c r="J2651" s="16" t="n">
        <v>45498</v>
      </c>
      <c r="K2651" s="19" t="n">
        <v>123.12</v>
      </c>
    </row>
    <row r="2652">
      <c r="D2652" s="16" t="n">
        <v>45499</v>
      </c>
      <c r="E2652" s="19" t="n">
        <v>4.99</v>
      </c>
      <c r="G2652" s="16" t="n">
        <v>45499</v>
      </c>
      <c r="H2652" s="19" t="n">
        <v>2.75</v>
      </c>
      <c r="J2652" s="16" t="n">
        <v>45499</v>
      </c>
      <c r="K2652" s="19" t="n">
        <v>124.57</v>
      </c>
    </row>
    <row r="2653">
      <c r="D2653" s="16" t="n">
        <v>45502</v>
      </c>
      <c r="E2653" s="19" t="n">
        <v>4.96</v>
      </c>
      <c r="G2653" s="16" t="n">
        <v>45502</v>
      </c>
      <c r="H2653" s="19" t="n">
        <v>2.73</v>
      </c>
      <c r="J2653" s="16" t="n">
        <v>45502</v>
      </c>
      <c r="K2653" s="19" t="n">
        <v>123.87</v>
      </c>
    </row>
    <row r="2654">
      <c r="D2654" s="16" t="n">
        <v>45503</v>
      </c>
      <c r="E2654" s="19" t="n">
        <v>5.01</v>
      </c>
      <c r="G2654" s="16" t="n">
        <v>45503</v>
      </c>
      <c r="H2654" s="19" t="n">
        <v>2.71</v>
      </c>
      <c r="J2654" s="16" t="n">
        <v>45503</v>
      </c>
      <c r="K2654" s="19" t="n">
        <v>124.31</v>
      </c>
    </row>
    <row r="2655">
      <c r="D2655" s="16" t="n">
        <v>45504</v>
      </c>
      <c r="E2655" s="19" t="n">
        <v>5.05</v>
      </c>
      <c r="G2655" s="16" t="n">
        <v>45504</v>
      </c>
      <c r="H2655" s="19" t="n">
        <v>2.64</v>
      </c>
      <c r="J2655" s="16" t="n">
        <v>45504</v>
      </c>
      <c r="K2655" s="19" t="n">
        <v>124.8</v>
      </c>
    </row>
    <row r="2656">
      <c r="D2656" s="16" t="n">
        <v>45505</v>
      </c>
      <c r="E2656" s="19" t="n">
        <v>5.1</v>
      </c>
      <c r="G2656" s="16" t="n">
        <v>45505</v>
      </c>
      <c r="H2656" s="19" t="n">
        <v>2.68</v>
      </c>
      <c r="J2656" s="16" t="n">
        <v>45505</v>
      </c>
      <c r="K2656" s="19" t="n">
        <v>124.12</v>
      </c>
    </row>
    <row r="2657">
      <c r="D2657" s="16" t="n">
        <v>45506</v>
      </c>
      <c r="E2657" s="19" t="n">
        <v>5.09</v>
      </c>
      <c r="G2657" s="16" t="n">
        <v>45506</v>
      </c>
      <c r="H2657" s="19" t="n">
        <v>2.72</v>
      </c>
      <c r="J2657" s="16" t="n">
        <v>45506</v>
      </c>
      <c r="K2657" s="19" t="n">
        <v>124.79</v>
      </c>
    </row>
    <row r="2658">
      <c r="D2658" s="16" t="n">
        <v>45509</v>
      </c>
      <c r="E2658" s="19" t="n">
        <v>5.05</v>
      </c>
      <c r="G2658" s="16" t="n">
        <v>45509</v>
      </c>
      <c r="H2658" s="19" t="n">
        <v>2.74</v>
      </c>
      <c r="J2658" s="16" t="n">
        <v>45509</v>
      </c>
      <c r="K2658" s="19" t="n">
        <v>125.39</v>
      </c>
    </row>
    <row r="2659">
      <c r="D2659" s="16" t="n">
        <v>45510</v>
      </c>
      <c r="E2659" s="19" t="n">
        <v>5.04</v>
      </c>
      <c r="G2659" s="16" t="n">
        <v>45510</v>
      </c>
      <c r="H2659" s="19" t="n">
        <v>2.74</v>
      </c>
      <c r="J2659" s="16" t="n">
        <v>45510</v>
      </c>
      <c r="K2659" s="19" t="n">
        <v>124.89</v>
      </c>
    </row>
    <row r="2660">
      <c r="D2660" s="16" t="n">
        <v>45511</v>
      </c>
      <c r="E2660" s="19" t="n">
        <v>5.06</v>
      </c>
      <c r="G2660" s="16" t="n">
        <v>45511</v>
      </c>
      <c r="H2660" s="19" t="n">
        <v>2.77</v>
      </c>
      <c r="J2660" s="16" t="n">
        <v>45511</v>
      </c>
      <c r="K2660" s="19" t="n">
        <v>123.73</v>
      </c>
    </row>
    <row r="2661">
      <c r="D2661" s="16" t="n">
        <v>45512</v>
      </c>
      <c r="E2661" s="19" t="n">
        <v>5.05</v>
      </c>
      <c r="G2661" s="16" t="n">
        <v>45512</v>
      </c>
      <c r="H2661" s="19" t="n">
        <v>2.76</v>
      </c>
      <c r="J2661" s="16" t="n">
        <v>45512</v>
      </c>
      <c r="K2661" s="19" t="n">
        <v>124.63</v>
      </c>
    </row>
    <row r="2662">
      <c r="D2662" s="16" t="n">
        <v>45513</v>
      </c>
      <c r="E2662" s="19" t="n">
        <v>5.05</v>
      </c>
      <c r="G2662" s="16" t="n">
        <v>45513</v>
      </c>
      <c r="H2662" s="19" t="n">
        <v>2.74</v>
      </c>
      <c r="J2662" s="16" t="n">
        <v>45513</v>
      </c>
      <c r="K2662" s="19" t="n">
        <v>123.23</v>
      </c>
    </row>
    <row r="2663">
      <c r="D2663" s="16" t="n">
        <v>45516</v>
      </c>
      <c r="E2663" s="19" t="n">
        <v>5.07</v>
      </c>
      <c r="G2663" s="16" t="n">
        <v>45516</v>
      </c>
      <c r="H2663" s="19" t="n">
        <v>2.76</v>
      </c>
      <c r="J2663" s="16" t="n">
        <v>45516</v>
      </c>
      <c r="K2663" s="19" t="n">
        <v>122.84</v>
      </c>
    </row>
    <row r="2664">
      <c r="D2664" s="16" t="n">
        <v>45517</v>
      </c>
      <c r="E2664" s="19" t="n">
        <v>5.1</v>
      </c>
      <c r="G2664" s="16" t="n">
        <v>45517</v>
      </c>
      <c r="H2664" s="19" t="n">
        <v>2.82</v>
      </c>
      <c r="J2664" s="16" t="n">
        <v>45517</v>
      </c>
      <c r="K2664" s="19" t="n">
        <v>122.67</v>
      </c>
    </row>
    <row r="2665">
      <c r="D2665" s="16" t="n">
        <v>45518</v>
      </c>
      <c r="E2665" s="19" t="n">
        <v>5.06</v>
      </c>
      <c r="G2665" s="16" t="n">
        <v>45518</v>
      </c>
      <c r="H2665" s="19" t="n">
        <v>2.88</v>
      </c>
      <c r="J2665" s="16" t="n">
        <v>45518</v>
      </c>
      <c r="K2665" s="19" t="n">
        <v>123</v>
      </c>
    </row>
    <row r="2666">
      <c r="D2666" s="16" t="n">
        <v>45519</v>
      </c>
      <c r="E2666" s="19" t="n">
        <v>5.08</v>
      </c>
      <c r="G2666" s="16" t="n">
        <v>45519</v>
      </c>
      <c r="H2666" s="19" t="n">
        <v>2.88</v>
      </c>
      <c r="J2666" s="16" t="n">
        <v>45519</v>
      </c>
      <c r="K2666" s="19" t="n">
        <v>122.71</v>
      </c>
    </row>
    <row r="2667">
      <c r="D2667" s="16" t="n">
        <v>45520</v>
      </c>
      <c r="E2667" s="19" t="n">
        <v>5.03</v>
      </c>
      <c r="G2667" s="16" t="n">
        <v>45520</v>
      </c>
      <c r="H2667" s="19" t="n">
        <v>2.87</v>
      </c>
      <c r="J2667" s="16" t="n">
        <v>45520</v>
      </c>
      <c r="K2667" s="19" t="n">
        <v>122.43</v>
      </c>
    </row>
    <row r="2668">
      <c r="D2668" s="16" t="n">
        <v>45523</v>
      </c>
      <c r="E2668" s="19" t="n">
        <v>5.1</v>
      </c>
      <c r="G2668" s="16" t="n">
        <v>45523</v>
      </c>
      <c r="H2668" s="19" t="n">
        <v>2.83</v>
      </c>
      <c r="J2668" s="16" t="n">
        <v>45523</v>
      </c>
      <c r="K2668" s="19" t="n">
        <v>120.89</v>
      </c>
    </row>
    <row r="2669">
      <c r="D2669" s="16" t="n">
        <v>45524</v>
      </c>
      <c r="E2669" s="19" t="n">
        <v>5.16</v>
      </c>
      <c r="G2669" s="16" t="n">
        <v>45524</v>
      </c>
      <c r="H2669" s="19" t="n">
        <v>2.79</v>
      </c>
      <c r="J2669" s="16" t="n">
        <v>45524</v>
      </c>
      <c r="K2669" s="19" t="n">
        <v>121.13</v>
      </c>
    </row>
    <row r="2670">
      <c r="D2670" s="16" t="n">
        <v>45525</v>
      </c>
      <c r="E2670" s="19" t="n">
        <v>5.13</v>
      </c>
      <c r="G2670" s="16" t="n">
        <v>45525</v>
      </c>
      <c r="H2670" s="19" t="n">
        <v>2.79</v>
      </c>
      <c r="J2670" s="16" t="n">
        <v>45525</v>
      </c>
      <c r="K2670" s="19" t="n">
        <v>121.5</v>
      </c>
    </row>
    <row r="2671">
      <c r="D2671" s="16" t="n">
        <v>45526</v>
      </c>
      <c r="E2671" s="19" t="n">
        <v>5.15</v>
      </c>
      <c r="G2671" s="16" t="n">
        <v>45526</v>
      </c>
      <c r="H2671" s="19" t="n">
        <v>2.81</v>
      </c>
      <c r="J2671" s="16" t="n">
        <v>45526</v>
      </c>
      <c r="K2671" s="19" t="n">
        <v>120.84</v>
      </c>
    </row>
    <row r="2672">
      <c r="D2672" s="16" t="n">
        <v>45527</v>
      </c>
      <c r="E2672" s="19" t="n">
        <v>5.2</v>
      </c>
      <c r="G2672" s="16" t="n">
        <v>45527</v>
      </c>
      <c r="H2672" s="19" t="n">
        <v>2.84</v>
      </c>
      <c r="J2672" s="16" t="n">
        <v>45527</v>
      </c>
      <c r="K2672" s="19" t="n">
        <v>121.61</v>
      </c>
    </row>
    <row r="2673">
      <c r="D2673" s="16" t="n">
        <v>45530</v>
      </c>
      <c r="E2673" s="19" t="n">
        <v>5.15</v>
      </c>
      <c r="G2673" s="16" t="n">
        <v>45530</v>
      </c>
      <c r="H2673" s="19" t="n">
        <v>2.9</v>
      </c>
      <c r="J2673" s="16" t="n">
        <v>45530</v>
      </c>
      <c r="K2673" s="19" t="n">
        <v>121.24</v>
      </c>
    </row>
    <row r="2674">
      <c r="D2674" s="16" t="n">
        <v>45531</v>
      </c>
      <c r="E2674" s="19" t="n">
        <v>5.13</v>
      </c>
      <c r="G2674" s="16" t="n">
        <v>45531</v>
      </c>
      <c r="H2674" s="19" t="n">
        <v>2.94</v>
      </c>
      <c r="J2674" s="16" t="n">
        <v>45531</v>
      </c>
      <c r="K2674" s="19" t="n">
        <v>121.66</v>
      </c>
    </row>
    <row r="2675">
      <c r="D2675" s="16" t="n">
        <v>45532</v>
      </c>
      <c r="E2675" s="19" t="n">
        <v>5.1</v>
      </c>
      <c r="G2675" s="16" t="n">
        <v>45532</v>
      </c>
      <c r="H2675" s="19" t="n">
        <v>2.9</v>
      </c>
      <c r="J2675" s="16" t="n">
        <v>45532</v>
      </c>
      <c r="K2675" s="19" t="n">
        <v>121.76</v>
      </c>
    </row>
    <row r="2676">
      <c r="D2676" s="16" t="n">
        <v>45533</v>
      </c>
      <c r="E2676" s="19" t="n">
        <v>5.13</v>
      </c>
      <c r="G2676" s="16" t="n">
        <v>45533</v>
      </c>
      <c r="H2676" s="19" t="n">
        <v>2.86</v>
      </c>
      <c r="J2676" s="16" t="n">
        <v>45533</v>
      </c>
      <c r="K2676" s="19" t="n">
        <v>121.65</v>
      </c>
    </row>
    <row r="2677">
      <c r="D2677" s="16" t="n">
        <v>45534</v>
      </c>
      <c r="E2677" s="19" t="n">
        <v>5.14</v>
      </c>
      <c r="G2677" s="16" t="n">
        <v>45534</v>
      </c>
      <c r="H2677" s="19" t="n">
        <v>2.9</v>
      </c>
      <c r="J2677" s="16" t="n">
        <v>45534</v>
      </c>
      <c r="K2677" s="19" t="n">
        <v>121.9</v>
      </c>
    </row>
    <row r="2678">
      <c r="D2678" s="16" t="n">
        <v>45537</v>
      </c>
      <c r="E2678" s="19" t="n">
        <v>5.2</v>
      </c>
      <c r="G2678" s="16" t="n">
        <v>45537</v>
      </c>
      <c r="H2678" s="19" t="n">
        <v>2.9</v>
      </c>
      <c r="J2678" s="16" t="n">
        <v>45537</v>
      </c>
      <c r="K2678" s="19" t="n">
        <v>121.7</v>
      </c>
    </row>
    <row r="2679">
      <c r="D2679" s="16" t="n">
        <v>45538</v>
      </c>
      <c r="E2679" s="19" t="n">
        <v>5.2</v>
      </c>
      <c r="G2679" s="16" t="n">
        <v>45538</v>
      </c>
      <c r="H2679" s="19" t="n">
        <v>2.8</v>
      </c>
      <c r="J2679" s="16" t="n">
        <v>45538</v>
      </c>
      <c r="K2679" s="19" t="n">
        <v>121.14</v>
      </c>
    </row>
    <row r="2680">
      <c r="D2680" s="16" t="n">
        <v>45539</v>
      </c>
      <c r="E2680" s="19" t="n">
        <v>5.2</v>
      </c>
      <c r="G2680" s="16" t="n">
        <v>45539</v>
      </c>
      <c r="H2680" s="19" t="n">
        <v>2.84</v>
      </c>
      <c r="J2680" s="16" t="n">
        <v>45539</v>
      </c>
      <c r="K2680" s="19" t="n">
        <v>122.27</v>
      </c>
    </row>
    <row r="2681">
      <c r="D2681" s="16" t="n">
        <v>45540</v>
      </c>
      <c r="E2681" s="19" t="n">
        <v>5.2</v>
      </c>
      <c r="G2681" s="16" t="n">
        <v>45540</v>
      </c>
      <c r="H2681" s="19" t="n">
        <v>2.91</v>
      </c>
      <c r="J2681" s="16" t="n">
        <v>45540</v>
      </c>
      <c r="K2681" s="19" t="n">
        <v>122.46</v>
      </c>
    </row>
    <row r="2682">
      <c r="D2682" s="16" t="n">
        <v>45541</v>
      </c>
      <c r="E2682" s="19" t="n">
        <v>5.2</v>
      </c>
      <c r="G2682" s="16" t="n">
        <v>45541</v>
      </c>
      <c r="H2682" s="19" t="n">
        <v>2.88</v>
      </c>
      <c r="J2682" s="16" t="n">
        <v>45541</v>
      </c>
      <c r="K2682" s="19" t="n">
        <v>122.24</v>
      </c>
    </row>
    <row r="2683">
      <c r="D2683" s="16" t="n">
        <v>45544</v>
      </c>
      <c r="E2683" s="19" t="n">
        <v>5.2</v>
      </c>
      <c r="G2683" s="16" t="n">
        <v>45544</v>
      </c>
      <c r="H2683" s="19" t="n">
        <v>2.9</v>
      </c>
      <c r="J2683" s="16" t="n">
        <v>45544</v>
      </c>
      <c r="K2683" s="19" t="n">
        <v>122.45</v>
      </c>
    </row>
    <row r="2684">
      <c r="D2684" s="16" t="n">
        <v>45545</v>
      </c>
      <c r="E2684" s="19" t="n">
        <v>5.2</v>
      </c>
      <c r="G2684" s="16" t="n">
        <v>45545</v>
      </c>
      <c r="H2684" s="19" t="n">
        <v>2.9</v>
      </c>
      <c r="J2684" s="16" t="n">
        <v>45545</v>
      </c>
      <c r="K2684" s="19" t="n">
        <v>122.49</v>
      </c>
    </row>
    <row r="2685">
      <c r="D2685" s="16" t="n">
        <v>45546</v>
      </c>
      <c r="E2685" s="19" t="n">
        <v>5.2</v>
      </c>
      <c r="G2685" s="16" t="n">
        <v>45546</v>
      </c>
      <c r="H2685" s="19" t="n">
        <v>2.89</v>
      </c>
      <c r="J2685" s="16" t="n">
        <v>45546</v>
      </c>
      <c r="K2685" s="19" t="n">
        <v>122.66</v>
      </c>
    </row>
    <row r="2686">
      <c r="D2686" s="16" t="n">
        <v>45547</v>
      </c>
      <c r="E2686" s="19" t="n">
        <v>5.15</v>
      </c>
      <c r="G2686" s="16" t="n">
        <v>45547</v>
      </c>
      <c r="H2686" s="19" t="n">
        <v>2.86</v>
      </c>
      <c r="J2686" s="16" t="n">
        <v>45547</v>
      </c>
      <c r="K2686" s="19" t="n">
        <v>122.91</v>
      </c>
    </row>
    <row r="2687">
      <c r="D2687" s="16" t="n">
        <v>45548</v>
      </c>
      <c r="E2687" s="19" t="n">
        <v>5.2</v>
      </c>
      <c r="G2687" s="16" t="n">
        <v>45548</v>
      </c>
      <c r="H2687" s="19" t="n">
        <v>2.82</v>
      </c>
      <c r="J2687" s="16" t="n">
        <v>45548</v>
      </c>
      <c r="K2687" s="19" t="n">
        <v>123.05</v>
      </c>
    </row>
    <row r="2688">
      <c r="D2688" s="16" t="n">
        <v>45551</v>
      </c>
      <c r="E2688" s="19" t="n">
        <v>5.2</v>
      </c>
      <c r="G2688" s="16" t="n">
        <v>45551</v>
      </c>
      <c r="H2688" s="19" t="n">
        <v>2.83</v>
      </c>
      <c r="J2688" s="16" t="n">
        <v>45551</v>
      </c>
      <c r="K2688" s="19" t="n">
        <v>123.8</v>
      </c>
    </row>
    <row r="2689">
      <c r="D2689" s="16" t="n">
        <v>45552</v>
      </c>
      <c r="E2689" s="19" t="n">
        <v>5.18</v>
      </c>
      <c r="G2689" s="16" t="n">
        <v>45552</v>
      </c>
      <c r="H2689" s="19" t="n">
        <v>2.83</v>
      </c>
      <c r="J2689" s="16" t="n">
        <v>45552</v>
      </c>
      <c r="K2689" s="19" t="n">
        <v>124.96</v>
      </c>
    </row>
    <row r="2690">
      <c r="D2690" s="16" t="n">
        <v>45553</v>
      </c>
      <c r="E2690" s="19" t="n">
        <v>5.2</v>
      </c>
      <c r="G2690" s="16" t="n">
        <v>45553</v>
      </c>
      <c r="H2690" s="19" t="n">
        <v>2.81</v>
      </c>
      <c r="J2690" s="16" t="n">
        <v>45553</v>
      </c>
      <c r="K2690" s="19" t="n">
        <v>124.69</v>
      </c>
    </row>
    <row r="2691">
      <c r="D2691" s="16" t="n">
        <v>45554</v>
      </c>
      <c r="E2691" s="19" t="n">
        <v>5.2</v>
      </c>
      <c r="G2691" s="16" t="n">
        <v>45554</v>
      </c>
      <c r="H2691" s="19" t="n">
        <v>2.8</v>
      </c>
      <c r="J2691" s="16" t="n">
        <v>45554</v>
      </c>
      <c r="K2691" s="19" t="n">
        <v>125.85</v>
      </c>
    </row>
    <row r="2692">
      <c r="D2692" s="16" t="n">
        <v>45555</v>
      </c>
      <c r="E2692" s="19" t="n">
        <v>5.2</v>
      </c>
      <c r="G2692" s="16" t="n">
        <v>45555</v>
      </c>
      <c r="H2692" s="19" t="n">
        <v>2.85</v>
      </c>
      <c r="J2692" s="16" t="n">
        <v>45555</v>
      </c>
      <c r="K2692" s="19" t="n">
        <v>125.29</v>
      </c>
    </row>
    <row r="2693">
      <c r="D2693" s="16" t="n">
        <v>45558</v>
      </c>
      <c r="E2693" s="19" t="n">
        <v>5.19</v>
      </c>
      <c r="G2693" s="16" t="n">
        <v>45558</v>
      </c>
      <c r="H2693" s="19" t="n">
        <v>2.84</v>
      </c>
      <c r="J2693" s="16" t="n">
        <v>45558</v>
      </c>
      <c r="K2693" s="19" t="n">
        <v>125.7</v>
      </c>
    </row>
    <row r="2694">
      <c r="D2694" s="16" t="n">
        <v>45559</v>
      </c>
      <c r="E2694" s="19" t="n">
        <v>5.19</v>
      </c>
      <c r="G2694" s="16" t="n">
        <v>45559</v>
      </c>
      <c r="H2694" s="19" t="n">
        <v>2.81</v>
      </c>
      <c r="J2694" s="16" t="n">
        <v>45559</v>
      </c>
      <c r="K2694" s="19" t="n">
        <v>125.22</v>
      </c>
    </row>
    <row r="2695">
      <c r="D2695" s="16" t="n">
        <v>45560</v>
      </c>
      <c r="E2695" s="19" t="n">
        <v>5.2</v>
      </c>
      <c r="G2695" s="16" t="n">
        <v>45560</v>
      </c>
      <c r="H2695" s="19" t="n">
        <v>2.8</v>
      </c>
      <c r="J2695" s="16" t="n">
        <v>45560</v>
      </c>
      <c r="K2695" s="19" t="n">
        <v>124.29</v>
      </c>
    </row>
    <row r="2696">
      <c r="D2696" s="16" t="n">
        <v>45561</v>
      </c>
      <c r="E2696" s="19" t="n">
        <v>5.2</v>
      </c>
      <c r="G2696" s="16" t="n">
        <v>45561</v>
      </c>
      <c r="H2696" s="19" t="n">
        <v>2.77</v>
      </c>
      <c r="J2696" s="16" t="n">
        <v>45561</v>
      </c>
      <c r="K2696" s="19" t="n">
        <v>125.17</v>
      </c>
    </row>
    <row r="2697">
      <c r="D2697" s="16" t="n">
        <v>45562</v>
      </c>
      <c r="E2697" s="19" t="n">
        <v>5.19</v>
      </c>
      <c r="G2697" s="16" t="n">
        <v>45562</v>
      </c>
      <c r="H2697" s="19" t="n">
        <v>2.81</v>
      </c>
      <c r="J2697" s="16" t="n">
        <v>45562</v>
      </c>
      <c r="K2697" s="19" t="n">
        <v>125.35</v>
      </c>
    </row>
    <row r="2698">
      <c r="D2698" s="16" t="n">
        <v>45565</v>
      </c>
      <c r="E2698" s="19" t="n">
        <v>5.2</v>
      </c>
      <c r="G2698" s="16" t="n">
        <v>45565</v>
      </c>
      <c r="H2698" s="19" t="n">
        <v>2.81</v>
      </c>
      <c r="J2698" s="16" t="n">
        <v>45565</v>
      </c>
      <c r="K2698" s="19" t="n">
        <v>124.41</v>
      </c>
    </row>
    <row r="2699">
      <c r="D2699" s="16" t="n">
        <v>45566</v>
      </c>
      <c r="E2699" s="19" t="n">
        <v>5.2</v>
      </c>
      <c r="G2699" s="16" t="n">
        <v>45566</v>
      </c>
      <c r="H2699" s="19" t="n">
        <v>2.77</v>
      </c>
      <c r="J2699" s="16" t="n">
        <v>45566</v>
      </c>
      <c r="K2699" s="19" t="n">
        <v>124.16</v>
      </c>
    </row>
    <row r="2700">
      <c r="D2700" s="16" t="n">
        <v>45567</v>
      </c>
      <c r="E2700" s="19" t="n">
        <v>5.19</v>
      </c>
      <c r="G2700" s="16" t="n">
        <v>45567</v>
      </c>
      <c r="H2700" s="19" t="n">
        <v>2.85</v>
      </c>
      <c r="J2700" s="16" t="n">
        <v>45567</v>
      </c>
      <c r="K2700" s="19" t="n">
        <v>124.38</v>
      </c>
    </row>
    <row r="2701">
      <c r="D2701" s="16" t="n">
        <v>45568</v>
      </c>
      <c r="E2701" s="19" t="n">
        <v>5.2</v>
      </c>
      <c r="G2701" s="16" t="n">
        <v>45568</v>
      </c>
      <c r="H2701" s="19" t="n">
        <v>2.88</v>
      </c>
      <c r="J2701" s="16" t="n">
        <v>45568</v>
      </c>
      <c r="K2701" s="19" t="n">
        <v>124.84</v>
      </c>
    </row>
    <row r="2702">
      <c r="D2702" s="16" t="n">
        <v>45569</v>
      </c>
      <c r="E2702" s="19" t="n">
        <v>5.18</v>
      </c>
      <c r="G2702" s="16" t="n">
        <v>45569</v>
      </c>
      <c r="H2702" s="19" t="n">
        <v>2.84</v>
      </c>
      <c r="J2702" s="16" t="n">
        <v>45569</v>
      </c>
      <c r="K2702" s="19" t="n">
        <v>125.34</v>
      </c>
    </row>
    <row r="2703">
      <c r="D2703" s="16" t="n">
        <v>45572</v>
      </c>
      <c r="E2703" s="19" t="n">
        <v>5.18</v>
      </c>
      <c r="G2703" s="16" t="n">
        <v>45572</v>
      </c>
      <c r="H2703" s="19" t="n">
        <v>2.84</v>
      </c>
      <c r="J2703" s="16" t="n">
        <v>45572</v>
      </c>
      <c r="K2703" s="19" t="n">
        <v>125.27</v>
      </c>
    </row>
    <row r="2704">
      <c r="D2704" s="16" t="n">
        <v>45573</v>
      </c>
      <c r="E2704" s="19" t="n">
        <v>5.2</v>
      </c>
      <c r="G2704" s="16" t="n">
        <v>45573</v>
      </c>
      <c r="H2704" s="19" t="n">
        <v>2.84</v>
      </c>
      <c r="J2704" s="16" t="n">
        <v>45573</v>
      </c>
      <c r="K2704" s="19" t="n">
        <v>125.32</v>
      </c>
    </row>
    <row r="2705">
      <c r="D2705" s="16" t="n">
        <v>45574</v>
      </c>
      <c r="E2705" s="19" t="n">
        <v>5.2</v>
      </c>
      <c r="G2705" s="16" t="n">
        <v>45574</v>
      </c>
      <c r="H2705" s="19" t="n">
        <v>2.83</v>
      </c>
      <c r="J2705" s="16" t="n">
        <v>45574</v>
      </c>
      <c r="K2705" s="19" t="n">
        <v>125.32</v>
      </c>
    </row>
    <row r="2706">
      <c r="D2706" s="16" t="n">
        <v>45575</v>
      </c>
      <c r="E2706" s="19" t="n">
        <v>5.2</v>
      </c>
      <c r="G2706" s="16" t="n">
        <v>45575</v>
      </c>
      <c r="H2706" s="19" t="n">
        <v>2.83</v>
      </c>
      <c r="J2706" s="16" t="n">
        <v>45575</v>
      </c>
      <c r="K2706" s="19" t="n">
        <v>124.87</v>
      </c>
    </row>
    <row r="2707">
      <c r="D2707" s="16" t="n">
        <v>45576</v>
      </c>
      <c r="E2707" s="19" t="n">
        <v>5.2</v>
      </c>
      <c r="G2707" s="16" t="n">
        <v>45576</v>
      </c>
      <c r="H2707" s="19" t="n">
        <v>2.84</v>
      </c>
      <c r="J2707" s="16" t="n">
        <v>45576</v>
      </c>
      <c r="K2707" s="19" t="n">
        <v>124.77</v>
      </c>
    </row>
    <row r="2708">
      <c r="D2708" s="16" t="n">
        <v>45579</v>
      </c>
      <c r="E2708" s="19" t="n">
        <v>5.15</v>
      </c>
      <c r="G2708" s="16" t="n">
        <v>45579</v>
      </c>
      <c r="H2708" s="19" t="n">
        <v>2.85</v>
      </c>
      <c r="J2708" s="16" t="n">
        <v>45579</v>
      </c>
      <c r="K2708" s="19" t="n">
        <v>124.87</v>
      </c>
    </row>
    <row r="2709">
      <c r="D2709" s="16" t="n">
        <v>45580</v>
      </c>
      <c r="E2709" s="19" t="n">
        <v>5.16</v>
      </c>
      <c r="G2709" s="16" t="n">
        <v>45580</v>
      </c>
      <c r="H2709" s="19" t="n">
        <v>2.92</v>
      </c>
      <c r="J2709" s="16" t="n">
        <v>45580</v>
      </c>
      <c r="K2709" s="19" t="n">
        <v>124.19</v>
      </c>
    </row>
    <row r="2710">
      <c r="D2710" s="16" t="n">
        <v>45581</v>
      </c>
      <c r="E2710" s="19" t="n">
        <v>5.13</v>
      </c>
      <c r="G2710" s="16" t="n">
        <v>45581</v>
      </c>
      <c r="H2710" s="19" t="n">
        <v>2.84</v>
      </c>
      <c r="J2710" s="16" t="n">
        <v>45581</v>
      </c>
      <c r="K2710" s="19" t="n">
        <v>124.19</v>
      </c>
    </row>
    <row r="2711">
      <c r="D2711" s="16" t="n">
        <v>45582</v>
      </c>
      <c r="E2711" s="19" t="n">
        <v>5.12</v>
      </c>
      <c r="G2711" s="16" t="n">
        <v>45582</v>
      </c>
      <c r="H2711" s="19" t="n">
        <v>2.86</v>
      </c>
      <c r="J2711" s="16" t="n">
        <v>45582</v>
      </c>
      <c r="K2711" s="19" t="n">
        <v>125.63</v>
      </c>
    </row>
    <row r="2712">
      <c r="D2712" s="16" t="n">
        <v>45583</v>
      </c>
      <c r="E2712" s="19" t="n">
        <v>5.07</v>
      </c>
      <c r="G2712" s="16" t="n">
        <v>45583</v>
      </c>
      <c r="H2712" s="19" t="n">
        <v>2.88</v>
      </c>
      <c r="J2712" s="16" t="n">
        <v>45583</v>
      </c>
      <c r="K2712" s="19" t="n">
        <v>125.46</v>
      </c>
    </row>
    <row r="2713">
      <c r="D2713" s="16" t="n">
        <v>45586</v>
      </c>
      <c r="E2713" s="19" t="n">
        <v>5.02</v>
      </c>
      <c r="G2713" s="16" t="n">
        <v>45586</v>
      </c>
      <c r="H2713" s="19" t="n">
        <v>2.83</v>
      </c>
      <c r="J2713" s="16" t="n">
        <v>45586</v>
      </c>
      <c r="K2713" s="19" t="n">
        <v>126.38</v>
      </c>
    </row>
    <row r="2714">
      <c r="D2714" s="16" t="n">
        <v>45587</v>
      </c>
      <c r="E2714" s="19" t="n">
        <v>5.01</v>
      </c>
      <c r="G2714" s="16" t="n">
        <v>45587</v>
      </c>
      <c r="H2714" s="19" t="n">
        <v>2.85</v>
      </c>
      <c r="J2714" s="16" t="n">
        <v>45587</v>
      </c>
      <c r="K2714" s="19" t="n">
        <v>126.27</v>
      </c>
    </row>
    <row r="2715">
      <c r="D2715" s="16" t="n">
        <v>45588</v>
      </c>
      <c r="E2715" s="19" t="n">
        <v>5.06</v>
      </c>
      <c r="G2715" s="16" t="n">
        <v>45588</v>
      </c>
      <c r="H2715" s="19" t="n">
        <v>2.87</v>
      </c>
      <c r="J2715" s="16" t="n">
        <v>45588</v>
      </c>
      <c r="K2715" s="19" t="n">
        <v>126.98</v>
      </c>
    </row>
    <row r="2716">
      <c r="D2716" s="16" t="n">
        <v>45589</v>
      </c>
      <c r="E2716" s="19" t="n">
        <v>5.05</v>
      </c>
      <c r="G2716" s="16" t="n">
        <v>45589</v>
      </c>
      <c r="H2716" s="19" t="n">
        <v>2.87</v>
      </c>
      <c r="J2716" s="16" t="n">
        <v>45589</v>
      </c>
      <c r="K2716" s="19" t="n">
        <v>127</v>
      </c>
    </row>
    <row r="2717">
      <c r="D2717" s="16" t="n">
        <v>45590</v>
      </c>
      <c r="E2717" s="19" t="n">
        <v>5.05</v>
      </c>
      <c r="G2717" s="16" t="n">
        <v>45590</v>
      </c>
      <c r="H2717" s="19" t="n">
        <v>2.88</v>
      </c>
      <c r="J2717" s="16" t="n">
        <v>45590</v>
      </c>
      <c r="K2717" s="19" t="n">
        <v>126.72</v>
      </c>
    </row>
    <row r="2718">
      <c r="D2718" s="16" t="n">
        <v>45593</v>
      </c>
      <c r="E2718" s="19" t="n">
        <v>5.1</v>
      </c>
      <c r="G2718" s="16" t="n">
        <v>45593</v>
      </c>
      <c r="H2718" s="19" t="n">
        <v>2.86</v>
      </c>
      <c r="J2718" s="16" t="n">
        <v>45593</v>
      </c>
      <c r="K2718" s="19" t="n">
        <v>126.17</v>
      </c>
    </row>
    <row r="2719">
      <c r="D2719" s="16" t="n">
        <v>45594</v>
      </c>
      <c r="E2719" s="19" t="n">
        <v>5.06</v>
      </c>
      <c r="G2719" s="16" t="n">
        <v>45594</v>
      </c>
      <c r="H2719" s="19" t="n">
        <v>2.92</v>
      </c>
      <c r="J2719" s="16" t="n">
        <v>45594</v>
      </c>
      <c r="K2719" s="19" t="n">
        <v>125.39</v>
      </c>
    </row>
    <row r="2720">
      <c r="D2720" s="16" t="n">
        <v>45595</v>
      </c>
      <c r="E2720" s="19" t="n">
        <v>5.11</v>
      </c>
      <c r="G2720" s="16" t="n">
        <v>45595</v>
      </c>
      <c r="H2720" s="19" t="n">
        <v>2.89</v>
      </c>
      <c r="J2720" s="16" t="n">
        <v>45595</v>
      </c>
      <c r="K2720" s="19" t="n">
        <v>125.89</v>
      </c>
    </row>
    <row r="2721">
      <c r="D2721" s="16" t="n">
        <v>45596</v>
      </c>
      <c r="E2721" s="19" t="n">
        <v>5.08</v>
      </c>
      <c r="G2721" s="16" t="n">
        <v>45596</v>
      </c>
      <c r="H2721" s="19" t="n">
        <v>2.9</v>
      </c>
      <c r="J2721" s="16" t="n">
        <v>45596</v>
      </c>
      <c r="K2721" s="19" t="n">
        <v>126.22</v>
      </c>
    </row>
    <row r="2722">
      <c r="D2722" s="16" t="n">
        <v>45597</v>
      </c>
      <c r="E2722" s="19" t="n">
        <v>5.12</v>
      </c>
      <c r="G2722" s="16" t="n">
        <v>45597</v>
      </c>
      <c r="H2722" s="19" t="n">
        <v>2.87</v>
      </c>
      <c r="J2722" s="16" t="n">
        <v>45597</v>
      </c>
      <c r="K2722" s="19" t="n">
        <v>126.35</v>
      </c>
    </row>
    <row r="2723">
      <c r="D2723" s="16" t="n">
        <v>45600</v>
      </c>
      <c r="E2723" s="19" t="n">
        <v>5.06</v>
      </c>
      <c r="G2723" s="16" t="n">
        <v>45600</v>
      </c>
      <c r="H2723" s="19" t="n">
        <v>2.88</v>
      </c>
      <c r="J2723" s="16" t="n">
        <v>45600</v>
      </c>
      <c r="K2723" s="19" t="n">
        <v>126.64</v>
      </c>
    </row>
    <row r="2724">
      <c r="D2724" s="16" t="n">
        <v>45601</v>
      </c>
      <c r="E2724" s="19" t="n">
        <v>5.04</v>
      </c>
      <c r="G2724" s="16" t="n">
        <v>45601</v>
      </c>
      <c r="H2724" s="19" t="n">
        <v>2.89</v>
      </c>
      <c r="J2724" s="16" t="n">
        <v>45601</v>
      </c>
      <c r="K2724" s="19" t="n">
        <v>125.28</v>
      </c>
    </row>
    <row r="2725">
      <c r="D2725" s="16" t="n">
        <v>45602</v>
      </c>
      <c r="E2725" s="19" t="n">
        <v>5.05</v>
      </c>
      <c r="G2725" s="16" t="n">
        <v>45602</v>
      </c>
      <c r="H2725" s="19" t="n">
        <v>2.91</v>
      </c>
      <c r="J2725" s="16" t="n">
        <v>45602</v>
      </c>
      <c r="K2725" s="19" t="n">
        <v>126.61</v>
      </c>
    </row>
    <row r="2726">
      <c r="D2726" s="16" t="n">
        <v>45603</v>
      </c>
      <c r="E2726" s="19" t="n">
        <v>5.08</v>
      </c>
      <c r="G2726" s="16" t="n">
        <v>45603</v>
      </c>
      <c r="H2726" s="19" t="n">
        <v>2.89</v>
      </c>
      <c r="J2726" s="16" t="n">
        <v>45603</v>
      </c>
      <c r="K2726" s="19" t="n">
        <v>126.99</v>
      </c>
    </row>
    <row r="2727">
      <c r="D2727" s="16" t="n">
        <v>45604</v>
      </c>
      <c r="E2727" s="19" t="n">
        <v>5.15</v>
      </c>
      <c r="G2727" s="16" t="n">
        <v>45604</v>
      </c>
      <c r="H2727" s="19" t="n">
        <v>2.93</v>
      </c>
      <c r="J2727" s="16" t="n">
        <v>45604</v>
      </c>
      <c r="K2727" s="19" t="n">
        <v>126.71</v>
      </c>
    </row>
    <row r="2728">
      <c r="D2728" s="16" t="n">
        <v>45607</v>
      </c>
      <c r="E2728" s="19" t="n">
        <v>5.12</v>
      </c>
      <c r="G2728" s="16" t="n">
        <v>45607</v>
      </c>
      <c r="H2728" s="19" t="n">
        <v>2.98</v>
      </c>
      <c r="J2728" s="16" t="n">
        <v>45607</v>
      </c>
      <c r="K2728" s="19" t="n">
        <v>126.19</v>
      </c>
    </row>
    <row r="2729">
      <c r="D2729" s="16" t="n">
        <v>45608</v>
      </c>
      <c r="E2729" s="19" t="n">
        <v>5.16</v>
      </c>
      <c r="G2729" s="16" t="n">
        <v>45608</v>
      </c>
      <c r="H2729" s="19" t="n">
        <v>2.94</v>
      </c>
      <c r="J2729" s="16" t="n">
        <v>45608</v>
      </c>
      <c r="K2729" s="19" t="n">
        <v>126.8</v>
      </c>
    </row>
    <row r="2730">
      <c r="D2730" s="16" t="n">
        <v>45609</v>
      </c>
      <c r="E2730" s="19" t="n">
        <v>5.12</v>
      </c>
      <c r="G2730" s="16" t="n">
        <v>45609</v>
      </c>
      <c r="H2730" s="19" t="n">
        <v>2.87</v>
      </c>
      <c r="J2730" s="16" t="n">
        <v>45609</v>
      </c>
      <c r="K2730" s="19" t="n">
        <v>127.4</v>
      </c>
    </row>
    <row r="2731">
      <c r="D2731" s="16" t="n">
        <v>45610</v>
      </c>
      <c r="E2731" s="19" t="n">
        <v>5.15</v>
      </c>
      <c r="G2731" s="16" t="n">
        <v>45610</v>
      </c>
      <c r="H2731" s="19" t="n">
        <v>2.96</v>
      </c>
      <c r="J2731" s="16" t="n">
        <v>45610</v>
      </c>
      <c r="K2731" s="19" t="n">
        <v>126.78</v>
      </c>
    </row>
    <row r="2732">
      <c r="D2732" s="16" t="n">
        <v>45611</v>
      </c>
      <c r="E2732" s="19" t="n">
        <v>5.18</v>
      </c>
      <c r="G2732" s="16" t="n">
        <v>45611</v>
      </c>
      <c r="H2732" s="19" t="n">
        <v>2.93</v>
      </c>
      <c r="J2732" s="16" t="n">
        <v>45611</v>
      </c>
      <c r="K2732" s="19" t="n">
        <v>126.94</v>
      </c>
    </row>
    <row r="2733">
      <c r="D2733" s="16" t="n">
        <v>45614</v>
      </c>
      <c r="E2733" s="19" t="n">
        <v>5.14</v>
      </c>
      <c r="G2733" s="16" t="n">
        <v>45614</v>
      </c>
      <c r="H2733" s="19" t="n">
        <v>2.87</v>
      </c>
      <c r="J2733" s="16" t="n">
        <v>45614</v>
      </c>
      <c r="K2733" s="19" t="n">
        <v>126.41</v>
      </c>
    </row>
    <row r="2734">
      <c r="D2734" s="16" t="n">
        <v>45615</v>
      </c>
      <c r="E2734" s="19" t="n">
        <v>5.14</v>
      </c>
      <c r="G2734" s="16" t="n">
        <v>45615</v>
      </c>
      <c r="H2734" s="19" t="n">
        <v>2.83</v>
      </c>
      <c r="J2734" s="16" t="n">
        <v>45615</v>
      </c>
      <c r="K2734" s="19" t="n">
        <v>125.37</v>
      </c>
    </row>
    <row r="2735">
      <c r="D2735" s="16" t="n">
        <v>45616</v>
      </c>
      <c r="E2735" s="19" t="n">
        <v>5.16</v>
      </c>
      <c r="G2735" s="16" t="n">
        <v>45616</v>
      </c>
      <c r="H2735" s="19" t="n">
        <v>2.81</v>
      </c>
      <c r="J2735" s="16" t="n">
        <v>45616</v>
      </c>
      <c r="K2735" s="19" t="n">
        <v>124.49</v>
      </c>
    </row>
    <row r="2736">
      <c r="D2736" s="16" t="n">
        <v>45617</v>
      </c>
      <c r="E2736" s="19" t="n">
        <v>5.11</v>
      </c>
      <c r="G2736" s="16" t="n">
        <v>45617</v>
      </c>
      <c r="H2736" s="19" t="n">
        <v>2.82</v>
      </c>
      <c r="J2736" s="16" t="n">
        <v>45617</v>
      </c>
      <c r="K2736" s="19" t="n">
        <v>124.34</v>
      </c>
    </row>
    <row r="2737">
      <c r="D2737" s="16" t="n">
        <v>45618</v>
      </c>
      <c r="E2737" s="19" t="n">
        <v>5.12</v>
      </c>
      <c r="G2737" s="16" t="n">
        <v>45618</v>
      </c>
      <c r="H2737" s="19" t="n">
        <v>2.85</v>
      </c>
      <c r="J2737" s="16" t="n">
        <v>45618</v>
      </c>
      <c r="K2737" s="19" t="n">
        <v>125.33</v>
      </c>
    </row>
    <row r="2738">
      <c r="D2738" s="16" t="n">
        <v>45621</v>
      </c>
      <c r="E2738" s="19" t="n">
        <v>5.15</v>
      </c>
      <c r="G2738" s="16" t="n">
        <v>45621</v>
      </c>
      <c r="H2738" s="19" t="n">
        <v>2.87</v>
      </c>
      <c r="J2738" s="16" t="n">
        <v>45621</v>
      </c>
      <c r="K2738" s="19" t="n">
        <v>125.65</v>
      </c>
    </row>
    <row r="2739">
      <c r="D2739" s="16" t="n">
        <v>45622</v>
      </c>
      <c r="E2739" s="19" t="n">
        <v>5.2</v>
      </c>
      <c r="G2739" s="16" t="n">
        <v>45622</v>
      </c>
      <c r="H2739" s="19" t="n">
        <v>2.92</v>
      </c>
      <c r="J2739" s="16" t="n">
        <v>45622</v>
      </c>
      <c r="K2739" s="19" t="n">
        <v>126.26</v>
      </c>
    </row>
    <row r="2740">
      <c r="D2740" s="16" t="n">
        <v>45623</v>
      </c>
      <c r="E2740" s="19" t="n">
        <v>5.19</v>
      </c>
      <c r="G2740" s="16" t="n">
        <v>45623</v>
      </c>
      <c r="H2740" s="19" t="n">
        <v>2.94</v>
      </c>
      <c r="J2740" s="16" t="n">
        <v>45623</v>
      </c>
      <c r="K2740" s="19" t="n">
        <v>126.34</v>
      </c>
    </row>
    <row r="2741">
      <c r="D2741" s="16" t="n">
        <v>45624</v>
      </c>
      <c r="E2741" s="19" t="inlineStr">
        <is>
          <t>.</t>
        </is>
      </c>
      <c r="G2741" s="16" t="n">
        <v>45624</v>
      </c>
      <c r="H2741" s="19" t="inlineStr">
        <is>
          <t>.</t>
        </is>
      </c>
      <c r="J2741" s="16" t="n">
        <v>45624</v>
      </c>
      <c r="K2741" s="19" t="inlineStr">
        <is>
          <t>.</t>
        </is>
      </c>
    </row>
    <row r="2742">
      <c r="D2742" s="16" t="n">
        <v>45625</v>
      </c>
      <c r="E2742" s="19" t="n">
        <v>5.2</v>
      </c>
      <c r="G2742" s="16" t="n">
        <v>45625</v>
      </c>
      <c r="H2742" s="19" t="n">
        <v>2.85</v>
      </c>
      <c r="J2742" s="16" t="n">
        <v>45625</v>
      </c>
      <c r="K2742" s="19" t="n">
        <v>125.59</v>
      </c>
    </row>
    <row r="2743">
      <c r="D2743" s="16" t="n">
        <v>45628</v>
      </c>
      <c r="E2743" s="19" t="n">
        <v>5.12</v>
      </c>
      <c r="G2743" s="16" t="n">
        <v>45628</v>
      </c>
      <c r="H2743" s="19" t="n">
        <v>2.87</v>
      </c>
      <c r="J2743" s="16" t="n">
        <v>45628</v>
      </c>
      <c r="K2743" s="19" t="n">
        <v>125.07</v>
      </c>
    </row>
    <row r="2744">
      <c r="D2744" s="16" t="n">
        <v>45629</v>
      </c>
      <c r="E2744" s="19" t="n">
        <v>5.13</v>
      </c>
      <c r="G2744" s="16" t="n">
        <v>45629</v>
      </c>
      <c r="H2744" s="19" t="n">
        <v>2.87</v>
      </c>
      <c r="J2744" s="16" t="n">
        <v>45629</v>
      </c>
      <c r="K2744" s="19" t="n">
        <v>124.81</v>
      </c>
    </row>
    <row r="2745">
      <c r="D2745" s="16" t="n">
        <v>45630</v>
      </c>
      <c r="E2745" s="19" t="n">
        <v>5.18</v>
      </c>
      <c r="G2745" s="16" t="n">
        <v>45630</v>
      </c>
      <c r="H2745" s="19" t="n">
        <v>2.82</v>
      </c>
      <c r="J2745" s="16" t="n">
        <v>45630</v>
      </c>
      <c r="K2745" s="19" t="n">
        <v>125.86</v>
      </c>
    </row>
    <row r="2746">
      <c r="D2746" s="16" t="n">
        <v>45631</v>
      </c>
      <c r="E2746" s="19" t="n">
        <v>5.2</v>
      </c>
      <c r="G2746" s="16" t="n">
        <v>45631</v>
      </c>
      <c r="H2746" s="19" t="n">
        <v>2.86</v>
      </c>
      <c r="J2746" s="16" t="n">
        <v>45631</v>
      </c>
      <c r="K2746" s="19" t="n">
        <v>125.32</v>
      </c>
    </row>
    <row r="2747">
      <c r="D2747" s="16" t="n">
        <v>45632</v>
      </c>
      <c r="E2747" s="19" t="n">
        <v>5.2</v>
      </c>
      <c r="G2747" s="16" t="n">
        <v>45632</v>
      </c>
      <c r="H2747" s="19" t="n">
        <v>2.83</v>
      </c>
      <c r="J2747" s="16" t="n">
        <v>45632</v>
      </c>
      <c r="K2747" s="19" t="n">
        <v>125.55</v>
      </c>
    </row>
    <row r="2748">
      <c r="D2748" s="16" t="n">
        <v>45635</v>
      </c>
      <c r="E2748" s="19" t="n">
        <v>5.13</v>
      </c>
      <c r="G2748" s="16" t="n">
        <v>45635</v>
      </c>
      <c r="H2748" s="19" t="n">
        <v>2.83</v>
      </c>
      <c r="J2748" s="16" t="n">
        <v>45635</v>
      </c>
      <c r="K2748" s="19" t="n">
        <v>127.31</v>
      </c>
    </row>
    <row r="2749">
      <c r="D2749" s="16" t="n">
        <v>45636</v>
      </c>
      <c r="E2749" s="19" t="n">
        <v>5.08</v>
      </c>
      <c r="G2749" s="16" t="n">
        <v>45636</v>
      </c>
      <c r="H2749" s="19" t="n">
        <v>2.85</v>
      </c>
      <c r="J2749" s="16" t="n">
        <v>45636</v>
      </c>
      <c r="K2749" s="19" t="n">
        <v>128.12</v>
      </c>
    </row>
    <row r="2750">
      <c r="D2750" s="16" t="n">
        <v>45637</v>
      </c>
      <c r="E2750" s="19" t="n">
        <v>5.1</v>
      </c>
      <c r="G2750" s="16" t="n">
        <v>45637</v>
      </c>
      <c r="H2750" s="19" t="n">
        <v>2.85</v>
      </c>
      <c r="J2750" s="16" t="n">
        <v>45637</v>
      </c>
      <c r="K2750" s="19" t="n">
        <v>127.84</v>
      </c>
    </row>
    <row r="2751">
      <c r="D2751" s="16" t="n">
        <v>45638</v>
      </c>
      <c r="E2751" s="19" t="n">
        <v>5.11</v>
      </c>
      <c r="G2751" s="16" t="n">
        <v>45638</v>
      </c>
      <c r="H2751" s="19" t="n">
        <v>2.84</v>
      </c>
      <c r="J2751" s="16" t="n">
        <v>45638</v>
      </c>
      <c r="K2751" s="19" t="n">
        <v>128.78</v>
      </c>
    </row>
    <row r="2752">
      <c r="D2752" s="16" t="n">
        <v>45639</v>
      </c>
      <c r="E2752" s="19" t="n">
        <v>5.14</v>
      </c>
      <c r="G2752" s="16" t="n">
        <v>45639</v>
      </c>
      <c r="H2752" s="19" t="n">
        <v>2.82</v>
      </c>
      <c r="J2752" s="16" t="n">
        <v>45639</v>
      </c>
      <c r="K2752" s="19" t="n">
        <v>128.82</v>
      </c>
    </row>
    <row r="2753">
      <c r="D2753" s="16" t="n">
        <v>45642</v>
      </c>
      <c r="E2753" s="19" t="n">
        <v>5.17</v>
      </c>
      <c r="G2753" s="16" t="n">
        <v>45642</v>
      </c>
      <c r="H2753" s="19" t="n">
        <v>2.84</v>
      </c>
      <c r="J2753" s="16" t="n">
        <v>45642</v>
      </c>
      <c r="K2753" s="19" t="n">
        <v>128.8</v>
      </c>
    </row>
    <row r="2754">
      <c r="D2754" s="16" t="n">
        <v>45643</v>
      </c>
      <c r="E2754" s="19" t="n">
        <v>5.2</v>
      </c>
      <c r="G2754" s="16" t="n">
        <v>45643</v>
      </c>
      <c r="H2754" s="19" t="n">
        <v>2.78</v>
      </c>
      <c r="J2754" s="16" t="n">
        <v>45643</v>
      </c>
      <c r="K2754" s="19" t="n">
        <v>128.93</v>
      </c>
    </row>
    <row r="2755">
      <c r="D2755" s="16" t="n">
        <v>45644</v>
      </c>
      <c r="E2755" s="19" t="n">
        <v>5.2</v>
      </c>
      <c r="G2755" s="16" t="n">
        <v>45644</v>
      </c>
      <c r="H2755" s="19" t="n">
        <v>2.76</v>
      </c>
      <c r="J2755" s="16" t="n">
        <v>45644</v>
      </c>
      <c r="K2755" s="19" t="n">
        <v>126.95</v>
      </c>
    </row>
    <row r="2756">
      <c r="D2756" s="16" t="n">
        <v>45645</v>
      </c>
      <c r="E2756" s="19" t="n">
        <v>5.18</v>
      </c>
      <c r="G2756" s="16" t="n">
        <v>45645</v>
      </c>
      <c r="H2756" s="19" t="n">
        <v>2.74</v>
      </c>
      <c r="J2756" s="16" t="n">
        <v>45645</v>
      </c>
      <c r="K2756" s="19" t="n">
        <v>127.09</v>
      </c>
    </row>
    <row r="2757">
      <c r="D2757" s="16" t="n">
        <v>45646</v>
      </c>
      <c r="E2757" s="19" t="n">
        <v>5.13</v>
      </c>
      <c r="G2757" s="16" t="n">
        <v>45646</v>
      </c>
      <c r="H2757" s="19" t="n">
        <v>2.78</v>
      </c>
      <c r="J2757" s="16" t="n">
        <v>45646</v>
      </c>
      <c r="K2757" s="19" t="n">
        <v>126.38</v>
      </c>
    </row>
    <row r="2758">
      <c r="D2758" s="16" t="n">
        <v>45649</v>
      </c>
      <c r="E2758" s="19" t="n">
        <v>5.15</v>
      </c>
      <c r="G2758" s="16" t="n">
        <v>45649</v>
      </c>
      <c r="H2758" s="19" t="n">
        <v>2.79</v>
      </c>
      <c r="J2758" s="16" t="n">
        <v>45649</v>
      </c>
      <c r="K2758" s="19" t="n">
        <v>126.44</v>
      </c>
    </row>
    <row r="2759">
      <c r="D2759" s="16" t="n">
        <v>45650</v>
      </c>
      <c r="E2759" s="19" t="n">
        <v>5.18</v>
      </c>
      <c r="G2759" s="16" t="n">
        <v>45650</v>
      </c>
      <c r="H2759" s="19" t="n">
        <v>2.82</v>
      </c>
      <c r="J2759" s="16" t="n">
        <v>45650</v>
      </c>
      <c r="K2759" s="19" t="n">
        <v>126.92</v>
      </c>
    </row>
    <row r="2760">
      <c r="D2760" s="16" t="n">
        <v>45651</v>
      </c>
      <c r="E2760" s="19" t="inlineStr">
        <is>
          <t>.</t>
        </is>
      </c>
      <c r="G2760" s="16" t="n">
        <v>45651</v>
      </c>
      <c r="H2760" s="19" t="inlineStr">
        <is>
          <t>.</t>
        </is>
      </c>
      <c r="J2760" s="16" t="n">
        <v>45651</v>
      </c>
      <c r="K2760" s="19" t="inlineStr">
        <is>
          <t>.</t>
        </is>
      </c>
    </row>
    <row r="2761">
      <c r="D2761" s="16" t="n">
        <v>45652</v>
      </c>
      <c r="E2761" s="19" t="n">
        <v>5.2</v>
      </c>
      <c r="G2761" s="16" t="n">
        <v>45652</v>
      </c>
      <c r="H2761" s="19" t="n">
        <v>2.87</v>
      </c>
      <c r="J2761" s="16" t="n">
        <v>45652</v>
      </c>
      <c r="K2761" s="19" t="n">
        <v>126.33</v>
      </c>
    </row>
    <row r="2762">
      <c r="D2762" s="16" t="n">
        <v>45653</v>
      </c>
      <c r="E2762" s="19" t="n">
        <v>5.2</v>
      </c>
      <c r="G2762" s="16" t="n">
        <v>45653</v>
      </c>
      <c r="H2762" s="19" t="n">
        <v>2.89</v>
      </c>
      <c r="J2762" s="16" t="n">
        <v>45653</v>
      </c>
      <c r="K2762" s="19" t="n">
        <v>126.83</v>
      </c>
    </row>
    <row r="2763">
      <c r="D2763" s="16" t="n">
        <v>45656</v>
      </c>
      <c r="E2763" s="19" t="n">
        <v>5.2</v>
      </c>
      <c r="G2763" s="16" t="n">
        <v>45656</v>
      </c>
      <c r="H2763" s="19" t="n">
        <v>2.84</v>
      </c>
      <c r="J2763" s="16" t="n">
        <v>45656</v>
      </c>
      <c r="K2763" s="19" t="n">
        <v>125.58</v>
      </c>
    </row>
    <row r="2764">
      <c r="D2764" s="16" t="n">
        <v>45657</v>
      </c>
      <c r="E2764" s="19" t="n">
        <v>5.2</v>
      </c>
      <c r="G2764" s="16" t="n">
        <v>45657</v>
      </c>
      <c r="H2764" s="19" t="n">
        <v>2.8</v>
      </c>
      <c r="J2764" s="16" t="n">
        <v>45657</v>
      </c>
      <c r="K2764" s="19" t="n">
        <v>126.82</v>
      </c>
    </row>
    <row r="2765">
      <c r="D2765" s="16" t="n">
        <v>45658</v>
      </c>
      <c r="E2765" s="19" t="inlineStr">
        <is>
          <t>.</t>
        </is>
      </c>
      <c r="G2765" s="16" t="n">
        <v>45658</v>
      </c>
      <c r="H2765" s="19" t="inlineStr">
        <is>
          <t>.</t>
        </is>
      </c>
      <c r="J2765" s="16" t="n">
        <v>45658</v>
      </c>
      <c r="K2765" s="19" t="inlineStr">
        <is>
          <t>.</t>
        </is>
      </c>
    </row>
    <row r="2766">
      <c r="D2766" s="16" t="n">
        <v>45659</v>
      </c>
      <c r="E2766" s="19" t="n">
        <v>5.09</v>
      </c>
      <c r="G2766" s="16" t="n">
        <v>45659</v>
      </c>
      <c r="H2766" s="19" t="n">
        <v>2.77</v>
      </c>
      <c r="J2766" s="16" t="n">
        <v>45659</v>
      </c>
      <c r="K2766" s="19" t="n">
        <v>126.46</v>
      </c>
    </row>
    <row r="2767">
      <c r="D2767" s="16" t="n">
        <v>45660</v>
      </c>
      <c r="E2767" s="19" t="n">
        <v>5.09</v>
      </c>
      <c r="G2767" s="16" t="n">
        <v>45660</v>
      </c>
      <c r="H2767" s="19" t="n">
        <v>2.73</v>
      </c>
      <c r="J2767" s="16" t="n">
        <v>45660</v>
      </c>
      <c r="K2767" s="19" t="n">
        <v>125.72</v>
      </c>
    </row>
    <row r="2768">
      <c r="D2768" s="16" t="n">
        <v>45663</v>
      </c>
      <c r="E2768" s="19" t="n">
        <v>5.14</v>
      </c>
      <c r="G2768" s="16" t="n">
        <v>45663</v>
      </c>
      <c r="H2768" s="19" t="n">
        <v>2.72</v>
      </c>
      <c r="J2768" s="16" t="n">
        <v>45663</v>
      </c>
      <c r="K2768" s="19" t="n">
        <v>126.41</v>
      </c>
    </row>
    <row r="2769">
      <c r="D2769" s="16" t="n">
        <v>45664</v>
      </c>
      <c r="E2769" s="19" t="n">
        <v>5.16</v>
      </c>
      <c r="G2769" s="16" t="n">
        <v>45664</v>
      </c>
      <c r="H2769" s="19" t="n">
        <v>2.63</v>
      </c>
      <c r="J2769" s="16" t="n">
        <v>45664</v>
      </c>
      <c r="K2769" s="19" t="n">
        <v>126.43</v>
      </c>
    </row>
    <row r="2770">
      <c r="D2770" s="16" t="n">
        <v>45665</v>
      </c>
      <c r="E2770" s="19" t="n">
        <v>5.14</v>
      </c>
      <c r="G2770" s="16" t="n">
        <v>45665</v>
      </c>
      <c r="H2770" s="19" t="n">
        <v>2.66</v>
      </c>
      <c r="J2770" s="16" t="n">
        <v>45665</v>
      </c>
      <c r="K2770" s="19" t="n">
        <v>127.87</v>
      </c>
    </row>
    <row r="2771">
      <c r="D2771" s="16" t="n">
        <v>45666</v>
      </c>
      <c r="E2771" s="19" t="n">
        <v>5.19</v>
      </c>
      <c r="G2771" s="16" t="n">
        <v>45666</v>
      </c>
      <c r="H2771" s="19" t="n">
        <v>2.75</v>
      </c>
      <c r="J2771" s="16" t="n">
        <v>45666</v>
      </c>
      <c r="K2771" s="19" t="n">
        <v>127.42</v>
      </c>
    </row>
    <row r="2772">
      <c r="D2772" s="16" t="n">
        <v>45667</v>
      </c>
      <c r="E2772" s="19" t="n">
        <v>5.2</v>
      </c>
      <c r="G2772" s="16" t="n">
        <v>45667</v>
      </c>
      <c r="H2772" s="19" t="n">
        <v>2.78</v>
      </c>
      <c r="J2772" s="16" t="n">
        <v>45667</v>
      </c>
      <c r="K2772" s="19" t="n">
        <v>127.49</v>
      </c>
    </row>
    <row r="2773">
      <c r="D2773" s="16" t="n">
        <v>45670</v>
      </c>
      <c r="E2773" s="19" t="n">
        <v>5.2</v>
      </c>
      <c r="G2773" s="16" t="n">
        <v>45670</v>
      </c>
      <c r="H2773" s="19" t="n">
        <v>2.78</v>
      </c>
      <c r="J2773" s="16" t="n">
        <v>45670</v>
      </c>
      <c r="K2773" s="19" t="n">
        <v>128.54</v>
      </c>
    </row>
    <row r="2774">
      <c r="D2774" s="16" t="n">
        <v>45671</v>
      </c>
      <c r="E2774" s="19" t="n">
        <v>5.16</v>
      </c>
      <c r="G2774" s="16" t="n">
        <v>45671</v>
      </c>
      <c r="H2774" s="19" t="n">
        <v>2.76</v>
      </c>
      <c r="J2774" s="16" t="n">
        <v>45671</v>
      </c>
      <c r="K2774" s="19" t="n">
        <v>128.69</v>
      </c>
    </row>
    <row r="2775">
      <c r="D2775" s="16" t="n">
        <v>45672</v>
      </c>
      <c r="E2775" s="19" t="n">
        <v>5.2</v>
      </c>
      <c r="G2775" s="16" t="n">
        <v>45672</v>
      </c>
      <c r="H2775" s="19" t="n">
        <v>2.77</v>
      </c>
      <c r="J2775" s="16" t="n">
        <v>45672</v>
      </c>
      <c r="K2775" s="19" t="n">
        <v>128.59</v>
      </c>
    </row>
    <row r="2776">
      <c r="D2776" s="16" t="n">
        <v>45673</v>
      </c>
      <c r="E2776" s="19" t="n">
        <v>5.2</v>
      </c>
      <c r="G2776" s="16" t="n">
        <v>45673</v>
      </c>
      <c r="H2776" s="19" t="n">
        <v>2.77</v>
      </c>
      <c r="J2776" s="16" t="n">
        <v>45673</v>
      </c>
      <c r="K2776" s="19" t="n">
        <v>129.43</v>
      </c>
    </row>
    <row r="2777">
      <c r="D2777" s="16" t="n">
        <v>45674</v>
      </c>
      <c r="E2777" s="19" t="n">
        <v>5.17</v>
      </c>
      <c r="G2777" s="16" t="n">
        <v>45674</v>
      </c>
      <c r="H2777" s="19" t="n">
        <v>2.67</v>
      </c>
      <c r="J2777" s="16" t="n">
        <v>45674</v>
      </c>
      <c r="K2777" s="19" t="n">
        <v>128.46</v>
      </c>
    </row>
    <row r="2778">
      <c r="D2778" s="16" t="n">
        <v>45677</v>
      </c>
      <c r="E2778" s="19" t="n">
        <v>5.19</v>
      </c>
      <c r="G2778" s="16" t="n">
        <v>45677</v>
      </c>
      <c r="H2778" s="19" t="n">
        <v>2.71</v>
      </c>
      <c r="J2778" s="16" t="n">
        <v>45677</v>
      </c>
      <c r="K2778" s="19" t="n">
        <v>128.87</v>
      </c>
    </row>
    <row r="2779">
      <c r="D2779" s="16" t="n">
        <v>45678</v>
      </c>
      <c r="E2779" s="19" t="n">
        <v>5.15</v>
      </c>
      <c r="G2779" s="16" t="n">
        <v>45678</v>
      </c>
      <c r="H2779" s="19" t="n">
        <v>2.74</v>
      </c>
      <c r="J2779" s="16" t="n">
        <v>45678</v>
      </c>
      <c r="K2779" s="19" t="n">
        <v>128.65</v>
      </c>
    </row>
    <row r="2780">
      <c r="D2780" s="16" t="n">
        <v>45679</v>
      </c>
      <c r="E2780" s="19" t="n">
        <v>5.15</v>
      </c>
      <c r="G2780" s="16" t="n">
        <v>45679</v>
      </c>
      <c r="H2780" s="19" t="n">
        <v>2.8</v>
      </c>
      <c r="J2780" s="16" t="n">
        <v>45679</v>
      </c>
      <c r="K2780" s="19" t="n">
        <v>128.5</v>
      </c>
    </row>
    <row r="2781">
      <c r="D2781" s="16" t="n">
        <v>45680</v>
      </c>
      <c r="E2781" s="19" t="n">
        <v>5.14</v>
      </c>
      <c r="G2781" s="16" t="n">
        <v>45680</v>
      </c>
      <c r="H2781" s="19" t="n">
        <v>2.77</v>
      </c>
      <c r="J2781" s="16" t="n">
        <v>45680</v>
      </c>
      <c r="K2781" s="19" t="n">
        <v>128.23</v>
      </c>
    </row>
    <row r="2782">
      <c r="D2782" s="16" t="n">
        <v>45681</v>
      </c>
      <c r="E2782" s="19" t="n">
        <v>5.14</v>
      </c>
      <c r="G2782" s="16" t="n">
        <v>45681</v>
      </c>
      <c r="H2782" s="19" t="n">
        <v>2.74</v>
      </c>
      <c r="J2782" s="16" t="n">
        <v>45681</v>
      </c>
      <c r="K2782" s="19" t="n">
        <v>127.64</v>
      </c>
    </row>
    <row r="2783">
      <c r="D2783" s="16" t="n">
        <v>45684</v>
      </c>
      <c r="E2783" s="19" t="n">
        <v>5.11</v>
      </c>
      <c r="G2783" s="16" t="n">
        <v>45684</v>
      </c>
      <c r="H2783" s="19" t="n">
        <v>2.69</v>
      </c>
      <c r="J2783" s="16" t="n">
        <v>45684</v>
      </c>
      <c r="K2783" s="19" t="n">
        <v>127.9</v>
      </c>
    </row>
    <row r="2784">
      <c r="D2784" s="16" t="n">
        <v>45685</v>
      </c>
      <c r="E2784" s="19" t="n">
        <v>5.09</v>
      </c>
      <c r="G2784" s="16" t="n">
        <v>45685</v>
      </c>
      <c r="H2784" s="19" t="n">
        <v>2.69</v>
      </c>
      <c r="J2784" s="16" t="n">
        <v>45685</v>
      </c>
      <c r="K2784" s="19" t="n">
        <v>127.85</v>
      </c>
    </row>
    <row r="2785">
      <c r="D2785" s="16" t="n">
        <v>45686</v>
      </c>
      <c r="E2785" s="19" t="n">
        <v>5.09</v>
      </c>
      <c r="G2785" s="16" t="n">
        <v>45686</v>
      </c>
      <c r="H2785" s="19" t="n">
        <v>2.67</v>
      </c>
      <c r="J2785" s="16" t="n">
        <v>45686</v>
      </c>
      <c r="K2785" s="19" t="n">
        <v>127.94</v>
      </c>
    </row>
    <row r="2786">
      <c r="D2786" s="16" t="n">
        <v>45687</v>
      </c>
      <c r="E2786" s="19" t="n">
        <v>5.13</v>
      </c>
      <c r="G2786" s="16" t="n">
        <v>45687</v>
      </c>
      <c r="H2786" s="19" t="n">
        <v>2.7</v>
      </c>
      <c r="J2786" s="16" t="n">
        <v>45687</v>
      </c>
      <c r="K2786" s="19" t="n">
        <v>128.3</v>
      </c>
    </row>
    <row r="2787">
      <c r="D2787" s="16" t="n">
        <v>45688</v>
      </c>
      <c r="E2787" s="19" t="n">
        <v>5.07</v>
      </c>
      <c r="G2787" s="16" t="n">
        <v>45688</v>
      </c>
      <c r="H2787" s="19" t="n">
        <v>2.71</v>
      </c>
      <c r="J2787" s="16" t="n">
        <v>45688</v>
      </c>
      <c r="K2787" s="19" t="n">
        <v>129.38</v>
      </c>
    </row>
    <row r="2788">
      <c r="D2788" s="16" t="n">
        <v>45691</v>
      </c>
      <c r="E2788" s="19" t="n">
        <v>5.06</v>
      </c>
      <c r="G2788" s="16" t="n">
        <v>45691</v>
      </c>
      <c r="H2788" s="19" t="n">
        <v>2.73</v>
      </c>
      <c r="J2788" s="16" t="n">
        <v>45691</v>
      </c>
      <c r="K2788" s="19" t="n">
        <v>130.44</v>
      </c>
    </row>
    <row r="2789">
      <c r="D2789" s="16" t="n">
        <v>45692</v>
      </c>
      <c r="E2789" s="19" t="n">
        <v>5.02</v>
      </c>
      <c r="G2789" s="16" t="n">
        <v>45692</v>
      </c>
      <c r="H2789" s="19" t="n">
        <v>2.75</v>
      </c>
      <c r="J2789" s="16" t="n">
        <v>45692</v>
      </c>
      <c r="K2789" s="19" t="n">
        <v>130.65</v>
      </c>
    </row>
    <row r="2790">
      <c r="D2790" s="16" t="n">
        <v>45693</v>
      </c>
      <c r="E2790" s="19" t="n">
        <v>5.08</v>
      </c>
      <c r="G2790" s="16" t="n">
        <v>45693</v>
      </c>
      <c r="H2790" s="19" t="n">
        <v>2.76</v>
      </c>
      <c r="J2790" s="16" t="n">
        <v>45693</v>
      </c>
      <c r="K2790" s="19" t="n">
        <v>131.01</v>
      </c>
    </row>
    <row r="2791">
      <c r="D2791" s="16" t="n">
        <v>45694</v>
      </c>
      <c r="E2791" s="19" t="n">
        <v>5.1</v>
      </c>
      <c r="G2791" s="16" t="n">
        <v>45694</v>
      </c>
      <c r="H2791" s="19" t="n">
        <v>2.69</v>
      </c>
      <c r="J2791" s="16" t="n">
        <v>45694</v>
      </c>
      <c r="K2791" s="19" t="n">
        <v>131.74</v>
      </c>
    </row>
    <row r="2792">
      <c r="D2792" s="16" t="n">
        <v>45695</v>
      </c>
      <c r="E2792" s="19" t="n">
        <v>5.12</v>
      </c>
      <c r="G2792" s="16" t="n">
        <v>45695</v>
      </c>
      <c r="H2792" s="19" t="n">
        <v>2.72</v>
      </c>
      <c r="J2792" s="16" t="n">
        <v>45695</v>
      </c>
      <c r="K2792" s="19" t="n">
        <v>132.1</v>
      </c>
    </row>
    <row r="2793">
      <c r="D2793" s="16" t="n">
        <v>45698</v>
      </c>
      <c r="E2793" s="19" t="n">
        <v>5.14</v>
      </c>
      <c r="G2793" s="16" t="n">
        <v>45698</v>
      </c>
      <c r="H2793" s="19" t="n">
        <v>2.7</v>
      </c>
      <c r="J2793" s="16" t="n">
        <v>45698</v>
      </c>
      <c r="K2793" s="19" t="n">
        <v>131.62</v>
      </c>
    </row>
    <row r="2794">
      <c r="D2794" s="16" t="n">
        <v>45699</v>
      </c>
      <c r="E2794" s="19" t="n">
        <v>5.18</v>
      </c>
      <c r="G2794" s="16" t="n">
        <v>45699</v>
      </c>
      <c r="H2794" s="19" t="n">
        <v>2.73</v>
      </c>
      <c r="J2794" s="16" t="n">
        <v>45699</v>
      </c>
      <c r="K2794" s="19" t="n">
        <v>133.28</v>
      </c>
    </row>
    <row r="2795">
      <c r="D2795" s="16" t="n">
        <v>45700</v>
      </c>
      <c r="E2795" s="19" t="n">
        <v>5.2</v>
      </c>
      <c r="G2795" s="16" t="n">
        <v>45700</v>
      </c>
      <c r="H2795" s="19" t="n">
        <v>2.72</v>
      </c>
      <c r="J2795" s="16" t="n">
        <v>45700</v>
      </c>
      <c r="K2795" s="19" t="n">
        <v>133.88</v>
      </c>
    </row>
    <row r="2796">
      <c r="D2796" s="16" t="n">
        <v>45701</v>
      </c>
      <c r="E2796" s="19" t="n">
        <v>5.14</v>
      </c>
      <c r="G2796" s="16" t="n">
        <v>45701</v>
      </c>
      <c r="H2796" s="19" t="n">
        <v>2.72</v>
      </c>
      <c r="J2796" s="16" t="n">
        <v>45701</v>
      </c>
      <c r="K2796" s="19" t="n">
        <v>132.4</v>
      </c>
    </row>
    <row r="2797">
      <c r="D2797" s="16" t="n">
        <v>45702</v>
      </c>
      <c r="E2797" s="19" t="n">
        <v>5.12</v>
      </c>
      <c r="G2797" s="16" t="n">
        <v>45702</v>
      </c>
      <c r="H2797" s="19" t="n">
        <v>2.72</v>
      </c>
      <c r="J2797" s="16" t="n">
        <v>45702</v>
      </c>
      <c r="K2797" s="19" t="n">
        <v>132.8</v>
      </c>
    </row>
    <row r="2798">
      <c r="D2798" s="16" t="n">
        <v>45705</v>
      </c>
      <c r="E2798" s="19" t="n">
        <v>5.08</v>
      </c>
      <c r="G2798" s="16" t="n">
        <v>45705</v>
      </c>
      <c r="H2798" s="19" t="n">
        <v>2.73</v>
      </c>
      <c r="J2798" s="16" t="n">
        <v>45705</v>
      </c>
      <c r="K2798" s="19" t="n">
        <v>133.73</v>
      </c>
    </row>
    <row r="2799">
      <c r="D2799" s="16" t="n">
        <v>45706</v>
      </c>
      <c r="E2799" s="19" t="n">
        <v>5.12</v>
      </c>
      <c r="G2799" s="16" t="n">
        <v>45706</v>
      </c>
      <c r="H2799" s="19" t="n">
        <v>2.71</v>
      </c>
      <c r="J2799" s="16" t="n">
        <v>45706</v>
      </c>
      <c r="K2799" s="19" t="n">
        <v>133.42</v>
      </c>
    </row>
    <row r="2800">
      <c r="D2800" s="16" t="n">
        <v>45707</v>
      </c>
      <c r="E2800" s="19" t="n">
        <v>5.11</v>
      </c>
      <c r="G2800" s="16" t="n">
        <v>45707</v>
      </c>
      <c r="H2800" s="19" t="n">
        <v>2.76</v>
      </c>
      <c r="J2800" s="16" t="n">
        <v>45707</v>
      </c>
      <c r="K2800" s="19" t="n">
        <v>133.78</v>
      </c>
    </row>
    <row r="2801">
      <c r="D2801" s="16" t="n">
        <v>45708</v>
      </c>
      <c r="E2801" s="19" t="n">
        <v>5.06</v>
      </c>
      <c r="G2801" s="16" t="n">
        <v>45708</v>
      </c>
      <c r="H2801" s="19" t="n">
        <v>2.76</v>
      </c>
      <c r="J2801" s="16" t="n">
        <v>45708</v>
      </c>
      <c r="K2801" s="19" t="n">
        <v>135.11</v>
      </c>
    </row>
    <row r="2802">
      <c r="D2802" s="16" t="n">
        <v>45709</v>
      </c>
      <c r="E2802" s="19" t="n">
        <v>4.97</v>
      </c>
      <c r="G2802" s="16" t="n">
        <v>45709</v>
      </c>
      <c r="H2802" s="19" t="n">
        <v>2.75</v>
      </c>
      <c r="J2802" s="16" t="n">
        <v>45709</v>
      </c>
      <c r="K2802" s="19" t="n">
        <v>136.85</v>
      </c>
    </row>
    <row r="2803">
      <c r="D2803" s="16" t="n">
        <v>45712</v>
      </c>
      <c r="E2803" s="19" t="n">
        <v>5.03</v>
      </c>
      <c r="G2803" s="16" t="n">
        <v>45712</v>
      </c>
      <c r="H2803" s="19" t="n">
        <v>2.74</v>
      </c>
      <c r="J2803" s="16" t="n">
        <v>45712</v>
      </c>
      <c r="K2803" s="19" t="n">
        <v>137.74</v>
      </c>
    </row>
    <row r="2804">
      <c r="D2804" s="16" t="n">
        <v>45713</v>
      </c>
      <c r="E2804" s="19" t="n">
        <v>5.06</v>
      </c>
      <c r="G2804" s="16" t="n">
        <v>45713</v>
      </c>
      <c r="H2804" s="19" t="n">
        <v>2.77</v>
      </c>
      <c r="J2804" s="16" t="n">
        <v>45713</v>
      </c>
      <c r="K2804" s="19" t="n">
        <v>137.83</v>
      </c>
    </row>
    <row r="2805">
      <c r="D2805" s="16" t="n">
        <v>45714</v>
      </c>
      <c r="E2805" s="19" t="n">
        <v>5.03</v>
      </c>
      <c r="G2805" s="16" t="n">
        <v>45714</v>
      </c>
      <c r="H2805" s="19" t="n">
        <v>2.81</v>
      </c>
      <c r="J2805" s="16" t="n">
        <v>45714</v>
      </c>
      <c r="K2805" s="19" t="n">
        <v>137.58</v>
      </c>
    </row>
    <row r="2806">
      <c r="D2806" s="16" t="n">
        <v>45715</v>
      </c>
      <c r="E2806" s="19" t="n">
        <v>5.05</v>
      </c>
      <c r="G2806" s="16" t="n">
        <v>45715</v>
      </c>
      <c r="H2806" s="19" t="n">
        <v>2.81</v>
      </c>
      <c r="J2806" s="16" t="n">
        <v>45715</v>
      </c>
      <c r="K2806" s="19" t="n">
        <v>138.44</v>
      </c>
    </row>
    <row r="2807">
      <c r="D2807" s="16" t="n">
        <v>45716</v>
      </c>
      <c r="E2807" s="19" t="n">
        <v>5</v>
      </c>
      <c r="G2807" s="16" t="n">
        <v>45716</v>
      </c>
      <c r="H2807" s="19" t="n">
        <v>2.87</v>
      </c>
      <c r="J2807" s="16" t="n">
        <v>45716</v>
      </c>
      <c r="K2807" s="19" t="n">
        <v>138.85</v>
      </c>
    </row>
    <row r="2808">
      <c r="D2808" s="16" t="n">
        <v>45719</v>
      </c>
      <c r="E2808" s="19" t="n">
        <v>5.02</v>
      </c>
      <c r="G2808" s="16" t="n">
        <v>45719</v>
      </c>
      <c r="H2808" s="19" t="n">
        <v>2.84</v>
      </c>
      <c r="J2808" s="16" t="n">
        <v>45719</v>
      </c>
      <c r="K2808" s="19" t="n">
        <v>139.14</v>
      </c>
    </row>
    <row r="2809">
      <c r="D2809" s="16" t="n">
        <v>45720</v>
      </c>
      <c r="E2809" s="19" t="n">
        <v>4.96</v>
      </c>
      <c r="G2809" s="16" t="n">
        <v>45720</v>
      </c>
      <c r="H2809" s="19" t="n">
        <v>2.81</v>
      </c>
      <c r="J2809" s="16" t="n">
        <v>45720</v>
      </c>
      <c r="K2809" s="19" t="n">
        <v>139.44</v>
      </c>
    </row>
    <row r="2810">
      <c r="D2810" s="16" t="n">
        <v>45721</v>
      </c>
      <c r="E2810" s="19" t="n">
        <v>4.92</v>
      </c>
      <c r="G2810" s="16" t="n">
        <v>45721</v>
      </c>
      <c r="H2810" s="19" t="n">
        <v>2.83</v>
      </c>
      <c r="J2810" s="16" t="n">
        <v>45721</v>
      </c>
      <c r="K2810" s="19" t="n">
        <v>140.57</v>
      </c>
    </row>
    <row r="2811">
      <c r="D2811" s="16" t="n">
        <v>45722</v>
      </c>
      <c r="E2811" s="19" t="n">
        <v>4.92</v>
      </c>
      <c r="G2811" s="16" t="n">
        <v>45722</v>
      </c>
      <c r="H2811" s="19" t="n">
        <v>2.74</v>
      </c>
      <c r="J2811" s="16" t="n">
        <v>45722</v>
      </c>
      <c r="K2811" s="19" t="n">
        <v>141.57</v>
      </c>
    </row>
    <row r="2812">
      <c r="D2812" s="16" t="n">
        <v>45723</v>
      </c>
      <c r="E2812" s="19" t="n">
        <v>4.93</v>
      </c>
      <c r="G2812" s="16" t="n">
        <v>45723</v>
      </c>
      <c r="H2812" s="19" t="n">
        <v>2.7</v>
      </c>
      <c r="J2812" s="16" t="n">
        <v>45723</v>
      </c>
      <c r="K2812" s="19" t="n">
        <v>141.54</v>
      </c>
    </row>
    <row r="2813">
      <c r="D2813" s="16" t="n">
        <v>45726</v>
      </c>
      <c r="E2813" s="19" t="n">
        <v>4.93</v>
      </c>
      <c r="G2813" s="16" t="n">
        <v>45726</v>
      </c>
      <c r="H2813" s="19" t="n">
        <v>2.75</v>
      </c>
      <c r="J2813" s="16" t="n">
        <v>45726</v>
      </c>
      <c r="K2813" s="19" t="n">
        <v>141.59</v>
      </c>
    </row>
    <row r="2814">
      <c r="D2814" s="16" t="n">
        <v>45727</v>
      </c>
      <c r="E2814" s="19" t="n">
        <v>4.89</v>
      </c>
      <c r="G2814" s="16" t="n">
        <v>45727</v>
      </c>
      <c r="H2814" s="19" t="n">
        <v>2.69</v>
      </c>
      <c r="J2814" s="16" t="n">
        <v>45727</v>
      </c>
      <c r="K2814" s="19" t="n">
        <v>141.88</v>
      </c>
    </row>
    <row r="2815">
      <c r="D2815" s="16" t="n">
        <v>45728</v>
      </c>
      <c r="E2815" s="19" t="n">
        <v>4.92</v>
      </c>
      <c r="G2815" s="16" t="n">
        <v>45728</v>
      </c>
      <c r="H2815" s="19" t="n">
        <v>2.66</v>
      </c>
      <c r="J2815" s="16" t="n">
        <v>45728</v>
      </c>
      <c r="K2815" s="19" t="n">
        <v>143.91</v>
      </c>
    </row>
    <row r="2816">
      <c r="D2816" s="16" t="n">
        <v>45729</v>
      </c>
      <c r="E2816" s="19" t="n">
        <v>4.85</v>
      </c>
      <c r="G2816" s="16" t="n">
        <v>45729</v>
      </c>
      <c r="H2816" s="19" t="n">
        <v>2.64</v>
      </c>
      <c r="J2816" s="16" t="n">
        <v>45729</v>
      </c>
      <c r="K2816" s="19" t="n">
        <v>143.42</v>
      </c>
    </row>
    <row r="2817">
      <c r="D2817" s="16" t="n">
        <v>45730</v>
      </c>
      <c r="E2817" s="19" t="n">
        <v>4.84</v>
      </c>
      <c r="G2817" s="16" t="n">
        <v>45730</v>
      </c>
      <c r="H2817" s="19" t="n">
        <v>2.64</v>
      </c>
      <c r="J2817" s="16" t="n">
        <v>45730</v>
      </c>
      <c r="K2817" s="19" t="n">
        <v>141.92</v>
      </c>
    </row>
    <row r="2818">
      <c r="D2818" s="16" t="n">
        <v>45733</v>
      </c>
      <c r="E2818" s="19" t="n">
        <v>4.85</v>
      </c>
      <c r="G2818" s="16" t="n">
        <v>45733</v>
      </c>
      <c r="H2818" s="19" t="n">
        <v>2.59</v>
      </c>
      <c r="J2818" s="16" t="n">
        <v>45733</v>
      </c>
      <c r="K2818" s="19" t="n">
        <v>141.63</v>
      </c>
    </row>
    <row r="2819">
      <c r="D2819" s="16" t="n">
        <v>45734</v>
      </c>
      <c r="E2819" s="19" t="n">
        <v>4.89</v>
      </c>
      <c r="G2819" s="16" t="n">
        <v>45734</v>
      </c>
      <c r="H2819" s="19" t="n">
        <v>2.57</v>
      </c>
      <c r="J2819" s="16" t="n">
        <v>45734</v>
      </c>
      <c r="K2819" s="19" t="n">
        <v>142.49</v>
      </c>
    </row>
    <row r="2820">
      <c r="D2820" s="16" t="n">
        <v>45735</v>
      </c>
      <c r="E2820" s="19" t="n">
        <v>4.9</v>
      </c>
      <c r="G2820" s="16" t="n">
        <v>45735</v>
      </c>
      <c r="H2820" s="19" t="n">
        <v>2.57</v>
      </c>
      <c r="J2820" s="16" t="n">
        <v>45735</v>
      </c>
      <c r="K2820" s="19" t="n">
        <v>142.5</v>
      </c>
    </row>
    <row r="2821">
      <c r="D2821" s="16" t="n">
        <v>45736</v>
      </c>
      <c r="E2821" s="19" t="n">
        <v>4.87</v>
      </c>
      <c r="G2821" s="16" t="n">
        <v>45736</v>
      </c>
      <c r="H2821" s="19" t="n">
        <v>2.54</v>
      </c>
      <c r="J2821" s="16" t="n">
        <v>45736</v>
      </c>
      <c r="K2821" s="19" t="n">
        <v>141.86</v>
      </c>
    </row>
    <row r="2822">
      <c r="D2822" s="16" t="n">
        <v>45737</v>
      </c>
      <c r="E2822" s="19" t="n">
        <v>4.81</v>
      </c>
      <c r="G2822" s="16" t="n">
        <v>45737</v>
      </c>
      <c r="H2822" s="19" t="n">
        <v>2.53</v>
      </c>
      <c r="J2822" s="16" t="n">
        <v>45737</v>
      </c>
      <c r="K2822" s="19" t="n">
        <v>141.14</v>
      </c>
    </row>
    <row r="2823">
      <c r="D2823" s="16" t="n">
        <v>45740</v>
      </c>
      <c r="E2823" s="19" t="n">
        <v>4.74</v>
      </c>
      <c r="G2823" s="16" t="n">
        <v>45740</v>
      </c>
      <c r="H2823" s="19" t="n">
        <v>2.43</v>
      </c>
      <c r="J2823" s="16" t="n">
        <v>45740</v>
      </c>
      <c r="K2823" s="19" t="n">
        <v>141.06</v>
      </c>
    </row>
    <row r="2824">
      <c r="D2824" s="16" t="n">
        <v>45741</v>
      </c>
      <c r="E2824" s="19" t="n">
        <v>4.73</v>
      </c>
      <c r="G2824" s="16" t="n">
        <v>45741</v>
      </c>
      <c r="H2824" s="19" t="n">
        <v>2.48</v>
      </c>
      <c r="J2824" s="16" t="n">
        <v>45741</v>
      </c>
      <c r="K2824" s="19" t="n">
        <v>139.7</v>
      </c>
    </row>
    <row r="2825">
      <c r="D2825" s="16" t="n">
        <v>45742</v>
      </c>
      <c r="E2825" s="19" t="n">
        <v>4.78</v>
      </c>
      <c r="G2825" s="16" t="n">
        <v>45742</v>
      </c>
      <c r="H2825" s="19" t="n">
        <v>2.44</v>
      </c>
      <c r="J2825" s="16" t="n">
        <v>45742</v>
      </c>
      <c r="K2825" s="19" t="n">
        <v>139.79</v>
      </c>
    </row>
    <row r="2826">
      <c r="D2826" s="16" t="n">
        <v>45743</v>
      </c>
      <c r="E2826" s="19" t="n">
        <v>4.77</v>
      </c>
      <c r="G2826" s="16" t="n">
        <v>45743</v>
      </c>
      <c r="H2826" s="19" t="n">
        <v>2.43</v>
      </c>
      <c r="J2826" s="16" t="n">
        <v>45743</v>
      </c>
      <c r="K2826" s="19" t="n">
        <v>140.4</v>
      </c>
    </row>
    <row r="2827">
      <c r="D2827" s="16" t="n">
        <v>45744</v>
      </c>
      <c r="E2827" s="19" t="n">
        <v>4.71</v>
      </c>
      <c r="G2827" s="16" t="n">
        <v>45744</v>
      </c>
      <c r="H2827" s="19" t="n">
        <v>2.35</v>
      </c>
      <c r="J2827" s="16" t="n">
        <v>45744</v>
      </c>
      <c r="K2827" s="19" t="n">
        <v>139.39</v>
      </c>
    </row>
    <row r="2828">
      <c r="D2828" s="16" t="n">
        <v>45747</v>
      </c>
      <c r="E2828" s="19" t="n">
        <v>4.66</v>
      </c>
      <c r="G2828" s="16" t="n">
        <v>45747</v>
      </c>
      <c r="H2828" s="19" t="n">
        <v>2.38</v>
      </c>
      <c r="J2828" s="16" t="n">
        <v>45747</v>
      </c>
      <c r="K2828" s="19" t="n">
        <v>138.24</v>
      </c>
    </row>
    <row r="2829">
      <c r="D2829" s="16" t="n">
        <v>45748</v>
      </c>
      <c r="E2829" s="19" t="n">
        <v>4.65</v>
      </c>
      <c r="G2829" s="16" t="n">
        <v>45748</v>
      </c>
      <c r="H2829" s="19" t="n">
        <v>2.41</v>
      </c>
      <c r="J2829" s="16" t="n">
        <v>45748</v>
      </c>
      <c r="K2829" s="19" t="n">
        <v>139.02</v>
      </c>
    </row>
    <row r="2830">
      <c r="D2830" s="16" t="n">
        <v>45749</v>
      </c>
      <c r="E2830" s="19" t="n">
        <v>4.63</v>
      </c>
      <c r="G2830" s="16" t="n">
        <v>45749</v>
      </c>
      <c r="H2830" s="19" t="n">
        <v>2.41</v>
      </c>
      <c r="J2830" s="16" t="n">
        <v>45749</v>
      </c>
      <c r="K2830" s="19" t="n">
        <v>140.12</v>
      </c>
    </row>
    <row r="2831">
      <c r="D2831" s="16" t="n">
        <v>45750</v>
      </c>
      <c r="E2831" s="19" t="n">
        <v>4.7</v>
      </c>
      <c r="G2831" s="16" t="n">
        <v>45750</v>
      </c>
      <c r="H2831" s="19" t="n">
        <v>2.49</v>
      </c>
      <c r="J2831" s="16" t="n">
        <v>45750</v>
      </c>
      <c r="K2831" s="19" t="n">
        <v>139.35</v>
      </c>
    </row>
    <row r="2832">
      <c r="D2832" s="16" t="n">
        <v>45751</v>
      </c>
      <c r="E2832" s="19" t="n">
        <v>4.71</v>
      </c>
      <c r="G2832" s="16" t="n">
        <v>45751</v>
      </c>
      <c r="H2832" s="19" t="n">
        <v>2.5</v>
      </c>
      <c r="J2832" s="16" t="n">
        <v>45751</v>
      </c>
      <c r="K2832" s="19" t="n">
        <v>139.24</v>
      </c>
    </row>
    <row r="2833">
      <c r="D2833" s="16" t="n">
        <v>45754</v>
      </c>
      <c r="E2833" s="19" t="n">
        <v>4.65</v>
      </c>
      <c r="G2833" s="16" t="n">
        <v>45754</v>
      </c>
      <c r="H2833" s="19" t="n">
        <v>2.48</v>
      </c>
      <c r="J2833" s="16" t="n">
        <v>45754</v>
      </c>
      <c r="K2833" s="19" t="n">
        <v>139.87</v>
      </c>
    </row>
    <row r="2834">
      <c r="D2834" s="16" t="n">
        <v>45755</v>
      </c>
      <c r="E2834" s="19" t="n">
        <v>4.61</v>
      </c>
      <c r="G2834" s="16" t="n">
        <v>45755</v>
      </c>
      <c r="H2834" s="19" t="n">
        <v>2.48</v>
      </c>
      <c r="J2834" s="16" t="n">
        <v>45755</v>
      </c>
      <c r="K2834" s="19" t="n">
        <v>139.48</v>
      </c>
    </row>
    <row r="2835">
      <c r="D2835" s="16" t="n">
        <v>45756</v>
      </c>
      <c r="E2835" s="19" t="n">
        <v>4.59</v>
      </c>
      <c r="G2835" s="16" t="n">
        <v>45756</v>
      </c>
      <c r="H2835" s="19" t="n">
        <v>2.4</v>
      </c>
      <c r="J2835" s="16" t="n">
        <v>45756</v>
      </c>
      <c r="K2835" s="19" t="n">
        <v>140.51</v>
      </c>
    </row>
    <row r="2836">
      <c r="D2836" s="16" t="n">
        <v>45757</v>
      </c>
      <c r="E2836" s="19" t="n">
        <v>4.58</v>
      </c>
      <c r="G2836" s="16" t="n">
        <v>45757</v>
      </c>
      <c r="H2836" s="19" t="n">
        <v>2.39</v>
      </c>
      <c r="J2836" s="16" t="n">
        <v>45757</v>
      </c>
      <c r="K2836" s="19" t="n">
        <v>140.58</v>
      </c>
    </row>
    <row r="2837">
      <c r="D2837" s="16" t="n">
        <v>45758</v>
      </c>
      <c r="E2837" s="19" t="n">
        <v>4.56</v>
      </c>
      <c r="G2837" s="16" t="n">
        <v>45758</v>
      </c>
      <c r="H2837" s="19" t="n">
        <v>2.34</v>
      </c>
      <c r="J2837" s="16" t="n">
        <v>45758</v>
      </c>
      <c r="K2837" s="19" t="n">
        <v>140.9</v>
      </c>
    </row>
    <row r="2838">
      <c r="D2838" s="16" t="n">
        <v>45761</v>
      </c>
      <c r="E2838" s="19" t="n">
        <v>4.57</v>
      </c>
      <c r="G2838" s="16" t="n">
        <v>45761</v>
      </c>
      <c r="H2838" s="19" t="n">
        <v>2.37</v>
      </c>
      <c r="J2838" s="16" t="n">
        <v>45761</v>
      </c>
      <c r="K2838" s="19" t="n">
        <v>140.54</v>
      </c>
    </row>
    <row r="2839">
      <c r="D2839" s="16" t="n">
        <v>45762</v>
      </c>
      <c r="E2839" s="19" t="n">
        <v>4.56</v>
      </c>
      <c r="G2839" s="16" t="n">
        <v>45762</v>
      </c>
      <c r="H2839" s="19" t="n">
        <v>2.35</v>
      </c>
      <c r="J2839" s="16" t="n">
        <v>45762</v>
      </c>
      <c r="K2839" s="19" t="n">
        <v>140.54</v>
      </c>
    </row>
    <row r="2840">
      <c r="D2840" s="16" t="n">
        <v>45763</v>
      </c>
      <c r="E2840" s="19" t="n">
        <v>4.58</v>
      </c>
      <c r="G2840" s="16" t="n">
        <v>45763</v>
      </c>
      <c r="H2840" s="19" t="n">
        <v>2.41</v>
      </c>
      <c r="J2840" s="16" t="n">
        <v>45763</v>
      </c>
      <c r="K2840" s="19" t="n">
        <v>141.23</v>
      </c>
    </row>
    <row r="2841">
      <c r="D2841" s="16" t="n">
        <v>45764</v>
      </c>
      <c r="E2841" s="19" t="n">
        <v>4.57</v>
      </c>
      <c r="G2841" s="16" t="n">
        <v>45764</v>
      </c>
      <c r="H2841" s="19" t="n">
        <v>2.47</v>
      </c>
      <c r="J2841" s="16" t="n">
        <v>45764</v>
      </c>
      <c r="K2841" s="19" t="n">
        <v>141.7</v>
      </c>
    </row>
    <row r="2842">
      <c r="D2842" s="16" t="n">
        <v>45765</v>
      </c>
      <c r="E2842" s="19" t="n">
        <v>4.6</v>
      </c>
      <c r="G2842" s="16" t="n">
        <v>45765</v>
      </c>
      <c r="H2842" s="19" t="n">
        <v>2.49</v>
      </c>
      <c r="J2842" s="16" t="n">
        <v>45765</v>
      </c>
      <c r="K2842" s="19" t="n">
        <v>141.95</v>
      </c>
    </row>
    <row r="2843">
      <c r="D2843" s="16" t="n">
        <v>45768</v>
      </c>
      <c r="E2843" s="19" t="n">
        <v>4.6</v>
      </c>
      <c r="G2843" s="16" t="n">
        <v>45768</v>
      </c>
      <c r="H2843" s="19" t="n">
        <v>2.47</v>
      </c>
      <c r="J2843" s="16" t="n">
        <v>45768</v>
      </c>
      <c r="K2843" s="19" t="n">
        <v>142.33</v>
      </c>
    </row>
    <row r="2844">
      <c r="D2844" s="16" t="n">
        <v>45769</v>
      </c>
      <c r="E2844" s="19" t="n">
        <v>4.68</v>
      </c>
      <c r="G2844" s="16" t="n">
        <v>45769</v>
      </c>
      <c r="H2844" s="19" t="n">
        <v>2.47</v>
      </c>
      <c r="J2844" s="16" t="n">
        <v>45769</v>
      </c>
      <c r="K2844" s="19" t="n">
        <v>141.67</v>
      </c>
    </row>
    <row r="2845">
      <c r="D2845" s="16" t="n">
        <v>45770</v>
      </c>
      <c r="E2845" s="19" t="n">
        <v>4.63</v>
      </c>
      <c r="G2845" s="16" t="n">
        <v>45770</v>
      </c>
      <c r="H2845" s="19" t="n">
        <v>2.46</v>
      </c>
      <c r="J2845" s="16" t="n">
        <v>45770</v>
      </c>
      <c r="K2845" s="19" t="n">
        <v>142.74</v>
      </c>
    </row>
    <row r="2846">
      <c r="D2846" s="16" t="n">
        <v>45771</v>
      </c>
      <c r="E2846" s="19" t="n">
        <v>4.61</v>
      </c>
      <c r="G2846" s="16" t="n">
        <v>45771</v>
      </c>
      <c r="H2846" s="19" t="n">
        <v>2.47</v>
      </c>
      <c r="J2846" s="16" t="n">
        <v>45771</v>
      </c>
      <c r="K2846" s="19" t="n">
        <v>142.98</v>
      </c>
    </row>
    <row r="2847">
      <c r="D2847" s="16" t="n">
        <v>45772</v>
      </c>
      <c r="E2847" s="19" t="n">
        <v>4.58</v>
      </c>
      <c r="G2847" s="16" t="n">
        <v>45772</v>
      </c>
      <c r="H2847" s="19" t="n">
        <v>2.51</v>
      </c>
      <c r="J2847" s="16" t="n">
        <v>45772</v>
      </c>
      <c r="K2847" s="19" t="n">
        <v>142.58</v>
      </c>
    </row>
    <row r="2848">
      <c r="D2848" s="16" t="n">
        <v>45775</v>
      </c>
      <c r="E2848" s="19" t="n">
        <v>4.57</v>
      </c>
      <c r="G2848" s="16" t="n">
        <v>45775</v>
      </c>
      <c r="H2848" s="19" t="n">
        <v>2.52</v>
      </c>
      <c r="J2848" s="16" t="n">
        <v>45775</v>
      </c>
      <c r="K2848" s="19" t="n">
        <v>142.84</v>
      </c>
    </row>
    <row r="2849">
      <c r="D2849" s="16" t="n">
        <v>45776</v>
      </c>
      <c r="E2849" s="19" t="n">
        <v>4.53</v>
      </c>
      <c r="G2849" s="16" t="n">
        <v>45776</v>
      </c>
      <c r="H2849" s="19" t="n">
        <v>2.54</v>
      </c>
      <c r="J2849" s="16" t="n">
        <v>45776</v>
      </c>
      <c r="K2849" s="19" t="n">
        <v>143.71</v>
      </c>
    </row>
    <row r="2850">
      <c r="D2850" s="16" t="n">
        <v>45777</v>
      </c>
      <c r="E2850" s="19" t="n">
        <v>4.53</v>
      </c>
      <c r="G2850" s="16" t="n">
        <v>45777</v>
      </c>
      <c r="H2850" s="19" t="n">
        <v>2.58</v>
      </c>
      <c r="J2850" s="16" t="n">
        <v>45777</v>
      </c>
      <c r="K2850" s="19" t="n">
        <v>143.06</v>
      </c>
    </row>
    <row r="2851">
      <c r="D2851" s="16" t="n">
        <v>45778</v>
      </c>
      <c r="E2851" s="19" t="n">
        <v>4.57</v>
      </c>
      <c r="G2851" s="16" t="n">
        <v>45778</v>
      </c>
      <c r="H2851" s="19" t="n">
        <v>2.54</v>
      </c>
      <c r="J2851" s="16" t="n">
        <v>45778</v>
      </c>
      <c r="K2851" s="19" t="n">
        <v>143.98</v>
      </c>
    </row>
    <row r="2852">
      <c r="D2852" s="16" t="n">
        <v>45779</v>
      </c>
      <c r="E2852" s="19" t="n">
        <v>4.57</v>
      </c>
      <c r="G2852" s="16" t="n">
        <v>45779</v>
      </c>
      <c r="H2852" s="19" t="n">
        <v>2.55</v>
      </c>
      <c r="J2852" s="16" t="n">
        <v>45779</v>
      </c>
      <c r="K2852" s="19" t="n">
        <v>144.53</v>
      </c>
    </row>
    <row r="2853">
      <c r="D2853" s="16" t="n">
        <v>45782</v>
      </c>
      <c r="E2853" s="19" t="n">
        <v>4.58</v>
      </c>
      <c r="G2853" s="16" t="n">
        <v>45782</v>
      </c>
      <c r="H2853" s="19" t="n">
        <v>2.58</v>
      </c>
      <c r="J2853" s="16" t="n">
        <v>45782</v>
      </c>
      <c r="K2853" s="19" t="n">
        <v>144.22</v>
      </c>
    </row>
    <row r="2854">
      <c r="D2854" s="16" t="n">
        <v>45783</v>
      </c>
      <c r="E2854" s="19" t="n">
        <v>4.63</v>
      </c>
      <c r="G2854" s="16" t="n">
        <v>45783</v>
      </c>
      <c r="H2854" s="19" t="n">
        <v>2.52</v>
      </c>
      <c r="J2854" s="16" t="n">
        <v>45783</v>
      </c>
      <c r="K2854" s="19" t="n">
        <v>145.82</v>
      </c>
    </row>
    <row r="2855">
      <c r="D2855" s="16" t="n">
        <v>45784</v>
      </c>
      <c r="E2855" s="19" t="n">
        <v>4.58</v>
      </c>
      <c r="G2855" s="16" t="n">
        <v>45784</v>
      </c>
      <c r="H2855" s="19" t="n">
        <v>2.59</v>
      </c>
      <c r="J2855" s="16" t="n">
        <v>45784</v>
      </c>
      <c r="K2855" s="19" t="n">
        <v>145.28</v>
      </c>
    </row>
    <row r="2856">
      <c r="D2856" s="16" t="n">
        <v>45785</v>
      </c>
      <c r="E2856" s="19" t="n">
        <v>4.62</v>
      </c>
      <c r="G2856" s="16" t="n">
        <v>45785</v>
      </c>
      <c r="H2856" s="19" t="n">
        <v>2.6</v>
      </c>
      <c r="J2856" s="16" t="n">
        <v>45785</v>
      </c>
      <c r="K2856" s="19" t="n">
        <v>144.1</v>
      </c>
    </row>
    <row r="2857">
      <c r="D2857" s="16" t="n">
        <v>45786</v>
      </c>
      <c r="E2857" s="19" t="n">
        <v>4.55</v>
      </c>
      <c r="G2857" s="16" t="n">
        <v>45786</v>
      </c>
      <c r="H2857" s="19" t="n">
        <v>2.64</v>
      </c>
      <c r="J2857" s="16" t="n">
        <v>45786</v>
      </c>
      <c r="K2857" s="19" t="n">
        <v>144.65</v>
      </c>
    </row>
    <row r="2858">
      <c r="D2858" s="16" t="n">
        <v>45789</v>
      </c>
      <c r="E2858" s="19" t="n">
        <v>4.57</v>
      </c>
      <c r="G2858" s="16" t="n">
        <v>45789</v>
      </c>
      <c r="H2858" s="19" t="n">
        <v>2.64</v>
      </c>
      <c r="J2858" s="16" t="n">
        <v>45789</v>
      </c>
      <c r="K2858" s="19" t="n">
        <v>145.52</v>
      </c>
    </row>
    <row r="2859">
      <c r="D2859" s="16" t="n">
        <v>45790</v>
      </c>
      <c r="E2859" s="19" t="n">
        <v>4.65</v>
      </c>
      <c r="G2859" s="16" t="n">
        <v>45790</v>
      </c>
      <c r="H2859" s="19" t="n">
        <v>2.59</v>
      </c>
      <c r="J2859" s="16" t="n">
        <v>45790</v>
      </c>
      <c r="K2859" s="19" t="n">
        <v>144.76</v>
      </c>
    </row>
    <row r="2860">
      <c r="D2860" s="16" t="n">
        <v>45791</v>
      </c>
      <c r="E2860" s="19" t="n">
        <v>4.65</v>
      </c>
      <c r="G2860" s="16" t="n">
        <v>45791</v>
      </c>
      <c r="H2860" s="19" t="n">
        <v>2.52</v>
      </c>
      <c r="J2860" s="16" t="n">
        <v>45791</v>
      </c>
      <c r="K2860" s="19" t="n">
        <v>144.52</v>
      </c>
    </row>
    <row r="2861">
      <c r="D2861" s="16" t="n">
        <v>45792</v>
      </c>
      <c r="E2861" s="19" t="n">
        <v>4.68</v>
      </c>
      <c r="G2861" s="16" t="n">
        <v>45792</v>
      </c>
      <c r="H2861" s="19" t="n">
        <v>2.53</v>
      </c>
      <c r="J2861" s="16" t="n">
        <v>45792</v>
      </c>
      <c r="K2861" s="19" t="n">
        <v>144.87</v>
      </c>
    </row>
    <row r="2862">
      <c r="D2862" s="16" t="n">
        <v>45793</v>
      </c>
      <c r="E2862" s="19" t="n">
        <v>4.65</v>
      </c>
      <c r="G2862" s="16" t="n">
        <v>45793</v>
      </c>
      <c r="H2862" s="19" t="n">
        <v>2.58</v>
      </c>
      <c r="J2862" s="16" t="n">
        <v>45793</v>
      </c>
      <c r="K2862" s="19" t="n">
        <v>144.87</v>
      </c>
    </row>
    <row r="2863">
      <c r="D2863" s="16" t="n">
        <v>45796</v>
      </c>
      <c r="E2863" s="19" t="n">
        <v>4.64</v>
      </c>
      <c r="G2863" s="16" t="n">
        <v>45796</v>
      </c>
      <c r="H2863" s="19" t="n">
        <v>2.56</v>
      </c>
      <c r="J2863" s="16" t="n">
        <v>45796</v>
      </c>
      <c r="K2863" s="19" t="n">
        <v>145.57</v>
      </c>
    </row>
    <row r="2864">
      <c r="D2864" s="16" t="n">
        <v>45797</v>
      </c>
      <c r="E2864" s="19" t="n">
        <v>4.68</v>
      </c>
      <c r="G2864" s="16" t="n">
        <v>45797</v>
      </c>
      <c r="H2864" s="19" t="n">
        <v>2.61</v>
      </c>
      <c r="J2864" s="16" t="n">
        <v>45797</v>
      </c>
      <c r="K2864" s="19" t="n">
        <v>145.56</v>
      </c>
    </row>
    <row r="2865">
      <c r="D2865" s="16" t="n">
        <v>45798</v>
      </c>
      <c r="E2865" s="19" t="n">
        <v>4.73</v>
      </c>
      <c r="G2865" s="16" t="n">
        <v>45798</v>
      </c>
      <c r="H2865" s="19" t="n">
        <v>2.6</v>
      </c>
      <c r="J2865" s="16" t="n">
        <v>45798</v>
      </c>
      <c r="K2865" s="19" t="n">
        <v>146.44</v>
      </c>
    </row>
    <row r="2866">
      <c r="D2866" s="16" t="n">
        <v>45799</v>
      </c>
      <c r="E2866" s="19" t="n">
        <v>4.72</v>
      </c>
      <c r="G2866" s="16" t="n">
        <v>45799</v>
      </c>
      <c r="H2866" s="19" t="n">
        <v>2.62</v>
      </c>
      <c r="J2866" s="16" t="n">
        <v>45799</v>
      </c>
      <c r="K2866" s="19" t="n">
        <v>146.92</v>
      </c>
    </row>
    <row r="2867">
      <c r="D2867" s="16" t="n">
        <v>45800</v>
      </c>
      <c r="E2867" s="19" t="n">
        <v>4.78</v>
      </c>
      <c r="G2867" s="16" t="n">
        <v>45800</v>
      </c>
      <c r="H2867" s="19" t="n">
        <v>2.6</v>
      </c>
      <c r="J2867" s="16" t="n">
        <v>45800</v>
      </c>
      <c r="K2867" s="19" t="n">
        <v>146.5</v>
      </c>
    </row>
    <row r="2868">
      <c r="D2868" s="16" t="n">
        <v>45803</v>
      </c>
      <c r="E2868" s="19" t="n">
        <v>4.74</v>
      </c>
      <c r="G2868" s="16" t="n">
        <v>45803</v>
      </c>
      <c r="H2868" s="19" t="n">
        <v>2.65</v>
      </c>
      <c r="J2868" s="16" t="n">
        <v>45803</v>
      </c>
      <c r="K2868" s="19" t="n">
        <v>145.06</v>
      </c>
    </row>
    <row r="2869">
      <c r="D2869" s="16" t="n">
        <v>45804</v>
      </c>
      <c r="E2869" s="19" t="n">
        <v>4.69</v>
      </c>
      <c r="G2869" s="16" t="n">
        <v>45804</v>
      </c>
      <c r="H2869" s="19" t="n">
        <v>2.66</v>
      </c>
      <c r="J2869" s="16" t="n">
        <v>45804</v>
      </c>
      <c r="K2869" s="19" t="n">
        <v>145.05</v>
      </c>
    </row>
    <row r="2870">
      <c r="D2870" s="16" t="n">
        <v>45805</v>
      </c>
      <c r="E2870" s="19" t="n">
        <v>4.71</v>
      </c>
      <c r="G2870" s="16" t="n">
        <v>45805</v>
      </c>
      <c r="H2870" s="19" t="n">
        <v>2.64</v>
      </c>
      <c r="J2870" s="16" t="n">
        <v>45805</v>
      </c>
      <c r="K2870" s="19" t="n">
        <v>145.44</v>
      </c>
    </row>
    <row r="2871">
      <c r="D2871" s="16" t="n">
        <v>45806</v>
      </c>
      <c r="E2871" s="19" t="n">
        <v>4.71</v>
      </c>
      <c r="G2871" s="16" t="n">
        <v>45806</v>
      </c>
      <c r="H2871" s="19" t="n">
        <v>2.56</v>
      </c>
      <c r="J2871" s="16" t="n">
        <v>45806</v>
      </c>
      <c r="K2871" s="19" t="n">
        <v>146.61</v>
      </c>
    </row>
    <row r="2872">
      <c r="D2872" s="16" t="n">
        <v>45807</v>
      </c>
      <c r="E2872" s="19" t="n">
        <v>4.69</v>
      </c>
      <c r="G2872" s="16" t="n">
        <v>45807</v>
      </c>
      <c r="H2872" s="19" t="n">
        <v>2.59</v>
      </c>
      <c r="J2872" s="16" t="n">
        <v>45807</v>
      </c>
      <c r="K2872" s="19" t="n">
        <v>146.26</v>
      </c>
    </row>
    <row r="2873">
      <c r="D2873" s="16" t="n">
        <v>45810</v>
      </c>
      <c r="E2873" s="19" t="n">
        <v>4.66</v>
      </c>
      <c r="G2873" s="16" t="n">
        <v>45810</v>
      </c>
      <c r="H2873" s="19" t="n">
        <v>2.57</v>
      </c>
      <c r="J2873" s="16" t="n">
        <v>45810</v>
      </c>
      <c r="K2873" s="19" t="n">
        <v>145.83</v>
      </c>
    </row>
    <row r="2874">
      <c r="D2874" s="16" t="n">
        <v>45811</v>
      </c>
      <c r="E2874" s="19" t="n">
        <v>4.76</v>
      </c>
      <c r="G2874" s="16" t="n">
        <v>45811</v>
      </c>
      <c r="H2874" s="19" t="n">
        <v>2.6</v>
      </c>
      <c r="J2874" s="16" t="n">
        <v>45811</v>
      </c>
      <c r="K2874" s="19" t="n">
        <v>144.96</v>
      </c>
    </row>
    <row r="2875">
      <c r="D2875" s="16" t="n">
        <v>45812</v>
      </c>
      <c r="E2875" s="19" t="n">
        <v>4.81</v>
      </c>
      <c r="G2875" s="16" t="n">
        <v>45812</v>
      </c>
      <c r="H2875" s="19" t="n">
        <v>2.53</v>
      </c>
      <c r="J2875" s="16" t="n">
        <v>45812</v>
      </c>
      <c r="K2875" s="19" t="n">
        <v>144.86</v>
      </c>
    </row>
    <row r="2876">
      <c r="D2876" s="16" t="n">
        <v>45813</v>
      </c>
      <c r="E2876" s="19" t="n">
        <v>4.88</v>
      </c>
      <c r="G2876" s="16" t="n">
        <v>45813</v>
      </c>
      <c r="H2876" s="19" t="n">
        <v>2.57</v>
      </c>
      <c r="J2876" s="16" t="n">
        <v>45813</v>
      </c>
      <c r="K2876" s="19" t="n">
        <v>144.99</v>
      </c>
    </row>
    <row r="2877">
      <c r="D2877" s="16" t="n">
        <v>45814</v>
      </c>
      <c r="E2877" s="19" t="n">
        <v>4.85</v>
      </c>
      <c r="G2877" s="16" t="n">
        <v>45814</v>
      </c>
      <c r="H2877" s="19" t="n">
        <v>2.58</v>
      </c>
      <c r="J2877" s="16" t="n">
        <v>45814</v>
      </c>
      <c r="K2877" s="19" t="n">
        <v>144.31</v>
      </c>
    </row>
    <row r="2878">
      <c r="D2878" s="16" t="n">
        <v>45817</v>
      </c>
      <c r="E2878" s="19" t="n">
        <v>4.9</v>
      </c>
      <c r="G2878" s="16" t="n">
        <v>45817</v>
      </c>
      <c r="H2878" s="19" t="n">
        <v>2.6</v>
      </c>
      <c r="J2878" s="16" t="n">
        <v>45817</v>
      </c>
      <c r="K2878" s="19" t="n">
        <v>143.95</v>
      </c>
    </row>
    <row r="2879">
      <c r="D2879" s="16" t="n">
        <v>45818</v>
      </c>
      <c r="E2879" s="19" t="n">
        <v>4.9</v>
      </c>
      <c r="G2879" s="16" t="n">
        <v>45818</v>
      </c>
      <c r="H2879" s="19" t="n">
        <v>2.68</v>
      </c>
      <c r="J2879" s="16" t="n">
        <v>45818</v>
      </c>
      <c r="K2879" s="19" t="n">
        <v>143.2</v>
      </c>
    </row>
    <row r="2880">
      <c r="D2880" s="16" t="n">
        <v>45819</v>
      </c>
      <c r="E2880" s="19" t="n">
        <v>4.88</v>
      </c>
      <c r="G2880" s="16" t="n">
        <v>45819</v>
      </c>
      <c r="H2880" s="19" t="n">
        <v>2.64</v>
      </c>
      <c r="J2880" s="16" t="n">
        <v>45819</v>
      </c>
      <c r="K2880" s="19" t="n">
        <v>143.89</v>
      </c>
    </row>
    <row r="2881">
      <c r="D2881" s="16" t="n">
        <v>45820</v>
      </c>
      <c r="E2881" s="19" t="n">
        <v>4.87</v>
      </c>
      <c r="G2881" s="16" t="n">
        <v>45820</v>
      </c>
      <c r="H2881" s="19" t="n">
        <v>2.57</v>
      </c>
      <c r="J2881" s="16" t="n">
        <v>45820</v>
      </c>
      <c r="K2881" s="19" t="n">
        <v>145.22</v>
      </c>
    </row>
    <row r="2882">
      <c r="D2882" s="16" t="n">
        <v>45821</v>
      </c>
      <c r="E2882" s="19" t="n">
        <v>4.95</v>
      </c>
      <c r="G2882" s="16" t="n">
        <v>45821</v>
      </c>
      <c r="H2882" s="19" t="n">
        <v>2.52</v>
      </c>
      <c r="J2882" s="16" t="n">
        <v>45821</v>
      </c>
      <c r="K2882" s="19" t="n">
        <v>144.69</v>
      </c>
    </row>
    <row r="2883">
      <c r="D2883" s="16" t="n">
        <v>45824</v>
      </c>
      <c r="E2883" s="19" t="n">
        <v>4.97</v>
      </c>
      <c r="G2883" s="16" t="n">
        <v>45824</v>
      </c>
      <c r="H2883" s="19" t="n">
        <v>2.52</v>
      </c>
      <c r="J2883" s="16" t="n">
        <v>45824</v>
      </c>
      <c r="K2883" s="19" t="n">
        <v>144.49</v>
      </c>
    </row>
    <row r="2884">
      <c r="D2884" s="16" t="n">
        <v>45825</v>
      </c>
      <c r="E2884" s="19" t="n">
        <v>4.93</v>
      </c>
      <c r="G2884" s="16" t="n">
        <v>45825</v>
      </c>
      <c r="H2884" s="19" t="n">
        <v>2.48</v>
      </c>
      <c r="J2884" s="16" t="n">
        <v>45825</v>
      </c>
      <c r="K2884" s="19" t="n">
        <v>145.16</v>
      </c>
    </row>
    <row r="2885">
      <c r="D2885" s="16" t="n">
        <v>45826</v>
      </c>
      <c r="E2885" s="19" t="n">
        <v>4.91</v>
      </c>
      <c r="G2885" s="16" t="n">
        <v>45826</v>
      </c>
      <c r="H2885" s="19" t="n">
        <v>2.55</v>
      </c>
      <c r="J2885" s="16" t="n">
        <v>45826</v>
      </c>
      <c r="K2885" s="19" t="n">
        <v>145.16</v>
      </c>
    </row>
    <row r="2886">
      <c r="D2886" s="16" t="n">
        <v>45827</v>
      </c>
      <c r="E2886" s="19" t="n">
        <v>4.94</v>
      </c>
      <c r="G2886" s="16" t="n">
        <v>45827</v>
      </c>
      <c r="H2886" s="19" t="n">
        <v>2.49</v>
      </c>
      <c r="J2886" s="16" t="n">
        <v>45827</v>
      </c>
      <c r="K2886" s="19" t="n">
        <v>146.02</v>
      </c>
    </row>
    <row r="2887">
      <c r="D2887" s="16" t="n">
        <v>45828</v>
      </c>
      <c r="E2887" s="19" t="n">
        <v>4.97</v>
      </c>
      <c r="G2887" s="16" t="n">
        <v>45828</v>
      </c>
      <c r="H2887" s="19" t="n">
        <v>2.52</v>
      </c>
      <c r="J2887" s="16" t="n">
        <v>45828</v>
      </c>
      <c r="K2887" s="19" t="n">
        <v>146.42</v>
      </c>
    </row>
    <row r="2888">
      <c r="D2888" s="16" t="n">
        <v>45831</v>
      </c>
      <c r="E2888" s="19" t="n">
        <v>5.03</v>
      </c>
      <c r="G2888" s="16" t="n">
        <v>45831</v>
      </c>
      <c r="H2888" s="19" t="n">
        <v>2.47</v>
      </c>
      <c r="J2888" s="16" t="n">
        <v>45831</v>
      </c>
      <c r="K2888" s="19" t="n">
        <v>145.86</v>
      </c>
    </row>
    <row r="2889">
      <c r="D2889" s="16" t="n">
        <v>45832</v>
      </c>
      <c r="E2889" s="19" t="n">
        <v>5.05</v>
      </c>
      <c r="G2889" s="16" t="n">
        <v>45832</v>
      </c>
      <c r="H2889" s="19" t="n">
        <v>2.49</v>
      </c>
      <c r="J2889" s="16" t="n">
        <v>45832</v>
      </c>
      <c r="K2889" s="19" t="n">
        <v>146.18</v>
      </c>
    </row>
    <row r="2890">
      <c r="D2890" s="16" t="n">
        <v>45833</v>
      </c>
      <c r="E2890" s="19" t="n">
        <v>5.09</v>
      </c>
      <c r="G2890" s="16" t="n">
        <v>45833</v>
      </c>
      <c r="H2890" s="19" t="n">
        <v>2.47</v>
      </c>
      <c r="J2890" s="16" t="n">
        <v>45833</v>
      </c>
      <c r="K2890" s="19" t="n">
        <v>144.64</v>
      </c>
    </row>
    <row r="2891">
      <c r="D2891" s="16" t="n">
        <v>45834</v>
      </c>
      <c r="E2891" s="19" t="n">
        <v>5.07</v>
      </c>
      <c r="G2891" s="16" t="n">
        <v>45834</v>
      </c>
      <c r="H2891" s="19" t="n">
        <v>2.46</v>
      </c>
      <c r="J2891" s="16" t="n">
        <v>45834</v>
      </c>
      <c r="K2891" s="19" t="n">
        <v>144.96</v>
      </c>
    </row>
    <row r="2892">
      <c r="D2892" s="16" t="n">
        <v>45835</v>
      </c>
      <c r="E2892" s="19" t="n">
        <v>5.03</v>
      </c>
      <c r="G2892" s="16" t="n">
        <v>45835</v>
      </c>
      <c r="H2892" s="19" t="n">
        <v>2.51</v>
      </c>
      <c r="J2892" s="16" t="n">
        <v>45835</v>
      </c>
      <c r="K2892" s="19" t="n">
        <v>146.03</v>
      </c>
    </row>
    <row r="2893">
      <c r="D2893" s="16" t="n">
        <v>45838</v>
      </c>
      <c r="E2893" s="19" t="n">
        <v>5.17</v>
      </c>
      <c r="G2893" s="16" t="n">
        <v>45838</v>
      </c>
      <c r="H2893" s="19" t="n">
        <v>2.43</v>
      </c>
      <c r="J2893" s="16" t="n">
        <v>45838</v>
      </c>
      <c r="K2893" s="19" t="n">
        <v>145.37</v>
      </c>
    </row>
    <row r="2894">
      <c r="D2894" s="16" t="n">
        <v>45839</v>
      </c>
      <c r="E2894" s="19" t="n">
        <v>5.18</v>
      </c>
      <c r="G2894" s="16" t="n">
        <v>45839</v>
      </c>
      <c r="H2894" s="19" t="n">
        <v>2.48</v>
      </c>
      <c r="J2894" s="16" t="n">
        <v>45839</v>
      </c>
      <c r="K2894" s="19" t="n">
        <v>144.11</v>
      </c>
    </row>
    <row r="2895">
      <c r="D2895" s="16" t="n">
        <v>45840</v>
      </c>
      <c r="E2895" s="19" t="n">
        <v>5.2</v>
      </c>
      <c r="G2895" s="16" t="n">
        <v>45840</v>
      </c>
      <c r="H2895" s="19" t="n">
        <v>2.48</v>
      </c>
      <c r="J2895" s="16" t="n">
        <v>45840</v>
      </c>
      <c r="K2895" s="19" t="n">
        <v>143.72</v>
      </c>
    </row>
    <row r="2896">
      <c r="D2896" s="16" t="n">
        <v>45841</v>
      </c>
      <c r="E2896" s="19" t="n">
        <v>5.2</v>
      </c>
      <c r="G2896" s="16" t="n">
        <v>45841</v>
      </c>
      <c r="H2896" s="19" t="n">
        <v>2.45</v>
      </c>
      <c r="J2896" s="16" t="n">
        <v>45841</v>
      </c>
      <c r="K2896" s="19" t="n">
        <v>143.45</v>
      </c>
    </row>
    <row r="2897">
      <c r="D2897" s="16" t="n">
        <v>45842</v>
      </c>
      <c r="E2897" s="19" t="inlineStr">
        <is>
          <t>.</t>
        </is>
      </c>
      <c r="G2897" s="16" t="n">
        <v>45842</v>
      </c>
      <c r="H2897" s="19" t="inlineStr">
        <is>
          <t>.</t>
        </is>
      </c>
      <c r="J2897" s="16" t="n">
        <v>45842</v>
      </c>
      <c r="K2897" s="19" t="inlineStr">
        <is>
          <t>.</t>
        </is>
      </c>
    </row>
    <row r="2898">
      <c r="D2898" s="16" t="n">
        <v>45845</v>
      </c>
      <c r="E2898" s="19" t="n">
        <v>5.16</v>
      </c>
      <c r="G2898" s="16" t="n">
        <v>45845</v>
      </c>
      <c r="H2898" s="19" t="n">
        <v>2.42</v>
      </c>
      <c r="J2898" s="16" t="n">
        <v>45845</v>
      </c>
      <c r="K2898" s="19" t="n">
        <v>143.9</v>
      </c>
    </row>
    <row r="2899">
      <c r="D2899" s="16" t="n">
        <v>45846</v>
      </c>
      <c r="E2899" s="19" t="n">
        <v>5.14</v>
      </c>
      <c r="G2899" s="16" t="n">
        <v>45846</v>
      </c>
      <c r="H2899" s="19" t="n">
        <v>2.39</v>
      </c>
      <c r="J2899" s="16" t="n">
        <v>45846</v>
      </c>
      <c r="K2899" s="19" t="n">
        <v>142.91</v>
      </c>
    </row>
    <row r="2900">
      <c r="D2900" s="16" t="n">
        <v>45847</v>
      </c>
      <c r="E2900" s="19" t="n">
        <v>5.18</v>
      </c>
      <c r="G2900" s="16" t="n">
        <v>45847</v>
      </c>
      <c r="H2900" s="19" t="n">
        <v>2.35</v>
      </c>
      <c r="J2900" s="16" t="n">
        <v>45847</v>
      </c>
      <c r="K2900" s="19" t="n">
        <v>144.37</v>
      </c>
    </row>
    <row r="2901">
      <c r="D2901" s="16" t="n">
        <v>45848</v>
      </c>
      <c r="E2901" s="19" t="n">
        <v>5.12</v>
      </c>
      <c r="G2901" s="16" t="n">
        <v>45848</v>
      </c>
      <c r="H2901" s="19" t="n">
        <v>2.32</v>
      </c>
      <c r="J2901" s="16" t="n">
        <v>45848</v>
      </c>
      <c r="K2901" s="19" t="n">
        <v>144.55</v>
      </c>
    </row>
    <row r="2902">
      <c r="D2902" s="16" t="n">
        <v>45849</v>
      </c>
      <c r="E2902" s="19" t="n">
        <v>5.05</v>
      </c>
      <c r="G2902" s="16" t="n">
        <v>45849</v>
      </c>
      <c r="H2902" s="19" t="n">
        <v>2.41</v>
      </c>
      <c r="J2902" s="16" t="n">
        <v>45849</v>
      </c>
      <c r="K2902" s="19" t="n">
        <v>144.64</v>
      </c>
    </row>
    <row r="2903">
      <c r="D2903" s="16" t="n">
        <v>45852</v>
      </c>
      <c r="E2903" s="19" t="n">
        <v>5</v>
      </c>
      <c r="G2903" s="16" t="n">
        <v>45852</v>
      </c>
      <c r="H2903" s="19" t="n">
        <v>2.48</v>
      </c>
      <c r="J2903" s="16" t="n">
        <v>45852</v>
      </c>
      <c r="K2903" s="19" t="n">
        <v>143.08</v>
      </c>
    </row>
    <row r="2904">
      <c r="D2904" s="16" t="n">
        <v>45853</v>
      </c>
      <c r="E2904" s="19" t="n">
        <v>4.96</v>
      </c>
      <c r="G2904" s="16" t="n">
        <v>45853</v>
      </c>
      <c r="H2904" s="19" t="n">
        <v>2.51</v>
      </c>
      <c r="J2904" s="16" t="n">
        <v>45853</v>
      </c>
      <c r="K2904" s="19" t="n">
        <v>144.23</v>
      </c>
    </row>
    <row r="2905">
      <c r="D2905" s="16" t="n">
        <v>45854</v>
      </c>
      <c r="E2905" s="19" t="n">
        <v>4.96</v>
      </c>
      <c r="G2905" s="16" t="n">
        <v>45854</v>
      </c>
      <c r="H2905" s="19" t="n">
        <v>2.41</v>
      </c>
      <c r="J2905" s="16" t="n">
        <v>45854</v>
      </c>
      <c r="K2905" s="19" t="n">
        <v>144.17</v>
      </c>
    </row>
    <row r="2906">
      <c r="D2906" s="16" t="n">
        <v>45855</v>
      </c>
      <c r="E2906" s="19" t="n">
        <v>5</v>
      </c>
      <c r="G2906" s="16" t="n">
        <v>45855</v>
      </c>
      <c r="H2906" s="19" t="n">
        <v>2.38</v>
      </c>
      <c r="J2906" s="16" t="n">
        <v>45855</v>
      </c>
      <c r="K2906" s="19" t="n">
        <v>143.56</v>
      </c>
    </row>
    <row r="2907">
      <c r="D2907" s="16" t="n">
        <v>45856</v>
      </c>
      <c r="E2907" s="19" t="n">
        <v>5.02</v>
      </c>
      <c r="G2907" s="16" t="n">
        <v>45856</v>
      </c>
      <c r="H2907" s="19" t="n">
        <v>2.42</v>
      </c>
      <c r="J2907" s="16" t="n">
        <v>45856</v>
      </c>
      <c r="K2907" s="19" t="n">
        <v>143.66</v>
      </c>
    </row>
    <row r="2908">
      <c r="D2908" s="16" t="n">
        <v>45859</v>
      </c>
      <c r="E2908" s="19" t="n">
        <v>5.03</v>
      </c>
      <c r="G2908" s="16" t="n">
        <v>45859</v>
      </c>
      <c r="H2908" s="19" t="n">
        <v>2.46</v>
      </c>
      <c r="J2908" s="16" t="n">
        <v>45859</v>
      </c>
      <c r="K2908" s="19" t="n">
        <v>143.64</v>
      </c>
    </row>
    <row r="2909">
      <c r="D2909" s="16" t="n">
        <v>45860</v>
      </c>
      <c r="E2909" s="19" t="n">
        <v>5.06</v>
      </c>
      <c r="G2909" s="16" t="n">
        <v>45860</v>
      </c>
      <c r="H2909" s="19" t="n">
        <v>2.49</v>
      </c>
      <c r="J2909" s="16" t="n">
        <v>45860</v>
      </c>
      <c r="K2909" s="19" t="n">
        <v>144.2</v>
      </c>
    </row>
    <row r="2910">
      <c r="D2910" s="16" t="n">
        <v>45861</v>
      </c>
      <c r="E2910" s="19" t="n">
        <v>5.04</v>
      </c>
      <c r="G2910" s="16" t="n">
        <v>45861</v>
      </c>
      <c r="H2910" s="19" t="n">
        <v>2.55</v>
      </c>
      <c r="J2910" s="16" t="n">
        <v>45861</v>
      </c>
      <c r="K2910" s="19" t="n">
        <v>144.03</v>
      </c>
    </row>
    <row r="2911">
      <c r="D2911" s="16" t="n">
        <v>45862</v>
      </c>
      <c r="E2911" s="19" t="n">
        <v>4.98</v>
      </c>
      <c r="G2911" s="16" t="n">
        <v>45862</v>
      </c>
      <c r="H2911" s="19" t="n">
        <v>2.52</v>
      </c>
      <c r="J2911" s="16" t="n">
        <v>45862</v>
      </c>
      <c r="K2911" s="19" t="n">
        <v>144.67</v>
      </c>
    </row>
    <row r="2912">
      <c r="D2912" s="16" t="n">
        <v>45863</v>
      </c>
      <c r="E2912" s="19" t="n">
        <v>4.97</v>
      </c>
      <c r="G2912" s="16" t="n">
        <v>45863</v>
      </c>
      <c r="H2912" s="19" t="n">
        <v>2.57</v>
      </c>
      <c r="J2912" s="16" t="n">
        <v>45863</v>
      </c>
      <c r="K2912" s="19" t="n">
        <v>145.3</v>
      </c>
    </row>
    <row r="2913">
      <c r="D2913" s="16" t="n">
        <v>45866</v>
      </c>
      <c r="E2913" s="19" t="n">
        <v>4.91</v>
      </c>
      <c r="G2913" s="16" t="n">
        <v>45866</v>
      </c>
      <c r="H2913" s="19" t="n">
        <v>2.63</v>
      </c>
      <c r="J2913" s="16" t="n">
        <v>45866</v>
      </c>
      <c r="K2913" s="19" t="n">
        <v>144.37</v>
      </c>
    </row>
    <row r="2914">
      <c r="D2914" s="16" t="n">
        <v>45867</v>
      </c>
      <c r="E2914" s="19" t="n">
        <v>4.85</v>
      </c>
      <c r="G2914" s="16" t="n">
        <v>45867</v>
      </c>
      <c r="H2914" s="19" t="n">
        <v>2.62</v>
      </c>
      <c r="J2914" s="16" t="n">
        <v>45867</v>
      </c>
      <c r="K2914" s="19" t="n">
        <v>143.86</v>
      </c>
    </row>
    <row r="2915">
      <c r="D2915" s="16" t="n">
        <v>45868</v>
      </c>
      <c r="E2915" s="19" t="n">
        <v>4.88</v>
      </c>
      <c r="G2915" s="16" t="n">
        <v>45868</v>
      </c>
      <c r="H2915" s="19" t="n">
        <v>2.63</v>
      </c>
      <c r="J2915" s="16" t="n">
        <v>45868</v>
      </c>
      <c r="K2915" s="19" t="n">
        <v>144.45</v>
      </c>
    </row>
    <row r="2916">
      <c r="D2916" s="16" t="n">
        <v>45869</v>
      </c>
      <c r="E2916" s="19" t="n">
        <v>4.84</v>
      </c>
      <c r="G2916" s="16" t="n">
        <v>45869</v>
      </c>
      <c r="H2916" s="19" t="n">
        <v>2.68</v>
      </c>
      <c r="J2916" s="16" t="n">
        <v>45869</v>
      </c>
      <c r="K2916" s="19" t="n">
        <v>143.93</v>
      </c>
    </row>
    <row r="2917">
      <c r="D2917" s="16" t="n">
        <v>45870</v>
      </c>
      <c r="E2917" s="19" t="n">
        <v>4.87</v>
      </c>
      <c r="G2917" s="16" t="n">
        <v>45870</v>
      </c>
      <c r="H2917" s="19" t="n">
        <v>2.67</v>
      </c>
      <c r="J2917" s="16" t="n">
        <v>45870</v>
      </c>
      <c r="K2917" s="19" t="n">
        <v>144.31</v>
      </c>
    </row>
    <row r="2918">
      <c r="D2918" s="16" t="n">
        <v>45873</v>
      </c>
      <c r="E2918" s="19" t="n">
        <v>4.85</v>
      </c>
      <c r="G2918" s="16" t="n">
        <v>45873</v>
      </c>
      <c r="H2918" s="19" t="n">
        <v>2.7</v>
      </c>
      <c r="J2918" s="16" t="n">
        <v>45873</v>
      </c>
      <c r="K2918" s="19" t="n">
        <v>144.75</v>
      </c>
    </row>
    <row r="2919">
      <c r="D2919" s="16" t="n">
        <v>45874</v>
      </c>
      <c r="E2919" s="19" t="n">
        <v>4.84</v>
      </c>
      <c r="G2919" s="16" t="n">
        <v>45874</v>
      </c>
      <c r="H2919" s="19" t="n">
        <v>2.69</v>
      </c>
      <c r="J2919" s="16" t="n">
        <v>45874</v>
      </c>
      <c r="K2919" s="19" t="n">
        <v>144.68</v>
      </c>
    </row>
    <row r="2920">
      <c r="D2920" s="16" t="n">
        <v>45875</v>
      </c>
      <c r="E2920" s="19" t="n">
        <v>4.85</v>
      </c>
      <c r="G2920" s="16" t="n">
        <v>45875</v>
      </c>
      <c r="H2920" s="19" t="n">
        <v>2.72</v>
      </c>
      <c r="J2920" s="16" t="n">
        <v>45875</v>
      </c>
      <c r="K2920" s="19" t="n">
        <v>144.39</v>
      </c>
    </row>
    <row r="2921">
      <c r="D2921" s="16" t="n">
        <v>45876</v>
      </c>
      <c r="E2921" s="19" t="n">
        <v>4.79</v>
      </c>
      <c r="G2921" s="16" t="n">
        <v>45876</v>
      </c>
      <c r="H2921" s="19" t="n">
        <v>2.72</v>
      </c>
      <c r="J2921" s="16" t="n">
        <v>45876</v>
      </c>
      <c r="K2921" s="19" t="n">
        <v>144.23</v>
      </c>
    </row>
    <row r="2922">
      <c r="D2922" s="16" t="n">
        <v>45877</v>
      </c>
      <c r="E2922" s="19" t="n">
        <v>4.72</v>
      </c>
      <c r="G2922" s="16" t="n">
        <v>45877</v>
      </c>
      <c r="H2922" s="19" t="n">
        <v>2.71</v>
      </c>
      <c r="J2922" s="16" t="n">
        <v>45877</v>
      </c>
      <c r="K2922" s="19" t="n">
        <v>144.63</v>
      </c>
    </row>
    <row r="2923">
      <c r="D2923" s="16" t="n">
        <v>45880</v>
      </c>
      <c r="E2923" s="19" t="n">
        <v>4.63</v>
      </c>
      <c r="G2923" s="16" t="n">
        <v>45880</v>
      </c>
      <c r="H2923" s="19" t="n">
        <v>2.71</v>
      </c>
      <c r="J2923" s="16" t="n">
        <v>45880</v>
      </c>
      <c r="K2923" s="19" t="n">
        <v>144.61</v>
      </c>
    </row>
    <row r="2924">
      <c r="D2924" s="16" t="n">
        <v>45881</v>
      </c>
      <c r="E2924" s="19" t="n">
        <v>4.66</v>
      </c>
      <c r="G2924" s="16" t="n">
        <v>45881</v>
      </c>
      <c r="H2924" s="19" t="n">
        <v>2.75</v>
      </c>
      <c r="J2924" s="16" t="n">
        <v>45881</v>
      </c>
      <c r="K2924" s="19" t="n">
        <v>144.64</v>
      </c>
    </row>
    <row r="2925">
      <c r="D2925" s="16" t="n">
        <v>45882</v>
      </c>
      <c r="E2925" s="19" t="n">
        <v>4.65</v>
      </c>
      <c r="G2925" s="16" t="n">
        <v>45882</v>
      </c>
      <c r="H2925" s="19" t="n">
        <v>2.79</v>
      </c>
      <c r="J2925" s="16" t="n">
        <v>45882</v>
      </c>
      <c r="K2925" s="19" t="n">
        <v>142.81</v>
      </c>
    </row>
    <row r="2926">
      <c r="D2926" s="16" t="n">
        <v>45883</v>
      </c>
      <c r="E2926" s="19" t="n">
        <v>4.63</v>
      </c>
      <c r="G2926" s="16" t="n">
        <v>45883</v>
      </c>
      <c r="H2926" s="19" t="n">
        <v>2.81</v>
      </c>
      <c r="J2926" s="16" t="n">
        <v>45883</v>
      </c>
      <c r="K2926" s="19" t="n">
        <v>141.69</v>
      </c>
    </row>
    <row r="2927">
      <c r="D2927" s="16" t="n">
        <v>45884</v>
      </c>
      <c r="E2927" s="19" t="n">
        <v>4.6</v>
      </c>
      <c r="G2927" s="16" t="n">
        <v>45884</v>
      </c>
      <c r="H2927" s="19" t="n">
        <v>2.78</v>
      </c>
      <c r="J2927" s="16" t="n">
        <v>45884</v>
      </c>
      <c r="K2927" s="19" t="n">
        <v>140.93</v>
      </c>
    </row>
    <row r="2928">
      <c r="D2928" s="16" t="n">
        <v>45887</v>
      </c>
      <c r="E2928" s="19" t="n">
        <v>4.65</v>
      </c>
      <c r="G2928" s="16" t="n">
        <v>45887</v>
      </c>
      <c r="H2928" s="19" t="n">
        <v>2.74</v>
      </c>
      <c r="J2928" s="16" t="n">
        <v>45887</v>
      </c>
      <c r="K2928" s="19" t="n">
        <v>141.96</v>
      </c>
    </row>
    <row r="2929">
      <c r="D2929" s="16" t="n">
        <v>45888</v>
      </c>
      <c r="E2929" s="19" t="n">
        <v>4.63</v>
      </c>
      <c r="G2929" s="16" t="n">
        <v>45888</v>
      </c>
      <c r="H2929" s="19" t="n">
        <v>2.71</v>
      </c>
      <c r="J2929" s="16" t="n">
        <v>45888</v>
      </c>
      <c r="K2929" s="19" t="n">
        <v>141.43</v>
      </c>
    </row>
    <row r="2930">
      <c r="D2930" s="16" t="n">
        <v>45889</v>
      </c>
      <c r="E2930" s="19" t="n">
        <v>4.6</v>
      </c>
      <c r="G2930" s="16" t="n">
        <v>45889</v>
      </c>
      <c r="H2930" s="19" t="n">
        <v>2.7</v>
      </c>
      <c r="J2930" s="16" t="n">
        <v>45889</v>
      </c>
      <c r="K2930" s="19" t="n">
        <v>141.43</v>
      </c>
    </row>
    <row r="2931">
      <c r="D2931" s="16" t="n">
        <v>45890</v>
      </c>
      <c r="E2931" s="19" t="n">
        <v>4.57</v>
      </c>
      <c r="G2931" s="16" t="n">
        <v>45890</v>
      </c>
      <c r="H2931" s="19" t="n">
        <v>2.66</v>
      </c>
      <c r="J2931" s="16" t="n">
        <v>45890</v>
      </c>
      <c r="K2931" s="19" t="n">
        <v>141.3</v>
      </c>
    </row>
    <row r="2932">
      <c r="D2932" s="16" t="n">
        <v>45891</v>
      </c>
      <c r="E2932" s="19" t="n">
        <v>4.49</v>
      </c>
      <c r="G2932" s="16" t="n">
        <v>45891</v>
      </c>
      <c r="H2932" s="19" t="n">
        <v>2.77</v>
      </c>
      <c r="J2932" s="16" t="n">
        <v>45891</v>
      </c>
      <c r="K2932" s="19" t="n">
        <v>141.15</v>
      </c>
    </row>
    <row r="2933">
      <c r="D2933" s="16" t="n">
        <v>45894</v>
      </c>
      <c r="E2933" s="19" t="n">
        <v>4.48</v>
      </c>
      <c r="G2933" s="16" t="n">
        <v>45894</v>
      </c>
      <c r="H2933" s="19" t="n">
        <v>2.81</v>
      </c>
      <c r="J2933" s="16" t="n">
        <v>45894</v>
      </c>
      <c r="K2933" s="19" t="n">
        <v>141.17</v>
      </c>
    </row>
    <row r="2934">
      <c r="D2934" s="16" t="n">
        <v>45895</v>
      </c>
      <c r="E2934" s="19" t="n">
        <v>4.48</v>
      </c>
      <c r="G2934" s="16" t="n">
        <v>45895</v>
      </c>
      <c r="H2934" s="19" t="n">
        <v>2.83</v>
      </c>
      <c r="J2934" s="16" t="n">
        <v>45895</v>
      </c>
      <c r="K2934" s="19" t="n">
        <v>141.01</v>
      </c>
    </row>
    <row r="2935">
      <c r="D2935" s="16" t="n">
        <v>45896</v>
      </c>
      <c r="E2935" s="19" t="n">
        <v>4.49</v>
      </c>
      <c r="G2935" s="16" t="n">
        <v>45896</v>
      </c>
      <c r="H2935" s="19" t="n">
        <v>2.84</v>
      </c>
      <c r="J2935" s="16" t="n">
        <v>45896</v>
      </c>
      <c r="K2935" s="19" t="n">
        <v>141.03</v>
      </c>
    </row>
    <row r="2936">
      <c r="D2936" s="16" t="n">
        <v>45897</v>
      </c>
      <c r="E2936" s="19" t="n">
        <v>4.54</v>
      </c>
      <c r="G2936" s="16" t="n">
        <v>45897</v>
      </c>
      <c r="H2936" s="19" t="n">
        <v>2.84</v>
      </c>
      <c r="J2936" s="16" t="n">
        <v>45897</v>
      </c>
      <c r="K2936" s="19" t="n">
        <v>141.17</v>
      </c>
    </row>
    <row r="2937">
      <c r="D2937" s="16" t="n">
        <v>45898</v>
      </c>
      <c r="E2937" s="19" t="n">
        <v>4.52</v>
      </c>
      <c r="G2937" s="16" t="n">
        <v>45898</v>
      </c>
      <c r="H2937" s="19" t="n">
        <v>2.89</v>
      </c>
      <c r="J2937" s="16" t="n">
        <v>45898</v>
      </c>
      <c r="K2937" s="19" t="n">
        <v>142.34</v>
      </c>
    </row>
    <row r="2938">
      <c r="D2938" s="16" t="n">
        <v>45901</v>
      </c>
      <c r="E2938" s="19" t="n">
        <v>4.62</v>
      </c>
      <c r="G2938" s="16" t="n">
        <v>45901</v>
      </c>
      <c r="H2938" s="19" t="n">
        <v>2.89</v>
      </c>
      <c r="J2938" s="16" t="n">
        <v>45901</v>
      </c>
      <c r="K2938" s="19" t="n">
        <v>142.72</v>
      </c>
    </row>
    <row r="2939">
      <c r="D2939" s="16" t="n">
        <v>45902</v>
      </c>
      <c r="E2939" s="19" t="n">
        <v>4.51</v>
      </c>
      <c r="G2939" s="16" t="n">
        <v>45902</v>
      </c>
      <c r="H2939" s="19" t="n">
        <v>2.94</v>
      </c>
      <c r="J2939" s="16" t="n">
        <v>45902</v>
      </c>
      <c r="K2939" s="19" t="n">
        <v>143.43</v>
      </c>
    </row>
    <row r="2940">
      <c r="D2940" s="16" t="n">
        <v>45903</v>
      </c>
      <c r="E2940" s="19" t="n">
        <v>4.54</v>
      </c>
      <c r="G2940" s="16" t="n">
        <v>45903</v>
      </c>
      <c r="H2940" s="19" t="n">
        <v>2.92</v>
      </c>
      <c r="J2940" s="16" t="n">
        <v>45903</v>
      </c>
      <c r="K2940" s="19" t="n">
        <v>143.86</v>
      </c>
    </row>
    <row r="2941">
      <c r="D2941" s="16" t="n">
        <v>45904</v>
      </c>
      <c r="E2941" s="19" t="n">
        <v>4.54</v>
      </c>
      <c r="G2941" s="16" t="n">
        <v>45904</v>
      </c>
      <c r="H2941" s="19" t="n">
        <v>2.99</v>
      </c>
      <c r="J2941" s="16" t="n">
        <v>45904</v>
      </c>
      <c r="K2941" s="19" t="n">
        <v>144.22</v>
      </c>
    </row>
    <row r="2942">
      <c r="D2942" s="16" t="n">
        <v>45905</v>
      </c>
      <c r="E2942" s="19" t="n">
        <v>4.52</v>
      </c>
      <c r="G2942" s="16" t="n">
        <v>45905</v>
      </c>
      <c r="H2942" s="19" t="n">
        <v>3</v>
      </c>
      <c r="J2942" s="16" t="n">
        <v>45905</v>
      </c>
      <c r="K2942" s="19" t="n">
        <v>145</v>
      </c>
    </row>
    <row r="2943">
      <c r="D2943" s="16" t="n">
        <v>45908</v>
      </c>
      <c r="E2943" s="19" t="n">
        <v>4.54</v>
      </c>
      <c r="G2943" s="16" t="n">
        <v>45908</v>
      </c>
      <c r="H2943" s="19" t="n">
        <v>3.03</v>
      </c>
      <c r="J2943" s="16" t="n">
        <v>45908</v>
      </c>
      <c r="K2943" s="19" t="n">
        <v>145.83</v>
      </c>
    </row>
    <row r="2944">
      <c r="D2944" s="16" t="n">
        <v>45909</v>
      </c>
      <c r="E2944" s="19" t="n">
        <v>4.52</v>
      </c>
      <c r="G2944" s="16" t="n">
        <v>45909</v>
      </c>
      <c r="H2944" s="19" t="n">
        <v>3.02</v>
      </c>
      <c r="J2944" s="16" t="n">
        <v>45909</v>
      </c>
      <c r="K2944" s="19" t="n">
        <v>145.62</v>
      </c>
    </row>
    <row r="2945">
      <c r="D2945" s="16" t="n">
        <v>45910</v>
      </c>
      <c r="E2945" s="19" t="n">
        <v>4.55</v>
      </c>
      <c r="G2945" s="16" t="n">
        <v>45910</v>
      </c>
      <c r="H2945" s="19" t="n">
        <v>3.04</v>
      </c>
      <c r="J2945" s="16" t="n">
        <v>45910</v>
      </c>
      <c r="K2945" s="19" t="n">
        <v>145.93</v>
      </c>
    </row>
    <row r="2946">
      <c r="D2946" s="16" t="n">
        <v>45911</v>
      </c>
      <c r="E2946" s="19" t="n">
        <v>4.55</v>
      </c>
      <c r="G2946" s="16" t="n">
        <v>45911</v>
      </c>
      <c r="H2946" s="19" t="n">
        <v>3.05</v>
      </c>
      <c r="J2946" s="16" t="n">
        <v>45911</v>
      </c>
      <c r="K2946" s="19" t="n">
        <v>146.25</v>
      </c>
    </row>
    <row r="2947">
      <c r="D2947" s="16" t="n">
        <v>45912</v>
      </c>
      <c r="E2947" s="19" t="n">
        <v>4.46</v>
      </c>
      <c r="G2947" s="16" t="n">
        <v>45912</v>
      </c>
      <c r="H2947" s="19" t="n">
        <v>2.99</v>
      </c>
      <c r="J2947" s="16" t="n">
        <v>45912</v>
      </c>
      <c r="K2947" s="19" t="n">
        <v>145.99</v>
      </c>
    </row>
    <row r="2948">
      <c r="D2948" s="16" t="n">
        <v>45915</v>
      </c>
      <c r="E2948" s="19" t="n">
        <v>4.5</v>
      </c>
      <c r="G2948" s="16" t="n">
        <v>45915</v>
      </c>
      <c r="H2948" s="19" t="n">
        <v>3</v>
      </c>
      <c r="J2948" s="16" t="n">
        <v>45915</v>
      </c>
      <c r="K2948" s="19" t="n">
        <v>146.8</v>
      </c>
    </row>
    <row r="2949">
      <c r="D2949" s="16" t="n">
        <v>45916</v>
      </c>
      <c r="E2949" s="19" t="n">
        <v>4.56</v>
      </c>
      <c r="G2949" s="16" t="n">
        <v>45916</v>
      </c>
      <c r="H2949" s="19" t="n">
        <v>3</v>
      </c>
      <c r="J2949" s="16" t="n">
        <v>45916</v>
      </c>
      <c r="K2949" s="19" t="n">
        <v>146.98</v>
      </c>
    </row>
    <row r="2950">
      <c r="D2950" s="16" t="n">
        <v>45917</v>
      </c>
      <c r="E2950" s="19" t="n">
        <v>4.45</v>
      </c>
      <c r="G2950" s="16" t="n">
        <v>45917</v>
      </c>
      <c r="H2950" s="19" t="n">
        <v>2.93</v>
      </c>
      <c r="J2950" s="16" t="n">
        <v>45917</v>
      </c>
      <c r="K2950" s="19" t="n">
        <v>146.15</v>
      </c>
    </row>
    <row r="2951">
      <c r="D2951" s="16" t="n">
        <v>45918</v>
      </c>
      <c r="E2951" s="19" t="n">
        <v>4.48</v>
      </c>
      <c r="G2951" s="16" t="n">
        <v>45918</v>
      </c>
      <c r="H2951" s="19" t="n">
        <v>2.96</v>
      </c>
      <c r="J2951" s="16" t="n">
        <v>45918</v>
      </c>
      <c r="K2951" s="19" t="n">
        <v>146.22</v>
      </c>
    </row>
    <row r="2952">
      <c r="D2952" s="16" t="n">
        <v>45919</v>
      </c>
      <c r="E2952" s="19" t="n">
        <v>4.46</v>
      </c>
      <c r="G2952" s="16" t="n">
        <v>45919</v>
      </c>
      <c r="H2952" s="19" t="n">
        <v>2.95</v>
      </c>
      <c r="J2952" s="16" t="n">
        <v>45919</v>
      </c>
      <c r="K2952" s="19" t="n">
        <v>146.49</v>
      </c>
    </row>
    <row r="2953">
      <c r="D2953" s="16" t="n">
        <v>45922</v>
      </c>
      <c r="E2953" s="19" t="n">
        <v>4.41</v>
      </c>
      <c r="G2953" s="16" t="n">
        <v>45922</v>
      </c>
      <c r="H2953" s="19" t="n">
        <v>3.01</v>
      </c>
      <c r="J2953" s="16" t="n">
        <v>45922</v>
      </c>
      <c r="K2953" s="19" t="n">
        <v>146.54</v>
      </c>
    </row>
    <row r="2954">
      <c r="D2954" s="16" t="n">
        <v>45923</v>
      </c>
      <c r="E2954" s="19" t="n">
        <v>4.38</v>
      </c>
      <c r="G2954" s="16" t="n">
        <v>45923</v>
      </c>
      <c r="H2954" s="19" t="n">
        <v>3.01</v>
      </c>
      <c r="J2954" s="16" t="n">
        <v>45923</v>
      </c>
      <c r="K2954" s="19" t="n">
        <v>147.26</v>
      </c>
    </row>
    <row r="2955">
      <c r="D2955" s="16" t="n">
        <v>45924</v>
      </c>
      <c r="E2955" s="19" t="n">
        <v>4.32</v>
      </c>
      <c r="G2955" s="16" t="n">
        <v>45924</v>
      </c>
      <c r="H2955" s="19" t="n">
        <v>3.07</v>
      </c>
      <c r="J2955" s="16" t="n">
        <v>45924</v>
      </c>
      <c r="K2955" s="19" t="n">
        <v>146.84</v>
      </c>
    </row>
    <row r="2956">
      <c r="D2956" s="16" t="n">
        <v>45925</v>
      </c>
      <c r="E2956" s="19" t="n">
        <v>4.35</v>
      </c>
      <c r="G2956" s="16" t="n">
        <v>45925</v>
      </c>
      <c r="H2956" s="19" t="n">
        <v>3.07</v>
      </c>
      <c r="J2956" s="16" t="n">
        <v>45925</v>
      </c>
      <c r="K2956" s="19" t="n">
        <v>147.56</v>
      </c>
    </row>
    <row r="2957">
      <c r="D2957" s="16" t="n">
        <v>45926</v>
      </c>
      <c r="E2957" s="19" t="n">
        <v>4.41</v>
      </c>
      <c r="G2957" s="16" t="n">
        <v>45926</v>
      </c>
      <c r="H2957" s="19" t="n">
        <v>3.05</v>
      </c>
      <c r="J2957" s="16" t="n">
        <v>45926</v>
      </c>
      <c r="K2957" s="19" t="n">
        <v>147.05</v>
      </c>
    </row>
    <row r="2958">
      <c r="D2958" s="16" t="n">
        <v>45929</v>
      </c>
      <c r="E2958" s="19" t="n">
        <v>4.43</v>
      </c>
      <c r="G2958" s="16" t="n">
        <v>45929</v>
      </c>
      <c r="H2958" s="19" t="n">
        <v>3.03</v>
      </c>
      <c r="J2958" s="16" t="n">
        <v>45929</v>
      </c>
      <c r="K2958" s="19" t="n">
        <v>148.63</v>
      </c>
    </row>
    <row r="2959">
      <c r="D2959" s="16" t="n">
        <v>45930</v>
      </c>
      <c r="E2959" s="19" t="n">
        <v>4.46</v>
      </c>
      <c r="G2959" s="16" t="n">
        <v>45930</v>
      </c>
      <c r="H2959" s="19" t="n">
        <v>3.05</v>
      </c>
      <c r="J2959" s="16" t="n">
        <v>45930</v>
      </c>
      <c r="K2959" s="19" t="n">
        <v>147.33</v>
      </c>
    </row>
    <row r="2960">
      <c r="D2960" s="16" t="n">
        <v>45931</v>
      </c>
      <c r="E2960" s="19" t="n">
        <v>4.45</v>
      </c>
      <c r="G2960" s="16" t="n">
        <v>45931</v>
      </c>
      <c r="H2960" s="19" t="n">
        <v>3.03</v>
      </c>
      <c r="J2960" s="16" t="n">
        <v>45931</v>
      </c>
      <c r="K2960" s="19" t="n">
        <v>147.1</v>
      </c>
    </row>
    <row r="2961">
      <c r="D2961" s="16" t="n">
        <v>45932</v>
      </c>
      <c r="E2961" s="19" t="n">
        <v>4.46</v>
      </c>
      <c r="G2961" s="16" t="n">
        <v>45932</v>
      </c>
      <c r="H2961" s="19" t="n">
        <v>3.03</v>
      </c>
      <c r="J2961" s="16" t="n">
        <v>45932</v>
      </c>
      <c r="K2961" s="19" t="n">
        <v>147.41</v>
      </c>
    </row>
    <row r="2962">
      <c r="D2962" s="16" t="n">
        <v>45933</v>
      </c>
      <c r="E2962" s="19" t="n">
        <v>4.48</v>
      </c>
      <c r="G2962" s="16" t="n">
        <v>45933</v>
      </c>
      <c r="H2962" s="19" t="n">
        <v>3.11</v>
      </c>
      <c r="J2962" s="16" t="n">
        <v>45933</v>
      </c>
      <c r="K2962" s="19" t="n">
        <v>147.16</v>
      </c>
    </row>
    <row r="2963">
      <c r="D2963" s="16" t="n">
        <v>45936</v>
      </c>
      <c r="E2963" s="19" t="n">
        <v>4.49</v>
      </c>
      <c r="G2963" s="16" t="n">
        <v>45936</v>
      </c>
      <c r="H2963" s="19" t="n">
        <v>3.13</v>
      </c>
      <c r="J2963" s="16" t="n">
        <v>45936</v>
      </c>
      <c r="K2963" s="19" t="n">
        <v>146.84</v>
      </c>
    </row>
    <row r="2964">
      <c r="D2964" s="16" t="n">
        <v>45937</v>
      </c>
      <c r="E2964" s="19" t="n">
        <v>4.54</v>
      </c>
      <c r="G2964" s="16" t="n">
        <v>45937</v>
      </c>
      <c r="H2964" s="19" t="n">
        <v>3.15</v>
      </c>
      <c r="J2964" s="16" t="n">
        <v>45937</v>
      </c>
      <c r="K2964" s="19" t="n">
        <v>146.2</v>
      </c>
    </row>
    <row r="2965">
      <c r="D2965" s="16" t="n">
        <v>45938</v>
      </c>
      <c r="E2965" s="19" t="n">
        <v>4.49</v>
      </c>
      <c r="G2965" s="16" t="n">
        <v>45938</v>
      </c>
      <c r="H2965" s="19" t="n">
        <v>3.15</v>
      </c>
      <c r="J2965" s="16" t="n">
        <v>45938</v>
      </c>
      <c r="K2965" s="19" t="n">
        <v>145.29</v>
      </c>
    </row>
    <row r="2966">
      <c r="D2966" s="16" t="n">
        <v>45939</v>
      </c>
      <c r="E2966" s="19" t="n">
        <v>4.52</v>
      </c>
      <c r="G2966" s="16" t="n">
        <v>45939</v>
      </c>
      <c r="H2966" s="19" t="n">
        <v>3.15</v>
      </c>
      <c r="J2966" s="16" t="n">
        <v>45939</v>
      </c>
      <c r="K2966" s="19" t="n">
        <v>144.74</v>
      </c>
    </row>
    <row r="2967">
      <c r="D2967" s="16" t="n">
        <v>45940</v>
      </c>
      <c r="E2967" s="19" t="n">
        <v>4.59</v>
      </c>
      <c r="G2967" s="16" t="n">
        <v>45940</v>
      </c>
      <c r="H2967" s="19" t="n">
        <v>3.16</v>
      </c>
      <c r="J2967" s="16" t="n">
        <v>45940</v>
      </c>
      <c r="K2967" s="19" t="n">
        <v>144.15</v>
      </c>
    </row>
    <row r="2968">
      <c r="D2968" s="16" t="n">
        <v>45943</v>
      </c>
      <c r="E2968" s="19" t="n">
        <v>4.63</v>
      </c>
      <c r="G2968" s="16" t="n">
        <v>45943</v>
      </c>
      <c r="H2968" s="19" t="n">
        <v>3.15</v>
      </c>
      <c r="J2968" s="16" t="n">
        <v>45943</v>
      </c>
      <c r="K2968" s="19" t="n">
        <v>142.89</v>
      </c>
    </row>
    <row r="2969">
      <c r="D2969" s="16" t="n">
        <v>45944</v>
      </c>
      <c r="E2969" s="19" t="n">
        <v>4.58</v>
      </c>
      <c r="G2969" s="16" t="n">
        <v>45944</v>
      </c>
      <c r="H2969" s="19" t="n">
        <v>3.12</v>
      </c>
      <c r="J2969" s="16" t="n">
        <v>45944</v>
      </c>
      <c r="K2969" s="19" t="n">
        <v>143.25</v>
      </c>
    </row>
    <row r="2970">
      <c r="D2970" s="16" t="n">
        <v>45945</v>
      </c>
      <c r="E2970" s="19" t="n">
        <v>4.56</v>
      </c>
      <c r="G2970" s="16" t="n">
        <v>45945</v>
      </c>
      <c r="H2970" s="19" t="n">
        <v>3.18</v>
      </c>
      <c r="J2970" s="16" t="n">
        <v>45945</v>
      </c>
      <c r="K2970" s="19" t="n">
        <v>145</v>
      </c>
    </row>
    <row r="2971">
      <c r="D2971" s="16" t="n">
        <v>45946</v>
      </c>
      <c r="E2971" s="19" t="n">
        <v>4.59</v>
      </c>
      <c r="G2971" s="16" t="n">
        <v>45946</v>
      </c>
      <c r="H2971" s="19" t="n">
        <v>3.15</v>
      </c>
      <c r="J2971" s="16" t="n">
        <v>45946</v>
      </c>
      <c r="K2971" s="19" t="n">
        <v>145.35</v>
      </c>
    </row>
    <row r="2972">
      <c r="D2972" s="16" t="n">
        <v>45947</v>
      </c>
      <c r="E2972" s="19" t="n">
        <v>4.59</v>
      </c>
      <c r="G2972" s="16" t="n">
        <v>45947</v>
      </c>
      <c r="H2972" s="19" t="n">
        <v>3.15</v>
      </c>
      <c r="J2972" s="16" t="n">
        <v>45947</v>
      </c>
      <c r="K2972" s="19" t="n">
        <v>144.32</v>
      </c>
    </row>
    <row r="2973">
      <c r="D2973" s="16" t="n">
        <v>45950</v>
      </c>
      <c r="E2973" s="19" t="n">
        <v>4.63</v>
      </c>
      <c r="G2973" s="16" t="n">
        <v>45950</v>
      </c>
      <c r="H2973" s="19" t="n">
        <v>3.17</v>
      </c>
      <c r="J2973" s="16" t="n">
        <v>45950</v>
      </c>
      <c r="K2973" s="19" t="n">
        <v>144.13</v>
      </c>
    </row>
    <row r="2974">
      <c r="D2974" s="16" t="n">
        <v>45951</v>
      </c>
      <c r="E2974" s="19" t="n">
        <v>4.63</v>
      </c>
      <c r="G2974" s="16" t="n">
        <v>45951</v>
      </c>
      <c r="H2974" s="19" t="n">
        <v>3.13</v>
      </c>
      <c r="J2974" s="16" t="n">
        <v>45951</v>
      </c>
      <c r="K2974" s="19" t="n">
        <v>143.63</v>
      </c>
    </row>
    <row r="2975">
      <c r="D2975" s="16" t="n">
        <v>45952</v>
      </c>
      <c r="E2975" s="19" t="n">
        <v>4.61</v>
      </c>
      <c r="G2975" s="16" t="n">
        <v>45952</v>
      </c>
      <c r="H2975" s="19" t="n">
        <v>3.13</v>
      </c>
      <c r="J2975" s="16" t="n">
        <v>45952</v>
      </c>
      <c r="K2975" s="19" t="n">
        <v>143.22</v>
      </c>
    </row>
    <row r="2976">
      <c r="D2976" s="16" t="n">
        <v>45953</v>
      </c>
      <c r="E2976" s="19" t="n">
        <v>4.58</v>
      </c>
      <c r="G2976" s="16" t="n">
        <v>45953</v>
      </c>
      <c r="H2976" s="19" t="n">
        <v>3.13</v>
      </c>
      <c r="J2976" s="16" t="n">
        <v>45953</v>
      </c>
      <c r="K2976" s="19" t="n">
        <v>143.22</v>
      </c>
    </row>
    <row r="2977">
      <c r="D2977" s="16" t="n">
        <v>45954</v>
      </c>
      <c r="E2977" s="19" t="n">
        <v>4.6</v>
      </c>
      <c r="G2977" s="16" t="n">
        <v>45954</v>
      </c>
      <c r="H2977" s="19" t="n">
        <v>3.17</v>
      </c>
      <c r="J2977" s="16" t="n">
        <v>45954</v>
      </c>
      <c r="K2977" s="19" t="n">
        <v>144.24</v>
      </c>
    </row>
    <row r="2978">
      <c r="D2978" s="16" t="n">
        <v>45957</v>
      </c>
      <c r="E2978" s="19" t="n">
        <v>4.61</v>
      </c>
      <c r="G2978" s="16" t="n">
        <v>45957</v>
      </c>
      <c r="H2978" s="19" t="n">
        <v>3.17</v>
      </c>
      <c r="J2978" s="16" t="n">
        <v>45957</v>
      </c>
      <c r="K2978" s="19" t="n">
        <v>144.94</v>
      </c>
    </row>
    <row r="2979">
      <c r="D2979" s="16" t="n">
        <v>45958</v>
      </c>
      <c r="E2979" s="19" t="n">
        <v>4.65</v>
      </c>
      <c r="G2979" s="16" t="n">
        <v>45958</v>
      </c>
      <c r="H2979" s="19" t="n">
        <v>3.15</v>
      </c>
      <c r="J2979" s="16" t="n">
        <v>45958</v>
      </c>
      <c r="K2979" s="19" t="n">
        <v>145.06</v>
      </c>
    </row>
    <row r="2980">
      <c r="D2980" s="16" t="n">
        <v>45959</v>
      </c>
      <c r="E2980" s="19" t="n">
        <v>4.62</v>
      </c>
      <c r="G2980" s="16" t="n">
        <v>45959</v>
      </c>
      <c r="H2980" s="19" t="n">
        <v>3.16</v>
      </c>
      <c r="J2980" s="16" t="n">
        <v>45959</v>
      </c>
      <c r="K2980" s="19" t="n">
        <v>144.63</v>
      </c>
    </row>
    <row r="2981">
      <c r="D2981" s="16" t="n">
        <v>45960</v>
      </c>
      <c r="E2981" s="19" t="n">
        <v>4.6</v>
      </c>
      <c r="G2981" s="16" t="n">
        <v>45960</v>
      </c>
      <c r="H2981" s="19" t="n">
        <v>3.15</v>
      </c>
      <c r="J2981" s="16" t="n">
        <v>45960</v>
      </c>
      <c r="K2981" s="19" t="n">
        <v>143.34</v>
      </c>
    </row>
    <row r="2982">
      <c r="D2982" s="16" t="n">
        <v>45961</v>
      </c>
      <c r="E2982" s="19" t="n">
        <v>4.58</v>
      </c>
      <c r="G2982" s="16" t="n">
        <v>45961</v>
      </c>
      <c r="H2982" s="19" t="n">
        <v>3.16</v>
      </c>
      <c r="J2982" s="16" t="n">
        <v>45961</v>
      </c>
      <c r="K2982" s="19" t="n">
        <v>142.87</v>
      </c>
    </row>
    <row r="2983">
      <c r="D2983" s="16" t="n">
        <v>45964</v>
      </c>
      <c r="E2983" s="19" t="n">
        <v>4.6</v>
      </c>
      <c r="G2983" s="16" t="n">
        <v>45964</v>
      </c>
      <c r="H2983" s="19" t="n">
        <v>3.15</v>
      </c>
      <c r="J2983" s="16" t="n">
        <v>45964</v>
      </c>
      <c r="K2983" s="19" t="n">
        <v>142.27</v>
      </c>
    </row>
    <row r="2984">
      <c r="D2984" s="16" t="n">
        <v>45965</v>
      </c>
      <c r="E2984" s="19" t="n">
        <v>4.63</v>
      </c>
      <c r="G2984" s="16" t="n">
        <v>45965</v>
      </c>
      <c r="H2984" s="19" t="n">
        <v>3.2</v>
      </c>
      <c r="J2984" s="16" t="n">
        <v>45965</v>
      </c>
      <c r="K2984" s="19" t="n">
        <v>142.19</v>
      </c>
    </row>
    <row r="2985">
      <c r="D2985" s="16" t="n">
        <v>45966</v>
      </c>
      <c r="E2985" s="19" t="n">
        <v>4.7</v>
      </c>
      <c r="G2985" s="16" t="n">
        <v>45966</v>
      </c>
      <c r="H2985" s="19" t="n">
        <v>3.17</v>
      </c>
      <c r="J2985" s="16" t="n">
        <v>45966</v>
      </c>
      <c r="K2985" s="19" t="n">
        <v>142.41</v>
      </c>
    </row>
    <row r="2986">
      <c r="D2986" s="16" t="n">
        <v>45967</v>
      </c>
      <c r="E2986" s="19" t="n">
        <v>4.7</v>
      </c>
      <c r="G2986" s="16" t="n">
        <v>45967</v>
      </c>
      <c r="H2986" s="19" t="n">
        <v>3.2</v>
      </c>
      <c r="J2986" s="16" t="n">
        <v>45967</v>
      </c>
      <c r="K2986" s="19" t="n">
        <v>142.1</v>
      </c>
    </row>
    <row r="2987">
      <c r="D2987" s="16" t="n">
        <v>45968</v>
      </c>
      <c r="E2987" s="19" t="n">
        <v>4.59</v>
      </c>
      <c r="G2987" s="16" t="n">
        <v>45968</v>
      </c>
      <c r="H2987" s="19" t="n">
        <v>3.2</v>
      </c>
      <c r="J2987" s="16" t="n">
        <v>45968</v>
      </c>
      <c r="K2987" s="19" t="n">
        <v>142.41</v>
      </c>
    </row>
    <row r="2988">
      <c r="D2988" s="16" t="n">
        <v>45971</v>
      </c>
      <c r="E2988" s="19" t="n">
        <v>4.57</v>
      </c>
      <c r="G2988" s="16" t="n">
        <v>45971</v>
      </c>
      <c r="H2988" s="19" t="n">
        <v>3.2</v>
      </c>
      <c r="J2988" s="16" t="n">
        <v>45971</v>
      </c>
      <c r="K2988" s="19" t="n">
        <v>142.48</v>
      </c>
    </row>
    <row r="2989">
      <c r="D2989" s="16" t="n">
        <v>45972</v>
      </c>
      <c r="E2989" s="19" t="n">
        <v>4.56</v>
      </c>
      <c r="G2989" s="16" t="n">
        <v>45972</v>
      </c>
      <c r="H2989" s="19" t="n">
        <v>3.2</v>
      </c>
      <c r="J2989" s="16" t="n">
        <v>45972</v>
      </c>
      <c r="K2989" s="19" t="n">
        <v>142.25</v>
      </c>
    </row>
    <row r="2990">
      <c r="D2990" s="16" t="n">
        <v>45973</v>
      </c>
      <c r="E2990" s="19" t="n">
        <v>4.67</v>
      </c>
      <c r="G2990" s="16" t="n">
        <v>45973</v>
      </c>
      <c r="H2990" s="19" t="n">
        <v>3.12</v>
      </c>
      <c r="J2990" s="16" t="n">
        <v>45973</v>
      </c>
      <c r="K2990" s="19" t="n">
        <v>141.78</v>
      </c>
    </row>
    <row r="2991">
      <c r="D2991" s="16" t="n">
        <v>45974</v>
      </c>
      <c r="E2991" s="19" t="n">
        <v>4.69</v>
      </c>
      <c r="G2991" s="16" t="n">
        <v>45974</v>
      </c>
      <c r="H2991" s="19" t="n">
        <v>3.07</v>
      </c>
      <c r="J2991" s="16" t="n">
        <v>45974</v>
      </c>
      <c r="K2991" s="19" t="n">
        <v>141.45</v>
      </c>
    </row>
    <row r="2992">
      <c r="D2992" s="16" t="n">
        <v>45975</v>
      </c>
      <c r="E2992" s="19" t="n">
        <v>4.66</v>
      </c>
      <c r="G2992" s="16" t="n">
        <v>45975</v>
      </c>
      <c r="H2992" s="19" t="n">
        <v>3.08</v>
      </c>
      <c r="J2992" s="16" t="n">
        <v>45975</v>
      </c>
      <c r="K2992" s="19" t="n">
        <v>141.64</v>
      </c>
    </row>
    <row r="2993">
      <c r="D2993" s="16" t="n">
        <v>45978</v>
      </c>
      <c r="E2993" s="19" t="n">
        <v>4.62</v>
      </c>
      <c r="G2993" s="16" t="n">
        <v>45978</v>
      </c>
      <c r="H2993" s="19" t="n">
        <v>3.06</v>
      </c>
      <c r="J2993" s="16" t="n">
        <v>45978</v>
      </c>
      <c r="K2993" s="19" t="n">
        <v>141.46</v>
      </c>
    </row>
    <row r="2994">
      <c r="D2994" s="16" t="n">
        <v>45979</v>
      </c>
      <c r="E2994" s="19" t="n">
        <v>4.65</v>
      </c>
      <c r="G2994" s="16" t="n">
        <v>45979</v>
      </c>
      <c r="H2994" s="19" t="n">
        <v>3.04</v>
      </c>
      <c r="J2994" s="16" t="n">
        <v>45979</v>
      </c>
      <c r="K2994" s="19" t="n">
        <v>141.34</v>
      </c>
    </row>
    <row r="2995">
      <c r="D2995" s="16" t="n">
        <v>45980</v>
      </c>
      <c r="E2995" s="19" t="n">
        <v>4.67</v>
      </c>
      <c r="G2995" s="16" t="n">
        <v>45980</v>
      </c>
      <c r="H2995" s="19" t="n">
        <v>3.02</v>
      </c>
      <c r="J2995" s="16" t="n">
        <v>45980</v>
      </c>
      <c r="K2995" s="19" t="n">
        <v>140.9</v>
      </c>
    </row>
    <row r="2996">
      <c r="D2996" s="16" t="n">
        <v>45981</v>
      </c>
      <c r="E2996" s="19" t="n">
        <v>4.7</v>
      </c>
      <c r="G2996" s="16" t="n">
        <v>45981</v>
      </c>
      <c r="H2996" s="19" t="n">
        <v>3.05</v>
      </c>
      <c r="J2996" s="16" t="n">
        <v>45981</v>
      </c>
      <c r="K2996" s="19" t="n">
        <v>140.33</v>
      </c>
    </row>
    <row r="2997">
      <c r="D2997" s="16" t="n">
        <v>45982</v>
      </c>
      <c r="E2997" s="19" t="n">
        <v>4.69</v>
      </c>
      <c r="G2997" s="16" t="n">
        <v>45982</v>
      </c>
      <c r="H2997" s="19" t="n">
        <v>3.02</v>
      </c>
      <c r="J2997" s="16" t="n">
        <v>45982</v>
      </c>
      <c r="K2997" s="19" t="n">
        <v>139.45</v>
      </c>
    </row>
    <row r="2998">
      <c r="D2998" s="16" t="n">
        <v>45985</v>
      </c>
      <c r="E2998" s="19" t="n">
        <v>4.7</v>
      </c>
      <c r="G2998" s="16" t="n">
        <v>45985</v>
      </c>
      <c r="H2998" s="19" t="n">
        <v>3.06</v>
      </c>
      <c r="J2998" s="16" t="n">
        <v>45985</v>
      </c>
      <c r="K2998" s="19" t="n">
        <v>139.49</v>
      </c>
    </row>
    <row r="2999">
      <c r="D2999" s="16" t="n">
        <v>45986</v>
      </c>
      <c r="E2999" s="19" t="n">
        <v>4.76</v>
      </c>
      <c r="G2999" s="16" t="n">
        <v>45986</v>
      </c>
      <c r="H2999" s="19" t="n">
        <v>2.99</v>
      </c>
      <c r="J2999" s="16" t="n">
        <v>45986</v>
      </c>
      <c r="K2999" s="19" t="n">
        <v>139.21</v>
      </c>
    </row>
    <row r="3000">
      <c r="D3000" s="16" t="n">
        <v>45987</v>
      </c>
      <c r="E3000" s="19" t="n">
        <v>4.73</v>
      </c>
      <c r="G3000" s="16" t="n">
        <v>45987</v>
      </c>
      <c r="H3000" s="19" t="n">
        <v>3.01</v>
      </c>
      <c r="J3000" s="16" t="n">
        <v>45987</v>
      </c>
      <c r="K3000" s="19" t="n">
        <v>139.38</v>
      </c>
    </row>
    <row r="3001">
      <c r="D3001" s="16" t="n">
        <v>45988</v>
      </c>
      <c r="E3001" s="19" t="inlineStr">
        <is>
          <t>.</t>
        </is>
      </c>
      <c r="G3001" s="16" t="n">
        <v>45988</v>
      </c>
      <c r="H3001" s="19" t="inlineStr">
        <is>
          <t>.</t>
        </is>
      </c>
      <c r="J3001" s="16" t="n">
        <v>45988</v>
      </c>
      <c r="K3001" s="19" t="inlineStr">
        <is>
          <t>.</t>
        </is>
      </c>
    </row>
    <row r="3002">
      <c r="D3002" s="16" t="n">
        <v>45989</v>
      </c>
      <c r="E3002" s="19" t="n">
        <v>4.68</v>
      </c>
      <c r="G3002" s="16" t="n">
        <v>45989</v>
      </c>
      <c r="H3002" s="19" t="n">
        <v>3.04</v>
      </c>
      <c r="J3002" s="16" t="n">
        <v>45989</v>
      </c>
      <c r="K3002" s="19" t="n">
        <v>140.03</v>
      </c>
    </row>
    <row r="3003">
      <c r="D3003" s="16" t="n">
        <v>45992</v>
      </c>
      <c r="E3003" s="19" t="n">
        <v>4.67</v>
      </c>
      <c r="G3003" s="16" t="n">
        <v>45992</v>
      </c>
      <c r="H3003" s="19" t="n">
        <v>3.01</v>
      </c>
      <c r="J3003" s="16" t="n">
        <v>45992</v>
      </c>
      <c r="K3003" s="19" t="n">
        <v>140.47</v>
      </c>
    </row>
    <row r="3004">
      <c r="D3004" s="16" t="n">
        <v>45993</v>
      </c>
      <c r="E3004" s="19" t="n">
        <v>4.68</v>
      </c>
      <c r="G3004" s="16" t="n">
        <v>45993</v>
      </c>
      <c r="H3004" s="19" t="n">
        <v>3.08</v>
      </c>
      <c r="J3004" s="16" t="n">
        <v>45993</v>
      </c>
      <c r="K3004" s="19" t="n">
        <v>141.9</v>
      </c>
    </row>
    <row r="3005">
      <c r="D3005" s="16" t="n">
        <v>45994</v>
      </c>
      <c r="E3005" s="19" t="n">
        <v>4.64</v>
      </c>
      <c r="G3005" s="16" t="n">
        <v>45994</v>
      </c>
      <c r="H3005" s="19" t="n">
        <v>3.06</v>
      </c>
      <c r="J3005" s="16" t="n">
        <v>45994</v>
      </c>
      <c r="K3005" s="19" t="n">
        <v>141.54</v>
      </c>
    </row>
    <row r="3006">
      <c r="D3006" s="16" t="n">
        <v>45995</v>
      </c>
      <c r="E3006" s="19" t="n">
        <v>4.55</v>
      </c>
      <c r="G3006" s="16" t="n">
        <v>45995</v>
      </c>
      <c r="H3006" s="19" t="n">
        <v>3.01</v>
      </c>
      <c r="J3006" s="16" t="n">
        <v>45995</v>
      </c>
      <c r="K3006" s="19" t="n">
        <v>141.39</v>
      </c>
    </row>
    <row r="3007">
      <c r="D3007" s="16" t="n">
        <v>45996</v>
      </c>
      <c r="E3007" s="19" t="n">
        <v>4.5</v>
      </c>
      <c r="G3007" s="16" t="n">
        <v>45996</v>
      </c>
      <c r="H3007" s="19" t="n">
        <v>3.09</v>
      </c>
      <c r="J3007" s="16" t="n">
        <v>45996</v>
      </c>
      <c r="K3007" s="19" t="n">
        <v>142.28</v>
      </c>
    </row>
    <row r="3008">
      <c r="D3008" s="16" t="n">
        <v>45999</v>
      </c>
      <c r="E3008" s="19" t="n">
        <v>4.52</v>
      </c>
      <c r="G3008" s="16" t="n">
        <v>45999</v>
      </c>
      <c r="H3008" s="19" t="n">
        <v>3.09</v>
      </c>
      <c r="J3008" s="16" t="n">
        <v>45999</v>
      </c>
      <c r="K3008" s="19" t="n">
        <v>142.46</v>
      </c>
    </row>
    <row r="3009">
      <c r="D3009" s="16" t="n">
        <v>46000</v>
      </c>
      <c r="E3009" s="19" t="n">
        <v>4.51</v>
      </c>
      <c r="G3009" s="16" t="n">
        <v>46000</v>
      </c>
      <c r="H3009" s="19" t="n">
        <v>3.09</v>
      </c>
      <c r="J3009" s="16" t="n">
        <v>46000</v>
      </c>
      <c r="K3009" s="19" t="n">
        <v>142.05</v>
      </c>
    </row>
    <row r="3010">
      <c r="D3010" s="16" t="n">
        <v>46001</v>
      </c>
      <c r="E3010" s="19" t="n">
        <v>4.44</v>
      </c>
      <c r="G3010" s="16" t="n">
        <v>46001</v>
      </c>
      <c r="H3010" s="19" t="n">
        <v>3.03</v>
      </c>
      <c r="J3010" s="16" t="n">
        <v>46001</v>
      </c>
      <c r="K3010" s="19" t="n">
        <v>142.57</v>
      </c>
    </row>
    <row r="3011">
      <c r="D3011" s="16" t="n">
        <v>46002</v>
      </c>
      <c r="E3011" s="19" t="n">
        <v>4.47</v>
      </c>
      <c r="G3011" s="16" t="n">
        <v>46002</v>
      </c>
      <c r="H3011" s="19" t="n">
        <v>3.05</v>
      </c>
      <c r="J3011" s="16" t="n">
        <v>46002</v>
      </c>
      <c r="K3011" s="19" t="n">
        <v>143.01</v>
      </c>
    </row>
    <row r="3012">
      <c r="D3012" s="16" t="n">
        <v>46003</v>
      </c>
      <c r="E3012" s="19" t="n">
        <v>4.48</v>
      </c>
      <c r="G3012" s="16" t="n">
        <v>46003</v>
      </c>
      <c r="H3012" s="19" t="n">
        <v>3</v>
      </c>
      <c r="J3012" s="16" t="n">
        <v>46003</v>
      </c>
      <c r="K3012" s="19" t="n">
        <v>143.23</v>
      </c>
    </row>
    <row r="3013">
      <c r="D3013" s="16" t="n">
        <v>46006</v>
      </c>
      <c r="E3013" s="19" t="n">
        <v>4.51</v>
      </c>
      <c r="G3013" s="16" t="n">
        <v>46006</v>
      </c>
      <c r="H3013" s="19" t="n">
        <v>2.98</v>
      </c>
      <c r="J3013" s="16" t="n">
        <v>46006</v>
      </c>
      <c r="K3013" s="19" t="n">
        <v>143.83</v>
      </c>
    </row>
    <row r="3014">
      <c r="D3014" s="16" t="n">
        <v>46007</v>
      </c>
      <c r="E3014" s="19" t="n">
        <v>4.54</v>
      </c>
      <c r="G3014" s="16" t="n">
        <v>46007</v>
      </c>
      <c r="H3014" s="19" t="n">
        <v>2.95</v>
      </c>
      <c r="J3014" s="16" t="n">
        <v>46007</v>
      </c>
      <c r="K3014" s="19" t="n">
        <v>144.02</v>
      </c>
    </row>
    <row r="3015">
      <c r="D3015" s="16" t="n">
        <v>46008</v>
      </c>
      <c r="E3015" s="19" t="n">
        <v>4.48</v>
      </c>
      <c r="G3015" s="16" t="n">
        <v>46008</v>
      </c>
      <c r="H3015" s="19" t="n">
        <v>2.91</v>
      </c>
      <c r="J3015" s="16" t="n">
        <v>46008</v>
      </c>
      <c r="K3015" s="19" t="n">
        <v>145.33</v>
      </c>
    </row>
    <row r="3016">
      <c r="D3016" s="16" t="n">
        <v>46009</v>
      </c>
      <c r="E3016" s="19" t="n">
        <v>4.57</v>
      </c>
      <c r="G3016" s="16" t="n">
        <v>46009</v>
      </c>
      <c r="H3016" s="19" t="n">
        <v>2.89</v>
      </c>
      <c r="J3016" s="16" t="n">
        <v>46009</v>
      </c>
      <c r="K3016" s="19" t="n">
        <v>145.96</v>
      </c>
    </row>
    <row r="3017">
      <c r="D3017" s="16" t="n">
        <v>46010</v>
      </c>
      <c r="E3017" s="19" t="n">
        <v>4.5</v>
      </c>
      <c r="G3017" s="16" t="n">
        <v>46010</v>
      </c>
      <c r="H3017" s="19" t="n">
        <v>2.91</v>
      </c>
      <c r="J3017" s="16" t="n">
        <v>46010</v>
      </c>
      <c r="K3017" s="19" t="n">
        <v>145.56</v>
      </c>
    </row>
    <row r="3018">
      <c r="D3018" s="16" t="n">
        <v>46013</v>
      </c>
      <c r="E3018" s="19" t="n">
        <v>4.46</v>
      </c>
      <c r="G3018" s="16" t="n">
        <v>46013</v>
      </c>
      <c r="H3018" s="19" t="n">
        <v>2.94</v>
      </c>
      <c r="J3018" s="16" t="n">
        <v>46013</v>
      </c>
      <c r="K3018" s="19" t="n">
        <v>145.27</v>
      </c>
    </row>
    <row r="3019">
      <c r="D3019" s="16" t="n">
        <v>46014</v>
      </c>
      <c r="E3019" s="19" t="n">
        <v>4.39</v>
      </c>
      <c r="G3019" s="16" t="n">
        <v>46014</v>
      </c>
      <c r="H3019" s="19" t="n">
        <v>2.91</v>
      </c>
      <c r="J3019" s="16" t="n">
        <v>46014</v>
      </c>
      <c r="K3019" s="19" t="n">
        <v>144.66</v>
      </c>
    </row>
    <row r="3020">
      <c r="D3020" s="16" t="n">
        <v>46015</v>
      </c>
      <c r="E3020" s="19" t="n">
        <v>4.3</v>
      </c>
      <c r="G3020" s="16" t="n">
        <v>46015</v>
      </c>
      <c r="H3020" s="19" t="n">
        <v>2.96</v>
      </c>
      <c r="J3020" s="16" t="n">
        <v>46015</v>
      </c>
      <c r="K3020" s="19" t="n">
        <v>144.06</v>
      </c>
    </row>
    <row r="3021">
      <c r="D3021" s="16" t="n">
        <v>46016</v>
      </c>
      <c r="E3021" s="19" t="inlineStr">
        <is>
          <t>.</t>
        </is>
      </c>
      <c r="G3021" s="16" t="n">
        <v>46016</v>
      </c>
      <c r="H3021" s="19" t="inlineStr">
        <is>
          <t>.</t>
        </is>
      </c>
      <c r="J3021" s="16" t="n">
        <v>46016</v>
      </c>
      <c r="K3021" s="19" t="inlineStr">
        <is>
          <t>.</t>
        </is>
      </c>
    </row>
    <row r="3022">
      <c r="D3022" s="16" t="n">
        <v>46017</v>
      </c>
      <c r="E3022" s="19" t="n">
        <v>4.38</v>
      </c>
      <c r="G3022" s="16" t="n">
        <v>46017</v>
      </c>
      <c r="H3022" s="19" t="n">
        <v>3.07</v>
      </c>
      <c r="J3022" s="16" t="n">
        <v>46017</v>
      </c>
      <c r="K3022" s="19" t="n">
        <v>143.39</v>
      </c>
    </row>
    <row r="3023">
      <c r="D3023" s="16" t="n">
        <v>46020</v>
      </c>
      <c r="E3023" s="19" t="n">
        <v>4.39</v>
      </c>
      <c r="G3023" s="16" t="n">
        <v>46020</v>
      </c>
      <c r="H3023" s="19" t="n">
        <v>3</v>
      </c>
      <c r="J3023" s="16" t="n">
        <v>46020</v>
      </c>
      <c r="K3023" s="19" t="n">
        <v>142.01</v>
      </c>
    </row>
    <row r="3024">
      <c r="D3024" s="16" t="n">
        <v>46021</v>
      </c>
      <c r="E3024" s="19" t="n">
        <v>4.29</v>
      </c>
      <c r="G3024" s="16" t="n">
        <v>46021</v>
      </c>
      <c r="H3024" s="19" t="n">
        <v>3</v>
      </c>
      <c r="J3024" s="16" t="n">
        <v>46021</v>
      </c>
      <c r="K3024" s="19" t="n">
        <v>142.32</v>
      </c>
    </row>
    <row r="3025">
      <c r="D3025" s="16" t="n">
        <v>46022</v>
      </c>
      <c r="E3025" s="19" t="n">
        <v>4.3</v>
      </c>
      <c r="G3025" s="16" t="n">
        <v>46022</v>
      </c>
      <c r="H3025" s="19" t="n">
        <v>3.03</v>
      </c>
      <c r="J3025" s="16" t="n">
        <v>46022</v>
      </c>
      <c r="K3025" s="19" t="n">
        <v>142.13</v>
      </c>
    </row>
    <row r="3026">
      <c r="D3026" s="16" t="n">
        <v>46023</v>
      </c>
      <c r="E3026" s="19" t="inlineStr">
        <is>
          <t>.</t>
        </is>
      </c>
      <c r="G3026" s="16" t="n">
        <v>46023</v>
      </c>
      <c r="H3026" s="19" t="inlineStr">
        <is>
          <t>.</t>
        </is>
      </c>
      <c r="J3026" s="16" t="n">
        <v>46023</v>
      </c>
      <c r="K3026" s="19" t="inlineStr">
        <is>
          <t>.</t>
        </is>
      </c>
    </row>
    <row r="3027">
      <c r="D3027" s="16" t="n">
        <v>46024</v>
      </c>
      <c r="E3027" s="19" t="n">
        <v>4.31</v>
      </c>
      <c r="G3027" s="16" t="n">
        <v>46024</v>
      </c>
      <c r="H3027" s="19" t="n">
        <v>3.06</v>
      </c>
      <c r="J3027" s="16" t="n">
        <v>46024</v>
      </c>
      <c r="K3027" s="19" t="n">
        <v>141.64</v>
      </c>
    </row>
    <row r="3028">
      <c r="D3028" s="16" t="n">
        <v>46027</v>
      </c>
      <c r="E3028" s="19" t="n">
        <v>4.34</v>
      </c>
      <c r="G3028" s="16" t="n">
        <v>46027</v>
      </c>
      <c r="H3028" s="19" t="n">
        <v>3.01</v>
      </c>
      <c r="J3028" s="16" t="n">
        <v>46027</v>
      </c>
      <c r="K3028" s="19" t="n">
        <v>141.67</v>
      </c>
    </row>
    <row r="3029">
      <c r="D3029" s="16" t="n">
        <v>46028</v>
      </c>
      <c r="E3029" s="19" t="n">
        <v>4.3</v>
      </c>
      <c r="G3029" s="16" t="n">
        <v>46028</v>
      </c>
      <c r="H3029" s="19" t="n">
        <v>2.97</v>
      </c>
      <c r="J3029" s="16" t="n">
        <v>46028</v>
      </c>
      <c r="K3029" s="19" t="n">
        <v>141.34</v>
      </c>
    </row>
    <row r="3030">
      <c r="D3030" s="16" t="n">
        <v>46029</v>
      </c>
      <c r="E3030" s="19" t="n">
        <v>4.32</v>
      </c>
      <c r="G3030" s="16" t="n">
        <v>46029</v>
      </c>
      <c r="H3030" s="19" t="n">
        <v>2.93</v>
      </c>
      <c r="J3030" s="16" t="n">
        <v>46029</v>
      </c>
      <c r="K3030" s="19" t="n">
        <v>141.05</v>
      </c>
    </row>
    <row r="3031">
      <c r="D3031" s="16" t="n">
        <v>46030</v>
      </c>
      <c r="E3031" s="19" t="n">
        <v>4.4</v>
      </c>
      <c r="G3031" s="16" t="n">
        <v>46030</v>
      </c>
      <c r="H3031" s="19" t="n">
        <v>2.9</v>
      </c>
      <c r="J3031" s="16" t="n">
        <v>46030</v>
      </c>
      <c r="K3031" s="19" t="n">
        <v>140.5</v>
      </c>
    </row>
    <row r="3032">
      <c r="D3032" s="16" t="n">
        <v>46031</v>
      </c>
      <c r="E3032" s="19" t="n">
        <v>4.43</v>
      </c>
      <c r="G3032" s="16" t="n">
        <v>46031</v>
      </c>
      <c r="H3032" s="19" t="n">
        <v>2.82</v>
      </c>
      <c r="J3032" s="16" t="n">
        <v>46031</v>
      </c>
      <c r="K3032" s="19" t="n">
        <v>140.62</v>
      </c>
    </row>
    <row r="3033">
      <c r="D3033" s="16" t="n">
        <v>46034</v>
      </c>
      <c r="E3033" s="19" t="n">
        <v>4.38</v>
      </c>
      <c r="G3033" s="16" t="n">
        <v>46034</v>
      </c>
      <c r="H3033" s="19" t="n">
        <v>2.85</v>
      </c>
      <c r="J3033" s="16" t="n">
        <v>46034</v>
      </c>
      <c r="K3033" s="19" t="n">
        <v>140.28</v>
      </c>
    </row>
    <row r="3034">
      <c r="D3034" s="16" t="n">
        <v>46035</v>
      </c>
      <c r="E3034" s="19" t="n">
        <v>4.36</v>
      </c>
      <c r="G3034" s="16" t="n">
        <v>46035</v>
      </c>
      <c r="H3034" s="19" t="n">
        <v>2.87</v>
      </c>
      <c r="J3034" s="16" t="n">
        <v>46035</v>
      </c>
      <c r="K3034" s="19" t="n">
        <v>140.67</v>
      </c>
    </row>
    <row r="3035">
      <c r="D3035" s="16" t="n">
        <v>46036</v>
      </c>
      <c r="E3035" s="19" t="n">
        <v>4.26</v>
      </c>
      <c r="G3035" s="16" t="n">
        <v>46036</v>
      </c>
      <c r="H3035" s="19" t="n">
        <v>2.87</v>
      </c>
      <c r="J3035" s="16" t="n">
        <v>46036</v>
      </c>
      <c r="K3035" s="19" t="n">
        <v>140.62</v>
      </c>
    </row>
    <row r="3036">
      <c r="D3036" s="16" t="n">
        <v>46037</v>
      </c>
      <c r="E3036" s="19" t="n">
        <v>4.2</v>
      </c>
      <c r="G3036" s="16" t="n">
        <v>46037</v>
      </c>
      <c r="H3036" s="19" t="n">
        <v>2.85</v>
      </c>
      <c r="J3036" s="16" t="n">
        <v>46037</v>
      </c>
      <c r="K3036" s="19" t="n">
        <v>141.1</v>
      </c>
    </row>
    <row r="3037">
      <c r="D3037" s="16" t="n">
        <v>46038</v>
      </c>
      <c r="E3037" s="19" t="n">
        <v>4.16</v>
      </c>
      <c r="G3037" s="16" t="n">
        <v>46038</v>
      </c>
      <c r="H3037" s="19" t="n">
        <v>2.84</v>
      </c>
      <c r="J3037" s="16" t="n">
        <v>46038</v>
      </c>
      <c r="K3037" s="19" t="n">
        <v>140.65</v>
      </c>
    </row>
    <row r="3038">
      <c r="D3038" s="16" t="n">
        <v>46041</v>
      </c>
      <c r="E3038" s="19" t="n">
        <v>4.21</v>
      </c>
      <c r="G3038" s="16" t="n">
        <v>46041</v>
      </c>
      <c r="H3038" s="19" t="n">
        <v>2.78</v>
      </c>
      <c r="J3038" s="16" t="n">
        <v>46041</v>
      </c>
      <c r="K3038" s="19" t="n">
        <v>140.36</v>
      </c>
    </row>
    <row r="3039">
      <c r="D3039" s="16" t="n">
        <v>46042</v>
      </c>
      <c r="E3039" s="19" t="n">
        <v>4.2</v>
      </c>
      <c r="G3039" s="16" t="n">
        <v>46042</v>
      </c>
      <c r="H3039" s="19" t="n">
        <v>2.76</v>
      </c>
      <c r="J3039" s="16" t="n">
        <v>46042</v>
      </c>
      <c r="K3039" s="19" t="n">
        <v>141.05</v>
      </c>
    </row>
    <row r="3040">
      <c r="D3040" s="16" t="n">
        <v>46043</v>
      </c>
      <c r="E3040" s="19" t="n">
        <v>4.24</v>
      </c>
      <c r="G3040" s="16" t="n">
        <v>46043</v>
      </c>
      <c r="H3040" s="19" t="n">
        <v>2.75</v>
      </c>
      <c r="J3040" s="16" t="n">
        <v>46043</v>
      </c>
      <c r="K3040" s="19" t="n">
        <v>141.39</v>
      </c>
    </row>
    <row r="3041">
      <c r="D3041" s="16" t="n">
        <v>46044</v>
      </c>
      <c r="E3041" s="19" t="n">
        <v>4.25</v>
      </c>
      <c r="G3041" s="16" t="n">
        <v>46044</v>
      </c>
      <c r="H3041" s="19" t="n">
        <v>2.72</v>
      </c>
      <c r="J3041" s="16" t="n">
        <v>46044</v>
      </c>
      <c r="K3041" s="19" t="n">
        <v>141.29</v>
      </c>
    </row>
    <row r="3042">
      <c r="D3042" s="16" t="n">
        <v>46045</v>
      </c>
      <c r="E3042" s="19" t="n">
        <v>4.23</v>
      </c>
      <c r="G3042" s="16" t="n">
        <v>46045</v>
      </c>
      <c r="H3042" s="19" t="n">
        <v>2.74</v>
      </c>
      <c r="J3042" s="16" t="n">
        <v>46045</v>
      </c>
      <c r="K3042" s="19" t="n">
        <v>141.89</v>
      </c>
    </row>
    <row r="3043">
      <c r="D3043" s="16" t="n">
        <v>46048</v>
      </c>
      <c r="E3043" s="19" t="n">
        <v>4.16</v>
      </c>
      <c r="G3043" s="16" t="n">
        <v>46048</v>
      </c>
      <c r="H3043" s="19" t="n">
        <v>2.78</v>
      </c>
      <c r="J3043" s="16" t="n">
        <v>46048</v>
      </c>
      <c r="K3043" s="19" t="n">
        <v>141.98</v>
      </c>
    </row>
    <row r="3044">
      <c r="D3044" s="16" t="n">
        <v>46049</v>
      </c>
      <c r="E3044" s="19" t="n">
        <v>4.2</v>
      </c>
      <c r="G3044" s="16" t="n">
        <v>46049</v>
      </c>
      <c r="H3044" s="19" t="n">
        <v>2.84</v>
      </c>
      <c r="J3044" s="16" t="n">
        <v>46049</v>
      </c>
      <c r="K3044" s="19" t="n">
        <v>141.92</v>
      </c>
    </row>
    <row r="3045">
      <c r="D3045" s="16" t="n">
        <v>46050</v>
      </c>
      <c r="E3045" s="19" t="n">
        <v>4.25</v>
      </c>
      <c r="G3045" s="16" t="n">
        <v>46050</v>
      </c>
      <c r="H3045" s="19" t="n">
        <v>2.84</v>
      </c>
      <c r="J3045" s="16" t="n">
        <v>46050</v>
      </c>
      <c r="K3045" s="19" t="n">
        <v>140.81</v>
      </c>
    </row>
    <row r="3046">
      <c r="D3046" s="16" t="n">
        <v>46051</v>
      </c>
      <c r="E3046" s="19" t="n">
        <v>4.2</v>
      </c>
      <c r="G3046" s="16" t="n">
        <v>46051</v>
      </c>
      <c r="H3046" s="19" t="n">
        <v>2.86</v>
      </c>
      <c r="J3046" s="16" t="n">
        <v>46051</v>
      </c>
      <c r="K3046" s="19" t="n">
        <v>141.31</v>
      </c>
    </row>
    <row r="3047">
      <c r="D3047" s="16" t="n">
        <v>46052</v>
      </c>
      <c r="E3047" s="19" t="n">
        <v>4.16</v>
      </c>
      <c r="G3047" s="16" t="n">
        <v>46052</v>
      </c>
      <c r="H3047" s="19" t="n">
        <v>2.91</v>
      </c>
      <c r="J3047" s="16" t="n">
        <v>46052</v>
      </c>
      <c r="K3047" s="19" t="n">
        <v>140.99</v>
      </c>
    </row>
    <row r="3048">
      <c r="D3048" s="16" t="n">
        <v>46055</v>
      </c>
      <c r="E3048" s="19" t="n">
        <v>4.17</v>
      </c>
      <c r="G3048" s="16" t="n">
        <v>46055</v>
      </c>
      <c r="H3048" s="19" t="n">
        <v>2.89</v>
      </c>
      <c r="J3048" s="16" t="n">
        <v>46055</v>
      </c>
      <c r="K3048" s="19" t="n">
        <v>141.07</v>
      </c>
    </row>
    <row r="3049">
      <c r="D3049" s="16" t="n">
        <v>46056</v>
      </c>
      <c r="E3049" s="19" t="n">
        <v>4.12</v>
      </c>
      <c r="G3049" s="16" t="n">
        <v>46056</v>
      </c>
      <c r="H3049" s="19" t="n">
        <v>2.9</v>
      </c>
      <c r="J3049" s="16" t="n">
        <v>46056</v>
      </c>
      <c r="K3049" s="19" t="n">
        <v>140.84</v>
      </c>
    </row>
    <row r="3050">
      <c r="D3050" s="16" t="n">
        <v>46057</v>
      </c>
      <c r="E3050" s="19" t="n">
        <v>4.07</v>
      </c>
      <c r="G3050" s="16" t="n">
        <v>46057</v>
      </c>
      <c r="H3050" s="19" t="n">
        <v>2.9</v>
      </c>
      <c r="J3050" s="16" t="n">
        <v>46057</v>
      </c>
      <c r="K3050" s="19" t="n">
        <v>141.26</v>
      </c>
    </row>
    <row r="3051">
      <c r="D3051" s="16" t="n">
        <v>46058</v>
      </c>
      <c r="E3051" s="19" t="n">
        <v>4</v>
      </c>
      <c r="G3051" s="16" t="n">
        <v>46058</v>
      </c>
      <c r="H3051" s="19" t="n">
        <v>2.9</v>
      </c>
      <c r="J3051" s="16" t="n">
        <v>46058</v>
      </c>
      <c r="K3051" s="19" t="n">
        <v>141.79</v>
      </c>
    </row>
    <row r="3052">
      <c r="D3052" s="16" t="n">
        <v>46059</v>
      </c>
      <c r="E3052" s="19" t="n">
        <v>4.05</v>
      </c>
      <c r="G3052" s="16" t="n">
        <v>46059</v>
      </c>
      <c r="H3052" s="19" t="n">
        <v>2.9</v>
      </c>
      <c r="J3052" s="16" t="n">
        <v>46059</v>
      </c>
      <c r="K3052" s="19" t="n">
        <v>142.34</v>
      </c>
    </row>
    <row r="3053">
      <c r="D3053" s="16" t="n">
        <v>46062</v>
      </c>
      <c r="E3053" s="19" t="n">
        <v>4.17</v>
      </c>
      <c r="G3053" s="16" t="n">
        <v>46062</v>
      </c>
      <c r="H3053" s="19" t="n">
        <v>2.86</v>
      </c>
      <c r="J3053" s="16" t="n">
        <v>46062</v>
      </c>
      <c r="K3053" s="19" t="n">
        <v>142.64</v>
      </c>
    </row>
    <row r="3054">
      <c r="D3054" s="16" t="n">
        <v>46063</v>
      </c>
      <c r="E3054" s="19" t="n">
        <v>4.16</v>
      </c>
      <c r="G3054" s="16" t="n">
        <v>46063</v>
      </c>
      <c r="H3054" s="19" t="n">
        <v>2.8</v>
      </c>
      <c r="J3054" s="16" t="n">
        <v>46063</v>
      </c>
      <c r="K3054" s="19" t="n">
        <v>144.13</v>
      </c>
    </row>
    <row r="3055">
      <c r="D3055" s="16" t="n">
        <v>46064</v>
      </c>
      <c r="E3055" s="19" t="n">
        <v>4.18</v>
      </c>
      <c r="G3055" s="16" t="n">
        <v>46064</v>
      </c>
      <c r="H3055" s="19" t="n">
        <v>2.82</v>
      </c>
      <c r="J3055" s="16" t="n">
        <v>46064</v>
      </c>
      <c r="K3055" s="19" t="n">
        <v>144.83</v>
      </c>
    </row>
    <row r="3056">
      <c r="D3056" s="16" t="n">
        <v>46065</v>
      </c>
      <c r="E3056" s="19" t="n">
        <v>4.17</v>
      </c>
      <c r="G3056" s="16" t="n">
        <v>46065</v>
      </c>
      <c r="H3056" s="19" t="n">
        <v>2.84</v>
      </c>
      <c r="J3056" s="16" t="n">
        <v>46065</v>
      </c>
      <c r="K3056" s="19" t="n">
        <v>146.27</v>
      </c>
    </row>
    <row r="3057">
      <c r="D3057" s="16" t="n">
        <v>46066</v>
      </c>
      <c r="E3057" s="19" t="n">
        <v>4.11</v>
      </c>
      <c r="G3057" s="16" t="n">
        <v>46066</v>
      </c>
      <c r="H3057" s="19" t="n">
        <v>2.82</v>
      </c>
      <c r="J3057" s="16" t="n">
        <v>46066</v>
      </c>
      <c r="K3057" s="19" t="n">
        <v>147.04</v>
      </c>
    </row>
    <row r="3058">
      <c r="D3058" s="16" t="n">
        <v>46069</v>
      </c>
      <c r="E3058" s="19" t="n">
        <v>4.16</v>
      </c>
      <c r="G3058" s="16" t="n">
        <v>46069</v>
      </c>
      <c r="H3058" s="19" t="n">
        <v>2.82</v>
      </c>
      <c r="J3058" s="16" t="n">
        <v>46069</v>
      </c>
      <c r="K3058" s="19" t="n">
        <v>146.62</v>
      </c>
    </row>
    <row r="3059">
      <c r="D3059" s="16" t="n">
        <v>46070</v>
      </c>
      <c r="E3059" s="19" t="n">
        <v>4.14</v>
      </c>
      <c r="G3059" s="16" t="n">
        <v>46070</v>
      </c>
      <c r="H3059" s="19" t="n">
        <v>2.88</v>
      </c>
      <c r="J3059" s="16" t="n">
        <v>46070</v>
      </c>
      <c r="K3059" s="19" t="n">
        <v>145.66</v>
      </c>
    </row>
    <row r="3060">
      <c r="D3060" s="16" t="n">
        <v>46071</v>
      </c>
      <c r="E3060" s="19" t="n">
        <v>4.1</v>
      </c>
      <c r="G3060" s="16" t="n">
        <v>46071</v>
      </c>
      <c r="H3060" s="19" t="n">
        <v>2.93</v>
      </c>
      <c r="J3060" s="16" t="n">
        <v>46071</v>
      </c>
      <c r="K3060" s="19" t="n">
        <v>145.17</v>
      </c>
    </row>
    <row r="3061">
      <c r="D3061" s="16" t="n">
        <v>46072</v>
      </c>
      <c r="E3061" s="19" t="n">
        <v>4.14</v>
      </c>
      <c r="G3061" s="16" t="n">
        <v>46072</v>
      </c>
      <c r="H3061" s="19" t="n">
        <v>2.93</v>
      </c>
      <c r="J3061" s="16" t="n">
        <v>46072</v>
      </c>
      <c r="K3061" s="19" t="n">
        <v>145.9</v>
      </c>
    </row>
    <row r="3062">
      <c r="D3062" s="16" t="n">
        <v>46073</v>
      </c>
      <c r="E3062" s="19" t="n">
        <v>4.21</v>
      </c>
      <c r="G3062" s="16" t="n">
        <v>46073</v>
      </c>
      <c r="H3062" s="19" t="n">
        <v>2.9</v>
      </c>
      <c r="J3062" s="16" t="n">
        <v>46073</v>
      </c>
      <c r="K3062" s="19" t="n">
        <v>145.41</v>
      </c>
    </row>
    <row r="3063">
      <c r="D3063" s="16" t="n">
        <v>46076</v>
      </c>
      <c r="E3063" s="19" t="n">
        <v>4.18</v>
      </c>
      <c r="G3063" s="16" t="n">
        <v>46076</v>
      </c>
      <c r="H3063" s="19" t="n">
        <v>2.97</v>
      </c>
      <c r="J3063" s="16" t="n">
        <v>46076</v>
      </c>
      <c r="K3063" s="19" t="n">
        <v>145.61</v>
      </c>
    </row>
    <row r="3064">
      <c r="D3064" s="16" t="n">
        <v>46077</v>
      </c>
      <c r="E3064" s="19" t="n">
        <v>4.24</v>
      </c>
      <c r="G3064" s="16" t="n">
        <v>46077</v>
      </c>
      <c r="H3064" s="19" t="n">
        <v>2.94</v>
      </c>
      <c r="J3064" s="16" t="n">
        <v>46077</v>
      </c>
      <c r="K3064" s="19" t="n">
        <v>145.2</v>
      </c>
    </row>
    <row r="3065">
      <c r="D3065" s="16" t="n">
        <v>46078</v>
      </c>
      <c r="E3065" s="19" t="n">
        <v>4.35</v>
      </c>
      <c r="G3065" s="16" t="n">
        <v>46078</v>
      </c>
      <c r="H3065" s="19" t="n">
        <v>2.83</v>
      </c>
      <c r="J3065" s="16" t="n">
        <v>46078</v>
      </c>
      <c r="K3065" s="19" t="n">
        <v>145.2</v>
      </c>
    </row>
    <row r="3066">
      <c r="D3066" s="16" t="n">
        <v>46079</v>
      </c>
      <c r="E3066" s="19" t="n">
        <v>4.32</v>
      </c>
      <c r="G3066" s="16" t="n">
        <v>46079</v>
      </c>
      <c r="H3066" s="19" t="n">
        <v>2.8</v>
      </c>
      <c r="J3066" s="16" t="n">
        <v>46079</v>
      </c>
      <c r="K3066" s="19" t="n">
        <v>145.1</v>
      </c>
    </row>
    <row r="3067">
      <c r="D3067" s="16" t="n">
        <v>46080</v>
      </c>
      <c r="E3067" s="19" t="n">
        <v>4.28</v>
      </c>
      <c r="G3067" s="16" t="n">
        <v>46080</v>
      </c>
      <c r="H3067" s="19" t="n">
        <v>2.78</v>
      </c>
      <c r="J3067" s="16" t="n">
        <v>46080</v>
      </c>
      <c r="K3067" s="19" t="n">
        <v>143.12</v>
      </c>
    </row>
    <row r="3068">
      <c r="D3068" s="16" t="n">
        <v>46083</v>
      </c>
      <c r="E3068" s="19" t="n">
        <v>4.18</v>
      </c>
      <c r="G3068" s="16" t="n">
        <v>46083</v>
      </c>
      <c r="H3068" s="19" t="n">
        <v>2.77</v>
      </c>
      <c r="J3068" s="16" t="n">
        <v>46083</v>
      </c>
      <c r="K3068" s="19" t="n">
        <v>143.24</v>
      </c>
    </row>
    <row r="3069">
      <c r="D3069" s="16" t="n">
        <v>46084</v>
      </c>
      <c r="E3069" s="19" t="n">
        <v>4.15</v>
      </c>
      <c r="G3069" s="16" t="n">
        <v>46084</v>
      </c>
      <c r="H3069" s="19" t="n">
        <v>2.75</v>
      </c>
      <c r="J3069" s="16" t="n">
        <v>46084</v>
      </c>
      <c r="K3069" s="19" t="n">
        <v>143.16</v>
      </c>
    </row>
    <row r="3070">
      <c r="D3070" s="16" t="n">
        <v>46085</v>
      </c>
      <c r="E3070" s="19" t="n">
        <v>4.15</v>
      </c>
      <c r="G3070" s="16" t="n">
        <v>46085</v>
      </c>
      <c r="H3070" s="19" t="n">
        <v>2.66</v>
      </c>
      <c r="J3070" s="16" t="n">
        <v>46085</v>
      </c>
      <c r="K3070" s="19" t="n">
        <v>142.37</v>
      </c>
    </row>
    <row r="3071">
      <c r="D3071" s="16" t="n">
        <v>46086</v>
      </c>
      <c r="E3071" s="19" t="n">
        <v>4.14</v>
      </c>
      <c r="G3071" s="16" t="n">
        <v>46086</v>
      </c>
      <c r="H3071" s="19" t="n">
        <v>2.66</v>
      </c>
      <c r="J3071" s="16" t="n">
        <v>46086</v>
      </c>
      <c r="K3071" s="19" t="n">
        <v>141.59</v>
      </c>
    </row>
    <row r="3072">
      <c r="D3072" s="16" t="n">
        <v>46087</v>
      </c>
      <c r="E3072" s="19" t="n">
        <v>4.08</v>
      </c>
      <c r="G3072" s="16" t="n">
        <v>46087</v>
      </c>
      <c r="H3072" s="19" t="n">
        <v>2.72</v>
      </c>
      <c r="J3072" s="16" t="n">
        <v>46087</v>
      </c>
      <c r="K3072" s="19" t="n">
        <v>142.18</v>
      </c>
    </row>
    <row r="3073">
      <c r="D3073" s="16" t="n">
        <v>46090</v>
      </c>
      <c r="E3073" s="19" t="n">
        <v>4.11</v>
      </c>
      <c r="G3073" s="16" t="n">
        <v>46090</v>
      </c>
      <c r="H3073" s="19" t="n">
        <v>2.7</v>
      </c>
      <c r="J3073" s="16" t="n">
        <v>46090</v>
      </c>
      <c r="K3073" s="19" t="n">
        <v>142.3</v>
      </c>
    </row>
    <row r="3074">
      <c r="D3074" s="16" t="n">
        <v>46091</v>
      </c>
      <c r="E3074" s="19" t="n">
        <v>4.17</v>
      </c>
      <c r="G3074" s="16" t="n">
        <v>46091</v>
      </c>
      <c r="H3074" s="19" t="n">
        <v>2.67</v>
      </c>
      <c r="J3074" s="16" t="n">
        <v>46091</v>
      </c>
      <c r="K3074" s="19" t="n">
        <v>141.74</v>
      </c>
    </row>
    <row r="3075">
      <c r="D3075" s="16" t="n">
        <v>46092</v>
      </c>
      <c r="E3075" s="19" t="n">
        <v>4.14</v>
      </c>
      <c r="G3075" s="16" t="n">
        <v>46092</v>
      </c>
      <c r="H3075" s="19" t="n">
        <v>2.58</v>
      </c>
      <c r="J3075" s="16" t="n">
        <v>46092</v>
      </c>
      <c r="K3075" s="19" t="n">
        <v>141.12</v>
      </c>
    </row>
    <row r="3076">
      <c r="D3076" s="16" t="n">
        <v>46093</v>
      </c>
      <c r="E3076" s="19" t="n">
        <v>4.09</v>
      </c>
      <c r="G3076" s="16" t="n">
        <v>46093</v>
      </c>
      <c r="H3076" s="19" t="n">
        <v>2.55</v>
      </c>
      <c r="J3076" s="16" t="n">
        <v>46093</v>
      </c>
      <c r="K3076" s="19" t="n">
        <v>141.27</v>
      </c>
    </row>
    <row r="3077">
      <c r="D3077" s="16" t="n">
        <v>46094</v>
      </c>
      <c r="E3077" s="19" t="n">
        <v>4.1</v>
      </c>
      <c r="G3077" s="16" t="n">
        <v>46094</v>
      </c>
      <c r="H3077" s="19" t="n">
        <v>2.61</v>
      </c>
      <c r="J3077" s="16" t="n">
        <v>46094</v>
      </c>
      <c r="K3077" s="19" t="n">
        <v>139.68</v>
      </c>
    </row>
    <row r="3078">
      <c r="D3078" s="16" t="n">
        <v>46097</v>
      </c>
      <c r="E3078" s="19" t="n">
        <v>4.05</v>
      </c>
      <c r="G3078" s="16" t="n">
        <v>46097</v>
      </c>
      <c r="H3078" s="19" t="n">
        <v>2.59</v>
      </c>
      <c r="J3078" s="16" t="n">
        <v>46097</v>
      </c>
      <c r="K3078" s="19" t="n">
        <v>140.58</v>
      </c>
    </row>
    <row r="3079">
      <c r="D3079" s="16" t="n">
        <v>46098</v>
      </c>
      <c r="E3079" s="19" t="n">
        <v>4.03</v>
      </c>
      <c r="G3079" s="16" t="n">
        <v>46098</v>
      </c>
      <c r="H3079" s="19" t="n">
        <v>2.61</v>
      </c>
      <c r="J3079" s="16" t="n">
        <v>46098</v>
      </c>
      <c r="K3079" s="19" t="n">
        <v>141.78</v>
      </c>
    </row>
    <row r="3080">
      <c r="D3080" s="16" t="n">
        <v>46099</v>
      </c>
      <c r="E3080" s="19" t="n">
        <v>4.06</v>
      </c>
      <c r="G3080" s="16" t="n">
        <v>46099</v>
      </c>
      <c r="H3080" s="19" t="n">
        <v>2.63</v>
      </c>
      <c r="J3080" s="16" t="n">
        <v>46099</v>
      </c>
      <c r="K3080" s="19" t="n">
        <v>141.55</v>
      </c>
    </row>
    <row r="3081">
      <c r="D3081" s="16" t="n">
        <v>46100</v>
      </c>
      <c r="E3081" s="19" t="n">
        <v>4.07</v>
      </c>
      <c r="G3081" s="16" t="n">
        <v>46100</v>
      </c>
      <c r="H3081" s="19" t="n">
        <v>2.59</v>
      </c>
      <c r="J3081" s="16" t="n">
        <v>46100</v>
      </c>
      <c r="K3081" s="19" t="n">
        <v>142.72</v>
      </c>
    </row>
    <row r="3082">
      <c r="D3082" s="16" t="n">
        <v>46101</v>
      </c>
      <c r="E3082" s="19" t="n">
        <v>4.06</v>
      </c>
      <c r="G3082" s="16" t="n">
        <v>46101</v>
      </c>
      <c r="H3082" s="19" t="n">
        <v>2.61</v>
      </c>
      <c r="J3082" s="16" t="n">
        <v>46101</v>
      </c>
      <c r="K3082" s="19" t="n">
        <v>143.74</v>
      </c>
    </row>
    <row r="3083">
      <c r="D3083" s="16" t="n">
        <v>46104</v>
      </c>
      <c r="E3083" s="19" t="n">
        <v>4.11</v>
      </c>
      <c r="G3083" s="16" t="n">
        <v>46104</v>
      </c>
      <c r="H3083" s="19" t="n">
        <v>2.53</v>
      </c>
      <c r="J3083" s="16" t="n">
        <v>46104</v>
      </c>
      <c r="K3083" s="19" t="n">
        <v>142.16</v>
      </c>
    </row>
    <row r="3084">
      <c r="D3084" s="16" t="n">
        <v>46105</v>
      </c>
      <c r="E3084" s="19" t="n">
        <v>4.17</v>
      </c>
      <c r="G3084" s="16" t="n">
        <v>46105</v>
      </c>
      <c r="H3084" s="19" t="n">
        <v>2.56</v>
      </c>
      <c r="J3084" s="16" t="n">
        <v>46105</v>
      </c>
      <c r="K3084" s="19" t="n">
        <v>143.56</v>
      </c>
    </row>
    <row r="3085">
      <c r="D3085" s="16" t="n">
        <v>46106</v>
      </c>
      <c r="E3085" s="19" t="n">
        <v>4.19</v>
      </c>
      <c r="G3085" s="16" t="n">
        <v>46106</v>
      </c>
      <c r="H3085" s="19" t="n">
        <v>2.55</v>
      </c>
      <c r="J3085" s="16" t="n">
        <v>46106</v>
      </c>
      <c r="K3085" s="19" t="n">
        <v>144.98</v>
      </c>
    </row>
    <row r="3086">
      <c r="D3086" s="16" t="n">
        <v>46107</v>
      </c>
      <c r="E3086" s="19" t="n">
        <v>4.18</v>
      </c>
      <c r="G3086" s="16" t="n">
        <v>46107</v>
      </c>
      <c r="H3086" s="19" t="n">
        <v>2.59</v>
      </c>
      <c r="J3086" s="16" t="n">
        <v>46107</v>
      </c>
      <c r="K3086" s="19" t="n">
        <v>145.74</v>
      </c>
    </row>
    <row r="3087">
      <c r="D3087" s="16" t="n">
        <v>46108</v>
      </c>
      <c r="E3087" s="19" t="n">
        <v>4.17</v>
      </c>
      <c r="G3087" s="16" t="n">
        <v>46108</v>
      </c>
      <c r="H3087" s="19" t="n">
        <v>2.52</v>
      </c>
      <c r="J3087" s="16" t="n">
        <v>46108</v>
      </c>
      <c r="K3087" s="19" t="n">
        <v>145.38</v>
      </c>
    </row>
    <row r="3088">
      <c r="D3088" s="16" t="n">
        <v>46111</v>
      </c>
      <c r="E3088" s="19" t="n">
        <v>4.1</v>
      </c>
      <c r="G3088" s="16" t="n">
        <v>46111</v>
      </c>
      <c r="H3088" s="19" t="n">
        <v>2.59</v>
      </c>
      <c r="J3088" s="16" t="n">
        <v>46111</v>
      </c>
      <c r="K3088" s="19" t="n">
        <v>145.41</v>
      </c>
    </row>
    <row r="3089">
      <c r="D3089" s="16" t="n">
        <v>46112</v>
      </c>
      <c r="E3089" s="19" t="n">
        <v>4.04</v>
      </c>
      <c r="G3089" s="16" t="n">
        <v>46112</v>
      </c>
      <c r="H3089" s="19" t="n">
        <v>2.59</v>
      </c>
      <c r="J3089" s="16" t="n">
        <v>46112</v>
      </c>
      <c r="K3089" s="19" t="n">
        <v>143.84</v>
      </c>
    </row>
    <row r="3090">
      <c r="D3090" s="16" t="n">
        <v>46113</v>
      </c>
      <c r="E3090" s="19" t="n">
        <v>4.02</v>
      </c>
      <c r="G3090" s="16" t="n">
        <v>46113</v>
      </c>
      <c r="H3090" s="19" t="n">
        <v>2.63</v>
      </c>
      <c r="J3090" s="16" t="n">
        <v>46113</v>
      </c>
      <c r="K3090" s="19" t="n">
        <v>144</v>
      </c>
    </row>
    <row r="3091">
      <c r="D3091" s="16" t="n">
        <v>46114</v>
      </c>
      <c r="E3091" s="19" t="n">
        <v>4.04</v>
      </c>
      <c r="G3091" s="16" t="n">
        <v>46114</v>
      </c>
      <c r="H3091" s="19" t="n">
        <v>2.65</v>
      </c>
      <c r="J3091" s="16" t="n">
        <v>46114</v>
      </c>
      <c r="K3091" s="19" t="n">
        <v>144.66</v>
      </c>
    </row>
    <row r="3092">
      <c r="D3092" s="16" t="n">
        <v>46115</v>
      </c>
      <c r="E3092" s="19" t="n">
        <v>4.03</v>
      </c>
      <c r="G3092" s="16" t="n">
        <v>46115</v>
      </c>
      <c r="H3092" s="19" t="n">
        <v>2.65</v>
      </c>
      <c r="J3092" s="16" t="n">
        <v>46115</v>
      </c>
      <c r="K3092" s="19" t="n">
        <v>145.3</v>
      </c>
    </row>
    <row r="3093">
      <c r="D3093" s="16" t="n">
        <v>46118</v>
      </c>
      <c r="E3093" s="19" t="n">
        <v>3.99</v>
      </c>
      <c r="G3093" s="16" t="n">
        <v>46118</v>
      </c>
      <c r="H3093" s="19" t="n">
        <v>2.61</v>
      </c>
      <c r="J3093" s="16" t="n">
        <v>46118</v>
      </c>
      <c r="K3093" s="19" t="n">
        <v>145.14</v>
      </c>
    </row>
    <row r="3094">
      <c r="D3094" s="16" t="n">
        <v>46119</v>
      </c>
      <c r="E3094" s="19" t="n">
        <v>3.97</v>
      </c>
      <c r="G3094" s="16" t="n">
        <v>46119</v>
      </c>
      <c r="H3094" s="19" t="n">
        <v>2.59</v>
      </c>
      <c r="J3094" s="16" t="n">
        <v>46119</v>
      </c>
      <c r="K3094" s="19" t="n">
        <v>145.07</v>
      </c>
    </row>
    <row r="3095">
      <c r="D3095" s="16" t="n">
        <v>46120</v>
      </c>
      <c r="E3095" s="19" t="n">
        <v>3.96</v>
      </c>
      <c r="G3095" s="16" t="n">
        <v>46120</v>
      </c>
      <c r="H3095" s="19" t="n">
        <v>2.66</v>
      </c>
      <c r="J3095" s="16" t="n">
        <v>46120</v>
      </c>
      <c r="K3095" s="19" t="n">
        <v>145.7</v>
      </c>
    </row>
    <row r="3096">
      <c r="D3096" s="16" t="n">
        <v>46121</v>
      </c>
      <c r="E3096" s="19" t="n">
        <v>3.9</v>
      </c>
      <c r="G3096" s="16" t="n">
        <v>46121</v>
      </c>
      <c r="H3096" s="19" t="n">
        <v>2.68</v>
      </c>
      <c r="J3096" s="16" t="n">
        <v>46121</v>
      </c>
      <c r="K3096" s="19" t="n">
        <v>145.83</v>
      </c>
    </row>
    <row r="3097">
      <c r="D3097" s="16" t="n">
        <v>46122</v>
      </c>
      <c r="E3097" s="19" t="n">
        <v>3.91</v>
      </c>
      <c r="G3097" s="16" t="n">
        <v>46122</v>
      </c>
      <c r="H3097" s="19" t="n">
        <v>2.73</v>
      </c>
      <c r="J3097" s="16" t="n">
        <v>46122</v>
      </c>
      <c r="K3097" s="19" t="n">
        <v>145.58</v>
      </c>
    </row>
    <row r="3098">
      <c r="D3098" s="16" t="n">
        <v>46125</v>
      </c>
      <c r="E3098" s="19" t="n">
        <v>3.93</v>
      </c>
      <c r="G3098" s="16" t="n">
        <v>46125</v>
      </c>
      <c r="H3098" s="19" t="n">
        <v>2.75</v>
      </c>
      <c r="J3098" s="16" t="n">
        <v>46125</v>
      </c>
      <c r="K3098" s="19" t="n">
        <v>144.54</v>
      </c>
    </row>
    <row r="3099">
      <c r="D3099" s="16" t="n">
        <v>46126</v>
      </c>
      <c r="E3099" s="19" t="n">
        <v>3.97</v>
      </c>
      <c r="G3099" s="16" t="n">
        <v>46126</v>
      </c>
      <c r="H3099" s="19" t="n">
        <v>2.76</v>
      </c>
      <c r="J3099" s="16" t="n">
        <v>46126</v>
      </c>
      <c r="K3099" s="19" t="n">
        <v>144.64</v>
      </c>
    </row>
    <row r="3100">
      <c r="D3100" s="16" t="n">
        <v>46127</v>
      </c>
      <c r="E3100" s="19" t="n">
        <v>4.05</v>
      </c>
      <c r="G3100" s="16" t="n">
        <v>46127</v>
      </c>
      <c r="H3100" s="19" t="n">
        <v>2.74</v>
      </c>
      <c r="J3100" s="16" t="n">
        <v>46127</v>
      </c>
      <c r="K3100" s="19" t="n">
        <v>145.03</v>
      </c>
    </row>
    <row r="3101">
      <c r="D3101" s="16" t="n">
        <v>46128</v>
      </c>
      <c r="E3101" s="19" t="n">
        <v>4.05</v>
      </c>
      <c r="G3101" s="16" t="n">
        <v>46128</v>
      </c>
      <c r="H3101" s="19" t="n">
        <v>2.71</v>
      </c>
      <c r="J3101" s="16" t="n">
        <v>46128</v>
      </c>
      <c r="K3101" s="19" t="n">
        <v>145.17</v>
      </c>
    </row>
    <row r="3102">
      <c r="D3102" s="16" t="n">
        <v>46129</v>
      </c>
      <c r="E3102" s="19" t="n">
        <v>4.11</v>
      </c>
      <c r="G3102" s="16" t="n">
        <v>46129</v>
      </c>
      <c r="H3102" s="19" t="n">
        <v>2.67</v>
      </c>
      <c r="J3102" s="16" t="n">
        <v>46129</v>
      </c>
      <c r="K3102" s="19" t="n">
        <v>145.16</v>
      </c>
    </row>
    <row r="3103">
      <c r="D3103" s="16" t="n">
        <v>46132</v>
      </c>
      <c r="E3103" s="19" t="n">
        <v>4.19</v>
      </c>
      <c r="G3103" s="16" t="n">
        <v>46132</v>
      </c>
      <c r="H3103" s="19" t="n">
        <v>2.73</v>
      </c>
      <c r="J3103" s="16" t="n">
        <v>46132</v>
      </c>
      <c r="K3103" s="19" t="n">
        <v>144.25</v>
      </c>
    </row>
    <row r="3104">
      <c r="D3104" s="16" t="n">
        <v>46133</v>
      </c>
      <c r="E3104" s="19" t="n">
        <v>4.16</v>
      </c>
      <c r="G3104" s="16" t="n">
        <v>46133</v>
      </c>
      <c r="H3104" s="19" t="n">
        <v>2.72</v>
      </c>
      <c r="J3104" s="16" t="n">
        <v>46133</v>
      </c>
      <c r="K3104" s="19" t="n">
        <v>144.74</v>
      </c>
    </row>
    <row r="3105">
      <c r="D3105" s="16" t="n">
        <v>46134</v>
      </c>
      <c r="E3105" s="19" t="n">
        <v>4.08</v>
      </c>
      <c r="G3105" s="16" t="n">
        <v>46134</v>
      </c>
      <c r="H3105" s="19" t="n">
        <v>2.75</v>
      </c>
      <c r="J3105" s="16" t="n">
        <v>46134</v>
      </c>
      <c r="K3105" s="19" t="n">
        <v>144.9</v>
      </c>
    </row>
    <row r="3106">
      <c r="D3106" s="16" t="n">
        <v>46135</v>
      </c>
      <c r="E3106" s="19" t="n">
        <v>4.07</v>
      </c>
      <c r="G3106" s="16" t="n">
        <v>46135</v>
      </c>
      <c r="H3106" s="19" t="n">
        <v>2.72</v>
      </c>
      <c r="J3106" s="16" t="n">
        <v>46135</v>
      </c>
      <c r="K3106" s="19" t="n">
        <v>144.94</v>
      </c>
    </row>
    <row r="3107">
      <c r="D3107" s="16" t="n">
        <v>46136</v>
      </c>
      <c r="E3107" s="19" t="n">
        <v>4.12</v>
      </c>
      <c r="G3107" s="16" t="n">
        <v>46136</v>
      </c>
      <c r="H3107" s="19" t="n">
        <v>2.69</v>
      </c>
      <c r="J3107" s="16" t="n">
        <v>46136</v>
      </c>
      <c r="K3107" s="19" t="n">
        <v>146.18</v>
      </c>
    </row>
    <row r="3108">
      <c r="D3108" s="16" t="n">
        <v>46139</v>
      </c>
      <c r="E3108" s="19" t="n">
        <v>4.05</v>
      </c>
      <c r="G3108" s="16" t="n">
        <v>46139</v>
      </c>
      <c r="H3108" s="19" t="n">
        <v>2.67</v>
      </c>
      <c r="J3108" s="16" t="n">
        <v>46139</v>
      </c>
      <c r="K3108" s="19" t="n">
        <v>146.93</v>
      </c>
    </row>
    <row r="3109">
      <c r="D3109" s="16" t="n">
        <v>46140</v>
      </c>
      <c r="E3109" s="19" t="n">
        <v>4.07</v>
      </c>
      <c r="G3109" s="16" t="n">
        <v>46140</v>
      </c>
      <c r="H3109" s="19" t="n">
        <v>2.69</v>
      </c>
      <c r="J3109" s="16" t="n">
        <v>46140</v>
      </c>
      <c r="K3109" s="19" t="n">
        <v>145.79</v>
      </c>
    </row>
    <row r="3110">
      <c r="D3110" s="16" t="n">
        <v>46141</v>
      </c>
      <c r="E3110" s="19" t="n">
        <v>4.04</v>
      </c>
      <c r="G3110" s="16" t="n">
        <v>46141</v>
      </c>
      <c r="H3110" s="19" t="n">
        <v>2.69</v>
      </c>
      <c r="J3110" s="16" t="n">
        <v>46141</v>
      </c>
      <c r="K3110" s="19" t="n">
        <v>146.6</v>
      </c>
    </row>
    <row r="3111">
      <c r="D3111" s="16" t="n">
        <v>46142</v>
      </c>
      <c r="E3111" s="19" t="n">
        <v>4.07</v>
      </c>
      <c r="G3111" s="16" t="n">
        <v>46142</v>
      </c>
      <c r="H3111" s="19" t="n">
        <v>2.7</v>
      </c>
      <c r="J3111" s="16" t="n">
        <v>46142</v>
      </c>
      <c r="K3111" s="19" t="n">
        <v>147.16</v>
      </c>
    </row>
    <row r="3112">
      <c r="D3112" s="16" t="n">
        <v>46143</v>
      </c>
      <c r="E3112" s="19" t="n">
        <v>4.05</v>
      </c>
      <c r="G3112" s="16" t="n">
        <v>46143</v>
      </c>
      <c r="H3112" s="19" t="n">
        <v>2.76</v>
      </c>
      <c r="J3112" s="16" t="n">
        <v>46143</v>
      </c>
      <c r="K3112" s="19" t="n">
        <v>146.06</v>
      </c>
    </row>
    <row r="3113">
      <c r="D3113" s="16" t="n">
        <v>46146</v>
      </c>
      <c r="E3113" s="19" t="n">
        <v>4.16</v>
      </c>
      <c r="G3113" s="16" t="n">
        <v>46146</v>
      </c>
      <c r="H3113" s="19" t="n">
        <v>2.86</v>
      </c>
      <c r="J3113" s="16" t="n">
        <v>46146</v>
      </c>
      <c r="K3113" s="19" t="n">
        <v>146.49</v>
      </c>
    </row>
    <row r="3114">
      <c r="D3114" s="16" t="n">
        <v>46147</v>
      </c>
      <c r="E3114" s="19" t="n">
        <v>4.25</v>
      </c>
      <c r="G3114" s="16" t="n">
        <v>46147</v>
      </c>
      <c r="H3114" s="19" t="n">
        <v>2.92</v>
      </c>
      <c r="J3114" s="16" t="n">
        <v>46147</v>
      </c>
      <c r="K3114" s="19" t="n">
        <v>143.95</v>
      </c>
    </row>
    <row r="3115">
      <c r="D3115" s="16" t="n">
        <v>46148</v>
      </c>
      <c r="E3115" s="19" t="n">
        <v>4.26</v>
      </c>
      <c r="G3115" s="16" t="n">
        <v>46148</v>
      </c>
      <c r="H3115" s="19" t="n">
        <v>2.88</v>
      </c>
      <c r="J3115" s="16" t="n">
        <v>46148</v>
      </c>
      <c r="K3115" s="19" t="n">
        <v>144.29</v>
      </c>
    </row>
    <row r="3116">
      <c r="D3116" s="16" t="n">
        <v>46149</v>
      </c>
      <c r="E3116" s="19" t="n">
        <v>4.24</v>
      </c>
      <c r="G3116" s="16" t="n">
        <v>46149</v>
      </c>
      <c r="H3116" s="19" t="n">
        <v>2.88</v>
      </c>
      <c r="J3116" s="16" t="n">
        <v>46149</v>
      </c>
      <c r="K3116" s="19" t="n">
        <v>143.22</v>
      </c>
    </row>
    <row r="3117">
      <c r="D3117" s="16" t="n">
        <v>46150</v>
      </c>
      <c r="E3117" s="19" t="n">
        <v>4.23</v>
      </c>
      <c r="G3117" s="16" t="n">
        <v>46150</v>
      </c>
      <c r="H3117" s="19" t="n">
        <v>2.88</v>
      </c>
      <c r="J3117" s="16" t="n">
        <v>46150</v>
      </c>
      <c r="K3117" s="19" t="n">
        <v>142.85</v>
      </c>
    </row>
    <row r="3118">
      <c r="D3118" s="16" t="n">
        <v>46153</v>
      </c>
      <c r="E3118" s="19" t="n">
        <v>4.3</v>
      </c>
      <c r="G3118" s="16" t="n">
        <v>46153</v>
      </c>
      <c r="H3118" s="19" t="n">
        <v>2.89</v>
      </c>
      <c r="J3118" s="16" t="n">
        <v>46153</v>
      </c>
      <c r="K3118" s="19" t="n">
        <v>142.96</v>
      </c>
    </row>
    <row r="3119">
      <c r="D3119" s="16" t="n">
        <v>46154</v>
      </c>
      <c r="E3119" s="19" t="n">
        <v>4.26</v>
      </c>
      <c r="G3119" s="16" t="n">
        <v>46154</v>
      </c>
      <c r="H3119" s="19" t="n">
        <v>2.87</v>
      </c>
      <c r="J3119" s="16" t="n">
        <v>46154</v>
      </c>
      <c r="K3119" s="19" t="n">
        <v>143.46</v>
      </c>
    </row>
    <row r="3120">
      <c r="D3120" s="16" t="n">
        <v>46155</v>
      </c>
      <c r="E3120" s="19" t="n">
        <v>4.25</v>
      </c>
      <c r="G3120" s="16" t="n">
        <v>46155</v>
      </c>
      <c r="H3120" s="19" t="n">
        <v>2.89</v>
      </c>
      <c r="J3120" s="16" t="n">
        <v>46155</v>
      </c>
      <c r="K3120" s="19" t="n">
        <v>142.65</v>
      </c>
    </row>
    <row r="3121">
      <c r="D3121" s="16" t="n">
        <v>46156</v>
      </c>
      <c r="E3121" s="19" t="n">
        <v>4.32</v>
      </c>
      <c r="G3121" s="16" t="n">
        <v>46156</v>
      </c>
      <c r="H3121" s="19" t="n">
        <v>2.88</v>
      </c>
      <c r="J3121" s="16" t="n">
        <v>46156</v>
      </c>
      <c r="K3121" s="19" t="n">
        <v>142.35</v>
      </c>
    </row>
    <row r="3122">
      <c r="D3122" s="16" t="n">
        <v>46157</v>
      </c>
      <c r="E3122" s="19" t="n">
        <v>4.27</v>
      </c>
      <c r="G3122" s="16" t="n">
        <v>46157</v>
      </c>
      <c r="H3122" s="19" t="n">
        <v>2.88</v>
      </c>
      <c r="J3122" s="16" t="n">
        <v>46157</v>
      </c>
      <c r="K3122" s="19" t="n">
        <v>142.47</v>
      </c>
    </row>
    <row r="3123">
      <c r="D3123" s="16" t="n">
        <v>46160</v>
      </c>
      <c r="E3123" s="19" t="n">
        <v>4.23</v>
      </c>
      <c r="G3123" s="16" t="n">
        <v>46160</v>
      </c>
      <c r="H3123" s="19" t="n">
        <v>2.98</v>
      </c>
      <c r="J3123" s="16" t="n">
        <v>46160</v>
      </c>
      <c r="K3123" s="19" t="n">
        <v>142.95</v>
      </c>
    </row>
    <row r="3124">
      <c r="D3124" s="16" t="n">
        <v>46161</v>
      </c>
      <c r="E3124" s="19" t="n">
        <v>4.26</v>
      </c>
      <c r="G3124" s="16" t="n">
        <v>46161</v>
      </c>
      <c r="H3124" s="19" t="n">
        <v>2.96</v>
      </c>
      <c r="J3124" s="16" t="n">
        <v>46161</v>
      </c>
      <c r="K3124" s="19" t="n">
        <v>144.48</v>
      </c>
    </row>
    <row r="3125">
      <c r="D3125" s="16" t="n">
        <v>46162</v>
      </c>
      <c r="E3125" s="19" t="n">
        <v>4.31</v>
      </c>
      <c r="G3125" s="16" t="n">
        <v>46162</v>
      </c>
      <c r="H3125" s="19" t="n">
        <v>2.91</v>
      </c>
      <c r="J3125" s="16" t="n">
        <v>46162</v>
      </c>
      <c r="K3125" s="19" t="n">
        <v>143.58</v>
      </c>
    </row>
    <row r="3126">
      <c r="D3126" s="16" t="n">
        <v>46163</v>
      </c>
      <c r="E3126" s="19" t="n">
        <v>4.34</v>
      </c>
      <c r="G3126" s="16" t="n">
        <v>46163</v>
      </c>
      <c r="H3126" s="19" t="n">
        <v>2.91</v>
      </c>
      <c r="J3126" s="16" t="n">
        <v>46163</v>
      </c>
      <c r="K3126" s="19" t="n">
        <v>143.4</v>
      </c>
    </row>
    <row r="3127">
      <c r="D3127" s="16" t="n">
        <v>46164</v>
      </c>
      <c r="E3127" s="19" t="n">
        <v>4.34</v>
      </c>
      <c r="G3127" s="16" t="n">
        <v>46164</v>
      </c>
      <c r="H3127" s="19" t="n">
        <v>2.9</v>
      </c>
      <c r="J3127" s="16" t="n">
        <v>46164</v>
      </c>
      <c r="K3127" s="19" t="n">
        <v>142.3</v>
      </c>
    </row>
    <row r="3128">
      <c r="D3128" s="16" t="n">
        <v>46167</v>
      </c>
      <c r="E3128" s="19" t="n">
        <v>4.33</v>
      </c>
      <c r="G3128" s="16" t="n">
        <v>46167</v>
      </c>
      <c r="H3128" s="19" t="n">
        <v>2.91</v>
      </c>
      <c r="J3128" s="16" t="n">
        <v>46167</v>
      </c>
      <c r="K3128" s="19" t="n">
        <v>142.59</v>
      </c>
    </row>
    <row r="3129">
      <c r="D3129" s="16" t="n">
        <v>46168</v>
      </c>
      <c r="E3129" s="19" t="n">
        <v>4.37</v>
      </c>
      <c r="G3129" s="16" t="n">
        <v>46168</v>
      </c>
      <c r="H3129" s="19" t="n">
        <v>2.89</v>
      </c>
      <c r="J3129" s="16" t="n">
        <v>46168</v>
      </c>
      <c r="K3129" s="19" t="n">
        <v>142.32</v>
      </c>
    </row>
    <row r="3130">
      <c r="D3130" s="16" t="n">
        <v>46169</v>
      </c>
      <c r="E3130" s="19" t="n">
        <v>4.47</v>
      </c>
      <c r="G3130" s="16" t="n">
        <v>46169</v>
      </c>
      <c r="H3130" s="19" t="n">
        <v>2.89</v>
      </c>
      <c r="J3130" s="16" t="n">
        <v>46169</v>
      </c>
      <c r="K3130" s="19" t="n">
        <v>143.53</v>
      </c>
    </row>
    <row r="3131">
      <c r="D3131" s="16" t="n">
        <v>46170</v>
      </c>
      <c r="E3131" s="19" t="n">
        <v>4.35</v>
      </c>
      <c r="G3131" s="16" t="n">
        <v>46170</v>
      </c>
      <c r="H3131" s="19" t="n">
        <v>2.91</v>
      </c>
      <c r="J3131" s="16" t="n">
        <v>46170</v>
      </c>
      <c r="K3131" s="19" t="n">
        <v>143.03</v>
      </c>
    </row>
    <row r="3132">
      <c r="D3132" s="16" t="n">
        <v>46171</v>
      </c>
      <c r="E3132" s="19" t="n">
        <v>4.29</v>
      </c>
      <c r="G3132" s="16" t="n">
        <v>46171</v>
      </c>
      <c r="H3132" s="19" t="n">
        <v>2.92</v>
      </c>
      <c r="J3132" s="16" t="n">
        <v>46171</v>
      </c>
      <c r="K3132" s="19" t="n">
        <v>142.03</v>
      </c>
    </row>
    <row r="3133">
      <c r="D3133" s="16" t="n">
        <v>46174</v>
      </c>
      <c r="E3133" s="19" t="n">
        <v>4.33</v>
      </c>
      <c r="G3133" s="16" t="n">
        <v>46174</v>
      </c>
      <c r="H3133" s="19" t="n">
        <v>2.89</v>
      </c>
      <c r="J3133" s="16" t="n">
        <v>46174</v>
      </c>
      <c r="K3133" s="19" t="n">
        <v>141.38</v>
      </c>
    </row>
    <row r="3134">
      <c r="D3134" s="16" t="n">
        <v>46175</v>
      </c>
      <c r="E3134" s="19" t="n">
        <v>4.34</v>
      </c>
      <c r="G3134" s="16" t="n">
        <v>46175</v>
      </c>
      <c r="H3134" s="19" t="n">
        <v>2.93</v>
      </c>
      <c r="J3134" s="16" t="n">
        <v>46175</v>
      </c>
      <c r="K3134" s="19" t="n">
        <v>141.41</v>
      </c>
    </row>
    <row r="3135">
      <c r="D3135" s="16" t="n">
        <v>46176</v>
      </c>
      <c r="E3135" s="19" t="n">
        <v>4.33</v>
      </c>
      <c r="G3135" s="16" t="n">
        <v>46176</v>
      </c>
      <c r="H3135" s="19" t="n">
        <v>2.95</v>
      </c>
      <c r="J3135" s="16" t="n">
        <v>46176</v>
      </c>
      <c r="K3135" s="19" t="n">
        <v>140.43</v>
      </c>
    </row>
    <row r="3136">
      <c r="D3136" s="16" t="n">
        <v>46177</v>
      </c>
      <c r="E3136" s="19" t="n">
        <v>4.36</v>
      </c>
      <c r="G3136" s="16" t="n">
        <v>46177</v>
      </c>
      <c r="H3136" s="19" t="n">
        <v>2.89</v>
      </c>
      <c r="J3136" s="16" t="n">
        <v>46177</v>
      </c>
      <c r="K3136" s="19" t="n">
        <v>140.54</v>
      </c>
    </row>
    <row r="3137">
      <c r="D3137" s="16" t="n">
        <v>46178</v>
      </c>
      <c r="E3137" s="19" t="n">
        <v>4.4</v>
      </c>
      <c r="G3137" s="16" t="n">
        <v>46178</v>
      </c>
      <c r="H3137" s="19" t="n">
        <v>2.94</v>
      </c>
      <c r="J3137" s="16" t="n">
        <v>46178</v>
      </c>
      <c r="K3137" s="19" t="n">
        <v>140.88</v>
      </c>
    </row>
    <row r="3138">
      <c r="D3138" s="16" t="n">
        <v>46181</v>
      </c>
      <c r="E3138" s="19" t="n">
        <v>4.46</v>
      </c>
      <c r="G3138" s="16" t="n">
        <v>46181</v>
      </c>
      <c r="H3138" s="19" t="n">
        <v>2.93</v>
      </c>
      <c r="J3138" s="16" t="n">
        <v>46181</v>
      </c>
      <c r="K3138" s="19" t="n">
        <v>140.94</v>
      </c>
    </row>
    <row r="3139">
      <c r="D3139" s="16" t="n">
        <v>46182</v>
      </c>
      <c r="E3139" s="19" t="n">
        <v>4.58</v>
      </c>
      <c r="G3139" s="16" t="n">
        <v>46182</v>
      </c>
      <c r="H3139" s="19" t="n">
        <v>2.97</v>
      </c>
      <c r="J3139" s="16" t="n">
        <v>46182</v>
      </c>
      <c r="K3139" s="19" t="n">
        <v>141.27</v>
      </c>
    </row>
    <row r="3140">
      <c r="D3140" s="16" t="n">
        <v>46183</v>
      </c>
      <c r="E3140" s="19" t="n">
        <v>4.65</v>
      </c>
      <c r="G3140" s="16" t="n">
        <v>46183</v>
      </c>
      <c r="H3140" s="19" t="n">
        <v>3.01</v>
      </c>
      <c r="J3140" s="16" t="n">
        <v>46183</v>
      </c>
      <c r="K3140" s="19" t="n">
        <v>140.63</v>
      </c>
    </row>
    <row r="3141">
      <c r="D3141" s="16" t="n">
        <v>46184</v>
      </c>
      <c r="E3141" s="19" t="n">
        <v>4.54</v>
      </c>
      <c r="G3141" s="16" t="n">
        <v>46184</v>
      </c>
      <c r="H3141" s="19" t="n">
        <v>3.06</v>
      </c>
      <c r="J3141" s="16" t="n">
        <v>46184</v>
      </c>
      <c r="K3141" s="19" t="n">
        <v>141.14</v>
      </c>
    </row>
    <row r="3142">
      <c r="D3142" s="16" t="n">
        <v>46185</v>
      </c>
      <c r="E3142" s="19" t="n">
        <v>4.53</v>
      </c>
      <c r="G3142" s="16" t="n">
        <v>46185</v>
      </c>
      <c r="H3142" s="19" t="n">
        <v>3.12</v>
      </c>
      <c r="J3142" s="16" t="n">
        <v>46185</v>
      </c>
      <c r="K3142" s="19" t="n">
        <v>139.86</v>
      </c>
    </row>
    <row r="3143">
      <c r="D3143" s="16" t="n">
        <v>46188</v>
      </c>
      <c r="E3143" s="19" t="n">
        <v>4.61</v>
      </c>
      <c r="G3143" s="16" t="n">
        <v>46188</v>
      </c>
      <c r="H3143" s="19" t="n">
        <v>3.13</v>
      </c>
      <c r="J3143" s="16" t="n">
        <v>46188</v>
      </c>
      <c r="K3143" s="19" t="n">
        <v>139.81</v>
      </c>
    </row>
    <row r="3144">
      <c r="D3144" s="16" t="n">
        <v>46189</v>
      </c>
      <c r="E3144" s="19" t="n">
        <v>4.65</v>
      </c>
      <c r="G3144" s="16" t="n">
        <v>46189</v>
      </c>
      <c r="H3144" s="19" t="n">
        <v>3.1</v>
      </c>
      <c r="J3144" s="16" t="n">
        <v>46189</v>
      </c>
      <c r="K3144" s="19" t="n">
        <v>140.87</v>
      </c>
    </row>
    <row r="3145">
      <c r="D3145" s="16" t="n">
        <v>46190</v>
      </c>
      <c r="E3145" s="19" t="n">
        <v>4.64</v>
      </c>
      <c r="G3145" s="16" t="n">
        <v>46190</v>
      </c>
      <c r="H3145" s="19" t="n">
        <v>3.05</v>
      </c>
      <c r="J3145" s="16" t="n">
        <v>46190</v>
      </c>
      <c r="K3145" s="19" t="n">
        <v>140.55</v>
      </c>
    </row>
    <row r="3146">
      <c r="D3146" s="16" t="n">
        <v>46191</v>
      </c>
      <c r="E3146" s="19" t="n">
        <v>4.65</v>
      </c>
      <c r="G3146" s="16" t="n">
        <v>46191</v>
      </c>
      <c r="H3146" s="19" t="n">
        <v>3.02</v>
      </c>
      <c r="J3146" s="16" t="n">
        <v>46191</v>
      </c>
      <c r="K3146" s="19" t="n">
        <v>140.1</v>
      </c>
    </row>
    <row r="3147">
      <c r="D3147" s="16" t="n">
        <v>46192</v>
      </c>
      <c r="E3147" s="19" t="n">
        <v>4.62</v>
      </c>
      <c r="G3147" s="16" t="n">
        <v>46192</v>
      </c>
      <c r="H3147" s="19" t="n">
        <v>3.04</v>
      </c>
      <c r="J3147" s="16" t="n">
        <v>46192</v>
      </c>
      <c r="K3147" s="19" t="n">
        <v>139.96</v>
      </c>
    </row>
    <row r="3148">
      <c r="D3148" s="16" t="n">
        <v>46195</v>
      </c>
      <c r="E3148" s="19" t="n">
        <v>4.62</v>
      </c>
      <c r="G3148" s="16" t="n">
        <v>46195</v>
      </c>
      <c r="H3148" s="19" t="n">
        <v>3.01</v>
      </c>
      <c r="J3148" s="16" t="n">
        <v>46195</v>
      </c>
      <c r="K3148" s="19" t="n">
        <v>139.63</v>
      </c>
    </row>
    <row r="3149">
      <c r="D3149" s="16" t="n">
        <v>46196</v>
      </c>
      <c r="E3149" s="19" t="n">
        <v>4.64</v>
      </c>
      <c r="G3149" s="16" t="n">
        <v>46196</v>
      </c>
      <c r="H3149" s="19" t="n">
        <v>3.04</v>
      </c>
      <c r="J3149" s="16" t="n">
        <v>46196</v>
      </c>
      <c r="K3149" s="19" t="n">
        <v>138.8</v>
      </c>
    </row>
    <row r="3150">
      <c r="D3150" s="16" t="n">
        <v>46197</v>
      </c>
      <c r="E3150" s="19" t="n">
        <v>4.64</v>
      </c>
      <c r="G3150" s="16" t="n">
        <v>46197</v>
      </c>
      <c r="H3150" s="19" t="n">
        <v>3.05</v>
      </c>
      <c r="J3150" s="16" t="n">
        <v>46197</v>
      </c>
      <c r="K3150" s="19" t="n">
        <v>138.45</v>
      </c>
    </row>
    <row r="3151">
      <c r="D3151" s="16" t="n">
        <v>46198</v>
      </c>
      <c r="E3151" s="19" t="n">
        <v>4.64</v>
      </c>
      <c r="G3151" s="16" t="n">
        <v>46198</v>
      </c>
      <c r="H3151" s="19" t="n">
        <v>2.99</v>
      </c>
      <c r="J3151" s="16" t="n">
        <v>46198</v>
      </c>
      <c r="K3151" s="19" t="n">
        <v>139.52</v>
      </c>
    </row>
    <row r="3152">
      <c r="D3152" s="16" t="n">
        <v>46199</v>
      </c>
      <c r="E3152" s="19" t="n">
        <v>4.64</v>
      </c>
      <c r="G3152" s="16" t="n">
        <v>46199</v>
      </c>
      <c r="H3152" s="19" t="n">
        <v>3</v>
      </c>
      <c r="J3152" s="16" t="n">
        <v>46199</v>
      </c>
      <c r="K3152" s="19" t="n">
        <v>139.3</v>
      </c>
    </row>
    <row r="3153">
      <c r="D3153" s="16" t="n">
        <v>46202</v>
      </c>
      <c r="E3153" s="19" t="n">
        <v>4.7</v>
      </c>
      <c r="G3153" s="16" t="n">
        <v>46202</v>
      </c>
      <c r="H3153" s="19" t="n">
        <v>3.11</v>
      </c>
      <c r="J3153" s="16" t="n">
        <v>46202</v>
      </c>
      <c r="K3153" s="19" t="n">
        <v>139.19</v>
      </c>
    </row>
    <row r="3154">
      <c r="D3154" s="16" t="n">
        <v>46203</v>
      </c>
      <c r="E3154" s="19" t="n">
        <v>4.71</v>
      </c>
      <c r="G3154" s="16" t="n">
        <v>46203</v>
      </c>
      <c r="H3154" s="19" t="n">
        <v>3.06</v>
      </c>
      <c r="J3154" s="16" t="n">
        <v>46203</v>
      </c>
      <c r="K3154" s="19" t="n">
        <v>139.55</v>
      </c>
    </row>
    <row r="3155">
      <c r="D3155" s="16" t="n">
        <v>46204</v>
      </c>
      <c r="E3155" s="19" t="n">
        <v>4.7</v>
      </c>
      <c r="G3155" s="16" t="n">
        <v>46204</v>
      </c>
      <c r="H3155" s="19" t="n">
        <v>3.14</v>
      </c>
      <c r="J3155" s="16" t="n">
        <v>46204</v>
      </c>
      <c r="K3155" s="19" t="n">
        <v>139.44</v>
      </c>
    </row>
    <row r="3156">
      <c r="D3156" s="16" t="n">
        <v>46205</v>
      </c>
      <c r="E3156" s="19" t="n">
        <v>4.75</v>
      </c>
      <c r="G3156" s="16" t="n">
        <v>46205</v>
      </c>
      <c r="H3156" s="19" t="n">
        <v>3.2</v>
      </c>
      <c r="J3156" s="16" t="n">
        <v>46205</v>
      </c>
      <c r="K3156" s="19" t="n">
        <v>139.34</v>
      </c>
    </row>
    <row r="3157">
      <c r="D3157" s="16" t="n">
        <v>46206</v>
      </c>
      <c r="E3157" s="19" t="n">
        <v>4.74</v>
      </c>
      <c r="G3157" s="16" t="n">
        <v>46206</v>
      </c>
      <c r="H3157" s="19" t="n">
        <v>3.16</v>
      </c>
      <c r="J3157" s="16" t="n">
        <v>46206</v>
      </c>
      <c r="K3157" s="19" t="n">
        <v>139.17</v>
      </c>
    </row>
    <row r="3158">
      <c r="D3158" s="16" t="n">
        <v>46209</v>
      </c>
      <c r="E3158" s="19" t="n">
        <v>4.74</v>
      </c>
      <c r="G3158" s="16" t="n">
        <v>46209</v>
      </c>
      <c r="H3158" s="19" t="n">
        <v>3.13</v>
      </c>
      <c r="J3158" s="16" t="n">
        <v>46209</v>
      </c>
      <c r="K3158" s="19" t="n">
        <v>138.93</v>
      </c>
    </row>
    <row r="3159">
      <c r="D3159" s="16" t="n">
        <v>46210</v>
      </c>
      <c r="E3159" s="19" t="n">
        <v>4.71</v>
      </c>
      <c r="G3159" s="16" t="n">
        <v>46210</v>
      </c>
      <c r="H3159" s="19" t="n">
        <v>3.08</v>
      </c>
      <c r="J3159" s="16" t="n">
        <v>46210</v>
      </c>
      <c r="K3159" s="19" t="n">
        <v>138.65</v>
      </c>
    </row>
    <row r="3160">
      <c r="D3160" s="16" t="n">
        <v>46211</v>
      </c>
      <c r="E3160" s="19" t="n">
        <v>4.66</v>
      </c>
      <c r="G3160" s="16" t="n">
        <v>46211</v>
      </c>
      <c r="H3160" s="19" t="n">
        <v>3.13</v>
      </c>
      <c r="J3160" s="16" t="n">
        <v>46211</v>
      </c>
      <c r="K3160" s="19" t="n">
        <v>138.64</v>
      </c>
    </row>
    <row r="3161">
      <c r="D3161" s="16" t="n">
        <v>46212</v>
      </c>
      <c r="E3161" s="19" t="n">
        <v>4.64</v>
      </c>
      <c r="G3161" s="16" t="n">
        <v>46212</v>
      </c>
      <c r="H3161" s="19" t="n">
        <v>3.12</v>
      </c>
      <c r="J3161" s="16" t="n">
        <v>46212</v>
      </c>
      <c r="K3161" s="19" t="n">
        <v>138.56</v>
      </c>
    </row>
    <row r="3162">
      <c r="D3162" s="16" t="n">
        <v>46213</v>
      </c>
      <c r="E3162" s="19" t="n">
        <v>4.67</v>
      </c>
      <c r="G3162" s="16" t="n">
        <v>46213</v>
      </c>
      <c r="H3162" s="19" t="n">
        <v>3.1</v>
      </c>
      <c r="J3162" s="16" t="n">
        <v>46213</v>
      </c>
      <c r="K3162" s="19" t="n">
        <v>137.88</v>
      </c>
    </row>
    <row r="3163">
      <c r="D3163" s="16" t="n">
        <v>46216</v>
      </c>
      <c r="E3163" s="19" t="n">
        <v>4.64</v>
      </c>
      <c r="G3163" s="16" t="n">
        <v>46216</v>
      </c>
      <c r="H3163" s="19" t="n">
        <v>3.08</v>
      </c>
      <c r="J3163" s="16" t="n">
        <v>46216</v>
      </c>
      <c r="K3163" s="19" t="n">
        <v>138.58</v>
      </c>
    </row>
    <row r="3164">
      <c r="D3164" s="16" t="n">
        <v>46217</v>
      </c>
      <c r="E3164" s="19" t="n">
        <v>4.69</v>
      </c>
      <c r="G3164" s="16" t="n">
        <v>46217</v>
      </c>
      <c r="H3164" s="19" t="n">
        <v>3.06</v>
      </c>
      <c r="J3164" s="16" t="n">
        <v>46217</v>
      </c>
      <c r="K3164" s="19" t="n">
        <v>138.22</v>
      </c>
    </row>
    <row r="3165">
      <c r="D3165" s="16" t="n">
        <v>46218</v>
      </c>
      <c r="E3165" s="19" t="n">
        <v>4.68</v>
      </c>
      <c r="G3165" s="16" t="n">
        <v>46218</v>
      </c>
      <c r="H3165" s="19" t="n">
        <v>2.99</v>
      </c>
      <c r="J3165" s="16" t="n">
        <v>46218</v>
      </c>
      <c r="K3165" s="19" t="n">
        <v>137.15</v>
      </c>
    </row>
    <row r="3166">
      <c r="D3166" s="16" t="n">
        <v>46219</v>
      </c>
      <c r="E3166" s="19" t="n">
        <v>4.71</v>
      </c>
      <c r="G3166" s="16" t="n">
        <v>46219</v>
      </c>
      <c r="H3166" s="19" t="n">
        <v>3.08</v>
      </c>
      <c r="J3166" s="16" t="n">
        <v>46219</v>
      </c>
      <c r="K3166" s="19" t="n">
        <v>136.7</v>
      </c>
    </row>
    <row r="3167">
      <c r="D3167" s="16" t="n">
        <v>46220</v>
      </c>
      <c r="E3167" s="19" t="n">
        <v>4.7</v>
      </c>
      <c r="G3167" s="16" t="n">
        <v>46220</v>
      </c>
      <c r="H3167" s="19" t="n">
        <v>3.12</v>
      </c>
      <c r="J3167" s="16" t="n">
        <v>46220</v>
      </c>
      <c r="K3167" s="19" t="n">
        <v>136.99</v>
      </c>
    </row>
    <row r="3168">
      <c r="D3168" s="16" t="n">
        <v>46223</v>
      </c>
      <c r="E3168" s="19" t="n">
        <v>4.68</v>
      </c>
      <c r="G3168" s="16" t="n">
        <v>46223</v>
      </c>
      <c r="H3168" s="19" t="n">
        <v>3.12</v>
      </c>
      <c r="J3168" s="16" t="n">
        <v>46223</v>
      </c>
      <c r="K3168" s="19" t="n">
        <v>137.81</v>
      </c>
    </row>
    <row r="3169">
      <c r="D3169" s="16" t="n">
        <v>46224</v>
      </c>
      <c r="E3169" s="19" t="n">
        <v>4.66</v>
      </c>
      <c r="G3169" s="16" t="n">
        <v>46224</v>
      </c>
      <c r="H3169" s="19" t="n">
        <v>3.2</v>
      </c>
      <c r="J3169" s="16" t="n">
        <v>46224</v>
      </c>
      <c r="K3169" s="19" t="n">
        <v>137.99</v>
      </c>
    </row>
    <row r="3170">
      <c r="D3170" s="16" t="n">
        <v>46225</v>
      </c>
      <c r="E3170" s="19" t="n">
        <v>4.73</v>
      </c>
      <c r="G3170" s="16" t="n">
        <v>46225</v>
      </c>
      <c r="H3170" s="19" t="n">
        <v>3.2</v>
      </c>
      <c r="J3170" s="16" t="n">
        <v>46225</v>
      </c>
      <c r="K3170" s="19" t="n">
        <v>139.79</v>
      </c>
    </row>
    <row r="3171">
      <c r="D3171" s="16" t="n">
        <v>46226</v>
      </c>
      <c r="E3171" s="19" t="n">
        <v>4.74</v>
      </c>
      <c r="G3171" s="16" t="n">
        <v>46226</v>
      </c>
      <c r="H3171" s="19" t="n">
        <v>3.2</v>
      </c>
      <c r="J3171" s="16" t="n">
        <v>46226</v>
      </c>
      <c r="K3171" s="19" t="n">
        <v>139.47</v>
      </c>
    </row>
    <row r="3172">
      <c r="D3172" s="16" t="n">
        <v>46227</v>
      </c>
      <c r="E3172" s="19" t="n">
        <v>4.77</v>
      </c>
      <c r="G3172" s="16" t="n">
        <v>46227</v>
      </c>
      <c r="H3172" s="19" t="n">
        <v>3.18</v>
      </c>
      <c r="J3172" s="16" t="n">
        <v>46227</v>
      </c>
      <c r="K3172" s="19" t="n">
        <v>138.58</v>
      </c>
    </row>
    <row r="3173">
      <c r="D3173" s="16" t="n">
        <v>46230</v>
      </c>
      <c r="E3173" s="19" t="n">
        <v>4.75</v>
      </c>
      <c r="G3173" s="16" t="n">
        <v>46230</v>
      </c>
      <c r="H3173" s="19" t="n">
        <v>3.2</v>
      </c>
      <c r="J3173" s="16" t="n">
        <v>46230</v>
      </c>
      <c r="K3173" s="19" t="n">
        <v>138.19</v>
      </c>
    </row>
    <row r="3174">
      <c r="D3174" s="16" t="n">
        <v>46231</v>
      </c>
      <c r="E3174" s="19" t="n">
        <v>4.7</v>
      </c>
      <c r="G3174" s="16" t="n">
        <v>46231</v>
      </c>
      <c r="H3174" s="19" t="n">
        <v>3.2</v>
      </c>
      <c r="J3174" s="16" t="n">
        <v>46231</v>
      </c>
      <c r="K3174" s="19" t="n">
        <v>140.08</v>
      </c>
    </row>
    <row r="3175">
      <c r="D3175" s="16" t="n">
        <v>46232</v>
      </c>
      <c r="E3175" s="19" t="n">
        <v>4.7</v>
      </c>
      <c r="G3175" s="16" t="n">
        <v>46232</v>
      </c>
      <c r="H3175" s="19" t="n">
        <v>3.11</v>
      </c>
      <c r="J3175" s="16" t="n">
        <v>46232</v>
      </c>
      <c r="K3175" s="19" t="n">
        <v>140.01</v>
      </c>
    </row>
    <row r="3176">
      <c r="D3176" s="16" t="n">
        <v>46233</v>
      </c>
      <c r="E3176" s="19" t="n">
        <v>4.65</v>
      </c>
      <c r="G3176" s="16" t="n">
        <v>46233</v>
      </c>
      <c r="H3176" s="19" t="n">
        <v>3.2</v>
      </c>
      <c r="J3176" s="16" t="n">
        <v>46233</v>
      </c>
      <c r="K3176" s="19" t="n">
        <v>140.31</v>
      </c>
    </row>
    <row r="3177">
      <c r="D3177" s="16" t="n">
        <v>46234</v>
      </c>
      <c r="E3177" s="19" t="n">
        <v>4.51</v>
      </c>
      <c r="G3177" s="16" t="n">
        <v>46234</v>
      </c>
      <c r="H3177" s="19" t="n">
        <v>3.2</v>
      </c>
      <c r="J3177" s="16" t="n">
        <v>46234</v>
      </c>
      <c r="K3177" s="19" t="n">
        <v>141</v>
      </c>
    </row>
    <row r="3178">
      <c r="D3178" s="16" t="n">
        <v>46237</v>
      </c>
      <c r="E3178" s="19" t="n">
        <v>4.49</v>
      </c>
      <c r="G3178" s="16" t="n">
        <v>46237</v>
      </c>
      <c r="H3178" s="19" t="n">
        <v>3.12</v>
      </c>
      <c r="J3178" s="16" t="n">
        <v>46237</v>
      </c>
      <c r="K3178" s="19" t="n">
        <v>141.22</v>
      </c>
    </row>
    <row r="3179">
      <c r="D3179" s="16" t="n">
        <v>46238</v>
      </c>
      <c r="E3179" s="19" t="n">
        <v>4.45</v>
      </c>
      <c r="G3179" s="16" t="n">
        <v>46238</v>
      </c>
      <c r="H3179" s="19" t="n">
        <v>3.11</v>
      </c>
      <c r="J3179" s="16" t="n">
        <v>46238</v>
      </c>
      <c r="K3179" s="19" t="n">
        <v>140.38</v>
      </c>
    </row>
    <row r="3180">
      <c r="D3180" s="16" t="n">
        <v>46239</v>
      </c>
      <c r="E3180" s="19" t="n">
        <v>4.43</v>
      </c>
      <c r="G3180" s="16" t="n">
        <v>46239</v>
      </c>
      <c r="H3180" s="19" t="n">
        <v>3.08</v>
      </c>
      <c r="J3180" s="16" t="n">
        <v>46239</v>
      </c>
      <c r="K3180" s="19" t="n">
        <v>139.98</v>
      </c>
    </row>
    <row r="3181">
      <c r="D3181" s="16" t="n">
        <v>46240</v>
      </c>
      <c r="E3181" s="19" t="n">
        <v>4.45</v>
      </c>
      <c r="G3181" s="16" t="n">
        <v>46240</v>
      </c>
      <c r="H3181" s="19" t="n">
        <v>3.05</v>
      </c>
      <c r="J3181" s="16" t="n">
        <v>46240</v>
      </c>
      <c r="K3181" s="19" t="n">
        <v>139.28</v>
      </c>
    </row>
    <row r="3182">
      <c r="D3182" s="16" t="n">
        <v>46241</v>
      </c>
      <c r="E3182" s="19" t="n">
        <v>4.45</v>
      </c>
      <c r="G3182" s="16" t="n">
        <v>46241</v>
      </c>
      <c r="H3182" s="19" t="n">
        <v>3.02</v>
      </c>
      <c r="J3182" s="16" t="n">
        <v>46241</v>
      </c>
      <c r="K3182" s="19" t="n">
        <v>139.44</v>
      </c>
    </row>
    <row r="3183">
      <c r="D3183" s="16" t="n">
        <v>46244</v>
      </c>
      <c r="E3183" s="19" t="n">
        <v>4.44</v>
      </c>
      <c r="G3183" s="16" t="n">
        <v>46244</v>
      </c>
      <c r="H3183" s="19" t="n">
        <v>3.05</v>
      </c>
      <c r="J3183" s="16" t="n">
        <v>46244</v>
      </c>
      <c r="K3183" s="19" t="n">
        <v>138.5</v>
      </c>
    </row>
    <row r="3184">
      <c r="D3184" s="16" t="n">
        <v>46245</v>
      </c>
      <c r="E3184" s="19" t="n">
        <v>4.39</v>
      </c>
      <c r="G3184" s="16" t="n">
        <v>46245</v>
      </c>
      <c r="H3184" s="19" t="n">
        <v>3.05</v>
      </c>
      <c r="J3184" s="16" t="n">
        <v>46245</v>
      </c>
      <c r="K3184" s="19" t="n">
        <v>139.14</v>
      </c>
    </row>
    <row r="3185">
      <c r="D3185" s="16" t="n">
        <v>46246</v>
      </c>
      <c r="E3185" s="19" t="n">
        <v>4.47</v>
      </c>
      <c r="G3185" s="16" t="n">
        <v>46246</v>
      </c>
      <c r="H3185" s="19" t="n">
        <v>3.1</v>
      </c>
      <c r="J3185" s="16" t="n">
        <v>46246</v>
      </c>
      <c r="K3185" s="19" t="n">
        <v>138.23</v>
      </c>
    </row>
    <row r="3186">
      <c r="D3186" s="16" t="n">
        <v>46247</v>
      </c>
      <c r="E3186" s="19" t="n">
        <v>4.5</v>
      </c>
      <c r="G3186" s="16" t="n">
        <v>46247</v>
      </c>
      <c r="H3186" s="19" t="n">
        <v>3.05</v>
      </c>
      <c r="J3186" s="16" t="n">
        <v>46247</v>
      </c>
      <c r="K3186" s="19" t="n">
        <v>137.71</v>
      </c>
    </row>
    <row r="3187">
      <c r="D3187" s="16" t="n">
        <v>46248</v>
      </c>
      <c r="E3187" s="19" t="n">
        <v>4.51</v>
      </c>
      <c r="G3187" s="16" t="n">
        <v>46248</v>
      </c>
      <c r="H3187" s="19" t="n">
        <v>2.99</v>
      </c>
      <c r="J3187" s="16" t="n">
        <v>46248</v>
      </c>
      <c r="K3187" s="19" t="n">
        <v>137.65</v>
      </c>
    </row>
    <row r="3188">
      <c r="D3188" s="16" t="n">
        <v>46251</v>
      </c>
      <c r="E3188" s="19" t="n">
        <v>4.54</v>
      </c>
      <c r="G3188" s="16" t="n">
        <v>46251</v>
      </c>
      <c r="H3188" s="19" t="n">
        <v>3.02</v>
      </c>
      <c r="J3188" s="16" t="n">
        <v>46251</v>
      </c>
      <c r="K3188" s="19" t="n">
        <v>137.47</v>
      </c>
    </row>
    <row r="3189">
      <c r="D3189" s="16" t="n">
        <v>46252</v>
      </c>
      <c r="E3189" s="19" t="n">
        <v>4.54</v>
      </c>
      <c r="G3189" s="16" t="n">
        <v>46252</v>
      </c>
      <c r="H3189" s="19" t="n">
        <v>3.02</v>
      </c>
      <c r="J3189" s="16" t="n">
        <v>46252</v>
      </c>
      <c r="K3189" s="19" t="n">
        <v>137.73</v>
      </c>
    </row>
    <row r="3190">
      <c r="D3190" s="16" t="n">
        <v>46253</v>
      </c>
      <c r="E3190" s="19" t="n">
        <v>4.51</v>
      </c>
      <c r="G3190" s="16" t="n">
        <v>46253</v>
      </c>
      <c r="H3190" s="19" t="n">
        <v>3.03</v>
      </c>
      <c r="J3190" s="16" t="n">
        <v>46253</v>
      </c>
      <c r="K3190" s="19" t="n">
        <v>138.35</v>
      </c>
    </row>
    <row r="3191">
      <c r="D3191" s="16" t="n">
        <v>46254</v>
      </c>
      <c r="E3191" s="19" t="n">
        <v>4.47</v>
      </c>
      <c r="G3191" s="16" t="n">
        <v>46254</v>
      </c>
      <c r="H3191" s="19" t="n">
        <v>3.04</v>
      </c>
      <c r="J3191" s="16" t="n">
        <v>46254</v>
      </c>
      <c r="K3191" s="19" t="n">
        <v>137.21</v>
      </c>
    </row>
    <row r="3192">
      <c r="D3192" s="16" t="n">
        <v>46255</v>
      </c>
      <c r="E3192" s="19" t="n">
        <v>4.41</v>
      </c>
      <c r="G3192" s="16" t="n">
        <v>46255</v>
      </c>
      <c r="H3192" s="19" t="n">
        <v>3.06</v>
      </c>
      <c r="J3192" s="16" t="n">
        <v>46255</v>
      </c>
      <c r="K3192" s="19" t="n">
        <v>137.56</v>
      </c>
    </row>
    <row r="3193">
      <c r="D3193" s="16" t="n">
        <v>46258</v>
      </c>
      <c r="E3193" s="19" t="n">
        <v>4.43</v>
      </c>
      <c r="G3193" s="16" t="n">
        <v>46258</v>
      </c>
      <c r="H3193" s="19" t="n">
        <v>3.09</v>
      </c>
      <c r="J3193" s="16" t="n">
        <v>46258</v>
      </c>
      <c r="K3193" s="19" t="n">
        <v>138.21</v>
      </c>
    </row>
    <row r="3194">
      <c r="D3194" s="16" t="n">
        <v>46259</v>
      </c>
      <c r="E3194" s="19" t="n">
        <v>4.43</v>
      </c>
      <c r="G3194" s="16" t="n">
        <v>46259</v>
      </c>
      <c r="H3194" s="19" t="n">
        <v>3.06</v>
      </c>
      <c r="J3194" s="16" t="n">
        <v>46259</v>
      </c>
      <c r="K3194" s="19" t="n">
        <v>139.1</v>
      </c>
    </row>
    <row r="3195">
      <c r="D3195" s="16" t="n">
        <v>46260</v>
      </c>
      <c r="E3195" s="19" t="n">
        <v>4.34</v>
      </c>
      <c r="G3195" s="16" t="n">
        <v>46260</v>
      </c>
      <c r="H3195" s="19" t="n">
        <v>3.02</v>
      </c>
      <c r="J3195" s="16" t="n">
        <v>46260</v>
      </c>
      <c r="K3195" s="19" t="n">
        <v>138.68</v>
      </c>
    </row>
    <row r="3196">
      <c r="D3196" s="16" t="n">
        <v>46261</v>
      </c>
      <c r="E3196" s="19" t="n">
        <v>4.39</v>
      </c>
      <c r="G3196" s="16" t="n">
        <v>46261</v>
      </c>
      <c r="H3196" s="19" t="n">
        <v>3.03</v>
      </c>
      <c r="J3196" s="16" t="n">
        <v>46261</v>
      </c>
      <c r="K3196" s="19" t="n">
        <v>138.74</v>
      </c>
    </row>
    <row r="3197">
      <c r="D3197" s="16" t="n">
        <v>46262</v>
      </c>
      <c r="E3197" s="19" t="n">
        <v>4.38</v>
      </c>
      <c r="G3197" s="16" t="n">
        <v>46262</v>
      </c>
      <c r="H3197" s="19" t="n">
        <v>2.96</v>
      </c>
      <c r="J3197" s="16" t="n">
        <v>46262</v>
      </c>
      <c r="K3197" s="19" t="n">
        <v>139.52</v>
      </c>
    </row>
    <row r="3198">
      <c r="D3198" s="16" t="n">
        <v>46265</v>
      </c>
      <c r="E3198" s="19" t="n">
        <v>4.31</v>
      </c>
      <c r="G3198" s="16" t="n">
        <v>46265</v>
      </c>
      <c r="H3198" s="19" t="n">
        <v>2.92</v>
      </c>
      <c r="J3198" s="16" t="n">
        <v>46265</v>
      </c>
      <c r="K3198" s="19" t="n">
        <v>140.6</v>
      </c>
    </row>
    <row r="3199">
      <c r="D3199" s="16" t="n">
        <v>46266</v>
      </c>
      <c r="E3199" s="19" t="n">
        <v>4.3</v>
      </c>
      <c r="G3199" s="16" t="n">
        <v>46266</v>
      </c>
      <c r="H3199" s="19" t="n">
        <v>2.96</v>
      </c>
      <c r="J3199" s="16" t="n">
        <v>46266</v>
      </c>
      <c r="K3199" s="19" t="n">
        <v>140.53</v>
      </c>
    </row>
    <row r="3200">
      <c r="D3200" s="16" t="n">
        <v>46267</v>
      </c>
      <c r="E3200" s="19" t="n">
        <v>4.26</v>
      </c>
      <c r="G3200" s="16" t="n">
        <v>46267</v>
      </c>
      <c r="H3200" s="19" t="n">
        <v>2.93</v>
      </c>
      <c r="J3200" s="16" t="n">
        <v>46267</v>
      </c>
      <c r="K3200" s="19" t="n">
        <v>138.8</v>
      </c>
    </row>
    <row r="3201">
      <c r="D3201" s="16" t="n">
        <v>46268</v>
      </c>
      <c r="E3201" s="19" t="n">
        <v>4.28</v>
      </c>
      <c r="G3201" s="16" t="n">
        <v>46268</v>
      </c>
      <c r="H3201" s="19" t="n">
        <v>2.87</v>
      </c>
      <c r="J3201" s="16" t="n">
        <v>46268</v>
      </c>
      <c r="K3201" s="19" t="n">
        <v>138.58</v>
      </c>
    </row>
    <row r="3202">
      <c r="D3202" s="16" t="n">
        <v>46269</v>
      </c>
      <c r="E3202" s="19" t="n">
        <v>4.26</v>
      </c>
      <c r="G3202" s="16" t="n">
        <v>46269</v>
      </c>
      <c r="H3202" s="19" t="n">
        <v>2.9</v>
      </c>
      <c r="J3202" s="16" t="n">
        <v>46269</v>
      </c>
      <c r="K3202" s="19" t="n">
        <v>137.82</v>
      </c>
    </row>
    <row r="3203">
      <c r="D3203" s="16" t="n">
        <v>46272</v>
      </c>
      <c r="E3203" s="19" t="n">
        <v>4.22</v>
      </c>
      <c r="G3203" s="16" t="n">
        <v>46272</v>
      </c>
      <c r="H3203" s="19" t="n">
        <v>2.93</v>
      </c>
      <c r="J3203" s="16" t="n">
        <v>46272</v>
      </c>
      <c r="K3203" s="19" t="n">
        <v>137.73</v>
      </c>
    </row>
    <row r="3204">
      <c r="D3204" s="16" t="n">
        <v>46273</v>
      </c>
      <c r="E3204" s="19" t="n">
        <v>4.24</v>
      </c>
      <c r="G3204" s="16" t="n">
        <v>46273</v>
      </c>
      <c r="H3204" s="19" t="n">
        <v>2.95</v>
      </c>
      <c r="J3204" s="16" t="n">
        <v>46273</v>
      </c>
      <c r="K3204" s="19" t="n">
        <v>137.32</v>
      </c>
    </row>
    <row r="3205">
      <c r="D3205" s="16" t="n">
        <v>46274</v>
      </c>
      <c r="E3205" s="19" t="n">
        <v>4.18</v>
      </c>
      <c r="G3205" s="16" t="n">
        <v>46274</v>
      </c>
      <c r="H3205" s="19" t="n">
        <v>2.96</v>
      </c>
      <c r="J3205" s="16" t="n">
        <v>46274</v>
      </c>
      <c r="K3205" s="19" t="n">
        <v>136.27</v>
      </c>
    </row>
    <row r="3206">
      <c r="D3206" s="16" t="n">
        <v>46275</v>
      </c>
      <c r="E3206" s="19" t="n">
        <v>4.23</v>
      </c>
      <c r="G3206" s="16" t="n">
        <v>46275</v>
      </c>
      <c r="H3206" s="19" t="n">
        <v>2.96</v>
      </c>
      <c r="J3206" s="16" t="n">
        <v>46275</v>
      </c>
      <c r="K3206" s="19" t="n">
        <v>136.49</v>
      </c>
    </row>
    <row r="3207">
      <c r="D3207" s="16" t="n">
        <v>46276</v>
      </c>
      <c r="E3207" s="19" t="n">
        <v>4.26</v>
      </c>
      <c r="G3207" s="16" t="n">
        <v>46276</v>
      </c>
      <c r="H3207" s="19" t="n">
        <v>2.98</v>
      </c>
      <c r="J3207" s="16" t="n">
        <v>46276</v>
      </c>
      <c r="K3207" s="19" t="n">
        <v>136.31</v>
      </c>
    </row>
    <row r="3208">
      <c r="D3208" s="16" t="n">
        <v>46279</v>
      </c>
      <c r="E3208" s="19" t="n">
        <v>4.24</v>
      </c>
      <c r="G3208" s="16" t="n">
        <v>46279</v>
      </c>
      <c r="H3208" s="19" t="n">
        <v>3.07</v>
      </c>
      <c r="J3208" s="16" t="n">
        <v>46279</v>
      </c>
      <c r="K3208" s="19" t="n">
        <v>136.99</v>
      </c>
    </row>
    <row r="3209">
      <c r="D3209" s="16" t="n">
        <v>46280</v>
      </c>
      <c r="E3209" s="19" t="n">
        <v>4.28</v>
      </c>
      <c r="G3209" s="16" t="n">
        <v>46280</v>
      </c>
      <c r="H3209" s="19" t="n">
        <v>3.08</v>
      </c>
      <c r="J3209" s="16" t="n">
        <v>46280</v>
      </c>
      <c r="K3209" s="19" t="n">
        <v>137.52</v>
      </c>
    </row>
    <row r="3210">
      <c r="D3210" s="16" t="n">
        <v>46281</v>
      </c>
      <c r="E3210" s="19" t="n">
        <v>4.26</v>
      </c>
      <c r="G3210" s="16" t="n">
        <v>46281</v>
      </c>
      <c r="H3210" s="19" t="n">
        <v>3.14</v>
      </c>
      <c r="J3210" s="16" t="n">
        <v>46281</v>
      </c>
      <c r="K3210" s="19" t="n">
        <v>137.74</v>
      </c>
    </row>
    <row r="3211">
      <c r="D3211" s="16" t="n">
        <v>46282</v>
      </c>
      <c r="E3211" s="19" t="n">
        <v>4.24</v>
      </c>
      <c r="G3211" s="16" t="n">
        <v>46282</v>
      </c>
      <c r="H3211" s="19" t="n">
        <v>3.2</v>
      </c>
      <c r="J3211" s="16" t="n">
        <v>46282</v>
      </c>
      <c r="K3211" s="19" t="n">
        <v>138</v>
      </c>
    </row>
    <row r="3212">
      <c r="D3212" s="16" t="n">
        <v>46283</v>
      </c>
      <c r="E3212" s="19" t="n">
        <v>4.3</v>
      </c>
      <c r="G3212" s="16" t="n">
        <v>46283</v>
      </c>
      <c r="H3212" s="19" t="n">
        <v>3.18</v>
      </c>
      <c r="J3212" s="16" t="n">
        <v>46283</v>
      </c>
      <c r="K3212" s="19" t="n">
        <v>138.32</v>
      </c>
    </row>
    <row r="3213">
      <c r="D3213" s="16" t="n">
        <v>46286</v>
      </c>
      <c r="E3213" s="19" t="n">
        <v>4.29</v>
      </c>
      <c r="G3213" s="16" t="n">
        <v>46286</v>
      </c>
      <c r="H3213" s="19" t="n">
        <v>3.18</v>
      </c>
      <c r="J3213" s="16" t="n">
        <v>46286</v>
      </c>
      <c r="K3213" s="19" t="n">
        <v>139.04</v>
      </c>
    </row>
    <row r="3214">
      <c r="D3214" s="16" t="n">
        <v>46287</v>
      </c>
      <c r="E3214" s="19" t="n">
        <v>4.27</v>
      </c>
      <c r="G3214" s="16" t="n">
        <v>46287</v>
      </c>
      <c r="H3214" s="19" t="n">
        <v>3.11</v>
      </c>
      <c r="J3214" s="16" t="n">
        <v>46287</v>
      </c>
      <c r="K3214" s="19" t="n">
        <v>140.25</v>
      </c>
    </row>
    <row r="3215">
      <c r="D3215" s="16" t="n">
        <v>46288</v>
      </c>
      <c r="E3215" s="19" t="n">
        <v>4.26</v>
      </c>
      <c r="G3215" s="16" t="n">
        <v>46288</v>
      </c>
      <c r="H3215" s="19" t="n">
        <v>3.1</v>
      </c>
      <c r="J3215" s="16" t="n">
        <v>46288</v>
      </c>
      <c r="K3215" s="19" t="n">
        <v>141.03</v>
      </c>
    </row>
    <row r="3216">
      <c r="D3216" s="16" t="n">
        <v>46289</v>
      </c>
      <c r="E3216" s="19" t="n">
        <v>4.34</v>
      </c>
      <c r="G3216" s="16" t="n">
        <v>46289</v>
      </c>
      <c r="H3216" s="19" t="n">
        <v>3.1</v>
      </c>
      <c r="J3216" s="16" t="n">
        <v>46289</v>
      </c>
      <c r="K3216" s="19" t="n">
        <v>142.41</v>
      </c>
    </row>
    <row r="3217">
      <c r="D3217" s="16" t="n">
        <v>46290</v>
      </c>
      <c r="E3217" s="19" t="n">
        <v>4.29</v>
      </c>
      <c r="G3217" s="16" t="n">
        <v>46290</v>
      </c>
      <c r="H3217" s="19" t="n">
        <v>3.05</v>
      </c>
      <c r="J3217" s="16" t="n">
        <v>46290</v>
      </c>
      <c r="K3217" s="19" t="n">
        <v>141.95</v>
      </c>
    </row>
    <row r="3218">
      <c r="D3218" s="16" t="n">
        <v>46293</v>
      </c>
      <c r="E3218" s="19" t="n">
        <v>4.18</v>
      </c>
      <c r="G3218" s="16" t="n">
        <v>46293</v>
      </c>
      <c r="H3218" s="19" t="n">
        <v>3.01</v>
      </c>
      <c r="J3218" s="16" t="n">
        <v>46293</v>
      </c>
      <c r="K3218" s="19" t="n">
        <v>142.42</v>
      </c>
    </row>
    <row r="3219">
      <c r="D3219" s="16" t="n">
        <v>46294</v>
      </c>
      <c r="E3219" s="19" t="n">
        <v>4.14</v>
      </c>
      <c r="G3219" s="16" t="n">
        <v>46294</v>
      </c>
      <c r="H3219" s="19" t="n">
        <v>2.97</v>
      </c>
      <c r="J3219" s="16" t="n">
        <v>46294</v>
      </c>
      <c r="K3219" s="19" t="n">
        <v>142.6</v>
      </c>
    </row>
    <row r="3220">
      <c r="D3220" s="16" t="n">
        <v>46295</v>
      </c>
      <c r="E3220" s="19" t="n">
        <v>4.14</v>
      </c>
      <c r="G3220" s="16" t="n">
        <v>46295</v>
      </c>
      <c r="H3220" s="19" t="n">
        <v>2.98</v>
      </c>
      <c r="J3220" s="16" t="n">
        <v>46295</v>
      </c>
      <c r="K3220" s="19" t="n">
        <v>141.93</v>
      </c>
    </row>
    <row r="3221">
      <c r="D3221" s="16" t="n"/>
      <c r="E3221" s="19" t="n"/>
      <c r="G3221" s="16" t="n"/>
      <c r="H3221" s="19" t="n"/>
      <c r="J3221" s="16" t="n"/>
      <c r="K3221" s="19" t="n"/>
    </row>
    <row r="3222">
      <c r="D3222" s="16" t="n"/>
      <c r="E3222" s="19" t="n"/>
      <c r="G3222" s="16" t="n"/>
      <c r="H3222" s="19" t="n"/>
      <c r="J3222" s="16" t="n"/>
      <c r="K3222" s="19" t="n"/>
    </row>
    <row r="3223">
      <c r="D3223" s="16" t="n"/>
      <c r="E3223" s="19" t="n"/>
      <c r="G3223" s="16" t="n"/>
      <c r="H3223" s="19" t="n"/>
      <c r="J3223" s="16" t="n"/>
      <c r="K3223" s="19" t="n"/>
    </row>
    <row r="3224">
      <c r="D3224" s="16" t="n"/>
      <c r="E3224" s="19" t="n"/>
      <c r="G3224" s="16" t="n"/>
      <c r="H3224" s="19" t="n"/>
      <c r="J3224" s="16" t="n"/>
      <c r="K3224" s="19" t="n"/>
    </row>
    <row r="3225">
      <c r="D3225" s="16" t="n"/>
      <c r="E3225" s="19" t="n"/>
      <c r="G3225" s="16" t="n"/>
      <c r="H3225" s="19" t="n"/>
      <c r="J3225" s="16" t="n"/>
      <c r="K3225" s="19" t="n"/>
    </row>
    <row r="3226">
      <c r="D3226" s="16" t="n"/>
      <c r="E3226" s="19" t="n"/>
      <c r="G3226" s="16" t="n"/>
      <c r="H3226" s="19" t="n"/>
      <c r="J3226" s="16" t="n"/>
      <c r="K3226" s="19" t="n"/>
    </row>
    <row r="3227">
      <c r="D3227" s="16" t="n"/>
      <c r="E3227" s="19" t="n"/>
      <c r="G3227" s="16" t="n"/>
      <c r="H3227" s="19" t="n"/>
      <c r="J3227" s="16" t="n"/>
      <c r="K3227" s="19" t="n"/>
    </row>
    <row r="3228">
      <c r="D3228" s="16" t="n"/>
      <c r="E3228" s="19" t="n"/>
      <c r="G3228" s="16" t="n"/>
      <c r="H3228" s="19" t="n"/>
      <c r="J3228" s="16" t="n"/>
      <c r="K3228" s="19" t="n"/>
    </row>
    <row r="3229">
      <c r="D3229" s="16" t="n"/>
      <c r="E3229" s="19" t="n"/>
      <c r="G3229" s="16" t="n"/>
      <c r="H3229" s="19" t="n"/>
      <c r="J3229" s="16" t="n"/>
      <c r="K3229" s="19" t="n"/>
    </row>
    <row r="3230">
      <c r="D3230" s="16" t="n"/>
      <c r="E3230" s="19" t="n"/>
      <c r="G3230" s="16" t="n"/>
      <c r="H3230" s="19" t="n"/>
      <c r="J3230" s="16" t="n"/>
      <c r="K3230" s="19" t="n"/>
    </row>
    <row r="3231">
      <c r="D3231" s="16" t="n"/>
      <c r="E3231" s="19" t="n"/>
      <c r="G3231" s="16" t="n"/>
      <c r="H3231" s="19" t="n"/>
      <c r="J3231" s="16" t="n"/>
      <c r="K3231" s="19" t="n"/>
    </row>
    <row r="3232">
      <c r="D3232" s="16" t="n"/>
      <c r="E3232" s="19" t="n"/>
      <c r="G3232" s="16" t="n"/>
      <c r="H3232" s="19" t="n"/>
      <c r="J3232" s="16" t="n"/>
      <c r="K3232" s="19" t="n"/>
    </row>
    <row r="3233">
      <c r="D3233" s="16" t="n"/>
      <c r="E3233" s="19" t="n"/>
      <c r="G3233" s="16" t="n"/>
      <c r="H3233" s="19" t="n"/>
      <c r="J3233" s="16" t="n"/>
      <c r="K3233" s="19" t="n"/>
    </row>
    <row r="3234">
      <c r="D3234" s="16" t="n"/>
      <c r="E3234" s="19" t="n"/>
      <c r="G3234" s="16" t="n"/>
      <c r="H3234" s="19" t="n"/>
      <c r="J3234" s="16" t="n"/>
      <c r="K3234" s="19" t="n"/>
    </row>
    <row r="3235">
      <c r="D3235" s="16" t="n"/>
      <c r="E3235" s="19" t="n"/>
      <c r="G3235" s="16" t="n"/>
      <c r="H3235" s="19" t="n"/>
      <c r="J3235" s="16" t="n"/>
      <c r="K3235" s="19" t="n"/>
    </row>
    <row r="3236">
      <c r="D3236" s="16" t="n"/>
      <c r="E3236" s="19" t="n"/>
      <c r="G3236" s="16" t="n"/>
      <c r="H3236" s="19" t="n"/>
      <c r="J3236" s="16" t="n"/>
      <c r="K3236" s="19" t="n"/>
    </row>
    <row r="3237">
      <c r="D3237" s="16" t="n"/>
      <c r="E3237" s="19" t="n"/>
      <c r="G3237" s="16" t="n"/>
      <c r="H3237" s="19" t="n"/>
      <c r="J3237" s="16" t="n"/>
      <c r="K3237" s="19" t="n"/>
    </row>
    <row r="3238">
      <c r="D3238" s="16" t="n"/>
      <c r="E3238" s="19" t="n"/>
      <c r="G3238" s="16" t="n"/>
      <c r="H3238" s="19" t="n"/>
      <c r="J3238" s="16" t="n"/>
      <c r="K3238" s="19" t="n"/>
    </row>
    <row r="3239">
      <c r="D3239" s="16" t="n"/>
      <c r="E3239" s="19" t="n"/>
      <c r="G3239" s="16" t="n"/>
      <c r="H3239" s="19" t="n"/>
      <c r="J3239" s="16" t="n"/>
      <c r="K3239" s="19" t="n"/>
    </row>
    <row r="3240">
      <c r="D3240" s="16" t="n"/>
      <c r="E3240" s="19" t="n"/>
      <c r="G3240" s="16" t="n"/>
      <c r="H3240" s="19" t="n"/>
      <c r="J3240" s="16" t="n"/>
      <c r="K3240" s="19" t="n"/>
    </row>
    <row r="3241">
      <c r="D3241" s="16" t="n"/>
      <c r="E3241" s="19" t="n"/>
      <c r="G3241" s="16" t="n"/>
      <c r="H3241" s="19" t="n"/>
      <c r="J3241" s="16" t="n"/>
      <c r="K3241" s="19" t="n"/>
    </row>
    <row r="3242">
      <c r="D3242" s="16" t="n"/>
      <c r="E3242" s="19" t="n"/>
      <c r="G3242" s="16" t="n"/>
      <c r="H3242" s="19" t="n"/>
      <c r="J3242" s="16" t="n"/>
      <c r="K3242" s="19" t="n"/>
    </row>
    <row r="3243">
      <c r="D3243" s="16" t="n"/>
      <c r="E3243" s="19" t="n"/>
      <c r="G3243" s="16" t="n"/>
      <c r="H3243" s="19" t="n"/>
      <c r="J3243" s="16" t="n"/>
      <c r="K3243" s="19" t="n"/>
    </row>
    <row r="3244">
      <c r="D3244" s="16" t="n"/>
      <c r="E3244" s="19" t="n"/>
      <c r="G3244" s="16" t="n"/>
      <c r="H3244" s="19" t="n"/>
      <c r="J3244" s="16" t="n"/>
      <c r="K3244" s="19" t="n"/>
    </row>
    <row r="3245">
      <c r="D3245" s="16" t="n"/>
      <c r="E3245" s="19" t="n"/>
      <c r="G3245" s="16" t="n"/>
      <c r="H3245" s="19" t="n"/>
      <c r="J3245" s="16" t="n"/>
      <c r="K3245" s="19" t="n"/>
    </row>
    <row r="3246">
      <c r="D3246" s="16" t="n"/>
      <c r="E3246" s="19" t="n"/>
      <c r="G3246" s="16" t="n"/>
      <c r="H3246" s="19" t="n"/>
      <c r="J3246" s="16" t="n"/>
      <c r="K3246" s="19" t="n"/>
    </row>
    <row r="3247">
      <c r="D3247" s="16" t="n"/>
      <c r="E3247" s="19" t="n"/>
      <c r="G3247" s="16" t="n"/>
      <c r="H3247" s="19" t="n"/>
      <c r="J3247" s="16" t="n"/>
      <c r="K3247" s="19" t="n"/>
    </row>
    <row r="3248">
      <c r="D3248" s="16" t="n"/>
      <c r="E3248" s="19" t="n"/>
      <c r="G3248" s="16" t="n"/>
      <c r="H3248" s="19" t="n"/>
      <c r="J3248" s="16" t="n"/>
      <c r="K3248" s="19" t="n"/>
    </row>
    <row r="3249">
      <c r="D3249" s="16" t="n"/>
      <c r="E3249" s="19" t="n"/>
      <c r="G3249" s="16" t="n"/>
      <c r="H3249" s="19" t="n"/>
      <c r="J3249" s="16" t="n"/>
      <c r="K3249" s="19" t="n"/>
    </row>
    <row r="3250">
      <c r="D3250" s="16" t="n"/>
      <c r="E3250" s="19" t="n"/>
      <c r="G3250" s="16" t="n"/>
      <c r="H3250" s="19" t="n"/>
      <c r="J3250" s="16" t="n"/>
      <c r="K3250" s="19" t="n"/>
    </row>
    <row r="3251">
      <c r="D3251" s="16" t="n"/>
      <c r="E3251" s="19" t="n"/>
      <c r="G3251" s="16" t="n"/>
      <c r="H3251" s="19" t="n"/>
      <c r="J3251" s="16" t="n"/>
      <c r="K3251" s="19" t="n"/>
    </row>
    <row r="3252">
      <c r="D3252" s="16" t="n"/>
      <c r="E3252" s="19" t="n"/>
      <c r="G3252" s="16" t="n"/>
      <c r="H3252" s="19" t="n"/>
      <c r="J3252" s="16" t="n"/>
      <c r="K3252" s="19" t="n"/>
    </row>
    <row r="3253">
      <c r="D3253" s="16" t="n"/>
      <c r="E3253" s="19" t="n"/>
      <c r="G3253" s="16" t="n"/>
      <c r="H3253" s="19" t="n"/>
      <c r="J3253" s="16" t="n"/>
      <c r="K3253" s="19" t="n"/>
    </row>
    <row r="3254">
      <c r="D3254" s="16" t="n"/>
      <c r="E3254" s="19" t="n"/>
      <c r="G3254" s="16" t="n"/>
      <c r="H3254" s="19" t="n"/>
      <c r="J3254" s="16" t="n"/>
      <c r="K3254" s="19" t="n"/>
    </row>
    <row r="3255">
      <c r="D3255" s="16" t="n"/>
      <c r="E3255" s="19" t="n"/>
      <c r="G3255" s="16" t="n"/>
      <c r="H3255" s="19" t="n"/>
      <c r="J3255" s="16" t="n"/>
      <c r="K3255" s="19" t="n"/>
    </row>
    <row r="3256">
      <c r="D3256" s="16" t="n"/>
      <c r="E3256" s="19" t="n"/>
      <c r="G3256" s="16" t="n"/>
      <c r="H3256" s="19" t="n"/>
      <c r="J3256" s="16" t="n"/>
      <c r="K3256" s="19" t="n"/>
    </row>
    <row r="3257">
      <c r="D3257" s="16" t="n"/>
      <c r="E3257" s="19" t="n"/>
      <c r="G3257" s="16" t="n"/>
      <c r="H3257" s="19" t="n"/>
      <c r="J3257" s="16" t="n"/>
      <c r="K3257" s="19" t="n"/>
    </row>
    <row r="3258">
      <c r="D3258" s="16" t="n"/>
      <c r="E3258" s="19" t="n"/>
      <c r="G3258" s="16" t="n"/>
      <c r="H3258" s="19" t="n"/>
      <c r="J3258" s="16" t="n"/>
      <c r="K3258" s="19" t="n"/>
    </row>
    <row r="3259">
      <c r="D3259" s="16" t="n"/>
      <c r="E3259" s="19" t="n"/>
      <c r="G3259" s="16" t="n"/>
      <c r="H3259" s="19" t="n"/>
      <c r="J3259" s="16" t="n"/>
      <c r="K3259" s="19" t="n"/>
    </row>
    <row r="3260">
      <c r="D3260" s="16" t="n"/>
      <c r="E3260" s="19" t="n"/>
      <c r="G3260" s="16" t="n"/>
      <c r="H3260" s="19" t="n"/>
      <c r="J3260" s="16" t="n"/>
      <c r="K3260" s="19" t="n"/>
    </row>
    <row r="3261">
      <c r="D3261" s="16" t="n"/>
      <c r="E3261" s="19" t="n"/>
      <c r="G3261" s="16" t="n"/>
      <c r="H3261" s="19" t="n"/>
      <c r="J3261" s="16" t="n"/>
      <c r="K3261" s="19" t="n"/>
    </row>
    <row r="3262">
      <c r="D3262" s="16" t="n"/>
      <c r="E3262" s="19" t="n"/>
      <c r="G3262" s="16" t="n"/>
      <c r="H3262" s="19" t="n"/>
      <c r="J3262" s="16" t="n"/>
      <c r="K3262" s="19" t="n"/>
    </row>
    <row r="3263">
      <c r="D3263" s="16" t="n"/>
      <c r="E3263" s="19" t="n"/>
      <c r="G3263" s="16" t="n"/>
      <c r="H3263" s="19" t="n"/>
      <c r="J3263" s="16" t="n"/>
      <c r="K3263" s="19" t="n"/>
    </row>
    <row r="3264">
      <c r="D3264" s="16" t="n"/>
      <c r="E3264" s="19" t="n"/>
      <c r="G3264" s="16" t="n"/>
      <c r="H3264" s="19" t="n"/>
      <c r="J3264" s="16" t="n"/>
      <c r="K3264" s="19" t="n"/>
    </row>
    <row r="3265">
      <c r="D3265" s="16" t="n"/>
      <c r="E3265" s="19" t="n"/>
      <c r="G3265" s="16" t="n"/>
      <c r="H3265" s="19" t="n"/>
      <c r="J3265" s="16" t="n"/>
      <c r="K3265" s="19" t="n"/>
    </row>
    <row r="3266">
      <c r="D3266" s="16" t="n"/>
      <c r="E3266" s="19" t="n"/>
      <c r="G3266" s="16" t="n"/>
      <c r="H3266" s="19" t="n"/>
      <c r="J3266" s="16" t="n"/>
      <c r="K3266" s="19" t="n"/>
    </row>
    <row r="3267">
      <c r="D3267" s="16" t="n"/>
      <c r="E3267" s="19" t="n"/>
      <c r="G3267" s="16" t="n"/>
      <c r="H3267" s="19" t="n"/>
      <c r="J3267" s="16" t="n"/>
      <c r="K3267" s="19" t="n"/>
    </row>
    <row r="3268">
      <c r="D3268" s="16" t="n"/>
      <c r="E3268" s="19" t="n"/>
      <c r="G3268" s="16" t="n"/>
      <c r="H3268" s="19" t="n"/>
      <c r="J3268" s="16" t="n"/>
      <c r="K3268" s="19" t="n"/>
    </row>
    <row r="3269">
      <c r="D3269" s="16" t="n"/>
      <c r="E3269" s="19" t="n"/>
      <c r="G3269" s="16" t="n"/>
      <c r="H3269" s="19" t="n"/>
      <c r="J3269" s="16" t="n"/>
      <c r="K3269" s="19" t="n"/>
    </row>
    <row r="3270">
      <c r="D3270" s="16" t="n"/>
      <c r="E3270" s="19" t="n"/>
      <c r="G3270" s="16" t="n"/>
      <c r="H3270" s="19" t="n"/>
      <c r="J3270" s="16" t="n"/>
      <c r="K3270" s="19" t="n"/>
    </row>
    <row r="3271">
      <c r="D3271" s="16" t="n"/>
      <c r="E3271" s="19" t="n"/>
      <c r="G3271" s="16" t="n"/>
      <c r="H3271" s="19" t="n"/>
      <c r="J3271" s="16" t="n"/>
      <c r="K3271" s="19" t="n"/>
    </row>
    <row r="3272">
      <c r="D3272" s="16" t="n"/>
      <c r="E3272" s="19" t="n"/>
      <c r="G3272" s="16" t="n"/>
      <c r="H3272" s="19" t="n"/>
      <c r="J3272" s="16" t="n"/>
      <c r="K3272" s="19" t="n"/>
    </row>
    <row r="3273">
      <c r="D3273" s="16" t="n"/>
      <c r="E3273" s="19" t="n"/>
      <c r="G3273" s="16" t="n"/>
      <c r="H3273" s="19" t="n"/>
      <c r="J3273" s="16" t="n"/>
      <c r="K3273" s="19" t="n"/>
    </row>
    <row r="3274">
      <c r="D3274" s="16" t="n"/>
      <c r="E3274" s="19" t="n"/>
      <c r="G3274" s="16" t="n"/>
      <c r="H3274" s="19" t="n"/>
      <c r="J3274" s="16" t="n"/>
      <c r="K3274" s="19" t="n"/>
    </row>
    <row r="3275">
      <c r="D3275" s="16" t="n"/>
      <c r="E3275" s="19" t="n"/>
      <c r="G3275" s="16" t="n"/>
      <c r="H3275" s="19" t="n"/>
      <c r="J3275" s="16" t="n"/>
      <c r="K3275" s="19" t="n"/>
    </row>
    <row r="3276">
      <c r="D3276" s="16" t="n"/>
      <c r="E3276" s="19" t="n"/>
      <c r="G3276" s="16" t="n"/>
      <c r="H3276" s="19" t="n"/>
      <c r="J3276" s="16" t="n"/>
      <c r="K3276" s="19" t="n"/>
    </row>
    <row r="3277">
      <c r="D3277" s="16" t="n"/>
      <c r="E3277" s="19" t="n"/>
      <c r="G3277" s="16" t="n"/>
      <c r="H3277" s="19" t="n"/>
      <c r="J3277" s="16" t="n"/>
      <c r="K3277" s="19" t="n"/>
    </row>
    <row r="3278">
      <c r="D3278" s="16" t="n"/>
      <c r="E3278" s="19" t="n"/>
      <c r="G3278" s="16" t="n"/>
      <c r="H3278" s="19" t="n"/>
      <c r="J3278" s="16" t="n"/>
      <c r="K3278" s="19" t="n"/>
    </row>
    <row r="3279">
      <c r="D3279" s="16" t="n"/>
      <c r="E3279" s="19" t="n"/>
      <c r="G3279" s="16" t="n"/>
      <c r="H3279" s="19" t="n"/>
      <c r="J3279" s="16" t="n"/>
      <c r="K3279" s="19" t="n"/>
    </row>
    <row r="3280">
      <c r="D3280" s="16" t="n"/>
      <c r="E3280" s="19" t="n"/>
      <c r="G3280" s="16" t="n"/>
      <c r="H3280" s="19" t="n"/>
      <c r="J3280" s="16" t="n"/>
      <c r="K3280" s="19" t="n"/>
    </row>
    <row r="3281">
      <c r="D3281" s="16" t="n"/>
      <c r="E3281" s="19" t="n"/>
      <c r="G3281" s="16" t="n"/>
      <c r="H3281" s="19" t="n"/>
      <c r="J3281" s="16" t="n"/>
      <c r="K3281" s="19" t="n"/>
    </row>
    <row r="3282">
      <c r="D3282" s="16" t="n"/>
      <c r="E3282" s="19" t="n"/>
      <c r="G3282" s="16" t="n"/>
      <c r="H3282" s="19" t="n"/>
      <c r="J3282" s="16" t="n"/>
      <c r="K3282" s="19" t="n"/>
    </row>
    <row r="3283">
      <c r="D3283" s="16" t="n"/>
      <c r="E3283" s="19" t="n"/>
      <c r="G3283" s="16" t="n"/>
      <c r="H3283" s="19" t="n"/>
      <c r="J3283" s="16" t="n"/>
      <c r="K3283" s="19" t="n"/>
    </row>
    <row r="3284">
      <c r="D3284" s="16" t="n"/>
      <c r="E3284" s="19" t="n"/>
      <c r="G3284" s="16" t="n"/>
      <c r="H3284" s="19" t="n"/>
      <c r="J3284" s="16" t="n"/>
      <c r="K3284" s="19" t="n"/>
    </row>
    <row r="3285">
      <c r="D3285" s="16" t="n"/>
      <c r="E3285" s="19" t="n"/>
      <c r="G3285" s="16" t="n"/>
      <c r="H3285" s="19" t="n"/>
      <c r="J3285" s="16" t="n"/>
      <c r="K3285" s="19" t="n"/>
    </row>
    <row r="3286">
      <c r="D3286" s="16" t="n"/>
      <c r="E3286" s="19" t="n"/>
      <c r="G3286" s="16" t="n"/>
      <c r="H3286" s="19" t="n"/>
      <c r="J3286" s="16" t="n"/>
      <c r="K3286" s="19" t="n"/>
    </row>
    <row r="3287">
      <c r="D3287" s="16" t="n"/>
      <c r="E3287" s="19" t="n"/>
      <c r="G3287" s="16" t="n"/>
      <c r="H3287" s="19" t="n"/>
      <c r="J3287" s="16" t="n"/>
      <c r="K3287" s="19" t="n"/>
    </row>
    <row r="3288">
      <c r="D3288" s="16" t="n"/>
      <c r="E3288" s="19" t="n"/>
      <c r="G3288" s="16" t="n"/>
      <c r="H3288" s="19" t="n"/>
      <c r="J3288" s="16" t="n"/>
      <c r="K3288" s="19" t="n"/>
    </row>
    <row r="3289">
      <c r="D3289" s="16" t="n"/>
      <c r="E3289" s="19" t="n"/>
      <c r="G3289" s="16" t="n"/>
      <c r="H3289" s="19" t="n"/>
      <c r="J3289" s="16" t="n"/>
      <c r="K3289" s="19" t="n"/>
    </row>
    <row r="3290">
      <c r="D3290" s="16" t="n"/>
      <c r="E3290" s="19" t="n"/>
      <c r="G3290" s="16" t="n"/>
      <c r="H3290" s="19" t="n"/>
      <c r="J3290" s="16" t="n"/>
      <c r="K3290" s="19" t="n"/>
    </row>
    <row r="3291">
      <c r="D3291" s="16" t="n"/>
      <c r="E3291" s="19" t="n"/>
      <c r="G3291" s="16" t="n"/>
      <c r="H3291" s="19" t="n"/>
      <c r="J3291" s="16" t="n"/>
      <c r="K3291" s="19" t="n"/>
    </row>
    <row r="3292">
      <c r="D3292" s="16" t="n"/>
      <c r="E3292" s="19" t="n"/>
      <c r="G3292" s="16" t="n"/>
      <c r="H3292" s="19" t="n"/>
      <c r="J3292" s="16" t="n"/>
      <c r="K3292" s="19" t="n"/>
    </row>
    <row r="3293">
      <c r="D3293" s="16" t="n"/>
      <c r="E3293" s="19" t="n"/>
      <c r="G3293" s="16" t="n"/>
      <c r="H3293" s="19" t="n"/>
      <c r="J3293" s="16" t="n"/>
      <c r="K3293" s="19" t="n"/>
    </row>
    <row r="3294">
      <c r="D3294" s="16" t="n"/>
      <c r="E3294" s="19" t="n"/>
      <c r="G3294" s="16" t="n"/>
      <c r="H3294" s="19" t="n"/>
      <c r="J3294" s="16" t="n"/>
      <c r="K3294" s="19" t="n"/>
    </row>
    <row r="3295">
      <c r="D3295" s="16" t="n"/>
      <c r="E3295" s="19" t="n"/>
      <c r="G3295" s="16" t="n"/>
      <c r="H3295" s="19" t="n"/>
      <c r="J3295" s="16" t="n"/>
      <c r="K3295" s="19" t="n"/>
    </row>
    <row r="3296">
      <c r="D3296" s="16" t="n"/>
      <c r="E3296" s="19" t="n"/>
      <c r="G3296" s="16" t="n"/>
      <c r="H3296" s="19" t="n"/>
      <c r="J3296" s="16" t="n"/>
      <c r="K3296" s="19" t="n"/>
    </row>
    <row r="3297">
      <c r="D3297" s="16" t="n"/>
      <c r="E3297" s="19" t="n"/>
      <c r="G3297" s="16" t="n"/>
      <c r="H3297" s="19" t="n"/>
      <c r="J3297" s="16" t="n"/>
      <c r="K3297" s="19" t="n"/>
    </row>
    <row r="3298">
      <c r="D3298" s="16" t="n"/>
      <c r="E3298" s="19" t="n"/>
      <c r="G3298" s="16" t="n"/>
      <c r="H3298" s="19" t="n"/>
      <c r="J3298" s="16" t="n"/>
      <c r="K3298" s="19" t="n"/>
    </row>
    <row r="3299">
      <c r="D3299" s="16" t="n"/>
      <c r="E3299" s="19" t="n"/>
      <c r="G3299" s="16" t="n"/>
      <c r="H3299" s="19" t="n"/>
      <c r="J3299" s="16" t="n"/>
      <c r="K3299" s="19" t="n"/>
    </row>
    <row r="3300">
      <c r="D3300" s="16" t="n"/>
      <c r="E3300" s="19" t="n"/>
      <c r="G3300" s="16" t="n"/>
      <c r="H3300" s="19" t="n"/>
      <c r="J3300" s="16" t="n"/>
      <c r="K3300" s="19" t="n"/>
    </row>
    <row r="3301">
      <c r="D3301" s="16" t="n"/>
      <c r="E3301" s="19" t="n"/>
      <c r="G3301" s="16" t="n"/>
      <c r="H3301" s="19" t="n"/>
      <c r="J3301" s="16" t="n"/>
      <c r="K3301" s="19" t="n"/>
    </row>
    <row r="3302">
      <c r="D3302" s="16" t="n"/>
      <c r="E3302" s="19" t="n"/>
      <c r="G3302" s="16" t="n"/>
      <c r="H3302" s="19" t="n"/>
      <c r="J3302" s="16" t="n"/>
      <c r="K3302" s="19" t="n"/>
    </row>
    <row r="3303">
      <c r="D3303" s="16" t="n"/>
      <c r="E3303" s="19" t="n"/>
      <c r="G3303" s="16" t="n"/>
      <c r="H3303" s="19" t="n"/>
      <c r="J3303" s="16" t="n"/>
      <c r="K3303" s="19" t="n"/>
    </row>
    <row r="3304">
      <c r="D3304" s="16" t="n"/>
      <c r="E3304" s="19" t="n"/>
      <c r="G3304" s="16" t="n"/>
      <c r="H3304" s="19" t="n"/>
      <c r="J3304" s="16" t="n"/>
      <c r="K3304" s="19" t="n"/>
    </row>
    <row r="3305">
      <c r="D3305" s="16" t="n"/>
      <c r="E3305" s="19" t="n"/>
      <c r="G3305" s="16" t="n"/>
      <c r="H3305" s="19" t="n"/>
      <c r="J3305" s="16" t="n"/>
      <c r="K3305" s="19" t="n"/>
    </row>
    <row r="3306">
      <c r="D3306" s="16" t="n"/>
      <c r="E3306" s="19" t="n"/>
      <c r="G3306" s="16" t="n"/>
      <c r="H3306" s="19" t="n"/>
      <c r="J3306" s="16" t="n"/>
      <c r="K3306" s="19" t="n"/>
    </row>
    <row r="3307">
      <c r="D3307" s="16" t="n"/>
      <c r="E3307" s="19" t="n"/>
      <c r="G3307" s="16" t="n"/>
      <c r="H3307" s="19" t="n"/>
      <c r="J3307" s="16" t="n"/>
      <c r="K3307" s="19" t="n"/>
    </row>
    <row r="3308">
      <c r="D3308" s="16" t="n"/>
      <c r="E3308" s="19" t="n"/>
      <c r="G3308" s="16" t="n"/>
      <c r="H3308" s="19" t="n"/>
      <c r="J3308" s="16" t="n"/>
      <c r="K3308" s="19" t="n"/>
    </row>
    <row r="3309">
      <c r="D3309" s="16" t="n"/>
      <c r="E3309" s="19" t="n"/>
      <c r="G3309" s="16" t="n"/>
      <c r="H3309" s="19" t="n"/>
      <c r="J3309" s="16" t="n"/>
      <c r="K3309" s="19" t="n"/>
    </row>
    <row r="3310">
      <c r="D3310" s="16" t="n"/>
      <c r="E3310" s="19" t="n"/>
      <c r="G3310" s="16" t="n"/>
      <c r="H3310" s="19" t="n"/>
      <c r="J3310" s="16" t="n"/>
      <c r="K3310" s="19" t="n"/>
    </row>
    <row r="3311">
      <c r="D3311" s="16" t="n"/>
      <c r="E3311" s="19" t="n"/>
      <c r="G3311" s="16" t="n"/>
      <c r="H3311" s="19" t="n"/>
      <c r="J3311" s="16" t="n"/>
      <c r="K3311" s="19" t="n"/>
    </row>
    <row r="3312">
      <c r="D3312" s="16" t="n"/>
      <c r="E3312" s="19" t="n"/>
      <c r="G3312" s="16" t="n"/>
      <c r="H3312" s="19" t="n"/>
      <c r="J3312" s="16" t="n"/>
      <c r="K3312" s="19" t="n"/>
    </row>
    <row r="3313">
      <c r="D3313" s="16" t="n"/>
      <c r="E3313" s="19" t="n"/>
      <c r="G3313" s="16" t="n"/>
      <c r="H3313" s="19" t="n"/>
      <c r="J3313" s="16" t="n"/>
      <c r="K3313" s="19" t="n"/>
    </row>
    <row r="3314">
      <c r="D3314" s="16" t="n"/>
      <c r="E3314" s="19" t="n"/>
      <c r="G3314" s="16" t="n"/>
      <c r="H3314" s="19" t="n"/>
      <c r="J3314" s="16" t="n"/>
      <c r="K3314" s="19" t="n"/>
    </row>
    <row r="3315">
      <c r="D3315" s="16" t="n"/>
      <c r="E3315" s="19" t="n"/>
      <c r="G3315" s="16" t="n"/>
      <c r="H3315" s="19" t="n"/>
      <c r="J3315" s="16" t="n"/>
      <c r="K3315" s="19" t="n"/>
    </row>
    <row r="3316">
      <c r="D3316" s="16" t="n"/>
      <c r="E3316" s="19" t="n"/>
      <c r="G3316" s="16" t="n"/>
      <c r="H3316" s="19" t="n"/>
      <c r="J3316" s="16" t="n"/>
      <c r="K3316" s="19" t="n"/>
    </row>
    <row r="3317">
      <c r="D3317" s="16" t="n"/>
      <c r="E3317" s="19" t="n"/>
      <c r="G3317" s="16" t="n"/>
      <c r="H3317" s="19" t="n"/>
      <c r="J3317" s="16" t="n"/>
      <c r="K3317" s="19" t="n"/>
    </row>
    <row r="3318">
      <c r="D3318" s="16" t="n"/>
      <c r="E3318" s="19" t="n"/>
      <c r="G3318" s="16" t="n"/>
      <c r="H3318" s="19" t="n"/>
      <c r="J3318" s="16" t="n"/>
      <c r="K3318" s="19" t="n"/>
    </row>
    <row r="3319">
      <c r="D3319" s="16" t="n"/>
      <c r="E3319" s="19" t="n"/>
      <c r="G3319" s="16" t="n"/>
      <c r="H3319" s="19" t="n"/>
      <c r="J3319" s="16" t="n"/>
      <c r="K3319" s="19" t="n"/>
    </row>
    <row r="3320">
      <c r="D3320" s="16" t="n"/>
      <c r="E3320" s="19" t="n"/>
      <c r="G3320" s="16" t="n"/>
      <c r="H3320" s="19" t="n"/>
      <c r="J3320" s="16" t="n"/>
      <c r="K3320" s="19" t="n"/>
    </row>
    <row r="3321">
      <c r="D3321" s="16" t="n"/>
      <c r="E3321" s="19" t="n"/>
      <c r="G3321" s="16" t="n"/>
      <c r="H3321" s="19" t="n"/>
      <c r="J3321" s="16" t="n"/>
      <c r="K3321" s="19" t="n"/>
    </row>
    <row r="3322">
      <c r="D3322" s="16" t="n"/>
      <c r="E3322" s="19" t="n"/>
      <c r="G3322" s="16" t="n"/>
      <c r="H3322" s="19" t="n"/>
      <c r="J3322" s="16" t="n"/>
      <c r="K3322" s="19" t="n"/>
    </row>
    <row r="3323">
      <c r="D3323" s="16" t="n"/>
      <c r="E3323" s="19" t="n"/>
      <c r="G3323" s="16" t="n"/>
      <c r="H3323" s="19" t="n"/>
      <c r="J3323" s="16" t="n"/>
      <c r="K3323" s="19" t="n"/>
    </row>
    <row r="3324">
      <c r="D3324" s="16" t="n"/>
      <c r="E3324" s="19" t="n"/>
      <c r="G3324" s="16" t="n"/>
      <c r="H3324" s="19" t="n"/>
      <c r="J3324" s="16" t="n"/>
      <c r="K3324" s="19" t="n"/>
    </row>
    <row r="3325">
      <c r="D3325" s="16" t="n"/>
      <c r="E3325" s="19" t="n"/>
      <c r="G3325" s="16" t="n"/>
      <c r="H3325" s="19" t="n"/>
      <c r="J3325" s="16" t="n"/>
      <c r="K3325" s="19" t="n"/>
    </row>
    <row r="3326">
      <c r="D3326" s="16" t="n"/>
      <c r="E3326" s="19" t="n"/>
      <c r="G3326" s="16" t="n"/>
      <c r="H3326" s="19" t="n"/>
      <c r="J3326" s="16" t="n"/>
      <c r="K3326" s="19" t="n"/>
    </row>
    <row r="3327">
      <c r="D3327" s="16" t="n"/>
      <c r="E3327" s="19" t="n"/>
      <c r="G3327" s="16" t="n"/>
      <c r="H3327" s="19" t="n"/>
      <c r="J3327" s="16" t="n"/>
      <c r="K3327" s="19" t="n"/>
    </row>
    <row r="3328">
      <c r="D3328" s="16" t="n"/>
      <c r="E3328" s="19" t="n"/>
      <c r="G3328" s="16" t="n"/>
      <c r="H3328" s="19" t="n"/>
      <c r="J3328" s="16" t="n"/>
      <c r="K3328" s="19" t="n"/>
    </row>
    <row r="3329">
      <c r="D3329" s="16" t="n"/>
      <c r="E3329" s="19" t="n"/>
      <c r="G3329" s="16" t="n"/>
      <c r="H3329" s="19" t="n"/>
      <c r="J3329" s="16" t="n"/>
      <c r="K3329" s="19" t="n"/>
    </row>
    <row r="3330">
      <c r="D3330" s="16" t="n"/>
      <c r="E3330" s="19" t="n"/>
      <c r="G3330" s="16" t="n"/>
      <c r="H3330" s="19" t="n"/>
      <c r="J3330" s="16" t="n"/>
      <c r="K3330" s="19" t="n"/>
    </row>
    <row r="3331">
      <c r="D3331" s="16" t="n"/>
      <c r="E3331" s="19" t="n"/>
      <c r="G3331" s="16" t="n"/>
      <c r="H3331" s="19" t="n"/>
      <c r="J3331" s="16" t="n"/>
      <c r="K3331" s="19" t="n"/>
    </row>
    <row r="3332">
      <c r="D3332" s="16" t="n"/>
      <c r="E3332" s="19" t="n"/>
      <c r="G3332" s="16" t="n"/>
      <c r="H3332" s="19" t="n"/>
      <c r="J3332" s="16" t="n"/>
      <c r="K3332" s="19" t="n"/>
    </row>
    <row r="3333">
      <c r="D3333" s="16" t="n"/>
      <c r="E3333" s="19" t="n"/>
      <c r="G3333" s="16" t="n"/>
      <c r="H3333" s="19" t="n"/>
      <c r="J3333" s="16" t="n"/>
      <c r="K3333" s="19" t="n"/>
    </row>
    <row r="3334">
      <c r="D3334" s="16" t="n"/>
      <c r="E3334" s="19" t="n"/>
      <c r="G3334" s="16" t="n"/>
      <c r="H3334" s="19" t="n"/>
      <c r="J3334" s="16" t="n"/>
      <c r="K3334" s="19" t="n"/>
    </row>
    <row r="3335">
      <c r="D3335" s="16" t="n"/>
      <c r="E3335" s="19" t="n"/>
      <c r="G3335" s="16" t="n"/>
      <c r="H3335" s="19" t="n"/>
      <c r="J3335" s="16" t="n"/>
      <c r="K3335" s="19" t="n"/>
    </row>
    <row r="3336">
      <c r="D3336" s="16" t="n"/>
      <c r="E3336" s="19" t="n"/>
      <c r="G3336" s="16" t="n"/>
      <c r="H3336" s="19" t="n"/>
      <c r="J3336" s="16" t="n"/>
      <c r="K3336" s="19" t="n"/>
    </row>
    <row r="3337">
      <c r="D3337" s="16" t="n"/>
      <c r="E3337" s="19" t="n"/>
      <c r="G3337" s="16" t="n"/>
      <c r="H3337" s="19" t="n"/>
      <c r="J3337" s="16" t="n"/>
      <c r="K3337" s="19" t="n"/>
    </row>
    <row r="3338">
      <c r="D3338" s="16" t="n"/>
      <c r="E3338" s="19" t="n"/>
      <c r="G3338" s="16" t="n"/>
      <c r="H3338" s="19" t="n"/>
      <c r="J3338" s="16" t="n"/>
      <c r="K3338" s="19" t="n"/>
    </row>
    <row r="3339">
      <c r="D3339" s="16" t="n"/>
      <c r="E3339" s="19" t="n"/>
      <c r="G3339" s="16" t="n"/>
      <c r="H3339" s="19" t="n"/>
      <c r="J3339" s="16" t="n"/>
      <c r="K3339" s="19" t="n"/>
    </row>
    <row r="3340">
      <c r="D3340" s="16" t="n"/>
      <c r="E3340" s="19" t="n"/>
      <c r="G3340" s="16" t="n"/>
      <c r="H3340" s="19" t="n"/>
      <c r="J3340" s="16" t="n"/>
      <c r="K3340" s="19" t="n"/>
    </row>
    <row r="3341">
      <c r="D3341" s="16" t="n"/>
      <c r="E3341" s="19" t="n"/>
      <c r="G3341" s="16" t="n"/>
      <c r="H3341" s="19" t="n"/>
      <c r="J3341" s="16" t="n"/>
      <c r="K3341" s="19" t="n"/>
    </row>
    <row r="3342">
      <c r="D3342" s="16" t="n"/>
      <c r="E3342" s="19" t="n"/>
      <c r="G3342" s="16" t="n"/>
      <c r="H3342" s="19" t="n"/>
      <c r="J3342" s="16" t="n"/>
      <c r="K3342" s="19" t="n"/>
    </row>
    <row r="3343">
      <c r="D3343" s="16" t="n"/>
      <c r="E3343" s="19" t="n"/>
      <c r="G3343" s="16" t="n"/>
      <c r="H3343" s="19" t="n"/>
      <c r="J3343" s="16" t="n"/>
      <c r="K3343" s="19" t="n"/>
    </row>
    <row r="3344">
      <c r="D3344" s="16" t="n"/>
      <c r="E3344" s="19" t="n"/>
      <c r="G3344" s="16" t="n"/>
      <c r="H3344" s="19" t="n"/>
      <c r="J3344" s="16" t="n"/>
      <c r="K3344" s="19" t="n"/>
    </row>
    <row r="3345">
      <c r="D3345" s="16" t="n"/>
      <c r="E3345" s="19" t="n"/>
      <c r="G3345" s="16" t="n"/>
      <c r="H3345" s="19" t="n"/>
      <c r="J3345" s="16" t="n"/>
      <c r="K3345" s="19" t="n"/>
    </row>
    <row r="3346">
      <c r="D3346" s="16" t="n"/>
      <c r="E3346" s="19" t="n"/>
      <c r="G3346" s="16" t="n"/>
      <c r="H3346" s="19" t="n"/>
      <c r="J3346" s="16" t="n"/>
      <c r="K3346" s="19" t="n"/>
    </row>
    <row r="3347">
      <c r="D3347" s="16" t="n"/>
      <c r="E3347" s="19" t="n"/>
      <c r="G3347" s="16" t="n"/>
      <c r="H3347" s="19" t="n"/>
      <c r="J3347" s="16" t="n"/>
      <c r="K3347" s="19" t="n"/>
    </row>
    <row r="3348">
      <c r="D3348" s="16" t="n"/>
      <c r="E3348" s="19" t="n"/>
      <c r="G3348" s="16" t="n"/>
      <c r="H3348" s="19" t="n"/>
      <c r="J3348" s="16" t="n"/>
      <c r="K3348" s="19" t="n"/>
    </row>
    <row r="3349">
      <c r="D3349" s="16" t="n"/>
      <c r="E3349" s="19" t="n"/>
      <c r="G3349" s="16" t="n"/>
      <c r="H3349" s="19" t="n"/>
      <c r="J3349" s="16" t="n"/>
      <c r="K3349" s="19" t="n"/>
    </row>
    <row r="3350">
      <c r="D3350" s="16" t="n"/>
      <c r="E3350" s="19" t="n"/>
      <c r="G3350" s="16" t="n"/>
      <c r="H3350" s="19" t="n"/>
      <c r="J3350" s="16" t="n"/>
      <c r="K3350" s="19" t="n"/>
    </row>
    <row r="3351">
      <c r="D3351" s="16" t="n"/>
      <c r="E3351" s="19" t="n"/>
      <c r="G3351" s="16" t="n"/>
      <c r="H3351" s="19" t="n"/>
      <c r="J3351" s="16" t="n"/>
      <c r="K3351" s="19" t="n"/>
    </row>
    <row r="3352">
      <c r="D3352" s="16" t="n"/>
      <c r="E3352" s="19" t="n"/>
      <c r="G3352" s="16" t="n"/>
      <c r="H3352" s="19" t="n"/>
      <c r="J3352" s="16" t="n"/>
      <c r="K3352" s="19" t="n"/>
    </row>
    <row r="3353">
      <c r="D3353" s="16" t="n"/>
      <c r="E3353" s="19" t="n"/>
      <c r="G3353" s="16" t="n"/>
      <c r="H3353" s="19" t="n"/>
      <c r="J3353" s="16" t="n"/>
      <c r="K3353" s="19" t="n"/>
    </row>
    <row r="3354">
      <c r="D3354" s="16" t="n"/>
      <c r="E3354" s="19" t="n"/>
      <c r="G3354" s="16" t="n"/>
      <c r="H3354" s="19" t="n"/>
      <c r="J3354" s="16" t="n"/>
      <c r="K3354" s="19" t="n"/>
    </row>
    <row r="3355">
      <c r="D3355" s="16" t="n"/>
      <c r="E3355" s="19" t="n"/>
      <c r="G3355" s="16" t="n"/>
      <c r="H3355" s="19" t="n"/>
      <c r="J3355" s="16" t="n"/>
      <c r="K3355" s="19" t="n"/>
    </row>
    <row r="3356">
      <c r="D3356" s="16" t="n"/>
      <c r="E3356" s="19" t="n"/>
      <c r="G3356" s="16" t="n"/>
      <c r="H3356" s="19" t="n"/>
      <c r="J3356" s="16" t="n"/>
      <c r="K3356" s="19" t="n"/>
    </row>
    <row r="3357">
      <c r="D3357" s="16" t="n"/>
      <c r="E3357" s="19" t="n"/>
      <c r="G3357" s="16" t="n"/>
      <c r="H3357" s="19" t="n"/>
      <c r="J3357" s="16" t="n"/>
      <c r="K3357" s="19" t="n"/>
    </row>
    <row r="3358">
      <c r="D3358" s="16" t="n"/>
      <c r="E3358" s="19" t="n"/>
      <c r="G3358" s="16" t="n"/>
      <c r="H3358" s="19" t="n"/>
      <c r="J3358" s="16" t="n"/>
      <c r="K3358" s="19" t="n"/>
    </row>
    <row r="3359">
      <c r="D3359" s="16" t="n"/>
      <c r="E3359" s="19" t="n"/>
      <c r="G3359" s="16" t="n"/>
      <c r="H3359" s="19" t="n"/>
      <c r="J3359" s="16" t="n"/>
      <c r="K3359" s="19" t="n"/>
    </row>
    <row r="3360">
      <c r="D3360" s="16" t="n"/>
      <c r="E3360" s="19" t="n"/>
      <c r="G3360" s="16" t="n"/>
      <c r="H3360" s="19" t="n"/>
      <c r="J3360" s="16" t="n"/>
      <c r="K3360" s="19" t="n"/>
    </row>
    <row r="3361">
      <c r="D3361" s="16" t="n"/>
      <c r="E3361" s="19" t="n"/>
      <c r="G3361" s="16" t="n"/>
      <c r="H3361" s="19" t="n"/>
      <c r="J3361" s="16" t="n"/>
      <c r="K3361" s="19" t="n"/>
    </row>
    <row r="3362">
      <c r="D3362" s="16" t="n"/>
      <c r="E3362" s="19" t="n"/>
      <c r="G3362" s="16" t="n"/>
      <c r="H3362" s="19" t="n"/>
      <c r="J3362" s="16" t="n"/>
      <c r="K3362" s="19" t="n"/>
    </row>
    <row r="3363">
      <c r="D3363" s="16" t="n"/>
      <c r="E3363" s="19" t="n"/>
      <c r="G3363" s="16" t="n"/>
      <c r="H3363" s="19" t="n"/>
      <c r="J3363" s="16" t="n"/>
      <c r="K3363" s="19" t="n"/>
    </row>
    <row r="3364">
      <c r="D3364" s="16" t="n"/>
      <c r="E3364" s="19" t="n"/>
      <c r="G3364" s="16" t="n"/>
      <c r="H3364" s="19" t="n"/>
      <c r="J3364" s="16" t="n"/>
      <c r="K3364" s="19" t="n"/>
    </row>
    <row r="3365">
      <c r="D3365" s="16" t="n"/>
      <c r="E3365" s="19" t="n"/>
      <c r="G3365" s="16" t="n"/>
      <c r="H3365" s="19" t="n"/>
      <c r="J3365" s="16" t="n"/>
      <c r="K3365" s="19" t="n"/>
    </row>
    <row r="3366">
      <c r="D3366" s="16" t="n"/>
      <c r="E3366" s="19" t="n"/>
      <c r="G3366" s="16" t="n"/>
      <c r="H3366" s="19" t="n"/>
      <c r="J3366" s="16" t="n"/>
      <c r="K3366" s="19" t="n"/>
    </row>
    <row r="3367">
      <c r="D3367" s="16" t="n"/>
      <c r="E3367" s="19" t="n"/>
      <c r="G3367" s="16" t="n"/>
      <c r="H3367" s="19" t="n"/>
      <c r="J3367" s="16" t="n"/>
      <c r="K3367" s="19" t="n"/>
    </row>
    <row r="3368">
      <c r="D3368" s="16" t="n"/>
      <c r="E3368" s="19" t="n"/>
      <c r="G3368" s="16" t="n"/>
      <c r="H3368" s="19" t="n"/>
      <c r="J3368" s="16" t="n"/>
      <c r="K3368" s="19" t="n"/>
    </row>
    <row r="3369">
      <c r="D3369" s="16" t="n"/>
      <c r="E3369" s="19" t="n"/>
      <c r="G3369" s="16" t="n"/>
      <c r="H3369" s="19" t="n"/>
      <c r="J3369" s="16" t="n"/>
      <c r="K3369" s="19" t="n"/>
    </row>
    <row r="3370">
      <c r="D3370" s="16" t="n"/>
      <c r="E3370" s="19" t="n"/>
      <c r="G3370" s="16" t="n"/>
      <c r="H3370" s="19" t="n"/>
      <c r="J3370" s="16" t="n"/>
      <c r="K3370" s="19" t="n"/>
    </row>
    <row r="3371">
      <c r="D3371" s="16" t="n"/>
      <c r="E3371" s="19" t="n"/>
      <c r="G3371" s="16" t="n"/>
      <c r="H3371" s="19" t="n"/>
      <c r="J3371" s="16" t="n"/>
      <c r="K3371" s="19" t="n"/>
    </row>
    <row r="3372">
      <c r="D3372" s="16" t="n"/>
      <c r="E3372" s="19" t="n"/>
      <c r="G3372" s="16" t="n"/>
      <c r="H3372" s="19" t="n"/>
      <c r="J3372" s="16" t="n"/>
      <c r="K3372" s="19" t="n"/>
    </row>
    <row r="3373">
      <c r="D3373" s="16" t="n"/>
      <c r="E3373" s="19" t="n"/>
      <c r="G3373" s="16" t="n"/>
      <c r="H3373" s="19" t="n"/>
      <c r="J3373" s="16" t="n"/>
      <c r="K3373" s="19" t="n"/>
    </row>
    <row r="3374">
      <c r="D3374" s="16" t="n"/>
      <c r="E3374" s="19" t="n"/>
      <c r="G3374" s="16" t="n"/>
      <c r="H3374" s="19" t="n"/>
      <c r="J3374" s="16" t="n"/>
      <c r="K3374" s="19" t="n"/>
    </row>
    <row r="3375">
      <c r="D3375" s="16" t="n"/>
      <c r="E3375" s="19" t="n"/>
      <c r="G3375" s="16" t="n"/>
      <c r="H3375" s="19" t="n"/>
      <c r="J3375" s="16" t="n"/>
      <c r="K3375" s="19" t="n"/>
    </row>
    <row r="3376">
      <c r="D3376" s="16" t="n"/>
      <c r="E3376" s="19" t="n"/>
      <c r="G3376" s="16" t="n"/>
      <c r="H3376" s="19" t="n"/>
      <c r="J3376" s="16" t="n"/>
      <c r="K3376" s="19" t="n"/>
    </row>
    <row r="3377">
      <c r="D3377" s="16" t="n"/>
      <c r="E3377" s="19" t="n"/>
      <c r="G3377" s="16" t="n"/>
      <c r="H3377" s="19" t="n"/>
      <c r="J3377" s="16" t="n"/>
      <c r="K3377" s="19" t="n"/>
    </row>
    <row r="3378">
      <c r="D3378" s="16" t="n"/>
      <c r="E3378" s="19" t="n"/>
      <c r="G3378" s="16" t="n"/>
      <c r="H3378" s="19" t="n"/>
      <c r="J3378" s="16" t="n"/>
      <c r="K3378" s="19" t="n"/>
    </row>
    <row r="3379">
      <c r="D3379" s="16" t="n"/>
      <c r="E3379" s="19" t="n"/>
      <c r="G3379" s="16" t="n"/>
      <c r="H3379" s="19" t="n"/>
      <c r="J3379" s="16" t="n"/>
      <c r="K3379" s="19" t="n"/>
    </row>
    <row r="3380">
      <c r="D3380" s="16" t="n"/>
      <c r="E3380" s="19" t="n"/>
      <c r="G3380" s="16" t="n"/>
      <c r="H3380" s="19" t="n"/>
      <c r="J3380" s="16" t="n"/>
      <c r="K3380" s="19" t="n"/>
    </row>
    <row r="3381">
      <c r="D3381" s="16" t="n"/>
      <c r="E3381" s="19" t="n"/>
      <c r="G3381" s="16" t="n"/>
      <c r="H3381" s="19" t="n"/>
      <c r="J3381" s="16" t="n"/>
      <c r="K3381" s="19" t="n"/>
    </row>
    <row r="3382">
      <c r="D3382" s="16" t="n"/>
      <c r="E3382" s="19" t="n"/>
      <c r="G3382" s="16" t="n"/>
      <c r="H3382" s="19" t="n"/>
      <c r="J3382" s="16" t="n"/>
      <c r="K3382" s="19" t="n"/>
    </row>
    <row r="3383">
      <c r="D3383" s="16" t="n"/>
      <c r="E3383" s="19" t="n"/>
      <c r="G3383" s="16" t="n"/>
      <c r="H3383" s="19" t="n"/>
      <c r="J3383" s="16" t="n"/>
      <c r="K3383" s="19" t="n"/>
    </row>
    <row r="3384">
      <c r="D3384" s="16" t="n"/>
      <c r="E3384" s="19" t="n"/>
      <c r="G3384" s="16" t="n"/>
      <c r="H3384" s="19" t="n"/>
      <c r="J3384" s="16" t="n"/>
      <c r="K3384" s="19" t="n"/>
    </row>
    <row r="3385">
      <c r="D3385" s="16" t="n"/>
      <c r="E3385" s="19" t="n"/>
      <c r="G3385" s="16" t="n"/>
      <c r="H3385" s="19" t="n"/>
      <c r="J3385" s="16" t="n"/>
      <c r="K3385" s="19" t="n"/>
    </row>
    <row r="3386">
      <c r="D3386" s="16" t="n"/>
      <c r="E3386" s="19" t="n"/>
      <c r="G3386" s="16" t="n"/>
      <c r="H3386" s="19" t="n"/>
      <c r="J3386" s="16" t="n"/>
      <c r="K3386" s="19" t="n"/>
    </row>
    <row r="3387">
      <c r="D3387" s="16" t="n"/>
      <c r="E3387" s="19" t="n"/>
      <c r="G3387" s="16" t="n"/>
      <c r="H3387" s="19" t="n"/>
      <c r="J3387" s="16" t="n"/>
      <c r="K3387" s="19" t="n"/>
    </row>
    <row r="3388">
      <c r="D3388" s="16" t="n"/>
      <c r="E3388" s="19" t="n"/>
      <c r="G3388" s="16" t="n"/>
      <c r="H3388" s="19" t="n"/>
      <c r="J3388" s="16" t="n"/>
      <c r="K3388" s="19" t="n"/>
    </row>
    <row r="3389">
      <c r="D3389" s="16" t="n"/>
      <c r="E3389" s="19" t="n"/>
      <c r="G3389" s="16" t="n"/>
      <c r="H3389" s="19" t="n"/>
      <c r="J3389" s="16" t="n"/>
      <c r="K3389" s="19" t="n"/>
    </row>
    <row r="3390">
      <c r="D3390" s="16" t="n"/>
      <c r="E3390" s="19" t="n"/>
      <c r="G3390" s="16" t="n"/>
      <c r="H3390" s="19" t="n"/>
      <c r="J3390" s="16" t="n"/>
      <c r="K3390" s="19" t="n"/>
    </row>
    <row r="3391">
      <c r="D3391" s="16" t="n"/>
      <c r="E3391" s="19" t="n"/>
      <c r="G3391" s="16" t="n"/>
      <c r="H3391" s="19" t="n"/>
      <c r="J3391" s="16" t="n"/>
      <c r="K3391" s="19" t="n"/>
    </row>
    <row r="3392">
      <c r="D3392" s="16" t="n"/>
      <c r="E3392" s="19" t="n"/>
      <c r="G3392" s="16" t="n"/>
      <c r="H3392" s="19" t="n"/>
      <c r="J3392" s="16" t="n"/>
      <c r="K3392" s="19" t="n"/>
    </row>
    <row r="3393">
      <c r="D3393" s="16" t="n"/>
      <c r="E3393" s="19" t="n"/>
      <c r="G3393" s="16" t="n"/>
      <c r="H3393" s="19" t="n"/>
      <c r="J3393" s="16" t="n"/>
      <c r="K3393" s="19" t="n"/>
    </row>
    <row r="3394">
      <c r="D3394" s="16" t="n"/>
      <c r="E3394" s="19" t="n"/>
      <c r="G3394" s="16" t="n"/>
      <c r="H3394" s="19" t="n"/>
      <c r="J3394" s="16" t="n"/>
      <c r="K3394" s="19" t="n"/>
    </row>
    <row r="3395">
      <c r="D3395" s="16" t="n"/>
      <c r="E3395" s="19" t="n"/>
      <c r="G3395" s="16" t="n"/>
      <c r="H3395" s="19" t="n"/>
      <c r="J3395" s="16" t="n"/>
      <c r="K3395" s="19" t="n"/>
    </row>
    <row r="3396">
      <c r="D3396" s="16" t="n"/>
      <c r="E3396" s="19" t="n"/>
      <c r="G3396" s="16" t="n"/>
      <c r="H3396" s="19" t="n"/>
      <c r="J3396" s="16" t="n"/>
      <c r="K3396" s="19" t="n"/>
    </row>
    <row r="3397">
      <c r="D3397" s="16" t="n"/>
      <c r="E3397" s="19" t="n"/>
      <c r="G3397" s="16" t="n"/>
      <c r="H3397" s="19" t="n"/>
      <c r="J3397" s="16" t="n"/>
      <c r="K3397" s="19" t="n"/>
    </row>
    <row r="3398">
      <c r="D3398" s="16" t="n"/>
      <c r="E3398" s="19" t="n"/>
      <c r="G3398" s="16" t="n"/>
      <c r="H3398" s="19" t="n"/>
      <c r="J3398" s="16" t="n"/>
      <c r="K3398" s="19" t="n"/>
    </row>
    <row r="3399">
      <c r="D3399" s="16" t="n"/>
      <c r="E3399" s="19" t="n"/>
      <c r="G3399" s="16" t="n"/>
      <c r="H3399" s="19" t="n"/>
      <c r="J3399" s="16" t="n"/>
      <c r="K3399" s="19" t="n"/>
    </row>
    <row r="3400">
      <c r="D3400" s="16" t="n"/>
      <c r="E3400" s="19" t="n"/>
      <c r="G3400" s="16" t="n"/>
      <c r="H3400" s="19" t="n"/>
      <c r="J3400" s="16" t="n"/>
      <c r="K3400" s="19" t="n"/>
    </row>
    <row r="3401">
      <c r="D3401" s="16" t="n"/>
      <c r="E3401" s="19" t="n"/>
      <c r="G3401" s="16" t="n"/>
      <c r="H3401" s="19" t="n"/>
      <c r="J3401" s="16" t="n"/>
      <c r="K3401" s="19" t="n"/>
    </row>
    <row r="3402">
      <c r="D3402" s="16" t="n"/>
      <c r="E3402" s="19" t="n"/>
      <c r="G3402" s="16" t="n"/>
      <c r="H3402" s="19" t="n"/>
      <c r="J3402" s="16" t="n"/>
      <c r="K3402" s="19" t="n"/>
    </row>
    <row r="3403">
      <c r="D3403" s="16" t="n"/>
      <c r="E3403" s="19" t="n"/>
      <c r="G3403" s="16" t="n"/>
      <c r="H3403" s="19" t="n"/>
      <c r="J3403" s="16" t="n"/>
      <c r="K3403" s="19" t="n"/>
    </row>
    <row r="3404">
      <c r="D3404" s="16" t="n"/>
      <c r="E3404" s="19" t="n"/>
      <c r="G3404" s="16" t="n"/>
      <c r="H3404" s="19" t="n"/>
      <c r="J3404" s="16" t="n"/>
      <c r="K3404" s="19" t="n"/>
    </row>
    <row r="3405">
      <c r="D3405" s="16" t="n"/>
      <c r="E3405" s="19" t="n"/>
      <c r="G3405" s="16" t="n"/>
      <c r="H3405" s="19" t="n"/>
      <c r="J3405" s="16" t="n"/>
      <c r="K3405" s="19" t="n"/>
    </row>
    <row r="3406">
      <c r="D3406" s="16" t="n"/>
      <c r="E3406" s="19" t="n"/>
      <c r="G3406" s="16" t="n"/>
      <c r="H3406" s="19" t="n"/>
      <c r="J3406" s="16" t="n"/>
      <c r="K3406" s="19" t="n"/>
    </row>
    <row r="3407">
      <c r="D3407" s="16" t="n"/>
      <c r="E3407" s="19" t="n"/>
      <c r="G3407" s="16" t="n"/>
      <c r="H3407" s="19" t="n"/>
      <c r="J3407" s="16" t="n"/>
      <c r="K3407" s="19" t="n"/>
    </row>
    <row r="3408">
      <c r="D3408" s="16" t="n"/>
      <c r="E3408" s="19" t="n"/>
      <c r="G3408" s="16" t="n"/>
      <c r="H3408" s="19" t="n"/>
      <c r="J3408" s="16" t="n"/>
      <c r="K3408" s="19" t="n"/>
    </row>
    <row r="3409">
      <c r="D3409" s="16" t="n"/>
      <c r="E3409" s="19" t="n"/>
      <c r="G3409" s="16" t="n"/>
      <c r="H3409" s="19" t="n"/>
      <c r="J3409" s="16" t="n"/>
      <c r="K3409" s="19" t="n"/>
    </row>
    <row r="3410">
      <c r="D3410" s="16" t="n"/>
      <c r="E3410" s="19" t="n"/>
      <c r="G3410" s="16" t="n"/>
      <c r="H3410" s="19" t="n"/>
      <c r="J3410" s="16" t="n"/>
      <c r="K3410" s="19" t="n"/>
    </row>
    <row r="3411">
      <c r="D3411" s="16" t="n"/>
      <c r="E3411" s="19" t="n"/>
      <c r="G3411" s="16" t="n"/>
      <c r="H3411" s="19" t="n"/>
      <c r="J3411" s="16" t="n"/>
      <c r="K3411" s="19" t="n"/>
    </row>
    <row r="3412">
      <c r="D3412" s="16" t="n"/>
      <c r="E3412" s="19" t="n"/>
      <c r="G3412" s="16" t="n"/>
      <c r="H3412" s="19" t="n"/>
      <c r="J3412" s="16" t="n"/>
      <c r="K3412" s="19" t="n"/>
    </row>
    <row r="3413">
      <c r="D3413" s="16" t="n"/>
      <c r="E3413" s="19" t="n"/>
      <c r="G3413" s="16" t="n"/>
      <c r="H3413" s="19" t="n"/>
      <c r="J3413" s="16" t="n"/>
      <c r="K3413" s="19" t="n"/>
    </row>
    <row r="3414">
      <c r="D3414" s="16" t="n"/>
      <c r="E3414" s="19" t="n"/>
      <c r="G3414" s="16" t="n"/>
      <c r="H3414" s="19" t="n"/>
      <c r="J3414" s="16" t="n"/>
      <c r="K3414" s="19" t="n"/>
    </row>
    <row r="3415">
      <c r="D3415" s="16" t="n"/>
      <c r="E3415" s="19" t="n"/>
      <c r="G3415" s="16" t="n"/>
      <c r="H3415" s="19" t="n"/>
      <c r="J3415" s="16" t="n"/>
      <c r="K3415" s="19" t="n"/>
    </row>
    <row r="3416">
      <c r="D3416" s="16" t="n"/>
      <c r="E3416" s="19" t="n"/>
      <c r="G3416" s="16" t="n"/>
      <c r="H3416" s="19" t="n"/>
      <c r="J3416" s="16" t="n"/>
      <c r="K3416" s="19" t="n"/>
    </row>
    <row r="3417">
      <c r="D3417" s="16" t="n"/>
      <c r="E3417" s="19" t="n"/>
      <c r="G3417" s="16" t="n"/>
      <c r="H3417" s="19" t="n"/>
      <c r="J3417" s="16" t="n"/>
      <c r="K3417" s="19" t="n"/>
    </row>
    <row r="3418">
      <c r="D3418" s="16" t="n"/>
      <c r="E3418" s="19" t="n"/>
      <c r="G3418" s="16" t="n"/>
      <c r="H3418" s="19" t="n"/>
      <c r="J3418" s="16" t="n"/>
      <c r="K3418" s="19" t="n"/>
    </row>
    <row r="3419">
      <c r="D3419" s="16" t="n"/>
      <c r="E3419" s="19" t="n"/>
      <c r="G3419" s="16" t="n"/>
      <c r="H3419" s="19" t="n"/>
      <c r="J3419" s="16" t="n"/>
      <c r="K3419" s="19" t="n"/>
    </row>
    <row r="3420">
      <c r="D3420" s="16" t="n"/>
      <c r="E3420" s="19" t="n"/>
      <c r="G3420" s="16" t="n"/>
      <c r="H3420" s="19" t="n"/>
      <c r="J3420" s="16" t="n"/>
      <c r="K3420" s="19" t="n"/>
    </row>
    <row r="3421">
      <c r="D3421" s="16" t="n"/>
      <c r="E3421" s="19" t="n"/>
      <c r="G3421" s="16" t="n"/>
      <c r="H3421" s="19" t="n"/>
      <c r="J3421" s="16" t="n"/>
      <c r="K3421" s="19" t="n"/>
    </row>
    <row r="3422">
      <c r="D3422" s="16" t="n"/>
      <c r="E3422" s="19" t="n"/>
      <c r="G3422" s="16" t="n"/>
      <c r="H3422" s="19" t="n"/>
      <c r="J3422" s="16" t="n"/>
      <c r="K3422" s="19" t="n"/>
    </row>
    <row r="3423">
      <c r="D3423" s="16" t="n"/>
      <c r="E3423" s="19" t="n"/>
      <c r="G3423" s="16" t="n"/>
      <c r="H3423" s="19" t="n"/>
      <c r="J3423" s="16" t="n"/>
      <c r="K3423" s="19" t="n"/>
    </row>
    <row r="3424">
      <c r="D3424" s="16" t="n"/>
      <c r="E3424" s="19" t="n"/>
      <c r="G3424" s="16" t="n"/>
      <c r="H3424" s="19" t="n"/>
      <c r="J3424" s="16" t="n"/>
      <c r="K3424" s="19" t="n"/>
    </row>
    <row r="3425">
      <c r="D3425" s="16" t="n"/>
      <c r="E3425" s="19" t="n"/>
      <c r="G3425" s="16" t="n"/>
      <c r="H3425" s="19" t="n"/>
      <c r="J3425" s="16" t="n"/>
      <c r="K3425" s="19" t="n"/>
    </row>
    <row r="3426">
      <c r="D3426" s="16" t="n"/>
      <c r="E3426" s="19" t="n"/>
      <c r="G3426" s="16" t="n"/>
      <c r="H3426" s="19" t="n"/>
      <c r="J3426" s="16" t="n"/>
      <c r="K3426" s="19" t="n"/>
    </row>
    <row r="3427">
      <c r="D3427" s="16" t="n"/>
      <c r="E3427" s="19" t="n"/>
      <c r="G3427" s="16" t="n"/>
      <c r="H3427" s="19" t="n"/>
      <c r="J3427" s="16" t="n"/>
      <c r="K3427" s="19" t="n"/>
    </row>
    <row r="3428">
      <c r="D3428" s="16" t="n"/>
      <c r="E3428" s="19" t="n"/>
      <c r="G3428" s="16" t="n"/>
      <c r="H3428" s="19" t="n"/>
      <c r="J3428" s="16" t="n"/>
      <c r="K3428" s="19" t="n"/>
    </row>
    <row r="3429">
      <c r="D3429" s="16" t="n"/>
      <c r="E3429" s="19" t="n"/>
      <c r="G3429" s="16" t="n"/>
      <c r="H3429" s="19" t="n"/>
      <c r="J3429" s="16" t="n"/>
      <c r="K3429" s="19" t="n"/>
    </row>
    <row r="3430">
      <c r="D3430" s="16" t="n"/>
      <c r="E3430" s="19" t="n"/>
      <c r="G3430" s="16" t="n"/>
      <c r="H3430" s="19" t="n"/>
      <c r="J3430" s="16" t="n"/>
      <c r="K3430" s="19" t="n"/>
    </row>
    <row r="3431">
      <c r="D3431" s="16" t="n"/>
      <c r="E3431" s="19" t="n"/>
      <c r="G3431" s="16" t="n"/>
      <c r="H3431" s="19" t="n"/>
      <c r="J3431" s="16" t="n"/>
      <c r="K3431" s="19" t="n"/>
    </row>
    <row r="3432">
      <c r="D3432" s="16" t="n"/>
      <c r="E3432" s="19" t="n"/>
      <c r="G3432" s="16" t="n"/>
      <c r="H3432" s="19" t="n"/>
      <c r="J3432" s="16" t="n"/>
      <c r="K3432" s="19" t="n"/>
    </row>
    <row r="3433">
      <c r="D3433" s="16" t="n"/>
      <c r="E3433" s="19" t="n"/>
      <c r="G3433" s="16" t="n"/>
      <c r="H3433" s="19" t="n"/>
      <c r="J3433" s="16" t="n"/>
      <c r="K3433" s="19" t="n"/>
    </row>
    <row r="3434">
      <c r="D3434" s="16" t="n"/>
      <c r="E3434" s="19" t="n"/>
      <c r="G3434" s="16" t="n"/>
      <c r="H3434" s="19" t="n"/>
      <c r="J3434" s="16" t="n"/>
      <c r="K3434" s="19" t="n"/>
    </row>
    <row r="3435">
      <c r="D3435" s="16" t="n"/>
      <c r="E3435" s="19" t="n"/>
      <c r="G3435" s="16" t="n"/>
      <c r="H3435" s="19" t="n"/>
      <c r="J3435" s="16" t="n"/>
      <c r="K3435" s="19" t="n"/>
    </row>
    <row r="3436">
      <c r="D3436" s="16" t="n"/>
      <c r="E3436" s="19" t="n"/>
      <c r="G3436" s="16" t="n"/>
      <c r="H3436" s="19" t="n"/>
      <c r="J3436" s="16" t="n"/>
      <c r="K3436" s="19" t="n"/>
    </row>
    <row r="3437">
      <c r="D3437" s="16" t="n"/>
      <c r="E3437" s="19" t="n"/>
      <c r="G3437" s="16" t="n"/>
      <c r="H3437" s="19" t="n"/>
      <c r="J3437" s="16" t="n"/>
      <c r="K3437" s="19" t="n"/>
    </row>
    <row r="3438">
      <c r="D3438" s="16" t="n"/>
      <c r="E3438" s="19" t="n"/>
      <c r="G3438" s="16" t="n"/>
      <c r="H3438" s="19" t="n"/>
      <c r="J3438" s="16" t="n"/>
      <c r="K3438" s="19" t="n"/>
    </row>
    <row r="3439">
      <c r="D3439" s="16" t="n"/>
      <c r="E3439" s="19" t="n"/>
      <c r="G3439" s="16" t="n"/>
      <c r="H3439" s="19" t="n"/>
      <c r="J3439" s="16" t="n"/>
      <c r="K3439" s="19" t="n"/>
    </row>
    <row r="3440">
      <c r="D3440" s="16" t="n"/>
      <c r="E3440" s="19" t="n"/>
      <c r="G3440" s="16" t="n"/>
      <c r="H3440" s="19" t="n"/>
      <c r="J3440" s="16" t="n"/>
      <c r="K3440" s="19" t="n"/>
    </row>
    <row r="3441">
      <c r="D3441" s="16" t="n"/>
      <c r="E3441" s="19" t="n"/>
      <c r="G3441" s="16" t="n"/>
      <c r="H3441" s="19" t="n"/>
      <c r="J3441" s="16" t="n"/>
      <c r="K3441" s="19" t="n"/>
    </row>
    <row r="3442">
      <c r="D3442" s="16" t="n"/>
      <c r="E3442" s="19" t="n"/>
      <c r="G3442" s="16" t="n"/>
      <c r="H3442" s="19" t="n"/>
      <c r="J3442" s="16" t="n"/>
      <c r="K3442" s="19" t="n"/>
    </row>
    <row r="3443">
      <c r="D3443" s="16" t="n"/>
      <c r="E3443" s="19" t="n"/>
      <c r="G3443" s="16" t="n"/>
      <c r="H3443" s="19" t="n"/>
      <c r="J3443" s="16" t="n"/>
      <c r="K3443" s="19" t="n"/>
    </row>
    <row r="3444">
      <c r="D3444" s="16" t="n"/>
      <c r="E3444" s="19" t="n"/>
      <c r="G3444" s="16" t="n"/>
      <c r="H3444" s="19" t="n"/>
      <c r="J3444" s="16" t="n"/>
      <c r="K3444" s="19" t="n"/>
    </row>
    <row r="3445">
      <c r="D3445" s="16" t="n"/>
      <c r="E3445" s="19" t="n"/>
      <c r="G3445" s="16" t="n"/>
      <c r="H3445" s="19" t="n"/>
      <c r="J3445" s="16" t="n"/>
      <c r="K3445" s="19" t="n"/>
    </row>
    <row r="3446">
      <c r="D3446" s="16" t="n"/>
      <c r="E3446" s="19" t="n"/>
      <c r="G3446" s="16" t="n"/>
      <c r="H3446" s="19" t="n"/>
      <c r="J3446" s="16" t="n"/>
      <c r="K3446" s="19" t="n"/>
    </row>
    <row r="3447">
      <c r="D3447" s="16" t="n"/>
      <c r="E3447" s="19" t="n"/>
      <c r="G3447" s="16" t="n"/>
      <c r="H3447" s="19" t="n"/>
      <c r="J3447" s="16" t="n"/>
      <c r="K3447" s="19" t="n"/>
    </row>
    <row r="3448">
      <c r="D3448" s="16" t="n"/>
      <c r="E3448" s="19" t="n"/>
      <c r="G3448" s="16" t="n"/>
      <c r="H3448" s="19" t="n"/>
      <c r="J3448" s="16" t="n"/>
      <c r="K3448" s="19" t="n"/>
    </row>
    <row r="3449">
      <c r="D3449" s="16" t="n"/>
      <c r="E3449" s="19" t="n"/>
      <c r="G3449" s="16" t="n"/>
      <c r="H3449" s="19" t="n"/>
      <c r="J3449" s="16" t="n"/>
      <c r="K3449" s="19" t="n"/>
    </row>
    <row r="3450">
      <c r="D3450" s="16" t="n"/>
      <c r="E3450" s="19" t="n"/>
      <c r="G3450" s="16" t="n"/>
      <c r="H3450" s="19" t="n"/>
      <c r="J3450" s="16" t="n"/>
      <c r="K3450" s="19" t="n"/>
    </row>
    <row r="3451">
      <c r="D3451" s="16" t="n"/>
      <c r="E3451" s="19" t="n"/>
      <c r="G3451" s="16" t="n"/>
      <c r="H3451" s="19" t="n"/>
      <c r="J3451" s="16" t="n"/>
      <c r="K3451" s="19" t="n"/>
    </row>
    <row r="3452">
      <c r="D3452" s="16" t="n"/>
      <c r="E3452" s="19" t="n"/>
      <c r="G3452" s="16" t="n"/>
      <c r="H3452" s="19" t="n"/>
      <c r="J3452" s="16" t="n"/>
      <c r="K3452" s="19" t="n"/>
    </row>
    <row r="3453">
      <c r="D3453" s="16" t="n"/>
      <c r="E3453" s="19" t="n"/>
      <c r="G3453" s="16" t="n"/>
      <c r="H3453" s="19" t="n"/>
      <c r="J3453" s="16" t="n"/>
      <c r="K3453" s="19" t="n"/>
    </row>
    <row r="3454">
      <c r="D3454" s="16" t="n"/>
      <c r="E3454" s="19" t="n"/>
      <c r="G3454" s="16" t="n"/>
      <c r="H3454" s="19" t="n"/>
      <c r="J3454" s="16" t="n"/>
      <c r="K3454" s="19" t="n"/>
    </row>
    <row r="3455">
      <c r="D3455" s="16" t="n"/>
      <c r="E3455" s="19" t="n"/>
      <c r="G3455" s="16" t="n"/>
      <c r="H3455" s="19" t="n"/>
      <c r="J3455" s="16" t="n"/>
      <c r="K3455" s="19" t="n"/>
    </row>
    <row r="3456">
      <c r="D3456" s="16" t="n"/>
      <c r="E3456" s="19" t="n"/>
      <c r="G3456" s="16" t="n"/>
      <c r="H3456" s="19" t="n"/>
      <c r="J3456" s="16" t="n"/>
      <c r="K3456" s="19" t="n"/>
    </row>
    <row r="3457">
      <c r="D3457" s="16" t="n"/>
      <c r="E3457" s="19" t="n"/>
      <c r="G3457" s="16" t="n"/>
      <c r="H3457" s="19" t="n"/>
      <c r="J3457" s="16" t="n"/>
      <c r="K3457" s="19" t="n"/>
    </row>
    <row r="3458">
      <c r="D3458" s="16" t="n"/>
      <c r="E3458" s="19" t="n"/>
      <c r="G3458" s="16" t="n"/>
      <c r="H3458" s="19" t="n"/>
      <c r="J3458" s="16" t="n"/>
      <c r="K3458" s="19" t="n"/>
    </row>
    <row r="3459">
      <c r="D3459" s="16" t="n"/>
      <c r="E3459" s="19" t="n"/>
      <c r="G3459" s="16" t="n"/>
      <c r="H3459" s="19" t="n"/>
      <c r="J3459" s="16" t="n"/>
      <c r="K3459" s="19" t="n"/>
    </row>
    <row r="3460">
      <c r="D3460" s="16" t="n"/>
      <c r="E3460" s="19" t="n"/>
      <c r="G3460" s="16" t="n"/>
      <c r="H3460" s="19" t="n"/>
      <c r="J3460" s="16" t="n"/>
      <c r="K3460" s="19" t="n"/>
    </row>
    <row r="3461">
      <c r="D3461" s="16" t="n"/>
      <c r="E3461" s="19" t="n"/>
      <c r="G3461" s="16" t="n"/>
      <c r="H3461" s="19" t="n"/>
      <c r="J3461" s="16" t="n"/>
      <c r="K3461" s="19" t="n"/>
    </row>
    <row r="3462">
      <c r="D3462" s="16" t="n"/>
      <c r="E3462" s="19" t="n"/>
      <c r="G3462" s="16" t="n"/>
      <c r="H3462" s="19" t="n"/>
      <c r="J3462" s="16" t="n"/>
      <c r="K3462" s="19" t="n"/>
    </row>
    <row r="3463">
      <c r="D3463" s="16" t="n"/>
      <c r="E3463" s="19" t="n"/>
      <c r="G3463" s="16" t="n"/>
      <c r="H3463" s="19" t="n"/>
      <c r="J3463" s="16" t="n"/>
      <c r="K3463" s="19" t="n"/>
    </row>
    <row r="3464">
      <c r="D3464" s="16" t="n"/>
      <c r="E3464" s="19" t="n"/>
      <c r="G3464" s="16" t="n"/>
      <c r="H3464" s="19" t="n"/>
      <c r="J3464" s="16" t="n"/>
      <c r="K3464" s="19" t="n"/>
    </row>
    <row r="3465">
      <c r="D3465" s="16" t="n"/>
      <c r="E3465" s="19" t="n"/>
      <c r="G3465" s="16" t="n"/>
      <c r="H3465" s="19" t="n"/>
      <c r="J3465" s="16" t="n"/>
      <c r="K3465" s="19" t="n"/>
    </row>
    <row r="3466">
      <c r="D3466" s="16" t="n"/>
      <c r="E3466" s="19" t="n"/>
      <c r="G3466" s="16" t="n"/>
      <c r="H3466" s="19" t="n"/>
      <c r="J3466" s="16" t="n"/>
      <c r="K3466" s="19" t="n"/>
    </row>
    <row r="3467">
      <c r="D3467" s="16" t="n"/>
      <c r="E3467" s="19" t="n"/>
      <c r="G3467" s="16" t="n"/>
      <c r="H3467" s="19" t="n"/>
      <c r="J3467" s="16" t="n"/>
      <c r="K3467" s="19" t="n"/>
    </row>
    <row r="3468">
      <c r="D3468" s="16" t="n"/>
      <c r="E3468" s="19" t="n"/>
      <c r="G3468" s="16" t="n"/>
      <c r="H3468" s="19" t="n"/>
      <c r="J3468" s="16" t="n"/>
      <c r="K3468" s="19" t="n"/>
    </row>
    <row r="3469">
      <c r="D3469" s="16" t="n"/>
      <c r="E3469" s="19" t="n"/>
      <c r="G3469" s="16" t="n"/>
      <c r="H3469" s="19" t="n"/>
      <c r="J3469" s="16" t="n"/>
      <c r="K3469" s="19" t="n"/>
    </row>
    <row r="3470">
      <c r="D3470" s="16" t="n"/>
      <c r="E3470" s="19" t="n"/>
      <c r="G3470" s="16" t="n"/>
      <c r="H3470" s="19" t="n"/>
      <c r="J3470" s="16" t="n"/>
      <c r="K3470" s="19" t="n"/>
    </row>
    <row r="3471">
      <c r="D3471" s="16" t="n"/>
      <c r="E3471" s="19" t="n"/>
      <c r="G3471" s="16" t="n"/>
      <c r="H3471" s="19" t="n"/>
      <c r="J3471" s="16" t="n"/>
      <c r="K3471" s="19" t="n"/>
    </row>
    <row r="3472">
      <c r="D3472" s="16" t="n"/>
      <c r="E3472" s="19" t="n"/>
      <c r="G3472" s="16" t="n"/>
      <c r="H3472" s="19" t="n"/>
      <c r="J3472" s="16" t="n"/>
      <c r="K3472" s="19" t="n"/>
    </row>
    <row r="3473">
      <c r="D3473" s="16" t="n"/>
      <c r="E3473" s="19" t="n"/>
      <c r="G3473" s="16" t="n"/>
      <c r="H3473" s="19" t="n"/>
      <c r="J3473" s="16" t="n"/>
      <c r="K3473" s="19" t="n"/>
    </row>
    <row r="3474">
      <c r="D3474" s="16" t="n"/>
      <c r="E3474" s="19" t="n"/>
      <c r="G3474" s="16" t="n"/>
      <c r="H3474" s="19" t="n"/>
      <c r="J3474" s="16" t="n"/>
      <c r="K3474" s="19" t="n"/>
    </row>
    <row r="3475">
      <c r="D3475" s="16" t="n"/>
      <c r="E3475" s="19" t="n"/>
      <c r="G3475" s="16" t="n"/>
      <c r="H3475" s="19" t="n"/>
      <c r="J3475" s="16" t="n"/>
      <c r="K3475" s="19" t="n"/>
    </row>
    <row r="3476">
      <c r="D3476" s="16" t="n"/>
      <c r="E3476" s="19" t="n"/>
      <c r="G3476" s="16" t="n"/>
      <c r="H3476" s="19" t="n"/>
      <c r="J3476" s="16" t="n"/>
      <c r="K3476" s="19" t="n"/>
    </row>
    <row r="3477">
      <c r="D3477" s="16" t="n"/>
      <c r="E3477" s="19" t="n"/>
      <c r="G3477" s="16" t="n"/>
      <c r="H3477" s="19" t="n"/>
      <c r="J3477" s="16" t="n"/>
      <c r="K3477" s="19" t="n"/>
    </row>
    <row r="3478">
      <c r="D3478" s="16" t="n"/>
      <c r="E3478" s="19" t="n"/>
      <c r="G3478" s="16" t="n"/>
      <c r="H3478" s="19" t="n"/>
      <c r="J3478" s="16" t="n"/>
      <c r="K3478" s="19" t="n"/>
    </row>
    <row r="3479">
      <c r="D3479" s="16" t="n"/>
      <c r="E3479" s="19" t="n"/>
      <c r="G3479" s="16" t="n"/>
      <c r="H3479" s="19" t="n"/>
      <c r="J3479" s="16" t="n"/>
      <c r="K3479" s="19" t="n"/>
    </row>
    <row r="3480">
      <c r="D3480" s="16" t="n"/>
      <c r="E3480" s="19" t="n"/>
      <c r="G3480" s="16" t="n"/>
      <c r="H3480" s="19" t="n"/>
      <c r="J3480" s="16" t="n"/>
      <c r="K3480" s="19" t="n"/>
    </row>
    <row r="3481">
      <c r="D3481" s="16" t="n"/>
      <c r="E3481" s="19" t="n"/>
      <c r="G3481" s="16" t="n"/>
      <c r="H3481" s="19" t="n"/>
      <c r="J3481" s="16" t="n"/>
      <c r="K3481" s="19" t="n"/>
    </row>
    <row r="3482">
      <c r="D3482" s="16" t="n"/>
      <c r="E3482" s="19" t="n"/>
      <c r="G3482" s="16" t="n"/>
      <c r="H3482" s="19" t="n"/>
      <c r="J3482" s="16" t="n"/>
      <c r="K3482" s="19" t="n"/>
    </row>
    <row r="3483">
      <c r="D3483" s="16" t="n"/>
      <c r="E3483" s="19" t="n"/>
      <c r="G3483" s="16" t="n"/>
      <c r="H3483" s="19" t="n"/>
      <c r="J3483" s="16" t="n"/>
      <c r="K3483" s="19" t="n"/>
    </row>
    <row r="3484">
      <c r="D3484" s="16" t="n"/>
      <c r="E3484" s="19" t="n"/>
      <c r="G3484" s="16" t="n"/>
      <c r="H3484" s="19" t="n"/>
      <c r="J3484" s="16" t="n"/>
      <c r="K3484" s="19" t="n"/>
    </row>
    <row r="3485">
      <c r="D3485" s="16" t="n"/>
      <c r="E3485" s="19" t="n"/>
      <c r="G3485" s="16" t="n"/>
      <c r="H3485" s="19" t="n"/>
      <c r="J3485" s="16" t="n"/>
      <c r="K3485" s="19" t="n"/>
    </row>
    <row r="3486">
      <c r="D3486" s="16" t="n"/>
      <c r="E3486" s="19" t="n"/>
      <c r="G3486" s="16" t="n"/>
      <c r="H3486" s="19" t="n"/>
      <c r="J3486" s="16" t="n"/>
      <c r="K3486" s="19" t="n"/>
    </row>
    <row r="3487">
      <c r="D3487" s="16" t="n"/>
      <c r="E3487" s="19" t="n"/>
      <c r="G3487" s="16" t="n"/>
      <c r="H3487" s="19" t="n"/>
      <c r="J3487" s="16" t="n"/>
      <c r="K3487" s="19" t="n"/>
    </row>
    <row r="3488">
      <c r="D3488" s="16" t="n"/>
      <c r="E3488" s="19" t="n"/>
      <c r="G3488" s="16" t="n"/>
      <c r="H3488" s="19" t="n"/>
      <c r="J3488" s="16" t="n"/>
      <c r="K3488" s="19" t="n"/>
    </row>
    <row r="3489">
      <c r="D3489" s="16" t="n"/>
      <c r="E3489" s="19" t="n"/>
      <c r="G3489" s="16" t="n"/>
      <c r="H3489" s="19" t="n"/>
      <c r="J3489" s="16" t="n"/>
      <c r="K3489" s="19" t="n"/>
    </row>
    <row r="3490">
      <c r="D3490" s="16" t="n"/>
      <c r="E3490" s="19" t="n"/>
      <c r="G3490" s="16" t="n"/>
      <c r="H3490" s="19" t="n"/>
      <c r="J3490" s="16" t="n"/>
      <c r="K3490" s="19" t="n"/>
    </row>
    <row r="3491">
      <c r="D3491" s="16" t="n"/>
      <c r="E3491" s="19" t="n"/>
      <c r="G3491" s="16" t="n"/>
      <c r="H3491" s="19" t="n"/>
      <c r="J3491" s="16" t="n"/>
      <c r="K3491" s="19" t="n"/>
    </row>
    <row r="3492">
      <c r="D3492" s="16" t="n"/>
      <c r="E3492" s="19" t="n"/>
      <c r="G3492" s="16" t="n"/>
      <c r="H3492" s="19" t="n"/>
      <c r="J3492" s="16" t="n"/>
      <c r="K3492" s="19" t="n"/>
    </row>
    <row r="3493">
      <c r="D3493" s="16" t="n"/>
      <c r="E3493" s="19" t="n"/>
      <c r="G3493" s="16" t="n"/>
      <c r="H3493" s="19" t="n"/>
      <c r="J3493" s="16" t="n"/>
      <c r="K3493" s="19" t="n"/>
    </row>
    <row r="3494">
      <c r="D3494" s="16" t="n"/>
      <c r="E3494" s="19" t="n"/>
      <c r="G3494" s="16" t="n"/>
      <c r="H3494" s="19" t="n"/>
      <c r="J3494" s="16" t="n"/>
      <c r="K3494" s="19" t="n"/>
    </row>
    <row r="3495">
      <c r="D3495" s="16" t="n"/>
      <c r="E3495" s="19" t="n"/>
      <c r="G3495" s="16" t="n"/>
      <c r="H3495" s="19" t="n"/>
      <c r="J3495" s="16" t="n"/>
      <c r="K3495" s="19" t="n"/>
    </row>
    <row r="3496">
      <c r="D3496" s="16" t="n"/>
      <c r="E3496" s="19" t="n"/>
      <c r="G3496" s="16" t="n"/>
      <c r="H3496" s="19" t="n"/>
      <c r="J3496" s="16" t="n"/>
      <c r="K3496" s="19" t="n"/>
    </row>
    <row r="3497">
      <c r="D3497" s="16" t="n"/>
      <c r="E3497" s="19" t="n"/>
      <c r="G3497" s="16" t="n"/>
      <c r="H3497" s="19" t="n"/>
      <c r="J3497" s="16" t="n"/>
      <c r="K3497" s="19" t="n"/>
    </row>
    <row r="3498">
      <c r="D3498" s="16" t="n"/>
      <c r="E3498" s="19" t="n"/>
      <c r="G3498" s="16" t="n"/>
      <c r="H3498" s="19" t="n"/>
      <c r="J3498" s="16" t="n"/>
      <c r="K3498" s="19" t="n"/>
    </row>
    <row r="3499">
      <c r="D3499" s="16" t="n"/>
      <c r="E3499" s="19" t="n"/>
      <c r="G3499" s="16" t="n"/>
      <c r="H3499" s="19" t="n"/>
      <c r="J3499" s="16" t="n"/>
      <c r="K3499" s="19" t="n"/>
    </row>
    <row r="3500">
      <c r="D3500" s="16" t="n"/>
      <c r="E3500" s="19" t="n"/>
      <c r="G3500" s="16" t="n"/>
      <c r="H3500" s="19" t="n"/>
      <c r="J3500" s="16" t="n"/>
      <c r="K3500" s="19" t="n"/>
    </row>
    <row r="3501">
      <c r="D3501" s="16" t="n"/>
      <c r="E3501" s="19" t="n"/>
      <c r="G3501" s="16" t="n"/>
      <c r="H3501" s="19" t="n"/>
      <c r="J3501" s="16" t="n"/>
      <c r="K3501" s="19" t="n"/>
    </row>
    <row r="3502">
      <c r="D3502" s="16" t="n"/>
      <c r="E3502" s="19" t="n"/>
      <c r="G3502" s="16" t="n"/>
      <c r="H3502" s="19" t="n"/>
      <c r="J3502" s="16" t="n"/>
      <c r="K3502" s="19" t="n"/>
    </row>
    <row r="3503">
      <c r="D3503" s="16" t="n"/>
      <c r="E3503" s="19" t="n"/>
      <c r="G3503" s="16" t="n"/>
      <c r="H3503" s="19" t="n"/>
      <c r="J3503" s="16" t="n"/>
      <c r="K3503" s="19" t="n"/>
    </row>
    <row r="3504">
      <c r="D3504" s="16" t="n"/>
      <c r="E3504" s="19" t="n"/>
      <c r="G3504" s="16" t="n"/>
      <c r="H3504" s="19" t="n"/>
      <c r="J3504" s="16" t="n"/>
      <c r="K3504" s="19" t="n"/>
    </row>
    <row r="3505">
      <c r="D3505" s="16" t="n"/>
      <c r="E3505" s="19" t="n"/>
      <c r="G3505" s="16" t="n"/>
      <c r="H3505" s="19" t="n"/>
      <c r="J3505" s="16" t="n"/>
      <c r="K3505" s="19" t="n"/>
    </row>
    <row r="3506">
      <c r="D3506" s="16" t="n"/>
      <c r="E3506" s="19" t="n"/>
      <c r="G3506" s="16" t="n"/>
      <c r="H3506" s="19" t="n"/>
      <c r="J3506" s="16" t="n"/>
      <c r="K3506" s="19" t="n"/>
    </row>
    <row r="3507">
      <c r="D3507" s="16" t="n"/>
      <c r="E3507" s="19" t="n"/>
      <c r="G3507" s="16" t="n"/>
      <c r="H3507" s="19" t="n"/>
      <c r="J3507" s="16" t="n"/>
      <c r="K3507" s="19" t="n"/>
    </row>
    <row r="3508">
      <c r="D3508" s="16" t="n"/>
      <c r="E3508" s="19" t="n"/>
      <c r="G3508" s="16" t="n"/>
      <c r="H3508" s="19" t="n"/>
      <c r="J3508" s="16" t="n"/>
      <c r="K3508" s="19" t="n"/>
    </row>
    <row r="3509">
      <c r="D3509" s="16" t="n"/>
      <c r="E3509" s="19" t="n"/>
      <c r="G3509" s="16" t="n"/>
      <c r="H3509" s="19" t="n"/>
      <c r="J3509" s="16" t="n"/>
      <c r="K3509" s="19" t="n"/>
    </row>
    <row r="3510">
      <c r="D3510" s="16" t="n"/>
      <c r="E3510" s="19" t="n"/>
      <c r="G3510" s="16" t="n"/>
      <c r="H3510" s="19" t="n"/>
      <c r="J3510" s="16" t="n"/>
      <c r="K3510" s="19" t="n"/>
    </row>
    <row r="3511">
      <c r="D3511" s="16" t="n"/>
      <c r="E3511" s="19" t="n"/>
      <c r="G3511" s="16" t="n"/>
      <c r="H3511" s="19" t="n"/>
      <c r="J3511" s="16" t="n"/>
      <c r="K3511" s="19" t="n"/>
    </row>
    <row r="3512">
      <c r="D3512" s="16" t="n"/>
      <c r="E3512" s="19" t="n"/>
      <c r="G3512" s="16" t="n"/>
      <c r="H3512" s="19" t="n"/>
      <c r="J3512" s="16" t="n"/>
      <c r="K3512" s="19" t="n"/>
    </row>
    <row r="3513">
      <c r="D3513" s="16" t="n"/>
      <c r="E3513" s="19" t="n"/>
      <c r="G3513" s="16" t="n"/>
      <c r="H3513" s="19" t="n"/>
      <c r="J3513" s="16" t="n"/>
      <c r="K3513" s="19" t="n"/>
    </row>
    <row r="3514">
      <c r="D3514" s="16" t="n"/>
      <c r="E3514" s="19" t="n"/>
      <c r="G3514" s="16" t="n"/>
      <c r="H3514" s="19" t="n"/>
      <c r="J3514" s="16" t="n"/>
      <c r="K3514" s="19" t="n"/>
    </row>
    <row r="3515">
      <c r="D3515" s="16" t="n"/>
      <c r="E3515" s="19" t="n"/>
      <c r="G3515" s="16" t="n"/>
      <c r="H3515" s="19" t="n"/>
      <c r="J3515" s="16" t="n"/>
      <c r="K3515" s="19" t="n"/>
    </row>
    <row r="3516">
      <c r="D3516" s="16" t="n"/>
      <c r="E3516" s="19" t="n"/>
      <c r="G3516" s="16" t="n"/>
      <c r="H3516" s="19" t="n"/>
      <c r="J3516" s="16" t="n"/>
      <c r="K3516" s="19" t="n"/>
    </row>
    <row r="3517">
      <c r="D3517" s="16" t="n"/>
      <c r="E3517" s="19" t="n"/>
      <c r="G3517" s="16" t="n"/>
      <c r="H3517" s="19" t="n"/>
      <c r="J3517" s="16" t="n"/>
      <c r="K3517" s="19" t="n"/>
    </row>
    <row r="3518">
      <c r="D3518" s="16" t="n"/>
      <c r="E3518" s="19" t="n"/>
      <c r="G3518" s="16" t="n"/>
      <c r="H3518" s="19" t="n"/>
      <c r="J3518" s="16" t="n"/>
      <c r="K3518" s="19" t="n"/>
    </row>
    <row r="3519">
      <c r="D3519" s="16" t="n"/>
      <c r="E3519" s="19" t="n"/>
      <c r="G3519" s="16" t="n"/>
      <c r="H3519" s="19" t="n"/>
      <c r="J3519" s="16" t="n"/>
      <c r="K3519" s="19" t="n"/>
    </row>
    <row r="3520">
      <c r="D3520" s="16" t="n"/>
      <c r="E3520" s="19" t="n"/>
      <c r="G3520" s="16" t="n"/>
      <c r="H3520" s="19" t="n"/>
      <c r="J3520" s="16" t="n"/>
      <c r="K3520" s="19" t="n"/>
    </row>
    <row r="3521">
      <c r="D3521" s="16" t="n"/>
      <c r="E3521" s="19" t="n"/>
      <c r="G3521" s="16" t="n"/>
      <c r="H3521" s="19" t="n"/>
      <c r="J3521" s="16" t="n"/>
      <c r="K3521" s="19" t="n"/>
    </row>
    <row r="3522">
      <c r="D3522" s="16" t="n"/>
      <c r="E3522" s="19" t="n"/>
      <c r="G3522" s="16" t="n"/>
      <c r="H3522" s="19" t="n"/>
      <c r="J3522" s="16" t="n"/>
      <c r="K3522" s="19" t="n"/>
    </row>
    <row r="3523">
      <c r="D3523" s="16" t="n"/>
      <c r="E3523" s="19" t="n"/>
      <c r="G3523" s="16" t="n"/>
      <c r="H3523" s="19" t="n"/>
      <c r="J3523" s="16" t="n"/>
      <c r="K3523" s="19" t="n"/>
    </row>
    <row r="3524">
      <c r="D3524" s="16" t="n"/>
      <c r="E3524" s="19" t="n"/>
      <c r="G3524" s="16" t="n"/>
      <c r="H3524" s="19" t="n"/>
      <c r="J3524" s="16" t="n"/>
      <c r="K3524" s="19" t="n"/>
    </row>
    <row r="3525">
      <c r="D3525" s="16" t="n"/>
      <c r="E3525" s="19" t="n"/>
      <c r="G3525" s="16" t="n"/>
      <c r="H3525" s="19" t="n"/>
      <c r="J3525" s="16" t="n"/>
      <c r="K3525" s="19" t="n"/>
    </row>
    <row r="3526">
      <c r="D3526" s="16" t="n"/>
      <c r="E3526" s="19" t="n"/>
      <c r="G3526" s="16" t="n"/>
      <c r="H3526" s="19" t="n"/>
      <c r="J3526" s="16" t="n"/>
      <c r="K3526" s="19" t="n"/>
    </row>
    <row r="3527">
      <c r="D3527" s="16" t="n"/>
      <c r="E3527" s="19" t="n"/>
      <c r="G3527" s="16" t="n"/>
      <c r="H3527" s="19" t="n"/>
      <c r="J3527" s="16" t="n"/>
      <c r="K3527" s="19" t="n"/>
    </row>
    <row r="3528">
      <c r="D3528" s="16" t="n"/>
      <c r="E3528" s="19" t="n"/>
      <c r="G3528" s="16" t="n"/>
      <c r="H3528" s="19" t="n"/>
      <c r="J3528" s="16" t="n"/>
      <c r="K3528" s="19" t="n"/>
    </row>
    <row r="3529">
      <c r="D3529" s="16" t="n"/>
      <c r="E3529" s="19" t="n"/>
      <c r="G3529" s="16" t="n"/>
      <c r="H3529" s="19" t="n"/>
      <c r="J3529" s="16" t="n"/>
      <c r="K3529" s="19" t="n"/>
    </row>
    <row r="3530">
      <c r="D3530" s="16" t="n"/>
      <c r="E3530" s="19" t="n"/>
      <c r="G3530" s="16" t="n"/>
      <c r="H3530" s="19" t="n"/>
      <c r="J3530" s="16" t="n"/>
      <c r="K3530" s="19" t="n"/>
    </row>
    <row r="3531">
      <c r="D3531" s="16" t="n"/>
      <c r="E3531" s="19" t="n"/>
      <c r="G3531" s="16" t="n"/>
      <c r="H3531" s="19" t="n"/>
      <c r="J3531" s="16" t="n"/>
      <c r="K3531" s="19" t="n"/>
    </row>
    <row r="3532">
      <c r="D3532" s="16" t="n"/>
      <c r="E3532" s="19" t="n"/>
      <c r="G3532" s="16" t="n"/>
      <c r="H3532" s="19" t="n"/>
      <c r="J3532" s="16" t="n"/>
      <c r="K3532" s="19" t="n"/>
    </row>
    <row r="3533">
      <c r="D3533" s="16" t="n"/>
      <c r="E3533" s="19" t="n"/>
      <c r="G3533" s="16" t="n"/>
      <c r="H3533" s="19" t="n"/>
      <c r="J3533" s="16" t="n"/>
      <c r="K3533" s="19" t="n"/>
    </row>
    <row r="3534">
      <c r="D3534" s="16" t="n"/>
      <c r="E3534" s="19" t="n"/>
      <c r="G3534" s="16" t="n"/>
      <c r="H3534" s="19" t="n"/>
      <c r="J3534" s="16" t="n"/>
      <c r="K3534" s="19" t="n"/>
    </row>
    <row r="3535">
      <c r="D3535" s="16" t="n"/>
      <c r="E3535" s="19" t="n"/>
      <c r="G3535" s="16" t="n"/>
      <c r="H3535" s="19" t="n"/>
      <c r="J3535" s="16" t="n"/>
      <c r="K3535" s="19" t="n"/>
    </row>
    <row r="3536">
      <c r="D3536" s="16" t="n"/>
      <c r="E3536" s="19" t="n"/>
      <c r="G3536" s="16" t="n"/>
      <c r="H3536" s="19" t="n"/>
      <c r="J3536" s="16" t="n"/>
      <c r="K3536" s="19" t="n"/>
    </row>
    <row r="3537">
      <c r="D3537" s="16" t="n"/>
      <c r="E3537" s="19" t="n"/>
      <c r="G3537" s="16" t="n"/>
      <c r="H3537" s="19" t="n"/>
      <c r="J3537" s="16" t="n"/>
      <c r="K3537" s="19" t="n"/>
    </row>
    <row r="3538">
      <c r="D3538" s="16" t="n"/>
      <c r="E3538" s="19" t="n"/>
      <c r="G3538" s="16" t="n"/>
      <c r="H3538" s="19" t="n"/>
      <c r="J3538" s="16" t="n"/>
      <c r="K3538" s="19" t="n"/>
    </row>
    <row r="3539">
      <c r="D3539" s="16" t="n"/>
      <c r="E3539" s="19" t="n"/>
      <c r="G3539" s="16" t="n"/>
      <c r="H3539" s="19" t="n"/>
      <c r="J3539" s="16" t="n"/>
      <c r="K3539" s="19" t="n"/>
    </row>
    <row r="3540">
      <c r="D3540" s="16" t="n"/>
      <c r="E3540" s="19" t="n"/>
      <c r="G3540" s="16" t="n"/>
      <c r="H3540" s="19" t="n"/>
      <c r="J3540" s="16" t="n"/>
      <c r="K3540" s="19" t="n"/>
    </row>
    <row r="3541">
      <c r="D3541" s="16" t="n"/>
      <c r="E3541" s="19" t="n"/>
      <c r="G3541" s="16" t="n"/>
      <c r="H3541" s="19" t="n"/>
      <c r="J3541" s="16" t="n"/>
      <c r="K3541" s="19" t="n"/>
    </row>
    <row r="3542">
      <c r="D3542" s="16" t="n"/>
      <c r="E3542" s="19" t="n"/>
      <c r="G3542" s="16" t="n"/>
      <c r="H3542" s="19" t="n"/>
      <c r="J3542" s="16" t="n"/>
      <c r="K3542" s="19" t="n"/>
    </row>
    <row r="3543">
      <c r="D3543" s="16" t="n"/>
      <c r="E3543" s="19" t="n"/>
      <c r="G3543" s="16" t="n"/>
      <c r="H3543" s="19" t="n"/>
      <c r="J3543" s="16" t="n"/>
      <c r="K3543" s="19" t="n"/>
    </row>
    <row r="3544">
      <c r="D3544" s="16" t="n"/>
      <c r="E3544" s="19" t="n"/>
      <c r="G3544" s="16" t="n"/>
      <c r="H3544" s="19" t="n"/>
      <c r="J3544" s="16" t="n"/>
      <c r="K3544" s="19" t="n"/>
    </row>
    <row r="3545">
      <c r="D3545" s="16" t="n"/>
      <c r="E3545" s="19" t="n"/>
      <c r="G3545" s="16" t="n"/>
      <c r="H3545" s="19" t="n"/>
      <c r="J3545" s="16" t="n"/>
      <c r="K3545" s="19" t="n"/>
    </row>
    <row r="3546">
      <c r="D3546" s="16" t="n"/>
      <c r="E3546" s="19" t="n"/>
      <c r="G3546" s="16" t="n"/>
      <c r="H3546" s="19" t="n"/>
      <c r="J3546" s="16" t="n"/>
      <c r="K3546" s="19" t="n"/>
    </row>
    <row r="3547">
      <c r="D3547" s="16" t="n"/>
      <c r="E3547" s="19" t="n"/>
      <c r="G3547" s="16" t="n"/>
      <c r="H3547" s="19" t="n"/>
      <c r="J3547" s="16" t="n"/>
      <c r="K3547" s="19" t="n"/>
    </row>
    <row r="3548">
      <c r="D3548" s="16" t="n"/>
      <c r="E3548" s="19" t="n"/>
      <c r="G3548" s="16" t="n"/>
      <c r="H3548" s="19" t="n"/>
      <c r="J3548" s="16" t="n"/>
      <c r="K3548" s="19" t="n"/>
    </row>
    <row r="3549">
      <c r="D3549" s="16" t="n"/>
      <c r="E3549" s="19" t="n"/>
      <c r="G3549" s="16" t="n"/>
      <c r="H3549" s="19" t="n"/>
      <c r="J3549" s="16" t="n"/>
      <c r="K3549" s="19" t="n"/>
    </row>
    <row r="3550">
      <c r="D3550" s="16" t="n"/>
      <c r="E3550" s="19" t="n"/>
      <c r="G3550" s="16" t="n"/>
      <c r="H3550" s="19" t="n"/>
      <c r="J3550" s="16" t="n"/>
      <c r="K3550" s="19" t="n"/>
    </row>
    <row r="3551">
      <c r="D3551" s="16" t="n"/>
      <c r="E3551" s="19" t="n"/>
      <c r="G3551" s="16" t="n"/>
      <c r="H3551" s="19" t="n"/>
      <c r="J3551" s="16" t="n"/>
      <c r="K3551" s="19" t="n"/>
    </row>
    <row r="3552">
      <c r="D3552" s="16" t="n"/>
      <c r="E3552" s="19" t="n"/>
      <c r="G3552" s="16" t="n"/>
      <c r="H3552" s="19" t="n"/>
      <c r="J3552" s="16" t="n"/>
      <c r="K3552" s="19" t="n"/>
    </row>
    <row r="3553">
      <c r="D3553" s="16" t="n"/>
      <c r="E3553" s="19" t="n"/>
      <c r="G3553" s="16" t="n"/>
      <c r="H3553" s="19" t="n"/>
      <c r="J3553" s="16" t="n"/>
      <c r="K3553" s="19" t="n"/>
    </row>
    <row r="3554">
      <c r="D3554" s="16" t="n"/>
      <c r="E3554" s="19" t="n"/>
      <c r="G3554" s="16" t="n"/>
      <c r="H3554" s="19" t="n"/>
      <c r="J3554" s="16" t="n"/>
      <c r="K3554" s="19" t="n"/>
    </row>
    <row r="3555">
      <c r="D3555" s="16" t="n"/>
      <c r="E3555" s="19" t="n"/>
      <c r="G3555" s="16" t="n"/>
      <c r="H3555" s="19" t="n"/>
      <c r="J3555" s="16" t="n"/>
      <c r="K3555" s="19" t="n"/>
    </row>
    <row r="3556">
      <c r="D3556" s="16" t="n"/>
      <c r="E3556" s="19" t="n"/>
      <c r="G3556" s="16" t="n"/>
      <c r="H3556" s="19" t="n"/>
      <c r="J3556" s="16" t="n"/>
      <c r="K3556" s="19" t="n"/>
    </row>
    <row r="3557">
      <c r="D3557" s="16" t="n"/>
      <c r="E3557" s="19" t="n"/>
      <c r="G3557" s="16" t="n"/>
      <c r="H3557" s="19" t="n"/>
      <c r="J3557" s="16" t="n"/>
      <c r="K3557" s="19" t="n"/>
    </row>
    <row r="3558">
      <c r="D3558" s="16" t="n"/>
      <c r="E3558" s="19" t="n"/>
      <c r="G3558" s="16" t="n"/>
      <c r="H3558" s="19" t="n"/>
      <c r="J3558" s="16" t="n"/>
      <c r="K3558" s="19" t="n"/>
    </row>
    <row r="3559">
      <c r="D3559" s="16" t="n"/>
      <c r="E3559" s="19" t="n"/>
      <c r="G3559" s="16" t="n"/>
      <c r="H3559" s="19" t="n"/>
      <c r="J3559" s="16" t="n"/>
      <c r="K3559" s="19" t="n"/>
    </row>
    <row r="3560">
      <c r="D3560" s="16" t="n"/>
      <c r="E3560" s="19" t="n"/>
      <c r="G3560" s="16" t="n"/>
      <c r="H3560" s="19" t="n"/>
      <c r="J3560" s="16" t="n"/>
      <c r="K3560" s="19" t="n"/>
    </row>
    <row r="3561">
      <c r="D3561" s="16" t="n"/>
      <c r="E3561" s="19" t="n"/>
      <c r="G3561" s="16" t="n"/>
      <c r="H3561" s="19" t="n"/>
      <c r="J3561" s="16" t="n"/>
      <c r="K3561" s="19" t="n"/>
    </row>
    <row r="3562">
      <c r="D3562" s="16" t="n"/>
      <c r="E3562" s="19" t="n"/>
      <c r="G3562" s="16" t="n"/>
      <c r="H3562" s="19" t="n"/>
      <c r="J3562" s="16" t="n"/>
      <c r="K3562" s="19" t="n"/>
    </row>
    <row r="3563">
      <c r="D3563" s="16" t="n"/>
      <c r="E3563" s="19" t="n"/>
      <c r="G3563" s="16" t="n"/>
      <c r="H3563" s="19" t="n"/>
      <c r="J3563" s="16" t="n"/>
      <c r="K3563" s="19" t="n"/>
    </row>
    <row r="3564">
      <c r="D3564" s="16" t="n"/>
      <c r="E3564" s="19" t="n"/>
      <c r="G3564" s="16" t="n"/>
      <c r="H3564" s="19" t="n"/>
      <c r="J3564" s="16" t="n"/>
      <c r="K3564" s="19" t="n"/>
    </row>
    <row r="3565">
      <c r="D3565" s="16" t="n"/>
      <c r="E3565" s="19" t="n"/>
      <c r="G3565" s="16" t="n"/>
      <c r="H3565" s="19" t="n"/>
      <c r="J3565" s="16" t="n"/>
      <c r="K3565" s="19" t="n"/>
    </row>
    <row r="3566">
      <c r="D3566" s="16" t="n"/>
      <c r="E3566" s="19" t="n"/>
      <c r="G3566" s="16" t="n"/>
      <c r="H3566" s="19" t="n"/>
      <c r="J3566" s="16" t="n"/>
      <c r="K3566" s="19" t="n"/>
    </row>
    <row r="3567">
      <c r="D3567" s="16" t="n"/>
      <c r="E3567" s="19" t="n"/>
      <c r="G3567" s="16" t="n"/>
      <c r="H3567" s="19" t="n"/>
      <c r="J3567" s="16" t="n"/>
      <c r="K3567" s="19" t="n"/>
    </row>
    <row r="3568">
      <c r="D3568" s="16" t="n"/>
      <c r="E3568" s="19" t="n"/>
      <c r="G3568" s="16" t="n"/>
      <c r="H3568" s="19" t="n"/>
      <c r="J3568" s="16" t="n"/>
      <c r="K3568" s="19" t="n"/>
    </row>
    <row r="3569">
      <c r="D3569" s="16" t="n"/>
      <c r="E3569" s="19" t="n"/>
      <c r="G3569" s="16" t="n"/>
      <c r="H3569" s="19" t="n"/>
      <c r="J3569" s="16" t="n"/>
      <c r="K3569" s="19" t="n"/>
    </row>
    <row r="3570">
      <c r="D3570" s="16" t="n"/>
      <c r="E3570" s="19" t="n"/>
      <c r="G3570" s="16" t="n"/>
      <c r="H3570" s="19" t="n"/>
      <c r="J3570" s="16" t="n"/>
      <c r="K3570" s="19" t="n"/>
    </row>
    <row r="3571">
      <c r="D3571" s="16" t="n"/>
      <c r="E3571" s="19" t="n"/>
      <c r="G3571" s="16" t="n"/>
      <c r="H3571" s="19" t="n"/>
      <c r="J3571" s="16" t="n"/>
      <c r="K3571" s="19" t="n"/>
    </row>
    <row r="3572">
      <c r="D3572" s="16" t="n"/>
      <c r="E3572" s="19" t="n"/>
      <c r="G3572" s="16" t="n"/>
      <c r="H3572" s="19" t="n"/>
      <c r="J3572" s="16" t="n"/>
      <c r="K3572" s="19" t="n"/>
    </row>
    <row r="3573">
      <c r="D3573" s="16" t="n"/>
      <c r="E3573" s="19" t="n"/>
      <c r="G3573" s="16" t="n"/>
      <c r="H3573" s="19" t="n"/>
      <c r="J3573" s="16" t="n"/>
      <c r="K3573" s="19" t="n"/>
    </row>
    <row r="3574">
      <c r="D3574" s="16" t="n"/>
      <c r="E3574" s="19" t="n"/>
      <c r="G3574" s="16" t="n"/>
      <c r="H3574" s="19" t="n"/>
      <c r="J3574" s="16" t="n"/>
      <c r="K3574" s="19" t="n"/>
    </row>
    <row r="3575">
      <c r="D3575" s="16" t="n"/>
      <c r="E3575" s="19" t="n"/>
      <c r="G3575" s="16" t="n"/>
      <c r="H3575" s="19" t="n"/>
      <c r="J3575" s="16" t="n"/>
      <c r="K3575" s="19" t="n"/>
    </row>
    <row r="3576">
      <c r="D3576" s="16" t="n"/>
      <c r="E3576" s="19" t="n"/>
      <c r="G3576" s="16" t="n"/>
      <c r="H3576" s="19" t="n"/>
      <c r="J3576" s="16" t="n"/>
      <c r="K3576" s="19" t="n"/>
    </row>
    <row r="3577">
      <c r="D3577" s="16" t="n"/>
      <c r="E3577" s="19" t="n"/>
      <c r="G3577" s="16" t="n"/>
      <c r="H3577" s="19" t="n"/>
      <c r="J3577" s="16" t="n"/>
      <c r="K3577" s="19" t="n"/>
    </row>
    <row r="3578">
      <c r="D3578" s="16" t="n"/>
      <c r="E3578" s="19" t="n"/>
      <c r="G3578" s="16" t="n"/>
      <c r="H3578" s="19" t="n"/>
      <c r="J3578" s="16" t="n"/>
      <c r="K3578" s="19" t="n"/>
    </row>
    <row r="3579">
      <c r="D3579" s="16" t="n"/>
      <c r="E3579" s="19" t="n"/>
      <c r="G3579" s="16" t="n"/>
      <c r="H3579" s="19" t="n"/>
      <c r="J3579" s="16" t="n"/>
      <c r="K3579" s="19" t="n"/>
    </row>
    <row r="3580">
      <c r="D3580" s="16" t="n"/>
      <c r="E3580" s="19" t="n"/>
      <c r="G3580" s="16" t="n"/>
      <c r="H3580" s="19" t="n"/>
      <c r="J3580" s="16" t="n"/>
      <c r="K3580" s="19" t="n"/>
    </row>
    <row r="3581">
      <c r="D3581" s="16" t="n"/>
      <c r="E3581" s="19" t="n"/>
      <c r="G3581" s="16" t="n"/>
      <c r="H3581" s="19" t="n"/>
      <c r="J3581" s="16" t="n"/>
      <c r="K3581" s="19" t="n"/>
    </row>
    <row r="3582">
      <c r="D3582" s="16" t="n"/>
      <c r="E3582" s="19" t="n"/>
      <c r="G3582" s="16" t="n"/>
      <c r="H3582" s="19" t="n"/>
      <c r="J3582" s="16" t="n"/>
      <c r="K3582" s="19" t="n"/>
    </row>
    <row r="3583">
      <c r="D3583" s="16" t="n"/>
      <c r="E3583" s="19" t="n"/>
      <c r="G3583" s="16" t="n"/>
      <c r="H3583" s="19" t="n"/>
      <c r="J3583" s="16" t="n"/>
      <c r="K3583" s="19" t="n"/>
    </row>
    <row r="3584">
      <c r="D3584" s="16" t="n"/>
      <c r="E3584" s="19" t="n"/>
      <c r="G3584" s="16" t="n"/>
      <c r="H3584" s="19" t="n"/>
      <c r="J3584" s="16" t="n"/>
      <c r="K3584" s="19" t="n"/>
    </row>
    <row r="3585">
      <c r="D3585" s="16" t="n"/>
      <c r="E3585" s="19" t="n"/>
      <c r="G3585" s="16" t="n"/>
      <c r="H3585" s="19" t="n"/>
      <c r="J3585" s="16" t="n"/>
      <c r="K3585" s="19" t="n"/>
    </row>
    <row r="3586">
      <c r="D3586" s="16" t="n"/>
      <c r="E3586" s="19" t="n"/>
      <c r="G3586" s="16" t="n"/>
      <c r="H3586" s="19" t="n"/>
      <c r="J3586" s="16" t="n"/>
      <c r="K3586" s="19" t="n"/>
    </row>
    <row r="3587">
      <c r="D3587" s="16" t="n"/>
      <c r="E3587" s="19" t="n"/>
      <c r="G3587" s="16" t="n"/>
      <c r="H3587" s="19" t="n"/>
      <c r="J3587" s="16" t="n"/>
      <c r="K3587" s="19" t="n"/>
    </row>
    <row r="3588">
      <c r="D3588" s="16" t="n"/>
      <c r="E3588" s="19" t="n"/>
      <c r="G3588" s="16" t="n"/>
      <c r="H3588" s="19" t="n"/>
      <c r="J3588" s="16" t="n"/>
      <c r="K3588" s="19" t="n"/>
    </row>
    <row r="3589">
      <c r="D3589" s="16" t="n"/>
      <c r="E3589" s="19" t="n"/>
      <c r="G3589" s="16" t="n"/>
      <c r="H3589" s="19" t="n"/>
      <c r="J3589" s="16" t="n"/>
      <c r="K3589" s="19" t="n"/>
    </row>
    <row r="3590">
      <c r="D3590" s="16" t="n"/>
      <c r="E3590" s="19" t="n"/>
      <c r="G3590" s="16" t="n"/>
      <c r="H3590" s="19" t="n"/>
      <c r="J3590" s="16" t="n"/>
      <c r="K3590" s="19" t="n"/>
    </row>
    <row r="3591">
      <c r="D3591" s="16" t="n"/>
      <c r="E3591" s="19" t="n"/>
      <c r="G3591" s="16" t="n"/>
      <c r="H3591" s="19" t="n"/>
      <c r="J3591" s="16" t="n"/>
      <c r="K3591" s="19" t="n"/>
    </row>
    <row r="3592">
      <c r="D3592" s="16" t="n"/>
      <c r="E3592" s="19" t="n"/>
      <c r="G3592" s="16" t="n"/>
      <c r="H3592" s="19" t="n"/>
      <c r="J3592" s="16" t="n"/>
      <c r="K3592" s="19" t="n"/>
    </row>
    <row r="3593">
      <c r="D3593" s="16" t="n"/>
      <c r="E3593" s="19" t="n"/>
      <c r="G3593" s="16" t="n"/>
      <c r="H3593" s="19" t="n"/>
      <c r="J3593" s="16" t="n"/>
      <c r="K3593" s="19" t="n"/>
    </row>
    <row r="3594">
      <c r="D3594" s="16" t="n"/>
      <c r="E3594" s="19" t="n"/>
      <c r="G3594" s="16" t="n"/>
      <c r="H3594" s="19" t="n"/>
      <c r="J3594" s="16" t="n"/>
      <c r="K3594" s="19" t="n"/>
    </row>
    <row r="3595">
      <c r="D3595" s="16" t="n"/>
      <c r="E3595" s="19" t="n"/>
      <c r="G3595" s="16" t="n"/>
      <c r="H3595" s="19" t="n"/>
      <c r="J3595" s="16" t="n"/>
      <c r="K3595" s="19" t="n"/>
    </row>
    <row r="3596">
      <c r="D3596" s="16" t="n"/>
      <c r="E3596" s="19" t="n"/>
      <c r="G3596" s="16" t="n"/>
      <c r="H3596" s="19" t="n"/>
      <c r="J3596" s="16" t="n"/>
      <c r="K3596" s="19" t="n"/>
    </row>
    <row r="3597">
      <c r="D3597" s="16" t="n"/>
      <c r="E3597" s="19" t="n"/>
      <c r="G3597" s="16" t="n"/>
      <c r="H3597" s="19" t="n"/>
      <c r="J3597" s="16" t="n"/>
      <c r="K3597" s="19" t="n"/>
    </row>
    <row r="3598">
      <c r="D3598" s="16" t="n"/>
      <c r="E3598" s="19" t="n"/>
      <c r="G3598" s="16" t="n"/>
      <c r="H3598" s="19" t="n"/>
      <c r="J3598" s="16" t="n"/>
      <c r="K3598" s="19" t="n"/>
    </row>
    <row r="3599">
      <c r="D3599" s="16" t="n"/>
      <c r="E3599" s="19" t="n"/>
      <c r="G3599" s="16" t="n"/>
      <c r="H3599" s="19" t="n"/>
      <c r="J3599" s="16" t="n"/>
      <c r="K3599" s="19" t="n"/>
    </row>
    <row r="3600">
      <c r="D3600" s="16" t="n"/>
      <c r="E3600" s="19" t="n"/>
      <c r="G3600" s="16" t="n"/>
      <c r="H3600" s="19" t="n"/>
      <c r="J3600" s="16" t="n"/>
      <c r="K3600" s="19" t="n"/>
    </row>
    <row r="3601">
      <c r="D3601" s="16" t="n"/>
      <c r="E3601" s="19" t="n"/>
      <c r="G3601" s="16" t="n"/>
      <c r="H3601" s="19" t="n"/>
      <c r="J3601" s="16" t="n"/>
      <c r="K3601" s="19" t="n"/>
    </row>
    <row r="3602">
      <c r="D3602" s="16" t="n"/>
      <c r="E3602" s="19" t="n"/>
      <c r="G3602" s="16" t="n"/>
      <c r="H3602" s="19" t="n"/>
      <c r="J3602" s="16" t="n"/>
      <c r="K3602" s="19" t="n"/>
    </row>
    <row r="3603">
      <c r="D3603" s="16" t="n"/>
      <c r="E3603" s="19" t="n"/>
      <c r="G3603" s="16" t="n"/>
      <c r="H3603" s="19" t="n"/>
      <c r="J3603" s="16" t="n"/>
      <c r="K3603" s="19" t="n"/>
    </row>
    <row r="3604">
      <c r="D3604" s="16" t="n"/>
      <c r="E3604" s="19" t="n"/>
      <c r="G3604" s="16" t="n"/>
      <c r="H3604" s="19" t="n"/>
      <c r="J3604" s="16" t="n"/>
      <c r="K3604" s="19" t="n"/>
    </row>
    <row r="3605">
      <c r="D3605" s="16" t="n"/>
      <c r="E3605" s="19" t="n"/>
      <c r="G3605" s="16" t="n"/>
      <c r="H3605" s="19" t="n"/>
      <c r="J3605" s="16" t="n"/>
      <c r="K3605" s="19" t="n"/>
    </row>
    <row r="3606">
      <c r="D3606" s="16" t="n"/>
      <c r="E3606" s="19" t="n"/>
      <c r="G3606" s="16" t="n"/>
      <c r="H3606" s="19" t="n"/>
      <c r="J3606" s="16" t="n"/>
      <c r="K3606" s="19" t="n"/>
    </row>
    <row r="3607">
      <c r="D3607" s="16" t="n"/>
      <c r="E3607" s="19" t="n"/>
      <c r="G3607" s="16" t="n"/>
      <c r="H3607" s="19" t="n"/>
      <c r="J3607" s="16" t="n"/>
      <c r="K3607" s="19" t="n"/>
    </row>
    <row r="3608">
      <c r="D3608" s="16" t="n"/>
      <c r="E3608" s="19" t="n"/>
      <c r="G3608" s="16" t="n"/>
      <c r="H3608" s="19" t="n"/>
      <c r="J3608" s="16" t="n"/>
      <c r="K3608" s="19" t="n"/>
    </row>
    <row r="3609">
      <c r="D3609" s="16" t="n"/>
      <c r="E3609" s="19" t="n"/>
      <c r="G3609" s="16" t="n"/>
      <c r="H3609" s="19" t="n"/>
      <c r="J3609" s="16" t="n"/>
      <c r="K3609" s="19" t="n"/>
    </row>
    <row r="3610">
      <c r="D3610" s="16" t="n"/>
      <c r="E3610" s="19" t="n"/>
      <c r="G3610" s="16" t="n"/>
      <c r="H3610" s="19" t="n"/>
      <c r="J3610" s="16" t="n"/>
      <c r="K3610" s="19" t="n"/>
    </row>
    <row r="3611">
      <c r="D3611" s="16" t="n"/>
      <c r="E3611" s="19" t="n"/>
      <c r="G3611" s="16" t="n"/>
      <c r="H3611" s="19" t="n"/>
      <c r="J3611" s="16" t="n"/>
      <c r="K3611" s="19" t="n"/>
    </row>
    <row r="3612">
      <c r="D3612" s="16" t="n"/>
      <c r="E3612" s="19" t="n"/>
      <c r="G3612" s="16" t="n"/>
      <c r="H3612" s="19" t="n"/>
      <c r="J3612" s="16" t="n"/>
      <c r="K3612" s="19" t="n"/>
    </row>
    <row r="3613">
      <c r="D3613" s="16" t="n"/>
      <c r="E3613" s="19" t="n"/>
      <c r="G3613" s="16" t="n"/>
      <c r="H3613" s="19" t="n"/>
      <c r="J3613" s="16" t="n"/>
      <c r="K3613" s="19" t="n"/>
    </row>
    <row r="3614">
      <c r="D3614" s="16" t="n"/>
      <c r="E3614" s="19" t="n"/>
      <c r="G3614" s="16" t="n"/>
      <c r="H3614" s="19" t="n"/>
      <c r="J3614" s="16" t="n"/>
      <c r="K3614" s="19" t="n"/>
    </row>
    <row r="3615">
      <c r="D3615" s="16" t="n"/>
      <c r="E3615" s="19" t="n"/>
      <c r="G3615" s="16" t="n"/>
      <c r="H3615" s="19" t="n"/>
      <c r="J3615" s="16" t="n"/>
      <c r="K3615" s="19" t="n"/>
    </row>
    <row r="3616">
      <c r="D3616" s="16" t="n"/>
      <c r="E3616" s="19" t="n"/>
      <c r="G3616" s="16" t="n"/>
      <c r="H3616" s="19" t="n"/>
      <c r="J3616" s="16" t="n"/>
      <c r="K3616" s="19" t="n"/>
    </row>
    <row r="3617">
      <c r="D3617" s="16" t="n"/>
      <c r="E3617" s="19" t="n"/>
      <c r="G3617" s="16" t="n"/>
      <c r="H3617" s="19" t="n"/>
      <c r="J3617" s="16" t="n"/>
      <c r="K3617" s="19" t="n"/>
    </row>
    <row r="3618">
      <c r="D3618" s="16" t="n"/>
      <c r="E3618" s="19" t="n"/>
      <c r="G3618" s="16" t="n"/>
      <c r="H3618" s="19" t="n"/>
      <c r="J3618" s="16" t="n"/>
      <c r="K3618" s="19" t="n"/>
    </row>
    <row r="3619">
      <c r="D3619" s="16" t="n"/>
      <c r="E3619" s="19" t="n"/>
      <c r="G3619" s="16" t="n"/>
      <c r="H3619" s="19" t="n"/>
      <c r="J3619" s="16" t="n"/>
      <c r="K3619" s="19" t="n"/>
    </row>
    <row r="3620">
      <c r="D3620" s="16" t="n"/>
      <c r="E3620" s="19" t="n"/>
      <c r="G3620" s="16" t="n"/>
      <c r="H3620" s="19" t="n"/>
      <c r="J3620" s="16" t="n"/>
      <c r="K3620" s="19" t="n"/>
    </row>
    <row r="3621">
      <c r="D3621" s="16" t="n"/>
      <c r="E3621" s="19" t="n"/>
      <c r="G3621" s="16" t="n"/>
      <c r="H3621" s="19" t="n"/>
      <c r="J3621" s="16" t="n"/>
      <c r="K3621" s="19" t="n"/>
    </row>
    <row r="3622">
      <c r="D3622" s="16" t="n"/>
      <c r="E3622" s="19" t="n"/>
      <c r="G3622" s="16" t="n"/>
      <c r="H3622" s="19" t="n"/>
      <c r="J3622" s="16" t="n"/>
      <c r="K3622" s="19" t="n"/>
    </row>
    <row r="3623">
      <c r="D3623" s="16" t="n"/>
      <c r="E3623" s="19" t="n"/>
      <c r="G3623" s="16" t="n"/>
      <c r="H3623" s="19" t="n"/>
      <c r="J3623" s="16" t="n"/>
      <c r="K3623" s="19" t="n"/>
    </row>
    <row r="3624">
      <c r="D3624" s="16" t="n"/>
      <c r="E3624" s="19" t="n"/>
      <c r="G3624" s="16" t="n"/>
      <c r="H3624" s="19" t="n"/>
      <c r="J3624" s="16" t="n"/>
      <c r="K3624" s="19" t="n"/>
    </row>
    <row r="3625">
      <c r="D3625" s="16" t="n"/>
      <c r="E3625" s="19" t="n"/>
      <c r="G3625" s="16" t="n"/>
      <c r="H3625" s="19" t="n"/>
      <c r="J3625" s="16" t="n"/>
      <c r="K3625" s="19" t="n"/>
    </row>
    <row r="3626">
      <c r="D3626" s="16" t="n"/>
      <c r="E3626" s="19" t="n"/>
      <c r="G3626" s="16" t="n"/>
      <c r="H3626" s="19" t="n"/>
      <c r="J3626" s="16" t="n"/>
      <c r="K3626" s="19" t="n"/>
    </row>
    <row r="3627">
      <c r="D3627" s="16" t="n"/>
      <c r="E3627" s="19" t="n"/>
      <c r="G3627" s="16" t="n"/>
      <c r="H3627" s="19" t="n"/>
      <c r="J3627" s="16" t="n"/>
      <c r="K3627" s="19" t="n"/>
    </row>
    <row r="3628">
      <c r="D3628" s="16" t="n"/>
      <c r="E3628" s="19" t="n"/>
      <c r="G3628" s="16" t="n"/>
      <c r="H3628" s="19" t="n"/>
      <c r="J3628" s="16" t="n"/>
      <c r="K3628" s="19" t="n"/>
    </row>
    <row r="3629">
      <c r="D3629" s="16" t="n"/>
      <c r="E3629" s="19" t="n"/>
      <c r="G3629" s="16" t="n"/>
      <c r="H3629" s="19" t="n"/>
      <c r="J3629" s="16" t="n"/>
      <c r="K3629" s="19" t="n"/>
    </row>
    <row r="3630">
      <c r="D3630" s="16" t="n"/>
      <c r="E3630" s="19" t="n"/>
      <c r="G3630" s="16" t="n"/>
      <c r="H3630" s="19" t="n"/>
      <c r="J3630" s="16" t="n"/>
      <c r="K3630" s="19" t="n"/>
    </row>
    <row r="3631">
      <c r="D3631" s="16" t="n"/>
      <c r="E3631" s="19" t="n"/>
      <c r="G3631" s="16" t="n"/>
      <c r="H3631" s="19" t="n"/>
      <c r="J3631" s="16" t="n"/>
      <c r="K3631" s="19" t="n"/>
    </row>
    <row r="3632">
      <c r="D3632" s="16" t="n"/>
      <c r="E3632" s="19" t="n"/>
      <c r="G3632" s="16" t="n"/>
      <c r="H3632" s="19" t="n"/>
      <c r="J3632" s="16" t="n"/>
      <c r="K3632" s="19" t="n"/>
    </row>
    <row r="3633">
      <c r="D3633" s="16" t="n"/>
      <c r="E3633" s="19" t="n"/>
      <c r="G3633" s="16" t="n"/>
      <c r="H3633" s="19" t="n"/>
      <c r="J3633" s="16" t="n"/>
      <c r="K3633" s="19" t="n"/>
    </row>
    <row r="3634">
      <c r="D3634" s="16" t="n"/>
      <c r="E3634" s="19" t="n"/>
      <c r="G3634" s="16" t="n"/>
      <c r="H3634" s="19" t="n"/>
      <c r="J3634" s="16" t="n"/>
      <c r="K3634" s="19" t="n"/>
    </row>
    <row r="3635">
      <c r="D3635" s="16" t="n"/>
      <c r="E3635" s="19" t="n"/>
      <c r="G3635" s="16" t="n"/>
      <c r="H3635" s="19" t="n"/>
      <c r="J3635" s="16" t="n"/>
      <c r="K3635" s="19" t="n"/>
    </row>
    <row r="3636">
      <c r="D3636" s="16" t="n"/>
      <c r="E3636" s="19" t="n"/>
      <c r="G3636" s="16" t="n"/>
      <c r="H3636" s="19" t="n"/>
      <c r="J3636" s="16" t="n"/>
      <c r="K3636" s="19" t="n"/>
    </row>
    <row r="3637">
      <c r="D3637" s="16" t="n"/>
      <c r="E3637" s="19" t="n"/>
      <c r="G3637" s="16" t="n"/>
      <c r="H3637" s="19" t="n"/>
      <c r="J3637" s="16" t="n"/>
      <c r="K3637" s="19" t="n"/>
    </row>
    <row r="3638">
      <c r="D3638" s="16" t="n"/>
      <c r="E3638" s="19" t="n"/>
      <c r="G3638" s="16" t="n"/>
      <c r="H3638" s="19" t="n"/>
      <c r="J3638" s="16" t="n"/>
      <c r="K3638" s="19" t="n"/>
    </row>
    <row r="3639">
      <c r="D3639" s="16" t="n"/>
      <c r="E3639" s="19" t="n"/>
      <c r="G3639" s="16" t="n"/>
      <c r="H3639" s="19" t="n"/>
      <c r="J3639" s="16" t="n"/>
      <c r="K3639" s="19" t="n"/>
    </row>
    <row r="3640">
      <c r="D3640" s="16" t="n"/>
      <c r="E3640" s="19" t="n"/>
      <c r="G3640" s="16" t="n"/>
      <c r="H3640" s="19" t="n"/>
      <c r="J3640" s="16" t="n"/>
      <c r="K3640" s="19" t="n"/>
    </row>
    <row r="3641">
      <c r="D3641" s="16" t="n"/>
      <c r="E3641" s="19" t="n"/>
      <c r="G3641" s="16" t="n"/>
      <c r="H3641" s="19" t="n"/>
      <c r="J3641" s="16" t="n"/>
      <c r="K3641" s="19" t="n"/>
    </row>
    <row r="3642">
      <c r="D3642" s="16" t="n"/>
      <c r="E3642" s="19" t="n"/>
      <c r="G3642" s="16" t="n"/>
      <c r="H3642" s="19" t="n"/>
      <c r="J3642" s="16" t="n"/>
      <c r="K3642" s="19" t="n"/>
    </row>
    <row r="3643">
      <c r="D3643" s="16" t="n"/>
      <c r="E3643" s="19" t="n"/>
      <c r="G3643" s="16" t="n"/>
      <c r="H3643" s="19" t="n"/>
      <c r="J3643" s="16" t="n"/>
      <c r="K3643" s="19" t="n"/>
    </row>
    <row r="3644">
      <c r="D3644" s="16" t="n"/>
      <c r="E3644" s="19" t="n"/>
      <c r="G3644" s="16" t="n"/>
      <c r="H3644" s="19" t="n"/>
      <c r="J3644" s="16" t="n"/>
      <c r="K3644" s="19" t="n"/>
    </row>
    <row r="3645">
      <c r="D3645" s="16" t="n"/>
      <c r="E3645" s="19" t="n"/>
      <c r="G3645" s="16" t="n"/>
      <c r="H3645" s="19" t="n"/>
      <c r="J3645" s="16" t="n"/>
      <c r="K3645" s="19" t="n"/>
    </row>
    <row r="3646">
      <c r="D3646" s="16" t="n"/>
      <c r="E3646" s="19" t="n"/>
      <c r="G3646" s="16" t="n"/>
      <c r="H3646" s="19" t="n"/>
      <c r="J3646" s="16" t="n"/>
      <c r="K3646" s="19" t="n"/>
    </row>
    <row r="3647">
      <c r="D3647" s="16" t="n"/>
      <c r="E3647" s="19" t="n"/>
      <c r="G3647" s="16" t="n"/>
      <c r="H3647" s="19" t="n"/>
      <c r="J3647" s="16" t="n"/>
      <c r="K3647" s="19" t="n"/>
    </row>
    <row r="3648">
      <c r="D3648" s="16" t="n"/>
      <c r="E3648" s="19" t="n"/>
      <c r="G3648" s="16" t="n"/>
      <c r="H3648" s="19" t="n"/>
      <c r="J3648" s="16" t="n"/>
      <c r="K3648" s="19" t="n"/>
    </row>
    <row r="3649">
      <c r="D3649" s="16" t="n"/>
      <c r="E3649" s="19" t="n"/>
      <c r="G3649" s="16" t="n"/>
      <c r="H3649" s="19" t="n"/>
      <c r="J3649" s="16" t="n"/>
      <c r="K3649" s="19" t="n"/>
    </row>
    <row r="3650">
      <c r="D3650" s="16" t="n"/>
      <c r="E3650" s="19" t="n"/>
      <c r="G3650" s="16" t="n"/>
      <c r="H3650" s="19" t="n"/>
      <c r="J3650" s="16" t="n"/>
      <c r="K3650" s="19" t="n"/>
    </row>
    <row r="3651">
      <c r="D3651" s="16" t="n"/>
      <c r="E3651" s="19" t="n"/>
      <c r="G3651" s="16" t="n"/>
      <c r="H3651" s="19" t="n"/>
      <c r="J3651" s="16" t="n"/>
      <c r="K3651" s="19" t="n"/>
    </row>
    <row r="3652">
      <c r="D3652" s="16" t="n"/>
      <c r="E3652" s="19" t="n"/>
      <c r="G3652" s="16" t="n"/>
      <c r="H3652" s="19" t="n"/>
      <c r="J3652" s="16" t="n"/>
      <c r="K3652" s="19" t="n"/>
    </row>
    <row r="3653">
      <c r="D3653" s="16" t="n"/>
      <c r="E3653" s="19" t="n"/>
      <c r="G3653" s="16" t="n"/>
      <c r="H3653" s="19" t="n"/>
      <c r="J3653" s="16" t="n"/>
      <c r="K3653" s="19" t="n"/>
    </row>
    <row r="3654">
      <c r="D3654" s="16" t="n"/>
      <c r="E3654" s="19" t="n"/>
      <c r="G3654" s="16" t="n"/>
      <c r="H3654" s="19" t="n"/>
      <c r="J3654" s="16" t="n"/>
      <c r="K3654" s="19" t="n"/>
    </row>
    <row r="3655">
      <c r="D3655" s="16" t="n"/>
      <c r="E3655" s="19" t="n"/>
      <c r="G3655" s="16" t="n"/>
      <c r="H3655" s="19" t="n"/>
      <c r="J3655" s="16" t="n"/>
      <c r="K3655" s="19" t="n"/>
    </row>
    <row r="3656">
      <c r="D3656" s="16" t="n"/>
      <c r="E3656" s="19" t="n"/>
      <c r="G3656" s="16" t="n"/>
      <c r="H3656" s="19" t="n"/>
      <c r="J3656" s="16" t="n"/>
      <c r="K3656" s="19" t="n"/>
    </row>
    <row r="3657">
      <c r="D3657" s="16" t="n"/>
      <c r="E3657" s="19" t="n"/>
      <c r="G3657" s="16" t="n"/>
      <c r="H3657" s="19" t="n"/>
      <c r="J3657" s="16" t="n"/>
      <c r="K3657" s="19" t="n"/>
    </row>
    <row r="3658">
      <c r="D3658" s="16" t="n"/>
      <c r="E3658" s="19" t="n"/>
      <c r="G3658" s="16" t="n"/>
      <c r="H3658" s="19" t="n"/>
      <c r="J3658" s="16" t="n"/>
      <c r="K3658" s="19" t="n"/>
    </row>
    <row r="3659">
      <c r="D3659" s="16" t="n"/>
      <c r="E3659" s="19" t="n"/>
      <c r="G3659" s="16" t="n"/>
      <c r="H3659" s="19" t="n"/>
      <c r="J3659" s="16" t="n"/>
      <c r="K3659" s="19" t="n"/>
    </row>
    <row r="3660">
      <c r="D3660" s="16" t="n"/>
      <c r="E3660" s="19" t="n"/>
      <c r="G3660" s="16" t="n"/>
      <c r="H3660" s="19" t="n"/>
      <c r="J3660" s="16" t="n"/>
      <c r="K3660" s="19" t="n"/>
    </row>
    <row r="3661">
      <c r="D3661" s="16" t="n"/>
      <c r="E3661" s="19" t="n"/>
      <c r="G3661" s="16" t="n"/>
      <c r="H3661" s="19" t="n"/>
      <c r="J3661" s="16" t="n"/>
      <c r="K3661" s="19" t="n"/>
    </row>
    <row r="3662">
      <c r="D3662" s="16" t="n"/>
      <c r="E3662" s="19" t="n"/>
      <c r="G3662" s="16" t="n"/>
      <c r="H3662" s="19" t="n"/>
      <c r="J3662" s="16" t="n"/>
      <c r="K3662" s="19" t="n"/>
    </row>
    <row r="3663">
      <c r="D3663" s="16" t="n"/>
      <c r="E3663" s="19" t="n"/>
      <c r="G3663" s="16" t="n"/>
      <c r="H3663" s="19" t="n"/>
      <c r="J3663" s="16" t="n"/>
      <c r="K3663" s="19" t="n"/>
    </row>
    <row r="3664">
      <c r="D3664" s="16" t="n"/>
      <c r="E3664" s="19" t="n"/>
      <c r="G3664" s="16" t="n"/>
      <c r="H3664" s="19" t="n"/>
      <c r="J3664" s="16" t="n"/>
      <c r="K3664" s="19" t="n"/>
    </row>
    <row r="3665">
      <c r="D3665" s="16" t="n"/>
      <c r="E3665" s="19" t="n"/>
      <c r="G3665" s="16" t="n"/>
      <c r="H3665" s="19" t="n"/>
      <c r="J3665" s="16" t="n"/>
      <c r="K3665" s="19" t="n"/>
    </row>
    <row r="3666">
      <c r="D3666" s="16" t="n"/>
      <c r="E3666" s="19" t="n"/>
      <c r="G3666" s="16" t="n"/>
      <c r="H3666" s="19" t="n"/>
      <c r="J3666" s="16" t="n"/>
      <c r="K3666" s="19" t="n"/>
    </row>
    <row r="3667">
      <c r="D3667" s="16" t="n"/>
      <c r="E3667" s="19" t="n"/>
      <c r="G3667" s="16" t="n"/>
      <c r="H3667" s="19" t="n"/>
      <c r="J3667" s="16" t="n"/>
      <c r="K3667" s="19" t="n"/>
    </row>
    <row r="3668">
      <c r="D3668" s="16" t="n"/>
      <c r="E3668" s="19" t="n"/>
      <c r="G3668" s="16" t="n"/>
      <c r="H3668" s="19" t="n"/>
      <c r="J3668" s="16" t="n"/>
      <c r="K3668" s="19" t="n"/>
    </row>
    <row r="3669">
      <c r="D3669" s="16" t="n"/>
      <c r="E3669" s="19" t="n"/>
      <c r="G3669" s="16" t="n"/>
      <c r="H3669" s="19" t="n"/>
      <c r="J3669" s="16" t="n"/>
      <c r="K3669" s="19" t="n"/>
    </row>
    <row r="3670">
      <c r="D3670" s="16" t="n"/>
      <c r="E3670" s="19" t="n"/>
      <c r="G3670" s="16" t="n"/>
      <c r="H3670" s="19" t="n"/>
      <c r="J3670" s="16" t="n"/>
      <c r="K3670" s="19" t="n"/>
    </row>
    <row r="3671">
      <c r="D3671" s="16" t="n"/>
      <c r="E3671" s="19" t="n"/>
      <c r="G3671" s="16" t="n"/>
      <c r="H3671" s="19" t="n"/>
      <c r="J3671" s="16" t="n"/>
      <c r="K3671" s="19" t="n"/>
    </row>
    <row r="3672">
      <c r="D3672" s="16" t="n"/>
      <c r="E3672" s="19" t="n"/>
      <c r="G3672" s="16" t="n"/>
      <c r="H3672" s="19" t="n"/>
      <c r="J3672" s="16" t="n"/>
      <c r="K3672" s="19" t="n"/>
    </row>
    <row r="3673">
      <c r="D3673" s="16" t="n"/>
      <c r="E3673" s="19" t="n"/>
      <c r="G3673" s="16" t="n"/>
      <c r="H3673" s="19" t="n"/>
      <c r="J3673" s="16" t="n"/>
      <c r="K3673" s="19" t="n"/>
    </row>
    <row r="3674">
      <c r="D3674" s="16" t="n"/>
      <c r="E3674" s="19" t="n"/>
      <c r="G3674" s="16" t="n"/>
      <c r="H3674" s="19" t="n"/>
      <c r="J3674" s="16" t="n"/>
      <c r="K3674" s="19" t="n"/>
    </row>
    <row r="3675">
      <c r="D3675" s="16" t="n"/>
      <c r="E3675" s="19" t="n"/>
      <c r="G3675" s="16" t="n"/>
      <c r="H3675" s="19" t="n"/>
      <c r="J3675" s="16" t="n"/>
      <c r="K3675" s="19" t="n"/>
    </row>
    <row r="3676">
      <c r="D3676" s="16" t="n"/>
      <c r="E3676" s="19" t="n"/>
      <c r="G3676" s="16" t="n"/>
      <c r="H3676" s="19" t="n"/>
      <c r="J3676" s="16" t="n"/>
      <c r="K3676" s="19" t="n"/>
    </row>
    <row r="3677">
      <c r="D3677" s="16" t="n"/>
      <c r="E3677" s="19" t="n"/>
      <c r="G3677" s="16" t="n"/>
      <c r="H3677" s="19" t="n"/>
      <c r="J3677" s="16" t="n"/>
      <c r="K3677" s="19" t="n"/>
    </row>
    <row r="3678">
      <c r="D3678" s="16" t="n"/>
      <c r="E3678" s="19" t="n"/>
      <c r="G3678" s="16" t="n"/>
      <c r="H3678" s="19" t="n"/>
      <c r="J3678" s="16" t="n"/>
      <c r="K3678" s="19" t="n"/>
    </row>
    <row r="3679">
      <c r="D3679" s="16" t="n"/>
      <c r="E3679" s="19" t="n"/>
      <c r="G3679" s="16" t="n"/>
      <c r="H3679" s="19" t="n"/>
      <c r="J3679" s="16" t="n"/>
      <c r="K3679" s="19" t="n"/>
    </row>
    <row r="3680">
      <c r="D3680" s="16" t="n"/>
      <c r="E3680" s="19" t="n"/>
      <c r="G3680" s="16" t="n"/>
      <c r="H3680" s="19" t="n"/>
      <c r="J3680" s="16" t="n"/>
      <c r="K3680" s="19" t="n"/>
    </row>
    <row r="3681">
      <c r="D3681" s="16" t="n"/>
      <c r="E3681" s="19" t="n"/>
      <c r="G3681" s="16" t="n"/>
      <c r="H3681" s="19" t="n"/>
      <c r="J3681" s="16" t="n"/>
      <c r="K3681" s="19" t="n"/>
    </row>
    <row r="3682">
      <c r="D3682" s="16" t="n"/>
      <c r="E3682" s="19" t="n"/>
      <c r="G3682" s="16" t="n"/>
      <c r="H3682" s="19" t="n"/>
      <c r="J3682" s="16" t="n"/>
      <c r="K3682" s="19" t="n"/>
    </row>
    <row r="3683">
      <c r="D3683" s="16" t="n"/>
      <c r="E3683" s="19" t="n"/>
      <c r="G3683" s="16" t="n"/>
      <c r="H3683" s="19" t="n"/>
      <c r="J3683" s="16" t="n"/>
      <c r="K3683" s="19" t="n"/>
    </row>
    <row r="3684">
      <c r="D3684" s="16" t="n"/>
      <c r="E3684" s="19" t="n"/>
      <c r="G3684" s="16" t="n"/>
      <c r="H3684" s="19" t="n"/>
      <c r="J3684" s="16" t="n"/>
      <c r="K3684" s="19" t="n"/>
    </row>
    <row r="3685">
      <c r="D3685" s="16" t="n"/>
      <c r="E3685" s="19" t="n"/>
      <c r="G3685" s="16" t="n"/>
      <c r="H3685" s="19" t="n"/>
      <c r="J3685" s="16" t="n"/>
      <c r="K3685" s="19" t="n"/>
    </row>
    <row r="3686">
      <c r="D3686" s="16" t="n"/>
      <c r="E3686" s="19" t="n"/>
      <c r="G3686" s="16" t="n"/>
      <c r="H3686" s="19" t="n"/>
      <c r="J3686" s="16" t="n"/>
      <c r="K3686" s="19" t="n"/>
    </row>
    <row r="3687">
      <c r="D3687" s="16" t="n"/>
      <c r="E3687" s="19" t="n"/>
      <c r="G3687" s="16" t="n"/>
      <c r="H3687" s="19" t="n"/>
      <c r="J3687" s="16" t="n"/>
      <c r="K3687" s="19" t="n"/>
    </row>
    <row r="3688">
      <c r="D3688" s="16" t="n"/>
      <c r="E3688" s="19" t="n"/>
      <c r="G3688" s="16" t="n"/>
      <c r="H3688" s="19" t="n"/>
      <c r="J3688" s="16" t="n"/>
      <c r="K3688" s="19" t="n"/>
    </row>
    <row r="3689">
      <c r="D3689" s="16" t="n"/>
      <c r="E3689" s="19" t="n"/>
      <c r="G3689" s="16" t="n"/>
      <c r="H3689" s="19" t="n"/>
      <c r="J3689" s="16" t="n"/>
      <c r="K3689" s="19" t="n"/>
    </row>
    <row r="3690">
      <c r="D3690" s="16" t="n"/>
      <c r="E3690" s="19" t="n"/>
      <c r="G3690" s="16" t="n"/>
      <c r="H3690" s="19" t="n"/>
      <c r="J3690" s="16" t="n"/>
      <c r="K3690" s="19" t="n"/>
    </row>
    <row r="3691">
      <c r="D3691" s="16" t="n"/>
      <c r="E3691" s="19" t="n"/>
      <c r="G3691" s="16" t="n"/>
      <c r="H3691" s="19" t="n"/>
      <c r="J3691" s="16" t="n"/>
      <c r="K3691" s="19" t="n"/>
    </row>
    <row r="3692">
      <c r="D3692" s="16" t="n"/>
      <c r="E3692" s="19" t="n"/>
      <c r="G3692" s="16" t="n"/>
      <c r="H3692" s="19" t="n"/>
      <c r="J3692" s="16" t="n"/>
      <c r="K3692" s="19" t="n"/>
    </row>
    <row r="3693">
      <c r="D3693" s="16" t="n"/>
      <c r="E3693" s="19" t="n"/>
      <c r="G3693" s="16" t="n"/>
      <c r="H3693" s="19" t="n"/>
      <c r="J3693" s="16" t="n"/>
      <c r="K3693" s="19" t="n"/>
    </row>
    <row r="3694">
      <c r="D3694" s="16" t="n"/>
      <c r="E3694" s="19" t="n"/>
      <c r="G3694" s="16" t="n"/>
      <c r="H3694" s="19" t="n"/>
      <c r="J3694" s="16" t="n"/>
      <c r="K3694" s="19" t="n"/>
    </row>
    <row r="3695">
      <c r="D3695" s="16" t="n"/>
      <c r="E3695" s="19" t="n"/>
      <c r="G3695" s="16" t="n"/>
      <c r="H3695" s="19" t="n"/>
      <c r="J3695" s="16" t="n"/>
      <c r="K3695" s="19" t="n"/>
    </row>
    <row r="3696">
      <c r="D3696" s="16" t="n"/>
      <c r="E3696" s="19" t="n"/>
      <c r="G3696" s="16" t="n"/>
      <c r="H3696" s="19" t="n"/>
      <c r="J3696" s="16" t="n"/>
      <c r="K3696" s="19" t="n"/>
    </row>
    <row r="3697">
      <c r="D3697" s="16" t="n"/>
      <c r="E3697" s="19" t="n"/>
      <c r="G3697" s="16" t="n"/>
      <c r="H3697" s="19" t="n"/>
      <c r="J3697" s="16" t="n"/>
      <c r="K3697" s="19" t="n"/>
    </row>
    <row r="3698">
      <c r="D3698" s="16" t="n"/>
      <c r="E3698" s="19" t="n"/>
      <c r="G3698" s="16" t="n"/>
      <c r="H3698" s="19" t="n"/>
      <c r="J3698" s="16" t="n"/>
      <c r="K3698" s="19" t="n"/>
    </row>
    <row r="3699">
      <c r="D3699" s="16" t="n"/>
      <c r="E3699" s="19" t="n"/>
      <c r="G3699" s="16" t="n"/>
      <c r="H3699" s="19" t="n"/>
      <c r="J3699" s="16" t="n"/>
      <c r="K3699" s="19" t="n"/>
    </row>
    <row r="3700">
      <c r="D3700" s="16" t="n"/>
      <c r="E3700" s="19" t="n"/>
      <c r="G3700" s="16" t="n"/>
      <c r="H3700" s="19" t="n"/>
      <c r="J3700" s="16" t="n"/>
      <c r="K3700" s="19" t="n"/>
    </row>
    <row r="3701">
      <c r="D3701" s="16" t="n"/>
      <c r="E3701" s="19" t="n"/>
      <c r="G3701" s="16" t="n"/>
      <c r="H3701" s="19" t="n"/>
      <c r="J3701" s="16" t="n"/>
      <c r="K3701" s="19" t="n"/>
    </row>
    <row r="3702">
      <c r="D3702" s="16" t="n"/>
      <c r="E3702" s="19" t="n"/>
      <c r="G3702" s="16" t="n"/>
      <c r="H3702" s="19" t="n"/>
      <c r="J3702" s="16" t="n"/>
      <c r="K3702" s="19" t="n"/>
    </row>
    <row r="3703">
      <c r="D3703" s="16" t="n"/>
      <c r="E3703" s="19" t="n"/>
      <c r="G3703" s="16" t="n"/>
      <c r="H3703" s="19" t="n"/>
      <c r="J3703" s="16" t="n"/>
      <c r="K3703" s="19" t="n"/>
    </row>
    <row r="3704">
      <c r="D3704" s="16" t="n"/>
      <c r="E3704" s="19" t="n"/>
      <c r="G3704" s="16" t="n"/>
      <c r="H3704" s="19" t="n"/>
      <c r="J3704" s="16" t="n"/>
      <c r="K3704" s="19" t="n"/>
    </row>
    <row r="3705">
      <c r="D3705" s="16" t="n"/>
      <c r="E3705" s="19" t="n"/>
      <c r="G3705" s="16" t="n"/>
      <c r="H3705" s="19" t="n"/>
      <c r="J3705" s="16" t="n"/>
      <c r="K3705" s="19" t="n"/>
    </row>
    <row r="3706">
      <c r="D3706" s="16" t="n"/>
      <c r="E3706" s="19" t="n"/>
      <c r="G3706" s="16" t="n"/>
      <c r="H3706" s="19" t="n"/>
      <c r="J3706" s="16" t="n"/>
      <c r="K3706" s="19" t="n"/>
    </row>
    <row r="3707">
      <c r="D3707" s="16" t="n"/>
      <c r="E3707" s="19" t="n"/>
      <c r="G3707" s="16" t="n"/>
      <c r="H3707" s="19" t="n"/>
      <c r="J3707" s="16" t="n"/>
      <c r="K3707" s="19" t="n"/>
    </row>
    <row r="3708">
      <c r="D3708" s="16" t="n"/>
      <c r="E3708" s="19" t="n"/>
      <c r="G3708" s="16" t="n"/>
      <c r="H3708" s="19" t="n"/>
      <c r="J3708" s="16" t="n"/>
      <c r="K3708" s="19" t="n"/>
    </row>
    <row r="3709">
      <c r="D3709" s="16" t="n"/>
      <c r="E3709" s="19" t="n"/>
      <c r="G3709" s="16" t="n"/>
      <c r="H3709" s="19" t="n"/>
      <c r="J3709" s="16" t="n"/>
      <c r="K3709" s="19" t="n"/>
    </row>
    <row r="3710">
      <c r="D3710" s="16" t="n"/>
      <c r="E3710" s="19" t="n"/>
      <c r="G3710" s="16" t="n"/>
      <c r="H3710" s="19" t="n"/>
      <c r="J3710" s="16" t="n"/>
      <c r="K3710" s="19" t="n"/>
    </row>
    <row r="3711">
      <c r="D3711" s="16" t="n"/>
      <c r="E3711" s="19" t="n"/>
      <c r="G3711" s="16" t="n"/>
      <c r="H3711" s="19" t="n"/>
      <c r="J3711" s="16" t="n"/>
      <c r="K3711" s="19" t="n"/>
    </row>
    <row r="3712">
      <c r="D3712" s="16" t="n"/>
      <c r="E3712" s="19" t="n"/>
      <c r="G3712" s="16" t="n"/>
      <c r="H3712" s="19" t="n"/>
      <c r="J3712" s="16" t="n"/>
      <c r="K3712" s="19" t="n"/>
    </row>
    <row r="3713">
      <c r="D3713" s="16" t="n"/>
      <c r="E3713" s="19" t="n"/>
      <c r="G3713" s="16" t="n"/>
      <c r="H3713" s="19" t="n"/>
      <c r="J3713" s="16" t="n"/>
      <c r="K3713" s="19" t="n"/>
    </row>
    <row r="3714">
      <c r="D3714" s="16" t="n"/>
      <c r="E3714" s="19" t="n"/>
      <c r="G3714" s="16" t="n"/>
      <c r="H3714" s="19" t="n"/>
      <c r="J3714" s="16" t="n"/>
      <c r="K3714" s="19" t="n"/>
    </row>
    <row r="3715">
      <c r="D3715" s="16" t="n"/>
      <c r="E3715" s="19" t="n"/>
      <c r="G3715" s="16" t="n"/>
      <c r="H3715" s="19" t="n"/>
      <c r="J3715" s="16" t="n"/>
      <c r="K3715" s="19" t="n"/>
    </row>
    <row r="3716">
      <c r="D3716" s="16" t="n"/>
      <c r="E3716" s="19" t="n"/>
      <c r="G3716" s="16" t="n"/>
      <c r="H3716" s="19" t="n"/>
      <c r="J3716" s="16" t="n"/>
      <c r="K3716" s="19" t="n"/>
    </row>
    <row r="3717">
      <c r="D3717" s="16" t="n"/>
      <c r="E3717" s="19" t="n"/>
      <c r="G3717" s="16" t="n"/>
      <c r="H3717" s="19" t="n"/>
      <c r="J3717" s="16" t="n"/>
      <c r="K3717" s="19" t="n"/>
    </row>
    <row r="3718">
      <c r="D3718" s="16" t="n"/>
      <c r="E3718" s="19" t="n"/>
      <c r="G3718" s="16" t="n"/>
      <c r="H3718" s="19" t="n"/>
      <c r="J3718" s="16" t="n"/>
      <c r="K3718" s="19" t="n"/>
    </row>
    <row r="3719">
      <c r="D3719" s="16" t="n"/>
      <c r="E3719" s="19" t="n"/>
      <c r="G3719" s="16" t="n"/>
      <c r="H3719" s="19" t="n"/>
      <c r="J3719" s="16" t="n"/>
      <c r="K3719" s="19" t="n"/>
    </row>
    <row r="3720">
      <c r="D3720" s="16" t="n"/>
      <c r="E3720" s="19" t="n"/>
      <c r="G3720" s="16" t="n"/>
      <c r="H3720" s="19" t="n"/>
      <c r="J3720" s="16" t="n"/>
      <c r="K3720" s="19" t="n"/>
    </row>
    <row r="3721">
      <c r="D3721" s="16" t="n"/>
      <c r="E3721" s="19" t="n"/>
      <c r="G3721" s="16" t="n"/>
      <c r="H3721" s="19" t="n"/>
      <c r="J3721" s="16" t="n"/>
      <c r="K3721" s="19" t="n"/>
    </row>
    <row r="3722">
      <c r="D3722" s="16" t="n"/>
      <c r="E3722" s="19" t="n"/>
      <c r="G3722" s="16" t="n"/>
      <c r="H3722" s="19" t="n"/>
      <c r="J3722" s="16" t="n"/>
      <c r="K3722" s="19" t="n"/>
    </row>
    <row r="3723">
      <c r="D3723" s="16" t="n"/>
      <c r="E3723" s="19" t="n"/>
      <c r="G3723" s="16" t="n"/>
      <c r="H3723" s="19" t="n"/>
      <c r="J3723" s="16" t="n"/>
      <c r="K3723" s="19" t="n"/>
    </row>
    <row r="3724">
      <c r="D3724" s="16" t="n"/>
      <c r="E3724" s="19" t="n"/>
      <c r="G3724" s="16" t="n"/>
      <c r="H3724" s="19" t="n"/>
      <c r="J3724" s="16" t="n"/>
      <c r="K3724" s="19" t="n"/>
    </row>
    <row r="3725">
      <c r="D3725" s="16" t="n"/>
      <c r="E3725" s="19" t="n"/>
      <c r="G3725" s="16" t="n"/>
      <c r="H3725" s="19" t="n"/>
      <c r="J3725" s="16" t="n"/>
      <c r="K3725" s="19" t="n"/>
    </row>
    <row r="3726">
      <c r="D3726" s="16" t="n"/>
      <c r="E3726" s="19" t="n"/>
      <c r="G3726" s="16" t="n"/>
      <c r="H3726" s="19" t="n"/>
      <c r="J3726" s="16" t="n"/>
      <c r="K3726" s="19" t="n"/>
    </row>
    <row r="3727">
      <c r="D3727" s="16" t="n"/>
      <c r="E3727" s="19" t="n"/>
      <c r="G3727" s="16" t="n"/>
      <c r="H3727" s="19" t="n"/>
      <c r="J3727" s="16" t="n"/>
      <c r="K3727" s="19" t="n"/>
    </row>
    <row r="3728">
      <c r="D3728" s="16" t="n"/>
      <c r="E3728" s="19" t="n"/>
      <c r="G3728" s="16" t="n"/>
      <c r="H3728" s="19" t="n"/>
      <c r="J3728" s="16" t="n"/>
      <c r="K3728" s="19" t="n"/>
    </row>
    <row r="3729">
      <c r="D3729" s="16" t="n"/>
      <c r="E3729" s="19" t="n"/>
      <c r="G3729" s="16" t="n"/>
      <c r="H3729" s="19" t="n"/>
      <c r="J3729" s="16" t="n"/>
      <c r="K3729" s="19" t="n"/>
    </row>
    <row r="3730">
      <c r="D3730" s="16" t="n"/>
      <c r="E3730" s="19" t="n"/>
      <c r="G3730" s="16" t="n"/>
      <c r="H3730" s="19" t="n"/>
      <c r="J3730" s="16" t="n"/>
      <c r="K3730" s="19" t="n"/>
    </row>
    <row r="3731">
      <c r="D3731" s="16" t="n"/>
      <c r="E3731" s="19" t="n"/>
      <c r="G3731" s="16" t="n"/>
      <c r="H3731" s="19" t="n"/>
      <c r="J3731" s="16" t="n"/>
      <c r="K3731" s="19" t="n"/>
    </row>
    <row r="3732">
      <c r="D3732" s="16" t="n"/>
      <c r="E3732" s="19" t="n"/>
      <c r="G3732" s="16" t="n"/>
      <c r="H3732" s="19" t="n"/>
      <c r="J3732" s="16" t="n"/>
      <c r="K3732" s="19" t="n"/>
    </row>
    <row r="3733">
      <c r="D3733" s="16" t="n"/>
      <c r="E3733" s="19" t="n"/>
      <c r="G3733" s="16" t="n"/>
      <c r="H3733" s="19" t="n"/>
      <c r="J3733" s="16" t="n"/>
      <c r="K3733" s="19" t="n"/>
    </row>
    <row r="3734">
      <c r="D3734" s="16" t="n"/>
      <c r="E3734" s="19" t="n"/>
      <c r="G3734" s="16" t="n"/>
      <c r="H3734" s="19" t="n"/>
      <c r="J3734" s="16" t="n"/>
      <c r="K3734" s="19" t="n"/>
    </row>
    <row r="3735">
      <c r="D3735" s="16" t="n"/>
      <c r="E3735" s="19" t="n"/>
      <c r="G3735" s="16" t="n"/>
      <c r="H3735" s="19" t="n"/>
      <c r="J3735" s="16" t="n"/>
      <c r="K3735" s="19" t="n"/>
    </row>
    <row r="3736">
      <c r="D3736" s="16" t="n"/>
      <c r="E3736" s="19" t="n"/>
      <c r="G3736" s="16" t="n"/>
      <c r="H3736" s="19" t="n"/>
      <c r="J3736" s="16" t="n"/>
      <c r="K3736" s="19" t="n"/>
    </row>
    <row r="3737">
      <c r="D3737" s="16" t="n"/>
      <c r="E3737" s="19" t="n"/>
      <c r="G3737" s="16" t="n"/>
      <c r="H3737" s="19" t="n"/>
      <c r="J3737" s="16" t="n"/>
      <c r="K3737" s="19" t="n"/>
    </row>
    <row r="3738">
      <c r="D3738" s="16" t="n"/>
      <c r="E3738" s="19" t="n"/>
      <c r="G3738" s="16" t="n"/>
      <c r="H3738" s="19" t="n"/>
      <c r="J3738" s="16" t="n"/>
      <c r="K3738" s="19" t="n"/>
    </row>
    <row r="3739">
      <c r="D3739" s="16" t="n"/>
      <c r="E3739" s="19" t="n"/>
      <c r="G3739" s="16" t="n"/>
      <c r="H3739" s="19" t="n"/>
      <c r="J3739" s="16" t="n"/>
      <c r="K3739" s="19" t="n"/>
    </row>
    <row r="3740">
      <c r="D3740" s="16" t="n"/>
      <c r="E3740" s="19" t="n"/>
      <c r="G3740" s="16" t="n"/>
      <c r="H3740" s="19" t="n"/>
      <c r="J3740" s="16" t="n"/>
      <c r="K3740" s="19" t="n"/>
    </row>
    <row r="3741">
      <c r="D3741" s="16" t="n"/>
      <c r="E3741" s="19" t="n"/>
      <c r="G3741" s="16" t="n"/>
      <c r="H3741" s="19" t="n"/>
      <c r="J3741" s="16" t="n"/>
      <c r="K3741" s="19" t="n"/>
    </row>
    <row r="3742">
      <c r="D3742" s="16" t="n"/>
      <c r="E3742" s="19" t="n"/>
      <c r="G3742" s="16" t="n"/>
      <c r="H3742" s="19" t="n"/>
      <c r="J3742" s="16" t="n"/>
      <c r="K3742" s="19" t="n"/>
    </row>
    <row r="3743">
      <c r="D3743" s="16" t="n"/>
      <c r="E3743" s="19" t="n"/>
      <c r="G3743" s="16" t="n"/>
      <c r="H3743" s="19" t="n"/>
      <c r="J3743" s="16" t="n"/>
      <c r="K3743" s="19" t="n"/>
    </row>
    <row r="3744">
      <c r="D3744" s="16" t="n"/>
      <c r="E3744" s="19" t="n"/>
      <c r="G3744" s="16" t="n"/>
      <c r="H3744" s="19" t="n"/>
      <c r="J3744" s="16" t="n"/>
      <c r="K3744" s="19" t="n"/>
    </row>
    <row r="3745">
      <c r="D3745" s="16" t="n"/>
      <c r="E3745" s="19" t="n"/>
      <c r="G3745" s="16" t="n"/>
      <c r="H3745" s="19" t="n"/>
      <c r="J3745" s="16" t="n"/>
      <c r="K3745" s="19" t="n"/>
    </row>
    <row r="3746">
      <c r="D3746" s="16" t="n"/>
      <c r="E3746" s="19" t="n"/>
      <c r="G3746" s="16" t="n"/>
      <c r="H3746" s="19" t="n"/>
      <c r="J3746" s="16" t="n"/>
      <c r="K3746" s="19" t="n"/>
    </row>
    <row r="3747">
      <c r="D3747" s="16" t="n"/>
      <c r="E3747" s="19" t="n"/>
      <c r="G3747" s="16" t="n"/>
      <c r="H3747" s="19" t="n"/>
      <c r="J3747" s="16" t="n"/>
      <c r="K3747" s="19" t="n"/>
    </row>
    <row r="3748">
      <c r="D3748" s="16" t="n"/>
      <c r="E3748" s="19" t="n"/>
      <c r="G3748" s="16" t="n"/>
      <c r="H3748" s="19" t="n"/>
      <c r="J3748" s="16" t="n"/>
      <c r="K3748" s="19" t="n"/>
    </row>
    <row r="3749">
      <c r="D3749" s="16" t="n"/>
      <c r="E3749" s="19" t="n"/>
      <c r="G3749" s="16" t="n"/>
      <c r="H3749" s="19" t="n"/>
      <c r="J3749" s="16" t="n"/>
      <c r="K3749" s="19" t="n"/>
    </row>
    <row r="3750">
      <c r="D3750" s="16" t="n"/>
      <c r="E3750" s="19" t="n"/>
      <c r="G3750" s="16" t="n"/>
      <c r="H3750" s="19" t="n"/>
      <c r="J3750" s="16" t="n"/>
      <c r="K3750" s="19" t="n"/>
    </row>
    <row r="3751">
      <c r="D3751" s="16" t="n"/>
      <c r="E3751" s="19" t="n"/>
      <c r="G3751" s="16" t="n"/>
      <c r="H3751" s="19" t="n"/>
      <c r="J3751" s="16" t="n"/>
      <c r="K3751" s="19" t="n"/>
    </row>
    <row r="3752">
      <c r="D3752" s="16" t="n"/>
      <c r="E3752" s="19" t="n"/>
      <c r="G3752" s="16" t="n"/>
      <c r="H3752" s="19" t="n"/>
      <c r="J3752" s="16" t="n"/>
      <c r="K3752" s="19" t="n"/>
    </row>
    <row r="3753">
      <c r="D3753" s="16" t="n"/>
      <c r="E3753" s="19" t="n"/>
      <c r="G3753" s="16" t="n"/>
      <c r="H3753" s="19" t="n"/>
      <c r="J3753" s="16" t="n"/>
      <c r="K3753" s="19" t="n"/>
    </row>
    <row r="3754">
      <c r="D3754" s="16" t="n"/>
      <c r="E3754" s="19" t="n"/>
      <c r="G3754" s="16" t="n"/>
      <c r="H3754" s="19" t="n"/>
      <c r="J3754" s="16" t="n"/>
      <c r="K3754" s="19" t="n"/>
    </row>
    <row r="3755">
      <c r="D3755" s="16" t="n"/>
      <c r="E3755" s="19" t="n"/>
      <c r="G3755" s="16" t="n"/>
      <c r="H3755" s="19" t="n"/>
      <c r="J3755" s="16" t="n"/>
      <c r="K3755" s="19" t="n"/>
    </row>
    <row r="3756">
      <c r="D3756" s="16" t="n"/>
      <c r="E3756" s="19" t="n"/>
      <c r="G3756" s="16" t="n"/>
      <c r="H3756" s="19" t="n"/>
      <c r="J3756" s="16" t="n"/>
      <c r="K3756" s="19" t="n"/>
    </row>
    <row r="3757">
      <c r="D3757" s="16" t="n"/>
      <c r="E3757" s="19" t="n"/>
      <c r="G3757" s="16" t="n"/>
      <c r="H3757" s="19" t="n"/>
      <c r="J3757" s="16" t="n"/>
      <c r="K3757" s="19" t="n"/>
    </row>
    <row r="3758">
      <c r="D3758" s="16" t="n"/>
      <c r="E3758" s="19" t="n"/>
      <c r="G3758" s="16" t="n"/>
      <c r="H3758" s="19" t="n"/>
      <c r="J3758" s="16" t="n"/>
      <c r="K3758" s="19" t="n"/>
    </row>
    <row r="3759">
      <c r="D3759" s="16" t="n"/>
      <c r="E3759" s="19" t="n"/>
      <c r="G3759" s="16" t="n"/>
      <c r="H3759" s="19" t="n"/>
      <c r="J3759" s="16" t="n"/>
      <c r="K3759" s="19" t="n"/>
    </row>
    <row r="3760">
      <c r="D3760" s="16" t="n"/>
      <c r="E3760" s="19" t="n"/>
      <c r="G3760" s="16" t="n"/>
      <c r="H3760" s="19" t="n"/>
      <c r="J3760" s="16" t="n"/>
      <c r="K3760" s="19" t="n"/>
    </row>
    <row r="3761">
      <c r="D3761" s="16" t="n"/>
      <c r="E3761" s="19" t="n"/>
      <c r="G3761" s="16" t="n"/>
      <c r="H3761" s="19" t="n"/>
      <c r="J3761" s="16" t="n"/>
      <c r="K3761" s="19" t="n"/>
    </row>
    <row r="3762">
      <c r="D3762" s="16" t="n"/>
      <c r="E3762" s="19" t="n"/>
      <c r="G3762" s="16" t="n"/>
      <c r="H3762" s="19" t="n"/>
      <c r="J3762" s="16" t="n"/>
      <c r="K3762" s="19" t="n"/>
    </row>
    <row r="3763">
      <c r="D3763" s="16" t="n"/>
      <c r="E3763" s="19" t="n"/>
      <c r="G3763" s="16" t="n"/>
      <c r="H3763" s="19" t="n"/>
      <c r="J3763" s="16" t="n"/>
      <c r="K3763" s="19" t="n"/>
    </row>
    <row r="3764">
      <c r="D3764" s="16" t="n"/>
      <c r="E3764" s="19" t="n"/>
      <c r="G3764" s="16" t="n"/>
      <c r="H3764" s="19" t="n"/>
      <c r="J3764" s="16" t="n"/>
      <c r="K3764" s="19" t="n"/>
    </row>
    <row r="3765">
      <c r="D3765" s="16" t="n"/>
      <c r="E3765" s="19" t="n"/>
      <c r="G3765" s="16" t="n"/>
      <c r="H3765" s="19" t="n"/>
      <c r="J3765" s="16" t="n"/>
      <c r="K3765" s="19" t="n"/>
    </row>
    <row r="3766">
      <c r="D3766" s="16" t="n"/>
      <c r="E3766" s="19" t="n"/>
      <c r="G3766" s="16" t="n"/>
      <c r="H3766" s="19" t="n"/>
      <c r="J3766" s="16" t="n"/>
      <c r="K3766" s="19" t="n"/>
    </row>
    <row r="3767">
      <c r="D3767" s="16" t="n"/>
      <c r="E3767" s="19" t="n"/>
      <c r="G3767" s="16" t="n"/>
      <c r="H3767" s="19" t="n"/>
      <c r="J3767" s="16" t="n"/>
      <c r="K3767" s="19" t="n"/>
    </row>
    <row r="3768">
      <c r="D3768" s="16" t="n"/>
      <c r="E3768" s="19" t="n"/>
      <c r="G3768" s="16" t="n"/>
      <c r="H3768" s="19" t="n"/>
      <c r="J3768" s="16" t="n"/>
      <c r="K3768" s="19" t="n"/>
    </row>
    <row r="3769">
      <c r="D3769" s="16" t="n"/>
      <c r="E3769" s="19" t="n"/>
      <c r="G3769" s="16" t="n"/>
      <c r="H3769" s="19" t="n"/>
      <c r="J3769" s="16" t="n"/>
      <c r="K3769" s="19" t="n"/>
    </row>
    <row r="3770">
      <c r="D3770" s="16" t="n"/>
      <c r="E3770" s="19" t="n"/>
      <c r="G3770" s="16" t="n"/>
      <c r="H3770" s="19" t="n"/>
      <c r="J3770" s="16" t="n"/>
      <c r="K3770" s="19" t="n"/>
    </row>
    <row r="3771">
      <c r="D3771" s="16" t="n"/>
      <c r="E3771" s="19" t="n"/>
      <c r="G3771" s="16" t="n"/>
      <c r="H3771" s="19" t="n"/>
      <c r="J3771" s="16" t="n"/>
      <c r="K3771" s="19" t="n"/>
    </row>
    <row r="3772">
      <c r="D3772" s="16" t="n"/>
      <c r="E3772" s="19" t="n"/>
      <c r="G3772" s="16" t="n"/>
      <c r="H3772" s="19" t="n"/>
      <c r="J3772" s="16" t="n"/>
      <c r="K3772" s="19" t="n"/>
    </row>
    <row r="3773">
      <c r="D3773" s="16" t="n"/>
      <c r="E3773" s="19" t="n"/>
      <c r="G3773" s="16" t="n"/>
      <c r="H3773" s="19" t="n"/>
      <c r="J3773" s="16" t="n"/>
      <c r="K3773" s="19" t="n"/>
    </row>
    <row r="3774">
      <c r="D3774" s="16" t="n"/>
      <c r="E3774" s="19" t="n"/>
      <c r="G3774" s="16" t="n"/>
      <c r="H3774" s="19" t="n"/>
      <c r="J3774" s="16" t="n"/>
      <c r="K3774" s="19" t="n"/>
    </row>
    <row r="3775">
      <c r="D3775" s="16" t="n"/>
      <c r="E3775" s="19" t="n"/>
      <c r="G3775" s="16" t="n"/>
      <c r="H3775" s="19" t="n"/>
      <c r="J3775" s="16" t="n"/>
      <c r="K3775" s="19" t="n"/>
    </row>
    <row r="3776">
      <c r="D3776" s="16" t="n"/>
      <c r="E3776" s="19" t="n"/>
      <c r="G3776" s="16" t="n"/>
      <c r="H3776" s="19" t="n"/>
      <c r="J3776" s="16" t="n"/>
      <c r="K3776" s="19" t="n"/>
    </row>
    <row r="3777">
      <c r="D3777" s="16" t="n"/>
      <c r="E3777" s="19" t="n"/>
      <c r="G3777" s="16" t="n"/>
      <c r="H3777" s="19" t="n"/>
      <c r="J3777" s="16" t="n"/>
      <c r="K3777" s="19" t="n"/>
    </row>
    <row r="3778">
      <c r="D3778" s="16" t="n"/>
      <c r="E3778" s="19" t="n"/>
      <c r="G3778" s="16" t="n"/>
      <c r="H3778" s="19" t="n"/>
      <c r="J3778" s="16" t="n"/>
      <c r="K3778" s="19" t="n"/>
    </row>
    <row r="3779">
      <c r="D3779" s="16" t="n"/>
      <c r="E3779" s="19" t="n"/>
      <c r="G3779" s="16" t="n"/>
      <c r="H3779" s="19" t="n"/>
      <c r="J3779" s="16" t="n"/>
      <c r="K3779" s="19" t="n"/>
    </row>
    <row r="3780">
      <c r="D3780" s="16" t="n"/>
      <c r="E3780" s="19" t="n"/>
      <c r="G3780" s="16" t="n"/>
      <c r="H3780" s="19" t="n"/>
      <c r="J3780" s="16" t="n"/>
      <c r="K3780" s="19" t="n"/>
    </row>
    <row r="3781">
      <c r="D3781" s="16" t="n"/>
      <c r="E3781" s="19" t="n"/>
      <c r="G3781" s="16" t="n"/>
      <c r="H3781" s="19" t="n"/>
      <c r="J3781" s="16" t="n"/>
      <c r="K3781" s="19" t="n"/>
    </row>
    <row r="3782">
      <c r="D3782" s="16" t="n"/>
      <c r="E3782" s="19" t="n"/>
      <c r="G3782" s="16" t="n"/>
      <c r="H3782" s="19" t="n"/>
      <c r="J3782" s="16" t="n"/>
      <c r="K3782" s="19" t="n"/>
    </row>
    <row r="3783">
      <c r="D3783" s="16" t="n"/>
      <c r="E3783" s="19" t="n"/>
      <c r="G3783" s="16" t="n"/>
      <c r="H3783" s="19" t="n"/>
      <c r="J3783" s="16" t="n"/>
      <c r="K3783" s="19" t="n"/>
    </row>
    <row r="3784">
      <c r="D3784" s="16" t="n"/>
      <c r="E3784" s="19" t="n"/>
      <c r="G3784" s="16" t="n"/>
      <c r="H3784" s="19" t="n"/>
      <c r="J3784" s="16" t="n"/>
      <c r="K3784" s="19" t="n"/>
    </row>
    <row r="3785">
      <c r="D3785" s="16" t="n"/>
      <c r="E3785" s="19" t="n"/>
      <c r="G3785" s="16" t="n"/>
      <c r="H3785" s="19" t="n"/>
      <c r="J3785" s="16" t="n"/>
      <c r="K3785" s="19" t="n"/>
    </row>
    <row r="3786">
      <c r="D3786" s="16" t="n"/>
      <c r="E3786" s="19" t="n"/>
      <c r="G3786" s="16" t="n"/>
      <c r="H3786" s="19" t="n"/>
      <c r="J3786" s="16" t="n"/>
      <c r="K3786" s="19" t="n"/>
    </row>
    <row r="3787">
      <c r="D3787" s="16" t="n"/>
      <c r="E3787" s="19" t="n"/>
      <c r="G3787" s="16" t="n"/>
      <c r="H3787" s="19" t="n"/>
      <c r="J3787" s="16" t="n"/>
      <c r="K3787" s="19" t="n"/>
    </row>
    <row r="3788">
      <c r="D3788" s="16" t="n"/>
      <c r="E3788" s="19" t="n"/>
      <c r="G3788" s="16" t="n"/>
      <c r="H3788" s="19" t="n"/>
      <c r="J3788" s="16" t="n"/>
      <c r="K3788" s="19" t="n"/>
    </row>
    <row r="3789">
      <c r="D3789" s="16" t="n"/>
      <c r="E3789" s="19" t="n"/>
      <c r="G3789" s="16" t="n"/>
      <c r="H3789" s="19" t="n"/>
      <c r="J3789" s="16" t="n"/>
      <c r="K3789" s="19" t="n"/>
    </row>
    <row r="3790">
      <c r="D3790" s="16" t="n"/>
      <c r="E3790" s="19" t="n"/>
      <c r="G3790" s="16" t="n"/>
      <c r="H3790" s="19" t="n"/>
      <c r="J3790" s="16" t="n"/>
      <c r="K3790" s="19" t="n"/>
    </row>
    <row r="3791">
      <c r="D3791" s="16" t="n"/>
      <c r="E3791" s="19" t="n"/>
      <c r="G3791" s="16" t="n"/>
      <c r="H3791" s="19" t="n"/>
      <c r="J3791" s="16" t="n"/>
      <c r="K3791" s="19" t="n"/>
    </row>
    <row r="3792">
      <c r="D3792" s="16" t="n"/>
      <c r="E3792" s="19" t="n"/>
      <c r="G3792" s="16" t="n"/>
      <c r="H3792" s="19" t="n"/>
      <c r="J3792" s="16" t="n"/>
      <c r="K3792" s="19" t="n"/>
    </row>
    <row r="3793">
      <c r="D3793" s="16" t="n"/>
      <c r="E3793" s="19" t="n"/>
      <c r="G3793" s="16" t="n"/>
      <c r="H3793" s="19" t="n"/>
      <c r="J3793" s="16" t="n"/>
      <c r="K3793" s="19" t="n"/>
    </row>
    <row r="3794">
      <c r="D3794" s="16" t="n"/>
      <c r="E3794" s="19" t="n"/>
      <c r="G3794" s="16" t="n"/>
      <c r="H3794" s="19" t="n"/>
      <c r="J3794" s="16" t="n"/>
      <c r="K3794" s="19" t="n"/>
    </row>
    <row r="3795">
      <c r="D3795" s="16" t="n"/>
      <c r="E3795" s="19" t="n"/>
      <c r="G3795" s="16" t="n"/>
      <c r="H3795" s="19" t="n"/>
      <c r="J3795" s="16" t="n"/>
      <c r="K3795" s="19" t="n"/>
    </row>
    <row r="3796">
      <c r="D3796" s="16" t="n"/>
      <c r="E3796" s="19" t="n"/>
      <c r="G3796" s="16" t="n"/>
      <c r="H3796" s="19" t="n"/>
      <c r="J3796" s="16" t="n"/>
      <c r="K3796" s="19" t="n"/>
    </row>
    <row r="3797">
      <c r="D3797" s="16" t="n"/>
      <c r="E3797" s="19" t="n"/>
      <c r="G3797" s="16" t="n"/>
      <c r="H3797" s="19" t="n"/>
      <c r="J3797" s="16" t="n"/>
      <c r="K3797" s="19" t="n"/>
    </row>
    <row r="3798">
      <c r="D3798" s="16" t="n"/>
      <c r="E3798" s="19" t="n"/>
      <c r="G3798" s="16" t="n"/>
      <c r="H3798" s="19" t="n"/>
      <c r="J3798" s="16" t="n"/>
      <c r="K3798" s="19" t="n"/>
    </row>
    <row r="3799">
      <c r="D3799" s="16" t="n"/>
      <c r="E3799" s="19" t="n"/>
      <c r="G3799" s="16" t="n"/>
      <c r="H3799" s="19" t="n"/>
      <c r="J3799" s="16" t="n"/>
      <c r="K3799" s="19" t="n"/>
    </row>
    <row r="3800">
      <c r="D3800" s="16" t="n"/>
      <c r="E3800" s="19" t="n"/>
      <c r="G3800" s="16" t="n"/>
      <c r="H3800" s="19" t="n"/>
      <c r="J3800" s="16" t="n"/>
      <c r="K3800" s="19" t="n"/>
    </row>
    <row r="3801">
      <c r="D3801" s="16" t="n"/>
      <c r="E3801" s="19" t="n"/>
      <c r="G3801" s="16" t="n"/>
      <c r="H3801" s="19" t="n"/>
      <c r="J3801" s="16" t="n"/>
      <c r="K3801" s="19" t="n"/>
    </row>
    <row r="3802">
      <c r="D3802" s="16" t="n"/>
      <c r="E3802" s="19" t="n"/>
      <c r="G3802" s="16" t="n"/>
      <c r="H3802" s="19" t="n"/>
      <c r="J3802" s="16" t="n"/>
      <c r="K3802" s="19" t="n"/>
    </row>
    <row r="3803">
      <c r="D3803" s="16" t="n"/>
      <c r="E3803" s="19" t="n"/>
      <c r="G3803" s="16" t="n"/>
      <c r="H3803" s="19" t="n"/>
      <c r="J3803" s="16" t="n"/>
      <c r="K3803" s="19" t="n"/>
    </row>
    <row r="3804">
      <c r="D3804" s="16" t="n"/>
      <c r="E3804" s="19" t="n"/>
      <c r="G3804" s="16" t="n"/>
      <c r="H3804" s="19" t="n"/>
      <c r="J3804" s="16" t="n"/>
      <c r="K3804" s="19" t="n"/>
    </row>
    <row r="3805">
      <c r="D3805" s="16" t="n"/>
      <c r="E3805" s="19" t="n"/>
      <c r="G3805" s="16" t="n"/>
      <c r="H3805" s="19" t="n"/>
      <c r="J3805" s="16" t="n"/>
      <c r="K3805" s="19" t="n"/>
    </row>
    <row r="3806">
      <c r="D3806" s="16" t="n"/>
      <c r="E3806" s="19" t="n"/>
      <c r="G3806" s="16" t="n"/>
      <c r="H3806" s="19" t="n"/>
      <c r="J3806" s="16" t="n"/>
      <c r="K3806" s="19" t="n"/>
    </row>
    <row r="3807">
      <c r="D3807" s="16" t="n"/>
      <c r="E3807" s="19" t="n"/>
      <c r="G3807" s="16" t="n"/>
      <c r="H3807" s="19" t="n"/>
      <c r="J3807" s="16" t="n"/>
      <c r="K3807" s="19" t="n"/>
    </row>
    <row r="3808">
      <c r="D3808" s="16" t="n"/>
      <c r="E3808" s="19" t="n"/>
      <c r="G3808" s="16" t="n"/>
      <c r="H3808" s="19" t="n"/>
      <c r="J3808" s="16" t="n"/>
      <c r="K3808" s="19" t="n"/>
    </row>
    <row r="3809">
      <c r="D3809" s="16" t="n"/>
      <c r="E3809" s="19" t="n"/>
      <c r="G3809" s="16" t="n"/>
      <c r="H3809" s="19" t="n"/>
      <c r="J3809" s="16" t="n"/>
      <c r="K3809" s="19" t="n"/>
    </row>
    <row r="3810">
      <c r="D3810" s="16" t="n"/>
      <c r="E3810" s="19" t="n"/>
      <c r="G3810" s="16" t="n"/>
      <c r="H3810" s="19" t="n"/>
      <c r="J3810" s="16" t="n"/>
      <c r="K3810" s="19" t="n"/>
    </row>
    <row r="3811">
      <c r="D3811" s="16" t="n"/>
      <c r="E3811" s="19" t="n"/>
      <c r="G3811" s="16" t="n"/>
      <c r="H3811" s="19" t="n"/>
      <c r="J3811" s="16" t="n"/>
      <c r="K3811" s="19" t="n"/>
    </row>
    <row r="3812">
      <c r="D3812" s="16" t="n"/>
      <c r="E3812" s="19" t="n"/>
      <c r="G3812" s="16" t="n"/>
      <c r="H3812" s="19" t="n"/>
      <c r="J3812" s="16" t="n"/>
      <c r="K3812" s="19" t="n"/>
    </row>
    <row r="3813">
      <c r="D3813" s="16" t="n"/>
      <c r="E3813" s="19" t="n"/>
      <c r="G3813" s="16" t="n"/>
      <c r="H3813" s="19" t="n"/>
      <c r="J3813" s="16" t="n"/>
      <c r="K3813" s="19" t="n"/>
    </row>
    <row r="3814">
      <c r="D3814" s="16" t="n"/>
      <c r="E3814" s="19" t="n"/>
      <c r="G3814" s="16" t="n"/>
      <c r="H3814" s="19" t="n"/>
      <c r="J3814" s="16" t="n"/>
      <c r="K3814" s="19" t="n"/>
    </row>
    <row r="3815">
      <c r="D3815" s="16" t="n"/>
      <c r="E3815" s="19" t="n"/>
      <c r="G3815" s="16" t="n"/>
      <c r="H3815" s="19" t="n"/>
      <c r="J3815" s="16" t="n"/>
      <c r="K3815" s="19" t="n"/>
    </row>
    <row r="3816">
      <c r="D3816" s="16" t="n"/>
      <c r="E3816" s="19" t="n"/>
      <c r="G3816" s="16" t="n"/>
      <c r="H3816" s="19" t="n"/>
      <c r="J3816" s="16" t="n"/>
      <c r="K3816" s="19" t="n"/>
    </row>
    <row r="3817">
      <c r="D3817" s="16" t="n"/>
      <c r="E3817" s="19" t="n"/>
      <c r="G3817" s="16" t="n"/>
      <c r="H3817" s="19" t="n"/>
      <c r="J3817" s="16" t="n"/>
      <c r="K3817" s="19" t="n"/>
    </row>
    <row r="3818">
      <c r="D3818" s="16" t="n"/>
      <c r="E3818" s="19" t="n"/>
      <c r="G3818" s="16" t="n"/>
      <c r="H3818" s="19" t="n"/>
      <c r="J3818" s="16" t="n"/>
      <c r="K3818" s="19" t="n"/>
    </row>
    <row r="3819">
      <c r="D3819" s="16" t="n"/>
      <c r="E3819" s="19" t="n"/>
      <c r="G3819" s="16" t="n"/>
      <c r="H3819" s="19" t="n"/>
      <c r="J3819" s="16" t="n"/>
      <c r="K3819" s="19" t="n"/>
    </row>
    <row r="3820">
      <c r="D3820" s="16" t="n"/>
      <c r="E3820" s="19" t="n"/>
      <c r="G3820" s="16" t="n"/>
      <c r="H3820" s="19" t="n"/>
      <c r="J3820" s="16" t="n"/>
      <c r="K3820" s="19" t="n"/>
    </row>
    <row r="3821">
      <c r="D3821" s="16" t="n"/>
      <c r="E3821" s="19" t="n"/>
      <c r="G3821" s="16" t="n"/>
      <c r="H3821" s="19" t="n"/>
      <c r="J3821" s="16" t="n"/>
      <c r="K3821" s="19" t="n"/>
    </row>
    <row r="3822">
      <c r="D3822" s="16" t="n"/>
      <c r="E3822" s="19" t="n"/>
      <c r="G3822" s="16" t="n"/>
      <c r="H3822" s="19" t="n"/>
      <c r="J3822" s="16" t="n"/>
      <c r="K3822" s="19" t="n"/>
    </row>
    <row r="3823">
      <c r="D3823" s="16" t="n"/>
      <c r="E3823" s="19" t="n"/>
      <c r="G3823" s="16" t="n"/>
      <c r="H3823" s="19" t="n"/>
      <c r="J3823" s="16" t="n"/>
      <c r="K3823" s="19" t="n"/>
    </row>
    <row r="3824">
      <c r="D3824" s="16" t="n"/>
      <c r="E3824" s="19" t="n"/>
      <c r="G3824" s="16" t="n"/>
      <c r="H3824" s="19" t="n"/>
      <c r="J3824" s="16" t="n"/>
      <c r="K3824" s="19" t="n"/>
    </row>
    <row r="3825">
      <c r="D3825" s="16" t="n"/>
      <c r="E3825" s="19" t="n"/>
      <c r="G3825" s="16" t="n"/>
      <c r="H3825" s="19" t="n"/>
      <c r="J3825" s="16" t="n"/>
      <c r="K3825" s="19" t="n"/>
    </row>
    <row r="3826">
      <c r="D3826" s="16" t="n"/>
      <c r="E3826" s="19" t="n"/>
      <c r="G3826" s="16" t="n"/>
      <c r="H3826" s="19" t="n"/>
      <c r="J3826" s="16" t="n"/>
      <c r="K3826" s="19" t="n"/>
    </row>
    <row r="3827">
      <c r="D3827" s="16" t="n"/>
      <c r="E3827" s="19" t="n"/>
      <c r="G3827" s="16" t="n"/>
      <c r="H3827" s="19" t="n"/>
      <c r="J3827" s="16" t="n"/>
      <c r="K3827" s="19" t="n"/>
    </row>
    <row r="3828">
      <c r="D3828" s="16" t="n"/>
      <c r="E3828" s="19" t="n"/>
      <c r="G3828" s="16" t="n"/>
      <c r="H3828" s="19" t="n"/>
      <c r="J3828" s="16" t="n"/>
      <c r="K3828" s="19" t="n"/>
    </row>
    <row r="3829">
      <c r="D3829" s="16" t="n"/>
      <c r="E3829" s="19" t="n"/>
      <c r="G3829" s="16" t="n"/>
      <c r="H3829" s="19" t="n"/>
      <c r="J3829" s="16" t="n"/>
      <c r="K3829" s="19" t="n"/>
    </row>
    <row r="3830">
      <c r="D3830" s="16" t="n"/>
      <c r="E3830" s="19" t="n"/>
      <c r="G3830" s="16" t="n"/>
      <c r="H3830" s="19" t="n"/>
      <c r="J3830" s="16" t="n"/>
      <c r="K3830" s="19" t="n"/>
    </row>
    <row r="3831">
      <c r="D3831" s="16" t="n"/>
      <c r="E3831" s="19" t="n"/>
      <c r="G3831" s="16" t="n"/>
      <c r="H3831" s="19" t="n"/>
      <c r="J3831" s="16" t="n"/>
      <c r="K3831" s="19" t="n"/>
    </row>
    <row r="3832">
      <c r="D3832" s="16" t="n"/>
      <c r="E3832" s="19" t="n"/>
      <c r="G3832" s="16" t="n"/>
      <c r="H3832" s="19" t="n"/>
      <c r="J3832" s="16" t="n"/>
      <c r="K3832" s="19" t="n"/>
    </row>
    <row r="3833">
      <c r="D3833" s="16" t="n"/>
      <c r="E3833" s="19" t="n"/>
      <c r="G3833" s="16" t="n"/>
      <c r="H3833" s="19" t="n"/>
      <c r="J3833" s="16" t="n"/>
      <c r="K3833" s="19" t="n"/>
    </row>
    <row r="3834">
      <c r="D3834" s="16" t="n"/>
      <c r="E3834" s="19" t="n"/>
      <c r="G3834" s="16" t="n"/>
      <c r="H3834" s="19" t="n"/>
      <c r="J3834" s="16" t="n"/>
      <c r="K3834" s="19" t="n"/>
    </row>
    <row r="3835">
      <c r="D3835" s="16" t="n"/>
      <c r="E3835" s="19" t="n"/>
      <c r="G3835" s="16" t="n"/>
      <c r="H3835" s="19" t="n"/>
      <c r="J3835" s="16" t="n"/>
      <c r="K3835" s="19" t="n"/>
    </row>
    <row r="3836">
      <c r="D3836" s="16" t="n"/>
      <c r="E3836" s="19" t="n"/>
      <c r="G3836" s="16" t="n"/>
      <c r="H3836" s="19" t="n"/>
      <c r="J3836" s="16" t="n"/>
      <c r="K3836" s="19" t="n"/>
    </row>
    <row r="3837">
      <c r="D3837" s="16" t="n"/>
      <c r="E3837" s="19" t="n"/>
      <c r="G3837" s="16" t="n"/>
      <c r="H3837" s="19" t="n"/>
      <c r="J3837" s="16" t="n"/>
      <c r="K3837" s="19" t="n"/>
    </row>
    <row r="3838">
      <c r="D3838" s="16" t="n"/>
      <c r="E3838" s="19" t="n"/>
      <c r="G3838" s="16" t="n"/>
      <c r="H3838" s="19" t="n"/>
      <c r="J3838" s="16" t="n"/>
      <c r="K3838" s="19" t="n"/>
    </row>
    <row r="3839">
      <c r="D3839" s="16" t="n"/>
      <c r="E3839" s="19" t="n"/>
      <c r="G3839" s="16" t="n"/>
      <c r="H3839" s="19" t="n"/>
      <c r="J3839" s="16" t="n"/>
      <c r="K3839" s="19" t="n"/>
    </row>
    <row r="3840">
      <c r="D3840" s="16" t="n"/>
      <c r="E3840" s="19" t="n"/>
      <c r="G3840" s="16" t="n"/>
      <c r="H3840" s="19" t="n"/>
      <c r="J3840" s="16" t="n"/>
      <c r="K3840" s="19" t="n"/>
    </row>
    <row r="3841">
      <c r="D3841" s="16" t="n"/>
      <c r="E3841" s="19" t="n"/>
      <c r="G3841" s="16" t="n"/>
      <c r="H3841" s="19" t="n"/>
      <c r="J3841" s="16" t="n"/>
      <c r="K3841" s="19" t="n"/>
    </row>
    <row r="3842">
      <c r="D3842" s="16" t="n"/>
      <c r="E3842" s="19" t="n"/>
      <c r="G3842" s="16" t="n"/>
      <c r="H3842" s="19" t="n"/>
      <c r="J3842" s="16" t="n"/>
      <c r="K3842" s="19" t="n"/>
    </row>
    <row r="3843">
      <c r="D3843" s="16" t="n"/>
      <c r="E3843" s="19" t="n"/>
      <c r="G3843" s="16" t="n"/>
      <c r="H3843" s="19" t="n"/>
      <c r="J3843" s="16" t="n"/>
      <c r="K3843" s="19" t="n"/>
    </row>
    <row r="3844">
      <c r="D3844" s="16" t="n"/>
      <c r="E3844" s="19" t="n"/>
      <c r="G3844" s="16" t="n"/>
      <c r="H3844" s="19" t="n"/>
      <c r="J3844" s="16" t="n"/>
      <c r="K3844" s="19" t="n"/>
    </row>
    <row r="3845">
      <c r="D3845" s="16" t="n"/>
      <c r="E3845" s="19" t="n"/>
      <c r="G3845" s="16" t="n"/>
      <c r="H3845" s="19" t="n"/>
      <c r="J3845" s="16" t="n"/>
      <c r="K3845" s="19" t="n"/>
    </row>
    <row r="3846">
      <c r="D3846" s="16" t="n"/>
      <c r="E3846" s="19" t="n"/>
      <c r="G3846" s="16" t="n"/>
      <c r="H3846" s="19" t="n"/>
      <c r="J3846" s="16" t="n"/>
      <c r="K3846" s="19" t="n"/>
    </row>
    <row r="3847">
      <c r="D3847" s="16" t="n"/>
      <c r="E3847" s="19" t="n"/>
      <c r="G3847" s="16" t="n"/>
      <c r="H3847" s="19" t="n"/>
      <c r="J3847" s="16" t="n"/>
      <c r="K3847" s="19" t="n"/>
    </row>
    <row r="3848">
      <c r="D3848" s="16" t="n"/>
      <c r="E3848" s="19" t="n"/>
      <c r="G3848" s="16" t="n"/>
      <c r="H3848" s="19" t="n"/>
      <c r="J3848" s="16" t="n"/>
      <c r="K3848" s="19" t="n"/>
    </row>
    <row r="3849">
      <c r="D3849" s="16" t="n"/>
      <c r="E3849" s="19" t="n"/>
      <c r="G3849" s="16" t="n"/>
      <c r="H3849" s="19" t="n"/>
      <c r="J3849" s="16" t="n"/>
      <c r="K3849" s="19" t="n"/>
    </row>
    <row r="3850">
      <c r="D3850" s="16" t="n"/>
      <c r="E3850" s="19" t="n"/>
      <c r="G3850" s="16" t="n"/>
      <c r="H3850" s="19" t="n"/>
      <c r="J3850" s="16" t="n"/>
      <c r="K3850" s="19" t="n"/>
    </row>
    <row r="3851">
      <c r="D3851" s="16" t="n"/>
      <c r="E3851" s="19" t="n"/>
      <c r="G3851" s="16" t="n"/>
      <c r="H3851" s="19" t="n"/>
      <c r="J3851" s="16" t="n"/>
      <c r="K3851" s="19" t="n"/>
    </row>
    <row r="3852">
      <c r="D3852" s="16" t="n"/>
      <c r="E3852" s="19" t="n"/>
      <c r="G3852" s="16" t="n"/>
      <c r="H3852" s="19" t="n"/>
      <c r="J3852" s="16" t="n"/>
      <c r="K3852" s="19" t="n"/>
    </row>
    <row r="3853">
      <c r="D3853" s="16" t="n"/>
      <c r="E3853" s="19" t="n"/>
      <c r="G3853" s="16" t="n"/>
      <c r="H3853" s="19" t="n"/>
      <c r="J3853" s="16" t="n"/>
      <c r="K3853" s="19" t="n"/>
    </row>
    <row r="3854">
      <c r="D3854" s="16" t="n"/>
      <c r="E3854" s="19" t="n"/>
      <c r="G3854" s="16" t="n"/>
      <c r="H3854" s="19" t="n"/>
      <c r="J3854" s="16" t="n"/>
      <c r="K3854" s="19" t="n"/>
    </row>
    <row r="3855">
      <c r="D3855" s="16" t="n"/>
      <c r="E3855" s="19" t="n"/>
      <c r="G3855" s="16" t="n"/>
      <c r="H3855" s="19" t="n"/>
      <c r="J3855" s="16" t="n"/>
      <c r="K3855" s="19" t="n"/>
    </row>
    <row r="3856">
      <c r="D3856" s="16" t="n"/>
      <c r="E3856" s="19" t="n"/>
      <c r="G3856" s="16" t="n"/>
      <c r="H3856" s="19" t="n"/>
      <c r="J3856" s="16" t="n"/>
      <c r="K3856" s="19" t="n"/>
    </row>
    <row r="3857">
      <c r="D3857" s="16" t="n"/>
      <c r="E3857" s="19" t="n"/>
      <c r="G3857" s="16" t="n"/>
      <c r="H3857" s="19" t="n"/>
      <c r="J3857" s="16" t="n"/>
      <c r="K3857" s="19" t="n"/>
    </row>
    <row r="3858">
      <c r="D3858" s="16" t="n"/>
      <c r="E3858" s="19" t="n"/>
      <c r="G3858" s="16" t="n"/>
      <c r="H3858" s="19" t="n"/>
      <c r="J3858" s="16" t="n"/>
      <c r="K3858" s="19" t="n"/>
    </row>
    <row r="3859">
      <c r="D3859" s="16" t="n"/>
      <c r="E3859" s="19" t="n"/>
      <c r="G3859" s="16" t="n"/>
      <c r="H3859" s="19" t="n"/>
      <c r="J3859" s="16" t="n"/>
      <c r="K3859" s="19" t="n"/>
    </row>
    <row r="3860">
      <c r="D3860" s="16" t="n"/>
      <c r="E3860" s="19" t="n"/>
      <c r="G3860" s="16" t="n"/>
      <c r="H3860" s="19" t="n"/>
      <c r="J3860" s="16" t="n"/>
      <c r="K3860" s="19" t="n"/>
    </row>
    <row r="3861">
      <c r="D3861" s="16" t="n"/>
      <c r="E3861" s="19" t="n"/>
      <c r="G3861" s="16" t="n"/>
      <c r="H3861" s="19" t="n"/>
      <c r="J3861" s="16" t="n"/>
      <c r="K3861" s="19" t="n"/>
    </row>
    <row r="3862">
      <c r="D3862" s="16" t="n"/>
      <c r="E3862" s="19" t="n"/>
      <c r="G3862" s="16" t="n"/>
      <c r="H3862" s="19" t="n"/>
      <c r="J3862" s="16" t="n"/>
      <c r="K3862" s="19" t="n"/>
    </row>
    <row r="3863">
      <c r="D3863" s="16" t="n"/>
      <c r="E3863" s="19" t="n"/>
      <c r="G3863" s="16" t="n"/>
      <c r="H3863" s="19" t="n"/>
      <c r="J3863" s="16" t="n"/>
      <c r="K3863" s="19" t="n"/>
    </row>
    <row r="3864">
      <c r="D3864" s="16" t="n"/>
      <c r="E3864" s="19" t="n"/>
      <c r="G3864" s="16" t="n"/>
      <c r="H3864" s="19" t="n"/>
      <c r="J3864" s="16" t="n"/>
      <c r="K3864" s="19" t="n"/>
    </row>
    <row r="3865">
      <c r="D3865" s="16" t="n"/>
      <c r="E3865" s="19" t="n"/>
      <c r="G3865" s="16" t="n"/>
      <c r="H3865" s="19" t="n"/>
      <c r="J3865" s="16" t="n"/>
      <c r="K3865" s="19" t="n"/>
    </row>
    <row r="3866">
      <c r="D3866" s="16" t="n"/>
      <c r="E3866" s="19" t="n"/>
      <c r="G3866" s="16" t="n"/>
      <c r="H3866" s="19" t="n"/>
      <c r="J3866" s="16" t="n"/>
      <c r="K3866" s="19" t="n"/>
    </row>
    <row r="3867">
      <c r="D3867" s="16" t="n"/>
      <c r="E3867" s="19" t="n"/>
      <c r="G3867" s="16" t="n"/>
      <c r="H3867" s="19" t="n"/>
      <c r="J3867" s="16" t="n"/>
      <c r="K3867" s="19" t="n"/>
    </row>
    <row r="3868">
      <c r="D3868" s="16" t="n"/>
      <c r="E3868" s="19" t="n"/>
      <c r="G3868" s="16" t="n"/>
      <c r="H3868" s="19" t="n"/>
      <c r="J3868" s="16" t="n"/>
      <c r="K3868" s="19" t="n"/>
    </row>
    <row r="3869">
      <c r="D3869" s="16" t="n"/>
      <c r="E3869" s="19" t="n"/>
      <c r="G3869" s="16" t="n"/>
      <c r="H3869" s="19" t="n"/>
      <c r="J3869" s="16" t="n"/>
      <c r="K3869" s="19" t="n"/>
    </row>
    <row r="3870">
      <c r="D3870" s="16" t="n"/>
      <c r="E3870" s="19" t="n"/>
      <c r="G3870" s="16" t="n"/>
      <c r="H3870" s="19" t="n"/>
      <c r="J3870" s="16" t="n"/>
      <c r="K3870" s="19" t="n"/>
    </row>
    <row r="3871">
      <c r="D3871" s="16" t="n"/>
      <c r="E3871" s="19" t="n"/>
      <c r="G3871" s="16" t="n"/>
      <c r="H3871" s="19" t="n"/>
      <c r="J3871" s="16" t="n"/>
      <c r="K3871" s="19" t="n"/>
    </row>
    <row r="3872">
      <c r="D3872" s="16" t="n"/>
      <c r="E3872" s="19" t="n"/>
      <c r="G3872" s="16" t="n"/>
      <c r="H3872" s="19" t="n"/>
      <c r="J3872" s="16" t="n"/>
      <c r="K3872" s="19" t="n"/>
    </row>
    <row r="3873">
      <c r="D3873" s="16" t="n"/>
      <c r="E3873" s="19" t="n"/>
      <c r="G3873" s="16" t="n"/>
      <c r="H3873" s="19" t="n"/>
      <c r="J3873" s="16" t="n"/>
      <c r="K3873" s="19" t="n"/>
    </row>
    <row r="3874">
      <c r="D3874" s="16" t="n"/>
      <c r="E3874" s="19" t="n"/>
      <c r="G3874" s="16" t="n"/>
      <c r="H3874" s="19" t="n"/>
      <c r="J3874" s="16" t="n"/>
      <c r="K3874" s="19" t="n"/>
    </row>
    <row r="3875">
      <c r="D3875" s="16" t="n"/>
      <c r="E3875" s="19" t="n"/>
      <c r="G3875" s="16" t="n"/>
      <c r="H3875" s="19" t="n"/>
      <c r="J3875" s="16" t="n"/>
      <c r="K3875" s="19" t="n"/>
    </row>
    <row r="3876">
      <c r="D3876" s="16" t="n"/>
      <c r="E3876" s="19" t="n"/>
      <c r="G3876" s="16" t="n"/>
      <c r="H3876" s="19" t="n"/>
      <c r="J3876" s="16" t="n"/>
      <c r="K3876" s="19" t="n"/>
    </row>
    <row r="3877">
      <c r="D3877" s="16" t="n"/>
      <c r="E3877" s="19" t="n"/>
      <c r="G3877" s="16" t="n"/>
      <c r="H3877" s="19" t="n"/>
      <c r="J3877" s="16" t="n"/>
      <c r="K3877" s="19" t="n"/>
    </row>
    <row r="3878">
      <c r="D3878" s="16" t="n"/>
      <c r="E3878" s="19" t="n"/>
      <c r="G3878" s="16" t="n"/>
      <c r="H3878" s="19" t="n"/>
      <c r="J3878" s="16" t="n"/>
      <c r="K3878" s="19" t="n"/>
    </row>
    <row r="3879">
      <c r="D3879" s="16" t="n"/>
      <c r="E3879" s="19" t="n"/>
      <c r="G3879" s="16" t="n"/>
      <c r="H3879" s="19" t="n"/>
      <c r="J3879" s="16" t="n"/>
      <c r="K3879" s="19" t="n"/>
    </row>
    <row r="3880">
      <c r="D3880" s="16" t="n"/>
      <c r="E3880" s="19" t="n"/>
      <c r="G3880" s="16" t="n"/>
      <c r="H3880" s="19" t="n"/>
      <c r="J3880" s="16" t="n"/>
      <c r="K3880" s="19" t="n"/>
    </row>
    <row r="3881">
      <c r="D3881" s="16" t="n"/>
      <c r="E3881" s="19" t="n"/>
      <c r="G3881" s="16" t="n"/>
      <c r="H3881" s="19" t="n"/>
      <c r="J3881" s="16" t="n"/>
      <c r="K3881" s="19" t="n"/>
    </row>
    <row r="3882">
      <c r="D3882" s="16" t="n"/>
      <c r="E3882" s="19" t="n"/>
      <c r="G3882" s="16" t="n"/>
      <c r="H3882" s="19" t="n"/>
      <c r="J3882" s="16" t="n"/>
      <c r="K3882" s="19" t="n"/>
    </row>
    <row r="3883">
      <c r="D3883" s="16" t="n"/>
      <c r="E3883" s="19" t="n"/>
      <c r="G3883" s="16" t="n"/>
      <c r="H3883" s="19" t="n"/>
      <c r="J3883" s="16" t="n"/>
      <c r="K3883" s="19" t="n"/>
    </row>
    <row r="3884">
      <c r="D3884" s="16" t="n"/>
      <c r="E3884" s="19" t="n"/>
      <c r="G3884" s="16" t="n"/>
      <c r="H3884" s="19" t="n"/>
      <c r="J3884" s="16" t="n"/>
      <c r="K3884" s="19" t="n"/>
    </row>
    <row r="3885">
      <c r="D3885" s="16" t="n"/>
      <c r="E3885" s="19" t="n"/>
      <c r="G3885" s="16" t="n"/>
      <c r="H3885" s="19" t="n"/>
      <c r="J3885" s="16" t="n"/>
      <c r="K3885" s="19" t="n"/>
    </row>
    <row r="3886">
      <c r="D3886" s="16" t="n"/>
      <c r="E3886" s="19" t="n"/>
      <c r="G3886" s="16" t="n"/>
      <c r="H3886" s="19" t="n"/>
      <c r="J3886" s="16" t="n"/>
      <c r="K3886" s="19" t="n"/>
    </row>
    <row r="3887">
      <c r="D3887" s="16" t="n"/>
      <c r="E3887" s="19" t="n"/>
      <c r="G3887" s="16" t="n"/>
      <c r="H3887" s="19" t="n"/>
      <c r="J3887" s="16" t="n"/>
      <c r="K3887" s="19" t="n"/>
    </row>
    <row r="3888">
      <c r="D3888" s="16" t="n"/>
      <c r="E3888" s="19" t="n"/>
      <c r="G3888" s="16" t="n"/>
      <c r="H3888" s="19" t="n"/>
      <c r="J3888" s="16" t="n"/>
      <c r="K3888" s="19" t="n"/>
    </row>
    <row r="3889">
      <c r="D3889" s="16" t="n"/>
      <c r="E3889" s="19" t="n"/>
      <c r="G3889" s="16" t="n"/>
      <c r="H3889" s="19" t="n"/>
      <c r="J3889" s="16" t="n"/>
      <c r="K3889" s="19" t="n"/>
    </row>
    <row r="3890">
      <c r="D3890" s="16" t="n"/>
      <c r="E3890" s="19" t="n"/>
      <c r="G3890" s="16" t="n"/>
      <c r="H3890" s="19" t="n"/>
      <c r="J3890" s="16" t="n"/>
      <c r="K3890" s="19" t="n"/>
    </row>
    <row r="3891">
      <c r="D3891" s="16" t="n"/>
      <c r="E3891" s="19" t="n"/>
      <c r="G3891" s="16" t="n"/>
      <c r="H3891" s="19" t="n"/>
      <c r="J3891" s="16" t="n"/>
      <c r="K3891" s="19" t="n"/>
    </row>
    <row r="3892">
      <c r="D3892" s="16" t="n"/>
      <c r="E3892" s="19" t="n"/>
      <c r="G3892" s="16" t="n"/>
      <c r="H3892" s="19" t="n"/>
      <c r="J3892" s="16" t="n"/>
      <c r="K3892" s="19" t="n"/>
    </row>
    <row r="3893">
      <c r="D3893" s="16" t="n"/>
      <c r="E3893" s="19" t="n"/>
      <c r="G3893" s="16" t="n"/>
      <c r="H3893" s="19" t="n"/>
      <c r="J3893" s="16" t="n"/>
      <c r="K3893" s="19" t="n"/>
    </row>
    <row r="3894">
      <c r="D3894" s="16" t="n"/>
      <c r="E3894" s="19" t="n"/>
      <c r="G3894" s="16" t="n"/>
      <c r="H3894" s="19" t="n"/>
      <c r="J3894" s="16" t="n"/>
      <c r="K3894" s="19" t="n"/>
    </row>
    <row r="3895">
      <c r="D3895" s="16" t="n"/>
      <c r="E3895" s="19" t="n"/>
      <c r="G3895" s="16" t="n"/>
      <c r="H3895" s="19" t="n"/>
      <c r="J3895" s="16" t="n"/>
      <c r="K3895" s="19" t="n"/>
    </row>
    <row r="3896">
      <c r="D3896" s="16" t="n"/>
      <c r="E3896" s="19" t="n"/>
      <c r="G3896" s="16" t="n"/>
      <c r="H3896" s="19" t="n"/>
      <c r="J3896" s="16" t="n"/>
      <c r="K3896" s="19" t="n"/>
    </row>
    <row r="3897">
      <c r="D3897" s="16" t="n"/>
      <c r="E3897" s="19" t="n"/>
      <c r="G3897" s="16" t="n"/>
      <c r="H3897" s="19" t="n"/>
      <c r="J3897" s="16" t="n"/>
      <c r="K3897" s="19" t="n"/>
    </row>
    <row r="3898">
      <c r="D3898" s="16" t="n"/>
      <c r="E3898" s="19" t="n"/>
      <c r="G3898" s="16" t="n"/>
      <c r="H3898" s="19" t="n"/>
      <c r="J3898" s="16" t="n"/>
      <c r="K3898" s="19" t="n"/>
    </row>
    <row r="3899">
      <c r="D3899" s="16" t="n"/>
      <c r="E3899" s="19" t="n"/>
      <c r="G3899" s="16" t="n"/>
      <c r="H3899" s="19" t="n"/>
      <c r="J3899" s="16" t="n"/>
      <c r="K3899" s="19" t="n"/>
    </row>
    <row r="3900">
      <c r="D3900" s="16" t="n"/>
      <c r="E3900" s="19" t="n"/>
      <c r="G3900" s="16" t="n"/>
      <c r="H3900" s="19" t="n"/>
      <c r="J3900" s="16" t="n"/>
      <c r="K3900" s="19" t="n"/>
    </row>
    <row r="3901">
      <c r="D3901" s="16" t="n"/>
      <c r="E3901" s="19" t="n"/>
      <c r="G3901" s="16" t="n"/>
      <c r="H3901" s="19" t="n"/>
      <c r="J3901" s="16" t="n"/>
      <c r="K3901" s="19" t="n"/>
    </row>
    <row r="3902">
      <c r="D3902" s="16" t="n"/>
      <c r="E3902" s="19" t="n"/>
      <c r="G3902" s="16" t="n"/>
      <c r="H3902" s="19" t="n"/>
      <c r="J3902" s="16" t="n"/>
      <c r="K3902" s="19" t="n"/>
    </row>
    <row r="3903">
      <c r="D3903" s="16" t="n"/>
      <c r="E3903" s="19" t="n"/>
      <c r="G3903" s="16" t="n"/>
      <c r="H3903" s="19" t="n"/>
      <c r="J3903" s="16" t="n"/>
      <c r="K3903" s="19" t="n"/>
    </row>
    <row r="3904">
      <c r="D3904" s="16" t="n"/>
      <c r="E3904" s="19" t="n"/>
      <c r="G3904" s="16" t="n"/>
      <c r="H3904" s="19" t="n"/>
      <c r="J3904" s="16" t="n"/>
      <c r="K3904" s="19" t="n"/>
    </row>
    <row r="3905">
      <c r="D3905" s="16" t="n"/>
      <c r="E3905" s="19" t="n"/>
      <c r="G3905" s="16" t="n"/>
      <c r="H3905" s="19" t="n"/>
      <c r="J3905" s="16" t="n"/>
      <c r="K3905" s="19" t="n"/>
    </row>
    <row r="3906">
      <c r="D3906" s="16" t="n"/>
      <c r="E3906" s="19" t="n"/>
      <c r="G3906" s="16" t="n"/>
      <c r="H3906" s="19" t="n"/>
      <c r="J3906" s="16" t="n"/>
      <c r="K3906" s="19" t="n"/>
    </row>
    <row r="3907">
      <c r="D3907" s="16" t="n"/>
      <c r="E3907" s="19" t="n"/>
      <c r="G3907" s="16" t="n"/>
      <c r="H3907" s="19" t="n"/>
      <c r="J3907" s="16" t="n"/>
      <c r="K3907" s="19" t="n"/>
    </row>
    <row r="3908">
      <c r="D3908" s="16" t="n"/>
      <c r="E3908" s="19" t="n"/>
      <c r="G3908" s="16" t="n"/>
      <c r="H3908" s="19" t="n"/>
      <c r="J3908" s="16" t="n"/>
      <c r="K3908" s="19" t="n"/>
    </row>
    <row r="3909">
      <c r="D3909" s="16" t="n"/>
      <c r="E3909" s="19" t="n"/>
      <c r="G3909" s="16" t="n"/>
      <c r="H3909" s="19" t="n"/>
      <c r="J3909" s="16" t="n"/>
      <c r="K3909" s="19" t="n"/>
    </row>
    <row r="3910">
      <c r="D3910" s="16" t="n"/>
      <c r="E3910" s="19" t="n"/>
      <c r="G3910" s="16" t="n"/>
      <c r="H3910" s="19" t="n"/>
      <c r="J3910" s="16" t="n"/>
      <c r="K3910" s="19" t="n"/>
    </row>
    <row r="3911">
      <c r="D3911" s="16" t="n"/>
      <c r="E3911" s="19" t="n"/>
      <c r="G3911" s="16" t="n"/>
      <c r="H3911" s="19" t="n"/>
      <c r="J3911" s="16" t="n"/>
      <c r="K3911" s="19" t="n"/>
    </row>
    <row r="3912">
      <c r="D3912" s="16" t="n"/>
      <c r="E3912" s="19" t="n"/>
      <c r="G3912" s="16" t="n"/>
      <c r="H3912" s="19" t="n"/>
      <c r="J3912" s="16" t="n"/>
      <c r="K3912" s="19" t="n"/>
    </row>
    <row r="3913">
      <c r="D3913" s="16" t="n"/>
      <c r="E3913" s="19" t="n"/>
      <c r="G3913" s="16" t="n"/>
      <c r="H3913" s="19" t="n"/>
      <c r="J3913" s="16" t="n"/>
      <c r="K3913" s="19" t="n"/>
    </row>
    <row r="3914">
      <c r="D3914" s="16" t="n"/>
      <c r="E3914" s="19" t="n"/>
      <c r="G3914" s="16" t="n"/>
      <c r="H3914" s="19" t="n"/>
      <c r="J3914" s="16" t="n"/>
      <c r="K3914" s="19" t="n"/>
    </row>
    <row r="3915">
      <c r="D3915" s="16" t="n"/>
      <c r="E3915" s="19" t="n"/>
      <c r="G3915" s="16" t="n"/>
      <c r="H3915" s="19" t="n"/>
      <c r="J3915" s="16" t="n"/>
      <c r="K3915" s="19" t="n"/>
    </row>
    <row r="3916">
      <c r="D3916" s="16" t="n"/>
      <c r="E3916" s="19" t="n"/>
      <c r="G3916" s="16" t="n"/>
      <c r="H3916" s="19" t="n"/>
      <c r="J3916" s="16" t="n"/>
      <c r="K3916" s="19" t="n"/>
    </row>
    <row r="3917">
      <c r="D3917" s="16" t="n"/>
      <c r="E3917" s="19" t="n"/>
      <c r="G3917" s="16" t="n"/>
      <c r="H3917" s="19" t="n"/>
      <c r="J3917" s="16" t="n"/>
      <c r="K3917" s="19" t="n"/>
    </row>
    <row r="3918">
      <c r="D3918" s="16" t="n"/>
      <c r="E3918" s="19" t="n"/>
      <c r="G3918" s="16" t="n"/>
      <c r="H3918" s="19" t="n"/>
      <c r="J3918" s="16" t="n"/>
      <c r="K3918" s="19" t="n"/>
    </row>
    <row r="3919">
      <c r="D3919" s="16" t="n"/>
      <c r="E3919" s="19" t="n"/>
      <c r="G3919" s="16" t="n"/>
      <c r="H3919" s="19" t="n"/>
      <c r="J3919" s="16" t="n"/>
      <c r="K3919" s="19" t="n"/>
    </row>
    <row r="3920">
      <c r="D3920" s="16" t="n"/>
      <c r="E3920" s="19" t="n"/>
      <c r="G3920" s="16" t="n"/>
      <c r="H3920" s="19" t="n"/>
      <c r="J3920" s="16" t="n"/>
      <c r="K3920" s="19" t="n"/>
    </row>
    <row r="3921">
      <c r="D3921" s="16" t="n"/>
      <c r="E3921" s="19" t="n"/>
      <c r="G3921" s="16" t="n"/>
      <c r="H3921" s="19" t="n"/>
      <c r="J3921" s="16" t="n"/>
      <c r="K3921" s="19" t="n"/>
    </row>
    <row r="3922">
      <c r="D3922" s="16" t="n"/>
      <c r="E3922" s="19" t="n"/>
      <c r="G3922" s="16" t="n"/>
      <c r="H3922" s="19" t="n"/>
      <c r="J3922" s="16" t="n"/>
      <c r="K3922" s="19" t="n"/>
    </row>
    <row r="3923">
      <c r="D3923" s="16" t="n"/>
      <c r="E3923" s="19" t="n"/>
      <c r="G3923" s="16" t="n"/>
      <c r="H3923" s="19" t="n"/>
      <c r="J3923" s="16" t="n"/>
      <c r="K3923" s="19" t="n"/>
    </row>
    <row r="3924">
      <c r="D3924" s="16" t="n"/>
      <c r="E3924" s="19" t="n"/>
      <c r="G3924" s="16" t="n"/>
      <c r="H3924" s="19" t="n"/>
      <c r="J3924" s="16" t="n"/>
      <c r="K3924" s="19" t="n"/>
    </row>
    <row r="3925">
      <c r="D3925" s="16" t="n"/>
      <c r="E3925" s="19" t="n"/>
      <c r="G3925" s="16" t="n"/>
      <c r="H3925" s="19" t="n"/>
      <c r="J3925" s="16" t="n"/>
      <c r="K3925" s="19" t="n"/>
    </row>
    <row r="3926">
      <c r="D3926" s="16" t="n"/>
      <c r="E3926" s="19" t="n"/>
      <c r="G3926" s="16" t="n"/>
      <c r="H3926" s="19" t="n"/>
      <c r="J3926" s="16" t="n"/>
      <c r="K3926" s="19" t="n"/>
    </row>
    <row r="3927">
      <c r="D3927" s="16" t="n"/>
      <c r="E3927" s="19" t="n"/>
      <c r="G3927" s="16" t="n"/>
      <c r="H3927" s="19" t="n"/>
      <c r="J3927" s="16" t="n"/>
      <c r="K3927" s="19" t="n"/>
    </row>
    <row r="3928">
      <c r="D3928" s="16" t="n"/>
      <c r="E3928" s="19" t="n"/>
      <c r="G3928" s="16" t="n"/>
      <c r="H3928" s="19" t="n"/>
      <c r="J3928" s="16" t="n"/>
      <c r="K3928" s="19" t="n"/>
    </row>
    <row r="3929">
      <c r="D3929" s="16" t="n"/>
      <c r="E3929" s="19" t="n"/>
      <c r="G3929" s="16" t="n"/>
      <c r="H3929" s="19" t="n"/>
      <c r="J3929" s="16" t="n"/>
      <c r="K3929" s="19" t="n"/>
    </row>
    <row r="3930">
      <c r="D3930" s="16" t="n"/>
      <c r="E3930" s="19" t="n"/>
      <c r="G3930" s="16" t="n"/>
      <c r="H3930" s="19" t="n"/>
      <c r="J3930" s="16" t="n"/>
      <c r="K3930" s="19" t="n"/>
    </row>
    <row r="3931">
      <c r="D3931" s="16" t="n"/>
      <c r="E3931" s="19" t="n"/>
      <c r="G3931" s="16" t="n"/>
      <c r="H3931" s="19" t="n"/>
      <c r="J3931" s="16" t="n"/>
      <c r="K3931" s="19" t="n"/>
    </row>
    <row r="3932">
      <c r="D3932" s="16" t="n"/>
      <c r="E3932" s="19" t="n"/>
      <c r="G3932" s="16" t="n"/>
      <c r="H3932" s="19" t="n"/>
      <c r="J3932" s="16" t="n"/>
      <c r="K3932" s="19" t="n"/>
    </row>
    <row r="3933">
      <c r="D3933" s="16" t="n"/>
      <c r="E3933" s="19" t="n"/>
      <c r="G3933" s="16" t="n"/>
      <c r="H3933" s="19" t="n"/>
      <c r="J3933" s="16" t="n"/>
      <c r="K3933" s="19" t="n"/>
    </row>
    <row r="3934">
      <c r="D3934" s="16" t="n"/>
      <c r="E3934" s="19" t="n"/>
      <c r="G3934" s="16" t="n"/>
      <c r="H3934" s="19" t="n"/>
      <c r="J3934" s="16" t="n"/>
      <c r="K3934" s="19" t="n"/>
    </row>
    <row r="3935">
      <c r="D3935" s="16" t="n"/>
      <c r="E3935" s="19" t="n"/>
      <c r="G3935" s="16" t="n"/>
      <c r="H3935" s="19" t="n"/>
      <c r="J3935" s="16" t="n"/>
      <c r="K3935" s="19" t="n"/>
    </row>
    <row r="3936">
      <c r="D3936" s="16" t="n"/>
      <c r="E3936" s="19" t="n"/>
      <c r="G3936" s="16" t="n"/>
      <c r="H3936" s="19" t="n"/>
      <c r="J3936" s="16" t="n"/>
      <c r="K3936" s="19" t="n"/>
    </row>
    <row r="3937">
      <c r="D3937" s="16" t="n"/>
      <c r="E3937" s="19" t="n"/>
      <c r="G3937" s="16" t="n"/>
      <c r="H3937" s="19" t="n"/>
      <c r="J3937" s="16" t="n"/>
      <c r="K3937" s="19" t="n"/>
    </row>
    <row r="3938">
      <c r="D3938" s="16" t="n"/>
      <c r="E3938" s="19" t="n"/>
      <c r="G3938" s="16" t="n"/>
      <c r="H3938" s="19" t="n"/>
      <c r="J3938" s="16" t="n"/>
      <c r="K3938" s="19" t="n"/>
    </row>
    <row r="3939">
      <c r="D3939" s="16" t="n"/>
      <c r="E3939" s="19" t="n"/>
      <c r="G3939" s="16" t="n"/>
      <c r="H3939" s="19" t="n"/>
      <c r="J3939" s="16" t="n"/>
      <c r="K3939" s="19" t="n"/>
    </row>
    <row r="3940">
      <c r="D3940" s="16" t="n"/>
      <c r="E3940" s="19" t="n"/>
      <c r="G3940" s="16" t="n"/>
      <c r="H3940" s="19" t="n"/>
      <c r="J3940" s="16" t="n"/>
      <c r="K3940" s="19" t="n"/>
    </row>
    <row r="3941">
      <c r="D3941" s="16" t="n"/>
      <c r="E3941" s="19" t="n"/>
      <c r="G3941" s="16" t="n"/>
      <c r="H3941" s="19" t="n"/>
      <c r="J3941" s="16" t="n"/>
      <c r="K3941" s="19" t="n"/>
    </row>
    <row r="3942">
      <c r="D3942" s="16" t="n"/>
      <c r="E3942" s="19" t="n"/>
      <c r="G3942" s="16" t="n"/>
      <c r="H3942" s="19" t="n"/>
      <c r="J3942" s="16" t="n"/>
      <c r="K3942" s="19" t="n"/>
    </row>
    <row r="3943">
      <c r="D3943" s="16" t="n"/>
      <c r="E3943" s="19" t="n"/>
      <c r="G3943" s="16" t="n"/>
      <c r="H3943" s="19" t="n"/>
      <c r="J3943" s="16" t="n"/>
      <c r="K3943" s="19" t="n"/>
    </row>
    <row r="3944">
      <c r="D3944" s="16" t="n"/>
      <c r="E3944" s="19" t="n"/>
      <c r="G3944" s="16" t="n"/>
      <c r="H3944" s="19" t="n"/>
      <c r="J3944" s="16" t="n"/>
      <c r="K3944" s="19" t="n"/>
    </row>
    <row r="3945">
      <c r="D3945" s="16" t="n"/>
      <c r="E3945" s="19" t="n"/>
      <c r="G3945" s="16" t="n"/>
      <c r="H3945" s="19" t="n"/>
      <c r="J3945" s="16" t="n"/>
      <c r="K3945" s="19" t="n"/>
    </row>
    <row r="3946">
      <c r="D3946" s="16" t="n"/>
      <c r="E3946" s="19" t="n"/>
      <c r="G3946" s="16" t="n"/>
      <c r="H3946" s="19" t="n"/>
      <c r="J3946" s="16" t="n"/>
      <c r="K3946" s="19" t="n"/>
    </row>
    <row r="3947">
      <c r="D3947" s="16" t="n"/>
      <c r="E3947" s="19" t="n"/>
      <c r="G3947" s="16" t="n"/>
      <c r="H3947" s="19" t="n"/>
      <c r="J3947" s="16" t="n"/>
      <c r="K3947" s="19" t="n"/>
    </row>
    <row r="3948">
      <c r="D3948" s="16" t="n"/>
      <c r="E3948" s="19" t="n"/>
      <c r="G3948" s="16" t="n"/>
      <c r="H3948" s="19" t="n"/>
      <c r="J3948" s="16" t="n"/>
      <c r="K3948" s="19" t="n"/>
    </row>
    <row r="3949">
      <c r="D3949" s="16" t="n"/>
      <c r="E3949" s="19" t="n"/>
      <c r="G3949" s="16" t="n"/>
      <c r="H3949" s="19" t="n"/>
      <c r="J3949" s="16" t="n"/>
      <c r="K3949" s="19" t="n"/>
    </row>
    <row r="3950">
      <c r="D3950" s="16" t="n"/>
      <c r="E3950" s="19" t="n"/>
      <c r="G3950" s="16" t="n"/>
      <c r="H3950" s="19" t="n"/>
      <c r="J3950" s="16" t="n"/>
      <c r="K3950" s="19" t="n"/>
    </row>
    <row r="3951">
      <c r="D3951" s="16" t="n"/>
      <c r="E3951" s="19" t="n"/>
      <c r="G3951" s="16" t="n"/>
      <c r="H3951" s="19" t="n"/>
      <c r="J3951" s="16" t="n"/>
      <c r="K3951" s="19" t="n"/>
    </row>
    <row r="3952">
      <c r="D3952" s="16" t="n"/>
      <c r="E3952" s="19" t="n"/>
      <c r="G3952" s="16" t="n"/>
      <c r="H3952" s="19" t="n"/>
      <c r="J3952" s="16" t="n"/>
      <c r="K3952" s="19" t="n"/>
    </row>
    <row r="3953">
      <c r="D3953" s="16" t="n"/>
      <c r="E3953" s="19" t="n"/>
      <c r="G3953" s="16" t="n"/>
      <c r="H3953" s="19" t="n"/>
      <c r="J3953" s="16" t="n"/>
      <c r="K3953" s="19" t="n"/>
    </row>
    <row r="3954">
      <c r="D3954" s="16" t="n"/>
      <c r="E3954" s="19" t="n"/>
      <c r="G3954" s="16" t="n"/>
      <c r="H3954" s="19" t="n"/>
      <c r="J3954" s="16" t="n"/>
      <c r="K3954" s="19" t="n"/>
    </row>
    <row r="3955">
      <c r="D3955" s="16" t="n"/>
      <c r="E3955" s="19" t="n"/>
      <c r="G3955" s="16" t="n"/>
      <c r="H3955" s="19" t="n"/>
      <c r="J3955" s="16" t="n"/>
      <c r="K3955" s="19" t="n"/>
    </row>
    <row r="3956">
      <c r="D3956" s="16" t="n"/>
      <c r="E3956" s="19" t="n"/>
      <c r="G3956" s="16" t="n"/>
      <c r="H3956" s="19" t="n"/>
      <c r="J3956" s="16" t="n"/>
      <c r="K3956" s="19" t="n"/>
    </row>
    <row r="3957">
      <c r="D3957" s="16" t="n"/>
      <c r="E3957" s="19" t="n"/>
      <c r="G3957" s="16" t="n"/>
      <c r="H3957" s="19" t="n"/>
      <c r="J3957" s="16" t="n"/>
      <c r="K3957" s="19" t="n"/>
    </row>
    <row r="3958">
      <c r="D3958" s="16" t="n"/>
      <c r="E3958" s="19" t="n"/>
      <c r="G3958" s="16" t="n"/>
      <c r="H3958" s="19" t="n"/>
      <c r="J3958" s="16" t="n"/>
      <c r="K3958" s="19" t="n"/>
    </row>
    <row r="3959">
      <c r="D3959" s="16" t="n"/>
      <c r="E3959" s="19" t="n"/>
      <c r="G3959" s="16" t="n"/>
      <c r="H3959" s="19" t="n"/>
      <c r="J3959" s="16" t="n"/>
      <c r="K3959" s="19" t="n"/>
    </row>
    <row r="3960">
      <c r="D3960" s="16" t="n"/>
      <c r="E3960" s="19" t="n"/>
      <c r="G3960" s="16" t="n"/>
      <c r="H3960" s="19" t="n"/>
      <c r="J3960" s="16" t="n"/>
      <c r="K3960" s="19" t="n"/>
    </row>
    <row r="3961">
      <c r="D3961" s="16" t="n"/>
      <c r="E3961" s="19" t="n"/>
      <c r="G3961" s="16" t="n"/>
      <c r="H3961" s="19" t="n"/>
      <c r="J3961" s="16" t="n"/>
      <c r="K3961" s="19" t="n"/>
    </row>
    <row r="3962">
      <c r="D3962" s="16" t="n"/>
      <c r="E3962" s="19" t="n"/>
      <c r="G3962" s="16" t="n"/>
      <c r="H3962" s="19" t="n"/>
      <c r="J3962" s="16" t="n"/>
      <c r="K3962" s="19" t="n"/>
    </row>
    <row r="3963">
      <c r="D3963" s="16" t="n"/>
      <c r="E3963" s="19" t="n"/>
      <c r="G3963" s="16" t="n"/>
      <c r="H3963" s="19" t="n"/>
      <c r="J3963" s="16" t="n"/>
      <c r="K3963" s="19" t="n"/>
    </row>
    <row r="3964">
      <c r="D3964" s="16" t="n"/>
      <c r="E3964" s="19" t="n"/>
      <c r="G3964" s="16" t="n"/>
      <c r="H3964" s="19" t="n"/>
      <c r="J3964" s="16" t="n"/>
      <c r="K3964" s="19" t="n"/>
    </row>
    <row r="3965">
      <c r="D3965" s="16" t="n"/>
      <c r="E3965" s="19" t="n"/>
      <c r="G3965" s="16" t="n"/>
      <c r="H3965" s="19" t="n"/>
      <c r="J3965" s="16" t="n"/>
      <c r="K3965" s="19" t="n"/>
    </row>
    <row r="3966">
      <c r="D3966" s="16" t="n"/>
      <c r="E3966" s="19" t="n"/>
      <c r="G3966" s="16" t="n"/>
      <c r="H3966" s="19" t="n"/>
      <c r="J3966" s="16" t="n"/>
      <c r="K3966" s="19" t="n"/>
    </row>
    <row r="3967">
      <c r="D3967" s="16" t="n"/>
      <c r="E3967" s="19" t="n"/>
      <c r="G3967" s="16" t="n"/>
      <c r="H3967" s="19" t="n"/>
      <c r="J3967" s="16" t="n"/>
      <c r="K3967" s="19" t="n"/>
    </row>
    <row r="3968">
      <c r="D3968" s="16" t="n"/>
      <c r="E3968" s="19" t="n"/>
      <c r="G3968" s="16" t="n"/>
      <c r="H3968" s="19" t="n"/>
      <c r="J3968" s="16" t="n"/>
      <c r="K3968" s="19" t="n"/>
    </row>
    <row r="3969">
      <c r="D3969" s="16" t="n"/>
      <c r="E3969" s="19" t="n"/>
      <c r="G3969" s="16" t="n"/>
      <c r="H3969" s="19" t="n"/>
      <c r="J3969" s="16" t="n"/>
      <c r="K3969" s="19" t="n"/>
    </row>
    <row r="3970">
      <c r="D3970" s="16" t="n"/>
      <c r="E3970" s="19" t="n"/>
      <c r="G3970" s="16" t="n"/>
      <c r="H3970" s="19" t="n"/>
      <c r="J3970" s="16" t="n"/>
      <c r="K3970" s="19" t="n"/>
    </row>
    <row r="3971">
      <c r="D3971" s="16" t="n"/>
      <c r="E3971" s="19" t="n"/>
      <c r="G3971" s="16" t="n"/>
      <c r="H3971" s="19" t="n"/>
      <c r="J3971" s="16" t="n"/>
      <c r="K3971" s="19" t="n"/>
    </row>
    <row r="3972">
      <c r="D3972" s="16" t="n"/>
      <c r="E3972" s="19" t="n"/>
      <c r="G3972" s="16" t="n"/>
      <c r="H3972" s="19" t="n"/>
      <c r="J3972" s="16" t="n"/>
      <c r="K3972" s="19" t="n"/>
    </row>
    <row r="3973">
      <c r="D3973" s="16" t="n"/>
      <c r="E3973" s="19" t="n"/>
      <c r="G3973" s="16" t="n"/>
      <c r="H3973" s="19" t="n"/>
      <c r="J3973" s="16" t="n"/>
      <c r="K3973" s="19" t="n"/>
    </row>
    <row r="3974">
      <c r="D3974" s="16" t="n"/>
      <c r="E3974" s="19" t="n"/>
      <c r="G3974" s="16" t="n"/>
      <c r="H3974" s="19" t="n"/>
      <c r="J3974" s="16" t="n"/>
      <c r="K3974" s="19" t="n"/>
    </row>
    <row r="3975">
      <c r="D3975" s="16" t="n"/>
      <c r="E3975" s="19" t="n"/>
      <c r="G3975" s="16" t="n"/>
      <c r="H3975" s="19" t="n"/>
      <c r="J3975" s="16" t="n"/>
      <c r="K3975" s="19" t="n"/>
    </row>
    <row r="3976">
      <c r="D3976" s="16" t="n"/>
      <c r="E3976" s="19" t="n"/>
      <c r="G3976" s="16" t="n"/>
      <c r="H3976" s="19" t="n"/>
      <c r="J3976" s="16" t="n"/>
      <c r="K3976" s="19" t="n"/>
    </row>
    <row r="3977">
      <c r="D3977" s="16" t="n"/>
      <c r="E3977" s="19" t="n"/>
      <c r="G3977" s="16" t="n"/>
      <c r="H3977" s="19" t="n"/>
      <c r="J3977" s="16" t="n"/>
      <c r="K3977" s="19" t="n"/>
    </row>
    <row r="3978">
      <c r="D3978" s="16" t="n"/>
      <c r="E3978" s="19" t="n"/>
      <c r="G3978" s="16" t="n"/>
      <c r="H3978" s="19" t="n"/>
      <c r="J3978" s="16" t="n"/>
      <c r="K3978" s="19" t="n"/>
    </row>
    <row r="3979">
      <c r="D3979" s="16" t="n"/>
      <c r="E3979" s="19" t="n"/>
      <c r="G3979" s="16" t="n"/>
      <c r="H3979" s="19" t="n"/>
      <c r="J3979" s="16" t="n"/>
      <c r="K3979" s="19" t="n"/>
    </row>
    <row r="3980">
      <c r="D3980" s="16" t="n"/>
      <c r="E3980" s="19" t="n"/>
      <c r="G3980" s="16" t="n"/>
      <c r="H3980" s="19" t="n"/>
      <c r="J3980" s="16" t="n"/>
      <c r="K3980" s="19" t="n"/>
    </row>
    <row r="3981">
      <c r="D3981" s="16" t="n"/>
      <c r="E3981" s="19" t="n"/>
      <c r="G3981" s="16" t="n"/>
      <c r="H3981" s="19" t="n"/>
      <c r="J3981" s="16" t="n"/>
      <c r="K3981" s="19" t="n"/>
    </row>
    <row r="3982">
      <c r="D3982" s="16" t="n"/>
      <c r="E3982" s="19" t="n"/>
      <c r="G3982" s="16" t="n"/>
      <c r="H3982" s="19" t="n"/>
      <c r="J3982" s="16" t="n"/>
      <c r="K3982" s="19" t="n"/>
    </row>
    <row r="3983">
      <c r="D3983" s="16" t="n"/>
      <c r="E3983" s="19" t="n"/>
      <c r="G3983" s="16" t="n"/>
      <c r="H3983" s="19" t="n"/>
      <c r="J3983" s="16" t="n"/>
      <c r="K3983" s="19" t="n"/>
    </row>
    <row r="3984">
      <c r="D3984" s="16" t="n"/>
      <c r="E3984" s="19" t="n"/>
      <c r="G3984" s="16" t="n"/>
      <c r="H3984" s="19" t="n"/>
      <c r="J3984" s="16" t="n"/>
      <c r="K3984" s="19" t="n"/>
    </row>
    <row r="3985">
      <c r="D3985" s="16" t="n"/>
      <c r="E3985" s="19" t="n"/>
      <c r="G3985" s="16" t="n"/>
      <c r="H3985" s="19" t="n"/>
      <c r="J3985" s="16" t="n"/>
      <c r="K3985" s="19" t="n"/>
    </row>
    <row r="3986">
      <c r="D3986" s="16" t="n"/>
      <c r="E3986" s="19" t="n"/>
      <c r="G3986" s="16" t="n"/>
      <c r="H3986" s="19" t="n"/>
      <c r="J3986" s="16" t="n"/>
      <c r="K3986" s="19" t="n"/>
    </row>
    <row r="3987">
      <c r="D3987" s="16" t="n"/>
      <c r="E3987" s="19" t="n"/>
      <c r="G3987" s="16" t="n"/>
      <c r="H3987" s="19" t="n"/>
      <c r="J3987" s="16" t="n"/>
      <c r="K3987" s="19" t="n"/>
    </row>
    <row r="3988">
      <c r="D3988" s="16" t="n"/>
      <c r="E3988" s="19" t="n"/>
      <c r="G3988" s="16" t="n"/>
      <c r="H3988" s="19" t="n"/>
      <c r="J3988" s="16" t="n"/>
      <c r="K3988" s="19" t="n"/>
    </row>
    <row r="3989">
      <c r="D3989" s="16" t="n"/>
      <c r="E3989" s="19" t="n"/>
      <c r="G3989" s="16" t="n"/>
      <c r="H3989" s="19" t="n"/>
      <c r="J3989" s="16" t="n"/>
      <c r="K3989" s="19" t="n"/>
    </row>
    <row r="3990">
      <c r="D3990" s="16" t="n"/>
      <c r="E3990" s="19" t="n"/>
      <c r="G3990" s="16" t="n"/>
      <c r="H3990" s="19" t="n"/>
      <c r="J3990" s="16" t="n"/>
      <c r="K3990" s="19" t="n"/>
    </row>
    <row r="3991">
      <c r="D3991" s="16" t="n"/>
      <c r="E3991" s="19" t="n"/>
      <c r="G3991" s="16" t="n"/>
      <c r="H3991" s="19" t="n"/>
      <c r="J3991" s="16" t="n"/>
      <c r="K3991" s="19" t="n"/>
    </row>
    <row r="3992">
      <c r="D3992" s="16" t="n"/>
      <c r="E3992" s="19" t="n"/>
      <c r="G3992" s="16" t="n"/>
      <c r="H3992" s="19" t="n"/>
      <c r="J3992" s="16" t="n"/>
      <c r="K3992" s="19" t="n"/>
    </row>
    <row r="3993">
      <c r="D3993" s="16" t="n"/>
      <c r="E3993" s="19" t="n"/>
      <c r="G3993" s="16" t="n"/>
      <c r="H3993" s="19" t="n"/>
      <c r="J3993" s="16" t="n"/>
      <c r="K3993" s="19" t="n"/>
    </row>
    <row r="3994">
      <c r="D3994" s="16" t="n"/>
      <c r="E3994" s="19" t="n"/>
      <c r="G3994" s="16" t="n"/>
      <c r="H3994" s="19" t="n"/>
      <c r="J3994" s="16" t="n"/>
      <c r="K3994" s="19" t="n"/>
    </row>
    <row r="3995">
      <c r="D3995" s="16" t="n"/>
      <c r="E3995" s="19" t="n"/>
      <c r="G3995" s="16" t="n"/>
      <c r="H3995" s="19" t="n"/>
      <c r="J3995" s="16" t="n"/>
      <c r="K3995" s="19" t="n"/>
    </row>
    <row r="3996">
      <c r="D3996" s="16" t="n"/>
      <c r="E3996" s="19" t="n"/>
      <c r="G3996" s="16" t="n"/>
      <c r="H3996" s="19" t="n"/>
      <c r="J3996" s="16" t="n"/>
      <c r="K3996" s="19" t="n"/>
    </row>
    <row r="3997">
      <c r="D3997" s="16" t="n"/>
      <c r="E3997" s="19" t="n"/>
      <c r="G3997" s="16" t="n"/>
      <c r="H3997" s="19" t="n"/>
      <c r="J3997" s="16" t="n"/>
      <c r="K3997" s="19" t="n"/>
    </row>
    <row r="3998">
      <c r="D3998" s="16" t="n"/>
      <c r="E3998" s="19" t="n"/>
      <c r="G3998" s="16" t="n"/>
      <c r="H3998" s="19" t="n"/>
      <c r="J3998" s="16" t="n"/>
      <c r="K3998" s="19" t="n"/>
    </row>
    <row r="3999">
      <c r="D3999" s="16" t="n"/>
      <c r="E3999" s="19" t="n"/>
      <c r="G3999" s="16" t="n"/>
      <c r="H3999" s="19" t="n"/>
      <c r="J3999" s="16" t="n"/>
      <c r="K3999" s="19" t="n"/>
    </row>
    <row r="4000">
      <c r="D4000" s="16" t="n"/>
      <c r="E4000" s="19" t="n"/>
      <c r="G4000" s="16" t="n"/>
      <c r="H4000" s="19" t="n"/>
      <c r="J4000" s="16" t="n"/>
      <c r="K4000" s="19" t="n"/>
    </row>
    <row r="4001">
      <c r="D4001" s="16" t="n"/>
      <c r="E4001" s="19" t="n"/>
      <c r="G4001" s="16" t="n"/>
      <c r="H4001" s="19" t="n"/>
      <c r="J4001" s="16" t="n"/>
      <c r="K4001" s="19" t="n"/>
    </row>
    <row r="4002">
      <c r="D4002" s="16" t="n"/>
      <c r="E4002" s="19" t="n"/>
      <c r="G4002" s="16" t="n"/>
      <c r="H4002" s="19" t="n"/>
      <c r="J4002" s="16" t="n"/>
      <c r="K4002" s="19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36" customWidth="1" min="4" max="4"/>
  </cols>
  <sheetData>
    <row r="1">
      <c r="A1" s="4" t="inlineStr">
        <is>
          <t>설정</t>
        </is>
      </c>
    </row>
    <row r="2">
      <c r="A2" s="5" t="inlineStr">
        <is>
          <t>판단 기준 값. 명세 확정값은 바꾸지 않는다. 수식이 모두 이 칸을 읽는다.</t>
        </is>
      </c>
    </row>
    <row r="4">
      <c r="A4" s="6" t="inlineStr">
        <is>
          <t>항목</t>
        </is>
      </c>
      <c r="B4" s="6" t="inlineStr">
        <is>
          <t>값</t>
        </is>
      </c>
      <c r="C4" s="6" t="inlineStr">
        <is>
          <t>단위</t>
        </is>
      </c>
      <c r="D4" s="6" t="inlineStr">
        <is>
          <t>근거</t>
        </is>
      </c>
    </row>
    <row r="5">
      <c r="A5" t="inlineStr">
        <is>
          <t>편입 후보: 점수 이상</t>
        </is>
      </c>
      <c r="B5" s="7" t="n">
        <v>70</v>
      </c>
      <c r="C5" t="inlineStr">
        <is>
          <t>점</t>
        </is>
      </c>
      <c r="D5" t="inlineStr">
        <is>
          <t>명세 1</t>
        </is>
      </c>
    </row>
    <row r="6">
      <c r="A6" t="inlineStr">
        <is>
          <t>교체: 보유 종목 점수 미만</t>
        </is>
      </c>
      <c r="B6" s="7" t="n">
        <v>50</v>
      </c>
      <c r="C6" t="inlineStr">
        <is>
          <t>점</t>
        </is>
      </c>
      <c r="D6" t="inlineStr">
        <is>
          <t>명세 1·6</t>
        </is>
      </c>
    </row>
    <row r="7">
      <c r="A7" t="inlineStr">
        <is>
          <t>교체: 후보와 점수 차 이상</t>
        </is>
      </c>
      <c r="B7" s="7" t="n">
        <v>10</v>
      </c>
      <c r="C7" t="inlineStr">
        <is>
          <t>점</t>
        </is>
      </c>
      <c r="D7" t="inlineStr">
        <is>
          <t>명세 1·6</t>
        </is>
      </c>
    </row>
    <row r="8">
      <c r="A8" t="inlineStr">
        <is>
          <t>부채비율(총부채 ÷ 총자본) 상한</t>
        </is>
      </c>
      <c r="B8" s="35" t="n">
        <v>2</v>
      </c>
      <c r="C8" t="inlineStr"/>
      <c r="D8" t="inlineStr">
        <is>
          <t>명세 2</t>
        </is>
      </c>
    </row>
    <row r="9">
      <c r="A9" t="inlineStr">
        <is>
          <t>시가총액 하한 — 한국</t>
        </is>
      </c>
      <c r="B9" s="24" t="n">
        <v>5000</v>
      </c>
      <c r="C9" t="inlineStr">
        <is>
          <t>억 원</t>
        </is>
      </c>
      <c r="D9" t="inlineStr">
        <is>
          <t>명세 2</t>
        </is>
      </c>
    </row>
    <row r="10">
      <c r="A10" t="inlineStr">
        <is>
          <t>시가총액 하한 — 미국</t>
        </is>
      </c>
      <c r="B10" s="24" t="n">
        <v>2000</v>
      </c>
      <c r="C10" t="inlineStr">
        <is>
          <t>백만 달러</t>
        </is>
      </c>
      <c r="D10" t="inlineStr">
        <is>
          <t>명세 2</t>
        </is>
      </c>
    </row>
    <row r="11">
      <c r="A11" t="inlineStr">
        <is>
          <t>손실 한도: 계좌 평가액 대비 손실액</t>
        </is>
      </c>
      <c r="B11" s="14" t="n">
        <v>0.02</v>
      </c>
      <c r="C11" t="inlineStr"/>
      <c r="D11" t="inlineStr">
        <is>
          <t>명세 5</t>
        </is>
      </c>
    </row>
    <row r="12">
      <c r="A12" t="inlineStr">
        <is>
          <t>손실 한도: 매수 평균가 대비 가격</t>
        </is>
      </c>
      <c r="B12" s="14" t="n">
        <v>-0.25</v>
      </c>
      <c r="C12" t="inlineStr"/>
      <c r="D12" t="inlineStr">
        <is>
          <t>명세 5</t>
        </is>
      </c>
    </row>
    <row r="13">
      <c r="A13" t="inlineStr">
        <is>
          <t>집중 한도: 개별 몫(주식+대기 현금) 대비</t>
        </is>
      </c>
      <c r="B13" s="14" t="n">
        <v>0.4</v>
      </c>
      <c r="C13" t="inlineStr"/>
      <c r="D13" t="inlineStr">
        <is>
          <t>명세 6</t>
        </is>
      </c>
    </row>
    <row r="14">
      <c r="A14" t="inlineStr">
        <is>
          <t>집중 규칙 적용: 보유 종목 수 이상</t>
        </is>
      </c>
      <c r="B14" s="7" t="n">
        <v>3</v>
      </c>
      <c r="C14" t="inlineStr">
        <is>
          <t>종목</t>
        </is>
      </c>
      <c r="D14" t="inlineStr">
        <is>
          <t>명세 6</t>
        </is>
      </c>
    </row>
    <row r="15">
      <c r="A15" t="inlineStr">
        <is>
          <t>심리 지수 기간</t>
        </is>
      </c>
      <c r="B15" s="7" t="n">
        <v>60</v>
      </c>
      <c r="C15" t="inlineStr">
        <is>
          <t>개월</t>
        </is>
      </c>
      <c r="D15" t="inlineStr">
        <is>
          <t>명세 3 (5년)</t>
        </is>
      </c>
    </row>
    <row r="16">
      <c r="A16" t="inlineStr">
        <is>
          <t>거시 패널 기간</t>
        </is>
      </c>
      <c r="B16" s="7" t="n">
        <v>120</v>
      </c>
      <c r="C16" t="inlineStr">
        <is>
          <t>개월</t>
        </is>
      </c>
      <c r="D16" t="inlineStr">
        <is>
          <t>명세 4 (10년)</t>
        </is>
      </c>
    </row>
    <row r="17">
      <c r="A17" t="inlineStr">
        <is>
          <t>거시 변화 기간</t>
        </is>
      </c>
      <c r="B17" s="7" t="n">
        <v>3</v>
      </c>
      <c r="C17" t="inlineStr">
        <is>
          <t>개월</t>
        </is>
      </c>
      <c r="D17" t="inlineStr">
        <is>
          <t>명세 4</t>
        </is>
      </c>
    </row>
    <row r="19">
      <c r="A19" s="7" t="inlineStr">
        <is>
          <t>구현하는 쪽이 정한 값</t>
        </is>
      </c>
    </row>
    <row r="20">
      <c r="A20" t="inlineStr">
        <is>
          <t>한 줄 요약: 강점 백분위 이상</t>
        </is>
      </c>
      <c r="B20" s="7" t="n">
        <v>70</v>
      </c>
      <c r="C20" t="inlineStr">
        <is>
          <t>백분위</t>
        </is>
      </c>
      <c r="D20" t="inlineStr">
        <is>
          <t>편입 기준(상위 약 30%)과 맞춤</t>
        </is>
      </c>
    </row>
    <row r="21">
      <c r="A21" t="inlineStr">
        <is>
          <t>한 줄 요약: 약점 백분위 미만</t>
        </is>
      </c>
      <c r="B21" s="7" t="n">
        <v>30</v>
      </c>
      <c r="C21" t="inlineStr">
        <is>
          <t>백분위</t>
        </is>
      </c>
      <c r="D21" t="inlineStr">
        <is>
          <t>하위 약 30%</t>
        </is>
      </c>
    </row>
    <row r="22">
      <c r="A22" t="inlineStr">
        <is>
          <t>심리 지표 자료 지연 경고</t>
        </is>
      </c>
      <c r="B22" s="7" t="n">
        <v>7</v>
      </c>
      <c r="C22" t="inlineStr">
        <is>
          <t>일</t>
        </is>
      </c>
      <c r="D22" t="inlineStr">
        <is>
          <t>기준일보다 이만큼 넘게 오래되면 경고</t>
        </is>
      </c>
    </row>
    <row r="23">
      <c r="A23" t="inlineStr">
        <is>
          <t>거시 10년 자료 부족 판정 여유</t>
        </is>
      </c>
      <c r="B23" s="7" t="n">
        <v>45</v>
      </c>
      <c r="C23" t="inlineStr">
        <is>
          <t>일</t>
        </is>
      </c>
      <c r="D23" t="inlineStr">
        <is>
          <t>창 첫 자료가 이만큼 늦으면 경고</t>
        </is>
      </c>
    </row>
    <row r="25">
      <c r="A25" s="7" t="inlineStr">
        <is>
          <t>심리 구간 (하한 이상 ~ 다음 하한 미만) — 명세 3</t>
        </is>
      </c>
    </row>
    <row r="26">
      <c r="A26" s="6" t="inlineStr">
        <is>
          <t>점수 하한</t>
        </is>
      </c>
      <c r="B26" s="6" t="inlineStr">
        <is>
          <t>구간</t>
        </is>
      </c>
      <c r="C26" s="6" t="inlineStr">
        <is>
          <t>신규 매수 횟수</t>
        </is>
      </c>
      <c r="D26" s="6" t="inlineStr">
        <is>
          <t>간격(주)</t>
        </is>
      </c>
    </row>
    <row r="27">
      <c r="A27" s="7" t="n">
        <v>0</v>
      </c>
      <c r="B27" t="inlineStr">
        <is>
          <t>극단 공포</t>
        </is>
      </c>
      <c r="C27" t="n">
        <v>1</v>
      </c>
      <c r="D27" t="n">
        <v>0</v>
      </c>
    </row>
    <row r="28">
      <c r="A28" s="7" t="n">
        <v>10</v>
      </c>
      <c r="B28" t="inlineStr">
        <is>
          <t>공포</t>
        </is>
      </c>
      <c r="C28" t="n">
        <v>2</v>
      </c>
      <c r="D28" t="n">
        <v>2</v>
      </c>
    </row>
    <row r="29">
      <c r="A29" s="7" t="n">
        <v>30</v>
      </c>
      <c r="B29" t="inlineStr">
        <is>
          <t>중립</t>
        </is>
      </c>
      <c r="C29" t="n">
        <v>2</v>
      </c>
      <c r="D29" t="n">
        <v>4</v>
      </c>
    </row>
    <row r="30">
      <c r="A30" s="7" t="n">
        <v>70</v>
      </c>
      <c r="B30" t="inlineStr">
        <is>
          <t>탐욕</t>
        </is>
      </c>
      <c r="C30" t="n">
        <v>3</v>
      </c>
      <c r="D30" t="n">
        <v>4</v>
      </c>
    </row>
    <row r="31">
      <c r="A31" s="7" t="n">
        <v>90</v>
      </c>
      <c r="B31" t="inlineStr">
        <is>
          <t>극단 탐욕</t>
        </is>
      </c>
      <c r="C31" t="n">
        <v>4</v>
      </c>
      <c r="D31" t="n">
        <v>4</v>
      </c>
    </row>
    <row r="33">
      <c r="A33" s="7" t="inlineStr">
        <is>
          <t>수식에 고정된 값 (바꾸려면 시트를 다시 만들어야 함)</t>
        </is>
      </c>
    </row>
    <row r="34">
      <c r="A34" t="inlineStr">
        <is>
          <t>· 이동평균 125거래일, 신용융자 증감 20거래일 (명세 3)</t>
        </is>
      </c>
    </row>
    <row r="35">
      <c r="A35" t="inlineStr">
        <is>
          <t>· 심리 계산은 지수의 최근 1,500거래일까지 사용 (5년 + 125일을 덮음)</t>
        </is>
      </c>
    </row>
    <row r="36">
      <c r="A36" t="inlineStr">
        <is>
          <t>· 원자료 칸: 일별 4,000행, 월별 600행</t>
        </is>
      </c>
    </row>
    <row r="37">
      <c r="A37" t="inlineStr">
        <is>
          <t>· 평균값(종목 지표 평균, 심리 지표 평균)은 소수 6자리 반올림 뒤 순위. 동점은 평균 순위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2026-10-07T12:01:05Z</dcterms:created>
  <dcterms:modified xmlns:dcterms="http://purl.org/dc/terms/" xmlns:xsi="http://www.w3.org/2001/XMLSchema-instance" xsi:type="dcterms:W3CDTF">2026-10-07T12:01:12Z</dcterms:modified>
</cp:coreProperties>
</file>